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codeName="ThisWorkbook"/>
  <mc:AlternateContent xmlns:mc="http://schemas.openxmlformats.org/markup-compatibility/2006">
    <mc:Choice Requires="x15">
      <x15ac:absPath xmlns:x15ac="http://schemas.microsoft.com/office/spreadsheetml/2010/11/ac" url="X:\ERDF\FarmProductivityLingra\"/>
    </mc:Choice>
  </mc:AlternateContent>
  <xr:revisionPtr revIDLastSave="0" documentId="13_ncr:1_{3168CEE3-0408-41D2-966C-FE8CFFBEA2ED}" xr6:coauthVersionLast="44" xr6:coauthVersionMax="44" xr10:uidLastSave="{00000000-0000-0000-0000-000000000000}"/>
  <bookViews>
    <workbookView xWindow="-120" yWindow="-120" windowWidth="29040" windowHeight="15840" firstSheet="2" activeTab="2" xr2:uid="{00000000-000D-0000-FFFF-FFFF00000000}"/>
  </bookViews>
  <sheets>
    <sheet name="Sheet2" sheetId="76" state="hidden" r:id="rId1"/>
    <sheet name="Soil water balance" sheetId="37" state="hidden" r:id="rId2"/>
    <sheet name="Control" sheetId="1" r:id="rId3"/>
    <sheet name="Calculations" sheetId="31" r:id="rId4"/>
    <sheet name="Cumulative grass production" sheetId="34" state="hidden" r:id="rId5"/>
    <sheet name="Wateruptake-Growth rate" sheetId="60" state="hidden" r:id="rId6"/>
    <sheet name="Net radiation" sheetId="45" state="hidden" r:id="rId7"/>
    <sheet name="CO2_data" sheetId="88" r:id="rId8"/>
    <sheet name="Weather_data" sheetId="41" r:id="rId9"/>
    <sheet name="Task_diary" sheetId="33" state="hidden" r:id="rId10"/>
  </sheets>
  <externalReferences>
    <externalReference r:id="rId11"/>
  </externalReferences>
  <definedNames>
    <definedName name="_xlnm.Print_Area" localSheetId="3">Calculations!$AG$373:$AR$376</definedName>
    <definedName name="Try">[1]Control!#REF!</definedName>
    <definedName name="TTSow_Emerge">Control!#REF!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62" i="1" l="1"/>
  <c r="B188" i="1" l="1"/>
  <c r="B189" i="1" s="1"/>
  <c r="E190" i="1"/>
  <c r="F190" i="1" s="1"/>
  <c r="G190" i="1" s="1"/>
  <c r="H190" i="1" s="1"/>
  <c r="I190" i="1" s="1"/>
  <c r="J190" i="1" s="1"/>
  <c r="K190" i="1" s="1"/>
  <c r="L190" i="1" s="1"/>
  <c r="M190" i="1" s="1"/>
  <c r="N190" i="1" s="1"/>
  <c r="O190" i="1" s="1"/>
  <c r="P190" i="1" s="1"/>
  <c r="Q190" i="1" s="1"/>
  <c r="R190" i="1" s="1"/>
  <c r="S190" i="1" s="1"/>
  <c r="T190" i="1" s="1"/>
  <c r="U190" i="1" s="1"/>
  <c r="V190" i="1" s="1"/>
  <c r="W190" i="1" s="1"/>
  <c r="X190" i="1" s="1"/>
  <c r="Y190" i="1" s="1"/>
  <c r="Z190" i="1" s="1"/>
  <c r="AA190" i="1" s="1"/>
  <c r="AB190" i="1" s="1"/>
  <c r="AC190" i="1" s="1"/>
  <c r="AD190" i="1" s="1"/>
  <c r="AE190" i="1" s="1"/>
  <c r="AF190" i="1" s="1"/>
  <c r="AG190" i="1" s="1"/>
  <c r="AH190" i="1" s="1"/>
  <c r="AI190" i="1" s="1"/>
  <c r="AJ190" i="1" s="1"/>
  <c r="AK190" i="1" s="1"/>
  <c r="AL190" i="1" s="1"/>
  <c r="AM190" i="1" s="1"/>
  <c r="AN190" i="1" s="1"/>
  <c r="AO190" i="1" s="1"/>
  <c r="AP190" i="1" s="1"/>
  <c r="AQ190" i="1" s="1"/>
  <c r="AR190" i="1" s="1"/>
  <c r="AS190" i="1" s="1"/>
  <c r="AT190" i="1" s="1"/>
  <c r="AU190" i="1" s="1"/>
  <c r="AV190" i="1" s="1"/>
  <c r="AW190" i="1" s="1"/>
  <c r="AX190" i="1" s="1"/>
  <c r="AY190" i="1" s="1"/>
  <c r="AZ190" i="1" s="1"/>
  <c r="BA190" i="1" s="1"/>
  <c r="BB190" i="1" s="1"/>
  <c r="BC190" i="1" s="1"/>
  <c r="BD190" i="1" s="1"/>
  <c r="BE190" i="1" s="1"/>
  <c r="BF190" i="1" s="1"/>
  <c r="BG190" i="1" s="1"/>
  <c r="H189" i="1"/>
  <c r="J189" i="1" s="1"/>
  <c r="L189" i="1" s="1"/>
  <c r="N189" i="1" s="1"/>
  <c r="P189" i="1" s="1"/>
  <c r="R189" i="1" s="1"/>
  <c r="T189" i="1" s="1"/>
  <c r="V189" i="1" s="1"/>
  <c r="X189" i="1" s="1"/>
  <c r="Z189" i="1" s="1"/>
  <c r="AB189" i="1" s="1"/>
  <c r="AD189" i="1" s="1"/>
  <c r="AF189" i="1" s="1"/>
  <c r="AH189" i="1" s="1"/>
  <c r="AJ189" i="1" s="1"/>
  <c r="AL189" i="1" s="1"/>
  <c r="AN189" i="1" s="1"/>
  <c r="AP189" i="1" s="1"/>
  <c r="AR189" i="1" s="1"/>
  <c r="AT189" i="1" s="1"/>
  <c r="AV189" i="1" s="1"/>
  <c r="AX189" i="1" s="1"/>
  <c r="AZ189" i="1" s="1"/>
  <c r="BB189" i="1" s="1"/>
  <c r="BD189" i="1" s="1"/>
  <c r="BF189" i="1" s="1"/>
  <c r="F189" i="1"/>
  <c r="BE208" i="1"/>
  <c r="BC208" i="1"/>
  <c r="BA208" i="1"/>
  <c r="AY208" i="1"/>
  <c r="AW208" i="1"/>
  <c r="AU208" i="1"/>
  <c r="AS208" i="1"/>
  <c r="AQ208" i="1"/>
  <c r="AO208" i="1"/>
  <c r="AM208" i="1"/>
  <c r="AK208" i="1"/>
  <c r="AI208" i="1"/>
  <c r="I180" i="1"/>
  <c r="I179" i="1"/>
  <c r="I178" i="1"/>
  <c r="I177" i="1"/>
  <c r="I176" i="1"/>
  <c r="I175" i="1"/>
  <c r="B190" i="1" l="1"/>
  <c r="C190" i="1" s="1"/>
  <c r="C206" i="1" l="1"/>
  <c r="C198" i="1"/>
  <c r="C205" i="1"/>
  <c r="C200" i="1"/>
  <c r="C207" i="1"/>
  <c r="C204" i="1"/>
  <c r="C203" i="1"/>
  <c r="C201" i="1"/>
  <c r="C202" i="1"/>
  <c r="C199" i="1"/>
  <c r="B206" i="1"/>
  <c r="B205" i="1"/>
  <c r="B207" i="1"/>
  <c r="C124" i="1" l="1"/>
  <c r="D21" i="1" l="1"/>
  <c r="EU6" i="31" l="1"/>
  <c r="J173" i="1" l="1"/>
  <c r="J172" i="1"/>
  <c r="FO7" i="31" l="1"/>
  <c r="FO8" i="31"/>
  <c r="FO9" i="31"/>
  <c r="FO10" i="31"/>
  <c r="FO11" i="31"/>
  <c r="FO12" i="31"/>
  <c r="FO13" i="31"/>
  <c r="FO14" i="31"/>
  <c r="FO15" i="31"/>
  <c r="FO16" i="31"/>
  <c r="FO17" i="31"/>
  <c r="FO18" i="31"/>
  <c r="FO19" i="31"/>
  <c r="FO20" i="31"/>
  <c r="FO21" i="31"/>
  <c r="FO22" i="31"/>
  <c r="FO23" i="31"/>
  <c r="FO24" i="31"/>
  <c r="FO25" i="31"/>
  <c r="FO26" i="31"/>
  <c r="FO27" i="31"/>
  <c r="FO28" i="31"/>
  <c r="FO29" i="31"/>
  <c r="FO30" i="31"/>
  <c r="FO31" i="31"/>
  <c r="FO32" i="31"/>
  <c r="FO33" i="31"/>
  <c r="FO34" i="31"/>
  <c r="FO35" i="31"/>
  <c r="FO36" i="31"/>
  <c r="FO37" i="31"/>
  <c r="FO38" i="31"/>
  <c r="FO39" i="31"/>
  <c r="FO40" i="31"/>
  <c r="FO41" i="31"/>
  <c r="FO42" i="31"/>
  <c r="FO43" i="31"/>
  <c r="FO44" i="31"/>
  <c r="FO45" i="31"/>
  <c r="FO46" i="31"/>
  <c r="FO47" i="31"/>
  <c r="FO48" i="31"/>
  <c r="FO49" i="31"/>
  <c r="FO50" i="31"/>
  <c r="FO51" i="31"/>
  <c r="FO52" i="31"/>
  <c r="FO53" i="31"/>
  <c r="FO54" i="31"/>
  <c r="FO55" i="31"/>
  <c r="FO56" i="31"/>
  <c r="FO57" i="31"/>
  <c r="FO58" i="31"/>
  <c r="FO59" i="31"/>
  <c r="FO60" i="31"/>
  <c r="FO61" i="31"/>
  <c r="FO62" i="31"/>
  <c r="FO63" i="31"/>
  <c r="FO64" i="31"/>
  <c r="FO65" i="31"/>
  <c r="FO66" i="31"/>
  <c r="FO67" i="31"/>
  <c r="FO68" i="31"/>
  <c r="FO69" i="31"/>
  <c r="FO70" i="31"/>
  <c r="FO71" i="31"/>
  <c r="FO72" i="31"/>
  <c r="FO73" i="31"/>
  <c r="FO74" i="31"/>
  <c r="FO75" i="31"/>
  <c r="FO76" i="31"/>
  <c r="FO77" i="31"/>
  <c r="FO78" i="31"/>
  <c r="FO79" i="31"/>
  <c r="FO80" i="31"/>
  <c r="FO81" i="31"/>
  <c r="FO82" i="31"/>
  <c r="FO83" i="31"/>
  <c r="FO84" i="31"/>
  <c r="FO85" i="31"/>
  <c r="FO86" i="31"/>
  <c r="FO87" i="31"/>
  <c r="FO88" i="31"/>
  <c r="FO89" i="31"/>
  <c r="FO90" i="31"/>
  <c r="FO91" i="31"/>
  <c r="FO92" i="31"/>
  <c r="FO93" i="31"/>
  <c r="FO94" i="31"/>
  <c r="FO95" i="31"/>
  <c r="FO96" i="31"/>
  <c r="FO97" i="31"/>
  <c r="FO98" i="31"/>
  <c r="FO99" i="31"/>
  <c r="FO100" i="31"/>
  <c r="FO101" i="31"/>
  <c r="FO102" i="31"/>
  <c r="FO103" i="31"/>
  <c r="FO104" i="31"/>
  <c r="FO105" i="31"/>
  <c r="FO106" i="31"/>
  <c r="FO107" i="31"/>
  <c r="FO108" i="31"/>
  <c r="FO109" i="31"/>
  <c r="FO110" i="31"/>
  <c r="FO111" i="31"/>
  <c r="FO112" i="31"/>
  <c r="FO113" i="31"/>
  <c r="FO114" i="31"/>
  <c r="FO115" i="31"/>
  <c r="FO116" i="31"/>
  <c r="FO117" i="31"/>
  <c r="FO118" i="31"/>
  <c r="FO119" i="31"/>
  <c r="FO120" i="31"/>
  <c r="FO121" i="31"/>
  <c r="FO122" i="31"/>
  <c r="FO123" i="31"/>
  <c r="FO124" i="31"/>
  <c r="FO125" i="31"/>
  <c r="FO126" i="31"/>
  <c r="FO127" i="31"/>
  <c r="FO128" i="31"/>
  <c r="FO129" i="31"/>
  <c r="FO130" i="31"/>
  <c r="FO131" i="31"/>
  <c r="FO132" i="31"/>
  <c r="FO133" i="31"/>
  <c r="FO134" i="31"/>
  <c r="FO135" i="31"/>
  <c r="FO136" i="31"/>
  <c r="FO137" i="31"/>
  <c r="FO138" i="31"/>
  <c r="FO139" i="31"/>
  <c r="FO140" i="31"/>
  <c r="FO141" i="31"/>
  <c r="FO142" i="31"/>
  <c r="FO143" i="31"/>
  <c r="FO144" i="31"/>
  <c r="FO145" i="31"/>
  <c r="FO146" i="31"/>
  <c r="FO147" i="31"/>
  <c r="FO148" i="31"/>
  <c r="FO149" i="31"/>
  <c r="FO150" i="31"/>
  <c r="FO151" i="31"/>
  <c r="FO152" i="31"/>
  <c r="FO153" i="31"/>
  <c r="FO154" i="31"/>
  <c r="FO155" i="31"/>
  <c r="FO156" i="31"/>
  <c r="FO157" i="31"/>
  <c r="FO158" i="31"/>
  <c r="FO159" i="31"/>
  <c r="FO160" i="31"/>
  <c r="FO161" i="31"/>
  <c r="FO162" i="31"/>
  <c r="FO163" i="31"/>
  <c r="FO164" i="31"/>
  <c r="FO165" i="31"/>
  <c r="FO166" i="31"/>
  <c r="FO167" i="31"/>
  <c r="FO168" i="31"/>
  <c r="FO169" i="31"/>
  <c r="FO170" i="31"/>
  <c r="FO171" i="31"/>
  <c r="FO172" i="31"/>
  <c r="FO173" i="31"/>
  <c r="FO174" i="31"/>
  <c r="FO175" i="31"/>
  <c r="FO176" i="31"/>
  <c r="FO177" i="31"/>
  <c r="FO178" i="31"/>
  <c r="FO179" i="31"/>
  <c r="FO180" i="31"/>
  <c r="FO181" i="31"/>
  <c r="FO182" i="31"/>
  <c r="FO183" i="31"/>
  <c r="FO184" i="31"/>
  <c r="FO185" i="31"/>
  <c r="FO186" i="31"/>
  <c r="FO187" i="31"/>
  <c r="FO188" i="31"/>
  <c r="FO189" i="31"/>
  <c r="FO190" i="31"/>
  <c r="FO191" i="31"/>
  <c r="FO192" i="31"/>
  <c r="FO193" i="31"/>
  <c r="FO194" i="31"/>
  <c r="FO195" i="31"/>
  <c r="FO196" i="31"/>
  <c r="FO197" i="31"/>
  <c r="FO198" i="31"/>
  <c r="FO199" i="31"/>
  <c r="FO200" i="31"/>
  <c r="FO201" i="31"/>
  <c r="FO202" i="31"/>
  <c r="FO203" i="31"/>
  <c r="FO204" i="31"/>
  <c r="FO205" i="31"/>
  <c r="FO206" i="31"/>
  <c r="FO207" i="31"/>
  <c r="FO208" i="31"/>
  <c r="FO209" i="31"/>
  <c r="FO210" i="31"/>
  <c r="FO211" i="31"/>
  <c r="FO212" i="31"/>
  <c r="FO213" i="31"/>
  <c r="FO214" i="31"/>
  <c r="FO215" i="31"/>
  <c r="FO216" i="31"/>
  <c r="FO217" i="31"/>
  <c r="FO218" i="31"/>
  <c r="FO219" i="31"/>
  <c r="FO220" i="31"/>
  <c r="FO221" i="31"/>
  <c r="FO222" i="31"/>
  <c r="FO223" i="31"/>
  <c r="FO224" i="31"/>
  <c r="FO225" i="31"/>
  <c r="FO226" i="31"/>
  <c r="FO227" i="31"/>
  <c r="FO228" i="31"/>
  <c r="FO229" i="31"/>
  <c r="FO230" i="31"/>
  <c r="FO231" i="31"/>
  <c r="FO232" i="31"/>
  <c r="FO233" i="31"/>
  <c r="FO234" i="31"/>
  <c r="FO235" i="31"/>
  <c r="FO236" i="31"/>
  <c r="FO237" i="31"/>
  <c r="FO238" i="31"/>
  <c r="FO239" i="31"/>
  <c r="FO240" i="31"/>
  <c r="FO241" i="31"/>
  <c r="FO242" i="31"/>
  <c r="FO243" i="31"/>
  <c r="FO244" i="31"/>
  <c r="FO245" i="31"/>
  <c r="FO246" i="31"/>
  <c r="FO247" i="31"/>
  <c r="FO248" i="31"/>
  <c r="FO249" i="31"/>
  <c r="FO250" i="31"/>
  <c r="FO251" i="31"/>
  <c r="FO252" i="31"/>
  <c r="FO253" i="31"/>
  <c r="FO254" i="31"/>
  <c r="FO255" i="31"/>
  <c r="FO256" i="31"/>
  <c r="FO257" i="31"/>
  <c r="FO258" i="31"/>
  <c r="FO259" i="31"/>
  <c r="FO260" i="31"/>
  <c r="FO261" i="31"/>
  <c r="FO262" i="31"/>
  <c r="FO263" i="31"/>
  <c r="FO264" i="31"/>
  <c r="FO265" i="31"/>
  <c r="FO266" i="31"/>
  <c r="FO267" i="31"/>
  <c r="FO268" i="31"/>
  <c r="FO269" i="31"/>
  <c r="FO270" i="31"/>
  <c r="FO271" i="31"/>
  <c r="FO272" i="31"/>
  <c r="FO273" i="31"/>
  <c r="FO274" i="31"/>
  <c r="FO275" i="31"/>
  <c r="FO276" i="31"/>
  <c r="FO277" i="31"/>
  <c r="FO278" i="31"/>
  <c r="FO279" i="31"/>
  <c r="FO280" i="31"/>
  <c r="FO281" i="31"/>
  <c r="FO282" i="31"/>
  <c r="FO283" i="31"/>
  <c r="FO284" i="31"/>
  <c r="FO285" i="31"/>
  <c r="FO286" i="31"/>
  <c r="FO287" i="31"/>
  <c r="FO288" i="31"/>
  <c r="FO289" i="31"/>
  <c r="FO290" i="31"/>
  <c r="FO291" i="31"/>
  <c r="FO292" i="31"/>
  <c r="FO293" i="31"/>
  <c r="FO294" i="31"/>
  <c r="FO295" i="31"/>
  <c r="FO296" i="31"/>
  <c r="FO297" i="31"/>
  <c r="FO298" i="31"/>
  <c r="FO299" i="31"/>
  <c r="FO300" i="31"/>
  <c r="FO301" i="31"/>
  <c r="FO302" i="31"/>
  <c r="FO303" i="31"/>
  <c r="FO304" i="31"/>
  <c r="FO305" i="31"/>
  <c r="FO306" i="31"/>
  <c r="FO307" i="31"/>
  <c r="FO308" i="31"/>
  <c r="FO309" i="31"/>
  <c r="FO310" i="31"/>
  <c r="FO311" i="31"/>
  <c r="FO312" i="31"/>
  <c r="FO313" i="31"/>
  <c r="FO314" i="31"/>
  <c r="FO315" i="31"/>
  <c r="FO316" i="31"/>
  <c r="FO317" i="31"/>
  <c r="FO318" i="31"/>
  <c r="FO319" i="31"/>
  <c r="FO320" i="31"/>
  <c r="FO321" i="31"/>
  <c r="FO322" i="31"/>
  <c r="FO323" i="31"/>
  <c r="FO324" i="31"/>
  <c r="FO325" i="31"/>
  <c r="FO326" i="31"/>
  <c r="FO327" i="31"/>
  <c r="FO328" i="31"/>
  <c r="FO329" i="31"/>
  <c r="FO330" i="31"/>
  <c r="FO331" i="31"/>
  <c r="FO332" i="31"/>
  <c r="FO333" i="31"/>
  <c r="FO334" i="31"/>
  <c r="FO335" i="31"/>
  <c r="FO336" i="31"/>
  <c r="FO337" i="31"/>
  <c r="FO338" i="31"/>
  <c r="FO339" i="31"/>
  <c r="FO340" i="31"/>
  <c r="FO341" i="31"/>
  <c r="FO342" i="31"/>
  <c r="FO343" i="31"/>
  <c r="FO344" i="31"/>
  <c r="FO345" i="31"/>
  <c r="FO346" i="31"/>
  <c r="FO347" i="31"/>
  <c r="FO348" i="31"/>
  <c r="FO349" i="31"/>
  <c r="FO350" i="31"/>
  <c r="FO351" i="31"/>
  <c r="FO352" i="31"/>
  <c r="FO353" i="31"/>
  <c r="FO354" i="31"/>
  <c r="FO355" i="31"/>
  <c r="FO356" i="31"/>
  <c r="FO357" i="31"/>
  <c r="FO358" i="31"/>
  <c r="FO359" i="31"/>
  <c r="FO360" i="31"/>
  <c r="FO361" i="31"/>
  <c r="FO362" i="31"/>
  <c r="FO363" i="31"/>
  <c r="FO364" i="31"/>
  <c r="FO365" i="31"/>
  <c r="FO366" i="31"/>
  <c r="FO367" i="31"/>
  <c r="FO368" i="31"/>
  <c r="FO369" i="31"/>
  <c r="FO370" i="31"/>
  <c r="FO6" i="31"/>
  <c r="D25" i="1" l="1"/>
  <c r="PD6" i="31" l="1"/>
  <c r="PD7" i="31"/>
  <c r="PD8" i="31"/>
  <c r="PD9" i="31"/>
  <c r="PD10" i="31"/>
  <c r="PD11" i="31"/>
  <c r="PD12" i="31"/>
  <c r="PD13" i="31"/>
  <c r="PD14" i="31"/>
  <c r="PD15" i="31"/>
  <c r="PD16" i="31"/>
  <c r="PD17" i="31"/>
  <c r="PD18" i="31"/>
  <c r="PD19" i="31"/>
  <c r="PD20" i="31"/>
  <c r="PD21" i="31"/>
  <c r="PD22" i="31"/>
  <c r="PD23" i="31"/>
  <c r="PD24" i="31"/>
  <c r="PD25" i="31"/>
  <c r="PD26" i="31"/>
  <c r="PD27" i="31"/>
  <c r="PD28" i="31"/>
  <c r="PD29" i="31"/>
  <c r="PD30" i="31"/>
  <c r="PD31" i="31"/>
  <c r="PD32" i="31"/>
  <c r="PD33" i="31"/>
  <c r="PD34" i="31"/>
  <c r="PD35" i="31"/>
  <c r="PD36" i="31"/>
  <c r="PD37" i="31"/>
  <c r="PD38" i="31"/>
  <c r="PD39" i="31"/>
  <c r="G208" i="1" l="1"/>
  <c r="D175" i="1" l="1"/>
  <c r="E175" i="1"/>
  <c r="F175" i="1"/>
  <c r="H175" i="1"/>
  <c r="G175" i="1"/>
  <c r="I169" i="1" l="1"/>
  <c r="C119" i="1" l="1"/>
  <c r="C74" i="1"/>
  <c r="M208" i="1" l="1"/>
  <c r="AC208" i="1"/>
  <c r="AA208" i="1"/>
  <c r="Y208" i="1"/>
  <c r="W208" i="1"/>
  <c r="U208" i="1"/>
  <c r="S208" i="1"/>
  <c r="Q208" i="1"/>
  <c r="O208" i="1"/>
  <c r="K208" i="1"/>
  <c r="I208" i="1"/>
  <c r="AD199" i="1"/>
  <c r="AD200" i="1"/>
  <c r="AD201" i="1"/>
  <c r="AD202" i="1"/>
  <c r="AD203" i="1"/>
  <c r="AD204" i="1"/>
  <c r="AD205" i="1"/>
  <c r="BF204" i="1" l="1"/>
  <c r="BD204" i="1"/>
  <c r="BB204" i="1"/>
  <c r="AZ204" i="1"/>
  <c r="AX204" i="1"/>
  <c r="AV204" i="1"/>
  <c r="AT204" i="1"/>
  <c r="AR204" i="1"/>
  <c r="AP204" i="1"/>
  <c r="AN204" i="1"/>
  <c r="AL204" i="1"/>
  <c r="AJ204" i="1"/>
  <c r="AH204" i="1"/>
  <c r="AF204" i="1"/>
  <c r="BF203" i="1"/>
  <c r="BD203" i="1"/>
  <c r="BB203" i="1"/>
  <c r="AZ203" i="1"/>
  <c r="AX203" i="1"/>
  <c r="AV203" i="1"/>
  <c r="AT203" i="1"/>
  <c r="AR203" i="1"/>
  <c r="AP203" i="1"/>
  <c r="AN203" i="1"/>
  <c r="AL203" i="1"/>
  <c r="AJ203" i="1"/>
  <c r="AH203" i="1"/>
  <c r="AF203" i="1"/>
  <c r="BF202" i="1"/>
  <c r="BD202" i="1"/>
  <c r="BB202" i="1"/>
  <c r="AZ202" i="1"/>
  <c r="AX202" i="1"/>
  <c r="AV202" i="1"/>
  <c r="AT202" i="1"/>
  <c r="AR202" i="1"/>
  <c r="AP202" i="1"/>
  <c r="AN202" i="1"/>
  <c r="AL202" i="1"/>
  <c r="AJ202" i="1"/>
  <c r="AH202" i="1"/>
  <c r="AF202" i="1"/>
  <c r="BF201" i="1"/>
  <c r="BD201" i="1"/>
  <c r="BB201" i="1"/>
  <c r="AZ201" i="1"/>
  <c r="AX201" i="1"/>
  <c r="AV201" i="1"/>
  <c r="AT201" i="1"/>
  <c r="AR201" i="1"/>
  <c r="AP201" i="1"/>
  <c r="AN201" i="1"/>
  <c r="AL201" i="1"/>
  <c r="AJ201" i="1"/>
  <c r="AH201" i="1"/>
  <c r="AF201" i="1"/>
  <c r="BF200" i="1"/>
  <c r="BD200" i="1"/>
  <c r="BB200" i="1"/>
  <c r="AZ200" i="1"/>
  <c r="AX200" i="1"/>
  <c r="AV200" i="1"/>
  <c r="AT200" i="1"/>
  <c r="AR200" i="1"/>
  <c r="AP200" i="1"/>
  <c r="AN200" i="1"/>
  <c r="AL200" i="1"/>
  <c r="AJ200" i="1"/>
  <c r="AH200" i="1"/>
  <c r="AF200" i="1"/>
  <c r="BF199" i="1"/>
  <c r="BD199" i="1"/>
  <c r="BB199" i="1"/>
  <c r="AZ199" i="1"/>
  <c r="AX199" i="1"/>
  <c r="AV199" i="1"/>
  <c r="AT199" i="1"/>
  <c r="AR199" i="1"/>
  <c r="AP199" i="1"/>
  <c r="AN199" i="1"/>
  <c r="AL199" i="1"/>
  <c r="AJ199" i="1"/>
  <c r="AH199" i="1"/>
  <c r="AF199" i="1"/>
  <c r="BF198" i="1"/>
  <c r="BD198" i="1"/>
  <c r="BB198" i="1"/>
  <c r="AZ198" i="1"/>
  <c r="AX198" i="1"/>
  <c r="AV198" i="1"/>
  <c r="AT198" i="1"/>
  <c r="AR198" i="1"/>
  <c r="AP198" i="1"/>
  <c r="AN198" i="1"/>
  <c r="AL198" i="1"/>
  <c r="AJ198" i="1"/>
  <c r="AH198" i="1"/>
  <c r="AF198" i="1"/>
  <c r="BG191" i="1"/>
  <c r="BE191" i="1"/>
  <c r="BC191" i="1"/>
  <c r="BA191" i="1"/>
  <c r="AY191" i="1"/>
  <c r="AW191" i="1"/>
  <c r="AK191" i="1"/>
  <c r="AI191" i="1"/>
  <c r="AG191" i="1"/>
  <c r="D183" i="1" l="1"/>
  <c r="D182" i="1"/>
  <c r="E181" i="1"/>
  <c r="D181" i="1"/>
  <c r="F180" i="1"/>
  <c r="E180" i="1"/>
  <c r="D180" i="1"/>
  <c r="G179" i="1"/>
  <c r="F179" i="1"/>
  <c r="E179" i="1"/>
  <c r="D179" i="1"/>
  <c r="H178" i="1"/>
  <c r="G178" i="1"/>
  <c r="F178" i="1"/>
  <c r="E178" i="1"/>
  <c r="D178" i="1"/>
  <c r="H177" i="1"/>
  <c r="G177" i="1"/>
  <c r="F177" i="1"/>
  <c r="E177" i="1"/>
  <c r="D177" i="1"/>
  <c r="H176" i="1"/>
  <c r="G176" i="1"/>
  <c r="F176" i="1"/>
  <c r="E176" i="1"/>
  <c r="D176" i="1"/>
  <c r="F169" i="1" l="1"/>
  <c r="G169" i="1"/>
  <c r="H169" i="1"/>
  <c r="C169" i="1"/>
  <c r="D169" i="1"/>
  <c r="E169" i="1"/>
  <c r="B204" i="1"/>
  <c r="B203" i="1"/>
  <c r="B202" i="1"/>
  <c r="B201" i="1"/>
  <c r="B200" i="1"/>
  <c r="B199" i="1"/>
  <c r="B198" i="1"/>
  <c r="J174" i="1"/>
  <c r="M3" i="41" l="1"/>
  <c r="C2" i="41" l="1"/>
  <c r="C1" i="41" l="1"/>
  <c r="D1" i="41" s="1"/>
  <c r="E1" i="41" s="1"/>
  <c r="F1" i="41" s="1"/>
  <c r="G1" i="41" s="1"/>
  <c r="H1" i="41" s="1"/>
  <c r="I1" i="41" s="1"/>
  <c r="J1" i="41" s="1"/>
  <c r="K1" i="41" s="1"/>
  <c r="A6" i="41"/>
  <c r="A7" i="41" s="1"/>
  <c r="A8" i="41" s="1"/>
  <c r="A9" i="41" s="1"/>
  <c r="A10" i="41" s="1"/>
  <c r="A11" i="41" s="1"/>
  <c r="A12" i="41" s="1"/>
  <c r="A13" i="41" s="1"/>
  <c r="A14" i="41" s="1"/>
  <c r="A15" i="41" s="1"/>
  <c r="A16" i="41" s="1"/>
  <c r="A17" i="41" s="1"/>
  <c r="A18" i="41" s="1"/>
  <c r="A19" i="41" s="1"/>
  <c r="A20" i="41" s="1"/>
  <c r="A21" i="41" s="1"/>
  <c r="A22" i="41" s="1"/>
  <c r="A23" i="41" s="1"/>
  <c r="A24" i="41" s="1"/>
  <c r="A25" i="41" s="1"/>
  <c r="A26" i="41" s="1"/>
  <c r="A27" i="41" s="1"/>
  <c r="A28" i="41" s="1"/>
  <c r="A29" i="41" s="1"/>
  <c r="A30" i="41" s="1"/>
  <c r="A31" i="41" s="1"/>
  <c r="A32" i="41" s="1"/>
  <c r="A33" i="41" s="1"/>
  <c r="A34" i="41" s="1"/>
  <c r="A35" i="41" s="1"/>
  <c r="A36" i="41" s="1"/>
  <c r="A37" i="41" s="1"/>
  <c r="A38" i="41" s="1"/>
  <c r="A39" i="41" s="1"/>
  <c r="A40" i="41" s="1"/>
  <c r="A41" i="41" s="1"/>
  <c r="A42" i="41" s="1"/>
  <c r="A43" i="41" s="1"/>
  <c r="A44" i="41" s="1"/>
  <c r="A45" i="41" s="1"/>
  <c r="A46" i="41" s="1"/>
  <c r="A47" i="41" s="1"/>
  <c r="A48" i="41" s="1"/>
  <c r="A49" i="41" s="1"/>
  <c r="A50" i="41" s="1"/>
  <c r="A51" i="41" s="1"/>
  <c r="A52" i="41" s="1"/>
  <c r="A53" i="41" s="1"/>
  <c r="A54" i="41" s="1"/>
  <c r="A55" i="41" s="1"/>
  <c r="A56" i="41" s="1"/>
  <c r="A57" i="41" s="1"/>
  <c r="A58" i="41" s="1"/>
  <c r="A59" i="41" s="1"/>
  <c r="A60" i="41" s="1"/>
  <c r="A61" i="41" s="1"/>
  <c r="A62" i="41" s="1"/>
  <c r="A63" i="41" s="1"/>
  <c r="A64" i="41" s="1"/>
  <c r="A65" i="41" s="1"/>
  <c r="A66" i="41" s="1"/>
  <c r="A67" i="41" s="1"/>
  <c r="A68" i="41" s="1"/>
  <c r="A69" i="41" s="1"/>
  <c r="A70" i="41" s="1"/>
  <c r="A71" i="41" s="1"/>
  <c r="A72" i="41" s="1"/>
  <c r="A73" i="41" s="1"/>
  <c r="A74" i="41" s="1"/>
  <c r="A75" i="41" s="1"/>
  <c r="A76" i="41" s="1"/>
  <c r="A77" i="41" s="1"/>
  <c r="A78" i="41" s="1"/>
  <c r="A79" i="41" s="1"/>
  <c r="A80" i="41" s="1"/>
  <c r="A81" i="41" s="1"/>
  <c r="A82" i="41" s="1"/>
  <c r="A83" i="41" s="1"/>
  <c r="A84" i="41" s="1"/>
  <c r="A85" i="41" s="1"/>
  <c r="A86" i="41" s="1"/>
  <c r="A87" i="41" s="1"/>
  <c r="A88" i="41" s="1"/>
  <c r="A89" i="41" s="1"/>
  <c r="A90" i="41" s="1"/>
  <c r="A91" i="41" s="1"/>
  <c r="A92" i="41" s="1"/>
  <c r="A93" i="41" s="1"/>
  <c r="A94" i="41" s="1"/>
  <c r="A95" i="41" s="1"/>
  <c r="A96" i="41" s="1"/>
  <c r="A97" i="41" s="1"/>
  <c r="A98" i="41" s="1"/>
  <c r="A99" i="41" s="1"/>
  <c r="A100" i="41" s="1"/>
  <c r="A101" i="41" s="1"/>
  <c r="A102" i="41" s="1"/>
  <c r="A103" i="41" s="1"/>
  <c r="A104" i="41" s="1"/>
  <c r="A105" i="41" s="1"/>
  <c r="A106" i="41" s="1"/>
  <c r="A107" i="41" s="1"/>
  <c r="A108" i="41" s="1"/>
  <c r="A109" i="41" s="1"/>
  <c r="A110" i="41" s="1"/>
  <c r="A111" i="41" s="1"/>
  <c r="A112" i="41" s="1"/>
  <c r="A113" i="41" s="1"/>
  <c r="A114" i="41" s="1"/>
  <c r="A115" i="41" s="1"/>
  <c r="A116" i="41" s="1"/>
  <c r="A117" i="41" s="1"/>
  <c r="A118" i="41" s="1"/>
  <c r="A119" i="41" s="1"/>
  <c r="A120" i="41" s="1"/>
  <c r="A121" i="41" s="1"/>
  <c r="A122" i="41" s="1"/>
  <c r="A123" i="41" s="1"/>
  <c r="A124" i="41" s="1"/>
  <c r="A125" i="41" s="1"/>
  <c r="A126" i="41" s="1"/>
  <c r="A127" i="41" s="1"/>
  <c r="A128" i="41" s="1"/>
  <c r="A129" i="41" s="1"/>
  <c r="A130" i="41" s="1"/>
  <c r="A131" i="41" s="1"/>
  <c r="A132" i="41" s="1"/>
  <c r="A133" i="41" s="1"/>
  <c r="A134" i="41" s="1"/>
  <c r="A135" i="41" s="1"/>
  <c r="A136" i="41" s="1"/>
  <c r="A137" i="41" s="1"/>
  <c r="A138" i="41" s="1"/>
  <c r="A139" i="41" s="1"/>
  <c r="A140" i="41" s="1"/>
  <c r="A141" i="41" s="1"/>
  <c r="A142" i="41" s="1"/>
  <c r="A143" i="41" s="1"/>
  <c r="A144" i="41" s="1"/>
  <c r="A145" i="41" s="1"/>
  <c r="A146" i="41" s="1"/>
  <c r="A147" i="41" s="1"/>
  <c r="A148" i="41" s="1"/>
  <c r="A149" i="41" s="1"/>
  <c r="A150" i="41" s="1"/>
  <c r="A151" i="41" s="1"/>
  <c r="A152" i="41" s="1"/>
  <c r="A153" i="41" s="1"/>
  <c r="A154" i="41" s="1"/>
  <c r="A155" i="41" s="1"/>
  <c r="A156" i="41" s="1"/>
  <c r="A157" i="41" s="1"/>
  <c r="A158" i="41" s="1"/>
  <c r="A159" i="41" s="1"/>
  <c r="A160" i="41" s="1"/>
  <c r="A161" i="41" s="1"/>
  <c r="A162" i="41" s="1"/>
  <c r="A163" i="41" s="1"/>
  <c r="A164" i="41" s="1"/>
  <c r="A165" i="41" s="1"/>
  <c r="A166" i="41" s="1"/>
  <c r="A167" i="41" s="1"/>
  <c r="A168" i="41" s="1"/>
  <c r="A169" i="41" s="1"/>
  <c r="A170" i="41" s="1"/>
  <c r="A171" i="41" s="1"/>
  <c r="A172" i="41" s="1"/>
  <c r="A173" i="41" s="1"/>
  <c r="A174" i="41" s="1"/>
  <c r="A175" i="41" s="1"/>
  <c r="A176" i="41" s="1"/>
  <c r="A177" i="41" s="1"/>
  <c r="A178" i="41" s="1"/>
  <c r="A179" i="41" s="1"/>
  <c r="A180" i="41" s="1"/>
  <c r="A181" i="41" s="1"/>
  <c r="A182" i="41" s="1"/>
  <c r="A183" i="41" s="1"/>
  <c r="A184" i="41" s="1"/>
  <c r="A185" i="41" s="1"/>
  <c r="A186" i="41" s="1"/>
  <c r="A187" i="41" s="1"/>
  <c r="A188" i="41" s="1"/>
  <c r="A189" i="41" s="1"/>
  <c r="A190" i="41" s="1"/>
  <c r="A191" i="41" s="1"/>
  <c r="A192" i="41" s="1"/>
  <c r="A193" i="41" s="1"/>
  <c r="A194" i="41" s="1"/>
  <c r="A195" i="41" s="1"/>
  <c r="A196" i="41" s="1"/>
  <c r="A197" i="41" s="1"/>
  <c r="A198" i="41" s="1"/>
  <c r="A199" i="41" s="1"/>
  <c r="A200" i="41" s="1"/>
  <c r="A201" i="41" s="1"/>
  <c r="A202" i="41" s="1"/>
  <c r="A203" i="41" s="1"/>
  <c r="A204" i="41" s="1"/>
  <c r="A205" i="41" s="1"/>
  <c r="A206" i="41" s="1"/>
  <c r="A207" i="41" s="1"/>
  <c r="A208" i="41" s="1"/>
  <c r="A209" i="41" s="1"/>
  <c r="A210" i="41" s="1"/>
  <c r="A211" i="41" s="1"/>
  <c r="A212" i="41" s="1"/>
  <c r="A213" i="41" s="1"/>
  <c r="A214" i="41" s="1"/>
  <c r="A215" i="41" s="1"/>
  <c r="A216" i="41" s="1"/>
  <c r="A217" i="41" s="1"/>
  <c r="A218" i="41" s="1"/>
  <c r="A219" i="41" s="1"/>
  <c r="A220" i="41" s="1"/>
  <c r="A221" i="41" s="1"/>
  <c r="A222" i="41" s="1"/>
  <c r="A223" i="41" s="1"/>
  <c r="A224" i="41" s="1"/>
  <c r="A225" i="41" s="1"/>
  <c r="A226" i="41" s="1"/>
  <c r="A227" i="41" s="1"/>
  <c r="A228" i="41" s="1"/>
  <c r="A229" i="41" s="1"/>
  <c r="A230" i="41" s="1"/>
  <c r="A231" i="41" s="1"/>
  <c r="A232" i="41" s="1"/>
  <c r="A233" i="41" s="1"/>
  <c r="A234" i="41" s="1"/>
  <c r="A235" i="41" s="1"/>
  <c r="A236" i="41" s="1"/>
  <c r="A237" i="41" s="1"/>
  <c r="A238" i="41" s="1"/>
  <c r="A239" i="41" s="1"/>
  <c r="A240" i="41" s="1"/>
  <c r="A241" i="41" s="1"/>
  <c r="A242" i="41" s="1"/>
  <c r="A243" i="41" s="1"/>
  <c r="A244" i="41" s="1"/>
  <c r="A245" i="41" s="1"/>
  <c r="A246" i="41" s="1"/>
  <c r="A247" i="41" s="1"/>
  <c r="A248" i="41" s="1"/>
  <c r="A249" i="41" s="1"/>
  <c r="A250" i="41" s="1"/>
  <c r="A251" i="41" s="1"/>
  <c r="A252" i="41" s="1"/>
  <c r="A253" i="41" s="1"/>
  <c r="A254" i="41" s="1"/>
  <c r="A255" i="41" s="1"/>
  <c r="A256" i="41" s="1"/>
  <c r="A257" i="41" s="1"/>
  <c r="A258" i="41" s="1"/>
  <c r="A259" i="41" s="1"/>
  <c r="A260" i="41" s="1"/>
  <c r="A261" i="41" s="1"/>
  <c r="A262" i="41" s="1"/>
  <c r="A263" i="41" s="1"/>
  <c r="A264" i="41" s="1"/>
  <c r="A265" i="41" s="1"/>
  <c r="A266" i="41" s="1"/>
  <c r="A267" i="41" s="1"/>
  <c r="A268" i="41" s="1"/>
  <c r="A269" i="41" s="1"/>
  <c r="A270" i="41" s="1"/>
  <c r="A271" i="41" s="1"/>
  <c r="A272" i="41" s="1"/>
  <c r="A273" i="41" s="1"/>
  <c r="A274" i="41" s="1"/>
  <c r="A275" i="41" s="1"/>
  <c r="A276" i="41" s="1"/>
  <c r="A277" i="41" s="1"/>
  <c r="A278" i="41" s="1"/>
  <c r="A279" i="41" s="1"/>
  <c r="A280" i="41" s="1"/>
  <c r="A281" i="41" s="1"/>
  <c r="A282" i="41" s="1"/>
  <c r="A283" i="41" s="1"/>
  <c r="A284" i="41" s="1"/>
  <c r="A285" i="41" s="1"/>
  <c r="A286" i="41" s="1"/>
  <c r="A287" i="41" s="1"/>
  <c r="A288" i="41" s="1"/>
  <c r="A289" i="41" s="1"/>
  <c r="A290" i="41" s="1"/>
  <c r="A291" i="41" s="1"/>
  <c r="A292" i="41" s="1"/>
  <c r="A293" i="41" s="1"/>
  <c r="A294" i="41" s="1"/>
  <c r="A295" i="41" s="1"/>
  <c r="A296" i="41" s="1"/>
  <c r="A297" i="41" s="1"/>
  <c r="A298" i="41" s="1"/>
  <c r="A299" i="41" s="1"/>
  <c r="A300" i="41" s="1"/>
  <c r="A301" i="41" s="1"/>
  <c r="A302" i="41" s="1"/>
  <c r="A303" i="41" s="1"/>
  <c r="A304" i="41" s="1"/>
  <c r="A305" i="41" s="1"/>
  <c r="A306" i="41" s="1"/>
  <c r="A307" i="41" s="1"/>
  <c r="A308" i="41" s="1"/>
  <c r="A309" i="41" s="1"/>
  <c r="A310" i="41" s="1"/>
  <c r="A311" i="41" s="1"/>
  <c r="A312" i="41" s="1"/>
  <c r="A313" i="41" s="1"/>
  <c r="A314" i="41" s="1"/>
  <c r="A315" i="41" s="1"/>
  <c r="A316" i="41" s="1"/>
  <c r="A317" i="41" s="1"/>
  <c r="A318" i="41" s="1"/>
  <c r="A319" i="41" s="1"/>
  <c r="A320" i="41" s="1"/>
  <c r="A321" i="41" s="1"/>
  <c r="A322" i="41" s="1"/>
  <c r="A323" i="41" s="1"/>
  <c r="A324" i="41" s="1"/>
  <c r="A325" i="41" s="1"/>
  <c r="A326" i="41" s="1"/>
  <c r="A327" i="41" s="1"/>
  <c r="A328" i="41" s="1"/>
  <c r="A329" i="41" s="1"/>
  <c r="A330" i="41" s="1"/>
  <c r="A331" i="41" s="1"/>
  <c r="A332" i="41" s="1"/>
  <c r="A333" i="41" s="1"/>
  <c r="A334" i="41" s="1"/>
  <c r="A335" i="41" s="1"/>
  <c r="A336" i="41" s="1"/>
  <c r="A337" i="41" s="1"/>
  <c r="A338" i="41" s="1"/>
  <c r="A339" i="41" s="1"/>
  <c r="A340" i="41" s="1"/>
  <c r="A341" i="41" s="1"/>
  <c r="A342" i="41" s="1"/>
  <c r="A343" i="41" s="1"/>
  <c r="A344" i="41" s="1"/>
  <c r="A345" i="41" s="1"/>
  <c r="A346" i="41" s="1"/>
  <c r="A347" i="41" s="1"/>
  <c r="A348" i="41" s="1"/>
  <c r="A349" i="41" s="1"/>
  <c r="A350" i="41" s="1"/>
  <c r="A351" i="41" s="1"/>
  <c r="A352" i="41" s="1"/>
  <c r="A353" i="41" s="1"/>
  <c r="A354" i="41" s="1"/>
  <c r="A355" i="41" s="1"/>
  <c r="A356" i="41" s="1"/>
  <c r="A357" i="41" s="1"/>
  <c r="A358" i="41" s="1"/>
  <c r="A359" i="41" s="1"/>
  <c r="A360" i="41" s="1"/>
  <c r="A361" i="41" s="1"/>
  <c r="A362" i="41" s="1"/>
  <c r="A363" i="41" s="1"/>
  <c r="A364" i="41" s="1"/>
  <c r="A365" i="41" s="1"/>
  <c r="A366" i="41" s="1"/>
  <c r="A367" i="41" s="1"/>
  <c r="A368" i="41" s="1"/>
  <c r="A369" i="41" s="1"/>
  <c r="JJ6" i="31" l="1"/>
  <c r="KW6" i="31" l="1"/>
  <c r="DI6" i="31" l="1"/>
  <c r="DI7" i="31" s="1"/>
  <c r="C26" i="1" l="1"/>
  <c r="C31" i="1"/>
  <c r="AE191" i="1" l="1"/>
  <c r="AC191" i="1"/>
  <c r="AA191" i="1"/>
  <c r="Y191" i="1"/>
  <c r="W191" i="1"/>
  <c r="FM6" i="31" l="1"/>
  <c r="C24" i="1" l="1"/>
  <c r="D32" i="1"/>
  <c r="KO6" i="31" l="1"/>
  <c r="KN6" i="31" l="1"/>
  <c r="KP6" i="31" s="1"/>
  <c r="HR6" i="31" s="1"/>
  <c r="D228" i="1" l="1"/>
  <c r="D227" i="1"/>
  <c r="D226" i="1"/>
  <c r="D225" i="1"/>
  <c r="D224" i="1"/>
  <c r="D223" i="1"/>
  <c r="D222" i="1"/>
  <c r="D221" i="1"/>
  <c r="D220" i="1"/>
  <c r="D219" i="1"/>
  <c r="D218" i="1"/>
  <c r="F228" i="1"/>
  <c r="F227" i="1"/>
  <c r="F226" i="1"/>
  <c r="F225" i="1"/>
  <c r="F224" i="1"/>
  <c r="F223" i="1"/>
  <c r="F222" i="1"/>
  <c r="F221" i="1"/>
  <c r="F220" i="1"/>
  <c r="F219" i="1"/>
  <c r="F218" i="1"/>
  <c r="J228" i="1"/>
  <c r="J227" i="1" l="1"/>
  <c r="J226" i="1"/>
  <c r="J225" i="1"/>
  <c r="J224" i="1"/>
  <c r="J223" i="1"/>
  <c r="J222" i="1"/>
  <c r="J221" i="1"/>
  <c r="J220" i="1"/>
  <c r="J219" i="1"/>
  <c r="J218" i="1"/>
  <c r="R5" i="76" l="1"/>
  <c r="R6" i="76" s="1"/>
  <c r="R7" i="76" s="1"/>
  <c r="R8" i="76" s="1"/>
  <c r="R9" i="76" s="1"/>
  <c r="R10" i="76" s="1"/>
  <c r="R11" i="76" s="1"/>
  <c r="R12" i="76" s="1"/>
  <c r="R13" i="76" s="1"/>
  <c r="R14" i="76" s="1"/>
  <c r="R15" i="76" s="1"/>
  <c r="R16" i="76" s="1"/>
  <c r="R17" i="76" s="1"/>
  <c r="R18" i="76" s="1"/>
  <c r="R19" i="76" s="1"/>
  <c r="R20" i="76" s="1"/>
  <c r="R21" i="76" s="1"/>
  <c r="R22" i="76" s="1"/>
  <c r="R23" i="76" s="1"/>
  <c r="R24" i="76" s="1"/>
  <c r="R25" i="76" s="1"/>
  <c r="R26" i="76" s="1"/>
  <c r="R27" i="76" s="1"/>
  <c r="R28" i="76" s="1"/>
  <c r="R29" i="76" s="1"/>
  <c r="R30" i="76" s="1"/>
  <c r="R31" i="76" s="1"/>
  <c r="R32" i="76" s="1"/>
  <c r="R33" i="76" s="1"/>
  <c r="R34" i="76" s="1"/>
  <c r="R35" i="76" s="1"/>
  <c r="R36" i="76" s="1"/>
  <c r="R37" i="76" s="1"/>
  <c r="R38" i="76" s="1"/>
  <c r="R39" i="76" s="1"/>
  <c r="R40" i="76" s="1"/>
  <c r="R41" i="76" s="1"/>
  <c r="R42" i="76" s="1"/>
  <c r="R43" i="76" s="1"/>
  <c r="R44" i="76" s="1"/>
  <c r="R45" i="76" s="1"/>
  <c r="R46" i="76" s="1"/>
  <c r="R47" i="76" s="1"/>
  <c r="R48" i="76" s="1"/>
  <c r="R49" i="76" s="1"/>
  <c r="R50" i="76" s="1"/>
  <c r="R51" i="76" s="1"/>
  <c r="R52" i="76" s="1"/>
  <c r="R53" i="76" s="1"/>
  <c r="R54" i="76" s="1"/>
  <c r="R55" i="76" s="1"/>
  <c r="R56" i="76" s="1"/>
  <c r="R57" i="76" s="1"/>
  <c r="R58" i="76" s="1"/>
  <c r="R59" i="76" s="1"/>
  <c r="R60" i="76" s="1"/>
  <c r="R61" i="76" s="1"/>
  <c r="R62" i="76" s="1"/>
  <c r="R63" i="76" s="1"/>
  <c r="R64" i="76" s="1"/>
  <c r="R65" i="76" s="1"/>
  <c r="R66" i="76" s="1"/>
  <c r="R67" i="76" s="1"/>
  <c r="R68" i="76" s="1"/>
  <c r="R69" i="76" s="1"/>
  <c r="R70" i="76" s="1"/>
  <c r="R71" i="76" s="1"/>
  <c r="R72" i="76" s="1"/>
  <c r="R73" i="76" s="1"/>
  <c r="R74" i="76" s="1"/>
  <c r="R75" i="76" s="1"/>
  <c r="R76" i="76" s="1"/>
  <c r="R77" i="76" s="1"/>
  <c r="R78" i="76" s="1"/>
  <c r="R79" i="76" s="1"/>
  <c r="R80" i="76" s="1"/>
  <c r="R81" i="76" s="1"/>
  <c r="R82" i="76" s="1"/>
  <c r="R83" i="76" s="1"/>
  <c r="R84" i="76" s="1"/>
  <c r="R85" i="76" s="1"/>
  <c r="R86" i="76" s="1"/>
  <c r="R87" i="76" s="1"/>
  <c r="R88" i="76" s="1"/>
  <c r="R89" i="76" s="1"/>
  <c r="R90" i="76" s="1"/>
  <c r="R91" i="76" s="1"/>
  <c r="R92" i="76" s="1"/>
  <c r="R93" i="76" s="1"/>
  <c r="R94" i="76" s="1"/>
  <c r="R95" i="76" s="1"/>
  <c r="R96" i="76" s="1"/>
  <c r="R97" i="76" s="1"/>
  <c r="R98" i="76" s="1"/>
  <c r="R99" i="76" s="1"/>
  <c r="R100" i="76" s="1"/>
  <c r="R101" i="76" s="1"/>
  <c r="R102" i="76" s="1"/>
  <c r="R103" i="76" s="1"/>
  <c r="R104" i="76" s="1"/>
  <c r="R105" i="76" s="1"/>
  <c r="R106" i="76" s="1"/>
  <c r="R107" i="76" s="1"/>
  <c r="R108" i="76" s="1"/>
  <c r="R109" i="76" s="1"/>
  <c r="R110" i="76" s="1"/>
  <c r="R111" i="76" s="1"/>
  <c r="R112" i="76" s="1"/>
  <c r="R113" i="76" s="1"/>
  <c r="R114" i="76" s="1"/>
  <c r="R115" i="76" s="1"/>
  <c r="R116" i="76" s="1"/>
  <c r="R117" i="76" s="1"/>
  <c r="R118" i="76" s="1"/>
  <c r="R119" i="76" s="1"/>
  <c r="R120" i="76" s="1"/>
  <c r="R121" i="76" s="1"/>
  <c r="R122" i="76" s="1"/>
  <c r="R123" i="76" s="1"/>
  <c r="R124" i="76" s="1"/>
  <c r="R125" i="76" s="1"/>
  <c r="R126" i="76" s="1"/>
  <c r="R127" i="76" s="1"/>
  <c r="R128" i="76" s="1"/>
  <c r="R129" i="76" s="1"/>
  <c r="R130" i="76" s="1"/>
  <c r="R131" i="76" s="1"/>
  <c r="R132" i="76" s="1"/>
  <c r="R133" i="76" s="1"/>
  <c r="R134" i="76" s="1"/>
  <c r="R135" i="76" s="1"/>
  <c r="R136" i="76" s="1"/>
  <c r="R137" i="76" s="1"/>
  <c r="R138" i="76" s="1"/>
  <c r="R139" i="76" s="1"/>
  <c r="R140" i="76" s="1"/>
  <c r="R141" i="76" s="1"/>
  <c r="R142" i="76" s="1"/>
  <c r="R143" i="76" s="1"/>
  <c r="R144" i="76" s="1"/>
  <c r="R145" i="76" s="1"/>
  <c r="R146" i="76" s="1"/>
  <c r="R147" i="76" s="1"/>
  <c r="R148" i="76" s="1"/>
  <c r="R149" i="76" s="1"/>
  <c r="R150" i="76" s="1"/>
  <c r="R151" i="76" s="1"/>
  <c r="R152" i="76" s="1"/>
  <c r="R153" i="76" s="1"/>
  <c r="R154" i="76" s="1"/>
  <c r="R155" i="76" s="1"/>
  <c r="R156" i="76" s="1"/>
  <c r="R157" i="76" s="1"/>
  <c r="R158" i="76" s="1"/>
  <c r="R159" i="76" s="1"/>
  <c r="R160" i="76" s="1"/>
  <c r="R161" i="76" s="1"/>
  <c r="R162" i="76" s="1"/>
  <c r="R163" i="76" s="1"/>
  <c r="R164" i="76" s="1"/>
  <c r="R165" i="76" s="1"/>
  <c r="R166" i="76" s="1"/>
  <c r="R167" i="76" s="1"/>
  <c r="R168" i="76" s="1"/>
  <c r="R169" i="76" s="1"/>
  <c r="R170" i="76" s="1"/>
  <c r="R171" i="76" s="1"/>
  <c r="R172" i="76" s="1"/>
  <c r="R173" i="76" s="1"/>
  <c r="R174" i="76" s="1"/>
  <c r="R175" i="76" s="1"/>
  <c r="R176" i="76" s="1"/>
  <c r="R177" i="76" s="1"/>
  <c r="R178" i="76" s="1"/>
  <c r="R179" i="76" s="1"/>
  <c r="R180" i="76" s="1"/>
  <c r="R181" i="76" s="1"/>
  <c r="R182" i="76" s="1"/>
  <c r="R183" i="76" s="1"/>
  <c r="R184" i="76" s="1"/>
  <c r="R185" i="76" s="1"/>
  <c r="R186" i="76" s="1"/>
  <c r="R187" i="76" s="1"/>
  <c r="R188" i="76" s="1"/>
  <c r="R189" i="76" s="1"/>
  <c r="R190" i="76" s="1"/>
  <c r="R191" i="76" s="1"/>
  <c r="R192" i="76" s="1"/>
  <c r="R193" i="76" s="1"/>
  <c r="R194" i="76" s="1"/>
  <c r="R195" i="76" s="1"/>
  <c r="R196" i="76" s="1"/>
  <c r="R197" i="76" s="1"/>
  <c r="R198" i="76" s="1"/>
  <c r="R199" i="76" s="1"/>
  <c r="R200" i="76" s="1"/>
  <c r="R201" i="76" s="1"/>
  <c r="R202" i="76" s="1"/>
  <c r="R203" i="76" s="1"/>
  <c r="R204" i="76" s="1"/>
  <c r="R205" i="76" s="1"/>
  <c r="R206" i="76" s="1"/>
  <c r="R207" i="76" s="1"/>
  <c r="R208" i="76" s="1"/>
  <c r="R209" i="76" s="1"/>
  <c r="R210" i="76" s="1"/>
  <c r="R211" i="76" s="1"/>
  <c r="R212" i="76" s="1"/>
  <c r="R213" i="76" s="1"/>
  <c r="R214" i="76" s="1"/>
  <c r="R215" i="76" s="1"/>
  <c r="R216" i="76" s="1"/>
  <c r="R217" i="76" s="1"/>
  <c r="R218" i="76" s="1"/>
  <c r="R219" i="76" s="1"/>
  <c r="R220" i="76" s="1"/>
  <c r="R221" i="76" s="1"/>
  <c r="R222" i="76" s="1"/>
  <c r="R223" i="76" s="1"/>
  <c r="R224" i="76" s="1"/>
  <c r="R225" i="76" s="1"/>
  <c r="R226" i="76" s="1"/>
  <c r="R227" i="76" s="1"/>
  <c r="R228" i="76" s="1"/>
  <c r="R229" i="76" s="1"/>
  <c r="R230" i="76" s="1"/>
  <c r="R231" i="76" s="1"/>
  <c r="R232" i="76" s="1"/>
  <c r="R233" i="76" s="1"/>
  <c r="R234" i="76" s="1"/>
  <c r="R235" i="76" s="1"/>
  <c r="R236" i="76" s="1"/>
  <c r="R237" i="76" s="1"/>
  <c r="R238" i="76" s="1"/>
  <c r="R239" i="76" s="1"/>
  <c r="R240" i="76" s="1"/>
  <c r="R241" i="76" s="1"/>
  <c r="R242" i="76" s="1"/>
  <c r="R243" i="76" s="1"/>
  <c r="R244" i="76" s="1"/>
  <c r="R245" i="76" s="1"/>
  <c r="R246" i="76" s="1"/>
  <c r="R247" i="76" s="1"/>
  <c r="R248" i="76" s="1"/>
  <c r="R249" i="76" s="1"/>
  <c r="R250" i="76" s="1"/>
  <c r="R251" i="76" s="1"/>
  <c r="R252" i="76" s="1"/>
  <c r="R253" i="76" s="1"/>
  <c r="R254" i="76" s="1"/>
  <c r="R255" i="76" s="1"/>
  <c r="R256" i="76" s="1"/>
  <c r="R257" i="76" s="1"/>
  <c r="R258" i="76" s="1"/>
  <c r="R259" i="76" s="1"/>
  <c r="R260" i="76" s="1"/>
  <c r="R261" i="76" s="1"/>
  <c r="R262" i="76" s="1"/>
  <c r="R263" i="76" s="1"/>
  <c r="R264" i="76" s="1"/>
  <c r="R265" i="76" s="1"/>
  <c r="R266" i="76" s="1"/>
  <c r="R267" i="76" s="1"/>
  <c r="R268" i="76" s="1"/>
  <c r="R269" i="76" s="1"/>
  <c r="R270" i="76" s="1"/>
  <c r="R271" i="76" s="1"/>
  <c r="R272" i="76" s="1"/>
  <c r="R273" i="76" s="1"/>
  <c r="R274" i="76" s="1"/>
  <c r="R275" i="76" s="1"/>
  <c r="R276" i="76" s="1"/>
  <c r="R277" i="76" s="1"/>
  <c r="R278" i="76" s="1"/>
  <c r="R279" i="76" s="1"/>
  <c r="R280" i="76" s="1"/>
  <c r="R281" i="76" s="1"/>
  <c r="R282" i="76" s="1"/>
  <c r="R283" i="76" s="1"/>
  <c r="R284" i="76" s="1"/>
  <c r="R285" i="76" s="1"/>
  <c r="R286" i="76" s="1"/>
  <c r="R287" i="76" s="1"/>
  <c r="R288" i="76" s="1"/>
  <c r="R289" i="76" s="1"/>
  <c r="R290" i="76" s="1"/>
  <c r="R291" i="76" s="1"/>
  <c r="R292" i="76" s="1"/>
  <c r="R293" i="76" s="1"/>
  <c r="R294" i="76" s="1"/>
  <c r="R295" i="76" s="1"/>
  <c r="R296" i="76" s="1"/>
  <c r="R297" i="76" s="1"/>
  <c r="R298" i="76" s="1"/>
  <c r="R299" i="76" s="1"/>
  <c r="R300" i="76" s="1"/>
  <c r="R301" i="76" s="1"/>
  <c r="R302" i="76" s="1"/>
  <c r="R303" i="76" s="1"/>
  <c r="R304" i="76" s="1"/>
  <c r="R305" i="76" s="1"/>
  <c r="R306" i="76" s="1"/>
  <c r="R307" i="76" s="1"/>
  <c r="R308" i="76" s="1"/>
  <c r="R309" i="76" s="1"/>
  <c r="R310" i="76" s="1"/>
  <c r="R311" i="76" s="1"/>
  <c r="R312" i="76" s="1"/>
  <c r="R313" i="76" s="1"/>
  <c r="R314" i="76" s="1"/>
  <c r="R315" i="76" s="1"/>
  <c r="R316" i="76" s="1"/>
  <c r="R317" i="76" s="1"/>
  <c r="R318" i="76" s="1"/>
  <c r="R319" i="76" s="1"/>
  <c r="R320" i="76" s="1"/>
  <c r="R321" i="76" s="1"/>
  <c r="R322" i="76" s="1"/>
  <c r="R323" i="76" s="1"/>
  <c r="R324" i="76" s="1"/>
  <c r="R325" i="76" s="1"/>
  <c r="R326" i="76" s="1"/>
  <c r="R327" i="76" s="1"/>
  <c r="R328" i="76" s="1"/>
  <c r="R329" i="76" s="1"/>
  <c r="R330" i="76" s="1"/>
  <c r="R331" i="76" s="1"/>
  <c r="R332" i="76" s="1"/>
  <c r="R333" i="76" s="1"/>
  <c r="R334" i="76" s="1"/>
  <c r="R335" i="76" s="1"/>
  <c r="R336" i="76" s="1"/>
  <c r="R337" i="76" s="1"/>
  <c r="R338" i="76" s="1"/>
  <c r="R339" i="76" s="1"/>
  <c r="R340" i="76" s="1"/>
  <c r="R341" i="76" s="1"/>
  <c r="R342" i="76" s="1"/>
  <c r="R343" i="76" s="1"/>
  <c r="R344" i="76" s="1"/>
  <c r="R345" i="76" s="1"/>
  <c r="R346" i="76" s="1"/>
  <c r="R347" i="76" s="1"/>
  <c r="R348" i="76" s="1"/>
  <c r="R349" i="76" s="1"/>
  <c r="R350" i="76" s="1"/>
  <c r="R351" i="76" s="1"/>
  <c r="R352" i="76" s="1"/>
  <c r="R353" i="76" s="1"/>
  <c r="R354" i="76" s="1"/>
  <c r="R355" i="76" s="1"/>
  <c r="R356" i="76" s="1"/>
  <c r="R357" i="76" s="1"/>
  <c r="R358" i="76" s="1"/>
  <c r="R359" i="76" s="1"/>
  <c r="R360" i="76" s="1"/>
  <c r="R361" i="76" s="1"/>
  <c r="R362" i="76" s="1"/>
  <c r="R363" i="76" s="1"/>
  <c r="R364" i="76" s="1"/>
  <c r="R365" i="76" s="1"/>
  <c r="R366" i="76" s="1"/>
  <c r="R367" i="76" s="1"/>
  <c r="R368" i="76" s="1"/>
  <c r="R369" i="76" s="1"/>
  <c r="P5" i="76"/>
  <c r="P6" i="76" s="1"/>
  <c r="P7" i="76" s="1"/>
  <c r="P8" i="76" s="1"/>
  <c r="P9" i="76" s="1"/>
  <c r="P10" i="76" s="1"/>
  <c r="P11" i="76" s="1"/>
  <c r="P12" i="76" s="1"/>
  <c r="P13" i="76" s="1"/>
  <c r="P14" i="76" s="1"/>
  <c r="P15" i="76" s="1"/>
  <c r="P16" i="76" s="1"/>
  <c r="P17" i="76" s="1"/>
  <c r="P18" i="76" s="1"/>
  <c r="P19" i="76" s="1"/>
  <c r="P20" i="76" s="1"/>
  <c r="P21" i="76" s="1"/>
  <c r="P22" i="76" s="1"/>
  <c r="P23" i="76" s="1"/>
  <c r="P24" i="76" s="1"/>
  <c r="P25" i="76" s="1"/>
  <c r="P26" i="76" s="1"/>
  <c r="P27" i="76" s="1"/>
  <c r="P28" i="76" s="1"/>
  <c r="P29" i="76" s="1"/>
  <c r="P30" i="76" s="1"/>
  <c r="P31" i="76" s="1"/>
  <c r="P32" i="76" s="1"/>
  <c r="P33" i="76" s="1"/>
  <c r="P34" i="76" s="1"/>
  <c r="P35" i="76" s="1"/>
  <c r="P36" i="76" s="1"/>
  <c r="P37" i="76" s="1"/>
  <c r="P38" i="76" s="1"/>
  <c r="P39" i="76" s="1"/>
  <c r="P40" i="76" s="1"/>
  <c r="P41" i="76" s="1"/>
  <c r="P42" i="76" s="1"/>
  <c r="P43" i="76" s="1"/>
  <c r="P44" i="76" s="1"/>
  <c r="P45" i="76" s="1"/>
  <c r="P46" i="76" s="1"/>
  <c r="P47" i="76" s="1"/>
  <c r="P48" i="76" s="1"/>
  <c r="P49" i="76" s="1"/>
  <c r="P50" i="76" s="1"/>
  <c r="P51" i="76" s="1"/>
  <c r="P52" i="76" s="1"/>
  <c r="P53" i="76" s="1"/>
  <c r="P54" i="76" s="1"/>
  <c r="P55" i="76" s="1"/>
  <c r="P56" i="76" s="1"/>
  <c r="P57" i="76" s="1"/>
  <c r="P58" i="76" s="1"/>
  <c r="P59" i="76" s="1"/>
  <c r="P60" i="76" s="1"/>
  <c r="P61" i="76" s="1"/>
  <c r="P62" i="76" s="1"/>
  <c r="P63" i="76" s="1"/>
  <c r="P64" i="76" s="1"/>
  <c r="P65" i="76" s="1"/>
  <c r="P66" i="76" s="1"/>
  <c r="P67" i="76" s="1"/>
  <c r="P68" i="76" s="1"/>
  <c r="P69" i="76" s="1"/>
  <c r="P70" i="76" s="1"/>
  <c r="P71" i="76" s="1"/>
  <c r="P72" i="76" s="1"/>
  <c r="P73" i="76" s="1"/>
  <c r="P74" i="76" s="1"/>
  <c r="P75" i="76" s="1"/>
  <c r="P76" i="76" s="1"/>
  <c r="P77" i="76" s="1"/>
  <c r="P78" i="76" s="1"/>
  <c r="P79" i="76" s="1"/>
  <c r="P80" i="76" s="1"/>
  <c r="P81" i="76" s="1"/>
  <c r="P82" i="76" s="1"/>
  <c r="P83" i="76" s="1"/>
  <c r="P84" i="76" s="1"/>
  <c r="P85" i="76" s="1"/>
  <c r="P86" i="76" s="1"/>
  <c r="P87" i="76" s="1"/>
  <c r="P88" i="76" s="1"/>
  <c r="P89" i="76" s="1"/>
  <c r="P90" i="76" s="1"/>
  <c r="P91" i="76" s="1"/>
  <c r="P92" i="76" s="1"/>
  <c r="P93" i="76" s="1"/>
  <c r="P94" i="76" s="1"/>
  <c r="P95" i="76" s="1"/>
  <c r="P96" i="76" s="1"/>
  <c r="P97" i="76" s="1"/>
  <c r="P98" i="76" s="1"/>
  <c r="P99" i="76" s="1"/>
  <c r="P100" i="76" s="1"/>
  <c r="P101" i="76" s="1"/>
  <c r="P102" i="76" s="1"/>
  <c r="P103" i="76" s="1"/>
  <c r="P104" i="76" s="1"/>
  <c r="P105" i="76" s="1"/>
  <c r="P106" i="76" s="1"/>
  <c r="P107" i="76" s="1"/>
  <c r="P108" i="76" s="1"/>
  <c r="P109" i="76" s="1"/>
  <c r="P110" i="76" s="1"/>
  <c r="P111" i="76" s="1"/>
  <c r="P112" i="76" s="1"/>
  <c r="P113" i="76" s="1"/>
  <c r="P114" i="76" s="1"/>
  <c r="P115" i="76" s="1"/>
  <c r="P116" i="76" s="1"/>
  <c r="P117" i="76" s="1"/>
  <c r="P118" i="76" s="1"/>
  <c r="P119" i="76" s="1"/>
  <c r="P120" i="76" s="1"/>
  <c r="P121" i="76" s="1"/>
  <c r="P122" i="76" s="1"/>
  <c r="P123" i="76" s="1"/>
  <c r="P124" i="76" s="1"/>
  <c r="P125" i="76" s="1"/>
  <c r="P126" i="76" s="1"/>
  <c r="P127" i="76" s="1"/>
  <c r="P128" i="76" s="1"/>
  <c r="P129" i="76" s="1"/>
  <c r="P130" i="76" s="1"/>
  <c r="P131" i="76" s="1"/>
  <c r="P132" i="76" s="1"/>
  <c r="P133" i="76" s="1"/>
  <c r="P134" i="76" s="1"/>
  <c r="P135" i="76" s="1"/>
  <c r="P136" i="76" s="1"/>
  <c r="P137" i="76" s="1"/>
  <c r="P138" i="76" s="1"/>
  <c r="P139" i="76" s="1"/>
  <c r="P140" i="76" s="1"/>
  <c r="P141" i="76" s="1"/>
  <c r="P142" i="76" s="1"/>
  <c r="P143" i="76" s="1"/>
  <c r="P144" i="76" s="1"/>
  <c r="P145" i="76" s="1"/>
  <c r="P146" i="76" s="1"/>
  <c r="P147" i="76" s="1"/>
  <c r="P148" i="76" s="1"/>
  <c r="P149" i="76" s="1"/>
  <c r="P150" i="76" s="1"/>
  <c r="P151" i="76" s="1"/>
  <c r="P152" i="76" s="1"/>
  <c r="P153" i="76" s="1"/>
  <c r="P154" i="76" s="1"/>
  <c r="P155" i="76" s="1"/>
  <c r="P156" i="76" s="1"/>
  <c r="P157" i="76" s="1"/>
  <c r="P158" i="76" s="1"/>
  <c r="P159" i="76" s="1"/>
  <c r="P160" i="76" s="1"/>
  <c r="P161" i="76" s="1"/>
  <c r="P162" i="76" s="1"/>
  <c r="P163" i="76" s="1"/>
  <c r="P164" i="76" s="1"/>
  <c r="P165" i="76" s="1"/>
  <c r="P166" i="76" s="1"/>
  <c r="P167" i="76" s="1"/>
  <c r="P168" i="76" s="1"/>
  <c r="P169" i="76" s="1"/>
  <c r="P170" i="76" s="1"/>
  <c r="P171" i="76" s="1"/>
  <c r="P172" i="76" s="1"/>
  <c r="P173" i="76" s="1"/>
  <c r="P174" i="76" s="1"/>
  <c r="P175" i="76" s="1"/>
  <c r="P176" i="76" s="1"/>
  <c r="P177" i="76" s="1"/>
  <c r="P178" i="76" s="1"/>
  <c r="P179" i="76" s="1"/>
  <c r="P180" i="76" s="1"/>
  <c r="P181" i="76" s="1"/>
  <c r="P182" i="76" s="1"/>
  <c r="P183" i="76" s="1"/>
  <c r="P184" i="76" s="1"/>
  <c r="P185" i="76" s="1"/>
  <c r="P186" i="76" s="1"/>
  <c r="P187" i="76" s="1"/>
  <c r="P188" i="76" s="1"/>
  <c r="P189" i="76" s="1"/>
  <c r="P190" i="76" s="1"/>
  <c r="P191" i="76" s="1"/>
  <c r="P192" i="76" s="1"/>
  <c r="P193" i="76" s="1"/>
  <c r="P194" i="76" s="1"/>
  <c r="P195" i="76" s="1"/>
  <c r="P196" i="76" s="1"/>
  <c r="P197" i="76" s="1"/>
  <c r="P198" i="76" s="1"/>
  <c r="P199" i="76" s="1"/>
  <c r="P200" i="76" s="1"/>
  <c r="P201" i="76" s="1"/>
  <c r="P202" i="76" s="1"/>
  <c r="P203" i="76" s="1"/>
  <c r="P204" i="76" s="1"/>
  <c r="P205" i="76" s="1"/>
  <c r="P206" i="76" s="1"/>
  <c r="P207" i="76" s="1"/>
  <c r="P208" i="76" s="1"/>
  <c r="P209" i="76" s="1"/>
  <c r="P210" i="76" s="1"/>
  <c r="P211" i="76" s="1"/>
  <c r="P212" i="76" s="1"/>
  <c r="P213" i="76" s="1"/>
  <c r="P214" i="76" s="1"/>
  <c r="P215" i="76" s="1"/>
  <c r="P216" i="76" s="1"/>
  <c r="P217" i="76" s="1"/>
  <c r="P218" i="76" s="1"/>
  <c r="P219" i="76" s="1"/>
  <c r="P220" i="76" s="1"/>
  <c r="P221" i="76" s="1"/>
  <c r="P222" i="76" s="1"/>
  <c r="P223" i="76" s="1"/>
  <c r="P224" i="76" s="1"/>
  <c r="P225" i="76" s="1"/>
  <c r="P226" i="76" s="1"/>
  <c r="P227" i="76" s="1"/>
  <c r="P228" i="76" s="1"/>
  <c r="P229" i="76" s="1"/>
  <c r="P230" i="76" s="1"/>
  <c r="P231" i="76" s="1"/>
  <c r="P232" i="76" s="1"/>
  <c r="P233" i="76" s="1"/>
  <c r="P234" i="76" s="1"/>
  <c r="P235" i="76" s="1"/>
  <c r="P236" i="76" s="1"/>
  <c r="P237" i="76" s="1"/>
  <c r="P238" i="76" s="1"/>
  <c r="P239" i="76" s="1"/>
  <c r="P240" i="76" s="1"/>
  <c r="P241" i="76" s="1"/>
  <c r="P242" i="76" s="1"/>
  <c r="P243" i="76" s="1"/>
  <c r="P244" i="76" s="1"/>
  <c r="P245" i="76" s="1"/>
  <c r="P246" i="76" s="1"/>
  <c r="P247" i="76" s="1"/>
  <c r="P248" i="76" s="1"/>
  <c r="P249" i="76" s="1"/>
  <c r="P250" i="76" s="1"/>
  <c r="P251" i="76" s="1"/>
  <c r="P252" i="76" s="1"/>
  <c r="P253" i="76" s="1"/>
  <c r="P254" i="76" s="1"/>
  <c r="P255" i="76" s="1"/>
  <c r="P256" i="76" s="1"/>
  <c r="P257" i="76" s="1"/>
  <c r="P258" i="76" s="1"/>
  <c r="P259" i="76" s="1"/>
  <c r="P260" i="76" s="1"/>
  <c r="P261" i="76" s="1"/>
  <c r="P262" i="76" s="1"/>
  <c r="P263" i="76" s="1"/>
  <c r="P264" i="76" s="1"/>
  <c r="P265" i="76" s="1"/>
  <c r="P266" i="76" s="1"/>
  <c r="P267" i="76" s="1"/>
  <c r="P268" i="76" s="1"/>
  <c r="P269" i="76" s="1"/>
  <c r="P270" i="76" s="1"/>
  <c r="P271" i="76" s="1"/>
  <c r="P272" i="76" s="1"/>
  <c r="P273" i="76" s="1"/>
  <c r="P274" i="76" s="1"/>
  <c r="P275" i="76" s="1"/>
  <c r="P276" i="76" s="1"/>
  <c r="P277" i="76" s="1"/>
  <c r="P278" i="76" s="1"/>
  <c r="P279" i="76" s="1"/>
  <c r="P280" i="76" s="1"/>
  <c r="P281" i="76" s="1"/>
  <c r="P282" i="76" s="1"/>
  <c r="P283" i="76" s="1"/>
  <c r="P284" i="76" s="1"/>
  <c r="P285" i="76" s="1"/>
  <c r="P286" i="76" s="1"/>
  <c r="P287" i="76" s="1"/>
  <c r="P288" i="76" s="1"/>
  <c r="P289" i="76" s="1"/>
  <c r="P290" i="76" s="1"/>
  <c r="P291" i="76" s="1"/>
  <c r="P292" i="76" s="1"/>
  <c r="P293" i="76" s="1"/>
  <c r="P294" i="76" s="1"/>
  <c r="P295" i="76" s="1"/>
  <c r="P296" i="76" s="1"/>
  <c r="P297" i="76" s="1"/>
  <c r="P298" i="76" s="1"/>
  <c r="P299" i="76" s="1"/>
  <c r="P300" i="76" s="1"/>
  <c r="P301" i="76" s="1"/>
  <c r="P302" i="76" s="1"/>
  <c r="P303" i="76" s="1"/>
  <c r="P304" i="76" s="1"/>
  <c r="P305" i="76" s="1"/>
  <c r="P306" i="76" s="1"/>
  <c r="P307" i="76" s="1"/>
  <c r="P308" i="76" s="1"/>
  <c r="P309" i="76" s="1"/>
  <c r="P310" i="76" s="1"/>
  <c r="P311" i="76" s="1"/>
  <c r="P312" i="76" s="1"/>
  <c r="P313" i="76" s="1"/>
  <c r="P314" i="76" s="1"/>
  <c r="P315" i="76" s="1"/>
  <c r="P316" i="76" s="1"/>
  <c r="P317" i="76" s="1"/>
  <c r="P318" i="76" s="1"/>
  <c r="P319" i="76" s="1"/>
  <c r="P320" i="76" s="1"/>
  <c r="P321" i="76" s="1"/>
  <c r="P322" i="76" s="1"/>
  <c r="P323" i="76" s="1"/>
  <c r="P324" i="76" s="1"/>
  <c r="P325" i="76" s="1"/>
  <c r="P326" i="76" s="1"/>
  <c r="P327" i="76" s="1"/>
  <c r="P328" i="76" s="1"/>
  <c r="P329" i="76" s="1"/>
  <c r="P330" i="76" s="1"/>
  <c r="P331" i="76" s="1"/>
  <c r="P332" i="76" s="1"/>
  <c r="P333" i="76" s="1"/>
  <c r="P334" i="76" s="1"/>
  <c r="P335" i="76" s="1"/>
  <c r="P336" i="76" s="1"/>
  <c r="P337" i="76" s="1"/>
  <c r="P338" i="76" s="1"/>
  <c r="P339" i="76" s="1"/>
  <c r="P340" i="76" s="1"/>
  <c r="P341" i="76" s="1"/>
  <c r="P342" i="76" s="1"/>
  <c r="P343" i="76" s="1"/>
  <c r="P344" i="76" s="1"/>
  <c r="P345" i="76" s="1"/>
  <c r="P346" i="76" s="1"/>
  <c r="P347" i="76" s="1"/>
  <c r="P348" i="76" s="1"/>
  <c r="P349" i="76" s="1"/>
  <c r="P350" i="76" s="1"/>
  <c r="P351" i="76" s="1"/>
  <c r="P352" i="76" s="1"/>
  <c r="P353" i="76" s="1"/>
  <c r="P354" i="76" s="1"/>
  <c r="P355" i="76" s="1"/>
  <c r="P356" i="76" s="1"/>
  <c r="P357" i="76" s="1"/>
  <c r="P358" i="76" s="1"/>
  <c r="P359" i="76" s="1"/>
  <c r="P360" i="76" s="1"/>
  <c r="P361" i="76" s="1"/>
  <c r="P362" i="76" s="1"/>
  <c r="P363" i="76" s="1"/>
  <c r="P364" i="76" s="1"/>
  <c r="P365" i="76" s="1"/>
  <c r="P366" i="76" s="1"/>
  <c r="P367" i="76" s="1"/>
  <c r="P368" i="76" s="1"/>
  <c r="P369" i="76" s="1"/>
  <c r="N5" i="76" l="1"/>
  <c r="N6" i="76" s="1"/>
  <c r="N7" i="76" s="1"/>
  <c r="N8" i="76" s="1"/>
  <c r="N9" i="76" s="1"/>
  <c r="N10" i="76" s="1"/>
  <c r="N11" i="76" s="1"/>
  <c r="N12" i="76" s="1"/>
  <c r="N13" i="76" s="1"/>
  <c r="N14" i="76" s="1"/>
  <c r="N15" i="76" s="1"/>
  <c r="N16" i="76" s="1"/>
  <c r="N17" i="76" s="1"/>
  <c r="N18" i="76" s="1"/>
  <c r="N19" i="76" s="1"/>
  <c r="N20" i="76" s="1"/>
  <c r="N21" i="76" s="1"/>
  <c r="N22" i="76" s="1"/>
  <c r="N23" i="76" s="1"/>
  <c r="N24" i="76" s="1"/>
  <c r="N25" i="76" s="1"/>
  <c r="N26" i="76" s="1"/>
  <c r="N27" i="76" s="1"/>
  <c r="N28" i="76" s="1"/>
  <c r="N29" i="76" s="1"/>
  <c r="N30" i="76" s="1"/>
  <c r="N31" i="76" s="1"/>
  <c r="N32" i="76" s="1"/>
  <c r="N33" i="76" s="1"/>
  <c r="N34" i="76" s="1"/>
  <c r="N35" i="76" s="1"/>
  <c r="N36" i="76" s="1"/>
  <c r="N37" i="76" s="1"/>
  <c r="N38" i="76" s="1"/>
  <c r="N39" i="76" s="1"/>
  <c r="N40" i="76" s="1"/>
  <c r="N41" i="76" s="1"/>
  <c r="N42" i="76" s="1"/>
  <c r="N43" i="76" s="1"/>
  <c r="N44" i="76" s="1"/>
  <c r="N45" i="76" s="1"/>
  <c r="N46" i="76" s="1"/>
  <c r="N47" i="76" s="1"/>
  <c r="N48" i="76" s="1"/>
  <c r="N49" i="76" s="1"/>
  <c r="N50" i="76" s="1"/>
  <c r="N51" i="76" s="1"/>
  <c r="N52" i="76" s="1"/>
  <c r="N53" i="76" s="1"/>
  <c r="N54" i="76" s="1"/>
  <c r="N55" i="76" s="1"/>
  <c r="N56" i="76" s="1"/>
  <c r="N57" i="76" s="1"/>
  <c r="N58" i="76" s="1"/>
  <c r="N59" i="76" s="1"/>
  <c r="N60" i="76" s="1"/>
  <c r="N61" i="76" s="1"/>
  <c r="N62" i="76" s="1"/>
  <c r="N63" i="76" s="1"/>
  <c r="N64" i="76" s="1"/>
  <c r="N65" i="76" s="1"/>
  <c r="N66" i="76" s="1"/>
  <c r="N67" i="76" s="1"/>
  <c r="N68" i="76" s="1"/>
  <c r="N69" i="76" s="1"/>
  <c r="N70" i="76" s="1"/>
  <c r="N71" i="76" s="1"/>
  <c r="N72" i="76" s="1"/>
  <c r="N73" i="76" s="1"/>
  <c r="N74" i="76" s="1"/>
  <c r="N75" i="76" s="1"/>
  <c r="N76" i="76" s="1"/>
  <c r="N77" i="76" s="1"/>
  <c r="N78" i="76" s="1"/>
  <c r="N79" i="76" s="1"/>
  <c r="N80" i="76" s="1"/>
  <c r="N81" i="76" s="1"/>
  <c r="N82" i="76" s="1"/>
  <c r="N83" i="76" s="1"/>
  <c r="N84" i="76" s="1"/>
  <c r="N85" i="76" s="1"/>
  <c r="N86" i="76" s="1"/>
  <c r="N87" i="76" s="1"/>
  <c r="N88" i="76" s="1"/>
  <c r="N89" i="76" s="1"/>
  <c r="N90" i="76" s="1"/>
  <c r="N91" i="76" s="1"/>
  <c r="N92" i="76" s="1"/>
  <c r="N93" i="76" s="1"/>
  <c r="N94" i="76" s="1"/>
  <c r="N95" i="76" s="1"/>
  <c r="N96" i="76" s="1"/>
  <c r="N97" i="76" s="1"/>
  <c r="N98" i="76" s="1"/>
  <c r="N99" i="76" s="1"/>
  <c r="N100" i="76" s="1"/>
  <c r="N101" i="76" s="1"/>
  <c r="N102" i="76" s="1"/>
  <c r="N103" i="76" s="1"/>
  <c r="N104" i="76" s="1"/>
  <c r="N105" i="76" s="1"/>
  <c r="N106" i="76" s="1"/>
  <c r="N107" i="76" s="1"/>
  <c r="N108" i="76" s="1"/>
  <c r="N109" i="76" s="1"/>
  <c r="N110" i="76" s="1"/>
  <c r="N111" i="76" s="1"/>
  <c r="N112" i="76" s="1"/>
  <c r="N113" i="76" s="1"/>
  <c r="N114" i="76" s="1"/>
  <c r="N115" i="76" s="1"/>
  <c r="N116" i="76" s="1"/>
  <c r="N117" i="76" s="1"/>
  <c r="N118" i="76" s="1"/>
  <c r="N119" i="76" s="1"/>
  <c r="N120" i="76" s="1"/>
  <c r="N121" i="76" s="1"/>
  <c r="N122" i="76" s="1"/>
  <c r="N123" i="76" s="1"/>
  <c r="N124" i="76" s="1"/>
  <c r="N125" i="76" s="1"/>
  <c r="N126" i="76" s="1"/>
  <c r="N127" i="76" s="1"/>
  <c r="N128" i="76" s="1"/>
  <c r="N129" i="76" s="1"/>
  <c r="N130" i="76" s="1"/>
  <c r="N131" i="76" s="1"/>
  <c r="N132" i="76" s="1"/>
  <c r="N133" i="76" s="1"/>
  <c r="N134" i="76" s="1"/>
  <c r="N135" i="76" s="1"/>
  <c r="N136" i="76" s="1"/>
  <c r="N137" i="76" s="1"/>
  <c r="N138" i="76" s="1"/>
  <c r="N139" i="76" s="1"/>
  <c r="N140" i="76" s="1"/>
  <c r="N141" i="76" s="1"/>
  <c r="N142" i="76" s="1"/>
  <c r="N143" i="76" s="1"/>
  <c r="N144" i="76" s="1"/>
  <c r="N145" i="76" s="1"/>
  <c r="N146" i="76" s="1"/>
  <c r="N147" i="76" s="1"/>
  <c r="N148" i="76" s="1"/>
  <c r="N149" i="76" s="1"/>
  <c r="N150" i="76" s="1"/>
  <c r="N151" i="76" s="1"/>
  <c r="N152" i="76" s="1"/>
  <c r="N153" i="76" s="1"/>
  <c r="N154" i="76" s="1"/>
  <c r="N155" i="76" s="1"/>
  <c r="N156" i="76" s="1"/>
  <c r="N157" i="76" s="1"/>
  <c r="N158" i="76" s="1"/>
  <c r="N159" i="76" s="1"/>
  <c r="N160" i="76" s="1"/>
  <c r="N161" i="76" s="1"/>
  <c r="N162" i="76" s="1"/>
  <c r="N163" i="76" s="1"/>
  <c r="N164" i="76" s="1"/>
  <c r="N165" i="76" s="1"/>
  <c r="N166" i="76" s="1"/>
  <c r="N167" i="76" s="1"/>
  <c r="N168" i="76" s="1"/>
  <c r="N169" i="76" s="1"/>
  <c r="N170" i="76" s="1"/>
  <c r="N171" i="76" s="1"/>
  <c r="N172" i="76" s="1"/>
  <c r="N173" i="76" s="1"/>
  <c r="N174" i="76" s="1"/>
  <c r="N175" i="76" s="1"/>
  <c r="N176" i="76" s="1"/>
  <c r="N177" i="76" s="1"/>
  <c r="N178" i="76" s="1"/>
  <c r="N179" i="76" s="1"/>
  <c r="N180" i="76" s="1"/>
  <c r="N181" i="76" s="1"/>
  <c r="N182" i="76" s="1"/>
  <c r="N183" i="76" s="1"/>
  <c r="N184" i="76" s="1"/>
  <c r="N185" i="76" s="1"/>
  <c r="N186" i="76" s="1"/>
  <c r="N187" i="76" s="1"/>
  <c r="N188" i="76" s="1"/>
  <c r="N189" i="76" s="1"/>
  <c r="N190" i="76" s="1"/>
  <c r="N191" i="76" s="1"/>
  <c r="N192" i="76" s="1"/>
  <c r="N193" i="76" s="1"/>
  <c r="N194" i="76" s="1"/>
  <c r="N195" i="76" s="1"/>
  <c r="N196" i="76" s="1"/>
  <c r="N197" i="76" s="1"/>
  <c r="N198" i="76" s="1"/>
  <c r="N199" i="76" s="1"/>
  <c r="N200" i="76" s="1"/>
  <c r="N201" i="76" s="1"/>
  <c r="N202" i="76" s="1"/>
  <c r="N203" i="76" s="1"/>
  <c r="N204" i="76" s="1"/>
  <c r="N205" i="76" s="1"/>
  <c r="N206" i="76" s="1"/>
  <c r="N207" i="76" s="1"/>
  <c r="N208" i="76" s="1"/>
  <c r="N209" i="76" s="1"/>
  <c r="N210" i="76" s="1"/>
  <c r="N211" i="76" s="1"/>
  <c r="N212" i="76" s="1"/>
  <c r="N213" i="76" s="1"/>
  <c r="N214" i="76" s="1"/>
  <c r="N215" i="76" s="1"/>
  <c r="N216" i="76" s="1"/>
  <c r="N217" i="76" s="1"/>
  <c r="N218" i="76" s="1"/>
  <c r="N219" i="76" s="1"/>
  <c r="N220" i="76" s="1"/>
  <c r="N221" i="76" s="1"/>
  <c r="N222" i="76" s="1"/>
  <c r="N223" i="76" s="1"/>
  <c r="N224" i="76" s="1"/>
  <c r="N225" i="76" s="1"/>
  <c r="N226" i="76" s="1"/>
  <c r="N227" i="76" s="1"/>
  <c r="N228" i="76" s="1"/>
  <c r="N229" i="76" s="1"/>
  <c r="N230" i="76" s="1"/>
  <c r="N231" i="76" s="1"/>
  <c r="N232" i="76" s="1"/>
  <c r="N233" i="76" s="1"/>
  <c r="N234" i="76" s="1"/>
  <c r="N235" i="76" s="1"/>
  <c r="N236" i="76" s="1"/>
  <c r="N237" i="76" s="1"/>
  <c r="N238" i="76" s="1"/>
  <c r="N239" i="76" s="1"/>
  <c r="N240" i="76" s="1"/>
  <c r="N241" i="76" s="1"/>
  <c r="N242" i="76" s="1"/>
  <c r="N243" i="76" s="1"/>
  <c r="N244" i="76" s="1"/>
  <c r="N245" i="76" s="1"/>
  <c r="N246" i="76" s="1"/>
  <c r="N247" i="76" s="1"/>
  <c r="N248" i="76" s="1"/>
  <c r="N249" i="76" s="1"/>
  <c r="N250" i="76" s="1"/>
  <c r="N251" i="76" s="1"/>
  <c r="N252" i="76" s="1"/>
  <c r="N253" i="76" s="1"/>
  <c r="N254" i="76" s="1"/>
  <c r="N255" i="76" s="1"/>
  <c r="N256" i="76" s="1"/>
  <c r="N257" i="76" s="1"/>
  <c r="N258" i="76" s="1"/>
  <c r="N259" i="76" s="1"/>
  <c r="N260" i="76" s="1"/>
  <c r="N261" i="76" s="1"/>
  <c r="N262" i="76" s="1"/>
  <c r="N263" i="76" s="1"/>
  <c r="N264" i="76" s="1"/>
  <c r="N265" i="76" s="1"/>
  <c r="N266" i="76" s="1"/>
  <c r="N267" i="76" s="1"/>
  <c r="N268" i="76" s="1"/>
  <c r="N269" i="76" s="1"/>
  <c r="N270" i="76" s="1"/>
  <c r="N271" i="76" s="1"/>
  <c r="N272" i="76" s="1"/>
  <c r="N273" i="76" s="1"/>
  <c r="N274" i="76" s="1"/>
  <c r="N275" i="76" s="1"/>
  <c r="N276" i="76" s="1"/>
  <c r="N277" i="76" s="1"/>
  <c r="N278" i="76" s="1"/>
  <c r="N279" i="76" s="1"/>
  <c r="N280" i="76" s="1"/>
  <c r="N281" i="76" s="1"/>
  <c r="N282" i="76" s="1"/>
  <c r="N283" i="76" s="1"/>
  <c r="N284" i="76" s="1"/>
  <c r="N285" i="76" s="1"/>
  <c r="N286" i="76" s="1"/>
  <c r="N287" i="76" s="1"/>
  <c r="N288" i="76" s="1"/>
  <c r="N289" i="76" s="1"/>
  <c r="N290" i="76" s="1"/>
  <c r="N291" i="76" s="1"/>
  <c r="N292" i="76" s="1"/>
  <c r="N293" i="76" s="1"/>
  <c r="N294" i="76" s="1"/>
  <c r="N295" i="76" s="1"/>
  <c r="N296" i="76" s="1"/>
  <c r="N297" i="76" s="1"/>
  <c r="N298" i="76" s="1"/>
  <c r="N299" i="76" s="1"/>
  <c r="N300" i="76" s="1"/>
  <c r="N301" i="76" s="1"/>
  <c r="N302" i="76" s="1"/>
  <c r="N303" i="76" s="1"/>
  <c r="N304" i="76" s="1"/>
  <c r="N305" i="76" s="1"/>
  <c r="N306" i="76" s="1"/>
  <c r="N307" i="76" s="1"/>
  <c r="N308" i="76" s="1"/>
  <c r="N309" i="76" s="1"/>
  <c r="N310" i="76" s="1"/>
  <c r="N311" i="76" s="1"/>
  <c r="N312" i="76" s="1"/>
  <c r="N313" i="76" s="1"/>
  <c r="N314" i="76" s="1"/>
  <c r="N315" i="76" s="1"/>
  <c r="N316" i="76" s="1"/>
  <c r="N317" i="76" s="1"/>
  <c r="N318" i="76" s="1"/>
  <c r="N319" i="76" s="1"/>
  <c r="N320" i="76" s="1"/>
  <c r="N321" i="76" s="1"/>
  <c r="N322" i="76" s="1"/>
  <c r="N323" i="76" s="1"/>
  <c r="N324" i="76" s="1"/>
  <c r="N325" i="76" s="1"/>
  <c r="N326" i="76" s="1"/>
  <c r="N327" i="76" s="1"/>
  <c r="N328" i="76" s="1"/>
  <c r="N329" i="76" s="1"/>
  <c r="N330" i="76" s="1"/>
  <c r="N331" i="76" s="1"/>
  <c r="N332" i="76" s="1"/>
  <c r="N333" i="76" s="1"/>
  <c r="N334" i="76" s="1"/>
  <c r="N335" i="76" s="1"/>
  <c r="N336" i="76" s="1"/>
  <c r="N337" i="76" s="1"/>
  <c r="N338" i="76" s="1"/>
  <c r="N339" i="76" s="1"/>
  <c r="N340" i="76" s="1"/>
  <c r="N341" i="76" s="1"/>
  <c r="N342" i="76" s="1"/>
  <c r="N343" i="76" s="1"/>
  <c r="N344" i="76" s="1"/>
  <c r="N345" i="76" s="1"/>
  <c r="N346" i="76" s="1"/>
  <c r="N347" i="76" s="1"/>
  <c r="N348" i="76" s="1"/>
  <c r="N349" i="76" s="1"/>
  <c r="N350" i="76" s="1"/>
  <c r="N351" i="76" s="1"/>
  <c r="N352" i="76" s="1"/>
  <c r="N353" i="76" s="1"/>
  <c r="N354" i="76" s="1"/>
  <c r="N355" i="76" s="1"/>
  <c r="N356" i="76" s="1"/>
  <c r="N357" i="76" s="1"/>
  <c r="N358" i="76" s="1"/>
  <c r="N359" i="76" s="1"/>
  <c r="N360" i="76" s="1"/>
  <c r="N361" i="76" s="1"/>
  <c r="N362" i="76" s="1"/>
  <c r="N363" i="76" s="1"/>
  <c r="N364" i="76" s="1"/>
  <c r="N365" i="76" s="1"/>
  <c r="N366" i="76" s="1"/>
  <c r="N367" i="76" s="1"/>
  <c r="N368" i="76" s="1"/>
  <c r="N369" i="76" s="1"/>
  <c r="L5" i="76"/>
  <c r="L6" i="76" s="1"/>
  <c r="L7" i="76" s="1"/>
  <c r="L8" i="76" s="1"/>
  <c r="L9" i="76" s="1"/>
  <c r="L10" i="76" s="1"/>
  <c r="L11" i="76" s="1"/>
  <c r="L12" i="76" s="1"/>
  <c r="L13" i="76" s="1"/>
  <c r="L14" i="76" s="1"/>
  <c r="L15" i="76" s="1"/>
  <c r="L16" i="76" s="1"/>
  <c r="L17" i="76" s="1"/>
  <c r="L18" i="76" s="1"/>
  <c r="L19" i="76" s="1"/>
  <c r="L20" i="76" s="1"/>
  <c r="L21" i="76" s="1"/>
  <c r="L22" i="76" s="1"/>
  <c r="L23" i="76" s="1"/>
  <c r="L24" i="76" s="1"/>
  <c r="L25" i="76" s="1"/>
  <c r="L26" i="76" s="1"/>
  <c r="L27" i="76" s="1"/>
  <c r="L28" i="76" s="1"/>
  <c r="L29" i="76" s="1"/>
  <c r="L30" i="76" s="1"/>
  <c r="L31" i="76" s="1"/>
  <c r="L32" i="76" s="1"/>
  <c r="L33" i="76" s="1"/>
  <c r="L34" i="76" s="1"/>
  <c r="L35" i="76" s="1"/>
  <c r="L36" i="76" s="1"/>
  <c r="L37" i="76" s="1"/>
  <c r="L38" i="76" s="1"/>
  <c r="L39" i="76" s="1"/>
  <c r="L40" i="76" s="1"/>
  <c r="L41" i="76" s="1"/>
  <c r="L42" i="76" s="1"/>
  <c r="L43" i="76" s="1"/>
  <c r="L44" i="76" s="1"/>
  <c r="L45" i="76" s="1"/>
  <c r="L46" i="76" s="1"/>
  <c r="L47" i="76" s="1"/>
  <c r="L48" i="76" s="1"/>
  <c r="L49" i="76" s="1"/>
  <c r="L50" i="76" s="1"/>
  <c r="L51" i="76" s="1"/>
  <c r="L52" i="76" s="1"/>
  <c r="L53" i="76" s="1"/>
  <c r="L54" i="76" s="1"/>
  <c r="L55" i="76" s="1"/>
  <c r="L56" i="76" s="1"/>
  <c r="L57" i="76" s="1"/>
  <c r="L58" i="76" s="1"/>
  <c r="L59" i="76" s="1"/>
  <c r="L60" i="76" s="1"/>
  <c r="L61" i="76" s="1"/>
  <c r="L62" i="76" s="1"/>
  <c r="L63" i="76" s="1"/>
  <c r="L64" i="76" s="1"/>
  <c r="L65" i="76" s="1"/>
  <c r="L66" i="76" s="1"/>
  <c r="L67" i="76" s="1"/>
  <c r="L68" i="76" s="1"/>
  <c r="L69" i="76" s="1"/>
  <c r="L70" i="76" s="1"/>
  <c r="L71" i="76" s="1"/>
  <c r="L72" i="76" s="1"/>
  <c r="L73" i="76" s="1"/>
  <c r="L74" i="76" s="1"/>
  <c r="L75" i="76" s="1"/>
  <c r="L76" i="76" s="1"/>
  <c r="L77" i="76" s="1"/>
  <c r="L78" i="76" s="1"/>
  <c r="L79" i="76" s="1"/>
  <c r="L80" i="76" s="1"/>
  <c r="L81" i="76" s="1"/>
  <c r="L82" i="76" s="1"/>
  <c r="L83" i="76" s="1"/>
  <c r="L84" i="76" s="1"/>
  <c r="L85" i="76" s="1"/>
  <c r="L86" i="76" s="1"/>
  <c r="L87" i="76" s="1"/>
  <c r="L88" i="76" s="1"/>
  <c r="L89" i="76" s="1"/>
  <c r="L90" i="76" s="1"/>
  <c r="L91" i="76" s="1"/>
  <c r="L92" i="76" s="1"/>
  <c r="L93" i="76" s="1"/>
  <c r="L94" i="76" s="1"/>
  <c r="L95" i="76" s="1"/>
  <c r="L96" i="76" s="1"/>
  <c r="L97" i="76" s="1"/>
  <c r="L98" i="76" s="1"/>
  <c r="L99" i="76" s="1"/>
  <c r="L100" i="76" s="1"/>
  <c r="L101" i="76" s="1"/>
  <c r="L102" i="76" s="1"/>
  <c r="L103" i="76" s="1"/>
  <c r="L104" i="76" s="1"/>
  <c r="L105" i="76" s="1"/>
  <c r="L106" i="76" s="1"/>
  <c r="L107" i="76" s="1"/>
  <c r="L108" i="76" s="1"/>
  <c r="L109" i="76" s="1"/>
  <c r="L110" i="76" s="1"/>
  <c r="L111" i="76" s="1"/>
  <c r="L112" i="76" s="1"/>
  <c r="L113" i="76" s="1"/>
  <c r="L114" i="76" s="1"/>
  <c r="L115" i="76" s="1"/>
  <c r="L116" i="76" s="1"/>
  <c r="L117" i="76" s="1"/>
  <c r="L118" i="76" s="1"/>
  <c r="L119" i="76" s="1"/>
  <c r="L120" i="76" s="1"/>
  <c r="L121" i="76" s="1"/>
  <c r="L122" i="76" s="1"/>
  <c r="L123" i="76" s="1"/>
  <c r="L124" i="76" s="1"/>
  <c r="L125" i="76" s="1"/>
  <c r="L126" i="76" s="1"/>
  <c r="L127" i="76" s="1"/>
  <c r="L128" i="76" s="1"/>
  <c r="L129" i="76" s="1"/>
  <c r="L130" i="76" s="1"/>
  <c r="L131" i="76" s="1"/>
  <c r="L132" i="76" s="1"/>
  <c r="L133" i="76" s="1"/>
  <c r="L134" i="76" s="1"/>
  <c r="L135" i="76" s="1"/>
  <c r="L136" i="76" s="1"/>
  <c r="L137" i="76" s="1"/>
  <c r="L138" i="76" s="1"/>
  <c r="L139" i="76" s="1"/>
  <c r="L140" i="76" s="1"/>
  <c r="L141" i="76" s="1"/>
  <c r="L142" i="76" s="1"/>
  <c r="L143" i="76" s="1"/>
  <c r="L144" i="76" s="1"/>
  <c r="L145" i="76" s="1"/>
  <c r="L146" i="76" s="1"/>
  <c r="L147" i="76" s="1"/>
  <c r="L148" i="76" s="1"/>
  <c r="L149" i="76" s="1"/>
  <c r="L150" i="76" s="1"/>
  <c r="L151" i="76" s="1"/>
  <c r="L152" i="76" s="1"/>
  <c r="L153" i="76" s="1"/>
  <c r="L154" i="76" s="1"/>
  <c r="L155" i="76" s="1"/>
  <c r="L156" i="76" s="1"/>
  <c r="L157" i="76" s="1"/>
  <c r="L158" i="76" s="1"/>
  <c r="L159" i="76" s="1"/>
  <c r="L160" i="76" s="1"/>
  <c r="L161" i="76" s="1"/>
  <c r="L162" i="76" s="1"/>
  <c r="L163" i="76" s="1"/>
  <c r="L164" i="76" s="1"/>
  <c r="L165" i="76" s="1"/>
  <c r="L166" i="76" s="1"/>
  <c r="L167" i="76" s="1"/>
  <c r="L168" i="76" s="1"/>
  <c r="L169" i="76" s="1"/>
  <c r="L170" i="76" s="1"/>
  <c r="L171" i="76" s="1"/>
  <c r="L172" i="76" s="1"/>
  <c r="L173" i="76" s="1"/>
  <c r="L174" i="76" s="1"/>
  <c r="L175" i="76" s="1"/>
  <c r="L176" i="76" s="1"/>
  <c r="L177" i="76" s="1"/>
  <c r="L178" i="76" s="1"/>
  <c r="L179" i="76" s="1"/>
  <c r="L180" i="76" s="1"/>
  <c r="L181" i="76" s="1"/>
  <c r="L182" i="76" s="1"/>
  <c r="L183" i="76" s="1"/>
  <c r="L184" i="76" s="1"/>
  <c r="L185" i="76" s="1"/>
  <c r="L186" i="76" s="1"/>
  <c r="L187" i="76" s="1"/>
  <c r="L188" i="76" s="1"/>
  <c r="L189" i="76" s="1"/>
  <c r="L190" i="76" s="1"/>
  <c r="L191" i="76" s="1"/>
  <c r="L192" i="76" s="1"/>
  <c r="L193" i="76" s="1"/>
  <c r="L194" i="76" s="1"/>
  <c r="L195" i="76" s="1"/>
  <c r="L196" i="76" s="1"/>
  <c r="L197" i="76" s="1"/>
  <c r="L198" i="76" s="1"/>
  <c r="L199" i="76" s="1"/>
  <c r="L200" i="76" s="1"/>
  <c r="L201" i="76" s="1"/>
  <c r="L202" i="76" s="1"/>
  <c r="L203" i="76" s="1"/>
  <c r="L204" i="76" s="1"/>
  <c r="L205" i="76" s="1"/>
  <c r="L206" i="76" s="1"/>
  <c r="L207" i="76" s="1"/>
  <c r="L208" i="76" s="1"/>
  <c r="L209" i="76" s="1"/>
  <c r="L210" i="76" s="1"/>
  <c r="L211" i="76" s="1"/>
  <c r="L212" i="76" s="1"/>
  <c r="L213" i="76" s="1"/>
  <c r="L214" i="76" s="1"/>
  <c r="L215" i="76" s="1"/>
  <c r="L216" i="76" s="1"/>
  <c r="L217" i="76" s="1"/>
  <c r="L218" i="76" s="1"/>
  <c r="L219" i="76" s="1"/>
  <c r="L220" i="76" s="1"/>
  <c r="L221" i="76" s="1"/>
  <c r="L222" i="76" s="1"/>
  <c r="L223" i="76" s="1"/>
  <c r="L224" i="76" s="1"/>
  <c r="L225" i="76" s="1"/>
  <c r="L226" i="76" s="1"/>
  <c r="L227" i="76" s="1"/>
  <c r="L228" i="76" s="1"/>
  <c r="L229" i="76" s="1"/>
  <c r="L230" i="76" s="1"/>
  <c r="L231" i="76" s="1"/>
  <c r="L232" i="76" s="1"/>
  <c r="L233" i="76" s="1"/>
  <c r="L234" i="76" s="1"/>
  <c r="L235" i="76" s="1"/>
  <c r="L236" i="76" s="1"/>
  <c r="L237" i="76" s="1"/>
  <c r="L238" i="76" s="1"/>
  <c r="L239" i="76" s="1"/>
  <c r="L240" i="76" s="1"/>
  <c r="L241" i="76" s="1"/>
  <c r="L242" i="76" s="1"/>
  <c r="L243" i="76" s="1"/>
  <c r="L244" i="76" s="1"/>
  <c r="L245" i="76" s="1"/>
  <c r="L246" i="76" s="1"/>
  <c r="L247" i="76" s="1"/>
  <c r="L248" i="76" s="1"/>
  <c r="L249" i="76" s="1"/>
  <c r="L250" i="76" s="1"/>
  <c r="L251" i="76" s="1"/>
  <c r="L252" i="76" s="1"/>
  <c r="L253" i="76" s="1"/>
  <c r="L254" i="76" s="1"/>
  <c r="L255" i="76" s="1"/>
  <c r="L256" i="76" s="1"/>
  <c r="L257" i="76" s="1"/>
  <c r="L258" i="76" s="1"/>
  <c r="L259" i="76" s="1"/>
  <c r="L260" i="76" s="1"/>
  <c r="L261" i="76" s="1"/>
  <c r="L262" i="76" s="1"/>
  <c r="L263" i="76" s="1"/>
  <c r="L264" i="76" s="1"/>
  <c r="L265" i="76" s="1"/>
  <c r="L266" i="76" s="1"/>
  <c r="L267" i="76" s="1"/>
  <c r="L268" i="76" s="1"/>
  <c r="L269" i="76" s="1"/>
  <c r="L270" i="76" s="1"/>
  <c r="L271" i="76" s="1"/>
  <c r="L272" i="76" s="1"/>
  <c r="L273" i="76" s="1"/>
  <c r="L274" i="76" s="1"/>
  <c r="L275" i="76" s="1"/>
  <c r="L276" i="76" s="1"/>
  <c r="L277" i="76" s="1"/>
  <c r="L278" i="76" s="1"/>
  <c r="L279" i="76" s="1"/>
  <c r="L280" i="76" s="1"/>
  <c r="L281" i="76" s="1"/>
  <c r="L282" i="76" s="1"/>
  <c r="L283" i="76" s="1"/>
  <c r="L284" i="76" s="1"/>
  <c r="L285" i="76" s="1"/>
  <c r="L286" i="76" s="1"/>
  <c r="L287" i="76" s="1"/>
  <c r="L288" i="76" s="1"/>
  <c r="L289" i="76" s="1"/>
  <c r="L290" i="76" s="1"/>
  <c r="L291" i="76" s="1"/>
  <c r="L292" i="76" s="1"/>
  <c r="L293" i="76" s="1"/>
  <c r="L294" i="76" s="1"/>
  <c r="L295" i="76" s="1"/>
  <c r="L296" i="76" s="1"/>
  <c r="L297" i="76" s="1"/>
  <c r="L298" i="76" s="1"/>
  <c r="L299" i="76" s="1"/>
  <c r="L300" i="76" s="1"/>
  <c r="L301" i="76" s="1"/>
  <c r="L302" i="76" s="1"/>
  <c r="L303" i="76" s="1"/>
  <c r="L304" i="76" s="1"/>
  <c r="L305" i="76" s="1"/>
  <c r="L306" i="76" s="1"/>
  <c r="L307" i="76" s="1"/>
  <c r="L308" i="76" s="1"/>
  <c r="L309" i="76" s="1"/>
  <c r="L310" i="76" s="1"/>
  <c r="L311" i="76" s="1"/>
  <c r="L312" i="76" s="1"/>
  <c r="L313" i="76" s="1"/>
  <c r="L314" i="76" s="1"/>
  <c r="L315" i="76" s="1"/>
  <c r="L316" i="76" s="1"/>
  <c r="L317" i="76" s="1"/>
  <c r="L318" i="76" s="1"/>
  <c r="L319" i="76" s="1"/>
  <c r="L320" i="76" s="1"/>
  <c r="L321" i="76" s="1"/>
  <c r="L322" i="76" s="1"/>
  <c r="L323" i="76" s="1"/>
  <c r="L324" i="76" s="1"/>
  <c r="L325" i="76" s="1"/>
  <c r="L326" i="76" s="1"/>
  <c r="L327" i="76" s="1"/>
  <c r="L328" i="76" s="1"/>
  <c r="L329" i="76" s="1"/>
  <c r="L330" i="76" s="1"/>
  <c r="L331" i="76" s="1"/>
  <c r="L332" i="76" s="1"/>
  <c r="L333" i="76" s="1"/>
  <c r="L334" i="76" s="1"/>
  <c r="L335" i="76" s="1"/>
  <c r="L336" i="76" s="1"/>
  <c r="L337" i="76" s="1"/>
  <c r="L338" i="76" s="1"/>
  <c r="L339" i="76" s="1"/>
  <c r="L340" i="76" s="1"/>
  <c r="L341" i="76" s="1"/>
  <c r="L342" i="76" s="1"/>
  <c r="L343" i="76" s="1"/>
  <c r="L344" i="76" s="1"/>
  <c r="L345" i="76" s="1"/>
  <c r="L346" i="76" s="1"/>
  <c r="L347" i="76" s="1"/>
  <c r="L348" i="76" s="1"/>
  <c r="L349" i="76" s="1"/>
  <c r="L350" i="76" s="1"/>
  <c r="L351" i="76" s="1"/>
  <c r="L352" i="76" s="1"/>
  <c r="L353" i="76" s="1"/>
  <c r="L354" i="76" s="1"/>
  <c r="L355" i="76" s="1"/>
  <c r="L356" i="76" s="1"/>
  <c r="L357" i="76" s="1"/>
  <c r="L358" i="76" s="1"/>
  <c r="L359" i="76" s="1"/>
  <c r="L360" i="76" s="1"/>
  <c r="L361" i="76" s="1"/>
  <c r="L362" i="76" s="1"/>
  <c r="L363" i="76" s="1"/>
  <c r="L364" i="76" s="1"/>
  <c r="L365" i="76" s="1"/>
  <c r="L366" i="76" s="1"/>
  <c r="L367" i="76" s="1"/>
  <c r="L368" i="76" s="1"/>
  <c r="L369" i="76" s="1"/>
  <c r="J5" i="76"/>
  <c r="J6" i="76" s="1"/>
  <c r="J7" i="76" s="1"/>
  <c r="J8" i="76" s="1"/>
  <c r="J9" i="76" s="1"/>
  <c r="J10" i="76" s="1"/>
  <c r="J11" i="76" s="1"/>
  <c r="J12" i="76" s="1"/>
  <c r="J13" i="76" s="1"/>
  <c r="J14" i="76" s="1"/>
  <c r="J15" i="76" s="1"/>
  <c r="J16" i="76" s="1"/>
  <c r="J17" i="76" s="1"/>
  <c r="J18" i="76" s="1"/>
  <c r="J19" i="76" s="1"/>
  <c r="J20" i="76" s="1"/>
  <c r="J21" i="76" s="1"/>
  <c r="J22" i="76" s="1"/>
  <c r="J23" i="76" s="1"/>
  <c r="J24" i="76" s="1"/>
  <c r="J25" i="76" s="1"/>
  <c r="J26" i="76" s="1"/>
  <c r="J27" i="76" s="1"/>
  <c r="J28" i="76" s="1"/>
  <c r="J29" i="76" s="1"/>
  <c r="J30" i="76" s="1"/>
  <c r="J31" i="76" s="1"/>
  <c r="J32" i="76" s="1"/>
  <c r="J33" i="76" s="1"/>
  <c r="J34" i="76" s="1"/>
  <c r="J35" i="76" s="1"/>
  <c r="J36" i="76" s="1"/>
  <c r="J37" i="76" s="1"/>
  <c r="J38" i="76" s="1"/>
  <c r="J39" i="76" s="1"/>
  <c r="J40" i="76" s="1"/>
  <c r="J41" i="76" s="1"/>
  <c r="J42" i="76" s="1"/>
  <c r="J43" i="76" s="1"/>
  <c r="J44" i="76" s="1"/>
  <c r="J45" i="76" s="1"/>
  <c r="J46" i="76" s="1"/>
  <c r="J47" i="76" s="1"/>
  <c r="J48" i="76" s="1"/>
  <c r="J49" i="76" s="1"/>
  <c r="J50" i="76" s="1"/>
  <c r="J51" i="76" s="1"/>
  <c r="J52" i="76" s="1"/>
  <c r="J53" i="76" s="1"/>
  <c r="J54" i="76" s="1"/>
  <c r="J55" i="76" s="1"/>
  <c r="J56" i="76" s="1"/>
  <c r="J57" i="76" s="1"/>
  <c r="J58" i="76" s="1"/>
  <c r="J59" i="76" s="1"/>
  <c r="J60" i="76" s="1"/>
  <c r="J61" i="76" s="1"/>
  <c r="J62" i="76" s="1"/>
  <c r="J63" i="76" s="1"/>
  <c r="J64" i="76" s="1"/>
  <c r="J65" i="76" s="1"/>
  <c r="J66" i="76" s="1"/>
  <c r="J67" i="76" s="1"/>
  <c r="J68" i="76" s="1"/>
  <c r="J69" i="76" s="1"/>
  <c r="J70" i="76" s="1"/>
  <c r="J71" i="76" s="1"/>
  <c r="J72" i="76" s="1"/>
  <c r="J73" i="76" s="1"/>
  <c r="J74" i="76" s="1"/>
  <c r="J75" i="76" s="1"/>
  <c r="J76" i="76" s="1"/>
  <c r="J77" i="76" s="1"/>
  <c r="J78" i="76" s="1"/>
  <c r="J79" i="76" s="1"/>
  <c r="J80" i="76" s="1"/>
  <c r="J81" i="76" s="1"/>
  <c r="J82" i="76" s="1"/>
  <c r="J83" i="76" s="1"/>
  <c r="J84" i="76" s="1"/>
  <c r="J85" i="76" s="1"/>
  <c r="J86" i="76" s="1"/>
  <c r="J87" i="76" s="1"/>
  <c r="J88" i="76" s="1"/>
  <c r="J89" i="76" s="1"/>
  <c r="J90" i="76" s="1"/>
  <c r="J91" i="76" s="1"/>
  <c r="J92" i="76" s="1"/>
  <c r="J93" i="76" s="1"/>
  <c r="J94" i="76" s="1"/>
  <c r="J95" i="76" s="1"/>
  <c r="J96" i="76" s="1"/>
  <c r="J97" i="76" s="1"/>
  <c r="J98" i="76" s="1"/>
  <c r="J99" i="76" s="1"/>
  <c r="J100" i="76" s="1"/>
  <c r="J101" i="76" s="1"/>
  <c r="J102" i="76" s="1"/>
  <c r="J103" i="76" s="1"/>
  <c r="J104" i="76" s="1"/>
  <c r="J105" i="76" s="1"/>
  <c r="J106" i="76" s="1"/>
  <c r="J107" i="76" s="1"/>
  <c r="J108" i="76" s="1"/>
  <c r="J109" i="76" s="1"/>
  <c r="J110" i="76" s="1"/>
  <c r="J111" i="76" s="1"/>
  <c r="J112" i="76" s="1"/>
  <c r="J113" i="76" s="1"/>
  <c r="J114" i="76" s="1"/>
  <c r="J115" i="76" s="1"/>
  <c r="J116" i="76" s="1"/>
  <c r="J117" i="76" s="1"/>
  <c r="J118" i="76" s="1"/>
  <c r="J119" i="76" s="1"/>
  <c r="J120" i="76" s="1"/>
  <c r="J121" i="76" s="1"/>
  <c r="J122" i="76" s="1"/>
  <c r="J123" i="76" s="1"/>
  <c r="J124" i="76" s="1"/>
  <c r="J125" i="76" s="1"/>
  <c r="J126" i="76" s="1"/>
  <c r="J127" i="76" s="1"/>
  <c r="J128" i="76" s="1"/>
  <c r="J129" i="76" s="1"/>
  <c r="J130" i="76" s="1"/>
  <c r="J131" i="76" s="1"/>
  <c r="J132" i="76" s="1"/>
  <c r="J133" i="76" s="1"/>
  <c r="J134" i="76" s="1"/>
  <c r="J135" i="76" s="1"/>
  <c r="J136" i="76" s="1"/>
  <c r="J137" i="76" s="1"/>
  <c r="J138" i="76" s="1"/>
  <c r="J139" i="76" s="1"/>
  <c r="J140" i="76" s="1"/>
  <c r="J141" i="76" s="1"/>
  <c r="J142" i="76" s="1"/>
  <c r="J143" i="76" s="1"/>
  <c r="J144" i="76" s="1"/>
  <c r="J145" i="76" s="1"/>
  <c r="J146" i="76" s="1"/>
  <c r="J147" i="76" s="1"/>
  <c r="J148" i="76" s="1"/>
  <c r="J149" i="76" s="1"/>
  <c r="J150" i="76" s="1"/>
  <c r="J151" i="76" s="1"/>
  <c r="J152" i="76" s="1"/>
  <c r="J153" i="76" s="1"/>
  <c r="J154" i="76" s="1"/>
  <c r="J155" i="76" s="1"/>
  <c r="J156" i="76" s="1"/>
  <c r="J157" i="76" s="1"/>
  <c r="J158" i="76" s="1"/>
  <c r="J159" i="76" s="1"/>
  <c r="J160" i="76" s="1"/>
  <c r="J161" i="76" s="1"/>
  <c r="J162" i="76" s="1"/>
  <c r="J163" i="76" s="1"/>
  <c r="J164" i="76" s="1"/>
  <c r="J165" i="76" s="1"/>
  <c r="J166" i="76" s="1"/>
  <c r="J167" i="76" s="1"/>
  <c r="J168" i="76" s="1"/>
  <c r="J169" i="76" s="1"/>
  <c r="J170" i="76" s="1"/>
  <c r="J171" i="76" s="1"/>
  <c r="J172" i="76" s="1"/>
  <c r="J173" i="76" s="1"/>
  <c r="J174" i="76" s="1"/>
  <c r="J175" i="76" s="1"/>
  <c r="J176" i="76" s="1"/>
  <c r="J177" i="76" s="1"/>
  <c r="J178" i="76" s="1"/>
  <c r="J179" i="76" s="1"/>
  <c r="J180" i="76" s="1"/>
  <c r="J181" i="76" s="1"/>
  <c r="J182" i="76" s="1"/>
  <c r="J183" i="76" s="1"/>
  <c r="J184" i="76" s="1"/>
  <c r="J185" i="76" s="1"/>
  <c r="J186" i="76" s="1"/>
  <c r="J187" i="76" s="1"/>
  <c r="J188" i="76" s="1"/>
  <c r="J189" i="76" s="1"/>
  <c r="J190" i="76" s="1"/>
  <c r="J191" i="76" s="1"/>
  <c r="J192" i="76" s="1"/>
  <c r="J193" i="76" s="1"/>
  <c r="J194" i="76" s="1"/>
  <c r="J195" i="76" s="1"/>
  <c r="J196" i="76" s="1"/>
  <c r="J197" i="76" s="1"/>
  <c r="J198" i="76" s="1"/>
  <c r="J199" i="76" s="1"/>
  <c r="J200" i="76" s="1"/>
  <c r="J201" i="76" s="1"/>
  <c r="J202" i="76" s="1"/>
  <c r="J203" i="76" s="1"/>
  <c r="J204" i="76" s="1"/>
  <c r="J205" i="76" s="1"/>
  <c r="J206" i="76" s="1"/>
  <c r="J207" i="76" s="1"/>
  <c r="J208" i="76" s="1"/>
  <c r="J209" i="76" s="1"/>
  <c r="J210" i="76" s="1"/>
  <c r="J211" i="76" s="1"/>
  <c r="J212" i="76" s="1"/>
  <c r="J213" i="76" s="1"/>
  <c r="J214" i="76" s="1"/>
  <c r="J215" i="76" s="1"/>
  <c r="J216" i="76" s="1"/>
  <c r="J217" i="76" s="1"/>
  <c r="J218" i="76" s="1"/>
  <c r="J219" i="76" s="1"/>
  <c r="J220" i="76" s="1"/>
  <c r="J221" i="76" s="1"/>
  <c r="J222" i="76" s="1"/>
  <c r="J223" i="76" s="1"/>
  <c r="J224" i="76" s="1"/>
  <c r="J225" i="76" s="1"/>
  <c r="J226" i="76" s="1"/>
  <c r="J227" i="76" s="1"/>
  <c r="J228" i="76" s="1"/>
  <c r="J229" i="76" s="1"/>
  <c r="J230" i="76" s="1"/>
  <c r="J231" i="76" s="1"/>
  <c r="J232" i="76" s="1"/>
  <c r="J233" i="76" s="1"/>
  <c r="J234" i="76" s="1"/>
  <c r="J235" i="76" s="1"/>
  <c r="J236" i="76" s="1"/>
  <c r="J237" i="76" s="1"/>
  <c r="J238" i="76" s="1"/>
  <c r="J239" i="76" s="1"/>
  <c r="J240" i="76" s="1"/>
  <c r="J241" i="76" s="1"/>
  <c r="J242" i="76" s="1"/>
  <c r="J243" i="76" s="1"/>
  <c r="J244" i="76" s="1"/>
  <c r="J245" i="76" s="1"/>
  <c r="J246" i="76" s="1"/>
  <c r="J247" i="76" s="1"/>
  <c r="J248" i="76" s="1"/>
  <c r="J249" i="76" s="1"/>
  <c r="J250" i="76" s="1"/>
  <c r="J251" i="76" s="1"/>
  <c r="J252" i="76" s="1"/>
  <c r="J253" i="76" s="1"/>
  <c r="J254" i="76" s="1"/>
  <c r="J255" i="76" s="1"/>
  <c r="J256" i="76" s="1"/>
  <c r="J257" i="76" s="1"/>
  <c r="J258" i="76" s="1"/>
  <c r="J259" i="76" s="1"/>
  <c r="J260" i="76" s="1"/>
  <c r="J261" i="76" s="1"/>
  <c r="J262" i="76" s="1"/>
  <c r="J263" i="76" s="1"/>
  <c r="J264" i="76" s="1"/>
  <c r="J265" i="76" s="1"/>
  <c r="J266" i="76" s="1"/>
  <c r="J267" i="76" s="1"/>
  <c r="J268" i="76" s="1"/>
  <c r="J269" i="76" s="1"/>
  <c r="J270" i="76" s="1"/>
  <c r="J271" i="76" s="1"/>
  <c r="J272" i="76" s="1"/>
  <c r="J273" i="76" s="1"/>
  <c r="J274" i="76" s="1"/>
  <c r="J275" i="76" s="1"/>
  <c r="J276" i="76" s="1"/>
  <c r="J277" i="76" s="1"/>
  <c r="J278" i="76" s="1"/>
  <c r="J279" i="76" s="1"/>
  <c r="J280" i="76" s="1"/>
  <c r="J281" i="76" s="1"/>
  <c r="J282" i="76" s="1"/>
  <c r="J283" i="76" s="1"/>
  <c r="J284" i="76" s="1"/>
  <c r="J285" i="76" s="1"/>
  <c r="J286" i="76" s="1"/>
  <c r="J287" i="76" s="1"/>
  <c r="J288" i="76" s="1"/>
  <c r="J289" i="76" s="1"/>
  <c r="J290" i="76" s="1"/>
  <c r="J291" i="76" s="1"/>
  <c r="J292" i="76" s="1"/>
  <c r="J293" i="76" s="1"/>
  <c r="J294" i="76" s="1"/>
  <c r="J295" i="76" s="1"/>
  <c r="J296" i="76" s="1"/>
  <c r="J297" i="76" s="1"/>
  <c r="J298" i="76" s="1"/>
  <c r="J299" i="76" s="1"/>
  <c r="J300" i="76" s="1"/>
  <c r="J301" i="76" s="1"/>
  <c r="J302" i="76" s="1"/>
  <c r="J303" i="76" s="1"/>
  <c r="J304" i="76" s="1"/>
  <c r="J305" i="76" s="1"/>
  <c r="J306" i="76" s="1"/>
  <c r="J307" i="76" s="1"/>
  <c r="J308" i="76" s="1"/>
  <c r="J309" i="76" s="1"/>
  <c r="J310" i="76" s="1"/>
  <c r="J311" i="76" s="1"/>
  <c r="J312" i="76" s="1"/>
  <c r="J313" i="76" s="1"/>
  <c r="J314" i="76" s="1"/>
  <c r="J315" i="76" s="1"/>
  <c r="J316" i="76" s="1"/>
  <c r="J317" i="76" s="1"/>
  <c r="J318" i="76" s="1"/>
  <c r="J319" i="76" s="1"/>
  <c r="J320" i="76" s="1"/>
  <c r="J321" i="76" s="1"/>
  <c r="J322" i="76" s="1"/>
  <c r="J323" i="76" s="1"/>
  <c r="J324" i="76" s="1"/>
  <c r="J325" i="76" s="1"/>
  <c r="J326" i="76" s="1"/>
  <c r="J327" i="76" s="1"/>
  <c r="J328" i="76" s="1"/>
  <c r="J329" i="76" s="1"/>
  <c r="J330" i="76" s="1"/>
  <c r="J331" i="76" s="1"/>
  <c r="J332" i="76" s="1"/>
  <c r="J333" i="76" s="1"/>
  <c r="J334" i="76" s="1"/>
  <c r="J335" i="76" s="1"/>
  <c r="J336" i="76" s="1"/>
  <c r="J337" i="76" s="1"/>
  <c r="J338" i="76" s="1"/>
  <c r="J339" i="76" s="1"/>
  <c r="J340" i="76" s="1"/>
  <c r="J341" i="76" s="1"/>
  <c r="J342" i="76" s="1"/>
  <c r="J343" i="76" s="1"/>
  <c r="J344" i="76" s="1"/>
  <c r="J345" i="76" s="1"/>
  <c r="J346" i="76" s="1"/>
  <c r="J347" i="76" s="1"/>
  <c r="J348" i="76" s="1"/>
  <c r="J349" i="76" s="1"/>
  <c r="J350" i="76" s="1"/>
  <c r="J351" i="76" s="1"/>
  <c r="J352" i="76" s="1"/>
  <c r="J353" i="76" s="1"/>
  <c r="J354" i="76" s="1"/>
  <c r="J355" i="76" s="1"/>
  <c r="J356" i="76" s="1"/>
  <c r="J357" i="76" s="1"/>
  <c r="J358" i="76" s="1"/>
  <c r="J359" i="76" s="1"/>
  <c r="J360" i="76" s="1"/>
  <c r="J361" i="76" s="1"/>
  <c r="J362" i="76" s="1"/>
  <c r="J363" i="76" s="1"/>
  <c r="J364" i="76" s="1"/>
  <c r="J365" i="76" s="1"/>
  <c r="J366" i="76" s="1"/>
  <c r="J367" i="76" s="1"/>
  <c r="J368" i="76" s="1"/>
  <c r="J369" i="76" s="1"/>
  <c r="H5" i="76"/>
  <c r="H6" i="76" s="1"/>
  <c r="H7" i="76" s="1"/>
  <c r="H8" i="76" s="1"/>
  <c r="H9" i="76" s="1"/>
  <c r="H10" i="76" s="1"/>
  <c r="H11" i="76" s="1"/>
  <c r="H12" i="76" s="1"/>
  <c r="H13" i="76" s="1"/>
  <c r="H14" i="76" s="1"/>
  <c r="H15" i="76" s="1"/>
  <c r="H16" i="76" s="1"/>
  <c r="H17" i="76" s="1"/>
  <c r="H18" i="76" s="1"/>
  <c r="H19" i="76" s="1"/>
  <c r="H20" i="76" s="1"/>
  <c r="H21" i="76" s="1"/>
  <c r="H22" i="76" s="1"/>
  <c r="H23" i="76" s="1"/>
  <c r="H24" i="76" s="1"/>
  <c r="H25" i="76" s="1"/>
  <c r="H26" i="76" s="1"/>
  <c r="H27" i="76" s="1"/>
  <c r="H28" i="76" s="1"/>
  <c r="H29" i="76" s="1"/>
  <c r="H30" i="76" s="1"/>
  <c r="H31" i="76" s="1"/>
  <c r="H32" i="76" s="1"/>
  <c r="H33" i="76" s="1"/>
  <c r="H34" i="76" s="1"/>
  <c r="H35" i="76" s="1"/>
  <c r="H36" i="76" s="1"/>
  <c r="H37" i="76" s="1"/>
  <c r="H38" i="76" s="1"/>
  <c r="H39" i="76" s="1"/>
  <c r="H40" i="76" s="1"/>
  <c r="H41" i="76" s="1"/>
  <c r="H42" i="76" s="1"/>
  <c r="H43" i="76" s="1"/>
  <c r="H44" i="76" s="1"/>
  <c r="H45" i="76" s="1"/>
  <c r="H46" i="76" s="1"/>
  <c r="H47" i="76" s="1"/>
  <c r="H48" i="76" s="1"/>
  <c r="H49" i="76" s="1"/>
  <c r="H50" i="76" s="1"/>
  <c r="H51" i="76" s="1"/>
  <c r="H52" i="76" s="1"/>
  <c r="H53" i="76" s="1"/>
  <c r="H54" i="76" s="1"/>
  <c r="H55" i="76" s="1"/>
  <c r="H56" i="76" s="1"/>
  <c r="H57" i="76" s="1"/>
  <c r="H58" i="76" s="1"/>
  <c r="H59" i="76" s="1"/>
  <c r="H60" i="76" s="1"/>
  <c r="H61" i="76" s="1"/>
  <c r="H62" i="76" s="1"/>
  <c r="H63" i="76" s="1"/>
  <c r="H64" i="76" s="1"/>
  <c r="H65" i="76" s="1"/>
  <c r="H66" i="76" s="1"/>
  <c r="H67" i="76" s="1"/>
  <c r="H68" i="76" s="1"/>
  <c r="H69" i="76" s="1"/>
  <c r="H70" i="76" s="1"/>
  <c r="H71" i="76" s="1"/>
  <c r="H72" i="76" s="1"/>
  <c r="H73" i="76" s="1"/>
  <c r="H74" i="76" s="1"/>
  <c r="H75" i="76" s="1"/>
  <c r="H76" i="76" s="1"/>
  <c r="H77" i="76" s="1"/>
  <c r="H78" i="76" s="1"/>
  <c r="H79" i="76" s="1"/>
  <c r="H80" i="76" s="1"/>
  <c r="H81" i="76" s="1"/>
  <c r="H82" i="76" s="1"/>
  <c r="H83" i="76" s="1"/>
  <c r="H84" i="76" s="1"/>
  <c r="H85" i="76" s="1"/>
  <c r="H86" i="76" s="1"/>
  <c r="H87" i="76" s="1"/>
  <c r="H88" i="76" s="1"/>
  <c r="H89" i="76" s="1"/>
  <c r="H90" i="76" s="1"/>
  <c r="H91" i="76" s="1"/>
  <c r="H92" i="76" s="1"/>
  <c r="H93" i="76" s="1"/>
  <c r="H94" i="76" s="1"/>
  <c r="H95" i="76" s="1"/>
  <c r="H96" i="76" s="1"/>
  <c r="H97" i="76" s="1"/>
  <c r="H98" i="76" s="1"/>
  <c r="H99" i="76" s="1"/>
  <c r="H100" i="76" s="1"/>
  <c r="H101" i="76" s="1"/>
  <c r="H102" i="76" s="1"/>
  <c r="H103" i="76" s="1"/>
  <c r="H104" i="76" s="1"/>
  <c r="H105" i="76" s="1"/>
  <c r="H106" i="76" s="1"/>
  <c r="H107" i="76" s="1"/>
  <c r="H108" i="76" s="1"/>
  <c r="H109" i="76" s="1"/>
  <c r="H110" i="76" s="1"/>
  <c r="H111" i="76" s="1"/>
  <c r="H112" i="76" s="1"/>
  <c r="H113" i="76" s="1"/>
  <c r="H114" i="76" s="1"/>
  <c r="H115" i="76" s="1"/>
  <c r="H116" i="76" s="1"/>
  <c r="H117" i="76" s="1"/>
  <c r="H118" i="76" s="1"/>
  <c r="H119" i="76" s="1"/>
  <c r="H120" i="76" s="1"/>
  <c r="H121" i="76" s="1"/>
  <c r="H122" i="76" s="1"/>
  <c r="H123" i="76" s="1"/>
  <c r="H124" i="76" s="1"/>
  <c r="H125" i="76" s="1"/>
  <c r="H126" i="76" s="1"/>
  <c r="H127" i="76" s="1"/>
  <c r="H128" i="76" s="1"/>
  <c r="H129" i="76" s="1"/>
  <c r="H130" i="76" s="1"/>
  <c r="H131" i="76" s="1"/>
  <c r="H132" i="76" s="1"/>
  <c r="H133" i="76" s="1"/>
  <c r="H134" i="76" s="1"/>
  <c r="H135" i="76" s="1"/>
  <c r="H136" i="76" s="1"/>
  <c r="H137" i="76" s="1"/>
  <c r="H138" i="76" s="1"/>
  <c r="H139" i="76" s="1"/>
  <c r="H140" i="76" s="1"/>
  <c r="H141" i="76" s="1"/>
  <c r="H142" i="76" s="1"/>
  <c r="H143" i="76" s="1"/>
  <c r="H144" i="76" s="1"/>
  <c r="H145" i="76" s="1"/>
  <c r="H146" i="76" s="1"/>
  <c r="H147" i="76" s="1"/>
  <c r="H148" i="76" s="1"/>
  <c r="H149" i="76" s="1"/>
  <c r="H150" i="76" s="1"/>
  <c r="H151" i="76" s="1"/>
  <c r="H152" i="76" s="1"/>
  <c r="H153" i="76" s="1"/>
  <c r="H154" i="76" s="1"/>
  <c r="H155" i="76" s="1"/>
  <c r="H156" i="76" s="1"/>
  <c r="H157" i="76" s="1"/>
  <c r="H158" i="76" s="1"/>
  <c r="H159" i="76" s="1"/>
  <c r="H160" i="76" s="1"/>
  <c r="H161" i="76" s="1"/>
  <c r="H162" i="76" s="1"/>
  <c r="H163" i="76" s="1"/>
  <c r="H164" i="76" s="1"/>
  <c r="H165" i="76" s="1"/>
  <c r="H166" i="76" s="1"/>
  <c r="H167" i="76" s="1"/>
  <c r="H168" i="76" s="1"/>
  <c r="H169" i="76" s="1"/>
  <c r="H170" i="76" s="1"/>
  <c r="H171" i="76" s="1"/>
  <c r="H172" i="76" s="1"/>
  <c r="H173" i="76" s="1"/>
  <c r="H174" i="76" s="1"/>
  <c r="H175" i="76" s="1"/>
  <c r="H176" i="76" s="1"/>
  <c r="H177" i="76" s="1"/>
  <c r="H178" i="76" s="1"/>
  <c r="H179" i="76" s="1"/>
  <c r="H180" i="76" s="1"/>
  <c r="H181" i="76" s="1"/>
  <c r="H182" i="76" s="1"/>
  <c r="H183" i="76" s="1"/>
  <c r="H184" i="76" s="1"/>
  <c r="H185" i="76" s="1"/>
  <c r="H186" i="76" s="1"/>
  <c r="H187" i="76" s="1"/>
  <c r="H188" i="76" s="1"/>
  <c r="H189" i="76" s="1"/>
  <c r="H190" i="76" s="1"/>
  <c r="H191" i="76" s="1"/>
  <c r="H192" i="76" s="1"/>
  <c r="H193" i="76" s="1"/>
  <c r="H194" i="76" s="1"/>
  <c r="H195" i="76" s="1"/>
  <c r="H196" i="76" s="1"/>
  <c r="H197" i="76" s="1"/>
  <c r="H198" i="76" s="1"/>
  <c r="H199" i="76" s="1"/>
  <c r="H200" i="76" s="1"/>
  <c r="H201" i="76" s="1"/>
  <c r="H202" i="76" s="1"/>
  <c r="H203" i="76" s="1"/>
  <c r="H204" i="76" s="1"/>
  <c r="H205" i="76" s="1"/>
  <c r="H206" i="76" s="1"/>
  <c r="H207" i="76" s="1"/>
  <c r="H208" i="76" s="1"/>
  <c r="H209" i="76" s="1"/>
  <c r="H210" i="76" s="1"/>
  <c r="H211" i="76" s="1"/>
  <c r="H212" i="76" s="1"/>
  <c r="H213" i="76" s="1"/>
  <c r="H214" i="76" s="1"/>
  <c r="H215" i="76" s="1"/>
  <c r="H216" i="76" s="1"/>
  <c r="H217" i="76" s="1"/>
  <c r="H218" i="76" s="1"/>
  <c r="H219" i="76" s="1"/>
  <c r="H220" i="76" s="1"/>
  <c r="H221" i="76" s="1"/>
  <c r="H222" i="76" s="1"/>
  <c r="H223" i="76" s="1"/>
  <c r="H224" i="76" s="1"/>
  <c r="H225" i="76" s="1"/>
  <c r="H226" i="76" s="1"/>
  <c r="H227" i="76" s="1"/>
  <c r="H228" i="76" s="1"/>
  <c r="H229" i="76" s="1"/>
  <c r="H230" i="76" s="1"/>
  <c r="H231" i="76" s="1"/>
  <c r="H232" i="76" s="1"/>
  <c r="H233" i="76" s="1"/>
  <c r="H234" i="76" s="1"/>
  <c r="H235" i="76" s="1"/>
  <c r="H236" i="76" s="1"/>
  <c r="H237" i="76" s="1"/>
  <c r="H238" i="76" s="1"/>
  <c r="H239" i="76" s="1"/>
  <c r="H240" i="76" s="1"/>
  <c r="H241" i="76" s="1"/>
  <c r="H242" i="76" s="1"/>
  <c r="H243" i="76" s="1"/>
  <c r="H244" i="76" s="1"/>
  <c r="H245" i="76" s="1"/>
  <c r="H246" i="76" s="1"/>
  <c r="H247" i="76" s="1"/>
  <c r="H248" i="76" s="1"/>
  <c r="H249" i="76" s="1"/>
  <c r="H250" i="76" s="1"/>
  <c r="H251" i="76" s="1"/>
  <c r="H252" i="76" s="1"/>
  <c r="H253" i="76" s="1"/>
  <c r="H254" i="76" s="1"/>
  <c r="H255" i="76" s="1"/>
  <c r="H256" i="76" s="1"/>
  <c r="H257" i="76" s="1"/>
  <c r="H258" i="76" s="1"/>
  <c r="H259" i="76" s="1"/>
  <c r="H260" i="76" s="1"/>
  <c r="H261" i="76" s="1"/>
  <c r="H262" i="76" s="1"/>
  <c r="H263" i="76" s="1"/>
  <c r="H264" i="76" s="1"/>
  <c r="H265" i="76" s="1"/>
  <c r="H266" i="76" s="1"/>
  <c r="H267" i="76" s="1"/>
  <c r="H268" i="76" s="1"/>
  <c r="H269" i="76" s="1"/>
  <c r="H270" i="76" s="1"/>
  <c r="H271" i="76" s="1"/>
  <c r="H272" i="76" s="1"/>
  <c r="H273" i="76" s="1"/>
  <c r="H274" i="76" s="1"/>
  <c r="H275" i="76" s="1"/>
  <c r="H276" i="76" s="1"/>
  <c r="H277" i="76" s="1"/>
  <c r="H278" i="76" s="1"/>
  <c r="H279" i="76" s="1"/>
  <c r="H280" i="76" s="1"/>
  <c r="H281" i="76" s="1"/>
  <c r="H282" i="76" s="1"/>
  <c r="H283" i="76" s="1"/>
  <c r="H284" i="76" s="1"/>
  <c r="H285" i="76" s="1"/>
  <c r="H286" i="76" s="1"/>
  <c r="H287" i="76" s="1"/>
  <c r="H288" i="76" s="1"/>
  <c r="H289" i="76" s="1"/>
  <c r="H290" i="76" s="1"/>
  <c r="H291" i="76" s="1"/>
  <c r="H292" i="76" s="1"/>
  <c r="H293" i="76" s="1"/>
  <c r="H294" i="76" s="1"/>
  <c r="H295" i="76" s="1"/>
  <c r="H296" i="76" s="1"/>
  <c r="H297" i="76" s="1"/>
  <c r="H298" i="76" s="1"/>
  <c r="H299" i="76" s="1"/>
  <c r="H300" i="76" s="1"/>
  <c r="H301" i="76" s="1"/>
  <c r="H302" i="76" s="1"/>
  <c r="H303" i="76" s="1"/>
  <c r="H304" i="76" s="1"/>
  <c r="H305" i="76" s="1"/>
  <c r="H306" i="76" s="1"/>
  <c r="H307" i="76" s="1"/>
  <c r="H308" i="76" s="1"/>
  <c r="H309" i="76" s="1"/>
  <c r="H310" i="76" s="1"/>
  <c r="H311" i="76" s="1"/>
  <c r="H312" i="76" s="1"/>
  <c r="H313" i="76" s="1"/>
  <c r="H314" i="76" s="1"/>
  <c r="H315" i="76" s="1"/>
  <c r="H316" i="76" s="1"/>
  <c r="H317" i="76" s="1"/>
  <c r="H318" i="76" s="1"/>
  <c r="H319" i="76" s="1"/>
  <c r="H320" i="76" s="1"/>
  <c r="H321" i="76" s="1"/>
  <c r="H322" i="76" s="1"/>
  <c r="H323" i="76" s="1"/>
  <c r="H324" i="76" s="1"/>
  <c r="H325" i="76" s="1"/>
  <c r="H326" i="76" s="1"/>
  <c r="H327" i="76" s="1"/>
  <c r="H328" i="76" s="1"/>
  <c r="H329" i="76" s="1"/>
  <c r="H330" i="76" s="1"/>
  <c r="H331" i="76" s="1"/>
  <c r="H332" i="76" s="1"/>
  <c r="H333" i="76" s="1"/>
  <c r="H334" i="76" s="1"/>
  <c r="H335" i="76" s="1"/>
  <c r="H336" i="76" s="1"/>
  <c r="H337" i="76" s="1"/>
  <c r="H338" i="76" s="1"/>
  <c r="H339" i="76" s="1"/>
  <c r="H340" i="76" s="1"/>
  <c r="H341" i="76" s="1"/>
  <c r="H342" i="76" s="1"/>
  <c r="H343" i="76" s="1"/>
  <c r="H344" i="76" s="1"/>
  <c r="H345" i="76" s="1"/>
  <c r="H346" i="76" s="1"/>
  <c r="H347" i="76" s="1"/>
  <c r="H348" i="76" s="1"/>
  <c r="H349" i="76" s="1"/>
  <c r="H350" i="76" s="1"/>
  <c r="H351" i="76" s="1"/>
  <c r="H352" i="76" s="1"/>
  <c r="H353" i="76" s="1"/>
  <c r="H354" i="76" s="1"/>
  <c r="H355" i="76" s="1"/>
  <c r="H356" i="76" s="1"/>
  <c r="H357" i="76" s="1"/>
  <c r="H358" i="76" s="1"/>
  <c r="H359" i="76" s="1"/>
  <c r="H360" i="76" s="1"/>
  <c r="H361" i="76" s="1"/>
  <c r="H362" i="76" s="1"/>
  <c r="H363" i="76" s="1"/>
  <c r="H364" i="76" s="1"/>
  <c r="H365" i="76" s="1"/>
  <c r="H366" i="76" s="1"/>
  <c r="H367" i="76" s="1"/>
  <c r="H368" i="76" s="1"/>
  <c r="H369" i="76" s="1"/>
  <c r="D6" i="76"/>
  <c r="D7" i="76"/>
  <c r="D8" i="76"/>
  <c r="D9" i="76"/>
  <c r="D10" i="76"/>
  <c r="D11" i="76"/>
  <c r="D12" i="76"/>
  <c r="D13" i="76"/>
  <c r="D14" i="76"/>
  <c r="D15" i="76"/>
  <c r="D16" i="76"/>
  <c r="D17" i="76"/>
  <c r="D18" i="76"/>
  <c r="D19" i="76"/>
  <c r="D20" i="76"/>
  <c r="D21" i="76"/>
  <c r="D22" i="76"/>
  <c r="D23" i="76"/>
  <c r="D24" i="76"/>
  <c r="D25" i="76"/>
  <c r="D26" i="76"/>
  <c r="D27" i="76"/>
  <c r="D28" i="76"/>
  <c r="D29" i="76"/>
  <c r="D30" i="76"/>
  <c r="D31" i="76"/>
  <c r="D32" i="76"/>
  <c r="D33" i="76"/>
  <c r="D34" i="76"/>
  <c r="D35" i="76"/>
  <c r="D36" i="76"/>
  <c r="D37" i="76"/>
  <c r="D38" i="76"/>
  <c r="D39" i="76"/>
  <c r="D40" i="76"/>
  <c r="D41" i="76"/>
  <c r="D42" i="76"/>
  <c r="D43" i="76"/>
  <c r="D44" i="76"/>
  <c r="D45" i="76"/>
  <c r="D46" i="76"/>
  <c r="D47" i="76"/>
  <c r="D48" i="76"/>
  <c r="D49" i="76"/>
  <c r="D50" i="76"/>
  <c r="D51" i="76"/>
  <c r="D52" i="76"/>
  <c r="D53" i="76"/>
  <c r="D54" i="76"/>
  <c r="D55" i="76"/>
  <c r="D56" i="76"/>
  <c r="D57" i="76"/>
  <c r="D58" i="76"/>
  <c r="D59" i="76"/>
  <c r="D60" i="76"/>
  <c r="D61" i="76"/>
  <c r="D62" i="76"/>
  <c r="D63" i="76"/>
  <c r="D64" i="76"/>
  <c r="D65" i="76"/>
  <c r="D66" i="76"/>
  <c r="D67" i="76"/>
  <c r="D68" i="76"/>
  <c r="D69" i="76"/>
  <c r="D70" i="76"/>
  <c r="D71" i="76"/>
  <c r="D72" i="76"/>
  <c r="D73" i="76"/>
  <c r="D74" i="76"/>
  <c r="D75" i="76"/>
  <c r="D76" i="76"/>
  <c r="D77" i="76"/>
  <c r="D78" i="76"/>
  <c r="D79" i="76"/>
  <c r="D80" i="76"/>
  <c r="D81" i="76"/>
  <c r="D82" i="76"/>
  <c r="D83" i="76"/>
  <c r="D84" i="76"/>
  <c r="D85" i="76"/>
  <c r="D86" i="76"/>
  <c r="D87" i="76"/>
  <c r="D88" i="76"/>
  <c r="D89" i="76"/>
  <c r="D90" i="76"/>
  <c r="D91" i="76"/>
  <c r="D92" i="76"/>
  <c r="D93" i="76"/>
  <c r="D94" i="76"/>
  <c r="D95" i="76"/>
  <c r="D96" i="76"/>
  <c r="D97" i="76"/>
  <c r="D98" i="76"/>
  <c r="D99" i="76"/>
  <c r="D100" i="76"/>
  <c r="D101" i="76"/>
  <c r="D102" i="76"/>
  <c r="D103" i="76"/>
  <c r="D104" i="76"/>
  <c r="D105" i="76"/>
  <c r="D106" i="76"/>
  <c r="D107" i="76"/>
  <c r="D108" i="76"/>
  <c r="D109" i="76"/>
  <c r="D110" i="76"/>
  <c r="D111" i="76"/>
  <c r="D112" i="76"/>
  <c r="D113" i="76"/>
  <c r="D114" i="76"/>
  <c r="D115" i="76"/>
  <c r="D116" i="76"/>
  <c r="D117" i="76"/>
  <c r="D118" i="76"/>
  <c r="D119" i="76"/>
  <c r="D120" i="76"/>
  <c r="D121" i="76"/>
  <c r="D122" i="76"/>
  <c r="D123" i="76"/>
  <c r="D124" i="76"/>
  <c r="D125" i="76"/>
  <c r="D126" i="76"/>
  <c r="D127" i="76"/>
  <c r="D128" i="76"/>
  <c r="D129" i="76"/>
  <c r="D130" i="76"/>
  <c r="D131" i="76"/>
  <c r="D132" i="76"/>
  <c r="D133" i="76"/>
  <c r="D134" i="76"/>
  <c r="D135" i="76"/>
  <c r="D136" i="76"/>
  <c r="D137" i="76"/>
  <c r="D138" i="76"/>
  <c r="D139" i="76"/>
  <c r="D140" i="76"/>
  <c r="D141" i="76"/>
  <c r="D142" i="76"/>
  <c r="D143" i="76"/>
  <c r="D144" i="76"/>
  <c r="D145" i="76"/>
  <c r="D146" i="76"/>
  <c r="D147" i="76"/>
  <c r="D148" i="76"/>
  <c r="D149" i="76"/>
  <c r="D150" i="76"/>
  <c r="D151" i="76"/>
  <c r="D152" i="76"/>
  <c r="D153" i="76"/>
  <c r="D154" i="76"/>
  <c r="D155" i="76"/>
  <c r="D156" i="76"/>
  <c r="D157" i="76"/>
  <c r="D158" i="76"/>
  <c r="D159" i="76"/>
  <c r="D160" i="76"/>
  <c r="D161" i="76"/>
  <c r="D162" i="76"/>
  <c r="D163" i="76"/>
  <c r="D164" i="76"/>
  <c r="D165" i="76"/>
  <c r="D166" i="76"/>
  <c r="D167" i="76"/>
  <c r="D168" i="76"/>
  <c r="D169" i="76"/>
  <c r="D170" i="76"/>
  <c r="D171" i="76"/>
  <c r="D172" i="76"/>
  <c r="D173" i="76"/>
  <c r="D174" i="76"/>
  <c r="D175" i="76"/>
  <c r="D176" i="76"/>
  <c r="D177" i="76"/>
  <c r="D178" i="76"/>
  <c r="D179" i="76"/>
  <c r="D180" i="76"/>
  <c r="D181" i="76"/>
  <c r="D182" i="76"/>
  <c r="D183" i="76"/>
  <c r="D184" i="76"/>
  <c r="D185" i="76"/>
  <c r="D186" i="76"/>
  <c r="D187" i="76"/>
  <c r="D188" i="76"/>
  <c r="D189" i="76"/>
  <c r="D190" i="76"/>
  <c r="D191" i="76"/>
  <c r="D192" i="76"/>
  <c r="D193" i="76"/>
  <c r="D194" i="76"/>
  <c r="D195" i="76"/>
  <c r="D196" i="76"/>
  <c r="D197" i="76"/>
  <c r="D198" i="76"/>
  <c r="D199" i="76"/>
  <c r="D200" i="76"/>
  <c r="D201" i="76"/>
  <c r="D202" i="76"/>
  <c r="D203" i="76"/>
  <c r="D204" i="76"/>
  <c r="D205" i="76"/>
  <c r="D206" i="76"/>
  <c r="D207" i="76"/>
  <c r="D208" i="76"/>
  <c r="D209" i="76"/>
  <c r="D210" i="76"/>
  <c r="D211" i="76"/>
  <c r="D212" i="76"/>
  <c r="D213" i="76"/>
  <c r="D214" i="76"/>
  <c r="D215" i="76"/>
  <c r="D216" i="76"/>
  <c r="D217" i="76"/>
  <c r="D218" i="76"/>
  <c r="D219" i="76"/>
  <c r="D220" i="76"/>
  <c r="D221" i="76"/>
  <c r="D222" i="76"/>
  <c r="D223" i="76"/>
  <c r="D224" i="76"/>
  <c r="D225" i="76"/>
  <c r="D226" i="76"/>
  <c r="D227" i="76"/>
  <c r="D228" i="76"/>
  <c r="D229" i="76"/>
  <c r="D230" i="76"/>
  <c r="D231" i="76"/>
  <c r="D232" i="76"/>
  <c r="D233" i="76"/>
  <c r="D234" i="76"/>
  <c r="D235" i="76"/>
  <c r="D236" i="76"/>
  <c r="D237" i="76"/>
  <c r="D238" i="76"/>
  <c r="D239" i="76"/>
  <c r="D240" i="76"/>
  <c r="D241" i="76"/>
  <c r="D242" i="76"/>
  <c r="D243" i="76"/>
  <c r="D244" i="76"/>
  <c r="D245" i="76"/>
  <c r="D246" i="76"/>
  <c r="D247" i="76"/>
  <c r="D248" i="76"/>
  <c r="D249" i="76"/>
  <c r="D250" i="76"/>
  <c r="D251" i="76"/>
  <c r="D252" i="76"/>
  <c r="D253" i="76"/>
  <c r="D254" i="76"/>
  <c r="D255" i="76"/>
  <c r="D256" i="76"/>
  <c r="D257" i="76"/>
  <c r="D258" i="76"/>
  <c r="D259" i="76"/>
  <c r="D260" i="76"/>
  <c r="D261" i="76"/>
  <c r="D262" i="76"/>
  <c r="D263" i="76"/>
  <c r="D264" i="76"/>
  <c r="D265" i="76"/>
  <c r="D266" i="76"/>
  <c r="D267" i="76"/>
  <c r="D268" i="76"/>
  <c r="D269" i="76"/>
  <c r="D270" i="76"/>
  <c r="D271" i="76"/>
  <c r="D272" i="76"/>
  <c r="D273" i="76"/>
  <c r="D274" i="76"/>
  <c r="D275" i="76"/>
  <c r="D276" i="76"/>
  <c r="D277" i="76"/>
  <c r="D278" i="76"/>
  <c r="D279" i="76"/>
  <c r="D280" i="76"/>
  <c r="D281" i="76"/>
  <c r="D282" i="76"/>
  <c r="D283" i="76"/>
  <c r="D284" i="76"/>
  <c r="D285" i="76"/>
  <c r="D286" i="76"/>
  <c r="D287" i="76"/>
  <c r="D288" i="76"/>
  <c r="D289" i="76"/>
  <c r="D290" i="76"/>
  <c r="D291" i="76"/>
  <c r="D292" i="76"/>
  <c r="D293" i="76"/>
  <c r="D294" i="76"/>
  <c r="D295" i="76"/>
  <c r="D296" i="76"/>
  <c r="D297" i="76"/>
  <c r="D298" i="76"/>
  <c r="D299" i="76"/>
  <c r="D300" i="76"/>
  <c r="D301" i="76"/>
  <c r="D302" i="76"/>
  <c r="D303" i="76"/>
  <c r="D304" i="76"/>
  <c r="D305" i="76"/>
  <c r="D306" i="76"/>
  <c r="D307" i="76"/>
  <c r="D308" i="76"/>
  <c r="D309" i="76"/>
  <c r="D310" i="76"/>
  <c r="D311" i="76"/>
  <c r="D312" i="76"/>
  <c r="D313" i="76"/>
  <c r="D314" i="76"/>
  <c r="D315" i="76"/>
  <c r="D316" i="76"/>
  <c r="D317" i="76"/>
  <c r="D318" i="76"/>
  <c r="D319" i="76"/>
  <c r="D320" i="76"/>
  <c r="D321" i="76"/>
  <c r="D322" i="76"/>
  <c r="D323" i="76"/>
  <c r="D324" i="76"/>
  <c r="D325" i="76"/>
  <c r="D326" i="76"/>
  <c r="D327" i="76"/>
  <c r="D328" i="76"/>
  <c r="D329" i="76"/>
  <c r="D330" i="76"/>
  <c r="D331" i="76"/>
  <c r="D332" i="76"/>
  <c r="D333" i="76"/>
  <c r="D334" i="76"/>
  <c r="D335" i="76"/>
  <c r="D336" i="76"/>
  <c r="D337" i="76"/>
  <c r="D338" i="76"/>
  <c r="D339" i="76"/>
  <c r="D340" i="76"/>
  <c r="D341" i="76"/>
  <c r="D342" i="76"/>
  <c r="D343" i="76"/>
  <c r="D344" i="76"/>
  <c r="D345" i="76"/>
  <c r="D346" i="76"/>
  <c r="D347" i="76"/>
  <c r="D348" i="76"/>
  <c r="D349" i="76"/>
  <c r="D350" i="76"/>
  <c r="D351" i="76"/>
  <c r="D352" i="76"/>
  <c r="D353" i="76"/>
  <c r="D354" i="76"/>
  <c r="D355" i="76"/>
  <c r="D356" i="76"/>
  <c r="D357" i="76"/>
  <c r="D358" i="76"/>
  <c r="D359" i="76"/>
  <c r="D360" i="76"/>
  <c r="D361" i="76"/>
  <c r="D362" i="76"/>
  <c r="D363" i="76"/>
  <c r="D364" i="76"/>
  <c r="D365" i="76"/>
  <c r="D366" i="76"/>
  <c r="D367" i="76"/>
  <c r="D368" i="76"/>
  <c r="D369" i="76"/>
  <c r="D5" i="76"/>
  <c r="C140" i="1" l="1"/>
  <c r="PD40" i="31" l="1"/>
  <c r="PD41" i="31"/>
  <c r="PD42" i="31"/>
  <c r="PD43" i="31"/>
  <c r="PD44" i="31"/>
  <c r="PD45" i="31"/>
  <c r="PD46" i="31"/>
  <c r="PD47" i="31"/>
  <c r="PD48" i="31"/>
  <c r="PD49" i="31"/>
  <c r="PD50" i="31"/>
  <c r="PD51" i="31"/>
  <c r="PD52" i="31"/>
  <c r="PD53" i="31"/>
  <c r="PD54" i="31"/>
  <c r="PD55" i="31"/>
  <c r="PD56" i="31"/>
  <c r="PD57" i="31"/>
  <c r="PD58" i="31"/>
  <c r="PD59" i="31"/>
  <c r="PD60" i="31"/>
  <c r="PD61" i="31"/>
  <c r="PD62" i="31"/>
  <c r="PD63" i="31"/>
  <c r="PD64" i="31"/>
  <c r="PD65" i="31"/>
  <c r="PD66" i="31"/>
  <c r="PD67" i="31"/>
  <c r="PD68" i="31"/>
  <c r="PD69" i="31"/>
  <c r="PD70" i="31"/>
  <c r="PD71" i="31"/>
  <c r="PD72" i="31"/>
  <c r="PD73" i="31"/>
  <c r="PD74" i="31"/>
  <c r="PD75" i="31"/>
  <c r="PD76" i="31"/>
  <c r="PD77" i="31"/>
  <c r="PD78" i="31"/>
  <c r="PD79" i="31"/>
  <c r="PD80" i="31"/>
  <c r="PD81" i="31"/>
  <c r="PD82" i="31"/>
  <c r="PD83" i="31"/>
  <c r="PD84" i="31"/>
  <c r="PD85" i="31"/>
  <c r="PD86" i="31"/>
  <c r="PD87" i="31"/>
  <c r="PD88" i="31"/>
  <c r="PD89" i="31"/>
  <c r="PD90" i="31"/>
  <c r="PD91" i="31"/>
  <c r="PD92" i="31"/>
  <c r="PD93" i="31"/>
  <c r="PD94" i="31"/>
  <c r="PD95" i="31"/>
  <c r="PD96" i="31"/>
  <c r="PD97" i="31"/>
  <c r="PD98" i="31"/>
  <c r="PD99" i="31"/>
  <c r="PD100" i="31"/>
  <c r="PD101" i="31"/>
  <c r="PD102" i="31"/>
  <c r="PD103" i="31"/>
  <c r="PD104" i="31"/>
  <c r="PD105" i="31"/>
  <c r="PD106" i="31"/>
  <c r="PD107" i="31"/>
  <c r="PD108" i="31"/>
  <c r="PD109" i="31"/>
  <c r="PD110" i="31"/>
  <c r="PD111" i="31"/>
  <c r="PD112" i="31"/>
  <c r="PD113" i="31"/>
  <c r="PD114" i="31"/>
  <c r="PD115" i="31"/>
  <c r="PD116" i="31"/>
  <c r="PD117" i="31"/>
  <c r="PD118" i="31"/>
  <c r="PD119" i="31"/>
  <c r="PD120" i="31"/>
  <c r="PD121" i="31"/>
  <c r="PD122" i="31"/>
  <c r="PD123" i="31"/>
  <c r="PD124" i="31"/>
  <c r="PD125" i="31"/>
  <c r="PD126" i="31"/>
  <c r="PD127" i="31"/>
  <c r="PD128" i="31"/>
  <c r="PD129" i="31"/>
  <c r="PD130" i="31"/>
  <c r="PD131" i="31"/>
  <c r="PD132" i="31"/>
  <c r="PD133" i="31"/>
  <c r="PD134" i="31"/>
  <c r="PD135" i="31"/>
  <c r="PD136" i="31"/>
  <c r="PD137" i="31"/>
  <c r="PD138" i="31"/>
  <c r="PD139" i="31"/>
  <c r="PD140" i="31"/>
  <c r="PD141" i="31"/>
  <c r="PD142" i="31"/>
  <c r="PD143" i="31"/>
  <c r="PD144" i="31"/>
  <c r="PD145" i="31"/>
  <c r="PD146" i="31"/>
  <c r="PD147" i="31"/>
  <c r="PD148" i="31"/>
  <c r="PD149" i="31"/>
  <c r="PD150" i="31"/>
  <c r="PD151" i="31"/>
  <c r="PD152" i="31"/>
  <c r="PD153" i="31"/>
  <c r="PD154" i="31"/>
  <c r="PD155" i="31"/>
  <c r="PD156" i="31"/>
  <c r="PD157" i="31"/>
  <c r="PD158" i="31"/>
  <c r="PD159" i="31"/>
  <c r="PD160" i="31"/>
  <c r="PD161" i="31"/>
  <c r="PD162" i="31"/>
  <c r="PD163" i="31"/>
  <c r="PD164" i="31"/>
  <c r="PD165" i="31"/>
  <c r="PD166" i="31"/>
  <c r="PD167" i="31"/>
  <c r="PD168" i="31"/>
  <c r="PD169" i="31"/>
  <c r="PD170" i="31"/>
  <c r="PD171" i="31"/>
  <c r="PD172" i="31"/>
  <c r="PD173" i="31"/>
  <c r="PD174" i="31"/>
  <c r="PD175" i="31"/>
  <c r="PD176" i="31"/>
  <c r="PD177" i="31"/>
  <c r="PD178" i="31"/>
  <c r="PD179" i="31"/>
  <c r="PD180" i="31"/>
  <c r="PD181" i="31"/>
  <c r="PD182" i="31"/>
  <c r="PD183" i="31"/>
  <c r="PD184" i="31"/>
  <c r="PD185" i="31"/>
  <c r="PD186" i="31"/>
  <c r="PD187" i="31"/>
  <c r="PD188" i="31"/>
  <c r="PD189" i="31"/>
  <c r="PD190" i="31"/>
  <c r="PD191" i="31"/>
  <c r="PD192" i="31"/>
  <c r="PD193" i="31"/>
  <c r="PD194" i="31"/>
  <c r="PD195" i="31"/>
  <c r="PD196" i="31"/>
  <c r="PD197" i="31"/>
  <c r="PD198" i="31"/>
  <c r="PD199" i="31"/>
  <c r="PD200" i="31"/>
  <c r="PD201" i="31"/>
  <c r="PD202" i="31"/>
  <c r="PD203" i="31"/>
  <c r="PD204" i="31"/>
  <c r="PD205" i="31"/>
  <c r="PD206" i="31"/>
  <c r="PD207" i="31"/>
  <c r="PD208" i="31"/>
  <c r="PD209" i="31"/>
  <c r="PD210" i="31"/>
  <c r="PD211" i="31"/>
  <c r="PD212" i="31"/>
  <c r="PD213" i="31"/>
  <c r="PD214" i="31"/>
  <c r="PD215" i="31"/>
  <c r="PD216" i="31"/>
  <c r="PD217" i="31"/>
  <c r="PD218" i="31"/>
  <c r="PD219" i="31"/>
  <c r="PD220" i="31"/>
  <c r="PD221" i="31"/>
  <c r="PD222" i="31"/>
  <c r="PD223" i="31"/>
  <c r="PD224" i="31"/>
  <c r="PD225" i="31"/>
  <c r="PD226" i="31"/>
  <c r="PD227" i="31"/>
  <c r="PD228" i="31"/>
  <c r="PD229" i="31"/>
  <c r="PD230" i="31"/>
  <c r="PD231" i="31"/>
  <c r="PD232" i="31"/>
  <c r="PD233" i="31"/>
  <c r="PD234" i="31"/>
  <c r="PD235" i="31"/>
  <c r="PD236" i="31"/>
  <c r="PD237" i="31"/>
  <c r="PD238" i="31"/>
  <c r="PD239" i="31"/>
  <c r="PD240" i="31"/>
  <c r="PD241" i="31"/>
  <c r="PD242" i="31"/>
  <c r="PD243" i="31"/>
  <c r="PD244" i="31"/>
  <c r="PD245" i="31"/>
  <c r="PD246" i="31"/>
  <c r="PD247" i="31"/>
  <c r="PD248" i="31"/>
  <c r="PD249" i="31"/>
  <c r="PD250" i="31"/>
  <c r="PD251" i="31"/>
  <c r="PD252" i="31"/>
  <c r="PD253" i="31"/>
  <c r="PD254" i="31"/>
  <c r="PD255" i="31"/>
  <c r="PD256" i="31"/>
  <c r="PD257" i="31"/>
  <c r="PD258" i="31"/>
  <c r="PD259" i="31"/>
  <c r="PD260" i="31"/>
  <c r="PD261" i="31"/>
  <c r="PD262" i="31"/>
  <c r="PD263" i="31"/>
  <c r="PD264" i="31"/>
  <c r="PD265" i="31"/>
  <c r="PD266" i="31"/>
  <c r="PD267" i="31"/>
  <c r="PD268" i="31"/>
  <c r="PD269" i="31"/>
  <c r="PD270" i="31"/>
  <c r="PD271" i="31"/>
  <c r="PD272" i="31"/>
  <c r="PD273" i="31"/>
  <c r="PD274" i="31"/>
  <c r="PD275" i="31"/>
  <c r="PD276" i="31"/>
  <c r="PD277" i="31"/>
  <c r="PD278" i="31"/>
  <c r="PD279" i="31"/>
  <c r="PD280" i="31"/>
  <c r="PD281" i="31"/>
  <c r="PD282" i="31"/>
  <c r="PD283" i="31"/>
  <c r="PD284" i="31"/>
  <c r="PD285" i="31"/>
  <c r="PD286" i="31"/>
  <c r="PD287" i="31"/>
  <c r="PD288" i="31"/>
  <c r="PD289" i="31"/>
  <c r="PD290" i="31"/>
  <c r="PD291" i="31"/>
  <c r="PD292" i="31"/>
  <c r="PD293" i="31"/>
  <c r="PD294" i="31"/>
  <c r="PD295" i="31"/>
  <c r="PD296" i="31"/>
  <c r="PD297" i="31"/>
  <c r="PD298" i="31"/>
  <c r="PD299" i="31"/>
  <c r="PD300" i="31"/>
  <c r="PD301" i="31"/>
  <c r="PD302" i="31"/>
  <c r="PD303" i="31"/>
  <c r="PD304" i="31"/>
  <c r="PD305" i="31"/>
  <c r="PD306" i="31"/>
  <c r="PD307" i="31"/>
  <c r="PD308" i="31"/>
  <c r="PD309" i="31"/>
  <c r="PD310" i="31"/>
  <c r="PD311" i="31"/>
  <c r="PD312" i="31"/>
  <c r="PD313" i="31"/>
  <c r="PD314" i="31"/>
  <c r="PD315" i="31"/>
  <c r="PD316" i="31"/>
  <c r="PD317" i="31"/>
  <c r="PD318" i="31"/>
  <c r="PD319" i="31"/>
  <c r="PD320" i="31"/>
  <c r="PD321" i="31"/>
  <c r="PD322" i="31"/>
  <c r="PD323" i="31"/>
  <c r="PD324" i="31"/>
  <c r="PD325" i="31"/>
  <c r="PD326" i="31"/>
  <c r="PD327" i="31"/>
  <c r="PD328" i="31"/>
  <c r="PD329" i="31"/>
  <c r="PD330" i="31"/>
  <c r="PD331" i="31"/>
  <c r="PD332" i="31"/>
  <c r="PD333" i="31"/>
  <c r="PD334" i="31"/>
  <c r="PD335" i="31"/>
  <c r="PD336" i="31"/>
  <c r="PD337" i="31"/>
  <c r="PD338" i="31"/>
  <c r="PD339" i="31"/>
  <c r="PD340" i="31"/>
  <c r="PD341" i="31"/>
  <c r="PD342" i="31"/>
  <c r="PD343" i="31"/>
  <c r="PD344" i="31"/>
  <c r="PD345" i="31"/>
  <c r="PD346" i="31"/>
  <c r="PD347" i="31"/>
  <c r="PD348" i="31"/>
  <c r="PD349" i="31"/>
  <c r="PD350" i="31"/>
  <c r="PD351" i="31"/>
  <c r="PD352" i="31"/>
  <c r="PD353" i="31"/>
  <c r="PD354" i="31"/>
  <c r="PD355" i="31"/>
  <c r="PD356" i="31"/>
  <c r="PD357" i="31"/>
  <c r="PD358" i="31"/>
  <c r="PD359" i="31"/>
  <c r="PD360" i="31"/>
  <c r="PD361" i="31"/>
  <c r="PD362" i="31"/>
  <c r="PD363" i="31"/>
  <c r="PD364" i="31"/>
  <c r="PD365" i="31"/>
  <c r="PD366" i="31"/>
  <c r="PD367" i="31"/>
  <c r="PD368" i="31"/>
  <c r="PD369" i="31"/>
  <c r="PD370" i="31"/>
  <c r="MX6" i="31" l="1"/>
  <c r="NA6" i="31" s="1"/>
  <c r="MS6" i="31" l="1"/>
  <c r="MV6" i="31" l="1"/>
  <c r="MT6" i="31"/>
  <c r="C58" i="1"/>
  <c r="OG6" i="31" l="1"/>
  <c r="K2" i="41" l="1"/>
  <c r="E2" i="41" s="1"/>
  <c r="C66" i="1" s="1"/>
  <c r="C6" i="41" l="1"/>
  <c r="G12" i="41"/>
  <c r="H13" i="31" s="1"/>
  <c r="K18" i="41"/>
  <c r="E25" i="41"/>
  <c r="E26" i="31" s="1"/>
  <c r="H8" i="41"/>
  <c r="J9" i="31" s="1"/>
  <c r="B15" i="41"/>
  <c r="C16" i="31" s="1"/>
  <c r="F21" i="41"/>
  <c r="D22" i="31" s="1"/>
  <c r="J27" i="41"/>
  <c r="D34" i="41"/>
  <c r="K35" i="31" s="1"/>
  <c r="H40" i="41"/>
  <c r="J41" i="31" s="1"/>
  <c r="B47" i="41"/>
  <c r="C48" i="31" s="1"/>
  <c r="F53" i="41"/>
  <c r="D54" i="31" s="1"/>
  <c r="J59" i="41"/>
  <c r="D66" i="41"/>
  <c r="K67" i="31" s="1"/>
  <c r="H72" i="41"/>
  <c r="J73" i="31" s="1"/>
  <c r="K11" i="41"/>
  <c r="E18" i="41"/>
  <c r="E19" i="31" s="1"/>
  <c r="I24" i="41"/>
  <c r="I25" i="31" s="1"/>
  <c r="C31" i="41"/>
  <c r="G37" i="41"/>
  <c r="H38" i="31" s="1"/>
  <c r="K43" i="41"/>
  <c r="E50" i="41"/>
  <c r="E51" i="31" s="1"/>
  <c r="I56" i="41"/>
  <c r="I57" i="31" s="1"/>
  <c r="C63" i="41"/>
  <c r="G69" i="41"/>
  <c r="H70" i="31" s="1"/>
  <c r="J8" i="41"/>
  <c r="D15" i="41"/>
  <c r="K16" i="31" s="1"/>
  <c r="H21" i="41"/>
  <c r="J22" i="31" s="1"/>
  <c r="E11" i="41"/>
  <c r="E12" i="31" s="1"/>
  <c r="I17" i="41"/>
  <c r="I18" i="31" s="1"/>
  <c r="C24" i="41"/>
  <c r="G30" i="41"/>
  <c r="H31" i="31" s="1"/>
  <c r="K36" i="41"/>
  <c r="E43" i="41"/>
  <c r="E44" i="31" s="1"/>
  <c r="I49" i="41"/>
  <c r="I50" i="31" s="1"/>
  <c r="C56" i="41"/>
  <c r="G62" i="41"/>
  <c r="H63" i="31" s="1"/>
  <c r="K68" i="41"/>
  <c r="D8" i="41"/>
  <c r="K9" i="31" s="1"/>
  <c r="H14" i="41"/>
  <c r="J15" i="31" s="1"/>
  <c r="B21" i="41"/>
  <c r="C22" i="31" s="1"/>
  <c r="F27" i="41"/>
  <c r="D28" i="31" s="1"/>
  <c r="J33" i="41"/>
  <c r="D40" i="41"/>
  <c r="K41" i="31" s="1"/>
  <c r="H46" i="41"/>
  <c r="J47" i="31" s="1"/>
  <c r="B53" i="41"/>
  <c r="C54" i="31" s="1"/>
  <c r="F59" i="41"/>
  <c r="D60" i="31" s="1"/>
  <c r="J65" i="41"/>
  <c r="E8" i="41"/>
  <c r="E9" i="31" s="1"/>
  <c r="I14" i="41"/>
  <c r="I15" i="31" s="1"/>
  <c r="C21" i="41"/>
  <c r="G27" i="41"/>
  <c r="H28" i="31" s="1"/>
  <c r="K33" i="41"/>
  <c r="E40" i="41"/>
  <c r="E41" i="31" s="1"/>
  <c r="I46" i="41"/>
  <c r="I47" i="31" s="1"/>
  <c r="C53" i="41"/>
  <c r="G59" i="41"/>
  <c r="H60" i="31" s="1"/>
  <c r="K65" i="41"/>
  <c r="F16" i="41"/>
  <c r="D17" i="31" s="1"/>
  <c r="I39" i="41"/>
  <c r="I40" i="31" s="1"/>
  <c r="J56" i="41"/>
  <c r="G72" i="41"/>
  <c r="H73" i="31" s="1"/>
  <c r="D79" i="41"/>
  <c r="K80" i="31" s="1"/>
  <c r="H85" i="41"/>
  <c r="J86" i="31" s="1"/>
  <c r="B92" i="41"/>
  <c r="C93" i="31" s="1"/>
  <c r="F98" i="41"/>
  <c r="D99" i="31" s="1"/>
  <c r="J104" i="41"/>
  <c r="D111" i="41"/>
  <c r="K112" i="31" s="1"/>
  <c r="H117" i="41"/>
  <c r="J118" i="31" s="1"/>
  <c r="E29" i="41"/>
  <c r="E30" i="31" s="1"/>
  <c r="F46" i="41"/>
  <c r="D47" i="31" s="1"/>
  <c r="H63" i="41"/>
  <c r="J64" i="31" s="1"/>
  <c r="E75" i="41"/>
  <c r="E76" i="31" s="1"/>
  <c r="I81" i="41"/>
  <c r="I82" i="31" s="1"/>
  <c r="C88" i="41"/>
  <c r="G94" i="41"/>
  <c r="H95" i="31" s="1"/>
  <c r="K100" i="41"/>
  <c r="H23" i="41"/>
  <c r="J24" i="31" s="1"/>
  <c r="F42" i="41"/>
  <c r="D43" i="31" s="1"/>
  <c r="H59" i="41"/>
  <c r="J60" i="31" s="1"/>
  <c r="J73" i="41"/>
  <c r="D80" i="41"/>
  <c r="K81" i="31" s="1"/>
  <c r="H86" i="41"/>
  <c r="J87" i="31" s="1"/>
  <c r="B93" i="41"/>
  <c r="C94" i="31" s="1"/>
  <c r="F99" i="41"/>
  <c r="D100" i="31" s="1"/>
  <c r="K6" i="41"/>
  <c r="E13" i="41"/>
  <c r="E14" i="31" s="1"/>
  <c r="I19" i="41"/>
  <c r="I20" i="31" s="1"/>
  <c r="C26" i="41"/>
  <c r="F9" i="41"/>
  <c r="D10" i="31" s="1"/>
  <c r="J15" i="41"/>
  <c r="D22" i="41"/>
  <c r="K23" i="31" s="1"/>
  <c r="H28" i="41"/>
  <c r="J29" i="31" s="1"/>
  <c r="B35" i="41"/>
  <c r="C36" i="31" s="1"/>
  <c r="F41" i="41"/>
  <c r="D42" i="31" s="1"/>
  <c r="J47" i="41"/>
  <c r="D54" i="41"/>
  <c r="K55" i="31" s="1"/>
  <c r="H60" i="41"/>
  <c r="J61" i="31" s="1"/>
  <c r="B67" i="41"/>
  <c r="C68" i="31" s="1"/>
  <c r="E6" i="41"/>
  <c r="E7" i="31" s="1"/>
  <c r="I12" i="41"/>
  <c r="I13" i="31" s="1"/>
  <c r="C19" i="41"/>
  <c r="G25" i="41"/>
  <c r="H26" i="31" s="1"/>
  <c r="K31" i="41"/>
  <c r="E38" i="41"/>
  <c r="E39" i="31" s="1"/>
  <c r="I44" i="41"/>
  <c r="I45" i="31" s="1"/>
  <c r="C51" i="41"/>
  <c r="G57" i="41"/>
  <c r="H58" i="31" s="1"/>
  <c r="K63" i="41"/>
  <c r="E70" i="41"/>
  <c r="E71" i="31" s="1"/>
  <c r="H9" i="41"/>
  <c r="J10" i="31" s="1"/>
  <c r="B16" i="41"/>
  <c r="C17" i="31" s="1"/>
  <c r="F22" i="41"/>
  <c r="D23" i="31" s="1"/>
  <c r="C12" i="41"/>
  <c r="G18" i="41"/>
  <c r="H19" i="31" s="1"/>
  <c r="K24" i="41"/>
  <c r="E31" i="41"/>
  <c r="E32" i="31" s="1"/>
  <c r="I37" i="41"/>
  <c r="I38" i="31" s="1"/>
  <c r="C44" i="41"/>
  <c r="G50" i="41"/>
  <c r="H51" i="31" s="1"/>
  <c r="K56" i="41"/>
  <c r="E63" i="41"/>
  <c r="E64" i="31" s="1"/>
  <c r="I69" i="41"/>
  <c r="I70" i="31" s="1"/>
  <c r="B9" i="41"/>
  <c r="C10" i="31" s="1"/>
  <c r="F15" i="41"/>
  <c r="D16" i="31" s="1"/>
  <c r="J21" i="41"/>
  <c r="D28" i="41"/>
  <c r="K29" i="31" s="1"/>
  <c r="H34" i="41"/>
  <c r="J35" i="31" s="1"/>
  <c r="B41" i="41"/>
  <c r="C42" i="31" s="1"/>
  <c r="F47" i="41"/>
  <c r="D48" i="31" s="1"/>
  <c r="J53" i="41"/>
  <c r="D60" i="41"/>
  <c r="K61" i="31" s="1"/>
  <c r="H66" i="41"/>
  <c r="J67" i="31" s="1"/>
  <c r="C9" i="41"/>
  <c r="G15" i="41"/>
  <c r="H16" i="31" s="1"/>
  <c r="K21" i="41"/>
  <c r="E28" i="41"/>
  <c r="E29" i="31" s="1"/>
  <c r="I34" i="41"/>
  <c r="I35" i="31" s="1"/>
  <c r="C41" i="41"/>
  <c r="G47" i="41"/>
  <c r="H48" i="31" s="1"/>
  <c r="K53" i="41"/>
  <c r="E60" i="41"/>
  <c r="E61" i="31" s="1"/>
  <c r="I66" i="41"/>
  <c r="I67" i="31" s="1"/>
  <c r="J22" i="41"/>
  <c r="B42" i="41"/>
  <c r="C43" i="31" s="1"/>
  <c r="K58" i="41"/>
  <c r="H73" i="41"/>
  <c r="J74" i="31" s="1"/>
  <c r="B80" i="41"/>
  <c r="C81" i="31" s="1"/>
  <c r="F86" i="41"/>
  <c r="D87" i="31" s="1"/>
  <c r="J92" i="41"/>
  <c r="D99" i="41"/>
  <c r="K100" i="31" s="1"/>
  <c r="H105" i="41"/>
  <c r="J106" i="31" s="1"/>
  <c r="B112" i="41"/>
  <c r="C113" i="31" s="1"/>
  <c r="F118" i="41"/>
  <c r="D119" i="31" s="1"/>
  <c r="H31" i="41"/>
  <c r="J32" i="31" s="1"/>
  <c r="G48" i="41"/>
  <c r="H49" i="31" s="1"/>
  <c r="H65" i="41"/>
  <c r="J66" i="31" s="1"/>
  <c r="C76" i="41"/>
  <c r="G82" i="41"/>
  <c r="H83" i="31" s="1"/>
  <c r="K88" i="41"/>
  <c r="E95" i="41"/>
  <c r="E96" i="31" s="1"/>
  <c r="I101" i="41"/>
  <c r="I102" i="31" s="1"/>
  <c r="J26" i="41"/>
  <c r="G44" i="41"/>
  <c r="H45" i="31" s="1"/>
  <c r="H61" i="41"/>
  <c r="J62" i="31" s="1"/>
  <c r="H74" i="41"/>
  <c r="J75" i="31" s="1"/>
  <c r="B81" i="41"/>
  <c r="C82" i="31" s="1"/>
  <c r="F87" i="41"/>
  <c r="D88" i="31" s="1"/>
  <c r="J93" i="41"/>
  <c r="D100" i="41"/>
  <c r="K101" i="31" s="1"/>
  <c r="I7" i="41"/>
  <c r="I8" i="31" s="1"/>
  <c r="OE8" i="31" s="1"/>
  <c r="C14" i="41"/>
  <c r="G20" i="41"/>
  <c r="H21" i="31" s="1"/>
  <c r="K26" i="41"/>
  <c r="D10" i="41"/>
  <c r="K11" i="31" s="1"/>
  <c r="H16" i="41"/>
  <c r="J17" i="31" s="1"/>
  <c r="B23" i="41"/>
  <c r="C24" i="31" s="1"/>
  <c r="F29" i="41"/>
  <c r="D30" i="31" s="1"/>
  <c r="J35" i="41"/>
  <c r="D42" i="41"/>
  <c r="K43" i="31" s="1"/>
  <c r="H48" i="41"/>
  <c r="J49" i="31" s="1"/>
  <c r="B55" i="41"/>
  <c r="C56" i="31" s="1"/>
  <c r="F61" i="41"/>
  <c r="D62" i="31" s="1"/>
  <c r="J67" i="41"/>
  <c r="C7" i="41"/>
  <c r="G13" i="41"/>
  <c r="H14" i="31" s="1"/>
  <c r="K19" i="41"/>
  <c r="E26" i="41"/>
  <c r="E27" i="31" s="1"/>
  <c r="I32" i="41"/>
  <c r="I33" i="31" s="1"/>
  <c r="C39" i="41"/>
  <c r="G45" i="41"/>
  <c r="H46" i="31" s="1"/>
  <c r="K51" i="41"/>
  <c r="E58" i="41"/>
  <c r="E59" i="31" s="1"/>
  <c r="I64" i="41"/>
  <c r="I65" i="31" s="1"/>
  <c r="C71" i="41"/>
  <c r="F10" i="41"/>
  <c r="D11" i="31" s="1"/>
  <c r="J16" i="41"/>
  <c r="G6" i="41"/>
  <c r="H7" i="31" s="1"/>
  <c r="K12" i="41"/>
  <c r="E19" i="41"/>
  <c r="E20" i="31" s="1"/>
  <c r="I25" i="41"/>
  <c r="I26" i="31" s="1"/>
  <c r="C32" i="41"/>
  <c r="G38" i="41"/>
  <c r="H39" i="31" s="1"/>
  <c r="K44" i="41"/>
  <c r="E51" i="41"/>
  <c r="E52" i="31" s="1"/>
  <c r="I57" i="41"/>
  <c r="I58" i="31" s="1"/>
  <c r="C64" i="41"/>
  <c r="G70" i="41"/>
  <c r="H71" i="31" s="1"/>
  <c r="J9" i="41"/>
  <c r="D16" i="41"/>
  <c r="K17" i="31" s="1"/>
  <c r="H22" i="41"/>
  <c r="J23" i="31" s="1"/>
  <c r="B29" i="41"/>
  <c r="C30" i="31" s="1"/>
  <c r="F35" i="41"/>
  <c r="D36" i="31" s="1"/>
  <c r="J41" i="41"/>
  <c r="D48" i="41"/>
  <c r="K49" i="31" s="1"/>
  <c r="H54" i="41"/>
  <c r="J55" i="31" s="1"/>
  <c r="B61" i="41"/>
  <c r="C62" i="31" s="1"/>
  <c r="F67" i="41"/>
  <c r="D68" i="31" s="1"/>
  <c r="K9" i="41"/>
  <c r="E16" i="41"/>
  <c r="E17" i="31" s="1"/>
  <c r="I22" i="41"/>
  <c r="I23" i="31" s="1"/>
  <c r="C29" i="41"/>
  <c r="G35" i="41"/>
  <c r="H36" i="31" s="1"/>
  <c r="K41" i="41"/>
  <c r="E48" i="41"/>
  <c r="E49" i="31" s="1"/>
  <c r="I54" i="41"/>
  <c r="I55" i="31" s="1"/>
  <c r="C61" i="41"/>
  <c r="G67" i="41"/>
  <c r="H68" i="31" s="1"/>
  <c r="B26" i="41"/>
  <c r="C27" i="31" s="1"/>
  <c r="B44" i="41"/>
  <c r="C45" i="31" s="1"/>
  <c r="D61" i="41"/>
  <c r="K62" i="31" s="1"/>
  <c r="F74" i="41"/>
  <c r="D75" i="31" s="1"/>
  <c r="J80" i="41"/>
  <c r="D87" i="41"/>
  <c r="K88" i="31" s="1"/>
  <c r="H93" i="41"/>
  <c r="J94" i="31" s="1"/>
  <c r="B100" i="41"/>
  <c r="C101" i="31" s="1"/>
  <c r="F106" i="41"/>
  <c r="D107" i="31" s="1"/>
  <c r="J112" i="41"/>
  <c r="D119" i="41"/>
  <c r="K120" i="31" s="1"/>
  <c r="H33" i="41"/>
  <c r="J34" i="31" s="1"/>
  <c r="J50" i="41"/>
  <c r="I67" i="41"/>
  <c r="I68" i="31" s="1"/>
  <c r="K76" i="41"/>
  <c r="E83" i="41"/>
  <c r="E84" i="31" s="1"/>
  <c r="I89" i="41"/>
  <c r="I90" i="31" s="1"/>
  <c r="C96" i="41"/>
  <c r="G102" i="41"/>
  <c r="H103" i="31" s="1"/>
  <c r="H29" i="41"/>
  <c r="J30" i="31" s="1"/>
  <c r="J46" i="41"/>
  <c r="I63" i="41"/>
  <c r="I64" i="31" s="1"/>
  <c r="F75" i="41"/>
  <c r="D76" i="31" s="1"/>
  <c r="J81" i="41"/>
  <c r="D88" i="41"/>
  <c r="K89" i="31" s="1"/>
  <c r="H94" i="41"/>
  <c r="J95" i="31" s="1"/>
  <c r="B101" i="41"/>
  <c r="C102" i="31" s="1"/>
  <c r="G8" i="41"/>
  <c r="H9" i="31" s="1"/>
  <c r="K14" i="41"/>
  <c r="E21" i="41"/>
  <c r="E22" i="31" s="1"/>
  <c r="I27" i="41"/>
  <c r="I28" i="31" s="1"/>
  <c r="B11" i="41"/>
  <c r="C12" i="31" s="1"/>
  <c r="F17" i="41"/>
  <c r="D18" i="31" s="1"/>
  <c r="J23" i="41"/>
  <c r="D30" i="41"/>
  <c r="K31" i="31" s="1"/>
  <c r="H36" i="41"/>
  <c r="J37" i="31" s="1"/>
  <c r="B43" i="41"/>
  <c r="C44" i="31" s="1"/>
  <c r="F49" i="41"/>
  <c r="D50" i="31" s="1"/>
  <c r="J55" i="41"/>
  <c r="D62" i="41"/>
  <c r="K63" i="31" s="1"/>
  <c r="H68" i="41"/>
  <c r="J69" i="31" s="1"/>
  <c r="K7" i="41"/>
  <c r="E14" i="41"/>
  <c r="E15" i="31" s="1"/>
  <c r="I20" i="41"/>
  <c r="I21" i="31" s="1"/>
  <c r="C27" i="41"/>
  <c r="G33" i="41"/>
  <c r="H34" i="31" s="1"/>
  <c r="K39" i="41"/>
  <c r="E46" i="41"/>
  <c r="E47" i="31" s="1"/>
  <c r="I52" i="41"/>
  <c r="I53" i="31" s="1"/>
  <c r="C59" i="41"/>
  <c r="G65" i="41"/>
  <c r="H66" i="31" s="1"/>
  <c r="K71" i="41"/>
  <c r="D11" i="41"/>
  <c r="K12" i="31" s="1"/>
  <c r="H17" i="41"/>
  <c r="J18" i="31" s="1"/>
  <c r="E7" i="41"/>
  <c r="E8" i="31" s="1"/>
  <c r="I13" i="41"/>
  <c r="I14" i="31" s="1"/>
  <c r="C20" i="41"/>
  <c r="G26" i="41"/>
  <c r="H27" i="31" s="1"/>
  <c r="K32" i="41"/>
  <c r="E39" i="41"/>
  <c r="E40" i="31" s="1"/>
  <c r="I45" i="41"/>
  <c r="I46" i="31" s="1"/>
  <c r="C52" i="41"/>
  <c r="G58" i="41"/>
  <c r="H59" i="31" s="1"/>
  <c r="K64" i="41"/>
  <c r="E71" i="41"/>
  <c r="E72" i="31" s="1"/>
  <c r="H10" i="41"/>
  <c r="J11" i="31" s="1"/>
  <c r="B17" i="41"/>
  <c r="C18" i="31" s="1"/>
  <c r="F23" i="41"/>
  <c r="D24" i="31" s="1"/>
  <c r="J29" i="41"/>
  <c r="D36" i="41"/>
  <c r="K37" i="31" s="1"/>
  <c r="H42" i="41"/>
  <c r="J43" i="31" s="1"/>
  <c r="B49" i="41"/>
  <c r="C50" i="31" s="1"/>
  <c r="F55" i="41"/>
  <c r="D56" i="31" s="1"/>
  <c r="J61" i="41"/>
  <c r="D68" i="41"/>
  <c r="K69" i="31" s="1"/>
  <c r="I10" i="41"/>
  <c r="I11" i="31" s="1"/>
  <c r="C17" i="41"/>
  <c r="G23" i="41"/>
  <c r="H24" i="31" s="1"/>
  <c r="K29" i="41"/>
  <c r="E36" i="41"/>
  <c r="E37" i="31" s="1"/>
  <c r="I42" i="41"/>
  <c r="I43" i="31" s="1"/>
  <c r="C49" i="41"/>
  <c r="G55" i="41"/>
  <c r="H56" i="31" s="1"/>
  <c r="K61" i="41"/>
  <c r="E68" i="41"/>
  <c r="E69" i="31" s="1"/>
  <c r="D29" i="41"/>
  <c r="K30" i="31" s="1"/>
  <c r="C46" i="41"/>
  <c r="D63" i="41"/>
  <c r="K64" i="31" s="1"/>
  <c r="D75" i="41"/>
  <c r="K76" i="31" s="1"/>
  <c r="H81" i="41"/>
  <c r="J82" i="31" s="1"/>
  <c r="B88" i="41"/>
  <c r="C89" i="31" s="1"/>
  <c r="F94" i="41"/>
  <c r="D95" i="31" s="1"/>
  <c r="J100" i="41"/>
  <c r="D107" i="41"/>
  <c r="K108" i="31" s="1"/>
  <c r="H113" i="41"/>
  <c r="J114" i="31" s="1"/>
  <c r="B120" i="41"/>
  <c r="C121" i="31" s="1"/>
  <c r="I35" i="41"/>
  <c r="I36" i="31" s="1"/>
  <c r="J52" i="41"/>
  <c r="B70" i="41"/>
  <c r="C71" i="31" s="1"/>
  <c r="I77" i="41"/>
  <c r="I78" i="31" s="1"/>
  <c r="C84" i="41"/>
  <c r="G90" i="41"/>
  <c r="H91" i="31" s="1"/>
  <c r="K96" i="41"/>
  <c r="E103" i="41"/>
  <c r="E104" i="31" s="1"/>
  <c r="I31" i="41"/>
  <c r="I32" i="31" s="1"/>
  <c r="J48" i="41"/>
  <c r="B66" i="41"/>
  <c r="C67" i="31" s="1"/>
  <c r="D76" i="41"/>
  <c r="K77" i="31" s="1"/>
  <c r="H82" i="41"/>
  <c r="J83" i="31" s="1"/>
  <c r="B89" i="41"/>
  <c r="C90" i="31" s="1"/>
  <c r="E9" i="41"/>
  <c r="E10" i="31" s="1"/>
  <c r="I15" i="41"/>
  <c r="I16" i="31" s="1"/>
  <c r="C22" i="41"/>
  <c r="G28" i="41"/>
  <c r="H29" i="31" s="1"/>
  <c r="J11" i="41"/>
  <c r="D18" i="41"/>
  <c r="K19" i="31" s="1"/>
  <c r="H24" i="41"/>
  <c r="J25" i="31" s="1"/>
  <c r="B31" i="41"/>
  <c r="C32" i="31" s="1"/>
  <c r="F37" i="41"/>
  <c r="D38" i="31" s="1"/>
  <c r="J43" i="41"/>
  <c r="D50" i="41"/>
  <c r="K51" i="31" s="1"/>
  <c r="H56" i="41"/>
  <c r="J57" i="31" s="1"/>
  <c r="B63" i="41"/>
  <c r="C64" i="31" s="1"/>
  <c r="F69" i="41"/>
  <c r="D70" i="31" s="1"/>
  <c r="I8" i="41"/>
  <c r="I9" i="31" s="1"/>
  <c r="C15" i="41"/>
  <c r="G21" i="41"/>
  <c r="H22" i="31" s="1"/>
  <c r="K27" i="41"/>
  <c r="E34" i="41"/>
  <c r="E35" i="31" s="1"/>
  <c r="I40" i="41"/>
  <c r="I41" i="31" s="1"/>
  <c r="C47" i="41"/>
  <c r="G53" i="41"/>
  <c r="H54" i="31" s="1"/>
  <c r="K59" i="41"/>
  <c r="E66" i="41"/>
  <c r="E67" i="31" s="1"/>
  <c r="I72" i="41"/>
  <c r="I73" i="31" s="1"/>
  <c r="B12" i="41"/>
  <c r="C13" i="31" s="1"/>
  <c r="F18" i="41"/>
  <c r="D19" i="31" s="1"/>
  <c r="C8" i="41"/>
  <c r="G14" i="41"/>
  <c r="H15" i="31" s="1"/>
  <c r="K20" i="41"/>
  <c r="E27" i="41"/>
  <c r="E28" i="31" s="1"/>
  <c r="I33" i="41"/>
  <c r="I34" i="31" s="1"/>
  <c r="C40" i="41"/>
  <c r="G46" i="41"/>
  <c r="H47" i="31" s="1"/>
  <c r="K52" i="41"/>
  <c r="E59" i="41"/>
  <c r="E60" i="31" s="1"/>
  <c r="I65" i="41"/>
  <c r="I66" i="31" s="1"/>
  <c r="C72" i="41"/>
  <c r="F11" i="41"/>
  <c r="D12" i="31" s="1"/>
  <c r="J17" i="41"/>
  <c r="D24" i="41"/>
  <c r="K25" i="31" s="1"/>
  <c r="H30" i="41"/>
  <c r="J31" i="31" s="1"/>
  <c r="B37" i="41"/>
  <c r="C38" i="31" s="1"/>
  <c r="F43" i="41"/>
  <c r="D44" i="31" s="1"/>
  <c r="J49" i="41"/>
  <c r="D56" i="41"/>
  <c r="K57" i="31" s="1"/>
  <c r="H62" i="41"/>
  <c r="J63" i="31" s="1"/>
  <c r="B69" i="41"/>
  <c r="C70" i="31" s="1"/>
  <c r="G11" i="41"/>
  <c r="H12" i="31" s="1"/>
  <c r="K17" i="41"/>
  <c r="E24" i="41"/>
  <c r="E25" i="31" s="1"/>
  <c r="I30" i="41"/>
  <c r="I31" i="31" s="1"/>
  <c r="C37" i="41"/>
  <c r="G43" i="41"/>
  <c r="H44" i="31" s="1"/>
  <c r="K49" i="41"/>
  <c r="E56" i="41"/>
  <c r="E57" i="31" s="1"/>
  <c r="I62" i="41"/>
  <c r="I63" i="31" s="1"/>
  <c r="C69" i="41"/>
  <c r="D31" i="41"/>
  <c r="K32" i="31" s="1"/>
  <c r="F48" i="41"/>
  <c r="D49" i="31" s="1"/>
  <c r="E65" i="41"/>
  <c r="E66" i="31" s="1"/>
  <c r="B76" i="41"/>
  <c r="C77" i="31" s="1"/>
  <c r="F82" i="41"/>
  <c r="D83" i="31" s="1"/>
  <c r="J88" i="41"/>
  <c r="D95" i="41"/>
  <c r="K96" i="31" s="1"/>
  <c r="H101" i="41"/>
  <c r="J102" i="31" s="1"/>
  <c r="B108" i="41"/>
  <c r="C109" i="31" s="1"/>
  <c r="F114" i="41"/>
  <c r="D115" i="31" s="1"/>
  <c r="J10" i="41"/>
  <c r="B38" i="41"/>
  <c r="C39" i="31" s="1"/>
  <c r="K54" i="41"/>
  <c r="G71" i="41"/>
  <c r="H72" i="31" s="1"/>
  <c r="G78" i="41"/>
  <c r="H79" i="31" s="1"/>
  <c r="K84" i="41"/>
  <c r="E91" i="41"/>
  <c r="E92" i="31" s="1"/>
  <c r="I97" i="41"/>
  <c r="I98" i="31" s="1"/>
  <c r="C10" i="41"/>
  <c r="G16" i="41"/>
  <c r="H17" i="31" s="1"/>
  <c r="K22" i="41"/>
  <c r="D6" i="41"/>
  <c r="K7" i="31" s="1"/>
  <c r="H12" i="41"/>
  <c r="J13" i="31" s="1"/>
  <c r="B19" i="41"/>
  <c r="C20" i="31" s="1"/>
  <c r="F25" i="41"/>
  <c r="D26" i="31" s="1"/>
  <c r="J31" i="41"/>
  <c r="D38" i="41"/>
  <c r="K39" i="31" s="1"/>
  <c r="H44" i="41"/>
  <c r="J45" i="31" s="1"/>
  <c r="B51" i="41"/>
  <c r="C52" i="31" s="1"/>
  <c r="F57" i="41"/>
  <c r="D58" i="31" s="1"/>
  <c r="J63" i="41"/>
  <c r="D70" i="41"/>
  <c r="K71" i="31" s="1"/>
  <c r="G9" i="41"/>
  <c r="H10" i="31" s="1"/>
  <c r="K15" i="41"/>
  <c r="E22" i="41"/>
  <c r="E23" i="31" s="1"/>
  <c r="I28" i="41"/>
  <c r="I29" i="31" s="1"/>
  <c r="C35" i="41"/>
  <c r="G41" i="41"/>
  <c r="H42" i="31" s="1"/>
  <c r="K47" i="41"/>
  <c r="E54" i="41"/>
  <c r="E55" i="31" s="1"/>
  <c r="I60" i="41"/>
  <c r="I61" i="31" s="1"/>
  <c r="C67" i="41"/>
  <c r="F6" i="41"/>
  <c r="D7" i="31" s="1"/>
  <c r="J12" i="41"/>
  <c r="D19" i="41"/>
  <c r="K20" i="31" s="1"/>
  <c r="K8" i="41"/>
  <c r="E15" i="41"/>
  <c r="E16" i="31" s="1"/>
  <c r="I21" i="41"/>
  <c r="I22" i="31" s="1"/>
  <c r="C28" i="41"/>
  <c r="G34" i="41"/>
  <c r="H35" i="31" s="1"/>
  <c r="K40" i="41"/>
  <c r="E47" i="41"/>
  <c r="E48" i="31" s="1"/>
  <c r="I53" i="41"/>
  <c r="I54" i="31" s="1"/>
  <c r="C60" i="41"/>
  <c r="G66" i="41"/>
  <c r="H67" i="31" s="1"/>
  <c r="K72" i="41"/>
  <c r="D12" i="41"/>
  <c r="K13" i="31" s="1"/>
  <c r="H18" i="41"/>
  <c r="J19" i="31" s="1"/>
  <c r="B25" i="41"/>
  <c r="C26" i="31" s="1"/>
  <c r="F31" i="41"/>
  <c r="D32" i="31" s="1"/>
  <c r="J37" i="41"/>
  <c r="D44" i="41"/>
  <c r="K45" i="31" s="1"/>
  <c r="H50" i="41"/>
  <c r="J51" i="31" s="1"/>
  <c r="B57" i="41"/>
  <c r="C58" i="31" s="1"/>
  <c r="F63" i="41"/>
  <c r="D64" i="31" s="1"/>
  <c r="J69" i="41"/>
  <c r="E12" i="41"/>
  <c r="E13" i="31" s="1"/>
  <c r="I18" i="41"/>
  <c r="I19" i="31" s="1"/>
  <c r="C25" i="41"/>
  <c r="G31" i="41"/>
  <c r="H32" i="31" s="1"/>
  <c r="K37" i="41"/>
  <c r="E44" i="41"/>
  <c r="E45" i="31" s="1"/>
  <c r="I50" i="41"/>
  <c r="I51" i="31" s="1"/>
  <c r="C57" i="41"/>
  <c r="G63" i="41"/>
  <c r="H64" i="31" s="1"/>
  <c r="K69" i="41"/>
  <c r="E33" i="41"/>
  <c r="E34" i="31" s="1"/>
  <c r="F50" i="41"/>
  <c r="D51" i="31" s="1"/>
  <c r="H67" i="41"/>
  <c r="J68" i="31" s="1"/>
  <c r="J76" i="41"/>
  <c r="D83" i="41"/>
  <c r="K84" i="31" s="1"/>
  <c r="H89" i="41"/>
  <c r="J90" i="31" s="1"/>
  <c r="B96" i="41"/>
  <c r="C97" i="31" s="1"/>
  <c r="F102" i="41"/>
  <c r="D103" i="31" s="1"/>
  <c r="J108" i="41"/>
  <c r="D115" i="41"/>
  <c r="K116" i="31" s="1"/>
  <c r="D17" i="41"/>
  <c r="K18" i="31" s="1"/>
  <c r="B40" i="41"/>
  <c r="C41" i="31" s="1"/>
  <c r="D57" i="41"/>
  <c r="K58" i="31" s="1"/>
  <c r="J72" i="41"/>
  <c r="E79" i="41"/>
  <c r="E80" i="31" s="1"/>
  <c r="I85" i="41"/>
  <c r="I86" i="31" s="1"/>
  <c r="C92" i="41"/>
  <c r="G98" i="41"/>
  <c r="H99" i="31" s="1"/>
  <c r="K104" i="41"/>
  <c r="B36" i="41"/>
  <c r="C37" i="31" s="1"/>
  <c r="D53" i="41"/>
  <c r="K54" i="31" s="1"/>
  <c r="C70" i="41"/>
  <c r="J77" i="41"/>
  <c r="D84" i="41"/>
  <c r="K85" i="31" s="1"/>
  <c r="H90" i="41"/>
  <c r="J91" i="31" s="1"/>
  <c r="B97" i="41"/>
  <c r="C98" i="31" s="1"/>
  <c r="K10" i="41"/>
  <c r="F13" i="41"/>
  <c r="D14" i="31" s="1"/>
  <c r="B39" i="41"/>
  <c r="C40" i="31" s="1"/>
  <c r="H64" i="41"/>
  <c r="J65" i="31" s="1"/>
  <c r="C23" i="41"/>
  <c r="I48" i="41"/>
  <c r="I49" i="31" s="1"/>
  <c r="D7" i="41"/>
  <c r="K8" i="31" s="1"/>
  <c r="C16" i="41"/>
  <c r="I41" i="41"/>
  <c r="I42" i="31" s="1"/>
  <c r="E67" i="41"/>
  <c r="E68" i="31" s="1"/>
  <c r="J25" i="41"/>
  <c r="F51" i="41"/>
  <c r="D52" i="31" s="1"/>
  <c r="C13" i="41"/>
  <c r="I38" i="41"/>
  <c r="I39" i="31" s="1"/>
  <c r="E64" i="41"/>
  <c r="E65" i="31" s="1"/>
  <c r="H69" i="41"/>
  <c r="J70" i="31" s="1"/>
  <c r="J96" i="41"/>
  <c r="D23" i="41"/>
  <c r="K24" i="31" s="1"/>
  <c r="C80" i="41"/>
  <c r="C104" i="41"/>
  <c r="E57" i="41"/>
  <c r="E58" i="31" s="1"/>
  <c r="B85" i="41"/>
  <c r="C86" i="31" s="1"/>
  <c r="H98" i="41"/>
  <c r="J99" i="31" s="1"/>
  <c r="B6" i="41"/>
  <c r="C7" i="31" s="1"/>
  <c r="F36" i="41"/>
  <c r="D37" i="31" s="1"/>
  <c r="E53" i="41"/>
  <c r="E54" i="31" s="1"/>
  <c r="F70" i="41"/>
  <c r="D71" i="31" s="1"/>
  <c r="K77" i="41"/>
  <c r="E84" i="41"/>
  <c r="E85" i="31" s="1"/>
  <c r="I90" i="41"/>
  <c r="I91" i="31" s="1"/>
  <c r="C97" i="41"/>
  <c r="D13" i="41"/>
  <c r="K14" i="31" s="1"/>
  <c r="J38" i="41"/>
  <c r="I55" i="41"/>
  <c r="I56" i="31" s="1"/>
  <c r="B72" i="41"/>
  <c r="C73" i="31" s="1"/>
  <c r="J78" i="41"/>
  <c r="D85" i="41"/>
  <c r="K86" i="31" s="1"/>
  <c r="H91" i="41"/>
  <c r="J92" i="31" s="1"/>
  <c r="D25" i="41"/>
  <c r="K26" i="31" s="1"/>
  <c r="H43" i="41"/>
  <c r="J44" i="31" s="1"/>
  <c r="G60" i="41"/>
  <c r="H61" i="31" s="1"/>
  <c r="D74" i="41"/>
  <c r="K75" i="31" s="1"/>
  <c r="H80" i="41"/>
  <c r="J81" i="31" s="1"/>
  <c r="B87" i="41"/>
  <c r="C88" i="31" s="1"/>
  <c r="F93" i="41"/>
  <c r="D94" i="31" s="1"/>
  <c r="J99" i="41"/>
  <c r="I76" i="41"/>
  <c r="I77" i="31" s="1"/>
  <c r="J34" i="41"/>
  <c r="I83" i="41"/>
  <c r="I84" i="31" s="1"/>
  <c r="C103" i="41"/>
  <c r="F111" i="41"/>
  <c r="D112" i="31" s="1"/>
  <c r="I118" i="41"/>
  <c r="I119" i="31" s="1"/>
  <c r="E125" i="41"/>
  <c r="E126" i="31" s="1"/>
  <c r="I131" i="41"/>
  <c r="I132" i="31" s="1"/>
  <c r="C138" i="41"/>
  <c r="G144" i="41"/>
  <c r="H145" i="31" s="1"/>
  <c r="K150" i="41"/>
  <c r="G77" i="41"/>
  <c r="H78" i="31" s="1"/>
  <c r="G100" i="41"/>
  <c r="H101" i="31" s="1"/>
  <c r="I109" i="41"/>
  <c r="I110" i="31" s="1"/>
  <c r="B117" i="41"/>
  <c r="C118" i="31" s="1"/>
  <c r="J123" i="41"/>
  <c r="D130" i="41"/>
  <c r="K131" i="31" s="1"/>
  <c r="H136" i="41"/>
  <c r="J137" i="31" s="1"/>
  <c r="B143" i="41"/>
  <c r="C144" i="31" s="1"/>
  <c r="F149" i="41"/>
  <c r="D150" i="31" s="1"/>
  <c r="J155" i="41"/>
  <c r="D162" i="41"/>
  <c r="K163" i="31" s="1"/>
  <c r="H168" i="41"/>
  <c r="J169" i="31" s="1"/>
  <c r="B175" i="41"/>
  <c r="C176" i="31" s="1"/>
  <c r="F62" i="41"/>
  <c r="D63" i="31" s="1"/>
  <c r="C94" i="41"/>
  <c r="K75" i="41"/>
  <c r="H99" i="41"/>
  <c r="J100" i="31" s="1"/>
  <c r="D109" i="41"/>
  <c r="K110" i="31" s="1"/>
  <c r="G116" i="41"/>
  <c r="H117" i="31" s="1"/>
  <c r="F123" i="41"/>
  <c r="D124" i="31" s="1"/>
  <c r="J129" i="41"/>
  <c r="D136" i="41"/>
  <c r="K137" i="31" s="1"/>
  <c r="H142" i="41"/>
  <c r="J143" i="31" s="1"/>
  <c r="B149" i="41"/>
  <c r="C150" i="31" s="1"/>
  <c r="F155" i="41"/>
  <c r="D156" i="31" s="1"/>
  <c r="C58" i="41"/>
  <c r="G92" i="41"/>
  <c r="H93" i="31" s="1"/>
  <c r="G106" i="41"/>
  <c r="H107" i="31" s="1"/>
  <c r="K113" i="41"/>
  <c r="I11" i="41"/>
  <c r="I12" i="31" s="1"/>
  <c r="D14" i="41"/>
  <c r="K15" i="31" s="1"/>
  <c r="J39" i="41"/>
  <c r="F65" i="41"/>
  <c r="D66" i="31" s="1"/>
  <c r="K23" i="41"/>
  <c r="G49" i="41"/>
  <c r="H50" i="31" s="1"/>
  <c r="B8" i="41"/>
  <c r="C9" i="31" s="1"/>
  <c r="K16" i="41"/>
  <c r="G42" i="41"/>
  <c r="H43" i="31" s="1"/>
  <c r="C68" i="41"/>
  <c r="H26" i="41"/>
  <c r="J27" i="31" s="1"/>
  <c r="D52" i="41"/>
  <c r="K53" i="31" s="1"/>
  <c r="K13" i="41"/>
  <c r="G39" i="41"/>
  <c r="H40" i="31" s="1"/>
  <c r="C65" i="41"/>
  <c r="F71" i="41"/>
  <c r="D72" i="31" s="1"/>
  <c r="H97" i="41"/>
  <c r="J98" i="31" s="1"/>
  <c r="F26" i="41"/>
  <c r="D27" i="31" s="1"/>
  <c r="K80" i="41"/>
  <c r="H11" i="41"/>
  <c r="J12" i="31" s="1"/>
  <c r="B68" i="41"/>
  <c r="C69" i="31" s="1"/>
  <c r="J85" i="41"/>
  <c r="J101" i="41"/>
  <c r="F12" i="41"/>
  <c r="D13" i="31" s="1"/>
  <c r="F38" i="41"/>
  <c r="D39" i="31" s="1"/>
  <c r="G39" i="31" s="1"/>
  <c r="H55" i="41"/>
  <c r="J56" i="31" s="1"/>
  <c r="I71" i="41"/>
  <c r="I72" i="31" s="1"/>
  <c r="I78" i="41"/>
  <c r="I79" i="31" s="1"/>
  <c r="C85" i="41"/>
  <c r="G91" i="41"/>
  <c r="H92" i="31" s="1"/>
  <c r="K97" i="41"/>
  <c r="H19" i="41"/>
  <c r="J20" i="31" s="1"/>
  <c r="J40" i="41"/>
  <c r="B58" i="41"/>
  <c r="C59" i="31" s="1"/>
  <c r="D73" i="41"/>
  <c r="K74" i="31" s="1"/>
  <c r="H79" i="41"/>
  <c r="J80" i="31" s="1"/>
  <c r="B86" i="41"/>
  <c r="C87" i="31" s="1"/>
  <c r="F92" i="41"/>
  <c r="D93" i="31" s="1"/>
  <c r="F28" i="41"/>
  <c r="D29" i="31" s="1"/>
  <c r="H45" i="41"/>
  <c r="J46" i="31" s="1"/>
  <c r="J62" i="41"/>
  <c r="B75" i="41"/>
  <c r="C76" i="31" s="1"/>
  <c r="F81" i="41"/>
  <c r="D82" i="31" s="1"/>
  <c r="J87" i="41"/>
  <c r="D94" i="41"/>
  <c r="K95" i="31" s="1"/>
  <c r="B22" i="41"/>
  <c r="C23" i="31" s="1"/>
  <c r="K79" i="41"/>
  <c r="D43" i="41"/>
  <c r="K44" i="31" s="1"/>
  <c r="K86" i="41"/>
  <c r="G104" i="41"/>
  <c r="H105" i="31" s="1"/>
  <c r="E112" i="41"/>
  <c r="E113" i="31" s="1"/>
  <c r="H119" i="41"/>
  <c r="J120" i="31" s="1"/>
  <c r="C126" i="41"/>
  <c r="G132" i="41"/>
  <c r="H133" i="31" s="1"/>
  <c r="K138" i="41"/>
  <c r="E145" i="41"/>
  <c r="E146" i="31" s="1"/>
  <c r="E17" i="41"/>
  <c r="E18" i="31" s="1"/>
  <c r="J19" i="41"/>
  <c r="F45" i="41"/>
  <c r="D46" i="31" s="1"/>
  <c r="B71" i="41"/>
  <c r="C72" i="31" s="1"/>
  <c r="G29" i="41"/>
  <c r="H30" i="31" s="1"/>
  <c r="C55" i="41"/>
  <c r="H13" i="41"/>
  <c r="J14" i="31" s="1"/>
  <c r="G22" i="41"/>
  <c r="H23" i="31" s="1"/>
  <c r="C48" i="41"/>
  <c r="H6" i="41"/>
  <c r="J7" i="31" s="1"/>
  <c r="D32" i="41"/>
  <c r="K33" i="31" s="1"/>
  <c r="J57" i="41"/>
  <c r="G19" i="41"/>
  <c r="H20" i="31" s="1"/>
  <c r="C45" i="41"/>
  <c r="I70" i="41"/>
  <c r="I71" i="31" s="1"/>
  <c r="H77" i="41"/>
  <c r="J78" i="31" s="1"/>
  <c r="D103" i="41"/>
  <c r="K104" i="31" s="1"/>
  <c r="C42" i="41"/>
  <c r="G86" i="41"/>
  <c r="H87" i="31" s="1"/>
  <c r="B18" i="41"/>
  <c r="C19" i="31" s="1"/>
  <c r="H71" i="41"/>
  <c r="J72" i="31" s="1"/>
  <c r="J89" i="41"/>
  <c r="H102" i="41"/>
  <c r="J103" i="31" s="1"/>
  <c r="J18" i="41"/>
  <c r="G40" i="41"/>
  <c r="H41" i="31" s="1"/>
  <c r="H57" i="41"/>
  <c r="J58" i="31" s="1"/>
  <c r="C73" i="41"/>
  <c r="G79" i="41"/>
  <c r="H80" i="31" s="1"/>
  <c r="K85" i="41"/>
  <c r="E92" i="41"/>
  <c r="E93" i="31" s="1"/>
  <c r="I98" i="41"/>
  <c r="I99" i="31" s="1"/>
  <c r="F24" i="41"/>
  <c r="D25" i="31" s="1"/>
  <c r="K42" i="41"/>
  <c r="B60" i="41"/>
  <c r="C61" i="31" s="1"/>
  <c r="B74" i="41"/>
  <c r="C75" i="31" s="1"/>
  <c r="F80" i="41"/>
  <c r="D81" i="31" s="1"/>
  <c r="J86" i="41"/>
  <c r="D93" i="41"/>
  <c r="K94" i="31" s="1"/>
  <c r="J30" i="41"/>
  <c r="I47" i="41"/>
  <c r="I48" i="31" s="1"/>
  <c r="J64" i="41"/>
  <c r="J75" i="41"/>
  <c r="D82" i="41"/>
  <c r="K83" i="31" s="1"/>
  <c r="H88" i="41"/>
  <c r="J89" i="31" s="1"/>
  <c r="B95" i="41"/>
  <c r="C96" i="31" s="1"/>
  <c r="D33" i="41"/>
  <c r="K34" i="31" s="1"/>
  <c r="C83" i="41"/>
  <c r="I51" i="41"/>
  <c r="I52" i="31" s="1"/>
  <c r="C90" i="41"/>
  <c r="I105" i="41"/>
  <c r="I106" i="31" s="1"/>
  <c r="D113" i="41"/>
  <c r="K114" i="31" s="1"/>
  <c r="G120" i="41"/>
  <c r="H121" i="31" s="1"/>
  <c r="K126" i="41"/>
  <c r="E133" i="41"/>
  <c r="E134" i="31" s="1"/>
  <c r="I139" i="41"/>
  <c r="I140" i="31" s="1"/>
  <c r="C146" i="41"/>
  <c r="D35" i="41"/>
  <c r="K36" i="31" s="1"/>
  <c r="K83" i="41"/>
  <c r="G103" i="41"/>
  <c r="H104" i="31" s="1"/>
  <c r="G111" i="41"/>
  <c r="H112" i="31" s="1"/>
  <c r="J118" i="41"/>
  <c r="F125" i="41"/>
  <c r="D126" i="31" s="1"/>
  <c r="J131" i="41"/>
  <c r="D138" i="41"/>
  <c r="K139" i="31" s="1"/>
  <c r="H144" i="41"/>
  <c r="J145" i="31" s="1"/>
  <c r="B151" i="41"/>
  <c r="C152" i="31" s="1"/>
  <c r="F157" i="41"/>
  <c r="D158" i="31" s="1"/>
  <c r="J163" i="41"/>
  <c r="D170" i="41"/>
  <c r="K171" i="31" s="1"/>
  <c r="H176" i="41"/>
  <c r="J177" i="31" s="1"/>
  <c r="K74" i="41"/>
  <c r="K30" i="41"/>
  <c r="E82" i="41"/>
  <c r="E83" i="31" s="1"/>
  <c r="J102" i="41"/>
  <c r="B111" i="41"/>
  <c r="C112" i="31" s="1"/>
  <c r="C18" i="41"/>
  <c r="H20" i="41"/>
  <c r="J21" i="31" s="1"/>
  <c r="D46" i="41"/>
  <c r="K47" i="31" s="1"/>
  <c r="J71" i="41"/>
  <c r="E30" i="41"/>
  <c r="E31" i="31" s="1"/>
  <c r="K55" i="41"/>
  <c r="F14" i="41"/>
  <c r="D15" i="31" s="1"/>
  <c r="E23" i="41"/>
  <c r="E24" i="31" s="1"/>
  <c r="K48" i="41"/>
  <c r="F7" i="41"/>
  <c r="D8" i="31" s="1"/>
  <c r="B33" i="41"/>
  <c r="C34" i="31" s="1"/>
  <c r="H58" i="41"/>
  <c r="J59" i="31" s="1"/>
  <c r="E20" i="41"/>
  <c r="E21" i="31" s="1"/>
  <c r="K45" i="41"/>
  <c r="B10" i="41"/>
  <c r="C11" i="31" s="1"/>
  <c r="F78" i="41"/>
  <c r="D79" i="31" s="1"/>
  <c r="B104" i="41"/>
  <c r="C105" i="31" s="1"/>
  <c r="F44" i="41"/>
  <c r="D45" i="31" s="1"/>
  <c r="E87" i="41"/>
  <c r="E88" i="31" s="1"/>
  <c r="B34" i="41"/>
  <c r="C35" i="31" s="1"/>
  <c r="B73" i="41"/>
  <c r="C74" i="31" s="1"/>
  <c r="F91" i="41"/>
  <c r="D92" i="31" s="1"/>
  <c r="F103" i="41"/>
  <c r="D104" i="31" s="1"/>
  <c r="B24" i="41"/>
  <c r="C25" i="31" s="1"/>
  <c r="J42" i="41"/>
  <c r="I59" i="41"/>
  <c r="I60" i="31" s="1"/>
  <c r="K73" i="41"/>
  <c r="E80" i="41"/>
  <c r="E81" i="31" s="1"/>
  <c r="I86" i="41"/>
  <c r="I87" i="31" s="1"/>
  <c r="C93" i="41"/>
  <c r="G99" i="41"/>
  <c r="H100" i="31" s="1"/>
  <c r="H27" i="41"/>
  <c r="J28" i="31" s="1"/>
  <c r="D45" i="41"/>
  <c r="K46" i="31" s="1"/>
  <c r="C62" i="41"/>
  <c r="J74" i="41"/>
  <c r="D81" i="41"/>
  <c r="K82" i="31" s="1"/>
  <c r="H87" i="41"/>
  <c r="J88" i="31" s="1"/>
  <c r="B94" i="41"/>
  <c r="C95" i="31" s="1"/>
  <c r="J32" i="41"/>
  <c r="B50" i="41"/>
  <c r="C51" i="31" s="1"/>
  <c r="K66" i="41"/>
  <c r="H76" i="41"/>
  <c r="J77" i="31" s="1"/>
  <c r="B83" i="41"/>
  <c r="C84" i="31" s="1"/>
  <c r="F89" i="41"/>
  <c r="D90" i="31" s="1"/>
  <c r="J95" i="41"/>
  <c r="H41" i="41"/>
  <c r="J42" i="31" s="1"/>
  <c r="E86" i="41"/>
  <c r="E87" i="31" s="1"/>
  <c r="F60" i="41"/>
  <c r="D61" i="31" s="1"/>
  <c r="E93" i="41"/>
  <c r="E94" i="31" s="1"/>
  <c r="J106" i="41"/>
  <c r="C114" i="41"/>
  <c r="E121" i="41"/>
  <c r="E122" i="31" s="1"/>
  <c r="I127" i="41"/>
  <c r="I128" i="31" s="1"/>
  <c r="C134" i="41"/>
  <c r="G140" i="41"/>
  <c r="H141" i="31" s="1"/>
  <c r="K146" i="41"/>
  <c r="I43" i="41"/>
  <c r="I44" i="31" s="1"/>
  <c r="C87" i="41"/>
  <c r="H104" i="41"/>
  <c r="J105" i="31" s="1"/>
  <c r="F112" i="41"/>
  <c r="D113" i="31" s="1"/>
  <c r="I119" i="41"/>
  <c r="I120" i="31" s="1"/>
  <c r="D126" i="41"/>
  <c r="K127" i="31" s="1"/>
  <c r="H132" i="41"/>
  <c r="J133" i="31" s="1"/>
  <c r="B139" i="41"/>
  <c r="C140" i="31" s="1"/>
  <c r="F145" i="41"/>
  <c r="D146" i="31" s="1"/>
  <c r="J151" i="41"/>
  <c r="D158" i="41"/>
  <c r="K159" i="31" s="1"/>
  <c r="H164" i="41"/>
  <c r="J165" i="31" s="1"/>
  <c r="B171" i="41"/>
  <c r="C172" i="31" s="1"/>
  <c r="H7" i="41"/>
  <c r="J8" i="31" s="1"/>
  <c r="C78" i="41"/>
  <c r="H39" i="41"/>
  <c r="J40" i="31" s="1"/>
  <c r="G85" i="41"/>
  <c r="H86" i="31" s="1"/>
  <c r="K103" i="41"/>
  <c r="K111" i="41"/>
  <c r="E119" i="41"/>
  <c r="E120" i="31" s="1"/>
  <c r="J125" i="41"/>
  <c r="D132" i="41"/>
  <c r="K133" i="31" s="1"/>
  <c r="H138" i="41"/>
  <c r="J139" i="31" s="1"/>
  <c r="B145" i="41"/>
  <c r="C146" i="31" s="1"/>
  <c r="F151" i="41"/>
  <c r="D152" i="31" s="1"/>
  <c r="J157" i="41"/>
  <c r="G76" i="41"/>
  <c r="H77" i="31" s="1"/>
  <c r="I99" i="41"/>
  <c r="I100" i="31" s="1"/>
  <c r="I23" i="41"/>
  <c r="I24" i="31" s="1"/>
  <c r="D26" i="41"/>
  <c r="K27" i="31" s="1"/>
  <c r="J51" i="41"/>
  <c r="E10" i="41"/>
  <c r="E11" i="31" s="1"/>
  <c r="K35" i="41"/>
  <c r="G61" i="41"/>
  <c r="H62" i="31" s="1"/>
  <c r="B20" i="41"/>
  <c r="C21" i="31" s="1"/>
  <c r="K28" i="41"/>
  <c r="G54" i="41"/>
  <c r="H55" i="31" s="1"/>
  <c r="B13" i="41"/>
  <c r="C14" i="31" s="1"/>
  <c r="H38" i="41"/>
  <c r="J39" i="31" s="1"/>
  <c r="D64" i="41"/>
  <c r="K65" i="31" s="1"/>
  <c r="K25" i="41"/>
  <c r="G51" i="41"/>
  <c r="H52" i="31" s="1"/>
  <c r="H35" i="41"/>
  <c r="J36" i="31" s="1"/>
  <c r="B84" i="41"/>
  <c r="C85" i="31" s="1"/>
  <c r="H109" i="41"/>
  <c r="J110" i="31" s="1"/>
  <c r="D59" i="41"/>
  <c r="K60" i="31" s="1"/>
  <c r="K92" i="41"/>
  <c r="C38" i="41"/>
  <c r="B77" i="41"/>
  <c r="C78" i="31" s="1"/>
  <c r="D92" i="41"/>
  <c r="K93" i="31" s="1"/>
  <c r="D104" i="41"/>
  <c r="K105" i="31" s="1"/>
  <c r="D27" i="41"/>
  <c r="K28" i="31" s="1"/>
  <c r="J44" i="41"/>
  <c r="B62" i="41"/>
  <c r="C63" i="31" s="1"/>
  <c r="I74" i="41"/>
  <c r="I75" i="31" s="1"/>
  <c r="C81" i="41"/>
  <c r="G87" i="41"/>
  <c r="H88" i="31" s="1"/>
  <c r="K93" i="41"/>
  <c r="E100" i="41"/>
  <c r="E101" i="31" s="1"/>
  <c r="C30" i="41"/>
  <c r="D47" i="41"/>
  <c r="K48" i="31" s="1"/>
  <c r="F64" i="41"/>
  <c r="D65" i="31" s="1"/>
  <c r="G65" i="31" s="1"/>
  <c r="H75" i="41"/>
  <c r="J76" i="31" s="1"/>
  <c r="B82" i="41"/>
  <c r="C83" i="31" s="1"/>
  <c r="F88" i="41"/>
  <c r="D89" i="31" s="1"/>
  <c r="J94" i="41"/>
  <c r="K34" i="41"/>
  <c r="B52" i="41"/>
  <c r="C53" i="31" s="1"/>
  <c r="D69" i="41"/>
  <c r="K70" i="31" s="1"/>
  <c r="F77" i="41"/>
  <c r="D78" i="31" s="1"/>
  <c r="J83" i="41"/>
  <c r="D90" i="41"/>
  <c r="K91" i="31" s="1"/>
  <c r="H96" i="41"/>
  <c r="J97" i="31" s="1"/>
  <c r="C50" i="41"/>
  <c r="G89" i="41"/>
  <c r="H90" i="31" s="1"/>
  <c r="J68" i="41"/>
  <c r="K95" i="41"/>
  <c r="I107" i="41"/>
  <c r="I108" i="31" s="1"/>
  <c r="B115" i="41"/>
  <c r="C116" i="31" s="1"/>
  <c r="C122" i="41"/>
  <c r="G128" i="41"/>
  <c r="H129" i="31" s="1"/>
  <c r="K134" i="41"/>
  <c r="E141" i="41"/>
  <c r="E142" i="31" s="1"/>
  <c r="I147" i="41"/>
  <c r="I148" i="31" s="1"/>
  <c r="F52" i="41"/>
  <c r="D53" i="31" s="1"/>
  <c r="E90" i="41"/>
  <c r="E91" i="31" s="1"/>
  <c r="K105" i="41"/>
  <c r="E113" i="41"/>
  <c r="E114" i="31" s="1"/>
  <c r="H120" i="41"/>
  <c r="J121" i="31" s="1"/>
  <c r="B127" i="41"/>
  <c r="C128" i="31" s="1"/>
  <c r="F133" i="41"/>
  <c r="D134" i="31" s="1"/>
  <c r="J139" i="41"/>
  <c r="D146" i="41"/>
  <c r="K147" i="31" s="1"/>
  <c r="H152" i="41"/>
  <c r="J153" i="31" s="1"/>
  <c r="B159" i="41"/>
  <c r="C160" i="31" s="1"/>
  <c r="F165" i="41"/>
  <c r="D166" i="31" s="1"/>
  <c r="J171" i="41"/>
  <c r="B28" i="41"/>
  <c r="C29" i="31" s="1"/>
  <c r="E81" i="41"/>
  <c r="E82" i="31" s="1"/>
  <c r="B48" i="41"/>
  <c r="C49" i="31" s="1"/>
  <c r="I88" i="41"/>
  <c r="I89" i="31" s="1"/>
  <c r="E105" i="41"/>
  <c r="E106" i="31" s="1"/>
  <c r="K112" i="41"/>
  <c r="B7" i="41"/>
  <c r="C8" i="31" s="1"/>
  <c r="H32" i="41"/>
  <c r="J33" i="31" s="1"/>
  <c r="D58" i="41"/>
  <c r="K59" i="31" s="1"/>
  <c r="I16" i="41"/>
  <c r="I17" i="31" s="1"/>
  <c r="E42" i="41"/>
  <c r="E43" i="31" s="1"/>
  <c r="K67" i="41"/>
  <c r="I9" i="41"/>
  <c r="I10" i="31" s="1"/>
  <c r="E35" i="41"/>
  <c r="E36" i="31" s="1"/>
  <c r="K60" i="41"/>
  <c r="F19" i="41"/>
  <c r="D20" i="31" s="1"/>
  <c r="B45" i="41"/>
  <c r="C46" i="31" s="1"/>
  <c r="I6" i="41"/>
  <c r="I7" i="31" s="1"/>
  <c r="E32" i="41"/>
  <c r="E33" i="31" s="1"/>
  <c r="K57" i="41"/>
  <c r="G52" i="41"/>
  <c r="H53" i="31" s="1"/>
  <c r="F90" i="41"/>
  <c r="D91" i="31" s="1"/>
  <c r="B116" i="41"/>
  <c r="C117" i="31" s="1"/>
  <c r="I73" i="41"/>
  <c r="I74" i="31" s="1"/>
  <c r="E99" i="41"/>
  <c r="E100" i="31" s="1"/>
  <c r="K50" i="41"/>
  <c r="F79" i="41"/>
  <c r="D80" i="31" s="1"/>
  <c r="G80" i="31" s="1"/>
  <c r="D96" i="41"/>
  <c r="K97" i="31" s="1"/>
  <c r="J105" i="41"/>
  <c r="B32" i="41"/>
  <c r="C33" i="31" s="1"/>
  <c r="D49" i="41"/>
  <c r="K50" i="31" s="1"/>
  <c r="C66" i="41"/>
  <c r="E76" i="41"/>
  <c r="E77" i="31" s="1"/>
  <c r="I82" i="41"/>
  <c r="I83" i="31" s="1"/>
  <c r="C89" i="41"/>
  <c r="G95" i="41"/>
  <c r="H96" i="31" s="1"/>
  <c r="K101" i="41"/>
  <c r="F34" i="41"/>
  <c r="D35" i="31" s="1"/>
  <c r="H51" i="41"/>
  <c r="J52" i="31" s="1"/>
  <c r="G68" i="41"/>
  <c r="H69" i="31" s="1"/>
  <c r="D77" i="41"/>
  <c r="K78" i="31" s="1"/>
  <c r="H83" i="41"/>
  <c r="J84" i="31" s="1"/>
  <c r="B90" i="41"/>
  <c r="C91" i="31" s="1"/>
  <c r="J14" i="41"/>
  <c r="D39" i="41"/>
  <c r="K40" i="31" s="1"/>
  <c r="F56" i="41"/>
  <c r="D57" i="31" s="1"/>
  <c r="G57" i="31" s="1"/>
  <c r="E72" i="41"/>
  <c r="E73" i="31" s="1"/>
  <c r="B79" i="41"/>
  <c r="C80" i="31" s="1"/>
  <c r="F85" i="41"/>
  <c r="D86" i="31" s="1"/>
  <c r="J91" i="41"/>
  <c r="D98" i="41"/>
  <c r="K99" i="31" s="1"/>
  <c r="D67" i="41"/>
  <c r="K68" i="31" s="1"/>
  <c r="I95" i="41"/>
  <c r="I96" i="31" s="1"/>
  <c r="E77" i="41"/>
  <c r="E78" i="31" s="1"/>
  <c r="F100" i="41"/>
  <c r="D101" i="31" s="1"/>
  <c r="G109" i="41"/>
  <c r="H110" i="31" s="1"/>
  <c r="K116" i="41"/>
  <c r="I123" i="41"/>
  <c r="I124" i="31" s="1"/>
  <c r="C130" i="41"/>
  <c r="G136" i="41"/>
  <c r="H137" i="31" s="1"/>
  <c r="K142" i="41"/>
  <c r="E149" i="41"/>
  <c r="E150" i="31" s="1"/>
  <c r="E69" i="41"/>
  <c r="E70" i="31" s="1"/>
  <c r="F96" i="41"/>
  <c r="D97" i="31" s="1"/>
  <c r="J107" i="41"/>
  <c r="C115" i="41"/>
  <c r="D122" i="41"/>
  <c r="K123" i="31" s="1"/>
  <c r="H128" i="41"/>
  <c r="J129" i="31" s="1"/>
  <c r="B135" i="41"/>
  <c r="C136" i="31" s="1"/>
  <c r="F141" i="41"/>
  <c r="D142" i="31" s="1"/>
  <c r="J147" i="41"/>
  <c r="D154" i="41"/>
  <c r="K155" i="31" s="1"/>
  <c r="H160" i="41"/>
  <c r="J161" i="31" s="1"/>
  <c r="B167" i="41"/>
  <c r="C168" i="31" s="1"/>
  <c r="F173" i="41"/>
  <c r="D174" i="31" s="1"/>
  <c r="E45" i="41"/>
  <c r="E46" i="31" s="1"/>
  <c r="I87" i="41"/>
  <c r="I88" i="31" s="1"/>
  <c r="D65" i="41"/>
  <c r="K66" i="31" s="1"/>
  <c r="C95" i="41"/>
  <c r="F107" i="41"/>
  <c r="D108" i="31" s="1"/>
  <c r="I114" i="41"/>
  <c r="I115" i="31" s="1"/>
  <c r="J121" i="41"/>
  <c r="D128" i="41"/>
  <c r="K129" i="31" s="1"/>
  <c r="H134" i="41"/>
  <c r="J135" i="31" s="1"/>
  <c r="B141" i="41"/>
  <c r="C142" i="31" s="1"/>
  <c r="F147" i="41"/>
  <c r="D148" i="31" s="1"/>
  <c r="J153" i="41"/>
  <c r="D41" i="41"/>
  <c r="K42" i="31" s="1"/>
  <c r="C86" i="41"/>
  <c r="E104" i="41"/>
  <c r="E105" i="31" s="1"/>
  <c r="C112" i="41"/>
  <c r="G24" i="41"/>
  <c r="H25" i="31" s="1"/>
  <c r="I36" i="41"/>
  <c r="I37" i="31" s="1"/>
  <c r="E55" i="41"/>
  <c r="E56" i="31" s="1"/>
  <c r="I26" i="41"/>
  <c r="I27" i="31" s="1"/>
  <c r="F110" i="41"/>
  <c r="D111" i="31" s="1"/>
  <c r="H78" i="41"/>
  <c r="J79" i="31" s="1"/>
  <c r="K46" i="41"/>
  <c r="E88" i="41"/>
  <c r="E89" i="31" s="1"/>
  <c r="E49" i="41"/>
  <c r="E50" i="31" s="1"/>
  <c r="D89" i="41"/>
  <c r="K90" i="31" s="1"/>
  <c r="K70" i="41"/>
  <c r="F97" i="41"/>
  <c r="D98" i="31" s="1"/>
  <c r="C98" i="41"/>
  <c r="E129" i="41"/>
  <c r="E130" i="31" s="1"/>
  <c r="H25" i="41"/>
  <c r="J26" i="31" s="1"/>
  <c r="I108" i="41"/>
  <c r="I109" i="31" s="1"/>
  <c r="J127" i="41"/>
  <c r="J143" i="41"/>
  <c r="F161" i="41"/>
  <c r="D162" i="31" s="1"/>
  <c r="J36" i="41"/>
  <c r="C79" i="41"/>
  <c r="H115" i="41"/>
  <c r="J116" i="31" s="1"/>
  <c r="H126" i="41"/>
  <c r="J127" i="31" s="1"/>
  <c r="B137" i="41"/>
  <c r="C138" i="31" s="1"/>
  <c r="H146" i="41"/>
  <c r="J147" i="31" s="1"/>
  <c r="B157" i="41"/>
  <c r="C158" i="31" s="1"/>
  <c r="E89" i="41"/>
  <c r="E90" i="31" s="1"/>
  <c r="E109" i="41"/>
  <c r="E110" i="31" s="1"/>
  <c r="G118" i="41"/>
  <c r="H119" i="31" s="1"/>
  <c r="C125" i="41"/>
  <c r="G131" i="41"/>
  <c r="H132" i="31" s="1"/>
  <c r="K137" i="41"/>
  <c r="E144" i="41"/>
  <c r="E145" i="31" s="1"/>
  <c r="I150" i="41"/>
  <c r="I151" i="31" s="1"/>
  <c r="C157" i="41"/>
  <c r="I100" i="41"/>
  <c r="I101" i="31" s="1"/>
  <c r="D117" i="41"/>
  <c r="K118" i="31" s="1"/>
  <c r="F130" i="41"/>
  <c r="D131" i="31" s="1"/>
  <c r="D143" i="41"/>
  <c r="K144" i="31" s="1"/>
  <c r="C155" i="41"/>
  <c r="G163" i="41"/>
  <c r="H164" i="31" s="1"/>
  <c r="J170" i="41"/>
  <c r="B178" i="41"/>
  <c r="C179" i="31" s="1"/>
  <c r="F184" i="41"/>
  <c r="D185" i="31" s="1"/>
  <c r="J190" i="41"/>
  <c r="D197" i="41"/>
  <c r="K198" i="31" s="1"/>
  <c r="H203" i="41"/>
  <c r="J204" i="31" s="1"/>
  <c r="B210" i="41"/>
  <c r="C211" i="31" s="1"/>
  <c r="F216" i="41"/>
  <c r="D217" i="31" s="1"/>
  <c r="J222" i="41"/>
  <c r="C75" i="41"/>
  <c r="J111" i="41"/>
  <c r="I125" i="41"/>
  <c r="I126" i="31" s="1"/>
  <c r="G138" i="41"/>
  <c r="H139" i="31" s="1"/>
  <c r="E151" i="41"/>
  <c r="E152" i="31" s="1"/>
  <c r="K160" i="41"/>
  <c r="D168" i="41"/>
  <c r="K169" i="31" s="1"/>
  <c r="G175" i="41"/>
  <c r="H176" i="31" s="1"/>
  <c r="B98" i="41"/>
  <c r="C99" i="31" s="1"/>
  <c r="J115" i="41"/>
  <c r="D129" i="41"/>
  <c r="K130" i="31" s="1"/>
  <c r="B142" i="41"/>
  <c r="C143" i="31" s="1"/>
  <c r="C154" i="41"/>
  <c r="J162" i="41"/>
  <c r="C170" i="41"/>
  <c r="F177" i="41"/>
  <c r="D178" i="31" s="1"/>
  <c r="J183" i="41"/>
  <c r="D190" i="41"/>
  <c r="K191" i="31" s="1"/>
  <c r="H196" i="41"/>
  <c r="J197" i="31" s="1"/>
  <c r="B203" i="41"/>
  <c r="C204" i="31" s="1"/>
  <c r="D102" i="41"/>
  <c r="K103" i="31" s="1"/>
  <c r="B118" i="41"/>
  <c r="C119" i="31" s="1"/>
  <c r="C131" i="41"/>
  <c r="K143" i="41"/>
  <c r="H155" i="41"/>
  <c r="J156" i="31" s="1"/>
  <c r="K163" i="41"/>
  <c r="D171" i="41"/>
  <c r="K172" i="31" s="1"/>
  <c r="E178" i="41"/>
  <c r="E179" i="31" s="1"/>
  <c r="I184" i="41"/>
  <c r="I185" i="31" s="1"/>
  <c r="C191" i="41"/>
  <c r="B14" i="41"/>
  <c r="C15" i="31" s="1"/>
  <c r="B109" i="41"/>
  <c r="C110" i="31" s="1"/>
  <c r="D123" i="41"/>
  <c r="K124" i="31" s="1"/>
  <c r="B136" i="41"/>
  <c r="C137" i="31" s="1"/>
  <c r="J148" i="41"/>
  <c r="E159" i="41"/>
  <c r="E160" i="31" s="1"/>
  <c r="I166" i="41"/>
  <c r="I167" i="31" s="1"/>
  <c r="B174" i="41"/>
  <c r="C175" i="31" s="1"/>
  <c r="J180" i="41"/>
  <c r="J7" i="41"/>
  <c r="C43" i="41"/>
  <c r="I61" i="41"/>
  <c r="I62" i="31" s="1"/>
  <c r="C33" i="41"/>
  <c r="J116" i="41"/>
  <c r="F83" i="41"/>
  <c r="D84" i="31" s="1"/>
  <c r="D51" i="41"/>
  <c r="K52" i="31" s="1"/>
  <c r="K89" i="41"/>
  <c r="H53" i="41"/>
  <c r="J54" i="31" s="1"/>
  <c r="J90" i="41"/>
  <c r="F73" i="41"/>
  <c r="D74" i="31" s="1"/>
  <c r="B99" i="41"/>
  <c r="C100" i="31" s="1"/>
  <c r="B102" i="41"/>
  <c r="C103" i="31" s="1"/>
  <c r="K130" i="41"/>
  <c r="J60" i="41"/>
  <c r="H110" i="41"/>
  <c r="J111" i="31" s="1"/>
  <c r="F129" i="41"/>
  <c r="D130" i="31" s="1"/>
  <c r="B147" i="41"/>
  <c r="C148" i="31" s="1"/>
  <c r="B163" i="41"/>
  <c r="C164" i="31" s="1"/>
  <c r="B54" i="41"/>
  <c r="C55" i="31" s="1"/>
  <c r="K91" i="41"/>
  <c r="F117" i="41"/>
  <c r="D118" i="31" s="1"/>
  <c r="F127" i="41"/>
  <c r="D128" i="31" s="1"/>
  <c r="J137" i="41"/>
  <c r="D148" i="41"/>
  <c r="K149" i="31" s="1"/>
  <c r="F20" i="41"/>
  <c r="D21" i="31" s="1"/>
  <c r="H95" i="41"/>
  <c r="J96" i="31" s="1"/>
  <c r="D110" i="41"/>
  <c r="K111" i="31" s="1"/>
  <c r="F119" i="41"/>
  <c r="D120" i="31" s="1"/>
  <c r="K125" i="41"/>
  <c r="E132" i="41"/>
  <c r="E133" i="31" s="1"/>
  <c r="I138" i="41"/>
  <c r="I139" i="31" s="1"/>
  <c r="C145" i="41"/>
  <c r="G151" i="41"/>
  <c r="H152" i="31" s="1"/>
  <c r="K157" i="41"/>
  <c r="I103" i="41"/>
  <c r="I104" i="31" s="1"/>
  <c r="B119" i="41"/>
  <c r="C120" i="31" s="1"/>
  <c r="B132" i="41"/>
  <c r="C133" i="31" s="1"/>
  <c r="J144" i="41"/>
  <c r="F156" i="41"/>
  <c r="D157" i="31" s="1"/>
  <c r="F164" i="41"/>
  <c r="D165" i="31" s="1"/>
  <c r="I171" i="41"/>
  <c r="I172" i="31" s="1"/>
  <c r="J178" i="41"/>
  <c r="D185" i="41"/>
  <c r="K186" i="31" s="1"/>
  <c r="H191" i="41"/>
  <c r="J192" i="31" s="1"/>
  <c r="B198" i="41"/>
  <c r="C199" i="31" s="1"/>
  <c r="F204" i="41"/>
  <c r="D205" i="31" s="1"/>
  <c r="J210" i="41"/>
  <c r="D217" i="41"/>
  <c r="K218" i="31" s="1"/>
  <c r="H223" i="41"/>
  <c r="J224" i="31" s="1"/>
  <c r="K87" i="41"/>
  <c r="I113" i="41"/>
  <c r="I114" i="31" s="1"/>
  <c r="B27" i="41"/>
  <c r="C28" i="31" s="1"/>
  <c r="E62" i="41"/>
  <c r="E63" i="31" s="1"/>
  <c r="J13" i="41"/>
  <c r="E52" i="41"/>
  <c r="E53" i="31" s="1"/>
  <c r="E61" i="41"/>
  <c r="E62" i="31" s="1"/>
  <c r="F95" i="41"/>
  <c r="D96" i="31" s="1"/>
  <c r="B64" i="41"/>
  <c r="C65" i="31" s="1"/>
  <c r="I94" i="41"/>
  <c r="I95" i="31" s="1"/>
  <c r="F66" i="41"/>
  <c r="D67" i="31" s="1"/>
  <c r="F8" i="41"/>
  <c r="D9" i="31" s="1"/>
  <c r="D78" i="41"/>
  <c r="K79" i="31" s="1"/>
  <c r="J58" i="41"/>
  <c r="H108" i="41"/>
  <c r="J109" i="31" s="1"/>
  <c r="I135" i="41"/>
  <c r="I136" i="31" s="1"/>
  <c r="E74" i="41"/>
  <c r="E75" i="31" s="1"/>
  <c r="D114" i="41"/>
  <c r="K115" i="31" s="1"/>
  <c r="B131" i="41"/>
  <c r="C132" i="31" s="1"/>
  <c r="H148" i="41"/>
  <c r="J149" i="31" s="1"/>
  <c r="D166" i="41"/>
  <c r="K167" i="31" s="1"/>
  <c r="J70" i="41"/>
  <c r="E97" i="41"/>
  <c r="E98" i="31" s="1"/>
  <c r="E118" i="41"/>
  <c r="E119" i="31" s="1"/>
  <c r="B129" i="41"/>
  <c r="C130" i="31" s="1"/>
  <c r="F139" i="41"/>
  <c r="D140" i="31" s="1"/>
  <c r="J149" i="41"/>
  <c r="G32" i="41"/>
  <c r="H33" i="31" s="1"/>
  <c r="G97" i="41"/>
  <c r="H98" i="31" s="1"/>
  <c r="C111" i="41"/>
  <c r="E120" i="41"/>
  <c r="E121" i="31" s="1"/>
  <c r="I126" i="41"/>
  <c r="I127" i="31" s="1"/>
  <c r="C133" i="41"/>
  <c r="G139" i="41"/>
  <c r="H140" i="31" s="1"/>
  <c r="K145" i="41"/>
  <c r="E152" i="41"/>
  <c r="E153" i="31" s="1"/>
  <c r="I158" i="41"/>
  <c r="I159" i="31" s="1"/>
  <c r="C106" i="41"/>
  <c r="J120" i="41"/>
  <c r="H133" i="41"/>
  <c r="J134" i="31" s="1"/>
  <c r="F146" i="41"/>
  <c r="D147" i="31" s="1"/>
  <c r="H157" i="41"/>
  <c r="J158" i="31" s="1"/>
  <c r="E165" i="41"/>
  <c r="E166" i="31" s="1"/>
  <c r="I172" i="41"/>
  <c r="I173" i="31" s="1"/>
  <c r="H179" i="41"/>
  <c r="J180" i="31" s="1"/>
  <c r="B186" i="41"/>
  <c r="C187" i="31" s="1"/>
  <c r="F192" i="41"/>
  <c r="D193" i="31" s="1"/>
  <c r="J198" i="41"/>
  <c r="D205" i="41"/>
  <c r="K206" i="31" s="1"/>
  <c r="H211" i="41"/>
  <c r="J212" i="31" s="1"/>
  <c r="B218" i="41"/>
  <c r="C219" i="31" s="1"/>
  <c r="F224" i="41"/>
  <c r="D225" i="31" s="1"/>
  <c r="D97" i="41"/>
  <c r="K98" i="31" s="1"/>
  <c r="G115" i="41"/>
  <c r="H116" i="31" s="1"/>
  <c r="K128" i="41"/>
  <c r="I141" i="41"/>
  <c r="I142" i="31" s="1"/>
  <c r="B154" i="41"/>
  <c r="C155" i="31" s="1"/>
  <c r="I162" i="41"/>
  <c r="I163" i="31" s="1"/>
  <c r="B170" i="41"/>
  <c r="C171" i="31" s="1"/>
  <c r="E177" i="41"/>
  <c r="E178" i="31" s="1"/>
  <c r="F104" i="41"/>
  <c r="D105" i="31" s="1"/>
  <c r="G119" i="41"/>
  <c r="H120" i="31" s="1"/>
  <c r="F132" i="41"/>
  <c r="D133" i="31" s="1"/>
  <c r="D145" i="41"/>
  <c r="K146" i="31" s="1"/>
  <c r="I156" i="41"/>
  <c r="I157" i="31" s="1"/>
  <c r="I164" i="41"/>
  <c r="I165" i="31" s="1"/>
  <c r="B172" i="41"/>
  <c r="C173" i="31" s="1"/>
  <c r="B179" i="41"/>
  <c r="C180" i="31" s="1"/>
  <c r="F185" i="41"/>
  <c r="D186" i="31" s="1"/>
  <c r="J191" i="41"/>
  <c r="D198" i="41"/>
  <c r="K199" i="31" s="1"/>
  <c r="F33" i="41"/>
  <c r="D34" i="31" s="1"/>
  <c r="I68" i="41"/>
  <c r="I69" i="31" s="1"/>
  <c r="D20" i="41"/>
  <c r="K21" i="31" s="1"/>
  <c r="I58" i="41"/>
  <c r="I59" i="31" s="1"/>
  <c r="G74" i="41"/>
  <c r="H75" i="31" s="1"/>
  <c r="J97" i="41"/>
  <c r="F68" i="41"/>
  <c r="D69" i="31" s="1"/>
  <c r="E96" i="41"/>
  <c r="E97" i="31" s="1"/>
  <c r="H70" i="41"/>
  <c r="J71" i="31" s="1"/>
  <c r="D21" i="41"/>
  <c r="K22" i="31" s="1"/>
  <c r="J79" i="41"/>
  <c r="G73" i="41"/>
  <c r="H74" i="31" s="1"/>
  <c r="G110" i="41"/>
  <c r="H111" i="31" s="1"/>
  <c r="E137" i="41"/>
  <c r="E138" i="31" s="1"/>
  <c r="I80" i="41"/>
  <c r="I81" i="31" s="1"/>
  <c r="C116" i="41"/>
  <c r="D134" i="41"/>
  <c r="K135" i="31" s="1"/>
  <c r="D150" i="41"/>
  <c r="K151" i="31" s="1"/>
  <c r="J167" i="41"/>
  <c r="G84" i="41"/>
  <c r="H85" i="31" s="1"/>
  <c r="E101" i="41"/>
  <c r="E102" i="31" s="1"/>
  <c r="D120" i="41"/>
  <c r="K121" i="31" s="1"/>
  <c r="H130" i="41"/>
  <c r="J131" i="31" s="1"/>
  <c r="D140" i="41"/>
  <c r="K141" i="31" s="1"/>
  <c r="H150" i="41"/>
  <c r="J151" i="31" s="1"/>
  <c r="H49" i="41"/>
  <c r="J50" i="31" s="1"/>
  <c r="F101" i="41"/>
  <c r="D102" i="31" s="1"/>
  <c r="B113" i="41"/>
  <c r="C114" i="31" s="1"/>
  <c r="C121" i="41"/>
  <c r="G127" i="41"/>
  <c r="H128" i="31" s="1"/>
  <c r="K133" i="41"/>
  <c r="E140" i="41"/>
  <c r="E141" i="31" s="1"/>
  <c r="I146" i="41"/>
  <c r="I147" i="31" s="1"/>
  <c r="C153" i="41"/>
  <c r="G159" i="41"/>
  <c r="H160" i="31" s="1"/>
  <c r="C108" i="41"/>
  <c r="F122" i="41"/>
  <c r="D123" i="31" s="1"/>
  <c r="D135" i="41"/>
  <c r="K136" i="31" s="1"/>
  <c r="B148" i="41"/>
  <c r="C149" i="31" s="1"/>
  <c r="J158" i="41"/>
  <c r="E166" i="41"/>
  <c r="E167" i="31" s="1"/>
  <c r="H173" i="41"/>
  <c r="J174" i="31" s="1"/>
  <c r="F180" i="41"/>
  <c r="D181" i="31" s="1"/>
  <c r="J186" i="41"/>
  <c r="D193" i="41"/>
  <c r="K194" i="31" s="1"/>
  <c r="H199" i="41"/>
  <c r="J200" i="31" s="1"/>
  <c r="B206" i="41"/>
  <c r="C207" i="31" s="1"/>
  <c r="F212" i="41"/>
  <c r="D213" i="31" s="1"/>
  <c r="J218" i="41"/>
  <c r="D225" i="41"/>
  <c r="K226" i="31" s="1"/>
  <c r="D101" i="41"/>
  <c r="K102" i="31" s="1"/>
  <c r="E117" i="41"/>
  <c r="E118" i="31" s="1"/>
  <c r="G130" i="41"/>
  <c r="H131" i="31" s="1"/>
  <c r="E143" i="41"/>
  <c r="E144" i="31" s="1"/>
  <c r="D155" i="41"/>
  <c r="K156" i="31" s="1"/>
  <c r="H163" i="41"/>
  <c r="J164" i="31" s="1"/>
  <c r="K170" i="41"/>
  <c r="C178" i="41"/>
  <c r="I106" i="41"/>
  <c r="I107" i="31" s="1"/>
  <c r="D121" i="41"/>
  <c r="K122" i="31" s="1"/>
  <c r="B134" i="41"/>
  <c r="C135" i="31" s="1"/>
  <c r="J146" i="41"/>
  <c r="B158" i="41"/>
  <c r="C159" i="31" s="1"/>
  <c r="H165" i="41"/>
  <c r="J166" i="31" s="1"/>
  <c r="K172" i="41"/>
  <c r="J179" i="41"/>
  <c r="D186" i="41"/>
  <c r="K187" i="31" s="1"/>
  <c r="H192" i="41"/>
  <c r="J193" i="31" s="1"/>
  <c r="B199" i="41"/>
  <c r="C200" i="31" s="1"/>
  <c r="D9" i="41"/>
  <c r="K10" i="31" s="1"/>
  <c r="K108" i="41"/>
  <c r="C123" i="41"/>
  <c r="K135" i="41"/>
  <c r="I148" i="41"/>
  <c r="I149" i="31" s="1"/>
  <c r="D159" i="41"/>
  <c r="K160" i="31" s="1"/>
  <c r="H166" i="41"/>
  <c r="J167" i="31" s="1"/>
  <c r="K173" i="41"/>
  <c r="I180" i="41"/>
  <c r="I181" i="31" s="1"/>
  <c r="C187" i="41"/>
  <c r="G193" i="41"/>
  <c r="H194" i="31" s="1"/>
  <c r="I91" i="41"/>
  <c r="I92" i="31" s="1"/>
  <c r="G114" i="41"/>
  <c r="H115" i="31" s="1"/>
  <c r="B128" i="41"/>
  <c r="C129" i="31" s="1"/>
  <c r="J140" i="41"/>
  <c r="D153" i="41"/>
  <c r="K154" i="31" s="1"/>
  <c r="H52" i="41"/>
  <c r="J53" i="31" s="1"/>
  <c r="J20" i="41"/>
  <c r="F39" i="41"/>
  <c r="D40" i="31" s="1"/>
  <c r="H37" i="41"/>
  <c r="J38" i="31" s="1"/>
  <c r="I93" i="41"/>
  <c r="I94" i="31" s="1"/>
  <c r="B105" i="41"/>
  <c r="C106" i="31" s="1"/>
  <c r="G75" i="41"/>
  <c r="H76" i="31" s="1"/>
  <c r="C101" i="41"/>
  <c r="F76" i="41"/>
  <c r="D77" i="31" s="1"/>
  <c r="D37" i="41"/>
  <c r="K38" i="31" s="1"/>
  <c r="H84" i="41"/>
  <c r="J85" i="31" s="1"/>
  <c r="I92" i="41"/>
  <c r="I93" i="31" s="1"/>
  <c r="K115" i="41"/>
  <c r="C142" i="41"/>
  <c r="G93" i="41"/>
  <c r="H94" i="31" s="1"/>
  <c r="K117" i="41"/>
  <c r="J135" i="41"/>
  <c r="F153" i="41"/>
  <c r="D154" i="31" s="1"/>
  <c r="F169" i="41"/>
  <c r="D170" i="31" s="1"/>
  <c r="K90" i="41"/>
  <c r="E106" i="41"/>
  <c r="E107" i="31" s="1"/>
  <c r="B121" i="41"/>
  <c r="C122" i="31" s="1"/>
  <c r="F131" i="41"/>
  <c r="D132" i="31" s="1"/>
  <c r="J141" i="41"/>
  <c r="D152" i="41"/>
  <c r="K153" i="31" s="1"/>
  <c r="J66" i="41"/>
  <c r="K102" i="41"/>
  <c r="J114" i="41"/>
  <c r="K121" i="41"/>
  <c r="E128" i="41"/>
  <c r="E129" i="31" s="1"/>
  <c r="I134" i="41"/>
  <c r="I135" i="31" s="1"/>
  <c r="C141" i="41"/>
  <c r="G147" i="41"/>
  <c r="H148" i="31" s="1"/>
  <c r="K153" i="41"/>
  <c r="K38" i="41"/>
  <c r="K109" i="41"/>
  <c r="B124" i="41"/>
  <c r="C125" i="31" s="1"/>
  <c r="J136" i="41"/>
  <c r="H149" i="41"/>
  <c r="J150" i="31" s="1"/>
  <c r="K159" i="41"/>
  <c r="D167" i="41"/>
  <c r="K168" i="31" s="1"/>
  <c r="G174" i="41"/>
  <c r="H175" i="31" s="1"/>
  <c r="D181" i="41"/>
  <c r="K182" i="31" s="1"/>
  <c r="H187" i="41"/>
  <c r="J188" i="31" s="1"/>
  <c r="B194" i="41"/>
  <c r="C195" i="31" s="1"/>
  <c r="F200" i="41"/>
  <c r="D201" i="31" s="1"/>
  <c r="J206" i="41"/>
  <c r="D213" i="41"/>
  <c r="K214" i="31" s="1"/>
  <c r="H219" i="41"/>
  <c r="J220" i="31" s="1"/>
  <c r="B226" i="41"/>
  <c r="C227" i="31" s="1"/>
  <c r="J103" i="41"/>
  <c r="C119" i="41"/>
  <c r="C132" i="41"/>
  <c r="K144" i="41"/>
  <c r="G156" i="41"/>
  <c r="H157" i="31" s="1"/>
  <c r="G164" i="41"/>
  <c r="H165" i="31" s="1"/>
  <c r="K171" i="41"/>
  <c r="K178" i="41"/>
  <c r="G108" i="41"/>
  <c r="H109" i="31" s="1"/>
  <c r="J122" i="41"/>
  <c r="H135" i="41"/>
  <c r="J136" i="31" s="1"/>
  <c r="F148" i="41"/>
  <c r="D149" i="31" s="1"/>
  <c r="C159" i="41"/>
  <c r="G166" i="41"/>
  <c r="H167" i="31" s="1"/>
  <c r="J173" i="41"/>
  <c r="H180" i="41"/>
  <c r="J181" i="31" s="1"/>
  <c r="B187" i="41"/>
  <c r="C188" i="31" s="1"/>
  <c r="F193" i="41"/>
  <c r="D194" i="31" s="1"/>
  <c r="J199" i="41"/>
  <c r="C11" i="41"/>
  <c r="I29" i="41"/>
  <c r="I30" i="31" s="1"/>
  <c r="B65" i="41"/>
  <c r="C66" i="31" s="1"/>
  <c r="J84" i="41"/>
  <c r="F40" i="41"/>
  <c r="D41" i="31" s="1"/>
  <c r="B30" i="41"/>
  <c r="C31" i="31" s="1"/>
  <c r="K81" i="41"/>
  <c r="F32" i="41"/>
  <c r="D33" i="31" s="1"/>
  <c r="J82" i="41"/>
  <c r="C54" i="41"/>
  <c r="B91" i="41"/>
  <c r="C92" i="31" s="1"/>
  <c r="C74" i="41"/>
  <c r="K122" i="41"/>
  <c r="G148" i="41"/>
  <c r="H149" i="31" s="1"/>
  <c r="C102" i="41"/>
  <c r="B123" i="41"/>
  <c r="C124" i="31" s="1"/>
  <c r="H140" i="41"/>
  <c r="J141" i="31" s="1"/>
  <c r="H156" i="41"/>
  <c r="J157" i="31" s="1"/>
  <c r="D174" i="41"/>
  <c r="K175" i="31" s="1"/>
  <c r="G56" i="41"/>
  <c r="H57" i="31" s="1"/>
  <c r="C110" i="41"/>
  <c r="D124" i="41"/>
  <c r="K125" i="31" s="1"/>
  <c r="J133" i="41"/>
  <c r="D144" i="41"/>
  <c r="K145" i="31" s="1"/>
  <c r="H154" i="41"/>
  <c r="J155" i="31" s="1"/>
  <c r="I79" i="41"/>
  <c r="I80" i="31" s="1"/>
  <c r="G107" i="41"/>
  <c r="H108" i="31" s="1"/>
  <c r="H116" i="41"/>
  <c r="J117" i="31" s="1"/>
  <c r="G123" i="41"/>
  <c r="H124" i="31" s="1"/>
  <c r="K129" i="41"/>
  <c r="E136" i="41"/>
  <c r="E137" i="31" s="1"/>
  <c r="I142" i="41"/>
  <c r="I143" i="31" s="1"/>
  <c r="C149" i="41"/>
  <c r="G155" i="41"/>
  <c r="H156" i="31" s="1"/>
  <c r="E85" i="41"/>
  <c r="E86" i="31" s="1"/>
  <c r="G113" i="41"/>
  <c r="H114" i="31" s="1"/>
  <c r="D127" i="41"/>
  <c r="K128" i="31" s="1"/>
  <c r="B140" i="41"/>
  <c r="C141" i="31" s="1"/>
  <c r="G152" i="41"/>
  <c r="H153" i="31" s="1"/>
  <c r="I161" i="41"/>
  <c r="I162" i="31" s="1"/>
  <c r="B169" i="41"/>
  <c r="C170" i="31" s="1"/>
  <c r="E176" i="41"/>
  <c r="E177" i="31" s="1"/>
  <c r="J182" i="41"/>
  <c r="D189" i="41"/>
  <c r="K190" i="31" s="1"/>
  <c r="H195" i="41"/>
  <c r="J196" i="31" s="1"/>
  <c r="B202" i="41"/>
  <c r="C203" i="31" s="1"/>
  <c r="F208" i="41"/>
  <c r="D209" i="31" s="1"/>
  <c r="J214" i="41"/>
  <c r="D221" i="41"/>
  <c r="K222" i="31" s="1"/>
  <c r="H227" i="41"/>
  <c r="J228" i="31" s="1"/>
  <c r="D108" i="41"/>
  <c r="K109" i="31" s="1"/>
  <c r="G122" i="41"/>
  <c r="H123" i="31" s="1"/>
  <c r="E135" i="41"/>
  <c r="E136" i="31" s="1"/>
  <c r="C148" i="41"/>
  <c r="K158" i="41"/>
  <c r="F166" i="41"/>
  <c r="D167" i="31" s="1"/>
  <c r="I173" i="41"/>
  <c r="I174" i="31" s="1"/>
  <c r="I75" i="41"/>
  <c r="I76" i="31" s="1"/>
  <c r="D112" i="41"/>
  <c r="K113" i="31" s="1"/>
  <c r="B126" i="41"/>
  <c r="C127" i="31" s="1"/>
  <c r="J138" i="41"/>
  <c r="H151" i="41"/>
  <c r="J152" i="31" s="1"/>
  <c r="B161" i="41"/>
  <c r="C162" i="31" s="1"/>
  <c r="E168" i="41"/>
  <c r="E169" i="31" s="1"/>
  <c r="H175" i="41"/>
  <c r="J176" i="31" s="1"/>
  <c r="D182" i="41"/>
  <c r="K183" i="31" s="1"/>
  <c r="H188" i="41"/>
  <c r="J189" i="31" s="1"/>
  <c r="B195" i="41"/>
  <c r="C196" i="31" s="1"/>
  <c r="F201" i="41"/>
  <c r="D202" i="31" s="1"/>
  <c r="C91" i="41"/>
  <c r="E114" i="41"/>
  <c r="E115" i="31" s="1"/>
  <c r="K127" i="41"/>
  <c r="I140" i="41"/>
  <c r="I141" i="31" s="1"/>
  <c r="K152" i="41"/>
  <c r="B162" i="41"/>
  <c r="C163" i="31" s="1"/>
  <c r="E169" i="41"/>
  <c r="E170" i="31" s="1"/>
  <c r="I176" i="41"/>
  <c r="I177" i="31" s="1"/>
  <c r="C183" i="41"/>
  <c r="G189" i="41"/>
  <c r="H190" i="31" s="1"/>
  <c r="K195" i="41"/>
  <c r="C105" i="41"/>
  <c r="K119" i="41"/>
  <c r="J132" i="41"/>
  <c r="H145" i="41"/>
  <c r="J146" i="31" s="1"/>
  <c r="K156" i="41"/>
  <c r="K164" i="41"/>
  <c r="D172" i="41"/>
  <c r="K173" i="31" s="1"/>
  <c r="D179" i="41"/>
  <c r="K180" i="31" s="1"/>
  <c r="H185" i="41"/>
  <c r="J186" i="31" s="1"/>
  <c r="B59" i="41"/>
  <c r="C60" i="31" s="1"/>
  <c r="C100" i="41"/>
  <c r="B78" i="41"/>
  <c r="C79" i="31" s="1"/>
  <c r="J117" i="41"/>
  <c r="F137" i="41"/>
  <c r="D138" i="31" s="1"/>
  <c r="E108" i="41"/>
  <c r="E109" i="31" s="1"/>
  <c r="B153" i="41"/>
  <c r="C154" i="31" s="1"/>
  <c r="I122" i="41"/>
  <c r="I123" i="31" s="1"/>
  <c r="E148" i="41"/>
  <c r="E149" i="31" s="1"/>
  <c r="H125" i="41"/>
  <c r="J126" i="31" s="1"/>
  <c r="C168" i="41"/>
  <c r="J194" i="41"/>
  <c r="F220" i="41"/>
  <c r="D221" i="31" s="1"/>
  <c r="E127" i="41"/>
  <c r="E128" i="31" s="1"/>
  <c r="B160" i="41"/>
  <c r="C161" i="31" s="1"/>
  <c r="H47" i="41"/>
  <c r="J48" i="31" s="1"/>
  <c r="J130" i="41"/>
  <c r="K161" i="41"/>
  <c r="F181" i="41"/>
  <c r="D182" i="31" s="1"/>
  <c r="F197" i="41"/>
  <c r="D198" i="31" s="1"/>
  <c r="I104" i="41"/>
  <c r="I105" i="31" s="1"/>
  <c r="E126" i="41"/>
  <c r="E127" i="31" s="1"/>
  <c r="C147" i="41"/>
  <c r="K162" i="41"/>
  <c r="J174" i="41"/>
  <c r="G185" i="41"/>
  <c r="H186" i="31" s="1"/>
  <c r="C195" i="41"/>
  <c r="H112" i="41"/>
  <c r="J113" i="31" s="1"/>
  <c r="F134" i="41"/>
  <c r="D135" i="31" s="1"/>
  <c r="F154" i="41"/>
  <c r="D155" i="31" s="1"/>
  <c r="J165" i="41"/>
  <c r="K175" i="41"/>
  <c r="B184" i="41"/>
  <c r="C185" i="31" s="1"/>
  <c r="B103" i="41"/>
  <c r="C104" i="31" s="1"/>
  <c r="H118" i="41"/>
  <c r="J119" i="31" s="1"/>
  <c r="H131" i="41"/>
  <c r="J132" i="31" s="1"/>
  <c r="F144" i="41"/>
  <c r="D145" i="31" s="1"/>
  <c r="B156" i="41"/>
  <c r="C157" i="31" s="1"/>
  <c r="D164" i="41"/>
  <c r="K165" i="31" s="1"/>
  <c r="G171" i="41"/>
  <c r="H172" i="31" s="1"/>
  <c r="H178" i="41"/>
  <c r="J179" i="31" s="1"/>
  <c r="B185" i="41"/>
  <c r="C186" i="31" s="1"/>
  <c r="F191" i="41"/>
  <c r="D192" i="31" s="1"/>
  <c r="C128" i="41"/>
  <c r="H169" i="41"/>
  <c r="J170" i="31" s="1"/>
  <c r="H189" i="41"/>
  <c r="J190" i="31" s="1"/>
  <c r="B200" i="41"/>
  <c r="C201" i="31" s="1"/>
  <c r="B208" i="41"/>
  <c r="C209" i="31" s="1"/>
  <c r="E215" i="41"/>
  <c r="E216" i="31" s="1"/>
  <c r="H222" i="41"/>
  <c r="J223" i="31" s="1"/>
  <c r="I229" i="41"/>
  <c r="I230" i="31" s="1"/>
  <c r="C236" i="41"/>
  <c r="G242" i="41"/>
  <c r="H243" i="31" s="1"/>
  <c r="K248" i="41"/>
  <c r="C136" i="41"/>
  <c r="C174" i="41"/>
  <c r="G191" i="41"/>
  <c r="H192" i="31" s="1"/>
  <c r="E201" i="41"/>
  <c r="E202" i="31" s="1"/>
  <c r="H111" i="41"/>
  <c r="J112" i="31" s="1"/>
  <c r="I160" i="41"/>
  <c r="I161" i="31" s="1"/>
  <c r="E185" i="41"/>
  <c r="E186" i="31" s="1"/>
  <c r="G197" i="41"/>
  <c r="H198" i="31" s="1"/>
  <c r="J205" i="41"/>
  <c r="C213" i="41"/>
  <c r="G126" i="41"/>
  <c r="H127" i="31" s="1"/>
  <c r="I168" i="41"/>
  <c r="I169" i="31" s="1"/>
  <c r="C189" i="41"/>
  <c r="I199" i="41"/>
  <c r="I200" i="31" s="1"/>
  <c r="J207" i="41"/>
  <c r="C215" i="41"/>
  <c r="F222" i="41"/>
  <c r="D223" i="31" s="1"/>
  <c r="K107" i="41"/>
  <c r="E184" i="41"/>
  <c r="E185" i="31" s="1"/>
  <c r="F205" i="41"/>
  <c r="D206" i="31" s="1"/>
  <c r="E217" i="41"/>
  <c r="E218" i="31" s="1"/>
  <c r="K226" i="41"/>
  <c r="I234" i="41"/>
  <c r="I235" i="31" s="1"/>
  <c r="B242" i="41"/>
  <c r="C243" i="31" s="1"/>
  <c r="E249" i="41"/>
  <c r="E250" i="31" s="1"/>
  <c r="I255" i="41"/>
  <c r="I256" i="31" s="1"/>
  <c r="C262" i="41"/>
  <c r="G268" i="41"/>
  <c r="H269" i="31" s="1"/>
  <c r="K274" i="41"/>
  <c r="E281" i="41"/>
  <c r="E282" i="31" s="1"/>
  <c r="I287" i="41"/>
  <c r="I288" i="31" s="1"/>
  <c r="C294" i="41"/>
  <c r="G17" i="41"/>
  <c r="H18" i="31" s="1"/>
  <c r="D55" i="41"/>
  <c r="K56" i="31" s="1"/>
  <c r="F84" i="41"/>
  <c r="D85" i="31" s="1"/>
  <c r="G124" i="41"/>
  <c r="H125" i="31" s="1"/>
  <c r="D142" i="41"/>
  <c r="K143" i="31" s="1"/>
  <c r="J113" i="41"/>
  <c r="E124" i="41"/>
  <c r="E125" i="31" s="1"/>
  <c r="K149" i="41"/>
  <c r="J128" i="41"/>
  <c r="K169" i="41"/>
  <c r="F196" i="41"/>
  <c r="D197" i="31" s="1"/>
  <c r="B222" i="41"/>
  <c r="C223" i="31" s="1"/>
  <c r="I133" i="41"/>
  <c r="I134" i="31" s="1"/>
  <c r="J161" i="41"/>
  <c r="G88" i="41"/>
  <c r="H89" i="31" s="1"/>
  <c r="D137" i="41"/>
  <c r="K138" i="31" s="1"/>
  <c r="I163" i="41"/>
  <c r="I164" i="31" s="1"/>
  <c r="B183" i="41"/>
  <c r="C184" i="31" s="1"/>
  <c r="H200" i="41"/>
  <c r="J201" i="31" s="1"/>
  <c r="B107" i="41"/>
  <c r="C108" i="31" s="1"/>
  <c r="G129" i="41"/>
  <c r="H130" i="31" s="1"/>
  <c r="E150" i="41"/>
  <c r="E151" i="31" s="1"/>
  <c r="J164" i="41"/>
  <c r="I175" i="41"/>
  <c r="I176" i="31" s="1"/>
  <c r="E186" i="41"/>
  <c r="E187" i="31" s="1"/>
  <c r="I196" i="41"/>
  <c r="I197" i="31" s="1"/>
  <c r="E116" i="41"/>
  <c r="E117" i="31" s="1"/>
  <c r="H137" i="41"/>
  <c r="J138" i="31" s="1"/>
  <c r="I155" i="41"/>
  <c r="I156" i="31" s="1"/>
  <c r="H167" i="41"/>
  <c r="J168" i="31" s="1"/>
  <c r="J176" i="41"/>
  <c r="J184" i="41"/>
  <c r="G105" i="41"/>
  <c r="H106" i="31" s="1"/>
  <c r="F120" i="41"/>
  <c r="D121" i="31" s="1"/>
  <c r="D133" i="41"/>
  <c r="K134" i="31" s="1"/>
  <c r="B146" i="41"/>
  <c r="C147" i="31" s="1"/>
  <c r="E157" i="41"/>
  <c r="E158" i="31" s="1"/>
  <c r="C165" i="41"/>
  <c r="F172" i="41"/>
  <c r="D173" i="31" s="1"/>
  <c r="F179" i="41"/>
  <c r="D180" i="31" s="1"/>
  <c r="J185" i="41"/>
  <c r="D192" i="41"/>
  <c r="K193" i="31" s="1"/>
  <c r="G134" i="41"/>
  <c r="H135" i="31" s="1"/>
  <c r="D173" i="41"/>
  <c r="K174" i="31" s="1"/>
  <c r="D191" i="41"/>
  <c r="K192" i="31" s="1"/>
  <c r="B201" i="41"/>
  <c r="C202" i="31" s="1"/>
  <c r="K208" i="41"/>
  <c r="D216" i="41"/>
  <c r="K217" i="31" s="1"/>
  <c r="G223" i="41"/>
  <c r="H224" i="31" s="1"/>
  <c r="G230" i="41"/>
  <c r="H231" i="31" s="1"/>
  <c r="K236" i="41"/>
  <c r="E243" i="41"/>
  <c r="E244" i="31" s="1"/>
  <c r="G96" i="41"/>
  <c r="H97" i="31" s="1"/>
  <c r="G10" i="41"/>
  <c r="H11" i="31" s="1"/>
  <c r="H106" i="41"/>
  <c r="J107" i="31" s="1"/>
  <c r="E41" i="41"/>
  <c r="E42" i="31" s="1"/>
  <c r="I143" i="41"/>
  <c r="I144" i="31" s="1"/>
  <c r="B155" i="41"/>
  <c r="C156" i="31" s="1"/>
  <c r="H122" i="41"/>
  <c r="J123" i="31" s="1"/>
  <c r="E73" i="41"/>
  <c r="E74" i="31" s="1"/>
  <c r="C129" i="41"/>
  <c r="I154" i="41"/>
  <c r="I155" i="31" s="1"/>
  <c r="F138" i="41"/>
  <c r="D139" i="31" s="1"/>
  <c r="F175" i="41"/>
  <c r="D176" i="31" s="1"/>
  <c r="D201" i="41"/>
  <c r="K202" i="31" s="1"/>
  <c r="J226" i="41"/>
  <c r="K136" i="41"/>
  <c r="G165" i="41"/>
  <c r="H166" i="31" s="1"/>
  <c r="G101" i="41"/>
  <c r="H102" i="31" s="1"/>
  <c r="F140" i="41"/>
  <c r="D141" i="31" s="1"/>
  <c r="F167" i="41"/>
  <c r="D168" i="31" s="1"/>
  <c r="H184" i="41"/>
  <c r="J185" i="31" s="1"/>
  <c r="D202" i="41"/>
  <c r="K203" i="31" s="1"/>
  <c r="I110" i="41"/>
  <c r="I111" i="31" s="1"/>
  <c r="I132" i="41"/>
  <c r="I133" i="31" s="1"/>
  <c r="I151" i="41"/>
  <c r="I152" i="31" s="1"/>
  <c r="I165" i="41"/>
  <c r="I166" i="31" s="1"/>
  <c r="G177" i="41"/>
  <c r="H178" i="31" s="1"/>
  <c r="K187" i="41"/>
  <c r="B56" i="41"/>
  <c r="C57" i="31" s="1"/>
  <c r="C118" i="41"/>
  <c r="D139" i="41"/>
  <c r="K140" i="31" s="1"/>
  <c r="E158" i="41"/>
  <c r="E159" i="31" s="1"/>
  <c r="G168" i="41"/>
  <c r="H169" i="31" s="1"/>
  <c r="H177" i="41"/>
  <c r="J178" i="31" s="1"/>
  <c r="F186" i="41"/>
  <c r="D187" i="31" s="1"/>
  <c r="H107" i="41"/>
  <c r="J108" i="31" s="1"/>
  <c r="B122" i="41"/>
  <c r="C123" i="31" s="1"/>
  <c r="J134" i="41"/>
  <c r="H147" i="41"/>
  <c r="J148" i="31" s="1"/>
  <c r="G158" i="41"/>
  <c r="H159" i="31" s="1"/>
  <c r="B166" i="41"/>
  <c r="C167" i="31" s="1"/>
  <c r="E173" i="41"/>
  <c r="E174" i="31" s="1"/>
  <c r="D180" i="41"/>
  <c r="K181" i="31" s="1"/>
  <c r="H186" i="41"/>
  <c r="J187" i="31" s="1"/>
  <c r="B193" i="41"/>
  <c r="C194" i="31" s="1"/>
  <c r="K140" i="41"/>
  <c r="K176" i="41"/>
  <c r="J192" i="41"/>
  <c r="C202" i="41"/>
  <c r="J209" i="41"/>
  <c r="C217" i="41"/>
  <c r="G224" i="41"/>
  <c r="H225" i="31" s="1"/>
  <c r="E231" i="41"/>
  <c r="E232" i="31" s="1"/>
  <c r="I237" i="41"/>
  <c r="I238" i="31" s="1"/>
  <c r="C244" i="41"/>
  <c r="J28" i="41"/>
  <c r="K148" i="41"/>
  <c r="E180" i="41"/>
  <c r="E181" i="31" s="1"/>
  <c r="G194" i="41"/>
  <c r="H195" i="31" s="1"/>
  <c r="F203" i="41"/>
  <c r="D204" i="31" s="1"/>
  <c r="G125" i="41"/>
  <c r="H126" i="31" s="1"/>
  <c r="B168" i="41"/>
  <c r="C169" i="31" s="1"/>
  <c r="K188" i="41"/>
  <c r="G199" i="41"/>
  <c r="H200" i="31" s="1"/>
  <c r="I207" i="41"/>
  <c r="I208" i="31" s="1"/>
  <c r="B215" i="41"/>
  <c r="C216" i="31" s="1"/>
  <c r="E139" i="41"/>
  <c r="E140" i="31" s="1"/>
  <c r="B176" i="41"/>
  <c r="C177" i="31" s="1"/>
  <c r="E192" i="41"/>
  <c r="E193" i="31" s="1"/>
  <c r="J201" i="41"/>
  <c r="H209" i="41"/>
  <c r="J210" i="31" s="1"/>
  <c r="K216" i="41"/>
  <c r="D224" i="41"/>
  <c r="K225" i="31" s="1"/>
  <c r="C135" i="41"/>
  <c r="E191" i="41"/>
  <c r="E192" i="31" s="1"/>
  <c r="G208" i="41"/>
  <c r="H209" i="31" s="1"/>
  <c r="G219" i="41"/>
  <c r="H220" i="31" s="1"/>
  <c r="D229" i="41"/>
  <c r="K230" i="31" s="1"/>
  <c r="G236" i="41"/>
  <c r="H237" i="31" s="1"/>
  <c r="J243" i="41"/>
  <c r="K250" i="41"/>
  <c r="E257" i="41"/>
  <c r="E258" i="31" s="1"/>
  <c r="I263" i="41"/>
  <c r="I264" i="31" s="1"/>
  <c r="C270" i="41"/>
  <c r="G276" i="41"/>
  <c r="H277" i="31" s="1"/>
  <c r="K282" i="41"/>
  <c r="E289" i="41"/>
  <c r="E290" i="31" s="1"/>
  <c r="I295" i="41"/>
  <c r="I296" i="31" s="1"/>
  <c r="C36" i="41"/>
  <c r="C34" i="41"/>
  <c r="F58" i="41"/>
  <c r="D59" i="31" s="1"/>
  <c r="C150" i="41"/>
  <c r="J159" i="41"/>
  <c r="B125" i="41"/>
  <c r="C126" i="31" s="1"/>
  <c r="K82" i="41"/>
  <c r="I130" i="41"/>
  <c r="I131" i="31" s="1"/>
  <c r="E156" i="41"/>
  <c r="E157" i="31" s="1"/>
  <c r="H141" i="41"/>
  <c r="J142" i="31" s="1"/>
  <c r="D177" i="41"/>
  <c r="K178" i="31" s="1"/>
  <c r="J202" i="41"/>
  <c r="B46" i="41"/>
  <c r="C47" i="31" s="1"/>
  <c r="C140" i="41"/>
  <c r="E167" i="41"/>
  <c r="E168" i="31" s="1"/>
  <c r="E110" i="41"/>
  <c r="E111" i="31" s="1"/>
  <c r="H143" i="41"/>
  <c r="J144" i="31" s="1"/>
  <c r="D169" i="41"/>
  <c r="K170" i="31" s="1"/>
  <c r="J187" i="41"/>
  <c r="J203" i="41"/>
  <c r="G112" i="41"/>
  <c r="H113" i="31" s="1"/>
  <c r="E134" i="41"/>
  <c r="E135" i="31" s="1"/>
  <c r="E154" i="41"/>
  <c r="E155" i="31" s="1"/>
  <c r="G167" i="41"/>
  <c r="H168" i="31" s="1"/>
  <c r="C179" i="41"/>
  <c r="I188" i="41"/>
  <c r="I189" i="31" s="1"/>
  <c r="K78" i="41"/>
  <c r="H121" i="41"/>
  <c r="J122" i="31" s="1"/>
  <c r="F142" i="41"/>
  <c r="D143" i="31" s="1"/>
  <c r="E160" i="41"/>
  <c r="E161" i="31" s="1"/>
  <c r="G169" i="41"/>
  <c r="H170" i="31" s="1"/>
  <c r="F178" i="41"/>
  <c r="D179" i="31" s="1"/>
  <c r="F30" i="41"/>
  <c r="D31" i="31" s="1"/>
  <c r="F109" i="41"/>
  <c r="D110" i="31" s="1"/>
  <c r="H123" i="41"/>
  <c r="J124" i="31" s="1"/>
  <c r="F136" i="41"/>
  <c r="D137" i="31" s="1"/>
  <c r="D149" i="41"/>
  <c r="K150" i="31" s="1"/>
  <c r="H159" i="41"/>
  <c r="J160" i="31" s="1"/>
  <c r="K166" i="41"/>
  <c r="E174" i="41"/>
  <c r="E175" i="31" s="1"/>
  <c r="B181" i="41"/>
  <c r="C182" i="31" s="1"/>
  <c r="F187" i="41"/>
  <c r="D188" i="31" s="1"/>
  <c r="I84" i="41"/>
  <c r="I85" i="31" s="1"/>
  <c r="E147" i="41"/>
  <c r="E148" i="31" s="1"/>
  <c r="I179" i="41"/>
  <c r="I180" i="31" s="1"/>
  <c r="C194" i="41"/>
  <c r="D203" i="41"/>
  <c r="K204" i="31" s="1"/>
  <c r="I210" i="41"/>
  <c r="I211" i="31" s="1"/>
  <c r="C218" i="41"/>
  <c r="F225" i="41"/>
  <c r="D226" i="31" s="1"/>
  <c r="C232" i="41"/>
  <c r="G238" i="41"/>
  <c r="H239" i="31" s="1"/>
  <c r="K244" i="41"/>
  <c r="C99" i="41"/>
  <c r="G154" i="41"/>
  <c r="H155" i="31" s="1"/>
  <c r="G182" i="41"/>
  <c r="H183" i="31" s="1"/>
  <c r="I195" i="41"/>
  <c r="I196" i="31" s="1"/>
  <c r="G204" i="41"/>
  <c r="H205" i="31" s="1"/>
  <c r="K131" i="41"/>
  <c r="H171" i="41"/>
  <c r="J172" i="31" s="1"/>
  <c r="G190" i="41"/>
  <c r="H191" i="31" s="1"/>
  <c r="I200" i="41"/>
  <c r="I201" i="31" s="1"/>
  <c r="H208" i="41"/>
  <c r="J209" i="31" s="1"/>
  <c r="K215" i="41"/>
  <c r="I145" i="41"/>
  <c r="I146" i="31" s="1"/>
  <c r="E179" i="41"/>
  <c r="E180" i="31" s="1"/>
  <c r="J193" i="41"/>
  <c r="K202" i="41"/>
  <c r="G210" i="41"/>
  <c r="H211" i="31" s="1"/>
  <c r="J217" i="41"/>
  <c r="C225" i="41"/>
  <c r="K147" i="41"/>
  <c r="F194" i="41"/>
  <c r="D195" i="31" s="1"/>
  <c r="C210" i="41"/>
  <c r="K220" i="41"/>
  <c r="C230" i="41"/>
  <c r="F237" i="41"/>
  <c r="D238" i="31" s="1"/>
  <c r="I244" i="41"/>
  <c r="I245" i="31" s="1"/>
  <c r="I251" i="41"/>
  <c r="I252" i="31" s="1"/>
  <c r="C258" i="41"/>
  <c r="G264" i="41"/>
  <c r="H265" i="31" s="1"/>
  <c r="K270" i="41"/>
  <c r="E277" i="41"/>
  <c r="E278" i="31" s="1"/>
  <c r="I283" i="41"/>
  <c r="I284" i="31" s="1"/>
  <c r="C290" i="41"/>
  <c r="G296" i="41"/>
  <c r="H297" i="31" s="1"/>
  <c r="J45" i="41"/>
  <c r="C77" i="41"/>
  <c r="D86" i="41"/>
  <c r="K87" i="31" s="1"/>
  <c r="E98" i="41"/>
  <c r="E99" i="31" s="1"/>
  <c r="H172" i="41"/>
  <c r="J173" i="31" s="1"/>
  <c r="B133" i="41"/>
  <c r="C134" i="31" s="1"/>
  <c r="F105" i="41"/>
  <c r="D106" i="31" s="1"/>
  <c r="G135" i="41"/>
  <c r="H136" i="31" s="1"/>
  <c r="D72" i="41"/>
  <c r="K73" i="31" s="1"/>
  <c r="D151" i="41"/>
  <c r="K152" i="31" s="1"/>
  <c r="B182" i="41"/>
  <c r="C183" i="31" s="1"/>
  <c r="H207" i="41"/>
  <c r="J208" i="31" s="1"/>
  <c r="D106" i="41"/>
  <c r="K107" i="31" s="1"/>
  <c r="G146" i="41"/>
  <c r="H147" i="31" s="1"/>
  <c r="C169" i="41"/>
  <c r="B114" i="41"/>
  <c r="C115" i="31" s="1"/>
  <c r="B150" i="41"/>
  <c r="C151" i="31" s="1"/>
  <c r="C171" i="41"/>
  <c r="F189" i="41"/>
  <c r="D190" i="31" s="1"/>
  <c r="H204" i="41"/>
  <c r="J205" i="31" s="1"/>
  <c r="D116" i="41"/>
  <c r="K117" i="31" s="1"/>
  <c r="G137" i="41"/>
  <c r="H138" i="31" s="1"/>
  <c r="J156" i="41"/>
  <c r="F168" i="41"/>
  <c r="D169" i="31" s="1"/>
  <c r="K179" i="41"/>
  <c r="E190" i="41"/>
  <c r="E191" i="31" s="1"/>
  <c r="K98" i="41"/>
  <c r="J124" i="41"/>
  <c r="B144" i="41"/>
  <c r="C145" i="31" s="1"/>
  <c r="D161" i="41"/>
  <c r="K162" i="31" s="1"/>
  <c r="F170" i="41"/>
  <c r="D171" i="31" s="1"/>
  <c r="B180" i="41"/>
  <c r="C181" i="31" s="1"/>
  <c r="G64" i="41"/>
  <c r="H65" i="31" s="1"/>
  <c r="E111" i="41"/>
  <c r="E112" i="31" s="1"/>
  <c r="D125" i="41"/>
  <c r="K126" i="31" s="1"/>
  <c r="B138" i="41"/>
  <c r="C139" i="31" s="1"/>
  <c r="J150" i="41"/>
  <c r="G160" i="41"/>
  <c r="H161" i="31" s="1"/>
  <c r="K167" i="41"/>
  <c r="D175" i="41"/>
  <c r="K176" i="31" s="1"/>
  <c r="J181" i="41"/>
  <c r="D188" i="41"/>
  <c r="K189" i="31" s="1"/>
  <c r="E94" i="41"/>
  <c r="E95" i="31" s="1"/>
  <c r="E153" i="41"/>
  <c r="E154" i="31" s="1"/>
  <c r="K181" i="41"/>
  <c r="F195" i="41"/>
  <c r="D196" i="31" s="1"/>
  <c r="D204" i="41"/>
  <c r="K205" i="31" s="1"/>
  <c r="I211" i="41"/>
  <c r="I212" i="31" s="1"/>
  <c r="B219" i="41"/>
  <c r="C220" i="31" s="1"/>
  <c r="E226" i="41"/>
  <c r="E227" i="31" s="1"/>
  <c r="K232" i="41"/>
  <c r="E239" i="41"/>
  <c r="E240" i="31" s="1"/>
  <c r="I245" i="41"/>
  <c r="I246" i="31" s="1"/>
  <c r="C109" i="41"/>
  <c r="F159" i="41"/>
  <c r="D160" i="31" s="1"/>
  <c r="G184" i="41"/>
  <c r="H185" i="31" s="1"/>
  <c r="B197" i="41"/>
  <c r="C198" i="31" s="1"/>
  <c r="G205" i="41"/>
  <c r="H206" i="31" s="1"/>
  <c r="E138" i="41"/>
  <c r="E139" i="31" s="1"/>
  <c r="E175" i="41"/>
  <c r="E176" i="31" s="1"/>
  <c r="C192" i="41"/>
  <c r="I201" i="41"/>
  <c r="I202" i="31" s="1"/>
  <c r="G209" i="41"/>
  <c r="H210" i="31" s="1"/>
  <c r="G81" i="41"/>
  <c r="H82" i="31" s="1"/>
  <c r="B152" i="41"/>
  <c r="C153" i="31" s="1"/>
  <c r="E181" i="41"/>
  <c r="E182" i="31" s="1"/>
  <c r="D195" i="41"/>
  <c r="K196" i="31" s="1"/>
  <c r="B204" i="41"/>
  <c r="C205" i="31" s="1"/>
  <c r="F211" i="41"/>
  <c r="D212" i="31" s="1"/>
  <c r="I218" i="41"/>
  <c r="I219" i="31" s="1"/>
  <c r="C226" i="41"/>
  <c r="H158" i="41"/>
  <c r="J159" i="31" s="1"/>
  <c r="K196" i="41"/>
  <c r="G211" i="41"/>
  <c r="H212" i="31" s="1"/>
  <c r="C222" i="41"/>
  <c r="B231" i="41"/>
  <c r="C232" i="31" s="1"/>
  <c r="E238" i="41"/>
  <c r="E239" i="31" s="1"/>
  <c r="H245" i="41"/>
  <c r="J246" i="31" s="1"/>
  <c r="G252" i="41"/>
  <c r="H253" i="31" s="1"/>
  <c r="K258" i="41"/>
  <c r="E265" i="41"/>
  <c r="E266" i="31" s="1"/>
  <c r="I271" i="41"/>
  <c r="I272" i="31" s="1"/>
  <c r="C278" i="41"/>
  <c r="G284" i="41"/>
  <c r="H285" i="31" s="1"/>
  <c r="K290" i="41"/>
  <c r="G7" i="41"/>
  <c r="H8" i="31" s="1"/>
  <c r="G83" i="41"/>
  <c r="H84" i="31" s="1"/>
  <c r="H92" i="41"/>
  <c r="J93" i="31" s="1"/>
  <c r="K106" i="41"/>
  <c r="J175" i="41"/>
  <c r="F135" i="41"/>
  <c r="D136" i="31" s="1"/>
  <c r="F108" i="41"/>
  <c r="D109" i="31" s="1"/>
  <c r="C137" i="41"/>
  <c r="I96" i="41"/>
  <c r="I97" i="31" s="1"/>
  <c r="I153" i="41"/>
  <c r="I154" i="31" s="1"/>
  <c r="H183" i="41"/>
  <c r="J184" i="31" s="1"/>
  <c r="D209" i="41"/>
  <c r="K210" i="31" s="1"/>
  <c r="B110" i="41"/>
  <c r="C111" i="31" s="1"/>
  <c r="I149" i="41"/>
  <c r="I150" i="31" s="1"/>
  <c r="J172" i="41"/>
  <c r="I117" i="41"/>
  <c r="I118" i="31" s="1"/>
  <c r="J152" i="41"/>
  <c r="I174" i="41"/>
  <c r="I175" i="31" s="1"/>
  <c r="B191" i="41"/>
  <c r="C192" i="31" s="1"/>
  <c r="F54" i="41"/>
  <c r="D55" i="31" s="1"/>
  <c r="J119" i="41"/>
  <c r="C139" i="41"/>
  <c r="C158" i="41"/>
  <c r="E170" i="41"/>
  <c r="E171" i="31" s="1"/>
  <c r="G181" i="41"/>
  <c r="H182" i="31" s="1"/>
  <c r="K191" i="41"/>
  <c r="E102" i="41"/>
  <c r="E103" i="31" s="1"/>
  <c r="F126" i="41"/>
  <c r="D127" i="31" s="1"/>
  <c r="D147" i="41"/>
  <c r="K148" i="31" s="1"/>
  <c r="C162" i="41"/>
  <c r="E171" i="41"/>
  <c r="E172" i="31" s="1"/>
  <c r="H181" i="41"/>
  <c r="J182" i="31" s="1"/>
  <c r="C82" i="41"/>
  <c r="C113" i="41"/>
  <c r="J126" i="41"/>
  <c r="H139" i="41"/>
  <c r="J140" i="31" s="1"/>
  <c r="C152" i="41"/>
  <c r="G161" i="41"/>
  <c r="H162" i="31" s="1"/>
  <c r="J168" i="41"/>
  <c r="C176" i="41"/>
  <c r="H182" i="41"/>
  <c r="J183" i="31" s="1"/>
  <c r="B189" i="41"/>
  <c r="C190" i="31" s="1"/>
  <c r="E107" i="41"/>
  <c r="E108" i="31" s="1"/>
  <c r="F158" i="41"/>
  <c r="D159" i="31" s="1"/>
  <c r="C184" i="41"/>
  <c r="J196" i="41"/>
  <c r="E205" i="41"/>
  <c r="E206" i="31" s="1"/>
  <c r="H212" i="41"/>
  <c r="J213" i="31" s="1"/>
  <c r="K219" i="41"/>
  <c r="D227" i="41"/>
  <c r="K228" i="31" s="1"/>
  <c r="I233" i="41"/>
  <c r="I234" i="31" s="1"/>
  <c r="C240" i="41"/>
  <c r="G246" i="41"/>
  <c r="H247" i="31" s="1"/>
  <c r="F116" i="41"/>
  <c r="D117" i="31" s="1"/>
  <c r="D163" i="41"/>
  <c r="K164" i="31" s="1"/>
  <c r="I186" i="41"/>
  <c r="I187" i="31" s="1"/>
  <c r="C198" i="41"/>
  <c r="F206" i="41"/>
  <c r="D207" i="31" s="1"/>
  <c r="I144" i="41"/>
  <c r="I145" i="31" s="1"/>
  <c r="I178" i="41"/>
  <c r="I179" i="31" s="1"/>
  <c r="I193" i="41"/>
  <c r="I194" i="31" s="1"/>
  <c r="I202" i="41"/>
  <c r="I203" i="31" s="1"/>
  <c r="F210" i="41"/>
  <c r="D211" i="31" s="1"/>
  <c r="D105" i="41"/>
  <c r="K106" i="31" s="1"/>
  <c r="G183" i="41"/>
  <c r="H184" i="31" s="1"/>
  <c r="E196" i="41"/>
  <c r="E197" i="31" s="1"/>
  <c r="B205" i="41"/>
  <c r="C206" i="31" s="1"/>
  <c r="E212" i="41"/>
  <c r="E213" i="31" s="1"/>
  <c r="I219" i="41"/>
  <c r="I220" i="31" s="1"/>
  <c r="B227" i="41"/>
  <c r="C228" i="31" s="1"/>
  <c r="C166" i="41"/>
  <c r="C199" i="41"/>
  <c r="K212" i="41"/>
  <c r="D223" i="41"/>
  <c r="K224" i="31" s="1"/>
  <c r="K231" i="41"/>
  <c r="D239" i="41"/>
  <c r="K240" i="31" s="1"/>
  <c r="H246" i="41"/>
  <c r="J247" i="31" s="1"/>
  <c r="E253" i="41"/>
  <c r="E254" i="31" s="1"/>
  <c r="I259" i="41"/>
  <c r="I260" i="31" s="1"/>
  <c r="C266" i="41"/>
  <c r="G272" i="41"/>
  <c r="H273" i="31" s="1"/>
  <c r="K278" i="41"/>
  <c r="E285" i="41"/>
  <c r="E286" i="31" s="1"/>
  <c r="I291" i="41"/>
  <c r="I292" i="31" s="1"/>
  <c r="J54" i="41"/>
  <c r="H15" i="41"/>
  <c r="J16" i="31" s="1"/>
  <c r="I111" i="41"/>
  <c r="I112" i="31" s="1"/>
  <c r="K120" i="41"/>
  <c r="E155" i="41"/>
  <c r="E156" i="31" s="1"/>
  <c r="G121" i="41"/>
  <c r="H122" i="31" s="1"/>
  <c r="E182" i="41"/>
  <c r="E183" i="31" s="1"/>
  <c r="F150" i="41"/>
  <c r="D151" i="31" s="1"/>
  <c r="K94" i="41"/>
  <c r="G153" i="41"/>
  <c r="H154" i="31" s="1"/>
  <c r="F183" i="41"/>
  <c r="D184" i="31" s="1"/>
  <c r="C186" i="41"/>
  <c r="J220" i="41"/>
  <c r="E247" i="41"/>
  <c r="E248" i="31" s="1"/>
  <c r="E188" i="41"/>
  <c r="E189" i="31" s="1"/>
  <c r="K118" i="41"/>
  <c r="D196" i="41"/>
  <c r="K197" i="31" s="1"/>
  <c r="I112" i="41"/>
  <c r="I113" i="31" s="1"/>
  <c r="I190" i="41"/>
  <c r="I191" i="31" s="1"/>
  <c r="D214" i="41"/>
  <c r="K215" i="31" s="1"/>
  <c r="G173" i="41"/>
  <c r="H174" i="31" s="1"/>
  <c r="F218" i="41"/>
  <c r="D219" i="31" s="1"/>
  <c r="C241" i="41"/>
  <c r="G260" i="41"/>
  <c r="H261" i="31" s="1"/>
  <c r="I275" i="41"/>
  <c r="I276" i="31" s="1"/>
  <c r="E293" i="41"/>
  <c r="E294" i="31" s="1"/>
  <c r="C302" i="41"/>
  <c r="G180" i="41"/>
  <c r="H181" i="31" s="1"/>
  <c r="G203" i="41"/>
  <c r="H204" i="31" s="1"/>
  <c r="C216" i="41"/>
  <c r="J225" i="41"/>
  <c r="K233" i="41"/>
  <c r="D241" i="41"/>
  <c r="K242" i="31" s="1"/>
  <c r="G248" i="41"/>
  <c r="H249" i="31" s="1"/>
  <c r="B255" i="41"/>
  <c r="C256" i="31" s="1"/>
  <c r="K180" i="41"/>
  <c r="I203" i="41"/>
  <c r="I204" i="31" s="1"/>
  <c r="E216" i="41"/>
  <c r="E217" i="31" s="1"/>
  <c r="K225" i="41"/>
  <c r="B234" i="41"/>
  <c r="C235" i="31" s="1"/>
  <c r="E241" i="41"/>
  <c r="E242" i="31" s="1"/>
  <c r="H248" i="41"/>
  <c r="J249" i="31" s="1"/>
  <c r="C255" i="41"/>
  <c r="G261" i="41"/>
  <c r="H262" i="31" s="1"/>
  <c r="K267" i="41"/>
  <c r="E274" i="41"/>
  <c r="E275" i="31" s="1"/>
  <c r="I280" i="41"/>
  <c r="I281" i="31" s="1"/>
  <c r="C287" i="41"/>
  <c r="H161" i="41"/>
  <c r="J162" i="31" s="1"/>
  <c r="I197" i="41"/>
  <c r="I198" i="31" s="1"/>
  <c r="B212" i="41"/>
  <c r="C213" i="31" s="1"/>
  <c r="G222" i="41"/>
  <c r="H223" i="31" s="1"/>
  <c r="F231" i="41"/>
  <c r="D232" i="31" s="1"/>
  <c r="I238" i="41"/>
  <c r="I239" i="31" s="1"/>
  <c r="B246" i="41"/>
  <c r="C247" i="31" s="1"/>
  <c r="J252" i="41"/>
  <c r="D259" i="41"/>
  <c r="K260" i="31" s="1"/>
  <c r="H265" i="41"/>
  <c r="J266" i="31" s="1"/>
  <c r="B272" i="41"/>
  <c r="C273" i="31" s="1"/>
  <c r="F278" i="41"/>
  <c r="D279" i="31" s="1"/>
  <c r="H153" i="41"/>
  <c r="J154" i="31" s="1"/>
  <c r="G195" i="41"/>
  <c r="H196" i="31" s="1"/>
  <c r="K210" i="41"/>
  <c r="F221" i="41"/>
  <c r="D222" i="31" s="1"/>
  <c r="H230" i="41"/>
  <c r="J231" i="31" s="1"/>
  <c r="K237" i="41"/>
  <c r="D245" i="41"/>
  <c r="K246" i="31" s="1"/>
  <c r="C252" i="41"/>
  <c r="G258" i="41"/>
  <c r="H259" i="31" s="1"/>
  <c r="K264" i="41"/>
  <c r="D118" i="41"/>
  <c r="K119" i="31" s="1"/>
  <c r="D187" i="41"/>
  <c r="K188" i="31" s="1"/>
  <c r="H206" i="41"/>
  <c r="J207" i="31" s="1"/>
  <c r="D218" i="41"/>
  <c r="K219" i="31" s="1"/>
  <c r="J227" i="41"/>
  <c r="F235" i="41"/>
  <c r="D236" i="31" s="1"/>
  <c r="I242" i="41"/>
  <c r="I243" i="31" s="1"/>
  <c r="K249" i="41"/>
  <c r="E256" i="41"/>
  <c r="E257" i="31" s="1"/>
  <c r="I262" i="41"/>
  <c r="I263" i="31" s="1"/>
  <c r="C269" i="41"/>
  <c r="E208" i="41"/>
  <c r="E209" i="31" s="1"/>
  <c r="I243" i="41"/>
  <c r="I244" i="31" s="1"/>
  <c r="D265" i="41"/>
  <c r="K266" i="31" s="1"/>
  <c r="J277" i="41"/>
  <c r="J286" i="41"/>
  <c r="G294" i="41"/>
  <c r="H295" i="31" s="1"/>
  <c r="J301" i="41"/>
  <c r="E308" i="41"/>
  <c r="E309" i="31" s="1"/>
  <c r="I314" i="41"/>
  <c r="I315" i="31" s="1"/>
  <c r="C321" i="41"/>
  <c r="G202" i="41"/>
  <c r="H203" i="31" s="1"/>
  <c r="I240" i="41"/>
  <c r="I241" i="31" s="1"/>
  <c r="F263" i="41"/>
  <c r="D264" i="31" s="1"/>
  <c r="H276" i="41"/>
  <c r="J277" i="31" s="1"/>
  <c r="K285" i="41"/>
  <c r="I293" i="41"/>
  <c r="I294" i="31" s="1"/>
  <c r="B301" i="41"/>
  <c r="C302" i="31" s="1"/>
  <c r="H307" i="41"/>
  <c r="J308" i="31" s="1"/>
  <c r="B314" i="41"/>
  <c r="C315" i="31" s="1"/>
  <c r="F320" i="41"/>
  <c r="D321" i="31" s="1"/>
  <c r="K193" i="41"/>
  <c r="E237" i="41"/>
  <c r="E238" i="31" s="1"/>
  <c r="F261" i="41"/>
  <c r="D262" i="31" s="1"/>
  <c r="G275" i="41"/>
  <c r="H276" i="31" s="1"/>
  <c r="B285" i="41"/>
  <c r="C286" i="31" s="1"/>
  <c r="K292" i="41"/>
  <c r="D300" i="41"/>
  <c r="K301" i="31" s="1"/>
  <c r="K306" i="41"/>
  <c r="E313" i="41"/>
  <c r="E314" i="31" s="1"/>
  <c r="I319" i="41"/>
  <c r="I320" i="31" s="1"/>
  <c r="G157" i="41"/>
  <c r="H158" i="31" s="1"/>
  <c r="K230" i="41"/>
  <c r="J257" i="41"/>
  <c r="D273" i="41"/>
  <c r="K274" i="31" s="1"/>
  <c r="D283" i="41"/>
  <c r="K284" i="31" s="1"/>
  <c r="E291" i="41"/>
  <c r="E292" i="31" s="1"/>
  <c r="H298" i="41"/>
  <c r="J299" i="31" s="1"/>
  <c r="G305" i="41"/>
  <c r="H306" i="31" s="1"/>
  <c r="K311" i="41"/>
  <c r="E318" i="41"/>
  <c r="E319" i="31" s="1"/>
  <c r="I324" i="41"/>
  <c r="I325" i="31" s="1"/>
  <c r="G206" i="41"/>
  <c r="H207" i="31" s="1"/>
  <c r="H242" i="41"/>
  <c r="J243" i="31" s="1"/>
  <c r="F264" i="41"/>
  <c r="D265" i="31" s="1"/>
  <c r="D277" i="41"/>
  <c r="K278" i="31" s="1"/>
  <c r="G232" i="41"/>
  <c r="H233" i="31" s="1"/>
  <c r="K280" i="41"/>
  <c r="B297" i="41"/>
  <c r="C298" i="31" s="1"/>
  <c r="G310" i="41"/>
  <c r="H311" i="31" s="1"/>
  <c r="E323" i="41"/>
  <c r="E324" i="31" s="1"/>
  <c r="J330" i="41"/>
  <c r="D337" i="41"/>
  <c r="K338" i="31" s="1"/>
  <c r="H343" i="41"/>
  <c r="J344" i="31" s="1"/>
  <c r="B350" i="41"/>
  <c r="C351" i="31" s="1"/>
  <c r="F356" i="41"/>
  <c r="D357" i="31" s="1"/>
  <c r="J362" i="41"/>
  <c r="D369" i="41"/>
  <c r="K370" i="31" s="1"/>
  <c r="E337" i="41"/>
  <c r="E338" i="31" s="1"/>
  <c r="E345" i="41"/>
  <c r="E346" i="31" s="1"/>
  <c r="E353" i="41"/>
  <c r="E354" i="31" s="1"/>
  <c r="E361" i="41"/>
  <c r="E362" i="31" s="1"/>
  <c r="D253" i="41"/>
  <c r="K254" i="31" s="1"/>
  <c r="I285" i="41"/>
  <c r="I286" i="31" s="1"/>
  <c r="J300" i="41"/>
  <c r="J313" i="41"/>
  <c r="K325" i="41"/>
  <c r="G336" i="41"/>
  <c r="H337" i="31" s="1"/>
  <c r="B211" i="41"/>
  <c r="C212" i="31" s="1"/>
  <c r="D91" i="41"/>
  <c r="K92" i="31" s="1"/>
  <c r="F72" i="41"/>
  <c r="D73" i="31" s="1"/>
  <c r="F115" i="41"/>
  <c r="D116" i="31" s="1"/>
  <c r="C124" i="41"/>
  <c r="C160" i="41"/>
  <c r="I124" i="41"/>
  <c r="I125" i="31" s="1"/>
  <c r="K183" i="41"/>
  <c r="K151" i="41"/>
  <c r="K99" i="41"/>
  <c r="J154" i="41"/>
  <c r="D184" i="41"/>
  <c r="K185" i="31" s="1"/>
  <c r="B188" i="41"/>
  <c r="C189" i="31" s="1"/>
  <c r="I221" i="41"/>
  <c r="I222" i="31" s="1"/>
  <c r="C248" i="41"/>
  <c r="K189" i="41"/>
  <c r="C151" i="41"/>
  <c r="G198" i="41"/>
  <c r="H199" i="31" s="1"/>
  <c r="C120" i="41"/>
  <c r="H197" i="41"/>
  <c r="J198" i="31" s="1"/>
  <c r="B216" i="41"/>
  <c r="C217" i="31" s="1"/>
  <c r="C180" i="41"/>
  <c r="H224" i="41"/>
  <c r="J225" i="31" s="1"/>
  <c r="K242" i="41"/>
  <c r="E261" i="41"/>
  <c r="E262" i="31" s="1"/>
  <c r="I279" i="41"/>
  <c r="I280" i="31" s="1"/>
  <c r="K294" i="41"/>
  <c r="J109" i="41"/>
  <c r="K184" i="41"/>
  <c r="H205" i="41"/>
  <c r="J206" i="31" s="1"/>
  <c r="F217" i="41"/>
  <c r="D218" i="31" s="1"/>
  <c r="C227" i="41"/>
  <c r="J234" i="41"/>
  <c r="C242" i="41"/>
  <c r="F249" i="41"/>
  <c r="D250" i="31" s="1"/>
  <c r="K110" i="41"/>
  <c r="C185" i="41"/>
  <c r="I205" i="41"/>
  <c r="I206" i="31" s="1"/>
  <c r="G217" i="41"/>
  <c r="H218" i="31" s="1"/>
  <c r="E227" i="41"/>
  <c r="E228" i="31" s="1"/>
  <c r="K234" i="41"/>
  <c r="D242" i="41"/>
  <c r="K243" i="31" s="1"/>
  <c r="G249" i="41"/>
  <c r="H250" i="31" s="1"/>
  <c r="K255" i="41"/>
  <c r="E262" i="41"/>
  <c r="E263" i="31" s="1"/>
  <c r="I268" i="41"/>
  <c r="I269" i="31" s="1"/>
  <c r="C275" i="41"/>
  <c r="G281" i="41"/>
  <c r="H282" i="31" s="1"/>
  <c r="K287" i="41"/>
  <c r="K168" i="41"/>
  <c r="K199" i="41"/>
  <c r="H213" i="41"/>
  <c r="J214" i="31" s="1"/>
  <c r="J223" i="41"/>
  <c r="E232" i="41"/>
  <c r="E233" i="31" s="1"/>
  <c r="H239" i="41"/>
  <c r="J240" i="31" s="1"/>
  <c r="K246" i="41"/>
  <c r="H253" i="41"/>
  <c r="J254" i="31" s="1"/>
  <c r="B260" i="41"/>
  <c r="C261" i="31" s="1"/>
  <c r="F266" i="41"/>
  <c r="D267" i="31" s="1"/>
  <c r="J272" i="41"/>
  <c r="D279" i="41"/>
  <c r="K280" i="31" s="1"/>
  <c r="G162" i="41"/>
  <c r="H163" i="31" s="1"/>
  <c r="K197" i="41"/>
  <c r="C212" i="41"/>
  <c r="I222" i="41"/>
  <c r="I223" i="31" s="1"/>
  <c r="G231" i="41"/>
  <c r="H232" i="31" s="1"/>
  <c r="J238" i="41"/>
  <c r="C246" i="41"/>
  <c r="K252" i="41"/>
  <c r="E259" i="41"/>
  <c r="E260" i="31" s="1"/>
  <c r="I265" i="41"/>
  <c r="I266" i="31" s="1"/>
  <c r="E131" i="41"/>
  <c r="E132" i="31" s="1"/>
  <c r="F190" i="41"/>
  <c r="D191" i="31" s="1"/>
  <c r="D208" i="41"/>
  <c r="K209" i="31" s="1"/>
  <c r="E219" i="41"/>
  <c r="E220" i="31" s="1"/>
  <c r="B229" i="41"/>
  <c r="C230" i="31" s="1"/>
  <c r="E236" i="41"/>
  <c r="E237" i="31" s="1"/>
  <c r="H243" i="41"/>
  <c r="J244" i="31" s="1"/>
  <c r="I250" i="41"/>
  <c r="I251" i="31" s="1"/>
  <c r="C257" i="41"/>
  <c r="G263" i="41"/>
  <c r="H264" i="31" s="1"/>
  <c r="K269" i="41"/>
  <c r="E214" i="41"/>
  <c r="E215" i="31" s="1"/>
  <c r="F247" i="41"/>
  <c r="D248" i="31" s="1"/>
  <c r="F267" i="41"/>
  <c r="D268" i="31" s="1"/>
  <c r="B279" i="41"/>
  <c r="C280" i="31" s="1"/>
  <c r="J6" i="41"/>
  <c r="F143" i="41"/>
  <c r="D144" i="31" s="1"/>
  <c r="J160" i="41"/>
  <c r="I152" i="41"/>
  <c r="I153" i="31" s="1"/>
  <c r="G176" i="41"/>
  <c r="H177" i="31" s="1"/>
  <c r="E142" i="41"/>
  <c r="E143" i="31" s="1"/>
  <c r="I192" i="41"/>
  <c r="I193" i="31" s="1"/>
  <c r="C163" i="41"/>
  <c r="K114" i="41"/>
  <c r="F162" i="41"/>
  <c r="D163" i="31" s="1"/>
  <c r="J189" i="41"/>
  <c r="J197" i="41"/>
  <c r="C228" i="41"/>
  <c r="E123" i="41"/>
  <c r="E124" i="31" s="1"/>
  <c r="C193" i="41"/>
  <c r="C156" i="41"/>
  <c r="K203" i="41"/>
  <c r="K132" i="41"/>
  <c r="H198" i="41"/>
  <c r="J199" i="31" s="1"/>
  <c r="H220" i="41"/>
  <c r="J221" i="31" s="1"/>
  <c r="C188" i="41"/>
  <c r="I225" i="41"/>
  <c r="I226" i="31" s="1"/>
  <c r="G247" i="41"/>
  <c r="H248" i="31" s="1"/>
  <c r="K262" i="41"/>
  <c r="G280" i="41"/>
  <c r="H281" i="31" s="1"/>
  <c r="E297" i="41"/>
  <c r="E298" i="31" s="1"/>
  <c r="K123" i="41"/>
  <c r="G188" i="41"/>
  <c r="H189" i="31" s="1"/>
  <c r="E207" i="41"/>
  <c r="E208" i="31" s="1"/>
  <c r="G218" i="41"/>
  <c r="H219" i="31" s="1"/>
  <c r="E228" i="41"/>
  <c r="E229" i="31" s="1"/>
  <c r="I235" i="41"/>
  <c r="I236" i="31" s="1"/>
  <c r="B243" i="41"/>
  <c r="C244" i="31" s="1"/>
  <c r="D250" i="41"/>
  <c r="K251" i="31" s="1"/>
  <c r="K124" i="41"/>
  <c r="J188" i="41"/>
  <c r="F207" i="41"/>
  <c r="D208" i="31" s="1"/>
  <c r="H218" i="41"/>
  <c r="J219" i="31" s="1"/>
  <c r="F228" i="41"/>
  <c r="D229" i="31" s="1"/>
  <c r="J235" i="41"/>
  <c r="C243" i="41"/>
  <c r="E250" i="41"/>
  <c r="E251" i="31" s="1"/>
  <c r="I256" i="41"/>
  <c r="I257" i="31" s="1"/>
  <c r="C263" i="41"/>
  <c r="G269" i="41"/>
  <c r="H270" i="31" s="1"/>
  <c r="K275" i="41"/>
  <c r="E282" i="41"/>
  <c r="E283" i="31" s="1"/>
  <c r="I288" i="41"/>
  <c r="I289" i="31" s="1"/>
  <c r="D176" i="41"/>
  <c r="K177" i="31" s="1"/>
  <c r="K201" i="41"/>
  <c r="K214" i="41"/>
  <c r="K224" i="41"/>
  <c r="D233" i="41"/>
  <c r="K234" i="31" s="1"/>
  <c r="G240" i="41"/>
  <c r="H241" i="31" s="1"/>
  <c r="J247" i="41"/>
  <c r="F254" i="41"/>
  <c r="D255" i="31" s="1"/>
  <c r="J260" i="41"/>
  <c r="D267" i="41"/>
  <c r="K268" i="31" s="1"/>
  <c r="H273" i="41"/>
  <c r="J274" i="31" s="1"/>
  <c r="B280" i="41"/>
  <c r="C281" i="31" s="1"/>
  <c r="J169" i="41"/>
  <c r="C200" i="41"/>
  <c r="I213" i="41"/>
  <c r="I214" i="31" s="1"/>
  <c r="K223" i="41"/>
  <c r="F232" i="41"/>
  <c r="D233" i="31" s="1"/>
  <c r="I239" i="41"/>
  <c r="I240" i="31" s="1"/>
  <c r="B247" i="41"/>
  <c r="C248" i="31" s="1"/>
  <c r="I253" i="41"/>
  <c r="I254" i="31" s="1"/>
  <c r="C260" i="41"/>
  <c r="G266" i="41"/>
  <c r="H267" i="31" s="1"/>
  <c r="C144" i="41"/>
  <c r="H193" i="41"/>
  <c r="J194" i="31" s="1"/>
  <c r="I209" i="41"/>
  <c r="I210" i="31" s="1"/>
  <c r="G220" i="41"/>
  <c r="H221" i="31" s="1"/>
  <c r="K229" i="41"/>
  <c r="D237" i="41"/>
  <c r="K238" i="31" s="1"/>
  <c r="G244" i="41"/>
  <c r="H245" i="31" s="1"/>
  <c r="G251" i="41"/>
  <c r="H252" i="31" s="1"/>
  <c r="K257" i="41"/>
  <c r="E264" i="41"/>
  <c r="E265" i="31" s="1"/>
  <c r="I270" i="41"/>
  <c r="I271" i="31" s="1"/>
  <c r="F219" i="41"/>
  <c r="D220" i="31" s="1"/>
  <c r="J250" i="41"/>
  <c r="F269" i="41"/>
  <c r="D270" i="31" s="1"/>
  <c r="E280" i="41"/>
  <c r="E281" i="31" s="1"/>
  <c r="B289" i="41"/>
  <c r="C290" i="31" s="1"/>
  <c r="E296" i="41"/>
  <c r="E297" i="31" s="1"/>
  <c r="G303" i="41"/>
  <c r="H304" i="31" s="1"/>
  <c r="K309" i="41"/>
  <c r="E316" i="41"/>
  <c r="E317" i="31" s="1"/>
  <c r="I322" i="41"/>
  <c r="I323" i="31" s="1"/>
  <c r="F215" i="41"/>
  <c r="D216" i="31" s="1"/>
  <c r="B248" i="41"/>
  <c r="C249" i="31" s="1"/>
  <c r="H267" i="41"/>
  <c r="J268" i="31" s="1"/>
  <c r="E279" i="41"/>
  <c r="E280" i="31" s="1"/>
  <c r="C288" i="41"/>
  <c r="G295" i="41"/>
  <c r="H296" i="31" s="1"/>
  <c r="J302" i="41"/>
  <c r="D309" i="41"/>
  <c r="K310" i="31" s="1"/>
  <c r="H315" i="41"/>
  <c r="J316" i="31" s="1"/>
  <c r="B322" i="41"/>
  <c r="C323" i="31" s="1"/>
  <c r="K209" i="41"/>
  <c r="H244" i="41"/>
  <c r="J245" i="31" s="1"/>
  <c r="J265" i="41"/>
  <c r="B278" i="41"/>
  <c r="C279" i="31" s="1"/>
  <c r="D287" i="41"/>
  <c r="K288" i="31" s="1"/>
  <c r="I294" i="41"/>
  <c r="I295" i="31" s="1"/>
  <c r="B302" i="41"/>
  <c r="C303" i="31" s="1"/>
  <c r="G308" i="41"/>
  <c r="H309" i="31" s="1"/>
  <c r="K314" i="41"/>
  <c r="E321" i="41"/>
  <c r="E322" i="31" s="1"/>
  <c r="G196" i="41"/>
  <c r="H197" i="31" s="1"/>
  <c r="D238" i="41"/>
  <c r="K239" i="31" s="1"/>
  <c r="B262" i="41"/>
  <c r="C263" i="31" s="1"/>
  <c r="J275" i="41"/>
  <c r="D285" i="41"/>
  <c r="K286" i="31" s="1"/>
  <c r="C293" i="41"/>
  <c r="F300" i="41"/>
  <c r="D301" i="31" s="1"/>
  <c r="C307" i="41"/>
  <c r="G313" i="41"/>
  <c r="H314" i="31" s="1"/>
  <c r="K319" i="41"/>
  <c r="E326" i="41"/>
  <c r="E327" i="31" s="1"/>
  <c r="K217" i="41"/>
  <c r="J249" i="41"/>
  <c r="H268" i="41"/>
  <c r="J269" i="31" s="1"/>
  <c r="J279" i="41"/>
  <c r="D252" i="41"/>
  <c r="K253" i="31" s="1"/>
  <c r="H285" i="41"/>
  <c r="J286" i="31" s="1"/>
  <c r="G36" i="41"/>
  <c r="H37" i="31" s="1"/>
  <c r="J145" i="41"/>
  <c r="H162" i="41"/>
  <c r="J163" i="31" s="1"/>
  <c r="I157" i="41"/>
  <c r="I158" i="31" s="1"/>
  <c r="D178" i="41"/>
  <c r="K179" i="31" s="1"/>
  <c r="G145" i="41"/>
  <c r="H146" i="31" s="1"/>
  <c r="E194" i="41"/>
  <c r="E195" i="31" s="1"/>
  <c r="B164" i="41"/>
  <c r="C165" i="31" s="1"/>
  <c r="I116" i="41"/>
  <c r="I117" i="31" s="1"/>
  <c r="E163" i="41"/>
  <c r="E164" i="31" s="1"/>
  <c r="H190" i="41"/>
  <c r="J191" i="31" s="1"/>
  <c r="K198" i="41"/>
  <c r="K228" i="41"/>
  <c r="I129" i="41"/>
  <c r="I130" i="31" s="1"/>
  <c r="D199" i="41"/>
  <c r="K200" i="31" s="1"/>
  <c r="E164" i="41"/>
  <c r="E165" i="31" s="1"/>
  <c r="K204" i="41"/>
  <c r="E161" i="41"/>
  <c r="E162" i="31" s="1"/>
  <c r="J200" i="41"/>
  <c r="G221" i="41"/>
  <c r="H222" i="31" s="1"/>
  <c r="C201" i="41"/>
  <c r="D228" i="41"/>
  <c r="K229" i="31" s="1"/>
  <c r="F248" i="41"/>
  <c r="D249" i="31" s="1"/>
  <c r="K266" i="41"/>
  <c r="C282" i="41"/>
  <c r="C298" i="41"/>
  <c r="I136" i="41"/>
  <c r="I137" i="31" s="1"/>
  <c r="I191" i="41"/>
  <c r="I192" i="31" s="1"/>
  <c r="J208" i="41"/>
  <c r="J219" i="41"/>
  <c r="E229" i="41"/>
  <c r="E230" i="31" s="1"/>
  <c r="H236" i="41"/>
  <c r="J237" i="31" s="1"/>
  <c r="K243" i="41"/>
  <c r="B251" i="41"/>
  <c r="C252" i="31" s="1"/>
  <c r="I137" i="41"/>
  <c r="I138" i="31" s="1"/>
  <c r="B192" i="41"/>
  <c r="C193" i="31" s="1"/>
  <c r="B209" i="41"/>
  <c r="C210" i="31" s="1"/>
  <c r="B220" i="41"/>
  <c r="C221" i="31" s="1"/>
  <c r="F229" i="41"/>
  <c r="D230" i="31" s="1"/>
  <c r="I236" i="41"/>
  <c r="I237" i="31" s="1"/>
  <c r="B244" i="41"/>
  <c r="C245" i="31" s="1"/>
  <c r="C251" i="41"/>
  <c r="G257" i="41"/>
  <c r="H258" i="31" s="1"/>
  <c r="K263" i="41"/>
  <c r="E270" i="41"/>
  <c r="E271" i="31" s="1"/>
  <c r="I276" i="41"/>
  <c r="I277" i="31" s="1"/>
  <c r="C283" i="41"/>
  <c r="E37" i="41"/>
  <c r="E38" i="31" s="1"/>
  <c r="I181" i="41"/>
  <c r="I182" i="31" s="1"/>
  <c r="C204" i="41"/>
  <c r="G216" i="41"/>
  <c r="H217" i="31" s="1"/>
  <c r="D226" i="41"/>
  <c r="K227" i="31" s="1"/>
  <c r="C234" i="41"/>
  <c r="F241" i="41"/>
  <c r="D242" i="31" s="1"/>
  <c r="I248" i="41"/>
  <c r="I249" i="31" s="1"/>
  <c r="D255" i="41"/>
  <c r="K256" i="31" s="1"/>
  <c r="H261" i="41"/>
  <c r="J262" i="31" s="1"/>
  <c r="B268" i="41"/>
  <c r="C269" i="31" s="1"/>
  <c r="F274" i="41"/>
  <c r="D275" i="31" s="1"/>
  <c r="J280" i="41"/>
  <c r="C177" i="41"/>
  <c r="E202" i="41"/>
  <c r="E203" i="31" s="1"/>
  <c r="D215" i="41"/>
  <c r="K216" i="31" s="1"/>
  <c r="B225" i="41"/>
  <c r="C226" i="31" s="1"/>
  <c r="E233" i="41"/>
  <c r="E234" i="31" s="1"/>
  <c r="H240" i="41"/>
  <c r="J241" i="31" s="1"/>
  <c r="K247" i="41"/>
  <c r="G254" i="41"/>
  <c r="H255" i="31" s="1"/>
  <c r="K260" i="41"/>
  <c r="E267" i="41"/>
  <c r="E268" i="31" s="1"/>
  <c r="K155" i="41"/>
  <c r="C196" i="41"/>
  <c r="C211" i="41"/>
  <c r="J221" i="41"/>
  <c r="J230" i="41"/>
  <c r="C238" i="41"/>
  <c r="F245" i="41"/>
  <c r="D246" i="31" s="1"/>
  <c r="E252" i="41"/>
  <c r="E253" i="31" s="1"/>
  <c r="I258" i="41"/>
  <c r="I259" i="31" s="1"/>
  <c r="C265" i="41"/>
  <c r="G271" i="41"/>
  <c r="H272" i="31" s="1"/>
  <c r="E224" i="41"/>
  <c r="E225" i="31" s="1"/>
  <c r="B254" i="41"/>
  <c r="C255" i="31" s="1"/>
  <c r="E271" i="41"/>
  <c r="E272" i="31" s="1"/>
  <c r="H281" i="41"/>
  <c r="J282" i="31" s="1"/>
  <c r="K289" i="41"/>
  <c r="D297" i="41"/>
  <c r="K298" i="31" s="1"/>
  <c r="E304" i="41"/>
  <c r="E305" i="31" s="1"/>
  <c r="I310" i="41"/>
  <c r="I311" i="31" s="1"/>
  <c r="C317" i="41"/>
  <c r="G323" i="41"/>
  <c r="H324" i="31" s="1"/>
  <c r="E220" i="41"/>
  <c r="E221" i="31" s="1"/>
  <c r="F251" i="41"/>
  <c r="D252" i="31" s="1"/>
  <c r="J269" i="41"/>
  <c r="F280" i="41"/>
  <c r="D281" i="31" s="1"/>
  <c r="C289" i="41"/>
  <c r="F296" i="41"/>
  <c r="D297" i="31" s="1"/>
  <c r="H303" i="41"/>
  <c r="J304" i="31" s="1"/>
  <c r="B310" i="41"/>
  <c r="C311" i="31" s="1"/>
  <c r="F316" i="41"/>
  <c r="D317" i="31" s="1"/>
  <c r="J322" i="41"/>
  <c r="I215" i="41"/>
  <c r="I216" i="31" s="1"/>
  <c r="E248" i="41"/>
  <c r="E249" i="31" s="1"/>
  <c r="J267" i="41"/>
  <c r="F279" i="41"/>
  <c r="D280" i="31" s="1"/>
  <c r="D288" i="41"/>
  <c r="K289" i="31" s="1"/>
  <c r="H295" i="41"/>
  <c r="J296" i="31" s="1"/>
  <c r="K302" i="41"/>
  <c r="E309" i="41"/>
  <c r="E310" i="31" s="1"/>
  <c r="I315" i="41"/>
  <c r="I316" i="31" s="1"/>
  <c r="C322" i="41"/>
  <c r="C205" i="41"/>
  <c r="K241" i="41"/>
  <c r="D264" i="41"/>
  <c r="K265" i="31" s="1"/>
  <c r="C277" i="41"/>
  <c r="F286" i="41"/>
  <c r="D287" i="31" s="1"/>
  <c r="B294" i="41"/>
  <c r="C295" i="31" s="1"/>
  <c r="F301" i="41"/>
  <c r="D302" i="31" s="1"/>
  <c r="K307" i="41"/>
  <c r="E314" i="41"/>
  <c r="E315" i="31" s="1"/>
  <c r="I320" i="41"/>
  <c r="I321" i="31" s="1"/>
  <c r="C327" i="41"/>
  <c r="K222" i="41"/>
  <c r="B253" i="41"/>
  <c r="C254" i="31" s="1"/>
  <c r="H270" i="41"/>
  <c r="J271" i="31" s="1"/>
  <c r="C281" i="41"/>
  <c r="H258" i="41"/>
  <c r="J259" i="31" s="1"/>
  <c r="H287" i="41"/>
  <c r="J288" i="31" s="1"/>
  <c r="G302" i="41"/>
  <c r="H303" i="31" s="1"/>
  <c r="E315" i="41"/>
  <c r="E316" i="31" s="1"/>
  <c r="I326" i="41"/>
  <c r="I327" i="31" s="1"/>
  <c r="D333" i="41"/>
  <c r="K334" i="31" s="1"/>
  <c r="H339" i="41"/>
  <c r="J340" i="31" s="1"/>
  <c r="B346" i="41"/>
  <c r="C347" i="31" s="1"/>
  <c r="F352" i="41"/>
  <c r="D353" i="31" s="1"/>
  <c r="J358" i="41"/>
  <c r="D365" i="41"/>
  <c r="K366" i="31" s="1"/>
  <c r="C330" i="41"/>
  <c r="G340" i="41"/>
  <c r="H341" i="31" s="1"/>
  <c r="I347" i="41"/>
  <c r="I348" i="31" s="1"/>
  <c r="J24" i="41"/>
  <c r="I115" i="41"/>
  <c r="I116" i="31" s="1"/>
  <c r="F188" i="41"/>
  <c r="D189" i="31" s="1"/>
  <c r="H174" i="41"/>
  <c r="J175" i="31" s="1"/>
  <c r="D194" i="41"/>
  <c r="K195" i="31" s="1"/>
  <c r="D160" i="41"/>
  <c r="K161" i="31" s="1"/>
  <c r="C107" i="41"/>
  <c r="C173" i="41"/>
  <c r="F128" i="41"/>
  <c r="D129" i="31" s="1"/>
  <c r="I169" i="41"/>
  <c r="I170" i="31" s="1"/>
  <c r="H114" i="41"/>
  <c r="J115" i="31" s="1"/>
  <c r="D206" i="41"/>
  <c r="K207" i="31" s="1"/>
  <c r="G234" i="41"/>
  <c r="H235" i="31" s="1"/>
  <c r="G142" i="41"/>
  <c r="H143" i="31" s="1"/>
  <c r="D200" i="41"/>
  <c r="K201" i="31" s="1"/>
  <c r="C181" i="41"/>
  <c r="I206" i="41"/>
  <c r="I207" i="31" s="1"/>
  <c r="B165" i="41"/>
  <c r="C166" i="31" s="1"/>
  <c r="K205" i="41"/>
  <c r="E223" i="41"/>
  <c r="E224" i="31" s="1"/>
  <c r="E203" i="41"/>
  <c r="E204" i="31" s="1"/>
  <c r="J232" i="41"/>
  <c r="C250" i="41"/>
  <c r="I267" i="41"/>
  <c r="I268" i="31" s="1"/>
  <c r="C286" i="41"/>
  <c r="K298" i="41"/>
  <c r="G149" i="41"/>
  <c r="H150" i="31" s="1"/>
  <c r="H194" i="41"/>
  <c r="J195" i="31" s="1"/>
  <c r="D210" i="41"/>
  <c r="K211" i="31" s="1"/>
  <c r="B221" i="41"/>
  <c r="C222" i="31" s="1"/>
  <c r="D230" i="41"/>
  <c r="K231" i="31" s="1"/>
  <c r="G237" i="41"/>
  <c r="H238" i="31" s="1"/>
  <c r="J244" i="41"/>
  <c r="J251" i="41"/>
  <c r="G150" i="41"/>
  <c r="H151" i="31" s="1"/>
  <c r="I194" i="41"/>
  <c r="I195" i="31" s="1"/>
  <c r="E210" i="41"/>
  <c r="E211" i="31" s="1"/>
  <c r="C221" i="41"/>
  <c r="E230" i="41"/>
  <c r="E231" i="31" s="1"/>
  <c r="H237" i="41"/>
  <c r="J238" i="31" s="1"/>
  <c r="B245" i="41"/>
  <c r="C246" i="31" s="1"/>
  <c r="K251" i="41"/>
  <c r="E258" i="41"/>
  <c r="E259" i="31" s="1"/>
  <c r="I264" i="41"/>
  <c r="I265" i="31" s="1"/>
  <c r="C271" i="41"/>
  <c r="G277" i="41"/>
  <c r="H278" i="31" s="1"/>
  <c r="K283" i="41"/>
  <c r="F113" i="41"/>
  <c r="D114" i="31" s="1"/>
  <c r="K185" i="41"/>
  <c r="C206" i="41"/>
  <c r="H217" i="41"/>
  <c r="J218" i="31" s="1"/>
  <c r="F227" i="41"/>
  <c r="D228" i="31" s="1"/>
  <c r="B235" i="41"/>
  <c r="C236" i="31" s="1"/>
  <c r="E242" i="41"/>
  <c r="E243" i="31" s="1"/>
  <c r="H249" i="41"/>
  <c r="J250" i="31" s="1"/>
  <c r="B256" i="41"/>
  <c r="C257" i="31" s="1"/>
  <c r="F262" i="41"/>
  <c r="D263" i="31" s="1"/>
  <c r="J268" i="41"/>
  <c r="D275" i="41"/>
  <c r="K276" i="31" s="1"/>
  <c r="K62" i="41"/>
  <c r="C182" i="41"/>
  <c r="E204" i="41"/>
  <c r="E205" i="31" s="1"/>
  <c r="H216" i="41"/>
  <c r="J217" i="31" s="1"/>
  <c r="F226" i="41"/>
  <c r="D227" i="31" s="1"/>
  <c r="D234" i="41"/>
  <c r="K235" i="31" s="1"/>
  <c r="G241" i="41"/>
  <c r="H242" i="31" s="1"/>
  <c r="J248" i="41"/>
  <c r="E255" i="41"/>
  <c r="E256" i="31" s="1"/>
  <c r="I261" i="41"/>
  <c r="I262" i="31" s="1"/>
  <c r="C268" i="41"/>
  <c r="C164" i="41"/>
  <c r="F198" i="41"/>
  <c r="D199" i="31" s="1"/>
  <c r="I212" i="41"/>
  <c r="I213" i="31" s="1"/>
  <c r="B223" i="41"/>
  <c r="C224" i="31" s="1"/>
  <c r="I231" i="41"/>
  <c r="I232" i="31" s="1"/>
  <c r="B239" i="41"/>
  <c r="C240" i="31" s="1"/>
  <c r="E246" i="41"/>
  <c r="E247" i="31" s="1"/>
  <c r="C253" i="41"/>
  <c r="G259" i="41"/>
  <c r="H260" i="31" s="1"/>
  <c r="K265" i="41"/>
  <c r="G133" i="41"/>
  <c r="H134" i="31" s="1"/>
  <c r="C229" i="41"/>
  <c r="H256" i="41"/>
  <c r="J257" i="31" s="1"/>
  <c r="H272" i="41"/>
  <c r="J273" i="31" s="1"/>
  <c r="H282" i="41"/>
  <c r="J283" i="31" s="1"/>
  <c r="J290" i="41"/>
  <c r="D298" i="41"/>
  <c r="K299" i="31" s="1"/>
  <c r="C305" i="41"/>
  <c r="G311" i="41"/>
  <c r="H312" i="31" s="1"/>
  <c r="K317" i="41"/>
  <c r="E324" i="41"/>
  <c r="E325" i="31" s="1"/>
  <c r="E225" i="41"/>
  <c r="E226" i="31" s="1"/>
  <c r="H254" i="41"/>
  <c r="J255" i="31" s="1"/>
  <c r="F271" i="41"/>
  <c r="D272" i="31" s="1"/>
  <c r="I281" i="41"/>
  <c r="I282" i="31" s="1"/>
  <c r="B290" i="41"/>
  <c r="C291" i="31" s="1"/>
  <c r="F297" i="41"/>
  <c r="D298" i="31" s="1"/>
  <c r="F304" i="41"/>
  <c r="D305" i="31" s="1"/>
  <c r="J310" i="41"/>
  <c r="D317" i="41"/>
  <c r="K318" i="31" s="1"/>
  <c r="H323" i="41"/>
  <c r="J324" i="31" s="1"/>
  <c r="I220" i="41"/>
  <c r="I221" i="31" s="1"/>
  <c r="H251" i="41"/>
  <c r="J252" i="31" s="1"/>
  <c r="B270" i="41"/>
  <c r="C271" i="31" s="1"/>
  <c r="H280" i="41"/>
  <c r="J281" i="31" s="1"/>
  <c r="D289" i="41"/>
  <c r="K290" i="31" s="1"/>
  <c r="H296" i="41"/>
  <c r="J297" i="31" s="1"/>
  <c r="I303" i="41"/>
  <c r="I304" i="31" s="1"/>
  <c r="C310" i="41"/>
  <c r="G316" i="41"/>
  <c r="H317" i="31" s="1"/>
  <c r="K322" i="41"/>
  <c r="D211" i="41"/>
  <c r="K212" i="31" s="1"/>
  <c r="G245" i="41"/>
  <c r="H246" i="31" s="1"/>
  <c r="D266" i="41"/>
  <c r="K267" i="31" s="1"/>
  <c r="G278" i="41"/>
  <c r="H279" i="31" s="1"/>
  <c r="F287" i="41"/>
  <c r="D288" i="31" s="1"/>
  <c r="B295" i="41"/>
  <c r="C296" i="31" s="1"/>
  <c r="E302" i="41"/>
  <c r="E303" i="31" s="1"/>
  <c r="I308" i="41"/>
  <c r="I309" i="31" s="1"/>
  <c r="C315" i="41"/>
  <c r="G321" i="41"/>
  <c r="H322" i="31" s="1"/>
  <c r="C117" i="41"/>
  <c r="I227" i="41"/>
  <c r="I228" i="31" s="1"/>
  <c r="J255" i="41"/>
  <c r="D272" i="41"/>
  <c r="K273" i="31" s="1"/>
  <c r="D282" i="41"/>
  <c r="K283" i="31" s="1"/>
  <c r="H264" i="41"/>
  <c r="J265" i="31" s="1"/>
  <c r="I289" i="41"/>
  <c r="I290" i="31" s="1"/>
  <c r="F121" i="41"/>
  <c r="D122" i="31" s="1"/>
  <c r="K141" i="41"/>
  <c r="B214" i="41"/>
  <c r="C215" i="31" s="1"/>
  <c r="F124" i="41"/>
  <c r="D125" i="31" s="1"/>
  <c r="E78" i="41"/>
  <c r="E79" i="31" s="1"/>
  <c r="C172" i="41"/>
  <c r="H129" i="41"/>
  <c r="J130" i="31" s="1"/>
  <c r="F182" i="41"/>
  <c r="D183" i="31" s="1"/>
  <c r="D141" i="41"/>
  <c r="K142" i="31" s="1"/>
  <c r="B177" i="41"/>
  <c r="C178" i="31" s="1"/>
  <c r="E162" i="41"/>
  <c r="E163" i="31" s="1"/>
  <c r="G213" i="41"/>
  <c r="H214" i="31" s="1"/>
  <c r="K240" i="41"/>
  <c r="G170" i="41"/>
  <c r="H171" i="31" s="1"/>
  <c r="D71" i="41"/>
  <c r="K72" i="31" s="1"/>
  <c r="E187" i="41"/>
  <c r="E188" i="31" s="1"/>
  <c r="D212" i="41"/>
  <c r="K213" i="31" s="1"/>
  <c r="I185" i="41"/>
  <c r="I186" i="31" s="1"/>
  <c r="I208" i="41"/>
  <c r="I209" i="31" s="1"/>
  <c r="I228" i="41"/>
  <c r="I229" i="31" s="1"/>
  <c r="G214" i="41"/>
  <c r="H215" i="31" s="1"/>
  <c r="H235" i="41"/>
  <c r="J236" i="31" s="1"/>
  <c r="K254" i="41"/>
  <c r="E273" i="41"/>
  <c r="E274" i="31" s="1"/>
  <c r="G288" i="41"/>
  <c r="H289" i="31" s="1"/>
  <c r="G300" i="41"/>
  <c r="H301" i="31" s="1"/>
  <c r="C167" i="41"/>
  <c r="E199" i="41"/>
  <c r="E200" i="31" s="1"/>
  <c r="B213" i="41"/>
  <c r="C214" i="31" s="1"/>
  <c r="F223" i="41"/>
  <c r="D224" i="31" s="1"/>
  <c r="B232" i="41"/>
  <c r="C233" i="31" s="1"/>
  <c r="F239" i="41"/>
  <c r="D240" i="31" s="1"/>
  <c r="I246" i="41"/>
  <c r="I247" i="31" s="1"/>
  <c r="F253" i="41"/>
  <c r="D254" i="31" s="1"/>
  <c r="I167" i="41"/>
  <c r="I168" i="31" s="1"/>
  <c r="F199" i="41"/>
  <c r="D200" i="31" s="1"/>
  <c r="F213" i="41"/>
  <c r="D214" i="31" s="1"/>
  <c r="I223" i="41"/>
  <c r="I224" i="31" s="1"/>
  <c r="D232" i="41"/>
  <c r="K233" i="31" s="1"/>
  <c r="G239" i="41"/>
  <c r="H240" i="31" s="1"/>
  <c r="J246" i="41"/>
  <c r="G253" i="41"/>
  <c r="H254" i="31" s="1"/>
  <c r="K259" i="41"/>
  <c r="E266" i="41"/>
  <c r="E267" i="31" s="1"/>
  <c r="I272" i="41"/>
  <c r="I273" i="31" s="1"/>
  <c r="C279" i="41"/>
  <c r="G285" i="41"/>
  <c r="H286" i="31" s="1"/>
  <c r="K139" i="41"/>
  <c r="G192" i="41"/>
  <c r="H193" i="31" s="1"/>
  <c r="C209" i="41"/>
  <c r="C220" i="41"/>
  <c r="G229" i="41"/>
  <c r="H230" i="31" s="1"/>
  <c r="J236" i="41"/>
  <c r="D244" i="41"/>
  <c r="K245" i="31" s="1"/>
  <c r="D251" i="41"/>
  <c r="K252" i="31" s="1"/>
  <c r="H257" i="41"/>
  <c r="J258" i="31" s="1"/>
  <c r="B264" i="41"/>
  <c r="C265" i="31" s="1"/>
  <c r="F270" i="41"/>
  <c r="D271" i="31" s="1"/>
  <c r="J276" i="41"/>
  <c r="I128" i="41"/>
  <c r="I129" i="31" s="1"/>
  <c r="I189" i="41"/>
  <c r="I190" i="31" s="1"/>
  <c r="K207" i="41"/>
  <c r="C219" i="41"/>
  <c r="H228" i="41"/>
  <c r="J229" i="31" s="1"/>
  <c r="B236" i="41"/>
  <c r="C237" i="31" s="1"/>
  <c r="F243" i="41"/>
  <c r="D244" i="31" s="1"/>
  <c r="G250" i="41"/>
  <c r="H251" i="31" s="1"/>
  <c r="K256" i="41"/>
  <c r="E263" i="41"/>
  <c r="E264" i="31" s="1"/>
  <c r="I269" i="41"/>
  <c r="I270" i="31" s="1"/>
  <c r="G178" i="41"/>
  <c r="H179" i="31" s="1"/>
  <c r="H202" i="41"/>
  <c r="J203" i="31" s="1"/>
  <c r="G215" i="41"/>
  <c r="H216" i="31" s="1"/>
  <c r="G225" i="41"/>
  <c r="H226" i="31" s="1"/>
  <c r="G233" i="41"/>
  <c r="H234" i="31" s="1"/>
  <c r="J240" i="41"/>
  <c r="D248" i="41"/>
  <c r="K249" i="31" s="1"/>
  <c r="I254" i="41"/>
  <c r="I255" i="31" s="1"/>
  <c r="C261" i="41"/>
  <c r="G267" i="41"/>
  <c r="H268" i="31" s="1"/>
  <c r="K190" i="41"/>
  <c r="F236" i="41"/>
  <c r="D237" i="31" s="1"/>
  <c r="B261" i="41"/>
  <c r="C262" i="31" s="1"/>
  <c r="E275" i="41"/>
  <c r="E276" i="31" s="1"/>
  <c r="J284" i="41"/>
  <c r="I292" i="41"/>
  <c r="I293" i="31" s="1"/>
  <c r="B300" i="41"/>
  <c r="C301" i="31" s="1"/>
  <c r="I306" i="41"/>
  <c r="I307" i="31" s="1"/>
  <c r="C313" i="41"/>
  <c r="G319" i="41"/>
  <c r="H320" i="31" s="1"/>
  <c r="K177" i="41"/>
  <c r="F233" i="41"/>
  <c r="D234" i="31" s="1"/>
  <c r="B259" i="41"/>
  <c r="C260" i="31" s="1"/>
  <c r="B274" i="41"/>
  <c r="C275" i="31" s="1"/>
  <c r="J283" i="41"/>
  <c r="K291" i="41"/>
  <c r="D299" i="41"/>
  <c r="K300" i="31" s="1"/>
  <c r="B306" i="41"/>
  <c r="C307" i="31" s="1"/>
  <c r="F312" i="41"/>
  <c r="D313" i="31" s="1"/>
  <c r="J318" i="41"/>
  <c r="E146" i="41"/>
  <c r="E147" i="31" s="1"/>
  <c r="B230" i="41"/>
  <c r="C231" i="31" s="1"/>
  <c r="D257" i="41"/>
  <c r="K258" i="31" s="1"/>
  <c r="B273" i="41"/>
  <c r="C274" i="31" s="1"/>
  <c r="J282" i="41"/>
  <c r="C291" i="41"/>
  <c r="F298" i="41"/>
  <c r="D299" i="31" s="1"/>
  <c r="E305" i="41"/>
  <c r="E306" i="31" s="1"/>
  <c r="I311" i="41"/>
  <c r="I312" i="31" s="1"/>
  <c r="C318" i="41"/>
  <c r="G324" i="41"/>
  <c r="H325" i="31" s="1"/>
  <c r="K221" i="41"/>
  <c r="F252" i="41"/>
  <c r="D253" i="31" s="1"/>
  <c r="G270" i="41"/>
  <c r="H271" i="31" s="1"/>
  <c r="B281" i="41"/>
  <c r="C282" i="31" s="1"/>
  <c r="G289" i="41"/>
  <c r="H290" i="31" s="1"/>
  <c r="J296" i="41"/>
  <c r="K303" i="41"/>
  <c r="E310" i="41"/>
  <c r="E311" i="31" s="1"/>
  <c r="I316" i="41"/>
  <c r="I317" i="31" s="1"/>
  <c r="C323" i="41"/>
  <c r="K186" i="41"/>
  <c r="D235" i="41"/>
  <c r="K236" i="31" s="1"/>
  <c r="D260" i="41"/>
  <c r="K261" i="31" s="1"/>
  <c r="I274" i="41"/>
  <c r="I275" i="31" s="1"/>
  <c r="B207" i="41"/>
  <c r="C208" i="31" s="1"/>
  <c r="J273" i="41"/>
  <c r="F293" i="41"/>
  <c r="D294" i="31" s="1"/>
  <c r="E307" i="41"/>
  <c r="E308" i="31" s="1"/>
  <c r="C320" i="41"/>
  <c r="D329" i="41"/>
  <c r="K330" i="31" s="1"/>
  <c r="H335" i="41"/>
  <c r="J336" i="31" s="1"/>
  <c r="B342" i="41"/>
  <c r="C343" i="31" s="1"/>
  <c r="F348" i="41"/>
  <c r="D349" i="31" s="1"/>
  <c r="J354" i="41"/>
  <c r="D361" i="41"/>
  <c r="K362" i="31" s="1"/>
  <c r="H367" i="41"/>
  <c r="J368" i="31" s="1"/>
  <c r="K334" i="41"/>
  <c r="K342" i="41"/>
  <c r="K350" i="41"/>
  <c r="K358" i="41"/>
  <c r="E234" i="41"/>
  <c r="E235" i="31" s="1"/>
  <c r="D281" i="41"/>
  <c r="K282" i="31" s="1"/>
  <c r="C297" i="41"/>
  <c r="H310" i="41"/>
  <c r="J311" i="31" s="1"/>
  <c r="F323" i="41"/>
  <c r="D324" i="31" s="1"/>
  <c r="I331" i="41"/>
  <c r="I332" i="31" s="1"/>
  <c r="G360" i="41"/>
  <c r="H361" i="31" s="1"/>
  <c r="G80" i="41"/>
  <c r="H81" i="31" s="1"/>
  <c r="J195" i="41"/>
  <c r="B130" i="41"/>
  <c r="C131" i="31" s="1"/>
  <c r="E235" i="41"/>
  <c r="E236" i="31" s="1"/>
  <c r="E211" i="41"/>
  <c r="E212" i="31" s="1"/>
  <c r="D207" i="41"/>
  <c r="K208" i="31" s="1"/>
  <c r="K286" i="41"/>
  <c r="J211" i="41"/>
  <c r="J245" i="41"/>
  <c r="K211" i="41"/>
  <c r="K245" i="41"/>
  <c r="K271" i="41"/>
  <c r="E189" i="41"/>
  <c r="E190" i="31" s="1"/>
  <c r="K235" i="41"/>
  <c r="D263" i="41"/>
  <c r="K264" i="31" s="1"/>
  <c r="G186" i="41"/>
  <c r="H187" i="31" s="1"/>
  <c r="C235" i="41"/>
  <c r="G262" i="41"/>
  <c r="H263" i="31" s="1"/>
  <c r="K213" i="41"/>
  <c r="D247" i="41"/>
  <c r="K248" i="31" s="1"/>
  <c r="G172" i="41"/>
  <c r="H173" i="31" s="1"/>
  <c r="H283" i="41"/>
  <c r="J284" i="31" s="1"/>
  <c r="I302" i="41"/>
  <c r="I303" i="31" s="1"/>
  <c r="E320" i="41"/>
  <c r="E321" i="31" s="1"/>
  <c r="B257" i="41"/>
  <c r="C258" i="31" s="1"/>
  <c r="B287" i="41"/>
  <c r="C288" i="31" s="1"/>
  <c r="J306" i="41"/>
  <c r="F324" i="41"/>
  <c r="D325" i="31" s="1"/>
  <c r="H263" i="41"/>
  <c r="J264" i="31" s="1"/>
  <c r="B292" i="41"/>
  <c r="C293" i="31" s="1"/>
  <c r="K310" i="41"/>
  <c r="I183" i="41"/>
  <c r="I184" i="31" s="1"/>
  <c r="C272" i="41"/>
  <c r="K295" i="41"/>
  <c r="I312" i="41"/>
  <c r="I313" i="31" s="1"/>
  <c r="E198" i="41"/>
  <c r="E199" i="31" s="1"/>
  <c r="F273" i="41"/>
  <c r="D274" i="31" s="1"/>
  <c r="F283" i="41"/>
  <c r="D284" i="31" s="1"/>
  <c r="C312" i="41"/>
  <c r="F328" i="41"/>
  <c r="D329" i="31" s="1"/>
  <c r="J338" i="41"/>
  <c r="D349" i="41"/>
  <c r="K350" i="31" s="1"/>
  <c r="H359" i="41"/>
  <c r="J360" i="31" s="1"/>
  <c r="C5" i="41"/>
  <c r="C342" i="41"/>
  <c r="K354" i="41"/>
  <c r="C208" i="41"/>
  <c r="G283" i="41"/>
  <c r="H284" i="31" s="1"/>
  <c r="D304" i="41"/>
  <c r="K305" i="31" s="1"/>
  <c r="D320" i="41"/>
  <c r="K321" i="31" s="1"/>
  <c r="E333" i="41"/>
  <c r="E334" i="31" s="1"/>
  <c r="G235" i="41"/>
  <c r="H236" i="31" s="1"/>
  <c r="F281" i="41"/>
  <c r="D282" i="31" s="1"/>
  <c r="H297" i="41"/>
  <c r="J298" i="31" s="1"/>
  <c r="B311" i="41"/>
  <c r="C312" i="31" s="1"/>
  <c r="J323" i="41"/>
  <c r="B331" i="41"/>
  <c r="C332" i="31" s="1"/>
  <c r="F337" i="41"/>
  <c r="D338" i="31" s="1"/>
  <c r="J343" i="41"/>
  <c r="D350" i="41"/>
  <c r="K351" i="31" s="1"/>
  <c r="H356" i="41"/>
  <c r="J357" i="31" s="1"/>
  <c r="B363" i="41"/>
  <c r="C364" i="31" s="1"/>
  <c r="F369" i="41"/>
  <c r="D370" i="31" s="1"/>
  <c r="F246" i="41"/>
  <c r="D247" i="31" s="1"/>
  <c r="E284" i="41"/>
  <c r="E285" i="31" s="1"/>
  <c r="H299" i="41"/>
  <c r="J300" i="31" s="1"/>
  <c r="J312" i="41"/>
  <c r="D325" i="41"/>
  <c r="K326" i="31" s="1"/>
  <c r="K331" i="41"/>
  <c r="E338" i="41"/>
  <c r="E339" i="31" s="1"/>
  <c r="I344" i="41"/>
  <c r="I345" i="31" s="1"/>
  <c r="B238" i="41"/>
  <c r="C239" i="31" s="1"/>
  <c r="F282" i="41"/>
  <c r="D283" i="31" s="1"/>
  <c r="K297" i="41"/>
  <c r="E311" i="41"/>
  <c r="E312" i="31" s="1"/>
  <c r="C324" i="41"/>
  <c r="D331" i="41"/>
  <c r="K332" i="31" s="1"/>
  <c r="H337" i="41"/>
  <c r="J338" i="31" s="1"/>
  <c r="B344" i="41"/>
  <c r="C345" i="31" s="1"/>
  <c r="F350" i="41"/>
  <c r="D351" i="31" s="1"/>
  <c r="J356" i="41"/>
  <c r="D363" i="41"/>
  <c r="K364" i="31" s="1"/>
  <c r="H369" i="41"/>
  <c r="J370" i="31" s="1"/>
  <c r="I216" i="41"/>
  <c r="I217" i="31" s="1"/>
  <c r="D276" i="41"/>
  <c r="K277" i="31" s="1"/>
  <c r="F294" i="41"/>
  <c r="D295" i="31" s="1"/>
  <c r="D308" i="41"/>
  <c r="K309" i="31" s="1"/>
  <c r="B321" i="41"/>
  <c r="C322" i="31" s="1"/>
  <c r="I329" i="41"/>
  <c r="I330" i="31" s="1"/>
  <c r="C336" i="41"/>
  <c r="G342" i="41"/>
  <c r="H343" i="31" s="1"/>
  <c r="K348" i="41"/>
  <c r="E355" i="41"/>
  <c r="E356" i="31" s="1"/>
  <c r="G362" i="41"/>
  <c r="H363" i="31" s="1"/>
  <c r="F302" i="41"/>
  <c r="D303" i="31" s="1"/>
  <c r="G339" i="41"/>
  <c r="H340" i="31" s="1"/>
  <c r="G359" i="41"/>
  <c r="H360" i="31" s="1"/>
  <c r="B337" i="41"/>
  <c r="C338" i="31" s="1"/>
  <c r="K361" i="41"/>
  <c r="F310" i="41"/>
  <c r="D311" i="31" s="1"/>
  <c r="J369" i="41"/>
  <c r="D356" i="41"/>
  <c r="K357" i="31" s="1"/>
  <c r="D336" i="41"/>
  <c r="K337" i="31" s="1"/>
  <c r="I296" i="41"/>
  <c r="I297" i="31" s="1"/>
  <c r="D340" i="41"/>
  <c r="K341" i="31" s="1"/>
  <c r="D364" i="41"/>
  <c r="K365" i="31" s="1"/>
  <c r="E358" i="41"/>
  <c r="E359" i="31" s="1"/>
  <c r="J345" i="41"/>
  <c r="C337" i="41"/>
  <c r="F331" i="41"/>
  <c r="D332" i="31" s="1"/>
  <c r="E287" i="41"/>
  <c r="E288" i="31" s="1"/>
  <c r="D269" i="41"/>
  <c r="K270" i="31" s="1"/>
  <c r="E328" i="41"/>
  <c r="E329" i="31" s="1"/>
  <c r="D352" i="41"/>
  <c r="K353" i="31" s="1"/>
  <c r="G367" i="41"/>
  <c r="H368" i="31" s="1"/>
  <c r="E332" i="41"/>
  <c r="E333" i="31" s="1"/>
  <c r="F339" i="41"/>
  <c r="D340" i="31" s="1"/>
  <c r="E300" i="41"/>
  <c r="E301" i="31" s="1"/>
  <c r="H338" i="41"/>
  <c r="J339" i="31" s="1"/>
  <c r="I358" i="41"/>
  <c r="I359" i="31" s="1"/>
  <c r="H250" i="41"/>
  <c r="J251" i="31" s="1"/>
  <c r="E348" i="41"/>
  <c r="E349" i="31" s="1"/>
  <c r="F359" i="41"/>
  <c r="D360" i="31" s="1"/>
  <c r="F255" i="41"/>
  <c r="D256" i="31" s="1"/>
  <c r="F314" i="41"/>
  <c r="D315" i="31" s="1"/>
  <c r="I332" i="41"/>
  <c r="I333" i="31" s="1"/>
  <c r="C339" i="41"/>
  <c r="C247" i="41"/>
  <c r="F284" i="41"/>
  <c r="D285" i="31" s="1"/>
  <c r="K312" i="41"/>
  <c r="E325" i="41"/>
  <c r="E326" i="31" s="1"/>
  <c r="B332" i="41"/>
  <c r="C333" i="31" s="1"/>
  <c r="J344" i="41"/>
  <c r="D351" i="41"/>
  <c r="K352" i="31" s="1"/>
  <c r="B364" i="41"/>
  <c r="C365" i="31" s="1"/>
  <c r="G5" i="41"/>
  <c r="H6" i="31" s="1"/>
  <c r="J228" i="41"/>
  <c r="D296" i="41"/>
  <c r="K297" i="31" s="1"/>
  <c r="J309" i="41"/>
  <c r="H322" i="41"/>
  <c r="J323" i="31" s="1"/>
  <c r="K336" i="41"/>
  <c r="E343" i="41"/>
  <c r="E344" i="31" s="1"/>
  <c r="C356" i="41"/>
  <c r="E363" i="41"/>
  <c r="E364" i="31" s="1"/>
  <c r="J308" i="41"/>
  <c r="J361" i="41"/>
  <c r="F343" i="41"/>
  <c r="D344" i="31" s="1"/>
  <c r="D323" i="41"/>
  <c r="K324" i="31" s="1"/>
  <c r="J239" i="41"/>
  <c r="H362" i="41"/>
  <c r="J363" i="31" s="1"/>
  <c r="J303" i="41"/>
  <c r="F351" i="41"/>
  <c r="D352" i="31" s="1"/>
  <c r="E364" i="41"/>
  <c r="E365" i="31" s="1"/>
  <c r="C357" i="41"/>
  <c r="B341" i="41"/>
  <c r="C342" i="31" s="1"/>
  <c r="G326" i="41"/>
  <c r="H327" i="31" s="1"/>
  <c r="E283" i="41"/>
  <c r="E284" i="31" s="1"/>
  <c r="E354" i="41"/>
  <c r="E355" i="31" s="1"/>
  <c r="K368" i="41"/>
  <c r="B353" i="41"/>
  <c r="C354" i="31" s="1"/>
  <c r="B307" i="41"/>
  <c r="C308" i="31" s="1"/>
  <c r="B361" i="41"/>
  <c r="C362" i="31" s="1"/>
  <c r="F285" i="41"/>
  <c r="D286" i="31" s="1"/>
  <c r="I354" i="41"/>
  <c r="I355" i="31" s="1"/>
  <c r="B233" i="41"/>
  <c r="C234" i="31" s="1"/>
  <c r="B241" i="41"/>
  <c r="C242" i="31" s="1"/>
  <c r="F288" i="41"/>
  <c r="D289" i="31" s="1"/>
  <c r="C304" i="41"/>
  <c r="H355" i="41"/>
  <c r="J356" i="31" s="1"/>
  <c r="C350" i="41"/>
  <c r="H124" i="41"/>
  <c r="J125" i="31" s="1"/>
  <c r="J98" i="41"/>
  <c r="J142" i="41"/>
  <c r="I241" i="41"/>
  <c r="I242" i="31" s="1"/>
  <c r="C214" i="41"/>
  <c r="J215" i="41"/>
  <c r="G292" i="41"/>
  <c r="H293" i="31" s="1"/>
  <c r="H214" i="41"/>
  <c r="J215" i="31" s="1"/>
  <c r="H247" i="41"/>
  <c r="J248" i="31" s="1"/>
  <c r="I214" i="41"/>
  <c r="I215" i="31" s="1"/>
  <c r="I247" i="41"/>
  <c r="I248" i="31" s="1"/>
  <c r="G273" i="41"/>
  <c r="H274" i="31" s="1"/>
  <c r="E195" i="41"/>
  <c r="E196" i="31" s="1"/>
  <c r="J237" i="41"/>
  <c r="J264" i="41"/>
  <c r="K192" i="41"/>
  <c r="B237" i="41"/>
  <c r="C238" i="31" s="1"/>
  <c r="C264" i="41"/>
  <c r="J216" i="41"/>
  <c r="C249" i="41"/>
  <c r="K200" i="41"/>
  <c r="J285" i="41"/>
  <c r="K305" i="41"/>
  <c r="K321" i="41"/>
  <c r="D261" i="41"/>
  <c r="K262" i="31" s="1"/>
  <c r="B291" i="41"/>
  <c r="C292" i="31" s="1"/>
  <c r="F308" i="41"/>
  <c r="D309" i="31" s="1"/>
  <c r="G179" i="41"/>
  <c r="H180" i="31" s="1"/>
  <c r="H271" i="41"/>
  <c r="J272" i="31" s="1"/>
  <c r="J293" i="41"/>
  <c r="G312" i="41"/>
  <c r="H313" i="31" s="1"/>
  <c r="B217" i="41"/>
  <c r="C218" i="31" s="1"/>
  <c r="H274" i="41"/>
  <c r="J275" i="31" s="1"/>
  <c r="I297" i="41"/>
  <c r="I298" i="31" s="1"/>
  <c r="K315" i="41"/>
  <c r="G212" i="41"/>
  <c r="H213" i="31" s="1"/>
  <c r="C276" i="41"/>
  <c r="G291" i="41"/>
  <c r="H292" i="31" s="1"/>
  <c r="I313" i="41"/>
  <c r="I314" i="31" s="1"/>
  <c r="B330" i="41"/>
  <c r="C331" i="31" s="1"/>
  <c r="F340" i="41"/>
  <c r="D341" i="31" s="1"/>
  <c r="J350" i="41"/>
  <c r="F360" i="41"/>
  <c r="D361" i="31" s="1"/>
  <c r="K5" i="41"/>
  <c r="G344" i="41"/>
  <c r="H345" i="31" s="1"/>
  <c r="I355" i="41"/>
  <c r="I356" i="31" s="1"/>
  <c r="C223" i="41"/>
  <c r="J287" i="41"/>
  <c r="J305" i="41"/>
  <c r="J321" i="41"/>
  <c r="I339" i="41"/>
  <c r="I340" i="31" s="1"/>
  <c r="E245" i="41"/>
  <c r="E246" i="31" s="1"/>
  <c r="C284" i="41"/>
  <c r="F299" i="41"/>
  <c r="D300" i="31" s="1"/>
  <c r="H312" i="41"/>
  <c r="J313" i="31" s="1"/>
  <c r="C325" i="41"/>
  <c r="J331" i="41"/>
  <c r="D338" i="41"/>
  <c r="K339" i="31" s="1"/>
  <c r="H344" i="41"/>
  <c r="J345" i="31" s="1"/>
  <c r="B351" i="41"/>
  <c r="C352" i="31" s="1"/>
  <c r="F357" i="41"/>
  <c r="D358" i="31" s="1"/>
  <c r="J363" i="41"/>
  <c r="E5" i="41"/>
  <c r="E6" i="31" s="1"/>
  <c r="G286" i="41"/>
  <c r="H287" i="31" s="1"/>
  <c r="G301" i="41"/>
  <c r="H302" i="31" s="1"/>
  <c r="C326" i="41"/>
  <c r="E346" i="41"/>
  <c r="E347" i="31" s="1"/>
  <c r="J299" i="41"/>
  <c r="F338" i="41"/>
  <c r="D339" i="31" s="1"/>
  <c r="H357" i="41"/>
  <c r="J358" i="31" s="1"/>
  <c r="G279" i="41"/>
  <c r="H280" i="31" s="1"/>
  <c r="G330" i="41"/>
  <c r="H331" i="31" s="1"/>
  <c r="I349" i="41"/>
  <c r="I350" i="31" s="1"/>
  <c r="I342" i="41"/>
  <c r="I343" i="31" s="1"/>
  <c r="K363" i="41"/>
  <c r="I350" i="41"/>
  <c r="I351" i="31" s="1"/>
  <c r="G368" i="41"/>
  <c r="H369" i="31" s="1"/>
  <c r="G349" i="41"/>
  <c r="H350" i="31" s="1"/>
  <c r="G331" i="41"/>
  <c r="H332" i="31" s="1"/>
  <c r="I338" i="41"/>
  <c r="I339" i="31" s="1"/>
  <c r="J341" i="41"/>
  <c r="I366" i="41"/>
  <c r="I367" i="31" s="1"/>
  <c r="E221" i="41"/>
  <c r="E222" i="31" s="1"/>
  <c r="G117" i="41"/>
  <c r="H118" i="31" s="1"/>
  <c r="C161" i="41"/>
  <c r="H170" i="41"/>
  <c r="J171" i="31" s="1"/>
  <c r="J166" i="41"/>
  <c r="E172" i="41"/>
  <c r="E173" i="31" s="1"/>
  <c r="J233" i="41"/>
  <c r="I299" i="41"/>
  <c r="I300" i="31" s="1"/>
  <c r="D222" i="41"/>
  <c r="K223" i="31" s="1"/>
  <c r="H252" i="41"/>
  <c r="J253" i="31" s="1"/>
  <c r="E222" i="41"/>
  <c r="E223" i="31" s="1"/>
  <c r="I252" i="41"/>
  <c r="I253" i="31" s="1"/>
  <c r="E278" i="41"/>
  <c r="E279" i="31" s="1"/>
  <c r="G207" i="41"/>
  <c r="H208" i="31" s="1"/>
  <c r="D243" i="41"/>
  <c r="K244" i="31" s="1"/>
  <c r="H269" i="41"/>
  <c r="J270" i="31" s="1"/>
  <c r="E206" i="41"/>
  <c r="E207" i="31" s="1"/>
  <c r="F242" i="41"/>
  <c r="D243" i="31" s="1"/>
  <c r="K268" i="41"/>
  <c r="C224" i="41"/>
  <c r="K253" i="41"/>
  <c r="I232" i="41"/>
  <c r="I233" i="31" s="1"/>
  <c r="B288" i="41"/>
  <c r="C289" i="31" s="1"/>
  <c r="G307" i="41"/>
  <c r="H308" i="31" s="1"/>
  <c r="C143" i="41"/>
  <c r="F265" i="41"/>
  <c r="D266" i="31" s="1"/>
  <c r="J292" i="41"/>
  <c r="H311" i="41"/>
  <c r="J312" i="31" s="1"/>
  <c r="C203" i="41"/>
  <c r="D274" i="41"/>
  <c r="K275" i="31" s="1"/>
  <c r="G297" i="41"/>
  <c r="H298" i="31" s="1"/>
  <c r="C314" i="41"/>
  <c r="I226" i="41"/>
  <c r="I227" i="31" s="1"/>
  <c r="H279" i="41"/>
  <c r="J280" i="31" s="1"/>
  <c r="G299" i="41"/>
  <c r="H300" i="31" s="1"/>
  <c r="G317" i="41"/>
  <c r="H318" i="31" s="1"/>
  <c r="H231" i="41"/>
  <c r="J232" i="31" s="1"/>
  <c r="H278" i="41"/>
  <c r="J279" i="31" s="1"/>
  <c r="D295" i="41"/>
  <c r="K296" i="31" s="1"/>
  <c r="K316" i="41"/>
  <c r="H331" i="41"/>
  <c r="J332" i="31" s="1"/>
  <c r="D341" i="41"/>
  <c r="K342" i="31" s="1"/>
  <c r="H351" i="41"/>
  <c r="J352" i="31" s="1"/>
  <c r="B362" i="41"/>
  <c r="C363" i="31" s="1"/>
  <c r="G332" i="41"/>
  <c r="H333" i="31" s="1"/>
  <c r="C346" i="41"/>
  <c r="E357" i="41"/>
  <c r="E358" i="31" s="1"/>
  <c r="G243" i="41"/>
  <c r="H244" i="31" s="1"/>
  <c r="J289" i="41"/>
  <c r="F307" i="41"/>
  <c r="D308" i="31" s="1"/>
  <c r="B325" i="41"/>
  <c r="C326" i="31" s="1"/>
  <c r="I343" i="41"/>
  <c r="I344" i="31" s="1"/>
  <c r="J253" i="41"/>
  <c r="D286" i="41"/>
  <c r="K287" i="31" s="1"/>
  <c r="D301" i="41"/>
  <c r="K302" i="31" s="1"/>
  <c r="D314" i="41"/>
  <c r="K315" i="31" s="1"/>
  <c r="B326" i="41"/>
  <c r="C327" i="31" s="1"/>
  <c r="H332" i="41"/>
  <c r="J333" i="31" s="1"/>
  <c r="B339" i="41"/>
  <c r="C340" i="31" s="1"/>
  <c r="F345" i="41"/>
  <c r="D346" i="31" s="1"/>
  <c r="J351" i="41"/>
  <c r="D358" i="41"/>
  <c r="K359" i="31" s="1"/>
  <c r="H364" i="41"/>
  <c r="J365" i="31" s="1"/>
  <c r="G345" i="41"/>
  <c r="H346" i="31" s="1"/>
  <c r="H260" i="41"/>
  <c r="J261" i="31" s="1"/>
  <c r="H288" i="41"/>
  <c r="J289" i="31" s="1"/>
  <c r="D303" i="41"/>
  <c r="K304" i="31" s="1"/>
  <c r="B316" i="41"/>
  <c r="C317" i="31" s="1"/>
  <c r="B327" i="41"/>
  <c r="C328" i="31" s="1"/>
  <c r="G333" i="41"/>
  <c r="H334" i="31" s="1"/>
  <c r="K339" i="41"/>
  <c r="C347" i="41"/>
  <c r="D256" i="41"/>
  <c r="K257" i="31" s="1"/>
  <c r="H286" i="41"/>
  <c r="J287" i="31" s="1"/>
  <c r="H301" i="41"/>
  <c r="J302" i="31" s="1"/>
  <c r="G314" i="41"/>
  <c r="H315" i="31" s="1"/>
  <c r="D326" i="41"/>
  <c r="K327" i="31" s="1"/>
  <c r="J332" i="41"/>
  <c r="D339" i="41"/>
  <c r="K340" i="31" s="1"/>
  <c r="H345" i="41"/>
  <c r="J346" i="31" s="1"/>
  <c r="B352" i="41"/>
  <c r="C353" i="31" s="1"/>
  <c r="F358" i="41"/>
  <c r="D359" i="31" s="1"/>
  <c r="J364" i="41"/>
  <c r="I361" i="41"/>
  <c r="I362" i="31" s="1"/>
  <c r="C239" i="41"/>
  <c r="G282" i="41"/>
  <c r="H283" i="31" s="1"/>
  <c r="B298" i="41"/>
  <c r="C299" i="31" s="1"/>
  <c r="F311" i="41"/>
  <c r="D312" i="31" s="1"/>
  <c r="D324" i="41"/>
  <c r="K325" i="31" s="1"/>
  <c r="E331" i="41"/>
  <c r="E332" i="31" s="1"/>
  <c r="I337" i="41"/>
  <c r="I338" i="31" s="1"/>
  <c r="C344" i="41"/>
  <c r="G350" i="41"/>
  <c r="H351" i="31" s="1"/>
  <c r="K356" i="41"/>
  <c r="I365" i="41"/>
  <c r="I366" i="31" s="1"/>
  <c r="D315" i="41"/>
  <c r="K316" i="31" s="1"/>
  <c r="K345" i="41"/>
  <c r="I363" i="41"/>
  <c r="I364" i="31" s="1"/>
  <c r="H346" i="41"/>
  <c r="J347" i="31" s="1"/>
  <c r="G365" i="41"/>
  <c r="H366" i="31" s="1"/>
  <c r="I330" i="41"/>
  <c r="I331" i="31" s="1"/>
  <c r="B283" i="41"/>
  <c r="C284" i="31" s="1"/>
  <c r="K365" i="41"/>
  <c r="G361" i="41"/>
  <c r="H362" i="31" s="1"/>
  <c r="D310" i="41"/>
  <c r="K311" i="31" s="1"/>
  <c r="E368" i="41"/>
  <c r="E369" i="31" s="1"/>
  <c r="K154" i="41"/>
  <c r="I368" i="41"/>
  <c r="I369" i="31" s="1"/>
  <c r="C368" i="41"/>
  <c r="K355" i="41"/>
  <c r="F347" i="41"/>
  <c r="D348" i="31" s="1"/>
  <c r="H342" i="41"/>
  <c r="J343" i="31" s="1"/>
  <c r="F291" i="41"/>
  <c r="D292" i="31" s="1"/>
  <c r="I334" i="41"/>
  <c r="I335" i="31" s="1"/>
  <c r="E356" i="41"/>
  <c r="E357" i="31" s="1"/>
  <c r="D5" i="41"/>
  <c r="K6" i="31" s="1"/>
  <c r="C345" i="41"/>
  <c r="G363" i="41"/>
  <c r="H364" i="31" s="1"/>
  <c r="F313" i="41"/>
  <c r="D314" i="31" s="1"/>
  <c r="B345" i="41"/>
  <c r="C346" i="31" s="1"/>
  <c r="C363" i="41"/>
  <c r="H300" i="41"/>
  <c r="J301" i="31" s="1"/>
  <c r="F363" i="41"/>
  <c r="D364" i="31" s="1"/>
  <c r="K165" i="41"/>
  <c r="E286" i="41"/>
  <c r="E287" i="31" s="1"/>
  <c r="D220" i="41"/>
  <c r="K221" i="31" s="1"/>
  <c r="F234" i="41"/>
  <c r="D235" i="31" s="1"/>
  <c r="K313" i="41"/>
  <c r="C300" i="41"/>
  <c r="G304" i="41"/>
  <c r="H305" i="31" s="1"/>
  <c r="K323" i="41"/>
  <c r="K324" i="41"/>
  <c r="B366" i="41"/>
  <c r="C367" i="31" s="1"/>
  <c r="E295" i="41"/>
  <c r="E296" i="31" s="1"/>
  <c r="G143" i="41"/>
  <c r="H144" i="31" s="1"/>
  <c r="B173" i="41"/>
  <c r="C174" i="31" s="1"/>
  <c r="J177" i="41"/>
  <c r="I177" i="41"/>
  <c r="I178" i="31" s="1"/>
  <c r="G187" i="41"/>
  <c r="H188" i="31" s="1"/>
  <c r="D240" i="41"/>
  <c r="K241" i="31" s="1"/>
  <c r="E301" i="41"/>
  <c r="E302" i="31" s="1"/>
  <c r="I224" i="41"/>
  <c r="I225" i="31" s="1"/>
  <c r="D254" i="41"/>
  <c r="K255" i="31" s="1"/>
  <c r="J224" i="41"/>
  <c r="E254" i="41"/>
  <c r="E255" i="31" s="1"/>
  <c r="K279" i="41"/>
  <c r="H210" i="41"/>
  <c r="J211" i="31" s="1"/>
  <c r="C245" i="41"/>
  <c r="D271" i="41"/>
  <c r="K272" i="31" s="1"/>
  <c r="E209" i="41"/>
  <c r="E210" i="31" s="1"/>
  <c r="E244" i="41"/>
  <c r="E245" i="31" s="1"/>
  <c r="I102" i="41"/>
  <c r="I103" i="31" s="1"/>
  <c r="H226" i="41"/>
  <c r="J227" i="31" s="1"/>
  <c r="G255" i="41"/>
  <c r="H256" i="31" s="1"/>
  <c r="B240" i="41"/>
  <c r="C241" i="31" s="1"/>
  <c r="J291" i="41"/>
  <c r="C309" i="41"/>
  <c r="E193" i="41"/>
  <c r="E194" i="31" s="1"/>
  <c r="K272" i="41"/>
  <c r="H294" i="41"/>
  <c r="J295" i="31" s="1"/>
  <c r="D313" i="41"/>
  <c r="K314" i="31" s="1"/>
  <c r="H225" i="41"/>
  <c r="J226" i="31" s="1"/>
  <c r="K276" i="41"/>
  <c r="E299" i="41"/>
  <c r="E300" i="31" s="1"/>
  <c r="E317" i="41"/>
  <c r="E318" i="31" s="1"/>
  <c r="H234" i="41"/>
  <c r="J235" i="31" s="1"/>
  <c r="B282" i="41"/>
  <c r="C283" i="31" s="1"/>
  <c r="C303" i="41"/>
  <c r="C319" i="41"/>
  <c r="K238" i="41"/>
  <c r="I170" i="41"/>
  <c r="I171" i="31" s="1"/>
  <c r="J298" i="41"/>
  <c r="G318" i="41"/>
  <c r="H319" i="31" s="1"/>
  <c r="F332" i="41"/>
  <c r="D333" i="31" s="1"/>
  <c r="J342" i="41"/>
  <c r="D353" i="41"/>
  <c r="K354" i="31" s="1"/>
  <c r="H363" i="41"/>
  <c r="J364" i="31" s="1"/>
  <c r="C334" i="41"/>
  <c r="K346" i="41"/>
  <c r="C358" i="41"/>
  <c r="H259" i="41"/>
  <c r="J260" i="31" s="1"/>
  <c r="H291" i="41"/>
  <c r="J292" i="31" s="1"/>
  <c r="B309" i="41"/>
  <c r="C310" i="31" s="1"/>
  <c r="J326" i="41"/>
  <c r="G348" i="41"/>
  <c r="H349" i="31" s="1"/>
  <c r="F260" i="41"/>
  <c r="D261" i="31" s="1"/>
  <c r="E288" i="41"/>
  <c r="E289" i="31" s="1"/>
  <c r="B303" i="41"/>
  <c r="C304" i="31" s="1"/>
  <c r="J315" i="41"/>
  <c r="K326" i="41"/>
  <c r="F333" i="41"/>
  <c r="D334" i="31" s="1"/>
  <c r="G334" i="31" s="1"/>
  <c r="J339" i="41"/>
  <c r="D346" i="41"/>
  <c r="K347" i="31" s="1"/>
  <c r="H352" i="41"/>
  <c r="J353" i="31" s="1"/>
  <c r="B359" i="41"/>
  <c r="C360" i="31" s="1"/>
  <c r="F365" i="41"/>
  <c r="D366" i="31" s="1"/>
  <c r="H100" i="41"/>
  <c r="J101" i="31" s="1"/>
  <c r="J266" i="41"/>
  <c r="G290" i="41"/>
  <c r="H291" i="31" s="1"/>
  <c r="J304" i="41"/>
  <c r="H317" i="41"/>
  <c r="J318" i="31" s="1"/>
  <c r="K327" i="41"/>
  <c r="E334" i="41"/>
  <c r="E335" i="31" s="1"/>
  <c r="I340" i="41"/>
  <c r="I341" i="31" s="1"/>
  <c r="K347" i="41"/>
  <c r="J261" i="41"/>
  <c r="J288" i="41"/>
  <c r="E303" i="41"/>
  <c r="E304" i="31" s="1"/>
  <c r="C316" i="41"/>
  <c r="D327" i="41"/>
  <c r="K328" i="31" s="1"/>
  <c r="H333" i="41"/>
  <c r="J334" i="31" s="1"/>
  <c r="B340" i="41"/>
  <c r="C341" i="31" s="1"/>
  <c r="F346" i="41"/>
  <c r="D347" i="31" s="1"/>
  <c r="J352" i="41"/>
  <c r="D359" i="41"/>
  <c r="K360" i="31" s="1"/>
  <c r="H365" i="41"/>
  <c r="J366" i="31" s="1"/>
  <c r="C364" i="41"/>
  <c r="B249" i="41"/>
  <c r="C250" i="31" s="1"/>
  <c r="H284" i="41"/>
  <c r="J285" i="31" s="1"/>
  <c r="K299" i="41"/>
  <c r="B313" i="41"/>
  <c r="C314" i="31" s="1"/>
  <c r="F325" i="41"/>
  <c r="D326" i="31" s="1"/>
  <c r="C332" i="41"/>
  <c r="G338" i="41"/>
  <c r="H339" i="31" s="1"/>
  <c r="K344" i="41"/>
  <c r="E351" i="41"/>
  <c r="E352" i="31" s="1"/>
  <c r="I357" i="41"/>
  <c r="I358" i="31" s="1"/>
  <c r="D219" i="41"/>
  <c r="K220" i="31" s="1"/>
  <c r="H321" i="41"/>
  <c r="J322" i="31" s="1"/>
  <c r="B349" i="41"/>
  <c r="C350" i="31" s="1"/>
  <c r="E365" i="41"/>
  <c r="E366" i="31" s="1"/>
  <c r="C349" i="41"/>
  <c r="C367" i="41"/>
  <c r="E340" i="41"/>
  <c r="E341" i="31" s="1"/>
  <c r="G298" i="41"/>
  <c r="H299" i="31" s="1"/>
  <c r="K369" i="41"/>
  <c r="E369" i="41"/>
  <c r="E370" i="31" s="1"/>
  <c r="H316" i="41"/>
  <c r="J317" i="31" s="1"/>
  <c r="B304" i="41"/>
  <c r="C305" i="31" s="1"/>
  <c r="F305" i="41"/>
  <c r="D306" i="31" s="1"/>
  <c r="C361" i="41"/>
  <c r="J263" i="41"/>
  <c r="E362" i="41"/>
  <c r="E363" i="31" s="1"/>
  <c r="K353" i="41"/>
  <c r="C355" i="41"/>
  <c r="I298" i="41"/>
  <c r="I299" i="31" s="1"/>
  <c r="K337" i="41"/>
  <c r="H358" i="41"/>
  <c r="J359" i="31" s="1"/>
  <c r="I204" i="41"/>
  <c r="I205" i="31" s="1"/>
  <c r="H350" i="41"/>
  <c r="J351" i="31" s="1"/>
  <c r="E200" i="41"/>
  <c r="E201" i="31" s="1"/>
  <c r="J319" i="41"/>
  <c r="D348" i="41"/>
  <c r="K349" i="31" s="1"/>
  <c r="I364" i="41"/>
  <c r="I365" i="31" s="1"/>
  <c r="H313" i="41"/>
  <c r="J314" i="31" s="1"/>
  <c r="H5" i="41"/>
  <c r="J6" i="31" s="1"/>
  <c r="C359" i="41"/>
  <c r="H325" i="41"/>
  <c r="J326" i="31" s="1"/>
  <c r="E366" i="41"/>
  <c r="E367" i="31" s="1"/>
  <c r="I325" i="41"/>
  <c r="I326" i="31" s="1"/>
  <c r="H215" i="41"/>
  <c r="J216" i="31" s="1"/>
  <c r="H103" i="41"/>
  <c r="J104" i="31" s="1"/>
  <c r="G256" i="41"/>
  <c r="H257" i="31" s="1"/>
  <c r="C175" i="41"/>
  <c r="I260" i="41"/>
  <c r="I261" i="31" s="1"/>
  <c r="B252" i="41"/>
  <c r="C253" i="31" s="1"/>
  <c r="E251" i="41"/>
  <c r="E252" i="31" s="1"/>
  <c r="K261" i="41"/>
  <c r="F295" i="41"/>
  <c r="D296" i="31" s="1"/>
  <c r="K277" i="41"/>
  <c r="B318" i="41"/>
  <c r="C319" i="31" s="1"/>
  <c r="G320" i="41"/>
  <c r="H321" i="31" s="1"/>
  <c r="E306" i="41"/>
  <c r="E307" i="31" s="1"/>
  <c r="J242" i="41"/>
  <c r="D345" i="41"/>
  <c r="K346" i="31" s="1"/>
  <c r="C338" i="41"/>
  <c r="B190" i="41"/>
  <c r="C191" i="31" s="1"/>
  <c r="J110" i="41"/>
  <c r="I121" i="41"/>
  <c r="I122" i="31" s="1"/>
  <c r="F202" i="41"/>
  <c r="D203" i="31" s="1"/>
  <c r="K206" i="41"/>
  <c r="C254" i="41"/>
  <c r="I159" i="41"/>
  <c r="I160" i="31" s="1"/>
  <c r="C231" i="41"/>
  <c r="F160" i="41"/>
  <c r="D161" i="31" s="1"/>
  <c r="D231" i="41"/>
  <c r="K232" i="31" s="1"/>
  <c r="C259" i="41"/>
  <c r="I284" i="41"/>
  <c r="I285" i="31" s="1"/>
  <c r="K218" i="41"/>
  <c r="F250" i="41"/>
  <c r="D251" i="31" s="1"/>
  <c r="B276" i="41"/>
  <c r="C277" i="31" s="1"/>
  <c r="I217" i="41"/>
  <c r="I218" i="31" s="1"/>
  <c r="I249" i="41"/>
  <c r="I250" i="31" s="1"/>
  <c r="F171" i="41"/>
  <c r="D172" i="31" s="1"/>
  <c r="H232" i="41"/>
  <c r="J233" i="31" s="1"/>
  <c r="E260" i="41"/>
  <c r="E261" i="31" s="1"/>
  <c r="J258" i="41"/>
  <c r="H293" i="41"/>
  <c r="J294" i="31" s="1"/>
  <c r="E312" i="41"/>
  <c r="E313" i="31" s="1"/>
  <c r="F209" i="41"/>
  <c r="D210" i="31" s="1"/>
  <c r="F275" i="41"/>
  <c r="D276" i="31" s="1"/>
  <c r="E298" i="41"/>
  <c r="E299" i="31" s="1"/>
  <c r="J314" i="41"/>
  <c r="H233" i="41"/>
  <c r="J234" i="31" s="1"/>
  <c r="J281" i="41"/>
  <c r="C301" i="41"/>
  <c r="K318" i="41"/>
  <c r="D249" i="41"/>
  <c r="K250" i="31" s="1"/>
  <c r="D284" i="41"/>
  <c r="K285" i="31" s="1"/>
  <c r="I304" i="41"/>
  <c r="I305" i="31" s="1"/>
  <c r="E322" i="41"/>
  <c r="E323" i="31" s="1"/>
  <c r="D246" i="41"/>
  <c r="K247" i="31" s="1"/>
  <c r="H221" i="41"/>
  <c r="J222" i="31" s="1"/>
  <c r="I300" i="41"/>
  <c r="I301" i="31" s="1"/>
  <c r="I321" i="41"/>
  <c r="I322" i="31" s="1"/>
  <c r="B334" i="41"/>
  <c r="C335" i="31" s="1"/>
  <c r="F344" i="41"/>
  <c r="D345" i="31" s="1"/>
  <c r="B354" i="41"/>
  <c r="C355" i="31" s="1"/>
  <c r="F364" i="41"/>
  <c r="D365" i="31" s="1"/>
  <c r="I335" i="41"/>
  <c r="I336" i="31" s="1"/>
  <c r="E349" i="41"/>
  <c r="E350" i="31" s="1"/>
  <c r="I359" i="41"/>
  <c r="I360" i="31" s="1"/>
  <c r="B265" i="41"/>
  <c r="C266" i="31" s="1"/>
  <c r="G293" i="41"/>
  <c r="H294" i="31" s="1"/>
  <c r="D312" i="41"/>
  <c r="K313" i="31" s="1"/>
  <c r="I327" i="41"/>
  <c r="I328" i="31" s="1"/>
  <c r="G352" i="41"/>
  <c r="H353" i="31" s="1"/>
  <c r="B266" i="41"/>
  <c r="C267" i="31" s="1"/>
  <c r="E290" i="41"/>
  <c r="E291" i="31" s="1"/>
  <c r="H304" i="41"/>
  <c r="J305" i="31" s="1"/>
  <c r="F317" i="41"/>
  <c r="D318" i="31" s="1"/>
  <c r="J327" i="41"/>
  <c r="D334" i="41"/>
  <c r="K335" i="31" s="1"/>
  <c r="H340" i="41"/>
  <c r="J341" i="31" s="1"/>
  <c r="B347" i="41"/>
  <c r="C348" i="31" s="1"/>
  <c r="F353" i="41"/>
  <c r="D354" i="31" s="1"/>
  <c r="J359" i="41"/>
  <c r="D366" i="41"/>
  <c r="K367" i="31" s="1"/>
  <c r="C190" i="41"/>
  <c r="J271" i="41"/>
  <c r="E292" i="41"/>
  <c r="E293" i="31" s="1"/>
  <c r="F306" i="41"/>
  <c r="D307" i="31" s="1"/>
  <c r="D319" i="41"/>
  <c r="K320" i="31" s="1"/>
  <c r="I328" i="41"/>
  <c r="I329" i="31" s="1"/>
  <c r="C335" i="41"/>
  <c r="G341" i="41"/>
  <c r="H342" i="31" s="1"/>
  <c r="I120" i="41"/>
  <c r="I121" i="31" s="1"/>
  <c r="B267" i="41"/>
  <c r="C268" i="31" s="1"/>
  <c r="H290" i="41"/>
  <c r="J291" i="31" s="1"/>
  <c r="K304" i="41"/>
  <c r="I317" i="41"/>
  <c r="I318" i="31" s="1"/>
  <c r="B328" i="41"/>
  <c r="C329" i="31" s="1"/>
  <c r="F334" i="41"/>
  <c r="D335" i="31" s="1"/>
  <c r="J340" i="41"/>
  <c r="D347" i="41"/>
  <c r="K348" i="31" s="1"/>
  <c r="H353" i="41"/>
  <c r="J354" i="31" s="1"/>
  <c r="B360" i="41"/>
  <c r="C361" i="31" s="1"/>
  <c r="F366" i="41"/>
  <c r="D367" i="31" s="1"/>
  <c r="K364" i="41"/>
  <c r="F256" i="41"/>
  <c r="D257" i="31" s="1"/>
  <c r="I286" i="41"/>
  <c r="I287" i="31" s="1"/>
  <c r="I301" i="41"/>
  <c r="I302" i="31" s="1"/>
  <c r="H314" i="41"/>
  <c r="J315" i="31" s="1"/>
  <c r="F326" i="41"/>
  <c r="D327" i="31" s="1"/>
  <c r="K332" i="41"/>
  <c r="E339" i="41"/>
  <c r="E340" i="31" s="1"/>
  <c r="I345" i="41"/>
  <c r="I346" i="31" s="1"/>
  <c r="C352" i="41"/>
  <c r="G358" i="41"/>
  <c r="H359" i="31" s="1"/>
  <c r="D258" i="41"/>
  <c r="K259" i="31" s="1"/>
  <c r="H326" i="41"/>
  <c r="J327" i="31" s="1"/>
  <c r="C351" i="41"/>
  <c r="K366" i="41"/>
  <c r="G353" i="41"/>
  <c r="H354" i="31" s="1"/>
  <c r="I369" i="41"/>
  <c r="I370" i="31" s="1"/>
  <c r="I346" i="41"/>
  <c r="I347" i="31" s="1"/>
  <c r="D318" i="41"/>
  <c r="K319" i="31" s="1"/>
  <c r="I352" i="41"/>
  <c r="I353" i="31" s="1"/>
  <c r="I230" i="41"/>
  <c r="I231" i="31" s="1"/>
  <c r="B323" i="41"/>
  <c r="C324" i="31" s="1"/>
  <c r="K333" i="41"/>
  <c r="H324" i="41"/>
  <c r="J325" i="31" s="1"/>
  <c r="C369" i="41"/>
  <c r="D280" i="41"/>
  <c r="K281" i="31" s="1"/>
  <c r="E367" i="41"/>
  <c r="E368" i="31" s="1"/>
  <c r="E360" i="41"/>
  <c r="E361" i="31" s="1"/>
  <c r="C365" i="41"/>
  <c r="H305" i="41"/>
  <c r="J306" i="31" s="1"/>
  <c r="C341" i="41"/>
  <c r="I360" i="41"/>
  <c r="I361" i="31" s="1"/>
  <c r="I273" i="41"/>
  <c r="I274" i="31" s="1"/>
  <c r="B250" i="41"/>
  <c r="C251" i="31" s="1"/>
  <c r="E350" i="41"/>
  <c r="E351" i="31" s="1"/>
  <c r="E276" i="41"/>
  <c r="E277" i="31" s="1"/>
  <c r="D131" i="41"/>
  <c r="K132" i="31" s="1"/>
  <c r="E213" i="41"/>
  <c r="E214" i="31" s="1"/>
  <c r="F174" i="41"/>
  <c r="D175" i="31" s="1"/>
  <c r="C233" i="41"/>
  <c r="H277" i="41"/>
  <c r="J278" i="31" s="1"/>
  <c r="K182" i="41"/>
  <c r="B263" i="41"/>
  <c r="C264" i="31" s="1"/>
  <c r="J229" i="41"/>
  <c r="B284" i="41"/>
  <c r="C285" i="31" s="1"/>
  <c r="H255" i="41"/>
  <c r="J256" i="31" s="1"/>
  <c r="B258" i="41"/>
  <c r="C259" i="31" s="1"/>
  <c r="J334" i="41"/>
  <c r="C362" i="41"/>
  <c r="F176" i="41"/>
  <c r="D177" i="31" s="1"/>
  <c r="K174" i="41"/>
  <c r="C207" i="41"/>
  <c r="E183" i="41"/>
  <c r="E184" i="31" s="1"/>
  <c r="K227" i="41"/>
  <c r="E269" i="41"/>
  <c r="E270" i="31" s="1"/>
  <c r="C197" i="41"/>
  <c r="F238" i="41"/>
  <c r="D239" i="31" s="1"/>
  <c r="E197" i="41"/>
  <c r="E198" i="31" s="1"/>
  <c r="H238" i="41"/>
  <c r="J239" i="31" s="1"/>
  <c r="G265" i="41"/>
  <c r="H266" i="31" s="1"/>
  <c r="C127" i="41"/>
  <c r="G228" i="41"/>
  <c r="H229" i="31" s="1"/>
  <c r="J256" i="41"/>
  <c r="E115" i="41"/>
  <c r="E116" i="31" s="1"/>
  <c r="G227" i="41"/>
  <c r="H228" i="31" s="1"/>
  <c r="C256" i="41"/>
  <c r="G200" i="41"/>
  <c r="H201" i="31" s="1"/>
  <c r="K239" i="41"/>
  <c r="I266" i="41"/>
  <c r="I267" i="31" s="1"/>
  <c r="K273" i="41"/>
  <c r="C299" i="41"/>
  <c r="G315" i="41"/>
  <c r="H316" i="31" s="1"/>
  <c r="C237" i="41"/>
  <c r="I282" i="41"/>
  <c r="I283" i="31" s="1"/>
  <c r="K301" i="41"/>
  <c r="H319" i="41"/>
  <c r="J320" i="31" s="1"/>
  <c r="J254" i="41"/>
  <c r="B286" i="41"/>
  <c r="C287" i="31" s="1"/>
  <c r="C306" i="41"/>
  <c r="I323" i="41"/>
  <c r="I324" i="31" s="1"/>
  <c r="J259" i="41"/>
  <c r="F290" i="41"/>
  <c r="D291" i="31" s="1"/>
  <c r="G309" i="41"/>
  <c r="H310" i="31" s="1"/>
  <c r="G325" i="41"/>
  <c r="H326" i="31" s="1"/>
  <c r="D262" i="41"/>
  <c r="K263" i="31" s="1"/>
  <c r="D270" i="41"/>
  <c r="K271" i="31" s="1"/>
  <c r="I305" i="41"/>
  <c r="I306" i="31" s="1"/>
  <c r="J325" i="41"/>
  <c r="F336" i="41"/>
  <c r="D337" i="31" s="1"/>
  <c r="J346" i="41"/>
  <c r="D357" i="41"/>
  <c r="K358" i="31" s="1"/>
  <c r="J366" i="41"/>
  <c r="K338" i="41"/>
  <c r="I351" i="41"/>
  <c r="I352" i="31" s="1"/>
  <c r="K362" i="41"/>
  <c r="G274" i="41"/>
  <c r="H275" i="31" s="1"/>
  <c r="B299" i="41"/>
  <c r="C300" i="31" s="1"/>
  <c r="B317" i="41"/>
  <c r="C318" i="31" s="1"/>
  <c r="E329" i="41"/>
  <c r="E330" i="31" s="1"/>
  <c r="I187" i="41"/>
  <c r="I188" i="31" s="1"/>
  <c r="J274" i="41"/>
  <c r="K293" i="41"/>
  <c r="J307" i="41"/>
  <c r="H320" i="41"/>
  <c r="J321" i="31" s="1"/>
  <c r="F329" i="41"/>
  <c r="D330" i="31" s="1"/>
  <c r="J335" i="41"/>
  <c r="D342" i="41"/>
  <c r="K343" i="31" s="1"/>
  <c r="H348" i="41"/>
  <c r="J349" i="31" s="1"/>
  <c r="B355" i="41"/>
  <c r="C356" i="31" s="1"/>
  <c r="F361" i="41"/>
  <c r="D362" i="31" s="1"/>
  <c r="J367" i="41"/>
  <c r="G226" i="41"/>
  <c r="H227" i="31" s="1"/>
  <c r="I278" i="41"/>
  <c r="I279" i="31" s="1"/>
  <c r="B296" i="41"/>
  <c r="C297" i="31" s="1"/>
  <c r="H309" i="41"/>
  <c r="J310" i="31" s="1"/>
  <c r="F322" i="41"/>
  <c r="D323" i="31" s="1"/>
  <c r="E330" i="41"/>
  <c r="E331" i="31" s="1"/>
  <c r="I336" i="41"/>
  <c r="I337" i="31" s="1"/>
  <c r="C343" i="41"/>
  <c r="J213" i="41"/>
  <c r="H275" i="41"/>
  <c r="J276" i="31" s="1"/>
  <c r="E294" i="41"/>
  <c r="E295" i="31" s="1"/>
  <c r="C308" i="41"/>
  <c r="K320" i="41"/>
  <c r="H329" i="41"/>
  <c r="J330" i="31" s="1"/>
  <c r="B336" i="41"/>
  <c r="C337" i="31" s="1"/>
  <c r="F342" i="41"/>
  <c r="D343" i="31" s="1"/>
  <c r="J348" i="41"/>
  <c r="D355" i="41"/>
  <c r="K356" i="31" s="1"/>
  <c r="H361" i="41"/>
  <c r="J362" i="31" s="1"/>
  <c r="B368" i="41"/>
  <c r="C369" i="31" s="1"/>
  <c r="E130" i="41"/>
  <c r="E131" i="31" s="1"/>
  <c r="D268" i="41"/>
  <c r="K269" i="31" s="1"/>
  <c r="I290" i="41"/>
  <c r="I291" i="31" s="1"/>
  <c r="B305" i="41"/>
  <c r="C306" i="31" s="1"/>
  <c r="J317" i="41"/>
  <c r="C328" i="41"/>
  <c r="G334" i="41"/>
  <c r="H335" i="31" s="1"/>
  <c r="K340" i="41"/>
  <c r="E347" i="41"/>
  <c r="E348" i="31" s="1"/>
  <c r="I353" i="41"/>
  <c r="I354" i="31" s="1"/>
  <c r="C360" i="41"/>
  <c r="G287" i="41"/>
  <c r="H288" i="31" s="1"/>
  <c r="C333" i="41"/>
  <c r="F355" i="41"/>
  <c r="D356" i="31" s="1"/>
  <c r="G369" i="41"/>
  <c r="H370" i="31" s="1"/>
  <c r="J357" i="41"/>
  <c r="J231" i="41"/>
  <c r="D360" i="41"/>
  <c r="K361" i="31" s="1"/>
  <c r="J337" i="41"/>
  <c r="J294" i="41"/>
  <c r="C280" i="41"/>
  <c r="H330" i="41"/>
  <c r="J331" i="31" s="1"/>
  <c r="G351" i="41"/>
  <c r="H352" i="31" s="1"/>
  <c r="D344" i="41"/>
  <c r="K345" i="31" s="1"/>
  <c r="D302" i="41"/>
  <c r="K303" i="31" s="1"/>
  <c r="J316" i="41"/>
  <c r="D291" i="41"/>
  <c r="K292" i="31" s="1"/>
  <c r="B357" i="41"/>
  <c r="C358" i="31" s="1"/>
  <c r="D165" i="41"/>
  <c r="K166" i="31" s="1"/>
  <c r="F318" i="41"/>
  <c r="D319" i="31" s="1"/>
  <c r="G347" i="41"/>
  <c r="H348" i="31" s="1"/>
  <c r="G364" i="41"/>
  <c r="H365" i="31" s="1"/>
  <c r="D307" i="41"/>
  <c r="K308" i="31" s="1"/>
  <c r="E218" i="41"/>
  <c r="E219" i="31" s="1"/>
  <c r="C285" i="41"/>
  <c r="D332" i="41"/>
  <c r="K333" i="31" s="1"/>
  <c r="H354" i="41"/>
  <c r="J355" i="31" s="1"/>
  <c r="B369" i="41"/>
  <c r="C370" i="31" s="1"/>
  <c r="G335" i="41"/>
  <c r="H336" i="31" s="1"/>
  <c r="B333" i="41"/>
  <c r="C334" i="31" s="1"/>
  <c r="H127" i="41"/>
  <c r="J128" i="31" s="1"/>
  <c r="D183" i="41"/>
  <c r="K184" i="31" s="1"/>
  <c r="F214" i="41"/>
  <c r="D215" i="31" s="1"/>
  <c r="K194" i="41"/>
  <c r="E122" i="41"/>
  <c r="E123" i="31" s="1"/>
  <c r="C274" i="41"/>
  <c r="G201" i="41"/>
  <c r="H202" i="31" s="1"/>
  <c r="E240" i="41"/>
  <c r="E241" i="31" s="1"/>
  <c r="H201" i="41"/>
  <c r="J202" i="31" s="1"/>
  <c r="F240" i="41"/>
  <c r="D241" i="31" s="1"/>
  <c r="C267" i="41"/>
  <c r="F152" i="41"/>
  <c r="D153" i="31" s="1"/>
  <c r="F230" i="41"/>
  <c r="D231" i="31" s="1"/>
  <c r="F258" i="41"/>
  <c r="D259" i="31" s="1"/>
  <c r="G141" i="41"/>
  <c r="H142" i="31" s="1"/>
  <c r="H229" i="41"/>
  <c r="J230" i="31" s="1"/>
  <c r="I257" i="41"/>
  <c r="I258" i="31" s="1"/>
  <c r="J204" i="41"/>
  <c r="J241" i="41"/>
  <c r="E268" i="41"/>
  <c r="E269" i="31" s="1"/>
  <c r="F276" i="41"/>
  <c r="D277" i="31" s="1"/>
  <c r="K300" i="41"/>
  <c r="I318" i="41"/>
  <c r="I319" i="31" s="1"/>
  <c r="F244" i="41"/>
  <c r="D245" i="31" s="1"/>
  <c r="K284" i="41"/>
  <c r="D305" i="41"/>
  <c r="K306" i="31" s="1"/>
  <c r="D321" i="41"/>
  <c r="K322" i="31" s="1"/>
  <c r="F259" i="41"/>
  <c r="D260" i="31" s="1"/>
  <c r="D290" i="41"/>
  <c r="K291" i="31" s="1"/>
  <c r="I307" i="41"/>
  <c r="I308" i="31" s="1"/>
  <c r="B106" i="41"/>
  <c r="C107" i="31" s="1"/>
  <c r="F268" i="41"/>
  <c r="D269" i="31" s="1"/>
  <c r="D292" i="41"/>
  <c r="K293" i="31" s="1"/>
  <c r="C311" i="41"/>
  <c r="F163" i="41"/>
  <c r="D164" i="31" s="1"/>
  <c r="H266" i="41"/>
  <c r="J267" i="31" s="1"/>
  <c r="F277" i="41"/>
  <c r="D278" i="31" s="1"/>
  <c r="K308" i="41"/>
  <c r="H327" i="41"/>
  <c r="J328" i="31" s="1"/>
  <c r="B338" i="41"/>
  <c r="C339" i="31" s="1"/>
  <c r="H347" i="41"/>
  <c r="J348" i="31" s="1"/>
  <c r="B358" i="41"/>
  <c r="C359" i="31" s="1"/>
  <c r="F368" i="41"/>
  <c r="D369" i="31" s="1"/>
  <c r="E341" i="41"/>
  <c r="E342" i="31" s="1"/>
  <c r="C354" i="41"/>
  <c r="I182" i="41"/>
  <c r="I183" i="31" s="1"/>
  <c r="I277" i="41"/>
  <c r="I278" i="31" s="1"/>
  <c r="H302" i="41"/>
  <c r="J303" i="31" s="1"/>
  <c r="J270" i="41"/>
  <c r="D278" i="41"/>
  <c r="K279" i="31" s="1"/>
  <c r="D330" i="41"/>
  <c r="K331" i="31" s="1"/>
  <c r="J355" i="41"/>
  <c r="K281" i="41"/>
  <c r="C331" i="41"/>
  <c r="J278" i="41"/>
  <c r="F330" i="41"/>
  <c r="D331" i="31" s="1"/>
  <c r="B356" i="41"/>
  <c r="C357" i="31" s="1"/>
  <c r="F272" i="41"/>
  <c r="D273" i="31" s="1"/>
  <c r="K328" i="41"/>
  <c r="G354" i="41"/>
  <c r="H355" i="31" s="1"/>
  <c r="G357" i="41"/>
  <c r="H358" i="31" s="1"/>
  <c r="J365" i="41"/>
  <c r="J333" i="41"/>
  <c r="G327" i="41"/>
  <c r="H328" i="31" s="1"/>
  <c r="J324" i="41"/>
  <c r="B315" i="41"/>
  <c r="C316" i="31" s="1"/>
  <c r="F5" i="41"/>
  <c r="D6" i="31" s="1"/>
  <c r="D335" i="41"/>
  <c r="K336" i="31" s="1"/>
  <c r="K288" i="41"/>
  <c r="I333" i="41"/>
  <c r="I334" i="31" s="1"/>
  <c r="D368" i="41"/>
  <c r="K369" i="31" s="1"/>
  <c r="D328" i="41"/>
  <c r="K329" i="31" s="1"/>
  <c r="G343" i="41"/>
  <c r="H344" i="31" s="1"/>
  <c r="E344" i="41"/>
  <c r="E345" i="31" s="1"/>
  <c r="C273" i="41"/>
  <c r="C329" i="41"/>
  <c r="K349" i="41"/>
  <c r="B293" i="41"/>
  <c r="C294" i="31" s="1"/>
  <c r="B329" i="41"/>
  <c r="C330" i="31" s="1"/>
  <c r="J347" i="41"/>
  <c r="B196" i="41"/>
  <c r="C197" i="31" s="1"/>
  <c r="G346" i="41"/>
  <c r="H347" i="31" s="1"/>
  <c r="F257" i="41"/>
  <c r="D258" i="31" s="1"/>
  <c r="D322" i="41"/>
  <c r="K323" i="31" s="1"/>
  <c r="B324" i="41"/>
  <c r="C325" i="31" s="1"/>
  <c r="I198" i="41"/>
  <c r="I199" i="31" s="1"/>
  <c r="F289" i="41"/>
  <c r="D290" i="31" s="1"/>
  <c r="F315" i="41"/>
  <c r="D316" i="31" s="1"/>
  <c r="C292" i="41"/>
  <c r="B335" i="41"/>
  <c r="C336" i="31" s="1"/>
  <c r="H360" i="41"/>
  <c r="J361" i="31" s="1"/>
  <c r="D294" i="41"/>
  <c r="K295" i="31" s="1"/>
  <c r="K335" i="41"/>
  <c r="F292" i="41"/>
  <c r="D293" i="31" s="1"/>
  <c r="J360" i="41"/>
  <c r="E359" i="41"/>
  <c r="E360" i="31" s="1"/>
  <c r="B269" i="41"/>
  <c r="C270" i="31" s="1"/>
  <c r="H308" i="41"/>
  <c r="J309" i="31" s="1"/>
  <c r="J320" i="41"/>
  <c r="D293" i="41"/>
  <c r="K294" i="31" s="1"/>
  <c r="F319" i="41"/>
  <c r="D320" i="31" s="1"/>
  <c r="J329" i="41"/>
  <c r="B271" i="41"/>
  <c r="C272" i="31" s="1"/>
  <c r="G329" i="41"/>
  <c r="H330" i="31" s="1"/>
  <c r="H262" i="41"/>
  <c r="J263" i="31" s="1"/>
  <c r="J353" i="41"/>
  <c r="K367" i="41"/>
  <c r="H318" i="41"/>
  <c r="J319" i="31" s="1"/>
  <c r="J295" i="41"/>
  <c r="H336" i="41"/>
  <c r="J337" i="31" s="1"/>
  <c r="D362" i="41"/>
  <c r="K363" i="31" s="1"/>
  <c r="J297" i="41"/>
  <c r="G337" i="41"/>
  <c r="H338" i="31" s="1"/>
  <c r="C296" i="41"/>
  <c r="J336" i="41"/>
  <c r="F362" i="41"/>
  <c r="D363" i="31" s="1"/>
  <c r="H292" i="41"/>
  <c r="J293" i="31" s="1"/>
  <c r="E335" i="41"/>
  <c r="E336" i="31" s="1"/>
  <c r="K360" i="41"/>
  <c r="J5" i="41"/>
  <c r="J349" i="41"/>
  <c r="K357" i="41"/>
  <c r="J311" i="41"/>
  <c r="K341" i="41"/>
  <c r="I348" i="41"/>
  <c r="I349" i="31" s="1"/>
  <c r="J212" i="41"/>
  <c r="G366" i="41"/>
  <c r="H367" i="31" s="1"/>
  <c r="B5" i="41"/>
  <c r="B16" i="1" s="1"/>
  <c r="E352" i="41"/>
  <c r="E353" i="31" s="1"/>
  <c r="D236" i="41"/>
  <c r="K237" i="31" s="1"/>
  <c r="H349" i="41"/>
  <c r="J350" i="31" s="1"/>
  <c r="H289" i="41"/>
  <c r="J290" i="31" s="1"/>
  <c r="I356" i="41"/>
  <c r="I357" i="31" s="1"/>
  <c r="D354" i="41"/>
  <c r="K355" i="31" s="1"/>
  <c r="E272" i="41"/>
  <c r="E273" i="31" s="1"/>
  <c r="C353" i="41"/>
  <c r="B312" i="41"/>
  <c r="C313" i="31" s="1"/>
  <c r="G328" i="41"/>
  <c r="H329" i="31" s="1"/>
  <c r="D306" i="41"/>
  <c r="K307" i="31" s="1"/>
  <c r="F341" i="41"/>
  <c r="D342" i="31" s="1"/>
  <c r="G342" i="31" s="1"/>
  <c r="B367" i="41"/>
  <c r="C368" i="31" s="1"/>
  <c r="B308" i="41"/>
  <c r="C309" i="31" s="1"/>
  <c r="E342" i="41"/>
  <c r="E343" i="31" s="1"/>
  <c r="G306" i="41"/>
  <c r="H307" i="31" s="1"/>
  <c r="H341" i="41"/>
  <c r="J342" i="31" s="1"/>
  <c r="D367" i="41"/>
  <c r="K368" i="31" s="1"/>
  <c r="F303" i="41"/>
  <c r="D304" i="31" s="1"/>
  <c r="C340" i="41"/>
  <c r="B277" i="41"/>
  <c r="C278" i="31" s="1"/>
  <c r="G355" i="41"/>
  <c r="H356" i="31" s="1"/>
  <c r="H366" i="41"/>
  <c r="J367" i="31" s="1"/>
  <c r="H334" i="41"/>
  <c r="J335" i="31" s="1"/>
  <c r="F367" i="41"/>
  <c r="D368" i="31" s="1"/>
  <c r="I362" i="41"/>
  <c r="I363" i="31" s="1"/>
  <c r="B319" i="41"/>
  <c r="C320" i="31" s="1"/>
  <c r="E319" i="41"/>
  <c r="E320" i="31" s="1"/>
  <c r="D316" i="41"/>
  <c r="K317" i="31" s="1"/>
  <c r="J262" i="41"/>
  <c r="B224" i="41"/>
  <c r="C225" i="31" s="1"/>
  <c r="G322" i="41"/>
  <c r="H323" i="31" s="1"/>
  <c r="E336" i="41"/>
  <c r="E337" i="31" s="1"/>
  <c r="B320" i="41"/>
  <c r="C321" i="31" s="1"/>
  <c r="H328" i="41"/>
  <c r="J329" i="31" s="1"/>
  <c r="J328" i="41"/>
  <c r="E327" i="41"/>
  <c r="E328" i="31" s="1"/>
  <c r="F327" i="41"/>
  <c r="D328" i="31" s="1"/>
  <c r="I367" i="41"/>
  <c r="I368" i="31" s="1"/>
  <c r="K330" i="41"/>
  <c r="F309" i="41"/>
  <c r="D310" i="31" s="1"/>
  <c r="B343" i="41"/>
  <c r="C344" i="31" s="1"/>
  <c r="H368" i="41"/>
  <c r="J369" i="31" s="1"/>
  <c r="D311" i="41"/>
  <c r="K312" i="31" s="1"/>
  <c r="K343" i="41"/>
  <c r="I309" i="41"/>
  <c r="I310" i="31" s="1"/>
  <c r="D343" i="41"/>
  <c r="K344" i="31" s="1"/>
  <c r="J368" i="41"/>
  <c r="H306" i="41"/>
  <c r="J307" i="31" s="1"/>
  <c r="I341" i="41"/>
  <c r="I342" i="31" s="1"/>
  <c r="C295" i="41"/>
  <c r="K359" i="41"/>
  <c r="F321" i="41"/>
  <c r="D322" i="31" s="1"/>
  <c r="K351" i="41"/>
  <c r="B365" i="41"/>
  <c r="C366" i="31" s="1"/>
  <c r="C366" i="41"/>
  <c r="F335" i="41"/>
  <c r="D336" i="31" s="1"/>
  <c r="G356" i="41"/>
  <c r="H357" i="31" s="1"/>
  <c r="B348" i="41"/>
  <c r="C349" i="31" s="1"/>
  <c r="K329" i="41"/>
  <c r="I5" i="41"/>
  <c r="I6" i="31" s="1"/>
  <c r="F349" i="41"/>
  <c r="D350" i="31" s="1"/>
  <c r="B228" i="41"/>
  <c r="C229" i="31" s="1"/>
  <c r="C348" i="41"/>
  <c r="H241" i="41"/>
  <c r="J242" i="31" s="1"/>
  <c r="B275" i="41"/>
  <c r="C276" i="31" s="1"/>
  <c r="F354" i="41"/>
  <c r="D355" i="31" s="1"/>
  <c r="K352" i="41"/>
  <c r="K296" i="41"/>
  <c r="G59" i="31" l="1"/>
  <c r="G141" i="31"/>
  <c r="G232" i="31"/>
  <c r="G137" i="31"/>
  <c r="G258" i="31"/>
  <c r="G44" i="31"/>
  <c r="G55" i="31"/>
  <c r="G9" i="31"/>
  <c r="W9" i="31"/>
  <c r="G362" i="31"/>
  <c r="G73" i="31"/>
  <c r="G230" i="31"/>
  <c r="G285" i="31"/>
  <c r="G251" i="31"/>
  <c r="G161" i="31"/>
  <c r="G110" i="31"/>
  <c r="G114" i="31"/>
  <c r="G52" i="31"/>
  <c r="G84" i="31"/>
  <c r="G26" i="31"/>
  <c r="G8" i="31"/>
  <c r="FN8" i="31" s="1"/>
  <c r="G125" i="31"/>
  <c r="G13" i="31"/>
  <c r="G134" i="31"/>
  <c r="G304" i="31"/>
  <c r="G208" i="31"/>
  <c r="G7" i="31"/>
  <c r="G292" i="31"/>
  <c r="G250" i="31"/>
  <c r="G354" i="31"/>
  <c r="G266" i="31"/>
  <c r="G179" i="31"/>
  <c r="G243" i="31"/>
  <c r="G129" i="31"/>
  <c r="G19" i="31"/>
  <c r="G314" i="31"/>
  <c r="G104" i="31"/>
  <c r="G27" i="31"/>
  <c r="G275" i="31"/>
  <c r="G310" i="31"/>
  <c r="G229" i="31"/>
  <c r="G200" i="31"/>
  <c r="G164" i="31"/>
  <c r="G215" i="31"/>
  <c r="G327" i="31"/>
  <c r="G210" i="31"/>
  <c r="G346" i="31"/>
  <c r="G228" i="31"/>
  <c r="G109" i="31"/>
  <c r="G271" i="31"/>
  <c r="G359" i="31"/>
  <c r="G245" i="31"/>
  <c r="G312" i="31"/>
  <c r="G169" i="31"/>
  <c r="G326" i="31"/>
  <c r="G231" i="31"/>
  <c r="G274" i="31"/>
  <c r="G45" i="31"/>
  <c r="G37" i="31"/>
  <c r="G247" i="31"/>
  <c r="G69" i="31"/>
  <c r="G6" i="31"/>
  <c r="DV6" i="31" s="1"/>
  <c r="G324" i="31"/>
  <c r="G127" i="31"/>
  <c r="G67" i="31"/>
  <c r="G64" i="31"/>
  <c r="G239" i="31"/>
  <c r="G234" i="31"/>
  <c r="G278" i="31"/>
  <c r="G338" i="31"/>
  <c r="G34" i="31"/>
  <c r="G96" i="31"/>
  <c r="G323" i="31"/>
  <c r="G368" i="31"/>
  <c r="G308" i="31"/>
  <c r="G248" i="31"/>
  <c r="G333" i="31"/>
  <c r="G187" i="31"/>
  <c r="G126" i="31"/>
  <c r="G242" i="31"/>
  <c r="G85" i="31"/>
  <c r="G120" i="31"/>
  <c r="G331" i="31"/>
  <c r="G263" i="31"/>
  <c r="G66" i="31"/>
  <c r="G14" i="31"/>
  <c r="G237" i="31"/>
  <c r="G122" i="31"/>
  <c r="G259" i="31"/>
  <c r="G319" i="31"/>
  <c r="G244" i="31"/>
  <c r="G335" i="31"/>
  <c r="G322" i="31"/>
  <c r="G367" i="31"/>
  <c r="G144" i="31"/>
  <c r="G15" i="31"/>
  <c r="G309" i="31"/>
  <c r="G363" i="31"/>
  <c r="G283" i="31"/>
  <c r="G280" i="31"/>
  <c r="G297" i="31"/>
  <c r="G218" i="31"/>
  <c r="G138" i="31"/>
  <c r="G133" i="31"/>
  <c r="G113" i="31"/>
  <c r="G29" i="31"/>
  <c r="G151" i="31"/>
  <c r="G49" i="31"/>
  <c r="G121" i="31"/>
  <c r="G311" i="31"/>
  <c r="G76" i="31"/>
  <c r="G369" i="31"/>
  <c r="G355" i="31"/>
  <c r="G269" i="31"/>
  <c r="G272" i="31"/>
  <c r="G91" i="31"/>
  <c r="G282" i="31"/>
  <c r="G172" i="31"/>
  <c r="G41" i="31"/>
  <c r="G25" i="31"/>
  <c r="G72" i="31"/>
  <c r="G32" i="31"/>
  <c r="G318" i="31"/>
  <c r="G339" i="31"/>
  <c r="G303" i="31"/>
  <c r="G189" i="31"/>
  <c r="G117" i="31"/>
  <c r="G77" i="31"/>
  <c r="G105" i="31"/>
  <c r="G253" i="31"/>
  <c r="G71" i="31"/>
  <c r="G290" i="31"/>
  <c r="G177" i="31"/>
  <c r="G257" i="31"/>
  <c r="G203" i="31"/>
  <c r="G325" i="31"/>
  <c r="G183" i="31"/>
  <c r="G227" i="31"/>
  <c r="G317" i="31"/>
  <c r="G216" i="31"/>
  <c r="G102" i="31"/>
  <c r="G316" i="31"/>
  <c r="G298" i="31"/>
  <c r="G159" i="31"/>
  <c r="G350" i="31"/>
  <c r="G328" i="31"/>
  <c r="G293" i="31"/>
  <c r="G356" i="31"/>
  <c r="G365" i="31"/>
  <c r="G235" i="31"/>
  <c r="G286" i="31"/>
  <c r="G344" i="31"/>
  <c r="G191" i="31"/>
  <c r="G160" i="31"/>
  <c r="G106" i="31"/>
  <c r="G167" i="31"/>
  <c r="G33" i="31"/>
  <c r="G101" i="31"/>
  <c r="G61" i="31"/>
  <c r="G142" i="31"/>
  <c r="G35" i="31"/>
  <c r="G51" i="31"/>
  <c r="G30" i="31"/>
  <c r="G277" i="31"/>
  <c r="G260" i="31"/>
  <c r="G153" i="31"/>
  <c r="G175" i="31"/>
  <c r="G296" i="31"/>
  <c r="G347" i="31"/>
  <c r="G92" i="31"/>
  <c r="G12" i="31"/>
  <c r="G366" i="31"/>
  <c r="G352" i="31"/>
  <c r="G351" i="31"/>
  <c r="G329" i="31"/>
  <c r="G288" i="31"/>
  <c r="G255" i="31"/>
  <c r="G211" i="31"/>
  <c r="G188" i="31"/>
  <c r="G202" i="31"/>
  <c r="G157" i="31"/>
  <c r="G217" i="31"/>
  <c r="G103" i="31"/>
  <c r="G70" i="31"/>
  <c r="G24" i="31"/>
  <c r="G75" i="31"/>
  <c r="G88" i="31"/>
  <c r="G336" i="31"/>
  <c r="G226" i="31"/>
  <c r="G198" i="31"/>
  <c r="G154" i="31"/>
  <c r="G53" i="31"/>
  <c r="G95" i="31"/>
  <c r="G273" i="31"/>
  <c r="G241" i="31"/>
  <c r="G364" i="31"/>
  <c r="G358" i="31"/>
  <c r="G289" i="31"/>
  <c r="G370" i="31"/>
  <c r="G299" i="31"/>
  <c r="G313" i="31"/>
  <c r="G353" i="31"/>
  <c r="G281" i="31"/>
  <c r="G249" i="31"/>
  <c r="G268" i="31"/>
  <c r="G136" i="31"/>
  <c r="G190" i="31"/>
  <c r="G195" i="31"/>
  <c r="G31" i="31"/>
  <c r="G192" i="31"/>
  <c r="G182" i="31"/>
  <c r="G186" i="31"/>
  <c r="G205" i="31"/>
  <c r="G128" i="31"/>
  <c r="G174" i="31"/>
  <c r="G90" i="31"/>
  <c r="G124" i="31"/>
  <c r="G94" i="31"/>
  <c r="G62" i="31"/>
  <c r="G42" i="31"/>
  <c r="G43" i="31"/>
  <c r="G47" i="31"/>
  <c r="G60" i="31"/>
  <c r="G22" i="31"/>
  <c r="G261" i="31"/>
  <c r="G332" i="31"/>
  <c r="G295" i="31"/>
  <c r="G284" i="31"/>
  <c r="G254" i="31"/>
  <c r="G305" i="31"/>
  <c r="G302" i="31"/>
  <c r="G301" i="31"/>
  <c r="G116" i="31"/>
  <c r="G357" i="31"/>
  <c r="G262" i="31"/>
  <c r="G222" i="31"/>
  <c r="G197" i="31"/>
  <c r="G206" i="31"/>
  <c r="G123" i="31"/>
  <c r="G225" i="31"/>
  <c r="G118" i="31"/>
  <c r="G93" i="31"/>
  <c r="G115" i="31"/>
  <c r="G361" i="31"/>
  <c r="G315" i="31"/>
  <c r="G340" i="31"/>
  <c r="G252" i="31"/>
  <c r="G246" i="31"/>
  <c r="G267" i="31"/>
  <c r="G132" i="31"/>
  <c r="G131" i="31"/>
  <c r="G86" i="31"/>
  <c r="G112" i="31"/>
  <c r="G56" i="31"/>
  <c r="G18" i="31"/>
  <c r="G107" i="31"/>
  <c r="G36" i="31"/>
  <c r="G87" i="31"/>
  <c r="G16" i="31"/>
  <c r="G100" i="31"/>
  <c r="G291" i="31"/>
  <c r="G306" i="31"/>
  <c r="G256" i="31"/>
  <c r="G294" i="31"/>
  <c r="G240" i="31"/>
  <c r="G199" i="31"/>
  <c r="G287" i="31"/>
  <c r="G270" i="31"/>
  <c r="G264" i="31"/>
  <c r="G219" i="31"/>
  <c r="G149" i="31"/>
  <c r="G201" i="31"/>
  <c r="G181" i="31"/>
  <c r="G140" i="31"/>
  <c r="G111" i="31"/>
  <c r="G108" i="31"/>
  <c r="G97" i="31"/>
  <c r="G20" i="31"/>
  <c r="G89" i="31"/>
  <c r="G152" i="31"/>
  <c r="G146" i="31"/>
  <c r="G81" i="31"/>
  <c r="G156" i="31"/>
  <c r="G150" i="31"/>
  <c r="G11" i="31"/>
  <c r="G54" i="31"/>
  <c r="G330" i="31"/>
  <c r="G337" i="31"/>
  <c r="G348" i="31"/>
  <c r="G341" i="31"/>
  <c r="G360" i="31"/>
  <c r="G265" i="31"/>
  <c r="G321" i="31"/>
  <c r="G207" i="31"/>
  <c r="G171" i="31"/>
  <c r="G238" i="31"/>
  <c r="G143" i="31"/>
  <c r="G176" i="31"/>
  <c r="G180" i="31"/>
  <c r="G223" i="31"/>
  <c r="G147" i="31"/>
  <c r="G74" i="31"/>
  <c r="G185" i="31"/>
  <c r="G98" i="31"/>
  <c r="G166" i="31"/>
  <c r="G79" i="31"/>
  <c r="G158" i="31"/>
  <c r="G46" i="31"/>
  <c r="G82" i="31"/>
  <c r="G38" i="31"/>
  <c r="G17" i="31"/>
  <c r="G300" i="31"/>
  <c r="G320" i="31"/>
  <c r="G307" i="31"/>
  <c r="G349" i="31"/>
  <c r="G224" i="31"/>
  <c r="G220" i="31"/>
  <c r="G163" i="31"/>
  <c r="G236" i="31"/>
  <c r="G279" i="31"/>
  <c r="G196" i="31"/>
  <c r="G204" i="31"/>
  <c r="G168" i="31"/>
  <c r="G139" i="31"/>
  <c r="G173" i="31"/>
  <c r="G155" i="31"/>
  <c r="G209" i="31"/>
  <c r="G194" i="31"/>
  <c r="G21" i="31"/>
  <c r="G162" i="31"/>
  <c r="G148" i="31"/>
  <c r="G58" i="31"/>
  <c r="G50" i="31"/>
  <c r="G68" i="31"/>
  <c r="G119" i="31"/>
  <c r="G48" i="31"/>
  <c r="G10" i="31"/>
  <c r="G99" i="31"/>
  <c r="G28" i="31"/>
  <c r="G343" i="31"/>
  <c r="G345" i="31"/>
  <c r="G276" i="31"/>
  <c r="G214" i="31"/>
  <c r="G233" i="31"/>
  <c r="G184" i="31"/>
  <c r="G212" i="31"/>
  <c r="G145" i="31"/>
  <c r="G135" i="31"/>
  <c r="G221" i="31"/>
  <c r="G170" i="31"/>
  <c r="G40" i="31"/>
  <c r="G213" i="31"/>
  <c r="G193" i="31"/>
  <c r="G165" i="31"/>
  <c r="G130" i="31"/>
  <c r="G178" i="31"/>
  <c r="G78" i="31"/>
  <c r="G63" i="31"/>
  <c r="G83" i="31"/>
  <c r="G23" i="31"/>
  <c r="B3" i="41"/>
  <c r="C6" i="31"/>
  <c r="AA104" i="31"/>
  <c r="AA129" i="31"/>
  <c r="AA166" i="31"/>
  <c r="AA344" i="31"/>
  <c r="AA152" i="31"/>
  <c r="AA79" i="31"/>
  <c r="AA134" i="31"/>
  <c r="AA315" i="31"/>
  <c r="AA87" i="31"/>
  <c r="AA11" i="31"/>
  <c r="AA329" i="31"/>
  <c r="AA76" i="31"/>
  <c r="AA119" i="31"/>
  <c r="AA361" i="31"/>
  <c r="AA320" i="31"/>
  <c r="AA101" i="31"/>
  <c r="AA35" i="31"/>
  <c r="AA162" i="31"/>
  <c r="AA337" i="31"/>
  <c r="AA175" i="31"/>
  <c r="AA368" i="31"/>
  <c r="AA317" i="31"/>
  <c r="AA198" i="31"/>
  <c r="AA149" i="31"/>
  <c r="AA170" i="31"/>
  <c r="AA126" i="31"/>
  <c r="AA254" i="31"/>
  <c r="AA186" i="31"/>
  <c r="AA221" i="31"/>
  <c r="AA92" i="31"/>
  <c r="AA331" i="31"/>
  <c r="AA154" i="31"/>
  <c r="AA369" i="31"/>
  <c r="AA15" i="31"/>
  <c r="AA349" i="31"/>
  <c r="AA263" i="31"/>
  <c r="AA367" i="31"/>
  <c r="AA118" i="31"/>
  <c r="AA95" i="31"/>
  <c r="AA204" i="31"/>
  <c r="AA360" i="31"/>
  <c r="AA177" i="31"/>
  <c r="AA237" i="31"/>
  <c r="AA47" i="31"/>
  <c r="AA299" i="31"/>
  <c r="AA285" i="31"/>
  <c r="AA266" i="31"/>
  <c r="AA326" i="31"/>
  <c r="AA316" i="31"/>
  <c r="AA339" i="31"/>
  <c r="AA343" i="31"/>
  <c r="AA257" i="31"/>
  <c r="AA124" i="31"/>
  <c r="AA113" i="31"/>
  <c r="AA81" i="31"/>
  <c r="AA267" i="31"/>
  <c r="AA322" i="31"/>
  <c r="AA345" i="31"/>
  <c r="AA150" i="31"/>
  <c r="AA133" i="31"/>
  <c r="AA63" i="31"/>
  <c r="AA347" i="31"/>
  <c r="AA160" i="31"/>
  <c r="AA301" i="31"/>
  <c r="AA19" i="31"/>
  <c r="AA51" i="31"/>
  <c r="AA231" i="31"/>
  <c r="AA114" i="31"/>
  <c r="AA67" i="31"/>
  <c r="AA82" i="31"/>
  <c r="AA163" i="31"/>
  <c r="AA189" i="31"/>
  <c r="AA157" i="31"/>
  <c r="AA122" i="31"/>
  <c r="AA98" i="31"/>
  <c r="AA232" i="31"/>
  <c r="AA144" i="31"/>
  <c r="AA55" i="31"/>
  <c r="AA86" i="31"/>
  <c r="AA108" i="31"/>
  <c r="AA66" i="31"/>
  <c r="AA34" i="31"/>
  <c r="AA14" i="31"/>
  <c r="AA197" i="31"/>
  <c r="AA165" i="31"/>
  <c r="AA352" i="31"/>
  <c r="AA296" i="31"/>
  <c r="AA311" i="31"/>
  <c r="AA273" i="31"/>
  <c r="AA277" i="31"/>
  <c r="AA294" i="31"/>
  <c r="AA342" i="31"/>
  <c r="AA310" i="31"/>
  <c r="AA291" i="31"/>
  <c r="AA289" i="31"/>
  <c r="AA238" i="31"/>
  <c r="AA141" i="31"/>
  <c r="AA218" i="31"/>
  <c r="AA226" i="31"/>
  <c r="AA245" i="31"/>
  <c r="AA227" i="31"/>
  <c r="AA143" i="31"/>
  <c r="AA244" i="31"/>
  <c r="AA179" i="31"/>
  <c r="AA208" i="31"/>
  <c r="AA135" i="31"/>
  <c r="AA91" i="31"/>
  <c r="AA72" i="31"/>
  <c r="AA68" i="31"/>
  <c r="AA36" i="31"/>
  <c r="AA50" i="31"/>
  <c r="AA61" i="31"/>
  <c r="AA172" i="31"/>
  <c r="AA225" i="31"/>
  <c r="AA201" i="31"/>
  <c r="AA169" i="31"/>
  <c r="AA304" i="31"/>
  <c r="AA223" i="31"/>
  <c r="AA338" i="31"/>
  <c r="AA306" i="31"/>
  <c r="AA293" i="31"/>
  <c r="AA269" i="31"/>
  <c r="AA259" i="31"/>
  <c r="AA297" i="31"/>
  <c r="AA290" i="31"/>
  <c r="AA366" i="31"/>
  <c r="AA96" i="31"/>
  <c r="AA313" i="31"/>
  <c r="AA182" i="31"/>
  <c r="AA234" i="31"/>
  <c r="AA242" i="31"/>
  <c r="AA211" i="31"/>
  <c r="AA176" i="31"/>
  <c r="AA292" i="31"/>
  <c r="AA260" i="31"/>
  <c r="AA228" i="31"/>
  <c r="AA184" i="31"/>
  <c r="AA146" i="31"/>
  <c r="AA158" i="31"/>
  <c r="AA88" i="31"/>
  <c r="AA109" i="31"/>
  <c r="AA102" i="31"/>
  <c r="AA181" i="31"/>
  <c r="AA128" i="31"/>
  <c r="AA71" i="31"/>
  <c r="AA85" i="31"/>
  <c r="AA20" i="31"/>
  <c r="AA364" i="31"/>
  <c r="AA365" i="31"/>
  <c r="AA270" i="31"/>
  <c r="AA241" i="31"/>
  <c r="AA202" i="31"/>
  <c r="AA193" i="31"/>
  <c r="AA161" i="31"/>
  <c r="AA139" i="31"/>
  <c r="AA130" i="31"/>
  <c r="AA31" i="31"/>
  <c r="AA140" i="31"/>
  <c r="AA112" i="31"/>
  <c r="AA39" i="31"/>
  <c r="AA354" i="31"/>
  <c r="AA217" i="31"/>
  <c r="AA196" i="31"/>
  <c r="AA205" i="31"/>
  <c r="AA173" i="31"/>
  <c r="AA138" i="31"/>
  <c r="AA97" i="31"/>
  <c r="AA312" i="31"/>
  <c r="AA328" i="31"/>
  <c r="AA333" i="31"/>
  <c r="AA281" i="31"/>
  <c r="AA214" i="31"/>
  <c r="AA103" i="31"/>
  <c r="AA145" i="31"/>
  <c r="AA185" i="31"/>
  <c r="AA153" i="31"/>
  <c r="AA137" i="31"/>
  <c r="AA363" i="31"/>
  <c r="AA274" i="31"/>
  <c r="AA287" i="31"/>
  <c r="AA358" i="31"/>
  <c r="AA351" i="31"/>
  <c r="AA350" i="31"/>
  <c r="AA286" i="31"/>
  <c r="AA258" i="31"/>
  <c r="AA335" i="31"/>
  <c r="AA336" i="31"/>
  <c r="AA168" i="31"/>
  <c r="AA239" i="31"/>
  <c r="AA190" i="31"/>
  <c r="AA334" i="31"/>
  <c r="AA318" i="31"/>
  <c r="AA302" i="31"/>
  <c r="AA229" i="31"/>
  <c r="AA159" i="31"/>
  <c r="AA236" i="31"/>
  <c r="AA83" i="31"/>
  <c r="AA174" i="31"/>
  <c r="AA117" i="31"/>
  <c r="AA84" i="31"/>
  <c r="AA106" i="31"/>
  <c r="AA136" i="31"/>
  <c r="AA111" i="31"/>
  <c r="AA90" i="31"/>
  <c r="AA93" i="31"/>
  <c r="AA77" i="31"/>
  <c r="AA23" i="31"/>
  <c r="AA7" i="31"/>
  <c r="AA58" i="31"/>
  <c r="AA42" i="31"/>
  <c r="AA233" i="31"/>
  <c r="AA370" i="31"/>
  <c r="AA359" i="31"/>
  <c r="AA355" i="31"/>
  <c r="AA321" i="31"/>
  <c r="AA275" i="31"/>
  <c r="AA353" i="31"/>
  <c r="AA167" i="31"/>
  <c r="AA305" i="31"/>
  <c r="AA253" i="31"/>
  <c r="AA156" i="31"/>
  <c r="AA262" i="31"/>
  <c r="AA251" i="31"/>
  <c r="AA243" i="31"/>
  <c r="AA230" i="31"/>
  <c r="AA151" i="31"/>
  <c r="AA120" i="31"/>
  <c r="AA209" i="31"/>
  <c r="AA147" i="31"/>
  <c r="AA188" i="31"/>
  <c r="AA183" i="31"/>
  <c r="AA206" i="31"/>
  <c r="AA18" i="31"/>
  <c r="AA10" i="31"/>
  <c r="AA26" i="31"/>
  <c r="AA323" i="31"/>
  <c r="AA332" i="31"/>
  <c r="AA276" i="31"/>
  <c r="AA52" i="31"/>
  <c r="AA45" i="31"/>
  <c r="AA29" i="31"/>
  <c r="AA6" i="31"/>
  <c r="AA303" i="31"/>
  <c r="AA220" i="31"/>
  <c r="AA341" i="31"/>
  <c r="AA255" i="31"/>
  <c r="AA249" i="31"/>
  <c r="AA194" i="31"/>
  <c r="AA215" i="31"/>
  <c r="AA200" i="31"/>
  <c r="AA164" i="31"/>
  <c r="AA142" i="31"/>
  <c r="AA213" i="31"/>
  <c r="AA199" i="31"/>
  <c r="AA191" i="31"/>
  <c r="AA288" i="31"/>
  <c r="AA272" i="31"/>
  <c r="AA256" i="31"/>
  <c r="AA240" i="31"/>
  <c r="AA224" i="31"/>
  <c r="AA171" i="31"/>
  <c r="AA207" i="31"/>
  <c r="AA75" i="31"/>
  <c r="AA107" i="31"/>
  <c r="AA59" i="31"/>
  <c r="AA131" i="31"/>
  <c r="AA100" i="31"/>
  <c r="AA94" i="31"/>
  <c r="AA78" i="31"/>
  <c r="AA64" i="31"/>
  <c r="AA48" i="31"/>
  <c r="AA32" i="31"/>
  <c r="AA16" i="31"/>
  <c r="AA62" i="31"/>
  <c r="AA46" i="31"/>
  <c r="AA30" i="31"/>
  <c r="AA73" i="31"/>
  <c r="AA57" i="31"/>
  <c r="AA41" i="31"/>
  <c r="AA25" i="31"/>
  <c r="AA9" i="31"/>
  <c r="AA327" i="31"/>
  <c r="AA13" i="31"/>
  <c r="AA210" i="31"/>
  <c r="AA325" i="31"/>
  <c r="AA178" i="31"/>
  <c r="AA362" i="31"/>
  <c r="AA324" i="31"/>
  <c r="AA319" i="31"/>
  <c r="AA295" i="31"/>
  <c r="AA340" i="31"/>
  <c r="AA283" i="31"/>
  <c r="AA308" i="31"/>
  <c r="AA309" i="31"/>
  <c r="AA80" i="31"/>
  <c r="AA261" i="31"/>
  <c r="AA250" i="31"/>
  <c r="AA247" i="31"/>
  <c r="AA219" i="31"/>
  <c r="AA284" i="31"/>
  <c r="AA268" i="31"/>
  <c r="AA252" i="31"/>
  <c r="AA105" i="31"/>
  <c r="AA180" i="31"/>
  <c r="AA127" i="31"/>
  <c r="AA116" i="31"/>
  <c r="AA99" i="31"/>
  <c r="AA43" i="31"/>
  <c r="AA60" i="31"/>
  <c r="AA44" i="31"/>
  <c r="AA28" i="31"/>
  <c r="AA12" i="31"/>
  <c r="AA74" i="31"/>
  <c r="AA69" i="31"/>
  <c r="AA53" i="31"/>
  <c r="AA37" i="31"/>
  <c r="AA21" i="31"/>
  <c r="AA356" i="31"/>
  <c r="AA348" i="31"/>
  <c r="AA278" i="31"/>
  <c r="AA307" i="31"/>
  <c r="AA279" i="31"/>
  <c r="AA357" i="31"/>
  <c r="AA300" i="31"/>
  <c r="AA235" i="31"/>
  <c r="AA346" i="31"/>
  <c r="AA330" i="31"/>
  <c r="AA314" i="31"/>
  <c r="AA298" i="31"/>
  <c r="AA212" i="31"/>
  <c r="AA265" i="31"/>
  <c r="AA192" i="31"/>
  <c r="AA282" i="31"/>
  <c r="AA271" i="31"/>
  <c r="AA222" i="31"/>
  <c r="AA216" i="31"/>
  <c r="AA246" i="31"/>
  <c r="AA203" i="31"/>
  <c r="AA195" i="31"/>
  <c r="AA187" i="31"/>
  <c r="AA280" i="31"/>
  <c r="AA264" i="31"/>
  <c r="AA248" i="31"/>
  <c r="AA155" i="31"/>
  <c r="AA121" i="31"/>
  <c r="AA125" i="31"/>
  <c r="AA148" i="31"/>
  <c r="AA132" i="31"/>
  <c r="AA110" i="31"/>
  <c r="AA123" i="31"/>
  <c r="AA115" i="31"/>
  <c r="AA27" i="31"/>
  <c r="AA89" i="31"/>
  <c r="AA56" i="31"/>
  <c r="AA40" i="31"/>
  <c r="AA24" i="31"/>
  <c r="AA8" i="31"/>
  <c r="AA70" i="31"/>
  <c r="AA54" i="31"/>
  <c r="AA38" i="31"/>
  <c r="AA22" i="31"/>
  <c r="AA65" i="31"/>
  <c r="AA49" i="31"/>
  <c r="AA33" i="31"/>
  <c r="AA17" i="31"/>
  <c r="F6" i="31"/>
  <c r="W7" i="31"/>
  <c r="C3" i="41" l="1"/>
  <c r="V3" i="41"/>
  <c r="N3" i="41"/>
  <c r="U3" i="41"/>
  <c r="P3" i="41"/>
  <c r="Q3" i="41"/>
  <c r="R3" i="41"/>
  <c r="S3" i="41"/>
  <c r="O3" i="41"/>
  <c r="T3" i="41"/>
  <c r="I3" i="41"/>
  <c r="G3" i="41"/>
  <c r="E3" i="41"/>
  <c r="F3" i="41"/>
  <c r="J3" i="41"/>
  <c r="C7" i="1"/>
  <c r="D3" i="41"/>
  <c r="K3" i="41"/>
  <c r="H3" i="41"/>
  <c r="CY6" i="31" l="1"/>
  <c r="MW6" i="31" l="1"/>
  <c r="MR6" i="31"/>
  <c r="O6" i="31" l="1"/>
  <c r="NF6" i="31"/>
  <c r="DE6" i="31"/>
  <c r="DO6" i="31"/>
  <c r="FA6" i="31"/>
  <c r="HB6" i="31" s="1"/>
  <c r="IX6" i="31"/>
  <c r="HZ6" i="31"/>
  <c r="IJ6" i="31"/>
  <c r="OL6" i="31"/>
  <c r="OM6" i="31" s="1"/>
  <c r="ON6" i="31"/>
  <c r="PE6" i="31" s="1"/>
  <c r="NO6" i="31"/>
  <c r="NP6" i="31" s="1"/>
  <c r="MF6" i="31"/>
  <c r="GG6" i="31"/>
  <c r="GH6" i="31" s="1"/>
  <c r="DO7" i="31"/>
  <c r="IJ7" i="31"/>
  <c r="OL7" i="31"/>
  <c r="ON7" i="31"/>
  <c r="NO7" i="31"/>
  <c r="MF7" i="31"/>
  <c r="GG7" i="31"/>
  <c r="GH7" i="31" s="1"/>
  <c r="DO8" i="31"/>
  <c r="IJ8" i="31"/>
  <c r="OL8" i="31"/>
  <c r="ON8" i="31"/>
  <c r="NO8" i="31"/>
  <c r="MF8" i="31"/>
  <c r="GG8" i="31"/>
  <c r="GH8" i="31" s="1"/>
  <c r="DO9" i="31"/>
  <c r="IJ9" i="31"/>
  <c r="OL9" i="31"/>
  <c r="ON9" i="31"/>
  <c r="NO9" i="31"/>
  <c r="MF9" i="31"/>
  <c r="GG9" i="31"/>
  <c r="GH9" i="31" s="1"/>
  <c r="DO10" i="31"/>
  <c r="IJ10" i="31"/>
  <c r="OL10" i="31"/>
  <c r="ON10" i="31"/>
  <c r="NO10" i="31"/>
  <c r="MF10" i="31"/>
  <c r="GG10" i="31"/>
  <c r="GH10" i="31" s="1"/>
  <c r="DO11" i="31"/>
  <c r="IJ11" i="31"/>
  <c r="OL11" i="31"/>
  <c r="ON11" i="31"/>
  <c r="NO11" i="31"/>
  <c r="MF11" i="31"/>
  <c r="GG11" i="31"/>
  <c r="GH11" i="31" s="1"/>
  <c r="DO12" i="31"/>
  <c r="IJ12" i="31"/>
  <c r="OL12" i="31"/>
  <c r="ON12" i="31"/>
  <c r="NO12" i="31"/>
  <c r="MF12" i="31"/>
  <c r="GG12" i="31"/>
  <c r="GH12" i="31" s="1"/>
  <c r="DO13" i="31"/>
  <c r="IJ13" i="31"/>
  <c r="OL13" i="31"/>
  <c r="ON13" i="31"/>
  <c r="NO13" i="31"/>
  <c r="MF13" i="31"/>
  <c r="GG13" i="31"/>
  <c r="GH13" i="31" s="1"/>
  <c r="DO14" i="31"/>
  <c r="IJ14" i="31"/>
  <c r="OL14" i="31"/>
  <c r="ON14" i="31"/>
  <c r="NO14" i="31"/>
  <c r="MF14" i="31"/>
  <c r="GG14" i="31"/>
  <c r="GH14" i="31" s="1"/>
  <c r="GT6" i="31" l="1"/>
  <c r="OO6" i="31"/>
  <c r="KT6" i="31" s="1"/>
  <c r="CZ6" i="31"/>
  <c r="DE7" i="31"/>
  <c r="MU6" i="31"/>
  <c r="NQ6" i="31"/>
  <c r="DO15" i="31"/>
  <c r="IJ15" i="31"/>
  <c r="OL15" i="31"/>
  <c r="ON15" i="31"/>
  <c r="NO15" i="31"/>
  <c r="MF15" i="31"/>
  <c r="GG15" i="31"/>
  <c r="GH15" i="31" s="1"/>
  <c r="DO16" i="31"/>
  <c r="IJ16" i="31"/>
  <c r="OL16" i="31"/>
  <c r="ON16" i="31"/>
  <c r="NO16" i="31"/>
  <c r="MF16" i="31"/>
  <c r="GG16" i="31"/>
  <c r="GH16" i="31" s="1"/>
  <c r="DO17" i="31"/>
  <c r="IJ17" i="31"/>
  <c r="OL17" i="31"/>
  <c r="ON17" i="31"/>
  <c r="NO17" i="31"/>
  <c r="MF17" i="31"/>
  <c r="GG17" i="31"/>
  <c r="GH17" i="31" s="1"/>
  <c r="DO18" i="31"/>
  <c r="IJ18" i="31"/>
  <c r="OL18" i="31"/>
  <c r="ON18" i="31"/>
  <c r="NO18" i="31"/>
  <c r="MF18" i="31"/>
  <c r="GG18" i="31"/>
  <c r="GH18" i="31" s="1"/>
  <c r="DO19" i="31"/>
  <c r="IJ19" i="31"/>
  <c r="OL19" i="31"/>
  <c r="ON19" i="31"/>
  <c r="NO19" i="31"/>
  <c r="MF19" i="31"/>
  <c r="GG19" i="31"/>
  <c r="GH19" i="31" s="1"/>
  <c r="DO20" i="31"/>
  <c r="IJ20" i="31"/>
  <c r="OL20" i="31"/>
  <c r="ON20" i="31"/>
  <c r="NO20" i="31"/>
  <c r="MF20" i="31"/>
  <c r="GG20" i="31"/>
  <c r="GH20" i="31" s="1"/>
  <c r="DO21" i="31"/>
  <c r="IJ21" i="31"/>
  <c r="OL21" i="31"/>
  <c r="ON21" i="31"/>
  <c r="NO21" i="31"/>
  <c r="MF21" i="31"/>
  <c r="GG21" i="31"/>
  <c r="GH21" i="31" s="1"/>
  <c r="DO22" i="31"/>
  <c r="IJ22" i="31"/>
  <c r="OL22" i="31"/>
  <c r="ON22" i="31"/>
  <c r="NO22" i="31"/>
  <c r="MF22" i="31"/>
  <c r="GG22" i="31"/>
  <c r="GH22" i="31" s="1"/>
  <c r="DO23" i="31"/>
  <c r="IJ23" i="31"/>
  <c r="OL23" i="31"/>
  <c r="ON23" i="31"/>
  <c r="NO23" i="31"/>
  <c r="MF23" i="31"/>
  <c r="GG23" i="31"/>
  <c r="GH23" i="31" s="1"/>
  <c r="DO24" i="31"/>
  <c r="IJ24" i="31"/>
  <c r="OL24" i="31"/>
  <c r="ON24" i="31"/>
  <c r="NO24" i="31"/>
  <c r="MF24" i="31"/>
  <c r="GG24" i="31"/>
  <c r="GH24" i="31" s="1"/>
  <c r="DO25" i="31"/>
  <c r="IJ25" i="31"/>
  <c r="OL25" i="31"/>
  <c r="ON25" i="31"/>
  <c r="NO25" i="31"/>
  <c r="MF25" i="31"/>
  <c r="GG25" i="31"/>
  <c r="GH25" i="31" s="1"/>
  <c r="DO26" i="31"/>
  <c r="IJ26" i="31"/>
  <c r="OL26" i="31"/>
  <c r="ON26" i="31"/>
  <c r="NO26" i="31"/>
  <c r="MF26" i="31"/>
  <c r="GG26" i="31"/>
  <c r="GH26" i="31" s="1"/>
  <c r="DO27" i="31"/>
  <c r="IJ27" i="31"/>
  <c r="OL27" i="31"/>
  <c r="ON27" i="31"/>
  <c r="NO27" i="31"/>
  <c r="MF27" i="31"/>
  <c r="GG27" i="31"/>
  <c r="GH27" i="31" s="1"/>
  <c r="DO28" i="31"/>
  <c r="IJ28" i="31"/>
  <c r="OL28" i="31"/>
  <c r="ON28" i="31"/>
  <c r="NO28" i="31"/>
  <c r="MF28" i="31"/>
  <c r="GG28" i="31"/>
  <c r="GH28" i="31" s="1"/>
  <c r="DO29" i="31"/>
  <c r="IJ29" i="31"/>
  <c r="OL29" i="31"/>
  <c r="ON29" i="31"/>
  <c r="NO29" i="31"/>
  <c r="MF29" i="31"/>
  <c r="GG29" i="31"/>
  <c r="GH29" i="31" s="1"/>
  <c r="DO30" i="31"/>
  <c r="IJ30" i="31"/>
  <c r="OL30" i="31"/>
  <c r="ON30" i="31"/>
  <c r="NO30" i="31"/>
  <c r="MF30" i="31"/>
  <c r="GG30" i="31"/>
  <c r="GH30" i="31" s="1"/>
  <c r="DO31" i="31"/>
  <c r="IJ31" i="31"/>
  <c r="OL31" i="31"/>
  <c r="ON31" i="31"/>
  <c r="NO31" i="31"/>
  <c r="MF31" i="31"/>
  <c r="GG31" i="31"/>
  <c r="GH31" i="31" s="1"/>
  <c r="DO32" i="31"/>
  <c r="IJ32" i="31"/>
  <c r="OL32" i="31"/>
  <c r="ON32" i="31"/>
  <c r="NO32" i="31"/>
  <c r="MF32" i="31"/>
  <c r="GG32" i="31"/>
  <c r="GH32" i="31" s="1"/>
  <c r="DO33" i="31"/>
  <c r="IJ33" i="31"/>
  <c r="OL33" i="31"/>
  <c r="ON33" i="31"/>
  <c r="NO33" i="31"/>
  <c r="MF33" i="31"/>
  <c r="GG33" i="31"/>
  <c r="GH33" i="31" s="1"/>
  <c r="DO34" i="31"/>
  <c r="IJ34" i="31"/>
  <c r="OL34" i="31"/>
  <c r="ON34" i="31"/>
  <c r="NO34" i="31"/>
  <c r="MF34" i="31"/>
  <c r="GG34" i="31"/>
  <c r="GH34" i="31" s="1"/>
  <c r="DO35" i="31"/>
  <c r="IJ35" i="31"/>
  <c r="OL35" i="31"/>
  <c r="ON35" i="31"/>
  <c r="NO35" i="31"/>
  <c r="MF35" i="31"/>
  <c r="GG35" i="31"/>
  <c r="GH35" i="31" s="1"/>
  <c r="DO36" i="31"/>
  <c r="IJ36" i="31"/>
  <c r="OL36" i="31"/>
  <c r="ON36" i="31"/>
  <c r="NO36" i="31"/>
  <c r="MF36" i="31"/>
  <c r="GG36" i="31"/>
  <c r="GH36" i="31" s="1"/>
  <c r="DO37" i="31"/>
  <c r="IJ37" i="31"/>
  <c r="OL37" i="31"/>
  <c r="ON37" i="31"/>
  <c r="NO37" i="31"/>
  <c r="MF37" i="31"/>
  <c r="GG37" i="31"/>
  <c r="GH37" i="31" s="1"/>
  <c r="DO38" i="31"/>
  <c r="IJ38" i="31"/>
  <c r="OL38" i="31"/>
  <c r="ON38" i="31"/>
  <c r="NO38" i="31"/>
  <c r="MF38" i="31"/>
  <c r="GG38" i="31"/>
  <c r="GH38" i="31" s="1"/>
  <c r="DO39" i="31"/>
  <c r="IJ39" i="31"/>
  <c r="OL39" i="31"/>
  <c r="ON39" i="31"/>
  <c r="NO39" i="31"/>
  <c r="MF39" i="31"/>
  <c r="GG39" i="31"/>
  <c r="GH39" i="31" s="1"/>
  <c r="DO40" i="31"/>
  <c r="IJ40" i="31"/>
  <c r="OL40" i="31"/>
  <c r="ON40" i="31"/>
  <c r="NO40" i="31"/>
  <c r="MF40" i="31"/>
  <c r="GG40" i="31"/>
  <c r="GH40" i="31" s="1"/>
  <c r="DO41" i="31"/>
  <c r="IJ41" i="31"/>
  <c r="OL41" i="31"/>
  <c r="ON41" i="31"/>
  <c r="NO41" i="31"/>
  <c r="MF41" i="31"/>
  <c r="GG41" i="31"/>
  <c r="GH41" i="31" s="1"/>
  <c r="DO42" i="31"/>
  <c r="IJ42" i="31"/>
  <c r="OL42" i="31"/>
  <c r="ON42" i="31"/>
  <c r="NO42" i="31"/>
  <c r="MF42" i="31"/>
  <c r="GG42" i="31"/>
  <c r="GH42" i="31" s="1"/>
  <c r="DO43" i="31"/>
  <c r="IJ43" i="31"/>
  <c r="OL43" i="31"/>
  <c r="ON43" i="31"/>
  <c r="NO43" i="31"/>
  <c r="MF43" i="31"/>
  <c r="GG43" i="31"/>
  <c r="GH43" i="31" s="1"/>
  <c r="DO44" i="31"/>
  <c r="IJ44" i="31"/>
  <c r="OL44" i="31"/>
  <c r="ON44" i="31"/>
  <c r="NO44" i="31"/>
  <c r="MF44" i="31"/>
  <c r="GG44" i="31"/>
  <c r="GH44" i="31" s="1"/>
  <c r="DO45" i="31"/>
  <c r="IJ45" i="31"/>
  <c r="OL45" i="31"/>
  <c r="ON45" i="31"/>
  <c r="NO45" i="31"/>
  <c r="MF45" i="31"/>
  <c r="GG45" i="31"/>
  <c r="GH45" i="31" s="1"/>
  <c r="DO46" i="31"/>
  <c r="IJ46" i="31"/>
  <c r="OL46" i="31"/>
  <c r="ON46" i="31"/>
  <c r="NO46" i="31"/>
  <c r="MF46" i="31"/>
  <c r="GG46" i="31"/>
  <c r="GH46" i="31" s="1"/>
  <c r="DO47" i="31"/>
  <c r="IJ47" i="31"/>
  <c r="OL47" i="31"/>
  <c r="ON47" i="31"/>
  <c r="NO47" i="31"/>
  <c r="MF47" i="31"/>
  <c r="GG47" i="31"/>
  <c r="GH47" i="31" s="1"/>
  <c r="DO48" i="31"/>
  <c r="IJ48" i="31"/>
  <c r="OL48" i="31"/>
  <c r="ON48" i="31"/>
  <c r="NO48" i="31"/>
  <c r="MF48" i="31"/>
  <c r="GG48" i="31"/>
  <c r="GH48" i="31" s="1"/>
  <c r="DO49" i="31"/>
  <c r="IJ49" i="31"/>
  <c r="OL49" i="31"/>
  <c r="ON49" i="31"/>
  <c r="NO49" i="31"/>
  <c r="MF49" i="31"/>
  <c r="GG49" i="31"/>
  <c r="GH49" i="31" s="1"/>
  <c r="DO50" i="31"/>
  <c r="IJ50" i="31"/>
  <c r="OL50" i="31"/>
  <c r="ON50" i="31"/>
  <c r="NO50" i="31"/>
  <c r="MF50" i="31"/>
  <c r="GG50" i="31"/>
  <c r="GH50" i="31" s="1"/>
  <c r="DO51" i="31"/>
  <c r="IJ51" i="31"/>
  <c r="OL51" i="31"/>
  <c r="ON51" i="31"/>
  <c r="NO51" i="31"/>
  <c r="MF51" i="31"/>
  <c r="GG51" i="31"/>
  <c r="GH51" i="31" s="1"/>
  <c r="DO52" i="31"/>
  <c r="IJ52" i="31"/>
  <c r="OL52" i="31"/>
  <c r="ON52" i="31"/>
  <c r="NO52" i="31"/>
  <c r="MF52" i="31"/>
  <c r="GG52" i="31"/>
  <c r="GH52" i="31" s="1"/>
  <c r="DO53" i="31"/>
  <c r="IJ53" i="31"/>
  <c r="OL53" i="31"/>
  <c r="ON53" i="31"/>
  <c r="NO53" i="31"/>
  <c r="MF53" i="31"/>
  <c r="GG53" i="31"/>
  <c r="GH53" i="31" s="1"/>
  <c r="DO54" i="31"/>
  <c r="IJ54" i="31"/>
  <c r="OL54" i="31"/>
  <c r="ON54" i="31"/>
  <c r="NO54" i="31"/>
  <c r="MF54" i="31"/>
  <c r="GG54" i="31"/>
  <c r="GH54" i="31" s="1"/>
  <c r="DO55" i="31"/>
  <c r="IJ55" i="31"/>
  <c r="OL55" i="31"/>
  <c r="ON55" i="31"/>
  <c r="NO55" i="31"/>
  <c r="MF55" i="31"/>
  <c r="GG55" i="31"/>
  <c r="GH55" i="31" s="1"/>
  <c r="DO56" i="31"/>
  <c r="IJ56" i="31"/>
  <c r="OL56" i="31"/>
  <c r="ON56" i="31"/>
  <c r="NO56" i="31"/>
  <c r="MF56" i="31"/>
  <c r="GG56" i="31"/>
  <c r="GH56" i="31" s="1"/>
  <c r="DO57" i="31"/>
  <c r="IJ57" i="31"/>
  <c r="OL57" i="31"/>
  <c r="ON57" i="31"/>
  <c r="NO57" i="31"/>
  <c r="MF57" i="31"/>
  <c r="GG57" i="31"/>
  <c r="GH57" i="31" s="1"/>
  <c r="DO58" i="31"/>
  <c r="IJ58" i="31"/>
  <c r="OL58" i="31"/>
  <c r="ON58" i="31"/>
  <c r="NO58" i="31"/>
  <c r="MF58" i="31"/>
  <c r="GG58" i="31"/>
  <c r="GH58" i="31" s="1"/>
  <c r="DO59" i="31"/>
  <c r="IJ59" i="31"/>
  <c r="OL59" i="31"/>
  <c r="ON59" i="31"/>
  <c r="NO59" i="31"/>
  <c r="MF59" i="31"/>
  <c r="GG59" i="31"/>
  <c r="GH59" i="31" s="1"/>
  <c r="DO60" i="31"/>
  <c r="IJ60" i="31"/>
  <c r="OL60" i="31"/>
  <c r="ON60" i="31"/>
  <c r="NO60" i="31"/>
  <c r="MF60" i="31"/>
  <c r="GG60" i="31"/>
  <c r="GH60" i="31" s="1"/>
  <c r="DO61" i="31"/>
  <c r="IJ61" i="31"/>
  <c r="OL61" i="31"/>
  <c r="ON61" i="31"/>
  <c r="NO61" i="31"/>
  <c r="MF61" i="31"/>
  <c r="GG61" i="31"/>
  <c r="GH61" i="31" s="1"/>
  <c r="DO62" i="31"/>
  <c r="IJ62" i="31"/>
  <c r="OL62" i="31"/>
  <c r="ON62" i="31"/>
  <c r="NO62" i="31"/>
  <c r="MF62" i="31"/>
  <c r="GG62" i="31"/>
  <c r="GH62" i="31" s="1"/>
  <c r="DO63" i="31"/>
  <c r="IJ63" i="31"/>
  <c r="OL63" i="31"/>
  <c r="ON63" i="31"/>
  <c r="NO63" i="31"/>
  <c r="MF63" i="31"/>
  <c r="GG63" i="31"/>
  <c r="GH63" i="31" s="1"/>
  <c r="DO64" i="31"/>
  <c r="IJ64" i="31"/>
  <c r="OL64" i="31"/>
  <c r="ON64" i="31"/>
  <c r="NO64" i="31"/>
  <c r="MF64" i="31"/>
  <c r="GG64" i="31"/>
  <c r="GH64" i="31" s="1"/>
  <c r="C61" i="1"/>
  <c r="C63" i="1" s="1"/>
  <c r="DA6" i="31" l="1"/>
  <c r="HJ6" i="31"/>
  <c r="NR6" i="31"/>
  <c r="PB13" i="31" l="1"/>
  <c r="PB8" i="31"/>
  <c r="PB9" i="31"/>
  <c r="PB11" i="31"/>
  <c r="PB14" i="31"/>
  <c r="PB10" i="31"/>
  <c r="PB7" i="31"/>
  <c r="PB12" i="31"/>
  <c r="PB6" i="31"/>
  <c r="D134" i="1"/>
  <c r="PB57" i="31" l="1"/>
  <c r="PB39" i="31"/>
  <c r="PB46" i="31"/>
  <c r="PB40" i="31"/>
  <c r="PB45" i="31"/>
  <c r="PB44" i="31"/>
  <c r="PB27" i="31"/>
  <c r="PB36" i="31"/>
  <c r="PB30" i="31"/>
  <c r="PB61" i="31"/>
  <c r="PB42" i="31"/>
  <c r="PB50" i="31"/>
  <c r="PB56" i="31"/>
  <c r="PB26" i="31"/>
  <c r="PB47" i="31"/>
  <c r="PB24" i="31"/>
  <c r="PB63" i="31"/>
  <c r="PB33" i="31"/>
  <c r="PB64" i="31"/>
  <c r="PB62" i="31"/>
  <c r="PB19" i="31"/>
  <c r="PB60" i="31"/>
  <c r="PB16" i="31"/>
  <c r="PB53" i="31"/>
  <c r="PB49" i="31"/>
  <c r="PB41" i="31"/>
  <c r="PB23" i="31"/>
  <c r="PB20" i="31"/>
  <c r="PB58" i="31"/>
  <c r="PB18" i="31"/>
  <c r="PB54" i="31"/>
  <c r="PB25" i="31"/>
  <c r="PB48" i="31"/>
  <c r="PB22" i="31"/>
  <c r="PB15" i="31"/>
  <c r="PB38" i="31"/>
  <c r="PB29" i="31"/>
  <c r="PB37" i="31"/>
  <c r="PB55" i="31"/>
  <c r="PB31" i="31"/>
  <c r="PB51" i="31"/>
  <c r="PB21" i="31"/>
  <c r="PB28" i="31"/>
  <c r="PB17" i="31"/>
  <c r="PB59" i="31"/>
  <c r="PB34" i="31"/>
  <c r="PB52" i="31"/>
  <c r="PB32" i="31"/>
  <c r="PB35" i="31"/>
  <c r="PB43" i="31"/>
  <c r="B209" i="1"/>
  <c r="B210" i="1" s="1"/>
  <c r="U191" i="1"/>
  <c r="I191" i="1"/>
  <c r="G191" i="1"/>
  <c r="E191" i="1"/>
  <c r="B167" i="1"/>
  <c r="B175" i="1" s="1"/>
  <c r="B228" i="1" l="1"/>
  <c r="B224" i="1"/>
  <c r="B220" i="1"/>
  <c r="B218" i="1"/>
  <c r="B225" i="1"/>
  <c r="B221" i="1"/>
  <c r="B227" i="1"/>
  <c r="B223" i="1"/>
  <c r="B219" i="1"/>
  <c r="B226" i="1"/>
  <c r="B222" i="1"/>
  <c r="B184" i="1"/>
  <c r="B180" i="1"/>
  <c r="B176" i="1"/>
  <c r="B178" i="1"/>
  <c r="B185" i="1"/>
  <c r="B177" i="1"/>
  <c r="B183" i="1"/>
  <c r="B179" i="1"/>
  <c r="B182" i="1"/>
  <c r="B181" i="1"/>
  <c r="C210" i="1"/>
  <c r="B174" i="1"/>
  <c r="B169" i="1"/>
  <c r="B173" i="1"/>
  <c r="B170" i="1"/>
  <c r="B172" i="1"/>
  <c r="B171" i="1"/>
  <c r="B168" i="1"/>
  <c r="AQ22" i="31"/>
  <c r="AQ26" i="31"/>
  <c r="AQ30" i="31"/>
  <c r="AQ34" i="31"/>
  <c r="AQ38" i="31"/>
  <c r="AQ42" i="31"/>
  <c r="AQ46" i="31"/>
  <c r="AQ50" i="31"/>
  <c r="AQ54" i="31"/>
  <c r="AQ58" i="31"/>
  <c r="AQ62" i="31"/>
  <c r="AQ66" i="31"/>
  <c r="AQ70" i="31"/>
  <c r="AQ74" i="31"/>
  <c r="AQ19" i="31"/>
  <c r="AQ23" i="31"/>
  <c r="AQ27" i="31"/>
  <c r="AQ31" i="31"/>
  <c r="AQ35" i="31"/>
  <c r="AQ39" i="31"/>
  <c r="AQ43" i="31"/>
  <c r="AQ47" i="31"/>
  <c r="AQ51" i="31"/>
  <c r="AQ55" i="31"/>
  <c r="AQ59" i="31"/>
  <c r="AQ63" i="31"/>
  <c r="AQ67" i="31"/>
  <c r="AQ71" i="31"/>
  <c r="AQ20" i="31"/>
  <c r="AQ24" i="31"/>
  <c r="AQ28" i="31"/>
  <c r="AQ32" i="31"/>
  <c r="AQ36" i="31"/>
  <c r="AQ40" i="31"/>
  <c r="AQ44" i="31"/>
  <c r="AQ48" i="31"/>
  <c r="AQ52" i="31"/>
  <c r="AQ56" i="31"/>
  <c r="AQ60" i="31"/>
  <c r="AQ64" i="31"/>
  <c r="AQ33" i="31"/>
  <c r="AQ57" i="31"/>
  <c r="AQ53" i="31"/>
  <c r="AQ77" i="31"/>
  <c r="AQ81" i="31"/>
  <c r="AQ85" i="31"/>
  <c r="AQ89" i="31"/>
  <c r="AQ93" i="31"/>
  <c r="AQ97" i="31"/>
  <c r="AQ101" i="31"/>
  <c r="AQ105" i="31"/>
  <c r="AQ109" i="31"/>
  <c r="AQ113" i="31"/>
  <c r="AQ117" i="31"/>
  <c r="AQ21" i="31"/>
  <c r="AQ37" i="31"/>
  <c r="AQ49" i="31"/>
  <c r="AQ45" i="31"/>
  <c r="AQ78" i="31"/>
  <c r="AQ82" i="31"/>
  <c r="AQ86" i="31"/>
  <c r="AQ90" i="31"/>
  <c r="AQ94" i="31"/>
  <c r="AQ98" i="31"/>
  <c r="AQ102" i="31"/>
  <c r="AQ106" i="31"/>
  <c r="AQ110" i="31"/>
  <c r="AQ114" i="31"/>
  <c r="AQ118" i="31"/>
  <c r="AQ68" i="31"/>
  <c r="AQ73" i="31"/>
  <c r="AQ75" i="31"/>
  <c r="AQ79" i="31"/>
  <c r="AQ83" i="31"/>
  <c r="AQ87" i="31"/>
  <c r="AQ91" i="31"/>
  <c r="AQ95" i="31"/>
  <c r="AQ99" i="31"/>
  <c r="AQ65" i="31"/>
  <c r="AQ69" i="31"/>
  <c r="AQ92" i="31"/>
  <c r="AQ88" i="31"/>
  <c r="AQ107" i="31"/>
  <c r="AQ115" i="31"/>
  <c r="AQ119" i="31"/>
  <c r="AQ123" i="31"/>
  <c r="AQ127" i="31"/>
  <c r="AQ131" i="31"/>
  <c r="AQ135" i="31"/>
  <c r="AQ139" i="31"/>
  <c r="AQ143" i="31"/>
  <c r="AQ84" i="31"/>
  <c r="AQ29" i="31"/>
  <c r="AQ61" i="31"/>
  <c r="AQ80" i="31"/>
  <c r="AQ104" i="31"/>
  <c r="AQ112" i="31"/>
  <c r="AQ120" i="31"/>
  <c r="AQ124" i="31"/>
  <c r="AQ128" i="31"/>
  <c r="AQ132" i="31"/>
  <c r="AQ136" i="31"/>
  <c r="AQ140" i="31"/>
  <c r="AQ144" i="31"/>
  <c r="AQ148" i="31"/>
  <c r="AQ152" i="31"/>
  <c r="AQ156" i="31"/>
  <c r="AQ160" i="31"/>
  <c r="AQ103" i="31"/>
  <c r="AQ111" i="31"/>
  <c r="AQ121" i="31"/>
  <c r="AQ125" i="31"/>
  <c r="AQ129" i="31"/>
  <c r="AQ133" i="31"/>
  <c r="AQ137" i="31"/>
  <c r="AQ141" i="31"/>
  <c r="AQ145" i="31"/>
  <c r="AQ138" i="31"/>
  <c r="AQ149" i="31"/>
  <c r="AQ154" i="31"/>
  <c r="AQ159" i="31"/>
  <c r="AQ161" i="31"/>
  <c r="AQ165" i="31"/>
  <c r="AQ169" i="31"/>
  <c r="AQ173" i="31"/>
  <c r="AQ177" i="31"/>
  <c r="AQ181" i="31"/>
  <c r="AQ185" i="31"/>
  <c r="AQ189" i="31"/>
  <c r="AQ193" i="31"/>
  <c r="AQ197" i="31"/>
  <c r="AQ201" i="31"/>
  <c r="AQ76" i="31"/>
  <c r="AQ134" i="31"/>
  <c r="AQ146" i="31"/>
  <c r="AQ153" i="31"/>
  <c r="AQ41" i="31"/>
  <c r="AQ116" i="31"/>
  <c r="AQ130" i="31"/>
  <c r="AQ162" i="31"/>
  <c r="AQ166" i="31"/>
  <c r="AQ170" i="31"/>
  <c r="AQ174" i="31"/>
  <c r="AQ178" i="31"/>
  <c r="AQ182" i="31"/>
  <c r="AQ186" i="31"/>
  <c r="AQ190" i="31"/>
  <c r="AQ194" i="31"/>
  <c r="AQ198" i="31"/>
  <c r="AQ202" i="31"/>
  <c r="AQ108" i="31"/>
  <c r="AQ126" i="31"/>
  <c r="AQ100" i="31"/>
  <c r="AQ122" i="31"/>
  <c r="AQ163" i="31"/>
  <c r="AQ167" i="31"/>
  <c r="AQ25" i="31"/>
  <c r="AQ206" i="31"/>
  <c r="AQ210" i="31"/>
  <c r="AQ214" i="31"/>
  <c r="AQ218" i="31"/>
  <c r="AQ222" i="31"/>
  <c r="AQ226" i="31"/>
  <c r="AQ230" i="31"/>
  <c r="AQ234" i="31"/>
  <c r="AQ238" i="31"/>
  <c r="AQ242" i="31"/>
  <c r="AQ246" i="31"/>
  <c r="AQ250" i="31"/>
  <c r="AQ254" i="31"/>
  <c r="AQ258" i="31"/>
  <c r="AQ262" i="31"/>
  <c r="AQ266" i="31"/>
  <c r="AQ270" i="31"/>
  <c r="AQ72" i="31"/>
  <c r="AQ155" i="31"/>
  <c r="AQ176" i="31"/>
  <c r="AQ184" i="31"/>
  <c r="AQ192" i="31"/>
  <c r="AQ203" i="31"/>
  <c r="AQ207" i="31"/>
  <c r="AQ211" i="31"/>
  <c r="AQ215" i="31"/>
  <c r="AQ219" i="31"/>
  <c r="AQ223" i="31"/>
  <c r="AQ227" i="31"/>
  <c r="AQ231" i="31"/>
  <c r="AQ235" i="31"/>
  <c r="AQ239" i="31"/>
  <c r="AQ243" i="31"/>
  <c r="AQ247" i="31"/>
  <c r="AQ251" i="31"/>
  <c r="AQ255" i="31"/>
  <c r="AQ259" i="31"/>
  <c r="AQ263" i="31"/>
  <c r="AQ267" i="31"/>
  <c r="AQ271" i="31"/>
  <c r="AQ168" i="31"/>
  <c r="AQ175" i="31"/>
  <c r="AQ183" i="31"/>
  <c r="AQ191" i="31"/>
  <c r="AQ200" i="31"/>
  <c r="AQ164" i="31"/>
  <c r="AQ199" i="31"/>
  <c r="AQ204" i="31"/>
  <c r="AQ208" i="31"/>
  <c r="AQ212" i="31"/>
  <c r="AQ216" i="31"/>
  <c r="AQ220" i="31"/>
  <c r="AQ224" i="31"/>
  <c r="AQ228" i="31"/>
  <c r="AQ232" i="31"/>
  <c r="AQ236" i="31"/>
  <c r="AQ151" i="31"/>
  <c r="AQ171" i="31"/>
  <c r="AQ180" i="31"/>
  <c r="AQ233" i="31"/>
  <c r="AQ172" i="31"/>
  <c r="AQ229" i="31"/>
  <c r="AQ241" i="31"/>
  <c r="AQ249" i="31"/>
  <c r="AQ257" i="31"/>
  <c r="AQ265" i="31"/>
  <c r="AQ275" i="31"/>
  <c r="AQ279" i="31"/>
  <c r="AQ142" i="31"/>
  <c r="AQ225" i="31"/>
  <c r="AQ221" i="31"/>
  <c r="AQ240" i="31"/>
  <c r="AQ248" i="31"/>
  <c r="AQ256" i="31"/>
  <c r="AQ264" i="31"/>
  <c r="AQ276" i="31"/>
  <c r="AQ280" i="31"/>
  <c r="AQ284" i="31"/>
  <c r="AQ288" i="31"/>
  <c r="AQ292" i="31"/>
  <c r="AQ296" i="31"/>
  <c r="AQ300" i="31"/>
  <c r="AQ304" i="31"/>
  <c r="AQ308" i="31"/>
  <c r="AQ147" i="31"/>
  <c r="AQ195" i="31"/>
  <c r="AQ213" i="31"/>
  <c r="AQ245" i="31"/>
  <c r="AQ253" i="31"/>
  <c r="AQ261" i="31"/>
  <c r="AQ273" i="31"/>
  <c r="AQ277" i="31"/>
  <c r="AQ281" i="31"/>
  <c r="AQ285" i="31"/>
  <c r="AQ289" i="31"/>
  <c r="AQ293" i="31"/>
  <c r="AQ297" i="31"/>
  <c r="AQ188" i="31"/>
  <c r="AQ244" i="31"/>
  <c r="AQ282" i="31"/>
  <c r="AQ290" i="31"/>
  <c r="AQ303" i="31"/>
  <c r="AQ313" i="31"/>
  <c r="AQ317" i="31"/>
  <c r="AQ321" i="31"/>
  <c r="AQ325" i="31"/>
  <c r="AQ329" i="31"/>
  <c r="AQ333" i="31"/>
  <c r="AQ337" i="31"/>
  <c r="AQ341" i="31"/>
  <c r="AQ345" i="31"/>
  <c r="AQ349" i="31"/>
  <c r="AQ353" i="31"/>
  <c r="AQ357" i="31"/>
  <c r="AQ361" i="31"/>
  <c r="AQ365" i="31"/>
  <c r="AQ369" i="31"/>
  <c r="AQ291" i="31"/>
  <c r="AQ287" i="31"/>
  <c r="AQ295" i="31"/>
  <c r="AQ298" i="31"/>
  <c r="AQ307" i="31"/>
  <c r="AQ96" i="31"/>
  <c r="AQ179" i="31"/>
  <c r="AQ302" i="31"/>
  <c r="AQ314" i="31"/>
  <c r="AQ318" i="31"/>
  <c r="AQ322" i="31"/>
  <c r="AQ326" i="31"/>
  <c r="AQ330" i="31"/>
  <c r="AQ334" i="31"/>
  <c r="AQ338" i="31"/>
  <c r="AQ342" i="31"/>
  <c r="AQ346" i="31"/>
  <c r="AQ350" i="31"/>
  <c r="AQ354" i="31"/>
  <c r="AQ358" i="31"/>
  <c r="AQ362" i="31"/>
  <c r="AQ366" i="31"/>
  <c r="AQ370" i="31"/>
  <c r="AQ367" i="31"/>
  <c r="AQ196" i="31"/>
  <c r="AQ283" i="31"/>
  <c r="AQ150" i="31"/>
  <c r="AQ301" i="31"/>
  <c r="AQ306" i="31"/>
  <c r="AQ351" i="31"/>
  <c r="AQ359" i="31"/>
  <c r="AQ363" i="31"/>
  <c r="AQ209" i="31"/>
  <c r="AQ237" i="31"/>
  <c r="AQ286" i="31"/>
  <c r="AQ294" i="31"/>
  <c r="AQ305" i="31"/>
  <c r="AQ310" i="31"/>
  <c r="AQ311" i="31"/>
  <c r="AQ315" i="31"/>
  <c r="AQ319" i="31"/>
  <c r="AQ323" i="31"/>
  <c r="AQ327" i="31"/>
  <c r="AQ331" i="31"/>
  <c r="AQ335" i="31"/>
  <c r="AQ339" i="31"/>
  <c r="AQ343" i="31"/>
  <c r="AQ347" i="31"/>
  <c r="AQ355" i="31"/>
  <c r="AQ268" i="31"/>
  <c r="AQ309" i="31"/>
  <c r="AQ260" i="31"/>
  <c r="AQ320" i="31"/>
  <c r="AQ336" i="31"/>
  <c r="AQ364" i="31"/>
  <c r="AQ328" i="31"/>
  <c r="AQ332" i="31"/>
  <c r="AQ274" i="31"/>
  <c r="AQ352" i="31"/>
  <c r="AQ360" i="31"/>
  <c r="AQ312" i="31"/>
  <c r="AQ316" i="31"/>
  <c r="AQ324" i="31"/>
  <c r="AQ340" i="31"/>
  <c r="AQ278" i="31"/>
  <c r="AQ348" i="31"/>
  <c r="AQ217" i="31"/>
  <c r="AQ299" i="31"/>
  <c r="AQ368" i="31"/>
  <c r="AQ205" i="31"/>
  <c r="AQ356" i="31"/>
  <c r="AQ344" i="31"/>
  <c r="AQ187" i="31"/>
  <c r="AQ272" i="31"/>
  <c r="AQ252" i="31"/>
  <c r="AQ269" i="31"/>
  <c r="ON65" i="31"/>
  <c r="ON66" i="31"/>
  <c r="ON67" i="31"/>
  <c r="ON68" i="31"/>
  <c r="ON69" i="31"/>
  <c r="ON70" i="31"/>
  <c r="ON71" i="31"/>
  <c r="ON72" i="31"/>
  <c r="ON73" i="31"/>
  <c r="ON74" i="31"/>
  <c r="ON75" i="31"/>
  <c r="ON76" i="31"/>
  <c r="ON77" i="31"/>
  <c r="ON78" i="31"/>
  <c r="ON79" i="31"/>
  <c r="ON80" i="31"/>
  <c r="ON81" i="31"/>
  <c r="ON82" i="31"/>
  <c r="ON83" i="31"/>
  <c r="ON84" i="31"/>
  <c r="ON85" i="31"/>
  <c r="ON86" i="31"/>
  <c r="ON87" i="31"/>
  <c r="ON88" i="31"/>
  <c r="ON89" i="31"/>
  <c r="ON90" i="31"/>
  <c r="ON91" i="31"/>
  <c r="ON92" i="31"/>
  <c r="ON93" i="31"/>
  <c r="ON94" i="31"/>
  <c r="ON95" i="31"/>
  <c r="ON96" i="31"/>
  <c r="ON97" i="31"/>
  <c r="ON98" i="31"/>
  <c r="ON99" i="31"/>
  <c r="ON100" i="31"/>
  <c r="ON101" i="31"/>
  <c r="ON102" i="31"/>
  <c r="ON103" i="31"/>
  <c r="ON104" i="31"/>
  <c r="ON105" i="31"/>
  <c r="ON106" i="31"/>
  <c r="ON107" i="31"/>
  <c r="ON108" i="31"/>
  <c r="ON109" i="31"/>
  <c r="ON110" i="31"/>
  <c r="ON111" i="31"/>
  <c r="ON112" i="31"/>
  <c r="ON113" i="31"/>
  <c r="ON114" i="31"/>
  <c r="ON115" i="31"/>
  <c r="ON116" i="31"/>
  <c r="ON117" i="31"/>
  <c r="ON118" i="31"/>
  <c r="ON119" i="31"/>
  <c r="ON120" i="31"/>
  <c r="ON121" i="31"/>
  <c r="ON122" i="31"/>
  <c r="ON123" i="31"/>
  <c r="ON124" i="31"/>
  <c r="ON125" i="31"/>
  <c r="ON126" i="31"/>
  <c r="ON127" i="31"/>
  <c r="ON128" i="31"/>
  <c r="ON129" i="31"/>
  <c r="ON130" i="31"/>
  <c r="ON131" i="31"/>
  <c r="ON132" i="31"/>
  <c r="ON133" i="31"/>
  <c r="ON134" i="31"/>
  <c r="ON135" i="31"/>
  <c r="ON136" i="31"/>
  <c r="ON137" i="31"/>
  <c r="ON138" i="31"/>
  <c r="ON139" i="31"/>
  <c r="ON140" i="31"/>
  <c r="ON141" i="31"/>
  <c r="ON142" i="31"/>
  <c r="ON143" i="31"/>
  <c r="ON144" i="31"/>
  <c r="ON145" i="31"/>
  <c r="ON146" i="31"/>
  <c r="ON147" i="31"/>
  <c r="ON148" i="31"/>
  <c r="ON149" i="31"/>
  <c r="ON150" i="31"/>
  <c r="ON151" i="31"/>
  <c r="ON152" i="31"/>
  <c r="ON153" i="31"/>
  <c r="ON154" i="31"/>
  <c r="ON155" i="31"/>
  <c r="ON156" i="31"/>
  <c r="ON157" i="31"/>
  <c r="ON158" i="31"/>
  <c r="ON159" i="31"/>
  <c r="ON160" i="31"/>
  <c r="ON161" i="31"/>
  <c r="ON162" i="31"/>
  <c r="ON163" i="31"/>
  <c r="ON164" i="31"/>
  <c r="ON165" i="31"/>
  <c r="ON166" i="31"/>
  <c r="ON167" i="31"/>
  <c r="ON168" i="31"/>
  <c r="ON169" i="31"/>
  <c r="ON170" i="31"/>
  <c r="ON171" i="31"/>
  <c r="ON172" i="31"/>
  <c r="ON173" i="31"/>
  <c r="ON174" i="31"/>
  <c r="ON175" i="31"/>
  <c r="ON176" i="31"/>
  <c r="ON177" i="31"/>
  <c r="ON178" i="31"/>
  <c r="ON179" i="31"/>
  <c r="ON180" i="31"/>
  <c r="ON181" i="31"/>
  <c r="ON182" i="31"/>
  <c r="ON183" i="31"/>
  <c r="ON184" i="31"/>
  <c r="ON185" i="31"/>
  <c r="ON186" i="31"/>
  <c r="ON187" i="31"/>
  <c r="ON188" i="31"/>
  <c r="ON189" i="31"/>
  <c r="ON190" i="31"/>
  <c r="ON191" i="31"/>
  <c r="ON192" i="31"/>
  <c r="ON193" i="31"/>
  <c r="ON194" i="31"/>
  <c r="ON195" i="31"/>
  <c r="ON196" i="31"/>
  <c r="ON197" i="31"/>
  <c r="ON198" i="31"/>
  <c r="ON199" i="31"/>
  <c r="ON200" i="31"/>
  <c r="ON201" i="31"/>
  <c r="ON202" i="31"/>
  <c r="ON203" i="31"/>
  <c r="ON204" i="31"/>
  <c r="ON205" i="31"/>
  <c r="ON206" i="31"/>
  <c r="ON207" i="31"/>
  <c r="ON208" i="31"/>
  <c r="ON209" i="31"/>
  <c r="ON210" i="31"/>
  <c r="ON211" i="31"/>
  <c r="ON212" i="31"/>
  <c r="ON213" i="31"/>
  <c r="ON214" i="31"/>
  <c r="ON215" i="31"/>
  <c r="ON216" i="31"/>
  <c r="ON217" i="31"/>
  <c r="ON218" i="31"/>
  <c r="ON219" i="31"/>
  <c r="ON220" i="31"/>
  <c r="ON221" i="31"/>
  <c r="ON222" i="31"/>
  <c r="ON223" i="31"/>
  <c r="ON224" i="31"/>
  <c r="ON225" i="31"/>
  <c r="ON226" i="31"/>
  <c r="ON227" i="31"/>
  <c r="ON228" i="31"/>
  <c r="ON229" i="31"/>
  <c r="ON230" i="31"/>
  <c r="ON231" i="31"/>
  <c r="ON232" i="31"/>
  <c r="ON233" i="31"/>
  <c r="ON234" i="31"/>
  <c r="ON235" i="31"/>
  <c r="ON236" i="31"/>
  <c r="ON237" i="31"/>
  <c r="ON238" i="31"/>
  <c r="ON239" i="31"/>
  <c r="ON240" i="31"/>
  <c r="ON241" i="31"/>
  <c r="ON242" i="31"/>
  <c r="ON243" i="31"/>
  <c r="ON244" i="31"/>
  <c r="ON245" i="31"/>
  <c r="ON246" i="31"/>
  <c r="ON247" i="31"/>
  <c r="ON248" i="31"/>
  <c r="ON249" i="31"/>
  <c r="ON250" i="31"/>
  <c r="ON251" i="31"/>
  <c r="ON252" i="31"/>
  <c r="ON253" i="31"/>
  <c r="ON254" i="31"/>
  <c r="ON255" i="31"/>
  <c r="ON256" i="31"/>
  <c r="ON257" i="31"/>
  <c r="ON258" i="31"/>
  <c r="ON259" i="31"/>
  <c r="ON260" i="31"/>
  <c r="ON261" i="31"/>
  <c r="ON262" i="31"/>
  <c r="ON263" i="31"/>
  <c r="ON264" i="31"/>
  <c r="ON265" i="31"/>
  <c r="ON266" i="31"/>
  <c r="ON267" i="31"/>
  <c r="ON268" i="31"/>
  <c r="ON269" i="31"/>
  <c r="ON270" i="31"/>
  <c r="ON271" i="31"/>
  <c r="ON272" i="31"/>
  <c r="ON273" i="31"/>
  <c r="ON274" i="31"/>
  <c r="ON275" i="31"/>
  <c r="ON276" i="31"/>
  <c r="ON277" i="31"/>
  <c r="ON278" i="31"/>
  <c r="ON279" i="31"/>
  <c r="ON280" i="31"/>
  <c r="ON281" i="31"/>
  <c r="ON282" i="31"/>
  <c r="ON283" i="31"/>
  <c r="ON284" i="31"/>
  <c r="ON285" i="31"/>
  <c r="ON286" i="31"/>
  <c r="ON287" i="31"/>
  <c r="ON288" i="31"/>
  <c r="ON289" i="31"/>
  <c r="ON290" i="31"/>
  <c r="ON291" i="31"/>
  <c r="ON292" i="31"/>
  <c r="ON293" i="31"/>
  <c r="ON294" i="31"/>
  <c r="ON295" i="31"/>
  <c r="ON296" i="31"/>
  <c r="ON297" i="31"/>
  <c r="ON298" i="31"/>
  <c r="ON299" i="31"/>
  <c r="ON300" i="31"/>
  <c r="ON301" i="31"/>
  <c r="ON302" i="31"/>
  <c r="ON303" i="31"/>
  <c r="ON304" i="31"/>
  <c r="ON305" i="31"/>
  <c r="ON306" i="31"/>
  <c r="ON307" i="31"/>
  <c r="ON308" i="31"/>
  <c r="ON309" i="31"/>
  <c r="ON310" i="31"/>
  <c r="ON311" i="31"/>
  <c r="ON312" i="31"/>
  <c r="ON313" i="31"/>
  <c r="ON314" i="31"/>
  <c r="ON315" i="31"/>
  <c r="ON316" i="31"/>
  <c r="ON317" i="31"/>
  <c r="ON318" i="31"/>
  <c r="ON319" i="31"/>
  <c r="ON320" i="31"/>
  <c r="ON321" i="31"/>
  <c r="ON322" i="31"/>
  <c r="ON323" i="31"/>
  <c r="ON324" i="31"/>
  <c r="ON325" i="31"/>
  <c r="ON326" i="31"/>
  <c r="ON327" i="31"/>
  <c r="ON328" i="31"/>
  <c r="ON329" i="31"/>
  <c r="ON330" i="31"/>
  <c r="ON331" i="31"/>
  <c r="ON332" i="31"/>
  <c r="ON333" i="31"/>
  <c r="ON334" i="31"/>
  <c r="ON335" i="31"/>
  <c r="ON336" i="31"/>
  <c r="ON337" i="31"/>
  <c r="ON338" i="31"/>
  <c r="ON339" i="31"/>
  <c r="ON340" i="31"/>
  <c r="ON341" i="31"/>
  <c r="ON342" i="31"/>
  <c r="ON343" i="31"/>
  <c r="ON344" i="31"/>
  <c r="ON345" i="31"/>
  <c r="ON346" i="31"/>
  <c r="ON347" i="31"/>
  <c r="ON348" i="31"/>
  <c r="ON349" i="31"/>
  <c r="ON350" i="31"/>
  <c r="ON351" i="31"/>
  <c r="ON352" i="31"/>
  <c r="ON353" i="31"/>
  <c r="ON354" i="31"/>
  <c r="ON355" i="31"/>
  <c r="ON356" i="31"/>
  <c r="ON357" i="31"/>
  <c r="ON358" i="31"/>
  <c r="ON359" i="31"/>
  <c r="ON360" i="31"/>
  <c r="ON361" i="31"/>
  <c r="ON362" i="31"/>
  <c r="ON363" i="31"/>
  <c r="ON364" i="31"/>
  <c r="ON365" i="31"/>
  <c r="ON366" i="31"/>
  <c r="ON367" i="31"/>
  <c r="ON368" i="31"/>
  <c r="ON369" i="31"/>
  <c r="ON370" i="31"/>
  <c r="OL370" i="31"/>
  <c r="OL369" i="31"/>
  <c r="OL368" i="31"/>
  <c r="OL367" i="31"/>
  <c r="OL366" i="31"/>
  <c r="OL365" i="31"/>
  <c r="OL364" i="31"/>
  <c r="OL363" i="31"/>
  <c r="OL362" i="31"/>
  <c r="OL361" i="31"/>
  <c r="OL360" i="31"/>
  <c r="OL359" i="31"/>
  <c r="OL358" i="31"/>
  <c r="OL357" i="31"/>
  <c r="OL356" i="31"/>
  <c r="OL355" i="31"/>
  <c r="OL354" i="31"/>
  <c r="OL353" i="31"/>
  <c r="OL352" i="31"/>
  <c r="OL351" i="31"/>
  <c r="OL350" i="31"/>
  <c r="OL349" i="31"/>
  <c r="OL348" i="31"/>
  <c r="OL347" i="31"/>
  <c r="OL346" i="31"/>
  <c r="OL345" i="31"/>
  <c r="OL344" i="31"/>
  <c r="OL343" i="31"/>
  <c r="OL342" i="31"/>
  <c r="OL341" i="31"/>
  <c r="OL340" i="31"/>
  <c r="OL339" i="31"/>
  <c r="OL338" i="31"/>
  <c r="OL337" i="31"/>
  <c r="OL336" i="31"/>
  <c r="OL335" i="31"/>
  <c r="OL334" i="31"/>
  <c r="OL333" i="31"/>
  <c r="OL332" i="31"/>
  <c r="OL331" i="31"/>
  <c r="OL330" i="31"/>
  <c r="OL329" i="31"/>
  <c r="OL328" i="31"/>
  <c r="OL327" i="31"/>
  <c r="OL326" i="31"/>
  <c r="OL325" i="31"/>
  <c r="OL324" i="31"/>
  <c r="OL323" i="31"/>
  <c r="OL322" i="31"/>
  <c r="OL321" i="31"/>
  <c r="OL320" i="31"/>
  <c r="OL319" i="31"/>
  <c r="OL318" i="31"/>
  <c r="OL317" i="31"/>
  <c r="OL316" i="31"/>
  <c r="OL315" i="31"/>
  <c r="OL314" i="31"/>
  <c r="OL313" i="31"/>
  <c r="OL312" i="31"/>
  <c r="OL311" i="31"/>
  <c r="OL310" i="31"/>
  <c r="OL309" i="31"/>
  <c r="OL308" i="31"/>
  <c r="OL307" i="31"/>
  <c r="OL306" i="31"/>
  <c r="OL305" i="31"/>
  <c r="OL304" i="31"/>
  <c r="OL303" i="31"/>
  <c r="OL302" i="31"/>
  <c r="OL301" i="31"/>
  <c r="OL300" i="31"/>
  <c r="OL299" i="31"/>
  <c r="OL298" i="31"/>
  <c r="OL297" i="31"/>
  <c r="OL296" i="31"/>
  <c r="OL295" i="31"/>
  <c r="OL294" i="31"/>
  <c r="OL293" i="31"/>
  <c r="OL292" i="31"/>
  <c r="OL291" i="31"/>
  <c r="OL290" i="31"/>
  <c r="OL289" i="31"/>
  <c r="OL288" i="31"/>
  <c r="OL287" i="31"/>
  <c r="OL286" i="31"/>
  <c r="OL285" i="31"/>
  <c r="OL284" i="31"/>
  <c r="OL283" i="31"/>
  <c r="OL282" i="31"/>
  <c r="OL281" i="31"/>
  <c r="OL280" i="31"/>
  <c r="OL279" i="31"/>
  <c r="OL278" i="31"/>
  <c r="OL277" i="31"/>
  <c r="OL276" i="31"/>
  <c r="OL275" i="31"/>
  <c r="OL274" i="31"/>
  <c r="OL273" i="31"/>
  <c r="OL272" i="31"/>
  <c r="OL271" i="31"/>
  <c r="OL270" i="31"/>
  <c r="OL269" i="31"/>
  <c r="OL268" i="31"/>
  <c r="OL267" i="31"/>
  <c r="OL266" i="31"/>
  <c r="OL265" i="31"/>
  <c r="OL264" i="31"/>
  <c r="OL263" i="31"/>
  <c r="OL262" i="31"/>
  <c r="OL261" i="31"/>
  <c r="OL260" i="31"/>
  <c r="OL259" i="31"/>
  <c r="OL258" i="31"/>
  <c r="OL257" i="31"/>
  <c r="OL256" i="31"/>
  <c r="OL255" i="31"/>
  <c r="OL254" i="31"/>
  <c r="OL253" i="31"/>
  <c r="OL252" i="31"/>
  <c r="OL251" i="31"/>
  <c r="OL250" i="31"/>
  <c r="OL249" i="31"/>
  <c r="OL248" i="31"/>
  <c r="OL247" i="31"/>
  <c r="OL246" i="31"/>
  <c r="OL245" i="31"/>
  <c r="OL244" i="31"/>
  <c r="OL243" i="31"/>
  <c r="OL242" i="31"/>
  <c r="OL241" i="31"/>
  <c r="OL240" i="31"/>
  <c r="OL239" i="31"/>
  <c r="OL238" i="31"/>
  <c r="OL237" i="31"/>
  <c r="OL236" i="31"/>
  <c r="OL235" i="31"/>
  <c r="OL234" i="31"/>
  <c r="OL233" i="31"/>
  <c r="OL232" i="31"/>
  <c r="OL231" i="31"/>
  <c r="OL230" i="31"/>
  <c r="OL229" i="31"/>
  <c r="OL228" i="31"/>
  <c r="OL227" i="31"/>
  <c r="OL226" i="31"/>
  <c r="OL225" i="31"/>
  <c r="OL224" i="31"/>
  <c r="OL223" i="31"/>
  <c r="OL222" i="31"/>
  <c r="OL221" i="31"/>
  <c r="OL220" i="31"/>
  <c r="OL219" i="31"/>
  <c r="OL218" i="31"/>
  <c r="OL217" i="31"/>
  <c r="OL216" i="31"/>
  <c r="OL215" i="31"/>
  <c r="OL214" i="31"/>
  <c r="OL213" i="31"/>
  <c r="OL212" i="31"/>
  <c r="OL211" i="31"/>
  <c r="OL210" i="31"/>
  <c r="OL209" i="31"/>
  <c r="OL208" i="31"/>
  <c r="OL207" i="31"/>
  <c r="OL206" i="31"/>
  <c r="OL205" i="31"/>
  <c r="OL204" i="31"/>
  <c r="OL203" i="31"/>
  <c r="OL202" i="31"/>
  <c r="OL201" i="31"/>
  <c r="OL200" i="31"/>
  <c r="OL199" i="31"/>
  <c r="OL198" i="31"/>
  <c r="OL197" i="31"/>
  <c r="OL196" i="31"/>
  <c r="OL195" i="31"/>
  <c r="OL194" i="31"/>
  <c r="OL193" i="31"/>
  <c r="OL192" i="31"/>
  <c r="OL191" i="31"/>
  <c r="OL190" i="31"/>
  <c r="OL189" i="31"/>
  <c r="OL188" i="31"/>
  <c r="OL187" i="31"/>
  <c r="OL186" i="31"/>
  <c r="OL185" i="31"/>
  <c r="OL184" i="31"/>
  <c r="OL183" i="31"/>
  <c r="OL182" i="31"/>
  <c r="OL181" i="31"/>
  <c r="OL180" i="31"/>
  <c r="OL179" i="31"/>
  <c r="OL178" i="31"/>
  <c r="OL177" i="31"/>
  <c r="OL176" i="31"/>
  <c r="OL175" i="31"/>
  <c r="OL174" i="31"/>
  <c r="OL173" i="31"/>
  <c r="OL172" i="31"/>
  <c r="OL171" i="31"/>
  <c r="OL170" i="31"/>
  <c r="OL169" i="31"/>
  <c r="OL168" i="31"/>
  <c r="OL167" i="31"/>
  <c r="OL166" i="31"/>
  <c r="OL165" i="31"/>
  <c r="OL164" i="31"/>
  <c r="OL163" i="31"/>
  <c r="OL162" i="31"/>
  <c r="OL161" i="31"/>
  <c r="OL160" i="31"/>
  <c r="OL159" i="31"/>
  <c r="OL158" i="31"/>
  <c r="OL157" i="31"/>
  <c r="OL156" i="31"/>
  <c r="OL155" i="31"/>
  <c r="OL154" i="31"/>
  <c r="OL153" i="31"/>
  <c r="OL152" i="31"/>
  <c r="OL151" i="31"/>
  <c r="OL150" i="31"/>
  <c r="OL149" i="31"/>
  <c r="OL148" i="31"/>
  <c r="OL147" i="31"/>
  <c r="OL146" i="31"/>
  <c r="OL145" i="31"/>
  <c r="OL144" i="31"/>
  <c r="OL143" i="31"/>
  <c r="OL142" i="31"/>
  <c r="OL141" i="31"/>
  <c r="OL140" i="31"/>
  <c r="OL139" i="31"/>
  <c r="OL138" i="31"/>
  <c r="OL137" i="31"/>
  <c r="OL136" i="31"/>
  <c r="OL135" i="31"/>
  <c r="OL134" i="31"/>
  <c r="OL133" i="31"/>
  <c r="OL132" i="31"/>
  <c r="OL131" i="31"/>
  <c r="OL130" i="31"/>
  <c r="OL129" i="31"/>
  <c r="OL128" i="31"/>
  <c r="OL127" i="31"/>
  <c r="OL126" i="31"/>
  <c r="OL125" i="31"/>
  <c r="OL124" i="31"/>
  <c r="OL123" i="31"/>
  <c r="OL122" i="31"/>
  <c r="OL121" i="31"/>
  <c r="OL120" i="31"/>
  <c r="OL119" i="31"/>
  <c r="OL118" i="31"/>
  <c r="OL117" i="31"/>
  <c r="OL116" i="31"/>
  <c r="OL115" i="31"/>
  <c r="OL114" i="31"/>
  <c r="OL113" i="31"/>
  <c r="OL112" i="31"/>
  <c r="OL111" i="31"/>
  <c r="OL110" i="31"/>
  <c r="OL109" i="31"/>
  <c r="OL108" i="31"/>
  <c r="OL107" i="31"/>
  <c r="OL106" i="31"/>
  <c r="OL105" i="31"/>
  <c r="OL104" i="31"/>
  <c r="OL103" i="31"/>
  <c r="OL102" i="31"/>
  <c r="OL101" i="31"/>
  <c r="OL100" i="31"/>
  <c r="OL99" i="31"/>
  <c r="OL98" i="31"/>
  <c r="OL97" i="31"/>
  <c r="OL96" i="31"/>
  <c r="OL95" i="31"/>
  <c r="OL94" i="31"/>
  <c r="OL93" i="31"/>
  <c r="OL92" i="31"/>
  <c r="OL91" i="31"/>
  <c r="OL90" i="31"/>
  <c r="OL89" i="31"/>
  <c r="OL88" i="31"/>
  <c r="OL87" i="31"/>
  <c r="OL86" i="31"/>
  <c r="OL85" i="31"/>
  <c r="OL84" i="31"/>
  <c r="OL83" i="31"/>
  <c r="OL82" i="31"/>
  <c r="OL81" i="31"/>
  <c r="OL80" i="31"/>
  <c r="OL79" i="31"/>
  <c r="OL78" i="31"/>
  <c r="OL77" i="31"/>
  <c r="OL76" i="31"/>
  <c r="OL75" i="31"/>
  <c r="OL74" i="31"/>
  <c r="OL73" i="31"/>
  <c r="OL72" i="31"/>
  <c r="OL71" i="31"/>
  <c r="OL70" i="31"/>
  <c r="OL69" i="31"/>
  <c r="OL68" i="31"/>
  <c r="OL67" i="31"/>
  <c r="OL66" i="31"/>
  <c r="OL65" i="31"/>
  <c r="C225" i="1" l="1"/>
  <c r="C221" i="1"/>
  <c r="C219" i="1"/>
  <c r="C226" i="1"/>
  <c r="C222" i="1"/>
  <c r="C228" i="1"/>
  <c r="C224" i="1"/>
  <c r="C220" i="1"/>
  <c r="C227" i="1"/>
  <c r="C223" i="1"/>
  <c r="C218" i="1"/>
  <c r="C211" i="1"/>
  <c r="C191" i="1"/>
  <c r="AR217" i="31"/>
  <c r="AR286" i="31"/>
  <c r="AR295" i="31"/>
  <c r="AR293" i="31"/>
  <c r="AR292" i="31"/>
  <c r="AR240" i="31"/>
  <c r="AR271" i="31"/>
  <c r="AR239" i="31"/>
  <c r="AR207" i="31"/>
  <c r="AR266" i="31"/>
  <c r="AR234" i="31"/>
  <c r="AR25" i="31"/>
  <c r="AR198" i="31"/>
  <c r="AR166" i="31"/>
  <c r="AR146" i="31"/>
  <c r="AR181" i="31"/>
  <c r="AR149" i="31"/>
  <c r="AR121" i="31"/>
  <c r="AR140" i="31"/>
  <c r="AR65" i="31"/>
  <c r="AR94" i="31"/>
  <c r="AR21" i="31"/>
  <c r="AR89" i="31"/>
  <c r="AR60" i="31"/>
  <c r="AR28" i="31"/>
  <c r="AR51" i="31"/>
  <c r="AR19" i="31"/>
  <c r="AR46" i="31"/>
  <c r="AR272" i="31"/>
  <c r="AR348" i="31"/>
  <c r="AR274" i="31"/>
  <c r="AR268" i="31"/>
  <c r="AR323" i="31"/>
  <c r="AR237" i="31"/>
  <c r="AR283" i="31"/>
  <c r="AR350" i="31"/>
  <c r="AR318" i="31"/>
  <c r="AR287" i="31"/>
  <c r="AR345" i="31"/>
  <c r="AR313" i="31"/>
  <c r="AR289" i="31"/>
  <c r="AR213" i="31"/>
  <c r="AR288" i="31"/>
  <c r="AR221" i="31"/>
  <c r="AR241" i="31"/>
  <c r="AR232" i="31"/>
  <c r="AR199" i="31"/>
  <c r="AR267" i="31"/>
  <c r="AR235" i="31"/>
  <c r="AR203" i="31"/>
  <c r="AR262" i="31"/>
  <c r="AR230" i="31"/>
  <c r="AR167" i="31"/>
  <c r="AR194" i="31"/>
  <c r="AR162" i="31"/>
  <c r="AR134" i="31"/>
  <c r="AR177" i="31"/>
  <c r="AR138" i="31"/>
  <c r="AR111" i="31"/>
  <c r="AR136" i="31"/>
  <c r="AR61" i="31"/>
  <c r="AR123" i="31"/>
  <c r="AR99" i="31"/>
  <c r="AR68" i="31"/>
  <c r="AR90" i="31"/>
  <c r="AR117" i="31"/>
  <c r="AR85" i="31"/>
  <c r="AR56" i="31"/>
  <c r="AR24" i="31"/>
  <c r="AR47" i="31"/>
  <c r="AR74" i="31"/>
  <c r="AR42" i="31"/>
  <c r="AR187" i="31"/>
  <c r="AR278" i="31"/>
  <c r="AR332" i="31"/>
  <c r="AR355" i="31"/>
  <c r="AR319" i="31"/>
  <c r="AR209" i="31"/>
  <c r="AR196" i="31"/>
  <c r="AR346" i="31"/>
  <c r="AR314" i="31"/>
  <c r="AR291" i="31"/>
  <c r="AR341" i="31"/>
  <c r="AR303" i="31"/>
  <c r="AR285" i="31"/>
  <c r="AR195" i="31"/>
  <c r="AR284" i="31"/>
  <c r="AR225" i="31"/>
  <c r="AR229" i="31"/>
  <c r="AR228" i="31"/>
  <c r="AR164" i="31"/>
  <c r="AR263" i="31"/>
  <c r="AR231" i="31"/>
  <c r="AR192" i="31"/>
  <c r="AR258" i="31"/>
  <c r="AR226" i="31"/>
  <c r="AR163" i="31"/>
  <c r="AR190" i="31"/>
  <c r="AR76" i="31"/>
  <c r="AR173" i="31"/>
  <c r="AR145" i="31"/>
  <c r="AR103" i="31"/>
  <c r="AR132" i="31"/>
  <c r="AR29" i="31"/>
  <c r="AR119" i="31"/>
  <c r="AR95" i="31"/>
  <c r="AR118" i="31"/>
  <c r="AR86" i="31"/>
  <c r="AR113" i="31"/>
  <c r="AR81" i="31"/>
  <c r="AR52" i="31"/>
  <c r="AR20" i="31"/>
  <c r="AR43" i="31"/>
  <c r="AR70" i="31"/>
  <c r="AR38" i="31"/>
  <c r="AR309" i="31"/>
  <c r="AR322" i="31"/>
  <c r="AR245" i="31"/>
  <c r="AR204" i="31"/>
  <c r="AR127" i="31"/>
  <c r="AR328" i="31"/>
  <c r="AR315" i="31"/>
  <c r="AR342" i="31"/>
  <c r="AR337" i="31"/>
  <c r="AR147" i="31"/>
  <c r="AR224" i="31"/>
  <c r="AR227" i="31"/>
  <c r="AR122" i="31"/>
  <c r="AR130" i="31"/>
  <c r="AR141" i="31"/>
  <c r="AR84" i="31"/>
  <c r="AR82" i="31"/>
  <c r="AR71" i="31"/>
  <c r="AR34" i="31"/>
  <c r="AR356" i="31"/>
  <c r="AR343" i="31"/>
  <c r="AR370" i="31"/>
  <c r="AR365" i="31"/>
  <c r="AR277" i="31"/>
  <c r="AR279" i="31"/>
  <c r="AR255" i="31"/>
  <c r="AR250" i="31"/>
  <c r="AR100" i="31"/>
  <c r="AR165" i="31"/>
  <c r="AR124" i="31"/>
  <c r="AR110" i="31"/>
  <c r="AR53" i="31"/>
  <c r="AR35" i="31"/>
  <c r="AR205" i="31"/>
  <c r="AR316" i="31"/>
  <c r="AR336" i="31"/>
  <c r="AR339" i="31"/>
  <c r="AR310" i="31"/>
  <c r="AR351" i="31"/>
  <c r="AR366" i="31"/>
  <c r="AR334" i="31"/>
  <c r="AR96" i="31"/>
  <c r="AR361" i="31"/>
  <c r="AR329" i="31"/>
  <c r="AR244" i="31"/>
  <c r="AR273" i="31"/>
  <c r="AR304" i="31"/>
  <c r="AR264" i="31"/>
  <c r="AR275" i="31"/>
  <c r="AR180" i="31"/>
  <c r="AR216" i="31"/>
  <c r="AR183" i="31"/>
  <c r="AR251" i="31"/>
  <c r="AR219" i="31"/>
  <c r="AR155" i="31"/>
  <c r="AR246" i="31"/>
  <c r="AR214" i="31"/>
  <c r="AR126" i="31"/>
  <c r="AR178" i="31"/>
  <c r="AR41" i="31"/>
  <c r="AR193" i="31"/>
  <c r="AR161" i="31"/>
  <c r="AR133" i="31"/>
  <c r="AR152" i="31"/>
  <c r="AR120" i="31"/>
  <c r="AR139" i="31"/>
  <c r="AR88" i="31"/>
  <c r="AR83" i="31"/>
  <c r="AR106" i="31"/>
  <c r="AR45" i="31"/>
  <c r="AR101" i="31"/>
  <c r="AR57" i="31"/>
  <c r="AR40" i="31"/>
  <c r="AR63" i="31"/>
  <c r="AR31" i="31"/>
  <c r="AR58" i="31"/>
  <c r="AR26" i="31"/>
  <c r="AR252" i="31"/>
  <c r="AR327" i="31"/>
  <c r="AR354" i="31"/>
  <c r="AR317" i="31"/>
  <c r="AR249" i="31"/>
  <c r="AR80" i="31"/>
  <c r="AR340" i="31"/>
  <c r="AR363" i="31"/>
  <c r="AR302" i="31"/>
  <c r="AR290" i="31"/>
  <c r="AR280" i="31"/>
  <c r="AR200" i="31"/>
  <c r="AR184" i="31"/>
  <c r="AR222" i="31"/>
  <c r="AR201" i="31"/>
  <c r="AR160" i="31"/>
  <c r="AR91" i="31"/>
  <c r="AR109" i="31"/>
  <c r="AR48" i="31"/>
  <c r="AR66" i="31"/>
  <c r="AR324" i="31"/>
  <c r="AR359" i="31"/>
  <c r="AR179" i="31"/>
  <c r="AR282" i="31"/>
  <c r="AR276" i="31"/>
  <c r="AR220" i="31"/>
  <c r="AR176" i="31"/>
  <c r="AR182" i="31"/>
  <c r="AR137" i="31"/>
  <c r="AR143" i="31"/>
  <c r="AR87" i="31"/>
  <c r="AR105" i="31"/>
  <c r="AR67" i="31"/>
  <c r="AR62" i="31"/>
  <c r="AR368" i="31"/>
  <c r="AR312" i="31"/>
  <c r="AR320" i="31"/>
  <c r="AR335" i="31"/>
  <c r="AR305" i="31"/>
  <c r="AR306" i="31"/>
  <c r="AR362" i="31"/>
  <c r="AR330" i="31"/>
  <c r="AR307" i="31"/>
  <c r="AR357" i="31"/>
  <c r="AR325" i="31"/>
  <c r="AR188" i="31"/>
  <c r="AR261" i="31"/>
  <c r="AR300" i="31"/>
  <c r="AR256" i="31"/>
  <c r="AR265" i="31"/>
  <c r="AR171" i="31"/>
  <c r="AR212" i="31"/>
  <c r="AR175" i="31"/>
  <c r="AR247" i="31"/>
  <c r="AR215" i="31"/>
  <c r="AR72" i="31"/>
  <c r="AR242" i="31"/>
  <c r="AR210" i="31"/>
  <c r="AR108" i="31"/>
  <c r="AR174" i="31"/>
  <c r="AR189" i="31"/>
  <c r="AR159" i="31"/>
  <c r="AR129" i="31"/>
  <c r="AR148" i="31"/>
  <c r="AR112" i="31"/>
  <c r="AR135" i="31"/>
  <c r="AR92" i="31"/>
  <c r="AR79" i="31"/>
  <c r="AR102" i="31"/>
  <c r="AR49" i="31"/>
  <c r="AR97" i="31"/>
  <c r="AR33" i="31"/>
  <c r="AR36" i="31"/>
  <c r="AR59" i="31"/>
  <c r="AR27" i="31"/>
  <c r="AR54" i="31"/>
  <c r="AR22" i="31"/>
  <c r="AR352" i="31"/>
  <c r="AR150" i="31"/>
  <c r="AR349" i="31"/>
  <c r="AR236" i="31"/>
  <c r="AR73" i="31"/>
  <c r="AR344" i="31"/>
  <c r="AR347" i="31"/>
  <c r="AR367" i="31"/>
  <c r="AR369" i="31"/>
  <c r="AR281" i="31"/>
  <c r="AR142" i="31"/>
  <c r="AR172" i="31"/>
  <c r="AR259" i="31"/>
  <c r="AR254" i="31"/>
  <c r="AR186" i="31"/>
  <c r="AR169" i="31"/>
  <c r="AR128" i="31"/>
  <c r="AR115" i="31"/>
  <c r="AR114" i="31"/>
  <c r="AR77" i="31"/>
  <c r="AR39" i="31"/>
  <c r="AR364" i="31"/>
  <c r="AR311" i="31"/>
  <c r="AR338" i="31"/>
  <c r="AR333" i="31"/>
  <c r="AR308" i="31"/>
  <c r="AR233" i="31"/>
  <c r="AR191" i="31"/>
  <c r="AR223" i="31"/>
  <c r="AR218" i="31"/>
  <c r="AR116" i="31"/>
  <c r="AR197" i="31"/>
  <c r="AR156" i="31"/>
  <c r="AR107" i="31"/>
  <c r="AR78" i="31"/>
  <c r="AR44" i="31"/>
  <c r="AR30" i="31"/>
  <c r="AR269" i="31"/>
  <c r="AR299" i="31"/>
  <c r="AR360" i="31"/>
  <c r="AR260" i="31"/>
  <c r="AR331" i="31"/>
  <c r="AR294" i="31"/>
  <c r="AR301" i="31"/>
  <c r="AR358" i="31"/>
  <c r="AR326" i="31"/>
  <c r="AR298" i="31"/>
  <c r="AR353" i="31"/>
  <c r="AR321" i="31"/>
  <c r="AR297" i="31"/>
  <c r="AR253" i="31"/>
  <c r="AR296" i="31"/>
  <c r="AR248" i="31"/>
  <c r="AR257" i="31"/>
  <c r="AR151" i="31"/>
  <c r="AR208" i="31"/>
  <c r="AR168" i="31"/>
  <c r="AR243" i="31"/>
  <c r="AR211" i="31"/>
  <c r="AR270" i="31"/>
  <c r="AR238" i="31"/>
  <c r="AR206" i="31"/>
  <c r="AR202" i="31"/>
  <c r="AR170" i="31"/>
  <c r="AR153" i="31"/>
  <c r="AR185" i="31"/>
  <c r="AR154" i="31"/>
  <c r="AR125" i="31"/>
  <c r="AR144" i="31"/>
  <c r="AR104" i="31"/>
  <c r="AR131" i="31"/>
  <c r="AR69" i="31"/>
  <c r="AR75" i="31"/>
  <c r="AR98" i="31"/>
  <c r="AR37" i="31"/>
  <c r="AR93" i="31"/>
  <c r="AR64" i="31"/>
  <c r="AR32" i="31"/>
  <c r="AR55" i="31"/>
  <c r="AR23" i="31"/>
  <c r="AR50" i="31"/>
  <c r="OD6" i="31" l="1"/>
  <c r="NB6" i="31"/>
  <c r="OH6" i="31" l="1"/>
  <c r="DO65" i="31" l="1"/>
  <c r="DO66" i="31"/>
  <c r="DO67" i="31"/>
  <c r="DO68" i="31"/>
  <c r="DO69" i="31"/>
  <c r="DO70" i="31"/>
  <c r="DO71" i="31"/>
  <c r="DO72" i="31"/>
  <c r="DO73" i="31"/>
  <c r="DO74" i="31"/>
  <c r="DO75" i="31"/>
  <c r="DO76" i="31"/>
  <c r="DO77" i="31"/>
  <c r="DO78" i="31"/>
  <c r="DO79" i="31"/>
  <c r="DO80" i="31"/>
  <c r="DO81" i="31"/>
  <c r="DO82" i="31"/>
  <c r="DO83" i="31"/>
  <c r="DO84" i="31"/>
  <c r="DO85" i="31"/>
  <c r="DO86" i="31"/>
  <c r="DO87" i="31"/>
  <c r="DO88" i="31"/>
  <c r="DO89" i="31"/>
  <c r="DO90" i="31"/>
  <c r="DO91" i="31"/>
  <c r="DO92" i="31"/>
  <c r="DO93" i="31"/>
  <c r="DO94" i="31"/>
  <c r="DO95" i="31"/>
  <c r="DO96" i="31"/>
  <c r="DO97" i="31"/>
  <c r="DO98" i="31"/>
  <c r="DO99" i="31"/>
  <c r="DO100" i="31"/>
  <c r="DO101" i="31"/>
  <c r="DO102" i="31"/>
  <c r="DO103" i="31"/>
  <c r="DO104" i="31"/>
  <c r="DO105" i="31"/>
  <c r="DO106" i="31"/>
  <c r="DO107" i="31"/>
  <c r="DO108" i="31"/>
  <c r="DO109" i="31"/>
  <c r="DO110" i="31"/>
  <c r="DO111" i="31"/>
  <c r="DO112" i="31"/>
  <c r="DO113" i="31"/>
  <c r="DO114" i="31"/>
  <c r="DO115" i="31"/>
  <c r="DO116" i="31"/>
  <c r="DO117" i="31"/>
  <c r="DO118" i="31"/>
  <c r="DO119" i="31"/>
  <c r="DO120" i="31"/>
  <c r="DO121" i="31"/>
  <c r="DO122" i="31"/>
  <c r="DO123" i="31"/>
  <c r="DO124" i="31"/>
  <c r="DO125" i="31"/>
  <c r="DO126" i="31"/>
  <c r="DO127" i="31"/>
  <c r="DO128" i="31"/>
  <c r="DO129" i="31"/>
  <c r="DO130" i="31"/>
  <c r="DO131" i="31"/>
  <c r="DO132" i="31"/>
  <c r="DO133" i="31"/>
  <c r="DO134" i="31"/>
  <c r="DO135" i="31"/>
  <c r="DO136" i="31"/>
  <c r="DO137" i="31"/>
  <c r="DO138" i="31"/>
  <c r="DO139" i="31"/>
  <c r="DO140" i="31"/>
  <c r="DO141" i="31"/>
  <c r="DO142" i="31"/>
  <c r="DO143" i="31"/>
  <c r="DO144" i="31"/>
  <c r="DO145" i="31"/>
  <c r="DO146" i="31"/>
  <c r="DO147" i="31"/>
  <c r="DO148" i="31"/>
  <c r="DO149" i="31"/>
  <c r="DO150" i="31"/>
  <c r="DO151" i="31"/>
  <c r="DO152" i="31"/>
  <c r="DO153" i="31"/>
  <c r="DO154" i="31"/>
  <c r="DO155" i="31"/>
  <c r="DO156" i="31"/>
  <c r="DO157" i="31"/>
  <c r="DO158" i="31"/>
  <c r="DO159" i="31"/>
  <c r="DO160" i="31"/>
  <c r="DO161" i="31"/>
  <c r="DO162" i="31"/>
  <c r="DO163" i="31"/>
  <c r="DO164" i="31"/>
  <c r="DO165" i="31"/>
  <c r="DO166" i="31"/>
  <c r="DO167" i="31"/>
  <c r="DO168" i="31"/>
  <c r="DO169" i="31"/>
  <c r="DO170" i="31"/>
  <c r="DO171" i="31"/>
  <c r="DO172" i="31"/>
  <c r="DO173" i="31"/>
  <c r="DO174" i="31"/>
  <c r="DO175" i="31"/>
  <c r="DO176" i="31"/>
  <c r="DO177" i="31"/>
  <c r="DO178" i="31"/>
  <c r="DO179" i="31"/>
  <c r="DO180" i="31"/>
  <c r="DO181" i="31"/>
  <c r="DO182" i="31"/>
  <c r="DO183" i="31"/>
  <c r="DO184" i="31"/>
  <c r="DO185" i="31"/>
  <c r="DO186" i="31"/>
  <c r="DO187" i="31"/>
  <c r="DO188" i="31"/>
  <c r="DO189" i="31"/>
  <c r="DO190" i="31"/>
  <c r="DO191" i="31"/>
  <c r="DO192" i="31"/>
  <c r="DO193" i="31"/>
  <c r="DO194" i="31"/>
  <c r="DO195" i="31"/>
  <c r="DO196" i="31"/>
  <c r="DO197" i="31"/>
  <c r="DO198" i="31"/>
  <c r="DO199" i="31"/>
  <c r="DO200" i="31"/>
  <c r="DO201" i="31"/>
  <c r="DO202" i="31"/>
  <c r="DO203" i="31"/>
  <c r="DO204" i="31"/>
  <c r="DO205" i="31"/>
  <c r="DO206" i="31"/>
  <c r="DO207" i="31"/>
  <c r="DO208" i="31"/>
  <c r="DO209" i="31"/>
  <c r="DO210" i="31"/>
  <c r="DO211" i="31"/>
  <c r="DO212" i="31"/>
  <c r="DO213" i="31"/>
  <c r="DO214" i="31"/>
  <c r="DO215" i="31"/>
  <c r="DO216" i="31"/>
  <c r="DO217" i="31"/>
  <c r="DO218" i="31"/>
  <c r="DO219" i="31"/>
  <c r="DO220" i="31"/>
  <c r="DO221" i="31"/>
  <c r="DO222" i="31"/>
  <c r="DO223" i="31"/>
  <c r="DO224" i="31"/>
  <c r="DO225" i="31"/>
  <c r="DO226" i="31"/>
  <c r="DO227" i="31"/>
  <c r="DO228" i="31"/>
  <c r="DO229" i="31"/>
  <c r="DO230" i="31"/>
  <c r="DO231" i="31"/>
  <c r="DO232" i="31"/>
  <c r="DO233" i="31"/>
  <c r="DO234" i="31"/>
  <c r="DO235" i="31"/>
  <c r="DO236" i="31"/>
  <c r="DO237" i="31"/>
  <c r="DO238" i="31"/>
  <c r="DO239" i="31"/>
  <c r="DO240" i="31"/>
  <c r="DO241" i="31"/>
  <c r="DO242" i="31"/>
  <c r="DO243" i="31"/>
  <c r="DO244" i="31"/>
  <c r="DO245" i="31"/>
  <c r="DO246" i="31"/>
  <c r="DO247" i="31"/>
  <c r="DO248" i="31"/>
  <c r="DO249" i="31"/>
  <c r="DO250" i="31"/>
  <c r="DO251" i="31"/>
  <c r="DO252" i="31"/>
  <c r="DO253" i="31"/>
  <c r="DO254" i="31"/>
  <c r="DO255" i="31"/>
  <c r="DO256" i="31"/>
  <c r="DO257" i="31"/>
  <c r="DO258" i="31"/>
  <c r="DO259" i="31"/>
  <c r="DO260" i="31"/>
  <c r="DO261" i="31"/>
  <c r="DO262" i="31"/>
  <c r="DO263" i="31"/>
  <c r="DO264" i="31"/>
  <c r="DO265" i="31"/>
  <c r="DO266" i="31"/>
  <c r="DO267" i="31"/>
  <c r="DO268" i="31"/>
  <c r="DO269" i="31"/>
  <c r="DO270" i="31"/>
  <c r="DO271" i="31"/>
  <c r="DO272" i="31"/>
  <c r="DO273" i="31"/>
  <c r="DO274" i="31"/>
  <c r="DO275" i="31"/>
  <c r="DO276" i="31"/>
  <c r="DO277" i="31"/>
  <c r="DO278" i="31"/>
  <c r="DO279" i="31"/>
  <c r="DO280" i="31"/>
  <c r="DO281" i="31"/>
  <c r="DO282" i="31"/>
  <c r="DO283" i="31"/>
  <c r="DO284" i="31"/>
  <c r="DO285" i="31"/>
  <c r="DO286" i="31"/>
  <c r="DO287" i="31"/>
  <c r="DO288" i="31"/>
  <c r="DO289" i="31"/>
  <c r="DO290" i="31"/>
  <c r="DO291" i="31"/>
  <c r="DO292" i="31"/>
  <c r="DO293" i="31"/>
  <c r="DO294" i="31"/>
  <c r="DO295" i="31"/>
  <c r="DO296" i="31"/>
  <c r="DO297" i="31"/>
  <c r="DO298" i="31"/>
  <c r="DO299" i="31"/>
  <c r="DO300" i="31"/>
  <c r="DO301" i="31"/>
  <c r="DO302" i="31"/>
  <c r="DO303" i="31"/>
  <c r="DO304" i="31"/>
  <c r="DO305" i="31"/>
  <c r="DO306" i="31"/>
  <c r="DO307" i="31"/>
  <c r="DO308" i="31"/>
  <c r="DO309" i="31"/>
  <c r="DO310" i="31"/>
  <c r="DO311" i="31"/>
  <c r="DO312" i="31"/>
  <c r="DO313" i="31"/>
  <c r="DO314" i="31"/>
  <c r="DO315" i="31"/>
  <c r="DO316" i="31"/>
  <c r="DO317" i="31"/>
  <c r="DO318" i="31"/>
  <c r="DO319" i="31"/>
  <c r="DO320" i="31"/>
  <c r="DO321" i="31"/>
  <c r="DO322" i="31"/>
  <c r="DO323" i="31"/>
  <c r="DO324" i="31"/>
  <c r="DO325" i="31"/>
  <c r="DO326" i="31"/>
  <c r="DO327" i="31"/>
  <c r="DO328" i="31"/>
  <c r="DO329" i="31"/>
  <c r="DO330" i="31"/>
  <c r="DO331" i="31"/>
  <c r="DO332" i="31"/>
  <c r="DO333" i="31"/>
  <c r="DO334" i="31"/>
  <c r="DO335" i="31"/>
  <c r="DO336" i="31"/>
  <c r="DO337" i="31"/>
  <c r="DO338" i="31"/>
  <c r="DO339" i="31"/>
  <c r="DO340" i="31"/>
  <c r="DO341" i="31"/>
  <c r="DO342" i="31"/>
  <c r="DO343" i="31"/>
  <c r="DO344" i="31"/>
  <c r="DO345" i="31"/>
  <c r="DO346" i="31"/>
  <c r="DO347" i="31"/>
  <c r="DO348" i="31"/>
  <c r="DO349" i="31"/>
  <c r="DO350" i="31"/>
  <c r="DO351" i="31"/>
  <c r="DO352" i="31"/>
  <c r="DO353" i="31"/>
  <c r="DO354" i="31"/>
  <c r="DO355" i="31"/>
  <c r="DO356" i="31"/>
  <c r="DO357" i="31"/>
  <c r="DO358" i="31"/>
  <c r="DO359" i="31"/>
  <c r="DO360" i="31"/>
  <c r="DO361" i="31"/>
  <c r="DO362" i="31"/>
  <c r="DO363" i="31"/>
  <c r="DO364" i="31"/>
  <c r="DO365" i="31"/>
  <c r="DO366" i="31"/>
  <c r="DO367" i="31"/>
  <c r="DO368" i="31"/>
  <c r="DO369" i="31"/>
  <c r="DO370" i="31"/>
  <c r="IJ65" i="31"/>
  <c r="IJ66" i="31"/>
  <c r="IJ67" i="31"/>
  <c r="IJ68" i="31"/>
  <c r="IJ69" i="31"/>
  <c r="IJ70" i="31"/>
  <c r="IJ71" i="31"/>
  <c r="IJ72" i="31"/>
  <c r="IJ73" i="31"/>
  <c r="IJ74" i="31"/>
  <c r="IJ75" i="31"/>
  <c r="IJ76" i="31"/>
  <c r="IJ77" i="31"/>
  <c r="IJ78" i="31"/>
  <c r="IJ79" i="31"/>
  <c r="IJ80" i="31"/>
  <c r="IJ81" i="31"/>
  <c r="IJ82" i="31"/>
  <c r="IJ83" i="31"/>
  <c r="IJ84" i="31"/>
  <c r="IJ85" i="31"/>
  <c r="IJ86" i="31"/>
  <c r="IJ87" i="31"/>
  <c r="IJ88" i="31"/>
  <c r="IJ89" i="31"/>
  <c r="IJ90" i="31"/>
  <c r="IJ91" i="31"/>
  <c r="IJ92" i="31"/>
  <c r="IJ93" i="31"/>
  <c r="IJ94" i="31"/>
  <c r="IJ95" i="31"/>
  <c r="IJ96" i="31"/>
  <c r="IJ97" i="31"/>
  <c r="IJ98" i="31"/>
  <c r="IJ99" i="31"/>
  <c r="IJ100" i="31"/>
  <c r="IJ101" i="31"/>
  <c r="IJ102" i="31"/>
  <c r="IJ103" i="31"/>
  <c r="IJ104" i="31"/>
  <c r="IJ105" i="31"/>
  <c r="IJ106" i="31"/>
  <c r="IJ107" i="31"/>
  <c r="IJ108" i="31"/>
  <c r="IJ109" i="31"/>
  <c r="IJ110" i="31"/>
  <c r="IJ111" i="31"/>
  <c r="IJ112" i="31"/>
  <c r="IJ113" i="31"/>
  <c r="IJ114" i="31"/>
  <c r="IJ115" i="31"/>
  <c r="IJ116" i="31"/>
  <c r="IJ117" i="31"/>
  <c r="IJ118" i="31"/>
  <c r="IJ119" i="31"/>
  <c r="IJ120" i="31"/>
  <c r="IJ121" i="31"/>
  <c r="IJ122" i="31"/>
  <c r="IJ123" i="31"/>
  <c r="IJ124" i="31"/>
  <c r="IJ125" i="31"/>
  <c r="IJ126" i="31"/>
  <c r="IJ127" i="31"/>
  <c r="IJ128" i="31"/>
  <c r="IJ129" i="31"/>
  <c r="IJ130" i="31"/>
  <c r="IJ131" i="31"/>
  <c r="IJ132" i="31"/>
  <c r="IJ133" i="31"/>
  <c r="IJ134" i="31"/>
  <c r="IJ135" i="31"/>
  <c r="IJ136" i="31"/>
  <c r="IJ137" i="31"/>
  <c r="IJ138" i="31"/>
  <c r="IJ139" i="31"/>
  <c r="IJ140" i="31"/>
  <c r="IJ141" i="31"/>
  <c r="IJ142" i="31"/>
  <c r="IJ143" i="31"/>
  <c r="IJ144" i="31"/>
  <c r="IJ145" i="31"/>
  <c r="IJ146" i="31"/>
  <c r="IJ147" i="31"/>
  <c r="IJ148" i="31"/>
  <c r="IJ149" i="31"/>
  <c r="IJ150" i="31"/>
  <c r="IJ151" i="31"/>
  <c r="IJ152" i="31"/>
  <c r="IJ153" i="31"/>
  <c r="IJ154" i="31"/>
  <c r="IJ155" i="31"/>
  <c r="IJ156" i="31"/>
  <c r="IJ157" i="31"/>
  <c r="IJ158" i="31"/>
  <c r="IJ159" i="31"/>
  <c r="IJ160" i="31"/>
  <c r="IJ161" i="31"/>
  <c r="IJ162" i="31"/>
  <c r="IJ163" i="31"/>
  <c r="IJ164" i="31"/>
  <c r="IJ165" i="31"/>
  <c r="IJ166" i="31"/>
  <c r="IJ167" i="31"/>
  <c r="IJ168" i="31"/>
  <c r="IJ169" i="31"/>
  <c r="IJ170" i="31"/>
  <c r="IJ171" i="31"/>
  <c r="IJ172" i="31"/>
  <c r="IJ173" i="31"/>
  <c r="IJ174" i="31"/>
  <c r="IJ175" i="31"/>
  <c r="IJ176" i="31"/>
  <c r="IJ177" i="31"/>
  <c r="IJ178" i="31"/>
  <c r="IJ179" i="31"/>
  <c r="IJ180" i="31"/>
  <c r="IJ181" i="31"/>
  <c r="IJ182" i="31"/>
  <c r="IJ183" i="31"/>
  <c r="IJ184" i="31"/>
  <c r="IJ185" i="31"/>
  <c r="IJ186" i="31"/>
  <c r="IJ187" i="31"/>
  <c r="IJ188" i="31"/>
  <c r="IJ189" i="31"/>
  <c r="IJ190" i="31"/>
  <c r="IJ191" i="31"/>
  <c r="IJ192" i="31"/>
  <c r="IJ193" i="31"/>
  <c r="IJ194" i="31"/>
  <c r="IJ195" i="31"/>
  <c r="IJ196" i="31"/>
  <c r="IJ197" i="31"/>
  <c r="IJ198" i="31"/>
  <c r="IJ199" i="31"/>
  <c r="IJ200" i="31"/>
  <c r="IJ201" i="31"/>
  <c r="IJ202" i="31"/>
  <c r="IJ203" i="31"/>
  <c r="IJ204" i="31"/>
  <c r="IJ205" i="31"/>
  <c r="IJ206" i="31"/>
  <c r="IJ207" i="31"/>
  <c r="IJ208" i="31"/>
  <c r="IJ209" i="31"/>
  <c r="IJ210" i="31"/>
  <c r="IJ211" i="31"/>
  <c r="IJ212" i="31"/>
  <c r="IJ213" i="31"/>
  <c r="IJ214" i="31"/>
  <c r="IJ215" i="31"/>
  <c r="IJ216" i="31"/>
  <c r="IJ217" i="31"/>
  <c r="IJ218" i="31"/>
  <c r="IJ219" i="31"/>
  <c r="IJ220" i="31"/>
  <c r="IJ221" i="31"/>
  <c r="IJ222" i="31"/>
  <c r="IJ223" i="31"/>
  <c r="IJ224" i="31"/>
  <c r="IJ225" i="31"/>
  <c r="IJ226" i="31"/>
  <c r="IJ227" i="31"/>
  <c r="IJ228" i="31"/>
  <c r="IJ229" i="31"/>
  <c r="IJ230" i="31"/>
  <c r="IJ231" i="31"/>
  <c r="IJ232" i="31"/>
  <c r="IJ233" i="31"/>
  <c r="IJ234" i="31"/>
  <c r="IJ235" i="31"/>
  <c r="IJ236" i="31"/>
  <c r="IJ237" i="31"/>
  <c r="IJ238" i="31"/>
  <c r="IJ239" i="31"/>
  <c r="IJ240" i="31"/>
  <c r="IJ241" i="31"/>
  <c r="IJ242" i="31"/>
  <c r="IJ243" i="31"/>
  <c r="IJ244" i="31"/>
  <c r="IJ245" i="31"/>
  <c r="IJ246" i="31"/>
  <c r="IJ247" i="31"/>
  <c r="IJ248" i="31"/>
  <c r="IJ249" i="31"/>
  <c r="IJ250" i="31"/>
  <c r="IJ251" i="31"/>
  <c r="IJ252" i="31"/>
  <c r="IJ253" i="31"/>
  <c r="IJ254" i="31"/>
  <c r="IJ255" i="31"/>
  <c r="IJ256" i="31"/>
  <c r="IJ257" i="31"/>
  <c r="IJ258" i="31"/>
  <c r="IJ259" i="31"/>
  <c r="IJ260" i="31"/>
  <c r="IJ261" i="31"/>
  <c r="IJ262" i="31"/>
  <c r="IJ263" i="31"/>
  <c r="IJ264" i="31"/>
  <c r="IJ265" i="31"/>
  <c r="IJ266" i="31"/>
  <c r="IJ267" i="31"/>
  <c r="IJ268" i="31"/>
  <c r="IJ269" i="31"/>
  <c r="IJ270" i="31"/>
  <c r="IJ271" i="31"/>
  <c r="IJ272" i="31"/>
  <c r="IJ273" i="31"/>
  <c r="IJ274" i="31"/>
  <c r="IJ275" i="31"/>
  <c r="IJ276" i="31"/>
  <c r="IJ277" i="31"/>
  <c r="IJ278" i="31"/>
  <c r="IJ279" i="31"/>
  <c r="IJ280" i="31"/>
  <c r="IJ281" i="31"/>
  <c r="IJ282" i="31"/>
  <c r="IJ283" i="31"/>
  <c r="IJ284" i="31"/>
  <c r="IJ285" i="31"/>
  <c r="IJ286" i="31"/>
  <c r="IJ287" i="31"/>
  <c r="IJ288" i="31"/>
  <c r="IJ289" i="31"/>
  <c r="IJ290" i="31"/>
  <c r="IJ291" i="31"/>
  <c r="IJ292" i="31"/>
  <c r="IJ293" i="31"/>
  <c r="IJ294" i="31"/>
  <c r="IJ295" i="31"/>
  <c r="IJ296" i="31"/>
  <c r="IJ297" i="31"/>
  <c r="IJ298" i="31"/>
  <c r="IJ299" i="31"/>
  <c r="IJ300" i="31"/>
  <c r="IJ301" i="31"/>
  <c r="IJ302" i="31"/>
  <c r="IJ303" i="31"/>
  <c r="IJ304" i="31"/>
  <c r="IJ305" i="31"/>
  <c r="IJ306" i="31"/>
  <c r="IJ307" i="31"/>
  <c r="IJ308" i="31"/>
  <c r="IJ309" i="31"/>
  <c r="IJ310" i="31"/>
  <c r="IJ311" i="31"/>
  <c r="IJ312" i="31"/>
  <c r="IJ313" i="31"/>
  <c r="IJ314" i="31"/>
  <c r="IJ315" i="31"/>
  <c r="IJ316" i="31"/>
  <c r="IJ317" i="31"/>
  <c r="IJ318" i="31"/>
  <c r="IJ319" i="31"/>
  <c r="IJ320" i="31"/>
  <c r="IJ321" i="31"/>
  <c r="IJ322" i="31"/>
  <c r="IJ323" i="31"/>
  <c r="IJ324" i="31"/>
  <c r="IJ325" i="31"/>
  <c r="IJ326" i="31"/>
  <c r="IJ327" i="31"/>
  <c r="IJ328" i="31"/>
  <c r="IJ329" i="31"/>
  <c r="IJ330" i="31"/>
  <c r="IJ331" i="31"/>
  <c r="IJ332" i="31"/>
  <c r="IJ333" i="31"/>
  <c r="IJ334" i="31"/>
  <c r="IJ335" i="31"/>
  <c r="IJ336" i="31"/>
  <c r="IJ337" i="31"/>
  <c r="IJ338" i="31"/>
  <c r="IJ339" i="31"/>
  <c r="IJ340" i="31"/>
  <c r="IJ341" i="31"/>
  <c r="IJ342" i="31"/>
  <c r="IJ343" i="31"/>
  <c r="IJ344" i="31"/>
  <c r="IJ345" i="31"/>
  <c r="IJ346" i="31"/>
  <c r="IJ347" i="31"/>
  <c r="IJ348" i="31"/>
  <c r="IJ349" i="31"/>
  <c r="IJ350" i="31"/>
  <c r="IJ351" i="31"/>
  <c r="IJ352" i="31"/>
  <c r="IJ353" i="31"/>
  <c r="IJ354" i="31"/>
  <c r="IJ355" i="31"/>
  <c r="IJ356" i="31"/>
  <c r="IJ357" i="31"/>
  <c r="IJ358" i="31"/>
  <c r="IJ359" i="31"/>
  <c r="IJ360" i="31"/>
  <c r="IJ361" i="31"/>
  <c r="IJ362" i="31"/>
  <c r="IJ363" i="31"/>
  <c r="IJ364" i="31"/>
  <c r="IJ365" i="31"/>
  <c r="IJ366" i="31"/>
  <c r="IJ367" i="31"/>
  <c r="IJ368" i="31"/>
  <c r="IJ369" i="31"/>
  <c r="IJ370" i="31"/>
  <c r="NO65" i="31" l="1"/>
  <c r="NO66" i="31"/>
  <c r="NO67" i="31"/>
  <c r="NO68" i="31"/>
  <c r="NO69" i="31"/>
  <c r="NO70" i="31"/>
  <c r="NO71" i="31"/>
  <c r="NO72" i="31"/>
  <c r="NO73" i="31"/>
  <c r="NO74" i="31"/>
  <c r="NO75" i="31"/>
  <c r="NO76" i="31"/>
  <c r="NO77" i="31"/>
  <c r="NO78" i="31"/>
  <c r="NO79" i="31"/>
  <c r="NO80" i="31"/>
  <c r="NO81" i="31"/>
  <c r="NO82" i="31"/>
  <c r="NO83" i="31"/>
  <c r="NO84" i="31"/>
  <c r="NO85" i="31"/>
  <c r="NO86" i="31"/>
  <c r="NO87" i="31"/>
  <c r="NO88" i="31"/>
  <c r="NO89" i="31"/>
  <c r="NO90" i="31"/>
  <c r="NO91" i="31"/>
  <c r="NO92" i="31"/>
  <c r="NO93" i="31"/>
  <c r="NO94" i="31"/>
  <c r="NO95" i="31"/>
  <c r="NO96" i="31"/>
  <c r="NO97" i="31"/>
  <c r="NO98" i="31"/>
  <c r="NO99" i="31"/>
  <c r="NO100" i="31"/>
  <c r="NO101" i="31"/>
  <c r="NO102" i="31"/>
  <c r="NO103" i="31"/>
  <c r="NO104" i="31"/>
  <c r="NO105" i="31"/>
  <c r="NO106" i="31"/>
  <c r="NO107" i="31"/>
  <c r="NO108" i="31"/>
  <c r="NO109" i="31"/>
  <c r="NO110" i="31"/>
  <c r="NO111" i="31"/>
  <c r="NO112" i="31"/>
  <c r="NO113" i="31"/>
  <c r="NO114" i="31"/>
  <c r="NO115" i="31"/>
  <c r="NO116" i="31"/>
  <c r="NO117" i="31"/>
  <c r="NO118" i="31"/>
  <c r="NO119" i="31"/>
  <c r="NO120" i="31"/>
  <c r="NO121" i="31"/>
  <c r="NO122" i="31"/>
  <c r="NO123" i="31"/>
  <c r="NO124" i="31"/>
  <c r="NO125" i="31"/>
  <c r="NO126" i="31"/>
  <c r="NO127" i="31"/>
  <c r="NO128" i="31"/>
  <c r="NO129" i="31"/>
  <c r="NO130" i="31"/>
  <c r="NO131" i="31"/>
  <c r="NO132" i="31"/>
  <c r="NO133" i="31"/>
  <c r="NO134" i="31"/>
  <c r="NO135" i="31"/>
  <c r="NO136" i="31"/>
  <c r="NO137" i="31"/>
  <c r="NO138" i="31"/>
  <c r="NO139" i="31"/>
  <c r="NO140" i="31"/>
  <c r="NO141" i="31"/>
  <c r="NO142" i="31"/>
  <c r="NO143" i="31"/>
  <c r="NO144" i="31"/>
  <c r="NO145" i="31"/>
  <c r="NO146" i="31"/>
  <c r="NO147" i="31"/>
  <c r="NO148" i="31"/>
  <c r="NO149" i="31"/>
  <c r="NO150" i="31"/>
  <c r="NO151" i="31"/>
  <c r="NO152" i="31"/>
  <c r="NO153" i="31"/>
  <c r="NO154" i="31"/>
  <c r="NO155" i="31"/>
  <c r="NO156" i="31"/>
  <c r="NO157" i="31"/>
  <c r="NO158" i="31"/>
  <c r="NO159" i="31"/>
  <c r="NO160" i="31"/>
  <c r="NO161" i="31"/>
  <c r="NO162" i="31"/>
  <c r="NO163" i="31"/>
  <c r="NO164" i="31"/>
  <c r="NO165" i="31"/>
  <c r="NO166" i="31"/>
  <c r="NO167" i="31"/>
  <c r="NO168" i="31"/>
  <c r="NO169" i="31"/>
  <c r="NO170" i="31"/>
  <c r="NO171" i="31"/>
  <c r="NO172" i="31"/>
  <c r="NO173" i="31"/>
  <c r="NO174" i="31"/>
  <c r="NO175" i="31"/>
  <c r="NO176" i="31"/>
  <c r="NO177" i="31"/>
  <c r="NO178" i="31"/>
  <c r="NO179" i="31"/>
  <c r="NO180" i="31"/>
  <c r="NO181" i="31"/>
  <c r="NO182" i="31"/>
  <c r="NO183" i="31"/>
  <c r="NO184" i="31"/>
  <c r="NO185" i="31"/>
  <c r="NO186" i="31"/>
  <c r="NO187" i="31"/>
  <c r="NO188" i="31"/>
  <c r="NO189" i="31"/>
  <c r="NO190" i="31"/>
  <c r="NO191" i="31"/>
  <c r="NO192" i="31"/>
  <c r="NO193" i="31"/>
  <c r="NO194" i="31"/>
  <c r="NO195" i="31"/>
  <c r="NO196" i="31"/>
  <c r="NO197" i="31"/>
  <c r="NO198" i="31"/>
  <c r="NO199" i="31"/>
  <c r="NO200" i="31"/>
  <c r="NO201" i="31"/>
  <c r="NO202" i="31"/>
  <c r="NO203" i="31"/>
  <c r="NO204" i="31"/>
  <c r="NO205" i="31"/>
  <c r="NO206" i="31"/>
  <c r="NO207" i="31"/>
  <c r="NO208" i="31"/>
  <c r="NO209" i="31"/>
  <c r="NO210" i="31"/>
  <c r="NO211" i="31"/>
  <c r="NO212" i="31"/>
  <c r="NO213" i="31"/>
  <c r="NO214" i="31"/>
  <c r="NO215" i="31"/>
  <c r="NO216" i="31"/>
  <c r="NO217" i="31"/>
  <c r="NO218" i="31"/>
  <c r="NO219" i="31"/>
  <c r="NO220" i="31"/>
  <c r="NO221" i="31"/>
  <c r="NO222" i="31"/>
  <c r="NO223" i="31"/>
  <c r="NO224" i="31"/>
  <c r="NO225" i="31"/>
  <c r="NO226" i="31"/>
  <c r="NO227" i="31"/>
  <c r="NO228" i="31"/>
  <c r="NO229" i="31"/>
  <c r="NO230" i="31"/>
  <c r="NO231" i="31"/>
  <c r="NO232" i="31"/>
  <c r="NO233" i="31"/>
  <c r="NO234" i="31"/>
  <c r="NO235" i="31"/>
  <c r="NO236" i="31"/>
  <c r="NO237" i="31"/>
  <c r="NO238" i="31"/>
  <c r="NO239" i="31"/>
  <c r="NO240" i="31"/>
  <c r="NO241" i="31"/>
  <c r="NO242" i="31"/>
  <c r="NO243" i="31"/>
  <c r="NO244" i="31"/>
  <c r="NO245" i="31"/>
  <c r="NO246" i="31"/>
  <c r="NO247" i="31"/>
  <c r="NO248" i="31"/>
  <c r="NO249" i="31"/>
  <c r="NO250" i="31"/>
  <c r="NO251" i="31"/>
  <c r="NO252" i="31"/>
  <c r="NO253" i="31"/>
  <c r="NO254" i="31"/>
  <c r="NO255" i="31"/>
  <c r="NO256" i="31"/>
  <c r="NO257" i="31"/>
  <c r="NO258" i="31"/>
  <c r="NO259" i="31"/>
  <c r="NO260" i="31"/>
  <c r="NO261" i="31"/>
  <c r="NO262" i="31"/>
  <c r="NO263" i="31"/>
  <c r="NO264" i="31"/>
  <c r="NO265" i="31"/>
  <c r="NO266" i="31"/>
  <c r="NO267" i="31"/>
  <c r="NO268" i="31"/>
  <c r="NO269" i="31"/>
  <c r="NO270" i="31"/>
  <c r="NO271" i="31"/>
  <c r="NO272" i="31"/>
  <c r="NO273" i="31"/>
  <c r="NO274" i="31"/>
  <c r="NO275" i="31"/>
  <c r="NO276" i="31"/>
  <c r="NO277" i="31"/>
  <c r="NO278" i="31"/>
  <c r="NO279" i="31"/>
  <c r="NO280" i="31"/>
  <c r="NO281" i="31"/>
  <c r="NO282" i="31"/>
  <c r="NO283" i="31"/>
  <c r="NO284" i="31"/>
  <c r="NO285" i="31"/>
  <c r="NO286" i="31"/>
  <c r="NO287" i="31"/>
  <c r="NO288" i="31"/>
  <c r="NO289" i="31"/>
  <c r="NO290" i="31"/>
  <c r="NO291" i="31"/>
  <c r="NO292" i="31"/>
  <c r="NO293" i="31"/>
  <c r="NO294" i="31"/>
  <c r="NO295" i="31"/>
  <c r="NO296" i="31"/>
  <c r="NO297" i="31"/>
  <c r="NO298" i="31"/>
  <c r="NO299" i="31"/>
  <c r="NO300" i="31"/>
  <c r="NO301" i="31"/>
  <c r="NO302" i="31"/>
  <c r="NO303" i="31"/>
  <c r="NO304" i="31"/>
  <c r="NO305" i="31"/>
  <c r="NO306" i="31"/>
  <c r="NO307" i="31"/>
  <c r="NO308" i="31"/>
  <c r="NO309" i="31"/>
  <c r="NO310" i="31"/>
  <c r="NO311" i="31"/>
  <c r="NO312" i="31"/>
  <c r="NO313" i="31"/>
  <c r="NO314" i="31"/>
  <c r="NO315" i="31"/>
  <c r="NO316" i="31"/>
  <c r="NO317" i="31"/>
  <c r="NO318" i="31"/>
  <c r="NO319" i="31"/>
  <c r="NO320" i="31"/>
  <c r="NO321" i="31"/>
  <c r="NO322" i="31"/>
  <c r="NO323" i="31"/>
  <c r="NO324" i="31"/>
  <c r="NO325" i="31"/>
  <c r="NO326" i="31"/>
  <c r="NO327" i="31"/>
  <c r="NO328" i="31"/>
  <c r="NO329" i="31"/>
  <c r="NO330" i="31"/>
  <c r="NO331" i="31"/>
  <c r="NO332" i="31"/>
  <c r="NO333" i="31"/>
  <c r="NO334" i="31"/>
  <c r="NO335" i="31"/>
  <c r="NO336" i="31"/>
  <c r="NO337" i="31"/>
  <c r="NO338" i="31"/>
  <c r="NO339" i="31"/>
  <c r="NO340" i="31"/>
  <c r="NO341" i="31"/>
  <c r="NO342" i="31"/>
  <c r="NO343" i="31"/>
  <c r="NO344" i="31"/>
  <c r="NO345" i="31"/>
  <c r="NO346" i="31"/>
  <c r="NO347" i="31"/>
  <c r="NO348" i="31"/>
  <c r="NO349" i="31"/>
  <c r="NO350" i="31"/>
  <c r="NO351" i="31"/>
  <c r="NO352" i="31"/>
  <c r="NO353" i="31"/>
  <c r="NO354" i="31"/>
  <c r="NO355" i="31"/>
  <c r="NO356" i="31"/>
  <c r="NO357" i="31"/>
  <c r="NO358" i="31"/>
  <c r="NO359" i="31"/>
  <c r="NO360" i="31"/>
  <c r="NO361" i="31"/>
  <c r="NO362" i="31"/>
  <c r="NO363" i="31"/>
  <c r="NO364" i="31"/>
  <c r="NO365" i="31"/>
  <c r="NO366" i="31"/>
  <c r="NO367" i="31"/>
  <c r="NO368" i="31"/>
  <c r="NO369" i="31"/>
  <c r="NO370" i="31"/>
  <c r="MF65" i="31" l="1"/>
  <c r="MF66" i="31"/>
  <c r="MF67" i="31"/>
  <c r="MF68" i="31"/>
  <c r="MF69" i="31"/>
  <c r="MF70" i="31"/>
  <c r="MF71" i="31"/>
  <c r="MF72" i="31"/>
  <c r="MF73" i="31"/>
  <c r="MF74" i="31"/>
  <c r="MF75" i="31"/>
  <c r="MF76" i="31"/>
  <c r="MF77" i="31"/>
  <c r="MF78" i="31"/>
  <c r="MF79" i="31"/>
  <c r="MF80" i="31"/>
  <c r="MF81" i="31"/>
  <c r="MF82" i="31"/>
  <c r="MF83" i="31"/>
  <c r="MF84" i="31"/>
  <c r="MF85" i="31"/>
  <c r="MF86" i="31"/>
  <c r="MF87" i="31"/>
  <c r="MF88" i="31"/>
  <c r="MF89" i="31"/>
  <c r="MF90" i="31"/>
  <c r="MF91" i="31"/>
  <c r="MF92" i="31"/>
  <c r="MF93" i="31"/>
  <c r="MF94" i="31"/>
  <c r="MF95" i="31"/>
  <c r="MF96" i="31"/>
  <c r="MF97" i="31"/>
  <c r="MF98" i="31"/>
  <c r="MF99" i="31"/>
  <c r="MF100" i="31"/>
  <c r="MF101" i="31"/>
  <c r="MF102" i="31"/>
  <c r="MF103" i="31"/>
  <c r="MF104" i="31"/>
  <c r="MF105" i="31"/>
  <c r="MF106" i="31"/>
  <c r="MF107" i="31"/>
  <c r="MF108" i="31"/>
  <c r="MF109" i="31"/>
  <c r="MF110" i="31"/>
  <c r="MF111" i="31"/>
  <c r="MF112" i="31"/>
  <c r="MF113" i="31"/>
  <c r="MF114" i="31"/>
  <c r="MF115" i="31"/>
  <c r="MF116" i="31"/>
  <c r="MF117" i="31"/>
  <c r="MF118" i="31"/>
  <c r="MF119" i="31"/>
  <c r="MF120" i="31"/>
  <c r="MF121" i="31"/>
  <c r="MF122" i="31"/>
  <c r="MF123" i="31"/>
  <c r="MF124" i="31"/>
  <c r="MF125" i="31"/>
  <c r="MF126" i="31"/>
  <c r="MF127" i="31"/>
  <c r="MF128" i="31"/>
  <c r="MF129" i="31"/>
  <c r="MF130" i="31"/>
  <c r="MF131" i="31"/>
  <c r="MF132" i="31"/>
  <c r="MF133" i="31"/>
  <c r="MF134" i="31"/>
  <c r="MF135" i="31"/>
  <c r="MF136" i="31"/>
  <c r="MF137" i="31"/>
  <c r="MF138" i="31"/>
  <c r="MF139" i="31"/>
  <c r="MF140" i="31"/>
  <c r="MF141" i="31"/>
  <c r="MF142" i="31"/>
  <c r="MF143" i="31"/>
  <c r="MF144" i="31"/>
  <c r="MF145" i="31"/>
  <c r="MF146" i="31"/>
  <c r="MF147" i="31"/>
  <c r="MF148" i="31"/>
  <c r="MF149" i="31"/>
  <c r="MF150" i="31"/>
  <c r="MF151" i="31"/>
  <c r="MF152" i="31"/>
  <c r="MF153" i="31"/>
  <c r="MF154" i="31"/>
  <c r="MF155" i="31"/>
  <c r="MF156" i="31"/>
  <c r="MF157" i="31"/>
  <c r="MF158" i="31"/>
  <c r="MF159" i="31"/>
  <c r="MF160" i="31"/>
  <c r="MF161" i="31"/>
  <c r="MF162" i="31"/>
  <c r="MF163" i="31"/>
  <c r="MF164" i="31"/>
  <c r="MF165" i="31"/>
  <c r="MF166" i="31"/>
  <c r="MF167" i="31"/>
  <c r="MF168" i="31"/>
  <c r="MF169" i="31"/>
  <c r="MF170" i="31"/>
  <c r="MF171" i="31"/>
  <c r="MF172" i="31"/>
  <c r="MF173" i="31"/>
  <c r="MF174" i="31"/>
  <c r="MF175" i="31"/>
  <c r="MF176" i="31"/>
  <c r="MF177" i="31"/>
  <c r="MF178" i="31"/>
  <c r="MF179" i="31"/>
  <c r="MF180" i="31"/>
  <c r="MF181" i="31"/>
  <c r="MF182" i="31"/>
  <c r="MF183" i="31"/>
  <c r="MF184" i="31"/>
  <c r="MF185" i="31"/>
  <c r="MF186" i="31"/>
  <c r="MF187" i="31"/>
  <c r="MF188" i="31"/>
  <c r="MF189" i="31"/>
  <c r="MF190" i="31"/>
  <c r="MF191" i="31"/>
  <c r="MF192" i="31"/>
  <c r="MF193" i="31"/>
  <c r="MF194" i="31"/>
  <c r="MF195" i="31"/>
  <c r="MF196" i="31"/>
  <c r="MF197" i="31"/>
  <c r="MF198" i="31"/>
  <c r="MF199" i="31"/>
  <c r="MF200" i="31"/>
  <c r="MF201" i="31"/>
  <c r="MF202" i="31"/>
  <c r="MF203" i="31"/>
  <c r="MF204" i="31"/>
  <c r="MF205" i="31"/>
  <c r="MF206" i="31"/>
  <c r="MF207" i="31"/>
  <c r="MF208" i="31"/>
  <c r="MF209" i="31"/>
  <c r="MF210" i="31"/>
  <c r="MF211" i="31"/>
  <c r="MF212" i="31"/>
  <c r="MF213" i="31"/>
  <c r="MF214" i="31"/>
  <c r="MF215" i="31"/>
  <c r="MF216" i="31"/>
  <c r="MF217" i="31"/>
  <c r="MF218" i="31"/>
  <c r="MF219" i="31"/>
  <c r="MF220" i="31"/>
  <c r="MF221" i="31"/>
  <c r="MF222" i="31"/>
  <c r="MF223" i="31"/>
  <c r="MF224" i="31"/>
  <c r="MF225" i="31"/>
  <c r="MF226" i="31"/>
  <c r="MF227" i="31"/>
  <c r="MF228" i="31"/>
  <c r="MF229" i="31"/>
  <c r="MF230" i="31"/>
  <c r="MF231" i="31"/>
  <c r="MF232" i="31"/>
  <c r="MF233" i="31"/>
  <c r="MF234" i="31"/>
  <c r="MF235" i="31"/>
  <c r="MF236" i="31"/>
  <c r="MF237" i="31"/>
  <c r="MF238" i="31"/>
  <c r="MF239" i="31"/>
  <c r="MF240" i="31"/>
  <c r="MF241" i="31"/>
  <c r="MF242" i="31"/>
  <c r="MF243" i="31"/>
  <c r="MF244" i="31"/>
  <c r="MF245" i="31"/>
  <c r="MF246" i="31"/>
  <c r="MF247" i="31"/>
  <c r="MF248" i="31"/>
  <c r="MF249" i="31"/>
  <c r="MF250" i="31"/>
  <c r="MF251" i="31"/>
  <c r="MF252" i="31"/>
  <c r="MF253" i="31"/>
  <c r="MF254" i="31"/>
  <c r="MF255" i="31"/>
  <c r="MF256" i="31"/>
  <c r="MF257" i="31"/>
  <c r="MF258" i="31"/>
  <c r="MF259" i="31"/>
  <c r="MF260" i="31"/>
  <c r="MF261" i="31"/>
  <c r="MF262" i="31"/>
  <c r="MF263" i="31"/>
  <c r="MF264" i="31"/>
  <c r="MF265" i="31"/>
  <c r="MF266" i="31"/>
  <c r="MF267" i="31"/>
  <c r="MF268" i="31"/>
  <c r="MF269" i="31"/>
  <c r="MF270" i="31"/>
  <c r="MF271" i="31"/>
  <c r="MF272" i="31"/>
  <c r="MF273" i="31"/>
  <c r="MF274" i="31"/>
  <c r="MF275" i="31"/>
  <c r="MF276" i="31"/>
  <c r="MF277" i="31"/>
  <c r="MF278" i="31"/>
  <c r="MF279" i="31"/>
  <c r="MF280" i="31"/>
  <c r="MF281" i="31"/>
  <c r="MF282" i="31"/>
  <c r="MF283" i="31"/>
  <c r="MF284" i="31"/>
  <c r="MF285" i="31"/>
  <c r="MF286" i="31"/>
  <c r="MF287" i="31"/>
  <c r="MF288" i="31"/>
  <c r="MF289" i="31"/>
  <c r="MF290" i="31"/>
  <c r="MF291" i="31"/>
  <c r="MF292" i="31"/>
  <c r="MF293" i="31"/>
  <c r="MF294" i="31"/>
  <c r="MF295" i="31"/>
  <c r="MF296" i="31"/>
  <c r="MF297" i="31"/>
  <c r="MF298" i="31"/>
  <c r="MF299" i="31"/>
  <c r="MF300" i="31"/>
  <c r="MF301" i="31"/>
  <c r="MF302" i="31"/>
  <c r="MF303" i="31"/>
  <c r="MF304" i="31"/>
  <c r="MF305" i="31"/>
  <c r="MF306" i="31"/>
  <c r="MF307" i="31"/>
  <c r="MF308" i="31"/>
  <c r="MF309" i="31"/>
  <c r="MF310" i="31"/>
  <c r="MF311" i="31"/>
  <c r="MF312" i="31"/>
  <c r="MF313" i="31"/>
  <c r="MF314" i="31"/>
  <c r="MF315" i="31"/>
  <c r="MF316" i="31"/>
  <c r="MF317" i="31"/>
  <c r="MF318" i="31"/>
  <c r="MF319" i="31"/>
  <c r="MF320" i="31"/>
  <c r="MF321" i="31"/>
  <c r="MF322" i="31"/>
  <c r="MF323" i="31"/>
  <c r="MF324" i="31"/>
  <c r="MF325" i="31"/>
  <c r="MF326" i="31"/>
  <c r="MF327" i="31"/>
  <c r="MF328" i="31"/>
  <c r="MF329" i="31"/>
  <c r="MF330" i="31"/>
  <c r="MF331" i="31"/>
  <c r="MF332" i="31"/>
  <c r="MF333" i="31"/>
  <c r="MF334" i="31"/>
  <c r="MF335" i="31"/>
  <c r="MF336" i="31"/>
  <c r="MF337" i="31"/>
  <c r="MF338" i="31"/>
  <c r="MF339" i="31"/>
  <c r="MF340" i="31"/>
  <c r="MF341" i="31"/>
  <c r="MF342" i="31"/>
  <c r="MF343" i="31"/>
  <c r="MF344" i="31"/>
  <c r="MF345" i="31"/>
  <c r="MF346" i="31"/>
  <c r="MF347" i="31"/>
  <c r="MF348" i="31"/>
  <c r="MF349" i="31"/>
  <c r="MF350" i="31"/>
  <c r="MF351" i="31"/>
  <c r="MF352" i="31"/>
  <c r="MF353" i="31"/>
  <c r="MF354" i="31"/>
  <c r="MF355" i="31"/>
  <c r="MF356" i="31"/>
  <c r="MF357" i="31"/>
  <c r="MF358" i="31"/>
  <c r="MF359" i="31"/>
  <c r="MF360" i="31"/>
  <c r="MF361" i="31"/>
  <c r="MF362" i="31"/>
  <c r="MF363" i="31"/>
  <c r="MF364" i="31"/>
  <c r="MF365" i="31"/>
  <c r="MF366" i="31"/>
  <c r="MF367" i="31"/>
  <c r="MF368" i="31"/>
  <c r="MF369" i="31"/>
  <c r="MF370" i="31"/>
  <c r="C139" i="1"/>
  <c r="AG14" i="31" l="1"/>
  <c r="AQ15" i="31"/>
  <c r="AG67" i="31"/>
  <c r="GI15" i="31"/>
  <c r="AG72" i="31"/>
  <c r="GI18" i="31"/>
  <c r="AG11" i="31"/>
  <c r="AG6" i="31"/>
  <c r="OE16" i="31"/>
  <c r="AG24" i="31"/>
  <c r="OP6" i="31"/>
  <c r="GI54" i="31"/>
  <c r="AQ10" i="31"/>
  <c r="OE18" i="31"/>
  <c r="AG28" i="31"/>
  <c r="GI42" i="31"/>
  <c r="GI39" i="31"/>
  <c r="GI25" i="31"/>
  <c r="GI57" i="31"/>
  <c r="GI12" i="31"/>
  <c r="OE33" i="31"/>
  <c r="GI35" i="31"/>
  <c r="OE43" i="31"/>
  <c r="AG111" i="31"/>
  <c r="AG137" i="31"/>
  <c r="OE7" i="31"/>
  <c r="AQ11" i="31"/>
  <c r="AQ14" i="31"/>
  <c r="GI22" i="31"/>
  <c r="OE29" i="31"/>
  <c r="OE32" i="31"/>
  <c r="GI38" i="31"/>
  <c r="AG204" i="31"/>
  <c r="AQ6" i="31"/>
  <c r="AG9" i="31"/>
  <c r="AG10" i="31"/>
  <c r="GI11" i="31"/>
  <c r="GI14" i="31"/>
  <c r="AQ17" i="31"/>
  <c r="AG20" i="31"/>
  <c r="OE27" i="31"/>
  <c r="AG42" i="31"/>
  <c r="OE44" i="31"/>
  <c r="OE47" i="31"/>
  <c r="AG88" i="31"/>
  <c r="AG145" i="31"/>
  <c r="AG172" i="31"/>
  <c r="AG7" i="31"/>
  <c r="AQ9" i="31"/>
  <c r="AG23" i="31"/>
  <c r="AG51" i="31"/>
  <c r="OE59" i="31"/>
  <c r="AG367" i="31"/>
  <c r="AG363" i="31"/>
  <c r="AG359" i="31"/>
  <c r="AG355" i="31"/>
  <c r="AG351" i="31"/>
  <c r="AG347" i="31"/>
  <c r="AG343" i="31"/>
  <c r="AG339" i="31"/>
  <c r="AG335" i="31"/>
  <c r="AG331" i="31"/>
  <c r="AG327" i="31"/>
  <c r="AG323" i="31"/>
  <c r="AG319" i="31"/>
  <c r="AG315" i="31"/>
  <c r="AG311" i="31"/>
  <c r="AG307" i="31"/>
  <c r="AG370" i="31"/>
  <c r="AG366" i="31"/>
  <c r="AG362" i="31"/>
  <c r="AG358" i="31"/>
  <c r="AG354" i="31"/>
  <c r="AG350" i="31"/>
  <c r="AG346" i="31"/>
  <c r="AG342" i="31"/>
  <c r="AG338" i="31"/>
  <c r="AG334" i="31"/>
  <c r="AG330" i="31"/>
  <c r="AG326" i="31"/>
  <c r="AG322" i="31"/>
  <c r="AG318" i="31"/>
  <c r="AG314" i="31"/>
  <c r="AG310" i="31"/>
  <c r="AG306" i="31"/>
  <c r="AG369" i="31"/>
  <c r="AG365" i="31"/>
  <c r="AG361" i="31"/>
  <c r="AG357" i="31"/>
  <c r="AG353" i="31"/>
  <c r="AG349" i="31"/>
  <c r="AG345" i="31"/>
  <c r="AG341" i="31"/>
  <c r="AG337" i="31"/>
  <c r="AG333" i="31"/>
  <c r="AG329" i="31"/>
  <c r="AG325" i="31"/>
  <c r="AG321" i="31"/>
  <c r="AG317" i="31"/>
  <c r="AG364" i="31"/>
  <c r="AG332" i="31"/>
  <c r="AG336" i="31"/>
  <c r="AG300" i="31"/>
  <c r="AG296" i="31"/>
  <c r="AG292" i="31"/>
  <c r="AG288" i="31"/>
  <c r="AG284" i="31"/>
  <c r="AG280" i="31"/>
  <c r="AG276" i="31"/>
  <c r="AG272" i="31"/>
  <c r="AG268" i="31"/>
  <c r="AG264" i="31"/>
  <c r="AG260" i="31"/>
  <c r="AG356" i="31"/>
  <c r="AG340" i="31"/>
  <c r="AG316" i="31"/>
  <c r="AG368" i="31"/>
  <c r="AG344" i="31"/>
  <c r="AG312" i="31"/>
  <c r="AG303" i="31"/>
  <c r="AG299" i="31"/>
  <c r="AG295" i="31"/>
  <c r="AG291" i="31"/>
  <c r="AG287" i="31"/>
  <c r="AG283" i="31"/>
  <c r="AG279" i="31"/>
  <c r="AG275" i="31"/>
  <c r="AG271" i="31"/>
  <c r="AG267" i="31"/>
  <c r="AG263" i="31"/>
  <c r="AG259" i="31"/>
  <c r="AG360" i="31"/>
  <c r="AG320" i="31"/>
  <c r="AG309" i="31"/>
  <c r="AG304" i="31"/>
  <c r="AG302" i="31"/>
  <c r="AG298" i="31"/>
  <c r="AG294" i="31"/>
  <c r="AG290" i="31"/>
  <c r="AG286" i="31"/>
  <c r="AG282" i="31"/>
  <c r="AG278" i="31"/>
  <c r="AG274" i="31"/>
  <c r="AG270" i="31"/>
  <c r="AG266" i="31"/>
  <c r="AG262" i="31"/>
  <c r="AG324" i="31"/>
  <c r="AG305" i="31"/>
  <c r="AG328" i="31"/>
  <c r="AG297" i="31"/>
  <c r="AG281" i="31"/>
  <c r="AG261" i="31"/>
  <c r="AG255" i="31"/>
  <c r="AG251" i="31"/>
  <c r="AG247" i="31"/>
  <c r="AG243" i="31"/>
  <c r="AG239" i="31"/>
  <c r="AG235" i="31"/>
  <c r="AG231" i="31"/>
  <c r="AG227" i="31"/>
  <c r="AG223" i="31"/>
  <c r="AG219" i="31"/>
  <c r="AG215" i="31"/>
  <c r="AG211" i="31"/>
  <c r="AG313" i="31"/>
  <c r="AG308" i="31"/>
  <c r="AG265" i="31"/>
  <c r="AG293" i="31"/>
  <c r="AG277" i="31"/>
  <c r="AG269" i="31"/>
  <c r="AG258" i="31"/>
  <c r="AG254" i="31"/>
  <c r="AG250" i="31"/>
  <c r="AG246" i="31"/>
  <c r="AG242" i="31"/>
  <c r="AG238" i="31"/>
  <c r="AG301" i="31"/>
  <c r="AG285" i="31"/>
  <c r="AG256" i="31"/>
  <c r="AG252" i="31"/>
  <c r="AG248" i="31"/>
  <c r="AG244" i="31"/>
  <c r="AG240" i="31"/>
  <c r="AG236" i="31"/>
  <c r="AG232" i="31"/>
  <c r="AG228" i="31"/>
  <c r="AG224" i="31"/>
  <c r="AG220" i="31"/>
  <c r="AG216" i="31"/>
  <c r="AG212" i="31"/>
  <c r="AG352" i="31"/>
  <c r="AG273" i="31"/>
  <c r="AG348" i="31"/>
  <c r="AG233" i="31"/>
  <c r="AG210" i="31"/>
  <c r="AG253" i="31"/>
  <c r="AG245" i="31"/>
  <c r="AG237" i="31"/>
  <c r="AG229" i="31"/>
  <c r="AG209" i="31"/>
  <c r="AG205" i="31"/>
  <c r="AG201" i="31"/>
  <c r="AG197" i="31"/>
  <c r="AG193" i="31"/>
  <c r="AG189" i="31"/>
  <c r="AG185" i="31"/>
  <c r="AG181" i="31"/>
  <c r="AG177" i="31"/>
  <c r="AG173" i="31"/>
  <c r="AG169" i="31"/>
  <c r="AG165" i="31"/>
  <c r="AG161" i="31"/>
  <c r="AG157" i="31"/>
  <c r="AG153" i="31"/>
  <c r="AG149" i="31"/>
  <c r="AG234" i="31"/>
  <c r="AG225" i="31"/>
  <c r="AG230" i="31"/>
  <c r="AG226" i="31"/>
  <c r="AG217" i="31"/>
  <c r="AG241" i="31"/>
  <c r="AG202" i="31"/>
  <c r="AG194" i="31"/>
  <c r="AG184" i="31"/>
  <c r="AG221" i="31"/>
  <c r="AG218" i="31"/>
  <c r="AG208" i="31"/>
  <c r="AG200" i="31"/>
  <c r="AG192" i="31"/>
  <c r="AG180" i="31"/>
  <c r="AG164" i="31"/>
  <c r="AG163" i="31"/>
  <c r="AG162" i="31"/>
  <c r="AG148" i="31"/>
  <c r="AG147" i="31"/>
  <c r="AG143" i="31"/>
  <c r="AG139" i="31"/>
  <c r="AG135" i="31"/>
  <c r="AG131" i="31"/>
  <c r="AG127" i="31"/>
  <c r="AG203" i="31"/>
  <c r="AG195" i="31"/>
  <c r="AG168" i="31"/>
  <c r="AG167" i="31"/>
  <c r="AG166" i="31"/>
  <c r="AG152" i="31"/>
  <c r="AG151" i="31"/>
  <c r="AG150" i="31"/>
  <c r="AG146" i="31"/>
  <c r="AG142" i="31"/>
  <c r="AG138" i="31"/>
  <c r="AG134" i="31"/>
  <c r="AG130" i="31"/>
  <c r="AG126" i="31"/>
  <c r="AG289" i="31"/>
  <c r="AG257" i="31"/>
  <c r="AG214" i="31"/>
  <c r="AG206" i="31"/>
  <c r="AG198" i="31"/>
  <c r="AG190" i="31"/>
  <c r="AG186" i="31"/>
  <c r="AG222" i="31"/>
  <c r="AG188" i="31"/>
  <c r="AG179" i="31"/>
  <c r="AG174" i="31"/>
  <c r="AG160" i="31"/>
  <c r="AG159" i="31"/>
  <c r="AG158" i="31"/>
  <c r="AG144" i="31"/>
  <c r="AG140" i="31"/>
  <c r="AG136" i="31"/>
  <c r="AG132" i="31"/>
  <c r="AG196" i="31"/>
  <c r="AG122" i="31"/>
  <c r="AG118" i="31"/>
  <c r="AG114" i="31"/>
  <c r="AG110" i="31"/>
  <c r="AG106" i="31"/>
  <c r="AG102" i="31"/>
  <c r="AG98" i="31"/>
  <c r="AG94" i="31"/>
  <c r="AG90" i="31"/>
  <c r="AH90" i="31" s="1"/>
  <c r="AG86" i="31"/>
  <c r="AG82" i="31"/>
  <c r="AG78" i="31"/>
  <c r="AG74" i="31"/>
  <c r="AG176" i="31"/>
  <c r="GI64" i="31"/>
  <c r="OE62" i="31"/>
  <c r="GI60" i="31"/>
  <c r="OE58" i="31"/>
  <c r="GI56" i="31"/>
  <c r="OE54" i="31"/>
  <c r="GI52" i="31"/>
  <c r="OE50" i="31"/>
  <c r="GI48" i="31"/>
  <c r="OE46" i="31"/>
  <c r="GI44" i="31"/>
  <c r="OE42" i="31"/>
  <c r="GI40" i="31"/>
  <c r="OE38" i="31"/>
  <c r="GI36" i="31"/>
  <c r="OE34" i="31"/>
  <c r="GI32" i="31"/>
  <c r="OE30" i="31"/>
  <c r="GI28" i="31"/>
  <c r="OE26" i="31"/>
  <c r="GI24" i="31"/>
  <c r="OE22" i="31"/>
  <c r="GI20" i="31"/>
  <c r="AG171" i="31"/>
  <c r="AG156" i="31"/>
  <c r="AG154" i="31"/>
  <c r="AG141" i="31"/>
  <c r="AG133" i="31"/>
  <c r="AG121" i="31"/>
  <c r="AG117" i="31"/>
  <c r="AG113" i="31"/>
  <c r="AG109" i="31"/>
  <c r="AG105" i="31"/>
  <c r="AG101" i="31"/>
  <c r="AG97" i="31"/>
  <c r="AG93" i="31"/>
  <c r="AG89" i="31"/>
  <c r="AG85" i="31"/>
  <c r="AG81" i="31"/>
  <c r="AG77" i="31"/>
  <c r="AG73" i="31"/>
  <c r="AG69" i="31"/>
  <c r="AG65" i="31"/>
  <c r="AG61" i="31"/>
  <c r="AG57" i="31"/>
  <c r="AG53" i="31"/>
  <c r="AG49" i="31"/>
  <c r="AG45" i="31"/>
  <c r="AG41" i="31"/>
  <c r="AG37" i="31"/>
  <c r="AG33" i="31"/>
  <c r="AG29" i="31"/>
  <c r="AG25" i="31"/>
  <c r="AG21" i="31"/>
  <c r="AG207" i="31"/>
  <c r="AG183" i="31"/>
  <c r="AG178" i="31"/>
  <c r="GI63" i="31"/>
  <c r="OE61" i="31"/>
  <c r="GI59" i="31"/>
  <c r="OE57" i="31"/>
  <c r="GI55" i="31"/>
  <c r="OE53" i="31"/>
  <c r="AG187" i="31"/>
  <c r="AG175" i="31"/>
  <c r="AG120" i="31"/>
  <c r="AG116" i="31"/>
  <c r="AG112" i="31"/>
  <c r="AG108" i="31"/>
  <c r="AG104" i="31"/>
  <c r="AG100" i="31"/>
  <c r="AG249" i="31"/>
  <c r="AG213" i="31"/>
  <c r="AG199" i="31"/>
  <c r="AG125" i="31"/>
  <c r="AG124" i="31"/>
  <c r="OE64" i="31"/>
  <c r="GI62" i="31"/>
  <c r="OE60" i="31"/>
  <c r="GI58" i="31"/>
  <c r="OE56" i="31"/>
  <c r="AG191" i="31"/>
  <c r="AG92" i="31"/>
  <c r="AG75" i="31"/>
  <c r="AG70" i="31"/>
  <c r="AG62" i="31"/>
  <c r="AG115" i="31"/>
  <c r="AG99" i="31"/>
  <c r="AG96" i="31"/>
  <c r="AG79" i="31"/>
  <c r="AG68" i="31"/>
  <c r="AG60" i="31"/>
  <c r="AG54" i="31"/>
  <c r="OE52" i="31"/>
  <c r="OE51" i="31"/>
  <c r="GI47" i="31"/>
  <c r="GI46" i="31"/>
  <c r="GI45" i="31"/>
  <c r="OE37" i="31"/>
  <c r="OE36" i="31"/>
  <c r="OE35" i="31"/>
  <c r="GI31" i="31"/>
  <c r="GI30" i="31"/>
  <c r="GI29" i="31"/>
  <c r="OE21" i="31"/>
  <c r="OE20" i="31"/>
  <c r="OE19" i="31"/>
  <c r="GI17" i="31"/>
  <c r="OE15" i="31"/>
  <c r="GI13" i="31"/>
  <c r="OE11" i="31"/>
  <c r="AG128" i="31"/>
  <c r="AG91" i="31"/>
  <c r="AG76" i="31"/>
  <c r="AG66" i="31"/>
  <c r="AG58" i="31"/>
  <c r="AG48" i="31"/>
  <c r="AG47" i="31"/>
  <c r="AG46" i="31"/>
  <c r="AG32" i="31"/>
  <c r="AG31" i="31"/>
  <c r="AG30" i="31"/>
  <c r="AG17" i="31"/>
  <c r="AQ16" i="31"/>
  <c r="AG13" i="31"/>
  <c r="AQ12" i="31"/>
  <c r="AG170" i="31"/>
  <c r="AG95" i="31"/>
  <c r="AG64" i="31"/>
  <c r="AG59" i="31"/>
  <c r="GI49" i="31"/>
  <c r="OE40" i="31"/>
  <c r="AG38" i="31"/>
  <c r="AG35" i="31"/>
  <c r="OE23" i="31"/>
  <c r="AG182" i="31"/>
  <c r="AG119" i="31"/>
  <c r="AG84" i="31"/>
  <c r="AG71" i="31"/>
  <c r="OE63" i="31"/>
  <c r="GI50" i="31"/>
  <c r="OE41" i="31"/>
  <c r="AG39" i="31"/>
  <c r="AG36" i="31"/>
  <c r="GI33" i="31"/>
  <c r="OE24" i="31"/>
  <c r="AG22" i="31"/>
  <c r="AQ18" i="31"/>
  <c r="AG16" i="31"/>
  <c r="AG15" i="31"/>
  <c r="OE10" i="31"/>
  <c r="GI7" i="31"/>
  <c r="AG129" i="31"/>
  <c r="GI51" i="31"/>
  <c r="AG40" i="31"/>
  <c r="GI34" i="31"/>
  <c r="OE25" i="31"/>
  <c r="AG123" i="31"/>
  <c r="AG103" i="31"/>
  <c r="AG87" i="31"/>
  <c r="AG80" i="31"/>
  <c r="AG63" i="31"/>
  <c r="OE55" i="31"/>
  <c r="GI53" i="31"/>
  <c r="OE48" i="31"/>
  <c r="OE45" i="31"/>
  <c r="AG43" i="31"/>
  <c r="GI37" i="31"/>
  <c r="OE31" i="31"/>
  <c r="OE28" i="31"/>
  <c r="GI27" i="31"/>
  <c r="AG26" i="31"/>
  <c r="AG18" i="31"/>
  <c r="OE13" i="31"/>
  <c r="OE12" i="31"/>
  <c r="AG8" i="31"/>
  <c r="AQ7" i="31"/>
  <c r="AR7" i="31" s="1"/>
  <c r="AG107" i="31"/>
  <c r="AG83" i="31"/>
  <c r="AG55" i="31"/>
  <c r="AG50" i="31"/>
  <c r="AQ8" i="31"/>
  <c r="GI10" i="31"/>
  <c r="AQ13" i="31"/>
  <c r="AG34" i="31"/>
  <c r="OE39" i="31"/>
  <c r="GI8" i="31"/>
  <c r="GI9" i="31"/>
  <c r="AG12" i="31"/>
  <c r="OE14" i="31"/>
  <c r="GI16" i="31"/>
  <c r="AG19" i="31"/>
  <c r="GI23" i="31"/>
  <c r="OE17" i="31"/>
  <c r="GI19" i="31"/>
  <c r="GI21" i="31"/>
  <c r="GI26" i="31"/>
  <c r="GI43" i="31"/>
  <c r="AG52" i="31"/>
  <c r="AG56" i="31"/>
  <c r="GI61" i="31"/>
  <c r="AG155" i="31"/>
  <c r="GI6" i="31"/>
  <c r="GJ6" i="31" s="1"/>
  <c r="AG27" i="31"/>
  <c r="GI41" i="31"/>
  <c r="AG44" i="31"/>
  <c r="OE49" i="31"/>
  <c r="KY52" i="31" l="1"/>
  <c r="KY26" i="31"/>
  <c r="KY63" i="31"/>
  <c r="KY22" i="31"/>
  <c r="KY71" i="31"/>
  <c r="KY64" i="31"/>
  <c r="KY48" i="31"/>
  <c r="KY79" i="31"/>
  <c r="KY213" i="31"/>
  <c r="KY178" i="31"/>
  <c r="KY141" i="31"/>
  <c r="KY74" i="31"/>
  <c r="KY90" i="31"/>
  <c r="KY106" i="31"/>
  <c r="KY122" i="31"/>
  <c r="KY179" i="31"/>
  <c r="KY166" i="31"/>
  <c r="KY203" i="31"/>
  <c r="KY139" i="31"/>
  <c r="KY184" i="31"/>
  <c r="KY220" i="31"/>
  <c r="KY236" i="31"/>
  <c r="KY252" i="31"/>
  <c r="KY246" i="31"/>
  <c r="KY293" i="31"/>
  <c r="KY215" i="31"/>
  <c r="KY231" i="31"/>
  <c r="KY247" i="31"/>
  <c r="KY281" i="31"/>
  <c r="KY270" i="31"/>
  <c r="KY286" i="31"/>
  <c r="KY302" i="31"/>
  <c r="KY263" i="31"/>
  <c r="KY279" i="31"/>
  <c r="KY295" i="31"/>
  <c r="KY312" i="31"/>
  <c r="KY316" i="31"/>
  <c r="KY272" i="31"/>
  <c r="KY288" i="31"/>
  <c r="KY332" i="31"/>
  <c r="KY329" i="31"/>
  <c r="KY345" i="31"/>
  <c r="KY361" i="31"/>
  <c r="KY315" i="31"/>
  <c r="KY331" i="31"/>
  <c r="KY347" i="31"/>
  <c r="KY363" i="31"/>
  <c r="KY145" i="31"/>
  <c r="KY111" i="31"/>
  <c r="KY28" i="31"/>
  <c r="KY11" i="31"/>
  <c r="KY8" i="31"/>
  <c r="KY43" i="31"/>
  <c r="KY119" i="31"/>
  <c r="KY170" i="31"/>
  <c r="KY76" i="31"/>
  <c r="KY70" i="31"/>
  <c r="KY249" i="31"/>
  <c r="KY112" i="31"/>
  <c r="KY175" i="31"/>
  <c r="KY183" i="31"/>
  <c r="KY29" i="31"/>
  <c r="KY45" i="31"/>
  <c r="KY61" i="31"/>
  <c r="KY77" i="31"/>
  <c r="KY93" i="31"/>
  <c r="KY109" i="31"/>
  <c r="KY156" i="31"/>
  <c r="KY132" i="31"/>
  <c r="KY159" i="31"/>
  <c r="KY198" i="31"/>
  <c r="KY257" i="31"/>
  <c r="KY138" i="31"/>
  <c r="KY167" i="31"/>
  <c r="KY148" i="31"/>
  <c r="KY192" i="31"/>
  <c r="KY194" i="31"/>
  <c r="KY153" i="31"/>
  <c r="KY169" i="31"/>
  <c r="KY185" i="31"/>
  <c r="KY201" i="31"/>
  <c r="KY245" i="31"/>
  <c r="KY273" i="31"/>
  <c r="KY304" i="31"/>
  <c r="KY322" i="31"/>
  <c r="KY338" i="31"/>
  <c r="KY354" i="31"/>
  <c r="KY370" i="31"/>
  <c r="KY20" i="31"/>
  <c r="KY204" i="31"/>
  <c r="KY44" i="31"/>
  <c r="KY155" i="31"/>
  <c r="KY19" i="31"/>
  <c r="KY12" i="31"/>
  <c r="KY34" i="31"/>
  <c r="KY50" i="31"/>
  <c r="KY18" i="31"/>
  <c r="KY103" i="31"/>
  <c r="KY40" i="31"/>
  <c r="KY16" i="31"/>
  <c r="KY35" i="31"/>
  <c r="KY32" i="31"/>
  <c r="KY46" i="31"/>
  <c r="KY128" i="31"/>
  <c r="KY68" i="31"/>
  <c r="KY115" i="31"/>
  <c r="KY92" i="31"/>
  <c r="KY133" i="31"/>
  <c r="KY176" i="31"/>
  <c r="KY78" i="31"/>
  <c r="KY86" i="31"/>
  <c r="KY94" i="31"/>
  <c r="KY102" i="31"/>
  <c r="KY110" i="31"/>
  <c r="KY118" i="31"/>
  <c r="KY160" i="31"/>
  <c r="KY174" i="31"/>
  <c r="KY188" i="31"/>
  <c r="KY186" i="31"/>
  <c r="KY289" i="31"/>
  <c r="KY150" i="31"/>
  <c r="KY168" i="31"/>
  <c r="KY195" i="31"/>
  <c r="KY127" i="31"/>
  <c r="KY135" i="31"/>
  <c r="KY143" i="31"/>
  <c r="KY163" i="31"/>
  <c r="KY210" i="31"/>
  <c r="KY233" i="31"/>
  <c r="KY216" i="31"/>
  <c r="KY224" i="31"/>
  <c r="KY232" i="31"/>
  <c r="KY240" i="31"/>
  <c r="KY248" i="31"/>
  <c r="KY256" i="31"/>
  <c r="KY285" i="31"/>
  <c r="KY242" i="31"/>
  <c r="KY250" i="31"/>
  <c r="KY258" i="31"/>
  <c r="KY277" i="31"/>
  <c r="KY308" i="31"/>
  <c r="KY211" i="31"/>
  <c r="KY219" i="31"/>
  <c r="KY227" i="31"/>
  <c r="KY235" i="31"/>
  <c r="KY243" i="31"/>
  <c r="KY251" i="31"/>
  <c r="KY261" i="31"/>
  <c r="KY297" i="31"/>
  <c r="KY266" i="31"/>
  <c r="KY274" i="31"/>
  <c r="KY282" i="31"/>
  <c r="KY290" i="31"/>
  <c r="KY298" i="31"/>
  <c r="KY259" i="31"/>
  <c r="KY267" i="31"/>
  <c r="KY275" i="31"/>
  <c r="KY283" i="31"/>
  <c r="KY291" i="31"/>
  <c r="KY299" i="31"/>
  <c r="KY344" i="31"/>
  <c r="KY260" i="31"/>
  <c r="KY268" i="31"/>
  <c r="KY276" i="31"/>
  <c r="KY284" i="31"/>
  <c r="KY292" i="31"/>
  <c r="KY300" i="31"/>
  <c r="KY336" i="31"/>
  <c r="KY317" i="31"/>
  <c r="KY325" i="31"/>
  <c r="KY333" i="31"/>
  <c r="KY341" i="31"/>
  <c r="KY349" i="31"/>
  <c r="KY357" i="31"/>
  <c r="KY365" i="31"/>
  <c r="KY311" i="31"/>
  <c r="KY319" i="31"/>
  <c r="KY327" i="31"/>
  <c r="KY335" i="31"/>
  <c r="KY343" i="31"/>
  <c r="KY351" i="31"/>
  <c r="KY359" i="31"/>
  <c r="KY367" i="31"/>
  <c r="KY7" i="31"/>
  <c r="KY10" i="31"/>
  <c r="OR6" i="31"/>
  <c r="OP7" i="31"/>
  <c r="KY72" i="31"/>
  <c r="KY14" i="31"/>
  <c r="KY83" i="31"/>
  <c r="KY87" i="31"/>
  <c r="KY129" i="31"/>
  <c r="KY36" i="31"/>
  <c r="KY13" i="31"/>
  <c r="KY30" i="31"/>
  <c r="KY60" i="31"/>
  <c r="KY99" i="31"/>
  <c r="KY124" i="31"/>
  <c r="KY154" i="31"/>
  <c r="KY82" i="31"/>
  <c r="KY98" i="31"/>
  <c r="KY114" i="31"/>
  <c r="KY158" i="31"/>
  <c r="KY152" i="31"/>
  <c r="KY131" i="31"/>
  <c r="KY147" i="31"/>
  <c r="KY218" i="31"/>
  <c r="KY217" i="31"/>
  <c r="KY225" i="31"/>
  <c r="KY212" i="31"/>
  <c r="KY228" i="31"/>
  <c r="KY244" i="31"/>
  <c r="KY301" i="31"/>
  <c r="KY238" i="31"/>
  <c r="KY254" i="31"/>
  <c r="KY223" i="31"/>
  <c r="KY239" i="31"/>
  <c r="KY255" i="31"/>
  <c r="KY262" i="31"/>
  <c r="KY278" i="31"/>
  <c r="KY294" i="31"/>
  <c r="KY320" i="31"/>
  <c r="KY271" i="31"/>
  <c r="KY287" i="31"/>
  <c r="KY303" i="31"/>
  <c r="KY368" i="31"/>
  <c r="KY264" i="31"/>
  <c r="KY280" i="31"/>
  <c r="KY296" i="31"/>
  <c r="KY321" i="31"/>
  <c r="KY337" i="31"/>
  <c r="KY353" i="31"/>
  <c r="KY369" i="31"/>
  <c r="KY307" i="31"/>
  <c r="KY323" i="31"/>
  <c r="KY339" i="31"/>
  <c r="KY355" i="31"/>
  <c r="KY23" i="31"/>
  <c r="KY24" i="31"/>
  <c r="KY27" i="31"/>
  <c r="KY107" i="31"/>
  <c r="KY15" i="31"/>
  <c r="KY39" i="31"/>
  <c r="KY31" i="31"/>
  <c r="KY58" i="31"/>
  <c r="KY125" i="31"/>
  <c r="KY104" i="31"/>
  <c r="KY120" i="31"/>
  <c r="KY21" i="31"/>
  <c r="KY37" i="31"/>
  <c r="KY53" i="31"/>
  <c r="KY69" i="31"/>
  <c r="KY85" i="31"/>
  <c r="KY101" i="31"/>
  <c r="KY117" i="31"/>
  <c r="KY140" i="31"/>
  <c r="KY222" i="31"/>
  <c r="KY214" i="31"/>
  <c r="KY130" i="31"/>
  <c r="KY146" i="31"/>
  <c r="KY162" i="31"/>
  <c r="KY208" i="31"/>
  <c r="KY221" i="31"/>
  <c r="KY161" i="31"/>
  <c r="KY177" i="31"/>
  <c r="KY193" i="31"/>
  <c r="KY209" i="31"/>
  <c r="KY229" i="31"/>
  <c r="KY269" i="31"/>
  <c r="KY324" i="31"/>
  <c r="KY360" i="31"/>
  <c r="KY356" i="31"/>
  <c r="KY306" i="31"/>
  <c r="KY314" i="31"/>
  <c r="KY330" i="31"/>
  <c r="KY346" i="31"/>
  <c r="KY362" i="31"/>
  <c r="KY56" i="31"/>
  <c r="KY55" i="31"/>
  <c r="KY80" i="31"/>
  <c r="KY123" i="31"/>
  <c r="KY84" i="31"/>
  <c r="KY182" i="31"/>
  <c r="KY38" i="31"/>
  <c r="KY59" i="31"/>
  <c r="KY95" i="31"/>
  <c r="KY17" i="31"/>
  <c r="KY47" i="31"/>
  <c r="KY66" i="31"/>
  <c r="KY91" i="31"/>
  <c r="KY54" i="31"/>
  <c r="KY96" i="31"/>
  <c r="KY62" i="31"/>
  <c r="KY75" i="31"/>
  <c r="KY191" i="31"/>
  <c r="KY199" i="31"/>
  <c r="KY100" i="31"/>
  <c r="KY108" i="31"/>
  <c r="KY116" i="31"/>
  <c r="KY187" i="31"/>
  <c r="KY207" i="31"/>
  <c r="KY25" i="31"/>
  <c r="KY33" i="31"/>
  <c r="KY41" i="31"/>
  <c r="KY49" i="31"/>
  <c r="KY57" i="31"/>
  <c r="KY65" i="31"/>
  <c r="KY73" i="31"/>
  <c r="KY81" i="31"/>
  <c r="KY89" i="31"/>
  <c r="KY97" i="31"/>
  <c r="KY105" i="31"/>
  <c r="KY113" i="31"/>
  <c r="KY121" i="31"/>
  <c r="KY171" i="31"/>
  <c r="KY196" i="31"/>
  <c r="KY136" i="31"/>
  <c r="KY144" i="31"/>
  <c r="KY190" i="31"/>
  <c r="KY206" i="31"/>
  <c r="KY126" i="31"/>
  <c r="KY134" i="31"/>
  <c r="KY142" i="31"/>
  <c r="KY151" i="31"/>
  <c r="KY164" i="31"/>
  <c r="KY180" i="31"/>
  <c r="KY200" i="31"/>
  <c r="KY202" i="31"/>
  <c r="KY241" i="31"/>
  <c r="KY226" i="31"/>
  <c r="KY230" i="31"/>
  <c r="KY234" i="31"/>
  <c r="KY149" i="31"/>
  <c r="KY157" i="31"/>
  <c r="KY165" i="31"/>
  <c r="KY173" i="31"/>
  <c r="KY181" i="31"/>
  <c r="KY189" i="31"/>
  <c r="KY197" i="31"/>
  <c r="KY205" i="31"/>
  <c r="KY237" i="31"/>
  <c r="KY253" i="31"/>
  <c r="KY348" i="31"/>
  <c r="KY352" i="31"/>
  <c r="KY265" i="31"/>
  <c r="KY313" i="31"/>
  <c r="KY328" i="31"/>
  <c r="KY305" i="31"/>
  <c r="KY309" i="31"/>
  <c r="KY340" i="31"/>
  <c r="KY364" i="31"/>
  <c r="KY310" i="31"/>
  <c r="KY318" i="31"/>
  <c r="KY326" i="31"/>
  <c r="KY334" i="31"/>
  <c r="KY342" i="31"/>
  <c r="KY350" i="31"/>
  <c r="KY358" i="31"/>
  <c r="KY366" i="31"/>
  <c r="KY51" i="31"/>
  <c r="KY172" i="31"/>
  <c r="KY88" i="31"/>
  <c r="KY42" i="31"/>
  <c r="KY9" i="31"/>
  <c r="KY137" i="31"/>
  <c r="KY6" i="31"/>
  <c r="KY67" i="31"/>
  <c r="AR8" i="31"/>
  <c r="GK8" i="31" s="1"/>
  <c r="GL8" i="31" s="1"/>
  <c r="AR9" i="31"/>
  <c r="GK9" i="31" s="1"/>
  <c r="GL9" i="31" s="1"/>
  <c r="AR14" i="31"/>
  <c r="GK14" i="31" s="1"/>
  <c r="GL14" i="31" s="1"/>
  <c r="AR10" i="31"/>
  <c r="GK10" i="31" s="1"/>
  <c r="GL10" i="31" s="1"/>
  <c r="AR11" i="31"/>
  <c r="GK11" i="31" s="1"/>
  <c r="GL11" i="31" s="1"/>
  <c r="AR15" i="31"/>
  <c r="GK15" i="31" s="1"/>
  <c r="GL15" i="31" s="1"/>
  <c r="AR16" i="31"/>
  <c r="GK16" i="31" s="1"/>
  <c r="GL16" i="31" s="1"/>
  <c r="AR17" i="31"/>
  <c r="GK17" i="31" s="1"/>
  <c r="GL17" i="31" s="1"/>
  <c r="AR12" i="31"/>
  <c r="GK12" i="31" s="1"/>
  <c r="GL12" i="31" s="1"/>
  <c r="AR13" i="31"/>
  <c r="GK13" i="31" s="1"/>
  <c r="GL13" i="31" s="1"/>
  <c r="AR18" i="31"/>
  <c r="GK18" i="31" s="1"/>
  <c r="GL18" i="31" s="1"/>
  <c r="AR6" i="31"/>
  <c r="AH76" i="31"/>
  <c r="AS76" i="31" s="1"/>
  <c r="FT76" i="31"/>
  <c r="EA76" i="31"/>
  <c r="AH75" i="31"/>
  <c r="AS75" i="31" s="1"/>
  <c r="FT75" i="31"/>
  <c r="EA75" i="31"/>
  <c r="AH109" i="31"/>
  <c r="AS109" i="31" s="1"/>
  <c r="FT109" i="31"/>
  <c r="EA109" i="31"/>
  <c r="AH132" i="31"/>
  <c r="AS132" i="31" s="1"/>
  <c r="FT132" i="31"/>
  <c r="EA132" i="31"/>
  <c r="AH194" i="31"/>
  <c r="AS194" i="31" s="1"/>
  <c r="FT194" i="31"/>
  <c r="EA194" i="31"/>
  <c r="AH251" i="31"/>
  <c r="AS251" i="31" s="1"/>
  <c r="FT251" i="31"/>
  <c r="EA251" i="31"/>
  <c r="AH263" i="31"/>
  <c r="AS263" i="31" s="1"/>
  <c r="FT263" i="31"/>
  <c r="EA263" i="31"/>
  <c r="AH364" i="31"/>
  <c r="AS364" i="31" s="1"/>
  <c r="FT364" i="31"/>
  <c r="EA364" i="31"/>
  <c r="FT28" i="31"/>
  <c r="EA28" i="31"/>
  <c r="FT27" i="31"/>
  <c r="EA27" i="31"/>
  <c r="FT12" i="31"/>
  <c r="EA12" i="31"/>
  <c r="FT55" i="31"/>
  <c r="EA55" i="31"/>
  <c r="FT43" i="31"/>
  <c r="EA43" i="31"/>
  <c r="FT63" i="31"/>
  <c r="EA63" i="31"/>
  <c r="AH71" i="31"/>
  <c r="AS71" i="31" s="1"/>
  <c r="FT71" i="31"/>
  <c r="EA71" i="31"/>
  <c r="AH119" i="31"/>
  <c r="AS119" i="31" s="1"/>
  <c r="FT119" i="31"/>
  <c r="EA119" i="31"/>
  <c r="FT48" i="31"/>
  <c r="EA48" i="31"/>
  <c r="FT60" i="31"/>
  <c r="EA60" i="31"/>
  <c r="AH125" i="31"/>
  <c r="AS125" i="31" s="1"/>
  <c r="FT125" i="31"/>
  <c r="EA125" i="31"/>
  <c r="AH249" i="31"/>
  <c r="AS249" i="31" s="1"/>
  <c r="EA249" i="31"/>
  <c r="FT249" i="31"/>
  <c r="AH69" i="31"/>
  <c r="AS69" i="31" s="1"/>
  <c r="FT69" i="31"/>
  <c r="EA69" i="31"/>
  <c r="AH101" i="31"/>
  <c r="AS101" i="31" s="1"/>
  <c r="FT101" i="31"/>
  <c r="EA101" i="31"/>
  <c r="AH141" i="31"/>
  <c r="AS141" i="31" s="1"/>
  <c r="FT141" i="31"/>
  <c r="EA141" i="31"/>
  <c r="AH82" i="31"/>
  <c r="AS82" i="31" s="1"/>
  <c r="FT82" i="31"/>
  <c r="EA82" i="31"/>
  <c r="AH114" i="31"/>
  <c r="AS114" i="31" s="1"/>
  <c r="FT114" i="31"/>
  <c r="EA114" i="31"/>
  <c r="AH158" i="31"/>
  <c r="AS158" i="31" s="1"/>
  <c r="FT158" i="31"/>
  <c r="EA158" i="31"/>
  <c r="AH130" i="31"/>
  <c r="AS130" i="31" s="1"/>
  <c r="FT130" i="31"/>
  <c r="EA130" i="31"/>
  <c r="AH168" i="31"/>
  <c r="AS168" i="31" s="1"/>
  <c r="FT168" i="31"/>
  <c r="EA168" i="31"/>
  <c r="AH169" i="31"/>
  <c r="AS169" i="31" s="1"/>
  <c r="FT169" i="31"/>
  <c r="EA169" i="31"/>
  <c r="AH201" i="31"/>
  <c r="AS201" i="31" s="1"/>
  <c r="EA201" i="31"/>
  <c r="FT201" i="31"/>
  <c r="AH237" i="31"/>
  <c r="AS237" i="31" s="1"/>
  <c r="FT237" i="31"/>
  <c r="EA237" i="31"/>
  <c r="AH228" i="31"/>
  <c r="AS228" i="31" s="1"/>
  <c r="FT228" i="31"/>
  <c r="EA228" i="31"/>
  <c r="AH238" i="31"/>
  <c r="AS238" i="31" s="1"/>
  <c r="FT238" i="31"/>
  <c r="EA238" i="31"/>
  <c r="AH211" i="31"/>
  <c r="AS211" i="31" s="1"/>
  <c r="FT211" i="31"/>
  <c r="EA211" i="31"/>
  <c r="AH243" i="31"/>
  <c r="AS243" i="31" s="1"/>
  <c r="FT243" i="31"/>
  <c r="EA243" i="31"/>
  <c r="AH281" i="31"/>
  <c r="AS281" i="31" s="1"/>
  <c r="FT281" i="31"/>
  <c r="EA281" i="31"/>
  <c r="AH305" i="31"/>
  <c r="AS305" i="31" s="1"/>
  <c r="FT305" i="31"/>
  <c r="EA305" i="31"/>
  <c r="AH278" i="31"/>
  <c r="AS278" i="31" s="1"/>
  <c r="FT278" i="31"/>
  <c r="EA278" i="31"/>
  <c r="AH287" i="31"/>
  <c r="AS287" i="31" s="1"/>
  <c r="FT287" i="31"/>
  <c r="EA287" i="31"/>
  <c r="AH344" i="31"/>
  <c r="AS344" i="31" s="1"/>
  <c r="EA344" i="31"/>
  <c r="FT344" i="31"/>
  <c r="AH356" i="31"/>
  <c r="AS356" i="31" s="1"/>
  <c r="FT356" i="31"/>
  <c r="EA356" i="31"/>
  <c r="AH268" i="31"/>
  <c r="AS268" i="31" s="1"/>
  <c r="FT268" i="31"/>
  <c r="EA268" i="31"/>
  <c r="AH300" i="31"/>
  <c r="AS300" i="31" s="1"/>
  <c r="FT300" i="31"/>
  <c r="EA300" i="31"/>
  <c r="AH345" i="31"/>
  <c r="AS345" i="31" s="1"/>
  <c r="EA345" i="31"/>
  <c r="FT345" i="31"/>
  <c r="AH314" i="31"/>
  <c r="AS314" i="31" s="1"/>
  <c r="FT314" i="31"/>
  <c r="EA314" i="31"/>
  <c r="AH346" i="31"/>
  <c r="AS346" i="31" s="1"/>
  <c r="EA346" i="31"/>
  <c r="FT346" i="31"/>
  <c r="AH307" i="31"/>
  <c r="AS307" i="31" s="1"/>
  <c r="FT307" i="31"/>
  <c r="EA307" i="31"/>
  <c r="AH339" i="31"/>
  <c r="AS339" i="31" s="1"/>
  <c r="EA339" i="31"/>
  <c r="FT339" i="31"/>
  <c r="FT23" i="31"/>
  <c r="EA23" i="31"/>
  <c r="FT24" i="31"/>
  <c r="EA24" i="31"/>
  <c r="AH67" i="31"/>
  <c r="AS67" i="31" s="1"/>
  <c r="FT67" i="31"/>
  <c r="EA67" i="31"/>
  <c r="FT32" i="31"/>
  <c r="EA32" i="31"/>
  <c r="AH151" i="31"/>
  <c r="AS151" i="31" s="1"/>
  <c r="FT151" i="31"/>
  <c r="EA151" i="31"/>
  <c r="AH253" i="31"/>
  <c r="AS253" i="31" s="1"/>
  <c r="FT253" i="31"/>
  <c r="EA253" i="31"/>
  <c r="AH286" i="31"/>
  <c r="AS286" i="31" s="1"/>
  <c r="FT286" i="31"/>
  <c r="EA286" i="31"/>
  <c r="AH347" i="31"/>
  <c r="AS347" i="31" s="1"/>
  <c r="EA347" i="31"/>
  <c r="FT347" i="31"/>
  <c r="FT42" i="31"/>
  <c r="EA42" i="31"/>
  <c r="FT26" i="31"/>
  <c r="EA26" i="31"/>
  <c r="AH103" i="31"/>
  <c r="AS103" i="31" s="1"/>
  <c r="FT103" i="31"/>
  <c r="EA103" i="31"/>
  <c r="FT35" i="31"/>
  <c r="EA35" i="31"/>
  <c r="AH95" i="31"/>
  <c r="AS95" i="31" s="1"/>
  <c r="FT95" i="31"/>
  <c r="EA95" i="31"/>
  <c r="AH91" i="31"/>
  <c r="FT91" i="31"/>
  <c r="EA91" i="31"/>
  <c r="FT62" i="31"/>
  <c r="EA62" i="31"/>
  <c r="AH108" i="31"/>
  <c r="AS108" i="31" s="1"/>
  <c r="FT108" i="31"/>
  <c r="EA108" i="31"/>
  <c r="FT21" i="31"/>
  <c r="EA21" i="31"/>
  <c r="FT29" i="31"/>
  <c r="EA29" i="31"/>
  <c r="FT37" i="31"/>
  <c r="EA37" i="31"/>
  <c r="FT45" i="31"/>
  <c r="EA45" i="31"/>
  <c r="FT53" i="31"/>
  <c r="EA53" i="31"/>
  <c r="FT61" i="31"/>
  <c r="EA61" i="31"/>
  <c r="AH81" i="31"/>
  <c r="AS81" i="31" s="1"/>
  <c r="FT81" i="31"/>
  <c r="AH113" i="31"/>
  <c r="AS113" i="31" s="1"/>
  <c r="FT113" i="31"/>
  <c r="EA113" i="31"/>
  <c r="AH171" i="31"/>
  <c r="AS171" i="31" s="1"/>
  <c r="FT171" i="31"/>
  <c r="EA171" i="31"/>
  <c r="AH94" i="31"/>
  <c r="AS94" i="31" s="1"/>
  <c r="FT94" i="31"/>
  <c r="EA94" i="31"/>
  <c r="AH196" i="31"/>
  <c r="AS196" i="31" s="1"/>
  <c r="FT196" i="31"/>
  <c r="EA196" i="31"/>
  <c r="AH136" i="31"/>
  <c r="AS136" i="31" s="1"/>
  <c r="FT136" i="31"/>
  <c r="EA136" i="31"/>
  <c r="AH159" i="31"/>
  <c r="AS159" i="31" s="1"/>
  <c r="FT159" i="31"/>
  <c r="EA159" i="31"/>
  <c r="AH174" i="31"/>
  <c r="AS174" i="31" s="1"/>
  <c r="FT174" i="31"/>
  <c r="EA174" i="31"/>
  <c r="AH142" i="31"/>
  <c r="AS142" i="31" s="1"/>
  <c r="FT142" i="31"/>
  <c r="EA142" i="31"/>
  <c r="AH131" i="31"/>
  <c r="AS131" i="31" s="1"/>
  <c r="FT131" i="31"/>
  <c r="EA131" i="31"/>
  <c r="AH202" i="31"/>
  <c r="AS202" i="31" s="1"/>
  <c r="FT202" i="31"/>
  <c r="EA202" i="31"/>
  <c r="AH234" i="31"/>
  <c r="AS234" i="31" s="1"/>
  <c r="FT234" i="31"/>
  <c r="EA234" i="31"/>
  <c r="AH149" i="31"/>
  <c r="AS149" i="31" s="1"/>
  <c r="FT149" i="31"/>
  <c r="EA149" i="31"/>
  <c r="AH181" i="31"/>
  <c r="AS181" i="31" s="1"/>
  <c r="FT181" i="31"/>
  <c r="EA181" i="31"/>
  <c r="AH240" i="31"/>
  <c r="AS240" i="31" s="1"/>
  <c r="FT240" i="31"/>
  <c r="EA240" i="31"/>
  <c r="AH250" i="31"/>
  <c r="AS250" i="31" s="1"/>
  <c r="FT250" i="31"/>
  <c r="EA250" i="31"/>
  <c r="AH223" i="31"/>
  <c r="AS223" i="31" s="1"/>
  <c r="FT223" i="31"/>
  <c r="EA223" i="31"/>
  <c r="AH255" i="31"/>
  <c r="AS255" i="31" s="1"/>
  <c r="FT255" i="31"/>
  <c r="EA255" i="31"/>
  <c r="AH290" i="31"/>
  <c r="AS290" i="31" s="1"/>
  <c r="FT290" i="31"/>
  <c r="EA290" i="31"/>
  <c r="AH320" i="31"/>
  <c r="AS320" i="31" s="1"/>
  <c r="FT320" i="31"/>
  <c r="EA320" i="31"/>
  <c r="AH360" i="31"/>
  <c r="AS360" i="31" s="1"/>
  <c r="EA360" i="31"/>
  <c r="FT360" i="31"/>
  <c r="AH267" i="31"/>
  <c r="AS267" i="31" s="1"/>
  <c r="FT267" i="31"/>
  <c r="EA267" i="31"/>
  <c r="AH299" i="31"/>
  <c r="AS299" i="31" s="1"/>
  <c r="FT299" i="31"/>
  <c r="EA299" i="31"/>
  <c r="AH312" i="31"/>
  <c r="AS312" i="31" s="1"/>
  <c r="FT312" i="31"/>
  <c r="EA312" i="31"/>
  <c r="AH280" i="31"/>
  <c r="AS280" i="31" s="1"/>
  <c r="FT280" i="31"/>
  <c r="EA280" i="31"/>
  <c r="AH332" i="31"/>
  <c r="AS332" i="31" s="1"/>
  <c r="EA332" i="31"/>
  <c r="FT332" i="31"/>
  <c r="AH325" i="31"/>
  <c r="AS325" i="31" s="1"/>
  <c r="FT325" i="31"/>
  <c r="EA325" i="31"/>
  <c r="AH357" i="31"/>
  <c r="AS357" i="31" s="1"/>
  <c r="FT357" i="31"/>
  <c r="EA357" i="31"/>
  <c r="AH326" i="31"/>
  <c r="AS326" i="31" s="1"/>
  <c r="FT326" i="31"/>
  <c r="EA326" i="31"/>
  <c r="AH358" i="31"/>
  <c r="AS358" i="31" s="1"/>
  <c r="FT358" i="31"/>
  <c r="EA358" i="31"/>
  <c r="AH319" i="31"/>
  <c r="AS319" i="31" s="1"/>
  <c r="FT319" i="31"/>
  <c r="EA319" i="31"/>
  <c r="AH351" i="31"/>
  <c r="AS351" i="31" s="1"/>
  <c r="EA351" i="31"/>
  <c r="FT351" i="31"/>
  <c r="AH88" i="31"/>
  <c r="AS88" i="31" s="1"/>
  <c r="FT88" i="31"/>
  <c r="EA88" i="31"/>
  <c r="FT20" i="31"/>
  <c r="EA20" i="31"/>
  <c r="AH204" i="31"/>
  <c r="AS204" i="31" s="1"/>
  <c r="FT204" i="31"/>
  <c r="EA204" i="31"/>
  <c r="AH72" i="31"/>
  <c r="AS72" i="31" s="1"/>
  <c r="FT72" i="31"/>
  <c r="EA72" i="31"/>
  <c r="FT46" i="31"/>
  <c r="EA46" i="31"/>
  <c r="AH127" i="31"/>
  <c r="AS127" i="31" s="1"/>
  <c r="FT127" i="31"/>
  <c r="EA127" i="31"/>
  <c r="AH177" i="31"/>
  <c r="AS177" i="31" s="1"/>
  <c r="FT177" i="31"/>
  <c r="EA177" i="31"/>
  <c r="AH219" i="31"/>
  <c r="AS219" i="31" s="1"/>
  <c r="FT219" i="31"/>
  <c r="EA219" i="31"/>
  <c r="AH315" i="31"/>
  <c r="AS315" i="31" s="1"/>
  <c r="FT315" i="31"/>
  <c r="EA315" i="31"/>
  <c r="FT8" i="31"/>
  <c r="EA8" i="31"/>
  <c r="FT15" i="31"/>
  <c r="EA15" i="31"/>
  <c r="AH182" i="31"/>
  <c r="AS182" i="31" s="1"/>
  <c r="FT182" i="31"/>
  <c r="EA182" i="31"/>
  <c r="FT38" i="31"/>
  <c r="EA38" i="31"/>
  <c r="FT59" i="31"/>
  <c r="EA59" i="31"/>
  <c r="AH191" i="31"/>
  <c r="AS191" i="31" s="1"/>
  <c r="FT191" i="31"/>
  <c r="EA191" i="31"/>
  <c r="AH120" i="31"/>
  <c r="AS120" i="31" s="1"/>
  <c r="FT120" i="31"/>
  <c r="EA120" i="31"/>
  <c r="AH178" i="31"/>
  <c r="AS178" i="31" s="1"/>
  <c r="FT178" i="31"/>
  <c r="EA178" i="31"/>
  <c r="AH93" i="31"/>
  <c r="AS93" i="31" s="1"/>
  <c r="FT93" i="31"/>
  <c r="EA93" i="31"/>
  <c r="AH74" i="31"/>
  <c r="AS74" i="31" s="1"/>
  <c r="FT74" i="31"/>
  <c r="EA74" i="31"/>
  <c r="AH106" i="31"/>
  <c r="AS106" i="31" s="1"/>
  <c r="FT106" i="31"/>
  <c r="EA106" i="31"/>
  <c r="AH160" i="31"/>
  <c r="AS160" i="31" s="1"/>
  <c r="FT160" i="31"/>
  <c r="EA160" i="31"/>
  <c r="AH206" i="31"/>
  <c r="AS206" i="31" s="1"/>
  <c r="FT206" i="31"/>
  <c r="EA206" i="31"/>
  <c r="AH257" i="31"/>
  <c r="AS257" i="31" s="1"/>
  <c r="EA257" i="31"/>
  <c r="FT257" i="31"/>
  <c r="AH203" i="31"/>
  <c r="AS203" i="31" s="1"/>
  <c r="FT203" i="31"/>
  <c r="EA203" i="31"/>
  <c r="AH143" i="31"/>
  <c r="AS143" i="31" s="1"/>
  <c r="FT143" i="31"/>
  <c r="EA143" i="31"/>
  <c r="AH208" i="31"/>
  <c r="AS208" i="31" s="1"/>
  <c r="FT208" i="31"/>
  <c r="EA208" i="31"/>
  <c r="AH230" i="31"/>
  <c r="AS230" i="31" s="1"/>
  <c r="FT230" i="31"/>
  <c r="EA230" i="31"/>
  <c r="AH161" i="31"/>
  <c r="AS161" i="31" s="1"/>
  <c r="FT161" i="31"/>
  <c r="EA161" i="31"/>
  <c r="AH193" i="31"/>
  <c r="AS193" i="31" s="1"/>
  <c r="EA193" i="31"/>
  <c r="FT193" i="31"/>
  <c r="AH233" i="31"/>
  <c r="AS233" i="31" s="1"/>
  <c r="FT233" i="31"/>
  <c r="EA233" i="31"/>
  <c r="AH352" i="31"/>
  <c r="AS352" i="31" s="1"/>
  <c r="EA352" i="31"/>
  <c r="FT352" i="31"/>
  <c r="AH220" i="31"/>
  <c r="AS220" i="31" s="1"/>
  <c r="FT220" i="31"/>
  <c r="EA220" i="31"/>
  <c r="AH252" i="31"/>
  <c r="AS252" i="31" s="1"/>
  <c r="FT252" i="31"/>
  <c r="EA252" i="31"/>
  <c r="AH235" i="31"/>
  <c r="AS235" i="31" s="1"/>
  <c r="FT235" i="31"/>
  <c r="EA235" i="31"/>
  <c r="AH270" i="31"/>
  <c r="AS270" i="31" s="1"/>
  <c r="FT270" i="31"/>
  <c r="EA270" i="31"/>
  <c r="AH302" i="31"/>
  <c r="AS302" i="31" s="1"/>
  <c r="FT302" i="31"/>
  <c r="EA302" i="31"/>
  <c r="AH279" i="31"/>
  <c r="AS279" i="31" s="1"/>
  <c r="FT279" i="31"/>
  <c r="EA279" i="31"/>
  <c r="AH368" i="31"/>
  <c r="AS368" i="31" s="1"/>
  <c r="EA368" i="31"/>
  <c r="FT368" i="31"/>
  <c r="AH260" i="31"/>
  <c r="AS260" i="31" s="1"/>
  <c r="FT260" i="31"/>
  <c r="EA260" i="31"/>
  <c r="AH292" i="31"/>
  <c r="AS292" i="31" s="1"/>
  <c r="FT292" i="31"/>
  <c r="EA292" i="31"/>
  <c r="AH337" i="31"/>
  <c r="AS337" i="31" s="1"/>
  <c r="EA337" i="31"/>
  <c r="FT337" i="31"/>
  <c r="AH369" i="31"/>
  <c r="AS369" i="31" s="1"/>
  <c r="EA369" i="31"/>
  <c r="FT369" i="31"/>
  <c r="AH306" i="31"/>
  <c r="AS306" i="31" s="1"/>
  <c r="FT306" i="31"/>
  <c r="EA306" i="31"/>
  <c r="AH338" i="31"/>
  <c r="AS338" i="31" s="1"/>
  <c r="EA338" i="31"/>
  <c r="FT338" i="31"/>
  <c r="AH370" i="31"/>
  <c r="AS370" i="31" s="1"/>
  <c r="EA370" i="31"/>
  <c r="FT370" i="31"/>
  <c r="AH331" i="31"/>
  <c r="AS331" i="31" s="1"/>
  <c r="EA331" i="31"/>
  <c r="FT331" i="31"/>
  <c r="AH363" i="31"/>
  <c r="AS363" i="31" s="1"/>
  <c r="EA363" i="31"/>
  <c r="FT363" i="31"/>
  <c r="FT7" i="31"/>
  <c r="EA7" i="31"/>
  <c r="FT50" i="31"/>
  <c r="EA50" i="31"/>
  <c r="AH122" i="31"/>
  <c r="AS122" i="31" s="1"/>
  <c r="FT122" i="31"/>
  <c r="EA122" i="31"/>
  <c r="AH148" i="31"/>
  <c r="AS148" i="31" s="1"/>
  <c r="FT148" i="31"/>
  <c r="EA148" i="31"/>
  <c r="AH236" i="31"/>
  <c r="AS236" i="31" s="1"/>
  <c r="FT236" i="31"/>
  <c r="EA236" i="31"/>
  <c r="FT19" i="31"/>
  <c r="EA19" i="31"/>
  <c r="AH83" i="31"/>
  <c r="AS83" i="31" s="1"/>
  <c r="FT83" i="31"/>
  <c r="EA83" i="31"/>
  <c r="AH123" i="31"/>
  <c r="AS123" i="31" s="1"/>
  <c r="FT123" i="31"/>
  <c r="EA123" i="31"/>
  <c r="FT16" i="31"/>
  <c r="EA16" i="31"/>
  <c r="AH170" i="31"/>
  <c r="AS170" i="31" s="1"/>
  <c r="FT170" i="31"/>
  <c r="EA170" i="31"/>
  <c r="EA17" i="31"/>
  <c r="FT17" i="31"/>
  <c r="AH66" i="31"/>
  <c r="AS66" i="31" s="1"/>
  <c r="FT66" i="31"/>
  <c r="EA66" i="31"/>
  <c r="AH96" i="31"/>
  <c r="AS96" i="31" s="1"/>
  <c r="FT96" i="31"/>
  <c r="EA96" i="31"/>
  <c r="AH92" i="31"/>
  <c r="AS92" i="31" s="1"/>
  <c r="FT92" i="31"/>
  <c r="EA92" i="31"/>
  <c r="AH100" i="31"/>
  <c r="AS100" i="31" s="1"/>
  <c r="FT100" i="31"/>
  <c r="EA100" i="31"/>
  <c r="AH175" i="31"/>
  <c r="AS175" i="31" s="1"/>
  <c r="FT175" i="31"/>
  <c r="EA175" i="31"/>
  <c r="AH183" i="31"/>
  <c r="AS183" i="31" s="1"/>
  <c r="FT183" i="31"/>
  <c r="EA183" i="31"/>
  <c r="AH73" i="31"/>
  <c r="AS73" i="31" s="1"/>
  <c r="EA73" i="31"/>
  <c r="FT73" i="31"/>
  <c r="AH105" i="31"/>
  <c r="AS105" i="31" s="1"/>
  <c r="FT105" i="31"/>
  <c r="EA105" i="31"/>
  <c r="AH86" i="31"/>
  <c r="AS86" i="31" s="1"/>
  <c r="FT86" i="31"/>
  <c r="EA86" i="31"/>
  <c r="AH118" i="31"/>
  <c r="AS118" i="31" s="1"/>
  <c r="FT118" i="31"/>
  <c r="EA118" i="31"/>
  <c r="AH179" i="31"/>
  <c r="AS179" i="31" s="1"/>
  <c r="FT179" i="31"/>
  <c r="EA179" i="31"/>
  <c r="AH186" i="31"/>
  <c r="AS186" i="31" s="1"/>
  <c r="FT186" i="31"/>
  <c r="EA186" i="31"/>
  <c r="AH289" i="31"/>
  <c r="AS289" i="31" s="1"/>
  <c r="FT289" i="31"/>
  <c r="EA289" i="31"/>
  <c r="AH134" i="31"/>
  <c r="AS134" i="31" s="1"/>
  <c r="FT134" i="31"/>
  <c r="EA134" i="31"/>
  <c r="AH184" i="31"/>
  <c r="AS184" i="31" s="1"/>
  <c r="FT184" i="31"/>
  <c r="EA184" i="31"/>
  <c r="AH226" i="31"/>
  <c r="AS226" i="31" s="1"/>
  <c r="FT226" i="31"/>
  <c r="EA226" i="31"/>
  <c r="AH173" i="31"/>
  <c r="AS173" i="31" s="1"/>
  <c r="FT173" i="31"/>
  <c r="EA173" i="31"/>
  <c r="AH205" i="31"/>
  <c r="AS205" i="31" s="1"/>
  <c r="FT205" i="31"/>
  <c r="EA205" i="31"/>
  <c r="AH245" i="31"/>
  <c r="AS245" i="31" s="1"/>
  <c r="FT245" i="31"/>
  <c r="EA245" i="31"/>
  <c r="AH210" i="31"/>
  <c r="AS210" i="31" s="1"/>
  <c r="FT210" i="31"/>
  <c r="EA210" i="31"/>
  <c r="AH232" i="31"/>
  <c r="AS232" i="31" s="1"/>
  <c r="FT232" i="31"/>
  <c r="EA232" i="31"/>
  <c r="AH242" i="31"/>
  <c r="AS242" i="31" s="1"/>
  <c r="FT242" i="31"/>
  <c r="EA242" i="31"/>
  <c r="AH269" i="31"/>
  <c r="AS269" i="31" s="1"/>
  <c r="FT269" i="31"/>
  <c r="EA269" i="31"/>
  <c r="AH215" i="31"/>
  <c r="AS215" i="31" s="1"/>
  <c r="FT215" i="31"/>
  <c r="EA215" i="31"/>
  <c r="AH247" i="31"/>
  <c r="AS247" i="31" s="1"/>
  <c r="FT247" i="31"/>
  <c r="EA247" i="31"/>
  <c r="AH297" i="31"/>
  <c r="AS297" i="31" s="1"/>
  <c r="FT297" i="31"/>
  <c r="EA297" i="31"/>
  <c r="AH282" i="31"/>
  <c r="AS282" i="31" s="1"/>
  <c r="FT282" i="31"/>
  <c r="EA282" i="31"/>
  <c r="AH304" i="31"/>
  <c r="AS304" i="31" s="1"/>
  <c r="FT304" i="31"/>
  <c r="EA304" i="31"/>
  <c r="AH259" i="31"/>
  <c r="AS259" i="31" s="1"/>
  <c r="FT259" i="31"/>
  <c r="EA259" i="31"/>
  <c r="AH291" i="31"/>
  <c r="AS291" i="31" s="1"/>
  <c r="FT291" i="31"/>
  <c r="EA291" i="31"/>
  <c r="AH272" i="31"/>
  <c r="AS272" i="31" s="1"/>
  <c r="FT272" i="31"/>
  <c r="EA272" i="31"/>
  <c r="AH317" i="31"/>
  <c r="AS317" i="31" s="1"/>
  <c r="FT317" i="31"/>
  <c r="EA317" i="31"/>
  <c r="AH349" i="31"/>
  <c r="AS349" i="31" s="1"/>
  <c r="FT349" i="31"/>
  <c r="EA349" i="31"/>
  <c r="AH318" i="31"/>
  <c r="AS318" i="31" s="1"/>
  <c r="FT318" i="31"/>
  <c r="EA318" i="31"/>
  <c r="AH350" i="31"/>
  <c r="AS350" i="31" s="1"/>
  <c r="FT350" i="31"/>
  <c r="EA350" i="31"/>
  <c r="AH311" i="31"/>
  <c r="AS311" i="31" s="1"/>
  <c r="FT311" i="31"/>
  <c r="EA311" i="31"/>
  <c r="AH343" i="31"/>
  <c r="AS343" i="31" s="1"/>
  <c r="EA343" i="31"/>
  <c r="FT343" i="31"/>
  <c r="AH172" i="31"/>
  <c r="AS172" i="31" s="1"/>
  <c r="FT172" i="31"/>
  <c r="EA172" i="31"/>
  <c r="FT14" i="31"/>
  <c r="EA14" i="31"/>
  <c r="AH79" i="31"/>
  <c r="AS79" i="31" s="1"/>
  <c r="FT79" i="31"/>
  <c r="EA79" i="31"/>
  <c r="AH104" i="31"/>
  <c r="AS104" i="31" s="1"/>
  <c r="FT104" i="31"/>
  <c r="EA104" i="31"/>
  <c r="AH166" i="31"/>
  <c r="AS166" i="31" s="1"/>
  <c r="FT166" i="31"/>
  <c r="EA166" i="31"/>
  <c r="AH163" i="31"/>
  <c r="AS163" i="31" s="1"/>
  <c r="FT163" i="31"/>
  <c r="EA163" i="31"/>
  <c r="AH276" i="31"/>
  <c r="AS276" i="31" s="1"/>
  <c r="FT276" i="31"/>
  <c r="EA276" i="31"/>
  <c r="AH322" i="31"/>
  <c r="AS322" i="31" s="1"/>
  <c r="EA322" i="31"/>
  <c r="FT322" i="31"/>
  <c r="AH111" i="31"/>
  <c r="AS111" i="31" s="1"/>
  <c r="FT111" i="31"/>
  <c r="EA111" i="31"/>
  <c r="AH80" i="31"/>
  <c r="AS80" i="31" s="1"/>
  <c r="FT80" i="31"/>
  <c r="EA80" i="31"/>
  <c r="FT40" i="31"/>
  <c r="EA40" i="31"/>
  <c r="AH84" i="31"/>
  <c r="AS84" i="31" s="1"/>
  <c r="FT84" i="31"/>
  <c r="EA84" i="31"/>
  <c r="FT64" i="31"/>
  <c r="EA64" i="31"/>
  <c r="FT30" i="31"/>
  <c r="EA30" i="31"/>
  <c r="AH68" i="31"/>
  <c r="AS68" i="31" s="1"/>
  <c r="FT68" i="31"/>
  <c r="EA68" i="31"/>
  <c r="AH99" i="31"/>
  <c r="AS99" i="31" s="1"/>
  <c r="FT99" i="31"/>
  <c r="EA99" i="31"/>
  <c r="AH70" i="31"/>
  <c r="AS70" i="31" s="1"/>
  <c r="FT70" i="31"/>
  <c r="EA70" i="31"/>
  <c r="AH112" i="31"/>
  <c r="AS112" i="31" s="1"/>
  <c r="FT112" i="31"/>
  <c r="EA112" i="31"/>
  <c r="AH85" i="31"/>
  <c r="AS85" i="31" s="1"/>
  <c r="FT85" i="31"/>
  <c r="EA85" i="31"/>
  <c r="AH117" i="31"/>
  <c r="AS117" i="31" s="1"/>
  <c r="FT117" i="31"/>
  <c r="EA117" i="31"/>
  <c r="AH154" i="31"/>
  <c r="AS154" i="31" s="1"/>
  <c r="FT154" i="31"/>
  <c r="EA154" i="31"/>
  <c r="AH98" i="31"/>
  <c r="AS98" i="31" s="1"/>
  <c r="FT98" i="31"/>
  <c r="EA98" i="31"/>
  <c r="AH140" i="31"/>
  <c r="AS140" i="31" s="1"/>
  <c r="FT140" i="31"/>
  <c r="EA140" i="31"/>
  <c r="AH190" i="31"/>
  <c r="AS190" i="31" s="1"/>
  <c r="FT190" i="31"/>
  <c r="EA190" i="31"/>
  <c r="AH146" i="31"/>
  <c r="AS146" i="31" s="1"/>
  <c r="FT146" i="31"/>
  <c r="EA146" i="31"/>
  <c r="AH135" i="31"/>
  <c r="AS135" i="31" s="1"/>
  <c r="FT135" i="31"/>
  <c r="EA135" i="31"/>
  <c r="AH192" i="31"/>
  <c r="AS192" i="31" s="1"/>
  <c r="FT192" i="31"/>
  <c r="EA192" i="31"/>
  <c r="AH225" i="31"/>
  <c r="AS225" i="31" s="1"/>
  <c r="FT225" i="31"/>
  <c r="EA225" i="31"/>
  <c r="AH153" i="31"/>
  <c r="AS153" i="31" s="1"/>
  <c r="FT153" i="31"/>
  <c r="EA153" i="31"/>
  <c r="AH185" i="31"/>
  <c r="AS185" i="31" s="1"/>
  <c r="EA185" i="31"/>
  <c r="FT185" i="31"/>
  <c r="AH229" i="31"/>
  <c r="AS229" i="31" s="1"/>
  <c r="FT229" i="31"/>
  <c r="EA229" i="31"/>
  <c r="AH348" i="31"/>
  <c r="AS348" i="31" s="1"/>
  <c r="FT348" i="31"/>
  <c r="EA348" i="31"/>
  <c r="AH212" i="31"/>
  <c r="AS212" i="31" s="1"/>
  <c r="FT212" i="31"/>
  <c r="EA212" i="31"/>
  <c r="AH244" i="31"/>
  <c r="AS244" i="31" s="1"/>
  <c r="FT244" i="31"/>
  <c r="EA244" i="31"/>
  <c r="AH285" i="31"/>
  <c r="AS285" i="31" s="1"/>
  <c r="FT285" i="31"/>
  <c r="EA285" i="31"/>
  <c r="AH254" i="31"/>
  <c r="AS254" i="31" s="1"/>
  <c r="FT254" i="31"/>
  <c r="EA254" i="31"/>
  <c r="AH277" i="31"/>
  <c r="AS277" i="31" s="1"/>
  <c r="FT277" i="31"/>
  <c r="EA277" i="31"/>
  <c r="AH308" i="31"/>
  <c r="AS308" i="31" s="1"/>
  <c r="FT308" i="31"/>
  <c r="EA308" i="31"/>
  <c r="AH227" i="31"/>
  <c r="AS227" i="31" s="1"/>
  <c r="FT227" i="31"/>
  <c r="EA227" i="31"/>
  <c r="AH261" i="31"/>
  <c r="AS261" i="31" s="1"/>
  <c r="FT261" i="31"/>
  <c r="EA261" i="31"/>
  <c r="AH328" i="31"/>
  <c r="AS328" i="31" s="1"/>
  <c r="EA328" i="31"/>
  <c r="FT328" i="31"/>
  <c r="AH262" i="31"/>
  <c r="AS262" i="31" s="1"/>
  <c r="FT262" i="31"/>
  <c r="EA262" i="31"/>
  <c r="AH294" i="31"/>
  <c r="AS294" i="31" s="1"/>
  <c r="FT294" i="31"/>
  <c r="EA294" i="31"/>
  <c r="AH271" i="31"/>
  <c r="AS271" i="31" s="1"/>
  <c r="FT271" i="31"/>
  <c r="EA271" i="31"/>
  <c r="AH303" i="31"/>
  <c r="AS303" i="31" s="1"/>
  <c r="FT303" i="31"/>
  <c r="EA303" i="31"/>
  <c r="AH340" i="31"/>
  <c r="AS340" i="31" s="1"/>
  <c r="EA340" i="31"/>
  <c r="FT340" i="31"/>
  <c r="AH284" i="31"/>
  <c r="AS284" i="31" s="1"/>
  <c r="FT284" i="31"/>
  <c r="EA284" i="31"/>
  <c r="AH336" i="31"/>
  <c r="AS336" i="31" s="1"/>
  <c r="EA336" i="31"/>
  <c r="FT336" i="31"/>
  <c r="AH329" i="31"/>
  <c r="AS329" i="31" s="1"/>
  <c r="EA329" i="31"/>
  <c r="FT329" i="31"/>
  <c r="AH361" i="31"/>
  <c r="AS361" i="31" s="1"/>
  <c r="EA361" i="31"/>
  <c r="FT361" i="31"/>
  <c r="AH330" i="31"/>
  <c r="AS330" i="31" s="1"/>
  <c r="EA330" i="31"/>
  <c r="FT330" i="31"/>
  <c r="AH362" i="31"/>
  <c r="AS362" i="31" s="1"/>
  <c r="EA362" i="31"/>
  <c r="FT362" i="31"/>
  <c r="AH323" i="31"/>
  <c r="AS323" i="31" s="1"/>
  <c r="EA323" i="31"/>
  <c r="FT323" i="31"/>
  <c r="AH355" i="31"/>
  <c r="AS355" i="31" s="1"/>
  <c r="EA355" i="31"/>
  <c r="FT355" i="31"/>
  <c r="AH145" i="31"/>
  <c r="AS145" i="31" s="1"/>
  <c r="EA145" i="31"/>
  <c r="FT145" i="31"/>
  <c r="AH137" i="31"/>
  <c r="AS137" i="31" s="1"/>
  <c r="EA137" i="31"/>
  <c r="FT137" i="31"/>
  <c r="FT52" i="31"/>
  <c r="EA52" i="31"/>
  <c r="FT22" i="31"/>
  <c r="EA22" i="31"/>
  <c r="AH221" i="31"/>
  <c r="AS221" i="31" s="1"/>
  <c r="FT221" i="31"/>
  <c r="EA221" i="31"/>
  <c r="AH246" i="31"/>
  <c r="AS246" i="31" s="1"/>
  <c r="FT246" i="31"/>
  <c r="EA246" i="31"/>
  <c r="AH353" i="31"/>
  <c r="AS353" i="31" s="1"/>
  <c r="EA353" i="31"/>
  <c r="FT353" i="31"/>
  <c r="FT10" i="31"/>
  <c r="EA10" i="31"/>
  <c r="FT44" i="31"/>
  <c r="EA44" i="31"/>
  <c r="FT56" i="31"/>
  <c r="EA56" i="31"/>
  <c r="FT34" i="31"/>
  <c r="EA34" i="31"/>
  <c r="AH107" i="31"/>
  <c r="AS107" i="31" s="1"/>
  <c r="FT107" i="31"/>
  <c r="EA107" i="31"/>
  <c r="AH87" i="31"/>
  <c r="AS87" i="31" s="1"/>
  <c r="FT87" i="31"/>
  <c r="EA87" i="31"/>
  <c r="AH129" i="31"/>
  <c r="AS129" i="31" s="1"/>
  <c r="EA129" i="31"/>
  <c r="FT129" i="31"/>
  <c r="FT36" i="31"/>
  <c r="EA36" i="31"/>
  <c r="FT31" i="31"/>
  <c r="EA31" i="31"/>
  <c r="FT54" i="31"/>
  <c r="EA54" i="31"/>
  <c r="AH199" i="31"/>
  <c r="AS199" i="31" s="1"/>
  <c r="FT199" i="31"/>
  <c r="EA199" i="31"/>
  <c r="AH187" i="31"/>
  <c r="AS187" i="31" s="1"/>
  <c r="FT187" i="31"/>
  <c r="EA187" i="31"/>
  <c r="AH207" i="31"/>
  <c r="AS207" i="31" s="1"/>
  <c r="FT207" i="31"/>
  <c r="EA207" i="31"/>
  <c r="FT25" i="31"/>
  <c r="EA25" i="31"/>
  <c r="FT33" i="31"/>
  <c r="EA33" i="31"/>
  <c r="FT41" i="31"/>
  <c r="EA41" i="31"/>
  <c r="FT49" i="31"/>
  <c r="EA49" i="31"/>
  <c r="EA57" i="31"/>
  <c r="FT57" i="31"/>
  <c r="AH65" i="31"/>
  <c r="AS65" i="31" s="1"/>
  <c r="EA65" i="31"/>
  <c r="FT65" i="31"/>
  <c r="AH97" i="31"/>
  <c r="AS97" i="31" s="1"/>
  <c r="FT97" i="31"/>
  <c r="EA97" i="31"/>
  <c r="AH133" i="31"/>
  <c r="AS133" i="31" s="1"/>
  <c r="FT133" i="31"/>
  <c r="EA133" i="31"/>
  <c r="AH156" i="31"/>
  <c r="AS156" i="31" s="1"/>
  <c r="FT156" i="31"/>
  <c r="EA156" i="31"/>
  <c r="AH176" i="31"/>
  <c r="AS176" i="31" s="1"/>
  <c r="FT176" i="31"/>
  <c r="EA176" i="31"/>
  <c r="AH78" i="31"/>
  <c r="AS78" i="31" s="1"/>
  <c r="FT78" i="31"/>
  <c r="EA78" i="31"/>
  <c r="AH110" i="31"/>
  <c r="AS110" i="31" s="1"/>
  <c r="FT110" i="31"/>
  <c r="EA110" i="31"/>
  <c r="AH214" i="31"/>
  <c r="AS214" i="31" s="1"/>
  <c r="FT214" i="31"/>
  <c r="EA214" i="31"/>
  <c r="AH126" i="31"/>
  <c r="AS126" i="31" s="1"/>
  <c r="FT126" i="31"/>
  <c r="EA126" i="31"/>
  <c r="AH150" i="31"/>
  <c r="AS150" i="31" s="1"/>
  <c r="FT150" i="31"/>
  <c r="EA150" i="31"/>
  <c r="AH147" i="31"/>
  <c r="AS147" i="31" s="1"/>
  <c r="FT147" i="31"/>
  <c r="EA147" i="31"/>
  <c r="AH162" i="31"/>
  <c r="AS162" i="31" s="1"/>
  <c r="FT162" i="31"/>
  <c r="EA162" i="31"/>
  <c r="AH218" i="31"/>
  <c r="AS218" i="31" s="1"/>
  <c r="FT218" i="31"/>
  <c r="EA218" i="31"/>
  <c r="AH165" i="31"/>
  <c r="AS165" i="31" s="1"/>
  <c r="FT165" i="31"/>
  <c r="EA165" i="31"/>
  <c r="AH197" i="31"/>
  <c r="AS197" i="31" s="1"/>
  <c r="FT197" i="31"/>
  <c r="EA197" i="31"/>
  <c r="AH224" i="31"/>
  <c r="AS224" i="31" s="1"/>
  <c r="FT224" i="31"/>
  <c r="EA224" i="31"/>
  <c r="AH256" i="31"/>
  <c r="AS256" i="31" s="1"/>
  <c r="FT256" i="31"/>
  <c r="EA256" i="31"/>
  <c r="AH313" i="31"/>
  <c r="AS313" i="31" s="1"/>
  <c r="EA313" i="31"/>
  <c r="FT313" i="31"/>
  <c r="AH239" i="31"/>
  <c r="AS239" i="31" s="1"/>
  <c r="FT239" i="31"/>
  <c r="EA239" i="31"/>
  <c r="AH324" i="31"/>
  <c r="AS324" i="31" s="1"/>
  <c r="FT324" i="31"/>
  <c r="EA324" i="31"/>
  <c r="AH274" i="31"/>
  <c r="AS274" i="31" s="1"/>
  <c r="FT274" i="31"/>
  <c r="EA274" i="31"/>
  <c r="AH309" i="31"/>
  <c r="AS309" i="31" s="1"/>
  <c r="FT309" i="31"/>
  <c r="EA309" i="31"/>
  <c r="AH283" i="31"/>
  <c r="AS283" i="31" s="1"/>
  <c r="FT283" i="31"/>
  <c r="EA283" i="31"/>
  <c r="AH264" i="31"/>
  <c r="AS264" i="31" s="1"/>
  <c r="FT264" i="31"/>
  <c r="EA264" i="31"/>
  <c r="AH296" i="31"/>
  <c r="AS296" i="31" s="1"/>
  <c r="FT296" i="31"/>
  <c r="EA296" i="31"/>
  <c r="AH341" i="31"/>
  <c r="AS341" i="31" s="1"/>
  <c r="FT341" i="31"/>
  <c r="EA341" i="31"/>
  <c r="AH310" i="31"/>
  <c r="AS310" i="31" s="1"/>
  <c r="FT310" i="31"/>
  <c r="EA310" i="31"/>
  <c r="AH342" i="31"/>
  <c r="AS342" i="31" s="1"/>
  <c r="FT342" i="31"/>
  <c r="EA342" i="31"/>
  <c r="AH335" i="31"/>
  <c r="AS335" i="31" s="1"/>
  <c r="EA335" i="31"/>
  <c r="FT335" i="31"/>
  <c r="AH367" i="31"/>
  <c r="AS367" i="31" s="1"/>
  <c r="EA367" i="31"/>
  <c r="FT367" i="31"/>
  <c r="FT51" i="31"/>
  <c r="EA51" i="31"/>
  <c r="EA6" i="31"/>
  <c r="FT6" i="31"/>
  <c r="FT39" i="31"/>
  <c r="EA39" i="31"/>
  <c r="AH77" i="31"/>
  <c r="AS77" i="31" s="1"/>
  <c r="FT77" i="31"/>
  <c r="EA77" i="31"/>
  <c r="FT90" i="31"/>
  <c r="EA90" i="31"/>
  <c r="AH138" i="31"/>
  <c r="AS138" i="31" s="1"/>
  <c r="FT138" i="31"/>
  <c r="EA138" i="31"/>
  <c r="AH217" i="31"/>
  <c r="AS217" i="31" s="1"/>
  <c r="FT217" i="31"/>
  <c r="EA217" i="31"/>
  <c r="AH209" i="31"/>
  <c r="AS209" i="31" s="1"/>
  <c r="EA209" i="31"/>
  <c r="FT209" i="31"/>
  <c r="AH265" i="31"/>
  <c r="AS265" i="31" s="1"/>
  <c r="EA265" i="31"/>
  <c r="FT265" i="31"/>
  <c r="AH295" i="31"/>
  <c r="AS295" i="31" s="1"/>
  <c r="FT295" i="31"/>
  <c r="EA295" i="31"/>
  <c r="AH321" i="31"/>
  <c r="AS321" i="31" s="1"/>
  <c r="EA321" i="31"/>
  <c r="FT321" i="31"/>
  <c r="AH354" i="31"/>
  <c r="AS354" i="31" s="1"/>
  <c r="EA354" i="31"/>
  <c r="FT354" i="31"/>
  <c r="AH155" i="31"/>
  <c r="AS155" i="31" s="1"/>
  <c r="FT155" i="31"/>
  <c r="EA155" i="31"/>
  <c r="FT18" i="31"/>
  <c r="EA18" i="31"/>
  <c r="FT13" i="31"/>
  <c r="EA13" i="31"/>
  <c r="FT47" i="31"/>
  <c r="EA47" i="31"/>
  <c r="FT58" i="31"/>
  <c r="EA58" i="31"/>
  <c r="AH128" i="31"/>
  <c r="AS128" i="31" s="1"/>
  <c r="FT128" i="31"/>
  <c r="EA128" i="31"/>
  <c r="AH115" i="31"/>
  <c r="AS115" i="31" s="1"/>
  <c r="FT115" i="31"/>
  <c r="EA115" i="31"/>
  <c r="AH124" i="31"/>
  <c r="AS124" i="31" s="1"/>
  <c r="FT124" i="31"/>
  <c r="EA124" i="31"/>
  <c r="AH213" i="31"/>
  <c r="AS213" i="31" s="1"/>
  <c r="FT213" i="31"/>
  <c r="EA213" i="31"/>
  <c r="AH116" i="31"/>
  <c r="AS116" i="31" s="1"/>
  <c r="FT116" i="31"/>
  <c r="EA116" i="31"/>
  <c r="AH89" i="31"/>
  <c r="AS89" i="31" s="1"/>
  <c r="EA89" i="31"/>
  <c r="FT89" i="31"/>
  <c r="AH121" i="31"/>
  <c r="AS121" i="31" s="1"/>
  <c r="EA121" i="31"/>
  <c r="FT121" i="31"/>
  <c r="AH102" i="31"/>
  <c r="AS102" i="31" s="1"/>
  <c r="FT102" i="31"/>
  <c r="EA102" i="31"/>
  <c r="AH144" i="31"/>
  <c r="AS144" i="31" s="1"/>
  <c r="FT144" i="31"/>
  <c r="EA144" i="31"/>
  <c r="AH188" i="31"/>
  <c r="AS188" i="31" s="1"/>
  <c r="FT188" i="31"/>
  <c r="EA188" i="31"/>
  <c r="AH222" i="31"/>
  <c r="AS222" i="31" s="1"/>
  <c r="FT222" i="31"/>
  <c r="EA222" i="31"/>
  <c r="AH198" i="31"/>
  <c r="AS198" i="31" s="1"/>
  <c r="FT198" i="31"/>
  <c r="EA198" i="31"/>
  <c r="AH152" i="31"/>
  <c r="AS152" i="31" s="1"/>
  <c r="FT152" i="31"/>
  <c r="EA152" i="31"/>
  <c r="AH167" i="31"/>
  <c r="AS167" i="31" s="1"/>
  <c r="FT167" i="31"/>
  <c r="EA167" i="31"/>
  <c r="AH195" i="31"/>
  <c r="AS195" i="31" s="1"/>
  <c r="FT195" i="31"/>
  <c r="EA195" i="31"/>
  <c r="AH139" i="31"/>
  <c r="AS139" i="31" s="1"/>
  <c r="FT139" i="31"/>
  <c r="EA139" i="31"/>
  <c r="AH164" i="31"/>
  <c r="AS164" i="31" s="1"/>
  <c r="FT164" i="31"/>
  <c r="EA164" i="31"/>
  <c r="AH180" i="31"/>
  <c r="AS180" i="31" s="1"/>
  <c r="FT180" i="31"/>
  <c r="EA180" i="31"/>
  <c r="AH200" i="31"/>
  <c r="AS200" i="31" s="1"/>
  <c r="FT200" i="31"/>
  <c r="EA200" i="31"/>
  <c r="AH241" i="31"/>
  <c r="AS241" i="31" s="1"/>
  <c r="FT241" i="31"/>
  <c r="EA241" i="31"/>
  <c r="AH157" i="31"/>
  <c r="AS157" i="31" s="1"/>
  <c r="FT157" i="31"/>
  <c r="EA157" i="31"/>
  <c r="AH189" i="31"/>
  <c r="AS189" i="31" s="1"/>
  <c r="FT189" i="31"/>
  <c r="EA189" i="31"/>
  <c r="AH273" i="31"/>
  <c r="AS273" i="31" s="1"/>
  <c r="EA273" i="31"/>
  <c r="FT273" i="31"/>
  <c r="AH216" i="31"/>
  <c r="AS216" i="31" s="1"/>
  <c r="FT216" i="31"/>
  <c r="EA216" i="31"/>
  <c r="AH248" i="31"/>
  <c r="AS248" i="31" s="1"/>
  <c r="FT248" i="31"/>
  <c r="EA248" i="31"/>
  <c r="AH301" i="31"/>
  <c r="AS301" i="31" s="1"/>
  <c r="FT301" i="31"/>
  <c r="EA301" i="31"/>
  <c r="AH258" i="31"/>
  <c r="AS258" i="31" s="1"/>
  <c r="FT258" i="31"/>
  <c r="EA258" i="31"/>
  <c r="AH293" i="31"/>
  <c r="AS293" i="31" s="1"/>
  <c r="FT293" i="31"/>
  <c r="EA293" i="31"/>
  <c r="AH231" i="31"/>
  <c r="AS231" i="31" s="1"/>
  <c r="FT231" i="31"/>
  <c r="EA231" i="31"/>
  <c r="AH266" i="31"/>
  <c r="AS266" i="31" s="1"/>
  <c r="FT266" i="31"/>
  <c r="EA266" i="31"/>
  <c r="AH298" i="31"/>
  <c r="AS298" i="31" s="1"/>
  <c r="FT298" i="31"/>
  <c r="EA298" i="31"/>
  <c r="AH275" i="31"/>
  <c r="AS275" i="31" s="1"/>
  <c r="FT275" i="31"/>
  <c r="EA275" i="31"/>
  <c r="AH316" i="31"/>
  <c r="AS316" i="31" s="1"/>
  <c r="FT316" i="31"/>
  <c r="EA316" i="31"/>
  <c r="AH288" i="31"/>
  <c r="AS288" i="31" s="1"/>
  <c r="FT288" i="31"/>
  <c r="EA288" i="31"/>
  <c r="AH333" i="31"/>
  <c r="AS333" i="31" s="1"/>
  <c r="FT333" i="31"/>
  <c r="EA333" i="31"/>
  <c r="AH365" i="31"/>
  <c r="AS365" i="31" s="1"/>
  <c r="FT365" i="31"/>
  <c r="EA365" i="31"/>
  <c r="AH334" i="31"/>
  <c r="AS334" i="31" s="1"/>
  <c r="FT334" i="31"/>
  <c r="EA334" i="31"/>
  <c r="AH366" i="31"/>
  <c r="AS366" i="31" s="1"/>
  <c r="EA366" i="31"/>
  <c r="FT366" i="31"/>
  <c r="AH327" i="31"/>
  <c r="AS327" i="31" s="1"/>
  <c r="EA327" i="31"/>
  <c r="FT327" i="31"/>
  <c r="AH359" i="31"/>
  <c r="AS359" i="31" s="1"/>
  <c r="EA359" i="31"/>
  <c r="FT359" i="31"/>
  <c r="EA9" i="31"/>
  <c r="FT9" i="31"/>
  <c r="FT11" i="31"/>
  <c r="EA11" i="31"/>
  <c r="B11" i="1"/>
  <c r="OE9" i="31"/>
  <c r="AH42" i="31"/>
  <c r="AS42" i="31" s="1"/>
  <c r="CW42" i="31"/>
  <c r="HN42" i="31" s="1"/>
  <c r="X16" i="31"/>
  <c r="F16" i="31"/>
  <c r="LN16" i="31" s="1"/>
  <c r="W16" i="31"/>
  <c r="CW64" i="31"/>
  <c r="HN64" i="31" s="1"/>
  <c r="AH64" i="31"/>
  <c r="AS64" i="31" s="1"/>
  <c r="W37" i="31"/>
  <c r="F37" i="31"/>
  <c r="LN37" i="31" s="1"/>
  <c r="X37" i="31"/>
  <c r="AH21" i="31"/>
  <c r="AS21" i="31" s="1"/>
  <c r="CW21" i="31"/>
  <c r="HN21" i="31" s="1"/>
  <c r="GK40" i="31"/>
  <c r="GL40" i="31" s="1"/>
  <c r="F59" i="31"/>
  <c r="LN59" i="31" s="1"/>
  <c r="X59" i="31"/>
  <c r="W59" i="31"/>
  <c r="AH52" i="31"/>
  <c r="AS52" i="31" s="1"/>
  <c r="CW52" i="31"/>
  <c r="HN52" i="31" s="1"/>
  <c r="GK29" i="31"/>
  <c r="GL29" i="31" s="1"/>
  <c r="AH19" i="31"/>
  <c r="AS19" i="31" s="1"/>
  <c r="CW19" i="31"/>
  <c r="HN19" i="31" s="1"/>
  <c r="X25" i="31"/>
  <c r="W25" i="31"/>
  <c r="F25" i="31"/>
  <c r="LN25" i="31" s="1"/>
  <c r="GK53" i="31"/>
  <c r="GL53" i="31" s="1"/>
  <c r="GK37" i="31"/>
  <c r="GL37" i="31" s="1"/>
  <c r="GK19" i="31"/>
  <c r="GL19" i="31" s="1"/>
  <c r="X30" i="31"/>
  <c r="F30" i="31"/>
  <c r="LN30" i="31" s="1"/>
  <c r="W30" i="31"/>
  <c r="GK39" i="31"/>
  <c r="GL39" i="31" s="1"/>
  <c r="F20" i="31"/>
  <c r="LN20" i="31" s="1"/>
  <c r="W20" i="31"/>
  <c r="X20" i="31"/>
  <c r="AH48" i="31"/>
  <c r="AS48" i="31" s="1"/>
  <c r="CW48" i="31"/>
  <c r="HN48" i="31" s="1"/>
  <c r="CW58" i="31"/>
  <c r="HN58" i="31" s="1"/>
  <c r="AH58" i="31"/>
  <c r="AS58" i="31" s="1"/>
  <c r="AH60" i="31"/>
  <c r="AS60" i="31" s="1"/>
  <c r="CW60" i="31"/>
  <c r="HN60" i="31" s="1"/>
  <c r="CW29" i="31"/>
  <c r="HN29" i="31" s="1"/>
  <c r="AH29" i="31"/>
  <c r="AS29" i="31" s="1"/>
  <c r="F35" i="31"/>
  <c r="LN35" i="31" s="1"/>
  <c r="W35" i="31"/>
  <c r="X35" i="31"/>
  <c r="GK48" i="31"/>
  <c r="GL48" i="31" s="1"/>
  <c r="AH61" i="31"/>
  <c r="AS61" i="31" s="1"/>
  <c r="CW61" i="31"/>
  <c r="HN61" i="31" s="1"/>
  <c r="F33" i="31"/>
  <c r="LN33" i="31" s="1"/>
  <c r="W33" i="31"/>
  <c r="X33" i="31"/>
  <c r="GK41" i="31"/>
  <c r="GL41" i="31" s="1"/>
  <c r="AH28" i="31"/>
  <c r="AS28" i="31" s="1"/>
  <c r="CW28" i="31"/>
  <c r="HN28" i="31" s="1"/>
  <c r="CW6" i="31"/>
  <c r="HN6" i="31" s="1"/>
  <c r="AH6" i="31"/>
  <c r="AS6" i="31" s="1"/>
  <c r="X6" i="31"/>
  <c r="Y6" i="31" s="1"/>
  <c r="MC6" i="31" s="1"/>
  <c r="W6" i="31"/>
  <c r="LN6" i="31"/>
  <c r="X13" i="31"/>
  <c r="F13" i="31"/>
  <c r="LN13" i="31" s="1"/>
  <c r="W13" i="31"/>
  <c r="CW59" i="31"/>
  <c r="HN59" i="31" s="1"/>
  <c r="AH59" i="31"/>
  <c r="AS59" i="31" s="1"/>
  <c r="F64" i="31"/>
  <c r="LN64" i="31" s="1"/>
  <c r="X64" i="31"/>
  <c r="W64" i="31"/>
  <c r="AH54" i="31"/>
  <c r="AS54" i="31" s="1"/>
  <c r="CW54" i="31"/>
  <c r="HN54" i="31" s="1"/>
  <c r="X60" i="31"/>
  <c r="F60" i="31"/>
  <c r="LN60" i="31" s="1"/>
  <c r="W60" i="31"/>
  <c r="GK32" i="31"/>
  <c r="GL32" i="31" s="1"/>
  <c r="W51" i="31"/>
  <c r="X51" i="31"/>
  <c r="F51" i="31"/>
  <c r="LN51" i="31" s="1"/>
  <c r="AH55" i="31"/>
  <c r="AS55" i="31" s="1"/>
  <c r="CW55" i="31"/>
  <c r="HN55" i="31" s="1"/>
  <c r="W55" i="31"/>
  <c r="X55" i="31"/>
  <c r="F55" i="31"/>
  <c r="LN55" i="31" s="1"/>
  <c r="OE6" i="31"/>
  <c r="GK34" i="31"/>
  <c r="GL34" i="31" s="1"/>
  <c r="W8" i="31"/>
  <c r="F8" i="31"/>
  <c r="LN8" i="31" s="1"/>
  <c r="X8" i="31"/>
  <c r="CW15" i="31"/>
  <c r="HN15" i="31" s="1"/>
  <c r="AH15" i="31"/>
  <c r="AS15" i="31" s="1"/>
  <c r="GK35" i="31"/>
  <c r="GL35" i="31" s="1"/>
  <c r="GK64" i="31"/>
  <c r="GL64" i="31" s="1"/>
  <c r="GK52" i="31"/>
  <c r="GL52" i="31" s="1"/>
  <c r="X24" i="31"/>
  <c r="F24" i="31"/>
  <c r="LN24" i="31" s="1"/>
  <c r="W24" i="31"/>
  <c r="AH18" i="31"/>
  <c r="AS18" i="31" s="1"/>
  <c r="CW18" i="31"/>
  <c r="HN18" i="31" s="1"/>
  <c r="GK43" i="31"/>
  <c r="GL43" i="31" s="1"/>
  <c r="W21" i="31"/>
  <c r="X21" i="31"/>
  <c r="F21" i="31"/>
  <c r="LN21" i="31" s="1"/>
  <c r="GK49" i="31"/>
  <c r="GL49" i="31" s="1"/>
  <c r="GK36" i="31"/>
  <c r="GL36" i="31" s="1"/>
  <c r="CW27" i="31"/>
  <c r="HN27" i="31" s="1"/>
  <c r="AH27" i="31"/>
  <c r="AS27" i="31" s="1"/>
  <c r="GK46" i="31"/>
  <c r="GL46" i="31" s="1"/>
  <c r="GK30" i="31"/>
  <c r="GL30" i="31" s="1"/>
  <c r="CW22" i="31"/>
  <c r="HN22" i="31" s="1"/>
  <c r="AH22" i="31"/>
  <c r="AS22" i="31" s="1"/>
  <c r="GK58" i="31"/>
  <c r="GL58" i="31" s="1"/>
  <c r="GK42" i="31"/>
  <c r="GL42" i="31" s="1"/>
  <c r="GK54" i="31"/>
  <c r="GL54" i="31" s="1"/>
  <c r="F15" i="31"/>
  <c r="LN15" i="31" s="1"/>
  <c r="W15" i="31"/>
  <c r="X15" i="31"/>
  <c r="F22" i="31"/>
  <c r="LN22" i="31" s="1"/>
  <c r="X22" i="31"/>
  <c r="W22" i="31"/>
  <c r="AH31" i="31"/>
  <c r="AS31" i="31" s="1"/>
  <c r="CW31" i="31"/>
  <c r="HN31" i="31" s="1"/>
  <c r="GK50" i="31"/>
  <c r="GL50" i="31" s="1"/>
  <c r="GK61" i="31"/>
  <c r="GL61" i="31" s="1"/>
  <c r="GK63" i="31"/>
  <c r="GL63" i="31" s="1"/>
  <c r="GK57" i="31"/>
  <c r="GL57" i="31" s="1"/>
  <c r="GK24" i="31"/>
  <c r="GL24" i="31" s="1"/>
  <c r="CW37" i="31"/>
  <c r="HN37" i="31" s="1"/>
  <c r="AH37" i="31"/>
  <c r="AS37" i="31" s="1"/>
  <c r="F43" i="31"/>
  <c r="LN43" i="31" s="1"/>
  <c r="W43" i="31"/>
  <c r="X43" i="31"/>
  <c r="GK56" i="31"/>
  <c r="GL56" i="31" s="1"/>
  <c r="CW23" i="31"/>
  <c r="HN23" i="31" s="1"/>
  <c r="AH23" i="31"/>
  <c r="AS23" i="31" s="1"/>
  <c r="W50" i="31"/>
  <c r="X50" i="31"/>
  <c r="F50" i="31"/>
  <c r="LN50" i="31" s="1"/>
  <c r="X14" i="31"/>
  <c r="W14" i="31"/>
  <c r="F14" i="31"/>
  <c r="LN14" i="31" s="1"/>
  <c r="CW11" i="31"/>
  <c r="HN11" i="31" s="1"/>
  <c r="AH11" i="31"/>
  <c r="AS11" i="31" s="1"/>
  <c r="GK33" i="31"/>
  <c r="GL33" i="31" s="1"/>
  <c r="AH51" i="31"/>
  <c r="AS51" i="31" s="1"/>
  <c r="CW51" i="31"/>
  <c r="HN51" i="31" s="1"/>
  <c r="AH20" i="31"/>
  <c r="AS20" i="31" s="1"/>
  <c r="CW20" i="31"/>
  <c r="HN20" i="31" s="1"/>
  <c r="GK62" i="31"/>
  <c r="GL62" i="31" s="1"/>
  <c r="CW40" i="31"/>
  <c r="HN40" i="31" s="1"/>
  <c r="AH40" i="31"/>
  <c r="AS40" i="31" s="1"/>
  <c r="W29" i="31"/>
  <c r="F29" i="31"/>
  <c r="LN29" i="31" s="1"/>
  <c r="X29" i="31"/>
  <c r="AH30" i="31"/>
  <c r="AS30" i="31" s="1"/>
  <c r="CW30" i="31"/>
  <c r="HN30" i="31" s="1"/>
  <c r="F23" i="31"/>
  <c r="LN23" i="31" s="1"/>
  <c r="W23" i="31"/>
  <c r="X23" i="31"/>
  <c r="AH49" i="31"/>
  <c r="AS49" i="31" s="1"/>
  <c r="CW49" i="31"/>
  <c r="HN49" i="31" s="1"/>
  <c r="X62" i="31"/>
  <c r="W62" i="31"/>
  <c r="F62" i="31"/>
  <c r="LN62" i="31" s="1"/>
  <c r="F18" i="31"/>
  <c r="LN18" i="31" s="1"/>
  <c r="X18" i="31"/>
  <c r="W18" i="31"/>
  <c r="F9" i="31"/>
  <c r="LN9" i="31" s="1"/>
  <c r="X9" i="31"/>
  <c r="GK31" i="31"/>
  <c r="GL31" i="31" s="1"/>
  <c r="AH43" i="31"/>
  <c r="AS43" i="31" s="1"/>
  <c r="CW43" i="31"/>
  <c r="HN43" i="31" s="1"/>
  <c r="GK23" i="31"/>
  <c r="GL23" i="31" s="1"/>
  <c r="AH32" i="31"/>
  <c r="AS32" i="31" s="1"/>
  <c r="CW32" i="31"/>
  <c r="HN32" i="31" s="1"/>
  <c r="GK51" i="31"/>
  <c r="GL51" i="31" s="1"/>
  <c r="CW25" i="31"/>
  <c r="HN25" i="31" s="1"/>
  <c r="AH25" i="31"/>
  <c r="AS25" i="31" s="1"/>
  <c r="W31" i="31"/>
  <c r="X31" i="31"/>
  <c r="F31" i="31"/>
  <c r="LN31" i="31" s="1"/>
  <c r="GK44" i="31"/>
  <c r="GL44" i="31" s="1"/>
  <c r="AH57" i="31"/>
  <c r="AS57" i="31" s="1"/>
  <c r="CW57" i="31"/>
  <c r="HN57" i="31" s="1"/>
  <c r="W63" i="31"/>
  <c r="F63" i="31"/>
  <c r="LN63" i="31" s="1"/>
  <c r="X63" i="31"/>
  <c r="W41" i="31"/>
  <c r="F41" i="31"/>
  <c r="LN41" i="31" s="1"/>
  <c r="X41" i="31"/>
  <c r="GK22" i="31"/>
  <c r="GL22" i="31" s="1"/>
  <c r="AH45" i="31"/>
  <c r="AS45" i="31" s="1"/>
  <c r="CW45" i="31"/>
  <c r="HN45" i="31" s="1"/>
  <c r="F54" i="31"/>
  <c r="LN54" i="31" s="1"/>
  <c r="X54" i="31"/>
  <c r="W54" i="31"/>
  <c r="AH10" i="31"/>
  <c r="AS10" i="31" s="1"/>
  <c r="CW10" i="31"/>
  <c r="HN10" i="31" s="1"/>
  <c r="X32" i="31"/>
  <c r="W32" i="31"/>
  <c r="F32" i="31"/>
  <c r="LN32" i="31" s="1"/>
  <c r="GK45" i="31"/>
  <c r="GL45" i="31" s="1"/>
  <c r="CW36" i="31"/>
  <c r="HN36" i="31" s="1"/>
  <c r="AH36" i="31"/>
  <c r="AS36" i="31" s="1"/>
  <c r="X39" i="31"/>
  <c r="F39" i="31"/>
  <c r="LN39" i="31" s="1"/>
  <c r="W39" i="31"/>
  <c r="AH24" i="31"/>
  <c r="AS24" i="31" s="1"/>
  <c r="CW24" i="31"/>
  <c r="HN24" i="31" s="1"/>
  <c r="X57" i="31"/>
  <c r="W57" i="31"/>
  <c r="F57" i="31"/>
  <c r="LN57" i="31" s="1"/>
  <c r="CW17" i="31"/>
  <c r="HN17" i="31" s="1"/>
  <c r="AH17" i="31"/>
  <c r="AS17" i="31" s="1"/>
  <c r="X48" i="31"/>
  <c r="F48" i="31"/>
  <c r="LN48" i="31" s="1"/>
  <c r="W48" i="31"/>
  <c r="F44" i="31"/>
  <c r="LN44" i="31" s="1"/>
  <c r="X44" i="31"/>
  <c r="W44" i="31"/>
  <c r="CW16" i="31"/>
  <c r="HN16" i="31" s="1"/>
  <c r="AH16" i="31"/>
  <c r="AS16" i="31" s="1"/>
  <c r="AH35" i="31"/>
  <c r="AS35" i="31" s="1"/>
  <c r="CW35" i="31"/>
  <c r="HN35" i="31" s="1"/>
  <c r="F36" i="31"/>
  <c r="LN36" i="31" s="1"/>
  <c r="X36" i="31"/>
  <c r="W36" i="31"/>
  <c r="W53" i="31"/>
  <c r="F53" i="31"/>
  <c r="LN53" i="31" s="1"/>
  <c r="X53" i="31"/>
  <c r="AH33" i="31"/>
  <c r="AS33" i="31" s="1"/>
  <c r="CW33" i="31"/>
  <c r="HN33" i="31" s="1"/>
  <c r="CW34" i="31"/>
  <c r="HN34" i="31" s="1"/>
  <c r="AH34" i="31"/>
  <c r="AS34" i="31" s="1"/>
  <c r="CW63" i="31"/>
  <c r="HN63" i="31" s="1"/>
  <c r="AH63" i="31"/>
  <c r="AS63" i="31" s="1"/>
  <c r="F27" i="31"/>
  <c r="LN27" i="31" s="1"/>
  <c r="W27" i="31"/>
  <c r="X27" i="31"/>
  <c r="W45" i="31"/>
  <c r="F45" i="31"/>
  <c r="LN45" i="31" s="1"/>
  <c r="X45" i="31"/>
  <c r="GK59" i="31"/>
  <c r="GL59" i="31" s="1"/>
  <c r="F17" i="31"/>
  <c r="LN17" i="31" s="1"/>
  <c r="W17" i="31"/>
  <c r="X17" i="31"/>
  <c r="F12" i="31"/>
  <c r="LN12" i="31" s="1"/>
  <c r="X12" i="31"/>
  <c r="W12" i="31"/>
  <c r="F52" i="31"/>
  <c r="LN52" i="31" s="1"/>
  <c r="X52" i="31"/>
  <c r="W52" i="31"/>
  <c r="F7" i="31"/>
  <c r="LN7" i="31" s="1"/>
  <c r="CW12" i="31"/>
  <c r="HN12" i="31" s="1"/>
  <c r="AH12" i="31"/>
  <c r="AS12" i="31" s="1"/>
  <c r="W34" i="31"/>
  <c r="X34" i="31"/>
  <c r="F34" i="31"/>
  <c r="LN34" i="31" s="1"/>
  <c r="GK26" i="31"/>
  <c r="GL26" i="31" s="1"/>
  <c r="F46" i="31"/>
  <c r="LN46" i="31" s="1"/>
  <c r="X46" i="31"/>
  <c r="W46" i="31"/>
  <c r="F61" i="31"/>
  <c r="LN61" i="31" s="1"/>
  <c r="W61" i="31"/>
  <c r="X61" i="31"/>
  <c r="X11" i="31"/>
  <c r="W11" i="31"/>
  <c r="F11" i="31"/>
  <c r="LN11" i="31" s="1"/>
  <c r="GK55" i="31"/>
  <c r="GL55" i="31" s="1"/>
  <c r="AH62" i="31"/>
  <c r="AS62" i="31" s="1"/>
  <c r="CW62" i="31"/>
  <c r="HN62" i="31" s="1"/>
  <c r="GK20" i="31"/>
  <c r="GL20" i="31" s="1"/>
  <c r="CW9" i="31"/>
  <c r="HN9" i="31" s="1"/>
  <c r="AH9" i="31"/>
  <c r="X10" i="31"/>
  <c r="W10" i="31"/>
  <c r="F10" i="31"/>
  <c r="LN10" i="31" s="1"/>
  <c r="GK47" i="31"/>
  <c r="GL47" i="31" s="1"/>
  <c r="AH39" i="31"/>
  <c r="AS39" i="31" s="1"/>
  <c r="CW39" i="31"/>
  <c r="HN39" i="31" s="1"/>
  <c r="GK25" i="31"/>
  <c r="GL25" i="31" s="1"/>
  <c r="CW46" i="31"/>
  <c r="HN46" i="31" s="1"/>
  <c r="AH46" i="31"/>
  <c r="AS46" i="31" s="1"/>
  <c r="AH53" i="31"/>
  <c r="AS53" i="31" s="1"/>
  <c r="CW53" i="31"/>
  <c r="HN53" i="31" s="1"/>
  <c r="AH44" i="31"/>
  <c r="AS44" i="31" s="1"/>
  <c r="CW44" i="31"/>
  <c r="HN44" i="31" s="1"/>
  <c r="CW56" i="31"/>
  <c r="HN56" i="31" s="1"/>
  <c r="AH56" i="31"/>
  <c r="AS56" i="31" s="1"/>
  <c r="GK21" i="31"/>
  <c r="GL21" i="31" s="1"/>
  <c r="X28" i="31"/>
  <c r="W28" i="31"/>
  <c r="F28" i="31"/>
  <c r="LN28" i="31" s="1"/>
  <c r="GK27" i="31"/>
  <c r="GL27" i="31" s="1"/>
  <c r="CW50" i="31"/>
  <c r="HN50" i="31" s="1"/>
  <c r="AH50" i="31"/>
  <c r="AS50" i="31" s="1"/>
  <c r="AH8" i="31"/>
  <c r="AS8" i="31" s="1"/>
  <c r="CW8" i="31"/>
  <c r="HN8" i="31" s="1"/>
  <c r="CW26" i="31"/>
  <c r="HN26" i="31" s="1"/>
  <c r="AH26" i="31"/>
  <c r="AS26" i="31" s="1"/>
  <c r="X40" i="31"/>
  <c r="W40" i="31"/>
  <c r="F40" i="31"/>
  <c r="LN40" i="31" s="1"/>
  <c r="W26" i="31"/>
  <c r="F26" i="31"/>
  <c r="LN26" i="31" s="1"/>
  <c r="X26" i="31"/>
  <c r="AH38" i="31"/>
  <c r="AS38" i="31" s="1"/>
  <c r="CW38" i="31"/>
  <c r="HN38" i="31" s="1"/>
  <c r="AH13" i="31"/>
  <c r="AS13" i="31" s="1"/>
  <c r="CW13" i="31"/>
  <c r="HN13" i="31" s="1"/>
  <c r="X19" i="31"/>
  <c r="F19" i="31"/>
  <c r="LN19" i="31" s="1"/>
  <c r="W19" i="31"/>
  <c r="W38" i="31"/>
  <c r="F38" i="31"/>
  <c r="LN38" i="31" s="1"/>
  <c r="X38" i="31"/>
  <c r="AH47" i="31"/>
  <c r="AS47" i="31" s="1"/>
  <c r="CW47" i="31"/>
  <c r="HN47" i="31" s="1"/>
  <c r="W56" i="31"/>
  <c r="F56" i="31"/>
  <c r="LN56" i="31" s="1"/>
  <c r="X56" i="31"/>
  <c r="W58" i="31"/>
  <c r="X58" i="31"/>
  <c r="F58" i="31"/>
  <c r="LN58" i="31" s="1"/>
  <c r="GK28" i="31"/>
  <c r="GL28" i="31" s="1"/>
  <c r="CW41" i="31"/>
  <c r="HN41" i="31" s="1"/>
  <c r="AH41" i="31"/>
  <c r="AS41" i="31" s="1"/>
  <c r="W47" i="31"/>
  <c r="X47" i="31"/>
  <c r="F47" i="31"/>
  <c r="LN47" i="31" s="1"/>
  <c r="GK60" i="31"/>
  <c r="GL60" i="31" s="1"/>
  <c r="F42" i="31"/>
  <c r="LN42" i="31" s="1"/>
  <c r="W42" i="31"/>
  <c r="X42" i="31"/>
  <c r="CW7" i="31"/>
  <c r="HN7" i="31" s="1"/>
  <c r="AH7" i="31"/>
  <c r="AS7" i="31" s="1"/>
  <c r="F49" i="31"/>
  <c r="LN49" i="31" s="1"/>
  <c r="X49" i="31"/>
  <c r="W49" i="31"/>
  <c r="GK38" i="31"/>
  <c r="GL38" i="31" s="1"/>
  <c r="CW14" i="31"/>
  <c r="HN14" i="31" s="1"/>
  <c r="AH14" i="31"/>
  <c r="AS14" i="31" s="1"/>
  <c r="AS90" i="31" l="1"/>
  <c r="AS9" i="31"/>
  <c r="AS91" i="31"/>
  <c r="AT6" i="31"/>
  <c r="AU6" i="31" s="1"/>
  <c r="AV6" i="31" s="1"/>
  <c r="AW6" i="31" s="1"/>
  <c r="AT53" i="31"/>
  <c r="AT222" i="31"/>
  <c r="AT335" i="31"/>
  <c r="AT262" i="31"/>
  <c r="AT112" i="31"/>
  <c r="AT368" i="31"/>
  <c r="AT206" i="31"/>
  <c r="AT344" i="31"/>
  <c r="AT82" i="31"/>
  <c r="AT359" i="31"/>
  <c r="AT216" i="31"/>
  <c r="AT341" i="31"/>
  <c r="AT68" i="31"/>
  <c r="AT226" i="31"/>
  <c r="AT306" i="31"/>
  <c r="AT72" i="31"/>
  <c r="AT223" i="31"/>
  <c r="AT44" i="31"/>
  <c r="AT62" i="31"/>
  <c r="AT16" i="31"/>
  <c r="AT32" i="31"/>
  <c r="AT21" i="31"/>
  <c r="AT164" i="31"/>
  <c r="AT144" i="31"/>
  <c r="AT138" i="31"/>
  <c r="AT107" i="31"/>
  <c r="AT137" i="31"/>
  <c r="AT336" i="31"/>
  <c r="AT261" i="31"/>
  <c r="AT348" i="31"/>
  <c r="AT190" i="31"/>
  <c r="AT99" i="31"/>
  <c r="AT276" i="31"/>
  <c r="AT349" i="31"/>
  <c r="AT247" i="31"/>
  <c r="AT173" i="31"/>
  <c r="AT86" i="31"/>
  <c r="AT66" i="31"/>
  <c r="AT122" i="31"/>
  <c r="AT338" i="31"/>
  <c r="AT302" i="31"/>
  <c r="AT161" i="31"/>
  <c r="AT106" i="31"/>
  <c r="AT219" i="31"/>
  <c r="AT332" i="31"/>
  <c r="AT255" i="31"/>
  <c r="AT131" i="31"/>
  <c r="AT113" i="31"/>
  <c r="AT286" i="31"/>
  <c r="AT346" i="31"/>
  <c r="AT278" i="31"/>
  <c r="AT201" i="31"/>
  <c r="AT101" i="31"/>
  <c r="AT119" i="31"/>
  <c r="AT251" i="31"/>
  <c r="AT26" i="31"/>
  <c r="AT36" i="31"/>
  <c r="AT124" i="31"/>
  <c r="AT274" i="31"/>
  <c r="AT176" i="31"/>
  <c r="AT350" i="31"/>
  <c r="AT245" i="31"/>
  <c r="AT331" i="31"/>
  <c r="AT320" i="31"/>
  <c r="AT94" i="31"/>
  <c r="AT228" i="31"/>
  <c r="AT38" i="31"/>
  <c r="AT30" i="31"/>
  <c r="AT102" i="31"/>
  <c r="AT207" i="31"/>
  <c r="AT229" i="31"/>
  <c r="AT270" i="31"/>
  <c r="AT280" i="31"/>
  <c r="AT142" i="31"/>
  <c r="AT67" i="31"/>
  <c r="AT14" i="31"/>
  <c r="AT17" i="31"/>
  <c r="AT48" i="31"/>
  <c r="AT316" i="31"/>
  <c r="AT248" i="31"/>
  <c r="AT128" i="31"/>
  <c r="AT310" i="31"/>
  <c r="AT239" i="31"/>
  <c r="AT147" i="31"/>
  <c r="AT133" i="31"/>
  <c r="AT47" i="31"/>
  <c r="AT13" i="31"/>
  <c r="AT10" i="31"/>
  <c r="AT29" i="31"/>
  <c r="AT366" i="31"/>
  <c r="AT266" i="31"/>
  <c r="AT189" i="31"/>
  <c r="AT167" i="31"/>
  <c r="AT89" i="31"/>
  <c r="AT321" i="31"/>
  <c r="AT264" i="31"/>
  <c r="AT224" i="31"/>
  <c r="AT214" i="31"/>
  <c r="AT199" i="31"/>
  <c r="AT221" i="31"/>
  <c r="AT323" i="31"/>
  <c r="AT303" i="31"/>
  <c r="AT277" i="31"/>
  <c r="AT153" i="31"/>
  <c r="AT154" i="31"/>
  <c r="AT104" i="31"/>
  <c r="AT172" i="31"/>
  <c r="AT291" i="31"/>
  <c r="AT242" i="31"/>
  <c r="AT134" i="31"/>
  <c r="AT183" i="31"/>
  <c r="AT337" i="31"/>
  <c r="AT252" i="31"/>
  <c r="AT143" i="31"/>
  <c r="AT178" i="31"/>
  <c r="AT319" i="31"/>
  <c r="AT299" i="31"/>
  <c r="AT240" i="31"/>
  <c r="AT159" i="31"/>
  <c r="AT108" i="31"/>
  <c r="AT95" i="31"/>
  <c r="AT300" i="31"/>
  <c r="AT243" i="31"/>
  <c r="AT130" i="31"/>
  <c r="AT125" i="31"/>
  <c r="AT109" i="31"/>
  <c r="AT63" i="31"/>
  <c r="AT333" i="31"/>
  <c r="AT52" i="31"/>
  <c r="AT200" i="31"/>
  <c r="AT111" i="31"/>
  <c r="AT234" i="31"/>
  <c r="AT339" i="31"/>
  <c r="AT364" i="31"/>
  <c r="AT150" i="31"/>
  <c r="AT284" i="31"/>
  <c r="AT163" i="31"/>
  <c r="AT105" i="31"/>
  <c r="AT230" i="31"/>
  <c r="AT9" i="31"/>
  <c r="AT34" i="31"/>
  <c r="AT25" i="31"/>
  <c r="AT18" i="31"/>
  <c r="AT61" i="31"/>
  <c r="AT60" i="31"/>
  <c r="AT64" i="31"/>
  <c r="AT334" i="31"/>
  <c r="AT231" i="31"/>
  <c r="AT157" i="31"/>
  <c r="AT152" i="31"/>
  <c r="AT116" i="31"/>
  <c r="AT295" i="31"/>
  <c r="AT283" i="31"/>
  <c r="AT197" i="31"/>
  <c r="AT110" i="31"/>
  <c r="AT362" i="31"/>
  <c r="AT271" i="31"/>
  <c r="AT254" i="31"/>
  <c r="AT225" i="31"/>
  <c r="AT117" i="31"/>
  <c r="AT79" i="31"/>
  <c r="AT343" i="31"/>
  <c r="AT259" i="31"/>
  <c r="AT232" i="31"/>
  <c r="AT289" i="31"/>
  <c r="AT175" i="31"/>
  <c r="AT292" i="31"/>
  <c r="AT220" i="31"/>
  <c r="AT203" i="31"/>
  <c r="AT120" i="31"/>
  <c r="AT358" i="31"/>
  <c r="AT267" i="31"/>
  <c r="AT181" i="31"/>
  <c r="AT136" i="31"/>
  <c r="AT268" i="31"/>
  <c r="AT211" i="31"/>
  <c r="AT158" i="31"/>
  <c r="AT75" i="31"/>
  <c r="AT209" i="31"/>
  <c r="AT361" i="31"/>
  <c r="AT92" i="31"/>
  <c r="AT51" i="31"/>
  <c r="AT31" i="31"/>
  <c r="AT58" i="31"/>
  <c r="AT288" i="31"/>
  <c r="AT301" i="31"/>
  <c r="AT180" i="31"/>
  <c r="AT188" i="31"/>
  <c r="AT115" i="31"/>
  <c r="AT217" i="31"/>
  <c r="AT342" i="31"/>
  <c r="AT324" i="31"/>
  <c r="AT162" i="31"/>
  <c r="AT156" i="31"/>
  <c r="AT87" i="31"/>
  <c r="AT329" i="31"/>
  <c r="AT328" i="31"/>
  <c r="AT212" i="31"/>
  <c r="AT146" i="31"/>
  <c r="AT70" i="31"/>
  <c r="AT322" i="31"/>
  <c r="AT318" i="31"/>
  <c r="AT297" i="31"/>
  <c r="AT205" i="31"/>
  <c r="AT118" i="31"/>
  <c r="AT96" i="31"/>
  <c r="AT170" i="31"/>
  <c r="AT83" i="31"/>
  <c r="AT148" i="31"/>
  <c r="AT370" i="31"/>
  <c r="AT279" i="31"/>
  <c r="AT193" i="31"/>
  <c r="AT160" i="31"/>
  <c r="AT315" i="31"/>
  <c r="AT325" i="31"/>
  <c r="AT290" i="31"/>
  <c r="AT202" i="31"/>
  <c r="AT171" i="31"/>
  <c r="AT347" i="31"/>
  <c r="AT307" i="31"/>
  <c r="AT287" i="31"/>
  <c r="AT237" i="31"/>
  <c r="AT141" i="31"/>
  <c r="AT263" i="31"/>
  <c r="AT42" i="31"/>
  <c r="AT129" i="31"/>
  <c r="AT135" i="31"/>
  <c r="AT236" i="31"/>
  <c r="AT233" i="31"/>
  <c r="AT357" i="31"/>
  <c r="AT81" i="31"/>
  <c r="AT20" i="31"/>
  <c r="AT27" i="31"/>
  <c r="AT139" i="31"/>
  <c r="AT155" i="31"/>
  <c r="AT97" i="31"/>
  <c r="AT145" i="31"/>
  <c r="AT227" i="31"/>
  <c r="AT215" i="31"/>
  <c r="AT74" i="31"/>
  <c r="AT177" i="31"/>
  <c r="AT253" i="31"/>
  <c r="AT305" i="31"/>
  <c r="AT69" i="31"/>
  <c r="AT8" i="31"/>
  <c r="AT50" i="31"/>
  <c r="AT24" i="31"/>
  <c r="AT45" i="31"/>
  <c r="AT49" i="31"/>
  <c r="AT55" i="31"/>
  <c r="AT28" i="31"/>
  <c r="AT327" i="31"/>
  <c r="AT298" i="31"/>
  <c r="AT273" i="31"/>
  <c r="AT195" i="31"/>
  <c r="AT121" i="31"/>
  <c r="AT354" i="31"/>
  <c r="AT77" i="31"/>
  <c r="AT296" i="31"/>
  <c r="AT256" i="31"/>
  <c r="AT126" i="31"/>
  <c r="AT65" i="31"/>
  <c r="AT187" i="31"/>
  <c r="AT246" i="31"/>
  <c r="AT355" i="31"/>
  <c r="AT340" i="31"/>
  <c r="AT308" i="31"/>
  <c r="AT185" i="31"/>
  <c r="AT98" i="31"/>
  <c r="AT166" i="31"/>
  <c r="AT272" i="31"/>
  <c r="AT269" i="31"/>
  <c r="AT184" i="31"/>
  <c r="AT73" i="31"/>
  <c r="AT369" i="31"/>
  <c r="AT235" i="31"/>
  <c r="AT208" i="31"/>
  <c r="AT93" i="31"/>
  <c r="AT182" i="31"/>
  <c r="AT127" i="31"/>
  <c r="AT204" i="31"/>
  <c r="AT351" i="31"/>
  <c r="AT312" i="31"/>
  <c r="AT250" i="31"/>
  <c r="AT174" i="31"/>
  <c r="AT91" i="31"/>
  <c r="AT103" i="31"/>
  <c r="AT151" i="31"/>
  <c r="AT345" i="31"/>
  <c r="AT281" i="31"/>
  <c r="AT168" i="31"/>
  <c r="AT249" i="31"/>
  <c r="AT132" i="31"/>
  <c r="AT258" i="31"/>
  <c r="AT218" i="31"/>
  <c r="AT244" i="31"/>
  <c r="AT84" i="31"/>
  <c r="AT282" i="31"/>
  <c r="AT179" i="31"/>
  <c r="AT123" i="31"/>
  <c r="AT46" i="31"/>
  <c r="AT43" i="31"/>
  <c r="AT15" i="31"/>
  <c r="AT59" i="31"/>
  <c r="AT275" i="31"/>
  <c r="AT90" i="31"/>
  <c r="AT313" i="31"/>
  <c r="AT353" i="31"/>
  <c r="AT140" i="31"/>
  <c r="AT317" i="31"/>
  <c r="AT88" i="31"/>
  <c r="AT314" i="31"/>
  <c r="AT169" i="31"/>
  <c r="AT71" i="31"/>
  <c r="AT194" i="31"/>
  <c r="AT56" i="31"/>
  <c r="AT37" i="31"/>
  <c r="AT7" i="31"/>
  <c r="AT41" i="31"/>
  <c r="AT39" i="31"/>
  <c r="AT12" i="31"/>
  <c r="AT33" i="31"/>
  <c r="AT35" i="31"/>
  <c r="AT57" i="31"/>
  <c r="AT40" i="31"/>
  <c r="AT11" i="31"/>
  <c r="AT23" i="31"/>
  <c r="AT22" i="31"/>
  <c r="AT54" i="31"/>
  <c r="AT19" i="31"/>
  <c r="AT365" i="31"/>
  <c r="AT293" i="31"/>
  <c r="AT241" i="31"/>
  <c r="AT198" i="31"/>
  <c r="AT213" i="31"/>
  <c r="AT265" i="31"/>
  <c r="AT367" i="31"/>
  <c r="AT309" i="31"/>
  <c r="AT165" i="31"/>
  <c r="AT78" i="31"/>
  <c r="AT330" i="31"/>
  <c r="AT294" i="31"/>
  <c r="AT285" i="31"/>
  <c r="AT192" i="31"/>
  <c r="AT85" i="31"/>
  <c r="AT80" i="31"/>
  <c r="AT311" i="31"/>
  <c r="AT304" i="31"/>
  <c r="AT210" i="31"/>
  <c r="AT186" i="31"/>
  <c r="AT100" i="31"/>
  <c r="AT363" i="31"/>
  <c r="AT260" i="31"/>
  <c r="AT352" i="31"/>
  <c r="AT257" i="31"/>
  <c r="AT191" i="31"/>
  <c r="AT326" i="31"/>
  <c r="AT360" i="31"/>
  <c r="AT149" i="31"/>
  <c r="AT196" i="31"/>
  <c r="AT356" i="31"/>
  <c r="AT238" i="31"/>
  <c r="AT114" i="31"/>
  <c r="AT76" i="31"/>
  <c r="BA164" i="31"/>
  <c r="BA128" i="31"/>
  <c r="BA310" i="31"/>
  <c r="BA86" i="31"/>
  <c r="BA161" i="31"/>
  <c r="BA113" i="31"/>
  <c r="BA278" i="31"/>
  <c r="BA101" i="31"/>
  <c r="BA119" i="31"/>
  <c r="BA10" i="31"/>
  <c r="BA29" i="31"/>
  <c r="BA366" i="31"/>
  <c r="BA266" i="31"/>
  <c r="BA189" i="31"/>
  <c r="BA167" i="31"/>
  <c r="BA89" i="31"/>
  <c r="BA321" i="31"/>
  <c r="BA264" i="31"/>
  <c r="BA224" i="31"/>
  <c r="BA214" i="31"/>
  <c r="BA199" i="31"/>
  <c r="BA221" i="31"/>
  <c r="BA323" i="31"/>
  <c r="BA303" i="31"/>
  <c r="BA277" i="31"/>
  <c r="BA104" i="31"/>
  <c r="BA172" i="31"/>
  <c r="BA291" i="31"/>
  <c r="BA242" i="31"/>
  <c r="BA134" i="31"/>
  <c r="BA183" i="31"/>
  <c r="BA337" i="31"/>
  <c r="BA252" i="31"/>
  <c r="BA143" i="31"/>
  <c r="BA178" i="31"/>
  <c r="BA319" i="31"/>
  <c r="BA299" i="31"/>
  <c r="BA240" i="31"/>
  <c r="BA159" i="31"/>
  <c r="BA108" i="31"/>
  <c r="BA95" i="31"/>
  <c r="BA300" i="31"/>
  <c r="BA243" i="31"/>
  <c r="BA130" i="31"/>
  <c r="BA125" i="31"/>
  <c r="BA109" i="31"/>
  <c r="BA17" i="31"/>
  <c r="BA137" i="31"/>
  <c r="BA99" i="31"/>
  <c r="BA131" i="31"/>
  <c r="BA13" i="31"/>
  <c r="BA26" i="31"/>
  <c r="BA53" i="31"/>
  <c r="BA63" i="31"/>
  <c r="BA36" i="31"/>
  <c r="BA52" i="31"/>
  <c r="BA42" i="31"/>
  <c r="BA333" i="31"/>
  <c r="BA258" i="31"/>
  <c r="BA200" i="31"/>
  <c r="BA222" i="31"/>
  <c r="BA124" i="31"/>
  <c r="BA209" i="31"/>
  <c r="BA335" i="31"/>
  <c r="BA274" i="31"/>
  <c r="BA218" i="31"/>
  <c r="BA176" i="31"/>
  <c r="BA129" i="31"/>
  <c r="BA361" i="31"/>
  <c r="BA262" i="31"/>
  <c r="BA244" i="31"/>
  <c r="BA135" i="31"/>
  <c r="BA112" i="31"/>
  <c r="BA84" i="31"/>
  <c r="BA111" i="31"/>
  <c r="BA350" i="31"/>
  <c r="BA282" i="31"/>
  <c r="BA245" i="31"/>
  <c r="BA179" i="31"/>
  <c r="BA92" i="31"/>
  <c r="BA123" i="31"/>
  <c r="BA236" i="31"/>
  <c r="BA331" i="31"/>
  <c r="BA368" i="31"/>
  <c r="BA233" i="31"/>
  <c r="BA206" i="31"/>
  <c r="BA357" i="31"/>
  <c r="BA320" i="31"/>
  <c r="BA234" i="31"/>
  <c r="BA94" i="31"/>
  <c r="BA81" i="31"/>
  <c r="BA339" i="31"/>
  <c r="BA344" i="31"/>
  <c r="BA228" i="31"/>
  <c r="BA82" i="31"/>
  <c r="BA364" i="31"/>
  <c r="BA239" i="31"/>
  <c r="BA107" i="31"/>
  <c r="BA122" i="31"/>
  <c r="BA47" i="31"/>
  <c r="BA38" i="31"/>
  <c r="BA46" i="31"/>
  <c r="BA43" i="31"/>
  <c r="BA30" i="31"/>
  <c r="BA20" i="31"/>
  <c r="BA27" i="31"/>
  <c r="BA15" i="31"/>
  <c r="BA59" i="31"/>
  <c r="BA359" i="31"/>
  <c r="BA275" i="31"/>
  <c r="BA216" i="31"/>
  <c r="BA139" i="31"/>
  <c r="BA102" i="31"/>
  <c r="BA155" i="31"/>
  <c r="BA90" i="31"/>
  <c r="BA341" i="31"/>
  <c r="BA313" i="31"/>
  <c r="BA150" i="31"/>
  <c r="BA97" i="31"/>
  <c r="BA207" i="31"/>
  <c r="BA353" i="31"/>
  <c r="BA145" i="31"/>
  <c r="BA284" i="31"/>
  <c r="BA227" i="31"/>
  <c r="BA229" i="31"/>
  <c r="BA140" i="31"/>
  <c r="BA68" i="31"/>
  <c r="BA163" i="31"/>
  <c r="BA317" i="31"/>
  <c r="BA215" i="31"/>
  <c r="BA226" i="31"/>
  <c r="BA105" i="31"/>
  <c r="BA306" i="31"/>
  <c r="BA270" i="31"/>
  <c r="BA230" i="31"/>
  <c r="BA74" i="31"/>
  <c r="BA177" i="31"/>
  <c r="BA72" i="31"/>
  <c r="BA88" i="31"/>
  <c r="BA280" i="31"/>
  <c r="BA223" i="31"/>
  <c r="BA142" i="31"/>
  <c r="BA253" i="31"/>
  <c r="BA67" i="31"/>
  <c r="BA314" i="31"/>
  <c r="BA305" i="31"/>
  <c r="BA169" i="31"/>
  <c r="BA69" i="31"/>
  <c r="BA71" i="31"/>
  <c r="BA194" i="31"/>
  <c r="BA16" i="31"/>
  <c r="BA133" i="31"/>
  <c r="BA261" i="31"/>
  <c r="BA276" i="31"/>
  <c r="BA173" i="31"/>
  <c r="BA106" i="31"/>
  <c r="BA201" i="31"/>
  <c r="BA9" i="31"/>
  <c r="BA18" i="31"/>
  <c r="BA61" i="31"/>
  <c r="BA60" i="31"/>
  <c r="BA64" i="31"/>
  <c r="BA334" i="31"/>
  <c r="BA231" i="31"/>
  <c r="BA157" i="31"/>
  <c r="BA152" i="31"/>
  <c r="BA116" i="31"/>
  <c r="BA295" i="31"/>
  <c r="BA283" i="31"/>
  <c r="BA197" i="31"/>
  <c r="BA110" i="31"/>
  <c r="BA362" i="31"/>
  <c r="BA271" i="31"/>
  <c r="BA254" i="31"/>
  <c r="BA225" i="31"/>
  <c r="BA117" i="31"/>
  <c r="BA79" i="31"/>
  <c r="BA343" i="31"/>
  <c r="BA259" i="31"/>
  <c r="BA232" i="31"/>
  <c r="BA289" i="31"/>
  <c r="BA175" i="31"/>
  <c r="BA292" i="31"/>
  <c r="BA220" i="31"/>
  <c r="BA203" i="31"/>
  <c r="BA120" i="31"/>
  <c r="BA358" i="31"/>
  <c r="BA267" i="31"/>
  <c r="BA181" i="31"/>
  <c r="BA136" i="31"/>
  <c r="BA268" i="31"/>
  <c r="BA211" i="31"/>
  <c r="BA158" i="31"/>
  <c r="BA75" i="31"/>
  <c r="BA14" i="31"/>
  <c r="BA44" i="31"/>
  <c r="BA32" i="31"/>
  <c r="BA21" i="31"/>
  <c r="BA248" i="31"/>
  <c r="BA144" i="31"/>
  <c r="BA247" i="31"/>
  <c r="BA338" i="31"/>
  <c r="BA219" i="31"/>
  <c r="BA346" i="31"/>
  <c r="BA251" i="31"/>
  <c r="BA34" i="31"/>
  <c r="BA25" i="31"/>
  <c r="BA8" i="31"/>
  <c r="BA56" i="31"/>
  <c r="BA51" i="31"/>
  <c r="BA37" i="31"/>
  <c r="BA31" i="31"/>
  <c r="BA58" i="31"/>
  <c r="BA288" i="31"/>
  <c r="BA301" i="31"/>
  <c r="BA180" i="31"/>
  <c r="BA188" i="31"/>
  <c r="BA115" i="31"/>
  <c r="BA217" i="31"/>
  <c r="BA342" i="31"/>
  <c r="BA324" i="31"/>
  <c r="BA162" i="31"/>
  <c r="BA156" i="31"/>
  <c r="BA87" i="31"/>
  <c r="BA329" i="31"/>
  <c r="BA328" i="31"/>
  <c r="BA212" i="31"/>
  <c r="BA146" i="31"/>
  <c r="BA70" i="31"/>
  <c r="BA322" i="31"/>
  <c r="BA318" i="31"/>
  <c r="BA297" i="31"/>
  <c r="BA205" i="31"/>
  <c r="BA118" i="31"/>
  <c r="BA96" i="31"/>
  <c r="BA170" i="31"/>
  <c r="BA83" i="31"/>
  <c r="BA148" i="31"/>
  <c r="BA370" i="31"/>
  <c r="BA279" i="31"/>
  <c r="BA193" i="31"/>
  <c r="BA160" i="31"/>
  <c r="BA315" i="31"/>
  <c r="BA325" i="31"/>
  <c r="BA290" i="31"/>
  <c r="BA202" i="31"/>
  <c r="BA171" i="31"/>
  <c r="BA347" i="31"/>
  <c r="BA307" i="31"/>
  <c r="BA287" i="31"/>
  <c r="BA237" i="31"/>
  <c r="BA141" i="31"/>
  <c r="BA263" i="31"/>
  <c r="BA62" i="31"/>
  <c r="BA48" i="31"/>
  <c r="BA316" i="31"/>
  <c r="BA138" i="31"/>
  <c r="BA147" i="31"/>
  <c r="BA348" i="31"/>
  <c r="BA349" i="31"/>
  <c r="BA302" i="31"/>
  <c r="BA255" i="31"/>
  <c r="BA286" i="31"/>
  <c r="BA7" i="31"/>
  <c r="BA50" i="31"/>
  <c r="BA24" i="31"/>
  <c r="BA45" i="31"/>
  <c r="BA49" i="31"/>
  <c r="BA55" i="31"/>
  <c r="BA28" i="31"/>
  <c r="BA327" i="31"/>
  <c r="BA298" i="31"/>
  <c r="BA273" i="31"/>
  <c r="BA195" i="31"/>
  <c r="BA121" i="31"/>
  <c r="BA354" i="31"/>
  <c r="BA77" i="31"/>
  <c r="BA296" i="31"/>
  <c r="BA256" i="31"/>
  <c r="BA126" i="31"/>
  <c r="BA65" i="31"/>
  <c r="BA187" i="31"/>
  <c r="BA246" i="31"/>
  <c r="BA355" i="31"/>
  <c r="BA340" i="31"/>
  <c r="BA308" i="31"/>
  <c r="BA185" i="31"/>
  <c r="BA98" i="31"/>
  <c r="BA166" i="31"/>
  <c r="BA272" i="31"/>
  <c r="BA269" i="31"/>
  <c r="BA184" i="31"/>
  <c r="BA73" i="31"/>
  <c r="BA369" i="31"/>
  <c r="BA235" i="31"/>
  <c r="BA208" i="31"/>
  <c r="BA93" i="31"/>
  <c r="BA182" i="31"/>
  <c r="BA127" i="31"/>
  <c r="BA204" i="31"/>
  <c r="BA351" i="31"/>
  <c r="BA312" i="31"/>
  <c r="BA250" i="31"/>
  <c r="BA174" i="31"/>
  <c r="BA91" i="31"/>
  <c r="BA103" i="31"/>
  <c r="BA151" i="31"/>
  <c r="BA345" i="31"/>
  <c r="BA281" i="31"/>
  <c r="BA168" i="31"/>
  <c r="BA249" i="31"/>
  <c r="BA132" i="31"/>
  <c r="BA336" i="31"/>
  <c r="BA190" i="31"/>
  <c r="BA66" i="31"/>
  <c r="BA332" i="31"/>
  <c r="BA41" i="31"/>
  <c r="BA39" i="31"/>
  <c r="BA12" i="31"/>
  <c r="BA33" i="31"/>
  <c r="BA35" i="31"/>
  <c r="BA57" i="31"/>
  <c r="BA40" i="31"/>
  <c r="BA11" i="31"/>
  <c r="BA23" i="31"/>
  <c r="BA22" i="31"/>
  <c r="BA54" i="31"/>
  <c r="BA19" i="31"/>
  <c r="BA365" i="31"/>
  <c r="BA293" i="31"/>
  <c r="BA241" i="31"/>
  <c r="BA198" i="31"/>
  <c r="BA213" i="31"/>
  <c r="BA265" i="31"/>
  <c r="BA367" i="31"/>
  <c r="BA309" i="31"/>
  <c r="BA165" i="31"/>
  <c r="BA78" i="31"/>
  <c r="BA330" i="31"/>
  <c r="BA294" i="31"/>
  <c r="BA285" i="31"/>
  <c r="BA192" i="31"/>
  <c r="BA85" i="31"/>
  <c r="BA80" i="31"/>
  <c r="BA311" i="31"/>
  <c r="BA304" i="31"/>
  <c r="BA210" i="31"/>
  <c r="BA186" i="31"/>
  <c r="BA100" i="31"/>
  <c r="BA363" i="31"/>
  <c r="BA260" i="31"/>
  <c r="BA352" i="31"/>
  <c r="BA257" i="31"/>
  <c r="BA191" i="31"/>
  <c r="BA326" i="31"/>
  <c r="BA360" i="31"/>
  <c r="BA149" i="31"/>
  <c r="BA196" i="31"/>
  <c r="BA356" i="31"/>
  <c r="BA238" i="31"/>
  <c r="BA114" i="31"/>
  <c r="BA76" i="31"/>
  <c r="BA153" i="31"/>
  <c r="BA154" i="31"/>
  <c r="BA6" i="31"/>
  <c r="X7" i="31"/>
  <c r="AC7" i="31" s="1"/>
  <c r="LB62" i="31"/>
  <c r="LC62" i="31" s="1"/>
  <c r="LA62" i="31"/>
  <c r="LA33" i="31"/>
  <c r="LB33" i="31"/>
  <c r="LC33" i="31" s="1"/>
  <c r="LA57" i="31"/>
  <c r="LB57" i="31"/>
  <c r="LC57" i="31" s="1"/>
  <c r="LA49" i="31"/>
  <c r="LB49" i="31"/>
  <c r="LC49" i="31" s="1"/>
  <c r="LB52" i="31"/>
  <c r="LC52" i="31" s="1"/>
  <c r="LA52" i="31"/>
  <c r="LB366" i="31"/>
  <c r="LC366" i="31" s="1"/>
  <c r="LA366" i="31"/>
  <c r="LB266" i="31"/>
  <c r="LC266" i="31" s="1"/>
  <c r="LA266" i="31"/>
  <c r="LB180" i="31"/>
  <c r="LC180" i="31" s="1"/>
  <c r="LA180" i="31"/>
  <c r="LB167" i="31"/>
  <c r="LC167" i="31" s="1"/>
  <c r="LA167" i="31"/>
  <c r="LA89" i="31"/>
  <c r="LB89" i="31"/>
  <c r="LC89" i="31" s="1"/>
  <c r="LB115" i="31"/>
  <c r="LC115" i="31" s="1"/>
  <c r="LA115" i="31"/>
  <c r="LA217" i="31"/>
  <c r="LB217" i="31"/>
  <c r="LC217" i="31" s="1"/>
  <c r="LB342" i="31"/>
  <c r="LC342" i="31" s="1"/>
  <c r="LA342" i="31"/>
  <c r="LB162" i="31"/>
  <c r="LC162" i="31" s="1"/>
  <c r="LA162" i="31"/>
  <c r="LB214" i="31"/>
  <c r="LC214" i="31" s="1"/>
  <c r="LA214" i="31"/>
  <c r="LA329" i="31"/>
  <c r="LB329" i="31"/>
  <c r="LC329" i="31" s="1"/>
  <c r="LB303" i="31"/>
  <c r="LC303" i="31" s="1"/>
  <c r="LA303" i="31"/>
  <c r="LA277" i="31"/>
  <c r="LB277" i="31"/>
  <c r="LC277" i="31" s="1"/>
  <c r="LB146" i="31"/>
  <c r="LC146" i="31" s="1"/>
  <c r="LA146" i="31"/>
  <c r="LB154" i="31"/>
  <c r="LC154" i="31" s="1"/>
  <c r="LA154" i="31"/>
  <c r="LB172" i="31"/>
  <c r="LC172" i="31" s="1"/>
  <c r="LA172" i="31"/>
  <c r="LA297" i="31"/>
  <c r="LB297" i="31"/>
  <c r="LC297" i="31" s="1"/>
  <c r="LB242" i="31"/>
  <c r="LC242" i="31" s="1"/>
  <c r="LA242" i="31"/>
  <c r="LB183" i="31"/>
  <c r="LC183" i="31" s="1"/>
  <c r="LA183" i="31"/>
  <c r="LB96" i="31"/>
  <c r="LC96" i="31" s="1"/>
  <c r="LA96" i="31"/>
  <c r="LB148" i="31"/>
  <c r="LC148" i="31" s="1"/>
  <c r="LA148" i="31"/>
  <c r="LB370" i="31"/>
  <c r="LC370" i="31" s="1"/>
  <c r="LA370" i="31"/>
  <c r="LA337" i="31"/>
  <c r="LB337" i="31"/>
  <c r="LC337" i="31" s="1"/>
  <c r="LB252" i="31"/>
  <c r="LC252" i="31" s="1"/>
  <c r="LA252" i="31"/>
  <c r="LA193" i="31"/>
  <c r="LB193" i="31"/>
  <c r="LC193" i="31" s="1"/>
  <c r="LB143" i="31"/>
  <c r="LC143" i="31" s="1"/>
  <c r="LA143" i="31"/>
  <c r="LB315" i="31"/>
  <c r="LC315" i="31" s="1"/>
  <c r="LA315" i="31"/>
  <c r="LB299" i="31"/>
  <c r="LC299" i="31" s="1"/>
  <c r="LA299" i="31"/>
  <c r="LB290" i="31"/>
  <c r="LC290" i="31" s="1"/>
  <c r="LA290" i="31"/>
  <c r="LB159" i="31"/>
  <c r="LC159" i="31" s="1"/>
  <c r="LA159" i="31"/>
  <c r="LB171" i="31"/>
  <c r="LC171" i="31" s="1"/>
  <c r="LA171" i="31"/>
  <c r="LA108" i="31"/>
  <c r="LB108" i="31"/>
  <c r="LC108" i="31" s="1"/>
  <c r="LB307" i="31"/>
  <c r="LC307" i="31" s="1"/>
  <c r="LA307" i="31"/>
  <c r="LB287" i="31"/>
  <c r="LC287" i="31" s="1"/>
  <c r="LA287" i="31"/>
  <c r="LB130" i="31"/>
  <c r="LC130" i="31" s="1"/>
  <c r="LA130" i="31"/>
  <c r="LA125" i="31"/>
  <c r="LB125" i="31"/>
  <c r="LC125" i="31" s="1"/>
  <c r="LB263" i="31"/>
  <c r="LC263" i="31" s="1"/>
  <c r="LA263" i="31"/>
  <c r="LA109" i="31"/>
  <c r="LB109" i="31"/>
  <c r="LC109" i="31" s="1"/>
  <c r="OP8" i="31"/>
  <c r="LB8" i="31"/>
  <c r="LC8" i="31" s="1"/>
  <c r="LA8" i="31"/>
  <c r="LB56" i="31"/>
  <c r="LC56" i="31" s="1"/>
  <c r="LA56" i="31"/>
  <c r="LB16" i="31"/>
  <c r="LC16" i="31" s="1"/>
  <c r="LA16" i="31"/>
  <c r="LA17" i="31"/>
  <c r="LB17" i="31"/>
  <c r="LC17" i="31" s="1"/>
  <c r="LB40" i="31"/>
  <c r="LC40" i="31" s="1"/>
  <c r="LA40" i="31"/>
  <c r="LB11" i="31"/>
  <c r="LC11" i="31" s="1"/>
  <c r="LA11" i="31"/>
  <c r="LB23" i="31"/>
  <c r="LC23" i="31" s="1"/>
  <c r="LA23" i="31"/>
  <c r="LB27" i="31"/>
  <c r="LC27" i="31" s="1"/>
  <c r="LA27" i="31"/>
  <c r="LB15" i="31"/>
  <c r="LC15" i="31" s="1"/>
  <c r="LA15" i="31"/>
  <c r="LB54" i="31"/>
  <c r="LC54" i="31" s="1"/>
  <c r="LA54" i="31"/>
  <c r="LB59" i="31"/>
  <c r="LC59" i="31" s="1"/>
  <c r="LA59" i="31"/>
  <c r="LB19" i="31"/>
  <c r="LC19" i="31" s="1"/>
  <c r="LA19" i="31"/>
  <c r="LA333" i="31"/>
  <c r="LB333" i="31"/>
  <c r="LC333" i="31" s="1"/>
  <c r="LB298" i="31"/>
  <c r="LC298" i="31" s="1"/>
  <c r="LA298" i="31"/>
  <c r="LA273" i="31"/>
  <c r="LB273" i="31"/>
  <c r="LC273" i="31" s="1"/>
  <c r="LB222" i="31"/>
  <c r="LC222" i="31" s="1"/>
  <c r="LA222" i="31"/>
  <c r="LA124" i="31"/>
  <c r="LB124" i="31"/>
  <c r="LC124" i="31" s="1"/>
  <c r="LA209" i="31"/>
  <c r="LB209" i="31"/>
  <c r="LC209" i="31" s="1"/>
  <c r="LA77" i="31"/>
  <c r="LB77" i="31"/>
  <c r="LC77" i="31" s="1"/>
  <c r="LB296" i="31"/>
  <c r="LC296" i="31" s="1"/>
  <c r="LA296" i="31"/>
  <c r="LB256" i="31"/>
  <c r="LC256" i="31" s="1"/>
  <c r="LA256" i="31"/>
  <c r="LB218" i="31"/>
  <c r="LC218" i="31" s="1"/>
  <c r="LA218" i="31"/>
  <c r="LB176" i="31"/>
  <c r="LC176" i="31" s="1"/>
  <c r="LA176" i="31"/>
  <c r="LA65" i="31"/>
  <c r="LB65" i="31"/>
  <c r="LC65" i="31" s="1"/>
  <c r="LB129" i="31"/>
  <c r="LC129" i="31" s="1"/>
  <c r="LA129" i="31"/>
  <c r="LB262" i="31"/>
  <c r="LC262" i="31" s="1"/>
  <c r="LA262" i="31"/>
  <c r="LB308" i="31"/>
  <c r="LC308" i="31" s="1"/>
  <c r="LA308" i="31"/>
  <c r="LB135" i="31"/>
  <c r="LC135" i="31" s="1"/>
  <c r="LA135" i="31"/>
  <c r="LB98" i="31"/>
  <c r="LC98" i="31" s="1"/>
  <c r="LA98" i="31"/>
  <c r="LB84" i="31"/>
  <c r="LC84" i="31" s="1"/>
  <c r="LA84" i="31"/>
  <c r="LB166" i="31"/>
  <c r="LC166" i="31" s="1"/>
  <c r="LA166" i="31"/>
  <c r="LB272" i="31"/>
  <c r="LC272" i="31" s="1"/>
  <c r="LA272" i="31"/>
  <c r="LA245" i="31"/>
  <c r="LB245" i="31"/>
  <c r="LC245" i="31" s="1"/>
  <c r="LB179" i="31"/>
  <c r="LC179" i="31" s="1"/>
  <c r="LA179" i="31"/>
  <c r="LB123" i="31"/>
  <c r="LC123" i="31" s="1"/>
  <c r="LA123" i="31"/>
  <c r="LB236" i="31"/>
  <c r="LC236" i="31" s="1"/>
  <c r="LA236" i="31"/>
  <c r="LB208" i="31"/>
  <c r="LC208" i="31" s="1"/>
  <c r="LA208" i="31"/>
  <c r="LA93" i="31"/>
  <c r="LB93" i="31"/>
  <c r="LC93" i="31" s="1"/>
  <c r="LB182" i="31"/>
  <c r="LC182" i="31" s="1"/>
  <c r="LA182" i="31"/>
  <c r="LA204" i="31"/>
  <c r="LB204" i="31"/>
  <c r="LC204" i="31" s="1"/>
  <c r="LA357" i="31"/>
  <c r="LB357" i="31"/>
  <c r="LC357" i="31" s="1"/>
  <c r="LB312" i="31"/>
  <c r="LC312" i="31" s="1"/>
  <c r="LA312" i="31"/>
  <c r="LB250" i="31"/>
  <c r="LC250" i="31" s="1"/>
  <c r="LA250" i="31"/>
  <c r="LB234" i="31"/>
  <c r="LC234" i="31" s="1"/>
  <c r="LA234" i="31"/>
  <c r="LA81" i="31"/>
  <c r="LB81" i="31"/>
  <c r="LC81" i="31" s="1"/>
  <c r="LB91" i="31"/>
  <c r="LC91" i="31" s="1"/>
  <c r="LA91" i="31"/>
  <c r="LA345" i="31"/>
  <c r="LB345" i="31"/>
  <c r="LC345" i="31" s="1"/>
  <c r="LB344" i="31"/>
  <c r="LC344" i="31" s="1"/>
  <c r="LA344" i="31"/>
  <c r="LA281" i="31"/>
  <c r="LB281" i="31"/>
  <c r="LC281" i="31" s="1"/>
  <c r="LB82" i="31"/>
  <c r="LC82" i="31" s="1"/>
  <c r="LA82" i="31"/>
  <c r="LB132" i="31"/>
  <c r="LC132" i="31" s="1"/>
  <c r="LA132" i="31"/>
  <c r="LB7" i="31"/>
  <c r="LC7" i="31" s="1"/>
  <c r="LA7" i="31"/>
  <c r="LB26" i="31"/>
  <c r="LC26" i="31" s="1"/>
  <c r="LA26" i="31"/>
  <c r="LB50" i="31"/>
  <c r="LC50" i="31" s="1"/>
  <c r="LA50" i="31"/>
  <c r="LA53" i="31"/>
  <c r="LB53" i="31"/>
  <c r="LC53" i="31" s="1"/>
  <c r="LB10" i="31"/>
  <c r="LC10" i="31" s="1"/>
  <c r="LA10" i="31"/>
  <c r="LB18" i="31"/>
  <c r="LC18" i="31" s="1"/>
  <c r="LA18" i="31"/>
  <c r="LA61" i="31"/>
  <c r="LB61" i="31"/>
  <c r="LC61" i="31" s="1"/>
  <c r="LA60" i="31"/>
  <c r="LB60" i="31"/>
  <c r="LC60" i="31" s="1"/>
  <c r="LB48" i="31"/>
  <c r="LC48" i="31" s="1"/>
  <c r="LA48" i="31"/>
  <c r="LA21" i="31"/>
  <c r="LB21" i="31"/>
  <c r="LC21" i="31" s="1"/>
  <c r="LB64" i="31"/>
  <c r="LC64" i="31" s="1"/>
  <c r="LA64" i="31"/>
  <c r="LB359" i="31"/>
  <c r="LC359" i="31" s="1"/>
  <c r="LA359" i="31"/>
  <c r="LA365" i="31"/>
  <c r="LB365" i="31"/>
  <c r="LC365" i="31" s="1"/>
  <c r="LB275" i="31"/>
  <c r="LC275" i="31" s="1"/>
  <c r="LA275" i="31"/>
  <c r="LA293" i="31"/>
  <c r="LB293" i="31"/>
  <c r="LC293" i="31" s="1"/>
  <c r="LB216" i="31"/>
  <c r="LC216" i="31" s="1"/>
  <c r="LA216" i="31"/>
  <c r="LA241" i="31"/>
  <c r="LB241" i="31"/>
  <c r="LC241" i="31" s="1"/>
  <c r="LB139" i="31"/>
  <c r="LC139" i="31" s="1"/>
  <c r="LA139" i="31"/>
  <c r="LB198" i="31"/>
  <c r="LC198" i="31" s="1"/>
  <c r="LA198" i="31"/>
  <c r="LB102" i="31"/>
  <c r="LC102" i="31" s="1"/>
  <c r="LA102" i="31"/>
  <c r="LA213" i="31"/>
  <c r="LB213" i="31"/>
  <c r="LC213" i="31" s="1"/>
  <c r="LB155" i="31"/>
  <c r="LC155" i="31" s="1"/>
  <c r="LA155" i="31"/>
  <c r="LA265" i="31"/>
  <c r="LB265" i="31"/>
  <c r="LC265" i="31" s="1"/>
  <c r="LB90" i="31"/>
  <c r="LC90" i="31" s="1"/>
  <c r="LA90" i="31"/>
  <c r="LB367" i="31"/>
  <c r="LC367" i="31" s="1"/>
  <c r="LA367" i="31"/>
  <c r="LA341" i="31"/>
  <c r="LB341" i="31"/>
  <c r="LC341" i="31" s="1"/>
  <c r="LA309" i="31"/>
  <c r="LB309" i="31"/>
  <c r="LC309" i="31" s="1"/>
  <c r="LA313" i="31"/>
  <c r="LB313" i="31"/>
  <c r="LC313" i="31" s="1"/>
  <c r="LA165" i="31"/>
  <c r="LB165" i="31"/>
  <c r="LC165" i="31" s="1"/>
  <c r="LB150" i="31"/>
  <c r="LC150" i="31" s="1"/>
  <c r="LA150" i="31"/>
  <c r="LB78" i="31"/>
  <c r="LC78" i="31" s="1"/>
  <c r="LA78" i="31"/>
  <c r="LA97" i="31"/>
  <c r="LB97" i="31"/>
  <c r="LC97" i="31" s="1"/>
  <c r="LB207" i="31"/>
  <c r="LC207" i="31" s="1"/>
  <c r="LA207" i="31"/>
  <c r="LA353" i="31"/>
  <c r="LB353" i="31"/>
  <c r="LC353" i="31" s="1"/>
  <c r="LB145" i="31"/>
  <c r="LC145" i="31" s="1"/>
  <c r="LA145" i="31"/>
  <c r="LB330" i="31"/>
  <c r="LC330" i="31" s="1"/>
  <c r="LA330" i="31"/>
  <c r="LB284" i="31"/>
  <c r="LC284" i="31" s="1"/>
  <c r="LA284" i="31"/>
  <c r="LB294" i="31"/>
  <c r="LC294" i="31" s="1"/>
  <c r="LA294" i="31"/>
  <c r="LB227" i="31"/>
  <c r="LC227" i="31" s="1"/>
  <c r="LA227" i="31"/>
  <c r="LA285" i="31"/>
  <c r="LB285" i="31"/>
  <c r="LC285" i="31" s="1"/>
  <c r="LA229" i="31"/>
  <c r="LB229" i="31"/>
  <c r="LC229" i="31" s="1"/>
  <c r="LB192" i="31"/>
  <c r="LC192" i="31" s="1"/>
  <c r="LA192" i="31"/>
  <c r="LB140" i="31"/>
  <c r="LC140" i="31" s="1"/>
  <c r="LA140" i="31"/>
  <c r="LA85" i="31"/>
  <c r="LB85" i="31"/>
  <c r="LC85" i="31" s="1"/>
  <c r="LB68" i="31"/>
  <c r="LC68" i="31" s="1"/>
  <c r="LA68" i="31"/>
  <c r="LB80" i="31"/>
  <c r="LC80" i="31" s="1"/>
  <c r="LA80" i="31"/>
  <c r="LB163" i="31"/>
  <c r="LC163" i="31" s="1"/>
  <c r="LA163" i="31"/>
  <c r="LB311" i="31"/>
  <c r="LC311" i="31" s="1"/>
  <c r="LA311" i="31"/>
  <c r="LA317" i="31"/>
  <c r="LB317" i="31"/>
  <c r="LC317" i="31" s="1"/>
  <c r="LB304" i="31"/>
  <c r="LC304" i="31" s="1"/>
  <c r="LA304" i="31"/>
  <c r="LB215" i="31"/>
  <c r="LC215" i="31" s="1"/>
  <c r="LA215" i="31"/>
  <c r="LB210" i="31"/>
  <c r="LC210" i="31" s="1"/>
  <c r="LA210" i="31"/>
  <c r="LB226" i="31"/>
  <c r="LC226" i="31" s="1"/>
  <c r="LA226" i="31"/>
  <c r="LB186" i="31"/>
  <c r="LC186" i="31" s="1"/>
  <c r="LA186" i="31"/>
  <c r="LA105" i="31"/>
  <c r="LB105" i="31"/>
  <c r="LC105" i="31" s="1"/>
  <c r="LB100" i="31"/>
  <c r="LC100" i="31" s="1"/>
  <c r="LA100" i="31"/>
  <c r="LB363" i="31"/>
  <c r="LC363" i="31" s="1"/>
  <c r="LA363" i="31"/>
  <c r="LB306" i="31"/>
  <c r="LC306" i="31" s="1"/>
  <c r="LA306" i="31"/>
  <c r="LB260" i="31"/>
  <c r="LC260" i="31" s="1"/>
  <c r="LA260" i="31"/>
  <c r="LB270" i="31"/>
  <c r="LC270" i="31" s="1"/>
  <c r="LA270" i="31"/>
  <c r="LB352" i="31"/>
  <c r="LC352" i="31" s="1"/>
  <c r="LA352" i="31"/>
  <c r="LB230" i="31"/>
  <c r="LC230" i="31" s="1"/>
  <c r="LA230" i="31"/>
  <c r="LA257" i="31"/>
  <c r="LB257" i="31"/>
  <c r="LC257" i="31" s="1"/>
  <c r="LB74" i="31"/>
  <c r="LC74" i="31" s="1"/>
  <c r="LA74" i="31"/>
  <c r="LB191" i="31"/>
  <c r="LC191" i="31" s="1"/>
  <c r="LA191" i="31"/>
  <c r="LA177" i="31"/>
  <c r="LB177" i="31"/>
  <c r="LC177" i="31" s="1"/>
  <c r="LB72" i="31"/>
  <c r="LC72" i="31" s="1"/>
  <c r="LA72" i="31"/>
  <c r="LB88" i="31"/>
  <c r="LC88" i="31" s="1"/>
  <c r="LA88" i="31"/>
  <c r="LB326" i="31"/>
  <c r="LC326" i="31" s="1"/>
  <c r="LA326" i="31"/>
  <c r="LB280" i="31"/>
  <c r="LC280" i="31" s="1"/>
  <c r="LA280" i="31"/>
  <c r="LB360" i="31"/>
  <c r="LC360" i="31" s="1"/>
  <c r="LA360" i="31"/>
  <c r="LB223" i="31"/>
  <c r="LC223" i="31" s="1"/>
  <c r="LA223" i="31"/>
  <c r="LA149" i="31"/>
  <c r="LB149" i="31"/>
  <c r="LC149" i="31" s="1"/>
  <c r="LB142" i="31"/>
  <c r="LC142" i="31" s="1"/>
  <c r="LA142" i="31"/>
  <c r="LB196" i="31"/>
  <c r="LC196" i="31" s="1"/>
  <c r="LA196" i="31"/>
  <c r="LA253" i="31"/>
  <c r="LB253" i="31"/>
  <c r="LC253" i="31" s="1"/>
  <c r="LB67" i="31"/>
  <c r="LC67" i="31" s="1"/>
  <c r="LA67" i="31"/>
  <c r="LB314" i="31"/>
  <c r="LC314" i="31" s="1"/>
  <c r="LA314" i="31"/>
  <c r="LB356" i="31"/>
  <c r="LC356" i="31" s="1"/>
  <c r="LA356" i="31"/>
  <c r="LA305" i="31"/>
  <c r="LB305" i="31"/>
  <c r="LC305" i="31" s="1"/>
  <c r="LB238" i="31"/>
  <c r="LC238" i="31" s="1"/>
  <c r="LA238" i="31"/>
  <c r="LA169" i="31"/>
  <c r="LB169" i="31"/>
  <c r="LC169" i="31" s="1"/>
  <c r="LB114" i="31"/>
  <c r="LC114" i="31" s="1"/>
  <c r="LA114" i="31"/>
  <c r="LA69" i="31"/>
  <c r="LB69" i="31"/>
  <c r="LC69" i="31" s="1"/>
  <c r="LB71" i="31"/>
  <c r="LC71" i="31" s="1"/>
  <c r="LA71" i="31"/>
  <c r="LB194" i="31"/>
  <c r="LC194" i="31" s="1"/>
  <c r="LA194" i="31"/>
  <c r="LA76" i="31"/>
  <c r="LB76" i="31"/>
  <c r="LC76" i="31" s="1"/>
  <c r="LB44" i="31"/>
  <c r="LC44" i="31" s="1"/>
  <c r="LA44" i="31"/>
  <c r="LA9" i="31"/>
  <c r="LB9" i="31"/>
  <c r="LC9" i="31" s="1"/>
  <c r="LB35" i="31"/>
  <c r="LC35" i="31" s="1"/>
  <c r="LA35" i="31"/>
  <c r="LB43" i="31"/>
  <c r="LC43" i="31" s="1"/>
  <c r="LA43" i="31"/>
  <c r="LB55" i="31"/>
  <c r="LC55" i="31" s="1"/>
  <c r="LA55" i="31"/>
  <c r="LB28" i="31"/>
  <c r="LC28" i="31" s="1"/>
  <c r="LA28" i="31"/>
  <c r="LB42" i="31"/>
  <c r="LC42" i="31" s="1"/>
  <c r="LA42" i="31"/>
  <c r="LB288" i="31"/>
  <c r="LC288" i="31" s="1"/>
  <c r="LA288" i="31"/>
  <c r="LA301" i="31"/>
  <c r="LB301" i="31"/>
  <c r="LC301" i="31" s="1"/>
  <c r="LA189" i="31"/>
  <c r="LB189" i="31"/>
  <c r="LC189" i="31" s="1"/>
  <c r="LA188" i="31"/>
  <c r="LB188" i="31"/>
  <c r="LC188" i="31" s="1"/>
  <c r="LA321" i="31"/>
  <c r="LB321" i="31"/>
  <c r="LC321" i="31" s="1"/>
  <c r="LB264" i="31"/>
  <c r="LC264" i="31" s="1"/>
  <c r="LA264" i="31"/>
  <c r="LB324" i="31"/>
  <c r="LC324" i="31" s="1"/>
  <c r="LA324" i="31"/>
  <c r="LB224" i="31"/>
  <c r="LC224" i="31" s="1"/>
  <c r="LA224" i="31"/>
  <c r="LB156" i="31"/>
  <c r="LC156" i="31" s="1"/>
  <c r="LA156" i="31"/>
  <c r="LB199" i="31"/>
  <c r="LC199" i="31" s="1"/>
  <c r="LA199" i="31"/>
  <c r="LB87" i="31"/>
  <c r="LC87" i="31" s="1"/>
  <c r="LA87" i="31"/>
  <c r="LA221" i="31"/>
  <c r="LB221" i="31"/>
  <c r="LC221" i="31" s="1"/>
  <c r="LB323" i="31"/>
  <c r="LC323" i="31" s="1"/>
  <c r="LA323" i="31"/>
  <c r="LB328" i="31"/>
  <c r="LC328" i="31" s="1"/>
  <c r="LA328" i="31"/>
  <c r="LB212" i="31"/>
  <c r="LC212" i="31" s="1"/>
  <c r="LA212" i="31"/>
  <c r="LA153" i="31"/>
  <c r="LB153" i="31"/>
  <c r="LC153" i="31" s="1"/>
  <c r="LB70" i="31"/>
  <c r="LC70" i="31" s="1"/>
  <c r="LA70" i="31"/>
  <c r="LB322" i="31"/>
  <c r="LC322" i="31" s="1"/>
  <c r="LA322" i="31"/>
  <c r="LB104" i="31"/>
  <c r="LC104" i="31" s="1"/>
  <c r="LA104" i="31"/>
  <c r="LB318" i="31"/>
  <c r="LC318" i="31" s="1"/>
  <c r="LA318" i="31"/>
  <c r="LB291" i="31"/>
  <c r="LC291" i="31" s="1"/>
  <c r="LA291" i="31"/>
  <c r="LA205" i="31"/>
  <c r="LB205" i="31"/>
  <c r="LC205" i="31" s="1"/>
  <c r="LB134" i="31"/>
  <c r="LC134" i="31" s="1"/>
  <c r="LA134" i="31"/>
  <c r="LB118" i="31"/>
  <c r="LC118" i="31" s="1"/>
  <c r="LA118" i="31"/>
  <c r="LB170" i="31"/>
  <c r="LC170" i="31" s="1"/>
  <c r="LA170" i="31"/>
  <c r="LB83" i="31"/>
  <c r="LC83" i="31" s="1"/>
  <c r="LA83" i="31"/>
  <c r="LB279" i="31"/>
  <c r="LC279" i="31" s="1"/>
  <c r="LA279" i="31"/>
  <c r="LB160" i="31"/>
  <c r="LC160" i="31" s="1"/>
  <c r="LA160" i="31"/>
  <c r="LB178" i="31"/>
  <c r="LC178" i="31" s="1"/>
  <c r="LA178" i="31"/>
  <c r="LB319" i="31"/>
  <c r="LC319" i="31" s="1"/>
  <c r="LA319" i="31"/>
  <c r="LA325" i="31"/>
  <c r="LB325" i="31"/>
  <c r="LC325" i="31" s="1"/>
  <c r="LB240" i="31"/>
  <c r="LC240" i="31" s="1"/>
  <c r="LA240" i="31"/>
  <c r="LB202" i="31"/>
  <c r="LC202" i="31" s="1"/>
  <c r="LA202" i="31"/>
  <c r="LB95" i="31"/>
  <c r="LC95" i="31" s="1"/>
  <c r="LA95" i="31"/>
  <c r="LB347" i="31"/>
  <c r="LC347" i="31" s="1"/>
  <c r="LA347" i="31"/>
  <c r="LB300" i="31"/>
  <c r="LC300" i="31" s="1"/>
  <c r="LA300" i="31"/>
  <c r="LB243" i="31"/>
  <c r="LC243" i="31" s="1"/>
  <c r="LA243" i="31"/>
  <c r="LA237" i="31"/>
  <c r="LB237" i="31"/>
  <c r="LC237" i="31" s="1"/>
  <c r="LB141" i="31"/>
  <c r="LC141" i="31" s="1"/>
  <c r="LA141" i="31"/>
  <c r="LB47" i="31"/>
  <c r="LC47" i="31" s="1"/>
  <c r="LA47" i="31"/>
  <c r="LA13" i="31"/>
  <c r="LB13" i="31"/>
  <c r="LC13" i="31" s="1"/>
  <c r="LB34" i="31"/>
  <c r="LC34" i="31" s="1"/>
  <c r="LA34" i="31"/>
  <c r="LA25" i="31"/>
  <c r="LB25" i="31"/>
  <c r="LC25" i="31" s="1"/>
  <c r="LB32" i="31"/>
  <c r="LC32" i="31" s="1"/>
  <c r="LA32" i="31"/>
  <c r="LB30" i="31"/>
  <c r="LC30" i="31" s="1"/>
  <c r="LA30" i="31"/>
  <c r="LA20" i="31"/>
  <c r="LB20" i="31"/>
  <c r="LC20" i="31" s="1"/>
  <c r="LB22" i="31"/>
  <c r="LC22" i="31" s="1"/>
  <c r="LA22" i="31"/>
  <c r="LB6" i="31"/>
  <c r="LC6" i="31" s="1"/>
  <c r="LA6" i="31"/>
  <c r="LB327" i="31"/>
  <c r="LC327" i="31" s="1"/>
  <c r="LA327" i="31"/>
  <c r="LB258" i="31"/>
  <c r="LC258" i="31" s="1"/>
  <c r="LA258" i="31"/>
  <c r="LB200" i="31"/>
  <c r="LC200" i="31" s="1"/>
  <c r="LA200" i="31"/>
  <c r="LB195" i="31"/>
  <c r="LC195" i="31" s="1"/>
  <c r="LA195" i="31"/>
  <c r="LA121" i="31"/>
  <c r="LB121" i="31"/>
  <c r="LC121" i="31" s="1"/>
  <c r="LB354" i="31"/>
  <c r="LC354" i="31" s="1"/>
  <c r="LA354" i="31"/>
  <c r="LB335" i="31"/>
  <c r="LC335" i="31" s="1"/>
  <c r="LA335" i="31"/>
  <c r="LB274" i="31"/>
  <c r="LC274" i="31" s="1"/>
  <c r="LA274" i="31"/>
  <c r="LB126" i="31"/>
  <c r="LC126" i="31" s="1"/>
  <c r="LA126" i="31"/>
  <c r="LB187" i="31"/>
  <c r="LC187" i="31" s="1"/>
  <c r="LA187" i="31"/>
  <c r="LB246" i="31"/>
  <c r="LC246" i="31" s="1"/>
  <c r="LA246" i="31"/>
  <c r="LB355" i="31"/>
  <c r="LC355" i="31" s="1"/>
  <c r="LA355" i="31"/>
  <c r="LA361" i="31"/>
  <c r="LB361" i="31"/>
  <c r="LC361" i="31" s="1"/>
  <c r="LB340" i="31"/>
  <c r="LC340" i="31" s="1"/>
  <c r="LA340" i="31"/>
  <c r="LB244" i="31"/>
  <c r="LC244" i="31" s="1"/>
  <c r="LA244" i="31"/>
  <c r="LA185" i="31"/>
  <c r="LB185" i="31"/>
  <c r="LC185" i="31" s="1"/>
  <c r="LB112" i="31"/>
  <c r="LC112" i="31" s="1"/>
  <c r="LA112" i="31"/>
  <c r="LB111" i="31"/>
  <c r="LC111" i="31" s="1"/>
  <c r="LA111" i="31"/>
  <c r="LB350" i="31"/>
  <c r="LC350" i="31" s="1"/>
  <c r="LA350" i="31"/>
  <c r="LB282" i="31"/>
  <c r="LC282" i="31" s="1"/>
  <c r="LA282" i="31"/>
  <c r="LA269" i="31"/>
  <c r="LB269" i="31"/>
  <c r="LC269" i="31" s="1"/>
  <c r="LB184" i="31"/>
  <c r="LC184" i="31" s="1"/>
  <c r="LA184" i="31"/>
  <c r="LA73" i="31"/>
  <c r="LB73" i="31"/>
  <c r="LC73" i="31" s="1"/>
  <c r="LA92" i="31"/>
  <c r="LB92" i="31"/>
  <c r="LC92" i="31" s="1"/>
  <c r="LB331" i="31"/>
  <c r="LC331" i="31" s="1"/>
  <c r="LA331" i="31"/>
  <c r="LA369" i="31"/>
  <c r="LB369" i="31"/>
  <c r="LC369" i="31" s="1"/>
  <c r="LB368" i="31"/>
  <c r="LC368" i="31" s="1"/>
  <c r="LA368" i="31"/>
  <c r="LB235" i="31"/>
  <c r="LC235" i="31" s="1"/>
  <c r="LA235" i="31"/>
  <c r="LA233" i="31"/>
  <c r="LB233" i="31"/>
  <c r="LC233" i="31" s="1"/>
  <c r="LB206" i="31"/>
  <c r="LC206" i="31" s="1"/>
  <c r="LA206" i="31"/>
  <c r="LB127" i="31"/>
  <c r="LC127" i="31" s="1"/>
  <c r="LA127" i="31"/>
  <c r="LB351" i="31"/>
  <c r="LC351" i="31" s="1"/>
  <c r="LA351" i="31"/>
  <c r="LB320" i="31"/>
  <c r="LC320" i="31" s="1"/>
  <c r="LA320" i="31"/>
  <c r="LB174" i="31"/>
  <c r="LC174" i="31" s="1"/>
  <c r="LA174" i="31"/>
  <c r="LB94" i="31"/>
  <c r="LC94" i="31" s="1"/>
  <c r="LA94" i="31"/>
  <c r="LB103" i="31"/>
  <c r="LC103" i="31" s="1"/>
  <c r="LA103" i="31"/>
  <c r="LB151" i="31"/>
  <c r="LC151" i="31" s="1"/>
  <c r="LA151" i="31"/>
  <c r="LB339" i="31"/>
  <c r="LC339" i="31" s="1"/>
  <c r="LA339" i="31"/>
  <c r="LB228" i="31"/>
  <c r="LC228" i="31" s="1"/>
  <c r="LA228" i="31"/>
  <c r="LB168" i="31"/>
  <c r="LC168" i="31" s="1"/>
  <c r="LA168" i="31"/>
  <c r="LA249" i="31"/>
  <c r="LB249" i="31"/>
  <c r="LC249" i="31" s="1"/>
  <c r="LB364" i="31"/>
  <c r="LC364" i="31" s="1"/>
  <c r="LA364" i="31"/>
  <c r="LB14" i="31"/>
  <c r="LC14" i="31" s="1"/>
  <c r="LA14" i="31"/>
  <c r="LA41" i="31"/>
  <c r="LB41" i="31"/>
  <c r="LC41" i="31" s="1"/>
  <c r="LB38" i="31"/>
  <c r="LC38" i="31" s="1"/>
  <c r="LA38" i="31"/>
  <c r="LB46" i="31"/>
  <c r="LC46" i="31" s="1"/>
  <c r="LA46" i="31"/>
  <c r="LB39" i="31"/>
  <c r="LC39" i="31" s="1"/>
  <c r="LA39" i="31"/>
  <c r="LB12" i="31"/>
  <c r="LC12" i="31" s="1"/>
  <c r="LA12" i="31"/>
  <c r="LB63" i="31"/>
  <c r="LC63" i="31" s="1"/>
  <c r="LA63" i="31"/>
  <c r="LB24" i="31"/>
  <c r="LC24" i="31" s="1"/>
  <c r="LA24" i="31"/>
  <c r="LA36" i="31"/>
  <c r="LB36" i="31"/>
  <c r="LC36" i="31" s="1"/>
  <c r="LA45" i="31"/>
  <c r="LB45" i="31"/>
  <c r="LC45" i="31" s="1"/>
  <c r="LB51" i="31"/>
  <c r="LC51" i="31" s="1"/>
  <c r="LA51" i="31"/>
  <c r="LA37" i="31"/>
  <c r="LB37" i="31"/>
  <c r="LC37" i="31" s="1"/>
  <c r="LB31" i="31"/>
  <c r="LC31" i="31" s="1"/>
  <c r="LA31" i="31"/>
  <c r="LA29" i="31"/>
  <c r="LB29" i="31"/>
  <c r="LC29" i="31" s="1"/>
  <c r="LB58" i="31"/>
  <c r="LC58" i="31" s="1"/>
  <c r="LA58" i="31"/>
  <c r="LB334" i="31"/>
  <c r="LC334" i="31" s="1"/>
  <c r="LA334" i="31"/>
  <c r="LA316" i="31"/>
  <c r="LB316" i="31"/>
  <c r="LC316" i="31" s="1"/>
  <c r="LB231" i="31"/>
  <c r="LC231" i="31" s="1"/>
  <c r="LA231" i="31"/>
  <c r="LB248" i="31"/>
  <c r="LC248" i="31" s="1"/>
  <c r="LA248" i="31"/>
  <c r="LA157" i="31"/>
  <c r="LB157" i="31"/>
  <c r="LC157" i="31" s="1"/>
  <c r="LB164" i="31"/>
  <c r="LC164" i="31" s="1"/>
  <c r="LA164" i="31"/>
  <c r="LB152" i="31"/>
  <c r="LC152" i="31" s="1"/>
  <c r="LA152" i="31"/>
  <c r="LB144" i="31"/>
  <c r="LC144" i="31" s="1"/>
  <c r="LA144" i="31"/>
  <c r="LB116" i="31"/>
  <c r="LC116" i="31" s="1"/>
  <c r="LA116" i="31"/>
  <c r="LB128" i="31"/>
  <c r="LC128" i="31" s="1"/>
  <c r="LA128" i="31"/>
  <c r="LB295" i="31"/>
  <c r="LC295" i="31" s="1"/>
  <c r="LA295" i="31"/>
  <c r="LB138" i="31"/>
  <c r="LC138" i="31" s="1"/>
  <c r="LA138" i="31"/>
  <c r="LB310" i="31"/>
  <c r="LC310" i="31" s="1"/>
  <c r="LA310" i="31"/>
  <c r="LB283" i="31"/>
  <c r="LC283" i="31" s="1"/>
  <c r="LA283" i="31"/>
  <c r="LB239" i="31"/>
  <c r="LC239" i="31" s="1"/>
  <c r="LA239" i="31"/>
  <c r="LA197" i="31"/>
  <c r="LB197" i="31"/>
  <c r="LC197" i="31" s="1"/>
  <c r="LB147" i="31"/>
  <c r="LC147" i="31" s="1"/>
  <c r="LA147" i="31"/>
  <c r="LB110" i="31"/>
  <c r="LC110" i="31" s="1"/>
  <c r="LA110" i="31"/>
  <c r="LA133" i="31"/>
  <c r="LB133" i="31"/>
  <c r="LC133" i="31" s="1"/>
  <c r="LB107" i="31"/>
  <c r="LC107" i="31" s="1"/>
  <c r="LA107" i="31"/>
  <c r="LB137" i="31"/>
  <c r="LC137" i="31" s="1"/>
  <c r="LA137" i="31"/>
  <c r="LB362" i="31"/>
  <c r="LC362" i="31" s="1"/>
  <c r="LA362" i="31"/>
  <c r="LB336" i="31"/>
  <c r="LC336" i="31" s="1"/>
  <c r="LA336" i="31"/>
  <c r="LB271" i="31"/>
  <c r="LC271" i="31" s="1"/>
  <c r="LA271" i="31"/>
  <c r="LA261" i="31"/>
  <c r="LB261" i="31"/>
  <c r="LC261" i="31" s="1"/>
  <c r="LB254" i="31"/>
  <c r="LC254" i="31" s="1"/>
  <c r="LA254" i="31"/>
  <c r="LB348" i="31"/>
  <c r="LC348" i="31" s="1"/>
  <c r="LA348" i="31"/>
  <c r="LA225" i="31"/>
  <c r="LB225" i="31"/>
  <c r="LC225" i="31" s="1"/>
  <c r="LB190" i="31"/>
  <c r="LC190" i="31" s="1"/>
  <c r="LA190" i="31"/>
  <c r="LA117" i="31"/>
  <c r="LB117" i="31"/>
  <c r="LC117" i="31" s="1"/>
  <c r="LB99" i="31"/>
  <c r="LC99" i="31" s="1"/>
  <c r="LA99" i="31"/>
  <c r="LA276" i="31"/>
  <c r="LB276" i="31"/>
  <c r="LC276" i="31" s="1"/>
  <c r="LB79" i="31"/>
  <c r="LC79" i="31" s="1"/>
  <c r="LA79" i="31"/>
  <c r="LB343" i="31"/>
  <c r="LC343" i="31" s="1"/>
  <c r="LA343" i="31"/>
  <c r="LA349" i="31"/>
  <c r="LB349" i="31"/>
  <c r="LC349" i="31" s="1"/>
  <c r="LB259" i="31"/>
  <c r="LC259" i="31" s="1"/>
  <c r="LA259" i="31"/>
  <c r="LB247" i="31"/>
  <c r="LC247" i="31" s="1"/>
  <c r="LA247" i="31"/>
  <c r="LB232" i="31"/>
  <c r="LC232" i="31" s="1"/>
  <c r="LA232" i="31"/>
  <c r="LA173" i="31"/>
  <c r="LB173" i="31"/>
  <c r="LC173" i="31" s="1"/>
  <c r="LA289" i="31"/>
  <c r="LB289" i="31"/>
  <c r="LC289" i="31" s="1"/>
  <c r="LB86" i="31"/>
  <c r="LC86" i="31" s="1"/>
  <c r="LA86" i="31"/>
  <c r="LB175" i="31"/>
  <c r="LC175" i="31" s="1"/>
  <c r="LA175" i="31"/>
  <c r="LB66" i="31"/>
  <c r="LC66" i="31" s="1"/>
  <c r="LA66" i="31"/>
  <c r="LB122" i="31"/>
  <c r="LC122" i="31" s="1"/>
  <c r="LA122" i="31"/>
  <c r="LB338" i="31"/>
  <c r="LC338" i="31" s="1"/>
  <c r="LA338" i="31"/>
  <c r="LA292" i="31"/>
  <c r="LB292" i="31"/>
  <c r="LC292" i="31" s="1"/>
  <c r="LB302" i="31"/>
  <c r="LC302" i="31" s="1"/>
  <c r="LA302" i="31"/>
  <c r="LB220" i="31"/>
  <c r="LC220" i="31" s="1"/>
  <c r="LA220" i="31"/>
  <c r="LA161" i="31"/>
  <c r="LB161" i="31"/>
  <c r="LC161" i="31" s="1"/>
  <c r="LB203" i="31"/>
  <c r="LC203" i="31" s="1"/>
  <c r="LA203" i="31"/>
  <c r="LB106" i="31"/>
  <c r="LC106" i="31" s="1"/>
  <c r="LA106" i="31"/>
  <c r="LB120" i="31"/>
  <c r="LC120" i="31" s="1"/>
  <c r="LA120" i="31"/>
  <c r="LB219" i="31"/>
  <c r="LC219" i="31" s="1"/>
  <c r="LA219" i="31"/>
  <c r="LB358" i="31"/>
  <c r="LC358" i="31" s="1"/>
  <c r="LA358" i="31"/>
  <c r="LA332" i="31"/>
  <c r="LB332" i="31"/>
  <c r="LC332" i="31" s="1"/>
  <c r="LB267" i="31"/>
  <c r="LC267" i="31" s="1"/>
  <c r="LA267" i="31"/>
  <c r="LB255" i="31"/>
  <c r="LC255" i="31" s="1"/>
  <c r="LA255" i="31"/>
  <c r="LA181" i="31"/>
  <c r="LB181" i="31"/>
  <c r="LC181" i="31" s="1"/>
  <c r="LB131" i="31"/>
  <c r="LC131" i="31" s="1"/>
  <c r="LA131" i="31"/>
  <c r="LB136" i="31"/>
  <c r="LC136" i="31" s="1"/>
  <c r="LA136" i="31"/>
  <c r="LA113" i="31"/>
  <c r="LB113" i="31"/>
  <c r="LC113" i="31" s="1"/>
  <c r="LB286" i="31"/>
  <c r="LC286" i="31" s="1"/>
  <c r="LA286" i="31"/>
  <c r="LB346" i="31"/>
  <c r="LC346" i="31" s="1"/>
  <c r="LA346" i="31"/>
  <c r="LB268" i="31"/>
  <c r="LC268" i="31" s="1"/>
  <c r="LA268" i="31"/>
  <c r="LB278" i="31"/>
  <c r="LC278" i="31" s="1"/>
  <c r="LA278" i="31"/>
  <c r="LB211" i="31"/>
  <c r="LC211" i="31" s="1"/>
  <c r="LA211" i="31"/>
  <c r="LA201" i="31"/>
  <c r="LB201" i="31"/>
  <c r="LC201" i="31" s="1"/>
  <c r="LB158" i="31"/>
  <c r="LC158" i="31" s="1"/>
  <c r="LA158" i="31"/>
  <c r="LA101" i="31"/>
  <c r="LB101" i="31"/>
  <c r="LC101" i="31" s="1"/>
  <c r="LB119" i="31"/>
  <c r="LC119" i="31" s="1"/>
  <c r="LA119" i="31"/>
  <c r="LB251" i="31"/>
  <c r="LC251" i="31" s="1"/>
  <c r="LA251" i="31"/>
  <c r="LB75" i="31"/>
  <c r="LC75" i="31" s="1"/>
  <c r="LA75" i="31"/>
  <c r="KM6" i="31"/>
  <c r="KO7" i="31" s="1"/>
  <c r="KR6" i="31" s="1"/>
  <c r="KL6" i="31"/>
  <c r="KN7" i="31" s="1"/>
  <c r="AC12" i="31"/>
  <c r="Z12" i="31"/>
  <c r="Z63" i="31"/>
  <c r="AC47" i="31"/>
  <c r="Z47" i="31"/>
  <c r="AC53" i="31"/>
  <c r="Z53" i="31"/>
  <c r="AC56" i="31"/>
  <c r="Z56" i="31"/>
  <c r="Z45" i="31"/>
  <c r="AC48" i="31"/>
  <c r="Z48" i="31"/>
  <c r="AC54" i="31"/>
  <c r="Z54" i="31"/>
  <c r="AC9" i="31"/>
  <c r="Z9" i="31"/>
  <c r="Z59" i="31"/>
  <c r="AC29" i="31"/>
  <c r="Z29" i="31"/>
  <c r="AC51" i="31"/>
  <c r="Z51" i="31"/>
  <c r="AC30" i="31"/>
  <c r="Z30" i="31"/>
  <c r="Z42" i="31"/>
  <c r="AC26" i="31"/>
  <c r="Z26" i="31"/>
  <c r="AC10" i="31"/>
  <c r="Z10" i="31"/>
  <c r="AC46" i="31"/>
  <c r="Z46" i="31"/>
  <c r="Z13" i="31"/>
  <c r="AC18" i="31"/>
  <c r="Z18" i="31"/>
  <c r="AC20" i="31"/>
  <c r="Z20" i="31"/>
  <c r="AC31" i="31"/>
  <c r="Z31" i="31"/>
  <c r="Z27" i="31"/>
  <c r="AC28" i="31"/>
  <c r="Z28" i="31"/>
  <c r="Z7" i="31"/>
  <c r="AC39" i="31"/>
  <c r="Z39" i="31"/>
  <c r="Z14" i="31"/>
  <c r="AC43" i="31"/>
  <c r="Z43" i="31"/>
  <c r="AC35" i="31"/>
  <c r="Z35" i="31"/>
  <c r="AC17" i="31"/>
  <c r="Z17" i="31"/>
  <c r="Z36" i="31"/>
  <c r="AC32" i="31"/>
  <c r="Z32" i="31"/>
  <c r="AC23" i="31"/>
  <c r="Z23" i="31"/>
  <c r="AC22" i="31"/>
  <c r="Z22" i="31"/>
  <c r="Z55" i="31"/>
  <c r="AC64" i="31"/>
  <c r="Z64" i="31"/>
  <c r="AC49" i="31"/>
  <c r="Z49" i="31"/>
  <c r="AC44" i="31"/>
  <c r="Z44" i="31"/>
  <c r="Z11" i="31"/>
  <c r="AC15" i="31"/>
  <c r="Z15" i="31"/>
  <c r="AC8" i="31"/>
  <c r="Z8" i="31"/>
  <c r="Z6" i="31"/>
  <c r="Z33" i="31"/>
  <c r="AC19" i="31"/>
  <c r="Z19" i="31"/>
  <c r="AC58" i="31"/>
  <c r="Z58" i="31"/>
  <c r="AC38" i="31"/>
  <c r="Z38" i="31"/>
  <c r="Z61" i="31"/>
  <c r="AC34" i="31"/>
  <c r="Z34" i="31"/>
  <c r="AC52" i="31"/>
  <c r="Z52" i="31"/>
  <c r="AC57" i="31"/>
  <c r="Z57" i="31"/>
  <c r="Z41" i="31"/>
  <c r="AC50" i="31"/>
  <c r="Z50" i="31"/>
  <c r="AC21" i="31"/>
  <c r="Z21" i="31"/>
  <c r="AC24" i="31"/>
  <c r="Z24" i="31"/>
  <c r="Z60" i="31"/>
  <c r="AC37" i="31"/>
  <c r="Z37" i="31"/>
  <c r="AC16" i="31"/>
  <c r="Z16" i="31"/>
  <c r="AC40" i="31"/>
  <c r="Z40" i="31"/>
  <c r="Z62" i="31"/>
  <c r="AC25" i="31"/>
  <c r="Z25" i="31"/>
  <c r="AD58" i="31"/>
  <c r="DV58" i="31"/>
  <c r="AD47" i="31"/>
  <c r="DV47" i="31"/>
  <c r="AD19" i="31"/>
  <c r="DV19" i="31"/>
  <c r="AD40" i="31"/>
  <c r="DV40" i="31"/>
  <c r="AD17" i="31"/>
  <c r="DV17" i="31"/>
  <c r="AD27" i="31"/>
  <c r="DV27" i="31"/>
  <c r="AD53" i="31"/>
  <c r="DV53" i="31"/>
  <c r="AD36" i="31"/>
  <c r="DV36" i="31"/>
  <c r="AD32" i="31"/>
  <c r="DV32" i="31"/>
  <c r="AD18" i="31"/>
  <c r="DV18" i="31"/>
  <c r="AD62" i="31"/>
  <c r="DV62" i="31"/>
  <c r="AD23" i="31"/>
  <c r="DV23" i="31"/>
  <c r="AD22" i="31"/>
  <c r="DV22" i="31"/>
  <c r="AD55" i="31"/>
  <c r="DV55" i="31"/>
  <c r="AD64" i="31"/>
  <c r="DV64" i="31"/>
  <c r="AD20" i="31"/>
  <c r="DV20" i="31"/>
  <c r="AD25" i="31"/>
  <c r="DV25" i="31"/>
  <c r="AD12" i="31"/>
  <c r="DV12" i="31"/>
  <c r="AD49" i="31"/>
  <c r="DV49" i="31"/>
  <c r="AD56" i="31"/>
  <c r="DV56" i="31"/>
  <c r="AD28" i="31"/>
  <c r="DV28" i="31"/>
  <c r="AD7" i="31"/>
  <c r="DV7" i="31"/>
  <c r="AD45" i="31"/>
  <c r="DV45" i="31"/>
  <c r="AD44" i="31"/>
  <c r="DV44" i="31"/>
  <c r="AD48" i="31"/>
  <c r="DV48" i="31"/>
  <c r="AD39" i="31"/>
  <c r="DV39" i="31"/>
  <c r="AD54" i="31"/>
  <c r="DV54" i="31"/>
  <c r="AD9" i="31"/>
  <c r="DV9" i="31"/>
  <c r="AD14" i="31"/>
  <c r="DV14" i="31"/>
  <c r="AD43" i="31"/>
  <c r="DV43" i="31"/>
  <c r="AD35" i="31"/>
  <c r="DV35" i="31"/>
  <c r="AD59" i="31"/>
  <c r="DV59" i="31"/>
  <c r="AD11" i="31"/>
  <c r="DV11" i="31"/>
  <c r="AD63" i="31"/>
  <c r="DV63" i="31"/>
  <c r="AD29" i="31"/>
  <c r="DV29" i="31"/>
  <c r="AD15" i="31"/>
  <c r="DV15" i="31"/>
  <c r="AD8" i="31"/>
  <c r="DV8" i="31"/>
  <c r="AD51" i="31"/>
  <c r="DV51" i="31"/>
  <c r="AD6" i="31"/>
  <c r="AD33" i="31"/>
  <c r="DV33" i="31"/>
  <c r="AD30" i="31"/>
  <c r="DV30" i="31"/>
  <c r="AD31" i="31"/>
  <c r="DV31" i="31"/>
  <c r="AD42" i="31"/>
  <c r="DV42" i="31"/>
  <c r="AD38" i="31"/>
  <c r="DV38" i="31"/>
  <c r="AD26" i="31"/>
  <c r="DV26" i="31"/>
  <c r="AD10" i="31"/>
  <c r="DV10" i="31"/>
  <c r="AD61" i="31"/>
  <c r="DV61" i="31"/>
  <c r="AD46" i="31"/>
  <c r="DV46" i="31"/>
  <c r="AD34" i="31"/>
  <c r="DV34" i="31"/>
  <c r="AD52" i="31"/>
  <c r="DV52" i="31"/>
  <c r="AD57" i="31"/>
  <c r="DV57" i="31"/>
  <c r="AD41" i="31"/>
  <c r="DV41" i="31"/>
  <c r="AD50" i="31"/>
  <c r="DV50" i="31"/>
  <c r="AD21" i="31"/>
  <c r="DV21" i="31"/>
  <c r="AD24" i="31"/>
  <c r="DV24" i="31"/>
  <c r="AD60" i="31"/>
  <c r="DV60" i="31"/>
  <c r="AD13" i="31"/>
  <c r="DV13" i="31"/>
  <c r="AD37" i="31"/>
  <c r="DV37" i="31"/>
  <c r="AD16" i="31"/>
  <c r="DV16" i="31"/>
  <c r="AC27" i="31"/>
  <c r="AB27" i="31"/>
  <c r="LM27" i="31" s="1"/>
  <c r="AB24" i="31"/>
  <c r="LM24" i="31" s="1"/>
  <c r="AB47" i="31"/>
  <c r="LM47" i="31" s="1"/>
  <c r="AB40" i="31"/>
  <c r="LM40" i="31" s="1"/>
  <c r="AC11" i="31"/>
  <c r="AB11" i="31"/>
  <c r="LM11" i="31" s="1"/>
  <c r="AB44" i="31"/>
  <c r="LM44" i="31" s="1"/>
  <c r="AB32" i="31"/>
  <c r="LM32" i="31" s="1"/>
  <c r="AC63" i="31"/>
  <c r="AB63" i="31"/>
  <c r="LM63" i="31" s="1"/>
  <c r="AB31" i="31"/>
  <c r="LM31" i="31" s="1"/>
  <c r="AB9" i="31"/>
  <c r="LM9" i="31" s="1"/>
  <c r="AB25" i="31"/>
  <c r="LM25" i="31" s="1"/>
  <c r="AB7" i="31"/>
  <c r="LM7" i="31" s="1"/>
  <c r="AB56" i="31"/>
  <c r="LM56" i="31" s="1"/>
  <c r="AC61" i="31"/>
  <c r="AB61" i="31"/>
  <c r="LM61" i="31" s="1"/>
  <c r="AB34" i="31"/>
  <c r="LM34" i="31" s="1"/>
  <c r="AB52" i="31"/>
  <c r="LM52" i="31" s="1"/>
  <c r="AB39" i="31"/>
  <c r="LM39" i="31" s="1"/>
  <c r="AB29" i="31"/>
  <c r="LM29" i="31" s="1"/>
  <c r="AC59" i="31"/>
  <c r="AB59" i="31"/>
  <c r="LM59" i="31" s="1"/>
  <c r="AB57" i="31"/>
  <c r="LM57" i="31" s="1"/>
  <c r="AB51" i="31"/>
  <c r="LM51" i="31" s="1"/>
  <c r="AB30" i="31"/>
  <c r="LM30" i="31" s="1"/>
  <c r="AB38" i="31"/>
  <c r="LM38" i="31" s="1"/>
  <c r="AC36" i="31"/>
  <c r="AB36" i="31"/>
  <c r="LM36" i="31" s="1"/>
  <c r="AC62" i="31"/>
  <c r="AB62" i="31"/>
  <c r="LM62" i="31" s="1"/>
  <c r="AB37" i="31"/>
  <c r="LM37" i="31" s="1"/>
  <c r="AB53" i="31"/>
  <c r="LM53" i="31" s="1"/>
  <c r="AB19" i="31"/>
  <c r="LM19" i="31" s="1"/>
  <c r="AC45" i="31"/>
  <c r="AB45" i="31"/>
  <c r="LM45" i="31" s="1"/>
  <c r="AB48" i="31"/>
  <c r="LM48" i="31" s="1"/>
  <c r="AC14" i="31"/>
  <c r="AB14" i="31"/>
  <c r="LM14" i="31" s="1"/>
  <c r="AB22" i="31"/>
  <c r="LM22" i="31" s="1"/>
  <c r="AC55" i="31"/>
  <c r="AB55" i="31"/>
  <c r="LM55" i="31" s="1"/>
  <c r="AB64" i="31"/>
  <c r="LM64" i="31" s="1"/>
  <c r="AB20" i="31"/>
  <c r="LM20" i="31" s="1"/>
  <c r="AC60" i="31"/>
  <c r="AB60" i="31"/>
  <c r="LM60" i="31" s="1"/>
  <c r="AB16" i="31"/>
  <c r="LM16" i="31" s="1"/>
  <c r="AC42" i="31"/>
  <c r="AB42" i="31"/>
  <c r="LM42" i="31" s="1"/>
  <c r="AB26" i="31"/>
  <c r="LM26" i="31" s="1"/>
  <c r="AC41" i="31"/>
  <c r="AB41" i="31"/>
  <c r="LM41" i="31" s="1"/>
  <c r="AB23" i="31"/>
  <c r="LM23" i="31" s="1"/>
  <c r="AB46" i="31"/>
  <c r="LM46" i="31" s="1"/>
  <c r="AB12" i="31"/>
  <c r="LM12" i="31" s="1"/>
  <c r="AB54" i="31"/>
  <c r="LM54" i="31" s="1"/>
  <c r="AB43" i="31"/>
  <c r="LM43" i="31" s="1"/>
  <c r="AB35" i="31"/>
  <c r="LM35" i="31" s="1"/>
  <c r="AB58" i="31"/>
  <c r="LM58" i="31" s="1"/>
  <c r="AB17" i="31"/>
  <c r="LM17" i="31" s="1"/>
  <c r="AB50" i="31"/>
  <c r="LM50" i="31" s="1"/>
  <c r="AB21" i="31"/>
  <c r="LM21" i="31" s="1"/>
  <c r="AB18" i="31"/>
  <c r="LM18" i="31" s="1"/>
  <c r="AC13" i="31"/>
  <c r="AB13" i="31"/>
  <c r="LM13" i="31" s="1"/>
  <c r="AB49" i="31"/>
  <c r="LM49" i="31" s="1"/>
  <c r="AB10" i="31"/>
  <c r="LM10" i="31" s="1"/>
  <c r="AB28" i="31"/>
  <c r="LM28" i="31" s="1"/>
  <c r="AB15" i="31"/>
  <c r="LM15" i="31" s="1"/>
  <c r="AB8" i="31"/>
  <c r="LM8" i="31" s="1"/>
  <c r="AB6" i="31"/>
  <c r="LM6" i="31" s="1"/>
  <c r="AC33" i="31"/>
  <c r="AB33" i="31"/>
  <c r="LM33" i="31" s="1"/>
  <c r="R60" i="31"/>
  <c r="S60" i="31" s="1"/>
  <c r="FN60" i="31"/>
  <c r="AF60" i="31"/>
  <c r="Q60" i="31"/>
  <c r="AK12" i="31"/>
  <c r="HH12" i="31"/>
  <c r="AJ12" i="31" s="1"/>
  <c r="HI12" i="31"/>
  <c r="AL12" i="31"/>
  <c r="KZ12" i="31"/>
  <c r="HD12" i="31"/>
  <c r="HH7" i="31"/>
  <c r="AJ7" i="31" s="1"/>
  <c r="AK7" i="31"/>
  <c r="HI7" i="31"/>
  <c r="KZ7" i="31"/>
  <c r="HD7" i="31"/>
  <c r="LG7" i="31" s="1"/>
  <c r="AL7" i="31"/>
  <c r="FN56" i="31"/>
  <c r="R56" i="31"/>
  <c r="S56" i="31" s="1"/>
  <c r="Q56" i="31"/>
  <c r="AF56" i="31"/>
  <c r="FN38" i="31"/>
  <c r="AF38" i="31"/>
  <c r="Q38" i="31"/>
  <c r="R38" i="31"/>
  <c r="S38" i="31" s="1"/>
  <c r="AF26" i="31"/>
  <c r="FN26" i="31"/>
  <c r="R26" i="31"/>
  <c r="S26" i="31" s="1"/>
  <c r="Q26" i="31"/>
  <c r="AF10" i="31"/>
  <c r="Q10" i="31"/>
  <c r="R10" i="31"/>
  <c r="S10" i="31" s="1"/>
  <c r="FN10" i="31"/>
  <c r="HH62" i="31"/>
  <c r="AJ62" i="31" s="1"/>
  <c r="AK62" i="31"/>
  <c r="AL62" i="31"/>
  <c r="HD62" i="31"/>
  <c r="HI62" i="31"/>
  <c r="KZ62" i="31"/>
  <c r="AF61" i="31"/>
  <c r="FN61" i="31"/>
  <c r="R61" i="31"/>
  <c r="S61" i="31" s="1"/>
  <c r="Q61" i="31"/>
  <c r="R52" i="31"/>
  <c r="S52" i="31" s="1"/>
  <c r="Q52" i="31"/>
  <c r="FN52" i="31"/>
  <c r="AF52" i="31"/>
  <c r="Q36" i="31"/>
  <c r="FN36" i="31"/>
  <c r="R36" i="31"/>
  <c r="S36" i="31" s="1"/>
  <c r="AF36" i="31"/>
  <c r="AK45" i="31"/>
  <c r="KZ45" i="31"/>
  <c r="HI45" i="31"/>
  <c r="AL45" i="31"/>
  <c r="HH45" i="31"/>
  <c r="AJ45" i="31" s="1"/>
  <c r="HD45" i="31"/>
  <c r="HH43" i="31"/>
  <c r="AJ43" i="31" s="1"/>
  <c r="AK43" i="31"/>
  <c r="HI43" i="31"/>
  <c r="AL43" i="31"/>
  <c r="KZ43" i="31"/>
  <c r="HD43" i="31"/>
  <c r="AF64" i="31"/>
  <c r="FN64" i="31"/>
  <c r="R64" i="31"/>
  <c r="S64" i="31" s="1"/>
  <c r="Q64" i="31"/>
  <c r="AK28" i="31"/>
  <c r="HI28" i="31"/>
  <c r="AL28" i="31"/>
  <c r="HD28" i="31"/>
  <c r="HH28" i="31"/>
  <c r="AJ28" i="31" s="1"/>
  <c r="KZ28" i="31"/>
  <c r="KZ60" i="31"/>
  <c r="AK60" i="31"/>
  <c r="HI60" i="31"/>
  <c r="HD60" i="31"/>
  <c r="HH60" i="31"/>
  <c r="AJ60" i="31" s="1"/>
  <c r="AL60" i="31"/>
  <c r="HI19" i="31"/>
  <c r="AL19" i="31"/>
  <c r="HH19" i="31"/>
  <c r="AJ19" i="31" s="1"/>
  <c r="KZ19" i="31"/>
  <c r="HD19" i="31"/>
  <c r="AK19" i="31"/>
  <c r="Q37" i="31"/>
  <c r="FN37" i="31"/>
  <c r="AF37" i="31"/>
  <c r="R37" i="31"/>
  <c r="S37" i="31" s="1"/>
  <c r="AF27" i="31"/>
  <c r="FN27" i="31"/>
  <c r="Q27" i="31"/>
  <c r="R27" i="31"/>
  <c r="S27" i="31" s="1"/>
  <c r="KZ36" i="31"/>
  <c r="AK36" i="31"/>
  <c r="AL36" i="31"/>
  <c r="HI36" i="31"/>
  <c r="HH36" i="31"/>
  <c r="AJ36" i="31" s="1"/>
  <c r="HD36" i="31"/>
  <c r="AF18" i="31"/>
  <c r="R18" i="31"/>
  <c r="S18" i="31" s="1"/>
  <c r="Q18" i="31"/>
  <c r="FN18" i="31"/>
  <c r="HD40" i="31"/>
  <c r="HH40" i="31"/>
  <c r="AJ40" i="31" s="1"/>
  <c r="HI40" i="31"/>
  <c r="AK40" i="31"/>
  <c r="KZ40" i="31"/>
  <c r="AL40" i="31"/>
  <c r="HH23" i="31"/>
  <c r="AJ23" i="31" s="1"/>
  <c r="KZ23" i="31"/>
  <c r="AK23" i="31"/>
  <c r="HD23" i="31"/>
  <c r="AL23" i="31"/>
  <c r="HI23" i="31"/>
  <c r="Q55" i="31"/>
  <c r="R55" i="31"/>
  <c r="S55" i="31" s="1"/>
  <c r="AF55" i="31"/>
  <c r="FN55" i="31"/>
  <c r="R51" i="31"/>
  <c r="S51" i="31" s="1"/>
  <c r="FN51" i="31"/>
  <c r="Q51" i="31"/>
  <c r="AF51" i="31"/>
  <c r="AF13" i="31"/>
  <c r="R13" i="31"/>
  <c r="S13" i="31" s="1"/>
  <c r="Q13" i="31"/>
  <c r="FN13" i="31"/>
  <c r="Q42" i="31"/>
  <c r="FN42" i="31"/>
  <c r="AF42" i="31"/>
  <c r="R42" i="31"/>
  <c r="S42" i="31" s="1"/>
  <c r="R47" i="31"/>
  <c r="S47" i="31" s="1"/>
  <c r="Q47" i="31"/>
  <c r="AF47" i="31"/>
  <c r="FN47" i="31"/>
  <c r="AK13" i="31"/>
  <c r="HI13" i="31"/>
  <c r="HH13" i="31"/>
  <c r="AJ13" i="31" s="1"/>
  <c r="AL13" i="31"/>
  <c r="HD13" i="31"/>
  <c r="KZ13" i="31"/>
  <c r="AL44" i="31"/>
  <c r="HD44" i="31"/>
  <c r="HH44" i="31"/>
  <c r="AJ44" i="31" s="1"/>
  <c r="HI44" i="31"/>
  <c r="AK44" i="31"/>
  <c r="KZ44" i="31"/>
  <c r="GK7" i="31"/>
  <c r="GL7" i="31" s="1"/>
  <c r="KZ34" i="31"/>
  <c r="HD34" i="31"/>
  <c r="AK34" i="31"/>
  <c r="HI34" i="31"/>
  <c r="AL34" i="31"/>
  <c r="HH34" i="31"/>
  <c r="AJ34" i="31" s="1"/>
  <c r="AL24" i="31"/>
  <c r="HH24" i="31"/>
  <c r="AJ24" i="31" s="1"/>
  <c r="KZ24" i="31"/>
  <c r="AK24" i="31"/>
  <c r="HD24" i="31"/>
  <c r="HI24" i="31"/>
  <c r="AK57" i="31"/>
  <c r="HI57" i="31"/>
  <c r="HH57" i="31"/>
  <c r="AJ57" i="31" s="1"/>
  <c r="KZ57" i="31"/>
  <c r="AL57" i="31"/>
  <c r="HD57" i="31"/>
  <c r="R31" i="31"/>
  <c r="S31" i="31" s="1"/>
  <c r="Q31" i="31"/>
  <c r="AF31" i="31"/>
  <c r="FN31" i="31"/>
  <c r="HH32" i="31"/>
  <c r="AJ32" i="31" s="1"/>
  <c r="AK32" i="31"/>
  <c r="KZ32" i="31"/>
  <c r="HI32" i="31"/>
  <c r="AL32" i="31"/>
  <c r="HD32" i="31"/>
  <c r="HH49" i="31"/>
  <c r="AJ49" i="31" s="1"/>
  <c r="AK49" i="31"/>
  <c r="AL49" i="31"/>
  <c r="HI49" i="31"/>
  <c r="KZ49" i="31"/>
  <c r="HD49" i="31"/>
  <c r="HI37" i="31"/>
  <c r="AL37" i="31"/>
  <c r="AK37" i="31"/>
  <c r="HD37" i="31"/>
  <c r="KZ37" i="31"/>
  <c r="HH37" i="31"/>
  <c r="AJ37" i="31" s="1"/>
  <c r="AK22" i="31"/>
  <c r="HI22" i="31"/>
  <c r="KZ22" i="31"/>
  <c r="HD22" i="31"/>
  <c r="HH22" i="31"/>
  <c r="AJ22" i="31" s="1"/>
  <c r="AL22" i="31"/>
  <c r="KZ27" i="31"/>
  <c r="HD27" i="31"/>
  <c r="HH27" i="31"/>
  <c r="AJ27" i="31" s="1"/>
  <c r="AK27" i="31"/>
  <c r="HI27" i="31"/>
  <c r="AL27" i="31"/>
  <c r="AF8" i="31"/>
  <c r="R8" i="31"/>
  <c r="S8" i="31" s="1"/>
  <c r="Q8" i="31"/>
  <c r="KZ48" i="31"/>
  <c r="HD48" i="31"/>
  <c r="HH48" i="31"/>
  <c r="AJ48" i="31" s="1"/>
  <c r="AK48" i="31"/>
  <c r="HI48" i="31"/>
  <c r="AL48" i="31"/>
  <c r="FN16" i="31"/>
  <c r="AF16" i="31"/>
  <c r="Q16" i="31"/>
  <c r="R16" i="31"/>
  <c r="S16" i="31" s="1"/>
  <c r="AL8" i="31"/>
  <c r="AK8" i="31"/>
  <c r="HH8" i="31"/>
  <c r="AJ8" i="31" s="1"/>
  <c r="HI8" i="31"/>
  <c r="KZ8" i="31"/>
  <c r="HD8" i="31"/>
  <c r="KZ56" i="31"/>
  <c r="AK56" i="31"/>
  <c r="HH56" i="31"/>
  <c r="AJ56" i="31" s="1"/>
  <c r="HI56" i="31"/>
  <c r="HD56" i="31"/>
  <c r="AL56" i="31"/>
  <c r="KZ9" i="31"/>
  <c r="AL9" i="31"/>
  <c r="HD9" i="31"/>
  <c r="AK9" i="31"/>
  <c r="HH9" i="31"/>
  <c r="AJ9" i="31" s="1"/>
  <c r="HI9" i="31"/>
  <c r="AF17" i="31"/>
  <c r="FN17" i="31"/>
  <c r="R17" i="31"/>
  <c r="S17" i="31" s="1"/>
  <c r="Q17" i="31"/>
  <c r="HD17" i="31"/>
  <c r="HH17" i="31"/>
  <c r="AJ17" i="31" s="1"/>
  <c r="AK17" i="31"/>
  <c r="KZ17" i="31"/>
  <c r="HI17" i="31"/>
  <c r="AL17" i="31"/>
  <c r="FN23" i="31"/>
  <c r="AF23" i="31"/>
  <c r="Q23" i="31"/>
  <c r="R23" i="31"/>
  <c r="S23" i="31" s="1"/>
  <c r="HD30" i="31"/>
  <c r="HH30" i="31"/>
  <c r="AJ30" i="31" s="1"/>
  <c r="HI30" i="31"/>
  <c r="AK30" i="31"/>
  <c r="AL30" i="31"/>
  <c r="KZ30" i="31"/>
  <c r="R15" i="31"/>
  <c r="S15" i="31" s="1"/>
  <c r="Q15" i="31"/>
  <c r="AF15" i="31"/>
  <c r="FN15" i="31"/>
  <c r="R24" i="31"/>
  <c r="S24" i="31" s="1"/>
  <c r="Q24" i="31"/>
  <c r="AF24" i="31"/>
  <c r="FN24" i="31"/>
  <c r="AF35" i="31"/>
  <c r="R35" i="31"/>
  <c r="S35" i="31" s="1"/>
  <c r="FN35" i="31"/>
  <c r="Q35" i="31"/>
  <c r="HD52" i="31"/>
  <c r="AL52" i="31"/>
  <c r="KZ52" i="31"/>
  <c r="HH52" i="31"/>
  <c r="AJ52" i="31" s="1"/>
  <c r="HI52" i="31"/>
  <c r="AK52" i="31"/>
  <c r="HI64" i="31"/>
  <c r="HD64" i="31"/>
  <c r="HH64" i="31"/>
  <c r="AJ64" i="31" s="1"/>
  <c r="AK64" i="31"/>
  <c r="KZ64" i="31"/>
  <c r="AL64" i="31"/>
  <c r="Q48" i="31"/>
  <c r="AF48" i="31"/>
  <c r="R48" i="31"/>
  <c r="S48" i="31" s="1"/>
  <c r="FN48" i="31"/>
  <c r="AK14" i="31"/>
  <c r="HI14" i="31"/>
  <c r="HH14" i="31"/>
  <c r="AJ14" i="31" s="1"/>
  <c r="HD14" i="31"/>
  <c r="KZ14" i="31"/>
  <c r="AL14" i="31"/>
  <c r="FN49" i="31"/>
  <c r="Q49" i="31"/>
  <c r="AF49" i="31"/>
  <c r="R49" i="31"/>
  <c r="S49" i="31" s="1"/>
  <c r="AL26" i="31"/>
  <c r="KZ26" i="31"/>
  <c r="HH26" i="31"/>
  <c r="AJ26" i="31" s="1"/>
  <c r="HI26" i="31"/>
  <c r="HD26" i="31"/>
  <c r="AK26" i="31"/>
  <c r="AK50" i="31"/>
  <c r="HD50" i="31"/>
  <c r="HH50" i="31"/>
  <c r="AJ50" i="31" s="1"/>
  <c r="AL50" i="31"/>
  <c r="HI50" i="31"/>
  <c r="KZ50" i="31"/>
  <c r="HI46" i="31"/>
  <c r="AL46" i="31"/>
  <c r="KZ46" i="31"/>
  <c r="HH46" i="31"/>
  <c r="AJ46" i="31" s="1"/>
  <c r="AK46" i="31"/>
  <c r="HD46" i="31"/>
  <c r="Q46" i="31"/>
  <c r="R46" i="31"/>
  <c r="S46" i="31" s="1"/>
  <c r="AF46" i="31"/>
  <c r="FN46" i="31"/>
  <c r="R34" i="31"/>
  <c r="S34" i="31" s="1"/>
  <c r="Q34" i="31"/>
  <c r="AF34" i="31"/>
  <c r="FN34" i="31"/>
  <c r="R53" i="31"/>
  <c r="S53" i="31" s="1"/>
  <c r="Q53" i="31"/>
  <c r="FN53" i="31"/>
  <c r="AF53" i="31"/>
  <c r="HH35" i="31"/>
  <c r="AJ35" i="31" s="1"/>
  <c r="AK35" i="31"/>
  <c r="AL35" i="31"/>
  <c r="HI35" i="31"/>
  <c r="KZ35" i="31"/>
  <c r="HD35" i="31"/>
  <c r="AF29" i="31"/>
  <c r="FN29" i="31"/>
  <c r="R29" i="31"/>
  <c r="S29" i="31" s="1"/>
  <c r="Q29" i="31"/>
  <c r="AK20" i="31"/>
  <c r="AL20" i="31"/>
  <c r="KZ20" i="31"/>
  <c r="HI20" i="31"/>
  <c r="HH20" i="31"/>
  <c r="AJ20" i="31" s="1"/>
  <c r="HD20" i="31"/>
  <c r="AF50" i="31"/>
  <c r="FN50" i="31"/>
  <c r="R50" i="31"/>
  <c r="S50" i="31" s="1"/>
  <c r="Q50" i="31"/>
  <c r="AL55" i="31"/>
  <c r="KZ55" i="31"/>
  <c r="HD55" i="31"/>
  <c r="HH55" i="31"/>
  <c r="AJ55" i="31" s="1"/>
  <c r="HI55" i="31"/>
  <c r="AK55" i="31"/>
  <c r="HI59" i="31"/>
  <c r="AL59" i="31"/>
  <c r="HD59" i="31"/>
  <c r="KZ59" i="31"/>
  <c r="AK59" i="31"/>
  <c r="HH59" i="31"/>
  <c r="AJ59" i="31" s="1"/>
  <c r="FN25" i="31"/>
  <c r="Q25" i="31"/>
  <c r="R25" i="31"/>
  <c r="S25" i="31" s="1"/>
  <c r="AF25" i="31"/>
  <c r="FN12" i="31"/>
  <c r="AF12" i="31"/>
  <c r="Q12" i="31"/>
  <c r="R12" i="31"/>
  <c r="S12" i="31" s="1"/>
  <c r="AF54" i="31"/>
  <c r="FN54" i="31"/>
  <c r="Q54" i="31"/>
  <c r="R54" i="31"/>
  <c r="S54" i="31" s="1"/>
  <c r="R22" i="31"/>
  <c r="S22" i="31" s="1"/>
  <c r="FN22" i="31"/>
  <c r="AF22" i="31"/>
  <c r="Q22" i="31"/>
  <c r="AK41" i="31"/>
  <c r="HI41" i="31"/>
  <c r="HD41" i="31"/>
  <c r="AL41" i="31"/>
  <c r="HH41" i="31"/>
  <c r="AJ41" i="31" s="1"/>
  <c r="KZ41" i="31"/>
  <c r="R58" i="31"/>
  <c r="S58" i="31" s="1"/>
  <c r="FN58" i="31"/>
  <c r="AF58" i="31"/>
  <c r="Q58" i="31"/>
  <c r="R19" i="31"/>
  <c r="S19" i="31" s="1"/>
  <c r="FN19" i="31"/>
  <c r="Q19" i="31"/>
  <c r="AF19" i="31"/>
  <c r="Q40" i="31"/>
  <c r="FN40" i="31"/>
  <c r="R40" i="31"/>
  <c r="S40" i="31" s="1"/>
  <c r="AF40" i="31"/>
  <c r="Q44" i="31"/>
  <c r="AF44" i="31"/>
  <c r="FN44" i="31"/>
  <c r="R44" i="31"/>
  <c r="S44" i="31" s="1"/>
  <c r="FN63" i="31"/>
  <c r="R63" i="31"/>
  <c r="S63" i="31" s="1"/>
  <c r="Q63" i="31"/>
  <c r="AF63" i="31"/>
  <c r="Q62" i="31"/>
  <c r="FN62" i="31"/>
  <c r="AF62" i="31"/>
  <c r="R62" i="31"/>
  <c r="S62" i="31" s="1"/>
  <c r="AF14" i="31"/>
  <c r="R14" i="31"/>
  <c r="S14" i="31" s="1"/>
  <c r="Q14" i="31"/>
  <c r="FN14" i="31"/>
  <c r="AK18" i="31"/>
  <c r="HH18" i="31"/>
  <c r="AJ18" i="31" s="1"/>
  <c r="AL18" i="31"/>
  <c r="KZ18" i="31"/>
  <c r="HI18" i="31"/>
  <c r="HD18" i="31"/>
  <c r="AK54" i="31"/>
  <c r="HI54" i="31"/>
  <c r="HD54" i="31"/>
  <c r="AL54" i="31"/>
  <c r="KZ54" i="31"/>
  <c r="HH54" i="31"/>
  <c r="AJ54" i="31" s="1"/>
  <c r="AF6" i="31"/>
  <c r="R6" i="31"/>
  <c r="S6" i="31" s="1"/>
  <c r="N6" i="31"/>
  <c r="O7" i="31" s="1"/>
  <c r="Q6" i="31"/>
  <c r="FN6" i="31"/>
  <c r="AK61" i="31"/>
  <c r="KZ61" i="31"/>
  <c r="HD61" i="31"/>
  <c r="HI61" i="31"/>
  <c r="HH61" i="31"/>
  <c r="AJ61" i="31" s="1"/>
  <c r="AL61" i="31"/>
  <c r="AL58" i="31"/>
  <c r="HH58" i="31"/>
  <c r="AJ58" i="31" s="1"/>
  <c r="HD58" i="31"/>
  <c r="HI58" i="31"/>
  <c r="AK58" i="31"/>
  <c r="KZ58" i="31"/>
  <c r="R59" i="31"/>
  <c r="S59" i="31" s="1"/>
  <c r="Q59" i="31"/>
  <c r="AF59" i="31"/>
  <c r="FN59" i="31"/>
  <c r="DN7" i="31"/>
  <c r="DN8" i="31" s="1"/>
  <c r="DN9" i="31" s="1"/>
  <c r="DN10" i="31" s="1"/>
  <c r="DN11" i="31" s="1"/>
  <c r="DN12" i="31" s="1"/>
  <c r="DN13" i="31" s="1"/>
  <c r="DN14" i="31" s="1"/>
  <c r="DN15" i="31" s="1"/>
  <c r="DN16" i="31" s="1"/>
  <c r="DN17" i="31" s="1"/>
  <c r="DN18" i="31" s="1"/>
  <c r="DN19" i="31" s="1"/>
  <c r="DN20" i="31" s="1"/>
  <c r="DN21" i="31" s="1"/>
  <c r="DN22" i="31" s="1"/>
  <c r="DN23" i="31" s="1"/>
  <c r="DN24" i="31" s="1"/>
  <c r="DN25" i="31" s="1"/>
  <c r="DN26" i="31" s="1"/>
  <c r="DN27" i="31" s="1"/>
  <c r="DN28" i="31" s="1"/>
  <c r="DN29" i="31" s="1"/>
  <c r="DN30" i="31" s="1"/>
  <c r="DN31" i="31" s="1"/>
  <c r="DN32" i="31" s="1"/>
  <c r="DN33" i="31" s="1"/>
  <c r="DN34" i="31" s="1"/>
  <c r="DN35" i="31" s="1"/>
  <c r="DN36" i="31" s="1"/>
  <c r="DN37" i="31" s="1"/>
  <c r="DN38" i="31" s="1"/>
  <c r="DN39" i="31" s="1"/>
  <c r="DN40" i="31" s="1"/>
  <c r="DN41" i="31" s="1"/>
  <c r="DN42" i="31" s="1"/>
  <c r="DN43" i="31" s="1"/>
  <c r="DN44" i="31" s="1"/>
  <c r="DN45" i="31" s="1"/>
  <c r="DN46" i="31" s="1"/>
  <c r="DN47" i="31" s="1"/>
  <c r="DN48" i="31" s="1"/>
  <c r="DN49" i="31" s="1"/>
  <c r="DN50" i="31" s="1"/>
  <c r="DN51" i="31" s="1"/>
  <c r="DN52" i="31" s="1"/>
  <c r="DN53" i="31" s="1"/>
  <c r="DN54" i="31" s="1"/>
  <c r="DN55" i="31" s="1"/>
  <c r="DN56" i="31" s="1"/>
  <c r="DN57" i="31" s="1"/>
  <c r="DN58" i="31" s="1"/>
  <c r="DN59" i="31" s="1"/>
  <c r="DN60" i="31" s="1"/>
  <c r="DN61" i="31" s="1"/>
  <c r="DN62" i="31" s="1"/>
  <c r="DN63" i="31" s="1"/>
  <c r="DN64" i="31" s="1"/>
  <c r="GK6" i="31"/>
  <c r="GL6" i="31" s="1"/>
  <c r="GP6" i="31" s="1"/>
  <c r="Q57" i="31"/>
  <c r="FN57" i="31"/>
  <c r="R57" i="31"/>
  <c r="S57" i="31" s="1"/>
  <c r="AF57" i="31"/>
  <c r="R32" i="31"/>
  <c r="S32" i="31" s="1"/>
  <c r="AF32" i="31"/>
  <c r="FN32" i="31"/>
  <c r="Q32" i="31"/>
  <c r="HH51" i="31"/>
  <c r="AJ51" i="31" s="1"/>
  <c r="AK51" i="31"/>
  <c r="AL51" i="31"/>
  <c r="HI51" i="31"/>
  <c r="KZ51" i="31"/>
  <c r="HD51" i="31"/>
  <c r="R28" i="31"/>
  <c r="S28" i="31" s="1"/>
  <c r="AF28" i="31"/>
  <c r="Q28" i="31"/>
  <c r="FN28" i="31"/>
  <c r="AF7" i="31"/>
  <c r="Q7" i="31"/>
  <c r="R7" i="31"/>
  <c r="S7" i="31" s="1"/>
  <c r="FN7" i="31"/>
  <c r="AF45" i="31"/>
  <c r="FN45" i="31"/>
  <c r="R45" i="31"/>
  <c r="S45" i="31" s="1"/>
  <c r="Q45" i="31"/>
  <c r="Q39" i="31"/>
  <c r="R39" i="31"/>
  <c r="S39" i="31" s="1"/>
  <c r="FN39" i="31"/>
  <c r="AF39" i="31"/>
  <c r="AK10" i="31"/>
  <c r="HH10" i="31"/>
  <c r="AJ10" i="31" s="1"/>
  <c r="AL10" i="31"/>
  <c r="HI10" i="31"/>
  <c r="KZ10" i="31"/>
  <c r="HD10" i="31"/>
  <c r="AF41" i="31"/>
  <c r="Q41" i="31"/>
  <c r="R41" i="31"/>
  <c r="S41" i="31" s="1"/>
  <c r="FN41" i="31"/>
  <c r="AL25" i="31"/>
  <c r="KZ25" i="31"/>
  <c r="HD25" i="31"/>
  <c r="HI25" i="31"/>
  <c r="HH25" i="31"/>
  <c r="AJ25" i="31" s="1"/>
  <c r="AK25" i="31"/>
  <c r="AF9" i="31"/>
  <c r="FN9" i="31"/>
  <c r="Q9" i="31"/>
  <c r="R9" i="31"/>
  <c r="S9" i="31" s="1"/>
  <c r="AL6" i="31"/>
  <c r="HI6" i="31"/>
  <c r="AK6" i="31"/>
  <c r="KZ6" i="31"/>
  <c r="HH6" i="31"/>
  <c r="AJ6" i="31" s="1"/>
  <c r="HD6" i="31"/>
  <c r="R33" i="31"/>
  <c r="S33" i="31" s="1"/>
  <c r="AF33" i="31"/>
  <c r="FN33" i="31"/>
  <c r="Q33" i="31"/>
  <c r="AK29" i="31"/>
  <c r="HH29" i="31"/>
  <c r="AJ29" i="31" s="1"/>
  <c r="AL29" i="31"/>
  <c r="HD29" i="31"/>
  <c r="HI29" i="31"/>
  <c r="KZ29" i="31"/>
  <c r="Q20" i="31"/>
  <c r="AF20" i="31"/>
  <c r="FN20" i="31"/>
  <c r="R20" i="31"/>
  <c r="S20" i="31" s="1"/>
  <c r="HI21" i="31"/>
  <c r="KZ21" i="31"/>
  <c r="HD21" i="31"/>
  <c r="HH21" i="31"/>
  <c r="AJ21" i="31" s="1"/>
  <c r="AK21" i="31"/>
  <c r="AL21" i="31"/>
  <c r="HI42" i="31"/>
  <c r="HD42" i="31"/>
  <c r="AK42" i="31"/>
  <c r="KZ42" i="31"/>
  <c r="HH42" i="31"/>
  <c r="AJ42" i="31" s="1"/>
  <c r="AL42" i="31"/>
  <c r="AL53" i="31"/>
  <c r="KZ53" i="31"/>
  <c r="HH53" i="31"/>
  <c r="AJ53" i="31" s="1"/>
  <c r="HD53" i="31"/>
  <c r="AK53" i="31"/>
  <c r="HI53" i="31"/>
  <c r="AL33" i="31"/>
  <c r="HH33" i="31"/>
  <c r="AJ33" i="31" s="1"/>
  <c r="HD33" i="31"/>
  <c r="KZ33" i="31"/>
  <c r="AK33" i="31"/>
  <c r="HI33" i="31"/>
  <c r="FN21" i="31"/>
  <c r="R21" i="31"/>
  <c r="S21" i="31" s="1"/>
  <c r="Q21" i="31"/>
  <c r="AF21" i="31"/>
  <c r="HD15" i="31"/>
  <c r="AK15" i="31"/>
  <c r="KZ15" i="31"/>
  <c r="HH15" i="31"/>
  <c r="AJ15" i="31" s="1"/>
  <c r="AL15" i="31"/>
  <c r="HI15" i="31"/>
  <c r="AK47" i="31"/>
  <c r="HI47" i="31"/>
  <c r="AL47" i="31"/>
  <c r="KZ47" i="31"/>
  <c r="HH47" i="31"/>
  <c r="AJ47" i="31" s="1"/>
  <c r="HD47" i="31"/>
  <c r="AK38" i="31"/>
  <c r="HI38" i="31"/>
  <c r="KZ38" i="31"/>
  <c r="AL38" i="31"/>
  <c r="HD38" i="31"/>
  <c r="HH38" i="31"/>
  <c r="AJ38" i="31" s="1"/>
  <c r="KZ39" i="31"/>
  <c r="AK39" i="31"/>
  <c r="HD39" i="31"/>
  <c r="AL39" i="31"/>
  <c r="HI39" i="31"/>
  <c r="HH39" i="31"/>
  <c r="AJ39" i="31" s="1"/>
  <c r="Q11" i="31"/>
  <c r="AF11" i="31"/>
  <c r="R11" i="31"/>
  <c r="S11" i="31" s="1"/>
  <c r="FN11" i="31"/>
  <c r="HD63" i="31"/>
  <c r="HH63" i="31"/>
  <c r="AJ63" i="31" s="1"/>
  <c r="HI63" i="31"/>
  <c r="AK63" i="31"/>
  <c r="AL63" i="31"/>
  <c r="KZ63" i="31"/>
  <c r="KZ16" i="31"/>
  <c r="HI16" i="31"/>
  <c r="AK16" i="31"/>
  <c r="AL16" i="31"/>
  <c r="HH16" i="31"/>
  <c r="AJ16" i="31" s="1"/>
  <c r="HD16" i="31"/>
  <c r="AL11" i="31"/>
  <c r="HD11" i="31"/>
  <c r="KZ11" i="31"/>
  <c r="AK11" i="31"/>
  <c r="HH11" i="31"/>
  <c r="AJ11" i="31" s="1"/>
  <c r="HI11" i="31"/>
  <c r="R43" i="31"/>
  <c r="S43" i="31" s="1"/>
  <c r="Q43" i="31"/>
  <c r="AF43" i="31"/>
  <c r="FN43" i="31"/>
  <c r="KZ31" i="31"/>
  <c r="HH31" i="31"/>
  <c r="AJ31" i="31" s="1"/>
  <c r="AL31" i="31"/>
  <c r="AK31" i="31"/>
  <c r="HD31" i="31"/>
  <c r="HI31" i="31"/>
  <c r="Q30" i="31"/>
  <c r="FN30" i="31"/>
  <c r="AF30" i="31"/>
  <c r="R30" i="31"/>
  <c r="S30" i="31" s="1"/>
  <c r="GG65" i="31"/>
  <c r="GH65" i="31" s="1"/>
  <c r="GG66" i="31"/>
  <c r="GH66" i="31" s="1"/>
  <c r="GG67" i="31"/>
  <c r="GH67" i="31" s="1"/>
  <c r="GG68" i="31"/>
  <c r="GH68" i="31" s="1"/>
  <c r="GG69" i="31"/>
  <c r="GH69" i="31" s="1"/>
  <c r="GG70" i="31"/>
  <c r="GH70" i="31" s="1"/>
  <c r="GG71" i="31"/>
  <c r="GH71" i="31" s="1"/>
  <c r="GG72" i="31"/>
  <c r="GH72" i="31" s="1"/>
  <c r="GG73" i="31"/>
  <c r="GH73" i="31" s="1"/>
  <c r="GG74" i="31"/>
  <c r="GH74" i="31" s="1"/>
  <c r="GG75" i="31"/>
  <c r="GH75" i="31" s="1"/>
  <c r="GG76" i="31"/>
  <c r="GH76" i="31" s="1"/>
  <c r="GG77" i="31"/>
  <c r="GH77" i="31" s="1"/>
  <c r="GG78" i="31"/>
  <c r="GH78" i="31" s="1"/>
  <c r="GG79" i="31"/>
  <c r="GH79" i="31" s="1"/>
  <c r="GG80" i="31"/>
  <c r="GH80" i="31" s="1"/>
  <c r="GG81" i="31"/>
  <c r="GH81" i="31" s="1"/>
  <c r="GG82" i="31"/>
  <c r="GH82" i="31" s="1"/>
  <c r="GG83" i="31"/>
  <c r="GH83" i="31" s="1"/>
  <c r="GG84" i="31"/>
  <c r="GH84" i="31" s="1"/>
  <c r="GG85" i="31"/>
  <c r="GH85" i="31" s="1"/>
  <c r="GG86" i="31"/>
  <c r="GH86" i="31" s="1"/>
  <c r="GG87" i="31"/>
  <c r="GH87" i="31" s="1"/>
  <c r="GG88" i="31"/>
  <c r="GH88" i="31" s="1"/>
  <c r="GG89" i="31"/>
  <c r="GH89" i="31" s="1"/>
  <c r="GG90" i="31"/>
  <c r="GH90" i="31" s="1"/>
  <c r="GG91" i="31"/>
  <c r="GH91" i="31" s="1"/>
  <c r="GG92" i="31"/>
  <c r="GH92" i="31" s="1"/>
  <c r="GG93" i="31"/>
  <c r="GH93" i="31" s="1"/>
  <c r="GG94" i="31"/>
  <c r="GH94" i="31" s="1"/>
  <c r="GG95" i="31"/>
  <c r="GH95" i="31" s="1"/>
  <c r="GG96" i="31"/>
  <c r="GH96" i="31" s="1"/>
  <c r="GG97" i="31"/>
  <c r="GH97" i="31" s="1"/>
  <c r="GG98" i="31"/>
  <c r="GH98" i="31" s="1"/>
  <c r="GG99" i="31"/>
  <c r="GH99" i="31" s="1"/>
  <c r="GG100" i="31"/>
  <c r="GH100" i="31" s="1"/>
  <c r="GG101" i="31"/>
  <c r="GH101" i="31" s="1"/>
  <c r="GG102" i="31"/>
  <c r="GH102" i="31" s="1"/>
  <c r="GG103" i="31"/>
  <c r="GH103" i="31" s="1"/>
  <c r="GG104" i="31"/>
  <c r="GH104" i="31" s="1"/>
  <c r="GG105" i="31"/>
  <c r="GH105" i="31" s="1"/>
  <c r="GG106" i="31"/>
  <c r="GH106" i="31" s="1"/>
  <c r="GG107" i="31"/>
  <c r="GH107" i="31" s="1"/>
  <c r="GG108" i="31"/>
  <c r="GH108" i="31" s="1"/>
  <c r="GG109" i="31"/>
  <c r="GH109" i="31" s="1"/>
  <c r="GG110" i="31"/>
  <c r="GH110" i="31" s="1"/>
  <c r="GG111" i="31"/>
  <c r="GH111" i="31" s="1"/>
  <c r="GG112" i="31"/>
  <c r="GH112" i="31" s="1"/>
  <c r="GG113" i="31"/>
  <c r="GH113" i="31" s="1"/>
  <c r="GG114" i="31"/>
  <c r="GH114" i="31" s="1"/>
  <c r="GG115" i="31"/>
  <c r="GH115" i="31" s="1"/>
  <c r="GG116" i="31"/>
  <c r="GH116" i="31" s="1"/>
  <c r="GG117" i="31"/>
  <c r="GH117" i="31" s="1"/>
  <c r="GG118" i="31"/>
  <c r="GH118" i="31" s="1"/>
  <c r="GG119" i="31"/>
  <c r="GH119" i="31" s="1"/>
  <c r="GG120" i="31"/>
  <c r="GH120" i="31" s="1"/>
  <c r="GG121" i="31"/>
  <c r="GH121" i="31" s="1"/>
  <c r="GG122" i="31"/>
  <c r="GH122" i="31" s="1"/>
  <c r="GG123" i="31"/>
  <c r="GH123" i="31" s="1"/>
  <c r="GG124" i="31"/>
  <c r="GH124" i="31" s="1"/>
  <c r="GG125" i="31"/>
  <c r="GH125" i="31" s="1"/>
  <c r="GG126" i="31"/>
  <c r="GH126" i="31" s="1"/>
  <c r="GG127" i="31"/>
  <c r="GH127" i="31" s="1"/>
  <c r="GG128" i="31"/>
  <c r="GH128" i="31" s="1"/>
  <c r="GG129" i="31"/>
  <c r="GH129" i="31" s="1"/>
  <c r="GG130" i="31"/>
  <c r="GH130" i="31" s="1"/>
  <c r="GG131" i="31"/>
  <c r="GH131" i="31" s="1"/>
  <c r="GG132" i="31"/>
  <c r="GH132" i="31" s="1"/>
  <c r="GG133" i="31"/>
  <c r="GH133" i="31" s="1"/>
  <c r="GG134" i="31"/>
  <c r="GH134" i="31" s="1"/>
  <c r="GG135" i="31"/>
  <c r="GH135" i="31" s="1"/>
  <c r="GG136" i="31"/>
  <c r="GH136" i="31" s="1"/>
  <c r="GG137" i="31"/>
  <c r="GH137" i="31" s="1"/>
  <c r="GG138" i="31"/>
  <c r="GH138" i="31" s="1"/>
  <c r="GG139" i="31"/>
  <c r="GH139" i="31" s="1"/>
  <c r="GG140" i="31"/>
  <c r="GH140" i="31" s="1"/>
  <c r="GG141" i="31"/>
  <c r="GH141" i="31" s="1"/>
  <c r="GG142" i="31"/>
  <c r="GH142" i="31" s="1"/>
  <c r="GG143" i="31"/>
  <c r="GH143" i="31" s="1"/>
  <c r="GG144" i="31"/>
  <c r="GH144" i="31" s="1"/>
  <c r="GG145" i="31"/>
  <c r="GH145" i="31" s="1"/>
  <c r="GG146" i="31"/>
  <c r="GH146" i="31" s="1"/>
  <c r="GG147" i="31"/>
  <c r="GH147" i="31" s="1"/>
  <c r="GG148" i="31"/>
  <c r="GH148" i="31" s="1"/>
  <c r="GG149" i="31"/>
  <c r="GH149" i="31" s="1"/>
  <c r="GG150" i="31"/>
  <c r="GH150" i="31" s="1"/>
  <c r="GG151" i="31"/>
  <c r="GH151" i="31" s="1"/>
  <c r="GG152" i="31"/>
  <c r="GH152" i="31" s="1"/>
  <c r="GG153" i="31"/>
  <c r="GH153" i="31" s="1"/>
  <c r="GG154" i="31"/>
  <c r="GH154" i="31" s="1"/>
  <c r="GG155" i="31"/>
  <c r="GH155" i="31" s="1"/>
  <c r="GG156" i="31"/>
  <c r="GH156" i="31" s="1"/>
  <c r="GG157" i="31"/>
  <c r="GH157" i="31" s="1"/>
  <c r="GG158" i="31"/>
  <c r="GH158" i="31" s="1"/>
  <c r="GG159" i="31"/>
  <c r="GH159" i="31" s="1"/>
  <c r="GG160" i="31"/>
  <c r="GH160" i="31" s="1"/>
  <c r="GG161" i="31"/>
  <c r="GH161" i="31" s="1"/>
  <c r="GG162" i="31"/>
  <c r="GH162" i="31" s="1"/>
  <c r="GG163" i="31"/>
  <c r="GH163" i="31" s="1"/>
  <c r="GG164" i="31"/>
  <c r="GH164" i="31" s="1"/>
  <c r="GG165" i="31"/>
  <c r="GH165" i="31" s="1"/>
  <c r="GG166" i="31"/>
  <c r="GH166" i="31" s="1"/>
  <c r="GG167" i="31"/>
  <c r="GH167" i="31" s="1"/>
  <c r="GG168" i="31"/>
  <c r="GH168" i="31" s="1"/>
  <c r="GG169" i="31"/>
  <c r="GH169" i="31" s="1"/>
  <c r="GG170" i="31"/>
  <c r="GH170" i="31" s="1"/>
  <c r="GG171" i="31"/>
  <c r="GH171" i="31" s="1"/>
  <c r="GG172" i="31"/>
  <c r="GH172" i="31" s="1"/>
  <c r="GG173" i="31"/>
  <c r="GH173" i="31" s="1"/>
  <c r="GG174" i="31"/>
  <c r="GH174" i="31" s="1"/>
  <c r="GG175" i="31"/>
  <c r="GH175" i="31" s="1"/>
  <c r="GG176" i="31"/>
  <c r="GH176" i="31" s="1"/>
  <c r="GG177" i="31"/>
  <c r="GH177" i="31" s="1"/>
  <c r="GG178" i="31"/>
  <c r="GH178" i="31" s="1"/>
  <c r="GG179" i="31"/>
  <c r="GH179" i="31" s="1"/>
  <c r="GG180" i="31"/>
  <c r="GH180" i="31" s="1"/>
  <c r="GG181" i="31"/>
  <c r="GH181" i="31" s="1"/>
  <c r="GG182" i="31"/>
  <c r="GH182" i="31" s="1"/>
  <c r="GG183" i="31"/>
  <c r="GH183" i="31" s="1"/>
  <c r="GG184" i="31"/>
  <c r="GH184" i="31" s="1"/>
  <c r="GG185" i="31"/>
  <c r="GH185" i="31" s="1"/>
  <c r="GG186" i="31"/>
  <c r="GH186" i="31" s="1"/>
  <c r="GG187" i="31"/>
  <c r="GH187" i="31" s="1"/>
  <c r="GG188" i="31"/>
  <c r="GH188" i="31" s="1"/>
  <c r="GG189" i="31"/>
  <c r="GH189" i="31" s="1"/>
  <c r="GG190" i="31"/>
  <c r="GH190" i="31" s="1"/>
  <c r="GG191" i="31"/>
  <c r="GH191" i="31" s="1"/>
  <c r="GG192" i="31"/>
  <c r="GH192" i="31" s="1"/>
  <c r="GG193" i="31"/>
  <c r="GH193" i="31" s="1"/>
  <c r="GG194" i="31"/>
  <c r="GH194" i="31" s="1"/>
  <c r="GG195" i="31"/>
  <c r="GH195" i="31" s="1"/>
  <c r="GG196" i="31"/>
  <c r="GH196" i="31" s="1"/>
  <c r="GG197" i="31"/>
  <c r="GH197" i="31" s="1"/>
  <c r="GG198" i="31"/>
  <c r="GH198" i="31" s="1"/>
  <c r="GG199" i="31"/>
  <c r="GH199" i="31" s="1"/>
  <c r="GG200" i="31"/>
  <c r="GH200" i="31" s="1"/>
  <c r="GG201" i="31"/>
  <c r="GH201" i="31" s="1"/>
  <c r="GG202" i="31"/>
  <c r="GH202" i="31" s="1"/>
  <c r="GG203" i="31"/>
  <c r="GH203" i="31" s="1"/>
  <c r="GG204" i="31"/>
  <c r="GH204" i="31" s="1"/>
  <c r="GG205" i="31"/>
  <c r="GH205" i="31" s="1"/>
  <c r="GG206" i="31"/>
  <c r="GH206" i="31" s="1"/>
  <c r="GG207" i="31"/>
  <c r="GH207" i="31" s="1"/>
  <c r="GG208" i="31"/>
  <c r="GH208" i="31" s="1"/>
  <c r="GG209" i="31"/>
  <c r="GH209" i="31" s="1"/>
  <c r="GG210" i="31"/>
  <c r="GH210" i="31" s="1"/>
  <c r="GG211" i="31"/>
  <c r="GH211" i="31" s="1"/>
  <c r="GG212" i="31"/>
  <c r="GH212" i="31" s="1"/>
  <c r="GG213" i="31"/>
  <c r="GH213" i="31" s="1"/>
  <c r="GG214" i="31"/>
  <c r="GH214" i="31" s="1"/>
  <c r="GG215" i="31"/>
  <c r="GH215" i="31" s="1"/>
  <c r="GG216" i="31"/>
  <c r="GH216" i="31" s="1"/>
  <c r="GG217" i="31"/>
  <c r="GH217" i="31" s="1"/>
  <c r="GG218" i="31"/>
  <c r="GH218" i="31" s="1"/>
  <c r="GG219" i="31"/>
  <c r="GH219" i="31" s="1"/>
  <c r="GG220" i="31"/>
  <c r="GH220" i="31" s="1"/>
  <c r="GG221" i="31"/>
  <c r="GH221" i="31" s="1"/>
  <c r="GG222" i="31"/>
  <c r="GH222" i="31" s="1"/>
  <c r="GG223" i="31"/>
  <c r="GH223" i="31" s="1"/>
  <c r="GG224" i="31"/>
  <c r="GH224" i="31" s="1"/>
  <c r="GG225" i="31"/>
  <c r="GH225" i="31" s="1"/>
  <c r="GG226" i="31"/>
  <c r="GH226" i="31" s="1"/>
  <c r="GG227" i="31"/>
  <c r="GH227" i="31" s="1"/>
  <c r="GG228" i="31"/>
  <c r="GH228" i="31" s="1"/>
  <c r="GG229" i="31"/>
  <c r="GH229" i="31" s="1"/>
  <c r="GG230" i="31"/>
  <c r="GH230" i="31" s="1"/>
  <c r="GG231" i="31"/>
  <c r="GH231" i="31" s="1"/>
  <c r="GG232" i="31"/>
  <c r="GH232" i="31" s="1"/>
  <c r="GG233" i="31"/>
  <c r="GH233" i="31" s="1"/>
  <c r="GG234" i="31"/>
  <c r="GH234" i="31" s="1"/>
  <c r="GG235" i="31"/>
  <c r="GH235" i="31" s="1"/>
  <c r="GG236" i="31"/>
  <c r="GH236" i="31" s="1"/>
  <c r="GG237" i="31"/>
  <c r="GH237" i="31" s="1"/>
  <c r="GG238" i="31"/>
  <c r="GH238" i="31" s="1"/>
  <c r="GG239" i="31"/>
  <c r="GH239" i="31" s="1"/>
  <c r="GG240" i="31"/>
  <c r="GH240" i="31" s="1"/>
  <c r="GG241" i="31"/>
  <c r="GH241" i="31" s="1"/>
  <c r="GG242" i="31"/>
  <c r="GH242" i="31" s="1"/>
  <c r="GG243" i="31"/>
  <c r="GH243" i="31" s="1"/>
  <c r="GG244" i="31"/>
  <c r="GH244" i="31" s="1"/>
  <c r="GG245" i="31"/>
  <c r="GH245" i="31" s="1"/>
  <c r="GG246" i="31"/>
  <c r="GH246" i="31" s="1"/>
  <c r="GG247" i="31"/>
  <c r="GH247" i="31" s="1"/>
  <c r="GG248" i="31"/>
  <c r="GH248" i="31" s="1"/>
  <c r="GG249" i="31"/>
  <c r="GH249" i="31" s="1"/>
  <c r="GG250" i="31"/>
  <c r="GH250" i="31" s="1"/>
  <c r="GG251" i="31"/>
  <c r="GH251" i="31" s="1"/>
  <c r="GG252" i="31"/>
  <c r="GH252" i="31" s="1"/>
  <c r="GG253" i="31"/>
  <c r="GH253" i="31" s="1"/>
  <c r="GG254" i="31"/>
  <c r="GH254" i="31" s="1"/>
  <c r="GG255" i="31"/>
  <c r="GH255" i="31" s="1"/>
  <c r="GG256" i="31"/>
  <c r="GH256" i="31" s="1"/>
  <c r="GG257" i="31"/>
  <c r="GH257" i="31" s="1"/>
  <c r="GG258" i="31"/>
  <c r="GH258" i="31" s="1"/>
  <c r="GG259" i="31"/>
  <c r="GH259" i="31" s="1"/>
  <c r="GG260" i="31"/>
  <c r="GH260" i="31" s="1"/>
  <c r="GG261" i="31"/>
  <c r="GH261" i="31" s="1"/>
  <c r="GG262" i="31"/>
  <c r="GH262" i="31" s="1"/>
  <c r="GG263" i="31"/>
  <c r="GH263" i="31" s="1"/>
  <c r="GG264" i="31"/>
  <c r="GH264" i="31" s="1"/>
  <c r="GG265" i="31"/>
  <c r="GH265" i="31" s="1"/>
  <c r="GG266" i="31"/>
  <c r="GH266" i="31" s="1"/>
  <c r="GG267" i="31"/>
  <c r="GH267" i="31" s="1"/>
  <c r="GG268" i="31"/>
  <c r="GH268" i="31" s="1"/>
  <c r="GG269" i="31"/>
  <c r="GH269" i="31" s="1"/>
  <c r="GG270" i="31"/>
  <c r="GH270" i="31" s="1"/>
  <c r="GG271" i="31"/>
  <c r="GH271" i="31" s="1"/>
  <c r="GG272" i="31"/>
  <c r="GH272" i="31" s="1"/>
  <c r="GG273" i="31"/>
  <c r="GH273" i="31" s="1"/>
  <c r="GG274" i="31"/>
  <c r="GH274" i="31" s="1"/>
  <c r="GG275" i="31"/>
  <c r="GH275" i="31" s="1"/>
  <c r="GG276" i="31"/>
  <c r="GH276" i="31" s="1"/>
  <c r="GG277" i="31"/>
  <c r="GH277" i="31" s="1"/>
  <c r="GG278" i="31"/>
  <c r="GH278" i="31" s="1"/>
  <c r="GG279" i="31"/>
  <c r="GH279" i="31" s="1"/>
  <c r="GG280" i="31"/>
  <c r="GH280" i="31" s="1"/>
  <c r="GG281" i="31"/>
  <c r="GH281" i="31" s="1"/>
  <c r="GG282" i="31"/>
  <c r="GH282" i="31" s="1"/>
  <c r="GG283" i="31"/>
  <c r="GH283" i="31" s="1"/>
  <c r="GG284" i="31"/>
  <c r="GH284" i="31" s="1"/>
  <c r="GG285" i="31"/>
  <c r="GH285" i="31" s="1"/>
  <c r="GG286" i="31"/>
  <c r="GH286" i="31" s="1"/>
  <c r="GG287" i="31"/>
  <c r="GH287" i="31" s="1"/>
  <c r="GG288" i="31"/>
  <c r="GH288" i="31" s="1"/>
  <c r="GG289" i="31"/>
  <c r="GH289" i="31" s="1"/>
  <c r="GG290" i="31"/>
  <c r="GH290" i="31" s="1"/>
  <c r="GG291" i="31"/>
  <c r="GH291" i="31" s="1"/>
  <c r="GG292" i="31"/>
  <c r="GH292" i="31" s="1"/>
  <c r="GG293" i="31"/>
  <c r="GH293" i="31" s="1"/>
  <c r="GG294" i="31"/>
  <c r="GH294" i="31" s="1"/>
  <c r="GG295" i="31"/>
  <c r="GH295" i="31" s="1"/>
  <c r="GG296" i="31"/>
  <c r="GH296" i="31" s="1"/>
  <c r="GG297" i="31"/>
  <c r="GH297" i="31" s="1"/>
  <c r="GG298" i="31"/>
  <c r="GH298" i="31" s="1"/>
  <c r="GG299" i="31"/>
  <c r="GH299" i="31" s="1"/>
  <c r="GG300" i="31"/>
  <c r="GH300" i="31" s="1"/>
  <c r="GG301" i="31"/>
  <c r="GH301" i="31" s="1"/>
  <c r="GG302" i="31"/>
  <c r="GH302" i="31" s="1"/>
  <c r="GG303" i="31"/>
  <c r="GH303" i="31" s="1"/>
  <c r="GG304" i="31"/>
  <c r="GH304" i="31" s="1"/>
  <c r="GG305" i="31"/>
  <c r="GH305" i="31" s="1"/>
  <c r="GG306" i="31"/>
  <c r="GH306" i="31" s="1"/>
  <c r="GG307" i="31"/>
  <c r="GH307" i="31" s="1"/>
  <c r="GG308" i="31"/>
  <c r="GH308" i="31" s="1"/>
  <c r="GG309" i="31"/>
  <c r="GH309" i="31" s="1"/>
  <c r="GG310" i="31"/>
  <c r="GH310" i="31" s="1"/>
  <c r="GG311" i="31"/>
  <c r="GH311" i="31" s="1"/>
  <c r="GG312" i="31"/>
  <c r="GH312" i="31" s="1"/>
  <c r="GG313" i="31"/>
  <c r="GH313" i="31" s="1"/>
  <c r="GG314" i="31"/>
  <c r="GH314" i="31" s="1"/>
  <c r="GG315" i="31"/>
  <c r="GH315" i="31" s="1"/>
  <c r="GG316" i="31"/>
  <c r="GH316" i="31" s="1"/>
  <c r="GG317" i="31"/>
  <c r="GH317" i="31" s="1"/>
  <c r="GG318" i="31"/>
  <c r="GH318" i="31" s="1"/>
  <c r="GG319" i="31"/>
  <c r="GH319" i="31" s="1"/>
  <c r="GG320" i="31"/>
  <c r="GH320" i="31" s="1"/>
  <c r="GG321" i="31"/>
  <c r="GH321" i="31" s="1"/>
  <c r="GG322" i="31"/>
  <c r="GH322" i="31" s="1"/>
  <c r="GG323" i="31"/>
  <c r="GH323" i="31" s="1"/>
  <c r="GG324" i="31"/>
  <c r="GH324" i="31" s="1"/>
  <c r="GG325" i="31"/>
  <c r="GH325" i="31" s="1"/>
  <c r="GG326" i="31"/>
  <c r="GH326" i="31" s="1"/>
  <c r="GG327" i="31"/>
  <c r="GH327" i="31" s="1"/>
  <c r="GG328" i="31"/>
  <c r="GH328" i="31" s="1"/>
  <c r="GG329" i="31"/>
  <c r="GH329" i="31" s="1"/>
  <c r="GG330" i="31"/>
  <c r="GH330" i="31" s="1"/>
  <c r="GG331" i="31"/>
  <c r="GH331" i="31" s="1"/>
  <c r="GG332" i="31"/>
  <c r="GH332" i="31" s="1"/>
  <c r="GG333" i="31"/>
  <c r="GH333" i="31" s="1"/>
  <c r="GG334" i="31"/>
  <c r="GH334" i="31" s="1"/>
  <c r="GG335" i="31"/>
  <c r="GH335" i="31" s="1"/>
  <c r="GG336" i="31"/>
  <c r="GH336" i="31" s="1"/>
  <c r="GG337" i="31"/>
  <c r="GH337" i="31" s="1"/>
  <c r="GG338" i="31"/>
  <c r="GH338" i="31" s="1"/>
  <c r="GG339" i="31"/>
  <c r="GH339" i="31" s="1"/>
  <c r="GG340" i="31"/>
  <c r="GH340" i="31" s="1"/>
  <c r="GG341" i="31"/>
  <c r="GH341" i="31" s="1"/>
  <c r="GG342" i="31"/>
  <c r="GH342" i="31" s="1"/>
  <c r="GG343" i="31"/>
  <c r="GH343" i="31" s="1"/>
  <c r="GG344" i="31"/>
  <c r="GH344" i="31" s="1"/>
  <c r="GG345" i="31"/>
  <c r="GH345" i="31" s="1"/>
  <c r="GG346" i="31"/>
  <c r="GH346" i="31" s="1"/>
  <c r="GG347" i="31"/>
  <c r="GH347" i="31" s="1"/>
  <c r="GG348" i="31"/>
  <c r="GH348" i="31" s="1"/>
  <c r="GG349" i="31"/>
  <c r="GH349" i="31" s="1"/>
  <c r="GG350" i="31"/>
  <c r="GH350" i="31" s="1"/>
  <c r="GG351" i="31"/>
  <c r="GH351" i="31" s="1"/>
  <c r="GG352" i="31"/>
  <c r="GH352" i="31" s="1"/>
  <c r="GG353" i="31"/>
  <c r="GH353" i="31" s="1"/>
  <c r="GG354" i="31"/>
  <c r="GH354" i="31" s="1"/>
  <c r="GG355" i="31"/>
  <c r="GH355" i="31" s="1"/>
  <c r="GG356" i="31"/>
  <c r="GH356" i="31" s="1"/>
  <c r="GG357" i="31"/>
  <c r="GH357" i="31" s="1"/>
  <c r="GG358" i="31"/>
  <c r="GH358" i="31" s="1"/>
  <c r="GG359" i="31"/>
  <c r="GH359" i="31" s="1"/>
  <c r="GG360" i="31"/>
  <c r="GH360" i="31" s="1"/>
  <c r="GG361" i="31"/>
  <c r="GH361" i="31" s="1"/>
  <c r="GG362" i="31"/>
  <c r="GH362" i="31" s="1"/>
  <c r="GG363" i="31"/>
  <c r="GH363" i="31" s="1"/>
  <c r="GG364" i="31"/>
  <c r="GH364" i="31" s="1"/>
  <c r="GG365" i="31"/>
  <c r="GH365" i="31" s="1"/>
  <c r="GG366" i="31"/>
  <c r="GH366" i="31" s="1"/>
  <c r="GG367" i="31"/>
  <c r="GH367" i="31" s="1"/>
  <c r="GG368" i="31"/>
  <c r="GH368" i="31" s="1"/>
  <c r="GG369" i="31"/>
  <c r="GH369" i="31" s="1"/>
  <c r="GG370" i="31"/>
  <c r="GH370" i="31" s="1"/>
  <c r="BB6" i="31" l="1"/>
  <c r="BC6" i="31" s="1"/>
  <c r="BD6" i="31" s="1"/>
  <c r="BE6" i="31" s="1"/>
  <c r="BF6" i="31" s="1"/>
  <c r="AU7" i="31"/>
  <c r="GT7" i="31"/>
  <c r="LD266" i="31"/>
  <c r="LD130" i="31"/>
  <c r="LD171" i="31"/>
  <c r="LD315" i="31"/>
  <c r="LD183" i="31"/>
  <c r="LD154" i="31"/>
  <c r="LD180" i="31"/>
  <c r="LD263" i="31"/>
  <c r="LD307" i="31"/>
  <c r="LD290" i="31"/>
  <c r="LD148" i="31"/>
  <c r="LD162" i="31"/>
  <c r="LD366" i="31"/>
  <c r="KQ6" i="31"/>
  <c r="KS6" i="31" s="1"/>
  <c r="LD52" i="31"/>
  <c r="LD287" i="31"/>
  <c r="LD159" i="31"/>
  <c r="LD299" i="31"/>
  <c r="LD143" i="31"/>
  <c r="LD252" i="31"/>
  <c r="LD370" i="31"/>
  <c r="LD96" i="31"/>
  <c r="LD242" i="31"/>
  <c r="LD172" i="31"/>
  <c r="LD146" i="31"/>
  <c r="LD303" i="31"/>
  <c r="LD214" i="31"/>
  <c r="LD342" i="31"/>
  <c r="LD115" i="31"/>
  <c r="LD167" i="31"/>
  <c r="LD75" i="31"/>
  <c r="LD119" i="31"/>
  <c r="LD158" i="31"/>
  <c r="LD211" i="31"/>
  <c r="LD268" i="31"/>
  <c r="LD286" i="31"/>
  <c r="LD136" i="31"/>
  <c r="LD267" i="31"/>
  <c r="LD358" i="31"/>
  <c r="LD120" i="31"/>
  <c r="LD203" i="31"/>
  <c r="LD220" i="31"/>
  <c r="LD122" i="31"/>
  <c r="LD175" i="31"/>
  <c r="LD232" i="31"/>
  <c r="LD259" i="31"/>
  <c r="LD343" i="31"/>
  <c r="LD254" i="31"/>
  <c r="LD271" i="31"/>
  <c r="LD362" i="31"/>
  <c r="LD107" i="31"/>
  <c r="LD110" i="31"/>
  <c r="LD283" i="31"/>
  <c r="LD138" i="31"/>
  <c r="LD128" i="31"/>
  <c r="LD144" i="31"/>
  <c r="LD164" i="31"/>
  <c r="LD248" i="31"/>
  <c r="LD58" i="31"/>
  <c r="LD31" i="31"/>
  <c r="LD51" i="31"/>
  <c r="LD63" i="31"/>
  <c r="LD39" i="31"/>
  <c r="LD38" i="31"/>
  <c r="LD14" i="31"/>
  <c r="LD228" i="31"/>
  <c r="LD151" i="31"/>
  <c r="LD94" i="31"/>
  <c r="LD320" i="31"/>
  <c r="LD127" i="31"/>
  <c r="LD368" i="31"/>
  <c r="LD331" i="31"/>
  <c r="LD350" i="31"/>
  <c r="LD112" i="31"/>
  <c r="LD244" i="31"/>
  <c r="LD246" i="31"/>
  <c r="LD126" i="31"/>
  <c r="LD335" i="31"/>
  <c r="LD200" i="31"/>
  <c r="LD327" i="31"/>
  <c r="LD22" i="31"/>
  <c r="LD30" i="31"/>
  <c r="LD141" i="31"/>
  <c r="LD243" i="31"/>
  <c r="LD347" i="31"/>
  <c r="LD202" i="31"/>
  <c r="LD178" i="31"/>
  <c r="LD279" i="31"/>
  <c r="LD170" i="31"/>
  <c r="LD134" i="31"/>
  <c r="LD291" i="31"/>
  <c r="LD104" i="31"/>
  <c r="LD70" i="31"/>
  <c r="LD212" i="31"/>
  <c r="LD323" i="31"/>
  <c r="LD87" i="31"/>
  <c r="LD156" i="31"/>
  <c r="LD324" i="31"/>
  <c r="LD288" i="31"/>
  <c r="LD28" i="31"/>
  <c r="LD43" i="31"/>
  <c r="LD71" i="31"/>
  <c r="LD114" i="31"/>
  <c r="LD238" i="31"/>
  <c r="LD356" i="31"/>
  <c r="LD67" i="31"/>
  <c r="LD196" i="31"/>
  <c r="LD360" i="31"/>
  <c r="LD326" i="31"/>
  <c r="LD72" i="31"/>
  <c r="LD191" i="31"/>
  <c r="LD352" i="31"/>
  <c r="LD260" i="31"/>
  <c r="LD363" i="31"/>
  <c r="LD226" i="31"/>
  <c r="LD215" i="31"/>
  <c r="LD163" i="31"/>
  <c r="LD68" i="31"/>
  <c r="LD140" i="31"/>
  <c r="LD227" i="31"/>
  <c r="LD284" i="31"/>
  <c r="LD145" i="31"/>
  <c r="LD207" i="31"/>
  <c r="LD78" i="31"/>
  <c r="LD367" i="31"/>
  <c r="LD198" i="31"/>
  <c r="LD64" i="31"/>
  <c r="LD48" i="31"/>
  <c r="LD10" i="31"/>
  <c r="LD50" i="31"/>
  <c r="LD7" i="31"/>
  <c r="LD82" i="31"/>
  <c r="LD344" i="31"/>
  <c r="LD91" i="31"/>
  <c r="LD234" i="31"/>
  <c r="LD312" i="31"/>
  <c r="LD236" i="31"/>
  <c r="LD179" i="31"/>
  <c r="LD272" i="31"/>
  <c r="LD84" i="31"/>
  <c r="LD135" i="31"/>
  <c r="LD262" i="31"/>
  <c r="LD218" i="31"/>
  <c r="LD296" i="31"/>
  <c r="LD222" i="31"/>
  <c r="LD298" i="31"/>
  <c r="LD19" i="31"/>
  <c r="LD54" i="31"/>
  <c r="LD27" i="31"/>
  <c r="LD11" i="31"/>
  <c r="LD56" i="31"/>
  <c r="LD251" i="31"/>
  <c r="LD278" i="31"/>
  <c r="LD346" i="31"/>
  <c r="LD131" i="31"/>
  <c r="LD255" i="31"/>
  <c r="LD219" i="31"/>
  <c r="LD106" i="31"/>
  <c r="LD302" i="31"/>
  <c r="LD338" i="31"/>
  <c r="LD66" i="31"/>
  <c r="LD86" i="31"/>
  <c r="LD247" i="31"/>
  <c r="LD79" i="31"/>
  <c r="LD99" i="31"/>
  <c r="LD190" i="31"/>
  <c r="LD348" i="31"/>
  <c r="LD336" i="31"/>
  <c r="LD137" i="31"/>
  <c r="LD147" i="31"/>
  <c r="LD239" i="31"/>
  <c r="LD310" i="31"/>
  <c r="LD295" i="31"/>
  <c r="LD116" i="31"/>
  <c r="LD152" i="31"/>
  <c r="LD231" i="31"/>
  <c r="LD334" i="31"/>
  <c r="LD24" i="31"/>
  <c r="LD12" i="31"/>
  <c r="LD46" i="31"/>
  <c r="LD364" i="31"/>
  <c r="LD168" i="31"/>
  <c r="LD339" i="31"/>
  <c r="LD103" i="31"/>
  <c r="LD174" i="31"/>
  <c r="LD351" i="31"/>
  <c r="LD206" i="31"/>
  <c r="LD235" i="31"/>
  <c r="LD184" i="31"/>
  <c r="LD282" i="31"/>
  <c r="LD111" i="31"/>
  <c r="LD340" i="31"/>
  <c r="LD355" i="31"/>
  <c r="LD187" i="31"/>
  <c r="LD274" i="31"/>
  <c r="LD354" i="31"/>
  <c r="LD195" i="31"/>
  <c r="LD258" i="31"/>
  <c r="LD6" i="31"/>
  <c r="LD32" i="31"/>
  <c r="LD34" i="31"/>
  <c r="LD47" i="31"/>
  <c r="LD300" i="31"/>
  <c r="LD95" i="31"/>
  <c r="LD240" i="31"/>
  <c r="LD319" i="31"/>
  <c r="LD160" i="31"/>
  <c r="LD83" i="31"/>
  <c r="LD118" i="31"/>
  <c r="LD318" i="31"/>
  <c r="LD322" i="31"/>
  <c r="LD328" i="31"/>
  <c r="LD199" i="31"/>
  <c r="LD224" i="31"/>
  <c r="LD264" i="31"/>
  <c r="LD42" i="31"/>
  <c r="LD55" i="31"/>
  <c r="LD35" i="31"/>
  <c r="LD44" i="31"/>
  <c r="LD194" i="31"/>
  <c r="LD314" i="31"/>
  <c r="LD142" i="31"/>
  <c r="LD223" i="31"/>
  <c r="LD280" i="31"/>
  <c r="LD88" i="31"/>
  <c r="LD74" i="31"/>
  <c r="LD230" i="31"/>
  <c r="LD270" i="31"/>
  <c r="LD306" i="31"/>
  <c r="LD100" i="31"/>
  <c r="LD186" i="31"/>
  <c r="LD210" i="31"/>
  <c r="LD304" i="31"/>
  <c r="LD311" i="31"/>
  <c r="LD80" i="31"/>
  <c r="LD192" i="31"/>
  <c r="LD294" i="31"/>
  <c r="LD330" i="31"/>
  <c r="LD150" i="31"/>
  <c r="LD90" i="31"/>
  <c r="LD155" i="31"/>
  <c r="LD102" i="31"/>
  <c r="LD139" i="31"/>
  <c r="LD216" i="31"/>
  <c r="LD275" i="31"/>
  <c r="LD359" i="31"/>
  <c r="LD18" i="31"/>
  <c r="LD26" i="31"/>
  <c r="LD132" i="31"/>
  <c r="LD250" i="31"/>
  <c r="LD182" i="31"/>
  <c r="LD208" i="31"/>
  <c r="LD123" i="31"/>
  <c r="LD166" i="31"/>
  <c r="LD98" i="31"/>
  <c r="LD308" i="31"/>
  <c r="LD129" i="31"/>
  <c r="LD176" i="31"/>
  <c r="LD256" i="31"/>
  <c r="LD59" i="31"/>
  <c r="LD15" i="31"/>
  <c r="LD23" i="31"/>
  <c r="LD40" i="31"/>
  <c r="LD16" i="31"/>
  <c r="LD8" i="31"/>
  <c r="LD289" i="31"/>
  <c r="LD276" i="31"/>
  <c r="LD225" i="31"/>
  <c r="LD197" i="31"/>
  <c r="LD316" i="31"/>
  <c r="LD36" i="31"/>
  <c r="LD249" i="31"/>
  <c r="LD233" i="31"/>
  <c r="LD269" i="31"/>
  <c r="LD361" i="31"/>
  <c r="LD121" i="31"/>
  <c r="LD13" i="31"/>
  <c r="LD321" i="31"/>
  <c r="LD149" i="31"/>
  <c r="LD229" i="31"/>
  <c r="LD309" i="31"/>
  <c r="LD265" i="31"/>
  <c r="LD293" i="31"/>
  <c r="LD61" i="31"/>
  <c r="LD93" i="31"/>
  <c r="LD209" i="31"/>
  <c r="LD337" i="31"/>
  <c r="LD297" i="31"/>
  <c r="LD277" i="31"/>
  <c r="LD329" i="31"/>
  <c r="LD217" i="31"/>
  <c r="LD89" i="31"/>
  <c r="LD49" i="31"/>
  <c r="LD62" i="31"/>
  <c r="OP9" i="31"/>
  <c r="LD181" i="31"/>
  <c r="LD292" i="31"/>
  <c r="LD117" i="31"/>
  <c r="LD73" i="31"/>
  <c r="LD25" i="31"/>
  <c r="LD325" i="31"/>
  <c r="LD189" i="31"/>
  <c r="LD9" i="31"/>
  <c r="LD76" i="31"/>
  <c r="LD257" i="31"/>
  <c r="LD105" i="31"/>
  <c r="LD317" i="31"/>
  <c r="LD165" i="31"/>
  <c r="LD213" i="31"/>
  <c r="LD241" i="31"/>
  <c r="LD365" i="31"/>
  <c r="LD204" i="31"/>
  <c r="LD65" i="31"/>
  <c r="LD17" i="31"/>
  <c r="LD193" i="31"/>
  <c r="LD33" i="31"/>
  <c r="LD101" i="31"/>
  <c r="LD201" i="31"/>
  <c r="LD113" i="31"/>
  <c r="LD332" i="31"/>
  <c r="LD161" i="31"/>
  <c r="LD173" i="31"/>
  <c r="LD349" i="31"/>
  <c r="LD261" i="31"/>
  <c r="LD133" i="31"/>
  <c r="LD157" i="31"/>
  <c r="LD29" i="31"/>
  <c r="LD37" i="31"/>
  <c r="LD45" i="31"/>
  <c r="LD41" i="31"/>
  <c r="LD369" i="31"/>
  <c r="LD92" i="31"/>
  <c r="LD185" i="31"/>
  <c r="LD20" i="31"/>
  <c r="LD237" i="31"/>
  <c r="LD205" i="31"/>
  <c r="LD153" i="31"/>
  <c r="LD221" i="31"/>
  <c r="LD188" i="31"/>
  <c r="LD301" i="31"/>
  <c r="LD69" i="31"/>
  <c r="LD169" i="31"/>
  <c r="LD305" i="31"/>
  <c r="LD253" i="31"/>
  <c r="LD177" i="31"/>
  <c r="LD85" i="31"/>
  <c r="LD285" i="31"/>
  <c r="LD353" i="31"/>
  <c r="LD97" i="31"/>
  <c r="LD313" i="31"/>
  <c r="LD341" i="31"/>
  <c r="LD21" i="31"/>
  <c r="LD60" i="31"/>
  <c r="LD53" i="31"/>
  <c r="LD281" i="31"/>
  <c r="LD345" i="31"/>
  <c r="LD81" i="31"/>
  <c r="LD357" i="31"/>
  <c r="LD245" i="31"/>
  <c r="LD77" i="31"/>
  <c r="LD124" i="31"/>
  <c r="LD273" i="31"/>
  <c r="LD333" i="31"/>
  <c r="LD109" i="31"/>
  <c r="LD125" i="31"/>
  <c r="LD108" i="31"/>
  <c r="LD57" i="31"/>
  <c r="N7" i="31"/>
  <c r="O8" i="31" s="1"/>
  <c r="CZ7" i="31"/>
  <c r="KP7" i="31"/>
  <c r="AC6" i="31"/>
  <c r="Y13" i="31"/>
  <c r="MC13" i="31" s="1"/>
  <c r="Y52" i="31"/>
  <c r="MC52" i="31" s="1"/>
  <c r="Y40" i="31"/>
  <c r="MC40" i="31" s="1"/>
  <c r="Y8" i="31"/>
  <c r="MC8" i="31" s="1"/>
  <c r="Y49" i="31"/>
  <c r="MC49" i="31" s="1"/>
  <c r="Y50" i="31"/>
  <c r="MC50" i="31" s="1"/>
  <c r="Y43" i="31"/>
  <c r="MC43" i="31" s="1"/>
  <c r="Y23" i="31"/>
  <c r="MC23" i="31" s="1"/>
  <c r="Y16" i="31"/>
  <c r="MC16" i="31" s="1"/>
  <c r="Y55" i="31"/>
  <c r="MC55" i="31" s="1"/>
  <c r="Y45" i="31"/>
  <c r="MC45" i="31" s="1"/>
  <c r="Y62" i="31"/>
  <c r="MC62" i="31" s="1"/>
  <c r="Y51" i="31"/>
  <c r="MC51" i="31" s="1"/>
  <c r="Y39" i="31"/>
  <c r="MC39" i="31" s="1"/>
  <c r="Y56" i="31"/>
  <c r="MC56" i="31" s="1"/>
  <c r="Y31" i="31"/>
  <c r="MC31" i="31" s="1"/>
  <c r="Y11" i="31"/>
  <c r="MC11" i="31" s="1"/>
  <c r="Y27" i="31"/>
  <c r="MC27" i="31" s="1"/>
  <c r="Y15" i="31"/>
  <c r="MC15" i="31" s="1"/>
  <c r="Y17" i="31"/>
  <c r="MC17" i="31" s="1"/>
  <c r="Y54" i="31"/>
  <c r="MC54" i="31" s="1"/>
  <c r="Y22" i="31"/>
  <c r="MC22" i="31" s="1"/>
  <c r="Y19" i="31"/>
  <c r="MC19" i="31" s="1"/>
  <c r="Y7" i="31"/>
  <c r="MC7" i="31" s="1"/>
  <c r="Y10" i="31"/>
  <c r="MC10" i="31" s="1"/>
  <c r="Y21" i="31"/>
  <c r="MC21" i="31" s="1"/>
  <c r="Y35" i="31"/>
  <c r="Y46" i="31"/>
  <c r="MC46" i="31" s="1"/>
  <c r="Y42" i="31"/>
  <c r="MC42" i="31" s="1"/>
  <c r="Y64" i="31"/>
  <c r="MC64" i="31" s="1"/>
  <c r="Y48" i="31"/>
  <c r="MC48" i="31" s="1"/>
  <c r="Y37" i="31"/>
  <c r="MC37" i="31" s="1"/>
  <c r="Y30" i="31"/>
  <c r="MC30" i="31" s="1"/>
  <c r="Y29" i="31"/>
  <c r="MC29" i="31" s="1"/>
  <c r="Y61" i="31"/>
  <c r="MC61" i="31" s="1"/>
  <c r="Y9" i="31"/>
  <c r="MC9" i="31" s="1"/>
  <c r="Y44" i="31"/>
  <c r="MC44" i="31" s="1"/>
  <c r="Y24" i="31"/>
  <c r="MC24" i="31" s="1"/>
  <c r="Y41" i="31"/>
  <c r="MC41" i="31" s="1"/>
  <c r="Y60" i="31"/>
  <c r="MC60" i="31" s="1"/>
  <c r="Y36" i="31"/>
  <c r="MC36" i="31" s="1"/>
  <c r="Y57" i="31"/>
  <c r="MC57" i="31" s="1"/>
  <c r="Y63" i="31"/>
  <c r="MC63" i="31" s="1"/>
  <c r="Y33" i="31"/>
  <c r="MC33" i="31" s="1"/>
  <c r="Y28" i="31"/>
  <c r="MC28" i="31" s="1"/>
  <c r="Y18" i="31"/>
  <c r="MC18" i="31" s="1"/>
  <c r="Y58" i="31"/>
  <c r="MC58" i="31" s="1"/>
  <c r="Y12" i="31"/>
  <c r="MC12" i="31" s="1"/>
  <c r="Y26" i="31"/>
  <c r="MC26" i="31" s="1"/>
  <c r="Y20" i="31"/>
  <c r="MC20" i="31" s="1"/>
  <c r="Y14" i="31"/>
  <c r="MC14" i="31" s="1"/>
  <c r="Y53" i="31"/>
  <c r="MC53" i="31" s="1"/>
  <c r="Y38" i="31"/>
  <c r="MC38" i="31" s="1"/>
  <c r="Y59" i="31"/>
  <c r="MC59" i="31" s="1"/>
  <c r="Y34" i="31"/>
  <c r="MC34" i="31" s="1"/>
  <c r="Y25" i="31"/>
  <c r="MC25" i="31" s="1"/>
  <c r="Y32" i="31"/>
  <c r="MC32" i="31" s="1"/>
  <c r="Y47" i="31"/>
  <c r="MC47" i="31" s="1"/>
  <c r="LF9" i="31"/>
  <c r="LG9" i="31"/>
  <c r="AM12" i="31"/>
  <c r="AN12" i="31" s="1"/>
  <c r="AO12" i="31" s="1"/>
  <c r="AP12" i="31" s="1"/>
  <c r="AM40" i="31"/>
  <c r="AN40" i="31" s="1"/>
  <c r="AO40" i="31" s="1"/>
  <c r="AP40" i="31" s="1"/>
  <c r="AM7" i="31"/>
  <c r="AN7" i="31" s="1"/>
  <c r="AO7" i="31" s="1"/>
  <c r="AP7" i="31" s="1"/>
  <c r="AM34" i="31"/>
  <c r="AN34" i="31" s="1"/>
  <c r="AO34" i="31" s="1"/>
  <c r="AP34" i="31" s="1"/>
  <c r="AM54" i="31"/>
  <c r="AN54" i="31" s="1"/>
  <c r="AO54" i="31" s="1"/>
  <c r="AP54" i="31" s="1"/>
  <c r="AM8" i="31"/>
  <c r="AN8" i="31" s="1"/>
  <c r="AO8" i="31" s="1"/>
  <c r="AP8" i="31" s="1"/>
  <c r="AM32" i="31"/>
  <c r="AN32" i="31" s="1"/>
  <c r="AO32" i="31" s="1"/>
  <c r="AP32" i="31" s="1"/>
  <c r="AM53" i="31"/>
  <c r="AN53" i="31" s="1"/>
  <c r="AO53" i="31" s="1"/>
  <c r="AP53" i="31" s="1"/>
  <c r="AM50" i="31"/>
  <c r="AN50" i="31" s="1"/>
  <c r="AO50" i="31" s="1"/>
  <c r="AP50" i="31" s="1"/>
  <c r="AM47" i="31"/>
  <c r="AN47" i="31" s="1"/>
  <c r="AO47" i="31" s="1"/>
  <c r="AP47" i="31" s="1"/>
  <c r="AM25" i="31"/>
  <c r="AN25" i="31" s="1"/>
  <c r="AO25" i="31" s="1"/>
  <c r="AP25" i="31" s="1"/>
  <c r="AM41" i="31"/>
  <c r="AN41" i="31" s="1"/>
  <c r="AO41" i="31" s="1"/>
  <c r="AP41" i="31" s="1"/>
  <c r="AM18" i="31"/>
  <c r="AN18" i="31" s="1"/>
  <c r="AO18" i="31" s="1"/>
  <c r="AP18" i="31" s="1"/>
  <c r="AM26" i="31"/>
  <c r="AN26" i="31" s="1"/>
  <c r="AO26" i="31" s="1"/>
  <c r="AP26" i="31" s="1"/>
  <c r="AM43" i="31"/>
  <c r="AN43" i="31" s="1"/>
  <c r="AO43" i="31" s="1"/>
  <c r="AP43" i="31" s="1"/>
  <c r="AM31" i="31"/>
  <c r="AN31" i="31" s="1"/>
  <c r="AO31" i="31" s="1"/>
  <c r="AP31" i="31" s="1"/>
  <c r="AM14" i="31"/>
  <c r="AN14" i="31" s="1"/>
  <c r="AO14" i="31" s="1"/>
  <c r="AP14" i="31" s="1"/>
  <c r="AM38" i="31"/>
  <c r="AN38" i="31" s="1"/>
  <c r="AO38" i="31" s="1"/>
  <c r="AP38" i="31" s="1"/>
  <c r="AM33" i="31"/>
  <c r="AN33" i="31" s="1"/>
  <c r="AO33" i="31" s="1"/>
  <c r="AP33" i="31" s="1"/>
  <c r="AM10" i="31"/>
  <c r="AN10" i="31" s="1"/>
  <c r="AO10" i="31" s="1"/>
  <c r="AP10" i="31" s="1"/>
  <c r="AM22" i="31"/>
  <c r="AN22" i="31" s="1"/>
  <c r="AO22" i="31" s="1"/>
  <c r="AP22" i="31" s="1"/>
  <c r="AM19" i="31"/>
  <c r="AN19" i="31" s="1"/>
  <c r="AO19" i="31" s="1"/>
  <c r="AP19" i="31" s="1"/>
  <c r="AM45" i="31"/>
  <c r="AN45" i="31" s="1"/>
  <c r="AO45" i="31" s="1"/>
  <c r="AP45" i="31" s="1"/>
  <c r="AM9" i="31"/>
  <c r="AN9" i="31" s="1"/>
  <c r="AO9" i="31" s="1"/>
  <c r="AP9" i="31" s="1"/>
  <c r="AM23" i="31"/>
  <c r="AN23" i="31" s="1"/>
  <c r="AO23" i="31" s="1"/>
  <c r="AP23" i="31" s="1"/>
  <c r="AM60" i="31"/>
  <c r="AN60" i="31" s="1"/>
  <c r="AO60" i="31" s="1"/>
  <c r="AP60" i="31" s="1"/>
  <c r="AM21" i="31"/>
  <c r="AN21" i="31" s="1"/>
  <c r="AO21" i="31" s="1"/>
  <c r="AP21" i="31" s="1"/>
  <c r="AM58" i="31"/>
  <c r="AN58" i="31" s="1"/>
  <c r="AO58" i="31" s="1"/>
  <c r="AP58" i="31" s="1"/>
  <c r="LG41" i="31"/>
  <c r="LF41" i="31"/>
  <c r="AI41" i="31"/>
  <c r="AM63" i="31"/>
  <c r="AN63" i="31" s="1"/>
  <c r="AO63" i="31" s="1"/>
  <c r="AP63" i="31" s="1"/>
  <c r="LG39" i="31"/>
  <c r="LF39" i="31"/>
  <c r="AI39" i="31"/>
  <c r="AM61" i="31"/>
  <c r="AN61" i="31" s="1"/>
  <c r="AO61" i="31" s="1"/>
  <c r="AP61" i="31" s="1"/>
  <c r="AM55" i="31"/>
  <c r="AN55" i="31" s="1"/>
  <c r="AO55" i="31" s="1"/>
  <c r="AP55" i="31" s="1"/>
  <c r="AM20" i="31"/>
  <c r="AN20" i="31" s="1"/>
  <c r="AO20" i="31" s="1"/>
  <c r="AP20" i="31" s="1"/>
  <c r="LF50" i="31"/>
  <c r="LG50" i="31"/>
  <c r="AI50" i="31"/>
  <c r="AI17" i="31"/>
  <c r="LG17" i="31"/>
  <c r="LF17" i="31"/>
  <c r="AI8" i="31"/>
  <c r="LF8" i="31"/>
  <c r="LG8" i="31"/>
  <c r="AM57" i="31"/>
  <c r="AN57" i="31" s="1"/>
  <c r="AO57" i="31" s="1"/>
  <c r="AP57" i="31" s="1"/>
  <c r="AI40" i="31"/>
  <c r="LF40" i="31"/>
  <c r="LG40" i="31"/>
  <c r="AI19" i="31"/>
  <c r="LG19" i="31"/>
  <c r="LF19" i="31"/>
  <c r="AI60" i="31"/>
  <c r="LF60" i="31"/>
  <c r="LG60" i="31"/>
  <c r="LG62" i="31"/>
  <c r="AI62" i="31"/>
  <c r="LF62" i="31"/>
  <c r="AI15" i="31"/>
  <c r="LF15" i="31"/>
  <c r="LG15" i="31"/>
  <c r="LG29" i="31"/>
  <c r="LF29" i="31"/>
  <c r="AI29" i="31"/>
  <c r="AI10" i="31"/>
  <c r="LF10" i="31"/>
  <c r="LG10" i="31"/>
  <c r="LF35" i="31"/>
  <c r="LG35" i="31"/>
  <c r="AI35" i="31"/>
  <c r="AM64" i="31"/>
  <c r="AN64" i="31" s="1"/>
  <c r="AO64" i="31" s="1"/>
  <c r="AP64" i="31" s="1"/>
  <c r="AI30" i="31"/>
  <c r="LF30" i="31"/>
  <c r="LG30" i="31"/>
  <c r="AM48" i="31"/>
  <c r="AN48" i="31" s="1"/>
  <c r="AO48" i="31" s="1"/>
  <c r="AP48" i="31" s="1"/>
  <c r="LG37" i="31"/>
  <c r="LF37" i="31"/>
  <c r="AI37" i="31"/>
  <c r="AI28" i="31"/>
  <c r="LF28" i="31"/>
  <c r="LG28" i="31"/>
  <c r="AM39" i="31"/>
  <c r="AN39" i="31" s="1"/>
  <c r="AO39" i="31" s="1"/>
  <c r="AP39" i="31" s="1"/>
  <c r="LG21" i="31"/>
  <c r="AI21" i="31"/>
  <c r="LF21" i="31"/>
  <c r="AM11" i="31"/>
  <c r="AN11" i="31" s="1"/>
  <c r="AO11" i="31" s="1"/>
  <c r="AP11" i="31" s="1"/>
  <c r="AM16" i="31"/>
  <c r="AN16" i="31" s="1"/>
  <c r="AO16" i="31" s="1"/>
  <c r="AP16" i="31" s="1"/>
  <c r="LG53" i="31"/>
  <c r="LF53" i="31"/>
  <c r="AI53" i="31"/>
  <c r="AM42" i="31"/>
  <c r="AN42" i="31" s="1"/>
  <c r="AO42" i="31" s="1"/>
  <c r="AP42" i="31" s="1"/>
  <c r="AM29" i="31"/>
  <c r="AN29" i="31" s="1"/>
  <c r="AO29" i="31" s="1"/>
  <c r="AP29" i="31" s="1"/>
  <c r="LG51" i="31"/>
  <c r="AI51" i="31"/>
  <c r="LF51" i="31"/>
  <c r="LF54" i="31"/>
  <c r="LG54" i="31"/>
  <c r="AI54" i="31"/>
  <c r="AI18" i="31"/>
  <c r="LF18" i="31"/>
  <c r="LG18" i="31"/>
  <c r="AM59" i="31"/>
  <c r="AN59" i="31" s="1"/>
  <c r="AO59" i="31" s="1"/>
  <c r="AP59" i="31" s="1"/>
  <c r="AI56" i="31"/>
  <c r="LF56" i="31"/>
  <c r="LG56" i="31"/>
  <c r="LF22" i="31"/>
  <c r="LG22" i="31"/>
  <c r="AI22" i="31"/>
  <c r="AM37" i="31"/>
  <c r="AN37" i="31" s="1"/>
  <c r="AO37" i="31" s="1"/>
  <c r="AP37" i="31" s="1"/>
  <c r="AM49" i="31"/>
  <c r="AN49" i="31" s="1"/>
  <c r="AO49" i="31" s="1"/>
  <c r="AP49" i="31" s="1"/>
  <c r="AI13" i="31"/>
  <c r="LF13" i="31"/>
  <c r="LG13" i="31"/>
  <c r="AI36" i="31"/>
  <c r="LG36" i="31"/>
  <c r="LF36" i="31"/>
  <c r="AM28" i="31"/>
  <c r="AN28" i="31" s="1"/>
  <c r="AO28" i="31" s="1"/>
  <c r="AP28" i="31" s="1"/>
  <c r="LG45" i="31"/>
  <c r="AI45" i="31"/>
  <c r="LF45" i="31"/>
  <c r="AM62" i="31"/>
  <c r="AN62" i="31" s="1"/>
  <c r="AO62" i="31" s="1"/>
  <c r="AP62" i="31" s="1"/>
  <c r="LF12" i="31"/>
  <c r="LG12" i="31"/>
  <c r="AI12" i="31"/>
  <c r="LF16" i="31"/>
  <c r="LG16" i="31"/>
  <c r="AI16" i="31"/>
  <c r="LF31" i="31"/>
  <c r="LG31" i="31"/>
  <c r="AI31" i="31"/>
  <c r="AI63" i="31"/>
  <c r="LG63" i="31"/>
  <c r="LF63" i="31"/>
  <c r="LF47" i="31"/>
  <c r="LG47" i="31"/>
  <c r="AI47" i="31"/>
  <c r="AI42" i="31"/>
  <c r="LG42" i="31"/>
  <c r="LF42" i="31"/>
  <c r="LF6" i="31"/>
  <c r="LG6" i="31"/>
  <c r="AI6" i="31"/>
  <c r="LG25" i="31"/>
  <c r="AI25" i="31"/>
  <c r="LF25" i="31"/>
  <c r="AI61" i="31"/>
  <c r="LF61" i="31"/>
  <c r="LG61" i="31"/>
  <c r="AI55" i="31"/>
  <c r="LF55" i="31"/>
  <c r="LG55" i="31"/>
  <c r="LF20" i="31"/>
  <c r="LG20" i="31"/>
  <c r="AI20" i="31"/>
  <c r="AI14" i="31"/>
  <c r="LF14" i="31"/>
  <c r="LG14" i="31"/>
  <c r="LF64" i="31"/>
  <c r="AI64" i="31"/>
  <c r="LG64" i="31"/>
  <c r="AI52" i="31"/>
  <c r="LF52" i="31"/>
  <c r="LG52" i="31"/>
  <c r="AI48" i="31"/>
  <c r="LG48" i="31"/>
  <c r="LF48" i="31"/>
  <c r="AM27" i="31"/>
  <c r="AN27" i="31" s="1"/>
  <c r="AO27" i="31" s="1"/>
  <c r="AP27" i="31" s="1"/>
  <c r="LF57" i="31"/>
  <c r="LG57" i="31"/>
  <c r="AI57" i="31"/>
  <c r="LF24" i="31"/>
  <c r="LG24" i="31"/>
  <c r="AI24" i="31"/>
  <c r="AM44" i="31"/>
  <c r="AN44" i="31" s="1"/>
  <c r="AO44" i="31" s="1"/>
  <c r="AP44" i="31" s="1"/>
  <c r="LF43" i="31"/>
  <c r="AI43" i="31"/>
  <c r="LG43" i="31"/>
  <c r="LF7" i="31"/>
  <c r="LK7" i="31" s="1"/>
  <c r="AI7" i="31"/>
  <c r="LF33" i="31"/>
  <c r="AI33" i="31"/>
  <c r="LG33" i="31"/>
  <c r="AI59" i="31"/>
  <c r="LG59" i="31"/>
  <c r="LF59" i="31"/>
  <c r="AI26" i="31"/>
  <c r="LG26" i="31"/>
  <c r="LF26" i="31"/>
  <c r="AM24" i="31"/>
  <c r="AN24" i="31" s="1"/>
  <c r="AO24" i="31" s="1"/>
  <c r="AP24" i="31" s="1"/>
  <c r="LF38" i="31"/>
  <c r="LG38" i="31"/>
  <c r="AI38" i="31"/>
  <c r="AM35" i="31"/>
  <c r="AN35" i="31" s="1"/>
  <c r="AO35" i="31" s="1"/>
  <c r="AP35" i="31" s="1"/>
  <c r="LG46" i="31"/>
  <c r="LF46" i="31"/>
  <c r="AI46" i="31"/>
  <c r="AI9" i="31"/>
  <c r="AM56" i="31"/>
  <c r="AN56" i="31" s="1"/>
  <c r="AO56" i="31" s="1"/>
  <c r="AP56" i="31" s="1"/>
  <c r="LF27" i="31"/>
  <c r="LG27" i="31"/>
  <c r="AI27" i="31"/>
  <c r="LG32" i="31"/>
  <c r="AI32" i="31"/>
  <c r="LF32" i="31"/>
  <c r="LF34" i="31"/>
  <c r="LG34" i="31"/>
  <c r="AI34" i="31"/>
  <c r="AI11" i="31"/>
  <c r="LF11" i="31"/>
  <c r="LG11" i="31"/>
  <c r="LG58" i="31"/>
  <c r="LF58" i="31"/>
  <c r="AI58" i="31"/>
  <c r="AM15" i="31"/>
  <c r="AN15" i="31" s="1"/>
  <c r="AO15" i="31" s="1"/>
  <c r="AP15" i="31" s="1"/>
  <c r="AM6" i="31"/>
  <c r="AM51" i="31"/>
  <c r="AN51" i="31" s="1"/>
  <c r="AO51" i="31" s="1"/>
  <c r="AP51" i="31" s="1"/>
  <c r="AM46" i="31"/>
  <c r="AN46" i="31" s="1"/>
  <c r="AO46" i="31" s="1"/>
  <c r="AP46" i="31" s="1"/>
  <c r="AM52" i="31"/>
  <c r="AN52" i="31" s="1"/>
  <c r="AO52" i="31" s="1"/>
  <c r="AP52" i="31" s="1"/>
  <c r="AM30" i="31"/>
  <c r="AN30" i="31" s="1"/>
  <c r="AO30" i="31" s="1"/>
  <c r="AP30" i="31" s="1"/>
  <c r="AM17" i="31"/>
  <c r="AN17" i="31" s="1"/>
  <c r="AO17" i="31" s="1"/>
  <c r="AP17" i="31" s="1"/>
  <c r="LF49" i="31"/>
  <c r="LG49" i="31"/>
  <c r="AI49" i="31"/>
  <c r="LG44" i="31"/>
  <c r="LF44" i="31"/>
  <c r="AI44" i="31"/>
  <c r="AM13" i="31"/>
  <c r="AN13" i="31" s="1"/>
  <c r="AO13" i="31" s="1"/>
  <c r="AP13" i="31" s="1"/>
  <c r="LG23" i="31"/>
  <c r="LF23" i="31"/>
  <c r="AI23" i="31"/>
  <c r="AM36" i="31"/>
  <c r="AN36" i="31" s="1"/>
  <c r="AO36" i="31" s="1"/>
  <c r="AP36" i="31" s="1"/>
  <c r="AV7" i="31" l="1"/>
  <c r="MC35" i="31"/>
  <c r="AN6" i="31"/>
  <c r="AO6" i="31" s="1"/>
  <c r="AP6" i="31" s="1"/>
  <c r="OP10" i="31"/>
  <c r="N8" i="31"/>
  <c r="O9" i="31" s="1"/>
  <c r="N9" i="31" s="1"/>
  <c r="CZ8" i="31"/>
  <c r="LW6" i="31"/>
  <c r="LP6" i="31"/>
  <c r="LU6" i="31" s="1"/>
  <c r="MD6" i="31" s="1"/>
  <c r="LP50" i="31"/>
  <c r="LU50" i="31" s="1"/>
  <c r="MD50" i="31" s="1"/>
  <c r="LP8" i="31"/>
  <c r="LU8" i="31" s="1"/>
  <c r="MD8" i="31" s="1"/>
  <c r="LP23" i="31"/>
  <c r="LU23" i="31" s="1"/>
  <c r="MD23" i="31" s="1"/>
  <c r="LP45" i="31"/>
  <c r="LU45" i="31" s="1"/>
  <c r="MD45" i="31" s="1"/>
  <c r="LP15" i="31"/>
  <c r="LU15" i="31" s="1"/>
  <c r="MD15" i="31" s="1"/>
  <c r="LP47" i="31"/>
  <c r="LU47" i="31" s="1"/>
  <c r="MD47" i="31" s="1"/>
  <c r="LP58" i="31"/>
  <c r="LU58" i="31" s="1"/>
  <c r="MD58" i="31" s="1"/>
  <c r="LP18" i="31"/>
  <c r="LU18" i="31" s="1"/>
  <c r="MD18" i="31" s="1"/>
  <c r="LP55" i="31"/>
  <c r="LU55" i="31" s="1"/>
  <c r="MD55" i="31" s="1"/>
  <c r="LP44" i="31"/>
  <c r="LU44" i="31" s="1"/>
  <c r="MD44" i="31" s="1"/>
  <c r="LP35" i="31"/>
  <c r="LU35" i="31" s="1"/>
  <c r="LP28" i="31"/>
  <c r="LU28" i="31" s="1"/>
  <c r="MD28" i="31" s="1"/>
  <c r="LP46" i="31"/>
  <c r="LU46" i="31" s="1"/>
  <c r="MD46" i="31" s="1"/>
  <c r="LP60" i="31"/>
  <c r="LU60" i="31" s="1"/>
  <c r="MD60" i="31" s="1"/>
  <c r="LP39" i="31"/>
  <c r="LU39" i="31" s="1"/>
  <c r="MD39" i="31" s="1"/>
  <c r="LP48" i="31"/>
  <c r="LU48" i="31" s="1"/>
  <c r="MD48" i="31" s="1"/>
  <c r="LP34" i="31"/>
  <c r="LU34" i="31" s="1"/>
  <c r="MD34" i="31" s="1"/>
  <c r="LP42" i="31"/>
  <c r="LU42" i="31" s="1"/>
  <c r="MD42" i="31" s="1"/>
  <c r="LP17" i="31"/>
  <c r="LU17" i="31" s="1"/>
  <c r="MD17" i="31" s="1"/>
  <c r="LP56" i="31"/>
  <c r="LU56" i="31" s="1"/>
  <c r="MD56" i="31" s="1"/>
  <c r="LP38" i="31"/>
  <c r="LU38" i="31" s="1"/>
  <c r="MD38" i="31" s="1"/>
  <c r="LP52" i="31"/>
  <c r="LU52" i="31" s="1"/>
  <c r="MD52" i="31" s="1"/>
  <c r="LP22" i="31"/>
  <c r="LU22" i="31" s="1"/>
  <c r="MD22" i="31" s="1"/>
  <c r="LP31" i="31"/>
  <c r="LU31" i="31" s="1"/>
  <c r="MD31" i="31" s="1"/>
  <c r="LP41" i="31"/>
  <c r="LU41" i="31" s="1"/>
  <c r="MD41" i="31" s="1"/>
  <c r="LP25" i="31"/>
  <c r="LU25" i="31" s="1"/>
  <c r="MD25" i="31" s="1"/>
  <c r="LP12" i="31"/>
  <c r="LU12" i="31" s="1"/>
  <c r="MD12" i="31" s="1"/>
  <c r="LP24" i="31"/>
  <c r="LU24" i="31" s="1"/>
  <c r="MD24" i="31" s="1"/>
  <c r="LP11" i="31"/>
  <c r="LU11" i="31" s="1"/>
  <c r="MD11" i="31" s="1"/>
  <c r="LP62" i="31"/>
  <c r="LU62" i="31" s="1"/>
  <c r="MD62" i="31" s="1"/>
  <c r="LP13" i="31"/>
  <c r="LU13" i="31" s="1"/>
  <c r="MD13" i="31" s="1"/>
  <c r="LP40" i="31"/>
  <c r="LU40" i="31" s="1"/>
  <c r="MD40" i="31" s="1"/>
  <c r="LP10" i="31"/>
  <c r="LU10" i="31" s="1"/>
  <c r="MD10" i="31" s="1"/>
  <c r="LP57" i="31"/>
  <c r="LU57" i="31" s="1"/>
  <c r="MD57" i="31" s="1"/>
  <c r="LP9" i="31"/>
  <c r="LU9" i="31" s="1"/>
  <c r="MD9" i="31" s="1"/>
  <c r="LP20" i="31"/>
  <c r="LU20" i="31" s="1"/>
  <c r="MD20" i="31" s="1"/>
  <c r="LP32" i="31"/>
  <c r="LU32" i="31" s="1"/>
  <c r="MD32" i="31" s="1"/>
  <c r="LP64" i="31"/>
  <c r="LU64" i="31" s="1"/>
  <c r="MD64" i="31" s="1"/>
  <c r="LP19" i="31"/>
  <c r="LU19" i="31" s="1"/>
  <c r="MD19" i="31" s="1"/>
  <c r="LP61" i="31"/>
  <c r="LU61" i="31" s="1"/>
  <c r="MD61" i="31" s="1"/>
  <c r="LP37" i="31"/>
  <c r="LU37" i="31" s="1"/>
  <c r="MD37" i="31" s="1"/>
  <c r="LP53" i="31"/>
  <c r="LU53" i="31" s="1"/>
  <c r="MD53" i="31" s="1"/>
  <c r="LP63" i="31"/>
  <c r="LU63" i="31" s="1"/>
  <c r="MD63" i="31" s="1"/>
  <c r="LP29" i="31"/>
  <c r="LU29" i="31" s="1"/>
  <c r="MD29" i="31" s="1"/>
  <c r="LP36" i="31"/>
  <c r="LU36" i="31" s="1"/>
  <c r="MD36" i="31" s="1"/>
  <c r="LP59" i="31"/>
  <c r="LU59" i="31" s="1"/>
  <c r="MD59" i="31" s="1"/>
  <c r="LP26" i="31"/>
  <c r="LU26" i="31" s="1"/>
  <c r="MD26" i="31" s="1"/>
  <c r="LP14" i="31"/>
  <c r="LU14" i="31" s="1"/>
  <c r="MD14" i="31" s="1"/>
  <c r="LP49" i="31"/>
  <c r="LU49" i="31" s="1"/>
  <c r="MD49" i="31" s="1"/>
  <c r="LP21" i="31"/>
  <c r="LU21" i="31" s="1"/>
  <c r="MD21" i="31" s="1"/>
  <c r="LP33" i="31"/>
  <c r="LU33" i="31" s="1"/>
  <c r="MD33" i="31" s="1"/>
  <c r="LP54" i="31"/>
  <c r="LU54" i="31" s="1"/>
  <c r="MD54" i="31" s="1"/>
  <c r="LP27" i="31"/>
  <c r="LU27" i="31" s="1"/>
  <c r="MD27" i="31" s="1"/>
  <c r="LP7" i="31"/>
  <c r="LU7" i="31" s="1"/>
  <c r="MD7" i="31" s="1"/>
  <c r="LP51" i="31"/>
  <c r="LU51" i="31" s="1"/>
  <c r="MD51" i="31" s="1"/>
  <c r="LP30" i="31"/>
  <c r="LU30" i="31" s="1"/>
  <c r="MD30" i="31" s="1"/>
  <c r="LP16" i="31"/>
  <c r="LU16" i="31" s="1"/>
  <c r="MD16" i="31" s="1"/>
  <c r="LP43" i="31"/>
  <c r="LU43" i="31" s="1"/>
  <c r="MD43" i="31" s="1"/>
  <c r="LV30" i="31"/>
  <c r="LW50" i="31"/>
  <c r="LW58" i="31"/>
  <c r="LV38" i="31"/>
  <c r="LV41" i="31"/>
  <c r="LV32" i="31"/>
  <c r="LV64" i="31"/>
  <c r="LW12" i="31"/>
  <c r="LW19" i="31"/>
  <c r="LV24" i="31"/>
  <c r="LV7" i="31"/>
  <c r="LW51" i="31"/>
  <c r="LW35" i="31"/>
  <c r="LW28" i="31"/>
  <c r="LV48" i="31"/>
  <c r="LV17" i="31"/>
  <c r="LV61" i="31"/>
  <c r="LV37" i="31"/>
  <c r="LV53" i="31"/>
  <c r="LW11" i="31"/>
  <c r="LV63" i="31"/>
  <c r="LV29" i="31"/>
  <c r="LV62" i="31"/>
  <c r="LW36" i="31"/>
  <c r="LV13" i="31"/>
  <c r="LV40" i="31"/>
  <c r="LW59" i="31"/>
  <c r="LW10" i="31"/>
  <c r="LW26" i="31"/>
  <c r="LW43" i="31"/>
  <c r="LV45" i="31"/>
  <c r="LV15" i="31"/>
  <c r="LV46" i="31"/>
  <c r="LW60" i="31"/>
  <c r="LV39" i="31"/>
  <c r="LW42" i="31"/>
  <c r="LV14" i="31"/>
  <c r="LV9" i="31"/>
  <c r="LV16" i="31"/>
  <c r="LV8" i="31"/>
  <c r="LV23" i="31"/>
  <c r="LV47" i="31"/>
  <c r="LW18" i="31"/>
  <c r="LV55" i="31"/>
  <c r="LW44" i="31"/>
  <c r="LW34" i="31"/>
  <c r="LV56" i="31"/>
  <c r="LW52" i="31"/>
  <c r="LV22" i="31"/>
  <c r="LV31" i="31"/>
  <c r="LV25" i="31"/>
  <c r="LV57" i="31"/>
  <c r="LV49" i="31"/>
  <c r="LV21" i="31"/>
  <c r="LV33" i="31"/>
  <c r="LV54" i="31"/>
  <c r="LW27" i="31"/>
  <c r="LW20" i="31"/>
  <c r="LW62" i="31"/>
  <c r="LW8" i="31"/>
  <c r="LV19" i="31"/>
  <c r="LW32" i="31"/>
  <c r="LV26" i="31"/>
  <c r="LW9" i="31"/>
  <c r="LW46" i="31"/>
  <c r="LW56" i="31"/>
  <c r="LV43" i="31"/>
  <c r="LV36" i="31"/>
  <c r="LW15" i="31"/>
  <c r="LW53" i="31"/>
  <c r="LW33" i="31"/>
  <c r="LW48" i="31"/>
  <c r="LV27" i="31"/>
  <c r="LW55" i="31"/>
  <c r="LW40" i="31"/>
  <c r="LV60" i="31"/>
  <c r="LV34" i="31"/>
  <c r="LV58" i="31"/>
  <c r="LW29" i="31"/>
  <c r="LW21" i="31"/>
  <c r="LV51" i="31"/>
  <c r="LW49" i="31"/>
  <c r="LW22" i="31"/>
  <c r="LW47" i="31"/>
  <c r="LV20" i="31"/>
  <c r="LV44" i="31"/>
  <c r="LV42" i="31"/>
  <c r="LW31" i="31"/>
  <c r="LW23" i="31"/>
  <c r="LW7" i="31"/>
  <c r="LW54" i="31"/>
  <c r="LW38" i="31"/>
  <c r="LV28" i="31"/>
  <c r="LW37" i="31"/>
  <c r="LV6" i="31"/>
  <c r="LW45" i="31"/>
  <c r="LW63" i="31"/>
  <c r="LW41" i="31"/>
  <c r="LW25" i="31"/>
  <c r="LV12" i="31"/>
  <c r="LW61" i="31"/>
  <c r="LV35" i="31"/>
  <c r="LW39" i="31"/>
  <c r="LV50" i="31"/>
  <c r="LW57" i="31"/>
  <c r="LW13" i="31"/>
  <c r="LW14" i="31"/>
  <c r="LW24" i="31"/>
  <c r="LW64" i="31"/>
  <c r="LV11" i="31"/>
  <c r="LW16" i="31"/>
  <c r="LV52" i="31"/>
  <c r="LW17" i="31"/>
  <c r="LV59" i="31"/>
  <c r="LV18" i="31"/>
  <c r="LW30" i="31"/>
  <c r="LV10" i="31"/>
  <c r="AE44" i="31"/>
  <c r="AE46" i="31"/>
  <c r="AE31" i="31"/>
  <c r="AE7" i="31"/>
  <c r="AE32" i="31"/>
  <c r="AE19" i="31"/>
  <c r="AE24" i="31"/>
  <c r="AE59" i="31"/>
  <c r="LH24" i="31"/>
  <c r="IG62" i="31"/>
  <c r="IH62" i="31" s="1"/>
  <c r="IK62" i="31" s="1"/>
  <c r="IG60" i="31"/>
  <c r="IH60" i="31" s="1"/>
  <c r="IK60" i="31" s="1"/>
  <c r="IG9" i="31"/>
  <c r="IH9" i="31" s="1"/>
  <c r="IK9" i="31" s="1"/>
  <c r="IG64" i="31"/>
  <c r="IH64" i="31" s="1"/>
  <c r="IK64" i="31" s="1"/>
  <c r="IG33" i="31"/>
  <c r="IH33" i="31" s="1"/>
  <c r="IK33" i="31" s="1"/>
  <c r="IG16" i="31"/>
  <c r="IH16" i="31" s="1"/>
  <c r="IK16" i="31" s="1"/>
  <c r="IG6" i="31"/>
  <c r="IH6" i="31" s="1"/>
  <c r="IG28" i="31"/>
  <c r="IH28" i="31" s="1"/>
  <c r="IK28" i="31" s="1"/>
  <c r="IG23" i="31"/>
  <c r="IH23" i="31" s="1"/>
  <c r="IK23" i="31" s="1"/>
  <c r="IG57" i="31"/>
  <c r="IH57" i="31" s="1"/>
  <c r="IK57" i="31" s="1"/>
  <c r="IG56" i="31"/>
  <c r="IH56" i="31" s="1"/>
  <c r="IK56" i="31" s="1"/>
  <c r="IG52" i="31"/>
  <c r="IH52" i="31" s="1"/>
  <c r="IK52" i="31" s="1"/>
  <c r="IG41" i="31"/>
  <c r="IH41" i="31" s="1"/>
  <c r="IK41" i="31" s="1"/>
  <c r="IG18" i="31"/>
  <c r="IH18" i="31" s="1"/>
  <c r="IK18" i="31" s="1"/>
  <c r="IG51" i="31"/>
  <c r="IH51" i="31" s="1"/>
  <c r="IK51" i="31" s="1"/>
  <c r="IG53" i="31"/>
  <c r="IH53" i="31" s="1"/>
  <c r="IK53" i="31" s="1"/>
  <c r="IG63" i="31"/>
  <c r="IH63" i="31" s="1"/>
  <c r="IK63" i="31" s="1"/>
  <c r="IG40" i="31"/>
  <c r="IH40" i="31" s="1"/>
  <c r="IK40" i="31" s="1"/>
  <c r="IG44" i="31"/>
  <c r="IH44" i="31" s="1"/>
  <c r="IK44" i="31" s="1"/>
  <c r="IG24" i="31"/>
  <c r="IH24" i="31" s="1"/>
  <c r="IK24" i="31" s="1"/>
  <c r="IG8" i="31"/>
  <c r="IH8" i="31" s="1"/>
  <c r="IG46" i="31"/>
  <c r="IH46" i="31" s="1"/>
  <c r="IK46" i="31" s="1"/>
  <c r="IG58" i="31"/>
  <c r="IH58" i="31" s="1"/>
  <c r="IK58" i="31" s="1"/>
  <c r="IG42" i="31"/>
  <c r="IH42" i="31" s="1"/>
  <c r="IK42" i="31" s="1"/>
  <c r="IG55" i="31"/>
  <c r="IH55" i="31" s="1"/>
  <c r="IK55" i="31" s="1"/>
  <c r="IG43" i="31"/>
  <c r="IH43" i="31" s="1"/>
  <c r="IK43" i="31" s="1"/>
  <c r="IG13" i="31"/>
  <c r="IH13" i="31" s="1"/>
  <c r="IK13" i="31" s="1"/>
  <c r="IG34" i="31"/>
  <c r="IH34" i="31" s="1"/>
  <c r="IK34" i="31" s="1"/>
  <c r="IG27" i="31"/>
  <c r="IH27" i="31" s="1"/>
  <c r="IK27" i="31" s="1"/>
  <c r="IG50" i="31"/>
  <c r="IH50" i="31" s="1"/>
  <c r="IK50" i="31" s="1"/>
  <c r="IG61" i="31"/>
  <c r="IH61" i="31" s="1"/>
  <c r="IK61" i="31" s="1"/>
  <c r="IG25" i="31"/>
  <c r="IH25" i="31" s="1"/>
  <c r="IK25" i="31" s="1"/>
  <c r="IG21" i="31"/>
  <c r="IH21" i="31" s="1"/>
  <c r="IK21" i="31" s="1"/>
  <c r="IG39" i="31"/>
  <c r="IH39" i="31" s="1"/>
  <c r="IK39" i="31" s="1"/>
  <c r="IG11" i="31"/>
  <c r="IH11" i="31" s="1"/>
  <c r="IK11" i="31" s="1"/>
  <c r="IG7" i="31"/>
  <c r="IG45" i="31"/>
  <c r="IH45" i="31" s="1"/>
  <c r="IK45" i="31" s="1"/>
  <c r="IG36" i="31"/>
  <c r="IH36" i="31" s="1"/>
  <c r="IK36" i="31" s="1"/>
  <c r="IG22" i="31"/>
  <c r="IH22" i="31" s="1"/>
  <c r="IK22" i="31" s="1"/>
  <c r="IG48" i="31"/>
  <c r="IH48" i="31" s="1"/>
  <c r="IK48" i="31" s="1"/>
  <c r="IG30" i="31"/>
  <c r="IH30" i="31" s="1"/>
  <c r="IK30" i="31" s="1"/>
  <c r="IG26" i="31"/>
  <c r="IH26" i="31" s="1"/>
  <c r="IK26" i="31" s="1"/>
  <c r="IG20" i="31"/>
  <c r="IH20" i="31" s="1"/>
  <c r="IK20" i="31" s="1"/>
  <c r="IG54" i="31"/>
  <c r="IH54" i="31" s="1"/>
  <c r="IK54" i="31" s="1"/>
  <c r="IG10" i="31"/>
  <c r="IH10" i="31" s="1"/>
  <c r="IK10" i="31" s="1"/>
  <c r="IG38" i="31"/>
  <c r="IH38" i="31" s="1"/>
  <c r="IK38" i="31" s="1"/>
  <c r="IG19" i="31"/>
  <c r="IH19" i="31" s="1"/>
  <c r="IK19" i="31" s="1"/>
  <c r="IG12" i="31"/>
  <c r="IH12" i="31" s="1"/>
  <c r="IK12" i="31" s="1"/>
  <c r="IG37" i="31"/>
  <c r="IH37" i="31" s="1"/>
  <c r="IK37" i="31" s="1"/>
  <c r="IG29" i="31"/>
  <c r="IH29" i="31" s="1"/>
  <c r="IK29" i="31" s="1"/>
  <c r="IG47" i="31"/>
  <c r="IH47" i="31" s="1"/>
  <c r="IK47" i="31" s="1"/>
  <c r="IG31" i="31"/>
  <c r="IH31" i="31" s="1"/>
  <c r="IK31" i="31" s="1"/>
  <c r="IG32" i="31"/>
  <c r="IH32" i="31" s="1"/>
  <c r="IK32" i="31" s="1"/>
  <c r="IG49" i="31"/>
  <c r="IH49" i="31" s="1"/>
  <c r="IK49" i="31" s="1"/>
  <c r="IG17" i="31"/>
  <c r="IH17" i="31" s="1"/>
  <c r="IK17" i="31" s="1"/>
  <c r="IG14" i="31"/>
  <c r="IH14" i="31" s="1"/>
  <c r="IK14" i="31" s="1"/>
  <c r="IG35" i="31"/>
  <c r="IH35" i="31" s="1"/>
  <c r="IK35" i="31" s="1"/>
  <c r="IG59" i="31"/>
  <c r="IH59" i="31" s="1"/>
  <c r="IK59" i="31" s="1"/>
  <c r="IG15" i="31"/>
  <c r="IH15" i="31" s="1"/>
  <c r="IK15" i="31" s="1"/>
  <c r="AE15" i="31"/>
  <c r="LH18" i="31"/>
  <c r="LI18" i="31"/>
  <c r="GD18" i="31" s="1"/>
  <c r="GE18" i="31" s="1"/>
  <c r="GF18" i="31" s="1"/>
  <c r="LK18" i="31"/>
  <c r="AE61" i="31"/>
  <c r="LI58" i="31"/>
  <c r="GD58" i="31" s="1"/>
  <c r="GE58" i="31" s="1"/>
  <c r="GF58" i="31" s="1"/>
  <c r="LK58" i="31"/>
  <c r="LH58" i="31"/>
  <c r="AE11" i="31"/>
  <c r="LH43" i="31"/>
  <c r="LI43" i="31"/>
  <c r="GD43" i="31" s="1"/>
  <c r="GE43" i="31" s="1"/>
  <c r="GF43" i="31" s="1"/>
  <c r="LK43" i="31"/>
  <c r="LK20" i="31"/>
  <c r="LI20" i="31"/>
  <c r="GD20" i="31" s="1"/>
  <c r="GE20" i="31" s="1"/>
  <c r="GF20" i="31" s="1"/>
  <c r="LH20" i="31"/>
  <c r="LI60" i="31"/>
  <c r="GD60" i="31" s="1"/>
  <c r="GE60" i="31" s="1"/>
  <c r="GF60" i="31" s="1"/>
  <c r="LK60" i="31"/>
  <c r="LH60" i="31"/>
  <c r="LK17" i="31"/>
  <c r="LI17" i="31"/>
  <c r="GD17" i="31" s="1"/>
  <c r="GE17" i="31" s="1"/>
  <c r="GF17" i="31" s="1"/>
  <c r="LH17" i="31"/>
  <c r="LH50" i="31"/>
  <c r="LK50" i="31"/>
  <c r="LI50" i="31"/>
  <c r="GD50" i="31" s="1"/>
  <c r="GE50" i="31" s="1"/>
  <c r="GF50" i="31" s="1"/>
  <c r="AE33" i="31"/>
  <c r="LH9" i="31"/>
  <c r="LI9" i="31"/>
  <c r="GD9" i="31" s="1"/>
  <c r="GE9" i="31" s="1"/>
  <c r="GF9" i="31" s="1"/>
  <c r="LK9" i="31"/>
  <c r="AE53" i="31"/>
  <c r="LH38" i="31"/>
  <c r="LK38" i="31"/>
  <c r="LI38" i="31"/>
  <c r="GD38" i="31" s="1"/>
  <c r="GE38" i="31" s="1"/>
  <c r="GF38" i="31" s="1"/>
  <c r="LK48" i="31"/>
  <c r="LH48" i="31"/>
  <c r="LI48" i="31"/>
  <c r="GD48" i="31" s="1"/>
  <c r="GE48" i="31" s="1"/>
  <c r="GF48" i="31" s="1"/>
  <c r="LH64" i="31"/>
  <c r="LI64" i="31"/>
  <c r="GD64" i="31" s="1"/>
  <c r="GE64" i="31" s="1"/>
  <c r="GF64" i="31" s="1"/>
  <c r="AE62" i="31"/>
  <c r="AE8" i="31"/>
  <c r="AE37" i="31"/>
  <c r="AE23" i="31"/>
  <c r="AE18" i="31"/>
  <c r="AE42" i="31"/>
  <c r="AE49" i="31"/>
  <c r="AE63" i="31"/>
  <c r="LH7" i="31"/>
  <c r="LJ7" i="31" s="1"/>
  <c r="LE7" i="31" s="1"/>
  <c r="LI7" i="31"/>
  <c r="GD7" i="31" s="1"/>
  <c r="GE7" i="31" s="1"/>
  <c r="GF7" i="31" s="1"/>
  <c r="AE14" i="31"/>
  <c r="LI16" i="31"/>
  <c r="GD16" i="31" s="1"/>
  <c r="GE16" i="31" s="1"/>
  <c r="GF16" i="31" s="1"/>
  <c r="LH16" i="31"/>
  <c r="LK16" i="31"/>
  <c r="LH21" i="31"/>
  <c r="LI21" i="31"/>
  <c r="GD21" i="31" s="1"/>
  <c r="GE21" i="31" s="1"/>
  <c r="GF21" i="31" s="1"/>
  <c r="LK21" i="31"/>
  <c r="AE52" i="31"/>
  <c r="AE39" i="31"/>
  <c r="LK19" i="31"/>
  <c r="LI19" i="31"/>
  <c r="GD19" i="31" s="1"/>
  <c r="GE19" i="31" s="1"/>
  <c r="GF19" i="31" s="1"/>
  <c r="LH19" i="31"/>
  <c r="LH49" i="31"/>
  <c r="LI49" i="31"/>
  <c r="GD49" i="31" s="1"/>
  <c r="GE49" i="31" s="1"/>
  <c r="GF49" i="31" s="1"/>
  <c r="LK49" i="31"/>
  <c r="AE38" i="31"/>
  <c r="LK52" i="31"/>
  <c r="LH52" i="31"/>
  <c r="LI52" i="31"/>
  <c r="GD52" i="31" s="1"/>
  <c r="GE52" i="31" s="1"/>
  <c r="GF52" i="31" s="1"/>
  <c r="AE29" i="31"/>
  <c r="LI25" i="31"/>
  <c r="GD25" i="31" s="1"/>
  <c r="GE25" i="31" s="1"/>
  <c r="GF25" i="31" s="1"/>
  <c r="LH25" i="31"/>
  <c r="LK25" i="31"/>
  <c r="LH6" i="31"/>
  <c r="LI6" i="31"/>
  <c r="GD6" i="31" s="1"/>
  <c r="GE6" i="31" s="1"/>
  <c r="GF6" i="31" s="1"/>
  <c r="LK6" i="31"/>
  <c r="LI22" i="31"/>
  <c r="GD22" i="31" s="1"/>
  <c r="GE22" i="31" s="1"/>
  <c r="GF22" i="31" s="1"/>
  <c r="LK22" i="31"/>
  <c r="LH22" i="31"/>
  <c r="AE40" i="31"/>
  <c r="LH54" i="31"/>
  <c r="LI54" i="31"/>
  <c r="GD54" i="31" s="1"/>
  <c r="GE54" i="31" s="1"/>
  <c r="GF54" i="31" s="1"/>
  <c r="LK54" i="31"/>
  <c r="LI51" i="31"/>
  <c r="GD51" i="31" s="1"/>
  <c r="GE51" i="31" s="1"/>
  <c r="GF51" i="31" s="1"/>
  <c r="LK51" i="31"/>
  <c r="LH51" i="31"/>
  <c r="LK53" i="31"/>
  <c r="LI53" i="31"/>
  <c r="GD53" i="31" s="1"/>
  <c r="GE53" i="31" s="1"/>
  <c r="GF53" i="31" s="1"/>
  <c r="LH53" i="31"/>
  <c r="AE48" i="31"/>
  <c r="LK39" i="31"/>
  <c r="LI39" i="31"/>
  <c r="GD39" i="31" s="1"/>
  <c r="GE39" i="31" s="1"/>
  <c r="GF39" i="31" s="1"/>
  <c r="LH39" i="31"/>
  <c r="LH41" i="31"/>
  <c r="LI41" i="31"/>
  <c r="GD41" i="31" s="1"/>
  <c r="GE41" i="31" s="1"/>
  <c r="GF41" i="31" s="1"/>
  <c r="LK41" i="31"/>
  <c r="AE55" i="31"/>
  <c r="LI32" i="31"/>
  <c r="GD32" i="31" s="1"/>
  <c r="GE32" i="31" s="1"/>
  <c r="GF32" i="31" s="1"/>
  <c r="LK32" i="31"/>
  <c r="LH32" i="31"/>
  <c r="LK59" i="31"/>
  <c r="LH59" i="31"/>
  <c r="LI59" i="31"/>
  <c r="GD59" i="31" s="1"/>
  <c r="GE59" i="31" s="1"/>
  <c r="GF59" i="31" s="1"/>
  <c r="AE27" i="31"/>
  <c r="LI47" i="31"/>
  <c r="GD47" i="31" s="1"/>
  <c r="GE47" i="31" s="1"/>
  <c r="GF47" i="31" s="1"/>
  <c r="LH47" i="31"/>
  <c r="LK47" i="31"/>
  <c r="AE13" i="31"/>
  <c r="AE16" i="31"/>
  <c r="LH10" i="31"/>
  <c r="LK10" i="31"/>
  <c r="LI10" i="31"/>
  <c r="GD10" i="31" s="1"/>
  <c r="GE10" i="31" s="1"/>
  <c r="GF10" i="31" s="1"/>
  <c r="AE45" i="31"/>
  <c r="LI24" i="31"/>
  <c r="GD24" i="31" s="1"/>
  <c r="GE24" i="31" s="1"/>
  <c r="GF24" i="31" s="1"/>
  <c r="LK24" i="31"/>
  <c r="LK55" i="31"/>
  <c r="LH55" i="31"/>
  <c r="LI55" i="31"/>
  <c r="GD55" i="31" s="1"/>
  <c r="GE55" i="31" s="1"/>
  <c r="GF55" i="31" s="1"/>
  <c r="AE28" i="31"/>
  <c r="LH63" i="31"/>
  <c r="LI63" i="31"/>
  <c r="GD63" i="31" s="1"/>
  <c r="GE63" i="31" s="1"/>
  <c r="GF63" i="31" s="1"/>
  <c r="LK63" i="31"/>
  <c r="LH45" i="31"/>
  <c r="LK45" i="31"/>
  <c r="LI45" i="31"/>
  <c r="GD45" i="31" s="1"/>
  <c r="GE45" i="31" s="1"/>
  <c r="GF45" i="31" s="1"/>
  <c r="LK28" i="31"/>
  <c r="LH28" i="31"/>
  <c r="LI28" i="31"/>
  <c r="GD28" i="31" s="1"/>
  <c r="GE28" i="31" s="1"/>
  <c r="GF28" i="31" s="1"/>
  <c r="AE56" i="31"/>
  <c r="AE54" i="31"/>
  <c r="AE17" i="31"/>
  <c r="AE35" i="31"/>
  <c r="AE57" i="31"/>
  <c r="LK27" i="31"/>
  <c r="LH27" i="31"/>
  <c r="LI27" i="31"/>
  <c r="GD27" i="31" s="1"/>
  <c r="GE27" i="31" s="1"/>
  <c r="GF27" i="31" s="1"/>
  <c r="LK26" i="31"/>
  <c r="LI26" i="31"/>
  <c r="GD26" i="31" s="1"/>
  <c r="GE26" i="31" s="1"/>
  <c r="GF26" i="31" s="1"/>
  <c r="LH26" i="31"/>
  <c r="AE51" i="31"/>
  <c r="AE12" i="31"/>
  <c r="LI42" i="31"/>
  <c r="GD42" i="31" s="1"/>
  <c r="GE42" i="31" s="1"/>
  <c r="GF42" i="31" s="1"/>
  <c r="LK42" i="31"/>
  <c r="LH42" i="31"/>
  <c r="AE6" i="31"/>
  <c r="AE47" i="31"/>
  <c r="LH29" i="31"/>
  <c r="LI29" i="31"/>
  <c r="GD29" i="31" s="1"/>
  <c r="GE29" i="31" s="1"/>
  <c r="GF29" i="31" s="1"/>
  <c r="LK29" i="31"/>
  <c r="LI62" i="31"/>
  <c r="GD62" i="31" s="1"/>
  <c r="GE62" i="31" s="1"/>
  <c r="GF62" i="31" s="1"/>
  <c r="LK62" i="31"/>
  <c r="LH62" i="31"/>
  <c r="GJ7" i="31"/>
  <c r="GP7" i="31" s="1"/>
  <c r="DA7" i="31"/>
  <c r="AE34" i="31"/>
  <c r="LH44" i="31"/>
  <c r="LK44" i="31"/>
  <c r="LI44" i="31"/>
  <c r="GD44" i="31" s="1"/>
  <c r="GE44" i="31" s="1"/>
  <c r="GF44" i="31" s="1"/>
  <c r="LK33" i="31"/>
  <c r="LH33" i="31"/>
  <c r="LH11" i="31"/>
  <c r="LK11" i="31"/>
  <c r="LI11" i="31"/>
  <c r="GD11" i="31" s="1"/>
  <c r="GE11" i="31" s="1"/>
  <c r="GF11" i="31" s="1"/>
  <c r="LK14" i="31"/>
  <c r="LH14" i="31"/>
  <c r="LI14" i="31"/>
  <c r="GD14" i="31" s="1"/>
  <c r="GE14" i="31" s="1"/>
  <c r="GF14" i="31" s="1"/>
  <c r="LI23" i="31"/>
  <c r="GD23" i="31" s="1"/>
  <c r="GE23" i="31" s="1"/>
  <c r="GF23" i="31" s="1"/>
  <c r="LH23" i="31"/>
  <c r="LK23" i="31"/>
  <c r="AE21" i="31"/>
  <c r="LI46" i="31"/>
  <c r="GD46" i="31" s="1"/>
  <c r="GE46" i="31" s="1"/>
  <c r="GF46" i="31" s="1"/>
  <c r="LK46" i="31"/>
  <c r="LH46" i="31"/>
  <c r="LI33" i="31"/>
  <c r="GD33" i="31" s="1"/>
  <c r="GE33" i="31" s="1"/>
  <c r="GF33" i="31" s="1"/>
  <c r="LI57" i="31"/>
  <c r="GD57" i="31" s="1"/>
  <c r="GE57" i="31" s="1"/>
  <c r="GF57" i="31" s="1"/>
  <c r="LK57" i="31"/>
  <c r="LH57" i="31"/>
  <c r="LK64" i="31"/>
  <c r="LH12" i="31"/>
  <c r="LI12" i="31"/>
  <c r="GD12" i="31" s="1"/>
  <c r="GE12" i="31" s="1"/>
  <c r="GF12" i="31" s="1"/>
  <c r="LK12" i="31"/>
  <c r="LI13" i="31"/>
  <c r="GD13" i="31" s="1"/>
  <c r="GE13" i="31" s="1"/>
  <c r="GF13" i="31" s="1"/>
  <c r="LH13" i="31"/>
  <c r="LK13" i="31"/>
  <c r="LH56" i="31"/>
  <c r="LK56" i="31"/>
  <c r="LI56" i="31"/>
  <c r="GD56" i="31" s="1"/>
  <c r="GE56" i="31" s="1"/>
  <c r="GF56" i="31" s="1"/>
  <c r="LH30" i="31"/>
  <c r="LI30" i="31"/>
  <c r="GD30" i="31" s="1"/>
  <c r="GE30" i="31" s="1"/>
  <c r="GF30" i="31" s="1"/>
  <c r="LK30" i="31"/>
  <c r="AE20" i="31"/>
  <c r="AE36" i="31"/>
  <c r="AE26" i="31"/>
  <c r="AE50" i="31"/>
  <c r="AE64" i="31"/>
  <c r="LK34" i="31"/>
  <c r="LH34" i="31"/>
  <c r="LI34" i="31"/>
  <c r="GD34" i="31" s="1"/>
  <c r="GE34" i="31" s="1"/>
  <c r="GF34" i="31" s="1"/>
  <c r="LI61" i="31"/>
  <c r="GD61" i="31" s="1"/>
  <c r="GE61" i="31" s="1"/>
  <c r="GF61" i="31" s="1"/>
  <c r="LK61" i="31"/>
  <c r="LH61" i="31"/>
  <c r="AE9" i="31"/>
  <c r="LH31" i="31"/>
  <c r="LI36" i="31"/>
  <c r="GD36" i="31" s="1"/>
  <c r="GE36" i="31" s="1"/>
  <c r="GF36" i="31" s="1"/>
  <c r="LK36" i="31"/>
  <c r="LH36" i="31"/>
  <c r="AE10" i="31"/>
  <c r="LH37" i="31"/>
  <c r="LI37" i="31"/>
  <c r="GD37" i="31" s="1"/>
  <c r="GE37" i="31" s="1"/>
  <c r="GF37" i="31" s="1"/>
  <c r="LK37" i="31"/>
  <c r="LH35" i="31"/>
  <c r="LI35" i="31"/>
  <c r="GD35" i="31" s="1"/>
  <c r="GE35" i="31" s="1"/>
  <c r="GF35" i="31" s="1"/>
  <c r="LK35" i="31"/>
  <c r="LI40" i="31"/>
  <c r="GD40" i="31" s="1"/>
  <c r="GE40" i="31" s="1"/>
  <c r="GF40" i="31" s="1"/>
  <c r="LH40" i="31"/>
  <c r="LK40" i="31"/>
  <c r="LI8" i="31"/>
  <c r="GD8" i="31" s="1"/>
  <c r="GE8" i="31" s="1"/>
  <c r="GF8" i="31" s="1"/>
  <c r="LK8" i="31"/>
  <c r="LH8" i="31"/>
  <c r="AE43" i="31"/>
  <c r="LI31" i="31"/>
  <c r="GD31" i="31" s="1"/>
  <c r="GE31" i="31" s="1"/>
  <c r="GF31" i="31" s="1"/>
  <c r="LK31" i="31"/>
  <c r="AE30" i="31"/>
  <c r="AE60" i="31"/>
  <c r="AE58" i="31"/>
  <c r="AE22" i="31"/>
  <c r="LK15" i="31"/>
  <c r="LH15" i="31"/>
  <c r="LI15" i="31"/>
  <c r="GD15" i="31" s="1"/>
  <c r="GE15" i="31" s="1"/>
  <c r="GF15" i="31" s="1"/>
  <c r="AE41" i="31"/>
  <c r="AE25" i="31"/>
  <c r="ND6" i="31"/>
  <c r="ND70" i="31"/>
  <c r="ND134" i="31"/>
  <c r="ND198" i="31"/>
  <c r="ND262" i="31"/>
  <c r="ND326" i="31"/>
  <c r="ND116" i="31"/>
  <c r="ND141" i="31"/>
  <c r="ND31" i="31"/>
  <c r="NE31" i="31" s="1"/>
  <c r="ND95" i="31"/>
  <c r="ND159" i="31"/>
  <c r="ND223" i="31"/>
  <c r="ND287" i="31"/>
  <c r="ND351" i="31"/>
  <c r="ND284" i="31"/>
  <c r="ND333" i="31"/>
  <c r="ND64" i="31"/>
  <c r="NE64" i="31" s="1"/>
  <c r="ND128" i="31"/>
  <c r="ND192" i="31"/>
  <c r="ND256" i="31"/>
  <c r="ND320" i="31"/>
  <c r="ND68" i="31"/>
  <c r="ND37" i="31"/>
  <c r="NE37" i="31" s="1"/>
  <c r="ND365" i="31"/>
  <c r="ND65" i="31"/>
  <c r="ND129" i="31"/>
  <c r="ND193" i="31"/>
  <c r="ND257" i="31"/>
  <c r="ND321" i="31"/>
  <c r="ND60" i="31"/>
  <c r="NE60" i="31" s="1"/>
  <c r="ND29" i="31"/>
  <c r="NE29" i="31" s="1"/>
  <c r="ND10" i="31"/>
  <c r="NE10" i="31" s="1"/>
  <c r="ND74" i="31"/>
  <c r="ND138" i="31"/>
  <c r="ND202" i="31"/>
  <c r="ND266" i="31"/>
  <c r="ND330" i="31"/>
  <c r="ND196" i="31"/>
  <c r="ND67" i="31"/>
  <c r="ND195" i="31"/>
  <c r="ND323" i="31"/>
  <c r="ND157" i="31"/>
  <c r="ND35" i="31"/>
  <c r="NE35" i="31" s="1"/>
  <c r="ND355" i="31"/>
  <c r="ND174" i="31"/>
  <c r="ND199" i="31"/>
  <c r="ND132" i="31"/>
  <c r="ND232" i="31"/>
  <c r="ND105" i="31"/>
  <c r="ND300" i="31"/>
  <c r="ND306" i="31"/>
  <c r="ND171" i="31"/>
  <c r="ND118" i="31"/>
  <c r="ND79" i="31"/>
  <c r="ND180" i="31"/>
  <c r="ND304" i="31"/>
  <c r="ND177" i="31"/>
  <c r="ND58" i="31"/>
  <c r="NE58" i="31" s="1"/>
  <c r="ND52" i="31"/>
  <c r="NE52" i="31" s="1"/>
  <c r="ND307" i="31"/>
  <c r="ND14" i="31"/>
  <c r="NE14" i="31" s="1"/>
  <c r="ND78" i="31"/>
  <c r="ND142" i="31"/>
  <c r="ND206" i="31"/>
  <c r="ND270" i="31"/>
  <c r="ND334" i="31"/>
  <c r="ND164" i="31"/>
  <c r="ND189" i="31"/>
  <c r="ND39" i="31"/>
  <c r="NE39" i="31" s="1"/>
  <c r="ND103" i="31"/>
  <c r="ND167" i="31"/>
  <c r="ND231" i="31"/>
  <c r="ND295" i="31"/>
  <c r="ND359" i="31"/>
  <c r="ND340" i="31"/>
  <c r="ND8" i="31"/>
  <c r="NE8" i="31" s="1"/>
  <c r="ND72" i="31"/>
  <c r="ND136" i="31"/>
  <c r="ND200" i="31"/>
  <c r="ND264" i="31"/>
  <c r="ND328" i="31"/>
  <c r="ND100" i="31"/>
  <c r="ND69" i="31"/>
  <c r="ND9" i="31"/>
  <c r="NE9" i="31" s="1"/>
  <c r="ND73" i="31"/>
  <c r="ND137" i="31"/>
  <c r="ND201" i="31"/>
  <c r="ND265" i="31"/>
  <c r="ND329" i="31"/>
  <c r="ND108" i="31"/>
  <c r="ND61" i="31"/>
  <c r="NE61" i="31" s="1"/>
  <c r="ND18" i="31"/>
  <c r="NE18" i="31" s="1"/>
  <c r="ND82" i="31"/>
  <c r="ND146" i="31"/>
  <c r="ND210" i="31"/>
  <c r="ND274" i="31"/>
  <c r="ND338" i="31"/>
  <c r="ND260" i="31"/>
  <c r="ND11" i="31"/>
  <c r="NE11" i="31" s="1"/>
  <c r="ND75" i="31"/>
  <c r="ND139" i="31"/>
  <c r="ND203" i="31"/>
  <c r="ND267" i="31"/>
  <c r="ND331" i="31"/>
  <c r="ND188" i="31"/>
  <c r="ND213" i="31"/>
  <c r="ND90" i="31"/>
  <c r="ND218" i="31"/>
  <c r="ND346" i="31"/>
  <c r="ND316" i="31"/>
  <c r="ND83" i="31"/>
  <c r="ND211" i="31"/>
  <c r="ND275" i="31"/>
  <c r="ND236" i="31"/>
  <c r="ND252" i="31"/>
  <c r="ND170" i="31"/>
  <c r="ND117" i="31"/>
  <c r="ND227" i="31"/>
  <c r="ND46" i="31"/>
  <c r="NE46" i="31" s="1"/>
  <c r="ND348" i="31"/>
  <c r="ND263" i="31"/>
  <c r="ND104" i="31"/>
  <c r="ND360" i="31"/>
  <c r="ND233" i="31"/>
  <c r="ND237" i="31"/>
  <c r="ND370" i="31"/>
  <c r="ND45" i="31"/>
  <c r="NE45" i="31" s="1"/>
  <c r="ND310" i="31"/>
  <c r="ND143" i="31"/>
  <c r="ND229" i="31"/>
  <c r="ND368" i="31"/>
  <c r="ND49" i="31"/>
  <c r="NE49" i="31" s="1"/>
  <c r="ND324" i="31"/>
  <c r="ND250" i="31"/>
  <c r="ND179" i="31"/>
  <c r="ND77" i="31"/>
  <c r="ND22" i="31"/>
  <c r="NE22" i="31" s="1"/>
  <c r="ND86" i="31"/>
  <c r="ND150" i="31"/>
  <c r="ND214" i="31"/>
  <c r="ND278" i="31"/>
  <c r="ND342" i="31"/>
  <c r="ND204" i="31"/>
  <c r="ND253" i="31"/>
  <c r="ND47" i="31"/>
  <c r="NE47" i="31" s="1"/>
  <c r="ND111" i="31"/>
  <c r="ND175" i="31"/>
  <c r="ND239" i="31"/>
  <c r="ND303" i="31"/>
  <c r="ND367" i="31"/>
  <c r="ND53" i="31"/>
  <c r="NE53" i="31" s="1"/>
  <c r="ND16" i="31"/>
  <c r="NE16" i="31" s="1"/>
  <c r="ND80" i="31"/>
  <c r="ND144" i="31"/>
  <c r="ND208" i="31"/>
  <c r="ND272" i="31"/>
  <c r="ND336" i="31"/>
  <c r="ND140" i="31"/>
  <c r="ND125" i="31"/>
  <c r="ND17" i="31"/>
  <c r="NE17" i="31" s="1"/>
  <c r="ND81" i="31"/>
  <c r="ND145" i="31"/>
  <c r="ND209" i="31"/>
  <c r="ND273" i="31"/>
  <c r="ND337" i="31"/>
  <c r="ND156" i="31"/>
  <c r="ND101" i="31"/>
  <c r="ND26" i="31"/>
  <c r="NE26" i="31" s="1"/>
  <c r="ND154" i="31"/>
  <c r="ND282" i="31"/>
  <c r="ND19" i="31"/>
  <c r="NE19" i="31" s="1"/>
  <c r="ND147" i="31"/>
  <c r="ND339" i="31"/>
  <c r="ND261" i="31"/>
  <c r="ND42" i="31"/>
  <c r="NE42" i="31" s="1"/>
  <c r="ND99" i="31"/>
  <c r="ND332" i="31"/>
  <c r="ND238" i="31"/>
  <c r="ND135" i="31"/>
  <c r="ND181" i="31"/>
  <c r="ND296" i="31"/>
  <c r="ND169" i="31"/>
  <c r="ND50" i="31"/>
  <c r="NE50" i="31" s="1"/>
  <c r="ND173" i="31"/>
  <c r="ND235" i="31"/>
  <c r="ND182" i="31"/>
  <c r="ND13" i="31"/>
  <c r="NE13" i="31" s="1"/>
  <c r="ND271" i="31"/>
  <c r="ND176" i="31"/>
  <c r="ND269" i="31"/>
  <c r="ND369" i="31"/>
  <c r="ND186" i="31"/>
  <c r="ND115" i="31"/>
  <c r="ND30" i="31"/>
  <c r="NE30" i="31" s="1"/>
  <c r="ND94" i="31"/>
  <c r="ND158" i="31"/>
  <c r="ND222" i="31"/>
  <c r="ND286" i="31"/>
  <c r="ND350" i="31"/>
  <c r="ND244" i="31"/>
  <c r="ND301" i="31"/>
  <c r="ND55" i="31"/>
  <c r="NE55" i="31" s="1"/>
  <c r="ND119" i="31"/>
  <c r="ND183" i="31"/>
  <c r="ND247" i="31"/>
  <c r="ND311" i="31"/>
  <c r="ND36" i="31"/>
  <c r="NE36" i="31" s="1"/>
  <c r="ND93" i="31"/>
  <c r="ND24" i="31"/>
  <c r="NE24" i="31" s="1"/>
  <c r="ND88" i="31"/>
  <c r="ND152" i="31"/>
  <c r="ND216" i="31"/>
  <c r="ND280" i="31"/>
  <c r="ND344" i="31"/>
  <c r="ND172" i="31"/>
  <c r="ND165" i="31"/>
  <c r="ND25" i="31"/>
  <c r="NE25" i="31" s="1"/>
  <c r="ND89" i="31"/>
  <c r="ND153" i="31"/>
  <c r="ND217" i="31"/>
  <c r="ND281" i="31"/>
  <c r="ND345" i="31"/>
  <c r="ND212" i="31"/>
  <c r="ND149" i="31"/>
  <c r="ND34" i="31"/>
  <c r="NE34" i="31" s="1"/>
  <c r="ND98" i="31"/>
  <c r="ND162" i="31"/>
  <c r="ND226" i="31"/>
  <c r="ND290" i="31"/>
  <c r="ND354" i="31"/>
  <c r="ND21" i="31"/>
  <c r="NE21" i="31" s="1"/>
  <c r="ND27" i="31"/>
  <c r="NE27" i="31" s="1"/>
  <c r="ND91" i="31"/>
  <c r="ND155" i="31"/>
  <c r="ND219" i="31"/>
  <c r="ND283" i="31"/>
  <c r="ND347" i="31"/>
  <c r="ND276" i="31"/>
  <c r="ND309" i="31"/>
  <c r="ND289" i="31"/>
  <c r="ND197" i="31"/>
  <c r="ND106" i="31"/>
  <c r="ND298" i="31"/>
  <c r="ND163" i="31"/>
  <c r="ND357" i="31"/>
  <c r="ND302" i="31"/>
  <c r="ND7" i="31"/>
  <c r="NE7" i="31" s="1"/>
  <c r="ND327" i="31"/>
  <c r="ND168" i="31"/>
  <c r="ND41" i="31"/>
  <c r="NE41" i="31" s="1"/>
  <c r="ND361" i="31"/>
  <c r="ND242" i="31"/>
  <c r="ND107" i="31"/>
  <c r="ND54" i="31"/>
  <c r="NE54" i="31" s="1"/>
  <c r="ND15" i="31"/>
  <c r="NE15" i="31" s="1"/>
  <c r="ND335" i="31"/>
  <c r="ND240" i="31"/>
  <c r="ND113" i="31"/>
  <c r="ND277" i="31"/>
  <c r="ND314" i="31"/>
  <c r="ND243" i="31"/>
  <c r="ND38" i="31"/>
  <c r="NE38" i="31" s="1"/>
  <c r="ND102" i="31"/>
  <c r="ND166" i="31"/>
  <c r="ND230" i="31"/>
  <c r="ND294" i="31"/>
  <c r="ND358" i="31"/>
  <c r="ND292" i="31"/>
  <c r="ND341" i="31"/>
  <c r="ND63" i="31"/>
  <c r="NE63" i="31" s="1"/>
  <c r="ND127" i="31"/>
  <c r="ND191" i="31"/>
  <c r="ND255" i="31"/>
  <c r="ND319" i="31"/>
  <c r="ND92" i="31"/>
  <c r="ND133" i="31"/>
  <c r="ND32" i="31"/>
  <c r="NE32" i="31" s="1"/>
  <c r="ND96" i="31"/>
  <c r="ND160" i="31"/>
  <c r="ND224" i="31"/>
  <c r="ND288" i="31"/>
  <c r="ND352" i="31"/>
  <c r="ND220" i="31"/>
  <c r="ND205" i="31"/>
  <c r="ND33" i="31"/>
  <c r="NE33" i="31" s="1"/>
  <c r="ND97" i="31"/>
  <c r="ND161" i="31"/>
  <c r="ND225" i="31"/>
  <c r="ND353" i="31"/>
  <c r="ND234" i="31"/>
  <c r="ND366" i="31"/>
  <c r="ND245" i="31"/>
  <c r="ND178" i="31"/>
  <c r="ND299" i="31"/>
  <c r="ND20" i="31"/>
  <c r="NE20" i="31" s="1"/>
  <c r="ND48" i="31"/>
  <c r="NE48" i="31" s="1"/>
  <c r="ND241" i="31"/>
  <c r="ND221" i="31"/>
  <c r="ND62" i="31"/>
  <c r="NE62" i="31" s="1"/>
  <c r="ND126" i="31"/>
  <c r="ND190" i="31"/>
  <c r="ND254" i="31"/>
  <c r="ND318" i="31"/>
  <c r="ND76" i="31"/>
  <c r="ND85" i="31"/>
  <c r="ND23" i="31"/>
  <c r="NE23" i="31" s="1"/>
  <c r="ND87" i="31"/>
  <c r="ND151" i="31"/>
  <c r="ND215" i="31"/>
  <c r="ND279" i="31"/>
  <c r="ND343" i="31"/>
  <c r="ND228" i="31"/>
  <c r="ND285" i="31"/>
  <c r="ND56" i="31"/>
  <c r="NE56" i="31" s="1"/>
  <c r="ND120" i="31"/>
  <c r="ND184" i="31"/>
  <c r="ND248" i="31"/>
  <c r="ND312" i="31"/>
  <c r="ND44" i="31"/>
  <c r="NE44" i="31" s="1"/>
  <c r="ND356" i="31"/>
  <c r="ND317" i="31"/>
  <c r="ND57" i="31"/>
  <c r="NE57" i="31" s="1"/>
  <c r="ND121" i="31"/>
  <c r="ND185" i="31"/>
  <c r="ND249" i="31"/>
  <c r="ND313" i="31"/>
  <c r="ND28" i="31"/>
  <c r="NE28" i="31" s="1"/>
  <c r="ND364" i="31"/>
  <c r="ND325" i="31"/>
  <c r="ND66" i="31"/>
  <c r="ND130" i="31"/>
  <c r="ND194" i="31"/>
  <c r="ND258" i="31"/>
  <c r="ND322" i="31"/>
  <c r="ND124" i="31"/>
  <c r="ND293" i="31"/>
  <c r="ND59" i="31"/>
  <c r="NE59" i="31" s="1"/>
  <c r="ND123" i="31"/>
  <c r="ND187" i="31"/>
  <c r="ND251" i="31"/>
  <c r="ND315" i="31"/>
  <c r="ND84" i="31"/>
  <c r="ND109" i="31"/>
  <c r="ND349" i="31"/>
  <c r="ND131" i="31"/>
  <c r="ND259" i="31"/>
  <c r="ND148" i="31"/>
  <c r="ND362" i="31"/>
  <c r="ND291" i="31"/>
  <c r="ND110" i="31"/>
  <c r="ND71" i="31"/>
  <c r="ND40" i="31"/>
  <c r="NE40" i="31" s="1"/>
  <c r="ND268" i="31"/>
  <c r="ND297" i="31"/>
  <c r="ND114" i="31"/>
  <c r="ND43" i="31"/>
  <c r="NE43" i="31" s="1"/>
  <c r="ND363" i="31"/>
  <c r="ND246" i="31"/>
  <c r="ND207" i="31"/>
  <c r="ND112" i="31"/>
  <c r="ND308" i="31"/>
  <c r="ND305" i="31"/>
  <c r="ND122" i="31"/>
  <c r="ND51" i="31"/>
  <c r="NE51" i="31" s="1"/>
  <c r="ND12" i="31"/>
  <c r="NE12" i="31" s="1"/>
  <c r="AU8" i="31" l="1"/>
  <c r="AV8" i="31" s="1"/>
  <c r="AW7" i="31"/>
  <c r="MD35" i="31"/>
  <c r="OP11" i="31"/>
  <c r="IK8" i="31"/>
  <c r="O10" i="31"/>
  <c r="CZ9" i="31"/>
  <c r="LJ6" i="31"/>
  <c r="LE6" i="31" s="1"/>
  <c r="NE6" i="31"/>
  <c r="NI6" i="31" s="1"/>
  <c r="IH7" i="31"/>
  <c r="IK7" i="31" s="1"/>
  <c r="LJ24" i="31"/>
  <c r="LJ49" i="31"/>
  <c r="LJ57" i="31"/>
  <c r="LJ13" i="31"/>
  <c r="LJ23" i="31"/>
  <c r="LJ33" i="31"/>
  <c r="LJ29" i="31"/>
  <c r="LJ38" i="31"/>
  <c r="LJ35" i="31"/>
  <c r="LJ53" i="31"/>
  <c r="LJ46" i="31"/>
  <c r="LJ40" i="31"/>
  <c r="LJ61" i="31"/>
  <c r="LJ28" i="31"/>
  <c r="II6" i="31"/>
  <c r="IK6" i="31"/>
  <c r="LJ41" i="31"/>
  <c r="LJ54" i="31"/>
  <c r="LJ17" i="31"/>
  <c r="LJ62" i="31"/>
  <c r="LJ47" i="31"/>
  <c r="LJ21" i="31"/>
  <c r="LJ20" i="31"/>
  <c r="LJ15" i="31"/>
  <c r="LJ30" i="31"/>
  <c r="LJ14" i="31"/>
  <c r="LJ44" i="31"/>
  <c r="LJ51" i="31"/>
  <c r="LJ19" i="31"/>
  <c r="LL7" i="31"/>
  <c r="LO7" i="31" s="1"/>
  <c r="LQ7" i="31" s="1"/>
  <c r="LJ60" i="31"/>
  <c r="LJ58" i="31"/>
  <c r="LJ8" i="31"/>
  <c r="LJ34" i="31"/>
  <c r="LJ45" i="31"/>
  <c r="LJ55" i="31"/>
  <c r="LJ32" i="31"/>
  <c r="LJ39" i="31"/>
  <c r="LJ52" i="31"/>
  <c r="LJ48" i="31"/>
  <c r="LJ9" i="31"/>
  <c r="LJ25" i="31"/>
  <c r="LJ18" i="31"/>
  <c r="LJ37" i="31"/>
  <c r="LJ12" i="31"/>
  <c r="LJ27" i="31"/>
  <c r="LJ10" i="31"/>
  <c r="LJ22" i="31"/>
  <c r="LJ31" i="31"/>
  <c r="LJ63" i="31"/>
  <c r="LJ56" i="31"/>
  <c r="LJ42" i="31"/>
  <c r="LJ16" i="31"/>
  <c r="LJ36" i="31"/>
  <c r="LJ11" i="31"/>
  <c r="LJ26" i="31"/>
  <c r="LJ59" i="31"/>
  <c r="LJ64" i="31"/>
  <c r="LJ50" i="31"/>
  <c r="LJ43" i="31"/>
  <c r="DA8" i="31"/>
  <c r="GJ8" i="31"/>
  <c r="GP8" i="31" s="1"/>
  <c r="F364" i="31"/>
  <c r="LN364" i="31" s="1"/>
  <c r="NE369" i="31"/>
  <c r="NE279" i="31"/>
  <c r="NE264" i="31"/>
  <c r="NE219" i="31"/>
  <c r="NE249" i="31"/>
  <c r="NE179" i="31"/>
  <c r="NE267" i="31"/>
  <c r="NE364" i="31"/>
  <c r="NE271" i="31"/>
  <c r="NE280" i="31"/>
  <c r="NE309" i="31"/>
  <c r="NE355" i="31"/>
  <c r="NE209" i="31"/>
  <c r="NE242" i="31"/>
  <c r="F333" i="31"/>
  <c r="LN333" i="31" s="1"/>
  <c r="F141" i="31"/>
  <c r="LN141" i="31" s="1"/>
  <c r="NE327" i="31"/>
  <c r="NE255" i="31"/>
  <c r="NE258" i="31"/>
  <c r="NE261" i="31"/>
  <c r="NE248" i="31"/>
  <c r="NE268" i="31"/>
  <c r="NE186" i="31"/>
  <c r="GI353" i="31"/>
  <c r="GI88" i="31"/>
  <c r="GI230" i="31"/>
  <c r="GI272" i="31"/>
  <c r="GI128" i="31"/>
  <c r="GI366" i="31"/>
  <c r="GI238" i="31"/>
  <c r="GI67" i="31"/>
  <c r="GI329" i="31"/>
  <c r="GI201" i="31"/>
  <c r="GI312" i="31"/>
  <c r="GI182" i="31"/>
  <c r="GI327" i="31"/>
  <c r="GI263" i="31"/>
  <c r="GI199" i="31"/>
  <c r="GI135" i="31"/>
  <c r="GI157" i="31"/>
  <c r="GI87" i="31"/>
  <c r="GI308" i="31"/>
  <c r="GI244" i="31"/>
  <c r="GI180" i="31"/>
  <c r="GI116" i="31"/>
  <c r="GI307" i="31"/>
  <c r="GI243" i="31"/>
  <c r="GI179" i="31"/>
  <c r="GI115" i="31"/>
  <c r="GI338" i="31"/>
  <c r="GI274" i="31"/>
  <c r="GI210" i="31"/>
  <c r="GI146" i="31"/>
  <c r="GI68" i="31"/>
  <c r="GI94" i="31"/>
  <c r="GI77" i="31"/>
  <c r="GI365" i="31"/>
  <c r="GI213" i="31"/>
  <c r="GI174" i="31"/>
  <c r="GI278" i="31"/>
  <c r="GI177" i="31"/>
  <c r="NE360" i="31"/>
  <c r="NE319" i="31"/>
  <c r="NE315" i="31"/>
  <c r="NE269" i="31"/>
  <c r="NE275" i="31"/>
  <c r="NE239" i="31"/>
  <c r="NE194" i="31"/>
  <c r="GI80" i="31"/>
  <c r="GI153" i="31"/>
  <c r="GI262" i="31"/>
  <c r="GI256" i="31"/>
  <c r="GI105" i="31"/>
  <c r="GI350" i="31"/>
  <c r="GI222" i="31"/>
  <c r="GI313" i="31"/>
  <c r="GI184" i="31"/>
  <c r="GI296" i="31"/>
  <c r="GI160" i="31"/>
  <c r="GI319" i="31"/>
  <c r="GI255" i="31"/>
  <c r="GI191" i="31"/>
  <c r="GI127" i="31"/>
  <c r="GI149" i="31"/>
  <c r="GI73" i="31"/>
  <c r="GI364" i="31"/>
  <c r="GI300" i="31"/>
  <c r="GI236" i="31"/>
  <c r="GI172" i="31"/>
  <c r="GI108" i="31"/>
  <c r="GI363" i="31"/>
  <c r="GI299" i="31"/>
  <c r="GI235" i="31"/>
  <c r="GI171" i="31"/>
  <c r="GI107" i="31"/>
  <c r="GI330" i="31"/>
  <c r="GI266" i="31"/>
  <c r="GI202" i="31"/>
  <c r="GI138" i="31"/>
  <c r="GI86" i="31"/>
  <c r="GI69" i="31"/>
  <c r="GI112" i="31"/>
  <c r="GI245" i="31"/>
  <c r="GI134" i="31"/>
  <c r="GI253" i="31"/>
  <c r="GI369" i="31"/>
  <c r="NE339" i="31"/>
  <c r="NE341" i="31"/>
  <c r="NE336" i="31"/>
  <c r="NE316" i="31"/>
  <c r="NE307" i="31"/>
  <c r="NE274" i="31"/>
  <c r="NE277" i="31"/>
  <c r="NE283" i="31"/>
  <c r="NE210" i="31"/>
  <c r="NE230" i="31"/>
  <c r="GI152" i="31"/>
  <c r="GI197" i="31"/>
  <c r="GI294" i="31"/>
  <c r="GI368" i="31"/>
  <c r="GI240" i="31"/>
  <c r="GI75" i="31"/>
  <c r="GI334" i="31"/>
  <c r="GI206" i="31"/>
  <c r="GI297" i="31"/>
  <c r="GI161" i="31"/>
  <c r="GI280" i="31"/>
  <c r="GI137" i="31"/>
  <c r="GI311" i="31"/>
  <c r="GI247" i="31"/>
  <c r="GI183" i="31"/>
  <c r="GI119" i="31"/>
  <c r="GI141" i="31"/>
  <c r="GI356" i="31"/>
  <c r="GI292" i="31"/>
  <c r="GI228" i="31"/>
  <c r="GI164" i="31"/>
  <c r="GI97" i="31"/>
  <c r="GI355" i="31"/>
  <c r="GI291" i="31"/>
  <c r="GI227" i="31"/>
  <c r="GI163" i="31"/>
  <c r="GI96" i="31"/>
  <c r="GI322" i="31"/>
  <c r="GI258" i="31"/>
  <c r="GI194" i="31"/>
  <c r="GI130" i="31"/>
  <c r="GI78" i="31"/>
  <c r="GI166" i="31"/>
  <c r="GI277" i="31"/>
  <c r="GI241" i="31"/>
  <c r="GI342" i="31"/>
  <c r="GI214" i="31"/>
  <c r="GI273" i="31"/>
  <c r="GI337" i="31"/>
  <c r="NE362" i="31"/>
  <c r="NE333" i="31"/>
  <c r="NE330" i="31"/>
  <c r="NE306" i="31"/>
  <c r="NE270" i="31"/>
  <c r="NE287" i="31"/>
  <c r="NE293" i="31"/>
  <c r="NE291" i="31"/>
  <c r="NE252" i="31"/>
  <c r="NE247" i="31"/>
  <c r="GI193" i="31"/>
  <c r="GI229" i="31"/>
  <c r="GI326" i="31"/>
  <c r="GI352" i="31"/>
  <c r="GI224" i="31"/>
  <c r="GI318" i="31"/>
  <c r="GI190" i="31"/>
  <c r="GI281" i="31"/>
  <c r="GI142" i="31"/>
  <c r="GI264" i="31"/>
  <c r="GI118" i="31"/>
  <c r="GI367" i="31"/>
  <c r="GI303" i="31"/>
  <c r="GI239" i="31"/>
  <c r="GI175" i="31"/>
  <c r="GI111" i="31"/>
  <c r="GI133" i="31"/>
  <c r="GI348" i="31"/>
  <c r="GI284" i="31"/>
  <c r="GI220" i="31"/>
  <c r="GI156" i="31"/>
  <c r="GI84" i="31"/>
  <c r="GI347" i="31"/>
  <c r="GI283" i="31"/>
  <c r="GI219" i="31"/>
  <c r="GI155" i="31"/>
  <c r="GI83" i="31"/>
  <c r="GI314" i="31"/>
  <c r="GI250" i="31"/>
  <c r="GI186" i="31"/>
  <c r="GI122" i="31"/>
  <c r="GI98" i="31"/>
  <c r="GI70" i="31"/>
  <c r="GI205" i="31"/>
  <c r="GI309" i="31"/>
  <c r="GI317" i="31"/>
  <c r="NE358" i="31"/>
  <c r="NE349" i="31"/>
  <c r="NE322" i="31"/>
  <c r="NE295" i="31"/>
  <c r="NE278" i="31"/>
  <c r="NE297" i="31"/>
  <c r="NE290" i="31"/>
  <c r="NE294" i="31"/>
  <c r="NE208" i="31"/>
  <c r="NE238" i="31"/>
  <c r="NE187" i="31"/>
  <c r="NE80" i="31"/>
  <c r="GI225" i="31"/>
  <c r="GI261" i="31"/>
  <c r="GI358" i="31"/>
  <c r="GI336" i="31"/>
  <c r="GI208" i="31"/>
  <c r="GI302" i="31"/>
  <c r="GI168" i="31"/>
  <c r="GI144" i="31"/>
  <c r="GI265" i="31"/>
  <c r="GI120" i="31"/>
  <c r="GI248" i="31"/>
  <c r="GI91" i="31"/>
  <c r="GI359" i="31"/>
  <c r="GI295" i="31"/>
  <c r="GI231" i="31"/>
  <c r="GI167" i="31"/>
  <c r="GI103" i="31"/>
  <c r="GI189" i="31"/>
  <c r="GI125" i="31"/>
  <c r="GI340" i="31"/>
  <c r="GI276" i="31"/>
  <c r="GI212" i="31"/>
  <c r="GI148" i="31"/>
  <c r="GI339" i="31"/>
  <c r="GI275" i="31"/>
  <c r="GI211" i="31"/>
  <c r="GI147" i="31"/>
  <c r="GI71" i="31"/>
  <c r="GI370" i="31"/>
  <c r="GI306" i="31"/>
  <c r="GI242" i="31"/>
  <c r="GI178" i="31"/>
  <c r="GI114" i="31"/>
  <c r="GI90" i="31"/>
  <c r="GI237" i="31"/>
  <c r="GI341" i="31"/>
  <c r="GI113" i="31"/>
  <c r="GI305" i="31"/>
  <c r="NE350" i="31"/>
  <c r="NE317" i="31"/>
  <c r="NE314" i="31"/>
  <c r="NE361" i="31"/>
  <c r="NE286" i="31"/>
  <c r="NE298" i="31"/>
  <c r="NE273" i="31"/>
  <c r="NE200" i="31"/>
  <c r="NE233" i="31"/>
  <c r="NE154" i="31"/>
  <c r="NE199" i="31"/>
  <c r="GI257" i="31"/>
  <c r="GI293" i="31"/>
  <c r="GI110" i="31"/>
  <c r="GI320" i="31"/>
  <c r="GI192" i="31"/>
  <c r="GI286" i="31"/>
  <c r="GI145" i="31"/>
  <c r="GI121" i="31"/>
  <c r="GI249" i="31"/>
  <c r="GI92" i="31"/>
  <c r="GI360" i="31"/>
  <c r="GI232" i="31"/>
  <c r="GI351" i="31"/>
  <c r="GI287" i="31"/>
  <c r="GI223" i="31"/>
  <c r="GI159" i="31"/>
  <c r="GI89" i="31"/>
  <c r="GI181" i="31"/>
  <c r="GI117" i="31"/>
  <c r="GI332" i="31"/>
  <c r="GI268" i="31"/>
  <c r="GI204" i="31"/>
  <c r="GI140" i="31"/>
  <c r="GI331" i="31"/>
  <c r="GI267" i="31"/>
  <c r="GI203" i="31"/>
  <c r="GI139" i="31"/>
  <c r="GI362" i="31"/>
  <c r="GI298" i="31"/>
  <c r="GI234" i="31"/>
  <c r="GI170" i="31"/>
  <c r="GI106" i="31"/>
  <c r="GI82" i="31"/>
  <c r="GI101" i="31"/>
  <c r="GI269" i="31"/>
  <c r="GI221" i="31"/>
  <c r="NE342" i="31"/>
  <c r="NE354" i="31"/>
  <c r="NE343" i="31"/>
  <c r="NE351" i="31"/>
  <c r="NE329" i="31"/>
  <c r="NE299" i="31"/>
  <c r="NE334" i="31"/>
  <c r="NE250" i="31"/>
  <c r="NE225" i="31"/>
  <c r="GI289" i="31"/>
  <c r="GI325" i="31"/>
  <c r="GI158" i="31"/>
  <c r="GI304" i="31"/>
  <c r="GI169" i="31"/>
  <c r="GI270" i="31"/>
  <c r="GI126" i="31"/>
  <c r="GI100" i="31"/>
  <c r="GI361" i="31"/>
  <c r="GI233" i="31"/>
  <c r="GI344" i="31"/>
  <c r="GI216" i="31"/>
  <c r="GI343" i="31"/>
  <c r="GI279" i="31"/>
  <c r="GI215" i="31"/>
  <c r="GI151" i="31"/>
  <c r="GI76" i="31"/>
  <c r="GI173" i="31"/>
  <c r="GI109" i="31"/>
  <c r="GI324" i="31"/>
  <c r="GI260" i="31"/>
  <c r="GI196" i="31"/>
  <c r="GI132" i="31"/>
  <c r="GI323" i="31"/>
  <c r="GI259" i="31"/>
  <c r="GI195" i="31"/>
  <c r="GI131" i="31"/>
  <c r="GI354" i="31"/>
  <c r="GI290" i="31"/>
  <c r="GI226" i="31"/>
  <c r="GI162" i="31"/>
  <c r="GI95" i="31"/>
  <c r="GI74" i="31"/>
  <c r="GI93" i="31"/>
  <c r="GI301" i="31"/>
  <c r="GI129" i="31"/>
  <c r="GI209" i="31"/>
  <c r="GI310" i="31"/>
  <c r="GI246" i="31"/>
  <c r="GI79" i="31"/>
  <c r="NE365" i="31"/>
  <c r="NE328" i="31"/>
  <c r="NE356" i="31"/>
  <c r="NE337" i="31"/>
  <c r="NE346" i="31"/>
  <c r="NE318" i="31"/>
  <c r="NE259" i="31"/>
  <c r="NE272" i="31"/>
  <c r="NE246" i="31"/>
  <c r="NE174" i="31"/>
  <c r="GI321" i="31"/>
  <c r="GI357" i="31"/>
  <c r="GI198" i="31"/>
  <c r="GI288" i="31"/>
  <c r="GI150" i="31"/>
  <c r="GI254" i="31"/>
  <c r="GI104" i="31"/>
  <c r="GI65" i="31"/>
  <c r="GI345" i="31"/>
  <c r="GI217" i="31"/>
  <c r="GI328" i="31"/>
  <c r="GI200" i="31"/>
  <c r="GI335" i="31"/>
  <c r="GI271" i="31"/>
  <c r="GI207" i="31"/>
  <c r="GI143" i="31"/>
  <c r="GI165" i="31"/>
  <c r="GI99" i="31"/>
  <c r="GI316" i="31"/>
  <c r="GI252" i="31"/>
  <c r="GI188" i="31"/>
  <c r="GI124" i="31"/>
  <c r="GI315" i="31"/>
  <c r="GI251" i="31"/>
  <c r="GI187" i="31"/>
  <c r="GI123" i="31"/>
  <c r="GI346" i="31"/>
  <c r="GI282" i="31"/>
  <c r="GI218" i="31"/>
  <c r="GI154" i="31"/>
  <c r="GI81" i="31"/>
  <c r="GI66" i="31"/>
  <c r="GI102" i="31"/>
  <c r="GI85" i="31"/>
  <c r="GI333" i="31"/>
  <c r="GI176" i="31"/>
  <c r="GI185" i="31"/>
  <c r="GI285" i="31"/>
  <c r="GI349" i="31"/>
  <c r="GI136" i="31"/>
  <c r="OE181" i="31"/>
  <c r="OE213" i="31"/>
  <c r="OE93" i="31"/>
  <c r="OE306" i="31"/>
  <c r="OE237" i="31"/>
  <c r="OE284" i="31"/>
  <c r="OE369" i="31"/>
  <c r="OE177" i="31"/>
  <c r="OE288" i="31"/>
  <c r="OE143" i="31"/>
  <c r="OE229" i="31"/>
  <c r="OE309" i="31"/>
  <c r="OE293" i="31"/>
  <c r="OE186" i="31"/>
  <c r="OE226" i="31"/>
  <c r="OE125" i="31"/>
  <c r="OE338" i="31"/>
  <c r="OE82" i="31"/>
  <c r="OE269" i="31"/>
  <c r="OE202" i="31"/>
  <c r="OE356" i="31"/>
  <c r="OE292" i="31"/>
  <c r="OE228" i="31"/>
  <c r="OE164" i="31"/>
  <c r="OE100" i="31"/>
  <c r="OE331" i="31"/>
  <c r="OE267" i="31"/>
  <c r="OE203" i="31"/>
  <c r="OE139" i="31"/>
  <c r="OE75" i="31"/>
  <c r="OE313" i="31"/>
  <c r="OE249" i="31"/>
  <c r="OE185" i="31"/>
  <c r="OE121" i="31"/>
  <c r="OE360" i="31"/>
  <c r="OE296" i="31"/>
  <c r="OE232" i="31"/>
  <c r="OE168" i="31"/>
  <c r="OE104" i="31"/>
  <c r="OE343" i="31"/>
  <c r="OE279" i="31"/>
  <c r="OE215" i="31"/>
  <c r="OE151" i="31"/>
  <c r="OE87" i="31"/>
  <c r="OE326" i="31"/>
  <c r="OE262" i="31"/>
  <c r="OE198" i="31"/>
  <c r="OE134" i="31"/>
  <c r="OE70" i="31"/>
  <c r="OE314" i="31"/>
  <c r="OE133" i="31"/>
  <c r="OE122" i="31"/>
  <c r="OE282" i="31"/>
  <c r="OE162" i="31"/>
  <c r="OE317" i="31"/>
  <c r="OE274" i="31"/>
  <c r="OE205" i="31"/>
  <c r="OE138" i="31"/>
  <c r="OE340" i="31"/>
  <c r="OE276" i="31"/>
  <c r="OE212" i="31"/>
  <c r="OE148" i="31"/>
  <c r="OE84" i="31"/>
  <c r="OE315" i="31"/>
  <c r="OE251" i="31"/>
  <c r="OE187" i="31"/>
  <c r="OE123" i="31"/>
  <c r="OE361" i="31"/>
  <c r="OE297" i="31"/>
  <c r="OE233" i="31"/>
  <c r="OE169" i="31"/>
  <c r="OE105" i="31"/>
  <c r="OE344" i="31"/>
  <c r="OE280" i="31"/>
  <c r="OE216" i="31"/>
  <c r="OE152" i="31"/>
  <c r="OE88" i="31"/>
  <c r="OE327" i="31"/>
  <c r="OE263" i="31"/>
  <c r="OE199" i="31"/>
  <c r="OE135" i="31"/>
  <c r="OE71" i="31"/>
  <c r="OE310" i="31"/>
  <c r="OE246" i="31"/>
  <c r="OE182" i="31"/>
  <c r="OE118" i="31"/>
  <c r="OE261" i="31"/>
  <c r="OE218" i="31"/>
  <c r="OE170" i="31"/>
  <c r="OE156" i="31"/>
  <c r="OE195" i="31"/>
  <c r="OE305" i="31"/>
  <c r="OE160" i="31"/>
  <c r="OE271" i="31"/>
  <c r="OE318" i="31"/>
  <c r="OE85" i="31"/>
  <c r="OE197" i="31"/>
  <c r="OE130" i="31"/>
  <c r="OE285" i="31"/>
  <c r="OE242" i="31"/>
  <c r="OE173" i="31"/>
  <c r="OE362" i="31"/>
  <c r="OE106" i="31"/>
  <c r="OE332" i="31"/>
  <c r="OE268" i="31"/>
  <c r="OE204" i="31"/>
  <c r="OE140" i="31"/>
  <c r="OE76" i="31"/>
  <c r="OE307" i="31"/>
  <c r="OE243" i="31"/>
  <c r="OE179" i="31"/>
  <c r="OE115" i="31"/>
  <c r="OE353" i="31"/>
  <c r="OE289" i="31"/>
  <c r="OE225" i="31"/>
  <c r="OE161" i="31"/>
  <c r="OE97" i="31"/>
  <c r="OE336" i="31"/>
  <c r="OE272" i="31"/>
  <c r="OE208" i="31"/>
  <c r="OE144" i="31"/>
  <c r="OE80" i="31"/>
  <c r="OE319" i="31"/>
  <c r="OE255" i="31"/>
  <c r="OE191" i="31"/>
  <c r="OE127" i="31"/>
  <c r="OE366" i="31"/>
  <c r="OE302" i="31"/>
  <c r="OE238" i="31"/>
  <c r="OE174" i="31"/>
  <c r="OE110" i="31"/>
  <c r="OE325" i="31"/>
  <c r="OE117" i="31"/>
  <c r="OE354" i="31"/>
  <c r="OE98" i="31"/>
  <c r="OE253" i="31"/>
  <c r="OE210" i="31"/>
  <c r="OE141" i="31"/>
  <c r="OE330" i="31"/>
  <c r="OE74" i="31"/>
  <c r="OE324" i="31"/>
  <c r="OE260" i="31"/>
  <c r="OE196" i="31"/>
  <c r="OE132" i="31"/>
  <c r="OE68" i="31"/>
  <c r="OE363" i="31"/>
  <c r="OE299" i="31"/>
  <c r="OE235" i="31"/>
  <c r="OE171" i="31"/>
  <c r="OE107" i="31"/>
  <c r="OE345" i="31"/>
  <c r="OE281" i="31"/>
  <c r="OE217" i="31"/>
  <c r="OE153" i="31"/>
  <c r="OE89" i="31"/>
  <c r="OE328" i="31"/>
  <c r="OE264" i="31"/>
  <c r="OE200" i="31"/>
  <c r="OE136" i="31"/>
  <c r="OE72" i="31"/>
  <c r="OE311" i="31"/>
  <c r="OE247" i="31"/>
  <c r="OE183" i="31"/>
  <c r="OE119" i="31"/>
  <c r="OE358" i="31"/>
  <c r="OE294" i="31"/>
  <c r="OE230" i="31"/>
  <c r="OE166" i="31"/>
  <c r="OE102" i="31"/>
  <c r="OE250" i="31"/>
  <c r="OE341" i="31"/>
  <c r="OE245" i="31"/>
  <c r="OE322" i="31"/>
  <c r="OE66" i="31"/>
  <c r="OE221" i="31"/>
  <c r="OE178" i="31"/>
  <c r="OE365" i="31"/>
  <c r="OE109" i="31"/>
  <c r="OE298" i="31"/>
  <c r="OE316" i="31"/>
  <c r="OE252" i="31"/>
  <c r="OE188" i="31"/>
  <c r="OE124" i="31"/>
  <c r="OE355" i="31"/>
  <c r="OE291" i="31"/>
  <c r="OE227" i="31"/>
  <c r="OE163" i="31"/>
  <c r="OE99" i="31"/>
  <c r="OE337" i="31"/>
  <c r="OE273" i="31"/>
  <c r="OE209" i="31"/>
  <c r="OE145" i="31"/>
  <c r="OE81" i="31"/>
  <c r="OE320" i="31"/>
  <c r="OE256" i="31"/>
  <c r="OE192" i="31"/>
  <c r="OE128" i="31"/>
  <c r="OE367" i="31"/>
  <c r="OE303" i="31"/>
  <c r="OE239" i="31"/>
  <c r="OE175" i="31"/>
  <c r="OE111" i="31"/>
  <c r="OE350" i="31"/>
  <c r="OE286" i="31"/>
  <c r="OE222" i="31"/>
  <c r="OE158" i="31"/>
  <c r="OE94" i="31"/>
  <c r="OE101" i="31"/>
  <c r="OE194" i="31"/>
  <c r="OE349" i="31"/>
  <c r="OE348" i="31"/>
  <c r="OE92" i="31"/>
  <c r="OE323" i="31"/>
  <c r="OE131" i="31"/>
  <c r="OE241" i="31"/>
  <c r="OE352" i="31"/>
  <c r="OE96" i="31"/>
  <c r="OE207" i="31"/>
  <c r="OE190" i="31"/>
  <c r="OE346" i="31"/>
  <c r="OE90" i="31"/>
  <c r="OE154" i="31"/>
  <c r="OE357" i="31"/>
  <c r="OE290" i="31"/>
  <c r="OE189" i="31"/>
  <c r="OE146" i="31"/>
  <c r="OE333" i="31"/>
  <c r="OE77" i="31"/>
  <c r="OE266" i="31"/>
  <c r="OE308" i="31"/>
  <c r="OE244" i="31"/>
  <c r="OE180" i="31"/>
  <c r="OE116" i="31"/>
  <c r="OE347" i="31"/>
  <c r="OE283" i="31"/>
  <c r="OE219" i="31"/>
  <c r="OE155" i="31"/>
  <c r="OE91" i="31"/>
  <c r="OE329" i="31"/>
  <c r="OE265" i="31"/>
  <c r="OE201" i="31"/>
  <c r="OE137" i="31"/>
  <c r="OE73" i="31"/>
  <c r="OE312" i="31"/>
  <c r="OE248" i="31"/>
  <c r="OE184" i="31"/>
  <c r="OE120" i="31"/>
  <c r="OE359" i="31"/>
  <c r="OE295" i="31"/>
  <c r="OE231" i="31"/>
  <c r="OE167" i="31"/>
  <c r="OE103" i="31"/>
  <c r="OE342" i="31"/>
  <c r="OE278" i="31"/>
  <c r="OE214" i="31"/>
  <c r="OE150" i="31"/>
  <c r="OE86" i="31"/>
  <c r="OE220" i="31"/>
  <c r="OE259" i="31"/>
  <c r="OE67" i="31"/>
  <c r="OE113" i="31"/>
  <c r="OE224" i="31"/>
  <c r="OE335" i="31"/>
  <c r="OE79" i="31"/>
  <c r="OE254" i="31"/>
  <c r="OE126" i="31"/>
  <c r="OE165" i="31"/>
  <c r="OE149" i="31"/>
  <c r="OE69" i="31"/>
  <c r="OE277" i="31"/>
  <c r="OE258" i="31"/>
  <c r="OE157" i="31"/>
  <c r="OE370" i="31"/>
  <c r="OE114" i="31"/>
  <c r="OE301" i="31"/>
  <c r="OE234" i="31"/>
  <c r="OE364" i="31"/>
  <c r="OE300" i="31"/>
  <c r="OE236" i="31"/>
  <c r="OE172" i="31"/>
  <c r="OE108" i="31"/>
  <c r="OE339" i="31"/>
  <c r="OE275" i="31"/>
  <c r="OE211" i="31"/>
  <c r="OE147" i="31"/>
  <c r="OE83" i="31"/>
  <c r="OE321" i="31"/>
  <c r="OE257" i="31"/>
  <c r="OE193" i="31"/>
  <c r="OE129" i="31"/>
  <c r="OE65" i="31"/>
  <c r="OE368" i="31"/>
  <c r="OE304" i="31"/>
  <c r="OE240" i="31"/>
  <c r="OE176" i="31"/>
  <c r="OE112" i="31"/>
  <c r="OE351" i="31"/>
  <c r="OE287" i="31"/>
  <c r="OE223" i="31"/>
  <c r="OE159" i="31"/>
  <c r="OE95" i="31"/>
  <c r="OE334" i="31"/>
  <c r="OE270" i="31"/>
  <c r="OE206" i="31"/>
  <c r="OE142" i="31"/>
  <c r="OE78" i="31"/>
  <c r="F349" i="31"/>
  <c r="LN349" i="31" s="1"/>
  <c r="F81" i="31"/>
  <c r="LN81" i="31" s="1"/>
  <c r="F209" i="31"/>
  <c r="LN209" i="31" s="1"/>
  <c r="F269" i="31"/>
  <c r="LN269" i="31" s="1"/>
  <c r="F70" i="31"/>
  <c r="LN70" i="31" s="1"/>
  <c r="F309" i="31"/>
  <c r="LN309" i="31" s="1"/>
  <c r="F317" i="31"/>
  <c r="LN317" i="31" s="1"/>
  <c r="F328" i="31"/>
  <c r="LN328" i="31" s="1"/>
  <c r="F129" i="31"/>
  <c r="LN129" i="31" s="1"/>
  <c r="F249" i="31"/>
  <c r="LN249" i="31" s="1"/>
  <c r="F165" i="31"/>
  <c r="LN165" i="31" s="1"/>
  <c r="F190" i="31"/>
  <c r="LN190" i="31" s="1"/>
  <c r="F288" i="31"/>
  <c r="LN288" i="31" s="1"/>
  <c r="F142" i="31"/>
  <c r="LN142" i="31" s="1"/>
  <c r="F336" i="31"/>
  <c r="LN336" i="31" s="1"/>
  <c r="F348" i="31"/>
  <c r="LN348" i="31" s="1"/>
  <c r="F110" i="31"/>
  <c r="LN110" i="31" s="1"/>
  <c r="F318" i="31"/>
  <c r="LN318" i="31" s="1"/>
  <c r="F193" i="31"/>
  <c r="LN193" i="31" s="1"/>
  <c r="F248" i="31"/>
  <c r="LN248" i="31" s="1"/>
  <c r="F120" i="31"/>
  <c r="LN120" i="31" s="1"/>
  <c r="F351" i="31"/>
  <c r="LN351" i="31" s="1"/>
  <c r="F287" i="31"/>
  <c r="LN287" i="31" s="1"/>
  <c r="F223" i="31"/>
  <c r="LN223" i="31" s="1"/>
  <c r="F159" i="31"/>
  <c r="LN159" i="31" s="1"/>
  <c r="F95" i="31"/>
  <c r="LN95" i="31" s="1"/>
  <c r="F220" i="31"/>
  <c r="LN220" i="31" s="1"/>
  <c r="F156" i="31"/>
  <c r="LN156" i="31" s="1"/>
  <c r="F92" i="31"/>
  <c r="LN92" i="31" s="1"/>
  <c r="F323" i="31"/>
  <c r="LN323" i="31" s="1"/>
  <c r="F259" i="31"/>
  <c r="LN259" i="31" s="1"/>
  <c r="F195" i="31"/>
  <c r="LN195" i="31" s="1"/>
  <c r="F131" i="31"/>
  <c r="LN131" i="31" s="1"/>
  <c r="F370" i="31"/>
  <c r="LN370" i="31" s="1"/>
  <c r="F306" i="31"/>
  <c r="LN306" i="31" s="1"/>
  <c r="F242" i="31"/>
  <c r="LN242" i="31" s="1"/>
  <c r="F178" i="31"/>
  <c r="LN178" i="31" s="1"/>
  <c r="F114" i="31"/>
  <c r="LN114" i="31" s="1"/>
  <c r="F189" i="31"/>
  <c r="LN189" i="31" s="1"/>
  <c r="F342" i="31"/>
  <c r="LN342" i="31" s="1"/>
  <c r="F276" i="31"/>
  <c r="LN276" i="31" s="1"/>
  <c r="F237" i="31"/>
  <c r="LN237" i="31" s="1"/>
  <c r="F340" i="31"/>
  <c r="LN340" i="31" s="1"/>
  <c r="F125" i="31"/>
  <c r="LN125" i="31" s="1"/>
  <c r="F265" i="31"/>
  <c r="LN265" i="31" s="1"/>
  <c r="F113" i="31"/>
  <c r="LN113" i="31" s="1"/>
  <c r="F238" i="31"/>
  <c r="LN238" i="31" s="1"/>
  <c r="F67" i="31"/>
  <c r="LN67" i="31" s="1"/>
  <c r="F289" i="31"/>
  <c r="LN289" i="31" s="1"/>
  <c r="F241" i="31"/>
  <c r="LN241" i="31" s="1"/>
  <c r="F360" i="31"/>
  <c r="LN360" i="31" s="1"/>
  <c r="F254" i="31"/>
  <c r="LN254" i="31" s="1"/>
  <c r="F281" i="31"/>
  <c r="LN281" i="31" s="1"/>
  <c r="F133" i="31"/>
  <c r="LN133" i="31" s="1"/>
  <c r="F332" i="31"/>
  <c r="LN332" i="31" s="1"/>
  <c r="F214" i="31"/>
  <c r="LN214" i="31" s="1"/>
  <c r="F192" i="31"/>
  <c r="LN192" i="31" s="1"/>
  <c r="F359" i="31"/>
  <c r="LN359" i="31" s="1"/>
  <c r="F295" i="31"/>
  <c r="LN295" i="31" s="1"/>
  <c r="F231" i="31"/>
  <c r="LN231" i="31" s="1"/>
  <c r="F167" i="31"/>
  <c r="LN167" i="31" s="1"/>
  <c r="F103" i="31"/>
  <c r="LN103" i="31" s="1"/>
  <c r="F228" i="31"/>
  <c r="LN228" i="31" s="1"/>
  <c r="F164" i="31"/>
  <c r="LN164" i="31" s="1"/>
  <c r="F100" i="31"/>
  <c r="LN100" i="31" s="1"/>
  <c r="F331" i="31"/>
  <c r="LN331" i="31" s="1"/>
  <c r="F267" i="31"/>
  <c r="LN267" i="31" s="1"/>
  <c r="F203" i="31"/>
  <c r="LN203" i="31" s="1"/>
  <c r="F139" i="31"/>
  <c r="LN139" i="31" s="1"/>
  <c r="F75" i="31"/>
  <c r="LN75" i="31" s="1"/>
  <c r="F314" i="31"/>
  <c r="LN314" i="31" s="1"/>
  <c r="F250" i="31"/>
  <c r="LN250" i="31" s="1"/>
  <c r="F186" i="31"/>
  <c r="LN186" i="31" s="1"/>
  <c r="F122" i="31"/>
  <c r="LN122" i="31" s="1"/>
  <c r="F292" i="31"/>
  <c r="LN292" i="31" s="1"/>
  <c r="F337" i="31"/>
  <c r="LN337" i="31" s="1"/>
  <c r="F78" i="31"/>
  <c r="LN78" i="31" s="1"/>
  <c r="F356" i="31"/>
  <c r="LN356" i="31" s="1"/>
  <c r="F326" i="31"/>
  <c r="LN326" i="31" s="1"/>
  <c r="F206" i="31"/>
  <c r="LN206" i="31" s="1"/>
  <c r="F117" i="31"/>
  <c r="LN117" i="31" s="1"/>
  <c r="F284" i="31"/>
  <c r="LN284" i="31" s="1"/>
  <c r="F357" i="31"/>
  <c r="LN357" i="31" s="1"/>
  <c r="F252" i="31"/>
  <c r="LN252" i="31" s="1"/>
  <c r="F208" i="31"/>
  <c r="LN208" i="31" s="1"/>
  <c r="F144" i="31"/>
  <c r="LN144" i="31" s="1"/>
  <c r="F311" i="31"/>
  <c r="LN311" i="31" s="1"/>
  <c r="F247" i="31"/>
  <c r="LN247" i="31" s="1"/>
  <c r="F183" i="31"/>
  <c r="LN183" i="31" s="1"/>
  <c r="F119" i="31"/>
  <c r="LN119" i="31" s="1"/>
  <c r="F347" i="31"/>
  <c r="LN347" i="31" s="1"/>
  <c r="F283" i="31"/>
  <c r="LN283" i="31" s="1"/>
  <c r="F219" i="31"/>
  <c r="LN219" i="31" s="1"/>
  <c r="F155" i="31"/>
  <c r="LN155" i="31" s="1"/>
  <c r="F91" i="31"/>
  <c r="LN91" i="31" s="1"/>
  <c r="F273" i="31"/>
  <c r="LN273" i="31" s="1"/>
  <c r="F222" i="31"/>
  <c r="LN222" i="31" s="1"/>
  <c r="F184" i="31"/>
  <c r="LN184" i="31" s="1"/>
  <c r="F350" i="31"/>
  <c r="LN350" i="31" s="1"/>
  <c r="W166" i="31"/>
  <c r="F166" i="31"/>
  <c r="LN166" i="31" s="1"/>
  <c r="W102" i="31"/>
  <c r="F102" i="31"/>
  <c r="LN102" i="31" s="1"/>
  <c r="W246" i="31"/>
  <c r="F246" i="31"/>
  <c r="LN246" i="31" s="1"/>
  <c r="W301" i="31"/>
  <c r="F301" i="31"/>
  <c r="LN301" i="31" s="1"/>
  <c r="F73" i="31"/>
  <c r="LN73" i="31" s="1"/>
  <c r="W93" i="31"/>
  <c r="F93" i="31"/>
  <c r="LN93" i="31" s="1"/>
  <c r="F256" i="31"/>
  <c r="LN256" i="31" s="1"/>
  <c r="F128" i="31"/>
  <c r="LN128" i="31" s="1"/>
  <c r="F244" i="31"/>
  <c r="LN244" i="31" s="1"/>
  <c r="F366" i="31"/>
  <c r="LN366" i="31" s="1"/>
  <c r="W205" i="31"/>
  <c r="F205" i="31"/>
  <c r="LN205" i="31" s="1"/>
  <c r="F121" i="31"/>
  <c r="LN121" i="31" s="1"/>
  <c r="F324" i="31"/>
  <c r="LN324" i="31" s="1"/>
  <c r="F201" i="31"/>
  <c r="LN201" i="31" s="1"/>
  <c r="F334" i="31"/>
  <c r="LN334" i="31" s="1"/>
  <c r="W221" i="31"/>
  <c r="F221" i="31"/>
  <c r="LN221" i="31" s="1"/>
  <c r="F358" i="31"/>
  <c r="LN358" i="31" s="1"/>
  <c r="F253" i="31"/>
  <c r="LN253" i="31" s="1"/>
  <c r="F89" i="31"/>
  <c r="LN89" i="31" s="1"/>
  <c r="W305" i="31"/>
  <c r="F305" i="31"/>
  <c r="LN305" i="31" s="1"/>
  <c r="F173" i="31"/>
  <c r="LN173" i="31" s="1"/>
  <c r="F240" i="31"/>
  <c r="LN240" i="31" s="1"/>
  <c r="W176" i="31"/>
  <c r="F176" i="31"/>
  <c r="LN176" i="31" s="1"/>
  <c r="F112" i="31"/>
  <c r="LN112" i="31" s="1"/>
  <c r="F343" i="31"/>
  <c r="LN343" i="31" s="1"/>
  <c r="F279" i="31"/>
  <c r="LN279" i="31" s="1"/>
  <c r="F215" i="31"/>
  <c r="LN215" i="31" s="1"/>
  <c r="F151" i="31"/>
  <c r="LN151" i="31" s="1"/>
  <c r="F87" i="31"/>
  <c r="LN87" i="31" s="1"/>
  <c r="F212" i="31"/>
  <c r="LN212" i="31" s="1"/>
  <c r="F148" i="31"/>
  <c r="LN148" i="31" s="1"/>
  <c r="F84" i="31"/>
  <c r="LN84" i="31" s="1"/>
  <c r="F315" i="31"/>
  <c r="LN315" i="31" s="1"/>
  <c r="F251" i="31"/>
  <c r="LN251" i="31" s="1"/>
  <c r="F187" i="31"/>
  <c r="LN187" i="31" s="1"/>
  <c r="F123" i="31"/>
  <c r="LN123" i="31" s="1"/>
  <c r="F362" i="31"/>
  <c r="LN362" i="31" s="1"/>
  <c r="F298" i="31"/>
  <c r="LN298" i="31" s="1"/>
  <c r="F234" i="31"/>
  <c r="LN234" i="31" s="1"/>
  <c r="F170" i="31"/>
  <c r="LN170" i="31" s="1"/>
  <c r="F106" i="31"/>
  <c r="LN106" i="31" s="1"/>
  <c r="F169" i="31"/>
  <c r="LN169" i="31" s="1"/>
  <c r="F368" i="31"/>
  <c r="LN368" i="31" s="1"/>
  <c r="F329" i="31"/>
  <c r="LN329" i="31" s="1"/>
  <c r="F145" i="31"/>
  <c r="LN145" i="31" s="1"/>
  <c r="F365" i="31"/>
  <c r="LN365" i="31" s="1"/>
  <c r="F261" i="31"/>
  <c r="LN261" i="31" s="1"/>
  <c r="W101" i="31"/>
  <c r="F101" i="31"/>
  <c r="LN101" i="31" s="1"/>
  <c r="W310" i="31"/>
  <c r="F310" i="31"/>
  <c r="LN310" i="31" s="1"/>
  <c r="F181" i="31"/>
  <c r="LN181" i="31" s="1"/>
  <c r="F321" i="31"/>
  <c r="LN321" i="31" s="1"/>
  <c r="F198" i="31"/>
  <c r="LN198" i="31" s="1"/>
  <c r="F345" i="31"/>
  <c r="LN345" i="31" s="1"/>
  <c r="F69" i="31"/>
  <c r="LN69" i="31" s="1"/>
  <c r="F293" i="31"/>
  <c r="LN293" i="31" s="1"/>
  <c r="F150" i="31"/>
  <c r="LN150" i="31" s="1"/>
  <c r="F232" i="31"/>
  <c r="LN232" i="31" s="1"/>
  <c r="F168" i="31"/>
  <c r="LN168" i="31" s="1"/>
  <c r="F104" i="31"/>
  <c r="LN104" i="31" s="1"/>
  <c r="F335" i="31"/>
  <c r="LN335" i="31" s="1"/>
  <c r="F271" i="31"/>
  <c r="LN271" i="31" s="1"/>
  <c r="F207" i="31"/>
  <c r="LN207" i="31" s="1"/>
  <c r="F143" i="31"/>
  <c r="LN143" i="31" s="1"/>
  <c r="W79" i="31"/>
  <c r="F79" i="31"/>
  <c r="LN79" i="31" s="1"/>
  <c r="F204" i="31"/>
  <c r="LN204" i="31" s="1"/>
  <c r="F140" i="31"/>
  <c r="LN140" i="31" s="1"/>
  <c r="F76" i="31"/>
  <c r="LN76" i="31" s="1"/>
  <c r="F307" i="31"/>
  <c r="LN307" i="31" s="1"/>
  <c r="F243" i="31"/>
  <c r="LN243" i="31" s="1"/>
  <c r="F179" i="31"/>
  <c r="LN179" i="31" s="1"/>
  <c r="F115" i="31"/>
  <c r="LN115" i="31" s="1"/>
  <c r="F354" i="31"/>
  <c r="LN354" i="31" s="1"/>
  <c r="F290" i="31"/>
  <c r="LN290" i="31" s="1"/>
  <c r="F226" i="31"/>
  <c r="LN226" i="31" s="1"/>
  <c r="F162" i="31"/>
  <c r="LN162" i="31" s="1"/>
  <c r="F98" i="31"/>
  <c r="LN98" i="31" s="1"/>
  <c r="F230" i="31"/>
  <c r="LN230" i="31" s="1"/>
  <c r="F233" i="31"/>
  <c r="LN233" i="31" s="1"/>
  <c r="F312" i="31"/>
  <c r="LN312" i="31" s="1"/>
  <c r="W278" i="31"/>
  <c r="F278" i="31"/>
  <c r="LN278" i="31" s="1"/>
  <c r="F300" i="31"/>
  <c r="LN300" i="31" s="1"/>
  <c r="F260" i="31"/>
  <c r="LN260" i="31" s="1"/>
  <c r="W85" i="31"/>
  <c r="F85" i="31"/>
  <c r="LN85" i="31" s="1"/>
  <c r="F352" i="31"/>
  <c r="LN352" i="31" s="1"/>
  <c r="W245" i="31"/>
  <c r="F245" i="31"/>
  <c r="LN245" i="31" s="1"/>
  <c r="F297" i="31"/>
  <c r="LN297" i="31" s="1"/>
  <c r="F158" i="31"/>
  <c r="LN158" i="31" s="1"/>
  <c r="F177" i="31"/>
  <c r="LN177" i="31" s="1"/>
  <c r="F217" i="31"/>
  <c r="LN217" i="31" s="1"/>
  <c r="F280" i="31"/>
  <c r="LN280" i="31" s="1"/>
  <c r="F224" i="31"/>
  <c r="LN224" i="31" s="1"/>
  <c r="F160" i="31"/>
  <c r="LN160" i="31" s="1"/>
  <c r="F96" i="31"/>
  <c r="LN96" i="31" s="1"/>
  <c r="F327" i="31"/>
  <c r="LN327" i="31" s="1"/>
  <c r="F263" i="31"/>
  <c r="LN263" i="31" s="1"/>
  <c r="F199" i="31"/>
  <c r="LN199" i="31" s="1"/>
  <c r="F135" i="31"/>
  <c r="LN135" i="31" s="1"/>
  <c r="F71" i="31"/>
  <c r="LN71" i="31" s="1"/>
  <c r="F196" i="31"/>
  <c r="LN196" i="31" s="1"/>
  <c r="F132" i="31"/>
  <c r="LN132" i="31" s="1"/>
  <c r="F68" i="31"/>
  <c r="LN68" i="31" s="1"/>
  <c r="F363" i="31"/>
  <c r="LN363" i="31" s="1"/>
  <c r="F299" i="31"/>
  <c r="LN299" i="31" s="1"/>
  <c r="F235" i="31"/>
  <c r="LN235" i="31" s="1"/>
  <c r="F171" i="31"/>
  <c r="LN171" i="31" s="1"/>
  <c r="F107" i="31"/>
  <c r="LN107" i="31" s="1"/>
  <c r="F346" i="31"/>
  <c r="LN346" i="31" s="1"/>
  <c r="F282" i="31"/>
  <c r="LN282" i="31" s="1"/>
  <c r="F218" i="31"/>
  <c r="LN218" i="31" s="1"/>
  <c r="F154" i="31"/>
  <c r="LN154" i="31" s="1"/>
  <c r="F90" i="31"/>
  <c r="LN90" i="31" s="1"/>
  <c r="F316" i="31"/>
  <c r="LN316" i="31" s="1"/>
  <c r="F118" i="31"/>
  <c r="LN118" i="31" s="1"/>
  <c r="F126" i="31"/>
  <c r="LN126" i="31" s="1"/>
  <c r="W302" i="31"/>
  <c r="F302" i="31"/>
  <c r="LN302" i="31" s="1"/>
  <c r="F262" i="31"/>
  <c r="LN262" i="31" s="1"/>
  <c r="F353" i="31"/>
  <c r="LN353" i="31" s="1"/>
  <c r="F229" i="31"/>
  <c r="LN229" i="31" s="1"/>
  <c r="W285" i="31"/>
  <c r="F285" i="31"/>
  <c r="LN285" i="31" s="1"/>
  <c r="F137" i="31"/>
  <c r="LN137" i="31" s="1"/>
  <c r="F296" i="31"/>
  <c r="LN296" i="31" s="1"/>
  <c r="F157" i="31"/>
  <c r="LN157" i="31" s="1"/>
  <c r="F320" i="31"/>
  <c r="LN320" i="31" s="1"/>
  <c r="F197" i="31"/>
  <c r="LN197" i="31" s="1"/>
  <c r="F369" i="31"/>
  <c r="LN369" i="31" s="1"/>
  <c r="F268" i="31"/>
  <c r="LN268" i="31" s="1"/>
  <c r="F109" i="31"/>
  <c r="LN109" i="31" s="1"/>
  <c r="F216" i="31"/>
  <c r="LN216" i="31" s="1"/>
  <c r="F152" i="31"/>
  <c r="LN152" i="31" s="1"/>
  <c r="F88" i="31"/>
  <c r="LN88" i="31" s="1"/>
  <c r="F319" i="31"/>
  <c r="LN319" i="31" s="1"/>
  <c r="F255" i="31"/>
  <c r="LN255" i="31" s="1"/>
  <c r="F191" i="31"/>
  <c r="LN191" i="31" s="1"/>
  <c r="F127" i="31"/>
  <c r="LN127" i="31" s="1"/>
  <c r="F188" i="31"/>
  <c r="LN188" i="31" s="1"/>
  <c r="F124" i="31"/>
  <c r="LN124" i="31" s="1"/>
  <c r="F355" i="31"/>
  <c r="LN355" i="31" s="1"/>
  <c r="F291" i="31"/>
  <c r="LN291" i="31" s="1"/>
  <c r="F227" i="31"/>
  <c r="LN227" i="31" s="1"/>
  <c r="F163" i="31"/>
  <c r="LN163" i="31" s="1"/>
  <c r="F99" i="31"/>
  <c r="LN99" i="31" s="1"/>
  <c r="F338" i="31"/>
  <c r="LN338" i="31" s="1"/>
  <c r="F274" i="31"/>
  <c r="LN274" i="31" s="1"/>
  <c r="F210" i="31"/>
  <c r="LN210" i="31" s="1"/>
  <c r="F146" i="31"/>
  <c r="LN146" i="31" s="1"/>
  <c r="F82" i="31"/>
  <c r="LN82" i="31" s="1"/>
  <c r="F77" i="31"/>
  <c r="LN77" i="31" s="1"/>
  <c r="W277" i="31"/>
  <c r="F277" i="31"/>
  <c r="LN277" i="31" s="1"/>
  <c r="W213" i="31"/>
  <c r="F213" i="31"/>
  <c r="LN213" i="31" s="1"/>
  <c r="F149" i="31"/>
  <c r="LN149" i="31" s="1"/>
  <c r="F272" i="31"/>
  <c r="LN272" i="31" s="1"/>
  <c r="F134" i="31"/>
  <c r="LN134" i="31" s="1"/>
  <c r="F308" i="31"/>
  <c r="LN308" i="31" s="1"/>
  <c r="W174" i="31"/>
  <c r="F174" i="31"/>
  <c r="LN174" i="31" s="1"/>
  <c r="F86" i="31"/>
  <c r="LN86" i="31" s="1"/>
  <c r="F80" i="31"/>
  <c r="LN80" i="31" s="1"/>
  <c r="F180" i="31"/>
  <c r="LN180" i="31" s="1"/>
  <c r="F116" i="31"/>
  <c r="LN116" i="31" s="1"/>
  <c r="F330" i="31"/>
  <c r="LN330" i="31" s="1"/>
  <c r="F266" i="31"/>
  <c r="LN266" i="31" s="1"/>
  <c r="F202" i="31"/>
  <c r="LN202" i="31" s="1"/>
  <c r="F138" i="31"/>
  <c r="LN138" i="31" s="1"/>
  <c r="F74" i="31"/>
  <c r="LN74" i="31" s="1"/>
  <c r="F182" i="31"/>
  <c r="LN182" i="31" s="1"/>
  <c r="F105" i="31"/>
  <c r="LN105" i="31" s="1"/>
  <c r="F225" i="31"/>
  <c r="LN225" i="31" s="1"/>
  <c r="F161" i="31"/>
  <c r="LN161" i="31" s="1"/>
  <c r="W97" i="31"/>
  <c r="F97" i="31"/>
  <c r="LN97" i="31" s="1"/>
  <c r="F325" i="31"/>
  <c r="LN325" i="31" s="1"/>
  <c r="F286" i="31"/>
  <c r="LN286" i="31" s="1"/>
  <c r="F313" i="31"/>
  <c r="LN313" i="31" s="1"/>
  <c r="W185" i="31"/>
  <c r="F185" i="31"/>
  <c r="LN185" i="31" s="1"/>
  <c r="F361" i="31"/>
  <c r="LN361" i="31" s="1"/>
  <c r="F257" i="31"/>
  <c r="LN257" i="31" s="1"/>
  <c r="F94" i="31"/>
  <c r="LN94" i="31" s="1"/>
  <c r="F270" i="31"/>
  <c r="LN270" i="31" s="1"/>
  <c r="F294" i="31"/>
  <c r="LN294" i="31" s="1"/>
  <c r="F153" i="31"/>
  <c r="LN153" i="31" s="1"/>
  <c r="F344" i="31"/>
  <c r="LN344" i="31" s="1"/>
  <c r="F236" i="31"/>
  <c r="LN236" i="31" s="1"/>
  <c r="F65" i="31"/>
  <c r="LN65" i="31" s="1"/>
  <c r="F264" i="31"/>
  <c r="LN264" i="31" s="1"/>
  <c r="F200" i="31"/>
  <c r="LN200" i="31" s="1"/>
  <c r="W136" i="31"/>
  <c r="F136" i="31"/>
  <c r="LN136" i="31" s="1"/>
  <c r="F72" i="31"/>
  <c r="LN72" i="31" s="1"/>
  <c r="F367" i="31"/>
  <c r="LN367" i="31" s="1"/>
  <c r="F303" i="31"/>
  <c r="LN303" i="31" s="1"/>
  <c r="F239" i="31"/>
  <c r="LN239" i="31" s="1"/>
  <c r="F175" i="31"/>
  <c r="LN175" i="31" s="1"/>
  <c r="F111" i="31"/>
  <c r="LN111" i="31" s="1"/>
  <c r="F172" i="31"/>
  <c r="LN172" i="31" s="1"/>
  <c r="F108" i="31"/>
  <c r="LN108" i="31" s="1"/>
  <c r="F339" i="31"/>
  <c r="LN339" i="31" s="1"/>
  <c r="F275" i="31"/>
  <c r="LN275" i="31" s="1"/>
  <c r="F211" i="31"/>
  <c r="LN211" i="31" s="1"/>
  <c r="F147" i="31"/>
  <c r="LN147" i="31" s="1"/>
  <c r="F83" i="31"/>
  <c r="LN83" i="31" s="1"/>
  <c r="F322" i="31"/>
  <c r="LN322" i="31" s="1"/>
  <c r="F258" i="31"/>
  <c r="LN258" i="31" s="1"/>
  <c r="F194" i="31"/>
  <c r="LN194" i="31" s="1"/>
  <c r="F130" i="31"/>
  <c r="LN130" i="31" s="1"/>
  <c r="F66" i="31"/>
  <c r="LN66" i="31" s="1"/>
  <c r="F304" i="31"/>
  <c r="LN304" i="31" s="1"/>
  <c r="F341" i="31"/>
  <c r="LN341" i="31" s="1"/>
  <c r="W126" i="31"/>
  <c r="W214" i="31"/>
  <c r="W337" i="31"/>
  <c r="W350" i="31"/>
  <c r="W78" i="31"/>
  <c r="W86" i="31"/>
  <c r="W81" i="31"/>
  <c r="W269" i="31"/>
  <c r="W317" i="31"/>
  <c r="W69" i="31"/>
  <c r="W149" i="31"/>
  <c r="W309" i="31"/>
  <c r="W177" i="31"/>
  <c r="W113" i="31"/>
  <c r="W253" i="31"/>
  <c r="W94" i="31"/>
  <c r="W237" i="31"/>
  <c r="W129" i="31"/>
  <c r="W241" i="31"/>
  <c r="W329" i="31"/>
  <c r="W328" i="31"/>
  <c r="W141" i="31"/>
  <c r="W260" i="31"/>
  <c r="W289" i="31"/>
  <c r="W286" i="31"/>
  <c r="W121" i="31"/>
  <c r="W360" i="31"/>
  <c r="W254" i="31"/>
  <c r="W217" i="31"/>
  <c r="W293" i="31"/>
  <c r="W150" i="31"/>
  <c r="W216" i="31"/>
  <c r="W88" i="31"/>
  <c r="W319" i="31"/>
  <c r="W255" i="31"/>
  <c r="W191" i="31"/>
  <c r="W127" i="31"/>
  <c r="W188" i="31"/>
  <c r="W124" i="31"/>
  <c r="W363" i="31"/>
  <c r="W299" i="31"/>
  <c r="W235" i="31"/>
  <c r="W171" i="31"/>
  <c r="W107" i="31"/>
  <c r="W346" i="31"/>
  <c r="W282" i="31"/>
  <c r="W218" i="31"/>
  <c r="W154" i="31"/>
  <c r="W249" i="31"/>
  <c r="W225" i="31"/>
  <c r="W324" i="31"/>
  <c r="W273" i="31"/>
  <c r="W288" i="31"/>
  <c r="W142" i="31"/>
  <c r="W181" i="31"/>
  <c r="W270" i="31"/>
  <c r="W345" i="31"/>
  <c r="W173" i="31"/>
  <c r="W224" i="31"/>
  <c r="W160" i="31"/>
  <c r="W96" i="31"/>
  <c r="W327" i="31"/>
  <c r="W263" i="31"/>
  <c r="W199" i="31"/>
  <c r="W135" i="31"/>
  <c r="W71" i="31"/>
  <c r="W196" i="31"/>
  <c r="W132" i="31"/>
  <c r="W68" i="31"/>
  <c r="W307" i="31"/>
  <c r="W243" i="31"/>
  <c r="W179" i="31"/>
  <c r="W115" i="31"/>
  <c r="W354" i="31"/>
  <c r="W290" i="31"/>
  <c r="W226" i="31"/>
  <c r="W162" i="31"/>
  <c r="W98" i="31"/>
  <c r="W304" i="31"/>
  <c r="W316" i="31"/>
  <c r="W189" i="31"/>
  <c r="W365" i="31"/>
  <c r="W352" i="31"/>
  <c r="W117" i="31"/>
  <c r="W334" i="31"/>
  <c r="W308" i="31"/>
  <c r="W268" i="31"/>
  <c r="W200" i="31"/>
  <c r="W105" i="31"/>
  <c r="W73" i="31"/>
  <c r="W112" i="31"/>
  <c r="W209" i="31"/>
  <c r="W165" i="31"/>
  <c r="W134" i="31"/>
  <c r="W276" i="31"/>
  <c r="W297" i="31"/>
  <c r="W158" i="31"/>
  <c r="W333" i="31"/>
  <c r="W152" i="31"/>
  <c r="W90" i="31"/>
  <c r="W244" i="31"/>
  <c r="W265" i="31"/>
  <c r="W366" i="31"/>
  <c r="W261" i="31"/>
  <c r="W137" i="31"/>
  <c r="W348" i="31"/>
  <c r="W238" i="31"/>
  <c r="W70" i="31"/>
  <c r="W320" i="31"/>
  <c r="W197" i="31"/>
  <c r="W280" i="31"/>
  <c r="W208" i="31"/>
  <c r="W144" i="31"/>
  <c r="W80" i="31"/>
  <c r="W311" i="31"/>
  <c r="W247" i="31"/>
  <c r="W183" i="31"/>
  <c r="W119" i="31"/>
  <c r="W180" i="31"/>
  <c r="W116" i="31"/>
  <c r="W355" i="31"/>
  <c r="W291" i="31"/>
  <c r="W227" i="31"/>
  <c r="W163" i="31"/>
  <c r="W99" i="31"/>
  <c r="W338" i="31"/>
  <c r="W274" i="31"/>
  <c r="W210" i="31"/>
  <c r="W146" i="31"/>
  <c r="W82" i="31"/>
  <c r="W341" i="31"/>
  <c r="W233" i="31"/>
  <c r="W364" i="31"/>
  <c r="W190" i="31"/>
  <c r="W272" i="31"/>
  <c r="W369" i="31"/>
  <c r="W109" i="31"/>
  <c r="W264" i="31"/>
  <c r="W72" i="31"/>
  <c r="W367" i="31"/>
  <c r="W303" i="31"/>
  <c r="W239" i="31"/>
  <c r="W175" i="31"/>
  <c r="W111" i="31"/>
  <c r="W172" i="31"/>
  <c r="W108" i="31"/>
  <c r="W347" i="31"/>
  <c r="W283" i="31"/>
  <c r="W219" i="31"/>
  <c r="W155" i="31"/>
  <c r="W91" i="31"/>
  <c r="W330" i="31"/>
  <c r="W266" i="31"/>
  <c r="W202" i="31"/>
  <c r="W138" i="31"/>
  <c r="W74" i="31"/>
  <c r="W169" i="31"/>
  <c r="W300" i="31"/>
  <c r="W145" i="31"/>
  <c r="W340" i="31"/>
  <c r="W229" i="31"/>
  <c r="W361" i="31"/>
  <c r="W257" i="31"/>
  <c r="W321" i="31"/>
  <c r="W198" i="31"/>
  <c r="W294" i="31"/>
  <c r="W153" i="31"/>
  <c r="W357" i="31"/>
  <c r="W252" i="31"/>
  <c r="W256" i="31"/>
  <c r="W192" i="31"/>
  <c r="W128" i="31"/>
  <c r="W359" i="31"/>
  <c r="W295" i="31"/>
  <c r="W231" i="31"/>
  <c r="W167" i="31"/>
  <c r="W103" i="31"/>
  <c r="W228" i="31"/>
  <c r="W164" i="31"/>
  <c r="W100" i="31"/>
  <c r="W339" i="31"/>
  <c r="W275" i="31"/>
  <c r="W211" i="31"/>
  <c r="W147" i="31"/>
  <c r="W83" i="31"/>
  <c r="W322" i="31"/>
  <c r="W258" i="31"/>
  <c r="W194" i="31"/>
  <c r="W130" i="31"/>
  <c r="W66" i="31"/>
  <c r="W77" i="31"/>
  <c r="W312" i="31"/>
  <c r="W342" i="31"/>
  <c r="W262" i="31"/>
  <c r="W292" i="31"/>
  <c r="W326" i="31"/>
  <c r="W206" i="31"/>
  <c r="W349" i="31"/>
  <c r="W281" i="31"/>
  <c r="W133" i="31"/>
  <c r="W344" i="31"/>
  <c r="W236" i="31"/>
  <c r="W65" i="31"/>
  <c r="W248" i="31"/>
  <c r="W184" i="31"/>
  <c r="W120" i="31"/>
  <c r="W351" i="31"/>
  <c r="W287" i="31"/>
  <c r="W223" i="31"/>
  <c r="W159" i="31"/>
  <c r="W95" i="31"/>
  <c r="W220" i="31"/>
  <c r="W156" i="31"/>
  <c r="W92" i="31"/>
  <c r="W331" i="31"/>
  <c r="W267" i="31"/>
  <c r="W203" i="31"/>
  <c r="W139" i="31"/>
  <c r="W75" i="31"/>
  <c r="W314" i="31"/>
  <c r="W250" i="31"/>
  <c r="W186" i="31"/>
  <c r="W122" i="31"/>
  <c r="W313" i="31"/>
  <c r="W336" i="31"/>
  <c r="W222" i="31"/>
  <c r="W296" i="31"/>
  <c r="W157" i="31"/>
  <c r="W110" i="31"/>
  <c r="W332" i="31"/>
  <c r="W240" i="31"/>
  <c r="W343" i="31"/>
  <c r="W279" i="31"/>
  <c r="W215" i="31"/>
  <c r="W151" i="31"/>
  <c r="W87" i="31"/>
  <c r="W212" i="31"/>
  <c r="W148" i="31"/>
  <c r="W84" i="31"/>
  <c r="W323" i="31"/>
  <c r="W259" i="31"/>
  <c r="W195" i="31"/>
  <c r="W131" i="31"/>
  <c r="W67" i="31"/>
  <c r="W370" i="31"/>
  <c r="W306" i="31"/>
  <c r="W242" i="31"/>
  <c r="W178" i="31"/>
  <c r="W114" i="31"/>
  <c r="W325" i="31"/>
  <c r="W125" i="31"/>
  <c r="W368" i="31"/>
  <c r="W161" i="31"/>
  <c r="W356" i="31"/>
  <c r="W353" i="31"/>
  <c r="W201" i="31"/>
  <c r="W284" i="31"/>
  <c r="W358" i="31"/>
  <c r="W89" i="31"/>
  <c r="W318" i="31"/>
  <c r="W193" i="31"/>
  <c r="W232" i="31"/>
  <c r="W168" i="31"/>
  <c r="W104" i="31"/>
  <c r="W335" i="31"/>
  <c r="W271" i="31"/>
  <c r="W207" i="31"/>
  <c r="W143" i="31"/>
  <c r="W204" i="31"/>
  <c r="W140" i="31"/>
  <c r="W76" i="31"/>
  <c r="W315" i="31"/>
  <c r="W251" i="31"/>
  <c r="W187" i="31"/>
  <c r="W123" i="31"/>
  <c r="W362" i="31"/>
  <c r="W298" i="31"/>
  <c r="W234" i="31"/>
  <c r="W170" i="31"/>
  <c r="W106" i="31"/>
  <c r="W182" i="31"/>
  <c r="W230" i="31"/>
  <c r="W118" i="31"/>
  <c r="GI72" i="31"/>
  <c r="X74" i="31"/>
  <c r="X72" i="31"/>
  <c r="X78" i="31"/>
  <c r="X73" i="31"/>
  <c r="X113" i="31"/>
  <c r="X70" i="31"/>
  <c r="X132" i="31"/>
  <c r="X109" i="31"/>
  <c r="X87" i="31"/>
  <c r="X134" i="31"/>
  <c r="X162" i="31"/>
  <c r="X159" i="31"/>
  <c r="X128" i="31"/>
  <c r="X83" i="31"/>
  <c r="X66" i="31"/>
  <c r="X104" i="31"/>
  <c r="X69" i="31"/>
  <c r="X94" i="31"/>
  <c r="X88" i="31"/>
  <c r="X191" i="31"/>
  <c r="X68" i="31"/>
  <c r="X107" i="31"/>
  <c r="X142" i="31"/>
  <c r="X150" i="31"/>
  <c r="X82" i="31"/>
  <c r="X80" i="31"/>
  <c r="X198" i="31"/>
  <c r="X105" i="31"/>
  <c r="X67" i="31"/>
  <c r="X178" i="31"/>
  <c r="X111" i="31"/>
  <c r="X76" i="31"/>
  <c r="X91" i="31"/>
  <c r="X137" i="31"/>
  <c r="X85" i="31"/>
  <c r="X92" i="31"/>
  <c r="X84" i="31"/>
  <c r="X112" i="31"/>
  <c r="X115" i="31"/>
  <c r="X99" i="31"/>
  <c r="X102" i="31"/>
  <c r="X202" i="31"/>
  <c r="X151" i="31"/>
  <c r="X186" i="31"/>
  <c r="X86" i="31"/>
  <c r="X146" i="31"/>
  <c r="X190" i="31"/>
  <c r="X123" i="31"/>
  <c r="X127" i="31"/>
  <c r="X81" i="31"/>
  <c r="X199" i="31"/>
  <c r="X95" i="31"/>
  <c r="X209" i="31"/>
  <c r="X193" i="31"/>
  <c r="X188" i="31"/>
  <c r="X100" i="31"/>
  <c r="X108" i="31"/>
  <c r="X71" i="31"/>
  <c r="X124" i="31"/>
  <c r="X143" i="31"/>
  <c r="X96" i="31"/>
  <c r="X215" i="31"/>
  <c r="X175" i="31"/>
  <c r="X119" i="31"/>
  <c r="X121" i="31"/>
  <c r="X167" i="31"/>
  <c r="X174" i="31"/>
  <c r="X200" i="31"/>
  <c r="X122" i="31"/>
  <c r="X135" i="31"/>
  <c r="X161" i="31"/>
  <c r="X145" i="31"/>
  <c r="X154" i="31"/>
  <c r="X156" i="31"/>
  <c r="X153" i="31"/>
  <c r="X140" i="31"/>
  <c r="X101" i="31"/>
  <c r="X133" i="31"/>
  <c r="X141" i="31"/>
  <c r="X149" i="31"/>
  <c r="X116" i="31"/>
  <c r="X103" i="31"/>
  <c r="X89" i="31"/>
  <c r="X166" i="31"/>
  <c r="X148" i="31"/>
  <c r="X129" i="31"/>
  <c r="X155" i="31"/>
  <c r="X171" i="31"/>
  <c r="X158" i="31"/>
  <c r="X93" i="31"/>
  <c r="X75" i="31"/>
  <c r="X187" i="31"/>
  <c r="X226" i="31"/>
  <c r="X195" i="31"/>
  <c r="X182" i="31"/>
  <c r="X165" i="31"/>
  <c r="X130" i="31"/>
  <c r="X90" i="31"/>
  <c r="X222" i="31"/>
  <c r="X194" i="31"/>
  <c r="X179" i="31"/>
  <c r="X163" i="31"/>
  <c r="X118" i="31"/>
  <c r="X98" i="31"/>
  <c r="X79" i="31"/>
  <c r="X218" i="31"/>
  <c r="X138" i="31"/>
  <c r="X126" i="31"/>
  <c r="X117" i="31"/>
  <c r="X106" i="31"/>
  <c r="X97" i="31"/>
  <c r="X114" i="31"/>
  <c r="X131" i="31"/>
  <c r="X139" i="31"/>
  <c r="X147" i="31"/>
  <c r="X170" i="31"/>
  <c r="X120" i="31"/>
  <c r="X136" i="31"/>
  <c r="X144" i="31"/>
  <c r="X125" i="31"/>
  <c r="X77" i="31"/>
  <c r="X261" i="31"/>
  <c r="X225" i="31"/>
  <c r="X224" i="31"/>
  <c r="X110" i="31"/>
  <c r="X344" i="31"/>
  <c r="X204" i="31"/>
  <c r="X197" i="31"/>
  <c r="X183" i="31"/>
  <c r="X314" i="31"/>
  <c r="X256" i="31"/>
  <c r="X239" i="31"/>
  <c r="X208" i="31"/>
  <c r="X180" i="31"/>
  <c r="X157" i="31"/>
  <c r="X181" i="31"/>
  <c r="X189" i="31"/>
  <c r="X238" i="31"/>
  <c r="X234" i="31"/>
  <c r="X185" i="31"/>
  <c r="X287" i="31"/>
  <c r="X207" i="31"/>
  <c r="X176" i="31"/>
  <c r="X169" i="31"/>
  <c r="X173" i="31"/>
  <c r="X277" i="31"/>
  <c r="X251" i="31"/>
  <c r="X203" i="31"/>
  <c r="X206" i="31"/>
  <c r="X172" i="31"/>
  <c r="X211" i="31"/>
  <c r="X210" i="31"/>
  <c r="X223" i="31"/>
  <c r="X205" i="31"/>
  <c r="X243" i="31"/>
  <c r="X213" i="31"/>
  <c r="X228" i="31"/>
  <c r="X217" i="31"/>
  <c r="X250" i="31"/>
  <c r="X160" i="31"/>
  <c r="X192" i="31"/>
  <c r="X229" i="31"/>
  <c r="X219" i="31"/>
  <c r="X291" i="31"/>
  <c r="X168" i="31"/>
  <c r="X272" i="31"/>
  <c r="X230" i="31"/>
  <c r="X245" i="31"/>
  <c r="X221" i="31"/>
  <c r="X285" i="31"/>
  <c r="X233" i="31"/>
  <c r="X364" i="31"/>
  <c r="X332" i="31"/>
  <c r="X244" i="31"/>
  <c r="X247" i="31"/>
  <c r="X240" i="31"/>
  <c r="X324" i="31"/>
  <c r="X318" i="31"/>
  <c r="X235" i="31"/>
  <c r="X264" i="31"/>
  <c r="X268" i="31"/>
  <c r="X253" i="31"/>
  <c r="X317" i="31"/>
  <c r="X241" i="31"/>
  <c r="X316" i="31"/>
  <c r="X310" i="31"/>
  <c r="X293" i="31"/>
  <c r="X201" i="31"/>
  <c r="X361" i="31"/>
  <c r="X231" i="31"/>
  <c r="X246" i="31"/>
  <c r="X242" i="31"/>
  <c r="X329" i="31"/>
  <c r="X249" i="31"/>
  <c r="X313" i="31"/>
  <c r="X252" i="31"/>
  <c r="X359" i="31"/>
  <c r="X340" i="31"/>
  <c r="X338" i="31"/>
  <c r="X297" i="31"/>
  <c r="X326" i="31"/>
  <c r="X216" i="31"/>
  <c r="X363" i="31"/>
  <c r="X309" i="31"/>
  <c r="X284" i="31"/>
  <c r="X271" i="31"/>
  <c r="X290" i="31"/>
  <c r="X237" i="31"/>
  <c r="X335" i="31"/>
  <c r="X320" i="31"/>
  <c r="X368" i="31"/>
  <c r="X306" i="31"/>
  <c r="X259" i="31"/>
  <c r="X334" i="31"/>
  <c r="X281" i="31"/>
  <c r="X321" i="31"/>
  <c r="X288" i="31"/>
  <c r="X258" i="31"/>
  <c r="X275" i="31"/>
  <c r="X260" i="31"/>
  <c r="X358" i="31"/>
  <c r="X299" i="31"/>
  <c r="X343" i="31"/>
  <c r="X362" i="31"/>
  <c r="X273" i="31"/>
  <c r="X323" i="31"/>
  <c r="X328" i="31"/>
  <c r="X341" i="31"/>
  <c r="X352" i="31"/>
  <c r="X298" i="31"/>
  <c r="X286" i="31"/>
  <c r="X255" i="31"/>
  <c r="X214" i="31"/>
  <c r="X348" i="31"/>
  <c r="X296" i="31"/>
  <c r="X347" i="31"/>
  <c r="X336" i="31"/>
  <c r="X360" i="31"/>
  <c r="X346" i="31"/>
  <c r="X355" i="31"/>
  <c r="X319" i="31"/>
  <c r="X351" i="31"/>
  <c r="X327" i="31"/>
  <c r="X354" i="31"/>
  <c r="X339" i="31"/>
  <c r="X262" i="31"/>
  <c r="X304" i="31"/>
  <c r="X322" i="31"/>
  <c r="X265" i="31"/>
  <c r="X292" i="31"/>
  <c r="X300" i="31"/>
  <c r="X263" i="31"/>
  <c r="X269" i="31"/>
  <c r="X325" i="31"/>
  <c r="X270" i="31"/>
  <c r="X283" i="31"/>
  <c r="X266" i="31"/>
  <c r="X305" i="31"/>
  <c r="X257" i="31"/>
  <c r="X369" i="31"/>
  <c r="X308" i="31"/>
  <c r="X333" i="31"/>
  <c r="X370" i="31"/>
  <c r="X274" i="31"/>
  <c r="X356" i="31"/>
  <c r="X349" i="31"/>
  <c r="X331" i="31"/>
  <c r="X302" i="31"/>
  <c r="X276" i="31"/>
  <c r="X367" i="31"/>
  <c r="X267" i="31"/>
  <c r="X254" i="31"/>
  <c r="X301" i="31"/>
  <c r="X282" i="31"/>
  <c r="X345" i="31"/>
  <c r="X330" i="31"/>
  <c r="X289" i="31"/>
  <c r="X280" i="31"/>
  <c r="X303" i="31"/>
  <c r="X295" i="31"/>
  <c r="X311" i="31"/>
  <c r="X366" i="31"/>
  <c r="X353" i="31"/>
  <c r="X312" i="31"/>
  <c r="X365" i="31"/>
  <c r="X342" i="31"/>
  <c r="X315" i="31"/>
  <c r="AU9" i="31" l="1"/>
  <c r="AV9" i="31" s="1"/>
  <c r="AW8" i="31"/>
  <c r="X65" i="31"/>
  <c r="AC65" i="31" s="1"/>
  <c r="OP12" i="31"/>
  <c r="N10" i="31"/>
  <c r="O11" i="31" s="1"/>
  <c r="CZ10" i="31"/>
  <c r="AC276" i="31"/>
  <c r="Z276" i="31"/>
  <c r="AC358" i="31"/>
  <c r="Z358" i="31"/>
  <c r="Z332" i="31"/>
  <c r="AC120" i="31"/>
  <c r="Z120" i="31"/>
  <c r="AC96" i="31"/>
  <c r="Z96" i="31"/>
  <c r="AC312" i="31"/>
  <c r="Z312" i="31"/>
  <c r="Z330" i="31"/>
  <c r="AC302" i="31"/>
  <c r="Z302" i="31"/>
  <c r="AC369" i="31"/>
  <c r="Z369" i="31"/>
  <c r="AC263" i="31"/>
  <c r="Z263" i="31"/>
  <c r="Z354" i="31"/>
  <c r="AC347" i="31"/>
  <c r="Z347" i="31"/>
  <c r="AC341" i="31"/>
  <c r="Z341" i="31"/>
  <c r="AC260" i="31"/>
  <c r="Z260" i="31"/>
  <c r="Z306" i="31"/>
  <c r="AC309" i="31"/>
  <c r="Z309" i="31"/>
  <c r="AC252" i="31"/>
  <c r="Z252" i="31"/>
  <c r="AC201" i="31"/>
  <c r="Z201" i="31"/>
  <c r="Z264" i="31"/>
  <c r="AC364" i="31"/>
  <c r="Z364" i="31"/>
  <c r="AC291" i="31"/>
  <c r="Z291" i="31"/>
  <c r="AC213" i="31"/>
  <c r="Z213" i="31"/>
  <c r="Z203" i="31"/>
  <c r="AC185" i="31"/>
  <c r="Z185" i="31"/>
  <c r="AC239" i="31"/>
  <c r="Z239" i="31"/>
  <c r="AC224" i="31"/>
  <c r="Z224" i="31"/>
  <c r="Z170" i="31"/>
  <c r="AC126" i="31"/>
  <c r="Z126" i="31"/>
  <c r="AC194" i="31"/>
  <c r="Z194" i="31"/>
  <c r="AC187" i="31"/>
  <c r="Z187" i="31"/>
  <c r="Z166" i="31"/>
  <c r="AC140" i="31"/>
  <c r="Z140" i="31"/>
  <c r="AC200" i="31"/>
  <c r="Z200" i="31"/>
  <c r="AC143" i="31"/>
  <c r="Z143" i="31"/>
  <c r="Z95" i="31"/>
  <c r="AC186" i="31"/>
  <c r="Z186" i="31"/>
  <c r="AC92" i="31"/>
  <c r="Z92" i="31"/>
  <c r="AC105" i="31"/>
  <c r="Z105" i="31"/>
  <c r="Z191" i="31"/>
  <c r="AC159" i="31"/>
  <c r="Z159" i="31"/>
  <c r="Z65" i="31"/>
  <c r="AC168" i="31"/>
  <c r="Z168" i="31"/>
  <c r="Z328" i="31"/>
  <c r="AC162" i="31"/>
  <c r="Z162" i="31"/>
  <c r="AC336" i="31"/>
  <c r="Z336" i="31"/>
  <c r="AC268" i="31"/>
  <c r="Z268" i="31"/>
  <c r="Z110" i="31"/>
  <c r="AC101" i="31"/>
  <c r="Z101" i="31"/>
  <c r="AC68" i="31"/>
  <c r="Z68" i="31"/>
  <c r="AC300" i="31"/>
  <c r="Z300" i="31"/>
  <c r="Z363" i="31"/>
  <c r="AC233" i="31"/>
  <c r="Z233" i="31"/>
  <c r="AC256" i="31"/>
  <c r="Z256" i="31"/>
  <c r="AC222" i="31"/>
  <c r="Z222" i="31"/>
  <c r="Z124" i="31"/>
  <c r="AC85" i="31"/>
  <c r="Z85" i="31"/>
  <c r="AC366" i="31"/>
  <c r="Z366" i="31"/>
  <c r="AC349" i="31"/>
  <c r="Z349" i="31"/>
  <c r="Z305" i="31"/>
  <c r="AC292" i="31"/>
  <c r="Z292" i="31"/>
  <c r="AC351" i="31"/>
  <c r="Z351" i="31"/>
  <c r="AC348" i="31"/>
  <c r="Z348" i="31"/>
  <c r="Z323" i="31"/>
  <c r="AC258" i="31"/>
  <c r="Z258" i="31"/>
  <c r="AC320" i="31"/>
  <c r="Z320" i="31"/>
  <c r="AC216" i="31"/>
  <c r="Z216" i="31"/>
  <c r="Z249" i="31"/>
  <c r="AC310" i="31"/>
  <c r="Z310" i="31"/>
  <c r="AC318" i="31"/>
  <c r="Z318" i="31"/>
  <c r="AC285" i="31"/>
  <c r="Z285" i="31"/>
  <c r="Z229" i="31"/>
  <c r="AC205" i="31"/>
  <c r="Z205" i="31"/>
  <c r="AC277" i="31"/>
  <c r="Z277" i="31"/>
  <c r="AC238" i="31"/>
  <c r="Z238" i="31"/>
  <c r="Z314" i="31"/>
  <c r="AC261" i="31"/>
  <c r="Z261" i="31"/>
  <c r="AC139" i="31"/>
  <c r="Z139" i="31"/>
  <c r="AC218" i="31"/>
  <c r="Z218" i="31"/>
  <c r="Z90" i="31"/>
  <c r="AC93" i="31"/>
  <c r="Z93" i="31"/>
  <c r="AC103" i="31"/>
  <c r="Z103" i="31"/>
  <c r="AC156" i="31"/>
  <c r="Z156" i="31"/>
  <c r="Z167" i="31"/>
  <c r="AC71" i="31"/>
  <c r="Z71" i="31"/>
  <c r="AC81" i="31"/>
  <c r="Z81" i="31"/>
  <c r="AC202" i="31"/>
  <c r="Z202" i="31"/>
  <c r="Z137" i="31"/>
  <c r="AC80" i="31"/>
  <c r="Z80" i="31"/>
  <c r="AC94" i="31"/>
  <c r="Z94" i="31"/>
  <c r="AC134" i="31"/>
  <c r="Z134" i="31"/>
  <c r="Z78" i="31"/>
  <c r="AC365" i="31"/>
  <c r="Z365" i="31"/>
  <c r="AC339" i="31"/>
  <c r="Z339" i="31"/>
  <c r="AC284" i="31"/>
  <c r="Z284" i="31"/>
  <c r="Z206" i="31"/>
  <c r="AC179" i="31"/>
  <c r="Z179" i="31"/>
  <c r="AC209" i="31"/>
  <c r="Z209" i="31"/>
  <c r="AC128" i="31"/>
  <c r="Z128" i="31"/>
  <c r="Z331" i="31"/>
  <c r="AC296" i="31"/>
  <c r="Z296" i="31"/>
  <c r="AC293" i="31"/>
  <c r="Z293" i="31"/>
  <c r="AC243" i="31"/>
  <c r="Z243" i="31"/>
  <c r="Z147" i="31"/>
  <c r="AC174" i="31"/>
  <c r="Z174" i="31"/>
  <c r="AC88" i="31"/>
  <c r="Z88" i="31"/>
  <c r="AC282" i="31"/>
  <c r="Z282" i="31"/>
  <c r="Z311" i="31"/>
  <c r="AC301" i="31"/>
  <c r="Z301" i="31"/>
  <c r="AC356" i="31"/>
  <c r="Z356" i="31"/>
  <c r="AC266" i="31"/>
  <c r="Z266" i="31"/>
  <c r="Z265" i="31"/>
  <c r="AC319" i="31"/>
  <c r="Z319" i="31"/>
  <c r="AC214" i="31"/>
  <c r="Z214" i="31"/>
  <c r="AC273" i="31"/>
  <c r="Z273" i="31"/>
  <c r="Z288" i="31"/>
  <c r="AC335" i="31"/>
  <c r="Z335" i="31"/>
  <c r="AC326" i="31"/>
  <c r="Z326" i="31"/>
  <c r="AC329" i="31"/>
  <c r="Z329" i="31"/>
  <c r="Z316" i="31"/>
  <c r="AC324" i="31"/>
  <c r="Z324" i="31"/>
  <c r="AC221" i="31"/>
  <c r="Z221" i="31"/>
  <c r="AC192" i="31"/>
  <c r="Z192" i="31"/>
  <c r="Z223" i="31"/>
  <c r="AC173" i="31"/>
  <c r="Z173" i="31"/>
  <c r="AC189" i="31"/>
  <c r="Z189" i="31"/>
  <c r="AC183" i="31"/>
  <c r="Z183" i="31"/>
  <c r="Z77" i="31"/>
  <c r="AC131" i="31"/>
  <c r="Z131" i="31"/>
  <c r="AC79" i="31"/>
  <c r="Z79" i="31"/>
  <c r="AC130" i="31"/>
  <c r="Z130" i="31"/>
  <c r="Z158" i="31"/>
  <c r="AC116" i="31"/>
  <c r="Z116" i="31"/>
  <c r="AC154" i="31"/>
  <c r="Z154" i="31"/>
  <c r="AC121" i="31"/>
  <c r="Z121" i="31"/>
  <c r="Z108" i="31"/>
  <c r="AC127" i="31"/>
  <c r="Z127" i="31"/>
  <c r="AC102" i="31"/>
  <c r="Z102" i="31"/>
  <c r="AC91" i="31"/>
  <c r="Z91" i="31"/>
  <c r="Z82" i="31"/>
  <c r="AC69" i="31"/>
  <c r="Z69" i="31"/>
  <c r="AC87" i="31"/>
  <c r="Z87" i="31"/>
  <c r="AC72" i="31"/>
  <c r="Z72" i="31"/>
  <c r="Z289" i="31"/>
  <c r="AC352" i="31"/>
  <c r="Z352" i="31"/>
  <c r="AC361" i="31"/>
  <c r="Z361" i="31"/>
  <c r="AC287" i="31"/>
  <c r="Z287" i="31"/>
  <c r="Z226" i="31"/>
  <c r="AC86" i="31"/>
  <c r="Z86" i="31"/>
  <c r="AC113" i="31"/>
  <c r="Z113" i="31"/>
  <c r="AC345" i="31"/>
  <c r="Z345" i="31"/>
  <c r="Z368" i="31"/>
  <c r="AC251" i="31"/>
  <c r="Z251" i="31"/>
  <c r="AC75" i="31"/>
  <c r="Z75" i="31"/>
  <c r="AC151" i="31"/>
  <c r="Z151" i="31"/>
  <c r="Z254" i="31"/>
  <c r="AC274" i="31"/>
  <c r="Z274" i="31"/>
  <c r="AC283" i="31"/>
  <c r="Z283" i="31"/>
  <c r="AC322" i="31"/>
  <c r="Z322" i="31"/>
  <c r="Z355" i="31"/>
  <c r="AC255" i="31"/>
  <c r="Z255" i="31"/>
  <c r="AC362" i="31"/>
  <c r="Z362" i="31"/>
  <c r="AC321" i="31"/>
  <c r="Z321" i="31"/>
  <c r="Z237" i="31"/>
  <c r="AC297" i="31"/>
  <c r="Z297" i="31"/>
  <c r="AC242" i="31"/>
  <c r="Z242" i="31"/>
  <c r="AC241" i="31"/>
  <c r="Z241" i="31"/>
  <c r="Z240" i="31"/>
  <c r="AC245" i="31"/>
  <c r="Z245" i="31"/>
  <c r="AC160" i="31"/>
  <c r="Z160" i="31"/>
  <c r="AC210" i="31"/>
  <c r="Z210" i="31"/>
  <c r="Z169" i="31"/>
  <c r="AC181" i="31"/>
  <c r="Z181" i="31"/>
  <c r="AC197" i="31"/>
  <c r="Z197" i="31"/>
  <c r="AC125" i="31"/>
  <c r="Z125" i="31"/>
  <c r="Z114" i="31"/>
  <c r="AC98" i="31"/>
  <c r="Z98" i="31"/>
  <c r="AC165" i="31"/>
  <c r="Z165" i="31"/>
  <c r="AC171" i="31"/>
  <c r="Z171" i="31"/>
  <c r="Z149" i="31"/>
  <c r="AC145" i="31"/>
  <c r="Z145" i="31"/>
  <c r="AC119" i="31"/>
  <c r="Z119" i="31"/>
  <c r="AC100" i="31"/>
  <c r="Z100" i="31"/>
  <c r="Z123" i="31"/>
  <c r="AC99" i="31"/>
  <c r="Z99" i="31"/>
  <c r="AC76" i="31"/>
  <c r="Z76" i="31"/>
  <c r="AC150" i="31"/>
  <c r="Z150" i="31"/>
  <c r="Z104" i="31"/>
  <c r="AC109" i="31"/>
  <c r="Z109" i="31"/>
  <c r="AC74" i="31"/>
  <c r="Z74" i="31"/>
  <c r="AC269" i="31"/>
  <c r="Z269" i="31"/>
  <c r="Z259" i="31"/>
  <c r="AC228" i="31"/>
  <c r="Z228" i="31"/>
  <c r="AC117" i="31"/>
  <c r="Z117" i="31"/>
  <c r="AC122" i="31"/>
  <c r="Z122" i="31"/>
  <c r="Z67" i="31"/>
  <c r="AC353" i="31"/>
  <c r="Z353" i="31"/>
  <c r="AC327" i="31"/>
  <c r="Z327" i="31"/>
  <c r="AC313" i="31"/>
  <c r="Z313" i="31"/>
  <c r="Z219" i="31"/>
  <c r="AC225" i="31"/>
  <c r="Z225" i="31"/>
  <c r="AC153" i="31"/>
  <c r="Z153" i="31"/>
  <c r="AC198" i="31"/>
  <c r="Z198" i="31"/>
  <c r="Z295" i="31"/>
  <c r="AC315" i="31"/>
  <c r="Z315" i="31"/>
  <c r="AC303" i="31"/>
  <c r="Z303" i="31"/>
  <c r="AC267" i="31"/>
  <c r="Z267" i="31"/>
  <c r="Z370" i="31"/>
  <c r="AC270" i="31"/>
  <c r="Z270" i="31"/>
  <c r="AC304" i="31"/>
  <c r="Z304" i="31"/>
  <c r="AC346" i="31"/>
  <c r="Z346" i="31"/>
  <c r="Z286" i="31"/>
  <c r="AC343" i="31"/>
  <c r="Z343" i="31"/>
  <c r="AC281" i="31"/>
  <c r="Z281" i="31"/>
  <c r="AC290" i="31"/>
  <c r="Z290" i="31"/>
  <c r="Z338" i="31"/>
  <c r="AC246" i="31"/>
  <c r="Z246" i="31"/>
  <c r="AC317" i="31"/>
  <c r="Z317" i="31"/>
  <c r="AC247" i="31"/>
  <c r="Z247" i="31"/>
  <c r="Z230" i="31"/>
  <c r="AC250" i="31"/>
  <c r="Z250" i="31"/>
  <c r="AC211" i="31"/>
  <c r="Z211" i="31"/>
  <c r="AC176" i="31"/>
  <c r="Z176" i="31"/>
  <c r="Z157" i="31"/>
  <c r="AC204" i="31"/>
  <c r="Z204" i="31"/>
  <c r="AC144" i="31"/>
  <c r="Z144" i="31"/>
  <c r="AC97" i="31"/>
  <c r="Z97" i="31"/>
  <c r="Z118" i="31"/>
  <c r="AC182" i="31"/>
  <c r="Z182" i="31"/>
  <c r="AC155" i="31"/>
  <c r="Z155" i="31"/>
  <c r="AC141" i="31"/>
  <c r="Z141" i="31"/>
  <c r="Z161" i="31"/>
  <c r="AC175" i="31"/>
  <c r="Z175" i="31"/>
  <c r="AC188" i="31"/>
  <c r="Z188" i="31"/>
  <c r="AC190" i="31"/>
  <c r="Z190" i="31"/>
  <c r="Z115" i="31"/>
  <c r="AC111" i="31"/>
  <c r="Z111" i="31"/>
  <c r="AC142" i="31"/>
  <c r="Z142" i="31"/>
  <c r="AC66" i="31"/>
  <c r="Z66" i="31"/>
  <c r="Z132" i="31"/>
  <c r="AC308" i="31"/>
  <c r="Z308" i="31"/>
  <c r="AC359" i="31"/>
  <c r="Z359" i="31"/>
  <c r="AC208" i="31"/>
  <c r="Z208" i="31"/>
  <c r="Z148" i="31"/>
  <c r="AC84" i="31"/>
  <c r="Z84" i="31"/>
  <c r="AC257" i="31"/>
  <c r="Z257" i="31"/>
  <c r="AC275" i="31"/>
  <c r="Z275" i="31"/>
  <c r="Z235" i="31"/>
  <c r="AC234" i="31"/>
  <c r="Z234" i="31"/>
  <c r="AC138" i="31"/>
  <c r="Z138" i="31"/>
  <c r="AC89" i="31"/>
  <c r="Z89" i="31"/>
  <c r="Z199" i="31"/>
  <c r="AC73" i="31"/>
  <c r="Z73" i="31"/>
  <c r="AC342" i="31"/>
  <c r="Z342" i="31"/>
  <c r="AC280" i="31"/>
  <c r="Z280" i="31"/>
  <c r="Z367" i="31"/>
  <c r="AC333" i="31"/>
  <c r="Z333" i="31"/>
  <c r="AC325" i="31"/>
  <c r="Z325" i="31"/>
  <c r="AC262" i="31"/>
  <c r="Z262" i="31"/>
  <c r="Z360" i="31"/>
  <c r="AC298" i="31"/>
  <c r="Z298" i="31"/>
  <c r="AC299" i="31"/>
  <c r="Z299" i="31"/>
  <c r="AC334" i="31"/>
  <c r="Z334" i="31"/>
  <c r="Z271" i="31"/>
  <c r="AC340" i="31"/>
  <c r="Z340" i="31"/>
  <c r="AC231" i="31"/>
  <c r="Z231" i="31"/>
  <c r="AC253" i="31"/>
  <c r="Z253" i="31"/>
  <c r="Z244" i="31"/>
  <c r="AC272" i="31"/>
  <c r="Z272" i="31"/>
  <c r="AC217" i="31"/>
  <c r="Z217" i="31"/>
  <c r="AC172" i="31"/>
  <c r="Z172" i="31"/>
  <c r="Z207" i="31"/>
  <c r="AC180" i="31"/>
  <c r="Z180" i="31"/>
  <c r="AC344" i="31"/>
  <c r="Z344" i="31"/>
  <c r="AC136" i="31"/>
  <c r="Z136" i="31"/>
  <c r="Z106" i="31"/>
  <c r="AC163" i="31"/>
  <c r="Z163" i="31"/>
  <c r="AC195" i="31"/>
  <c r="Z195" i="31"/>
  <c r="AC129" i="31"/>
  <c r="Z129" i="31"/>
  <c r="Z133" i="31"/>
  <c r="AC135" i="31"/>
  <c r="Z135" i="31"/>
  <c r="AC215" i="31"/>
  <c r="Z215" i="31"/>
  <c r="AC193" i="31"/>
  <c r="Z193" i="31"/>
  <c r="Z146" i="31"/>
  <c r="AC112" i="31"/>
  <c r="Z112" i="31"/>
  <c r="AC178" i="31"/>
  <c r="Z178" i="31"/>
  <c r="AC107" i="31"/>
  <c r="Z107" i="31"/>
  <c r="Z83" i="31"/>
  <c r="AC70" i="31"/>
  <c r="Z70" i="31"/>
  <c r="AD345" i="31"/>
  <c r="DV345" i="31"/>
  <c r="AD270" i="31"/>
  <c r="DV270" i="31"/>
  <c r="AD342" i="31"/>
  <c r="DV342" i="31"/>
  <c r="AD280" i="31"/>
  <c r="DV280" i="31"/>
  <c r="AD365" i="31"/>
  <c r="DV365" i="31"/>
  <c r="AD311" i="31"/>
  <c r="DV311" i="31"/>
  <c r="AD289" i="31"/>
  <c r="DV289" i="31"/>
  <c r="AD301" i="31"/>
  <c r="DV301" i="31"/>
  <c r="AD276" i="31"/>
  <c r="DV276" i="31"/>
  <c r="AD356" i="31"/>
  <c r="DV356" i="31"/>
  <c r="AD308" i="31"/>
  <c r="DV308" i="31"/>
  <c r="AD266" i="31"/>
  <c r="DV266" i="31"/>
  <c r="AD269" i="31"/>
  <c r="DV269" i="31"/>
  <c r="AD265" i="31"/>
  <c r="DV265" i="31"/>
  <c r="AD339" i="31"/>
  <c r="DV339" i="31"/>
  <c r="AD319" i="31"/>
  <c r="DV319" i="31"/>
  <c r="AD336" i="31"/>
  <c r="DV336" i="31"/>
  <c r="AD214" i="31"/>
  <c r="DV214" i="31"/>
  <c r="AD352" i="31"/>
  <c r="DV352" i="31"/>
  <c r="AD273" i="31"/>
  <c r="DV273" i="31"/>
  <c r="AD358" i="31"/>
  <c r="DV358" i="31"/>
  <c r="AD288" i="31"/>
  <c r="DV288" i="31"/>
  <c r="AD259" i="31"/>
  <c r="DV259" i="31"/>
  <c r="AD335" i="31"/>
  <c r="DV335" i="31"/>
  <c r="AD284" i="31"/>
  <c r="DV284" i="31"/>
  <c r="AD326" i="31"/>
  <c r="DV326" i="31"/>
  <c r="AD359" i="31"/>
  <c r="DV359" i="31"/>
  <c r="AD329" i="31"/>
  <c r="DV329" i="31"/>
  <c r="AD361" i="31"/>
  <c r="DV361" i="31"/>
  <c r="AD316" i="31"/>
  <c r="DV316" i="31"/>
  <c r="AD268" i="31"/>
  <c r="DV268" i="31"/>
  <c r="AD324" i="31"/>
  <c r="DV324" i="31"/>
  <c r="AD332" i="31"/>
  <c r="DV332" i="31"/>
  <c r="AD221" i="31"/>
  <c r="DV221" i="31"/>
  <c r="AD168" i="31"/>
  <c r="DV168" i="31"/>
  <c r="AD192" i="31"/>
  <c r="DV192" i="31"/>
  <c r="AD228" i="31"/>
  <c r="DV228" i="31"/>
  <c r="AD223" i="31"/>
  <c r="DV223" i="31"/>
  <c r="AD206" i="31"/>
  <c r="DV206" i="31"/>
  <c r="AD173" i="31"/>
  <c r="DV173" i="31"/>
  <c r="AD287" i="31"/>
  <c r="DV287" i="31"/>
  <c r="AD189" i="31"/>
  <c r="DV189" i="31"/>
  <c r="AD208" i="31"/>
  <c r="DV208" i="31"/>
  <c r="AD183" i="31"/>
  <c r="DV183" i="31"/>
  <c r="AD110" i="31"/>
  <c r="DV110" i="31"/>
  <c r="AD77" i="31"/>
  <c r="DV77" i="31"/>
  <c r="AD120" i="31"/>
  <c r="DV120" i="31"/>
  <c r="AD131" i="31"/>
  <c r="DV131" i="31"/>
  <c r="AD117" i="31"/>
  <c r="DV117" i="31"/>
  <c r="AD79" i="31"/>
  <c r="DV79" i="31"/>
  <c r="AD179" i="31"/>
  <c r="DV179" i="31"/>
  <c r="AD130" i="31"/>
  <c r="DV130" i="31"/>
  <c r="AD226" i="31"/>
  <c r="DV226" i="31"/>
  <c r="AD158" i="31"/>
  <c r="DV158" i="31"/>
  <c r="AD148" i="31"/>
  <c r="DV148" i="31"/>
  <c r="AD116" i="31"/>
  <c r="DV116" i="31"/>
  <c r="AD101" i="31"/>
  <c r="DV101" i="31"/>
  <c r="AD154" i="31"/>
  <c r="DV154" i="31"/>
  <c r="AD122" i="31"/>
  <c r="DV122" i="31"/>
  <c r="AD121" i="31"/>
  <c r="DV121" i="31"/>
  <c r="AD96" i="31"/>
  <c r="DV96" i="31"/>
  <c r="AD108" i="31"/>
  <c r="DV108" i="31"/>
  <c r="AD209" i="31"/>
  <c r="DV209" i="31"/>
  <c r="AD127" i="31"/>
  <c r="DV127" i="31"/>
  <c r="AD86" i="31"/>
  <c r="DV86" i="31"/>
  <c r="AD102" i="31"/>
  <c r="DV102" i="31"/>
  <c r="AD84" i="31"/>
  <c r="DV84" i="31"/>
  <c r="AD91" i="31"/>
  <c r="DV91" i="31"/>
  <c r="AD67" i="31"/>
  <c r="DV67" i="31"/>
  <c r="AD82" i="31"/>
  <c r="DV82" i="31"/>
  <c r="AD68" i="31"/>
  <c r="DV68" i="31"/>
  <c r="AD69" i="31"/>
  <c r="DV69" i="31"/>
  <c r="AD128" i="31"/>
  <c r="DV128" i="31"/>
  <c r="AD87" i="31"/>
  <c r="DV87" i="31"/>
  <c r="AD113" i="31"/>
  <c r="DV113" i="31"/>
  <c r="AD72" i="31"/>
  <c r="DV72" i="31"/>
  <c r="AD315" i="31"/>
  <c r="DV315" i="31"/>
  <c r="AD267" i="31"/>
  <c r="DV267" i="31"/>
  <c r="AD370" i="31"/>
  <c r="DV370" i="31"/>
  <c r="AD312" i="31"/>
  <c r="DV312" i="31"/>
  <c r="AD295" i="31"/>
  <c r="DV295" i="31"/>
  <c r="AD330" i="31"/>
  <c r="DV330" i="31"/>
  <c r="AD254" i="31"/>
  <c r="DV254" i="31"/>
  <c r="AD302" i="31"/>
  <c r="DV302" i="31"/>
  <c r="AD274" i="31"/>
  <c r="DV274" i="31"/>
  <c r="AD369" i="31"/>
  <c r="DV369" i="31"/>
  <c r="AD283" i="31"/>
  <c r="DV283" i="31"/>
  <c r="AD263" i="31"/>
  <c r="DV263" i="31"/>
  <c r="AD322" i="31"/>
  <c r="DV322" i="31"/>
  <c r="AD354" i="31"/>
  <c r="DV354" i="31"/>
  <c r="AD355" i="31"/>
  <c r="DV355" i="31"/>
  <c r="AD347" i="31"/>
  <c r="DV347" i="31"/>
  <c r="AD255" i="31"/>
  <c r="DV255" i="31"/>
  <c r="AD341" i="31"/>
  <c r="DV341" i="31"/>
  <c r="AD362" i="31"/>
  <c r="DV362" i="31"/>
  <c r="AD260" i="31"/>
  <c r="DV260" i="31"/>
  <c r="AD321" i="31"/>
  <c r="DV321" i="31"/>
  <c r="AD306" i="31"/>
  <c r="DV306" i="31"/>
  <c r="AD237" i="31"/>
  <c r="DV237" i="31"/>
  <c r="AD309" i="31"/>
  <c r="DV309" i="31"/>
  <c r="AD297" i="31"/>
  <c r="DV297" i="31"/>
  <c r="AD252" i="31"/>
  <c r="DV252" i="31"/>
  <c r="AD242" i="31"/>
  <c r="DV242" i="31"/>
  <c r="AD201" i="31"/>
  <c r="DV201" i="31"/>
  <c r="AD241" i="31"/>
  <c r="DV241" i="31"/>
  <c r="AD264" i="31"/>
  <c r="DV264" i="31"/>
  <c r="AD240" i="31"/>
  <c r="DV240" i="31"/>
  <c r="AD364" i="31"/>
  <c r="DV364" i="31"/>
  <c r="AD245" i="31"/>
  <c r="DV245" i="31"/>
  <c r="AD291" i="31"/>
  <c r="DV291" i="31"/>
  <c r="AD160" i="31"/>
  <c r="DV160" i="31"/>
  <c r="AD213" i="31"/>
  <c r="DV213" i="31"/>
  <c r="AD210" i="31"/>
  <c r="DV210" i="31"/>
  <c r="AD203" i="31"/>
  <c r="DV203" i="31"/>
  <c r="AD169" i="31"/>
  <c r="DV169" i="31"/>
  <c r="AD185" i="31"/>
  <c r="DV185" i="31"/>
  <c r="AD181" i="31"/>
  <c r="DV181" i="31"/>
  <c r="AD239" i="31"/>
  <c r="DV239" i="31"/>
  <c r="AD197" i="31"/>
  <c r="DV197" i="31"/>
  <c r="AD224" i="31"/>
  <c r="DV224" i="31"/>
  <c r="AD125" i="31"/>
  <c r="DV125" i="31"/>
  <c r="AD170" i="31"/>
  <c r="DV170" i="31"/>
  <c r="AD114" i="31"/>
  <c r="DV114" i="31"/>
  <c r="AD126" i="31"/>
  <c r="DV126" i="31"/>
  <c r="AD98" i="31"/>
  <c r="DV98" i="31"/>
  <c r="AD194" i="31"/>
  <c r="DV194" i="31"/>
  <c r="AD165" i="31"/>
  <c r="DV165" i="31"/>
  <c r="AD187" i="31"/>
  <c r="DV187" i="31"/>
  <c r="AD171" i="31"/>
  <c r="DV171" i="31"/>
  <c r="AD166" i="31"/>
  <c r="DV166" i="31"/>
  <c r="AD149" i="31"/>
  <c r="DV149" i="31"/>
  <c r="AD140" i="31"/>
  <c r="DV140" i="31"/>
  <c r="AD145" i="31"/>
  <c r="DV145" i="31"/>
  <c r="AD200" i="31"/>
  <c r="DV200" i="31"/>
  <c r="AD119" i="31"/>
  <c r="DV119" i="31"/>
  <c r="AD143" i="31"/>
  <c r="DV143" i="31"/>
  <c r="AD100" i="31"/>
  <c r="DV100" i="31"/>
  <c r="AD95" i="31"/>
  <c r="DV95" i="31"/>
  <c r="AD123" i="31"/>
  <c r="DV123" i="31"/>
  <c r="AD186" i="31"/>
  <c r="DV186" i="31"/>
  <c r="AD99" i="31"/>
  <c r="DV99" i="31"/>
  <c r="AD92" i="31"/>
  <c r="DV92" i="31"/>
  <c r="AD76" i="31"/>
  <c r="DV76" i="31"/>
  <c r="AD105" i="31"/>
  <c r="DV105" i="31"/>
  <c r="AD150" i="31"/>
  <c r="DV150" i="31"/>
  <c r="AD191" i="31"/>
  <c r="DV191" i="31"/>
  <c r="AD104" i="31"/>
  <c r="DV104" i="31"/>
  <c r="AD159" i="31"/>
  <c r="DV159" i="31"/>
  <c r="AD109" i="31"/>
  <c r="DV109" i="31"/>
  <c r="AD65" i="31"/>
  <c r="DV65" i="31"/>
  <c r="AD74" i="31"/>
  <c r="DV74" i="31"/>
  <c r="AD303" i="31"/>
  <c r="DV303" i="31"/>
  <c r="AD331" i="31"/>
  <c r="DV331" i="31"/>
  <c r="AD300" i="31"/>
  <c r="DV300" i="31"/>
  <c r="AD304" i="31"/>
  <c r="DV304" i="31"/>
  <c r="AD327" i="31"/>
  <c r="DV327" i="31"/>
  <c r="AD346" i="31"/>
  <c r="DV346" i="31"/>
  <c r="AD296" i="31"/>
  <c r="DV296" i="31"/>
  <c r="AD286" i="31"/>
  <c r="DV286" i="31"/>
  <c r="AD328" i="31"/>
  <c r="DV328" i="31"/>
  <c r="AD343" i="31"/>
  <c r="DV343" i="31"/>
  <c r="AD275" i="31"/>
  <c r="DV275" i="31"/>
  <c r="AD281" i="31"/>
  <c r="DV281" i="31"/>
  <c r="AD368" i="31"/>
  <c r="DV368" i="31"/>
  <c r="AD290" i="31"/>
  <c r="DV290" i="31"/>
  <c r="AD363" i="31"/>
  <c r="DV363" i="31"/>
  <c r="AD338" i="31"/>
  <c r="DV338" i="31"/>
  <c r="AD313" i="31"/>
  <c r="DV313" i="31"/>
  <c r="AD246" i="31"/>
  <c r="DV246" i="31"/>
  <c r="AD293" i="31"/>
  <c r="DV293" i="31"/>
  <c r="AD317" i="31"/>
  <c r="DV317" i="31"/>
  <c r="AD235" i="31"/>
  <c r="DV235" i="31"/>
  <c r="AD247" i="31"/>
  <c r="DV247" i="31"/>
  <c r="AD233" i="31"/>
  <c r="DV233" i="31"/>
  <c r="AD230" i="31"/>
  <c r="DV230" i="31"/>
  <c r="AD219" i="31"/>
  <c r="DV219" i="31"/>
  <c r="AD250" i="31"/>
  <c r="DV250" i="31"/>
  <c r="AD243" i="31"/>
  <c r="DV243" i="31"/>
  <c r="AD211" i="31"/>
  <c r="DV211" i="31"/>
  <c r="AD251" i="31"/>
  <c r="DV251" i="31"/>
  <c r="AD176" i="31"/>
  <c r="DV176" i="31"/>
  <c r="AD234" i="31"/>
  <c r="DV234" i="31"/>
  <c r="AD157" i="31"/>
  <c r="DV157" i="31"/>
  <c r="AD256" i="31"/>
  <c r="DV256" i="31"/>
  <c r="AD204" i="31"/>
  <c r="DV204" i="31"/>
  <c r="AD225" i="31"/>
  <c r="DV225" i="31"/>
  <c r="AD144" i="31"/>
  <c r="DV144" i="31"/>
  <c r="AD147" i="31"/>
  <c r="DV147" i="31"/>
  <c r="AD97" i="31"/>
  <c r="DV97" i="31"/>
  <c r="AD138" i="31"/>
  <c r="DV138" i="31"/>
  <c r="AD118" i="31"/>
  <c r="DV118" i="31"/>
  <c r="AD222" i="31"/>
  <c r="DV222" i="31"/>
  <c r="AD182" i="31"/>
  <c r="DV182" i="31"/>
  <c r="AD75" i="31"/>
  <c r="DV75" i="31"/>
  <c r="AD155" i="31"/>
  <c r="DV155" i="31"/>
  <c r="AD89" i="31"/>
  <c r="DV89" i="31"/>
  <c r="AD141" i="31"/>
  <c r="DV141" i="31"/>
  <c r="AD153" i="31"/>
  <c r="DV153" i="31"/>
  <c r="AD161" i="31"/>
  <c r="DV161" i="31"/>
  <c r="AD174" i="31"/>
  <c r="DV174" i="31"/>
  <c r="AD175" i="31"/>
  <c r="DV175" i="31"/>
  <c r="AD124" i="31"/>
  <c r="DV124" i="31"/>
  <c r="AD188" i="31"/>
  <c r="DV188" i="31"/>
  <c r="AD199" i="31"/>
  <c r="DV199" i="31"/>
  <c r="AD190" i="31"/>
  <c r="DV190" i="31"/>
  <c r="AD151" i="31"/>
  <c r="DV151" i="31"/>
  <c r="AD115" i="31"/>
  <c r="DV115" i="31"/>
  <c r="AD85" i="31"/>
  <c r="DV85" i="31"/>
  <c r="AD111" i="31"/>
  <c r="DV111" i="31"/>
  <c r="AD198" i="31"/>
  <c r="DV198" i="31"/>
  <c r="AD142" i="31"/>
  <c r="DV142" i="31"/>
  <c r="AD88" i="31"/>
  <c r="DV88" i="31"/>
  <c r="AD66" i="31"/>
  <c r="DV66" i="31"/>
  <c r="AD162" i="31"/>
  <c r="DV162" i="31"/>
  <c r="AD132" i="31"/>
  <c r="DV132" i="31"/>
  <c r="AD73" i="31"/>
  <c r="DV73" i="31"/>
  <c r="AD353" i="31"/>
  <c r="DV353" i="31"/>
  <c r="AD257" i="31"/>
  <c r="DV257" i="31"/>
  <c r="AD366" i="31"/>
  <c r="DV366" i="31"/>
  <c r="AD282" i="31"/>
  <c r="DV282" i="31"/>
  <c r="AD367" i="31"/>
  <c r="DV367" i="31"/>
  <c r="AD349" i="31"/>
  <c r="DV349" i="31"/>
  <c r="AD333" i="31"/>
  <c r="DV333" i="31"/>
  <c r="AD305" i="31"/>
  <c r="DV305" i="31"/>
  <c r="AD325" i="31"/>
  <c r="DV325" i="31"/>
  <c r="AD292" i="31"/>
  <c r="DV292" i="31"/>
  <c r="AD262" i="31"/>
  <c r="DV262" i="31"/>
  <c r="AD351" i="31"/>
  <c r="DV351" i="31"/>
  <c r="AD360" i="31"/>
  <c r="DV360" i="31"/>
  <c r="AD348" i="31"/>
  <c r="DV348" i="31"/>
  <c r="AD298" i="31"/>
  <c r="DV298" i="31"/>
  <c r="AD323" i="31"/>
  <c r="DV323" i="31"/>
  <c r="AD299" i="31"/>
  <c r="DV299" i="31"/>
  <c r="AD258" i="31"/>
  <c r="DV258" i="31"/>
  <c r="AD334" i="31"/>
  <c r="DV334" i="31"/>
  <c r="AD320" i="31"/>
  <c r="DV320" i="31"/>
  <c r="AD271" i="31"/>
  <c r="DV271" i="31"/>
  <c r="AD216" i="31"/>
  <c r="DV216" i="31"/>
  <c r="AD340" i="31"/>
  <c r="DV340" i="31"/>
  <c r="AD249" i="31"/>
  <c r="DV249" i="31"/>
  <c r="AD231" i="31"/>
  <c r="DV231" i="31"/>
  <c r="AD310" i="31"/>
  <c r="DV310" i="31"/>
  <c r="AD253" i="31"/>
  <c r="DV253" i="31"/>
  <c r="AD318" i="31"/>
  <c r="DV318" i="31"/>
  <c r="AD244" i="31"/>
  <c r="DV244" i="31"/>
  <c r="AD285" i="31"/>
  <c r="DV285" i="31"/>
  <c r="AD272" i="31"/>
  <c r="DV272" i="31"/>
  <c r="AD229" i="31"/>
  <c r="DV229" i="31"/>
  <c r="AD217" i="31"/>
  <c r="DV217" i="31"/>
  <c r="AD205" i="31"/>
  <c r="DV205" i="31"/>
  <c r="AD172" i="31"/>
  <c r="DV172" i="31"/>
  <c r="AD277" i="31"/>
  <c r="DV277" i="31"/>
  <c r="AD207" i="31"/>
  <c r="DV207" i="31"/>
  <c r="AD238" i="31"/>
  <c r="DV238" i="31"/>
  <c r="AD180" i="31"/>
  <c r="DV180" i="31"/>
  <c r="AD314" i="31"/>
  <c r="DV314" i="31"/>
  <c r="AD344" i="31"/>
  <c r="DV344" i="31"/>
  <c r="AD261" i="31"/>
  <c r="DV261" i="31"/>
  <c r="AD136" i="31"/>
  <c r="DV136" i="31"/>
  <c r="AD139" i="31"/>
  <c r="DV139" i="31"/>
  <c r="AD106" i="31"/>
  <c r="DV106" i="31"/>
  <c r="AD218" i="31"/>
  <c r="DV218" i="31"/>
  <c r="AD163" i="31"/>
  <c r="DV163" i="31"/>
  <c r="AD90" i="31"/>
  <c r="DV90" i="31"/>
  <c r="AD195" i="31"/>
  <c r="DV195" i="31"/>
  <c r="AD93" i="31"/>
  <c r="DV93" i="31"/>
  <c r="AD129" i="31"/>
  <c r="DV129" i="31"/>
  <c r="AD103" i="31"/>
  <c r="DV103" i="31"/>
  <c r="AD133" i="31"/>
  <c r="DV133" i="31"/>
  <c r="AD156" i="31"/>
  <c r="DV156" i="31"/>
  <c r="AD135" i="31"/>
  <c r="DV135" i="31"/>
  <c r="AD167" i="31"/>
  <c r="DV167" i="31"/>
  <c r="AD215" i="31"/>
  <c r="DV215" i="31"/>
  <c r="AD71" i="31"/>
  <c r="DV71" i="31"/>
  <c r="AD193" i="31"/>
  <c r="DV193" i="31"/>
  <c r="AD81" i="31"/>
  <c r="DV81" i="31"/>
  <c r="AD146" i="31"/>
  <c r="DV146" i="31"/>
  <c r="AD202" i="31"/>
  <c r="DV202" i="31"/>
  <c r="AD112" i="31"/>
  <c r="DV112" i="31"/>
  <c r="AD137" i="31"/>
  <c r="DV137" i="31"/>
  <c r="AD178" i="31"/>
  <c r="DV178" i="31"/>
  <c r="AD80" i="31"/>
  <c r="DV80" i="31"/>
  <c r="AD107" i="31"/>
  <c r="DV107" i="31"/>
  <c r="AD94" i="31"/>
  <c r="DV94" i="31"/>
  <c r="AD83" i="31"/>
  <c r="DV83" i="31"/>
  <c r="AD134" i="31"/>
  <c r="DV134" i="31"/>
  <c r="AD70" i="31"/>
  <c r="DV70" i="31"/>
  <c r="AD78" i="31"/>
  <c r="DV78" i="31"/>
  <c r="LL6" i="31"/>
  <c r="LO6" i="31" s="1"/>
  <c r="II7" i="31"/>
  <c r="II8" i="31" s="1"/>
  <c r="AB302" i="31"/>
  <c r="LM302" i="31" s="1"/>
  <c r="AB341" i="31"/>
  <c r="LM341" i="31" s="1"/>
  <c r="AB364" i="31"/>
  <c r="LM364" i="31" s="1"/>
  <c r="AB185" i="31"/>
  <c r="LM185" i="31" s="1"/>
  <c r="AB194" i="31"/>
  <c r="LM194" i="31" s="1"/>
  <c r="AB105" i="31"/>
  <c r="LM105" i="31" s="1"/>
  <c r="AB312" i="31"/>
  <c r="LM312" i="31" s="1"/>
  <c r="AC354" i="31"/>
  <c r="AB354" i="31"/>
  <c r="LM354" i="31" s="1"/>
  <c r="AB201" i="31"/>
  <c r="LM201" i="31" s="1"/>
  <c r="AB291" i="31"/>
  <c r="LM291" i="31" s="1"/>
  <c r="AB224" i="31"/>
  <c r="LM224" i="31" s="1"/>
  <c r="AC166" i="31"/>
  <c r="AB166" i="31"/>
  <c r="LM166" i="31" s="1"/>
  <c r="AC95" i="31"/>
  <c r="AB95" i="31"/>
  <c r="LM95" i="31" s="1"/>
  <c r="AB159" i="31"/>
  <c r="LM159" i="31" s="1"/>
  <c r="LE62" i="31"/>
  <c r="AB353" i="31"/>
  <c r="LM353" i="31" s="1"/>
  <c r="AB300" i="31"/>
  <c r="LM300" i="31" s="1"/>
  <c r="AC368" i="31"/>
  <c r="AB368" i="31"/>
  <c r="LM368" i="31" s="1"/>
  <c r="AB243" i="31"/>
  <c r="LM243" i="31" s="1"/>
  <c r="AC147" i="31"/>
  <c r="AB147" i="31"/>
  <c r="LM147" i="31" s="1"/>
  <c r="AB89" i="31"/>
  <c r="LM89" i="31" s="1"/>
  <c r="AB85" i="31"/>
  <c r="LM85" i="31" s="1"/>
  <c r="AB73" i="31"/>
  <c r="LM73" i="31" s="1"/>
  <c r="LE46" i="31"/>
  <c r="AB366" i="31"/>
  <c r="LM366" i="31" s="1"/>
  <c r="AB282" i="31"/>
  <c r="LM282" i="31" s="1"/>
  <c r="AB349" i="31"/>
  <c r="LM349" i="31" s="1"/>
  <c r="AC305" i="31"/>
  <c r="AB305" i="31"/>
  <c r="LM305" i="31" s="1"/>
  <c r="AB292" i="31"/>
  <c r="LM292" i="31" s="1"/>
  <c r="AB351" i="31"/>
  <c r="LM351" i="31" s="1"/>
  <c r="AB348" i="31"/>
  <c r="LM348" i="31" s="1"/>
  <c r="AC323" i="31"/>
  <c r="AB323" i="31"/>
  <c r="LM323" i="31" s="1"/>
  <c r="AB258" i="31"/>
  <c r="LM258" i="31" s="1"/>
  <c r="AB320" i="31"/>
  <c r="LM320" i="31" s="1"/>
  <c r="AB216" i="31"/>
  <c r="LM216" i="31" s="1"/>
  <c r="AC249" i="31"/>
  <c r="AB249" i="31"/>
  <c r="LM249" i="31" s="1"/>
  <c r="AB310" i="31"/>
  <c r="LM310" i="31" s="1"/>
  <c r="AB318" i="31"/>
  <c r="LM318" i="31" s="1"/>
  <c r="AB285" i="31"/>
  <c r="LM285" i="31" s="1"/>
  <c r="AC229" i="31"/>
  <c r="AB229" i="31"/>
  <c r="LM229" i="31" s="1"/>
  <c r="AB205" i="31"/>
  <c r="LM205" i="31" s="1"/>
  <c r="AB277" i="31"/>
  <c r="LM277" i="31" s="1"/>
  <c r="AB238" i="31"/>
  <c r="LM238" i="31" s="1"/>
  <c r="AC314" i="31"/>
  <c r="AB314" i="31"/>
  <c r="LM314" i="31" s="1"/>
  <c r="AB261" i="31"/>
  <c r="LM261" i="31" s="1"/>
  <c r="AB139" i="31"/>
  <c r="LM139" i="31" s="1"/>
  <c r="AB218" i="31"/>
  <c r="LM218" i="31" s="1"/>
  <c r="AC90" i="31"/>
  <c r="AB90" i="31"/>
  <c r="LM90" i="31" s="1"/>
  <c r="AB93" i="31"/>
  <c r="LM93" i="31" s="1"/>
  <c r="AB103" i="31"/>
  <c r="LM103" i="31" s="1"/>
  <c r="AB156" i="31"/>
  <c r="LM156" i="31" s="1"/>
  <c r="AC167" i="31"/>
  <c r="AB167" i="31"/>
  <c r="LM167" i="31" s="1"/>
  <c r="AB71" i="31"/>
  <c r="LM71" i="31" s="1"/>
  <c r="AB81" i="31"/>
  <c r="LM81" i="31" s="1"/>
  <c r="AB202" i="31"/>
  <c r="LM202" i="31" s="1"/>
  <c r="AC137" i="31"/>
  <c r="AB137" i="31"/>
  <c r="LM137" i="31" s="1"/>
  <c r="AB80" i="31"/>
  <c r="LM80" i="31" s="1"/>
  <c r="AB94" i="31"/>
  <c r="LM94" i="31" s="1"/>
  <c r="AB134" i="31"/>
  <c r="LM134" i="31" s="1"/>
  <c r="AC78" i="31"/>
  <c r="AB78" i="31"/>
  <c r="LM78" i="31" s="1"/>
  <c r="LE26" i="31"/>
  <c r="LE63" i="31"/>
  <c r="LE25" i="31"/>
  <c r="LE34" i="31"/>
  <c r="LE14" i="31"/>
  <c r="LE54" i="31"/>
  <c r="LE53" i="31"/>
  <c r="LE49" i="31"/>
  <c r="AC330" i="31"/>
  <c r="AB330" i="31"/>
  <c r="LM330" i="31" s="1"/>
  <c r="AB347" i="31"/>
  <c r="LM347" i="31" s="1"/>
  <c r="AC264" i="31"/>
  <c r="AB264" i="31"/>
  <c r="LM264" i="31" s="1"/>
  <c r="AC203" i="31"/>
  <c r="AB203" i="31"/>
  <c r="LM203" i="31" s="1"/>
  <c r="AB126" i="31"/>
  <c r="LM126" i="31" s="1"/>
  <c r="AB200" i="31"/>
  <c r="LM200" i="31" s="1"/>
  <c r="AB186" i="31"/>
  <c r="LM186" i="31" s="1"/>
  <c r="AB65" i="31"/>
  <c r="LM65" i="31" s="1"/>
  <c r="LE64" i="31"/>
  <c r="LE51" i="31"/>
  <c r="AB345" i="31"/>
  <c r="LM345" i="31" s="1"/>
  <c r="AB327" i="31"/>
  <c r="LM327" i="31" s="1"/>
  <c r="AC363" i="31"/>
  <c r="AB363" i="31"/>
  <c r="LM363" i="31" s="1"/>
  <c r="AC219" i="31"/>
  <c r="AB219" i="31"/>
  <c r="LM219" i="31" s="1"/>
  <c r="AB225" i="31"/>
  <c r="LM225" i="31" s="1"/>
  <c r="AB75" i="31"/>
  <c r="LM75" i="31" s="1"/>
  <c r="AB151" i="31"/>
  <c r="LM151" i="31" s="1"/>
  <c r="AB162" i="31"/>
  <c r="LM162" i="31" s="1"/>
  <c r="LE57" i="31"/>
  <c r="AC311" i="31"/>
  <c r="AB311" i="31"/>
  <c r="LM311" i="31" s="1"/>
  <c r="AB301" i="31"/>
  <c r="LM301" i="31" s="1"/>
  <c r="AB356" i="31"/>
  <c r="LM356" i="31" s="1"/>
  <c r="AB266" i="31"/>
  <c r="LM266" i="31" s="1"/>
  <c r="AC265" i="31"/>
  <c r="AB265" i="31"/>
  <c r="LM265" i="31" s="1"/>
  <c r="AB319" i="31"/>
  <c r="LM319" i="31" s="1"/>
  <c r="AB214" i="31"/>
  <c r="LM214" i="31" s="1"/>
  <c r="AB273" i="31"/>
  <c r="LM273" i="31" s="1"/>
  <c r="AC288" i="31"/>
  <c r="AB288" i="31"/>
  <c r="LM288" i="31" s="1"/>
  <c r="AB335" i="31"/>
  <c r="LM335" i="31" s="1"/>
  <c r="AB326" i="31"/>
  <c r="LM326" i="31" s="1"/>
  <c r="AB329" i="31"/>
  <c r="LM329" i="31" s="1"/>
  <c r="AC316" i="31"/>
  <c r="AB316" i="31"/>
  <c r="LM316" i="31" s="1"/>
  <c r="AB324" i="31"/>
  <c r="LM324" i="31" s="1"/>
  <c r="AB221" i="31"/>
  <c r="LM221" i="31" s="1"/>
  <c r="AB192" i="31"/>
  <c r="LM192" i="31" s="1"/>
  <c r="AC223" i="31"/>
  <c r="AB223" i="31"/>
  <c r="LM223" i="31" s="1"/>
  <c r="AB173" i="31"/>
  <c r="LM173" i="31" s="1"/>
  <c r="AB189" i="31"/>
  <c r="LM189" i="31" s="1"/>
  <c r="AB183" i="31"/>
  <c r="LM183" i="31" s="1"/>
  <c r="AC77" i="31"/>
  <c r="AB77" i="31"/>
  <c r="LM77" i="31" s="1"/>
  <c r="AB131" i="31"/>
  <c r="LM131" i="31" s="1"/>
  <c r="AB79" i="31"/>
  <c r="LM79" i="31" s="1"/>
  <c r="AB130" i="31"/>
  <c r="LM130" i="31" s="1"/>
  <c r="AC158" i="31"/>
  <c r="AB158" i="31"/>
  <c r="LM158" i="31" s="1"/>
  <c r="AB116" i="31"/>
  <c r="LM116" i="31" s="1"/>
  <c r="AB154" i="31"/>
  <c r="LM154" i="31" s="1"/>
  <c r="AB121" i="31"/>
  <c r="LM121" i="31" s="1"/>
  <c r="AC108" i="31"/>
  <c r="AB108" i="31"/>
  <c r="LM108" i="31" s="1"/>
  <c r="AB127" i="31"/>
  <c r="LM127" i="31" s="1"/>
  <c r="AB102" i="31"/>
  <c r="LM102" i="31" s="1"/>
  <c r="AB91" i="31"/>
  <c r="LM91" i="31" s="1"/>
  <c r="AC82" i="31"/>
  <c r="AB82" i="31"/>
  <c r="LM82" i="31" s="1"/>
  <c r="AB69" i="31"/>
  <c r="LM69" i="31" s="1"/>
  <c r="AB87" i="31"/>
  <c r="LM87" i="31" s="1"/>
  <c r="AB72" i="31"/>
  <c r="LM72" i="31" s="1"/>
  <c r="LE11" i="31"/>
  <c r="LE31" i="31"/>
  <c r="LE9" i="31"/>
  <c r="LE8" i="31"/>
  <c r="LE30" i="31"/>
  <c r="LE41" i="31"/>
  <c r="LE35" i="31"/>
  <c r="LE24" i="31"/>
  <c r="AC306" i="31"/>
  <c r="AB306" i="31"/>
  <c r="LM306" i="31" s="1"/>
  <c r="LE42" i="31"/>
  <c r="LE40" i="31"/>
  <c r="AC331" i="31"/>
  <c r="AB331" i="31"/>
  <c r="LM331" i="31" s="1"/>
  <c r="AB296" i="31"/>
  <c r="LM296" i="31" s="1"/>
  <c r="AB313" i="31"/>
  <c r="LM313" i="31" s="1"/>
  <c r="AB233" i="31"/>
  <c r="LM233" i="31" s="1"/>
  <c r="AB234" i="31"/>
  <c r="LM234" i="31" s="1"/>
  <c r="AB138" i="31"/>
  <c r="LM138" i="31" s="1"/>
  <c r="AB174" i="31"/>
  <c r="LM174" i="31" s="1"/>
  <c r="AB198" i="31"/>
  <c r="LM198" i="31" s="1"/>
  <c r="LE59" i="31"/>
  <c r="LE17" i="31"/>
  <c r="AC295" i="31"/>
  <c r="AB295" i="31"/>
  <c r="LM295" i="31" s="1"/>
  <c r="AC254" i="31"/>
  <c r="AB254" i="31"/>
  <c r="LM254" i="31" s="1"/>
  <c r="AB274" i="31"/>
  <c r="LM274" i="31" s="1"/>
  <c r="AB283" i="31"/>
  <c r="LM283" i="31" s="1"/>
  <c r="AB322" i="31"/>
  <c r="LM322" i="31" s="1"/>
  <c r="AC355" i="31"/>
  <c r="AB355" i="31"/>
  <c r="LM355" i="31" s="1"/>
  <c r="AB255" i="31"/>
  <c r="LM255" i="31" s="1"/>
  <c r="AB362" i="31"/>
  <c r="LM362" i="31" s="1"/>
  <c r="AB321" i="31"/>
  <c r="LM321" i="31" s="1"/>
  <c r="AC237" i="31"/>
  <c r="AB237" i="31"/>
  <c r="LM237" i="31" s="1"/>
  <c r="AB297" i="31"/>
  <c r="LM297" i="31" s="1"/>
  <c r="AB242" i="31"/>
  <c r="LM242" i="31" s="1"/>
  <c r="AB241" i="31"/>
  <c r="LM241" i="31" s="1"/>
  <c r="AC240" i="31"/>
  <c r="AB240" i="31"/>
  <c r="LM240" i="31" s="1"/>
  <c r="AB245" i="31"/>
  <c r="LM245" i="31" s="1"/>
  <c r="AB160" i="31"/>
  <c r="LM160" i="31" s="1"/>
  <c r="AB210" i="31"/>
  <c r="LM210" i="31" s="1"/>
  <c r="AC169" i="31"/>
  <c r="AB169" i="31"/>
  <c r="LM169" i="31" s="1"/>
  <c r="AB181" i="31"/>
  <c r="LM181" i="31" s="1"/>
  <c r="AB197" i="31"/>
  <c r="LM197" i="31" s="1"/>
  <c r="AB125" i="31"/>
  <c r="LM125" i="31" s="1"/>
  <c r="AC114" i="31"/>
  <c r="AB114" i="31"/>
  <c r="LM114" i="31" s="1"/>
  <c r="AB98" i="31"/>
  <c r="LM98" i="31" s="1"/>
  <c r="AB165" i="31"/>
  <c r="LM165" i="31" s="1"/>
  <c r="AB171" i="31"/>
  <c r="LM171" i="31" s="1"/>
  <c r="AC149" i="31"/>
  <c r="AB149" i="31"/>
  <c r="LM149" i="31" s="1"/>
  <c r="AB145" i="31"/>
  <c r="LM145" i="31" s="1"/>
  <c r="AB119" i="31"/>
  <c r="LM119" i="31" s="1"/>
  <c r="AB100" i="31"/>
  <c r="LM100" i="31" s="1"/>
  <c r="AC123" i="31"/>
  <c r="AB123" i="31"/>
  <c r="LM123" i="31" s="1"/>
  <c r="AB99" i="31"/>
  <c r="LM99" i="31" s="1"/>
  <c r="AB76" i="31"/>
  <c r="LM76" i="31" s="1"/>
  <c r="AB150" i="31"/>
  <c r="LM150" i="31" s="1"/>
  <c r="AC104" i="31"/>
  <c r="AB104" i="31"/>
  <c r="LM104" i="31" s="1"/>
  <c r="AB109" i="31"/>
  <c r="LM109" i="31" s="1"/>
  <c r="AB74" i="31"/>
  <c r="LM74" i="31" s="1"/>
  <c r="LE36" i="31"/>
  <c r="LE22" i="31"/>
  <c r="LE48" i="31"/>
  <c r="LE58" i="31"/>
  <c r="LE15" i="31"/>
  <c r="LE38" i="31"/>
  <c r="AB263" i="31"/>
  <c r="LM263" i="31" s="1"/>
  <c r="AB309" i="31"/>
  <c r="LM309" i="31" s="1"/>
  <c r="AB213" i="31"/>
  <c r="LM213" i="31" s="1"/>
  <c r="AC170" i="31"/>
  <c r="AB170" i="31"/>
  <c r="LM170" i="31" s="1"/>
  <c r="AB143" i="31"/>
  <c r="LM143" i="31" s="1"/>
  <c r="AC191" i="31"/>
  <c r="AB191" i="31"/>
  <c r="LM191" i="31" s="1"/>
  <c r="LE37" i="31"/>
  <c r="AB293" i="31"/>
  <c r="LM293" i="31" s="1"/>
  <c r="AC124" i="31"/>
  <c r="AB124" i="31"/>
  <c r="LM124" i="31" s="1"/>
  <c r="LE18" i="31"/>
  <c r="AB304" i="31"/>
  <c r="LM304" i="31" s="1"/>
  <c r="AB281" i="31"/>
  <c r="LM281" i="31" s="1"/>
  <c r="AB317" i="31"/>
  <c r="LM317" i="31" s="1"/>
  <c r="AC230" i="31"/>
  <c r="AB230" i="31"/>
  <c r="LM230" i="31" s="1"/>
  <c r="AB176" i="31"/>
  <c r="LM176" i="31" s="1"/>
  <c r="AC157" i="31"/>
  <c r="AB157" i="31"/>
  <c r="LM157" i="31" s="1"/>
  <c r="AB204" i="31"/>
  <c r="LM204" i="31" s="1"/>
  <c r="AB144" i="31"/>
  <c r="LM144" i="31" s="1"/>
  <c r="AB97" i="31"/>
  <c r="LM97" i="31" s="1"/>
  <c r="AC118" i="31"/>
  <c r="AB118" i="31"/>
  <c r="LM118" i="31" s="1"/>
  <c r="AB182" i="31"/>
  <c r="LM182" i="31" s="1"/>
  <c r="AB155" i="31"/>
  <c r="LM155" i="31" s="1"/>
  <c r="AB141" i="31"/>
  <c r="LM141" i="31" s="1"/>
  <c r="AC161" i="31"/>
  <c r="AB161" i="31"/>
  <c r="LM161" i="31" s="1"/>
  <c r="AB175" i="31"/>
  <c r="LM175" i="31" s="1"/>
  <c r="AB188" i="31"/>
  <c r="LM188" i="31" s="1"/>
  <c r="AB190" i="31"/>
  <c r="LM190" i="31" s="1"/>
  <c r="AC115" i="31"/>
  <c r="AB115" i="31"/>
  <c r="LM115" i="31" s="1"/>
  <c r="AB111" i="31"/>
  <c r="LM111" i="31" s="1"/>
  <c r="AB142" i="31"/>
  <c r="LM142" i="31" s="1"/>
  <c r="AB66" i="31"/>
  <c r="LM66" i="31" s="1"/>
  <c r="AC132" i="31"/>
  <c r="AB132" i="31"/>
  <c r="LM132" i="31" s="1"/>
  <c r="LE10" i="31"/>
  <c r="LE52" i="31"/>
  <c r="LE60" i="31"/>
  <c r="LE20" i="31"/>
  <c r="LE29" i="31"/>
  <c r="AB260" i="31"/>
  <c r="LM260" i="31" s="1"/>
  <c r="AB187" i="31"/>
  <c r="LM187" i="31" s="1"/>
  <c r="LE55" i="31"/>
  <c r="AC328" i="31"/>
  <c r="AB328" i="31"/>
  <c r="LM328" i="31" s="1"/>
  <c r="AB251" i="31"/>
  <c r="LM251" i="31" s="1"/>
  <c r="AB153" i="31"/>
  <c r="LM153" i="31" s="1"/>
  <c r="LE44" i="31"/>
  <c r="AB315" i="31"/>
  <c r="LM315" i="31" s="1"/>
  <c r="AB267" i="31"/>
  <c r="LM267" i="31" s="1"/>
  <c r="AB270" i="31"/>
  <c r="LM270" i="31" s="1"/>
  <c r="AC286" i="31"/>
  <c r="AB286" i="31"/>
  <c r="LM286" i="31" s="1"/>
  <c r="AB290" i="31"/>
  <c r="LM290" i="31" s="1"/>
  <c r="AB246" i="31"/>
  <c r="LM246" i="31" s="1"/>
  <c r="AB250" i="31"/>
  <c r="LM250" i="31" s="1"/>
  <c r="AB280" i="31"/>
  <c r="LM280" i="31" s="1"/>
  <c r="AB333" i="31"/>
  <c r="LM333" i="31" s="1"/>
  <c r="AB262" i="31"/>
  <c r="LM262" i="31" s="1"/>
  <c r="AB298" i="31"/>
  <c r="LM298" i="31" s="1"/>
  <c r="AB299" i="31"/>
  <c r="LM299" i="31" s="1"/>
  <c r="AB334" i="31"/>
  <c r="LM334" i="31" s="1"/>
  <c r="AC271" i="31"/>
  <c r="AB271" i="31"/>
  <c r="LM271" i="31" s="1"/>
  <c r="AB340" i="31"/>
  <c r="LM340" i="31" s="1"/>
  <c r="AB231" i="31"/>
  <c r="LM231" i="31" s="1"/>
  <c r="AB253" i="31"/>
  <c r="LM253" i="31" s="1"/>
  <c r="AC244" i="31"/>
  <c r="AB244" i="31"/>
  <c r="LM244" i="31" s="1"/>
  <c r="AB272" i="31"/>
  <c r="LM272" i="31" s="1"/>
  <c r="AB217" i="31"/>
  <c r="LM217" i="31" s="1"/>
  <c r="AB172" i="31"/>
  <c r="LM172" i="31" s="1"/>
  <c r="AC207" i="31"/>
  <c r="AB207" i="31"/>
  <c r="LM207" i="31" s="1"/>
  <c r="AB180" i="31"/>
  <c r="LM180" i="31" s="1"/>
  <c r="AB344" i="31"/>
  <c r="LM344" i="31" s="1"/>
  <c r="AB136" i="31"/>
  <c r="LM136" i="31" s="1"/>
  <c r="AC106" i="31"/>
  <c r="AB106" i="31"/>
  <c r="LM106" i="31" s="1"/>
  <c r="AB163" i="31"/>
  <c r="LM163" i="31" s="1"/>
  <c r="AB195" i="31"/>
  <c r="LM195" i="31" s="1"/>
  <c r="AB129" i="31"/>
  <c r="LM129" i="31" s="1"/>
  <c r="AC133" i="31"/>
  <c r="AB133" i="31"/>
  <c r="LM133" i="31" s="1"/>
  <c r="AB135" i="31"/>
  <c r="LM135" i="31" s="1"/>
  <c r="AB215" i="31"/>
  <c r="LM215" i="31" s="1"/>
  <c r="AB193" i="31"/>
  <c r="LM193" i="31" s="1"/>
  <c r="AC146" i="31"/>
  <c r="AB146" i="31"/>
  <c r="LM146" i="31" s="1"/>
  <c r="AB112" i="31"/>
  <c r="LM112" i="31" s="1"/>
  <c r="AB178" i="31"/>
  <c r="LM178" i="31" s="1"/>
  <c r="AB107" i="31"/>
  <c r="LM107" i="31" s="1"/>
  <c r="AC83" i="31"/>
  <c r="AB83" i="31"/>
  <c r="LM83" i="31" s="1"/>
  <c r="AB70" i="31"/>
  <c r="LM70" i="31" s="1"/>
  <c r="LE43" i="31"/>
  <c r="LE27" i="31"/>
  <c r="LE39" i="31"/>
  <c r="LE21" i="31"/>
  <c r="LE28" i="31"/>
  <c r="LE33" i="31"/>
  <c r="AB369" i="31"/>
  <c r="LM369" i="31" s="1"/>
  <c r="AB252" i="31"/>
  <c r="LM252" i="31" s="1"/>
  <c r="AB239" i="31"/>
  <c r="LM239" i="31" s="1"/>
  <c r="AB140" i="31"/>
  <c r="LM140" i="31" s="1"/>
  <c r="AB92" i="31"/>
  <c r="LM92" i="31" s="1"/>
  <c r="LE13" i="31"/>
  <c r="AB257" i="31"/>
  <c r="LM257" i="31" s="1"/>
  <c r="AB275" i="31"/>
  <c r="LM275" i="31" s="1"/>
  <c r="AC235" i="31"/>
  <c r="AB235" i="31"/>
  <c r="LM235" i="31" s="1"/>
  <c r="AB256" i="31"/>
  <c r="LM256" i="31" s="1"/>
  <c r="AB222" i="31"/>
  <c r="LM222" i="31" s="1"/>
  <c r="AC199" i="31"/>
  <c r="AB199" i="31"/>
  <c r="LM199" i="31" s="1"/>
  <c r="AB88" i="31"/>
  <c r="LM88" i="31" s="1"/>
  <c r="LE56" i="31"/>
  <c r="LE45" i="31"/>
  <c r="AB303" i="31"/>
  <c r="LM303" i="31" s="1"/>
  <c r="AC370" i="31"/>
  <c r="AB370" i="31"/>
  <c r="LM370" i="31" s="1"/>
  <c r="AB346" i="31"/>
  <c r="LM346" i="31" s="1"/>
  <c r="AB343" i="31"/>
  <c r="LM343" i="31" s="1"/>
  <c r="AC338" i="31"/>
  <c r="AB338" i="31"/>
  <c r="LM338" i="31" s="1"/>
  <c r="AB247" i="31"/>
  <c r="LM247" i="31" s="1"/>
  <c r="AB211" i="31"/>
  <c r="LM211" i="31" s="1"/>
  <c r="AB342" i="31"/>
  <c r="LM342" i="31" s="1"/>
  <c r="AC367" i="31"/>
  <c r="AB367" i="31"/>
  <c r="LM367" i="31" s="1"/>
  <c r="AB325" i="31"/>
  <c r="LM325" i="31" s="1"/>
  <c r="AC360" i="31"/>
  <c r="AB360" i="31"/>
  <c r="LM360" i="31" s="1"/>
  <c r="AB365" i="31"/>
  <c r="LM365" i="31" s="1"/>
  <c r="AC289" i="31"/>
  <c r="AB289" i="31"/>
  <c r="LM289" i="31" s="1"/>
  <c r="AB276" i="31"/>
  <c r="LM276" i="31" s="1"/>
  <c r="AB308" i="31"/>
  <c r="LM308" i="31" s="1"/>
  <c r="AB269" i="31"/>
  <c r="LM269" i="31" s="1"/>
  <c r="AB339" i="31"/>
  <c r="LM339" i="31" s="1"/>
  <c r="AB336" i="31"/>
  <c r="LM336" i="31" s="1"/>
  <c r="AB352" i="31"/>
  <c r="LM352" i="31" s="1"/>
  <c r="AB358" i="31"/>
  <c r="LM358" i="31" s="1"/>
  <c r="AC259" i="31"/>
  <c r="AB259" i="31"/>
  <c r="LM259" i="31" s="1"/>
  <c r="AB284" i="31"/>
  <c r="LM284" i="31" s="1"/>
  <c r="AB359" i="31"/>
  <c r="LM359" i="31" s="1"/>
  <c r="AB361" i="31"/>
  <c r="LM361" i="31" s="1"/>
  <c r="AB268" i="31"/>
  <c r="LM268" i="31" s="1"/>
  <c r="AC332" i="31"/>
  <c r="AB332" i="31"/>
  <c r="LM332" i="31" s="1"/>
  <c r="AB168" i="31"/>
  <c r="LM168" i="31" s="1"/>
  <c r="AB228" i="31"/>
  <c r="LM228" i="31" s="1"/>
  <c r="AC206" i="31"/>
  <c r="AB206" i="31"/>
  <c r="LM206" i="31" s="1"/>
  <c r="AB287" i="31"/>
  <c r="LM287" i="31" s="1"/>
  <c r="AB208" i="31"/>
  <c r="LM208" i="31" s="1"/>
  <c r="AC110" i="31"/>
  <c r="AB110" i="31"/>
  <c r="LM110" i="31" s="1"/>
  <c r="AB120" i="31"/>
  <c r="LM120" i="31" s="1"/>
  <c r="AB117" i="31"/>
  <c r="LM117" i="31" s="1"/>
  <c r="AB179" i="31"/>
  <c r="LM179" i="31" s="1"/>
  <c r="AC226" i="31"/>
  <c r="AB226" i="31"/>
  <c r="LM226" i="31" s="1"/>
  <c r="AC148" i="31"/>
  <c r="AB148" i="31"/>
  <c r="LM148" i="31" s="1"/>
  <c r="AB101" i="31"/>
  <c r="LM101" i="31" s="1"/>
  <c r="AB122" i="31"/>
  <c r="LM122" i="31" s="1"/>
  <c r="AB96" i="31"/>
  <c r="LM96" i="31" s="1"/>
  <c r="AB209" i="31"/>
  <c r="LM209" i="31" s="1"/>
  <c r="AB86" i="31"/>
  <c r="LM86" i="31" s="1"/>
  <c r="AB84" i="31"/>
  <c r="LM84" i="31" s="1"/>
  <c r="AC67" i="31"/>
  <c r="AB67" i="31"/>
  <c r="LM67" i="31" s="1"/>
  <c r="AB68" i="31"/>
  <c r="LM68" i="31" s="1"/>
  <c r="AB128" i="31"/>
  <c r="LM128" i="31" s="1"/>
  <c r="AB113" i="31"/>
  <c r="LM113" i="31" s="1"/>
  <c r="LE50" i="31"/>
  <c r="LE16" i="31"/>
  <c r="LE12" i="31"/>
  <c r="LE32" i="31"/>
  <c r="LE19" i="31"/>
  <c r="LE47" i="31"/>
  <c r="LE61" i="31"/>
  <c r="LE23" i="31"/>
  <c r="LS7" i="31"/>
  <c r="LY7" i="31" s="1"/>
  <c r="MA7" i="31" s="1"/>
  <c r="LR7" i="31"/>
  <c r="LT7" i="31"/>
  <c r="ME7" i="31" s="1"/>
  <c r="PF7" i="31" s="1"/>
  <c r="DA9" i="31"/>
  <c r="GJ9" i="31"/>
  <c r="GP9" i="31" s="1"/>
  <c r="NE253" i="31"/>
  <c r="NE313" i="31"/>
  <c r="NE281" i="31"/>
  <c r="NE320" i="31"/>
  <c r="NE232" i="31"/>
  <c r="NE367" i="31"/>
  <c r="NE345" i="31"/>
  <c r="NE338" i="31"/>
  <c r="NE289" i="31"/>
  <c r="NE217" i="31"/>
  <c r="NE321" i="31"/>
  <c r="NE162" i="31"/>
  <c r="NE292" i="31"/>
  <c r="NE352" i="31"/>
  <c r="NE344" i="31"/>
  <c r="NE265" i="31"/>
  <c r="NE326" i="31"/>
  <c r="NE235" i="31"/>
  <c r="NE305" i="31"/>
  <c r="NE308" i="31"/>
  <c r="NE266" i="31"/>
  <c r="NE347" i="31"/>
  <c r="NE226" i="31"/>
  <c r="NE332" i="31"/>
  <c r="NE241" i="31"/>
  <c r="NE359" i="31"/>
  <c r="NE216" i="31"/>
  <c r="NE303" i="31"/>
  <c r="NE262" i="31"/>
  <c r="NE300" i="31"/>
  <c r="NE251" i="31"/>
  <c r="NE254" i="31"/>
  <c r="NE340" i="31"/>
  <c r="NE113" i="31"/>
  <c r="NE302" i="31"/>
  <c r="NE363" i="31"/>
  <c r="NE310" i="31"/>
  <c r="NE231" i="31"/>
  <c r="NE368" i="31"/>
  <c r="NE323" i="31"/>
  <c r="NE325" i="31"/>
  <c r="NE282" i="31"/>
  <c r="NE357" i="31"/>
  <c r="NE224" i="31"/>
  <c r="NE311" i="31"/>
  <c r="NE218" i="31"/>
  <c r="NE324" i="31"/>
  <c r="NE148" i="31"/>
  <c r="NE66" i="31"/>
  <c r="R263" i="31"/>
  <c r="S263" i="31" s="1"/>
  <c r="R284" i="31"/>
  <c r="S284" i="31" s="1"/>
  <c r="R195" i="31"/>
  <c r="S195" i="31" s="1"/>
  <c r="R146" i="31"/>
  <c r="S146" i="31" s="1"/>
  <c r="R162" i="31"/>
  <c r="S162" i="31" s="1"/>
  <c r="R331" i="31"/>
  <c r="S331" i="31" s="1"/>
  <c r="R306" i="31"/>
  <c r="S306" i="31" s="1"/>
  <c r="R364" i="31"/>
  <c r="S364" i="31" s="1"/>
  <c r="R207" i="31"/>
  <c r="S207" i="31" s="1"/>
  <c r="R238" i="31"/>
  <c r="S238" i="31" s="1"/>
  <c r="R101" i="31"/>
  <c r="S101" i="31" s="1"/>
  <c r="R302" i="31"/>
  <c r="S302" i="31" s="1"/>
  <c r="R168" i="31"/>
  <c r="S168" i="31" s="1"/>
  <c r="R256" i="31"/>
  <c r="S256" i="31" s="1"/>
  <c r="R366" i="31"/>
  <c r="S366" i="31" s="1"/>
  <c r="R301" i="31"/>
  <c r="S301" i="31" s="1"/>
  <c r="R313" i="31"/>
  <c r="S313" i="31" s="1"/>
  <c r="R185" i="31"/>
  <c r="S185" i="31" s="1"/>
  <c r="R180" i="31"/>
  <c r="S180" i="31" s="1"/>
  <c r="R224" i="31"/>
  <c r="S224" i="31" s="1"/>
  <c r="R170" i="31"/>
  <c r="S170" i="31" s="1"/>
  <c r="R126" i="31"/>
  <c r="S126" i="31" s="1"/>
  <c r="R194" i="31"/>
  <c r="S194" i="31" s="1"/>
  <c r="R187" i="31"/>
  <c r="S187" i="31" s="1"/>
  <c r="R166" i="31"/>
  <c r="S166" i="31" s="1"/>
  <c r="R140" i="31"/>
  <c r="S140" i="31" s="1"/>
  <c r="R200" i="31"/>
  <c r="S200" i="31" s="1"/>
  <c r="R143" i="31"/>
  <c r="S143" i="31" s="1"/>
  <c r="R95" i="31"/>
  <c r="S95" i="31" s="1"/>
  <c r="R186" i="31"/>
  <c r="S186" i="31" s="1"/>
  <c r="R92" i="31"/>
  <c r="S92" i="31" s="1"/>
  <c r="R150" i="31"/>
  <c r="S150" i="31" s="1"/>
  <c r="R104" i="31"/>
  <c r="S104" i="31" s="1"/>
  <c r="R134" i="31"/>
  <c r="S134" i="31" s="1"/>
  <c r="R354" i="31"/>
  <c r="S354" i="31" s="1"/>
  <c r="R136" i="31"/>
  <c r="S136" i="31" s="1"/>
  <c r="R135" i="31"/>
  <c r="S135" i="31" s="1"/>
  <c r="R105" i="31"/>
  <c r="S105" i="31" s="1"/>
  <c r="R282" i="31"/>
  <c r="S282" i="31" s="1"/>
  <c r="R296" i="31"/>
  <c r="S296" i="31" s="1"/>
  <c r="R252" i="31"/>
  <c r="S252" i="31" s="1"/>
  <c r="R213" i="31"/>
  <c r="S213" i="31" s="1"/>
  <c r="R117" i="31"/>
  <c r="S117" i="31" s="1"/>
  <c r="R122" i="31"/>
  <c r="S122" i="31" s="1"/>
  <c r="R84" i="31"/>
  <c r="S84" i="31" s="1"/>
  <c r="R315" i="31"/>
  <c r="S315" i="31" s="1"/>
  <c r="R349" i="31"/>
  <c r="S349" i="31" s="1"/>
  <c r="R292" i="31"/>
  <c r="S292" i="31" s="1"/>
  <c r="R348" i="31"/>
  <c r="S348" i="31" s="1"/>
  <c r="R275" i="31"/>
  <c r="S275" i="31" s="1"/>
  <c r="R363" i="31"/>
  <c r="S363" i="31" s="1"/>
  <c r="R235" i="31"/>
  <c r="S235" i="31" s="1"/>
  <c r="R219" i="31"/>
  <c r="S219" i="31" s="1"/>
  <c r="R243" i="31"/>
  <c r="S243" i="31" s="1"/>
  <c r="R287" i="31"/>
  <c r="S287" i="31" s="1"/>
  <c r="R295" i="31"/>
  <c r="S295" i="31" s="1"/>
  <c r="R285" i="31"/>
  <c r="S285" i="31" s="1"/>
  <c r="R229" i="31"/>
  <c r="S229" i="31" s="1"/>
  <c r="R205" i="31"/>
  <c r="S205" i="31" s="1"/>
  <c r="R147" i="31"/>
  <c r="S147" i="31" s="1"/>
  <c r="R138" i="31"/>
  <c r="S138" i="31" s="1"/>
  <c r="R222" i="31"/>
  <c r="S222" i="31" s="1"/>
  <c r="R75" i="31"/>
  <c r="S75" i="31" s="1"/>
  <c r="R89" i="31"/>
  <c r="S89" i="31" s="1"/>
  <c r="R153" i="31"/>
  <c r="S153" i="31" s="1"/>
  <c r="R174" i="31"/>
  <c r="S174" i="31" s="1"/>
  <c r="R124" i="31"/>
  <c r="S124" i="31" s="1"/>
  <c r="R199" i="31"/>
  <c r="S199" i="31" s="1"/>
  <c r="R151" i="31"/>
  <c r="S151" i="31" s="1"/>
  <c r="R85" i="31"/>
  <c r="S85" i="31" s="1"/>
  <c r="R142" i="31"/>
  <c r="S142" i="31" s="1"/>
  <c r="R66" i="31"/>
  <c r="S66" i="31" s="1"/>
  <c r="R132" i="31"/>
  <c r="S132" i="31" s="1"/>
  <c r="R65" i="31"/>
  <c r="S65" i="31" s="1"/>
  <c r="R72" i="31"/>
  <c r="S72" i="31" s="1"/>
  <c r="R347" i="31"/>
  <c r="S347" i="31" s="1"/>
  <c r="R268" i="31"/>
  <c r="S268" i="31" s="1"/>
  <c r="R133" i="31"/>
  <c r="S133" i="31" s="1"/>
  <c r="R112" i="31"/>
  <c r="S112" i="31" s="1"/>
  <c r="R109" i="31"/>
  <c r="S109" i="31" s="1"/>
  <c r="R327" i="31"/>
  <c r="S327" i="31" s="1"/>
  <c r="R226" i="31"/>
  <c r="S226" i="31" s="1"/>
  <c r="R86" i="31"/>
  <c r="S86" i="31" s="1"/>
  <c r="R69" i="31"/>
  <c r="S69" i="31" s="1"/>
  <c r="R311" i="31"/>
  <c r="S311" i="31" s="1"/>
  <c r="R305" i="31"/>
  <c r="S305" i="31" s="1"/>
  <c r="R351" i="31"/>
  <c r="S351" i="31" s="1"/>
  <c r="R328" i="31"/>
  <c r="S328" i="31" s="1"/>
  <c r="R368" i="31"/>
  <c r="S368" i="31" s="1"/>
  <c r="R293" i="31"/>
  <c r="S293" i="31" s="1"/>
  <c r="R233" i="31"/>
  <c r="S233" i="31" s="1"/>
  <c r="R277" i="31"/>
  <c r="S277" i="31" s="1"/>
  <c r="R342" i="31"/>
  <c r="S342" i="31" s="1"/>
  <c r="R254" i="31"/>
  <c r="S254" i="31" s="1"/>
  <c r="R356" i="31"/>
  <c r="S356" i="31" s="1"/>
  <c r="R266" i="31"/>
  <c r="S266" i="31" s="1"/>
  <c r="R265" i="31"/>
  <c r="S265" i="31" s="1"/>
  <c r="R319" i="31"/>
  <c r="S319" i="31" s="1"/>
  <c r="R323" i="31"/>
  <c r="S323" i="31" s="1"/>
  <c r="R258" i="31"/>
  <c r="S258" i="31" s="1"/>
  <c r="R320" i="31"/>
  <c r="S320" i="31" s="1"/>
  <c r="R216" i="31"/>
  <c r="S216" i="31" s="1"/>
  <c r="R249" i="31"/>
  <c r="S249" i="31" s="1"/>
  <c r="R310" i="31"/>
  <c r="S310" i="31" s="1"/>
  <c r="R365" i="31"/>
  <c r="S365" i="31" s="1"/>
  <c r="R303" i="31"/>
  <c r="S303" i="31" s="1"/>
  <c r="R267" i="31"/>
  <c r="S267" i="31" s="1"/>
  <c r="R274" i="31"/>
  <c r="S274" i="31" s="1"/>
  <c r="R283" i="31"/>
  <c r="S283" i="31" s="1"/>
  <c r="R322" i="31"/>
  <c r="S322" i="31" s="1"/>
  <c r="R355" i="31"/>
  <c r="S355" i="31" s="1"/>
  <c r="R214" i="31"/>
  <c r="S214" i="31" s="1"/>
  <c r="R273" i="31"/>
  <c r="S273" i="31" s="1"/>
  <c r="R288" i="31"/>
  <c r="S288" i="31" s="1"/>
  <c r="R335" i="31"/>
  <c r="S335" i="31" s="1"/>
  <c r="R326" i="31"/>
  <c r="S326" i="31" s="1"/>
  <c r="R329" i="31"/>
  <c r="S329" i="31" s="1"/>
  <c r="R316" i="31"/>
  <c r="S316" i="31" s="1"/>
  <c r="R324" i="31"/>
  <c r="S324" i="31" s="1"/>
  <c r="R221" i="31"/>
  <c r="S221" i="31" s="1"/>
  <c r="R192" i="31"/>
  <c r="S192" i="31" s="1"/>
  <c r="R223" i="31"/>
  <c r="S223" i="31" s="1"/>
  <c r="R176" i="31"/>
  <c r="S176" i="31" s="1"/>
  <c r="R234" i="31"/>
  <c r="S234" i="31" s="1"/>
  <c r="R110" i="31"/>
  <c r="S110" i="31" s="1"/>
  <c r="R225" i="31"/>
  <c r="S225" i="31" s="1"/>
  <c r="R261" i="31"/>
  <c r="S261" i="31" s="1"/>
  <c r="R139" i="31"/>
  <c r="S139" i="31" s="1"/>
  <c r="R218" i="31"/>
  <c r="S218" i="31" s="1"/>
  <c r="R90" i="31"/>
  <c r="S90" i="31" s="1"/>
  <c r="R93" i="31"/>
  <c r="S93" i="31" s="1"/>
  <c r="R103" i="31"/>
  <c r="S103" i="31" s="1"/>
  <c r="R156" i="31"/>
  <c r="S156" i="31" s="1"/>
  <c r="R167" i="31"/>
  <c r="S167" i="31" s="1"/>
  <c r="R71" i="31"/>
  <c r="S71" i="31" s="1"/>
  <c r="R81" i="31"/>
  <c r="S81" i="31" s="1"/>
  <c r="R202" i="31"/>
  <c r="S202" i="31" s="1"/>
  <c r="R137" i="31"/>
  <c r="S137" i="31" s="1"/>
  <c r="R111" i="31"/>
  <c r="S111" i="31" s="1"/>
  <c r="R107" i="31"/>
  <c r="S107" i="31" s="1"/>
  <c r="R70" i="31"/>
  <c r="S70" i="31" s="1"/>
  <c r="R369" i="31"/>
  <c r="S369" i="31" s="1"/>
  <c r="R358" i="31"/>
  <c r="S358" i="31" s="1"/>
  <c r="R361" i="31"/>
  <c r="S361" i="31" s="1"/>
  <c r="R228" i="31"/>
  <c r="S228" i="31" s="1"/>
  <c r="R169" i="31"/>
  <c r="S169" i="31" s="1"/>
  <c r="R106" i="31"/>
  <c r="S106" i="31" s="1"/>
  <c r="R215" i="31"/>
  <c r="S215" i="31" s="1"/>
  <c r="R80" i="31"/>
  <c r="S80" i="31" s="1"/>
  <c r="R257" i="31"/>
  <c r="S257" i="31" s="1"/>
  <c r="R309" i="31"/>
  <c r="S309" i="31" s="1"/>
  <c r="R291" i="31"/>
  <c r="S291" i="31" s="1"/>
  <c r="R197" i="31"/>
  <c r="S197" i="31" s="1"/>
  <c r="R120" i="31"/>
  <c r="S120" i="31" s="1"/>
  <c r="R209" i="31"/>
  <c r="S209" i="31" s="1"/>
  <c r="R82" i="31"/>
  <c r="S82" i="31" s="1"/>
  <c r="R367" i="31"/>
  <c r="S367" i="31" s="1"/>
  <c r="R321" i="31"/>
  <c r="S321" i="31" s="1"/>
  <c r="R314" i="31"/>
  <c r="S314" i="31" s="1"/>
  <c r="R131" i="31"/>
  <c r="S131" i="31" s="1"/>
  <c r="R154" i="31"/>
  <c r="S154" i="31" s="1"/>
  <c r="R83" i="31"/>
  <c r="S83" i="31" s="1"/>
  <c r="R353" i="31"/>
  <c r="S353" i="31" s="1"/>
  <c r="R259" i="31"/>
  <c r="S259" i="31" s="1"/>
  <c r="R163" i="31"/>
  <c r="S163" i="31" s="1"/>
  <c r="R193" i="31"/>
  <c r="S193" i="31" s="1"/>
  <c r="R94" i="31"/>
  <c r="S94" i="31" s="1"/>
  <c r="R78" i="31"/>
  <c r="S78" i="31" s="1"/>
  <c r="R341" i="31"/>
  <c r="S341" i="31" s="1"/>
  <c r="R264" i="31"/>
  <c r="S264" i="31" s="1"/>
  <c r="R251" i="31"/>
  <c r="S251" i="31" s="1"/>
  <c r="R148" i="31"/>
  <c r="S148" i="31" s="1"/>
  <c r="R280" i="31"/>
  <c r="S280" i="31" s="1"/>
  <c r="R270" i="31"/>
  <c r="S270" i="31" s="1"/>
  <c r="R346" i="31"/>
  <c r="S346" i="31" s="1"/>
  <c r="R362" i="31"/>
  <c r="S362" i="31" s="1"/>
  <c r="R297" i="31"/>
  <c r="S297" i="31" s="1"/>
  <c r="R241" i="31"/>
  <c r="S241" i="31" s="1"/>
  <c r="R240" i="31"/>
  <c r="S240" i="31" s="1"/>
  <c r="R160" i="31"/>
  <c r="S160" i="31" s="1"/>
  <c r="R210" i="31"/>
  <c r="S210" i="31" s="1"/>
  <c r="R204" i="31"/>
  <c r="S204" i="31" s="1"/>
  <c r="R77" i="31"/>
  <c r="S77" i="31" s="1"/>
  <c r="R130" i="31"/>
  <c r="S130" i="31" s="1"/>
  <c r="R116" i="31"/>
  <c r="S116" i="31" s="1"/>
  <c r="R108" i="31"/>
  <c r="S108" i="31" s="1"/>
  <c r="R102" i="31"/>
  <c r="S102" i="31" s="1"/>
  <c r="R113" i="31"/>
  <c r="S113" i="31" s="1"/>
  <c r="R289" i="31"/>
  <c r="S289" i="31" s="1"/>
  <c r="R276" i="31"/>
  <c r="S276" i="31" s="1"/>
  <c r="R333" i="31"/>
  <c r="S333" i="31" s="1"/>
  <c r="R325" i="31"/>
  <c r="S325" i="31" s="1"/>
  <c r="R262" i="31"/>
  <c r="S262" i="31" s="1"/>
  <c r="R360" i="31"/>
  <c r="S360" i="31" s="1"/>
  <c r="R286" i="31"/>
  <c r="S286" i="31" s="1"/>
  <c r="R343" i="31"/>
  <c r="S343" i="31" s="1"/>
  <c r="R281" i="31"/>
  <c r="S281" i="31" s="1"/>
  <c r="R290" i="31"/>
  <c r="S290" i="31" s="1"/>
  <c r="R338" i="31"/>
  <c r="S338" i="31" s="1"/>
  <c r="R246" i="31"/>
  <c r="S246" i="31" s="1"/>
  <c r="R317" i="31"/>
  <c r="S317" i="31" s="1"/>
  <c r="R247" i="31"/>
  <c r="S247" i="31" s="1"/>
  <c r="R230" i="31"/>
  <c r="S230" i="31" s="1"/>
  <c r="R250" i="31"/>
  <c r="S250" i="31" s="1"/>
  <c r="R211" i="31"/>
  <c r="S211" i="31" s="1"/>
  <c r="R189" i="31"/>
  <c r="S189" i="31" s="1"/>
  <c r="R125" i="31"/>
  <c r="S125" i="31" s="1"/>
  <c r="R114" i="31"/>
  <c r="S114" i="31" s="1"/>
  <c r="R98" i="31"/>
  <c r="S98" i="31" s="1"/>
  <c r="R165" i="31"/>
  <c r="S165" i="31" s="1"/>
  <c r="R171" i="31"/>
  <c r="S171" i="31" s="1"/>
  <c r="R149" i="31"/>
  <c r="S149" i="31" s="1"/>
  <c r="R145" i="31"/>
  <c r="S145" i="31" s="1"/>
  <c r="R119" i="31"/>
  <c r="S119" i="31" s="1"/>
  <c r="R100" i="31"/>
  <c r="S100" i="31" s="1"/>
  <c r="R123" i="31"/>
  <c r="S123" i="31" s="1"/>
  <c r="R99" i="31"/>
  <c r="S99" i="31" s="1"/>
  <c r="R91" i="31"/>
  <c r="S91" i="31" s="1"/>
  <c r="R67" i="31"/>
  <c r="S67" i="31" s="1"/>
  <c r="R191" i="31"/>
  <c r="S191" i="31" s="1"/>
  <c r="R128" i="31"/>
  <c r="S128" i="31" s="1"/>
  <c r="R87" i="31"/>
  <c r="S87" i="31" s="1"/>
  <c r="R73" i="31"/>
  <c r="S73" i="31" s="1"/>
  <c r="R74" i="31"/>
  <c r="S74" i="31" s="1"/>
  <c r="R345" i="31"/>
  <c r="S345" i="31" s="1"/>
  <c r="R352" i="31"/>
  <c r="S352" i="31" s="1"/>
  <c r="R359" i="31"/>
  <c r="S359" i="31" s="1"/>
  <c r="R332" i="31"/>
  <c r="S332" i="31" s="1"/>
  <c r="R206" i="31"/>
  <c r="S206" i="31" s="1"/>
  <c r="R157" i="31"/>
  <c r="S157" i="31" s="1"/>
  <c r="R129" i="31"/>
  <c r="S129" i="31" s="1"/>
  <c r="R300" i="31"/>
  <c r="S300" i="31" s="1"/>
  <c r="R260" i="31"/>
  <c r="S260" i="31" s="1"/>
  <c r="R201" i="31"/>
  <c r="S201" i="31" s="1"/>
  <c r="R203" i="31"/>
  <c r="S203" i="31" s="1"/>
  <c r="R344" i="31"/>
  <c r="S344" i="31" s="1"/>
  <c r="R179" i="31"/>
  <c r="S179" i="31" s="1"/>
  <c r="R96" i="31"/>
  <c r="S96" i="31" s="1"/>
  <c r="R312" i="31"/>
  <c r="S312" i="31" s="1"/>
  <c r="R370" i="31"/>
  <c r="S370" i="31" s="1"/>
  <c r="R304" i="31"/>
  <c r="S304" i="31" s="1"/>
  <c r="R255" i="31"/>
  <c r="S255" i="31" s="1"/>
  <c r="R237" i="31"/>
  <c r="S237" i="31" s="1"/>
  <c r="R242" i="31"/>
  <c r="S242" i="31" s="1"/>
  <c r="R245" i="31"/>
  <c r="S245" i="31" s="1"/>
  <c r="R208" i="31"/>
  <c r="S208" i="31" s="1"/>
  <c r="R79" i="31"/>
  <c r="S79" i="31" s="1"/>
  <c r="R158" i="31"/>
  <c r="S158" i="31" s="1"/>
  <c r="R121" i="31"/>
  <c r="S121" i="31" s="1"/>
  <c r="R127" i="31"/>
  <c r="S127" i="31" s="1"/>
  <c r="R178" i="31"/>
  <c r="S178" i="31" s="1"/>
  <c r="R68" i="31"/>
  <c r="S68" i="31" s="1"/>
  <c r="R330" i="31"/>
  <c r="S330" i="31" s="1"/>
  <c r="R308" i="31"/>
  <c r="S308" i="31" s="1"/>
  <c r="R269" i="31"/>
  <c r="S269" i="31" s="1"/>
  <c r="R339" i="31"/>
  <c r="S339" i="31" s="1"/>
  <c r="R336" i="31"/>
  <c r="S336" i="31" s="1"/>
  <c r="R298" i="31"/>
  <c r="S298" i="31" s="1"/>
  <c r="R299" i="31"/>
  <c r="S299" i="31" s="1"/>
  <c r="R334" i="31"/>
  <c r="S334" i="31" s="1"/>
  <c r="R271" i="31"/>
  <c r="S271" i="31" s="1"/>
  <c r="R340" i="31"/>
  <c r="S340" i="31" s="1"/>
  <c r="R231" i="31"/>
  <c r="S231" i="31" s="1"/>
  <c r="R253" i="31"/>
  <c r="S253" i="31" s="1"/>
  <c r="R244" i="31"/>
  <c r="S244" i="31" s="1"/>
  <c r="R272" i="31"/>
  <c r="S272" i="31" s="1"/>
  <c r="R217" i="31"/>
  <c r="S217" i="31" s="1"/>
  <c r="R172" i="31"/>
  <c r="S172" i="31" s="1"/>
  <c r="R173" i="31"/>
  <c r="S173" i="31" s="1"/>
  <c r="R181" i="31"/>
  <c r="S181" i="31" s="1"/>
  <c r="R239" i="31"/>
  <c r="S239" i="31" s="1"/>
  <c r="R183" i="31"/>
  <c r="S183" i="31" s="1"/>
  <c r="R144" i="31"/>
  <c r="S144" i="31" s="1"/>
  <c r="R97" i="31"/>
  <c r="S97" i="31" s="1"/>
  <c r="R118" i="31"/>
  <c r="S118" i="31" s="1"/>
  <c r="R182" i="31"/>
  <c r="S182" i="31" s="1"/>
  <c r="R155" i="31"/>
  <c r="S155" i="31" s="1"/>
  <c r="R141" i="31"/>
  <c r="S141" i="31" s="1"/>
  <c r="R161" i="31"/>
  <c r="S161" i="31" s="1"/>
  <c r="R175" i="31"/>
  <c r="S175" i="31" s="1"/>
  <c r="R188" i="31"/>
  <c r="S188" i="31" s="1"/>
  <c r="R190" i="31"/>
  <c r="S190" i="31" s="1"/>
  <c r="R115" i="31"/>
  <c r="S115" i="31" s="1"/>
  <c r="R76" i="31"/>
  <c r="S76" i="31" s="1"/>
  <c r="R198" i="31"/>
  <c r="S198" i="31" s="1"/>
  <c r="R88" i="31"/>
  <c r="S88" i="31" s="1"/>
  <c r="R159" i="31"/>
  <c r="S159" i="31" s="1"/>
  <c r="R318" i="31"/>
  <c r="S318" i="31" s="1"/>
  <c r="AF318" i="31"/>
  <c r="GK104" i="31"/>
  <c r="GL104" i="31" s="1"/>
  <c r="GK321" i="31"/>
  <c r="GL321" i="31" s="1"/>
  <c r="GK277" i="31"/>
  <c r="GL277" i="31" s="1"/>
  <c r="GK198" i="31"/>
  <c r="GL198" i="31" s="1"/>
  <c r="GK268" i="31"/>
  <c r="GL268" i="31" s="1"/>
  <c r="GK193" i="31"/>
  <c r="GL193" i="31" s="1"/>
  <c r="GK187" i="31"/>
  <c r="GL187" i="31" s="1"/>
  <c r="GK96" i="31"/>
  <c r="GL96" i="31" s="1"/>
  <c r="GK301" i="31"/>
  <c r="GL301" i="31" s="1"/>
  <c r="GK230" i="31"/>
  <c r="GL230" i="31" s="1"/>
  <c r="GK127" i="31"/>
  <c r="GL127" i="31" s="1"/>
  <c r="GK188" i="31"/>
  <c r="GL188" i="31" s="1"/>
  <c r="GK147" i="31"/>
  <c r="GL147" i="31" s="1"/>
  <c r="GK101" i="31"/>
  <c r="GL101" i="31" s="1"/>
  <c r="GK91" i="31"/>
  <c r="GL91" i="31" s="1"/>
  <c r="GK136" i="31"/>
  <c r="GL136" i="31" s="1"/>
  <c r="GK154" i="31"/>
  <c r="GL154" i="31" s="1"/>
  <c r="GK305" i="31"/>
  <c r="GL305" i="31" s="1"/>
  <c r="GK102" i="31"/>
  <c r="GL102" i="31" s="1"/>
  <c r="GK242" i="31"/>
  <c r="GL242" i="31" s="1"/>
  <c r="GK224" i="31"/>
  <c r="GL224" i="31" s="1"/>
  <c r="GK349" i="31"/>
  <c r="GL349" i="31" s="1"/>
  <c r="GK294" i="31"/>
  <c r="GL294" i="31" s="1"/>
  <c r="GK285" i="31"/>
  <c r="GL285" i="31" s="1"/>
  <c r="GK126" i="31"/>
  <c r="GL126" i="31" s="1"/>
  <c r="GK248" i="31"/>
  <c r="GL248" i="31" s="1"/>
  <c r="GK122" i="31"/>
  <c r="GL122" i="31" s="1"/>
  <c r="GK347" i="31"/>
  <c r="GL347" i="31" s="1"/>
  <c r="GK318" i="31"/>
  <c r="GL318" i="31" s="1"/>
  <c r="GK307" i="31"/>
  <c r="GL307" i="31" s="1"/>
  <c r="GK82" i="31"/>
  <c r="GL82" i="31" s="1"/>
  <c r="GK235" i="31"/>
  <c r="GL235" i="31" s="1"/>
  <c r="GK129" i="31"/>
  <c r="GL129" i="31" s="1"/>
  <c r="GK234" i="31"/>
  <c r="GL234" i="31" s="1"/>
  <c r="GK92" i="31"/>
  <c r="GL92" i="31" s="1"/>
  <c r="GK341" i="31"/>
  <c r="GL341" i="31" s="1"/>
  <c r="GK190" i="31"/>
  <c r="GL190" i="31" s="1"/>
  <c r="GK306" i="31"/>
  <c r="GL306" i="31" s="1"/>
  <c r="GK252" i="31"/>
  <c r="GL252" i="31" s="1"/>
  <c r="GK212" i="31"/>
  <c r="GL212" i="31" s="1"/>
  <c r="GK160" i="31"/>
  <c r="GL160" i="31" s="1"/>
  <c r="GK357" i="31"/>
  <c r="GL357" i="31" s="1"/>
  <c r="GK206" i="31"/>
  <c r="GL206" i="31" s="1"/>
  <c r="GK111" i="31"/>
  <c r="GL111" i="31" s="1"/>
  <c r="GK322" i="31"/>
  <c r="GL322" i="31" s="1"/>
  <c r="GK140" i="31"/>
  <c r="GL140" i="31" s="1"/>
  <c r="GK65" i="31"/>
  <c r="GL65" i="31" s="1"/>
  <c r="GK73" i="31"/>
  <c r="GL73" i="31" s="1"/>
  <c r="GK287" i="31"/>
  <c r="GL287" i="31" s="1"/>
  <c r="GK281" i="31"/>
  <c r="GL281" i="31" s="1"/>
  <c r="GK232" i="31"/>
  <c r="GL232" i="31" s="1"/>
  <c r="GK237" i="31"/>
  <c r="GL237" i="31" s="1"/>
  <c r="GK166" i="31"/>
  <c r="GL166" i="31" s="1"/>
  <c r="GK146" i="31"/>
  <c r="GL146" i="31" s="1"/>
  <c r="GK289" i="31"/>
  <c r="GL289" i="31" s="1"/>
  <c r="GK320" i="31"/>
  <c r="GL320" i="31" s="1"/>
  <c r="GK261" i="31"/>
  <c r="GL261" i="31" s="1"/>
  <c r="GK298" i="31"/>
  <c r="GL298" i="31" s="1"/>
  <c r="GK236" i="31"/>
  <c r="GL236" i="31" s="1"/>
  <c r="GK270" i="31"/>
  <c r="GL270" i="31" s="1"/>
  <c r="GK87" i="31"/>
  <c r="GL87" i="31" s="1"/>
  <c r="GK67" i="31"/>
  <c r="GL67" i="31" s="1"/>
  <c r="GK335" i="31"/>
  <c r="GL335" i="31" s="1"/>
  <c r="GK139" i="31"/>
  <c r="GL139" i="31" s="1"/>
  <c r="GK89" i="31"/>
  <c r="GL89" i="31" s="1"/>
  <c r="GK164" i="31"/>
  <c r="GL164" i="31" s="1"/>
  <c r="GK302" i="31"/>
  <c r="GL302" i="31" s="1"/>
  <c r="GK191" i="31"/>
  <c r="GL191" i="31" s="1"/>
  <c r="GK332" i="31"/>
  <c r="GL332" i="31" s="1"/>
  <c r="GK148" i="31"/>
  <c r="GL148" i="31" s="1"/>
  <c r="GK266" i="31"/>
  <c r="GL266" i="31" s="1"/>
  <c r="GK241" i="31"/>
  <c r="GL241" i="31" s="1"/>
  <c r="GK336" i="31"/>
  <c r="GL336" i="31" s="1"/>
  <c r="GK359" i="31"/>
  <c r="GL359" i="31" s="1"/>
  <c r="GK66" i="31"/>
  <c r="GL66" i="31" s="1"/>
  <c r="GK272" i="31"/>
  <c r="GL272" i="31" s="1"/>
  <c r="GK309" i="31"/>
  <c r="GL309" i="31" s="1"/>
  <c r="GK246" i="31"/>
  <c r="GL246" i="31" s="1"/>
  <c r="GK143" i="31"/>
  <c r="GL143" i="31" s="1"/>
  <c r="GK354" i="31"/>
  <c r="GL354" i="31" s="1"/>
  <c r="GK204" i="31"/>
  <c r="GL204" i="31" s="1"/>
  <c r="GK179" i="31"/>
  <c r="GL179" i="31" s="1"/>
  <c r="GK173" i="31"/>
  <c r="GL173" i="31" s="1"/>
  <c r="GK79" i="31"/>
  <c r="GL79" i="31" s="1"/>
  <c r="GK358" i="31"/>
  <c r="GL358" i="31" s="1"/>
  <c r="GK175" i="31"/>
  <c r="GL175" i="31" s="1"/>
  <c r="GK299" i="31"/>
  <c r="GL299" i="31" s="1"/>
  <c r="GK271" i="31"/>
  <c r="GL271" i="31" s="1"/>
  <c r="GK115" i="31"/>
  <c r="GL115" i="31" s="1"/>
  <c r="GK134" i="31"/>
  <c r="GL134" i="31" s="1"/>
  <c r="GK338" i="31"/>
  <c r="GL338" i="31" s="1"/>
  <c r="GK116" i="31"/>
  <c r="GL116" i="31" s="1"/>
  <c r="GK78" i="31"/>
  <c r="GL78" i="31" s="1"/>
  <c r="GK290" i="31"/>
  <c r="GL290" i="31" s="1"/>
  <c r="GK76" i="31"/>
  <c r="GL76" i="31" s="1"/>
  <c r="GK276" i="31"/>
  <c r="GL276" i="31" s="1"/>
  <c r="GK201" i="31"/>
  <c r="GL201" i="31" s="1"/>
  <c r="GK247" i="31"/>
  <c r="GL247" i="31" s="1"/>
  <c r="GK121" i="31"/>
  <c r="GL121" i="31" s="1"/>
  <c r="GK208" i="31"/>
  <c r="GL208" i="31" s="1"/>
  <c r="GK106" i="31"/>
  <c r="GL106" i="31" s="1"/>
  <c r="GK280" i="31"/>
  <c r="GL280" i="31" s="1"/>
  <c r="GK171" i="31"/>
  <c r="GL171" i="31" s="1"/>
  <c r="GK259" i="31"/>
  <c r="GL259" i="31" s="1"/>
  <c r="GK214" i="31"/>
  <c r="GL214" i="31" s="1"/>
  <c r="GK199" i="31"/>
  <c r="GL199" i="31" s="1"/>
  <c r="GK172" i="31"/>
  <c r="GL172" i="31" s="1"/>
  <c r="GK257" i="31"/>
  <c r="GL257" i="31" s="1"/>
  <c r="GK249" i="31"/>
  <c r="GL249" i="31" s="1"/>
  <c r="GK325" i="31"/>
  <c r="GL325" i="31" s="1"/>
  <c r="GK71" i="31"/>
  <c r="GL71" i="31" s="1"/>
  <c r="GK362" i="31"/>
  <c r="GL362" i="31" s="1"/>
  <c r="GK220" i="31"/>
  <c r="GL220" i="31" s="1"/>
  <c r="GK350" i="31"/>
  <c r="GL350" i="31" s="1"/>
  <c r="GK107" i="31"/>
  <c r="GL107" i="31" s="1"/>
  <c r="GK355" i="31"/>
  <c r="GL355" i="31" s="1"/>
  <c r="GK327" i="31"/>
  <c r="GL327" i="31" s="1"/>
  <c r="GK360" i="31"/>
  <c r="GL360" i="31" s="1"/>
  <c r="GK170" i="31"/>
  <c r="GL170" i="31" s="1"/>
  <c r="GK353" i="31"/>
  <c r="GL353" i="31" s="1"/>
  <c r="GK69" i="31"/>
  <c r="GL69" i="31" s="1"/>
  <c r="GK331" i="31"/>
  <c r="GL331" i="31" s="1"/>
  <c r="GK310" i="31"/>
  <c r="GL310" i="31" s="1"/>
  <c r="GK279" i="31"/>
  <c r="GL279" i="31" s="1"/>
  <c r="GK348" i="31"/>
  <c r="GL348" i="31" s="1"/>
  <c r="GK274" i="31"/>
  <c r="GL274" i="31" s="1"/>
  <c r="GK84" i="31"/>
  <c r="GL84" i="31" s="1"/>
  <c r="GK265" i="31"/>
  <c r="GL265" i="31" s="1"/>
  <c r="GK196" i="31"/>
  <c r="GL196" i="31" s="1"/>
  <c r="GK254" i="31"/>
  <c r="GL254" i="31" s="1"/>
  <c r="GK151" i="31"/>
  <c r="GL151" i="31" s="1"/>
  <c r="GK195" i="31"/>
  <c r="GL195" i="31" s="1"/>
  <c r="GK319" i="31"/>
  <c r="GL319" i="31" s="1"/>
  <c r="GK251" i="31"/>
  <c r="GL251" i="31" s="1"/>
  <c r="GK185" i="31"/>
  <c r="GL185" i="31" s="1"/>
  <c r="GK125" i="31"/>
  <c r="GL125" i="31" s="1"/>
  <c r="GK98" i="31"/>
  <c r="GL98" i="31" s="1"/>
  <c r="GK161" i="31"/>
  <c r="GL161" i="31" s="1"/>
  <c r="GK72" i="31"/>
  <c r="GL72" i="31" s="1"/>
  <c r="GK205" i="31"/>
  <c r="GL205" i="31" s="1"/>
  <c r="GK118" i="31"/>
  <c r="GL118" i="31" s="1"/>
  <c r="GK124" i="31"/>
  <c r="GL124" i="31" s="1"/>
  <c r="GK180" i="31"/>
  <c r="GL180" i="31" s="1"/>
  <c r="GK351" i="31"/>
  <c r="GL351" i="31" s="1"/>
  <c r="GK275" i="31"/>
  <c r="GL275" i="31" s="1"/>
  <c r="GK229" i="31"/>
  <c r="GL229" i="31" s="1"/>
  <c r="GK142" i="31"/>
  <c r="GL142" i="31" s="1"/>
  <c r="GK346" i="31"/>
  <c r="GL346" i="31" s="1"/>
  <c r="GK169" i="31"/>
  <c r="GL169" i="31" s="1"/>
  <c r="GK74" i="31"/>
  <c r="GL74" i="31" s="1"/>
  <c r="GK219" i="31"/>
  <c r="GL219" i="31" s="1"/>
  <c r="GK273" i="31"/>
  <c r="GL273" i="31" s="1"/>
  <c r="GK176" i="31"/>
  <c r="GL176" i="31" s="1"/>
  <c r="GK334" i="31"/>
  <c r="GL334" i="31" s="1"/>
  <c r="GK145" i="31"/>
  <c r="GL145" i="31" s="1"/>
  <c r="NE76" i="31"/>
  <c r="NE203" i="31"/>
  <c r="NE153" i="31"/>
  <c r="NE116" i="31"/>
  <c r="NE69" i="31"/>
  <c r="NE91" i="31"/>
  <c r="NE75" i="31"/>
  <c r="NE85" i="31"/>
  <c r="NE87" i="31"/>
  <c r="NE77" i="31"/>
  <c r="NE110" i="31"/>
  <c r="NE68" i="31"/>
  <c r="NE103" i="31"/>
  <c r="NE176" i="31"/>
  <c r="AF328" i="31"/>
  <c r="AF246" i="31"/>
  <c r="AF103" i="31"/>
  <c r="AF353" i="31"/>
  <c r="AF303" i="31"/>
  <c r="AF330" i="31"/>
  <c r="AF302" i="31"/>
  <c r="AF270" i="31"/>
  <c r="AF304" i="31"/>
  <c r="AF255" i="31"/>
  <c r="AF323" i="31"/>
  <c r="AF258" i="31"/>
  <c r="AF321" i="31"/>
  <c r="AF335" i="31"/>
  <c r="AF326" i="31"/>
  <c r="AF340" i="31"/>
  <c r="AF313" i="31"/>
  <c r="AF285" i="31"/>
  <c r="AF168" i="31"/>
  <c r="AF229" i="31"/>
  <c r="AF217" i="31"/>
  <c r="AF173" i="31"/>
  <c r="AF183" i="31"/>
  <c r="AF125" i="31"/>
  <c r="AF131" i="31"/>
  <c r="AF79" i="31"/>
  <c r="AF130" i="31"/>
  <c r="AF158" i="31"/>
  <c r="AF116" i="31"/>
  <c r="AF167" i="31"/>
  <c r="AF143" i="31"/>
  <c r="AF115" i="31"/>
  <c r="AF198" i="31"/>
  <c r="AF150" i="31"/>
  <c r="AF104" i="31"/>
  <c r="AF83" i="31"/>
  <c r="AF72" i="31"/>
  <c r="AF288" i="31"/>
  <c r="AF338" i="31"/>
  <c r="AF223" i="31"/>
  <c r="AF90" i="31"/>
  <c r="AF100" i="31"/>
  <c r="AF151" i="31"/>
  <c r="AF283" i="31"/>
  <c r="AF355" i="31"/>
  <c r="AF298" i="31"/>
  <c r="AF297" i="31"/>
  <c r="AF169" i="31"/>
  <c r="AF185" i="31"/>
  <c r="AF314" i="31"/>
  <c r="AF149" i="31"/>
  <c r="AF124" i="31"/>
  <c r="AF109" i="31"/>
  <c r="AF266" i="31"/>
  <c r="AF259" i="31"/>
  <c r="AF247" i="31"/>
  <c r="AF180" i="31"/>
  <c r="AF93" i="31"/>
  <c r="AF174" i="31"/>
  <c r="AF67" i="31"/>
  <c r="AF359" i="31"/>
  <c r="AF361" i="31"/>
  <c r="AF208" i="31"/>
  <c r="AF118" i="31"/>
  <c r="AF119" i="31"/>
  <c r="AF202" i="31"/>
  <c r="AF162" i="31"/>
  <c r="AF197" i="31"/>
  <c r="AF224" i="31"/>
  <c r="AF195" i="31"/>
  <c r="AF342" i="31"/>
  <c r="AF351" i="31"/>
  <c r="AF316" i="31"/>
  <c r="AF203" i="31"/>
  <c r="AF139" i="31"/>
  <c r="AF301" i="31"/>
  <c r="AF331" i="31"/>
  <c r="AF257" i="31"/>
  <c r="AF319" i="31"/>
  <c r="AF299" i="31"/>
  <c r="AF309" i="31"/>
  <c r="AF231" i="31"/>
  <c r="AF235" i="31"/>
  <c r="AF192" i="31"/>
  <c r="AF228" i="31"/>
  <c r="AF251" i="31"/>
  <c r="AF114" i="31"/>
  <c r="AF98" i="31"/>
  <c r="AF171" i="31"/>
  <c r="AF95" i="31"/>
  <c r="AF92" i="31"/>
  <c r="AF370" i="31"/>
  <c r="AF300" i="31"/>
  <c r="AF273" i="31"/>
  <c r="AF281" i="31"/>
  <c r="AF291" i="31"/>
  <c r="AF213" i="31"/>
  <c r="AF277" i="31"/>
  <c r="AF287" i="31"/>
  <c r="AF144" i="31"/>
  <c r="AF182" i="31"/>
  <c r="AF154" i="31"/>
  <c r="AF199" i="31"/>
  <c r="AF65" i="31"/>
  <c r="AF315" i="31"/>
  <c r="AF366" i="31"/>
  <c r="AF345" i="31"/>
  <c r="AF276" i="31"/>
  <c r="AF346" i="31"/>
  <c r="AF352" i="31"/>
  <c r="AF290" i="31"/>
  <c r="AF249" i="31"/>
  <c r="AF201" i="31"/>
  <c r="AF211" i="31"/>
  <c r="AF189" i="31"/>
  <c r="AF106" i="31"/>
  <c r="AF129" i="31"/>
  <c r="AF175" i="31"/>
  <c r="AF142" i="31"/>
  <c r="AF128" i="31"/>
  <c r="AF70" i="31"/>
  <c r="AF74" i="31"/>
  <c r="AF311" i="31"/>
  <c r="AF282" i="31"/>
  <c r="AF356" i="31"/>
  <c r="AF333" i="31"/>
  <c r="AF305" i="31"/>
  <c r="AF269" i="31"/>
  <c r="AF292" i="31"/>
  <c r="AF354" i="31"/>
  <c r="AF260" i="31"/>
  <c r="AF271" i="31"/>
  <c r="AF363" i="31"/>
  <c r="AF329" i="31"/>
  <c r="AF324" i="31"/>
  <c r="AF332" i="31"/>
  <c r="AF245" i="31"/>
  <c r="AF160" i="31"/>
  <c r="AF205" i="31"/>
  <c r="AF172" i="31"/>
  <c r="AF234" i="31"/>
  <c r="AF238" i="31"/>
  <c r="AF181" i="31"/>
  <c r="AF239" i="31"/>
  <c r="AF110" i="31"/>
  <c r="AF120" i="31"/>
  <c r="AF117" i="31"/>
  <c r="AF179" i="31"/>
  <c r="AF226" i="31"/>
  <c r="AF148" i="31"/>
  <c r="AF133" i="31"/>
  <c r="AF121" i="31"/>
  <c r="AF215" i="31"/>
  <c r="AF71" i="31"/>
  <c r="AF81" i="31"/>
  <c r="AF102" i="31"/>
  <c r="AF107" i="31"/>
  <c r="AF113" i="31"/>
  <c r="AF214" i="31"/>
  <c r="AF218" i="31"/>
  <c r="AF237" i="31"/>
  <c r="AF221" i="31"/>
  <c r="AF210" i="31"/>
  <c r="AF165" i="31"/>
  <c r="AF193" i="31"/>
  <c r="AF295" i="31"/>
  <c r="AF322" i="31"/>
  <c r="AF275" i="31"/>
  <c r="AF252" i="31"/>
  <c r="AF77" i="31"/>
  <c r="AF87" i="31"/>
  <c r="AF367" i="31"/>
  <c r="AF263" i="31"/>
  <c r="AF360" i="31"/>
  <c r="AF286" i="31"/>
  <c r="AF241" i="31"/>
  <c r="AF244" i="31"/>
  <c r="AF207" i="31"/>
  <c r="AF204" i="31"/>
  <c r="AF156" i="31"/>
  <c r="AF123" i="31"/>
  <c r="AF76" i="31"/>
  <c r="AF105" i="31"/>
  <c r="AF94" i="31"/>
  <c r="AF78" i="31"/>
  <c r="AF365" i="31"/>
  <c r="AF262" i="31"/>
  <c r="AF296" i="31"/>
  <c r="AF358" i="31"/>
  <c r="AF317" i="31"/>
  <c r="AF176" i="31"/>
  <c r="AF97" i="31"/>
  <c r="AF155" i="31"/>
  <c r="AF135" i="31"/>
  <c r="AF190" i="31"/>
  <c r="AF85" i="31"/>
  <c r="AF68" i="31"/>
  <c r="AF132" i="31"/>
  <c r="AF312" i="31"/>
  <c r="AF280" i="31"/>
  <c r="AF349" i="31"/>
  <c r="AF325" i="31"/>
  <c r="AF339" i="31"/>
  <c r="AF348" i="31"/>
  <c r="AF306" i="31"/>
  <c r="AF253" i="31"/>
  <c r="AF243" i="31"/>
  <c r="AF136" i="31"/>
  <c r="AF163" i="31"/>
  <c r="AF141" i="31"/>
  <c r="AF209" i="31"/>
  <c r="AF146" i="31"/>
  <c r="AF178" i="31"/>
  <c r="AF254" i="31"/>
  <c r="AF308" i="31"/>
  <c r="AF336" i="31"/>
  <c r="AF362" i="31"/>
  <c r="AF334" i="31"/>
  <c r="AF368" i="31"/>
  <c r="AF293" i="31"/>
  <c r="AF364" i="31"/>
  <c r="AF230" i="31"/>
  <c r="AF250" i="31"/>
  <c r="AF157" i="31"/>
  <c r="AF256" i="31"/>
  <c r="AF344" i="31"/>
  <c r="AF225" i="31"/>
  <c r="AF170" i="31"/>
  <c r="AF126" i="31"/>
  <c r="AF194" i="31"/>
  <c r="AF187" i="31"/>
  <c r="AF166" i="31"/>
  <c r="AF101" i="31"/>
  <c r="AF140" i="31"/>
  <c r="AF145" i="31"/>
  <c r="AF96" i="31"/>
  <c r="AF188" i="31"/>
  <c r="AF127" i="31"/>
  <c r="AF86" i="31"/>
  <c r="AF99" i="31"/>
  <c r="AF112" i="31"/>
  <c r="AF80" i="31"/>
  <c r="AF82" i="31"/>
  <c r="AF191" i="31"/>
  <c r="AF69" i="31"/>
  <c r="AF289" i="31"/>
  <c r="AF267" i="31"/>
  <c r="AF274" i="31"/>
  <c r="AF369" i="31"/>
  <c r="AF265" i="31"/>
  <c r="AF327" i="31"/>
  <c r="AF347" i="31"/>
  <c r="AF341" i="31"/>
  <c r="AF343" i="31"/>
  <c r="AF320" i="31"/>
  <c r="AF284" i="31"/>
  <c r="AF216" i="31"/>
  <c r="AF242" i="31"/>
  <c r="AF310" i="31"/>
  <c r="AF268" i="31"/>
  <c r="AF264" i="31"/>
  <c r="AF240" i="31"/>
  <c r="AF233" i="31"/>
  <c r="AF272" i="31"/>
  <c r="AF219" i="31"/>
  <c r="AF206" i="31"/>
  <c r="AF261" i="31"/>
  <c r="AF147" i="31"/>
  <c r="AF138" i="31"/>
  <c r="AF222" i="31"/>
  <c r="AF75" i="31"/>
  <c r="AF89" i="31"/>
  <c r="AF153" i="31"/>
  <c r="AF161" i="31"/>
  <c r="AF122" i="31"/>
  <c r="AF200" i="31"/>
  <c r="AF108" i="31"/>
  <c r="AF186" i="31"/>
  <c r="AF84" i="31"/>
  <c r="AF137" i="31"/>
  <c r="AF91" i="31"/>
  <c r="AF111" i="31"/>
  <c r="AF88" i="31"/>
  <c r="AF66" i="31"/>
  <c r="AF159" i="31"/>
  <c r="AF134" i="31"/>
  <c r="AF73" i="31"/>
  <c r="FN304" i="31"/>
  <c r="FN188" i="31"/>
  <c r="FN84" i="31"/>
  <c r="FN280" i="31"/>
  <c r="FN267" i="31"/>
  <c r="FN305" i="31"/>
  <c r="FN283" i="31"/>
  <c r="FN269" i="31"/>
  <c r="FN263" i="31"/>
  <c r="FN322" i="31"/>
  <c r="FN351" i="31"/>
  <c r="FN296" i="31"/>
  <c r="FN255" i="31"/>
  <c r="FN326" i="31"/>
  <c r="FN252" i="31"/>
  <c r="FN242" i="31"/>
  <c r="FN201" i="31"/>
  <c r="FN317" i="31"/>
  <c r="FN264" i="31"/>
  <c r="FN318" i="31"/>
  <c r="FN272" i="31"/>
  <c r="FN192" i="31"/>
  <c r="FN250" i="31"/>
  <c r="FN217" i="31"/>
  <c r="FN172" i="31"/>
  <c r="FN203" i="31"/>
  <c r="FN234" i="31"/>
  <c r="FN183" i="31"/>
  <c r="FN77" i="31"/>
  <c r="FN147" i="31"/>
  <c r="FN138" i="31"/>
  <c r="FN222" i="31"/>
  <c r="FN226" i="31"/>
  <c r="FN158" i="31"/>
  <c r="FN89" i="31"/>
  <c r="FN153" i="31"/>
  <c r="FN215" i="31"/>
  <c r="FN123" i="31"/>
  <c r="FN112" i="31"/>
  <c r="FN178" i="31"/>
  <c r="FN105" i="31"/>
  <c r="FN198" i="31"/>
  <c r="FN150" i="31"/>
  <c r="FN66" i="31"/>
  <c r="FN132" i="31"/>
  <c r="FN65" i="31"/>
  <c r="FN115" i="31"/>
  <c r="FN286" i="31"/>
  <c r="FN362" i="31"/>
  <c r="FN281" i="31"/>
  <c r="FN340" i="31"/>
  <c r="FN246" i="31"/>
  <c r="FN324" i="31"/>
  <c r="FN370" i="31"/>
  <c r="FN319" i="31"/>
  <c r="FN328" i="31"/>
  <c r="FN363" i="31"/>
  <c r="FN268" i="31"/>
  <c r="FN168" i="31"/>
  <c r="FN251" i="31"/>
  <c r="FN208" i="31"/>
  <c r="FN314" i="31"/>
  <c r="FN204" i="31"/>
  <c r="FN104" i="31"/>
  <c r="FN113" i="31"/>
  <c r="FN342" i="31"/>
  <c r="FN311" i="31"/>
  <c r="FN289" i="31"/>
  <c r="FN345" i="31"/>
  <c r="FN301" i="31"/>
  <c r="FN367" i="31"/>
  <c r="FN302" i="31"/>
  <c r="FN266" i="31"/>
  <c r="FN292" i="31"/>
  <c r="FN262" i="31"/>
  <c r="FN355" i="31"/>
  <c r="FN360" i="31"/>
  <c r="FN347" i="31"/>
  <c r="FN352" i="31"/>
  <c r="FN323" i="31"/>
  <c r="FN359" i="31"/>
  <c r="FN244" i="31"/>
  <c r="FN332" i="31"/>
  <c r="FN221" i="31"/>
  <c r="FN213" i="31"/>
  <c r="FN223" i="31"/>
  <c r="FN206" i="31"/>
  <c r="FN277" i="31"/>
  <c r="FN189" i="31"/>
  <c r="FN114" i="31"/>
  <c r="FN98" i="31"/>
  <c r="FN90" i="31"/>
  <c r="FN156" i="31"/>
  <c r="FN167" i="31"/>
  <c r="FN100" i="31"/>
  <c r="FN127" i="31"/>
  <c r="FN91" i="31"/>
  <c r="FN111" i="31"/>
  <c r="FN142" i="31"/>
  <c r="FN68" i="31"/>
  <c r="FN87" i="31"/>
  <c r="FN260" i="31"/>
  <c r="FN125" i="31"/>
  <c r="FN171" i="31"/>
  <c r="FN200" i="31"/>
  <c r="FN70" i="31"/>
  <c r="FN366" i="31"/>
  <c r="FN309" i="31"/>
  <c r="FN131" i="31"/>
  <c r="FN174" i="31"/>
  <c r="FN108" i="31"/>
  <c r="FN146" i="31"/>
  <c r="FN295" i="31"/>
  <c r="FN331" i="31"/>
  <c r="FN274" i="31"/>
  <c r="FN333" i="31"/>
  <c r="FN270" i="31"/>
  <c r="FN339" i="31"/>
  <c r="FN346" i="31"/>
  <c r="FN275" i="31"/>
  <c r="FN306" i="31"/>
  <c r="FN290" i="31"/>
  <c r="FN235" i="31"/>
  <c r="FN364" i="31"/>
  <c r="FN291" i="31"/>
  <c r="FN219" i="31"/>
  <c r="FN243" i="31"/>
  <c r="FN169" i="31"/>
  <c r="FN181" i="31"/>
  <c r="FN239" i="31"/>
  <c r="FN197" i="31"/>
  <c r="FN224" i="31"/>
  <c r="FN144" i="31"/>
  <c r="FN97" i="31"/>
  <c r="FN118" i="31"/>
  <c r="FN130" i="31"/>
  <c r="FN155" i="31"/>
  <c r="FN149" i="31"/>
  <c r="FN143" i="31"/>
  <c r="FN67" i="31"/>
  <c r="FN107" i="31"/>
  <c r="FN73" i="31"/>
  <c r="FN72" i="31"/>
  <c r="FN365" i="31"/>
  <c r="FN348" i="31"/>
  <c r="FN139" i="31"/>
  <c r="FN103" i="31"/>
  <c r="FN122" i="31"/>
  <c r="FN190" i="31"/>
  <c r="FN159" i="31"/>
  <c r="FN312" i="31"/>
  <c r="FN173" i="31"/>
  <c r="FN79" i="31"/>
  <c r="FN83" i="31"/>
  <c r="FN303" i="31"/>
  <c r="FN330" i="31"/>
  <c r="FN308" i="31"/>
  <c r="FN257" i="31"/>
  <c r="FN354" i="31"/>
  <c r="FN299" i="31"/>
  <c r="FN258" i="31"/>
  <c r="FN288" i="31"/>
  <c r="FN334" i="31"/>
  <c r="FN271" i="31"/>
  <c r="FN216" i="31"/>
  <c r="FN249" i="31"/>
  <c r="FN293" i="31"/>
  <c r="FN205" i="31"/>
  <c r="FN210" i="31"/>
  <c r="FN207" i="31"/>
  <c r="FN157" i="31"/>
  <c r="FN256" i="31"/>
  <c r="FN110" i="31"/>
  <c r="FN136" i="31"/>
  <c r="FN106" i="31"/>
  <c r="FN163" i="31"/>
  <c r="FN165" i="31"/>
  <c r="FN187" i="31"/>
  <c r="FN129" i="31"/>
  <c r="FN141" i="31"/>
  <c r="FN135" i="31"/>
  <c r="FN193" i="31"/>
  <c r="FN86" i="31"/>
  <c r="FN102" i="31"/>
  <c r="FN92" i="31"/>
  <c r="FN80" i="31"/>
  <c r="FN82" i="31"/>
  <c r="FN128" i="31"/>
  <c r="FN162" i="31"/>
  <c r="FN282" i="31"/>
  <c r="FN228" i="31"/>
  <c r="FN238" i="31"/>
  <c r="FN96" i="31"/>
  <c r="FN298" i="31"/>
  <c r="FN297" i="31"/>
  <c r="FN202" i="31"/>
  <c r="FN276" i="31"/>
  <c r="FN349" i="31"/>
  <c r="FN369" i="31"/>
  <c r="FN273" i="31"/>
  <c r="FN358" i="31"/>
  <c r="FN321" i="31"/>
  <c r="FN368" i="31"/>
  <c r="FN329" i="31"/>
  <c r="FN231" i="31"/>
  <c r="FN310" i="31"/>
  <c r="FN240" i="31"/>
  <c r="FN245" i="31"/>
  <c r="FN176" i="31"/>
  <c r="FN287" i="31"/>
  <c r="FN185" i="31"/>
  <c r="FN344" i="31"/>
  <c r="FN225" i="31"/>
  <c r="FN120" i="31"/>
  <c r="FN117" i="31"/>
  <c r="FN179" i="31"/>
  <c r="FN182" i="31"/>
  <c r="FN75" i="31"/>
  <c r="FN148" i="31"/>
  <c r="FN133" i="31"/>
  <c r="FN154" i="31"/>
  <c r="FN145" i="31"/>
  <c r="FN119" i="31"/>
  <c r="FN95" i="31"/>
  <c r="FN186" i="31"/>
  <c r="FN99" i="31"/>
  <c r="FN85" i="31"/>
  <c r="FN76" i="31"/>
  <c r="FN191" i="31"/>
  <c r="FN78" i="31"/>
  <c r="FN300" i="31"/>
  <c r="FN341" i="31"/>
  <c r="FN335" i="31"/>
  <c r="FN313" i="31"/>
  <c r="FN247" i="31"/>
  <c r="FN218" i="31"/>
  <c r="FN336" i="31"/>
  <c r="FN343" i="31"/>
  <c r="FN237" i="31"/>
  <c r="FN285" i="31"/>
  <c r="FN116" i="31"/>
  <c r="FN81" i="31"/>
  <c r="FN137" i="31"/>
  <c r="FN94" i="31"/>
  <c r="FN134" i="31"/>
  <c r="FN315" i="31"/>
  <c r="FN353" i="31"/>
  <c r="FN254" i="31"/>
  <c r="FN356" i="31"/>
  <c r="FN325" i="31"/>
  <c r="FN265" i="31"/>
  <c r="FN327" i="31"/>
  <c r="FN214" i="31"/>
  <c r="FN259" i="31"/>
  <c r="FN320" i="31"/>
  <c r="FN284" i="31"/>
  <c r="FN338" i="31"/>
  <c r="FN361" i="31"/>
  <c r="FN316" i="31"/>
  <c r="FN241" i="31"/>
  <c r="FN253" i="31"/>
  <c r="FN233" i="31"/>
  <c r="FN230" i="31"/>
  <c r="FN229" i="31"/>
  <c r="FN160" i="31"/>
  <c r="FN211" i="31"/>
  <c r="FN180" i="31"/>
  <c r="FN261" i="31"/>
  <c r="FN170" i="31"/>
  <c r="FN126" i="31"/>
  <c r="FN194" i="31"/>
  <c r="FN195" i="31"/>
  <c r="FN93" i="31"/>
  <c r="FN166" i="31"/>
  <c r="FN101" i="31"/>
  <c r="FN140" i="31"/>
  <c r="FN161" i="31"/>
  <c r="FN121" i="31"/>
  <c r="FN175" i="31"/>
  <c r="FN124" i="31"/>
  <c r="FN71" i="31"/>
  <c r="FN209" i="31"/>
  <c r="FN199" i="31"/>
  <c r="FN151" i="31"/>
  <c r="FN88" i="31"/>
  <c r="FN69" i="31"/>
  <c r="FN109" i="31"/>
  <c r="FN74" i="31"/>
  <c r="Q264" i="31"/>
  <c r="Q282" i="31"/>
  <c r="Q362" i="31"/>
  <c r="Q335" i="31"/>
  <c r="Q313" i="31"/>
  <c r="Q324" i="31"/>
  <c r="Q122" i="31"/>
  <c r="Q96" i="31"/>
  <c r="Q366" i="31"/>
  <c r="Q328" i="31"/>
  <c r="Q363" i="31"/>
  <c r="Q168" i="31"/>
  <c r="Q108" i="31"/>
  <c r="Q81" i="31"/>
  <c r="Q113" i="31"/>
  <c r="Q252" i="31"/>
  <c r="Q198" i="31"/>
  <c r="Q302" i="31"/>
  <c r="Q323" i="31"/>
  <c r="Q206" i="31"/>
  <c r="Q100" i="31"/>
  <c r="Q91" i="31"/>
  <c r="Q333" i="31"/>
  <c r="Q243" i="31"/>
  <c r="Q144" i="31"/>
  <c r="Q97" i="31"/>
  <c r="Q118" i="31"/>
  <c r="Q155" i="31"/>
  <c r="Q283" i="31"/>
  <c r="Q226" i="31"/>
  <c r="Q339" i="31"/>
  <c r="Q275" i="31"/>
  <c r="Q308" i="31"/>
  <c r="Q271" i="31"/>
  <c r="Q256" i="31"/>
  <c r="Q106" i="31"/>
  <c r="Q82" i="31"/>
  <c r="Q128" i="31"/>
  <c r="Q351" i="31"/>
  <c r="Q153" i="31"/>
  <c r="Q274" i="31"/>
  <c r="Q369" i="31"/>
  <c r="Q358" i="31"/>
  <c r="Q231" i="31"/>
  <c r="Q310" i="31"/>
  <c r="Q287" i="31"/>
  <c r="Q182" i="31"/>
  <c r="Q154" i="31"/>
  <c r="Q147" i="31"/>
  <c r="Q284" i="31"/>
  <c r="Q361" i="31"/>
  <c r="Q195" i="31"/>
  <c r="Q101" i="31"/>
  <c r="Q140" i="31"/>
  <c r="Q161" i="31"/>
  <c r="Q88" i="31"/>
  <c r="Q74" i="31"/>
  <c r="Q78" i="31"/>
  <c r="Q69" i="31"/>
  <c r="Q72" i="31"/>
  <c r="Q146" i="31"/>
  <c r="Q68" i="31"/>
  <c r="Q150" i="31"/>
  <c r="Q87" i="31"/>
  <c r="Q162" i="31"/>
  <c r="Q65" i="31"/>
  <c r="Q109" i="31"/>
  <c r="Q99" i="31"/>
  <c r="Q66" i="31"/>
  <c r="Q145" i="31"/>
  <c r="Q110" i="31"/>
  <c r="Q114" i="31"/>
  <c r="Q83" i="31"/>
  <c r="Q178" i="31"/>
  <c r="Q104" i="31"/>
  <c r="Q84" i="31"/>
  <c r="Q158" i="31"/>
  <c r="Q94" i="31"/>
  <c r="Q70" i="31"/>
  <c r="Q194" i="31"/>
  <c r="Q218" i="31"/>
  <c r="Q123" i="31"/>
  <c r="Q134" i="31"/>
  <c r="Q141" i="31"/>
  <c r="Q73" i="31"/>
  <c r="Q103" i="31"/>
  <c r="Q71" i="31"/>
  <c r="Q170" i="31"/>
  <c r="Q149" i="31"/>
  <c r="Q159" i="31"/>
  <c r="Q125" i="31"/>
  <c r="Q89" i="31"/>
  <c r="Q167" i="31"/>
  <c r="Q135" i="31"/>
  <c r="Q121" i="31"/>
  <c r="Q132" i="31"/>
  <c r="Q105" i="31"/>
  <c r="Q179" i="31"/>
  <c r="Q204" i="31"/>
  <c r="Q127" i="31"/>
  <c r="Q142" i="31"/>
  <c r="Q200" i="31"/>
  <c r="Q133" i="31"/>
  <c r="X279" i="31"/>
  <c r="Q112" i="31"/>
  <c r="Q85" i="31"/>
  <c r="Q67" i="31"/>
  <c r="Q107" i="31"/>
  <c r="Q202" i="31"/>
  <c r="Q86" i="31"/>
  <c r="Q191" i="31"/>
  <c r="Q92" i="31"/>
  <c r="Q151" i="31"/>
  <c r="Q143" i="31"/>
  <c r="Q76" i="31"/>
  <c r="Q80" i="31"/>
  <c r="Q175" i="31"/>
  <c r="Q115" i="31"/>
  <c r="Q137" i="31"/>
  <c r="Q111" i="31"/>
  <c r="Q174" i="31"/>
  <c r="Q211" i="31"/>
  <c r="Q251" i="31"/>
  <c r="X307" i="31"/>
  <c r="Q193" i="31"/>
  <c r="Q119" i="31"/>
  <c r="X236" i="31"/>
  <c r="Q190" i="31"/>
  <c r="Q116" i="31"/>
  <c r="Q171" i="31"/>
  <c r="Q130" i="31"/>
  <c r="X196" i="31"/>
  <c r="Q126" i="31"/>
  <c r="Q186" i="31"/>
  <c r="Q203" i="31"/>
  <c r="Q102" i="31"/>
  <c r="Q131" i="31"/>
  <c r="Q79" i="31"/>
  <c r="X357" i="31"/>
  <c r="X278" i="31"/>
  <c r="X248" i="31"/>
  <c r="Q199" i="31"/>
  <c r="Q230" i="31"/>
  <c r="Q129" i="31"/>
  <c r="Q124" i="31"/>
  <c r="Q77" i="31"/>
  <c r="Q217" i="31"/>
  <c r="Q209" i="31"/>
  <c r="Q285" i="31"/>
  <c r="Q136" i="31"/>
  <c r="Q163" i="31"/>
  <c r="Q95" i="31"/>
  <c r="X337" i="31"/>
  <c r="Q180" i="31"/>
  <c r="Q75" i="31"/>
  <c r="Q188" i="31"/>
  <c r="Q156" i="31"/>
  <c r="X220" i="31"/>
  <c r="Q235" i="31"/>
  <c r="Q165" i="31"/>
  <c r="X184" i="31"/>
  <c r="Q213" i="31"/>
  <c r="Q222" i="31"/>
  <c r="Q172" i="31"/>
  <c r="Q98" i="31"/>
  <c r="Q138" i="31"/>
  <c r="Q225" i="31"/>
  <c r="Q93" i="31"/>
  <c r="Q139" i="31"/>
  <c r="Q223" i="31"/>
  <c r="Q250" i="31"/>
  <c r="Q215" i="31"/>
  <c r="Q90" i="31"/>
  <c r="Q117" i="31"/>
  <c r="Q240" i="31"/>
  <c r="Q157" i="31"/>
  <c r="Q189" i="31"/>
  <c r="Q224" i="31"/>
  <c r="Q148" i="31"/>
  <c r="Q120" i="31"/>
  <c r="Q343" i="31"/>
  <c r="X212" i="31"/>
  <c r="X164" i="31"/>
  <c r="Q166" i="31"/>
  <c r="Q258" i="31"/>
  <c r="Q233" i="31"/>
  <c r="Q261" i="31"/>
  <c r="Q277" i="31"/>
  <c r="Q238" i="31"/>
  <c r="Q207" i="31"/>
  <c r="Q169" i="31"/>
  <c r="Q187" i="31"/>
  <c r="Q244" i="31"/>
  <c r="Q291" i="31"/>
  <c r="X350" i="31"/>
  <c r="Q364" i="31"/>
  <c r="Q185" i="31"/>
  <c r="Q208" i="31"/>
  <c r="Q239" i="31"/>
  <c r="Q314" i="31"/>
  <c r="Q181" i="31"/>
  <c r="Q344" i="31"/>
  <c r="Q173" i="31"/>
  <c r="Q234" i="31"/>
  <c r="X294" i="31"/>
  <c r="Q176" i="31"/>
  <c r="Q197" i="31"/>
  <c r="Q272" i="31"/>
  <c r="X152" i="31"/>
  <c r="X177" i="31"/>
  <c r="X227" i="31"/>
  <c r="X232" i="31"/>
  <c r="Q183" i="31"/>
  <c r="Q210" i="31"/>
  <c r="Q229" i="31"/>
  <c r="Q299" i="31"/>
  <c r="Q160" i="31"/>
  <c r="Q309" i="31"/>
  <c r="Q219" i="31"/>
  <c r="Q205" i="31"/>
  <c r="Q295" i="31"/>
  <c r="Q228" i="31"/>
  <c r="Q221" i="31"/>
  <c r="Q192" i="31"/>
  <c r="Q242" i="31"/>
  <c r="Q312" i="31"/>
  <c r="Q332" i="31"/>
  <c r="Q247" i="31"/>
  <c r="Q329" i="31"/>
  <c r="Q341" i="31"/>
  <c r="Q263" i="31"/>
  <c r="Q245" i="31"/>
  <c r="Q249" i="31"/>
  <c r="Q216" i="31"/>
  <c r="Q290" i="31"/>
  <c r="Q359" i="31"/>
  <c r="Q297" i="31"/>
  <c r="Q334" i="31"/>
  <c r="Q276" i="31"/>
  <c r="Q237" i="31"/>
  <c r="Q316" i="31"/>
  <c r="Q318" i="31"/>
  <c r="Q253" i="31"/>
  <c r="Q265" i="31"/>
  <c r="Q268" i="31"/>
  <c r="Q320" i="31"/>
  <c r="Q241" i="31"/>
  <c r="Q317" i="31"/>
  <c r="Q255" i="31"/>
  <c r="Q322" i="31"/>
  <c r="Q293" i="31"/>
  <c r="Q288" i="31"/>
  <c r="Q201" i="31"/>
  <c r="Q354" i="31"/>
  <c r="Q214" i="31"/>
  <c r="Q260" i="31"/>
  <c r="Q246" i="31"/>
  <c r="Q298" i="31"/>
  <c r="Q331" i="31"/>
  <c r="Q306" i="31"/>
  <c r="Q327" i="31"/>
  <c r="Q326" i="31"/>
  <c r="Q273" i="31"/>
  <c r="Q338" i="31"/>
  <c r="Q340" i="31"/>
  <c r="Q355" i="31"/>
  <c r="Q368" i="31"/>
  <c r="Q321" i="31"/>
  <c r="Q304" i="31"/>
  <c r="Q319" i="31"/>
  <c r="Q281" i="31"/>
  <c r="Q259" i="31"/>
  <c r="Q367" i="31"/>
  <c r="Q262" i="31"/>
  <c r="Q352" i="31"/>
  <c r="Q336" i="31"/>
  <c r="Q266" i="31"/>
  <c r="Q347" i="31"/>
  <c r="Q356" i="31"/>
  <c r="Q360" i="31"/>
  <c r="Q286" i="31"/>
  <c r="Q348" i="31"/>
  <c r="Q346" i="31"/>
  <c r="Q296" i="31"/>
  <c r="Q269" i="31"/>
  <c r="Q325" i="31"/>
  <c r="Q254" i="31"/>
  <c r="Q305" i="31"/>
  <c r="Q300" i="31"/>
  <c r="Q370" i="31"/>
  <c r="Q270" i="31"/>
  <c r="Q292" i="31"/>
  <c r="Q257" i="31"/>
  <c r="Q330" i="31"/>
  <c r="Q301" i="31"/>
  <c r="Q365" i="31"/>
  <c r="Q345" i="31"/>
  <c r="Q349" i="31"/>
  <c r="Q267" i="31"/>
  <c r="Q303" i="31"/>
  <c r="Q280" i="31"/>
  <c r="Q289" i="31"/>
  <c r="Q353" i="31"/>
  <c r="Q315" i="31"/>
  <c r="Q342" i="31"/>
  <c r="Q311" i="31"/>
  <c r="AU10" i="31" l="1"/>
  <c r="AV10" i="31" s="1"/>
  <c r="AW9" i="31"/>
  <c r="B10" i="1"/>
  <c r="II9" i="31"/>
  <c r="II10" i="31" s="1"/>
  <c r="II11" i="31" s="1"/>
  <c r="II12" i="31" s="1"/>
  <c r="II13" i="31" s="1"/>
  <c r="II14" i="31" s="1"/>
  <c r="II15" i="31" s="1"/>
  <c r="II16" i="31" s="1"/>
  <c r="II17" i="31" s="1"/>
  <c r="II18" i="31" s="1"/>
  <c r="II19" i="31" s="1"/>
  <c r="II20" i="31" s="1"/>
  <c r="II21" i="31" s="1"/>
  <c r="II22" i="31" s="1"/>
  <c r="II23" i="31" s="1"/>
  <c r="II24" i="31" s="1"/>
  <c r="II25" i="31" s="1"/>
  <c r="II26" i="31" s="1"/>
  <c r="II27" i="31" s="1"/>
  <c r="II28" i="31" s="1"/>
  <c r="II29" i="31" s="1"/>
  <c r="II30" i="31" s="1"/>
  <c r="II31" i="31" s="1"/>
  <c r="II32" i="31" s="1"/>
  <c r="II33" i="31" s="1"/>
  <c r="II34" i="31" s="1"/>
  <c r="II35" i="31" s="1"/>
  <c r="II36" i="31" s="1"/>
  <c r="II37" i="31" s="1"/>
  <c r="II38" i="31" s="1"/>
  <c r="II39" i="31" s="1"/>
  <c r="II40" i="31" s="1"/>
  <c r="II41" i="31" s="1"/>
  <c r="II42" i="31" s="1"/>
  <c r="II43" i="31" s="1"/>
  <c r="II44" i="31" s="1"/>
  <c r="II45" i="31" s="1"/>
  <c r="II46" i="31" s="1"/>
  <c r="II47" i="31" s="1"/>
  <c r="II48" i="31" s="1"/>
  <c r="II49" i="31" s="1"/>
  <c r="II50" i="31" s="1"/>
  <c r="II51" i="31" s="1"/>
  <c r="II52" i="31" s="1"/>
  <c r="II53" i="31" s="1"/>
  <c r="II54" i="31" s="1"/>
  <c r="II55" i="31" s="1"/>
  <c r="II56" i="31" s="1"/>
  <c r="II57" i="31" s="1"/>
  <c r="II58" i="31" s="1"/>
  <c r="II59" i="31" s="1"/>
  <c r="II60" i="31" s="1"/>
  <c r="II61" i="31" s="1"/>
  <c r="II62" i="31" s="1"/>
  <c r="II63" i="31" s="1"/>
  <c r="II64" i="31" s="1"/>
  <c r="MG7" i="31"/>
  <c r="MK7" i="31" s="1"/>
  <c r="ML7" i="31" s="1"/>
  <c r="OP13" i="31"/>
  <c r="N11" i="31"/>
  <c r="O12" i="31" s="1"/>
  <c r="CZ11" i="31"/>
  <c r="AC152" i="31"/>
  <c r="Z152" i="31"/>
  <c r="Z184" i="31"/>
  <c r="AC337" i="31"/>
  <c r="Z337" i="31"/>
  <c r="AC279" i="31"/>
  <c r="Z279" i="31"/>
  <c r="AC164" i="31"/>
  <c r="Z164" i="31"/>
  <c r="AC236" i="31"/>
  <c r="Z236" i="31"/>
  <c r="AC220" i="31"/>
  <c r="Z220" i="31"/>
  <c r="AC177" i="31"/>
  <c r="Z177" i="31"/>
  <c r="AC212" i="31"/>
  <c r="Z212" i="31"/>
  <c r="AC294" i="31"/>
  <c r="Z294" i="31"/>
  <c r="AC248" i="31"/>
  <c r="Z248" i="31"/>
  <c r="AC196" i="31"/>
  <c r="Z196" i="31"/>
  <c r="AC232" i="31"/>
  <c r="Z232" i="31"/>
  <c r="AC278" i="31"/>
  <c r="Z278" i="31"/>
  <c r="Z307" i="31"/>
  <c r="AC227" i="31"/>
  <c r="Z227" i="31"/>
  <c r="AC350" i="31"/>
  <c r="Z350" i="31"/>
  <c r="AC357" i="31"/>
  <c r="Z357" i="31"/>
  <c r="AD152" i="31"/>
  <c r="DV152" i="31"/>
  <c r="AD294" i="31"/>
  <c r="DV294" i="31"/>
  <c r="AD184" i="31"/>
  <c r="DV184" i="31"/>
  <c r="AD337" i="31"/>
  <c r="DV337" i="31"/>
  <c r="AD248" i="31"/>
  <c r="DV248" i="31"/>
  <c r="AD232" i="31"/>
  <c r="DV232" i="31"/>
  <c r="AD278" i="31"/>
  <c r="DV278" i="31"/>
  <c r="AD196" i="31"/>
  <c r="DV196" i="31"/>
  <c r="AD307" i="31"/>
  <c r="DV307" i="31"/>
  <c r="AD279" i="31"/>
  <c r="DV279" i="31"/>
  <c r="AD227" i="31"/>
  <c r="DV227" i="31"/>
  <c r="AD350" i="31"/>
  <c r="DV350" i="31"/>
  <c r="AD164" i="31"/>
  <c r="DV164" i="31"/>
  <c r="AD357" i="31"/>
  <c r="DV357" i="31"/>
  <c r="AD236" i="31"/>
  <c r="DV236" i="31"/>
  <c r="AD177" i="31"/>
  <c r="DV177" i="31"/>
  <c r="AD212" i="31"/>
  <c r="DV212" i="31"/>
  <c r="AD220" i="31"/>
  <c r="DV220" i="31"/>
  <c r="Y209" i="31"/>
  <c r="MC209" i="31" s="1"/>
  <c r="Y120" i="31"/>
  <c r="MC120" i="31" s="1"/>
  <c r="Y268" i="31"/>
  <c r="MC268" i="31" s="1"/>
  <c r="Y339" i="31"/>
  <c r="MC339" i="31" s="1"/>
  <c r="Y289" i="31"/>
  <c r="MC289" i="31" s="1"/>
  <c r="Y275" i="31"/>
  <c r="MC275" i="31" s="1"/>
  <c r="Y70" i="31"/>
  <c r="MC70" i="31" s="1"/>
  <c r="Y163" i="31"/>
  <c r="MC163" i="31" s="1"/>
  <c r="Y340" i="31"/>
  <c r="MC340" i="31" s="1"/>
  <c r="Y298" i="31"/>
  <c r="MC298" i="31" s="1"/>
  <c r="Y187" i="31"/>
  <c r="MC187" i="31" s="1"/>
  <c r="Y182" i="31"/>
  <c r="MC182" i="31" s="1"/>
  <c r="Y204" i="31"/>
  <c r="MC204" i="31" s="1"/>
  <c r="Y263" i="31"/>
  <c r="MC263" i="31" s="1"/>
  <c r="Y181" i="31"/>
  <c r="MC181" i="31" s="1"/>
  <c r="Y274" i="31"/>
  <c r="MC274" i="31" s="1"/>
  <c r="Y234" i="31"/>
  <c r="MC234" i="31" s="1"/>
  <c r="Y331" i="31"/>
  <c r="MC331" i="31" s="1"/>
  <c r="Y192" i="31"/>
  <c r="MC192" i="31" s="1"/>
  <c r="Y273" i="31"/>
  <c r="MC273" i="31" s="1"/>
  <c r="Y266" i="31"/>
  <c r="MC266" i="31" s="1"/>
  <c r="Y126" i="31"/>
  <c r="MC126" i="31" s="1"/>
  <c r="Y330" i="31"/>
  <c r="MC330" i="31" s="1"/>
  <c r="Y261" i="31"/>
  <c r="MC261" i="31" s="1"/>
  <c r="Y310" i="31"/>
  <c r="MC310" i="31" s="1"/>
  <c r="Y292" i="31"/>
  <c r="MC292" i="31" s="1"/>
  <c r="Y366" i="31"/>
  <c r="MC366" i="31" s="1"/>
  <c r="Y73" i="31"/>
  <c r="MC73" i="31" s="1"/>
  <c r="Y243" i="31"/>
  <c r="MC243" i="31" s="1"/>
  <c r="Y95" i="31"/>
  <c r="MC95" i="31" s="1"/>
  <c r="Y201" i="31"/>
  <c r="MC201" i="31" s="1"/>
  <c r="Y194" i="31"/>
  <c r="MC194" i="31" s="1"/>
  <c r="Y67" i="31"/>
  <c r="MC67" i="31" s="1"/>
  <c r="Y96" i="31"/>
  <c r="MC96" i="31" s="1"/>
  <c r="Y226" i="31"/>
  <c r="MC226" i="31" s="1"/>
  <c r="Y110" i="31"/>
  <c r="MC110" i="31" s="1"/>
  <c r="Y228" i="31"/>
  <c r="MC228" i="31" s="1"/>
  <c r="Y361" i="31"/>
  <c r="MC361" i="31" s="1"/>
  <c r="Y358" i="31"/>
  <c r="MC358" i="31" s="1"/>
  <c r="Y269" i="31"/>
  <c r="MC269" i="31" s="1"/>
  <c r="Y365" i="31"/>
  <c r="MC365" i="31" s="1"/>
  <c r="Y342" i="31"/>
  <c r="MC342" i="31" s="1"/>
  <c r="Y343" i="31"/>
  <c r="MC343" i="31" s="1"/>
  <c r="Y222" i="31"/>
  <c r="MC222" i="31" s="1"/>
  <c r="Y257" i="31"/>
  <c r="MC257" i="31" s="1"/>
  <c r="Y92" i="31"/>
  <c r="MC92" i="31" s="1"/>
  <c r="Y369" i="31"/>
  <c r="MC369" i="31" s="1"/>
  <c r="Y83" i="31"/>
  <c r="MC83" i="31" s="1"/>
  <c r="Y146" i="31"/>
  <c r="MC146" i="31" s="1"/>
  <c r="Y133" i="31"/>
  <c r="MC133" i="31" s="1"/>
  <c r="Y106" i="31"/>
  <c r="MC106" i="31" s="1"/>
  <c r="Y207" i="31"/>
  <c r="MC207" i="31" s="1"/>
  <c r="Y244" i="31"/>
  <c r="MC244" i="31" s="1"/>
  <c r="Y271" i="31"/>
  <c r="MC271" i="31" s="1"/>
  <c r="Y262" i="31"/>
  <c r="MC262" i="31" s="1"/>
  <c r="Y246" i="31"/>
  <c r="MC246" i="31" s="1"/>
  <c r="Y267" i="31"/>
  <c r="MC267" i="31" s="1"/>
  <c r="Y260" i="31"/>
  <c r="MC260" i="31" s="1"/>
  <c r="Y132" i="31"/>
  <c r="MC132" i="31" s="1"/>
  <c r="Y115" i="31"/>
  <c r="MC115" i="31" s="1"/>
  <c r="Y161" i="31"/>
  <c r="MC161" i="31" s="1"/>
  <c r="Y118" i="31"/>
  <c r="MC118" i="31" s="1"/>
  <c r="Y157" i="31"/>
  <c r="MC157" i="31" s="1"/>
  <c r="Y281" i="31"/>
  <c r="MC281" i="31" s="1"/>
  <c r="Y170" i="31"/>
  <c r="MC170" i="31" s="1"/>
  <c r="Y104" i="31"/>
  <c r="MC104" i="31" s="1"/>
  <c r="Y123" i="31"/>
  <c r="MC123" i="31" s="1"/>
  <c r="Y149" i="31"/>
  <c r="MC149" i="31" s="1"/>
  <c r="Y114" i="31"/>
  <c r="MC114" i="31" s="1"/>
  <c r="Y169" i="31"/>
  <c r="MC169" i="31" s="1"/>
  <c r="Y240" i="31"/>
  <c r="MC240" i="31" s="1"/>
  <c r="Y237" i="31"/>
  <c r="MC237" i="31" s="1"/>
  <c r="Y355" i="31"/>
  <c r="MC355" i="31" s="1"/>
  <c r="Y254" i="31"/>
  <c r="MC254" i="31" s="1"/>
  <c r="Y198" i="31"/>
  <c r="MC198" i="31" s="1"/>
  <c r="Y233" i="31"/>
  <c r="MC233" i="31" s="1"/>
  <c r="Y87" i="31"/>
  <c r="MC87" i="31" s="1"/>
  <c r="Y102" i="31"/>
  <c r="MC102" i="31" s="1"/>
  <c r="Y154" i="31"/>
  <c r="MC154" i="31" s="1"/>
  <c r="Y79" i="31"/>
  <c r="MC79" i="31" s="1"/>
  <c r="Y189" i="31"/>
  <c r="MC189" i="31" s="1"/>
  <c r="Y221" i="31"/>
  <c r="MC221" i="31" s="1"/>
  <c r="Y326" i="31"/>
  <c r="MC326" i="31" s="1"/>
  <c r="Y214" i="31"/>
  <c r="MC214" i="31" s="1"/>
  <c r="Y356" i="31"/>
  <c r="MC356" i="31" s="1"/>
  <c r="Y75" i="31"/>
  <c r="MC75" i="31" s="1"/>
  <c r="Y327" i="31"/>
  <c r="MC327" i="31" s="1"/>
  <c r="Y65" i="31"/>
  <c r="MC65" i="31" s="1"/>
  <c r="Y203" i="31"/>
  <c r="MC203" i="31" s="1"/>
  <c r="Y78" i="31"/>
  <c r="MC78" i="31" s="1"/>
  <c r="Y137" i="31"/>
  <c r="MC137" i="31" s="1"/>
  <c r="Y167" i="31"/>
  <c r="MC167" i="31" s="1"/>
  <c r="Y90" i="31"/>
  <c r="MC90" i="31" s="1"/>
  <c r="Y314" i="31"/>
  <c r="MC314" i="31" s="1"/>
  <c r="Y229" i="31"/>
  <c r="MC229" i="31" s="1"/>
  <c r="Y249" i="31"/>
  <c r="MC249" i="31" s="1"/>
  <c r="Y323" i="31"/>
  <c r="MC323" i="31" s="1"/>
  <c r="Y305" i="31"/>
  <c r="MC305" i="31" s="1"/>
  <c r="Y85" i="31"/>
  <c r="MC85" i="31" s="1"/>
  <c r="Y368" i="31"/>
  <c r="MC368" i="31" s="1"/>
  <c r="Y166" i="31"/>
  <c r="MC166" i="31" s="1"/>
  <c r="Y354" i="31"/>
  <c r="MC354" i="31" s="1"/>
  <c r="Y185" i="31"/>
  <c r="MC185" i="31" s="1"/>
  <c r="Y148" i="31"/>
  <c r="MC148" i="31" s="1"/>
  <c r="Y206" i="31"/>
  <c r="MC206" i="31" s="1"/>
  <c r="Y367" i="31"/>
  <c r="MC367" i="31" s="1"/>
  <c r="Y338" i="31"/>
  <c r="MC338" i="31" s="1"/>
  <c r="Y112" i="31"/>
  <c r="MC112" i="31" s="1"/>
  <c r="Y135" i="31"/>
  <c r="MC135" i="31" s="1"/>
  <c r="Y180" i="31"/>
  <c r="MC180" i="31" s="1"/>
  <c r="Y250" i="31"/>
  <c r="MC250" i="31" s="1"/>
  <c r="Y175" i="31"/>
  <c r="MC175" i="31" s="1"/>
  <c r="Y317" i="31"/>
  <c r="MC317" i="31" s="1"/>
  <c r="Y143" i="31"/>
  <c r="MC143" i="31" s="1"/>
  <c r="Y109" i="31"/>
  <c r="MC109" i="31" s="1"/>
  <c r="Y99" i="31"/>
  <c r="MC99" i="31" s="1"/>
  <c r="Y245" i="31"/>
  <c r="MC245" i="31" s="1"/>
  <c r="Y255" i="31"/>
  <c r="MC255" i="31" s="1"/>
  <c r="Y91" i="31"/>
  <c r="MC91" i="31" s="1"/>
  <c r="Y130" i="31"/>
  <c r="MC130" i="31" s="1"/>
  <c r="Y151" i="31"/>
  <c r="MC151" i="31" s="1"/>
  <c r="Y80" i="31"/>
  <c r="MC80" i="31" s="1"/>
  <c r="Y93" i="31"/>
  <c r="MC93" i="31" s="1"/>
  <c r="Y205" i="31"/>
  <c r="MC205" i="31" s="1"/>
  <c r="Y258" i="31"/>
  <c r="MC258" i="31" s="1"/>
  <c r="Y302" i="31"/>
  <c r="MC302" i="31" s="1"/>
  <c r="Y128" i="31"/>
  <c r="MC128" i="31" s="1"/>
  <c r="Y86" i="31"/>
  <c r="MC86" i="31" s="1"/>
  <c r="Y101" i="31"/>
  <c r="MC101" i="31" s="1"/>
  <c r="Y117" i="31"/>
  <c r="MC117" i="31" s="1"/>
  <c r="Y287" i="31"/>
  <c r="MC287" i="31" s="1"/>
  <c r="Y332" i="31"/>
  <c r="MC332" i="31" s="1"/>
  <c r="Y284" i="31"/>
  <c r="MC284" i="31" s="1"/>
  <c r="Y336" i="31"/>
  <c r="MC336" i="31" s="1"/>
  <c r="Y276" i="31"/>
  <c r="MC276" i="31" s="1"/>
  <c r="Y325" i="31"/>
  <c r="MC325" i="31" s="1"/>
  <c r="Y247" i="31"/>
  <c r="MC247" i="31" s="1"/>
  <c r="Y370" i="31"/>
  <c r="MC370" i="31" s="1"/>
  <c r="Y88" i="31"/>
  <c r="MC88" i="31" s="1"/>
  <c r="Y235" i="31"/>
  <c r="MC235" i="31" s="1"/>
  <c r="Y239" i="31"/>
  <c r="MC239" i="31" s="1"/>
  <c r="Y178" i="31"/>
  <c r="MC178" i="31" s="1"/>
  <c r="Y215" i="31"/>
  <c r="MC215" i="31" s="1"/>
  <c r="Y195" i="31"/>
  <c r="MC195" i="31" s="1"/>
  <c r="Y344" i="31"/>
  <c r="MC344" i="31" s="1"/>
  <c r="Y217" i="31"/>
  <c r="MC217" i="31" s="1"/>
  <c r="Y231" i="31"/>
  <c r="MC231" i="31" s="1"/>
  <c r="Y299" i="31"/>
  <c r="MC299" i="31" s="1"/>
  <c r="Y280" i="31"/>
  <c r="MC280" i="31" s="1"/>
  <c r="Y286" i="31"/>
  <c r="MC286" i="31" s="1"/>
  <c r="Y251" i="31"/>
  <c r="MC251" i="31" s="1"/>
  <c r="Y142" i="31"/>
  <c r="MC142" i="31" s="1"/>
  <c r="Y188" i="31"/>
  <c r="MC188" i="31" s="1"/>
  <c r="Y155" i="31"/>
  <c r="MC155" i="31" s="1"/>
  <c r="Y144" i="31"/>
  <c r="MC144" i="31" s="1"/>
  <c r="Y230" i="31"/>
  <c r="MC230" i="31" s="1"/>
  <c r="Y293" i="31"/>
  <c r="MC293" i="31" s="1"/>
  <c r="Y191" i="31"/>
  <c r="MC191" i="31" s="1"/>
  <c r="Y309" i="31"/>
  <c r="MC309" i="31" s="1"/>
  <c r="Y74" i="31"/>
  <c r="MC74" i="31" s="1"/>
  <c r="Y76" i="31"/>
  <c r="MC76" i="31" s="1"/>
  <c r="Y119" i="31"/>
  <c r="MC119" i="31" s="1"/>
  <c r="Y165" i="31"/>
  <c r="MC165" i="31" s="1"/>
  <c r="Y197" i="31"/>
  <c r="MC197" i="31" s="1"/>
  <c r="Y160" i="31"/>
  <c r="MC160" i="31" s="1"/>
  <c r="Y242" i="31"/>
  <c r="MC242" i="31" s="1"/>
  <c r="Y362" i="31"/>
  <c r="MC362" i="31" s="1"/>
  <c r="Y283" i="31"/>
  <c r="MC283" i="31" s="1"/>
  <c r="Y138" i="31"/>
  <c r="MC138" i="31" s="1"/>
  <c r="Y296" i="31"/>
  <c r="MC296" i="31" s="1"/>
  <c r="Y306" i="31"/>
  <c r="MC306" i="31" s="1"/>
  <c r="Y82" i="31"/>
  <c r="MC82" i="31" s="1"/>
  <c r="Y108" i="31"/>
  <c r="MC108" i="31" s="1"/>
  <c r="Y158" i="31"/>
  <c r="MC158" i="31" s="1"/>
  <c r="Y77" i="31"/>
  <c r="MC77" i="31" s="1"/>
  <c r="Y223" i="31"/>
  <c r="MC223" i="31" s="1"/>
  <c r="Y316" i="31"/>
  <c r="MC316" i="31" s="1"/>
  <c r="Y288" i="31"/>
  <c r="MC288" i="31" s="1"/>
  <c r="Y265" i="31"/>
  <c r="MC265" i="31" s="1"/>
  <c r="Y311" i="31"/>
  <c r="MC311" i="31" s="1"/>
  <c r="Y162" i="31"/>
  <c r="MC162" i="31" s="1"/>
  <c r="Y219" i="31"/>
  <c r="MC219" i="31" s="1"/>
  <c r="Y200" i="31"/>
  <c r="MC200" i="31" s="1"/>
  <c r="Y347" i="31"/>
  <c r="MC347" i="31" s="1"/>
  <c r="Y94" i="31"/>
  <c r="MC94" i="31" s="1"/>
  <c r="Y81" i="31"/>
  <c r="MC81" i="31" s="1"/>
  <c r="Y103" i="31"/>
  <c r="MC103" i="31" s="1"/>
  <c r="Y139" i="31"/>
  <c r="MC139" i="31" s="1"/>
  <c r="Y277" i="31"/>
  <c r="MC277" i="31" s="1"/>
  <c r="Y318" i="31"/>
  <c r="MC318" i="31" s="1"/>
  <c r="Y320" i="31"/>
  <c r="MC320" i="31" s="1"/>
  <c r="Y351" i="31"/>
  <c r="MC351" i="31" s="1"/>
  <c r="Y282" i="31"/>
  <c r="MC282" i="31" s="1"/>
  <c r="Y147" i="31"/>
  <c r="MC147" i="31" s="1"/>
  <c r="Y353" i="31"/>
  <c r="MC353" i="31" s="1"/>
  <c r="Y159" i="31"/>
  <c r="MC159" i="31" s="1"/>
  <c r="Y291" i="31"/>
  <c r="MC291" i="31" s="1"/>
  <c r="Y105" i="31"/>
  <c r="MC105" i="31" s="1"/>
  <c r="Y341" i="31"/>
  <c r="MC341" i="31" s="1"/>
  <c r="Y68" i="31"/>
  <c r="MC68" i="31" s="1"/>
  <c r="Y259" i="31"/>
  <c r="MC259" i="31" s="1"/>
  <c r="Y303" i="31"/>
  <c r="MC303" i="31" s="1"/>
  <c r="Y199" i="31"/>
  <c r="MC199" i="31" s="1"/>
  <c r="Y252" i="31"/>
  <c r="MC252" i="31" s="1"/>
  <c r="Y272" i="31"/>
  <c r="MC272" i="31" s="1"/>
  <c r="Y270" i="31"/>
  <c r="MC270" i="31" s="1"/>
  <c r="Y328" i="31"/>
  <c r="MC328" i="31" s="1"/>
  <c r="Y111" i="31"/>
  <c r="MC111" i="31" s="1"/>
  <c r="Y145" i="31"/>
  <c r="MC145" i="31" s="1"/>
  <c r="Y98" i="31"/>
  <c r="MC98" i="31" s="1"/>
  <c r="Y297" i="31"/>
  <c r="MC297" i="31" s="1"/>
  <c r="Y72" i="31"/>
  <c r="MC72" i="31" s="1"/>
  <c r="Y121" i="31"/>
  <c r="MC121" i="31" s="1"/>
  <c r="Y183" i="31"/>
  <c r="MC183" i="31" s="1"/>
  <c r="Y329" i="31"/>
  <c r="MC329" i="31" s="1"/>
  <c r="Y363" i="31"/>
  <c r="MC363" i="31" s="1"/>
  <c r="Y71" i="31"/>
  <c r="MC71" i="31" s="1"/>
  <c r="Y113" i="31"/>
  <c r="MC113" i="31" s="1"/>
  <c r="Y84" i="31"/>
  <c r="MC84" i="31" s="1"/>
  <c r="Y122" i="31"/>
  <c r="MC122" i="31" s="1"/>
  <c r="Y179" i="31"/>
  <c r="MC179" i="31" s="1"/>
  <c r="Y208" i="31"/>
  <c r="MC208" i="31" s="1"/>
  <c r="Y168" i="31"/>
  <c r="MC168" i="31" s="1"/>
  <c r="Y359" i="31"/>
  <c r="MC359" i="31" s="1"/>
  <c r="Y352" i="31"/>
  <c r="MC352" i="31" s="1"/>
  <c r="Y308" i="31"/>
  <c r="MC308" i="31" s="1"/>
  <c r="Y360" i="31"/>
  <c r="MC360" i="31" s="1"/>
  <c r="Y211" i="31"/>
  <c r="MC211" i="31" s="1"/>
  <c r="Y346" i="31"/>
  <c r="MC346" i="31" s="1"/>
  <c r="Y256" i="31"/>
  <c r="MC256" i="31" s="1"/>
  <c r="Y140" i="31"/>
  <c r="MC140" i="31" s="1"/>
  <c r="Y107" i="31"/>
  <c r="MC107" i="31" s="1"/>
  <c r="Y193" i="31"/>
  <c r="MC193" i="31" s="1"/>
  <c r="Y129" i="31"/>
  <c r="MC129" i="31" s="1"/>
  <c r="Y136" i="31"/>
  <c r="MC136" i="31" s="1"/>
  <c r="Y172" i="31"/>
  <c r="MC172" i="31" s="1"/>
  <c r="Y253" i="31"/>
  <c r="MC253" i="31" s="1"/>
  <c r="Y334" i="31"/>
  <c r="MC334" i="31" s="1"/>
  <c r="Y333" i="31"/>
  <c r="MC333" i="31" s="1"/>
  <c r="Y290" i="31"/>
  <c r="MC290" i="31" s="1"/>
  <c r="Y315" i="31"/>
  <c r="MC315" i="31" s="1"/>
  <c r="Y153" i="31"/>
  <c r="MC153" i="31" s="1"/>
  <c r="Y66" i="31"/>
  <c r="MC66" i="31" s="1"/>
  <c r="Y190" i="31"/>
  <c r="MC190" i="31" s="1"/>
  <c r="Y141" i="31"/>
  <c r="MC141" i="31" s="1"/>
  <c r="Y97" i="31"/>
  <c r="MC97" i="31" s="1"/>
  <c r="Y176" i="31"/>
  <c r="MC176" i="31" s="1"/>
  <c r="Y304" i="31"/>
  <c r="MC304" i="31" s="1"/>
  <c r="Y124" i="31"/>
  <c r="MC124" i="31" s="1"/>
  <c r="Y213" i="31"/>
  <c r="MC213" i="31" s="1"/>
  <c r="Y150" i="31"/>
  <c r="MC150" i="31" s="1"/>
  <c r="Y100" i="31"/>
  <c r="MC100" i="31" s="1"/>
  <c r="Y171" i="31"/>
  <c r="MC171" i="31" s="1"/>
  <c r="Y125" i="31"/>
  <c r="MC125" i="31" s="1"/>
  <c r="Y210" i="31"/>
  <c r="MC210" i="31" s="1"/>
  <c r="Y241" i="31"/>
  <c r="MC241" i="31" s="1"/>
  <c r="Y321" i="31"/>
  <c r="MC321" i="31" s="1"/>
  <c r="Y322" i="31"/>
  <c r="MC322" i="31" s="1"/>
  <c r="Y295" i="31"/>
  <c r="MC295" i="31" s="1"/>
  <c r="Y174" i="31"/>
  <c r="MC174" i="31" s="1"/>
  <c r="Y313" i="31"/>
  <c r="MC313" i="31" s="1"/>
  <c r="Y69" i="31"/>
  <c r="MC69" i="31" s="1"/>
  <c r="Y127" i="31"/>
  <c r="MC127" i="31" s="1"/>
  <c r="Y116" i="31"/>
  <c r="MC116" i="31" s="1"/>
  <c r="Y131" i="31"/>
  <c r="MC131" i="31" s="1"/>
  <c r="Y173" i="31"/>
  <c r="MC173" i="31" s="1"/>
  <c r="Y324" i="31"/>
  <c r="MC324" i="31" s="1"/>
  <c r="Y335" i="31"/>
  <c r="MC335" i="31" s="1"/>
  <c r="Y319" i="31"/>
  <c r="MC319" i="31" s="1"/>
  <c r="Y301" i="31"/>
  <c r="MC301" i="31" s="1"/>
  <c r="Y225" i="31"/>
  <c r="MC225" i="31" s="1"/>
  <c r="Y345" i="31"/>
  <c r="MC345" i="31" s="1"/>
  <c r="Y186" i="31"/>
  <c r="MC186" i="31" s="1"/>
  <c r="Y264" i="31"/>
  <c r="MC264" i="31" s="1"/>
  <c r="Y134" i="31"/>
  <c r="MC134" i="31" s="1"/>
  <c r="Y202" i="31"/>
  <c r="MC202" i="31" s="1"/>
  <c r="Y156" i="31"/>
  <c r="MC156" i="31" s="1"/>
  <c r="Y218" i="31"/>
  <c r="MC218" i="31" s="1"/>
  <c r="Y238" i="31"/>
  <c r="MC238" i="31" s="1"/>
  <c r="Y285" i="31"/>
  <c r="MC285" i="31" s="1"/>
  <c r="Y216" i="31"/>
  <c r="MC216" i="31" s="1"/>
  <c r="Y348" i="31"/>
  <c r="MC348" i="31" s="1"/>
  <c r="Y349" i="31"/>
  <c r="MC349" i="31" s="1"/>
  <c r="Y89" i="31"/>
  <c r="MC89" i="31" s="1"/>
  <c r="Y300" i="31"/>
  <c r="MC300" i="31" s="1"/>
  <c r="Y224" i="31"/>
  <c r="MC224" i="31" s="1"/>
  <c r="Y312" i="31"/>
  <c r="MC312" i="31" s="1"/>
  <c r="Y364" i="31"/>
  <c r="MC364" i="31" s="1"/>
  <c r="LQ6" i="31"/>
  <c r="LR6" i="31" s="1"/>
  <c r="LX6" i="31" s="1"/>
  <c r="LZ6" i="31" s="1"/>
  <c r="LL32" i="31"/>
  <c r="LO32" i="31" s="1"/>
  <c r="LQ32" i="31" s="1"/>
  <c r="LT32" i="31" s="1"/>
  <c r="ME32" i="31" s="1"/>
  <c r="PF32" i="31" s="1"/>
  <c r="LL13" i="31"/>
  <c r="LO13" i="31" s="1"/>
  <c r="LQ13" i="31" s="1"/>
  <c r="LL33" i="31"/>
  <c r="LO33" i="31" s="1"/>
  <c r="LL10" i="31"/>
  <c r="LO10" i="31" s="1"/>
  <c r="LL48" i="31"/>
  <c r="LO48" i="31" s="1"/>
  <c r="LL59" i="31"/>
  <c r="LO59" i="31" s="1"/>
  <c r="LL41" i="31"/>
  <c r="LO41" i="31" s="1"/>
  <c r="LL14" i="31"/>
  <c r="LO14" i="31" s="1"/>
  <c r="LL12" i="31"/>
  <c r="LO12" i="31" s="1"/>
  <c r="LQ12" i="31" s="1"/>
  <c r="LS12" i="31" s="1"/>
  <c r="LY12" i="31" s="1"/>
  <c r="MA12" i="31" s="1"/>
  <c r="LL45" i="31"/>
  <c r="LO45" i="31" s="1"/>
  <c r="LL28" i="31"/>
  <c r="LO28" i="31" s="1"/>
  <c r="LQ28" i="31" s="1"/>
  <c r="LL22" i="31"/>
  <c r="LO22" i="31" s="1"/>
  <c r="LL40" i="31"/>
  <c r="LO40" i="31" s="1"/>
  <c r="LL30" i="31"/>
  <c r="LO30" i="31" s="1"/>
  <c r="LL34" i="31"/>
  <c r="LO34" i="31" s="1"/>
  <c r="LL46" i="31"/>
  <c r="LO46" i="31" s="1"/>
  <c r="LL39" i="31"/>
  <c r="LO39" i="31" s="1"/>
  <c r="LL16" i="31"/>
  <c r="LO16" i="31" s="1"/>
  <c r="LQ16" i="31" s="1"/>
  <c r="LR16" i="31" s="1"/>
  <c r="LX16" i="31" s="1"/>
  <c r="LZ16" i="31" s="1"/>
  <c r="LL56" i="31"/>
  <c r="LO56" i="31" s="1"/>
  <c r="LL21" i="31"/>
  <c r="LO21" i="31" s="1"/>
  <c r="LQ21" i="31" s="1"/>
  <c r="LL37" i="31"/>
  <c r="LO37" i="31" s="1"/>
  <c r="LL36" i="31"/>
  <c r="LO36" i="31" s="1"/>
  <c r="LL42" i="31"/>
  <c r="LO42" i="31" s="1"/>
  <c r="LL8" i="31"/>
  <c r="LO8" i="31" s="1"/>
  <c r="LL57" i="31"/>
  <c r="LO57" i="31" s="1"/>
  <c r="LQ57" i="31" s="1"/>
  <c r="LT57" i="31" s="1"/>
  <c r="ME57" i="31" s="1"/>
  <c r="LL25" i="31"/>
  <c r="LO25" i="31" s="1"/>
  <c r="LL62" i="31"/>
  <c r="LO62" i="31" s="1"/>
  <c r="LL50" i="31"/>
  <c r="LO50" i="31" s="1"/>
  <c r="LL18" i="31"/>
  <c r="LO18" i="31" s="1"/>
  <c r="LL63" i="31"/>
  <c r="LO63" i="31" s="1"/>
  <c r="LL23" i="31"/>
  <c r="LO23" i="31" s="1"/>
  <c r="LQ23" i="31" s="1"/>
  <c r="LL27" i="31"/>
  <c r="LO27" i="31" s="1"/>
  <c r="LQ27" i="31" s="1"/>
  <c r="LL29" i="31"/>
  <c r="LO29" i="31" s="1"/>
  <c r="LQ29" i="31" s="1"/>
  <c r="LT29" i="31" s="1"/>
  <c r="ME29" i="31" s="1"/>
  <c r="PF29" i="31" s="1"/>
  <c r="LL31" i="31"/>
  <c r="LO31" i="31" s="1"/>
  <c r="LQ31" i="31" s="1"/>
  <c r="LL64" i="31"/>
  <c r="LO64" i="31" s="1"/>
  <c r="LQ64" i="31" s="1"/>
  <c r="LL26" i="31"/>
  <c r="LO26" i="31" s="1"/>
  <c r="LQ26" i="31" s="1"/>
  <c r="LL61" i="31"/>
  <c r="LO61" i="31" s="1"/>
  <c r="LL43" i="31"/>
  <c r="LO43" i="31" s="1"/>
  <c r="LQ43" i="31" s="1"/>
  <c r="LL55" i="31"/>
  <c r="LO55" i="31" s="1"/>
  <c r="LQ55" i="31" s="1"/>
  <c r="LL20" i="31"/>
  <c r="LO20" i="31" s="1"/>
  <c r="LL38" i="31"/>
  <c r="LO38" i="31" s="1"/>
  <c r="LQ38" i="31" s="1"/>
  <c r="LR38" i="31" s="1"/>
  <c r="LX38" i="31" s="1"/>
  <c r="LZ38" i="31" s="1"/>
  <c r="LL11" i="31"/>
  <c r="LO11" i="31" s="1"/>
  <c r="LQ11" i="31" s="1"/>
  <c r="LT11" i="31" s="1"/>
  <c r="ME11" i="31" s="1"/>
  <c r="PF11" i="31" s="1"/>
  <c r="LL49" i="31"/>
  <c r="LO49" i="31" s="1"/>
  <c r="LL47" i="31"/>
  <c r="LO47" i="31" s="1"/>
  <c r="LQ47" i="31" s="1"/>
  <c r="LL60" i="31"/>
  <c r="LO60" i="31" s="1"/>
  <c r="LL15" i="31"/>
  <c r="LO15" i="31" s="1"/>
  <c r="LQ15" i="31" s="1"/>
  <c r="LR15" i="31" s="1"/>
  <c r="LX15" i="31" s="1"/>
  <c r="LZ15" i="31" s="1"/>
  <c r="LL24" i="31"/>
  <c r="LO24" i="31" s="1"/>
  <c r="LQ24" i="31" s="1"/>
  <c r="LL53" i="31"/>
  <c r="LO53" i="31" s="1"/>
  <c r="LL44" i="31"/>
  <c r="LO44" i="31" s="1"/>
  <c r="LQ44" i="31" s="1"/>
  <c r="LS44" i="31" s="1"/>
  <c r="LY44" i="31" s="1"/>
  <c r="MA44" i="31" s="1"/>
  <c r="LL9" i="31"/>
  <c r="LO9" i="31" s="1"/>
  <c r="LL51" i="31"/>
  <c r="LO51" i="31" s="1"/>
  <c r="LQ51" i="31" s="1"/>
  <c r="LL19" i="31"/>
  <c r="LO19" i="31" s="1"/>
  <c r="LQ19" i="31" s="1"/>
  <c r="LL52" i="31"/>
  <c r="LO52" i="31" s="1"/>
  <c r="LL58" i="31"/>
  <c r="LO58" i="31" s="1"/>
  <c r="LL17" i="31"/>
  <c r="LO17" i="31" s="1"/>
  <c r="LL35" i="31"/>
  <c r="LO35" i="31" s="1"/>
  <c r="LQ35" i="31" s="1"/>
  <c r="LL54" i="31"/>
  <c r="LO54" i="31" s="1"/>
  <c r="LQ54" i="31" s="1"/>
  <c r="LT54" i="31" s="1"/>
  <c r="ME54" i="31" s="1"/>
  <c r="AC184" i="31"/>
  <c r="AB184" i="31"/>
  <c r="LM184" i="31" s="1"/>
  <c r="AB232" i="31"/>
  <c r="LM232" i="31" s="1"/>
  <c r="AB278" i="31"/>
  <c r="LM278" i="31" s="1"/>
  <c r="AB196" i="31"/>
  <c r="LM196" i="31" s="1"/>
  <c r="AC307" i="31"/>
  <c r="AB307" i="31"/>
  <c r="LM307" i="31" s="1"/>
  <c r="AB279" i="31"/>
  <c r="LM279" i="31" s="1"/>
  <c r="AB227" i="31"/>
  <c r="LM227" i="31" s="1"/>
  <c r="AB350" i="31"/>
  <c r="LM350" i="31" s="1"/>
  <c r="AB357" i="31"/>
  <c r="LM357" i="31" s="1"/>
  <c r="AB152" i="31"/>
  <c r="LM152" i="31" s="1"/>
  <c r="AB164" i="31"/>
  <c r="LM164" i="31" s="1"/>
  <c r="AB236" i="31"/>
  <c r="LM236" i="31" s="1"/>
  <c r="AB177" i="31"/>
  <c r="LM177" i="31" s="1"/>
  <c r="AB337" i="31"/>
  <c r="LM337" i="31" s="1"/>
  <c r="AB212" i="31"/>
  <c r="LM212" i="31" s="1"/>
  <c r="AB220" i="31"/>
  <c r="LM220" i="31" s="1"/>
  <c r="AB294" i="31"/>
  <c r="LM294" i="31" s="1"/>
  <c r="AB248" i="31"/>
  <c r="LM248" i="31" s="1"/>
  <c r="LX7" i="31"/>
  <c r="LZ7" i="31" s="1"/>
  <c r="GJ10" i="31"/>
  <c r="GP10" i="31" s="1"/>
  <c r="DA10" i="31"/>
  <c r="NE124" i="31"/>
  <c r="NE138" i="31"/>
  <c r="NE132" i="31"/>
  <c r="NE71" i="31"/>
  <c r="R350" i="31"/>
  <c r="S350" i="31" s="1"/>
  <c r="R294" i="31"/>
  <c r="S294" i="31" s="1"/>
  <c r="R279" i="31"/>
  <c r="S279" i="31" s="1"/>
  <c r="R232" i="31"/>
  <c r="S232" i="31" s="1"/>
  <c r="R164" i="31"/>
  <c r="S164" i="31" s="1"/>
  <c r="R236" i="31"/>
  <c r="S236" i="31" s="1"/>
  <c r="R212" i="31"/>
  <c r="S212" i="31" s="1"/>
  <c r="R248" i="31"/>
  <c r="S248" i="31" s="1"/>
  <c r="R227" i="31"/>
  <c r="S227" i="31" s="1"/>
  <c r="R278" i="31"/>
  <c r="S278" i="31" s="1"/>
  <c r="R220" i="31"/>
  <c r="S220" i="31" s="1"/>
  <c r="R357" i="31"/>
  <c r="S357" i="31" s="1"/>
  <c r="R196" i="31"/>
  <c r="S196" i="31" s="1"/>
  <c r="R307" i="31"/>
  <c r="S307" i="31" s="1"/>
  <c r="R184" i="31"/>
  <c r="S184" i="31" s="1"/>
  <c r="R177" i="31"/>
  <c r="S177" i="31" s="1"/>
  <c r="R337" i="31"/>
  <c r="S337" i="31" s="1"/>
  <c r="R152" i="31"/>
  <c r="S152" i="31" s="1"/>
  <c r="GK113" i="31"/>
  <c r="GL113" i="31" s="1"/>
  <c r="GK130" i="31"/>
  <c r="GL130" i="31" s="1"/>
  <c r="GK117" i="31"/>
  <c r="GL117" i="31" s="1"/>
  <c r="GK293" i="31"/>
  <c r="GL293" i="31" s="1"/>
  <c r="GK95" i="31"/>
  <c r="GL95" i="31" s="1"/>
  <c r="GK245" i="31"/>
  <c r="GL245" i="31" s="1"/>
  <c r="GK262" i="31"/>
  <c r="GL262" i="31" s="1"/>
  <c r="GK94" i="31"/>
  <c r="GL94" i="31" s="1"/>
  <c r="GK120" i="31"/>
  <c r="GL120" i="31" s="1"/>
  <c r="GK311" i="31"/>
  <c r="GL311" i="31" s="1"/>
  <c r="GK303" i="31"/>
  <c r="GL303" i="31" s="1"/>
  <c r="GK128" i="31"/>
  <c r="GL128" i="31" s="1"/>
  <c r="GK70" i="31"/>
  <c r="GL70" i="31" s="1"/>
  <c r="GK221" i="31"/>
  <c r="GL221" i="31" s="1"/>
  <c r="GK168" i="31"/>
  <c r="GL168" i="31" s="1"/>
  <c r="GK100" i="31"/>
  <c r="GL100" i="31" s="1"/>
  <c r="GK365" i="31"/>
  <c r="GL365" i="31" s="1"/>
  <c r="GK296" i="31"/>
  <c r="GL296" i="31" s="1"/>
  <c r="GK133" i="31"/>
  <c r="GL133" i="31" s="1"/>
  <c r="GK223" i="31"/>
  <c r="GL223" i="31" s="1"/>
  <c r="GK313" i="31"/>
  <c r="GL313" i="31" s="1"/>
  <c r="GK329" i="31"/>
  <c r="GL329" i="31" s="1"/>
  <c r="GK250" i="31"/>
  <c r="GL250" i="31" s="1"/>
  <c r="GK343" i="31"/>
  <c r="GL343" i="31" s="1"/>
  <c r="GK97" i="31"/>
  <c r="GL97" i="31" s="1"/>
  <c r="GK288" i="31"/>
  <c r="GL288" i="31" s="1"/>
  <c r="GK368" i="31"/>
  <c r="GL368" i="31" s="1"/>
  <c r="GK292" i="31"/>
  <c r="GL292" i="31" s="1"/>
  <c r="GK304" i="31"/>
  <c r="GL304" i="31" s="1"/>
  <c r="GK240" i="31"/>
  <c r="GL240" i="31" s="1"/>
  <c r="GK255" i="31"/>
  <c r="GL255" i="31" s="1"/>
  <c r="GK103" i="31"/>
  <c r="GL103" i="31" s="1"/>
  <c r="GK291" i="31"/>
  <c r="GL291" i="31" s="1"/>
  <c r="GK163" i="31"/>
  <c r="GL163" i="31" s="1"/>
  <c r="GK356" i="31"/>
  <c r="GL356" i="31" s="1"/>
  <c r="GK315" i="31"/>
  <c r="GL315" i="31" s="1"/>
  <c r="GK112" i="31"/>
  <c r="GL112" i="31" s="1"/>
  <c r="GK75" i="31"/>
  <c r="GL75" i="31" s="1"/>
  <c r="GK99" i="31"/>
  <c r="GL99" i="31" s="1"/>
  <c r="GK228" i="31"/>
  <c r="GL228" i="31" s="1"/>
  <c r="GK189" i="31"/>
  <c r="GL189" i="31" s="1"/>
  <c r="GK283" i="31"/>
  <c r="GL283" i="31" s="1"/>
  <c r="GK155" i="31"/>
  <c r="GL155" i="31" s="1"/>
  <c r="GK85" i="31"/>
  <c r="GL85" i="31" s="1"/>
  <c r="GK297" i="31"/>
  <c r="GL297" i="31" s="1"/>
  <c r="GK330" i="31"/>
  <c r="GL330" i="31" s="1"/>
  <c r="GK222" i="31"/>
  <c r="GL222" i="31" s="1"/>
  <c r="GK192" i="31"/>
  <c r="GL192" i="31" s="1"/>
  <c r="GK342" i="31"/>
  <c r="GL342" i="31" s="1"/>
  <c r="GK137" i="31"/>
  <c r="GL137" i="31" s="1"/>
  <c r="GK186" i="31"/>
  <c r="GL186" i="31" s="1"/>
  <c r="GK286" i="31"/>
  <c r="GL286" i="31" s="1"/>
  <c r="GK312" i="31"/>
  <c r="GL312" i="31" s="1"/>
  <c r="GK366" i="31"/>
  <c r="GL366" i="31" s="1"/>
  <c r="GK260" i="31"/>
  <c r="GL260" i="31" s="1"/>
  <c r="GK316" i="31"/>
  <c r="GL316" i="31" s="1"/>
  <c r="GK209" i="31"/>
  <c r="GL209" i="31" s="1"/>
  <c r="GK284" i="31"/>
  <c r="GL284" i="31" s="1"/>
  <c r="GK308" i="31"/>
  <c r="GL308" i="31" s="1"/>
  <c r="GK324" i="31"/>
  <c r="GL324" i="31" s="1"/>
  <c r="GK80" i="31"/>
  <c r="GL80" i="31" s="1"/>
  <c r="GK370" i="31"/>
  <c r="GL370" i="31" s="1"/>
  <c r="GK337" i="31"/>
  <c r="GL337" i="31" s="1"/>
  <c r="GK295" i="31"/>
  <c r="GL295" i="31" s="1"/>
  <c r="GK81" i="31"/>
  <c r="GL81" i="31" s="1"/>
  <c r="GK167" i="31"/>
  <c r="GL167" i="31" s="1"/>
  <c r="GK238" i="31"/>
  <c r="GL238" i="31" s="1"/>
  <c r="GK200" i="31"/>
  <c r="GL200" i="31" s="1"/>
  <c r="GK110" i="31"/>
  <c r="GL110" i="31" s="1"/>
  <c r="GK144" i="31"/>
  <c r="GL144" i="31" s="1"/>
  <c r="GK278" i="31"/>
  <c r="GL278" i="31" s="1"/>
  <c r="GK178" i="31"/>
  <c r="GL178" i="31" s="1"/>
  <c r="GK86" i="31"/>
  <c r="GL86" i="31" s="1"/>
  <c r="GK231" i="31"/>
  <c r="GL231" i="31" s="1"/>
  <c r="GK253" i="31"/>
  <c r="GL253" i="31" s="1"/>
  <c r="GK153" i="31"/>
  <c r="GL153" i="31" s="1"/>
  <c r="GK361" i="31"/>
  <c r="GL361" i="31" s="1"/>
  <c r="GK225" i="31"/>
  <c r="GL225" i="31" s="1"/>
  <c r="GK300" i="31"/>
  <c r="GL300" i="31" s="1"/>
  <c r="GK150" i="31"/>
  <c r="GL150" i="31" s="1"/>
  <c r="GK317" i="31"/>
  <c r="GL317" i="31" s="1"/>
  <c r="GK135" i="31"/>
  <c r="GL135" i="31" s="1"/>
  <c r="GK156" i="31"/>
  <c r="GL156" i="31" s="1"/>
  <c r="NE115" i="31"/>
  <c r="NE166" i="31"/>
  <c r="NE234" i="31"/>
  <c r="NE276" i="31"/>
  <c r="NE193" i="31"/>
  <c r="NE220" i="31"/>
  <c r="NE370" i="31"/>
  <c r="NE157" i="31"/>
  <c r="NE237" i="31"/>
  <c r="NE136" i="31"/>
  <c r="NE88" i="31"/>
  <c r="NE304" i="31"/>
  <c r="NE135" i="31"/>
  <c r="NE204" i="31"/>
  <c r="NE257" i="31"/>
  <c r="NE111" i="31"/>
  <c r="NE147" i="31"/>
  <c r="NE89" i="31"/>
  <c r="NE256" i="31"/>
  <c r="NE185" i="31"/>
  <c r="NE222" i="31"/>
  <c r="NE96" i="31"/>
  <c r="NE65" i="31"/>
  <c r="NE119" i="31"/>
  <c r="NE97" i="31"/>
  <c r="NE130" i="31"/>
  <c r="NE178" i="31"/>
  <c r="NE205" i="31"/>
  <c r="NE173" i="31"/>
  <c r="NE86" i="31"/>
  <c r="NE243" i="31"/>
  <c r="NE213" i="31"/>
  <c r="NE366" i="31"/>
  <c r="NE165" i="31"/>
  <c r="NE105" i="31"/>
  <c r="NE206" i="31"/>
  <c r="NE151" i="31"/>
  <c r="NE128" i="31"/>
  <c r="NE335" i="31"/>
  <c r="NE184" i="31"/>
  <c r="NE348" i="31"/>
  <c r="NE197" i="31"/>
  <c r="NE118" i="31"/>
  <c r="NE171" i="31"/>
  <c r="NE108" i="31"/>
  <c r="NE109" i="31"/>
  <c r="NE145" i="31"/>
  <c r="NE83" i="31"/>
  <c r="NE170" i="31"/>
  <c r="NE180" i="31"/>
  <c r="NE114" i="31"/>
  <c r="NE159" i="31"/>
  <c r="NE169" i="31"/>
  <c r="NE260" i="31"/>
  <c r="NE101" i="31"/>
  <c r="NE139" i="31"/>
  <c r="NE127" i="31"/>
  <c r="NE134" i="31"/>
  <c r="NE183" i="31"/>
  <c r="NE146" i="31"/>
  <c r="NE215" i="31"/>
  <c r="NE245" i="31"/>
  <c r="NE143" i="31"/>
  <c r="NE137" i="31"/>
  <c r="NE78" i="31"/>
  <c r="NE214" i="31"/>
  <c r="NE152" i="31"/>
  <c r="NE142" i="31"/>
  <c r="NE196" i="31"/>
  <c r="NE93" i="31"/>
  <c r="NE192" i="31"/>
  <c r="NE99" i="31"/>
  <c r="NE353" i="31"/>
  <c r="NE104" i="31"/>
  <c r="NE129" i="31"/>
  <c r="NE161" i="31"/>
  <c r="AF196" i="31"/>
  <c r="AF357" i="31"/>
  <c r="AF294" i="31"/>
  <c r="AF337" i="31"/>
  <c r="AF164" i="31"/>
  <c r="AF278" i="31"/>
  <c r="AF236" i="31"/>
  <c r="AF227" i="31"/>
  <c r="AF177" i="31"/>
  <c r="AF184" i="31"/>
  <c r="AF279" i="31"/>
  <c r="AF212" i="31"/>
  <c r="AF248" i="31"/>
  <c r="AF350" i="31"/>
  <c r="AF307" i="31"/>
  <c r="AF232" i="31"/>
  <c r="AF152" i="31"/>
  <c r="AF220" i="31"/>
  <c r="FN164" i="31"/>
  <c r="FN177" i="31"/>
  <c r="FN294" i="31"/>
  <c r="FN220" i="31"/>
  <c r="FN248" i="31"/>
  <c r="FN227" i="31"/>
  <c r="FN279" i="31"/>
  <c r="FN232" i="31"/>
  <c r="FN152" i="31"/>
  <c r="FN350" i="31"/>
  <c r="FN184" i="31"/>
  <c r="FN278" i="31"/>
  <c r="FN357" i="31"/>
  <c r="FN196" i="31"/>
  <c r="FN236" i="31"/>
  <c r="FN337" i="31"/>
  <c r="FN307" i="31"/>
  <c r="FN212" i="31"/>
  <c r="GK352" i="31"/>
  <c r="GL352" i="31" s="1"/>
  <c r="GK333" i="31"/>
  <c r="GL333" i="31" s="1"/>
  <c r="GK256" i="31"/>
  <c r="GL256" i="31" s="1"/>
  <c r="GK339" i="31"/>
  <c r="GL339" i="31" s="1"/>
  <c r="GK226" i="31"/>
  <c r="GL226" i="31" s="1"/>
  <c r="GK227" i="31"/>
  <c r="GL227" i="31" s="1"/>
  <c r="GK88" i="31"/>
  <c r="GL88" i="31" s="1"/>
  <c r="GK108" i="31"/>
  <c r="GL108" i="31" s="1"/>
  <c r="GK141" i="31"/>
  <c r="GL141" i="31" s="1"/>
  <c r="GK202" i="31"/>
  <c r="GL202" i="31" s="1"/>
  <c r="GK364" i="31"/>
  <c r="GL364" i="31" s="1"/>
  <c r="GK213" i="31"/>
  <c r="GL213" i="31" s="1"/>
  <c r="GK138" i="31"/>
  <c r="GL138" i="31" s="1"/>
  <c r="GK114" i="31"/>
  <c r="GL114" i="31" s="1"/>
  <c r="GK243" i="31"/>
  <c r="GL243" i="31" s="1"/>
  <c r="GK207" i="31"/>
  <c r="GL207" i="31" s="1"/>
  <c r="GK328" i="31"/>
  <c r="GL328" i="31" s="1"/>
  <c r="GK244" i="31"/>
  <c r="GL244" i="31" s="1"/>
  <c r="GK159" i="31"/>
  <c r="GL159" i="31" s="1"/>
  <c r="GK194" i="31"/>
  <c r="GL194" i="31" s="1"/>
  <c r="GK210" i="31"/>
  <c r="GL210" i="31" s="1"/>
  <c r="GK203" i="31"/>
  <c r="GL203" i="31" s="1"/>
  <c r="GK77" i="31"/>
  <c r="GL77" i="31" s="1"/>
  <c r="GK174" i="31"/>
  <c r="GL174" i="31" s="1"/>
  <c r="GK93" i="31"/>
  <c r="GL93" i="31" s="1"/>
  <c r="GK83" i="31"/>
  <c r="GL83" i="31" s="1"/>
  <c r="GK215" i="31"/>
  <c r="GL215" i="31" s="1"/>
  <c r="GK184" i="31"/>
  <c r="GL184" i="31" s="1"/>
  <c r="GK323" i="31"/>
  <c r="GL323" i="31" s="1"/>
  <c r="GK123" i="31"/>
  <c r="GL123" i="31" s="1"/>
  <c r="GK211" i="31"/>
  <c r="GL211" i="31" s="1"/>
  <c r="GK218" i="31"/>
  <c r="GL218" i="31" s="1"/>
  <c r="GK363" i="31"/>
  <c r="GL363" i="31" s="1"/>
  <c r="GK149" i="31"/>
  <c r="GL149" i="31" s="1"/>
  <c r="GK217" i="31"/>
  <c r="GL217" i="31" s="1"/>
  <c r="GK68" i="31"/>
  <c r="GL68" i="31" s="1"/>
  <c r="GK264" i="31"/>
  <c r="GL264" i="31" s="1"/>
  <c r="GK367" i="31"/>
  <c r="GL367" i="31" s="1"/>
  <c r="GK344" i="31"/>
  <c r="GL344" i="31" s="1"/>
  <c r="GK282" i="31"/>
  <c r="GL282" i="31" s="1"/>
  <c r="GK326" i="31"/>
  <c r="GL326" i="31" s="1"/>
  <c r="GK269" i="31"/>
  <c r="GL269" i="31" s="1"/>
  <c r="GK131" i="31"/>
  <c r="GL131" i="31" s="1"/>
  <c r="GK340" i="31"/>
  <c r="GL340" i="31" s="1"/>
  <c r="GK181" i="31"/>
  <c r="GL181" i="31" s="1"/>
  <c r="GK197" i="31"/>
  <c r="GL197" i="31" s="1"/>
  <c r="GK183" i="31"/>
  <c r="GL183" i="31" s="1"/>
  <c r="GK233" i="31"/>
  <c r="GL233" i="31" s="1"/>
  <c r="GK119" i="31"/>
  <c r="GL119" i="31" s="1"/>
  <c r="GK239" i="31"/>
  <c r="GL239" i="31" s="1"/>
  <c r="GK182" i="31"/>
  <c r="GL182" i="31" s="1"/>
  <c r="GK314" i="31"/>
  <c r="GL314" i="31" s="1"/>
  <c r="GK109" i="31"/>
  <c r="GL109" i="31" s="1"/>
  <c r="GK263" i="31"/>
  <c r="GL263" i="31" s="1"/>
  <c r="GK132" i="31"/>
  <c r="GL132" i="31" s="1"/>
  <c r="GK345" i="31"/>
  <c r="GL345" i="31" s="1"/>
  <c r="GK369" i="31"/>
  <c r="GL369" i="31" s="1"/>
  <c r="GK216" i="31"/>
  <c r="GL216" i="31" s="1"/>
  <c r="GK165" i="31"/>
  <c r="GL165" i="31" s="1"/>
  <c r="GK258" i="31"/>
  <c r="GL258" i="31" s="1"/>
  <c r="GK105" i="31"/>
  <c r="GL105" i="31" s="1"/>
  <c r="GK90" i="31"/>
  <c r="GL90" i="31" s="1"/>
  <c r="GK152" i="31"/>
  <c r="GL152" i="31" s="1"/>
  <c r="GK162" i="31"/>
  <c r="GL162" i="31" s="1"/>
  <c r="GK177" i="31"/>
  <c r="GL177" i="31" s="1"/>
  <c r="GK267" i="31"/>
  <c r="GL267" i="31" s="1"/>
  <c r="Q196" i="31"/>
  <c r="Q236" i="31"/>
  <c r="Q279" i="31"/>
  <c r="Q248" i="31"/>
  <c r="Q307" i="31"/>
  <c r="Q278" i="31"/>
  <c r="Q357" i="31"/>
  <c r="Q337" i="31"/>
  <c r="Q177" i="31"/>
  <c r="Q184" i="31"/>
  <c r="Q220" i="31"/>
  <c r="Q164" i="31"/>
  <c r="Q212" i="31"/>
  <c r="Q152" i="31"/>
  <c r="Q350" i="31"/>
  <c r="Q232" i="31"/>
  <c r="Q227" i="31"/>
  <c r="Q294" i="31"/>
  <c r="AU11" i="31" l="1"/>
  <c r="AV11" i="31" s="1"/>
  <c r="AW10" i="31"/>
  <c r="MH7" i="31"/>
  <c r="MI7" i="31"/>
  <c r="MM7" i="31" s="1"/>
  <c r="MN7" i="31" s="1"/>
  <c r="MG11" i="31"/>
  <c r="MK11" i="31" s="1"/>
  <c r="ML11" i="31" s="1"/>
  <c r="OP14" i="31"/>
  <c r="MG54" i="31"/>
  <c r="MK54" i="31" s="1"/>
  <c r="PF54" i="31"/>
  <c r="MG29" i="31"/>
  <c r="MK29" i="31" s="1"/>
  <c r="MG57" i="31"/>
  <c r="MK57" i="31" s="1"/>
  <c r="PF57" i="31"/>
  <c r="MG32" i="31"/>
  <c r="MI32" i="31" s="1"/>
  <c r="MP32" i="31" s="1"/>
  <c r="N12" i="31"/>
  <c r="O13" i="31" s="1"/>
  <c r="CZ12" i="31"/>
  <c r="LT16" i="31"/>
  <c r="ME16" i="31" s="1"/>
  <c r="PF16" i="31" s="1"/>
  <c r="LR32" i="31"/>
  <c r="LX32" i="31" s="1"/>
  <c r="LZ32" i="31" s="1"/>
  <c r="Y278" i="31"/>
  <c r="MC278" i="31" s="1"/>
  <c r="Y294" i="31"/>
  <c r="MC294" i="31" s="1"/>
  <c r="Y177" i="31"/>
  <c r="MC177" i="31" s="1"/>
  <c r="Y357" i="31"/>
  <c r="MC357" i="31" s="1"/>
  <c r="Y196" i="31"/>
  <c r="MC196" i="31" s="1"/>
  <c r="Y220" i="31"/>
  <c r="MC220" i="31" s="1"/>
  <c r="Y248" i="31"/>
  <c r="MC248" i="31" s="1"/>
  <c r="Y337" i="31"/>
  <c r="MC337" i="31" s="1"/>
  <c r="Y152" i="31"/>
  <c r="MC152" i="31" s="1"/>
  <c r="Y279" i="31"/>
  <c r="MC279" i="31" s="1"/>
  <c r="Y307" i="31"/>
  <c r="MC307" i="31" s="1"/>
  <c r="Y184" i="31"/>
  <c r="MC184" i="31" s="1"/>
  <c r="Y236" i="31"/>
  <c r="MC236" i="31" s="1"/>
  <c r="Y350" i="31"/>
  <c r="MC350" i="31" s="1"/>
  <c r="Y212" i="31"/>
  <c r="MC212" i="31" s="1"/>
  <c r="Y164" i="31"/>
  <c r="MC164" i="31" s="1"/>
  <c r="Y227" i="31"/>
  <c r="MC227" i="31" s="1"/>
  <c r="Y232" i="31"/>
  <c r="MC232" i="31" s="1"/>
  <c r="LR12" i="31"/>
  <c r="LX12" i="31" s="1"/>
  <c r="LZ12" i="31" s="1"/>
  <c r="LS16" i="31"/>
  <c r="LY16" i="31" s="1"/>
  <c r="MA16" i="31" s="1"/>
  <c r="LP169" i="31"/>
  <c r="LU169" i="31" s="1"/>
  <c r="MD169" i="31" s="1"/>
  <c r="LP106" i="31"/>
  <c r="LU106" i="31" s="1"/>
  <c r="MD106" i="31" s="1"/>
  <c r="LP216" i="31"/>
  <c r="LU216" i="31" s="1"/>
  <c r="MD216" i="31" s="1"/>
  <c r="LP113" i="31"/>
  <c r="LU113" i="31" s="1"/>
  <c r="MD113" i="31" s="1"/>
  <c r="LP95" i="31"/>
  <c r="LU95" i="31" s="1"/>
  <c r="MD95" i="31" s="1"/>
  <c r="LP115" i="31"/>
  <c r="LU115" i="31" s="1"/>
  <c r="MD115" i="31" s="1"/>
  <c r="LP80" i="31"/>
  <c r="LU80" i="31" s="1"/>
  <c r="MD80" i="31" s="1"/>
  <c r="LP90" i="31"/>
  <c r="LU90" i="31" s="1"/>
  <c r="MD90" i="31" s="1"/>
  <c r="LP102" i="31"/>
  <c r="LU102" i="31" s="1"/>
  <c r="MD102" i="31" s="1"/>
  <c r="LP222" i="31"/>
  <c r="LU222" i="31" s="1"/>
  <c r="MD222" i="31" s="1"/>
  <c r="LP288" i="31"/>
  <c r="LU288" i="31" s="1"/>
  <c r="MD288" i="31" s="1"/>
  <c r="LP188" i="31"/>
  <c r="LU188" i="31" s="1"/>
  <c r="MD188" i="31" s="1"/>
  <c r="LP261" i="31"/>
  <c r="LU261" i="31" s="1"/>
  <c r="MD261" i="31" s="1"/>
  <c r="LP202" i="31"/>
  <c r="LU202" i="31" s="1"/>
  <c r="MD202" i="31" s="1"/>
  <c r="LP111" i="31"/>
  <c r="LU111" i="31" s="1"/>
  <c r="MD111" i="31" s="1"/>
  <c r="LP130" i="31"/>
  <c r="LU130" i="31" s="1"/>
  <c r="MD130" i="31" s="1"/>
  <c r="LP148" i="31"/>
  <c r="LU148" i="31" s="1"/>
  <c r="MD148" i="31" s="1"/>
  <c r="LP251" i="31"/>
  <c r="LU251" i="31" s="1"/>
  <c r="MD251" i="31" s="1"/>
  <c r="LP338" i="31"/>
  <c r="LU338" i="31" s="1"/>
  <c r="MD338" i="31" s="1"/>
  <c r="LP155" i="31"/>
  <c r="LU155" i="31" s="1"/>
  <c r="MD155" i="31" s="1"/>
  <c r="LP243" i="31"/>
  <c r="LU243" i="31" s="1"/>
  <c r="MD243" i="31" s="1"/>
  <c r="LP292" i="31"/>
  <c r="LU292" i="31" s="1"/>
  <c r="MD292" i="31" s="1"/>
  <c r="LP105" i="31"/>
  <c r="LU105" i="31" s="1"/>
  <c r="MD105" i="31" s="1"/>
  <c r="LP369" i="31"/>
  <c r="LU369" i="31" s="1"/>
  <c r="MD369" i="31" s="1"/>
  <c r="LP305" i="31"/>
  <c r="LU305" i="31" s="1"/>
  <c r="MD305" i="31" s="1"/>
  <c r="LP193" i="31"/>
  <c r="LU193" i="31" s="1"/>
  <c r="MD193" i="31" s="1"/>
  <c r="LP74" i="31"/>
  <c r="LU74" i="31" s="1"/>
  <c r="MD74" i="31" s="1"/>
  <c r="LP182" i="31"/>
  <c r="LU182" i="31" s="1"/>
  <c r="MD182" i="31" s="1"/>
  <c r="LP334" i="31"/>
  <c r="LU334" i="31" s="1"/>
  <c r="MD334" i="31" s="1"/>
  <c r="LP107" i="31"/>
  <c r="LU107" i="31" s="1"/>
  <c r="MD107" i="31" s="1"/>
  <c r="LP306" i="31"/>
  <c r="LU306" i="31" s="1"/>
  <c r="MD306" i="31" s="1"/>
  <c r="LP89" i="31"/>
  <c r="LU89" i="31" s="1"/>
  <c r="MD89" i="31" s="1"/>
  <c r="LP329" i="31"/>
  <c r="LU329" i="31" s="1"/>
  <c r="MD329" i="31" s="1"/>
  <c r="LP252" i="31"/>
  <c r="LU252" i="31" s="1"/>
  <c r="MD252" i="31" s="1"/>
  <c r="LP300" i="31"/>
  <c r="LU300" i="31" s="1"/>
  <c r="MD300" i="31" s="1"/>
  <c r="LP181" i="31"/>
  <c r="LU181" i="31" s="1"/>
  <c r="MD181" i="31" s="1"/>
  <c r="LP161" i="31"/>
  <c r="LU161" i="31" s="1"/>
  <c r="MD161" i="31" s="1"/>
  <c r="LP73" i="31"/>
  <c r="LU73" i="31" s="1"/>
  <c r="MD73" i="31" s="1"/>
  <c r="LP241" i="31"/>
  <c r="LU241" i="31" s="1"/>
  <c r="MD241" i="31" s="1"/>
  <c r="LP185" i="31"/>
  <c r="LU185" i="31" s="1"/>
  <c r="MD185" i="31" s="1"/>
  <c r="LP358" i="31"/>
  <c r="LU358" i="31" s="1"/>
  <c r="MD358" i="31" s="1"/>
  <c r="LP296" i="31"/>
  <c r="LU296" i="31" s="1"/>
  <c r="MD296" i="31" s="1"/>
  <c r="LP82" i="31"/>
  <c r="LU82" i="31" s="1"/>
  <c r="MD82" i="31" s="1"/>
  <c r="LP304" i="31"/>
  <c r="LU304" i="31" s="1"/>
  <c r="MD304" i="31" s="1"/>
  <c r="LP166" i="31"/>
  <c r="LU166" i="31" s="1"/>
  <c r="MD166" i="31" s="1"/>
  <c r="LQ49" i="31"/>
  <c r="LR49" i="31" s="1"/>
  <c r="LX49" i="31" s="1"/>
  <c r="LZ49" i="31" s="1"/>
  <c r="LQ62" i="31"/>
  <c r="LQ56" i="31"/>
  <c r="LS56" i="31" s="1"/>
  <c r="LY56" i="31" s="1"/>
  <c r="MA56" i="31" s="1"/>
  <c r="LQ33" i="31"/>
  <c r="LR33" i="31" s="1"/>
  <c r="LX33" i="31" s="1"/>
  <c r="LZ33" i="31" s="1"/>
  <c r="LP330" i="31"/>
  <c r="LU330" i="31" s="1"/>
  <c r="MD330" i="31" s="1"/>
  <c r="LP77" i="31"/>
  <c r="LU77" i="31" s="1"/>
  <c r="MD77" i="31" s="1"/>
  <c r="LP282" i="31"/>
  <c r="LU282" i="31" s="1"/>
  <c r="MD282" i="31" s="1"/>
  <c r="LP195" i="31"/>
  <c r="LU195" i="31" s="1"/>
  <c r="MD195" i="31" s="1"/>
  <c r="LP94" i="31"/>
  <c r="LU94" i="31" s="1"/>
  <c r="MD94" i="31" s="1"/>
  <c r="LP267" i="31"/>
  <c r="LU267" i="31" s="1"/>
  <c r="MD267" i="31" s="1"/>
  <c r="LP135" i="31"/>
  <c r="LU135" i="31" s="1"/>
  <c r="MD135" i="31" s="1"/>
  <c r="LP119" i="31"/>
  <c r="LU119" i="31" s="1"/>
  <c r="MD119" i="31" s="1"/>
  <c r="LP344" i="31"/>
  <c r="LU344" i="31" s="1"/>
  <c r="MD344" i="31" s="1"/>
  <c r="LP230" i="31"/>
  <c r="LU230" i="31" s="1"/>
  <c r="MD230" i="31" s="1"/>
  <c r="LP356" i="31"/>
  <c r="LU356" i="31" s="1"/>
  <c r="MD356" i="31" s="1"/>
  <c r="LP159" i="31"/>
  <c r="LU159" i="31" s="1"/>
  <c r="MD159" i="31" s="1"/>
  <c r="LP347" i="31"/>
  <c r="LU347" i="31" s="1"/>
  <c r="MD347" i="31" s="1"/>
  <c r="LP150" i="31"/>
  <c r="LU150" i="31" s="1"/>
  <c r="MD150" i="31" s="1"/>
  <c r="LP368" i="31"/>
  <c r="LU368" i="31" s="1"/>
  <c r="MD368" i="31" s="1"/>
  <c r="LP322" i="31"/>
  <c r="LU322" i="31" s="1"/>
  <c r="MD322" i="31" s="1"/>
  <c r="LP162" i="31"/>
  <c r="LU162" i="31" s="1"/>
  <c r="MD162" i="31" s="1"/>
  <c r="LP247" i="31"/>
  <c r="LU247" i="31" s="1"/>
  <c r="MD247" i="31" s="1"/>
  <c r="LP140" i="31"/>
  <c r="LU140" i="31" s="1"/>
  <c r="MD140" i="31" s="1"/>
  <c r="LP366" i="31"/>
  <c r="LU366" i="31" s="1"/>
  <c r="MD366" i="31" s="1"/>
  <c r="LP291" i="31"/>
  <c r="LU291" i="31" s="1"/>
  <c r="MD291" i="31" s="1"/>
  <c r="LP96" i="31"/>
  <c r="LU96" i="31" s="1"/>
  <c r="MD96" i="31" s="1"/>
  <c r="LP112" i="31"/>
  <c r="LU112" i="31" s="1"/>
  <c r="MD112" i="31" s="1"/>
  <c r="LP245" i="31"/>
  <c r="LU245" i="31" s="1"/>
  <c r="MD245" i="31" s="1"/>
  <c r="LP264" i="31"/>
  <c r="LU264" i="31" s="1"/>
  <c r="MD264" i="31" s="1"/>
  <c r="LP260" i="31"/>
  <c r="LU260" i="31" s="1"/>
  <c r="MD260" i="31" s="1"/>
  <c r="LP365" i="31"/>
  <c r="LU365" i="31" s="1"/>
  <c r="MD365" i="31" s="1"/>
  <c r="LP71" i="31"/>
  <c r="LU71" i="31" s="1"/>
  <c r="MD71" i="31" s="1"/>
  <c r="LP367" i="31"/>
  <c r="LU367" i="31" s="1"/>
  <c r="MD367" i="31" s="1"/>
  <c r="LP84" i="31"/>
  <c r="LU84" i="31" s="1"/>
  <c r="MD84" i="31" s="1"/>
  <c r="LP194" i="31"/>
  <c r="LU194" i="31" s="1"/>
  <c r="MD194" i="31" s="1"/>
  <c r="LP231" i="31"/>
  <c r="LU231" i="31" s="1"/>
  <c r="MD231" i="31" s="1"/>
  <c r="LP242" i="31"/>
  <c r="LU242" i="31" s="1"/>
  <c r="MD242" i="31" s="1"/>
  <c r="LP348" i="31"/>
  <c r="LU348" i="31" s="1"/>
  <c r="MD348" i="31" s="1"/>
  <c r="LP239" i="31"/>
  <c r="LU239" i="31" s="1"/>
  <c r="MD239" i="31" s="1"/>
  <c r="LP121" i="31"/>
  <c r="LU121" i="31" s="1"/>
  <c r="MD121" i="31" s="1"/>
  <c r="LQ9" i="31"/>
  <c r="LS9" i="31" s="1"/>
  <c r="LY9" i="31" s="1"/>
  <c r="MA9" i="31" s="1"/>
  <c r="LQ25" i="31"/>
  <c r="LT25" i="31" s="1"/>
  <c r="ME25" i="31" s="1"/>
  <c r="PF25" i="31" s="1"/>
  <c r="LQ45" i="31"/>
  <c r="LP205" i="31"/>
  <c r="LU205" i="31" s="1"/>
  <c r="MD205" i="31" s="1"/>
  <c r="LP167" i="31"/>
  <c r="LU167" i="31" s="1"/>
  <c r="MD167" i="31" s="1"/>
  <c r="LP160" i="31"/>
  <c r="LU160" i="31" s="1"/>
  <c r="MD160" i="31" s="1"/>
  <c r="LP315" i="31"/>
  <c r="LU315" i="31" s="1"/>
  <c r="MD315" i="31" s="1"/>
  <c r="LP284" i="31"/>
  <c r="LU284" i="31" s="1"/>
  <c r="MD284" i="31" s="1"/>
  <c r="LP273" i="31"/>
  <c r="LU273" i="31" s="1"/>
  <c r="MD273" i="31" s="1"/>
  <c r="LP93" i="31"/>
  <c r="LU93" i="31" s="1"/>
  <c r="MD93" i="31" s="1"/>
  <c r="LP276" i="31"/>
  <c r="LU276" i="31" s="1"/>
  <c r="MD276" i="31" s="1"/>
  <c r="LP117" i="31"/>
  <c r="LU117" i="31" s="1"/>
  <c r="MD117" i="31" s="1"/>
  <c r="LQ50" i="31"/>
  <c r="LR50" i="31" s="1"/>
  <c r="LX50" i="31" s="1"/>
  <c r="LZ50" i="31" s="1"/>
  <c r="LQ10" i="31"/>
  <c r="LR10" i="31" s="1"/>
  <c r="LX10" i="31" s="1"/>
  <c r="LZ10" i="31" s="1"/>
  <c r="LP122" i="31"/>
  <c r="LU122" i="31" s="1"/>
  <c r="MD122" i="31" s="1"/>
  <c r="LP263" i="31"/>
  <c r="LU263" i="31" s="1"/>
  <c r="MD263" i="31" s="1"/>
  <c r="LP76" i="31"/>
  <c r="LU76" i="31" s="1"/>
  <c r="MD76" i="31" s="1"/>
  <c r="LP208" i="31"/>
  <c r="LU208" i="31" s="1"/>
  <c r="MD208" i="31" s="1"/>
  <c r="LP65" i="31"/>
  <c r="LU65" i="31" s="1"/>
  <c r="MD65" i="31" s="1"/>
  <c r="LP326" i="31"/>
  <c r="LU326" i="31" s="1"/>
  <c r="MD326" i="31" s="1"/>
  <c r="LP124" i="31"/>
  <c r="LU124" i="31" s="1"/>
  <c r="MD124" i="31" s="1"/>
  <c r="LP262" i="31"/>
  <c r="LU262" i="31" s="1"/>
  <c r="MD262" i="31" s="1"/>
  <c r="LP250" i="31"/>
  <c r="LU250" i="31" s="1"/>
  <c r="MD250" i="31" s="1"/>
  <c r="LP331" i="31"/>
  <c r="LU331" i="31" s="1"/>
  <c r="MD331" i="31" s="1"/>
  <c r="LP153" i="31"/>
  <c r="LU153" i="31" s="1"/>
  <c r="MD153" i="31" s="1"/>
  <c r="LP370" i="31"/>
  <c r="LU370" i="31" s="1"/>
  <c r="MD370" i="31" s="1"/>
  <c r="LP266" i="31"/>
  <c r="LU266" i="31" s="1"/>
  <c r="MD266" i="31" s="1"/>
  <c r="LP255" i="31"/>
  <c r="LU255" i="31" s="1"/>
  <c r="MD255" i="31" s="1"/>
  <c r="LP101" i="31"/>
  <c r="LU101" i="31" s="1"/>
  <c r="MD101" i="31" s="1"/>
  <c r="LP233" i="31"/>
  <c r="LU233" i="31" s="1"/>
  <c r="MD233" i="31" s="1"/>
  <c r="LP131" i="31"/>
  <c r="LU131" i="31" s="1"/>
  <c r="MD131" i="31" s="1"/>
  <c r="LP340" i="31"/>
  <c r="LU340" i="31" s="1"/>
  <c r="MD340" i="31" s="1"/>
  <c r="LP211" i="31"/>
  <c r="LU211" i="31" s="1"/>
  <c r="MD211" i="31" s="1"/>
  <c r="LP234" i="31"/>
  <c r="LU234" i="31" s="1"/>
  <c r="MD234" i="31" s="1"/>
  <c r="LP173" i="31"/>
  <c r="LU173" i="31" s="1"/>
  <c r="MD173" i="31" s="1"/>
  <c r="LP302" i="31"/>
  <c r="LU302" i="31" s="1"/>
  <c r="MD302" i="31" s="1"/>
  <c r="LP217" i="31"/>
  <c r="LU217" i="31" s="1"/>
  <c r="MD217" i="31" s="1"/>
  <c r="LP88" i="31"/>
  <c r="LU88" i="31" s="1"/>
  <c r="MD88" i="31" s="1"/>
  <c r="LQ53" i="31"/>
  <c r="LT53" i="31" s="1"/>
  <c r="ME53" i="31" s="1"/>
  <c r="LQ8" i="31"/>
  <c r="LR8" i="31" s="1"/>
  <c r="LX8" i="31" s="1"/>
  <c r="LZ8" i="31" s="1"/>
  <c r="LP289" i="31"/>
  <c r="LU289" i="31" s="1"/>
  <c r="MD289" i="31" s="1"/>
  <c r="LP254" i="31"/>
  <c r="LU254" i="31" s="1"/>
  <c r="MD254" i="31" s="1"/>
  <c r="LP219" i="31"/>
  <c r="LU219" i="31" s="1"/>
  <c r="MD219" i="31" s="1"/>
  <c r="LP360" i="31"/>
  <c r="LU360" i="31" s="1"/>
  <c r="MD360" i="31" s="1"/>
  <c r="LP198" i="31"/>
  <c r="LU198" i="31" s="1"/>
  <c r="MD198" i="31" s="1"/>
  <c r="LP321" i="31"/>
  <c r="LU321" i="31" s="1"/>
  <c r="MD321" i="31" s="1"/>
  <c r="LP201" i="31"/>
  <c r="LU201" i="31" s="1"/>
  <c r="MD201" i="31" s="1"/>
  <c r="LP286" i="31"/>
  <c r="LU286" i="31" s="1"/>
  <c r="MD286" i="31" s="1"/>
  <c r="LP110" i="31"/>
  <c r="LU110" i="31" s="1"/>
  <c r="MD110" i="31" s="1"/>
  <c r="LP175" i="31"/>
  <c r="LU175" i="31" s="1"/>
  <c r="MD175" i="31" s="1"/>
  <c r="LP339" i="31"/>
  <c r="LU339" i="31" s="1"/>
  <c r="MD339" i="31" s="1"/>
  <c r="LP210" i="31"/>
  <c r="LU210" i="31" s="1"/>
  <c r="MD210" i="31" s="1"/>
  <c r="LP70" i="31"/>
  <c r="LU70" i="31" s="1"/>
  <c r="MD70" i="31" s="1"/>
  <c r="LP176" i="31"/>
  <c r="LU176" i="31" s="1"/>
  <c r="MD176" i="31" s="1"/>
  <c r="LP108" i="31"/>
  <c r="LU108" i="31" s="1"/>
  <c r="MD108" i="31" s="1"/>
  <c r="LP100" i="31"/>
  <c r="LU100" i="31" s="1"/>
  <c r="MD100" i="31" s="1"/>
  <c r="LP192" i="31"/>
  <c r="LU192" i="31" s="1"/>
  <c r="MD192" i="31" s="1"/>
  <c r="LP228" i="31"/>
  <c r="LU228" i="31" s="1"/>
  <c r="MD228" i="31" s="1"/>
  <c r="LP237" i="31"/>
  <c r="LU237" i="31" s="1"/>
  <c r="MD237" i="31" s="1"/>
  <c r="LP109" i="31"/>
  <c r="LU109" i="31" s="1"/>
  <c r="MD109" i="31" s="1"/>
  <c r="LP342" i="31"/>
  <c r="LU342" i="31" s="1"/>
  <c r="MD342" i="31" s="1"/>
  <c r="LP325" i="31"/>
  <c r="LU325" i="31" s="1"/>
  <c r="MD325" i="31" s="1"/>
  <c r="LP332" i="31"/>
  <c r="LU332" i="31" s="1"/>
  <c r="MD332" i="31" s="1"/>
  <c r="LP218" i="31"/>
  <c r="LU218" i="31" s="1"/>
  <c r="MD218" i="31" s="1"/>
  <c r="LP142" i="31"/>
  <c r="LU142" i="31" s="1"/>
  <c r="MD142" i="31" s="1"/>
  <c r="LP97" i="31"/>
  <c r="LU97" i="31" s="1"/>
  <c r="MD97" i="31" s="1"/>
  <c r="LP165" i="31"/>
  <c r="LU165" i="31" s="1"/>
  <c r="MD165" i="31" s="1"/>
  <c r="LP285" i="31"/>
  <c r="LU285" i="31" s="1"/>
  <c r="MD285" i="31" s="1"/>
  <c r="LP67" i="31"/>
  <c r="LU67" i="31" s="1"/>
  <c r="MD67" i="31" s="1"/>
  <c r="LP138" i="31"/>
  <c r="LU138" i="31" s="1"/>
  <c r="MD138" i="31" s="1"/>
  <c r="LP355" i="31"/>
  <c r="LU355" i="31" s="1"/>
  <c r="MD355" i="31" s="1"/>
  <c r="LP116" i="31"/>
  <c r="LU116" i="31" s="1"/>
  <c r="MD116" i="31" s="1"/>
  <c r="LP91" i="31"/>
  <c r="LU91" i="31" s="1"/>
  <c r="MD91" i="31" s="1"/>
  <c r="LP197" i="31"/>
  <c r="LU197" i="31" s="1"/>
  <c r="MD197" i="31" s="1"/>
  <c r="LP136" i="31"/>
  <c r="LU136" i="31" s="1"/>
  <c r="MD136" i="31" s="1"/>
  <c r="LP363" i="31"/>
  <c r="LU363" i="31" s="1"/>
  <c r="MD363" i="31" s="1"/>
  <c r="LT12" i="31"/>
  <c r="ME12" i="31" s="1"/>
  <c r="PF12" i="31" s="1"/>
  <c r="LQ17" i="31"/>
  <c r="LR17" i="31" s="1"/>
  <c r="LX17" i="31" s="1"/>
  <c r="LZ17" i="31" s="1"/>
  <c r="LQ42" i="31"/>
  <c r="LR42" i="31" s="1"/>
  <c r="LX42" i="31" s="1"/>
  <c r="LZ42" i="31" s="1"/>
  <c r="LQ34" i="31"/>
  <c r="LR34" i="31" s="1"/>
  <c r="LX34" i="31" s="1"/>
  <c r="LZ34" i="31" s="1"/>
  <c r="LQ41" i="31"/>
  <c r="LS41" i="31" s="1"/>
  <c r="LY41" i="31" s="1"/>
  <c r="MA41" i="31" s="1"/>
  <c r="LP149" i="31"/>
  <c r="LU149" i="31" s="1"/>
  <c r="MD149" i="31" s="1"/>
  <c r="LP224" i="31"/>
  <c r="LU224" i="31" s="1"/>
  <c r="MD224" i="31" s="1"/>
  <c r="LP257" i="31"/>
  <c r="LU257" i="31" s="1"/>
  <c r="MD257" i="31" s="1"/>
  <c r="LP123" i="31"/>
  <c r="LU123" i="31" s="1"/>
  <c r="MD123" i="31" s="1"/>
  <c r="LP225" i="31"/>
  <c r="LU225" i="31" s="1"/>
  <c r="MD225" i="31" s="1"/>
  <c r="LP126" i="31"/>
  <c r="LU126" i="31" s="1"/>
  <c r="MD126" i="31" s="1"/>
  <c r="LP191" i="31"/>
  <c r="LU191" i="31" s="1"/>
  <c r="MD191" i="31" s="1"/>
  <c r="LP277" i="31"/>
  <c r="LU277" i="31" s="1"/>
  <c r="MD277" i="31" s="1"/>
  <c r="LP99" i="31"/>
  <c r="LU99" i="31" s="1"/>
  <c r="MD99" i="31" s="1"/>
  <c r="LQ22" i="31"/>
  <c r="LS22" i="31" s="1"/>
  <c r="LY22" i="31" s="1"/>
  <c r="MA22" i="31" s="1"/>
  <c r="LP103" i="31"/>
  <c r="LU103" i="31" s="1"/>
  <c r="MD103" i="31" s="1"/>
  <c r="LP78" i="31"/>
  <c r="LU78" i="31" s="1"/>
  <c r="MD78" i="31" s="1"/>
  <c r="LP179" i="31"/>
  <c r="LU179" i="31" s="1"/>
  <c r="MD179" i="31" s="1"/>
  <c r="LP249" i="31"/>
  <c r="LU249" i="31" s="1"/>
  <c r="MD249" i="31" s="1"/>
  <c r="LP362" i="31"/>
  <c r="LU362" i="31" s="1"/>
  <c r="MD362" i="31" s="1"/>
  <c r="LP226" i="31"/>
  <c r="LU226" i="31" s="1"/>
  <c r="MD226" i="31" s="1"/>
  <c r="LP79" i="31"/>
  <c r="LU79" i="31" s="1"/>
  <c r="MD79" i="31" s="1"/>
  <c r="LP298" i="31"/>
  <c r="LU298" i="31" s="1"/>
  <c r="MD298" i="31" s="1"/>
  <c r="LP290" i="31"/>
  <c r="LU290" i="31" s="1"/>
  <c r="MD290" i="31" s="1"/>
  <c r="LP318" i="31"/>
  <c r="LU318" i="31" s="1"/>
  <c r="MD318" i="31" s="1"/>
  <c r="LP209" i="31"/>
  <c r="LU209" i="31" s="1"/>
  <c r="MD209" i="31" s="1"/>
  <c r="LP114" i="31"/>
  <c r="LU114" i="31" s="1"/>
  <c r="MD114" i="31" s="1"/>
  <c r="LP178" i="31"/>
  <c r="LU178" i="31" s="1"/>
  <c r="MD178" i="31" s="1"/>
  <c r="LP128" i="31"/>
  <c r="LU128" i="31" s="1"/>
  <c r="MD128" i="31" s="1"/>
  <c r="LP320" i="31"/>
  <c r="LU320" i="31" s="1"/>
  <c r="MD320" i="31" s="1"/>
  <c r="LP223" i="31"/>
  <c r="LU223" i="31" s="1"/>
  <c r="MD223" i="31" s="1"/>
  <c r="LP317" i="31"/>
  <c r="LU317" i="31" s="1"/>
  <c r="MD317" i="31" s="1"/>
  <c r="LP151" i="31"/>
  <c r="LU151" i="31" s="1"/>
  <c r="MD151" i="31" s="1"/>
  <c r="LP352" i="31"/>
  <c r="LU352" i="31" s="1"/>
  <c r="MD352" i="31" s="1"/>
  <c r="LP189" i="31"/>
  <c r="LU189" i="31" s="1"/>
  <c r="MD189" i="31" s="1"/>
  <c r="LP361" i="31"/>
  <c r="LU361" i="31" s="1"/>
  <c r="MD361" i="31" s="1"/>
  <c r="LP183" i="31"/>
  <c r="LU183" i="31" s="1"/>
  <c r="MD183" i="31" s="1"/>
  <c r="LP246" i="31"/>
  <c r="LU246" i="31" s="1"/>
  <c r="MD246" i="31" s="1"/>
  <c r="LQ14" i="31"/>
  <c r="LR14" i="31" s="1"/>
  <c r="LX14" i="31" s="1"/>
  <c r="LZ14" i="31" s="1"/>
  <c r="LS6" i="31"/>
  <c r="LY6" i="31" s="1"/>
  <c r="MA6" i="31" s="1"/>
  <c r="LT6" i="31"/>
  <c r="ME6" i="31" s="1"/>
  <c r="PF6" i="31" s="1"/>
  <c r="LP259" i="31"/>
  <c r="LU259" i="31" s="1"/>
  <c r="MD259" i="31" s="1"/>
  <c r="LP235" i="31"/>
  <c r="LU235" i="31" s="1"/>
  <c r="MD235" i="31" s="1"/>
  <c r="LP258" i="31"/>
  <c r="LU258" i="31" s="1"/>
  <c r="MD258" i="31" s="1"/>
  <c r="LP359" i="31"/>
  <c r="LU359" i="31" s="1"/>
  <c r="MD359" i="31" s="1"/>
  <c r="LP132" i="31"/>
  <c r="LU132" i="31" s="1"/>
  <c r="MD132" i="31" s="1"/>
  <c r="LP310" i="31"/>
  <c r="LU310" i="31" s="1"/>
  <c r="MD310" i="31" s="1"/>
  <c r="LP272" i="31"/>
  <c r="LU272" i="31" s="1"/>
  <c r="MD272" i="31" s="1"/>
  <c r="LP335" i="31"/>
  <c r="LU335" i="31" s="1"/>
  <c r="MD335" i="31" s="1"/>
  <c r="LP319" i="31"/>
  <c r="LU319" i="31" s="1"/>
  <c r="MD319" i="31" s="1"/>
  <c r="LP199" i="31"/>
  <c r="LU199" i="31" s="1"/>
  <c r="MD199" i="31" s="1"/>
  <c r="LP312" i="31"/>
  <c r="LU312" i="31" s="1"/>
  <c r="MD312" i="31" s="1"/>
  <c r="LP271" i="31"/>
  <c r="LU271" i="31" s="1"/>
  <c r="MD271" i="31" s="1"/>
  <c r="LP190" i="31"/>
  <c r="LU190" i="31" s="1"/>
  <c r="MD190" i="31" s="1"/>
  <c r="LP170" i="31"/>
  <c r="LU170" i="31" s="1"/>
  <c r="MD170" i="31" s="1"/>
  <c r="LP137" i="31"/>
  <c r="LU137" i="31" s="1"/>
  <c r="MD137" i="31" s="1"/>
  <c r="LP87" i="31"/>
  <c r="LU87" i="31" s="1"/>
  <c r="MD87" i="31" s="1"/>
  <c r="LP203" i="31"/>
  <c r="LU203" i="31" s="1"/>
  <c r="MD203" i="31" s="1"/>
  <c r="LP163" i="31"/>
  <c r="LU163" i="31" s="1"/>
  <c r="MD163" i="31" s="1"/>
  <c r="LP268" i="31"/>
  <c r="LU268" i="31" s="1"/>
  <c r="MD268" i="31" s="1"/>
  <c r="LP311" i="31"/>
  <c r="LU311" i="31" s="1"/>
  <c r="MD311" i="31" s="1"/>
  <c r="LP303" i="31"/>
  <c r="LU303" i="31" s="1"/>
  <c r="MD303" i="31" s="1"/>
  <c r="LP314" i="31"/>
  <c r="LU314" i="31" s="1"/>
  <c r="MD314" i="31" s="1"/>
  <c r="LP206" i="31"/>
  <c r="LU206" i="31" s="1"/>
  <c r="MD206" i="31" s="1"/>
  <c r="LP81" i="31"/>
  <c r="LU81" i="31" s="1"/>
  <c r="MD81" i="31" s="1"/>
  <c r="LP353" i="31"/>
  <c r="LU353" i="31" s="1"/>
  <c r="MD353" i="31" s="1"/>
  <c r="LP129" i="31"/>
  <c r="LU129" i="31" s="1"/>
  <c r="MD129" i="31" s="1"/>
  <c r="LP154" i="31"/>
  <c r="LU154" i="31" s="1"/>
  <c r="MD154" i="31" s="1"/>
  <c r="LP299" i="31"/>
  <c r="LU299" i="31" s="1"/>
  <c r="MD299" i="31" s="1"/>
  <c r="LP301" i="31"/>
  <c r="LU301" i="31" s="1"/>
  <c r="MD301" i="31" s="1"/>
  <c r="LP323" i="31"/>
  <c r="LU323" i="31" s="1"/>
  <c r="MD323" i="31" s="1"/>
  <c r="LP146" i="31"/>
  <c r="LU146" i="31" s="1"/>
  <c r="MD146" i="31" s="1"/>
  <c r="LP68" i="31"/>
  <c r="LU68" i="31" s="1"/>
  <c r="MD68" i="31" s="1"/>
  <c r="LP118" i="31"/>
  <c r="LU118" i="31" s="1"/>
  <c r="MD118" i="31" s="1"/>
  <c r="LP75" i="31"/>
  <c r="LU75" i="31" s="1"/>
  <c r="MD75" i="31" s="1"/>
  <c r="LP168" i="31"/>
  <c r="LU168" i="31" s="1"/>
  <c r="MD168" i="31" s="1"/>
  <c r="LS32" i="31"/>
  <c r="LY32" i="31" s="1"/>
  <c r="MA32" i="31" s="1"/>
  <c r="LQ58" i="31"/>
  <c r="LS58" i="31" s="1"/>
  <c r="LY58" i="31" s="1"/>
  <c r="MA58" i="31" s="1"/>
  <c r="LQ63" i="31"/>
  <c r="LS63" i="31" s="1"/>
  <c r="LY63" i="31" s="1"/>
  <c r="MA63" i="31" s="1"/>
  <c r="LQ36" i="31"/>
  <c r="LS36" i="31" s="1"/>
  <c r="LY36" i="31" s="1"/>
  <c r="MA36" i="31" s="1"/>
  <c r="LQ30" i="31"/>
  <c r="LT30" i="31" s="1"/>
  <c r="ME30" i="31" s="1"/>
  <c r="PF30" i="31" s="1"/>
  <c r="LQ59" i="31"/>
  <c r="LT59" i="31" s="1"/>
  <c r="ME59" i="31" s="1"/>
  <c r="LP270" i="31"/>
  <c r="LU270" i="31" s="1"/>
  <c r="MD270" i="31" s="1"/>
  <c r="LP174" i="31"/>
  <c r="LU174" i="31" s="1"/>
  <c r="MD174" i="31" s="1"/>
  <c r="LP297" i="31"/>
  <c r="LU297" i="31" s="1"/>
  <c r="MD297" i="31" s="1"/>
  <c r="LP200" i="31"/>
  <c r="LU200" i="31" s="1"/>
  <c r="MD200" i="31" s="1"/>
  <c r="LP187" i="31"/>
  <c r="LU187" i="31" s="1"/>
  <c r="MD187" i="31" s="1"/>
  <c r="LP354" i="31"/>
  <c r="LU354" i="31" s="1"/>
  <c r="MD354" i="31" s="1"/>
  <c r="LP351" i="31"/>
  <c r="LU351" i="31" s="1"/>
  <c r="MD351" i="31" s="1"/>
  <c r="LP171" i="31"/>
  <c r="LU171" i="31" s="1"/>
  <c r="MD171" i="31" s="1"/>
  <c r="LP269" i="31"/>
  <c r="LU269" i="31" s="1"/>
  <c r="MD269" i="31" s="1"/>
  <c r="LP229" i="31"/>
  <c r="LU229" i="31" s="1"/>
  <c r="MD229" i="31" s="1"/>
  <c r="LP215" i="31"/>
  <c r="LU215" i="31" s="1"/>
  <c r="MD215" i="31" s="1"/>
  <c r="LP92" i="31"/>
  <c r="LU92" i="31" s="1"/>
  <c r="MD92" i="31" s="1"/>
  <c r="LP295" i="31"/>
  <c r="LU295" i="31" s="1"/>
  <c r="MD295" i="31" s="1"/>
  <c r="LP244" i="31"/>
  <c r="LU244" i="31" s="1"/>
  <c r="MD244" i="31" s="1"/>
  <c r="LP240" i="31"/>
  <c r="LU240" i="31" s="1"/>
  <c r="MD240" i="31" s="1"/>
  <c r="LP85" i="31"/>
  <c r="LU85" i="31" s="1"/>
  <c r="MD85" i="31" s="1"/>
  <c r="LP214" i="31"/>
  <c r="LU214" i="31" s="1"/>
  <c r="MD214" i="31" s="1"/>
  <c r="LP66" i="31"/>
  <c r="LU66" i="31" s="1"/>
  <c r="MD66" i="31" s="1"/>
  <c r="LP313" i="31"/>
  <c r="LU313" i="31" s="1"/>
  <c r="MD313" i="31" s="1"/>
  <c r="LP364" i="31"/>
  <c r="LU364" i="31" s="1"/>
  <c r="MD364" i="31" s="1"/>
  <c r="LP238" i="31"/>
  <c r="LU238" i="31" s="1"/>
  <c r="MD238" i="31" s="1"/>
  <c r="LP281" i="31"/>
  <c r="LU281" i="31" s="1"/>
  <c r="MD281" i="31" s="1"/>
  <c r="LQ39" i="31"/>
  <c r="LT39" i="31" s="1"/>
  <c r="ME39" i="31" s="1"/>
  <c r="PF39" i="31" s="1"/>
  <c r="LP346" i="31"/>
  <c r="LU346" i="31" s="1"/>
  <c r="MD346" i="31" s="1"/>
  <c r="LP349" i="31"/>
  <c r="LU349" i="31" s="1"/>
  <c r="MD349" i="31" s="1"/>
  <c r="LP341" i="31"/>
  <c r="LU341" i="31" s="1"/>
  <c r="MD341" i="31" s="1"/>
  <c r="LP333" i="31"/>
  <c r="LU333" i="31" s="1"/>
  <c r="MD333" i="31" s="1"/>
  <c r="LP139" i="31"/>
  <c r="LU139" i="31" s="1"/>
  <c r="MD139" i="31" s="1"/>
  <c r="LP336" i="31"/>
  <c r="LU336" i="31" s="1"/>
  <c r="MD336" i="31" s="1"/>
  <c r="LP316" i="31"/>
  <c r="LU316" i="31" s="1"/>
  <c r="MD316" i="31" s="1"/>
  <c r="LP127" i="31"/>
  <c r="LU127" i="31" s="1"/>
  <c r="MD127" i="31" s="1"/>
  <c r="LP309" i="31"/>
  <c r="LU309" i="31" s="1"/>
  <c r="MD309" i="31" s="1"/>
  <c r="LP98" i="31"/>
  <c r="LU98" i="31" s="1"/>
  <c r="MD98" i="31" s="1"/>
  <c r="LP156" i="31"/>
  <c r="LU156" i="31" s="1"/>
  <c r="MD156" i="31" s="1"/>
  <c r="LP328" i="31"/>
  <c r="LU328" i="31" s="1"/>
  <c r="MD328" i="31" s="1"/>
  <c r="LQ20" i="31"/>
  <c r="LR20" i="31" s="1"/>
  <c r="LX20" i="31" s="1"/>
  <c r="LZ20" i="31" s="1"/>
  <c r="LQ46" i="31"/>
  <c r="LR46" i="31" s="1"/>
  <c r="LX46" i="31" s="1"/>
  <c r="LZ46" i="31" s="1"/>
  <c r="LP143" i="31"/>
  <c r="LU143" i="31" s="1"/>
  <c r="MD143" i="31" s="1"/>
  <c r="LP274" i="31"/>
  <c r="LU274" i="31" s="1"/>
  <c r="MD274" i="31" s="1"/>
  <c r="LP253" i="31"/>
  <c r="LU253" i="31" s="1"/>
  <c r="MD253" i="31" s="1"/>
  <c r="LP213" i="31"/>
  <c r="LU213" i="31" s="1"/>
  <c r="MD213" i="31" s="1"/>
  <c r="LP125" i="31"/>
  <c r="LU125" i="31" s="1"/>
  <c r="MD125" i="31" s="1"/>
  <c r="LP204" i="31"/>
  <c r="LU204" i="31" s="1"/>
  <c r="MD204" i="31" s="1"/>
  <c r="LP172" i="31"/>
  <c r="LU172" i="31" s="1"/>
  <c r="MD172" i="31" s="1"/>
  <c r="LP324" i="31"/>
  <c r="LU324" i="31" s="1"/>
  <c r="MD324" i="31" s="1"/>
  <c r="LP343" i="31"/>
  <c r="LU343" i="31" s="1"/>
  <c r="MD343" i="31" s="1"/>
  <c r="LP69" i="31"/>
  <c r="LU69" i="31" s="1"/>
  <c r="MD69" i="31" s="1"/>
  <c r="LP327" i="31"/>
  <c r="LU327" i="31" s="1"/>
  <c r="MD327" i="31" s="1"/>
  <c r="LP147" i="31"/>
  <c r="LU147" i="31" s="1"/>
  <c r="MD147" i="31" s="1"/>
  <c r="LP275" i="31"/>
  <c r="LU275" i="31" s="1"/>
  <c r="MD275" i="31" s="1"/>
  <c r="LP104" i="31"/>
  <c r="LU104" i="31" s="1"/>
  <c r="MD104" i="31" s="1"/>
  <c r="LP72" i="31"/>
  <c r="LU72" i="31" s="1"/>
  <c r="MD72" i="31" s="1"/>
  <c r="LP144" i="31"/>
  <c r="LU144" i="31" s="1"/>
  <c r="MD144" i="31" s="1"/>
  <c r="LP133" i="31"/>
  <c r="LU133" i="31" s="1"/>
  <c r="MD133" i="31" s="1"/>
  <c r="LP207" i="31"/>
  <c r="LU207" i="31" s="1"/>
  <c r="MD207" i="31" s="1"/>
  <c r="LP308" i="31"/>
  <c r="LU308" i="31" s="1"/>
  <c r="MD308" i="31" s="1"/>
  <c r="LP345" i="31"/>
  <c r="LU345" i="31" s="1"/>
  <c r="MD345" i="31" s="1"/>
  <c r="LP293" i="31"/>
  <c r="LU293" i="31" s="1"/>
  <c r="MD293" i="31" s="1"/>
  <c r="LP287" i="31"/>
  <c r="LU287" i="31" s="1"/>
  <c r="MD287" i="31" s="1"/>
  <c r="LP83" i="31"/>
  <c r="LU83" i="31" s="1"/>
  <c r="MD83" i="31" s="1"/>
  <c r="LP283" i="31"/>
  <c r="LU283" i="31" s="1"/>
  <c r="MD283" i="31" s="1"/>
  <c r="LP86" i="31"/>
  <c r="LU86" i="31" s="1"/>
  <c r="MD86" i="31" s="1"/>
  <c r="LP186" i="31"/>
  <c r="LU186" i="31" s="1"/>
  <c r="MD186" i="31" s="1"/>
  <c r="LP120" i="31"/>
  <c r="LU120" i="31" s="1"/>
  <c r="MD120" i="31" s="1"/>
  <c r="LP180" i="31"/>
  <c r="LU180" i="31" s="1"/>
  <c r="MD180" i="31" s="1"/>
  <c r="LP265" i="31"/>
  <c r="LU265" i="31" s="1"/>
  <c r="MD265" i="31" s="1"/>
  <c r="LP221" i="31"/>
  <c r="LU221" i="31" s="1"/>
  <c r="MD221" i="31" s="1"/>
  <c r="LP134" i="31"/>
  <c r="LU134" i="31" s="1"/>
  <c r="MD134" i="31" s="1"/>
  <c r="LP280" i="31"/>
  <c r="LU280" i="31" s="1"/>
  <c r="MD280" i="31" s="1"/>
  <c r="LP141" i="31"/>
  <c r="LU141" i="31" s="1"/>
  <c r="MD141" i="31" s="1"/>
  <c r="LP145" i="31"/>
  <c r="LU145" i="31" s="1"/>
  <c r="MD145" i="31" s="1"/>
  <c r="LP256" i="31"/>
  <c r="LU256" i="31" s="1"/>
  <c r="MD256" i="31" s="1"/>
  <c r="LQ52" i="31"/>
  <c r="LQ60" i="31"/>
  <c r="LT60" i="31" s="1"/>
  <c r="ME60" i="31" s="1"/>
  <c r="LQ61" i="31"/>
  <c r="LT61" i="31" s="1"/>
  <c r="ME61" i="31" s="1"/>
  <c r="LQ18" i="31"/>
  <c r="LS18" i="31" s="1"/>
  <c r="LY18" i="31" s="1"/>
  <c r="MA18" i="31" s="1"/>
  <c r="LQ37" i="31"/>
  <c r="LT37" i="31" s="1"/>
  <c r="ME37" i="31" s="1"/>
  <c r="PF37" i="31" s="1"/>
  <c r="LQ40" i="31"/>
  <c r="LR40" i="31" s="1"/>
  <c r="LX40" i="31" s="1"/>
  <c r="LZ40" i="31" s="1"/>
  <c r="LQ48" i="31"/>
  <c r="LT48" i="31" s="1"/>
  <c r="ME48" i="31" s="1"/>
  <c r="LV261" i="31"/>
  <c r="LW148" i="31"/>
  <c r="LW243" i="31"/>
  <c r="LV305" i="31"/>
  <c r="LW334" i="31"/>
  <c r="LW329" i="31"/>
  <c r="LV161" i="31"/>
  <c r="LV304" i="31"/>
  <c r="LW330" i="31"/>
  <c r="LV77" i="31"/>
  <c r="LW282" i="31"/>
  <c r="LW195" i="31"/>
  <c r="LV94" i="31"/>
  <c r="LW267" i="31"/>
  <c r="LV135" i="31"/>
  <c r="LV119" i="31"/>
  <c r="LW344" i="31"/>
  <c r="LV230" i="31"/>
  <c r="LW356" i="31"/>
  <c r="LV159" i="31"/>
  <c r="LW347" i="31"/>
  <c r="LV150" i="31"/>
  <c r="LW368" i="31"/>
  <c r="LW322" i="31"/>
  <c r="LW162" i="31"/>
  <c r="LV247" i="31"/>
  <c r="LW140" i="31"/>
  <c r="LW366" i="31"/>
  <c r="LW291" i="31"/>
  <c r="LV96" i="31"/>
  <c r="LV112" i="31"/>
  <c r="LV245" i="31"/>
  <c r="LV264" i="31"/>
  <c r="LW260" i="31"/>
  <c r="LW365" i="31"/>
  <c r="LV71" i="31"/>
  <c r="LW367" i="31"/>
  <c r="LW84" i="31"/>
  <c r="LW194" i="31"/>
  <c r="LV231" i="31"/>
  <c r="LW242" i="31"/>
  <c r="LW348" i="31"/>
  <c r="LV239" i="31"/>
  <c r="LV121" i="31"/>
  <c r="LS26" i="31"/>
  <c r="LY26" i="31" s="1"/>
  <c r="MA26" i="31" s="1"/>
  <c r="LT26" i="31"/>
  <c r="ME26" i="31" s="1"/>
  <c r="PF26" i="31" s="1"/>
  <c r="LR26" i="31"/>
  <c r="LX26" i="31" s="1"/>
  <c r="LZ26" i="31" s="1"/>
  <c r="LR27" i="31"/>
  <c r="LX27" i="31" s="1"/>
  <c r="LZ27" i="31" s="1"/>
  <c r="LS27" i="31"/>
  <c r="LY27" i="31" s="1"/>
  <c r="MA27" i="31" s="1"/>
  <c r="LT27" i="31"/>
  <c r="ME27" i="31" s="1"/>
  <c r="PF27" i="31" s="1"/>
  <c r="LV229" i="31"/>
  <c r="LV103" i="31"/>
  <c r="LW122" i="31"/>
  <c r="LV215" i="31"/>
  <c r="LV78" i="31"/>
  <c r="LV263" i="31"/>
  <c r="LW92" i="31"/>
  <c r="LW76" i="31"/>
  <c r="LW179" i="31"/>
  <c r="LV295" i="31"/>
  <c r="LV208" i="31"/>
  <c r="LV249" i="31"/>
  <c r="LW244" i="31"/>
  <c r="LV65" i="31"/>
  <c r="LV240" i="31"/>
  <c r="LW326" i="31"/>
  <c r="LW362" i="31"/>
  <c r="LV85" i="31"/>
  <c r="LW124" i="31"/>
  <c r="LV214" i="31"/>
  <c r="LW226" i="31"/>
  <c r="LV262" i="31"/>
  <c r="LW66" i="31"/>
  <c r="LV79" i="31"/>
  <c r="LW250" i="31"/>
  <c r="LW313" i="31"/>
  <c r="LW298" i="31"/>
  <c r="LW331" i="31"/>
  <c r="LW364" i="31"/>
  <c r="LW290" i="31"/>
  <c r="LV153" i="31"/>
  <c r="LV238" i="31"/>
  <c r="LW318" i="31"/>
  <c r="LV281" i="31"/>
  <c r="LW370" i="31"/>
  <c r="LV209" i="31"/>
  <c r="LV288" i="31"/>
  <c r="LV111" i="31"/>
  <c r="LW338" i="31"/>
  <c r="LV105" i="31"/>
  <c r="LW74" i="31"/>
  <c r="LW306" i="31"/>
  <c r="LW300" i="31"/>
  <c r="LV241" i="31"/>
  <c r="LV296" i="31"/>
  <c r="LW266" i="31"/>
  <c r="LW341" i="31"/>
  <c r="LW333" i="31"/>
  <c r="LW139" i="31"/>
  <c r="LW340" i="31"/>
  <c r="LW211" i="31"/>
  <c r="LW234" i="31"/>
  <c r="LV173" i="31"/>
  <c r="LW302" i="31"/>
  <c r="LV217" i="31"/>
  <c r="LV88" i="31"/>
  <c r="LV289" i="31"/>
  <c r="LW360" i="31"/>
  <c r="LV201" i="31"/>
  <c r="LV175" i="31"/>
  <c r="LV70" i="31"/>
  <c r="LW100" i="31"/>
  <c r="LV237" i="31"/>
  <c r="LW342" i="31"/>
  <c r="LW218" i="31"/>
  <c r="LV285" i="31"/>
  <c r="LW355" i="31"/>
  <c r="LV136" i="31"/>
  <c r="LW235" i="31"/>
  <c r="LV272" i="31"/>
  <c r="LV190" i="31"/>
  <c r="LW163" i="31"/>
  <c r="LW314" i="31"/>
  <c r="LV81" i="31"/>
  <c r="LW353" i="31"/>
  <c r="LV129" i="31"/>
  <c r="LW154" i="31"/>
  <c r="LV157" i="31"/>
  <c r="LW323" i="31"/>
  <c r="LW146" i="31"/>
  <c r="LW68" i="31"/>
  <c r="LV118" i="31"/>
  <c r="LW75" i="31"/>
  <c r="LV168" i="31"/>
  <c r="LS11" i="31"/>
  <c r="LY11" i="31" s="1"/>
  <c r="MA11" i="31" s="1"/>
  <c r="LR11" i="31"/>
  <c r="LX11" i="31" s="1"/>
  <c r="LZ11" i="31" s="1"/>
  <c r="LR43" i="31"/>
  <c r="LX43" i="31" s="1"/>
  <c r="LZ43" i="31" s="1"/>
  <c r="LT43" i="31"/>
  <c r="ME43" i="31" s="1"/>
  <c r="LS43" i="31"/>
  <c r="LY43" i="31" s="1"/>
  <c r="MA43" i="31" s="1"/>
  <c r="LT31" i="31"/>
  <c r="ME31" i="31" s="1"/>
  <c r="PF31" i="31" s="1"/>
  <c r="LR31" i="31"/>
  <c r="LX31" i="31" s="1"/>
  <c r="LZ31" i="31" s="1"/>
  <c r="LS31" i="31"/>
  <c r="LY31" i="31" s="1"/>
  <c r="MA31" i="31" s="1"/>
  <c r="LW188" i="31"/>
  <c r="LW130" i="31"/>
  <c r="LW155" i="31"/>
  <c r="LW369" i="31"/>
  <c r="LV182" i="31"/>
  <c r="LV89" i="31"/>
  <c r="LV181" i="31"/>
  <c r="LV185" i="31"/>
  <c r="LW82" i="31"/>
  <c r="LW114" i="31"/>
  <c r="LW178" i="31"/>
  <c r="LV255" i="31"/>
  <c r="LV101" i="31"/>
  <c r="LV223" i="31"/>
  <c r="LW317" i="31"/>
  <c r="LV151" i="31"/>
  <c r="LW352" i="31"/>
  <c r="LV189" i="31"/>
  <c r="LW361" i="31"/>
  <c r="LV183" i="31"/>
  <c r="LV246" i="31"/>
  <c r="LS64" i="31"/>
  <c r="LY64" i="31" s="1"/>
  <c r="MA64" i="31" s="1"/>
  <c r="LT64" i="31"/>
  <c r="ME64" i="31" s="1"/>
  <c r="LR64" i="31"/>
  <c r="LX64" i="31" s="1"/>
  <c r="LZ64" i="31" s="1"/>
  <c r="LW219" i="31"/>
  <c r="LW321" i="31"/>
  <c r="LV110" i="31"/>
  <c r="LW210" i="31"/>
  <c r="LW108" i="31"/>
  <c r="LW228" i="31"/>
  <c r="LW325" i="31"/>
  <c r="LV97" i="31"/>
  <c r="LW67" i="31"/>
  <c r="LW116" i="31"/>
  <c r="LW363" i="31"/>
  <c r="LW258" i="31"/>
  <c r="LW132" i="31"/>
  <c r="LW319" i="31"/>
  <c r="LV271" i="31"/>
  <c r="LV137" i="31"/>
  <c r="LW203" i="31"/>
  <c r="LV303" i="31"/>
  <c r="LV301" i="31"/>
  <c r="LV143" i="31"/>
  <c r="LW274" i="31"/>
  <c r="LV253" i="31"/>
  <c r="LV213" i="31"/>
  <c r="LV125" i="31"/>
  <c r="LW204" i="31"/>
  <c r="LW172" i="31"/>
  <c r="LW324" i="31"/>
  <c r="LW343" i="31"/>
  <c r="LV69" i="31"/>
  <c r="LW327" i="31"/>
  <c r="LW147" i="31"/>
  <c r="LW275" i="31"/>
  <c r="LV158" i="31"/>
  <c r="LV104" i="31"/>
  <c r="LV72" i="31"/>
  <c r="LV144" i="31"/>
  <c r="LV133" i="31"/>
  <c r="LV207" i="31"/>
  <c r="LW308" i="31"/>
  <c r="LW345" i="31"/>
  <c r="LV293" i="31"/>
  <c r="LV287" i="31"/>
  <c r="LW83" i="31"/>
  <c r="LW283" i="31"/>
  <c r="LV86" i="31"/>
  <c r="LW186" i="31"/>
  <c r="LV120" i="31"/>
  <c r="LW180" i="31"/>
  <c r="LV265" i="31"/>
  <c r="LV221" i="31"/>
  <c r="LV134" i="31"/>
  <c r="LV280" i="31"/>
  <c r="LV141" i="31"/>
  <c r="LV145" i="31"/>
  <c r="LV256" i="31"/>
  <c r="LV222" i="31"/>
  <c r="LW202" i="31"/>
  <c r="LW251" i="31"/>
  <c r="LW292" i="31"/>
  <c r="LV193" i="31"/>
  <c r="LW107" i="31"/>
  <c r="LW252" i="31"/>
  <c r="LV73" i="31"/>
  <c r="LW358" i="31"/>
  <c r="LV166" i="31"/>
  <c r="LW346" i="31"/>
  <c r="LW349" i="31"/>
  <c r="LV128" i="31"/>
  <c r="LV320" i="31"/>
  <c r="LV233" i="31"/>
  <c r="LW131" i="31"/>
  <c r="LW336" i="31"/>
  <c r="LW316" i="31"/>
  <c r="LV127" i="31"/>
  <c r="LV309" i="31"/>
  <c r="LW98" i="31"/>
  <c r="LW156" i="31"/>
  <c r="LW328" i="31"/>
  <c r="LR55" i="31"/>
  <c r="LX55" i="31" s="1"/>
  <c r="LZ55" i="31" s="1"/>
  <c r="LT55" i="31"/>
  <c r="ME55" i="31" s="1"/>
  <c r="LS55" i="31"/>
  <c r="LY55" i="31" s="1"/>
  <c r="MA55" i="31" s="1"/>
  <c r="LV254" i="31"/>
  <c r="LV198" i="31"/>
  <c r="LV286" i="31"/>
  <c r="LW339" i="31"/>
  <c r="LV176" i="31"/>
  <c r="LV192" i="31"/>
  <c r="LV109" i="31"/>
  <c r="LW332" i="31"/>
  <c r="LV142" i="31"/>
  <c r="LV165" i="31"/>
  <c r="LW138" i="31"/>
  <c r="LW91" i="31"/>
  <c r="LV197" i="31"/>
  <c r="LW259" i="31"/>
  <c r="LW359" i="31"/>
  <c r="LW310" i="31"/>
  <c r="LW335" i="31"/>
  <c r="LV199" i="31"/>
  <c r="LV312" i="31"/>
  <c r="LW170" i="31"/>
  <c r="LV87" i="31"/>
  <c r="LW268" i="31"/>
  <c r="LV311" i="31"/>
  <c r="LV206" i="31"/>
  <c r="LW299" i="31"/>
  <c r="LV270" i="31"/>
  <c r="LV205" i="31"/>
  <c r="LV149" i="31"/>
  <c r="LV169" i="31"/>
  <c r="LV174" i="31"/>
  <c r="LV167" i="31"/>
  <c r="LV224" i="31"/>
  <c r="LW106" i="31"/>
  <c r="LV297" i="31"/>
  <c r="LV257" i="31"/>
  <c r="LV160" i="31"/>
  <c r="LV216" i="31"/>
  <c r="LV200" i="31"/>
  <c r="LW123" i="31"/>
  <c r="LV113" i="31"/>
  <c r="LW315" i="31"/>
  <c r="LW187" i="31"/>
  <c r="LV95" i="31"/>
  <c r="LV225" i="31"/>
  <c r="LW284" i="31"/>
  <c r="LW354" i="31"/>
  <c r="LW115" i="31"/>
  <c r="LV126" i="31"/>
  <c r="LV273" i="31"/>
  <c r="LW351" i="31"/>
  <c r="LV80" i="31"/>
  <c r="LV191" i="31"/>
  <c r="LV93" i="31"/>
  <c r="LW171" i="31"/>
  <c r="LW90" i="31"/>
  <c r="LV277" i="31"/>
  <c r="LW276" i="31"/>
  <c r="LV269" i="31"/>
  <c r="LV102" i="31"/>
  <c r="LW99" i="31"/>
  <c r="LV117" i="31"/>
  <c r="LW105" i="31"/>
  <c r="LW320" i="31"/>
  <c r="LW200" i="31"/>
  <c r="LW77" i="31"/>
  <c r="LV283" i="31"/>
  <c r="LV74" i="31"/>
  <c r="LW280" i="31"/>
  <c r="LW88" i="31"/>
  <c r="LV332" i="31"/>
  <c r="LW201" i="31"/>
  <c r="LW261" i="31"/>
  <c r="LW273" i="31"/>
  <c r="LV234" i="31"/>
  <c r="LV99" i="31"/>
  <c r="LW111" i="31"/>
  <c r="LW272" i="31"/>
  <c r="LV275" i="31"/>
  <c r="LW206" i="31"/>
  <c r="LW166" i="31"/>
  <c r="LV90" i="31"/>
  <c r="LV356" i="31"/>
  <c r="LW87" i="31"/>
  <c r="LW169" i="31"/>
  <c r="LW157" i="31"/>
  <c r="LW246" i="31"/>
  <c r="LV83" i="31"/>
  <c r="LW269" i="31"/>
  <c r="LW312" i="31"/>
  <c r="LW238" i="31"/>
  <c r="LV345" i="31"/>
  <c r="LW127" i="31"/>
  <c r="LW125" i="31"/>
  <c r="LW190" i="31"/>
  <c r="LW136" i="31"/>
  <c r="LV352" i="31"/>
  <c r="LV341" i="31"/>
  <c r="LV318" i="31"/>
  <c r="LV219" i="31"/>
  <c r="LW158" i="31"/>
  <c r="LW160" i="31"/>
  <c r="LW293" i="31"/>
  <c r="LV251" i="31"/>
  <c r="LV195" i="31"/>
  <c r="LW247" i="31"/>
  <c r="LW101" i="31"/>
  <c r="LV243" i="31"/>
  <c r="LW93" i="31"/>
  <c r="LV266" i="31"/>
  <c r="LW72" i="31"/>
  <c r="LW181" i="31"/>
  <c r="LV204" i="31"/>
  <c r="LV340" i="31"/>
  <c r="LW199" i="31"/>
  <c r="LV268" i="31"/>
  <c r="LW85" i="31"/>
  <c r="LW167" i="31"/>
  <c r="LW214" i="31"/>
  <c r="LW233" i="31"/>
  <c r="LV123" i="31"/>
  <c r="LV267" i="31"/>
  <c r="LV146" i="31"/>
  <c r="LV365" i="31"/>
  <c r="LV67" i="31"/>
  <c r="LV348" i="31"/>
  <c r="LW264" i="31"/>
  <c r="LW173" i="31"/>
  <c r="LW295" i="31"/>
  <c r="LW150" i="31"/>
  <c r="LW141" i="31"/>
  <c r="LV334" i="31"/>
  <c r="LV140" i="31"/>
  <c r="LV359" i="31"/>
  <c r="LW159" i="31"/>
  <c r="LW277" i="31"/>
  <c r="LV162" i="31"/>
  <c r="LV108" i="31"/>
  <c r="LV242" i="31"/>
  <c r="LW191" i="31"/>
  <c r="LW231" i="31"/>
  <c r="LV370" i="31"/>
  <c r="LW117" i="31"/>
  <c r="LW73" i="31"/>
  <c r="LW71" i="31"/>
  <c r="LW192" i="31"/>
  <c r="LW255" i="31"/>
  <c r="LW263" i="31"/>
  <c r="LV328" i="31"/>
  <c r="LV163" i="31"/>
  <c r="LV338" i="31"/>
  <c r="LV148" i="31"/>
  <c r="LV368" i="31"/>
  <c r="LW137" i="31"/>
  <c r="LV326" i="31"/>
  <c r="LW198" i="31"/>
  <c r="LW149" i="31"/>
  <c r="LW161" i="31"/>
  <c r="LW271" i="31"/>
  <c r="LV92" i="31"/>
  <c r="LV361" i="31"/>
  <c r="LW89" i="31"/>
  <c r="LV156" i="31"/>
  <c r="LV319" i="31"/>
  <c r="LV313" i="31"/>
  <c r="LV100" i="31"/>
  <c r="LV315" i="31"/>
  <c r="LW193" i="31"/>
  <c r="LW168" i="31"/>
  <c r="LV291" i="31"/>
  <c r="LV139" i="31"/>
  <c r="LW311" i="31"/>
  <c r="LV82" i="31"/>
  <c r="LW165" i="31"/>
  <c r="LW230" i="31"/>
  <c r="LW286" i="31"/>
  <c r="LV178" i="31"/>
  <c r="LV276" i="31"/>
  <c r="LW128" i="31"/>
  <c r="LV366" i="31"/>
  <c r="LW80" i="31"/>
  <c r="LV329" i="31"/>
  <c r="LV331" i="31"/>
  <c r="LW145" i="31"/>
  <c r="LW175" i="31"/>
  <c r="LV180" i="31"/>
  <c r="LW303" i="31"/>
  <c r="LW120" i="31"/>
  <c r="LW305" i="31"/>
  <c r="LW78" i="31"/>
  <c r="LW221" i="31"/>
  <c r="LV355" i="31"/>
  <c r="LW281" i="31"/>
  <c r="LW262" i="31"/>
  <c r="LV369" i="31"/>
  <c r="LV358" i="31"/>
  <c r="LV364" i="31"/>
  <c r="LW285" i="31"/>
  <c r="LW225" i="31"/>
  <c r="LV116" i="31"/>
  <c r="LV321" i="31"/>
  <c r="LW213" i="31"/>
  <c r="LV66" i="31"/>
  <c r="LV172" i="31"/>
  <c r="LW256" i="31"/>
  <c r="LW208" i="31"/>
  <c r="LV147" i="31"/>
  <c r="LW103" i="31"/>
  <c r="LW265" i="31"/>
  <c r="LV306" i="31"/>
  <c r="LW197" i="31"/>
  <c r="LW144" i="31"/>
  <c r="LV344" i="31"/>
  <c r="LV325" i="31"/>
  <c r="LW86" i="31"/>
  <c r="LV292" i="31"/>
  <c r="LV330" i="31"/>
  <c r="LV130" i="31"/>
  <c r="LW245" i="31"/>
  <c r="LV317" i="31"/>
  <c r="LW270" i="31"/>
  <c r="LW112" i="31"/>
  <c r="LW289" i="31"/>
  <c r="LV68" i="31"/>
  <c r="LV323" i="31"/>
  <c r="LV203" i="31"/>
  <c r="LW189" i="31"/>
  <c r="LW254" i="31"/>
  <c r="LW104" i="31"/>
  <c r="LV132" i="31"/>
  <c r="LW207" i="31"/>
  <c r="LW222" i="31"/>
  <c r="LW110" i="31"/>
  <c r="LV349" i="31"/>
  <c r="LW134" i="31"/>
  <c r="LV324" i="31"/>
  <c r="LV322" i="31"/>
  <c r="LW304" i="31"/>
  <c r="LV333" i="31"/>
  <c r="LV346" i="31"/>
  <c r="LV179" i="31"/>
  <c r="LV353" i="31"/>
  <c r="LW81" i="31"/>
  <c r="LW288" i="31"/>
  <c r="LV138" i="31"/>
  <c r="LV76" i="31"/>
  <c r="LV155" i="31"/>
  <c r="LV299" i="31"/>
  <c r="LW239" i="31"/>
  <c r="LV284" i="31"/>
  <c r="LV194" i="31"/>
  <c r="LV258" i="31"/>
  <c r="LW126" i="31"/>
  <c r="LW183" i="31"/>
  <c r="LV274" i="31"/>
  <c r="LW109" i="31"/>
  <c r="LV187" i="31"/>
  <c r="LW135" i="31"/>
  <c r="LV367" i="31"/>
  <c r="LW209" i="31"/>
  <c r="LW249" i="31"/>
  <c r="LW65" i="31"/>
  <c r="LW79" i="31"/>
  <c r="LW240" i="31"/>
  <c r="LW118" i="31"/>
  <c r="LV244" i="31"/>
  <c r="LW257" i="31"/>
  <c r="LV228" i="31"/>
  <c r="LW224" i="31"/>
  <c r="LV218" i="31"/>
  <c r="LW301" i="31"/>
  <c r="LW69" i="31"/>
  <c r="LV210" i="31"/>
  <c r="LV124" i="31"/>
  <c r="LW153" i="31"/>
  <c r="LW129" i="31"/>
  <c r="LV211" i="31"/>
  <c r="LV122" i="31"/>
  <c r="LV282" i="31"/>
  <c r="LW94" i="31"/>
  <c r="LV316" i="31"/>
  <c r="LW296" i="31"/>
  <c r="LW119" i="31"/>
  <c r="LV188" i="31"/>
  <c r="LW215" i="31"/>
  <c r="LV336" i="31"/>
  <c r="LV302" i="31"/>
  <c r="LV310" i="31"/>
  <c r="LV363" i="31"/>
  <c r="LV91" i="31"/>
  <c r="LV98" i="31"/>
  <c r="LW182" i="31"/>
  <c r="LV298" i="31"/>
  <c r="LV252" i="31"/>
  <c r="LV259" i="31"/>
  <c r="LW185" i="31"/>
  <c r="LW229" i="31"/>
  <c r="LV75" i="31"/>
  <c r="LV154" i="31"/>
  <c r="LW237" i="31"/>
  <c r="LV170" i="31"/>
  <c r="LV260" i="31"/>
  <c r="LW133" i="31"/>
  <c r="LV342" i="31"/>
  <c r="LW96" i="31"/>
  <c r="LW216" i="31"/>
  <c r="LV186" i="31"/>
  <c r="LV131" i="31"/>
  <c r="LW241" i="31"/>
  <c r="LW97" i="31"/>
  <c r="LW253" i="31"/>
  <c r="LV360" i="31"/>
  <c r="LV84" i="31"/>
  <c r="LV351" i="31"/>
  <c r="LV347" i="31"/>
  <c r="LW223" i="31"/>
  <c r="LV362" i="31"/>
  <c r="LW309" i="31"/>
  <c r="LW142" i="31"/>
  <c r="LW217" i="31"/>
  <c r="LV235" i="31"/>
  <c r="LW287" i="31"/>
  <c r="LW95" i="31"/>
  <c r="LW205" i="31"/>
  <c r="LW151" i="31"/>
  <c r="LW121" i="31"/>
  <c r="LW297" i="31"/>
  <c r="LW143" i="31"/>
  <c r="LV250" i="31"/>
  <c r="LW70" i="31"/>
  <c r="LV339" i="31"/>
  <c r="LV354" i="31"/>
  <c r="LV314" i="31"/>
  <c r="LV327" i="31"/>
  <c r="LW102" i="31"/>
  <c r="LV114" i="31"/>
  <c r="LV115" i="31"/>
  <c r="LV106" i="31"/>
  <c r="LV343" i="31"/>
  <c r="LV226" i="31"/>
  <c r="LV300" i="31"/>
  <c r="LV202" i="31"/>
  <c r="LV335" i="31"/>
  <c r="LW174" i="31"/>
  <c r="LV171" i="31"/>
  <c r="LW176" i="31"/>
  <c r="LV290" i="31"/>
  <c r="LV107" i="31"/>
  <c r="LV308" i="31"/>
  <c r="LW113" i="31"/>
  <c r="AE195" i="31"/>
  <c r="AE230" i="31"/>
  <c r="AE162" i="31"/>
  <c r="AE264" i="31"/>
  <c r="AE194" i="31"/>
  <c r="AE229" i="31"/>
  <c r="AE103" i="31"/>
  <c r="AE122" i="31"/>
  <c r="AE215" i="31"/>
  <c r="AE78" i="31"/>
  <c r="AE263" i="31"/>
  <c r="AE92" i="31"/>
  <c r="AE76" i="31"/>
  <c r="AE179" i="31"/>
  <c r="AE295" i="31"/>
  <c r="AE208" i="31"/>
  <c r="AE249" i="31"/>
  <c r="AE244" i="31"/>
  <c r="AE65" i="31"/>
  <c r="AE240" i="31"/>
  <c r="AE326" i="31"/>
  <c r="AE362" i="31"/>
  <c r="AE85" i="31"/>
  <c r="AE124" i="31"/>
  <c r="AE214" i="31"/>
  <c r="AE226" i="31"/>
  <c r="AE262" i="31"/>
  <c r="AE66" i="31"/>
  <c r="AE79" i="31"/>
  <c r="AE250" i="31"/>
  <c r="AE313" i="31"/>
  <c r="AE298" i="31"/>
  <c r="AE331" i="31"/>
  <c r="AE364" i="31"/>
  <c r="AE290" i="31"/>
  <c r="AE153" i="31"/>
  <c r="AE238" i="31"/>
  <c r="AE318" i="31"/>
  <c r="AE281" i="31"/>
  <c r="AE370" i="31"/>
  <c r="AE209" i="31"/>
  <c r="LS29" i="31"/>
  <c r="LY29" i="31" s="1"/>
  <c r="MA29" i="31" s="1"/>
  <c r="LR29" i="31"/>
  <c r="LX29" i="31" s="1"/>
  <c r="LZ29" i="31" s="1"/>
  <c r="LS57" i="31"/>
  <c r="LY57" i="31" s="1"/>
  <c r="MA57" i="31" s="1"/>
  <c r="LR57" i="31"/>
  <c r="LX57" i="31" s="1"/>
  <c r="LZ57" i="31" s="1"/>
  <c r="LR54" i="31"/>
  <c r="LX54" i="31" s="1"/>
  <c r="LZ54" i="31" s="1"/>
  <c r="LS54" i="31"/>
  <c r="LY54" i="31" s="1"/>
  <c r="MA54" i="31" s="1"/>
  <c r="AE135" i="31"/>
  <c r="AE150" i="31"/>
  <c r="AE366" i="31"/>
  <c r="AE365" i="31"/>
  <c r="AE121" i="31"/>
  <c r="AE114" i="31"/>
  <c r="AE346" i="31"/>
  <c r="AE266" i="31"/>
  <c r="AE178" i="31"/>
  <c r="AE349" i="31"/>
  <c r="AE255" i="31"/>
  <c r="AE128" i="31"/>
  <c r="AE341" i="31"/>
  <c r="AE101" i="31"/>
  <c r="AE320" i="31"/>
  <c r="AE333" i="31"/>
  <c r="AE233" i="31"/>
  <c r="AE223" i="31"/>
  <c r="AE139" i="31"/>
  <c r="AE131" i="31"/>
  <c r="AE317" i="31"/>
  <c r="AE340" i="31"/>
  <c r="AE336" i="31"/>
  <c r="AE151" i="31"/>
  <c r="AE211" i="31"/>
  <c r="AE316" i="31"/>
  <c r="AE352" i="31"/>
  <c r="AE234" i="31"/>
  <c r="AE127" i="31"/>
  <c r="AE189" i="31"/>
  <c r="AE173" i="31"/>
  <c r="AE309" i="31"/>
  <c r="AE361" i="31"/>
  <c r="AE98" i="31"/>
  <c r="AE302" i="31"/>
  <c r="AE183" i="31"/>
  <c r="AE156" i="31"/>
  <c r="AE217" i="31"/>
  <c r="AE246" i="31"/>
  <c r="AE328" i="31"/>
  <c r="AE88" i="31"/>
  <c r="LT19" i="31"/>
  <c r="ME19" i="31" s="1"/>
  <c r="PF19" i="31" s="1"/>
  <c r="LS19" i="31"/>
  <c r="LY19" i="31" s="1"/>
  <c r="MA19" i="31" s="1"/>
  <c r="AE330" i="31"/>
  <c r="AE159" i="31"/>
  <c r="AE112" i="31"/>
  <c r="AE231" i="31"/>
  <c r="AE289" i="31"/>
  <c r="AE360" i="31"/>
  <c r="AE198" i="31"/>
  <c r="AE321" i="31"/>
  <c r="AE201" i="31"/>
  <c r="AE286" i="31"/>
  <c r="AE110" i="31"/>
  <c r="AE175" i="31"/>
  <c r="AE339" i="31"/>
  <c r="AE210" i="31"/>
  <c r="AE70" i="31"/>
  <c r="AE176" i="31"/>
  <c r="AE108" i="31"/>
  <c r="AE100" i="31"/>
  <c r="AE192" i="31"/>
  <c r="AE228" i="31"/>
  <c r="AE237" i="31"/>
  <c r="AE109" i="31"/>
  <c r="AE342" i="31"/>
  <c r="AE325" i="31"/>
  <c r="AE332" i="31"/>
  <c r="AE218" i="31"/>
  <c r="AE142" i="31"/>
  <c r="AE97" i="31"/>
  <c r="AE165" i="31"/>
  <c r="AE285" i="31"/>
  <c r="AE67" i="31"/>
  <c r="AE138" i="31"/>
  <c r="AE355" i="31"/>
  <c r="AE116" i="31"/>
  <c r="AE91" i="31"/>
  <c r="AE197" i="31"/>
  <c r="AE136" i="31"/>
  <c r="AE363" i="31"/>
  <c r="LS51" i="31"/>
  <c r="LY51" i="31" s="1"/>
  <c r="MA51" i="31" s="1"/>
  <c r="LT51" i="31"/>
  <c r="ME51" i="31" s="1"/>
  <c r="LR21" i="31"/>
  <c r="LX21" i="31" s="1"/>
  <c r="LZ21" i="31" s="1"/>
  <c r="LT21" i="31"/>
  <c r="ME21" i="31" s="1"/>
  <c r="PF21" i="31" s="1"/>
  <c r="LT28" i="31"/>
  <c r="ME28" i="31" s="1"/>
  <c r="PF28" i="31" s="1"/>
  <c r="LS28" i="31"/>
  <c r="LY28" i="31" s="1"/>
  <c r="MA28" i="31" s="1"/>
  <c r="LS13" i="31"/>
  <c r="LY13" i="31" s="1"/>
  <c r="MA13" i="31" s="1"/>
  <c r="LT13" i="31"/>
  <c r="ME13" i="31" s="1"/>
  <c r="PF13" i="31" s="1"/>
  <c r="LT35" i="31"/>
  <c r="ME35" i="31" s="1"/>
  <c r="PF35" i="31" s="1"/>
  <c r="LS35" i="31"/>
  <c r="LY35" i="31" s="1"/>
  <c r="MA35" i="31" s="1"/>
  <c r="LT24" i="31"/>
  <c r="ME24" i="31" s="1"/>
  <c r="PF24" i="31" s="1"/>
  <c r="LS24" i="31"/>
  <c r="LY24" i="31" s="1"/>
  <c r="MA24" i="31" s="1"/>
  <c r="LS38" i="31"/>
  <c r="LY38" i="31" s="1"/>
  <c r="MA38" i="31" s="1"/>
  <c r="LT38" i="31"/>
  <c r="ME38" i="31" s="1"/>
  <c r="PF38" i="31" s="1"/>
  <c r="LR19" i="31"/>
  <c r="LX19" i="31" s="1"/>
  <c r="LZ19" i="31" s="1"/>
  <c r="AE282" i="31"/>
  <c r="AE344" i="31"/>
  <c r="AE322" i="31"/>
  <c r="AE96" i="31"/>
  <c r="AE71" i="31"/>
  <c r="AE348" i="31"/>
  <c r="AE254" i="31"/>
  <c r="AE259" i="31"/>
  <c r="AE235" i="31"/>
  <c r="AE258" i="31"/>
  <c r="AE359" i="31"/>
  <c r="AE132" i="31"/>
  <c r="AE310" i="31"/>
  <c r="AE272" i="31"/>
  <c r="AE335" i="31"/>
  <c r="AE319" i="31"/>
  <c r="AE199" i="31"/>
  <c r="AE312" i="31"/>
  <c r="AE271" i="31"/>
  <c r="AE190" i="31"/>
  <c r="AE170" i="31"/>
  <c r="AE137" i="31"/>
  <c r="AE87" i="31"/>
  <c r="AE203" i="31"/>
  <c r="AE163" i="31"/>
  <c r="AE268" i="31"/>
  <c r="AE311" i="31"/>
  <c r="AE303" i="31"/>
  <c r="AE314" i="31"/>
  <c r="AE206" i="31"/>
  <c r="AE81" i="31"/>
  <c r="AE353" i="31"/>
  <c r="AE129" i="31"/>
  <c r="AE154" i="31"/>
  <c r="AE157" i="31"/>
  <c r="AE299" i="31"/>
  <c r="AE301" i="31"/>
  <c r="AE323" i="31"/>
  <c r="AE146" i="31"/>
  <c r="AE68" i="31"/>
  <c r="AE118" i="31"/>
  <c r="AE75" i="31"/>
  <c r="AE168" i="31"/>
  <c r="LR51" i="31"/>
  <c r="LX51" i="31" s="1"/>
  <c r="LZ51" i="31" s="1"/>
  <c r="LS21" i="31"/>
  <c r="LY21" i="31" s="1"/>
  <c r="MA21" i="31" s="1"/>
  <c r="LR28" i="31"/>
  <c r="LX28" i="31" s="1"/>
  <c r="LZ28" i="31" s="1"/>
  <c r="LR13" i="31"/>
  <c r="LX13" i="31" s="1"/>
  <c r="LZ13" i="31" s="1"/>
  <c r="LR35" i="31"/>
  <c r="LX35" i="31" s="1"/>
  <c r="LZ35" i="31" s="1"/>
  <c r="LR24" i="31"/>
  <c r="LX24" i="31" s="1"/>
  <c r="LZ24" i="31" s="1"/>
  <c r="LT23" i="31"/>
  <c r="ME23" i="31" s="1"/>
  <c r="PF23" i="31" s="1"/>
  <c r="LS23" i="31"/>
  <c r="LY23" i="31" s="1"/>
  <c r="MA23" i="31" s="1"/>
  <c r="LR47" i="31"/>
  <c r="LX47" i="31" s="1"/>
  <c r="LZ47" i="31" s="1"/>
  <c r="LS47" i="31"/>
  <c r="LY47" i="31" s="1"/>
  <c r="MA47" i="31" s="1"/>
  <c r="AE94" i="31"/>
  <c r="AE356" i="31"/>
  <c r="AE247" i="31"/>
  <c r="AE245" i="31"/>
  <c r="AE84" i="31"/>
  <c r="AE239" i="31"/>
  <c r="AE219" i="31"/>
  <c r="AE143" i="31"/>
  <c r="AE274" i="31"/>
  <c r="AE253" i="31"/>
  <c r="AE213" i="31"/>
  <c r="AE125" i="31"/>
  <c r="AE204" i="31"/>
  <c r="AE172" i="31"/>
  <c r="AE324" i="31"/>
  <c r="AE343" i="31"/>
  <c r="AE69" i="31"/>
  <c r="AE327" i="31"/>
  <c r="AE147" i="31"/>
  <c r="AE275" i="31"/>
  <c r="AE158" i="31"/>
  <c r="AE104" i="31"/>
  <c r="AE72" i="31"/>
  <c r="AE144" i="31"/>
  <c r="AE133" i="31"/>
  <c r="AE207" i="31"/>
  <c r="AE308" i="31"/>
  <c r="AE345" i="31"/>
  <c r="AE293" i="31"/>
  <c r="AE287" i="31"/>
  <c r="AE83" i="31"/>
  <c r="AE283" i="31"/>
  <c r="AE86" i="31"/>
  <c r="AE186" i="31"/>
  <c r="AE120" i="31"/>
  <c r="AE180" i="31"/>
  <c r="AE265" i="31"/>
  <c r="AE221" i="31"/>
  <c r="AE134" i="31"/>
  <c r="AE280" i="31"/>
  <c r="AE141" i="31"/>
  <c r="AE145" i="31"/>
  <c r="AE256" i="31"/>
  <c r="LR44" i="31"/>
  <c r="LX44" i="31" s="1"/>
  <c r="LZ44" i="31" s="1"/>
  <c r="LT44" i="31"/>
  <c r="ME44" i="31" s="1"/>
  <c r="LS15" i="31"/>
  <c r="LY15" i="31" s="1"/>
  <c r="MA15" i="31" s="1"/>
  <c r="LT15" i="31"/>
  <c r="ME15" i="31" s="1"/>
  <c r="PF15" i="31" s="1"/>
  <c r="LR23" i="31"/>
  <c r="LX23" i="31" s="1"/>
  <c r="LZ23" i="31" s="1"/>
  <c r="LT47" i="31"/>
  <c r="ME47" i="31" s="1"/>
  <c r="AE267" i="31"/>
  <c r="AE347" i="31"/>
  <c r="AE140" i="31"/>
  <c r="AE260" i="31"/>
  <c r="AE242" i="31"/>
  <c r="AE270" i="31"/>
  <c r="AE205" i="31"/>
  <c r="AE149" i="31"/>
  <c r="AE169" i="31"/>
  <c r="AE174" i="31"/>
  <c r="AE167" i="31"/>
  <c r="AE224" i="31"/>
  <c r="AE106" i="31"/>
  <c r="AE297" i="31"/>
  <c r="AE257" i="31"/>
  <c r="AE160" i="31"/>
  <c r="AE216" i="31"/>
  <c r="AE200" i="31"/>
  <c r="AE123" i="31"/>
  <c r="AE113" i="31"/>
  <c r="AE315" i="31"/>
  <c r="AE187" i="31"/>
  <c r="AE95" i="31"/>
  <c r="AE225" i="31"/>
  <c r="AE284" i="31"/>
  <c r="AE354" i="31"/>
  <c r="AE115" i="31"/>
  <c r="AE126" i="31"/>
  <c r="AE273" i="31"/>
  <c r="AE351" i="31"/>
  <c r="AE80" i="31"/>
  <c r="AE191" i="31"/>
  <c r="AE93" i="31"/>
  <c r="AE171" i="31"/>
  <c r="AE90" i="31"/>
  <c r="AE277" i="31"/>
  <c r="AE276" i="31"/>
  <c r="AE269" i="31"/>
  <c r="AE102" i="31"/>
  <c r="AE99" i="31"/>
  <c r="AE117" i="31"/>
  <c r="AE77" i="31"/>
  <c r="AE119" i="31"/>
  <c r="AE368" i="31"/>
  <c r="AE291" i="31"/>
  <c r="AE367" i="31"/>
  <c r="AE222" i="31"/>
  <c r="AE288" i="31"/>
  <c r="AE188" i="31"/>
  <c r="AE261" i="31"/>
  <c r="AE202" i="31"/>
  <c r="AE111" i="31"/>
  <c r="AE130" i="31"/>
  <c r="AE148" i="31"/>
  <c r="AE251" i="31"/>
  <c r="AE338" i="31"/>
  <c r="AE155" i="31"/>
  <c r="AE243" i="31"/>
  <c r="AE292" i="31"/>
  <c r="AE105" i="31"/>
  <c r="AE369" i="31"/>
  <c r="AE305" i="31"/>
  <c r="AE193" i="31"/>
  <c r="AE74" i="31"/>
  <c r="AE182" i="31"/>
  <c r="AE334" i="31"/>
  <c r="AE107" i="31"/>
  <c r="AE306" i="31"/>
  <c r="AE89" i="31"/>
  <c r="AE329" i="31"/>
  <c r="AE252" i="31"/>
  <c r="AE300" i="31"/>
  <c r="AE181" i="31"/>
  <c r="AE161" i="31"/>
  <c r="AE73" i="31"/>
  <c r="AE241" i="31"/>
  <c r="AE185" i="31"/>
  <c r="AE358" i="31"/>
  <c r="AE296" i="31"/>
  <c r="AE82" i="31"/>
  <c r="AE304" i="31"/>
  <c r="AE166" i="31"/>
  <c r="DA11" i="31"/>
  <c r="GJ11" i="31"/>
  <c r="GP11" i="31" s="1"/>
  <c r="NE131" i="31"/>
  <c r="NE167" i="31"/>
  <c r="NE122" i="31"/>
  <c r="NE140" i="31"/>
  <c r="NE84" i="31"/>
  <c r="NE107" i="31"/>
  <c r="NE296" i="31"/>
  <c r="NE244" i="31"/>
  <c r="NE223" i="31"/>
  <c r="NE229" i="31"/>
  <c r="NE263" i="31"/>
  <c r="NE301" i="31"/>
  <c r="NE312" i="31"/>
  <c r="NE160" i="31"/>
  <c r="NE211" i="31"/>
  <c r="NE164" i="31"/>
  <c r="NE190" i="31"/>
  <c r="NE150" i="31"/>
  <c r="NE81" i="31"/>
  <c r="NE285" i="31"/>
  <c r="NE133" i="31"/>
  <c r="NE221" i="31"/>
  <c r="NE74" i="31"/>
  <c r="NE172" i="31"/>
  <c r="NE90" i="31"/>
  <c r="NE123" i="31"/>
  <c r="NE168" i="31"/>
  <c r="NE106" i="31"/>
  <c r="NE188" i="31"/>
  <c r="NE212" i="31"/>
  <c r="NE155" i="31"/>
  <c r="NE189" i="31"/>
  <c r="NE228" i="31"/>
  <c r="NE95" i="31"/>
  <c r="NE94" i="31"/>
  <c r="NE177" i="31"/>
  <c r="NE191" i="31"/>
  <c r="NE70" i="31"/>
  <c r="NE100" i="31"/>
  <c r="NE92" i="31"/>
  <c r="NE82" i="31"/>
  <c r="NE98" i="31"/>
  <c r="NE195" i="31"/>
  <c r="NE163" i="31"/>
  <c r="NE156" i="31"/>
  <c r="NE236" i="31"/>
  <c r="NE201" i="31"/>
  <c r="NE102" i="31"/>
  <c r="NE67" i="31"/>
  <c r="NE240" i="31"/>
  <c r="NE72" i="31"/>
  <c r="NE202" i="31"/>
  <c r="NE125" i="31"/>
  <c r="NE149" i="31"/>
  <c r="NE158" i="31"/>
  <c r="NE207" i="31"/>
  <c r="NE141" i="31"/>
  <c r="NE198" i="31"/>
  <c r="NE79" i="31"/>
  <c r="NE120" i="31"/>
  <c r="NE126" i="31"/>
  <c r="NE288" i="31"/>
  <c r="NE331" i="31"/>
  <c r="NE182" i="31"/>
  <c r="NE181" i="31"/>
  <c r="NE175" i="31"/>
  <c r="NE112" i="31"/>
  <c r="NE73" i="31"/>
  <c r="NE117" i="31"/>
  <c r="NE121" i="31"/>
  <c r="NE144" i="31"/>
  <c r="NE227" i="31"/>
  <c r="NE284" i="31"/>
  <c r="DN65" i="31"/>
  <c r="DN66" i="31" s="1"/>
  <c r="DN67" i="31" s="1"/>
  <c r="DN68" i="31" s="1"/>
  <c r="DN69" i="31" s="1"/>
  <c r="DN70" i="31" s="1"/>
  <c r="DN71" i="31" s="1"/>
  <c r="DN72" i="31" s="1"/>
  <c r="DN73" i="31" s="1"/>
  <c r="DN74" i="31" s="1"/>
  <c r="DN75" i="31" s="1"/>
  <c r="DN76" i="31" s="1"/>
  <c r="DN77" i="31" s="1"/>
  <c r="DN78" i="31" s="1"/>
  <c r="DN79" i="31" s="1"/>
  <c r="DN80" i="31" s="1"/>
  <c r="DN81" i="31" s="1"/>
  <c r="DN82" i="31" s="1"/>
  <c r="DN83" i="31" s="1"/>
  <c r="DN84" i="31" s="1"/>
  <c r="DN85" i="31" s="1"/>
  <c r="DN86" i="31" s="1"/>
  <c r="DN87" i="31" s="1"/>
  <c r="DN88" i="31" s="1"/>
  <c r="DN89" i="31" s="1"/>
  <c r="DN90" i="31" s="1"/>
  <c r="DN91" i="31" s="1"/>
  <c r="DN92" i="31" s="1"/>
  <c r="DN93" i="31" s="1"/>
  <c r="DN94" i="31" s="1"/>
  <c r="DN95" i="31" s="1"/>
  <c r="DN96" i="31" s="1"/>
  <c r="DN97" i="31" s="1"/>
  <c r="DN98" i="31" s="1"/>
  <c r="DN99" i="31" s="1"/>
  <c r="DN100" i="31" s="1"/>
  <c r="DN101" i="31" s="1"/>
  <c r="DN102" i="31" s="1"/>
  <c r="DN103" i="31" s="1"/>
  <c r="DN104" i="31" s="1"/>
  <c r="DN105" i="31" s="1"/>
  <c r="DN106" i="31" s="1"/>
  <c r="DN107" i="31" s="1"/>
  <c r="DN108" i="31" s="1"/>
  <c r="DN109" i="31" s="1"/>
  <c r="DN110" i="31" s="1"/>
  <c r="DN111" i="31" s="1"/>
  <c r="DN112" i="31" s="1"/>
  <c r="DN113" i="31" s="1"/>
  <c r="DN114" i="31" s="1"/>
  <c r="DN115" i="31" s="1"/>
  <c r="DN116" i="31" s="1"/>
  <c r="DN117" i="31" s="1"/>
  <c r="DN118" i="31" s="1"/>
  <c r="DN119" i="31" s="1"/>
  <c r="DN120" i="31" s="1"/>
  <c r="DN121" i="31" s="1"/>
  <c r="DN122" i="31" s="1"/>
  <c r="DN123" i="31" s="1"/>
  <c r="DN124" i="31" s="1"/>
  <c r="DN125" i="31" s="1"/>
  <c r="DN126" i="31" s="1"/>
  <c r="DN127" i="31" s="1"/>
  <c r="DN128" i="31" s="1"/>
  <c r="DN129" i="31" s="1"/>
  <c r="DN130" i="31" s="1"/>
  <c r="DN131" i="31" s="1"/>
  <c r="DN132" i="31" s="1"/>
  <c r="DN133" i="31" s="1"/>
  <c r="DN134" i="31" s="1"/>
  <c r="DN135" i="31" s="1"/>
  <c r="DN136" i="31" s="1"/>
  <c r="DN137" i="31" s="1"/>
  <c r="DN138" i="31" s="1"/>
  <c r="DN139" i="31" s="1"/>
  <c r="DN140" i="31" s="1"/>
  <c r="DN141" i="31" s="1"/>
  <c r="DN142" i="31" s="1"/>
  <c r="DN143" i="31" s="1"/>
  <c r="DN144" i="31" s="1"/>
  <c r="DN145" i="31" s="1"/>
  <c r="DN146" i="31" s="1"/>
  <c r="DN147" i="31" s="1"/>
  <c r="DN148" i="31" s="1"/>
  <c r="DN149" i="31" s="1"/>
  <c r="DN150" i="31" s="1"/>
  <c r="DN151" i="31" s="1"/>
  <c r="DN152" i="31" s="1"/>
  <c r="DN153" i="31" s="1"/>
  <c r="DN154" i="31" s="1"/>
  <c r="DN155" i="31" s="1"/>
  <c r="DN156" i="31" s="1"/>
  <c r="DN157" i="31" s="1"/>
  <c r="AU12" i="31" l="1"/>
  <c r="AV12" i="31" s="1"/>
  <c r="AW11" i="31"/>
  <c r="MP7" i="31"/>
  <c r="MH11" i="31"/>
  <c r="MI11" i="31"/>
  <c r="MP11" i="31" s="1"/>
  <c r="MK32" i="31"/>
  <c r="MM32" i="31" s="1"/>
  <c r="MN32" i="31" s="1"/>
  <c r="LT34" i="31"/>
  <c r="ME34" i="31" s="1"/>
  <c r="MH54" i="31"/>
  <c r="MI57" i="31"/>
  <c r="MP57" i="31" s="1"/>
  <c r="MI54" i="31"/>
  <c r="MP54" i="31" s="1"/>
  <c r="MH57" i="31"/>
  <c r="MG35" i="31"/>
  <c r="MK35" i="31" s="1"/>
  <c r="MG19" i="31"/>
  <c r="MK19" i="31" s="1"/>
  <c r="MG13" i="31"/>
  <c r="MK13" i="31" s="1"/>
  <c r="MG21" i="31"/>
  <c r="MK21" i="31" s="1"/>
  <c r="MI29" i="31"/>
  <c r="MP29" i="31" s="1"/>
  <c r="MH32" i="31"/>
  <c r="MG48" i="31"/>
  <c r="MK48" i="31" s="1"/>
  <c r="ML48" i="31" s="1"/>
  <c r="PF48" i="31"/>
  <c r="MG61" i="31"/>
  <c r="MH61" i="31" s="1"/>
  <c r="PF61" i="31"/>
  <c r="MG59" i="31"/>
  <c r="MI59" i="31" s="1"/>
  <c r="MP59" i="31" s="1"/>
  <c r="PF59" i="31"/>
  <c r="MG53" i="31"/>
  <c r="MK53" i="31" s="1"/>
  <c r="PF53" i="31"/>
  <c r="MG47" i="31"/>
  <c r="MK47" i="31" s="1"/>
  <c r="PF47" i="31"/>
  <c r="MG23" i="31"/>
  <c r="MK23" i="31" s="1"/>
  <c r="MG28" i="31"/>
  <c r="MK28" i="31" s="1"/>
  <c r="MG31" i="31"/>
  <c r="MK31" i="31" s="1"/>
  <c r="OP15" i="31"/>
  <c r="MG15" i="31"/>
  <c r="MK15" i="31" s="1"/>
  <c r="MG24" i="31"/>
  <c r="MK24" i="31" s="1"/>
  <c r="MH29" i="31"/>
  <c r="MG55" i="31"/>
  <c r="MI55" i="31" s="1"/>
  <c r="MP55" i="31" s="1"/>
  <c r="PF55" i="31"/>
  <c r="MG43" i="31"/>
  <c r="MH43" i="31" s="1"/>
  <c r="PF43" i="31"/>
  <c r="MG27" i="31"/>
  <c r="MH27" i="31" s="1"/>
  <c r="MG26" i="31"/>
  <c r="MH26" i="31" s="1"/>
  <c r="MG60" i="31"/>
  <c r="MK60" i="31" s="1"/>
  <c r="PF60" i="31"/>
  <c r="MG39" i="31"/>
  <c r="MH39" i="31" s="1"/>
  <c r="MG30" i="31"/>
  <c r="MI30" i="31" s="1"/>
  <c r="MP30" i="31" s="1"/>
  <c r="MG25" i="31"/>
  <c r="MI25" i="31" s="1"/>
  <c r="MP25" i="31" s="1"/>
  <c r="MG16" i="31"/>
  <c r="MH16" i="31" s="1"/>
  <c r="MG44" i="31"/>
  <c r="MK44" i="31" s="1"/>
  <c r="PF44" i="31"/>
  <c r="MG38" i="31"/>
  <c r="MK38" i="31" s="1"/>
  <c r="MG51" i="31"/>
  <c r="MK51" i="31" s="1"/>
  <c r="PF51" i="31"/>
  <c r="MG64" i="31"/>
  <c r="MI64" i="31" s="1"/>
  <c r="MP64" i="31" s="1"/>
  <c r="PF64" i="31"/>
  <c r="MG37" i="31"/>
  <c r="MH37" i="31" s="1"/>
  <c r="MG12" i="31"/>
  <c r="MH12" i="31" s="1"/>
  <c r="MM57" i="31"/>
  <c r="MN57" i="31" s="1"/>
  <c r="MM29" i="31"/>
  <c r="MN29" i="31" s="1"/>
  <c r="MM54" i="31"/>
  <c r="MN54" i="31" s="1"/>
  <c r="MM11" i="31"/>
  <c r="MN11" i="31" s="1"/>
  <c r="N13" i="31"/>
  <c r="O14" i="31" s="1"/>
  <c r="CZ13" i="31"/>
  <c r="LR56" i="31"/>
  <c r="LX56" i="31" s="1"/>
  <c r="LZ56" i="31" s="1"/>
  <c r="LT41" i="31"/>
  <c r="ME41" i="31" s="1"/>
  <c r="LT33" i="31"/>
  <c r="ME33" i="31" s="1"/>
  <c r="PF33" i="31" s="1"/>
  <c r="LR58" i="31"/>
  <c r="LX58" i="31" s="1"/>
  <c r="LZ58" i="31" s="1"/>
  <c r="LS14" i="31"/>
  <c r="LY14" i="31" s="1"/>
  <c r="MA14" i="31" s="1"/>
  <c r="LT14" i="31"/>
  <c r="ME14" i="31" s="1"/>
  <c r="PF14" i="31" s="1"/>
  <c r="LT22" i="31"/>
  <c r="ME22" i="31" s="1"/>
  <c r="PF22" i="31" s="1"/>
  <c r="LT8" i="31"/>
  <c r="ME8" i="31" s="1"/>
  <c r="PF8" i="31" s="1"/>
  <c r="LS33" i="31"/>
  <c r="LY33" i="31" s="1"/>
  <c r="MA33" i="31" s="1"/>
  <c r="LS34" i="31"/>
  <c r="LY34" i="31" s="1"/>
  <c r="MA34" i="31" s="1"/>
  <c r="LS8" i="31"/>
  <c r="LY8" i="31" s="1"/>
  <c r="MA8" i="31" s="1"/>
  <c r="LT49" i="31"/>
  <c r="ME49" i="31" s="1"/>
  <c r="LS40" i="31"/>
  <c r="LY40" i="31" s="1"/>
  <c r="MA40" i="31" s="1"/>
  <c r="LR60" i="31"/>
  <c r="LX60" i="31" s="1"/>
  <c r="LZ60" i="31" s="1"/>
  <c r="LR30" i="31"/>
  <c r="LX30" i="31" s="1"/>
  <c r="LZ30" i="31" s="1"/>
  <c r="LS60" i="31"/>
  <c r="LY60" i="31" s="1"/>
  <c r="MA60" i="31" s="1"/>
  <c r="LS30" i="31"/>
  <c r="LY30" i="31" s="1"/>
  <c r="MA30" i="31" s="1"/>
  <c r="LS10" i="31"/>
  <c r="LY10" i="31" s="1"/>
  <c r="MA10" i="31" s="1"/>
  <c r="LT40" i="31"/>
  <c r="ME40" i="31" s="1"/>
  <c r="LR41" i="31"/>
  <c r="LX41" i="31" s="1"/>
  <c r="LZ41" i="31" s="1"/>
  <c r="LT20" i="31"/>
  <c r="ME20" i="31" s="1"/>
  <c r="PF20" i="31" s="1"/>
  <c r="LR48" i="31"/>
  <c r="LX48" i="31" s="1"/>
  <c r="LZ48" i="31" s="1"/>
  <c r="LR63" i="31"/>
  <c r="LX63" i="31" s="1"/>
  <c r="LZ63" i="31" s="1"/>
  <c r="LT42" i="31"/>
  <c r="ME42" i="31" s="1"/>
  <c r="LR53" i="31"/>
  <c r="LX53" i="31" s="1"/>
  <c r="LZ53" i="31" s="1"/>
  <c r="LS42" i="31"/>
  <c r="LY42" i="31" s="1"/>
  <c r="MA42" i="31" s="1"/>
  <c r="LT63" i="31"/>
  <c r="ME63" i="31" s="1"/>
  <c r="LT56" i="31"/>
  <c r="ME56" i="31" s="1"/>
  <c r="LR61" i="31"/>
  <c r="LX61" i="31" s="1"/>
  <c r="LZ61" i="31" s="1"/>
  <c r="LS20" i="31"/>
  <c r="LY20" i="31" s="1"/>
  <c r="MA20" i="31" s="1"/>
  <c r="LS53" i="31"/>
  <c r="LY53" i="31" s="1"/>
  <c r="MA53" i="31" s="1"/>
  <c r="LR22" i="31"/>
  <c r="LX22" i="31" s="1"/>
  <c r="LZ22" i="31" s="1"/>
  <c r="LR36" i="31"/>
  <c r="LX36" i="31" s="1"/>
  <c r="LZ36" i="31" s="1"/>
  <c r="LS46" i="31"/>
  <c r="LY46" i="31" s="1"/>
  <c r="MA46" i="31" s="1"/>
  <c r="LP337" i="31"/>
  <c r="LU337" i="31" s="1"/>
  <c r="MD337" i="31" s="1"/>
  <c r="LR52" i="31"/>
  <c r="LX52" i="31" s="1"/>
  <c r="LZ52" i="31" s="1"/>
  <c r="LS52" i="31"/>
  <c r="LY52" i="31" s="1"/>
  <c r="MA52" i="31" s="1"/>
  <c r="LT52" i="31"/>
  <c r="ME52" i="31" s="1"/>
  <c r="LT46" i="31"/>
  <c r="ME46" i="31" s="1"/>
  <c r="LT10" i="31"/>
  <c r="ME10" i="31" s="1"/>
  <c r="PF10" i="31" s="1"/>
  <c r="LS62" i="31"/>
  <c r="LY62" i="31" s="1"/>
  <c r="MA62" i="31" s="1"/>
  <c r="LR62" i="31"/>
  <c r="LX62" i="31" s="1"/>
  <c r="LZ62" i="31" s="1"/>
  <c r="LP307" i="31"/>
  <c r="LU307" i="31" s="1"/>
  <c r="MD307" i="31" s="1"/>
  <c r="LR25" i="31"/>
  <c r="LX25" i="31" s="1"/>
  <c r="LZ25" i="31" s="1"/>
  <c r="LP184" i="31"/>
  <c r="LU184" i="31" s="1"/>
  <c r="MD184" i="31" s="1"/>
  <c r="LP152" i="31"/>
  <c r="LU152" i="31" s="1"/>
  <c r="MD152" i="31" s="1"/>
  <c r="LP350" i="31"/>
  <c r="LU350" i="31" s="1"/>
  <c r="MD350" i="31" s="1"/>
  <c r="LS37" i="31"/>
  <c r="LY37" i="31" s="1"/>
  <c r="MA37" i="31" s="1"/>
  <c r="LR37" i="31"/>
  <c r="LX37" i="31" s="1"/>
  <c r="LZ37" i="31" s="1"/>
  <c r="LT62" i="31"/>
  <c r="ME62" i="31" s="1"/>
  <c r="LS17" i="31"/>
  <c r="LY17" i="31" s="1"/>
  <c r="MA17" i="31" s="1"/>
  <c r="LT17" i="31"/>
  <c r="ME17" i="31" s="1"/>
  <c r="PF17" i="31" s="1"/>
  <c r="LP177" i="31"/>
  <c r="LU177" i="31" s="1"/>
  <c r="MD177" i="31" s="1"/>
  <c r="LP164" i="31"/>
  <c r="LU164" i="31" s="1"/>
  <c r="MD164" i="31" s="1"/>
  <c r="LS25" i="31"/>
  <c r="LY25" i="31" s="1"/>
  <c r="MA25" i="31" s="1"/>
  <c r="LR18" i="31"/>
  <c r="LX18" i="31" s="1"/>
  <c r="LZ18" i="31" s="1"/>
  <c r="LT18" i="31"/>
  <c r="ME18" i="31" s="1"/>
  <c r="PF18" i="31" s="1"/>
  <c r="LR45" i="31"/>
  <c r="LX45" i="31" s="1"/>
  <c r="LZ45" i="31" s="1"/>
  <c r="LS45" i="31"/>
  <c r="LY45" i="31" s="1"/>
  <c r="MA45" i="31" s="1"/>
  <c r="LP227" i="31"/>
  <c r="LU227" i="31" s="1"/>
  <c r="MD227" i="31" s="1"/>
  <c r="LP212" i="31"/>
  <c r="LU212" i="31" s="1"/>
  <c r="MD212" i="31" s="1"/>
  <c r="LP357" i="31"/>
  <c r="LU357" i="31" s="1"/>
  <c r="MD357" i="31" s="1"/>
  <c r="LS61" i="31"/>
  <c r="LY61" i="31" s="1"/>
  <c r="MA61" i="31" s="1"/>
  <c r="LS49" i="31"/>
  <c r="LY49" i="31" s="1"/>
  <c r="MA49" i="31" s="1"/>
  <c r="LT36" i="31"/>
  <c r="ME36" i="31" s="1"/>
  <c r="PF36" i="31" s="1"/>
  <c r="LT9" i="31"/>
  <c r="ME9" i="31" s="1"/>
  <c r="PF9" i="31" s="1"/>
  <c r="LT50" i="31"/>
  <c r="ME50" i="31" s="1"/>
  <c r="LS59" i="31"/>
  <c r="LY59" i="31" s="1"/>
  <c r="MA59" i="31" s="1"/>
  <c r="LT45" i="31"/>
  <c r="ME45" i="31" s="1"/>
  <c r="LP232" i="31"/>
  <c r="LU232" i="31" s="1"/>
  <c r="MD232" i="31" s="1"/>
  <c r="LP248" i="31"/>
  <c r="LU248" i="31" s="1"/>
  <c r="MD248" i="31" s="1"/>
  <c r="LS48" i="31"/>
  <c r="LY48" i="31" s="1"/>
  <c r="MA48" i="31" s="1"/>
  <c r="LR59" i="31"/>
  <c r="LX59" i="31" s="1"/>
  <c r="LZ59" i="31" s="1"/>
  <c r="LT58" i="31"/>
  <c r="ME58" i="31" s="1"/>
  <c r="LS50" i="31"/>
  <c r="LY50" i="31" s="1"/>
  <c r="MA50" i="31" s="1"/>
  <c r="LR9" i="31"/>
  <c r="LX9" i="31" s="1"/>
  <c r="LZ9" i="31" s="1"/>
  <c r="LP294" i="31"/>
  <c r="LU294" i="31" s="1"/>
  <c r="MD294" i="31" s="1"/>
  <c r="LP220" i="31"/>
  <c r="LU220" i="31" s="1"/>
  <c r="MD220" i="31" s="1"/>
  <c r="LP278" i="31"/>
  <c r="LU278" i="31" s="1"/>
  <c r="MD278" i="31" s="1"/>
  <c r="LR39" i="31"/>
  <c r="LX39" i="31" s="1"/>
  <c r="LZ39" i="31" s="1"/>
  <c r="LS39" i="31"/>
  <c r="LY39" i="31" s="1"/>
  <c r="MA39" i="31" s="1"/>
  <c r="LP236" i="31"/>
  <c r="LU236" i="31" s="1"/>
  <c r="MD236" i="31" s="1"/>
  <c r="LP196" i="31"/>
  <c r="LU196" i="31" s="1"/>
  <c r="MD196" i="31" s="1"/>
  <c r="LP279" i="31"/>
  <c r="LU279" i="31" s="1"/>
  <c r="MD279" i="31" s="1"/>
  <c r="MG6" i="31"/>
  <c r="MK6" i="31" s="1"/>
  <c r="LW164" i="31"/>
  <c r="LV152" i="31"/>
  <c r="LW350" i="31"/>
  <c r="LW236" i="31"/>
  <c r="LV232" i="31"/>
  <c r="LV184" i="31"/>
  <c r="LV248" i="31"/>
  <c r="LW220" i="31"/>
  <c r="LW196" i="31"/>
  <c r="LV279" i="31"/>
  <c r="LW307" i="31"/>
  <c r="LW337" i="31"/>
  <c r="LV177" i="31"/>
  <c r="LV294" i="31"/>
  <c r="LV278" i="31"/>
  <c r="LW227" i="31"/>
  <c r="LW212" i="31"/>
  <c r="LW357" i="31"/>
  <c r="LW294" i="31"/>
  <c r="LW152" i="31"/>
  <c r="LW177" i="31"/>
  <c r="LV196" i="31"/>
  <c r="LV307" i="31"/>
  <c r="LW278" i="31"/>
  <c r="LW248" i="31"/>
  <c r="LV350" i="31"/>
  <c r="LW232" i="31"/>
  <c r="LV357" i="31"/>
  <c r="LV227" i="31"/>
  <c r="LV220" i="31"/>
  <c r="LV236" i="31"/>
  <c r="LW279" i="31"/>
  <c r="LV212" i="31"/>
  <c r="LV164" i="31"/>
  <c r="LW184" i="31"/>
  <c r="LV337" i="31"/>
  <c r="AE227" i="31"/>
  <c r="AE212" i="31"/>
  <c r="AE357" i="31"/>
  <c r="AE164" i="31"/>
  <c r="AE337" i="31"/>
  <c r="AE152" i="31"/>
  <c r="AE350" i="31"/>
  <c r="ML29" i="31"/>
  <c r="AE307" i="31"/>
  <c r="AE177" i="31"/>
  <c r="AE232" i="31"/>
  <c r="ML54" i="31"/>
  <c r="ML57" i="31"/>
  <c r="AE184" i="31"/>
  <c r="AE236" i="31"/>
  <c r="AE294" i="31"/>
  <c r="AE248" i="31"/>
  <c r="AE278" i="31"/>
  <c r="AE220" i="31"/>
  <c r="AE196" i="31"/>
  <c r="AE279" i="31"/>
  <c r="GJ12" i="31"/>
  <c r="GP12" i="31" s="1"/>
  <c r="DA12" i="31"/>
  <c r="AU13" i="31" l="1"/>
  <c r="AV13" i="31" s="1"/>
  <c r="AW12" i="31"/>
  <c r="MG34" i="31"/>
  <c r="MI34" i="31" s="1"/>
  <c r="MP34" i="31" s="1"/>
  <c r="PF34" i="31"/>
  <c r="ML32" i="31"/>
  <c r="MI13" i="31"/>
  <c r="MP13" i="31" s="1"/>
  <c r="MI15" i="31"/>
  <c r="MP15" i="31" s="1"/>
  <c r="MH44" i="31"/>
  <c r="MI35" i="31"/>
  <c r="MP35" i="31" s="1"/>
  <c r="MI39" i="31"/>
  <c r="MP39" i="31" s="1"/>
  <c r="MI43" i="31"/>
  <c r="MP43" i="31" s="1"/>
  <c r="MI48" i="31"/>
  <c r="MP48" i="31" s="1"/>
  <c r="MK39" i="31"/>
  <c r="MM39" i="31" s="1"/>
  <c r="MN39" i="31" s="1"/>
  <c r="MK43" i="31"/>
  <c r="MM43" i="31" s="1"/>
  <c r="MN43" i="31" s="1"/>
  <c r="MH48" i="31"/>
  <c r="MH47" i="31"/>
  <c r="MI44" i="31"/>
  <c r="MP44" i="31" s="1"/>
  <c r="MI24" i="31"/>
  <c r="MP24" i="31" s="1"/>
  <c r="MK55" i="31"/>
  <c r="ML55" i="31" s="1"/>
  <c r="MI19" i="31"/>
  <c r="MP19" i="31" s="1"/>
  <c r="MI53" i="31"/>
  <c r="MP53" i="31" s="1"/>
  <c r="MH51" i="31"/>
  <c r="MI26" i="31"/>
  <c r="MP26" i="31" s="1"/>
  <c r="MI51" i="31"/>
  <c r="MP51" i="31" s="1"/>
  <c r="MK26" i="31"/>
  <c r="ML26" i="31" s="1"/>
  <c r="MK59" i="31"/>
  <c r="ML59" i="31" s="1"/>
  <c r="MH28" i="31"/>
  <c r="MK25" i="31"/>
  <c r="ML25" i="31" s="1"/>
  <c r="MI21" i="31"/>
  <c r="MP21" i="31" s="1"/>
  <c r="MH59" i="31"/>
  <c r="MI16" i="31"/>
  <c r="MP16" i="31" s="1"/>
  <c r="MI37" i="31"/>
  <c r="MP37" i="31" s="1"/>
  <c r="MK37" i="31"/>
  <c r="ML37" i="31" s="1"/>
  <c r="MH24" i="31"/>
  <c r="MH23" i="31"/>
  <c r="MH13" i="31"/>
  <c r="MI31" i="31"/>
  <c r="MP31" i="31" s="1"/>
  <c r="MI27" i="31"/>
  <c r="MP27" i="31" s="1"/>
  <c r="MH53" i="31"/>
  <c r="MI61" i="31"/>
  <c r="MP61" i="31" s="1"/>
  <c r="MI23" i="31"/>
  <c r="MP23" i="31" s="1"/>
  <c r="MH31" i="31"/>
  <c r="MK61" i="31"/>
  <c r="ML61" i="31" s="1"/>
  <c r="MK30" i="31"/>
  <c r="ML30" i="31" s="1"/>
  <c r="MH19" i="31"/>
  <c r="MH21" i="31"/>
  <c r="MI28" i="31"/>
  <c r="MP28" i="31" s="1"/>
  <c r="MI47" i="31"/>
  <c r="MP47" i="31" s="1"/>
  <c r="MH38" i="31"/>
  <c r="MH35" i="31"/>
  <c r="MH15" i="31"/>
  <c r="MH64" i="31"/>
  <c r="MH25" i="31"/>
  <c r="MG50" i="31"/>
  <c r="MI50" i="31" s="1"/>
  <c r="MP50" i="31" s="1"/>
  <c r="PF50" i="31"/>
  <c r="MI38" i="31"/>
  <c r="MP38" i="31" s="1"/>
  <c r="MK64" i="31"/>
  <c r="MM64" i="31" s="1"/>
  <c r="MN64" i="31" s="1"/>
  <c r="MK27" i="31"/>
  <c r="ML27" i="31" s="1"/>
  <c r="MG58" i="31"/>
  <c r="MK58" i="31" s="1"/>
  <c r="PF58" i="31"/>
  <c r="MG9" i="31"/>
  <c r="MI9" i="31" s="1"/>
  <c r="MP9" i="31" s="1"/>
  <c r="MG62" i="31"/>
  <c r="MK62" i="31" s="1"/>
  <c r="PF62" i="31"/>
  <c r="MI60" i="31"/>
  <c r="MP60" i="31" s="1"/>
  <c r="MG56" i="31"/>
  <c r="MK56" i="31" s="1"/>
  <c r="ML56" i="31" s="1"/>
  <c r="PF56" i="31"/>
  <c r="MG42" i="31"/>
  <c r="MH42" i="31" s="1"/>
  <c r="PF42" i="31"/>
  <c r="MG20" i="31"/>
  <c r="MK20" i="31" s="1"/>
  <c r="ML20" i="31" s="1"/>
  <c r="MI12" i="31"/>
  <c r="MP12" i="31" s="1"/>
  <c r="MG40" i="31"/>
  <c r="MK40" i="31" s="1"/>
  <c r="ML40" i="31" s="1"/>
  <c r="PF40" i="31"/>
  <c r="MG8" i="31"/>
  <c r="MI8" i="31" s="1"/>
  <c r="MP8" i="31" s="1"/>
  <c r="MH55" i="31"/>
  <c r="MG45" i="31"/>
  <c r="MI45" i="31" s="1"/>
  <c r="MP45" i="31" s="1"/>
  <c r="PF45" i="31"/>
  <c r="MG36" i="31"/>
  <c r="MI36" i="31" s="1"/>
  <c r="MP36" i="31" s="1"/>
  <c r="MG18" i="31"/>
  <c r="MI18" i="31" s="1"/>
  <c r="MP18" i="31" s="1"/>
  <c r="MH30" i="31"/>
  <c r="MH60" i="31"/>
  <c r="MG63" i="31"/>
  <c r="MK63" i="31" s="1"/>
  <c r="ML63" i="31" s="1"/>
  <c r="PF63" i="31"/>
  <c r="MG22" i="31"/>
  <c r="MI22" i="31" s="1"/>
  <c r="MP22" i="31" s="1"/>
  <c r="MG33" i="31"/>
  <c r="MK33" i="31" s="1"/>
  <c r="ML33" i="31" s="1"/>
  <c r="MG52" i="31"/>
  <c r="MK52" i="31" s="1"/>
  <c r="PF52" i="31"/>
  <c r="MG49" i="31"/>
  <c r="MK49" i="31" s="1"/>
  <c r="ML49" i="31" s="1"/>
  <c r="PF49" i="31"/>
  <c r="MG17" i="31"/>
  <c r="MK17" i="31" s="1"/>
  <c r="MG10" i="31"/>
  <c r="MK10" i="31" s="1"/>
  <c r="MG46" i="31"/>
  <c r="MI46" i="31" s="1"/>
  <c r="MP46" i="31" s="1"/>
  <c r="PF46" i="31"/>
  <c r="MK12" i="31"/>
  <c r="MM12" i="31" s="1"/>
  <c r="MN12" i="31" s="1"/>
  <c r="MG14" i="31"/>
  <c r="MK14" i="31" s="1"/>
  <c r="ML14" i="31" s="1"/>
  <c r="MG41" i="31"/>
  <c r="MK41" i="31" s="1"/>
  <c r="ML41" i="31" s="1"/>
  <c r="PF41" i="31"/>
  <c r="MK16" i="31"/>
  <c r="MM16" i="31" s="1"/>
  <c r="MN16" i="31" s="1"/>
  <c r="OP16" i="31"/>
  <c r="MM48" i="31"/>
  <c r="MN48" i="31" s="1"/>
  <c r="MM44" i="31"/>
  <c r="MN44" i="31" s="1"/>
  <c r="MM13" i="31"/>
  <c r="MN13" i="31" s="1"/>
  <c r="MM15" i="31"/>
  <c r="MN15" i="31" s="1"/>
  <c r="MM51" i="31"/>
  <c r="MN51" i="31" s="1"/>
  <c r="MM38" i="31"/>
  <c r="MN38" i="31" s="1"/>
  <c r="MM24" i="31"/>
  <c r="MN24" i="31" s="1"/>
  <c r="MM31" i="31"/>
  <c r="MN31" i="31" s="1"/>
  <c r="MM21" i="31"/>
  <c r="MN21" i="31" s="1"/>
  <c r="MM19" i="31"/>
  <c r="MN19" i="31" s="1"/>
  <c r="MM35" i="31"/>
  <c r="MN35" i="31" s="1"/>
  <c r="MM28" i="31"/>
  <c r="MN28" i="31" s="1"/>
  <c r="MM23" i="31"/>
  <c r="MN23" i="31" s="1"/>
  <c r="MM47" i="31"/>
  <c r="MN47" i="31" s="1"/>
  <c r="N14" i="31"/>
  <c r="O15" i="31" s="1"/>
  <c r="CZ14" i="31"/>
  <c r="ML60" i="31"/>
  <c r="MM60" i="31"/>
  <c r="MN60" i="31" s="1"/>
  <c r="MM53" i="31"/>
  <c r="MN53" i="31" s="1"/>
  <c r="ML53" i="31"/>
  <c r="MI6" i="31"/>
  <c r="MP6" i="31" s="1"/>
  <c r="MH6" i="31"/>
  <c r="ML31" i="31"/>
  <c r="ML47" i="31"/>
  <c r="ML19" i="31"/>
  <c r="ML28" i="31"/>
  <c r="ML15" i="31"/>
  <c r="ML21" i="31"/>
  <c r="ML35" i="31"/>
  <c r="ML24" i="31"/>
  <c r="ML13" i="31"/>
  <c r="ML51" i="31"/>
  <c r="ML23" i="31"/>
  <c r="ML38" i="31"/>
  <c r="ML44" i="31"/>
  <c r="DA13" i="31"/>
  <c r="GJ13" i="31"/>
  <c r="GP13" i="31" s="1"/>
  <c r="AU14" i="31" l="1"/>
  <c r="AV14" i="31" s="1"/>
  <c r="AW13" i="31"/>
  <c r="MH34" i="31"/>
  <c r="MK34" i="31"/>
  <c r="MM34" i="31" s="1"/>
  <c r="MN34" i="31" s="1"/>
  <c r="ML43" i="31"/>
  <c r="ML39" i="31"/>
  <c r="MM25" i="31"/>
  <c r="MN25" i="31" s="1"/>
  <c r="MM59" i="31"/>
  <c r="MN59" i="31" s="1"/>
  <c r="MM55" i="31"/>
  <c r="MN55" i="31" s="1"/>
  <c r="MM37" i="31"/>
  <c r="MN37" i="31" s="1"/>
  <c r="MH36" i="31"/>
  <c r="ML64" i="31"/>
  <c r="MH22" i="31"/>
  <c r="MH41" i="31"/>
  <c r="MM26" i="31"/>
  <c r="MN26" i="31" s="1"/>
  <c r="MI52" i="31"/>
  <c r="MP52" i="31" s="1"/>
  <c r="MH46" i="31"/>
  <c r="MH8" i="31"/>
  <c r="MM30" i="31"/>
  <c r="MN30" i="31" s="1"/>
  <c r="MH58" i="31"/>
  <c r="MI49" i="31"/>
  <c r="MP49" i="31" s="1"/>
  <c r="MH14" i="31"/>
  <c r="MH62" i="31"/>
  <c r="MI63" i="31"/>
  <c r="MP63" i="31" s="1"/>
  <c r="MK8" i="31"/>
  <c r="MM8" i="31" s="1"/>
  <c r="MN8" i="31" s="1"/>
  <c r="MI62" i="31"/>
  <c r="MP62" i="31" s="1"/>
  <c r="MI58" i="31"/>
  <c r="MP58" i="31" s="1"/>
  <c r="MH56" i="31"/>
  <c r="MM61" i="31"/>
  <c r="MN61" i="31" s="1"/>
  <c r="ML16" i="31"/>
  <c r="MI14" i="31"/>
  <c r="MP14" i="31" s="1"/>
  <c r="MH45" i="31"/>
  <c r="ML12" i="31"/>
  <c r="MI17" i="31"/>
  <c r="MP17" i="31" s="1"/>
  <c r="MH52" i="31"/>
  <c r="MK46" i="31"/>
  <c r="ML46" i="31" s="1"/>
  <c r="MK22" i="31"/>
  <c r="ML22" i="31" s="1"/>
  <c r="MH17" i="31"/>
  <c r="MI42" i="31"/>
  <c r="MP42" i="31" s="1"/>
  <c r="MK36" i="31"/>
  <c r="MM36" i="31" s="1"/>
  <c r="MN36" i="31" s="1"/>
  <c r="MK45" i="31"/>
  <c r="ML45" i="31" s="1"/>
  <c r="MH10" i="31"/>
  <c r="MH63" i="31"/>
  <c r="MI20" i="31"/>
  <c r="MP20" i="31" s="1"/>
  <c r="MI33" i="31"/>
  <c r="MP33" i="31" s="1"/>
  <c r="MM27" i="31"/>
  <c r="MN27" i="31" s="1"/>
  <c r="MI10" i="31"/>
  <c r="MP10" i="31" s="1"/>
  <c r="MH18" i="31"/>
  <c r="MK50" i="31"/>
  <c r="ML50" i="31" s="1"/>
  <c r="MH50" i="31"/>
  <c r="MH20" i="31"/>
  <c r="MI56" i="31"/>
  <c r="MP56" i="31" s="1"/>
  <c r="MK18" i="31"/>
  <c r="MM18" i="31" s="1"/>
  <c r="MN18" i="31" s="1"/>
  <c r="MK42" i="31"/>
  <c r="ML42" i="31" s="1"/>
  <c r="MH49" i="31"/>
  <c r="MI41" i="31"/>
  <c r="MP41" i="31" s="1"/>
  <c r="OP17" i="31"/>
  <c r="MH9" i="31"/>
  <c r="MI40" i="31"/>
  <c r="MP40" i="31" s="1"/>
  <c r="MH33" i="31"/>
  <c r="MH40" i="31"/>
  <c r="MK9" i="31"/>
  <c r="ML9" i="31" s="1"/>
  <c r="MM58" i="31"/>
  <c r="MN58" i="31" s="1"/>
  <c r="MM62" i="31"/>
  <c r="MN62" i="31" s="1"/>
  <c r="MM52" i="31"/>
  <c r="MN52" i="31" s="1"/>
  <c r="MM63" i="31"/>
  <c r="MN63" i="31" s="1"/>
  <c r="MM17" i="31"/>
  <c r="MN17" i="31" s="1"/>
  <c r="MM56" i="31"/>
  <c r="MN56" i="31" s="1"/>
  <c r="MM14" i="31"/>
  <c r="MN14" i="31" s="1"/>
  <c r="MM41" i="31"/>
  <c r="MN41" i="31" s="1"/>
  <c r="MM49" i="31"/>
  <c r="MN49" i="31" s="1"/>
  <c r="MM6" i="31"/>
  <c r="MN6" i="31" s="1"/>
  <c r="MO6" i="31" s="1"/>
  <c r="MM40" i="31"/>
  <c r="MN40" i="31" s="1"/>
  <c r="MM20" i="31"/>
  <c r="MN20" i="31" s="1"/>
  <c r="MM10" i="31"/>
  <c r="MN10" i="31" s="1"/>
  <c r="MM33" i="31"/>
  <c r="MN33" i="31" s="1"/>
  <c r="N15" i="31"/>
  <c r="O16" i="31" s="1"/>
  <c r="CZ15" i="31"/>
  <c r="ML17" i="31"/>
  <c r="ML52" i="31"/>
  <c r="ML62" i="31"/>
  <c r="ML10" i="31"/>
  <c r="ML6" i="31"/>
  <c r="ML58" i="31"/>
  <c r="GJ14" i="31"/>
  <c r="GP14" i="31" s="1"/>
  <c r="DA14" i="31"/>
  <c r="AU15" i="31" l="1"/>
  <c r="AV15" i="31" s="1"/>
  <c r="AW14" i="31"/>
  <c r="ML34" i="31"/>
  <c r="MM45" i="31"/>
  <c r="MN45" i="31" s="1"/>
  <c r="ML8" i="31"/>
  <c r="MM50" i="31"/>
  <c r="MN50" i="31" s="1"/>
  <c r="ML36" i="31"/>
  <c r="ML18" i="31"/>
  <c r="MM46" i="31"/>
  <c r="MN46" i="31" s="1"/>
  <c r="MM22" i="31"/>
  <c r="MN22" i="31" s="1"/>
  <c r="MM42" i="31"/>
  <c r="MN42" i="31" s="1"/>
  <c r="MM9" i="31"/>
  <c r="MN9" i="31" s="1"/>
  <c r="OP18" i="31"/>
  <c r="N16" i="31"/>
  <c r="O17" i="31" s="1"/>
  <c r="CZ16" i="31"/>
  <c r="NH7" i="31"/>
  <c r="NI7" i="31" s="1"/>
  <c r="NJ6" i="31"/>
  <c r="OQ7" i="31" s="1"/>
  <c r="OR7" i="31" s="1"/>
  <c r="DA15" i="31"/>
  <c r="GJ15" i="31"/>
  <c r="GP15" i="31" s="1"/>
  <c r="AU16" i="31" l="1"/>
  <c r="AV16" i="31" s="1"/>
  <c r="AW15" i="31"/>
  <c r="OP19" i="31"/>
  <c r="N17" i="31"/>
  <c r="O18" i="31" s="1"/>
  <c r="CZ17" i="31"/>
  <c r="NL6" i="31"/>
  <c r="MQ7" i="31" s="1"/>
  <c r="NK6" i="31"/>
  <c r="NG7" i="31"/>
  <c r="DA16" i="31"/>
  <c r="GJ16" i="31"/>
  <c r="GP16" i="31" s="1"/>
  <c r="AU17" i="31" l="1"/>
  <c r="AV17" i="31" s="1"/>
  <c r="AW16" i="31"/>
  <c r="OP20" i="31"/>
  <c r="N18" i="31"/>
  <c r="O19" i="31" s="1"/>
  <c r="CZ18" i="31"/>
  <c r="NC7" i="31"/>
  <c r="DA17" i="31"/>
  <c r="GJ17" i="31"/>
  <c r="GP17" i="31" s="1"/>
  <c r="AU18" i="31" l="1"/>
  <c r="AV18" i="31" s="1"/>
  <c r="AW17" i="31"/>
  <c r="OP21" i="31"/>
  <c r="N19" i="31"/>
  <c r="O20" i="31" s="1"/>
  <c r="CZ19" i="31"/>
  <c r="DA18" i="31"/>
  <c r="GJ18" i="31"/>
  <c r="GP18" i="31" s="1"/>
  <c r="AU19" i="31" l="1"/>
  <c r="AV19" i="31" s="1"/>
  <c r="AW18" i="31"/>
  <c r="OP22" i="31"/>
  <c r="N20" i="31"/>
  <c r="O21" i="31" s="1"/>
  <c r="CZ20" i="31"/>
  <c r="GJ19" i="31"/>
  <c r="GP19" i="31" s="1"/>
  <c r="DA19" i="31"/>
  <c r="AU20" i="31" l="1"/>
  <c r="AV20" i="31" s="1"/>
  <c r="AW19" i="31"/>
  <c r="OP23" i="31"/>
  <c r="N21" i="31"/>
  <c r="O22" i="31" s="1"/>
  <c r="CZ21" i="31"/>
  <c r="OK6" i="31"/>
  <c r="GJ20" i="31"/>
  <c r="GP20" i="31" s="1"/>
  <c r="DA20" i="31"/>
  <c r="AU21" i="31" l="1"/>
  <c r="AV21" i="31" s="1"/>
  <c r="AW20" i="31"/>
  <c r="OP24" i="31"/>
  <c r="N22" i="31"/>
  <c r="O23" i="31" s="1"/>
  <c r="CZ22" i="31"/>
  <c r="DA21" i="31"/>
  <c r="GJ21" i="31"/>
  <c r="GP21" i="31" s="1"/>
  <c r="AU22" i="31" l="1"/>
  <c r="AV22" i="31" s="1"/>
  <c r="AW21" i="31"/>
  <c r="OP25" i="31"/>
  <c r="N23" i="31"/>
  <c r="O24" i="31" s="1"/>
  <c r="CZ23" i="31"/>
  <c r="DA22" i="31"/>
  <c r="GJ22" i="31"/>
  <c r="GP22" i="31" s="1"/>
  <c r="AU23" i="31" l="1"/>
  <c r="AV23" i="31" s="1"/>
  <c r="AW22" i="31"/>
  <c r="OP26" i="31"/>
  <c r="N24" i="31"/>
  <c r="O25" i="31" s="1"/>
  <c r="CZ24" i="31"/>
  <c r="GJ23" i="31"/>
  <c r="GP23" i="31" s="1"/>
  <c r="DA23" i="31"/>
  <c r="AU24" i="31" l="1"/>
  <c r="AV24" i="31" s="1"/>
  <c r="AW23" i="31"/>
  <c r="OP27" i="31"/>
  <c r="N25" i="31"/>
  <c r="O26" i="31" s="1"/>
  <c r="CZ25" i="31"/>
  <c r="DA24" i="31"/>
  <c r="GJ24" i="31"/>
  <c r="GP24" i="31" s="1"/>
  <c r="AU25" i="31" l="1"/>
  <c r="AV25" i="31" s="1"/>
  <c r="AW24" i="31"/>
  <c r="OP28" i="31"/>
  <c r="N26" i="31"/>
  <c r="O27" i="31" s="1"/>
  <c r="CZ26" i="31"/>
  <c r="DA25" i="31"/>
  <c r="GJ25" i="31"/>
  <c r="GP25" i="31" s="1"/>
  <c r="AU26" i="31" l="1"/>
  <c r="AV26" i="31" s="1"/>
  <c r="AW25" i="31"/>
  <c r="OP29" i="31"/>
  <c r="N27" i="31"/>
  <c r="O28" i="31" s="1"/>
  <c r="CZ27" i="31"/>
  <c r="DA26" i="31"/>
  <c r="GJ26" i="31"/>
  <c r="GP26" i="31" s="1"/>
  <c r="AU27" i="31" l="1"/>
  <c r="AV27" i="31" s="1"/>
  <c r="AW26" i="31"/>
  <c r="OP30" i="31"/>
  <c r="N28" i="31"/>
  <c r="O29" i="31" s="1"/>
  <c r="CZ28" i="31"/>
  <c r="DA27" i="31"/>
  <c r="GJ27" i="31"/>
  <c r="GP27" i="31" s="1"/>
  <c r="AU28" i="31" l="1"/>
  <c r="AV28" i="31" s="1"/>
  <c r="AW27" i="31"/>
  <c r="OP31" i="31"/>
  <c r="N29" i="31"/>
  <c r="O30" i="31" s="1"/>
  <c r="CZ29" i="31"/>
  <c r="DA28" i="31"/>
  <c r="GJ28" i="31"/>
  <c r="GP28" i="31" s="1"/>
  <c r="AU29" i="31" l="1"/>
  <c r="AV29" i="31" s="1"/>
  <c r="AW28" i="31"/>
  <c r="OP32" i="31"/>
  <c r="N30" i="31"/>
  <c r="O31" i="31" s="1"/>
  <c r="CZ30" i="31"/>
  <c r="DA29" i="31"/>
  <c r="GJ29" i="31"/>
  <c r="GP29" i="31" s="1"/>
  <c r="AU30" i="31" l="1"/>
  <c r="AV30" i="31" s="1"/>
  <c r="AW29" i="31"/>
  <c r="OP33" i="31"/>
  <c r="N31" i="31"/>
  <c r="O32" i="31" s="1"/>
  <c r="CZ31" i="31"/>
  <c r="DA30" i="31"/>
  <c r="GJ30" i="31"/>
  <c r="GP30" i="31" s="1"/>
  <c r="AU31" i="31" l="1"/>
  <c r="AV31" i="31" s="1"/>
  <c r="AW30" i="31"/>
  <c r="OP34" i="31"/>
  <c r="N32" i="31"/>
  <c r="O33" i="31" s="1"/>
  <c r="CZ32" i="31"/>
  <c r="DA31" i="31"/>
  <c r="GJ31" i="31"/>
  <c r="GP31" i="31" s="1"/>
  <c r="AU32" i="31" l="1"/>
  <c r="AV32" i="31" s="1"/>
  <c r="AW31" i="31"/>
  <c r="OP35" i="31"/>
  <c r="N33" i="31"/>
  <c r="O34" i="31" s="1"/>
  <c r="CZ33" i="31"/>
  <c r="GJ32" i="31"/>
  <c r="GP32" i="31" s="1"/>
  <c r="DA32" i="31"/>
  <c r="AU33" i="31" l="1"/>
  <c r="AV33" i="31" s="1"/>
  <c r="AW32" i="31"/>
  <c r="OP36" i="31"/>
  <c r="N34" i="31"/>
  <c r="O35" i="31" s="1"/>
  <c r="CZ34" i="31"/>
  <c r="GJ33" i="31"/>
  <c r="GP33" i="31" s="1"/>
  <c r="DA33" i="31"/>
  <c r="AU34" i="31" l="1"/>
  <c r="AV34" i="31" s="1"/>
  <c r="AW33" i="31"/>
  <c r="OP37" i="31"/>
  <c r="N35" i="31"/>
  <c r="O36" i="31" s="1"/>
  <c r="CZ35" i="31"/>
  <c r="DA34" i="31"/>
  <c r="GJ34" i="31"/>
  <c r="GP34" i="31" s="1"/>
  <c r="AU35" i="31" l="1"/>
  <c r="AV35" i="31" s="1"/>
  <c r="AW34" i="31"/>
  <c r="OP38" i="31"/>
  <c r="N36" i="31"/>
  <c r="O37" i="31" s="1"/>
  <c r="CZ36" i="31"/>
  <c r="GJ35" i="31"/>
  <c r="GP35" i="31" s="1"/>
  <c r="DA35" i="31"/>
  <c r="AU36" i="31" l="1"/>
  <c r="AV36" i="31" s="1"/>
  <c r="AW35" i="31"/>
  <c r="OP39" i="31"/>
  <c r="N37" i="31"/>
  <c r="O38" i="31" s="1"/>
  <c r="CZ37" i="31"/>
  <c r="GJ36" i="31"/>
  <c r="GP36" i="31" s="1"/>
  <c r="DA36" i="31"/>
  <c r="AU37" i="31" l="1"/>
  <c r="AV37" i="31" s="1"/>
  <c r="AW36" i="31"/>
  <c r="OP40" i="31"/>
  <c r="N38" i="31"/>
  <c r="O39" i="31" s="1"/>
  <c r="CZ38" i="31"/>
  <c r="GJ37" i="31"/>
  <c r="GP37" i="31" s="1"/>
  <c r="DA37" i="31"/>
  <c r="AU38" i="31" l="1"/>
  <c r="AV38" i="31" s="1"/>
  <c r="AW37" i="31"/>
  <c r="OP41" i="31"/>
  <c r="N39" i="31"/>
  <c r="O40" i="31" s="1"/>
  <c r="CZ39" i="31"/>
  <c r="DA38" i="31"/>
  <c r="GJ38" i="31"/>
  <c r="GP38" i="31" s="1"/>
  <c r="AU39" i="31" l="1"/>
  <c r="AV39" i="31" s="1"/>
  <c r="AW38" i="31"/>
  <c r="OP42" i="31"/>
  <c r="N40" i="31"/>
  <c r="O41" i="31" s="1"/>
  <c r="CZ40" i="31"/>
  <c r="DA39" i="31"/>
  <c r="GJ39" i="31"/>
  <c r="GP39" i="31" s="1"/>
  <c r="AU40" i="31" l="1"/>
  <c r="AV40" i="31" s="1"/>
  <c r="AW39" i="31"/>
  <c r="OP43" i="31"/>
  <c r="N41" i="31"/>
  <c r="O42" i="31" s="1"/>
  <c r="CZ41" i="31"/>
  <c r="GJ40" i="31"/>
  <c r="GP40" i="31" s="1"/>
  <c r="DA40" i="31"/>
  <c r="AU41" i="31" l="1"/>
  <c r="AV41" i="31" s="1"/>
  <c r="AW40" i="31"/>
  <c r="OP44" i="31"/>
  <c r="N42" i="31"/>
  <c r="O43" i="31" s="1"/>
  <c r="CZ42" i="31"/>
  <c r="DA41" i="31"/>
  <c r="GJ41" i="31"/>
  <c r="GP41" i="31" s="1"/>
  <c r="AU42" i="31" l="1"/>
  <c r="AV42" i="31" s="1"/>
  <c r="AW41" i="31"/>
  <c r="OP45" i="31"/>
  <c r="N43" i="31"/>
  <c r="O44" i="31" s="1"/>
  <c r="CZ43" i="31"/>
  <c r="DA42" i="31"/>
  <c r="GJ42" i="31"/>
  <c r="GP42" i="31" s="1"/>
  <c r="AU43" i="31" l="1"/>
  <c r="AV43" i="31" s="1"/>
  <c r="AW42" i="31"/>
  <c r="OP46" i="31"/>
  <c r="N44" i="31"/>
  <c r="O45" i="31" s="1"/>
  <c r="CZ44" i="31"/>
  <c r="DA43" i="31"/>
  <c r="GJ43" i="31"/>
  <c r="GP43" i="31" s="1"/>
  <c r="AU44" i="31" l="1"/>
  <c r="AV44" i="31" s="1"/>
  <c r="AW43" i="31"/>
  <c r="OP47" i="31"/>
  <c r="N45" i="31"/>
  <c r="O46" i="31" s="1"/>
  <c r="CZ45" i="31"/>
  <c r="DA44" i="31"/>
  <c r="GJ44" i="31"/>
  <c r="GP44" i="31" s="1"/>
  <c r="AU45" i="31" l="1"/>
  <c r="AV45" i="31" s="1"/>
  <c r="AW44" i="31"/>
  <c r="OP48" i="31"/>
  <c r="N46" i="31"/>
  <c r="O47" i="31" s="1"/>
  <c r="CZ46" i="31"/>
  <c r="DA45" i="31"/>
  <c r="GJ45" i="31"/>
  <c r="GP45" i="31" s="1"/>
  <c r="AU46" i="31" l="1"/>
  <c r="AV46" i="31" s="1"/>
  <c r="AW45" i="31"/>
  <c r="OP49" i="31"/>
  <c r="N47" i="31"/>
  <c r="O48" i="31" s="1"/>
  <c r="CZ47" i="31"/>
  <c r="DA46" i="31"/>
  <c r="GJ46" i="31"/>
  <c r="GP46" i="31" s="1"/>
  <c r="AU47" i="31" l="1"/>
  <c r="AV47" i="31" s="1"/>
  <c r="AW46" i="31"/>
  <c r="OP50" i="31"/>
  <c r="N48" i="31"/>
  <c r="O49" i="31" s="1"/>
  <c r="CZ48" i="31"/>
  <c r="DA47" i="31"/>
  <c r="GJ47" i="31"/>
  <c r="GP47" i="31" s="1"/>
  <c r="AU48" i="31" l="1"/>
  <c r="AV48" i="31" s="1"/>
  <c r="AW47" i="31"/>
  <c r="OP51" i="31"/>
  <c r="N49" i="31"/>
  <c r="O50" i="31" s="1"/>
  <c r="CZ49" i="31"/>
  <c r="DA48" i="31"/>
  <c r="GJ48" i="31"/>
  <c r="GP48" i="31" s="1"/>
  <c r="AU49" i="31" l="1"/>
  <c r="AV49" i="31" s="1"/>
  <c r="AW48" i="31"/>
  <c r="OP52" i="31"/>
  <c r="N50" i="31"/>
  <c r="O51" i="31" s="1"/>
  <c r="CZ50" i="31"/>
  <c r="GJ49" i="31"/>
  <c r="GP49" i="31" s="1"/>
  <c r="DA49" i="31"/>
  <c r="AU50" i="31" l="1"/>
  <c r="AV50" i="31" s="1"/>
  <c r="AW49" i="31"/>
  <c r="OP53" i="31"/>
  <c r="N51" i="31"/>
  <c r="O52" i="31" s="1"/>
  <c r="CZ51" i="31"/>
  <c r="GJ50" i="31"/>
  <c r="GP50" i="31" s="1"/>
  <c r="DA50" i="31"/>
  <c r="AU51" i="31" l="1"/>
  <c r="AV51" i="31" s="1"/>
  <c r="AW50" i="31"/>
  <c r="OP54" i="31"/>
  <c r="N52" i="31"/>
  <c r="O53" i="31" s="1"/>
  <c r="CZ52" i="31"/>
  <c r="DA51" i="31"/>
  <c r="GJ51" i="31"/>
  <c r="GP51" i="31" s="1"/>
  <c r="AU52" i="31" l="1"/>
  <c r="AV52" i="31" s="1"/>
  <c r="AW51" i="31"/>
  <c r="OP55" i="31"/>
  <c r="N53" i="31"/>
  <c r="O54" i="31" s="1"/>
  <c r="CZ53" i="31"/>
  <c r="GJ52" i="31"/>
  <c r="GP52" i="31" s="1"/>
  <c r="DA52" i="31"/>
  <c r="AU53" i="31" l="1"/>
  <c r="AV53" i="31" s="1"/>
  <c r="AW52" i="31"/>
  <c r="OP56" i="31"/>
  <c r="N54" i="31"/>
  <c r="O55" i="31" s="1"/>
  <c r="CZ54" i="31"/>
  <c r="GJ53" i="31"/>
  <c r="GP53" i="31" s="1"/>
  <c r="DA53" i="31"/>
  <c r="AU54" i="31" l="1"/>
  <c r="AV54" i="31" s="1"/>
  <c r="AW53" i="31"/>
  <c r="OP57" i="31"/>
  <c r="N55" i="31"/>
  <c r="O56" i="31" s="1"/>
  <c r="CZ55" i="31"/>
  <c r="GJ54" i="31"/>
  <c r="GP54" i="31" s="1"/>
  <c r="DA54" i="31"/>
  <c r="AU55" i="31" l="1"/>
  <c r="AV55" i="31" s="1"/>
  <c r="AW54" i="31"/>
  <c r="OP58" i="31"/>
  <c r="N56" i="31"/>
  <c r="O57" i="31" s="1"/>
  <c r="CZ56" i="31"/>
  <c r="DA55" i="31"/>
  <c r="GJ55" i="31"/>
  <c r="GP55" i="31" s="1"/>
  <c r="AU56" i="31" l="1"/>
  <c r="AV56" i="31" s="1"/>
  <c r="AW55" i="31"/>
  <c r="OP59" i="31"/>
  <c r="N57" i="31"/>
  <c r="O58" i="31" s="1"/>
  <c r="CZ57" i="31"/>
  <c r="DA56" i="31"/>
  <c r="GJ56" i="31"/>
  <c r="GP56" i="31" s="1"/>
  <c r="AU57" i="31" l="1"/>
  <c r="AV57" i="31" s="1"/>
  <c r="AW56" i="31"/>
  <c r="OP60" i="31"/>
  <c r="N58" i="31"/>
  <c r="O59" i="31" s="1"/>
  <c r="CZ58" i="31"/>
  <c r="DA57" i="31"/>
  <c r="GJ57" i="31"/>
  <c r="GP57" i="31" s="1"/>
  <c r="AU58" i="31" l="1"/>
  <c r="AV58" i="31" s="1"/>
  <c r="AW57" i="31"/>
  <c r="OP61" i="31"/>
  <c r="N59" i="31"/>
  <c r="O60" i="31" s="1"/>
  <c r="CZ59" i="31"/>
  <c r="DA58" i="31"/>
  <c r="GJ58" i="31"/>
  <c r="GP58" i="31" s="1"/>
  <c r="AU59" i="31" l="1"/>
  <c r="AV59" i="31" s="1"/>
  <c r="AW58" i="31"/>
  <c r="OP62" i="31"/>
  <c r="N60" i="31"/>
  <c r="O61" i="31" s="1"/>
  <c r="CZ60" i="31"/>
  <c r="DA59" i="31"/>
  <c r="GJ59" i="31"/>
  <c r="GP59" i="31" s="1"/>
  <c r="AU60" i="31" l="1"/>
  <c r="AV60" i="31" s="1"/>
  <c r="AW59" i="31"/>
  <c r="OP63" i="31"/>
  <c r="N61" i="31"/>
  <c r="O62" i="31" s="1"/>
  <c r="CZ61" i="31"/>
  <c r="GJ60" i="31"/>
  <c r="GP60" i="31" s="1"/>
  <c r="DA60" i="31"/>
  <c r="AU61" i="31" l="1"/>
  <c r="AV61" i="31" s="1"/>
  <c r="AW60" i="31"/>
  <c r="OP64" i="31"/>
  <c r="N62" i="31"/>
  <c r="O63" i="31" s="1"/>
  <c r="CZ62" i="31"/>
  <c r="DA61" i="31"/>
  <c r="GJ61" i="31"/>
  <c r="GP61" i="31" s="1"/>
  <c r="AU62" i="31" l="1"/>
  <c r="AV62" i="31" s="1"/>
  <c r="AW61" i="31"/>
  <c r="OP65" i="31"/>
  <c r="N63" i="31"/>
  <c r="O64" i="31" s="1"/>
  <c r="CZ63" i="31"/>
  <c r="DA62" i="31"/>
  <c r="GJ62" i="31"/>
  <c r="GP62" i="31" s="1"/>
  <c r="AU63" i="31" l="1"/>
  <c r="AV63" i="31" s="1"/>
  <c r="AW62" i="31"/>
  <c r="OP66" i="31"/>
  <c r="N64" i="31"/>
  <c r="O65" i="31" s="1"/>
  <c r="CZ64" i="31"/>
  <c r="GJ63" i="31"/>
  <c r="GP63" i="31" s="1"/>
  <c r="DA63" i="31"/>
  <c r="AU64" i="31" l="1"/>
  <c r="AV64" i="31" s="1"/>
  <c r="AW63" i="31"/>
  <c r="OP67" i="31"/>
  <c r="N65" i="31"/>
  <c r="O66" i="31" s="1"/>
  <c r="CZ65" i="31"/>
  <c r="DA64" i="31"/>
  <c r="GJ64" i="31"/>
  <c r="GP64" i="31" s="1"/>
  <c r="AU65" i="31" l="1"/>
  <c r="AV65" i="31" s="1"/>
  <c r="AW64" i="31"/>
  <c r="OP68" i="31"/>
  <c r="N66" i="31"/>
  <c r="O67" i="31" s="1"/>
  <c r="CZ66" i="31"/>
  <c r="DA65" i="31"/>
  <c r="GJ65" i="31"/>
  <c r="GP65" i="31" s="1"/>
  <c r="AU66" i="31" l="1"/>
  <c r="AV66" i="31" s="1"/>
  <c r="AW65" i="31"/>
  <c r="OP69" i="31"/>
  <c r="N67" i="31"/>
  <c r="O68" i="31" s="1"/>
  <c r="CZ67" i="31"/>
  <c r="GJ66" i="31"/>
  <c r="GP66" i="31" s="1"/>
  <c r="DA66" i="31"/>
  <c r="AU67" i="31" l="1"/>
  <c r="AV67" i="31" s="1"/>
  <c r="AW66" i="31"/>
  <c r="OP70" i="31"/>
  <c r="N68" i="31"/>
  <c r="O69" i="31" s="1"/>
  <c r="CZ68" i="31"/>
  <c r="GJ67" i="31"/>
  <c r="GP67" i="31" s="1"/>
  <c r="DA67" i="31"/>
  <c r="AU68" i="31" l="1"/>
  <c r="AV68" i="31" s="1"/>
  <c r="AW67" i="31"/>
  <c r="OP71" i="31"/>
  <c r="N69" i="31"/>
  <c r="O70" i="31" s="1"/>
  <c r="CZ69" i="31"/>
  <c r="GJ68" i="31"/>
  <c r="GP68" i="31" s="1"/>
  <c r="DA68" i="31"/>
  <c r="AU69" i="31" l="1"/>
  <c r="AV69" i="31" s="1"/>
  <c r="AW68" i="31"/>
  <c r="OP72" i="31"/>
  <c r="N70" i="31"/>
  <c r="O71" i="31" s="1"/>
  <c r="CZ70" i="31"/>
  <c r="GJ69" i="31"/>
  <c r="GP69" i="31" s="1"/>
  <c r="DA69" i="31"/>
  <c r="AU70" i="31" l="1"/>
  <c r="AV70" i="31" s="1"/>
  <c r="AW69" i="31"/>
  <c r="OP73" i="31"/>
  <c r="N71" i="31"/>
  <c r="O72" i="31" s="1"/>
  <c r="CZ71" i="31"/>
  <c r="GJ70" i="31"/>
  <c r="GP70" i="31" s="1"/>
  <c r="DA70" i="31"/>
  <c r="AU71" i="31" l="1"/>
  <c r="AV71" i="31" s="1"/>
  <c r="AW70" i="31"/>
  <c r="OP74" i="31"/>
  <c r="N72" i="31"/>
  <c r="O73" i="31" s="1"/>
  <c r="CZ72" i="31"/>
  <c r="DA71" i="31"/>
  <c r="GJ71" i="31"/>
  <c r="GP71" i="31" s="1"/>
  <c r="AU72" i="31" l="1"/>
  <c r="AV72" i="31" s="1"/>
  <c r="AW71" i="31"/>
  <c r="OP75" i="31"/>
  <c r="N73" i="31"/>
  <c r="O74" i="31" s="1"/>
  <c r="CZ73" i="31"/>
  <c r="DA72" i="31"/>
  <c r="GJ72" i="31"/>
  <c r="GP72" i="31" s="1"/>
  <c r="AU73" i="31" l="1"/>
  <c r="AV73" i="31" s="1"/>
  <c r="AW72" i="31"/>
  <c r="OP76" i="31"/>
  <c r="N74" i="31"/>
  <c r="O75" i="31" s="1"/>
  <c r="CZ74" i="31"/>
  <c r="DA73" i="31"/>
  <c r="GJ73" i="31"/>
  <c r="GP73" i="31" s="1"/>
  <c r="AU74" i="31" l="1"/>
  <c r="AV74" i="31" s="1"/>
  <c r="AW73" i="31"/>
  <c r="OP77" i="31"/>
  <c r="N75" i="31"/>
  <c r="O76" i="31" s="1"/>
  <c r="CZ75" i="31"/>
  <c r="GJ74" i="31"/>
  <c r="GP74" i="31" s="1"/>
  <c r="DA74" i="31"/>
  <c r="AU75" i="31" l="1"/>
  <c r="AV75" i="31" s="1"/>
  <c r="AW74" i="31"/>
  <c r="OP78" i="31"/>
  <c r="N76" i="31"/>
  <c r="O77" i="31" s="1"/>
  <c r="CZ76" i="31"/>
  <c r="GJ75" i="31"/>
  <c r="GP75" i="31" s="1"/>
  <c r="DA75" i="31"/>
  <c r="AU76" i="31" l="1"/>
  <c r="AV76" i="31" s="1"/>
  <c r="AW75" i="31"/>
  <c r="OP79" i="31"/>
  <c r="N77" i="31"/>
  <c r="O78" i="31" s="1"/>
  <c r="CZ77" i="31"/>
  <c r="DA76" i="31"/>
  <c r="GJ76" i="31"/>
  <c r="GP76" i="31" s="1"/>
  <c r="AU77" i="31" l="1"/>
  <c r="AV77" i="31" s="1"/>
  <c r="AW76" i="31"/>
  <c r="OP80" i="31"/>
  <c r="N78" i="31"/>
  <c r="O79" i="31" s="1"/>
  <c r="CZ78" i="31"/>
  <c r="GJ77" i="31"/>
  <c r="GP77" i="31" s="1"/>
  <c r="DA77" i="31"/>
  <c r="AU78" i="31" l="1"/>
  <c r="AV78" i="31" s="1"/>
  <c r="AW77" i="31"/>
  <c r="OP81" i="31"/>
  <c r="N79" i="31"/>
  <c r="O80" i="31" s="1"/>
  <c r="CZ79" i="31"/>
  <c r="GJ78" i="31"/>
  <c r="GP78" i="31" s="1"/>
  <c r="DA78" i="31"/>
  <c r="AU79" i="31" l="1"/>
  <c r="AV79" i="31" s="1"/>
  <c r="AW78" i="31"/>
  <c r="OP82" i="31"/>
  <c r="N80" i="31"/>
  <c r="O81" i="31" s="1"/>
  <c r="CZ80" i="31"/>
  <c r="DA79" i="31"/>
  <c r="GJ79" i="31"/>
  <c r="GP79" i="31" s="1"/>
  <c r="AU80" i="31" l="1"/>
  <c r="AV80" i="31" s="1"/>
  <c r="AW79" i="31"/>
  <c r="OP83" i="31"/>
  <c r="N81" i="31"/>
  <c r="O82" i="31" s="1"/>
  <c r="CZ81" i="31"/>
  <c r="GJ80" i="31"/>
  <c r="GP80" i="31" s="1"/>
  <c r="DA80" i="31"/>
  <c r="AU81" i="31" l="1"/>
  <c r="AV81" i="31" s="1"/>
  <c r="AW80" i="31"/>
  <c r="OP84" i="31"/>
  <c r="N82" i="31"/>
  <c r="O83" i="31" s="1"/>
  <c r="CZ82" i="31"/>
  <c r="DA81" i="31"/>
  <c r="GJ81" i="31"/>
  <c r="GP81" i="31" s="1"/>
  <c r="AU82" i="31" l="1"/>
  <c r="AV82" i="31" s="1"/>
  <c r="AW81" i="31"/>
  <c r="OP85" i="31"/>
  <c r="N83" i="31"/>
  <c r="O84" i="31" s="1"/>
  <c r="CZ83" i="31"/>
  <c r="GJ82" i="31"/>
  <c r="GP82" i="31" s="1"/>
  <c r="DA82" i="31"/>
  <c r="AU83" i="31" l="1"/>
  <c r="AV83" i="31" s="1"/>
  <c r="AW82" i="31"/>
  <c r="OP86" i="31"/>
  <c r="N84" i="31"/>
  <c r="O85" i="31" s="1"/>
  <c r="CZ84" i="31"/>
  <c r="GJ83" i="31"/>
  <c r="GP83" i="31" s="1"/>
  <c r="DA83" i="31"/>
  <c r="AU84" i="31" l="1"/>
  <c r="AV84" i="31" s="1"/>
  <c r="AW83" i="31"/>
  <c r="OP87" i="31"/>
  <c r="N85" i="31"/>
  <c r="O86" i="31" s="1"/>
  <c r="CZ85" i="31"/>
  <c r="DA84" i="31"/>
  <c r="GJ84" i="31"/>
  <c r="GP84" i="31" s="1"/>
  <c r="AU85" i="31" l="1"/>
  <c r="AV85" i="31" s="1"/>
  <c r="AW84" i="31"/>
  <c r="OP88" i="31"/>
  <c r="N86" i="31"/>
  <c r="O87" i="31" s="1"/>
  <c r="CZ86" i="31"/>
  <c r="DA85" i="31"/>
  <c r="GJ85" i="31"/>
  <c r="GP85" i="31" s="1"/>
  <c r="AU86" i="31" l="1"/>
  <c r="AV86" i="31" s="1"/>
  <c r="AW85" i="31"/>
  <c r="OP89" i="31"/>
  <c r="N87" i="31"/>
  <c r="O88" i="31" s="1"/>
  <c r="CZ87" i="31"/>
  <c r="GJ86" i="31"/>
  <c r="GP86" i="31" s="1"/>
  <c r="DA86" i="31"/>
  <c r="AU87" i="31" l="1"/>
  <c r="AV87" i="31" s="1"/>
  <c r="AW86" i="31"/>
  <c r="OP90" i="31"/>
  <c r="N88" i="31"/>
  <c r="O89" i="31" s="1"/>
  <c r="CZ88" i="31"/>
  <c r="DA87" i="31"/>
  <c r="GJ87" i="31"/>
  <c r="GP87" i="31" s="1"/>
  <c r="AU88" i="31" l="1"/>
  <c r="AV88" i="31" s="1"/>
  <c r="AW87" i="31"/>
  <c r="OP91" i="31"/>
  <c r="N89" i="31"/>
  <c r="O90" i="31" s="1"/>
  <c r="CZ89" i="31"/>
  <c r="GJ88" i="31"/>
  <c r="GP88" i="31" s="1"/>
  <c r="DA88" i="31"/>
  <c r="AU89" i="31" l="1"/>
  <c r="AV89" i="31" s="1"/>
  <c r="AW88" i="31"/>
  <c r="OP92" i="31"/>
  <c r="N90" i="31"/>
  <c r="O91" i="31" s="1"/>
  <c r="CZ90" i="31"/>
  <c r="GJ89" i="31"/>
  <c r="GP89" i="31" s="1"/>
  <c r="DA89" i="31"/>
  <c r="AU90" i="31" l="1"/>
  <c r="AV90" i="31" s="1"/>
  <c r="AW89" i="31"/>
  <c r="OP93" i="31"/>
  <c r="N91" i="31"/>
  <c r="O92" i="31" s="1"/>
  <c r="CZ91" i="31"/>
  <c r="GJ90" i="31"/>
  <c r="GP90" i="31" s="1"/>
  <c r="DA90" i="31"/>
  <c r="AU91" i="31" l="1"/>
  <c r="AV91" i="31" s="1"/>
  <c r="AW90" i="31"/>
  <c r="OP94" i="31"/>
  <c r="N92" i="31"/>
  <c r="O93" i="31" s="1"/>
  <c r="CZ92" i="31"/>
  <c r="GJ91" i="31"/>
  <c r="GP91" i="31" s="1"/>
  <c r="DA91" i="31"/>
  <c r="AU92" i="31" l="1"/>
  <c r="AV92" i="31" s="1"/>
  <c r="AW91" i="31"/>
  <c r="OP95" i="31"/>
  <c r="N93" i="31"/>
  <c r="O94" i="31" s="1"/>
  <c r="CZ93" i="31"/>
  <c r="DA92" i="31"/>
  <c r="GJ92" i="31"/>
  <c r="GP92" i="31" s="1"/>
  <c r="AU93" i="31" l="1"/>
  <c r="AV93" i="31" s="1"/>
  <c r="AW92" i="31"/>
  <c r="OP96" i="31"/>
  <c r="N94" i="31"/>
  <c r="O95" i="31" s="1"/>
  <c r="CZ94" i="31"/>
  <c r="DA93" i="31"/>
  <c r="GJ93" i="31"/>
  <c r="GP93" i="31" s="1"/>
  <c r="AU94" i="31" l="1"/>
  <c r="AV94" i="31" s="1"/>
  <c r="AW93" i="31"/>
  <c r="OP97" i="31"/>
  <c r="N95" i="31"/>
  <c r="O96" i="31" s="1"/>
  <c r="CZ95" i="31"/>
  <c r="GJ94" i="31"/>
  <c r="GP94" i="31" s="1"/>
  <c r="DA94" i="31"/>
  <c r="AU95" i="31" l="1"/>
  <c r="AV95" i="31" s="1"/>
  <c r="AW94" i="31"/>
  <c r="OP98" i="31"/>
  <c r="N96" i="31"/>
  <c r="O97" i="31" s="1"/>
  <c r="CZ96" i="31"/>
  <c r="GJ95" i="31"/>
  <c r="GP95" i="31" s="1"/>
  <c r="DA95" i="31"/>
  <c r="AU96" i="31" l="1"/>
  <c r="AV96" i="31" s="1"/>
  <c r="AW95" i="31"/>
  <c r="OP99" i="31"/>
  <c r="N97" i="31"/>
  <c r="O98" i="31" s="1"/>
  <c r="CZ97" i="31"/>
  <c r="DA96" i="31"/>
  <c r="GJ96" i="31"/>
  <c r="GP96" i="31" s="1"/>
  <c r="AU97" i="31" l="1"/>
  <c r="AV97" i="31" s="1"/>
  <c r="AW96" i="31"/>
  <c r="OP100" i="31"/>
  <c r="N98" i="31"/>
  <c r="O99" i="31" s="1"/>
  <c r="CZ98" i="31"/>
  <c r="GJ97" i="31"/>
  <c r="GP97" i="31" s="1"/>
  <c r="DA97" i="31"/>
  <c r="AU98" i="31" l="1"/>
  <c r="AV98" i="31" s="1"/>
  <c r="AW97" i="31"/>
  <c r="OP101" i="31"/>
  <c r="N99" i="31"/>
  <c r="O100" i="31" s="1"/>
  <c r="CZ99" i="31"/>
  <c r="DA98" i="31"/>
  <c r="GJ98" i="31"/>
  <c r="GP98" i="31" s="1"/>
  <c r="AU99" i="31" l="1"/>
  <c r="AV99" i="31" s="1"/>
  <c r="AW98" i="31"/>
  <c r="OP102" i="31"/>
  <c r="N100" i="31"/>
  <c r="O101" i="31" s="1"/>
  <c r="CZ100" i="31"/>
  <c r="GJ99" i="31"/>
  <c r="GP99" i="31" s="1"/>
  <c r="DA99" i="31"/>
  <c r="AU100" i="31" l="1"/>
  <c r="AV100" i="31" s="1"/>
  <c r="AW99" i="31"/>
  <c r="OP103" i="31"/>
  <c r="N101" i="31"/>
  <c r="O102" i="31" s="1"/>
  <c r="CZ101" i="31"/>
  <c r="DA100" i="31"/>
  <c r="GJ100" i="31"/>
  <c r="GP100" i="31" s="1"/>
  <c r="AU101" i="31" l="1"/>
  <c r="AV101" i="31" s="1"/>
  <c r="AW100" i="31"/>
  <c r="OP104" i="31"/>
  <c r="N102" i="31"/>
  <c r="O103" i="31" s="1"/>
  <c r="CZ102" i="31"/>
  <c r="DA101" i="31"/>
  <c r="GJ101" i="31"/>
  <c r="GP101" i="31" s="1"/>
  <c r="AU102" i="31" l="1"/>
  <c r="AV102" i="31" s="1"/>
  <c r="AW101" i="31"/>
  <c r="OP105" i="31"/>
  <c r="N103" i="31"/>
  <c r="O104" i="31" s="1"/>
  <c r="CZ103" i="31"/>
  <c r="GJ102" i="31"/>
  <c r="GP102" i="31" s="1"/>
  <c r="DA102" i="31"/>
  <c r="AU103" i="31" l="1"/>
  <c r="AV103" i="31" s="1"/>
  <c r="AW102" i="31"/>
  <c r="OP106" i="31"/>
  <c r="N104" i="31"/>
  <c r="O105" i="31" s="1"/>
  <c r="CZ104" i="31"/>
  <c r="DA103" i="31"/>
  <c r="GJ103" i="31"/>
  <c r="GP103" i="31" s="1"/>
  <c r="AU104" i="31" l="1"/>
  <c r="AV104" i="31" s="1"/>
  <c r="AW103" i="31"/>
  <c r="OP107" i="31"/>
  <c r="N105" i="31"/>
  <c r="O106" i="31" s="1"/>
  <c r="CZ105" i="31"/>
  <c r="GJ104" i="31"/>
  <c r="GP104" i="31" s="1"/>
  <c r="DA104" i="31"/>
  <c r="AU105" i="31" l="1"/>
  <c r="AV105" i="31" s="1"/>
  <c r="AW104" i="31"/>
  <c r="OP108" i="31"/>
  <c r="N106" i="31"/>
  <c r="O107" i="31" s="1"/>
  <c r="CZ106" i="31"/>
  <c r="DA105" i="31"/>
  <c r="GJ105" i="31"/>
  <c r="GP105" i="31" s="1"/>
  <c r="AU106" i="31" l="1"/>
  <c r="AV106" i="31" s="1"/>
  <c r="AW105" i="31"/>
  <c r="OP109" i="31"/>
  <c r="N107" i="31"/>
  <c r="O108" i="31" s="1"/>
  <c r="CZ107" i="31"/>
  <c r="GJ106" i="31"/>
  <c r="GP106" i="31" s="1"/>
  <c r="DA106" i="31"/>
  <c r="AU107" i="31" l="1"/>
  <c r="AV107" i="31" s="1"/>
  <c r="AW106" i="31"/>
  <c r="OP110" i="31"/>
  <c r="N108" i="31"/>
  <c r="O109" i="31" s="1"/>
  <c r="CZ108" i="31"/>
  <c r="DA107" i="31"/>
  <c r="GJ107" i="31"/>
  <c r="GP107" i="31" s="1"/>
  <c r="AU108" i="31" l="1"/>
  <c r="AV108" i="31" s="1"/>
  <c r="AW107" i="31"/>
  <c r="OP111" i="31"/>
  <c r="N109" i="31"/>
  <c r="O110" i="31" s="1"/>
  <c r="CZ109" i="31"/>
  <c r="DA108" i="31"/>
  <c r="GJ108" i="31"/>
  <c r="GP108" i="31" s="1"/>
  <c r="AU109" i="31" l="1"/>
  <c r="AV109" i="31" s="1"/>
  <c r="AW108" i="31"/>
  <c r="OP112" i="31"/>
  <c r="N110" i="31"/>
  <c r="O111" i="31" s="1"/>
  <c r="CZ110" i="31"/>
  <c r="DA109" i="31"/>
  <c r="GJ109" i="31"/>
  <c r="GP109" i="31" s="1"/>
  <c r="AU110" i="31" l="1"/>
  <c r="AV110" i="31" s="1"/>
  <c r="AW109" i="31"/>
  <c r="OP113" i="31"/>
  <c r="N111" i="31"/>
  <c r="O112" i="31" s="1"/>
  <c r="CZ111" i="31"/>
  <c r="GJ110" i="31"/>
  <c r="GP110" i="31" s="1"/>
  <c r="DA110" i="31"/>
  <c r="AU111" i="31" l="1"/>
  <c r="AV111" i="31" s="1"/>
  <c r="AW110" i="31"/>
  <c r="OP114" i="31"/>
  <c r="N112" i="31"/>
  <c r="O113" i="31" s="1"/>
  <c r="CZ112" i="31"/>
  <c r="DA111" i="31"/>
  <c r="GJ111" i="31"/>
  <c r="GP111" i="31" s="1"/>
  <c r="AU112" i="31" l="1"/>
  <c r="AV112" i="31" s="1"/>
  <c r="AW111" i="31"/>
  <c r="OP115" i="31"/>
  <c r="N113" i="31"/>
  <c r="O114" i="31" s="1"/>
  <c r="CZ113" i="31"/>
  <c r="GJ112" i="31"/>
  <c r="GP112" i="31" s="1"/>
  <c r="DA112" i="31"/>
  <c r="AU113" i="31" l="1"/>
  <c r="AV113" i="31" s="1"/>
  <c r="AW112" i="31"/>
  <c r="OP116" i="31"/>
  <c r="N114" i="31"/>
  <c r="O115" i="31" s="1"/>
  <c r="CZ114" i="31"/>
  <c r="GJ113" i="31"/>
  <c r="GP113" i="31" s="1"/>
  <c r="DA113" i="31"/>
  <c r="AU114" i="31" l="1"/>
  <c r="AV114" i="31" s="1"/>
  <c r="AW113" i="31"/>
  <c r="OP117" i="31"/>
  <c r="N115" i="31"/>
  <c r="O116" i="31" s="1"/>
  <c r="CZ115" i="31"/>
  <c r="DA114" i="31"/>
  <c r="GJ114" i="31"/>
  <c r="GP114" i="31" s="1"/>
  <c r="AU115" i="31" l="1"/>
  <c r="AV115" i="31" s="1"/>
  <c r="AW114" i="31"/>
  <c r="OP118" i="31"/>
  <c r="N116" i="31"/>
  <c r="O117" i="31" s="1"/>
  <c r="CZ116" i="31"/>
  <c r="DA115" i="31"/>
  <c r="GJ115" i="31"/>
  <c r="GP115" i="31" s="1"/>
  <c r="AU116" i="31" l="1"/>
  <c r="AV116" i="31" s="1"/>
  <c r="AW115" i="31"/>
  <c r="OP119" i="31"/>
  <c r="N117" i="31"/>
  <c r="O118" i="31" s="1"/>
  <c r="CZ117" i="31"/>
  <c r="GJ116" i="31"/>
  <c r="GP116" i="31" s="1"/>
  <c r="DA116" i="31"/>
  <c r="AU117" i="31" l="1"/>
  <c r="AV117" i="31" s="1"/>
  <c r="AW116" i="31"/>
  <c r="OP120" i="31"/>
  <c r="N118" i="31"/>
  <c r="O119" i="31" s="1"/>
  <c r="CZ118" i="31"/>
  <c r="DA117" i="31"/>
  <c r="GJ117" i="31"/>
  <c r="GP117" i="31" s="1"/>
  <c r="AU118" i="31" l="1"/>
  <c r="AV118" i="31" s="1"/>
  <c r="AW117" i="31"/>
  <c r="OP121" i="31"/>
  <c r="N119" i="31"/>
  <c r="O120" i="31" s="1"/>
  <c r="CZ119" i="31"/>
  <c r="DA118" i="31"/>
  <c r="GJ118" i="31"/>
  <c r="GP118" i="31" s="1"/>
  <c r="AU119" i="31" l="1"/>
  <c r="AV119" i="31" s="1"/>
  <c r="AW118" i="31"/>
  <c r="OP122" i="31"/>
  <c r="N120" i="31"/>
  <c r="O121" i="31" s="1"/>
  <c r="CZ120" i="31"/>
  <c r="GJ119" i="31"/>
  <c r="GP119" i="31" s="1"/>
  <c r="DA119" i="31"/>
  <c r="AU120" i="31" l="1"/>
  <c r="AV120" i="31" s="1"/>
  <c r="AW119" i="31"/>
  <c r="OP123" i="31"/>
  <c r="N121" i="31"/>
  <c r="O122" i="31" s="1"/>
  <c r="CZ121" i="31"/>
  <c r="DA120" i="31"/>
  <c r="GJ120" i="31"/>
  <c r="GP120" i="31" s="1"/>
  <c r="AU121" i="31" l="1"/>
  <c r="AV121" i="31" s="1"/>
  <c r="AW120" i="31"/>
  <c r="OP124" i="31"/>
  <c r="N122" i="31"/>
  <c r="O123" i="31" s="1"/>
  <c r="CZ122" i="31"/>
  <c r="DA121" i="31"/>
  <c r="GJ121" i="31"/>
  <c r="GP121" i="31" s="1"/>
  <c r="AU122" i="31" l="1"/>
  <c r="AV122" i="31" s="1"/>
  <c r="AW121" i="31"/>
  <c r="OP125" i="31"/>
  <c r="N123" i="31"/>
  <c r="O124" i="31" s="1"/>
  <c r="CZ123" i="31"/>
  <c r="DA122" i="31"/>
  <c r="GJ122" i="31"/>
  <c r="GP122" i="31" s="1"/>
  <c r="AU123" i="31" l="1"/>
  <c r="AV123" i="31" s="1"/>
  <c r="AW122" i="31"/>
  <c r="OP126" i="31"/>
  <c r="N124" i="31"/>
  <c r="O125" i="31" s="1"/>
  <c r="CZ124" i="31"/>
  <c r="GJ123" i="31"/>
  <c r="GP123" i="31" s="1"/>
  <c r="DA123" i="31"/>
  <c r="AU124" i="31" l="1"/>
  <c r="AV124" i="31" s="1"/>
  <c r="AW123" i="31"/>
  <c r="OP127" i="31"/>
  <c r="N125" i="31"/>
  <c r="O126" i="31" s="1"/>
  <c r="CZ125" i="31"/>
  <c r="GJ124" i="31"/>
  <c r="GP124" i="31" s="1"/>
  <c r="DA124" i="31"/>
  <c r="AU125" i="31" l="1"/>
  <c r="AV125" i="31" s="1"/>
  <c r="AW124" i="31"/>
  <c r="OP128" i="31"/>
  <c r="N126" i="31"/>
  <c r="O127" i="31" s="1"/>
  <c r="CZ126" i="31"/>
  <c r="DA125" i="31"/>
  <c r="GJ125" i="31"/>
  <c r="GP125" i="31" s="1"/>
  <c r="AU126" i="31" l="1"/>
  <c r="AV126" i="31" s="1"/>
  <c r="AW125" i="31"/>
  <c r="OP129" i="31"/>
  <c r="N127" i="31"/>
  <c r="O128" i="31" s="1"/>
  <c r="CZ127" i="31"/>
  <c r="GJ126" i="31"/>
  <c r="GP126" i="31" s="1"/>
  <c r="DA126" i="31"/>
  <c r="AU127" i="31" l="1"/>
  <c r="AV127" i="31" s="1"/>
  <c r="AW126" i="31"/>
  <c r="OP130" i="31"/>
  <c r="N128" i="31"/>
  <c r="O129" i="31" s="1"/>
  <c r="CZ128" i="31"/>
  <c r="GJ127" i="31"/>
  <c r="GP127" i="31" s="1"/>
  <c r="DA127" i="31"/>
  <c r="AU128" i="31" l="1"/>
  <c r="AV128" i="31" s="1"/>
  <c r="AW127" i="31"/>
  <c r="OP131" i="31"/>
  <c r="N129" i="31"/>
  <c r="O130" i="31" s="1"/>
  <c r="CZ129" i="31"/>
  <c r="GJ128" i="31"/>
  <c r="GP128" i="31" s="1"/>
  <c r="DA128" i="31"/>
  <c r="AU129" i="31" l="1"/>
  <c r="AV129" i="31" s="1"/>
  <c r="AW128" i="31"/>
  <c r="OP132" i="31"/>
  <c r="N130" i="31"/>
  <c r="O131" i="31" s="1"/>
  <c r="CZ130" i="31"/>
  <c r="GJ129" i="31"/>
  <c r="GP129" i="31" s="1"/>
  <c r="DA129" i="31"/>
  <c r="AU130" i="31" l="1"/>
  <c r="AV130" i="31" s="1"/>
  <c r="AW129" i="31"/>
  <c r="OP133" i="31"/>
  <c r="N131" i="31"/>
  <c r="O132" i="31" s="1"/>
  <c r="CZ131" i="31"/>
  <c r="GJ130" i="31"/>
  <c r="GP130" i="31" s="1"/>
  <c r="DA130" i="31"/>
  <c r="AU131" i="31" l="1"/>
  <c r="AV131" i="31" s="1"/>
  <c r="AW130" i="31"/>
  <c r="OP134" i="31"/>
  <c r="N132" i="31"/>
  <c r="O133" i="31" s="1"/>
  <c r="CZ132" i="31"/>
  <c r="DA131" i="31"/>
  <c r="GJ131" i="31"/>
  <c r="GP131" i="31" s="1"/>
  <c r="AU132" i="31" l="1"/>
  <c r="AV132" i="31" s="1"/>
  <c r="AW131" i="31"/>
  <c r="OP135" i="31"/>
  <c r="N133" i="31"/>
  <c r="O134" i="31" s="1"/>
  <c r="CZ133" i="31"/>
  <c r="DA132" i="31"/>
  <c r="GJ132" i="31"/>
  <c r="GP132" i="31" s="1"/>
  <c r="AU133" i="31" l="1"/>
  <c r="AV133" i="31" s="1"/>
  <c r="AW132" i="31"/>
  <c r="OP136" i="31"/>
  <c r="N134" i="31"/>
  <c r="O135" i="31" s="1"/>
  <c r="CZ134" i="31"/>
  <c r="GJ133" i="31"/>
  <c r="GP133" i="31" s="1"/>
  <c r="DA133" i="31"/>
  <c r="AU134" i="31" l="1"/>
  <c r="AV134" i="31" s="1"/>
  <c r="AW133" i="31"/>
  <c r="OP137" i="31"/>
  <c r="N135" i="31"/>
  <c r="O136" i="31" s="1"/>
  <c r="CZ135" i="31"/>
  <c r="GJ134" i="31"/>
  <c r="GP134" i="31" s="1"/>
  <c r="DA134" i="31"/>
  <c r="AU135" i="31" l="1"/>
  <c r="AV135" i="31" s="1"/>
  <c r="AW134" i="31"/>
  <c r="OP138" i="31"/>
  <c r="N136" i="31"/>
  <c r="O137" i="31" s="1"/>
  <c r="CZ136" i="31"/>
  <c r="GJ135" i="31"/>
  <c r="GP135" i="31" s="1"/>
  <c r="DA135" i="31"/>
  <c r="AU136" i="31" l="1"/>
  <c r="AV136" i="31" s="1"/>
  <c r="AW135" i="31"/>
  <c r="OP139" i="31"/>
  <c r="N137" i="31"/>
  <c r="O138" i="31" s="1"/>
  <c r="CZ137" i="31"/>
  <c r="DA136" i="31"/>
  <c r="GJ136" i="31"/>
  <c r="GP136" i="31" s="1"/>
  <c r="AU137" i="31" l="1"/>
  <c r="AV137" i="31" s="1"/>
  <c r="AW136" i="31"/>
  <c r="OP140" i="31"/>
  <c r="N138" i="31"/>
  <c r="O139" i="31" s="1"/>
  <c r="CZ138" i="31"/>
  <c r="GJ137" i="31"/>
  <c r="GP137" i="31" s="1"/>
  <c r="DA137" i="31"/>
  <c r="AU138" i="31" l="1"/>
  <c r="AV138" i="31" s="1"/>
  <c r="AW137" i="31"/>
  <c r="OP141" i="31"/>
  <c r="N139" i="31"/>
  <c r="O140" i="31" s="1"/>
  <c r="CZ139" i="31"/>
  <c r="GJ138" i="31"/>
  <c r="GP138" i="31" s="1"/>
  <c r="DA138" i="31"/>
  <c r="AU139" i="31" l="1"/>
  <c r="AV139" i="31" s="1"/>
  <c r="AW138" i="31"/>
  <c r="OP142" i="31"/>
  <c r="N140" i="31"/>
  <c r="O141" i="31" s="1"/>
  <c r="CZ140" i="31"/>
  <c r="DA139" i="31"/>
  <c r="GJ139" i="31"/>
  <c r="GP139" i="31" s="1"/>
  <c r="AU140" i="31" l="1"/>
  <c r="AV140" i="31" s="1"/>
  <c r="AW139" i="31"/>
  <c r="OP143" i="31"/>
  <c r="N141" i="31"/>
  <c r="O142" i="31" s="1"/>
  <c r="CZ141" i="31"/>
  <c r="DA140" i="31"/>
  <c r="GJ140" i="31"/>
  <c r="GP140" i="31" s="1"/>
  <c r="AU141" i="31" l="1"/>
  <c r="AV141" i="31" s="1"/>
  <c r="AW140" i="31"/>
  <c r="OP144" i="31"/>
  <c r="N142" i="31"/>
  <c r="O143" i="31" s="1"/>
  <c r="CZ142" i="31"/>
  <c r="GJ141" i="31"/>
  <c r="GP141" i="31" s="1"/>
  <c r="DA141" i="31"/>
  <c r="AU142" i="31" l="1"/>
  <c r="AV142" i="31" s="1"/>
  <c r="AW141" i="31"/>
  <c r="OP145" i="31"/>
  <c r="N143" i="31"/>
  <c r="O144" i="31" s="1"/>
  <c r="CZ143" i="31"/>
  <c r="GJ142" i="31"/>
  <c r="GP142" i="31" s="1"/>
  <c r="DA142" i="31"/>
  <c r="AU143" i="31" l="1"/>
  <c r="AV143" i="31" s="1"/>
  <c r="AW142" i="31"/>
  <c r="OP146" i="31"/>
  <c r="N144" i="31"/>
  <c r="O145" i="31" s="1"/>
  <c r="CZ144" i="31"/>
  <c r="DA143" i="31"/>
  <c r="GJ143" i="31"/>
  <c r="GP143" i="31" s="1"/>
  <c r="AU144" i="31" l="1"/>
  <c r="AV144" i="31" s="1"/>
  <c r="AW143" i="31"/>
  <c r="OP147" i="31"/>
  <c r="N145" i="31"/>
  <c r="O146" i="31" s="1"/>
  <c r="CZ145" i="31"/>
  <c r="DA144" i="31"/>
  <c r="GJ144" i="31"/>
  <c r="GP144" i="31" s="1"/>
  <c r="AU145" i="31" l="1"/>
  <c r="AV145" i="31" s="1"/>
  <c r="AW144" i="31"/>
  <c r="OP148" i="31"/>
  <c r="N146" i="31"/>
  <c r="O147" i="31" s="1"/>
  <c r="CZ146" i="31"/>
  <c r="GJ145" i="31"/>
  <c r="GP145" i="31" s="1"/>
  <c r="DA145" i="31"/>
  <c r="AU146" i="31" l="1"/>
  <c r="AV146" i="31" s="1"/>
  <c r="AW145" i="31"/>
  <c r="OP149" i="31"/>
  <c r="N147" i="31"/>
  <c r="O148" i="31" s="1"/>
  <c r="CZ147" i="31"/>
  <c r="GJ146" i="31"/>
  <c r="GP146" i="31" s="1"/>
  <c r="DA146" i="31"/>
  <c r="AU147" i="31" l="1"/>
  <c r="AV147" i="31" s="1"/>
  <c r="AW146" i="31"/>
  <c r="OP150" i="31"/>
  <c r="N148" i="31"/>
  <c r="O149" i="31" s="1"/>
  <c r="CZ148" i="31"/>
  <c r="GJ147" i="31"/>
  <c r="GP147" i="31" s="1"/>
  <c r="DA147" i="31"/>
  <c r="AU148" i="31" l="1"/>
  <c r="AV148" i="31" s="1"/>
  <c r="AW147" i="31"/>
  <c r="OP151" i="31"/>
  <c r="N149" i="31"/>
  <c r="O150" i="31" s="1"/>
  <c r="CZ149" i="31"/>
  <c r="DA148" i="31"/>
  <c r="GJ148" i="31"/>
  <c r="GP148" i="31" s="1"/>
  <c r="AU149" i="31" l="1"/>
  <c r="AV149" i="31" s="1"/>
  <c r="AW148" i="31"/>
  <c r="OP152" i="31"/>
  <c r="N150" i="31"/>
  <c r="O151" i="31" s="1"/>
  <c r="CZ150" i="31"/>
  <c r="GJ149" i="31"/>
  <c r="GP149" i="31" s="1"/>
  <c r="DA149" i="31"/>
  <c r="AU150" i="31" l="1"/>
  <c r="AV150" i="31" s="1"/>
  <c r="AW149" i="31"/>
  <c r="OP153" i="31"/>
  <c r="N151" i="31"/>
  <c r="O152" i="31" s="1"/>
  <c r="CZ151" i="31"/>
  <c r="DA150" i="31"/>
  <c r="GJ150" i="31"/>
  <c r="GP150" i="31" s="1"/>
  <c r="AU151" i="31" l="1"/>
  <c r="AV151" i="31" s="1"/>
  <c r="AW150" i="31"/>
  <c r="OP154" i="31"/>
  <c r="N152" i="31"/>
  <c r="O153" i="31" s="1"/>
  <c r="CZ152" i="31"/>
  <c r="GJ151" i="31"/>
  <c r="GP151" i="31" s="1"/>
  <c r="DA151" i="31"/>
  <c r="AU152" i="31" l="1"/>
  <c r="AV152" i="31" s="1"/>
  <c r="AW151" i="31"/>
  <c r="OP155" i="31"/>
  <c r="N153" i="31"/>
  <c r="O154" i="31" s="1"/>
  <c r="CZ153" i="31"/>
  <c r="GJ152" i="31"/>
  <c r="GP152" i="31" s="1"/>
  <c r="DA152" i="31"/>
  <c r="AU153" i="31" l="1"/>
  <c r="AV153" i="31" s="1"/>
  <c r="AW152" i="31"/>
  <c r="OP156" i="31"/>
  <c r="N154" i="31"/>
  <c r="O155" i="31" s="1"/>
  <c r="CZ154" i="31"/>
  <c r="DA153" i="31"/>
  <c r="GJ153" i="31"/>
  <c r="GP153" i="31" s="1"/>
  <c r="AU154" i="31" l="1"/>
  <c r="AV154" i="31" s="1"/>
  <c r="AW153" i="31"/>
  <c r="OP157" i="31"/>
  <c r="N155" i="31"/>
  <c r="O156" i="31" s="1"/>
  <c r="CZ155" i="31"/>
  <c r="DA154" i="31"/>
  <c r="GJ154" i="31"/>
  <c r="GP154" i="31" s="1"/>
  <c r="AU155" i="31" l="1"/>
  <c r="AV155" i="31" s="1"/>
  <c r="AW154" i="31"/>
  <c r="OP158" i="31"/>
  <c r="N156" i="31"/>
  <c r="O157" i="31" s="1"/>
  <c r="CZ156" i="31"/>
  <c r="GJ155" i="31"/>
  <c r="GP155" i="31" s="1"/>
  <c r="DA155" i="31"/>
  <c r="AU156" i="31" l="1"/>
  <c r="AV156" i="31" s="1"/>
  <c r="AW155" i="31"/>
  <c r="OP159" i="31"/>
  <c r="N157" i="31"/>
  <c r="O158" i="31" s="1"/>
  <c r="CZ157" i="31"/>
  <c r="DA156" i="31"/>
  <c r="GJ156" i="31"/>
  <c r="GP156" i="31" s="1"/>
  <c r="AU157" i="31" l="1"/>
  <c r="AV157" i="31" s="1"/>
  <c r="AW156" i="31"/>
  <c r="OP160" i="31"/>
  <c r="N158" i="31"/>
  <c r="O159" i="31" s="1"/>
  <c r="CZ158" i="31"/>
  <c r="GJ157" i="31"/>
  <c r="DA157" i="31"/>
  <c r="AU158" i="31" l="1"/>
  <c r="AV158" i="31" s="1"/>
  <c r="AW157" i="31"/>
  <c r="OP161" i="31"/>
  <c r="N159" i="31"/>
  <c r="O160" i="31" s="1"/>
  <c r="CZ159" i="31"/>
  <c r="DA158" i="31"/>
  <c r="GJ158" i="31"/>
  <c r="AU159" i="31" l="1"/>
  <c r="AV159" i="31" s="1"/>
  <c r="AW158" i="31"/>
  <c r="OP162" i="31"/>
  <c r="N160" i="31"/>
  <c r="O161" i="31" s="1"/>
  <c r="CZ160" i="31"/>
  <c r="DA159" i="31"/>
  <c r="GJ159" i="31"/>
  <c r="GP159" i="31" s="1"/>
  <c r="AU160" i="31" l="1"/>
  <c r="AV160" i="31" s="1"/>
  <c r="AW159" i="31"/>
  <c r="OP163" i="31"/>
  <c r="N161" i="31"/>
  <c r="O162" i="31" s="1"/>
  <c r="CZ161" i="31"/>
  <c r="GJ160" i="31"/>
  <c r="GP160" i="31" s="1"/>
  <c r="DA160" i="31"/>
  <c r="AU161" i="31" l="1"/>
  <c r="AV161" i="31" s="1"/>
  <c r="AW160" i="31"/>
  <c r="OP164" i="31"/>
  <c r="N162" i="31"/>
  <c r="O163" i="31" s="1"/>
  <c r="CZ162" i="31"/>
  <c r="DA161" i="31"/>
  <c r="GJ161" i="31"/>
  <c r="GP161" i="31" s="1"/>
  <c r="AU162" i="31" l="1"/>
  <c r="AV162" i="31" s="1"/>
  <c r="AW161" i="31"/>
  <c r="OP165" i="31"/>
  <c r="N163" i="31"/>
  <c r="O164" i="31" s="1"/>
  <c r="CZ163" i="31"/>
  <c r="DA162" i="31"/>
  <c r="GJ162" i="31"/>
  <c r="GP162" i="31" s="1"/>
  <c r="AU163" i="31" l="1"/>
  <c r="AV163" i="31" s="1"/>
  <c r="AW162" i="31"/>
  <c r="OP166" i="31"/>
  <c r="N164" i="31"/>
  <c r="O165" i="31" s="1"/>
  <c r="CZ164" i="31"/>
  <c r="DA163" i="31"/>
  <c r="GJ163" i="31"/>
  <c r="GP163" i="31" s="1"/>
  <c r="AU164" i="31" l="1"/>
  <c r="AV164" i="31" s="1"/>
  <c r="AW163" i="31"/>
  <c r="OP167" i="31"/>
  <c r="N165" i="31"/>
  <c r="O166" i="31" s="1"/>
  <c r="CZ165" i="31"/>
  <c r="GJ164" i="31"/>
  <c r="GP164" i="31" s="1"/>
  <c r="DA164" i="31"/>
  <c r="AU165" i="31" l="1"/>
  <c r="AV165" i="31" s="1"/>
  <c r="AW164" i="31"/>
  <c r="OP168" i="31"/>
  <c r="N166" i="31"/>
  <c r="O167" i="31" s="1"/>
  <c r="CZ166" i="31"/>
  <c r="DA165" i="31"/>
  <c r="GJ165" i="31"/>
  <c r="GP165" i="31" s="1"/>
  <c r="AU166" i="31" l="1"/>
  <c r="AV166" i="31" s="1"/>
  <c r="AW165" i="31"/>
  <c r="OP169" i="31"/>
  <c r="N167" i="31"/>
  <c r="O168" i="31" s="1"/>
  <c r="CZ167" i="31"/>
  <c r="DA166" i="31"/>
  <c r="GJ166" i="31"/>
  <c r="GP166" i="31" s="1"/>
  <c r="AU167" i="31" l="1"/>
  <c r="AV167" i="31" s="1"/>
  <c r="AW166" i="31"/>
  <c r="OP170" i="31"/>
  <c r="N168" i="31"/>
  <c r="O169" i="31" s="1"/>
  <c r="CZ168" i="31"/>
  <c r="DA167" i="31"/>
  <c r="GJ167" i="31"/>
  <c r="GP167" i="31" s="1"/>
  <c r="AU168" i="31" l="1"/>
  <c r="AV168" i="31" s="1"/>
  <c r="AW167" i="31"/>
  <c r="OP171" i="31"/>
  <c r="N169" i="31"/>
  <c r="O170" i="31" s="1"/>
  <c r="CZ169" i="31"/>
  <c r="GJ168" i="31"/>
  <c r="GP168" i="31" s="1"/>
  <c r="DA168" i="31"/>
  <c r="AU169" i="31" l="1"/>
  <c r="AV169" i="31" s="1"/>
  <c r="AW168" i="31"/>
  <c r="OP172" i="31"/>
  <c r="N170" i="31"/>
  <c r="O171" i="31" s="1"/>
  <c r="CZ170" i="31"/>
  <c r="DA169" i="31"/>
  <c r="GJ169" i="31"/>
  <c r="GP169" i="31" s="1"/>
  <c r="AU170" i="31" l="1"/>
  <c r="AV170" i="31" s="1"/>
  <c r="AW169" i="31"/>
  <c r="OP173" i="31"/>
  <c r="N171" i="31"/>
  <c r="O172" i="31" s="1"/>
  <c r="CZ171" i="31"/>
  <c r="GJ170" i="31"/>
  <c r="GP170" i="31" s="1"/>
  <c r="DA170" i="31"/>
  <c r="AU171" i="31" l="1"/>
  <c r="AV171" i="31" s="1"/>
  <c r="AW170" i="31"/>
  <c r="OP174" i="31"/>
  <c r="N172" i="31"/>
  <c r="O173" i="31" s="1"/>
  <c r="CZ172" i="31"/>
  <c r="DA171" i="31"/>
  <c r="GJ171" i="31"/>
  <c r="GP171" i="31" s="1"/>
  <c r="AU172" i="31" l="1"/>
  <c r="AV172" i="31" s="1"/>
  <c r="AW171" i="31"/>
  <c r="OP175" i="31"/>
  <c r="N173" i="31"/>
  <c r="O174" i="31" s="1"/>
  <c r="CZ173" i="31"/>
  <c r="GJ172" i="31"/>
  <c r="GP172" i="31" s="1"/>
  <c r="DA172" i="31"/>
  <c r="AU173" i="31" l="1"/>
  <c r="AV173" i="31" s="1"/>
  <c r="AW172" i="31"/>
  <c r="OP176" i="31"/>
  <c r="N174" i="31"/>
  <c r="O175" i="31" s="1"/>
  <c r="CZ174" i="31"/>
  <c r="GJ173" i="31"/>
  <c r="GP173" i="31" s="1"/>
  <c r="DA173" i="31"/>
  <c r="AU174" i="31" l="1"/>
  <c r="AV174" i="31" s="1"/>
  <c r="AW173" i="31"/>
  <c r="OP177" i="31"/>
  <c r="N175" i="31"/>
  <c r="O176" i="31" s="1"/>
  <c r="CZ175" i="31"/>
  <c r="GJ174" i="31"/>
  <c r="GP174" i="31" s="1"/>
  <c r="DA174" i="31"/>
  <c r="AU175" i="31" l="1"/>
  <c r="AV175" i="31" s="1"/>
  <c r="AW174" i="31"/>
  <c r="OP178" i="31"/>
  <c r="N176" i="31"/>
  <c r="O177" i="31" s="1"/>
  <c r="CZ176" i="31"/>
  <c r="GJ175" i="31"/>
  <c r="GP175" i="31" s="1"/>
  <c r="DA175" i="31"/>
  <c r="AU176" i="31" l="1"/>
  <c r="AV176" i="31" s="1"/>
  <c r="AW175" i="31"/>
  <c r="OP179" i="31"/>
  <c r="N177" i="31"/>
  <c r="O178" i="31" s="1"/>
  <c r="CZ177" i="31"/>
  <c r="DA176" i="31"/>
  <c r="GJ176" i="31"/>
  <c r="GP176" i="31" s="1"/>
  <c r="AU177" i="31" l="1"/>
  <c r="AV177" i="31" s="1"/>
  <c r="AW176" i="31"/>
  <c r="OP180" i="31"/>
  <c r="N178" i="31"/>
  <c r="O179" i="31" s="1"/>
  <c r="CZ178" i="31"/>
  <c r="DA177" i="31"/>
  <c r="GJ177" i="31"/>
  <c r="GP177" i="31" s="1"/>
  <c r="AU178" i="31" l="1"/>
  <c r="AV178" i="31" s="1"/>
  <c r="AW177" i="31"/>
  <c r="OP181" i="31"/>
  <c r="N179" i="31"/>
  <c r="O180" i="31" s="1"/>
  <c r="CZ179" i="31"/>
  <c r="DA178" i="31"/>
  <c r="GJ178" i="31"/>
  <c r="GP178" i="31" s="1"/>
  <c r="AU179" i="31" l="1"/>
  <c r="AV179" i="31" s="1"/>
  <c r="AW178" i="31"/>
  <c r="OP182" i="31"/>
  <c r="N180" i="31"/>
  <c r="O181" i="31" s="1"/>
  <c r="CZ180" i="31"/>
  <c r="DA179" i="31"/>
  <c r="GJ179" i="31"/>
  <c r="GP179" i="31" s="1"/>
  <c r="AU180" i="31" l="1"/>
  <c r="AV180" i="31" s="1"/>
  <c r="AW179" i="31"/>
  <c r="OP183" i="31"/>
  <c r="N181" i="31"/>
  <c r="O182" i="31" s="1"/>
  <c r="CZ181" i="31"/>
  <c r="GJ180" i="31"/>
  <c r="GP180" i="31" s="1"/>
  <c r="DA180" i="31"/>
  <c r="AU181" i="31" l="1"/>
  <c r="AV181" i="31" s="1"/>
  <c r="AW180" i="31"/>
  <c r="OP184" i="31"/>
  <c r="N182" i="31"/>
  <c r="O183" i="31" s="1"/>
  <c r="CZ182" i="31"/>
  <c r="DA181" i="31"/>
  <c r="GJ181" i="31"/>
  <c r="GP181" i="31" s="1"/>
  <c r="AU182" i="31" l="1"/>
  <c r="AV182" i="31" s="1"/>
  <c r="AW181" i="31"/>
  <c r="OP185" i="31"/>
  <c r="N183" i="31"/>
  <c r="O184" i="31" s="1"/>
  <c r="CZ183" i="31"/>
  <c r="DA182" i="31"/>
  <c r="GJ182" i="31"/>
  <c r="GP182" i="31" s="1"/>
  <c r="AU183" i="31" l="1"/>
  <c r="AV183" i="31" s="1"/>
  <c r="AW182" i="31"/>
  <c r="OP186" i="31"/>
  <c r="N184" i="31"/>
  <c r="O185" i="31" s="1"/>
  <c r="CZ184" i="31"/>
  <c r="DA183" i="31"/>
  <c r="GJ183" i="31"/>
  <c r="GP183" i="31" s="1"/>
  <c r="AU184" i="31" l="1"/>
  <c r="AV184" i="31" s="1"/>
  <c r="AW183" i="31"/>
  <c r="OP187" i="31"/>
  <c r="N185" i="31"/>
  <c r="O186" i="31" s="1"/>
  <c r="CZ185" i="31"/>
  <c r="DA184" i="31"/>
  <c r="GJ184" i="31"/>
  <c r="GP184" i="31" s="1"/>
  <c r="AU185" i="31" l="1"/>
  <c r="AV185" i="31" s="1"/>
  <c r="AW184" i="31"/>
  <c r="OP188" i="31"/>
  <c r="N186" i="31"/>
  <c r="O187" i="31" s="1"/>
  <c r="CZ186" i="31"/>
  <c r="GJ185" i="31"/>
  <c r="GP185" i="31" s="1"/>
  <c r="DA185" i="31"/>
  <c r="AU186" i="31" l="1"/>
  <c r="AV186" i="31" s="1"/>
  <c r="AW185" i="31"/>
  <c r="OP189" i="31"/>
  <c r="N187" i="31"/>
  <c r="O188" i="31" s="1"/>
  <c r="CZ187" i="31"/>
  <c r="GJ186" i="31"/>
  <c r="GP186" i="31" s="1"/>
  <c r="DA186" i="31"/>
  <c r="AU187" i="31" l="1"/>
  <c r="AV187" i="31" s="1"/>
  <c r="AW186" i="31"/>
  <c r="OP190" i="31"/>
  <c r="N188" i="31"/>
  <c r="O189" i="31" s="1"/>
  <c r="CZ188" i="31"/>
  <c r="GJ187" i="31"/>
  <c r="GP187" i="31" s="1"/>
  <c r="DA187" i="31"/>
  <c r="AU188" i="31" l="1"/>
  <c r="AV188" i="31" s="1"/>
  <c r="AW187" i="31"/>
  <c r="OP191" i="31"/>
  <c r="N189" i="31"/>
  <c r="O190" i="31" s="1"/>
  <c r="CZ189" i="31"/>
  <c r="GJ188" i="31"/>
  <c r="GP188" i="31" s="1"/>
  <c r="DA188" i="31"/>
  <c r="AU189" i="31" l="1"/>
  <c r="AV189" i="31" s="1"/>
  <c r="AW188" i="31"/>
  <c r="OP192" i="31"/>
  <c r="N190" i="31"/>
  <c r="O191" i="31" s="1"/>
  <c r="CZ190" i="31"/>
  <c r="GJ189" i="31"/>
  <c r="GP189" i="31" s="1"/>
  <c r="DA189" i="31"/>
  <c r="AU190" i="31" l="1"/>
  <c r="AV190" i="31" s="1"/>
  <c r="AW189" i="31"/>
  <c r="OP193" i="31"/>
  <c r="N191" i="31"/>
  <c r="O192" i="31" s="1"/>
  <c r="CZ191" i="31"/>
  <c r="GJ190" i="31"/>
  <c r="GP190" i="31" s="1"/>
  <c r="DA190" i="31"/>
  <c r="AU191" i="31" l="1"/>
  <c r="AV191" i="31" s="1"/>
  <c r="AW190" i="31"/>
  <c r="OP194" i="31"/>
  <c r="N192" i="31"/>
  <c r="O193" i="31" s="1"/>
  <c r="CZ192" i="31"/>
  <c r="GJ191" i="31"/>
  <c r="GP191" i="31" s="1"/>
  <c r="DA191" i="31"/>
  <c r="AU192" i="31" l="1"/>
  <c r="AV192" i="31" s="1"/>
  <c r="AW191" i="31"/>
  <c r="OP195" i="31"/>
  <c r="N193" i="31"/>
  <c r="O194" i="31" s="1"/>
  <c r="CZ193" i="31"/>
  <c r="DA192" i="31"/>
  <c r="GJ192" i="31"/>
  <c r="GP192" i="31" s="1"/>
  <c r="AU193" i="31" l="1"/>
  <c r="AV193" i="31" s="1"/>
  <c r="AW192" i="31"/>
  <c r="OP196" i="31"/>
  <c r="N194" i="31"/>
  <c r="O195" i="31" s="1"/>
  <c r="CZ194" i="31"/>
  <c r="GJ193" i="31"/>
  <c r="GP193" i="31" s="1"/>
  <c r="DA193" i="31"/>
  <c r="AU194" i="31" l="1"/>
  <c r="AV194" i="31" s="1"/>
  <c r="AW193" i="31"/>
  <c r="OP197" i="31"/>
  <c r="N195" i="31"/>
  <c r="O196" i="31" s="1"/>
  <c r="CZ195" i="31"/>
  <c r="GJ194" i="31"/>
  <c r="GP194" i="31" s="1"/>
  <c r="DA194" i="31"/>
  <c r="AU195" i="31" l="1"/>
  <c r="AV195" i="31" s="1"/>
  <c r="AW194" i="31"/>
  <c r="OP198" i="31"/>
  <c r="N196" i="31"/>
  <c r="O197" i="31" s="1"/>
  <c r="CZ196" i="31"/>
  <c r="GJ195" i="31"/>
  <c r="GP195" i="31" s="1"/>
  <c r="DA195" i="31"/>
  <c r="AU196" i="31" l="1"/>
  <c r="AV196" i="31" s="1"/>
  <c r="AW195" i="31"/>
  <c r="OP199" i="31"/>
  <c r="N197" i="31"/>
  <c r="O198" i="31" s="1"/>
  <c r="CZ197" i="31"/>
  <c r="GJ196" i="31"/>
  <c r="GP196" i="31" s="1"/>
  <c r="DA196" i="31"/>
  <c r="AU197" i="31" l="1"/>
  <c r="AV197" i="31" s="1"/>
  <c r="AW196" i="31"/>
  <c r="OP200" i="31"/>
  <c r="N198" i="31"/>
  <c r="O199" i="31" s="1"/>
  <c r="CZ198" i="31"/>
  <c r="GJ197" i="31"/>
  <c r="GP197" i="31" s="1"/>
  <c r="DA197" i="31"/>
  <c r="AU198" i="31" l="1"/>
  <c r="AV198" i="31" s="1"/>
  <c r="AW197" i="31"/>
  <c r="OP201" i="31"/>
  <c r="N199" i="31"/>
  <c r="O200" i="31" s="1"/>
  <c r="CZ199" i="31"/>
  <c r="DA198" i="31"/>
  <c r="GJ198" i="31"/>
  <c r="GP198" i="31" s="1"/>
  <c r="AU199" i="31" l="1"/>
  <c r="AV199" i="31" s="1"/>
  <c r="AW198" i="31"/>
  <c r="OP202" i="31"/>
  <c r="N200" i="31"/>
  <c r="O201" i="31" s="1"/>
  <c r="CZ200" i="31"/>
  <c r="GJ199" i="31"/>
  <c r="GP199" i="31" s="1"/>
  <c r="DA199" i="31"/>
  <c r="AU200" i="31" l="1"/>
  <c r="AV200" i="31" s="1"/>
  <c r="AW199" i="31"/>
  <c r="OP203" i="31"/>
  <c r="N201" i="31"/>
  <c r="O202" i="31" s="1"/>
  <c r="CZ201" i="31"/>
  <c r="DA200" i="31"/>
  <c r="GJ200" i="31"/>
  <c r="GP200" i="31" s="1"/>
  <c r="AU201" i="31" l="1"/>
  <c r="AV201" i="31" s="1"/>
  <c r="AW200" i="31"/>
  <c r="OP204" i="31"/>
  <c r="N202" i="31"/>
  <c r="O203" i="31" s="1"/>
  <c r="CZ202" i="31"/>
  <c r="GJ201" i="31"/>
  <c r="GP201" i="31" s="1"/>
  <c r="DA201" i="31"/>
  <c r="AU202" i="31" l="1"/>
  <c r="AV202" i="31" s="1"/>
  <c r="AW201" i="31"/>
  <c r="OP205" i="31"/>
  <c r="N203" i="31"/>
  <c r="O204" i="31" s="1"/>
  <c r="CZ203" i="31"/>
  <c r="GJ202" i="31"/>
  <c r="GP202" i="31" s="1"/>
  <c r="DA202" i="31"/>
  <c r="AU203" i="31" l="1"/>
  <c r="AV203" i="31" s="1"/>
  <c r="AW202" i="31"/>
  <c r="OP206" i="31"/>
  <c r="N204" i="31"/>
  <c r="O205" i="31" s="1"/>
  <c r="CZ204" i="31"/>
  <c r="GJ203" i="31"/>
  <c r="GP203" i="31" s="1"/>
  <c r="DA203" i="31"/>
  <c r="AU204" i="31" l="1"/>
  <c r="AV204" i="31" s="1"/>
  <c r="AW203" i="31"/>
  <c r="OP207" i="31"/>
  <c r="N205" i="31"/>
  <c r="O206" i="31" s="1"/>
  <c r="CZ205" i="31"/>
  <c r="DA204" i="31"/>
  <c r="GJ204" i="31"/>
  <c r="GP204" i="31" s="1"/>
  <c r="AU205" i="31" l="1"/>
  <c r="AV205" i="31" s="1"/>
  <c r="AW204" i="31"/>
  <c r="OP208" i="31"/>
  <c r="N206" i="31"/>
  <c r="O207" i="31" s="1"/>
  <c r="CZ206" i="31"/>
  <c r="GJ205" i="31"/>
  <c r="GP205" i="31" s="1"/>
  <c r="DA205" i="31"/>
  <c r="AU206" i="31" l="1"/>
  <c r="AV206" i="31" s="1"/>
  <c r="AW205" i="31"/>
  <c r="OP209" i="31"/>
  <c r="N207" i="31"/>
  <c r="O208" i="31" s="1"/>
  <c r="CZ207" i="31"/>
  <c r="GJ206" i="31"/>
  <c r="GP206" i="31" s="1"/>
  <c r="DA206" i="31"/>
  <c r="AU207" i="31" l="1"/>
  <c r="AV207" i="31" s="1"/>
  <c r="AW206" i="31"/>
  <c r="OP210" i="31"/>
  <c r="N208" i="31"/>
  <c r="O209" i="31" s="1"/>
  <c r="CZ208" i="31"/>
  <c r="GJ207" i="31"/>
  <c r="GP207" i="31" s="1"/>
  <c r="DA207" i="31"/>
  <c r="AU208" i="31" l="1"/>
  <c r="AV208" i="31" s="1"/>
  <c r="AW207" i="31"/>
  <c r="OP211" i="31"/>
  <c r="N209" i="31"/>
  <c r="O210" i="31" s="1"/>
  <c r="CZ209" i="31"/>
  <c r="GJ208" i="31"/>
  <c r="GP208" i="31" s="1"/>
  <c r="DA208" i="31"/>
  <c r="AU209" i="31" l="1"/>
  <c r="AV209" i="31" s="1"/>
  <c r="AW208" i="31"/>
  <c r="OP212" i="31"/>
  <c r="N210" i="31"/>
  <c r="O211" i="31" s="1"/>
  <c r="CZ210" i="31"/>
  <c r="GJ209" i="31"/>
  <c r="GP209" i="31" s="1"/>
  <c r="DA209" i="31"/>
  <c r="AU210" i="31" l="1"/>
  <c r="AV210" i="31" s="1"/>
  <c r="AW209" i="31"/>
  <c r="OP213" i="31"/>
  <c r="N211" i="31"/>
  <c r="O212" i="31" s="1"/>
  <c r="CZ211" i="31"/>
  <c r="GJ210" i="31"/>
  <c r="GP210" i="31" s="1"/>
  <c r="DA210" i="31"/>
  <c r="AU211" i="31" l="1"/>
  <c r="AV211" i="31" s="1"/>
  <c r="AW210" i="31"/>
  <c r="OP214" i="31"/>
  <c r="N212" i="31"/>
  <c r="O213" i="31" s="1"/>
  <c r="CZ212" i="31"/>
  <c r="DA211" i="31"/>
  <c r="GJ211" i="31"/>
  <c r="GP211" i="31" s="1"/>
  <c r="AU212" i="31" l="1"/>
  <c r="AV212" i="31" s="1"/>
  <c r="AW211" i="31"/>
  <c r="OP215" i="31"/>
  <c r="N213" i="31"/>
  <c r="O214" i="31" s="1"/>
  <c r="CZ213" i="31"/>
  <c r="GJ212" i="31"/>
  <c r="GP212" i="31" s="1"/>
  <c r="DA212" i="31"/>
  <c r="AU213" i="31" l="1"/>
  <c r="AV213" i="31" s="1"/>
  <c r="AW212" i="31"/>
  <c r="OP216" i="31"/>
  <c r="N214" i="31"/>
  <c r="O215" i="31" s="1"/>
  <c r="CZ214" i="31"/>
  <c r="DA213" i="31"/>
  <c r="GJ213" i="31"/>
  <c r="GP213" i="31" s="1"/>
  <c r="AU214" i="31" l="1"/>
  <c r="AV214" i="31" s="1"/>
  <c r="AW213" i="31"/>
  <c r="OP217" i="31"/>
  <c r="N215" i="31"/>
  <c r="O216" i="31" s="1"/>
  <c r="CZ215" i="31"/>
  <c r="DA214" i="31"/>
  <c r="GJ214" i="31"/>
  <c r="GP214" i="31" s="1"/>
  <c r="AU215" i="31" l="1"/>
  <c r="AV215" i="31" s="1"/>
  <c r="AW214" i="31"/>
  <c r="OP218" i="31"/>
  <c r="N216" i="31"/>
  <c r="O217" i="31" s="1"/>
  <c r="CZ216" i="31"/>
  <c r="GJ215" i="31"/>
  <c r="GP215" i="31" s="1"/>
  <c r="DA215" i="31"/>
  <c r="AU216" i="31" l="1"/>
  <c r="AV216" i="31" s="1"/>
  <c r="AW215" i="31"/>
  <c r="OP219" i="31"/>
  <c r="N217" i="31"/>
  <c r="O218" i="31" s="1"/>
  <c r="CZ217" i="31"/>
  <c r="DA216" i="31"/>
  <c r="GJ216" i="31"/>
  <c r="GP216" i="31" s="1"/>
  <c r="AU217" i="31" l="1"/>
  <c r="AV217" i="31" s="1"/>
  <c r="AW216" i="31"/>
  <c r="OP220" i="31"/>
  <c r="N218" i="31"/>
  <c r="O219" i="31" s="1"/>
  <c r="CZ218" i="31"/>
  <c r="GJ217" i="31"/>
  <c r="GP217" i="31" s="1"/>
  <c r="DA217" i="31"/>
  <c r="AU218" i="31" l="1"/>
  <c r="AV218" i="31" s="1"/>
  <c r="AW217" i="31"/>
  <c r="OP221" i="31"/>
  <c r="N219" i="31"/>
  <c r="O220" i="31" s="1"/>
  <c r="CZ219" i="31"/>
  <c r="GJ218" i="31"/>
  <c r="GP218" i="31" s="1"/>
  <c r="DA218" i="31"/>
  <c r="AU219" i="31" l="1"/>
  <c r="AV219" i="31" s="1"/>
  <c r="AW218" i="31"/>
  <c r="OP222" i="31"/>
  <c r="N220" i="31"/>
  <c r="O221" i="31" s="1"/>
  <c r="CZ220" i="31"/>
  <c r="DA219" i="31"/>
  <c r="GJ219" i="31"/>
  <c r="GP219" i="31" s="1"/>
  <c r="AU220" i="31" l="1"/>
  <c r="AV220" i="31" s="1"/>
  <c r="AW219" i="31"/>
  <c r="OP223" i="31"/>
  <c r="N221" i="31"/>
  <c r="O222" i="31" s="1"/>
  <c r="CZ221" i="31"/>
  <c r="GJ220" i="31"/>
  <c r="GP220" i="31" s="1"/>
  <c r="DA220" i="31"/>
  <c r="AU221" i="31" l="1"/>
  <c r="AV221" i="31" s="1"/>
  <c r="AW220" i="31"/>
  <c r="OP224" i="31"/>
  <c r="N222" i="31"/>
  <c r="O223" i="31" s="1"/>
  <c r="CZ222" i="31"/>
  <c r="DA221" i="31"/>
  <c r="GJ221" i="31"/>
  <c r="GP221" i="31" s="1"/>
  <c r="AU222" i="31" l="1"/>
  <c r="AV222" i="31" s="1"/>
  <c r="AW221" i="31"/>
  <c r="OP225" i="31"/>
  <c r="N223" i="31"/>
  <c r="O224" i="31" s="1"/>
  <c r="CZ223" i="31"/>
  <c r="GJ222" i="31"/>
  <c r="GP222" i="31" s="1"/>
  <c r="DA222" i="31"/>
  <c r="AU223" i="31" l="1"/>
  <c r="AV223" i="31" s="1"/>
  <c r="AW222" i="31"/>
  <c r="OP226" i="31"/>
  <c r="N224" i="31"/>
  <c r="O225" i="31" s="1"/>
  <c r="CZ224" i="31"/>
  <c r="GJ223" i="31"/>
  <c r="GP223" i="31" s="1"/>
  <c r="DA223" i="31"/>
  <c r="AU224" i="31" l="1"/>
  <c r="AV224" i="31" s="1"/>
  <c r="AW223" i="31"/>
  <c r="OP227" i="31"/>
  <c r="N225" i="31"/>
  <c r="O226" i="31" s="1"/>
  <c r="CZ225" i="31"/>
  <c r="DA224" i="31"/>
  <c r="GJ224" i="31"/>
  <c r="GP224" i="31" s="1"/>
  <c r="AU225" i="31" l="1"/>
  <c r="AV225" i="31" s="1"/>
  <c r="AW224" i="31"/>
  <c r="OP228" i="31"/>
  <c r="N226" i="31"/>
  <c r="O227" i="31" s="1"/>
  <c r="CZ226" i="31"/>
  <c r="GJ225" i="31"/>
  <c r="GP225" i="31" s="1"/>
  <c r="DA225" i="31"/>
  <c r="AU226" i="31" l="1"/>
  <c r="AV226" i="31" s="1"/>
  <c r="AW225" i="31"/>
  <c r="OP229" i="31"/>
  <c r="N227" i="31"/>
  <c r="O228" i="31" s="1"/>
  <c r="CZ227" i="31"/>
  <c r="DA226" i="31"/>
  <c r="GJ226" i="31"/>
  <c r="GP226" i="31" s="1"/>
  <c r="AU227" i="31" l="1"/>
  <c r="AV227" i="31" s="1"/>
  <c r="AW226" i="31"/>
  <c r="OP230" i="31"/>
  <c r="N228" i="31"/>
  <c r="O229" i="31" s="1"/>
  <c r="CZ228" i="31"/>
  <c r="GJ227" i="31"/>
  <c r="GP227" i="31" s="1"/>
  <c r="DA227" i="31"/>
  <c r="AU228" i="31" l="1"/>
  <c r="AV228" i="31" s="1"/>
  <c r="AW227" i="31"/>
  <c r="OP231" i="31"/>
  <c r="N229" i="31"/>
  <c r="O230" i="31" s="1"/>
  <c r="CZ229" i="31"/>
  <c r="DA228" i="31"/>
  <c r="GJ228" i="31"/>
  <c r="GP228" i="31" s="1"/>
  <c r="AU229" i="31" l="1"/>
  <c r="AV229" i="31" s="1"/>
  <c r="AW228" i="31"/>
  <c r="OP232" i="31"/>
  <c r="N230" i="31"/>
  <c r="O231" i="31" s="1"/>
  <c r="CZ230" i="31"/>
  <c r="GJ229" i="31"/>
  <c r="GP229" i="31" s="1"/>
  <c r="DA229" i="31"/>
  <c r="AU230" i="31" l="1"/>
  <c r="AV230" i="31" s="1"/>
  <c r="AW229" i="31"/>
  <c r="OP233" i="31"/>
  <c r="N231" i="31"/>
  <c r="O232" i="31" s="1"/>
  <c r="CZ231" i="31"/>
  <c r="GJ230" i="31"/>
  <c r="GP230" i="31" s="1"/>
  <c r="DA230" i="31"/>
  <c r="AU231" i="31" l="1"/>
  <c r="AV231" i="31" s="1"/>
  <c r="AW230" i="31"/>
  <c r="OP234" i="31"/>
  <c r="N232" i="31"/>
  <c r="O233" i="31" s="1"/>
  <c r="CZ232" i="31"/>
  <c r="GJ231" i="31"/>
  <c r="GP231" i="31" s="1"/>
  <c r="DA231" i="31"/>
  <c r="AU232" i="31" l="1"/>
  <c r="AV232" i="31" s="1"/>
  <c r="AW231" i="31"/>
  <c r="OP235" i="31"/>
  <c r="N233" i="31"/>
  <c r="O234" i="31" s="1"/>
  <c r="CZ233" i="31"/>
  <c r="GJ232" i="31"/>
  <c r="GP232" i="31" s="1"/>
  <c r="DA232" i="31"/>
  <c r="AU233" i="31" l="1"/>
  <c r="AV233" i="31" s="1"/>
  <c r="AW232" i="31"/>
  <c r="OP236" i="31"/>
  <c r="N234" i="31"/>
  <c r="O235" i="31" s="1"/>
  <c r="CZ234" i="31"/>
  <c r="GJ233" i="31"/>
  <c r="GP233" i="31" s="1"/>
  <c r="DA233" i="31"/>
  <c r="AU234" i="31" l="1"/>
  <c r="AV234" i="31" s="1"/>
  <c r="AW233" i="31"/>
  <c r="OP237" i="31"/>
  <c r="N235" i="31"/>
  <c r="O236" i="31" s="1"/>
  <c r="CZ235" i="31"/>
  <c r="GJ234" i="31"/>
  <c r="GP234" i="31" s="1"/>
  <c r="DA234" i="31"/>
  <c r="AU235" i="31" l="1"/>
  <c r="AV235" i="31" s="1"/>
  <c r="AW234" i="31"/>
  <c r="OP238" i="31"/>
  <c r="N236" i="31"/>
  <c r="O237" i="31" s="1"/>
  <c r="CZ236" i="31"/>
  <c r="DA235" i="31"/>
  <c r="GJ235" i="31"/>
  <c r="GP235" i="31" s="1"/>
  <c r="AU236" i="31" l="1"/>
  <c r="AV236" i="31" s="1"/>
  <c r="AW235" i="31"/>
  <c r="OP239" i="31"/>
  <c r="N237" i="31"/>
  <c r="O238" i="31" s="1"/>
  <c r="CZ237" i="31"/>
  <c r="GJ236" i="31"/>
  <c r="GP236" i="31" s="1"/>
  <c r="DA236" i="31"/>
  <c r="AU237" i="31" l="1"/>
  <c r="AV237" i="31" s="1"/>
  <c r="AW236" i="31"/>
  <c r="OP240" i="31"/>
  <c r="N238" i="31"/>
  <c r="O239" i="31" s="1"/>
  <c r="CZ238" i="31"/>
  <c r="DA237" i="31"/>
  <c r="GJ237" i="31"/>
  <c r="GP237" i="31" s="1"/>
  <c r="AU238" i="31" l="1"/>
  <c r="AV238" i="31" s="1"/>
  <c r="AW237" i="31"/>
  <c r="OP241" i="31"/>
  <c r="N239" i="31"/>
  <c r="O240" i="31" s="1"/>
  <c r="CZ239" i="31"/>
  <c r="DA238" i="31"/>
  <c r="GJ238" i="31"/>
  <c r="GP238" i="31" s="1"/>
  <c r="AU239" i="31" l="1"/>
  <c r="AV239" i="31" s="1"/>
  <c r="AW238" i="31"/>
  <c r="OP242" i="31"/>
  <c r="N240" i="31"/>
  <c r="O241" i="31" s="1"/>
  <c r="CZ240" i="31"/>
  <c r="GJ239" i="31"/>
  <c r="GP239" i="31" s="1"/>
  <c r="DA239" i="31"/>
  <c r="AU240" i="31" l="1"/>
  <c r="AV240" i="31" s="1"/>
  <c r="AW239" i="31"/>
  <c r="OP243" i="31"/>
  <c r="N241" i="31"/>
  <c r="O242" i="31" s="1"/>
  <c r="CZ241" i="31"/>
  <c r="GJ240" i="31"/>
  <c r="GP240" i="31" s="1"/>
  <c r="DA240" i="31"/>
  <c r="AU241" i="31" l="1"/>
  <c r="AV241" i="31" s="1"/>
  <c r="AW240" i="31"/>
  <c r="OP244" i="31"/>
  <c r="N242" i="31"/>
  <c r="O243" i="31" s="1"/>
  <c r="CZ242" i="31"/>
  <c r="GJ241" i="31"/>
  <c r="GP241" i="31" s="1"/>
  <c r="DA241" i="31"/>
  <c r="AU242" i="31" l="1"/>
  <c r="AV242" i="31" s="1"/>
  <c r="AW241" i="31"/>
  <c r="OP245" i="31"/>
  <c r="N243" i="31"/>
  <c r="O244" i="31" s="1"/>
  <c r="CZ243" i="31"/>
  <c r="DA242" i="31"/>
  <c r="GJ242" i="31"/>
  <c r="GP242" i="31" s="1"/>
  <c r="AU243" i="31" l="1"/>
  <c r="AV243" i="31" s="1"/>
  <c r="AW242" i="31"/>
  <c r="OP246" i="31"/>
  <c r="N244" i="31"/>
  <c r="O245" i="31" s="1"/>
  <c r="CZ244" i="31"/>
  <c r="GJ243" i="31"/>
  <c r="GP243" i="31" s="1"/>
  <c r="DA243" i="31"/>
  <c r="AU244" i="31" l="1"/>
  <c r="AV244" i="31" s="1"/>
  <c r="AW243" i="31"/>
  <c r="OP247" i="31"/>
  <c r="N245" i="31"/>
  <c r="O246" i="31" s="1"/>
  <c r="CZ245" i="31"/>
  <c r="DA244" i="31"/>
  <c r="GJ244" i="31"/>
  <c r="GP244" i="31" s="1"/>
  <c r="AU245" i="31" l="1"/>
  <c r="AV245" i="31" s="1"/>
  <c r="AW244" i="31"/>
  <c r="OP248" i="31"/>
  <c r="N246" i="31"/>
  <c r="O247" i="31" s="1"/>
  <c r="CZ246" i="31"/>
  <c r="DA245" i="31"/>
  <c r="GJ245" i="31"/>
  <c r="GP245" i="31" s="1"/>
  <c r="AU246" i="31" l="1"/>
  <c r="AV246" i="31" s="1"/>
  <c r="AW245" i="31"/>
  <c r="OP249" i="31"/>
  <c r="N247" i="31"/>
  <c r="O248" i="31" s="1"/>
  <c r="CZ247" i="31"/>
  <c r="DA246" i="31"/>
  <c r="GJ246" i="31"/>
  <c r="GP246" i="31" s="1"/>
  <c r="AU247" i="31" l="1"/>
  <c r="AV247" i="31" s="1"/>
  <c r="AW246" i="31"/>
  <c r="OP250" i="31"/>
  <c r="N248" i="31"/>
  <c r="O249" i="31" s="1"/>
  <c r="CZ248" i="31"/>
  <c r="DA247" i="31"/>
  <c r="GJ247" i="31"/>
  <c r="GP247" i="31" s="1"/>
  <c r="AU248" i="31" l="1"/>
  <c r="AV248" i="31" s="1"/>
  <c r="AW247" i="31"/>
  <c r="OP251" i="31"/>
  <c r="N249" i="31"/>
  <c r="O250" i="31" s="1"/>
  <c r="CZ249" i="31"/>
  <c r="DA248" i="31"/>
  <c r="GJ248" i="31"/>
  <c r="GP248" i="31" s="1"/>
  <c r="AU249" i="31" l="1"/>
  <c r="AV249" i="31" s="1"/>
  <c r="AW248" i="31"/>
  <c r="OP252" i="31"/>
  <c r="N250" i="31"/>
  <c r="O251" i="31" s="1"/>
  <c r="CZ250" i="31"/>
  <c r="DA249" i="31"/>
  <c r="GJ249" i="31"/>
  <c r="GP249" i="31" s="1"/>
  <c r="AU250" i="31" l="1"/>
  <c r="AV250" i="31" s="1"/>
  <c r="AW249" i="31"/>
  <c r="OP253" i="31"/>
  <c r="N251" i="31"/>
  <c r="O252" i="31" s="1"/>
  <c r="CZ251" i="31"/>
  <c r="DA250" i="31"/>
  <c r="GJ250" i="31"/>
  <c r="GP250" i="31" s="1"/>
  <c r="AU251" i="31" l="1"/>
  <c r="AV251" i="31" s="1"/>
  <c r="AW250" i="31"/>
  <c r="OP254" i="31"/>
  <c r="N252" i="31"/>
  <c r="O253" i="31" s="1"/>
  <c r="CZ252" i="31"/>
  <c r="DA251" i="31"/>
  <c r="GJ251" i="31"/>
  <c r="GP251" i="31" s="1"/>
  <c r="AU252" i="31" l="1"/>
  <c r="AV252" i="31" s="1"/>
  <c r="AW251" i="31"/>
  <c r="OP255" i="31"/>
  <c r="N253" i="31"/>
  <c r="O254" i="31" s="1"/>
  <c r="CZ253" i="31"/>
  <c r="DA252" i="31"/>
  <c r="GJ252" i="31"/>
  <c r="GP252" i="31" s="1"/>
  <c r="AU253" i="31" l="1"/>
  <c r="AV253" i="31" s="1"/>
  <c r="AW252" i="31"/>
  <c r="OP256" i="31"/>
  <c r="N254" i="31"/>
  <c r="O255" i="31" s="1"/>
  <c r="CZ254" i="31"/>
  <c r="GJ253" i="31"/>
  <c r="GP253" i="31" s="1"/>
  <c r="DA253" i="31"/>
  <c r="AU254" i="31" l="1"/>
  <c r="AV254" i="31" s="1"/>
  <c r="AW253" i="31"/>
  <c r="OP257" i="31"/>
  <c r="N255" i="31"/>
  <c r="O256" i="31" s="1"/>
  <c r="CZ255" i="31"/>
  <c r="DA254" i="31"/>
  <c r="GJ254" i="31"/>
  <c r="GP254" i="31" s="1"/>
  <c r="AU255" i="31" l="1"/>
  <c r="AV255" i="31" s="1"/>
  <c r="AW254" i="31"/>
  <c r="OP258" i="31"/>
  <c r="N256" i="31"/>
  <c r="O257" i="31" s="1"/>
  <c r="CZ256" i="31"/>
  <c r="GJ255" i="31"/>
  <c r="GP255" i="31" s="1"/>
  <c r="DA255" i="31"/>
  <c r="AU256" i="31" l="1"/>
  <c r="AV256" i="31" s="1"/>
  <c r="AW255" i="31"/>
  <c r="OP259" i="31"/>
  <c r="N257" i="31"/>
  <c r="O258" i="31" s="1"/>
  <c r="CZ257" i="31"/>
  <c r="GJ256" i="31"/>
  <c r="GP256" i="31" s="1"/>
  <c r="DA256" i="31"/>
  <c r="AU257" i="31" l="1"/>
  <c r="AV257" i="31" s="1"/>
  <c r="AW256" i="31"/>
  <c r="OP260" i="31"/>
  <c r="N258" i="31"/>
  <c r="O259" i="31" s="1"/>
  <c r="CZ258" i="31"/>
  <c r="GJ257" i="31"/>
  <c r="GP257" i="31" s="1"/>
  <c r="DA257" i="31"/>
  <c r="AU258" i="31" l="1"/>
  <c r="AV258" i="31" s="1"/>
  <c r="AW257" i="31"/>
  <c r="OP261" i="31"/>
  <c r="N259" i="31"/>
  <c r="O260" i="31" s="1"/>
  <c r="CZ259" i="31"/>
  <c r="DA258" i="31"/>
  <c r="GJ258" i="31"/>
  <c r="GP258" i="31" s="1"/>
  <c r="AU259" i="31" l="1"/>
  <c r="AV259" i="31" s="1"/>
  <c r="AW258" i="31"/>
  <c r="OP262" i="31"/>
  <c r="N260" i="31"/>
  <c r="O261" i="31" s="1"/>
  <c r="CZ260" i="31"/>
  <c r="GJ259" i="31"/>
  <c r="GP259" i="31" s="1"/>
  <c r="DA259" i="31"/>
  <c r="AU260" i="31" l="1"/>
  <c r="AV260" i="31" s="1"/>
  <c r="AW259" i="31"/>
  <c r="OP263" i="31"/>
  <c r="N261" i="31"/>
  <c r="O262" i="31" s="1"/>
  <c r="CZ261" i="31"/>
  <c r="DA260" i="31"/>
  <c r="GJ260" i="31"/>
  <c r="GP260" i="31" s="1"/>
  <c r="AU261" i="31" l="1"/>
  <c r="AV261" i="31" s="1"/>
  <c r="AW260" i="31"/>
  <c r="OP264" i="31"/>
  <c r="N262" i="31"/>
  <c r="O263" i="31" s="1"/>
  <c r="CZ262" i="31"/>
  <c r="DA261" i="31"/>
  <c r="GJ261" i="31"/>
  <c r="GP261" i="31" s="1"/>
  <c r="AU262" i="31" l="1"/>
  <c r="AV262" i="31" s="1"/>
  <c r="AW261" i="31"/>
  <c r="OP265" i="31"/>
  <c r="N263" i="31"/>
  <c r="O264" i="31" s="1"/>
  <c r="CZ263" i="31"/>
  <c r="DA262" i="31"/>
  <c r="GJ262" i="31"/>
  <c r="GP262" i="31" s="1"/>
  <c r="AU263" i="31" l="1"/>
  <c r="AV263" i="31" s="1"/>
  <c r="AW262" i="31"/>
  <c r="OP266" i="31"/>
  <c r="N264" i="31"/>
  <c r="O265" i="31" s="1"/>
  <c r="CZ264" i="31"/>
  <c r="DA263" i="31"/>
  <c r="GJ263" i="31"/>
  <c r="GP263" i="31" s="1"/>
  <c r="AU264" i="31" l="1"/>
  <c r="AV264" i="31" s="1"/>
  <c r="AW263" i="31"/>
  <c r="OP267" i="31"/>
  <c r="N265" i="31"/>
  <c r="O266" i="31" s="1"/>
  <c r="CZ265" i="31"/>
  <c r="DA264" i="31"/>
  <c r="GJ264" i="31"/>
  <c r="GP264" i="31" s="1"/>
  <c r="AU265" i="31" l="1"/>
  <c r="AV265" i="31" s="1"/>
  <c r="AW264" i="31"/>
  <c r="OP268" i="31"/>
  <c r="N266" i="31"/>
  <c r="O267" i="31" s="1"/>
  <c r="CZ266" i="31"/>
  <c r="DA265" i="31"/>
  <c r="GJ265" i="31"/>
  <c r="GP265" i="31" s="1"/>
  <c r="AU266" i="31" l="1"/>
  <c r="AV266" i="31" s="1"/>
  <c r="AW265" i="31"/>
  <c r="OP269" i="31"/>
  <c r="N267" i="31"/>
  <c r="O268" i="31" s="1"/>
  <c r="CZ267" i="31"/>
  <c r="GJ266" i="31"/>
  <c r="GP266" i="31" s="1"/>
  <c r="DA266" i="31"/>
  <c r="AU267" i="31" l="1"/>
  <c r="AV267" i="31" s="1"/>
  <c r="AW266" i="31"/>
  <c r="OP270" i="31"/>
  <c r="N268" i="31"/>
  <c r="O269" i="31" s="1"/>
  <c r="CZ268" i="31"/>
  <c r="DA267" i="31"/>
  <c r="GJ267" i="31"/>
  <c r="GP267" i="31" s="1"/>
  <c r="AU268" i="31" l="1"/>
  <c r="AV268" i="31" s="1"/>
  <c r="AW267" i="31"/>
  <c r="OP271" i="31"/>
  <c r="N269" i="31"/>
  <c r="O270" i="31" s="1"/>
  <c r="CZ269" i="31"/>
  <c r="GJ268" i="31"/>
  <c r="GP268" i="31" s="1"/>
  <c r="DA268" i="31"/>
  <c r="AU269" i="31" l="1"/>
  <c r="AV269" i="31" s="1"/>
  <c r="AW268" i="31"/>
  <c r="OP272" i="31"/>
  <c r="N270" i="31"/>
  <c r="O271" i="31" s="1"/>
  <c r="CZ270" i="31"/>
  <c r="GJ269" i="31"/>
  <c r="GP269" i="31" s="1"/>
  <c r="DA269" i="31"/>
  <c r="AU270" i="31" l="1"/>
  <c r="AV270" i="31" s="1"/>
  <c r="AW269" i="31"/>
  <c r="OP273" i="31"/>
  <c r="N271" i="31"/>
  <c r="O272" i="31" s="1"/>
  <c r="CZ271" i="31"/>
  <c r="GJ270" i="31"/>
  <c r="GP270" i="31" s="1"/>
  <c r="DA270" i="31"/>
  <c r="AU271" i="31" l="1"/>
  <c r="AV271" i="31" s="1"/>
  <c r="AW270" i="31"/>
  <c r="OP274" i="31"/>
  <c r="N272" i="31"/>
  <c r="O273" i="31" s="1"/>
  <c r="CZ272" i="31"/>
  <c r="GJ271" i="31"/>
  <c r="GP271" i="31" s="1"/>
  <c r="DA271" i="31"/>
  <c r="AU272" i="31" l="1"/>
  <c r="AV272" i="31" s="1"/>
  <c r="AW271" i="31"/>
  <c r="OP275" i="31"/>
  <c r="N273" i="31"/>
  <c r="O274" i="31" s="1"/>
  <c r="CZ273" i="31"/>
  <c r="DA272" i="31"/>
  <c r="GJ272" i="31"/>
  <c r="GP272" i="31" s="1"/>
  <c r="AU273" i="31" l="1"/>
  <c r="AV273" i="31" s="1"/>
  <c r="AW272" i="31"/>
  <c r="OP276" i="31"/>
  <c r="N274" i="31"/>
  <c r="O275" i="31" s="1"/>
  <c r="CZ274" i="31"/>
  <c r="GJ273" i="31"/>
  <c r="GP273" i="31" s="1"/>
  <c r="DA273" i="31"/>
  <c r="AU274" i="31" l="1"/>
  <c r="AV274" i="31" s="1"/>
  <c r="AW273" i="31"/>
  <c r="OP277" i="31"/>
  <c r="N275" i="31"/>
  <c r="O276" i="31" s="1"/>
  <c r="CZ275" i="31"/>
  <c r="DA274" i="31"/>
  <c r="GJ274" i="31"/>
  <c r="GP274" i="31" s="1"/>
  <c r="AU275" i="31" l="1"/>
  <c r="AV275" i="31" s="1"/>
  <c r="AW274" i="31"/>
  <c r="OP278" i="31"/>
  <c r="N276" i="31"/>
  <c r="O277" i="31" s="1"/>
  <c r="CZ276" i="31"/>
  <c r="GJ275" i="31"/>
  <c r="GP275" i="31" s="1"/>
  <c r="DA275" i="31"/>
  <c r="AU276" i="31" l="1"/>
  <c r="AV276" i="31" s="1"/>
  <c r="AW275" i="31"/>
  <c r="OP279" i="31"/>
  <c r="N277" i="31"/>
  <c r="O278" i="31" s="1"/>
  <c r="CZ277" i="31"/>
  <c r="DA276" i="31"/>
  <c r="GJ276" i="31"/>
  <c r="GP276" i="31" s="1"/>
  <c r="AU277" i="31" l="1"/>
  <c r="AV277" i="31" s="1"/>
  <c r="AW276" i="31"/>
  <c r="OP280" i="31"/>
  <c r="N278" i="31"/>
  <c r="O279" i="31" s="1"/>
  <c r="CZ278" i="31"/>
  <c r="GJ277" i="31"/>
  <c r="GP277" i="31" s="1"/>
  <c r="DA277" i="31"/>
  <c r="AU278" i="31" l="1"/>
  <c r="AV278" i="31" s="1"/>
  <c r="AW277" i="31"/>
  <c r="OP281" i="31"/>
  <c r="N279" i="31"/>
  <c r="O280" i="31" s="1"/>
  <c r="CZ279" i="31"/>
  <c r="GJ278" i="31"/>
  <c r="GP278" i="31" s="1"/>
  <c r="DA278" i="31"/>
  <c r="AU279" i="31" l="1"/>
  <c r="AV279" i="31" s="1"/>
  <c r="AW278" i="31"/>
  <c r="OP282" i="31"/>
  <c r="N280" i="31"/>
  <c r="O281" i="31" s="1"/>
  <c r="CZ280" i="31"/>
  <c r="DA279" i="31"/>
  <c r="GJ279" i="31"/>
  <c r="GP279" i="31" s="1"/>
  <c r="AU280" i="31" l="1"/>
  <c r="AV280" i="31" s="1"/>
  <c r="AW279" i="31"/>
  <c r="OP283" i="31"/>
  <c r="N281" i="31"/>
  <c r="O282" i="31" s="1"/>
  <c r="CZ281" i="31"/>
  <c r="DA280" i="31"/>
  <c r="GJ280" i="31"/>
  <c r="GP280" i="31" s="1"/>
  <c r="AU281" i="31" l="1"/>
  <c r="AV281" i="31" s="1"/>
  <c r="AW280" i="31"/>
  <c r="OP284" i="31"/>
  <c r="N282" i="31"/>
  <c r="O283" i="31" s="1"/>
  <c r="CZ282" i="31"/>
  <c r="GJ281" i="31"/>
  <c r="GP281" i="31" s="1"/>
  <c r="DA281" i="31"/>
  <c r="AU282" i="31" l="1"/>
  <c r="AV282" i="31" s="1"/>
  <c r="AW281" i="31"/>
  <c r="OP285" i="31"/>
  <c r="N283" i="31"/>
  <c r="O284" i="31" s="1"/>
  <c r="CZ283" i="31"/>
  <c r="DA282" i="31"/>
  <c r="GJ282" i="31"/>
  <c r="GP282" i="31" s="1"/>
  <c r="AU283" i="31" l="1"/>
  <c r="AV283" i="31" s="1"/>
  <c r="AW282" i="31"/>
  <c r="OP286" i="31"/>
  <c r="N284" i="31"/>
  <c r="O285" i="31" s="1"/>
  <c r="CZ284" i="31"/>
  <c r="DA283" i="31"/>
  <c r="GJ283" i="31"/>
  <c r="GP283" i="31" s="1"/>
  <c r="AU284" i="31" l="1"/>
  <c r="AV284" i="31" s="1"/>
  <c r="AW283" i="31"/>
  <c r="OP287" i="31"/>
  <c r="N285" i="31"/>
  <c r="O286" i="31" s="1"/>
  <c r="CZ285" i="31"/>
  <c r="GJ284" i="31"/>
  <c r="GP284" i="31" s="1"/>
  <c r="DA284" i="31"/>
  <c r="AU285" i="31" l="1"/>
  <c r="AV285" i="31" s="1"/>
  <c r="AW284" i="31"/>
  <c r="OP288" i="31"/>
  <c r="N286" i="31"/>
  <c r="O287" i="31" s="1"/>
  <c r="CZ286" i="31"/>
  <c r="GJ285" i="31"/>
  <c r="GP285" i="31" s="1"/>
  <c r="DA285" i="31"/>
  <c r="AU286" i="31" l="1"/>
  <c r="AV286" i="31" s="1"/>
  <c r="AW285" i="31"/>
  <c r="OP289" i="31"/>
  <c r="N287" i="31"/>
  <c r="O288" i="31" s="1"/>
  <c r="CZ287" i="31"/>
  <c r="DA286" i="31"/>
  <c r="GJ286" i="31"/>
  <c r="GP286" i="31" s="1"/>
  <c r="AU287" i="31" l="1"/>
  <c r="AV287" i="31" s="1"/>
  <c r="AW286" i="31"/>
  <c r="OP290" i="31"/>
  <c r="N288" i="31"/>
  <c r="O289" i="31" s="1"/>
  <c r="CZ288" i="31"/>
  <c r="DA287" i="31"/>
  <c r="GJ287" i="31"/>
  <c r="GP287" i="31" s="1"/>
  <c r="AU288" i="31" l="1"/>
  <c r="AV288" i="31" s="1"/>
  <c r="AW287" i="31"/>
  <c r="OP291" i="31"/>
  <c r="N289" i="31"/>
  <c r="O290" i="31" s="1"/>
  <c r="CZ289" i="31"/>
  <c r="GJ288" i="31"/>
  <c r="GP288" i="31" s="1"/>
  <c r="DA288" i="31"/>
  <c r="AU289" i="31" l="1"/>
  <c r="AV289" i="31" s="1"/>
  <c r="AW288" i="31"/>
  <c r="OP292" i="31"/>
  <c r="N290" i="31"/>
  <c r="O291" i="31" s="1"/>
  <c r="CZ290" i="31"/>
  <c r="GJ289" i="31"/>
  <c r="GP289" i="31" s="1"/>
  <c r="DA289" i="31"/>
  <c r="AU290" i="31" l="1"/>
  <c r="AV290" i="31" s="1"/>
  <c r="AW289" i="31"/>
  <c r="OP293" i="31"/>
  <c r="N291" i="31"/>
  <c r="O292" i="31" s="1"/>
  <c r="CZ291" i="31"/>
  <c r="DA290" i="31"/>
  <c r="GJ290" i="31"/>
  <c r="GP290" i="31" s="1"/>
  <c r="AU291" i="31" l="1"/>
  <c r="AV291" i="31" s="1"/>
  <c r="AW290" i="31"/>
  <c r="OP294" i="31"/>
  <c r="N292" i="31"/>
  <c r="O293" i="31" s="1"/>
  <c r="CZ292" i="31"/>
  <c r="DA291" i="31"/>
  <c r="GJ291" i="31"/>
  <c r="GP291" i="31" s="1"/>
  <c r="AU292" i="31" l="1"/>
  <c r="AV292" i="31" s="1"/>
  <c r="AW291" i="31"/>
  <c r="OP295" i="31"/>
  <c r="N293" i="31"/>
  <c r="O294" i="31" s="1"/>
  <c r="CZ293" i="31"/>
  <c r="GJ292" i="31"/>
  <c r="GP292" i="31" s="1"/>
  <c r="DA292" i="31"/>
  <c r="AU293" i="31" l="1"/>
  <c r="AV293" i="31" s="1"/>
  <c r="AW292" i="31"/>
  <c r="OP296" i="31"/>
  <c r="N294" i="31"/>
  <c r="O295" i="31" s="1"/>
  <c r="CZ294" i="31"/>
  <c r="GJ293" i="31"/>
  <c r="GP293" i="31" s="1"/>
  <c r="DA293" i="31"/>
  <c r="AU294" i="31" l="1"/>
  <c r="AV294" i="31" s="1"/>
  <c r="AW293" i="31"/>
  <c r="OP297" i="31"/>
  <c r="N295" i="31"/>
  <c r="O296" i="31" s="1"/>
  <c r="CZ295" i="31"/>
  <c r="GJ294" i="31"/>
  <c r="GP294" i="31" s="1"/>
  <c r="DA294" i="31"/>
  <c r="AU295" i="31" l="1"/>
  <c r="AV295" i="31" s="1"/>
  <c r="AW294" i="31"/>
  <c r="OP298" i="31"/>
  <c r="N296" i="31"/>
  <c r="O297" i="31" s="1"/>
  <c r="CZ296" i="31"/>
  <c r="DA295" i="31"/>
  <c r="GJ295" i="31"/>
  <c r="GP295" i="31" s="1"/>
  <c r="AU296" i="31" l="1"/>
  <c r="AV296" i="31" s="1"/>
  <c r="AW295" i="31"/>
  <c r="OP299" i="31"/>
  <c r="N297" i="31"/>
  <c r="O298" i="31" s="1"/>
  <c r="CZ297" i="31"/>
  <c r="DA296" i="31"/>
  <c r="GJ296" i="31"/>
  <c r="GP296" i="31" s="1"/>
  <c r="AU297" i="31" l="1"/>
  <c r="AV297" i="31" s="1"/>
  <c r="AW296" i="31"/>
  <c r="OP300" i="31"/>
  <c r="N298" i="31"/>
  <c r="O299" i="31" s="1"/>
  <c r="CZ298" i="31"/>
  <c r="DA297" i="31"/>
  <c r="GJ297" i="31"/>
  <c r="GP297" i="31" s="1"/>
  <c r="AU298" i="31" l="1"/>
  <c r="AV298" i="31" s="1"/>
  <c r="AW297" i="31"/>
  <c r="OP301" i="31"/>
  <c r="N299" i="31"/>
  <c r="O300" i="31" s="1"/>
  <c r="CZ299" i="31"/>
  <c r="GJ298" i="31"/>
  <c r="GP298" i="31" s="1"/>
  <c r="DA298" i="31"/>
  <c r="AU299" i="31" l="1"/>
  <c r="AV299" i="31" s="1"/>
  <c r="AW298" i="31"/>
  <c r="OP302" i="31"/>
  <c r="N300" i="31"/>
  <c r="O301" i="31" s="1"/>
  <c r="CZ300" i="31"/>
  <c r="GJ299" i="31"/>
  <c r="GP299" i="31" s="1"/>
  <c r="DA299" i="31"/>
  <c r="AU300" i="31" l="1"/>
  <c r="AV300" i="31" s="1"/>
  <c r="AW299" i="31"/>
  <c r="OP303" i="31"/>
  <c r="N301" i="31"/>
  <c r="O302" i="31" s="1"/>
  <c r="CZ301" i="31"/>
  <c r="DA300" i="31"/>
  <c r="GJ300" i="31"/>
  <c r="GP300" i="31" s="1"/>
  <c r="AU301" i="31" l="1"/>
  <c r="AV301" i="31" s="1"/>
  <c r="AW300" i="31"/>
  <c r="OP304" i="31"/>
  <c r="N302" i="31"/>
  <c r="O303" i="31" s="1"/>
  <c r="CZ302" i="31"/>
  <c r="GJ301" i="31"/>
  <c r="GP301" i="31" s="1"/>
  <c r="DA301" i="31"/>
  <c r="AU302" i="31" l="1"/>
  <c r="AV302" i="31" s="1"/>
  <c r="AW301" i="31"/>
  <c r="OP305" i="31"/>
  <c r="N303" i="31"/>
  <c r="O304" i="31" s="1"/>
  <c r="CZ303" i="31"/>
  <c r="GJ302" i="31"/>
  <c r="GP302" i="31" s="1"/>
  <c r="DA302" i="31"/>
  <c r="AU303" i="31" l="1"/>
  <c r="AV303" i="31" s="1"/>
  <c r="AW302" i="31"/>
  <c r="OP306" i="31"/>
  <c r="N304" i="31"/>
  <c r="O305" i="31" s="1"/>
  <c r="CZ304" i="31"/>
  <c r="DA303" i="31"/>
  <c r="GJ303" i="31"/>
  <c r="GP303" i="31" s="1"/>
  <c r="AU304" i="31" l="1"/>
  <c r="AV304" i="31" s="1"/>
  <c r="AW303" i="31"/>
  <c r="OP307" i="31"/>
  <c r="N305" i="31"/>
  <c r="O306" i="31" s="1"/>
  <c r="CZ305" i="31"/>
  <c r="DA304" i="31"/>
  <c r="GJ304" i="31"/>
  <c r="GP304" i="31" s="1"/>
  <c r="AU305" i="31" l="1"/>
  <c r="AV305" i="31" s="1"/>
  <c r="AW304" i="31"/>
  <c r="OP308" i="31"/>
  <c r="N306" i="31"/>
  <c r="O307" i="31" s="1"/>
  <c r="CZ306" i="31"/>
  <c r="DA305" i="31"/>
  <c r="GJ305" i="31"/>
  <c r="GP305" i="31" s="1"/>
  <c r="AU306" i="31" l="1"/>
  <c r="AV306" i="31" s="1"/>
  <c r="AW305" i="31"/>
  <c r="OP309" i="31"/>
  <c r="N307" i="31"/>
  <c r="O308" i="31" s="1"/>
  <c r="CZ307" i="31"/>
  <c r="DA306" i="31"/>
  <c r="GJ306" i="31"/>
  <c r="GP306" i="31" s="1"/>
  <c r="AU307" i="31" l="1"/>
  <c r="AV307" i="31" s="1"/>
  <c r="AW306" i="31"/>
  <c r="OP310" i="31"/>
  <c r="N308" i="31"/>
  <c r="O309" i="31" s="1"/>
  <c r="CZ308" i="31"/>
  <c r="GJ307" i="31"/>
  <c r="GP307" i="31" s="1"/>
  <c r="DA307" i="31"/>
  <c r="AU308" i="31" l="1"/>
  <c r="AV308" i="31" s="1"/>
  <c r="AW307" i="31"/>
  <c r="OP311" i="31"/>
  <c r="N309" i="31"/>
  <c r="O310" i="31" s="1"/>
  <c r="CZ309" i="31"/>
  <c r="DA308" i="31"/>
  <c r="GJ308" i="31"/>
  <c r="GP308" i="31" s="1"/>
  <c r="AU309" i="31" l="1"/>
  <c r="AV309" i="31" s="1"/>
  <c r="AW308" i="31"/>
  <c r="OP312" i="31"/>
  <c r="N310" i="31"/>
  <c r="O311" i="31" s="1"/>
  <c r="CZ310" i="31"/>
  <c r="GJ309" i="31"/>
  <c r="GP309" i="31" s="1"/>
  <c r="DA309" i="31"/>
  <c r="AU310" i="31" l="1"/>
  <c r="AV310" i="31" s="1"/>
  <c r="AW309" i="31"/>
  <c r="OP313" i="31"/>
  <c r="N311" i="31"/>
  <c r="O312" i="31" s="1"/>
  <c r="CZ311" i="31"/>
  <c r="DA310" i="31"/>
  <c r="GJ310" i="31"/>
  <c r="GP310" i="31" s="1"/>
  <c r="AU311" i="31" l="1"/>
  <c r="AV311" i="31" s="1"/>
  <c r="AW310" i="31"/>
  <c r="OP314" i="31"/>
  <c r="N312" i="31"/>
  <c r="O313" i="31" s="1"/>
  <c r="CZ312" i="31"/>
  <c r="GJ311" i="31"/>
  <c r="GP311" i="31" s="1"/>
  <c r="DA311" i="31"/>
  <c r="AU312" i="31" l="1"/>
  <c r="AV312" i="31" s="1"/>
  <c r="AW311" i="31"/>
  <c r="OP315" i="31"/>
  <c r="N313" i="31"/>
  <c r="O314" i="31" s="1"/>
  <c r="CZ313" i="31"/>
  <c r="DA312" i="31"/>
  <c r="GJ312" i="31"/>
  <c r="GP312" i="31" s="1"/>
  <c r="AU313" i="31" l="1"/>
  <c r="AV313" i="31" s="1"/>
  <c r="AW312" i="31"/>
  <c r="OP316" i="31"/>
  <c r="N314" i="31"/>
  <c r="O315" i="31" s="1"/>
  <c r="CZ314" i="31"/>
  <c r="GJ313" i="31"/>
  <c r="GP313" i="31" s="1"/>
  <c r="DA313" i="31"/>
  <c r="AU314" i="31" l="1"/>
  <c r="AV314" i="31" s="1"/>
  <c r="AW313" i="31"/>
  <c r="OP317" i="31"/>
  <c r="N315" i="31"/>
  <c r="O316" i="31" s="1"/>
  <c r="CZ315" i="31"/>
  <c r="GJ314" i="31"/>
  <c r="GP314" i="31" s="1"/>
  <c r="DA314" i="31"/>
  <c r="AU315" i="31" l="1"/>
  <c r="AV315" i="31" s="1"/>
  <c r="AW314" i="31"/>
  <c r="OP318" i="31"/>
  <c r="N316" i="31"/>
  <c r="O317" i="31" s="1"/>
  <c r="CZ316" i="31"/>
  <c r="GJ315" i="31"/>
  <c r="GP315" i="31" s="1"/>
  <c r="DA315" i="31"/>
  <c r="AU316" i="31" l="1"/>
  <c r="AV316" i="31" s="1"/>
  <c r="AW315" i="31"/>
  <c r="OP319" i="31"/>
  <c r="N317" i="31"/>
  <c r="O318" i="31" s="1"/>
  <c r="CZ317" i="31"/>
  <c r="GJ316" i="31"/>
  <c r="GP316" i="31" s="1"/>
  <c r="DA316" i="31"/>
  <c r="AU317" i="31" l="1"/>
  <c r="AV317" i="31" s="1"/>
  <c r="AW316" i="31"/>
  <c r="OP320" i="31"/>
  <c r="N318" i="31"/>
  <c r="O319" i="31" s="1"/>
  <c r="CZ318" i="31"/>
  <c r="GJ317" i="31"/>
  <c r="GP317" i="31" s="1"/>
  <c r="DA317" i="31"/>
  <c r="AU318" i="31" l="1"/>
  <c r="AV318" i="31" s="1"/>
  <c r="AW317" i="31"/>
  <c r="OP321" i="31"/>
  <c r="N319" i="31"/>
  <c r="O320" i="31" s="1"/>
  <c r="CZ319" i="31"/>
  <c r="GJ318" i="31"/>
  <c r="GP318" i="31" s="1"/>
  <c r="DA318" i="31"/>
  <c r="AU319" i="31" l="1"/>
  <c r="AV319" i="31" s="1"/>
  <c r="AW318" i="31"/>
  <c r="OP322" i="31"/>
  <c r="N320" i="31"/>
  <c r="O321" i="31" s="1"/>
  <c r="CZ320" i="31"/>
  <c r="DA319" i="31"/>
  <c r="GJ319" i="31"/>
  <c r="GP319" i="31" s="1"/>
  <c r="AU320" i="31" l="1"/>
  <c r="AV320" i="31" s="1"/>
  <c r="AW319" i="31"/>
  <c r="OP323" i="31"/>
  <c r="N321" i="31"/>
  <c r="O322" i="31" s="1"/>
  <c r="CZ321" i="31"/>
  <c r="DA320" i="31"/>
  <c r="GJ320" i="31"/>
  <c r="GP320" i="31" s="1"/>
  <c r="AU321" i="31" l="1"/>
  <c r="AV321" i="31" s="1"/>
  <c r="AW320" i="31"/>
  <c r="OP324" i="31"/>
  <c r="N322" i="31"/>
  <c r="O323" i="31" s="1"/>
  <c r="CZ322" i="31"/>
  <c r="DA321" i="31"/>
  <c r="GJ321" i="31"/>
  <c r="GP321" i="31" s="1"/>
  <c r="AU322" i="31" l="1"/>
  <c r="AV322" i="31" s="1"/>
  <c r="AW321" i="31"/>
  <c r="OP325" i="31"/>
  <c r="N323" i="31"/>
  <c r="O324" i="31" s="1"/>
  <c r="CZ323" i="31"/>
  <c r="GJ322" i="31"/>
  <c r="GP322" i="31" s="1"/>
  <c r="DA322" i="31"/>
  <c r="AU323" i="31" l="1"/>
  <c r="AV323" i="31" s="1"/>
  <c r="AW322" i="31"/>
  <c r="OP326" i="31"/>
  <c r="N324" i="31"/>
  <c r="O325" i="31" s="1"/>
  <c r="CZ324" i="31"/>
  <c r="DA323" i="31"/>
  <c r="GJ323" i="31"/>
  <c r="GP323" i="31" s="1"/>
  <c r="AU324" i="31" l="1"/>
  <c r="AV324" i="31" s="1"/>
  <c r="AW323" i="31"/>
  <c r="OP327" i="31"/>
  <c r="N325" i="31"/>
  <c r="O326" i="31" s="1"/>
  <c r="CZ325" i="31"/>
  <c r="GJ324" i="31"/>
  <c r="GP324" i="31" s="1"/>
  <c r="DA324" i="31"/>
  <c r="AU325" i="31" l="1"/>
  <c r="AV325" i="31" s="1"/>
  <c r="AW324" i="31"/>
  <c r="OP328" i="31"/>
  <c r="N326" i="31"/>
  <c r="O327" i="31" s="1"/>
  <c r="CZ326" i="31"/>
  <c r="DA325" i="31"/>
  <c r="GJ325" i="31"/>
  <c r="GP325" i="31" s="1"/>
  <c r="AU326" i="31" l="1"/>
  <c r="AV326" i="31" s="1"/>
  <c r="AW325" i="31"/>
  <c r="OP329" i="31"/>
  <c r="N327" i="31"/>
  <c r="O328" i="31" s="1"/>
  <c r="CZ327" i="31"/>
  <c r="DA326" i="31"/>
  <c r="GJ326" i="31"/>
  <c r="GP326" i="31" s="1"/>
  <c r="AU327" i="31" l="1"/>
  <c r="AV327" i="31" s="1"/>
  <c r="AW326" i="31"/>
  <c r="OP330" i="31"/>
  <c r="N328" i="31"/>
  <c r="O329" i="31" s="1"/>
  <c r="CZ328" i="31"/>
  <c r="GJ327" i="31"/>
  <c r="GP327" i="31" s="1"/>
  <c r="DA327" i="31"/>
  <c r="AU328" i="31" l="1"/>
  <c r="AV328" i="31" s="1"/>
  <c r="AW327" i="31"/>
  <c r="OP331" i="31"/>
  <c r="N329" i="31"/>
  <c r="O330" i="31" s="1"/>
  <c r="CZ329" i="31"/>
  <c r="GJ328" i="31"/>
  <c r="GP328" i="31" s="1"/>
  <c r="DA328" i="31"/>
  <c r="AU329" i="31" l="1"/>
  <c r="AV329" i="31" s="1"/>
  <c r="AW328" i="31"/>
  <c r="OP332" i="31"/>
  <c r="N330" i="31"/>
  <c r="O331" i="31" s="1"/>
  <c r="CZ330" i="31"/>
  <c r="GJ329" i="31"/>
  <c r="GP329" i="31" s="1"/>
  <c r="DA329" i="31"/>
  <c r="AU330" i="31" l="1"/>
  <c r="AV330" i="31" s="1"/>
  <c r="AW329" i="31"/>
  <c r="OP333" i="31"/>
  <c r="N331" i="31"/>
  <c r="O332" i="31" s="1"/>
  <c r="CZ331" i="31"/>
  <c r="GJ330" i="31"/>
  <c r="GP330" i="31" s="1"/>
  <c r="DA330" i="31"/>
  <c r="AU331" i="31" l="1"/>
  <c r="AV331" i="31" s="1"/>
  <c r="AW330" i="31"/>
  <c r="OP334" i="31"/>
  <c r="N332" i="31"/>
  <c r="O333" i="31" s="1"/>
  <c r="CZ332" i="31"/>
  <c r="DA331" i="31"/>
  <c r="GJ331" i="31"/>
  <c r="GP331" i="31" s="1"/>
  <c r="AU332" i="31" l="1"/>
  <c r="AV332" i="31" s="1"/>
  <c r="AW331" i="31"/>
  <c r="OP335" i="31"/>
  <c r="N333" i="31"/>
  <c r="O334" i="31" s="1"/>
  <c r="CZ333" i="31"/>
  <c r="DA332" i="31"/>
  <c r="GJ332" i="31"/>
  <c r="GP332" i="31" s="1"/>
  <c r="AU333" i="31" l="1"/>
  <c r="AV333" i="31" s="1"/>
  <c r="AW332" i="31"/>
  <c r="OP336" i="31"/>
  <c r="N334" i="31"/>
  <c r="O335" i="31" s="1"/>
  <c r="CZ334" i="31"/>
  <c r="GJ333" i="31"/>
  <c r="GP333" i="31" s="1"/>
  <c r="DA333" i="31"/>
  <c r="AU334" i="31" l="1"/>
  <c r="AV334" i="31" s="1"/>
  <c r="AW333" i="31"/>
  <c r="OP337" i="31"/>
  <c r="N335" i="31"/>
  <c r="O336" i="31" s="1"/>
  <c r="CZ335" i="31"/>
  <c r="GJ334" i="31"/>
  <c r="GP334" i="31" s="1"/>
  <c r="DA334" i="31"/>
  <c r="AU335" i="31" l="1"/>
  <c r="AV335" i="31" s="1"/>
  <c r="AW334" i="31"/>
  <c r="OP338" i="31"/>
  <c r="N336" i="31"/>
  <c r="O337" i="31" s="1"/>
  <c r="CZ336" i="31"/>
  <c r="GJ335" i="31"/>
  <c r="GP335" i="31" s="1"/>
  <c r="DA335" i="31"/>
  <c r="AU336" i="31" l="1"/>
  <c r="AV336" i="31" s="1"/>
  <c r="AW335" i="31"/>
  <c r="OP339" i="31"/>
  <c r="N337" i="31"/>
  <c r="O338" i="31" s="1"/>
  <c r="CZ337" i="31"/>
  <c r="GJ336" i="31"/>
  <c r="GP336" i="31" s="1"/>
  <c r="DA336" i="31"/>
  <c r="AU337" i="31" l="1"/>
  <c r="AV337" i="31" s="1"/>
  <c r="AW336" i="31"/>
  <c r="OP340" i="31"/>
  <c r="N338" i="31"/>
  <c r="O339" i="31" s="1"/>
  <c r="CZ338" i="31"/>
  <c r="DA337" i="31"/>
  <c r="GJ337" i="31"/>
  <c r="GP337" i="31" s="1"/>
  <c r="AU338" i="31" l="1"/>
  <c r="AV338" i="31" s="1"/>
  <c r="AW337" i="31"/>
  <c r="OP341" i="31"/>
  <c r="N339" i="31"/>
  <c r="O340" i="31" s="1"/>
  <c r="CZ339" i="31"/>
  <c r="GJ338" i="31"/>
  <c r="GP338" i="31" s="1"/>
  <c r="DA338" i="31"/>
  <c r="AU339" i="31" l="1"/>
  <c r="AV339" i="31" s="1"/>
  <c r="AW338" i="31"/>
  <c r="OP342" i="31"/>
  <c r="N340" i="31"/>
  <c r="O341" i="31" s="1"/>
  <c r="CZ340" i="31"/>
  <c r="DA339" i="31"/>
  <c r="GJ339" i="31"/>
  <c r="GP339" i="31" s="1"/>
  <c r="AU340" i="31" l="1"/>
  <c r="AV340" i="31" s="1"/>
  <c r="AW339" i="31"/>
  <c r="OP343" i="31"/>
  <c r="N341" i="31"/>
  <c r="O342" i="31" s="1"/>
  <c r="CZ341" i="31"/>
  <c r="DA340" i="31"/>
  <c r="GJ340" i="31"/>
  <c r="GP340" i="31" s="1"/>
  <c r="AU341" i="31" l="1"/>
  <c r="AV341" i="31" s="1"/>
  <c r="AW340" i="31"/>
  <c r="OP344" i="31"/>
  <c r="N342" i="31"/>
  <c r="O343" i="31" s="1"/>
  <c r="CZ342" i="31"/>
  <c r="DA341" i="31"/>
  <c r="GJ341" i="31"/>
  <c r="GP341" i="31" s="1"/>
  <c r="AU342" i="31" l="1"/>
  <c r="AV342" i="31" s="1"/>
  <c r="AW341" i="31"/>
  <c r="OP345" i="31"/>
  <c r="N343" i="31"/>
  <c r="O344" i="31" s="1"/>
  <c r="CZ343" i="31"/>
  <c r="DA342" i="31"/>
  <c r="GJ342" i="31"/>
  <c r="GP342" i="31" s="1"/>
  <c r="AU343" i="31" l="1"/>
  <c r="AV343" i="31" s="1"/>
  <c r="AW342" i="31"/>
  <c r="OP346" i="31"/>
  <c r="N344" i="31"/>
  <c r="O345" i="31" s="1"/>
  <c r="CZ344" i="31"/>
  <c r="DA343" i="31"/>
  <c r="GJ343" i="31"/>
  <c r="GP343" i="31" s="1"/>
  <c r="AU344" i="31" l="1"/>
  <c r="AV344" i="31" s="1"/>
  <c r="AW343" i="31"/>
  <c r="OP347" i="31"/>
  <c r="N345" i="31"/>
  <c r="O346" i="31" s="1"/>
  <c r="CZ345" i="31"/>
  <c r="DA344" i="31"/>
  <c r="GJ344" i="31"/>
  <c r="GP344" i="31" s="1"/>
  <c r="AU345" i="31" l="1"/>
  <c r="AV345" i="31" s="1"/>
  <c r="AW344" i="31"/>
  <c r="OP348" i="31"/>
  <c r="N346" i="31"/>
  <c r="O347" i="31" s="1"/>
  <c r="CZ346" i="31"/>
  <c r="GJ345" i="31"/>
  <c r="GP345" i="31" s="1"/>
  <c r="DA345" i="31"/>
  <c r="AU346" i="31" l="1"/>
  <c r="AV346" i="31" s="1"/>
  <c r="AW345" i="31"/>
  <c r="OP349" i="31"/>
  <c r="N347" i="31"/>
  <c r="O348" i="31" s="1"/>
  <c r="CZ347" i="31"/>
  <c r="GJ346" i="31"/>
  <c r="GP346" i="31" s="1"/>
  <c r="DA346" i="31"/>
  <c r="AU347" i="31" l="1"/>
  <c r="AV347" i="31" s="1"/>
  <c r="AW346" i="31"/>
  <c r="OP350" i="31"/>
  <c r="N348" i="31"/>
  <c r="O349" i="31" s="1"/>
  <c r="CZ348" i="31"/>
  <c r="GJ347" i="31"/>
  <c r="GP347" i="31" s="1"/>
  <c r="DA347" i="31"/>
  <c r="AU348" i="31" l="1"/>
  <c r="AV348" i="31" s="1"/>
  <c r="AW347" i="31"/>
  <c r="OP351" i="31"/>
  <c r="N349" i="31"/>
  <c r="O350" i="31" s="1"/>
  <c r="CZ349" i="31"/>
  <c r="DA348" i="31"/>
  <c r="GJ348" i="31"/>
  <c r="GP348" i="31" s="1"/>
  <c r="AU349" i="31" l="1"/>
  <c r="AV349" i="31" s="1"/>
  <c r="AW348" i="31"/>
  <c r="OP352" i="31"/>
  <c r="N350" i="31"/>
  <c r="O351" i="31" s="1"/>
  <c r="CZ350" i="31"/>
  <c r="GJ349" i="31"/>
  <c r="GP349" i="31" s="1"/>
  <c r="DA349" i="31"/>
  <c r="AU350" i="31" l="1"/>
  <c r="AV350" i="31" s="1"/>
  <c r="AW349" i="31"/>
  <c r="OP353" i="31"/>
  <c r="N351" i="31"/>
  <c r="O352" i="31" s="1"/>
  <c r="CZ351" i="31"/>
  <c r="DA350" i="31"/>
  <c r="GJ350" i="31"/>
  <c r="GP350" i="31" s="1"/>
  <c r="AU351" i="31" l="1"/>
  <c r="AV351" i="31" s="1"/>
  <c r="AW350" i="31"/>
  <c r="OP354" i="31"/>
  <c r="N352" i="31"/>
  <c r="O353" i="31" s="1"/>
  <c r="CZ352" i="31"/>
  <c r="GJ351" i="31"/>
  <c r="GP351" i="31" s="1"/>
  <c r="DA351" i="31"/>
  <c r="AU352" i="31" l="1"/>
  <c r="AV352" i="31" s="1"/>
  <c r="AW351" i="31"/>
  <c r="OP355" i="31"/>
  <c r="N353" i="31"/>
  <c r="O354" i="31" s="1"/>
  <c r="CZ353" i="31"/>
  <c r="DA352" i="31"/>
  <c r="GJ352" i="31"/>
  <c r="GP352" i="31" s="1"/>
  <c r="CW370" i="31"/>
  <c r="HN370" i="31" s="1"/>
  <c r="AU353" i="31" l="1"/>
  <c r="AV353" i="31" s="1"/>
  <c r="AW352" i="31"/>
  <c r="OP356" i="31"/>
  <c r="N354" i="31"/>
  <c r="O355" i="31" s="1"/>
  <c r="CZ354" i="31"/>
  <c r="GJ353" i="31"/>
  <c r="GP353" i="31" s="1"/>
  <c r="DA353" i="31"/>
  <c r="CW369" i="31"/>
  <c r="HN369" i="31" s="1"/>
  <c r="AU354" i="31" l="1"/>
  <c r="AV354" i="31" s="1"/>
  <c r="AW353" i="31"/>
  <c r="OP357" i="31"/>
  <c r="N355" i="31"/>
  <c r="O356" i="31" s="1"/>
  <c r="CZ355" i="31"/>
  <c r="DA354" i="31"/>
  <c r="GJ354" i="31"/>
  <c r="GP354" i="31" s="1"/>
  <c r="CW368" i="31"/>
  <c r="HN368" i="31" s="1"/>
  <c r="AU355" i="31" l="1"/>
  <c r="AV355" i="31" s="1"/>
  <c r="AW354" i="31"/>
  <c r="OP358" i="31"/>
  <c r="N356" i="31"/>
  <c r="O357" i="31" s="1"/>
  <c r="CZ356" i="31"/>
  <c r="GJ355" i="31"/>
  <c r="GP355" i="31" s="1"/>
  <c r="DA355" i="31"/>
  <c r="CW367" i="31"/>
  <c r="HN367" i="31" s="1"/>
  <c r="AU356" i="31" l="1"/>
  <c r="AV356" i="31" s="1"/>
  <c r="AW355" i="31"/>
  <c r="OP359" i="31"/>
  <c r="N357" i="31"/>
  <c r="O358" i="31" s="1"/>
  <c r="CZ357" i="31"/>
  <c r="GJ356" i="31"/>
  <c r="GP356" i="31" s="1"/>
  <c r="DA356" i="31"/>
  <c r="CW366" i="31"/>
  <c r="HN366" i="31" s="1"/>
  <c r="AU357" i="31" l="1"/>
  <c r="AV357" i="31" s="1"/>
  <c r="AW356" i="31"/>
  <c r="OP360" i="31"/>
  <c r="N358" i="31"/>
  <c r="O359" i="31" s="1"/>
  <c r="CZ358" i="31"/>
  <c r="DA357" i="31"/>
  <c r="GJ357" i="31"/>
  <c r="GP357" i="31" s="1"/>
  <c r="CW365" i="31"/>
  <c r="HN365" i="31" s="1"/>
  <c r="AU358" i="31" l="1"/>
  <c r="AV358" i="31" s="1"/>
  <c r="AW357" i="31"/>
  <c r="OP361" i="31"/>
  <c r="N359" i="31"/>
  <c r="O360" i="31" s="1"/>
  <c r="CZ359" i="31"/>
  <c r="DA358" i="31"/>
  <c r="GJ358" i="31"/>
  <c r="GP358" i="31" s="1"/>
  <c r="CW364" i="31"/>
  <c r="HN364" i="31" s="1"/>
  <c r="AU359" i="31" l="1"/>
  <c r="AV359" i="31" s="1"/>
  <c r="AW358" i="31"/>
  <c r="OP362" i="31"/>
  <c r="N360" i="31"/>
  <c r="O361" i="31" s="1"/>
  <c r="CZ360" i="31"/>
  <c r="GJ359" i="31"/>
  <c r="GP359" i="31" s="1"/>
  <c r="DA359" i="31"/>
  <c r="CW363" i="31"/>
  <c r="HN363" i="31" s="1"/>
  <c r="AU360" i="31" l="1"/>
  <c r="AV360" i="31" s="1"/>
  <c r="AW359" i="31"/>
  <c r="OP363" i="31"/>
  <c r="N361" i="31"/>
  <c r="O362" i="31" s="1"/>
  <c r="CZ361" i="31"/>
  <c r="GJ360" i="31"/>
  <c r="GP360" i="31" s="1"/>
  <c r="DA360" i="31"/>
  <c r="CW362" i="31"/>
  <c r="HN362" i="31" s="1"/>
  <c r="AU361" i="31" l="1"/>
  <c r="AV361" i="31" s="1"/>
  <c r="AW360" i="31"/>
  <c r="OP364" i="31"/>
  <c r="N362" i="31"/>
  <c r="O363" i="31" s="1"/>
  <c r="CZ362" i="31"/>
  <c r="GJ361" i="31"/>
  <c r="GP361" i="31" s="1"/>
  <c r="DA361" i="31"/>
  <c r="CW361" i="31"/>
  <c r="HN361" i="31" s="1"/>
  <c r="AU362" i="31" l="1"/>
  <c r="AV362" i="31" s="1"/>
  <c r="AW361" i="31"/>
  <c r="OP365" i="31"/>
  <c r="N363" i="31"/>
  <c r="O364" i="31" s="1"/>
  <c r="CZ363" i="31"/>
  <c r="GJ362" i="31"/>
  <c r="GP362" i="31" s="1"/>
  <c r="DA362" i="31"/>
  <c r="CW360" i="31"/>
  <c r="HN360" i="31" s="1"/>
  <c r="AU363" i="31" l="1"/>
  <c r="AV363" i="31" s="1"/>
  <c r="AW362" i="31"/>
  <c r="OP366" i="31"/>
  <c r="N364" i="31"/>
  <c r="O365" i="31" s="1"/>
  <c r="CZ364" i="31"/>
  <c r="GJ363" i="31"/>
  <c r="GP363" i="31" s="1"/>
  <c r="DA363" i="31"/>
  <c r="CW359" i="31"/>
  <c r="HN359" i="31" s="1"/>
  <c r="AU364" i="31" l="1"/>
  <c r="AV364" i="31" s="1"/>
  <c r="AW363" i="31"/>
  <c r="OP367" i="31"/>
  <c r="N365" i="31"/>
  <c r="O366" i="31" s="1"/>
  <c r="CZ365" i="31"/>
  <c r="DA364" i="31"/>
  <c r="GJ364" i="31"/>
  <c r="GP364" i="31" s="1"/>
  <c r="CW358" i="31"/>
  <c r="HN358" i="31" s="1"/>
  <c r="AU365" i="31" l="1"/>
  <c r="AV365" i="31" s="1"/>
  <c r="AW364" i="31"/>
  <c r="OP368" i="31"/>
  <c r="N366" i="31"/>
  <c r="O367" i="31" s="1"/>
  <c r="CZ366" i="31"/>
  <c r="DA365" i="31"/>
  <c r="GJ365" i="31"/>
  <c r="GP365" i="31" s="1"/>
  <c r="CW357" i="31"/>
  <c r="HN357" i="31" s="1"/>
  <c r="AU366" i="31" l="1"/>
  <c r="AV366" i="31" s="1"/>
  <c r="AW365" i="31"/>
  <c r="OP369" i="31"/>
  <c r="N367" i="31"/>
  <c r="O368" i="31" s="1"/>
  <c r="CZ367" i="31"/>
  <c r="GJ366" i="31"/>
  <c r="GP366" i="31" s="1"/>
  <c r="DA366" i="31"/>
  <c r="CW356" i="31"/>
  <c r="HN356" i="31" s="1"/>
  <c r="AU367" i="31" l="1"/>
  <c r="AV367" i="31" s="1"/>
  <c r="AW366" i="31"/>
  <c r="OP370" i="31"/>
  <c r="N368" i="31"/>
  <c r="O369" i="31" s="1"/>
  <c r="CZ368" i="31"/>
  <c r="GJ367" i="31"/>
  <c r="GP367" i="31" s="1"/>
  <c r="DA367" i="31"/>
  <c r="CW355" i="31"/>
  <c r="HN355" i="31" s="1"/>
  <c r="AU368" i="31" l="1"/>
  <c r="AV368" i="31" s="1"/>
  <c r="AW367" i="31"/>
  <c r="N369" i="31"/>
  <c r="O370" i="31" s="1"/>
  <c r="CZ369" i="31"/>
  <c r="GJ368" i="31"/>
  <c r="GP368" i="31" s="1"/>
  <c r="DA368" i="31"/>
  <c r="CW354" i="31"/>
  <c r="HN354" i="31" s="1"/>
  <c r="AU369" i="31" l="1"/>
  <c r="AV369" i="31" s="1"/>
  <c r="AW369" i="31" s="1"/>
  <c r="AW368" i="31"/>
  <c r="N370" i="31"/>
  <c r="CZ370" i="31"/>
  <c r="DA369" i="31"/>
  <c r="GJ369" i="31"/>
  <c r="GP369" i="31" s="1"/>
  <c r="CW353" i="31"/>
  <c r="HN353" i="31" s="1"/>
  <c r="AU370" i="31" l="1"/>
  <c r="AV370" i="31" s="1"/>
  <c r="AW370" i="31" s="1"/>
  <c r="C21" i="1" s="1"/>
  <c r="DA370" i="31"/>
  <c r="GJ370" i="31"/>
  <c r="GP370" i="31" s="1"/>
  <c r="CW352" i="31"/>
  <c r="HN352" i="31" s="1"/>
  <c r="CW351" i="31" l="1"/>
  <c r="HN351" i="31" s="1"/>
  <c r="CW350" i="31" l="1"/>
  <c r="HN350" i="31" s="1"/>
  <c r="CW349" i="31" l="1"/>
  <c r="HN349" i="31" s="1"/>
  <c r="CW348" i="31" l="1"/>
  <c r="HN348" i="31" s="1"/>
  <c r="CW347" i="31" l="1"/>
  <c r="HN347" i="31" s="1"/>
  <c r="CW346" i="31" l="1"/>
  <c r="HN346" i="31" s="1"/>
  <c r="CW345" i="31" l="1"/>
  <c r="HN345" i="31" s="1"/>
  <c r="CW344" i="31" l="1"/>
  <c r="HN344" i="31" s="1"/>
  <c r="CW343" i="31" l="1"/>
  <c r="HN343" i="31" s="1"/>
  <c r="CW342" i="31" l="1"/>
  <c r="HN342" i="31" s="1"/>
  <c r="CW341" i="31" l="1"/>
  <c r="HN341" i="31" s="1"/>
  <c r="CW340" i="31" l="1"/>
  <c r="HN340" i="31" s="1"/>
  <c r="CW339" i="31" l="1"/>
  <c r="HN339" i="31" s="1"/>
  <c r="CW338" i="31" l="1"/>
  <c r="HN338" i="31" s="1"/>
  <c r="CW337" i="31" l="1"/>
  <c r="HN337" i="31" s="1"/>
  <c r="CW336" i="31" l="1"/>
  <c r="HN336" i="31" s="1"/>
  <c r="CW335" i="31" l="1"/>
  <c r="HN335" i="31" s="1"/>
  <c r="CW334" i="31" l="1"/>
  <c r="HN334" i="31" s="1"/>
  <c r="CW333" i="31" l="1"/>
  <c r="HN333" i="31" s="1"/>
  <c r="CW332" i="31" l="1"/>
  <c r="HN332" i="31" s="1"/>
  <c r="CW331" i="31" l="1"/>
  <c r="HN331" i="31" s="1"/>
  <c r="CW330" i="31" l="1"/>
  <c r="HN330" i="31" s="1"/>
  <c r="CW329" i="31" l="1"/>
  <c r="HN329" i="31" s="1"/>
  <c r="CW328" i="31" l="1"/>
  <c r="HN328" i="31" s="1"/>
  <c r="CW327" i="31" l="1"/>
  <c r="HN327" i="31" s="1"/>
  <c r="CW326" i="31" l="1"/>
  <c r="HN326" i="31" s="1"/>
  <c r="CW325" i="31" l="1"/>
  <c r="HN325" i="31" s="1"/>
  <c r="CW324" i="31" l="1"/>
  <c r="HN324" i="31" s="1"/>
  <c r="CW323" i="31" l="1"/>
  <c r="HN323" i="31" s="1"/>
  <c r="CW322" i="31" l="1"/>
  <c r="HN322" i="31" s="1"/>
  <c r="CW321" i="31" l="1"/>
  <c r="HN321" i="31" s="1"/>
  <c r="CW320" i="31" l="1"/>
  <c r="HN320" i="31" s="1"/>
  <c r="CW319" i="31" l="1"/>
  <c r="HN319" i="31" s="1"/>
  <c r="CW318" i="31" l="1"/>
  <c r="HN318" i="31" s="1"/>
  <c r="CW317" i="31" l="1"/>
  <c r="HN317" i="31" s="1"/>
  <c r="CW316" i="31" l="1"/>
  <c r="HN316" i="31" s="1"/>
  <c r="CW315" i="31" l="1"/>
  <c r="HN315" i="31" s="1"/>
  <c r="CW314" i="31" l="1"/>
  <c r="HN314" i="31" s="1"/>
  <c r="CW313" i="31" l="1"/>
  <c r="HN313" i="31" s="1"/>
  <c r="CW312" i="31" l="1"/>
  <c r="HN312" i="31" s="1"/>
  <c r="CW311" i="31" l="1"/>
  <c r="HN311" i="31" s="1"/>
  <c r="CW310" i="31" l="1"/>
  <c r="HN310" i="31" s="1"/>
  <c r="CW309" i="31" l="1"/>
  <c r="HN309" i="31" s="1"/>
  <c r="CW308" i="31" l="1"/>
  <c r="HN308" i="31" s="1"/>
  <c r="CW307" i="31" l="1"/>
  <c r="HN307" i="31" s="1"/>
  <c r="CW306" i="31" l="1"/>
  <c r="HN306" i="31" s="1"/>
  <c r="CW305" i="31" l="1"/>
  <c r="HN305" i="31" s="1"/>
  <c r="CW304" i="31" l="1"/>
  <c r="HN304" i="31" s="1"/>
  <c r="CW303" i="31" l="1"/>
  <c r="HN303" i="31" s="1"/>
  <c r="CW302" i="31" l="1"/>
  <c r="HN302" i="31" s="1"/>
  <c r="CW301" i="31" l="1"/>
  <c r="HN301" i="31" s="1"/>
  <c r="CW300" i="31" l="1"/>
  <c r="HN300" i="31" s="1"/>
  <c r="CW299" i="31" l="1"/>
  <c r="HN299" i="31" s="1"/>
  <c r="CW298" i="31" l="1"/>
  <c r="HN298" i="31" s="1"/>
  <c r="CW297" i="31" l="1"/>
  <c r="HN297" i="31" s="1"/>
  <c r="CW296" i="31" l="1"/>
  <c r="HN296" i="31" s="1"/>
  <c r="CW295" i="31" l="1"/>
  <c r="HN295" i="31" s="1"/>
  <c r="CW294" i="31" l="1"/>
  <c r="HN294" i="31" s="1"/>
  <c r="CW293" i="31" l="1"/>
  <c r="HN293" i="31" s="1"/>
  <c r="CW292" i="31" l="1"/>
  <c r="HN292" i="31" s="1"/>
  <c r="CW291" i="31" l="1"/>
  <c r="HN291" i="31" s="1"/>
  <c r="CW290" i="31" l="1"/>
  <c r="HN290" i="31" s="1"/>
  <c r="CW289" i="31" l="1"/>
  <c r="HN289" i="31" s="1"/>
  <c r="CW288" i="31" l="1"/>
  <c r="HN288" i="31" s="1"/>
  <c r="CW287" i="31" l="1"/>
  <c r="HN287" i="31" s="1"/>
  <c r="CW286" i="31" l="1"/>
  <c r="HN286" i="31" s="1"/>
  <c r="CW285" i="31" l="1"/>
  <c r="HN285" i="31" s="1"/>
  <c r="CW284" i="31" l="1"/>
  <c r="HN284" i="31" s="1"/>
  <c r="CW283" i="31" l="1"/>
  <c r="HN283" i="31" s="1"/>
  <c r="CW282" i="31" l="1"/>
  <c r="HN282" i="31" s="1"/>
  <c r="CW281" i="31" l="1"/>
  <c r="HN281" i="31" s="1"/>
  <c r="CW280" i="31" l="1"/>
  <c r="HN280" i="31" s="1"/>
  <c r="CW279" i="31" l="1"/>
  <c r="HN279" i="31" s="1"/>
  <c r="CW278" i="31" l="1"/>
  <c r="HN278" i="31" s="1"/>
  <c r="CW277" i="31" l="1"/>
  <c r="HN277" i="31" s="1"/>
  <c r="CW276" i="31" l="1"/>
  <c r="HN276" i="31" s="1"/>
  <c r="CW275" i="31" l="1"/>
  <c r="HN275" i="31" s="1"/>
  <c r="CW274" i="31" l="1"/>
  <c r="HN274" i="31" s="1"/>
  <c r="CW273" i="31" l="1"/>
  <c r="HN273" i="31" s="1"/>
  <c r="CW272" i="31" l="1"/>
  <c r="HN272" i="31" s="1"/>
  <c r="CW271" i="31" l="1"/>
  <c r="HN271" i="31" s="1"/>
  <c r="CW270" i="31" l="1"/>
  <c r="HN270" i="31" s="1"/>
  <c r="CW269" i="31" l="1"/>
  <c r="HN269" i="31" s="1"/>
  <c r="CW268" i="31" l="1"/>
  <c r="HN268" i="31" s="1"/>
  <c r="CW267" i="31" l="1"/>
  <c r="HN267" i="31" s="1"/>
  <c r="CW266" i="31" l="1"/>
  <c r="HN266" i="31" s="1"/>
  <c r="CW265" i="31" l="1"/>
  <c r="HN265" i="31" s="1"/>
  <c r="CW264" i="31" l="1"/>
  <c r="HN264" i="31" s="1"/>
  <c r="CW263" i="31" l="1"/>
  <c r="HN263" i="31" s="1"/>
  <c r="CW262" i="31" l="1"/>
  <c r="HN262" i="31" s="1"/>
  <c r="CW261" i="31" l="1"/>
  <c r="HN261" i="31" s="1"/>
  <c r="CW260" i="31" l="1"/>
  <c r="HN260" i="31" s="1"/>
  <c r="CW259" i="31" l="1"/>
  <c r="HN259" i="31" s="1"/>
  <c r="CW258" i="31" l="1"/>
  <c r="HN258" i="31" s="1"/>
  <c r="CW257" i="31" l="1"/>
  <c r="HN257" i="31" s="1"/>
  <c r="CW256" i="31" l="1"/>
  <c r="HN256" i="31" s="1"/>
  <c r="CW255" i="31" l="1"/>
  <c r="HN255" i="31" s="1"/>
  <c r="CW254" i="31" l="1"/>
  <c r="HN254" i="31" s="1"/>
  <c r="CW253" i="31" l="1"/>
  <c r="HN253" i="31" s="1"/>
  <c r="CW252" i="31" l="1"/>
  <c r="HN252" i="31" s="1"/>
  <c r="CW251" i="31" l="1"/>
  <c r="HN251" i="31" s="1"/>
  <c r="CW250" i="31" l="1"/>
  <c r="HN250" i="31" s="1"/>
  <c r="CW249" i="31" l="1"/>
  <c r="HN249" i="31" s="1"/>
  <c r="CW248" i="31" l="1"/>
  <c r="HN248" i="31" s="1"/>
  <c r="CW247" i="31" l="1"/>
  <c r="HN247" i="31" s="1"/>
  <c r="CW246" i="31" l="1"/>
  <c r="HN246" i="31" s="1"/>
  <c r="CW245" i="31" l="1"/>
  <c r="HN245" i="31" s="1"/>
  <c r="CW244" i="31" l="1"/>
  <c r="HN244" i="31" s="1"/>
  <c r="CW243" i="31" l="1"/>
  <c r="HN243" i="31" s="1"/>
  <c r="CW242" i="31" l="1"/>
  <c r="HN242" i="31" s="1"/>
  <c r="CW241" i="31" l="1"/>
  <c r="HN241" i="31" s="1"/>
  <c r="CW240" i="31" l="1"/>
  <c r="HN240" i="31" s="1"/>
  <c r="CW239" i="31" l="1"/>
  <c r="HN239" i="31" s="1"/>
  <c r="CW238" i="31" l="1"/>
  <c r="HN238" i="31" s="1"/>
  <c r="CW237" i="31" l="1"/>
  <c r="HN237" i="31" s="1"/>
  <c r="CW236" i="31" l="1"/>
  <c r="HN236" i="31" s="1"/>
  <c r="CW235" i="31" l="1"/>
  <c r="HN235" i="31" s="1"/>
  <c r="CW234" i="31" l="1"/>
  <c r="HN234" i="31" s="1"/>
  <c r="CW233" i="31" l="1"/>
  <c r="HN233" i="31" s="1"/>
  <c r="CW232" i="31" l="1"/>
  <c r="HN232" i="31" s="1"/>
  <c r="CW231" i="31" l="1"/>
  <c r="HN231" i="31" s="1"/>
  <c r="CW230" i="31" l="1"/>
  <c r="HN230" i="31" s="1"/>
  <c r="CW229" i="31" l="1"/>
  <c r="HN229" i="31" s="1"/>
  <c r="CW228" i="31" l="1"/>
  <c r="HN228" i="31" s="1"/>
  <c r="CW227" i="31" l="1"/>
  <c r="HN227" i="31" s="1"/>
  <c r="CW226" i="31" l="1"/>
  <c r="HN226" i="31" s="1"/>
  <c r="CW225" i="31" l="1"/>
  <c r="HN225" i="31" s="1"/>
  <c r="CW224" i="31" l="1"/>
  <c r="HN224" i="31" s="1"/>
  <c r="CW223" i="31" l="1"/>
  <c r="HN223" i="31" s="1"/>
  <c r="CW222" i="31" l="1"/>
  <c r="HN222" i="31" s="1"/>
  <c r="CW221" i="31" l="1"/>
  <c r="HN221" i="31" s="1"/>
  <c r="CW220" i="31" l="1"/>
  <c r="HN220" i="31" s="1"/>
  <c r="CW219" i="31" l="1"/>
  <c r="HN219" i="31" s="1"/>
  <c r="CW218" i="31" l="1"/>
  <c r="HN218" i="31" s="1"/>
  <c r="CW217" i="31" l="1"/>
  <c r="HN217" i="31" s="1"/>
  <c r="CW216" i="31" l="1"/>
  <c r="HN216" i="31" s="1"/>
  <c r="CW215" i="31" l="1"/>
  <c r="HN215" i="31" s="1"/>
  <c r="CW214" i="31" l="1"/>
  <c r="HN214" i="31" s="1"/>
  <c r="CW213" i="31" l="1"/>
  <c r="HN213" i="31" s="1"/>
  <c r="CW212" i="31" l="1"/>
  <c r="HN212" i="31" s="1"/>
  <c r="CW211" i="31" l="1"/>
  <c r="HN211" i="31" s="1"/>
  <c r="CW210" i="31" l="1"/>
  <c r="HN210" i="31" s="1"/>
  <c r="CW209" i="31" l="1"/>
  <c r="HN209" i="31" s="1"/>
  <c r="CW208" i="31" l="1"/>
  <c r="HN208" i="31" s="1"/>
  <c r="CW207" i="31" l="1"/>
  <c r="HN207" i="31" s="1"/>
  <c r="CW206" i="31" l="1"/>
  <c r="HN206" i="31" s="1"/>
  <c r="CW205" i="31" l="1"/>
  <c r="HN205" i="31" s="1"/>
  <c r="CW204" i="31" l="1"/>
  <c r="HN204" i="31" s="1"/>
  <c r="CW203" i="31" l="1"/>
  <c r="HN203" i="31" s="1"/>
  <c r="CW202" i="31" l="1"/>
  <c r="HN202" i="31" s="1"/>
  <c r="CW201" i="31" l="1"/>
  <c r="HN201" i="31" s="1"/>
  <c r="CW200" i="31" l="1"/>
  <c r="HN200" i="31" s="1"/>
  <c r="CW199" i="31" l="1"/>
  <c r="HN199" i="31" s="1"/>
  <c r="CW198" i="31" l="1"/>
  <c r="HN198" i="31" s="1"/>
  <c r="CW197" i="31" l="1"/>
  <c r="HN197" i="31" s="1"/>
  <c r="CW196" i="31" l="1"/>
  <c r="HN196" i="31" s="1"/>
  <c r="CW195" i="31" l="1"/>
  <c r="HN195" i="31" s="1"/>
  <c r="CW194" i="31" l="1"/>
  <c r="HN194" i="31" s="1"/>
  <c r="CW193" i="31" l="1"/>
  <c r="HN193" i="31" s="1"/>
  <c r="CW192" i="31" l="1"/>
  <c r="HN192" i="31" s="1"/>
  <c r="CW191" i="31" l="1"/>
  <c r="HN191" i="31" s="1"/>
  <c r="CW190" i="31" l="1"/>
  <c r="HN190" i="31" s="1"/>
  <c r="CW189" i="31" l="1"/>
  <c r="HN189" i="31" s="1"/>
  <c r="CW188" i="31" l="1"/>
  <c r="HN188" i="31" s="1"/>
  <c r="CW187" i="31" l="1"/>
  <c r="HN187" i="31" s="1"/>
  <c r="CW186" i="31" l="1"/>
  <c r="HN186" i="31" s="1"/>
  <c r="CW185" i="31" l="1"/>
  <c r="HN185" i="31" s="1"/>
  <c r="CW184" i="31" l="1"/>
  <c r="HN184" i="31" s="1"/>
  <c r="CW183" i="31" l="1"/>
  <c r="HN183" i="31" s="1"/>
  <c r="CW182" i="31" l="1"/>
  <c r="HN182" i="31" s="1"/>
  <c r="CW181" i="31" l="1"/>
  <c r="HN181" i="31" s="1"/>
  <c r="CW180" i="31" l="1"/>
  <c r="HN180" i="31" s="1"/>
  <c r="CW179" i="31" l="1"/>
  <c r="HN179" i="31" s="1"/>
  <c r="CW178" i="31" l="1"/>
  <c r="HN178" i="31" s="1"/>
  <c r="CW177" i="31" l="1"/>
  <c r="HN177" i="31" s="1"/>
  <c r="CW176" i="31" l="1"/>
  <c r="HN176" i="31" s="1"/>
  <c r="CW175" i="31" l="1"/>
  <c r="HN175" i="31" s="1"/>
  <c r="CW174" i="31" l="1"/>
  <c r="HN174" i="31" s="1"/>
  <c r="CW173" i="31" l="1"/>
  <c r="HN173" i="31" s="1"/>
  <c r="CW172" i="31" l="1"/>
  <c r="HN172" i="31" s="1"/>
  <c r="CW171" i="31" l="1"/>
  <c r="HN171" i="31" s="1"/>
  <c r="CW170" i="31" l="1"/>
  <c r="HN170" i="31" s="1"/>
  <c r="CW169" i="31" l="1"/>
  <c r="HN169" i="31" s="1"/>
  <c r="CW168" i="31" l="1"/>
  <c r="HN168" i="31" s="1"/>
  <c r="CW167" i="31" l="1"/>
  <c r="HN167" i="31" s="1"/>
  <c r="CW166" i="31" l="1"/>
  <c r="HN166" i="31" s="1"/>
  <c r="CW165" i="31" l="1"/>
  <c r="HN165" i="31" s="1"/>
  <c r="CW164" i="31" l="1"/>
  <c r="HN164" i="31" s="1"/>
  <c r="CW163" i="31" l="1"/>
  <c r="HN163" i="31" s="1"/>
  <c r="CW162" i="31" l="1"/>
  <c r="HN162" i="31" s="1"/>
  <c r="CW161" i="31" l="1"/>
  <c r="HN161" i="31" s="1"/>
  <c r="CW160" i="31" l="1"/>
  <c r="HN160" i="31" s="1"/>
  <c r="CW159" i="31" l="1"/>
  <c r="HN159" i="31" s="1"/>
  <c r="CW158" i="31" l="1"/>
  <c r="HN158" i="31" s="1"/>
  <c r="CW157" i="31" l="1"/>
  <c r="HN157" i="31" s="1"/>
  <c r="CW156" i="31" l="1"/>
  <c r="HN156" i="31" s="1"/>
  <c r="CW155" i="31" l="1"/>
  <c r="HN155" i="31" s="1"/>
  <c r="CW154" i="31" l="1"/>
  <c r="HN154" i="31" s="1"/>
  <c r="CW153" i="31" l="1"/>
  <c r="HN153" i="31" s="1"/>
  <c r="CW152" i="31" l="1"/>
  <c r="HN152" i="31" s="1"/>
  <c r="CW151" i="31" l="1"/>
  <c r="HN151" i="31" s="1"/>
  <c r="CW150" i="31" l="1"/>
  <c r="HN150" i="31" s="1"/>
  <c r="CW149" i="31" l="1"/>
  <c r="HN149" i="31" s="1"/>
  <c r="CW148" i="31" l="1"/>
  <c r="HN148" i="31" s="1"/>
  <c r="CW147" i="31" l="1"/>
  <c r="HN147" i="31" s="1"/>
  <c r="CW146" i="31" l="1"/>
  <c r="HN146" i="31" s="1"/>
  <c r="CW145" i="31" l="1"/>
  <c r="HN145" i="31" s="1"/>
  <c r="CW144" i="31" l="1"/>
  <c r="HN144" i="31" s="1"/>
  <c r="CW143" i="31" l="1"/>
  <c r="HN143" i="31" s="1"/>
  <c r="CW142" i="31" l="1"/>
  <c r="HN142" i="31" s="1"/>
  <c r="CW141" i="31" l="1"/>
  <c r="HN141" i="31" s="1"/>
  <c r="CW140" i="31" l="1"/>
  <c r="HN140" i="31" s="1"/>
  <c r="CW139" i="31" l="1"/>
  <c r="HN139" i="31" s="1"/>
  <c r="CW138" i="31" l="1"/>
  <c r="HN138" i="31" s="1"/>
  <c r="CW137" i="31" l="1"/>
  <c r="HN137" i="31" s="1"/>
  <c r="CW136" i="31" l="1"/>
  <c r="HN136" i="31" s="1"/>
  <c r="CW135" i="31" l="1"/>
  <c r="HN135" i="31" s="1"/>
  <c r="CW134" i="31" l="1"/>
  <c r="HN134" i="31" s="1"/>
  <c r="CW133" i="31" l="1"/>
  <c r="HN133" i="31" s="1"/>
  <c r="CW132" i="31" l="1"/>
  <c r="HN132" i="31" s="1"/>
  <c r="CW131" i="31" l="1"/>
  <c r="HN131" i="31" s="1"/>
  <c r="CW130" i="31" l="1"/>
  <c r="HN130" i="31" s="1"/>
  <c r="CW129" i="31" l="1"/>
  <c r="HN129" i="31" s="1"/>
  <c r="CW128" i="31" l="1"/>
  <c r="HN128" i="31" s="1"/>
  <c r="CW127" i="31" l="1"/>
  <c r="HN127" i="31" s="1"/>
  <c r="CW126" i="31" l="1"/>
  <c r="HN126" i="31" s="1"/>
  <c r="CW125" i="31" l="1"/>
  <c r="HN125" i="31" s="1"/>
  <c r="CW124" i="31" l="1"/>
  <c r="HN124" i="31" s="1"/>
  <c r="CW123" i="31" l="1"/>
  <c r="HN123" i="31" s="1"/>
  <c r="CW122" i="31" l="1"/>
  <c r="HN122" i="31" s="1"/>
  <c r="CW121" i="31" l="1"/>
  <c r="HN121" i="31" s="1"/>
  <c r="CW120" i="31" l="1"/>
  <c r="HN120" i="31" s="1"/>
  <c r="CW119" i="31" l="1"/>
  <c r="HN119" i="31" s="1"/>
  <c r="CW118" i="31" l="1"/>
  <c r="HN118" i="31" s="1"/>
  <c r="CW117" i="31" l="1"/>
  <c r="HN117" i="31" s="1"/>
  <c r="CW116" i="31" l="1"/>
  <c r="HN116" i="31" s="1"/>
  <c r="CW115" i="31" l="1"/>
  <c r="HN115" i="31" s="1"/>
  <c r="CW114" i="31" l="1"/>
  <c r="HN114" i="31" s="1"/>
  <c r="CW113" i="31" l="1"/>
  <c r="HN113" i="31" s="1"/>
  <c r="CW112" i="31" l="1"/>
  <c r="HN112" i="31" s="1"/>
  <c r="CW111" i="31" l="1"/>
  <c r="HN111" i="31" s="1"/>
  <c r="CW110" i="31" l="1"/>
  <c r="HN110" i="31" s="1"/>
  <c r="CW109" i="31" l="1"/>
  <c r="HN109" i="31" s="1"/>
  <c r="CW108" i="31" l="1"/>
  <c r="HN108" i="31" s="1"/>
  <c r="CW107" i="31" l="1"/>
  <c r="HN107" i="31" s="1"/>
  <c r="CW106" i="31" l="1"/>
  <c r="HN106" i="31" s="1"/>
  <c r="CW105" i="31" l="1"/>
  <c r="HN105" i="31" s="1"/>
  <c r="CW104" i="31" l="1"/>
  <c r="HN104" i="31" s="1"/>
  <c r="CW103" i="31" l="1"/>
  <c r="HN103" i="31" s="1"/>
  <c r="CW102" i="31" l="1"/>
  <c r="HN102" i="31" s="1"/>
  <c r="CW101" i="31" l="1"/>
  <c r="HN101" i="31" s="1"/>
  <c r="CW100" i="31" l="1"/>
  <c r="HN100" i="31" s="1"/>
  <c r="CW99" i="31" l="1"/>
  <c r="HN99" i="31" s="1"/>
  <c r="CW98" i="31" l="1"/>
  <c r="HN98" i="31" s="1"/>
  <c r="CW97" i="31" l="1"/>
  <c r="HN97" i="31" s="1"/>
  <c r="CW96" i="31" l="1"/>
  <c r="HN96" i="31" s="1"/>
  <c r="CW95" i="31" l="1"/>
  <c r="HN95" i="31" s="1"/>
  <c r="CW94" i="31" l="1"/>
  <c r="HN94" i="31" s="1"/>
  <c r="CW93" i="31" l="1"/>
  <c r="HN93" i="31" s="1"/>
  <c r="CW92" i="31" l="1"/>
  <c r="HN92" i="31" s="1"/>
  <c r="CW91" i="31" l="1"/>
  <c r="HN91" i="31" s="1"/>
  <c r="CW90" i="31" l="1"/>
  <c r="HN90" i="31" s="1"/>
  <c r="CW89" i="31" l="1"/>
  <c r="HN89" i="31" s="1"/>
  <c r="CW88" i="31" l="1"/>
  <c r="HN88" i="31" s="1"/>
  <c r="CW87" i="31" l="1"/>
  <c r="HN87" i="31" s="1"/>
  <c r="CW86" i="31" l="1"/>
  <c r="HN86" i="31" s="1"/>
  <c r="CW85" i="31" l="1"/>
  <c r="HN85" i="31" s="1"/>
  <c r="CW84" i="31" l="1"/>
  <c r="HN84" i="31" s="1"/>
  <c r="CW83" i="31" l="1"/>
  <c r="HN83" i="31" s="1"/>
  <c r="CW82" i="31" l="1"/>
  <c r="HN82" i="31" s="1"/>
  <c r="CW81" i="31" l="1"/>
  <c r="HN81" i="31" s="1"/>
  <c r="CW80" i="31" l="1"/>
  <c r="HN80" i="31" s="1"/>
  <c r="CW79" i="31" l="1"/>
  <c r="HN79" i="31" s="1"/>
  <c r="CW78" i="31" l="1"/>
  <c r="HN78" i="31" s="1"/>
  <c r="CW77" i="31" l="1"/>
  <c r="HN77" i="31" s="1"/>
  <c r="CW76" i="31" l="1"/>
  <c r="HN76" i="31" s="1"/>
  <c r="CW75" i="31" l="1"/>
  <c r="HN75" i="31" s="1"/>
  <c r="CW74" i="31" l="1"/>
  <c r="HN74" i="31" s="1"/>
  <c r="CW73" i="31" l="1"/>
  <c r="HN73" i="31" s="1"/>
  <c r="CW72" i="31" l="1"/>
  <c r="HN72" i="31" s="1"/>
  <c r="CW71" i="31" l="1"/>
  <c r="HN71" i="31" s="1"/>
  <c r="CW70" i="31" l="1"/>
  <c r="HN70" i="31" s="1"/>
  <c r="CW69" i="31" l="1"/>
  <c r="HN69" i="31" s="1"/>
  <c r="CW68" i="31" l="1"/>
  <c r="HN68" i="31" s="1"/>
  <c r="CW67" i="31" l="1"/>
  <c r="HN67" i="31" s="1"/>
  <c r="CW66" i="31" l="1"/>
  <c r="HN66" i="31" s="1"/>
  <c r="CW65" i="31" l="1"/>
  <c r="HN65" i="31" s="1"/>
  <c r="AL65" i="31" l="1"/>
  <c r="KZ65" i="31"/>
  <c r="HI65" i="31"/>
  <c r="HD65" i="31"/>
  <c r="HH65" i="31"/>
  <c r="AK65" i="31"/>
  <c r="IG65" i="31"/>
  <c r="IH65" i="31" s="1"/>
  <c r="IK65" i="31" s="1"/>
  <c r="AJ65" i="31" l="1"/>
  <c r="AM65" i="31"/>
  <c r="AN65" i="31" s="1"/>
  <c r="AO65" i="31" s="1"/>
  <c r="AP65" i="31" s="1"/>
  <c r="AK66" i="31"/>
  <c r="KZ66" i="31"/>
  <c r="HI66" i="31"/>
  <c r="HD66" i="31"/>
  <c r="HH66" i="31"/>
  <c r="AL66" i="31"/>
  <c r="IG66" i="31"/>
  <c r="IH66" i="31" s="1"/>
  <c r="IK66" i="31" s="1"/>
  <c r="AI65" i="31"/>
  <c r="LF65" i="31"/>
  <c r="LG65" i="31"/>
  <c r="AJ66" i="31" l="1"/>
  <c r="AI66" i="31"/>
  <c r="LF66" i="31"/>
  <c r="LG66" i="31"/>
  <c r="LH65" i="31"/>
  <c r="LK65" i="31"/>
  <c r="LI65" i="31"/>
  <c r="GD65" i="31" s="1"/>
  <c r="GE65" i="31" s="1"/>
  <c r="GF65" i="31" s="1"/>
  <c r="KZ67" i="31"/>
  <c r="AK67" i="31"/>
  <c r="HD67" i="31"/>
  <c r="AL67" i="31"/>
  <c r="HI67" i="31"/>
  <c r="HH67" i="31"/>
  <c r="IG67" i="31"/>
  <c r="IH67" i="31" s="1"/>
  <c r="IK67" i="31" s="1"/>
  <c r="AM66" i="31"/>
  <c r="AN66" i="31" s="1"/>
  <c r="AO66" i="31" s="1"/>
  <c r="AP66" i="31" s="1"/>
  <c r="AJ67" i="31" l="1"/>
  <c r="LJ65" i="31"/>
  <c r="LK66" i="31"/>
  <c r="LH66" i="31"/>
  <c r="LI66" i="31"/>
  <c r="GD66" i="31" s="1"/>
  <c r="GE66" i="31" s="1"/>
  <c r="GF66" i="31" s="1"/>
  <c r="HH68" i="31"/>
  <c r="KZ68" i="31"/>
  <c r="AK68" i="31"/>
  <c r="AL68" i="31"/>
  <c r="HD68" i="31"/>
  <c r="HI68" i="31"/>
  <c r="IG68" i="31"/>
  <c r="IH68" i="31" s="1"/>
  <c r="IK68" i="31" s="1"/>
  <c r="LG67" i="31"/>
  <c r="AI67" i="31"/>
  <c r="LF67" i="31"/>
  <c r="AM67" i="31"/>
  <c r="AN67" i="31" s="1"/>
  <c r="AO67" i="31" s="1"/>
  <c r="AP67" i="31" s="1"/>
  <c r="LE65" i="31" l="1"/>
  <c r="AJ68" i="31"/>
  <c r="LJ66" i="31"/>
  <c r="AI68" i="31"/>
  <c r="LF68" i="31"/>
  <c r="LG68" i="31"/>
  <c r="AM68" i="31"/>
  <c r="AN68" i="31" s="1"/>
  <c r="AO68" i="31" s="1"/>
  <c r="AP68" i="31" s="1"/>
  <c r="LI67" i="31"/>
  <c r="GD67" i="31" s="1"/>
  <c r="GE67" i="31" s="1"/>
  <c r="GF67" i="31" s="1"/>
  <c r="LH67" i="31"/>
  <c r="LK67" i="31"/>
  <c r="AK69" i="31"/>
  <c r="KZ69" i="31"/>
  <c r="HD69" i="31"/>
  <c r="HH69" i="31"/>
  <c r="HI69" i="31"/>
  <c r="AL69" i="31"/>
  <c r="IG69" i="31"/>
  <c r="IH69" i="31" s="1"/>
  <c r="IK69" i="31" s="1"/>
  <c r="LL65" i="31" l="1"/>
  <c r="LO65" i="31" s="1"/>
  <c r="LQ65" i="31" s="1"/>
  <c r="LE66" i="31"/>
  <c r="AJ69" i="31"/>
  <c r="AM69" i="31"/>
  <c r="AN69" i="31" s="1"/>
  <c r="AO69" i="31" s="1"/>
  <c r="AP69" i="31" s="1"/>
  <c r="LF69" i="31"/>
  <c r="LG69" i="31"/>
  <c r="AI69" i="31"/>
  <c r="LJ67" i="31"/>
  <c r="LK68" i="31"/>
  <c r="LI68" i="31"/>
  <c r="GD68" i="31" s="1"/>
  <c r="GE68" i="31" s="1"/>
  <c r="GF68" i="31" s="1"/>
  <c r="LH68" i="31"/>
  <c r="KZ70" i="31"/>
  <c r="AL70" i="31"/>
  <c r="AK70" i="31"/>
  <c r="HH70" i="31"/>
  <c r="HI70" i="31"/>
  <c r="HD70" i="31"/>
  <c r="IG70" i="31"/>
  <c r="IH70" i="31" s="1"/>
  <c r="IK70" i="31" s="1"/>
  <c r="LL66" i="31" l="1"/>
  <c r="LO66" i="31" s="1"/>
  <c r="LQ66" i="31" s="1"/>
  <c r="LE67" i="31"/>
  <c r="LR65" i="31"/>
  <c r="LX65" i="31" s="1"/>
  <c r="LZ65" i="31" s="1"/>
  <c r="LS65" i="31"/>
  <c r="LY65" i="31" s="1"/>
  <c r="MA65" i="31" s="1"/>
  <c r="LT65" i="31"/>
  <c r="ME65" i="31" s="1"/>
  <c r="PF65" i="31" s="1"/>
  <c r="AJ70" i="31"/>
  <c r="AM70" i="31"/>
  <c r="AN70" i="31" s="1"/>
  <c r="AO70" i="31" s="1"/>
  <c r="AP70" i="31" s="1"/>
  <c r="LJ68" i="31"/>
  <c r="AL71" i="31"/>
  <c r="AK71" i="31"/>
  <c r="KZ71" i="31"/>
  <c r="HH71" i="31"/>
  <c r="HI71" i="31"/>
  <c r="HD71" i="31"/>
  <c r="IG71" i="31"/>
  <c r="IH71" i="31" s="1"/>
  <c r="IK71" i="31" s="1"/>
  <c r="LI69" i="31"/>
  <c r="GD69" i="31" s="1"/>
  <c r="GE69" i="31" s="1"/>
  <c r="GF69" i="31" s="1"/>
  <c r="LH69" i="31"/>
  <c r="LK69" i="31"/>
  <c r="AI70" i="31"/>
  <c r="LF70" i="31"/>
  <c r="LG70" i="31"/>
  <c r="LL67" i="31" l="1"/>
  <c r="LO67" i="31" s="1"/>
  <c r="LQ67" i="31" s="1"/>
  <c r="LS67" i="31" s="1"/>
  <c r="LY67" i="31" s="1"/>
  <c r="MA67" i="31" s="1"/>
  <c r="MG65" i="31"/>
  <c r="LE68" i="31"/>
  <c r="LR66" i="31"/>
  <c r="LX66" i="31" s="1"/>
  <c r="LZ66" i="31" s="1"/>
  <c r="LS66" i="31"/>
  <c r="LY66" i="31" s="1"/>
  <c r="MA66" i="31" s="1"/>
  <c r="LT66" i="31"/>
  <c r="ME66" i="31" s="1"/>
  <c r="AJ71" i="31"/>
  <c r="LJ69" i="31"/>
  <c r="AM71" i="31"/>
  <c r="AN71" i="31" s="1"/>
  <c r="AO71" i="31" s="1"/>
  <c r="AP71" i="31" s="1"/>
  <c r="KZ72" i="31"/>
  <c r="HD72" i="31"/>
  <c r="AK72" i="31"/>
  <c r="HH72" i="31"/>
  <c r="AL72" i="31"/>
  <c r="HI72" i="31"/>
  <c r="IG72" i="31"/>
  <c r="IH72" i="31" s="1"/>
  <c r="IK72" i="31" s="1"/>
  <c r="LH70" i="31"/>
  <c r="LK70" i="31"/>
  <c r="LI70" i="31"/>
  <c r="GD70" i="31" s="1"/>
  <c r="GE70" i="31" s="1"/>
  <c r="GF70" i="31" s="1"/>
  <c r="AI71" i="31"/>
  <c r="LF71" i="31"/>
  <c r="LG71" i="31"/>
  <c r="MG66" i="31" l="1"/>
  <c r="MK66" i="31" s="1"/>
  <c r="PF66" i="31"/>
  <c r="LR67" i="31"/>
  <c r="LX67" i="31" s="1"/>
  <c r="LZ67" i="31" s="1"/>
  <c r="LT67" i="31"/>
  <c r="ME67" i="31" s="1"/>
  <c r="LL68" i="31"/>
  <c r="LO68" i="31" s="1"/>
  <c r="LQ68" i="31" s="1"/>
  <c r="MI65" i="31"/>
  <c r="MP65" i="31" s="1"/>
  <c r="MK65" i="31"/>
  <c r="MH65" i="31"/>
  <c r="LE69" i="31"/>
  <c r="AJ72" i="31"/>
  <c r="LJ70" i="31"/>
  <c r="AM72" i="31"/>
  <c r="AN72" i="31" s="1"/>
  <c r="AO72" i="31" s="1"/>
  <c r="AP72" i="31" s="1"/>
  <c r="AI72" i="31"/>
  <c r="LF72" i="31"/>
  <c r="LG72" i="31"/>
  <c r="LK71" i="31"/>
  <c r="LH71" i="31"/>
  <c r="LI71" i="31"/>
  <c r="GD71" i="31" s="1"/>
  <c r="GE71" i="31" s="1"/>
  <c r="GF71" i="31" s="1"/>
  <c r="KZ73" i="31"/>
  <c r="AL73" i="31"/>
  <c r="AK73" i="31"/>
  <c r="HH73" i="31"/>
  <c r="HI73" i="31"/>
  <c r="HD73" i="31"/>
  <c r="IG73" i="31"/>
  <c r="IH73" i="31" s="1"/>
  <c r="IK73" i="31" s="1"/>
  <c r="MI66" i="31" l="1"/>
  <c r="MP66" i="31" s="1"/>
  <c r="MH66" i="31"/>
  <c r="MG67" i="31"/>
  <c r="MI67" i="31" s="1"/>
  <c r="MP67" i="31" s="1"/>
  <c r="PF67" i="31"/>
  <c r="MM66" i="31"/>
  <c r="MN66" i="31" s="1"/>
  <c r="MM65" i="31"/>
  <c r="MN65" i="31" s="1"/>
  <c r="LL69" i="31"/>
  <c r="LO69" i="31" s="1"/>
  <c r="LQ69" i="31" s="1"/>
  <c r="ML65" i="31"/>
  <c r="ML66" i="31"/>
  <c r="LE70" i="31"/>
  <c r="LR68" i="31"/>
  <c r="LX68" i="31" s="1"/>
  <c r="LZ68" i="31" s="1"/>
  <c r="LT68" i="31"/>
  <c r="ME68" i="31" s="1"/>
  <c r="LS68" i="31"/>
  <c r="LY68" i="31" s="1"/>
  <c r="MA68" i="31" s="1"/>
  <c r="AJ73" i="31"/>
  <c r="LJ71" i="31"/>
  <c r="AM73" i="31"/>
  <c r="AN73" i="31" s="1"/>
  <c r="AO73" i="31" s="1"/>
  <c r="AP73" i="31" s="1"/>
  <c r="LF73" i="31"/>
  <c r="AI73" i="31"/>
  <c r="LG73" i="31"/>
  <c r="LI72" i="31"/>
  <c r="GD72" i="31" s="1"/>
  <c r="GE72" i="31" s="1"/>
  <c r="GF72" i="31" s="1"/>
  <c r="LK72" i="31"/>
  <c r="LH72" i="31"/>
  <c r="AL74" i="31"/>
  <c r="HI74" i="31"/>
  <c r="KZ74" i="31"/>
  <c r="HH74" i="31"/>
  <c r="AK74" i="31"/>
  <c r="HD74" i="31"/>
  <c r="IG74" i="31"/>
  <c r="IH74" i="31" s="1"/>
  <c r="IK74" i="31" s="1"/>
  <c r="MH67" i="31" l="1"/>
  <c r="MK67" i="31"/>
  <c r="MM67" i="31" s="1"/>
  <c r="MN67" i="31" s="1"/>
  <c r="MG68" i="31"/>
  <c r="MK68" i="31" s="1"/>
  <c r="PF68" i="31"/>
  <c r="LL70" i="31"/>
  <c r="LO70" i="31" s="1"/>
  <c r="LQ70" i="31" s="1"/>
  <c r="LE71" i="31"/>
  <c r="LT69" i="31"/>
  <c r="ME69" i="31" s="1"/>
  <c r="LR69" i="31"/>
  <c r="LX69" i="31" s="1"/>
  <c r="LZ69" i="31" s="1"/>
  <c r="LS69" i="31"/>
  <c r="LY69" i="31" s="1"/>
  <c r="MA69" i="31" s="1"/>
  <c r="AJ74" i="31"/>
  <c r="AM74" i="31"/>
  <c r="AN74" i="31" s="1"/>
  <c r="AO74" i="31" s="1"/>
  <c r="AP74" i="31" s="1"/>
  <c r="LJ72" i="31"/>
  <c r="LF74" i="31"/>
  <c r="AI74" i="31"/>
  <c r="LG74" i="31"/>
  <c r="HI75" i="31"/>
  <c r="AK75" i="31"/>
  <c r="HH75" i="31"/>
  <c r="AL75" i="31"/>
  <c r="KZ75" i="31"/>
  <c r="HD75" i="31"/>
  <c r="IG75" i="31"/>
  <c r="IH75" i="31" s="1"/>
  <c r="IK75" i="31" s="1"/>
  <c r="LH73" i="31"/>
  <c r="LK73" i="31"/>
  <c r="LI73" i="31"/>
  <c r="GD73" i="31" s="1"/>
  <c r="GE73" i="31" s="1"/>
  <c r="GF73" i="31" s="1"/>
  <c r="MH68" i="31" l="1"/>
  <c r="MI68" i="31"/>
  <c r="MP68" i="31" s="1"/>
  <c r="ML67" i="31"/>
  <c r="MG69" i="31"/>
  <c r="MK69" i="31" s="1"/>
  <c r="PF69" i="31"/>
  <c r="MM68" i="31"/>
  <c r="MN68" i="31" s="1"/>
  <c r="LL71" i="31"/>
  <c r="LO71" i="31" s="1"/>
  <c r="LQ71" i="31" s="1"/>
  <c r="LE72" i="31"/>
  <c r="ML68" i="31"/>
  <c r="LS70" i="31"/>
  <c r="LY70" i="31" s="1"/>
  <c r="MA70" i="31" s="1"/>
  <c r="LT70" i="31"/>
  <c r="ME70" i="31" s="1"/>
  <c r="LR70" i="31"/>
  <c r="LX70" i="31" s="1"/>
  <c r="LZ70" i="31" s="1"/>
  <c r="AJ75" i="31"/>
  <c r="LJ73" i="31"/>
  <c r="LH74" i="31"/>
  <c r="LI74" i="31"/>
  <c r="GD74" i="31" s="1"/>
  <c r="GE74" i="31" s="1"/>
  <c r="GF74" i="31" s="1"/>
  <c r="LK74" i="31"/>
  <c r="AM75" i="31"/>
  <c r="AN75" i="31" s="1"/>
  <c r="AO75" i="31" s="1"/>
  <c r="AP75" i="31" s="1"/>
  <c r="AI75" i="31"/>
  <c r="LF75" i="31"/>
  <c r="LG75" i="31"/>
  <c r="HD76" i="31"/>
  <c r="AL76" i="31"/>
  <c r="KZ76" i="31"/>
  <c r="HI76" i="31"/>
  <c r="AK76" i="31"/>
  <c r="HH76" i="31"/>
  <c r="IG76" i="31"/>
  <c r="IH76" i="31" s="1"/>
  <c r="IK76" i="31" s="1"/>
  <c r="MH69" i="31" l="1"/>
  <c r="MI69" i="31"/>
  <c r="MP69" i="31" s="1"/>
  <c r="MG70" i="31"/>
  <c r="MK70" i="31" s="1"/>
  <c r="PF70" i="31"/>
  <c r="MM69" i="31"/>
  <c r="MN69" i="31" s="1"/>
  <c r="LL72" i="31"/>
  <c r="LO72" i="31" s="1"/>
  <c r="LQ72" i="31" s="1"/>
  <c r="LT72" i="31" s="1"/>
  <c r="ME72" i="31" s="1"/>
  <c r="ML69" i="31"/>
  <c r="LE73" i="31"/>
  <c r="LR71" i="31"/>
  <c r="LX71" i="31" s="1"/>
  <c r="LZ71" i="31" s="1"/>
  <c r="LS71" i="31"/>
  <c r="LY71" i="31" s="1"/>
  <c r="MA71" i="31" s="1"/>
  <c r="LT71" i="31"/>
  <c r="ME71" i="31" s="1"/>
  <c r="AJ76" i="31"/>
  <c r="AM76" i="31"/>
  <c r="AN76" i="31" s="1"/>
  <c r="AO76" i="31" s="1"/>
  <c r="AP76" i="31" s="1"/>
  <c r="AI76" i="31"/>
  <c r="LG76" i="31"/>
  <c r="LF76" i="31"/>
  <c r="LJ74" i="31"/>
  <c r="KZ77" i="31"/>
  <c r="HH77" i="31"/>
  <c r="HI77" i="31"/>
  <c r="AL77" i="31"/>
  <c r="AK77" i="31"/>
  <c r="HD77" i="31"/>
  <c r="IG77" i="31"/>
  <c r="IH77" i="31" s="1"/>
  <c r="IK77" i="31" s="1"/>
  <c r="LI75" i="31"/>
  <c r="GD75" i="31" s="1"/>
  <c r="GE75" i="31" s="1"/>
  <c r="GF75" i="31" s="1"/>
  <c r="LH75" i="31"/>
  <c r="LK75" i="31"/>
  <c r="MI70" i="31" l="1"/>
  <c r="MP70" i="31" s="1"/>
  <c r="MH70" i="31"/>
  <c r="MG72" i="31"/>
  <c r="MK72" i="31" s="1"/>
  <c r="PF72" i="31"/>
  <c r="MG71" i="31"/>
  <c r="MK71" i="31" s="1"/>
  <c r="PF71" i="31"/>
  <c r="MM70" i="31"/>
  <c r="MN70" i="31" s="1"/>
  <c r="LL73" i="31"/>
  <c r="LO73" i="31" s="1"/>
  <c r="LQ73" i="31" s="1"/>
  <c r="LE74" i="31"/>
  <c r="ML70" i="31"/>
  <c r="LR72" i="31"/>
  <c r="LX72" i="31" s="1"/>
  <c r="LZ72" i="31" s="1"/>
  <c r="LS72" i="31"/>
  <c r="LY72" i="31" s="1"/>
  <c r="MA72" i="31" s="1"/>
  <c r="AJ77" i="31"/>
  <c r="LJ75" i="31"/>
  <c r="LG77" i="31"/>
  <c r="AI77" i="31"/>
  <c r="LF77" i="31"/>
  <c r="LI76" i="31"/>
  <c r="GD76" i="31" s="1"/>
  <c r="GE76" i="31" s="1"/>
  <c r="GF76" i="31" s="1"/>
  <c r="LK76" i="31"/>
  <c r="LH76" i="31"/>
  <c r="AM77" i="31"/>
  <c r="AN77" i="31" s="1"/>
  <c r="AO77" i="31" s="1"/>
  <c r="AP77" i="31" s="1"/>
  <c r="HD78" i="31"/>
  <c r="AK78" i="31"/>
  <c r="AL78" i="31"/>
  <c r="HI78" i="31"/>
  <c r="HH78" i="31"/>
  <c r="KZ78" i="31"/>
  <c r="IG78" i="31"/>
  <c r="IH78" i="31" s="1"/>
  <c r="IK78" i="31" s="1"/>
  <c r="MI72" i="31" l="1"/>
  <c r="MP72" i="31" s="1"/>
  <c r="MH71" i="31"/>
  <c r="MI71" i="31"/>
  <c r="MP71" i="31" s="1"/>
  <c r="MH72" i="31"/>
  <c r="MM72" i="31"/>
  <c r="MN72" i="31" s="1"/>
  <c r="MM71" i="31"/>
  <c r="MN71" i="31" s="1"/>
  <c r="LL74" i="31"/>
  <c r="LO74" i="31" s="1"/>
  <c r="ML72" i="31"/>
  <c r="LT73" i="31"/>
  <c r="ME73" i="31" s="1"/>
  <c r="LR73" i="31"/>
  <c r="LX73" i="31" s="1"/>
  <c r="LZ73" i="31" s="1"/>
  <c r="LS73" i="31"/>
  <c r="LY73" i="31" s="1"/>
  <c r="MA73" i="31" s="1"/>
  <c r="LE75" i="31"/>
  <c r="ML71" i="31"/>
  <c r="AJ78" i="31"/>
  <c r="LK77" i="31"/>
  <c r="LH77" i="31"/>
  <c r="LI77" i="31"/>
  <c r="GD77" i="31" s="1"/>
  <c r="GE77" i="31" s="1"/>
  <c r="GF77" i="31" s="1"/>
  <c r="AM78" i="31"/>
  <c r="AN78" i="31" s="1"/>
  <c r="AO78" i="31" s="1"/>
  <c r="AP78" i="31" s="1"/>
  <c r="AK79" i="31"/>
  <c r="AL79" i="31"/>
  <c r="KZ79" i="31"/>
  <c r="HD79" i="31"/>
  <c r="HH79" i="31"/>
  <c r="HI79" i="31"/>
  <c r="IG79" i="31"/>
  <c r="IH79" i="31" s="1"/>
  <c r="IK79" i="31" s="1"/>
  <c r="AI78" i="31"/>
  <c r="LF78" i="31"/>
  <c r="LG78" i="31"/>
  <c r="LJ76" i="31"/>
  <c r="MG73" i="31" l="1"/>
  <c r="MK73" i="31" s="1"/>
  <c r="PF73" i="31"/>
  <c r="LQ74" i="31"/>
  <c r="LS74" i="31" s="1"/>
  <c r="LY74" i="31" s="1"/>
  <c r="MA74" i="31" s="1"/>
  <c r="LL75" i="31"/>
  <c r="LO75" i="31" s="1"/>
  <c r="LQ75" i="31" s="1"/>
  <c r="LR75" i="31" s="1"/>
  <c r="LX75" i="31" s="1"/>
  <c r="LZ75" i="31" s="1"/>
  <c r="LE76" i="31"/>
  <c r="AJ79" i="31"/>
  <c r="LJ77" i="31"/>
  <c r="AI79" i="31"/>
  <c r="LF79" i="31"/>
  <c r="LG79" i="31"/>
  <c r="LI78" i="31"/>
  <c r="GD78" i="31" s="1"/>
  <c r="GE78" i="31" s="1"/>
  <c r="GF78" i="31" s="1"/>
  <c r="LK78" i="31"/>
  <c r="LH78" i="31"/>
  <c r="AM79" i="31"/>
  <c r="AN79" i="31" s="1"/>
  <c r="AO79" i="31" s="1"/>
  <c r="AP79" i="31" s="1"/>
  <c r="HD80" i="31"/>
  <c r="AL80" i="31"/>
  <c r="AK80" i="31"/>
  <c r="HI80" i="31"/>
  <c r="HH80" i="31"/>
  <c r="KZ80" i="31"/>
  <c r="IG80" i="31"/>
  <c r="IH80" i="31" s="1"/>
  <c r="IK80" i="31" s="1"/>
  <c r="MI73" i="31" l="1"/>
  <c r="MP73" i="31" s="1"/>
  <c r="MH73" i="31"/>
  <c r="MM73" i="31"/>
  <c r="MN73" i="31" s="1"/>
  <c r="LT74" i="31"/>
  <c r="ME74" i="31" s="1"/>
  <c r="LR74" i="31"/>
  <c r="LX74" i="31" s="1"/>
  <c r="LZ74" i="31" s="1"/>
  <c r="LL76" i="31"/>
  <c r="LO76" i="31" s="1"/>
  <c r="LQ76" i="31" s="1"/>
  <c r="LR76" i="31" s="1"/>
  <c r="LX76" i="31" s="1"/>
  <c r="LZ76" i="31" s="1"/>
  <c r="LE77" i="31"/>
  <c r="LT75" i="31"/>
  <c r="ME75" i="31" s="1"/>
  <c r="LS75" i="31"/>
  <c r="LY75" i="31" s="1"/>
  <c r="MA75" i="31" s="1"/>
  <c r="ML73" i="31"/>
  <c r="AJ80" i="31"/>
  <c r="AM80" i="31"/>
  <c r="AN80" i="31" s="1"/>
  <c r="AO80" i="31" s="1"/>
  <c r="AP80" i="31" s="1"/>
  <c r="AI80" i="31"/>
  <c r="LF80" i="31"/>
  <c r="LG80" i="31"/>
  <c r="HH81" i="31"/>
  <c r="HI81" i="31"/>
  <c r="HD81" i="31"/>
  <c r="AL81" i="31"/>
  <c r="KZ81" i="31"/>
  <c r="AK81" i="31"/>
  <c r="IG81" i="31"/>
  <c r="IH81" i="31" s="1"/>
  <c r="IK81" i="31" s="1"/>
  <c r="LH79" i="31"/>
  <c r="LI79" i="31"/>
  <c r="GD79" i="31" s="1"/>
  <c r="GE79" i="31" s="1"/>
  <c r="GF79" i="31" s="1"/>
  <c r="LK79" i="31"/>
  <c r="LJ78" i="31"/>
  <c r="MG75" i="31" l="1"/>
  <c r="MK75" i="31" s="1"/>
  <c r="PF75" i="31"/>
  <c r="MG74" i="31"/>
  <c r="MK74" i="31" s="1"/>
  <c r="MM74" i="31" s="1"/>
  <c r="PF74" i="31"/>
  <c r="LS76" i="31"/>
  <c r="LY76" i="31" s="1"/>
  <c r="MA76" i="31" s="1"/>
  <c r="LT76" i="31"/>
  <c r="ME76" i="31" s="1"/>
  <c r="LL77" i="31"/>
  <c r="LO77" i="31" s="1"/>
  <c r="LQ77" i="31" s="1"/>
  <c r="LE78" i="31"/>
  <c r="AJ81" i="31"/>
  <c r="AM81" i="31"/>
  <c r="AN81" i="31" s="1"/>
  <c r="AO81" i="31" s="1"/>
  <c r="AP81" i="31" s="1"/>
  <c r="LJ79" i="31"/>
  <c r="HI82" i="31"/>
  <c r="HH82" i="31"/>
  <c r="AK82" i="31"/>
  <c r="KZ82" i="31"/>
  <c r="HD82" i="31"/>
  <c r="AL82" i="31"/>
  <c r="IG82" i="31"/>
  <c r="IH82" i="31" s="1"/>
  <c r="IK82" i="31" s="1"/>
  <c r="AI81" i="31"/>
  <c r="LF81" i="31"/>
  <c r="LG81" i="31"/>
  <c r="LI80" i="31"/>
  <c r="GD80" i="31" s="1"/>
  <c r="GE80" i="31" s="1"/>
  <c r="GF80" i="31" s="1"/>
  <c r="LH80" i="31"/>
  <c r="LK80" i="31"/>
  <c r="MI74" i="31" l="1"/>
  <c r="MP74" i="31" s="1"/>
  <c r="MI75" i="31"/>
  <c r="MP75" i="31" s="1"/>
  <c r="MH75" i="31"/>
  <c r="MH74" i="31"/>
  <c r="MG76" i="31"/>
  <c r="MK76" i="31" s="1"/>
  <c r="ML76" i="31" s="1"/>
  <c r="PF76" i="31"/>
  <c r="MM75" i="31"/>
  <c r="MN75" i="31" s="1"/>
  <c r="ML74" i="31"/>
  <c r="MN74" i="31"/>
  <c r="LL78" i="31"/>
  <c r="LO78" i="31" s="1"/>
  <c r="LS77" i="31"/>
  <c r="LY77" i="31" s="1"/>
  <c r="MA77" i="31" s="1"/>
  <c r="LR77" i="31"/>
  <c r="LX77" i="31" s="1"/>
  <c r="LZ77" i="31" s="1"/>
  <c r="LT77" i="31"/>
  <c r="ME77" i="31" s="1"/>
  <c r="LE79" i="31"/>
  <c r="ML75" i="31"/>
  <c r="AJ82" i="31"/>
  <c r="LK81" i="31"/>
  <c r="LI81" i="31"/>
  <c r="GD81" i="31" s="1"/>
  <c r="GE81" i="31" s="1"/>
  <c r="GF81" i="31" s="1"/>
  <c r="LH81" i="31"/>
  <c r="AI82" i="31"/>
  <c r="LG82" i="31"/>
  <c r="LF82" i="31"/>
  <c r="AM82" i="31"/>
  <c r="AN82" i="31" s="1"/>
  <c r="AO82" i="31" s="1"/>
  <c r="AP82" i="31" s="1"/>
  <c r="LJ80" i="31"/>
  <c r="AL83" i="31"/>
  <c r="HH83" i="31"/>
  <c r="HD83" i="31"/>
  <c r="HI83" i="31"/>
  <c r="AK83" i="31"/>
  <c r="KZ83" i="31"/>
  <c r="IG83" i="31"/>
  <c r="IH83" i="31" s="1"/>
  <c r="IK83" i="31" s="1"/>
  <c r="MI76" i="31" l="1"/>
  <c r="MP76" i="31" s="1"/>
  <c r="MH76" i="31"/>
  <c r="MG77" i="31"/>
  <c r="MK77" i="31" s="1"/>
  <c r="PF77" i="31"/>
  <c r="MM76" i="31"/>
  <c r="MN76" i="31" s="1"/>
  <c r="LQ78" i="31"/>
  <c r="LR78" i="31" s="1"/>
  <c r="LX78" i="31" s="1"/>
  <c r="LZ78" i="31" s="1"/>
  <c r="LL79" i="31"/>
  <c r="LO79" i="31" s="1"/>
  <c r="LQ79" i="31" s="1"/>
  <c r="LE80" i="31"/>
  <c r="AM83" i="31"/>
  <c r="AN83" i="31" s="1"/>
  <c r="AO83" i="31" s="1"/>
  <c r="AP83" i="31" s="1"/>
  <c r="AJ83" i="31"/>
  <c r="LJ81" i="31"/>
  <c r="LH82" i="31"/>
  <c r="LI82" i="31"/>
  <c r="GD82" i="31" s="1"/>
  <c r="GE82" i="31" s="1"/>
  <c r="GF82" i="31" s="1"/>
  <c r="LK82" i="31"/>
  <c r="AL84" i="31"/>
  <c r="HI84" i="31"/>
  <c r="KZ84" i="31"/>
  <c r="HD84" i="31"/>
  <c r="AK84" i="31"/>
  <c r="HH84" i="31"/>
  <c r="IG84" i="31"/>
  <c r="IH84" i="31" s="1"/>
  <c r="IK84" i="31" s="1"/>
  <c r="LF83" i="31"/>
  <c r="AI83" i="31"/>
  <c r="LG83" i="31"/>
  <c r="MH77" i="31" l="1"/>
  <c r="MI77" i="31"/>
  <c r="MP77" i="31" s="1"/>
  <c r="MM77" i="31"/>
  <c r="MN77" i="31" s="1"/>
  <c r="LT78" i="31"/>
  <c r="ME78" i="31" s="1"/>
  <c r="LS78" i="31"/>
  <c r="LY78" i="31" s="1"/>
  <c r="MA78" i="31" s="1"/>
  <c r="LL80" i="31"/>
  <c r="LO80" i="31" s="1"/>
  <c r="LQ80" i="31" s="1"/>
  <c r="LS80" i="31" s="1"/>
  <c r="LY80" i="31" s="1"/>
  <c r="MA80" i="31" s="1"/>
  <c r="LT79" i="31"/>
  <c r="ME79" i="31" s="1"/>
  <c r="LS79" i="31"/>
  <c r="LY79" i="31" s="1"/>
  <c r="MA79" i="31" s="1"/>
  <c r="LE81" i="31"/>
  <c r="LR79" i="31"/>
  <c r="LX79" i="31" s="1"/>
  <c r="LZ79" i="31" s="1"/>
  <c r="ML77" i="31"/>
  <c r="AJ84" i="31"/>
  <c r="AM84" i="31"/>
  <c r="AN84" i="31" s="1"/>
  <c r="AO84" i="31" s="1"/>
  <c r="AP84" i="31" s="1"/>
  <c r="LJ82" i="31"/>
  <c r="AI84" i="31"/>
  <c r="LG84" i="31"/>
  <c r="LF84" i="31"/>
  <c r="LH83" i="31"/>
  <c r="LI83" i="31"/>
  <c r="GD83" i="31" s="1"/>
  <c r="GE83" i="31" s="1"/>
  <c r="GF83" i="31" s="1"/>
  <c r="LK83" i="31"/>
  <c r="HH85" i="31"/>
  <c r="HD85" i="31"/>
  <c r="KZ85" i="31"/>
  <c r="AL85" i="31"/>
  <c r="HI85" i="31"/>
  <c r="AK85" i="31"/>
  <c r="IG85" i="31"/>
  <c r="IH85" i="31" s="1"/>
  <c r="IK85" i="31" s="1"/>
  <c r="MG78" i="31" l="1"/>
  <c r="MI78" i="31" s="1"/>
  <c r="MP78" i="31" s="1"/>
  <c r="PF78" i="31"/>
  <c r="MG79" i="31"/>
  <c r="MK79" i="31" s="1"/>
  <c r="PF79" i="31"/>
  <c r="LR80" i="31"/>
  <c r="LX80" i="31" s="1"/>
  <c r="LZ80" i="31" s="1"/>
  <c r="LT80" i="31"/>
  <c r="ME80" i="31" s="1"/>
  <c r="LL81" i="31"/>
  <c r="LO81" i="31" s="1"/>
  <c r="LQ81" i="31" s="1"/>
  <c r="LE82" i="31"/>
  <c r="AJ85" i="31"/>
  <c r="AM85" i="31"/>
  <c r="AN85" i="31" s="1"/>
  <c r="AO85" i="31" s="1"/>
  <c r="AP85" i="31" s="1"/>
  <c r="LI84" i="31"/>
  <c r="GD84" i="31" s="1"/>
  <c r="GE84" i="31" s="1"/>
  <c r="GF84" i="31" s="1"/>
  <c r="LH84" i="31"/>
  <c r="LK84" i="31"/>
  <c r="HI86" i="31"/>
  <c r="AL86" i="31"/>
  <c r="AK86" i="31"/>
  <c r="KZ86" i="31"/>
  <c r="HH86" i="31"/>
  <c r="HD86" i="31"/>
  <c r="IG86" i="31"/>
  <c r="IH86" i="31" s="1"/>
  <c r="IK86" i="31" s="1"/>
  <c r="AI85" i="31"/>
  <c r="LF85" i="31"/>
  <c r="LG85" i="31"/>
  <c r="LJ83" i="31"/>
  <c r="MH78" i="31" l="1"/>
  <c r="MK78" i="31"/>
  <c r="MM78" i="31" s="1"/>
  <c r="MN78" i="31" s="1"/>
  <c r="MH79" i="31"/>
  <c r="MI79" i="31"/>
  <c r="MP79" i="31" s="1"/>
  <c r="MG80" i="31"/>
  <c r="MI80" i="31" s="1"/>
  <c r="MP80" i="31" s="1"/>
  <c r="PF80" i="31"/>
  <c r="MM79" i="31"/>
  <c r="MN79" i="31" s="1"/>
  <c r="LL82" i="31"/>
  <c r="LO82" i="31" s="1"/>
  <c r="ML79" i="31"/>
  <c r="LE83" i="31"/>
  <c r="LR81" i="31"/>
  <c r="LX81" i="31" s="1"/>
  <c r="LZ81" i="31" s="1"/>
  <c r="LT81" i="31"/>
  <c r="ME81" i="31" s="1"/>
  <c r="PF81" i="31" s="1"/>
  <c r="LS81" i="31"/>
  <c r="LY81" i="31" s="1"/>
  <c r="MA81" i="31" s="1"/>
  <c r="AJ86" i="31"/>
  <c r="AM86" i="31"/>
  <c r="AN86" i="31" s="1"/>
  <c r="AO86" i="31" s="1"/>
  <c r="AP86" i="31" s="1"/>
  <c r="AI86" i="31"/>
  <c r="LF86" i="31"/>
  <c r="LG86" i="31"/>
  <c r="LJ84" i="31"/>
  <c r="LI85" i="31"/>
  <c r="GD85" i="31" s="1"/>
  <c r="GE85" i="31" s="1"/>
  <c r="GF85" i="31" s="1"/>
  <c r="LH85" i="31"/>
  <c r="LK85" i="31"/>
  <c r="HH87" i="31"/>
  <c r="HI87" i="31"/>
  <c r="HD87" i="31"/>
  <c r="AK87" i="31"/>
  <c r="AL87" i="31"/>
  <c r="KZ87" i="31"/>
  <c r="IG87" i="31"/>
  <c r="IH87" i="31" s="1"/>
  <c r="IK87" i="31" s="1"/>
  <c r="ML78" i="31" l="1"/>
  <c r="MK80" i="31"/>
  <c r="MM80" i="31" s="1"/>
  <c r="MN80" i="31" s="1"/>
  <c r="MH80" i="31"/>
  <c r="LQ82" i="31"/>
  <c r="LT82" i="31" s="1"/>
  <c r="ME82" i="31" s="1"/>
  <c r="LL83" i="31"/>
  <c r="LO83" i="31" s="1"/>
  <c r="LQ83" i="31" s="1"/>
  <c r="LS83" i="31" s="1"/>
  <c r="LY83" i="31" s="1"/>
  <c r="MA83" i="31" s="1"/>
  <c r="MG81" i="31"/>
  <c r="LE84" i="31"/>
  <c r="AJ87" i="31"/>
  <c r="LJ85" i="31"/>
  <c r="AM87" i="31"/>
  <c r="AN87" i="31" s="1"/>
  <c r="AO87" i="31" s="1"/>
  <c r="AP87" i="31" s="1"/>
  <c r="LG87" i="31"/>
  <c r="AI87" i="31"/>
  <c r="LF87" i="31"/>
  <c r="LH86" i="31"/>
  <c r="LI86" i="31"/>
  <c r="GD86" i="31" s="1"/>
  <c r="GE86" i="31" s="1"/>
  <c r="GF86" i="31" s="1"/>
  <c r="LK86" i="31"/>
  <c r="HD88" i="31"/>
  <c r="HI88" i="31"/>
  <c r="KZ88" i="31"/>
  <c r="AK88" i="31"/>
  <c r="AL88" i="31"/>
  <c r="HH88" i="31"/>
  <c r="IG88" i="31"/>
  <c r="IH88" i="31" s="1"/>
  <c r="IK88" i="31" s="1"/>
  <c r="ML80" i="31" l="1"/>
  <c r="MG82" i="31"/>
  <c r="MK82" i="31" s="1"/>
  <c r="PF82" i="31"/>
  <c r="LS82" i="31"/>
  <c r="LY82" i="31" s="1"/>
  <c r="MA82" i="31" s="1"/>
  <c r="LR82" i="31"/>
  <c r="LX82" i="31" s="1"/>
  <c r="LZ82" i="31" s="1"/>
  <c r="LL84" i="31"/>
  <c r="LO84" i="31" s="1"/>
  <c r="LQ84" i="31" s="1"/>
  <c r="LS84" i="31" s="1"/>
  <c r="LY84" i="31" s="1"/>
  <c r="MA84" i="31" s="1"/>
  <c r="MH81" i="31"/>
  <c r="MK81" i="31"/>
  <c r="LR83" i="31"/>
  <c r="LX83" i="31" s="1"/>
  <c r="LZ83" i="31" s="1"/>
  <c r="LT83" i="31"/>
  <c r="ME83" i="31" s="1"/>
  <c r="MI81" i="31"/>
  <c r="MP81" i="31" s="1"/>
  <c r="LE85" i="31"/>
  <c r="AJ88" i="31"/>
  <c r="LJ86" i="31"/>
  <c r="AM88" i="31"/>
  <c r="AN88" i="31" s="1"/>
  <c r="AO88" i="31" s="1"/>
  <c r="AP88" i="31" s="1"/>
  <c r="LK87" i="31"/>
  <c r="LH87" i="31"/>
  <c r="LI87" i="31"/>
  <c r="GD87" i="31" s="1"/>
  <c r="GE87" i="31" s="1"/>
  <c r="GF87" i="31" s="1"/>
  <c r="AI88" i="31"/>
  <c r="LF88" i="31"/>
  <c r="LG88" i="31"/>
  <c r="AL89" i="31"/>
  <c r="HH89" i="31"/>
  <c r="AK89" i="31"/>
  <c r="KZ89" i="31"/>
  <c r="HI89" i="31"/>
  <c r="HD89" i="31"/>
  <c r="IG89" i="31"/>
  <c r="IH89" i="31" s="1"/>
  <c r="IK89" i="31" s="1"/>
  <c r="MH82" i="31" l="1"/>
  <c r="MI82" i="31"/>
  <c r="MP82" i="31" s="1"/>
  <c r="MG83" i="31"/>
  <c r="MK83" i="31" s="1"/>
  <c r="PF83" i="31"/>
  <c r="MM81" i="31"/>
  <c r="MN81" i="31" s="1"/>
  <c r="MM82" i="31"/>
  <c r="MN82" i="31" s="1"/>
  <c r="ML82" i="31"/>
  <c r="LR84" i="31"/>
  <c r="LX84" i="31" s="1"/>
  <c r="LZ84" i="31" s="1"/>
  <c r="LT84" i="31"/>
  <c r="ME84" i="31" s="1"/>
  <c r="LL85" i="31"/>
  <c r="LO85" i="31" s="1"/>
  <c r="LQ85" i="31" s="1"/>
  <c r="LS85" i="31" s="1"/>
  <c r="LY85" i="31" s="1"/>
  <c r="MA85" i="31" s="1"/>
  <c r="ML81" i="31"/>
  <c r="LE86" i="31"/>
  <c r="AJ89" i="31"/>
  <c r="AM89" i="31"/>
  <c r="AN89" i="31" s="1"/>
  <c r="AO89" i="31" s="1"/>
  <c r="AP89" i="31" s="1"/>
  <c r="LI88" i="31"/>
  <c r="GD88" i="31" s="1"/>
  <c r="GE88" i="31" s="1"/>
  <c r="GF88" i="31" s="1"/>
  <c r="LH88" i="31"/>
  <c r="LK88" i="31"/>
  <c r="LG89" i="31"/>
  <c r="AI89" i="31"/>
  <c r="LF89" i="31"/>
  <c r="AL90" i="31"/>
  <c r="KZ90" i="31"/>
  <c r="AK90" i="31"/>
  <c r="HI90" i="31"/>
  <c r="HH90" i="31"/>
  <c r="HD90" i="31"/>
  <c r="IG90" i="31"/>
  <c r="IH90" i="31" s="1"/>
  <c r="IK90" i="31" s="1"/>
  <c r="LJ87" i="31"/>
  <c r="MH83" i="31" l="1"/>
  <c r="MI83" i="31"/>
  <c r="MP83" i="31" s="1"/>
  <c r="MG84" i="31"/>
  <c r="MK84" i="31" s="1"/>
  <c r="ML84" i="31" s="1"/>
  <c r="PF84" i="31"/>
  <c r="ML83" i="31"/>
  <c r="MM83" i="31"/>
  <c r="MN83" i="31" s="1"/>
  <c r="LL86" i="31"/>
  <c r="LO86" i="31" s="1"/>
  <c r="LQ86" i="31" s="1"/>
  <c r="LR86" i="31" s="1"/>
  <c r="LX86" i="31" s="1"/>
  <c r="LZ86" i="31" s="1"/>
  <c r="LE87" i="31"/>
  <c r="LT85" i="31"/>
  <c r="ME85" i="31" s="1"/>
  <c r="LR85" i="31"/>
  <c r="LX85" i="31" s="1"/>
  <c r="LZ85" i="31" s="1"/>
  <c r="AJ90" i="31"/>
  <c r="HI91" i="31"/>
  <c r="HD91" i="31"/>
  <c r="AL91" i="31"/>
  <c r="KZ91" i="31"/>
  <c r="HH91" i="31"/>
  <c r="AK91" i="31"/>
  <c r="IG91" i="31"/>
  <c r="IH91" i="31" s="1"/>
  <c r="IK91" i="31" s="1"/>
  <c r="LI89" i="31"/>
  <c r="GD89" i="31" s="1"/>
  <c r="GE89" i="31" s="1"/>
  <c r="GF89" i="31" s="1"/>
  <c r="LK89" i="31"/>
  <c r="LH89" i="31"/>
  <c r="LG90" i="31"/>
  <c r="AI90" i="31"/>
  <c r="LF90" i="31"/>
  <c r="AM90" i="31"/>
  <c r="AN90" i="31" s="1"/>
  <c r="AO90" i="31" s="1"/>
  <c r="AP90" i="31" s="1"/>
  <c r="LJ88" i="31"/>
  <c r="MH84" i="31" l="1"/>
  <c r="MI84" i="31"/>
  <c r="MP84" i="31" s="1"/>
  <c r="MG85" i="31"/>
  <c r="MK85" i="31" s="1"/>
  <c r="PF85" i="31"/>
  <c r="MM84" i="31"/>
  <c r="MN84" i="31" s="1"/>
  <c r="LL87" i="31"/>
  <c r="LO87" i="31" s="1"/>
  <c r="LQ87" i="31" s="1"/>
  <c r="LT87" i="31" s="1"/>
  <c r="ME87" i="31" s="1"/>
  <c r="LE88" i="31"/>
  <c r="LT86" i="31"/>
  <c r="ME86" i="31" s="1"/>
  <c r="LS86" i="31"/>
  <c r="LY86" i="31" s="1"/>
  <c r="MA86" i="31" s="1"/>
  <c r="LJ89" i="31"/>
  <c r="AJ91" i="31"/>
  <c r="AM91" i="31"/>
  <c r="AN91" i="31" s="1"/>
  <c r="AO91" i="31" s="1"/>
  <c r="AP91" i="31" s="1"/>
  <c r="LH90" i="31"/>
  <c r="LK90" i="31"/>
  <c r="LI90" i="31"/>
  <c r="GD90" i="31" s="1"/>
  <c r="GE90" i="31" s="1"/>
  <c r="GF90" i="31" s="1"/>
  <c r="LG91" i="31"/>
  <c r="AI91" i="31"/>
  <c r="LF91" i="31"/>
  <c r="AL92" i="31"/>
  <c r="AK92" i="31"/>
  <c r="HD92" i="31"/>
  <c r="KZ92" i="31"/>
  <c r="HH92" i="31"/>
  <c r="HI92" i="31"/>
  <c r="IG92" i="31"/>
  <c r="IH92" i="31" s="1"/>
  <c r="IK92" i="31" s="1"/>
  <c r="MI85" i="31" l="1"/>
  <c r="MP85" i="31" s="1"/>
  <c r="MH85" i="31"/>
  <c r="MG86" i="31"/>
  <c r="MK86" i="31" s="1"/>
  <c r="PF86" i="31"/>
  <c r="MG87" i="31"/>
  <c r="MK87" i="31" s="1"/>
  <c r="ML87" i="31" s="1"/>
  <c r="PF87" i="31"/>
  <c r="MM85" i="31"/>
  <c r="MN85" i="31" s="1"/>
  <c r="LS87" i="31"/>
  <c r="LY87" i="31" s="1"/>
  <c r="MA87" i="31" s="1"/>
  <c r="LR87" i="31"/>
  <c r="LX87" i="31" s="1"/>
  <c r="LZ87" i="31" s="1"/>
  <c r="LL88" i="31"/>
  <c r="LO88" i="31" s="1"/>
  <c r="LQ88" i="31" s="1"/>
  <c r="LT88" i="31" s="1"/>
  <c r="ME88" i="31" s="1"/>
  <c r="ML85" i="31"/>
  <c r="LE89" i="31"/>
  <c r="AJ92" i="31"/>
  <c r="LJ90" i="31"/>
  <c r="LI91" i="31"/>
  <c r="GD91" i="31" s="1"/>
  <c r="GE91" i="31" s="1"/>
  <c r="GF91" i="31" s="1"/>
  <c r="LH91" i="31"/>
  <c r="LK91" i="31"/>
  <c r="HI93" i="31"/>
  <c r="AK93" i="31"/>
  <c r="HH93" i="31"/>
  <c r="AL93" i="31"/>
  <c r="KZ93" i="31"/>
  <c r="HD93" i="31"/>
  <c r="IG93" i="31"/>
  <c r="IH93" i="31" s="1"/>
  <c r="IK93" i="31" s="1"/>
  <c r="AI92" i="31"/>
  <c r="LG92" i="31"/>
  <c r="LF92" i="31"/>
  <c r="AM92" i="31"/>
  <c r="AN92" i="31" s="1"/>
  <c r="AO92" i="31" s="1"/>
  <c r="AP92" i="31" s="1"/>
  <c r="MH86" i="31" l="1"/>
  <c r="MI86" i="31"/>
  <c r="MP86" i="31" s="1"/>
  <c r="MH87" i="31"/>
  <c r="MI87" i="31"/>
  <c r="MP87" i="31" s="1"/>
  <c r="MG88" i="31"/>
  <c r="MK88" i="31" s="1"/>
  <c r="ML88" i="31" s="1"/>
  <c r="PF88" i="31"/>
  <c r="MM87" i="31"/>
  <c r="MN87" i="31" s="1"/>
  <c r="MM86" i="31"/>
  <c r="MN86" i="31" s="1"/>
  <c r="LL89" i="31"/>
  <c r="LO89" i="31" s="1"/>
  <c r="LQ89" i="31" s="1"/>
  <c r="LR88" i="31"/>
  <c r="LX88" i="31" s="1"/>
  <c r="LZ88" i="31" s="1"/>
  <c r="LS88" i="31"/>
  <c r="LY88" i="31" s="1"/>
  <c r="MA88" i="31" s="1"/>
  <c r="LE90" i="31"/>
  <c r="ML86" i="31"/>
  <c r="AJ93" i="31"/>
  <c r="LI92" i="31"/>
  <c r="GD92" i="31" s="1"/>
  <c r="GE92" i="31" s="1"/>
  <c r="GF92" i="31" s="1"/>
  <c r="LH92" i="31"/>
  <c r="LK92" i="31"/>
  <c r="LG93" i="31"/>
  <c r="LF93" i="31"/>
  <c r="AI93" i="31"/>
  <c r="KZ94" i="31"/>
  <c r="AL94" i="31"/>
  <c r="HI94" i="31"/>
  <c r="AK94" i="31"/>
  <c r="HH94" i="31"/>
  <c r="HD94" i="31"/>
  <c r="IG94" i="31"/>
  <c r="IH94" i="31" s="1"/>
  <c r="IK94" i="31" s="1"/>
  <c r="LJ91" i="31"/>
  <c r="AM93" i="31"/>
  <c r="AN93" i="31" s="1"/>
  <c r="AO93" i="31" s="1"/>
  <c r="AP93" i="31" s="1"/>
  <c r="MI88" i="31" l="1"/>
  <c r="MP88" i="31" s="1"/>
  <c r="MH88" i="31"/>
  <c r="MM88" i="31"/>
  <c r="MN88" i="31" s="1"/>
  <c r="LL90" i="31"/>
  <c r="LO90" i="31" s="1"/>
  <c r="LQ90" i="31" s="1"/>
  <c r="LE91" i="31"/>
  <c r="LR89" i="31"/>
  <c r="LX89" i="31" s="1"/>
  <c r="LZ89" i="31" s="1"/>
  <c r="LS89" i="31"/>
  <c r="LY89" i="31" s="1"/>
  <c r="MA89" i="31" s="1"/>
  <c r="LT89" i="31"/>
  <c r="ME89" i="31" s="1"/>
  <c r="PF89" i="31" s="1"/>
  <c r="AJ94" i="31"/>
  <c r="LJ92" i="31"/>
  <c r="AI94" i="31"/>
  <c r="LG94" i="31"/>
  <c r="LF94" i="31"/>
  <c r="LI93" i="31"/>
  <c r="GD93" i="31" s="1"/>
  <c r="GE93" i="31" s="1"/>
  <c r="GF93" i="31" s="1"/>
  <c r="LH93" i="31"/>
  <c r="LK93" i="31"/>
  <c r="AM94" i="31"/>
  <c r="AN94" i="31" s="1"/>
  <c r="AO94" i="31" s="1"/>
  <c r="AP94" i="31" s="1"/>
  <c r="HH95" i="31"/>
  <c r="AL95" i="31"/>
  <c r="HD95" i="31"/>
  <c r="HI95" i="31"/>
  <c r="AK95" i="31"/>
  <c r="KZ95" i="31"/>
  <c r="IG95" i="31"/>
  <c r="IH95" i="31" s="1"/>
  <c r="IK95" i="31" s="1"/>
  <c r="LL91" i="31" l="1"/>
  <c r="LO91" i="31" s="1"/>
  <c r="LQ91" i="31" s="1"/>
  <c r="LS91" i="31" s="1"/>
  <c r="LY91" i="31" s="1"/>
  <c r="MA91" i="31" s="1"/>
  <c r="MG89" i="31"/>
  <c r="MK89" i="31" s="1"/>
  <c r="LR90" i="31"/>
  <c r="LX90" i="31" s="1"/>
  <c r="LZ90" i="31" s="1"/>
  <c r="LS90" i="31"/>
  <c r="LY90" i="31" s="1"/>
  <c r="MA90" i="31" s="1"/>
  <c r="LE92" i="31"/>
  <c r="LT90" i="31"/>
  <c r="ME90" i="31" s="1"/>
  <c r="AJ95" i="31"/>
  <c r="LF95" i="31"/>
  <c r="AI95" i="31"/>
  <c r="LG95" i="31"/>
  <c r="LJ93" i="31"/>
  <c r="LK94" i="31"/>
  <c r="LH94" i="31"/>
  <c r="LI94" i="31"/>
  <c r="GD94" i="31" s="1"/>
  <c r="GE94" i="31" s="1"/>
  <c r="GF94" i="31" s="1"/>
  <c r="AM95" i="31"/>
  <c r="AN95" i="31" s="1"/>
  <c r="AO95" i="31" s="1"/>
  <c r="AP95" i="31" s="1"/>
  <c r="AL96" i="31"/>
  <c r="HI96" i="31"/>
  <c r="AK96" i="31"/>
  <c r="KZ96" i="31"/>
  <c r="HH96" i="31"/>
  <c r="HD96" i="31"/>
  <c r="IG96" i="31"/>
  <c r="IH96" i="31" s="1"/>
  <c r="IK96" i="31" s="1"/>
  <c r="MG90" i="31" l="1"/>
  <c r="MK90" i="31" s="1"/>
  <c r="PF90" i="31"/>
  <c r="LT91" i="31"/>
  <c r="ME91" i="31" s="1"/>
  <c r="LR91" i="31"/>
  <c r="LX91" i="31" s="1"/>
  <c r="LZ91" i="31" s="1"/>
  <c r="LL92" i="31"/>
  <c r="LO92" i="31" s="1"/>
  <c r="LQ92" i="31" s="1"/>
  <c r="MH89" i="31"/>
  <c r="MI89" i="31"/>
  <c r="MP89" i="31" s="1"/>
  <c r="LE93" i="31"/>
  <c r="ML89" i="31"/>
  <c r="AJ96" i="31"/>
  <c r="AM96" i="31"/>
  <c r="AN96" i="31" s="1"/>
  <c r="AO96" i="31" s="1"/>
  <c r="AP96" i="31" s="1"/>
  <c r="LJ94" i="31"/>
  <c r="AI96" i="31"/>
  <c r="LG96" i="31"/>
  <c r="LF96" i="31"/>
  <c r="HI97" i="31"/>
  <c r="AK97" i="31"/>
  <c r="KZ97" i="31"/>
  <c r="AL97" i="31"/>
  <c r="HH97" i="31"/>
  <c r="HD97" i="31"/>
  <c r="IG97" i="31"/>
  <c r="IH97" i="31" s="1"/>
  <c r="IK97" i="31" s="1"/>
  <c r="LI95" i="31"/>
  <c r="GD95" i="31" s="1"/>
  <c r="GE95" i="31" s="1"/>
  <c r="GF95" i="31" s="1"/>
  <c r="LK95" i="31"/>
  <c r="LH95" i="31"/>
  <c r="MH90" i="31" l="1"/>
  <c r="MI90" i="31"/>
  <c r="MP90" i="31" s="1"/>
  <c r="MG91" i="31"/>
  <c r="MK91" i="31" s="1"/>
  <c r="ML91" i="31" s="1"/>
  <c r="PF91" i="31"/>
  <c r="MM89" i="31"/>
  <c r="MN89" i="31" s="1"/>
  <c r="MM90" i="31"/>
  <c r="MN90" i="31" s="1"/>
  <c r="LL93" i="31"/>
  <c r="LO93" i="31" s="1"/>
  <c r="LQ93" i="31" s="1"/>
  <c r="LS93" i="31" s="1"/>
  <c r="LY93" i="31" s="1"/>
  <c r="MA93" i="31" s="1"/>
  <c r="LE94" i="31"/>
  <c r="ML90" i="31"/>
  <c r="LT92" i="31"/>
  <c r="ME92" i="31" s="1"/>
  <c r="LS92" i="31"/>
  <c r="LY92" i="31" s="1"/>
  <c r="MA92" i="31" s="1"/>
  <c r="LR92" i="31"/>
  <c r="LX92" i="31" s="1"/>
  <c r="LZ92" i="31" s="1"/>
  <c r="AJ97" i="31"/>
  <c r="AI97" i="31"/>
  <c r="LF97" i="31"/>
  <c r="LG97" i="31"/>
  <c r="AM97" i="31"/>
  <c r="AN97" i="31" s="1"/>
  <c r="AO97" i="31" s="1"/>
  <c r="AP97" i="31" s="1"/>
  <c r="HI98" i="31"/>
  <c r="HD98" i="31"/>
  <c r="AK98" i="31"/>
  <c r="KZ98" i="31"/>
  <c r="HH98" i="31"/>
  <c r="AL98" i="31"/>
  <c r="IG98" i="31"/>
  <c r="IH98" i="31" s="1"/>
  <c r="IK98" i="31" s="1"/>
  <c r="LJ95" i="31"/>
  <c r="LK96" i="31"/>
  <c r="LI96" i="31"/>
  <c r="GD96" i="31" s="1"/>
  <c r="GE96" i="31" s="1"/>
  <c r="GF96" i="31" s="1"/>
  <c r="LH96" i="31"/>
  <c r="MI91" i="31" l="1"/>
  <c r="MP91" i="31" s="1"/>
  <c r="MG92" i="31"/>
  <c r="MK92" i="31" s="1"/>
  <c r="PF92" i="31"/>
  <c r="MH91" i="31"/>
  <c r="MM91" i="31"/>
  <c r="MN91" i="31" s="1"/>
  <c r="LR93" i="31"/>
  <c r="LX93" i="31" s="1"/>
  <c r="LZ93" i="31" s="1"/>
  <c r="LT93" i="31"/>
  <c r="ME93" i="31" s="1"/>
  <c r="LL94" i="31"/>
  <c r="LO94" i="31" s="1"/>
  <c r="LQ94" i="31" s="1"/>
  <c r="LE95" i="31"/>
  <c r="LJ96" i="31"/>
  <c r="AM98" i="31"/>
  <c r="AN98" i="31" s="1"/>
  <c r="AO98" i="31" s="1"/>
  <c r="AP98" i="31" s="1"/>
  <c r="AJ98" i="31"/>
  <c r="LG98" i="31"/>
  <c r="LF98" i="31"/>
  <c r="AI98" i="31"/>
  <c r="HH99" i="31"/>
  <c r="HD99" i="31"/>
  <c r="AL99" i="31"/>
  <c r="KZ99" i="31"/>
  <c r="AK99" i="31"/>
  <c r="HI99" i="31"/>
  <c r="IG99" i="31"/>
  <c r="IH99" i="31" s="1"/>
  <c r="IK99" i="31" s="1"/>
  <c r="LI97" i="31"/>
  <c r="GD97" i="31" s="1"/>
  <c r="GE97" i="31" s="1"/>
  <c r="GF97" i="31" s="1"/>
  <c r="LH97" i="31"/>
  <c r="LK97" i="31"/>
  <c r="MH92" i="31" l="1"/>
  <c r="MI92" i="31"/>
  <c r="MP92" i="31" s="1"/>
  <c r="MG93" i="31"/>
  <c r="MK93" i="31" s="1"/>
  <c r="ML93" i="31" s="1"/>
  <c r="PF93" i="31"/>
  <c r="MM92" i="31"/>
  <c r="MN92" i="31" s="1"/>
  <c r="LL95" i="31"/>
  <c r="LO95" i="31" s="1"/>
  <c r="LQ95" i="31" s="1"/>
  <c r="LR95" i="31" s="1"/>
  <c r="LX95" i="31" s="1"/>
  <c r="LZ95" i="31" s="1"/>
  <c r="ML92" i="31"/>
  <c r="LS94" i="31"/>
  <c r="LY94" i="31" s="1"/>
  <c r="MA94" i="31" s="1"/>
  <c r="LR94" i="31"/>
  <c r="LX94" i="31" s="1"/>
  <c r="LZ94" i="31" s="1"/>
  <c r="LE96" i="31"/>
  <c r="LT94" i="31"/>
  <c r="ME94" i="31" s="1"/>
  <c r="AJ99" i="31"/>
  <c r="LJ97" i="31"/>
  <c r="LF99" i="31"/>
  <c r="AI99" i="31"/>
  <c r="LG99" i="31"/>
  <c r="LI98" i="31"/>
  <c r="GD98" i="31" s="1"/>
  <c r="GE98" i="31" s="1"/>
  <c r="GF98" i="31" s="1"/>
  <c r="LH98" i="31"/>
  <c r="LK98" i="31"/>
  <c r="AM99" i="31"/>
  <c r="AN99" i="31" s="1"/>
  <c r="AO99" i="31" s="1"/>
  <c r="AP99" i="31" s="1"/>
  <c r="AL100" i="31"/>
  <c r="HD100" i="31"/>
  <c r="KZ100" i="31"/>
  <c r="HI100" i="31"/>
  <c r="HH100" i="31"/>
  <c r="AK100" i="31"/>
  <c r="IG100" i="31"/>
  <c r="IH100" i="31" s="1"/>
  <c r="IK100" i="31" s="1"/>
  <c r="MH93" i="31" l="1"/>
  <c r="MI93" i="31"/>
  <c r="MP93" i="31" s="1"/>
  <c r="MG94" i="31"/>
  <c r="MK94" i="31" s="1"/>
  <c r="PF94" i="31"/>
  <c r="MM93" i="31"/>
  <c r="MN93" i="31" s="1"/>
  <c r="LT95" i="31"/>
  <c r="ME95" i="31" s="1"/>
  <c r="LS95" i="31"/>
  <c r="LY95" i="31" s="1"/>
  <c r="MA95" i="31" s="1"/>
  <c r="LL96" i="31"/>
  <c r="LO96" i="31" s="1"/>
  <c r="LQ96" i="31" s="1"/>
  <c r="LE97" i="31"/>
  <c r="AM100" i="31"/>
  <c r="AN100" i="31" s="1"/>
  <c r="AO100" i="31" s="1"/>
  <c r="AP100" i="31" s="1"/>
  <c r="AJ100" i="31"/>
  <c r="LJ98" i="31"/>
  <c r="HH101" i="31"/>
  <c r="KZ101" i="31"/>
  <c r="HI101" i="31"/>
  <c r="AK101" i="31"/>
  <c r="HD101" i="31"/>
  <c r="AL101" i="31"/>
  <c r="IG101" i="31"/>
  <c r="IH101" i="31" s="1"/>
  <c r="IK101" i="31" s="1"/>
  <c r="LK99" i="31"/>
  <c r="LH99" i="31"/>
  <c r="LI99" i="31"/>
  <c r="GD99" i="31" s="1"/>
  <c r="GE99" i="31" s="1"/>
  <c r="GF99" i="31" s="1"/>
  <c r="LF100" i="31"/>
  <c r="LG100" i="31"/>
  <c r="AI100" i="31"/>
  <c r="MH94" i="31" l="1"/>
  <c r="MI94" i="31"/>
  <c r="MP94" i="31" s="1"/>
  <c r="MG95" i="31"/>
  <c r="MK95" i="31" s="1"/>
  <c r="ML95" i="31" s="1"/>
  <c r="PF95" i="31"/>
  <c r="MM94" i="31"/>
  <c r="MN94" i="31" s="1"/>
  <c r="LL97" i="31"/>
  <c r="LO97" i="31" s="1"/>
  <c r="LQ97" i="31" s="1"/>
  <c r="ML94" i="31"/>
  <c r="LE98" i="31"/>
  <c r="LR96" i="31"/>
  <c r="LX96" i="31" s="1"/>
  <c r="LZ96" i="31" s="1"/>
  <c r="LT96" i="31"/>
  <c r="ME96" i="31" s="1"/>
  <c r="PF96" i="31" s="1"/>
  <c r="LS96" i="31"/>
  <c r="LY96" i="31" s="1"/>
  <c r="MA96" i="31" s="1"/>
  <c r="AJ101" i="31"/>
  <c r="LJ99" i="31"/>
  <c r="LG101" i="31"/>
  <c r="AI101" i="31"/>
  <c r="LF101" i="31"/>
  <c r="AM101" i="31"/>
  <c r="AN101" i="31" s="1"/>
  <c r="AO101" i="31" s="1"/>
  <c r="AP101" i="31" s="1"/>
  <c r="AK102" i="31"/>
  <c r="HH102" i="31"/>
  <c r="KZ102" i="31"/>
  <c r="AL102" i="31"/>
  <c r="HD102" i="31"/>
  <c r="HI102" i="31"/>
  <c r="IG102" i="31"/>
  <c r="IH102" i="31" s="1"/>
  <c r="IK102" i="31" s="1"/>
  <c r="LI100" i="31"/>
  <c r="GD100" i="31" s="1"/>
  <c r="GE100" i="31" s="1"/>
  <c r="GF100" i="31" s="1"/>
  <c r="LK100" i="31"/>
  <c r="LH100" i="31"/>
  <c r="MI95" i="31" l="1"/>
  <c r="MP95" i="31" s="1"/>
  <c r="MH95" i="31"/>
  <c r="MM95" i="31"/>
  <c r="MN95" i="31" s="1"/>
  <c r="LL98" i="31"/>
  <c r="LO98" i="31" s="1"/>
  <c r="LQ98" i="31" s="1"/>
  <c r="MG96" i="31"/>
  <c r="MK96" i="31" s="1"/>
  <c r="LT97" i="31"/>
  <c r="ME97" i="31" s="1"/>
  <c r="LS97" i="31"/>
  <c r="LY97" i="31" s="1"/>
  <c r="MA97" i="31" s="1"/>
  <c r="LE99" i="31"/>
  <c r="LR97" i="31"/>
  <c r="LX97" i="31" s="1"/>
  <c r="LZ97" i="31" s="1"/>
  <c r="LJ100" i="31"/>
  <c r="AJ102" i="31"/>
  <c r="AM102" i="31"/>
  <c r="AN102" i="31" s="1"/>
  <c r="AO102" i="31" s="1"/>
  <c r="AP102" i="31" s="1"/>
  <c r="LI101" i="31"/>
  <c r="GD101" i="31" s="1"/>
  <c r="GE101" i="31" s="1"/>
  <c r="GF101" i="31" s="1"/>
  <c r="LH101" i="31"/>
  <c r="LK101" i="31"/>
  <c r="HH103" i="31"/>
  <c r="HI103" i="31"/>
  <c r="AK103" i="31"/>
  <c r="AL103" i="31"/>
  <c r="KZ103" i="31"/>
  <c r="HD103" i="31"/>
  <c r="IG103" i="31"/>
  <c r="IH103" i="31" s="1"/>
  <c r="IK103" i="31" s="1"/>
  <c r="AI102" i="31"/>
  <c r="LF102" i="31"/>
  <c r="LG102" i="31"/>
  <c r="MG97" i="31" l="1"/>
  <c r="MK97" i="31" s="1"/>
  <c r="PF97" i="31"/>
  <c r="LL99" i="31"/>
  <c r="LO99" i="31" s="1"/>
  <c r="LQ99" i="31" s="1"/>
  <c r="MH96" i="31"/>
  <c r="MI96" i="31"/>
  <c r="MP96" i="31" s="1"/>
  <c r="LE100" i="31"/>
  <c r="LS98" i="31"/>
  <c r="LY98" i="31" s="1"/>
  <c r="MA98" i="31" s="1"/>
  <c r="LT98" i="31"/>
  <c r="ME98" i="31" s="1"/>
  <c r="ML96" i="31"/>
  <c r="LR98" i="31"/>
  <c r="LX98" i="31" s="1"/>
  <c r="LZ98" i="31" s="1"/>
  <c r="AJ103" i="31"/>
  <c r="LJ101" i="31"/>
  <c r="HD104" i="31"/>
  <c r="AK104" i="31"/>
  <c r="HI104" i="31"/>
  <c r="KZ104" i="31"/>
  <c r="HH104" i="31"/>
  <c r="AL104" i="31"/>
  <c r="IG104" i="31"/>
  <c r="IH104" i="31" s="1"/>
  <c r="IK104" i="31" s="1"/>
  <c r="LG103" i="31"/>
  <c r="LF103" i="31"/>
  <c r="AI103" i="31"/>
  <c r="LI102" i="31"/>
  <c r="GD102" i="31" s="1"/>
  <c r="GE102" i="31" s="1"/>
  <c r="GF102" i="31" s="1"/>
  <c r="LK102" i="31"/>
  <c r="LH102" i="31"/>
  <c r="AM103" i="31"/>
  <c r="AN103" i="31" s="1"/>
  <c r="AO103" i="31" s="1"/>
  <c r="AP103" i="31" s="1"/>
  <c r="MH97" i="31" l="1"/>
  <c r="MI97" i="31"/>
  <c r="MP97" i="31" s="1"/>
  <c r="MG98" i="31"/>
  <c r="MK98" i="31" s="1"/>
  <c r="PF98" i="31"/>
  <c r="MM96" i="31"/>
  <c r="MN96" i="31" s="1"/>
  <c r="MM97" i="31"/>
  <c r="MN97" i="31" s="1"/>
  <c r="LL100" i="31"/>
  <c r="LO100" i="31" s="1"/>
  <c r="LQ100" i="31" s="1"/>
  <c r="ML97" i="31"/>
  <c r="LT99" i="31"/>
  <c r="ME99" i="31" s="1"/>
  <c r="LS99" i="31"/>
  <c r="LY99" i="31" s="1"/>
  <c r="MA99" i="31" s="1"/>
  <c r="LR99" i="31"/>
  <c r="LX99" i="31" s="1"/>
  <c r="LZ99" i="31" s="1"/>
  <c r="LE101" i="31"/>
  <c r="AJ104" i="31"/>
  <c r="LJ102" i="31"/>
  <c r="LI103" i="31"/>
  <c r="GD103" i="31" s="1"/>
  <c r="GE103" i="31" s="1"/>
  <c r="GF103" i="31" s="1"/>
  <c r="LK103" i="31"/>
  <c r="LH103" i="31"/>
  <c r="AM104" i="31"/>
  <c r="AN104" i="31" s="1"/>
  <c r="AO104" i="31" s="1"/>
  <c r="AP104" i="31" s="1"/>
  <c r="HD105" i="31"/>
  <c r="AL105" i="31"/>
  <c r="KZ105" i="31"/>
  <c r="HH105" i="31"/>
  <c r="HI105" i="31"/>
  <c r="AK105" i="31"/>
  <c r="IG105" i="31"/>
  <c r="IH105" i="31" s="1"/>
  <c r="IK105" i="31" s="1"/>
  <c r="AI104" i="31"/>
  <c r="LG104" i="31"/>
  <c r="LF104" i="31"/>
  <c r="MH98" i="31" l="1"/>
  <c r="MI98" i="31"/>
  <c r="MP98" i="31" s="1"/>
  <c r="MG99" i="31"/>
  <c r="MK99" i="31" s="1"/>
  <c r="PF99" i="31"/>
  <c r="MM98" i="31"/>
  <c r="MN98" i="31" s="1"/>
  <c r="LL101" i="31"/>
  <c r="LO101" i="31" s="1"/>
  <c r="LQ101" i="31" s="1"/>
  <c r="LE102" i="31"/>
  <c r="ML98" i="31"/>
  <c r="LR100" i="31"/>
  <c r="LX100" i="31" s="1"/>
  <c r="LZ100" i="31" s="1"/>
  <c r="LT100" i="31"/>
  <c r="ME100" i="31" s="1"/>
  <c r="LS100" i="31"/>
  <c r="LY100" i="31" s="1"/>
  <c r="MA100" i="31" s="1"/>
  <c r="AJ105" i="31"/>
  <c r="LJ103" i="31"/>
  <c r="LK104" i="31"/>
  <c r="LH104" i="31"/>
  <c r="LI104" i="31"/>
  <c r="GD104" i="31" s="1"/>
  <c r="GE104" i="31" s="1"/>
  <c r="GF104" i="31" s="1"/>
  <c r="AI105" i="31"/>
  <c r="LF105" i="31"/>
  <c r="LG105" i="31"/>
  <c r="AM105" i="31"/>
  <c r="AN105" i="31" s="1"/>
  <c r="AO105" i="31" s="1"/>
  <c r="AP105" i="31" s="1"/>
  <c r="KZ106" i="31"/>
  <c r="HH106" i="31"/>
  <c r="AK106" i="31"/>
  <c r="HD106" i="31"/>
  <c r="AL106" i="31"/>
  <c r="HI106" i="31"/>
  <c r="IG106" i="31"/>
  <c r="IH106" i="31" s="1"/>
  <c r="IK106" i="31" s="1"/>
  <c r="MH99" i="31" l="1"/>
  <c r="MI99" i="31"/>
  <c r="MP99" i="31" s="1"/>
  <c r="MG100" i="31"/>
  <c r="MK100" i="31" s="1"/>
  <c r="PF100" i="31"/>
  <c r="MM99" i="31"/>
  <c r="MN99" i="31" s="1"/>
  <c r="LL102" i="31"/>
  <c r="LO102" i="31" s="1"/>
  <c r="LQ102" i="31" s="1"/>
  <c r="LS102" i="31" s="1"/>
  <c r="LY102" i="31" s="1"/>
  <c r="MA102" i="31" s="1"/>
  <c r="ML99" i="31"/>
  <c r="LE103" i="31"/>
  <c r="LR101" i="31"/>
  <c r="LX101" i="31" s="1"/>
  <c r="LZ101" i="31" s="1"/>
  <c r="LT101" i="31"/>
  <c r="ME101" i="31" s="1"/>
  <c r="LS101" i="31"/>
  <c r="LY101" i="31" s="1"/>
  <c r="MA101" i="31" s="1"/>
  <c r="AJ106" i="31"/>
  <c r="AM106" i="31"/>
  <c r="AN106" i="31" s="1"/>
  <c r="AO106" i="31" s="1"/>
  <c r="AP106" i="31" s="1"/>
  <c r="LJ104" i="31"/>
  <c r="LF106" i="31"/>
  <c r="LG106" i="31"/>
  <c r="AI106" i="31"/>
  <c r="LH105" i="31"/>
  <c r="LI105" i="31"/>
  <c r="GD105" i="31" s="1"/>
  <c r="GE105" i="31" s="1"/>
  <c r="GF105" i="31" s="1"/>
  <c r="LK105" i="31"/>
  <c r="AK107" i="31"/>
  <c r="KZ107" i="31"/>
  <c r="HI107" i="31"/>
  <c r="AL107" i="31"/>
  <c r="HH107" i="31"/>
  <c r="HD107" i="31"/>
  <c r="IG107" i="31"/>
  <c r="IH107" i="31" s="1"/>
  <c r="IK107" i="31" s="1"/>
  <c r="MH100" i="31" l="1"/>
  <c r="MI100" i="31"/>
  <c r="MP100" i="31" s="1"/>
  <c r="MG101" i="31"/>
  <c r="MK101" i="31" s="1"/>
  <c r="PF101" i="31"/>
  <c r="MM100" i="31"/>
  <c r="MN100" i="31" s="1"/>
  <c r="LL103" i="31"/>
  <c r="LO103" i="31" s="1"/>
  <c r="LQ103" i="31" s="1"/>
  <c r="LE104" i="31"/>
  <c r="ML100" i="31"/>
  <c r="LR102" i="31"/>
  <c r="LX102" i="31" s="1"/>
  <c r="LZ102" i="31" s="1"/>
  <c r="LT102" i="31"/>
  <c r="ME102" i="31" s="1"/>
  <c r="AJ107" i="31"/>
  <c r="LJ105" i="31"/>
  <c r="AM107" i="31"/>
  <c r="AN107" i="31" s="1"/>
  <c r="AO107" i="31" s="1"/>
  <c r="AP107" i="31" s="1"/>
  <c r="HD108" i="31"/>
  <c r="AK108" i="31"/>
  <c r="KZ108" i="31"/>
  <c r="AL108" i="31"/>
  <c r="HI108" i="31"/>
  <c r="HH108" i="31"/>
  <c r="IG108" i="31"/>
  <c r="IH108" i="31" s="1"/>
  <c r="IK108" i="31" s="1"/>
  <c r="LG107" i="31"/>
  <c r="AI107" i="31"/>
  <c r="LF107" i="31"/>
  <c r="LH106" i="31"/>
  <c r="LK106" i="31"/>
  <c r="LI106" i="31"/>
  <c r="GD106" i="31" s="1"/>
  <c r="GE106" i="31" s="1"/>
  <c r="GF106" i="31" s="1"/>
  <c r="MI101" i="31" l="1"/>
  <c r="MP101" i="31" s="1"/>
  <c r="MH101" i="31"/>
  <c r="MG102" i="31"/>
  <c r="MK102" i="31" s="1"/>
  <c r="PF102" i="31"/>
  <c r="MM101" i="31"/>
  <c r="MN101" i="31" s="1"/>
  <c r="LL104" i="31"/>
  <c r="LO104" i="31" s="1"/>
  <c r="LQ104" i="31" s="1"/>
  <c r="LT103" i="31"/>
  <c r="ME103" i="31" s="1"/>
  <c r="LR103" i="31"/>
  <c r="LX103" i="31" s="1"/>
  <c r="LZ103" i="31" s="1"/>
  <c r="ML101" i="31"/>
  <c r="LS103" i="31"/>
  <c r="LY103" i="31" s="1"/>
  <c r="MA103" i="31" s="1"/>
  <c r="LE105" i="31"/>
  <c r="AJ108" i="31"/>
  <c r="AM108" i="31"/>
  <c r="AN108" i="31" s="1"/>
  <c r="AO108" i="31" s="1"/>
  <c r="AP108" i="31" s="1"/>
  <c r="LJ106" i="31"/>
  <c r="LF108" i="31"/>
  <c r="LG108" i="31"/>
  <c r="AI108" i="31"/>
  <c r="LK107" i="31"/>
  <c r="LH107" i="31"/>
  <c r="LI107" i="31"/>
  <c r="GD107" i="31" s="1"/>
  <c r="GE107" i="31" s="1"/>
  <c r="GF107" i="31" s="1"/>
  <c r="HD109" i="31"/>
  <c r="HH109" i="31"/>
  <c r="HI109" i="31"/>
  <c r="KZ109" i="31"/>
  <c r="AL109" i="31"/>
  <c r="AK109" i="31"/>
  <c r="IG109" i="31"/>
  <c r="IH109" i="31" s="1"/>
  <c r="IK109" i="31" s="1"/>
  <c r="MH102" i="31" l="1"/>
  <c r="MI102" i="31"/>
  <c r="MP102" i="31" s="1"/>
  <c r="MG103" i="31"/>
  <c r="MK103" i="31" s="1"/>
  <c r="PF103" i="31"/>
  <c r="MM102" i="31"/>
  <c r="MN102" i="31" s="1"/>
  <c r="LL105" i="31"/>
  <c r="LO105" i="31" s="1"/>
  <c r="LQ105" i="31" s="1"/>
  <c r="LE106" i="31"/>
  <c r="ML102" i="31"/>
  <c r="LT104" i="31"/>
  <c r="ME104" i="31" s="1"/>
  <c r="LR104" i="31"/>
  <c r="LX104" i="31" s="1"/>
  <c r="LZ104" i="31" s="1"/>
  <c r="LS104" i="31"/>
  <c r="LY104" i="31" s="1"/>
  <c r="MA104" i="31" s="1"/>
  <c r="AJ109" i="31"/>
  <c r="LJ107" i="31"/>
  <c r="HH110" i="31"/>
  <c r="HD110" i="31"/>
  <c r="AL110" i="31"/>
  <c r="AK110" i="31"/>
  <c r="KZ110" i="31"/>
  <c r="HI110" i="31"/>
  <c r="IG110" i="31"/>
  <c r="IH110" i="31" s="1"/>
  <c r="IK110" i="31" s="1"/>
  <c r="LG109" i="31"/>
  <c r="LF109" i="31"/>
  <c r="AI109" i="31"/>
  <c r="LH108" i="31"/>
  <c r="LI108" i="31"/>
  <c r="GD108" i="31" s="1"/>
  <c r="GE108" i="31" s="1"/>
  <c r="GF108" i="31" s="1"/>
  <c r="LK108" i="31"/>
  <c r="AM109" i="31"/>
  <c r="AN109" i="31" s="1"/>
  <c r="AO109" i="31" s="1"/>
  <c r="AP109" i="31" s="1"/>
  <c r="MI103" i="31" l="1"/>
  <c r="MP103" i="31" s="1"/>
  <c r="MH103" i="31"/>
  <c r="MG104" i="31"/>
  <c r="MK104" i="31" s="1"/>
  <c r="PF104" i="31"/>
  <c r="MM103" i="31"/>
  <c r="MN103" i="31" s="1"/>
  <c r="LL106" i="31"/>
  <c r="LO106" i="31" s="1"/>
  <c r="LQ106" i="31" s="1"/>
  <c r="LT106" i="31" s="1"/>
  <c r="ME106" i="31" s="1"/>
  <c r="LE107" i="31"/>
  <c r="ML103" i="31"/>
  <c r="LS105" i="31"/>
  <c r="LY105" i="31" s="1"/>
  <c r="MA105" i="31" s="1"/>
  <c r="LR105" i="31"/>
  <c r="LX105" i="31" s="1"/>
  <c r="LZ105" i="31" s="1"/>
  <c r="LT105" i="31"/>
  <c r="ME105" i="31" s="1"/>
  <c r="AM110" i="31"/>
  <c r="AN110" i="31" s="1"/>
  <c r="AO110" i="31" s="1"/>
  <c r="AP110" i="31" s="1"/>
  <c r="AJ110" i="31"/>
  <c r="LK109" i="31"/>
  <c r="LI109" i="31"/>
  <c r="GD109" i="31" s="1"/>
  <c r="GE109" i="31" s="1"/>
  <c r="GF109" i="31" s="1"/>
  <c r="LH109" i="31"/>
  <c r="LG110" i="31"/>
  <c r="AI110" i="31"/>
  <c r="LF110" i="31"/>
  <c r="LJ108" i="31"/>
  <c r="HI111" i="31"/>
  <c r="AL111" i="31"/>
  <c r="HD111" i="31"/>
  <c r="HH111" i="31"/>
  <c r="AK111" i="31"/>
  <c r="KZ111" i="31"/>
  <c r="IG111" i="31"/>
  <c r="IH111" i="31" s="1"/>
  <c r="IK111" i="31" s="1"/>
  <c r="MH104" i="31" l="1"/>
  <c r="MI104" i="31"/>
  <c r="MP104" i="31" s="1"/>
  <c r="MG106" i="31"/>
  <c r="MK106" i="31" s="1"/>
  <c r="ML106" i="31" s="1"/>
  <c r="PF106" i="31"/>
  <c r="MG105" i="31"/>
  <c r="MK105" i="31" s="1"/>
  <c r="PF105" i="31"/>
  <c r="MM104" i="31"/>
  <c r="MN104" i="31" s="1"/>
  <c r="LR106" i="31"/>
  <c r="LX106" i="31" s="1"/>
  <c r="LZ106" i="31" s="1"/>
  <c r="LS106" i="31"/>
  <c r="LY106" i="31" s="1"/>
  <c r="MA106" i="31" s="1"/>
  <c r="LL107" i="31"/>
  <c r="LO107" i="31" s="1"/>
  <c r="LQ107" i="31" s="1"/>
  <c r="LE108" i="31"/>
  <c r="ML104" i="31"/>
  <c r="LJ109" i="31"/>
  <c r="AJ111" i="31"/>
  <c r="AM111" i="31"/>
  <c r="AN111" i="31" s="1"/>
  <c r="AO111" i="31" s="1"/>
  <c r="AP111" i="31" s="1"/>
  <c r="AL112" i="31"/>
  <c r="KZ112" i="31"/>
  <c r="HI112" i="31"/>
  <c r="HD112" i="31"/>
  <c r="HH112" i="31"/>
  <c r="AK112" i="31"/>
  <c r="IG112" i="31"/>
  <c r="IH112" i="31" s="1"/>
  <c r="IK112" i="31" s="1"/>
  <c r="AI111" i="31"/>
  <c r="LG111" i="31"/>
  <c r="LF111" i="31"/>
  <c r="LK110" i="31"/>
  <c r="LI110" i="31"/>
  <c r="GD110" i="31" s="1"/>
  <c r="GE110" i="31" s="1"/>
  <c r="GF110" i="31" s="1"/>
  <c r="LH110" i="31"/>
  <c r="MH106" i="31" l="1"/>
  <c r="MH105" i="31"/>
  <c r="MI106" i="31"/>
  <c r="MP106" i="31" s="1"/>
  <c r="MI105" i="31"/>
  <c r="MP105" i="31" s="1"/>
  <c r="MM106" i="31"/>
  <c r="MN106" i="31" s="1"/>
  <c r="MM105" i="31"/>
  <c r="MN105" i="31" s="1"/>
  <c r="LL108" i="31"/>
  <c r="LO108" i="31" s="1"/>
  <c r="ML105" i="31"/>
  <c r="LE109" i="31"/>
  <c r="LS107" i="31"/>
  <c r="LY107" i="31" s="1"/>
  <c r="MA107" i="31" s="1"/>
  <c r="LR107" i="31"/>
  <c r="LX107" i="31" s="1"/>
  <c r="LZ107" i="31" s="1"/>
  <c r="LT107" i="31"/>
  <c r="ME107" i="31" s="1"/>
  <c r="AJ112" i="31"/>
  <c r="AM112" i="31"/>
  <c r="AN112" i="31" s="1"/>
  <c r="AO112" i="31" s="1"/>
  <c r="AP112" i="31" s="1"/>
  <c r="LH111" i="31"/>
  <c r="LK111" i="31"/>
  <c r="LI111" i="31"/>
  <c r="GD111" i="31" s="1"/>
  <c r="GE111" i="31" s="1"/>
  <c r="GF111" i="31" s="1"/>
  <c r="LF112" i="31"/>
  <c r="LG112" i="31"/>
  <c r="AI112" i="31"/>
  <c r="AK113" i="31"/>
  <c r="HH113" i="31"/>
  <c r="HI113" i="31"/>
  <c r="HD113" i="31"/>
  <c r="KZ113" i="31"/>
  <c r="AL113" i="31"/>
  <c r="IG113" i="31"/>
  <c r="IH113" i="31" s="1"/>
  <c r="IK113" i="31" s="1"/>
  <c r="LJ110" i="31"/>
  <c r="MG107" i="31" l="1"/>
  <c r="MK107" i="31" s="1"/>
  <c r="PF107" i="31"/>
  <c r="LQ108" i="31"/>
  <c r="LR108" i="31" s="1"/>
  <c r="LX108" i="31" s="1"/>
  <c r="LZ108" i="31" s="1"/>
  <c r="LL109" i="31"/>
  <c r="LO109" i="31" s="1"/>
  <c r="LQ109" i="31" s="1"/>
  <c r="LT109" i="31" s="1"/>
  <c r="ME109" i="31" s="1"/>
  <c r="LE110" i="31"/>
  <c r="AJ113" i="31"/>
  <c r="AM113" i="31"/>
  <c r="AN113" i="31" s="1"/>
  <c r="AO113" i="31" s="1"/>
  <c r="AP113" i="31" s="1"/>
  <c r="KZ114" i="31"/>
  <c r="AK114" i="31"/>
  <c r="HD114" i="31"/>
  <c r="AL114" i="31"/>
  <c r="HH114" i="31"/>
  <c r="HI114" i="31"/>
  <c r="IG114" i="31"/>
  <c r="IH114" i="31" s="1"/>
  <c r="IK114" i="31" s="1"/>
  <c r="AI113" i="31"/>
  <c r="LG113" i="31"/>
  <c r="LF113" i="31"/>
  <c r="LI112" i="31"/>
  <c r="GD112" i="31" s="1"/>
  <c r="GE112" i="31" s="1"/>
  <c r="GF112" i="31" s="1"/>
  <c r="LH112" i="31"/>
  <c r="LK112" i="31"/>
  <c r="LJ111" i="31"/>
  <c r="MI107" i="31" l="1"/>
  <c r="MP107" i="31" s="1"/>
  <c r="MH107" i="31"/>
  <c r="MG109" i="31"/>
  <c r="MK109" i="31" s="1"/>
  <c r="PF109" i="31"/>
  <c r="MM107" i="31"/>
  <c r="MN107" i="31" s="1"/>
  <c r="LT108" i="31"/>
  <c r="ME108" i="31" s="1"/>
  <c r="LS108" i="31"/>
  <c r="LY108" i="31" s="1"/>
  <c r="MA108" i="31" s="1"/>
  <c r="LL110" i="31"/>
  <c r="LO110" i="31" s="1"/>
  <c r="LE111" i="31"/>
  <c r="ML107" i="31"/>
  <c r="LR109" i="31"/>
  <c r="LX109" i="31" s="1"/>
  <c r="LZ109" i="31" s="1"/>
  <c r="LS109" i="31"/>
  <c r="LY109" i="31" s="1"/>
  <c r="MA109" i="31" s="1"/>
  <c r="AJ114" i="31"/>
  <c r="LJ112" i="31"/>
  <c r="HD115" i="31"/>
  <c r="KZ115" i="31"/>
  <c r="AK115" i="31"/>
  <c r="HI115" i="31"/>
  <c r="AL115" i="31"/>
  <c r="HH115" i="31"/>
  <c r="IG115" i="31"/>
  <c r="IH115" i="31" s="1"/>
  <c r="IK115" i="31" s="1"/>
  <c r="LI113" i="31"/>
  <c r="GD113" i="31" s="1"/>
  <c r="GE113" i="31" s="1"/>
  <c r="GF113" i="31" s="1"/>
  <c r="LK113" i="31"/>
  <c r="LH113" i="31"/>
  <c r="AI114" i="31"/>
  <c r="LF114" i="31"/>
  <c r="LG114" i="31"/>
  <c r="AM114" i="31"/>
  <c r="AN114" i="31" s="1"/>
  <c r="AO114" i="31" s="1"/>
  <c r="AP114" i="31" s="1"/>
  <c r="MI109" i="31" l="1"/>
  <c r="MP109" i="31" s="1"/>
  <c r="MH109" i="31"/>
  <c r="MG108" i="31"/>
  <c r="MK108" i="31" s="1"/>
  <c r="ML108" i="31" s="1"/>
  <c r="PF108" i="31"/>
  <c r="MM109" i="31"/>
  <c r="MN109" i="31" s="1"/>
  <c r="LQ110" i="31"/>
  <c r="LL111" i="31"/>
  <c r="LO111" i="31" s="1"/>
  <c r="LQ111" i="31" s="1"/>
  <c r="LS111" i="31" s="1"/>
  <c r="LY111" i="31" s="1"/>
  <c r="MA111" i="31" s="1"/>
  <c r="LE112" i="31"/>
  <c r="ML109" i="31"/>
  <c r="AJ115" i="31"/>
  <c r="LJ113" i="31"/>
  <c r="LH114" i="31"/>
  <c r="LI114" i="31"/>
  <c r="GD114" i="31" s="1"/>
  <c r="GE114" i="31" s="1"/>
  <c r="GF114" i="31" s="1"/>
  <c r="LK114" i="31"/>
  <c r="LF115" i="31"/>
  <c r="AI115" i="31"/>
  <c r="LG115" i="31"/>
  <c r="AK116" i="31"/>
  <c r="HH116" i="31"/>
  <c r="HI116" i="31"/>
  <c r="AL116" i="31"/>
  <c r="HD116" i="31"/>
  <c r="KZ116" i="31"/>
  <c r="IG116" i="31"/>
  <c r="IH116" i="31" s="1"/>
  <c r="IK116" i="31" s="1"/>
  <c r="AM115" i="31"/>
  <c r="AN115" i="31" s="1"/>
  <c r="AO115" i="31" s="1"/>
  <c r="AP115" i="31" s="1"/>
  <c r="MH108" i="31" l="1"/>
  <c r="MI108" i="31"/>
  <c r="MP108" i="31" s="1"/>
  <c r="MM108" i="31"/>
  <c r="MN108" i="31" s="1"/>
  <c r="LT111" i="31"/>
  <c r="ME111" i="31" s="1"/>
  <c r="LR111" i="31"/>
  <c r="LX111" i="31" s="1"/>
  <c r="LZ111" i="31" s="1"/>
  <c r="LT110" i="31"/>
  <c r="ME110" i="31" s="1"/>
  <c r="PF110" i="31" s="1"/>
  <c r="LR110" i="31"/>
  <c r="LX110" i="31" s="1"/>
  <c r="LZ110" i="31" s="1"/>
  <c r="LS110" i="31"/>
  <c r="LY110" i="31" s="1"/>
  <c r="MA110" i="31" s="1"/>
  <c r="LL112" i="31"/>
  <c r="LO112" i="31" s="1"/>
  <c r="LQ112" i="31" s="1"/>
  <c r="LE113" i="31"/>
  <c r="AJ116" i="31"/>
  <c r="AK117" i="31"/>
  <c r="AL117" i="31"/>
  <c r="HI117" i="31"/>
  <c r="HH117" i="31"/>
  <c r="HD117" i="31"/>
  <c r="KZ117" i="31"/>
  <c r="IG117" i="31"/>
  <c r="IH117" i="31" s="1"/>
  <c r="IK117" i="31" s="1"/>
  <c r="LH115" i="31"/>
  <c r="LI115" i="31"/>
  <c r="GD115" i="31" s="1"/>
  <c r="GE115" i="31" s="1"/>
  <c r="GF115" i="31" s="1"/>
  <c r="LK115" i="31"/>
  <c r="LG116" i="31"/>
  <c r="AI116" i="31"/>
  <c r="LF116" i="31"/>
  <c r="AM116" i="31"/>
  <c r="AN116" i="31" s="1"/>
  <c r="AO116" i="31" s="1"/>
  <c r="AP116" i="31" s="1"/>
  <c r="LJ114" i="31"/>
  <c r="MG111" i="31" l="1"/>
  <c r="MI111" i="31" s="1"/>
  <c r="MP111" i="31" s="1"/>
  <c r="PF111" i="31"/>
  <c r="MG110" i="31"/>
  <c r="LL113" i="31"/>
  <c r="LO113" i="31" s="1"/>
  <c r="LQ113" i="31" s="1"/>
  <c r="LR113" i="31" s="1"/>
  <c r="LX113" i="31" s="1"/>
  <c r="LZ113" i="31" s="1"/>
  <c r="LS112" i="31"/>
  <c r="LY112" i="31" s="1"/>
  <c r="MA112" i="31" s="1"/>
  <c r="LR112" i="31"/>
  <c r="LX112" i="31" s="1"/>
  <c r="LZ112" i="31" s="1"/>
  <c r="LE114" i="31"/>
  <c r="LT112" i="31"/>
  <c r="ME112" i="31" s="1"/>
  <c r="LJ115" i="31"/>
  <c r="AJ117" i="31"/>
  <c r="LI116" i="31"/>
  <c r="GD116" i="31" s="1"/>
  <c r="GE116" i="31" s="1"/>
  <c r="GF116" i="31" s="1"/>
  <c r="LH116" i="31"/>
  <c r="LK116" i="31"/>
  <c r="LF117" i="31"/>
  <c r="AI117" i="31"/>
  <c r="LG117" i="31"/>
  <c r="AL118" i="31"/>
  <c r="KZ118" i="31"/>
  <c r="HI118" i="31"/>
  <c r="AK118" i="31"/>
  <c r="HH118" i="31"/>
  <c r="HD118" i="31"/>
  <c r="IG118" i="31"/>
  <c r="IH118" i="31" s="1"/>
  <c r="IK118" i="31" s="1"/>
  <c r="AM117" i="31"/>
  <c r="AN117" i="31" s="1"/>
  <c r="AO117" i="31" s="1"/>
  <c r="AP117" i="31" s="1"/>
  <c r="MH111" i="31" l="1"/>
  <c r="MK111" i="31"/>
  <c r="ML111" i="31" s="1"/>
  <c r="MG112" i="31"/>
  <c r="MK112" i="31" s="1"/>
  <c r="PF112" i="31"/>
  <c r="MK110" i="31"/>
  <c r="MH110" i="31"/>
  <c r="MI110" i="31"/>
  <c r="MP110" i="31" s="1"/>
  <c r="LL114" i="31"/>
  <c r="LO114" i="31" s="1"/>
  <c r="LQ114" i="31" s="1"/>
  <c r="LS114" i="31" s="1"/>
  <c r="LY114" i="31" s="1"/>
  <c r="MA114" i="31" s="1"/>
  <c r="LE115" i="31"/>
  <c r="LS113" i="31"/>
  <c r="LY113" i="31" s="1"/>
  <c r="MA113" i="31" s="1"/>
  <c r="LT113" i="31"/>
  <c r="ME113" i="31" s="1"/>
  <c r="AJ118" i="31"/>
  <c r="AM118" i="31"/>
  <c r="AN118" i="31" s="1"/>
  <c r="AO118" i="31" s="1"/>
  <c r="AP118" i="31" s="1"/>
  <c r="LJ116" i="31"/>
  <c r="LG118" i="31"/>
  <c r="AI118" i="31"/>
  <c r="LF118" i="31"/>
  <c r="LI117" i="31"/>
  <c r="GD117" i="31" s="1"/>
  <c r="GE117" i="31" s="1"/>
  <c r="GF117" i="31" s="1"/>
  <c r="LK117" i="31"/>
  <c r="LH117" i="31"/>
  <c r="HD119" i="31"/>
  <c r="AK119" i="31"/>
  <c r="HH119" i="31"/>
  <c r="AL119" i="31"/>
  <c r="HI119" i="31"/>
  <c r="KZ119" i="31"/>
  <c r="IG119" i="31"/>
  <c r="IH119" i="31" s="1"/>
  <c r="IK119" i="31" s="1"/>
  <c r="MM111" i="31" l="1"/>
  <c r="MN111" i="31" s="1"/>
  <c r="MH112" i="31"/>
  <c r="MI112" i="31"/>
  <c r="MP112" i="31" s="1"/>
  <c r="MG113" i="31"/>
  <c r="MK113" i="31" s="1"/>
  <c r="PF113" i="31"/>
  <c r="MM110" i="31"/>
  <c r="MN110" i="31" s="1"/>
  <c r="MM112" i="31"/>
  <c r="MN112" i="31" s="1"/>
  <c r="LT114" i="31"/>
  <c r="ME114" i="31" s="1"/>
  <c r="LR114" i="31"/>
  <c r="LX114" i="31" s="1"/>
  <c r="LZ114" i="31" s="1"/>
  <c r="ML110" i="31"/>
  <c r="LL115" i="31"/>
  <c r="LO115" i="31" s="1"/>
  <c r="LQ115" i="31" s="1"/>
  <c r="ML112" i="31"/>
  <c r="LE116" i="31"/>
  <c r="AJ119" i="31"/>
  <c r="LJ117" i="31"/>
  <c r="AK120" i="31"/>
  <c r="KZ120" i="31"/>
  <c r="HI120" i="31"/>
  <c r="AL120" i="31"/>
  <c r="HD120" i="31"/>
  <c r="HH120" i="31"/>
  <c r="IG120" i="31"/>
  <c r="IH120" i="31" s="1"/>
  <c r="IK120" i="31" s="1"/>
  <c r="AM119" i="31"/>
  <c r="AN119" i="31" s="1"/>
  <c r="AO119" i="31" s="1"/>
  <c r="AP119" i="31" s="1"/>
  <c r="LK118" i="31"/>
  <c r="LH118" i="31"/>
  <c r="LI118" i="31"/>
  <c r="GD118" i="31" s="1"/>
  <c r="GE118" i="31" s="1"/>
  <c r="GF118" i="31" s="1"/>
  <c r="AI119" i="31"/>
  <c r="LF119" i="31"/>
  <c r="LG119" i="31"/>
  <c r="MI113" i="31" l="1"/>
  <c r="MP113" i="31" s="1"/>
  <c r="MH113" i="31"/>
  <c r="MG114" i="31"/>
  <c r="MK114" i="31" s="1"/>
  <c r="ML114" i="31" s="1"/>
  <c r="PF114" i="31"/>
  <c r="MM113" i="31"/>
  <c r="MN113" i="31" s="1"/>
  <c r="LL116" i="31"/>
  <c r="LO116" i="31" s="1"/>
  <c r="LQ116" i="31" s="1"/>
  <c r="ML113" i="31"/>
  <c r="LE117" i="31"/>
  <c r="LT115" i="31"/>
  <c r="ME115" i="31" s="1"/>
  <c r="LR115" i="31"/>
  <c r="LX115" i="31" s="1"/>
  <c r="LZ115" i="31" s="1"/>
  <c r="LS115" i="31"/>
  <c r="LY115" i="31" s="1"/>
  <c r="MA115" i="31" s="1"/>
  <c r="AJ120" i="31"/>
  <c r="AM120" i="31"/>
  <c r="AN120" i="31" s="1"/>
  <c r="AO120" i="31" s="1"/>
  <c r="AP120" i="31" s="1"/>
  <c r="LJ118" i="31"/>
  <c r="HD121" i="31"/>
  <c r="HH121" i="31"/>
  <c r="AK121" i="31"/>
  <c r="HI121" i="31"/>
  <c r="AL121" i="31"/>
  <c r="KZ121" i="31"/>
  <c r="IG121" i="31"/>
  <c r="IH121" i="31" s="1"/>
  <c r="IK121" i="31" s="1"/>
  <c r="LI119" i="31"/>
  <c r="GD119" i="31" s="1"/>
  <c r="GE119" i="31" s="1"/>
  <c r="GF119" i="31" s="1"/>
  <c r="LH119" i="31"/>
  <c r="LK119" i="31"/>
  <c r="LF120" i="31"/>
  <c r="AI120" i="31"/>
  <c r="LG120" i="31"/>
  <c r="MI114" i="31" l="1"/>
  <c r="MP114" i="31" s="1"/>
  <c r="MH114" i="31"/>
  <c r="MG115" i="31"/>
  <c r="MK115" i="31" s="1"/>
  <c r="PF115" i="31"/>
  <c r="MM114" i="31"/>
  <c r="MN114" i="31" s="1"/>
  <c r="LL117" i="31"/>
  <c r="LO117" i="31" s="1"/>
  <c r="LQ117" i="31" s="1"/>
  <c r="LT117" i="31" s="1"/>
  <c r="ME117" i="31" s="1"/>
  <c r="LS116" i="31"/>
  <c r="LY116" i="31" s="1"/>
  <c r="MA116" i="31" s="1"/>
  <c r="LT116" i="31"/>
  <c r="ME116" i="31" s="1"/>
  <c r="LR116" i="31"/>
  <c r="LX116" i="31" s="1"/>
  <c r="LZ116" i="31" s="1"/>
  <c r="LE118" i="31"/>
  <c r="AJ121" i="31"/>
  <c r="HD122" i="31"/>
  <c r="HH122" i="31"/>
  <c r="AL122" i="31"/>
  <c r="HI122" i="31"/>
  <c r="KZ122" i="31"/>
  <c r="AK122" i="31"/>
  <c r="IG122" i="31"/>
  <c r="IH122" i="31" s="1"/>
  <c r="IK122" i="31" s="1"/>
  <c r="AM121" i="31"/>
  <c r="AN121" i="31" s="1"/>
  <c r="AO121" i="31" s="1"/>
  <c r="AP121" i="31" s="1"/>
  <c r="LK120" i="31"/>
  <c r="LI120" i="31"/>
  <c r="GD120" i="31" s="1"/>
  <c r="GE120" i="31" s="1"/>
  <c r="GF120" i="31" s="1"/>
  <c r="LH120" i="31"/>
  <c r="LJ119" i="31"/>
  <c r="LF121" i="31"/>
  <c r="AI121" i="31"/>
  <c r="LG121" i="31"/>
  <c r="MH115" i="31" l="1"/>
  <c r="MI115" i="31"/>
  <c r="MP115" i="31" s="1"/>
  <c r="MG117" i="31"/>
  <c r="MK117" i="31" s="1"/>
  <c r="PF117" i="31"/>
  <c r="MG116" i="31"/>
  <c r="MK116" i="31" s="1"/>
  <c r="PF116" i="31"/>
  <c r="MM115" i="31"/>
  <c r="MN115" i="31" s="1"/>
  <c r="LL118" i="31"/>
  <c r="LO118" i="31" s="1"/>
  <c r="LQ118" i="31" s="1"/>
  <c r="ML115" i="31"/>
  <c r="LE119" i="31"/>
  <c r="LS117" i="31"/>
  <c r="LY117" i="31" s="1"/>
  <c r="MA117" i="31" s="1"/>
  <c r="LR117" i="31"/>
  <c r="LX117" i="31" s="1"/>
  <c r="LZ117" i="31" s="1"/>
  <c r="AJ122" i="31"/>
  <c r="LJ120" i="31"/>
  <c r="AM122" i="31"/>
  <c r="AN122" i="31" s="1"/>
  <c r="AO122" i="31" s="1"/>
  <c r="AP122" i="31" s="1"/>
  <c r="LK121" i="31"/>
  <c r="LI121" i="31"/>
  <c r="GD121" i="31" s="1"/>
  <c r="GE121" i="31" s="1"/>
  <c r="GF121" i="31" s="1"/>
  <c r="LH121" i="31"/>
  <c r="KZ123" i="31"/>
  <c r="HI123" i="31"/>
  <c r="HH123" i="31"/>
  <c r="AL123" i="31"/>
  <c r="AK123" i="31"/>
  <c r="HD123" i="31"/>
  <c r="IG123" i="31"/>
  <c r="IH123" i="31" s="1"/>
  <c r="IK123" i="31" s="1"/>
  <c r="LG122" i="31"/>
  <c r="AI122" i="31"/>
  <c r="LF122" i="31"/>
  <c r="MH117" i="31" l="1"/>
  <c r="MI116" i="31"/>
  <c r="MP116" i="31" s="1"/>
  <c r="MH116" i="31"/>
  <c r="MI117" i="31"/>
  <c r="MP117" i="31" s="1"/>
  <c r="MM117" i="31"/>
  <c r="MN117" i="31" s="1"/>
  <c r="MM116" i="31"/>
  <c r="MN116" i="31" s="1"/>
  <c r="LL119" i="31"/>
  <c r="LO119" i="31" s="1"/>
  <c r="ML117" i="31"/>
  <c r="LR118" i="31"/>
  <c r="LX118" i="31" s="1"/>
  <c r="LZ118" i="31" s="1"/>
  <c r="LS118" i="31"/>
  <c r="LY118" i="31" s="1"/>
  <c r="MA118" i="31" s="1"/>
  <c r="LE120" i="31"/>
  <c r="ML116" i="31"/>
  <c r="LT118" i="31"/>
  <c r="ME118" i="31" s="1"/>
  <c r="PF118" i="31" s="1"/>
  <c r="AM123" i="31"/>
  <c r="AN123" i="31" s="1"/>
  <c r="AO123" i="31" s="1"/>
  <c r="AP123" i="31" s="1"/>
  <c r="AJ123" i="31"/>
  <c r="LJ121" i="31"/>
  <c r="LF123" i="31"/>
  <c r="AI123" i="31"/>
  <c r="LG123" i="31"/>
  <c r="LK122" i="31"/>
  <c r="LH122" i="31"/>
  <c r="LI122" i="31"/>
  <c r="GD122" i="31" s="1"/>
  <c r="GE122" i="31" s="1"/>
  <c r="GF122" i="31" s="1"/>
  <c r="HH124" i="31"/>
  <c r="HD124" i="31"/>
  <c r="HI124" i="31"/>
  <c r="KZ124" i="31"/>
  <c r="AL124" i="31"/>
  <c r="AK124" i="31"/>
  <c r="IG124" i="31"/>
  <c r="IH124" i="31" s="1"/>
  <c r="IK124" i="31" s="1"/>
  <c r="LQ119" i="31" l="1"/>
  <c r="LS119" i="31" s="1"/>
  <c r="LY119" i="31" s="1"/>
  <c r="MA119" i="31" s="1"/>
  <c r="LL120" i="31"/>
  <c r="LO120" i="31" s="1"/>
  <c r="MG118" i="31"/>
  <c r="LE121" i="31"/>
  <c r="AJ124" i="31"/>
  <c r="AM124" i="31"/>
  <c r="AN124" i="31" s="1"/>
  <c r="AO124" i="31" s="1"/>
  <c r="AP124" i="31" s="1"/>
  <c r="LJ122" i="31"/>
  <c r="LG124" i="31"/>
  <c r="LF124" i="31"/>
  <c r="AI124" i="31"/>
  <c r="LH123" i="31"/>
  <c r="LI123" i="31"/>
  <c r="GD123" i="31" s="1"/>
  <c r="GE123" i="31" s="1"/>
  <c r="GF123" i="31" s="1"/>
  <c r="LK123" i="31"/>
  <c r="AK125" i="31"/>
  <c r="AL125" i="31"/>
  <c r="HH125" i="31"/>
  <c r="HI125" i="31"/>
  <c r="HD125" i="31"/>
  <c r="KZ125" i="31"/>
  <c r="IG125" i="31"/>
  <c r="IH125" i="31" s="1"/>
  <c r="IK125" i="31" s="1"/>
  <c r="LT119" i="31" l="1"/>
  <c r="ME119" i="31" s="1"/>
  <c r="LR119" i="31"/>
  <c r="LX119" i="31" s="1"/>
  <c r="LZ119" i="31" s="1"/>
  <c r="LQ120" i="31"/>
  <c r="LT120" i="31" s="1"/>
  <c r="ME120" i="31" s="1"/>
  <c r="LL121" i="31"/>
  <c r="LO121" i="31" s="1"/>
  <c r="LQ121" i="31" s="1"/>
  <c r="MI118" i="31"/>
  <c r="MP118" i="31" s="1"/>
  <c r="MK118" i="31"/>
  <c r="MH118" i="31"/>
  <c r="LE122" i="31"/>
  <c r="AJ125" i="31"/>
  <c r="AM125" i="31"/>
  <c r="AN125" i="31" s="1"/>
  <c r="AO125" i="31" s="1"/>
  <c r="AP125" i="31" s="1"/>
  <c r="LJ123" i="31"/>
  <c r="LG125" i="31"/>
  <c r="AI125" i="31"/>
  <c r="LF125" i="31"/>
  <c r="LI124" i="31"/>
  <c r="GD124" i="31" s="1"/>
  <c r="GE124" i="31" s="1"/>
  <c r="GF124" i="31" s="1"/>
  <c r="LK124" i="31"/>
  <c r="LH124" i="31"/>
  <c r="AK126" i="31"/>
  <c r="HI126" i="31"/>
  <c r="AL126" i="31"/>
  <c r="HH126" i="31"/>
  <c r="HD126" i="31"/>
  <c r="KZ126" i="31"/>
  <c r="IG126" i="31"/>
  <c r="IH126" i="31" s="1"/>
  <c r="IK126" i="31" s="1"/>
  <c r="MG120" i="31" l="1"/>
  <c r="MI120" i="31" s="1"/>
  <c r="MP120" i="31" s="1"/>
  <c r="PF120" i="31"/>
  <c r="MG119" i="31"/>
  <c r="MH119" i="31" s="1"/>
  <c r="PF119" i="31"/>
  <c r="MM118" i="31"/>
  <c r="MN118" i="31" s="1"/>
  <c r="LS120" i="31"/>
  <c r="LY120" i="31" s="1"/>
  <c r="MA120" i="31" s="1"/>
  <c r="LR120" i="31"/>
  <c r="LX120" i="31" s="1"/>
  <c r="LZ120" i="31" s="1"/>
  <c r="LL122" i="31"/>
  <c r="LO122" i="31" s="1"/>
  <c r="LQ122" i="31" s="1"/>
  <c r="ML118" i="31"/>
  <c r="LE123" i="31"/>
  <c r="LS121" i="31"/>
  <c r="LY121" i="31" s="1"/>
  <c r="MA121" i="31" s="1"/>
  <c r="LT121" i="31"/>
  <c r="ME121" i="31" s="1"/>
  <c r="LR121" i="31"/>
  <c r="LX121" i="31" s="1"/>
  <c r="LZ121" i="31" s="1"/>
  <c r="AJ126" i="31"/>
  <c r="AM126" i="31"/>
  <c r="AN126" i="31" s="1"/>
  <c r="AO126" i="31" s="1"/>
  <c r="AP126" i="31" s="1"/>
  <c r="LJ124" i="31"/>
  <c r="LG126" i="31"/>
  <c r="AI126" i="31"/>
  <c r="LF126" i="31"/>
  <c r="LH125" i="31"/>
  <c r="LK125" i="31"/>
  <c r="LI125" i="31"/>
  <c r="GD125" i="31" s="1"/>
  <c r="GE125" i="31" s="1"/>
  <c r="GF125" i="31" s="1"/>
  <c r="AL127" i="31"/>
  <c r="KZ127" i="31"/>
  <c r="AK127" i="31"/>
  <c r="HD127" i="31"/>
  <c r="HH127" i="31"/>
  <c r="HI127" i="31"/>
  <c r="IG127" i="31"/>
  <c r="IH127" i="31" s="1"/>
  <c r="IK127" i="31" s="1"/>
  <c r="MK120" i="31" l="1"/>
  <c r="MM120" i="31" s="1"/>
  <c r="MN120" i="31" s="1"/>
  <c r="MK119" i="31"/>
  <c r="MM119" i="31" s="1"/>
  <c r="MN119" i="31" s="1"/>
  <c r="MI119" i="31"/>
  <c r="MP119" i="31" s="1"/>
  <c r="MH120" i="31"/>
  <c r="MG121" i="31"/>
  <c r="MK121" i="31" s="1"/>
  <c r="PF121" i="31"/>
  <c r="LL123" i="31"/>
  <c r="LO123" i="31" s="1"/>
  <c r="LQ123" i="31" s="1"/>
  <c r="LR123" i="31" s="1"/>
  <c r="LX123" i="31" s="1"/>
  <c r="LZ123" i="31" s="1"/>
  <c r="LE124" i="31"/>
  <c r="LR122" i="31"/>
  <c r="LX122" i="31" s="1"/>
  <c r="LZ122" i="31" s="1"/>
  <c r="LT122" i="31"/>
  <c r="ME122" i="31" s="1"/>
  <c r="LS122" i="31"/>
  <c r="LY122" i="31" s="1"/>
  <c r="MA122" i="31" s="1"/>
  <c r="AJ127" i="31"/>
  <c r="AM127" i="31"/>
  <c r="AN127" i="31" s="1"/>
  <c r="AO127" i="31" s="1"/>
  <c r="AP127" i="31" s="1"/>
  <c r="HI128" i="31"/>
  <c r="KZ128" i="31"/>
  <c r="AL128" i="31"/>
  <c r="HH128" i="31"/>
  <c r="AK128" i="31"/>
  <c r="HD128" i="31"/>
  <c r="IG128" i="31"/>
  <c r="IH128" i="31" s="1"/>
  <c r="IK128" i="31" s="1"/>
  <c r="LJ125" i="31"/>
  <c r="LG127" i="31"/>
  <c r="AI127" i="31"/>
  <c r="LF127" i="31"/>
  <c r="LK126" i="31"/>
  <c r="LH126" i="31"/>
  <c r="LI126" i="31"/>
  <c r="GD126" i="31" s="1"/>
  <c r="GE126" i="31" s="1"/>
  <c r="GF126" i="31" s="1"/>
  <c r="ML120" i="31" l="1"/>
  <c r="ML119" i="31"/>
  <c r="MI121" i="31"/>
  <c r="MP121" i="31" s="1"/>
  <c r="MH121" i="31"/>
  <c r="MG122" i="31"/>
  <c r="MK122" i="31" s="1"/>
  <c r="PF122" i="31"/>
  <c r="MM121" i="31"/>
  <c r="MN121" i="31" s="1"/>
  <c r="LT123" i="31"/>
  <c r="ME123" i="31" s="1"/>
  <c r="LS123" i="31"/>
  <c r="LY123" i="31" s="1"/>
  <c r="MA123" i="31" s="1"/>
  <c r="LL124" i="31"/>
  <c r="LO124" i="31" s="1"/>
  <c r="LQ124" i="31" s="1"/>
  <c r="LS124" i="31" s="1"/>
  <c r="LY124" i="31" s="1"/>
  <c r="MA124" i="31" s="1"/>
  <c r="LE125" i="31"/>
  <c r="ML121" i="31"/>
  <c r="AJ128" i="31"/>
  <c r="LJ126" i="31"/>
  <c r="HH129" i="31"/>
  <c r="AK129" i="31"/>
  <c r="KZ129" i="31"/>
  <c r="HI129" i="31"/>
  <c r="AL129" i="31"/>
  <c r="HD129" i="31"/>
  <c r="IG129" i="31"/>
  <c r="IH129" i="31" s="1"/>
  <c r="IK129" i="31" s="1"/>
  <c r="LI127" i="31"/>
  <c r="GD127" i="31" s="1"/>
  <c r="GE127" i="31" s="1"/>
  <c r="GF127" i="31" s="1"/>
  <c r="LK127" i="31"/>
  <c r="LH127" i="31"/>
  <c r="AI128" i="31"/>
  <c r="LF128" i="31"/>
  <c r="LG128" i="31"/>
  <c r="AM128" i="31"/>
  <c r="AN128" i="31" s="1"/>
  <c r="AO128" i="31" s="1"/>
  <c r="AP128" i="31" s="1"/>
  <c r="MI122" i="31" l="1"/>
  <c r="MP122" i="31" s="1"/>
  <c r="MH122" i="31"/>
  <c r="MG123" i="31"/>
  <c r="MI123" i="31" s="1"/>
  <c r="MP123" i="31" s="1"/>
  <c r="PF123" i="31"/>
  <c r="MM122" i="31"/>
  <c r="MN122" i="31" s="1"/>
  <c r="LL125" i="31"/>
  <c r="LO125" i="31" s="1"/>
  <c r="LQ125" i="31" s="1"/>
  <c r="LT125" i="31" s="1"/>
  <c r="ME125" i="31" s="1"/>
  <c r="ML122" i="31"/>
  <c r="LE126" i="31"/>
  <c r="LT124" i="31"/>
  <c r="ME124" i="31" s="1"/>
  <c r="LR124" i="31"/>
  <c r="LX124" i="31" s="1"/>
  <c r="LZ124" i="31" s="1"/>
  <c r="AJ129" i="31"/>
  <c r="LJ127" i="31"/>
  <c r="LG129" i="31"/>
  <c r="AI129" i="31"/>
  <c r="LF129" i="31"/>
  <c r="HI130" i="31"/>
  <c r="KZ130" i="31"/>
  <c r="HD130" i="31"/>
  <c r="AK130" i="31"/>
  <c r="HH130" i="31"/>
  <c r="AL130" i="31"/>
  <c r="IG130" i="31"/>
  <c r="IH130" i="31" s="1"/>
  <c r="IK130" i="31" s="1"/>
  <c r="AM129" i="31"/>
  <c r="AN129" i="31" s="1"/>
  <c r="AO129" i="31" s="1"/>
  <c r="AP129" i="31" s="1"/>
  <c r="LH128" i="31"/>
  <c r="LK128" i="31"/>
  <c r="LI128" i="31"/>
  <c r="GD128" i="31" s="1"/>
  <c r="GE128" i="31" s="1"/>
  <c r="GF128" i="31" s="1"/>
  <c r="MH123" i="31" l="1"/>
  <c r="MK123" i="31"/>
  <c r="ML123" i="31" s="1"/>
  <c r="MG125" i="31"/>
  <c r="MK125" i="31" s="1"/>
  <c r="PF125" i="31"/>
  <c r="MG124" i="31"/>
  <c r="MK124" i="31" s="1"/>
  <c r="PF124" i="31"/>
  <c r="LR125" i="31"/>
  <c r="LX125" i="31" s="1"/>
  <c r="LZ125" i="31" s="1"/>
  <c r="LS125" i="31"/>
  <c r="LY125" i="31" s="1"/>
  <c r="MA125" i="31" s="1"/>
  <c r="LL126" i="31"/>
  <c r="LO126" i="31" s="1"/>
  <c r="LQ126" i="31" s="1"/>
  <c r="LE127" i="31"/>
  <c r="AJ130" i="31"/>
  <c r="LJ128" i="31"/>
  <c r="LG130" i="31"/>
  <c r="AI130" i="31"/>
  <c r="LF130" i="31"/>
  <c r="LK129" i="31"/>
  <c r="LH129" i="31"/>
  <c r="LI129" i="31"/>
  <c r="GD129" i="31" s="1"/>
  <c r="GE129" i="31" s="1"/>
  <c r="GF129" i="31" s="1"/>
  <c r="HI131" i="31"/>
  <c r="HH131" i="31"/>
  <c r="AL131" i="31"/>
  <c r="HD131" i="31"/>
  <c r="AK131" i="31"/>
  <c r="KZ131" i="31"/>
  <c r="IG131" i="31"/>
  <c r="IH131" i="31" s="1"/>
  <c r="IK131" i="31" s="1"/>
  <c r="AM130" i="31"/>
  <c r="AN130" i="31" s="1"/>
  <c r="AO130" i="31" s="1"/>
  <c r="AP130" i="31" s="1"/>
  <c r="MM123" i="31" l="1"/>
  <c r="MN123" i="31" s="1"/>
  <c r="MI124" i="31"/>
  <c r="MP124" i="31" s="1"/>
  <c r="MH124" i="31"/>
  <c r="MI125" i="31"/>
  <c r="MP125" i="31" s="1"/>
  <c r="MH125" i="31"/>
  <c r="MM124" i="31"/>
  <c r="MN124" i="31" s="1"/>
  <c r="ML125" i="31"/>
  <c r="MM125" i="31"/>
  <c r="MN125" i="31" s="1"/>
  <c r="LL127" i="31"/>
  <c r="LO127" i="31" s="1"/>
  <c r="LQ127" i="31" s="1"/>
  <c r="ML124" i="31"/>
  <c r="LE128" i="31"/>
  <c r="LS126" i="31"/>
  <c r="LY126" i="31" s="1"/>
  <c r="MA126" i="31" s="1"/>
  <c r="LR126" i="31"/>
  <c r="LX126" i="31" s="1"/>
  <c r="LZ126" i="31" s="1"/>
  <c r="LT126" i="31"/>
  <c r="ME126" i="31" s="1"/>
  <c r="AJ131" i="31"/>
  <c r="LJ129" i="31"/>
  <c r="AM131" i="31"/>
  <c r="AN131" i="31" s="1"/>
  <c r="AO131" i="31" s="1"/>
  <c r="AP131" i="31" s="1"/>
  <c r="AI131" i="31"/>
  <c r="LG131" i="31"/>
  <c r="LF131" i="31"/>
  <c r="LH130" i="31"/>
  <c r="LI130" i="31"/>
  <c r="GD130" i="31" s="1"/>
  <c r="GE130" i="31" s="1"/>
  <c r="GF130" i="31" s="1"/>
  <c r="LK130" i="31"/>
  <c r="AK132" i="31"/>
  <c r="AL132" i="31"/>
  <c r="HI132" i="31"/>
  <c r="HH132" i="31"/>
  <c r="KZ132" i="31"/>
  <c r="HD132" i="31"/>
  <c r="IG132" i="31"/>
  <c r="IH132" i="31" s="1"/>
  <c r="IK132" i="31" s="1"/>
  <c r="MG126" i="31" l="1"/>
  <c r="MK126" i="31" s="1"/>
  <c r="PF126" i="31"/>
  <c r="LL128" i="31"/>
  <c r="LO128" i="31" s="1"/>
  <c r="LQ128" i="31" s="1"/>
  <c r="LE129" i="31"/>
  <c r="LS127" i="31"/>
  <c r="LY127" i="31" s="1"/>
  <c r="MA127" i="31" s="1"/>
  <c r="LR127" i="31"/>
  <c r="LX127" i="31" s="1"/>
  <c r="LZ127" i="31" s="1"/>
  <c r="LT127" i="31"/>
  <c r="ME127" i="31" s="1"/>
  <c r="AJ132" i="31"/>
  <c r="LJ130" i="31"/>
  <c r="AM132" i="31"/>
  <c r="AN132" i="31" s="1"/>
  <c r="AO132" i="31" s="1"/>
  <c r="AP132" i="31" s="1"/>
  <c r="AI132" i="31"/>
  <c r="LF132" i="31"/>
  <c r="LG132" i="31"/>
  <c r="KZ133" i="31"/>
  <c r="HD133" i="31"/>
  <c r="AK133" i="31"/>
  <c r="AL133" i="31"/>
  <c r="HH133" i="31"/>
  <c r="HI133" i="31"/>
  <c r="IG133" i="31"/>
  <c r="IH133" i="31" s="1"/>
  <c r="IK133" i="31" s="1"/>
  <c r="LH131" i="31"/>
  <c r="LK131" i="31"/>
  <c r="LI131" i="31"/>
  <c r="GD131" i="31" s="1"/>
  <c r="GE131" i="31" s="1"/>
  <c r="GF131" i="31" s="1"/>
  <c r="MH126" i="31" l="1"/>
  <c r="MI126" i="31"/>
  <c r="MP126" i="31" s="1"/>
  <c r="MG127" i="31"/>
  <c r="MK127" i="31" s="1"/>
  <c r="PF127" i="31"/>
  <c r="MM126" i="31"/>
  <c r="MN126" i="31" s="1"/>
  <c r="LL129" i="31"/>
  <c r="LO129" i="31" s="1"/>
  <c r="LQ129" i="31" s="1"/>
  <c r="ML126" i="31"/>
  <c r="LT128" i="31"/>
  <c r="ME128" i="31" s="1"/>
  <c r="LS128" i="31"/>
  <c r="LY128" i="31" s="1"/>
  <c r="MA128" i="31" s="1"/>
  <c r="LE130" i="31"/>
  <c r="LR128" i="31"/>
  <c r="LX128" i="31" s="1"/>
  <c r="LZ128" i="31" s="1"/>
  <c r="AJ133" i="31"/>
  <c r="LJ131" i="31"/>
  <c r="LF133" i="31"/>
  <c r="LG133" i="31"/>
  <c r="AI133" i="31"/>
  <c r="LK132" i="31"/>
  <c r="LI132" i="31"/>
  <c r="GD132" i="31" s="1"/>
  <c r="GE132" i="31" s="1"/>
  <c r="GF132" i="31" s="1"/>
  <c r="LH132" i="31"/>
  <c r="AK134" i="31"/>
  <c r="HH134" i="31"/>
  <c r="HI134" i="31"/>
  <c r="HD134" i="31"/>
  <c r="AL134" i="31"/>
  <c r="KZ134" i="31"/>
  <c r="IG134" i="31"/>
  <c r="IH134" i="31" s="1"/>
  <c r="IK134" i="31" s="1"/>
  <c r="AM133" i="31"/>
  <c r="AN133" i="31" s="1"/>
  <c r="AO133" i="31" s="1"/>
  <c r="AP133" i="31" s="1"/>
  <c r="MH127" i="31" l="1"/>
  <c r="MI127" i="31"/>
  <c r="MP127" i="31" s="1"/>
  <c r="MG128" i="31"/>
  <c r="MK128" i="31" s="1"/>
  <c r="PF128" i="31"/>
  <c r="MM127" i="31"/>
  <c r="MN127" i="31" s="1"/>
  <c r="LL130" i="31"/>
  <c r="LO130" i="31" s="1"/>
  <c r="LQ130" i="31" s="1"/>
  <c r="ML127" i="31"/>
  <c r="LE131" i="31"/>
  <c r="LS129" i="31"/>
  <c r="LY129" i="31" s="1"/>
  <c r="MA129" i="31" s="1"/>
  <c r="LT129" i="31"/>
  <c r="ME129" i="31" s="1"/>
  <c r="LR129" i="31"/>
  <c r="LX129" i="31" s="1"/>
  <c r="LZ129" i="31" s="1"/>
  <c r="LJ132" i="31"/>
  <c r="AJ134" i="31"/>
  <c r="AM134" i="31"/>
  <c r="AN134" i="31" s="1"/>
  <c r="AO134" i="31" s="1"/>
  <c r="AP134" i="31" s="1"/>
  <c r="AL135" i="31"/>
  <c r="KZ135" i="31"/>
  <c r="AK135" i="31"/>
  <c r="HH135" i="31"/>
  <c r="HI135" i="31"/>
  <c r="HD135" i="31"/>
  <c r="IG135" i="31"/>
  <c r="IH135" i="31" s="1"/>
  <c r="IK135" i="31" s="1"/>
  <c r="LF134" i="31"/>
  <c r="LG134" i="31"/>
  <c r="AI134" i="31"/>
  <c r="LI133" i="31"/>
  <c r="GD133" i="31" s="1"/>
  <c r="GE133" i="31" s="1"/>
  <c r="GF133" i="31" s="1"/>
  <c r="LK133" i="31"/>
  <c r="LH133" i="31"/>
  <c r="MH128" i="31" l="1"/>
  <c r="MI128" i="31"/>
  <c r="MP128" i="31" s="1"/>
  <c r="MG129" i="31"/>
  <c r="MK129" i="31" s="1"/>
  <c r="PF129" i="31"/>
  <c r="MM128" i="31"/>
  <c r="MN128" i="31" s="1"/>
  <c r="LL131" i="31"/>
  <c r="LO131" i="31" s="1"/>
  <c r="LQ131" i="31" s="1"/>
  <c r="LE132" i="31"/>
  <c r="ML128" i="31"/>
  <c r="LS130" i="31"/>
  <c r="LY130" i="31" s="1"/>
  <c r="MA130" i="31" s="1"/>
  <c r="LT130" i="31"/>
  <c r="ME130" i="31" s="1"/>
  <c r="LR130" i="31"/>
  <c r="LX130" i="31" s="1"/>
  <c r="LZ130" i="31" s="1"/>
  <c r="LJ133" i="31"/>
  <c r="AJ135" i="31"/>
  <c r="AM135" i="31"/>
  <c r="AN135" i="31" s="1"/>
  <c r="AO135" i="31" s="1"/>
  <c r="AP135" i="31" s="1"/>
  <c r="AI135" i="31"/>
  <c r="LG135" i="31"/>
  <c r="LF135" i="31"/>
  <c r="AK136" i="31"/>
  <c r="AL136" i="31"/>
  <c r="HH136" i="31"/>
  <c r="HD136" i="31"/>
  <c r="HI136" i="31"/>
  <c r="KZ136" i="31"/>
  <c r="IG136" i="31"/>
  <c r="IH136" i="31" s="1"/>
  <c r="IK136" i="31" s="1"/>
  <c r="LK134" i="31"/>
  <c r="LH134" i="31"/>
  <c r="LI134" i="31"/>
  <c r="GD134" i="31" s="1"/>
  <c r="GE134" i="31" s="1"/>
  <c r="GF134" i="31" s="1"/>
  <c r="MI129" i="31" l="1"/>
  <c r="MP129" i="31" s="1"/>
  <c r="MH129" i="31"/>
  <c r="MG130" i="31"/>
  <c r="MK130" i="31" s="1"/>
  <c r="PF130" i="31"/>
  <c r="MM129" i="31"/>
  <c r="MN129" i="31" s="1"/>
  <c r="LL132" i="31"/>
  <c r="LO132" i="31" s="1"/>
  <c r="LQ132" i="31" s="1"/>
  <c r="ML129" i="31"/>
  <c r="LR131" i="31"/>
  <c r="LX131" i="31" s="1"/>
  <c r="LZ131" i="31" s="1"/>
  <c r="LS131" i="31"/>
  <c r="LY131" i="31" s="1"/>
  <c r="MA131" i="31" s="1"/>
  <c r="LE133" i="31"/>
  <c r="LT131" i="31"/>
  <c r="ME131" i="31" s="1"/>
  <c r="AJ136" i="31"/>
  <c r="LJ134" i="31"/>
  <c r="AI136" i="31"/>
  <c r="LF136" i="31"/>
  <c r="LG136" i="31"/>
  <c r="AM136" i="31"/>
  <c r="AN136" i="31" s="1"/>
  <c r="AO136" i="31" s="1"/>
  <c r="AP136" i="31" s="1"/>
  <c r="LK135" i="31"/>
  <c r="LI135" i="31"/>
  <c r="GD135" i="31" s="1"/>
  <c r="GE135" i="31" s="1"/>
  <c r="GF135" i="31" s="1"/>
  <c r="LH135" i="31"/>
  <c r="KZ137" i="31"/>
  <c r="HD137" i="31"/>
  <c r="HI137" i="31"/>
  <c r="AL137" i="31"/>
  <c r="AK137" i="31"/>
  <c r="HH137" i="31"/>
  <c r="IG137" i="31"/>
  <c r="IH137" i="31" s="1"/>
  <c r="IK137" i="31" s="1"/>
  <c r="MH130" i="31" l="1"/>
  <c r="MI130" i="31"/>
  <c r="MP130" i="31" s="1"/>
  <c r="MG131" i="31"/>
  <c r="MK131" i="31" s="1"/>
  <c r="PF131" i="31"/>
  <c r="MM130" i="31"/>
  <c r="MN130" i="31" s="1"/>
  <c r="LL133" i="31"/>
  <c r="LO133" i="31" s="1"/>
  <c r="LQ133" i="31" s="1"/>
  <c r="LS132" i="31"/>
  <c r="LY132" i="31" s="1"/>
  <c r="MA132" i="31" s="1"/>
  <c r="LR132" i="31"/>
  <c r="LX132" i="31" s="1"/>
  <c r="LZ132" i="31" s="1"/>
  <c r="ML130" i="31"/>
  <c r="LE134" i="31"/>
  <c r="LT132" i="31"/>
  <c r="ME132" i="31" s="1"/>
  <c r="AJ137" i="31"/>
  <c r="LJ135" i="31"/>
  <c r="AK138" i="31"/>
  <c r="HI138" i="31"/>
  <c r="AL138" i="31"/>
  <c r="KZ138" i="31"/>
  <c r="HH138" i="31"/>
  <c r="HD138" i="31"/>
  <c r="IG138" i="31"/>
  <c r="IH138" i="31" s="1"/>
  <c r="IK138" i="31" s="1"/>
  <c r="AM137" i="31"/>
  <c r="AN137" i="31" s="1"/>
  <c r="AO137" i="31" s="1"/>
  <c r="AP137" i="31" s="1"/>
  <c r="LI136" i="31"/>
  <c r="GD136" i="31" s="1"/>
  <c r="GE136" i="31" s="1"/>
  <c r="GF136" i="31" s="1"/>
  <c r="LH136" i="31"/>
  <c r="LK136" i="31"/>
  <c r="AI137" i="31"/>
  <c r="LF137" i="31"/>
  <c r="LG137" i="31"/>
  <c r="MI131" i="31" l="1"/>
  <c r="MP131" i="31" s="1"/>
  <c r="MH131" i="31"/>
  <c r="MG132" i="31"/>
  <c r="MK132" i="31" s="1"/>
  <c r="PF132" i="31"/>
  <c r="MM131" i="31"/>
  <c r="MN131" i="31" s="1"/>
  <c r="LL134" i="31"/>
  <c r="LO134" i="31" s="1"/>
  <c r="LQ134" i="31" s="1"/>
  <c r="LR133" i="31"/>
  <c r="LX133" i="31" s="1"/>
  <c r="LZ133" i="31" s="1"/>
  <c r="LS133" i="31"/>
  <c r="LY133" i="31" s="1"/>
  <c r="MA133" i="31" s="1"/>
  <c r="LT133" i="31"/>
  <c r="ME133" i="31" s="1"/>
  <c r="ML131" i="31"/>
  <c r="LE135" i="31"/>
  <c r="AJ138" i="31"/>
  <c r="LJ136" i="31"/>
  <c r="AK139" i="31"/>
  <c r="KZ139" i="31"/>
  <c r="HD139" i="31"/>
  <c r="HH139" i="31"/>
  <c r="AL139" i="31"/>
  <c r="HI139" i="31"/>
  <c r="IG139" i="31"/>
  <c r="IH139" i="31" s="1"/>
  <c r="IK139" i="31" s="1"/>
  <c r="LI137" i="31"/>
  <c r="GD137" i="31" s="1"/>
  <c r="GE137" i="31" s="1"/>
  <c r="GF137" i="31" s="1"/>
  <c r="LH137" i="31"/>
  <c r="LK137" i="31"/>
  <c r="AM138" i="31"/>
  <c r="AN138" i="31" s="1"/>
  <c r="AO138" i="31" s="1"/>
  <c r="AP138" i="31" s="1"/>
  <c r="AI138" i="31"/>
  <c r="LG138" i="31"/>
  <c r="LF138" i="31"/>
  <c r="MH132" i="31" l="1"/>
  <c r="MI132" i="31"/>
  <c r="MP132" i="31" s="1"/>
  <c r="MG133" i="31"/>
  <c r="MK133" i="31" s="1"/>
  <c r="PF133" i="31"/>
  <c r="MM132" i="31"/>
  <c r="MN132" i="31" s="1"/>
  <c r="LL135" i="31"/>
  <c r="LO135" i="31" s="1"/>
  <c r="LQ135" i="31" s="1"/>
  <c r="LE136" i="31"/>
  <c r="ML132" i="31"/>
  <c r="LT134" i="31"/>
  <c r="ME134" i="31" s="1"/>
  <c r="LS134" i="31"/>
  <c r="LY134" i="31" s="1"/>
  <c r="MA134" i="31" s="1"/>
  <c r="LR134" i="31"/>
  <c r="LX134" i="31" s="1"/>
  <c r="LZ134" i="31" s="1"/>
  <c r="LJ137" i="31"/>
  <c r="LG139" i="31"/>
  <c r="LF139" i="31"/>
  <c r="AI139" i="31"/>
  <c r="HI140" i="31"/>
  <c r="HD140" i="31"/>
  <c r="HH140" i="31"/>
  <c r="AL140" i="31"/>
  <c r="AK140" i="31"/>
  <c r="KZ140" i="31"/>
  <c r="IG140" i="31"/>
  <c r="IH140" i="31" s="1"/>
  <c r="IK140" i="31" s="1"/>
  <c r="LH138" i="31"/>
  <c r="LI138" i="31"/>
  <c r="GD138" i="31" s="1"/>
  <c r="GE138" i="31" s="1"/>
  <c r="GF138" i="31" s="1"/>
  <c r="LK138" i="31"/>
  <c r="AM139" i="31"/>
  <c r="AN139" i="31" s="1"/>
  <c r="AO139" i="31" s="1"/>
  <c r="AP139" i="31" s="1"/>
  <c r="AJ139" i="31"/>
  <c r="MH133" i="31" l="1"/>
  <c r="MI133" i="31"/>
  <c r="MP133" i="31" s="1"/>
  <c r="MG134" i="31"/>
  <c r="MK134" i="31" s="1"/>
  <c r="PF134" i="31"/>
  <c r="MM133" i="31"/>
  <c r="MN133" i="31" s="1"/>
  <c r="LL136" i="31"/>
  <c r="LO136" i="31" s="1"/>
  <c r="LQ136" i="31" s="1"/>
  <c r="ML133" i="31"/>
  <c r="LT135" i="31"/>
  <c r="ME135" i="31" s="1"/>
  <c r="LS135" i="31"/>
  <c r="LY135" i="31" s="1"/>
  <c r="MA135" i="31" s="1"/>
  <c r="LE137" i="31"/>
  <c r="LR135" i="31"/>
  <c r="LX135" i="31" s="1"/>
  <c r="LZ135" i="31" s="1"/>
  <c r="AJ140" i="31"/>
  <c r="AM140" i="31"/>
  <c r="AN140" i="31" s="1"/>
  <c r="AO140" i="31" s="1"/>
  <c r="AP140" i="31" s="1"/>
  <c r="LJ138" i="31"/>
  <c r="LI139" i="31"/>
  <c r="GD139" i="31" s="1"/>
  <c r="GE139" i="31" s="1"/>
  <c r="GF139" i="31" s="1"/>
  <c r="LH139" i="31"/>
  <c r="LK139" i="31"/>
  <c r="HD141" i="31"/>
  <c r="HI141" i="31"/>
  <c r="AL141" i="31"/>
  <c r="HH141" i="31"/>
  <c r="KZ141" i="31"/>
  <c r="AK141" i="31"/>
  <c r="IG141" i="31"/>
  <c r="IH141" i="31" s="1"/>
  <c r="IK141" i="31" s="1"/>
  <c r="LF140" i="31"/>
  <c r="AI140" i="31"/>
  <c r="LG140" i="31"/>
  <c r="MH134" i="31" l="1"/>
  <c r="MI134" i="31"/>
  <c r="MP134" i="31" s="1"/>
  <c r="MG135" i="31"/>
  <c r="MK135" i="31" s="1"/>
  <c r="PF135" i="31"/>
  <c r="MM134" i="31"/>
  <c r="MN134" i="31" s="1"/>
  <c r="LL137" i="31"/>
  <c r="LO137" i="31" s="1"/>
  <c r="LQ137" i="31" s="1"/>
  <c r="LE138" i="31"/>
  <c r="ML134" i="31"/>
  <c r="LS136" i="31"/>
  <c r="LY136" i="31" s="1"/>
  <c r="MA136" i="31" s="1"/>
  <c r="LT136" i="31"/>
  <c r="ME136" i="31" s="1"/>
  <c r="LR136" i="31"/>
  <c r="LX136" i="31" s="1"/>
  <c r="LZ136" i="31" s="1"/>
  <c r="AJ141" i="31"/>
  <c r="LJ139" i="31"/>
  <c r="LK140" i="31"/>
  <c r="LI140" i="31"/>
  <c r="GD140" i="31" s="1"/>
  <c r="GE140" i="31" s="1"/>
  <c r="GF140" i="31" s="1"/>
  <c r="LH140" i="31"/>
  <c r="AI141" i="31"/>
  <c r="LG141" i="31"/>
  <c r="LF141" i="31"/>
  <c r="HD142" i="31"/>
  <c r="AL142" i="31"/>
  <c r="AK142" i="31"/>
  <c r="KZ142" i="31"/>
  <c r="HH142" i="31"/>
  <c r="HI142" i="31"/>
  <c r="IG142" i="31"/>
  <c r="IH142" i="31" s="1"/>
  <c r="IK142" i="31" s="1"/>
  <c r="AM141" i="31"/>
  <c r="AN141" i="31" s="1"/>
  <c r="AO141" i="31" s="1"/>
  <c r="AP141" i="31" s="1"/>
  <c r="MI135" i="31" l="1"/>
  <c r="MP135" i="31" s="1"/>
  <c r="MH135" i="31"/>
  <c r="MG136" i="31"/>
  <c r="MK136" i="31" s="1"/>
  <c r="PF136" i="31"/>
  <c r="MM135" i="31"/>
  <c r="MN135" i="31" s="1"/>
  <c r="LL138" i="31"/>
  <c r="LO138" i="31" s="1"/>
  <c r="LQ138" i="31" s="1"/>
  <c r="LE139" i="31"/>
  <c r="ML135" i="31"/>
  <c r="LS137" i="31"/>
  <c r="LY137" i="31" s="1"/>
  <c r="MA137" i="31" s="1"/>
  <c r="LR137" i="31"/>
  <c r="LX137" i="31" s="1"/>
  <c r="LZ137" i="31" s="1"/>
  <c r="LT137" i="31"/>
  <c r="ME137" i="31" s="1"/>
  <c r="AJ142" i="31"/>
  <c r="LJ140" i="31"/>
  <c r="LI141" i="31"/>
  <c r="GD141" i="31" s="1"/>
  <c r="GE141" i="31" s="1"/>
  <c r="GF141" i="31" s="1"/>
  <c r="LH141" i="31"/>
  <c r="LK141" i="31"/>
  <c r="AM142" i="31"/>
  <c r="AN142" i="31" s="1"/>
  <c r="AO142" i="31" s="1"/>
  <c r="AP142" i="31" s="1"/>
  <c r="AI142" i="31"/>
  <c r="LF142" i="31"/>
  <c r="LG142" i="31"/>
  <c r="AL143" i="31"/>
  <c r="KZ143" i="31"/>
  <c r="HI143" i="31"/>
  <c r="AK143" i="31"/>
  <c r="HH143" i="31"/>
  <c r="HD143" i="31"/>
  <c r="IG143" i="31"/>
  <c r="IH143" i="31" s="1"/>
  <c r="IK143" i="31" s="1"/>
  <c r="MH136" i="31" l="1"/>
  <c r="MI136" i="31"/>
  <c r="MP136" i="31" s="1"/>
  <c r="MG137" i="31"/>
  <c r="MK137" i="31" s="1"/>
  <c r="PF137" i="31"/>
  <c r="MM136" i="31"/>
  <c r="MN136" i="31" s="1"/>
  <c r="LL139" i="31"/>
  <c r="LO139" i="31" s="1"/>
  <c r="LQ139" i="31" s="1"/>
  <c r="LR139" i="31" s="1"/>
  <c r="LX139" i="31" s="1"/>
  <c r="LZ139" i="31" s="1"/>
  <c r="ML136" i="31"/>
  <c r="LT138" i="31"/>
  <c r="ME138" i="31" s="1"/>
  <c r="LS138" i="31"/>
  <c r="LY138" i="31" s="1"/>
  <c r="MA138" i="31" s="1"/>
  <c r="LE140" i="31"/>
  <c r="LR138" i="31"/>
  <c r="LX138" i="31" s="1"/>
  <c r="LZ138" i="31" s="1"/>
  <c r="AJ143" i="31"/>
  <c r="LG143" i="31"/>
  <c r="LF143" i="31"/>
  <c r="AI143" i="31"/>
  <c r="LJ141" i="31"/>
  <c r="AK144" i="31"/>
  <c r="HH144" i="31"/>
  <c r="KZ144" i="31"/>
  <c r="HD144" i="31"/>
  <c r="AL144" i="31"/>
  <c r="HI144" i="31"/>
  <c r="IG144" i="31"/>
  <c r="IH144" i="31" s="1"/>
  <c r="IK144" i="31" s="1"/>
  <c r="AM143" i="31"/>
  <c r="AN143" i="31" s="1"/>
  <c r="AO143" i="31" s="1"/>
  <c r="AP143" i="31" s="1"/>
  <c r="LH142" i="31"/>
  <c r="LI142" i="31"/>
  <c r="GD142" i="31" s="1"/>
  <c r="GE142" i="31" s="1"/>
  <c r="GF142" i="31" s="1"/>
  <c r="LK142" i="31"/>
  <c r="MH137" i="31" l="1"/>
  <c r="MI137" i="31"/>
  <c r="MP137" i="31" s="1"/>
  <c r="MG138" i="31"/>
  <c r="MK138" i="31" s="1"/>
  <c r="PF138" i="31"/>
  <c r="MM137" i="31"/>
  <c r="MN137" i="31" s="1"/>
  <c r="LT139" i="31"/>
  <c r="ME139" i="31" s="1"/>
  <c r="LS139" i="31"/>
  <c r="LY139" i="31" s="1"/>
  <c r="MA139" i="31" s="1"/>
  <c r="LL140" i="31"/>
  <c r="LO140" i="31" s="1"/>
  <c r="LQ140" i="31" s="1"/>
  <c r="LT140" i="31" s="1"/>
  <c r="ME140" i="31" s="1"/>
  <c r="ML137" i="31"/>
  <c r="LE141" i="31"/>
  <c r="AJ144" i="31"/>
  <c r="AM144" i="31"/>
  <c r="AN144" i="31" s="1"/>
  <c r="AO144" i="31" s="1"/>
  <c r="AP144" i="31" s="1"/>
  <c r="LF144" i="31"/>
  <c r="AI144" i="31"/>
  <c r="LG144" i="31"/>
  <c r="LJ142" i="31"/>
  <c r="AK145" i="31"/>
  <c r="HD145" i="31"/>
  <c r="KZ145" i="31"/>
  <c r="HH145" i="31"/>
  <c r="AL145" i="31"/>
  <c r="HI145" i="31"/>
  <c r="IG145" i="31"/>
  <c r="IH145" i="31" s="1"/>
  <c r="IK145" i="31" s="1"/>
  <c r="LK143" i="31"/>
  <c r="LI143" i="31"/>
  <c r="GD143" i="31" s="1"/>
  <c r="GE143" i="31" s="1"/>
  <c r="GF143" i="31" s="1"/>
  <c r="LH143" i="31"/>
  <c r="MI138" i="31" l="1"/>
  <c r="MP138" i="31" s="1"/>
  <c r="MH138" i="31"/>
  <c r="MG139" i="31"/>
  <c r="MI139" i="31" s="1"/>
  <c r="MP139" i="31" s="1"/>
  <c r="PF139" i="31"/>
  <c r="MG140" i="31"/>
  <c r="MK140" i="31" s="1"/>
  <c r="PF140" i="31"/>
  <c r="MM138" i="31"/>
  <c r="MN138" i="31" s="1"/>
  <c r="LL141" i="31"/>
  <c r="LO141" i="31" s="1"/>
  <c r="LQ141" i="31" s="1"/>
  <c r="LT141" i="31" s="1"/>
  <c r="ME141" i="31" s="1"/>
  <c r="LE142" i="31"/>
  <c r="ML138" i="31"/>
  <c r="LS140" i="31"/>
  <c r="LY140" i="31" s="1"/>
  <c r="MA140" i="31" s="1"/>
  <c r="LR140" i="31"/>
  <c r="LX140" i="31" s="1"/>
  <c r="LZ140" i="31" s="1"/>
  <c r="AJ145" i="31"/>
  <c r="AM145" i="31"/>
  <c r="AN145" i="31" s="1"/>
  <c r="AO145" i="31" s="1"/>
  <c r="AP145" i="31" s="1"/>
  <c r="LJ143" i="31"/>
  <c r="LF145" i="31"/>
  <c r="LG145" i="31"/>
  <c r="AI145" i="31"/>
  <c r="LH144" i="31"/>
  <c r="LI144" i="31"/>
  <c r="GD144" i="31" s="1"/>
  <c r="GE144" i="31" s="1"/>
  <c r="GF144" i="31" s="1"/>
  <c r="LK144" i="31"/>
  <c r="HD146" i="31"/>
  <c r="AK146" i="31"/>
  <c r="KZ146" i="31"/>
  <c r="HH146" i="31"/>
  <c r="HI146" i="31"/>
  <c r="AL146" i="31"/>
  <c r="IG146" i="31"/>
  <c r="IH146" i="31" s="1"/>
  <c r="IK146" i="31" s="1"/>
  <c r="MK139" i="31" l="1"/>
  <c r="MM139" i="31" s="1"/>
  <c r="MN139" i="31" s="1"/>
  <c r="MI140" i="31"/>
  <c r="MP140" i="31" s="1"/>
  <c r="MH140" i="31"/>
  <c r="MG141" i="31"/>
  <c r="MK141" i="31" s="1"/>
  <c r="ML141" i="31" s="1"/>
  <c r="PF141" i="31"/>
  <c r="MH139" i="31"/>
  <c r="MM140" i="31"/>
  <c r="MN140" i="31" s="1"/>
  <c r="LL142" i="31"/>
  <c r="LO142" i="31" s="1"/>
  <c r="LQ142" i="31" s="1"/>
  <c r="LR142" i="31" s="1"/>
  <c r="LX142" i="31" s="1"/>
  <c r="LZ142" i="31" s="1"/>
  <c r="LS141" i="31"/>
  <c r="LY141" i="31" s="1"/>
  <c r="MA141" i="31" s="1"/>
  <c r="LR141" i="31"/>
  <c r="LX141" i="31" s="1"/>
  <c r="LZ141" i="31" s="1"/>
  <c r="LE143" i="31"/>
  <c r="ML140" i="31"/>
  <c r="AJ146" i="31"/>
  <c r="LJ144" i="31"/>
  <c r="AI146" i="31"/>
  <c r="LF146" i="31"/>
  <c r="LG146" i="31"/>
  <c r="LK145" i="31"/>
  <c r="LI145" i="31"/>
  <c r="GD145" i="31" s="1"/>
  <c r="GE145" i="31" s="1"/>
  <c r="GF145" i="31" s="1"/>
  <c r="LH145" i="31"/>
  <c r="AK147" i="31"/>
  <c r="KZ147" i="31"/>
  <c r="HI147" i="31"/>
  <c r="HH147" i="31"/>
  <c r="AL147" i="31"/>
  <c r="HD147" i="31"/>
  <c r="IG147" i="31"/>
  <c r="IH147" i="31" s="1"/>
  <c r="IK147" i="31" s="1"/>
  <c r="AM146" i="31"/>
  <c r="AN146" i="31" s="1"/>
  <c r="AO146" i="31" s="1"/>
  <c r="AP146" i="31" s="1"/>
  <c r="ML139" i="31" l="1"/>
  <c r="MI141" i="31"/>
  <c r="MP141" i="31" s="1"/>
  <c r="MH141" i="31"/>
  <c r="MM141" i="31"/>
  <c r="MN141" i="31" s="1"/>
  <c r="LS142" i="31"/>
  <c r="LY142" i="31" s="1"/>
  <c r="MA142" i="31" s="1"/>
  <c r="LT142" i="31"/>
  <c r="ME142" i="31" s="1"/>
  <c r="LL143" i="31"/>
  <c r="LO143" i="31" s="1"/>
  <c r="LQ143" i="31" s="1"/>
  <c r="LR143" i="31" s="1"/>
  <c r="LX143" i="31" s="1"/>
  <c r="LZ143" i="31" s="1"/>
  <c r="LE144" i="31"/>
  <c r="AJ147" i="31"/>
  <c r="LJ145" i="31"/>
  <c r="KZ148" i="31"/>
  <c r="AL148" i="31"/>
  <c r="HD148" i="31"/>
  <c r="AK148" i="31"/>
  <c r="HI148" i="31"/>
  <c r="HH148" i="31"/>
  <c r="IG148" i="31"/>
  <c r="IH148" i="31" s="1"/>
  <c r="IK148" i="31" s="1"/>
  <c r="LK146" i="31"/>
  <c r="LH146" i="31"/>
  <c r="LI146" i="31"/>
  <c r="GD146" i="31" s="1"/>
  <c r="GE146" i="31" s="1"/>
  <c r="GF146" i="31" s="1"/>
  <c r="AM147" i="31"/>
  <c r="AN147" i="31" s="1"/>
  <c r="AO147" i="31" s="1"/>
  <c r="AP147" i="31" s="1"/>
  <c r="AI147" i="31"/>
  <c r="LF147" i="31"/>
  <c r="LG147" i="31"/>
  <c r="MG142" i="31" l="1"/>
  <c r="MI142" i="31" s="1"/>
  <c r="MP142" i="31" s="1"/>
  <c r="PF142" i="31"/>
  <c r="LS143" i="31"/>
  <c r="LY143" i="31" s="1"/>
  <c r="MA143" i="31" s="1"/>
  <c r="LT143" i="31"/>
  <c r="ME143" i="31" s="1"/>
  <c r="LL144" i="31"/>
  <c r="LO144" i="31" s="1"/>
  <c r="LQ144" i="31" s="1"/>
  <c r="LT144" i="31" s="1"/>
  <c r="ME144" i="31" s="1"/>
  <c r="LE145" i="31"/>
  <c r="AJ148" i="31"/>
  <c r="LJ146" i="31"/>
  <c r="AM148" i="31"/>
  <c r="AN148" i="31" s="1"/>
  <c r="AO148" i="31" s="1"/>
  <c r="AP148" i="31" s="1"/>
  <c r="LH147" i="31"/>
  <c r="LI147" i="31"/>
  <c r="GD147" i="31" s="1"/>
  <c r="GE147" i="31" s="1"/>
  <c r="GF147" i="31" s="1"/>
  <c r="LK147" i="31"/>
  <c r="HH149" i="31"/>
  <c r="AK149" i="31"/>
  <c r="AL149" i="31"/>
  <c r="HD149" i="31"/>
  <c r="KZ149" i="31"/>
  <c r="HI149" i="31"/>
  <c r="IG149" i="31"/>
  <c r="IH149" i="31" s="1"/>
  <c r="IK149" i="31" s="1"/>
  <c r="LG148" i="31"/>
  <c r="AI148" i="31"/>
  <c r="LF148" i="31"/>
  <c r="MH142" i="31" l="1"/>
  <c r="MK142" i="31"/>
  <c r="ML142" i="31" s="1"/>
  <c r="MG144" i="31"/>
  <c r="MK144" i="31" s="1"/>
  <c r="PF144" i="31"/>
  <c r="MG143" i="31"/>
  <c r="MK143" i="31" s="1"/>
  <c r="ML143" i="31" s="1"/>
  <c r="PF143" i="31"/>
  <c r="LL145" i="31"/>
  <c r="LO145" i="31" s="1"/>
  <c r="LQ145" i="31" s="1"/>
  <c r="LE146" i="31"/>
  <c r="LR144" i="31"/>
  <c r="LX144" i="31" s="1"/>
  <c r="LZ144" i="31" s="1"/>
  <c r="LS144" i="31"/>
  <c r="LY144" i="31" s="1"/>
  <c r="MA144" i="31" s="1"/>
  <c r="AJ149" i="31"/>
  <c r="AK150" i="31"/>
  <c r="HD150" i="31"/>
  <c r="KZ150" i="31"/>
  <c r="HH150" i="31"/>
  <c r="HI150" i="31"/>
  <c r="AL150" i="31"/>
  <c r="IG150" i="31"/>
  <c r="IH150" i="31" s="1"/>
  <c r="IK150" i="31" s="1"/>
  <c r="AI149" i="31"/>
  <c r="LF149" i="31"/>
  <c r="LG149" i="31"/>
  <c r="LI148" i="31"/>
  <c r="GD148" i="31" s="1"/>
  <c r="GE148" i="31" s="1"/>
  <c r="GF148" i="31" s="1"/>
  <c r="LH148" i="31"/>
  <c r="LK148" i="31"/>
  <c r="AM149" i="31"/>
  <c r="AN149" i="31" s="1"/>
  <c r="AO149" i="31" s="1"/>
  <c r="AP149" i="31" s="1"/>
  <c r="LJ147" i="31"/>
  <c r="MM142" i="31" l="1"/>
  <c r="MN142" i="31" s="1"/>
  <c r="MI143" i="31"/>
  <c r="MP143" i="31" s="1"/>
  <c r="MH143" i="31"/>
  <c r="MH144" i="31"/>
  <c r="MI144" i="31"/>
  <c r="MP144" i="31" s="1"/>
  <c r="MM143" i="31"/>
  <c r="MN143" i="31" s="1"/>
  <c r="MM144" i="31"/>
  <c r="MN144" i="31" s="1"/>
  <c r="LL146" i="31"/>
  <c r="LO146" i="31" s="1"/>
  <c r="LQ146" i="31" s="1"/>
  <c r="LE147" i="31"/>
  <c r="ML144" i="31"/>
  <c r="LS145" i="31"/>
  <c r="LY145" i="31" s="1"/>
  <c r="MA145" i="31" s="1"/>
  <c r="LR145" i="31"/>
  <c r="LX145" i="31" s="1"/>
  <c r="LZ145" i="31" s="1"/>
  <c r="LT145" i="31"/>
  <c r="ME145" i="31" s="1"/>
  <c r="PF145" i="31" s="1"/>
  <c r="AJ150" i="31"/>
  <c r="AM150" i="31"/>
  <c r="AN150" i="31" s="1"/>
  <c r="AO150" i="31" s="1"/>
  <c r="AP150" i="31" s="1"/>
  <c r="LJ148" i="31"/>
  <c r="LK149" i="31"/>
  <c r="LI149" i="31"/>
  <c r="GD149" i="31" s="1"/>
  <c r="GE149" i="31" s="1"/>
  <c r="GF149" i="31" s="1"/>
  <c r="LH149" i="31"/>
  <c r="LG150" i="31"/>
  <c r="AI150" i="31"/>
  <c r="LF150" i="31"/>
  <c r="HH151" i="31"/>
  <c r="KZ151" i="31"/>
  <c r="AL151" i="31"/>
  <c r="AK151" i="31"/>
  <c r="HI151" i="31"/>
  <c r="HD151" i="31"/>
  <c r="IG151" i="31"/>
  <c r="IH151" i="31" s="1"/>
  <c r="IK151" i="31" s="1"/>
  <c r="LL147" i="31" l="1"/>
  <c r="LO147" i="31" s="1"/>
  <c r="LQ147" i="31" s="1"/>
  <c r="LT147" i="31" s="1"/>
  <c r="ME147" i="31" s="1"/>
  <c r="MG145" i="31"/>
  <c r="MK145" i="31" s="1"/>
  <c r="LE148" i="31"/>
  <c r="LT146" i="31"/>
  <c r="ME146" i="31" s="1"/>
  <c r="LR146" i="31"/>
  <c r="LX146" i="31" s="1"/>
  <c r="LZ146" i="31" s="1"/>
  <c r="LS146" i="31"/>
  <c r="LY146" i="31" s="1"/>
  <c r="MA146" i="31" s="1"/>
  <c r="AJ151" i="31"/>
  <c r="AM151" i="31"/>
  <c r="AN151" i="31" s="1"/>
  <c r="AO151" i="31" s="1"/>
  <c r="AP151" i="31" s="1"/>
  <c r="LJ149" i="31"/>
  <c r="AL152" i="31"/>
  <c r="AK152" i="31"/>
  <c r="KZ152" i="31"/>
  <c r="HH152" i="31"/>
  <c r="HI152" i="31"/>
  <c r="HD152" i="31"/>
  <c r="IG152" i="31"/>
  <c r="IH152" i="31" s="1"/>
  <c r="IK152" i="31" s="1"/>
  <c r="LK150" i="31"/>
  <c r="LI150" i="31"/>
  <c r="GD150" i="31" s="1"/>
  <c r="GE150" i="31" s="1"/>
  <c r="GF150" i="31" s="1"/>
  <c r="LH150" i="31"/>
  <c r="LG151" i="31"/>
  <c r="AI151" i="31"/>
  <c r="LF151" i="31"/>
  <c r="MG146" i="31" l="1"/>
  <c r="MK146" i="31" s="1"/>
  <c r="PF146" i="31"/>
  <c r="MG147" i="31"/>
  <c r="MK147" i="31" s="1"/>
  <c r="ML147" i="31" s="1"/>
  <c r="PF147" i="31"/>
  <c r="LR147" i="31"/>
  <c r="LX147" i="31" s="1"/>
  <c r="LZ147" i="31" s="1"/>
  <c r="LS147" i="31"/>
  <c r="LY147" i="31" s="1"/>
  <c r="MA147" i="31" s="1"/>
  <c r="LL148" i="31"/>
  <c r="LO148" i="31" s="1"/>
  <c r="LQ148" i="31" s="1"/>
  <c r="LR148" i="31" s="1"/>
  <c r="LX148" i="31" s="1"/>
  <c r="LZ148" i="31" s="1"/>
  <c r="MH145" i="31"/>
  <c r="MI145" i="31"/>
  <c r="MP145" i="31" s="1"/>
  <c r="ML145" i="31"/>
  <c r="LE149" i="31"/>
  <c r="AJ152" i="31"/>
  <c r="LJ150" i="31"/>
  <c r="AM152" i="31"/>
  <c r="AN152" i="31" s="1"/>
  <c r="AO152" i="31" s="1"/>
  <c r="AP152" i="31" s="1"/>
  <c r="KZ153" i="31"/>
  <c r="AL153" i="31"/>
  <c r="HI153" i="31"/>
  <c r="AK153" i="31"/>
  <c r="HH153" i="31"/>
  <c r="HD153" i="31"/>
  <c r="IG153" i="31"/>
  <c r="IH153" i="31" s="1"/>
  <c r="IK153" i="31" s="1"/>
  <c r="LI151" i="31"/>
  <c r="GD151" i="31" s="1"/>
  <c r="GE151" i="31" s="1"/>
  <c r="GF151" i="31" s="1"/>
  <c r="LH151" i="31"/>
  <c r="LK151" i="31"/>
  <c r="LF152" i="31"/>
  <c r="LG152" i="31"/>
  <c r="AI152" i="31"/>
  <c r="MH146" i="31" l="1"/>
  <c r="MI146" i="31"/>
  <c r="MP146" i="31" s="1"/>
  <c r="MI147" i="31"/>
  <c r="MP147" i="31" s="1"/>
  <c r="MH147" i="31"/>
  <c r="MM147" i="31"/>
  <c r="MN147" i="31" s="1"/>
  <c r="MM145" i="31"/>
  <c r="MN145" i="31" s="1"/>
  <c r="MM146" i="31"/>
  <c r="MN146" i="31" s="1"/>
  <c r="LL149" i="31"/>
  <c r="LO149" i="31" s="1"/>
  <c r="LQ149" i="31" s="1"/>
  <c r="ML146" i="31"/>
  <c r="LE150" i="31"/>
  <c r="LT148" i="31"/>
  <c r="ME148" i="31" s="1"/>
  <c r="LS148" i="31"/>
  <c r="LY148" i="31" s="1"/>
  <c r="MA148" i="31" s="1"/>
  <c r="AJ153" i="31"/>
  <c r="AM153" i="31"/>
  <c r="AN153" i="31" s="1"/>
  <c r="AO153" i="31" s="1"/>
  <c r="AP153" i="31" s="1"/>
  <c r="LG153" i="31"/>
  <c r="LF153" i="31"/>
  <c r="AI153" i="31"/>
  <c r="LH152" i="31"/>
  <c r="LK152" i="31"/>
  <c r="LI152" i="31"/>
  <c r="GD152" i="31" s="1"/>
  <c r="GE152" i="31" s="1"/>
  <c r="GF152" i="31" s="1"/>
  <c r="KZ154" i="31"/>
  <c r="HH154" i="31"/>
  <c r="AL154" i="31"/>
  <c r="HD154" i="31"/>
  <c r="AK154" i="31"/>
  <c r="HI154" i="31"/>
  <c r="IG154" i="31"/>
  <c r="IH154" i="31" s="1"/>
  <c r="IK154" i="31" s="1"/>
  <c r="LJ151" i="31"/>
  <c r="MG148" i="31" l="1"/>
  <c r="MK148" i="31" s="1"/>
  <c r="PF148" i="31"/>
  <c r="LL150" i="31"/>
  <c r="LO150" i="31" s="1"/>
  <c r="LQ150" i="31" s="1"/>
  <c r="LR149" i="31"/>
  <c r="LX149" i="31" s="1"/>
  <c r="LZ149" i="31" s="1"/>
  <c r="LS149" i="31"/>
  <c r="LY149" i="31" s="1"/>
  <c r="MA149" i="31" s="1"/>
  <c r="LT149" i="31"/>
  <c r="ME149" i="31" s="1"/>
  <c r="LE151" i="31"/>
  <c r="AJ154" i="31"/>
  <c r="AM154" i="31"/>
  <c r="AN154" i="31" s="1"/>
  <c r="AO154" i="31" s="1"/>
  <c r="AP154" i="31" s="1"/>
  <c r="LJ152" i="31"/>
  <c r="LG154" i="31"/>
  <c r="AI154" i="31"/>
  <c r="LF154" i="31"/>
  <c r="KZ155" i="31"/>
  <c r="HI155" i="31"/>
  <c r="AL155" i="31"/>
  <c r="HD155" i="31"/>
  <c r="HH155" i="31"/>
  <c r="AK155" i="31"/>
  <c r="IG155" i="31"/>
  <c r="IH155" i="31" s="1"/>
  <c r="IK155" i="31" s="1"/>
  <c r="LH153" i="31"/>
  <c r="LK153" i="31"/>
  <c r="LI153" i="31"/>
  <c r="GD153" i="31" s="1"/>
  <c r="GE153" i="31" s="1"/>
  <c r="GF153" i="31" s="1"/>
  <c r="MH148" i="31" l="1"/>
  <c r="MI148" i="31"/>
  <c r="MP148" i="31" s="1"/>
  <c r="MG149" i="31"/>
  <c r="MK149" i="31" s="1"/>
  <c r="PF149" i="31"/>
  <c r="MM148" i="31"/>
  <c r="MN148" i="31" s="1"/>
  <c r="LL151" i="31"/>
  <c r="LO151" i="31" s="1"/>
  <c r="LE152" i="31"/>
  <c r="ML148" i="31"/>
  <c r="LR150" i="31"/>
  <c r="LX150" i="31" s="1"/>
  <c r="LZ150" i="31" s="1"/>
  <c r="LS150" i="31"/>
  <c r="LY150" i="31" s="1"/>
  <c r="MA150" i="31" s="1"/>
  <c r="LT150" i="31"/>
  <c r="ME150" i="31" s="1"/>
  <c r="AJ155" i="31"/>
  <c r="AM155" i="31"/>
  <c r="AN155" i="31" s="1"/>
  <c r="AO155" i="31" s="1"/>
  <c r="AP155" i="31" s="1"/>
  <c r="LJ153" i="31"/>
  <c r="LG155" i="31"/>
  <c r="AI155" i="31"/>
  <c r="LF155" i="31"/>
  <c r="LK154" i="31"/>
  <c r="LI154" i="31"/>
  <c r="GD154" i="31" s="1"/>
  <c r="GE154" i="31" s="1"/>
  <c r="GF154" i="31" s="1"/>
  <c r="LH154" i="31"/>
  <c r="HH156" i="31"/>
  <c r="KZ156" i="31"/>
  <c r="HD156" i="31"/>
  <c r="AK156" i="31"/>
  <c r="AL156" i="31"/>
  <c r="HI156" i="31"/>
  <c r="IG156" i="31"/>
  <c r="IH156" i="31" s="1"/>
  <c r="IK156" i="31" s="1"/>
  <c r="MH149" i="31" l="1"/>
  <c r="MI149" i="31"/>
  <c r="MP149" i="31" s="1"/>
  <c r="MG150" i="31"/>
  <c r="MK150" i="31" s="1"/>
  <c r="PF150" i="31"/>
  <c r="MM149" i="31"/>
  <c r="MN149" i="31" s="1"/>
  <c r="LQ151" i="31"/>
  <c r="LL152" i="31"/>
  <c r="LO152" i="31" s="1"/>
  <c r="LQ152" i="31" s="1"/>
  <c r="ML149" i="31"/>
  <c r="LE153" i="31"/>
  <c r="LJ154" i="31"/>
  <c r="AM156" i="31"/>
  <c r="AN156" i="31" s="1"/>
  <c r="AO156" i="31" s="1"/>
  <c r="AP156" i="31" s="1"/>
  <c r="AJ156" i="31"/>
  <c r="LI155" i="31"/>
  <c r="GD155" i="31" s="1"/>
  <c r="GE155" i="31" s="1"/>
  <c r="GF155" i="31" s="1"/>
  <c r="LH155" i="31"/>
  <c r="LK155" i="31"/>
  <c r="LF156" i="31"/>
  <c r="AI156" i="31"/>
  <c r="LG156" i="31"/>
  <c r="KZ157" i="31"/>
  <c r="AK157" i="31"/>
  <c r="AL157" i="31"/>
  <c r="HH157" i="31"/>
  <c r="HD157" i="31"/>
  <c r="HI157" i="31"/>
  <c r="IG157" i="31"/>
  <c r="IH157" i="31" s="1"/>
  <c r="IK157" i="31" s="1"/>
  <c r="MH150" i="31" l="1"/>
  <c r="MI150" i="31"/>
  <c r="MP150" i="31" s="1"/>
  <c r="MM150" i="31"/>
  <c r="MN150" i="31" s="1"/>
  <c r="LS151" i="31"/>
  <c r="LY151" i="31" s="1"/>
  <c r="MA151" i="31" s="1"/>
  <c r="LR151" i="31"/>
  <c r="LX151" i="31" s="1"/>
  <c r="LZ151" i="31" s="1"/>
  <c r="LT151" i="31"/>
  <c r="ME151" i="31" s="1"/>
  <c r="LL153" i="31"/>
  <c r="LO153" i="31" s="1"/>
  <c r="LQ153" i="31" s="1"/>
  <c r="LS153" i="31" s="1"/>
  <c r="LY153" i="31" s="1"/>
  <c r="MA153" i="31" s="1"/>
  <c r="ML150" i="31"/>
  <c r="LE154" i="31"/>
  <c r="LS152" i="31"/>
  <c r="LY152" i="31" s="1"/>
  <c r="MA152" i="31" s="1"/>
  <c r="LT152" i="31"/>
  <c r="ME152" i="31" s="1"/>
  <c r="PF152" i="31" s="1"/>
  <c r="LR152" i="31"/>
  <c r="LX152" i="31" s="1"/>
  <c r="LZ152" i="31" s="1"/>
  <c r="AJ157" i="31"/>
  <c r="AM157" i="31"/>
  <c r="AN157" i="31" s="1"/>
  <c r="AO157" i="31" s="1"/>
  <c r="AP157" i="31" s="1"/>
  <c r="LH156" i="31"/>
  <c r="LK156" i="31"/>
  <c r="LI156" i="31"/>
  <c r="GD156" i="31" s="1"/>
  <c r="GE156" i="31" s="1"/>
  <c r="GF156" i="31" s="1"/>
  <c r="AI157" i="31"/>
  <c r="LG157" i="31"/>
  <c r="LF157" i="31"/>
  <c r="LJ155" i="31"/>
  <c r="AL158" i="31"/>
  <c r="AK158" i="31"/>
  <c r="HI158" i="31"/>
  <c r="HD158" i="31"/>
  <c r="HH158" i="31"/>
  <c r="KZ158" i="31"/>
  <c r="IG158" i="31"/>
  <c r="IH158" i="31" s="1"/>
  <c r="IK158" i="31" s="1"/>
  <c r="MG151" i="31" l="1"/>
  <c r="MK151" i="31" s="1"/>
  <c r="PF151" i="31"/>
  <c r="LR153" i="31"/>
  <c r="LX153" i="31" s="1"/>
  <c r="LZ153" i="31" s="1"/>
  <c r="LT153" i="31"/>
  <c r="ME153" i="31" s="1"/>
  <c r="LL154" i="31"/>
  <c r="LO154" i="31" s="1"/>
  <c r="LQ154" i="31" s="1"/>
  <c r="MG152" i="31"/>
  <c r="LE155" i="31"/>
  <c r="AJ158" i="31"/>
  <c r="LJ156" i="31"/>
  <c r="AL159" i="31"/>
  <c r="HD159" i="31"/>
  <c r="HH159" i="31"/>
  <c r="HI159" i="31"/>
  <c r="AK159" i="31"/>
  <c r="KZ159" i="31"/>
  <c r="IG159" i="31"/>
  <c r="IH159" i="31" s="1"/>
  <c r="IK159" i="31" s="1"/>
  <c r="AI158" i="31"/>
  <c r="LF158" i="31"/>
  <c r="LG158" i="31"/>
  <c r="LI157" i="31"/>
  <c r="GD157" i="31" s="1"/>
  <c r="GE157" i="31" s="1"/>
  <c r="GF157" i="31" s="1"/>
  <c r="LH157" i="31"/>
  <c r="LK157" i="31"/>
  <c r="AM158" i="31"/>
  <c r="AN158" i="31" s="1"/>
  <c r="AO158" i="31" s="1"/>
  <c r="AP158" i="31" s="1"/>
  <c r="MH151" i="31" l="1"/>
  <c r="MI151" i="31"/>
  <c r="MP151" i="31" s="1"/>
  <c r="MG153" i="31"/>
  <c r="MK153" i="31" s="1"/>
  <c r="ML153" i="31" s="1"/>
  <c r="PF153" i="31"/>
  <c r="MM151" i="31"/>
  <c r="MN151" i="31" s="1"/>
  <c r="ML151" i="31"/>
  <c r="LL155" i="31"/>
  <c r="LO155" i="31" s="1"/>
  <c r="LQ155" i="31" s="1"/>
  <c r="LT155" i="31" s="1"/>
  <c r="ME155" i="31" s="1"/>
  <c r="MH152" i="31"/>
  <c r="MK152" i="31"/>
  <c r="MI152" i="31"/>
  <c r="MP152" i="31" s="1"/>
  <c r="LE156" i="31"/>
  <c r="LT154" i="31"/>
  <c r="ME154" i="31" s="1"/>
  <c r="LR154" i="31"/>
  <c r="LX154" i="31" s="1"/>
  <c r="LZ154" i="31" s="1"/>
  <c r="LS154" i="31"/>
  <c r="LY154" i="31" s="1"/>
  <c r="MA154" i="31" s="1"/>
  <c r="AJ159" i="31"/>
  <c r="LG159" i="31"/>
  <c r="LF159" i="31"/>
  <c r="AI159" i="31"/>
  <c r="LJ157" i="31"/>
  <c r="AM159" i="31"/>
  <c r="AN159" i="31" s="1"/>
  <c r="AO159" i="31" s="1"/>
  <c r="AP159" i="31" s="1"/>
  <c r="AL160" i="31"/>
  <c r="HH160" i="31"/>
  <c r="KZ160" i="31"/>
  <c r="HI160" i="31"/>
  <c r="AK160" i="31"/>
  <c r="HD160" i="31"/>
  <c r="IG160" i="31"/>
  <c r="IH160" i="31" s="1"/>
  <c r="IK160" i="31" s="1"/>
  <c r="LH158" i="31"/>
  <c r="LK158" i="31"/>
  <c r="LI158" i="31"/>
  <c r="GD158" i="31" s="1"/>
  <c r="GE158" i="31" s="1"/>
  <c r="GF158" i="31" s="1"/>
  <c r="MH153" i="31" l="1"/>
  <c r="MI153" i="31"/>
  <c r="MP153" i="31" s="1"/>
  <c r="MG155" i="31"/>
  <c r="MK155" i="31" s="1"/>
  <c r="ML155" i="31" s="1"/>
  <c r="PF155" i="31"/>
  <c r="MG154" i="31"/>
  <c r="MK154" i="31" s="1"/>
  <c r="PF154" i="31"/>
  <c r="MM153" i="31"/>
  <c r="MN153" i="31" s="1"/>
  <c r="ML152" i="31"/>
  <c r="MM152" i="31"/>
  <c r="MN152" i="31" s="1"/>
  <c r="LS155" i="31"/>
  <c r="LY155" i="31" s="1"/>
  <c r="MA155" i="31" s="1"/>
  <c r="LR155" i="31"/>
  <c r="LX155" i="31" s="1"/>
  <c r="LZ155" i="31" s="1"/>
  <c r="LL156" i="31"/>
  <c r="LO156" i="31" s="1"/>
  <c r="LQ156" i="31" s="1"/>
  <c r="LS156" i="31" s="1"/>
  <c r="LY156" i="31" s="1"/>
  <c r="MA156" i="31" s="1"/>
  <c r="LE157" i="31"/>
  <c r="AJ160" i="31"/>
  <c r="HI161" i="31"/>
  <c r="KZ161" i="31"/>
  <c r="HH161" i="31"/>
  <c r="HD161" i="31"/>
  <c r="AL161" i="31"/>
  <c r="AK161" i="31"/>
  <c r="IG161" i="31"/>
  <c r="IH161" i="31" s="1"/>
  <c r="IK161" i="31" s="1"/>
  <c r="LJ158" i="31"/>
  <c r="LG160" i="31"/>
  <c r="AI160" i="31"/>
  <c r="LF160" i="31"/>
  <c r="AM160" i="31"/>
  <c r="AN160" i="31" s="1"/>
  <c r="AO160" i="31" s="1"/>
  <c r="AP160" i="31" s="1"/>
  <c r="LH159" i="31"/>
  <c r="LK159" i="31"/>
  <c r="LI159" i="31"/>
  <c r="GD159" i="31" s="1"/>
  <c r="GE159" i="31" s="1"/>
  <c r="GF159" i="31" s="1"/>
  <c r="MH154" i="31" l="1"/>
  <c r="MI154" i="31"/>
  <c r="MP154" i="31" s="1"/>
  <c r="MH155" i="31"/>
  <c r="MI155" i="31"/>
  <c r="MP155" i="31" s="1"/>
  <c r="MM155" i="31"/>
  <c r="MN155" i="31" s="1"/>
  <c r="MM154" i="31"/>
  <c r="MN154" i="31" s="1"/>
  <c r="LT156" i="31"/>
  <c r="ME156" i="31" s="1"/>
  <c r="LR156" i="31"/>
  <c r="LX156" i="31" s="1"/>
  <c r="LZ156" i="31" s="1"/>
  <c r="ML154" i="31"/>
  <c r="LE158" i="31"/>
  <c r="AJ161" i="31"/>
  <c r="LJ159" i="31"/>
  <c r="AM161" i="31"/>
  <c r="AN161" i="31" s="1"/>
  <c r="AO161" i="31" s="1"/>
  <c r="AP161" i="31" s="1"/>
  <c r="KZ162" i="31"/>
  <c r="HD162" i="31"/>
  <c r="HI162" i="31"/>
  <c r="HH162" i="31"/>
  <c r="AL162" i="31"/>
  <c r="AK162" i="31"/>
  <c r="IG162" i="31"/>
  <c r="IH162" i="31" s="1"/>
  <c r="IK162" i="31" s="1"/>
  <c r="LK160" i="31"/>
  <c r="LI160" i="31"/>
  <c r="GD160" i="31" s="1"/>
  <c r="GE160" i="31" s="1"/>
  <c r="GF160" i="31" s="1"/>
  <c r="LH160" i="31"/>
  <c r="LF161" i="31"/>
  <c r="LG161" i="31"/>
  <c r="AI161" i="31"/>
  <c r="MG156" i="31" l="1"/>
  <c r="MH156" i="31" s="1"/>
  <c r="PF156" i="31"/>
  <c r="LE159" i="31"/>
  <c r="AJ162" i="31"/>
  <c r="LJ160" i="31"/>
  <c r="AM162" i="31"/>
  <c r="AN162" i="31" s="1"/>
  <c r="AO162" i="31" s="1"/>
  <c r="AP162" i="31" s="1"/>
  <c r="LI161" i="31"/>
  <c r="GD161" i="31" s="1"/>
  <c r="GE161" i="31" s="1"/>
  <c r="GF161" i="31" s="1"/>
  <c r="LK161" i="31"/>
  <c r="LH161" i="31"/>
  <c r="LG162" i="31"/>
  <c r="AI162" i="31"/>
  <c r="LF162" i="31"/>
  <c r="HI163" i="31"/>
  <c r="AL163" i="31"/>
  <c r="HD163" i="31"/>
  <c r="KZ163" i="31"/>
  <c r="HH163" i="31"/>
  <c r="AK163" i="31"/>
  <c r="IG163" i="31"/>
  <c r="IH163" i="31" s="1"/>
  <c r="IK163" i="31" s="1"/>
  <c r="MK156" i="31" l="1"/>
  <c r="ML156" i="31" s="1"/>
  <c r="MI156" i="31"/>
  <c r="MP156" i="31" s="1"/>
  <c r="LL159" i="31"/>
  <c r="LO159" i="31" s="1"/>
  <c r="LQ159" i="31" s="1"/>
  <c r="LE160" i="31"/>
  <c r="AJ163" i="31"/>
  <c r="LJ161" i="31"/>
  <c r="KZ164" i="31"/>
  <c r="HD164" i="31"/>
  <c r="HI164" i="31"/>
  <c r="AL164" i="31"/>
  <c r="HH164" i="31"/>
  <c r="AK164" i="31"/>
  <c r="IG164" i="31"/>
  <c r="IH164" i="31" s="1"/>
  <c r="IK164" i="31" s="1"/>
  <c r="AI163" i="31"/>
  <c r="LG163" i="31"/>
  <c r="LF163" i="31"/>
  <c r="AM163" i="31"/>
  <c r="AN163" i="31" s="1"/>
  <c r="AO163" i="31" s="1"/>
  <c r="AP163" i="31" s="1"/>
  <c r="LI162" i="31"/>
  <c r="GD162" i="31" s="1"/>
  <c r="GE162" i="31" s="1"/>
  <c r="GF162" i="31" s="1"/>
  <c r="LK162" i="31"/>
  <c r="LH162" i="31"/>
  <c r="MM156" i="31" l="1"/>
  <c r="MN156" i="31" s="1"/>
  <c r="LL160" i="31"/>
  <c r="LO160" i="31" s="1"/>
  <c r="LQ160" i="31" s="1"/>
  <c r="LR159" i="31"/>
  <c r="LX159" i="31" s="1"/>
  <c r="LZ159" i="31" s="1"/>
  <c r="LS159" i="31"/>
  <c r="LY159" i="31" s="1"/>
  <c r="MA159" i="31" s="1"/>
  <c r="LE161" i="31"/>
  <c r="LT159" i="31"/>
  <c r="ME159" i="31" s="1"/>
  <c r="AJ164" i="31"/>
  <c r="AM164" i="31"/>
  <c r="AN164" i="31" s="1"/>
  <c r="AO164" i="31" s="1"/>
  <c r="AP164" i="31" s="1"/>
  <c r="LJ162" i="31"/>
  <c r="LI163" i="31"/>
  <c r="GD163" i="31" s="1"/>
  <c r="GE163" i="31" s="1"/>
  <c r="GF163" i="31" s="1"/>
  <c r="LH163" i="31"/>
  <c r="LK163" i="31"/>
  <c r="AK165" i="31"/>
  <c r="HI165" i="31"/>
  <c r="HH165" i="31"/>
  <c r="HD165" i="31"/>
  <c r="AL165" i="31"/>
  <c r="KZ165" i="31"/>
  <c r="IG165" i="31"/>
  <c r="IH165" i="31" s="1"/>
  <c r="IK165" i="31" s="1"/>
  <c r="AI164" i="31"/>
  <c r="LG164" i="31"/>
  <c r="LF164" i="31"/>
  <c r="MG159" i="31" l="1"/>
  <c r="MK159" i="31" s="1"/>
  <c r="PF159" i="31"/>
  <c r="LL161" i="31"/>
  <c r="LO161" i="31" s="1"/>
  <c r="LQ161" i="31" s="1"/>
  <c r="LS161" i="31" s="1"/>
  <c r="LY161" i="31" s="1"/>
  <c r="MA161" i="31" s="1"/>
  <c r="LE162" i="31"/>
  <c r="LS160" i="31"/>
  <c r="LY160" i="31" s="1"/>
  <c r="MA160" i="31" s="1"/>
  <c r="LT160" i="31"/>
  <c r="ME160" i="31" s="1"/>
  <c r="LR160" i="31"/>
  <c r="LX160" i="31" s="1"/>
  <c r="LZ160" i="31" s="1"/>
  <c r="AJ165" i="31"/>
  <c r="LJ163" i="31"/>
  <c r="LH164" i="31"/>
  <c r="LK164" i="31"/>
  <c r="LI164" i="31"/>
  <c r="GD164" i="31" s="1"/>
  <c r="GE164" i="31" s="1"/>
  <c r="GF164" i="31" s="1"/>
  <c r="AI165" i="31"/>
  <c r="LG165" i="31"/>
  <c r="LF165" i="31"/>
  <c r="AM165" i="31"/>
  <c r="AN165" i="31" s="1"/>
  <c r="AO165" i="31" s="1"/>
  <c r="AP165" i="31" s="1"/>
  <c r="HH166" i="31"/>
  <c r="HD166" i="31"/>
  <c r="HI166" i="31"/>
  <c r="AK166" i="31"/>
  <c r="KZ166" i="31"/>
  <c r="AL166" i="31"/>
  <c r="IG166" i="31"/>
  <c r="IH166" i="31" s="1"/>
  <c r="IK166" i="31" s="1"/>
  <c r="MH159" i="31" l="1"/>
  <c r="MI159" i="31"/>
  <c r="MP159" i="31" s="1"/>
  <c r="MG160" i="31"/>
  <c r="MK160" i="31" s="1"/>
  <c r="PF160" i="31"/>
  <c r="MM159" i="31"/>
  <c r="MN159" i="31" s="1"/>
  <c r="LL162" i="31"/>
  <c r="LO162" i="31" s="1"/>
  <c r="LQ162" i="31" s="1"/>
  <c r="LS162" i="31" s="1"/>
  <c r="LY162" i="31" s="1"/>
  <c r="MA162" i="31" s="1"/>
  <c r="LT161" i="31"/>
  <c r="ME161" i="31" s="1"/>
  <c r="LR161" i="31"/>
  <c r="LX161" i="31" s="1"/>
  <c r="LZ161" i="31" s="1"/>
  <c r="ML159" i="31"/>
  <c r="LE163" i="31"/>
  <c r="AJ166" i="31"/>
  <c r="LJ164" i="31"/>
  <c r="AM166" i="31"/>
  <c r="AN166" i="31" s="1"/>
  <c r="AO166" i="31" s="1"/>
  <c r="AP166" i="31" s="1"/>
  <c r="LF166" i="31"/>
  <c r="LG166" i="31"/>
  <c r="AI166" i="31"/>
  <c r="AL167" i="31"/>
  <c r="AK167" i="31"/>
  <c r="KZ167" i="31"/>
  <c r="HI167" i="31"/>
  <c r="HD167" i="31"/>
  <c r="HH167" i="31"/>
  <c r="IG167" i="31"/>
  <c r="IH167" i="31" s="1"/>
  <c r="IK167" i="31" s="1"/>
  <c r="LH165" i="31"/>
  <c r="LI165" i="31"/>
  <c r="GD165" i="31" s="1"/>
  <c r="GE165" i="31" s="1"/>
  <c r="GF165" i="31" s="1"/>
  <c r="LK165" i="31"/>
  <c r="MI160" i="31" l="1"/>
  <c r="MP160" i="31" s="1"/>
  <c r="MH160" i="31"/>
  <c r="MG161" i="31"/>
  <c r="MK161" i="31" s="1"/>
  <c r="PF161" i="31"/>
  <c r="MM160" i="31"/>
  <c r="MN160" i="31" s="1"/>
  <c r="LL163" i="31"/>
  <c r="LO163" i="31" s="1"/>
  <c r="LQ163" i="31" s="1"/>
  <c r="LE164" i="31"/>
  <c r="ML160" i="31"/>
  <c r="LT162" i="31"/>
  <c r="ME162" i="31" s="1"/>
  <c r="LR162" i="31"/>
  <c r="LX162" i="31" s="1"/>
  <c r="LZ162" i="31" s="1"/>
  <c r="AJ167" i="31"/>
  <c r="AM167" i="31"/>
  <c r="AN167" i="31" s="1"/>
  <c r="AO167" i="31" s="1"/>
  <c r="AP167" i="31" s="1"/>
  <c r="LF167" i="31"/>
  <c r="AI167" i="31"/>
  <c r="LG167" i="31"/>
  <c r="LJ165" i="31"/>
  <c r="KZ168" i="31"/>
  <c r="HD168" i="31"/>
  <c r="HH168" i="31"/>
  <c r="AL168" i="31"/>
  <c r="AK168" i="31"/>
  <c r="HI168" i="31"/>
  <c r="IG168" i="31"/>
  <c r="IH168" i="31" s="1"/>
  <c r="IK168" i="31" s="1"/>
  <c r="LI166" i="31"/>
  <c r="GD166" i="31" s="1"/>
  <c r="GE166" i="31" s="1"/>
  <c r="GF166" i="31" s="1"/>
  <c r="LH166" i="31"/>
  <c r="LK166" i="31"/>
  <c r="MI161" i="31" l="1"/>
  <c r="MP161" i="31" s="1"/>
  <c r="MH161" i="31"/>
  <c r="MG162" i="31"/>
  <c r="MK162" i="31" s="1"/>
  <c r="PF162" i="31"/>
  <c r="MM161" i="31"/>
  <c r="MN161" i="31" s="1"/>
  <c r="LL164" i="31"/>
  <c r="LO164" i="31" s="1"/>
  <c r="LQ164" i="31" s="1"/>
  <c r="LS164" i="31" s="1"/>
  <c r="LY164" i="31" s="1"/>
  <c r="MA164" i="31" s="1"/>
  <c r="LE165" i="31"/>
  <c r="ML161" i="31"/>
  <c r="LS163" i="31"/>
  <c r="LY163" i="31" s="1"/>
  <c r="MA163" i="31" s="1"/>
  <c r="LR163" i="31"/>
  <c r="LX163" i="31" s="1"/>
  <c r="LZ163" i="31" s="1"/>
  <c r="LT163" i="31"/>
  <c r="ME163" i="31" s="1"/>
  <c r="AJ168" i="31"/>
  <c r="AM168" i="31"/>
  <c r="AN168" i="31" s="1"/>
  <c r="AO168" i="31" s="1"/>
  <c r="AP168" i="31" s="1"/>
  <c r="LJ166" i="31"/>
  <c r="AI168" i="31"/>
  <c r="LG168" i="31"/>
  <c r="LF168" i="31"/>
  <c r="AL169" i="31"/>
  <c r="AK169" i="31"/>
  <c r="KZ169" i="31"/>
  <c r="HH169" i="31"/>
  <c r="HI169" i="31"/>
  <c r="HD169" i="31"/>
  <c r="IG169" i="31"/>
  <c r="IH169" i="31" s="1"/>
  <c r="IK169" i="31" s="1"/>
  <c r="LK167" i="31"/>
  <c r="LI167" i="31"/>
  <c r="GD167" i="31" s="1"/>
  <c r="GE167" i="31" s="1"/>
  <c r="GF167" i="31" s="1"/>
  <c r="LH167" i="31"/>
  <c r="MH162" i="31" l="1"/>
  <c r="MI162" i="31"/>
  <c r="MP162" i="31" s="1"/>
  <c r="MG163" i="31"/>
  <c r="MK163" i="31" s="1"/>
  <c r="PF163" i="31"/>
  <c r="MM162" i="31"/>
  <c r="MN162" i="31" s="1"/>
  <c r="LL165" i="31"/>
  <c r="LO165" i="31" s="1"/>
  <c r="LQ165" i="31" s="1"/>
  <c r="LS165" i="31" s="1"/>
  <c r="LY165" i="31" s="1"/>
  <c r="MA165" i="31" s="1"/>
  <c r="ML162" i="31"/>
  <c r="LE166" i="31"/>
  <c r="LR164" i="31"/>
  <c r="LX164" i="31" s="1"/>
  <c r="LZ164" i="31" s="1"/>
  <c r="LT164" i="31"/>
  <c r="ME164" i="31" s="1"/>
  <c r="AJ169" i="31"/>
  <c r="LJ167" i="31"/>
  <c r="AM169" i="31"/>
  <c r="AN169" i="31" s="1"/>
  <c r="AO169" i="31" s="1"/>
  <c r="AP169" i="31" s="1"/>
  <c r="LH168" i="31"/>
  <c r="LK168" i="31"/>
  <c r="LI168" i="31"/>
  <c r="GD168" i="31" s="1"/>
  <c r="GE168" i="31" s="1"/>
  <c r="GF168" i="31" s="1"/>
  <c r="LF169" i="31"/>
  <c r="AI169" i="31"/>
  <c r="LG169" i="31"/>
  <c r="KZ170" i="31"/>
  <c r="HH170" i="31"/>
  <c r="AK170" i="31"/>
  <c r="HI170" i="31"/>
  <c r="HD170" i="31"/>
  <c r="AL170" i="31"/>
  <c r="IG170" i="31"/>
  <c r="IH170" i="31" s="1"/>
  <c r="IK170" i="31" s="1"/>
  <c r="MI163" i="31" l="1"/>
  <c r="MP163" i="31" s="1"/>
  <c r="MH163" i="31"/>
  <c r="MG164" i="31"/>
  <c r="MK164" i="31" s="1"/>
  <c r="PF164" i="31"/>
  <c r="MM163" i="31"/>
  <c r="MN163" i="31" s="1"/>
  <c r="LR165" i="31"/>
  <c r="LX165" i="31" s="1"/>
  <c r="LZ165" i="31" s="1"/>
  <c r="LT165" i="31"/>
  <c r="ME165" i="31" s="1"/>
  <c r="LL166" i="31"/>
  <c r="LO166" i="31" s="1"/>
  <c r="LQ166" i="31" s="1"/>
  <c r="ML163" i="31"/>
  <c r="LE167" i="31"/>
  <c r="AJ170" i="31"/>
  <c r="LJ168" i="31"/>
  <c r="LF170" i="31"/>
  <c r="AI170" i="31"/>
  <c r="LG170" i="31"/>
  <c r="AM170" i="31"/>
  <c r="AN170" i="31" s="1"/>
  <c r="AO170" i="31" s="1"/>
  <c r="AP170" i="31" s="1"/>
  <c r="AL171" i="31"/>
  <c r="AK171" i="31"/>
  <c r="HD171" i="31"/>
  <c r="KZ171" i="31"/>
  <c r="HI171" i="31"/>
  <c r="HH171" i="31"/>
  <c r="AJ171" i="31" s="1"/>
  <c r="IG171" i="31"/>
  <c r="IH171" i="31" s="1"/>
  <c r="IK171" i="31" s="1"/>
  <c r="LI169" i="31"/>
  <c r="GD169" i="31" s="1"/>
  <c r="GE169" i="31" s="1"/>
  <c r="GF169" i="31" s="1"/>
  <c r="LK169" i="31"/>
  <c r="LH169" i="31"/>
  <c r="MI164" i="31" l="1"/>
  <c r="MP164" i="31" s="1"/>
  <c r="MH164" i="31"/>
  <c r="MG165" i="31"/>
  <c r="MH165" i="31" s="1"/>
  <c r="PF165" i="31"/>
  <c r="MM164" i="31"/>
  <c r="MN164" i="31" s="1"/>
  <c r="LL167" i="31"/>
  <c r="LO167" i="31" s="1"/>
  <c r="LQ167" i="31" s="1"/>
  <c r="LT167" i="31" s="1"/>
  <c r="ME167" i="31" s="1"/>
  <c r="LE168" i="31"/>
  <c r="ML164" i="31"/>
  <c r="LR166" i="31"/>
  <c r="LX166" i="31" s="1"/>
  <c r="LZ166" i="31" s="1"/>
  <c r="LT166" i="31"/>
  <c r="ME166" i="31" s="1"/>
  <c r="LS166" i="31"/>
  <c r="LY166" i="31" s="1"/>
  <c r="MA166" i="31" s="1"/>
  <c r="AM171" i="31"/>
  <c r="AN171" i="31" s="1"/>
  <c r="AO171" i="31" s="1"/>
  <c r="AP171" i="31" s="1"/>
  <c r="LJ169" i="31"/>
  <c r="LG171" i="31"/>
  <c r="AI171" i="31"/>
  <c r="LF171" i="31"/>
  <c r="AL172" i="31"/>
  <c r="HI172" i="31"/>
  <c r="HH172" i="31"/>
  <c r="KZ172" i="31"/>
  <c r="HD172" i="31"/>
  <c r="AK172" i="31"/>
  <c r="IG172" i="31"/>
  <c r="IH172" i="31" s="1"/>
  <c r="IK172" i="31" s="1"/>
  <c r="LH170" i="31"/>
  <c r="LK170" i="31"/>
  <c r="LI170" i="31"/>
  <c r="GD170" i="31" s="1"/>
  <c r="GE170" i="31" s="1"/>
  <c r="GF170" i="31" s="1"/>
  <c r="MI165" i="31" l="1"/>
  <c r="MP165" i="31" s="1"/>
  <c r="MK165" i="31"/>
  <c r="MM165" i="31" s="1"/>
  <c r="MN165" i="31" s="1"/>
  <c r="MG166" i="31"/>
  <c r="MK166" i="31" s="1"/>
  <c r="PF166" i="31"/>
  <c r="MG167" i="31"/>
  <c r="MK167" i="31" s="1"/>
  <c r="PF167" i="31"/>
  <c r="LL168" i="31"/>
  <c r="LO168" i="31" s="1"/>
  <c r="LQ168" i="31" s="1"/>
  <c r="LS168" i="31" s="1"/>
  <c r="LY168" i="31" s="1"/>
  <c r="MA168" i="31" s="1"/>
  <c r="LE169" i="31"/>
  <c r="LR167" i="31"/>
  <c r="LX167" i="31" s="1"/>
  <c r="LZ167" i="31" s="1"/>
  <c r="LS167" i="31"/>
  <c r="LY167" i="31" s="1"/>
  <c r="MA167" i="31" s="1"/>
  <c r="AJ172" i="31"/>
  <c r="LI171" i="31"/>
  <c r="GD171" i="31" s="1"/>
  <c r="GE171" i="31" s="1"/>
  <c r="GF171" i="31" s="1"/>
  <c r="LK171" i="31"/>
  <c r="LH171" i="31"/>
  <c r="HI173" i="31"/>
  <c r="AL173" i="31"/>
  <c r="AK173" i="31"/>
  <c r="HD173" i="31"/>
  <c r="HH173" i="31"/>
  <c r="KZ173" i="31"/>
  <c r="IG173" i="31"/>
  <c r="IH173" i="31" s="1"/>
  <c r="IK173" i="31" s="1"/>
  <c r="LJ170" i="31"/>
  <c r="AM172" i="31"/>
  <c r="AN172" i="31" s="1"/>
  <c r="AO172" i="31" s="1"/>
  <c r="AP172" i="31" s="1"/>
  <c r="LG172" i="31"/>
  <c r="AI172" i="31"/>
  <c r="LF172" i="31"/>
  <c r="ML165" i="31" l="1"/>
  <c r="MH167" i="31"/>
  <c r="MH166" i="31"/>
  <c r="MI166" i="31"/>
  <c r="MP166" i="31" s="1"/>
  <c r="MI167" i="31"/>
  <c r="MP167" i="31" s="1"/>
  <c r="MM166" i="31"/>
  <c r="MN166" i="31" s="1"/>
  <c r="MM167" i="31"/>
  <c r="MN167" i="31" s="1"/>
  <c r="LL169" i="31"/>
  <c r="LO169" i="31" s="1"/>
  <c r="ML167" i="31"/>
  <c r="ML166" i="31"/>
  <c r="LE170" i="31"/>
  <c r="LR168" i="31"/>
  <c r="LX168" i="31" s="1"/>
  <c r="LZ168" i="31" s="1"/>
  <c r="LT168" i="31"/>
  <c r="ME168" i="31" s="1"/>
  <c r="AJ173" i="31"/>
  <c r="AM173" i="31"/>
  <c r="AN173" i="31" s="1"/>
  <c r="AO173" i="31" s="1"/>
  <c r="AP173" i="31" s="1"/>
  <c r="LJ171" i="31"/>
  <c r="KZ174" i="31"/>
  <c r="AK174" i="31"/>
  <c r="HD174" i="31"/>
  <c r="HH174" i="31"/>
  <c r="HI174" i="31"/>
  <c r="AL174" i="31"/>
  <c r="IG174" i="31"/>
  <c r="IH174" i="31" s="1"/>
  <c r="IK174" i="31" s="1"/>
  <c r="LI172" i="31"/>
  <c r="GD172" i="31" s="1"/>
  <c r="GE172" i="31" s="1"/>
  <c r="GF172" i="31" s="1"/>
  <c r="LH172" i="31"/>
  <c r="LK172" i="31"/>
  <c r="LF173" i="31"/>
  <c r="LG173" i="31"/>
  <c r="AI173" i="31"/>
  <c r="MG168" i="31" l="1"/>
  <c r="MK168" i="31" s="1"/>
  <c r="PF168" i="31"/>
  <c r="LQ169" i="31"/>
  <c r="LL170" i="31"/>
  <c r="LO170" i="31" s="1"/>
  <c r="LQ170" i="31" s="1"/>
  <c r="LT170" i="31" s="1"/>
  <c r="ME170" i="31" s="1"/>
  <c r="LE171" i="31"/>
  <c r="AJ174" i="31"/>
  <c r="LK173" i="31"/>
  <c r="LI173" i="31"/>
  <c r="GD173" i="31" s="1"/>
  <c r="GE173" i="31" s="1"/>
  <c r="GF173" i="31" s="1"/>
  <c r="LH173" i="31"/>
  <c r="LF174" i="31"/>
  <c r="AI174" i="31"/>
  <c r="LG174" i="31"/>
  <c r="HD175" i="31"/>
  <c r="AL175" i="31"/>
  <c r="AK175" i="31"/>
  <c r="HI175" i="31"/>
  <c r="KZ175" i="31"/>
  <c r="HH175" i="31"/>
  <c r="IG175" i="31"/>
  <c r="IH175" i="31" s="1"/>
  <c r="IK175" i="31" s="1"/>
  <c r="LJ172" i="31"/>
  <c r="AM174" i="31"/>
  <c r="AN174" i="31" s="1"/>
  <c r="AO174" i="31" s="1"/>
  <c r="AP174" i="31" s="1"/>
  <c r="MI168" i="31" l="1"/>
  <c r="MP168" i="31" s="1"/>
  <c r="MH168" i="31"/>
  <c r="MG170" i="31"/>
  <c r="MK170" i="31" s="1"/>
  <c r="ML170" i="31" s="1"/>
  <c r="PF170" i="31"/>
  <c r="MM168" i="31"/>
  <c r="MN168" i="31" s="1"/>
  <c r="LR169" i="31"/>
  <c r="LX169" i="31" s="1"/>
  <c r="LZ169" i="31" s="1"/>
  <c r="LT169" i="31"/>
  <c r="ME169" i="31" s="1"/>
  <c r="LS169" i="31"/>
  <c r="LY169" i="31" s="1"/>
  <c r="MA169" i="31" s="1"/>
  <c r="LL171" i="31"/>
  <c r="LO171" i="31" s="1"/>
  <c r="LQ171" i="31" s="1"/>
  <c r="LS171" i="31" s="1"/>
  <c r="LY171" i="31" s="1"/>
  <c r="MA171" i="31" s="1"/>
  <c r="LS170" i="31"/>
  <c r="LY170" i="31" s="1"/>
  <c r="MA170" i="31" s="1"/>
  <c r="LR170" i="31"/>
  <c r="LX170" i="31" s="1"/>
  <c r="LZ170" i="31" s="1"/>
  <c r="ML168" i="31"/>
  <c r="LE172" i="31"/>
  <c r="AJ175" i="31"/>
  <c r="LJ173" i="31"/>
  <c r="LG175" i="31"/>
  <c r="AI175" i="31"/>
  <c r="LF175" i="31"/>
  <c r="LK174" i="31"/>
  <c r="LI174" i="31"/>
  <c r="GD174" i="31" s="1"/>
  <c r="GE174" i="31" s="1"/>
  <c r="GF174" i="31" s="1"/>
  <c r="LH174" i="31"/>
  <c r="HD176" i="31"/>
  <c r="KZ176" i="31"/>
  <c r="HI176" i="31"/>
  <c r="HH176" i="31"/>
  <c r="AK176" i="31"/>
  <c r="AL176" i="31"/>
  <c r="IG176" i="31"/>
  <c r="IH176" i="31" s="1"/>
  <c r="IK176" i="31" s="1"/>
  <c r="AM175" i="31"/>
  <c r="AN175" i="31" s="1"/>
  <c r="AO175" i="31" s="1"/>
  <c r="AP175" i="31" s="1"/>
  <c r="MH170" i="31" l="1"/>
  <c r="MI170" i="31"/>
  <c r="MP170" i="31" s="1"/>
  <c r="MG169" i="31"/>
  <c r="MH169" i="31" s="1"/>
  <c r="PF169" i="31"/>
  <c r="MM170" i="31"/>
  <c r="MN170" i="31" s="1"/>
  <c r="LL172" i="31"/>
  <c r="LO172" i="31" s="1"/>
  <c r="LQ172" i="31" s="1"/>
  <c r="LS172" i="31" s="1"/>
  <c r="LY172" i="31" s="1"/>
  <c r="MA172" i="31" s="1"/>
  <c r="LE173" i="31"/>
  <c r="LR171" i="31"/>
  <c r="LX171" i="31" s="1"/>
  <c r="LZ171" i="31" s="1"/>
  <c r="LT171" i="31"/>
  <c r="ME171" i="31" s="1"/>
  <c r="PF171" i="31" s="1"/>
  <c r="AJ176" i="31"/>
  <c r="LJ174" i="31"/>
  <c r="LG176" i="31"/>
  <c r="LF176" i="31"/>
  <c r="AI176" i="31"/>
  <c r="AM176" i="31"/>
  <c r="AN176" i="31" s="1"/>
  <c r="AO176" i="31" s="1"/>
  <c r="AP176" i="31" s="1"/>
  <c r="AL177" i="31"/>
  <c r="HD177" i="31"/>
  <c r="AK177" i="31"/>
  <c r="HI177" i="31"/>
  <c r="HH177" i="31"/>
  <c r="KZ177" i="31"/>
  <c r="IG177" i="31"/>
  <c r="IH177" i="31" s="1"/>
  <c r="IK177" i="31" s="1"/>
  <c r="LI175" i="31"/>
  <c r="GD175" i="31" s="1"/>
  <c r="GE175" i="31" s="1"/>
  <c r="GF175" i="31" s="1"/>
  <c r="LK175" i="31"/>
  <c r="LH175" i="31"/>
  <c r="MK169" i="31" l="1"/>
  <c r="MM169" i="31" s="1"/>
  <c r="MN169" i="31" s="1"/>
  <c r="MI169" i="31"/>
  <c r="MP169" i="31" s="1"/>
  <c r="LT172" i="31"/>
  <c r="ME172" i="31" s="1"/>
  <c r="LR172" i="31"/>
  <c r="LX172" i="31" s="1"/>
  <c r="LZ172" i="31" s="1"/>
  <c r="LL173" i="31"/>
  <c r="LO173" i="31" s="1"/>
  <c r="LQ173" i="31" s="1"/>
  <c r="MG171" i="31"/>
  <c r="LE174" i="31"/>
  <c r="AJ177" i="31"/>
  <c r="LJ175" i="31"/>
  <c r="AM177" i="31"/>
  <c r="AN177" i="31" s="1"/>
  <c r="AO177" i="31" s="1"/>
  <c r="AP177" i="31" s="1"/>
  <c r="LG177" i="31"/>
  <c r="AI177" i="31"/>
  <c r="LF177" i="31"/>
  <c r="HD178" i="31"/>
  <c r="HH178" i="31"/>
  <c r="AK178" i="31"/>
  <c r="KZ178" i="31"/>
  <c r="AL178" i="31"/>
  <c r="HI178" i="31"/>
  <c r="IG178" i="31"/>
  <c r="IH178" i="31" s="1"/>
  <c r="IK178" i="31" s="1"/>
  <c r="LK176" i="31"/>
  <c r="LH176" i="31"/>
  <c r="LI176" i="31"/>
  <c r="GD176" i="31" s="1"/>
  <c r="GE176" i="31" s="1"/>
  <c r="GF176" i="31" s="1"/>
  <c r="ML169" i="31" l="1"/>
  <c r="MG172" i="31"/>
  <c r="MK172" i="31" s="1"/>
  <c r="ML172" i="31" s="1"/>
  <c r="PF172" i="31"/>
  <c r="LL174" i="31"/>
  <c r="LO174" i="31" s="1"/>
  <c r="LQ174" i="31" s="1"/>
  <c r="MH171" i="31"/>
  <c r="MK171" i="31"/>
  <c r="MI171" i="31"/>
  <c r="MP171" i="31" s="1"/>
  <c r="LE175" i="31"/>
  <c r="LS173" i="31"/>
  <c r="LY173" i="31" s="1"/>
  <c r="MA173" i="31" s="1"/>
  <c r="LR173" i="31"/>
  <c r="LX173" i="31" s="1"/>
  <c r="LZ173" i="31" s="1"/>
  <c r="LT173" i="31"/>
  <c r="ME173" i="31" s="1"/>
  <c r="AJ178" i="31"/>
  <c r="LJ176" i="31"/>
  <c r="AI178" i="31"/>
  <c r="LG178" i="31"/>
  <c r="LF178" i="31"/>
  <c r="LI177" i="31"/>
  <c r="GD177" i="31" s="1"/>
  <c r="GE177" i="31" s="1"/>
  <c r="GF177" i="31" s="1"/>
  <c r="LH177" i="31"/>
  <c r="LK177" i="31"/>
  <c r="HD179" i="31"/>
  <c r="HH179" i="31"/>
  <c r="AL179" i="31"/>
  <c r="AK179" i="31"/>
  <c r="KZ179" i="31"/>
  <c r="HI179" i="31"/>
  <c r="IG179" i="31"/>
  <c r="IH179" i="31" s="1"/>
  <c r="IK179" i="31" s="1"/>
  <c r="AM178" i="31"/>
  <c r="AN178" i="31" s="1"/>
  <c r="AO178" i="31" s="1"/>
  <c r="AP178" i="31" s="1"/>
  <c r="MI172" i="31" l="1"/>
  <c r="MP172" i="31" s="1"/>
  <c r="MH172" i="31"/>
  <c r="MG173" i="31"/>
  <c r="MK173" i="31" s="1"/>
  <c r="PF173" i="31"/>
  <c r="MM172" i="31"/>
  <c r="MN172" i="31" s="1"/>
  <c r="ML171" i="31"/>
  <c r="MM171" i="31"/>
  <c r="MN171" i="31" s="1"/>
  <c r="LL175" i="31"/>
  <c r="LO175" i="31" s="1"/>
  <c r="LQ175" i="31" s="1"/>
  <c r="LE176" i="31"/>
  <c r="LS174" i="31"/>
  <c r="LY174" i="31" s="1"/>
  <c r="MA174" i="31" s="1"/>
  <c r="LT174" i="31"/>
  <c r="ME174" i="31" s="1"/>
  <c r="LR174" i="31"/>
  <c r="LX174" i="31" s="1"/>
  <c r="LZ174" i="31" s="1"/>
  <c r="AJ179" i="31"/>
  <c r="LJ177" i="31"/>
  <c r="AM179" i="31"/>
  <c r="AN179" i="31" s="1"/>
  <c r="AO179" i="31" s="1"/>
  <c r="AP179" i="31" s="1"/>
  <c r="LH178" i="31"/>
  <c r="LK178" i="31"/>
  <c r="LI178" i="31"/>
  <c r="GD178" i="31" s="1"/>
  <c r="GE178" i="31" s="1"/>
  <c r="GF178" i="31" s="1"/>
  <c r="AI179" i="31"/>
  <c r="LF179" i="31"/>
  <c r="LG179" i="31"/>
  <c r="AL180" i="31"/>
  <c r="KZ180" i="31"/>
  <c r="HH180" i="31"/>
  <c r="AK180" i="31"/>
  <c r="HD180" i="31"/>
  <c r="HI180" i="31"/>
  <c r="IG180" i="31"/>
  <c r="IH180" i="31" s="1"/>
  <c r="IK180" i="31" s="1"/>
  <c r="MI173" i="31" l="1"/>
  <c r="MP173" i="31" s="1"/>
  <c r="MH173" i="31"/>
  <c r="MG174" i="31"/>
  <c r="MK174" i="31" s="1"/>
  <c r="PF174" i="31"/>
  <c r="MM173" i="31"/>
  <c r="MN173" i="31" s="1"/>
  <c r="LL176" i="31"/>
  <c r="LO176" i="31" s="1"/>
  <c r="LQ176" i="31" s="1"/>
  <c r="LE177" i="31"/>
  <c r="ML173" i="31"/>
  <c r="LR175" i="31"/>
  <c r="LX175" i="31" s="1"/>
  <c r="LZ175" i="31" s="1"/>
  <c r="LS175" i="31"/>
  <c r="LY175" i="31" s="1"/>
  <c r="MA175" i="31" s="1"/>
  <c r="LT175" i="31"/>
  <c r="ME175" i="31" s="1"/>
  <c r="AJ180" i="31"/>
  <c r="LJ178" i="31"/>
  <c r="AM180" i="31"/>
  <c r="AN180" i="31" s="1"/>
  <c r="AO180" i="31" s="1"/>
  <c r="AP180" i="31" s="1"/>
  <c r="LK179" i="31"/>
  <c r="LI179" i="31"/>
  <c r="GD179" i="31" s="1"/>
  <c r="GE179" i="31" s="1"/>
  <c r="GF179" i="31" s="1"/>
  <c r="LH179" i="31"/>
  <c r="LG180" i="31"/>
  <c r="AI180" i="31"/>
  <c r="LF180" i="31"/>
  <c r="AK181" i="31"/>
  <c r="HD181" i="31"/>
  <c r="AL181" i="31"/>
  <c r="KZ181" i="31"/>
  <c r="HH181" i="31"/>
  <c r="HI181" i="31"/>
  <c r="IG181" i="31"/>
  <c r="IH181" i="31" s="1"/>
  <c r="IK181" i="31" s="1"/>
  <c r="MH174" i="31" l="1"/>
  <c r="MI174" i="31"/>
  <c r="MP174" i="31" s="1"/>
  <c r="MG175" i="31"/>
  <c r="MK175" i="31" s="1"/>
  <c r="PF175" i="31"/>
  <c r="MM174" i="31"/>
  <c r="MN174" i="31" s="1"/>
  <c r="LL177" i="31"/>
  <c r="LO177" i="31" s="1"/>
  <c r="ML174" i="31"/>
  <c r="LR176" i="31"/>
  <c r="LX176" i="31" s="1"/>
  <c r="LZ176" i="31" s="1"/>
  <c r="LS176" i="31"/>
  <c r="LY176" i="31" s="1"/>
  <c r="MA176" i="31" s="1"/>
  <c r="LE178" i="31"/>
  <c r="LT176" i="31"/>
  <c r="ME176" i="31" s="1"/>
  <c r="AJ181" i="31"/>
  <c r="LJ179" i="31"/>
  <c r="AI181" i="31"/>
  <c r="LF181" i="31"/>
  <c r="LG181" i="31"/>
  <c r="AM181" i="31"/>
  <c r="AN181" i="31" s="1"/>
  <c r="AO181" i="31" s="1"/>
  <c r="AP181" i="31" s="1"/>
  <c r="HD182" i="31"/>
  <c r="KZ182" i="31"/>
  <c r="HI182" i="31"/>
  <c r="HH182" i="31"/>
  <c r="AK182" i="31"/>
  <c r="AL182" i="31"/>
  <c r="IG182" i="31"/>
  <c r="IH182" i="31" s="1"/>
  <c r="IK182" i="31" s="1"/>
  <c r="LI180" i="31"/>
  <c r="GD180" i="31" s="1"/>
  <c r="GE180" i="31" s="1"/>
  <c r="GF180" i="31" s="1"/>
  <c r="LK180" i="31"/>
  <c r="LH180" i="31"/>
  <c r="MI175" i="31" l="1"/>
  <c r="MP175" i="31" s="1"/>
  <c r="MH175" i="31"/>
  <c r="MG176" i="31"/>
  <c r="MK176" i="31" s="1"/>
  <c r="PF176" i="31"/>
  <c r="MM175" i="31"/>
  <c r="MN175" i="31" s="1"/>
  <c r="LQ177" i="31"/>
  <c r="LR177" i="31" s="1"/>
  <c r="LX177" i="31" s="1"/>
  <c r="LZ177" i="31" s="1"/>
  <c r="LL178" i="31"/>
  <c r="LO178" i="31" s="1"/>
  <c r="ML175" i="31"/>
  <c r="LE179" i="31"/>
  <c r="AJ182" i="31"/>
  <c r="LJ180" i="31"/>
  <c r="LI181" i="31"/>
  <c r="GD181" i="31" s="1"/>
  <c r="GE181" i="31" s="1"/>
  <c r="GF181" i="31" s="1"/>
  <c r="LK181" i="31"/>
  <c r="LH181" i="31"/>
  <c r="HI183" i="31"/>
  <c r="AK183" i="31"/>
  <c r="AL183" i="31"/>
  <c r="KZ183" i="31"/>
  <c r="HD183" i="31"/>
  <c r="HH183" i="31"/>
  <c r="IG183" i="31"/>
  <c r="IH183" i="31" s="1"/>
  <c r="IK183" i="31" s="1"/>
  <c r="AM182" i="31"/>
  <c r="AN182" i="31" s="1"/>
  <c r="AO182" i="31" s="1"/>
  <c r="AP182" i="31" s="1"/>
  <c r="LF182" i="31"/>
  <c r="AI182" i="31"/>
  <c r="LG182" i="31"/>
  <c r="MI176" i="31" l="1"/>
  <c r="MP176" i="31" s="1"/>
  <c r="MH176" i="31"/>
  <c r="MM176" i="31"/>
  <c r="MN176" i="31" s="1"/>
  <c r="LS177" i="31"/>
  <c r="LY177" i="31" s="1"/>
  <c r="MA177" i="31" s="1"/>
  <c r="LT177" i="31"/>
  <c r="ME177" i="31" s="1"/>
  <c r="LQ178" i="31"/>
  <c r="LR178" i="31" s="1"/>
  <c r="LX178" i="31" s="1"/>
  <c r="LZ178" i="31" s="1"/>
  <c r="LL179" i="31"/>
  <c r="LO179" i="31" s="1"/>
  <c r="LQ179" i="31" s="1"/>
  <c r="LE180" i="31"/>
  <c r="ML176" i="31"/>
  <c r="AJ183" i="31"/>
  <c r="LJ181" i="31"/>
  <c r="AL184" i="31"/>
  <c r="KZ184" i="31"/>
  <c r="HD184" i="31"/>
  <c r="AK184" i="31"/>
  <c r="HH184" i="31"/>
  <c r="HI184" i="31"/>
  <c r="IG184" i="31"/>
  <c r="IH184" i="31" s="1"/>
  <c r="IK184" i="31" s="1"/>
  <c r="AM183" i="31"/>
  <c r="AN183" i="31" s="1"/>
  <c r="AO183" i="31" s="1"/>
  <c r="AP183" i="31" s="1"/>
  <c r="LK182" i="31"/>
  <c r="LH182" i="31"/>
  <c r="LI182" i="31"/>
  <c r="GD182" i="31" s="1"/>
  <c r="GE182" i="31" s="1"/>
  <c r="GF182" i="31" s="1"/>
  <c r="LG183" i="31"/>
  <c r="AI183" i="31"/>
  <c r="LF183" i="31"/>
  <c r="MG177" i="31" l="1"/>
  <c r="MK177" i="31" s="1"/>
  <c r="ML177" i="31" s="1"/>
  <c r="PF177" i="31"/>
  <c r="LS178" i="31"/>
  <c r="LY178" i="31" s="1"/>
  <c r="MA178" i="31" s="1"/>
  <c r="LT178" i="31"/>
  <c r="ME178" i="31" s="1"/>
  <c r="LL180" i="31"/>
  <c r="LO180" i="31" s="1"/>
  <c r="LQ180" i="31" s="1"/>
  <c r="LS179" i="31"/>
  <c r="LY179" i="31" s="1"/>
  <c r="MA179" i="31" s="1"/>
  <c r="LR179" i="31"/>
  <c r="LX179" i="31" s="1"/>
  <c r="LZ179" i="31" s="1"/>
  <c r="LE181" i="31"/>
  <c r="LT179" i="31"/>
  <c r="ME179" i="31" s="1"/>
  <c r="LJ182" i="31"/>
  <c r="AJ184" i="31"/>
  <c r="AM184" i="31"/>
  <c r="AN184" i="31" s="1"/>
  <c r="AO184" i="31" s="1"/>
  <c r="AP184" i="31" s="1"/>
  <c r="LH183" i="31"/>
  <c r="LK183" i="31"/>
  <c r="LI183" i="31"/>
  <c r="GD183" i="31" s="1"/>
  <c r="GE183" i="31" s="1"/>
  <c r="GF183" i="31" s="1"/>
  <c r="LF184" i="31"/>
  <c r="AI184" i="31"/>
  <c r="LG184" i="31"/>
  <c r="AL185" i="31"/>
  <c r="HI185" i="31"/>
  <c r="KZ185" i="31"/>
  <c r="AK185" i="31"/>
  <c r="HH185" i="31"/>
  <c r="HD185" i="31"/>
  <c r="IG185" i="31"/>
  <c r="IH185" i="31" s="1"/>
  <c r="IK185" i="31" s="1"/>
  <c r="MH177" i="31" l="1"/>
  <c r="MI177" i="31"/>
  <c r="MP177" i="31" s="1"/>
  <c r="MG179" i="31"/>
  <c r="MK179" i="31" s="1"/>
  <c r="PF179" i="31"/>
  <c r="MG178" i="31"/>
  <c r="MK178" i="31" s="1"/>
  <c r="ML178" i="31" s="1"/>
  <c r="PF178" i="31"/>
  <c r="MM177" i="31"/>
  <c r="MN177" i="31" s="1"/>
  <c r="LL181" i="31"/>
  <c r="LO181" i="31" s="1"/>
  <c r="LQ181" i="31" s="1"/>
  <c r="LE182" i="31"/>
  <c r="LT180" i="31"/>
  <c r="ME180" i="31" s="1"/>
  <c r="LR180" i="31"/>
  <c r="LX180" i="31" s="1"/>
  <c r="LZ180" i="31" s="1"/>
  <c r="LS180" i="31"/>
  <c r="LY180" i="31" s="1"/>
  <c r="MA180" i="31" s="1"/>
  <c r="AJ185" i="31"/>
  <c r="AM185" i="31"/>
  <c r="AN185" i="31" s="1"/>
  <c r="AO185" i="31" s="1"/>
  <c r="AP185" i="31" s="1"/>
  <c r="HD186" i="31"/>
  <c r="KZ186" i="31"/>
  <c r="HH186" i="31"/>
  <c r="HI186" i="31"/>
  <c r="AL186" i="31"/>
  <c r="AK186" i="31"/>
  <c r="IG186" i="31"/>
  <c r="IH186" i="31" s="1"/>
  <c r="IK186" i="31" s="1"/>
  <c r="AI185" i="31"/>
  <c r="LG185" i="31"/>
  <c r="LF185" i="31"/>
  <c r="LI184" i="31"/>
  <c r="GD184" i="31" s="1"/>
  <c r="GE184" i="31" s="1"/>
  <c r="GF184" i="31" s="1"/>
  <c r="LK184" i="31"/>
  <c r="LH184" i="31"/>
  <c r="LJ183" i="31"/>
  <c r="MI179" i="31" l="1"/>
  <c r="MP179" i="31" s="1"/>
  <c r="MH179" i="31"/>
  <c r="MH178" i="31"/>
  <c r="MI178" i="31"/>
  <c r="MP178" i="31" s="1"/>
  <c r="MG180" i="31"/>
  <c r="MK180" i="31" s="1"/>
  <c r="PF180" i="31"/>
  <c r="MM179" i="31"/>
  <c r="MN179" i="31" s="1"/>
  <c r="MM178" i="31"/>
  <c r="MN178" i="31" s="1"/>
  <c r="LL182" i="31"/>
  <c r="LO182" i="31" s="1"/>
  <c r="LQ182" i="31" s="1"/>
  <c r="LE183" i="31"/>
  <c r="ML179" i="31"/>
  <c r="LT181" i="31"/>
  <c r="ME181" i="31" s="1"/>
  <c r="LS181" i="31"/>
  <c r="LY181" i="31" s="1"/>
  <c r="MA181" i="31" s="1"/>
  <c r="LR181" i="31"/>
  <c r="LX181" i="31" s="1"/>
  <c r="LZ181" i="31" s="1"/>
  <c r="AJ186" i="31"/>
  <c r="LJ184" i="31"/>
  <c r="AM186" i="31"/>
  <c r="AN186" i="31" s="1"/>
  <c r="AO186" i="31" s="1"/>
  <c r="AP186" i="31" s="1"/>
  <c r="LK185" i="31"/>
  <c r="LH185" i="31"/>
  <c r="LI185" i="31"/>
  <c r="GD185" i="31" s="1"/>
  <c r="GE185" i="31" s="1"/>
  <c r="GF185" i="31" s="1"/>
  <c r="HI187" i="31"/>
  <c r="KZ187" i="31"/>
  <c r="AL187" i="31"/>
  <c r="AK187" i="31"/>
  <c r="HD187" i="31"/>
  <c r="HH187" i="31"/>
  <c r="IG187" i="31"/>
  <c r="IH187" i="31" s="1"/>
  <c r="IK187" i="31" s="1"/>
  <c r="AI186" i="31"/>
  <c r="LF186" i="31"/>
  <c r="LG186" i="31"/>
  <c r="MH180" i="31" l="1"/>
  <c r="MI180" i="31"/>
  <c r="MP180" i="31" s="1"/>
  <c r="MG181" i="31"/>
  <c r="MK181" i="31" s="1"/>
  <c r="PF181" i="31"/>
  <c r="MM180" i="31"/>
  <c r="MN180" i="31" s="1"/>
  <c r="LL183" i="31"/>
  <c r="LO183" i="31" s="1"/>
  <c r="LQ183" i="31" s="1"/>
  <c r="LS183" i="31" s="1"/>
  <c r="LY183" i="31" s="1"/>
  <c r="MA183" i="31" s="1"/>
  <c r="ML180" i="31"/>
  <c r="LE184" i="31"/>
  <c r="LS182" i="31"/>
  <c r="LY182" i="31" s="1"/>
  <c r="MA182" i="31" s="1"/>
  <c r="LR182" i="31"/>
  <c r="LX182" i="31" s="1"/>
  <c r="LZ182" i="31" s="1"/>
  <c r="LT182" i="31"/>
  <c r="ME182" i="31" s="1"/>
  <c r="AJ187" i="31"/>
  <c r="AM187" i="31"/>
  <c r="AN187" i="31" s="1"/>
  <c r="AO187" i="31" s="1"/>
  <c r="AP187" i="31" s="1"/>
  <c r="LJ185" i="31"/>
  <c r="LK186" i="31"/>
  <c r="LH186" i="31"/>
  <c r="LI186" i="31"/>
  <c r="GD186" i="31" s="1"/>
  <c r="GE186" i="31" s="1"/>
  <c r="GF186" i="31" s="1"/>
  <c r="HI188" i="31"/>
  <c r="AL188" i="31"/>
  <c r="HD188" i="31"/>
  <c r="HH188" i="31"/>
  <c r="KZ188" i="31"/>
  <c r="AK188" i="31"/>
  <c r="IG188" i="31"/>
  <c r="IH188" i="31" s="1"/>
  <c r="IK188" i="31" s="1"/>
  <c r="AI187" i="31"/>
  <c r="LF187" i="31"/>
  <c r="LG187" i="31"/>
  <c r="MH181" i="31" l="1"/>
  <c r="MI181" i="31"/>
  <c r="MP181" i="31" s="1"/>
  <c r="MG182" i="31"/>
  <c r="MK182" i="31" s="1"/>
  <c r="PF182" i="31"/>
  <c r="MM181" i="31"/>
  <c r="MN181" i="31" s="1"/>
  <c r="LT183" i="31"/>
  <c r="ME183" i="31" s="1"/>
  <c r="LR183" i="31"/>
  <c r="LX183" i="31" s="1"/>
  <c r="LZ183" i="31" s="1"/>
  <c r="LL184" i="31"/>
  <c r="LO184" i="31" s="1"/>
  <c r="LQ184" i="31" s="1"/>
  <c r="LS184" i="31" s="1"/>
  <c r="LY184" i="31" s="1"/>
  <c r="MA184" i="31" s="1"/>
  <c r="ML181" i="31"/>
  <c r="LE185" i="31"/>
  <c r="AJ188" i="31"/>
  <c r="LJ186" i="31"/>
  <c r="AM188" i="31"/>
  <c r="AN188" i="31" s="1"/>
  <c r="AO188" i="31" s="1"/>
  <c r="AP188" i="31" s="1"/>
  <c r="HD189" i="31"/>
  <c r="HI189" i="31"/>
  <c r="HH189" i="31"/>
  <c r="KZ189" i="31"/>
  <c r="AL189" i="31"/>
  <c r="AK189" i="31"/>
  <c r="IG189" i="31"/>
  <c r="IH189" i="31" s="1"/>
  <c r="IK189" i="31" s="1"/>
  <c r="LI187" i="31"/>
  <c r="GD187" i="31" s="1"/>
  <c r="GE187" i="31" s="1"/>
  <c r="GF187" i="31" s="1"/>
  <c r="LK187" i="31"/>
  <c r="LH187" i="31"/>
  <c r="AI188" i="31"/>
  <c r="LF188" i="31"/>
  <c r="LG188" i="31"/>
  <c r="MH182" i="31" l="1"/>
  <c r="MI182" i="31"/>
  <c r="MP182" i="31" s="1"/>
  <c r="MG183" i="31"/>
  <c r="MI183" i="31" s="1"/>
  <c r="MP183" i="31" s="1"/>
  <c r="PF183" i="31"/>
  <c r="MM182" i="31"/>
  <c r="MN182" i="31" s="1"/>
  <c r="LL185" i="31"/>
  <c r="LO185" i="31" s="1"/>
  <c r="LQ185" i="31" s="1"/>
  <c r="ML182" i="31"/>
  <c r="LE186" i="31"/>
  <c r="LR184" i="31"/>
  <c r="LX184" i="31" s="1"/>
  <c r="LZ184" i="31" s="1"/>
  <c r="LT184" i="31"/>
  <c r="ME184" i="31" s="1"/>
  <c r="AJ189" i="31"/>
  <c r="LJ187" i="31"/>
  <c r="AM189" i="31"/>
  <c r="AN189" i="31" s="1"/>
  <c r="AO189" i="31" s="1"/>
  <c r="AP189" i="31" s="1"/>
  <c r="HI190" i="31"/>
  <c r="HD190" i="31"/>
  <c r="KZ190" i="31"/>
  <c r="AL190" i="31"/>
  <c r="AK190" i="31"/>
  <c r="HH190" i="31"/>
  <c r="IG190" i="31"/>
  <c r="IH190" i="31" s="1"/>
  <c r="IK190" i="31" s="1"/>
  <c r="AI189" i="31"/>
  <c r="LF189" i="31"/>
  <c r="LG189" i="31"/>
  <c r="LH188" i="31"/>
  <c r="LK188" i="31"/>
  <c r="LI188" i="31"/>
  <c r="GD188" i="31" s="1"/>
  <c r="GE188" i="31" s="1"/>
  <c r="GF188" i="31" s="1"/>
  <c r="MH183" i="31" l="1"/>
  <c r="MK183" i="31"/>
  <c r="MM183" i="31" s="1"/>
  <c r="MN183" i="31" s="1"/>
  <c r="MG184" i="31"/>
  <c r="MK184" i="31" s="1"/>
  <c r="PF184" i="31"/>
  <c r="LL186" i="31"/>
  <c r="LO186" i="31" s="1"/>
  <c r="LQ186" i="31" s="1"/>
  <c r="LE187" i="31"/>
  <c r="LS185" i="31"/>
  <c r="LY185" i="31" s="1"/>
  <c r="MA185" i="31" s="1"/>
  <c r="LR185" i="31"/>
  <c r="LX185" i="31" s="1"/>
  <c r="LZ185" i="31" s="1"/>
  <c r="LT185" i="31"/>
  <c r="ME185" i="31" s="1"/>
  <c r="AJ190" i="31"/>
  <c r="LJ188" i="31"/>
  <c r="LF190" i="31"/>
  <c r="LG190" i="31"/>
  <c r="AI190" i="31"/>
  <c r="HD191" i="31"/>
  <c r="HI191" i="31"/>
  <c r="AK191" i="31"/>
  <c r="HH191" i="31"/>
  <c r="AL191" i="31"/>
  <c r="KZ191" i="31"/>
  <c r="IG191" i="31"/>
  <c r="IH191" i="31" s="1"/>
  <c r="IK191" i="31" s="1"/>
  <c r="LH189" i="31"/>
  <c r="LK189" i="31"/>
  <c r="LI189" i="31"/>
  <c r="GD189" i="31" s="1"/>
  <c r="GE189" i="31" s="1"/>
  <c r="GF189" i="31" s="1"/>
  <c r="AM190" i="31"/>
  <c r="AN190" i="31" s="1"/>
  <c r="AO190" i="31" s="1"/>
  <c r="AP190" i="31" s="1"/>
  <c r="MH184" i="31" l="1"/>
  <c r="ML183" i="31"/>
  <c r="MI184" i="31"/>
  <c r="MP184" i="31" s="1"/>
  <c r="MG185" i="31"/>
  <c r="MK185" i="31" s="1"/>
  <c r="PF185" i="31"/>
  <c r="MM184" i="31"/>
  <c r="MN184" i="31" s="1"/>
  <c r="LL187" i="31"/>
  <c r="LO187" i="31" s="1"/>
  <c r="LQ187" i="31" s="1"/>
  <c r="LE188" i="31"/>
  <c r="LR186" i="31"/>
  <c r="LX186" i="31" s="1"/>
  <c r="LZ186" i="31" s="1"/>
  <c r="LS186" i="31"/>
  <c r="LY186" i="31" s="1"/>
  <c r="MA186" i="31" s="1"/>
  <c r="ML184" i="31"/>
  <c r="LT186" i="31"/>
  <c r="ME186" i="31" s="1"/>
  <c r="AJ191" i="31"/>
  <c r="AM191" i="31"/>
  <c r="AN191" i="31" s="1"/>
  <c r="AO191" i="31" s="1"/>
  <c r="AP191" i="31" s="1"/>
  <c r="HD192" i="31"/>
  <c r="KZ192" i="31"/>
  <c r="HI192" i="31"/>
  <c r="AL192" i="31"/>
  <c r="AK192" i="31"/>
  <c r="HH192" i="31"/>
  <c r="IG192" i="31"/>
  <c r="IH192" i="31" s="1"/>
  <c r="IK192" i="31" s="1"/>
  <c r="LJ189" i="31"/>
  <c r="LF191" i="31"/>
  <c r="AI191" i="31"/>
  <c r="LG191" i="31"/>
  <c r="LI190" i="31"/>
  <c r="GD190" i="31" s="1"/>
  <c r="GE190" i="31" s="1"/>
  <c r="GF190" i="31" s="1"/>
  <c r="LH190" i="31"/>
  <c r="LK190" i="31"/>
  <c r="MI185" i="31" l="1"/>
  <c r="MP185" i="31" s="1"/>
  <c r="MH185" i="31"/>
  <c r="MG186" i="31"/>
  <c r="MK186" i="31" s="1"/>
  <c r="PF186" i="31"/>
  <c r="MM185" i="31"/>
  <c r="MN185" i="31" s="1"/>
  <c r="LL188" i="31"/>
  <c r="LO188" i="31" s="1"/>
  <c r="LQ188" i="31" s="1"/>
  <c r="ML185" i="31"/>
  <c r="LE189" i="31"/>
  <c r="LR187" i="31"/>
  <c r="LX187" i="31" s="1"/>
  <c r="LZ187" i="31" s="1"/>
  <c r="LT187" i="31"/>
  <c r="ME187" i="31" s="1"/>
  <c r="LS187" i="31"/>
  <c r="LY187" i="31" s="1"/>
  <c r="MA187" i="31" s="1"/>
  <c r="AJ192" i="31"/>
  <c r="AM192" i="31"/>
  <c r="AN192" i="31" s="1"/>
  <c r="AO192" i="31" s="1"/>
  <c r="AP192" i="31" s="1"/>
  <c r="LJ190" i="31"/>
  <c r="LK191" i="31"/>
  <c r="LH191" i="31"/>
  <c r="LI191" i="31"/>
  <c r="GD191" i="31" s="1"/>
  <c r="GE191" i="31" s="1"/>
  <c r="GF191" i="31" s="1"/>
  <c r="HI193" i="31"/>
  <c r="HD193" i="31"/>
  <c r="KZ193" i="31"/>
  <c r="AK193" i="31"/>
  <c r="HH193" i="31"/>
  <c r="AL193" i="31"/>
  <c r="IG193" i="31"/>
  <c r="IH193" i="31" s="1"/>
  <c r="IK193" i="31" s="1"/>
  <c r="LF192" i="31"/>
  <c r="AI192" i="31"/>
  <c r="LG192" i="31"/>
  <c r="MH186" i="31" l="1"/>
  <c r="MI186" i="31"/>
  <c r="MP186" i="31" s="1"/>
  <c r="MG187" i="31"/>
  <c r="MK187" i="31" s="1"/>
  <c r="PF187" i="31"/>
  <c r="MM186" i="31"/>
  <c r="MN186" i="31" s="1"/>
  <c r="LL189" i="31"/>
  <c r="LO189" i="31" s="1"/>
  <c r="LQ189" i="31" s="1"/>
  <c r="LR189" i="31" s="1"/>
  <c r="LX189" i="31" s="1"/>
  <c r="LZ189" i="31" s="1"/>
  <c r="ML186" i="31"/>
  <c r="LS188" i="31"/>
  <c r="LY188" i="31" s="1"/>
  <c r="MA188" i="31" s="1"/>
  <c r="LR188" i="31"/>
  <c r="LX188" i="31" s="1"/>
  <c r="LZ188" i="31" s="1"/>
  <c r="LE190" i="31"/>
  <c r="LT188" i="31"/>
  <c r="ME188" i="31" s="1"/>
  <c r="AJ193" i="31"/>
  <c r="LJ191" i="31"/>
  <c r="LH192" i="31"/>
  <c r="LI192" i="31"/>
  <c r="GD192" i="31" s="1"/>
  <c r="GE192" i="31" s="1"/>
  <c r="GF192" i="31" s="1"/>
  <c r="LK192" i="31"/>
  <c r="LF193" i="31"/>
  <c r="LG193" i="31"/>
  <c r="AI193" i="31"/>
  <c r="AL194" i="31"/>
  <c r="HD194" i="31"/>
  <c r="KZ194" i="31"/>
  <c r="AK194" i="31"/>
  <c r="HH194" i="31"/>
  <c r="HI194" i="31"/>
  <c r="IG194" i="31"/>
  <c r="IH194" i="31" s="1"/>
  <c r="IK194" i="31" s="1"/>
  <c r="AM193" i="31"/>
  <c r="AN193" i="31" s="1"/>
  <c r="AO193" i="31" s="1"/>
  <c r="AP193" i="31" s="1"/>
  <c r="MH187" i="31" l="1"/>
  <c r="MI187" i="31"/>
  <c r="MP187" i="31" s="1"/>
  <c r="MG188" i="31"/>
  <c r="MK188" i="31" s="1"/>
  <c r="PF188" i="31"/>
  <c r="MM187" i="31"/>
  <c r="MN187" i="31" s="1"/>
  <c r="LS189" i="31"/>
  <c r="LY189" i="31" s="1"/>
  <c r="MA189" i="31" s="1"/>
  <c r="LT189" i="31"/>
  <c r="ME189" i="31" s="1"/>
  <c r="LL190" i="31"/>
  <c r="LO190" i="31" s="1"/>
  <c r="LQ190" i="31" s="1"/>
  <c r="LR190" i="31" s="1"/>
  <c r="LX190" i="31" s="1"/>
  <c r="LZ190" i="31" s="1"/>
  <c r="LE191" i="31"/>
  <c r="ML187" i="31"/>
  <c r="AJ194" i="31"/>
  <c r="AM194" i="31"/>
  <c r="AN194" i="31" s="1"/>
  <c r="AO194" i="31" s="1"/>
  <c r="AP194" i="31" s="1"/>
  <c r="LJ192" i="31"/>
  <c r="LI193" i="31"/>
  <c r="GD193" i="31" s="1"/>
  <c r="GE193" i="31" s="1"/>
  <c r="GF193" i="31" s="1"/>
  <c r="LH193" i="31"/>
  <c r="LK193" i="31"/>
  <c r="HI195" i="31"/>
  <c r="KZ195" i="31"/>
  <c r="HD195" i="31"/>
  <c r="AK195" i="31"/>
  <c r="HH195" i="31"/>
  <c r="AL195" i="31"/>
  <c r="IG195" i="31"/>
  <c r="IH195" i="31" s="1"/>
  <c r="IK195" i="31" s="1"/>
  <c r="LG194" i="31"/>
  <c r="AI194" i="31"/>
  <c r="LF194" i="31"/>
  <c r="MI188" i="31" l="1"/>
  <c r="MP188" i="31" s="1"/>
  <c r="MH188" i="31"/>
  <c r="MG189" i="31"/>
  <c r="MI189" i="31" s="1"/>
  <c r="MP189" i="31" s="1"/>
  <c r="PF189" i="31"/>
  <c r="MM188" i="31"/>
  <c r="MN188" i="31" s="1"/>
  <c r="LL191" i="31"/>
  <c r="LO191" i="31" s="1"/>
  <c r="LQ191" i="31" s="1"/>
  <c r="ML188" i="31"/>
  <c r="LT190" i="31"/>
  <c r="ME190" i="31" s="1"/>
  <c r="PF190" i="31" s="1"/>
  <c r="LS190" i="31"/>
  <c r="LY190" i="31" s="1"/>
  <c r="MA190" i="31" s="1"/>
  <c r="LE192" i="31"/>
  <c r="AJ195" i="31"/>
  <c r="LJ193" i="31"/>
  <c r="LI194" i="31"/>
  <c r="GD194" i="31" s="1"/>
  <c r="GE194" i="31" s="1"/>
  <c r="GF194" i="31" s="1"/>
  <c r="LK194" i="31"/>
  <c r="LH194" i="31"/>
  <c r="AM195" i="31"/>
  <c r="AN195" i="31" s="1"/>
  <c r="AO195" i="31" s="1"/>
  <c r="AP195" i="31" s="1"/>
  <c r="AI195" i="31"/>
  <c r="LF195" i="31"/>
  <c r="LG195" i="31"/>
  <c r="HI196" i="31"/>
  <c r="AK196" i="31"/>
  <c r="HD196" i="31"/>
  <c r="KZ196" i="31"/>
  <c r="HH196" i="31"/>
  <c r="AL196" i="31"/>
  <c r="IG196" i="31"/>
  <c r="IH196" i="31" s="1"/>
  <c r="IK196" i="31" s="1"/>
  <c r="MH189" i="31" l="1"/>
  <c r="MK189" i="31"/>
  <c r="MM189" i="31" s="1"/>
  <c r="MN189" i="31" s="1"/>
  <c r="LL192" i="31"/>
  <c r="LO192" i="31" s="1"/>
  <c r="LQ192" i="31" s="1"/>
  <c r="MG190" i="31"/>
  <c r="MK190" i="31" s="1"/>
  <c r="LT191" i="31"/>
  <c r="ME191" i="31" s="1"/>
  <c r="LS191" i="31"/>
  <c r="LY191" i="31" s="1"/>
  <c r="MA191" i="31" s="1"/>
  <c r="LR191" i="31"/>
  <c r="LX191" i="31" s="1"/>
  <c r="LZ191" i="31" s="1"/>
  <c r="LE193" i="31"/>
  <c r="AJ196" i="31"/>
  <c r="LJ194" i="31"/>
  <c r="HH197" i="31"/>
  <c r="AL197" i="31"/>
  <c r="HD197" i="31"/>
  <c r="HI197" i="31"/>
  <c r="AK197" i="31"/>
  <c r="KZ197" i="31"/>
  <c r="IG197" i="31"/>
  <c r="IH197" i="31" s="1"/>
  <c r="IK197" i="31" s="1"/>
  <c r="LG196" i="31"/>
  <c r="AI196" i="31"/>
  <c r="LF196" i="31"/>
  <c r="LK195" i="31"/>
  <c r="LH195" i="31"/>
  <c r="LI195" i="31"/>
  <c r="GD195" i="31" s="1"/>
  <c r="GE195" i="31" s="1"/>
  <c r="GF195" i="31" s="1"/>
  <c r="AM196" i="31"/>
  <c r="AN196" i="31" s="1"/>
  <c r="AO196" i="31" s="1"/>
  <c r="AP196" i="31" s="1"/>
  <c r="ML189" i="31" l="1"/>
  <c r="MG191" i="31"/>
  <c r="MK191" i="31" s="1"/>
  <c r="PF191" i="31"/>
  <c r="LL193" i="31"/>
  <c r="LO193" i="31" s="1"/>
  <c r="LQ193" i="31" s="1"/>
  <c r="LR193" i="31" s="1"/>
  <c r="LX193" i="31" s="1"/>
  <c r="LZ193" i="31" s="1"/>
  <c r="MI190" i="31"/>
  <c r="MP190" i="31" s="1"/>
  <c r="MH190" i="31"/>
  <c r="LE194" i="31"/>
  <c r="ML190" i="31"/>
  <c r="LR192" i="31"/>
  <c r="LX192" i="31" s="1"/>
  <c r="LZ192" i="31" s="1"/>
  <c r="LS192" i="31"/>
  <c r="LY192" i="31" s="1"/>
  <c r="MA192" i="31" s="1"/>
  <c r="LT192" i="31"/>
  <c r="ME192" i="31" s="1"/>
  <c r="LJ195" i="31"/>
  <c r="AJ197" i="31"/>
  <c r="LG197" i="31"/>
  <c r="LF197" i="31"/>
  <c r="AI197" i="31"/>
  <c r="LI196" i="31"/>
  <c r="GD196" i="31" s="1"/>
  <c r="GE196" i="31" s="1"/>
  <c r="GF196" i="31" s="1"/>
  <c r="LK196" i="31"/>
  <c r="LH196" i="31"/>
  <c r="KZ198" i="31"/>
  <c r="AK198" i="31"/>
  <c r="HI198" i="31"/>
  <c r="HD198" i="31"/>
  <c r="AL198" i="31"/>
  <c r="HH198" i="31"/>
  <c r="IG198" i="31"/>
  <c r="IH198" i="31" s="1"/>
  <c r="IK198" i="31" s="1"/>
  <c r="AM197" i="31"/>
  <c r="AN197" i="31" s="1"/>
  <c r="AO197" i="31" s="1"/>
  <c r="AP197" i="31" s="1"/>
  <c r="MI191" i="31" l="1"/>
  <c r="MP191" i="31" s="1"/>
  <c r="MH191" i="31"/>
  <c r="MG192" i="31"/>
  <c r="MK192" i="31" s="1"/>
  <c r="PF192" i="31"/>
  <c r="MM190" i="31"/>
  <c r="MN190" i="31" s="1"/>
  <c r="MM191" i="31"/>
  <c r="MN191" i="31" s="1"/>
  <c r="LL194" i="31"/>
  <c r="LO194" i="31" s="1"/>
  <c r="LQ194" i="31" s="1"/>
  <c r="LE195" i="31"/>
  <c r="ML191" i="31"/>
  <c r="LS193" i="31"/>
  <c r="LY193" i="31" s="1"/>
  <c r="MA193" i="31" s="1"/>
  <c r="LT193" i="31"/>
  <c r="ME193" i="31" s="1"/>
  <c r="AJ198" i="31"/>
  <c r="LJ196" i="31"/>
  <c r="HD199" i="31"/>
  <c r="HH199" i="31"/>
  <c r="AK199" i="31"/>
  <c r="HI199" i="31"/>
  <c r="AL199" i="31"/>
  <c r="KZ199" i="31"/>
  <c r="IG199" i="31"/>
  <c r="IH199" i="31" s="1"/>
  <c r="IK199" i="31" s="1"/>
  <c r="AI198" i="31"/>
  <c r="LF198" i="31"/>
  <c r="LG198" i="31"/>
  <c r="LK197" i="31"/>
  <c r="LI197" i="31"/>
  <c r="GD197" i="31" s="1"/>
  <c r="GE197" i="31" s="1"/>
  <c r="GF197" i="31" s="1"/>
  <c r="LH197" i="31"/>
  <c r="AM198" i="31"/>
  <c r="AN198" i="31" s="1"/>
  <c r="AO198" i="31" s="1"/>
  <c r="AP198" i="31" s="1"/>
  <c r="MI192" i="31" l="1"/>
  <c r="MP192" i="31" s="1"/>
  <c r="MH192" i="31"/>
  <c r="MG193" i="31"/>
  <c r="MK193" i="31" s="1"/>
  <c r="PF193" i="31"/>
  <c r="MM192" i="31"/>
  <c r="MN192" i="31" s="1"/>
  <c r="LL195" i="31"/>
  <c r="LO195" i="31" s="1"/>
  <c r="LQ195" i="31" s="1"/>
  <c r="LR194" i="31"/>
  <c r="LX194" i="31" s="1"/>
  <c r="LZ194" i="31" s="1"/>
  <c r="LS194" i="31"/>
  <c r="LY194" i="31" s="1"/>
  <c r="MA194" i="31" s="1"/>
  <c r="LT194" i="31"/>
  <c r="ME194" i="31" s="1"/>
  <c r="ML192" i="31"/>
  <c r="LE196" i="31"/>
  <c r="LJ197" i="31"/>
  <c r="AJ199" i="31"/>
  <c r="AM199" i="31"/>
  <c r="AN199" i="31" s="1"/>
  <c r="AO199" i="31" s="1"/>
  <c r="AP199" i="31" s="1"/>
  <c r="LI198" i="31"/>
  <c r="GD198" i="31" s="1"/>
  <c r="GE198" i="31" s="1"/>
  <c r="GF198" i="31" s="1"/>
  <c r="LK198" i="31"/>
  <c r="LH198" i="31"/>
  <c r="HI200" i="31"/>
  <c r="AL200" i="31"/>
  <c r="HD200" i="31"/>
  <c r="HH200" i="31"/>
  <c r="KZ200" i="31"/>
  <c r="AK200" i="31"/>
  <c r="IG200" i="31"/>
  <c r="IH200" i="31" s="1"/>
  <c r="IK200" i="31" s="1"/>
  <c r="LF199" i="31"/>
  <c r="LG199" i="31"/>
  <c r="AI199" i="31"/>
  <c r="MI193" i="31" l="1"/>
  <c r="MP193" i="31" s="1"/>
  <c r="MH193" i="31"/>
  <c r="MG194" i="31"/>
  <c r="MK194" i="31" s="1"/>
  <c r="PF194" i="31"/>
  <c r="MM193" i="31"/>
  <c r="MN193" i="31" s="1"/>
  <c r="LL196" i="31"/>
  <c r="LO196" i="31" s="1"/>
  <c r="LQ196" i="31" s="1"/>
  <c r="LE197" i="31"/>
  <c r="LR195" i="31"/>
  <c r="LX195" i="31" s="1"/>
  <c r="LZ195" i="31" s="1"/>
  <c r="LT195" i="31"/>
  <c r="ME195" i="31" s="1"/>
  <c r="ML193" i="31"/>
  <c r="LS195" i="31"/>
  <c r="LY195" i="31" s="1"/>
  <c r="MA195" i="31" s="1"/>
  <c r="AJ200" i="31"/>
  <c r="LJ198" i="31"/>
  <c r="LF200" i="31"/>
  <c r="LG200" i="31"/>
  <c r="AI200" i="31"/>
  <c r="LH199" i="31"/>
  <c r="LI199" i="31"/>
  <c r="GD199" i="31" s="1"/>
  <c r="GE199" i="31" s="1"/>
  <c r="GF199" i="31" s="1"/>
  <c r="LK199" i="31"/>
  <c r="AM200" i="31"/>
  <c r="AN200" i="31" s="1"/>
  <c r="AO200" i="31" s="1"/>
  <c r="AP200" i="31" s="1"/>
  <c r="AL201" i="31"/>
  <c r="HD201" i="31"/>
  <c r="HI201" i="31"/>
  <c r="AK201" i="31"/>
  <c r="KZ201" i="31"/>
  <c r="HH201" i="31"/>
  <c r="IG201" i="31"/>
  <c r="IH201" i="31" s="1"/>
  <c r="IK201" i="31" s="1"/>
  <c r="MH194" i="31" l="1"/>
  <c r="MI194" i="31"/>
  <c r="MP194" i="31" s="1"/>
  <c r="MG195" i="31"/>
  <c r="MK195" i="31" s="1"/>
  <c r="PF195" i="31"/>
  <c r="MM194" i="31"/>
  <c r="MN194" i="31" s="1"/>
  <c r="LL197" i="31"/>
  <c r="LO197" i="31" s="1"/>
  <c r="LQ197" i="31" s="1"/>
  <c r="LT197" i="31" s="1"/>
  <c r="ME197" i="31" s="1"/>
  <c r="LT196" i="31"/>
  <c r="ME196" i="31" s="1"/>
  <c r="LR196" i="31"/>
  <c r="LX196" i="31" s="1"/>
  <c r="LZ196" i="31" s="1"/>
  <c r="LS196" i="31"/>
  <c r="LY196" i="31" s="1"/>
  <c r="MA196" i="31" s="1"/>
  <c r="LE198" i="31"/>
  <c r="ML194" i="31"/>
  <c r="AJ201" i="31"/>
  <c r="HI202" i="31"/>
  <c r="AL202" i="31"/>
  <c r="HH202" i="31"/>
  <c r="KZ202" i="31"/>
  <c r="HD202" i="31"/>
  <c r="AK202" i="31"/>
  <c r="IG202" i="31"/>
  <c r="IH202" i="31" s="1"/>
  <c r="IK202" i="31" s="1"/>
  <c r="LJ199" i="31"/>
  <c r="AM201" i="31"/>
  <c r="AN201" i="31" s="1"/>
  <c r="AO201" i="31" s="1"/>
  <c r="AP201" i="31" s="1"/>
  <c r="AI201" i="31"/>
  <c r="LG201" i="31"/>
  <c r="LF201" i="31"/>
  <c r="LI200" i="31"/>
  <c r="GD200" i="31" s="1"/>
  <c r="GE200" i="31" s="1"/>
  <c r="GF200" i="31" s="1"/>
  <c r="LK200" i="31"/>
  <c r="LH200" i="31"/>
  <c r="MI195" i="31" l="1"/>
  <c r="MP195" i="31" s="1"/>
  <c r="MH195" i="31"/>
  <c r="MG197" i="31"/>
  <c r="MK197" i="31" s="1"/>
  <c r="PF197" i="31"/>
  <c r="MG196" i="31"/>
  <c r="MK196" i="31" s="1"/>
  <c r="PF196" i="31"/>
  <c r="MM195" i="31"/>
  <c r="MN195" i="31" s="1"/>
  <c r="LL198" i="31"/>
  <c r="LO198" i="31" s="1"/>
  <c r="LQ198" i="31" s="1"/>
  <c r="LT198" i="31" s="1"/>
  <c r="ME198" i="31" s="1"/>
  <c r="LE199" i="31"/>
  <c r="LR197" i="31"/>
  <c r="LX197" i="31" s="1"/>
  <c r="LZ197" i="31" s="1"/>
  <c r="LS197" i="31"/>
  <c r="LY197" i="31" s="1"/>
  <c r="MA197" i="31" s="1"/>
  <c r="ML195" i="31"/>
  <c r="AJ202" i="31"/>
  <c r="AM202" i="31"/>
  <c r="AN202" i="31" s="1"/>
  <c r="AO202" i="31" s="1"/>
  <c r="AP202" i="31" s="1"/>
  <c r="LJ200" i="31"/>
  <c r="AK203" i="31"/>
  <c r="AL203" i="31"/>
  <c r="KZ203" i="31"/>
  <c r="HI203" i="31"/>
  <c r="HD203" i="31"/>
  <c r="HH203" i="31"/>
  <c r="IG203" i="31"/>
  <c r="IH203" i="31" s="1"/>
  <c r="IK203" i="31" s="1"/>
  <c r="AI202" i="31"/>
  <c r="LF202" i="31"/>
  <c r="LG202" i="31"/>
  <c r="LH201" i="31"/>
  <c r="LK201" i="31"/>
  <c r="LI201" i="31"/>
  <c r="GD201" i="31" s="1"/>
  <c r="GE201" i="31" s="1"/>
  <c r="GF201" i="31" s="1"/>
  <c r="MI197" i="31" l="1"/>
  <c r="MP197" i="31" s="1"/>
  <c r="MH197" i="31"/>
  <c r="MI196" i="31"/>
  <c r="MP196" i="31" s="1"/>
  <c r="MH196" i="31"/>
  <c r="MG198" i="31"/>
  <c r="MK198" i="31" s="1"/>
  <c r="PF198" i="31"/>
  <c r="MM197" i="31"/>
  <c r="MN197" i="31" s="1"/>
  <c r="MM196" i="31"/>
  <c r="MN196" i="31" s="1"/>
  <c r="LL199" i="31"/>
  <c r="LO199" i="31" s="1"/>
  <c r="ML196" i="31"/>
  <c r="ML197" i="31"/>
  <c r="LE200" i="31"/>
  <c r="LR198" i="31"/>
  <c r="LX198" i="31" s="1"/>
  <c r="LZ198" i="31" s="1"/>
  <c r="LS198" i="31"/>
  <c r="LY198" i="31" s="1"/>
  <c r="MA198" i="31" s="1"/>
  <c r="AJ203" i="31"/>
  <c r="HH204" i="31"/>
  <c r="KZ204" i="31"/>
  <c r="AL204" i="31"/>
  <c r="HD204" i="31"/>
  <c r="AK204" i="31"/>
  <c r="HI204" i="31"/>
  <c r="IG204" i="31"/>
  <c r="IH204" i="31" s="1"/>
  <c r="IK204" i="31" s="1"/>
  <c r="LJ201" i="31"/>
  <c r="LK202" i="31"/>
  <c r="LH202" i="31"/>
  <c r="LI202" i="31"/>
  <c r="GD202" i="31" s="1"/>
  <c r="GE202" i="31" s="1"/>
  <c r="GF202" i="31" s="1"/>
  <c r="AM203" i="31"/>
  <c r="AN203" i="31" s="1"/>
  <c r="AO203" i="31" s="1"/>
  <c r="AP203" i="31" s="1"/>
  <c r="AI203" i="31"/>
  <c r="LF203" i="31"/>
  <c r="LG203" i="31"/>
  <c r="MH198" i="31" l="1"/>
  <c r="MI198" i="31"/>
  <c r="MP198" i="31" s="1"/>
  <c r="MM198" i="31"/>
  <c r="MN198" i="31" s="1"/>
  <c r="LQ199" i="31"/>
  <c r="LL200" i="31"/>
  <c r="LO200" i="31" s="1"/>
  <c r="LQ200" i="31" s="1"/>
  <c r="LE201" i="31"/>
  <c r="ML198" i="31"/>
  <c r="AJ204" i="31"/>
  <c r="AM204" i="31"/>
  <c r="AN204" i="31" s="1"/>
  <c r="AO204" i="31" s="1"/>
  <c r="AP204" i="31" s="1"/>
  <c r="LJ202" i="31"/>
  <c r="LI203" i="31"/>
  <c r="GD203" i="31" s="1"/>
  <c r="GE203" i="31" s="1"/>
  <c r="GF203" i="31" s="1"/>
  <c r="LK203" i="31"/>
  <c r="LH203" i="31"/>
  <c r="AI204" i="31"/>
  <c r="LF204" i="31"/>
  <c r="LG204" i="31"/>
  <c r="HD205" i="31"/>
  <c r="HI205" i="31"/>
  <c r="KZ205" i="31"/>
  <c r="HH205" i="31"/>
  <c r="AK205" i="31"/>
  <c r="AL205" i="31"/>
  <c r="IG205" i="31"/>
  <c r="IH205" i="31" s="1"/>
  <c r="IK205" i="31" s="1"/>
  <c r="LT199" i="31" l="1"/>
  <c r="ME199" i="31" s="1"/>
  <c r="PF199" i="31" s="1"/>
  <c r="LR199" i="31"/>
  <c r="LX199" i="31" s="1"/>
  <c r="LZ199" i="31" s="1"/>
  <c r="LS199" i="31"/>
  <c r="LY199" i="31" s="1"/>
  <c r="MA199" i="31" s="1"/>
  <c r="LL201" i="31"/>
  <c r="LO201" i="31" s="1"/>
  <c r="LQ201" i="31" s="1"/>
  <c r="LS201" i="31" s="1"/>
  <c r="LY201" i="31" s="1"/>
  <c r="MA201" i="31" s="1"/>
  <c r="LT200" i="31"/>
  <c r="ME200" i="31" s="1"/>
  <c r="PF200" i="31" s="1"/>
  <c r="LS200" i="31"/>
  <c r="LY200" i="31" s="1"/>
  <c r="MA200" i="31" s="1"/>
  <c r="LE202" i="31"/>
  <c r="LR200" i="31"/>
  <c r="LX200" i="31" s="1"/>
  <c r="LZ200" i="31" s="1"/>
  <c r="AJ205" i="31"/>
  <c r="LJ203" i="31"/>
  <c r="LG205" i="31"/>
  <c r="AI205" i="31"/>
  <c r="LF205" i="31"/>
  <c r="AL206" i="31"/>
  <c r="HH206" i="31"/>
  <c r="HI206" i="31"/>
  <c r="HD206" i="31"/>
  <c r="KZ206" i="31"/>
  <c r="AK206" i="31"/>
  <c r="IG206" i="31"/>
  <c r="IH206" i="31" s="1"/>
  <c r="IK206" i="31" s="1"/>
  <c r="LH204" i="31"/>
  <c r="LK204" i="31"/>
  <c r="LI204" i="31"/>
  <c r="GD204" i="31" s="1"/>
  <c r="GE204" i="31" s="1"/>
  <c r="GF204" i="31" s="1"/>
  <c r="AM205" i="31"/>
  <c r="AN205" i="31" s="1"/>
  <c r="AO205" i="31" s="1"/>
  <c r="AP205" i="31" s="1"/>
  <c r="LR201" i="31" l="1"/>
  <c r="LX201" i="31" s="1"/>
  <c r="LZ201" i="31" s="1"/>
  <c r="LT201" i="31"/>
  <c r="ME201" i="31" s="1"/>
  <c r="MG199" i="31"/>
  <c r="LL202" i="31"/>
  <c r="LO202" i="31" s="1"/>
  <c r="LQ202" i="31" s="1"/>
  <c r="MG200" i="31"/>
  <c r="LE203" i="31"/>
  <c r="AJ206" i="31"/>
  <c r="AM206" i="31"/>
  <c r="AN206" i="31" s="1"/>
  <c r="AO206" i="31" s="1"/>
  <c r="AP206" i="31" s="1"/>
  <c r="HI207" i="31"/>
  <c r="AL207" i="31"/>
  <c r="KZ207" i="31"/>
  <c r="HD207" i="31"/>
  <c r="AK207" i="31"/>
  <c r="HH207" i="31"/>
  <c r="IG207" i="31"/>
  <c r="IH207" i="31" s="1"/>
  <c r="IK207" i="31" s="1"/>
  <c r="LF206" i="31"/>
  <c r="AI206" i="31"/>
  <c r="LG206" i="31"/>
  <c r="LK205" i="31"/>
  <c r="LH205" i="31"/>
  <c r="LI205" i="31"/>
  <c r="GD205" i="31" s="1"/>
  <c r="GE205" i="31" s="1"/>
  <c r="GF205" i="31" s="1"/>
  <c r="LJ204" i="31"/>
  <c r="MG201" i="31" l="1"/>
  <c r="MH201" i="31" s="1"/>
  <c r="PF201" i="31"/>
  <c r="MK199" i="31"/>
  <c r="MI199" i="31"/>
  <c r="MP199" i="31" s="1"/>
  <c r="MH199" i="31"/>
  <c r="LL203" i="31"/>
  <c r="LO203" i="31" s="1"/>
  <c r="LQ203" i="31" s="1"/>
  <c r="MI200" i="31"/>
  <c r="MP200" i="31" s="1"/>
  <c r="MK200" i="31"/>
  <c r="MH200" i="31"/>
  <c r="LE204" i="31"/>
  <c r="LR202" i="31"/>
  <c r="LX202" i="31" s="1"/>
  <c r="LZ202" i="31" s="1"/>
  <c r="LS202" i="31"/>
  <c r="LY202" i="31" s="1"/>
  <c r="MA202" i="31" s="1"/>
  <c r="LT202" i="31"/>
  <c r="ME202" i="31" s="1"/>
  <c r="AJ207" i="31"/>
  <c r="LJ205" i="31"/>
  <c r="AM207" i="31"/>
  <c r="AN207" i="31" s="1"/>
  <c r="AO207" i="31" s="1"/>
  <c r="AP207" i="31" s="1"/>
  <c r="HH208" i="31"/>
  <c r="HI208" i="31"/>
  <c r="KZ208" i="31"/>
  <c r="AK208" i="31"/>
  <c r="AL208" i="31"/>
  <c r="HD208" i="31"/>
  <c r="IG208" i="31"/>
  <c r="IH208" i="31" s="1"/>
  <c r="IK208" i="31" s="1"/>
  <c r="LH206" i="31"/>
  <c r="LI206" i="31"/>
  <c r="GD206" i="31" s="1"/>
  <c r="GE206" i="31" s="1"/>
  <c r="GF206" i="31" s="1"/>
  <c r="LK206" i="31"/>
  <c r="LG207" i="31"/>
  <c r="LF207" i="31"/>
  <c r="AI207" i="31"/>
  <c r="MK201" i="31" l="1"/>
  <c r="MM201" i="31" s="1"/>
  <c r="MN201" i="31" s="1"/>
  <c r="MI201" i="31"/>
  <c r="MP201" i="31" s="1"/>
  <c r="MG202" i="31"/>
  <c r="MK202" i="31" s="1"/>
  <c r="PF202" i="31"/>
  <c r="MM199" i="31"/>
  <c r="MN199" i="31" s="1"/>
  <c r="MM200" i="31"/>
  <c r="MN200" i="31" s="1"/>
  <c r="ML199" i="31"/>
  <c r="LL204" i="31"/>
  <c r="LO204" i="31" s="1"/>
  <c r="LQ204" i="31" s="1"/>
  <c r="LR204" i="31" s="1"/>
  <c r="LX204" i="31" s="1"/>
  <c r="LZ204" i="31" s="1"/>
  <c r="ML200" i="31"/>
  <c r="LE205" i="31"/>
  <c r="LR203" i="31"/>
  <c r="LX203" i="31" s="1"/>
  <c r="LZ203" i="31" s="1"/>
  <c r="LS203" i="31"/>
  <c r="LY203" i="31" s="1"/>
  <c r="MA203" i="31" s="1"/>
  <c r="LT203" i="31"/>
  <c r="ME203" i="31" s="1"/>
  <c r="AJ208" i="31"/>
  <c r="AI208" i="31"/>
  <c r="LG208" i="31"/>
  <c r="LF208" i="31"/>
  <c r="LJ206" i="31"/>
  <c r="AM208" i="31"/>
  <c r="AN208" i="31" s="1"/>
  <c r="AO208" i="31" s="1"/>
  <c r="AP208" i="31" s="1"/>
  <c r="LI207" i="31"/>
  <c r="GD207" i="31" s="1"/>
  <c r="GE207" i="31" s="1"/>
  <c r="GF207" i="31" s="1"/>
  <c r="LK207" i="31"/>
  <c r="LH207" i="31"/>
  <c r="KZ209" i="31"/>
  <c r="HH209" i="31"/>
  <c r="HI209" i="31"/>
  <c r="HD209" i="31"/>
  <c r="AL209" i="31"/>
  <c r="AK209" i="31"/>
  <c r="IG209" i="31"/>
  <c r="IH209" i="31" s="1"/>
  <c r="IK209" i="31" s="1"/>
  <c r="ML201" i="31" l="1"/>
  <c r="MI202" i="31"/>
  <c r="MP202" i="31" s="1"/>
  <c r="MH202" i="31"/>
  <c r="MG203" i="31"/>
  <c r="MK203" i="31" s="1"/>
  <c r="PF203" i="31"/>
  <c r="MM202" i="31"/>
  <c r="MN202" i="31" s="1"/>
  <c r="LS204" i="31"/>
  <c r="LY204" i="31" s="1"/>
  <c r="MA204" i="31" s="1"/>
  <c r="LT204" i="31"/>
  <c r="ME204" i="31" s="1"/>
  <c r="LL205" i="31"/>
  <c r="LO205" i="31" s="1"/>
  <c r="LQ205" i="31" s="1"/>
  <c r="ML202" i="31"/>
  <c r="LE206" i="31"/>
  <c r="AJ209" i="31"/>
  <c r="LJ207" i="31"/>
  <c r="LF209" i="31"/>
  <c r="AI209" i="31"/>
  <c r="LG209" i="31"/>
  <c r="LK208" i="31"/>
  <c r="LI208" i="31"/>
  <c r="GD208" i="31" s="1"/>
  <c r="GE208" i="31" s="1"/>
  <c r="GF208" i="31" s="1"/>
  <c r="LH208" i="31"/>
  <c r="HH210" i="31"/>
  <c r="AL210" i="31"/>
  <c r="KZ210" i="31"/>
  <c r="HD210" i="31"/>
  <c r="AK210" i="31"/>
  <c r="HI210" i="31"/>
  <c r="IG210" i="31"/>
  <c r="IH210" i="31" s="1"/>
  <c r="IK210" i="31" s="1"/>
  <c r="AM209" i="31"/>
  <c r="AN209" i="31" s="1"/>
  <c r="AO209" i="31" s="1"/>
  <c r="AP209" i="31" s="1"/>
  <c r="MH203" i="31" l="1"/>
  <c r="MI203" i="31"/>
  <c r="MP203" i="31" s="1"/>
  <c r="MG204" i="31"/>
  <c r="MK204" i="31" s="1"/>
  <c r="ML204" i="31" s="1"/>
  <c r="PF204" i="31"/>
  <c r="MM203" i="31"/>
  <c r="MN203" i="31" s="1"/>
  <c r="LL206" i="31"/>
  <c r="LO206" i="31" s="1"/>
  <c r="LQ206" i="31" s="1"/>
  <c r="LS206" i="31" s="1"/>
  <c r="LY206" i="31" s="1"/>
  <c r="MA206" i="31" s="1"/>
  <c r="ML203" i="31"/>
  <c r="LE207" i="31"/>
  <c r="LR205" i="31"/>
  <c r="LX205" i="31" s="1"/>
  <c r="LZ205" i="31" s="1"/>
  <c r="LS205" i="31"/>
  <c r="LY205" i="31" s="1"/>
  <c r="MA205" i="31" s="1"/>
  <c r="LT205" i="31"/>
  <c r="ME205" i="31" s="1"/>
  <c r="LJ208" i="31"/>
  <c r="AJ210" i="31"/>
  <c r="LF210" i="31"/>
  <c r="AI210" i="31"/>
  <c r="LG210" i="31"/>
  <c r="LI209" i="31"/>
  <c r="GD209" i="31" s="1"/>
  <c r="GE209" i="31" s="1"/>
  <c r="GF209" i="31" s="1"/>
  <c r="LH209" i="31"/>
  <c r="LK209" i="31"/>
  <c r="HD211" i="31"/>
  <c r="KZ211" i="31"/>
  <c r="HI211" i="31"/>
  <c r="AL211" i="31"/>
  <c r="AK211" i="31"/>
  <c r="HH211" i="31"/>
  <c r="IG211" i="31"/>
  <c r="IH211" i="31" s="1"/>
  <c r="IK211" i="31" s="1"/>
  <c r="AM210" i="31"/>
  <c r="AN210" i="31" s="1"/>
  <c r="AO210" i="31" s="1"/>
  <c r="AP210" i="31" s="1"/>
  <c r="MH204" i="31" l="1"/>
  <c r="MI204" i="31"/>
  <c r="MP204" i="31" s="1"/>
  <c r="MG205" i="31"/>
  <c r="MK205" i="31" s="1"/>
  <c r="PF205" i="31"/>
  <c r="MM204" i="31"/>
  <c r="MN204" i="31" s="1"/>
  <c r="LL207" i="31"/>
  <c r="LO207" i="31" s="1"/>
  <c r="LQ207" i="31" s="1"/>
  <c r="LR206" i="31"/>
  <c r="LX206" i="31" s="1"/>
  <c r="LZ206" i="31" s="1"/>
  <c r="LT206" i="31"/>
  <c r="ME206" i="31" s="1"/>
  <c r="LE208" i="31"/>
  <c r="AJ211" i="31"/>
  <c r="AM211" i="31"/>
  <c r="AN211" i="31" s="1"/>
  <c r="AO211" i="31" s="1"/>
  <c r="AP211" i="31" s="1"/>
  <c r="LJ209" i="31"/>
  <c r="LF211" i="31"/>
  <c r="AI211" i="31"/>
  <c r="LG211" i="31"/>
  <c r="LH210" i="31"/>
  <c r="LI210" i="31"/>
  <c r="GD210" i="31" s="1"/>
  <c r="GE210" i="31" s="1"/>
  <c r="GF210" i="31" s="1"/>
  <c r="LK210" i="31"/>
  <c r="AK212" i="31"/>
  <c r="HD212" i="31"/>
  <c r="AL212" i="31"/>
  <c r="HH212" i="31"/>
  <c r="HI212" i="31"/>
  <c r="KZ212" i="31"/>
  <c r="IG212" i="31"/>
  <c r="IH212" i="31" s="1"/>
  <c r="IK212" i="31" s="1"/>
  <c r="MH205" i="31" l="1"/>
  <c r="MI205" i="31"/>
  <c r="MP205" i="31" s="1"/>
  <c r="MG206" i="31"/>
  <c r="MI206" i="31" s="1"/>
  <c r="MP206" i="31" s="1"/>
  <c r="PF206" i="31"/>
  <c r="MM205" i="31"/>
  <c r="MN205" i="31" s="1"/>
  <c r="LL208" i="31"/>
  <c r="LO208" i="31" s="1"/>
  <c r="LQ208" i="31" s="1"/>
  <c r="LE209" i="31"/>
  <c r="ML205" i="31"/>
  <c r="LT207" i="31"/>
  <c r="ME207" i="31" s="1"/>
  <c r="PF207" i="31" s="1"/>
  <c r="LR207" i="31"/>
  <c r="LX207" i="31" s="1"/>
  <c r="LZ207" i="31" s="1"/>
  <c r="LS207" i="31"/>
  <c r="LY207" i="31" s="1"/>
  <c r="MA207" i="31" s="1"/>
  <c r="AJ212" i="31"/>
  <c r="LJ210" i="31"/>
  <c r="LF212" i="31"/>
  <c r="AI212" i="31"/>
  <c r="LG212" i="31"/>
  <c r="LH211" i="31"/>
  <c r="LI211" i="31"/>
  <c r="GD211" i="31" s="1"/>
  <c r="GE211" i="31" s="1"/>
  <c r="GF211" i="31" s="1"/>
  <c r="LK211" i="31"/>
  <c r="AK213" i="31"/>
  <c r="KZ213" i="31"/>
  <c r="AL213" i="31"/>
  <c r="HH213" i="31"/>
  <c r="HI213" i="31"/>
  <c r="HD213" i="31"/>
  <c r="IG213" i="31"/>
  <c r="IH213" i="31" s="1"/>
  <c r="IK213" i="31" s="1"/>
  <c r="AM212" i="31"/>
  <c r="AN212" i="31" s="1"/>
  <c r="AO212" i="31" s="1"/>
  <c r="AP212" i="31" s="1"/>
  <c r="MK206" i="31" l="1"/>
  <c r="MM206" i="31" s="1"/>
  <c r="MN206" i="31" s="1"/>
  <c r="MH206" i="31"/>
  <c r="LL209" i="31"/>
  <c r="LO209" i="31" s="1"/>
  <c r="LQ209" i="31" s="1"/>
  <c r="MG207" i="31"/>
  <c r="LT208" i="31"/>
  <c r="ME208" i="31" s="1"/>
  <c r="LR208" i="31"/>
  <c r="LX208" i="31" s="1"/>
  <c r="LZ208" i="31" s="1"/>
  <c r="LE210" i="31"/>
  <c r="LS208" i="31"/>
  <c r="LY208" i="31" s="1"/>
  <c r="MA208" i="31" s="1"/>
  <c r="AJ213" i="31"/>
  <c r="LJ211" i="31"/>
  <c r="KZ214" i="31"/>
  <c r="AL214" i="31"/>
  <c r="HD214" i="31"/>
  <c r="AK214" i="31"/>
  <c r="HI214" i="31"/>
  <c r="HH214" i="31"/>
  <c r="IG214" i="31"/>
  <c r="IH214" i="31" s="1"/>
  <c r="IK214" i="31" s="1"/>
  <c r="AM213" i="31"/>
  <c r="AN213" i="31" s="1"/>
  <c r="AO213" i="31" s="1"/>
  <c r="AP213" i="31" s="1"/>
  <c r="LK212" i="31"/>
  <c r="LI212" i="31"/>
  <c r="GD212" i="31" s="1"/>
  <c r="GE212" i="31" s="1"/>
  <c r="GF212" i="31" s="1"/>
  <c r="LH212" i="31"/>
  <c r="LF213" i="31"/>
  <c r="LG213" i="31"/>
  <c r="AI213" i="31"/>
  <c r="ML206" i="31" l="1"/>
  <c r="MG208" i="31"/>
  <c r="MK208" i="31" s="1"/>
  <c r="PF208" i="31"/>
  <c r="LL210" i="31"/>
  <c r="LO210" i="31" s="1"/>
  <c r="MH207" i="31"/>
  <c r="MK207" i="31"/>
  <c r="MI207" i="31"/>
  <c r="MP207" i="31" s="1"/>
  <c r="LE211" i="31"/>
  <c r="LT209" i="31"/>
  <c r="ME209" i="31" s="1"/>
  <c r="LR209" i="31"/>
  <c r="LX209" i="31" s="1"/>
  <c r="LZ209" i="31" s="1"/>
  <c r="LS209" i="31"/>
  <c r="LY209" i="31" s="1"/>
  <c r="MA209" i="31" s="1"/>
  <c r="AJ214" i="31"/>
  <c r="AM214" i="31"/>
  <c r="AN214" i="31" s="1"/>
  <c r="AO214" i="31" s="1"/>
  <c r="AP214" i="31" s="1"/>
  <c r="LJ212" i="31"/>
  <c r="AI214" i="31"/>
  <c r="LG214" i="31"/>
  <c r="LF214" i="31"/>
  <c r="LI213" i="31"/>
  <c r="GD213" i="31" s="1"/>
  <c r="GE213" i="31" s="1"/>
  <c r="GF213" i="31" s="1"/>
  <c r="LH213" i="31"/>
  <c r="LK213" i="31"/>
  <c r="HI215" i="31"/>
  <c r="AL215" i="31"/>
  <c r="AK215" i="31"/>
  <c r="HD215" i="31"/>
  <c r="HH215" i="31"/>
  <c r="KZ215" i="31"/>
  <c r="IG215" i="31"/>
  <c r="IH215" i="31" s="1"/>
  <c r="IK215" i="31" s="1"/>
  <c r="MH208" i="31" l="1"/>
  <c r="MI208" i="31"/>
  <c r="MP208" i="31" s="1"/>
  <c r="MG209" i="31"/>
  <c r="MK209" i="31" s="1"/>
  <c r="PF209" i="31"/>
  <c r="MM208" i="31"/>
  <c r="MN208" i="31" s="1"/>
  <c r="ML207" i="31"/>
  <c r="MM207" i="31"/>
  <c r="MN207" i="31" s="1"/>
  <c r="LQ210" i="31"/>
  <c r="LS210" i="31" s="1"/>
  <c r="LY210" i="31" s="1"/>
  <c r="MA210" i="31" s="1"/>
  <c r="LL211" i="31"/>
  <c r="LO211" i="31" s="1"/>
  <c r="LQ211" i="31" s="1"/>
  <c r="LE212" i="31"/>
  <c r="ML208" i="31"/>
  <c r="AJ215" i="31"/>
  <c r="LJ213" i="31"/>
  <c r="AM215" i="31"/>
  <c r="AN215" i="31" s="1"/>
  <c r="AO215" i="31" s="1"/>
  <c r="AP215" i="31" s="1"/>
  <c r="AL216" i="31"/>
  <c r="HH216" i="31"/>
  <c r="HI216" i="31"/>
  <c r="HD216" i="31"/>
  <c r="AK216" i="31"/>
  <c r="KZ216" i="31"/>
  <c r="IG216" i="31"/>
  <c r="IH216" i="31" s="1"/>
  <c r="IK216" i="31" s="1"/>
  <c r="LK214" i="31"/>
  <c r="LI214" i="31"/>
  <c r="GD214" i="31" s="1"/>
  <c r="GE214" i="31" s="1"/>
  <c r="GF214" i="31" s="1"/>
  <c r="LH214" i="31"/>
  <c r="LF215" i="31"/>
  <c r="LG215" i="31"/>
  <c r="AI215" i="31"/>
  <c r="MH209" i="31" l="1"/>
  <c r="MI209" i="31"/>
  <c r="MP209" i="31" s="1"/>
  <c r="MM209" i="31"/>
  <c r="MN209" i="31" s="1"/>
  <c r="LT210" i="31"/>
  <c r="ME210" i="31" s="1"/>
  <c r="LR210" i="31"/>
  <c r="LX210" i="31" s="1"/>
  <c r="LZ210" i="31" s="1"/>
  <c r="LL212" i="31"/>
  <c r="LO212" i="31" s="1"/>
  <c r="LQ212" i="31" s="1"/>
  <c r="LE213" i="31"/>
  <c r="ML209" i="31"/>
  <c r="LS211" i="31"/>
  <c r="LY211" i="31" s="1"/>
  <c r="MA211" i="31" s="1"/>
  <c r="LT211" i="31"/>
  <c r="ME211" i="31" s="1"/>
  <c r="LR211" i="31"/>
  <c r="LX211" i="31" s="1"/>
  <c r="LZ211" i="31" s="1"/>
  <c r="LJ214" i="31"/>
  <c r="AJ216" i="31"/>
  <c r="AM216" i="31"/>
  <c r="AN216" i="31" s="1"/>
  <c r="AO216" i="31" s="1"/>
  <c r="AP216" i="31" s="1"/>
  <c r="HD217" i="31"/>
  <c r="HH217" i="31"/>
  <c r="HI217" i="31"/>
  <c r="KZ217" i="31"/>
  <c r="AK217" i="31"/>
  <c r="AL217" i="31"/>
  <c r="IG217" i="31"/>
  <c r="IH217" i="31" s="1"/>
  <c r="IK217" i="31" s="1"/>
  <c r="LF216" i="31"/>
  <c r="LG216" i="31"/>
  <c r="AI216" i="31"/>
  <c r="LI215" i="31"/>
  <c r="GD215" i="31" s="1"/>
  <c r="GE215" i="31" s="1"/>
  <c r="GF215" i="31" s="1"/>
  <c r="LK215" i="31"/>
  <c r="LH215" i="31"/>
  <c r="MG211" i="31" l="1"/>
  <c r="MK211" i="31" s="1"/>
  <c r="PF211" i="31"/>
  <c r="MG210" i="31"/>
  <c r="MH210" i="31" s="1"/>
  <c r="PF210" i="31"/>
  <c r="LL213" i="31"/>
  <c r="LO213" i="31" s="1"/>
  <c r="LQ213" i="31" s="1"/>
  <c r="LE214" i="31"/>
  <c r="LT212" i="31"/>
  <c r="ME212" i="31" s="1"/>
  <c r="LS212" i="31"/>
  <c r="LY212" i="31" s="1"/>
  <c r="MA212" i="31" s="1"/>
  <c r="LR212" i="31"/>
  <c r="LX212" i="31" s="1"/>
  <c r="LZ212" i="31" s="1"/>
  <c r="AJ217" i="31"/>
  <c r="AM217" i="31"/>
  <c r="AN217" i="31" s="1"/>
  <c r="AO217" i="31" s="1"/>
  <c r="AP217" i="31" s="1"/>
  <c r="HD218" i="31"/>
  <c r="KZ218" i="31"/>
  <c r="AK218" i="31"/>
  <c r="AL218" i="31"/>
  <c r="HH218" i="31"/>
  <c r="HI218" i="31"/>
  <c r="IG218" i="31"/>
  <c r="IH218" i="31" s="1"/>
  <c r="IK218" i="31" s="1"/>
  <c r="LI216" i="31"/>
  <c r="GD216" i="31" s="1"/>
  <c r="GE216" i="31" s="1"/>
  <c r="GF216" i="31" s="1"/>
  <c r="LH216" i="31"/>
  <c r="LK216" i="31"/>
  <c r="LG217" i="31"/>
  <c r="AI217" i="31"/>
  <c r="LF217" i="31"/>
  <c r="LJ215" i="31"/>
  <c r="MI211" i="31" l="1"/>
  <c r="MP211" i="31" s="1"/>
  <c r="MH211" i="31"/>
  <c r="MK210" i="31"/>
  <c r="MM210" i="31" s="1"/>
  <c r="MN210" i="31" s="1"/>
  <c r="MG212" i="31"/>
  <c r="MK212" i="31" s="1"/>
  <c r="PF212" i="31"/>
  <c r="MI210" i="31"/>
  <c r="MP210" i="31" s="1"/>
  <c r="MM211" i="31"/>
  <c r="MN211" i="31" s="1"/>
  <c r="LL214" i="31"/>
  <c r="LO214" i="31" s="1"/>
  <c r="LQ214" i="31" s="1"/>
  <c r="ML211" i="31"/>
  <c r="LS213" i="31"/>
  <c r="LY213" i="31" s="1"/>
  <c r="MA213" i="31" s="1"/>
  <c r="LR213" i="31"/>
  <c r="LX213" i="31" s="1"/>
  <c r="LZ213" i="31" s="1"/>
  <c r="LE215" i="31"/>
  <c r="LT213" i="31"/>
  <c r="ME213" i="31" s="1"/>
  <c r="AJ218" i="31"/>
  <c r="HH219" i="31"/>
  <c r="KZ219" i="31"/>
  <c r="HI219" i="31"/>
  <c r="HD219" i="31"/>
  <c r="AK219" i="31"/>
  <c r="AL219" i="31"/>
  <c r="IG219" i="31"/>
  <c r="IH219" i="31" s="1"/>
  <c r="IK219" i="31" s="1"/>
  <c r="AM218" i="31"/>
  <c r="AN218" i="31" s="1"/>
  <c r="AO218" i="31" s="1"/>
  <c r="AP218" i="31" s="1"/>
  <c r="LK217" i="31"/>
  <c r="LI217" i="31"/>
  <c r="GD217" i="31" s="1"/>
  <c r="GE217" i="31" s="1"/>
  <c r="GF217" i="31" s="1"/>
  <c r="LH217" i="31"/>
  <c r="LG218" i="31"/>
  <c r="AI218" i="31"/>
  <c r="LF218" i="31"/>
  <c r="LJ216" i="31"/>
  <c r="MH212" i="31" l="1"/>
  <c r="ML210" i="31"/>
  <c r="MI212" i="31"/>
  <c r="MP212" i="31" s="1"/>
  <c r="MG213" i="31"/>
  <c r="MK213" i="31" s="1"/>
  <c r="PF213" i="31"/>
  <c r="MM212" i="31"/>
  <c r="MN212" i="31" s="1"/>
  <c r="LL215" i="31"/>
  <c r="LO215" i="31" s="1"/>
  <c r="LE216" i="31"/>
  <c r="ML212" i="31"/>
  <c r="LT214" i="31"/>
  <c r="ME214" i="31" s="1"/>
  <c r="LS214" i="31"/>
  <c r="LY214" i="31" s="1"/>
  <c r="MA214" i="31" s="1"/>
  <c r="LR214" i="31"/>
  <c r="LX214" i="31" s="1"/>
  <c r="LZ214" i="31" s="1"/>
  <c r="AJ219" i="31"/>
  <c r="AM219" i="31"/>
  <c r="AN219" i="31" s="1"/>
  <c r="AO219" i="31" s="1"/>
  <c r="AP219" i="31" s="1"/>
  <c r="LH218" i="31"/>
  <c r="LI218" i="31"/>
  <c r="GD218" i="31" s="1"/>
  <c r="GE218" i="31" s="1"/>
  <c r="GF218" i="31" s="1"/>
  <c r="LK218" i="31"/>
  <c r="LG219" i="31"/>
  <c r="AI219" i="31"/>
  <c r="LF219" i="31"/>
  <c r="HH220" i="31"/>
  <c r="AK220" i="31"/>
  <c r="AL220" i="31"/>
  <c r="KZ220" i="31"/>
  <c r="HI220" i="31"/>
  <c r="HD220" i="31"/>
  <c r="IG220" i="31"/>
  <c r="IH220" i="31" s="1"/>
  <c r="IK220" i="31" s="1"/>
  <c r="LJ217" i="31"/>
  <c r="MI213" i="31" l="1"/>
  <c r="MP213" i="31" s="1"/>
  <c r="MH213" i="31"/>
  <c r="MG214" i="31"/>
  <c r="MK214" i="31" s="1"/>
  <c r="PF214" i="31"/>
  <c r="MM213" i="31"/>
  <c r="MN213" i="31" s="1"/>
  <c r="LQ215" i="31"/>
  <c r="LS215" i="31" s="1"/>
  <c r="LY215" i="31" s="1"/>
  <c r="MA215" i="31" s="1"/>
  <c r="LL216" i="31"/>
  <c r="LO216" i="31" s="1"/>
  <c r="LE217" i="31"/>
  <c r="ML213" i="31"/>
  <c r="AJ220" i="31"/>
  <c r="AM220" i="31"/>
  <c r="AN220" i="31" s="1"/>
  <c r="AO220" i="31" s="1"/>
  <c r="AP220" i="31" s="1"/>
  <c r="HD221" i="31"/>
  <c r="AK221" i="31"/>
  <c r="HH221" i="31"/>
  <c r="AL221" i="31"/>
  <c r="HI221" i="31"/>
  <c r="KZ221" i="31"/>
  <c r="IG221" i="31"/>
  <c r="IH221" i="31" s="1"/>
  <c r="IK221" i="31" s="1"/>
  <c r="LJ218" i="31"/>
  <c r="LI219" i="31"/>
  <c r="GD219" i="31" s="1"/>
  <c r="GE219" i="31" s="1"/>
  <c r="GF219" i="31" s="1"/>
  <c r="LK219" i="31"/>
  <c r="LH219" i="31"/>
  <c r="AI220" i="31"/>
  <c r="LG220" i="31"/>
  <c r="LF220" i="31"/>
  <c r="MI214" i="31" l="1"/>
  <c r="MP214" i="31" s="1"/>
  <c r="MH214" i="31"/>
  <c r="MM214" i="31"/>
  <c r="MN214" i="31" s="1"/>
  <c r="LT215" i="31"/>
  <c r="ME215" i="31" s="1"/>
  <c r="LR215" i="31"/>
  <c r="LX215" i="31" s="1"/>
  <c r="LZ215" i="31" s="1"/>
  <c r="LQ216" i="31"/>
  <c r="LR216" i="31" s="1"/>
  <c r="LX216" i="31" s="1"/>
  <c r="LZ216" i="31" s="1"/>
  <c r="LL217" i="31"/>
  <c r="LO217" i="31" s="1"/>
  <c r="ML214" i="31"/>
  <c r="LE218" i="31"/>
  <c r="LJ219" i="31"/>
  <c r="AJ221" i="31"/>
  <c r="AM221" i="31"/>
  <c r="AN221" i="31" s="1"/>
  <c r="AO221" i="31" s="1"/>
  <c r="AP221" i="31" s="1"/>
  <c r="HD222" i="31"/>
  <c r="AK222" i="31"/>
  <c r="AL222" i="31"/>
  <c r="HI222" i="31"/>
  <c r="HH222" i="31"/>
  <c r="KZ222" i="31"/>
  <c r="IG222" i="31"/>
  <c r="IH222" i="31" s="1"/>
  <c r="IK222" i="31" s="1"/>
  <c r="LH220" i="31"/>
  <c r="LI220" i="31"/>
  <c r="GD220" i="31" s="1"/>
  <c r="GE220" i="31" s="1"/>
  <c r="GF220" i="31" s="1"/>
  <c r="LK220" i="31"/>
  <c r="AI221" i="31"/>
  <c r="LG221" i="31"/>
  <c r="LF221" i="31"/>
  <c r="MG215" i="31" l="1"/>
  <c r="MI215" i="31" s="1"/>
  <c r="MP215" i="31" s="1"/>
  <c r="PF215" i="31"/>
  <c r="LQ217" i="31"/>
  <c r="LT217" i="31" s="1"/>
  <c r="ME217" i="31" s="1"/>
  <c r="LS216" i="31"/>
  <c r="LY216" i="31" s="1"/>
  <c r="MA216" i="31" s="1"/>
  <c r="LT216" i="31"/>
  <c r="ME216" i="31" s="1"/>
  <c r="PF216" i="31" s="1"/>
  <c r="LL218" i="31"/>
  <c r="LO218" i="31" s="1"/>
  <c r="LE219" i="31"/>
  <c r="AJ222" i="31"/>
  <c r="AM222" i="31"/>
  <c r="AN222" i="31" s="1"/>
  <c r="AO222" i="31" s="1"/>
  <c r="AP222" i="31" s="1"/>
  <c r="LJ220" i="31"/>
  <c r="LF222" i="31"/>
  <c r="AI222" i="31"/>
  <c r="LG222" i="31"/>
  <c r="LH221" i="31"/>
  <c r="LK221" i="31"/>
  <c r="LI221" i="31"/>
  <c r="GD221" i="31" s="1"/>
  <c r="GE221" i="31" s="1"/>
  <c r="GF221" i="31" s="1"/>
  <c r="HH223" i="31"/>
  <c r="HD223" i="31"/>
  <c r="KZ223" i="31"/>
  <c r="HI223" i="31"/>
  <c r="AK223" i="31"/>
  <c r="AL223" i="31"/>
  <c r="IG223" i="31"/>
  <c r="IH223" i="31" s="1"/>
  <c r="IK223" i="31" s="1"/>
  <c r="MK215" i="31" l="1"/>
  <c r="ML215" i="31" s="1"/>
  <c r="MH215" i="31"/>
  <c r="MG217" i="31"/>
  <c r="MK217" i="31" s="1"/>
  <c r="ML217" i="31" s="1"/>
  <c r="PF217" i="31"/>
  <c r="LR217" i="31"/>
  <c r="LX217" i="31" s="1"/>
  <c r="LZ217" i="31" s="1"/>
  <c r="LS217" i="31"/>
  <c r="LY217" i="31" s="1"/>
  <c r="MA217" i="31" s="1"/>
  <c r="LQ218" i="31"/>
  <c r="LT218" i="31" s="1"/>
  <c r="ME218" i="31" s="1"/>
  <c r="MG216" i="31"/>
  <c r="LL219" i="31"/>
  <c r="LO219" i="31" s="1"/>
  <c r="LQ219" i="31" s="1"/>
  <c r="LE220" i="31"/>
  <c r="AJ223" i="31"/>
  <c r="LI222" i="31"/>
  <c r="GD222" i="31" s="1"/>
  <c r="GE222" i="31" s="1"/>
  <c r="GF222" i="31" s="1"/>
  <c r="LH222" i="31"/>
  <c r="LK222" i="31"/>
  <c r="AM223" i="31"/>
  <c r="AN223" i="31" s="1"/>
  <c r="AO223" i="31" s="1"/>
  <c r="AP223" i="31" s="1"/>
  <c r="LJ221" i="31"/>
  <c r="AK224" i="31"/>
  <c r="HD224" i="31"/>
  <c r="KZ224" i="31"/>
  <c r="AL224" i="31"/>
  <c r="HI224" i="31"/>
  <c r="HH224" i="31"/>
  <c r="IG224" i="31"/>
  <c r="IH224" i="31" s="1"/>
  <c r="IK224" i="31" s="1"/>
  <c r="LG223" i="31"/>
  <c r="LF223" i="31"/>
  <c r="AI223" i="31"/>
  <c r="MM215" i="31" l="1"/>
  <c r="MN215" i="31" s="1"/>
  <c r="MH217" i="31"/>
  <c r="MI217" i="31"/>
  <c r="MP217" i="31" s="1"/>
  <c r="MG218" i="31"/>
  <c r="MH218" i="31" s="1"/>
  <c r="PF218" i="31"/>
  <c r="MM217" i="31"/>
  <c r="MN217" i="31" s="1"/>
  <c r="LR218" i="31"/>
  <c r="LX218" i="31" s="1"/>
  <c r="LZ218" i="31" s="1"/>
  <c r="LS218" i="31"/>
  <c r="LY218" i="31" s="1"/>
  <c r="MA218" i="31" s="1"/>
  <c r="MI216" i="31"/>
  <c r="MP216" i="31" s="1"/>
  <c r="MK216" i="31"/>
  <c r="MM216" i="31" s="1"/>
  <c r="MH216" i="31"/>
  <c r="LL220" i="31"/>
  <c r="LO220" i="31" s="1"/>
  <c r="LE221" i="31"/>
  <c r="LT219" i="31"/>
  <c r="ME219" i="31" s="1"/>
  <c r="PF219" i="31" s="1"/>
  <c r="LS219" i="31"/>
  <c r="LY219" i="31" s="1"/>
  <c r="MA219" i="31" s="1"/>
  <c r="LR219" i="31"/>
  <c r="LX219" i="31" s="1"/>
  <c r="LZ219" i="31" s="1"/>
  <c r="AJ224" i="31"/>
  <c r="HD225" i="31"/>
  <c r="HI225" i="31"/>
  <c r="AK225" i="31"/>
  <c r="HH225" i="31"/>
  <c r="KZ225" i="31"/>
  <c r="AL225" i="31"/>
  <c r="IG225" i="31"/>
  <c r="IH225" i="31" s="1"/>
  <c r="IK225" i="31" s="1"/>
  <c r="AI224" i="31"/>
  <c r="LF224" i="31"/>
  <c r="LG224" i="31"/>
  <c r="LH223" i="31"/>
  <c r="LI223" i="31"/>
  <c r="GD223" i="31" s="1"/>
  <c r="GE223" i="31" s="1"/>
  <c r="GF223" i="31" s="1"/>
  <c r="LK223" i="31"/>
  <c r="AM224" i="31"/>
  <c r="AN224" i="31" s="1"/>
  <c r="AO224" i="31" s="1"/>
  <c r="AP224" i="31" s="1"/>
  <c r="LJ222" i="31"/>
  <c r="MK218" i="31" l="1"/>
  <c r="ML218" i="31" s="1"/>
  <c r="MI218" i="31"/>
  <c r="MP218" i="31" s="1"/>
  <c r="LQ220" i="31"/>
  <c r="LR220" i="31" s="1"/>
  <c r="LX220" i="31" s="1"/>
  <c r="LZ220" i="31" s="1"/>
  <c r="ML216" i="31"/>
  <c r="MN216" i="31"/>
  <c r="LL221" i="31"/>
  <c r="LO221" i="31" s="1"/>
  <c r="MG219" i="31"/>
  <c r="LE222" i="31"/>
  <c r="AJ225" i="31"/>
  <c r="LJ223" i="31"/>
  <c r="AI225" i="31"/>
  <c r="LF225" i="31"/>
  <c r="LG225" i="31"/>
  <c r="HH226" i="31"/>
  <c r="HD226" i="31"/>
  <c r="KZ226" i="31"/>
  <c r="HI226" i="31"/>
  <c r="AK226" i="31"/>
  <c r="AL226" i="31"/>
  <c r="IG226" i="31"/>
  <c r="IH226" i="31" s="1"/>
  <c r="IK226" i="31" s="1"/>
  <c r="AM225" i="31"/>
  <c r="AN225" i="31" s="1"/>
  <c r="AO225" i="31" s="1"/>
  <c r="AP225" i="31" s="1"/>
  <c r="LI224" i="31"/>
  <c r="GD224" i="31" s="1"/>
  <c r="GE224" i="31" s="1"/>
  <c r="GF224" i="31" s="1"/>
  <c r="LK224" i="31"/>
  <c r="LH224" i="31"/>
  <c r="MM218" i="31" l="1"/>
  <c r="MN218" i="31" s="1"/>
  <c r="LT220" i="31"/>
  <c r="ME220" i="31" s="1"/>
  <c r="LS220" i="31"/>
  <c r="LY220" i="31" s="1"/>
  <c r="MA220" i="31" s="1"/>
  <c r="LQ221" i="31"/>
  <c r="LT221" i="31" s="1"/>
  <c r="ME221" i="31" s="1"/>
  <c r="PF221" i="31" s="1"/>
  <c r="LL222" i="31"/>
  <c r="LO222" i="31" s="1"/>
  <c r="LQ222" i="31" s="1"/>
  <c r="LT222" i="31" s="1"/>
  <c r="ME222" i="31" s="1"/>
  <c r="MI219" i="31"/>
  <c r="MP219" i="31" s="1"/>
  <c r="MK219" i="31"/>
  <c r="MH219" i="31"/>
  <c r="LE223" i="31"/>
  <c r="AJ226" i="31"/>
  <c r="LJ224" i="31"/>
  <c r="LF226" i="31"/>
  <c r="LG226" i="31"/>
  <c r="AI226" i="31"/>
  <c r="AL227" i="31"/>
  <c r="AK227" i="31"/>
  <c r="HD227" i="31"/>
  <c r="HH227" i="31"/>
  <c r="KZ227" i="31"/>
  <c r="HI227" i="31"/>
  <c r="IG227" i="31"/>
  <c r="IH227" i="31" s="1"/>
  <c r="IK227" i="31" s="1"/>
  <c r="AM226" i="31"/>
  <c r="AN226" i="31" s="1"/>
  <c r="AO226" i="31" s="1"/>
  <c r="AP226" i="31" s="1"/>
  <c r="LK225" i="31"/>
  <c r="LH225" i="31"/>
  <c r="LI225" i="31"/>
  <c r="GD225" i="31" s="1"/>
  <c r="GE225" i="31" s="1"/>
  <c r="GF225" i="31" s="1"/>
  <c r="MG222" i="31" l="1"/>
  <c r="MK222" i="31" s="1"/>
  <c r="ML222" i="31" s="1"/>
  <c r="PF222" i="31"/>
  <c r="MG220" i="31"/>
  <c r="MK220" i="31" s="1"/>
  <c r="ML220" i="31" s="1"/>
  <c r="PF220" i="31"/>
  <c r="MM219" i="31"/>
  <c r="MN219" i="31" s="1"/>
  <c r="MG221" i="31"/>
  <c r="MH221" i="31" s="1"/>
  <c r="LR221" i="31"/>
  <c r="LX221" i="31" s="1"/>
  <c r="LZ221" i="31" s="1"/>
  <c r="LS221" i="31"/>
  <c r="LY221" i="31" s="1"/>
  <c r="MA221" i="31" s="1"/>
  <c r="LL223" i="31"/>
  <c r="LO223" i="31" s="1"/>
  <c r="LQ223" i="31" s="1"/>
  <c r="ML219" i="31"/>
  <c r="LS222" i="31"/>
  <c r="LY222" i="31" s="1"/>
  <c r="MA222" i="31" s="1"/>
  <c r="LR222" i="31"/>
  <c r="LX222" i="31" s="1"/>
  <c r="LZ222" i="31" s="1"/>
  <c r="LE224" i="31"/>
  <c r="AJ227" i="31"/>
  <c r="LJ225" i="31"/>
  <c r="KZ228" i="31"/>
  <c r="HI228" i="31"/>
  <c r="HH228" i="31"/>
  <c r="AL228" i="31"/>
  <c r="HD228" i="31"/>
  <c r="AK228" i="31"/>
  <c r="IG228" i="31"/>
  <c r="IH228" i="31" s="1"/>
  <c r="IK228" i="31" s="1"/>
  <c r="LF227" i="31"/>
  <c r="AI227" i="31"/>
  <c r="LG227" i="31"/>
  <c r="AM227" i="31"/>
  <c r="AN227" i="31" s="1"/>
  <c r="AO227" i="31" s="1"/>
  <c r="AP227" i="31" s="1"/>
  <c r="LK226" i="31"/>
  <c r="LH226" i="31"/>
  <c r="LI226" i="31"/>
  <c r="GD226" i="31" s="1"/>
  <c r="GE226" i="31" s="1"/>
  <c r="GF226" i="31" s="1"/>
  <c r="MI222" i="31" l="1"/>
  <c r="MP222" i="31" s="1"/>
  <c r="MH222" i="31"/>
  <c r="MH220" i="31"/>
  <c r="MI220" i="31"/>
  <c r="MP220" i="31" s="1"/>
  <c r="MM220" i="31"/>
  <c r="MN220" i="31" s="1"/>
  <c r="MM222" i="31"/>
  <c r="MN222" i="31" s="1"/>
  <c r="MK221" i="31"/>
  <c r="MI221" i="31"/>
  <c r="MP221" i="31" s="1"/>
  <c r="LL224" i="31"/>
  <c r="LO224" i="31" s="1"/>
  <c r="LQ224" i="31" s="1"/>
  <c r="LE225" i="31"/>
  <c r="LR223" i="31"/>
  <c r="LX223" i="31" s="1"/>
  <c r="LZ223" i="31" s="1"/>
  <c r="LT223" i="31"/>
  <c r="ME223" i="31" s="1"/>
  <c r="LS223" i="31"/>
  <c r="LY223" i="31" s="1"/>
  <c r="MA223" i="31" s="1"/>
  <c r="AM228" i="31"/>
  <c r="AN228" i="31" s="1"/>
  <c r="AO228" i="31" s="1"/>
  <c r="AP228" i="31" s="1"/>
  <c r="AJ228" i="31"/>
  <c r="HI229" i="31"/>
  <c r="AK229" i="31"/>
  <c r="AL229" i="31"/>
  <c r="HH229" i="31"/>
  <c r="HD229" i="31"/>
  <c r="KZ229" i="31"/>
  <c r="IG229" i="31"/>
  <c r="IH229" i="31" s="1"/>
  <c r="IK229" i="31" s="1"/>
  <c r="LF228" i="31"/>
  <c r="AI228" i="31"/>
  <c r="LG228" i="31"/>
  <c r="LK227" i="31"/>
  <c r="LH227" i="31"/>
  <c r="LI227" i="31"/>
  <c r="GD227" i="31" s="1"/>
  <c r="GE227" i="31" s="1"/>
  <c r="GF227" i="31" s="1"/>
  <c r="LJ226" i="31"/>
  <c r="MG223" i="31" l="1"/>
  <c r="MK223" i="31" s="1"/>
  <c r="PF223" i="31"/>
  <c r="ML221" i="31"/>
  <c r="MM221" i="31"/>
  <c r="MN221" i="31" s="1"/>
  <c r="LL225" i="31"/>
  <c r="LO225" i="31" s="1"/>
  <c r="LQ225" i="31" s="1"/>
  <c r="LE226" i="31"/>
  <c r="LS224" i="31"/>
  <c r="LY224" i="31" s="1"/>
  <c r="MA224" i="31" s="1"/>
  <c r="LT224" i="31"/>
  <c r="ME224" i="31" s="1"/>
  <c r="LR224" i="31"/>
  <c r="LX224" i="31" s="1"/>
  <c r="LZ224" i="31" s="1"/>
  <c r="AJ229" i="31"/>
  <c r="LI228" i="31"/>
  <c r="GD228" i="31" s="1"/>
  <c r="GE228" i="31" s="1"/>
  <c r="GF228" i="31" s="1"/>
  <c r="LJ227" i="31"/>
  <c r="AI229" i="31"/>
  <c r="LF229" i="31"/>
  <c r="LG229" i="31"/>
  <c r="AM229" i="31"/>
  <c r="AN229" i="31" s="1"/>
  <c r="AO229" i="31" s="1"/>
  <c r="AP229" i="31" s="1"/>
  <c r="LH228" i="31"/>
  <c r="LK228" i="31"/>
  <c r="KZ230" i="31"/>
  <c r="HH230" i="31"/>
  <c r="AL230" i="31"/>
  <c r="HI230" i="31"/>
  <c r="HD230" i="31"/>
  <c r="AK230" i="31"/>
  <c r="IG230" i="31"/>
  <c r="IH230" i="31" s="1"/>
  <c r="IK230" i="31" s="1"/>
  <c r="MH223" i="31" l="1"/>
  <c r="MI223" i="31"/>
  <c r="MP223" i="31" s="1"/>
  <c r="MG224" i="31"/>
  <c r="MK224" i="31" s="1"/>
  <c r="PF224" i="31"/>
  <c r="MM223" i="31"/>
  <c r="MN223" i="31" s="1"/>
  <c r="LL226" i="31"/>
  <c r="LO226" i="31" s="1"/>
  <c r="LQ226" i="31" s="1"/>
  <c r="LT226" i="31" s="1"/>
  <c r="ME226" i="31" s="1"/>
  <c r="ML223" i="31"/>
  <c r="LS225" i="31"/>
  <c r="LY225" i="31" s="1"/>
  <c r="MA225" i="31" s="1"/>
  <c r="LR225" i="31"/>
  <c r="LX225" i="31" s="1"/>
  <c r="LZ225" i="31" s="1"/>
  <c r="LE227" i="31"/>
  <c r="LT225" i="31"/>
  <c r="ME225" i="31" s="1"/>
  <c r="AJ230" i="31"/>
  <c r="AM230" i="31"/>
  <c r="AN230" i="31" s="1"/>
  <c r="AO230" i="31" s="1"/>
  <c r="AP230" i="31" s="1"/>
  <c r="HD231" i="31"/>
  <c r="KZ231" i="31"/>
  <c r="AK231" i="31"/>
  <c r="AL231" i="31"/>
  <c r="HI231" i="31"/>
  <c r="HH231" i="31"/>
  <c r="IG231" i="31"/>
  <c r="IH231" i="31" s="1"/>
  <c r="IK231" i="31" s="1"/>
  <c r="AI230" i="31"/>
  <c r="LF230" i="31"/>
  <c r="LG230" i="31"/>
  <c r="LJ228" i="31"/>
  <c r="LK229" i="31"/>
  <c r="LI229" i="31"/>
  <c r="GD229" i="31" s="1"/>
  <c r="GE229" i="31" s="1"/>
  <c r="GF229" i="31" s="1"/>
  <c r="LH229" i="31"/>
  <c r="MI224" i="31" l="1"/>
  <c r="MP224" i="31" s="1"/>
  <c r="MH224" i="31"/>
  <c r="MG226" i="31"/>
  <c r="MK226" i="31" s="1"/>
  <c r="PF226" i="31"/>
  <c r="MG225" i="31"/>
  <c r="MK225" i="31" s="1"/>
  <c r="PF225" i="31"/>
  <c r="MM224" i="31"/>
  <c r="MN224" i="31" s="1"/>
  <c r="LS226" i="31"/>
  <c r="LY226" i="31" s="1"/>
  <c r="MA226" i="31" s="1"/>
  <c r="LR226" i="31"/>
  <c r="LX226" i="31" s="1"/>
  <c r="LZ226" i="31" s="1"/>
  <c r="LL227" i="31"/>
  <c r="LO227" i="31" s="1"/>
  <c r="LQ227" i="31" s="1"/>
  <c r="LR227" i="31" s="1"/>
  <c r="LX227" i="31" s="1"/>
  <c r="LZ227" i="31" s="1"/>
  <c r="ML224" i="31"/>
  <c r="LE228" i="31"/>
  <c r="AJ231" i="31"/>
  <c r="AM231" i="31"/>
  <c r="AN231" i="31" s="1"/>
  <c r="AO231" i="31" s="1"/>
  <c r="AP231" i="31" s="1"/>
  <c r="LJ229" i="31"/>
  <c r="LI230" i="31"/>
  <c r="GD230" i="31" s="1"/>
  <c r="GE230" i="31" s="1"/>
  <c r="GF230" i="31" s="1"/>
  <c r="LK230" i="31"/>
  <c r="LH230" i="31"/>
  <c r="KZ232" i="31"/>
  <c r="AL232" i="31"/>
  <c r="HH232" i="31"/>
  <c r="AK232" i="31"/>
  <c r="HD232" i="31"/>
  <c r="HI232" i="31"/>
  <c r="IG232" i="31"/>
  <c r="IH232" i="31" s="1"/>
  <c r="IK232" i="31" s="1"/>
  <c r="AI231" i="31"/>
  <c r="LF231" i="31"/>
  <c r="LG231" i="31"/>
  <c r="MI226" i="31" l="1"/>
  <c r="MP226" i="31" s="1"/>
  <c r="MH226" i="31"/>
  <c r="MH225" i="31"/>
  <c r="MI225" i="31"/>
  <c r="MP225" i="31" s="1"/>
  <c r="MM225" i="31"/>
  <c r="MN225" i="31" s="1"/>
  <c r="ML226" i="31"/>
  <c r="MM226" i="31"/>
  <c r="MN226" i="31" s="1"/>
  <c r="LL228" i="31"/>
  <c r="LO228" i="31" s="1"/>
  <c r="LE229" i="31"/>
  <c r="LT227" i="31"/>
  <c r="ME227" i="31" s="1"/>
  <c r="LS227" i="31"/>
  <c r="LY227" i="31" s="1"/>
  <c r="MA227" i="31" s="1"/>
  <c r="ML225" i="31"/>
  <c r="AJ232" i="31"/>
  <c r="LJ230" i="31"/>
  <c r="LI231" i="31"/>
  <c r="GD231" i="31" s="1"/>
  <c r="GE231" i="31" s="1"/>
  <c r="GF231" i="31" s="1"/>
  <c r="LK231" i="31"/>
  <c r="LH231" i="31"/>
  <c r="LG232" i="31"/>
  <c r="LF232" i="31"/>
  <c r="AI232" i="31"/>
  <c r="HD233" i="31"/>
  <c r="HH233" i="31"/>
  <c r="KZ233" i="31"/>
  <c r="HI233" i="31"/>
  <c r="AL233" i="31"/>
  <c r="AK233" i="31"/>
  <c r="IG233" i="31"/>
  <c r="IH233" i="31" s="1"/>
  <c r="IK233" i="31" s="1"/>
  <c r="AM232" i="31"/>
  <c r="AN232" i="31" s="1"/>
  <c r="AO232" i="31" s="1"/>
  <c r="AP232" i="31" s="1"/>
  <c r="MG227" i="31" l="1"/>
  <c r="MK227" i="31" s="1"/>
  <c r="PF227" i="31"/>
  <c r="LQ228" i="31"/>
  <c r="LS228" i="31" s="1"/>
  <c r="LY228" i="31" s="1"/>
  <c r="MA228" i="31" s="1"/>
  <c r="LL229" i="31"/>
  <c r="LO229" i="31" s="1"/>
  <c r="LE230" i="31"/>
  <c r="LJ231" i="31"/>
  <c r="AJ233" i="31"/>
  <c r="AM233" i="31"/>
  <c r="AN233" i="31" s="1"/>
  <c r="AO233" i="31" s="1"/>
  <c r="AP233" i="31" s="1"/>
  <c r="LK232" i="31"/>
  <c r="LI232" i="31"/>
  <c r="GD232" i="31" s="1"/>
  <c r="GE232" i="31" s="1"/>
  <c r="GF232" i="31" s="1"/>
  <c r="LH232" i="31"/>
  <c r="AL234" i="31"/>
  <c r="HI234" i="31"/>
  <c r="HD234" i="31"/>
  <c r="KZ234" i="31"/>
  <c r="HH234" i="31"/>
  <c r="AK234" i="31"/>
  <c r="IG234" i="31"/>
  <c r="IH234" i="31" s="1"/>
  <c r="IK234" i="31" s="1"/>
  <c r="AI233" i="31"/>
  <c r="LG233" i="31"/>
  <c r="LF233" i="31"/>
  <c r="MI227" i="31" l="1"/>
  <c r="MP227" i="31" s="1"/>
  <c r="MH227" i="31"/>
  <c r="MM227" i="31"/>
  <c r="MN227" i="31" s="1"/>
  <c r="LT228" i="31"/>
  <c r="ME228" i="31" s="1"/>
  <c r="LR228" i="31"/>
  <c r="LX228" i="31" s="1"/>
  <c r="LZ228" i="31" s="1"/>
  <c r="LQ229" i="31"/>
  <c r="LS229" i="31" s="1"/>
  <c r="LY229" i="31" s="1"/>
  <c r="MA229" i="31" s="1"/>
  <c r="LL230" i="31"/>
  <c r="LO230" i="31" s="1"/>
  <c r="LQ230" i="31" s="1"/>
  <c r="LE231" i="31"/>
  <c r="ML227" i="31"/>
  <c r="AJ234" i="31"/>
  <c r="LJ232" i="31"/>
  <c r="AM234" i="31"/>
  <c r="AN234" i="31" s="1"/>
  <c r="AO234" i="31" s="1"/>
  <c r="AP234" i="31" s="1"/>
  <c r="AI234" i="31"/>
  <c r="LF234" i="31"/>
  <c r="LG234" i="31"/>
  <c r="HD235" i="31"/>
  <c r="HH235" i="31"/>
  <c r="AL235" i="31"/>
  <c r="KZ235" i="31"/>
  <c r="HI235" i="31"/>
  <c r="AK235" i="31"/>
  <c r="IG235" i="31"/>
  <c r="IH235" i="31" s="1"/>
  <c r="IK235" i="31" s="1"/>
  <c r="LK233" i="31"/>
  <c r="LI233" i="31"/>
  <c r="GD233" i="31" s="1"/>
  <c r="GE233" i="31" s="1"/>
  <c r="GF233" i="31" s="1"/>
  <c r="LH233" i="31"/>
  <c r="MG228" i="31" l="1"/>
  <c r="MI228" i="31" s="1"/>
  <c r="MP228" i="31" s="1"/>
  <c r="PF228" i="31"/>
  <c r="LT229" i="31"/>
  <c r="ME229" i="31" s="1"/>
  <c r="PF229" i="31" s="1"/>
  <c r="LR229" i="31"/>
  <c r="LX229" i="31" s="1"/>
  <c r="LZ229" i="31" s="1"/>
  <c r="LL231" i="31"/>
  <c r="LO231" i="31" s="1"/>
  <c r="LQ231" i="31" s="1"/>
  <c r="LE232" i="31"/>
  <c r="LS230" i="31"/>
  <c r="LY230" i="31" s="1"/>
  <c r="MA230" i="31" s="1"/>
  <c r="LT230" i="31"/>
  <c r="ME230" i="31" s="1"/>
  <c r="LR230" i="31"/>
  <c r="LX230" i="31" s="1"/>
  <c r="LZ230" i="31" s="1"/>
  <c r="LJ233" i="31"/>
  <c r="AJ235" i="31"/>
  <c r="LG235" i="31"/>
  <c r="AI235" i="31"/>
  <c r="LF235" i="31"/>
  <c r="KZ236" i="31"/>
  <c r="HI236" i="31"/>
  <c r="AL236" i="31"/>
  <c r="HH236" i="31"/>
  <c r="AK236" i="31"/>
  <c r="HD236" i="31"/>
  <c r="IG236" i="31"/>
  <c r="IH236" i="31" s="1"/>
  <c r="IK236" i="31" s="1"/>
  <c r="AM235" i="31"/>
  <c r="AN235" i="31" s="1"/>
  <c r="AO235" i="31" s="1"/>
  <c r="AP235" i="31" s="1"/>
  <c r="LH234" i="31"/>
  <c r="LI234" i="31"/>
  <c r="GD234" i="31" s="1"/>
  <c r="GE234" i="31" s="1"/>
  <c r="GF234" i="31" s="1"/>
  <c r="LK234" i="31"/>
  <c r="MH228" i="31" l="1"/>
  <c r="MK228" i="31"/>
  <c r="MM228" i="31" s="1"/>
  <c r="MN228" i="31" s="1"/>
  <c r="MG230" i="31"/>
  <c r="MK230" i="31" s="1"/>
  <c r="PF230" i="31"/>
  <c r="MG229" i="31"/>
  <c r="LL232" i="31"/>
  <c r="LO232" i="31" s="1"/>
  <c r="LQ232" i="31" s="1"/>
  <c r="LE233" i="31"/>
  <c r="LR231" i="31"/>
  <c r="LX231" i="31" s="1"/>
  <c r="LZ231" i="31" s="1"/>
  <c r="LS231" i="31"/>
  <c r="LY231" i="31" s="1"/>
  <c r="MA231" i="31" s="1"/>
  <c r="LT231" i="31"/>
  <c r="ME231" i="31" s="1"/>
  <c r="AJ236" i="31"/>
  <c r="LJ234" i="31"/>
  <c r="LH235" i="31"/>
  <c r="LK235" i="31"/>
  <c r="LI235" i="31"/>
  <c r="GD235" i="31" s="1"/>
  <c r="GE235" i="31" s="1"/>
  <c r="GF235" i="31" s="1"/>
  <c r="AK237" i="31"/>
  <c r="HH237" i="31"/>
  <c r="HD237" i="31"/>
  <c r="HI237" i="31"/>
  <c r="AL237" i="31"/>
  <c r="KZ237" i="31"/>
  <c r="IG237" i="31"/>
  <c r="IH237" i="31" s="1"/>
  <c r="IK237" i="31" s="1"/>
  <c r="LF236" i="31"/>
  <c r="LG236" i="31"/>
  <c r="AI236" i="31"/>
  <c r="AM236" i="31"/>
  <c r="AN236" i="31" s="1"/>
  <c r="AO236" i="31" s="1"/>
  <c r="AP236" i="31" s="1"/>
  <c r="MI230" i="31" l="1"/>
  <c r="MP230" i="31" s="1"/>
  <c r="MH230" i="31"/>
  <c r="ML228" i="31"/>
  <c r="MG231" i="31"/>
  <c r="MK231" i="31" s="1"/>
  <c r="PF231" i="31"/>
  <c r="MM230" i="31"/>
  <c r="MN230" i="31" s="1"/>
  <c r="MK229" i="31"/>
  <c r="MH229" i="31"/>
  <c r="MI229" i="31"/>
  <c r="MP229" i="31" s="1"/>
  <c r="LL233" i="31"/>
  <c r="LO233" i="31" s="1"/>
  <c r="LQ233" i="31" s="1"/>
  <c r="ML230" i="31"/>
  <c r="LT232" i="31"/>
  <c r="ME232" i="31" s="1"/>
  <c r="LR232" i="31"/>
  <c r="LX232" i="31" s="1"/>
  <c r="LZ232" i="31" s="1"/>
  <c r="LE234" i="31"/>
  <c r="LS232" i="31"/>
  <c r="LY232" i="31" s="1"/>
  <c r="MA232" i="31" s="1"/>
  <c r="AJ237" i="31"/>
  <c r="LJ235" i="31"/>
  <c r="LG237" i="31"/>
  <c r="AI237" i="31"/>
  <c r="LF237" i="31"/>
  <c r="LH236" i="31"/>
  <c r="LK236" i="31"/>
  <c r="LI236" i="31"/>
  <c r="GD236" i="31" s="1"/>
  <c r="GE236" i="31" s="1"/>
  <c r="GF236" i="31" s="1"/>
  <c r="AM237" i="31"/>
  <c r="AN237" i="31" s="1"/>
  <c r="AO237" i="31" s="1"/>
  <c r="AP237" i="31" s="1"/>
  <c r="KZ238" i="31"/>
  <c r="AK238" i="31"/>
  <c r="AL238" i="31"/>
  <c r="HH238" i="31"/>
  <c r="HI238" i="31"/>
  <c r="HD238" i="31"/>
  <c r="IG238" i="31"/>
  <c r="IH238" i="31" s="1"/>
  <c r="IK238" i="31" s="1"/>
  <c r="MI231" i="31" l="1"/>
  <c r="MP231" i="31" s="1"/>
  <c r="MH231" i="31"/>
  <c r="MG232" i="31"/>
  <c r="MK232" i="31" s="1"/>
  <c r="PF232" i="31"/>
  <c r="MM229" i="31"/>
  <c r="MN229" i="31" s="1"/>
  <c r="MM231" i="31"/>
  <c r="MN231" i="31" s="1"/>
  <c r="ML229" i="31"/>
  <c r="LL234" i="31"/>
  <c r="LO234" i="31" s="1"/>
  <c r="LQ234" i="31" s="1"/>
  <c r="LT234" i="31" s="1"/>
  <c r="ME234" i="31" s="1"/>
  <c r="ML231" i="31"/>
  <c r="LE235" i="31"/>
  <c r="LR233" i="31"/>
  <c r="LX233" i="31" s="1"/>
  <c r="LZ233" i="31" s="1"/>
  <c r="LT233" i="31"/>
  <c r="ME233" i="31" s="1"/>
  <c r="LS233" i="31"/>
  <c r="LY233" i="31" s="1"/>
  <c r="MA233" i="31" s="1"/>
  <c r="AJ238" i="31"/>
  <c r="AM238" i="31"/>
  <c r="AN238" i="31" s="1"/>
  <c r="AO238" i="31" s="1"/>
  <c r="AP238" i="31" s="1"/>
  <c r="LJ236" i="31"/>
  <c r="AL239" i="31"/>
  <c r="AK239" i="31"/>
  <c r="HD239" i="31"/>
  <c r="HI239" i="31"/>
  <c r="KZ239" i="31"/>
  <c r="HH239" i="31"/>
  <c r="IG239" i="31"/>
  <c r="IH239" i="31" s="1"/>
  <c r="IK239" i="31" s="1"/>
  <c r="AI238" i="31"/>
  <c r="LG238" i="31"/>
  <c r="LF238" i="31"/>
  <c r="LK237" i="31"/>
  <c r="LI237" i="31"/>
  <c r="GD237" i="31" s="1"/>
  <c r="GE237" i="31" s="1"/>
  <c r="GF237" i="31" s="1"/>
  <c r="LH237" i="31"/>
  <c r="MI232" i="31" l="1"/>
  <c r="MP232" i="31" s="1"/>
  <c r="MH232" i="31"/>
  <c r="MG233" i="31"/>
  <c r="MK233" i="31" s="1"/>
  <c r="PF233" i="31"/>
  <c r="MG234" i="31"/>
  <c r="MK234" i="31" s="1"/>
  <c r="ML234" i="31" s="1"/>
  <c r="PF234" i="31"/>
  <c r="MM232" i="31"/>
  <c r="MN232" i="31" s="1"/>
  <c r="LS234" i="31"/>
  <c r="LY234" i="31" s="1"/>
  <c r="MA234" i="31" s="1"/>
  <c r="LR234" i="31"/>
  <c r="LX234" i="31" s="1"/>
  <c r="LZ234" i="31" s="1"/>
  <c r="LL235" i="31"/>
  <c r="LO235" i="31" s="1"/>
  <c r="LQ235" i="31" s="1"/>
  <c r="LR235" i="31" s="1"/>
  <c r="LX235" i="31" s="1"/>
  <c r="LZ235" i="31" s="1"/>
  <c r="ML232" i="31"/>
  <c r="LE236" i="31"/>
  <c r="AJ239" i="31"/>
  <c r="AM239" i="31"/>
  <c r="AN239" i="31" s="1"/>
  <c r="AO239" i="31" s="1"/>
  <c r="AP239" i="31" s="1"/>
  <c r="LK238" i="31"/>
  <c r="LH238" i="31"/>
  <c r="LI238" i="31"/>
  <c r="GD238" i="31" s="1"/>
  <c r="GE238" i="31" s="1"/>
  <c r="GF238" i="31" s="1"/>
  <c r="LF239" i="31"/>
  <c r="LG239" i="31"/>
  <c r="AI239" i="31"/>
  <c r="AL240" i="31"/>
  <c r="HI240" i="31"/>
  <c r="HD240" i="31"/>
  <c r="AK240" i="31"/>
  <c r="KZ240" i="31"/>
  <c r="HH240" i="31"/>
  <c r="IG240" i="31"/>
  <c r="IH240" i="31" s="1"/>
  <c r="IK240" i="31" s="1"/>
  <c r="LJ237" i="31"/>
  <c r="MI234" i="31" l="1"/>
  <c r="MP234" i="31" s="1"/>
  <c r="MI233" i="31"/>
  <c r="MP233" i="31" s="1"/>
  <c r="MH233" i="31"/>
  <c r="MH234" i="31"/>
  <c r="MM233" i="31"/>
  <c r="MN233" i="31" s="1"/>
  <c r="MM234" i="31"/>
  <c r="MN234" i="31" s="1"/>
  <c r="LT235" i="31"/>
  <c r="ME235" i="31" s="1"/>
  <c r="LS235" i="31"/>
  <c r="LY235" i="31" s="1"/>
  <c r="MA235" i="31" s="1"/>
  <c r="LL236" i="31"/>
  <c r="LO236" i="31" s="1"/>
  <c r="LQ236" i="31" s="1"/>
  <c r="ML233" i="31"/>
  <c r="LE237" i="31"/>
  <c r="AJ240" i="31"/>
  <c r="AM240" i="31"/>
  <c r="AN240" i="31" s="1"/>
  <c r="AO240" i="31" s="1"/>
  <c r="AP240" i="31" s="1"/>
  <c r="LJ238" i="31"/>
  <c r="LI239" i="31"/>
  <c r="GD239" i="31" s="1"/>
  <c r="GE239" i="31" s="1"/>
  <c r="GF239" i="31" s="1"/>
  <c r="LK239" i="31"/>
  <c r="LH239" i="31"/>
  <c r="AI240" i="31"/>
  <c r="LG240" i="31"/>
  <c r="LF240" i="31"/>
  <c r="AK241" i="31"/>
  <c r="KZ241" i="31"/>
  <c r="HH241" i="31"/>
  <c r="HI241" i="31"/>
  <c r="HD241" i="31"/>
  <c r="AL241" i="31"/>
  <c r="IG241" i="31"/>
  <c r="IH241" i="31" s="1"/>
  <c r="IK241" i="31" s="1"/>
  <c r="MG235" i="31" l="1"/>
  <c r="MK235" i="31" s="1"/>
  <c r="ML235" i="31" s="1"/>
  <c r="PF235" i="31"/>
  <c r="LL237" i="31"/>
  <c r="LO237" i="31" s="1"/>
  <c r="LQ237" i="31" s="1"/>
  <c r="LR237" i="31" s="1"/>
  <c r="LX237" i="31" s="1"/>
  <c r="LZ237" i="31" s="1"/>
  <c r="LT236" i="31"/>
  <c r="ME236" i="31" s="1"/>
  <c r="LR236" i="31"/>
  <c r="LX236" i="31" s="1"/>
  <c r="LZ236" i="31" s="1"/>
  <c r="LE238" i="31"/>
  <c r="LS236" i="31"/>
  <c r="LY236" i="31" s="1"/>
  <c r="MA236" i="31" s="1"/>
  <c r="AJ241" i="31"/>
  <c r="LJ239" i="31"/>
  <c r="LK240" i="31"/>
  <c r="LI240" i="31"/>
  <c r="GD240" i="31" s="1"/>
  <c r="GE240" i="31" s="1"/>
  <c r="GF240" i="31" s="1"/>
  <c r="LH240" i="31"/>
  <c r="AM241" i="31"/>
  <c r="AN241" i="31" s="1"/>
  <c r="AO241" i="31" s="1"/>
  <c r="AP241" i="31" s="1"/>
  <c r="HI242" i="31"/>
  <c r="AK242" i="31"/>
  <c r="HD242" i="31"/>
  <c r="KZ242" i="31"/>
  <c r="AL242" i="31"/>
  <c r="HH242" i="31"/>
  <c r="IG242" i="31"/>
  <c r="IH242" i="31" s="1"/>
  <c r="IK242" i="31" s="1"/>
  <c r="LF241" i="31"/>
  <c r="AI241" i="31"/>
  <c r="LG241" i="31"/>
  <c r="MH235" i="31" l="1"/>
  <c r="MI235" i="31"/>
  <c r="MP235" i="31" s="1"/>
  <c r="MG236" i="31"/>
  <c r="MK236" i="31" s="1"/>
  <c r="PF236" i="31"/>
  <c r="MM235" i="31"/>
  <c r="MN235" i="31" s="1"/>
  <c r="LL238" i="31"/>
  <c r="LO238" i="31" s="1"/>
  <c r="LQ238" i="31" s="1"/>
  <c r="LT237" i="31"/>
  <c r="ME237" i="31" s="1"/>
  <c r="LS237" i="31"/>
  <c r="LY237" i="31" s="1"/>
  <c r="MA237" i="31" s="1"/>
  <c r="LE239" i="31"/>
  <c r="AJ242" i="31"/>
  <c r="AM242" i="31"/>
  <c r="AN242" i="31" s="1"/>
  <c r="AO242" i="31" s="1"/>
  <c r="AP242" i="31" s="1"/>
  <c r="LH241" i="31"/>
  <c r="LK241" i="31"/>
  <c r="LI241" i="31"/>
  <c r="GD241" i="31" s="1"/>
  <c r="GE241" i="31" s="1"/>
  <c r="GF241" i="31" s="1"/>
  <c r="LG242" i="31"/>
  <c r="AI242" i="31"/>
  <c r="LF242" i="31"/>
  <c r="HI243" i="31"/>
  <c r="HD243" i="31"/>
  <c r="AL243" i="31"/>
  <c r="AK243" i="31"/>
  <c r="KZ243" i="31"/>
  <c r="HH243" i="31"/>
  <c r="IG243" i="31"/>
  <c r="IH243" i="31" s="1"/>
  <c r="IK243" i="31" s="1"/>
  <c r="LJ240" i="31"/>
  <c r="MI236" i="31" l="1"/>
  <c r="MP236" i="31" s="1"/>
  <c r="MH236" i="31"/>
  <c r="MG237" i="31"/>
  <c r="MI237" i="31" s="1"/>
  <c r="MP237" i="31" s="1"/>
  <c r="PF237" i="31"/>
  <c r="MM236" i="31"/>
  <c r="MN236" i="31" s="1"/>
  <c r="LL239" i="31"/>
  <c r="LO239" i="31" s="1"/>
  <c r="LQ239" i="31" s="1"/>
  <c r="ML236" i="31"/>
  <c r="LE240" i="31"/>
  <c r="LS238" i="31"/>
  <c r="LY238" i="31" s="1"/>
  <c r="MA238" i="31" s="1"/>
  <c r="LR238" i="31"/>
  <c r="LX238" i="31" s="1"/>
  <c r="LZ238" i="31" s="1"/>
  <c r="LT238" i="31"/>
  <c r="ME238" i="31" s="1"/>
  <c r="AJ243" i="31"/>
  <c r="AM243" i="31"/>
  <c r="AN243" i="31" s="1"/>
  <c r="AO243" i="31" s="1"/>
  <c r="AP243" i="31" s="1"/>
  <c r="LH242" i="31"/>
  <c r="LI242" i="31"/>
  <c r="GD242" i="31" s="1"/>
  <c r="GE242" i="31" s="1"/>
  <c r="GF242" i="31" s="1"/>
  <c r="LK242" i="31"/>
  <c r="HI244" i="31"/>
  <c r="KZ244" i="31"/>
  <c r="AK244" i="31"/>
  <c r="AL244" i="31"/>
  <c r="HH244" i="31"/>
  <c r="HD244" i="31"/>
  <c r="IG244" i="31"/>
  <c r="IH244" i="31" s="1"/>
  <c r="IK244" i="31" s="1"/>
  <c r="AI243" i="31"/>
  <c r="LF243" i="31"/>
  <c r="LG243" i="31"/>
  <c r="LJ241" i="31"/>
  <c r="MH237" i="31" l="1"/>
  <c r="MK237" i="31"/>
  <c r="MM237" i="31" s="1"/>
  <c r="MN237" i="31" s="1"/>
  <c r="MG238" i="31"/>
  <c r="MK238" i="31" s="1"/>
  <c r="PF238" i="31"/>
  <c r="LL240" i="31"/>
  <c r="LO240" i="31" s="1"/>
  <c r="LQ240" i="31" s="1"/>
  <c r="LS240" i="31" s="1"/>
  <c r="LY240" i="31" s="1"/>
  <c r="MA240" i="31" s="1"/>
  <c r="LE241" i="31"/>
  <c r="LS239" i="31"/>
  <c r="LY239" i="31" s="1"/>
  <c r="MA239" i="31" s="1"/>
  <c r="LT239" i="31"/>
  <c r="ME239" i="31" s="1"/>
  <c r="LR239" i="31"/>
  <c r="LX239" i="31" s="1"/>
  <c r="LZ239" i="31" s="1"/>
  <c r="AJ244" i="31"/>
  <c r="AI244" i="31"/>
  <c r="LG244" i="31"/>
  <c r="LF244" i="31"/>
  <c r="LJ242" i="31"/>
  <c r="HD245" i="31"/>
  <c r="AL245" i="31"/>
  <c r="HI245" i="31"/>
  <c r="AK245" i="31"/>
  <c r="KZ245" i="31"/>
  <c r="HH245" i="31"/>
  <c r="IG245" i="31"/>
  <c r="IH245" i="31" s="1"/>
  <c r="IK245" i="31" s="1"/>
  <c r="LH243" i="31"/>
  <c r="LI243" i="31"/>
  <c r="GD243" i="31" s="1"/>
  <c r="GE243" i="31" s="1"/>
  <c r="GF243" i="31" s="1"/>
  <c r="LK243" i="31"/>
  <c r="AM244" i="31"/>
  <c r="AN244" i="31" s="1"/>
  <c r="AO244" i="31" s="1"/>
  <c r="AP244" i="31" s="1"/>
  <c r="MI238" i="31" l="1"/>
  <c r="MP238" i="31" s="1"/>
  <c r="ML237" i="31"/>
  <c r="MH238" i="31"/>
  <c r="MG239" i="31"/>
  <c r="MK239" i="31" s="1"/>
  <c r="PF239" i="31"/>
  <c r="MM238" i="31"/>
  <c r="MN238" i="31" s="1"/>
  <c r="LR240" i="31"/>
  <c r="LX240" i="31" s="1"/>
  <c r="LZ240" i="31" s="1"/>
  <c r="LT240" i="31"/>
  <c r="ME240" i="31" s="1"/>
  <c r="LL241" i="31"/>
  <c r="LO241" i="31" s="1"/>
  <c r="LQ241" i="31" s="1"/>
  <c r="LR241" i="31" s="1"/>
  <c r="LX241" i="31" s="1"/>
  <c r="LZ241" i="31" s="1"/>
  <c r="ML238" i="31"/>
  <c r="LE242" i="31"/>
  <c r="AJ245" i="31"/>
  <c r="AM245" i="31"/>
  <c r="AN245" i="31" s="1"/>
  <c r="AO245" i="31" s="1"/>
  <c r="AP245" i="31" s="1"/>
  <c r="LK244" i="31"/>
  <c r="LI244" i="31"/>
  <c r="GD244" i="31" s="1"/>
  <c r="GE244" i="31" s="1"/>
  <c r="GF244" i="31" s="1"/>
  <c r="LH244" i="31"/>
  <c r="HI246" i="31"/>
  <c r="HD246" i="31"/>
  <c r="AK246" i="31"/>
  <c r="AL246" i="31"/>
  <c r="KZ246" i="31"/>
  <c r="HH246" i="31"/>
  <c r="IG246" i="31"/>
  <c r="IH246" i="31" s="1"/>
  <c r="IK246" i="31" s="1"/>
  <c r="LJ243" i="31"/>
  <c r="AI245" i="31"/>
  <c r="LF245" i="31"/>
  <c r="LG245" i="31"/>
  <c r="MI239" i="31" l="1"/>
  <c r="MP239" i="31" s="1"/>
  <c r="MH239" i="31"/>
  <c r="MG240" i="31"/>
  <c r="MI240" i="31" s="1"/>
  <c r="MP240" i="31" s="1"/>
  <c r="PF240" i="31"/>
  <c r="MM239" i="31"/>
  <c r="MN239" i="31" s="1"/>
  <c r="LT241" i="31"/>
  <c r="ME241" i="31" s="1"/>
  <c r="LS241" i="31"/>
  <c r="LY241" i="31" s="1"/>
  <c r="MA241" i="31" s="1"/>
  <c r="LL242" i="31"/>
  <c r="LO242" i="31" s="1"/>
  <c r="LQ242" i="31" s="1"/>
  <c r="LT242" i="31" s="1"/>
  <c r="ME242" i="31" s="1"/>
  <c r="ML239" i="31"/>
  <c r="LE243" i="31"/>
  <c r="AJ246" i="31"/>
  <c r="LJ244" i="31"/>
  <c r="LK245" i="31"/>
  <c r="LH245" i="31"/>
  <c r="LI245" i="31"/>
  <c r="GD245" i="31" s="1"/>
  <c r="GE245" i="31" s="1"/>
  <c r="GF245" i="31" s="1"/>
  <c r="AM246" i="31"/>
  <c r="AN246" i="31" s="1"/>
  <c r="AO246" i="31" s="1"/>
  <c r="AP246" i="31" s="1"/>
  <c r="LG246" i="31"/>
  <c r="LF246" i="31"/>
  <c r="AI246" i="31"/>
  <c r="KZ247" i="31"/>
  <c r="HH247" i="31"/>
  <c r="HI247" i="31"/>
  <c r="HD247" i="31"/>
  <c r="AL247" i="31"/>
  <c r="AK247" i="31"/>
  <c r="IG247" i="31"/>
  <c r="IH247" i="31" s="1"/>
  <c r="IK247" i="31" s="1"/>
  <c r="MK240" i="31" l="1"/>
  <c r="MM240" i="31" s="1"/>
  <c r="MN240" i="31" s="1"/>
  <c r="MH240" i="31"/>
  <c r="MG242" i="31"/>
  <c r="MI242" i="31" s="1"/>
  <c r="MP242" i="31" s="1"/>
  <c r="PF242" i="31"/>
  <c r="MG241" i="31"/>
  <c r="MH241" i="31" s="1"/>
  <c r="PF241" i="31"/>
  <c r="LR242" i="31"/>
  <c r="LX242" i="31" s="1"/>
  <c r="LZ242" i="31" s="1"/>
  <c r="LS242" i="31"/>
  <c r="LY242" i="31" s="1"/>
  <c r="MA242" i="31" s="1"/>
  <c r="LL243" i="31"/>
  <c r="LO243" i="31" s="1"/>
  <c r="LQ243" i="31" s="1"/>
  <c r="LR243" i="31" s="1"/>
  <c r="LX243" i="31" s="1"/>
  <c r="LZ243" i="31" s="1"/>
  <c r="LE244" i="31"/>
  <c r="LJ245" i="31"/>
  <c r="AJ247" i="31"/>
  <c r="AM247" i="31"/>
  <c r="AN247" i="31" s="1"/>
  <c r="AO247" i="31" s="1"/>
  <c r="AP247" i="31" s="1"/>
  <c r="HI248" i="31"/>
  <c r="HH248" i="31"/>
  <c r="KZ248" i="31"/>
  <c r="AL248" i="31"/>
  <c r="AK248" i="31"/>
  <c r="HD248" i="31"/>
  <c r="IG248" i="31"/>
  <c r="IH248" i="31" s="1"/>
  <c r="IK248" i="31" s="1"/>
  <c r="LF247" i="31"/>
  <c r="LG247" i="31"/>
  <c r="AI247" i="31"/>
  <c r="LH246" i="31"/>
  <c r="LK246" i="31"/>
  <c r="LI246" i="31"/>
  <c r="GD246" i="31" s="1"/>
  <c r="GE246" i="31" s="1"/>
  <c r="GF246" i="31" s="1"/>
  <c r="MK242" i="31" l="1"/>
  <c r="ML242" i="31" s="1"/>
  <c r="ML240" i="31"/>
  <c r="MI241" i="31"/>
  <c r="MP241" i="31" s="1"/>
  <c r="MK241" i="31"/>
  <c r="ML241" i="31" s="1"/>
  <c r="MH242" i="31"/>
  <c r="LT243" i="31"/>
  <c r="ME243" i="31" s="1"/>
  <c r="LS243" i="31"/>
  <c r="LY243" i="31" s="1"/>
  <c r="MA243" i="31" s="1"/>
  <c r="LL244" i="31"/>
  <c r="LO244" i="31" s="1"/>
  <c r="LQ244" i="31" s="1"/>
  <c r="LE245" i="31"/>
  <c r="AJ248" i="31"/>
  <c r="AM248" i="31"/>
  <c r="AN248" i="31" s="1"/>
  <c r="AO248" i="31" s="1"/>
  <c r="AP248" i="31" s="1"/>
  <c r="LJ246" i="31"/>
  <c r="LF248" i="31"/>
  <c r="AI248" i="31"/>
  <c r="LG248" i="31"/>
  <c r="AK249" i="31"/>
  <c r="AL249" i="31"/>
  <c r="HD249" i="31"/>
  <c r="HI249" i="31"/>
  <c r="HH249" i="31"/>
  <c r="KZ249" i="31"/>
  <c r="IG249" i="31"/>
  <c r="IH249" i="31" s="1"/>
  <c r="IK249" i="31" s="1"/>
  <c r="LI247" i="31"/>
  <c r="GD247" i="31" s="1"/>
  <c r="GE247" i="31" s="1"/>
  <c r="GF247" i="31" s="1"/>
  <c r="LH247" i="31"/>
  <c r="LK247" i="31"/>
  <c r="MM241" i="31" l="1"/>
  <c r="MN241" i="31" s="1"/>
  <c r="MM242" i="31"/>
  <c r="MN242" i="31" s="1"/>
  <c r="MG243" i="31"/>
  <c r="MI243" i="31" s="1"/>
  <c r="MP243" i="31" s="1"/>
  <c r="PF243" i="31"/>
  <c r="LL245" i="31"/>
  <c r="LO245" i="31" s="1"/>
  <c r="LQ245" i="31" s="1"/>
  <c r="LS244" i="31"/>
  <c r="LY244" i="31" s="1"/>
  <c r="MA244" i="31" s="1"/>
  <c r="LT244" i="31"/>
  <c r="ME244" i="31" s="1"/>
  <c r="LE246" i="31"/>
  <c r="LR244" i="31"/>
  <c r="LX244" i="31" s="1"/>
  <c r="LZ244" i="31" s="1"/>
  <c r="AJ249" i="31"/>
  <c r="LJ247" i="31"/>
  <c r="AI249" i="31"/>
  <c r="LG249" i="31"/>
  <c r="LF249" i="31"/>
  <c r="AM249" i="31"/>
  <c r="AN249" i="31" s="1"/>
  <c r="AO249" i="31" s="1"/>
  <c r="AP249" i="31" s="1"/>
  <c r="LK248" i="31"/>
  <c r="LI248" i="31"/>
  <c r="GD248" i="31" s="1"/>
  <c r="GE248" i="31" s="1"/>
  <c r="GF248" i="31" s="1"/>
  <c r="LH248" i="31"/>
  <c r="AK250" i="31"/>
  <c r="KZ250" i="31"/>
  <c r="AL250" i="31"/>
  <c r="HI250" i="31"/>
  <c r="HH250" i="31"/>
  <c r="HD250" i="31"/>
  <c r="IG250" i="31"/>
  <c r="IH250" i="31" s="1"/>
  <c r="IK250" i="31" s="1"/>
  <c r="MK243" i="31" l="1"/>
  <c r="MM243" i="31" s="1"/>
  <c r="MN243" i="31" s="1"/>
  <c r="MH243" i="31"/>
  <c r="MG244" i="31"/>
  <c r="MK244" i="31" s="1"/>
  <c r="PF244" i="31"/>
  <c r="LL246" i="31"/>
  <c r="LO246" i="31" s="1"/>
  <c r="LQ246" i="31" s="1"/>
  <c r="LE247" i="31"/>
  <c r="LR245" i="31"/>
  <c r="LX245" i="31" s="1"/>
  <c r="LZ245" i="31" s="1"/>
  <c r="LS245" i="31"/>
  <c r="LY245" i="31" s="1"/>
  <c r="MA245" i="31" s="1"/>
  <c r="LT245" i="31"/>
  <c r="ME245" i="31" s="1"/>
  <c r="LJ248" i="31"/>
  <c r="AJ250" i="31"/>
  <c r="AM250" i="31"/>
  <c r="AN250" i="31" s="1"/>
  <c r="AO250" i="31" s="1"/>
  <c r="AP250" i="31" s="1"/>
  <c r="LH249" i="31"/>
  <c r="LI249" i="31"/>
  <c r="GD249" i="31" s="1"/>
  <c r="GE249" i="31" s="1"/>
  <c r="GF249" i="31" s="1"/>
  <c r="LK249" i="31"/>
  <c r="AK251" i="31"/>
  <c r="KZ251" i="31"/>
  <c r="AL251" i="31"/>
  <c r="HI251" i="31"/>
  <c r="HD251" i="31"/>
  <c r="HH251" i="31"/>
  <c r="IG251" i="31"/>
  <c r="IH251" i="31" s="1"/>
  <c r="IK251" i="31" s="1"/>
  <c r="LG250" i="31"/>
  <c r="LF250" i="31"/>
  <c r="AI250" i="31"/>
  <c r="MI244" i="31" l="1"/>
  <c r="MP244" i="31" s="1"/>
  <c r="ML243" i="31"/>
  <c r="MH244" i="31"/>
  <c r="MG245" i="31"/>
  <c r="MK245" i="31" s="1"/>
  <c r="PF245" i="31"/>
  <c r="MM244" i="31"/>
  <c r="MN244" i="31" s="1"/>
  <c r="LL247" i="31"/>
  <c r="LO247" i="31" s="1"/>
  <c r="LQ247" i="31" s="1"/>
  <c r="LE248" i="31"/>
  <c r="ML244" i="31"/>
  <c r="LR246" i="31"/>
  <c r="LX246" i="31" s="1"/>
  <c r="LZ246" i="31" s="1"/>
  <c r="LS246" i="31"/>
  <c r="LY246" i="31" s="1"/>
  <c r="MA246" i="31" s="1"/>
  <c r="LT246" i="31"/>
  <c r="ME246" i="31" s="1"/>
  <c r="AJ251" i="31"/>
  <c r="LH250" i="31"/>
  <c r="LI250" i="31"/>
  <c r="GD250" i="31" s="1"/>
  <c r="GE250" i="31" s="1"/>
  <c r="GF250" i="31" s="1"/>
  <c r="LK250" i="31"/>
  <c r="HD252" i="31"/>
  <c r="HI252" i="31"/>
  <c r="KZ252" i="31"/>
  <c r="HH252" i="31"/>
  <c r="AK252" i="31"/>
  <c r="AL252" i="31"/>
  <c r="IG252" i="31"/>
  <c r="IH252" i="31" s="1"/>
  <c r="IK252" i="31" s="1"/>
  <c r="AM251" i="31"/>
  <c r="AN251" i="31" s="1"/>
  <c r="AO251" i="31" s="1"/>
  <c r="AP251" i="31" s="1"/>
  <c r="LJ249" i="31"/>
  <c r="LF251" i="31"/>
  <c r="LG251" i="31"/>
  <c r="AI251" i="31"/>
  <c r="MI245" i="31" l="1"/>
  <c r="MP245" i="31" s="1"/>
  <c r="MH245" i="31"/>
  <c r="MG246" i="31"/>
  <c r="MK246" i="31" s="1"/>
  <c r="PF246" i="31"/>
  <c r="MM245" i="31"/>
  <c r="MN245" i="31" s="1"/>
  <c r="LL248" i="31"/>
  <c r="LO248" i="31" s="1"/>
  <c r="LE249" i="31"/>
  <c r="LS247" i="31"/>
  <c r="LY247" i="31" s="1"/>
  <c r="MA247" i="31" s="1"/>
  <c r="LT247" i="31"/>
  <c r="ME247" i="31" s="1"/>
  <c r="ML245" i="31"/>
  <c r="LR247" i="31"/>
  <c r="LX247" i="31" s="1"/>
  <c r="LZ247" i="31" s="1"/>
  <c r="AJ252" i="31"/>
  <c r="HI253" i="31"/>
  <c r="AK253" i="31"/>
  <c r="HD253" i="31"/>
  <c r="HH253" i="31"/>
  <c r="AL253" i="31"/>
  <c r="KZ253" i="31"/>
  <c r="IG253" i="31"/>
  <c r="IH253" i="31" s="1"/>
  <c r="IK253" i="31" s="1"/>
  <c r="LG252" i="31"/>
  <c r="AI252" i="31"/>
  <c r="LF252" i="31"/>
  <c r="LK251" i="31"/>
  <c r="LI251" i="31"/>
  <c r="GD251" i="31" s="1"/>
  <c r="GE251" i="31" s="1"/>
  <c r="GF251" i="31" s="1"/>
  <c r="LH251" i="31"/>
  <c r="AM252" i="31"/>
  <c r="AN252" i="31" s="1"/>
  <c r="AO252" i="31" s="1"/>
  <c r="AP252" i="31" s="1"/>
  <c r="LJ250" i="31"/>
  <c r="MH246" i="31" l="1"/>
  <c r="MI246" i="31"/>
  <c r="MP246" i="31" s="1"/>
  <c r="MG247" i="31"/>
  <c r="MK247" i="31" s="1"/>
  <c r="PF247" i="31"/>
  <c r="MM246" i="31"/>
  <c r="MN246" i="31" s="1"/>
  <c r="LQ248" i="31"/>
  <c r="LT248" i="31" s="1"/>
  <c r="ME248" i="31" s="1"/>
  <c r="LL249" i="31"/>
  <c r="LO249" i="31" s="1"/>
  <c r="ML246" i="31"/>
  <c r="LE250" i="31"/>
  <c r="LJ251" i="31"/>
  <c r="AJ253" i="31"/>
  <c r="LK252" i="31"/>
  <c r="LH252" i="31"/>
  <c r="LI252" i="31"/>
  <c r="GD252" i="31" s="1"/>
  <c r="GE252" i="31" s="1"/>
  <c r="GF252" i="31" s="1"/>
  <c r="LF253" i="31"/>
  <c r="AI253" i="31"/>
  <c r="LG253" i="31"/>
  <c r="KZ254" i="31"/>
  <c r="HD254" i="31"/>
  <c r="HH254" i="31"/>
  <c r="AK254" i="31"/>
  <c r="HI254" i="31"/>
  <c r="AL254" i="31"/>
  <c r="IG254" i="31"/>
  <c r="IH254" i="31" s="1"/>
  <c r="IK254" i="31" s="1"/>
  <c r="AM253" i="31"/>
  <c r="AN253" i="31" s="1"/>
  <c r="AO253" i="31" s="1"/>
  <c r="AP253" i="31" s="1"/>
  <c r="MH247" i="31" l="1"/>
  <c r="MI247" i="31"/>
  <c r="MP247" i="31" s="1"/>
  <c r="MG248" i="31"/>
  <c r="MK248" i="31" s="1"/>
  <c r="PF248" i="31"/>
  <c r="MM247" i="31"/>
  <c r="MN247" i="31" s="1"/>
  <c r="LS248" i="31"/>
  <c r="LY248" i="31" s="1"/>
  <c r="MA248" i="31" s="1"/>
  <c r="LR248" i="31"/>
  <c r="LX248" i="31" s="1"/>
  <c r="LZ248" i="31" s="1"/>
  <c r="LQ249" i="31"/>
  <c r="LL250" i="31"/>
  <c r="LO250" i="31" s="1"/>
  <c r="LQ250" i="31" s="1"/>
  <c r="LS250" i="31" s="1"/>
  <c r="LY250" i="31" s="1"/>
  <c r="MA250" i="31" s="1"/>
  <c r="LE251" i="31"/>
  <c r="ML247" i="31"/>
  <c r="LJ252" i="31"/>
  <c r="AJ254" i="31"/>
  <c r="LI253" i="31"/>
  <c r="GD253" i="31" s="1"/>
  <c r="GE253" i="31" s="1"/>
  <c r="GF253" i="31" s="1"/>
  <c r="LK253" i="31"/>
  <c r="LH253" i="31"/>
  <c r="AM254" i="31"/>
  <c r="AN254" i="31" s="1"/>
  <c r="AO254" i="31" s="1"/>
  <c r="AP254" i="31" s="1"/>
  <c r="LF254" i="31"/>
  <c r="AI254" i="31"/>
  <c r="LG254" i="31"/>
  <c r="HI255" i="31"/>
  <c r="KZ255" i="31"/>
  <c r="AK255" i="31"/>
  <c r="AL255" i="31"/>
  <c r="HD255" i="31"/>
  <c r="HH255" i="31"/>
  <c r="IG255" i="31"/>
  <c r="IH255" i="31" s="1"/>
  <c r="IK255" i="31" s="1"/>
  <c r="MI248" i="31" l="1"/>
  <c r="MP248" i="31" s="1"/>
  <c r="MH248" i="31"/>
  <c r="MM248" i="31"/>
  <c r="MN248" i="31" s="1"/>
  <c r="ML248" i="31"/>
  <c r="LT250" i="31"/>
  <c r="ME250" i="31" s="1"/>
  <c r="LR250" i="31"/>
  <c r="LX250" i="31" s="1"/>
  <c r="LZ250" i="31" s="1"/>
  <c r="LR249" i="31"/>
  <c r="LX249" i="31" s="1"/>
  <c r="LZ249" i="31" s="1"/>
  <c r="LS249" i="31"/>
  <c r="LY249" i="31" s="1"/>
  <c r="MA249" i="31" s="1"/>
  <c r="LT249" i="31"/>
  <c r="ME249" i="31" s="1"/>
  <c r="LL251" i="31"/>
  <c r="LO251" i="31" s="1"/>
  <c r="LQ251" i="31" s="1"/>
  <c r="LE252" i="31"/>
  <c r="AJ255" i="31"/>
  <c r="LJ253" i="31"/>
  <c r="AL256" i="31"/>
  <c r="HH256" i="31"/>
  <c r="HD256" i="31"/>
  <c r="AK256" i="31"/>
  <c r="KZ256" i="31"/>
  <c r="HI256" i="31"/>
  <c r="IG256" i="31"/>
  <c r="IH256" i="31" s="1"/>
  <c r="IK256" i="31" s="1"/>
  <c r="LF255" i="31"/>
  <c r="AI255" i="31"/>
  <c r="LG255" i="31"/>
  <c r="AM255" i="31"/>
  <c r="AN255" i="31" s="1"/>
  <c r="AO255" i="31" s="1"/>
  <c r="AP255" i="31" s="1"/>
  <c r="LK254" i="31"/>
  <c r="LI254" i="31"/>
  <c r="GD254" i="31" s="1"/>
  <c r="GE254" i="31" s="1"/>
  <c r="GF254" i="31" s="1"/>
  <c r="LH254" i="31"/>
  <c r="MG249" i="31" l="1"/>
  <c r="MH249" i="31" s="1"/>
  <c r="PF249" i="31"/>
  <c r="MG250" i="31"/>
  <c r="MK250" i="31" s="1"/>
  <c r="ML250" i="31" s="1"/>
  <c r="PF250" i="31"/>
  <c r="LL252" i="31"/>
  <c r="LO252" i="31" s="1"/>
  <c r="LS251" i="31"/>
  <c r="LY251" i="31" s="1"/>
  <c r="MA251" i="31" s="1"/>
  <c r="LR251" i="31"/>
  <c r="LX251" i="31" s="1"/>
  <c r="LZ251" i="31" s="1"/>
  <c r="LE253" i="31"/>
  <c r="LT251" i="31"/>
  <c r="ME251" i="31" s="1"/>
  <c r="PF251" i="31" s="1"/>
  <c r="AJ256" i="31"/>
  <c r="AM256" i="31"/>
  <c r="AN256" i="31" s="1"/>
  <c r="AO256" i="31" s="1"/>
  <c r="AP256" i="31" s="1"/>
  <c r="LG256" i="31"/>
  <c r="LF256" i="31"/>
  <c r="AI256" i="31"/>
  <c r="KZ257" i="31"/>
  <c r="HI257" i="31"/>
  <c r="AL257" i="31"/>
  <c r="HH257" i="31"/>
  <c r="AK257" i="31"/>
  <c r="HD257" i="31"/>
  <c r="IG257" i="31"/>
  <c r="IH257" i="31" s="1"/>
  <c r="IK257" i="31" s="1"/>
  <c r="LJ254" i="31"/>
  <c r="LK255" i="31"/>
  <c r="LI255" i="31"/>
  <c r="GD255" i="31" s="1"/>
  <c r="GE255" i="31" s="1"/>
  <c r="GF255" i="31" s="1"/>
  <c r="LH255" i="31"/>
  <c r="MK249" i="31" l="1"/>
  <c r="MM249" i="31" s="1"/>
  <c r="MN249" i="31" s="1"/>
  <c r="MI249" i="31"/>
  <c r="MP249" i="31" s="1"/>
  <c r="MH250" i="31"/>
  <c r="MI250" i="31"/>
  <c r="MP250" i="31" s="1"/>
  <c r="MM250" i="31"/>
  <c r="MN250" i="31" s="1"/>
  <c r="LQ252" i="31"/>
  <c r="LS252" i="31" s="1"/>
  <c r="LY252" i="31" s="1"/>
  <c r="MA252" i="31" s="1"/>
  <c r="LL253" i="31"/>
  <c r="LO253" i="31" s="1"/>
  <c r="LQ253" i="31" s="1"/>
  <c r="LS253" i="31" s="1"/>
  <c r="LY253" i="31" s="1"/>
  <c r="MA253" i="31" s="1"/>
  <c r="MG251" i="31"/>
  <c r="LE254" i="31"/>
  <c r="AJ257" i="31"/>
  <c r="AM257" i="31"/>
  <c r="AN257" i="31" s="1"/>
  <c r="AO257" i="31" s="1"/>
  <c r="AP257" i="31" s="1"/>
  <c r="LJ255" i="31"/>
  <c r="LK256" i="31"/>
  <c r="LI256" i="31"/>
  <c r="GD256" i="31" s="1"/>
  <c r="GE256" i="31" s="1"/>
  <c r="GF256" i="31" s="1"/>
  <c r="LH256" i="31"/>
  <c r="LG257" i="31"/>
  <c r="LF257" i="31"/>
  <c r="AI257" i="31"/>
  <c r="HD258" i="31"/>
  <c r="KZ258" i="31"/>
  <c r="HH258" i="31"/>
  <c r="AL258" i="31"/>
  <c r="AK258" i="31"/>
  <c r="HI258" i="31"/>
  <c r="IG258" i="31"/>
  <c r="IH258" i="31" s="1"/>
  <c r="IK258" i="31" s="1"/>
  <c r="ML249" i="31" l="1"/>
  <c r="LT252" i="31"/>
  <c r="ME252" i="31" s="1"/>
  <c r="LR252" i="31"/>
  <c r="LX252" i="31" s="1"/>
  <c r="LZ252" i="31" s="1"/>
  <c r="LL254" i="31"/>
  <c r="LO254" i="31" s="1"/>
  <c r="LQ254" i="31" s="1"/>
  <c r="LS254" i="31" s="1"/>
  <c r="LY254" i="31" s="1"/>
  <c r="MA254" i="31" s="1"/>
  <c r="MI251" i="31"/>
  <c r="MP251" i="31" s="1"/>
  <c r="MK251" i="31"/>
  <c r="MH251" i="31"/>
  <c r="LE255" i="31"/>
  <c r="LR253" i="31"/>
  <c r="LX253" i="31" s="1"/>
  <c r="LZ253" i="31" s="1"/>
  <c r="LT253" i="31"/>
  <c r="ME253" i="31" s="1"/>
  <c r="AJ258" i="31"/>
  <c r="LJ256" i="31"/>
  <c r="LG258" i="31"/>
  <c r="AI258" i="31"/>
  <c r="LF258" i="31"/>
  <c r="LI257" i="31"/>
  <c r="GD257" i="31" s="1"/>
  <c r="GE257" i="31" s="1"/>
  <c r="GF257" i="31" s="1"/>
  <c r="LK257" i="31"/>
  <c r="LH257" i="31"/>
  <c r="AM258" i="31"/>
  <c r="AN258" i="31" s="1"/>
  <c r="AO258" i="31" s="1"/>
  <c r="AP258" i="31" s="1"/>
  <c r="AK259" i="31"/>
  <c r="HD259" i="31"/>
  <c r="AL259" i="31"/>
  <c r="HI259" i="31"/>
  <c r="KZ259" i="31"/>
  <c r="HH259" i="31"/>
  <c r="IG259" i="31"/>
  <c r="IH259" i="31" s="1"/>
  <c r="IK259" i="31" s="1"/>
  <c r="MG253" i="31" l="1"/>
  <c r="MK253" i="31" s="1"/>
  <c r="PF253" i="31"/>
  <c r="MG252" i="31"/>
  <c r="MK252" i="31" s="1"/>
  <c r="ML252" i="31" s="1"/>
  <c r="PF252" i="31"/>
  <c r="MM251" i="31"/>
  <c r="MN251" i="31" s="1"/>
  <c r="LR254" i="31"/>
  <c r="LX254" i="31" s="1"/>
  <c r="LZ254" i="31" s="1"/>
  <c r="LT254" i="31"/>
  <c r="ME254" i="31" s="1"/>
  <c r="ML251" i="31"/>
  <c r="LL255" i="31"/>
  <c r="LO255" i="31" s="1"/>
  <c r="LQ255" i="31" s="1"/>
  <c r="LR255" i="31" s="1"/>
  <c r="LX255" i="31" s="1"/>
  <c r="LZ255" i="31" s="1"/>
  <c r="LE256" i="31"/>
  <c r="AJ259" i="31"/>
  <c r="LJ257" i="31"/>
  <c r="LF259" i="31"/>
  <c r="AI259" i="31"/>
  <c r="LG259" i="31"/>
  <c r="AM259" i="31"/>
  <c r="AN259" i="31" s="1"/>
  <c r="AO259" i="31" s="1"/>
  <c r="AP259" i="31" s="1"/>
  <c r="LH258" i="31"/>
  <c r="LI258" i="31"/>
  <c r="GD258" i="31" s="1"/>
  <c r="GE258" i="31" s="1"/>
  <c r="GF258" i="31" s="1"/>
  <c r="LK258" i="31"/>
  <c r="KZ260" i="31"/>
  <c r="HI260" i="31"/>
  <c r="AK260" i="31"/>
  <c r="AL260" i="31"/>
  <c r="HD260" i="31"/>
  <c r="HH260" i="31"/>
  <c r="IG260" i="31"/>
  <c r="IH260" i="31" s="1"/>
  <c r="IK260" i="31" s="1"/>
  <c r="MI253" i="31" l="1"/>
  <c r="MP253" i="31" s="1"/>
  <c r="MH253" i="31"/>
  <c r="MI252" i="31"/>
  <c r="MP252" i="31" s="1"/>
  <c r="MH252" i="31"/>
  <c r="MG254" i="31"/>
  <c r="MK254" i="31" s="1"/>
  <c r="ML254" i="31" s="1"/>
  <c r="PF254" i="31"/>
  <c r="MM252" i="31"/>
  <c r="MN252" i="31" s="1"/>
  <c r="MM253" i="31"/>
  <c r="MN253" i="31" s="1"/>
  <c r="LL256" i="31"/>
  <c r="LO256" i="31" s="1"/>
  <c r="LQ256" i="31" s="1"/>
  <c r="LE257" i="31"/>
  <c r="ML253" i="31"/>
  <c r="LT255" i="31"/>
  <c r="ME255" i="31" s="1"/>
  <c r="LS255" i="31"/>
  <c r="LY255" i="31" s="1"/>
  <c r="MA255" i="31" s="1"/>
  <c r="AJ260" i="31"/>
  <c r="AM260" i="31"/>
  <c r="AN260" i="31" s="1"/>
  <c r="AO260" i="31" s="1"/>
  <c r="AP260" i="31" s="1"/>
  <c r="LI259" i="31"/>
  <c r="GD259" i="31" s="1"/>
  <c r="GE259" i="31" s="1"/>
  <c r="GF259" i="31" s="1"/>
  <c r="LH259" i="31"/>
  <c r="LK259" i="31"/>
  <c r="LF260" i="31"/>
  <c r="AI260" i="31"/>
  <c r="LG260" i="31"/>
  <c r="LJ258" i="31"/>
  <c r="HD261" i="31"/>
  <c r="AL261" i="31"/>
  <c r="HI261" i="31"/>
  <c r="AK261" i="31"/>
  <c r="KZ261" i="31"/>
  <c r="HH261" i="31"/>
  <c r="IG261" i="31"/>
  <c r="IH261" i="31" s="1"/>
  <c r="IK261" i="31" s="1"/>
  <c r="MH254" i="31" l="1"/>
  <c r="MI254" i="31"/>
  <c r="MP254" i="31" s="1"/>
  <c r="MG255" i="31"/>
  <c r="MK255" i="31" s="1"/>
  <c r="PF255" i="31"/>
  <c r="MM254" i="31"/>
  <c r="MN254" i="31" s="1"/>
  <c r="LL257" i="31"/>
  <c r="LO257" i="31" s="1"/>
  <c r="LQ257" i="31" s="1"/>
  <c r="LE258" i="31"/>
  <c r="LS256" i="31"/>
  <c r="LY256" i="31" s="1"/>
  <c r="MA256" i="31" s="1"/>
  <c r="LT256" i="31"/>
  <c r="ME256" i="31" s="1"/>
  <c r="LR256" i="31"/>
  <c r="LX256" i="31" s="1"/>
  <c r="LZ256" i="31" s="1"/>
  <c r="AJ261" i="31"/>
  <c r="LJ259" i="31"/>
  <c r="KZ262" i="31"/>
  <c r="AK262" i="31"/>
  <c r="HD262" i="31"/>
  <c r="HI262" i="31"/>
  <c r="HH262" i="31"/>
  <c r="AL262" i="31"/>
  <c r="IG262" i="31"/>
  <c r="IH262" i="31" s="1"/>
  <c r="IK262" i="31" s="1"/>
  <c r="LG261" i="31"/>
  <c r="AI261" i="31"/>
  <c r="LF261" i="31"/>
  <c r="LI260" i="31"/>
  <c r="GD260" i="31" s="1"/>
  <c r="GE260" i="31" s="1"/>
  <c r="GF260" i="31" s="1"/>
  <c r="LH260" i="31"/>
  <c r="LK260" i="31"/>
  <c r="AM261" i="31"/>
  <c r="AN261" i="31" s="1"/>
  <c r="AO261" i="31" s="1"/>
  <c r="AP261" i="31" s="1"/>
  <c r="MI255" i="31" l="1"/>
  <c r="MP255" i="31" s="1"/>
  <c r="MH255" i="31"/>
  <c r="MG256" i="31"/>
  <c r="MK256" i="31" s="1"/>
  <c r="PF256" i="31"/>
  <c r="MM255" i="31"/>
  <c r="MN255" i="31" s="1"/>
  <c r="LL258" i="31"/>
  <c r="LO258" i="31" s="1"/>
  <c r="LQ258" i="31" s="1"/>
  <c r="LR258" i="31" s="1"/>
  <c r="LX258" i="31" s="1"/>
  <c r="LZ258" i="31" s="1"/>
  <c r="LE259" i="31"/>
  <c r="ML255" i="31"/>
  <c r="LR257" i="31"/>
  <c r="LX257" i="31" s="1"/>
  <c r="LZ257" i="31" s="1"/>
  <c r="LT257" i="31"/>
  <c r="ME257" i="31" s="1"/>
  <c r="LS257" i="31"/>
  <c r="LY257" i="31" s="1"/>
  <c r="MA257" i="31" s="1"/>
  <c r="AJ262" i="31"/>
  <c r="AM262" i="31"/>
  <c r="AN262" i="31" s="1"/>
  <c r="AO262" i="31" s="1"/>
  <c r="AP262" i="31" s="1"/>
  <c r="LJ260" i="31"/>
  <c r="LI261" i="31"/>
  <c r="GD261" i="31" s="1"/>
  <c r="GE261" i="31" s="1"/>
  <c r="GF261" i="31" s="1"/>
  <c r="LK261" i="31"/>
  <c r="LH261" i="31"/>
  <c r="AI262" i="31"/>
  <c r="LG262" i="31"/>
  <c r="LF262" i="31"/>
  <c r="AK263" i="31"/>
  <c r="AL263" i="31"/>
  <c r="HD263" i="31"/>
  <c r="HH263" i="31"/>
  <c r="KZ263" i="31"/>
  <c r="HI263" i="31"/>
  <c r="IG263" i="31"/>
  <c r="IH263" i="31" s="1"/>
  <c r="IK263" i="31" s="1"/>
  <c r="MI256" i="31" l="1"/>
  <c r="MP256" i="31" s="1"/>
  <c r="MH256" i="31"/>
  <c r="MG257" i="31"/>
  <c r="MK257" i="31" s="1"/>
  <c r="PF257" i="31"/>
  <c r="MM256" i="31"/>
  <c r="MN256" i="31" s="1"/>
  <c r="LT258" i="31"/>
  <c r="ME258" i="31" s="1"/>
  <c r="LS258" i="31"/>
  <c r="LY258" i="31" s="1"/>
  <c r="MA258" i="31" s="1"/>
  <c r="LL259" i="31"/>
  <c r="LO259" i="31" s="1"/>
  <c r="LQ259" i="31" s="1"/>
  <c r="LE260" i="31"/>
  <c r="ML256" i="31"/>
  <c r="AJ263" i="31"/>
  <c r="LJ261" i="31"/>
  <c r="AI263" i="31"/>
  <c r="LG263" i="31"/>
  <c r="LF263" i="31"/>
  <c r="AM263" i="31"/>
  <c r="AN263" i="31" s="1"/>
  <c r="AO263" i="31" s="1"/>
  <c r="AP263" i="31" s="1"/>
  <c r="HH264" i="31"/>
  <c r="AK264" i="31"/>
  <c r="AL264" i="31"/>
  <c r="HI264" i="31"/>
  <c r="HD264" i="31"/>
  <c r="KZ264" i="31"/>
  <c r="IG264" i="31"/>
  <c r="IH264" i="31" s="1"/>
  <c r="IK264" i="31" s="1"/>
  <c r="LK262" i="31"/>
  <c r="LH262" i="31"/>
  <c r="LI262" i="31"/>
  <c r="GD262" i="31" s="1"/>
  <c r="GE262" i="31" s="1"/>
  <c r="GF262" i="31" s="1"/>
  <c r="MH257" i="31" l="1"/>
  <c r="MI257" i="31"/>
  <c r="MP257" i="31" s="1"/>
  <c r="MG258" i="31"/>
  <c r="MI258" i="31" s="1"/>
  <c r="MP258" i="31" s="1"/>
  <c r="PF258" i="31"/>
  <c r="MM257" i="31"/>
  <c r="MN257" i="31" s="1"/>
  <c r="LL260" i="31"/>
  <c r="LO260" i="31" s="1"/>
  <c r="LQ260" i="31" s="1"/>
  <c r="LE261" i="31"/>
  <c r="ML257" i="31"/>
  <c r="LR259" i="31"/>
  <c r="LX259" i="31" s="1"/>
  <c r="LZ259" i="31" s="1"/>
  <c r="LT259" i="31"/>
  <c r="ME259" i="31" s="1"/>
  <c r="LS259" i="31"/>
  <c r="LY259" i="31" s="1"/>
  <c r="MA259" i="31" s="1"/>
  <c r="AJ264" i="31"/>
  <c r="LF264" i="31"/>
  <c r="AI264" i="31"/>
  <c r="LG264" i="31"/>
  <c r="LI263" i="31"/>
  <c r="GD263" i="31" s="1"/>
  <c r="GE263" i="31" s="1"/>
  <c r="GF263" i="31" s="1"/>
  <c r="LH263" i="31"/>
  <c r="LK263" i="31"/>
  <c r="AL265" i="31"/>
  <c r="AK265" i="31"/>
  <c r="HI265" i="31"/>
  <c r="HH265" i="31"/>
  <c r="KZ265" i="31"/>
  <c r="HD265" i="31"/>
  <c r="IG265" i="31"/>
  <c r="IH265" i="31" s="1"/>
  <c r="IK265" i="31" s="1"/>
  <c r="LJ262" i="31"/>
  <c r="AM264" i="31"/>
  <c r="AN264" i="31" s="1"/>
  <c r="AO264" i="31" s="1"/>
  <c r="AP264" i="31" s="1"/>
  <c r="MH258" i="31" l="1"/>
  <c r="MK258" i="31"/>
  <c r="ML258" i="31" s="1"/>
  <c r="MG259" i="31"/>
  <c r="MK259" i="31" s="1"/>
  <c r="PF259" i="31"/>
  <c r="LL261" i="31"/>
  <c r="LO261" i="31" s="1"/>
  <c r="LQ261" i="31" s="1"/>
  <c r="LE262" i="31"/>
  <c r="LT260" i="31"/>
  <c r="ME260" i="31" s="1"/>
  <c r="LR260" i="31"/>
  <c r="LX260" i="31" s="1"/>
  <c r="LZ260" i="31" s="1"/>
  <c r="LS260" i="31"/>
  <c r="LY260" i="31" s="1"/>
  <c r="MA260" i="31" s="1"/>
  <c r="AJ265" i="31"/>
  <c r="AM265" i="31"/>
  <c r="AN265" i="31" s="1"/>
  <c r="AO265" i="31" s="1"/>
  <c r="AP265" i="31" s="1"/>
  <c r="AK266" i="31"/>
  <c r="AL266" i="31"/>
  <c r="HD266" i="31"/>
  <c r="HI266" i="31"/>
  <c r="HH266" i="31"/>
  <c r="KZ266" i="31"/>
  <c r="IG266" i="31"/>
  <c r="IH266" i="31" s="1"/>
  <c r="IK266" i="31" s="1"/>
  <c r="LH264" i="31"/>
  <c r="LK264" i="31"/>
  <c r="LI264" i="31"/>
  <c r="GD264" i="31" s="1"/>
  <c r="GE264" i="31" s="1"/>
  <c r="GF264" i="31" s="1"/>
  <c r="AI265" i="31"/>
  <c r="LG265" i="31"/>
  <c r="LF265" i="31"/>
  <c r="LJ263" i="31"/>
  <c r="MM258" i="31" l="1"/>
  <c r="MN258" i="31" s="1"/>
  <c r="MI259" i="31"/>
  <c r="MP259" i="31" s="1"/>
  <c r="MH259" i="31"/>
  <c r="MG260" i="31"/>
  <c r="MK260" i="31" s="1"/>
  <c r="PF260" i="31"/>
  <c r="MM259" i="31"/>
  <c r="MN259" i="31" s="1"/>
  <c r="LL262" i="31"/>
  <c r="LO262" i="31" s="1"/>
  <c r="LQ262" i="31" s="1"/>
  <c r="LS262" i="31" s="1"/>
  <c r="LY262" i="31" s="1"/>
  <c r="MA262" i="31" s="1"/>
  <c r="LE263" i="31"/>
  <c r="ML259" i="31"/>
  <c r="LT261" i="31"/>
  <c r="ME261" i="31" s="1"/>
  <c r="LR261" i="31"/>
  <c r="LX261" i="31" s="1"/>
  <c r="LZ261" i="31" s="1"/>
  <c r="LS261" i="31"/>
  <c r="LY261" i="31" s="1"/>
  <c r="MA261" i="31" s="1"/>
  <c r="AJ266" i="31"/>
  <c r="KZ267" i="31"/>
  <c r="HH267" i="31"/>
  <c r="HI267" i="31"/>
  <c r="HD267" i="31"/>
  <c r="AK267" i="31"/>
  <c r="AL267" i="31"/>
  <c r="IG267" i="31"/>
  <c r="IH267" i="31" s="1"/>
  <c r="IK267" i="31" s="1"/>
  <c r="LJ264" i="31"/>
  <c r="LF266" i="31"/>
  <c r="AI266" i="31"/>
  <c r="LG266" i="31"/>
  <c r="LH265" i="31"/>
  <c r="LI265" i="31"/>
  <c r="GD265" i="31" s="1"/>
  <c r="GE265" i="31" s="1"/>
  <c r="GF265" i="31" s="1"/>
  <c r="LK265" i="31"/>
  <c r="AM266" i="31"/>
  <c r="AN266" i="31" s="1"/>
  <c r="AO266" i="31" s="1"/>
  <c r="AP266" i="31" s="1"/>
  <c r="MI260" i="31" l="1"/>
  <c r="MP260" i="31" s="1"/>
  <c r="MH260" i="31"/>
  <c r="MG261" i="31"/>
  <c r="MK261" i="31" s="1"/>
  <c r="PF261" i="31"/>
  <c r="MM260" i="31"/>
  <c r="MN260" i="31" s="1"/>
  <c r="LR262" i="31"/>
  <c r="LX262" i="31" s="1"/>
  <c r="LZ262" i="31" s="1"/>
  <c r="LT262" i="31"/>
  <c r="ME262" i="31" s="1"/>
  <c r="LL263" i="31"/>
  <c r="LO263" i="31" s="1"/>
  <c r="LQ263" i="31" s="1"/>
  <c r="LS263" i="31" s="1"/>
  <c r="LY263" i="31" s="1"/>
  <c r="MA263" i="31" s="1"/>
  <c r="ML260" i="31"/>
  <c r="LE264" i="31"/>
  <c r="AJ267" i="31"/>
  <c r="AM267" i="31"/>
  <c r="AN267" i="31" s="1"/>
  <c r="AO267" i="31" s="1"/>
  <c r="AP267" i="31" s="1"/>
  <c r="AI267" i="31"/>
  <c r="LG267" i="31"/>
  <c r="LF267" i="31"/>
  <c r="HI268" i="31"/>
  <c r="AL268" i="31"/>
  <c r="HH268" i="31"/>
  <c r="AJ268" i="31" s="1"/>
  <c r="HD268" i="31"/>
  <c r="KZ268" i="31"/>
  <c r="AK268" i="31"/>
  <c r="IG268" i="31"/>
  <c r="IH268" i="31" s="1"/>
  <c r="IK268" i="31" s="1"/>
  <c r="LH266" i="31"/>
  <c r="LK266" i="31"/>
  <c r="LI266" i="31"/>
  <c r="GD266" i="31" s="1"/>
  <c r="GE266" i="31" s="1"/>
  <c r="GF266" i="31" s="1"/>
  <c r="LJ265" i="31"/>
  <c r="MI261" i="31" l="1"/>
  <c r="MP261" i="31" s="1"/>
  <c r="MH261" i="31"/>
  <c r="MG262" i="31"/>
  <c r="MK262" i="31" s="1"/>
  <c r="ML262" i="31" s="1"/>
  <c r="PF262" i="31"/>
  <c r="MM261" i="31"/>
  <c r="MN261" i="31" s="1"/>
  <c r="LL264" i="31"/>
  <c r="LO264" i="31" s="1"/>
  <c r="LQ264" i="31" s="1"/>
  <c r="LR264" i="31" s="1"/>
  <c r="LX264" i="31" s="1"/>
  <c r="LZ264" i="31" s="1"/>
  <c r="LR263" i="31"/>
  <c r="LX263" i="31" s="1"/>
  <c r="LZ263" i="31" s="1"/>
  <c r="LT263" i="31"/>
  <c r="ME263" i="31" s="1"/>
  <c r="ML261" i="31"/>
  <c r="LE265" i="31"/>
  <c r="AM268" i="31"/>
  <c r="AN268" i="31" s="1"/>
  <c r="AO268" i="31" s="1"/>
  <c r="AP268" i="31" s="1"/>
  <c r="AI268" i="31"/>
  <c r="LF268" i="31"/>
  <c r="LG268" i="31"/>
  <c r="HH269" i="31"/>
  <c r="KZ269" i="31"/>
  <c r="AL269" i="31"/>
  <c r="AK269" i="31"/>
  <c r="HI269" i="31"/>
  <c r="HD269" i="31"/>
  <c r="IG269" i="31"/>
  <c r="IH269" i="31" s="1"/>
  <c r="IK269" i="31" s="1"/>
  <c r="LJ266" i="31"/>
  <c r="LK267" i="31"/>
  <c r="LI267" i="31"/>
  <c r="GD267" i="31" s="1"/>
  <c r="GE267" i="31" s="1"/>
  <c r="GF267" i="31" s="1"/>
  <c r="LH267" i="31"/>
  <c r="MH262" i="31" l="1"/>
  <c r="MI262" i="31"/>
  <c r="MP262" i="31" s="1"/>
  <c r="MG263" i="31"/>
  <c r="MH263" i="31" s="1"/>
  <c r="PF263" i="31"/>
  <c r="MM262" i="31"/>
  <c r="MN262" i="31" s="1"/>
  <c r="LL265" i="31"/>
  <c r="LO265" i="31" s="1"/>
  <c r="LQ265" i="31" s="1"/>
  <c r="LS265" i="31" s="1"/>
  <c r="LY265" i="31" s="1"/>
  <c r="MA265" i="31" s="1"/>
  <c r="LS264" i="31"/>
  <c r="LY264" i="31" s="1"/>
  <c r="MA264" i="31" s="1"/>
  <c r="LT264" i="31"/>
  <c r="ME264" i="31" s="1"/>
  <c r="LE266" i="31"/>
  <c r="AJ269" i="31"/>
  <c r="LJ267" i="31"/>
  <c r="AM269" i="31"/>
  <c r="AN269" i="31" s="1"/>
  <c r="AO269" i="31" s="1"/>
  <c r="AP269" i="31" s="1"/>
  <c r="LK268" i="31"/>
  <c r="LH268" i="31"/>
  <c r="LI268" i="31"/>
  <c r="GD268" i="31" s="1"/>
  <c r="GE268" i="31" s="1"/>
  <c r="GF268" i="31" s="1"/>
  <c r="AK270" i="31"/>
  <c r="AL270" i="31"/>
  <c r="KZ270" i="31"/>
  <c r="HI270" i="31"/>
  <c r="HH270" i="31"/>
  <c r="HD270" i="31"/>
  <c r="IG270" i="31"/>
  <c r="IH270" i="31" s="1"/>
  <c r="IK270" i="31" s="1"/>
  <c r="AI269" i="31"/>
  <c r="LG269" i="31"/>
  <c r="LF269" i="31"/>
  <c r="MK263" i="31" l="1"/>
  <c r="MM263" i="31" s="1"/>
  <c r="MN263" i="31" s="1"/>
  <c r="MI263" i="31"/>
  <c r="MP263" i="31" s="1"/>
  <c r="MG264" i="31"/>
  <c r="MK264" i="31" s="1"/>
  <c r="PF264" i="31"/>
  <c r="LR265" i="31"/>
  <c r="LX265" i="31" s="1"/>
  <c r="LZ265" i="31" s="1"/>
  <c r="LT265" i="31"/>
  <c r="ME265" i="31" s="1"/>
  <c r="LL266" i="31"/>
  <c r="LO266" i="31" s="1"/>
  <c r="LQ266" i="31" s="1"/>
  <c r="LT266" i="31" s="1"/>
  <c r="ME266" i="31" s="1"/>
  <c r="LE267" i="31"/>
  <c r="AJ270" i="31"/>
  <c r="LJ268" i="31"/>
  <c r="AM270" i="31"/>
  <c r="AN270" i="31" s="1"/>
  <c r="AO270" i="31" s="1"/>
  <c r="AP270" i="31" s="1"/>
  <c r="HH271" i="31"/>
  <c r="KZ271" i="31"/>
  <c r="HI271" i="31"/>
  <c r="AL271" i="31"/>
  <c r="AK271" i="31"/>
  <c r="HD271" i="31"/>
  <c r="IG271" i="31"/>
  <c r="IH271" i="31" s="1"/>
  <c r="IK271" i="31" s="1"/>
  <c r="AI270" i="31"/>
  <c r="LG270" i="31"/>
  <c r="LF270" i="31"/>
  <c r="LK269" i="31"/>
  <c r="LH269" i="31"/>
  <c r="LI269" i="31"/>
  <c r="GD269" i="31" s="1"/>
  <c r="GE269" i="31" s="1"/>
  <c r="GF269" i="31" s="1"/>
  <c r="ML263" i="31" l="1"/>
  <c r="MH264" i="31"/>
  <c r="MI264" i="31"/>
  <c r="MP264" i="31" s="1"/>
  <c r="MG266" i="31"/>
  <c r="MH266" i="31" s="1"/>
  <c r="PF266" i="31"/>
  <c r="MG265" i="31"/>
  <c r="MK265" i="31" s="1"/>
  <c r="ML265" i="31" s="1"/>
  <c r="PF265" i="31"/>
  <c r="MM264" i="31"/>
  <c r="MN264" i="31" s="1"/>
  <c r="LS266" i="31"/>
  <c r="LY266" i="31" s="1"/>
  <c r="MA266" i="31" s="1"/>
  <c r="LR266" i="31"/>
  <c r="LX266" i="31" s="1"/>
  <c r="LZ266" i="31" s="1"/>
  <c r="LL267" i="31"/>
  <c r="LO267" i="31" s="1"/>
  <c r="LQ267" i="31" s="1"/>
  <c r="ML264" i="31"/>
  <c r="LE268" i="31"/>
  <c r="AJ271" i="31"/>
  <c r="AK272" i="31"/>
  <c r="KZ272" i="31"/>
  <c r="HI272" i="31"/>
  <c r="HD272" i="31"/>
  <c r="HH272" i="31"/>
  <c r="AL272" i="31"/>
  <c r="IG272" i="31"/>
  <c r="IH272" i="31" s="1"/>
  <c r="IK272" i="31" s="1"/>
  <c r="LK270" i="31"/>
  <c r="LH270" i="31"/>
  <c r="LI270" i="31"/>
  <c r="GD270" i="31" s="1"/>
  <c r="GE270" i="31" s="1"/>
  <c r="GF270" i="31" s="1"/>
  <c r="LG271" i="31"/>
  <c r="LF271" i="31"/>
  <c r="AI271" i="31"/>
  <c r="LJ269" i="31"/>
  <c r="AM271" i="31"/>
  <c r="AN271" i="31" s="1"/>
  <c r="AO271" i="31" s="1"/>
  <c r="AP271" i="31" s="1"/>
  <c r="MI266" i="31" l="1"/>
  <c r="MP266" i="31" s="1"/>
  <c r="MK266" i="31"/>
  <c r="ML266" i="31" s="1"/>
  <c r="MH265" i="31"/>
  <c r="MI265" i="31"/>
  <c r="MP265" i="31" s="1"/>
  <c r="MM265" i="31"/>
  <c r="MN265" i="31" s="1"/>
  <c r="LL268" i="31"/>
  <c r="LO268" i="31" s="1"/>
  <c r="LQ268" i="31" s="1"/>
  <c r="LE269" i="31"/>
  <c r="LR267" i="31"/>
  <c r="LX267" i="31" s="1"/>
  <c r="LZ267" i="31" s="1"/>
  <c r="LT267" i="31"/>
  <c r="ME267" i="31" s="1"/>
  <c r="LS267" i="31"/>
  <c r="LY267" i="31" s="1"/>
  <c r="MA267" i="31" s="1"/>
  <c r="AJ272" i="31"/>
  <c r="LJ270" i="31"/>
  <c r="LG272" i="31"/>
  <c r="LF272" i="31"/>
  <c r="AI272" i="31"/>
  <c r="LH271" i="31"/>
  <c r="LK271" i="31"/>
  <c r="LI271" i="31"/>
  <c r="GD271" i="31" s="1"/>
  <c r="GE271" i="31" s="1"/>
  <c r="GF271" i="31" s="1"/>
  <c r="HH273" i="31"/>
  <c r="AK273" i="31"/>
  <c r="HI273" i="31"/>
  <c r="AL273" i="31"/>
  <c r="KZ273" i="31"/>
  <c r="HD273" i="31"/>
  <c r="IG273" i="31"/>
  <c r="IH273" i="31" s="1"/>
  <c r="IK273" i="31" s="1"/>
  <c r="AM272" i="31"/>
  <c r="AN272" i="31" s="1"/>
  <c r="AO272" i="31" s="1"/>
  <c r="AP272" i="31" s="1"/>
  <c r="MM266" i="31" l="1"/>
  <c r="MN266" i="31" s="1"/>
  <c r="MG267" i="31"/>
  <c r="MK267" i="31" s="1"/>
  <c r="PF267" i="31"/>
  <c r="LL269" i="31"/>
  <c r="LO269" i="31" s="1"/>
  <c r="LQ269" i="31" s="1"/>
  <c r="LT269" i="31" s="1"/>
  <c r="ME269" i="31" s="1"/>
  <c r="LE270" i="31"/>
  <c r="LS268" i="31"/>
  <c r="LY268" i="31" s="1"/>
  <c r="MA268" i="31" s="1"/>
  <c r="LR268" i="31"/>
  <c r="LX268" i="31" s="1"/>
  <c r="LZ268" i="31" s="1"/>
  <c r="LT268" i="31"/>
  <c r="ME268" i="31" s="1"/>
  <c r="AJ273" i="31"/>
  <c r="LJ271" i="31"/>
  <c r="AM273" i="31"/>
  <c r="AN273" i="31" s="1"/>
  <c r="AO273" i="31" s="1"/>
  <c r="AP273" i="31" s="1"/>
  <c r="LH272" i="31"/>
  <c r="LK272" i="31"/>
  <c r="LI272" i="31"/>
  <c r="GD272" i="31" s="1"/>
  <c r="GE272" i="31" s="1"/>
  <c r="GF272" i="31" s="1"/>
  <c r="AI273" i="31"/>
  <c r="LF273" i="31"/>
  <c r="LG273" i="31"/>
  <c r="AL274" i="31"/>
  <c r="HH274" i="31"/>
  <c r="KZ274" i="31"/>
  <c r="HI274" i="31"/>
  <c r="HD274" i="31"/>
  <c r="AK274" i="31"/>
  <c r="IG274" i="31"/>
  <c r="IH274" i="31" s="1"/>
  <c r="IK274" i="31" s="1"/>
  <c r="MH267" i="31" l="1"/>
  <c r="MI267" i="31"/>
  <c r="MP267" i="31" s="1"/>
  <c r="MG269" i="31"/>
  <c r="MK269" i="31" s="1"/>
  <c r="PF269" i="31"/>
  <c r="MG268" i="31"/>
  <c r="MK268" i="31" s="1"/>
  <c r="PF268" i="31"/>
  <c r="MM267" i="31"/>
  <c r="MN267" i="31" s="1"/>
  <c r="LS269" i="31"/>
  <c r="LY269" i="31" s="1"/>
  <c r="MA269" i="31" s="1"/>
  <c r="LR269" i="31"/>
  <c r="LX269" i="31" s="1"/>
  <c r="LZ269" i="31" s="1"/>
  <c r="LL270" i="31"/>
  <c r="LO270" i="31" s="1"/>
  <c r="LQ270" i="31" s="1"/>
  <c r="LE271" i="31"/>
  <c r="ML267" i="31"/>
  <c r="AJ274" i="31"/>
  <c r="LJ272" i="31"/>
  <c r="AM274" i="31"/>
  <c r="AN274" i="31" s="1"/>
  <c r="AO274" i="31" s="1"/>
  <c r="AP274" i="31" s="1"/>
  <c r="LH273" i="31"/>
  <c r="LK273" i="31"/>
  <c r="LI273" i="31"/>
  <c r="GD273" i="31" s="1"/>
  <c r="GE273" i="31" s="1"/>
  <c r="GF273" i="31" s="1"/>
  <c r="AI274" i="31"/>
  <c r="LG274" i="31"/>
  <c r="LF274" i="31"/>
  <c r="AL275" i="31"/>
  <c r="HH275" i="31"/>
  <c r="AK275" i="31"/>
  <c r="KZ275" i="31"/>
  <c r="HI275" i="31"/>
  <c r="HD275" i="31"/>
  <c r="IG275" i="31"/>
  <c r="IH275" i="31" s="1"/>
  <c r="IK275" i="31" s="1"/>
  <c r="MH269" i="31" l="1"/>
  <c r="MI269" i="31"/>
  <c r="MP269" i="31" s="1"/>
  <c r="MI268" i="31"/>
  <c r="MP268" i="31" s="1"/>
  <c r="MH268" i="31"/>
  <c r="MM268" i="31"/>
  <c r="MN268" i="31" s="1"/>
  <c r="ML269" i="31"/>
  <c r="MM269" i="31"/>
  <c r="MN269" i="31" s="1"/>
  <c r="LL271" i="31"/>
  <c r="LO271" i="31" s="1"/>
  <c r="LQ271" i="31" s="1"/>
  <c r="LE272" i="31"/>
  <c r="ML268" i="31"/>
  <c r="LS270" i="31"/>
  <c r="LY270" i="31" s="1"/>
  <c r="MA270" i="31" s="1"/>
  <c r="LR270" i="31"/>
  <c r="LX270" i="31" s="1"/>
  <c r="LZ270" i="31" s="1"/>
  <c r="LT270" i="31"/>
  <c r="ME270" i="31" s="1"/>
  <c r="AJ275" i="31"/>
  <c r="LJ273" i="31"/>
  <c r="AM275" i="31"/>
  <c r="AN275" i="31" s="1"/>
  <c r="AO275" i="31" s="1"/>
  <c r="AP275" i="31" s="1"/>
  <c r="AI275" i="31"/>
  <c r="LG275" i="31"/>
  <c r="LF275" i="31"/>
  <c r="HI276" i="31"/>
  <c r="HD276" i="31"/>
  <c r="AK276" i="31"/>
  <c r="AL276" i="31"/>
  <c r="HH276" i="31"/>
  <c r="KZ276" i="31"/>
  <c r="IG276" i="31"/>
  <c r="IH276" i="31" s="1"/>
  <c r="IK276" i="31" s="1"/>
  <c r="LH274" i="31"/>
  <c r="LK274" i="31"/>
  <c r="LI274" i="31"/>
  <c r="GD274" i="31" s="1"/>
  <c r="GE274" i="31" s="1"/>
  <c r="GF274" i="31" s="1"/>
  <c r="MG270" i="31" l="1"/>
  <c r="MK270" i="31" s="1"/>
  <c r="PF270" i="31"/>
  <c r="LL272" i="31"/>
  <c r="LO272" i="31" s="1"/>
  <c r="LQ272" i="31" s="1"/>
  <c r="LT272" i="31" s="1"/>
  <c r="ME272" i="31" s="1"/>
  <c r="LR271" i="31"/>
  <c r="LX271" i="31" s="1"/>
  <c r="LZ271" i="31" s="1"/>
  <c r="LT271" i="31"/>
  <c r="ME271" i="31" s="1"/>
  <c r="LE273" i="31"/>
  <c r="LS271" i="31"/>
  <c r="LY271" i="31" s="1"/>
  <c r="MA271" i="31" s="1"/>
  <c r="AJ276" i="31"/>
  <c r="AI276" i="31"/>
  <c r="LF276" i="31"/>
  <c r="LG276" i="31"/>
  <c r="LJ274" i="31"/>
  <c r="LH275" i="31"/>
  <c r="LI275" i="31"/>
  <c r="GD275" i="31" s="1"/>
  <c r="GE275" i="31" s="1"/>
  <c r="GF275" i="31" s="1"/>
  <c r="LK275" i="31"/>
  <c r="AM276" i="31"/>
  <c r="AN276" i="31" s="1"/>
  <c r="AO276" i="31" s="1"/>
  <c r="AP276" i="31" s="1"/>
  <c r="HI277" i="31"/>
  <c r="HD277" i="31"/>
  <c r="AL277" i="31"/>
  <c r="AK277" i="31"/>
  <c r="HH277" i="31"/>
  <c r="KZ277" i="31"/>
  <c r="IG277" i="31"/>
  <c r="IH277" i="31" s="1"/>
  <c r="IK277" i="31" s="1"/>
  <c r="MI270" i="31" l="1"/>
  <c r="MP270" i="31" s="1"/>
  <c r="MH270" i="31"/>
  <c r="MG271" i="31"/>
  <c r="MK271" i="31" s="1"/>
  <c r="PF271" i="31"/>
  <c r="MG272" i="31"/>
  <c r="MK272" i="31" s="1"/>
  <c r="PF272" i="31"/>
  <c r="MM270" i="31"/>
  <c r="MN270" i="31" s="1"/>
  <c r="LR272" i="31"/>
  <c r="LX272" i="31" s="1"/>
  <c r="LZ272" i="31" s="1"/>
  <c r="LS272" i="31"/>
  <c r="LY272" i="31" s="1"/>
  <c r="MA272" i="31" s="1"/>
  <c r="LL273" i="31"/>
  <c r="LO273" i="31" s="1"/>
  <c r="LQ273" i="31" s="1"/>
  <c r="ML270" i="31"/>
  <c r="LE274" i="31"/>
  <c r="AJ277" i="31"/>
  <c r="LG277" i="31"/>
  <c r="AI277" i="31"/>
  <c r="LF277" i="31"/>
  <c r="LK276" i="31"/>
  <c r="LI276" i="31"/>
  <c r="GD276" i="31" s="1"/>
  <c r="GE276" i="31" s="1"/>
  <c r="GF276" i="31" s="1"/>
  <c r="LH276" i="31"/>
  <c r="HD278" i="31"/>
  <c r="AL278" i="31"/>
  <c r="HH278" i="31"/>
  <c r="AK278" i="31"/>
  <c r="HI278" i="31"/>
  <c r="KZ278" i="31"/>
  <c r="IG278" i="31"/>
  <c r="IH278" i="31" s="1"/>
  <c r="IK278" i="31" s="1"/>
  <c r="AM277" i="31"/>
  <c r="AN277" i="31" s="1"/>
  <c r="AO277" i="31" s="1"/>
  <c r="AP277" i="31" s="1"/>
  <c r="LJ275" i="31"/>
  <c r="MH271" i="31" l="1"/>
  <c r="MH272" i="31"/>
  <c r="MI272" i="31"/>
  <c r="MP272" i="31" s="1"/>
  <c r="MI271" i="31"/>
  <c r="MP271" i="31" s="1"/>
  <c r="MM271" i="31"/>
  <c r="MN271" i="31" s="1"/>
  <c r="ML272" i="31"/>
  <c r="MM272" i="31"/>
  <c r="MN272" i="31" s="1"/>
  <c r="LL274" i="31"/>
  <c r="LO274" i="31" s="1"/>
  <c r="LE275" i="31"/>
  <c r="ML271" i="31"/>
  <c r="LT273" i="31"/>
  <c r="ME273" i="31" s="1"/>
  <c r="LR273" i="31"/>
  <c r="LX273" i="31" s="1"/>
  <c r="LZ273" i="31" s="1"/>
  <c r="LS273" i="31"/>
  <c r="LY273" i="31" s="1"/>
  <c r="MA273" i="31" s="1"/>
  <c r="AJ278" i="31"/>
  <c r="AM278" i="31"/>
  <c r="AN278" i="31" s="1"/>
  <c r="AO278" i="31" s="1"/>
  <c r="AP278" i="31" s="1"/>
  <c r="LJ276" i="31"/>
  <c r="LK277" i="31"/>
  <c r="LI277" i="31"/>
  <c r="GD277" i="31" s="1"/>
  <c r="GE277" i="31" s="1"/>
  <c r="GF277" i="31" s="1"/>
  <c r="LH277" i="31"/>
  <c r="LF278" i="31"/>
  <c r="AI278" i="31"/>
  <c r="LG278" i="31"/>
  <c r="HI279" i="31"/>
  <c r="AK279" i="31"/>
  <c r="HH279" i="31"/>
  <c r="KZ279" i="31"/>
  <c r="AL279" i="31"/>
  <c r="HD279" i="31"/>
  <c r="IG279" i="31"/>
  <c r="IH279" i="31" s="1"/>
  <c r="IK279" i="31" s="1"/>
  <c r="MG273" i="31" l="1"/>
  <c r="MK273" i="31" s="1"/>
  <c r="PF273" i="31"/>
  <c r="LQ274" i="31"/>
  <c r="LR274" i="31" s="1"/>
  <c r="LX274" i="31" s="1"/>
  <c r="LZ274" i="31" s="1"/>
  <c r="LL275" i="31"/>
  <c r="LO275" i="31" s="1"/>
  <c r="LQ275" i="31" s="1"/>
  <c r="LS275" i="31" s="1"/>
  <c r="LY275" i="31" s="1"/>
  <c r="MA275" i="31" s="1"/>
  <c r="LE276" i="31"/>
  <c r="AJ279" i="31"/>
  <c r="LJ277" i="31"/>
  <c r="AI279" i="31"/>
  <c r="LG279" i="31"/>
  <c r="LF279" i="31"/>
  <c r="LK278" i="31"/>
  <c r="LH278" i="31"/>
  <c r="LI278" i="31"/>
  <c r="GD278" i="31" s="1"/>
  <c r="GE278" i="31" s="1"/>
  <c r="GF278" i="31" s="1"/>
  <c r="AK280" i="31"/>
  <c r="HI280" i="31"/>
  <c r="HH280" i="31"/>
  <c r="AL280" i="31"/>
  <c r="HD280" i="31"/>
  <c r="KZ280" i="31"/>
  <c r="IG280" i="31"/>
  <c r="IH280" i="31" s="1"/>
  <c r="IK280" i="31" s="1"/>
  <c r="AM279" i="31"/>
  <c r="AN279" i="31" s="1"/>
  <c r="AO279" i="31" s="1"/>
  <c r="AP279" i="31" s="1"/>
  <c r="MH273" i="31" l="1"/>
  <c r="MI273" i="31"/>
  <c r="MP273" i="31" s="1"/>
  <c r="MM273" i="31"/>
  <c r="MN273" i="31" s="1"/>
  <c r="LR275" i="31"/>
  <c r="LX275" i="31" s="1"/>
  <c r="LZ275" i="31" s="1"/>
  <c r="LT275" i="31"/>
  <c r="ME275" i="31" s="1"/>
  <c r="LS274" i="31"/>
  <c r="LY274" i="31" s="1"/>
  <c r="MA274" i="31" s="1"/>
  <c r="LT274" i="31"/>
  <c r="ME274" i="31" s="1"/>
  <c r="LL276" i="31"/>
  <c r="LO276" i="31" s="1"/>
  <c r="LQ276" i="31" s="1"/>
  <c r="ML273" i="31"/>
  <c r="LE277" i="31"/>
  <c r="AJ280" i="31"/>
  <c r="LJ278" i="31"/>
  <c r="LG280" i="31"/>
  <c r="LF280" i="31"/>
  <c r="AI280" i="31"/>
  <c r="HH281" i="31"/>
  <c r="HI281" i="31"/>
  <c r="KZ281" i="31"/>
  <c r="AK281" i="31"/>
  <c r="AL281" i="31"/>
  <c r="HD281" i="31"/>
  <c r="IG281" i="31"/>
  <c r="IH281" i="31" s="1"/>
  <c r="IK281" i="31" s="1"/>
  <c r="LI279" i="31"/>
  <c r="GD279" i="31" s="1"/>
  <c r="GE279" i="31" s="1"/>
  <c r="GF279" i="31" s="1"/>
  <c r="LH279" i="31"/>
  <c r="LK279" i="31"/>
  <c r="AM280" i="31"/>
  <c r="AN280" i="31" s="1"/>
  <c r="AO280" i="31" s="1"/>
  <c r="AP280" i="31" s="1"/>
  <c r="MG275" i="31" l="1"/>
  <c r="MH275" i="31" s="1"/>
  <c r="PF275" i="31"/>
  <c r="MG274" i="31"/>
  <c r="MH274" i="31" s="1"/>
  <c r="PF274" i="31"/>
  <c r="LL277" i="31"/>
  <c r="LO277" i="31" s="1"/>
  <c r="LQ277" i="31" s="1"/>
  <c r="LE278" i="31"/>
  <c r="LS276" i="31"/>
  <c r="LY276" i="31" s="1"/>
  <c r="MA276" i="31" s="1"/>
  <c r="LT276" i="31"/>
  <c r="ME276" i="31" s="1"/>
  <c r="LR276" i="31"/>
  <c r="LX276" i="31" s="1"/>
  <c r="LZ276" i="31" s="1"/>
  <c r="AJ281" i="31"/>
  <c r="LJ279" i="31"/>
  <c r="AI281" i="31"/>
  <c r="LG281" i="31"/>
  <c r="LF281" i="31"/>
  <c r="LH280" i="31"/>
  <c r="LK280" i="31"/>
  <c r="LI280" i="31"/>
  <c r="GD280" i="31" s="1"/>
  <c r="GE280" i="31" s="1"/>
  <c r="GF280" i="31" s="1"/>
  <c r="AM281" i="31"/>
  <c r="AN281" i="31" s="1"/>
  <c r="AO281" i="31" s="1"/>
  <c r="AP281" i="31" s="1"/>
  <c r="KZ282" i="31"/>
  <c r="AK282" i="31"/>
  <c r="HD282" i="31"/>
  <c r="AL282" i="31"/>
  <c r="HI282" i="31"/>
  <c r="HH282" i="31"/>
  <c r="IG282" i="31"/>
  <c r="IH282" i="31" s="1"/>
  <c r="IK282" i="31" s="1"/>
  <c r="MK274" i="31" l="1"/>
  <c r="MM274" i="31" s="1"/>
  <c r="MN274" i="31" s="1"/>
  <c r="MK275" i="31"/>
  <c r="ML275" i="31" s="1"/>
  <c r="MI275" i="31"/>
  <c r="MP275" i="31" s="1"/>
  <c r="MI274" i="31"/>
  <c r="MP274" i="31" s="1"/>
  <c r="MG276" i="31"/>
  <c r="MK276" i="31" s="1"/>
  <c r="PF276" i="31"/>
  <c r="LL278" i="31"/>
  <c r="LO278" i="31" s="1"/>
  <c r="LQ278" i="31" s="1"/>
  <c r="LE279" i="31"/>
  <c r="LT277" i="31"/>
  <c r="ME277" i="31" s="1"/>
  <c r="LR277" i="31"/>
  <c r="LX277" i="31" s="1"/>
  <c r="LZ277" i="31" s="1"/>
  <c r="LS277" i="31"/>
  <c r="LY277" i="31" s="1"/>
  <c r="MA277" i="31" s="1"/>
  <c r="AJ282" i="31"/>
  <c r="LJ280" i="31"/>
  <c r="AM282" i="31"/>
  <c r="AN282" i="31" s="1"/>
  <c r="AO282" i="31" s="1"/>
  <c r="AP282" i="31" s="1"/>
  <c r="AI282" i="31"/>
  <c r="LF282" i="31"/>
  <c r="LG282" i="31"/>
  <c r="LH281" i="31"/>
  <c r="LK281" i="31"/>
  <c r="LI281" i="31"/>
  <c r="GD281" i="31" s="1"/>
  <c r="GE281" i="31" s="1"/>
  <c r="GF281" i="31" s="1"/>
  <c r="HI283" i="31"/>
  <c r="HH283" i="31"/>
  <c r="AK283" i="31"/>
  <c r="HD283" i="31"/>
  <c r="KZ283" i="31"/>
  <c r="AL283" i="31"/>
  <c r="IG283" i="31"/>
  <c r="IH283" i="31" s="1"/>
  <c r="IK283" i="31" s="1"/>
  <c r="ML274" i="31" l="1"/>
  <c r="MM275" i="31"/>
  <c r="MN275" i="31" s="1"/>
  <c r="MI276" i="31"/>
  <c r="MP276" i="31" s="1"/>
  <c r="MH276" i="31"/>
  <c r="MG277" i="31"/>
  <c r="MK277" i="31" s="1"/>
  <c r="PF277" i="31"/>
  <c r="MM276" i="31"/>
  <c r="MN276" i="31" s="1"/>
  <c r="LL279" i="31"/>
  <c r="LO279" i="31" s="1"/>
  <c r="LQ279" i="31" s="1"/>
  <c r="LE280" i="31"/>
  <c r="ML276" i="31"/>
  <c r="LR278" i="31"/>
  <c r="LX278" i="31" s="1"/>
  <c r="LZ278" i="31" s="1"/>
  <c r="LS278" i="31"/>
  <c r="LY278" i="31" s="1"/>
  <c r="MA278" i="31" s="1"/>
  <c r="LT278" i="31"/>
  <c r="ME278" i="31" s="1"/>
  <c r="AJ283" i="31"/>
  <c r="AM283" i="31"/>
  <c r="AN283" i="31" s="1"/>
  <c r="AO283" i="31" s="1"/>
  <c r="AP283" i="31" s="1"/>
  <c r="AK284" i="31"/>
  <c r="AL284" i="31"/>
  <c r="HH284" i="31"/>
  <c r="HI284" i="31"/>
  <c r="HD284" i="31"/>
  <c r="KZ284" i="31"/>
  <c r="IG284" i="31"/>
  <c r="IH284" i="31" s="1"/>
  <c r="IK284" i="31" s="1"/>
  <c r="LI282" i="31"/>
  <c r="GD282" i="31" s="1"/>
  <c r="GE282" i="31" s="1"/>
  <c r="GF282" i="31" s="1"/>
  <c r="LK282" i="31"/>
  <c r="LH282" i="31"/>
  <c r="LG283" i="31"/>
  <c r="LF283" i="31"/>
  <c r="AI283" i="31"/>
  <c r="LJ281" i="31"/>
  <c r="MI277" i="31" l="1"/>
  <c r="MP277" i="31" s="1"/>
  <c r="MH277" i="31"/>
  <c r="MG278" i="31"/>
  <c r="MK278" i="31" s="1"/>
  <c r="PF278" i="31"/>
  <c r="MM277" i="31"/>
  <c r="MN277" i="31" s="1"/>
  <c r="LL280" i="31"/>
  <c r="LO280" i="31" s="1"/>
  <c r="LQ280" i="31" s="1"/>
  <c r="ML277" i="31"/>
  <c r="LE281" i="31"/>
  <c r="LR279" i="31"/>
  <c r="LX279" i="31" s="1"/>
  <c r="LZ279" i="31" s="1"/>
  <c r="LT279" i="31"/>
  <c r="ME279" i="31" s="1"/>
  <c r="LS279" i="31"/>
  <c r="LY279" i="31" s="1"/>
  <c r="MA279" i="31" s="1"/>
  <c r="AJ284" i="31"/>
  <c r="LJ282" i="31"/>
  <c r="AM284" i="31"/>
  <c r="AN284" i="31" s="1"/>
  <c r="AO284" i="31" s="1"/>
  <c r="AP284" i="31" s="1"/>
  <c r="LH283" i="31"/>
  <c r="LK283" i="31"/>
  <c r="LI283" i="31"/>
  <c r="GD283" i="31" s="1"/>
  <c r="GE283" i="31" s="1"/>
  <c r="GF283" i="31" s="1"/>
  <c r="LG284" i="31"/>
  <c r="AI284" i="31"/>
  <c r="LF284" i="31"/>
  <c r="KZ285" i="31"/>
  <c r="AK285" i="31"/>
  <c r="AL285" i="31"/>
  <c r="HI285" i="31"/>
  <c r="HD285" i="31"/>
  <c r="HH285" i="31"/>
  <c r="IG285" i="31"/>
  <c r="IH285" i="31" s="1"/>
  <c r="IK285" i="31" s="1"/>
  <c r="MI278" i="31" l="1"/>
  <c r="MP278" i="31" s="1"/>
  <c r="MH278" i="31"/>
  <c r="MG279" i="31"/>
  <c r="MK279" i="31" s="1"/>
  <c r="PF279" i="31"/>
  <c r="MM278" i="31"/>
  <c r="MN278" i="31" s="1"/>
  <c r="LL281" i="31"/>
  <c r="LO281" i="31" s="1"/>
  <c r="LQ281" i="31" s="1"/>
  <c r="LR281" i="31" s="1"/>
  <c r="LX281" i="31" s="1"/>
  <c r="LZ281" i="31" s="1"/>
  <c r="ML278" i="31"/>
  <c r="LE282" i="31"/>
  <c r="LS280" i="31"/>
  <c r="LY280" i="31" s="1"/>
  <c r="MA280" i="31" s="1"/>
  <c r="LT280" i="31"/>
  <c r="ME280" i="31" s="1"/>
  <c r="LR280" i="31"/>
  <c r="LX280" i="31" s="1"/>
  <c r="LZ280" i="31" s="1"/>
  <c r="AJ285" i="31"/>
  <c r="HH286" i="31"/>
  <c r="HI286" i="31"/>
  <c r="KZ286" i="31"/>
  <c r="AL286" i="31"/>
  <c r="AK286" i="31"/>
  <c r="HD286" i="31"/>
  <c r="IG286" i="31"/>
  <c r="IH286" i="31" s="1"/>
  <c r="IK286" i="31" s="1"/>
  <c r="AI285" i="31"/>
  <c r="LF285" i="31"/>
  <c r="LG285" i="31"/>
  <c r="LJ283" i="31"/>
  <c r="AM285" i="31"/>
  <c r="AN285" i="31" s="1"/>
  <c r="AO285" i="31" s="1"/>
  <c r="AP285" i="31" s="1"/>
  <c r="LI284" i="31"/>
  <c r="GD284" i="31" s="1"/>
  <c r="GE284" i="31" s="1"/>
  <c r="GF284" i="31" s="1"/>
  <c r="LH284" i="31"/>
  <c r="LK284" i="31"/>
  <c r="MH279" i="31" l="1"/>
  <c r="MI279" i="31"/>
  <c r="MP279" i="31" s="1"/>
  <c r="MG280" i="31"/>
  <c r="MK280" i="31" s="1"/>
  <c r="PF280" i="31"/>
  <c r="MM279" i="31"/>
  <c r="MN279" i="31" s="1"/>
  <c r="LL282" i="31"/>
  <c r="LO282" i="31" s="1"/>
  <c r="LQ282" i="31" s="1"/>
  <c r="LS281" i="31"/>
  <c r="LY281" i="31" s="1"/>
  <c r="MA281" i="31" s="1"/>
  <c r="LT281" i="31"/>
  <c r="ME281" i="31" s="1"/>
  <c r="LE283" i="31"/>
  <c r="ML279" i="31"/>
  <c r="AJ286" i="31"/>
  <c r="LJ284" i="31"/>
  <c r="LH285" i="31"/>
  <c r="LI285" i="31"/>
  <c r="GD285" i="31" s="1"/>
  <c r="GE285" i="31" s="1"/>
  <c r="GF285" i="31" s="1"/>
  <c r="LK285" i="31"/>
  <c r="HI287" i="31"/>
  <c r="HD287" i="31"/>
  <c r="KZ287" i="31"/>
  <c r="AL287" i="31"/>
  <c r="HH287" i="31"/>
  <c r="AK287" i="31"/>
  <c r="IG287" i="31"/>
  <c r="IH287" i="31" s="1"/>
  <c r="IK287" i="31" s="1"/>
  <c r="LF286" i="31"/>
  <c r="LG286" i="31"/>
  <c r="AI286" i="31"/>
  <c r="AM286" i="31"/>
  <c r="AN286" i="31" s="1"/>
  <c r="AO286" i="31" s="1"/>
  <c r="AP286" i="31" s="1"/>
  <c r="MH280" i="31" l="1"/>
  <c r="MI280" i="31"/>
  <c r="MP280" i="31" s="1"/>
  <c r="MG281" i="31"/>
  <c r="MI281" i="31" s="1"/>
  <c r="MP281" i="31" s="1"/>
  <c r="PF281" i="31"/>
  <c r="MM280" i="31"/>
  <c r="MN280" i="31" s="1"/>
  <c r="LL283" i="31"/>
  <c r="LO283" i="31" s="1"/>
  <c r="LQ283" i="31" s="1"/>
  <c r="LT283" i="31" s="1"/>
  <c r="ME283" i="31" s="1"/>
  <c r="LE284" i="31"/>
  <c r="ML280" i="31"/>
  <c r="LR282" i="31"/>
  <c r="LX282" i="31" s="1"/>
  <c r="LZ282" i="31" s="1"/>
  <c r="LT282" i="31"/>
  <c r="ME282" i="31" s="1"/>
  <c r="LS282" i="31"/>
  <c r="LY282" i="31" s="1"/>
  <c r="MA282" i="31" s="1"/>
  <c r="AJ287" i="31"/>
  <c r="AM287" i="31"/>
  <c r="AN287" i="31" s="1"/>
  <c r="AO287" i="31" s="1"/>
  <c r="AP287" i="31" s="1"/>
  <c r="LF287" i="31"/>
  <c r="AI287" i="31"/>
  <c r="LG287" i="31"/>
  <c r="LJ285" i="31"/>
  <c r="KZ288" i="31"/>
  <c r="AL288" i="31"/>
  <c r="HH288" i="31"/>
  <c r="AK288" i="31"/>
  <c r="HD288" i="31"/>
  <c r="HI288" i="31"/>
  <c r="IG288" i="31"/>
  <c r="IH288" i="31" s="1"/>
  <c r="IK288" i="31" s="1"/>
  <c r="LH286" i="31"/>
  <c r="LI286" i="31"/>
  <c r="GD286" i="31" s="1"/>
  <c r="GE286" i="31" s="1"/>
  <c r="GF286" i="31" s="1"/>
  <c r="LK286" i="31"/>
  <c r="MK281" i="31" l="1"/>
  <c r="ML281" i="31" s="1"/>
  <c r="MH281" i="31"/>
  <c r="MG283" i="31"/>
  <c r="MK283" i="31" s="1"/>
  <c r="ML283" i="31" s="1"/>
  <c r="PF283" i="31"/>
  <c r="MG282" i="31"/>
  <c r="MK282" i="31" s="1"/>
  <c r="PF282" i="31"/>
  <c r="LR283" i="31"/>
  <c r="LX283" i="31" s="1"/>
  <c r="LZ283" i="31" s="1"/>
  <c r="LS283" i="31"/>
  <c r="LY283" i="31" s="1"/>
  <c r="MA283" i="31" s="1"/>
  <c r="LL284" i="31"/>
  <c r="LO284" i="31" s="1"/>
  <c r="LQ284" i="31" s="1"/>
  <c r="LE285" i="31"/>
  <c r="AJ288" i="31"/>
  <c r="AM288" i="31"/>
  <c r="AN288" i="31" s="1"/>
  <c r="AO288" i="31" s="1"/>
  <c r="AP288" i="31" s="1"/>
  <c r="LG288" i="31"/>
  <c r="LF288" i="31"/>
  <c r="AI288" i="31"/>
  <c r="HD289" i="31"/>
  <c r="AK289" i="31"/>
  <c r="HH289" i="31"/>
  <c r="HI289" i="31"/>
  <c r="KZ289" i="31"/>
  <c r="AL289" i="31"/>
  <c r="IG289" i="31"/>
  <c r="IH289" i="31" s="1"/>
  <c r="IK289" i="31" s="1"/>
  <c r="LJ286" i="31"/>
  <c r="LH287" i="31"/>
  <c r="LK287" i="31"/>
  <c r="LI287" i="31"/>
  <c r="GD287" i="31" s="1"/>
  <c r="GE287" i="31" s="1"/>
  <c r="GF287" i="31" s="1"/>
  <c r="MM281" i="31" l="1"/>
  <c r="MN281" i="31" s="1"/>
  <c r="MH283" i="31"/>
  <c r="MI283" i="31"/>
  <c r="MP283" i="31" s="1"/>
  <c r="MI282" i="31"/>
  <c r="MP282" i="31" s="1"/>
  <c r="MH282" i="31"/>
  <c r="MM283" i="31"/>
  <c r="MN283" i="31" s="1"/>
  <c r="MM282" i="31"/>
  <c r="MN282" i="31" s="1"/>
  <c r="LL285" i="31"/>
  <c r="LO285" i="31" s="1"/>
  <c r="LQ285" i="31" s="1"/>
  <c r="LR285" i="31" s="1"/>
  <c r="LX285" i="31" s="1"/>
  <c r="LZ285" i="31" s="1"/>
  <c r="ML282" i="31"/>
  <c r="LE286" i="31"/>
  <c r="LT284" i="31"/>
  <c r="ME284" i="31" s="1"/>
  <c r="LS284" i="31"/>
  <c r="LY284" i="31" s="1"/>
  <c r="MA284" i="31" s="1"/>
  <c r="LR284" i="31"/>
  <c r="LX284" i="31" s="1"/>
  <c r="LZ284" i="31" s="1"/>
  <c r="AJ289" i="31"/>
  <c r="LJ287" i="31"/>
  <c r="AK290" i="31"/>
  <c r="KZ290" i="31"/>
  <c r="HD290" i="31"/>
  <c r="HI290" i="31"/>
  <c r="AL290" i="31"/>
  <c r="HH290" i="31"/>
  <c r="IG290" i="31"/>
  <c r="IH290" i="31" s="1"/>
  <c r="IK290" i="31" s="1"/>
  <c r="AM289" i="31"/>
  <c r="AN289" i="31" s="1"/>
  <c r="AO289" i="31" s="1"/>
  <c r="AP289" i="31" s="1"/>
  <c r="LH288" i="31"/>
  <c r="LI288" i="31"/>
  <c r="GD288" i="31" s="1"/>
  <c r="GE288" i="31" s="1"/>
  <c r="GF288" i="31" s="1"/>
  <c r="LK288" i="31"/>
  <c r="AI289" i="31"/>
  <c r="LG289" i="31"/>
  <c r="LF289" i="31"/>
  <c r="MG284" i="31" l="1"/>
  <c r="MK284" i="31" s="1"/>
  <c r="PF284" i="31"/>
  <c r="LS285" i="31"/>
  <c r="LY285" i="31" s="1"/>
  <c r="MA285" i="31" s="1"/>
  <c r="LT285" i="31"/>
  <c r="ME285" i="31" s="1"/>
  <c r="LL286" i="31"/>
  <c r="LO286" i="31" s="1"/>
  <c r="LQ286" i="31" s="1"/>
  <c r="LS286" i="31" s="1"/>
  <c r="LY286" i="31" s="1"/>
  <c r="MA286" i="31" s="1"/>
  <c r="LE287" i="31"/>
  <c r="AJ290" i="31"/>
  <c r="LJ288" i="31"/>
  <c r="AK291" i="31"/>
  <c r="HD291" i="31"/>
  <c r="AL291" i="31"/>
  <c r="HI291" i="31"/>
  <c r="HH291" i="31"/>
  <c r="KZ291" i="31"/>
  <c r="IG291" i="31"/>
  <c r="IH291" i="31" s="1"/>
  <c r="IK291" i="31" s="1"/>
  <c r="AI290" i="31"/>
  <c r="LG290" i="31"/>
  <c r="LF290" i="31"/>
  <c r="LK289" i="31"/>
  <c r="LH289" i="31"/>
  <c r="LI289" i="31"/>
  <c r="GD289" i="31" s="1"/>
  <c r="GE289" i="31" s="1"/>
  <c r="GF289" i="31" s="1"/>
  <c r="AM290" i="31"/>
  <c r="AN290" i="31" s="1"/>
  <c r="AO290" i="31" s="1"/>
  <c r="AP290" i="31" s="1"/>
  <c r="MH284" i="31" l="1"/>
  <c r="MI284" i="31"/>
  <c r="MP284" i="31" s="1"/>
  <c r="MG285" i="31"/>
  <c r="MK285" i="31" s="1"/>
  <c r="ML285" i="31" s="1"/>
  <c r="PF285" i="31"/>
  <c r="MM284" i="31"/>
  <c r="MN284" i="31" s="1"/>
  <c r="LL287" i="31"/>
  <c r="LO287" i="31" s="1"/>
  <c r="LQ287" i="31" s="1"/>
  <c r="LT286" i="31"/>
  <c r="ME286" i="31" s="1"/>
  <c r="LR286" i="31"/>
  <c r="LX286" i="31" s="1"/>
  <c r="LZ286" i="31" s="1"/>
  <c r="LE288" i="31"/>
  <c r="ML284" i="31"/>
  <c r="AM291" i="31"/>
  <c r="AN291" i="31" s="1"/>
  <c r="AO291" i="31" s="1"/>
  <c r="AP291" i="31" s="1"/>
  <c r="AJ291" i="31"/>
  <c r="LJ289" i="31"/>
  <c r="LH290" i="31"/>
  <c r="LI290" i="31"/>
  <c r="GD290" i="31" s="1"/>
  <c r="GE290" i="31" s="1"/>
  <c r="GF290" i="31" s="1"/>
  <c r="LK290" i="31"/>
  <c r="LG291" i="31"/>
  <c r="LF291" i="31"/>
  <c r="AI291" i="31"/>
  <c r="KZ292" i="31"/>
  <c r="HD292" i="31"/>
  <c r="AK292" i="31"/>
  <c r="AL292" i="31"/>
  <c r="HH292" i="31"/>
  <c r="HI292" i="31"/>
  <c r="IG292" i="31"/>
  <c r="IH292" i="31" s="1"/>
  <c r="IK292" i="31" s="1"/>
  <c r="MH285" i="31" l="1"/>
  <c r="MI285" i="31"/>
  <c r="MP285" i="31" s="1"/>
  <c r="MG286" i="31"/>
  <c r="MK286" i="31" s="1"/>
  <c r="PF286" i="31"/>
  <c r="MM285" i="31"/>
  <c r="MN285" i="31" s="1"/>
  <c r="LL288" i="31"/>
  <c r="LO288" i="31" s="1"/>
  <c r="LQ288" i="31" s="1"/>
  <c r="LS288" i="31" s="1"/>
  <c r="LY288" i="31" s="1"/>
  <c r="MA288" i="31" s="1"/>
  <c r="LE289" i="31"/>
  <c r="LS287" i="31"/>
  <c r="LY287" i="31" s="1"/>
  <c r="MA287" i="31" s="1"/>
  <c r="LT287" i="31"/>
  <c r="ME287" i="31" s="1"/>
  <c r="LR287" i="31"/>
  <c r="LX287" i="31" s="1"/>
  <c r="LZ287" i="31" s="1"/>
  <c r="AJ292" i="31"/>
  <c r="AM292" i="31"/>
  <c r="AN292" i="31" s="1"/>
  <c r="AO292" i="31" s="1"/>
  <c r="AP292" i="31" s="1"/>
  <c r="HI293" i="31"/>
  <c r="HH293" i="31"/>
  <c r="AK293" i="31"/>
  <c r="HD293" i="31"/>
  <c r="KZ293" i="31"/>
  <c r="AL293" i="31"/>
  <c r="IG293" i="31"/>
  <c r="IH293" i="31" s="1"/>
  <c r="IK293" i="31" s="1"/>
  <c r="LK291" i="31"/>
  <c r="LI291" i="31"/>
  <c r="GD291" i="31" s="1"/>
  <c r="GE291" i="31" s="1"/>
  <c r="GF291" i="31" s="1"/>
  <c r="LH291" i="31"/>
  <c r="AI292" i="31"/>
  <c r="LF292" i="31"/>
  <c r="LG292" i="31"/>
  <c r="LJ290" i="31"/>
  <c r="MI286" i="31" l="1"/>
  <c r="MP286" i="31" s="1"/>
  <c r="MH286" i="31"/>
  <c r="MG287" i="31"/>
  <c r="MK287" i="31" s="1"/>
  <c r="PF287" i="31"/>
  <c r="MM286" i="31"/>
  <c r="MN286" i="31" s="1"/>
  <c r="LT288" i="31"/>
  <c r="ME288" i="31" s="1"/>
  <c r="LR288" i="31"/>
  <c r="LX288" i="31" s="1"/>
  <c r="LZ288" i="31" s="1"/>
  <c r="LL289" i="31"/>
  <c r="LO289" i="31" s="1"/>
  <c r="LQ289" i="31" s="1"/>
  <c r="LR289" i="31" s="1"/>
  <c r="LX289" i="31" s="1"/>
  <c r="LZ289" i="31" s="1"/>
  <c r="ML286" i="31"/>
  <c r="LE290" i="31"/>
  <c r="AJ293" i="31"/>
  <c r="LJ291" i="31"/>
  <c r="AM293" i="31"/>
  <c r="AN293" i="31" s="1"/>
  <c r="AO293" i="31" s="1"/>
  <c r="AP293" i="31" s="1"/>
  <c r="HD294" i="31"/>
  <c r="HI294" i="31"/>
  <c r="AL294" i="31"/>
  <c r="KZ294" i="31"/>
  <c r="HH294" i="31"/>
  <c r="AK294" i="31"/>
  <c r="IG294" i="31"/>
  <c r="IH294" i="31" s="1"/>
  <c r="IK294" i="31" s="1"/>
  <c r="LK292" i="31"/>
  <c r="LH292" i="31"/>
  <c r="LI292" i="31"/>
  <c r="GD292" i="31" s="1"/>
  <c r="GE292" i="31" s="1"/>
  <c r="GF292" i="31" s="1"/>
  <c r="LF293" i="31"/>
  <c r="AI293" i="31"/>
  <c r="LG293" i="31"/>
  <c r="MI287" i="31" l="1"/>
  <c r="MP287" i="31" s="1"/>
  <c r="MH287" i="31"/>
  <c r="MG288" i="31"/>
  <c r="MK288" i="31" s="1"/>
  <c r="ML288" i="31" s="1"/>
  <c r="PF288" i="31"/>
  <c r="MM287" i="31"/>
  <c r="MN287" i="31" s="1"/>
  <c r="LL290" i="31"/>
  <c r="LO290" i="31" s="1"/>
  <c r="LE291" i="31"/>
  <c r="ML287" i="31"/>
  <c r="LS289" i="31"/>
  <c r="LY289" i="31" s="1"/>
  <c r="MA289" i="31" s="1"/>
  <c r="LT289" i="31"/>
  <c r="ME289" i="31" s="1"/>
  <c r="AJ294" i="31"/>
  <c r="LJ292" i="31"/>
  <c r="LK293" i="31"/>
  <c r="LH293" i="31"/>
  <c r="LI293" i="31"/>
  <c r="GD293" i="31" s="1"/>
  <c r="GE293" i="31" s="1"/>
  <c r="GF293" i="31" s="1"/>
  <c r="AI294" i="31"/>
  <c r="LF294" i="31"/>
  <c r="LG294" i="31"/>
  <c r="HD295" i="31"/>
  <c r="HI295" i="31"/>
  <c r="AK295" i="31"/>
  <c r="HH295" i="31"/>
  <c r="KZ295" i="31"/>
  <c r="AL295" i="31"/>
  <c r="IG295" i="31"/>
  <c r="IH295" i="31" s="1"/>
  <c r="IK295" i="31" s="1"/>
  <c r="AM294" i="31"/>
  <c r="AN294" i="31" s="1"/>
  <c r="AO294" i="31" s="1"/>
  <c r="AP294" i="31" s="1"/>
  <c r="MH288" i="31" l="1"/>
  <c r="MI288" i="31"/>
  <c r="MP288" i="31" s="1"/>
  <c r="MG289" i="31"/>
  <c r="MK289" i="31" s="1"/>
  <c r="PF289" i="31"/>
  <c r="MM288" i="31"/>
  <c r="MN288" i="31" s="1"/>
  <c r="LQ290" i="31"/>
  <c r="LL291" i="31"/>
  <c r="LO291" i="31" s="1"/>
  <c r="LQ291" i="31" s="1"/>
  <c r="LE292" i="31"/>
  <c r="AJ295" i="31"/>
  <c r="LJ293" i="31"/>
  <c r="LG295" i="31"/>
  <c r="AI295" i="31"/>
  <c r="LF295" i="31"/>
  <c r="LH294" i="31"/>
  <c r="LI294" i="31"/>
  <c r="GD294" i="31" s="1"/>
  <c r="GE294" i="31" s="1"/>
  <c r="GF294" i="31" s="1"/>
  <c r="LK294" i="31"/>
  <c r="AL296" i="31"/>
  <c r="AK296" i="31"/>
  <c r="HH296" i="31"/>
  <c r="HI296" i="31"/>
  <c r="KZ296" i="31"/>
  <c r="HD296" i="31"/>
  <c r="IG296" i="31"/>
  <c r="IH296" i="31" s="1"/>
  <c r="IK296" i="31" s="1"/>
  <c r="AM295" i="31"/>
  <c r="AN295" i="31" s="1"/>
  <c r="AO295" i="31" s="1"/>
  <c r="AP295" i="31" s="1"/>
  <c r="MI289" i="31" l="1"/>
  <c r="MP289" i="31" s="1"/>
  <c r="MH289" i="31"/>
  <c r="MM289" i="31"/>
  <c r="MN289" i="31" s="1"/>
  <c r="LT290" i="31"/>
  <c r="ME290" i="31" s="1"/>
  <c r="LS290" i="31"/>
  <c r="LY290" i="31" s="1"/>
  <c r="MA290" i="31" s="1"/>
  <c r="LR290" i="31"/>
  <c r="LX290" i="31" s="1"/>
  <c r="LZ290" i="31" s="1"/>
  <c r="LL292" i="31"/>
  <c r="LO292" i="31" s="1"/>
  <c r="LQ292" i="31" s="1"/>
  <c r="ML289" i="31"/>
  <c r="LE293" i="31"/>
  <c r="LS291" i="31"/>
  <c r="LY291" i="31" s="1"/>
  <c r="MA291" i="31" s="1"/>
  <c r="LR291" i="31"/>
  <c r="LX291" i="31" s="1"/>
  <c r="LZ291" i="31" s="1"/>
  <c r="LT291" i="31"/>
  <c r="ME291" i="31" s="1"/>
  <c r="AJ296" i="31"/>
  <c r="LJ294" i="31"/>
  <c r="AM296" i="31"/>
  <c r="AN296" i="31" s="1"/>
  <c r="AO296" i="31" s="1"/>
  <c r="AP296" i="31" s="1"/>
  <c r="LG296" i="31"/>
  <c r="LF296" i="31"/>
  <c r="AI296" i="31"/>
  <c r="LI295" i="31"/>
  <c r="GD295" i="31" s="1"/>
  <c r="GE295" i="31" s="1"/>
  <c r="GF295" i="31" s="1"/>
  <c r="LK295" i="31"/>
  <c r="LH295" i="31"/>
  <c r="AL297" i="31"/>
  <c r="HH297" i="31"/>
  <c r="KZ297" i="31"/>
  <c r="HD297" i="31"/>
  <c r="HI297" i="31"/>
  <c r="AK297" i="31"/>
  <c r="IG297" i="31"/>
  <c r="IH297" i="31" s="1"/>
  <c r="IK297" i="31" s="1"/>
  <c r="MG291" i="31" l="1"/>
  <c r="MK291" i="31" s="1"/>
  <c r="PF291" i="31"/>
  <c r="MG290" i="31"/>
  <c r="MK290" i="31" s="1"/>
  <c r="PF290" i="31"/>
  <c r="LL293" i="31"/>
  <c r="LO293" i="31" s="1"/>
  <c r="LQ293" i="31" s="1"/>
  <c r="LE294" i="31"/>
  <c r="LS292" i="31"/>
  <c r="LY292" i="31" s="1"/>
  <c r="MA292" i="31" s="1"/>
  <c r="LR292" i="31"/>
  <c r="LX292" i="31" s="1"/>
  <c r="LZ292" i="31" s="1"/>
  <c r="LT292" i="31"/>
  <c r="ME292" i="31" s="1"/>
  <c r="AJ297" i="31"/>
  <c r="LJ295" i="31"/>
  <c r="AM297" i="31"/>
  <c r="AN297" i="31" s="1"/>
  <c r="AO297" i="31" s="1"/>
  <c r="AP297" i="31" s="1"/>
  <c r="LI296" i="31"/>
  <c r="GD296" i="31" s="1"/>
  <c r="GE296" i="31" s="1"/>
  <c r="GF296" i="31" s="1"/>
  <c r="LK296" i="31"/>
  <c r="LH296" i="31"/>
  <c r="LG297" i="31"/>
  <c r="AI297" i="31"/>
  <c r="LF297" i="31"/>
  <c r="AK298" i="31"/>
  <c r="HH298" i="31"/>
  <c r="AL298" i="31"/>
  <c r="HI298" i="31"/>
  <c r="KZ298" i="31"/>
  <c r="HD298" i="31"/>
  <c r="IG298" i="31"/>
  <c r="IH298" i="31" s="1"/>
  <c r="IK298" i="31" s="1"/>
  <c r="MH291" i="31" l="1"/>
  <c r="MI291" i="31"/>
  <c r="MP291" i="31" s="1"/>
  <c r="MH290" i="31"/>
  <c r="MI290" i="31"/>
  <c r="MP290" i="31" s="1"/>
  <c r="MG292" i="31"/>
  <c r="MK292" i="31" s="1"/>
  <c r="PF292" i="31"/>
  <c r="MM290" i="31"/>
  <c r="MN290" i="31" s="1"/>
  <c r="MM291" i="31"/>
  <c r="MN291" i="31" s="1"/>
  <c r="ML290" i="31"/>
  <c r="LL294" i="31"/>
  <c r="LO294" i="31" s="1"/>
  <c r="LQ294" i="31" s="1"/>
  <c r="LE295" i="31"/>
  <c r="ML291" i="31"/>
  <c r="LS293" i="31"/>
  <c r="LY293" i="31" s="1"/>
  <c r="MA293" i="31" s="1"/>
  <c r="LT293" i="31"/>
  <c r="ME293" i="31" s="1"/>
  <c r="LR293" i="31"/>
  <c r="LX293" i="31" s="1"/>
  <c r="LZ293" i="31" s="1"/>
  <c r="AJ298" i="31"/>
  <c r="LJ296" i="31"/>
  <c r="AM298" i="31"/>
  <c r="AN298" i="31" s="1"/>
  <c r="AO298" i="31" s="1"/>
  <c r="AP298" i="31" s="1"/>
  <c r="AK299" i="31"/>
  <c r="AL299" i="31"/>
  <c r="HI299" i="31"/>
  <c r="KZ299" i="31"/>
  <c r="HD299" i="31"/>
  <c r="HH299" i="31"/>
  <c r="IG299" i="31"/>
  <c r="IH299" i="31" s="1"/>
  <c r="IK299" i="31" s="1"/>
  <c r="LH297" i="31"/>
  <c r="LI297" i="31"/>
  <c r="GD297" i="31" s="1"/>
  <c r="GE297" i="31" s="1"/>
  <c r="GF297" i="31" s="1"/>
  <c r="LK297" i="31"/>
  <c r="LG298" i="31"/>
  <c r="AI298" i="31"/>
  <c r="LF298" i="31"/>
  <c r="MI292" i="31" l="1"/>
  <c r="MP292" i="31" s="1"/>
  <c r="MH292" i="31"/>
  <c r="MG293" i="31"/>
  <c r="MK293" i="31" s="1"/>
  <c r="PF293" i="31"/>
  <c r="MM292" i="31"/>
  <c r="MN292" i="31" s="1"/>
  <c r="LL295" i="31"/>
  <c r="LO295" i="31" s="1"/>
  <c r="LQ295" i="31" s="1"/>
  <c r="ML292" i="31"/>
  <c r="LS294" i="31"/>
  <c r="LY294" i="31" s="1"/>
  <c r="MA294" i="31" s="1"/>
  <c r="LR294" i="31"/>
  <c r="LX294" i="31" s="1"/>
  <c r="LZ294" i="31" s="1"/>
  <c r="LE296" i="31"/>
  <c r="LT294" i="31"/>
  <c r="ME294" i="31" s="1"/>
  <c r="AJ299" i="31"/>
  <c r="AI299" i="31"/>
  <c r="LG299" i="31"/>
  <c r="LF299" i="31"/>
  <c r="LJ297" i="31"/>
  <c r="AM299" i="31"/>
  <c r="AN299" i="31" s="1"/>
  <c r="AO299" i="31" s="1"/>
  <c r="AP299" i="31" s="1"/>
  <c r="HI300" i="31"/>
  <c r="KZ300" i="31"/>
  <c r="HD300" i="31"/>
  <c r="HH300" i="31"/>
  <c r="AL300" i="31"/>
  <c r="AK300" i="31"/>
  <c r="IG300" i="31"/>
  <c r="IH300" i="31" s="1"/>
  <c r="IK300" i="31" s="1"/>
  <c r="LH298" i="31"/>
  <c r="LK298" i="31"/>
  <c r="LI298" i="31"/>
  <c r="GD298" i="31" s="1"/>
  <c r="GE298" i="31" s="1"/>
  <c r="GF298" i="31" s="1"/>
  <c r="MH293" i="31" l="1"/>
  <c r="MI293" i="31"/>
  <c r="MP293" i="31" s="1"/>
  <c r="MG294" i="31"/>
  <c r="MK294" i="31" s="1"/>
  <c r="PF294" i="31"/>
  <c r="MM293" i="31"/>
  <c r="MN293" i="31" s="1"/>
  <c r="LL296" i="31"/>
  <c r="LO296" i="31" s="1"/>
  <c r="LQ296" i="31" s="1"/>
  <c r="ML293" i="31"/>
  <c r="LR295" i="31"/>
  <c r="LX295" i="31" s="1"/>
  <c r="LZ295" i="31" s="1"/>
  <c r="LT295" i="31"/>
  <c r="ME295" i="31" s="1"/>
  <c r="LE297" i="31"/>
  <c r="LS295" i="31"/>
  <c r="LY295" i="31" s="1"/>
  <c r="MA295" i="31" s="1"/>
  <c r="LJ298" i="31"/>
  <c r="AJ300" i="31"/>
  <c r="AM300" i="31"/>
  <c r="AN300" i="31" s="1"/>
  <c r="AO300" i="31" s="1"/>
  <c r="AP300" i="31" s="1"/>
  <c r="LG300" i="31"/>
  <c r="LF300" i="31"/>
  <c r="AI300" i="31"/>
  <c r="LH299" i="31"/>
  <c r="LK299" i="31"/>
  <c r="LI299" i="31"/>
  <c r="GD299" i="31" s="1"/>
  <c r="GE299" i="31" s="1"/>
  <c r="GF299" i="31" s="1"/>
  <c r="HD301" i="31"/>
  <c r="KZ301" i="31"/>
  <c r="AK301" i="31"/>
  <c r="HH301" i="31"/>
  <c r="AL301" i="31"/>
  <c r="HI301" i="31"/>
  <c r="IG301" i="31"/>
  <c r="IH301" i="31" s="1"/>
  <c r="IK301" i="31" s="1"/>
  <c r="MH294" i="31" l="1"/>
  <c r="MI294" i="31"/>
  <c r="MP294" i="31" s="1"/>
  <c r="MG295" i="31"/>
  <c r="MK295" i="31" s="1"/>
  <c r="PF295" i="31"/>
  <c r="MM294" i="31"/>
  <c r="MN294" i="31" s="1"/>
  <c r="LL297" i="31"/>
  <c r="LO297" i="31" s="1"/>
  <c r="LQ297" i="31" s="1"/>
  <c r="LS297" i="31" s="1"/>
  <c r="LY297" i="31" s="1"/>
  <c r="MA297" i="31" s="1"/>
  <c r="LE298" i="31"/>
  <c r="ML294" i="31"/>
  <c r="LT296" i="31"/>
  <c r="ME296" i="31" s="1"/>
  <c r="LS296" i="31"/>
  <c r="LY296" i="31" s="1"/>
  <c r="MA296" i="31" s="1"/>
  <c r="LR296" i="31"/>
  <c r="LX296" i="31" s="1"/>
  <c r="LZ296" i="31" s="1"/>
  <c r="AJ301" i="31"/>
  <c r="LJ299" i="31"/>
  <c r="AI301" i="31"/>
  <c r="LG301" i="31"/>
  <c r="LF301" i="31"/>
  <c r="LH300" i="31"/>
  <c r="LI300" i="31"/>
  <c r="GD300" i="31" s="1"/>
  <c r="GE300" i="31" s="1"/>
  <c r="GF300" i="31" s="1"/>
  <c r="LK300" i="31"/>
  <c r="HD302" i="31"/>
  <c r="AK302" i="31"/>
  <c r="HH302" i="31"/>
  <c r="HI302" i="31"/>
  <c r="KZ302" i="31"/>
  <c r="AL302" i="31"/>
  <c r="IG302" i="31"/>
  <c r="IH302" i="31" s="1"/>
  <c r="IK302" i="31" s="1"/>
  <c r="AM301" i="31"/>
  <c r="AN301" i="31" s="1"/>
  <c r="AO301" i="31" s="1"/>
  <c r="AP301" i="31" s="1"/>
  <c r="MH295" i="31" l="1"/>
  <c r="MI295" i="31"/>
  <c r="MP295" i="31" s="1"/>
  <c r="MG296" i="31"/>
  <c r="MK296" i="31" s="1"/>
  <c r="PF296" i="31"/>
  <c r="MM295" i="31"/>
  <c r="MN295" i="31" s="1"/>
  <c r="LL298" i="31"/>
  <c r="LO298" i="31" s="1"/>
  <c r="LQ298" i="31" s="1"/>
  <c r="LT297" i="31"/>
  <c r="ME297" i="31" s="1"/>
  <c r="LR297" i="31"/>
  <c r="LX297" i="31" s="1"/>
  <c r="LZ297" i="31" s="1"/>
  <c r="ML295" i="31"/>
  <c r="LE299" i="31"/>
  <c r="AJ302" i="31"/>
  <c r="AI302" i="31"/>
  <c r="LG302" i="31"/>
  <c r="LF302" i="31"/>
  <c r="LJ300" i="31"/>
  <c r="LH301" i="31"/>
  <c r="LK301" i="31"/>
  <c r="LI301" i="31"/>
  <c r="GD301" i="31" s="1"/>
  <c r="GE301" i="31" s="1"/>
  <c r="GF301" i="31" s="1"/>
  <c r="AK303" i="31"/>
  <c r="HD303" i="31"/>
  <c r="KZ303" i="31"/>
  <c r="AL303" i="31"/>
  <c r="HH303" i="31"/>
  <c r="HI303" i="31"/>
  <c r="IG303" i="31"/>
  <c r="IH303" i="31" s="1"/>
  <c r="IK303" i="31" s="1"/>
  <c r="AM302" i="31"/>
  <c r="AN302" i="31" s="1"/>
  <c r="AO302" i="31" s="1"/>
  <c r="AP302" i="31" s="1"/>
  <c r="MH296" i="31" l="1"/>
  <c r="MI296" i="31"/>
  <c r="MP296" i="31" s="1"/>
  <c r="MG297" i="31"/>
  <c r="MK297" i="31" s="1"/>
  <c r="PF297" i="31"/>
  <c r="MM296" i="31"/>
  <c r="MN296" i="31" s="1"/>
  <c r="LL299" i="31"/>
  <c r="LO299" i="31" s="1"/>
  <c r="LQ299" i="31" s="1"/>
  <c r="ML296" i="31"/>
  <c r="LE300" i="31"/>
  <c r="LS298" i="31"/>
  <c r="LY298" i="31" s="1"/>
  <c r="MA298" i="31" s="1"/>
  <c r="LR298" i="31"/>
  <c r="LX298" i="31" s="1"/>
  <c r="LZ298" i="31" s="1"/>
  <c r="LT298" i="31"/>
  <c r="ME298" i="31" s="1"/>
  <c r="AJ303" i="31"/>
  <c r="AM303" i="31"/>
  <c r="AN303" i="31" s="1"/>
  <c r="AO303" i="31" s="1"/>
  <c r="AP303" i="31" s="1"/>
  <c r="LJ301" i="31"/>
  <c r="AI303" i="31"/>
  <c r="LF303" i="31"/>
  <c r="LG303" i="31"/>
  <c r="LI302" i="31"/>
  <c r="GD302" i="31" s="1"/>
  <c r="GE302" i="31" s="1"/>
  <c r="GF302" i="31" s="1"/>
  <c r="LH302" i="31"/>
  <c r="LK302" i="31"/>
  <c r="HI304" i="31"/>
  <c r="KZ304" i="31"/>
  <c r="HH304" i="31"/>
  <c r="AK304" i="31"/>
  <c r="HD304" i="31"/>
  <c r="AL304" i="31"/>
  <c r="IG304" i="31"/>
  <c r="IH304" i="31" s="1"/>
  <c r="IK304" i="31" s="1"/>
  <c r="MH297" i="31" l="1"/>
  <c r="MI297" i="31"/>
  <c r="MP297" i="31" s="1"/>
  <c r="MG298" i="31"/>
  <c r="MK298" i="31" s="1"/>
  <c r="PF298" i="31"/>
  <c r="ML297" i="31"/>
  <c r="MM297" i="31"/>
  <c r="MN297" i="31" s="1"/>
  <c r="LL300" i="31"/>
  <c r="LO300" i="31" s="1"/>
  <c r="LQ300" i="31" s="1"/>
  <c r="LR300" i="31" s="1"/>
  <c r="LX300" i="31" s="1"/>
  <c r="LZ300" i="31" s="1"/>
  <c r="LE301" i="31"/>
  <c r="LT299" i="31"/>
  <c r="ME299" i="31" s="1"/>
  <c r="LS299" i="31"/>
  <c r="LY299" i="31" s="1"/>
  <c r="MA299" i="31" s="1"/>
  <c r="LR299" i="31"/>
  <c r="LX299" i="31" s="1"/>
  <c r="LZ299" i="31" s="1"/>
  <c r="AM304" i="31"/>
  <c r="AN304" i="31" s="1"/>
  <c r="AO304" i="31" s="1"/>
  <c r="AP304" i="31" s="1"/>
  <c r="AJ304" i="31"/>
  <c r="AI304" i="31"/>
  <c r="LF304" i="31"/>
  <c r="LG304" i="31"/>
  <c r="LJ302" i="31"/>
  <c r="LK303" i="31"/>
  <c r="LI303" i="31"/>
  <c r="GD303" i="31" s="1"/>
  <c r="GE303" i="31" s="1"/>
  <c r="GF303" i="31" s="1"/>
  <c r="LH303" i="31"/>
  <c r="HI305" i="31"/>
  <c r="HD305" i="31"/>
  <c r="AK305" i="31"/>
  <c r="HH305" i="31"/>
  <c r="KZ305" i="31"/>
  <c r="AL305" i="31"/>
  <c r="IG305" i="31"/>
  <c r="IH305" i="31" s="1"/>
  <c r="IK305" i="31" s="1"/>
  <c r="MH298" i="31" l="1"/>
  <c r="MI298" i="31"/>
  <c r="MP298" i="31" s="1"/>
  <c r="MG299" i="31"/>
  <c r="MK299" i="31" s="1"/>
  <c r="PF299" i="31"/>
  <c r="MM298" i="31"/>
  <c r="MN298" i="31" s="1"/>
  <c r="LT300" i="31"/>
  <c r="ME300" i="31" s="1"/>
  <c r="LS300" i="31"/>
  <c r="LY300" i="31" s="1"/>
  <c r="MA300" i="31" s="1"/>
  <c r="LL301" i="31"/>
  <c r="LO301" i="31" s="1"/>
  <c r="LQ301" i="31" s="1"/>
  <c r="ML298" i="31"/>
  <c r="LE302" i="31"/>
  <c r="AJ305" i="31"/>
  <c r="LJ303" i="31"/>
  <c r="LI304" i="31"/>
  <c r="GD304" i="31" s="1"/>
  <c r="GE304" i="31" s="1"/>
  <c r="GF304" i="31" s="1"/>
  <c r="HD306" i="31"/>
  <c r="KZ306" i="31"/>
  <c r="HI306" i="31"/>
  <c r="HH306" i="31"/>
  <c r="AL306" i="31"/>
  <c r="AK306" i="31"/>
  <c r="IG306" i="31"/>
  <c r="IH306" i="31" s="1"/>
  <c r="IK306" i="31" s="1"/>
  <c r="AM305" i="31"/>
  <c r="AN305" i="31" s="1"/>
  <c r="AO305" i="31" s="1"/>
  <c r="AP305" i="31" s="1"/>
  <c r="LK304" i="31"/>
  <c r="LH304" i="31"/>
  <c r="LG305" i="31"/>
  <c r="LF305" i="31"/>
  <c r="AI305" i="31"/>
  <c r="MI299" i="31" l="1"/>
  <c r="MP299" i="31" s="1"/>
  <c r="MH299" i="31"/>
  <c r="MG300" i="31"/>
  <c r="MH300" i="31" s="1"/>
  <c r="PF300" i="31"/>
  <c r="MM299" i="31"/>
  <c r="MN299" i="31" s="1"/>
  <c r="LL302" i="31"/>
  <c r="LO302" i="31" s="1"/>
  <c r="LQ302" i="31" s="1"/>
  <c r="LS302" i="31" s="1"/>
  <c r="LY302" i="31" s="1"/>
  <c r="MA302" i="31" s="1"/>
  <c r="ML299" i="31"/>
  <c r="LE303" i="31"/>
  <c r="LS301" i="31"/>
  <c r="LY301" i="31" s="1"/>
  <c r="MA301" i="31" s="1"/>
  <c r="LT301" i="31"/>
  <c r="ME301" i="31" s="1"/>
  <c r="LR301" i="31"/>
  <c r="LX301" i="31" s="1"/>
  <c r="LZ301" i="31" s="1"/>
  <c r="AJ306" i="31"/>
  <c r="LJ304" i="31"/>
  <c r="LF306" i="31"/>
  <c r="AI306" i="31"/>
  <c r="LG306" i="31"/>
  <c r="AK307" i="31"/>
  <c r="AL307" i="31"/>
  <c r="HI307" i="31"/>
  <c r="HD307" i="31"/>
  <c r="KZ307" i="31"/>
  <c r="HH307" i="31"/>
  <c r="IG307" i="31"/>
  <c r="IH307" i="31" s="1"/>
  <c r="IK307" i="31" s="1"/>
  <c r="LK305" i="31"/>
  <c r="LI305" i="31"/>
  <c r="GD305" i="31" s="1"/>
  <c r="GE305" i="31" s="1"/>
  <c r="GF305" i="31" s="1"/>
  <c r="LH305" i="31"/>
  <c r="AM306" i="31"/>
  <c r="AN306" i="31" s="1"/>
  <c r="AO306" i="31" s="1"/>
  <c r="AP306" i="31" s="1"/>
  <c r="MK300" i="31" l="1"/>
  <c r="ML300" i="31" s="1"/>
  <c r="MI300" i="31"/>
  <c r="MP300" i="31" s="1"/>
  <c r="MG301" i="31"/>
  <c r="MK301" i="31" s="1"/>
  <c r="PF301" i="31"/>
  <c r="LR302" i="31"/>
  <c r="LX302" i="31" s="1"/>
  <c r="LZ302" i="31" s="1"/>
  <c r="LT302" i="31"/>
  <c r="ME302" i="31" s="1"/>
  <c r="LL303" i="31"/>
  <c r="LO303" i="31" s="1"/>
  <c r="LQ303" i="31" s="1"/>
  <c r="LE304" i="31"/>
  <c r="AJ307" i="31"/>
  <c r="LH306" i="31"/>
  <c r="LK306" i="31"/>
  <c r="LI306" i="31"/>
  <c r="GD306" i="31" s="1"/>
  <c r="GE306" i="31" s="1"/>
  <c r="GF306" i="31" s="1"/>
  <c r="AM307" i="31"/>
  <c r="AN307" i="31" s="1"/>
  <c r="AO307" i="31" s="1"/>
  <c r="AP307" i="31" s="1"/>
  <c r="HI308" i="31"/>
  <c r="HH308" i="31"/>
  <c r="KZ308" i="31"/>
  <c r="AL308" i="31"/>
  <c r="AK308" i="31"/>
  <c r="HD308" i="31"/>
  <c r="IG308" i="31"/>
  <c r="IH308" i="31" s="1"/>
  <c r="IK308" i="31" s="1"/>
  <c r="LJ305" i="31"/>
  <c r="LF307" i="31"/>
  <c r="AI307" i="31"/>
  <c r="LG307" i="31"/>
  <c r="MM300" i="31" l="1"/>
  <c r="MN300" i="31" s="1"/>
  <c r="MI301" i="31"/>
  <c r="MP301" i="31" s="1"/>
  <c r="MH301" i="31"/>
  <c r="MG302" i="31"/>
  <c r="MK302" i="31" s="1"/>
  <c r="ML302" i="31" s="1"/>
  <c r="PF302" i="31"/>
  <c r="MM301" i="31"/>
  <c r="MN301" i="31" s="1"/>
  <c r="LL304" i="31"/>
  <c r="LO304" i="31" s="1"/>
  <c r="LQ304" i="31" s="1"/>
  <c r="ML301" i="31"/>
  <c r="LE305" i="31"/>
  <c r="LR303" i="31"/>
  <c r="LX303" i="31" s="1"/>
  <c r="LZ303" i="31" s="1"/>
  <c r="LS303" i="31"/>
  <c r="LY303" i="31" s="1"/>
  <c r="MA303" i="31" s="1"/>
  <c r="LT303" i="31"/>
  <c r="ME303" i="31" s="1"/>
  <c r="AJ308" i="31"/>
  <c r="AM308" i="31"/>
  <c r="AN308" i="31" s="1"/>
  <c r="AO308" i="31" s="1"/>
  <c r="AP308" i="31" s="1"/>
  <c r="LI307" i="31"/>
  <c r="GD307" i="31" s="1"/>
  <c r="GE307" i="31" s="1"/>
  <c r="GF307" i="31" s="1"/>
  <c r="LH307" i="31"/>
  <c r="LK307" i="31"/>
  <c r="AK309" i="31"/>
  <c r="HD309" i="31"/>
  <c r="KZ309" i="31"/>
  <c r="HH309" i="31"/>
  <c r="AL309" i="31"/>
  <c r="HI309" i="31"/>
  <c r="IG309" i="31"/>
  <c r="IH309" i="31" s="1"/>
  <c r="IK309" i="31" s="1"/>
  <c r="LF308" i="31"/>
  <c r="AI308" i="31"/>
  <c r="LG308" i="31"/>
  <c r="LJ306" i="31"/>
  <c r="MH302" i="31" l="1"/>
  <c r="MI302" i="31"/>
  <c r="MP302" i="31" s="1"/>
  <c r="MG303" i="31"/>
  <c r="MK303" i="31" s="1"/>
  <c r="PF303" i="31"/>
  <c r="MM302" i="31"/>
  <c r="MN302" i="31" s="1"/>
  <c r="LL305" i="31"/>
  <c r="LO305" i="31" s="1"/>
  <c r="LQ305" i="31" s="1"/>
  <c r="LT305" i="31" s="1"/>
  <c r="ME305" i="31" s="1"/>
  <c r="LS304" i="31"/>
  <c r="LY304" i="31" s="1"/>
  <c r="MA304" i="31" s="1"/>
  <c r="LT304" i="31"/>
  <c r="ME304" i="31" s="1"/>
  <c r="LE306" i="31"/>
  <c r="LR304" i="31"/>
  <c r="LX304" i="31" s="1"/>
  <c r="LZ304" i="31" s="1"/>
  <c r="AJ309" i="31"/>
  <c r="LJ307" i="31"/>
  <c r="AL310" i="31"/>
  <c r="HH310" i="31"/>
  <c r="HI310" i="31"/>
  <c r="AK310" i="31"/>
  <c r="KZ310" i="31"/>
  <c r="HD310" i="31"/>
  <c r="IG310" i="31"/>
  <c r="IH310" i="31" s="1"/>
  <c r="IK310" i="31" s="1"/>
  <c r="LG309" i="31"/>
  <c r="LF309" i="31"/>
  <c r="AI309" i="31"/>
  <c r="LK308" i="31"/>
  <c r="LH308" i="31"/>
  <c r="LI308" i="31"/>
  <c r="GD308" i="31" s="1"/>
  <c r="GE308" i="31" s="1"/>
  <c r="GF308" i="31" s="1"/>
  <c r="AM309" i="31"/>
  <c r="AN309" i="31" s="1"/>
  <c r="AO309" i="31" s="1"/>
  <c r="AP309" i="31" s="1"/>
  <c r="MH303" i="31" l="1"/>
  <c r="MI303" i="31"/>
  <c r="MP303" i="31" s="1"/>
  <c r="MG304" i="31"/>
  <c r="MK304" i="31" s="1"/>
  <c r="PF304" i="31"/>
  <c r="MG305" i="31"/>
  <c r="MI305" i="31" s="1"/>
  <c r="MP305" i="31" s="1"/>
  <c r="PF305" i="31"/>
  <c r="MM303" i="31"/>
  <c r="MN303" i="31" s="1"/>
  <c r="LS305" i="31"/>
  <c r="LY305" i="31" s="1"/>
  <c r="MA305" i="31" s="1"/>
  <c r="LR305" i="31"/>
  <c r="LX305" i="31" s="1"/>
  <c r="LZ305" i="31" s="1"/>
  <c r="LL306" i="31"/>
  <c r="LO306" i="31" s="1"/>
  <c r="LQ306" i="31" s="1"/>
  <c r="LS306" i="31" s="1"/>
  <c r="LY306" i="31" s="1"/>
  <c r="MA306" i="31" s="1"/>
  <c r="ML303" i="31"/>
  <c r="LE307" i="31"/>
  <c r="AJ310" i="31"/>
  <c r="AM310" i="31"/>
  <c r="AN310" i="31" s="1"/>
  <c r="AO310" i="31" s="1"/>
  <c r="AP310" i="31" s="1"/>
  <c r="LK309" i="31"/>
  <c r="LI309" i="31"/>
  <c r="GD309" i="31" s="1"/>
  <c r="GE309" i="31" s="1"/>
  <c r="GF309" i="31" s="1"/>
  <c r="LH309" i="31"/>
  <c r="LG310" i="31"/>
  <c r="AI310" i="31"/>
  <c r="LF310" i="31"/>
  <c r="AL311" i="31"/>
  <c r="HD311" i="31"/>
  <c r="AK311" i="31"/>
  <c r="HI311" i="31"/>
  <c r="HH311" i="31"/>
  <c r="KZ311" i="31"/>
  <c r="IG311" i="31"/>
  <c r="IH311" i="31" s="1"/>
  <c r="IK311" i="31" s="1"/>
  <c r="LJ308" i="31"/>
  <c r="MH305" i="31" l="1"/>
  <c r="MH304" i="31"/>
  <c r="MI304" i="31"/>
  <c r="MP304" i="31" s="1"/>
  <c r="MK305" i="31"/>
  <c r="MM305" i="31" s="1"/>
  <c r="MN305" i="31" s="1"/>
  <c r="MM304" i="31"/>
  <c r="MN304" i="31" s="1"/>
  <c r="LT306" i="31"/>
  <c r="ME306" i="31" s="1"/>
  <c r="LR306" i="31"/>
  <c r="LX306" i="31" s="1"/>
  <c r="LZ306" i="31" s="1"/>
  <c r="LL307" i="31"/>
  <c r="LO307" i="31" s="1"/>
  <c r="LQ307" i="31" s="1"/>
  <c r="LT307" i="31" s="1"/>
  <c r="ME307" i="31" s="1"/>
  <c r="ML304" i="31"/>
  <c r="LE308" i="31"/>
  <c r="LJ309" i="31"/>
  <c r="AJ311" i="31"/>
  <c r="AI311" i="31"/>
  <c r="LG311" i="31"/>
  <c r="LF311" i="31"/>
  <c r="HD312" i="31"/>
  <c r="KZ312" i="31"/>
  <c r="AK312" i="31"/>
  <c r="HI312" i="31"/>
  <c r="AL312" i="31"/>
  <c r="HH312" i="31"/>
  <c r="IG312" i="31"/>
  <c r="IH312" i="31" s="1"/>
  <c r="IK312" i="31" s="1"/>
  <c r="LK310" i="31"/>
  <c r="LH310" i="31"/>
  <c r="LI310" i="31"/>
  <c r="GD310" i="31" s="1"/>
  <c r="GE310" i="31" s="1"/>
  <c r="GF310" i="31" s="1"/>
  <c r="AM311" i="31"/>
  <c r="AN311" i="31" s="1"/>
  <c r="AO311" i="31" s="1"/>
  <c r="AP311" i="31" s="1"/>
  <c r="ML305" i="31" l="1"/>
  <c r="MG306" i="31"/>
  <c r="MK306" i="31" s="1"/>
  <c r="ML306" i="31" s="1"/>
  <c r="PF306" i="31"/>
  <c r="MG307" i="31"/>
  <c r="MK307" i="31" s="1"/>
  <c r="ML307" i="31" s="1"/>
  <c r="PF307" i="31"/>
  <c r="LR307" i="31"/>
  <c r="LX307" i="31" s="1"/>
  <c r="LZ307" i="31" s="1"/>
  <c r="LS307" i="31"/>
  <c r="LY307" i="31" s="1"/>
  <c r="MA307" i="31" s="1"/>
  <c r="LL308" i="31"/>
  <c r="LO308" i="31" s="1"/>
  <c r="LQ308" i="31" s="1"/>
  <c r="LT308" i="31" s="1"/>
  <c r="ME308" i="31" s="1"/>
  <c r="LE309" i="31"/>
  <c r="AJ312" i="31"/>
  <c r="LJ310" i="31"/>
  <c r="LH311" i="31"/>
  <c r="LK311" i="31"/>
  <c r="LI311" i="31"/>
  <c r="GD311" i="31" s="1"/>
  <c r="GE311" i="31" s="1"/>
  <c r="GF311" i="31" s="1"/>
  <c r="HD313" i="31"/>
  <c r="KZ313" i="31"/>
  <c r="HH313" i="31"/>
  <c r="AL313" i="31"/>
  <c r="HI313" i="31"/>
  <c r="AK313" i="31"/>
  <c r="IG313" i="31"/>
  <c r="IH313" i="31" s="1"/>
  <c r="IK313" i="31" s="1"/>
  <c r="AM312" i="31"/>
  <c r="AN312" i="31" s="1"/>
  <c r="AO312" i="31" s="1"/>
  <c r="AP312" i="31" s="1"/>
  <c r="LG312" i="31"/>
  <c r="AI312" i="31"/>
  <c r="LF312" i="31"/>
  <c r="MH306" i="31" l="1"/>
  <c r="MH307" i="31"/>
  <c r="MI306" i="31"/>
  <c r="MP306" i="31" s="1"/>
  <c r="MI307" i="31"/>
  <c r="MP307" i="31" s="1"/>
  <c r="MG308" i="31"/>
  <c r="MH308" i="31" s="1"/>
  <c r="PF308" i="31"/>
  <c r="MM306" i="31"/>
  <c r="MN306" i="31" s="1"/>
  <c r="MM307" i="31"/>
  <c r="MN307" i="31" s="1"/>
  <c r="LS308" i="31"/>
  <c r="LY308" i="31" s="1"/>
  <c r="MA308" i="31" s="1"/>
  <c r="LR308" i="31"/>
  <c r="LX308" i="31" s="1"/>
  <c r="LZ308" i="31" s="1"/>
  <c r="LL309" i="31"/>
  <c r="LO309" i="31" s="1"/>
  <c r="LQ309" i="31" s="1"/>
  <c r="LE310" i="31"/>
  <c r="AJ313" i="31"/>
  <c r="LJ311" i="31"/>
  <c r="AM313" i="31"/>
  <c r="AN313" i="31" s="1"/>
  <c r="AO313" i="31" s="1"/>
  <c r="AP313" i="31" s="1"/>
  <c r="LI312" i="31"/>
  <c r="GD312" i="31" s="1"/>
  <c r="GE312" i="31" s="1"/>
  <c r="GF312" i="31" s="1"/>
  <c r="LK312" i="31"/>
  <c r="LH312" i="31"/>
  <c r="LG313" i="31"/>
  <c r="AI313" i="31"/>
  <c r="LF313" i="31"/>
  <c r="HH314" i="31"/>
  <c r="KZ314" i="31"/>
  <c r="HI314" i="31"/>
  <c r="AL314" i="31"/>
  <c r="AK314" i="31"/>
  <c r="HD314" i="31"/>
  <c r="IG314" i="31"/>
  <c r="IH314" i="31" s="1"/>
  <c r="IK314" i="31" s="1"/>
  <c r="MK308" i="31" l="1"/>
  <c r="ML308" i="31" s="1"/>
  <c r="MI308" i="31"/>
  <c r="MP308" i="31" s="1"/>
  <c r="LL310" i="31"/>
  <c r="LO310" i="31" s="1"/>
  <c r="LQ310" i="31" s="1"/>
  <c r="LS309" i="31"/>
  <c r="LY309" i="31" s="1"/>
  <c r="MA309" i="31" s="1"/>
  <c r="LR309" i="31"/>
  <c r="LX309" i="31" s="1"/>
  <c r="LZ309" i="31" s="1"/>
  <c r="LT309" i="31"/>
  <c r="ME309" i="31" s="1"/>
  <c r="LE311" i="31"/>
  <c r="AM314" i="31"/>
  <c r="AN314" i="31" s="1"/>
  <c r="AO314" i="31" s="1"/>
  <c r="AP314" i="31" s="1"/>
  <c r="AJ314" i="31"/>
  <c r="LJ312" i="31"/>
  <c r="LH313" i="31"/>
  <c r="LK313" i="31"/>
  <c r="LI313" i="31"/>
  <c r="GD313" i="31" s="1"/>
  <c r="GE313" i="31" s="1"/>
  <c r="GF313" i="31" s="1"/>
  <c r="LG314" i="31"/>
  <c r="LF314" i="31"/>
  <c r="AI314" i="31"/>
  <c r="AL315" i="31"/>
  <c r="HH315" i="31"/>
  <c r="HI315" i="31"/>
  <c r="KZ315" i="31"/>
  <c r="HD315" i="31"/>
  <c r="AK315" i="31"/>
  <c r="IG315" i="31"/>
  <c r="IH315" i="31" s="1"/>
  <c r="IK315" i="31" s="1"/>
  <c r="MM308" i="31" l="1"/>
  <c r="MN308" i="31" s="1"/>
  <c r="MG309" i="31"/>
  <c r="MK309" i="31" s="1"/>
  <c r="PF309" i="31"/>
  <c r="LL311" i="31"/>
  <c r="LO311" i="31" s="1"/>
  <c r="LQ311" i="31" s="1"/>
  <c r="LE312" i="31"/>
  <c r="LS310" i="31"/>
  <c r="LY310" i="31" s="1"/>
  <c r="MA310" i="31" s="1"/>
  <c r="LR310" i="31"/>
  <c r="LX310" i="31" s="1"/>
  <c r="LZ310" i="31" s="1"/>
  <c r="LT310" i="31"/>
  <c r="ME310" i="31" s="1"/>
  <c r="AJ315" i="31"/>
  <c r="AM315" i="31"/>
  <c r="AN315" i="31" s="1"/>
  <c r="AO315" i="31" s="1"/>
  <c r="AP315" i="31" s="1"/>
  <c r="LJ313" i="31"/>
  <c r="HD316" i="31"/>
  <c r="KZ316" i="31"/>
  <c r="AK316" i="31"/>
  <c r="AL316" i="31"/>
  <c r="HH316" i="31"/>
  <c r="HI316" i="31"/>
  <c r="IG316" i="31"/>
  <c r="IH316" i="31" s="1"/>
  <c r="IK316" i="31" s="1"/>
  <c r="LK314" i="31"/>
  <c r="LH314" i="31"/>
  <c r="LI314" i="31"/>
  <c r="GD314" i="31" s="1"/>
  <c r="GE314" i="31" s="1"/>
  <c r="GF314" i="31" s="1"/>
  <c r="LF315" i="31"/>
  <c r="AI315" i="31"/>
  <c r="LG315" i="31"/>
  <c r="MI309" i="31" l="1"/>
  <c r="MP309" i="31" s="1"/>
  <c r="MH309" i="31"/>
  <c r="MG310" i="31"/>
  <c r="MK310" i="31" s="1"/>
  <c r="PF310" i="31"/>
  <c r="MM309" i="31"/>
  <c r="MN309" i="31" s="1"/>
  <c r="LL312" i="31"/>
  <c r="LO312" i="31" s="1"/>
  <c r="LQ312" i="31" s="1"/>
  <c r="ML309" i="31"/>
  <c r="LE313" i="31"/>
  <c r="LS311" i="31"/>
  <c r="LY311" i="31" s="1"/>
  <c r="MA311" i="31" s="1"/>
  <c r="LR311" i="31"/>
  <c r="LX311" i="31" s="1"/>
  <c r="LZ311" i="31" s="1"/>
  <c r="LT311" i="31"/>
  <c r="ME311" i="31" s="1"/>
  <c r="LJ314" i="31"/>
  <c r="AJ316" i="31"/>
  <c r="AM316" i="31"/>
  <c r="AN316" i="31" s="1"/>
  <c r="AO316" i="31" s="1"/>
  <c r="AP316" i="31" s="1"/>
  <c r="HH317" i="31"/>
  <c r="HD317" i="31"/>
  <c r="AK317" i="31"/>
  <c r="KZ317" i="31"/>
  <c r="HI317" i="31"/>
  <c r="AL317" i="31"/>
  <c r="IG317" i="31"/>
  <c r="IH317" i="31" s="1"/>
  <c r="IK317" i="31" s="1"/>
  <c r="LK315" i="31"/>
  <c r="LI315" i="31"/>
  <c r="GD315" i="31" s="1"/>
  <c r="GE315" i="31" s="1"/>
  <c r="GF315" i="31" s="1"/>
  <c r="LH315" i="31"/>
  <c r="LF316" i="31"/>
  <c r="LG316" i="31"/>
  <c r="AI316" i="31"/>
  <c r="MH310" i="31" l="1"/>
  <c r="MG311" i="31"/>
  <c r="MK311" i="31" s="1"/>
  <c r="PF311" i="31"/>
  <c r="MI310" i="31"/>
  <c r="MP310" i="31" s="1"/>
  <c r="MM310" i="31"/>
  <c r="MN310" i="31" s="1"/>
  <c r="LL313" i="31"/>
  <c r="LO313" i="31" s="1"/>
  <c r="LQ313" i="31" s="1"/>
  <c r="LE314" i="31"/>
  <c r="ML310" i="31"/>
  <c r="LT312" i="31"/>
  <c r="ME312" i="31" s="1"/>
  <c r="LS312" i="31"/>
  <c r="LY312" i="31" s="1"/>
  <c r="MA312" i="31" s="1"/>
  <c r="LR312" i="31"/>
  <c r="LX312" i="31" s="1"/>
  <c r="LZ312" i="31" s="1"/>
  <c r="AJ317" i="31"/>
  <c r="LJ315" i="31"/>
  <c r="AM317" i="31"/>
  <c r="AN317" i="31" s="1"/>
  <c r="AO317" i="31" s="1"/>
  <c r="AP317" i="31" s="1"/>
  <c r="LI316" i="31"/>
  <c r="GD316" i="31" s="1"/>
  <c r="GE316" i="31" s="1"/>
  <c r="GF316" i="31" s="1"/>
  <c r="LK316" i="31"/>
  <c r="LH316" i="31"/>
  <c r="HD318" i="31"/>
  <c r="KZ318" i="31"/>
  <c r="HI318" i="31"/>
  <c r="AL318" i="31"/>
  <c r="HH318" i="31"/>
  <c r="AK318" i="31"/>
  <c r="IG318" i="31"/>
  <c r="IH318" i="31" s="1"/>
  <c r="IK318" i="31" s="1"/>
  <c r="LF317" i="31"/>
  <c r="AI317" i="31"/>
  <c r="LG317" i="31"/>
  <c r="MH311" i="31" l="1"/>
  <c r="MI311" i="31"/>
  <c r="MP311" i="31" s="1"/>
  <c r="MG312" i="31"/>
  <c r="MK312" i="31" s="1"/>
  <c r="PF312" i="31"/>
  <c r="MM311" i="31"/>
  <c r="MN311" i="31" s="1"/>
  <c r="LL314" i="31"/>
  <c r="LO314" i="31" s="1"/>
  <c r="LQ314" i="31" s="1"/>
  <c r="ML311" i="31"/>
  <c r="LE315" i="31"/>
  <c r="LS313" i="31"/>
  <c r="LY313" i="31" s="1"/>
  <c r="MA313" i="31" s="1"/>
  <c r="LT313" i="31"/>
  <c r="ME313" i="31" s="1"/>
  <c r="LR313" i="31"/>
  <c r="LX313" i="31" s="1"/>
  <c r="LZ313" i="31" s="1"/>
  <c r="AJ318" i="31"/>
  <c r="LJ316" i="31"/>
  <c r="HH319" i="31"/>
  <c r="AK319" i="31"/>
  <c r="KZ319" i="31"/>
  <c r="HD319" i="31"/>
  <c r="AL319" i="31"/>
  <c r="HI319" i="31"/>
  <c r="IG319" i="31"/>
  <c r="IH319" i="31" s="1"/>
  <c r="IK319" i="31" s="1"/>
  <c r="LH317" i="31"/>
  <c r="LK317" i="31"/>
  <c r="LI317" i="31"/>
  <c r="GD317" i="31" s="1"/>
  <c r="GE317" i="31" s="1"/>
  <c r="GF317" i="31" s="1"/>
  <c r="AI318" i="31"/>
  <c r="LG318" i="31"/>
  <c r="LF318" i="31"/>
  <c r="AM318" i="31"/>
  <c r="AN318" i="31" s="1"/>
  <c r="AO318" i="31" s="1"/>
  <c r="AP318" i="31" s="1"/>
  <c r="MH312" i="31" l="1"/>
  <c r="MI312" i="31"/>
  <c r="MP312" i="31" s="1"/>
  <c r="MG313" i="31"/>
  <c r="MK313" i="31" s="1"/>
  <c r="PF313" i="31"/>
  <c r="MM312" i="31"/>
  <c r="MN312" i="31" s="1"/>
  <c r="LL315" i="31"/>
  <c r="LO315" i="31" s="1"/>
  <c r="LQ315" i="31" s="1"/>
  <c r="LE316" i="31"/>
  <c r="LR314" i="31"/>
  <c r="LX314" i="31" s="1"/>
  <c r="LZ314" i="31" s="1"/>
  <c r="LT314" i="31"/>
  <c r="ME314" i="31" s="1"/>
  <c r="ML312" i="31"/>
  <c r="LS314" i="31"/>
  <c r="LY314" i="31" s="1"/>
  <c r="MA314" i="31" s="1"/>
  <c r="AJ319" i="31"/>
  <c r="AM319" i="31"/>
  <c r="AN319" i="31" s="1"/>
  <c r="AO319" i="31" s="1"/>
  <c r="AP319" i="31" s="1"/>
  <c r="LJ317" i="31"/>
  <c r="HI320" i="31"/>
  <c r="HD320" i="31"/>
  <c r="HH320" i="31"/>
  <c r="AL320" i="31"/>
  <c r="KZ320" i="31"/>
  <c r="AK320" i="31"/>
  <c r="IG320" i="31"/>
  <c r="IH320" i="31" s="1"/>
  <c r="IK320" i="31" s="1"/>
  <c r="LI318" i="31"/>
  <c r="GD318" i="31" s="1"/>
  <c r="GE318" i="31" s="1"/>
  <c r="GF318" i="31" s="1"/>
  <c r="LK318" i="31"/>
  <c r="LH318" i="31"/>
  <c r="AI319" i="31"/>
  <c r="LF319" i="31"/>
  <c r="LG319" i="31"/>
  <c r="MH313" i="31" l="1"/>
  <c r="MI313" i="31"/>
  <c r="MP313" i="31" s="1"/>
  <c r="MG314" i="31"/>
  <c r="MK314" i="31" s="1"/>
  <c r="PF314" i="31"/>
  <c r="MM313" i="31"/>
  <c r="MN313" i="31" s="1"/>
  <c r="LL316" i="31"/>
  <c r="LO316" i="31" s="1"/>
  <c r="LQ316" i="31" s="1"/>
  <c r="ML313" i="31"/>
  <c r="LE317" i="31"/>
  <c r="LS315" i="31"/>
  <c r="LY315" i="31" s="1"/>
  <c r="MA315" i="31" s="1"/>
  <c r="LT315" i="31"/>
  <c r="ME315" i="31" s="1"/>
  <c r="LR315" i="31"/>
  <c r="LX315" i="31" s="1"/>
  <c r="LZ315" i="31" s="1"/>
  <c r="AJ320" i="31"/>
  <c r="AM320" i="31"/>
  <c r="AN320" i="31" s="1"/>
  <c r="AO320" i="31" s="1"/>
  <c r="AP320" i="31" s="1"/>
  <c r="LJ318" i="31"/>
  <c r="LG320" i="31"/>
  <c r="AI320" i="31"/>
  <c r="LF320" i="31"/>
  <c r="HD321" i="31"/>
  <c r="AL321" i="31"/>
  <c r="KZ321" i="31"/>
  <c r="AK321" i="31"/>
  <c r="HI321" i="31"/>
  <c r="HH321" i="31"/>
  <c r="IG321" i="31"/>
  <c r="IH321" i="31" s="1"/>
  <c r="IK321" i="31" s="1"/>
  <c r="LH319" i="31"/>
  <c r="LK319" i="31"/>
  <c r="LI319" i="31"/>
  <c r="GD319" i="31" s="1"/>
  <c r="GE319" i="31" s="1"/>
  <c r="GF319" i="31" s="1"/>
  <c r="MI314" i="31" l="1"/>
  <c r="MP314" i="31" s="1"/>
  <c r="MH314" i="31"/>
  <c r="MG315" i="31"/>
  <c r="MK315" i="31" s="1"/>
  <c r="PF315" i="31"/>
  <c r="MM314" i="31"/>
  <c r="MN314" i="31" s="1"/>
  <c r="LL317" i="31"/>
  <c r="LO317" i="31" s="1"/>
  <c r="LQ317" i="31" s="1"/>
  <c r="LT317" i="31" s="1"/>
  <c r="ME317" i="31" s="1"/>
  <c r="LE318" i="31"/>
  <c r="LR316" i="31"/>
  <c r="LX316" i="31" s="1"/>
  <c r="LZ316" i="31" s="1"/>
  <c r="LS316" i="31"/>
  <c r="LY316" i="31" s="1"/>
  <c r="MA316" i="31" s="1"/>
  <c r="ML314" i="31"/>
  <c r="LT316" i="31"/>
  <c r="ME316" i="31" s="1"/>
  <c r="AJ321" i="31"/>
  <c r="AM321" i="31"/>
  <c r="AN321" i="31" s="1"/>
  <c r="AO321" i="31" s="1"/>
  <c r="AP321" i="31" s="1"/>
  <c r="LJ319" i="31"/>
  <c r="LK320" i="31"/>
  <c r="LI320" i="31"/>
  <c r="GD320" i="31" s="1"/>
  <c r="GE320" i="31" s="1"/>
  <c r="GF320" i="31" s="1"/>
  <c r="LH320" i="31"/>
  <c r="AL322" i="31"/>
  <c r="HI322" i="31"/>
  <c r="AK322" i="31"/>
  <c r="HD322" i="31"/>
  <c r="KZ322" i="31"/>
  <c r="HH322" i="31"/>
  <c r="IG322" i="31"/>
  <c r="IH322" i="31" s="1"/>
  <c r="IK322" i="31" s="1"/>
  <c r="AI321" i="31"/>
  <c r="LG321" i="31"/>
  <c r="LF321" i="31"/>
  <c r="MI315" i="31" l="1"/>
  <c r="MP315" i="31" s="1"/>
  <c r="MG317" i="31"/>
  <c r="MI317" i="31" s="1"/>
  <c r="MP317" i="31" s="1"/>
  <c r="PF317" i="31"/>
  <c r="MG316" i="31"/>
  <c r="MK316" i="31" s="1"/>
  <c r="PF316" i="31"/>
  <c r="MH315" i="31"/>
  <c r="MM315" i="31"/>
  <c r="MN315" i="31" s="1"/>
  <c r="LR317" i="31"/>
  <c r="LX317" i="31" s="1"/>
  <c r="LZ317" i="31" s="1"/>
  <c r="LS317" i="31"/>
  <c r="LY317" i="31" s="1"/>
  <c r="MA317" i="31" s="1"/>
  <c r="LL318" i="31"/>
  <c r="LO318" i="31" s="1"/>
  <c r="LQ318" i="31" s="1"/>
  <c r="ML315" i="31"/>
  <c r="LE319" i="31"/>
  <c r="LJ320" i="31"/>
  <c r="AJ322" i="31"/>
  <c r="AK323" i="31"/>
  <c r="HI323" i="31"/>
  <c r="HH323" i="31"/>
  <c r="KZ323" i="31"/>
  <c r="HD323" i="31"/>
  <c r="AL323" i="31"/>
  <c r="IG323" i="31"/>
  <c r="IH323" i="31" s="1"/>
  <c r="IK323" i="31" s="1"/>
  <c r="LI321" i="31"/>
  <c r="GD321" i="31" s="1"/>
  <c r="GE321" i="31" s="1"/>
  <c r="GF321" i="31" s="1"/>
  <c r="LH321" i="31"/>
  <c r="LK321" i="31"/>
  <c r="LF322" i="31"/>
  <c r="AI322" i="31"/>
  <c r="LG322" i="31"/>
  <c r="AM322" i="31"/>
  <c r="AN322" i="31" s="1"/>
  <c r="AO322" i="31" s="1"/>
  <c r="AP322" i="31" s="1"/>
  <c r="MK317" i="31" l="1"/>
  <c r="MM317" i="31" s="1"/>
  <c r="MN317" i="31" s="1"/>
  <c r="MH317" i="31"/>
  <c r="MH316" i="31"/>
  <c r="MI316" i="31"/>
  <c r="MP316" i="31" s="1"/>
  <c r="MM316" i="31"/>
  <c r="MN316" i="31" s="1"/>
  <c r="LL319" i="31"/>
  <c r="LO319" i="31" s="1"/>
  <c r="LQ319" i="31" s="1"/>
  <c r="ML316" i="31"/>
  <c r="LE320" i="31"/>
  <c r="LT318" i="31"/>
  <c r="ME318" i="31" s="1"/>
  <c r="PF318" i="31" s="1"/>
  <c r="LS318" i="31"/>
  <c r="LY318" i="31" s="1"/>
  <c r="MA318" i="31" s="1"/>
  <c r="LR318" i="31"/>
  <c r="LX318" i="31" s="1"/>
  <c r="LZ318" i="31" s="1"/>
  <c r="AJ323" i="31"/>
  <c r="LJ321" i="31"/>
  <c r="AM323" i="31"/>
  <c r="AN323" i="31" s="1"/>
  <c r="AO323" i="31" s="1"/>
  <c r="AP323" i="31" s="1"/>
  <c r="AK324" i="31"/>
  <c r="HI324" i="31"/>
  <c r="KZ324" i="31"/>
  <c r="HD324" i="31"/>
  <c r="HH324" i="31"/>
  <c r="AL324" i="31"/>
  <c r="IG324" i="31"/>
  <c r="IH324" i="31" s="1"/>
  <c r="IK324" i="31" s="1"/>
  <c r="LK322" i="31"/>
  <c r="LI322" i="31"/>
  <c r="GD322" i="31" s="1"/>
  <c r="GE322" i="31" s="1"/>
  <c r="GF322" i="31" s="1"/>
  <c r="LH322" i="31"/>
  <c r="LF323" i="31"/>
  <c r="AI323" i="31"/>
  <c r="LG323" i="31"/>
  <c r="ML317" i="31" l="1"/>
  <c r="LL320" i="31"/>
  <c r="LO320" i="31" s="1"/>
  <c r="LQ320" i="31" s="1"/>
  <c r="MG318" i="31"/>
  <c r="MK318" i="31" s="1"/>
  <c r="LS319" i="31"/>
  <c r="LY319" i="31" s="1"/>
  <c r="MA319" i="31" s="1"/>
  <c r="LT319" i="31"/>
  <c r="ME319" i="31" s="1"/>
  <c r="LE321" i="31"/>
  <c r="LR319" i="31"/>
  <c r="LX319" i="31" s="1"/>
  <c r="LZ319" i="31" s="1"/>
  <c r="AJ324" i="31"/>
  <c r="AM324" i="31"/>
  <c r="AN324" i="31" s="1"/>
  <c r="AO324" i="31" s="1"/>
  <c r="AP324" i="31" s="1"/>
  <c r="LJ322" i="31"/>
  <c r="AI324" i="31"/>
  <c r="LF324" i="31"/>
  <c r="LG324" i="31"/>
  <c r="KZ325" i="31"/>
  <c r="HH325" i="31"/>
  <c r="AK325" i="31"/>
  <c r="AL325" i="31"/>
  <c r="HD325" i="31"/>
  <c r="HI325" i="31"/>
  <c r="IG325" i="31"/>
  <c r="IH325" i="31" s="1"/>
  <c r="IK325" i="31" s="1"/>
  <c r="LH323" i="31"/>
  <c r="LK323" i="31"/>
  <c r="LI323" i="31"/>
  <c r="GD323" i="31" s="1"/>
  <c r="GE323" i="31" s="1"/>
  <c r="GF323" i="31" s="1"/>
  <c r="MG319" i="31" l="1"/>
  <c r="MK319" i="31" s="1"/>
  <c r="PF319" i="31"/>
  <c r="LL321" i="31"/>
  <c r="LO321" i="31" s="1"/>
  <c r="LQ321" i="31" s="1"/>
  <c r="MI318" i="31"/>
  <c r="MP318" i="31" s="1"/>
  <c r="MH318" i="31"/>
  <c r="ML318" i="31"/>
  <c r="LE322" i="31"/>
  <c r="LT320" i="31"/>
  <c r="ME320" i="31" s="1"/>
  <c r="LR320" i="31"/>
  <c r="LX320" i="31" s="1"/>
  <c r="LZ320" i="31" s="1"/>
  <c r="LS320" i="31"/>
  <c r="LY320" i="31" s="1"/>
  <c r="MA320" i="31" s="1"/>
  <c r="AJ325" i="31"/>
  <c r="AM325" i="31"/>
  <c r="AN325" i="31" s="1"/>
  <c r="AO325" i="31" s="1"/>
  <c r="AP325" i="31" s="1"/>
  <c r="HI326" i="31"/>
  <c r="HD326" i="31"/>
  <c r="HH326" i="31"/>
  <c r="AK326" i="31"/>
  <c r="KZ326" i="31"/>
  <c r="AL326" i="31"/>
  <c r="IG326" i="31"/>
  <c r="IH326" i="31" s="1"/>
  <c r="IK326" i="31" s="1"/>
  <c r="LJ323" i="31"/>
  <c r="LH324" i="31"/>
  <c r="LK324" i="31"/>
  <c r="LI324" i="31"/>
  <c r="GD324" i="31" s="1"/>
  <c r="GE324" i="31" s="1"/>
  <c r="GF324" i="31" s="1"/>
  <c r="AI325" i="31"/>
  <c r="LF325" i="31"/>
  <c r="LG325" i="31"/>
  <c r="MH319" i="31" l="1"/>
  <c r="MG320" i="31"/>
  <c r="MK320" i="31" s="1"/>
  <c r="PF320" i="31"/>
  <c r="MI319" i="31"/>
  <c r="MP319" i="31" s="1"/>
  <c r="MM318" i="31"/>
  <c r="MN318" i="31" s="1"/>
  <c r="MM319" i="31"/>
  <c r="MN319" i="31" s="1"/>
  <c r="LL322" i="31"/>
  <c r="LO322" i="31" s="1"/>
  <c r="LQ322" i="31" s="1"/>
  <c r="LE323" i="31"/>
  <c r="ML319" i="31"/>
  <c r="LR321" i="31"/>
  <c r="LX321" i="31" s="1"/>
  <c r="LZ321" i="31" s="1"/>
  <c r="LT321" i="31"/>
  <c r="ME321" i="31" s="1"/>
  <c r="LS321" i="31"/>
  <c r="LY321" i="31" s="1"/>
  <c r="MA321" i="31" s="1"/>
  <c r="AJ326" i="31"/>
  <c r="AM326" i="31"/>
  <c r="AN326" i="31" s="1"/>
  <c r="AO326" i="31" s="1"/>
  <c r="AP326" i="31" s="1"/>
  <c r="AK327" i="31"/>
  <c r="HH327" i="31"/>
  <c r="KZ327" i="31"/>
  <c r="HI327" i="31"/>
  <c r="HD327" i="31"/>
  <c r="AL327" i="31"/>
  <c r="IG327" i="31"/>
  <c r="IH327" i="31" s="1"/>
  <c r="IK327" i="31" s="1"/>
  <c r="LJ324" i="31"/>
  <c r="LF326" i="31"/>
  <c r="AI326" i="31"/>
  <c r="LG326" i="31"/>
  <c r="LI325" i="31"/>
  <c r="GD325" i="31" s="1"/>
  <c r="GE325" i="31" s="1"/>
  <c r="GF325" i="31" s="1"/>
  <c r="LK325" i="31"/>
  <c r="LH325" i="31"/>
  <c r="MH320" i="31" l="1"/>
  <c r="MI320" i="31"/>
  <c r="MP320" i="31" s="1"/>
  <c r="MG321" i="31"/>
  <c r="MK321" i="31" s="1"/>
  <c r="PF321" i="31"/>
  <c r="MM320" i="31"/>
  <c r="MN320" i="31" s="1"/>
  <c r="LL323" i="31"/>
  <c r="LO323" i="31" s="1"/>
  <c r="LQ323" i="31" s="1"/>
  <c r="LS323" i="31" s="1"/>
  <c r="LY323" i="31" s="1"/>
  <c r="MA323" i="31" s="1"/>
  <c r="LE324" i="31"/>
  <c r="LS322" i="31"/>
  <c r="LY322" i="31" s="1"/>
  <c r="MA322" i="31" s="1"/>
  <c r="LR322" i="31"/>
  <c r="LX322" i="31" s="1"/>
  <c r="LZ322" i="31" s="1"/>
  <c r="ML320" i="31"/>
  <c r="LT322" i="31"/>
  <c r="ME322" i="31" s="1"/>
  <c r="LJ325" i="31"/>
  <c r="AJ327" i="31"/>
  <c r="AM327" i="31"/>
  <c r="AN327" i="31" s="1"/>
  <c r="AO327" i="31" s="1"/>
  <c r="AP327" i="31" s="1"/>
  <c r="HI328" i="31"/>
  <c r="HH328" i="31"/>
  <c r="AK328" i="31"/>
  <c r="HD328" i="31"/>
  <c r="KZ328" i="31"/>
  <c r="AL328" i="31"/>
  <c r="IG328" i="31"/>
  <c r="IH328" i="31" s="1"/>
  <c r="IK328" i="31" s="1"/>
  <c r="LH326" i="31"/>
  <c r="LK326" i="31"/>
  <c r="LI326" i="31"/>
  <c r="GD326" i="31" s="1"/>
  <c r="GE326" i="31" s="1"/>
  <c r="GF326" i="31" s="1"/>
  <c r="LG327" i="31"/>
  <c r="AI327" i="31"/>
  <c r="LF327" i="31"/>
  <c r="MH321" i="31" l="1"/>
  <c r="MG322" i="31"/>
  <c r="MK322" i="31" s="1"/>
  <c r="PF322" i="31"/>
  <c r="MI321" i="31"/>
  <c r="MP321" i="31" s="1"/>
  <c r="MM321" i="31"/>
  <c r="MN321" i="31" s="1"/>
  <c r="LT323" i="31"/>
  <c r="ME323" i="31" s="1"/>
  <c r="LR323" i="31"/>
  <c r="LX323" i="31" s="1"/>
  <c r="LZ323" i="31" s="1"/>
  <c r="LL324" i="31"/>
  <c r="LO324" i="31" s="1"/>
  <c r="LQ324" i="31" s="1"/>
  <c r="LS324" i="31" s="1"/>
  <c r="LY324" i="31" s="1"/>
  <c r="MA324" i="31" s="1"/>
  <c r="LE325" i="31"/>
  <c r="ML321" i="31"/>
  <c r="AJ328" i="31"/>
  <c r="LJ326" i="31"/>
  <c r="LI327" i="31"/>
  <c r="GD327" i="31" s="1"/>
  <c r="GE327" i="31" s="1"/>
  <c r="GF327" i="31" s="1"/>
  <c r="LK327" i="31"/>
  <c r="LH327" i="31"/>
  <c r="LF328" i="31"/>
  <c r="AI328" i="31"/>
  <c r="LG328" i="31"/>
  <c r="HD329" i="31"/>
  <c r="HH329" i="31"/>
  <c r="KZ329" i="31"/>
  <c r="HI329" i="31"/>
  <c r="AL329" i="31"/>
  <c r="AK329" i="31"/>
  <c r="IG329" i="31"/>
  <c r="IH329" i="31" s="1"/>
  <c r="IK329" i="31" s="1"/>
  <c r="AM328" i="31"/>
  <c r="AN328" i="31" s="1"/>
  <c r="AO328" i="31" s="1"/>
  <c r="AP328" i="31" s="1"/>
  <c r="MI322" i="31" l="1"/>
  <c r="MP322" i="31" s="1"/>
  <c r="MH322" i="31"/>
  <c r="MG323" i="31"/>
  <c r="MK323" i="31" s="1"/>
  <c r="ML323" i="31" s="1"/>
  <c r="PF323" i="31"/>
  <c r="MM322" i="31"/>
  <c r="MN322" i="31" s="1"/>
  <c r="LR324" i="31"/>
  <c r="LX324" i="31" s="1"/>
  <c r="LZ324" i="31" s="1"/>
  <c r="LT324" i="31"/>
  <c r="ME324" i="31" s="1"/>
  <c r="LL325" i="31"/>
  <c r="LO325" i="31" s="1"/>
  <c r="LQ325" i="31" s="1"/>
  <c r="LE326" i="31"/>
  <c r="ML322" i="31"/>
  <c r="AJ329" i="31"/>
  <c r="LJ327" i="31"/>
  <c r="AM329" i="31"/>
  <c r="AN329" i="31" s="1"/>
  <c r="AO329" i="31" s="1"/>
  <c r="AP329" i="31" s="1"/>
  <c r="LK328" i="31"/>
  <c r="LH328" i="31"/>
  <c r="LI328" i="31"/>
  <c r="GD328" i="31" s="1"/>
  <c r="GE328" i="31" s="1"/>
  <c r="GF328" i="31" s="1"/>
  <c r="AL330" i="31"/>
  <c r="AK330" i="31"/>
  <c r="HH330" i="31"/>
  <c r="KZ330" i="31"/>
  <c r="HD330" i="31"/>
  <c r="HI330" i="31"/>
  <c r="IG330" i="31"/>
  <c r="IH330" i="31" s="1"/>
  <c r="IK330" i="31" s="1"/>
  <c r="LF329" i="31"/>
  <c r="AI329" i="31"/>
  <c r="LG329" i="31"/>
  <c r="MI323" i="31" l="1"/>
  <c r="MP323" i="31" s="1"/>
  <c r="MH323" i="31"/>
  <c r="MG324" i="31"/>
  <c r="MK324" i="31" s="1"/>
  <c r="ML324" i="31" s="1"/>
  <c r="PF324" i="31"/>
  <c r="MM323" i="31"/>
  <c r="MN323" i="31" s="1"/>
  <c r="LL326" i="31"/>
  <c r="LO326" i="31" s="1"/>
  <c r="LQ326" i="31" s="1"/>
  <c r="LE327" i="31"/>
  <c r="LT325" i="31"/>
  <c r="ME325" i="31" s="1"/>
  <c r="PF325" i="31" s="1"/>
  <c r="LR325" i="31"/>
  <c r="LX325" i="31" s="1"/>
  <c r="LZ325" i="31" s="1"/>
  <c r="LS325" i="31"/>
  <c r="LY325" i="31" s="1"/>
  <c r="MA325" i="31" s="1"/>
  <c r="AJ330" i="31"/>
  <c r="LJ328" i="31"/>
  <c r="AM330" i="31"/>
  <c r="AN330" i="31" s="1"/>
  <c r="AO330" i="31" s="1"/>
  <c r="AP330" i="31" s="1"/>
  <c r="LI329" i="31"/>
  <c r="GD329" i="31" s="1"/>
  <c r="GE329" i="31" s="1"/>
  <c r="GF329" i="31" s="1"/>
  <c r="LK329" i="31"/>
  <c r="LH329" i="31"/>
  <c r="HH331" i="31"/>
  <c r="AL331" i="31"/>
  <c r="AK331" i="31"/>
  <c r="HD331" i="31"/>
  <c r="KZ331" i="31"/>
  <c r="HI331" i="31"/>
  <c r="IG331" i="31"/>
  <c r="IH331" i="31" s="1"/>
  <c r="IK331" i="31" s="1"/>
  <c r="LG330" i="31"/>
  <c r="AI330" i="31"/>
  <c r="LF330" i="31"/>
  <c r="MI324" i="31" l="1"/>
  <c r="MP324" i="31" s="1"/>
  <c r="MH324" i="31"/>
  <c r="MM324" i="31"/>
  <c r="MN324" i="31" s="1"/>
  <c r="LL327" i="31"/>
  <c r="LO327" i="31" s="1"/>
  <c r="LQ327" i="31" s="1"/>
  <c r="MG325" i="31"/>
  <c r="MK325" i="31" s="1"/>
  <c r="LE328" i="31"/>
  <c r="LS326" i="31"/>
  <c r="LY326" i="31" s="1"/>
  <c r="MA326" i="31" s="1"/>
  <c r="LR326" i="31"/>
  <c r="LX326" i="31" s="1"/>
  <c r="LZ326" i="31" s="1"/>
  <c r="LT326" i="31"/>
  <c r="ME326" i="31" s="1"/>
  <c r="AJ331" i="31"/>
  <c r="LJ329" i="31"/>
  <c r="AM331" i="31"/>
  <c r="AN331" i="31" s="1"/>
  <c r="AO331" i="31" s="1"/>
  <c r="AP331" i="31" s="1"/>
  <c r="LG331" i="31"/>
  <c r="AI331" i="31"/>
  <c r="LF331" i="31"/>
  <c r="LH330" i="31"/>
  <c r="LI330" i="31"/>
  <c r="GD330" i="31" s="1"/>
  <c r="GE330" i="31" s="1"/>
  <c r="GF330" i="31" s="1"/>
  <c r="LK330" i="31"/>
  <c r="HD332" i="31"/>
  <c r="AK332" i="31"/>
  <c r="HI332" i="31"/>
  <c r="AL332" i="31"/>
  <c r="KZ332" i="31"/>
  <c r="HH332" i="31"/>
  <c r="IG332" i="31"/>
  <c r="IH332" i="31" s="1"/>
  <c r="IK332" i="31" s="1"/>
  <c r="MG326" i="31" l="1"/>
  <c r="MK326" i="31" s="1"/>
  <c r="PF326" i="31"/>
  <c r="LL328" i="31"/>
  <c r="LO328" i="31" s="1"/>
  <c r="LQ328" i="31" s="1"/>
  <c r="MI325" i="31"/>
  <c r="MP325" i="31" s="1"/>
  <c r="MH325" i="31"/>
  <c r="LE329" i="31"/>
  <c r="ML325" i="31"/>
  <c r="LT327" i="31"/>
  <c r="ME327" i="31" s="1"/>
  <c r="LR327" i="31"/>
  <c r="LX327" i="31" s="1"/>
  <c r="LZ327" i="31" s="1"/>
  <c r="LS327" i="31"/>
  <c r="LY327" i="31" s="1"/>
  <c r="MA327" i="31" s="1"/>
  <c r="AJ332" i="31"/>
  <c r="AK333" i="31"/>
  <c r="HH333" i="31"/>
  <c r="AL333" i="31"/>
  <c r="HD333" i="31"/>
  <c r="KZ333" i="31"/>
  <c r="HI333" i="31"/>
  <c r="IG333" i="31"/>
  <c r="IH333" i="31" s="1"/>
  <c r="IK333" i="31" s="1"/>
  <c r="AM332" i="31"/>
  <c r="AN332" i="31" s="1"/>
  <c r="AO332" i="31" s="1"/>
  <c r="AP332" i="31" s="1"/>
  <c r="LJ330" i="31"/>
  <c r="LF332" i="31"/>
  <c r="AI332" i="31"/>
  <c r="LG332" i="31"/>
  <c r="LK331" i="31"/>
  <c r="LH331" i="31"/>
  <c r="LI331" i="31"/>
  <c r="GD331" i="31" s="1"/>
  <c r="GE331" i="31" s="1"/>
  <c r="GF331" i="31" s="1"/>
  <c r="MI326" i="31" l="1"/>
  <c r="MP326" i="31" s="1"/>
  <c r="MH326" i="31"/>
  <c r="MG327" i="31"/>
  <c r="MK327" i="31" s="1"/>
  <c r="PF327" i="31"/>
  <c r="MM325" i="31"/>
  <c r="MN325" i="31" s="1"/>
  <c r="MM326" i="31"/>
  <c r="MN326" i="31" s="1"/>
  <c r="LL329" i="31"/>
  <c r="LO329" i="31" s="1"/>
  <c r="LQ329" i="31" s="1"/>
  <c r="ML326" i="31"/>
  <c r="LE330" i="31"/>
  <c r="LS328" i="31"/>
  <c r="LY328" i="31" s="1"/>
  <c r="MA328" i="31" s="1"/>
  <c r="LR328" i="31"/>
  <c r="LX328" i="31" s="1"/>
  <c r="LZ328" i="31" s="1"/>
  <c r="LT328" i="31"/>
  <c r="ME328" i="31" s="1"/>
  <c r="AJ333" i="31"/>
  <c r="LJ331" i="31"/>
  <c r="HH334" i="31"/>
  <c r="AK334" i="31"/>
  <c r="HI334" i="31"/>
  <c r="HD334" i="31"/>
  <c r="AL334" i="31"/>
  <c r="KZ334" i="31"/>
  <c r="IG334" i="31"/>
  <c r="IH334" i="31" s="1"/>
  <c r="IK334" i="31" s="1"/>
  <c r="AM333" i="31"/>
  <c r="AN333" i="31" s="1"/>
  <c r="AO333" i="31" s="1"/>
  <c r="AP333" i="31" s="1"/>
  <c r="LI332" i="31"/>
  <c r="GD332" i="31" s="1"/>
  <c r="GE332" i="31" s="1"/>
  <c r="GF332" i="31" s="1"/>
  <c r="LK332" i="31"/>
  <c r="LH332" i="31"/>
  <c r="LF333" i="31"/>
  <c r="AI333" i="31"/>
  <c r="LG333" i="31"/>
  <c r="MI327" i="31" l="1"/>
  <c r="MP327" i="31" s="1"/>
  <c r="MH327" i="31"/>
  <c r="MG328" i="31"/>
  <c r="MK328" i="31" s="1"/>
  <c r="PF328" i="31"/>
  <c r="MM327" i="31"/>
  <c r="MN327" i="31" s="1"/>
  <c r="LL330" i="31"/>
  <c r="LO330" i="31" s="1"/>
  <c r="LQ330" i="31" s="1"/>
  <c r="LT330" i="31" s="1"/>
  <c r="ME330" i="31" s="1"/>
  <c r="LT329" i="31"/>
  <c r="ME329" i="31" s="1"/>
  <c r="LR329" i="31"/>
  <c r="LX329" i="31" s="1"/>
  <c r="LZ329" i="31" s="1"/>
  <c r="LE331" i="31"/>
  <c r="ML327" i="31"/>
  <c r="LS329" i="31"/>
  <c r="LY329" i="31" s="1"/>
  <c r="MA329" i="31" s="1"/>
  <c r="AJ334" i="31"/>
  <c r="LJ332" i="31"/>
  <c r="LH333" i="31"/>
  <c r="LI333" i="31"/>
  <c r="GD333" i="31" s="1"/>
  <c r="GE333" i="31" s="1"/>
  <c r="GF333" i="31" s="1"/>
  <c r="LK333" i="31"/>
  <c r="LF334" i="31"/>
  <c r="LG334" i="31"/>
  <c r="AI334" i="31"/>
  <c r="AM334" i="31"/>
  <c r="AN334" i="31" s="1"/>
  <c r="AO334" i="31" s="1"/>
  <c r="AP334" i="31" s="1"/>
  <c r="AL335" i="31"/>
  <c r="AK335" i="31"/>
  <c r="HD335" i="31"/>
  <c r="HI335" i="31"/>
  <c r="HH335" i="31"/>
  <c r="KZ335" i="31"/>
  <c r="IG335" i="31"/>
  <c r="IH335" i="31" s="1"/>
  <c r="IK335" i="31" s="1"/>
  <c r="MH328" i="31" l="1"/>
  <c r="MG329" i="31"/>
  <c r="MK329" i="31" s="1"/>
  <c r="PF329" i="31"/>
  <c r="MG330" i="31"/>
  <c r="MH330" i="31" s="1"/>
  <c r="PF330" i="31"/>
  <c r="MI328" i="31"/>
  <c r="MP328" i="31" s="1"/>
  <c r="MM328" i="31"/>
  <c r="MN328" i="31" s="1"/>
  <c r="LS330" i="31"/>
  <c r="LY330" i="31" s="1"/>
  <c r="MA330" i="31" s="1"/>
  <c r="LR330" i="31"/>
  <c r="LX330" i="31" s="1"/>
  <c r="LZ330" i="31" s="1"/>
  <c r="LL331" i="31"/>
  <c r="LO331" i="31" s="1"/>
  <c r="LQ331" i="31" s="1"/>
  <c r="ML328" i="31"/>
  <c r="LE332" i="31"/>
  <c r="AJ335" i="31"/>
  <c r="AM335" i="31"/>
  <c r="AN335" i="31" s="1"/>
  <c r="AO335" i="31" s="1"/>
  <c r="AP335" i="31" s="1"/>
  <c r="LF335" i="31"/>
  <c r="AI335" i="31"/>
  <c r="LG335" i="31"/>
  <c r="HH336" i="31"/>
  <c r="HI336" i="31"/>
  <c r="KZ336" i="31"/>
  <c r="AK336" i="31"/>
  <c r="AL336" i="31"/>
  <c r="HD336" i="31"/>
  <c r="IG336" i="31"/>
  <c r="IH336" i="31" s="1"/>
  <c r="IK336" i="31" s="1"/>
  <c r="LK334" i="31"/>
  <c r="LI334" i="31"/>
  <c r="GD334" i="31" s="1"/>
  <c r="GE334" i="31" s="1"/>
  <c r="GF334" i="31" s="1"/>
  <c r="LH334" i="31"/>
  <c r="LJ333" i="31"/>
  <c r="MI329" i="31" l="1"/>
  <c r="MP329" i="31" s="1"/>
  <c r="MH329" i="31"/>
  <c r="MI330" i="31"/>
  <c r="MP330" i="31" s="1"/>
  <c r="MK330" i="31"/>
  <c r="MM330" i="31" s="1"/>
  <c r="MN330" i="31" s="1"/>
  <c r="MM329" i="31"/>
  <c r="MN329" i="31" s="1"/>
  <c r="LL332" i="31"/>
  <c r="LO332" i="31" s="1"/>
  <c r="LQ332" i="31" s="1"/>
  <c r="ML329" i="31"/>
  <c r="LT331" i="31"/>
  <c r="ME331" i="31" s="1"/>
  <c r="LR331" i="31"/>
  <c r="LX331" i="31" s="1"/>
  <c r="LZ331" i="31" s="1"/>
  <c r="LE333" i="31"/>
  <c r="LS331" i="31"/>
  <c r="LY331" i="31" s="1"/>
  <c r="MA331" i="31" s="1"/>
  <c r="AJ336" i="31"/>
  <c r="LJ334" i="31"/>
  <c r="LF336" i="31"/>
  <c r="AI336" i="31"/>
  <c r="LG336" i="31"/>
  <c r="AM336" i="31"/>
  <c r="AN336" i="31" s="1"/>
  <c r="AO336" i="31" s="1"/>
  <c r="AP336" i="31" s="1"/>
  <c r="KZ337" i="31"/>
  <c r="HD337" i="31"/>
  <c r="HH337" i="31"/>
  <c r="HI337" i="31"/>
  <c r="AK337" i="31"/>
  <c r="AL337" i="31"/>
  <c r="IG337" i="31"/>
  <c r="IH337" i="31" s="1"/>
  <c r="IK337" i="31" s="1"/>
  <c r="LI335" i="31"/>
  <c r="GD335" i="31" s="1"/>
  <c r="GE335" i="31" s="1"/>
  <c r="GF335" i="31" s="1"/>
  <c r="LK335" i="31"/>
  <c r="LH335" i="31"/>
  <c r="ML330" i="31" l="1"/>
  <c r="MG331" i="31"/>
  <c r="MK331" i="31" s="1"/>
  <c r="PF331" i="31"/>
  <c r="LL333" i="31"/>
  <c r="LO333" i="31" s="1"/>
  <c r="LQ333" i="31" s="1"/>
  <c r="LS333" i="31" s="1"/>
  <c r="LY333" i="31" s="1"/>
  <c r="MA333" i="31" s="1"/>
  <c r="LE334" i="31"/>
  <c r="LS332" i="31"/>
  <c r="LY332" i="31" s="1"/>
  <c r="MA332" i="31" s="1"/>
  <c r="LR332" i="31"/>
  <c r="LX332" i="31" s="1"/>
  <c r="LZ332" i="31" s="1"/>
  <c r="LT332" i="31"/>
  <c r="ME332" i="31" s="1"/>
  <c r="AJ337" i="31"/>
  <c r="LJ335" i="31"/>
  <c r="AI337" i="31"/>
  <c r="LG337" i="31"/>
  <c r="LF337" i="31"/>
  <c r="AL338" i="31"/>
  <c r="HH338" i="31"/>
  <c r="AK338" i="31"/>
  <c r="HI338" i="31"/>
  <c r="KZ338" i="31"/>
  <c r="HD338" i="31"/>
  <c r="IG338" i="31"/>
  <c r="IH338" i="31" s="1"/>
  <c r="IK338" i="31" s="1"/>
  <c r="AM337" i="31"/>
  <c r="AN337" i="31" s="1"/>
  <c r="AO337" i="31" s="1"/>
  <c r="AP337" i="31" s="1"/>
  <c r="LK336" i="31"/>
  <c r="LH336" i="31"/>
  <c r="LI336" i="31"/>
  <c r="GD336" i="31" s="1"/>
  <c r="GE336" i="31" s="1"/>
  <c r="GF336" i="31" s="1"/>
  <c r="MH331" i="31" l="1"/>
  <c r="MI331" i="31"/>
  <c r="MP331" i="31" s="1"/>
  <c r="MG332" i="31"/>
  <c r="MK332" i="31" s="1"/>
  <c r="PF332" i="31"/>
  <c r="MM331" i="31"/>
  <c r="MN331" i="31" s="1"/>
  <c r="LR333" i="31"/>
  <c r="LX333" i="31" s="1"/>
  <c r="LZ333" i="31" s="1"/>
  <c r="LT333" i="31"/>
  <c r="ME333" i="31" s="1"/>
  <c r="LL334" i="31"/>
  <c r="LO334" i="31" s="1"/>
  <c r="LQ334" i="31" s="1"/>
  <c r="LR334" i="31" s="1"/>
  <c r="LX334" i="31" s="1"/>
  <c r="LZ334" i="31" s="1"/>
  <c r="LE335" i="31"/>
  <c r="ML331" i="31"/>
  <c r="AJ338" i="31"/>
  <c r="AM338" i="31"/>
  <c r="AN338" i="31" s="1"/>
  <c r="AO338" i="31" s="1"/>
  <c r="AP338" i="31" s="1"/>
  <c r="LK337" i="31"/>
  <c r="LI337" i="31"/>
  <c r="GD337" i="31" s="1"/>
  <c r="GE337" i="31" s="1"/>
  <c r="GF337" i="31" s="1"/>
  <c r="LH337" i="31"/>
  <c r="KZ339" i="31"/>
  <c r="HH339" i="31"/>
  <c r="AK339" i="31"/>
  <c r="AL339" i="31"/>
  <c r="HD339" i="31"/>
  <c r="HI339" i="31"/>
  <c r="IG339" i="31"/>
  <c r="IH339" i="31" s="1"/>
  <c r="IK339" i="31" s="1"/>
  <c r="AI338" i="31"/>
  <c r="LG338" i="31"/>
  <c r="LF338" i="31"/>
  <c r="LJ336" i="31"/>
  <c r="MH332" i="31" l="1"/>
  <c r="MI332" i="31"/>
  <c r="MP332" i="31" s="1"/>
  <c r="MG333" i="31"/>
  <c r="MK333" i="31" s="1"/>
  <c r="ML333" i="31" s="1"/>
  <c r="PF333" i="31"/>
  <c r="MM332" i="31"/>
  <c r="MN332" i="31" s="1"/>
  <c r="LL335" i="31"/>
  <c r="LO335" i="31" s="1"/>
  <c r="LQ335" i="31" s="1"/>
  <c r="ML332" i="31"/>
  <c r="LE336" i="31"/>
  <c r="LT334" i="31"/>
  <c r="ME334" i="31" s="1"/>
  <c r="PF334" i="31" s="1"/>
  <c r="LS334" i="31"/>
  <c r="LY334" i="31" s="1"/>
  <c r="MA334" i="31" s="1"/>
  <c r="AJ339" i="31"/>
  <c r="LJ337" i="31"/>
  <c r="LG339" i="31"/>
  <c r="AI339" i="31"/>
  <c r="LF339" i="31"/>
  <c r="LH338" i="31"/>
  <c r="LK338" i="31"/>
  <c r="LI338" i="31"/>
  <c r="GD338" i="31" s="1"/>
  <c r="GE338" i="31" s="1"/>
  <c r="GF338" i="31" s="1"/>
  <c r="AM339" i="31"/>
  <c r="AN339" i="31" s="1"/>
  <c r="AO339" i="31" s="1"/>
  <c r="AP339" i="31" s="1"/>
  <c r="AK340" i="31"/>
  <c r="HI340" i="31"/>
  <c r="HH340" i="31"/>
  <c r="HD340" i="31"/>
  <c r="KZ340" i="31"/>
  <c r="AL340" i="31"/>
  <c r="IG340" i="31"/>
  <c r="IH340" i="31" s="1"/>
  <c r="IK340" i="31" s="1"/>
  <c r="MI333" i="31" l="1"/>
  <c r="MP333" i="31" s="1"/>
  <c r="MH333" i="31"/>
  <c r="MM333" i="31"/>
  <c r="MN333" i="31" s="1"/>
  <c r="LL336" i="31"/>
  <c r="LO336" i="31" s="1"/>
  <c r="LQ336" i="31" s="1"/>
  <c r="LR336" i="31" s="1"/>
  <c r="LX336" i="31" s="1"/>
  <c r="LZ336" i="31" s="1"/>
  <c r="MG334" i="31"/>
  <c r="MK334" i="31" s="1"/>
  <c r="LE337" i="31"/>
  <c r="LT335" i="31"/>
  <c r="ME335" i="31" s="1"/>
  <c r="LS335" i="31"/>
  <c r="LY335" i="31" s="1"/>
  <c r="MA335" i="31" s="1"/>
  <c r="LR335" i="31"/>
  <c r="LX335" i="31" s="1"/>
  <c r="LZ335" i="31" s="1"/>
  <c r="AJ340" i="31"/>
  <c r="LJ338" i="31"/>
  <c r="AM340" i="31"/>
  <c r="AN340" i="31" s="1"/>
  <c r="AO340" i="31" s="1"/>
  <c r="AP340" i="31" s="1"/>
  <c r="AI340" i="31"/>
  <c r="LG340" i="31"/>
  <c r="LF340" i="31"/>
  <c r="KZ341" i="31"/>
  <c r="HH341" i="31"/>
  <c r="HI341" i="31"/>
  <c r="AK341" i="31"/>
  <c r="AL341" i="31"/>
  <c r="HD341" i="31"/>
  <c r="IG341" i="31"/>
  <c r="IH341" i="31" s="1"/>
  <c r="IK341" i="31" s="1"/>
  <c r="LK339" i="31"/>
  <c r="LI339" i="31"/>
  <c r="GD339" i="31" s="1"/>
  <c r="GE339" i="31" s="1"/>
  <c r="GF339" i="31" s="1"/>
  <c r="LH339" i="31"/>
  <c r="MG335" i="31" l="1"/>
  <c r="MK335" i="31" s="1"/>
  <c r="PF335" i="31"/>
  <c r="LS336" i="31"/>
  <c r="LY336" i="31" s="1"/>
  <c r="MA336" i="31" s="1"/>
  <c r="LT336" i="31"/>
  <c r="ME336" i="31" s="1"/>
  <c r="LL337" i="31"/>
  <c r="LO337" i="31" s="1"/>
  <c r="LQ337" i="31" s="1"/>
  <c r="MI334" i="31"/>
  <c r="MP334" i="31" s="1"/>
  <c r="MH334" i="31"/>
  <c r="ML334" i="31"/>
  <c r="LE338" i="31"/>
  <c r="AJ341" i="31"/>
  <c r="AM341" i="31"/>
  <c r="AN341" i="31" s="1"/>
  <c r="AO341" i="31" s="1"/>
  <c r="AP341" i="31" s="1"/>
  <c r="LK340" i="31"/>
  <c r="LI340" i="31"/>
  <c r="GD340" i="31" s="1"/>
  <c r="GE340" i="31" s="1"/>
  <c r="GF340" i="31" s="1"/>
  <c r="LH340" i="31"/>
  <c r="KZ342" i="31"/>
  <c r="AK342" i="31"/>
  <c r="AL342" i="31"/>
  <c r="HH342" i="31"/>
  <c r="HD342" i="31"/>
  <c r="HI342" i="31"/>
  <c r="IG342" i="31"/>
  <c r="IH342" i="31" s="1"/>
  <c r="IK342" i="31" s="1"/>
  <c r="LJ339" i="31"/>
  <c r="LF341" i="31"/>
  <c r="AI341" i="31"/>
  <c r="LG341" i="31"/>
  <c r="MI335" i="31" l="1"/>
  <c r="MP335" i="31" s="1"/>
  <c r="MH335" i="31"/>
  <c r="MG336" i="31"/>
  <c r="MI336" i="31" s="1"/>
  <c r="MP336" i="31" s="1"/>
  <c r="PF336" i="31"/>
  <c r="MM334" i="31"/>
  <c r="MN334" i="31" s="1"/>
  <c r="MM335" i="31"/>
  <c r="MN335" i="31" s="1"/>
  <c r="LL338" i="31"/>
  <c r="LO338" i="31" s="1"/>
  <c r="LQ338" i="31" s="1"/>
  <c r="ML335" i="31"/>
  <c r="LE339" i="31"/>
  <c r="LS337" i="31"/>
  <c r="LY337" i="31" s="1"/>
  <c r="MA337" i="31" s="1"/>
  <c r="LT337" i="31"/>
  <c r="ME337" i="31" s="1"/>
  <c r="LR337" i="31"/>
  <c r="LX337" i="31" s="1"/>
  <c r="LZ337" i="31" s="1"/>
  <c r="AJ342" i="31"/>
  <c r="LF342" i="31"/>
  <c r="LG342" i="31"/>
  <c r="AI342" i="31"/>
  <c r="LK341" i="31"/>
  <c r="LH341" i="31"/>
  <c r="LI341" i="31"/>
  <c r="GD341" i="31" s="1"/>
  <c r="GE341" i="31" s="1"/>
  <c r="GF341" i="31" s="1"/>
  <c r="AM342" i="31"/>
  <c r="AN342" i="31" s="1"/>
  <c r="AO342" i="31" s="1"/>
  <c r="AP342" i="31" s="1"/>
  <c r="HD343" i="31"/>
  <c r="HI343" i="31"/>
  <c r="HH343" i="31"/>
  <c r="KZ343" i="31"/>
  <c r="AL343" i="31"/>
  <c r="AK343" i="31"/>
  <c r="IG343" i="31"/>
  <c r="IH343" i="31" s="1"/>
  <c r="IK343" i="31" s="1"/>
  <c r="LJ340" i="31"/>
  <c r="MK336" i="31" l="1"/>
  <c r="ML336" i="31" s="1"/>
  <c r="MG337" i="31"/>
  <c r="MK337" i="31" s="1"/>
  <c r="PF337" i="31"/>
  <c r="MH336" i="31"/>
  <c r="LL339" i="31"/>
  <c r="LO339" i="31" s="1"/>
  <c r="LQ339" i="31" s="1"/>
  <c r="LS339" i="31" s="1"/>
  <c r="LY339" i="31" s="1"/>
  <c r="MA339" i="31" s="1"/>
  <c r="LT338" i="31"/>
  <c r="ME338" i="31" s="1"/>
  <c r="LR338" i="31"/>
  <c r="LX338" i="31" s="1"/>
  <c r="LZ338" i="31" s="1"/>
  <c r="LE340" i="31"/>
  <c r="LS338" i="31"/>
  <c r="LY338" i="31" s="1"/>
  <c r="MA338" i="31" s="1"/>
  <c r="AJ343" i="31"/>
  <c r="AM343" i="31"/>
  <c r="AN343" i="31" s="1"/>
  <c r="AO343" i="31" s="1"/>
  <c r="AP343" i="31" s="1"/>
  <c r="LJ341" i="31"/>
  <c r="LG343" i="31"/>
  <c r="AI343" i="31"/>
  <c r="LF343" i="31"/>
  <c r="KZ344" i="31"/>
  <c r="HI344" i="31"/>
  <c r="HH344" i="31"/>
  <c r="AK344" i="31"/>
  <c r="HD344" i="31"/>
  <c r="AL344" i="31"/>
  <c r="IG344" i="31"/>
  <c r="IH344" i="31" s="1"/>
  <c r="IK344" i="31" s="1"/>
  <c r="LI342" i="31"/>
  <c r="GD342" i="31" s="1"/>
  <c r="GE342" i="31" s="1"/>
  <c r="GF342" i="31" s="1"/>
  <c r="LK342" i="31"/>
  <c r="LH342" i="31"/>
  <c r="MM336" i="31" l="1"/>
  <c r="MN336" i="31" s="1"/>
  <c r="MH337" i="31"/>
  <c r="MI337" i="31"/>
  <c r="MP337" i="31" s="1"/>
  <c r="MG338" i="31"/>
  <c r="MK338" i="31" s="1"/>
  <c r="PF338" i="31"/>
  <c r="MM337" i="31"/>
  <c r="MN337" i="31" s="1"/>
  <c r="LT339" i="31"/>
  <c r="ME339" i="31" s="1"/>
  <c r="LR339" i="31"/>
  <c r="LX339" i="31" s="1"/>
  <c r="LZ339" i="31" s="1"/>
  <c r="LL340" i="31"/>
  <c r="LO340" i="31" s="1"/>
  <c r="LQ340" i="31" s="1"/>
  <c r="LR340" i="31" s="1"/>
  <c r="LX340" i="31" s="1"/>
  <c r="LZ340" i="31" s="1"/>
  <c r="LE341" i="31"/>
  <c r="ML337" i="31"/>
  <c r="AJ344" i="31"/>
  <c r="LJ342" i="31"/>
  <c r="LF344" i="31"/>
  <c r="LG344" i="31"/>
  <c r="AI344" i="31"/>
  <c r="HH345" i="31"/>
  <c r="HI345" i="31"/>
  <c r="AL345" i="31"/>
  <c r="HD345" i="31"/>
  <c r="AK345" i="31"/>
  <c r="KZ345" i="31"/>
  <c r="IG345" i="31"/>
  <c r="IH345" i="31" s="1"/>
  <c r="IK345" i="31" s="1"/>
  <c r="AM344" i="31"/>
  <c r="AN344" i="31" s="1"/>
  <c r="AO344" i="31" s="1"/>
  <c r="AP344" i="31" s="1"/>
  <c r="LH343" i="31"/>
  <c r="LK343" i="31"/>
  <c r="LI343" i="31"/>
  <c r="GD343" i="31" s="1"/>
  <c r="GE343" i="31" s="1"/>
  <c r="GF343" i="31" s="1"/>
  <c r="MI338" i="31" l="1"/>
  <c r="MP338" i="31" s="1"/>
  <c r="MH338" i="31"/>
  <c r="MG339" i="31"/>
  <c r="MH339" i="31" s="1"/>
  <c r="PF339" i="31"/>
  <c r="MM338" i="31"/>
  <c r="MN338" i="31" s="1"/>
  <c r="LS340" i="31"/>
  <c r="LY340" i="31" s="1"/>
  <c r="MA340" i="31" s="1"/>
  <c r="LT340" i="31"/>
  <c r="ME340" i="31" s="1"/>
  <c r="LL341" i="31"/>
  <c r="LO341" i="31" s="1"/>
  <c r="LQ341" i="31" s="1"/>
  <c r="ML338" i="31"/>
  <c r="LE342" i="31"/>
  <c r="AJ345" i="31"/>
  <c r="LJ343" i="31"/>
  <c r="AM345" i="31"/>
  <c r="AN345" i="31" s="1"/>
  <c r="AO345" i="31" s="1"/>
  <c r="AP345" i="31" s="1"/>
  <c r="HI346" i="31"/>
  <c r="HD346" i="31"/>
  <c r="AL346" i="31"/>
  <c r="KZ346" i="31"/>
  <c r="HH346" i="31"/>
  <c r="AK346" i="31"/>
  <c r="IG346" i="31"/>
  <c r="IH346" i="31" s="1"/>
  <c r="IK346" i="31" s="1"/>
  <c r="LK344" i="31"/>
  <c r="LI344" i="31"/>
  <c r="GD344" i="31" s="1"/>
  <c r="GE344" i="31" s="1"/>
  <c r="GF344" i="31" s="1"/>
  <c r="LH344" i="31"/>
  <c r="AI345" i="31"/>
  <c r="LG345" i="31"/>
  <c r="LF345" i="31"/>
  <c r="MI339" i="31" l="1"/>
  <c r="MP339" i="31" s="1"/>
  <c r="MK339" i="31"/>
  <c r="MM339" i="31" s="1"/>
  <c r="MN339" i="31" s="1"/>
  <c r="MG340" i="31"/>
  <c r="MK340" i="31" s="1"/>
  <c r="ML340" i="31" s="1"/>
  <c r="PF340" i="31"/>
  <c r="LL342" i="31"/>
  <c r="LO342" i="31" s="1"/>
  <c r="LQ342" i="31" s="1"/>
  <c r="LE343" i="31"/>
  <c r="LT341" i="31"/>
  <c r="ME341" i="31" s="1"/>
  <c r="PF341" i="31" s="1"/>
  <c r="LR341" i="31"/>
  <c r="LX341" i="31" s="1"/>
  <c r="LZ341" i="31" s="1"/>
  <c r="LS341" i="31"/>
  <c r="LY341" i="31" s="1"/>
  <c r="MA341" i="31" s="1"/>
  <c r="AJ346" i="31"/>
  <c r="LJ344" i="31"/>
  <c r="LF346" i="31"/>
  <c r="AI346" i="31"/>
  <c r="LG346" i="31"/>
  <c r="HI347" i="31"/>
  <c r="AK347" i="31"/>
  <c r="HH347" i="31"/>
  <c r="HD347" i="31"/>
  <c r="KZ347" i="31"/>
  <c r="AL347" i="31"/>
  <c r="IG347" i="31"/>
  <c r="IH347" i="31" s="1"/>
  <c r="IK347" i="31" s="1"/>
  <c r="LK345" i="31"/>
  <c r="LH345" i="31"/>
  <c r="LI345" i="31"/>
  <c r="GD345" i="31" s="1"/>
  <c r="GE345" i="31" s="1"/>
  <c r="GF345" i="31" s="1"/>
  <c r="AM346" i="31"/>
  <c r="AN346" i="31" s="1"/>
  <c r="AO346" i="31" s="1"/>
  <c r="AP346" i="31" s="1"/>
  <c r="MH340" i="31" l="1"/>
  <c r="ML339" i="31"/>
  <c r="MI340" i="31"/>
  <c r="MP340" i="31" s="1"/>
  <c r="MM340" i="31"/>
  <c r="MN340" i="31" s="1"/>
  <c r="LL343" i="31"/>
  <c r="LO343" i="31" s="1"/>
  <c r="LQ343" i="31" s="1"/>
  <c r="MG341" i="31"/>
  <c r="LE344" i="31"/>
  <c r="LR342" i="31"/>
  <c r="LX342" i="31" s="1"/>
  <c r="LZ342" i="31" s="1"/>
  <c r="LT342" i="31"/>
  <c r="ME342" i="31" s="1"/>
  <c r="LS342" i="31"/>
  <c r="LY342" i="31" s="1"/>
  <c r="MA342" i="31" s="1"/>
  <c r="AJ347" i="31"/>
  <c r="LJ345" i="31"/>
  <c r="LK346" i="31"/>
  <c r="LI346" i="31"/>
  <c r="GD346" i="31" s="1"/>
  <c r="GE346" i="31" s="1"/>
  <c r="GF346" i="31" s="1"/>
  <c r="LH346" i="31"/>
  <c r="AI347" i="31"/>
  <c r="LF347" i="31"/>
  <c r="LG347" i="31"/>
  <c r="AL348" i="31"/>
  <c r="HH348" i="31"/>
  <c r="HI348" i="31"/>
  <c r="KZ348" i="31"/>
  <c r="AK348" i="31"/>
  <c r="HD348" i="31"/>
  <c r="IG348" i="31"/>
  <c r="IH348" i="31" s="1"/>
  <c r="IK348" i="31" s="1"/>
  <c r="AM347" i="31"/>
  <c r="AN347" i="31" s="1"/>
  <c r="AO347" i="31" s="1"/>
  <c r="AP347" i="31" s="1"/>
  <c r="MG342" i="31" l="1"/>
  <c r="MK342" i="31" s="1"/>
  <c r="PF342" i="31"/>
  <c r="LL344" i="31"/>
  <c r="LO344" i="31" s="1"/>
  <c r="LQ344" i="31" s="1"/>
  <c r="MI341" i="31"/>
  <c r="MP341" i="31" s="1"/>
  <c r="MK341" i="31"/>
  <c r="MH341" i="31"/>
  <c r="LR343" i="31"/>
  <c r="LX343" i="31" s="1"/>
  <c r="LZ343" i="31" s="1"/>
  <c r="LT343" i="31"/>
  <c r="ME343" i="31" s="1"/>
  <c r="LE345" i="31"/>
  <c r="LS343" i="31"/>
  <c r="LY343" i="31" s="1"/>
  <c r="MA343" i="31" s="1"/>
  <c r="AJ348" i="31"/>
  <c r="LJ346" i="31"/>
  <c r="LG348" i="31"/>
  <c r="LF348" i="31"/>
  <c r="AI348" i="31"/>
  <c r="AM348" i="31"/>
  <c r="AN348" i="31" s="1"/>
  <c r="AO348" i="31" s="1"/>
  <c r="AP348" i="31" s="1"/>
  <c r="HD349" i="31"/>
  <c r="KZ349" i="31"/>
  <c r="AK349" i="31"/>
  <c r="AL349" i="31"/>
  <c r="HH349" i="31"/>
  <c r="HI349" i="31"/>
  <c r="IG349" i="31"/>
  <c r="IH349" i="31" s="1"/>
  <c r="IK349" i="31" s="1"/>
  <c r="LK347" i="31"/>
  <c r="LI347" i="31"/>
  <c r="GD347" i="31" s="1"/>
  <c r="GE347" i="31" s="1"/>
  <c r="GF347" i="31" s="1"/>
  <c r="LH347" i="31"/>
  <c r="MI342" i="31" l="1"/>
  <c r="MP342" i="31" s="1"/>
  <c r="MH342" i="31"/>
  <c r="MG343" i="31"/>
  <c r="MK343" i="31" s="1"/>
  <c r="PF343" i="31"/>
  <c r="MM342" i="31"/>
  <c r="MN342" i="31" s="1"/>
  <c r="ML341" i="31"/>
  <c r="MM341" i="31"/>
  <c r="MN341" i="31" s="1"/>
  <c r="LL345" i="31"/>
  <c r="LO345" i="31" s="1"/>
  <c r="LQ345" i="31" s="1"/>
  <c r="ML342" i="31"/>
  <c r="LE346" i="31"/>
  <c r="LT344" i="31"/>
  <c r="ME344" i="31" s="1"/>
  <c r="LS344" i="31"/>
  <c r="LY344" i="31" s="1"/>
  <c r="MA344" i="31" s="1"/>
  <c r="LR344" i="31"/>
  <c r="LX344" i="31" s="1"/>
  <c r="LZ344" i="31" s="1"/>
  <c r="AJ349" i="31"/>
  <c r="AM349" i="31"/>
  <c r="AN349" i="31" s="1"/>
  <c r="AO349" i="31" s="1"/>
  <c r="AP349" i="31" s="1"/>
  <c r="LH348" i="31"/>
  <c r="LK348" i="31"/>
  <c r="LI348" i="31"/>
  <c r="GD348" i="31" s="1"/>
  <c r="GE348" i="31" s="1"/>
  <c r="GF348" i="31" s="1"/>
  <c r="LF349" i="31"/>
  <c r="AI349" i="31"/>
  <c r="LG349" i="31"/>
  <c r="KZ350" i="31"/>
  <c r="HI350" i="31"/>
  <c r="HD350" i="31"/>
  <c r="AL350" i="31"/>
  <c r="AK350" i="31"/>
  <c r="HH350" i="31"/>
  <c r="IG350" i="31"/>
  <c r="IH350" i="31" s="1"/>
  <c r="IK350" i="31" s="1"/>
  <c r="LJ347" i="31"/>
  <c r="MI343" i="31" l="1"/>
  <c r="MP343" i="31" s="1"/>
  <c r="MH343" i="31"/>
  <c r="MG344" i="31"/>
  <c r="MK344" i="31" s="1"/>
  <c r="PF344" i="31"/>
  <c r="MM343" i="31"/>
  <c r="MN343" i="31" s="1"/>
  <c r="LL346" i="31"/>
  <c r="LO346" i="31" s="1"/>
  <c r="LQ346" i="31" s="1"/>
  <c r="LE347" i="31"/>
  <c r="ML343" i="31"/>
  <c r="LR345" i="31"/>
  <c r="LX345" i="31" s="1"/>
  <c r="LZ345" i="31" s="1"/>
  <c r="LT345" i="31"/>
  <c r="ME345" i="31" s="1"/>
  <c r="LS345" i="31"/>
  <c r="LY345" i="31" s="1"/>
  <c r="MA345" i="31" s="1"/>
  <c r="AJ350" i="31"/>
  <c r="LJ348" i="31"/>
  <c r="HD351" i="31"/>
  <c r="AL351" i="31"/>
  <c r="HH351" i="31"/>
  <c r="HI351" i="31"/>
  <c r="KZ351" i="31"/>
  <c r="AK351" i="31"/>
  <c r="IG351" i="31"/>
  <c r="IH351" i="31" s="1"/>
  <c r="IK351" i="31" s="1"/>
  <c r="LG350" i="31"/>
  <c r="LF350" i="31"/>
  <c r="AI350" i="31"/>
  <c r="LI349" i="31"/>
  <c r="GD349" i="31" s="1"/>
  <c r="GE349" i="31" s="1"/>
  <c r="GF349" i="31" s="1"/>
  <c r="LH349" i="31"/>
  <c r="LK349" i="31"/>
  <c r="AM350" i="31"/>
  <c r="AN350" i="31" s="1"/>
  <c r="AO350" i="31" s="1"/>
  <c r="AP350" i="31" s="1"/>
  <c r="MH344" i="31" l="1"/>
  <c r="MI344" i="31"/>
  <c r="MP344" i="31" s="1"/>
  <c r="MG345" i="31"/>
  <c r="MK345" i="31" s="1"/>
  <c r="PF345" i="31"/>
  <c r="MM344" i="31"/>
  <c r="MN344" i="31" s="1"/>
  <c r="LL347" i="31"/>
  <c r="LO347" i="31" s="1"/>
  <c r="LQ347" i="31" s="1"/>
  <c r="LS347" i="31" s="1"/>
  <c r="LY347" i="31" s="1"/>
  <c r="MA347" i="31" s="1"/>
  <c r="ML344" i="31"/>
  <c r="LE348" i="31"/>
  <c r="LT346" i="31"/>
  <c r="ME346" i="31" s="1"/>
  <c r="LS346" i="31"/>
  <c r="LY346" i="31" s="1"/>
  <c r="MA346" i="31" s="1"/>
  <c r="LR346" i="31"/>
  <c r="LX346" i="31" s="1"/>
  <c r="LZ346" i="31" s="1"/>
  <c r="LJ349" i="31"/>
  <c r="AJ351" i="31"/>
  <c r="AM351" i="31"/>
  <c r="AN351" i="31" s="1"/>
  <c r="AO351" i="31" s="1"/>
  <c r="AP351" i="31" s="1"/>
  <c r="LK350" i="31"/>
  <c r="LI350" i="31"/>
  <c r="GD350" i="31" s="1"/>
  <c r="GE350" i="31" s="1"/>
  <c r="GF350" i="31" s="1"/>
  <c r="LH350" i="31"/>
  <c r="HH352" i="31"/>
  <c r="AL352" i="31"/>
  <c r="HI352" i="31"/>
  <c r="AK352" i="31"/>
  <c r="HD352" i="31"/>
  <c r="KZ352" i="31"/>
  <c r="IG352" i="31"/>
  <c r="IH352" i="31" s="1"/>
  <c r="IK352" i="31" s="1"/>
  <c r="LG351" i="31"/>
  <c r="AI351" i="31"/>
  <c r="LF351" i="31"/>
  <c r="MH345" i="31" l="1"/>
  <c r="MI345" i="31"/>
  <c r="MP345" i="31" s="1"/>
  <c r="MG346" i="31"/>
  <c r="MK346" i="31" s="1"/>
  <c r="PF346" i="31"/>
  <c r="MM345" i="31"/>
  <c r="MN345" i="31" s="1"/>
  <c r="LR347" i="31"/>
  <c r="LX347" i="31" s="1"/>
  <c r="LZ347" i="31" s="1"/>
  <c r="LT347" i="31"/>
  <c r="ME347" i="31" s="1"/>
  <c r="LL348" i="31"/>
  <c r="LO348" i="31" s="1"/>
  <c r="LQ348" i="31" s="1"/>
  <c r="LE349" i="31"/>
  <c r="ML345" i="31"/>
  <c r="AJ352" i="31"/>
  <c r="AM352" i="31"/>
  <c r="AN352" i="31" s="1"/>
  <c r="AO352" i="31" s="1"/>
  <c r="AP352" i="31" s="1"/>
  <c r="HD353" i="31"/>
  <c r="AK353" i="31"/>
  <c r="KZ353" i="31"/>
  <c r="HI353" i="31"/>
  <c r="AL353" i="31"/>
  <c r="HH353" i="31"/>
  <c r="IG353" i="31"/>
  <c r="IH353" i="31" s="1"/>
  <c r="IK353" i="31" s="1"/>
  <c r="LF352" i="31"/>
  <c r="AI352" i="31"/>
  <c r="LG352" i="31"/>
  <c r="LI351" i="31"/>
  <c r="GD351" i="31" s="1"/>
  <c r="GE351" i="31" s="1"/>
  <c r="GF351" i="31" s="1"/>
  <c r="LK351" i="31"/>
  <c r="LH351" i="31"/>
  <c r="LJ350" i="31"/>
  <c r="MI346" i="31" l="1"/>
  <c r="MP346" i="31" s="1"/>
  <c r="MH346" i="31"/>
  <c r="MG347" i="31"/>
  <c r="MK347" i="31" s="1"/>
  <c r="ML347" i="31" s="1"/>
  <c r="PF347" i="31"/>
  <c r="MM346" i="31"/>
  <c r="MN346" i="31" s="1"/>
  <c r="LL349" i="31"/>
  <c r="LO349" i="31" s="1"/>
  <c r="LQ349" i="31" s="1"/>
  <c r="ML346" i="31"/>
  <c r="LE350" i="31"/>
  <c r="LT348" i="31"/>
  <c r="ME348" i="31" s="1"/>
  <c r="PF348" i="31" s="1"/>
  <c r="LS348" i="31"/>
  <c r="LY348" i="31" s="1"/>
  <c r="MA348" i="31" s="1"/>
  <c r="LR348" i="31"/>
  <c r="LX348" i="31" s="1"/>
  <c r="LZ348" i="31" s="1"/>
  <c r="AJ353" i="31"/>
  <c r="LJ351" i="31"/>
  <c r="AL354" i="31"/>
  <c r="AK354" i="31"/>
  <c r="HD354" i="31"/>
  <c r="HI354" i="31"/>
  <c r="HH354" i="31"/>
  <c r="KZ354" i="31"/>
  <c r="IG354" i="31"/>
  <c r="IH354" i="31" s="1"/>
  <c r="IK354" i="31" s="1"/>
  <c r="AM353" i="31"/>
  <c r="AN353" i="31" s="1"/>
  <c r="AO353" i="31" s="1"/>
  <c r="AP353" i="31" s="1"/>
  <c r="LK352" i="31"/>
  <c r="LH352" i="31"/>
  <c r="LI352" i="31"/>
  <c r="GD352" i="31" s="1"/>
  <c r="GE352" i="31" s="1"/>
  <c r="GF352" i="31" s="1"/>
  <c r="AI353" i="31"/>
  <c r="LG353" i="31"/>
  <c r="LF353" i="31"/>
  <c r="MH347" i="31" l="1"/>
  <c r="MI347" i="31"/>
  <c r="MP347" i="31" s="1"/>
  <c r="MM347" i="31"/>
  <c r="MN347" i="31" s="1"/>
  <c r="LL350" i="31"/>
  <c r="LO350" i="31" s="1"/>
  <c r="MG348" i="31"/>
  <c r="MK348" i="31" s="1"/>
  <c r="LE351" i="31"/>
  <c r="LT349" i="31"/>
  <c r="ME349" i="31" s="1"/>
  <c r="LS349" i="31"/>
  <c r="LY349" i="31" s="1"/>
  <c r="MA349" i="31" s="1"/>
  <c r="LR349" i="31"/>
  <c r="LX349" i="31" s="1"/>
  <c r="LZ349" i="31" s="1"/>
  <c r="AJ354" i="31"/>
  <c r="AM354" i="31"/>
  <c r="AN354" i="31" s="1"/>
  <c r="AO354" i="31" s="1"/>
  <c r="AP354" i="31" s="1"/>
  <c r="LJ352" i="31"/>
  <c r="AI354" i="31"/>
  <c r="LG354" i="31"/>
  <c r="LF354" i="31"/>
  <c r="AL355" i="31"/>
  <c r="HI355" i="31"/>
  <c r="AK355" i="31"/>
  <c r="HD355" i="31"/>
  <c r="KZ355" i="31"/>
  <c r="HH355" i="31"/>
  <c r="IG355" i="31"/>
  <c r="IH355" i="31" s="1"/>
  <c r="IK355" i="31" s="1"/>
  <c r="LK353" i="31"/>
  <c r="LH353" i="31"/>
  <c r="LI353" i="31"/>
  <c r="GD353" i="31" s="1"/>
  <c r="GE353" i="31" s="1"/>
  <c r="GF353" i="31" s="1"/>
  <c r="MG349" i="31" l="1"/>
  <c r="MK349" i="31" s="1"/>
  <c r="PF349" i="31"/>
  <c r="LQ350" i="31"/>
  <c r="LL351" i="31"/>
  <c r="LO351" i="31" s="1"/>
  <c r="LQ351" i="31" s="1"/>
  <c r="MI348" i="31"/>
  <c r="MP348" i="31" s="1"/>
  <c r="MH348" i="31"/>
  <c r="ML348" i="31"/>
  <c r="LE352" i="31"/>
  <c r="AJ355" i="31"/>
  <c r="LJ353" i="31"/>
  <c r="LG355" i="31"/>
  <c r="AI355" i="31"/>
  <c r="LF355" i="31"/>
  <c r="AM355" i="31"/>
  <c r="AN355" i="31" s="1"/>
  <c r="AO355" i="31" s="1"/>
  <c r="AP355" i="31" s="1"/>
  <c r="LI354" i="31"/>
  <c r="GD354" i="31" s="1"/>
  <c r="GE354" i="31" s="1"/>
  <c r="GF354" i="31" s="1"/>
  <c r="LK354" i="31"/>
  <c r="LH354" i="31"/>
  <c r="HH356" i="31"/>
  <c r="KZ356" i="31"/>
  <c r="HD356" i="31"/>
  <c r="AL356" i="31"/>
  <c r="HI356" i="31"/>
  <c r="AK356" i="31"/>
  <c r="IG356" i="31"/>
  <c r="IH356" i="31" s="1"/>
  <c r="IK356" i="31" s="1"/>
  <c r="MH349" i="31" l="1"/>
  <c r="MI349" i="31"/>
  <c r="MP349" i="31" s="1"/>
  <c r="MM348" i="31"/>
  <c r="MN348" i="31" s="1"/>
  <c r="MM349" i="31"/>
  <c r="MN349" i="31" s="1"/>
  <c r="LS350" i="31"/>
  <c r="LY350" i="31" s="1"/>
  <c r="MA350" i="31" s="1"/>
  <c r="LT350" i="31"/>
  <c r="ME350" i="31" s="1"/>
  <c r="LR350" i="31"/>
  <c r="LX350" i="31" s="1"/>
  <c r="LZ350" i="31" s="1"/>
  <c r="LL352" i="31"/>
  <c r="LO352" i="31" s="1"/>
  <c r="LE353" i="31"/>
  <c r="ML349" i="31"/>
  <c r="LT351" i="31"/>
  <c r="ME351" i="31" s="1"/>
  <c r="LR351" i="31"/>
  <c r="LX351" i="31" s="1"/>
  <c r="LZ351" i="31" s="1"/>
  <c r="LS351" i="31"/>
  <c r="LY351" i="31" s="1"/>
  <c r="MA351" i="31" s="1"/>
  <c r="LJ354" i="31"/>
  <c r="AJ356" i="31"/>
  <c r="AM356" i="31"/>
  <c r="AN356" i="31" s="1"/>
  <c r="AO356" i="31" s="1"/>
  <c r="AP356" i="31" s="1"/>
  <c r="LF356" i="31"/>
  <c r="AI356" i="31"/>
  <c r="LG356" i="31"/>
  <c r="LK355" i="31"/>
  <c r="LH355" i="31"/>
  <c r="LI355" i="31"/>
  <c r="GD355" i="31" s="1"/>
  <c r="GE355" i="31" s="1"/>
  <c r="GF355" i="31" s="1"/>
  <c r="KZ357" i="31"/>
  <c r="AK357" i="31"/>
  <c r="AL357" i="31"/>
  <c r="HH357" i="31"/>
  <c r="HI357" i="31"/>
  <c r="HD357" i="31"/>
  <c r="IG357" i="31"/>
  <c r="IH357" i="31" s="1"/>
  <c r="IK357" i="31" s="1"/>
  <c r="MG350" i="31" l="1"/>
  <c r="MK350" i="31" s="1"/>
  <c r="PF350" i="31"/>
  <c r="MG351" i="31"/>
  <c r="MK351" i="31" s="1"/>
  <c r="PF351" i="31"/>
  <c r="LQ352" i="31"/>
  <c r="LS352" i="31" s="1"/>
  <c r="LY352" i="31" s="1"/>
  <c r="MA352" i="31" s="1"/>
  <c r="LL353" i="31"/>
  <c r="LO353" i="31" s="1"/>
  <c r="LQ353" i="31" s="1"/>
  <c r="LR353" i="31" s="1"/>
  <c r="LX353" i="31" s="1"/>
  <c r="LZ353" i="31" s="1"/>
  <c r="LE354" i="31"/>
  <c r="LJ355" i="31"/>
  <c r="AJ357" i="31"/>
  <c r="AM357" i="31"/>
  <c r="AN357" i="31" s="1"/>
  <c r="AO357" i="31" s="1"/>
  <c r="AP357" i="31" s="1"/>
  <c r="HD358" i="31"/>
  <c r="AL358" i="31"/>
  <c r="AK358" i="31"/>
  <c r="HH358" i="31"/>
  <c r="HI358" i="31"/>
  <c r="KZ358" i="31"/>
  <c r="IG358" i="31"/>
  <c r="IH358" i="31" s="1"/>
  <c r="IK358" i="31" s="1"/>
  <c r="LH356" i="31"/>
  <c r="LK356" i="31"/>
  <c r="LI356" i="31"/>
  <c r="GD356" i="31" s="1"/>
  <c r="GE356" i="31" s="1"/>
  <c r="GF356" i="31" s="1"/>
  <c r="AI357" i="31"/>
  <c r="LF357" i="31"/>
  <c r="LG357" i="31"/>
  <c r="MI350" i="31" l="1"/>
  <c r="MP350" i="31" s="1"/>
  <c r="MH350" i="31"/>
  <c r="MH351" i="31"/>
  <c r="MI351" i="31"/>
  <c r="MP351" i="31" s="1"/>
  <c r="MM350" i="31"/>
  <c r="MN350" i="31" s="1"/>
  <c r="MM351" i="31"/>
  <c r="MN351" i="31" s="1"/>
  <c r="LT352" i="31"/>
  <c r="ME352" i="31" s="1"/>
  <c r="ML350" i="31"/>
  <c r="LR352" i="31"/>
  <c r="LX352" i="31" s="1"/>
  <c r="LZ352" i="31" s="1"/>
  <c r="LL354" i="31"/>
  <c r="LO354" i="31" s="1"/>
  <c r="LQ354" i="31" s="1"/>
  <c r="LT353" i="31"/>
  <c r="ME353" i="31" s="1"/>
  <c r="LS353" i="31"/>
  <c r="LY353" i="31" s="1"/>
  <c r="MA353" i="31" s="1"/>
  <c r="LE355" i="31"/>
  <c r="ML351" i="31"/>
  <c r="AJ358" i="31"/>
  <c r="AM358" i="31"/>
  <c r="AN358" i="31" s="1"/>
  <c r="AO358" i="31" s="1"/>
  <c r="AP358" i="31" s="1"/>
  <c r="LJ356" i="31"/>
  <c r="LG358" i="31"/>
  <c r="AI358" i="31"/>
  <c r="LF358" i="31"/>
  <c r="KZ359" i="31"/>
  <c r="HH359" i="31"/>
  <c r="AK359" i="31"/>
  <c r="HD359" i="31"/>
  <c r="AL359" i="31"/>
  <c r="HI359" i="31"/>
  <c r="IG359" i="31"/>
  <c r="IH359" i="31" s="1"/>
  <c r="IK359" i="31" s="1"/>
  <c r="LI357" i="31"/>
  <c r="GD357" i="31" s="1"/>
  <c r="GE357" i="31" s="1"/>
  <c r="GF357" i="31" s="1"/>
  <c r="LH357" i="31"/>
  <c r="LK357" i="31"/>
  <c r="MG353" i="31" l="1"/>
  <c r="MK353" i="31" s="1"/>
  <c r="PF353" i="31"/>
  <c r="MG352" i="31"/>
  <c r="MK352" i="31" s="1"/>
  <c r="ML352" i="31" s="1"/>
  <c r="PF352" i="31"/>
  <c r="LL355" i="31"/>
  <c r="LO355" i="31" s="1"/>
  <c r="LQ355" i="31" s="1"/>
  <c r="LE356" i="31"/>
  <c r="LT354" i="31"/>
  <c r="ME354" i="31" s="1"/>
  <c r="LR354" i="31"/>
  <c r="LX354" i="31" s="1"/>
  <c r="LZ354" i="31" s="1"/>
  <c r="LS354" i="31"/>
  <c r="LY354" i="31" s="1"/>
  <c r="MA354" i="31" s="1"/>
  <c r="AJ359" i="31"/>
  <c r="LJ357" i="31"/>
  <c r="LK358" i="31"/>
  <c r="LI358" i="31"/>
  <c r="GD358" i="31" s="1"/>
  <c r="GE358" i="31" s="1"/>
  <c r="GF358" i="31" s="1"/>
  <c r="LH358" i="31"/>
  <c r="HH360" i="31"/>
  <c r="KZ360" i="31"/>
  <c r="AK360" i="31"/>
  <c r="AL360" i="31"/>
  <c r="HD360" i="31"/>
  <c r="HI360" i="31"/>
  <c r="IG360" i="31"/>
  <c r="IH360" i="31" s="1"/>
  <c r="IK360" i="31" s="1"/>
  <c r="AI359" i="31"/>
  <c r="LG359" i="31"/>
  <c r="LF359" i="31"/>
  <c r="AM359" i="31"/>
  <c r="AN359" i="31" s="1"/>
  <c r="AO359" i="31" s="1"/>
  <c r="AP359" i="31" s="1"/>
  <c r="MI353" i="31" l="1"/>
  <c r="MP353" i="31" s="1"/>
  <c r="MH353" i="31"/>
  <c r="MG354" i="31"/>
  <c r="MK354" i="31" s="1"/>
  <c r="PF354" i="31"/>
  <c r="MH352" i="31"/>
  <c r="MI352" i="31"/>
  <c r="MP352" i="31" s="1"/>
  <c r="MM352" i="31"/>
  <c r="MN352" i="31" s="1"/>
  <c r="MM353" i="31"/>
  <c r="MN353" i="31" s="1"/>
  <c r="LL356" i="31"/>
  <c r="LO356" i="31" s="1"/>
  <c r="LQ356" i="31" s="1"/>
  <c r="ML353" i="31"/>
  <c r="LE357" i="31"/>
  <c r="LT355" i="31"/>
  <c r="ME355" i="31" s="1"/>
  <c r="LR355" i="31"/>
  <c r="LX355" i="31" s="1"/>
  <c r="LZ355" i="31" s="1"/>
  <c r="LS355" i="31"/>
  <c r="LY355" i="31" s="1"/>
  <c r="MA355" i="31" s="1"/>
  <c r="AJ360" i="31"/>
  <c r="LJ358" i="31"/>
  <c r="LF360" i="31"/>
  <c r="AI360" i="31"/>
  <c r="LG360" i="31"/>
  <c r="LK359" i="31"/>
  <c r="LI359" i="31"/>
  <c r="GD359" i="31" s="1"/>
  <c r="GE359" i="31" s="1"/>
  <c r="GF359" i="31" s="1"/>
  <c r="LH359" i="31"/>
  <c r="AM360" i="31"/>
  <c r="AN360" i="31" s="1"/>
  <c r="AO360" i="31" s="1"/>
  <c r="AP360" i="31" s="1"/>
  <c r="HH361" i="31"/>
  <c r="HI361" i="31"/>
  <c r="KZ361" i="31"/>
  <c r="AL361" i="31"/>
  <c r="AK361" i="31"/>
  <c r="HD361" i="31"/>
  <c r="IG361" i="31"/>
  <c r="IH361" i="31" s="1"/>
  <c r="IK361" i="31" s="1"/>
  <c r="MI354" i="31" l="1"/>
  <c r="MP354" i="31" s="1"/>
  <c r="MH354" i="31"/>
  <c r="MG355" i="31"/>
  <c r="MK355" i="31" s="1"/>
  <c r="PF355" i="31"/>
  <c r="MM354" i="31"/>
  <c r="MN354" i="31" s="1"/>
  <c r="LL357" i="31"/>
  <c r="LO357" i="31" s="1"/>
  <c r="LQ357" i="31" s="1"/>
  <c r="ML354" i="31"/>
  <c r="LE358" i="31"/>
  <c r="LR356" i="31"/>
  <c r="LX356" i="31" s="1"/>
  <c r="LZ356" i="31" s="1"/>
  <c r="LT356" i="31"/>
  <c r="ME356" i="31" s="1"/>
  <c r="LS356" i="31"/>
  <c r="LY356" i="31" s="1"/>
  <c r="MA356" i="31" s="1"/>
  <c r="AM361" i="31"/>
  <c r="AN361" i="31" s="1"/>
  <c r="AO361" i="31" s="1"/>
  <c r="AP361" i="31" s="1"/>
  <c r="AJ361" i="31"/>
  <c r="LJ359" i="31"/>
  <c r="LF361" i="31"/>
  <c r="LG361" i="31"/>
  <c r="AI361" i="31"/>
  <c r="LI360" i="31"/>
  <c r="GD360" i="31" s="1"/>
  <c r="GE360" i="31" s="1"/>
  <c r="GF360" i="31" s="1"/>
  <c r="LK360" i="31"/>
  <c r="LH360" i="31"/>
  <c r="HH362" i="31"/>
  <c r="AL362" i="31"/>
  <c r="AK362" i="31"/>
  <c r="HD362" i="31"/>
  <c r="HI362" i="31"/>
  <c r="KZ362" i="31"/>
  <c r="IG362" i="31"/>
  <c r="IH362" i="31" s="1"/>
  <c r="IK362" i="31" s="1"/>
  <c r="MH355" i="31" l="1"/>
  <c r="MI355" i="31"/>
  <c r="MP355" i="31" s="1"/>
  <c r="MG356" i="31"/>
  <c r="MK356" i="31" s="1"/>
  <c r="PF356" i="31"/>
  <c r="MM355" i="31"/>
  <c r="MN355" i="31" s="1"/>
  <c r="LL358" i="31"/>
  <c r="LO358" i="31" s="1"/>
  <c r="LQ358" i="31" s="1"/>
  <c r="LE359" i="31"/>
  <c r="ML355" i="31"/>
  <c r="LR357" i="31"/>
  <c r="LX357" i="31" s="1"/>
  <c r="LZ357" i="31" s="1"/>
  <c r="LS357" i="31"/>
  <c r="LY357" i="31" s="1"/>
  <c r="MA357" i="31" s="1"/>
  <c r="LT357" i="31"/>
  <c r="ME357" i="31" s="1"/>
  <c r="AJ362" i="31"/>
  <c r="LJ360" i="31"/>
  <c r="AM362" i="31"/>
  <c r="AN362" i="31" s="1"/>
  <c r="AO362" i="31" s="1"/>
  <c r="AP362" i="31" s="1"/>
  <c r="LG362" i="31"/>
  <c r="LF362" i="31"/>
  <c r="AI362" i="31"/>
  <c r="AK363" i="31"/>
  <c r="HH363" i="31"/>
  <c r="AL363" i="31"/>
  <c r="HD363" i="31"/>
  <c r="HI363" i="31"/>
  <c r="KZ363" i="31"/>
  <c r="IG363" i="31"/>
  <c r="IH363" i="31" s="1"/>
  <c r="IK363" i="31" s="1"/>
  <c r="LK361" i="31"/>
  <c r="LI361" i="31"/>
  <c r="GD361" i="31" s="1"/>
  <c r="GE361" i="31" s="1"/>
  <c r="GF361" i="31" s="1"/>
  <c r="LH361" i="31"/>
  <c r="MH356" i="31" l="1"/>
  <c r="MI356" i="31"/>
  <c r="MP356" i="31" s="1"/>
  <c r="MG357" i="31"/>
  <c r="MK357" i="31" s="1"/>
  <c r="PF357" i="31"/>
  <c r="MM356" i="31"/>
  <c r="MN356" i="31" s="1"/>
  <c r="LL359" i="31"/>
  <c r="LO359" i="31" s="1"/>
  <c r="LQ359" i="31" s="1"/>
  <c r="ML356" i="31"/>
  <c r="LE360" i="31"/>
  <c r="LR358" i="31"/>
  <c r="LX358" i="31" s="1"/>
  <c r="LZ358" i="31" s="1"/>
  <c r="LT358" i="31"/>
  <c r="ME358" i="31" s="1"/>
  <c r="LS358" i="31"/>
  <c r="LY358" i="31" s="1"/>
  <c r="MA358" i="31" s="1"/>
  <c r="AJ363" i="31"/>
  <c r="LJ361" i="31"/>
  <c r="AM363" i="31"/>
  <c r="AN363" i="31" s="1"/>
  <c r="AO363" i="31" s="1"/>
  <c r="AP363" i="31" s="1"/>
  <c r="HD364" i="31"/>
  <c r="KZ364" i="31"/>
  <c r="HH364" i="31"/>
  <c r="HI364" i="31"/>
  <c r="AK364" i="31"/>
  <c r="AL364" i="31"/>
  <c r="IG364" i="31"/>
  <c r="IH364" i="31" s="1"/>
  <c r="IK364" i="31" s="1"/>
  <c r="AI363" i="31"/>
  <c r="LG363" i="31"/>
  <c r="LF363" i="31"/>
  <c r="LH362" i="31"/>
  <c r="LI362" i="31"/>
  <c r="GD362" i="31" s="1"/>
  <c r="GE362" i="31" s="1"/>
  <c r="GF362" i="31" s="1"/>
  <c r="LK362" i="31"/>
  <c r="MI357" i="31" l="1"/>
  <c r="MP357" i="31" s="1"/>
  <c r="MG358" i="31"/>
  <c r="MK358" i="31" s="1"/>
  <c r="PF358" i="31"/>
  <c r="MH357" i="31"/>
  <c r="MM357" i="31"/>
  <c r="MN357" i="31" s="1"/>
  <c r="LL360" i="31"/>
  <c r="LO360" i="31" s="1"/>
  <c r="LQ360" i="31" s="1"/>
  <c r="LE361" i="31"/>
  <c r="ML357" i="31"/>
  <c r="LS359" i="31"/>
  <c r="LY359" i="31" s="1"/>
  <c r="MA359" i="31" s="1"/>
  <c r="LT359" i="31"/>
  <c r="ME359" i="31" s="1"/>
  <c r="LR359" i="31"/>
  <c r="LX359" i="31" s="1"/>
  <c r="LZ359" i="31" s="1"/>
  <c r="AJ364" i="31"/>
  <c r="LG364" i="31"/>
  <c r="LF364" i="31"/>
  <c r="AI364" i="31"/>
  <c r="AL365" i="31"/>
  <c r="HH365" i="31"/>
  <c r="AK365" i="31"/>
  <c r="KZ365" i="31"/>
  <c r="HD365" i="31"/>
  <c r="HI365" i="31"/>
  <c r="IG365" i="31"/>
  <c r="IH365" i="31" s="1"/>
  <c r="IK365" i="31" s="1"/>
  <c r="LJ362" i="31"/>
  <c r="AM364" i="31"/>
  <c r="AN364" i="31" s="1"/>
  <c r="AO364" i="31" s="1"/>
  <c r="AP364" i="31" s="1"/>
  <c r="LI363" i="31"/>
  <c r="GD363" i="31" s="1"/>
  <c r="GE363" i="31" s="1"/>
  <c r="GF363" i="31" s="1"/>
  <c r="LH363" i="31"/>
  <c r="LK363" i="31"/>
  <c r="MI358" i="31" l="1"/>
  <c r="MP358" i="31" s="1"/>
  <c r="MH358" i="31"/>
  <c r="MG359" i="31"/>
  <c r="MK359" i="31" s="1"/>
  <c r="PF359" i="31"/>
  <c r="MM358" i="31"/>
  <c r="MN358" i="31" s="1"/>
  <c r="LL361" i="31"/>
  <c r="LO361" i="31" s="1"/>
  <c r="LQ361" i="31" s="1"/>
  <c r="ML358" i="31"/>
  <c r="LT360" i="31"/>
  <c r="ME360" i="31" s="1"/>
  <c r="LS360" i="31"/>
  <c r="LY360" i="31" s="1"/>
  <c r="MA360" i="31" s="1"/>
  <c r="LE362" i="31"/>
  <c r="LR360" i="31"/>
  <c r="LX360" i="31" s="1"/>
  <c r="LZ360" i="31" s="1"/>
  <c r="AJ365" i="31"/>
  <c r="LJ363" i="31"/>
  <c r="AM365" i="31"/>
  <c r="AN365" i="31" s="1"/>
  <c r="AO365" i="31" s="1"/>
  <c r="AP365" i="31" s="1"/>
  <c r="LF365" i="31"/>
  <c r="AI365" i="31"/>
  <c r="LG365" i="31"/>
  <c r="LK364" i="31"/>
  <c r="LH364" i="31"/>
  <c r="LI364" i="31"/>
  <c r="GD364" i="31" s="1"/>
  <c r="GE364" i="31" s="1"/>
  <c r="GF364" i="31" s="1"/>
  <c r="HD366" i="31"/>
  <c r="KZ366" i="31"/>
  <c r="AK366" i="31"/>
  <c r="HH366" i="31"/>
  <c r="AL366" i="31"/>
  <c r="HI366" i="31"/>
  <c r="IG366" i="31"/>
  <c r="IH366" i="31" s="1"/>
  <c r="IK366" i="31" s="1"/>
  <c r="MH359" i="31" l="1"/>
  <c r="MI359" i="31"/>
  <c r="MP359" i="31" s="1"/>
  <c r="MG360" i="31"/>
  <c r="MK360" i="31" s="1"/>
  <c r="PF360" i="31"/>
  <c r="MM359" i="31"/>
  <c r="MN359" i="31" s="1"/>
  <c r="LL362" i="31"/>
  <c r="LO362" i="31" s="1"/>
  <c r="LE363" i="31"/>
  <c r="ML359" i="31"/>
  <c r="LR361" i="31"/>
  <c r="LX361" i="31" s="1"/>
  <c r="LZ361" i="31" s="1"/>
  <c r="LS361" i="31"/>
  <c r="LY361" i="31" s="1"/>
  <c r="MA361" i="31" s="1"/>
  <c r="LT361" i="31"/>
  <c r="ME361" i="31" s="1"/>
  <c r="LJ364" i="31"/>
  <c r="AJ366" i="31"/>
  <c r="AI366" i="31"/>
  <c r="LG366" i="31"/>
  <c r="LF366" i="31"/>
  <c r="KZ367" i="31"/>
  <c r="HH367" i="31"/>
  <c r="AK367" i="31"/>
  <c r="HI367" i="31"/>
  <c r="AL367" i="31"/>
  <c r="HD367" i="31"/>
  <c r="IG367" i="31"/>
  <c r="IH367" i="31" s="1"/>
  <c r="IK367" i="31" s="1"/>
  <c r="LK365" i="31"/>
  <c r="LI365" i="31"/>
  <c r="GD365" i="31" s="1"/>
  <c r="GE365" i="31" s="1"/>
  <c r="GF365" i="31" s="1"/>
  <c r="LH365" i="31"/>
  <c r="AM366" i="31"/>
  <c r="AN366" i="31" s="1"/>
  <c r="AO366" i="31" s="1"/>
  <c r="AP366" i="31" s="1"/>
  <c r="MH360" i="31" l="1"/>
  <c r="MI360" i="31"/>
  <c r="MP360" i="31" s="1"/>
  <c r="MG361" i="31"/>
  <c r="MK361" i="31" s="1"/>
  <c r="PF361" i="31"/>
  <c r="MM360" i="31"/>
  <c r="MN360" i="31" s="1"/>
  <c r="LQ362" i="31"/>
  <c r="LS362" i="31" s="1"/>
  <c r="LY362" i="31" s="1"/>
  <c r="MA362" i="31" s="1"/>
  <c r="LL363" i="31"/>
  <c r="LO363" i="31" s="1"/>
  <c r="LQ363" i="31" s="1"/>
  <c r="ML360" i="31"/>
  <c r="LE364" i="31"/>
  <c r="LJ365" i="31"/>
  <c r="AJ367" i="31"/>
  <c r="AI367" i="31"/>
  <c r="LF367" i="31"/>
  <c r="LG367" i="31"/>
  <c r="AM367" i="31"/>
  <c r="AN367" i="31" s="1"/>
  <c r="AO367" i="31" s="1"/>
  <c r="AP367" i="31" s="1"/>
  <c r="KZ368" i="31"/>
  <c r="AK368" i="31"/>
  <c r="AL368" i="31"/>
  <c r="HI368" i="31"/>
  <c r="HH368" i="31"/>
  <c r="HD368" i="31"/>
  <c r="IG368" i="31"/>
  <c r="IH368" i="31" s="1"/>
  <c r="IK368" i="31" s="1"/>
  <c r="LH366" i="31"/>
  <c r="LI366" i="31"/>
  <c r="GD366" i="31" s="1"/>
  <c r="GE366" i="31" s="1"/>
  <c r="GF366" i="31" s="1"/>
  <c r="LK366" i="31"/>
  <c r="MI361" i="31" l="1"/>
  <c r="MP361" i="31" s="1"/>
  <c r="MH361" i="31"/>
  <c r="MM361" i="31"/>
  <c r="MN361" i="31" s="1"/>
  <c r="LT362" i="31"/>
  <c r="ME362" i="31" s="1"/>
  <c r="LR362" i="31"/>
  <c r="LX362" i="31" s="1"/>
  <c r="LZ362" i="31" s="1"/>
  <c r="LL364" i="31"/>
  <c r="LO364" i="31" s="1"/>
  <c r="LQ364" i="31" s="1"/>
  <c r="LE365" i="31"/>
  <c r="ML361" i="31"/>
  <c r="LS363" i="31"/>
  <c r="LY363" i="31" s="1"/>
  <c r="MA363" i="31" s="1"/>
  <c r="LR363" i="31"/>
  <c r="LX363" i="31" s="1"/>
  <c r="LZ363" i="31" s="1"/>
  <c r="LT363" i="31"/>
  <c r="ME363" i="31" s="1"/>
  <c r="AJ368" i="31"/>
  <c r="AM368" i="31"/>
  <c r="AN368" i="31" s="1"/>
  <c r="AO368" i="31" s="1"/>
  <c r="AP368" i="31" s="1"/>
  <c r="AK369" i="31"/>
  <c r="AL369" i="31"/>
  <c r="HH369" i="31"/>
  <c r="KZ369" i="31"/>
  <c r="HD369" i="31"/>
  <c r="HI369" i="31"/>
  <c r="IG369" i="31"/>
  <c r="IH369" i="31" s="1"/>
  <c r="IK369" i="31" s="1"/>
  <c r="LJ366" i="31"/>
  <c r="AI368" i="31"/>
  <c r="LF368" i="31"/>
  <c r="LG368" i="31"/>
  <c r="LK367" i="31"/>
  <c r="LI367" i="31"/>
  <c r="GD367" i="31" s="1"/>
  <c r="GE367" i="31" s="1"/>
  <c r="GF367" i="31" s="1"/>
  <c r="LH367" i="31"/>
  <c r="MG362" i="31" l="1"/>
  <c r="MK362" i="31" s="1"/>
  <c r="ML362" i="31" s="1"/>
  <c r="PF362" i="31"/>
  <c r="MG363" i="31"/>
  <c r="MK363" i="31" s="1"/>
  <c r="PF363" i="31"/>
  <c r="LL365" i="31"/>
  <c r="LO365" i="31" s="1"/>
  <c r="LQ365" i="31" s="1"/>
  <c r="LR364" i="31"/>
  <c r="LX364" i="31" s="1"/>
  <c r="LZ364" i="31" s="1"/>
  <c r="LT364" i="31"/>
  <c r="ME364" i="31" s="1"/>
  <c r="LE366" i="31"/>
  <c r="LS364" i="31"/>
  <c r="LY364" i="31" s="1"/>
  <c r="MA364" i="31" s="1"/>
  <c r="AJ369" i="31"/>
  <c r="KZ370" i="31"/>
  <c r="AK370" i="31"/>
  <c r="HD370" i="31"/>
  <c r="AL370" i="31"/>
  <c r="HI370" i="31"/>
  <c r="HH370" i="31"/>
  <c r="IG370" i="31"/>
  <c r="IH370" i="31" s="1"/>
  <c r="IK370" i="31" s="1"/>
  <c r="LH368" i="31"/>
  <c r="LK368" i="31"/>
  <c r="LI368" i="31"/>
  <c r="GD368" i="31" s="1"/>
  <c r="GE368" i="31" s="1"/>
  <c r="GF368" i="31" s="1"/>
  <c r="LG369" i="31"/>
  <c r="LF369" i="31"/>
  <c r="AI369" i="31"/>
  <c r="LJ367" i="31"/>
  <c r="AM369" i="31"/>
  <c r="AN369" i="31" s="1"/>
  <c r="AO369" i="31" s="1"/>
  <c r="AP369" i="31" s="1"/>
  <c r="MH362" i="31" l="1"/>
  <c r="MI362" i="31"/>
  <c r="MP362" i="31" s="1"/>
  <c r="MH363" i="31"/>
  <c r="MG364" i="31"/>
  <c r="MK364" i="31" s="1"/>
  <c r="PF364" i="31"/>
  <c r="MI363" i="31"/>
  <c r="MP363" i="31" s="1"/>
  <c r="MM362" i="31"/>
  <c r="MN362" i="31" s="1"/>
  <c r="MM363" i="31"/>
  <c r="MN363" i="31" s="1"/>
  <c r="LL366" i="31"/>
  <c r="LO366" i="31" s="1"/>
  <c r="LE367" i="31"/>
  <c r="ML363" i="31"/>
  <c r="LT365" i="31"/>
  <c r="ME365" i="31" s="1"/>
  <c r="LS365" i="31"/>
  <c r="LY365" i="31" s="1"/>
  <c r="MA365" i="31" s="1"/>
  <c r="LR365" i="31"/>
  <c r="LX365" i="31" s="1"/>
  <c r="LZ365" i="31" s="1"/>
  <c r="LJ368" i="31"/>
  <c r="LI369" i="31"/>
  <c r="GD369" i="31" s="1"/>
  <c r="GE369" i="31" s="1"/>
  <c r="GF369" i="31" s="1"/>
  <c r="LH369" i="31"/>
  <c r="LK369" i="31"/>
  <c r="AJ370" i="31"/>
  <c r="LF370" i="31"/>
  <c r="AI370" i="31"/>
  <c r="LG370" i="31"/>
  <c r="AM370" i="31"/>
  <c r="AN370" i="31" s="1"/>
  <c r="AO370" i="31" s="1"/>
  <c r="AP370" i="31" s="1"/>
  <c r="MH364" i="31" l="1"/>
  <c r="MI364" i="31"/>
  <c r="MP364" i="31" s="1"/>
  <c r="MG365" i="31"/>
  <c r="MK365" i="31" s="1"/>
  <c r="PF365" i="31"/>
  <c r="MM364" i="31"/>
  <c r="MN364" i="31" s="1"/>
  <c r="LQ366" i="31"/>
  <c r="LL367" i="31"/>
  <c r="LO367" i="31" s="1"/>
  <c r="LQ367" i="31" s="1"/>
  <c r="LS367" i="31" s="1"/>
  <c r="LY367" i="31" s="1"/>
  <c r="MA367" i="31" s="1"/>
  <c r="LE368" i="31"/>
  <c r="ML364" i="31"/>
  <c r="LH370" i="31"/>
  <c r="LK370" i="31"/>
  <c r="LI370" i="31"/>
  <c r="GD370" i="31" s="1"/>
  <c r="GE370" i="31" s="1"/>
  <c r="GF370" i="31" s="1"/>
  <c r="LJ369" i="31"/>
  <c r="MH365" i="31" l="1"/>
  <c r="MI365" i="31"/>
  <c r="MP365" i="31" s="1"/>
  <c r="MM365" i="31"/>
  <c r="MN365" i="31" s="1"/>
  <c r="LR367" i="31"/>
  <c r="LX367" i="31" s="1"/>
  <c r="LZ367" i="31" s="1"/>
  <c r="LT367" i="31"/>
  <c r="ME367" i="31" s="1"/>
  <c r="LR366" i="31"/>
  <c r="LX366" i="31" s="1"/>
  <c r="LZ366" i="31" s="1"/>
  <c r="LS366" i="31"/>
  <c r="LY366" i="31" s="1"/>
  <c r="MA366" i="31" s="1"/>
  <c r="LT366" i="31"/>
  <c r="ME366" i="31" s="1"/>
  <c r="LL368" i="31"/>
  <c r="LO368" i="31" s="1"/>
  <c r="LQ368" i="31" s="1"/>
  <c r="ML365" i="31"/>
  <c r="LE369" i="31"/>
  <c r="LJ370" i="31"/>
  <c r="MG367" i="31" l="1"/>
  <c r="MH367" i="31" s="1"/>
  <c r="PF367" i="31"/>
  <c r="MG366" i="31"/>
  <c r="MI366" i="31" s="1"/>
  <c r="MP366" i="31" s="1"/>
  <c r="PF366" i="31"/>
  <c r="LL369" i="31"/>
  <c r="LO369" i="31" s="1"/>
  <c r="LQ369" i="31" s="1"/>
  <c r="LS369" i="31" s="1"/>
  <c r="LY369" i="31" s="1"/>
  <c r="MA369" i="31" s="1"/>
  <c r="LR368" i="31"/>
  <c r="LX368" i="31" s="1"/>
  <c r="LZ368" i="31" s="1"/>
  <c r="LT368" i="31"/>
  <c r="ME368" i="31" s="1"/>
  <c r="LE370" i="31"/>
  <c r="LS368" i="31"/>
  <c r="LY368" i="31" s="1"/>
  <c r="MA368" i="31" s="1"/>
  <c r="MI367" i="31" l="1"/>
  <c r="MP367" i="31" s="1"/>
  <c r="MH366" i="31"/>
  <c r="MK366" i="31"/>
  <c r="ML366" i="31" s="1"/>
  <c r="MK367" i="31"/>
  <c r="ML367" i="31" s="1"/>
  <c r="MG368" i="31"/>
  <c r="MK368" i="31" s="1"/>
  <c r="PF368" i="31"/>
  <c r="LR369" i="31"/>
  <c r="LX369" i="31" s="1"/>
  <c r="LZ369" i="31" s="1"/>
  <c r="LT369" i="31"/>
  <c r="ME369" i="31" s="1"/>
  <c r="LL370" i="31"/>
  <c r="LO370" i="31" s="1"/>
  <c r="LQ370" i="31" s="1"/>
  <c r="LR370" i="31" s="1"/>
  <c r="LX370" i="31" s="1"/>
  <c r="LZ370" i="31" s="1"/>
  <c r="MM366" i="31" l="1"/>
  <c r="MN366" i="31" s="1"/>
  <c r="MM367" i="31"/>
  <c r="MN367" i="31" s="1"/>
  <c r="MH368" i="31"/>
  <c r="MI368" i="31"/>
  <c r="MP368" i="31" s="1"/>
  <c r="MG369" i="31"/>
  <c r="MH369" i="31" s="1"/>
  <c r="PF369" i="31"/>
  <c r="MM368" i="31"/>
  <c r="MN368" i="31" s="1"/>
  <c r="LS370" i="31"/>
  <c r="LY370" i="31" s="1"/>
  <c r="MA370" i="31" s="1"/>
  <c r="LT370" i="31"/>
  <c r="ME370" i="31" s="1"/>
  <c r="ML368" i="31"/>
  <c r="MK369" i="31" l="1"/>
  <c r="ML369" i="31" s="1"/>
  <c r="MI369" i="31"/>
  <c r="MP369" i="31" s="1"/>
  <c r="MG370" i="31"/>
  <c r="MH370" i="31" s="1"/>
  <c r="PF370" i="31"/>
  <c r="PB348" i="31"/>
  <c r="PB204" i="31"/>
  <c r="PB97" i="31"/>
  <c r="PB139" i="31"/>
  <c r="PB322" i="31"/>
  <c r="PB189" i="31"/>
  <c r="PB281" i="31"/>
  <c r="PB105" i="31"/>
  <c r="PB242" i="31"/>
  <c r="PB65" i="31"/>
  <c r="PB319" i="31"/>
  <c r="PB271" i="31"/>
  <c r="PB127" i="31"/>
  <c r="PB298" i="31"/>
  <c r="PB301" i="31"/>
  <c r="PB233" i="31"/>
  <c r="PB362" i="31"/>
  <c r="PB104" i="31"/>
  <c r="PB367" i="31"/>
  <c r="PB124" i="31"/>
  <c r="PB353" i="31"/>
  <c r="PB192" i="31"/>
  <c r="PB200" i="31"/>
  <c r="PB173" i="31"/>
  <c r="PB364" i="31"/>
  <c r="PB195" i="31"/>
  <c r="PB137" i="31"/>
  <c r="PB215" i="31"/>
  <c r="PB169" i="31"/>
  <c r="PB138" i="31"/>
  <c r="PB81" i="31"/>
  <c r="PB85" i="31"/>
  <c r="PB162" i="31"/>
  <c r="PB202" i="31"/>
  <c r="PB342" i="31"/>
  <c r="PB313" i="31"/>
  <c r="PB197" i="31"/>
  <c r="PB76" i="31"/>
  <c r="PB73" i="31"/>
  <c r="PB211" i="31"/>
  <c r="PB174" i="31"/>
  <c r="PB324" i="31"/>
  <c r="PB83" i="31"/>
  <c r="PB295" i="31"/>
  <c r="PB167" i="31"/>
  <c r="PB284" i="31"/>
  <c r="PB170" i="31"/>
  <c r="PB252" i="31"/>
  <c r="PB352" i="31"/>
  <c r="PB264" i="31"/>
  <c r="PB210" i="31"/>
  <c r="PB143" i="31"/>
  <c r="PB103" i="31"/>
  <c r="PB152" i="31"/>
  <c r="PB121" i="31"/>
  <c r="PB171" i="31"/>
  <c r="PB344" i="31"/>
  <c r="PB101" i="31"/>
  <c r="PB199" i="31"/>
  <c r="PB350" i="31"/>
  <c r="PB129" i="31"/>
  <c r="PB287" i="31"/>
  <c r="PB168" i="31"/>
  <c r="PB302" i="31"/>
  <c r="PB156" i="31"/>
  <c r="PB159" i="31"/>
  <c r="PB165" i="31"/>
  <c r="PB320" i="31"/>
  <c r="PB245" i="31"/>
  <c r="PB234" i="31"/>
  <c r="PB91" i="31"/>
  <c r="PB130" i="31"/>
  <c r="PB325" i="31"/>
  <c r="PB191" i="31"/>
  <c r="PB244" i="31"/>
  <c r="PB203" i="31"/>
  <c r="PB149" i="31"/>
  <c r="PB227" i="31"/>
  <c r="PB96" i="31"/>
  <c r="PB235" i="31"/>
  <c r="PB146" i="31"/>
  <c r="PB148" i="31"/>
  <c r="PB332" i="31"/>
  <c r="PB108" i="31"/>
  <c r="PB273" i="31"/>
  <c r="PB328" i="31"/>
  <c r="PB154" i="31"/>
  <c r="PB213" i="31"/>
  <c r="PB184" i="31"/>
  <c r="PB267" i="31"/>
  <c r="PB305" i="31"/>
  <c r="PB153" i="31"/>
  <c r="PB307" i="31"/>
  <c r="PB334" i="31"/>
  <c r="PB70" i="31"/>
  <c r="PB272" i="31"/>
  <c r="PB232" i="31"/>
  <c r="PB335" i="31"/>
  <c r="PB294" i="31"/>
  <c r="PB180" i="31"/>
  <c r="PB351" i="31"/>
  <c r="PB151" i="31"/>
  <c r="PB345" i="31"/>
  <c r="PB243" i="31"/>
  <c r="PB347" i="31"/>
  <c r="PB111" i="31"/>
  <c r="PB370" i="31"/>
  <c r="PB259" i="31"/>
  <c r="PB115" i="31"/>
  <c r="PB217" i="31"/>
  <c r="PB132" i="31"/>
  <c r="PB339" i="31"/>
  <c r="PB336" i="31"/>
  <c r="PB219" i="31"/>
  <c r="PB291" i="31"/>
  <c r="PB175" i="31"/>
  <c r="PB306" i="31"/>
  <c r="PB89" i="31"/>
  <c r="PB72" i="31"/>
  <c r="PB109" i="31"/>
  <c r="PB311" i="31"/>
  <c r="PB254" i="31"/>
  <c r="PB118" i="31"/>
  <c r="PB145" i="31"/>
  <c r="PB140" i="31"/>
  <c r="PB142" i="31"/>
  <c r="PB288" i="31"/>
  <c r="PB179" i="31"/>
  <c r="PB330" i="31"/>
  <c r="PB196" i="31"/>
  <c r="PB222" i="31"/>
  <c r="PB368" i="31"/>
  <c r="PB285" i="31"/>
  <c r="PB266" i="31"/>
  <c r="PB358" i="31"/>
  <c r="PB321" i="31"/>
  <c r="PB247" i="31"/>
  <c r="PB190" i="31"/>
  <c r="PB113" i="31"/>
  <c r="PB274" i="31"/>
  <c r="PB326" i="31"/>
  <c r="PB269" i="31"/>
  <c r="PB176" i="31"/>
  <c r="PB341" i="31"/>
  <c r="PB359" i="31"/>
  <c r="PB185" i="31"/>
  <c r="PB292" i="31"/>
  <c r="PB128" i="31"/>
  <c r="PB147" i="31"/>
  <c r="PB150" i="31"/>
  <c r="PB240" i="31"/>
  <c r="PB277" i="31"/>
  <c r="PB261" i="31"/>
  <c r="PB112" i="31"/>
  <c r="PB79" i="31"/>
  <c r="PB120" i="31"/>
  <c r="PB134" i="31"/>
  <c r="PB77" i="31"/>
  <c r="PB296" i="31"/>
  <c r="PB286" i="31"/>
  <c r="PB304" i="31"/>
  <c r="PB230" i="31"/>
  <c r="PB253" i="31"/>
  <c r="PB131" i="31"/>
  <c r="PB161" i="31"/>
  <c r="PB216" i="31"/>
  <c r="PB262" i="31"/>
  <c r="PB155" i="31"/>
  <c r="PB366" i="31"/>
  <c r="PB157" i="31"/>
  <c r="PB340" i="31"/>
  <c r="PB90" i="31"/>
  <c r="PB181" i="31"/>
  <c r="PB107" i="31"/>
  <c r="PB346" i="31"/>
  <c r="PB94" i="31"/>
  <c r="PB102" i="31"/>
  <c r="PB224" i="31"/>
  <c r="PB122" i="31"/>
  <c r="PB194" i="31"/>
  <c r="PB369" i="31"/>
  <c r="PB270" i="31"/>
  <c r="PB282" i="31"/>
  <c r="PB309" i="31"/>
  <c r="PB280" i="31"/>
  <c r="PB87" i="31"/>
  <c r="PB187" i="31"/>
  <c r="PB166" i="31"/>
  <c r="PB260" i="31"/>
  <c r="PB249" i="31"/>
  <c r="PB218" i="31"/>
  <c r="PB177" i="31"/>
  <c r="PB246" i="31"/>
  <c r="PB221" i="31"/>
  <c r="PB329" i="31"/>
  <c r="PB160" i="31"/>
  <c r="PB82" i="31"/>
  <c r="PB318" i="31"/>
  <c r="PB363" i="31"/>
  <c r="PB314" i="31"/>
  <c r="PB231" i="31"/>
  <c r="PB209" i="31"/>
  <c r="PB278" i="31"/>
  <c r="PB357" i="31"/>
  <c r="PB248" i="31"/>
  <c r="PB93" i="31"/>
  <c r="PB178" i="31"/>
  <c r="PB338" i="31"/>
  <c r="PB289" i="31"/>
  <c r="PB119" i="31"/>
  <c r="PB68" i="31"/>
  <c r="PB141" i="31"/>
  <c r="PB207" i="31"/>
  <c r="PB354" i="31"/>
  <c r="PB88" i="31"/>
  <c r="PB110" i="31"/>
  <c r="PB84" i="31"/>
  <c r="PB279" i="31"/>
  <c r="PB228" i="31"/>
  <c r="PB308" i="31"/>
  <c r="PB316" i="31"/>
  <c r="PB223" i="31"/>
  <c r="PB275" i="31"/>
  <c r="PB201" i="31"/>
  <c r="PB123" i="31"/>
  <c r="PB69" i="31"/>
  <c r="PB125" i="31"/>
  <c r="PB133" i="31"/>
  <c r="PB229" i="31"/>
  <c r="PB256" i="31"/>
  <c r="PB78" i="31"/>
  <c r="PB258" i="31"/>
  <c r="PB99" i="31"/>
  <c r="PB283" i="31"/>
  <c r="PB255" i="31"/>
  <c r="PB356" i="31"/>
  <c r="PB327" i="31"/>
  <c r="PB205" i="31"/>
  <c r="PB331" i="31"/>
  <c r="PB164" i="31"/>
  <c r="PB220" i="31"/>
  <c r="PB360" i="31"/>
  <c r="PB193" i="31"/>
  <c r="PB257" i="31"/>
  <c r="PB158" i="31"/>
  <c r="PB183" i="31"/>
  <c r="PB95" i="31"/>
  <c r="PB226" i="31"/>
  <c r="PB182" i="31"/>
  <c r="PB355" i="31"/>
  <c r="PB206" i="31"/>
  <c r="PB239" i="31"/>
  <c r="PB293" i="31"/>
  <c r="PB303" i="31"/>
  <c r="PB337" i="31"/>
  <c r="PB80" i="31"/>
  <c r="PB198" i="31"/>
  <c r="PB208" i="31"/>
  <c r="PB343" i="31"/>
  <c r="PB297" i="31"/>
  <c r="PB361" i="31"/>
  <c r="PB74" i="31"/>
  <c r="PB225" i="31"/>
  <c r="PB276" i="31"/>
  <c r="PB172" i="31"/>
  <c r="PB265" i="31"/>
  <c r="PB135" i="31"/>
  <c r="PB310" i="31"/>
  <c r="PB237" i="31"/>
  <c r="PB186" i="31"/>
  <c r="PB144" i="31"/>
  <c r="PB66" i="31"/>
  <c r="PB238" i="31"/>
  <c r="PB98" i="31"/>
  <c r="PB290" i="31"/>
  <c r="PB106" i="31"/>
  <c r="PB212" i="31"/>
  <c r="PB263" i="31"/>
  <c r="PB241" i="31"/>
  <c r="PB300" i="31"/>
  <c r="PB71" i="31"/>
  <c r="PB67" i="31"/>
  <c r="PB214" i="31"/>
  <c r="PB126" i="31"/>
  <c r="PB100" i="31"/>
  <c r="PB116" i="31"/>
  <c r="PB323" i="31"/>
  <c r="PB299" i="31"/>
  <c r="PB136" i="31"/>
  <c r="PB236" i="31"/>
  <c r="PB250" i="31"/>
  <c r="PB333" i="31"/>
  <c r="PB315" i="31"/>
  <c r="PB86" i="31"/>
  <c r="PB317" i="31"/>
  <c r="PB349" i="31"/>
  <c r="PB75" i="31"/>
  <c r="PB251" i="31"/>
  <c r="PB163" i="31"/>
  <c r="PB365" i="31"/>
  <c r="PB92" i="31"/>
  <c r="PB268" i="31"/>
  <c r="PB188" i="31"/>
  <c r="PB114" i="31"/>
  <c r="PB312" i="31"/>
  <c r="PB117" i="31"/>
  <c r="MM369" i="31" l="1"/>
  <c r="MN369" i="31" s="1"/>
  <c r="MK370" i="31"/>
  <c r="MM370" i="31" s="1"/>
  <c r="MN370" i="31" s="1"/>
  <c r="MI370" i="31"/>
  <c r="MP370" i="31" s="1"/>
  <c r="V12" i="31"/>
  <c r="V8" i="31"/>
  <c r="V11" i="31"/>
  <c r="V14" i="31"/>
  <c r="V13" i="31"/>
  <c r="V10" i="31"/>
  <c r="V9" i="31"/>
  <c r="V6" i="31"/>
  <c r="HE6" i="31" s="1"/>
  <c r="V7" i="31"/>
  <c r="V18" i="31"/>
  <c r="V23" i="31"/>
  <c r="V31" i="31"/>
  <c r="V39" i="31"/>
  <c r="V36" i="31"/>
  <c r="V25" i="31"/>
  <c r="V24" i="31"/>
  <c r="V60" i="31"/>
  <c r="V58" i="31"/>
  <c r="V49" i="31"/>
  <c r="V41" i="31"/>
  <c r="V63" i="31"/>
  <c r="V62" i="31"/>
  <c r="V56" i="31"/>
  <c r="V46" i="31"/>
  <c r="V28" i="31"/>
  <c r="V55" i="31"/>
  <c r="V51" i="31"/>
  <c r="V44" i="31"/>
  <c r="V43" i="31"/>
  <c r="V33" i="31"/>
  <c r="V35" i="31"/>
  <c r="V19" i="31"/>
  <c r="V16" i="31"/>
  <c r="V48" i="31"/>
  <c r="V40" i="31"/>
  <c r="V32" i="31"/>
  <c r="V22" i="31"/>
  <c r="V52" i="31"/>
  <c r="V57" i="31"/>
  <c r="V38" i="31"/>
  <c r="V30" i="31"/>
  <c r="V26" i="31"/>
  <c r="V15" i="31"/>
  <c r="V53" i="31"/>
  <c r="V59" i="31"/>
  <c r="V64" i="31"/>
  <c r="V45" i="31"/>
  <c r="V17" i="31"/>
  <c r="V37" i="31"/>
  <c r="V34" i="31"/>
  <c r="V29" i="31"/>
  <c r="V20" i="31"/>
  <c r="V47" i="31"/>
  <c r="V21" i="31"/>
  <c r="V54" i="31"/>
  <c r="V42" i="31"/>
  <c r="V61" i="31"/>
  <c r="V50" i="31"/>
  <c r="V27" i="31"/>
  <c r="II65" i="31"/>
  <c r="II66" i="31" s="1"/>
  <c r="II67" i="31" s="1"/>
  <c r="II68" i="31" s="1"/>
  <c r="II69" i="31" s="1"/>
  <c r="II70" i="31" s="1"/>
  <c r="II71" i="31" s="1"/>
  <c r="II72" i="31" s="1"/>
  <c r="II73" i="31" s="1"/>
  <c r="II74" i="31" s="1"/>
  <c r="II75" i="31" s="1"/>
  <c r="II76" i="31" s="1"/>
  <c r="II77" i="31" s="1"/>
  <c r="II78" i="31" s="1"/>
  <c r="II79" i="31" s="1"/>
  <c r="II80" i="31" s="1"/>
  <c r="II81" i="31" s="1"/>
  <c r="II82" i="31" s="1"/>
  <c r="II83" i="31" s="1"/>
  <c r="II84" i="31" s="1"/>
  <c r="II85" i="31" s="1"/>
  <c r="II86" i="31" s="1"/>
  <c r="II87" i="31" s="1"/>
  <c r="II88" i="31" s="1"/>
  <c r="II89" i="31" s="1"/>
  <c r="II90" i="31" s="1"/>
  <c r="II91" i="31" s="1"/>
  <c r="II92" i="31" s="1"/>
  <c r="II93" i="31" s="1"/>
  <c r="II94" i="31" s="1"/>
  <c r="II95" i="31" s="1"/>
  <c r="II96" i="31" s="1"/>
  <c r="II97" i="31" s="1"/>
  <c r="II98" i="31" s="1"/>
  <c r="II99" i="31" s="1"/>
  <c r="II100" i="31" s="1"/>
  <c r="II101" i="31" s="1"/>
  <c r="II102" i="31" s="1"/>
  <c r="II103" i="31" s="1"/>
  <c r="II104" i="31" s="1"/>
  <c r="II105" i="31" s="1"/>
  <c r="II106" i="31" s="1"/>
  <c r="II107" i="31" s="1"/>
  <c r="II108" i="31" s="1"/>
  <c r="II109" i="31" s="1"/>
  <c r="II110" i="31" s="1"/>
  <c r="II111" i="31" s="1"/>
  <c r="II112" i="31" s="1"/>
  <c r="II113" i="31" s="1"/>
  <c r="II114" i="31" s="1"/>
  <c r="II115" i="31" s="1"/>
  <c r="II116" i="31" s="1"/>
  <c r="II117" i="31" s="1"/>
  <c r="II118" i="31" s="1"/>
  <c r="II119" i="31" s="1"/>
  <c r="II120" i="31" s="1"/>
  <c r="II121" i="31" s="1"/>
  <c r="II122" i="31" s="1"/>
  <c r="II123" i="31" s="1"/>
  <c r="II124" i="31" s="1"/>
  <c r="II125" i="31" s="1"/>
  <c r="II126" i="31" s="1"/>
  <c r="II127" i="31" s="1"/>
  <c r="II128" i="31" s="1"/>
  <c r="II129" i="31" s="1"/>
  <c r="II130" i="31" s="1"/>
  <c r="II131" i="31" s="1"/>
  <c r="II132" i="31" s="1"/>
  <c r="II133" i="31" s="1"/>
  <c r="II134" i="31" s="1"/>
  <c r="II135" i="31" s="1"/>
  <c r="II136" i="31" s="1"/>
  <c r="II137" i="31" s="1"/>
  <c r="II138" i="31" s="1"/>
  <c r="II139" i="31" s="1"/>
  <c r="II140" i="31" s="1"/>
  <c r="II141" i="31" s="1"/>
  <c r="II142" i="31" s="1"/>
  <c r="II143" i="31" s="1"/>
  <c r="II144" i="31" s="1"/>
  <c r="II145" i="31" s="1"/>
  <c r="II146" i="31" s="1"/>
  <c r="II147" i="31" s="1"/>
  <c r="II148" i="31" s="1"/>
  <c r="II149" i="31" s="1"/>
  <c r="II150" i="31" s="1"/>
  <c r="II151" i="31" s="1"/>
  <c r="II152" i="31" s="1"/>
  <c r="II153" i="31" s="1"/>
  <c r="II154" i="31" s="1"/>
  <c r="II155" i="31" s="1"/>
  <c r="II156" i="31" s="1"/>
  <c r="II157" i="31" s="1"/>
  <c r="II158" i="31" s="1"/>
  <c r="II159" i="31" s="1"/>
  <c r="II160" i="31" s="1"/>
  <c r="II161" i="31" s="1"/>
  <c r="II162" i="31" s="1"/>
  <c r="II163" i="31" s="1"/>
  <c r="II164" i="31" s="1"/>
  <c r="II165" i="31" s="1"/>
  <c r="II166" i="31" s="1"/>
  <c r="II167" i="31" s="1"/>
  <c r="II168" i="31" s="1"/>
  <c r="II169" i="31" s="1"/>
  <c r="II170" i="31" s="1"/>
  <c r="II171" i="31" s="1"/>
  <c r="II172" i="31" s="1"/>
  <c r="II173" i="31" s="1"/>
  <c r="II174" i="31" s="1"/>
  <c r="II175" i="31" s="1"/>
  <c r="II176" i="31" s="1"/>
  <c r="II177" i="31" s="1"/>
  <c r="II178" i="31" s="1"/>
  <c r="II179" i="31" s="1"/>
  <c r="II180" i="31" s="1"/>
  <c r="II181" i="31" s="1"/>
  <c r="II182" i="31" s="1"/>
  <c r="II183" i="31" s="1"/>
  <c r="II184" i="31" s="1"/>
  <c r="II185" i="31" s="1"/>
  <c r="II186" i="31" s="1"/>
  <c r="II187" i="31" s="1"/>
  <c r="II188" i="31" s="1"/>
  <c r="II189" i="31" s="1"/>
  <c r="II190" i="31" s="1"/>
  <c r="II191" i="31" s="1"/>
  <c r="II192" i="31" s="1"/>
  <c r="II193" i="31" s="1"/>
  <c r="II194" i="31" s="1"/>
  <c r="II195" i="31" s="1"/>
  <c r="II196" i="31" s="1"/>
  <c r="II197" i="31" s="1"/>
  <c r="II198" i="31" s="1"/>
  <c r="II199" i="31" s="1"/>
  <c r="II200" i="31" s="1"/>
  <c r="II201" i="31" s="1"/>
  <c r="II202" i="31" s="1"/>
  <c r="II203" i="31" s="1"/>
  <c r="II204" i="31" s="1"/>
  <c r="II205" i="31" s="1"/>
  <c r="II206" i="31" s="1"/>
  <c r="II207" i="31" s="1"/>
  <c r="II208" i="31" s="1"/>
  <c r="II209" i="31" s="1"/>
  <c r="II210" i="31" s="1"/>
  <c r="II211" i="31" s="1"/>
  <c r="II212" i="31" s="1"/>
  <c r="II213" i="31" s="1"/>
  <c r="II214" i="31" s="1"/>
  <c r="II215" i="31" s="1"/>
  <c r="II216" i="31" s="1"/>
  <c r="II217" i="31" s="1"/>
  <c r="II218" i="31" s="1"/>
  <c r="II219" i="31" s="1"/>
  <c r="II220" i="31" s="1"/>
  <c r="II221" i="31" s="1"/>
  <c r="II222" i="31" s="1"/>
  <c r="II223" i="31" s="1"/>
  <c r="II224" i="31" s="1"/>
  <c r="II225" i="31" s="1"/>
  <c r="II226" i="31" s="1"/>
  <c r="II227" i="31" s="1"/>
  <c r="II228" i="31" s="1"/>
  <c r="II229" i="31" s="1"/>
  <c r="II230" i="31" s="1"/>
  <c r="II231" i="31" s="1"/>
  <c r="II232" i="31" s="1"/>
  <c r="II233" i="31" s="1"/>
  <c r="II234" i="31" s="1"/>
  <c r="II235" i="31" s="1"/>
  <c r="II236" i="31" s="1"/>
  <c r="II237" i="31" s="1"/>
  <c r="II238" i="31" s="1"/>
  <c r="II239" i="31" s="1"/>
  <c r="II240" i="31" s="1"/>
  <c r="II241" i="31" s="1"/>
  <c r="II242" i="31" s="1"/>
  <c r="II243" i="31" s="1"/>
  <c r="II244" i="31" s="1"/>
  <c r="II245" i="31" s="1"/>
  <c r="II246" i="31" s="1"/>
  <c r="II247" i="31" s="1"/>
  <c r="II248" i="31" s="1"/>
  <c r="II249" i="31" s="1"/>
  <c r="II250" i="31" s="1"/>
  <c r="II251" i="31" s="1"/>
  <c r="II252" i="31" s="1"/>
  <c r="II253" i="31" s="1"/>
  <c r="II254" i="31" s="1"/>
  <c r="II255" i="31" s="1"/>
  <c r="II256" i="31" s="1"/>
  <c r="II257" i="31" s="1"/>
  <c r="II258" i="31" s="1"/>
  <c r="II259" i="31" s="1"/>
  <c r="II260" i="31" s="1"/>
  <c r="II261" i="31" s="1"/>
  <c r="II262" i="31" s="1"/>
  <c r="II263" i="31" s="1"/>
  <c r="II264" i="31" s="1"/>
  <c r="II265" i="31" s="1"/>
  <c r="II266" i="31" s="1"/>
  <c r="II267" i="31" s="1"/>
  <c r="II268" i="31" s="1"/>
  <c r="II269" i="31" s="1"/>
  <c r="II270" i="31" s="1"/>
  <c r="II271" i="31" s="1"/>
  <c r="II272" i="31" s="1"/>
  <c r="II273" i="31" s="1"/>
  <c r="II274" i="31" s="1"/>
  <c r="II275" i="31" s="1"/>
  <c r="II276" i="31" s="1"/>
  <c r="II277" i="31" s="1"/>
  <c r="II278" i="31" s="1"/>
  <c r="II279" i="31" s="1"/>
  <c r="II280" i="31" s="1"/>
  <c r="II281" i="31" s="1"/>
  <c r="II282" i="31" s="1"/>
  <c r="II283" i="31" s="1"/>
  <c r="II284" i="31" s="1"/>
  <c r="II285" i="31" s="1"/>
  <c r="II286" i="31" s="1"/>
  <c r="II287" i="31" s="1"/>
  <c r="II288" i="31" s="1"/>
  <c r="II289" i="31" s="1"/>
  <c r="II290" i="31" s="1"/>
  <c r="II291" i="31" s="1"/>
  <c r="II292" i="31" s="1"/>
  <c r="II293" i="31" s="1"/>
  <c r="II294" i="31" s="1"/>
  <c r="II295" i="31" s="1"/>
  <c r="II296" i="31" s="1"/>
  <c r="II297" i="31" s="1"/>
  <c r="II298" i="31" s="1"/>
  <c r="II299" i="31" s="1"/>
  <c r="II300" i="31" s="1"/>
  <c r="II301" i="31" s="1"/>
  <c r="II302" i="31" s="1"/>
  <c r="II303" i="31" s="1"/>
  <c r="II304" i="31" s="1"/>
  <c r="II305" i="31" s="1"/>
  <c r="II306" i="31" s="1"/>
  <c r="II307" i="31" s="1"/>
  <c r="II308" i="31" s="1"/>
  <c r="II309" i="31" s="1"/>
  <c r="II310" i="31" s="1"/>
  <c r="II311" i="31" s="1"/>
  <c r="II312" i="31" s="1"/>
  <c r="II313" i="31" s="1"/>
  <c r="II314" i="31" s="1"/>
  <c r="II315" i="31" s="1"/>
  <c r="II316" i="31" s="1"/>
  <c r="II317" i="31" s="1"/>
  <c r="II318" i="31" s="1"/>
  <c r="II319" i="31" s="1"/>
  <c r="II320" i="31" s="1"/>
  <c r="II321" i="31" s="1"/>
  <c r="II322" i="31" s="1"/>
  <c r="II323" i="31" s="1"/>
  <c r="II324" i="31" s="1"/>
  <c r="II325" i="31" s="1"/>
  <c r="II326" i="31" s="1"/>
  <c r="II327" i="31" s="1"/>
  <c r="II328" i="31" s="1"/>
  <c r="II329" i="31" s="1"/>
  <c r="II330" i="31" s="1"/>
  <c r="II331" i="31" s="1"/>
  <c r="II332" i="31" s="1"/>
  <c r="II333" i="31" s="1"/>
  <c r="II334" i="31" s="1"/>
  <c r="II335" i="31" s="1"/>
  <c r="II336" i="31" s="1"/>
  <c r="II337" i="31" s="1"/>
  <c r="II338" i="31" s="1"/>
  <c r="II339" i="31" s="1"/>
  <c r="II340" i="31" s="1"/>
  <c r="II341" i="31" s="1"/>
  <c r="II342" i="31" s="1"/>
  <c r="II343" i="31" s="1"/>
  <c r="II344" i="31" s="1"/>
  <c r="II345" i="31" s="1"/>
  <c r="II346" i="31" s="1"/>
  <c r="II347" i="31" s="1"/>
  <c r="II348" i="31" s="1"/>
  <c r="II349" i="31" s="1"/>
  <c r="II350" i="31" s="1"/>
  <c r="II351" i="31" s="1"/>
  <c r="II352" i="31" s="1"/>
  <c r="II353" i="31" s="1"/>
  <c r="II354" i="31" s="1"/>
  <c r="II355" i="31" s="1"/>
  <c r="II356" i="31" s="1"/>
  <c r="II357" i="31" s="1"/>
  <c r="II358" i="31" s="1"/>
  <c r="II359" i="31" s="1"/>
  <c r="II360" i="31" s="1"/>
  <c r="II361" i="31" s="1"/>
  <c r="II362" i="31" s="1"/>
  <c r="II363" i="31" s="1"/>
  <c r="II364" i="31" s="1"/>
  <c r="II365" i="31" s="1"/>
  <c r="II366" i="31" s="1"/>
  <c r="II367" i="31" s="1"/>
  <c r="II368" i="31" s="1"/>
  <c r="II369" i="31" s="1"/>
  <c r="II370" i="31" s="1"/>
  <c r="V75" i="31"/>
  <c r="V100" i="31"/>
  <c r="V269" i="31"/>
  <c r="V346" i="31"/>
  <c r="V197" i="31"/>
  <c r="V218" i="31"/>
  <c r="V227" i="31"/>
  <c r="V342" i="31"/>
  <c r="V206" i="31"/>
  <c r="V287" i="31"/>
  <c r="V208" i="31"/>
  <c r="V91" i="31"/>
  <c r="V200" i="31"/>
  <c r="V113" i="31"/>
  <c r="V213" i="31"/>
  <c r="V295" i="31"/>
  <c r="V242" i="31"/>
  <c r="V297" i="31"/>
  <c r="V162" i="31"/>
  <c r="V121" i="31"/>
  <c r="V280" i="31"/>
  <c r="V112" i="31"/>
  <c r="V273" i="31"/>
  <c r="V72" i="31"/>
  <c r="V290" i="31"/>
  <c r="V169" i="31"/>
  <c r="V176" i="31"/>
  <c r="V177" i="31"/>
  <c r="V99" i="31"/>
  <c r="V353" i="31"/>
  <c r="V288" i="31"/>
  <c r="V263" i="31"/>
  <c r="V264" i="31"/>
  <c r="V204" i="31"/>
  <c r="V186" i="31"/>
  <c r="V355" i="31"/>
  <c r="V245" i="31"/>
  <c r="V117" i="31"/>
  <c r="V330" i="31"/>
  <c r="V256" i="31"/>
  <c r="V328" i="31"/>
  <c r="V102" i="31"/>
  <c r="V306" i="31"/>
  <c r="V146" i="31"/>
  <c r="V148" i="31"/>
  <c r="V321" i="31"/>
  <c r="V339" i="31"/>
  <c r="V259" i="31"/>
  <c r="V326" i="31"/>
  <c r="V337" i="31"/>
  <c r="V285" i="31"/>
  <c r="V142" i="31"/>
  <c r="V304" i="31"/>
  <c r="V250" i="31"/>
  <c r="V343" i="31"/>
  <c r="V135" i="31"/>
  <c r="V367" i="31"/>
  <c r="V369" i="31"/>
  <c r="V164" i="31"/>
  <c r="V272" i="31"/>
  <c r="V195" i="31"/>
  <c r="V183" i="31"/>
  <c r="V257" i="31"/>
  <c r="V158" i="31"/>
  <c r="V357" i="31"/>
  <c r="V209" i="31"/>
  <c r="V340" i="31"/>
  <c r="V189" i="31"/>
  <c r="V68" i="31"/>
  <c r="V172" i="31"/>
  <c r="V320" i="31"/>
  <c r="V349" i="31"/>
  <c r="V324" i="31"/>
  <c r="V322" i="31"/>
  <c r="V143" i="31"/>
  <c r="V281" i="31"/>
  <c r="V364" i="31"/>
  <c r="V178" i="31"/>
  <c r="V181" i="31"/>
  <c r="V268" i="31"/>
  <c r="V127" i="31"/>
  <c r="V225" i="31"/>
  <c r="V284" i="31"/>
  <c r="V234" i="31"/>
  <c r="V103" i="31"/>
  <c r="V305" i="31"/>
  <c r="V317" i="31"/>
  <c r="V296" i="31"/>
  <c r="V327" i="31"/>
  <c r="V167" i="31"/>
  <c r="V81" i="31"/>
  <c r="V74" i="31"/>
  <c r="V246" i="31"/>
  <c r="V277" i="31"/>
  <c r="V157" i="31"/>
  <c r="V233" i="31"/>
  <c r="V83" i="31"/>
  <c r="V265" i="31"/>
  <c r="V131" i="31"/>
  <c r="V138" i="31"/>
  <c r="V179" i="31"/>
  <c r="V249" i="31"/>
  <c r="V358" i="31"/>
  <c r="V82" i="31"/>
  <c r="V274" i="31"/>
  <c r="V229" i="31"/>
  <c r="V366" i="31"/>
  <c r="V365" i="31"/>
  <c r="V344" i="31"/>
  <c r="V302" i="31"/>
  <c r="V151" i="31"/>
  <c r="V266" i="31"/>
  <c r="V92" i="31"/>
  <c r="V88" i="31"/>
  <c r="V307" i="31"/>
  <c r="V191" i="31"/>
  <c r="V352" i="31"/>
  <c r="V185" i="31"/>
  <c r="V341" i="31"/>
  <c r="V303" i="31"/>
  <c r="V141" i="31"/>
  <c r="V120" i="31"/>
  <c r="V70" i="31"/>
  <c r="V228" i="31"/>
  <c r="V283" i="31"/>
  <c r="V139" i="31"/>
  <c r="V239" i="31"/>
  <c r="V202" i="31"/>
  <c r="V309" i="31"/>
  <c r="V212" i="31"/>
  <c r="V214" i="31"/>
  <c r="V261" i="31"/>
  <c r="V160" i="31"/>
  <c r="V109" i="31"/>
  <c r="V194" i="31"/>
  <c r="V95" i="31"/>
  <c r="V237" i="31"/>
  <c r="V188" i="31"/>
  <c r="V224" i="31"/>
  <c r="V149" i="31"/>
  <c r="V174" i="31"/>
  <c r="V80" i="31"/>
  <c r="V90" i="31"/>
  <c r="V286" i="31"/>
  <c r="V276" i="31"/>
  <c r="V311" i="31"/>
  <c r="V170" i="31"/>
  <c r="V329" i="31"/>
  <c r="V192" i="31"/>
  <c r="V348" i="31"/>
  <c r="V216" i="31"/>
  <c r="V255" i="31"/>
  <c r="V184" i="31"/>
  <c r="V163" i="31"/>
  <c r="V190" i="31"/>
  <c r="V236" i="31"/>
  <c r="V240" i="31"/>
  <c r="V316" i="31"/>
  <c r="V198" i="31"/>
  <c r="V222" i="31"/>
  <c r="V243" i="31"/>
  <c r="V136" i="31"/>
  <c r="V156" i="31"/>
  <c r="V137" i="31"/>
  <c r="V175" i="31"/>
  <c r="V123" i="31"/>
  <c r="V180" i="31"/>
  <c r="V66" i="31"/>
  <c r="V199" i="31"/>
  <c r="V132" i="31"/>
  <c r="V333" i="31"/>
  <c r="V368" i="31"/>
  <c r="V235" i="31"/>
  <c r="V76" i="31"/>
  <c r="V115" i="31"/>
  <c r="V79" i="31"/>
  <c r="V182" i="31"/>
  <c r="V291" i="31"/>
  <c r="V252" i="31"/>
  <c r="V130" i="31"/>
  <c r="V267" i="31"/>
  <c r="V111" i="31"/>
  <c r="V165" i="31"/>
  <c r="V150" i="31"/>
  <c r="V122" i="31"/>
  <c r="V325" i="31"/>
  <c r="V363" i="31"/>
  <c r="V166" i="31"/>
  <c r="V211" i="31"/>
  <c r="V67" i="31"/>
  <c r="V299" i="31"/>
  <c r="V258" i="31"/>
  <c r="V147" i="31"/>
  <c r="V238" i="31"/>
  <c r="V203" i="31"/>
  <c r="V105" i="31"/>
  <c r="V289" i="31"/>
  <c r="V89" i="31"/>
  <c r="V94" i="31"/>
  <c r="V312" i="31"/>
  <c r="V334" i="31"/>
  <c r="V171" i="31"/>
  <c r="V292" i="31"/>
  <c r="V124" i="31"/>
  <c r="V331" i="31"/>
  <c r="V335" i="31"/>
  <c r="V310" i="31"/>
  <c r="V215" i="31"/>
  <c r="V301" i="31"/>
  <c r="V144" i="31"/>
  <c r="V129" i="31"/>
  <c r="V101" i="31"/>
  <c r="V73" i="31"/>
  <c r="V323" i="31"/>
  <c r="V106" i="31"/>
  <c r="V77" i="31"/>
  <c r="V318" i="31"/>
  <c r="V108" i="31"/>
  <c r="V87" i="31"/>
  <c r="V161" i="31"/>
  <c r="V308" i="31"/>
  <c r="V196" i="31"/>
  <c r="V361" i="31"/>
  <c r="V241" i="31"/>
  <c r="V71" i="31"/>
  <c r="V356" i="31"/>
  <c r="V350" i="31"/>
  <c r="V210" i="31"/>
  <c r="V359" i="31"/>
  <c r="V78" i="31"/>
  <c r="V193" i="31"/>
  <c r="V96" i="31"/>
  <c r="V86" i="31"/>
  <c r="V114" i="31"/>
  <c r="V347" i="31"/>
  <c r="V118" i="31"/>
  <c r="V351" i="31"/>
  <c r="V98" i="31"/>
  <c r="V134" i="31"/>
  <c r="V244" i="31"/>
  <c r="V315" i="31"/>
  <c r="V221" i="31"/>
  <c r="V253" i="31"/>
  <c r="V187" i="31"/>
  <c r="V126" i="31"/>
  <c r="V168" i="31"/>
  <c r="V152" i="31"/>
  <c r="V319" i="31"/>
  <c r="V332" i="31"/>
  <c r="V360" i="31"/>
  <c r="V154" i="31"/>
  <c r="V97" i="31"/>
  <c r="V345" i="31"/>
  <c r="V251" i="31"/>
  <c r="V338" i="31"/>
  <c r="V275" i="31"/>
  <c r="V110" i="31"/>
  <c r="V119" i="31"/>
  <c r="V153" i="31"/>
  <c r="V220" i="31"/>
  <c r="V336" i="31"/>
  <c r="V155" i="31"/>
  <c r="V232" i="31"/>
  <c r="V370" i="31"/>
  <c r="V270" i="31"/>
  <c r="V231" i="31"/>
  <c r="V279" i="31"/>
  <c r="V84" i="31"/>
  <c r="V219" i="31"/>
  <c r="V205" i="31"/>
  <c r="V173" i="31"/>
  <c r="V116" i="31"/>
  <c r="V313" i="31"/>
  <c r="V133" i="31"/>
  <c r="V247" i="31"/>
  <c r="V128" i="31"/>
  <c r="V254" i="31"/>
  <c r="V271" i="31"/>
  <c r="V93" i="31"/>
  <c r="V230" i="31"/>
  <c r="V145" i="31"/>
  <c r="V298" i="31"/>
  <c r="V85" i="31"/>
  <c r="V107" i="31"/>
  <c r="V223" i="31"/>
  <c r="V293" i="31"/>
  <c r="V282" i="31"/>
  <c r="V69" i="31"/>
  <c r="V294" i="31"/>
  <c r="V140" i="31"/>
  <c r="V362" i="31"/>
  <c r="V262" i="31"/>
  <c r="V125" i="31"/>
  <c r="V207" i="31"/>
  <c r="V104" i="31"/>
  <c r="V159" i="31"/>
  <c r="V201" i="31"/>
  <c r="V354" i="31"/>
  <c r="V278" i="31"/>
  <c r="V248" i="31"/>
  <c r="V217" i="31"/>
  <c r="V260" i="31"/>
  <c r="V300" i="31"/>
  <c r="V226" i="31"/>
  <c r="V65" i="31"/>
  <c r="V314" i="31"/>
  <c r="ML370" i="31" l="1"/>
  <c r="HG6" i="31"/>
  <c r="HL6" i="31"/>
  <c r="HF6" i="31"/>
  <c r="HE7" i="31"/>
  <c r="KJ6" i="31" l="1"/>
  <c r="PC6" i="31"/>
  <c r="U6" i="31" s="1"/>
  <c r="HF7" i="31"/>
  <c r="HG7" i="31"/>
  <c r="HL7" i="31"/>
  <c r="HE8" i="31"/>
  <c r="PC7" i="31" l="1"/>
  <c r="HG8" i="31"/>
  <c r="HL8" i="31"/>
  <c r="HE9" i="31"/>
  <c r="HF8" i="31"/>
  <c r="T6" i="31"/>
  <c r="CU7" i="31" s="1"/>
  <c r="CV7" i="31"/>
  <c r="PC8" i="31" l="1"/>
  <c r="HF9" i="31"/>
  <c r="HG9" i="31"/>
  <c r="HL9" i="31"/>
  <c r="HE10" i="31"/>
  <c r="HJ7" i="31"/>
  <c r="U7" i="31"/>
  <c r="CV8" i="31" s="1"/>
  <c r="T7" i="31"/>
  <c r="CU8" i="31" s="1"/>
  <c r="HJ8" i="31" l="1"/>
  <c r="PC9" i="31"/>
  <c r="HG10" i="31"/>
  <c r="HL10" i="31"/>
  <c r="HE11" i="31"/>
  <c r="HF10" i="31"/>
  <c r="T8" i="31"/>
  <c r="CU9" i="31" s="1"/>
  <c r="U8" i="31"/>
  <c r="CV9" i="31" s="1"/>
  <c r="HJ9" i="31" l="1"/>
  <c r="U9" i="31"/>
  <c r="CV10" i="31" s="1"/>
  <c r="T9" i="31"/>
  <c r="CU10" i="31" s="1"/>
  <c r="PC10" i="31"/>
  <c r="HF11" i="31"/>
  <c r="HG11" i="31"/>
  <c r="HL11" i="31"/>
  <c r="HE12" i="31"/>
  <c r="HJ10" i="31" l="1"/>
  <c r="U10" i="31"/>
  <c r="CV11" i="31" s="1"/>
  <c r="T10" i="31"/>
  <c r="CU11" i="31" s="1"/>
  <c r="HL12" i="31"/>
  <c r="HE13" i="31"/>
  <c r="HF12" i="31"/>
  <c r="HG12" i="31"/>
  <c r="PC11" i="31"/>
  <c r="HJ11" i="31" l="1"/>
  <c r="PC12" i="31"/>
  <c r="T11" i="31"/>
  <c r="CU12" i="31" s="1"/>
  <c r="U11" i="31"/>
  <c r="CV12" i="31" s="1"/>
  <c r="HL13" i="31"/>
  <c r="HF13" i="31"/>
  <c r="HG13" i="31"/>
  <c r="HE14" i="31"/>
  <c r="HJ12" i="31" l="1"/>
  <c r="U12" i="31"/>
  <c r="CV13" i="31" s="1"/>
  <c r="T12" i="31"/>
  <c r="CU13" i="31" s="1"/>
  <c r="HG14" i="31"/>
  <c r="HL14" i="31"/>
  <c r="HF14" i="31"/>
  <c r="HE15" i="31"/>
  <c r="PC13" i="31"/>
  <c r="HJ13" i="31" l="1"/>
  <c r="U13" i="31"/>
  <c r="CV14" i="31" s="1"/>
  <c r="T13" i="31"/>
  <c r="CU14" i="31" s="1"/>
  <c r="HG15" i="31"/>
  <c r="HL15" i="31"/>
  <c r="HF15" i="31"/>
  <c r="HE16" i="31"/>
  <c r="PC14" i="31"/>
  <c r="HJ14" i="31" l="1"/>
  <c r="T14" i="31"/>
  <c r="CU15" i="31" s="1"/>
  <c r="U14" i="31"/>
  <c r="CV15" i="31" s="1"/>
  <c r="HE17" i="31"/>
  <c r="HF16" i="31"/>
  <c r="HG16" i="31"/>
  <c r="HL16" i="31"/>
  <c r="PC15" i="31"/>
  <c r="HJ15" i="31" l="1"/>
  <c r="PC16" i="31"/>
  <c r="HL17" i="31"/>
  <c r="HF17" i="31"/>
  <c r="HG17" i="31"/>
  <c r="HE18" i="31"/>
  <c r="T15" i="31"/>
  <c r="CU16" i="31" s="1"/>
  <c r="U15" i="31"/>
  <c r="CV16" i="31" s="1"/>
  <c r="HJ16" i="31" l="1"/>
  <c r="HG18" i="31"/>
  <c r="HE19" i="31"/>
  <c r="HF18" i="31"/>
  <c r="HL18" i="31"/>
  <c r="U16" i="31"/>
  <c r="CV17" i="31" s="1"/>
  <c r="T16" i="31"/>
  <c r="CU17" i="31" s="1"/>
  <c r="PC17" i="31"/>
  <c r="HJ17" i="31" l="1"/>
  <c r="U17" i="31"/>
  <c r="CV18" i="31" s="1"/>
  <c r="T17" i="31"/>
  <c r="CU18" i="31" s="1"/>
  <c r="PC18" i="31"/>
  <c r="HF19" i="31"/>
  <c r="HL19" i="31"/>
  <c r="HE20" i="31"/>
  <c r="HG19" i="31"/>
  <c r="PC19" i="31" l="1"/>
  <c r="HJ18" i="31"/>
  <c r="T18" i="31"/>
  <c r="CU19" i="31" s="1"/>
  <c r="U18" i="31"/>
  <c r="CV19" i="31" s="1"/>
  <c r="HE21" i="31"/>
  <c r="HF20" i="31"/>
  <c r="HG20" i="31"/>
  <c r="HL20" i="31"/>
  <c r="HJ19" i="31" l="1"/>
  <c r="U19" i="31"/>
  <c r="CV20" i="31" s="1"/>
  <c r="T19" i="31"/>
  <c r="CU20" i="31" s="1"/>
  <c r="HL21" i="31"/>
  <c r="HG21" i="31"/>
  <c r="HE22" i="31"/>
  <c r="HF21" i="31"/>
  <c r="PC20" i="31"/>
  <c r="HJ20" i="31" l="1"/>
  <c r="PC21" i="31"/>
  <c r="HE23" i="31"/>
  <c r="HF22" i="31"/>
  <c r="HG22" i="31"/>
  <c r="HL22" i="31"/>
  <c r="T20" i="31"/>
  <c r="CU21" i="31" s="1"/>
  <c r="U20" i="31"/>
  <c r="CV21" i="31" s="1"/>
  <c r="PC22" i="31" l="1"/>
  <c r="HG23" i="31"/>
  <c r="HL23" i="31"/>
  <c r="HF23" i="31"/>
  <c r="HE24" i="31"/>
  <c r="HJ21" i="31"/>
  <c r="U21" i="31"/>
  <c r="CV22" i="31" s="1"/>
  <c r="T21" i="31"/>
  <c r="CU22" i="31" s="1"/>
  <c r="HJ22" i="31" l="1"/>
  <c r="T22" i="31"/>
  <c r="CU23" i="31" s="1"/>
  <c r="U22" i="31"/>
  <c r="CV23" i="31" s="1"/>
  <c r="HE25" i="31"/>
  <c r="HL24" i="31"/>
  <c r="HF24" i="31"/>
  <c r="HG24" i="31"/>
  <c r="PC23" i="31"/>
  <c r="T23" i="31" l="1"/>
  <c r="CU24" i="31" s="1"/>
  <c r="U23" i="31"/>
  <c r="CV24" i="31" s="1"/>
  <c r="PC24" i="31"/>
  <c r="HF25" i="31"/>
  <c r="HG25" i="31"/>
  <c r="HL25" i="31"/>
  <c r="HE26" i="31"/>
  <c r="HJ23" i="31"/>
  <c r="HL26" i="31" l="1"/>
  <c r="HG26" i="31"/>
  <c r="HE27" i="31"/>
  <c r="HF26" i="31"/>
  <c r="U24" i="31"/>
  <c r="CV25" i="31" s="1"/>
  <c r="T24" i="31"/>
  <c r="CU25" i="31" s="1"/>
  <c r="PC25" i="31"/>
  <c r="HJ24" i="31"/>
  <c r="U25" i="31" l="1"/>
  <c r="CV26" i="31" s="1"/>
  <c r="T25" i="31"/>
  <c r="CU26" i="31" s="1"/>
  <c r="HJ25" i="31"/>
  <c r="PC26" i="31"/>
  <c r="HL27" i="31"/>
  <c r="HF27" i="31"/>
  <c r="HE28" i="31"/>
  <c r="HG27" i="31"/>
  <c r="U26" i="31" l="1"/>
  <c r="CV27" i="31" s="1"/>
  <c r="T26" i="31"/>
  <c r="CU27" i="31" s="1"/>
  <c r="HJ26" i="31"/>
  <c r="HL28" i="31"/>
  <c r="HE29" i="31"/>
  <c r="HG28" i="31"/>
  <c r="HF28" i="31"/>
  <c r="PC27" i="31"/>
  <c r="HE30" i="31" l="1"/>
  <c r="HL29" i="31"/>
  <c r="HF29" i="31"/>
  <c r="HG29" i="31"/>
  <c r="U27" i="31"/>
  <c r="CV28" i="31" s="1"/>
  <c r="T27" i="31"/>
  <c r="CU28" i="31" s="1"/>
  <c r="HJ27" i="31"/>
  <c r="PC28" i="31"/>
  <c r="HG30" i="31" l="1"/>
  <c r="HL30" i="31"/>
  <c r="HE31" i="31"/>
  <c r="HF30" i="31"/>
  <c r="HJ28" i="31"/>
  <c r="PC29" i="31"/>
  <c r="T28" i="31"/>
  <c r="CU29" i="31" s="1"/>
  <c r="U28" i="31"/>
  <c r="CV29" i="31" s="1"/>
  <c r="HJ29" i="31" l="1"/>
  <c r="U29" i="31"/>
  <c r="CV30" i="31" s="1"/>
  <c r="T29" i="31"/>
  <c r="CU30" i="31" s="1"/>
  <c r="PC30" i="31"/>
  <c r="HE32" i="31"/>
  <c r="HL31" i="31"/>
  <c r="HF31" i="31"/>
  <c r="HG31" i="31"/>
  <c r="HJ30" i="31" l="1"/>
  <c r="HG32" i="31"/>
  <c r="HE33" i="31"/>
  <c r="HL32" i="31"/>
  <c r="HF32" i="31"/>
  <c r="PC31" i="31"/>
  <c r="T30" i="31"/>
  <c r="CU31" i="31" s="1"/>
  <c r="U30" i="31"/>
  <c r="CV31" i="31" s="1"/>
  <c r="HJ31" i="31" l="1"/>
  <c r="U31" i="31"/>
  <c r="CV32" i="31" s="1"/>
  <c r="T31" i="31"/>
  <c r="CU32" i="31" s="1"/>
  <c r="PC32" i="31"/>
  <c r="HG33" i="31"/>
  <c r="HL33" i="31"/>
  <c r="HE34" i="31"/>
  <c r="HF33" i="31"/>
  <c r="T32" i="31" l="1"/>
  <c r="CU33" i="31" s="1"/>
  <c r="U32" i="31"/>
  <c r="CV33" i="31" s="1"/>
  <c r="PC33" i="31"/>
  <c r="HG34" i="31"/>
  <c r="HE35" i="31"/>
  <c r="HL34" i="31"/>
  <c r="HF34" i="31"/>
  <c r="HJ32" i="31"/>
  <c r="HG35" i="31" l="1"/>
  <c r="HE36" i="31"/>
  <c r="HL35" i="31"/>
  <c r="HF35" i="31"/>
  <c r="HJ33" i="31"/>
  <c r="T33" i="31"/>
  <c r="CU34" i="31" s="1"/>
  <c r="U33" i="31"/>
  <c r="CV34" i="31" s="1"/>
  <c r="PC34" i="31"/>
  <c r="HL36" i="31" l="1"/>
  <c r="HF36" i="31"/>
  <c r="HG36" i="31"/>
  <c r="HE37" i="31"/>
  <c r="U34" i="31"/>
  <c r="CV35" i="31" s="1"/>
  <c r="T34" i="31"/>
  <c r="CU35" i="31" s="1"/>
  <c r="PC35" i="31"/>
  <c r="HJ34" i="31"/>
  <c r="HE38" i="31" l="1"/>
  <c r="HL37" i="31"/>
  <c r="HF37" i="31"/>
  <c r="HG37" i="31"/>
  <c r="PC36" i="31"/>
  <c r="T35" i="31"/>
  <c r="CU36" i="31" s="1"/>
  <c r="U35" i="31"/>
  <c r="CV36" i="31" s="1"/>
  <c r="HJ35" i="31"/>
  <c r="PC37" i="31" l="1"/>
  <c r="HF38" i="31"/>
  <c r="HG38" i="31"/>
  <c r="HL38" i="31"/>
  <c r="HE39" i="31"/>
  <c r="HJ36" i="31"/>
  <c r="U36" i="31"/>
  <c r="CV37" i="31" s="1"/>
  <c r="T36" i="31"/>
  <c r="CU37" i="31" s="1"/>
  <c r="HF39" i="31" l="1"/>
  <c r="HL39" i="31"/>
  <c r="HG39" i="31"/>
  <c r="HE40" i="31"/>
  <c r="PC38" i="31"/>
  <c r="T37" i="31"/>
  <c r="CU38" i="31" s="1"/>
  <c r="U37" i="31"/>
  <c r="CV38" i="31" s="1"/>
  <c r="HJ37" i="31"/>
  <c r="T38" i="31" l="1"/>
  <c r="CU39" i="31" s="1"/>
  <c r="U38" i="31"/>
  <c r="CV39" i="31" s="1"/>
  <c r="HG40" i="31"/>
  <c r="HL40" i="31"/>
  <c r="HE41" i="31"/>
  <c r="HF40" i="31"/>
  <c r="PC39" i="31"/>
  <c r="HJ38" i="31"/>
  <c r="U39" i="31" l="1"/>
  <c r="CV40" i="31" s="1"/>
  <c r="T39" i="31"/>
  <c r="CU40" i="31" s="1"/>
  <c r="HJ39" i="31"/>
  <c r="PC40" i="31"/>
  <c r="HG41" i="31"/>
  <c r="HE42" i="31"/>
  <c r="HF41" i="31"/>
  <c r="HL41" i="31"/>
  <c r="PC41" i="31" l="1"/>
  <c r="HL42" i="31"/>
  <c r="HE43" i="31"/>
  <c r="HG42" i="31"/>
  <c r="HF42" i="31"/>
  <c r="HJ40" i="31"/>
  <c r="T40" i="31"/>
  <c r="CU41" i="31" s="1"/>
  <c r="U40" i="31"/>
  <c r="CV41" i="31" s="1"/>
  <c r="PC42" i="31" l="1"/>
  <c r="HL43" i="31"/>
  <c r="HF43" i="31"/>
  <c r="HE44" i="31"/>
  <c r="HG43" i="31"/>
  <c r="T41" i="31"/>
  <c r="CU42" i="31" s="1"/>
  <c r="U41" i="31"/>
  <c r="CV42" i="31" s="1"/>
  <c r="HJ41" i="31"/>
  <c r="HJ42" i="31" l="1"/>
  <c r="T42" i="31"/>
  <c r="CU43" i="31" s="1"/>
  <c r="U42" i="31"/>
  <c r="CV43" i="31" s="1"/>
  <c r="HF44" i="31"/>
  <c r="HG44" i="31"/>
  <c r="HL44" i="31"/>
  <c r="HE45" i="31"/>
  <c r="PC43" i="31"/>
  <c r="T43" i="31" l="1"/>
  <c r="CU44" i="31" s="1"/>
  <c r="U43" i="31"/>
  <c r="CV44" i="31" s="1"/>
  <c r="HE46" i="31"/>
  <c r="HF45" i="31"/>
  <c r="HL45" i="31"/>
  <c r="HG45" i="31"/>
  <c r="HJ43" i="31"/>
  <c r="PC44" i="31"/>
  <c r="T44" i="31" l="1"/>
  <c r="CU45" i="31" s="1"/>
  <c r="U44" i="31"/>
  <c r="CV45" i="31" s="1"/>
  <c r="HJ44" i="31"/>
  <c r="HF46" i="31"/>
  <c r="HE47" i="31"/>
  <c r="HG46" i="31"/>
  <c r="HL46" i="31"/>
  <c r="PC45" i="31"/>
  <c r="HF47" i="31" l="1"/>
  <c r="HG47" i="31"/>
  <c r="HL47" i="31"/>
  <c r="HE48" i="31"/>
  <c r="PC46" i="31"/>
  <c r="HJ45" i="31"/>
  <c r="U45" i="31"/>
  <c r="CV46" i="31" s="1"/>
  <c r="T45" i="31"/>
  <c r="CU46" i="31" s="1"/>
  <c r="HF48" i="31" l="1"/>
  <c r="HL48" i="31"/>
  <c r="HE49" i="31"/>
  <c r="HG48" i="31"/>
  <c r="PC47" i="31"/>
  <c r="HJ46" i="31"/>
  <c r="T46" i="31"/>
  <c r="CU47" i="31" s="1"/>
  <c r="U46" i="31"/>
  <c r="CV47" i="31" s="1"/>
  <c r="HL49" i="31" l="1"/>
  <c r="HE50" i="31"/>
  <c r="HF49" i="31"/>
  <c r="HG49" i="31"/>
  <c r="HJ47" i="31"/>
  <c r="PC48" i="31"/>
  <c r="T47" i="31"/>
  <c r="CU48" i="31" s="1"/>
  <c r="U47" i="31"/>
  <c r="CV48" i="31" s="1"/>
  <c r="PC49" i="31" l="1"/>
  <c r="T48" i="31"/>
  <c r="CU49" i="31" s="1"/>
  <c r="U48" i="31"/>
  <c r="CV49" i="31" s="1"/>
  <c r="HG50" i="31"/>
  <c r="HF50" i="31"/>
  <c r="HE51" i="31"/>
  <c r="HL50" i="31"/>
  <c r="HJ48" i="31"/>
  <c r="PC50" i="31" l="1"/>
  <c r="T49" i="31"/>
  <c r="CU50" i="31" s="1"/>
  <c r="U49" i="31"/>
  <c r="CV50" i="31" s="1"/>
  <c r="HF51" i="31"/>
  <c r="HL51" i="31"/>
  <c r="HG51" i="31"/>
  <c r="HE52" i="31"/>
  <c r="HJ49" i="31"/>
  <c r="PC51" i="31" l="1"/>
  <c r="HJ50" i="31"/>
  <c r="HF52" i="31"/>
  <c r="HG52" i="31"/>
  <c r="HL52" i="31"/>
  <c r="HE53" i="31"/>
  <c r="T50" i="31"/>
  <c r="CU51" i="31" s="1"/>
  <c r="U50" i="31"/>
  <c r="CV51" i="31" s="1"/>
  <c r="HL53" i="31" l="1"/>
  <c r="HE54" i="31"/>
  <c r="HF53" i="31"/>
  <c r="HG53" i="31"/>
  <c r="PC52" i="31"/>
  <c r="T51" i="31"/>
  <c r="CU52" i="31" s="1"/>
  <c r="U51" i="31"/>
  <c r="CV52" i="31" s="1"/>
  <c r="HJ51" i="31"/>
  <c r="HF54" i="31" l="1"/>
  <c r="HL54" i="31"/>
  <c r="HE55" i="31"/>
  <c r="HG54" i="31"/>
  <c r="U52" i="31"/>
  <c r="CV53" i="31" s="1"/>
  <c r="T52" i="31"/>
  <c r="CU53" i="31" s="1"/>
  <c r="HJ52" i="31"/>
  <c r="PC53" i="31"/>
  <c r="U53" i="31" l="1"/>
  <c r="CV54" i="31" s="1"/>
  <c r="T53" i="31"/>
  <c r="CU54" i="31" s="1"/>
  <c r="HL55" i="31"/>
  <c r="HE56" i="31"/>
  <c r="HG55" i="31"/>
  <c r="HF55" i="31"/>
  <c r="HJ53" i="31"/>
  <c r="PC54" i="31"/>
  <c r="PC55" i="31" l="1"/>
  <c r="T54" i="31"/>
  <c r="CU55" i="31" s="1"/>
  <c r="U54" i="31"/>
  <c r="CV55" i="31" s="1"/>
  <c r="HG56" i="31"/>
  <c r="HL56" i="31"/>
  <c r="HE57" i="31"/>
  <c r="HF56" i="31"/>
  <c r="HJ54" i="31"/>
  <c r="HJ55" i="31" l="1"/>
  <c r="T55" i="31"/>
  <c r="CU56" i="31" s="1"/>
  <c r="U55" i="31"/>
  <c r="CV56" i="31" s="1"/>
  <c r="PC56" i="31"/>
  <c r="HL57" i="31"/>
  <c r="HE58" i="31"/>
  <c r="HF57" i="31"/>
  <c r="HG57" i="31"/>
  <c r="HJ56" i="31" l="1"/>
  <c r="T56" i="31"/>
  <c r="CU57" i="31" s="1"/>
  <c r="U56" i="31"/>
  <c r="CV57" i="31" s="1"/>
  <c r="PC57" i="31"/>
  <c r="HF58" i="31"/>
  <c r="HG58" i="31"/>
  <c r="HE59" i="31"/>
  <c r="HL58" i="31"/>
  <c r="T57" i="31" l="1"/>
  <c r="CU58" i="31" s="1"/>
  <c r="U57" i="31"/>
  <c r="CV58" i="31" s="1"/>
  <c r="HL59" i="31"/>
  <c r="HG59" i="31"/>
  <c r="HE60" i="31"/>
  <c r="HF59" i="31"/>
  <c r="HJ57" i="31"/>
  <c r="PC58" i="31"/>
  <c r="U58" i="31" l="1"/>
  <c r="CV59" i="31" s="1"/>
  <c r="T58" i="31"/>
  <c r="CU59" i="31" s="1"/>
  <c r="PC59" i="31"/>
  <c r="HG60" i="31"/>
  <c r="HF60" i="31"/>
  <c r="HL60" i="31"/>
  <c r="HE61" i="31"/>
  <c r="HJ58" i="31"/>
  <c r="HE62" i="31" l="1"/>
  <c r="HF61" i="31"/>
  <c r="HG61" i="31"/>
  <c r="HL61" i="31"/>
  <c r="U59" i="31"/>
  <c r="CV60" i="31" s="1"/>
  <c r="T59" i="31"/>
  <c r="CU60" i="31" s="1"/>
  <c r="PC60" i="31"/>
  <c r="HJ59" i="31"/>
  <c r="T60" i="31" l="1"/>
  <c r="CU61" i="31" s="1"/>
  <c r="U60" i="31"/>
  <c r="CV61" i="31" s="1"/>
  <c r="HL62" i="31"/>
  <c r="HF62" i="31"/>
  <c r="HE63" i="31"/>
  <c r="HG62" i="31"/>
  <c r="HJ60" i="31"/>
  <c r="PC61" i="31"/>
  <c r="HJ61" i="31" l="1"/>
  <c r="HE64" i="31"/>
  <c r="HG63" i="31"/>
  <c r="HF63" i="31"/>
  <c r="HL63" i="31"/>
  <c r="T61" i="31"/>
  <c r="CU62" i="31" s="1"/>
  <c r="U61" i="31"/>
  <c r="CV62" i="31" s="1"/>
  <c r="PC62" i="31"/>
  <c r="PC63" i="31" l="1"/>
  <c r="HG64" i="31"/>
  <c r="HL64" i="31"/>
  <c r="HF64" i="31"/>
  <c r="HE65" i="31"/>
  <c r="T62" i="31"/>
  <c r="CU63" i="31" s="1"/>
  <c r="U62" i="31"/>
  <c r="CV63" i="31" s="1"/>
  <c r="HJ62" i="31"/>
  <c r="T63" i="31" l="1"/>
  <c r="CU64" i="31" s="1"/>
  <c r="U63" i="31"/>
  <c r="CV64" i="31" s="1"/>
  <c r="HE66" i="31"/>
  <c r="HL65" i="31"/>
  <c r="HF65" i="31"/>
  <c r="HG65" i="31"/>
  <c r="HJ63" i="31"/>
  <c r="PC64" i="31"/>
  <c r="PC65" i="31" l="1"/>
  <c r="T64" i="31"/>
  <c r="CU65" i="31" s="1"/>
  <c r="U64" i="31"/>
  <c r="CV65" i="31" s="1"/>
  <c r="HG66" i="31"/>
  <c r="HE67" i="31"/>
  <c r="HF66" i="31"/>
  <c r="HL66" i="31"/>
  <c r="HJ64" i="31"/>
  <c r="HJ65" i="31" l="1"/>
  <c r="T65" i="31"/>
  <c r="CU66" i="31" s="1"/>
  <c r="U65" i="31"/>
  <c r="CV66" i="31" s="1"/>
  <c r="PC66" i="31"/>
  <c r="HL67" i="31"/>
  <c r="HG67" i="31"/>
  <c r="HF67" i="31"/>
  <c r="HE68" i="31"/>
  <c r="HJ66" i="31" l="1"/>
  <c r="PC67" i="31"/>
  <c r="HG68" i="31"/>
  <c r="HL68" i="31"/>
  <c r="HF68" i="31"/>
  <c r="HE69" i="31"/>
  <c r="U66" i="31"/>
  <c r="CV67" i="31" s="1"/>
  <c r="T66" i="31"/>
  <c r="CU67" i="31" s="1"/>
  <c r="HL69" i="31" l="1"/>
  <c r="HF69" i="31"/>
  <c r="HE70" i="31"/>
  <c r="HG69" i="31"/>
  <c r="PC68" i="31"/>
  <c r="HJ67" i="31"/>
  <c r="U67" i="31"/>
  <c r="CV68" i="31" s="1"/>
  <c r="T67" i="31"/>
  <c r="CU68" i="31" s="1"/>
  <c r="U68" i="31" l="1"/>
  <c r="CV69" i="31" s="1"/>
  <c r="T68" i="31"/>
  <c r="CU69" i="31" s="1"/>
  <c r="HF70" i="31"/>
  <c r="HL70" i="31"/>
  <c r="HE71" i="31"/>
  <c r="HG70" i="31"/>
  <c r="PC69" i="31"/>
  <c r="HJ68" i="31"/>
  <c r="PC70" i="31" l="1"/>
  <c r="HF71" i="31"/>
  <c r="HL71" i="31"/>
  <c r="HE72" i="31"/>
  <c r="HG71" i="31"/>
  <c r="HJ69" i="31"/>
  <c r="U69" i="31"/>
  <c r="CV70" i="31" s="1"/>
  <c r="T69" i="31"/>
  <c r="CU70" i="31" s="1"/>
  <c r="HG72" i="31" l="1"/>
  <c r="HE73" i="31"/>
  <c r="HF72" i="31"/>
  <c r="HL72" i="31"/>
  <c r="PC71" i="31"/>
  <c r="HJ70" i="31"/>
  <c r="U70" i="31"/>
  <c r="CV71" i="31" s="1"/>
  <c r="T70" i="31"/>
  <c r="CU71" i="31" s="1"/>
  <c r="PC72" i="31" l="1"/>
  <c r="HJ71" i="31"/>
  <c r="HE74" i="31"/>
  <c r="HG73" i="31"/>
  <c r="HL73" i="31"/>
  <c r="HF73" i="31"/>
  <c r="U71" i="31"/>
  <c r="CV72" i="31" s="1"/>
  <c r="T71" i="31"/>
  <c r="CU72" i="31" s="1"/>
  <c r="HF74" i="31" l="1"/>
  <c r="HL74" i="31"/>
  <c r="HE75" i="31"/>
  <c r="HG74" i="31"/>
  <c r="HJ72" i="31"/>
  <c r="U72" i="31"/>
  <c r="CV73" i="31" s="1"/>
  <c r="T72" i="31"/>
  <c r="CU73" i="31" s="1"/>
  <c r="PC73" i="31"/>
  <c r="HJ73" i="31" l="1"/>
  <c r="HF75" i="31"/>
  <c r="HL75" i="31"/>
  <c r="HG75" i="31"/>
  <c r="HE76" i="31"/>
  <c r="PC74" i="31"/>
  <c r="T73" i="31"/>
  <c r="CU74" i="31" s="1"/>
  <c r="U73" i="31"/>
  <c r="CV74" i="31" s="1"/>
  <c r="HE77" i="31" l="1"/>
  <c r="HF76" i="31"/>
  <c r="HL76" i="31"/>
  <c r="HG76" i="31"/>
  <c r="U74" i="31"/>
  <c r="CV75" i="31" s="1"/>
  <c r="T74" i="31"/>
  <c r="CU75" i="31" s="1"/>
  <c r="HJ74" i="31"/>
  <c r="PC75" i="31"/>
  <c r="PC76" i="31" l="1"/>
  <c r="HF77" i="31"/>
  <c r="HG77" i="31"/>
  <c r="HE78" i="31"/>
  <c r="HL77" i="31"/>
  <c r="T75" i="31"/>
  <c r="CU76" i="31" s="1"/>
  <c r="U75" i="31"/>
  <c r="CV76" i="31" s="1"/>
  <c r="HJ75" i="31"/>
  <c r="HJ76" i="31" l="1"/>
  <c r="U76" i="31"/>
  <c r="CV77" i="31" s="1"/>
  <c r="T76" i="31"/>
  <c r="CU77" i="31" s="1"/>
  <c r="HL78" i="31"/>
  <c r="HG78" i="31"/>
  <c r="HE79" i="31"/>
  <c r="HF78" i="31"/>
  <c r="PC77" i="31"/>
  <c r="PC78" i="31" l="1"/>
  <c r="HF79" i="31"/>
  <c r="HG79" i="31"/>
  <c r="HL79" i="31"/>
  <c r="HE80" i="31"/>
  <c r="HJ77" i="31"/>
  <c r="U77" i="31"/>
  <c r="CV78" i="31" s="1"/>
  <c r="T77" i="31"/>
  <c r="CU78" i="31" s="1"/>
  <c r="PC79" i="31" l="1"/>
  <c r="U78" i="31"/>
  <c r="CV79" i="31" s="1"/>
  <c r="T78" i="31"/>
  <c r="CU79" i="31" s="1"/>
  <c r="HL80" i="31"/>
  <c r="HF80" i="31"/>
  <c r="HG80" i="31"/>
  <c r="HE81" i="31"/>
  <c r="HJ78" i="31"/>
  <c r="HJ79" i="31" l="1"/>
  <c r="PC80" i="31"/>
  <c r="HE82" i="31"/>
  <c r="HL81" i="31"/>
  <c r="HG81" i="31"/>
  <c r="HF81" i="31"/>
  <c r="T79" i="31"/>
  <c r="CU80" i="31" s="1"/>
  <c r="U79" i="31"/>
  <c r="CV80" i="31" s="1"/>
  <c r="PC81" i="31" l="1"/>
  <c r="T80" i="31"/>
  <c r="CU81" i="31" s="1"/>
  <c r="U80" i="31"/>
  <c r="CV81" i="31" s="1"/>
  <c r="HJ80" i="31"/>
  <c r="HL82" i="31"/>
  <c r="HF82" i="31"/>
  <c r="HG82" i="31"/>
  <c r="HE83" i="31"/>
  <c r="HE84" i="31" l="1"/>
  <c r="HG83" i="31"/>
  <c r="HF83" i="31"/>
  <c r="HL83" i="31"/>
  <c r="PC82" i="31"/>
  <c r="T81" i="31"/>
  <c r="CU82" i="31" s="1"/>
  <c r="U81" i="31"/>
  <c r="CV82" i="31" s="1"/>
  <c r="HJ81" i="31"/>
  <c r="U82" i="31" l="1"/>
  <c r="CV83" i="31" s="1"/>
  <c r="T82" i="31"/>
  <c r="CU83" i="31" s="1"/>
  <c r="HJ82" i="31"/>
  <c r="PC83" i="31"/>
  <c r="HE85" i="31"/>
  <c r="HG84" i="31"/>
  <c r="HF84" i="31"/>
  <c r="HL84" i="31"/>
  <c r="HE86" i="31" l="1"/>
  <c r="HF85" i="31"/>
  <c r="HG85" i="31"/>
  <c r="HL85" i="31"/>
  <c r="U83" i="31"/>
  <c r="CV84" i="31" s="1"/>
  <c r="T83" i="31"/>
  <c r="CU84" i="31" s="1"/>
  <c r="HJ83" i="31"/>
  <c r="PC84" i="31"/>
  <c r="HJ84" i="31" l="1"/>
  <c r="U84" i="31"/>
  <c r="CV85" i="31" s="1"/>
  <c r="T84" i="31"/>
  <c r="CU85" i="31" s="1"/>
  <c r="PC85" i="31"/>
  <c r="HG86" i="31"/>
  <c r="HL86" i="31"/>
  <c r="HE87" i="31"/>
  <c r="HF86" i="31"/>
  <c r="PC86" i="31" l="1"/>
  <c r="HG87" i="31"/>
  <c r="HE88" i="31"/>
  <c r="HF87" i="31"/>
  <c r="HL87" i="31"/>
  <c r="HJ85" i="31"/>
  <c r="T85" i="31"/>
  <c r="CU86" i="31" s="1"/>
  <c r="U85" i="31"/>
  <c r="CV86" i="31" s="1"/>
  <c r="T86" i="31" l="1"/>
  <c r="CU87" i="31" s="1"/>
  <c r="U86" i="31"/>
  <c r="CV87" i="31" s="1"/>
  <c r="PC87" i="31"/>
  <c r="HJ86" i="31"/>
  <c r="HG88" i="31"/>
  <c r="HF88" i="31"/>
  <c r="HE89" i="31"/>
  <c r="HL88" i="31"/>
  <c r="HL89" i="31" l="1"/>
  <c r="HF89" i="31"/>
  <c r="HG89" i="31"/>
  <c r="HE90" i="31"/>
  <c r="PC88" i="31"/>
  <c r="T87" i="31"/>
  <c r="CU88" i="31" s="1"/>
  <c r="U87" i="31"/>
  <c r="CV88" i="31" s="1"/>
  <c r="HJ87" i="31"/>
  <c r="HJ88" i="31" l="1"/>
  <c r="U88" i="31"/>
  <c r="CV89" i="31" s="1"/>
  <c r="T88" i="31"/>
  <c r="CU89" i="31" s="1"/>
  <c r="HL90" i="31"/>
  <c r="HF90" i="31"/>
  <c r="HE91" i="31"/>
  <c r="HG90" i="31"/>
  <c r="PC89" i="31"/>
  <c r="HF91" i="31" l="1"/>
  <c r="HL91" i="31"/>
  <c r="HE92" i="31"/>
  <c r="HG91" i="31"/>
  <c r="PC90" i="31"/>
  <c r="HJ89" i="31"/>
  <c r="U89" i="31"/>
  <c r="CV90" i="31" s="1"/>
  <c r="T89" i="31"/>
  <c r="CU90" i="31" s="1"/>
  <c r="HJ90" i="31" l="1"/>
  <c r="T90" i="31"/>
  <c r="CU91" i="31" s="1"/>
  <c r="U90" i="31"/>
  <c r="CV91" i="31" s="1"/>
  <c r="HL92" i="31"/>
  <c r="HG92" i="31"/>
  <c r="HE93" i="31"/>
  <c r="HF92" i="31"/>
  <c r="PC91" i="31"/>
  <c r="PC92" i="31" l="1"/>
  <c r="U91" i="31"/>
  <c r="CV92" i="31" s="1"/>
  <c r="T91" i="31"/>
  <c r="CU92" i="31" s="1"/>
  <c r="HF93" i="31"/>
  <c r="HG93" i="31"/>
  <c r="HL93" i="31"/>
  <c r="HE94" i="31"/>
  <c r="HJ91" i="31"/>
  <c r="HJ92" i="31" l="1"/>
  <c r="HG94" i="31"/>
  <c r="HF94" i="31"/>
  <c r="HE95" i="31"/>
  <c r="HL94" i="31"/>
  <c r="U92" i="31"/>
  <c r="CV93" i="31" s="1"/>
  <c r="T92" i="31"/>
  <c r="CU93" i="31" s="1"/>
  <c r="PC93" i="31"/>
  <c r="HE96" i="31" l="1"/>
  <c r="HF95" i="31"/>
  <c r="HG95" i="31"/>
  <c r="HL95" i="31"/>
  <c r="PC94" i="31"/>
  <c r="T93" i="31"/>
  <c r="CU94" i="31" s="1"/>
  <c r="U93" i="31"/>
  <c r="CV94" i="31" s="1"/>
  <c r="HJ93" i="31"/>
  <c r="HL96" i="31" l="1"/>
  <c r="HF96" i="31"/>
  <c r="HG96" i="31"/>
  <c r="HE97" i="31"/>
  <c r="T94" i="31"/>
  <c r="CU95" i="31" s="1"/>
  <c r="U94" i="31"/>
  <c r="CV95" i="31" s="1"/>
  <c r="HJ94" i="31"/>
  <c r="PC95" i="31"/>
  <c r="PC96" i="31" l="1"/>
  <c r="HJ95" i="31"/>
  <c r="T95" i="31"/>
  <c r="CU96" i="31" s="1"/>
  <c r="U95" i="31"/>
  <c r="CV96" i="31" s="1"/>
  <c r="HE98" i="31"/>
  <c r="HF97" i="31"/>
  <c r="HG97" i="31"/>
  <c r="HL97" i="31"/>
  <c r="PC97" i="31" l="1"/>
  <c r="HL98" i="31"/>
  <c r="HG98" i="31"/>
  <c r="HF98" i="31"/>
  <c r="HE99" i="31"/>
  <c r="HJ96" i="31"/>
  <c r="T96" i="31"/>
  <c r="CU97" i="31" s="1"/>
  <c r="U96" i="31"/>
  <c r="CV97" i="31" s="1"/>
  <c r="HL99" i="31" l="1"/>
  <c r="HE100" i="31"/>
  <c r="HF99" i="31"/>
  <c r="HG99" i="31"/>
  <c r="HJ97" i="31"/>
  <c r="PC98" i="31"/>
  <c r="T97" i="31"/>
  <c r="CU98" i="31" s="1"/>
  <c r="U97" i="31"/>
  <c r="CV98" i="31" s="1"/>
  <c r="HJ98" i="31" l="1"/>
  <c r="PC99" i="31"/>
  <c r="HG100" i="31"/>
  <c r="HL100" i="31"/>
  <c r="HE101" i="31"/>
  <c r="HF100" i="31"/>
  <c r="U98" i="31"/>
  <c r="CV99" i="31" s="1"/>
  <c r="T98" i="31"/>
  <c r="CU99" i="31" s="1"/>
  <c r="HJ99" i="31" l="1"/>
  <c r="U99" i="31"/>
  <c r="CV100" i="31" s="1"/>
  <c r="T99" i="31"/>
  <c r="CU100" i="31" s="1"/>
  <c r="PC100" i="31"/>
  <c r="HL101" i="31"/>
  <c r="HE102" i="31"/>
  <c r="HF101" i="31"/>
  <c r="HG101" i="31"/>
  <c r="PC101" i="31" l="1"/>
  <c r="T100" i="31"/>
  <c r="CU101" i="31" s="1"/>
  <c r="U100" i="31"/>
  <c r="CV101" i="31" s="1"/>
  <c r="HG102" i="31"/>
  <c r="HL102" i="31"/>
  <c r="HE103" i="31"/>
  <c r="HF102" i="31"/>
  <c r="HJ100" i="31"/>
  <c r="HJ101" i="31" l="1"/>
  <c r="PC102" i="31"/>
  <c r="HE104" i="31"/>
  <c r="HL103" i="31"/>
  <c r="HF103" i="31"/>
  <c r="HG103" i="31"/>
  <c r="T101" i="31"/>
  <c r="CU102" i="31" s="1"/>
  <c r="U101" i="31"/>
  <c r="CV102" i="31" s="1"/>
  <c r="HE105" i="31" l="1"/>
  <c r="HF104" i="31"/>
  <c r="HG104" i="31"/>
  <c r="HL104" i="31"/>
  <c r="U102" i="31"/>
  <c r="CV103" i="31" s="1"/>
  <c r="T102" i="31"/>
  <c r="CU103" i="31" s="1"/>
  <c r="HJ102" i="31"/>
  <c r="PC103" i="31"/>
  <c r="HE106" i="31" l="1"/>
  <c r="HG105" i="31"/>
  <c r="HL105" i="31"/>
  <c r="HF105" i="31"/>
  <c r="HJ103" i="31"/>
  <c r="U103" i="31"/>
  <c r="CV104" i="31" s="1"/>
  <c r="T103" i="31"/>
  <c r="CU104" i="31" s="1"/>
  <c r="PC104" i="31"/>
  <c r="U104" i="31" l="1"/>
  <c r="CV105" i="31" s="1"/>
  <c r="T104" i="31"/>
  <c r="CU105" i="31" s="1"/>
  <c r="HJ104" i="31"/>
  <c r="PC105" i="31"/>
  <c r="HF106" i="31"/>
  <c r="HL106" i="31"/>
  <c r="HE107" i="31"/>
  <c r="HG106" i="31"/>
  <c r="T105" i="31" l="1"/>
  <c r="CU106" i="31" s="1"/>
  <c r="U105" i="31"/>
  <c r="CV106" i="31" s="1"/>
  <c r="HF107" i="31"/>
  <c r="HL107" i="31"/>
  <c r="HE108" i="31"/>
  <c r="HG107" i="31"/>
  <c r="PC106" i="31"/>
  <c r="HJ105" i="31"/>
  <c r="U106" i="31" l="1"/>
  <c r="CV107" i="31" s="1"/>
  <c r="T106" i="31"/>
  <c r="CU107" i="31" s="1"/>
  <c r="HJ106" i="31"/>
  <c r="HG108" i="31"/>
  <c r="HE109" i="31"/>
  <c r="HF108" i="31"/>
  <c r="HL108" i="31"/>
  <c r="PC107" i="31"/>
  <c r="PC108" i="31" l="1"/>
  <c r="HE110" i="31"/>
  <c r="HF109" i="31"/>
  <c r="HG109" i="31"/>
  <c r="HL109" i="31"/>
  <c r="T107" i="31"/>
  <c r="CU108" i="31" s="1"/>
  <c r="U107" i="31"/>
  <c r="CV108" i="31" s="1"/>
  <c r="HJ107" i="31"/>
  <c r="PC109" i="31" l="1"/>
  <c r="HE111" i="31"/>
  <c r="HL110" i="31"/>
  <c r="HF110" i="31"/>
  <c r="HG110" i="31"/>
  <c r="HJ108" i="31"/>
  <c r="T108" i="31"/>
  <c r="CU109" i="31" s="1"/>
  <c r="U108" i="31"/>
  <c r="CV109" i="31" s="1"/>
  <c r="PC110" i="31" l="1"/>
  <c r="HF111" i="31"/>
  <c r="HL111" i="31"/>
  <c r="HE112" i="31"/>
  <c r="HG111" i="31"/>
  <c r="HJ109" i="31"/>
  <c r="U109" i="31"/>
  <c r="CV110" i="31" s="1"/>
  <c r="T109" i="31"/>
  <c r="CU110" i="31" s="1"/>
  <c r="PC111" i="31" l="1"/>
  <c r="T110" i="31"/>
  <c r="CU111" i="31" s="1"/>
  <c r="U110" i="31"/>
  <c r="CV111" i="31" s="1"/>
  <c r="HJ110" i="31"/>
  <c r="HL112" i="31"/>
  <c r="HE113" i="31"/>
  <c r="HF112" i="31"/>
  <c r="HG112" i="31"/>
  <c r="PC112" i="31" l="1"/>
  <c r="HG113" i="31"/>
  <c r="HL113" i="31"/>
  <c r="HE114" i="31"/>
  <c r="HF113" i="31"/>
  <c r="U111" i="31"/>
  <c r="CV112" i="31" s="1"/>
  <c r="T111" i="31"/>
  <c r="CU112" i="31" s="1"/>
  <c r="HJ111" i="31"/>
  <c r="HF114" i="31" l="1"/>
  <c r="HG114" i="31"/>
  <c r="HL114" i="31"/>
  <c r="HE115" i="31"/>
  <c r="HJ112" i="31"/>
  <c r="U112" i="31"/>
  <c r="CV113" i="31" s="1"/>
  <c r="T112" i="31"/>
  <c r="CU113" i="31" s="1"/>
  <c r="PC113" i="31"/>
  <c r="U113" i="31" l="1"/>
  <c r="CV114" i="31" s="1"/>
  <c r="T113" i="31"/>
  <c r="CU114" i="31" s="1"/>
  <c r="HJ113" i="31"/>
  <c r="PC114" i="31"/>
  <c r="HL115" i="31"/>
  <c r="HG115" i="31"/>
  <c r="HF115" i="31"/>
  <c r="HE116" i="31"/>
  <c r="HG116" i="31" l="1"/>
  <c r="HL116" i="31"/>
  <c r="HF116" i="31"/>
  <c r="HE117" i="31"/>
  <c r="PC115" i="31"/>
  <c r="U114" i="31"/>
  <c r="CV115" i="31" s="1"/>
  <c r="T114" i="31"/>
  <c r="CU115" i="31" s="1"/>
  <c r="HJ114" i="31"/>
  <c r="HJ115" i="31" l="1"/>
  <c r="HL117" i="31"/>
  <c r="HG117" i="31"/>
  <c r="HF117" i="31"/>
  <c r="HE118" i="31"/>
  <c r="PC116" i="31"/>
  <c r="T115" i="31"/>
  <c r="CU116" i="31" s="1"/>
  <c r="U115" i="31"/>
  <c r="CV116" i="31" s="1"/>
  <c r="HL118" i="31" l="1"/>
  <c r="HE119" i="31"/>
  <c r="HF118" i="31"/>
  <c r="HG118" i="31"/>
  <c r="PC117" i="31"/>
  <c r="HJ116" i="31"/>
  <c r="U116" i="31"/>
  <c r="CV117" i="31" s="1"/>
  <c r="T116" i="31"/>
  <c r="CU117" i="31" s="1"/>
  <c r="T117" i="31" l="1"/>
  <c r="CU118" i="31" s="1"/>
  <c r="U117" i="31"/>
  <c r="CV118" i="31" s="1"/>
  <c r="PC118" i="31"/>
  <c r="HF119" i="31"/>
  <c r="HE120" i="31"/>
  <c r="HG119" i="31"/>
  <c r="HL119" i="31"/>
  <c r="HJ117" i="31"/>
  <c r="HL120" i="31" l="1"/>
  <c r="HE121" i="31"/>
  <c r="HF120" i="31"/>
  <c r="HG120" i="31"/>
  <c r="PC119" i="31"/>
  <c r="T118" i="31"/>
  <c r="CU119" i="31" s="1"/>
  <c r="U118" i="31"/>
  <c r="CV119" i="31" s="1"/>
  <c r="HJ118" i="31"/>
  <c r="U119" i="31" l="1"/>
  <c r="CV120" i="31" s="1"/>
  <c r="T119" i="31"/>
  <c r="CU120" i="31" s="1"/>
  <c r="HJ119" i="31"/>
  <c r="PC120" i="31"/>
  <c r="HF121" i="31"/>
  <c r="HE122" i="31"/>
  <c r="HG121" i="31"/>
  <c r="HL121" i="31"/>
  <c r="HJ120" i="31" l="1"/>
  <c r="HG122" i="31"/>
  <c r="HL122" i="31"/>
  <c r="HF122" i="31"/>
  <c r="HE123" i="31"/>
  <c r="PC121" i="31"/>
  <c r="U120" i="31"/>
  <c r="CV121" i="31" s="1"/>
  <c r="T120" i="31"/>
  <c r="CU121" i="31" s="1"/>
  <c r="PC122" i="31" l="1"/>
  <c r="HJ121" i="31"/>
  <c r="T121" i="31"/>
  <c r="CU122" i="31" s="1"/>
  <c r="U121" i="31"/>
  <c r="CV122" i="31" s="1"/>
  <c r="HF123" i="31"/>
  <c r="HG123" i="31"/>
  <c r="HL123" i="31"/>
  <c r="HE124" i="31"/>
  <c r="U122" i="31" l="1"/>
  <c r="CV123" i="31" s="1"/>
  <c r="T122" i="31"/>
  <c r="CU123" i="31" s="1"/>
  <c r="HJ122" i="31"/>
  <c r="HL124" i="31"/>
  <c r="HE125" i="31"/>
  <c r="HG124" i="31"/>
  <c r="HF124" i="31"/>
  <c r="PC123" i="31"/>
  <c r="PC124" i="31" l="1"/>
  <c r="HE126" i="31"/>
  <c r="HL125" i="31"/>
  <c r="HG125" i="31"/>
  <c r="HF125" i="31"/>
  <c r="U123" i="31"/>
  <c r="CV124" i="31" s="1"/>
  <c r="T123" i="31"/>
  <c r="CU124" i="31" s="1"/>
  <c r="HJ123" i="31"/>
  <c r="PC125" i="31" l="1"/>
  <c r="HF126" i="31"/>
  <c r="HL126" i="31"/>
  <c r="HG126" i="31"/>
  <c r="HE127" i="31"/>
  <c r="HJ124" i="31"/>
  <c r="T124" i="31"/>
  <c r="CU125" i="31" s="1"/>
  <c r="U124" i="31"/>
  <c r="CV125" i="31" s="1"/>
  <c r="PC126" i="31" l="1"/>
  <c r="U125" i="31"/>
  <c r="CV126" i="31" s="1"/>
  <c r="T125" i="31"/>
  <c r="CU126" i="31" s="1"/>
  <c r="HJ125" i="31"/>
  <c r="HL127" i="31"/>
  <c r="HG127" i="31"/>
  <c r="HF127" i="31"/>
  <c r="HE128" i="31"/>
  <c r="T126" i="31" l="1"/>
  <c r="CU127" i="31" s="1"/>
  <c r="U126" i="31"/>
  <c r="CV127" i="31" s="1"/>
  <c r="HJ126" i="31"/>
  <c r="PC127" i="31"/>
  <c r="HL128" i="31"/>
  <c r="HE129" i="31"/>
  <c r="HF128" i="31"/>
  <c r="HG128" i="31"/>
  <c r="HJ127" i="31" l="1"/>
  <c r="T127" i="31"/>
  <c r="CU128" i="31" s="1"/>
  <c r="U127" i="31"/>
  <c r="CV128" i="31" s="1"/>
  <c r="PC128" i="31"/>
  <c r="HE130" i="31"/>
  <c r="HL129" i="31"/>
  <c r="HF129" i="31"/>
  <c r="HG129" i="31"/>
  <c r="PC129" i="31" l="1"/>
  <c r="HE131" i="31"/>
  <c r="HG130" i="31"/>
  <c r="HL130" i="31"/>
  <c r="HF130" i="31"/>
  <c r="U128" i="31"/>
  <c r="CV129" i="31" s="1"/>
  <c r="T128" i="31"/>
  <c r="CU129" i="31" s="1"/>
  <c r="HJ128" i="31"/>
  <c r="HL131" i="31" l="1"/>
  <c r="HG131" i="31"/>
  <c r="HF131" i="31"/>
  <c r="HE132" i="31"/>
  <c r="HJ129" i="31"/>
  <c r="PC130" i="31"/>
  <c r="T129" i="31"/>
  <c r="CU130" i="31" s="1"/>
  <c r="U129" i="31"/>
  <c r="CV130" i="31" s="1"/>
  <c r="HE133" i="31" l="1"/>
  <c r="HF132" i="31"/>
  <c r="HL132" i="31"/>
  <c r="HG132" i="31"/>
  <c r="PC131" i="31"/>
  <c r="HJ130" i="31"/>
  <c r="U130" i="31"/>
  <c r="CV131" i="31" s="1"/>
  <c r="T130" i="31"/>
  <c r="CU131" i="31" s="1"/>
  <c r="HJ131" i="31" l="1"/>
  <c r="T131" i="31"/>
  <c r="CU132" i="31" s="1"/>
  <c r="U131" i="31"/>
  <c r="CV132" i="31" s="1"/>
  <c r="PC132" i="31"/>
  <c r="HG133" i="31"/>
  <c r="HE134" i="31"/>
  <c r="HL133" i="31"/>
  <c r="HF133" i="31"/>
  <c r="HJ132" i="31" l="1"/>
  <c r="T132" i="31"/>
  <c r="CU133" i="31" s="1"/>
  <c r="U132" i="31"/>
  <c r="CV133" i="31" s="1"/>
  <c r="HL134" i="31"/>
  <c r="HE135" i="31"/>
  <c r="HG134" i="31"/>
  <c r="HF134" i="31"/>
  <c r="PC133" i="31"/>
  <c r="HL135" i="31" l="1"/>
  <c r="HG135" i="31"/>
  <c r="HF135" i="31"/>
  <c r="HE136" i="31"/>
  <c r="HJ133" i="31"/>
  <c r="U133" i="31"/>
  <c r="CV134" i="31" s="1"/>
  <c r="T133" i="31"/>
  <c r="CU134" i="31" s="1"/>
  <c r="PC134" i="31"/>
  <c r="HG136" i="31" l="1"/>
  <c r="HE137" i="31"/>
  <c r="HL136" i="31"/>
  <c r="HF136" i="31"/>
  <c r="PC135" i="31"/>
  <c r="U134" i="31"/>
  <c r="CV135" i="31" s="1"/>
  <c r="T134" i="31"/>
  <c r="CU135" i="31" s="1"/>
  <c r="HJ134" i="31"/>
  <c r="PC136" i="31" l="1"/>
  <c r="U135" i="31"/>
  <c r="CV136" i="31" s="1"/>
  <c r="T135" i="31"/>
  <c r="CU136" i="31" s="1"/>
  <c r="HJ135" i="31"/>
  <c r="HE138" i="31"/>
  <c r="HG137" i="31"/>
  <c r="HF137" i="31"/>
  <c r="HL137" i="31"/>
  <c r="HL138" i="31" l="1"/>
  <c r="HF138" i="31"/>
  <c r="HG138" i="31"/>
  <c r="HE139" i="31"/>
  <c r="T136" i="31"/>
  <c r="CU137" i="31" s="1"/>
  <c r="U136" i="31"/>
  <c r="CV137" i="31" s="1"/>
  <c r="PC137" i="31"/>
  <c r="HJ136" i="31"/>
  <c r="HJ137" i="31" l="1"/>
  <c r="HF139" i="31"/>
  <c r="HE140" i="31"/>
  <c r="HG139" i="31"/>
  <c r="HL139" i="31"/>
  <c r="PC138" i="31"/>
  <c r="T137" i="31"/>
  <c r="CU138" i="31" s="1"/>
  <c r="U137" i="31"/>
  <c r="CV138" i="31" s="1"/>
  <c r="U138" i="31" l="1"/>
  <c r="CV139" i="31" s="1"/>
  <c r="T138" i="31"/>
  <c r="CU139" i="31" s="1"/>
  <c r="HF140" i="31"/>
  <c r="HL140" i="31"/>
  <c r="HE141" i="31"/>
  <c r="HG140" i="31"/>
  <c r="PC139" i="31"/>
  <c r="HJ138" i="31"/>
  <c r="HE142" i="31" l="1"/>
  <c r="HF141" i="31"/>
  <c r="HG141" i="31"/>
  <c r="HL141" i="31"/>
  <c r="T139" i="31"/>
  <c r="CU140" i="31" s="1"/>
  <c r="U139" i="31"/>
  <c r="CV140" i="31" s="1"/>
  <c r="PC140" i="31"/>
  <c r="HJ139" i="31"/>
  <c r="PC141" i="31" l="1"/>
  <c r="HF142" i="31"/>
  <c r="HL142" i="31"/>
  <c r="HE143" i="31"/>
  <c r="HG142" i="31"/>
  <c r="HJ140" i="31"/>
  <c r="T140" i="31"/>
  <c r="CU141" i="31" s="1"/>
  <c r="U140" i="31"/>
  <c r="CV141" i="31" s="1"/>
  <c r="PC142" i="31" l="1"/>
  <c r="HJ141" i="31"/>
  <c r="HF143" i="31"/>
  <c r="HG143" i="31"/>
  <c r="HE144" i="31"/>
  <c r="HL143" i="31"/>
  <c r="U141" i="31"/>
  <c r="CV142" i="31" s="1"/>
  <c r="T141" i="31"/>
  <c r="CU142" i="31" s="1"/>
  <c r="HG144" i="31" l="1"/>
  <c r="HF144" i="31"/>
  <c r="HL144" i="31"/>
  <c r="HE145" i="31"/>
  <c r="PC143" i="31"/>
  <c r="HJ142" i="31"/>
  <c r="T142" i="31"/>
  <c r="CU143" i="31" s="1"/>
  <c r="U142" i="31"/>
  <c r="CV143" i="31" s="1"/>
  <c r="PC144" i="31" l="1"/>
  <c r="T143" i="31"/>
  <c r="CU144" i="31" s="1"/>
  <c r="U143" i="31"/>
  <c r="CV144" i="31" s="1"/>
  <c r="HJ143" i="31"/>
  <c r="HE146" i="31"/>
  <c r="HF145" i="31"/>
  <c r="HL145" i="31"/>
  <c r="HG145" i="31"/>
  <c r="U144" i="31" l="1"/>
  <c r="CV145" i="31" s="1"/>
  <c r="T144" i="31"/>
  <c r="CU145" i="31" s="1"/>
  <c r="PC145" i="31"/>
  <c r="HJ144" i="31"/>
  <c r="HL146" i="31"/>
  <c r="HF146" i="31"/>
  <c r="HG146" i="31"/>
  <c r="HE147" i="31"/>
  <c r="HF147" i="31" l="1"/>
  <c r="HE148" i="31"/>
  <c r="HL147" i="31"/>
  <c r="HG147" i="31"/>
  <c r="PC146" i="31"/>
  <c r="HJ145" i="31"/>
  <c r="T145" i="31"/>
  <c r="CU146" i="31" s="1"/>
  <c r="U145" i="31"/>
  <c r="CV146" i="31" s="1"/>
  <c r="U146" i="31" l="1"/>
  <c r="CV147" i="31" s="1"/>
  <c r="T146" i="31"/>
  <c r="CU147" i="31" s="1"/>
  <c r="HG148" i="31"/>
  <c r="HL148" i="31"/>
  <c r="HF148" i="31"/>
  <c r="HE149" i="31"/>
  <c r="PC147" i="31"/>
  <c r="HJ146" i="31"/>
  <c r="HL149" i="31" l="1"/>
  <c r="HF149" i="31"/>
  <c r="HG149" i="31"/>
  <c r="HE150" i="31"/>
  <c r="PC148" i="31"/>
  <c r="T147" i="31"/>
  <c r="CU148" i="31" s="1"/>
  <c r="U147" i="31"/>
  <c r="CV148" i="31" s="1"/>
  <c r="HJ147" i="31"/>
  <c r="HG150" i="31" l="1"/>
  <c r="HF150" i="31"/>
  <c r="HE151" i="31"/>
  <c r="HL150" i="31"/>
  <c r="T148" i="31"/>
  <c r="CU149" i="31" s="1"/>
  <c r="U148" i="31"/>
  <c r="CV149" i="31" s="1"/>
  <c r="PC149" i="31"/>
  <c r="HJ148" i="31"/>
  <c r="HE152" i="31" l="1"/>
  <c r="HG151" i="31"/>
  <c r="HF151" i="31"/>
  <c r="HL151" i="31"/>
  <c r="PC150" i="31"/>
  <c r="U149" i="31"/>
  <c r="CV150" i="31" s="1"/>
  <c r="T149" i="31"/>
  <c r="CU150" i="31" s="1"/>
  <c r="HJ149" i="31"/>
  <c r="U150" i="31" l="1"/>
  <c r="CV151" i="31" s="1"/>
  <c r="T150" i="31"/>
  <c r="CU151" i="31" s="1"/>
  <c r="PC151" i="31"/>
  <c r="HJ150" i="31"/>
  <c r="HG152" i="31"/>
  <c r="HE153" i="31"/>
  <c r="HL152" i="31"/>
  <c r="HF152" i="31"/>
  <c r="T151" i="31" l="1"/>
  <c r="CU152" i="31" s="1"/>
  <c r="U151" i="31"/>
  <c r="CV152" i="31" s="1"/>
  <c r="PC152" i="31"/>
  <c r="HE154" i="31"/>
  <c r="HL153" i="31"/>
  <c r="HG153" i="31"/>
  <c r="HF153" i="31"/>
  <c r="HJ151" i="31"/>
  <c r="HF154" i="31" l="1"/>
  <c r="HG154" i="31"/>
  <c r="HE155" i="31"/>
  <c r="HL154" i="31"/>
  <c r="T152" i="31"/>
  <c r="CU153" i="31" s="1"/>
  <c r="U152" i="31"/>
  <c r="CV153" i="31" s="1"/>
  <c r="HJ152" i="31"/>
  <c r="PC153" i="31"/>
  <c r="T153" i="31" l="1"/>
  <c r="CU154" i="31" s="1"/>
  <c r="U153" i="31"/>
  <c r="CV154" i="31" s="1"/>
  <c r="HG155" i="31"/>
  <c r="HE156" i="31"/>
  <c r="HF155" i="31"/>
  <c r="HL155" i="31"/>
  <c r="PC154" i="31"/>
  <c r="HJ153" i="31"/>
  <c r="PC155" i="31" l="1"/>
  <c r="HG156" i="31"/>
  <c r="HE157" i="31"/>
  <c r="HL156" i="31"/>
  <c r="HF156" i="31"/>
  <c r="HJ154" i="31"/>
  <c r="U154" i="31"/>
  <c r="CV155" i="31" s="1"/>
  <c r="T154" i="31"/>
  <c r="CU155" i="31" s="1"/>
  <c r="PC156" i="31" l="1"/>
  <c r="HJ155" i="31"/>
  <c r="HE158" i="31"/>
  <c r="HL157" i="31"/>
  <c r="HF157" i="31"/>
  <c r="HG157" i="31"/>
  <c r="T155" i="31"/>
  <c r="CU156" i="31" s="1"/>
  <c r="U155" i="31"/>
  <c r="CV156" i="31" s="1"/>
  <c r="HJ156" i="31" l="1"/>
  <c r="PC157" i="31"/>
  <c r="U156" i="31"/>
  <c r="CV157" i="31" s="1"/>
  <c r="T156" i="31"/>
  <c r="CU157" i="31" s="1"/>
  <c r="HE159" i="31"/>
  <c r="HL158" i="31"/>
  <c r="HF158" i="31"/>
  <c r="HG158" i="31"/>
  <c r="HL159" i="31" l="1"/>
  <c r="HF159" i="31"/>
  <c r="HG159" i="31"/>
  <c r="HE160" i="31"/>
  <c r="HJ157" i="31"/>
  <c r="T157" i="31"/>
  <c r="CU158" i="31" s="1"/>
  <c r="U157" i="31"/>
  <c r="CV158" i="31" s="1"/>
  <c r="PC158" i="31"/>
  <c r="T158" i="31" l="1"/>
  <c r="CU159" i="31" s="1"/>
  <c r="U158" i="31"/>
  <c r="CV159" i="31" s="1"/>
  <c r="HL160" i="31"/>
  <c r="HE161" i="31"/>
  <c r="HF160" i="31"/>
  <c r="HG160" i="31"/>
  <c r="PC159" i="31"/>
  <c r="HJ158" i="31"/>
  <c r="HJ159" i="31" l="1"/>
  <c r="U159" i="31"/>
  <c r="CV160" i="31" s="1"/>
  <c r="T159" i="31"/>
  <c r="CU160" i="31" s="1"/>
  <c r="PC160" i="31"/>
  <c r="HG161" i="31"/>
  <c r="HL161" i="31"/>
  <c r="HE162" i="31"/>
  <c r="HF161" i="31"/>
  <c r="HJ160" i="31" l="1"/>
  <c r="PC161" i="31"/>
  <c r="U160" i="31"/>
  <c r="CV161" i="31" s="1"/>
  <c r="T160" i="31"/>
  <c r="CU161" i="31" s="1"/>
  <c r="HG162" i="31"/>
  <c r="HL162" i="31"/>
  <c r="HF162" i="31"/>
  <c r="HE163" i="31"/>
  <c r="HF163" i="31" l="1"/>
  <c r="HL163" i="31"/>
  <c r="HE164" i="31"/>
  <c r="HG163" i="31"/>
  <c r="PC162" i="31"/>
  <c r="HJ161" i="31"/>
  <c r="T161" i="31"/>
  <c r="CU162" i="31" s="1"/>
  <c r="U161" i="31"/>
  <c r="CV162" i="31" s="1"/>
  <c r="HF164" i="31" l="1"/>
  <c r="HE165" i="31"/>
  <c r="HL164" i="31"/>
  <c r="HG164" i="31"/>
  <c r="HJ162" i="31"/>
  <c r="PC163" i="31"/>
  <c r="T162" i="31"/>
  <c r="CU163" i="31" s="1"/>
  <c r="U162" i="31"/>
  <c r="CV163" i="31" s="1"/>
  <c r="HG165" i="31" l="1"/>
  <c r="HL165" i="31"/>
  <c r="HE166" i="31"/>
  <c r="HF165" i="31"/>
  <c r="T163" i="31"/>
  <c r="CU164" i="31" s="1"/>
  <c r="U163" i="31"/>
  <c r="CV164" i="31" s="1"/>
  <c r="PC164" i="31"/>
  <c r="HJ163" i="31"/>
  <c r="HJ164" i="31" l="1"/>
  <c r="PC165" i="31"/>
  <c r="HE167" i="31"/>
  <c r="HF166" i="31"/>
  <c r="HG166" i="31"/>
  <c r="HL166" i="31"/>
  <c r="T164" i="31"/>
  <c r="CU165" i="31" s="1"/>
  <c r="U164" i="31"/>
  <c r="CV165" i="31" s="1"/>
  <c r="U165" i="31" l="1"/>
  <c r="CV166" i="31" s="1"/>
  <c r="T165" i="31"/>
  <c r="CU166" i="31" s="1"/>
  <c r="HJ165" i="31"/>
  <c r="PC166" i="31"/>
  <c r="HL167" i="31"/>
  <c r="HE168" i="31"/>
  <c r="HG167" i="31"/>
  <c r="HF167" i="31"/>
  <c r="HJ166" i="31" l="1"/>
  <c r="PC167" i="31"/>
  <c r="T166" i="31"/>
  <c r="CU167" i="31" s="1"/>
  <c r="U166" i="31"/>
  <c r="CV167" i="31" s="1"/>
  <c r="HF168" i="31"/>
  <c r="HE169" i="31"/>
  <c r="HG168" i="31"/>
  <c r="HL168" i="31"/>
  <c r="HG169" i="31" l="1"/>
  <c r="HF169" i="31"/>
  <c r="HL169" i="31"/>
  <c r="HE170" i="31"/>
  <c r="PC168" i="31"/>
  <c r="T167" i="31"/>
  <c r="CU168" i="31" s="1"/>
  <c r="U167" i="31"/>
  <c r="CV168" i="31" s="1"/>
  <c r="HJ167" i="31"/>
  <c r="HJ168" i="31" l="1"/>
  <c r="PC169" i="31"/>
  <c r="U168" i="31"/>
  <c r="CV169" i="31" s="1"/>
  <c r="T168" i="31"/>
  <c r="CU169" i="31" s="1"/>
  <c r="HF170" i="31"/>
  <c r="HL170" i="31"/>
  <c r="HE171" i="31"/>
  <c r="HG170" i="31"/>
  <c r="T169" i="31" l="1"/>
  <c r="CU170" i="31" s="1"/>
  <c r="U169" i="31"/>
  <c r="CV170" i="31" s="1"/>
  <c r="HJ169" i="31"/>
  <c r="HL171" i="31"/>
  <c r="HF171" i="31"/>
  <c r="HG171" i="31"/>
  <c r="HE172" i="31"/>
  <c r="PC170" i="31"/>
  <c r="HG172" i="31" l="1"/>
  <c r="HF172" i="31"/>
  <c r="HL172" i="31"/>
  <c r="HE173" i="31"/>
  <c r="PC171" i="31"/>
  <c r="HJ170" i="31"/>
  <c r="T170" i="31"/>
  <c r="CU171" i="31" s="1"/>
  <c r="U170" i="31"/>
  <c r="CV171" i="31" s="1"/>
  <c r="HG173" i="31" l="1"/>
  <c r="HF173" i="31"/>
  <c r="HE174" i="31"/>
  <c r="HL173" i="31"/>
  <c r="HJ171" i="31"/>
  <c r="PC172" i="31"/>
  <c r="T171" i="31"/>
  <c r="CU172" i="31" s="1"/>
  <c r="U171" i="31"/>
  <c r="CV172" i="31" s="1"/>
  <c r="HG174" i="31" l="1"/>
  <c r="HE175" i="31"/>
  <c r="HF174" i="31"/>
  <c r="HL174" i="31"/>
  <c r="PC173" i="31"/>
  <c r="U172" i="31"/>
  <c r="CV173" i="31" s="1"/>
  <c r="T172" i="31"/>
  <c r="CU173" i="31" s="1"/>
  <c r="HJ172" i="31"/>
  <c r="PC174" i="31" l="1"/>
  <c r="HE176" i="31"/>
  <c r="HG175" i="31"/>
  <c r="HF175" i="31"/>
  <c r="HL175" i="31"/>
  <c r="T173" i="31"/>
  <c r="CU174" i="31" s="1"/>
  <c r="U173" i="31"/>
  <c r="CV174" i="31" s="1"/>
  <c r="HJ173" i="31"/>
  <c r="PC175" i="31" l="1"/>
  <c r="U174" i="31"/>
  <c r="CV175" i="31" s="1"/>
  <c r="T174" i="31"/>
  <c r="CU175" i="31" s="1"/>
  <c r="HG176" i="31"/>
  <c r="HL176" i="31"/>
  <c r="HF176" i="31"/>
  <c r="HE177" i="31"/>
  <c r="HJ174" i="31"/>
  <c r="HL177" i="31" l="1"/>
  <c r="HG177" i="31"/>
  <c r="HF177" i="31"/>
  <c r="HE178" i="31"/>
  <c r="HJ175" i="31"/>
  <c r="U175" i="31"/>
  <c r="CV176" i="31" s="1"/>
  <c r="T175" i="31"/>
  <c r="CU176" i="31" s="1"/>
  <c r="PC176" i="31"/>
  <c r="HJ176" i="31" l="1"/>
  <c r="HF178" i="31"/>
  <c r="HG178" i="31"/>
  <c r="HE179" i="31"/>
  <c r="HL178" i="31"/>
  <c r="PC177" i="31"/>
  <c r="T176" i="31"/>
  <c r="CU177" i="31" s="1"/>
  <c r="U176" i="31"/>
  <c r="CV177" i="31" s="1"/>
  <c r="HJ177" i="31" l="1"/>
  <c r="HL179" i="31"/>
  <c r="HF179" i="31"/>
  <c r="HG179" i="31"/>
  <c r="HE180" i="31"/>
  <c r="U177" i="31"/>
  <c r="CV178" i="31" s="1"/>
  <c r="T177" i="31"/>
  <c r="CU178" i="31" s="1"/>
  <c r="PC178" i="31"/>
  <c r="HE181" i="31" l="1"/>
  <c r="HG180" i="31"/>
  <c r="HL180" i="31"/>
  <c r="HF180" i="31"/>
  <c r="T178" i="31"/>
  <c r="CU179" i="31" s="1"/>
  <c r="U178" i="31"/>
  <c r="CV179" i="31" s="1"/>
  <c r="PC179" i="31"/>
  <c r="HJ178" i="31"/>
  <c r="T179" i="31" l="1"/>
  <c r="CU180" i="31" s="1"/>
  <c r="U179" i="31"/>
  <c r="CV180" i="31" s="1"/>
  <c r="PC180" i="31"/>
  <c r="HF181" i="31"/>
  <c r="HE182" i="31"/>
  <c r="HG181" i="31"/>
  <c r="HL181" i="31"/>
  <c r="HJ179" i="31"/>
  <c r="HF182" i="31" l="1"/>
  <c r="HE183" i="31"/>
  <c r="HL182" i="31"/>
  <c r="HG182" i="31"/>
  <c r="PC181" i="31"/>
  <c r="T180" i="31"/>
  <c r="CU181" i="31" s="1"/>
  <c r="U180" i="31"/>
  <c r="CV181" i="31" s="1"/>
  <c r="HJ180" i="31"/>
  <c r="HF183" i="31" l="1"/>
  <c r="HE184" i="31"/>
  <c r="HL183" i="31"/>
  <c r="HG183" i="31"/>
  <c r="HJ181" i="31"/>
  <c r="PC182" i="31"/>
  <c r="T181" i="31"/>
  <c r="CU182" i="31" s="1"/>
  <c r="U181" i="31"/>
  <c r="CV182" i="31" s="1"/>
  <c r="HJ182" i="31" l="1"/>
  <c r="HF184" i="31"/>
  <c r="HG184" i="31"/>
  <c r="HL184" i="31"/>
  <c r="HE185" i="31"/>
  <c r="U182" i="31"/>
  <c r="CV183" i="31" s="1"/>
  <c r="T182" i="31"/>
  <c r="CU183" i="31" s="1"/>
  <c r="PC183" i="31"/>
  <c r="PC184" i="31" l="1"/>
  <c r="U183" i="31"/>
  <c r="CV184" i="31" s="1"/>
  <c r="T183" i="31"/>
  <c r="CU184" i="31" s="1"/>
  <c r="HJ183" i="31"/>
  <c r="HF185" i="31"/>
  <c r="HG185" i="31"/>
  <c r="HL185" i="31"/>
  <c r="HE186" i="31"/>
  <c r="PC185" i="31" l="1"/>
  <c r="HJ184" i="31"/>
  <c r="U184" i="31"/>
  <c r="CV185" i="31" s="1"/>
  <c r="T184" i="31"/>
  <c r="CU185" i="31" s="1"/>
  <c r="HL186" i="31"/>
  <c r="HE187" i="31"/>
  <c r="HF186" i="31"/>
  <c r="HG186" i="31"/>
  <c r="HE188" i="31" l="1"/>
  <c r="HL187" i="31"/>
  <c r="HG187" i="31"/>
  <c r="HF187" i="31"/>
  <c r="T185" i="31"/>
  <c r="CU186" i="31" s="1"/>
  <c r="U185" i="31"/>
  <c r="CV186" i="31" s="1"/>
  <c r="PC186" i="31"/>
  <c r="HJ185" i="31"/>
  <c r="U186" i="31" l="1"/>
  <c r="CV187" i="31" s="1"/>
  <c r="T186" i="31"/>
  <c r="CU187" i="31" s="1"/>
  <c r="PC187" i="31"/>
  <c r="HJ186" i="31"/>
  <c r="HF188" i="31"/>
  <c r="HL188" i="31"/>
  <c r="HE189" i="31"/>
  <c r="HG188" i="31"/>
  <c r="HJ187" i="31" l="1"/>
  <c r="HF189" i="31"/>
  <c r="HG189" i="31"/>
  <c r="HL189" i="31"/>
  <c r="HE190" i="31"/>
  <c r="T187" i="31"/>
  <c r="CU188" i="31" s="1"/>
  <c r="U187" i="31"/>
  <c r="CV188" i="31" s="1"/>
  <c r="PC188" i="31"/>
  <c r="HF190" i="31" l="1"/>
  <c r="HL190" i="31"/>
  <c r="HG190" i="31"/>
  <c r="HE191" i="31"/>
  <c r="HJ188" i="31"/>
  <c r="PC189" i="31"/>
  <c r="T188" i="31"/>
  <c r="CU189" i="31" s="1"/>
  <c r="U188" i="31"/>
  <c r="CV189" i="31" s="1"/>
  <c r="PC190" i="31" l="1"/>
  <c r="T189" i="31"/>
  <c r="CU190" i="31" s="1"/>
  <c r="U189" i="31"/>
  <c r="CV190" i="31" s="1"/>
  <c r="HJ189" i="31"/>
  <c r="HG191" i="31"/>
  <c r="HL191" i="31"/>
  <c r="HF191" i="31"/>
  <c r="HE192" i="31"/>
  <c r="PC191" i="31" l="1"/>
  <c r="HJ190" i="31"/>
  <c r="T190" i="31"/>
  <c r="CU191" i="31" s="1"/>
  <c r="U190" i="31"/>
  <c r="CV191" i="31" s="1"/>
  <c r="HG192" i="31"/>
  <c r="HF192" i="31"/>
  <c r="HE193" i="31"/>
  <c r="HL192" i="31"/>
  <c r="HJ191" i="31" l="1"/>
  <c r="HF193" i="31"/>
  <c r="HG193" i="31"/>
  <c r="HE194" i="31"/>
  <c r="HL193" i="31"/>
  <c r="PC192" i="31"/>
  <c r="T191" i="31"/>
  <c r="CU192" i="31" s="1"/>
  <c r="U191" i="31"/>
  <c r="CV192" i="31" s="1"/>
  <c r="HJ192" i="31" l="1"/>
  <c r="PC193" i="31"/>
  <c r="U192" i="31"/>
  <c r="CV193" i="31" s="1"/>
  <c r="T192" i="31"/>
  <c r="CU193" i="31" s="1"/>
  <c r="HL194" i="31"/>
  <c r="HG194" i="31"/>
  <c r="HF194" i="31"/>
  <c r="HE195" i="31"/>
  <c r="HE196" i="31" l="1"/>
  <c r="HG195" i="31"/>
  <c r="HL195" i="31"/>
  <c r="HF195" i="31"/>
  <c r="U193" i="31"/>
  <c r="CV194" i="31" s="1"/>
  <c r="T193" i="31"/>
  <c r="CU194" i="31" s="1"/>
  <c r="PC194" i="31"/>
  <c r="HJ193" i="31"/>
  <c r="HJ194" i="31" l="1"/>
  <c r="PC195" i="31"/>
  <c r="T194" i="31"/>
  <c r="CU195" i="31" s="1"/>
  <c r="U194" i="31"/>
  <c r="CV195" i="31" s="1"/>
  <c r="HE197" i="31"/>
  <c r="HG196" i="31"/>
  <c r="HL196" i="31"/>
  <c r="HF196" i="31"/>
  <c r="HG197" i="31" l="1"/>
  <c r="HF197" i="31"/>
  <c r="HE198" i="31"/>
  <c r="HL197" i="31"/>
  <c r="HJ195" i="31"/>
  <c r="PC196" i="31"/>
  <c r="U195" i="31"/>
  <c r="CV196" i="31" s="1"/>
  <c r="T195" i="31"/>
  <c r="CU196" i="31" s="1"/>
  <c r="T196" i="31" l="1"/>
  <c r="CU197" i="31" s="1"/>
  <c r="U196" i="31"/>
  <c r="CV197" i="31" s="1"/>
  <c r="HL198" i="31"/>
  <c r="HF198" i="31"/>
  <c r="HE199" i="31"/>
  <c r="HG198" i="31"/>
  <c r="PC197" i="31"/>
  <c r="HJ196" i="31"/>
  <c r="T197" i="31" l="1"/>
  <c r="CU198" i="31" s="1"/>
  <c r="U197" i="31"/>
  <c r="CV198" i="31" s="1"/>
  <c r="HJ197" i="31"/>
  <c r="HL199" i="31"/>
  <c r="HE200" i="31"/>
  <c r="HF199" i="31"/>
  <c r="HG199" i="31"/>
  <c r="PC198" i="31"/>
  <c r="T198" i="31" l="1"/>
  <c r="CU199" i="31" s="1"/>
  <c r="U198" i="31"/>
  <c r="CV199" i="31" s="1"/>
  <c r="PC199" i="31"/>
  <c r="HE201" i="31"/>
  <c r="HG200" i="31"/>
  <c r="HL200" i="31"/>
  <c r="HF200" i="31"/>
  <c r="HJ198" i="31"/>
  <c r="T199" i="31" l="1"/>
  <c r="CU200" i="31" s="1"/>
  <c r="U199" i="31"/>
  <c r="CV200" i="31" s="1"/>
  <c r="HE202" i="31"/>
  <c r="HL201" i="31"/>
  <c r="HG201" i="31"/>
  <c r="HF201" i="31"/>
  <c r="HJ199" i="31"/>
  <c r="PC200" i="31"/>
  <c r="PC201" i="31" l="1"/>
  <c r="HJ200" i="31"/>
  <c r="HG202" i="31"/>
  <c r="HE203" i="31"/>
  <c r="HF202" i="31"/>
  <c r="HL202" i="31"/>
  <c r="T200" i="31"/>
  <c r="CU201" i="31" s="1"/>
  <c r="U200" i="31"/>
  <c r="CV201" i="31" s="1"/>
  <c r="PC202" i="31" l="1"/>
  <c r="HF203" i="31"/>
  <c r="HL203" i="31"/>
  <c r="HG203" i="31"/>
  <c r="HE204" i="31"/>
  <c r="HJ201" i="31"/>
  <c r="U201" i="31"/>
  <c r="CV202" i="31" s="1"/>
  <c r="T201" i="31"/>
  <c r="CU202" i="31" s="1"/>
  <c r="HF204" i="31" l="1"/>
  <c r="HE205" i="31"/>
  <c r="HL204" i="31"/>
  <c r="HG204" i="31"/>
  <c r="HJ202" i="31"/>
  <c r="PC203" i="31"/>
  <c r="U202" i="31"/>
  <c r="CV203" i="31" s="1"/>
  <c r="T202" i="31"/>
  <c r="CU203" i="31" s="1"/>
  <c r="HJ203" i="31" l="1"/>
  <c r="U203" i="31"/>
  <c r="CV204" i="31" s="1"/>
  <c r="T203" i="31"/>
  <c r="CU204" i="31" s="1"/>
  <c r="HL205" i="31"/>
  <c r="HE206" i="31"/>
  <c r="HG205" i="31"/>
  <c r="HF205" i="31"/>
  <c r="PC204" i="31"/>
  <c r="HE207" i="31" l="1"/>
  <c r="HF206" i="31"/>
  <c r="HG206" i="31"/>
  <c r="HL206" i="31"/>
  <c r="T204" i="31"/>
  <c r="CU205" i="31" s="1"/>
  <c r="U204" i="31"/>
  <c r="CV205" i="31" s="1"/>
  <c r="HJ204" i="31"/>
  <c r="PC205" i="31"/>
  <c r="T205" i="31" l="1"/>
  <c r="CU206" i="31" s="1"/>
  <c r="U205" i="31"/>
  <c r="CV206" i="31" s="1"/>
  <c r="HJ205" i="31"/>
  <c r="PC206" i="31"/>
  <c r="HF207" i="31"/>
  <c r="HG207" i="31"/>
  <c r="HE208" i="31"/>
  <c r="HL207" i="31"/>
  <c r="HF208" i="31" l="1"/>
  <c r="HE209" i="31"/>
  <c r="HG208" i="31"/>
  <c r="HL208" i="31"/>
  <c r="PC207" i="31"/>
  <c r="HJ206" i="31"/>
  <c r="T206" i="31"/>
  <c r="CU207" i="31" s="1"/>
  <c r="U206" i="31"/>
  <c r="CV207" i="31" s="1"/>
  <c r="HJ207" i="31" l="1"/>
  <c r="U207" i="31"/>
  <c r="CV208" i="31" s="1"/>
  <c r="T207" i="31"/>
  <c r="CU208" i="31" s="1"/>
  <c r="HL209" i="31"/>
  <c r="HE210" i="31"/>
  <c r="HG209" i="31"/>
  <c r="HF209" i="31"/>
  <c r="PC208" i="31"/>
  <c r="HE211" i="31" l="1"/>
  <c r="HF210" i="31"/>
  <c r="HG210" i="31"/>
  <c r="HL210" i="31"/>
  <c r="HJ208" i="31"/>
  <c r="U208" i="31"/>
  <c r="CV209" i="31" s="1"/>
  <c r="T208" i="31"/>
  <c r="CU209" i="31" s="1"/>
  <c r="PC209" i="31"/>
  <c r="PC210" i="31" l="1"/>
  <c r="T209" i="31"/>
  <c r="CU210" i="31" s="1"/>
  <c r="U209" i="31"/>
  <c r="CV210" i="31" s="1"/>
  <c r="HF211" i="31"/>
  <c r="HL211" i="31"/>
  <c r="HE212" i="31"/>
  <c r="HG211" i="31"/>
  <c r="HJ209" i="31"/>
  <c r="HE213" i="31" l="1"/>
  <c r="HL212" i="31"/>
  <c r="HG212" i="31"/>
  <c r="HF212" i="31"/>
  <c r="T210" i="31"/>
  <c r="CU211" i="31" s="1"/>
  <c r="U210" i="31"/>
  <c r="CV211" i="31" s="1"/>
  <c r="PC211" i="31"/>
  <c r="HJ210" i="31"/>
  <c r="PC212" i="31" l="1"/>
  <c r="HJ211" i="31"/>
  <c r="U211" i="31"/>
  <c r="CV212" i="31" s="1"/>
  <c r="T211" i="31"/>
  <c r="CU212" i="31" s="1"/>
  <c r="HL213" i="31"/>
  <c r="HG213" i="31"/>
  <c r="HF213" i="31"/>
  <c r="HE214" i="31"/>
  <c r="HG214" i="31" l="1"/>
  <c r="HF214" i="31"/>
  <c r="HE215" i="31"/>
  <c r="HL214" i="31"/>
  <c r="HJ212" i="31"/>
  <c r="PC213" i="31"/>
  <c r="U212" i="31"/>
  <c r="CV213" i="31" s="1"/>
  <c r="T212" i="31"/>
  <c r="CU213" i="31" s="1"/>
  <c r="HJ213" i="31" l="1"/>
  <c r="T213" i="31"/>
  <c r="CU214" i="31" s="1"/>
  <c r="U213" i="31"/>
  <c r="CV214" i="31" s="1"/>
  <c r="HF215" i="31"/>
  <c r="HG215" i="31"/>
  <c r="HL215" i="31"/>
  <c r="HE216" i="31"/>
  <c r="PC214" i="31"/>
  <c r="T214" i="31" l="1"/>
  <c r="CU215" i="31" s="1"/>
  <c r="U214" i="31"/>
  <c r="CV215" i="31" s="1"/>
  <c r="HL216" i="31"/>
  <c r="HF216" i="31"/>
  <c r="HE217" i="31"/>
  <c r="HG216" i="31"/>
  <c r="PC215" i="31"/>
  <c r="HJ214" i="31"/>
  <c r="HF217" i="31" l="1"/>
  <c r="HE218" i="31"/>
  <c r="HG217" i="31"/>
  <c r="HL217" i="31"/>
  <c r="PC216" i="31"/>
  <c r="HJ215" i="31"/>
  <c r="T215" i="31"/>
  <c r="CU216" i="31" s="1"/>
  <c r="U215" i="31"/>
  <c r="CV216" i="31" s="1"/>
  <c r="HJ216" i="31" l="1"/>
  <c r="HE219" i="31"/>
  <c r="HF218" i="31"/>
  <c r="HG218" i="31"/>
  <c r="HL218" i="31"/>
  <c r="PC217" i="31"/>
  <c r="U216" i="31"/>
  <c r="CV217" i="31" s="1"/>
  <c r="T216" i="31"/>
  <c r="CU217" i="31" s="1"/>
  <c r="U217" i="31" l="1"/>
  <c r="CV218" i="31" s="1"/>
  <c r="T217" i="31"/>
  <c r="CU218" i="31" s="1"/>
  <c r="PC218" i="31"/>
  <c r="HF219" i="31"/>
  <c r="HG219" i="31"/>
  <c r="HL219" i="31"/>
  <c r="HE220" i="31"/>
  <c r="HJ217" i="31"/>
  <c r="HJ218" i="31" l="1"/>
  <c r="PC219" i="31"/>
  <c r="U218" i="31"/>
  <c r="CV219" i="31" s="1"/>
  <c r="T218" i="31"/>
  <c r="CU219" i="31" s="1"/>
  <c r="HE221" i="31"/>
  <c r="HF220" i="31"/>
  <c r="HL220" i="31"/>
  <c r="HG220" i="31"/>
  <c r="HJ219" i="31" l="1"/>
  <c r="PC220" i="31"/>
  <c r="HF221" i="31"/>
  <c r="HG221" i="31"/>
  <c r="HL221" i="31"/>
  <c r="HE222" i="31"/>
  <c r="U219" i="31"/>
  <c r="CV220" i="31" s="1"/>
  <c r="T219" i="31"/>
  <c r="CU220" i="31" s="1"/>
  <c r="HF222" i="31" l="1"/>
  <c r="HG222" i="31"/>
  <c r="HL222" i="31"/>
  <c r="HE223" i="31"/>
  <c r="PC221" i="31"/>
  <c r="HJ220" i="31"/>
  <c r="T220" i="31"/>
  <c r="CU221" i="31" s="1"/>
  <c r="U220" i="31"/>
  <c r="CV221" i="31" s="1"/>
  <c r="HJ221" i="31" l="1"/>
  <c r="HG223" i="31"/>
  <c r="HE224" i="31"/>
  <c r="HF223" i="31"/>
  <c r="HL223" i="31"/>
  <c r="U221" i="31"/>
  <c r="CV222" i="31" s="1"/>
  <c r="T221" i="31"/>
  <c r="CU222" i="31" s="1"/>
  <c r="PC222" i="31"/>
  <c r="HJ222" i="31" l="1"/>
  <c r="PC223" i="31"/>
  <c r="HF224" i="31"/>
  <c r="HG224" i="31"/>
  <c r="HL224" i="31"/>
  <c r="HE225" i="31"/>
  <c r="T222" i="31"/>
  <c r="CU223" i="31" s="1"/>
  <c r="U222" i="31"/>
  <c r="CV223" i="31" s="1"/>
  <c r="PC224" i="31" l="1"/>
  <c r="T223" i="31"/>
  <c r="CU224" i="31" s="1"/>
  <c r="U223" i="31"/>
  <c r="CV224" i="31" s="1"/>
  <c r="HJ223" i="31"/>
  <c r="HF225" i="31"/>
  <c r="HE226" i="31"/>
  <c r="HL225" i="31"/>
  <c r="HG225" i="31"/>
  <c r="HG226" i="31" l="1"/>
  <c r="HL226" i="31"/>
  <c r="HF226" i="31"/>
  <c r="HE227" i="31"/>
  <c r="T224" i="31"/>
  <c r="CU225" i="31" s="1"/>
  <c r="U224" i="31"/>
  <c r="CV225" i="31" s="1"/>
  <c r="PC225" i="31"/>
  <c r="HJ224" i="31"/>
  <c r="HJ225" i="31" l="1"/>
  <c r="T225" i="31"/>
  <c r="CU226" i="31" s="1"/>
  <c r="U225" i="31"/>
  <c r="CV226" i="31" s="1"/>
  <c r="HF227" i="31"/>
  <c r="HE228" i="31"/>
  <c r="HL227" i="31"/>
  <c r="HG227" i="31"/>
  <c r="PC226" i="31"/>
  <c r="U226" i="31" l="1"/>
  <c r="CV227" i="31" s="1"/>
  <c r="T226" i="31"/>
  <c r="CU227" i="31" s="1"/>
  <c r="HF228" i="31"/>
  <c r="HG228" i="31"/>
  <c r="HE229" i="31"/>
  <c r="HL228" i="31"/>
  <c r="HJ226" i="31"/>
  <c r="PC227" i="31"/>
  <c r="HJ227" i="31" l="1"/>
  <c r="U227" i="31"/>
  <c r="CV228" i="31" s="1"/>
  <c r="T227" i="31"/>
  <c r="CU228" i="31" s="1"/>
  <c r="HE230" i="31"/>
  <c r="HF229" i="31"/>
  <c r="HL229" i="31"/>
  <c r="HG229" i="31"/>
  <c r="PC228" i="31"/>
  <c r="PC229" i="31" l="1"/>
  <c r="HE231" i="31"/>
  <c r="HL230" i="31"/>
  <c r="HF230" i="31"/>
  <c r="HG230" i="31"/>
  <c r="U228" i="31"/>
  <c r="CV229" i="31" s="1"/>
  <c r="T228" i="31"/>
  <c r="CU229" i="31" s="1"/>
  <c r="HJ228" i="31"/>
  <c r="HJ229" i="31" l="1"/>
  <c r="T229" i="31"/>
  <c r="CU230" i="31" s="1"/>
  <c r="U229" i="31"/>
  <c r="CV230" i="31" s="1"/>
  <c r="HE232" i="31"/>
  <c r="HF231" i="31"/>
  <c r="HL231" i="31"/>
  <c r="HG231" i="31"/>
  <c r="PC230" i="31"/>
  <c r="HF232" i="31" l="1"/>
  <c r="HE233" i="31"/>
  <c r="HL232" i="31"/>
  <c r="HG232" i="31"/>
  <c r="T230" i="31"/>
  <c r="CU231" i="31" s="1"/>
  <c r="U230" i="31"/>
  <c r="CV231" i="31" s="1"/>
  <c r="HJ230" i="31"/>
  <c r="PC231" i="31"/>
  <c r="T231" i="31" l="1"/>
  <c r="CU232" i="31" s="1"/>
  <c r="U231" i="31"/>
  <c r="CV232" i="31" s="1"/>
  <c r="HJ231" i="31"/>
  <c r="HE234" i="31"/>
  <c r="HG233" i="31"/>
  <c r="HL233" i="31"/>
  <c r="HF233" i="31"/>
  <c r="PC232" i="31"/>
  <c r="HJ232" i="31" l="1"/>
  <c r="PC233" i="31"/>
  <c r="HE235" i="31"/>
  <c r="HL234" i="31"/>
  <c r="HF234" i="31"/>
  <c r="HG234" i="31"/>
  <c r="T232" i="31"/>
  <c r="CU233" i="31" s="1"/>
  <c r="U232" i="31"/>
  <c r="CV233" i="31" s="1"/>
  <c r="U233" i="31" l="1"/>
  <c r="CV234" i="31" s="1"/>
  <c r="T233" i="31"/>
  <c r="CU234" i="31" s="1"/>
  <c r="PC234" i="31"/>
  <c r="HJ233" i="31"/>
  <c r="HF235" i="31"/>
  <c r="HG235" i="31"/>
  <c r="HL235" i="31"/>
  <c r="HE236" i="31"/>
  <c r="HJ234" i="31" l="1"/>
  <c r="HF236" i="31"/>
  <c r="HL236" i="31"/>
  <c r="HG236" i="31"/>
  <c r="HE237" i="31"/>
  <c r="U234" i="31"/>
  <c r="CV235" i="31" s="1"/>
  <c r="T234" i="31"/>
  <c r="CU235" i="31" s="1"/>
  <c r="PC235" i="31"/>
  <c r="PC236" i="31" l="1"/>
  <c r="T235" i="31"/>
  <c r="CU236" i="31" s="1"/>
  <c r="U235" i="31"/>
  <c r="CV236" i="31" s="1"/>
  <c r="HJ235" i="31"/>
  <c r="HG237" i="31"/>
  <c r="HL237" i="31"/>
  <c r="HF237" i="31"/>
  <c r="HE238" i="31"/>
  <c r="PC237" i="31" l="1"/>
  <c r="T236" i="31"/>
  <c r="CU237" i="31" s="1"/>
  <c r="U236" i="31"/>
  <c r="CV237" i="31" s="1"/>
  <c r="HL238" i="31"/>
  <c r="HE239" i="31"/>
  <c r="HG238" i="31"/>
  <c r="HF238" i="31"/>
  <c r="HJ236" i="31"/>
  <c r="PC238" i="31" l="1"/>
  <c r="T237" i="31"/>
  <c r="CU238" i="31" s="1"/>
  <c r="U237" i="31"/>
  <c r="CV238" i="31" s="1"/>
  <c r="HJ237" i="31"/>
  <c r="HE240" i="31"/>
  <c r="HF239" i="31"/>
  <c r="HL239" i="31"/>
  <c r="HG239" i="31"/>
  <c r="PC239" i="31" l="1"/>
  <c r="HG240" i="31"/>
  <c r="HL240" i="31"/>
  <c r="HE241" i="31"/>
  <c r="HF240" i="31"/>
  <c r="T238" i="31"/>
  <c r="CU239" i="31" s="1"/>
  <c r="U238" i="31"/>
  <c r="CV239" i="31" s="1"/>
  <c r="HJ238" i="31"/>
  <c r="T239" i="31" l="1"/>
  <c r="CU240" i="31" s="1"/>
  <c r="U239" i="31"/>
  <c r="CV240" i="31" s="1"/>
  <c r="HJ239" i="31"/>
  <c r="PC240" i="31"/>
  <c r="HG241" i="31"/>
  <c r="HF241" i="31"/>
  <c r="HL241" i="31"/>
  <c r="HE242" i="31"/>
  <c r="U240" i="31" l="1"/>
  <c r="CV241" i="31" s="1"/>
  <c r="T240" i="31"/>
  <c r="CU241" i="31" s="1"/>
  <c r="HJ240" i="31"/>
  <c r="HG242" i="31"/>
  <c r="HE243" i="31"/>
  <c r="HL242" i="31"/>
  <c r="HF242" i="31"/>
  <c r="PC241" i="31"/>
  <c r="PC242" i="31" l="1"/>
  <c r="HG243" i="31"/>
  <c r="HE244" i="31"/>
  <c r="HF243" i="31"/>
  <c r="HL243" i="31"/>
  <c r="HJ241" i="31"/>
  <c r="U241" i="31"/>
  <c r="CV242" i="31" s="1"/>
  <c r="T241" i="31"/>
  <c r="CU242" i="31" s="1"/>
  <c r="PC243" i="31" l="1"/>
  <c r="HE245" i="31"/>
  <c r="HL244" i="31"/>
  <c r="HF244" i="31"/>
  <c r="HG244" i="31"/>
  <c r="HJ242" i="31"/>
  <c r="T242" i="31"/>
  <c r="CU243" i="31" s="1"/>
  <c r="U242" i="31"/>
  <c r="CV243" i="31" s="1"/>
  <c r="PC244" i="31" l="1"/>
  <c r="HF245" i="31"/>
  <c r="HL245" i="31"/>
  <c r="HE246" i="31"/>
  <c r="HG245" i="31"/>
  <c r="HJ243" i="31"/>
  <c r="U243" i="31"/>
  <c r="CV244" i="31" s="1"/>
  <c r="T243" i="31"/>
  <c r="CU244" i="31" s="1"/>
  <c r="HL246" i="31" l="1"/>
  <c r="HG246" i="31"/>
  <c r="HF246" i="31"/>
  <c r="HE247" i="31"/>
  <c r="HJ244" i="31"/>
  <c r="PC245" i="31"/>
  <c r="T244" i="31"/>
  <c r="CU245" i="31" s="1"/>
  <c r="U244" i="31"/>
  <c r="CV245" i="31" s="1"/>
  <c r="HJ245" i="31" l="1"/>
  <c r="HF247" i="31"/>
  <c r="HL247" i="31"/>
  <c r="HG247" i="31"/>
  <c r="HE248" i="31"/>
  <c r="PC246" i="31"/>
  <c r="T245" i="31"/>
  <c r="CU246" i="31" s="1"/>
  <c r="U245" i="31"/>
  <c r="CV246" i="31" s="1"/>
  <c r="U246" i="31" l="1"/>
  <c r="CV247" i="31" s="1"/>
  <c r="T246" i="31"/>
  <c r="CU247" i="31" s="1"/>
  <c r="HE249" i="31"/>
  <c r="HF248" i="31"/>
  <c r="HL248" i="31"/>
  <c r="HG248" i="31"/>
  <c r="PC247" i="31"/>
  <c r="HJ246" i="31"/>
  <c r="T247" i="31" l="1"/>
  <c r="CU248" i="31" s="1"/>
  <c r="U247" i="31"/>
  <c r="CV248" i="31" s="1"/>
  <c r="PC248" i="31"/>
  <c r="HF249" i="31"/>
  <c r="HG249" i="31"/>
  <c r="HL249" i="31"/>
  <c r="HE250" i="31"/>
  <c r="HJ247" i="31"/>
  <c r="T248" i="31" l="1"/>
  <c r="CU249" i="31" s="1"/>
  <c r="U248" i="31"/>
  <c r="CV249" i="31" s="1"/>
  <c r="HE251" i="31"/>
  <c r="HF250" i="31"/>
  <c r="HL250" i="31"/>
  <c r="HG250" i="31"/>
  <c r="PC249" i="31"/>
  <c r="HJ248" i="31"/>
  <c r="U249" i="31" l="1"/>
  <c r="CV250" i="31" s="1"/>
  <c r="T249" i="31"/>
  <c r="CU250" i="31" s="1"/>
  <c r="HJ249" i="31"/>
  <c r="PC250" i="31"/>
  <c r="HE252" i="31"/>
  <c r="HL251" i="31"/>
  <c r="HF251" i="31"/>
  <c r="HG251" i="31"/>
  <c r="PC251" i="31" l="1"/>
  <c r="T250" i="31"/>
  <c r="CU251" i="31" s="1"/>
  <c r="U250" i="31"/>
  <c r="CV251" i="31" s="1"/>
  <c r="HL252" i="31"/>
  <c r="HE253" i="31"/>
  <c r="HG252" i="31"/>
  <c r="HF252" i="31"/>
  <c r="HJ250" i="31"/>
  <c r="HJ251" i="31" l="1"/>
  <c r="PC252" i="31"/>
  <c r="HF253" i="31"/>
  <c r="HL253" i="31"/>
  <c r="HG253" i="31"/>
  <c r="HE254" i="31"/>
  <c r="T251" i="31"/>
  <c r="CU252" i="31" s="1"/>
  <c r="U251" i="31"/>
  <c r="CV252" i="31" s="1"/>
  <c r="HJ252" i="31" l="1"/>
  <c r="PC253" i="31"/>
  <c r="U252" i="31"/>
  <c r="CV253" i="31" s="1"/>
  <c r="T252" i="31"/>
  <c r="CU253" i="31" s="1"/>
  <c r="HL254" i="31"/>
  <c r="HG254" i="31"/>
  <c r="HE255" i="31"/>
  <c r="HF254" i="31"/>
  <c r="HJ253" i="31" l="1"/>
  <c r="U253" i="31"/>
  <c r="CV254" i="31" s="1"/>
  <c r="T253" i="31"/>
  <c r="CU254" i="31" s="1"/>
  <c r="PC254" i="31"/>
  <c r="HL255" i="31"/>
  <c r="HG255" i="31"/>
  <c r="HE256" i="31"/>
  <c r="HF255" i="31"/>
  <c r="HJ254" i="31" l="1"/>
  <c r="PC255" i="31"/>
  <c r="HG256" i="31"/>
  <c r="HF256" i="31"/>
  <c r="HL256" i="31"/>
  <c r="HE257" i="31"/>
  <c r="T254" i="31"/>
  <c r="CU255" i="31" s="1"/>
  <c r="U254" i="31"/>
  <c r="CV255" i="31" s="1"/>
  <c r="HF257" i="31" l="1"/>
  <c r="HG257" i="31"/>
  <c r="HE258" i="31"/>
  <c r="HL257" i="31"/>
  <c r="U255" i="31"/>
  <c r="CV256" i="31" s="1"/>
  <c r="T255" i="31"/>
  <c r="CU256" i="31" s="1"/>
  <c r="PC256" i="31"/>
  <c r="HJ255" i="31"/>
  <c r="HJ256" i="31" l="1"/>
  <c r="T256" i="31"/>
  <c r="CU257" i="31" s="1"/>
  <c r="U256" i="31"/>
  <c r="CV257" i="31" s="1"/>
  <c r="HL258" i="31"/>
  <c r="HG258" i="31"/>
  <c r="HE259" i="31"/>
  <c r="HF258" i="31"/>
  <c r="PC257" i="31"/>
  <c r="T257" i="31" l="1"/>
  <c r="CU258" i="31" s="1"/>
  <c r="U257" i="31"/>
  <c r="CV258" i="31" s="1"/>
  <c r="PC258" i="31"/>
  <c r="HE260" i="31"/>
  <c r="HF259" i="31"/>
  <c r="HL259" i="31"/>
  <c r="HG259" i="31"/>
  <c r="HJ257" i="31"/>
  <c r="HL260" i="31" l="1"/>
  <c r="HF260" i="31"/>
  <c r="HE261" i="31"/>
  <c r="HG260" i="31"/>
  <c r="T258" i="31"/>
  <c r="CU259" i="31" s="1"/>
  <c r="U258" i="31"/>
  <c r="CV259" i="31" s="1"/>
  <c r="HJ258" i="31"/>
  <c r="PC259" i="31"/>
  <c r="HJ259" i="31" l="1"/>
  <c r="T259" i="31"/>
  <c r="CU260" i="31" s="1"/>
  <c r="U259" i="31"/>
  <c r="CV260" i="31" s="1"/>
  <c r="HG261" i="31"/>
  <c r="HL261" i="31"/>
  <c r="HE262" i="31"/>
  <c r="HF261" i="31"/>
  <c r="PC260" i="31"/>
  <c r="PC261" i="31" l="1"/>
  <c r="HE263" i="31"/>
  <c r="HF262" i="31"/>
  <c r="HG262" i="31"/>
  <c r="HL262" i="31"/>
  <c r="HJ260" i="31"/>
  <c r="U260" i="31"/>
  <c r="CV261" i="31" s="1"/>
  <c r="T260" i="31"/>
  <c r="CU261" i="31" s="1"/>
  <c r="HG263" i="31" l="1"/>
  <c r="HF263" i="31"/>
  <c r="HE264" i="31"/>
  <c r="HL263" i="31"/>
  <c r="HJ261" i="31"/>
  <c r="U261" i="31"/>
  <c r="CV262" i="31" s="1"/>
  <c r="T261" i="31"/>
  <c r="CU262" i="31" s="1"/>
  <c r="PC262" i="31"/>
  <c r="HG264" i="31" l="1"/>
  <c r="HL264" i="31"/>
  <c r="HE265" i="31"/>
  <c r="HF264" i="31"/>
  <c r="PC263" i="31"/>
  <c r="HJ262" i="31"/>
  <c r="U262" i="31"/>
  <c r="CV263" i="31" s="1"/>
  <c r="T262" i="31"/>
  <c r="CU263" i="31" s="1"/>
  <c r="HJ263" i="31" l="1"/>
  <c r="PC264" i="31"/>
  <c r="T263" i="31"/>
  <c r="CU264" i="31" s="1"/>
  <c r="U263" i="31"/>
  <c r="CV264" i="31" s="1"/>
  <c r="HF265" i="31"/>
  <c r="HG265" i="31"/>
  <c r="HL265" i="31"/>
  <c r="HE266" i="31"/>
  <c r="PC265" i="31" l="1"/>
  <c r="HJ264" i="31"/>
  <c r="HE267" i="31"/>
  <c r="HG266" i="31"/>
  <c r="HF266" i="31"/>
  <c r="HL266" i="31"/>
  <c r="U264" i="31"/>
  <c r="CV265" i="31" s="1"/>
  <c r="T264" i="31"/>
  <c r="CU265" i="31" s="1"/>
  <c r="PC266" i="31" l="1"/>
  <c r="HF267" i="31"/>
  <c r="HL267" i="31"/>
  <c r="HG267" i="31"/>
  <c r="HE268" i="31"/>
  <c r="T265" i="31"/>
  <c r="CU266" i="31" s="1"/>
  <c r="U265" i="31"/>
  <c r="CV266" i="31" s="1"/>
  <c r="HJ265" i="31"/>
  <c r="HJ266" i="31" l="1"/>
  <c r="HL268" i="31"/>
  <c r="HG268" i="31"/>
  <c r="HE269" i="31"/>
  <c r="HF268" i="31"/>
  <c r="PC267" i="31"/>
  <c r="T266" i="31"/>
  <c r="CU267" i="31" s="1"/>
  <c r="U266" i="31"/>
  <c r="CV267" i="31" s="1"/>
  <c r="T267" i="31" l="1"/>
  <c r="CU268" i="31" s="1"/>
  <c r="U267" i="31"/>
  <c r="CV268" i="31" s="1"/>
  <c r="PC268" i="31"/>
  <c r="HJ267" i="31"/>
  <c r="HG269" i="31"/>
  <c r="HF269" i="31"/>
  <c r="HL269" i="31"/>
  <c r="HE270" i="31"/>
  <c r="HF270" i="31" l="1"/>
  <c r="HG270" i="31"/>
  <c r="HE271" i="31"/>
  <c r="HL270" i="31"/>
  <c r="HJ268" i="31"/>
  <c r="PC269" i="31"/>
  <c r="T268" i="31"/>
  <c r="CU269" i="31" s="1"/>
  <c r="U268" i="31"/>
  <c r="CV269" i="31" s="1"/>
  <c r="HJ269" i="31" l="1"/>
  <c r="U269" i="31"/>
  <c r="CV270" i="31" s="1"/>
  <c r="T269" i="31"/>
  <c r="CU270" i="31" s="1"/>
  <c r="HG271" i="31"/>
  <c r="HF271" i="31"/>
  <c r="HL271" i="31"/>
  <c r="HE272" i="31"/>
  <c r="PC270" i="31"/>
  <c r="T270" i="31" l="1"/>
  <c r="CU271" i="31" s="1"/>
  <c r="U270" i="31"/>
  <c r="CV271" i="31" s="1"/>
  <c r="HF272" i="31"/>
  <c r="HE273" i="31"/>
  <c r="HG272" i="31"/>
  <c r="HL272" i="31"/>
  <c r="PC271" i="31"/>
  <c r="HJ270" i="31"/>
  <c r="HL273" i="31" l="1"/>
  <c r="HF273" i="31"/>
  <c r="HE274" i="31"/>
  <c r="HG273" i="31"/>
  <c r="U271" i="31"/>
  <c r="CV272" i="31" s="1"/>
  <c r="T271" i="31"/>
  <c r="CU272" i="31" s="1"/>
  <c r="PC272" i="31"/>
  <c r="HJ271" i="31"/>
  <c r="T272" i="31" l="1"/>
  <c r="CU273" i="31" s="1"/>
  <c r="U272" i="31"/>
  <c r="CV273" i="31" s="1"/>
  <c r="HL274" i="31"/>
  <c r="HG274" i="31"/>
  <c r="HE275" i="31"/>
  <c r="HF274" i="31"/>
  <c r="PC273" i="31"/>
  <c r="HJ272" i="31"/>
  <c r="U273" i="31" l="1"/>
  <c r="CV274" i="31" s="1"/>
  <c r="T273" i="31"/>
  <c r="CU274" i="31" s="1"/>
  <c r="PC274" i="31"/>
  <c r="HF275" i="31"/>
  <c r="HL275" i="31"/>
  <c r="HE276" i="31"/>
  <c r="HG275" i="31"/>
  <c r="HJ273" i="31"/>
  <c r="U274" i="31" l="1"/>
  <c r="CV275" i="31" s="1"/>
  <c r="T274" i="31"/>
  <c r="CU275" i="31" s="1"/>
  <c r="HF276" i="31"/>
  <c r="HG276" i="31"/>
  <c r="HE277" i="31"/>
  <c r="HL276" i="31"/>
  <c r="PC275" i="31"/>
  <c r="HJ274" i="31"/>
  <c r="HJ275" i="31" l="1"/>
  <c r="T275" i="31"/>
  <c r="CU276" i="31" s="1"/>
  <c r="U275" i="31"/>
  <c r="CV276" i="31" s="1"/>
  <c r="HF277" i="31"/>
  <c r="HG277" i="31"/>
  <c r="HL277" i="31"/>
  <c r="HE278" i="31"/>
  <c r="PC276" i="31"/>
  <c r="T276" i="31" l="1"/>
  <c r="CU277" i="31" s="1"/>
  <c r="U276" i="31"/>
  <c r="CV277" i="31" s="1"/>
  <c r="HJ276" i="31"/>
  <c r="PC277" i="31"/>
  <c r="HL278" i="31"/>
  <c r="HE279" i="31"/>
  <c r="HF278" i="31"/>
  <c r="HG278" i="31"/>
  <c r="PC278" i="31" l="1"/>
  <c r="HG279" i="31"/>
  <c r="HE280" i="31"/>
  <c r="HF279" i="31"/>
  <c r="HL279" i="31"/>
  <c r="HJ277" i="31"/>
  <c r="T277" i="31"/>
  <c r="CU278" i="31" s="1"/>
  <c r="U277" i="31"/>
  <c r="CV278" i="31" s="1"/>
  <c r="PC279" i="31" l="1"/>
  <c r="HJ278" i="31"/>
  <c r="HE281" i="31"/>
  <c r="HF280" i="31"/>
  <c r="HL280" i="31"/>
  <c r="HG280" i="31"/>
  <c r="U278" i="31"/>
  <c r="CV279" i="31" s="1"/>
  <c r="T278" i="31"/>
  <c r="CU279" i="31" s="1"/>
  <c r="HF281" i="31" l="1"/>
  <c r="HG281" i="31"/>
  <c r="HL281" i="31"/>
  <c r="HE282" i="31"/>
  <c r="HJ279" i="31"/>
  <c r="U279" i="31"/>
  <c r="CV280" i="31" s="1"/>
  <c r="T279" i="31"/>
  <c r="CU280" i="31" s="1"/>
  <c r="PC280" i="31"/>
  <c r="HL282" i="31" l="1"/>
  <c r="HF282" i="31"/>
  <c r="HE283" i="31"/>
  <c r="HG282" i="31"/>
  <c r="T280" i="31"/>
  <c r="CU281" i="31" s="1"/>
  <c r="U280" i="31"/>
  <c r="CV281" i="31" s="1"/>
  <c r="HJ280" i="31"/>
  <c r="PC281" i="31"/>
  <c r="HJ281" i="31" l="1"/>
  <c r="U281" i="31"/>
  <c r="CV282" i="31" s="1"/>
  <c r="T281" i="31"/>
  <c r="CU282" i="31" s="1"/>
  <c r="HG283" i="31"/>
  <c r="HL283" i="31"/>
  <c r="HF283" i="31"/>
  <c r="HE284" i="31"/>
  <c r="PC282" i="31"/>
  <c r="HJ282" i="31" l="1"/>
  <c r="U282" i="31"/>
  <c r="CV283" i="31" s="1"/>
  <c r="T282" i="31"/>
  <c r="CU283" i="31" s="1"/>
  <c r="HL284" i="31"/>
  <c r="HF284" i="31"/>
  <c r="HG284" i="31"/>
  <c r="HE285" i="31"/>
  <c r="PC283" i="31"/>
  <c r="T283" i="31" l="1"/>
  <c r="CU284" i="31" s="1"/>
  <c r="U283" i="31"/>
  <c r="CV284" i="31" s="1"/>
  <c r="HJ283" i="31"/>
  <c r="HF285" i="31"/>
  <c r="HL285" i="31"/>
  <c r="HG285" i="31"/>
  <c r="HE286" i="31"/>
  <c r="PC284" i="31"/>
  <c r="HE287" i="31" l="1"/>
  <c r="HL286" i="31"/>
  <c r="HF286" i="31"/>
  <c r="HG286" i="31"/>
  <c r="PC285" i="31"/>
  <c r="U284" i="31"/>
  <c r="CV285" i="31" s="1"/>
  <c r="T284" i="31"/>
  <c r="CU285" i="31" s="1"/>
  <c r="HJ284" i="31"/>
  <c r="T285" i="31" l="1"/>
  <c r="CU286" i="31" s="1"/>
  <c r="U285" i="31"/>
  <c r="CV286" i="31" s="1"/>
  <c r="PC286" i="31"/>
  <c r="HJ285" i="31"/>
  <c r="HG287" i="31"/>
  <c r="HE288" i="31"/>
  <c r="HL287" i="31"/>
  <c r="HF287" i="31"/>
  <c r="PC287" i="31" l="1"/>
  <c r="T286" i="31"/>
  <c r="CU287" i="31" s="1"/>
  <c r="U286" i="31"/>
  <c r="CV287" i="31" s="1"/>
  <c r="HJ286" i="31"/>
  <c r="HG288" i="31"/>
  <c r="HE289" i="31"/>
  <c r="HL288" i="31"/>
  <c r="HF288" i="31"/>
  <c r="PC288" i="31" l="1"/>
  <c r="HJ287" i="31"/>
  <c r="HG289" i="31"/>
  <c r="HL289" i="31"/>
  <c r="HE290" i="31"/>
  <c r="HF289" i="31"/>
  <c r="T287" i="31"/>
  <c r="CU288" i="31" s="1"/>
  <c r="U287" i="31"/>
  <c r="CV288" i="31" s="1"/>
  <c r="T288" i="31" l="1"/>
  <c r="CU289" i="31" s="1"/>
  <c r="U288" i="31"/>
  <c r="CV289" i="31" s="1"/>
  <c r="HJ288" i="31"/>
  <c r="PC289" i="31"/>
  <c r="HL290" i="31"/>
  <c r="HG290" i="31"/>
  <c r="HE291" i="31"/>
  <c r="HF290" i="31"/>
  <c r="HJ289" i="31" l="1"/>
  <c r="PC290" i="31"/>
  <c r="HL291" i="31"/>
  <c r="HG291" i="31"/>
  <c r="HE292" i="31"/>
  <c r="HF291" i="31"/>
  <c r="U289" i="31"/>
  <c r="CV290" i="31" s="1"/>
  <c r="T289" i="31"/>
  <c r="CU290" i="31" s="1"/>
  <c r="HJ290" i="31" l="1"/>
  <c r="U290" i="31"/>
  <c r="CV291" i="31" s="1"/>
  <c r="T290" i="31"/>
  <c r="CU291" i="31" s="1"/>
  <c r="PC291" i="31"/>
  <c r="HL292" i="31"/>
  <c r="HG292" i="31"/>
  <c r="HE293" i="31"/>
  <c r="HF292" i="31"/>
  <c r="T291" i="31" l="1"/>
  <c r="CU292" i="31" s="1"/>
  <c r="U291" i="31"/>
  <c r="CV292" i="31" s="1"/>
  <c r="PC292" i="31"/>
  <c r="HG293" i="31"/>
  <c r="HL293" i="31"/>
  <c r="HE294" i="31"/>
  <c r="HF293" i="31"/>
  <c r="HJ291" i="31"/>
  <c r="PC293" i="31" l="1"/>
  <c r="HJ292" i="31"/>
  <c r="HE295" i="31"/>
  <c r="HL294" i="31"/>
  <c r="HF294" i="31"/>
  <c r="HG294" i="31"/>
  <c r="T292" i="31"/>
  <c r="CU293" i="31" s="1"/>
  <c r="U292" i="31"/>
  <c r="CV293" i="31" s="1"/>
  <c r="HJ293" i="31" l="1"/>
  <c r="U293" i="31"/>
  <c r="CV294" i="31" s="1"/>
  <c r="T293" i="31"/>
  <c r="CU294" i="31" s="1"/>
  <c r="PC294" i="31"/>
  <c r="HL295" i="31"/>
  <c r="HG295" i="31"/>
  <c r="HE296" i="31"/>
  <c r="HF295" i="31"/>
  <c r="HJ294" i="31" l="1"/>
  <c r="U294" i="31"/>
  <c r="CV295" i="31" s="1"/>
  <c r="T294" i="31"/>
  <c r="CU295" i="31" s="1"/>
  <c r="PC295" i="31"/>
  <c r="HE297" i="31"/>
  <c r="HF296" i="31"/>
  <c r="HG296" i="31"/>
  <c r="HL296" i="31"/>
  <c r="PC296" i="31" l="1"/>
  <c r="HL297" i="31"/>
  <c r="HE298" i="31"/>
  <c r="HF297" i="31"/>
  <c r="HG297" i="31"/>
  <c r="HJ295" i="31"/>
  <c r="U295" i="31"/>
  <c r="CV296" i="31" s="1"/>
  <c r="T295" i="31"/>
  <c r="CU296" i="31" s="1"/>
  <c r="PC297" i="31" l="1"/>
  <c r="HE299" i="31"/>
  <c r="HG298" i="31"/>
  <c r="HL298" i="31"/>
  <c r="HF298" i="31"/>
  <c r="U296" i="31"/>
  <c r="CV297" i="31" s="1"/>
  <c r="T296" i="31"/>
  <c r="CU297" i="31" s="1"/>
  <c r="HJ296" i="31"/>
  <c r="PC298" i="31" l="1"/>
  <c r="HJ297" i="31"/>
  <c r="HL299" i="31"/>
  <c r="HG299" i="31"/>
  <c r="HE300" i="31"/>
  <c r="HF299" i="31"/>
  <c r="T297" i="31"/>
  <c r="CU298" i="31" s="1"/>
  <c r="U297" i="31"/>
  <c r="CV298" i="31" s="1"/>
  <c r="HJ298" i="31" l="1"/>
  <c r="T298" i="31"/>
  <c r="CU299" i="31" s="1"/>
  <c r="U298" i="31"/>
  <c r="CV299" i="31" s="1"/>
  <c r="PC299" i="31"/>
  <c r="HE301" i="31"/>
  <c r="HF300" i="31"/>
  <c r="HL300" i="31"/>
  <c r="HG300" i="31"/>
  <c r="U299" i="31" l="1"/>
  <c r="CV300" i="31" s="1"/>
  <c r="T299" i="31"/>
  <c r="CU300" i="31" s="1"/>
  <c r="PC300" i="31"/>
  <c r="HL301" i="31"/>
  <c r="HE302" i="31"/>
  <c r="HF301" i="31"/>
  <c r="HG301" i="31"/>
  <c r="HJ299" i="31"/>
  <c r="PC301" i="31" l="1"/>
  <c r="HE303" i="31"/>
  <c r="HL302" i="31"/>
  <c r="HF302" i="31"/>
  <c r="HG302" i="31"/>
  <c r="U300" i="31"/>
  <c r="CV301" i="31" s="1"/>
  <c r="T300" i="31"/>
  <c r="CU301" i="31" s="1"/>
  <c r="HJ300" i="31"/>
  <c r="PC302" i="31" l="1"/>
  <c r="HE304" i="31"/>
  <c r="HG303" i="31"/>
  <c r="HF303" i="31"/>
  <c r="HL303" i="31"/>
  <c r="T301" i="31"/>
  <c r="CU302" i="31" s="1"/>
  <c r="U301" i="31"/>
  <c r="CV302" i="31" s="1"/>
  <c r="HJ301" i="31"/>
  <c r="PC303" i="31" l="1"/>
  <c r="U302" i="31"/>
  <c r="CV303" i="31" s="1"/>
  <c r="T302" i="31"/>
  <c r="CU303" i="31" s="1"/>
  <c r="HJ302" i="31"/>
  <c r="HL304" i="31"/>
  <c r="HF304" i="31"/>
  <c r="HE305" i="31"/>
  <c r="HG304" i="31"/>
  <c r="HJ303" i="31" l="1"/>
  <c r="HL305" i="31"/>
  <c r="HG305" i="31"/>
  <c r="HF305" i="31"/>
  <c r="HE306" i="31"/>
  <c r="PC304" i="31"/>
  <c r="T303" i="31"/>
  <c r="CU304" i="31" s="1"/>
  <c r="U303" i="31"/>
  <c r="CV304" i="31" s="1"/>
  <c r="U304" i="31" l="1"/>
  <c r="CV305" i="31" s="1"/>
  <c r="T304" i="31"/>
  <c r="CU305" i="31" s="1"/>
  <c r="HG306" i="31"/>
  <c r="HL306" i="31"/>
  <c r="HE307" i="31"/>
  <c r="HF306" i="31"/>
  <c r="HJ304" i="31"/>
  <c r="PC305" i="31"/>
  <c r="U305" i="31" l="1"/>
  <c r="CV306" i="31" s="1"/>
  <c r="T305" i="31"/>
  <c r="CU306" i="31" s="1"/>
  <c r="PC306" i="31"/>
  <c r="HG307" i="31"/>
  <c r="HL307" i="31"/>
  <c r="HE308" i="31"/>
  <c r="HF307" i="31"/>
  <c r="HJ305" i="31"/>
  <c r="T306" i="31" l="1"/>
  <c r="CU307" i="31" s="1"/>
  <c r="U306" i="31"/>
  <c r="CV307" i="31" s="1"/>
  <c r="HJ306" i="31"/>
  <c r="PC307" i="31"/>
  <c r="HE309" i="31"/>
  <c r="HG308" i="31"/>
  <c r="HL308" i="31"/>
  <c r="HF308" i="31"/>
  <c r="PC308" i="31" l="1"/>
  <c r="HF309" i="31"/>
  <c r="HL309" i="31"/>
  <c r="HE310" i="31"/>
  <c r="HG309" i="31"/>
  <c r="U307" i="31"/>
  <c r="CV308" i="31" s="1"/>
  <c r="T307" i="31"/>
  <c r="CU308" i="31" s="1"/>
  <c r="HJ307" i="31"/>
  <c r="HG310" i="31" l="1"/>
  <c r="HL310" i="31"/>
  <c r="HE311" i="31"/>
  <c r="HF310" i="31"/>
  <c r="HJ308" i="31"/>
  <c r="PC309" i="31"/>
  <c r="U308" i="31"/>
  <c r="CV309" i="31" s="1"/>
  <c r="T308" i="31"/>
  <c r="CU309" i="31" s="1"/>
  <c r="HJ309" i="31" l="1"/>
  <c r="PC310" i="31"/>
  <c r="HF311" i="31"/>
  <c r="HL311" i="31"/>
  <c r="HE312" i="31"/>
  <c r="HG311" i="31"/>
  <c r="U309" i="31"/>
  <c r="CV310" i="31" s="1"/>
  <c r="T309" i="31"/>
  <c r="CU310" i="31" s="1"/>
  <c r="HJ310" i="31" l="1"/>
  <c r="PC311" i="31"/>
  <c r="HL312" i="31"/>
  <c r="HE313" i="31"/>
  <c r="HG312" i="31"/>
  <c r="HF312" i="31"/>
  <c r="U310" i="31"/>
  <c r="CV311" i="31" s="1"/>
  <c r="T310" i="31"/>
  <c r="CU311" i="31" s="1"/>
  <c r="HJ311" i="31" l="1"/>
  <c r="PC312" i="31"/>
  <c r="T311" i="31"/>
  <c r="CU312" i="31" s="1"/>
  <c r="U311" i="31"/>
  <c r="CV312" i="31" s="1"/>
  <c r="HF313" i="31"/>
  <c r="HG313" i="31"/>
  <c r="HL313" i="31"/>
  <c r="HE314" i="31"/>
  <c r="T312" i="31" l="1"/>
  <c r="CU313" i="31" s="1"/>
  <c r="U312" i="31"/>
  <c r="CV313" i="31" s="1"/>
  <c r="HJ312" i="31"/>
  <c r="PC313" i="31"/>
  <c r="HL314" i="31"/>
  <c r="HG314" i="31"/>
  <c r="HE315" i="31"/>
  <c r="HF314" i="31"/>
  <c r="U313" i="31" l="1"/>
  <c r="CV314" i="31" s="1"/>
  <c r="T313" i="31"/>
  <c r="CU314" i="31" s="1"/>
  <c r="PC314" i="31"/>
  <c r="HJ313" i="31"/>
  <c r="HE316" i="31"/>
  <c r="HG315" i="31"/>
  <c r="HL315" i="31"/>
  <c r="HF315" i="31"/>
  <c r="U314" i="31" l="1"/>
  <c r="CV315" i="31" s="1"/>
  <c r="T314" i="31"/>
  <c r="CU315" i="31" s="1"/>
  <c r="HJ314" i="31"/>
  <c r="HF316" i="31"/>
  <c r="HG316" i="31"/>
  <c r="HE317" i="31"/>
  <c r="HL316" i="31"/>
  <c r="PC315" i="31"/>
  <c r="PC316" i="31" l="1"/>
  <c r="U315" i="31"/>
  <c r="CV316" i="31" s="1"/>
  <c r="T315" i="31"/>
  <c r="CU316" i="31" s="1"/>
  <c r="HG317" i="31"/>
  <c r="HE318" i="31"/>
  <c r="HL317" i="31"/>
  <c r="HF317" i="31"/>
  <c r="HJ315" i="31"/>
  <c r="HJ316" i="31" l="1"/>
  <c r="PC317" i="31"/>
  <c r="HE319" i="31"/>
  <c r="HL318" i="31"/>
  <c r="HF318" i="31"/>
  <c r="HG318" i="31"/>
  <c r="T316" i="31"/>
  <c r="CU317" i="31" s="1"/>
  <c r="U316" i="31"/>
  <c r="CV317" i="31" s="1"/>
  <c r="HJ317" i="31" l="1"/>
  <c r="PC318" i="31"/>
  <c r="HG319" i="31"/>
  <c r="HF319" i="31"/>
  <c r="HL319" i="31"/>
  <c r="HE320" i="31"/>
  <c r="T317" i="31"/>
  <c r="CU318" i="31" s="1"/>
  <c r="U317" i="31"/>
  <c r="CV318" i="31" s="1"/>
  <c r="T318" i="31" l="1"/>
  <c r="CU319" i="31" s="1"/>
  <c r="U318" i="31"/>
  <c r="CV319" i="31" s="1"/>
  <c r="HJ318" i="31"/>
  <c r="HL320" i="31"/>
  <c r="HG320" i="31"/>
  <c r="HF320" i="31"/>
  <c r="HE321" i="31"/>
  <c r="PC319" i="31"/>
  <c r="HE322" i="31" l="1"/>
  <c r="HF321" i="31"/>
  <c r="HL321" i="31"/>
  <c r="HG321" i="31"/>
  <c r="PC320" i="31"/>
  <c r="HJ319" i="31"/>
  <c r="U319" i="31"/>
  <c r="CV320" i="31" s="1"/>
  <c r="T319" i="31"/>
  <c r="CU320" i="31" s="1"/>
  <c r="U320" i="31" l="1"/>
  <c r="CV321" i="31" s="1"/>
  <c r="T320" i="31"/>
  <c r="CU321" i="31" s="1"/>
  <c r="HJ320" i="31"/>
  <c r="PC321" i="31"/>
  <c r="HG322" i="31"/>
  <c r="HF322" i="31"/>
  <c r="HL322" i="31"/>
  <c r="HE323" i="31"/>
  <c r="T321" i="31" l="1"/>
  <c r="CU322" i="31" s="1"/>
  <c r="U321" i="31"/>
  <c r="CV322" i="31" s="1"/>
  <c r="HE324" i="31"/>
  <c r="HF323" i="31"/>
  <c r="HG323" i="31"/>
  <c r="HL323" i="31"/>
  <c r="HJ321" i="31"/>
  <c r="PC322" i="31"/>
  <c r="U322" i="31" l="1"/>
  <c r="CV323" i="31" s="1"/>
  <c r="T322" i="31"/>
  <c r="CU323" i="31" s="1"/>
  <c r="PC323" i="31"/>
  <c r="HG324" i="31"/>
  <c r="HL324" i="31"/>
  <c r="HF324" i="31"/>
  <c r="HE325" i="31"/>
  <c r="HJ322" i="31"/>
  <c r="U323" i="31" l="1"/>
  <c r="CV324" i="31" s="1"/>
  <c r="T323" i="31"/>
  <c r="CU324" i="31" s="1"/>
  <c r="HF325" i="31"/>
  <c r="HE326" i="31"/>
  <c r="HG325" i="31"/>
  <c r="HL325" i="31"/>
  <c r="PC324" i="31"/>
  <c r="HJ323" i="31"/>
  <c r="T324" i="31" l="1"/>
  <c r="CU325" i="31" s="1"/>
  <c r="U324" i="31"/>
  <c r="CV325" i="31" s="1"/>
  <c r="HG326" i="31"/>
  <c r="HE327" i="31"/>
  <c r="HF326" i="31"/>
  <c r="HL326" i="31"/>
  <c r="PC325" i="31"/>
  <c r="HJ324" i="31"/>
  <c r="U325" i="31" l="1"/>
  <c r="CV326" i="31" s="1"/>
  <c r="T325" i="31"/>
  <c r="CU326" i="31" s="1"/>
  <c r="HJ325" i="31"/>
  <c r="PC326" i="31"/>
  <c r="HG327" i="31"/>
  <c r="HE328" i="31"/>
  <c r="HL327" i="31"/>
  <c r="HF327" i="31"/>
  <c r="PC327" i="31" l="1"/>
  <c r="HL328" i="31"/>
  <c r="HG328" i="31"/>
  <c r="HF328" i="31"/>
  <c r="HE329" i="31"/>
  <c r="U326" i="31"/>
  <c r="CV327" i="31" s="1"/>
  <c r="T326" i="31"/>
  <c r="CU327" i="31" s="1"/>
  <c r="HJ326" i="31"/>
  <c r="HF329" i="31" l="1"/>
  <c r="HL329" i="31"/>
  <c r="HG329" i="31"/>
  <c r="HE330" i="31"/>
  <c r="PC328" i="31"/>
  <c r="HJ327" i="31"/>
  <c r="T327" i="31"/>
  <c r="CU328" i="31" s="1"/>
  <c r="U327" i="31"/>
  <c r="CV328" i="31" s="1"/>
  <c r="HJ328" i="31" l="1"/>
  <c r="HL330" i="31"/>
  <c r="HG330" i="31"/>
  <c r="HF330" i="31"/>
  <c r="HE331" i="31"/>
  <c r="U328" i="31"/>
  <c r="CV329" i="31" s="1"/>
  <c r="T328" i="31"/>
  <c r="CU329" i="31" s="1"/>
  <c r="PC329" i="31"/>
  <c r="HG331" i="31" l="1"/>
  <c r="HL331" i="31"/>
  <c r="HE332" i="31"/>
  <c r="HF331" i="31"/>
  <c r="PC330" i="31"/>
  <c r="T329" i="31"/>
  <c r="CU330" i="31" s="1"/>
  <c r="U329" i="31"/>
  <c r="CV330" i="31" s="1"/>
  <c r="HJ329" i="31"/>
  <c r="HJ330" i="31" l="1"/>
  <c r="U330" i="31"/>
  <c r="CV331" i="31" s="1"/>
  <c r="T330" i="31"/>
  <c r="CU331" i="31" s="1"/>
  <c r="PC331" i="31"/>
  <c r="HE333" i="31"/>
  <c r="HG332" i="31"/>
  <c r="HF332" i="31"/>
  <c r="HL332" i="31"/>
  <c r="T331" i="31" l="1"/>
  <c r="CU332" i="31" s="1"/>
  <c r="U331" i="31"/>
  <c r="CV332" i="31" s="1"/>
  <c r="PC332" i="31"/>
  <c r="HJ331" i="31"/>
  <c r="HE334" i="31"/>
  <c r="HG333" i="31"/>
  <c r="HF333" i="31"/>
  <c r="HL333" i="31"/>
  <c r="PC333" i="31" l="1"/>
  <c r="HJ332" i="31"/>
  <c r="HG334" i="31"/>
  <c r="HL334" i="31"/>
  <c r="HF334" i="31"/>
  <c r="HE335" i="31"/>
  <c r="U332" i="31"/>
  <c r="CV333" i="31" s="1"/>
  <c r="T332" i="31"/>
  <c r="CU333" i="31" s="1"/>
  <c r="HF335" i="31" l="1"/>
  <c r="HE336" i="31"/>
  <c r="HL335" i="31"/>
  <c r="HG335" i="31"/>
  <c r="PC334" i="31"/>
  <c r="HJ333" i="31"/>
  <c r="T333" i="31"/>
  <c r="CU334" i="31" s="1"/>
  <c r="U333" i="31"/>
  <c r="CV334" i="31" s="1"/>
  <c r="HE337" i="31" l="1"/>
  <c r="HG336" i="31"/>
  <c r="HF336" i="31"/>
  <c r="HL336" i="31"/>
  <c r="PC335" i="31"/>
  <c r="HJ334" i="31"/>
  <c r="T334" i="31"/>
  <c r="CU335" i="31" s="1"/>
  <c r="U334" i="31"/>
  <c r="CV335" i="31" s="1"/>
  <c r="PC336" i="31" l="1"/>
  <c r="HF337" i="31"/>
  <c r="HE338" i="31"/>
  <c r="HL337" i="31"/>
  <c r="HG337" i="31"/>
  <c r="T335" i="31"/>
  <c r="CU336" i="31" s="1"/>
  <c r="U335" i="31"/>
  <c r="CV336" i="31" s="1"/>
  <c r="HJ335" i="31"/>
  <c r="HJ336" i="31" l="1"/>
  <c r="HE339" i="31"/>
  <c r="HL338" i="31"/>
  <c r="HG338" i="31"/>
  <c r="HF338" i="31"/>
  <c r="PC337" i="31"/>
  <c r="T336" i="31"/>
  <c r="CU337" i="31" s="1"/>
  <c r="U336" i="31"/>
  <c r="CV337" i="31" s="1"/>
  <c r="PC338" i="31" l="1"/>
  <c r="HJ337" i="31"/>
  <c r="HF339" i="31"/>
  <c r="HL339" i="31"/>
  <c r="HG339" i="31"/>
  <c r="HE340" i="31"/>
  <c r="U337" i="31"/>
  <c r="CV338" i="31" s="1"/>
  <c r="T337" i="31"/>
  <c r="CU338" i="31" s="1"/>
  <c r="HE341" i="31" l="1"/>
  <c r="HL340" i="31"/>
  <c r="HG340" i="31"/>
  <c r="HF340" i="31"/>
  <c r="HJ338" i="31"/>
  <c r="T338" i="31"/>
  <c r="CU339" i="31" s="1"/>
  <c r="U338" i="31"/>
  <c r="CV339" i="31" s="1"/>
  <c r="PC339" i="31"/>
  <c r="PC340" i="31" l="1"/>
  <c r="U339" i="31"/>
  <c r="CV340" i="31" s="1"/>
  <c r="T339" i="31"/>
  <c r="CU340" i="31" s="1"/>
  <c r="HG341" i="31"/>
  <c r="HF341" i="31"/>
  <c r="HL341" i="31"/>
  <c r="HE342" i="31"/>
  <c r="HJ339" i="31"/>
  <c r="HG342" i="31" l="1"/>
  <c r="HL342" i="31"/>
  <c r="HF342" i="31"/>
  <c r="HE343" i="31"/>
  <c r="PC341" i="31"/>
  <c r="T340" i="31"/>
  <c r="CU341" i="31" s="1"/>
  <c r="U340" i="31"/>
  <c r="CV341" i="31" s="1"/>
  <c r="HJ340" i="31"/>
  <c r="HJ341" i="31" l="1"/>
  <c r="U341" i="31"/>
  <c r="CV342" i="31" s="1"/>
  <c r="T341" i="31"/>
  <c r="CU342" i="31" s="1"/>
  <c r="HF343" i="31"/>
  <c r="HE344" i="31"/>
  <c r="HL343" i="31"/>
  <c r="HG343" i="31"/>
  <c r="PC342" i="31"/>
  <c r="PC343" i="31" l="1"/>
  <c r="U342" i="31"/>
  <c r="CV343" i="31" s="1"/>
  <c r="T342" i="31"/>
  <c r="CU343" i="31" s="1"/>
  <c r="HJ342" i="31"/>
  <c r="HE345" i="31"/>
  <c r="HL344" i="31"/>
  <c r="HF344" i="31"/>
  <c r="HG344" i="31"/>
  <c r="HF345" i="31" l="1"/>
  <c r="HG345" i="31"/>
  <c r="HL345" i="31"/>
  <c r="HE346" i="31"/>
  <c r="HJ343" i="31"/>
  <c r="U343" i="31"/>
  <c r="CV344" i="31" s="1"/>
  <c r="T343" i="31"/>
  <c r="CU344" i="31" s="1"/>
  <c r="PC344" i="31"/>
  <c r="U344" i="31" l="1"/>
  <c r="CV345" i="31" s="1"/>
  <c r="T344" i="31"/>
  <c r="CU345" i="31" s="1"/>
  <c r="HF346" i="31"/>
  <c r="HG346" i="31"/>
  <c r="HL346" i="31"/>
  <c r="HE347" i="31"/>
  <c r="HJ344" i="31"/>
  <c r="PC345" i="31"/>
  <c r="HF347" i="31" l="1"/>
  <c r="HG347" i="31"/>
  <c r="HL347" i="31"/>
  <c r="HE348" i="31"/>
  <c r="HJ345" i="31"/>
  <c r="T345" i="31"/>
  <c r="CU346" i="31" s="1"/>
  <c r="U345" i="31"/>
  <c r="CV346" i="31" s="1"/>
  <c r="PC346" i="31"/>
  <c r="HG348" i="31" l="1"/>
  <c r="HE349" i="31"/>
  <c r="HF348" i="31"/>
  <c r="HL348" i="31"/>
  <c r="T346" i="31"/>
  <c r="CU347" i="31" s="1"/>
  <c r="U346" i="31"/>
  <c r="CV347" i="31" s="1"/>
  <c r="HJ346" i="31"/>
  <c r="PC347" i="31"/>
  <c r="HJ347" i="31" l="1"/>
  <c r="U347" i="31"/>
  <c r="CV348" i="31" s="1"/>
  <c r="T347" i="31"/>
  <c r="CU348" i="31" s="1"/>
  <c r="PC348" i="31"/>
  <c r="HE350" i="31"/>
  <c r="HG349" i="31"/>
  <c r="HL349" i="31"/>
  <c r="HF349" i="31"/>
  <c r="HE351" i="31" l="1"/>
  <c r="HL350" i="31"/>
  <c r="HF350" i="31"/>
  <c r="HG350" i="31"/>
  <c r="HJ348" i="31"/>
  <c r="PC349" i="31"/>
  <c r="T348" i="31"/>
  <c r="CU349" i="31" s="1"/>
  <c r="U348" i="31"/>
  <c r="CV349" i="31" s="1"/>
  <c r="PC350" i="31" l="1"/>
  <c r="HG351" i="31"/>
  <c r="HL351" i="31"/>
  <c r="HE352" i="31"/>
  <c r="HF351" i="31"/>
  <c r="T349" i="31"/>
  <c r="CU350" i="31" s="1"/>
  <c r="U349" i="31"/>
  <c r="CV350" i="31" s="1"/>
  <c r="HJ349" i="31"/>
  <c r="HF352" i="31" l="1"/>
  <c r="HE353" i="31"/>
  <c r="HL352" i="31"/>
  <c r="HG352" i="31"/>
  <c r="HJ350" i="31"/>
  <c r="PC351" i="31"/>
  <c r="U350" i="31"/>
  <c r="CV351" i="31" s="1"/>
  <c r="T350" i="31"/>
  <c r="CU351" i="31" s="1"/>
  <c r="HJ351" i="31" l="1"/>
  <c r="U351" i="31"/>
  <c r="CV352" i="31" s="1"/>
  <c r="T351" i="31"/>
  <c r="CU352" i="31" s="1"/>
  <c r="HG353" i="31"/>
  <c r="HF353" i="31"/>
  <c r="HE354" i="31"/>
  <c r="HL353" i="31"/>
  <c r="PC352" i="31"/>
  <c r="HG354" i="31" l="1"/>
  <c r="HE355" i="31"/>
  <c r="HL354" i="31"/>
  <c r="HF354" i="31"/>
  <c r="U352" i="31"/>
  <c r="CV353" i="31" s="1"/>
  <c r="T352" i="31"/>
  <c r="CU353" i="31" s="1"/>
  <c r="HJ352" i="31"/>
  <c r="PC353" i="31"/>
  <c r="HJ353" i="31" l="1"/>
  <c r="PC354" i="31"/>
  <c r="HL355" i="31"/>
  <c r="HF355" i="31"/>
  <c r="HG355" i="31"/>
  <c r="HE356" i="31"/>
  <c r="U353" i="31"/>
  <c r="CV354" i="31" s="1"/>
  <c r="T353" i="31"/>
  <c r="CU354" i="31" s="1"/>
  <c r="HJ354" i="31" l="1"/>
  <c r="HG356" i="31"/>
  <c r="HL356" i="31"/>
  <c r="HF356" i="31"/>
  <c r="HE357" i="31"/>
  <c r="T354" i="31"/>
  <c r="CU355" i="31" s="1"/>
  <c r="U354" i="31"/>
  <c r="CV355" i="31" s="1"/>
  <c r="PC355" i="31"/>
  <c r="HL357" i="31" l="1"/>
  <c r="HG357" i="31"/>
  <c r="HE358" i="31"/>
  <c r="HF357" i="31"/>
  <c r="PC356" i="31"/>
  <c r="HJ355" i="31"/>
  <c r="T355" i="31"/>
  <c r="CU356" i="31" s="1"/>
  <c r="U355" i="31"/>
  <c r="CV356" i="31" s="1"/>
  <c r="T356" i="31" l="1"/>
  <c r="CU357" i="31" s="1"/>
  <c r="U356" i="31"/>
  <c r="CV357" i="31" s="1"/>
  <c r="PC357" i="31"/>
  <c r="HJ356" i="31"/>
  <c r="HG358" i="31"/>
  <c r="HF358" i="31"/>
  <c r="HL358" i="31"/>
  <c r="HE359" i="31"/>
  <c r="HF359" i="31" l="1"/>
  <c r="HE360" i="31"/>
  <c r="HG359" i="31"/>
  <c r="HL359" i="31"/>
  <c r="U357" i="31"/>
  <c r="CV358" i="31" s="1"/>
  <c r="T357" i="31"/>
  <c r="CU358" i="31" s="1"/>
  <c r="PC358" i="31"/>
  <c r="HJ357" i="31"/>
  <c r="PC359" i="31" l="1"/>
  <c r="HJ358" i="31"/>
  <c r="T358" i="31"/>
  <c r="CU359" i="31" s="1"/>
  <c r="U358" i="31"/>
  <c r="CV359" i="31" s="1"/>
  <c r="HF360" i="31"/>
  <c r="HL360" i="31"/>
  <c r="HG360" i="31"/>
  <c r="HE361" i="31"/>
  <c r="PC360" i="31" l="1"/>
  <c r="HJ359" i="31"/>
  <c r="T359" i="31"/>
  <c r="CU360" i="31" s="1"/>
  <c r="U359" i="31"/>
  <c r="CV360" i="31" s="1"/>
  <c r="HL361" i="31"/>
  <c r="HF361" i="31"/>
  <c r="HG361" i="31"/>
  <c r="HE362" i="31"/>
  <c r="PC361" i="31" l="1"/>
  <c r="HG362" i="31"/>
  <c r="HL362" i="31"/>
  <c r="HF362" i="31"/>
  <c r="HE363" i="31"/>
  <c r="T360" i="31"/>
  <c r="CU361" i="31" s="1"/>
  <c r="U360" i="31"/>
  <c r="CV361" i="31" s="1"/>
  <c r="HJ360" i="31"/>
  <c r="HJ361" i="31" l="1"/>
  <c r="HG363" i="31"/>
  <c r="HE364" i="31"/>
  <c r="HL363" i="31"/>
  <c r="HF363" i="31"/>
  <c r="PC362" i="31"/>
  <c r="T361" i="31"/>
  <c r="CU362" i="31" s="1"/>
  <c r="U361" i="31"/>
  <c r="CV362" i="31" s="1"/>
  <c r="HL364" i="31" l="1"/>
  <c r="HE365" i="31"/>
  <c r="HG364" i="31"/>
  <c r="HF364" i="31"/>
  <c r="HJ362" i="31"/>
  <c r="U362" i="31"/>
  <c r="CV363" i="31" s="1"/>
  <c r="T362" i="31"/>
  <c r="CU363" i="31" s="1"/>
  <c r="PC363" i="31"/>
  <c r="PC364" i="31" l="1"/>
  <c r="HJ363" i="31"/>
  <c r="HL365" i="31"/>
  <c r="HG365" i="31"/>
  <c r="HE366" i="31"/>
  <c r="HF365" i="31"/>
  <c r="T363" i="31"/>
  <c r="CU364" i="31" s="1"/>
  <c r="U363" i="31"/>
  <c r="CV364" i="31" s="1"/>
  <c r="PC365" i="31" l="1"/>
  <c r="HF366" i="31"/>
  <c r="HE367" i="31"/>
  <c r="HG366" i="31"/>
  <c r="HL366" i="31"/>
  <c r="U364" i="31"/>
  <c r="CV365" i="31" s="1"/>
  <c r="T364" i="31"/>
  <c r="CU365" i="31" s="1"/>
  <c r="HJ364" i="31"/>
  <c r="HE368" i="31" l="1"/>
  <c r="HL367" i="31"/>
  <c r="HF367" i="31"/>
  <c r="HG367" i="31"/>
  <c r="PC366" i="31"/>
  <c r="HJ365" i="31"/>
  <c r="T365" i="31"/>
  <c r="CU366" i="31" s="1"/>
  <c r="U365" i="31"/>
  <c r="CV366" i="31" s="1"/>
  <c r="PC367" i="31" l="1"/>
  <c r="HF368" i="31"/>
  <c r="HL368" i="31"/>
  <c r="HG368" i="31"/>
  <c r="HE369" i="31"/>
  <c r="HJ366" i="31"/>
  <c r="U366" i="31"/>
  <c r="CV367" i="31" s="1"/>
  <c r="T366" i="31"/>
  <c r="CU367" i="31" s="1"/>
  <c r="U367" i="31" l="1"/>
  <c r="CV368" i="31" s="1"/>
  <c r="T367" i="31"/>
  <c r="CU368" i="31" s="1"/>
  <c r="PC368" i="31"/>
  <c r="HJ367" i="31"/>
  <c r="HL369" i="31"/>
  <c r="HE370" i="31"/>
  <c r="HF369" i="31"/>
  <c r="HG369" i="31"/>
  <c r="U368" i="31" l="1"/>
  <c r="CV369" i="31" s="1"/>
  <c r="T368" i="31"/>
  <c r="CU369" i="31" s="1"/>
  <c r="PC369" i="31"/>
  <c r="HL370" i="31"/>
  <c r="HF370" i="31"/>
  <c r="HG370" i="31"/>
  <c r="HJ368" i="31"/>
  <c r="PC370" i="31" l="1"/>
  <c r="U369" i="31"/>
  <c r="CV370" i="31" s="1"/>
  <c r="T369" i="31"/>
  <c r="CU370" i="31" s="1"/>
  <c r="HJ369" i="31"/>
  <c r="T370" i="31" l="1"/>
  <c r="U370" i="31"/>
  <c r="HJ370" i="31"/>
  <c r="BG6" i="31" l="1"/>
  <c r="BI6" i="31" l="1"/>
  <c r="BH6" i="31"/>
  <c r="BJ6" i="31" l="1"/>
  <c r="BK6" i="31" s="1"/>
  <c r="BL6" i="31" l="1"/>
  <c r="BM6" i="31"/>
  <c r="BN6" i="31" l="1"/>
  <c r="BO6" i="31"/>
  <c r="BP6" i="31" l="1"/>
  <c r="BQ6" i="31" s="1"/>
  <c r="BS6" i="31" s="1"/>
  <c r="BU6" i="31" s="1"/>
  <c r="BW6" i="31" s="1"/>
  <c r="BR6" i="31" l="1"/>
  <c r="BY6" i="31"/>
  <c r="BX6" i="31"/>
  <c r="BZ6" i="31" l="1"/>
  <c r="CA6" i="31"/>
  <c r="CC6" i="31" s="1"/>
  <c r="BV6" i="31"/>
  <c r="BT6" i="31"/>
  <c r="CB6" i="31" l="1"/>
  <c r="CE6" i="31"/>
  <c r="CD6" i="31"/>
  <c r="CF6" i="31" l="1"/>
  <c r="CG6" i="31"/>
  <c r="CI6" i="31" s="1"/>
  <c r="CH6" i="31" l="1"/>
  <c r="CJ6" i="31"/>
  <c r="CO6" i="31" s="1"/>
  <c r="CK6" i="31"/>
  <c r="CL6" i="31" l="1"/>
  <c r="CM6" i="31"/>
  <c r="CN6" i="31" s="1"/>
  <c r="CP6" i="31" l="1"/>
  <c r="FH6" i="31" l="1"/>
  <c r="GO6" i="31"/>
  <c r="DQ6" i="31"/>
  <c r="DR6" i="31" s="1"/>
  <c r="FE6" i="31"/>
  <c r="CQ6" i="31"/>
  <c r="JR6" i="31"/>
  <c r="FP6" i="31"/>
  <c r="KX6" i="31"/>
  <c r="FU6" i="31"/>
  <c r="GB6" i="31"/>
  <c r="FX6" i="31"/>
  <c r="FZ6" i="31"/>
  <c r="HO6" i="31"/>
  <c r="IA6" i="31" l="1"/>
  <c r="HP6" i="31"/>
  <c r="GA6" i="31"/>
  <c r="CT6" i="31"/>
  <c r="CR6" i="31"/>
  <c r="CS6" i="31"/>
  <c r="FY6" i="31"/>
  <c r="DS6" i="31"/>
  <c r="GC6" i="31"/>
  <c r="EH6" i="31"/>
  <c r="EC6" i="31" s="1"/>
  <c r="AX6" i="31" l="1"/>
  <c r="AY7" i="31" s="1"/>
  <c r="HS6" i="31"/>
  <c r="HT6" i="31"/>
  <c r="EI6" i="31"/>
  <c r="FK6" i="31" s="1"/>
  <c r="FI6" i="31"/>
  <c r="HU6" i="31" l="1"/>
  <c r="HV7" i="31" s="1"/>
  <c r="FJ7" i="31"/>
  <c r="IC6" i="31"/>
  <c r="JF6" i="31"/>
  <c r="EX6" i="31"/>
  <c r="M6" i="31" s="1"/>
  <c r="FB6" i="31"/>
  <c r="EF6" i="31"/>
  <c r="IL6" i="31" s="1"/>
  <c r="EK6" i="31"/>
  <c r="EB6" i="31"/>
  <c r="EN6" i="31" s="1"/>
  <c r="BB7" i="31" s="1"/>
  <c r="ER7" i="31" l="1"/>
  <c r="ID6" i="31"/>
  <c r="JW6" i="31"/>
  <c r="JY6" i="31"/>
  <c r="JG6" i="31"/>
  <c r="IO6" i="31"/>
  <c r="IP6" i="31"/>
  <c r="EV6" i="31"/>
  <c r="EL6" i="31"/>
  <c r="DP6" i="31"/>
  <c r="FC6" i="31"/>
  <c r="EM6" i="31"/>
  <c r="EW6" i="31" s="1"/>
  <c r="HK6" i="31"/>
  <c r="EP6" i="31"/>
  <c r="ET7" i="31" s="1"/>
  <c r="EO6" i="31"/>
  <c r="ES7" i="31" s="1"/>
  <c r="IQ6" i="31"/>
  <c r="IB6" i="31"/>
  <c r="JB6" i="31"/>
  <c r="JT6" i="31"/>
  <c r="JC6" i="31" s="1"/>
  <c r="JS6" i="31" s="1"/>
  <c r="GZ6" i="31"/>
  <c r="IE6" i="31" s="1"/>
  <c r="FF6" i="31"/>
  <c r="DJ6" i="31"/>
  <c r="DK6" i="31" s="1"/>
  <c r="IW6" i="31" l="1"/>
  <c r="KB6" i="31" s="1"/>
  <c r="IZ6" i="31"/>
  <c r="IF6" i="31"/>
  <c r="FQ6" i="31"/>
  <c r="DX6" i="31"/>
  <c r="DC6" i="31"/>
  <c r="DM6" i="31"/>
  <c r="JA6" i="31"/>
  <c r="KK6" i="31"/>
  <c r="JO6" i="31"/>
  <c r="IR6" i="31"/>
  <c r="KG6" i="31" s="1"/>
  <c r="IU6" i="31" s="1"/>
  <c r="IY6" i="31"/>
  <c r="JP6" i="31" s="1"/>
  <c r="JQ6" i="31" s="1"/>
  <c r="KC6" i="31" s="1"/>
  <c r="JE6" i="31"/>
  <c r="JX6" i="31" s="1"/>
  <c r="FG7" i="31"/>
  <c r="HW6" i="31"/>
  <c r="HX7" i="31" s="1"/>
  <c r="JD6" i="31"/>
  <c r="JT7" i="31"/>
  <c r="DW6" i="31"/>
  <c r="DU7" i="31" s="1"/>
  <c r="EQ6" i="31"/>
  <c r="KH6" i="31" l="1"/>
  <c r="KE6" i="31"/>
  <c r="JU6" i="31"/>
  <c r="DL6" i="31"/>
  <c r="L7" i="31"/>
  <c r="DD7" i="31"/>
  <c r="DE8" i="31" s="1"/>
  <c r="EU7" i="31"/>
  <c r="DT6" i="31" l="1"/>
  <c r="IM6" i="31"/>
  <c r="KI7" i="31"/>
  <c r="DB6" i="31"/>
  <c r="GM6" i="31"/>
  <c r="DF6" i="31"/>
  <c r="MB6" i="31"/>
  <c r="NM6" i="31" s="1"/>
  <c r="NN6" i="31" s="1"/>
  <c r="MJ6" i="31"/>
  <c r="NS6" i="31" s="1"/>
  <c r="GT8" i="31"/>
  <c r="KJ7" i="31" l="1"/>
  <c r="GU6" i="31"/>
  <c r="OU7" i="31"/>
  <c r="NT6" i="31"/>
  <c r="OV7" i="31"/>
  <c r="NW6" i="31"/>
  <c r="NX6" i="31" l="1"/>
  <c r="OF6" i="31" s="1"/>
  <c r="OS7" i="31" s="1"/>
  <c r="IN6" i="31"/>
  <c r="FV6" i="31"/>
  <c r="FW6" i="31" s="1"/>
  <c r="GV6" i="31" s="1"/>
  <c r="FR6" i="31"/>
  <c r="FS6" i="31" s="1"/>
  <c r="GR6" i="31"/>
  <c r="NU6" i="31"/>
  <c r="CX6" i="31"/>
  <c r="KU6" i="31"/>
  <c r="GN6" i="31" s="1"/>
  <c r="GQ6" i="31" s="1"/>
  <c r="KV6" i="31" l="1"/>
  <c r="KW7" i="31" s="1"/>
  <c r="HQ6" i="31"/>
  <c r="HR7" i="31" s="1"/>
  <c r="GS6" i="31"/>
  <c r="NZ6" i="31"/>
  <c r="CY7" i="31"/>
  <c r="MY6" i="31"/>
  <c r="NV6" i="31"/>
  <c r="HA6" i="31"/>
  <c r="DY6" i="31"/>
  <c r="DZ6" i="31" s="1"/>
  <c r="HY6" i="31"/>
  <c r="FD6" i="31" s="1"/>
  <c r="NY6" i="31"/>
  <c r="OI6" i="31" l="1"/>
  <c r="MR7" i="31" s="1"/>
  <c r="OB6" i="31"/>
  <c r="OT6" i="31" s="1"/>
  <c r="OT7" i="31" s="1"/>
  <c r="MZ7" i="31"/>
  <c r="OZ6" i="31"/>
  <c r="OA6" i="31"/>
  <c r="MV7" i="31" s="1"/>
  <c r="OO7" i="31"/>
  <c r="NF7" i="31"/>
  <c r="OM7" i="31"/>
  <c r="IS6" i="31"/>
  <c r="JH6" i="31" s="1"/>
  <c r="JI6" i="31" s="1"/>
  <c r="FL7" i="31"/>
  <c r="GY6" i="31"/>
  <c r="GX6" i="31"/>
  <c r="GW6" i="31"/>
  <c r="HC6" i="31" s="1"/>
  <c r="FA7" i="31" s="1"/>
  <c r="OX7" i="31" l="1"/>
  <c r="OW6" i="31"/>
  <c r="OJ6" i="31"/>
  <c r="OY7" i="31" s="1"/>
  <c r="EY6" i="31"/>
  <c r="EG6" i="31"/>
  <c r="EH7" i="31" s="1"/>
  <c r="HM6" i="31"/>
  <c r="ED6" i="31" s="1"/>
  <c r="HK7" i="31"/>
  <c r="OG7" i="31"/>
  <c r="KT7" i="31"/>
  <c r="FM7" i="31"/>
  <c r="JK6" i="31"/>
  <c r="JZ6" i="31" s="1"/>
  <c r="KF6" i="31" s="1"/>
  <c r="IQ7" i="31" s="1"/>
  <c r="OC6" i="31"/>
  <c r="OD7" i="31" s="1"/>
  <c r="MS7" i="31"/>
  <c r="HB7" i="31"/>
  <c r="PA6" i="31"/>
  <c r="MW7" i="31" l="1"/>
  <c r="MX7" i="31" s="1"/>
  <c r="JM6" i="31"/>
  <c r="KD6" i="31" s="1"/>
  <c r="IL7" i="31" s="1"/>
  <c r="JN6" i="31"/>
  <c r="JV6" i="31" s="1"/>
  <c r="JF7" i="31" s="1"/>
  <c r="JW7" i="31" s="1"/>
  <c r="KM7" i="31"/>
  <c r="KO8" i="31" s="1"/>
  <c r="KL7" i="31"/>
  <c r="KN8" i="31" s="1"/>
  <c r="KA7" i="31"/>
  <c r="JL6" i="31"/>
  <c r="JJ7" i="31" s="1"/>
  <c r="EB7" i="31"/>
  <c r="EJ6" i="31"/>
  <c r="EK7" i="31" s="1"/>
  <c r="EE6" i="31"/>
  <c r="EF7" i="31" s="1"/>
  <c r="OH7" i="31"/>
  <c r="OK7" i="31" s="1"/>
  <c r="EI7" i="31"/>
  <c r="FK7" i="31" s="1"/>
  <c r="MO7" i="31"/>
  <c r="NH8" i="31"/>
  <c r="NI8" i="31" s="1"/>
  <c r="MT7" i="31"/>
  <c r="NQ7" i="31"/>
  <c r="NP7" i="31"/>
  <c r="MU7" i="31"/>
  <c r="NJ7" i="31"/>
  <c r="NG8" i="31" s="1"/>
  <c r="PE7" i="31"/>
  <c r="EZ6" i="31"/>
  <c r="DG6" i="31"/>
  <c r="JY7" i="31" l="1"/>
  <c r="JO7" i="31"/>
  <c r="IP7" i="31"/>
  <c r="IR7" i="31"/>
  <c r="JE7" i="31"/>
  <c r="IO7" i="31"/>
  <c r="NR7" i="31"/>
  <c r="DP7" i="31"/>
  <c r="EP7" i="31"/>
  <c r="ET8" i="31" s="1"/>
  <c r="EO7" i="31"/>
  <c r="ES8" i="31" s="1"/>
  <c r="FC7" i="31"/>
  <c r="EL7" i="31"/>
  <c r="EV7" i="31"/>
  <c r="HZ7" i="31"/>
  <c r="IY7" i="31"/>
  <c r="NK7" i="31"/>
  <c r="OQ8" i="31"/>
  <c r="NL7" i="31"/>
  <c r="GZ7" i="31"/>
  <c r="DJ7" i="31"/>
  <c r="DK7" i="31" s="1"/>
  <c r="KQ7" i="31"/>
  <c r="JC7" i="31"/>
  <c r="JD7" i="31"/>
  <c r="KR7" i="31"/>
  <c r="KP8" i="31"/>
  <c r="NB7" i="31"/>
  <c r="NA7" i="31"/>
  <c r="JA7" i="31"/>
  <c r="EC7" i="31" l="1"/>
  <c r="FB7" i="31" s="1"/>
  <c r="KG7" i="31"/>
  <c r="JP7" i="31"/>
  <c r="JQ7" i="31" s="1"/>
  <c r="JX7" i="31"/>
  <c r="IE7" i="31"/>
  <c r="KS7" i="31"/>
  <c r="NC8" i="31"/>
  <c r="MQ8" i="31"/>
  <c r="DX7" i="31"/>
  <c r="FQ7" i="31"/>
  <c r="DM7" i="31"/>
  <c r="DC7" i="31"/>
  <c r="OR8" i="31"/>
  <c r="EX7" i="31" l="1"/>
  <c r="M7" i="31" s="1"/>
  <c r="DD8" i="31"/>
  <c r="DE9" i="31" s="1"/>
  <c r="DL7" i="31"/>
  <c r="L8" i="31"/>
  <c r="GT9" i="31" l="1"/>
  <c r="MB7" i="31"/>
  <c r="MJ7" i="31"/>
  <c r="NS7" i="31" s="1"/>
  <c r="NM7" i="31" l="1"/>
  <c r="NN7" i="31" s="1"/>
  <c r="NT7" i="31"/>
  <c r="OU8" i="31"/>
  <c r="OV8" i="31" l="1"/>
  <c r="NW7" i="31"/>
  <c r="NX7" i="31" s="1"/>
  <c r="FV7" i="31"/>
  <c r="FR7" i="31"/>
  <c r="CX7" i="31"/>
  <c r="NU7" i="31"/>
  <c r="NV7" i="31" l="1"/>
  <c r="NY7" i="31"/>
  <c r="NZ7" i="31"/>
  <c r="MY7" i="31"/>
  <c r="CY8" i="31"/>
  <c r="OF7" i="31"/>
  <c r="OS8" i="31" s="1"/>
  <c r="OA7" i="31" l="1"/>
  <c r="MV8" i="31" s="1"/>
  <c r="OO8" i="31"/>
  <c r="OM8" i="31"/>
  <c r="NF8" i="31"/>
  <c r="MZ8" i="31"/>
  <c r="OZ7" i="31"/>
  <c r="OB7" i="31"/>
  <c r="OT8" i="31" s="1"/>
  <c r="OI7" i="31"/>
  <c r="KT8" i="31" l="1"/>
  <c r="KL8" i="31" s="1"/>
  <c r="KN9" i="31" s="1"/>
  <c r="OG8" i="31"/>
  <c r="OJ7" i="31"/>
  <c r="OW7" i="31"/>
  <c r="MR8" i="31"/>
  <c r="OX8" i="31"/>
  <c r="PA7" i="31"/>
  <c r="OC7" i="31"/>
  <c r="OD8" i="31" s="1"/>
  <c r="KM8" i="31" l="1"/>
  <c r="KO9" i="31" s="1"/>
  <c r="KP9" i="31" s="1"/>
  <c r="KQ8" i="31"/>
  <c r="MS8" i="31"/>
  <c r="MW8" i="31"/>
  <c r="OY8" i="31"/>
  <c r="OH8" i="31"/>
  <c r="OK8" i="31" s="1"/>
  <c r="KR8" i="31" l="1"/>
  <c r="KS8" i="31" s="1"/>
  <c r="MO8" i="31"/>
  <c r="NP8" i="31"/>
  <c r="NH9" i="31"/>
  <c r="NI9" i="31" s="1"/>
  <c r="NQ8" i="31"/>
  <c r="NJ8" i="31"/>
  <c r="NG9" i="31" s="1"/>
  <c r="MU8" i="31"/>
  <c r="MT8" i="31"/>
  <c r="PE8" i="31"/>
  <c r="MX8" i="31"/>
  <c r="NR8" i="31" l="1"/>
  <c r="NK8" i="31"/>
  <c r="NL8" i="31"/>
  <c r="OQ9" i="31"/>
  <c r="NB8" i="31"/>
  <c r="NA8" i="31"/>
  <c r="OR9" i="31" l="1"/>
  <c r="NC9" i="31"/>
  <c r="MQ9" i="31"/>
  <c r="D157" i="41" l="1"/>
  <c r="K158" i="31" s="1"/>
  <c r="AQ158" i="31" s="1"/>
  <c r="D156" i="41"/>
  <c r="K157" i="31" s="1"/>
  <c r="B13" i="1" l="1"/>
  <c r="AQ157" i="31"/>
  <c r="LP158" i="31"/>
  <c r="LU158" i="31" s="1"/>
  <c r="MD158" i="31" s="1"/>
  <c r="AR158" i="31"/>
  <c r="GK158" i="31" s="1"/>
  <c r="GL158" i="31" s="1"/>
  <c r="GP158" i="31" s="1"/>
  <c r="LL158" i="31"/>
  <c r="LO158" i="31" s="1"/>
  <c r="LQ158" i="31" s="1"/>
  <c r="LS158" i="31" s="1"/>
  <c r="LY158" i="31" s="1"/>
  <c r="MA158" i="31" s="1"/>
  <c r="LT158" i="31" l="1"/>
  <c r="ME158" i="31" s="1"/>
  <c r="LR158" i="31"/>
  <c r="LX158" i="31" s="1"/>
  <c r="LZ158" i="31" s="1"/>
  <c r="LP157" i="31"/>
  <c r="LU157" i="31" s="1"/>
  <c r="MD157" i="31" s="1"/>
  <c r="LL157" i="31"/>
  <c r="LO157" i="31" s="1"/>
  <c r="LQ157" i="31" s="1"/>
  <c r="LT157" i="31" s="1"/>
  <c r="ME157" i="31" s="1"/>
  <c r="AR157" i="31"/>
  <c r="PF157" i="31" l="1"/>
  <c r="MG157" i="31"/>
  <c r="DN158" i="31"/>
  <c r="DN159" i="31" s="1"/>
  <c r="DN160" i="31" s="1"/>
  <c r="DN161" i="31" s="1"/>
  <c r="DN162" i="31" s="1"/>
  <c r="DN163" i="31" s="1"/>
  <c r="DN164" i="31" s="1"/>
  <c r="DN165" i="31" s="1"/>
  <c r="DN166" i="31" s="1"/>
  <c r="DN167" i="31" s="1"/>
  <c r="DN168" i="31" s="1"/>
  <c r="DN169" i="31" s="1"/>
  <c r="DN170" i="31" s="1"/>
  <c r="DN171" i="31" s="1"/>
  <c r="DN172" i="31" s="1"/>
  <c r="DN173" i="31" s="1"/>
  <c r="DN174" i="31" s="1"/>
  <c r="DN175" i="31" s="1"/>
  <c r="DN176" i="31" s="1"/>
  <c r="DN177" i="31" s="1"/>
  <c r="DN178" i="31" s="1"/>
  <c r="DN179" i="31" s="1"/>
  <c r="DN180" i="31" s="1"/>
  <c r="DN181" i="31" s="1"/>
  <c r="DN182" i="31" s="1"/>
  <c r="DN183" i="31" s="1"/>
  <c r="DN184" i="31" s="1"/>
  <c r="DN185" i="31" s="1"/>
  <c r="DN186" i="31" s="1"/>
  <c r="DN187" i="31" s="1"/>
  <c r="DN188" i="31" s="1"/>
  <c r="DN189" i="31" s="1"/>
  <c r="DN190" i="31" s="1"/>
  <c r="DN191" i="31" s="1"/>
  <c r="DN192" i="31" s="1"/>
  <c r="DN193" i="31" s="1"/>
  <c r="DN194" i="31" s="1"/>
  <c r="DN195" i="31" s="1"/>
  <c r="DN196" i="31" s="1"/>
  <c r="DN197" i="31" s="1"/>
  <c r="DN198" i="31" s="1"/>
  <c r="DN199" i="31" s="1"/>
  <c r="DN200" i="31" s="1"/>
  <c r="DN201" i="31" s="1"/>
  <c r="DN202" i="31" s="1"/>
  <c r="DN203" i="31" s="1"/>
  <c r="DN204" i="31" s="1"/>
  <c r="DN205" i="31" s="1"/>
  <c r="DN206" i="31" s="1"/>
  <c r="DN207" i="31" s="1"/>
  <c r="DN208" i="31" s="1"/>
  <c r="DN209" i="31" s="1"/>
  <c r="DN210" i="31" s="1"/>
  <c r="DN211" i="31" s="1"/>
  <c r="DN212" i="31" s="1"/>
  <c r="DN213" i="31" s="1"/>
  <c r="DN214" i="31" s="1"/>
  <c r="DN215" i="31" s="1"/>
  <c r="DN216" i="31" s="1"/>
  <c r="DN217" i="31" s="1"/>
  <c r="DN218" i="31" s="1"/>
  <c r="DN219" i="31" s="1"/>
  <c r="DN220" i="31" s="1"/>
  <c r="DN221" i="31" s="1"/>
  <c r="DN222" i="31" s="1"/>
  <c r="DN223" i="31" s="1"/>
  <c r="DN224" i="31" s="1"/>
  <c r="DN225" i="31" s="1"/>
  <c r="DN226" i="31" s="1"/>
  <c r="DN227" i="31" s="1"/>
  <c r="DN228" i="31" s="1"/>
  <c r="DN229" i="31" s="1"/>
  <c r="DN230" i="31" s="1"/>
  <c r="DN231" i="31" s="1"/>
  <c r="DN232" i="31" s="1"/>
  <c r="DN233" i="31" s="1"/>
  <c r="DN234" i="31" s="1"/>
  <c r="DN235" i="31" s="1"/>
  <c r="DN236" i="31" s="1"/>
  <c r="DN237" i="31" s="1"/>
  <c r="DN238" i="31" s="1"/>
  <c r="DN239" i="31" s="1"/>
  <c r="DN240" i="31" s="1"/>
  <c r="DN241" i="31" s="1"/>
  <c r="DN242" i="31" s="1"/>
  <c r="DN243" i="31" s="1"/>
  <c r="DN244" i="31" s="1"/>
  <c r="DN245" i="31" s="1"/>
  <c r="DN246" i="31" s="1"/>
  <c r="DN247" i="31" s="1"/>
  <c r="DN248" i="31" s="1"/>
  <c r="DN249" i="31" s="1"/>
  <c r="DN250" i="31" s="1"/>
  <c r="DN251" i="31" s="1"/>
  <c r="DN252" i="31" s="1"/>
  <c r="DN253" i="31" s="1"/>
  <c r="DN254" i="31" s="1"/>
  <c r="DN255" i="31" s="1"/>
  <c r="DN256" i="31" s="1"/>
  <c r="DN257" i="31" s="1"/>
  <c r="DN258" i="31" s="1"/>
  <c r="DN259" i="31" s="1"/>
  <c r="DN260" i="31" s="1"/>
  <c r="DN261" i="31" s="1"/>
  <c r="DN262" i="31" s="1"/>
  <c r="DN263" i="31" s="1"/>
  <c r="DN264" i="31" s="1"/>
  <c r="DN265" i="31" s="1"/>
  <c r="DN266" i="31" s="1"/>
  <c r="DN267" i="31" s="1"/>
  <c r="DN268" i="31" s="1"/>
  <c r="DN269" i="31" s="1"/>
  <c r="DN270" i="31" s="1"/>
  <c r="DN271" i="31" s="1"/>
  <c r="DN272" i="31" s="1"/>
  <c r="DN273" i="31" s="1"/>
  <c r="DN274" i="31" s="1"/>
  <c r="DN275" i="31" s="1"/>
  <c r="DN276" i="31" s="1"/>
  <c r="DN277" i="31" s="1"/>
  <c r="DN278" i="31" s="1"/>
  <c r="DN279" i="31" s="1"/>
  <c r="DN280" i="31" s="1"/>
  <c r="DN281" i="31" s="1"/>
  <c r="DN282" i="31" s="1"/>
  <c r="DN283" i="31" s="1"/>
  <c r="DN284" i="31" s="1"/>
  <c r="DN285" i="31" s="1"/>
  <c r="DN286" i="31" s="1"/>
  <c r="DN287" i="31" s="1"/>
  <c r="DN288" i="31" s="1"/>
  <c r="DN289" i="31" s="1"/>
  <c r="DN290" i="31" s="1"/>
  <c r="DN291" i="31" s="1"/>
  <c r="DN292" i="31" s="1"/>
  <c r="DN293" i="31" s="1"/>
  <c r="DN294" i="31" s="1"/>
  <c r="DN295" i="31" s="1"/>
  <c r="DN296" i="31" s="1"/>
  <c r="DN297" i="31" s="1"/>
  <c r="DN298" i="31" s="1"/>
  <c r="DN299" i="31" s="1"/>
  <c r="DN300" i="31" s="1"/>
  <c r="DN301" i="31" s="1"/>
  <c r="DN302" i="31" s="1"/>
  <c r="DN303" i="31" s="1"/>
  <c r="DN304" i="31" s="1"/>
  <c r="DN305" i="31" s="1"/>
  <c r="DN306" i="31" s="1"/>
  <c r="DN307" i="31" s="1"/>
  <c r="DN308" i="31" s="1"/>
  <c r="DN309" i="31" s="1"/>
  <c r="DN310" i="31" s="1"/>
  <c r="DN311" i="31" s="1"/>
  <c r="DN312" i="31" s="1"/>
  <c r="DN313" i="31" s="1"/>
  <c r="DN314" i="31" s="1"/>
  <c r="DN315" i="31" s="1"/>
  <c r="DN316" i="31" s="1"/>
  <c r="DN317" i="31" s="1"/>
  <c r="DN318" i="31" s="1"/>
  <c r="DN319" i="31" s="1"/>
  <c r="DN320" i="31" s="1"/>
  <c r="DN321" i="31" s="1"/>
  <c r="DN322" i="31" s="1"/>
  <c r="DN323" i="31" s="1"/>
  <c r="DN324" i="31" s="1"/>
  <c r="DN325" i="31" s="1"/>
  <c r="DN326" i="31" s="1"/>
  <c r="DN327" i="31" s="1"/>
  <c r="DN328" i="31" s="1"/>
  <c r="DN329" i="31" s="1"/>
  <c r="DN330" i="31" s="1"/>
  <c r="DN331" i="31" s="1"/>
  <c r="DN332" i="31" s="1"/>
  <c r="DN333" i="31" s="1"/>
  <c r="DN334" i="31" s="1"/>
  <c r="DN335" i="31" s="1"/>
  <c r="DN336" i="31" s="1"/>
  <c r="DN337" i="31" s="1"/>
  <c r="DN338" i="31" s="1"/>
  <c r="DN339" i="31" s="1"/>
  <c r="DN340" i="31" s="1"/>
  <c r="DN341" i="31" s="1"/>
  <c r="DN342" i="31" s="1"/>
  <c r="DN343" i="31" s="1"/>
  <c r="DN344" i="31" s="1"/>
  <c r="DN345" i="31" s="1"/>
  <c r="DN346" i="31" s="1"/>
  <c r="DN347" i="31" s="1"/>
  <c r="DN348" i="31" s="1"/>
  <c r="DN349" i="31" s="1"/>
  <c r="DN350" i="31" s="1"/>
  <c r="DN351" i="31" s="1"/>
  <c r="DN352" i="31" s="1"/>
  <c r="DN353" i="31" s="1"/>
  <c r="DN354" i="31" s="1"/>
  <c r="DN355" i="31" s="1"/>
  <c r="DN356" i="31" s="1"/>
  <c r="DN357" i="31" s="1"/>
  <c r="DN358" i="31" s="1"/>
  <c r="DN359" i="31" s="1"/>
  <c r="DN360" i="31" s="1"/>
  <c r="DN361" i="31" s="1"/>
  <c r="DN362" i="31" s="1"/>
  <c r="DN363" i="31" s="1"/>
  <c r="DN364" i="31" s="1"/>
  <c r="DN365" i="31" s="1"/>
  <c r="DN366" i="31" s="1"/>
  <c r="DN367" i="31" s="1"/>
  <c r="DN368" i="31" s="1"/>
  <c r="DN369" i="31" s="1"/>
  <c r="DN370" i="31" s="1"/>
  <c r="GK157" i="31"/>
  <c r="GL157" i="31" s="1"/>
  <c r="GP157" i="31" s="1"/>
  <c r="LS157" i="31"/>
  <c r="LY157" i="31" s="1"/>
  <c r="MA157" i="31" s="1"/>
  <c r="LR157" i="31"/>
  <c r="LX157" i="31" s="1"/>
  <c r="LZ157" i="31" s="1"/>
  <c r="PF158" i="31"/>
  <c r="MG158" i="31"/>
  <c r="MH157" i="31" l="1"/>
  <c r="MI157" i="31"/>
  <c r="MK157" i="31"/>
  <c r="MI158" i="31"/>
  <c r="MH158" i="31"/>
  <c r="MK158" i="31"/>
  <c r="MM157" i="31" l="1"/>
  <c r="MN157" i="31" s="1"/>
  <c r="ML157" i="31"/>
  <c r="MP157" i="31"/>
  <c r="MP158" i="31"/>
  <c r="ML158" i="31"/>
  <c r="MM158" i="31"/>
  <c r="MN158" i="31" s="1"/>
  <c r="BC7" i="31" l="1"/>
  <c r="BD7" i="31" s="1"/>
  <c r="BE7" i="31" l="1"/>
  <c r="BF7" i="31" l="1"/>
  <c r="BG7" i="31"/>
  <c r="BI7" i="31" l="1"/>
  <c r="BK7" i="31" s="1"/>
  <c r="BH7" i="31"/>
  <c r="BJ7" i="31" l="1"/>
  <c r="BL7" i="31"/>
  <c r="BM7" i="31"/>
  <c r="BN7" i="31" l="1"/>
  <c r="BO7" i="31"/>
  <c r="BP7" i="31" s="1"/>
  <c r="BQ7" i="31" l="1"/>
  <c r="BS7" i="31" l="1"/>
  <c r="BR7" i="31"/>
  <c r="BT7" i="31" l="1"/>
  <c r="BU7" i="31"/>
  <c r="BW7" i="31" s="1"/>
  <c r="BV7" i="31" l="1"/>
  <c r="BX7" i="31"/>
  <c r="BY7" i="31"/>
  <c r="BZ7" i="31" l="1"/>
  <c r="CA7" i="31"/>
  <c r="CC7" i="31" s="1"/>
  <c r="CB7" i="31" l="1"/>
  <c r="CE7" i="31"/>
  <c r="CD7" i="31"/>
  <c r="CF7" i="31" l="1"/>
  <c r="CG7" i="31"/>
  <c r="CI7" i="31" s="1"/>
  <c r="CJ7" i="31" l="1"/>
  <c r="CO7" i="31" s="1"/>
  <c r="CK7" i="31"/>
  <c r="CH7" i="31"/>
  <c r="CL7" i="31" l="1"/>
  <c r="CM7" i="31"/>
  <c r="CN7" i="31" s="1"/>
  <c r="CP7" i="31" l="1"/>
  <c r="FZ7" i="31" l="1"/>
  <c r="GB7" i="31"/>
  <c r="CQ7" i="31"/>
  <c r="FU7" i="31"/>
  <c r="GO7" i="31"/>
  <c r="KU7" i="31"/>
  <c r="FP7" i="31"/>
  <c r="FS7" i="31" s="1"/>
  <c r="FX7" i="31"/>
  <c r="JR7" i="31"/>
  <c r="JS7" i="31" s="1"/>
  <c r="FE7" i="31"/>
  <c r="FF7" i="31" s="1"/>
  <c r="FH7" i="31"/>
  <c r="FI7" i="31" s="1"/>
  <c r="KX7" i="31"/>
  <c r="HO7" i="31"/>
  <c r="DQ7" i="31"/>
  <c r="DR7" i="31" s="1"/>
  <c r="GN7" i="31" l="1"/>
  <c r="GQ7" i="31" s="1"/>
  <c r="FY7" i="31"/>
  <c r="HA7" i="31"/>
  <c r="HY7" i="31"/>
  <c r="DY7" i="31"/>
  <c r="DS7" i="31"/>
  <c r="IZ7" i="31"/>
  <c r="HP7" i="31"/>
  <c r="IA7" i="31"/>
  <c r="IB7" i="31" s="1"/>
  <c r="CS7" i="31"/>
  <c r="CR7" i="31"/>
  <c r="CT7" i="31"/>
  <c r="FG8" i="31"/>
  <c r="HW7" i="31"/>
  <c r="HX8" i="31" s="1"/>
  <c r="GC7" i="31"/>
  <c r="FW7" i="31"/>
  <c r="HU7" i="31"/>
  <c r="HV8" i="31" s="1"/>
  <c r="FJ8" i="31"/>
  <c r="KC7" i="31"/>
  <c r="JU7" i="31"/>
  <c r="KE7" i="31"/>
  <c r="JT8" i="31"/>
  <c r="GA7" i="31"/>
  <c r="KV7" i="31" l="1"/>
  <c r="KW8" i="31" s="1"/>
  <c r="HQ7" i="31"/>
  <c r="HR8" i="31" s="1"/>
  <c r="HS7" i="31"/>
  <c r="JG7" i="31" s="1"/>
  <c r="HT7" i="31"/>
  <c r="AZ7" i="31"/>
  <c r="EM7" i="31"/>
  <c r="EW7" i="31" s="1"/>
  <c r="EN7" i="31"/>
  <c r="BB8" i="31" s="1"/>
  <c r="AX7" i="31"/>
  <c r="AY8" i="31" s="1"/>
  <c r="BC8" i="31" l="1"/>
  <c r="IW7" i="31"/>
  <c r="EQ7" i="31"/>
  <c r="DW7" i="31"/>
  <c r="DU8" i="31" s="1"/>
  <c r="IU7" i="31"/>
  <c r="IV7" i="31" s="1"/>
  <c r="ER8" i="31"/>
  <c r="IC7" i="31"/>
  <c r="ID7" i="31" s="1"/>
  <c r="IF7" i="31" s="1"/>
  <c r="KH7" i="31" s="1"/>
  <c r="JB7" i="31"/>
  <c r="BD8" i="31" l="1"/>
  <c r="BE8" i="31"/>
  <c r="DB7" i="31"/>
  <c r="IM7" i="31"/>
  <c r="IN7" i="31"/>
  <c r="KI8" i="31"/>
  <c r="GM7" i="31"/>
  <c r="DF7" i="31"/>
  <c r="EU8" i="31"/>
  <c r="IX7" i="31"/>
  <c r="KB7" i="31"/>
  <c r="KK7" i="31"/>
  <c r="BF8" i="31" l="1"/>
  <c r="BG8" i="31"/>
  <c r="DT7" i="31"/>
  <c r="DZ7" i="31" s="1"/>
  <c r="FD7" i="31"/>
  <c r="GU7" i="31"/>
  <c r="GV7" i="31"/>
  <c r="GR7" i="31"/>
  <c r="KJ8" i="31"/>
  <c r="BI8" i="31" l="1"/>
  <c r="BK8" i="31" s="1"/>
  <c r="BH8" i="31"/>
  <c r="FL8" i="31"/>
  <c r="IS7" i="31"/>
  <c r="GS7" i="31"/>
  <c r="BJ8" i="31" l="1"/>
  <c r="BL8" i="31"/>
  <c r="BM8" i="31"/>
  <c r="FM8" i="31"/>
  <c r="GY7" i="31"/>
  <c r="GW7" i="31"/>
  <c r="HC7" i="31" s="1"/>
  <c r="FA8" i="31" s="1"/>
  <c r="GX7" i="31"/>
  <c r="JH7" i="31"/>
  <c r="JI7" i="31" s="1"/>
  <c r="JK7" i="31" s="1"/>
  <c r="IT7" i="31"/>
  <c r="BN8" i="31" l="1"/>
  <c r="BO8" i="31"/>
  <c r="EY7" i="31"/>
  <c r="EG7" i="31"/>
  <c r="EH8" i="31" s="1"/>
  <c r="HK8" i="31"/>
  <c r="HM7" i="31"/>
  <c r="HB8" i="31"/>
  <c r="JZ7" i="31" l="1"/>
  <c r="KF7" i="31" s="1"/>
  <c r="IQ8" i="31" s="1"/>
  <c r="BP8" i="31"/>
  <c r="BQ8" i="31" s="1"/>
  <c r="JN7" i="31"/>
  <c r="JV7" i="31" s="1"/>
  <c r="JF8" i="31" s="1"/>
  <c r="JW8" i="31" s="1"/>
  <c r="KA8" i="31"/>
  <c r="JL7" i="31"/>
  <c r="JJ8" i="31" s="1"/>
  <c r="EJ7" i="31"/>
  <c r="EK8" i="31" s="1"/>
  <c r="EE7" i="31"/>
  <c r="EF8" i="31" s="1"/>
  <c r="ED7" i="31"/>
  <c r="EB8" i="31" s="1"/>
  <c r="EI8" i="31"/>
  <c r="FK8" i="31" s="1"/>
  <c r="EZ7" i="31"/>
  <c r="DG7" i="31"/>
  <c r="DH7" i="31" s="1"/>
  <c r="DI8" i="31" s="1"/>
  <c r="JM7" i="31"/>
  <c r="KD7" i="31" s="1"/>
  <c r="IL8" i="31" s="1"/>
  <c r="JA8" i="31" l="1"/>
  <c r="IR8" i="31"/>
  <c r="BR8" i="31"/>
  <c r="BS8" i="31"/>
  <c r="JY8" i="31"/>
  <c r="IY8" i="31"/>
  <c r="HZ8" i="31"/>
  <c r="JO8" i="31"/>
  <c r="FC8" i="31"/>
  <c r="EL8" i="31"/>
  <c r="EO8" i="31"/>
  <c r="ES9" i="31" s="1"/>
  <c r="EP8" i="31"/>
  <c r="ET9" i="31" s="1"/>
  <c r="EV8" i="31"/>
  <c r="DJ8" i="31"/>
  <c r="DK8" i="31" s="1"/>
  <c r="GZ8" i="31"/>
  <c r="JC8" i="31"/>
  <c r="JD8" i="31"/>
  <c r="IO8" i="31"/>
  <c r="IP8" i="31"/>
  <c r="JE8" i="31"/>
  <c r="DP8" i="31"/>
  <c r="JP8" i="31" l="1"/>
  <c r="JQ8" i="31" s="1"/>
  <c r="KG8" i="31"/>
  <c r="BT8" i="31"/>
  <c r="BU8" i="31"/>
  <c r="BW8" i="31" s="1"/>
  <c r="FQ8" i="31"/>
  <c r="DX8" i="31"/>
  <c r="DM8" i="31"/>
  <c r="DC8" i="31"/>
  <c r="EC8" i="31"/>
  <c r="IE8" i="31"/>
  <c r="JX8" i="31"/>
  <c r="BV8" i="31" l="1"/>
  <c r="BY8" i="31"/>
  <c r="BX8" i="31"/>
  <c r="L9" i="31"/>
  <c r="DL8" i="31"/>
  <c r="FB8" i="31"/>
  <c r="EX8" i="31"/>
  <c r="M8" i="31" s="1"/>
  <c r="DD9" i="31"/>
  <c r="DE10" i="31" s="1"/>
  <c r="BZ8" i="31" l="1"/>
  <c r="CA8" i="31"/>
  <c r="CC8" i="31" s="1"/>
  <c r="MB8" i="31"/>
  <c r="MJ8" i="31"/>
  <c r="NS8" i="31" s="1"/>
  <c r="GT10" i="31"/>
  <c r="NM8" i="31" l="1"/>
  <c r="NN8" i="31" s="1"/>
  <c r="CD8" i="31"/>
  <c r="CE8" i="31"/>
  <c r="CB8" i="31"/>
  <c r="OU9" i="31"/>
  <c r="NT8" i="31"/>
  <c r="OV9" i="31" l="1"/>
  <c r="NW8" i="31"/>
  <c r="NX8" i="31" s="1"/>
  <c r="CF8" i="31"/>
  <c r="CG8" i="31"/>
  <c r="CI8" i="31" s="1"/>
  <c r="FV8" i="31"/>
  <c r="FR8" i="31"/>
  <c r="NU8" i="31"/>
  <c r="CX8" i="31"/>
  <c r="CH8" i="31" l="1"/>
  <c r="CJ8" i="31"/>
  <c r="CO8" i="31" s="1"/>
  <c r="CK8" i="31"/>
  <c r="NY8" i="31"/>
  <c r="OF8" i="31"/>
  <c r="OS9" i="31" s="1"/>
  <c r="NZ8" i="31"/>
  <c r="CY9" i="31"/>
  <c r="MY8" i="31"/>
  <c r="NV8" i="31"/>
  <c r="OA8" i="31" l="1"/>
  <c r="MV9" i="31" s="1"/>
  <c r="OG9" i="31" s="1"/>
  <c r="CL8" i="31"/>
  <c r="CM8" i="31"/>
  <c r="CN8" i="31" s="1"/>
  <c r="OM9" i="31"/>
  <c r="NF9" i="31"/>
  <c r="OO9" i="31"/>
  <c r="OB8" i="31"/>
  <c r="OT9" i="31" s="1"/>
  <c r="MZ9" i="31"/>
  <c r="OZ8" i="31"/>
  <c r="OI8" i="31"/>
  <c r="KT9" i="31" l="1"/>
  <c r="KL9" i="31" s="1"/>
  <c r="KN10" i="31" s="1"/>
  <c r="CP8" i="31"/>
  <c r="OC8" i="31"/>
  <c r="OD9" i="31" s="1"/>
  <c r="PA8" i="31"/>
  <c r="OW8" i="31"/>
  <c r="MR9" i="31"/>
  <c r="OX9" i="31"/>
  <c r="OJ8" i="31"/>
  <c r="KM9" i="31" l="1"/>
  <c r="KO10" i="31" s="1"/>
  <c r="KP10" i="31" s="1"/>
  <c r="FZ8" i="31"/>
  <c r="GA8" i="31" s="1"/>
  <c r="CQ8" i="31"/>
  <c r="FU8" i="31"/>
  <c r="FW8" i="31" s="1"/>
  <c r="FP8" i="31"/>
  <c r="FS8" i="31" s="1"/>
  <c r="DQ8" i="31"/>
  <c r="DR8" i="31" s="1"/>
  <c r="HO8" i="31"/>
  <c r="FE8" i="31"/>
  <c r="FF8" i="31" s="1"/>
  <c r="GB8" i="31"/>
  <c r="GC8" i="31" s="1"/>
  <c r="JR8" i="31"/>
  <c r="JS8" i="31" s="1"/>
  <c r="FH8" i="31"/>
  <c r="FI8" i="31" s="1"/>
  <c r="FX8" i="31"/>
  <c r="FY8" i="31" s="1"/>
  <c r="KX8" i="31"/>
  <c r="GO8" i="31"/>
  <c r="KU8" i="31"/>
  <c r="OY9" i="31"/>
  <c r="MW9" i="31"/>
  <c r="MS9" i="31"/>
  <c r="KQ9" i="31"/>
  <c r="OH9" i="31"/>
  <c r="OK9" i="31" s="1"/>
  <c r="GN8" i="31" l="1"/>
  <c r="KV8" i="31" s="1"/>
  <c r="KR9" i="31"/>
  <c r="KS9" i="31" s="1"/>
  <c r="HP8" i="31"/>
  <c r="IA8" i="31"/>
  <c r="IB8" i="31" s="1"/>
  <c r="IZ8" i="31"/>
  <c r="DS8" i="31"/>
  <c r="HW8" i="31"/>
  <c r="HX9" i="31" s="1"/>
  <c r="FG9" i="31"/>
  <c r="DY8" i="31"/>
  <c r="HY8" i="31"/>
  <c r="HA8" i="31"/>
  <c r="HU8" i="31"/>
  <c r="HV9" i="31" s="1"/>
  <c r="FJ9" i="31"/>
  <c r="CS8" i="31"/>
  <c r="CR8" i="31"/>
  <c r="CT8" i="31"/>
  <c r="KE8" i="31"/>
  <c r="JU8" i="31"/>
  <c r="KC8" i="31"/>
  <c r="JT9" i="31"/>
  <c r="MX9" i="31"/>
  <c r="NP9" i="31"/>
  <c r="MO9" i="31"/>
  <c r="MU9" i="31"/>
  <c r="MT9" i="31"/>
  <c r="NH10" i="31"/>
  <c r="NI10" i="31" s="1"/>
  <c r="NQ9" i="31"/>
  <c r="NJ9" i="31"/>
  <c r="PE9" i="31"/>
  <c r="GQ8" i="31" l="1"/>
  <c r="KW9" i="31"/>
  <c r="HQ8" i="31"/>
  <c r="HR9" i="31" s="1"/>
  <c r="AX8" i="31"/>
  <c r="AY9" i="31" s="1"/>
  <c r="EM8" i="31"/>
  <c r="EW8" i="31" s="1"/>
  <c r="AZ8" i="31"/>
  <c r="EN8" i="31"/>
  <c r="HT8" i="31"/>
  <c r="HS8" i="31"/>
  <c r="JG8" i="31" s="1"/>
  <c r="NK9" i="31"/>
  <c r="NG10" i="31"/>
  <c r="NL9" i="31"/>
  <c r="OQ10" i="31"/>
  <c r="NB9" i="31"/>
  <c r="NA9" i="31"/>
  <c r="NR9" i="31"/>
  <c r="BB9" i="31" l="1"/>
  <c r="DW8" i="31"/>
  <c r="DU9" i="31" s="1"/>
  <c r="ER9" i="31"/>
  <c r="IW8" i="31"/>
  <c r="EQ8" i="31"/>
  <c r="IU8" i="31"/>
  <c r="IV8" i="31" s="1"/>
  <c r="IC8" i="31"/>
  <c r="ID8" i="31" s="1"/>
  <c r="IF8" i="31" s="1"/>
  <c r="KH8" i="31" s="1"/>
  <c r="JB8" i="31"/>
  <c r="NC10" i="31"/>
  <c r="MQ10" i="31"/>
  <c r="OR10" i="31"/>
  <c r="IX8" i="31" l="1"/>
  <c r="KK8" i="31"/>
  <c r="KB8" i="31"/>
  <c r="EU9" i="31"/>
  <c r="GM8" i="31"/>
  <c r="DB8" i="31"/>
  <c r="IM8" i="31"/>
  <c r="KI9" i="31"/>
  <c r="IN8" i="31"/>
  <c r="DF8" i="31"/>
  <c r="BC9" i="31"/>
  <c r="GU8" i="31" l="1"/>
  <c r="GV8" i="31"/>
  <c r="FD8" i="31"/>
  <c r="BD9" i="31"/>
  <c r="BE9" i="31"/>
  <c r="DT8" i="31"/>
  <c r="DZ8" i="31" s="1"/>
  <c r="GR8" i="31"/>
  <c r="KJ9" i="31"/>
  <c r="BF9" i="31" l="1"/>
  <c r="BG9" i="31"/>
  <c r="IS8" i="31"/>
  <c r="FL9" i="31"/>
  <c r="FM9" i="31" s="1"/>
  <c r="GS8" i="31"/>
  <c r="IT8" i="31" l="1"/>
  <c r="JH8" i="31"/>
  <c r="JI8" i="31" s="1"/>
  <c r="GW8" i="31"/>
  <c r="HC8" i="31" s="1"/>
  <c r="FA9" i="31" s="1"/>
  <c r="HB9" i="31" s="1"/>
  <c r="GY8" i="31"/>
  <c r="GX8" i="31"/>
  <c r="BI9" i="31"/>
  <c r="BK9" i="31" s="1"/>
  <c r="BH9" i="31"/>
  <c r="BL9" i="31" l="1"/>
  <c r="BM9" i="31"/>
  <c r="HM8" i="31"/>
  <c r="EG8" i="31"/>
  <c r="EH9" i="31" s="1"/>
  <c r="EI9" i="31" s="1"/>
  <c r="FK9" i="31" s="1"/>
  <c r="EY8" i="31"/>
  <c r="HK9" i="31"/>
  <c r="BJ9" i="31"/>
  <c r="JK8" i="31"/>
  <c r="JZ8" i="31" l="1"/>
  <c r="KF8" i="31" s="1"/>
  <c r="IQ9" i="31" s="1"/>
  <c r="JM8" i="31"/>
  <c r="KD8" i="31" s="1"/>
  <c r="IL9" i="31" s="1"/>
  <c r="EZ8" i="31"/>
  <c r="DG8" i="31"/>
  <c r="DH8" i="31" s="1"/>
  <c r="DI9" i="31" s="1"/>
  <c r="EJ8" i="31"/>
  <c r="EK9" i="31" s="1"/>
  <c r="EE8" i="31"/>
  <c r="EF9" i="31" s="1"/>
  <c r="ED8" i="31"/>
  <c r="EB9" i="31" s="1"/>
  <c r="JN8" i="31"/>
  <c r="JV8" i="31" s="1"/>
  <c r="JF9" i="31" s="1"/>
  <c r="JL8" i="31"/>
  <c r="JJ9" i="31" s="1"/>
  <c r="KA9" i="31"/>
  <c r="BN9" i="31"/>
  <c r="BO9" i="31"/>
  <c r="JE9" i="31" l="1"/>
  <c r="IP9" i="31"/>
  <c r="IR9" i="31"/>
  <c r="DP9" i="31"/>
  <c r="JY9" i="31"/>
  <c r="JW9" i="31"/>
  <c r="JO9" i="31"/>
  <c r="EP9" i="31"/>
  <c r="ET10" i="31" s="1"/>
  <c r="EO9" i="31"/>
  <c r="ES10" i="31" s="1"/>
  <c r="EL9" i="31"/>
  <c r="FC9" i="31"/>
  <c r="EV9" i="31"/>
  <c r="DJ9" i="31"/>
  <c r="DK9" i="31" s="1"/>
  <c r="GZ9" i="31"/>
  <c r="IE9" i="31" s="1"/>
  <c r="JA9" i="31"/>
  <c r="HZ9" i="31"/>
  <c r="JC9" i="31"/>
  <c r="JD9" i="31"/>
  <c r="BP9" i="31"/>
  <c r="BQ9" i="31" s="1"/>
  <c r="IO9" i="31"/>
  <c r="IY9" i="31"/>
  <c r="JP9" i="31" l="1"/>
  <c r="JQ9" i="31" s="1"/>
  <c r="BR9" i="31"/>
  <c r="BS9" i="31"/>
  <c r="DX9" i="31"/>
  <c r="FQ9" i="31"/>
  <c r="DM9" i="31"/>
  <c r="DC9" i="31"/>
  <c r="EC9" i="31"/>
  <c r="JX9" i="31"/>
  <c r="KG9" i="31"/>
  <c r="DD10" i="31" l="1"/>
  <c r="DE11" i="31" s="1"/>
  <c r="GT11" i="31" s="1"/>
  <c r="EX9" i="31"/>
  <c r="M9" i="31" s="1"/>
  <c r="FB9" i="31"/>
  <c r="DL9" i="31"/>
  <c r="L10" i="31"/>
  <c r="BT9" i="31"/>
  <c r="BU9" i="31"/>
  <c r="BW9" i="31" s="1"/>
  <c r="BV9" i="31" l="1"/>
  <c r="MB9" i="31"/>
  <c r="MJ9" i="31"/>
  <c r="NS9" i="31" s="1"/>
  <c r="BX9" i="31"/>
  <c r="BY9" i="31"/>
  <c r="NM9" i="31" l="1"/>
  <c r="NN9" i="31" s="1"/>
  <c r="BZ9" i="31"/>
  <c r="CA9" i="31"/>
  <c r="CC9" i="31" s="1"/>
  <c r="OU10" i="31"/>
  <c r="NT9" i="31"/>
  <c r="OV10" i="31" l="1"/>
  <c r="NW9" i="31"/>
  <c r="NX9" i="31" s="1"/>
  <c r="OF9" i="31" s="1"/>
  <c r="OS10" i="31" s="1"/>
  <c r="CB9" i="31"/>
  <c r="FV9" i="31"/>
  <c r="NU9" i="31"/>
  <c r="NV9" i="31" s="1"/>
  <c r="FR9" i="31"/>
  <c r="CX9" i="31"/>
  <c r="CD9" i="31"/>
  <c r="CE9" i="31"/>
  <c r="NY9" i="31" l="1"/>
  <c r="OB9" i="31" s="1"/>
  <c r="OT10" i="31" s="1"/>
  <c r="CF9" i="31"/>
  <c r="CG9" i="31"/>
  <c r="CI9" i="31" s="1"/>
  <c r="NZ9" i="31"/>
  <c r="CY10" i="31"/>
  <c r="MY9" i="31"/>
  <c r="OA9" i="31" l="1"/>
  <c r="MV10" i="31" s="1"/>
  <c r="OG10" i="31" s="1"/>
  <c r="OC9" i="31"/>
  <c r="OD10" i="31" s="1"/>
  <c r="OH10" i="31" s="1"/>
  <c r="MZ10" i="31"/>
  <c r="OZ9" i="31"/>
  <c r="OI9" i="31"/>
  <c r="NF10" i="31"/>
  <c r="OO10" i="31"/>
  <c r="OM10" i="31"/>
  <c r="CJ9" i="31"/>
  <c r="CO9" i="31" s="1"/>
  <c r="CK9" i="31"/>
  <c r="PA9" i="31"/>
  <c r="OJ9" i="31"/>
  <c r="CH9" i="31"/>
  <c r="KT10" i="31" l="1"/>
  <c r="KM10" i="31" s="1"/>
  <c r="KO11" i="31" s="1"/>
  <c r="OK10" i="31"/>
  <c r="MW10" i="31"/>
  <c r="MX10" i="31" s="1"/>
  <c r="OY10" i="31"/>
  <c r="OW9" i="31"/>
  <c r="MR10" i="31"/>
  <c r="MS10" i="31" s="1"/>
  <c r="OX10" i="31"/>
  <c r="CL9" i="31"/>
  <c r="CM9" i="31"/>
  <c r="CN9" i="31" s="1"/>
  <c r="KL10" i="31" l="1"/>
  <c r="KN11" i="31" s="1"/>
  <c r="KQ10" i="31" s="1"/>
  <c r="CP9" i="31"/>
  <c r="CQ9" i="31" s="1"/>
  <c r="MT10" i="31"/>
  <c r="MU10" i="31"/>
  <c r="NP10" i="31"/>
  <c r="NQ10" i="31"/>
  <c r="NJ10" i="31"/>
  <c r="NH11" i="31"/>
  <c r="NI11" i="31" s="1"/>
  <c r="MO10" i="31"/>
  <c r="PE10" i="31"/>
  <c r="NB10" i="31"/>
  <c r="NA10" i="31"/>
  <c r="KR10" i="31"/>
  <c r="KP11" i="31" l="1"/>
  <c r="KS10" i="31"/>
  <c r="NR10" i="31"/>
  <c r="FX9" i="31"/>
  <c r="FY9" i="31" s="1"/>
  <c r="GB9" i="31"/>
  <c r="GC9" i="31" s="1"/>
  <c r="KX9" i="31"/>
  <c r="FU9" i="31"/>
  <c r="FW9" i="31" s="1"/>
  <c r="JR9" i="31"/>
  <c r="JS9" i="31" s="1"/>
  <c r="JU9" i="31" s="1"/>
  <c r="FE9" i="31"/>
  <c r="FF9" i="31" s="1"/>
  <c r="HW9" i="31" s="1"/>
  <c r="HX10" i="31" s="1"/>
  <c r="DQ9" i="31"/>
  <c r="DR9" i="31" s="1"/>
  <c r="DS9" i="31" s="1"/>
  <c r="GO9" i="31"/>
  <c r="FH9" i="31"/>
  <c r="FI9" i="31" s="1"/>
  <c r="HU9" i="31" s="1"/>
  <c r="HV10" i="31" s="1"/>
  <c r="HO9" i="31"/>
  <c r="HP9" i="31" s="1"/>
  <c r="FP9" i="31"/>
  <c r="FS9" i="31" s="1"/>
  <c r="HY9" i="31" s="1"/>
  <c r="KU9" i="31"/>
  <c r="FZ9" i="31"/>
  <c r="GA9" i="31" s="1"/>
  <c r="NG11" i="31"/>
  <c r="NL10" i="31"/>
  <c r="OQ11" i="31"/>
  <c r="OR11" i="31" s="1"/>
  <c r="NK10" i="31"/>
  <c r="CR9" i="31"/>
  <c r="CT9" i="31"/>
  <c r="CS9" i="31"/>
  <c r="GN9" i="31" l="1"/>
  <c r="KV9" i="31" s="1"/>
  <c r="HA9" i="31"/>
  <c r="DY9" i="31"/>
  <c r="IZ9" i="31"/>
  <c r="IA9" i="31"/>
  <c r="IB9" i="31" s="1"/>
  <c r="FG10" i="31"/>
  <c r="KE9" i="31"/>
  <c r="FJ10" i="31"/>
  <c r="JT10" i="31"/>
  <c r="KC9" i="31"/>
  <c r="NC11" i="31"/>
  <c r="MQ11" i="31"/>
  <c r="HS9" i="31"/>
  <c r="JG9" i="31" s="1"/>
  <c r="HT9" i="31"/>
  <c r="AX9" i="31"/>
  <c r="AY10" i="31" s="1"/>
  <c r="EM9" i="31"/>
  <c r="EW9" i="31" s="1"/>
  <c r="EN9" i="31"/>
  <c r="AZ9" i="31"/>
  <c r="GQ9" i="31" l="1"/>
  <c r="KW10" i="31"/>
  <c r="HQ9" i="31"/>
  <c r="HR10" i="31" s="1"/>
  <c r="IC9" i="31"/>
  <c r="ID9" i="31" s="1"/>
  <c r="IF9" i="31" s="1"/>
  <c r="KH9" i="31" s="1"/>
  <c r="JB9" i="31"/>
  <c r="BB10" i="31"/>
  <c r="IW9" i="31"/>
  <c r="DW9" i="31"/>
  <c r="DU10" i="31" s="1"/>
  <c r="EQ9" i="31"/>
  <c r="ER10" i="31"/>
  <c r="IU9" i="31"/>
  <c r="IV9" i="31" s="1"/>
  <c r="KB9" i="31" l="1"/>
  <c r="BC10" i="31"/>
  <c r="IX9" i="31"/>
  <c r="KK9" i="31"/>
  <c r="EU10" i="31"/>
  <c r="IM9" i="31"/>
  <c r="DB9" i="31"/>
  <c r="GM9" i="31"/>
  <c r="KI10" i="31"/>
  <c r="IN9" i="31"/>
  <c r="DF9" i="31"/>
  <c r="DT9" i="31" l="1"/>
  <c r="DZ9" i="31" s="1"/>
  <c r="GU9" i="31"/>
  <c r="GV9" i="31"/>
  <c r="FD9" i="31"/>
  <c r="KJ10" i="31"/>
  <c r="GR9" i="31"/>
  <c r="BD10" i="31"/>
  <c r="BE10" i="31"/>
  <c r="GS9" i="31" l="1"/>
  <c r="IS9" i="31"/>
  <c r="FL10" i="31"/>
  <c r="BF10" i="31"/>
  <c r="BG10" i="31"/>
  <c r="BI10" i="31" l="1"/>
  <c r="BK10" i="31" s="1"/>
  <c r="BH10" i="31"/>
  <c r="IT9" i="31"/>
  <c r="JH9" i="31"/>
  <c r="JI9" i="31" s="1"/>
  <c r="FM10" i="31"/>
  <c r="GY9" i="31"/>
  <c r="GX9" i="31"/>
  <c r="GW9" i="31"/>
  <c r="HC9" i="31" s="1"/>
  <c r="FA10" i="31" s="1"/>
  <c r="HB10" i="31" s="1"/>
  <c r="BJ10" i="31" l="1"/>
  <c r="EY9" i="31"/>
  <c r="HK10" i="31"/>
  <c r="EG9" i="31"/>
  <c r="EH10" i="31" s="1"/>
  <c r="EI10" i="31" s="1"/>
  <c r="FK10" i="31" s="1"/>
  <c r="HM9" i="31"/>
  <c r="JK9" i="31"/>
  <c r="BL10" i="31"/>
  <c r="BM10" i="31"/>
  <c r="JZ9" i="31" l="1"/>
  <c r="KF9" i="31" s="1"/>
  <c r="IQ10" i="31" s="1"/>
  <c r="JL9" i="31"/>
  <c r="JJ10" i="31" s="1"/>
  <c r="KA10" i="31"/>
  <c r="EJ9" i="31"/>
  <c r="EK10" i="31" s="1"/>
  <c r="EE9" i="31"/>
  <c r="EF10" i="31" s="1"/>
  <c r="ED9" i="31"/>
  <c r="EB10" i="31" s="1"/>
  <c r="BN10" i="31"/>
  <c r="BO10" i="31"/>
  <c r="BP10" i="31" s="1"/>
  <c r="BQ10" i="31" s="1"/>
  <c r="JM9" i="31"/>
  <c r="KD9" i="31" s="1"/>
  <c r="IL10" i="31" s="1"/>
  <c r="EZ9" i="31"/>
  <c r="DG9" i="31"/>
  <c r="DH9" i="31" s="1"/>
  <c r="DI10" i="31" s="1"/>
  <c r="JN9" i="31"/>
  <c r="JV9" i="31" s="1"/>
  <c r="JF10" i="31" s="1"/>
  <c r="BR10" i="31" l="1"/>
  <c r="BS10" i="31"/>
  <c r="FC10" i="31"/>
  <c r="EL10" i="31"/>
  <c r="EP10" i="31"/>
  <c r="ET11" i="31" s="1"/>
  <c r="EO10" i="31"/>
  <c r="ES11" i="31" s="1"/>
  <c r="EV10" i="31"/>
  <c r="GZ10" i="31"/>
  <c r="IE10" i="31" s="1"/>
  <c r="DJ10" i="31"/>
  <c r="DK10" i="31" s="1"/>
  <c r="IP10" i="31"/>
  <c r="IO10" i="31"/>
  <c r="JC10" i="31"/>
  <c r="JD10" i="31"/>
  <c r="HZ10" i="31"/>
  <c r="JO10" i="31"/>
  <c r="JW10" i="31"/>
  <c r="JY10" i="31"/>
  <c r="DP10" i="31"/>
  <c r="JE10" i="31"/>
  <c r="IY10" i="31"/>
  <c r="IR10" i="31"/>
  <c r="JA10" i="31"/>
  <c r="JP10" i="31" l="1"/>
  <c r="JQ10" i="31" s="1"/>
  <c r="JX10" i="31"/>
  <c r="KG10" i="31"/>
  <c r="EC10" i="31"/>
  <c r="FQ10" i="31"/>
  <c r="DM10" i="31"/>
  <c r="DX10" i="31"/>
  <c r="DC10" i="31"/>
  <c r="BT10" i="31"/>
  <c r="BU10" i="31"/>
  <c r="BW10" i="31" s="1"/>
  <c r="DD11" i="31" l="1"/>
  <c r="DE12" i="31" s="1"/>
  <c r="BV10" i="31"/>
  <c r="L11" i="31"/>
  <c r="DL10" i="31"/>
  <c r="BX10" i="31"/>
  <c r="BY10" i="31"/>
  <c r="FB10" i="31"/>
  <c r="EX10" i="31"/>
  <c r="M10" i="31" s="1"/>
  <c r="GT12" i="31" l="1"/>
  <c r="MB10" i="31"/>
  <c r="MJ10" i="31"/>
  <c r="NS10" i="31" s="1"/>
  <c r="BZ10" i="31"/>
  <c r="CA10" i="31"/>
  <c r="CC10" i="31" s="1"/>
  <c r="NM10" i="31" l="1"/>
  <c r="NN10" i="31" s="1"/>
  <c r="CD10" i="31"/>
  <c r="CE10" i="31"/>
  <c r="NT10" i="31"/>
  <c r="OU11" i="31"/>
  <c r="CB10" i="31"/>
  <c r="OV11" i="31" l="1"/>
  <c r="NW10" i="31"/>
  <c r="NX10" i="31" s="1"/>
  <c r="FV10" i="31"/>
  <c r="FR10" i="31"/>
  <c r="CX10" i="31"/>
  <c r="NU10" i="31"/>
  <c r="CF10" i="31"/>
  <c r="CG10" i="31"/>
  <c r="CI10" i="31" s="1"/>
  <c r="CH10" i="31" l="1"/>
  <c r="NV10" i="31"/>
  <c r="NY10" i="31"/>
  <c r="CJ10" i="31"/>
  <c r="CO10" i="31" s="1"/>
  <c r="CK10" i="31"/>
  <c r="MY10" i="31"/>
  <c r="NZ10" i="31"/>
  <c r="CY11" i="31"/>
  <c r="OF10" i="31"/>
  <c r="OS11" i="31" s="1"/>
  <c r="CL10" i="31" l="1"/>
  <c r="CM10" i="31"/>
  <c r="CN10" i="31" s="1"/>
  <c r="OI10" i="31"/>
  <c r="OB10" i="31"/>
  <c r="OT11" i="31" s="1"/>
  <c r="OA10" i="31"/>
  <c r="MV11" i="31" s="1"/>
  <c r="NF11" i="31"/>
  <c r="OM11" i="31"/>
  <c r="OO11" i="31"/>
  <c r="MZ11" i="31"/>
  <c r="OZ10" i="31"/>
  <c r="KT11" i="31" l="1"/>
  <c r="OG11" i="31"/>
  <c r="OJ10" i="31"/>
  <c r="OC10" i="31"/>
  <c r="OD11" i="31" s="1"/>
  <c r="OH11" i="31" s="1"/>
  <c r="OK11" i="31" s="1"/>
  <c r="OX11" i="31"/>
  <c r="OW10" i="31"/>
  <c r="MR11" i="31"/>
  <c r="PA10" i="31"/>
  <c r="CP10" i="31"/>
  <c r="MS11" i="31" l="1"/>
  <c r="FZ10" i="31"/>
  <c r="GA10" i="31" s="1"/>
  <c r="GO10" i="31"/>
  <c r="GB10" i="31"/>
  <c r="GC10" i="31" s="1"/>
  <c r="FP10" i="31"/>
  <c r="FS10" i="31" s="1"/>
  <c r="FU10" i="31"/>
  <c r="FW10" i="31" s="1"/>
  <c r="FH10" i="31"/>
  <c r="FI10" i="31" s="1"/>
  <c r="FE10" i="31"/>
  <c r="FF10" i="31" s="1"/>
  <c r="HO10" i="31"/>
  <c r="JR10" i="31"/>
  <c r="JS10" i="31" s="1"/>
  <c r="DQ10" i="31"/>
  <c r="DR10" i="31" s="1"/>
  <c r="DS10" i="31" s="1"/>
  <c r="FX10" i="31"/>
  <c r="FY10" i="31" s="1"/>
  <c r="CQ10" i="31"/>
  <c r="KX10" i="31"/>
  <c r="KU10" i="31"/>
  <c r="MW11" i="31"/>
  <c r="OY11" i="31"/>
  <c r="KL11" i="31"/>
  <c r="KN12" i="31" s="1"/>
  <c r="KM11" i="31"/>
  <c r="KO12" i="31" s="1"/>
  <c r="GN10" i="31" l="1"/>
  <c r="GQ10" i="31" s="1"/>
  <c r="KP12" i="31"/>
  <c r="KR11" i="31"/>
  <c r="HY10" i="31"/>
  <c r="DY10" i="31"/>
  <c r="HA10" i="31"/>
  <c r="KC10" i="31"/>
  <c r="JU10" i="31"/>
  <c r="JT11" i="31"/>
  <c r="KE10" i="31"/>
  <c r="IA10" i="31"/>
  <c r="IB10" i="31" s="1"/>
  <c r="HP10" i="31"/>
  <c r="IZ10" i="31"/>
  <c r="CS10" i="31"/>
  <c r="CR10" i="31"/>
  <c r="CT10" i="31"/>
  <c r="KQ11" i="31"/>
  <c r="MX11" i="31"/>
  <c r="HW10" i="31"/>
  <c r="HX11" i="31" s="1"/>
  <c r="FG11" i="31"/>
  <c r="HU10" i="31"/>
  <c r="HV11" i="31" s="1"/>
  <c r="FJ11" i="31"/>
  <c r="NP11" i="31"/>
  <c r="NJ11" i="31"/>
  <c r="NH12" i="31"/>
  <c r="NI12" i="31" s="1"/>
  <c r="NQ11" i="31"/>
  <c r="MT11" i="31"/>
  <c r="MO11" i="31"/>
  <c r="MU11" i="31"/>
  <c r="PE11" i="31"/>
  <c r="AX10" i="31"/>
  <c r="AY11" i="31" s="1"/>
  <c r="EM10" i="31"/>
  <c r="EW10" i="31" s="1"/>
  <c r="AZ10" i="31"/>
  <c r="EN10" i="31"/>
  <c r="KV10" i="31" l="1"/>
  <c r="KW11" i="31" s="1"/>
  <c r="HQ10" i="31"/>
  <c r="HR11" i="31" s="1"/>
  <c r="KS11" i="31"/>
  <c r="NR11" i="31"/>
  <c r="HT10" i="31"/>
  <c r="HS10" i="31"/>
  <c r="JG10" i="31" s="1"/>
  <c r="BB11" i="31"/>
  <c r="IW10" i="31"/>
  <c r="DW10" i="31"/>
  <c r="DU11" i="31" s="1"/>
  <c r="EQ10" i="31"/>
  <c r="ER11" i="31"/>
  <c r="IU10" i="31"/>
  <c r="IV10" i="31" s="1"/>
  <c r="NG12" i="31"/>
  <c r="NK11" i="31"/>
  <c r="NL11" i="31"/>
  <c r="OQ12" i="31"/>
  <c r="NB11" i="31"/>
  <c r="NA11" i="31"/>
  <c r="EU11" i="31" l="1"/>
  <c r="IC10" i="31"/>
  <c r="ID10" i="31" s="1"/>
  <c r="IF10" i="31" s="1"/>
  <c r="KH10" i="31" s="1"/>
  <c r="JB10" i="31"/>
  <c r="OR12" i="31"/>
  <c r="KK10" i="31"/>
  <c r="KB10" i="31"/>
  <c r="IX10" i="31"/>
  <c r="NC12" i="31"/>
  <c r="MQ12" i="31"/>
  <c r="BC11" i="31"/>
  <c r="DF10" i="31" l="1"/>
  <c r="DB10" i="31"/>
  <c r="GM10" i="31"/>
  <c r="IM10" i="31"/>
  <c r="KI11" i="31"/>
  <c r="IN10" i="31"/>
  <c r="BE11" i="31"/>
  <c r="BD11" i="31"/>
  <c r="DT10" i="31" l="1"/>
  <c r="DZ10" i="31" s="1"/>
  <c r="KJ11" i="31"/>
  <c r="GR10" i="31"/>
  <c r="BG11" i="31"/>
  <c r="BF11" i="31"/>
  <c r="GU10" i="31"/>
  <c r="FD10" i="31"/>
  <c r="GV10" i="31"/>
  <c r="GS10" i="31" l="1"/>
  <c r="BH11" i="31"/>
  <c r="BI11" i="31"/>
  <c r="BK11" i="31" s="1"/>
  <c r="IS10" i="31"/>
  <c r="FL11" i="31"/>
  <c r="BL11" i="31" l="1"/>
  <c r="BM11" i="31"/>
  <c r="FM11" i="31"/>
  <c r="JH10" i="31"/>
  <c r="JI10" i="31" s="1"/>
  <c r="IT10" i="31"/>
  <c r="GY10" i="31"/>
  <c r="GX10" i="31"/>
  <c r="GW10" i="31"/>
  <c r="HC10" i="31" s="1"/>
  <c r="FA11" i="31" s="1"/>
  <c r="HB11" i="31" s="1"/>
  <c r="BJ11" i="31"/>
  <c r="JK10" i="31" l="1"/>
  <c r="BN11" i="31"/>
  <c r="BO11" i="31"/>
  <c r="BP11" i="31" s="1"/>
  <c r="BQ11" i="31" s="1"/>
  <c r="EG10" i="31"/>
  <c r="EH11" i="31" s="1"/>
  <c r="EI11" i="31" s="1"/>
  <c r="FK11" i="31" s="1"/>
  <c r="HM10" i="31"/>
  <c r="EY10" i="31"/>
  <c r="HK11" i="31"/>
  <c r="JZ10" i="31" l="1"/>
  <c r="KF10" i="31" s="1"/>
  <c r="IQ11" i="31" s="1"/>
  <c r="JN10" i="31"/>
  <c r="JV10" i="31" s="1"/>
  <c r="JF11" i="31" s="1"/>
  <c r="JW11" i="31" s="1"/>
  <c r="BR11" i="31"/>
  <c r="BS11" i="31"/>
  <c r="EZ10" i="31"/>
  <c r="DG10" i="31"/>
  <c r="DH10" i="31" s="1"/>
  <c r="DI11" i="31" s="1"/>
  <c r="EJ10" i="31"/>
  <c r="EK11" i="31" s="1"/>
  <c r="EE10" i="31"/>
  <c r="EF11" i="31" s="1"/>
  <c r="ED10" i="31"/>
  <c r="EB11" i="31" s="1"/>
  <c r="JM10" i="31"/>
  <c r="KD10" i="31" s="1"/>
  <c r="IL11" i="31" s="1"/>
  <c r="JL10" i="31"/>
  <c r="JJ11" i="31" s="1"/>
  <c r="KA11" i="31"/>
  <c r="JA11" i="31" l="1"/>
  <c r="JY11" i="31"/>
  <c r="JO11" i="31"/>
  <c r="IR11" i="31"/>
  <c r="JE11" i="31"/>
  <c r="JC11" i="31"/>
  <c r="JD11" i="31"/>
  <c r="DP11" i="31"/>
  <c r="IP11" i="31"/>
  <c r="IO11" i="31"/>
  <c r="HZ11" i="31"/>
  <c r="EP11" i="31"/>
  <c r="ET12" i="31" s="1"/>
  <c r="EO11" i="31"/>
  <c r="ES12" i="31" s="1"/>
  <c r="EL11" i="31"/>
  <c r="FC11" i="31"/>
  <c r="EV11" i="31"/>
  <c r="BT11" i="31"/>
  <c r="BU11" i="31"/>
  <c r="BW11" i="31" s="1"/>
  <c r="IY11" i="31"/>
  <c r="DJ11" i="31"/>
  <c r="DK11" i="31" s="1"/>
  <c r="GZ11" i="31"/>
  <c r="IE11" i="31" s="1"/>
  <c r="JX11" i="31" l="1"/>
  <c r="BV11" i="31"/>
  <c r="JP11" i="31"/>
  <c r="JQ11" i="31" s="1"/>
  <c r="BX11" i="31"/>
  <c r="BY11" i="31"/>
  <c r="DM11" i="31"/>
  <c r="FQ11" i="31"/>
  <c r="DX11" i="31"/>
  <c r="DC11" i="31"/>
  <c r="EC11" i="31"/>
  <c r="KG11" i="31"/>
  <c r="DD12" i="31" l="1"/>
  <c r="DE13" i="31" s="1"/>
  <c r="FB11" i="31"/>
  <c r="EX11" i="31"/>
  <c r="M11" i="31" s="1"/>
  <c r="DL11" i="31"/>
  <c r="L12" i="31"/>
  <c r="BZ11" i="31"/>
  <c r="CA11" i="31"/>
  <c r="CC11" i="31" s="1"/>
  <c r="GT13" i="31" l="1"/>
  <c r="MB11" i="31"/>
  <c r="NM11" i="31" s="1"/>
  <c r="NN11" i="31" s="1"/>
  <c r="MJ11" i="31"/>
  <c r="NS11" i="31" s="1"/>
  <c r="CD11" i="31"/>
  <c r="CE11" i="31"/>
  <c r="CB11" i="31"/>
  <c r="CF11" i="31" l="1"/>
  <c r="CG11" i="31"/>
  <c r="CI11" i="31" s="1"/>
  <c r="NT11" i="31"/>
  <c r="OU12" i="31"/>
  <c r="OV12" i="31"/>
  <c r="NW11" i="31"/>
  <c r="CH11" i="31" l="1"/>
  <c r="CJ11" i="31"/>
  <c r="CO11" i="31" s="1"/>
  <c r="CK11" i="31"/>
  <c r="CX11" i="31"/>
  <c r="FR11" i="31"/>
  <c r="FV11" i="31"/>
  <c r="NU11" i="31"/>
  <c r="NX11" i="31"/>
  <c r="NY11" i="31" l="1"/>
  <c r="CL11" i="31"/>
  <c r="CM11" i="31"/>
  <c r="CN11" i="31" s="1"/>
  <c r="NV11" i="31"/>
  <c r="MY11" i="31"/>
  <c r="NZ11" i="31"/>
  <c r="CY12" i="31"/>
  <c r="OF11" i="31"/>
  <c r="OS12" i="31" s="1"/>
  <c r="OA11" i="31" l="1"/>
  <c r="MV12" i="31" s="1"/>
  <c r="OG12" i="31" s="1"/>
  <c r="CP11" i="31"/>
  <c r="OB11" i="31"/>
  <c r="OT12" i="31" s="1"/>
  <c r="OM12" i="31"/>
  <c r="NF12" i="31"/>
  <c r="OO12" i="31"/>
  <c r="OI11" i="31"/>
  <c r="MZ12" i="31"/>
  <c r="OZ11" i="31"/>
  <c r="KT12" i="31" l="1"/>
  <c r="KM12" i="31" s="1"/>
  <c r="KO13" i="31" s="1"/>
  <c r="PA11" i="31"/>
  <c r="OW11" i="31"/>
  <c r="OX12" i="31"/>
  <c r="MR12" i="31"/>
  <c r="OC11" i="31"/>
  <c r="OD12" i="31" s="1"/>
  <c r="OH12" i="31" s="1"/>
  <c r="OK12" i="31" s="1"/>
  <c r="OJ11" i="31"/>
  <c r="FE11" i="31"/>
  <c r="FF11" i="31" s="1"/>
  <c r="FH11" i="31"/>
  <c r="FI11" i="31" s="1"/>
  <c r="CQ11" i="31"/>
  <c r="FP11" i="31"/>
  <c r="FS11" i="31" s="1"/>
  <c r="HO11" i="31"/>
  <c r="FU11" i="31"/>
  <c r="FW11" i="31" s="1"/>
  <c r="DQ11" i="31"/>
  <c r="DR11" i="31" s="1"/>
  <c r="FZ11" i="31"/>
  <c r="GA11" i="31" s="1"/>
  <c r="GB11" i="31"/>
  <c r="GC11" i="31" s="1"/>
  <c r="GO11" i="31"/>
  <c r="JR11" i="31"/>
  <c r="JS11" i="31" s="1"/>
  <c r="FX11" i="31"/>
  <c r="FY11" i="31" s="1"/>
  <c r="KX11" i="31"/>
  <c r="KU11" i="31"/>
  <c r="GN11" i="31" l="1"/>
  <c r="GQ11" i="31" s="1"/>
  <c r="KL12" i="31"/>
  <c r="KN13" i="31" s="1"/>
  <c r="KP13" i="31" s="1"/>
  <c r="HP11" i="31"/>
  <c r="IA11" i="31"/>
  <c r="IB11" i="31" s="1"/>
  <c r="IZ11" i="31"/>
  <c r="MS12" i="31"/>
  <c r="HY11" i="31"/>
  <c r="HA11" i="31"/>
  <c r="DY11" i="31"/>
  <c r="CS11" i="31"/>
  <c r="CT11" i="31"/>
  <c r="CR11" i="31"/>
  <c r="JU11" i="31"/>
  <c r="KE11" i="31"/>
  <c r="JT12" i="31"/>
  <c r="KC11" i="31"/>
  <c r="HU11" i="31"/>
  <c r="HV12" i="31" s="1"/>
  <c r="FJ12" i="31"/>
  <c r="DS11" i="31"/>
  <c r="HW11" i="31"/>
  <c r="HX12" i="31" s="1"/>
  <c r="FG12" i="31"/>
  <c r="MW12" i="31"/>
  <c r="OY12" i="31"/>
  <c r="KR12" i="31"/>
  <c r="KV11" i="31" l="1"/>
  <c r="KW12" i="31" s="1"/>
  <c r="HQ11" i="31"/>
  <c r="HR12" i="31" s="1"/>
  <c r="KQ12" i="31"/>
  <c r="KS12" i="31" s="1"/>
  <c r="AX11" i="31"/>
  <c r="AY12" i="31" s="1"/>
  <c r="AZ11" i="31"/>
  <c r="EN11" i="31"/>
  <c r="EM11" i="31"/>
  <c r="EW11" i="31" s="1"/>
  <c r="MX12" i="31"/>
  <c r="NJ12" i="31"/>
  <c r="NP12" i="31"/>
  <c r="MO12" i="31"/>
  <c r="MU12" i="31"/>
  <c r="NH13" i="31"/>
  <c r="NI13" i="31" s="1"/>
  <c r="NQ12" i="31"/>
  <c r="MT12" i="31"/>
  <c r="PE12" i="31"/>
  <c r="HT11" i="31"/>
  <c r="HS11" i="31"/>
  <c r="JG11" i="31" s="1"/>
  <c r="NR12" i="31" l="1"/>
  <c r="BB12" i="31"/>
  <c r="EQ11" i="31"/>
  <c r="DW11" i="31"/>
  <c r="DU12" i="31" s="1"/>
  <c r="IW11" i="31"/>
  <c r="ER12" i="31"/>
  <c r="IU11" i="31"/>
  <c r="IV11" i="31" s="1"/>
  <c r="IC11" i="31"/>
  <c r="ID11" i="31" s="1"/>
  <c r="IF11" i="31" s="1"/>
  <c r="KH11" i="31" s="1"/>
  <c r="JB11" i="31"/>
  <c r="NB12" i="31"/>
  <c r="NA12" i="31"/>
  <c r="NL12" i="31"/>
  <c r="NK12" i="31"/>
  <c r="NG13" i="31"/>
  <c r="OQ13" i="31"/>
  <c r="EU12" i="31" l="1"/>
  <c r="KK11" i="31"/>
  <c r="KB11" i="31"/>
  <c r="IX11" i="31"/>
  <c r="OR13" i="31"/>
  <c r="GM11" i="31"/>
  <c r="IM11" i="31"/>
  <c r="DT11" i="31" s="1"/>
  <c r="DZ11" i="31" s="1"/>
  <c r="DB11" i="31"/>
  <c r="KI12" i="31"/>
  <c r="IN11" i="31"/>
  <c r="DF11" i="31"/>
  <c r="BC12" i="31"/>
  <c r="NC13" i="31"/>
  <c r="MQ13" i="31"/>
  <c r="KJ12" i="31" l="1"/>
  <c r="BD12" i="31"/>
  <c r="BE12" i="31"/>
  <c r="GR11" i="31"/>
  <c r="GV11" i="31"/>
  <c r="GU11" i="31"/>
  <c r="FD11" i="31"/>
  <c r="GS11" i="31" l="1"/>
  <c r="BF12" i="31"/>
  <c r="BG12" i="31"/>
  <c r="IS11" i="31"/>
  <c r="FL12" i="31"/>
  <c r="FM12" i="31" l="1"/>
  <c r="BI12" i="31"/>
  <c r="BK12" i="31" s="1"/>
  <c r="BH12" i="31"/>
  <c r="JH11" i="31"/>
  <c r="JI11" i="31" s="1"/>
  <c r="IT11" i="31"/>
  <c r="GW11" i="31"/>
  <c r="HC11" i="31" s="1"/>
  <c r="FA12" i="31" s="1"/>
  <c r="HB12" i="31" s="1"/>
  <c r="GY11" i="31"/>
  <c r="GX11" i="31"/>
  <c r="EY11" i="31" l="1"/>
  <c r="HM11" i="31"/>
  <c r="EG11" i="31"/>
  <c r="EH12" i="31" s="1"/>
  <c r="EI12" i="31" s="1"/>
  <c r="FK12" i="31" s="1"/>
  <c r="HK12" i="31"/>
  <c r="BJ12" i="31"/>
  <c r="BL12" i="31"/>
  <c r="BM12" i="31"/>
  <c r="JK11" i="31"/>
  <c r="JZ11" i="31" s="1"/>
  <c r="KF11" i="31" s="1"/>
  <c r="IQ12" i="31" s="1"/>
  <c r="JM11" i="31" l="1"/>
  <c r="KD11" i="31" s="1"/>
  <c r="IL12" i="31" s="1"/>
  <c r="IR12" i="31" s="1"/>
  <c r="JN11" i="31"/>
  <c r="JV11" i="31" s="1"/>
  <c r="JF12" i="31" s="1"/>
  <c r="JY12" i="31" s="1"/>
  <c r="JL11" i="31"/>
  <c r="JJ12" i="31" s="1"/>
  <c r="KA12" i="31"/>
  <c r="EE11" i="31"/>
  <c r="EF12" i="31" s="1"/>
  <c r="EJ11" i="31"/>
  <c r="EK12" i="31" s="1"/>
  <c r="ED11" i="31"/>
  <c r="EB12" i="31" s="1"/>
  <c r="JA12" i="31" s="1"/>
  <c r="BO12" i="31"/>
  <c r="BN12" i="31"/>
  <c r="EZ11" i="31"/>
  <c r="DG11" i="31"/>
  <c r="DH11" i="31" s="1"/>
  <c r="DI12" i="31" s="1"/>
  <c r="JW12" i="31" l="1"/>
  <c r="JE12" i="31"/>
  <c r="JO12" i="31"/>
  <c r="IP12" i="31"/>
  <c r="DP12" i="31"/>
  <c r="JC12" i="31"/>
  <c r="JD12" i="31"/>
  <c r="EL12" i="31"/>
  <c r="EO12" i="31"/>
  <c r="ES13" i="31" s="1"/>
  <c r="FC12" i="31"/>
  <c r="EP12" i="31"/>
  <c r="ET13" i="31" s="1"/>
  <c r="EV12" i="31"/>
  <c r="IO12" i="31"/>
  <c r="GZ12" i="31"/>
  <c r="KG12" i="31" s="1"/>
  <c r="DJ12" i="31"/>
  <c r="DK12" i="31" s="1"/>
  <c r="HZ12" i="31"/>
  <c r="BP12" i="31"/>
  <c r="BQ12" i="31" s="1"/>
  <c r="IY12" i="31"/>
  <c r="JP12" i="31" l="1"/>
  <c r="JQ12" i="31" s="1"/>
  <c r="IE12" i="31"/>
  <c r="BR12" i="31"/>
  <c r="BS12" i="31"/>
  <c r="DM12" i="31"/>
  <c r="FQ12" i="31"/>
  <c r="DX12" i="31"/>
  <c r="DC12" i="31"/>
  <c r="EC12" i="31"/>
  <c r="JX12" i="31"/>
  <c r="DD13" i="31" l="1"/>
  <c r="DE14" i="31" s="1"/>
  <c r="GT14" i="31" s="1"/>
  <c r="DL12" i="31"/>
  <c r="L13" i="31"/>
  <c r="BT12" i="31"/>
  <c r="BU12" i="31"/>
  <c r="BW12" i="31" s="1"/>
  <c r="FB12" i="31"/>
  <c r="EX12" i="31"/>
  <c r="M12" i="31" s="1"/>
  <c r="BY12" i="31" l="1"/>
  <c r="BX12" i="31"/>
  <c r="BV12" i="31"/>
  <c r="MJ12" i="31"/>
  <c r="NS12" i="31" s="1"/>
  <c r="MB12" i="31"/>
  <c r="NM12" i="31" s="1"/>
  <c r="NN12" i="31" s="1"/>
  <c r="NT12" i="31" l="1"/>
  <c r="OU13" i="31"/>
  <c r="OV13" i="31"/>
  <c r="NW12" i="31"/>
  <c r="NX12" i="31" s="1"/>
  <c r="BZ12" i="31"/>
  <c r="CA12" i="31"/>
  <c r="CC12" i="31" s="1"/>
  <c r="CD12" i="31" l="1"/>
  <c r="CE12" i="31"/>
  <c r="CB12" i="31"/>
  <c r="OF12" i="31"/>
  <c r="OS13" i="31" s="1"/>
  <c r="NY12" i="31"/>
  <c r="CX12" i="31"/>
  <c r="FR12" i="31"/>
  <c r="FV12" i="31"/>
  <c r="NU12" i="31"/>
  <c r="NV12" i="31" l="1"/>
  <c r="MY12" i="31"/>
  <c r="OI12" i="31" s="1"/>
  <c r="NZ12" i="31"/>
  <c r="OA12" i="31" s="1"/>
  <c r="MV13" i="31" s="1"/>
  <c r="CY13" i="31"/>
  <c r="CF12" i="31"/>
  <c r="CG12" i="31"/>
  <c r="CI12" i="31" s="1"/>
  <c r="OB12" i="31"/>
  <c r="OT13" i="31" s="1"/>
  <c r="CH12" i="31" l="1"/>
  <c r="OW12" i="31"/>
  <c r="OX13" i="31"/>
  <c r="MR13" i="31"/>
  <c r="MZ13" i="31"/>
  <c r="OZ12" i="31"/>
  <c r="OM13" i="31"/>
  <c r="OO13" i="31"/>
  <c r="KT13" i="31" s="1"/>
  <c r="NF13" i="31"/>
  <c r="OC12" i="31"/>
  <c r="OD13" i="31" s="1"/>
  <c r="OH13" i="31" s="1"/>
  <c r="PA12" i="31"/>
  <c r="OJ12" i="31"/>
  <c r="OG13" i="31"/>
  <c r="CJ12" i="31"/>
  <c r="CO12" i="31" s="1"/>
  <c r="CK12" i="31"/>
  <c r="KM13" i="31" l="1"/>
  <c r="KO14" i="31" s="1"/>
  <c r="KL13" i="31"/>
  <c r="KN14" i="31" s="1"/>
  <c r="OK13" i="31"/>
  <c r="MS13" i="31"/>
  <c r="MW13" i="31"/>
  <c r="OY13" i="31"/>
  <c r="CL12" i="31"/>
  <c r="CM12" i="31"/>
  <c r="CN12" i="31" s="1"/>
  <c r="CP12" i="31" l="1"/>
  <c r="FZ12" i="31" s="1"/>
  <c r="GA12" i="31" s="1"/>
  <c r="MO13" i="31"/>
  <c r="MU13" i="31"/>
  <c r="NH14" i="31"/>
  <c r="NI14" i="31" s="1"/>
  <c r="NQ13" i="31"/>
  <c r="NP13" i="31"/>
  <c r="MT13" i="31"/>
  <c r="NJ13" i="31"/>
  <c r="PE13" i="31"/>
  <c r="KQ13" i="31"/>
  <c r="MX13" i="31"/>
  <c r="KP14" i="31"/>
  <c r="KR13" i="31"/>
  <c r="CQ12" i="31" l="1"/>
  <c r="CT12" i="31" s="1"/>
  <c r="GO12" i="31"/>
  <c r="KS13" i="31"/>
  <c r="FE12" i="31"/>
  <c r="FF12" i="31" s="1"/>
  <c r="FG13" i="31" s="1"/>
  <c r="FH12" i="31"/>
  <c r="FI12" i="31" s="1"/>
  <c r="FJ13" i="31" s="1"/>
  <c r="JR12" i="31"/>
  <c r="JS12" i="31" s="1"/>
  <c r="KE12" i="31" s="1"/>
  <c r="FX12" i="31"/>
  <c r="FY12" i="31" s="1"/>
  <c r="FP12" i="31"/>
  <c r="FS12" i="31" s="1"/>
  <c r="DY12" i="31" s="1"/>
  <c r="FU12" i="31"/>
  <c r="FW12" i="31" s="1"/>
  <c r="KU12" i="31"/>
  <c r="HO12" i="31"/>
  <c r="IA12" i="31" s="1"/>
  <c r="IB12" i="31" s="1"/>
  <c r="KX12" i="31"/>
  <c r="GN12" i="31" s="1"/>
  <c r="DQ12" i="31"/>
  <c r="DR12" i="31" s="1"/>
  <c r="DS12" i="31" s="1"/>
  <c r="GB12" i="31"/>
  <c r="GC12" i="31" s="1"/>
  <c r="NR13" i="31"/>
  <c r="NL13" i="31"/>
  <c r="NK13" i="31"/>
  <c r="NG14" i="31"/>
  <c r="OQ14" i="31"/>
  <c r="NA13" i="31"/>
  <c r="NB13" i="31"/>
  <c r="GQ12" i="31" l="1"/>
  <c r="KV12" i="31"/>
  <c r="CR12" i="31"/>
  <c r="CS12" i="31"/>
  <c r="HW12" i="31"/>
  <c r="HX13" i="31" s="1"/>
  <c r="JU12" i="31"/>
  <c r="JT13" i="31"/>
  <c r="KC12" i="31"/>
  <c r="HY12" i="31"/>
  <c r="HU12" i="31"/>
  <c r="HV13" i="31" s="1"/>
  <c r="HP12" i="31"/>
  <c r="HS12" i="31" s="1"/>
  <c r="JG12" i="31" s="1"/>
  <c r="HA12" i="31"/>
  <c r="IZ12" i="31"/>
  <c r="NC14" i="31"/>
  <c r="MQ14" i="31"/>
  <c r="AX12" i="31"/>
  <c r="AY13" i="31" s="1"/>
  <c r="AZ12" i="31"/>
  <c r="EM12" i="31"/>
  <c r="EW12" i="31" s="1"/>
  <c r="EN12" i="31"/>
  <c r="OR14" i="31"/>
  <c r="KW13" i="31" l="1"/>
  <c r="HQ12" i="31"/>
  <c r="HR13" i="31" s="1"/>
  <c r="HT12" i="31"/>
  <c r="IC12" i="31" s="1"/>
  <c r="ID12" i="31" s="1"/>
  <c r="IF12" i="31" s="1"/>
  <c r="KH12" i="31" s="1"/>
  <c r="BB13" i="31"/>
  <c r="IW12" i="31"/>
  <c r="EQ12" i="31"/>
  <c r="DW12" i="31"/>
  <c r="DU13" i="31" s="1"/>
  <c r="ER13" i="31"/>
  <c r="IU12" i="31"/>
  <c r="IV12" i="31" s="1"/>
  <c r="JB12" i="31" l="1"/>
  <c r="KB12" i="31"/>
  <c r="IX12" i="31"/>
  <c r="KK12" i="31"/>
  <c r="EU13" i="31"/>
  <c r="BC13" i="31"/>
  <c r="IM12" i="31"/>
  <c r="DB12" i="31"/>
  <c r="GM12" i="31"/>
  <c r="KI13" i="31"/>
  <c r="IN12" i="31"/>
  <c r="DF12" i="31"/>
  <c r="DT12" i="31" l="1"/>
  <c r="DZ12" i="31" s="1"/>
  <c r="GU12" i="31"/>
  <c r="GV12" i="31"/>
  <c r="FD12" i="31"/>
  <c r="GR12" i="31"/>
  <c r="BD13" i="31"/>
  <c r="BE13" i="31"/>
  <c r="KJ13" i="31"/>
  <c r="IS12" i="31" l="1"/>
  <c r="FL13" i="31"/>
  <c r="GS12" i="31"/>
  <c r="BG13" i="31"/>
  <c r="BF13" i="31"/>
  <c r="BI13" i="31" l="1"/>
  <c r="BK13" i="31" s="1"/>
  <c r="BH13" i="31"/>
  <c r="GW12" i="31"/>
  <c r="HC12" i="31" s="1"/>
  <c r="FA13" i="31" s="1"/>
  <c r="HB13" i="31" s="1"/>
  <c r="GY12" i="31"/>
  <c r="GX12" i="31"/>
  <c r="FM13" i="31"/>
  <c r="JH12" i="31"/>
  <c r="JI12" i="31" s="1"/>
  <c r="IT12" i="31"/>
  <c r="JK12" i="31" l="1"/>
  <c r="JN12" i="31" s="1"/>
  <c r="JV12" i="31" s="1"/>
  <c r="JF13" i="31" s="1"/>
  <c r="HM12" i="31"/>
  <c r="EY12" i="31"/>
  <c r="EG12" i="31"/>
  <c r="EH13" i="31" s="1"/>
  <c r="EI13" i="31" s="1"/>
  <c r="FK13" i="31" s="1"/>
  <c r="HK13" i="31"/>
  <c r="BL13" i="31"/>
  <c r="BM13" i="31"/>
  <c r="BJ13" i="31"/>
  <c r="JM12" i="31" l="1"/>
  <c r="KD12" i="31" s="1"/>
  <c r="IL13" i="31" s="1"/>
  <c r="JW13" i="31"/>
  <c r="JY13" i="31"/>
  <c r="EZ12" i="31"/>
  <c r="DG12" i="31"/>
  <c r="DH12" i="31" s="1"/>
  <c r="DI13" i="31" s="1"/>
  <c r="BO13" i="31"/>
  <c r="BN13" i="31"/>
  <c r="ED12" i="31"/>
  <c r="EB13" i="31" s="1"/>
  <c r="EE12" i="31"/>
  <c r="EF13" i="31" s="1"/>
  <c r="EJ12" i="31"/>
  <c r="EK13" i="31" s="1"/>
  <c r="JZ12" i="31"/>
  <c r="KF12" i="31" s="1"/>
  <c r="IQ13" i="31" s="1"/>
  <c r="JL12" i="31"/>
  <c r="JJ13" i="31" s="1"/>
  <c r="KA13" i="31"/>
  <c r="IP13" i="31" l="1"/>
  <c r="IR13" i="31"/>
  <c r="BP13" i="31"/>
  <c r="BQ13" i="31" s="1"/>
  <c r="HZ13" i="31"/>
  <c r="FC13" i="31"/>
  <c r="EO13" i="31"/>
  <c r="ES14" i="31" s="1"/>
  <c r="EP13" i="31"/>
  <c r="ET14" i="31" s="1"/>
  <c r="EL13" i="31"/>
  <c r="EV13" i="31"/>
  <c r="IO13" i="31"/>
  <c r="DP13" i="31"/>
  <c r="JA13" i="31"/>
  <c r="IY13" i="31"/>
  <c r="JP13" i="31" s="1"/>
  <c r="JQ13" i="31" s="1"/>
  <c r="JE13" i="31"/>
  <c r="JO13" i="31"/>
  <c r="GZ13" i="31"/>
  <c r="IE13" i="31" s="1"/>
  <c r="DJ13" i="31"/>
  <c r="DK13" i="31" s="1"/>
  <c r="JC13" i="31"/>
  <c r="JD13" i="31"/>
  <c r="JX13" i="31" l="1"/>
  <c r="EC13" i="31"/>
  <c r="BR13" i="31"/>
  <c r="BS13" i="31"/>
  <c r="FQ13" i="31"/>
  <c r="DX13" i="31"/>
  <c r="DM13" i="31"/>
  <c r="DC13" i="31"/>
  <c r="KG13" i="31"/>
  <c r="BT13" i="31" l="1"/>
  <c r="BU13" i="31"/>
  <c r="BW13" i="31" s="1"/>
  <c r="FB13" i="31"/>
  <c r="EX13" i="31"/>
  <c r="M13" i="31" s="1"/>
  <c r="DD14" i="31"/>
  <c r="DE15" i="31" s="1"/>
  <c r="DL13" i="31"/>
  <c r="L14" i="31"/>
  <c r="BX13" i="31" l="1"/>
  <c r="BY13" i="31"/>
  <c r="GT15" i="31"/>
  <c r="MJ13" i="31"/>
  <c r="NS13" i="31" s="1"/>
  <c r="MB13" i="31"/>
  <c r="NM13" i="31" s="1"/>
  <c r="NN13" i="31" s="1"/>
  <c r="BV13" i="31"/>
  <c r="NT13" i="31" l="1"/>
  <c r="OU14" i="31"/>
  <c r="OV14" i="31"/>
  <c r="NW13" i="31"/>
  <c r="NX13" i="31" s="1"/>
  <c r="BZ13" i="31"/>
  <c r="CA13" i="31"/>
  <c r="CC13" i="31" s="1"/>
  <c r="CD13" i="31" l="1"/>
  <c r="CE13" i="31"/>
  <c r="OF13" i="31"/>
  <c r="OS14" i="31" s="1"/>
  <c r="NY13" i="31"/>
  <c r="CB13" i="31"/>
  <c r="CX13" i="31"/>
  <c r="FR13" i="31"/>
  <c r="FV13" i="31"/>
  <c r="NU13" i="31"/>
  <c r="NZ13" i="31" l="1"/>
  <c r="OA13" i="31" s="1"/>
  <c r="MV14" i="31" s="1"/>
  <c r="OG14" i="31" s="1"/>
  <c r="MY13" i="31"/>
  <c r="CY14" i="31"/>
  <c r="NV13" i="31"/>
  <c r="CF13" i="31"/>
  <c r="CG13" i="31"/>
  <c r="CI13" i="31" s="1"/>
  <c r="OB13" i="31"/>
  <c r="OT14" i="31" s="1"/>
  <c r="PA13" i="31" l="1"/>
  <c r="OM14" i="31"/>
  <c r="NF14" i="31"/>
  <c r="OO14" i="31"/>
  <c r="KT14" i="31" s="1"/>
  <c r="OC13" i="31"/>
  <c r="OD14" i="31" s="1"/>
  <c r="OH14" i="31" s="1"/>
  <c r="OK14" i="31" s="1"/>
  <c r="MZ14" i="31"/>
  <c r="OZ13" i="31"/>
  <c r="OJ13" i="31"/>
  <c r="CJ13" i="31"/>
  <c r="CO13" i="31" s="1"/>
  <c r="CK13" i="31"/>
  <c r="OI13" i="31"/>
  <c r="CH13" i="31"/>
  <c r="MR14" i="31" l="1"/>
  <c r="OX14" i="31"/>
  <c r="OW13" i="31"/>
  <c r="KL14" i="31"/>
  <c r="KN15" i="31" s="1"/>
  <c r="KM14" i="31"/>
  <c r="KO15" i="31" s="1"/>
  <c r="CL13" i="31"/>
  <c r="CM13" i="31"/>
  <c r="CN13" i="31" s="1"/>
  <c r="MW14" i="31"/>
  <c r="OY14" i="31"/>
  <c r="CP13" i="31" l="1"/>
  <c r="KQ14" i="31"/>
  <c r="KP15" i="31"/>
  <c r="KR14" i="31"/>
  <c r="MX14" i="31"/>
  <c r="MS14" i="31"/>
  <c r="NQ14" i="31" l="1"/>
  <c r="NH15" i="31"/>
  <c r="NI15" i="31" s="1"/>
  <c r="MT14" i="31"/>
  <c r="NJ14" i="31"/>
  <c r="MO14" i="31"/>
  <c r="NP14" i="31"/>
  <c r="MU14" i="31"/>
  <c r="PE14" i="31"/>
  <c r="KS14" i="31"/>
  <c r="NB14" i="31"/>
  <c r="NA14" i="31"/>
  <c r="JR13" i="31"/>
  <c r="JS13" i="31" s="1"/>
  <c r="FU13" i="31"/>
  <c r="FW13" i="31" s="1"/>
  <c r="FH13" i="31"/>
  <c r="FI13" i="31" s="1"/>
  <c r="GO13" i="31"/>
  <c r="DQ13" i="31"/>
  <c r="DR13" i="31" s="1"/>
  <c r="FP13" i="31"/>
  <c r="FS13" i="31" s="1"/>
  <c r="FX13" i="31"/>
  <c r="FY13" i="31" s="1"/>
  <c r="HO13" i="31"/>
  <c r="CQ13" i="31"/>
  <c r="FE13" i="31"/>
  <c r="FF13" i="31" s="1"/>
  <c r="FZ13" i="31"/>
  <c r="GA13" i="31" s="1"/>
  <c r="GB13" i="31"/>
  <c r="GC13" i="31" s="1"/>
  <c r="KX13" i="31"/>
  <c r="GN13" i="31" s="1"/>
  <c r="KU13" i="31"/>
  <c r="DS13" i="31" l="1"/>
  <c r="HU13" i="31"/>
  <c r="HV14" i="31" s="1"/>
  <c r="FJ14" i="31"/>
  <c r="CS13" i="31"/>
  <c r="CT13" i="31"/>
  <c r="CR13" i="31"/>
  <c r="NL14" i="31"/>
  <c r="NK14" i="31"/>
  <c r="NG15" i="31"/>
  <c r="OQ15" i="31"/>
  <c r="KC13" i="31"/>
  <c r="JU13" i="31"/>
  <c r="JT14" i="31"/>
  <c r="KE13" i="31"/>
  <c r="IA13" i="31"/>
  <c r="IB13" i="31" s="1"/>
  <c r="HP13" i="31"/>
  <c r="IZ13" i="31"/>
  <c r="GQ13" i="31"/>
  <c r="KV13" i="31"/>
  <c r="HW13" i="31"/>
  <c r="HX14" i="31" s="1"/>
  <c r="FG14" i="31"/>
  <c r="HY13" i="31"/>
  <c r="HA13" i="31"/>
  <c r="DY13" i="31"/>
  <c r="NR14" i="31"/>
  <c r="KW14" i="31" l="1"/>
  <c r="HQ13" i="31"/>
  <c r="HR14" i="31" s="1"/>
  <c r="OR15" i="31"/>
  <c r="HT13" i="31"/>
  <c r="HS13" i="31"/>
  <c r="JG13" i="31" s="1"/>
  <c r="NC15" i="31"/>
  <c r="MQ15" i="31"/>
  <c r="AX13" i="31"/>
  <c r="AY14" i="31" s="1"/>
  <c r="EN13" i="31"/>
  <c r="AZ13" i="31"/>
  <c r="EM13" i="31"/>
  <c r="EW13" i="31" s="1"/>
  <c r="BB14" i="31" l="1"/>
  <c r="DW13" i="31"/>
  <c r="DU14" i="31" s="1"/>
  <c r="IW13" i="31"/>
  <c r="EQ13" i="31"/>
  <c r="ER14" i="31"/>
  <c r="IU13" i="31"/>
  <c r="IV13" i="31" s="1"/>
  <c r="IC13" i="31"/>
  <c r="ID13" i="31" s="1"/>
  <c r="IF13" i="31" s="1"/>
  <c r="KH13" i="31" s="1"/>
  <c r="JB13" i="31"/>
  <c r="EU14" i="31" l="1"/>
  <c r="KB13" i="31"/>
  <c r="IX13" i="31"/>
  <c r="KK13" i="31"/>
  <c r="GM13" i="31"/>
  <c r="IM13" i="31"/>
  <c r="DB13" i="31"/>
  <c r="KI14" i="31"/>
  <c r="IN13" i="31"/>
  <c r="DF13" i="31"/>
  <c r="BC14" i="31"/>
  <c r="DT13" i="31" l="1"/>
  <c r="DZ13" i="31" s="1"/>
  <c r="KJ14" i="31"/>
  <c r="BE14" i="31"/>
  <c r="BD14" i="31"/>
  <c r="GR13" i="31"/>
  <c r="FD13" i="31"/>
  <c r="GV13" i="31"/>
  <c r="GU13" i="31"/>
  <c r="IS13" i="31" l="1"/>
  <c r="FL14" i="31"/>
  <c r="GS13" i="31"/>
  <c r="BF14" i="31"/>
  <c r="BG14" i="31"/>
  <c r="GY13" i="31" l="1"/>
  <c r="GX13" i="31"/>
  <c r="GW13" i="31"/>
  <c r="HC13" i="31" s="1"/>
  <c r="FA14" i="31" s="1"/>
  <c r="HB14" i="31" s="1"/>
  <c r="FM14" i="31"/>
  <c r="BH14" i="31"/>
  <c r="BI14" i="31"/>
  <c r="BK14" i="31" s="1"/>
  <c r="JH13" i="31"/>
  <c r="JI13" i="31" s="1"/>
  <c r="IT13" i="31"/>
  <c r="BL14" i="31" l="1"/>
  <c r="BM14" i="31"/>
  <c r="EY13" i="31"/>
  <c r="HM13" i="31"/>
  <c r="EG13" i="31"/>
  <c r="EH14" i="31" s="1"/>
  <c r="EI14" i="31" s="1"/>
  <c r="FK14" i="31" s="1"/>
  <c r="HK14" i="31"/>
  <c r="JK13" i="31"/>
  <c r="JZ13" i="31" s="1"/>
  <c r="KF13" i="31" s="1"/>
  <c r="IQ14" i="31" s="1"/>
  <c r="BJ14" i="31"/>
  <c r="JM13" i="31" l="1"/>
  <c r="KD13" i="31" s="1"/>
  <c r="IL14" i="31" s="1"/>
  <c r="JE14" i="31" s="1"/>
  <c r="JN13" i="31"/>
  <c r="JV13" i="31" s="1"/>
  <c r="JF14" i="31" s="1"/>
  <c r="JY14" i="31" s="1"/>
  <c r="EE13" i="31"/>
  <c r="EF14" i="31" s="1"/>
  <c r="EJ13" i="31"/>
  <c r="EK14" i="31" s="1"/>
  <c r="ED13" i="31"/>
  <c r="EB14" i="31" s="1"/>
  <c r="EZ13" i="31"/>
  <c r="DG13" i="31"/>
  <c r="DH13" i="31" s="1"/>
  <c r="DI14" i="31" s="1"/>
  <c r="BN14" i="31"/>
  <c r="BO14" i="31"/>
  <c r="BP14" i="31" s="1"/>
  <c r="BQ14" i="31" s="1"/>
  <c r="JL13" i="31"/>
  <c r="JJ14" i="31" s="1"/>
  <c r="KA14" i="31"/>
  <c r="JW14" i="31" l="1"/>
  <c r="IR14" i="31"/>
  <c r="JO14" i="31"/>
  <c r="BR14" i="31"/>
  <c r="BS14" i="31"/>
  <c r="DJ14" i="31"/>
  <c r="DK14" i="31" s="1"/>
  <c r="GZ14" i="31"/>
  <c r="IE14" i="31" s="1"/>
  <c r="IP14" i="31"/>
  <c r="DP14" i="31"/>
  <c r="HZ14" i="31"/>
  <c r="IO14" i="31"/>
  <c r="EP14" i="31"/>
  <c r="ET15" i="31" s="1"/>
  <c r="EL14" i="31"/>
  <c r="JX14" i="31" s="1"/>
  <c r="EO14" i="31"/>
  <c r="ES15" i="31" s="1"/>
  <c r="FC14" i="31"/>
  <c r="EV14" i="31"/>
  <c r="IY14" i="31"/>
  <c r="JC14" i="31"/>
  <c r="JD14" i="31"/>
  <c r="JA14" i="31"/>
  <c r="KG14" i="31" l="1"/>
  <c r="DX14" i="31"/>
  <c r="FQ14" i="31"/>
  <c r="DM14" i="31"/>
  <c r="EC14" i="31"/>
  <c r="BT14" i="31"/>
  <c r="BU14" i="31"/>
  <c r="BW14" i="31" s="1"/>
  <c r="JP14" i="31"/>
  <c r="JQ14" i="31" s="1"/>
  <c r="BV14" i="31" l="1"/>
  <c r="FB14" i="31"/>
  <c r="EX14" i="31"/>
  <c r="M14" i="31" s="1"/>
  <c r="DL14" i="31"/>
  <c r="L15" i="31"/>
  <c r="BY14" i="31"/>
  <c r="BX14" i="31"/>
  <c r="BZ14" i="31" l="1"/>
  <c r="CA14" i="31"/>
  <c r="CC14" i="31" s="1"/>
  <c r="MB14" i="31"/>
  <c r="MJ14" i="31"/>
  <c r="NS14" i="31" s="1"/>
  <c r="CB14" i="31" l="1"/>
  <c r="NM14" i="31"/>
  <c r="NN14" i="31" s="1"/>
  <c r="NT14" i="31"/>
  <c r="OU15" i="31"/>
  <c r="CD14" i="31"/>
  <c r="CE14" i="31"/>
  <c r="OV15" i="31" l="1"/>
  <c r="NW14" i="31"/>
  <c r="NX14" i="31"/>
  <c r="CF14" i="31"/>
  <c r="CG14" i="31"/>
  <c r="CI14" i="31" s="1"/>
  <c r="FR14" i="31"/>
  <c r="FV14" i="31"/>
  <c r="CX14" i="31"/>
  <c r="NU14" i="31"/>
  <c r="NV14" i="31" l="1"/>
  <c r="NZ14" i="31"/>
  <c r="MY14" i="31"/>
  <c r="CY15" i="31"/>
  <c r="NY14" i="31"/>
  <c r="OF14" i="31"/>
  <c r="OS15" i="31" s="1"/>
  <c r="CJ14" i="31"/>
  <c r="CO14" i="31" s="1"/>
  <c r="CK14" i="31"/>
  <c r="CH14" i="31"/>
  <c r="OI14" i="31" l="1"/>
  <c r="OW14" i="31" s="1"/>
  <c r="OA14" i="31"/>
  <c r="MV15" i="31" s="1"/>
  <c r="OG15" i="31" s="1"/>
  <c r="NF15" i="31"/>
  <c r="OM15" i="31"/>
  <c r="OO15" i="31"/>
  <c r="CL14" i="31"/>
  <c r="CM14" i="31"/>
  <c r="CN14" i="31" s="1"/>
  <c r="MZ15" i="31"/>
  <c r="OZ14" i="31"/>
  <c r="OB14" i="31"/>
  <c r="OT15" i="31" s="1"/>
  <c r="MR15" i="31" l="1"/>
  <c r="MS15" i="31" s="1"/>
  <c r="OX15" i="31"/>
  <c r="KT15" i="31"/>
  <c r="KL15" i="31" s="1"/>
  <c r="KN16" i="31" s="1"/>
  <c r="OC14" i="31"/>
  <c r="OD15" i="31" s="1"/>
  <c r="OH15" i="31" s="1"/>
  <c r="OK15" i="31" s="1"/>
  <c r="OJ14" i="31"/>
  <c r="OY15" i="31" s="1"/>
  <c r="PA14" i="31"/>
  <c r="CP14" i="31"/>
  <c r="KM15" i="31" l="1"/>
  <c r="KO16" i="31" s="1"/>
  <c r="KR15" i="31" s="1"/>
  <c r="MW15" i="31"/>
  <c r="MX15" i="31" s="1"/>
  <c r="NQ15" i="31"/>
  <c r="MO15" i="31"/>
  <c r="NJ15" i="31"/>
  <c r="NP15" i="31"/>
  <c r="MT15" i="31"/>
  <c r="MU15" i="31"/>
  <c r="NH16" i="31"/>
  <c r="NI16" i="31" s="1"/>
  <c r="PE15" i="31"/>
  <c r="CQ14" i="31"/>
  <c r="DQ14" i="31"/>
  <c r="DR14" i="31" s="1"/>
  <c r="DS14" i="31" s="1"/>
  <c r="FX14" i="31"/>
  <c r="FY14" i="31" s="1"/>
  <c r="HO14" i="31"/>
  <c r="FU14" i="31"/>
  <c r="FW14" i="31" s="1"/>
  <c r="JR14" i="31"/>
  <c r="JS14" i="31" s="1"/>
  <c r="FP14" i="31"/>
  <c r="FS14" i="31" s="1"/>
  <c r="GB14" i="31"/>
  <c r="GC14" i="31" s="1"/>
  <c r="GO14" i="31"/>
  <c r="FZ14" i="31"/>
  <c r="GA14" i="31" s="1"/>
  <c r="FH14" i="31"/>
  <c r="FI14" i="31" s="1"/>
  <c r="FE14" i="31"/>
  <c r="FF14" i="31" s="1"/>
  <c r="KX14" i="31"/>
  <c r="KU14" i="31"/>
  <c r="KQ15" i="31"/>
  <c r="KP16" i="31" l="1"/>
  <c r="GN14" i="31"/>
  <c r="KV14" i="31" s="1"/>
  <c r="KS15" i="31"/>
  <c r="JU14" i="31"/>
  <c r="KE14" i="31"/>
  <c r="KC14" i="31"/>
  <c r="JT15" i="31"/>
  <c r="FG15" i="31"/>
  <c r="HW14" i="31"/>
  <c r="HX15" i="31" s="1"/>
  <c r="HP14" i="31"/>
  <c r="IA14" i="31"/>
  <c r="IB14" i="31" s="1"/>
  <c r="IZ14" i="31"/>
  <c r="NL15" i="31"/>
  <c r="NK15" i="31"/>
  <c r="NG16" i="31"/>
  <c r="OQ16" i="31"/>
  <c r="NB15" i="31"/>
  <c r="NA15" i="31"/>
  <c r="AX14" i="31"/>
  <c r="AY15" i="31" s="1"/>
  <c r="AZ14" i="31"/>
  <c r="EM14" i="31"/>
  <c r="EW14" i="31" s="1"/>
  <c r="EN14" i="31"/>
  <c r="HU14" i="31"/>
  <c r="HV15" i="31" s="1"/>
  <c r="FJ15" i="31"/>
  <c r="CT14" i="31"/>
  <c r="CS14" i="31"/>
  <c r="CR14" i="31"/>
  <c r="NR15" i="31"/>
  <c r="HY14" i="31"/>
  <c r="DY14" i="31"/>
  <c r="HA14" i="31"/>
  <c r="GQ14" i="31" l="1"/>
  <c r="KW15" i="31"/>
  <c r="HQ14" i="31"/>
  <c r="HR15" i="31" s="1"/>
  <c r="NC16" i="31"/>
  <c r="MQ16" i="31"/>
  <c r="BB15" i="31"/>
  <c r="EQ14" i="31"/>
  <c r="IW14" i="31"/>
  <c r="DW14" i="31"/>
  <c r="DU15" i="31" s="1"/>
  <c r="ER15" i="31"/>
  <c r="IU14" i="31"/>
  <c r="IV14" i="31" s="1"/>
  <c r="HS14" i="31"/>
  <c r="JG14" i="31" s="1"/>
  <c r="HT14" i="31"/>
  <c r="OR16" i="31"/>
  <c r="BC15" i="31" l="1"/>
  <c r="EU15" i="31"/>
  <c r="KK14" i="31"/>
  <c r="KB14" i="31"/>
  <c r="IX14" i="31"/>
  <c r="IC14" i="31"/>
  <c r="ID14" i="31" s="1"/>
  <c r="IF14" i="31" s="1"/>
  <c r="KH14" i="31" s="1"/>
  <c r="JB14" i="31"/>
  <c r="DF14" i="31" l="1"/>
  <c r="IM14" i="31"/>
  <c r="GM14" i="31"/>
  <c r="DB14" i="31"/>
  <c r="DC14" i="31" s="1"/>
  <c r="DD15" i="31" s="1"/>
  <c r="DE16" i="31" s="1"/>
  <c r="KI15" i="31"/>
  <c r="IN14" i="31"/>
  <c r="BD15" i="31"/>
  <c r="BE15" i="31"/>
  <c r="DT14" i="31" l="1"/>
  <c r="DZ14" i="31" s="1"/>
  <c r="BF15" i="31"/>
  <c r="BG15" i="31"/>
  <c r="FD14" i="31"/>
  <c r="GV14" i="31"/>
  <c r="GU14" i="31"/>
  <c r="GR14" i="31"/>
  <c r="GT16" i="31"/>
  <c r="KJ15" i="31"/>
  <c r="IS14" i="31" l="1"/>
  <c r="FL15" i="31"/>
  <c r="BI15" i="31"/>
  <c r="BK15" i="31" s="1"/>
  <c r="BH15" i="31"/>
  <c r="GS14" i="31"/>
  <c r="BJ15" i="31" l="1"/>
  <c r="BL15" i="31"/>
  <c r="BM15" i="31"/>
  <c r="GY14" i="31"/>
  <c r="GW14" i="31"/>
  <c r="HC14" i="31" s="1"/>
  <c r="FA15" i="31" s="1"/>
  <c r="HB15" i="31" s="1"/>
  <c r="GX14" i="31"/>
  <c r="FM15" i="31"/>
  <c r="JH14" i="31"/>
  <c r="JI14" i="31" s="1"/>
  <c r="IT14" i="31"/>
  <c r="EG14" i="31" l="1"/>
  <c r="EH15" i="31" s="1"/>
  <c r="EI15" i="31" s="1"/>
  <c r="FK15" i="31" s="1"/>
  <c r="HM14" i="31"/>
  <c r="EY14" i="31"/>
  <c r="HK15" i="31"/>
  <c r="BN15" i="31"/>
  <c r="BO15" i="31"/>
  <c r="JK14" i="31"/>
  <c r="BP15" i="31" l="1"/>
  <c r="BQ15" i="31" s="1"/>
  <c r="EZ14" i="31"/>
  <c r="DG14" i="31"/>
  <c r="DH14" i="31" s="1"/>
  <c r="DI15" i="31" s="1"/>
  <c r="JN14" i="31"/>
  <c r="JV14" i="31" s="1"/>
  <c r="JF15" i="31" s="1"/>
  <c r="JL14" i="31"/>
  <c r="JJ15" i="31" s="1"/>
  <c r="KA15" i="31"/>
  <c r="EJ14" i="31"/>
  <c r="EK15" i="31" s="1"/>
  <c r="ED14" i="31"/>
  <c r="EB15" i="31" s="1"/>
  <c r="EE14" i="31"/>
  <c r="EF15" i="31" s="1"/>
  <c r="JM14" i="31"/>
  <c r="KD14" i="31" s="1"/>
  <c r="IL15" i="31" s="1"/>
  <c r="JZ14" i="31"/>
  <c r="KF14" i="31" s="1"/>
  <c r="IQ15" i="31" s="1"/>
  <c r="BR15" i="31" l="1"/>
  <c r="BS15" i="31"/>
  <c r="DP15" i="31"/>
  <c r="IP15" i="31"/>
  <c r="IO15" i="31"/>
  <c r="HZ15" i="31"/>
  <c r="JW15" i="31"/>
  <c r="JY15" i="31"/>
  <c r="GZ15" i="31"/>
  <c r="IE15" i="31" s="1"/>
  <c r="DJ15" i="31"/>
  <c r="DK15" i="31" s="1"/>
  <c r="EO15" i="31"/>
  <c r="ES16" i="31" s="1"/>
  <c r="EL15" i="31"/>
  <c r="EP15" i="31"/>
  <c r="ET16" i="31" s="1"/>
  <c r="FC15" i="31"/>
  <c r="EV15" i="31"/>
  <c r="IY15" i="31"/>
  <c r="JO15" i="31"/>
  <c r="JE15" i="31"/>
  <c r="IR15" i="31"/>
  <c r="JA15" i="31"/>
  <c r="JC15" i="31"/>
  <c r="JD15" i="31"/>
  <c r="KG15" i="31" l="1"/>
  <c r="JX15" i="31"/>
  <c r="DX15" i="31"/>
  <c r="DM15" i="31"/>
  <c r="FQ15" i="31"/>
  <c r="JP15" i="31"/>
  <c r="JQ15" i="31" s="1"/>
  <c r="EC15" i="31"/>
  <c r="BT15" i="31"/>
  <c r="BU15" i="31"/>
  <c r="BW15" i="31" s="1"/>
  <c r="BV15" i="31" l="1"/>
  <c r="EX15" i="31"/>
  <c r="M15" i="31" s="1"/>
  <c r="FB15" i="31"/>
  <c r="DL15" i="31"/>
  <c r="L16" i="31"/>
  <c r="BX15" i="31"/>
  <c r="BY15" i="31"/>
  <c r="BZ15" i="31" l="1"/>
  <c r="CA15" i="31"/>
  <c r="CC15" i="31" s="1"/>
  <c r="MB15" i="31"/>
  <c r="NM15" i="31" s="1"/>
  <c r="NN15" i="31" s="1"/>
  <c r="MJ15" i="31"/>
  <c r="NS15" i="31" s="1"/>
  <c r="CB15" i="31" l="1"/>
  <c r="OV16" i="31"/>
  <c r="NW15" i="31"/>
  <c r="CD15" i="31"/>
  <c r="CE15" i="31"/>
  <c r="NT15" i="31"/>
  <c r="OU16" i="31"/>
  <c r="FR15" i="31" l="1"/>
  <c r="CX15" i="31"/>
  <c r="FV15" i="31"/>
  <c r="NU15" i="31"/>
  <c r="CF15" i="31"/>
  <c r="CG15" i="31"/>
  <c r="CI15" i="31" s="1"/>
  <c r="NX15" i="31"/>
  <c r="OF15" i="31" s="1"/>
  <c r="OS16" i="31" s="1"/>
  <c r="CH15" i="31" l="1"/>
  <c r="NV15" i="31"/>
  <c r="MY15" i="31"/>
  <c r="NZ15" i="31"/>
  <c r="CY16" i="31"/>
  <c r="NY15" i="31"/>
  <c r="CJ15" i="31"/>
  <c r="CO15" i="31" s="1"/>
  <c r="CK15" i="31"/>
  <c r="MZ16" i="31" l="1"/>
  <c r="OZ15" i="31"/>
  <c r="CL15" i="31"/>
  <c r="CM15" i="31"/>
  <c r="CN15" i="31" s="1"/>
  <c r="OA15" i="31"/>
  <c r="MV16" i="31" s="1"/>
  <c r="OG16" i="31" s="1"/>
  <c r="OB15" i="31"/>
  <c r="OT16" i="31" s="1"/>
  <c r="OO16" i="31"/>
  <c r="OM16" i="31"/>
  <c r="NF16" i="31"/>
  <c r="OI15" i="31"/>
  <c r="OJ15" i="31" l="1"/>
  <c r="OY16" i="31" s="1"/>
  <c r="PA15" i="31"/>
  <c r="OC15" i="31"/>
  <c r="OD16" i="31" s="1"/>
  <c r="OH16" i="31" s="1"/>
  <c r="OK16" i="31" s="1"/>
  <c r="OX16" i="31"/>
  <c r="MR16" i="31"/>
  <c r="OW15" i="31"/>
  <c r="CP15" i="31"/>
  <c r="KT16" i="31"/>
  <c r="MW16" i="31" l="1"/>
  <c r="MX16" i="31" s="1"/>
  <c r="KM16" i="31"/>
  <c r="KO17" i="31" s="1"/>
  <c r="KL16" i="31"/>
  <c r="KN17" i="31" s="1"/>
  <c r="FE15" i="31"/>
  <c r="FF15" i="31" s="1"/>
  <c r="FP15" i="31"/>
  <c r="FS15" i="31" s="1"/>
  <c r="JR15" i="31"/>
  <c r="JS15" i="31" s="1"/>
  <c r="GB15" i="31"/>
  <c r="GC15" i="31" s="1"/>
  <c r="DQ15" i="31"/>
  <c r="DR15" i="31" s="1"/>
  <c r="FH15" i="31"/>
  <c r="FI15" i="31" s="1"/>
  <c r="GO15" i="31"/>
  <c r="FU15" i="31"/>
  <c r="FW15" i="31" s="1"/>
  <c r="FX15" i="31"/>
  <c r="FY15" i="31" s="1"/>
  <c r="CQ15" i="31"/>
  <c r="HO15" i="31"/>
  <c r="FZ15" i="31"/>
  <c r="GA15" i="31" s="1"/>
  <c r="KX15" i="31"/>
  <c r="GN15" i="31" s="1"/>
  <c r="KU15" i="31"/>
  <c r="MS16" i="31"/>
  <c r="HU15" i="31" l="1"/>
  <c r="HV16" i="31" s="1"/>
  <c r="FJ16" i="31"/>
  <c r="GQ15" i="31"/>
  <c r="KV15" i="31"/>
  <c r="IA15" i="31"/>
  <c r="IB15" i="31" s="1"/>
  <c r="HP15" i="31"/>
  <c r="IZ15" i="31"/>
  <c r="JU15" i="31"/>
  <c r="KE15" i="31"/>
  <c r="JT16" i="31"/>
  <c r="KC15" i="31"/>
  <c r="DS15" i="31"/>
  <c r="CR15" i="31"/>
  <c r="CT15" i="31"/>
  <c r="CS15" i="31"/>
  <c r="HY15" i="31"/>
  <c r="DY15" i="31"/>
  <c r="HA15" i="31"/>
  <c r="HW15" i="31"/>
  <c r="HX16" i="31" s="1"/>
  <c r="FG16" i="31"/>
  <c r="KQ16" i="31"/>
  <c r="NP16" i="31"/>
  <c r="MU16" i="31"/>
  <c r="NH17" i="31"/>
  <c r="NI17" i="31" s="1"/>
  <c r="MO16" i="31"/>
  <c r="NJ16" i="31"/>
  <c r="MT16" i="31"/>
  <c r="NQ16" i="31"/>
  <c r="PE16" i="31"/>
  <c r="NB16" i="31"/>
  <c r="NA16" i="31"/>
  <c r="KP17" i="31"/>
  <c r="KR16" i="31"/>
  <c r="KW16" i="31" l="1"/>
  <c r="HQ15" i="31"/>
  <c r="HR16" i="31" s="1"/>
  <c r="NR16" i="31"/>
  <c r="HS15" i="31"/>
  <c r="JG15" i="31" s="1"/>
  <c r="HT15" i="31"/>
  <c r="AX15" i="31"/>
  <c r="AY16" i="31" s="1"/>
  <c r="AZ15" i="31"/>
  <c r="EM15" i="31"/>
  <c r="EW15" i="31" s="1"/>
  <c r="EN15" i="31"/>
  <c r="NK16" i="31"/>
  <c r="NL16" i="31"/>
  <c r="NG17" i="31"/>
  <c r="OQ17" i="31"/>
  <c r="KS16" i="31"/>
  <c r="NC17" i="31" l="1"/>
  <c r="MQ17" i="31"/>
  <c r="IC15" i="31"/>
  <c r="ID15" i="31" s="1"/>
  <c r="IF15" i="31" s="1"/>
  <c r="KH15" i="31" s="1"/>
  <c r="JB15" i="31"/>
  <c r="OR17" i="31"/>
  <c r="BB16" i="31"/>
  <c r="DW15" i="31"/>
  <c r="DU16" i="31" s="1"/>
  <c r="IW15" i="31"/>
  <c r="EQ15" i="31"/>
  <c r="ER16" i="31"/>
  <c r="IU15" i="31"/>
  <c r="IV15" i="31" s="1"/>
  <c r="EU16" i="31" l="1"/>
  <c r="KB15" i="31"/>
  <c r="IX15" i="31"/>
  <c r="KK15" i="31"/>
  <c r="DB15" i="31"/>
  <c r="DC15" i="31" s="1"/>
  <c r="DD16" i="31" s="1"/>
  <c r="DE17" i="31" s="1"/>
  <c r="IM15" i="31"/>
  <c r="DT15" i="31" s="1"/>
  <c r="DZ15" i="31" s="1"/>
  <c r="GM15" i="31"/>
  <c r="KI16" i="31"/>
  <c r="IN15" i="31"/>
  <c r="DF15" i="31"/>
  <c r="BC16" i="31"/>
  <c r="GR15" i="31" l="1"/>
  <c r="GT17" i="31"/>
  <c r="KJ16" i="31"/>
  <c r="BE16" i="31"/>
  <c r="BD16" i="31"/>
  <c r="FD15" i="31"/>
  <c r="GU15" i="31"/>
  <c r="GV15" i="31"/>
  <c r="BG16" i="31" l="1"/>
  <c r="BF16" i="31"/>
  <c r="GS15" i="31"/>
  <c r="IS15" i="31"/>
  <c r="FL16" i="31"/>
  <c r="FM16" i="31" l="1"/>
  <c r="JH15" i="31"/>
  <c r="JI15" i="31" s="1"/>
  <c r="IT15" i="31"/>
  <c r="GX15" i="31"/>
  <c r="GW15" i="31"/>
  <c r="HC15" i="31" s="1"/>
  <c r="FA16" i="31" s="1"/>
  <c r="HB16" i="31" s="1"/>
  <c r="GY15" i="31"/>
  <c r="BI16" i="31"/>
  <c r="BK16" i="31" s="1"/>
  <c r="BH16" i="31"/>
  <c r="BJ16" i="31" l="1"/>
  <c r="HM15" i="31"/>
  <c r="EY15" i="31"/>
  <c r="EG15" i="31"/>
  <c r="EH16" i="31" s="1"/>
  <c r="EI16" i="31" s="1"/>
  <c r="FK16" i="31" s="1"/>
  <c r="HK16" i="31"/>
  <c r="JK15" i="31"/>
  <c r="JM15" i="31" s="1"/>
  <c r="KD15" i="31" s="1"/>
  <c r="IL16" i="31" s="1"/>
  <c r="BL16" i="31"/>
  <c r="BM16" i="31"/>
  <c r="BO16" i="31" l="1"/>
  <c r="BN16" i="31"/>
  <c r="EZ15" i="31"/>
  <c r="DG15" i="31"/>
  <c r="DH15" i="31" s="1"/>
  <c r="DI16" i="31" s="1"/>
  <c r="JZ15" i="31"/>
  <c r="KF15" i="31" s="1"/>
  <c r="IQ16" i="31" s="1"/>
  <c r="EE15" i="31"/>
  <c r="EF16" i="31" s="1"/>
  <c r="IO16" i="31" s="1"/>
  <c r="EJ15" i="31"/>
  <c r="EK16" i="31" s="1"/>
  <c r="ED15" i="31"/>
  <c r="EB16" i="31" s="1"/>
  <c r="JL15" i="31"/>
  <c r="JJ16" i="31" s="1"/>
  <c r="KA16" i="31"/>
  <c r="JN15" i="31"/>
  <c r="JV15" i="31" s="1"/>
  <c r="JF16" i="31" s="1"/>
  <c r="JC16" i="31" l="1"/>
  <c r="JD16" i="31"/>
  <c r="DP16" i="31"/>
  <c r="JW16" i="31"/>
  <c r="JY16" i="31"/>
  <c r="HZ16" i="31"/>
  <c r="BP16" i="31"/>
  <c r="BQ16" i="31" s="1"/>
  <c r="GZ16" i="31"/>
  <c r="IE16" i="31" s="1"/>
  <c r="DJ16" i="31"/>
  <c r="DK16" i="31" s="1"/>
  <c r="IP16" i="31"/>
  <c r="JO16" i="31"/>
  <c r="IR16" i="31"/>
  <c r="IY16" i="31"/>
  <c r="JP16" i="31" s="1"/>
  <c r="JQ16" i="31" s="1"/>
  <c r="JA16" i="31"/>
  <c r="JE16" i="31"/>
  <c r="EO16" i="31"/>
  <c r="ES17" i="31" s="1"/>
  <c r="EL16" i="31"/>
  <c r="FC16" i="31"/>
  <c r="EP16" i="31"/>
  <c r="ET17" i="31" s="1"/>
  <c r="EV16" i="31"/>
  <c r="JX16" i="31" l="1"/>
  <c r="FQ16" i="31"/>
  <c r="DX16" i="31"/>
  <c r="DM16" i="31"/>
  <c r="BR16" i="31"/>
  <c r="BS16" i="31"/>
  <c r="KG16" i="31"/>
  <c r="EC16" i="31"/>
  <c r="BT16" i="31" l="1"/>
  <c r="BU16" i="31"/>
  <c r="BW16" i="31" s="1"/>
  <c r="DL16" i="31"/>
  <c r="L17" i="31"/>
  <c r="EX16" i="31"/>
  <c r="M16" i="31" s="1"/>
  <c r="FB16" i="31"/>
  <c r="MB16" i="31" l="1"/>
  <c r="NM16" i="31" s="1"/>
  <c r="NN16" i="31" s="1"/>
  <c r="MJ16" i="31"/>
  <c r="NS16" i="31" s="1"/>
  <c r="BV16" i="31"/>
  <c r="BY16" i="31"/>
  <c r="BX16" i="31"/>
  <c r="NT16" i="31" l="1"/>
  <c r="OU17" i="31"/>
  <c r="BZ16" i="31"/>
  <c r="CA16" i="31"/>
  <c r="CC16" i="31" s="1"/>
  <c r="OV17" i="31"/>
  <c r="NW16" i="31"/>
  <c r="CD16" i="31" l="1"/>
  <c r="CE16" i="31"/>
  <c r="NX16" i="31"/>
  <c r="CX16" i="31"/>
  <c r="FV16" i="31"/>
  <c r="FR16" i="31"/>
  <c r="NU16" i="31"/>
  <c r="CB16" i="31"/>
  <c r="NZ16" i="31" l="1"/>
  <c r="MY16" i="31"/>
  <c r="CY17" i="31"/>
  <c r="NY16" i="31"/>
  <c r="OF16" i="31"/>
  <c r="OS17" i="31" s="1"/>
  <c r="NV16" i="31"/>
  <c r="CF16" i="31"/>
  <c r="CG16" i="31"/>
  <c r="CI16" i="31" s="1"/>
  <c r="CH16" i="31" l="1"/>
  <c r="OB16" i="31"/>
  <c r="OT17" i="31" s="1"/>
  <c r="OA16" i="31"/>
  <c r="MV17" i="31" s="1"/>
  <c r="OO17" i="31"/>
  <c r="NF17" i="31"/>
  <c r="OM17" i="31"/>
  <c r="CJ16" i="31"/>
  <c r="CO16" i="31" s="1"/>
  <c r="CK16" i="31"/>
  <c r="MZ17" i="31"/>
  <c r="OZ16" i="31"/>
  <c r="OI16" i="31"/>
  <c r="OX17" i="31" l="1"/>
  <c r="MR17" i="31"/>
  <c r="OW16" i="31"/>
  <c r="CL16" i="31"/>
  <c r="CM16" i="31"/>
  <c r="CN16" i="31" s="1"/>
  <c r="PA16" i="31"/>
  <c r="OC16" i="31"/>
  <c r="OD17" i="31" s="1"/>
  <c r="OH17" i="31" s="1"/>
  <c r="OG17" i="31"/>
  <c r="KT17" i="31"/>
  <c r="OJ16" i="31"/>
  <c r="CP16" i="31" l="1"/>
  <c r="MW17" i="31"/>
  <c r="OY17" i="31"/>
  <c r="KM17" i="31"/>
  <c r="KO18" i="31" s="1"/>
  <c r="KL17" i="31"/>
  <c r="KN18" i="31" s="1"/>
  <c r="MS17" i="31"/>
  <c r="OK17" i="31"/>
  <c r="KP18" i="31" l="1"/>
  <c r="KR17" i="31"/>
  <c r="NQ17" i="31"/>
  <c r="NJ17" i="31"/>
  <c r="NH18" i="31"/>
  <c r="NI18" i="31" s="1"/>
  <c r="NP17" i="31"/>
  <c r="MT17" i="31"/>
  <c r="MU17" i="31"/>
  <c r="MO17" i="31"/>
  <c r="PE17" i="31"/>
  <c r="KQ17" i="31"/>
  <c r="MX17" i="31"/>
  <c r="FE16" i="31"/>
  <c r="FF16" i="31" s="1"/>
  <c r="HO16" i="31"/>
  <c r="FH16" i="31"/>
  <c r="FI16" i="31" s="1"/>
  <c r="GB16" i="31"/>
  <c r="GC16" i="31" s="1"/>
  <c r="FU16" i="31"/>
  <c r="FW16" i="31" s="1"/>
  <c r="GO16" i="31"/>
  <c r="DQ16" i="31"/>
  <c r="DR16" i="31" s="1"/>
  <c r="FZ16" i="31"/>
  <c r="GA16" i="31" s="1"/>
  <c r="CQ16" i="31"/>
  <c r="FX16" i="31"/>
  <c r="FY16" i="31" s="1"/>
  <c r="JR16" i="31"/>
  <c r="JS16" i="31" s="1"/>
  <c r="FP16" i="31"/>
  <c r="FS16" i="31" s="1"/>
  <c r="KX16" i="31"/>
  <c r="GN16" i="31" s="1"/>
  <c r="KU16" i="31"/>
  <c r="KS17" i="31" l="1"/>
  <c r="DS16" i="31"/>
  <c r="NA17" i="31"/>
  <c r="NB17" i="31"/>
  <c r="NK17" i="31"/>
  <c r="NL17" i="31"/>
  <c r="NG18" i="31"/>
  <c r="OQ18" i="31"/>
  <c r="KE16" i="31"/>
  <c r="KC16" i="31"/>
  <c r="JT17" i="31"/>
  <c r="JU16" i="31"/>
  <c r="HU16" i="31"/>
  <c r="HV17" i="31" s="1"/>
  <c r="FJ17" i="31"/>
  <c r="NR17" i="31"/>
  <c r="GQ16" i="31"/>
  <c r="KV16" i="31"/>
  <c r="HA16" i="31"/>
  <c r="DY16" i="31"/>
  <c r="HY16" i="31"/>
  <c r="HP16" i="31"/>
  <c r="IA16" i="31"/>
  <c r="IB16" i="31" s="1"/>
  <c r="IZ16" i="31"/>
  <c r="CS16" i="31"/>
  <c r="CT16" i="31"/>
  <c r="CR16" i="31"/>
  <c r="FG17" i="31"/>
  <c r="HW16" i="31"/>
  <c r="HX17" i="31" s="1"/>
  <c r="KW17" i="31" l="1"/>
  <c r="HQ16" i="31"/>
  <c r="HR17" i="31" s="1"/>
  <c r="OR18" i="31"/>
  <c r="HT16" i="31"/>
  <c r="HS16" i="31"/>
  <c r="JG16" i="31" s="1"/>
  <c r="NC18" i="31"/>
  <c r="MQ18" i="31"/>
  <c r="AX16" i="31"/>
  <c r="AY17" i="31" s="1"/>
  <c r="AZ16" i="31"/>
  <c r="EN16" i="31"/>
  <c r="EM16" i="31"/>
  <c r="EW16" i="31" s="1"/>
  <c r="BB17" i="31" l="1"/>
  <c r="EQ16" i="31"/>
  <c r="DW16" i="31"/>
  <c r="DU17" i="31" s="1"/>
  <c r="IW16" i="31"/>
  <c r="ER17" i="31"/>
  <c r="IU16" i="31"/>
  <c r="IV16" i="31" s="1"/>
  <c r="IC16" i="31"/>
  <c r="ID16" i="31" s="1"/>
  <c r="IF16" i="31" s="1"/>
  <c r="KH16" i="31" s="1"/>
  <c r="JB16" i="31"/>
  <c r="EU17" i="31" l="1"/>
  <c r="KB16" i="31"/>
  <c r="IX16" i="31"/>
  <c r="KK16" i="31"/>
  <c r="BC17" i="31"/>
  <c r="GM16" i="31"/>
  <c r="IM16" i="31"/>
  <c r="DB16" i="31"/>
  <c r="DC16" i="31" s="1"/>
  <c r="DD17" i="31" s="1"/>
  <c r="DE18" i="31" s="1"/>
  <c r="KI17" i="31"/>
  <c r="IN16" i="31"/>
  <c r="DF16" i="31"/>
  <c r="DT16" i="31" l="1"/>
  <c r="DZ16" i="31" s="1"/>
  <c r="GV16" i="31"/>
  <c r="FD16" i="31"/>
  <c r="GU16" i="31"/>
  <c r="GR16" i="31"/>
  <c r="KJ17" i="31"/>
  <c r="GT18" i="31"/>
  <c r="BE17" i="31"/>
  <c r="BD17" i="31"/>
  <c r="GS16" i="31" l="1"/>
  <c r="BG17" i="31"/>
  <c r="BF17" i="31"/>
  <c r="IS16" i="31"/>
  <c r="FL17" i="31"/>
  <c r="FM17" i="31" l="1"/>
  <c r="JH16" i="31"/>
  <c r="JI16" i="31" s="1"/>
  <c r="IT16" i="31"/>
  <c r="BI17" i="31"/>
  <c r="BK17" i="31" s="1"/>
  <c r="BH17" i="31"/>
  <c r="GX16" i="31"/>
  <c r="GW16" i="31"/>
  <c r="HC16" i="31" s="1"/>
  <c r="FA17" i="31" s="1"/>
  <c r="HB17" i="31" s="1"/>
  <c r="GY16" i="31"/>
  <c r="BL17" i="31" l="1"/>
  <c r="BM17" i="31"/>
  <c r="EY16" i="31"/>
  <c r="HM16" i="31"/>
  <c r="EG16" i="31"/>
  <c r="EH17" i="31" s="1"/>
  <c r="EI17" i="31" s="1"/>
  <c r="FK17" i="31" s="1"/>
  <c r="HK17" i="31"/>
  <c r="BJ17" i="31"/>
  <c r="JK16" i="31"/>
  <c r="JZ16" i="31" s="1"/>
  <c r="KF16" i="31" s="1"/>
  <c r="IQ17" i="31" s="1"/>
  <c r="JN16" i="31" l="1"/>
  <c r="JV16" i="31" s="1"/>
  <c r="JF17" i="31" s="1"/>
  <c r="JY17" i="31" s="1"/>
  <c r="EE16" i="31"/>
  <c r="EF17" i="31" s="1"/>
  <c r="EJ16" i="31"/>
  <c r="EK17" i="31" s="1"/>
  <c r="ED16" i="31"/>
  <c r="EB17" i="31" s="1"/>
  <c r="JA17" i="31" s="1"/>
  <c r="JM16" i="31"/>
  <c r="KD16" i="31" s="1"/>
  <c r="IL17" i="31" s="1"/>
  <c r="JE17" i="31" s="1"/>
  <c r="JL16" i="31"/>
  <c r="JJ17" i="31" s="1"/>
  <c r="KA17" i="31"/>
  <c r="EZ16" i="31"/>
  <c r="DG16" i="31"/>
  <c r="DH16" i="31" s="1"/>
  <c r="DI17" i="31" s="1"/>
  <c r="BN17" i="31"/>
  <c r="BO17" i="31"/>
  <c r="JW17" i="31" l="1"/>
  <c r="JO17" i="31"/>
  <c r="IY17" i="31"/>
  <c r="DP17" i="31"/>
  <c r="IO17" i="31"/>
  <c r="IP17" i="31"/>
  <c r="IR17" i="31"/>
  <c r="HZ17" i="31"/>
  <c r="EL17" i="31"/>
  <c r="EP17" i="31"/>
  <c r="ET18" i="31" s="1"/>
  <c r="EO17" i="31"/>
  <c r="ES18" i="31" s="1"/>
  <c r="FC17" i="31"/>
  <c r="EV17" i="31"/>
  <c r="BP17" i="31"/>
  <c r="BQ17" i="31" s="1"/>
  <c r="JC17" i="31"/>
  <c r="JD17" i="31"/>
  <c r="GZ17" i="31"/>
  <c r="IE17" i="31" s="1"/>
  <c r="DJ17" i="31"/>
  <c r="DK17" i="31" s="1"/>
  <c r="JP17" i="31" l="1"/>
  <c r="JQ17" i="31" s="1"/>
  <c r="DM17" i="31"/>
  <c r="FQ17" i="31"/>
  <c r="DX17" i="31"/>
  <c r="BR17" i="31"/>
  <c r="BS17" i="31"/>
  <c r="EC17" i="31"/>
  <c r="KG17" i="31"/>
  <c r="JX17" i="31"/>
  <c r="BT17" i="31" l="1"/>
  <c r="BU17" i="31"/>
  <c r="BW17" i="31" s="1"/>
  <c r="EX17" i="31"/>
  <c r="M17" i="31" s="1"/>
  <c r="FB17" i="31"/>
  <c r="DL17" i="31"/>
  <c r="L18" i="31"/>
  <c r="BX17" i="31" l="1"/>
  <c r="BY17" i="31"/>
  <c r="MB17" i="31"/>
  <c r="NM17" i="31" s="1"/>
  <c r="NN17" i="31" s="1"/>
  <c r="MJ17" i="31"/>
  <c r="NS17" i="31" s="1"/>
  <c r="BV17" i="31"/>
  <c r="OV18" i="31" l="1"/>
  <c r="NW17" i="31"/>
  <c r="NX17" i="31" s="1"/>
  <c r="NT17" i="31"/>
  <c r="OU18" i="31"/>
  <c r="BZ17" i="31"/>
  <c r="CA17" i="31"/>
  <c r="CC17" i="31" s="1"/>
  <c r="CB17" i="31" l="1"/>
  <c r="CX17" i="31"/>
  <c r="FR17" i="31"/>
  <c r="FV17" i="31"/>
  <c r="NU17" i="31"/>
  <c r="OF17" i="31"/>
  <c r="OS18" i="31" s="1"/>
  <c r="NY17" i="31"/>
  <c r="CD17" i="31"/>
  <c r="CE17" i="31"/>
  <c r="CF17" i="31" l="1"/>
  <c r="CG17" i="31"/>
  <c r="CI17" i="31" s="1"/>
  <c r="NZ17" i="31"/>
  <c r="OA17" i="31" s="1"/>
  <c r="MV18" i="31" s="1"/>
  <c r="OG18" i="31" s="1"/>
  <c r="MY17" i="31"/>
  <c r="CY18" i="31"/>
  <c r="OB17" i="31"/>
  <c r="OT18" i="31" s="1"/>
  <c r="NV17" i="31"/>
  <c r="OO18" i="31" l="1"/>
  <c r="KT18" i="31" s="1"/>
  <c r="OM18" i="31"/>
  <c r="NF18" i="31"/>
  <c r="CJ17" i="31"/>
  <c r="CO17" i="31" s="1"/>
  <c r="CK17" i="31"/>
  <c r="OJ17" i="31"/>
  <c r="OC17" i="31"/>
  <c r="OD18" i="31" s="1"/>
  <c r="OH18" i="31" s="1"/>
  <c r="OK18" i="31" s="1"/>
  <c r="MZ18" i="31"/>
  <c r="OZ17" i="31"/>
  <c r="PA17" i="31"/>
  <c r="CH17" i="31"/>
  <c r="OI17" i="31"/>
  <c r="MR18" i="31" l="1"/>
  <c r="OX18" i="31"/>
  <c r="OW17" i="31"/>
  <c r="MW18" i="31"/>
  <c r="OY18" i="31"/>
  <c r="CL17" i="31"/>
  <c r="CM17" i="31"/>
  <c r="CN17" i="31" s="1"/>
  <c r="KM18" i="31"/>
  <c r="KO19" i="31" s="1"/>
  <c r="KL18" i="31"/>
  <c r="KN19" i="31" s="1"/>
  <c r="CP17" i="31" l="1"/>
  <c r="JR17" i="31" s="1"/>
  <c r="JS17" i="31" s="1"/>
  <c r="MX18" i="31"/>
  <c r="KQ18" i="31"/>
  <c r="KP19" i="31"/>
  <c r="KR18" i="31"/>
  <c r="MS18" i="31"/>
  <c r="DQ17" i="31" l="1"/>
  <c r="DR17" i="31" s="1"/>
  <c r="DS17" i="31" s="1"/>
  <c r="KU17" i="31"/>
  <c r="FZ17" i="31"/>
  <c r="GA17" i="31" s="1"/>
  <c r="FE17" i="31"/>
  <c r="FF17" i="31" s="1"/>
  <c r="HW17" i="31" s="1"/>
  <c r="HX18" i="31" s="1"/>
  <c r="FP17" i="31"/>
  <c r="FS17" i="31" s="1"/>
  <c r="HA17" i="31" s="1"/>
  <c r="KX17" i="31"/>
  <c r="GN17" i="31" s="1"/>
  <c r="FX17" i="31"/>
  <c r="FY17" i="31" s="1"/>
  <c r="FH17" i="31"/>
  <c r="FI17" i="31" s="1"/>
  <c r="FJ18" i="31" s="1"/>
  <c r="FU17" i="31"/>
  <c r="FW17" i="31" s="1"/>
  <c r="GO17" i="31"/>
  <c r="CQ17" i="31"/>
  <c r="CT17" i="31" s="1"/>
  <c r="GB17" i="31"/>
  <c r="GC17" i="31" s="1"/>
  <c r="HO17" i="31"/>
  <c r="HP17" i="31" s="1"/>
  <c r="KC17" i="31"/>
  <c r="JU17" i="31"/>
  <c r="JT18" i="31"/>
  <c r="KE17" i="31"/>
  <c r="KS18" i="31"/>
  <c r="MU18" i="31"/>
  <c r="NH19" i="31"/>
  <c r="NI19" i="31" s="1"/>
  <c r="NQ18" i="31"/>
  <c r="MO18" i="31"/>
  <c r="NJ18" i="31"/>
  <c r="MT18" i="31"/>
  <c r="NP18" i="31"/>
  <c r="PE18" i="31"/>
  <c r="NA18" i="31"/>
  <c r="NB18" i="31"/>
  <c r="GQ17" i="31" l="1"/>
  <c r="CR17" i="31"/>
  <c r="CS17" i="31"/>
  <c r="HY17" i="31"/>
  <c r="FG18" i="31"/>
  <c r="HU17" i="31"/>
  <c r="HV18" i="31" s="1"/>
  <c r="KV17" i="31"/>
  <c r="DY17" i="31"/>
  <c r="IA17" i="31"/>
  <c r="IB17" i="31" s="1"/>
  <c r="IZ17" i="31"/>
  <c r="NR18" i="31"/>
  <c r="NK18" i="31"/>
  <c r="NL18" i="31"/>
  <c r="NG19" i="31"/>
  <c r="OQ19" i="31"/>
  <c r="AX17" i="31"/>
  <c r="AY18" i="31" s="1"/>
  <c r="EM17" i="31"/>
  <c r="EW17" i="31" s="1"/>
  <c r="EN17" i="31"/>
  <c r="AZ17" i="31"/>
  <c r="HT17" i="31"/>
  <c r="HS17" i="31"/>
  <c r="JG17" i="31" s="1"/>
  <c r="KW18" i="31" l="1"/>
  <c r="HQ17" i="31"/>
  <c r="HR18" i="31" s="1"/>
  <c r="BB18" i="31"/>
  <c r="EQ17" i="31"/>
  <c r="IW17" i="31"/>
  <c r="DW17" i="31"/>
  <c r="DU18" i="31" s="1"/>
  <c r="ER18" i="31"/>
  <c r="IU17" i="31"/>
  <c r="IV17" i="31" s="1"/>
  <c r="IC17" i="31"/>
  <c r="ID17" i="31" s="1"/>
  <c r="IF17" i="31" s="1"/>
  <c r="KH17" i="31" s="1"/>
  <c r="JB17" i="31"/>
  <c r="NC19" i="31"/>
  <c r="MQ19" i="31"/>
  <c r="OR19" i="31"/>
  <c r="EU18" i="31" l="1"/>
  <c r="BC18" i="31"/>
  <c r="KK17" i="31"/>
  <c r="KB17" i="31"/>
  <c r="IX17" i="31"/>
  <c r="GM17" i="31"/>
  <c r="IM17" i="31"/>
  <c r="DB17" i="31"/>
  <c r="DC17" i="31" s="1"/>
  <c r="DD18" i="31" s="1"/>
  <c r="DE19" i="31" s="1"/>
  <c r="KI18" i="31"/>
  <c r="IN17" i="31"/>
  <c r="DF17" i="31"/>
  <c r="DT17" i="31" l="1"/>
  <c r="DZ17" i="31" s="1"/>
  <c r="GV17" i="31"/>
  <c r="FD17" i="31"/>
  <c r="GU17" i="31"/>
  <c r="BD18" i="31"/>
  <c r="BE18" i="31"/>
  <c r="GT19" i="31"/>
  <c r="GR17" i="31"/>
  <c r="KJ18" i="31"/>
  <c r="IS17" i="31" l="1"/>
  <c r="FL18" i="31"/>
  <c r="BF18" i="31"/>
  <c r="BG18" i="31"/>
  <c r="GS17" i="31"/>
  <c r="BI18" i="31" l="1"/>
  <c r="BK18" i="31" s="1"/>
  <c r="BH18" i="31"/>
  <c r="FM18" i="31"/>
  <c r="GY17" i="31"/>
  <c r="GX17" i="31"/>
  <c r="GW17" i="31"/>
  <c r="HC17" i="31" s="1"/>
  <c r="FA18" i="31" s="1"/>
  <c r="HB18" i="31" s="1"/>
  <c r="JH17" i="31"/>
  <c r="JI17" i="31" s="1"/>
  <c r="IT17" i="31"/>
  <c r="BJ18" i="31" l="1"/>
  <c r="EY17" i="31"/>
  <c r="HM17" i="31"/>
  <c r="EG17" i="31"/>
  <c r="EH18" i="31" s="1"/>
  <c r="EI18" i="31" s="1"/>
  <c r="FK18" i="31" s="1"/>
  <c r="HK18" i="31"/>
  <c r="JK17" i="31"/>
  <c r="BL18" i="31"/>
  <c r="BM18" i="31"/>
  <c r="JL17" i="31" l="1"/>
  <c r="JJ18" i="31" s="1"/>
  <c r="KA18" i="31"/>
  <c r="BN18" i="31"/>
  <c r="BO18" i="31"/>
  <c r="BP18" i="31" s="1"/>
  <c r="BQ18" i="31" s="1"/>
  <c r="JM17" i="31"/>
  <c r="KD17" i="31" s="1"/>
  <c r="IL18" i="31" s="1"/>
  <c r="EJ17" i="31"/>
  <c r="EK18" i="31" s="1"/>
  <c r="EE17" i="31"/>
  <c r="EF18" i="31" s="1"/>
  <c r="ED17" i="31"/>
  <c r="EB18" i="31" s="1"/>
  <c r="JN17" i="31"/>
  <c r="JV17" i="31" s="1"/>
  <c r="JF18" i="31" s="1"/>
  <c r="EZ17" i="31"/>
  <c r="DG17" i="31"/>
  <c r="DH17" i="31" s="1"/>
  <c r="DI18" i="31" s="1"/>
  <c r="JZ17" i="31"/>
  <c r="KF17" i="31" s="1"/>
  <c r="IQ18" i="31" s="1"/>
  <c r="BR18" i="31" l="1"/>
  <c r="BS18" i="31"/>
  <c r="EO18" i="31"/>
  <c r="ES19" i="31" s="1"/>
  <c r="EP18" i="31"/>
  <c r="ET19" i="31" s="1"/>
  <c r="FC18" i="31"/>
  <c r="EL18" i="31"/>
  <c r="EV18" i="31"/>
  <c r="DJ18" i="31"/>
  <c r="DK18" i="31" s="1"/>
  <c r="GZ18" i="31"/>
  <c r="IE18" i="31" s="1"/>
  <c r="JC18" i="31"/>
  <c r="JD18" i="31"/>
  <c r="IR18" i="31"/>
  <c r="JE18" i="31"/>
  <c r="JA18" i="31"/>
  <c r="JO18" i="31"/>
  <c r="IY18" i="31"/>
  <c r="IP18" i="31"/>
  <c r="IO18" i="31"/>
  <c r="HZ18" i="31"/>
  <c r="JW18" i="31"/>
  <c r="JY18" i="31"/>
  <c r="DP18" i="31"/>
  <c r="JX18" i="31" l="1"/>
  <c r="JP18" i="31"/>
  <c r="JQ18" i="31" s="1"/>
  <c r="FQ18" i="31"/>
  <c r="DX18" i="31"/>
  <c r="DM18" i="31"/>
  <c r="KG18" i="31"/>
  <c r="BT18" i="31"/>
  <c r="BU18" i="31"/>
  <c r="BW18" i="31" s="1"/>
  <c r="EC18" i="31"/>
  <c r="BV18" i="31" l="1"/>
  <c r="DL18" i="31"/>
  <c r="L19" i="31"/>
  <c r="BY18" i="31"/>
  <c r="BX18" i="31"/>
  <c r="EX18" i="31"/>
  <c r="M18" i="31" s="1"/>
  <c r="FB18" i="31"/>
  <c r="BZ18" i="31" l="1"/>
  <c r="CA18" i="31"/>
  <c r="CC18" i="31" s="1"/>
  <c r="MB18" i="31"/>
  <c r="NM18" i="31" s="1"/>
  <c r="NN18" i="31" s="1"/>
  <c r="MJ18" i="31"/>
  <c r="NS18" i="31" s="1"/>
  <c r="CB18" i="31" l="1"/>
  <c r="NT18" i="31"/>
  <c r="OU19" i="31"/>
  <c r="OV19" i="31"/>
  <c r="NW18" i="31"/>
  <c r="CD18" i="31"/>
  <c r="CE18" i="31"/>
  <c r="CF18" i="31" l="1"/>
  <c r="CG18" i="31"/>
  <c r="CI18" i="31" s="1"/>
  <c r="NX18" i="31"/>
  <c r="FV18" i="31"/>
  <c r="FR18" i="31"/>
  <c r="CX18" i="31"/>
  <c r="NU18" i="31"/>
  <c r="CH18" i="31" l="1"/>
  <c r="MY18" i="31"/>
  <c r="NZ18" i="31"/>
  <c r="CY19" i="31"/>
  <c r="NY18" i="31"/>
  <c r="OF18" i="31"/>
  <c r="OS19" i="31" s="1"/>
  <c r="CJ18" i="31"/>
  <c r="CO18" i="31" s="1"/>
  <c r="CK18" i="31"/>
  <c r="NV18" i="31"/>
  <c r="OB18" i="31" l="1"/>
  <c r="OT19" i="31" s="1"/>
  <c r="OI18" i="31"/>
  <c r="OA18" i="31"/>
  <c r="MV19" i="31" s="1"/>
  <c r="OO19" i="31"/>
  <c r="NF19" i="31"/>
  <c r="OM19" i="31"/>
  <c r="CL18" i="31"/>
  <c r="CM18" i="31"/>
  <c r="CN18" i="31" s="1"/>
  <c r="MZ19" i="31"/>
  <c r="OZ18" i="31"/>
  <c r="KT19" i="31" l="1"/>
  <c r="OG19" i="31"/>
  <c r="MR19" i="31"/>
  <c r="OW18" i="31"/>
  <c r="OX19" i="31"/>
  <c r="PA18" i="31"/>
  <c r="CP18" i="31"/>
  <c r="OC18" i="31"/>
  <c r="OD19" i="31" s="1"/>
  <c r="OH19" i="31" s="1"/>
  <c r="OJ18" i="31"/>
  <c r="OK19" i="31" l="1"/>
  <c r="FE18" i="31"/>
  <c r="FF18" i="31" s="1"/>
  <c r="GB18" i="31"/>
  <c r="GC18" i="31" s="1"/>
  <c r="FP18" i="31"/>
  <c r="FS18" i="31" s="1"/>
  <c r="FU18" i="31"/>
  <c r="FW18" i="31" s="1"/>
  <c r="GO18" i="31"/>
  <c r="FH18" i="31"/>
  <c r="FI18" i="31" s="1"/>
  <c r="HO18" i="31"/>
  <c r="CQ18" i="31"/>
  <c r="FX18" i="31"/>
  <c r="FY18" i="31" s="1"/>
  <c r="FZ18" i="31"/>
  <c r="GA18" i="31" s="1"/>
  <c r="JR18" i="31"/>
  <c r="JS18" i="31" s="1"/>
  <c r="DQ18" i="31"/>
  <c r="DR18" i="31" s="1"/>
  <c r="KX18" i="31"/>
  <c r="GN18" i="31" s="1"/>
  <c r="KU18" i="31"/>
  <c r="MS19" i="31"/>
  <c r="OY19" i="31"/>
  <c r="MW19" i="31"/>
  <c r="KM19" i="31"/>
  <c r="KO20" i="31" s="1"/>
  <c r="KL19" i="31"/>
  <c r="KN20" i="31" s="1"/>
  <c r="NQ19" i="31" l="1"/>
  <c r="NJ19" i="31"/>
  <c r="NP19" i="31"/>
  <c r="NH20" i="31"/>
  <c r="NI20" i="31" s="1"/>
  <c r="MT19" i="31"/>
  <c r="MU19" i="31"/>
  <c r="MO19" i="31"/>
  <c r="PE19" i="31"/>
  <c r="CS18" i="31"/>
  <c r="CR18" i="31"/>
  <c r="CT18" i="31"/>
  <c r="IA18" i="31"/>
  <c r="IB18" i="31" s="1"/>
  <c r="HP18" i="31"/>
  <c r="IZ18" i="31"/>
  <c r="HU18" i="31"/>
  <c r="HV19" i="31" s="1"/>
  <c r="FJ19" i="31"/>
  <c r="KP20" i="31"/>
  <c r="KR19" i="31"/>
  <c r="GQ18" i="31"/>
  <c r="KV18" i="31"/>
  <c r="DS18" i="31"/>
  <c r="KQ19" i="31"/>
  <c r="MX19" i="31"/>
  <c r="KE18" i="31"/>
  <c r="JU18" i="31"/>
  <c r="JT19" i="31"/>
  <c r="KC18" i="31"/>
  <c r="HA18" i="31"/>
  <c r="HY18" i="31"/>
  <c r="DY18" i="31"/>
  <c r="FG19" i="31"/>
  <c r="HW18" i="31"/>
  <c r="HX19" i="31" s="1"/>
  <c r="KW19" i="31" l="1"/>
  <c r="HQ18" i="31"/>
  <c r="HR19" i="31" s="1"/>
  <c r="KS19" i="31"/>
  <c r="HT18" i="31"/>
  <c r="HS18" i="31"/>
  <c r="JG18" i="31" s="1"/>
  <c r="NB19" i="31"/>
  <c r="NA19" i="31"/>
  <c r="AX18" i="31"/>
  <c r="AY19" i="31" s="1"/>
  <c r="EN18" i="31"/>
  <c r="AZ18" i="31"/>
  <c r="EM18" i="31"/>
  <c r="EW18" i="31" s="1"/>
  <c r="NK19" i="31"/>
  <c r="NL19" i="31"/>
  <c r="NG20" i="31"/>
  <c r="OQ20" i="31"/>
  <c r="NR19" i="31"/>
  <c r="OR20" i="31" l="1"/>
  <c r="NC20" i="31"/>
  <c r="MQ20" i="31"/>
  <c r="IC18" i="31"/>
  <c r="ID18" i="31" s="1"/>
  <c r="IF18" i="31" s="1"/>
  <c r="KH18" i="31" s="1"/>
  <c r="JB18" i="31"/>
  <c r="BB19" i="31"/>
  <c r="DW18" i="31"/>
  <c r="DU19" i="31" s="1"/>
  <c r="IW18" i="31"/>
  <c r="EQ18" i="31"/>
  <c r="ER19" i="31"/>
  <c r="IU18" i="31"/>
  <c r="IV18" i="31" s="1"/>
  <c r="EU19" i="31" l="1"/>
  <c r="BC19" i="31"/>
  <c r="DB18" i="31"/>
  <c r="DC18" i="31" s="1"/>
  <c r="DD19" i="31" s="1"/>
  <c r="DE20" i="31" s="1"/>
  <c r="GM18" i="31"/>
  <c r="IM18" i="31"/>
  <c r="KI19" i="31"/>
  <c r="IN18" i="31"/>
  <c r="DF18" i="31"/>
  <c r="KK18" i="31"/>
  <c r="KB18" i="31"/>
  <c r="IX18" i="31"/>
  <c r="DT18" i="31" l="1"/>
  <c r="DZ18" i="31" s="1"/>
  <c r="GR18" i="31"/>
  <c r="BD19" i="31"/>
  <c r="BE19" i="31"/>
  <c r="GT20" i="31"/>
  <c r="FD18" i="31"/>
  <c r="GV18" i="31"/>
  <c r="GU18" i="31"/>
  <c r="KJ19" i="31"/>
  <c r="BF19" i="31" l="1"/>
  <c r="BG19" i="31"/>
  <c r="IS18" i="31"/>
  <c r="FL19" i="31"/>
  <c r="GS18" i="31"/>
  <c r="GY18" i="31" l="1"/>
  <c r="GX18" i="31"/>
  <c r="GW18" i="31"/>
  <c r="HC18" i="31" s="1"/>
  <c r="FA19" i="31" s="1"/>
  <c r="HB19" i="31" s="1"/>
  <c r="JH18" i="31"/>
  <c r="JI18" i="31" s="1"/>
  <c r="IT18" i="31"/>
  <c r="FM19" i="31"/>
  <c r="BI19" i="31"/>
  <c r="BK19" i="31" s="1"/>
  <c r="BH19" i="31"/>
  <c r="BL19" i="31" l="1"/>
  <c r="BM19" i="31"/>
  <c r="JK18" i="31"/>
  <c r="JN18" i="31" s="1"/>
  <c r="JV18" i="31" s="1"/>
  <c r="JF19" i="31" s="1"/>
  <c r="EG18" i="31"/>
  <c r="EH19" i="31" s="1"/>
  <c r="EI19" i="31" s="1"/>
  <c r="FK19" i="31" s="1"/>
  <c r="HM18" i="31"/>
  <c r="EY18" i="31"/>
  <c r="HK19" i="31"/>
  <c r="BJ19" i="31"/>
  <c r="JM18" i="31" l="1"/>
  <c r="KD18" i="31" s="1"/>
  <c r="IL19" i="31" s="1"/>
  <c r="JZ18" i="31"/>
  <c r="KF18" i="31" s="1"/>
  <c r="IQ19" i="31" s="1"/>
  <c r="JL18" i="31"/>
  <c r="JJ19" i="31" s="1"/>
  <c r="KA19" i="31"/>
  <c r="BN19" i="31"/>
  <c r="BO19" i="31"/>
  <c r="JW19" i="31"/>
  <c r="JY19" i="31"/>
  <c r="EZ18" i="31"/>
  <c r="DG18" i="31"/>
  <c r="DH18" i="31" s="1"/>
  <c r="DI19" i="31" s="1"/>
  <c r="EJ18" i="31"/>
  <c r="EK19" i="31" s="1"/>
  <c r="ED18" i="31"/>
  <c r="EB19" i="31" s="1"/>
  <c r="EE18" i="31"/>
  <c r="EF19" i="31" s="1"/>
  <c r="JA19" i="31" l="1"/>
  <c r="IY19" i="31"/>
  <c r="IR19" i="31"/>
  <c r="JO19" i="31"/>
  <c r="JE19" i="31"/>
  <c r="DJ19" i="31"/>
  <c r="DK19" i="31" s="1"/>
  <c r="GZ19" i="31"/>
  <c r="IE19" i="31" s="1"/>
  <c r="FC19" i="31"/>
  <c r="EO19" i="31"/>
  <c r="ES20" i="31" s="1"/>
  <c r="EL19" i="31"/>
  <c r="EP19" i="31"/>
  <c r="ET20" i="31" s="1"/>
  <c r="EV19" i="31"/>
  <c r="IP19" i="31"/>
  <c r="HZ19" i="31"/>
  <c r="JC19" i="31"/>
  <c r="JD19" i="31"/>
  <c r="IO19" i="31"/>
  <c r="DP19" i="31"/>
  <c r="BP19" i="31"/>
  <c r="BQ19" i="31" s="1"/>
  <c r="JP19" i="31" l="1"/>
  <c r="JQ19" i="31" s="1"/>
  <c r="KG19" i="31"/>
  <c r="BR19" i="31"/>
  <c r="BS19" i="31"/>
  <c r="FQ19" i="31"/>
  <c r="DM19" i="31"/>
  <c r="DX19" i="31"/>
  <c r="JX19" i="31"/>
  <c r="EC19" i="31"/>
  <c r="DL19" i="31" l="1"/>
  <c r="L20" i="31"/>
  <c r="FB19" i="31"/>
  <c r="EX19" i="31"/>
  <c r="M19" i="31" s="1"/>
  <c r="BT19" i="31"/>
  <c r="BU19" i="31"/>
  <c r="BW19" i="31" s="1"/>
  <c r="BX19" i="31" l="1"/>
  <c r="BY19" i="31"/>
  <c r="BV19" i="31"/>
  <c r="MJ19" i="31"/>
  <c r="NS19" i="31" s="1"/>
  <c r="MB19" i="31"/>
  <c r="NM19" i="31" s="1"/>
  <c r="NN19" i="31" s="1"/>
  <c r="OV20" i="31" l="1"/>
  <c r="NW19" i="31"/>
  <c r="NT19" i="31"/>
  <c r="OU20" i="31"/>
  <c r="BZ19" i="31"/>
  <c r="CA19" i="31"/>
  <c r="CC19" i="31" s="1"/>
  <c r="CB19" i="31" l="1"/>
  <c r="FR19" i="31"/>
  <c r="CX19" i="31"/>
  <c r="FV19" i="31"/>
  <c r="NU19" i="31"/>
  <c r="NX19" i="31"/>
  <c r="CD19" i="31"/>
  <c r="CE19" i="31"/>
  <c r="CF19" i="31" l="1"/>
  <c r="CG19" i="31"/>
  <c r="CI19" i="31" s="1"/>
  <c r="MY19" i="31"/>
  <c r="NZ19" i="31"/>
  <c r="CY20" i="31"/>
  <c r="NV19" i="31"/>
  <c r="NY19" i="31"/>
  <c r="OF19" i="31"/>
  <c r="OS20" i="31" s="1"/>
  <c r="OI19" i="31" l="1"/>
  <c r="MR20" i="31" s="1"/>
  <c r="OO20" i="31"/>
  <c r="NF20" i="31"/>
  <c r="OM20" i="31"/>
  <c r="MZ20" i="31"/>
  <c r="OZ19" i="31"/>
  <c r="OA19" i="31"/>
  <c r="MV20" i="31" s="1"/>
  <c r="CJ19" i="31"/>
  <c r="CO19" i="31" s="1"/>
  <c r="CK19" i="31"/>
  <c r="OB19" i="31"/>
  <c r="OT20" i="31" s="1"/>
  <c r="CH19" i="31"/>
  <c r="OW19" i="31" l="1"/>
  <c r="OX20" i="31"/>
  <c r="OJ19" i="31"/>
  <c r="MW20" i="31" s="1"/>
  <c r="OC19" i="31"/>
  <c r="OD20" i="31" s="1"/>
  <c r="OH20" i="31" s="1"/>
  <c r="CL19" i="31"/>
  <c r="CM19" i="31"/>
  <c r="CN19" i="31" s="1"/>
  <c r="KT20" i="31"/>
  <c r="OG20" i="31"/>
  <c r="PA19" i="31"/>
  <c r="MS20" i="31"/>
  <c r="OK20" i="31" l="1"/>
  <c r="OY20" i="31"/>
  <c r="NH21" i="31"/>
  <c r="NI21" i="31" s="1"/>
  <c r="NQ20" i="31"/>
  <c r="MO20" i="31"/>
  <c r="NP20" i="31"/>
  <c r="NJ20" i="31"/>
  <c r="MT20" i="31"/>
  <c r="MU20" i="31"/>
  <c r="PE20" i="31"/>
  <c r="CP19" i="31"/>
  <c r="KL20" i="31"/>
  <c r="KN21" i="31" s="1"/>
  <c r="KM20" i="31"/>
  <c r="KO21" i="31" s="1"/>
  <c r="MX20" i="31"/>
  <c r="NK20" i="31" l="1"/>
  <c r="NL20" i="31"/>
  <c r="NG21" i="31"/>
  <c r="OQ21" i="31"/>
  <c r="KP21" i="31"/>
  <c r="KR20" i="31"/>
  <c r="NA20" i="31"/>
  <c r="NB20" i="31"/>
  <c r="KQ20" i="31"/>
  <c r="NR20" i="31"/>
  <c r="JR19" i="31"/>
  <c r="JS19" i="31" s="1"/>
  <c r="FH19" i="31"/>
  <c r="FI19" i="31" s="1"/>
  <c r="FP19" i="31"/>
  <c r="FS19" i="31" s="1"/>
  <c r="HO19" i="31"/>
  <c r="GO19" i="31"/>
  <c r="FX19" i="31"/>
  <c r="FY19" i="31" s="1"/>
  <c r="FE19" i="31"/>
  <c r="FF19" i="31" s="1"/>
  <c r="DQ19" i="31"/>
  <c r="DR19" i="31" s="1"/>
  <c r="FZ19" i="31"/>
  <c r="GA19" i="31" s="1"/>
  <c r="CQ19" i="31"/>
  <c r="GB19" i="31"/>
  <c r="GC19" i="31" s="1"/>
  <c r="FU19" i="31"/>
  <c r="FW19" i="31" s="1"/>
  <c r="KX19" i="31"/>
  <c r="KU19" i="31"/>
  <c r="GN19" i="31" l="1"/>
  <c r="KV19" i="31" s="1"/>
  <c r="HU19" i="31"/>
  <c r="HV20" i="31" s="1"/>
  <c r="FJ20" i="31"/>
  <c r="KC19" i="31"/>
  <c r="JU19" i="31"/>
  <c r="JT20" i="31"/>
  <c r="KE19" i="31"/>
  <c r="DS19" i="31"/>
  <c r="FG20" i="31"/>
  <c r="HW19" i="31"/>
  <c r="HX20" i="31" s="1"/>
  <c r="OR21" i="31"/>
  <c r="KS20" i="31"/>
  <c r="NC21" i="31"/>
  <c r="MQ21" i="31"/>
  <c r="HP19" i="31"/>
  <c r="IA19" i="31"/>
  <c r="IB19" i="31" s="1"/>
  <c r="IZ19" i="31"/>
  <c r="CT19" i="31"/>
  <c r="CR19" i="31"/>
  <c r="CS19" i="31"/>
  <c r="HY19" i="31"/>
  <c r="HA19" i="31"/>
  <c r="DY19" i="31"/>
  <c r="GQ19" i="31" l="1"/>
  <c r="KW20" i="31"/>
  <c r="HQ19" i="31"/>
  <c r="HR20" i="31" s="1"/>
  <c r="HT19" i="31"/>
  <c r="HS19" i="31"/>
  <c r="JG19" i="31" s="1"/>
  <c r="AX19" i="31"/>
  <c r="AY20" i="31" s="1"/>
  <c r="EM19" i="31"/>
  <c r="EW19" i="31" s="1"/>
  <c r="AZ19" i="31"/>
  <c r="EN19" i="31"/>
  <c r="BB20" i="31" l="1"/>
  <c r="IW19" i="31"/>
  <c r="EQ19" i="31"/>
  <c r="DW19" i="31"/>
  <c r="DU20" i="31" s="1"/>
  <c r="ER20" i="31"/>
  <c r="IU19" i="31"/>
  <c r="IV19" i="31" s="1"/>
  <c r="IC19" i="31"/>
  <c r="ID19" i="31" s="1"/>
  <c r="IF19" i="31" s="1"/>
  <c r="KH19" i="31" s="1"/>
  <c r="JB19" i="31"/>
  <c r="EU20" i="31" l="1"/>
  <c r="KB19" i="31"/>
  <c r="IX19" i="31"/>
  <c r="KK19" i="31"/>
  <c r="DB19" i="31"/>
  <c r="DC19" i="31" s="1"/>
  <c r="DD20" i="31" s="1"/>
  <c r="DE21" i="31" s="1"/>
  <c r="GM19" i="31"/>
  <c r="IM19" i="31"/>
  <c r="DT19" i="31" s="1"/>
  <c r="DZ19" i="31" s="1"/>
  <c r="KI20" i="31"/>
  <c r="IN19" i="31"/>
  <c r="DF19" i="31"/>
  <c r="BC20" i="31"/>
  <c r="GR19" i="31" l="1"/>
  <c r="KJ20" i="31"/>
  <c r="GT21" i="31"/>
  <c r="BD20" i="31"/>
  <c r="BE20" i="31"/>
  <c r="GU19" i="31"/>
  <c r="FD19" i="31"/>
  <c r="GV19" i="31"/>
  <c r="BG20" i="31" l="1"/>
  <c r="BF20" i="31"/>
  <c r="IS19" i="31"/>
  <c r="FL20" i="31"/>
  <c r="GS19" i="31"/>
  <c r="JH19" i="31" l="1"/>
  <c r="JI19" i="31" s="1"/>
  <c r="IT19" i="31"/>
  <c r="GY19" i="31"/>
  <c r="GX19" i="31"/>
  <c r="GW19" i="31"/>
  <c r="HC19" i="31" s="1"/>
  <c r="FA20" i="31" s="1"/>
  <c r="HB20" i="31" s="1"/>
  <c r="FM20" i="31"/>
  <c r="BI20" i="31"/>
  <c r="BK20" i="31" s="1"/>
  <c r="BH20" i="31"/>
  <c r="BJ20" i="31" l="1"/>
  <c r="EY19" i="31"/>
  <c r="EG19" i="31"/>
  <c r="EH20" i="31" s="1"/>
  <c r="EI20" i="31" s="1"/>
  <c r="FK20" i="31" s="1"/>
  <c r="HM19" i="31"/>
  <c r="HK20" i="31"/>
  <c r="BL20" i="31"/>
  <c r="BM20" i="31"/>
  <c r="JK19" i="31"/>
  <c r="JN19" i="31" s="1"/>
  <c r="JV19" i="31" s="1"/>
  <c r="JF20" i="31" s="1"/>
  <c r="JY20" i="31" l="1"/>
  <c r="JW20" i="31"/>
  <c r="JM19" i="31"/>
  <c r="KD19" i="31" s="1"/>
  <c r="IL20" i="31" s="1"/>
  <c r="EJ19" i="31"/>
  <c r="EK20" i="31" s="1"/>
  <c r="EE19" i="31"/>
  <c r="EF20" i="31" s="1"/>
  <c r="ED19" i="31"/>
  <c r="EB20" i="31" s="1"/>
  <c r="JZ19" i="31"/>
  <c r="KF19" i="31" s="1"/>
  <c r="IQ20" i="31" s="1"/>
  <c r="JL19" i="31"/>
  <c r="JJ20" i="31" s="1"/>
  <c r="KA20" i="31"/>
  <c r="BN20" i="31"/>
  <c r="BO20" i="31"/>
  <c r="BP20" i="31" s="1"/>
  <c r="BQ20" i="31" s="1"/>
  <c r="EZ19" i="31"/>
  <c r="DG19" i="31"/>
  <c r="DH19" i="31" s="1"/>
  <c r="DI20" i="31" s="1"/>
  <c r="BR20" i="31" l="1"/>
  <c r="BS20" i="31"/>
  <c r="JC20" i="31"/>
  <c r="JD20" i="31"/>
  <c r="DJ20" i="31"/>
  <c r="DK20" i="31" s="1"/>
  <c r="GZ20" i="31"/>
  <c r="IE20" i="31" s="1"/>
  <c r="IR20" i="31"/>
  <c r="IO20" i="31"/>
  <c r="IP20" i="31"/>
  <c r="HZ20" i="31"/>
  <c r="EL20" i="31"/>
  <c r="FC20" i="31"/>
  <c r="EP20" i="31"/>
  <c r="ET21" i="31" s="1"/>
  <c r="EO20" i="31"/>
  <c r="ES21" i="31" s="1"/>
  <c r="EV20" i="31"/>
  <c r="DP20" i="31"/>
  <c r="JA20" i="31"/>
  <c r="IY20" i="31"/>
  <c r="JE20" i="31"/>
  <c r="JO20" i="31"/>
  <c r="JX20" i="31" l="1"/>
  <c r="JP20" i="31"/>
  <c r="JQ20" i="31" s="1"/>
  <c r="EC20" i="31"/>
  <c r="DM20" i="31"/>
  <c r="FQ20" i="31"/>
  <c r="DX20" i="31"/>
  <c r="BT20" i="31"/>
  <c r="BU20" i="31"/>
  <c r="BW20" i="31" s="1"/>
  <c r="KG20" i="31"/>
  <c r="BV20" i="31" l="1"/>
  <c r="DL20" i="31"/>
  <c r="L21" i="31"/>
  <c r="EX20" i="31"/>
  <c r="M20" i="31" s="1"/>
  <c r="FB20" i="31"/>
  <c r="BX20" i="31"/>
  <c r="BY20" i="31"/>
  <c r="BZ20" i="31" l="1"/>
  <c r="CA20" i="31"/>
  <c r="CC20" i="31" s="1"/>
  <c r="MJ20" i="31"/>
  <c r="NS20" i="31" s="1"/>
  <c r="MB20" i="31"/>
  <c r="NM20" i="31" l="1"/>
  <c r="NN20" i="31" s="1"/>
  <c r="CD20" i="31"/>
  <c r="CE20" i="31"/>
  <c r="NT20" i="31"/>
  <c r="OU21" i="31"/>
  <c r="CB20" i="31"/>
  <c r="OV21" i="31" l="1"/>
  <c r="NW20" i="31"/>
  <c r="NX20" i="31" s="1"/>
  <c r="NY20" i="31" s="1"/>
  <c r="CF20" i="31"/>
  <c r="CG20" i="31"/>
  <c r="CI20" i="31" s="1"/>
  <c r="CX20" i="31"/>
  <c r="FV20" i="31"/>
  <c r="FR20" i="31"/>
  <c r="NU20" i="31"/>
  <c r="OF20" i="31" l="1"/>
  <c r="OS21" i="31" s="1"/>
  <c r="CH20" i="31"/>
  <c r="OB20" i="31"/>
  <c r="OT21" i="31" s="1"/>
  <c r="MY20" i="31"/>
  <c r="NZ20" i="31"/>
  <c r="OA20" i="31" s="1"/>
  <c r="MV21" i="31" s="1"/>
  <c r="OG21" i="31" s="1"/>
  <c r="CY21" i="31"/>
  <c r="CJ20" i="31"/>
  <c r="CO20" i="31" s="1"/>
  <c r="CK20" i="31"/>
  <c r="NV20" i="31"/>
  <c r="OM21" i="31" l="1"/>
  <c r="OO21" i="31"/>
  <c r="KT21" i="31" s="1"/>
  <c r="NF21" i="31"/>
  <c r="MZ21" i="31"/>
  <c r="OZ20" i="31"/>
  <c r="PA20" i="31"/>
  <c r="OC20" i="31"/>
  <c r="OD21" i="31" s="1"/>
  <c r="OH21" i="31" s="1"/>
  <c r="OK21" i="31" s="1"/>
  <c r="CL20" i="31"/>
  <c r="CM20" i="31"/>
  <c r="CN20" i="31" s="1"/>
  <c r="OJ20" i="31"/>
  <c r="OI20" i="31"/>
  <c r="MR21" i="31" l="1"/>
  <c r="OX21" i="31"/>
  <c r="OW20" i="31"/>
  <c r="OY21" i="31"/>
  <c r="MW21" i="31"/>
  <c r="CP20" i="31"/>
  <c r="KM21" i="31"/>
  <c r="KO22" i="31" s="1"/>
  <c r="KL21" i="31"/>
  <c r="KN22" i="31" s="1"/>
  <c r="FE20" i="31" l="1"/>
  <c r="FF20" i="31" s="1"/>
  <c r="DQ20" i="31"/>
  <c r="DR20" i="31" s="1"/>
  <c r="FX20" i="31"/>
  <c r="FY20" i="31" s="1"/>
  <c r="FH20" i="31"/>
  <c r="FI20" i="31" s="1"/>
  <c r="JR20" i="31"/>
  <c r="JS20" i="31" s="1"/>
  <c r="GB20" i="31"/>
  <c r="GC20" i="31" s="1"/>
  <c r="FZ20" i="31"/>
  <c r="GA20" i="31" s="1"/>
  <c r="FU20" i="31"/>
  <c r="FW20" i="31" s="1"/>
  <c r="HO20" i="31"/>
  <c r="GO20" i="31"/>
  <c r="FP20" i="31"/>
  <c r="FS20" i="31" s="1"/>
  <c r="CQ20" i="31"/>
  <c r="KX20" i="31"/>
  <c r="KU20" i="31"/>
  <c r="KP22" i="31"/>
  <c r="KR21" i="31"/>
  <c r="MX21" i="31"/>
  <c r="KQ21" i="31"/>
  <c r="MS21" i="31"/>
  <c r="GN20" i="31" l="1"/>
  <c r="GQ20" i="31" s="1"/>
  <c r="KC20" i="31"/>
  <c r="JU20" i="31"/>
  <c r="JT21" i="31"/>
  <c r="KE20" i="31"/>
  <c r="CS20" i="31"/>
  <c r="CT20" i="31"/>
  <c r="CR20" i="31"/>
  <c r="HU20" i="31"/>
  <c r="HV21" i="31" s="1"/>
  <c r="FJ21" i="31"/>
  <c r="NB21" i="31"/>
  <c r="NA21" i="31"/>
  <c r="DY20" i="31"/>
  <c r="HY20" i="31"/>
  <c r="HA20" i="31"/>
  <c r="DS20" i="31"/>
  <c r="NQ21" i="31"/>
  <c r="NJ21" i="31"/>
  <c r="MT21" i="31"/>
  <c r="MU21" i="31"/>
  <c r="MO21" i="31"/>
  <c r="NH22" i="31"/>
  <c r="NI22" i="31" s="1"/>
  <c r="NP21" i="31"/>
  <c r="PE21" i="31"/>
  <c r="KS21" i="31"/>
  <c r="IA20" i="31"/>
  <c r="IB20" i="31" s="1"/>
  <c r="HP20" i="31"/>
  <c r="IZ20" i="31"/>
  <c r="HW20" i="31"/>
  <c r="HX21" i="31" s="1"/>
  <c r="FG21" i="31"/>
  <c r="KV20" i="31" l="1"/>
  <c r="KW21" i="31" s="1"/>
  <c r="HQ20" i="31"/>
  <c r="HR21" i="31" s="1"/>
  <c r="NR21" i="31"/>
  <c r="HS20" i="31"/>
  <c r="JG20" i="31" s="1"/>
  <c r="HT20" i="31"/>
  <c r="AX20" i="31"/>
  <c r="AY21" i="31" s="1"/>
  <c r="EN20" i="31"/>
  <c r="EM20" i="31"/>
  <c r="EW20" i="31" s="1"/>
  <c r="AZ20" i="31"/>
  <c r="NL21" i="31"/>
  <c r="NK21" i="31"/>
  <c r="NG22" i="31"/>
  <c r="OQ22" i="31"/>
  <c r="IC20" i="31" l="1"/>
  <c r="ID20" i="31" s="1"/>
  <c r="IF20" i="31" s="1"/>
  <c r="KH20" i="31" s="1"/>
  <c r="JB20" i="31"/>
  <c r="OR22" i="31"/>
  <c r="BB21" i="31"/>
  <c r="DW20" i="31"/>
  <c r="DU21" i="31" s="1"/>
  <c r="IW20" i="31"/>
  <c r="EQ20" i="31"/>
  <c r="ER21" i="31"/>
  <c r="IU20" i="31"/>
  <c r="IV20" i="31" s="1"/>
  <c r="NC22" i="31"/>
  <c r="MQ22" i="31"/>
  <c r="EU21" i="31" l="1"/>
  <c r="BC21" i="31"/>
  <c r="KK20" i="31"/>
  <c r="KB20" i="31"/>
  <c r="IX20" i="31"/>
  <c r="DB20" i="31"/>
  <c r="DC20" i="31" s="1"/>
  <c r="DD21" i="31" s="1"/>
  <c r="DE22" i="31" s="1"/>
  <c r="IM20" i="31"/>
  <c r="GM20" i="31"/>
  <c r="KI21" i="31"/>
  <c r="IN20" i="31"/>
  <c r="DF20" i="31"/>
  <c r="DT20" i="31" l="1"/>
  <c r="DZ20" i="31" s="1"/>
  <c r="FD20" i="31"/>
  <c r="GU20" i="31"/>
  <c r="GV20" i="31"/>
  <c r="BE21" i="31"/>
  <c r="BD21" i="31"/>
  <c r="KJ21" i="31"/>
  <c r="GT22" i="31"/>
  <c r="GR20" i="31"/>
  <c r="GS20" i="31" l="1"/>
  <c r="IS20" i="31"/>
  <c r="FL21" i="31"/>
  <c r="BF21" i="31"/>
  <c r="BG21" i="31"/>
  <c r="JH20" i="31" l="1"/>
  <c r="JI20" i="31" s="1"/>
  <c r="IT20" i="31"/>
  <c r="FM21" i="31"/>
  <c r="BH21" i="31"/>
  <c r="BI21" i="31"/>
  <c r="BK21" i="31" s="1"/>
  <c r="GY20" i="31"/>
  <c r="GX20" i="31"/>
  <c r="GW20" i="31"/>
  <c r="HC20" i="31" s="1"/>
  <c r="FA21" i="31" s="1"/>
  <c r="HB21" i="31" s="1"/>
  <c r="BL21" i="31" l="1"/>
  <c r="BM21" i="31"/>
  <c r="BJ21" i="31"/>
  <c r="EY20" i="31"/>
  <c r="EG20" i="31"/>
  <c r="EH21" i="31" s="1"/>
  <c r="EI21" i="31" s="1"/>
  <c r="FK21" i="31" s="1"/>
  <c r="HM20" i="31"/>
  <c r="HK21" i="31"/>
  <c r="JK20" i="31"/>
  <c r="JZ20" i="31" s="1"/>
  <c r="KF20" i="31" s="1"/>
  <c r="IQ21" i="31" s="1"/>
  <c r="JM20" i="31" l="1"/>
  <c r="KD20" i="31" s="1"/>
  <c r="IL21" i="31" s="1"/>
  <c r="JE21" i="31" s="1"/>
  <c r="EZ20" i="31"/>
  <c r="DG20" i="31"/>
  <c r="DH20" i="31" s="1"/>
  <c r="DI21" i="31" s="1"/>
  <c r="JN20" i="31"/>
  <c r="JV20" i="31" s="1"/>
  <c r="JF21" i="31" s="1"/>
  <c r="JL20" i="31"/>
  <c r="JJ21" i="31" s="1"/>
  <c r="KA21" i="31"/>
  <c r="BN21" i="31"/>
  <c r="BO21" i="31"/>
  <c r="EJ20" i="31"/>
  <c r="EK21" i="31" s="1"/>
  <c r="ED20" i="31"/>
  <c r="EB21" i="31" s="1"/>
  <c r="IY21" i="31" s="1"/>
  <c r="EE20" i="31"/>
  <c r="EF21" i="31" s="1"/>
  <c r="IO21" i="31" l="1"/>
  <c r="JP21" i="31" s="1"/>
  <c r="JQ21" i="31" s="1"/>
  <c r="IR21" i="31"/>
  <c r="JO21" i="31"/>
  <c r="BP21" i="31"/>
  <c r="BQ21" i="31" s="1"/>
  <c r="HZ21" i="31"/>
  <c r="JA21" i="31"/>
  <c r="DJ21" i="31"/>
  <c r="DK21" i="31" s="1"/>
  <c r="GZ21" i="31"/>
  <c r="IE21" i="31" s="1"/>
  <c r="JW21" i="31"/>
  <c r="JY21" i="31"/>
  <c r="DP21" i="31"/>
  <c r="EP21" i="31"/>
  <c r="ET22" i="31" s="1"/>
  <c r="EL21" i="31"/>
  <c r="JX21" i="31" s="1"/>
  <c r="FC21" i="31"/>
  <c r="EO21" i="31"/>
  <c r="ES22" i="31" s="1"/>
  <c r="EV21" i="31"/>
  <c r="JC21" i="31"/>
  <c r="JD21" i="31"/>
  <c r="IP21" i="31"/>
  <c r="KG21" i="31" l="1"/>
  <c r="BR21" i="31"/>
  <c r="BS21" i="31"/>
  <c r="DM21" i="31"/>
  <c r="FQ21" i="31"/>
  <c r="DX21" i="31"/>
  <c r="EC21" i="31"/>
  <c r="DL21" i="31" l="1"/>
  <c r="L22" i="31"/>
  <c r="BT21" i="31"/>
  <c r="BU21" i="31"/>
  <c r="BW21" i="31" s="1"/>
  <c r="FB21" i="31"/>
  <c r="EX21" i="31"/>
  <c r="M21" i="31" s="1"/>
  <c r="BY21" i="31" l="1"/>
  <c r="BX21" i="31"/>
  <c r="BV21" i="31"/>
  <c r="MJ21" i="31"/>
  <c r="NS21" i="31" s="1"/>
  <c r="MB21" i="31"/>
  <c r="NM21" i="31" l="1"/>
  <c r="NN21" i="31" s="1"/>
  <c r="NT21" i="31"/>
  <c r="OU22" i="31"/>
  <c r="BZ21" i="31"/>
  <c r="CA21" i="31"/>
  <c r="CC21" i="31" s="1"/>
  <c r="OV22" i="31" l="1"/>
  <c r="NW21" i="31"/>
  <c r="NX21" i="31" s="1"/>
  <c r="OF21" i="31" s="1"/>
  <c r="OS22" i="31" s="1"/>
  <c r="CB21" i="31"/>
  <c r="CD21" i="31"/>
  <c r="CE21" i="31"/>
  <c r="FV21" i="31"/>
  <c r="FR21" i="31"/>
  <c r="CX21" i="31"/>
  <c r="NU21" i="31"/>
  <c r="NY21" i="31" l="1"/>
  <c r="OB21" i="31" s="1"/>
  <c r="OT22" i="31" s="1"/>
  <c r="NZ21" i="31"/>
  <c r="MY21" i="31"/>
  <c r="CY22" i="31"/>
  <c r="CF21" i="31"/>
  <c r="CG21" i="31"/>
  <c r="CI21" i="31" s="1"/>
  <c r="NV21" i="31"/>
  <c r="OI21" i="31" l="1"/>
  <c r="MR22" i="31" s="1"/>
  <c r="OA21" i="31"/>
  <c r="MV22" i="31" s="1"/>
  <c r="OG22" i="31" s="1"/>
  <c r="OC21" i="31"/>
  <c r="OD22" i="31" s="1"/>
  <c r="OH22" i="31" s="1"/>
  <c r="OJ21" i="31"/>
  <c r="MW22" i="31" s="1"/>
  <c r="CH21" i="31"/>
  <c r="OM22" i="31"/>
  <c r="OO22" i="31"/>
  <c r="NF22" i="31"/>
  <c r="MZ22" i="31"/>
  <c r="OZ21" i="31"/>
  <c r="CJ21" i="31"/>
  <c r="CO21" i="31" s="1"/>
  <c r="CK21" i="31"/>
  <c r="PA21" i="31"/>
  <c r="KT22" i="31" l="1"/>
  <c r="KL22" i="31" s="1"/>
  <c r="KN23" i="31" s="1"/>
  <c r="OX22" i="31"/>
  <c r="OW21" i="31"/>
  <c r="OY22" i="31"/>
  <c r="OK22" i="31"/>
  <c r="MS22" i="31"/>
  <c r="CL21" i="31"/>
  <c r="CM21" i="31"/>
  <c r="CN21" i="31" s="1"/>
  <c r="MX22" i="31"/>
  <c r="KM22" i="31" l="1"/>
  <c r="KO23" i="31" s="1"/>
  <c r="KR22" i="31" s="1"/>
  <c r="CP21" i="31"/>
  <c r="JR21" i="31" s="1"/>
  <c r="JS21" i="31" s="1"/>
  <c r="NP22" i="31"/>
  <c r="MT22" i="31"/>
  <c r="MO22" i="31"/>
  <c r="MU22" i="31"/>
  <c r="NJ22" i="31"/>
  <c r="NH23" i="31"/>
  <c r="NI23" i="31" s="1"/>
  <c r="NQ22" i="31"/>
  <c r="PE22" i="31"/>
  <c r="NA22" i="31"/>
  <c r="NB22" i="31"/>
  <c r="KQ22" i="31"/>
  <c r="KP23" i="31" l="1"/>
  <c r="KX21" i="31"/>
  <c r="CQ21" i="31"/>
  <c r="CR21" i="31" s="1"/>
  <c r="FU21" i="31"/>
  <c r="FW21" i="31" s="1"/>
  <c r="KU21" i="31"/>
  <c r="HO21" i="31"/>
  <c r="IZ21" i="31" s="1"/>
  <c r="GO21" i="31"/>
  <c r="KS22" i="31"/>
  <c r="FX21" i="31"/>
  <c r="FY21" i="31" s="1"/>
  <c r="GB21" i="31"/>
  <c r="GC21" i="31" s="1"/>
  <c r="FZ21" i="31"/>
  <c r="GA21" i="31" s="1"/>
  <c r="FH21" i="31"/>
  <c r="FI21" i="31" s="1"/>
  <c r="HU21" i="31" s="1"/>
  <c r="HV22" i="31" s="1"/>
  <c r="FP21" i="31"/>
  <c r="FS21" i="31" s="1"/>
  <c r="DY21" i="31" s="1"/>
  <c r="DQ21" i="31"/>
  <c r="DR21" i="31" s="1"/>
  <c r="DS21" i="31" s="1"/>
  <c r="FE21" i="31"/>
  <c r="FF21" i="31" s="1"/>
  <c r="FG22" i="31" s="1"/>
  <c r="NR22" i="31"/>
  <c r="NL22" i="31"/>
  <c r="NK22" i="31"/>
  <c r="NG23" i="31"/>
  <c r="OQ23" i="31"/>
  <c r="JU21" i="31"/>
  <c r="KE21" i="31"/>
  <c r="JT22" i="31"/>
  <c r="KC21" i="31"/>
  <c r="GN21" i="31" l="1"/>
  <c r="GQ21" i="31" s="1"/>
  <c r="IA21" i="31"/>
  <c r="IB21" i="31" s="1"/>
  <c r="CT21" i="31"/>
  <c r="CS21" i="31"/>
  <c r="HP21" i="31"/>
  <c r="HT21" i="31" s="1"/>
  <c r="FJ22" i="31"/>
  <c r="HY21" i="31"/>
  <c r="HA21" i="31"/>
  <c r="HW21" i="31"/>
  <c r="HX22" i="31" s="1"/>
  <c r="NC23" i="31"/>
  <c r="MQ23" i="31"/>
  <c r="AX21" i="31"/>
  <c r="AY22" i="31" s="1"/>
  <c r="EN21" i="31"/>
  <c r="AZ21" i="31"/>
  <c r="EM21" i="31"/>
  <c r="EW21" i="31" s="1"/>
  <c r="OR23" i="31"/>
  <c r="KV21" i="31" l="1"/>
  <c r="KW22" i="31" s="1"/>
  <c r="HS21" i="31"/>
  <c r="JG21" i="31" s="1"/>
  <c r="IC21" i="31"/>
  <c r="ID21" i="31" s="1"/>
  <c r="IF21" i="31" s="1"/>
  <c r="KH21" i="31" s="1"/>
  <c r="JB21" i="31"/>
  <c r="BB22" i="31"/>
  <c r="DW21" i="31"/>
  <c r="DU22" i="31" s="1"/>
  <c r="EQ21" i="31"/>
  <c r="IW21" i="31"/>
  <c r="ER22" i="31"/>
  <c r="IU21" i="31"/>
  <c r="IV21" i="31" s="1"/>
  <c r="HQ21" i="31" l="1"/>
  <c r="HR22" i="31" s="1"/>
  <c r="BC22" i="31"/>
  <c r="KK21" i="31"/>
  <c r="KB21" i="31"/>
  <c r="IX21" i="31"/>
  <c r="GM21" i="31"/>
  <c r="IM21" i="31"/>
  <c r="DB21" i="31"/>
  <c r="DC21" i="31" s="1"/>
  <c r="DD22" i="31" s="1"/>
  <c r="DE23" i="31" s="1"/>
  <c r="KI22" i="31"/>
  <c r="KJ22" i="31" s="1"/>
  <c r="IN21" i="31"/>
  <c r="DF21" i="31"/>
  <c r="EU22" i="31"/>
  <c r="GT23" i="31" l="1"/>
  <c r="GR21" i="31"/>
  <c r="DT21" i="31"/>
  <c r="DZ21" i="31" s="1"/>
  <c r="FD21" i="31"/>
  <c r="GV21" i="31"/>
  <c r="GU21" i="31"/>
  <c r="BD22" i="31"/>
  <c r="BE22" i="31"/>
  <c r="IS21" i="31" l="1"/>
  <c r="FL22" i="31"/>
  <c r="GS21" i="31"/>
  <c r="BF22" i="31"/>
  <c r="BG22" i="31"/>
  <c r="GY21" i="31" l="1"/>
  <c r="GW21" i="31"/>
  <c r="HC21" i="31" s="1"/>
  <c r="FA22" i="31" s="1"/>
  <c r="HB22" i="31" s="1"/>
  <c r="GX21" i="31"/>
  <c r="FM22" i="31"/>
  <c r="BH22" i="31"/>
  <c r="BI22" i="31"/>
  <c r="BK22" i="31" s="1"/>
  <c r="JH21" i="31"/>
  <c r="JI21" i="31" s="1"/>
  <c r="IT21" i="31"/>
  <c r="JK21" i="31" l="1"/>
  <c r="JZ21" i="31" s="1"/>
  <c r="KF21" i="31" s="1"/>
  <c r="IQ22" i="31" s="1"/>
  <c r="HM21" i="31"/>
  <c r="EG21" i="31"/>
  <c r="EH22" i="31" s="1"/>
  <c r="EI22" i="31" s="1"/>
  <c r="FK22" i="31" s="1"/>
  <c r="EY21" i="31"/>
  <c r="HK22" i="31"/>
  <c r="BL22" i="31"/>
  <c r="BM22" i="31"/>
  <c r="BJ22" i="31"/>
  <c r="JM21" i="31" l="1"/>
  <c r="KD21" i="31" s="1"/>
  <c r="IL22" i="31" s="1"/>
  <c r="IR22" i="31" s="1"/>
  <c r="EZ21" i="31"/>
  <c r="DG21" i="31"/>
  <c r="DH21" i="31" s="1"/>
  <c r="DI22" i="31" s="1"/>
  <c r="EE21" i="31"/>
  <c r="EF22" i="31" s="1"/>
  <c r="EJ21" i="31"/>
  <c r="EK22" i="31" s="1"/>
  <c r="ED21" i="31"/>
  <c r="EB22" i="31" s="1"/>
  <c r="IY22" i="31" s="1"/>
  <c r="BN22" i="31"/>
  <c r="BO22" i="31"/>
  <c r="JN21" i="31"/>
  <c r="JV21" i="31" s="1"/>
  <c r="JF22" i="31" s="1"/>
  <c r="JL21" i="31"/>
  <c r="JJ22" i="31" s="1"/>
  <c r="KA22" i="31"/>
  <c r="IO22" i="31" l="1"/>
  <c r="JP22" i="31" s="1"/>
  <c r="JQ22" i="31" s="1"/>
  <c r="IP22" i="31"/>
  <c r="JE22" i="31"/>
  <c r="BP22" i="31"/>
  <c r="BQ22" i="31" s="1"/>
  <c r="JY22" i="31"/>
  <c r="JW22" i="31"/>
  <c r="EO22" i="31"/>
  <c r="ES23" i="31" s="1"/>
  <c r="FC22" i="31"/>
  <c r="EP22" i="31"/>
  <c r="ET23" i="31" s="1"/>
  <c r="EL22" i="31"/>
  <c r="EV22" i="31"/>
  <c r="JC22" i="31"/>
  <c r="JD22" i="31"/>
  <c r="HZ22" i="31"/>
  <c r="GZ22" i="31"/>
  <c r="IE22" i="31" s="1"/>
  <c r="DJ22" i="31"/>
  <c r="DK22" i="31" s="1"/>
  <c r="JO22" i="31"/>
  <c r="DP22" i="31"/>
  <c r="JA22" i="31"/>
  <c r="JX22" i="31" l="1"/>
  <c r="KG22" i="31"/>
  <c r="BR22" i="31"/>
  <c r="BS22" i="31"/>
  <c r="EC22" i="31"/>
  <c r="DX22" i="31"/>
  <c r="DM22" i="31"/>
  <c r="FQ22" i="31"/>
  <c r="DL22" i="31" l="1"/>
  <c r="L23" i="31"/>
  <c r="FB22" i="31"/>
  <c r="EX22" i="31"/>
  <c r="M22" i="31" s="1"/>
  <c r="BT22" i="31"/>
  <c r="BU22" i="31"/>
  <c r="BW22" i="31" s="1"/>
  <c r="BV22" i="31" l="1"/>
  <c r="BX22" i="31"/>
  <c r="BY22" i="31"/>
  <c r="MB22" i="31"/>
  <c r="MJ22" i="31"/>
  <c r="NS22" i="31" s="1"/>
  <c r="NM22" i="31" l="1"/>
  <c r="NN22" i="31" s="1"/>
  <c r="BZ22" i="31"/>
  <c r="CA22" i="31"/>
  <c r="CC22" i="31" s="1"/>
  <c r="NT22" i="31"/>
  <c r="OU23" i="31"/>
  <c r="OV23" i="31" l="1"/>
  <c r="NW22" i="31"/>
  <c r="NX22" i="31" s="1"/>
  <c r="OF22" i="31" s="1"/>
  <c r="OS23" i="31" s="1"/>
  <c r="CD22" i="31"/>
  <c r="CE22" i="31"/>
  <c r="CB22" i="31"/>
  <c r="FV22" i="31"/>
  <c r="FR22" i="31"/>
  <c r="CX22" i="31"/>
  <c r="NU22" i="31"/>
  <c r="NY22" i="31" l="1"/>
  <c r="OB22" i="31" s="1"/>
  <c r="OT23" i="31" s="1"/>
  <c r="NV22" i="31"/>
  <c r="CF22" i="31"/>
  <c r="CG22" i="31"/>
  <c r="CI22" i="31" s="1"/>
  <c r="NZ22" i="31"/>
  <c r="MY22" i="31"/>
  <c r="CY23" i="31"/>
  <c r="OA22" i="31" l="1"/>
  <c r="MV23" i="31" s="1"/>
  <c r="OG23" i="31" s="1"/>
  <c r="MZ23" i="31"/>
  <c r="OZ22" i="31"/>
  <c r="CJ22" i="31"/>
  <c r="CO22" i="31" s="1"/>
  <c r="CK22" i="31"/>
  <c r="OM23" i="31"/>
  <c r="NF23" i="31"/>
  <c r="OO23" i="31"/>
  <c r="OJ22" i="31"/>
  <c r="OC22" i="31"/>
  <c r="OD23" i="31" s="1"/>
  <c r="OH23" i="31" s="1"/>
  <c r="PA22" i="31"/>
  <c r="OI22" i="31"/>
  <c r="CH22" i="31"/>
  <c r="KT23" i="31" l="1"/>
  <c r="KL23" i="31" s="1"/>
  <c r="KN24" i="31" s="1"/>
  <c r="CL22" i="31"/>
  <c r="CM22" i="31"/>
  <c r="CN22" i="31" s="1"/>
  <c r="OW22" i="31"/>
  <c r="OX23" i="31"/>
  <c r="MR23" i="31"/>
  <c r="OY23" i="31"/>
  <c r="MW23" i="31"/>
  <c r="OK23" i="31"/>
  <c r="KM23" i="31" l="1"/>
  <c r="KO24" i="31" s="1"/>
  <c r="KR23" i="31" s="1"/>
  <c r="MS23" i="31"/>
  <c r="CP22" i="31"/>
  <c r="MX23" i="31"/>
  <c r="KQ23" i="31"/>
  <c r="KP24" i="31" l="1"/>
  <c r="KS23" i="31"/>
  <c r="JR22" i="31"/>
  <c r="JS22" i="31" s="1"/>
  <c r="DQ22" i="31"/>
  <c r="DR22" i="31" s="1"/>
  <c r="GO22" i="31"/>
  <c r="CQ22" i="31"/>
  <c r="HO22" i="31"/>
  <c r="FX22" i="31"/>
  <c r="FY22" i="31" s="1"/>
  <c r="FZ22" i="31"/>
  <c r="GA22" i="31" s="1"/>
  <c r="GB22" i="31"/>
  <c r="GC22" i="31" s="1"/>
  <c r="FP22" i="31"/>
  <c r="FS22" i="31" s="1"/>
  <c r="FU22" i="31"/>
  <c r="FW22" i="31" s="1"/>
  <c r="FH22" i="31"/>
  <c r="FI22" i="31" s="1"/>
  <c r="FE22" i="31"/>
  <c r="FF22" i="31" s="1"/>
  <c r="KX22" i="31"/>
  <c r="KU22" i="31"/>
  <c r="NQ23" i="31"/>
  <c r="NP23" i="31"/>
  <c r="MU23" i="31"/>
  <c r="MT23" i="31"/>
  <c r="NJ23" i="31"/>
  <c r="NH24" i="31"/>
  <c r="NI24" i="31" s="1"/>
  <c r="MO23" i="31"/>
  <c r="PE23" i="31"/>
  <c r="NA23" i="31"/>
  <c r="NB23" i="31"/>
  <c r="GN22" i="31" l="1"/>
  <c r="GQ22" i="31" s="1"/>
  <c r="NR23" i="31"/>
  <c r="HP22" i="31"/>
  <c r="IA22" i="31"/>
  <c r="IB22" i="31" s="1"/>
  <c r="IZ22" i="31"/>
  <c r="FG23" i="31"/>
  <c r="HW22" i="31"/>
  <c r="HX23" i="31" s="1"/>
  <c r="CT22" i="31"/>
  <c r="CR22" i="31"/>
  <c r="CS22" i="31"/>
  <c r="NL23" i="31"/>
  <c r="NK23" i="31"/>
  <c r="NG24" i="31"/>
  <c r="OQ24" i="31"/>
  <c r="HU22" i="31"/>
  <c r="HV23" i="31" s="1"/>
  <c r="FJ23" i="31"/>
  <c r="DS22" i="31"/>
  <c r="HY22" i="31"/>
  <c r="DY22" i="31"/>
  <c r="HA22" i="31"/>
  <c r="KE22" i="31"/>
  <c r="JU22" i="31"/>
  <c r="JT23" i="31"/>
  <c r="KC22" i="31"/>
  <c r="KV22" i="31" l="1"/>
  <c r="KW23" i="31" s="1"/>
  <c r="AX22" i="31"/>
  <c r="AY23" i="31" s="1"/>
  <c r="AZ22" i="31"/>
  <c r="EN22" i="31"/>
  <c r="EM22" i="31"/>
  <c r="EW22" i="31" s="1"/>
  <c r="NC24" i="31"/>
  <c r="MQ24" i="31"/>
  <c r="HT22" i="31"/>
  <c r="HS22" i="31"/>
  <c r="JG22" i="31" s="1"/>
  <c r="OR24" i="31"/>
  <c r="HQ22" i="31" l="1"/>
  <c r="HR23" i="31" s="1"/>
  <c r="BB23" i="31"/>
  <c r="IW22" i="31"/>
  <c r="EQ22" i="31"/>
  <c r="DW22" i="31"/>
  <c r="DU23" i="31" s="1"/>
  <c r="ER23" i="31"/>
  <c r="IU22" i="31"/>
  <c r="IV22" i="31" s="1"/>
  <c r="IC22" i="31"/>
  <c r="ID22" i="31" s="1"/>
  <c r="IF22" i="31" s="1"/>
  <c r="KH22" i="31" s="1"/>
  <c r="JB22" i="31"/>
  <c r="KK22" i="31" l="1"/>
  <c r="KB22" i="31"/>
  <c r="IX22" i="31"/>
  <c r="EU23" i="31"/>
  <c r="KI23" i="31"/>
  <c r="IM22" i="31"/>
  <c r="GM22" i="31"/>
  <c r="DB22" i="31"/>
  <c r="DC22" i="31" s="1"/>
  <c r="DD23" i="31" s="1"/>
  <c r="DE24" i="31" s="1"/>
  <c r="IN22" i="31"/>
  <c r="DF22" i="31"/>
  <c r="BC23" i="31"/>
  <c r="GU22" i="31" l="1"/>
  <c r="FD22" i="31"/>
  <c r="GV22" i="31"/>
  <c r="DT22" i="31"/>
  <c r="DZ22" i="31" s="1"/>
  <c r="GT24" i="31"/>
  <c r="GR22" i="31"/>
  <c r="BD23" i="31"/>
  <c r="BE23" i="31"/>
  <c r="KJ23" i="31"/>
  <c r="BF23" i="31" l="1"/>
  <c r="BG23" i="31"/>
  <c r="IS22" i="31"/>
  <c r="FL23" i="31"/>
  <c r="GS22" i="31"/>
  <c r="FM23" i="31" l="1"/>
  <c r="JH22" i="31"/>
  <c r="JI22" i="31" s="1"/>
  <c r="IT22" i="31"/>
  <c r="BH23" i="31"/>
  <c r="BI23" i="31"/>
  <c r="BK23" i="31" s="1"/>
  <c r="GX22" i="31"/>
  <c r="GY22" i="31"/>
  <c r="GW22" i="31"/>
  <c r="HC22" i="31" s="1"/>
  <c r="FA23" i="31" s="1"/>
  <c r="HB23" i="31" s="1"/>
  <c r="BL23" i="31" l="1"/>
  <c r="BM23" i="31"/>
  <c r="EY22" i="31"/>
  <c r="EG22" i="31"/>
  <c r="EH23" i="31" s="1"/>
  <c r="EI23" i="31" s="1"/>
  <c r="FK23" i="31" s="1"/>
  <c r="HM22" i="31"/>
  <c r="HK23" i="31"/>
  <c r="JK22" i="31"/>
  <c r="JZ22" i="31" s="1"/>
  <c r="KF22" i="31" s="1"/>
  <c r="IQ23" i="31" s="1"/>
  <c r="BJ23" i="31"/>
  <c r="JM22" i="31" l="1"/>
  <c r="KD22" i="31" s="1"/>
  <c r="IL23" i="31" s="1"/>
  <c r="IR23" i="31" s="1"/>
  <c r="EZ22" i="31"/>
  <c r="DG22" i="31"/>
  <c r="DH22" i="31" s="1"/>
  <c r="DI23" i="31" s="1"/>
  <c r="EJ22" i="31"/>
  <c r="EK23" i="31" s="1"/>
  <c r="EE22" i="31"/>
  <c r="EF23" i="31" s="1"/>
  <c r="ED22" i="31"/>
  <c r="EB23" i="31" s="1"/>
  <c r="JN22" i="31"/>
  <c r="JV22" i="31" s="1"/>
  <c r="JF23" i="31" s="1"/>
  <c r="JL22" i="31"/>
  <c r="JJ23" i="31" s="1"/>
  <c r="KA23" i="31"/>
  <c r="BO23" i="31"/>
  <c r="BN23" i="31"/>
  <c r="IO23" i="31" l="1"/>
  <c r="JE23" i="31"/>
  <c r="IP23" i="31"/>
  <c r="HZ23" i="31"/>
  <c r="JY23" i="31"/>
  <c r="JW23" i="31"/>
  <c r="EL23" i="31"/>
  <c r="EO23" i="31"/>
  <c r="ES24" i="31" s="1"/>
  <c r="EP23" i="31"/>
  <c r="ET24" i="31" s="1"/>
  <c r="FC23" i="31"/>
  <c r="EV23" i="31"/>
  <c r="GZ23" i="31"/>
  <c r="IE23" i="31" s="1"/>
  <c r="DJ23" i="31"/>
  <c r="DK23" i="31" s="1"/>
  <c r="JO23" i="31"/>
  <c r="JC23" i="31"/>
  <c r="JD23" i="31"/>
  <c r="DP23" i="31"/>
  <c r="IY23" i="31"/>
  <c r="BP23" i="31"/>
  <c r="BQ23" i="31" s="1"/>
  <c r="JA23" i="31"/>
  <c r="JP23" i="31" l="1"/>
  <c r="JQ23" i="31" s="1"/>
  <c r="KG23" i="31"/>
  <c r="JX23" i="31"/>
  <c r="EC23" i="31"/>
  <c r="BR23" i="31"/>
  <c r="BS23" i="31"/>
  <c r="FQ23" i="31"/>
  <c r="DX23" i="31"/>
  <c r="DM23" i="31"/>
  <c r="BT23" i="31" l="1"/>
  <c r="BU23" i="31"/>
  <c r="BW23" i="31" s="1"/>
  <c r="EX23" i="31"/>
  <c r="M23" i="31" s="1"/>
  <c r="FB23" i="31"/>
  <c r="DL23" i="31"/>
  <c r="L24" i="31"/>
  <c r="BV23" i="31" l="1"/>
  <c r="BX23" i="31"/>
  <c r="BY23" i="31"/>
  <c r="MB23" i="31"/>
  <c r="MJ23" i="31"/>
  <c r="NS23" i="31" s="1"/>
  <c r="NM23" i="31" l="1"/>
  <c r="NN23" i="31" s="1"/>
  <c r="NT23" i="31"/>
  <c r="OU24" i="31"/>
  <c r="BZ23" i="31"/>
  <c r="CA23" i="31"/>
  <c r="CC23" i="31" s="1"/>
  <c r="OV24" i="31" l="1"/>
  <c r="NW23" i="31"/>
  <c r="NX23" i="31" s="1"/>
  <c r="CB23" i="31"/>
  <c r="CD23" i="31"/>
  <c r="CE23" i="31"/>
  <c r="CX23" i="31"/>
  <c r="FV23" i="31"/>
  <c r="FR23" i="31"/>
  <c r="NU23" i="31"/>
  <c r="NV23" i="31" l="1"/>
  <c r="CF23" i="31"/>
  <c r="CG23" i="31"/>
  <c r="CI23" i="31" s="1"/>
  <c r="NY23" i="31"/>
  <c r="MY23" i="31"/>
  <c r="NZ23" i="31"/>
  <c r="CY24" i="31"/>
  <c r="OF23" i="31"/>
  <c r="OS24" i="31" s="1"/>
  <c r="CJ23" i="31" l="1"/>
  <c r="CO23" i="31" s="1"/>
  <c r="CK23" i="31"/>
  <c r="OB23" i="31"/>
  <c r="OT24" i="31" s="1"/>
  <c r="MZ24" i="31"/>
  <c r="OZ23" i="31"/>
  <c r="OM24" i="31"/>
  <c r="NF24" i="31"/>
  <c r="OO24" i="31"/>
  <c r="OA23" i="31"/>
  <c r="MV24" i="31" s="1"/>
  <c r="OI23" i="31"/>
  <c r="CH23" i="31"/>
  <c r="PA23" i="31" l="1"/>
  <c r="OJ23" i="31"/>
  <c r="OC23" i="31"/>
  <c r="OD24" i="31" s="1"/>
  <c r="OH24" i="31" s="1"/>
  <c r="OG24" i="31"/>
  <c r="KT24" i="31"/>
  <c r="CL23" i="31"/>
  <c r="CM23" i="31"/>
  <c r="CN23" i="31" s="1"/>
  <c r="OX24" i="31"/>
  <c r="OW23" i="31"/>
  <c r="MR24" i="31"/>
  <c r="KL24" i="31" l="1"/>
  <c r="KN25" i="31" s="1"/>
  <c r="KM24" i="31"/>
  <c r="KO25" i="31" s="1"/>
  <c r="CP23" i="31"/>
  <c r="OK24" i="31"/>
  <c r="MS24" i="31"/>
  <c r="OY24" i="31"/>
  <c r="MW24" i="31"/>
  <c r="NP24" i="31" l="1"/>
  <c r="NJ24" i="31"/>
  <c r="NH25" i="31"/>
  <c r="NI25" i="31" s="1"/>
  <c r="MO24" i="31"/>
  <c r="MT24" i="31"/>
  <c r="NQ24" i="31"/>
  <c r="MU24" i="31"/>
  <c r="PE24" i="31"/>
  <c r="GB23" i="31"/>
  <c r="GC23" i="31" s="1"/>
  <c r="FU23" i="31"/>
  <c r="FW23" i="31" s="1"/>
  <c r="JR23" i="31"/>
  <c r="JS23" i="31" s="1"/>
  <c r="GO23" i="31"/>
  <c r="FP23" i="31"/>
  <c r="FS23" i="31" s="1"/>
  <c r="HO23" i="31"/>
  <c r="FX23" i="31"/>
  <c r="FY23" i="31" s="1"/>
  <c r="FE23" i="31"/>
  <c r="FF23" i="31" s="1"/>
  <c r="FH23" i="31"/>
  <c r="FI23" i="31" s="1"/>
  <c r="DQ23" i="31"/>
  <c r="DR23" i="31" s="1"/>
  <c r="FZ23" i="31"/>
  <c r="GA23" i="31" s="1"/>
  <c r="CQ23" i="31"/>
  <c r="KX23" i="31"/>
  <c r="KU23" i="31"/>
  <c r="KP25" i="31"/>
  <c r="KR24" i="31"/>
  <c r="MX24" i="31"/>
  <c r="KQ24" i="31"/>
  <c r="GN23" i="31" l="1"/>
  <c r="KV23" i="31" s="1"/>
  <c r="NR24" i="31"/>
  <c r="KS24" i="31"/>
  <c r="DY23" i="31"/>
  <c r="HA23" i="31"/>
  <c r="HY23" i="31"/>
  <c r="CR23" i="31"/>
  <c r="CT23" i="31"/>
  <c r="CS23" i="31"/>
  <c r="JU23" i="31"/>
  <c r="KE23" i="31"/>
  <c r="JT24" i="31"/>
  <c r="KC23" i="31"/>
  <c r="DS23" i="31"/>
  <c r="NL24" i="31"/>
  <c r="NK24" i="31"/>
  <c r="NG25" i="31"/>
  <c r="OQ25" i="31"/>
  <c r="HP23" i="31"/>
  <c r="IA23" i="31"/>
  <c r="IB23" i="31" s="1"/>
  <c r="IZ23" i="31"/>
  <c r="HU23" i="31"/>
  <c r="HV24" i="31" s="1"/>
  <c r="FJ24" i="31"/>
  <c r="NB24" i="31"/>
  <c r="NA24" i="31"/>
  <c r="FG24" i="31"/>
  <c r="HW23" i="31"/>
  <c r="HX24" i="31" s="1"/>
  <c r="GQ23" i="31" l="1"/>
  <c r="KW24" i="31"/>
  <c r="HQ23" i="31"/>
  <c r="HR24" i="31" s="1"/>
  <c r="HT23" i="31"/>
  <c r="HS23" i="31"/>
  <c r="JG23" i="31" s="1"/>
  <c r="OR25" i="31"/>
  <c r="NC25" i="31"/>
  <c r="MQ25" i="31"/>
  <c r="AX23" i="31"/>
  <c r="AY24" i="31" s="1"/>
  <c r="EM23" i="31"/>
  <c r="EW23" i="31" s="1"/>
  <c r="AZ23" i="31"/>
  <c r="EN23" i="31"/>
  <c r="BB24" i="31" l="1"/>
  <c r="IW23" i="31"/>
  <c r="EQ23" i="31"/>
  <c r="DW23" i="31"/>
  <c r="DU24" i="31" s="1"/>
  <c r="ER24" i="31"/>
  <c r="IU23" i="31"/>
  <c r="IV23" i="31" s="1"/>
  <c r="IC23" i="31"/>
  <c r="ID23" i="31" s="1"/>
  <c r="IF23" i="31" s="1"/>
  <c r="KH23" i="31" s="1"/>
  <c r="JB23" i="31"/>
  <c r="KB23" i="31" l="1"/>
  <c r="IX23" i="31"/>
  <c r="KK23" i="31"/>
  <c r="IM23" i="31"/>
  <c r="DT23" i="31" s="1"/>
  <c r="DZ23" i="31" s="1"/>
  <c r="DB23" i="31"/>
  <c r="DC23" i="31" s="1"/>
  <c r="DD24" i="31" s="1"/>
  <c r="DE25" i="31" s="1"/>
  <c r="GM23" i="31"/>
  <c r="KI24" i="31"/>
  <c r="IN23" i="31"/>
  <c r="DF23" i="31"/>
  <c r="EU24" i="31"/>
  <c r="BC24" i="31"/>
  <c r="GT25" i="31" l="1"/>
  <c r="GR23" i="31"/>
  <c r="GV23" i="31"/>
  <c r="FD23" i="31"/>
  <c r="GU23" i="31"/>
  <c r="BD24" i="31"/>
  <c r="BE24" i="31"/>
  <c r="KJ24" i="31"/>
  <c r="IS23" i="31" l="1"/>
  <c r="FL24" i="31"/>
  <c r="GS23" i="31"/>
  <c r="BF24" i="31"/>
  <c r="BG24" i="31"/>
  <c r="BI24" i="31" l="1"/>
  <c r="BK24" i="31" s="1"/>
  <c r="BH24" i="31"/>
  <c r="GX23" i="31"/>
  <c r="GW23" i="31"/>
  <c r="HC23" i="31" s="1"/>
  <c r="FA24" i="31" s="1"/>
  <c r="HB24" i="31" s="1"/>
  <c r="GY23" i="31"/>
  <c r="FM24" i="31"/>
  <c r="JH23" i="31"/>
  <c r="JI23" i="31" s="1"/>
  <c r="IT23" i="31"/>
  <c r="BJ24" i="31" l="1"/>
  <c r="HM23" i="31"/>
  <c r="EY23" i="31"/>
  <c r="EG23" i="31"/>
  <c r="EH24" i="31" s="1"/>
  <c r="EI24" i="31" s="1"/>
  <c r="FK24" i="31" s="1"/>
  <c r="HK24" i="31"/>
  <c r="JK23" i="31"/>
  <c r="BL24" i="31"/>
  <c r="BM24" i="31"/>
  <c r="JZ23" i="31" l="1"/>
  <c r="KF23" i="31" s="1"/>
  <c r="IQ24" i="31" s="1"/>
  <c r="JL23" i="31"/>
  <c r="JJ24" i="31" s="1"/>
  <c r="KA24" i="31"/>
  <c r="JN23" i="31"/>
  <c r="JV23" i="31" s="1"/>
  <c r="JF24" i="31" s="1"/>
  <c r="BN24" i="31"/>
  <c r="BO24" i="31"/>
  <c r="EZ23" i="31"/>
  <c r="DG23" i="31"/>
  <c r="DH23" i="31" s="1"/>
  <c r="DI24" i="31" s="1"/>
  <c r="JM23" i="31"/>
  <c r="KD23" i="31" s="1"/>
  <c r="IL24" i="31" s="1"/>
  <c r="EE23" i="31"/>
  <c r="EF24" i="31" s="1"/>
  <c r="EJ23" i="31"/>
  <c r="EK24" i="31" s="1"/>
  <c r="ED23" i="31"/>
  <c r="EB24" i="31" s="1"/>
  <c r="JC24" i="31" l="1"/>
  <c r="JD24" i="31"/>
  <c r="IR24" i="31"/>
  <c r="IP24" i="31"/>
  <c r="IO24" i="31"/>
  <c r="BP24" i="31"/>
  <c r="BQ24" i="31" s="1"/>
  <c r="DP24" i="31"/>
  <c r="JW24" i="31"/>
  <c r="JY24" i="31"/>
  <c r="DJ24" i="31"/>
  <c r="DK24" i="31" s="1"/>
  <c r="GZ24" i="31"/>
  <c r="IE24" i="31" s="1"/>
  <c r="HZ24" i="31"/>
  <c r="EO24" i="31"/>
  <c r="ES25" i="31" s="1"/>
  <c r="EP24" i="31"/>
  <c r="ET25" i="31" s="1"/>
  <c r="EL24" i="31"/>
  <c r="FC24" i="31"/>
  <c r="EV24" i="31"/>
  <c r="JA24" i="31"/>
  <c r="IY24" i="31"/>
  <c r="JO24" i="31"/>
  <c r="JE24" i="31"/>
  <c r="JX24" i="31" l="1"/>
  <c r="BR24" i="31"/>
  <c r="BS24" i="31"/>
  <c r="FQ24" i="31"/>
  <c r="DM24" i="31"/>
  <c r="DX24" i="31"/>
  <c r="JP24" i="31"/>
  <c r="JQ24" i="31" s="1"/>
  <c r="KG24" i="31"/>
  <c r="EC24" i="31"/>
  <c r="DL24" i="31" l="1"/>
  <c r="L25" i="31"/>
  <c r="FB24" i="31"/>
  <c r="EX24" i="31"/>
  <c r="M24" i="31" s="1"/>
  <c r="BT24" i="31"/>
  <c r="BU24" i="31"/>
  <c r="BW24" i="31" s="1"/>
  <c r="BV24" i="31" l="1"/>
  <c r="BY24" i="31"/>
  <c r="BX24" i="31"/>
  <c r="MJ24" i="31"/>
  <c r="NS24" i="31" s="1"/>
  <c r="MB24" i="31"/>
  <c r="NM24" i="31" l="1"/>
  <c r="NN24" i="31" s="1"/>
  <c r="NT24" i="31"/>
  <c r="OU25" i="31"/>
  <c r="BZ24" i="31"/>
  <c r="CA24" i="31"/>
  <c r="CC24" i="31" s="1"/>
  <c r="OV25" i="31" l="1"/>
  <c r="NW24" i="31"/>
  <c r="NX24" i="31" s="1"/>
  <c r="OF24" i="31" s="1"/>
  <c r="OS25" i="31" s="1"/>
  <c r="CB24" i="31"/>
  <c r="FR24" i="31"/>
  <c r="FV24" i="31"/>
  <c r="CX24" i="31"/>
  <c r="NU24" i="31"/>
  <c r="CD24" i="31"/>
  <c r="CE24" i="31"/>
  <c r="NY24" i="31" l="1"/>
  <c r="OB24" i="31" s="1"/>
  <c r="OT25" i="31" s="1"/>
  <c r="NV24" i="31"/>
  <c r="MY24" i="31"/>
  <c r="NZ24" i="31"/>
  <c r="CY25" i="31"/>
  <c r="CF24" i="31"/>
  <c r="CG24" i="31"/>
  <c r="CI24" i="31" s="1"/>
  <c r="OA24" i="31" l="1"/>
  <c r="MV25" i="31" s="1"/>
  <c r="OG25" i="31" s="1"/>
  <c r="PA24" i="31"/>
  <c r="OO25" i="31"/>
  <c r="OM25" i="31"/>
  <c r="NF25" i="31"/>
  <c r="OJ24" i="31"/>
  <c r="OC24" i="31"/>
  <c r="OD25" i="31" s="1"/>
  <c r="OH25" i="31" s="1"/>
  <c r="MZ25" i="31"/>
  <c r="OZ24" i="31"/>
  <c r="OI24" i="31"/>
  <c r="CJ24" i="31"/>
  <c r="CO24" i="31" s="1"/>
  <c r="CK24" i="31"/>
  <c r="CH24" i="31"/>
  <c r="OK25" i="31" l="1"/>
  <c r="KT25" i="31"/>
  <c r="KM25" i="31" s="1"/>
  <c r="KO26" i="31" s="1"/>
  <c r="OY25" i="31"/>
  <c r="MW25" i="31"/>
  <c r="CL24" i="31"/>
  <c r="CM24" i="31"/>
  <c r="CN24" i="31" s="1"/>
  <c r="OW24" i="31"/>
  <c r="MR25" i="31"/>
  <c r="OX25" i="31"/>
  <c r="KL25" i="31"/>
  <c r="KN26" i="31" s="1"/>
  <c r="KQ25" i="31" l="1"/>
  <c r="MS25" i="31"/>
  <c r="CP24" i="31"/>
  <c r="MX25" i="31"/>
  <c r="KP26" i="31"/>
  <c r="KR25" i="31"/>
  <c r="GO24" i="31" l="1"/>
  <c r="FH24" i="31"/>
  <c r="FI24" i="31" s="1"/>
  <c r="JR24" i="31"/>
  <c r="JS24" i="31" s="1"/>
  <c r="FE24" i="31"/>
  <c r="FF24" i="31" s="1"/>
  <c r="DQ24" i="31"/>
  <c r="DR24" i="31" s="1"/>
  <c r="HO24" i="31"/>
  <c r="FZ24" i="31"/>
  <c r="GA24" i="31" s="1"/>
  <c r="FX24" i="31"/>
  <c r="FY24" i="31" s="1"/>
  <c r="FU24" i="31"/>
  <c r="FW24" i="31" s="1"/>
  <c r="FP24" i="31"/>
  <c r="FS24" i="31" s="1"/>
  <c r="CQ24" i="31"/>
  <c r="GB24" i="31"/>
  <c r="GC24" i="31" s="1"/>
  <c r="KX24" i="31"/>
  <c r="KU24" i="31"/>
  <c r="NJ25" i="31"/>
  <c r="MU25" i="31"/>
  <c r="NQ25" i="31"/>
  <c r="MO25" i="31"/>
  <c r="NP25" i="31"/>
  <c r="NH26" i="31"/>
  <c r="NI26" i="31" s="1"/>
  <c r="MT25" i="31"/>
  <c r="PE25" i="31"/>
  <c r="KS25" i="31"/>
  <c r="NB25" i="31"/>
  <c r="NA25" i="31"/>
  <c r="GN24" i="31" l="1"/>
  <c r="GQ24" i="31" s="1"/>
  <c r="NR25" i="31"/>
  <c r="NK25" i="31"/>
  <c r="NL25" i="31"/>
  <c r="NG26" i="31"/>
  <c r="OQ26" i="31"/>
  <c r="IA24" i="31"/>
  <c r="IB24" i="31" s="1"/>
  <c r="HP24" i="31"/>
  <c r="IZ24" i="31"/>
  <c r="DS24" i="31"/>
  <c r="FG25" i="31"/>
  <c r="HW24" i="31"/>
  <c r="HX25" i="31" s="1"/>
  <c r="CR24" i="31"/>
  <c r="CT24" i="31"/>
  <c r="CS24" i="31"/>
  <c r="KC24" i="31"/>
  <c r="JU24" i="31"/>
  <c r="JT25" i="31"/>
  <c r="KE24" i="31"/>
  <c r="HA24" i="31"/>
  <c r="DY24" i="31"/>
  <c r="HY24" i="31"/>
  <c r="HU24" i="31"/>
  <c r="HV25" i="31" s="1"/>
  <c r="FJ25" i="31"/>
  <c r="KV24" i="31" l="1"/>
  <c r="KW25" i="31" s="1"/>
  <c r="HQ24" i="31"/>
  <c r="HR25" i="31" s="1"/>
  <c r="AX24" i="31"/>
  <c r="AY25" i="31" s="1"/>
  <c r="EN24" i="31"/>
  <c r="AZ24" i="31"/>
  <c r="EM24" i="31"/>
  <c r="EW24" i="31" s="1"/>
  <c r="OR26" i="31"/>
  <c r="NC26" i="31"/>
  <c r="MQ26" i="31"/>
  <c r="HT24" i="31"/>
  <c r="HS24" i="31"/>
  <c r="JG24" i="31" s="1"/>
  <c r="BB25" i="31" l="1"/>
  <c r="IW24" i="31"/>
  <c r="DW24" i="31"/>
  <c r="DU25" i="31" s="1"/>
  <c r="EQ24" i="31"/>
  <c r="ER25" i="31"/>
  <c r="IU24" i="31"/>
  <c r="IV24" i="31" s="1"/>
  <c r="IC24" i="31"/>
  <c r="ID24" i="31" s="1"/>
  <c r="IF24" i="31" s="1"/>
  <c r="KH24" i="31" s="1"/>
  <c r="JB24" i="31"/>
  <c r="EU25" i="31" l="1"/>
  <c r="IX24" i="31"/>
  <c r="KK24" i="31"/>
  <c r="KB24" i="31"/>
  <c r="IM24" i="31"/>
  <c r="GM24" i="31"/>
  <c r="DB24" i="31"/>
  <c r="DC24" i="31" s="1"/>
  <c r="DD25" i="31" s="1"/>
  <c r="DE26" i="31" s="1"/>
  <c r="KI25" i="31"/>
  <c r="IN24" i="31"/>
  <c r="DF24" i="31"/>
  <c r="BC25" i="31"/>
  <c r="DT24" i="31" l="1"/>
  <c r="DZ24" i="31" s="1"/>
  <c r="KJ25" i="31"/>
  <c r="GT26" i="31"/>
  <c r="GR24" i="31"/>
  <c r="BD25" i="31"/>
  <c r="BE25" i="31"/>
  <c r="GV24" i="31"/>
  <c r="FD24" i="31"/>
  <c r="GU24" i="31"/>
  <c r="BF25" i="31" l="1"/>
  <c r="BG25" i="31"/>
  <c r="IS24" i="31"/>
  <c r="FL25" i="31"/>
  <c r="GS24" i="31"/>
  <c r="GX24" i="31" l="1"/>
  <c r="GW24" i="31"/>
  <c r="HC24" i="31" s="1"/>
  <c r="FA25" i="31" s="1"/>
  <c r="HB25" i="31" s="1"/>
  <c r="GY24" i="31"/>
  <c r="FM25" i="31"/>
  <c r="JH24" i="31"/>
  <c r="JI24" i="31" s="1"/>
  <c r="IT24" i="31"/>
  <c r="BH25" i="31"/>
  <c r="BI25" i="31"/>
  <c r="BK25" i="31" s="1"/>
  <c r="BJ25" i="31" l="1"/>
  <c r="JK24" i="31"/>
  <c r="JN24" i="31" s="1"/>
  <c r="JV24" i="31" s="1"/>
  <c r="JF25" i="31" s="1"/>
  <c r="BL25" i="31"/>
  <c r="BM25" i="31"/>
  <c r="EG24" i="31"/>
  <c r="EH25" i="31" s="1"/>
  <c r="EI25" i="31" s="1"/>
  <c r="FK25" i="31" s="1"/>
  <c r="HM24" i="31"/>
  <c r="EY24" i="31"/>
  <c r="HK25" i="31"/>
  <c r="JM24" i="31" l="1"/>
  <c r="KD24" i="31" s="1"/>
  <c r="IL25" i="31" s="1"/>
  <c r="JY25" i="31"/>
  <c r="JW25" i="31"/>
  <c r="BO25" i="31"/>
  <c r="BN25" i="31"/>
  <c r="EZ24" i="31"/>
  <c r="DG24" i="31"/>
  <c r="DH24" i="31" s="1"/>
  <c r="DI25" i="31" s="1"/>
  <c r="JZ24" i="31"/>
  <c r="KF24" i="31" s="1"/>
  <c r="IQ25" i="31" s="1"/>
  <c r="JL24" i="31"/>
  <c r="JJ25" i="31" s="1"/>
  <c r="KA25" i="31"/>
  <c r="ED24" i="31"/>
  <c r="EB25" i="31" s="1"/>
  <c r="EE24" i="31"/>
  <c r="EF25" i="31" s="1"/>
  <c r="EJ24" i="31"/>
  <c r="EK25" i="31" s="1"/>
  <c r="IP25" i="31" l="1"/>
  <c r="DP25" i="31"/>
  <c r="JO25" i="31"/>
  <c r="IY25" i="31"/>
  <c r="JA25" i="31"/>
  <c r="IR25" i="31"/>
  <c r="JE25" i="31"/>
  <c r="JC25" i="31"/>
  <c r="JD25" i="31"/>
  <c r="BP25" i="31"/>
  <c r="BQ25" i="31" s="1"/>
  <c r="GZ25" i="31"/>
  <c r="IE25" i="31" s="1"/>
  <c r="DJ25" i="31"/>
  <c r="DK25" i="31" s="1"/>
  <c r="IO25" i="31"/>
  <c r="EL25" i="31"/>
  <c r="EO25" i="31"/>
  <c r="ES26" i="31" s="1"/>
  <c r="EP25" i="31"/>
  <c r="ET26" i="31" s="1"/>
  <c r="FC25" i="31"/>
  <c r="EV25" i="31"/>
  <c r="HZ25" i="31"/>
  <c r="JP25" i="31" l="1"/>
  <c r="JQ25" i="31" s="1"/>
  <c r="BR25" i="31"/>
  <c r="BS25" i="31"/>
  <c r="EC25" i="31"/>
  <c r="JX25" i="31"/>
  <c r="DM25" i="31"/>
  <c r="DX25" i="31"/>
  <c r="FQ25" i="31"/>
  <c r="KG25" i="31"/>
  <c r="FB25" i="31" l="1"/>
  <c r="EX25" i="31"/>
  <c r="M25" i="31" s="1"/>
  <c r="BT25" i="31"/>
  <c r="BU25" i="31"/>
  <c r="BW25" i="31" s="1"/>
  <c r="DL25" i="31"/>
  <c r="L26" i="31"/>
  <c r="BX25" i="31" l="1"/>
  <c r="BY25" i="31"/>
  <c r="BV25" i="31"/>
  <c r="MJ25" i="31"/>
  <c r="NS25" i="31" s="1"/>
  <c r="MB25" i="31"/>
  <c r="NM25" i="31" l="1"/>
  <c r="NN25" i="31" s="1"/>
  <c r="NT25" i="31"/>
  <c r="OU26" i="31"/>
  <c r="BZ25" i="31"/>
  <c r="CA25" i="31"/>
  <c r="CC25" i="31" s="1"/>
  <c r="OV26" i="31" l="1"/>
  <c r="NW25" i="31"/>
  <c r="NX25" i="31" s="1"/>
  <c r="CB25" i="31"/>
  <c r="CD25" i="31"/>
  <c r="CE25" i="31"/>
  <c r="FV25" i="31"/>
  <c r="CX25" i="31"/>
  <c r="FR25" i="31"/>
  <c r="NU25" i="31"/>
  <c r="NV25" i="31" l="1"/>
  <c r="MY25" i="31"/>
  <c r="NZ25" i="31"/>
  <c r="CY26" i="31"/>
  <c r="NY25" i="31"/>
  <c r="CF25" i="31"/>
  <c r="CG25" i="31"/>
  <c r="CI25" i="31" s="1"/>
  <c r="OF25" i="31"/>
  <c r="OS26" i="31" s="1"/>
  <c r="OI25" i="31" l="1"/>
  <c r="OW25" i="31" s="1"/>
  <c r="CJ25" i="31"/>
  <c r="CO25" i="31" s="1"/>
  <c r="CK25" i="31"/>
  <c r="MZ26" i="31"/>
  <c r="OZ25" i="31"/>
  <c r="OM26" i="31"/>
  <c r="NF26" i="31"/>
  <c r="OO26" i="31"/>
  <c r="OB25" i="31"/>
  <c r="OT26" i="31" s="1"/>
  <c r="OA25" i="31"/>
  <c r="MV26" i="31" s="1"/>
  <c r="OG26" i="31" s="1"/>
  <c r="CH25" i="31"/>
  <c r="OX26" i="31" l="1"/>
  <c r="MR26" i="31"/>
  <c r="MS26" i="31" s="1"/>
  <c r="OC25" i="31"/>
  <c r="OD26" i="31" s="1"/>
  <c r="OH26" i="31" s="1"/>
  <c r="OK26" i="31" s="1"/>
  <c r="OJ25" i="31"/>
  <c r="OY26" i="31" s="1"/>
  <c r="PA25" i="31"/>
  <c r="KT26" i="31"/>
  <c r="CL25" i="31"/>
  <c r="CM25" i="31"/>
  <c r="CN25" i="31" s="1"/>
  <c r="MW26" i="31" l="1"/>
  <c r="MX26" i="31" s="1"/>
  <c r="KL26" i="31"/>
  <c r="KN27" i="31" s="1"/>
  <c r="KM26" i="31"/>
  <c r="KO27" i="31" s="1"/>
  <c r="MU26" i="31"/>
  <c r="MO26" i="31"/>
  <c r="NJ26" i="31"/>
  <c r="NH27" i="31"/>
  <c r="NI27" i="31" s="1"/>
  <c r="MT26" i="31"/>
  <c r="NQ26" i="31"/>
  <c r="NP26" i="31"/>
  <c r="PE26" i="31"/>
  <c r="CP25" i="31"/>
  <c r="NR26" i="31" l="1"/>
  <c r="NL26" i="31"/>
  <c r="NK26" i="31"/>
  <c r="NG27" i="31"/>
  <c r="OQ27" i="31"/>
  <c r="FE25" i="31"/>
  <c r="FF25" i="31" s="1"/>
  <c r="FH25" i="31"/>
  <c r="FI25" i="31" s="1"/>
  <c r="JR25" i="31"/>
  <c r="JS25" i="31" s="1"/>
  <c r="GO25" i="31"/>
  <c r="CQ25" i="31"/>
  <c r="GB25" i="31"/>
  <c r="GC25" i="31" s="1"/>
  <c r="FP25" i="31"/>
  <c r="FS25" i="31" s="1"/>
  <c r="FZ25" i="31"/>
  <c r="GA25" i="31" s="1"/>
  <c r="FU25" i="31"/>
  <c r="FW25" i="31" s="1"/>
  <c r="HO25" i="31"/>
  <c r="DQ25" i="31"/>
  <c r="DR25" i="31" s="1"/>
  <c r="FX25" i="31"/>
  <c r="FY25" i="31" s="1"/>
  <c r="KX25" i="31"/>
  <c r="KU25" i="31"/>
  <c r="NB26" i="31"/>
  <c r="NA26" i="31"/>
  <c r="KP27" i="31"/>
  <c r="KR26" i="31"/>
  <c r="KQ26" i="31"/>
  <c r="GN25" i="31" l="1"/>
  <c r="GQ25" i="31" s="1"/>
  <c r="KS26" i="31"/>
  <c r="HP25" i="31"/>
  <c r="IA25" i="31"/>
  <c r="IB25" i="31" s="1"/>
  <c r="IZ25" i="31"/>
  <c r="HU25" i="31"/>
  <c r="HV26" i="31" s="1"/>
  <c r="FJ26" i="31"/>
  <c r="HW25" i="31"/>
  <c r="HX26" i="31" s="1"/>
  <c r="FG26" i="31"/>
  <c r="OR27" i="31"/>
  <c r="HY25" i="31"/>
  <c r="DY25" i="31"/>
  <c r="HA25" i="31"/>
  <c r="CT25" i="31"/>
  <c r="CR25" i="31"/>
  <c r="CS25" i="31"/>
  <c r="NC27" i="31"/>
  <c r="MQ27" i="31"/>
  <c r="DS25" i="31"/>
  <c r="KE25" i="31"/>
  <c r="JU25" i="31"/>
  <c r="JT26" i="31"/>
  <c r="KC25" i="31"/>
  <c r="KV25" i="31" l="1"/>
  <c r="KW26" i="31" s="1"/>
  <c r="HQ25" i="31"/>
  <c r="HR26" i="31" s="1"/>
  <c r="AX25" i="31"/>
  <c r="AY26" i="31" s="1"/>
  <c r="EM25" i="31"/>
  <c r="EW25" i="31" s="1"/>
  <c r="AZ25" i="31"/>
  <c r="EN25" i="31"/>
  <c r="HS25" i="31"/>
  <c r="JG25" i="31" s="1"/>
  <c r="HT25" i="31"/>
  <c r="BB26" i="31" l="1"/>
  <c r="EQ25" i="31"/>
  <c r="IW25" i="31"/>
  <c r="DW25" i="31"/>
  <c r="DU26" i="31" s="1"/>
  <c r="ER26" i="31"/>
  <c r="IU25" i="31"/>
  <c r="IV25" i="31" s="1"/>
  <c r="IC25" i="31"/>
  <c r="ID25" i="31" s="1"/>
  <c r="IF25" i="31" s="1"/>
  <c r="KH25" i="31" s="1"/>
  <c r="JB25" i="31"/>
  <c r="KK25" i="31" l="1"/>
  <c r="KB25" i="31"/>
  <c r="IX25" i="31"/>
  <c r="EU26" i="31"/>
  <c r="IM25" i="31"/>
  <c r="DB25" i="31"/>
  <c r="DC25" i="31" s="1"/>
  <c r="DD26" i="31" s="1"/>
  <c r="DE27" i="31" s="1"/>
  <c r="GM25" i="31"/>
  <c r="KI26" i="31"/>
  <c r="IN25" i="31"/>
  <c r="DF25" i="31"/>
  <c r="BC26" i="31"/>
  <c r="DT25" i="31" l="1"/>
  <c r="DZ25" i="31" s="1"/>
  <c r="GR25" i="31"/>
  <c r="GT27" i="31"/>
  <c r="GU25" i="31"/>
  <c r="FD25" i="31"/>
  <c r="GV25" i="31"/>
  <c r="KJ26" i="31"/>
  <c r="BE26" i="31"/>
  <c r="BD26" i="31"/>
  <c r="BF26" i="31" l="1"/>
  <c r="BG26" i="31"/>
  <c r="GS25" i="31"/>
  <c r="IS25" i="31"/>
  <c r="FL26" i="31"/>
  <c r="JH25" i="31" l="1"/>
  <c r="JI25" i="31" s="1"/>
  <c r="IT25" i="31"/>
  <c r="GY25" i="31"/>
  <c r="GW25" i="31"/>
  <c r="HC25" i="31" s="1"/>
  <c r="FA26" i="31" s="1"/>
  <c r="HB26" i="31" s="1"/>
  <c r="GX25" i="31"/>
  <c r="BH26" i="31"/>
  <c r="BI26" i="31"/>
  <c r="BK26" i="31" s="1"/>
  <c r="FM26" i="31"/>
  <c r="BL26" i="31" l="1"/>
  <c r="BM26" i="31"/>
  <c r="HM25" i="31"/>
  <c r="EG25" i="31"/>
  <c r="EH26" i="31" s="1"/>
  <c r="EI26" i="31" s="1"/>
  <c r="FK26" i="31" s="1"/>
  <c r="EY25" i="31"/>
  <c r="HK26" i="31"/>
  <c r="BJ26" i="31"/>
  <c r="JK25" i="31"/>
  <c r="JZ25" i="31" s="1"/>
  <c r="KF25" i="31" s="1"/>
  <c r="IQ26" i="31" s="1"/>
  <c r="JN25" i="31" l="1"/>
  <c r="JV25" i="31" s="1"/>
  <c r="JF26" i="31" s="1"/>
  <c r="JW26" i="31" s="1"/>
  <c r="JM25" i="31"/>
  <c r="KD25" i="31" s="1"/>
  <c r="IL26" i="31" s="1"/>
  <c r="IR26" i="31" s="1"/>
  <c r="EZ25" i="31"/>
  <c r="DG25" i="31"/>
  <c r="DH25" i="31" s="1"/>
  <c r="DI26" i="31" s="1"/>
  <c r="EJ25" i="31"/>
  <c r="EK26" i="31" s="1"/>
  <c r="EE25" i="31"/>
  <c r="EF26" i="31" s="1"/>
  <c r="ED25" i="31"/>
  <c r="EB26" i="31" s="1"/>
  <c r="IY26" i="31" s="1"/>
  <c r="JL25" i="31"/>
  <c r="JJ26" i="31" s="1"/>
  <c r="KA26" i="31"/>
  <c r="BN26" i="31"/>
  <c r="BO26" i="31"/>
  <c r="JE26" i="31" l="1"/>
  <c r="JY26" i="31"/>
  <c r="JO26" i="31"/>
  <c r="DJ26" i="31"/>
  <c r="DK26" i="31" s="1"/>
  <c r="GZ26" i="31"/>
  <c r="IE26" i="31" s="1"/>
  <c r="JC26" i="31"/>
  <c r="JD26" i="31"/>
  <c r="DP26" i="31"/>
  <c r="BP26" i="31"/>
  <c r="BQ26" i="31" s="1"/>
  <c r="FC26" i="31"/>
  <c r="EL26" i="31"/>
  <c r="EO26" i="31"/>
  <c r="ES27" i="31" s="1"/>
  <c r="EP26" i="31"/>
  <c r="ET27" i="31" s="1"/>
  <c r="EV26" i="31"/>
  <c r="IO26" i="31"/>
  <c r="JP26" i="31" s="1"/>
  <c r="JQ26" i="31" s="1"/>
  <c r="JA26" i="31"/>
  <c r="IP26" i="31"/>
  <c r="HZ26" i="31"/>
  <c r="KG26" i="31" l="1"/>
  <c r="EC26" i="31"/>
  <c r="BR26" i="31"/>
  <c r="BS26" i="31"/>
  <c r="DM26" i="31"/>
  <c r="FQ26" i="31"/>
  <c r="DX26" i="31"/>
  <c r="JX26" i="31"/>
  <c r="BT26" i="31" l="1"/>
  <c r="BU26" i="31"/>
  <c r="FB26" i="31"/>
  <c r="EX26" i="31"/>
  <c r="M26" i="31" s="1"/>
  <c r="DL26" i="31"/>
  <c r="L27" i="31"/>
  <c r="BV26" i="31" l="1"/>
  <c r="BW26" i="31" s="1"/>
  <c r="MJ26" i="31"/>
  <c r="NS26" i="31" s="1"/>
  <c r="MB26" i="31"/>
  <c r="BY26" i="31" l="1"/>
  <c r="BZ26" i="31" s="1"/>
  <c r="BX26" i="31"/>
  <c r="NM26" i="31"/>
  <c r="NN26" i="31" s="1"/>
  <c r="NT26" i="31"/>
  <c r="OU27" i="31"/>
  <c r="CA26" i="31" l="1"/>
  <c r="CC26" i="31" s="1"/>
  <c r="CD26" i="31" s="1"/>
  <c r="OV27" i="31"/>
  <c r="NW26" i="31"/>
  <c r="FR26" i="31"/>
  <c r="FV26" i="31"/>
  <c r="CX26" i="31"/>
  <c r="NU26" i="31"/>
  <c r="NX26" i="31"/>
  <c r="OF26" i="31" s="1"/>
  <c r="OS27" i="31" s="1"/>
  <c r="CE26" i="31" l="1"/>
  <c r="CG26" i="31" s="1"/>
  <c r="CI26" i="31" s="1"/>
  <c r="CB26" i="31"/>
  <c r="NZ26" i="31"/>
  <c r="MY26" i="31"/>
  <c r="CY27" i="31"/>
  <c r="NV26" i="31"/>
  <c r="NY26" i="31"/>
  <c r="CF26" i="31" l="1"/>
  <c r="CH26" i="31"/>
  <c r="CJ26" i="31"/>
  <c r="CO26" i="31" s="1"/>
  <c r="CK26" i="31"/>
  <c r="OB26" i="31"/>
  <c r="OT27" i="31" s="1"/>
  <c r="OA26" i="31"/>
  <c r="MV27" i="31" s="1"/>
  <c r="OG27" i="31" s="1"/>
  <c r="OI26" i="31"/>
  <c r="OO27" i="31"/>
  <c r="OM27" i="31"/>
  <c r="NF27" i="31"/>
  <c r="MZ27" i="31"/>
  <c r="OZ26" i="31"/>
  <c r="PA26" i="31" l="1"/>
  <c r="OC26" i="31"/>
  <c r="OD27" i="31" s="1"/>
  <c r="OH27" i="31" s="1"/>
  <c r="OK27" i="31" s="1"/>
  <c r="OJ26" i="31"/>
  <c r="KT27" i="31"/>
  <c r="CL26" i="31"/>
  <c r="CM26" i="31"/>
  <c r="CN26" i="31" s="1"/>
  <c r="MR27" i="31"/>
  <c r="OX27" i="31"/>
  <c r="OW26" i="31"/>
  <c r="CP26" i="31" l="1"/>
  <c r="KL27" i="31"/>
  <c r="KN28" i="31" s="1"/>
  <c r="KM27" i="31"/>
  <c r="KO28" i="31" s="1"/>
  <c r="OY27" i="31"/>
  <c r="MW27" i="31"/>
  <c r="MS27" i="31"/>
  <c r="MT27" i="31" l="1"/>
  <c r="NP27" i="31"/>
  <c r="MU27" i="31"/>
  <c r="NJ27" i="31"/>
  <c r="NH28" i="31"/>
  <c r="NI28" i="31" s="1"/>
  <c r="NQ27" i="31"/>
  <c r="MO27" i="31"/>
  <c r="PE27" i="31"/>
  <c r="MX27" i="31"/>
  <c r="KP28" i="31"/>
  <c r="KR27" i="31"/>
  <c r="KQ27" i="31"/>
  <c r="JR26" i="31"/>
  <c r="JS26" i="31" s="1"/>
  <c r="DQ26" i="31"/>
  <c r="DR26" i="31" s="1"/>
  <c r="GO26" i="31"/>
  <c r="HO26" i="31"/>
  <c r="FZ26" i="31"/>
  <c r="GA26" i="31" s="1"/>
  <c r="FH26" i="31"/>
  <c r="FI26" i="31" s="1"/>
  <c r="FP26" i="31"/>
  <c r="FS26" i="31" s="1"/>
  <c r="CQ26" i="31"/>
  <c r="GB26" i="31"/>
  <c r="GC26" i="31" s="1"/>
  <c r="FX26" i="31"/>
  <c r="FY26" i="31" s="1"/>
  <c r="FE26" i="31"/>
  <c r="FF26" i="31" s="1"/>
  <c r="FU26" i="31"/>
  <c r="FW26" i="31" s="1"/>
  <c r="KX26" i="31"/>
  <c r="KU26" i="31"/>
  <c r="NR27" i="31" l="1"/>
  <c r="GN26" i="31"/>
  <c r="KV26" i="31" s="1"/>
  <c r="DY26" i="31"/>
  <c r="HA26" i="31"/>
  <c r="HY26" i="31"/>
  <c r="HU26" i="31"/>
  <c r="HV27" i="31" s="1"/>
  <c r="FJ27" i="31"/>
  <c r="IA26" i="31"/>
  <c r="IB26" i="31" s="1"/>
  <c r="HP26" i="31"/>
  <c r="IZ26" i="31"/>
  <c r="HW26" i="31"/>
  <c r="HX27" i="31" s="1"/>
  <c r="FG27" i="31"/>
  <c r="NL27" i="31"/>
  <c r="NK27" i="31"/>
  <c r="NG28" i="31"/>
  <c r="OQ28" i="31"/>
  <c r="DS26" i="31"/>
  <c r="KE26" i="31"/>
  <c r="KC26" i="31"/>
  <c r="JT27" i="31"/>
  <c r="JU26" i="31"/>
  <c r="CT26" i="31"/>
  <c r="CR26" i="31"/>
  <c r="CS26" i="31"/>
  <c r="KS27" i="31"/>
  <c r="NA27" i="31"/>
  <c r="NB27" i="31"/>
  <c r="GQ26" i="31" l="1"/>
  <c r="KW27" i="31"/>
  <c r="HQ26" i="31"/>
  <c r="HR27" i="31" s="1"/>
  <c r="NC28" i="31"/>
  <c r="MQ28" i="31"/>
  <c r="OR28" i="31"/>
  <c r="HS26" i="31"/>
  <c r="JG26" i="31" s="1"/>
  <c r="HT26" i="31"/>
  <c r="AX26" i="31"/>
  <c r="AY27" i="31" s="1"/>
  <c r="EM26" i="31"/>
  <c r="EW26" i="31" s="1"/>
  <c r="EN26" i="31"/>
  <c r="AZ26" i="31"/>
  <c r="IC26" i="31" l="1"/>
  <c r="ID26" i="31" s="1"/>
  <c r="IF26" i="31" s="1"/>
  <c r="KH26" i="31" s="1"/>
  <c r="JB26" i="31"/>
  <c r="BB27" i="31"/>
  <c r="DW26" i="31"/>
  <c r="DU27" i="31" s="1"/>
  <c r="EQ26" i="31"/>
  <c r="IW26" i="31"/>
  <c r="ER27" i="31"/>
  <c r="IU26" i="31"/>
  <c r="IV26" i="31" s="1"/>
  <c r="BC27" i="31" l="1"/>
  <c r="KB26" i="31"/>
  <c r="IX26" i="31"/>
  <c r="KK26" i="31"/>
  <c r="EU27" i="31"/>
  <c r="IM26" i="31"/>
  <c r="DB26" i="31"/>
  <c r="DC26" i="31" s="1"/>
  <c r="DD27" i="31" s="1"/>
  <c r="DE28" i="31" s="1"/>
  <c r="GM26" i="31"/>
  <c r="KI27" i="31"/>
  <c r="IN26" i="31"/>
  <c r="DF26" i="31"/>
  <c r="DT26" i="31" l="1"/>
  <c r="DZ26" i="31" s="1"/>
  <c r="GT28" i="31"/>
  <c r="KJ27" i="31"/>
  <c r="FD26" i="31"/>
  <c r="GU26" i="31"/>
  <c r="GV26" i="31"/>
  <c r="GR26" i="31"/>
  <c r="BD27" i="31"/>
  <c r="BE27" i="31"/>
  <c r="IS26" i="31" l="1"/>
  <c r="FL27" i="31"/>
  <c r="BG27" i="31"/>
  <c r="BF27" i="31"/>
  <c r="GS26" i="31"/>
  <c r="BH27" i="31" l="1"/>
  <c r="BI27" i="31"/>
  <c r="BK27" i="31" s="1"/>
  <c r="FM27" i="31"/>
  <c r="GY26" i="31"/>
  <c r="GX26" i="31"/>
  <c r="GW26" i="31"/>
  <c r="HC26" i="31" s="1"/>
  <c r="FA27" i="31" s="1"/>
  <c r="HB27" i="31" s="1"/>
  <c r="JH26" i="31"/>
  <c r="JI26" i="31" s="1"/>
  <c r="IT26" i="31"/>
  <c r="JK26" i="31" l="1"/>
  <c r="JZ26" i="31" s="1"/>
  <c r="KF26" i="31" s="1"/>
  <c r="IQ27" i="31" s="1"/>
  <c r="BL27" i="31"/>
  <c r="BM27" i="31"/>
  <c r="EG26" i="31"/>
  <c r="EH27" i="31" s="1"/>
  <c r="EI27" i="31" s="1"/>
  <c r="FK27" i="31" s="1"/>
  <c r="EY26" i="31"/>
  <c r="HM26" i="31"/>
  <c r="HK27" i="31"/>
  <c r="BJ27" i="31"/>
  <c r="JM26" i="31" l="1"/>
  <c r="KD26" i="31" s="1"/>
  <c r="IL27" i="31" s="1"/>
  <c r="IR27" i="31" s="1"/>
  <c r="JN26" i="31"/>
  <c r="JV26" i="31" s="1"/>
  <c r="JF27" i="31" s="1"/>
  <c r="JY27" i="31" s="1"/>
  <c r="BN27" i="31"/>
  <c r="BO27" i="31"/>
  <c r="ED26" i="31"/>
  <c r="EB27" i="31" s="1"/>
  <c r="EJ26" i="31"/>
  <c r="EK27" i="31" s="1"/>
  <c r="EE26" i="31"/>
  <c r="EF27" i="31" s="1"/>
  <c r="EZ26" i="31"/>
  <c r="DG26" i="31"/>
  <c r="DH26" i="31" s="1"/>
  <c r="DI27" i="31" s="1"/>
  <c r="JL26" i="31"/>
  <c r="JJ27" i="31" s="1"/>
  <c r="KA27" i="31"/>
  <c r="JW27" i="31" l="1"/>
  <c r="IO27" i="31"/>
  <c r="JO27" i="31"/>
  <c r="JE27" i="31"/>
  <c r="IP27" i="31"/>
  <c r="HZ27" i="31"/>
  <c r="EL27" i="31"/>
  <c r="JX27" i="31" s="1"/>
  <c r="EP27" i="31"/>
  <c r="ET28" i="31" s="1"/>
  <c r="EO27" i="31"/>
  <c r="ES28" i="31" s="1"/>
  <c r="FC27" i="31"/>
  <c r="EV27" i="31"/>
  <c r="JA27" i="31"/>
  <c r="IY27" i="31"/>
  <c r="DJ27" i="31"/>
  <c r="DK27" i="31" s="1"/>
  <c r="GZ27" i="31"/>
  <c r="IE27" i="31" s="1"/>
  <c r="BP27" i="31"/>
  <c r="BQ27" i="31" s="1"/>
  <c r="DP27" i="31"/>
  <c r="JC27" i="31"/>
  <c r="JD27" i="31"/>
  <c r="KG27" i="31" l="1"/>
  <c r="JP27" i="31"/>
  <c r="JQ27" i="31" s="1"/>
  <c r="BR27" i="31"/>
  <c r="BS27" i="31"/>
  <c r="EC27" i="31"/>
  <c r="FQ27" i="31"/>
  <c r="DM27" i="31"/>
  <c r="DX27" i="31"/>
  <c r="FB27" i="31" l="1"/>
  <c r="EX27" i="31"/>
  <c r="M27" i="31" s="1"/>
  <c r="DL27" i="31"/>
  <c r="L28" i="31"/>
  <c r="BT27" i="31"/>
  <c r="BU27" i="31"/>
  <c r="MB27" i="31" l="1"/>
  <c r="MJ27" i="31"/>
  <c r="NS27" i="31" s="1"/>
  <c r="BV27" i="31"/>
  <c r="BW27" i="31" s="1"/>
  <c r="BY27" i="31" l="1"/>
  <c r="BZ27" i="31" s="1"/>
  <c r="BX27" i="31"/>
  <c r="NM27" i="31"/>
  <c r="NN27" i="31" s="1"/>
  <c r="NT27" i="31"/>
  <c r="OU28" i="31"/>
  <c r="CA27" i="31" l="1"/>
  <c r="CC27" i="31" s="1"/>
  <c r="CD27" i="31" s="1"/>
  <c r="NW27" i="31"/>
  <c r="NX27" i="31" s="1"/>
  <c r="OV28" i="31"/>
  <c r="FR27" i="31"/>
  <c r="FV27" i="31"/>
  <c r="CX27" i="31"/>
  <c r="NU27" i="31"/>
  <c r="CE27" i="31" l="1"/>
  <c r="CG27" i="31" s="1"/>
  <c r="CI27" i="31" s="1"/>
  <c r="CB27" i="31"/>
  <c r="NZ27" i="31"/>
  <c r="MY27" i="31"/>
  <c r="CY28" i="31"/>
  <c r="NV27" i="31"/>
  <c r="NY27" i="31"/>
  <c r="OF27" i="31"/>
  <c r="OS28" i="31" s="1"/>
  <c r="CF27" i="31" l="1"/>
  <c r="OI27" i="31"/>
  <c r="OW27" i="31" s="1"/>
  <c r="CJ27" i="31"/>
  <c r="CO27" i="31" s="1"/>
  <c r="CK27" i="31"/>
  <c r="OM28" i="31"/>
  <c r="OO28" i="31"/>
  <c r="NF28" i="31"/>
  <c r="MZ28" i="31"/>
  <c r="OZ27" i="31"/>
  <c r="OB27" i="31"/>
  <c r="OT28" i="31" s="1"/>
  <c r="OA27" i="31"/>
  <c r="MV28" i="31" s="1"/>
  <c r="CH27" i="31"/>
  <c r="MR28" i="31" l="1"/>
  <c r="MS28" i="31" s="1"/>
  <c r="OX28" i="31"/>
  <c r="PA27" i="31"/>
  <c r="OJ27" i="31"/>
  <c r="MW28" i="31" s="1"/>
  <c r="OC27" i="31"/>
  <c r="OD28" i="31" s="1"/>
  <c r="OH28" i="31" s="1"/>
  <c r="OG28" i="31"/>
  <c r="KT28" i="31"/>
  <c r="CL27" i="31"/>
  <c r="CM27" i="31"/>
  <c r="CN27" i="31" s="1"/>
  <c r="OY28" i="31" l="1"/>
  <c r="OK28" i="31"/>
  <c r="CP27" i="31"/>
  <c r="KL28" i="31"/>
  <c r="KN29" i="31" s="1"/>
  <c r="KM28" i="31"/>
  <c r="KO29" i="31" s="1"/>
  <c r="MU28" i="31"/>
  <c r="NH29" i="31"/>
  <c r="NI29" i="31" s="1"/>
  <c r="MO28" i="31"/>
  <c r="NJ28" i="31"/>
  <c r="NP28" i="31"/>
  <c r="NQ28" i="31"/>
  <c r="MT28" i="31"/>
  <c r="PE28" i="31"/>
  <c r="MX28" i="31"/>
  <c r="NR28" i="31" l="1"/>
  <c r="NB28" i="31"/>
  <c r="NA28" i="31"/>
  <c r="KP29" i="31"/>
  <c r="KR28" i="31"/>
  <c r="NK28" i="31"/>
  <c r="NL28" i="31"/>
  <c r="NG29" i="31"/>
  <c r="OQ29" i="31"/>
  <c r="KQ28" i="31"/>
  <c r="FZ27" i="31"/>
  <c r="GA27" i="31" s="1"/>
  <c r="CQ27" i="31"/>
  <c r="FP27" i="31"/>
  <c r="FS27" i="31" s="1"/>
  <c r="HO27" i="31"/>
  <c r="GO27" i="31"/>
  <c r="FX27" i="31"/>
  <c r="FY27" i="31" s="1"/>
  <c r="DQ27" i="31"/>
  <c r="DR27" i="31" s="1"/>
  <c r="FH27" i="31"/>
  <c r="FI27" i="31" s="1"/>
  <c r="GB27" i="31"/>
  <c r="GC27" i="31" s="1"/>
  <c r="JR27" i="31"/>
  <c r="JS27" i="31" s="1"/>
  <c r="FE27" i="31"/>
  <c r="FF27" i="31" s="1"/>
  <c r="FU27" i="31"/>
  <c r="FW27" i="31" s="1"/>
  <c r="KX27" i="31"/>
  <c r="KU27" i="31"/>
  <c r="GN27" i="31" l="1"/>
  <c r="GQ27" i="31" s="1"/>
  <c r="KC27" i="31"/>
  <c r="JU27" i="31"/>
  <c r="JT28" i="31"/>
  <c r="KE27" i="31"/>
  <c r="HU27" i="31"/>
  <c r="HV28" i="31" s="1"/>
  <c r="FJ28" i="31"/>
  <c r="DS27" i="31"/>
  <c r="KS28" i="31"/>
  <c r="CS27" i="31"/>
  <c r="CT27" i="31"/>
  <c r="CR27" i="31"/>
  <c r="OR29" i="31"/>
  <c r="IA27" i="31"/>
  <c r="IB27" i="31" s="1"/>
  <c r="HP27" i="31"/>
  <c r="IZ27" i="31"/>
  <c r="HW27" i="31"/>
  <c r="HX28" i="31" s="1"/>
  <c r="FG28" i="31"/>
  <c r="DY27" i="31"/>
  <c r="HA27" i="31"/>
  <c r="HY27" i="31"/>
  <c r="NC29" i="31"/>
  <c r="MQ29" i="31"/>
  <c r="KV27" i="31" l="1"/>
  <c r="KW28" i="31" s="1"/>
  <c r="AX27" i="31"/>
  <c r="AY28" i="31" s="1"/>
  <c r="EN27" i="31"/>
  <c r="EM27" i="31"/>
  <c r="EW27" i="31" s="1"/>
  <c r="AZ27" i="31"/>
  <c r="HS27" i="31"/>
  <c r="JG27" i="31" s="1"/>
  <c r="HT27" i="31"/>
  <c r="HQ27" i="31" l="1"/>
  <c r="HR28" i="31" s="1"/>
  <c r="IC27" i="31"/>
  <c r="ID27" i="31" s="1"/>
  <c r="IF27" i="31" s="1"/>
  <c r="KH27" i="31" s="1"/>
  <c r="JB27" i="31"/>
  <c r="BB28" i="31"/>
  <c r="IW27" i="31"/>
  <c r="EQ27" i="31"/>
  <c r="DW27" i="31"/>
  <c r="DU28" i="31" s="1"/>
  <c r="ER28" i="31"/>
  <c r="IU27" i="31"/>
  <c r="IV27" i="31" s="1"/>
  <c r="BC28" i="31" l="1"/>
  <c r="KB27" i="31"/>
  <c r="IX27" i="31"/>
  <c r="KK27" i="31"/>
  <c r="EU28" i="31"/>
  <c r="DB27" i="31"/>
  <c r="DC27" i="31" s="1"/>
  <c r="DD28" i="31" s="1"/>
  <c r="DE29" i="31" s="1"/>
  <c r="IM27" i="31"/>
  <c r="GM27" i="31"/>
  <c r="KI28" i="31"/>
  <c r="IN27" i="31"/>
  <c r="DF27" i="31"/>
  <c r="KJ28" i="31" l="1"/>
  <c r="FD27" i="31"/>
  <c r="GU27" i="31"/>
  <c r="GV27" i="31"/>
  <c r="DT27" i="31"/>
  <c r="DZ27" i="31" s="1"/>
  <c r="GR27" i="31"/>
  <c r="GT29" i="31"/>
  <c r="BE28" i="31"/>
  <c r="BD28" i="31"/>
  <c r="IS27" i="31" l="1"/>
  <c r="FL28" i="31"/>
  <c r="BF28" i="31"/>
  <c r="BG28" i="31"/>
  <c r="GS27" i="31"/>
  <c r="GY27" i="31" l="1"/>
  <c r="GX27" i="31"/>
  <c r="GW27" i="31"/>
  <c r="HC27" i="31" s="1"/>
  <c r="FA28" i="31" s="1"/>
  <c r="HB28" i="31" s="1"/>
  <c r="BI28" i="31"/>
  <c r="BK28" i="31" s="1"/>
  <c r="BH28" i="31"/>
  <c r="FM28" i="31"/>
  <c r="JH27" i="31"/>
  <c r="JI27" i="31" s="1"/>
  <c r="IT27" i="31"/>
  <c r="BL28" i="31" l="1"/>
  <c r="BM28" i="31"/>
  <c r="BJ28" i="31"/>
  <c r="HM27" i="31"/>
  <c r="EG27" i="31"/>
  <c r="EH28" i="31" s="1"/>
  <c r="EI28" i="31" s="1"/>
  <c r="FK28" i="31" s="1"/>
  <c r="EY27" i="31"/>
  <c r="HK28" i="31"/>
  <c r="JK27" i="31"/>
  <c r="JN27" i="31" s="1"/>
  <c r="JV27" i="31" s="1"/>
  <c r="JF28" i="31" s="1"/>
  <c r="JM27" i="31" l="1"/>
  <c r="KD27" i="31" s="1"/>
  <c r="IL28" i="31" s="1"/>
  <c r="ED27" i="31"/>
  <c r="EB28" i="31" s="1"/>
  <c r="EJ27" i="31"/>
  <c r="EK28" i="31" s="1"/>
  <c r="EE27" i="31"/>
  <c r="EF28" i="31" s="1"/>
  <c r="JW28" i="31"/>
  <c r="JY28" i="31"/>
  <c r="JZ27" i="31"/>
  <c r="KF27" i="31" s="1"/>
  <c r="IQ28" i="31" s="1"/>
  <c r="JL27" i="31"/>
  <c r="JJ28" i="31" s="1"/>
  <c r="KA28" i="31"/>
  <c r="BO28" i="31"/>
  <c r="BN28" i="31"/>
  <c r="EZ27" i="31"/>
  <c r="DG27" i="31"/>
  <c r="DH27" i="31" s="1"/>
  <c r="DI28" i="31" s="1"/>
  <c r="JO28" i="31" l="1"/>
  <c r="IO28" i="31"/>
  <c r="IP28" i="31"/>
  <c r="DP28" i="31"/>
  <c r="BP28" i="31"/>
  <c r="BQ28" i="31" s="1"/>
  <c r="HZ28" i="31"/>
  <c r="GZ28" i="31"/>
  <c r="IE28" i="31" s="1"/>
  <c r="DJ28" i="31"/>
  <c r="DK28" i="31" s="1"/>
  <c r="JC28" i="31"/>
  <c r="JD28" i="31"/>
  <c r="IY28" i="31"/>
  <c r="IR28" i="31"/>
  <c r="JA28" i="31"/>
  <c r="JE28" i="31"/>
  <c r="EO28" i="31"/>
  <c r="ES29" i="31" s="1"/>
  <c r="EP28" i="31"/>
  <c r="ET29" i="31" s="1"/>
  <c r="EL28" i="31"/>
  <c r="FC28" i="31"/>
  <c r="EV28" i="31"/>
  <c r="JP28" i="31" l="1"/>
  <c r="JQ28" i="31" s="1"/>
  <c r="JX28" i="31"/>
  <c r="FQ28" i="31"/>
  <c r="DM28" i="31"/>
  <c r="DX28" i="31"/>
  <c r="BR28" i="31"/>
  <c r="BS28" i="31"/>
  <c r="EC28" i="31"/>
  <c r="KG28" i="31"/>
  <c r="DL28" i="31" l="1"/>
  <c r="L29" i="31"/>
  <c r="BT28" i="31"/>
  <c r="BU28" i="31"/>
  <c r="FB28" i="31"/>
  <c r="EX28" i="31"/>
  <c r="M28" i="31" s="1"/>
  <c r="MB28" i="31" l="1"/>
  <c r="MJ28" i="31"/>
  <c r="NS28" i="31" s="1"/>
  <c r="BV28" i="31"/>
  <c r="BW28" i="31" s="1"/>
  <c r="BX28" i="31" l="1"/>
  <c r="BY28" i="31"/>
  <c r="NM28" i="31"/>
  <c r="NN28" i="31" s="1"/>
  <c r="NT28" i="31"/>
  <c r="OU29" i="31"/>
  <c r="BZ28" i="31" l="1"/>
  <c r="CA28" i="31"/>
  <c r="CC28" i="31" s="1"/>
  <c r="CD28" i="31" s="1"/>
  <c r="OV29" i="31"/>
  <c r="NW28" i="31"/>
  <c r="NX28" i="31" s="1"/>
  <c r="FV28" i="31"/>
  <c r="FR28" i="31"/>
  <c r="CX28" i="31"/>
  <c r="NU28" i="31"/>
  <c r="CE28" i="31" l="1"/>
  <c r="CG28" i="31" s="1"/>
  <c r="CI28" i="31" s="1"/>
  <c r="CB28" i="31"/>
  <c r="NV28" i="31"/>
  <c r="NY28" i="31"/>
  <c r="NZ28" i="31"/>
  <c r="MY28" i="31"/>
  <c r="CY29" i="31"/>
  <c r="OF28" i="31"/>
  <c r="OS29" i="31" s="1"/>
  <c r="CF28" i="31" l="1"/>
  <c r="CH28" i="31"/>
  <c r="OO29" i="31"/>
  <c r="OM29" i="31"/>
  <c r="NF29" i="31"/>
  <c r="MZ29" i="31"/>
  <c r="OZ28" i="31"/>
  <c r="OB28" i="31"/>
  <c r="OT29" i="31" s="1"/>
  <c r="OA28" i="31"/>
  <c r="MV29" i="31" s="1"/>
  <c r="OG29" i="31" s="1"/>
  <c r="CJ28" i="31"/>
  <c r="CO28" i="31" s="1"/>
  <c r="CK28" i="31"/>
  <c r="OI28" i="31"/>
  <c r="OC28" i="31" l="1"/>
  <c r="OD29" i="31" s="1"/>
  <c r="OH29" i="31" s="1"/>
  <c r="OK29" i="31" s="1"/>
  <c r="OX29" i="31"/>
  <c r="OW28" i="31"/>
  <c r="MR29" i="31"/>
  <c r="CL28" i="31"/>
  <c r="CM28" i="31"/>
  <c r="CN28" i="31" s="1"/>
  <c r="PA28" i="31"/>
  <c r="OJ28" i="31"/>
  <c r="KT29" i="31"/>
  <c r="OY29" i="31" l="1"/>
  <c r="MW29" i="31"/>
  <c r="CP28" i="31"/>
  <c r="MS29" i="31"/>
  <c r="KL29" i="31"/>
  <c r="KN30" i="31" s="1"/>
  <c r="KM29" i="31"/>
  <c r="KO30" i="31" s="1"/>
  <c r="NP29" i="31" l="1"/>
  <c r="MU29" i="31"/>
  <c r="NH30" i="31"/>
  <c r="NI30" i="31" s="1"/>
  <c r="MT29" i="31"/>
  <c r="NJ29" i="31"/>
  <c r="NQ29" i="31"/>
  <c r="MO29" i="31"/>
  <c r="PE29" i="31"/>
  <c r="GO28" i="31"/>
  <c r="FX28" i="31"/>
  <c r="FY28" i="31" s="1"/>
  <c r="FE28" i="31"/>
  <c r="FF28" i="31" s="1"/>
  <c r="FH28" i="31"/>
  <c r="FI28" i="31" s="1"/>
  <c r="GB28" i="31"/>
  <c r="GC28" i="31" s="1"/>
  <c r="FU28" i="31"/>
  <c r="FW28" i="31" s="1"/>
  <c r="FZ28" i="31"/>
  <c r="GA28" i="31" s="1"/>
  <c r="DQ28" i="31"/>
  <c r="DR28" i="31" s="1"/>
  <c r="CQ28" i="31"/>
  <c r="JR28" i="31"/>
  <c r="JS28" i="31" s="1"/>
  <c r="FP28" i="31"/>
  <c r="FS28" i="31" s="1"/>
  <c r="HO28" i="31"/>
  <c r="KX28" i="31"/>
  <c r="KU28" i="31"/>
  <c r="KP30" i="31"/>
  <c r="KR29" i="31"/>
  <c r="MX29" i="31"/>
  <c r="KQ29" i="31"/>
  <c r="GN28" i="31" l="1"/>
  <c r="GQ28" i="31" s="1"/>
  <c r="NR29" i="31"/>
  <c r="KS29" i="31"/>
  <c r="DS28" i="31"/>
  <c r="NL29" i="31"/>
  <c r="NK29" i="31"/>
  <c r="NG30" i="31"/>
  <c r="OQ30" i="31"/>
  <c r="IA28" i="31"/>
  <c r="IB28" i="31" s="1"/>
  <c r="HP28" i="31"/>
  <c r="IZ28" i="31"/>
  <c r="HU28" i="31"/>
  <c r="HV29" i="31" s="1"/>
  <c r="FJ29" i="31"/>
  <c r="HY28" i="31"/>
  <c r="DY28" i="31"/>
  <c r="HA28" i="31"/>
  <c r="HW28" i="31"/>
  <c r="HX29" i="31" s="1"/>
  <c r="FG29" i="31"/>
  <c r="NB29" i="31"/>
  <c r="NA29" i="31"/>
  <c r="JU28" i="31"/>
  <c r="KC28" i="31"/>
  <c r="JT29" i="31"/>
  <c r="KE28" i="31"/>
  <c r="CS28" i="31"/>
  <c r="CT28" i="31"/>
  <c r="CR28" i="31"/>
  <c r="KV28" i="31" l="1"/>
  <c r="KW29" i="31" s="1"/>
  <c r="HQ28" i="31"/>
  <c r="HR29" i="31" s="1"/>
  <c r="NC30" i="31"/>
  <c r="MQ30" i="31"/>
  <c r="HS28" i="31"/>
  <c r="JG28" i="31" s="1"/>
  <c r="HT28" i="31"/>
  <c r="OR30" i="31"/>
  <c r="AX28" i="31"/>
  <c r="AY29" i="31" s="1"/>
  <c r="EM28" i="31"/>
  <c r="EW28" i="31" s="1"/>
  <c r="EN28" i="31"/>
  <c r="AZ28" i="31"/>
  <c r="BB29" i="31" l="1"/>
  <c r="EQ28" i="31"/>
  <c r="IW28" i="31"/>
  <c r="DW28" i="31"/>
  <c r="DU29" i="31" s="1"/>
  <c r="ER29" i="31"/>
  <c r="IU28" i="31"/>
  <c r="IV28" i="31" s="1"/>
  <c r="IC28" i="31"/>
  <c r="ID28" i="31" s="1"/>
  <c r="IF28" i="31" s="1"/>
  <c r="KH28" i="31" s="1"/>
  <c r="JB28" i="31"/>
  <c r="DB28" i="31" l="1"/>
  <c r="DC28" i="31" s="1"/>
  <c r="DD29" i="31" s="1"/>
  <c r="DE30" i="31" s="1"/>
  <c r="IM28" i="31"/>
  <c r="GM28" i="31"/>
  <c r="KI29" i="31"/>
  <c r="IN28" i="31"/>
  <c r="DF28" i="31"/>
  <c r="BC29" i="31"/>
  <c r="KK28" i="31"/>
  <c r="KB28" i="31"/>
  <c r="IX28" i="31"/>
  <c r="EU29" i="31"/>
  <c r="BD29" i="31" l="1"/>
  <c r="BE29" i="31"/>
  <c r="DT28" i="31"/>
  <c r="DZ28" i="31" s="1"/>
  <c r="GV28" i="31"/>
  <c r="FD28" i="31"/>
  <c r="GU28" i="31"/>
  <c r="KJ29" i="31"/>
  <c r="GR28" i="31"/>
  <c r="GT30" i="31"/>
  <c r="IS28" i="31" l="1"/>
  <c r="FL29" i="31"/>
  <c r="GS28" i="31"/>
  <c r="BF29" i="31"/>
  <c r="BG29" i="31"/>
  <c r="GW28" i="31" l="1"/>
  <c r="HC28" i="31" s="1"/>
  <c r="FA29" i="31" s="1"/>
  <c r="HB29" i="31" s="1"/>
  <c r="GY28" i="31"/>
  <c r="GX28" i="31"/>
  <c r="FM29" i="31"/>
  <c r="BH29" i="31"/>
  <c r="BI29" i="31"/>
  <c r="BK29" i="31" s="1"/>
  <c r="JH28" i="31"/>
  <c r="JI28" i="31" s="1"/>
  <c r="IT28" i="31"/>
  <c r="JK28" i="31" l="1"/>
  <c r="JZ28" i="31" s="1"/>
  <c r="KF28" i="31" s="1"/>
  <c r="IQ29" i="31" s="1"/>
  <c r="BL29" i="31"/>
  <c r="BM29" i="31"/>
  <c r="EG28" i="31"/>
  <c r="EH29" i="31" s="1"/>
  <c r="EI29" i="31" s="1"/>
  <c r="FK29" i="31" s="1"/>
  <c r="HM28" i="31"/>
  <c r="EY28" i="31"/>
  <c r="HK29" i="31"/>
  <c r="BJ29" i="31"/>
  <c r="JM28" i="31" l="1"/>
  <c r="KD28" i="31" s="1"/>
  <c r="IL29" i="31" s="1"/>
  <c r="IR29" i="31" s="1"/>
  <c r="EZ28" i="31"/>
  <c r="DG28" i="31"/>
  <c r="DH28" i="31" s="1"/>
  <c r="DI29" i="31" s="1"/>
  <c r="JN28" i="31"/>
  <c r="JV28" i="31" s="1"/>
  <c r="JF29" i="31" s="1"/>
  <c r="JL28" i="31"/>
  <c r="JJ29" i="31" s="1"/>
  <c r="KA29" i="31"/>
  <c r="BO29" i="31"/>
  <c r="BN29" i="31"/>
  <c r="ED28" i="31"/>
  <c r="EB29" i="31" s="1"/>
  <c r="JA29" i="31" s="1"/>
  <c r="EJ28" i="31"/>
  <c r="EK29" i="31" s="1"/>
  <c r="EE28" i="31"/>
  <c r="EF29" i="31" s="1"/>
  <c r="JO29" i="31" l="1"/>
  <c r="JE29" i="31"/>
  <c r="IY29" i="31"/>
  <c r="GZ29" i="31"/>
  <c r="DJ29" i="31"/>
  <c r="DK29" i="31" s="1"/>
  <c r="BP29" i="31"/>
  <c r="BQ29" i="31" s="1"/>
  <c r="JC29" i="31"/>
  <c r="JD29" i="31"/>
  <c r="HZ29" i="31"/>
  <c r="FC29" i="31"/>
  <c r="EL29" i="31"/>
  <c r="EP29" i="31"/>
  <c r="ET30" i="31" s="1"/>
  <c r="EO29" i="31"/>
  <c r="ES30" i="31" s="1"/>
  <c r="IE29" i="31"/>
  <c r="EV29" i="31"/>
  <c r="KG29" i="31"/>
  <c r="JW29" i="31"/>
  <c r="JY29" i="31"/>
  <c r="DP29" i="31"/>
  <c r="IO29" i="31"/>
  <c r="IP29" i="31"/>
  <c r="JP29" i="31" l="1"/>
  <c r="JQ29" i="31" s="1"/>
  <c r="EC29" i="31"/>
  <c r="BR29" i="31"/>
  <c r="BS29" i="31"/>
  <c r="DX29" i="31"/>
  <c r="FQ29" i="31"/>
  <c r="DM29" i="31"/>
  <c r="JX29" i="31"/>
  <c r="BT29" i="31" l="1"/>
  <c r="BU29" i="31"/>
  <c r="EX29" i="31"/>
  <c r="M29" i="31" s="1"/>
  <c r="FB29" i="31"/>
  <c r="DL29" i="31"/>
  <c r="L30" i="31"/>
  <c r="BV29" i="31" l="1"/>
  <c r="BW29" i="31" s="1"/>
  <c r="MJ29" i="31"/>
  <c r="NS29" i="31" s="1"/>
  <c r="MB29" i="31"/>
  <c r="BX29" i="31" l="1"/>
  <c r="BY29" i="31"/>
  <c r="NM29" i="31"/>
  <c r="NN29" i="31" s="1"/>
  <c r="NT29" i="31"/>
  <c r="OU30" i="31"/>
  <c r="BZ29" i="31" l="1"/>
  <c r="CA29" i="31"/>
  <c r="CC29" i="31" s="1"/>
  <c r="CD29" i="31" s="1"/>
  <c r="OV30" i="31"/>
  <c r="NW29" i="31"/>
  <c r="NX29" i="31" s="1"/>
  <c r="NY29" i="31" s="1"/>
  <c r="CX29" i="31"/>
  <c r="FV29" i="31"/>
  <c r="FR29" i="31"/>
  <c r="NU29" i="31"/>
  <c r="CE29" i="31" l="1"/>
  <c r="CG29" i="31" s="1"/>
  <c r="CI29" i="31" s="1"/>
  <c r="CB29" i="31"/>
  <c r="OF29" i="31"/>
  <c r="OS30" i="31" s="1"/>
  <c r="NZ29" i="31"/>
  <c r="OA29" i="31" s="1"/>
  <c r="MV30" i="31" s="1"/>
  <c r="MY29" i="31"/>
  <c r="OI29" i="31" s="1"/>
  <c r="CY30" i="31"/>
  <c r="OB29" i="31"/>
  <c r="OT30" i="31" s="1"/>
  <c r="NV29" i="31"/>
  <c r="CF29" i="31" l="1"/>
  <c r="PA29" i="31"/>
  <c r="CJ29" i="31"/>
  <c r="CO29" i="31" s="1"/>
  <c r="CK29" i="31"/>
  <c r="OC29" i="31"/>
  <c r="OD30" i="31" s="1"/>
  <c r="OH30" i="31" s="1"/>
  <c r="OJ29" i="31"/>
  <c r="OM30" i="31"/>
  <c r="OO30" i="31"/>
  <c r="KT30" i="31" s="1"/>
  <c r="NF30" i="31"/>
  <c r="OW29" i="31"/>
  <c r="MR30" i="31"/>
  <c r="OX30" i="31"/>
  <c r="MZ30" i="31"/>
  <c r="OZ29" i="31"/>
  <c r="CH29" i="31"/>
  <c r="OG30" i="31"/>
  <c r="OK30" i="31" l="1"/>
  <c r="KL30" i="31"/>
  <c r="KN31" i="31" s="1"/>
  <c r="KM30" i="31"/>
  <c r="KO31" i="31" s="1"/>
  <c r="MS30" i="31"/>
  <c r="OY30" i="31"/>
  <c r="MW30" i="31"/>
  <c r="CL29" i="31"/>
  <c r="CM29" i="31"/>
  <c r="CN29" i="31" s="1"/>
  <c r="CP29" i="31" l="1"/>
  <c r="GB29" i="31" s="1"/>
  <c r="GC29" i="31" s="1"/>
  <c r="MU30" i="31"/>
  <c r="NQ30" i="31"/>
  <c r="NP30" i="31"/>
  <c r="NJ30" i="31"/>
  <c r="MT30" i="31"/>
  <c r="NH31" i="31"/>
  <c r="NI31" i="31" s="1"/>
  <c r="MO30" i="31"/>
  <c r="PE30" i="31"/>
  <c r="KP31" i="31"/>
  <c r="KR30" i="31"/>
  <c r="MX30" i="31"/>
  <c r="KQ30" i="31"/>
  <c r="CQ29" i="31" l="1"/>
  <c r="CR29" i="31" s="1"/>
  <c r="FE29" i="31"/>
  <c r="FF29" i="31" s="1"/>
  <c r="HW29" i="31" s="1"/>
  <c r="HX30" i="31" s="1"/>
  <c r="FP29" i="31"/>
  <c r="FS29" i="31" s="1"/>
  <c r="DY29" i="31" s="1"/>
  <c r="GO29" i="31"/>
  <c r="FX29" i="31"/>
  <c r="FY29" i="31" s="1"/>
  <c r="HO29" i="31"/>
  <c r="HP29" i="31" s="1"/>
  <c r="KU29" i="31"/>
  <c r="JR29" i="31"/>
  <c r="JS29" i="31" s="1"/>
  <c r="KE29" i="31" s="1"/>
  <c r="KX29" i="31"/>
  <c r="DQ29" i="31"/>
  <c r="DR29" i="31" s="1"/>
  <c r="DS29" i="31" s="1"/>
  <c r="KS30" i="31"/>
  <c r="FU29" i="31"/>
  <c r="FW29" i="31" s="1"/>
  <c r="FH29" i="31"/>
  <c r="FI29" i="31" s="1"/>
  <c r="HU29" i="31" s="1"/>
  <c r="HV30" i="31" s="1"/>
  <c r="FZ29" i="31"/>
  <c r="GA29" i="31" s="1"/>
  <c r="NR30" i="31"/>
  <c r="NK30" i="31"/>
  <c r="NL30" i="31"/>
  <c r="NG31" i="31"/>
  <c r="OQ31" i="31"/>
  <c r="NB30" i="31"/>
  <c r="NA30" i="31"/>
  <c r="GN29" i="31" l="1"/>
  <c r="KV29" i="31" s="1"/>
  <c r="FG30" i="31"/>
  <c r="CS29" i="31"/>
  <c r="CT29" i="31"/>
  <c r="HA29" i="31"/>
  <c r="IA29" i="31"/>
  <c r="IB29" i="31" s="1"/>
  <c r="JU29" i="31"/>
  <c r="FJ30" i="31"/>
  <c r="HY29" i="31"/>
  <c r="IZ29" i="31"/>
  <c r="KC29" i="31"/>
  <c r="JT30" i="31"/>
  <c r="HT29" i="31"/>
  <c r="HS29" i="31"/>
  <c r="JG29" i="31" s="1"/>
  <c r="NC31" i="31"/>
  <c r="MQ31" i="31"/>
  <c r="OR31" i="31"/>
  <c r="AX29" i="31"/>
  <c r="AY30" i="31" s="1"/>
  <c r="AZ29" i="31"/>
  <c r="EM29" i="31"/>
  <c r="EW29" i="31" s="1"/>
  <c r="EN29" i="31"/>
  <c r="KW30" i="31" l="1"/>
  <c r="HQ29" i="31"/>
  <c r="HR30" i="31" s="1"/>
  <c r="GQ29" i="31"/>
  <c r="BB30" i="31"/>
  <c r="DW29" i="31"/>
  <c r="DU30" i="31" s="1"/>
  <c r="EQ29" i="31"/>
  <c r="IW29" i="31"/>
  <c r="ER30" i="31"/>
  <c r="IU29" i="31"/>
  <c r="IV29" i="31" s="1"/>
  <c r="IC29" i="31"/>
  <c r="ID29" i="31" s="1"/>
  <c r="IF29" i="31" s="1"/>
  <c r="KH29" i="31" s="1"/>
  <c r="JB29" i="31"/>
  <c r="EU30" i="31" l="1"/>
  <c r="KB29" i="31"/>
  <c r="IX29" i="31"/>
  <c r="KK29" i="31"/>
  <c r="DB29" i="31"/>
  <c r="DC29" i="31" s="1"/>
  <c r="DD30" i="31" s="1"/>
  <c r="DE31" i="31" s="1"/>
  <c r="IM29" i="31"/>
  <c r="GM29" i="31"/>
  <c r="KI30" i="31"/>
  <c r="IN29" i="31"/>
  <c r="DF29" i="31"/>
  <c r="BC30" i="31"/>
  <c r="KJ30" i="31" l="1"/>
  <c r="FD29" i="31"/>
  <c r="GU29" i="31"/>
  <c r="GV29" i="31"/>
  <c r="DT29" i="31"/>
  <c r="DZ29" i="31" s="1"/>
  <c r="GR29" i="31"/>
  <c r="GT31" i="31"/>
  <c r="BD30" i="31"/>
  <c r="BE30" i="31"/>
  <c r="BF30" i="31" l="1"/>
  <c r="BG30" i="31"/>
  <c r="IS29" i="31"/>
  <c r="FL30" i="31"/>
  <c r="GS29" i="31"/>
  <c r="FM30" i="31" l="1"/>
  <c r="JH29" i="31"/>
  <c r="JI29" i="31" s="1"/>
  <c r="IT29" i="31"/>
  <c r="BI30" i="31"/>
  <c r="BK30" i="31" s="1"/>
  <c r="BH30" i="31"/>
  <c r="GW29" i="31"/>
  <c r="HC29" i="31" s="1"/>
  <c r="FA30" i="31" s="1"/>
  <c r="HB30" i="31" s="1"/>
  <c r="GX29" i="31"/>
  <c r="GY29" i="31"/>
  <c r="BL30" i="31" l="1"/>
  <c r="BM30" i="31"/>
  <c r="EY29" i="31"/>
  <c r="HM29" i="31"/>
  <c r="EG29" i="31"/>
  <c r="EH30" i="31" s="1"/>
  <c r="EI30" i="31" s="1"/>
  <c r="FK30" i="31" s="1"/>
  <c r="HK30" i="31"/>
  <c r="BJ30" i="31"/>
  <c r="JK29" i="31"/>
  <c r="JZ29" i="31" s="1"/>
  <c r="KF29" i="31" s="1"/>
  <c r="IQ30" i="31" s="1"/>
  <c r="EJ29" i="31" l="1"/>
  <c r="EK30" i="31" s="1"/>
  <c r="ED29" i="31"/>
  <c r="EB30" i="31" s="1"/>
  <c r="EE29" i="31"/>
  <c r="EF30" i="31" s="1"/>
  <c r="JN29" i="31"/>
  <c r="JV29" i="31" s="1"/>
  <c r="JF30" i="31" s="1"/>
  <c r="EZ29" i="31"/>
  <c r="DG29" i="31"/>
  <c r="DH29" i="31" s="1"/>
  <c r="DI30" i="31" s="1"/>
  <c r="BN30" i="31"/>
  <c r="BO30" i="31"/>
  <c r="BP30" i="31" s="1"/>
  <c r="BQ30" i="31" s="1"/>
  <c r="JM29" i="31"/>
  <c r="KD29" i="31" s="1"/>
  <c r="IL30" i="31" s="1"/>
  <c r="JE30" i="31" s="1"/>
  <c r="JL29" i="31"/>
  <c r="JJ30" i="31" s="1"/>
  <c r="KA30" i="31"/>
  <c r="BR30" i="31" l="1"/>
  <c r="BS30" i="31"/>
  <c r="GZ30" i="31"/>
  <c r="IE30" i="31" s="1"/>
  <c r="DJ30" i="31"/>
  <c r="DK30" i="31" s="1"/>
  <c r="JC30" i="31"/>
  <c r="JD30" i="31"/>
  <c r="EO30" i="31"/>
  <c r="ES31" i="31" s="1"/>
  <c r="FC30" i="31"/>
  <c r="EP30" i="31"/>
  <c r="ET31" i="31" s="1"/>
  <c r="EL30" i="31"/>
  <c r="JX30" i="31" s="1"/>
  <c r="EV30" i="31"/>
  <c r="HZ30" i="31"/>
  <c r="IY30" i="31"/>
  <c r="IP30" i="31"/>
  <c r="IO30" i="31"/>
  <c r="DP30" i="31"/>
  <c r="IR30" i="31"/>
  <c r="JO30" i="31"/>
  <c r="JY30" i="31"/>
  <c r="JW30" i="31"/>
  <c r="JA30" i="31"/>
  <c r="KG30" i="31" l="1"/>
  <c r="FQ30" i="31"/>
  <c r="DM30" i="31"/>
  <c r="DX30" i="31"/>
  <c r="JP30" i="31"/>
  <c r="JQ30" i="31" s="1"/>
  <c r="EC30" i="31"/>
  <c r="BT30" i="31"/>
  <c r="BU30" i="31"/>
  <c r="BV30" i="31" l="1"/>
  <c r="BW30" i="31" s="1"/>
  <c r="EX30" i="31"/>
  <c r="M30" i="31" s="1"/>
  <c r="FB30" i="31"/>
  <c r="DL30" i="31"/>
  <c r="L31" i="31"/>
  <c r="BX30" i="31" l="1"/>
  <c r="BY30" i="31"/>
  <c r="MB30" i="31"/>
  <c r="MJ30" i="31"/>
  <c r="NS30" i="31" s="1"/>
  <c r="BZ30" i="31" l="1"/>
  <c r="CA30" i="31"/>
  <c r="CC30" i="31" s="1"/>
  <c r="NM30" i="31"/>
  <c r="NN30" i="31" s="1"/>
  <c r="NT30" i="31"/>
  <c r="OU31" i="31"/>
  <c r="CD30" i="31"/>
  <c r="CE30" i="31"/>
  <c r="CB30" i="31"/>
  <c r="OV31" i="31" l="1"/>
  <c r="NW30" i="31"/>
  <c r="FV30" i="31"/>
  <c r="FR30" i="31"/>
  <c r="CX30" i="31"/>
  <c r="NU30" i="31"/>
  <c r="NX30" i="31"/>
  <c r="CF30" i="31"/>
  <c r="CG30" i="31"/>
  <c r="CI30" i="31" s="1"/>
  <c r="NZ30" i="31" l="1"/>
  <c r="MY30" i="31"/>
  <c r="CY31" i="31"/>
  <c r="NV30" i="31"/>
  <c r="CJ30" i="31"/>
  <c r="CO30" i="31" s="1"/>
  <c r="CK30" i="31"/>
  <c r="NY30" i="31"/>
  <c r="OF30" i="31"/>
  <c r="OS31" i="31" s="1"/>
  <c r="CH30" i="31"/>
  <c r="OA30" i="31" l="1"/>
  <c r="MV31" i="31" s="1"/>
  <c r="OG31" i="31" s="1"/>
  <c r="CL30" i="31"/>
  <c r="CM30" i="31"/>
  <c r="CN30" i="31" s="1"/>
  <c r="NF31" i="31"/>
  <c r="OO31" i="31"/>
  <c r="OM31" i="31"/>
  <c r="OB30" i="31"/>
  <c r="OT31" i="31" s="1"/>
  <c r="MZ31" i="31"/>
  <c r="OZ30" i="31"/>
  <c r="OI30" i="31"/>
  <c r="KT31" i="31" l="1"/>
  <c r="KM31" i="31" s="1"/>
  <c r="KO32" i="31" s="1"/>
  <c r="PA30" i="31"/>
  <c r="OC30" i="31"/>
  <c r="OD31" i="31" s="1"/>
  <c r="OH31" i="31" s="1"/>
  <c r="OK31" i="31" s="1"/>
  <c r="OJ30" i="31"/>
  <c r="OW30" i="31"/>
  <c r="MR31" i="31"/>
  <c r="OX31" i="31"/>
  <c r="CP30" i="31"/>
  <c r="KL31" i="31" l="1"/>
  <c r="KN32" i="31" s="1"/>
  <c r="KQ31" i="31" s="1"/>
  <c r="MW31" i="31"/>
  <c r="OY31" i="31"/>
  <c r="FX30" i="31"/>
  <c r="FY30" i="31" s="1"/>
  <c r="FH30" i="31"/>
  <c r="FI30" i="31" s="1"/>
  <c r="CQ30" i="31"/>
  <c r="HO30" i="31"/>
  <c r="FP30" i="31"/>
  <c r="FS30" i="31" s="1"/>
  <c r="FZ30" i="31"/>
  <c r="GA30" i="31" s="1"/>
  <c r="GB30" i="31"/>
  <c r="GC30" i="31" s="1"/>
  <c r="JR30" i="31"/>
  <c r="JS30" i="31" s="1"/>
  <c r="KU30" i="31"/>
  <c r="DQ30" i="31"/>
  <c r="DR30" i="31" s="1"/>
  <c r="FE30" i="31"/>
  <c r="FF30" i="31" s="1"/>
  <c r="FU30" i="31"/>
  <c r="FW30" i="31" s="1"/>
  <c r="KX30" i="31"/>
  <c r="GN30" i="31" s="1"/>
  <c r="GO30" i="31"/>
  <c r="MS31" i="31"/>
  <c r="KR31" i="31"/>
  <c r="KP32" i="31" l="1"/>
  <c r="KS31" i="31"/>
  <c r="HY30" i="31"/>
  <c r="DY30" i="31"/>
  <c r="HA30" i="31"/>
  <c r="IZ30" i="31"/>
  <c r="HP30" i="31"/>
  <c r="IA30" i="31"/>
  <c r="IB30" i="31" s="1"/>
  <c r="GQ30" i="31"/>
  <c r="KV30" i="31"/>
  <c r="HW30" i="31"/>
  <c r="HX31" i="31" s="1"/>
  <c r="FG31" i="31"/>
  <c r="CS30" i="31"/>
  <c r="CR30" i="31"/>
  <c r="CT30" i="31"/>
  <c r="DS30" i="31"/>
  <c r="HU30" i="31"/>
  <c r="HV31" i="31" s="1"/>
  <c r="FJ31" i="31"/>
  <c r="JU30" i="31"/>
  <c r="KC30" i="31"/>
  <c r="KE30" i="31"/>
  <c r="JT31" i="31"/>
  <c r="MU31" i="31"/>
  <c r="MO31" i="31"/>
  <c r="NQ31" i="31"/>
  <c r="MT31" i="31"/>
  <c r="NP31" i="31"/>
  <c r="NH32" i="31"/>
  <c r="NI32" i="31" s="1"/>
  <c r="NJ31" i="31"/>
  <c r="PE31" i="31"/>
  <c r="MX31" i="31"/>
  <c r="KW31" i="31" l="1"/>
  <c r="HQ30" i="31"/>
  <c r="HR31" i="31" s="1"/>
  <c r="NB31" i="31"/>
  <c r="NA31" i="31"/>
  <c r="AX30" i="31"/>
  <c r="AY31" i="31" s="1"/>
  <c r="AZ30" i="31"/>
  <c r="EM30" i="31"/>
  <c r="EW30" i="31" s="1"/>
  <c r="EN30" i="31"/>
  <c r="NK31" i="31"/>
  <c r="NL31" i="31"/>
  <c r="NG32" i="31"/>
  <c r="OQ32" i="31"/>
  <c r="HT30" i="31"/>
  <c r="HS30" i="31"/>
  <c r="JG30" i="31" s="1"/>
  <c r="NR31" i="31"/>
  <c r="BB31" i="31" l="1"/>
  <c r="IW30" i="31"/>
  <c r="EQ30" i="31"/>
  <c r="DW30" i="31"/>
  <c r="DU31" i="31" s="1"/>
  <c r="ER31" i="31"/>
  <c r="IU30" i="31"/>
  <c r="IV30" i="31" s="1"/>
  <c r="OR32" i="31"/>
  <c r="IC30" i="31"/>
  <c r="ID30" i="31" s="1"/>
  <c r="IF30" i="31" s="1"/>
  <c r="KH30" i="31" s="1"/>
  <c r="JB30" i="31"/>
  <c r="NC32" i="31"/>
  <c r="MQ32" i="31"/>
  <c r="DB30" i="31" l="1"/>
  <c r="DC30" i="31" s="1"/>
  <c r="DD31" i="31" s="1"/>
  <c r="DE32" i="31" s="1"/>
  <c r="GM30" i="31"/>
  <c r="IM30" i="31"/>
  <c r="KI31" i="31"/>
  <c r="IN30" i="31"/>
  <c r="DF30" i="31"/>
  <c r="EU31" i="31"/>
  <c r="KB30" i="31"/>
  <c r="IX30" i="31"/>
  <c r="KK30" i="31"/>
  <c r="BC31" i="31"/>
  <c r="GU30" i="31" l="1"/>
  <c r="FD30" i="31"/>
  <c r="GV30" i="31"/>
  <c r="KJ31" i="31"/>
  <c r="DT30" i="31"/>
  <c r="DZ30" i="31" s="1"/>
  <c r="GR30" i="31"/>
  <c r="BE31" i="31"/>
  <c r="BD31" i="31"/>
  <c r="GT32" i="31"/>
  <c r="IS30" i="31" l="1"/>
  <c r="FL31" i="31"/>
  <c r="BG31" i="31"/>
  <c r="BF31" i="31"/>
  <c r="GS30" i="31"/>
  <c r="BI31" i="31" l="1"/>
  <c r="BK31" i="31" s="1"/>
  <c r="BH31" i="31"/>
  <c r="FM31" i="31"/>
  <c r="GW30" i="31"/>
  <c r="HC30" i="31" s="1"/>
  <c r="FA31" i="31" s="1"/>
  <c r="HB31" i="31" s="1"/>
  <c r="GX30" i="31"/>
  <c r="GY30" i="31"/>
  <c r="JH30" i="31"/>
  <c r="JI30" i="31" s="1"/>
  <c r="IT30" i="31"/>
  <c r="BJ31" i="31" l="1"/>
  <c r="JK30" i="31"/>
  <c r="JN30" i="31" s="1"/>
  <c r="JV30" i="31" s="1"/>
  <c r="JF31" i="31" s="1"/>
  <c r="EY30" i="31"/>
  <c r="EG30" i="31"/>
  <c r="EH31" i="31" s="1"/>
  <c r="EI31" i="31" s="1"/>
  <c r="FK31" i="31" s="1"/>
  <c r="HM30" i="31"/>
  <c r="HK31" i="31"/>
  <c r="BL31" i="31"/>
  <c r="BM31" i="31"/>
  <c r="JM30" i="31" l="1"/>
  <c r="KD30" i="31" s="1"/>
  <c r="IL31" i="31" s="1"/>
  <c r="EZ30" i="31"/>
  <c r="DG30" i="31"/>
  <c r="DH30" i="31" s="1"/>
  <c r="DI31" i="31" s="1"/>
  <c r="BN31" i="31"/>
  <c r="BO31" i="31"/>
  <c r="EE30" i="31"/>
  <c r="EF31" i="31" s="1"/>
  <c r="EJ30" i="31"/>
  <c r="EK31" i="31" s="1"/>
  <c r="ED30" i="31"/>
  <c r="EB31" i="31" s="1"/>
  <c r="JY31" i="31"/>
  <c r="JW31" i="31"/>
  <c r="JZ30" i="31"/>
  <c r="KF30" i="31" s="1"/>
  <c r="IQ31" i="31" s="1"/>
  <c r="JL30" i="31"/>
  <c r="JJ31" i="31" s="1"/>
  <c r="KA31" i="31"/>
  <c r="EL31" i="31" l="1"/>
  <c r="FC31" i="31"/>
  <c r="EP31" i="31"/>
  <c r="ET32" i="31" s="1"/>
  <c r="EO31" i="31"/>
  <c r="ES32" i="31" s="1"/>
  <c r="EV31" i="31"/>
  <c r="BP31" i="31"/>
  <c r="BQ31" i="31" s="1"/>
  <c r="JC31" i="31"/>
  <c r="JD31" i="31"/>
  <c r="HZ31" i="31"/>
  <c r="GZ31" i="31"/>
  <c r="IE31" i="31" s="1"/>
  <c r="DJ31" i="31"/>
  <c r="DK31" i="31" s="1"/>
  <c r="IP31" i="31"/>
  <c r="DP31" i="31"/>
  <c r="JE31" i="31"/>
  <c r="IY31" i="31"/>
  <c r="JO31" i="31"/>
  <c r="JA31" i="31"/>
  <c r="IR31" i="31"/>
  <c r="IO31" i="31"/>
  <c r="KG31" i="31" l="1"/>
  <c r="JX31" i="31"/>
  <c r="BR31" i="31"/>
  <c r="BS31" i="31"/>
  <c r="JP31" i="31"/>
  <c r="JQ31" i="31" s="1"/>
  <c r="FQ31" i="31"/>
  <c r="DM31" i="31"/>
  <c r="DX31" i="31"/>
  <c r="EC31" i="31"/>
  <c r="DL31" i="31" l="1"/>
  <c r="L32" i="31"/>
  <c r="BT31" i="31"/>
  <c r="BU31" i="31"/>
  <c r="FB31" i="31"/>
  <c r="EX31" i="31"/>
  <c r="M31" i="31" s="1"/>
  <c r="BV31" i="31" l="1"/>
  <c r="BW31" i="31" s="1"/>
  <c r="MB31" i="31"/>
  <c r="MJ31" i="31"/>
  <c r="NS31" i="31" s="1"/>
  <c r="BY31" i="31" l="1"/>
  <c r="BX31" i="31"/>
  <c r="NM31" i="31"/>
  <c r="NN31" i="31" s="1"/>
  <c r="NT31" i="31"/>
  <c r="OU32" i="31"/>
  <c r="BZ31" i="31" l="1"/>
  <c r="CA31" i="31"/>
  <c r="CC31" i="31" s="1"/>
  <c r="CD31" i="31" s="1"/>
  <c r="OV32" i="31"/>
  <c r="NW31" i="31"/>
  <c r="NX31" i="31" s="1"/>
  <c r="CE31" i="31"/>
  <c r="CX31" i="31"/>
  <c r="FV31" i="31"/>
  <c r="FR31" i="31"/>
  <c r="NU31" i="31"/>
  <c r="CB31" i="31" l="1"/>
  <c r="CF31" i="31"/>
  <c r="CG31" i="31"/>
  <c r="CI31" i="31" s="1"/>
  <c r="NV31" i="31"/>
  <c r="NZ31" i="31"/>
  <c r="MY31" i="31"/>
  <c r="CY32" i="31"/>
  <c r="NY31" i="31"/>
  <c r="OF31" i="31"/>
  <c r="OS32" i="31" s="1"/>
  <c r="CH31" i="31" l="1"/>
  <c r="OI31" i="31"/>
  <c r="OW31" i="31" s="1"/>
  <c r="OA31" i="31"/>
  <c r="MV32" i="31" s="1"/>
  <c r="CJ31" i="31"/>
  <c r="CO31" i="31" s="1"/>
  <c r="CK31" i="31"/>
  <c r="NF32" i="31"/>
  <c r="OO32" i="31"/>
  <c r="OM32" i="31"/>
  <c r="OB31" i="31"/>
  <c r="OT32" i="31" s="1"/>
  <c r="MZ32" i="31"/>
  <c r="OZ31" i="31"/>
  <c r="MR32" i="31" l="1"/>
  <c r="MS32" i="31" s="1"/>
  <c r="OX32" i="31"/>
  <c r="CL31" i="31"/>
  <c r="CM31" i="31"/>
  <c r="CN31" i="31" s="1"/>
  <c r="KT32" i="31"/>
  <c r="OG32" i="31"/>
  <c r="OJ31" i="31"/>
  <c r="PA31" i="31"/>
  <c r="OC31" i="31"/>
  <c r="OD32" i="31" s="1"/>
  <c r="OH32" i="31" s="1"/>
  <c r="MW32" i="31" l="1"/>
  <c r="OY32" i="31"/>
  <c r="NP32" i="31"/>
  <c r="NH33" i="31"/>
  <c r="NI33" i="31" s="1"/>
  <c r="MU32" i="31"/>
  <c r="MO32" i="31"/>
  <c r="NQ32" i="31"/>
  <c r="NR32" i="31" s="1"/>
  <c r="NJ32" i="31"/>
  <c r="MT32" i="31"/>
  <c r="PE32" i="31"/>
  <c r="OK32" i="31"/>
  <c r="KL32" i="31"/>
  <c r="KN33" i="31" s="1"/>
  <c r="KM32" i="31"/>
  <c r="KO33" i="31" s="1"/>
  <c r="CP31" i="31"/>
  <c r="NK32" i="31" l="1"/>
  <c r="NL32" i="31"/>
  <c r="NG33" i="31"/>
  <c r="OQ33" i="31"/>
  <c r="KQ32" i="31"/>
  <c r="KP33" i="31"/>
  <c r="KR32" i="31"/>
  <c r="FX31" i="31"/>
  <c r="FY31" i="31" s="1"/>
  <c r="FU31" i="31"/>
  <c r="FW31" i="31" s="1"/>
  <c r="FE31" i="31"/>
  <c r="FF31" i="31" s="1"/>
  <c r="FP31" i="31"/>
  <c r="FS31" i="31" s="1"/>
  <c r="HO31" i="31"/>
  <c r="JR31" i="31"/>
  <c r="JS31" i="31" s="1"/>
  <c r="CQ31" i="31"/>
  <c r="FZ31" i="31"/>
  <c r="GA31" i="31" s="1"/>
  <c r="FH31" i="31"/>
  <c r="FI31" i="31" s="1"/>
  <c r="KX31" i="31"/>
  <c r="GB31" i="31"/>
  <c r="GC31" i="31" s="1"/>
  <c r="GO31" i="31"/>
  <c r="DQ31" i="31"/>
  <c r="DR31" i="31" s="1"/>
  <c r="KU31" i="31"/>
  <c r="MX32" i="31"/>
  <c r="GN31" i="31" l="1"/>
  <c r="GQ31" i="31" s="1"/>
  <c r="KS32" i="31"/>
  <c r="HW31" i="31"/>
  <c r="HX32" i="31" s="1"/>
  <c r="FG32" i="31"/>
  <c r="OR33" i="31"/>
  <c r="NB32" i="31"/>
  <c r="NA32" i="31"/>
  <c r="CR31" i="31"/>
  <c r="CS31" i="31"/>
  <c r="CT31" i="31"/>
  <c r="HA31" i="31"/>
  <c r="HY31" i="31"/>
  <c r="DY31" i="31"/>
  <c r="KE31" i="31"/>
  <c r="KC31" i="31"/>
  <c r="JU31" i="31"/>
  <c r="JT32" i="31"/>
  <c r="NC33" i="31"/>
  <c r="MQ33" i="31"/>
  <c r="HU31" i="31"/>
  <c r="HV32" i="31" s="1"/>
  <c r="FJ32" i="31"/>
  <c r="DS31" i="31"/>
  <c r="IA31" i="31"/>
  <c r="IB31" i="31" s="1"/>
  <c r="HP31" i="31"/>
  <c r="IZ31" i="31"/>
  <c r="KV31" i="31" l="1"/>
  <c r="KW32" i="31" s="1"/>
  <c r="HT31" i="31"/>
  <c r="HS31" i="31"/>
  <c r="JG31" i="31" s="1"/>
  <c r="AX31" i="31"/>
  <c r="AY32" i="31" s="1"/>
  <c r="AZ31" i="31"/>
  <c r="EM31" i="31"/>
  <c r="EW31" i="31" s="1"/>
  <c r="EN31" i="31"/>
  <c r="HQ31" i="31" l="1"/>
  <c r="HR32" i="31" s="1"/>
  <c r="BB32" i="31"/>
  <c r="DW31" i="31"/>
  <c r="DU32" i="31" s="1"/>
  <c r="EQ31" i="31"/>
  <c r="IW31" i="31"/>
  <c r="ER32" i="31"/>
  <c r="IU31" i="31"/>
  <c r="IV31" i="31" s="1"/>
  <c r="IC31" i="31"/>
  <c r="ID31" i="31" s="1"/>
  <c r="IF31" i="31" s="1"/>
  <c r="KH31" i="31" s="1"/>
  <c r="JB31" i="31"/>
  <c r="EU32" i="31" l="1"/>
  <c r="KB31" i="31"/>
  <c r="IX31" i="31"/>
  <c r="KK31" i="31"/>
  <c r="IM31" i="31"/>
  <c r="DB31" i="31"/>
  <c r="DC31" i="31" s="1"/>
  <c r="DD32" i="31" s="1"/>
  <c r="DE33" i="31" s="1"/>
  <c r="GM31" i="31"/>
  <c r="KI32" i="31"/>
  <c r="IN31" i="31"/>
  <c r="DF31" i="31"/>
  <c r="BC32" i="31"/>
  <c r="DT31" i="31" l="1"/>
  <c r="DZ31" i="31" s="1"/>
  <c r="KJ32" i="31"/>
  <c r="GR31" i="31"/>
  <c r="GT33" i="31"/>
  <c r="BD32" i="31"/>
  <c r="BE32" i="31"/>
  <c r="FD31" i="31"/>
  <c r="GU31" i="31"/>
  <c r="GV31" i="31"/>
  <c r="BF32" i="31" l="1"/>
  <c r="BG32" i="31"/>
  <c r="GS31" i="31"/>
  <c r="IS31" i="31"/>
  <c r="FL32" i="31"/>
  <c r="GW31" i="31" l="1"/>
  <c r="HC31" i="31" s="1"/>
  <c r="FA32" i="31" s="1"/>
  <c r="HB32" i="31" s="1"/>
  <c r="GX31" i="31"/>
  <c r="GY31" i="31"/>
  <c r="JH31" i="31"/>
  <c r="JI31" i="31" s="1"/>
  <c r="IT31" i="31"/>
  <c r="BH32" i="31"/>
  <c r="BI32" i="31"/>
  <c r="BK32" i="31" s="1"/>
  <c r="FM32" i="31"/>
  <c r="JK31" i="31" l="1"/>
  <c r="JN31" i="31" s="1"/>
  <c r="JV31" i="31" s="1"/>
  <c r="JF32" i="31" s="1"/>
  <c r="BL32" i="31"/>
  <c r="BM32" i="31"/>
  <c r="EG31" i="31"/>
  <c r="EH32" i="31" s="1"/>
  <c r="EI32" i="31" s="1"/>
  <c r="FK32" i="31" s="1"/>
  <c r="EY31" i="31"/>
  <c r="HM31" i="31"/>
  <c r="HK32" i="31"/>
  <c r="BJ32" i="31"/>
  <c r="JM31" i="31" l="1"/>
  <c r="KD31" i="31" s="1"/>
  <c r="IL32" i="31" s="1"/>
  <c r="JW32" i="31"/>
  <c r="JY32" i="31"/>
  <c r="EJ31" i="31"/>
  <c r="EK32" i="31" s="1"/>
  <c r="EE31" i="31"/>
  <c r="EF32" i="31" s="1"/>
  <c r="ED31" i="31"/>
  <c r="EB32" i="31" s="1"/>
  <c r="BN32" i="31"/>
  <c r="BO32" i="31"/>
  <c r="EZ31" i="31"/>
  <c r="DG31" i="31"/>
  <c r="DH31" i="31" s="1"/>
  <c r="DI32" i="31" s="1"/>
  <c r="JZ31" i="31"/>
  <c r="KF31" i="31" s="1"/>
  <c r="IQ32" i="31" s="1"/>
  <c r="JL31" i="31"/>
  <c r="JJ32" i="31" s="1"/>
  <c r="KA32" i="31"/>
  <c r="EO32" i="31" l="1"/>
  <c r="ES33" i="31" s="1"/>
  <c r="EP32" i="31"/>
  <c r="ET33" i="31" s="1"/>
  <c r="EL32" i="31"/>
  <c r="FC32" i="31"/>
  <c r="EV32" i="31"/>
  <c r="GZ32" i="31"/>
  <c r="IE32" i="31" s="1"/>
  <c r="DJ32" i="31"/>
  <c r="DK32" i="31" s="1"/>
  <c r="JC32" i="31"/>
  <c r="JD32" i="31"/>
  <c r="DP32" i="31"/>
  <c r="IO32" i="31"/>
  <c r="HZ32" i="31"/>
  <c r="IP32" i="31"/>
  <c r="BP32" i="31"/>
  <c r="BQ32" i="31" s="1"/>
  <c r="IR32" i="31"/>
  <c r="IY32" i="31"/>
  <c r="JA32" i="31"/>
  <c r="JE32" i="31"/>
  <c r="JO32" i="31"/>
  <c r="KG32" i="31" l="1"/>
  <c r="JX32" i="31"/>
  <c r="BR32" i="31"/>
  <c r="BS32" i="31"/>
  <c r="EC32" i="31"/>
  <c r="DM32" i="31"/>
  <c r="FQ32" i="31"/>
  <c r="DX32" i="31"/>
  <c r="JP32" i="31"/>
  <c r="JQ32" i="31" s="1"/>
  <c r="DL32" i="31" l="1"/>
  <c r="L33" i="31"/>
  <c r="EX32" i="31"/>
  <c r="M32" i="31" s="1"/>
  <c r="FB32" i="31"/>
  <c r="BT32" i="31"/>
  <c r="BU32" i="31"/>
  <c r="BV32" i="31" l="1"/>
  <c r="BW32" i="31" s="1"/>
  <c r="MJ32" i="31"/>
  <c r="NS32" i="31" s="1"/>
  <c r="MB32" i="31"/>
  <c r="BY32" i="31" l="1"/>
  <c r="BX32" i="31"/>
  <c r="NM32" i="31"/>
  <c r="NN32" i="31" s="1"/>
  <c r="NT32" i="31"/>
  <c r="OU33" i="31"/>
  <c r="BZ32" i="31" l="1"/>
  <c r="CA32" i="31"/>
  <c r="CC32" i="31" s="1"/>
  <c r="CE32" i="31" s="1"/>
  <c r="OV33" i="31"/>
  <c r="NW32" i="31"/>
  <c r="NX32" i="31" s="1"/>
  <c r="FV32" i="31"/>
  <c r="CX32" i="31"/>
  <c r="FR32" i="31"/>
  <c r="NU32" i="31"/>
  <c r="CD32" i="31" l="1"/>
  <c r="CB32" i="31"/>
  <c r="NZ32" i="31"/>
  <c r="MY32" i="31"/>
  <c r="CY33" i="31"/>
  <c r="NY32" i="31"/>
  <c r="OF32" i="31"/>
  <c r="OS33" i="31" s="1"/>
  <c r="NV32" i="31"/>
  <c r="CF32" i="31"/>
  <c r="CG32" i="31"/>
  <c r="CI32" i="31" s="1"/>
  <c r="OO33" i="31" l="1"/>
  <c r="NF33" i="31"/>
  <c r="OM33" i="31"/>
  <c r="OB32" i="31"/>
  <c r="OT33" i="31" s="1"/>
  <c r="OI32" i="31"/>
  <c r="CJ32" i="31"/>
  <c r="CO32" i="31" s="1"/>
  <c r="CK32" i="31"/>
  <c r="MZ33" i="31"/>
  <c r="OZ32" i="31"/>
  <c r="CH32" i="31"/>
  <c r="OA32" i="31"/>
  <c r="MV33" i="31" s="1"/>
  <c r="PA32" i="31" l="1"/>
  <c r="OJ32" i="31"/>
  <c r="MW33" i="31" s="1"/>
  <c r="OC32" i="31"/>
  <c r="OD33" i="31" s="1"/>
  <c r="OH33" i="31" s="1"/>
  <c r="CL32" i="31"/>
  <c r="CM32" i="31"/>
  <c r="CN32" i="31" s="1"/>
  <c r="OX33" i="31"/>
  <c r="OW32" i="31"/>
  <c r="MR33" i="31"/>
  <c r="OG33" i="31"/>
  <c r="KT33" i="31"/>
  <c r="OK33" i="31" l="1"/>
  <c r="CP32" i="31"/>
  <c r="FU32" i="31" s="1"/>
  <c r="FW32" i="31" s="1"/>
  <c r="OY33" i="31"/>
  <c r="MX33" i="31"/>
  <c r="MS33" i="31"/>
  <c r="KM33" i="31"/>
  <c r="KO34" i="31" s="1"/>
  <c r="KL33" i="31"/>
  <c r="KN34" i="31" s="1"/>
  <c r="CQ32" i="31"/>
  <c r="KX32" i="31" l="1"/>
  <c r="FX32" i="31"/>
  <c r="FY32" i="31" s="1"/>
  <c r="GB32" i="31"/>
  <c r="GC32" i="31" s="1"/>
  <c r="DQ32" i="31"/>
  <c r="DR32" i="31" s="1"/>
  <c r="DS32" i="31" s="1"/>
  <c r="FZ32" i="31"/>
  <c r="GA32" i="31" s="1"/>
  <c r="FH32" i="31"/>
  <c r="FI32" i="31" s="1"/>
  <c r="FJ33" i="31" s="1"/>
  <c r="JR32" i="31"/>
  <c r="JS32" i="31" s="1"/>
  <c r="KE32" i="31" s="1"/>
  <c r="KU32" i="31"/>
  <c r="FE32" i="31"/>
  <c r="FF32" i="31" s="1"/>
  <c r="HW32" i="31" s="1"/>
  <c r="HX33" i="31" s="1"/>
  <c r="FP32" i="31"/>
  <c r="FS32" i="31" s="1"/>
  <c r="HY32" i="31" s="1"/>
  <c r="GO32" i="31"/>
  <c r="HO32" i="31"/>
  <c r="IA32" i="31" s="1"/>
  <c r="IB32" i="31" s="1"/>
  <c r="NP33" i="31"/>
  <c r="NQ33" i="31"/>
  <c r="MU33" i="31"/>
  <c r="MO33" i="31"/>
  <c r="NJ33" i="31"/>
  <c r="MT33" i="31"/>
  <c r="NH34" i="31"/>
  <c r="NI34" i="31" s="1"/>
  <c r="PE33" i="31"/>
  <c r="CT32" i="31"/>
  <c r="CS32" i="31"/>
  <c r="CR32" i="31"/>
  <c r="KQ33" i="31"/>
  <c r="KP34" i="31"/>
  <c r="KR33" i="31"/>
  <c r="NB33" i="31"/>
  <c r="NA33" i="31"/>
  <c r="GN32" i="31" l="1"/>
  <c r="KV32" i="31" s="1"/>
  <c r="HU32" i="31"/>
  <c r="HV33" i="31" s="1"/>
  <c r="KC32" i="31"/>
  <c r="JT33" i="31"/>
  <c r="FG33" i="31"/>
  <c r="JU32" i="31"/>
  <c r="NR33" i="31"/>
  <c r="HA32" i="31"/>
  <c r="HP32" i="31"/>
  <c r="HT32" i="31" s="1"/>
  <c r="IZ32" i="31"/>
  <c r="DY32" i="31"/>
  <c r="KS33" i="31"/>
  <c r="AX32" i="31"/>
  <c r="AY33" i="31" s="1"/>
  <c r="EN32" i="31"/>
  <c r="EM32" i="31"/>
  <c r="EW32" i="31" s="1"/>
  <c r="AZ32" i="31"/>
  <c r="NK33" i="31"/>
  <c r="NL33" i="31"/>
  <c r="NG34" i="31"/>
  <c r="OQ34" i="31"/>
  <c r="GQ32" i="31" l="1"/>
  <c r="KW33" i="31"/>
  <c r="HQ32" i="31"/>
  <c r="HR33" i="31" s="1"/>
  <c r="HS32" i="31"/>
  <c r="JG32" i="31" s="1"/>
  <c r="NC34" i="31"/>
  <c r="MQ34" i="31"/>
  <c r="IC32" i="31"/>
  <c r="ID32" i="31" s="1"/>
  <c r="IF32" i="31" s="1"/>
  <c r="KH32" i="31" s="1"/>
  <c r="JB32" i="31"/>
  <c r="BB33" i="31"/>
  <c r="EQ32" i="31"/>
  <c r="DW32" i="31"/>
  <c r="DU33" i="31" s="1"/>
  <c r="IW32" i="31"/>
  <c r="ER33" i="31"/>
  <c r="IU32" i="31"/>
  <c r="IV32" i="31" s="1"/>
  <c r="OR34" i="31"/>
  <c r="KB32" i="31" l="1"/>
  <c r="IX32" i="31"/>
  <c r="KK32" i="31"/>
  <c r="EU33" i="31"/>
  <c r="BC33" i="31"/>
  <c r="GM32" i="31"/>
  <c r="DB32" i="31"/>
  <c r="DC32" i="31" s="1"/>
  <c r="DD33" i="31" s="1"/>
  <c r="DE34" i="31" s="1"/>
  <c r="IM32" i="31"/>
  <c r="KI33" i="31"/>
  <c r="IN32" i="31"/>
  <c r="DF32" i="31"/>
  <c r="FD32" i="31" l="1"/>
  <c r="GV32" i="31"/>
  <c r="GU32" i="31"/>
  <c r="GR32" i="31"/>
  <c r="DT32" i="31"/>
  <c r="DZ32" i="31" s="1"/>
  <c r="KJ33" i="31"/>
  <c r="BE33" i="31"/>
  <c r="BD33" i="31"/>
  <c r="GT34" i="31"/>
  <c r="GS32" i="31" l="1"/>
  <c r="IS32" i="31"/>
  <c r="FL33" i="31"/>
  <c r="BF33" i="31"/>
  <c r="BG33" i="31"/>
  <c r="BH33" i="31" l="1"/>
  <c r="BI33" i="31"/>
  <c r="BK33" i="31" s="1"/>
  <c r="JH32" i="31"/>
  <c r="JI32" i="31" s="1"/>
  <c r="IT32" i="31"/>
  <c r="GW32" i="31"/>
  <c r="HC32" i="31" s="1"/>
  <c r="FA33" i="31" s="1"/>
  <c r="HB33" i="31" s="1"/>
  <c r="GY32" i="31"/>
  <c r="GX32" i="31"/>
  <c r="FM33" i="31"/>
  <c r="JK32" i="31" l="1"/>
  <c r="JN32" i="31" s="1"/>
  <c r="JV32" i="31" s="1"/>
  <c r="JF33" i="31" s="1"/>
  <c r="HM32" i="31"/>
  <c r="EG32" i="31"/>
  <c r="EH33" i="31" s="1"/>
  <c r="EI33" i="31" s="1"/>
  <c r="FK33" i="31" s="1"/>
  <c r="EY32" i="31"/>
  <c r="HK33" i="31"/>
  <c r="BL33" i="31"/>
  <c r="BM33" i="31"/>
  <c r="BJ33" i="31"/>
  <c r="JM32" i="31" l="1"/>
  <c r="KD32" i="31" s="1"/>
  <c r="IL33" i="31" s="1"/>
  <c r="JW33" i="31"/>
  <c r="JY33" i="31"/>
  <c r="ED32" i="31"/>
  <c r="EB33" i="31" s="1"/>
  <c r="EJ32" i="31"/>
  <c r="EK33" i="31" s="1"/>
  <c r="EE32" i="31"/>
  <c r="EF33" i="31" s="1"/>
  <c r="BO33" i="31"/>
  <c r="BN33" i="31"/>
  <c r="JZ32" i="31"/>
  <c r="KF32" i="31" s="1"/>
  <c r="IQ33" i="31" s="1"/>
  <c r="JL32" i="31"/>
  <c r="JJ33" i="31" s="1"/>
  <c r="KA33" i="31"/>
  <c r="EZ32" i="31"/>
  <c r="DG32" i="31"/>
  <c r="DH32" i="31" s="1"/>
  <c r="DI33" i="31" s="1"/>
  <c r="IO33" i="31" l="1"/>
  <c r="IP33" i="31"/>
  <c r="GZ33" i="31"/>
  <c r="IE33" i="31" s="1"/>
  <c r="DJ33" i="31"/>
  <c r="DK33" i="31" s="1"/>
  <c r="JC33" i="31"/>
  <c r="JD33" i="31"/>
  <c r="BP33" i="31"/>
  <c r="BQ33" i="31" s="1"/>
  <c r="DP33" i="31"/>
  <c r="EP33" i="31"/>
  <c r="ET34" i="31" s="1"/>
  <c r="EL33" i="31"/>
  <c r="FC33" i="31"/>
  <c r="EO33" i="31"/>
  <c r="ES34" i="31" s="1"/>
  <c r="EV33" i="31"/>
  <c r="IY33" i="31"/>
  <c r="JO33" i="31"/>
  <c r="JA33" i="31"/>
  <c r="IR33" i="31"/>
  <c r="JE33" i="31"/>
  <c r="HZ33" i="31"/>
  <c r="JP33" i="31" l="1"/>
  <c r="JQ33" i="31" s="1"/>
  <c r="KG33" i="31"/>
  <c r="BR33" i="31"/>
  <c r="BS33" i="31"/>
  <c r="EC33" i="31"/>
  <c r="DX33" i="31"/>
  <c r="DM33" i="31"/>
  <c r="FQ33" i="31"/>
  <c r="JX33" i="31"/>
  <c r="EX33" i="31" l="1"/>
  <c r="M33" i="31" s="1"/>
  <c r="FB33" i="31"/>
  <c r="BT33" i="31"/>
  <c r="BU33" i="31"/>
  <c r="DL33" i="31"/>
  <c r="L34" i="31"/>
  <c r="MJ33" i="31" l="1"/>
  <c r="NS33" i="31" s="1"/>
  <c r="MB33" i="31"/>
  <c r="NM33" i="31" s="1"/>
  <c r="NN33" i="31" s="1"/>
  <c r="BV33" i="31"/>
  <c r="BW33" i="31" s="1"/>
  <c r="BX33" i="31" l="1"/>
  <c r="BY33" i="31"/>
  <c r="OV34" i="31"/>
  <c r="NW33" i="31"/>
  <c r="NT33" i="31"/>
  <c r="OU34" i="31"/>
  <c r="BZ33" i="31" l="1"/>
  <c r="CA33" i="31"/>
  <c r="CC33" i="31" s="1"/>
  <c r="CD33" i="31" s="1"/>
  <c r="FR33" i="31"/>
  <c r="FV33" i="31"/>
  <c r="CX33" i="31"/>
  <c r="NU33" i="31"/>
  <c r="NX33" i="31"/>
  <c r="OF33" i="31" s="1"/>
  <c r="OS34" i="31" s="1"/>
  <c r="CB33" i="31" l="1"/>
  <c r="CE33" i="31"/>
  <c r="CF33" i="31" s="1"/>
  <c r="MY33" i="31"/>
  <c r="NZ33" i="31"/>
  <c r="CY34" i="31"/>
  <c r="NV33" i="31"/>
  <c r="NY33" i="31"/>
  <c r="CG33" i="31" l="1"/>
  <c r="CI33" i="31" s="1"/>
  <c r="CK33" i="31" s="1"/>
  <c r="OB33" i="31"/>
  <c r="OT34" i="31" s="1"/>
  <c r="OI33" i="31"/>
  <c r="OM34" i="31"/>
  <c r="NF34" i="31"/>
  <c r="OO34" i="31"/>
  <c r="OA33" i="31"/>
  <c r="MV34" i="31" s="1"/>
  <c r="MZ34" i="31"/>
  <c r="OZ33" i="31"/>
  <c r="CJ33" i="31" l="1"/>
  <c r="CO33" i="31" s="1"/>
  <c r="CH33" i="31"/>
  <c r="OJ33" i="31"/>
  <c r="OX34" i="31"/>
  <c r="MR34" i="31"/>
  <c r="OW33" i="31"/>
  <c r="OC33" i="31"/>
  <c r="OD34" i="31" s="1"/>
  <c r="OH34" i="31" s="1"/>
  <c r="CL33" i="31"/>
  <c r="CM33" i="31"/>
  <c r="CN33" i="31" s="1"/>
  <c r="KT34" i="31"/>
  <c r="OG34" i="31"/>
  <c r="PA33" i="31"/>
  <c r="OK34" i="31" l="1"/>
  <c r="CP33" i="31"/>
  <c r="MS34" i="31"/>
  <c r="KM34" i="31"/>
  <c r="KO35" i="31" s="1"/>
  <c r="KL34" i="31"/>
  <c r="KN35" i="31" s="1"/>
  <c r="OY34" i="31"/>
  <c r="MW34" i="31"/>
  <c r="KQ34" i="31" l="1"/>
  <c r="MX34" i="31"/>
  <c r="MU34" i="31"/>
  <c r="NH35" i="31"/>
  <c r="NI35" i="31" s="1"/>
  <c r="NQ34" i="31"/>
  <c r="NP34" i="31"/>
  <c r="NJ34" i="31"/>
  <c r="MT34" i="31"/>
  <c r="MO34" i="31"/>
  <c r="PE34" i="31"/>
  <c r="KP35" i="31"/>
  <c r="KR34" i="31"/>
  <c r="JR33" i="31"/>
  <c r="JS33" i="31" s="1"/>
  <c r="FP33" i="31"/>
  <c r="FS33" i="31" s="1"/>
  <c r="GO33" i="31"/>
  <c r="CQ33" i="31"/>
  <c r="GB33" i="31"/>
  <c r="GC33" i="31" s="1"/>
  <c r="FU33" i="31"/>
  <c r="FW33" i="31" s="1"/>
  <c r="DQ33" i="31"/>
  <c r="DR33" i="31" s="1"/>
  <c r="HO33" i="31"/>
  <c r="FX33" i="31"/>
  <c r="FY33" i="31" s="1"/>
  <c r="FZ33" i="31"/>
  <c r="GA33" i="31" s="1"/>
  <c r="FE33" i="31"/>
  <c r="FF33" i="31" s="1"/>
  <c r="FH33" i="31"/>
  <c r="FI33" i="31" s="1"/>
  <c r="KX33" i="31"/>
  <c r="KU33" i="31"/>
  <c r="GN33" i="31" l="1"/>
  <c r="GQ33" i="31" s="1"/>
  <c r="NR34" i="31"/>
  <c r="DS33" i="31"/>
  <c r="HU33" i="31"/>
  <c r="HV34" i="31" s="1"/>
  <c r="FJ34" i="31"/>
  <c r="CS33" i="31"/>
  <c r="CT33" i="31"/>
  <c r="CR33" i="31"/>
  <c r="HW33" i="31"/>
  <c r="HX34" i="31" s="1"/>
  <c r="FG34" i="31"/>
  <c r="DY33" i="31"/>
  <c r="HA33" i="31"/>
  <c r="HY33" i="31"/>
  <c r="NB34" i="31"/>
  <c r="NA34" i="31"/>
  <c r="KE33" i="31"/>
  <c r="JU33" i="31"/>
  <c r="JT34" i="31"/>
  <c r="KC33" i="31"/>
  <c r="NK34" i="31"/>
  <c r="NL34" i="31"/>
  <c r="NG35" i="31"/>
  <c r="OQ35" i="31"/>
  <c r="KS34" i="31"/>
  <c r="IA33" i="31"/>
  <c r="IB33" i="31" s="1"/>
  <c r="HP33" i="31"/>
  <c r="IZ33" i="31"/>
  <c r="KV33" i="31" l="1"/>
  <c r="KW34" i="31" s="1"/>
  <c r="HQ33" i="31"/>
  <c r="HR34" i="31" s="1"/>
  <c r="NC35" i="31"/>
  <c r="MQ35" i="31"/>
  <c r="HS33" i="31"/>
  <c r="JG33" i="31" s="1"/>
  <c r="HT33" i="31"/>
  <c r="OR35" i="31"/>
  <c r="AX33" i="31"/>
  <c r="AY34" i="31" s="1"/>
  <c r="AZ33" i="31"/>
  <c r="EN33" i="31"/>
  <c r="EM33" i="31"/>
  <c r="EW33" i="31" s="1"/>
  <c r="BB34" i="31" l="1"/>
  <c r="EQ33" i="31"/>
  <c r="DW33" i="31"/>
  <c r="DU34" i="31" s="1"/>
  <c r="IW33" i="31"/>
  <c r="ER34" i="31"/>
  <c r="IU33" i="31"/>
  <c r="IV33" i="31" s="1"/>
  <c r="IC33" i="31"/>
  <c r="ID33" i="31" s="1"/>
  <c r="IF33" i="31" s="1"/>
  <c r="KH33" i="31" s="1"/>
  <c r="JB33" i="31"/>
  <c r="EU34" i="31" l="1"/>
  <c r="KK33" i="31"/>
  <c r="KB33" i="31"/>
  <c r="IX33" i="31"/>
  <c r="DB33" i="31"/>
  <c r="DC33" i="31" s="1"/>
  <c r="DD34" i="31" s="1"/>
  <c r="DE35" i="31" s="1"/>
  <c r="IM33" i="31"/>
  <c r="DT33" i="31" s="1"/>
  <c r="DZ33" i="31" s="1"/>
  <c r="GM33" i="31"/>
  <c r="KI34" i="31"/>
  <c r="IN33" i="31"/>
  <c r="DF33" i="31"/>
  <c r="BC34" i="31"/>
  <c r="FD33" i="31" l="1"/>
  <c r="GU33" i="31"/>
  <c r="GV33" i="31"/>
  <c r="KJ34" i="31"/>
  <c r="GR33" i="31"/>
  <c r="GT35" i="31"/>
  <c r="BE34" i="31"/>
  <c r="BD34" i="31"/>
  <c r="GS33" i="31" l="1"/>
  <c r="BG34" i="31"/>
  <c r="BF34" i="31"/>
  <c r="IS33" i="31"/>
  <c r="FL34" i="31"/>
  <c r="JH33" i="31" l="1"/>
  <c r="JI33" i="31" s="1"/>
  <c r="IT33" i="31"/>
  <c r="BI34" i="31"/>
  <c r="BK34" i="31" s="1"/>
  <c r="BH34" i="31"/>
  <c r="GW33" i="31"/>
  <c r="HC33" i="31" s="1"/>
  <c r="FA34" i="31" s="1"/>
  <c r="HB34" i="31" s="1"/>
  <c r="GX33" i="31"/>
  <c r="GY33" i="31"/>
  <c r="FM34" i="31"/>
  <c r="EG33" i="31" l="1"/>
  <c r="EH34" i="31" s="1"/>
  <c r="EI34" i="31" s="1"/>
  <c r="FK34" i="31" s="1"/>
  <c r="EY33" i="31"/>
  <c r="HM33" i="31"/>
  <c r="HK34" i="31"/>
  <c r="BL34" i="31"/>
  <c r="BM34" i="31"/>
  <c r="BJ34" i="31"/>
  <c r="JK33" i="31"/>
  <c r="JZ33" i="31" s="1"/>
  <c r="KF33" i="31" s="1"/>
  <c r="IQ34" i="31" s="1"/>
  <c r="JN33" i="31" l="1"/>
  <c r="JV33" i="31" s="1"/>
  <c r="JF34" i="31" s="1"/>
  <c r="JW34" i="31" s="1"/>
  <c r="BN34" i="31"/>
  <c r="BO34" i="31"/>
  <c r="EJ33" i="31"/>
  <c r="EK34" i="31" s="1"/>
  <c r="EE33" i="31"/>
  <c r="EF34" i="31" s="1"/>
  <c r="ED33" i="31"/>
  <c r="EB34" i="31" s="1"/>
  <c r="JA34" i="31" s="1"/>
  <c r="JM33" i="31"/>
  <c r="KD33" i="31" s="1"/>
  <c r="IL34" i="31" s="1"/>
  <c r="JE34" i="31" s="1"/>
  <c r="JL33" i="31"/>
  <c r="JJ34" i="31" s="1"/>
  <c r="KA34" i="31"/>
  <c r="EZ33" i="31"/>
  <c r="DG33" i="31"/>
  <c r="DH33" i="31" s="1"/>
  <c r="DI34" i="31" s="1"/>
  <c r="JY34" i="31" l="1"/>
  <c r="IY34" i="31"/>
  <c r="IR34" i="31"/>
  <c r="FC34" i="31"/>
  <c r="EP34" i="31"/>
  <c r="ET35" i="31" s="1"/>
  <c r="IE34" i="31"/>
  <c r="EL34" i="31"/>
  <c r="EO34" i="31"/>
  <c r="ES35" i="31" s="1"/>
  <c r="EV34" i="31"/>
  <c r="HZ34" i="31"/>
  <c r="GZ34" i="31"/>
  <c r="DJ34" i="31"/>
  <c r="DK34" i="31" s="1"/>
  <c r="IO34" i="31"/>
  <c r="IP34" i="31"/>
  <c r="JC34" i="31"/>
  <c r="JD34" i="31"/>
  <c r="BP34" i="31"/>
  <c r="BQ34" i="31" s="1"/>
  <c r="DP34" i="31"/>
  <c r="JO34" i="31"/>
  <c r="KG34" i="31" l="1"/>
  <c r="JP34" i="31"/>
  <c r="JQ34" i="31" s="1"/>
  <c r="FQ34" i="31"/>
  <c r="DM34" i="31"/>
  <c r="DX34" i="31"/>
  <c r="BR34" i="31"/>
  <c r="BS34" i="31"/>
  <c r="EC34" i="31"/>
  <c r="JX34" i="31"/>
  <c r="BT34" i="31" l="1"/>
  <c r="BU34" i="31"/>
  <c r="DL34" i="31"/>
  <c r="L35" i="31"/>
  <c r="FB34" i="31"/>
  <c r="EX34" i="31"/>
  <c r="M34" i="31" s="1"/>
  <c r="BV34" i="31" l="1"/>
  <c r="BW34" i="31" s="1"/>
  <c r="BX34" i="31" s="1"/>
  <c r="MJ34" i="31"/>
  <c r="NS34" i="31" s="1"/>
  <c r="MB34" i="31"/>
  <c r="BY34" i="31" l="1"/>
  <c r="BZ34" i="31" s="1"/>
  <c r="NM34" i="31"/>
  <c r="NN34" i="31" s="1"/>
  <c r="NT34" i="31"/>
  <c r="OU35" i="31"/>
  <c r="CA34" i="31" l="1"/>
  <c r="CC34" i="31" s="1"/>
  <c r="CE34" i="31" s="1"/>
  <c r="OV35" i="31"/>
  <c r="NW34" i="31"/>
  <c r="NX34" i="31" s="1"/>
  <c r="CX34" i="31"/>
  <c r="FV34" i="31"/>
  <c r="FR34" i="31"/>
  <c r="NU34" i="31"/>
  <c r="CD34" i="31" l="1"/>
  <c r="CB34" i="31"/>
  <c r="NY34" i="31"/>
  <c r="NV34" i="31"/>
  <c r="CF34" i="31"/>
  <c r="CG34" i="31"/>
  <c r="CI34" i="31" s="1"/>
  <c r="OF34" i="31"/>
  <c r="OS35" i="31" s="1"/>
  <c r="MY34" i="31"/>
  <c r="NZ34" i="31"/>
  <c r="CY35" i="31"/>
  <c r="CJ34" i="31" l="1"/>
  <c r="CO34" i="31" s="1"/>
  <c r="CK34" i="31"/>
  <c r="OM35" i="31"/>
  <c r="NF35" i="31"/>
  <c r="OO35" i="31"/>
  <c r="MZ35" i="31"/>
  <c r="OZ34" i="31"/>
  <c r="CH34" i="31"/>
  <c r="OI34" i="31"/>
  <c r="OB34" i="31"/>
  <c r="OT35" i="31" s="1"/>
  <c r="OA34" i="31"/>
  <c r="MV35" i="31" s="1"/>
  <c r="OJ34" i="31" l="1"/>
  <c r="OC34" i="31"/>
  <c r="OD35" i="31" s="1"/>
  <c r="OH35" i="31" s="1"/>
  <c r="OX35" i="31"/>
  <c r="MR35" i="31"/>
  <c r="OW34" i="31"/>
  <c r="CL34" i="31"/>
  <c r="CM34" i="31"/>
  <c r="CN34" i="31" s="1"/>
  <c r="PA34" i="31"/>
  <c r="OG35" i="31"/>
  <c r="KT35" i="31"/>
  <c r="OK35" i="31" l="1"/>
  <c r="MS35" i="31"/>
  <c r="KM35" i="31"/>
  <c r="KO36" i="31" s="1"/>
  <c r="KL35" i="31"/>
  <c r="KN36" i="31" s="1"/>
  <c r="CP34" i="31"/>
  <c r="OY35" i="31"/>
  <c r="MW35" i="31"/>
  <c r="KQ35" i="31" l="1"/>
  <c r="KP36" i="31"/>
  <c r="KR35" i="31"/>
  <c r="NJ35" i="31"/>
  <c r="MO35" i="31"/>
  <c r="NQ35" i="31"/>
  <c r="NR35" i="31" s="1"/>
  <c r="MT35" i="31"/>
  <c r="MU35" i="31"/>
  <c r="NH36" i="31"/>
  <c r="NI36" i="31" s="1"/>
  <c r="NP35" i="31"/>
  <c r="PE35" i="31"/>
  <c r="GB34" i="31"/>
  <c r="GC34" i="31" s="1"/>
  <c r="FZ34" i="31"/>
  <c r="GA34" i="31" s="1"/>
  <c r="HO34" i="31"/>
  <c r="FH34" i="31"/>
  <c r="FI34" i="31" s="1"/>
  <c r="DQ34" i="31"/>
  <c r="DR34" i="31" s="1"/>
  <c r="GO34" i="31"/>
  <c r="FE34" i="31"/>
  <c r="FF34" i="31" s="1"/>
  <c r="JR34" i="31"/>
  <c r="JS34" i="31" s="1"/>
  <c r="FP34" i="31"/>
  <c r="FS34" i="31" s="1"/>
  <c r="CQ34" i="31"/>
  <c r="FX34" i="31"/>
  <c r="FY34" i="31" s="1"/>
  <c r="FU34" i="31"/>
  <c r="FW34" i="31" s="1"/>
  <c r="KX34" i="31"/>
  <c r="GN34" i="31" s="1"/>
  <c r="KU34" i="31"/>
  <c r="MX35" i="31"/>
  <c r="IA34" i="31" l="1"/>
  <c r="IB34" i="31" s="1"/>
  <c r="HP34" i="31"/>
  <c r="IZ34" i="31"/>
  <c r="NK35" i="31"/>
  <c r="NL35" i="31"/>
  <c r="NG36" i="31"/>
  <c r="OQ36" i="31"/>
  <c r="CT34" i="31"/>
  <c r="CR34" i="31"/>
  <c r="CS34" i="31"/>
  <c r="HY34" i="31"/>
  <c r="HA34" i="31"/>
  <c r="DY34" i="31"/>
  <c r="JU34" i="31"/>
  <c r="KE34" i="31"/>
  <c r="JT35" i="31"/>
  <c r="KC34" i="31"/>
  <c r="NA35" i="31"/>
  <c r="NB35" i="31"/>
  <c r="HW34" i="31"/>
  <c r="HX35" i="31" s="1"/>
  <c r="FG35" i="31"/>
  <c r="GQ34" i="31"/>
  <c r="KV34" i="31"/>
  <c r="DS34" i="31"/>
  <c r="KS35" i="31"/>
  <c r="HU34" i="31"/>
  <c r="HV35" i="31" s="1"/>
  <c r="FJ35" i="31"/>
  <c r="KW35" i="31" l="1"/>
  <c r="HQ34" i="31"/>
  <c r="HR35" i="31" s="1"/>
  <c r="OR36" i="31"/>
  <c r="NC36" i="31"/>
  <c r="MQ36" i="31"/>
  <c r="AX34" i="31"/>
  <c r="AY35" i="31" s="1"/>
  <c r="EN34" i="31"/>
  <c r="EM34" i="31"/>
  <c r="EW34" i="31" s="1"/>
  <c r="AZ34" i="31"/>
  <c r="HS34" i="31"/>
  <c r="JG34" i="31" s="1"/>
  <c r="HT34" i="31"/>
  <c r="BB35" i="31" l="1"/>
  <c r="DW34" i="31"/>
  <c r="DU35" i="31" s="1"/>
  <c r="EQ34" i="31"/>
  <c r="IW34" i="31"/>
  <c r="ER35" i="31"/>
  <c r="IU34" i="31"/>
  <c r="IV34" i="31" s="1"/>
  <c r="IC34" i="31"/>
  <c r="ID34" i="31" s="1"/>
  <c r="IF34" i="31" s="1"/>
  <c r="KH34" i="31" s="1"/>
  <c r="JB34" i="31"/>
  <c r="EU35" i="31" l="1"/>
  <c r="KB34" i="31"/>
  <c r="IX34" i="31"/>
  <c r="KK34" i="31"/>
  <c r="IM34" i="31"/>
  <c r="DB34" i="31"/>
  <c r="DC34" i="31" s="1"/>
  <c r="DD35" i="31" s="1"/>
  <c r="DE36" i="31" s="1"/>
  <c r="GM34" i="31"/>
  <c r="KI35" i="31"/>
  <c r="IN34" i="31"/>
  <c r="DF34" i="31"/>
  <c r="BC35" i="31"/>
  <c r="KJ35" i="31" l="1"/>
  <c r="FD34" i="31"/>
  <c r="GU34" i="31"/>
  <c r="GV34" i="31"/>
  <c r="DT34" i="31"/>
  <c r="DZ34" i="31" s="1"/>
  <c r="GR34" i="31"/>
  <c r="GT36" i="31"/>
  <c r="BD35" i="31"/>
  <c r="BE35" i="31"/>
  <c r="IS34" i="31" l="1"/>
  <c r="FL35" i="31"/>
  <c r="BG35" i="31"/>
  <c r="BF35" i="31"/>
  <c r="GS34" i="31"/>
  <c r="BI35" i="31" l="1"/>
  <c r="BK35" i="31" s="1"/>
  <c r="BH35" i="31"/>
  <c r="FM35" i="31"/>
  <c r="GY34" i="31"/>
  <c r="GX34" i="31"/>
  <c r="GW34" i="31"/>
  <c r="HC34" i="31" s="1"/>
  <c r="FA35" i="31" s="1"/>
  <c r="HB35" i="31" s="1"/>
  <c r="JH34" i="31"/>
  <c r="JI34" i="31" s="1"/>
  <c r="IT34" i="31"/>
  <c r="BJ35" i="31" l="1"/>
  <c r="JK34" i="31"/>
  <c r="JZ34" i="31" s="1"/>
  <c r="KF34" i="31" s="1"/>
  <c r="IQ35" i="31" s="1"/>
  <c r="EY34" i="31"/>
  <c r="EG34" i="31"/>
  <c r="EH35" i="31" s="1"/>
  <c r="EI35" i="31" s="1"/>
  <c r="FK35" i="31" s="1"/>
  <c r="HM34" i="31"/>
  <c r="HK35" i="31"/>
  <c r="BL35" i="31"/>
  <c r="BM35" i="31"/>
  <c r="JN34" i="31" l="1"/>
  <c r="JV34" i="31" s="1"/>
  <c r="JF35" i="31" s="1"/>
  <c r="JW35" i="31" s="1"/>
  <c r="BN35" i="31"/>
  <c r="BO35" i="31"/>
  <c r="EZ34" i="31"/>
  <c r="DG34" i="31"/>
  <c r="DH34" i="31" s="1"/>
  <c r="DI35" i="31" s="1"/>
  <c r="EE34" i="31"/>
  <c r="EF35" i="31" s="1"/>
  <c r="ED34" i="31"/>
  <c r="EB35" i="31" s="1"/>
  <c r="JA35" i="31" s="1"/>
  <c r="EJ34" i="31"/>
  <c r="EK35" i="31" s="1"/>
  <c r="JM34" i="31"/>
  <c r="KD34" i="31" s="1"/>
  <c r="IL35" i="31" s="1"/>
  <c r="IR35" i="31" s="1"/>
  <c r="JL34" i="31"/>
  <c r="JJ35" i="31" s="1"/>
  <c r="KA35" i="31"/>
  <c r="JY35" i="31" l="1"/>
  <c r="JO35" i="31"/>
  <c r="DP35" i="31"/>
  <c r="HZ35" i="31"/>
  <c r="IO35" i="31"/>
  <c r="IP35" i="31"/>
  <c r="JE35" i="31"/>
  <c r="JC35" i="31"/>
  <c r="JD35" i="31"/>
  <c r="EL35" i="31"/>
  <c r="EP35" i="31"/>
  <c r="ET36" i="31" s="1"/>
  <c r="FC35" i="31"/>
  <c r="EO35" i="31"/>
  <c r="ES36" i="31" s="1"/>
  <c r="EV35" i="31"/>
  <c r="GZ35" i="31"/>
  <c r="KG35" i="31" s="1"/>
  <c r="DJ35" i="31"/>
  <c r="DK35" i="31" s="1"/>
  <c r="BP35" i="31"/>
  <c r="BQ35" i="31" s="1"/>
  <c r="IY35" i="31"/>
  <c r="IE35" i="31" l="1"/>
  <c r="BR35" i="31"/>
  <c r="BS35" i="31"/>
  <c r="JP35" i="31"/>
  <c r="JQ35" i="31" s="1"/>
  <c r="EC35" i="31"/>
  <c r="FQ35" i="31"/>
  <c r="DX35" i="31"/>
  <c r="DM35" i="31"/>
  <c r="JX35" i="31"/>
  <c r="EX35" i="31" l="1"/>
  <c r="M35" i="31" s="1"/>
  <c r="FB35" i="31"/>
  <c r="DL35" i="31"/>
  <c r="L36" i="31"/>
  <c r="BT35" i="31"/>
  <c r="BU35" i="31"/>
  <c r="MB35" i="31" l="1"/>
  <c r="MJ35" i="31"/>
  <c r="NS35" i="31" s="1"/>
  <c r="BV35" i="31"/>
  <c r="BW35" i="31" s="1"/>
  <c r="BX35" i="31" l="1"/>
  <c r="BY35" i="31"/>
  <c r="CA35" i="31" s="1"/>
  <c r="CC35" i="31" s="1"/>
  <c r="NM35" i="31"/>
  <c r="NN35" i="31" s="1"/>
  <c r="NT35" i="31"/>
  <c r="OU36" i="31"/>
  <c r="BZ35" i="31" l="1"/>
  <c r="OV36" i="31"/>
  <c r="NW35" i="31"/>
  <c r="CD35" i="31"/>
  <c r="CE35" i="31"/>
  <c r="NX35" i="31"/>
  <c r="CB35" i="31"/>
  <c r="CX35" i="31"/>
  <c r="FV35" i="31"/>
  <c r="FR35" i="31"/>
  <c r="NU35" i="31"/>
  <c r="NY35" i="31" l="1"/>
  <c r="OF35" i="31"/>
  <c r="OS36" i="31" s="1"/>
  <c r="NV35" i="31"/>
  <c r="CF35" i="31"/>
  <c r="CG35" i="31"/>
  <c r="CI35" i="31" s="1"/>
  <c r="NZ35" i="31"/>
  <c r="MY35" i="31"/>
  <c r="CY36" i="31"/>
  <c r="CH35" i="31" l="1"/>
  <c r="OM36" i="31"/>
  <c r="NF36" i="31"/>
  <c r="OO36" i="31"/>
  <c r="CJ35" i="31"/>
  <c r="CO35" i="31" s="1"/>
  <c r="CK35" i="31"/>
  <c r="OB35" i="31"/>
  <c r="OT36" i="31" s="1"/>
  <c r="OI35" i="31"/>
  <c r="MZ36" i="31"/>
  <c r="OZ35" i="31"/>
  <c r="OA35" i="31"/>
  <c r="MV36" i="31" s="1"/>
  <c r="OJ35" i="31" l="1"/>
  <c r="OY36" i="31" s="1"/>
  <c r="OG36" i="31"/>
  <c r="KT36" i="31"/>
  <c r="CL35" i="31"/>
  <c r="CM35" i="31"/>
  <c r="CN35" i="31" s="1"/>
  <c r="PA35" i="31"/>
  <c r="OW35" i="31"/>
  <c r="MR36" i="31"/>
  <c r="OX36" i="31"/>
  <c r="OC35" i="31"/>
  <c r="OD36" i="31" s="1"/>
  <c r="OH36" i="31" s="1"/>
  <c r="OK36" i="31" l="1"/>
  <c r="MW36" i="31"/>
  <c r="MX36" i="31" s="1"/>
  <c r="KM36" i="31"/>
  <c r="KO37" i="31" s="1"/>
  <c r="KL36" i="31"/>
  <c r="KN37" i="31" s="1"/>
  <c r="CP35" i="31"/>
  <c r="MS36" i="31"/>
  <c r="KP37" i="31" l="1"/>
  <c r="KR36" i="31"/>
  <c r="KQ36" i="31"/>
  <c r="CQ35" i="31"/>
  <c r="HO35" i="31"/>
  <c r="FU35" i="31"/>
  <c r="FW35" i="31" s="1"/>
  <c r="FP35" i="31"/>
  <c r="FS35" i="31" s="1"/>
  <c r="FX35" i="31"/>
  <c r="FY35" i="31" s="1"/>
  <c r="GO35" i="31"/>
  <c r="FH35" i="31"/>
  <c r="FI35" i="31" s="1"/>
  <c r="GB35" i="31"/>
  <c r="GC35" i="31" s="1"/>
  <c r="FE35" i="31"/>
  <c r="FF35" i="31" s="1"/>
  <c r="FZ35" i="31"/>
  <c r="GA35" i="31" s="1"/>
  <c r="DQ35" i="31"/>
  <c r="DR35" i="31" s="1"/>
  <c r="JR35" i="31"/>
  <c r="JS35" i="31" s="1"/>
  <c r="KX35" i="31"/>
  <c r="GN35" i="31" s="1"/>
  <c r="KU35" i="31"/>
  <c r="NH37" i="31"/>
  <c r="NI37" i="31" s="1"/>
  <c r="MT36" i="31"/>
  <c r="NP36" i="31"/>
  <c r="MU36" i="31"/>
  <c r="MO36" i="31"/>
  <c r="NQ36" i="31"/>
  <c r="NJ36" i="31"/>
  <c r="PE36" i="31"/>
  <c r="NB36" i="31"/>
  <c r="NA36" i="31"/>
  <c r="KS36" i="31" l="1"/>
  <c r="DS35" i="31"/>
  <c r="IA35" i="31"/>
  <c r="IB35" i="31" s="1"/>
  <c r="HP35" i="31"/>
  <c r="IZ35" i="31"/>
  <c r="HW35" i="31"/>
  <c r="HX36" i="31" s="1"/>
  <c r="FG36" i="31"/>
  <c r="CT35" i="31"/>
  <c r="CS35" i="31"/>
  <c r="CR35" i="31"/>
  <c r="HU35" i="31"/>
  <c r="HV36" i="31" s="1"/>
  <c r="FJ36" i="31"/>
  <c r="NK36" i="31"/>
  <c r="NL36" i="31"/>
  <c r="NG37" i="31"/>
  <c r="OQ37" i="31"/>
  <c r="GQ35" i="31"/>
  <c r="KV35" i="31"/>
  <c r="NR36" i="31"/>
  <c r="JU35" i="31"/>
  <c r="KE35" i="31"/>
  <c r="JT36" i="31"/>
  <c r="KC35" i="31"/>
  <c r="HA35" i="31"/>
  <c r="DY35" i="31"/>
  <c r="HY35" i="31"/>
  <c r="KW36" i="31" l="1"/>
  <c r="HQ35" i="31"/>
  <c r="HR36" i="31" s="1"/>
  <c r="HT35" i="31"/>
  <c r="HS35" i="31"/>
  <c r="JG35" i="31" s="1"/>
  <c r="OR37" i="31"/>
  <c r="NC37" i="31"/>
  <c r="MQ37" i="31"/>
  <c r="AX35" i="31"/>
  <c r="AY36" i="31" s="1"/>
  <c r="EM35" i="31"/>
  <c r="EW35" i="31" s="1"/>
  <c r="EN35" i="31"/>
  <c r="AZ35" i="31"/>
  <c r="IC35" i="31" l="1"/>
  <c r="ID35" i="31" s="1"/>
  <c r="IF35" i="31" s="1"/>
  <c r="KH35" i="31" s="1"/>
  <c r="JB35" i="31"/>
  <c r="BB36" i="31"/>
  <c r="IW35" i="31"/>
  <c r="DW35" i="31"/>
  <c r="DU36" i="31" s="1"/>
  <c r="EQ35" i="31"/>
  <c r="ER36" i="31"/>
  <c r="IU35" i="31"/>
  <c r="IV35" i="31" s="1"/>
  <c r="BC36" i="31" l="1"/>
  <c r="KK35" i="31"/>
  <c r="KB35" i="31"/>
  <c r="IX35" i="31"/>
  <c r="DB35" i="31"/>
  <c r="DC35" i="31" s="1"/>
  <c r="DD36" i="31" s="1"/>
  <c r="DE37" i="31" s="1"/>
  <c r="IM35" i="31"/>
  <c r="DT35" i="31" s="1"/>
  <c r="DZ35" i="31" s="1"/>
  <c r="GM35" i="31"/>
  <c r="KI36" i="31"/>
  <c r="IN35" i="31"/>
  <c r="DF35" i="31"/>
  <c r="EU36" i="31"/>
  <c r="GR35" i="31" l="1"/>
  <c r="KJ36" i="31"/>
  <c r="GT37" i="31"/>
  <c r="GU35" i="31"/>
  <c r="GV35" i="31"/>
  <c r="FD35" i="31"/>
  <c r="BE36" i="31"/>
  <c r="BD36" i="31"/>
  <c r="BF36" i="31" l="1"/>
  <c r="BG36" i="31"/>
  <c r="IS35" i="31"/>
  <c r="FL36" i="31"/>
  <c r="GS35" i="31"/>
  <c r="GW35" i="31" l="1"/>
  <c r="HC35" i="31" s="1"/>
  <c r="FA36" i="31" s="1"/>
  <c r="HB36" i="31" s="1"/>
  <c r="GY35" i="31"/>
  <c r="GX35" i="31"/>
  <c r="JH35" i="31"/>
  <c r="JI35" i="31" s="1"/>
  <c r="IT35" i="31"/>
  <c r="FM36" i="31"/>
  <c r="BI36" i="31"/>
  <c r="BK36" i="31" s="1"/>
  <c r="BH36" i="31"/>
  <c r="JK35" i="31" l="1"/>
  <c r="JN35" i="31" s="1"/>
  <c r="JV35" i="31" s="1"/>
  <c r="JF36" i="31" s="1"/>
  <c r="BJ36" i="31"/>
  <c r="HM35" i="31"/>
  <c r="EG35" i="31"/>
  <c r="EH36" i="31" s="1"/>
  <c r="EI36" i="31" s="1"/>
  <c r="FK36" i="31" s="1"/>
  <c r="EY35" i="31"/>
  <c r="HK36" i="31"/>
  <c r="BL36" i="31"/>
  <c r="BM36" i="31"/>
  <c r="JM35" i="31" l="1"/>
  <c r="KD35" i="31" s="1"/>
  <c r="IL36" i="31" s="1"/>
  <c r="ED35" i="31"/>
  <c r="EB36" i="31" s="1"/>
  <c r="EJ35" i="31"/>
  <c r="EK36" i="31" s="1"/>
  <c r="EE35" i="31"/>
  <c r="EF36" i="31" s="1"/>
  <c r="JW36" i="31"/>
  <c r="JY36" i="31"/>
  <c r="BO36" i="31"/>
  <c r="BP36" i="31" s="1"/>
  <c r="BQ36" i="31" s="1"/>
  <c r="BN36" i="31"/>
  <c r="EZ35" i="31"/>
  <c r="DG35" i="31"/>
  <c r="DH35" i="31" s="1"/>
  <c r="DI36" i="31" s="1"/>
  <c r="JZ35" i="31"/>
  <c r="KF35" i="31" s="1"/>
  <c r="IQ36" i="31" s="1"/>
  <c r="JL35" i="31"/>
  <c r="JJ36" i="31" s="1"/>
  <c r="KA36" i="31"/>
  <c r="IP36" i="31" l="1"/>
  <c r="JO36" i="31"/>
  <c r="IO36" i="31"/>
  <c r="HZ36" i="31"/>
  <c r="BR36" i="31"/>
  <c r="BS36" i="31"/>
  <c r="JA36" i="31"/>
  <c r="IY36" i="31"/>
  <c r="JE36" i="31"/>
  <c r="IR36" i="31"/>
  <c r="DJ36" i="31"/>
  <c r="DK36" i="31" s="1"/>
  <c r="GZ36" i="31"/>
  <c r="IE36" i="31" s="1"/>
  <c r="DP36" i="31"/>
  <c r="JC36" i="31"/>
  <c r="JD36" i="31"/>
  <c r="EO36" i="31"/>
  <c r="ES37" i="31" s="1"/>
  <c r="FC36" i="31"/>
  <c r="EL36" i="31"/>
  <c r="EP36" i="31"/>
  <c r="ET37" i="31" s="1"/>
  <c r="EV36" i="31"/>
  <c r="JP36" i="31" l="1"/>
  <c r="JQ36" i="31" s="1"/>
  <c r="EC36" i="31"/>
  <c r="JX36" i="31"/>
  <c r="BT36" i="31"/>
  <c r="BU36" i="31"/>
  <c r="FQ36" i="31"/>
  <c r="DX36" i="31"/>
  <c r="DM36" i="31"/>
  <c r="KG36" i="31"/>
  <c r="BV36" i="31" l="1"/>
  <c r="BW36" i="31" s="1"/>
  <c r="EX36" i="31"/>
  <c r="M36" i="31" s="1"/>
  <c r="FB36" i="31"/>
  <c r="DL36" i="31"/>
  <c r="L37" i="31"/>
  <c r="BX36" i="31" l="1"/>
  <c r="BY36" i="31"/>
  <c r="MJ36" i="31"/>
  <c r="NS36" i="31" s="1"/>
  <c r="MB36" i="31"/>
  <c r="BZ36" i="31" l="1"/>
  <c r="CA36" i="31"/>
  <c r="CC36" i="31" s="1"/>
  <c r="CD36" i="31" s="1"/>
  <c r="NM36" i="31"/>
  <c r="NN36" i="31" s="1"/>
  <c r="NT36" i="31"/>
  <c r="OU37" i="31"/>
  <c r="CB36" i="31" l="1"/>
  <c r="CE36" i="31"/>
  <c r="CF36" i="31" s="1"/>
  <c r="OV37" i="31"/>
  <c r="NW36" i="31"/>
  <c r="NX36" i="31" s="1"/>
  <c r="CX36" i="31"/>
  <c r="FR36" i="31"/>
  <c r="FV36" i="31"/>
  <c r="NU36" i="31"/>
  <c r="CG36" i="31" l="1"/>
  <c r="CI36" i="31" s="1"/>
  <c r="CJ36" i="31" s="1"/>
  <c r="CO36" i="31" s="1"/>
  <c r="MY36" i="31"/>
  <c r="NZ36" i="31"/>
  <c r="CY37" i="31"/>
  <c r="NY36" i="31"/>
  <c r="OF36" i="31"/>
  <c r="OS37" i="31" s="1"/>
  <c r="NV36" i="31"/>
  <c r="CK36" i="31" l="1"/>
  <c r="CM36" i="31" s="1"/>
  <c r="CN36" i="31" s="1"/>
  <c r="CH36" i="31"/>
  <c r="OB36" i="31"/>
  <c r="OT37" i="31" s="1"/>
  <c r="OI36" i="31"/>
  <c r="MZ37" i="31"/>
  <c r="OZ36" i="31"/>
  <c r="OA36" i="31"/>
  <c r="MV37" i="31" s="1"/>
  <c r="OM37" i="31"/>
  <c r="NF37" i="31"/>
  <c r="OO37" i="31"/>
  <c r="CL36" i="31" l="1"/>
  <c r="CP36" i="31" s="1"/>
  <c r="MR37" i="31"/>
  <c r="OW36" i="31"/>
  <c r="OX37" i="31"/>
  <c r="PA36" i="31"/>
  <c r="KT37" i="31"/>
  <c r="OG37" i="31"/>
  <c r="OC36" i="31"/>
  <c r="OD37" i="31" s="1"/>
  <c r="OH37" i="31" s="1"/>
  <c r="OJ36" i="31"/>
  <c r="KL37" i="31" l="1"/>
  <c r="KN38" i="31" s="1"/>
  <c r="KM37" i="31"/>
  <c r="KO38" i="31" s="1"/>
  <c r="MW37" i="31"/>
  <c r="OY37" i="31"/>
  <c r="FH36" i="31"/>
  <c r="FI36" i="31" s="1"/>
  <c r="FU36" i="31"/>
  <c r="FW36" i="31" s="1"/>
  <c r="HO36" i="31"/>
  <c r="JR36" i="31"/>
  <c r="JS36" i="31" s="1"/>
  <c r="FP36" i="31"/>
  <c r="FS36" i="31" s="1"/>
  <c r="GO36" i="31"/>
  <c r="CQ36" i="31"/>
  <c r="FZ36" i="31"/>
  <c r="GA36" i="31" s="1"/>
  <c r="GB36" i="31"/>
  <c r="GC36" i="31" s="1"/>
  <c r="FX36" i="31"/>
  <c r="FY36" i="31" s="1"/>
  <c r="DQ36" i="31"/>
  <c r="DR36" i="31" s="1"/>
  <c r="FE36" i="31"/>
  <c r="FF36" i="31" s="1"/>
  <c r="KX36" i="31"/>
  <c r="KU36" i="31"/>
  <c r="OK37" i="31"/>
  <c r="MS37" i="31"/>
  <c r="GN36" i="31" l="1"/>
  <c r="GQ36" i="31" s="1"/>
  <c r="HU36" i="31"/>
  <c r="HV37" i="31" s="1"/>
  <c r="FJ37" i="31"/>
  <c r="CS36" i="31"/>
  <c r="CT36" i="31"/>
  <c r="CR36" i="31"/>
  <c r="MX37" i="31"/>
  <c r="HY36" i="31"/>
  <c r="DY36" i="31"/>
  <c r="HA36" i="31"/>
  <c r="HW36" i="31"/>
  <c r="HX37" i="31" s="1"/>
  <c r="FG37" i="31"/>
  <c r="JU36" i="31"/>
  <c r="KC36" i="31"/>
  <c r="JT37" i="31"/>
  <c r="KE36" i="31"/>
  <c r="KP38" i="31"/>
  <c r="KR37" i="31"/>
  <c r="NH38" i="31"/>
  <c r="NI38" i="31" s="1"/>
  <c r="MO37" i="31"/>
  <c r="NP37" i="31"/>
  <c r="NQ37" i="31"/>
  <c r="NJ37" i="31"/>
  <c r="MU37" i="31"/>
  <c r="MT37" i="31"/>
  <c r="PE37" i="31"/>
  <c r="DS36" i="31"/>
  <c r="HP36" i="31"/>
  <c r="IA36" i="31"/>
  <c r="IB36" i="31" s="1"/>
  <c r="IZ36" i="31"/>
  <c r="KQ37" i="31"/>
  <c r="KV36" i="31" l="1"/>
  <c r="KW37" i="31" s="1"/>
  <c r="KS37" i="31"/>
  <c r="HQ36" i="31"/>
  <c r="HR37" i="31" s="1"/>
  <c r="NB37" i="31"/>
  <c r="NA37" i="31"/>
  <c r="NL37" i="31"/>
  <c r="NK37" i="31"/>
  <c r="NG38" i="31"/>
  <c r="OQ38" i="31"/>
  <c r="NR37" i="31"/>
  <c r="HS36" i="31"/>
  <c r="JG36" i="31" s="1"/>
  <c r="HT36" i="31"/>
  <c r="AX36" i="31"/>
  <c r="AY37" i="31" s="1"/>
  <c r="EM36" i="31"/>
  <c r="EW36" i="31" s="1"/>
  <c r="EN36" i="31"/>
  <c r="AZ36" i="31"/>
  <c r="NC38" i="31" l="1"/>
  <c r="MQ38" i="31"/>
  <c r="IC36" i="31"/>
  <c r="ID36" i="31" s="1"/>
  <c r="IF36" i="31" s="1"/>
  <c r="KH36" i="31" s="1"/>
  <c r="JB36" i="31"/>
  <c r="BB37" i="31"/>
  <c r="DW36" i="31"/>
  <c r="DU37" i="31" s="1"/>
  <c r="EQ36" i="31"/>
  <c r="IW36" i="31"/>
  <c r="ER37" i="31"/>
  <c r="IU36" i="31"/>
  <c r="IV36" i="31" s="1"/>
  <c r="OR38" i="31"/>
  <c r="GM36" i="31" l="1"/>
  <c r="IM36" i="31"/>
  <c r="DB36" i="31"/>
  <c r="DC36" i="31" s="1"/>
  <c r="DD37" i="31" s="1"/>
  <c r="DE38" i="31" s="1"/>
  <c r="KI37" i="31"/>
  <c r="IN36" i="31"/>
  <c r="DF36" i="31"/>
  <c r="DT36" i="31" s="1"/>
  <c r="DZ36" i="31" s="1"/>
  <c r="EU37" i="31"/>
  <c r="KB36" i="31"/>
  <c r="IX36" i="31"/>
  <c r="KK36" i="31"/>
  <c r="BC37" i="31"/>
  <c r="KJ37" i="31" l="1"/>
  <c r="GT38" i="31"/>
  <c r="BD37" i="31"/>
  <c r="BE37" i="31"/>
  <c r="GR36" i="31"/>
  <c r="GV36" i="31"/>
  <c r="FD36" i="31"/>
  <c r="GU36" i="31"/>
  <c r="BF37" i="31" l="1"/>
  <c r="BG37" i="31"/>
  <c r="IS36" i="31"/>
  <c r="FL37" i="31"/>
  <c r="GS36" i="31"/>
  <c r="GY36" i="31" l="1"/>
  <c r="GX36" i="31"/>
  <c r="GW36" i="31"/>
  <c r="HC36" i="31" s="1"/>
  <c r="FA37" i="31" s="1"/>
  <c r="HB37" i="31" s="1"/>
  <c r="JH36" i="31"/>
  <c r="JI36" i="31" s="1"/>
  <c r="IT36" i="31"/>
  <c r="FM37" i="31"/>
  <c r="BH37" i="31"/>
  <c r="BI37" i="31"/>
  <c r="BK37" i="31" s="1"/>
  <c r="BJ37" i="31" l="1"/>
  <c r="JK36" i="31"/>
  <c r="JN36" i="31" s="1"/>
  <c r="JV36" i="31" s="1"/>
  <c r="JF37" i="31" s="1"/>
  <c r="EY36" i="31"/>
  <c r="EG36" i="31"/>
  <c r="EH37" i="31" s="1"/>
  <c r="EI37" i="31" s="1"/>
  <c r="FK37" i="31" s="1"/>
  <c r="HM36" i="31"/>
  <c r="HK37" i="31"/>
  <c r="BL37" i="31"/>
  <c r="BM37" i="31"/>
  <c r="JM36" i="31" l="1"/>
  <c r="KD36" i="31" s="1"/>
  <c r="IL37" i="31" s="1"/>
  <c r="EJ36" i="31"/>
  <c r="EK37" i="31" s="1"/>
  <c r="EE36" i="31"/>
  <c r="EF37" i="31" s="1"/>
  <c r="ED36" i="31"/>
  <c r="EB37" i="31" s="1"/>
  <c r="BO37" i="31"/>
  <c r="BP37" i="31" s="1"/>
  <c r="BQ37" i="31" s="1"/>
  <c r="BN37" i="31"/>
  <c r="EZ36" i="31"/>
  <c r="DG36" i="31"/>
  <c r="DH36" i="31" s="1"/>
  <c r="DI37" i="31" s="1"/>
  <c r="JZ36" i="31"/>
  <c r="KF36" i="31" s="1"/>
  <c r="IQ37" i="31" s="1"/>
  <c r="JL36" i="31"/>
  <c r="JJ37" i="31" s="1"/>
  <c r="KA37" i="31"/>
  <c r="JY37" i="31"/>
  <c r="JW37" i="31"/>
  <c r="IO37" i="31" l="1"/>
  <c r="IP37" i="31"/>
  <c r="BR37" i="31"/>
  <c r="BS37" i="31"/>
  <c r="DP37" i="31"/>
  <c r="FC37" i="31"/>
  <c r="EP37" i="31"/>
  <c r="ET38" i="31" s="1"/>
  <c r="EL37" i="31"/>
  <c r="EO37" i="31"/>
  <c r="ES38" i="31" s="1"/>
  <c r="EV37" i="31"/>
  <c r="GZ37" i="31"/>
  <c r="IE37" i="31" s="1"/>
  <c r="DJ37" i="31"/>
  <c r="DK37" i="31" s="1"/>
  <c r="JA37" i="31"/>
  <c r="IY37" i="31"/>
  <c r="JO37" i="31"/>
  <c r="JE37" i="31"/>
  <c r="IR37" i="31"/>
  <c r="HZ37" i="31"/>
  <c r="JC37" i="31"/>
  <c r="JD37" i="31"/>
  <c r="JP37" i="31" l="1"/>
  <c r="JQ37" i="31" s="1"/>
  <c r="JX37" i="31"/>
  <c r="DX37" i="31"/>
  <c r="DM37" i="31"/>
  <c r="FQ37" i="31"/>
  <c r="KG37" i="31"/>
  <c r="EC37" i="31"/>
  <c r="BT37" i="31"/>
  <c r="BU37" i="31"/>
  <c r="BV37" i="31" l="1"/>
  <c r="BW37" i="31" s="1"/>
  <c r="EX37" i="31"/>
  <c r="M37" i="31" s="1"/>
  <c r="FB37" i="31"/>
  <c r="DL37" i="31"/>
  <c r="L38" i="31"/>
  <c r="BY37" i="31" l="1"/>
  <c r="BX37" i="31"/>
  <c r="MB37" i="31"/>
  <c r="MJ37" i="31"/>
  <c r="NS37" i="31" s="1"/>
  <c r="BZ37" i="31" l="1"/>
  <c r="CA37" i="31"/>
  <c r="NM37" i="31"/>
  <c r="NN37" i="31" s="1"/>
  <c r="NT37" i="31"/>
  <c r="OU38" i="31"/>
  <c r="CC37" i="31" l="1"/>
  <c r="CB37" i="31"/>
  <c r="OV38" i="31"/>
  <c r="NW37" i="31"/>
  <c r="NX37" i="31" s="1"/>
  <c r="OF37" i="31" s="1"/>
  <c r="OS38" i="31" s="1"/>
  <c r="FR37" i="31"/>
  <c r="CX37" i="31"/>
  <c r="FV37" i="31"/>
  <c r="NU37" i="31"/>
  <c r="CD37" i="31" l="1"/>
  <c r="CE37" i="31"/>
  <c r="NV37" i="31"/>
  <c r="MY37" i="31"/>
  <c r="NZ37" i="31"/>
  <c r="CY38" i="31"/>
  <c r="NY37" i="31"/>
  <c r="CG37" i="31" l="1"/>
  <c r="CI37" i="31" s="1"/>
  <c r="CF37" i="31"/>
  <c r="OA37" i="31"/>
  <c r="MV38" i="31" s="1"/>
  <c r="OG38" i="31" s="1"/>
  <c r="MZ38" i="31"/>
  <c r="OZ37" i="31"/>
  <c r="NF38" i="31"/>
  <c r="OO38" i="31"/>
  <c r="OM38" i="31"/>
  <c r="OB37" i="31"/>
  <c r="OT38" i="31" s="1"/>
  <c r="OI37" i="31"/>
  <c r="CK37" i="31" l="1"/>
  <c r="CJ37" i="31"/>
  <c r="CO37" i="31" s="1"/>
  <c r="CH37" i="31"/>
  <c r="KT38" i="31"/>
  <c r="KL38" i="31" s="1"/>
  <c r="KN39" i="31" s="1"/>
  <c r="MR38" i="31"/>
  <c r="OX38" i="31"/>
  <c r="OW37" i="31"/>
  <c r="OJ37" i="31"/>
  <c r="PA37" i="31"/>
  <c r="OC37" i="31"/>
  <c r="OD38" i="31" s="1"/>
  <c r="OH38" i="31" s="1"/>
  <c r="OK38" i="31" s="1"/>
  <c r="CL37" i="31" l="1"/>
  <c r="CM37" i="31"/>
  <c r="CN37" i="31" s="1"/>
  <c r="KM38" i="31"/>
  <c r="KO39" i="31" s="1"/>
  <c r="KP39" i="31" s="1"/>
  <c r="MS38" i="31"/>
  <c r="MW38" i="31"/>
  <c r="OY38" i="31"/>
  <c r="KQ38" i="31"/>
  <c r="KR38" i="31" l="1"/>
  <c r="KS38" i="31" s="1"/>
  <c r="CP37" i="31"/>
  <c r="NJ38" i="31"/>
  <c r="NP38" i="31"/>
  <c r="MO38" i="31"/>
  <c r="NH39" i="31"/>
  <c r="NI39" i="31" s="1"/>
  <c r="NQ38" i="31"/>
  <c r="MU38" i="31"/>
  <c r="MT38" i="31"/>
  <c r="PE38" i="31"/>
  <c r="MX38" i="31"/>
  <c r="NR38" i="31" l="1"/>
  <c r="FX37" i="31"/>
  <c r="FY37" i="31" s="1"/>
  <c r="FU37" i="31"/>
  <c r="FW37" i="31" s="1"/>
  <c r="CQ37" i="31"/>
  <c r="FZ37" i="31"/>
  <c r="GA37" i="31" s="1"/>
  <c r="GB37" i="31"/>
  <c r="GC37" i="31" s="1"/>
  <c r="DQ37" i="31"/>
  <c r="DR37" i="31" s="1"/>
  <c r="DS37" i="31" s="1"/>
  <c r="AX37" i="31" s="1"/>
  <c r="AY38" i="31" s="1"/>
  <c r="FE37" i="31"/>
  <c r="FF37" i="31" s="1"/>
  <c r="FP37" i="31"/>
  <c r="FS37" i="31" s="1"/>
  <c r="HO37" i="31"/>
  <c r="KX37" i="31"/>
  <c r="JR37" i="31"/>
  <c r="JS37" i="31" s="1"/>
  <c r="KU37" i="31"/>
  <c r="FH37" i="31"/>
  <c r="FI37" i="31" s="1"/>
  <c r="GO37" i="31"/>
  <c r="NK38" i="31"/>
  <c r="NL38" i="31"/>
  <c r="NG39" i="31"/>
  <c r="OQ39" i="31"/>
  <c r="NA38" i="31"/>
  <c r="NB38" i="31"/>
  <c r="GN37" i="31" l="1"/>
  <c r="GQ37" i="31" s="1"/>
  <c r="HU37" i="31"/>
  <c r="HV38" i="31" s="1"/>
  <c r="FJ38" i="31"/>
  <c r="AZ37" i="31"/>
  <c r="EM37" i="31"/>
  <c r="EW37" i="31" s="1"/>
  <c r="KE37" i="31"/>
  <c r="JU37" i="31"/>
  <c r="KC37" i="31"/>
  <c r="JT38" i="31"/>
  <c r="CR37" i="31"/>
  <c r="CT37" i="31"/>
  <c r="CS37" i="31"/>
  <c r="HW37" i="31"/>
  <c r="HX38" i="31" s="1"/>
  <c r="FG38" i="31"/>
  <c r="EN37" i="31"/>
  <c r="DW37" i="31" s="1"/>
  <c r="DU38" i="31" s="1"/>
  <c r="HY37" i="31"/>
  <c r="HA37" i="31"/>
  <c r="DY37" i="31"/>
  <c r="IZ37" i="31"/>
  <c r="IA37" i="31"/>
  <c r="IB37" i="31" s="1"/>
  <c r="HP37" i="31"/>
  <c r="NC39" i="31"/>
  <c r="MQ39" i="31"/>
  <c r="OR39" i="31"/>
  <c r="KV37" i="31" l="1"/>
  <c r="KW38" i="31" s="1"/>
  <c r="HQ37" i="31"/>
  <c r="HR38" i="31" s="1"/>
  <c r="BB38" i="31"/>
  <c r="BC38" i="31" s="1"/>
  <c r="IW37" i="31"/>
  <c r="ER38" i="31"/>
  <c r="EU38" i="31" s="1"/>
  <c r="EQ37" i="31"/>
  <c r="HT37" i="31"/>
  <c r="HS37" i="31"/>
  <c r="JG37" i="31" s="1"/>
  <c r="IU37" i="31"/>
  <c r="IV37" i="31" s="1"/>
  <c r="KB37" i="31" l="1"/>
  <c r="KK37" i="31"/>
  <c r="IX37" i="31"/>
  <c r="IC37" i="31"/>
  <c r="ID37" i="31" s="1"/>
  <c r="IF37" i="31" s="1"/>
  <c r="KH37" i="31" s="1"/>
  <c r="JB37" i="31"/>
  <c r="BD38" i="31"/>
  <c r="BE38" i="31"/>
  <c r="GM37" i="31" l="1"/>
  <c r="DB37" i="31"/>
  <c r="DC37" i="31" s="1"/>
  <c r="DD38" i="31" s="1"/>
  <c r="DE39" i="31" s="1"/>
  <c r="IM37" i="31"/>
  <c r="KI38" i="31"/>
  <c r="KJ38" i="31" s="1"/>
  <c r="IN37" i="31"/>
  <c r="DF37" i="31"/>
  <c r="BF38" i="31"/>
  <c r="BG38" i="31"/>
  <c r="DT37" i="31" l="1"/>
  <c r="DZ37" i="31" s="1"/>
  <c r="GT39" i="31"/>
  <c r="FD37" i="31"/>
  <c r="GU37" i="31"/>
  <c r="GV37" i="31"/>
  <c r="GR37" i="31"/>
  <c r="BI38" i="31"/>
  <c r="BK38" i="31" s="1"/>
  <c r="BH38" i="31"/>
  <c r="GS37" i="31" l="1"/>
  <c r="IS37" i="31"/>
  <c r="FL38" i="31"/>
  <c r="FM38" i="31" s="1"/>
  <c r="BL38" i="31"/>
  <c r="BM38" i="31"/>
  <c r="BJ38" i="31"/>
  <c r="JH37" i="31" l="1"/>
  <c r="JI37" i="31" s="1"/>
  <c r="JK37" i="31" s="1"/>
  <c r="JN37" i="31" s="1"/>
  <c r="JV37" i="31" s="1"/>
  <c r="JF38" i="31" s="1"/>
  <c r="JY38" i="31" s="1"/>
  <c r="IT37" i="31"/>
  <c r="GW37" i="31"/>
  <c r="HC37" i="31" s="1"/>
  <c r="FA38" i="31" s="1"/>
  <c r="HB38" i="31" s="1"/>
  <c r="GX37" i="31"/>
  <c r="GY37" i="31"/>
  <c r="BN38" i="31"/>
  <c r="BO38" i="31"/>
  <c r="JZ37" i="31" l="1"/>
  <c r="KF37" i="31" s="1"/>
  <c r="IQ38" i="31" s="1"/>
  <c r="JL37" i="31"/>
  <c r="JJ38" i="31" s="1"/>
  <c r="JM37" i="31"/>
  <c r="KD37" i="31" s="1"/>
  <c r="IL38" i="31" s="1"/>
  <c r="KA38" i="31"/>
  <c r="HZ38" i="31" s="1"/>
  <c r="EY37" i="31"/>
  <c r="HM37" i="31"/>
  <c r="HK38" i="31"/>
  <c r="EG37" i="31"/>
  <c r="EH38" i="31" s="1"/>
  <c r="BP38" i="31"/>
  <c r="BQ38" i="31" s="1"/>
  <c r="JE38" i="31" l="1"/>
  <c r="JO38" i="31"/>
  <c r="IR38" i="31"/>
  <c r="ED37" i="31"/>
  <c r="EB38" i="31" s="1"/>
  <c r="EE37" i="31"/>
  <c r="EF38" i="31" s="1"/>
  <c r="EJ37" i="31"/>
  <c r="EK38" i="31" s="1"/>
  <c r="EI38" i="31"/>
  <c r="FK38" i="31" s="1"/>
  <c r="JW38" i="31"/>
  <c r="EZ37" i="31"/>
  <c r="DG37" i="31"/>
  <c r="DH37" i="31" s="1"/>
  <c r="DI38" i="31" s="1"/>
  <c r="BR38" i="31"/>
  <c r="BS38" i="31"/>
  <c r="DP38" i="31" l="1"/>
  <c r="IY38" i="31"/>
  <c r="FC38" i="31"/>
  <c r="EL38" i="31"/>
  <c r="JA38" i="31"/>
  <c r="EO38" i="31"/>
  <c r="ES39" i="31" s="1"/>
  <c r="EV38" i="31"/>
  <c r="EP38" i="31"/>
  <c r="ET39" i="31" s="1"/>
  <c r="JD38" i="31"/>
  <c r="JC38" i="31"/>
  <c r="GZ38" i="31"/>
  <c r="IP38" i="31"/>
  <c r="IO38" i="31"/>
  <c r="DJ38" i="31"/>
  <c r="DK38" i="31" s="1"/>
  <c r="BT38" i="31"/>
  <c r="BU38" i="31"/>
  <c r="DX38" i="31" l="1"/>
  <c r="FQ38" i="31"/>
  <c r="DM38" i="31"/>
  <c r="EC38" i="31"/>
  <c r="JX38" i="31"/>
  <c r="IE38" i="31"/>
  <c r="KG38" i="31"/>
  <c r="JP38" i="31"/>
  <c r="JQ38" i="31" s="1"/>
  <c r="BV38" i="31"/>
  <c r="BW38" i="31" s="1"/>
  <c r="FB38" i="31" l="1"/>
  <c r="EX38" i="31"/>
  <c r="M38" i="31" s="1"/>
  <c r="L39" i="31"/>
  <c r="DL38" i="31"/>
  <c r="BX38" i="31"/>
  <c r="BY38" i="31"/>
  <c r="BZ38" i="31" l="1"/>
  <c r="CA38" i="31"/>
  <c r="CC38" i="31" s="1"/>
  <c r="CD38" i="31" s="1"/>
  <c r="MB38" i="31"/>
  <c r="NM38" i="31" s="1"/>
  <c r="NN38" i="31" s="1"/>
  <c r="MJ38" i="31"/>
  <c r="NS38" i="31" s="1"/>
  <c r="CB38" i="31" l="1"/>
  <c r="CE38" i="31"/>
  <c r="CF38" i="31" s="1"/>
  <c r="OV39" i="31"/>
  <c r="NW38" i="31"/>
  <c r="NT38" i="31"/>
  <c r="OU39" i="31"/>
  <c r="CG38" i="31" l="1"/>
  <c r="CI38" i="31" s="1"/>
  <c r="CJ38" i="31" s="1"/>
  <c r="CO38" i="31" s="1"/>
  <c r="FR38" i="31"/>
  <c r="FV38" i="31"/>
  <c r="CX38" i="31"/>
  <c r="NU38" i="31"/>
  <c r="NV38" i="31" s="1"/>
  <c r="NX38" i="31"/>
  <c r="NY38" i="31" s="1"/>
  <c r="OB38" i="31" s="1"/>
  <c r="OT39" i="31" s="1"/>
  <c r="CK38" i="31" l="1"/>
  <c r="CM38" i="31" s="1"/>
  <c r="CN38" i="31" s="1"/>
  <c r="CH38" i="31"/>
  <c r="OF38" i="31"/>
  <c r="OS39" i="31" s="1"/>
  <c r="CY39" i="31"/>
  <c r="MY38" i="31"/>
  <c r="PA38" i="31" s="1"/>
  <c r="NZ38" i="31"/>
  <c r="OA38" i="31" s="1"/>
  <c r="MV39" i="31" s="1"/>
  <c r="OG39" i="31" s="1"/>
  <c r="CL38" i="31" l="1"/>
  <c r="CP38" i="31" s="1"/>
  <c r="JR38" i="31" s="1"/>
  <c r="JS38" i="31" s="1"/>
  <c r="OC38" i="31"/>
  <c r="OD39" i="31" s="1"/>
  <c r="OH39" i="31" s="1"/>
  <c r="OK39" i="31" s="1"/>
  <c r="NF39" i="31"/>
  <c r="OO39" i="31"/>
  <c r="KT39" i="31" s="1"/>
  <c r="OM39" i="31"/>
  <c r="OI38" i="31"/>
  <c r="MZ39" i="31"/>
  <c r="OZ38" i="31"/>
  <c r="OJ38" i="31"/>
  <c r="FZ38" i="31" l="1"/>
  <c r="GA38" i="31" s="1"/>
  <c r="MW39" i="31"/>
  <c r="MX39" i="31" s="1"/>
  <c r="OY39" i="31"/>
  <c r="OX39" i="31"/>
  <c r="MR39" i="31"/>
  <c r="MS39" i="31" s="1"/>
  <c r="OW38" i="31"/>
  <c r="KL39" i="31"/>
  <c r="KN40" i="31" s="1"/>
  <c r="KQ39" i="31" s="1"/>
  <c r="KM39" i="31"/>
  <c r="KO40" i="31" s="1"/>
  <c r="DQ38" i="31"/>
  <c r="DR38" i="31" s="1"/>
  <c r="DS38" i="31" s="1"/>
  <c r="GB38" i="31"/>
  <c r="GC38" i="31" s="1"/>
  <c r="GO38" i="31"/>
  <c r="FE38" i="31"/>
  <c r="FF38" i="31" s="1"/>
  <c r="HW38" i="31" s="1"/>
  <c r="HX39" i="31" s="1"/>
  <c r="FX38" i="31"/>
  <c r="FY38" i="31" s="1"/>
  <c r="FH38" i="31"/>
  <c r="FI38" i="31" s="1"/>
  <c r="FJ39" i="31" s="1"/>
  <c r="KU38" i="31"/>
  <c r="KX38" i="31"/>
  <c r="GN38" i="31" s="1"/>
  <c r="GQ38" i="31" s="1"/>
  <c r="FP38" i="31"/>
  <c r="FS38" i="31" s="1"/>
  <c r="HA38" i="31" s="1"/>
  <c r="FU38" i="31"/>
  <c r="FW38" i="31" s="1"/>
  <c r="CQ38" i="31"/>
  <c r="CT38" i="31" s="1"/>
  <c r="HO38" i="31"/>
  <c r="IA38" i="31" s="1"/>
  <c r="IB38" i="31" s="1"/>
  <c r="JU38" i="31"/>
  <c r="KC38" i="31"/>
  <c r="JT39" i="31"/>
  <c r="KE38" i="31"/>
  <c r="FG39" i="31" l="1"/>
  <c r="NP39" i="31"/>
  <c r="MT39" i="31"/>
  <c r="NH40" i="31"/>
  <c r="NI40" i="31" s="1"/>
  <c r="NJ39" i="31"/>
  <c r="MU39" i="31"/>
  <c r="MO39" i="31"/>
  <c r="PE39" i="31"/>
  <c r="NQ39" i="31"/>
  <c r="KP40" i="31"/>
  <c r="KR39" i="31"/>
  <c r="KS39" i="31" s="1"/>
  <c r="NA39" i="31"/>
  <c r="NB39" i="31"/>
  <c r="DY38" i="31"/>
  <c r="HU38" i="31"/>
  <c r="HV39" i="31" s="1"/>
  <c r="HY38" i="31"/>
  <c r="CS38" i="31"/>
  <c r="CR38" i="31"/>
  <c r="KV38" i="31"/>
  <c r="HP38" i="31"/>
  <c r="HS38" i="31" s="1"/>
  <c r="JG38" i="31" s="1"/>
  <c r="IZ38" i="31"/>
  <c r="AX38" i="31"/>
  <c r="AY39" i="31" s="1"/>
  <c r="AZ38" i="31"/>
  <c r="EM38" i="31"/>
  <c r="EW38" i="31" s="1"/>
  <c r="EN38" i="31"/>
  <c r="KW39" i="31" l="1"/>
  <c r="HQ38" i="31"/>
  <c r="HR39" i="31" s="1"/>
  <c r="NR39" i="31"/>
  <c r="HT38" i="31"/>
  <c r="JB38" i="31" s="1"/>
  <c r="OQ40" i="31"/>
  <c r="OR40" i="31" s="1"/>
  <c r="NK39" i="31"/>
  <c r="NL39" i="31"/>
  <c r="NG40" i="31"/>
  <c r="BB39" i="31"/>
  <c r="IW38" i="31"/>
  <c r="EQ38" i="31"/>
  <c r="DW38" i="31"/>
  <c r="DU39" i="31" s="1"/>
  <c r="ER39" i="31"/>
  <c r="IU38" i="31"/>
  <c r="IV38" i="31" s="1"/>
  <c r="IC38" i="31" l="1"/>
  <c r="ID38" i="31" s="1"/>
  <c r="IF38" i="31" s="1"/>
  <c r="KH38" i="31" s="1"/>
  <c r="NC40" i="31"/>
  <c r="MQ40" i="31"/>
  <c r="BC39" i="31"/>
  <c r="KK38" i="31"/>
  <c r="KB38" i="31"/>
  <c r="IX38" i="31"/>
  <c r="EU39" i="31"/>
  <c r="DF38" i="31" l="1"/>
  <c r="GV38" i="31" s="1"/>
  <c r="KI39" i="31"/>
  <c r="IM38" i="31"/>
  <c r="DB38" i="31"/>
  <c r="DC38" i="31" s="1"/>
  <c r="DD39" i="31" s="1"/>
  <c r="DE40" i="31" s="1"/>
  <c r="GT40" i="31" s="1"/>
  <c r="GM38" i="31"/>
  <c r="IN38" i="31"/>
  <c r="KJ39" i="31"/>
  <c r="BD39" i="31"/>
  <c r="BE39" i="31"/>
  <c r="DT38" i="31" l="1"/>
  <c r="DZ38" i="31" s="1"/>
  <c r="GU38" i="31"/>
  <c r="FD38" i="31"/>
  <c r="FL39" i="31" s="1"/>
  <c r="GR38" i="31"/>
  <c r="GS38" i="31" s="1"/>
  <c r="BG39" i="31"/>
  <c r="BF39" i="31"/>
  <c r="IS38" i="31" l="1"/>
  <c r="JH38" i="31" s="1"/>
  <c r="JI38" i="31" s="1"/>
  <c r="FM39" i="31"/>
  <c r="BI39" i="31"/>
  <c r="BK39" i="31" s="1"/>
  <c r="BH39" i="31"/>
  <c r="GW38" i="31"/>
  <c r="HC38" i="31" s="1"/>
  <c r="FA39" i="31" s="1"/>
  <c r="HB39" i="31" s="1"/>
  <c r="GX38" i="31"/>
  <c r="GY38" i="31"/>
  <c r="IT38" i="31" l="1"/>
  <c r="EY38" i="31"/>
  <c r="EG38" i="31"/>
  <c r="EH39" i="31" s="1"/>
  <c r="EI39" i="31" s="1"/>
  <c r="FK39" i="31" s="1"/>
  <c r="HM38" i="31"/>
  <c r="HK39" i="31"/>
  <c r="BL39" i="31"/>
  <c r="BM39" i="31"/>
  <c r="BJ39" i="31"/>
  <c r="JK38" i="31"/>
  <c r="JN38" i="31" s="1"/>
  <c r="JV38" i="31" s="1"/>
  <c r="JF39" i="31" s="1"/>
  <c r="JM38" i="31" l="1"/>
  <c r="KD38" i="31" s="1"/>
  <c r="IL39" i="31" s="1"/>
  <c r="EJ38" i="31"/>
  <c r="EK39" i="31" s="1"/>
  <c r="ED38" i="31"/>
  <c r="EB39" i="31" s="1"/>
  <c r="EE38" i="31"/>
  <c r="EF39" i="31" s="1"/>
  <c r="JW39" i="31"/>
  <c r="JY39" i="31"/>
  <c r="BO39" i="31"/>
  <c r="BN39" i="31"/>
  <c r="JZ38" i="31"/>
  <c r="KF38" i="31" s="1"/>
  <c r="IQ39" i="31" s="1"/>
  <c r="JL38" i="31"/>
  <c r="JJ39" i="31" s="1"/>
  <c r="KA39" i="31"/>
  <c r="EZ38" i="31"/>
  <c r="DG38" i="31"/>
  <c r="DH38" i="31" s="1"/>
  <c r="DI39" i="31" s="1"/>
  <c r="JO39" i="31" l="1"/>
  <c r="IP39" i="31"/>
  <c r="FC39" i="31"/>
  <c r="EO39" i="31"/>
  <c r="ES40" i="31" s="1"/>
  <c r="EL39" i="31"/>
  <c r="EP39" i="31"/>
  <c r="ET40" i="31" s="1"/>
  <c r="EV39" i="31"/>
  <c r="DP39" i="31"/>
  <c r="JC39" i="31"/>
  <c r="JD39" i="31"/>
  <c r="IO39" i="31"/>
  <c r="HZ39" i="31"/>
  <c r="BP39" i="31"/>
  <c r="BQ39" i="31" s="1"/>
  <c r="GZ39" i="31"/>
  <c r="IE39" i="31" s="1"/>
  <c r="DJ39" i="31"/>
  <c r="DK39" i="31" s="1"/>
  <c r="IY39" i="31"/>
  <c r="JP39" i="31" s="1"/>
  <c r="JQ39" i="31" s="1"/>
  <c r="JA39" i="31"/>
  <c r="IR39" i="31"/>
  <c r="JE39" i="31"/>
  <c r="JX39" i="31" l="1"/>
  <c r="BR39" i="31"/>
  <c r="BS39" i="31"/>
  <c r="EC39" i="31"/>
  <c r="KG39" i="31"/>
  <c r="DM39" i="31"/>
  <c r="DX39" i="31"/>
  <c r="FQ39" i="31"/>
  <c r="EX39" i="31" l="1"/>
  <c r="M39" i="31" s="1"/>
  <c r="FB39" i="31"/>
  <c r="DL39" i="31"/>
  <c r="L40" i="31"/>
  <c r="BT39" i="31"/>
  <c r="BU39" i="31"/>
  <c r="BV39" i="31" l="1"/>
  <c r="BW39" i="31" s="1"/>
  <c r="MJ39" i="31"/>
  <c r="NS39" i="31" s="1"/>
  <c r="MB39" i="31"/>
  <c r="BX39" i="31" l="1"/>
  <c r="BY39" i="31"/>
  <c r="NM39" i="31"/>
  <c r="NN39" i="31" s="1"/>
  <c r="NT39" i="31"/>
  <c r="OU40" i="31"/>
  <c r="BZ39" i="31" l="1"/>
  <c r="CA39" i="31"/>
  <c r="CC39" i="31" s="1"/>
  <c r="CD39" i="31" s="1"/>
  <c r="OV40" i="31"/>
  <c r="NW39" i="31"/>
  <c r="NX39" i="31" s="1"/>
  <c r="FR39" i="31"/>
  <c r="FV39" i="31"/>
  <c r="CX39" i="31"/>
  <c r="NU39" i="31"/>
  <c r="CE39" i="31" l="1"/>
  <c r="CG39" i="31" s="1"/>
  <c r="CI39" i="31" s="1"/>
  <c r="CB39" i="31"/>
  <c r="NZ39" i="31"/>
  <c r="MY39" i="31"/>
  <c r="CY40" i="31"/>
  <c r="NY39" i="31"/>
  <c r="NV39" i="31"/>
  <c r="OF39" i="31"/>
  <c r="OS40" i="31" s="1"/>
  <c r="CF39" i="31" l="1"/>
  <c r="OI39" i="31"/>
  <c r="OB39" i="31"/>
  <c r="OT40" i="31" s="1"/>
  <c r="CJ39" i="31"/>
  <c r="CO39" i="31" s="1"/>
  <c r="CK39" i="31"/>
  <c r="OA39" i="31"/>
  <c r="MV40" i="31" s="1"/>
  <c r="NF40" i="31"/>
  <c r="OM40" i="31"/>
  <c r="OO40" i="31"/>
  <c r="MZ40" i="31"/>
  <c r="OZ39" i="31"/>
  <c r="CH39" i="31"/>
  <c r="KT40" i="31" l="1"/>
  <c r="OG40" i="31"/>
  <c r="OJ39" i="31"/>
  <c r="CL39" i="31"/>
  <c r="CM39" i="31"/>
  <c r="CN39" i="31" s="1"/>
  <c r="PA39" i="31"/>
  <c r="OC39" i="31"/>
  <c r="OD40" i="31" s="1"/>
  <c r="OH40" i="31" s="1"/>
  <c r="MR40" i="31"/>
  <c r="OW39" i="31"/>
  <c r="OX40" i="31"/>
  <c r="MW40" i="31" l="1"/>
  <c r="OY40" i="31"/>
  <c r="OK40" i="31"/>
  <c r="CP39" i="31"/>
  <c r="MS40" i="31"/>
  <c r="KL40" i="31"/>
  <c r="KN41" i="31" s="1"/>
  <c r="KM40" i="31"/>
  <c r="KO41" i="31" s="1"/>
  <c r="NJ40" i="31" l="1"/>
  <c r="MO40" i="31"/>
  <c r="NQ40" i="31"/>
  <c r="NP40" i="31"/>
  <c r="MT40" i="31"/>
  <c r="NH41" i="31"/>
  <c r="NI41" i="31" s="1"/>
  <c r="MU40" i="31"/>
  <c r="PE40" i="31"/>
  <c r="GO39" i="31"/>
  <c r="GB39" i="31"/>
  <c r="GC39" i="31" s="1"/>
  <c r="FX39" i="31"/>
  <c r="FY39" i="31" s="1"/>
  <c r="FZ39" i="31"/>
  <c r="GA39" i="31" s="1"/>
  <c r="FP39" i="31"/>
  <c r="FS39" i="31" s="1"/>
  <c r="DQ39" i="31"/>
  <c r="DR39" i="31" s="1"/>
  <c r="FH39" i="31"/>
  <c r="FI39" i="31" s="1"/>
  <c r="FE39" i="31"/>
  <c r="FF39" i="31" s="1"/>
  <c r="CQ39" i="31"/>
  <c r="JR39" i="31"/>
  <c r="JS39" i="31" s="1"/>
  <c r="FU39" i="31"/>
  <c r="FW39" i="31" s="1"/>
  <c r="HO39" i="31"/>
  <c r="KX39" i="31"/>
  <c r="KU39" i="31"/>
  <c r="KP41" i="31"/>
  <c r="KR40" i="31"/>
  <c r="KQ40" i="31"/>
  <c r="MX40" i="31"/>
  <c r="GN39" i="31" l="1"/>
  <c r="KV39" i="31" s="1"/>
  <c r="KS40" i="31"/>
  <c r="HW39" i="31"/>
  <c r="HX40" i="31" s="1"/>
  <c r="FG40" i="31"/>
  <c r="DS39" i="31"/>
  <c r="HY39" i="31"/>
  <c r="HA39" i="31"/>
  <c r="DY39" i="31"/>
  <c r="HP39" i="31"/>
  <c r="IA39" i="31"/>
  <c r="IB39" i="31" s="1"/>
  <c r="IZ39" i="31"/>
  <c r="NR40" i="31"/>
  <c r="NA40" i="31"/>
  <c r="NB40" i="31"/>
  <c r="JU39" i="31"/>
  <c r="KC39" i="31"/>
  <c r="JT40" i="31"/>
  <c r="KE39" i="31"/>
  <c r="HU39" i="31"/>
  <c r="HV40" i="31" s="1"/>
  <c r="FJ40" i="31"/>
  <c r="CS39" i="31"/>
  <c r="CT39" i="31"/>
  <c r="CR39" i="31"/>
  <c r="NK40" i="31"/>
  <c r="NL40" i="31"/>
  <c r="NG41" i="31"/>
  <c r="OQ41" i="31"/>
  <c r="GQ39" i="31" l="1"/>
  <c r="KW40" i="31"/>
  <c r="HQ39" i="31"/>
  <c r="HR40" i="31" s="1"/>
  <c r="HS39" i="31"/>
  <c r="JG39" i="31" s="1"/>
  <c r="HT39" i="31"/>
  <c r="NC41" i="31"/>
  <c r="MQ41" i="31"/>
  <c r="AX39" i="31"/>
  <c r="AY40" i="31" s="1"/>
  <c r="EN39" i="31"/>
  <c r="EM39" i="31"/>
  <c r="EW39" i="31" s="1"/>
  <c r="AZ39" i="31"/>
  <c r="OR41" i="31"/>
  <c r="IC39" i="31" l="1"/>
  <c r="ID39" i="31" s="1"/>
  <c r="IF39" i="31" s="1"/>
  <c r="KH39" i="31" s="1"/>
  <c r="JB39" i="31"/>
  <c r="BB40" i="31"/>
  <c r="EQ39" i="31"/>
  <c r="DW39" i="31"/>
  <c r="DU40" i="31" s="1"/>
  <c r="ER40" i="31"/>
  <c r="IU39" i="31"/>
  <c r="IV39" i="31" s="1"/>
  <c r="IW39" i="31" l="1"/>
  <c r="KB39" i="31" s="1"/>
  <c r="IX39" i="31"/>
  <c r="KK39" i="31"/>
  <c r="BC40" i="31"/>
  <c r="EU40" i="31"/>
  <c r="IM39" i="31"/>
  <c r="DB39" i="31"/>
  <c r="DC39" i="31" s="1"/>
  <c r="DD40" i="31" s="1"/>
  <c r="DE41" i="31" s="1"/>
  <c r="GM39" i="31"/>
  <c r="KI40" i="31"/>
  <c r="IN39" i="31"/>
  <c r="DF39" i="31"/>
  <c r="DT39" i="31" l="1"/>
  <c r="DZ39" i="31" s="1"/>
  <c r="GU39" i="31"/>
  <c r="GV39" i="31"/>
  <c r="FD39" i="31"/>
  <c r="BE40" i="31"/>
  <c r="BD40" i="31"/>
  <c r="KJ40" i="31"/>
  <c r="GR39" i="31"/>
  <c r="GT41" i="31"/>
  <c r="BF40" i="31" l="1"/>
  <c r="BG40" i="31"/>
  <c r="IS39" i="31"/>
  <c r="FL40" i="31"/>
  <c r="GS39" i="31"/>
  <c r="GW39" i="31" l="1"/>
  <c r="HC39" i="31" s="1"/>
  <c r="FA40" i="31" s="1"/>
  <c r="HB40" i="31" s="1"/>
  <c r="GY39" i="31"/>
  <c r="GX39" i="31"/>
  <c r="FM40" i="31"/>
  <c r="JH39" i="31"/>
  <c r="JI39" i="31" s="1"/>
  <c r="IT39" i="31"/>
  <c r="BI40" i="31"/>
  <c r="BK40" i="31" s="1"/>
  <c r="BH40" i="31"/>
  <c r="JK39" i="31" l="1"/>
  <c r="JZ39" i="31" s="1"/>
  <c r="KF39" i="31" s="1"/>
  <c r="IQ40" i="31" s="1"/>
  <c r="HM39" i="31"/>
  <c r="EY39" i="31"/>
  <c r="EG39" i="31"/>
  <c r="EH40" i="31" s="1"/>
  <c r="EI40" i="31" s="1"/>
  <c r="FK40" i="31" s="1"/>
  <c r="HK40" i="31"/>
  <c r="BL40" i="31"/>
  <c r="BM40" i="31"/>
  <c r="BJ40" i="31"/>
  <c r="JM39" i="31" l="1"/>
  <c r="KD39" i="31" s="1"/>
  <c r="IL40" i="31" s="1"/>
  <c r="IR40" i="31" s="1"/>
  <c r="EZ39" i="31"/>
  <c r="DG39" i="31"/>
  <c r="DH39" i="31" s="1"/>
  <c r="DI40" i="31" s="1"/>
  <c r="EJ39" i="31"/>
  <c r="EK40" i="31" s="1"/>
  <c r="ED39" i="31"/>
  <c r="EB40" i="31" s="1"/>
  <c r="JA40" i="31" s="1"/>
  <c r="EE39" i="31"/>
  <c r="EF40" i="31" s="1"/>
  <c r="BO40" i="31"/>
  <c r="BP40" i="31" s="1"/>
  <c r="BQ40" i="31" s="1"/>
  <c r="BN40" i="31"/>
  <c r="JN39" i="31"/>
  <c r="JV39" i="31" s="1"/>
  <c r="JF40" i="31" s="1"/>
  <c r="JL39" i="31"/>
  <c r="JJ40" i="31" s="1"/>
  <c r="KA40" i="31"/>
  <c r="JE40" i="31" l="1"/>
  <c r="IP40" i="31"/>
  <c r="IO40" i="31"/>
  <c r="GZ40" i="31"/>
  <c r="IE40" i="31" s="1"/>
  <c r="DJ40" i="31"/>
  <c r="DK40" i="31" s="1"/>
  <c r="HZ40" i="31"/>
  <c r="JW40" i="31"/>
  <c r="JY40" i="31"/>
  <c r="FC40" i="31"/>
  <c r="EP40" i="31"/>
  <c r="ET41" i="31" s="1"/>
  <c r="EO40" i="31"/>
  <c r="ES41" i="31" s="1"/>
  <c r="EL40" i="31"/>
  <c r="EV40" i="31"/>
  <c r="JC40" i="31"/>
  <c r="JD40" i="31"/>
  <c r="BR40" i="31"/>
  <c r="BS40" i="31"/>
  <c r="JO40" i="31"/>
  <c r="DP40" i="31"/>
  <c r="IY40" i="31"/>
  <c r="JP40" i="31" l="1"/>
  <c r="JQ40" i="31" s="1"/>
  <c r="KG40" i="31"/>
  <c r="JX40" i="31"/>
  <c r="EC40" i="31"/>
  <c r="BT40" i="31"/>
  <c r="BU40" i="31"/>
  <c r="DM40" i="31"/>
  <c r="DX40" i="31"/>
  <c r="FQ40" i="31"/>
  <c r="DL40" i="31" l="1"/>
  <c r="L41" i="31"/>
  <c r="BV40" i="31"/>
  <c r="BW40" i="31" s="1"/>
  <c r="FB40" i="31"/>
  <c r="EX40" i="31"/>
  <c r="M40" i="31" s="1"/>
  <c r="BX40" i="31" l="1"/>
  <c r="BY40" i="31"/>
  <c r="CA40" i="31" s="1"/>
  <c r="CC40" i="31" s="1"/>
  <c r="MJ40" i="31"/>
  <c r="NS40" i="31" s="1"/>
  <c r="MB40" i="31"/>
  <c r="NM40" i="31" s="1"/>
  <c r="NN40" i="31" s="1"/>
  <c r="BZ40" i="31" l="1"/>
  <c r="CB40" i="31"/>
  <c r="CD40" i="31"/>
  <c r="CE40" i="31"/>
  <c r="OV41" i="31"/>
  <c r="NW40" i="31"/>
  <c r="NT40" i="31"/>
  <c r="OU41" i="31"/>
  <c r="NX40" i="31" l="1"/>
  <c r="CF40" i="31"/>
  <c r="CG40" i="31"/>
  <c r="CI40" i="31" s="1"/>
  <c r="CX40" i="31"/>
  <c r="FV40" i="31"/>
  <c r="FR40" i="31"/>
  <c r="NU40" i="31"/>
  <c r="CH40" i="31"/>
  <c r="CJ40" i="31" l="1"/>
  <c r="CO40" i="31" s="1"/>
  <c r="CK40" i="31"/>
  <c r="NV40" i="31"/>
  <c r="NY40" i="31"/>
  <c r="MY40" i="31"/>
  <c r="NZ40" i="31"/>
  <c r="CY41" i="31"/>
  <c r="OF40" i="31"/>
  <c r="OS41" i="31" s="1"/>
  <c r="OA40" i="31" l="1"/>
  <c r="MV41" i="31" s="1"/>
  <c r="OG41" i="31" s="1"/>
  <c r="OO41" i="31"/>
  <c r="NF41" i="31"/>
  <c r="OM41" i="31"/>
  <c r="MZ41" i="31"/>
  <c r="OZ40" i="31"/>
  <c r="OB40" i="31"/>
  <c r="OT41" i="31" s="1"/>
  <c r="CL40" i="31"/>
  <c r="CM40" i="31"/>
  <c r="CN40" i="31" s="1"/>
  <c r="OI40" i="31"/>
  <c r="KT41" i="31" l="1"/>
  <c r="KM41" i="31" s="1"/>
  <c r="KO42" i="31" s="1"/>
  <c r="OX41" i="31"/>
  <c r="OW40" i="31"/>
  <c r="MR41" i="31"/>
  <c r="PA40" i="31"/>
  <c r="OC40" i="31"/>
  <c r="OD41" i="31" s="1"/>
  <c r="OH41" i="31" s="1"/>
  <c r="OK41" i="31" s="1"/>
  <c r="OJ40" i="31"/>
  <c r="CP40" i="31"/>
  <c r="KL41" i="31" l="1"/>
  <c r="KN42" i="31" s="1"/>
  <c r="KQ41" i="31" s="1"/>
  <c r="OY41" i="31"/>
  <c r="MW41" i="31"/>
  <c r="MS41" i="31"/>
  <c r="KR41" i="31"/>
  <c r="CQ40" i="31"/>
  <c r="FH40" i="31"/>
  <c r="FI40" i="31" s="1"/>
  <c r="FX40" i="31"/>
  <c r="FY40" i="31" s="1"/>
  <c r="FE40" i="31"/>
  <c r="FF40" i="31" s="1"/>
  <c r="FU40" i="31"/>
  <c r="FW40" i="31" s="1"/>
  <c r="DQ40" i="31"/>
  <c r="DR40" i="31" s="1"/>
  <c r="FP40" i="31"/>
  <c r="FS40" i="31" s="1"/>
  <c r="FZ40" i="31"/>
  <c r="GA40" i="31" s="1"/>
  <c r="GO40" i="31"/>
  <c r="JR40" i="31"/>
  <c r="JS40" i="31" s="1"/>
  <c r="HO40" i="31"/>
  <c r="GB40" i="31"/>
  <c r="GC40" i="31" s="1"/>
  <c r="KX40" i="31"/>
  <c r="GN40" i="31" s="1"/>
  <c r="KU40" i="31"/>
  <c r="KP42" i="31" l="1"/>
  <c r="HW40" i="31"/>
  <c r="HX41" i="31" s="1"/>
  <c r="FG41" i="31"/>
  <c r="HU40" i="31"/>
  <c r="HV41" i="31" s="1"/>
  <c r="FJ41" i="31"/>
  <c r="CS40" i="31"/>
  <c r="CR40" i="31"/>
  <c r="CT40" i="31"/>
  <c r="HA40" i="31"/>
  <c r="DY40" i="31"/>
  <c r="HY40" i="31"/>
  <c r="KS41" i="31"/>
  <c r="NH42" i="31"/>
  <c r="NI42" i="31" s="1"/>
  <c r="MT41" i="31"/>
  <c r="NP41" i="31"/>
  <c r="NQ41" i="31"/>
  <c r="MU41" i="31"/>
  <c r="NJ41" i="31"/>
  <c r="MO41" i="31"/>
  <c r="PE41" i="31"/>
  <c r="IA40" i="31"/>
  <c r="IB40" i="31" s="1"/>
  <c r="HP40" i="31"/>
  <c r="IZ40" i="31"/>
  <c r="DS40" i="31"/>
  <c r="MX41" i="31"/>
  <c r="KE40" i="31"/>
  <c r="JU40" i="31"/>
  <c r="KC40" i="31"/>
  <c r="JT41" i="31"/>
  <c r="GQ40" i="31"/>
  <c r="KV40" i="31"/>
  <c r="KW41" i="31" l="1"/>
  <c r="HQ40" i="31"/>
  <c r="HR41" i="31" s="1"/>
  <c r="NR41" i="31"/>
  <c r="HS40" i="31"/>
  <c r="JG40" i="31" s="1"/>
  <c r="HT40" i="31"/>
  <c r="AX40" i="31"/>
  <c r="AY41" i="31" s="1"/>
  <c r="EM40" i="31"/>
  <c r="EW40" i="31" s="1"/>
  <c r="AZ40" i="31"/>
  <c r="EN40" i="31"/>
  <c r="NA41" i="31"/>
  <c r="NB41" i="31"/>
  <c r="NL41" i="31"/>
  <c r="NK41" i="31"/>
  <c r="NG42" i="31"/>
  <c r="OQ42" i="31"/>
  <c r="IC40" i="31" l="1"/>
  <c r="ID40" i="31" s="1"/>
  <c r="IF40" i="31" s="1"/>
  <c r="KH40" i="31" s="1"/>
  <c r="JB40" i="31"/>
  <c r="NC42" i="31"/>
  <c r="MQ42" i="31"/>
  <c r="BB41" i="31"/>
  <c r="IW40" i="31"/>
  <c r="EQ40" i="31"/>
  <c r="DW40" i="31"/>
  <c r="DU41" i="31" s="1"/>
  <c r="ER41" i="31"/>
  <c r="IU40" i="31"/>
  <c r="IV40" i="31" s="1"/>
  <c r="OR42" i="31"/>
  <c r="EU41" i="31" l="1"/>
  <c r="IX40" i="31"/>
  <c r="KK40" i="31"/>
  <c r="IM40" i="31"/>
  <c r="DB40" i="31"/>
  <c r="DC40" i="31" s="1"/>
  <c r="DD41" i="31" s="1"/>
  <c r="DE42" i="31" s="1"/>
  <c r="GM40" i="31"/>
  <c r="KI41" i="31"/>
  <c r="IN40" i="31"/>
  <c r="DF40" i="31"/>
  <c r="KB40" i="31"/>
  <c r="BC41" i="31"/>
  <c r="FD40" i="31" l="1"/>
  <c r="GU40" i="31"/>
  <c r="GV40" i="31"/>
  <c r="KJ41" i="31"/>
  <c r="GR40" i="31"/>
  <c r="GT42" i="31"/>
  <c r="BD41" i="31"/>
  <c r="BE41" i="31"/>
  <c r="DT40" i="31"/>
  <c r="DZ40" i="31" s="1"/>
  <c r="IS40" i="31" l="1"/>
  <c r="FL41" i="31"/>
  <c r="GS40" i="31"/>
  <c r="BG41" i="31"/>
  <c r="BF41" i="31"/>
  <c r="BH41" i="31" l="1"/>
  <c r="BI41" i="31"/>
  <c r="BK41" i="31" s="1"/>
  <c r="GW40" i="31"/>
  <c r="HC40" i="31" s="1"/>
  <c r="FA41" i="31" s="1"/>
  <c r="HB41" i="31" s="1"/>
  <c r="GX40" i="31"/>
  <c r="GY40" i="31"/>
  <c r="FM41" i="31"/>
  <c r="JH40" i="31"/>
  <c r="JI40" i="31" s="1"/>
  <c r="IT40" i="31"/>
  <c r="JK40" i="31" l="1"/>
  <c r="JZ40" i="31" s="1"/>
  <c r="KF40" i="31" s="1"/>
  <c r="IQ41" i="31" s="1"/>
  <c r="BL41" i="31"/>
  <c r="BM41" i="31"/>
  <c r="EY40" i="31"/>
  <c r="HM40" i="31"/>
  <c r="EG40" i="31"/>
  <c r="EH41" i="31" s="1"/>
  <c r="EI41" i="31" s="1"/>
  <c r="FK41" i="31" s="1"/>
  <c r="HK41" i="31"/>
  <c r="BJ41" i="31"/>
  <c r="JM40" i="31" l="1"/>
  <c r="KD40" i="31" s="1"/>
  <c r="IL41" i="31" s="1"/>
  <c r="JE41" i="31" s="1"/>
  <c r="JN40" i="31"/>
  <c r="JV40" i="31" s="1"/>
  <c r="JF41" i="31" s="1"/>
  <c r="JY41" i="31" s="1"/>
  <c r="BO41" i="31"/>
  <c r="BN41" i="31"/>
  <c r="ED40" i="31"/>
  <c r="EB41" i="31" s="1"/>
  <c r="EJ40" i="31"/>
  <c r="EK41" i="31" s="1"/>
  <c r="EE40" i="31"/>
  <c r="EF41" i="31" s="1"/>
  <c r="EZ40" i="31"/>
  <c r="DG40" i="31"/>
  <c r="DH40" i="31" s="1"/>
  <c r="DI41" i="31" s="1"/>
  <c r="JL40" i="31"/>
  <c r="JJ41" i="31" s="1"/>
  <c r="KA41" i="31"/>
  <c r="JW41" i="31" l="1"/>
  <c r="IR41" i="31"/>
  <c r="JO41" i="31"/>
  <c r="IP41" i="31"/>
  <c r="DP41" i="31"/>
  <c r="FC41" i="31"/>
  <c r="EL41" i="31"/>
  <c r="EP41" i="31"/>
  <c r="ET42" i="31" s="1"/>
  <c r="EO41" i="31"/>
  <c r="ES42" i="31" s="1"/>
  <c r="EV41" i="31"/>
  <c r="GZ41" i="31"/>
  <c r="IE41" i="31" s="1"/>
  <c r="DJ41" i="31"/>
  <c r="DK41" i="31" s="1"/>
  <c r="JA41" i="31"/>
  <c r="JC41" i="31"/>
  <c r="JD41" i="31"/>
  <c r="IY41" i="31"/>
  <c r="HZ41" i="31"/>
  <c r="IO41" i="31"/>
  <c r="BP41" i="31"/>
  <c r="BQ41" i="31" s="1"/>
  <c r="JP41" i="31" l="1"/>
  <c r="JQ41" i="31" s="1"/>
  <c r="BR41" i="31"/>
  <c r="BS41" i="31"/>
  <c r="EC41" i="31"/>
  <c r="KG41" i="31"/>
  <c r="FQ41" i="31"/>
  <c r="DM41" i="31"/>
  <c r="DX41" i="31"/>
  <c r="JX41" i="31"/>
  <c r="FB41" i="31" l="1"/>
  <c r="EX41" i="31"/>
  <c r="M41" i="31" s="1"/>
  <c r="DL41" i="31"/>
  <c r="L42" i="31"/>
  <c r="BT41" i="31"/>
  <c r="BU41" i="31"/>
  <c r="MB41" i="31" l="1"/>
  <c r="NM41" i="31" s="1"/>
  <c r="NN41" i="31" s="1"/>
  <c r="MJ41" i="31"/>
  <c r="NS41" i="31" s="1"/>
  <c r="BV41" i="31"/>
  <c r="BW41" i="31" s="1"/>
  <c r="BY41" i="31" l="1"/>
  <c r="CA41" i="31" s="1"/>
  <c r="CC41" i="31" s="1"/>
  <c r="BX41" i="31"/>
  <c r="NT41" i="31"/>
  <c r="OU42" i="31"/>
  <c r="OV42" i="31"/>
  <c r="NW41" i="31"/>
  <c r="BZ41" i="31" l="1"/>
  <c r="CD41" i="31"/>
  <c r="CE41" i="31"/>
  <c r="NX41" i="31"/>
  <c r="CB41" i="31"/>
  <c r="FV41" i="31"/>
  <c r="FR41" i="31"/>
  <c r="CX41" i="31"/>
  <c r="NU41" i="31"/>
  <c r="NV41" i="31" l="1"/>
  <c r="MY41" i="31"/>
  <c r="NZ41" i="31"/>
  <c r="CY42" i="31"/>
  <c r="NY41" i="31"/>
  <c r="OF41" i="31"/>
  <c r="OS42" i="31" s="1"/>
  <c r="CF41" i="31"/>
  <c r="CG41" i="31"/>
  <c r="CI41" i="31" s="1"/>
  <c r="CH41" i="31" l="1"/>
  <c r="OB41" i="31"/>
  <c r="OT42" i="31" s="1"/>
  <c r="OA41" i="31"/>
  <c r="MV42" i="31" s="1"/>
  <c r="OM42" i="31"/>
  <c r="OO42" i="31"/>
  <c r="NF42" i="31"/>
  <c r="CJ41" i="31"/>
  <c r="CO41" i="31" s="1"/>
  <c r="CK41" i="31"/>
  <c r="MZ42" i="31"/>
  <c r="OZ41" i="31"/>
  <c r="OI41" i="31"/>
  <c r="OW41" i="31" l="1"/>
  <c r="OX42" i="31"/>
  <c r="MR42" i="31"/>
  <c r="KT42" i="31"/>
  <c r="OG42" i="31"/>
  <c r="PA41" i="31"/>
  <c r="OC41" i="31"/>
  <c r="OD42" i="31" s="1"/>
  <c r="OH42" i="31" s="1"/>
  <c r="CL41" i="31"/>
  <c r="CM41" i="31"/>
  <c r="CN41" i="31" s="1"/>
  <c r="OJ41" i="31"/>
  <c r="OK42" i="31" l="1"/>
  <c r="KL42" i="31"/>
  <c r="KN43" i="31" s="1"/>
  <c r="KM42" i="31"/>
  <c r="KO43" i="31" s="1"/>
  <c r="MW42" i="31"/>
  <c r="OY42" i="31"/>
  <c r="MS42" i="31"/>
  <c r="CP41" i="31"/>
  <c r="MU42" i="31" l="1"/>
  <c r="NH43" i="31"/>
  <c r="NI43" i="31" s="1"/>
  <c r="NJ42" i="31"/>
  <c r="NQ42" i="31"/>
  <c r="MT42" i="31"/>
  <c r="MO42" i="31"/>
  <c r="NP42" i="31"/>
  <c r="PE42" i="31"/>
  <c r="MX42" i="31"/>
  <c r="KP43" i="31"/>
  <c r="KR42" i="31"/>
  <c r="GB41" i="31"/>
  <c r="GC41" i="31" s="1"/>
  <c r="FU41" i="31"/>
  <c r="FW41" i="31" s="1"/>
  <c r="FX41" i="31"/>
  <c r="FY41" i="31" s="1"/>
  <c r="CQ41" i="31"/>
  <c r="FP41" i="31"/>
  <c r="FS41" i="31" s="1"/>
  <c r="GO41" i="31"/>
  <c r="FH41" i="31"/>
  <c r="FI41" i="31" s="1"/>
  <c r="HO41" i="31"/>
  <c r="JR41" i="31"/>
  <c r="JS41" i="31" s="1"/>
  <c r="FE41" i="31"/>
  <c r="FF41" i="31" s="1"/>
  <c r="FZ41" i="31"/>
  <c r="GA41" i="31" s="1"/>
  <c r="DQ41" i="31"/>
  <c r="DR41" i="31" s="1"/>
  <c r="KX41" i="31"/>
  <c r="GN41" i="31" s="1"/>
  <c r="KU41" i="31"/>
  <c r="KQ42" i="31"/>
  <c r="KS42" i="31" l="1"/>
  <c r="HW41" i="31"/>
  <c r="HX42" i="31" s="1"/>
  <c r="FG42" i="31"/>
  <c r="HP41" i="31"/>
  <c r="IA41" i="31"/>
  <c r="IB41" i="31" s="1"/>
  <c r="IZ41" i="31"/>
  <c r="HU41" i="31"/>
  <c r="HV42" i="31" s="1"/>
  <c r="FJ42" i="31"/>
  <c r="NR42" i="31"/>
  <c r="GQ41" i="31"/>
  <c r="KV41" i="31"/>
  <c r="HA41" i="31"/>
  <c r="DY41" i="31"/>
  <c r="HY41" i="31"/>
  <c r="NK42" i="31"/>
  <c r="NL42" i="31"/>
  <c r="NG43" i="31"/>
  <c r="OQ43" i="31"/>
  <c r="KE41" i="31"/>
  <c r="JU41" i="31"/>
  <c r="JT42" i="31"/>
  <c r="KC41" i="31"/>
  <c r="DS41" i="31"/>
  <c r="CT41" i="31"/>
  <c r="CR41" i="31"/>
  <c r="CS41" i="31"/>
  <c r="NA42" i="31"/>
  <c r="NB42" i="31"/>
  <c r="KW42" i="31" l="1"/>
  <c r="HQ41" i="31"/>
  <c r="HR42" i="31" s="1"/>
  <c r="HT41" i="31"/>
  <c r="HS41" i="31"/>
  <c r="JG41" i="31" s="1"/>
  <c r="NC43" i="31"/>
  <c r="MQ43" i="31"/>
  <c r="OR43" i="31"/>
  <c r="AX41" i="31"/>
  <c r="AY42" i="31" s="1"/>
  <c r="AZ41" i="31"/>
  <c r="EN41" i="31"/>
  <c r="EM41" i="31"/>
  <c r="EW41" i="31" s="1"/>
  <c r="BB42" i="31" l="1"/>
  <c r="IW41" i="31"/>
  <c r="EQ41" i="31"/>
  <c r="DW41" i="31"/>
  <c r="DU42" i="31" s="1"/>
  <c r="ER42" i="31"/>
  <c r="IU41" i="31"/>
  <c r="IV41" i="31" s="1"/>
  <c r="IC41" i="31"/>
  <c r="ID41" i="31" s="1"/>
  <c r="IF41" i="31" s="1"/>
  <c r="KH41" i="31" s="1"/>
  <c r="JB41" i="31"/>
  <c r="BC42" i="31" l="1"/>
  <c r="DB41" i="31"/>
  <c r="DC41" i="31" s="1"/>
  <c r="DD42" i="31" s="1"/>
  <c r="DE43" i="31" s="1"/>
  <c r="IM41" i="31"/>
  <c r="GM41" i="31"/>
  <c r="KI42" i="31"/>
  <c r="IN41" i="31"/>
  <c r="DF41" i="31"/>
  <c r="KB41" i="31"/>
  <c r="IX41" i="31"/>
  <c r="KK41" i="31"/>
  <c r="EU42" i="31"/>
  <c r="DT41" i="31" l="1"/>
  <c r="DZ41" i="31" s="1"/>
  <c r="GT43" i="31"/>
  <c r="GV41" i="31"/>
  <c r="FD41" i="31"/>
  <c r="GU41" i="31"/>
  <c r="KJ42" i="31"/>
  <c r="GR41" i="31"/>
  <c r="BD42" i="31"/>
  <c r="BE42" i="31"/>
  <c r="BG42" i="31" l="1"/>
  <c r="BF42" i="31"/>
  <c r="IS41" i="31"/>
  <c r="FL42" i="31"/>
  <c r="GS41" i="31"/>
  <c r="GW41" i="31" l="1"/>
  <c r="HC41" i="31" s="1"/>
  <c r="FA42" i="31" s="1"/>
  <c r="HB42" i="31" s="1"/>
  <c r="GX41" i="31"/>
  <c r="GY41" i="31"/>
  <c r="FM42" i="31"/>
  <c r="JH41" i="31"/>
  <c r="JI41" i="31" s="1"/>
  <c r="IT41" i="31"/>
  <c r="BI42" i="31"/>
  <c r="BK42" i="31" s="1"/>
  <c r="BH42" i="31"/>
  <c r="BJ42" i="31" l="1"/>
  <c r="JK41" i="31"/>
  <c r="JZ41" i="31" s="1"/>
  <c r="KF41" i="31" s="1"/>
  <c r="IQ42" i="31" s="1"/>
  <c r="EG41" i="31"/>
  <c r="EH42" i="31" s="1"/>
  <c r="EI42" i="31" s="1"/>
  <c r="FK42" i="31" s="1"/>
  <c r="HM41" i="31"/>
  <c r="EY41" i="31"/>
  <c r="HK42" i="31"/>
  <c r="BL42" i="31"/>
  <c r="BM42" i="31"/>
  <c r="JN41" i="31" l="1"/>
  <c r="JV41" i="31" s="1"/>
  <c r="JF42" i="31" s="1"/>
  <c r="JW42" i="31" s="1"/>
  <c r="EZ41" i="31"/>
  <c r="DG41" i="31"/>
  <c r="DH41" i="31" s="1"/>
  <c r="DI42" i="31" s="1"/>
  <c r="BN42" i="31"/>
  <c r="BO42" i="31"/>
  <c r="EE41" i="31"/>
  <c r="EF42" i="31" s="1"/>
  <c r="EJ41" i="31"/>
  <c r="EK42" i="31" s="1"/>
  <c r="ED41" i="31"/>
  <c r="EB42" i="31" s="1"/>
  <c r="JM41" i="31"/>
  <c r="KD41" i="31" s="1"/>
  <c r="IL42" i="31" s="1"/>
  <c r="JL41" i="31"/>
  <c r="JJ42" i="31" s="1"/>
  <c r="KA42" i="31"/>
  <c r="JY42" i="31" l="1"/>
  <c r="HZ42" i="31"/>
  <c r="IP42" i="31"/>
  <c r="IO42" i="31"/>
  <c r="JO42" i="31"/>
  <c r="DP42" i="31"/>
  <c r="JE42" i="31"/>
  <c r="EL42" i="31"/>
  <c r="EO42" i="31"/>
  <c r="ES43" i="31" s="1"/>
  <c r="FC42" i="31"/>
  <c r="EP42" i="31"/>
  <c r="ET43" i="31" s="1"/>
  <c r="EV42" i="31"/>
  <c r="JA42" i="31"/>
  <c r="JC42" i="31"/>
  <c r="JD42" i="31"/>
  <c r="IR42" i="31"/>
  <c r="GZ42" i="31"/>
  <c r="IE42" i="31" s="1"/>
  <c r="DJ42" i="31"/>
  <c r="DK42" i="31" s="1"/>
  <c r="BP42" i="31"/>
  <c r="BQ42" i="31" s="1"/>
  <c r="IY42" i="31"/>
  <c r="JP42" i="31" l="1"/>
  <c r="JQ42" i="31" s="1"/>
  <c r="KG42" i="31"/>
  <c r="DX42" i="31"/>
  <c r="FQ42" i="31"/>
  <c r="DM42" i="31"/>
  <c r="EC42" i="31"/>
  <c r="JX42" i="31"/>
  <c r="BR42" i="31"/>
  <c r="BS42" i="31"/>
  <c r="FB42" i="31" l="1"/>
  <c r="EX42" i="31"/>
  <c r="M42" i="31" s="1"/>
  <c r="DL42" i="31"/>
  <c r="L43" i="31"/>
  <c r="BT42" i="31"/>
  <c r="BU42" i="31"/>
  <c r="BV42" i="31" l="1"/>
  <c r="BW42" i="31" s="1"/>
  <c r="MB42" i="31"/>
  <c r="NM42" i="31" s="1"/>
  <c r="NN42" i="31" s="1"/>
  <c r="MJ42" i="31"/>
  <c r="NS42" i="31" s="1"/>
  <c r="BX42" i="31" l="1"/>
  <c r="BY42" i="31"/>
  <c r="OV43" i="31"/>
  <c r="NW42" i="31"/>
  <c r="NT42" i="31"/>
  <c r="OU43" i="31"/>
  <c r="BZ42" i="31" l="1"/>
  <c r="CA42" i="31"/>
  <c r="CC42" i="31" s="1"/>
  <c r="CD42" i="31" s="1"/>
  <c r="FV42" i="31"/>
  <c r="CX42" i="31"/>
  <c r="FR42" i="31"/>
  <c r="NU42" i="31"/>
  <c r="NX42" i="31"/>
  <c r="CE42" i="31" l="1"/>
  <c r="CF42" i="31" s="1"/>
  <c r="CB42" i="31"/>
  <c r="MY42" i="31"/>
  <c r="NZ42" i="31"/>
  <c r="CY43" i="31"/>
  <c r="NY42" i="31"/>
  <c r="OF42" i="31"/>
  <c r="OS43" i="31" s="1"/>
  <c r="NV42" i="31"/>
  <c r="CG42" i="31" l="1"/>
  <c r="CI42" i="31" s="1"/>
  <c r="CJ42" i="31" s="1"/>
  <c r="CO42" i="31" s="1"/>
  <c r="OI42" i="31"/>
  <c r="OW42" i="31" s="1"/>
  <c r="OB42" i="31"/>
  <c r="OT43" i="31" s="1"/>
  <c r="OA42" i="31"/>
  <c r="MV43" i="31" s="1"/>
  <c r="OG43" i="31" s="1"/>
  <c r="OO43" i="31"/>
  <c r="OM43" i="31"/>
  <c r="NF43" i="31"/>
  <c r="MZ43" i="31"/>
  <c r="OZ42" i="31"/>
  <c r="CK42" i="31" l="1"/>
  <c r="CM42" i="31" s="1"/>
  <c r="CN42" i="31" s="1"/>
  <c r="CH42" i="31"/>
  <c r="OX43" i="31"/>
  <c r="MR43" i="31"/>
  <c r="MS43" i="31" s="1"/>
  <c r="PA42" i="31"/>
  <c r="OJ42" i="31"/>
  <c r="OC42" i="31"/>
  <c r="OD43" i="31" s="1"/>
  <c r="OH43" i="31" s="1"/>
  <c r="OK43" i="31" s="1"/>
  <c r="KT43" i="31"/>
  <c r="CL42" i="31" l="1"/>
  <c r="CP42" i="31" s="1"/>
  <c r="MO43" i="31"/>
  <c r="NP43" i="31"/>
  <c r="MT43" i="31"/>
  <c r="MU43" i="31"/>
  <c r="NQ43" i="31"/>
  <c r="NR43" i="31" s="1"/>
  <c r="NH44" i="31"/>
  <c r="NI44" i="31" s="1"/>
  <c r="NJ43" i="31"/>
  <c r="PE43" i="31"/>
  <c r="KM43" i="31"/>
  <c r="KO44" i="31" s="1"/>
  <c r="KL43" i="31"/>
  <c r="KN44" i="31" s="1"/>
  <c r="OY43" i="31"/>
  <c r="MW43" i="31"/>
  <c r="NK43" i="31" l="1"/>
  <c r="NL43" i="31"/>
  <c r="NG44" i="31"/>
  <c r="OQ44" i="31"/>
  <c r="KQ43" i="31"/>
  <c r="KP44" i="31"/>
  <c r="KR43" i="31"/>
  <c r="MX43" i="31"/>
  <c r="FZ42" i="31"/>
  <c r="GA42" i="31" s="1"/>
  <c r="CQ42" i="31"/>
  <c r="FX42" i="31"/>
  <c r="FY42" i="31" s="1"/>
  <c r="FE42" i="31"/>
  <c r="FF42" i="31" s="1"/>
  <c r="HO42" i="31"/>
  <c r="FU42" i="31"/>
  <c r="FW42" i="31" s="1"/>
  <c r="FP42" i="31"/>
  <c r="FS42" i="31" s="1"/>
  <c r="DQ42" i="31"/>
  <c r="DR42" i="31" s="1"/>
  <c r="FH42" i="31"/>
  <c r="FI42" i="31" s="1"/>
  <c r="GO42" i="31"/>
  <c r="JR42" i="31"/>
  <c r="JS42" i="31" s="1"/>
  <c r="GB42" i="31"/>
  <c r="GC42" i="31" s="1"/>
  <c r="KX42" i="31"/>
  <c r="KU42" i="31"/>
  <c r="GN42" i="31" l="1"/>
  <c r="GQ42" i="31" s="1"/>
  <c r="KS43" i="31"/>
  <c r="IA42" i="31"/>
  <c r="IB42" i="31" s="1"/>
  <c r="HP42" i="31"/>
  <c r="IZ42" i="31"/>
  <c r="NB43" i="31"/>
  <c r="NA43" i="31"/>
  <c r="OR44" i="31"/>
  <c r="HW42" i="31"/>
  <c r="HX43" i="31" s="1"/>
  <c r="FG43" i="31"/>
  <c r="DY42" i="31"/>
  <c r="HY42" i="31"/>
  <c r="HA42" i="31"/>
  <c r="KE42" i="31"/>
  <c r="KC42" i="31"/>
  <c r="JU42" i="31"/>
  <c r="JT43" i="31"/>
  <c r="NC44" i="31"/>
  <c r="MQ44" i="31"/>
  <c r="DS42" i="31"/>
  <c r="CT42" i="31"/>
  <c r="CR42" i="31"/>
  <c r="CS42" i="31"/>
  <c r="HU42" i="31"/>
  <c r="HV43" i="31" s="1"/>
  <c r="FJ43" i="31"/>
  <c r="KV42" i="31" l="1"/>
  <c r="KW43" i="31" s="1"/>
  <c r="HQ42" i="31"/>
  <c r="HR43" i="31" s="1"/>
  <c r="AX42" i="31"/>
  <c r="AY43" i="31" s="1"/>
  <c r="AZ42" i="31"/>
  <c r="EN42" i="31"/>
  <c r="EM42" i="31"/>
  <c r="EW42" i="31" s="1"/>
  <c r="HT42" i="31"/>
  <c r="HS42" i="31"/>
  <c r="JG42" i="31" s="1"/>
  <c r="BB43" i="31" l="1"/>
  <c r="DW42" i="31"/>
  <c r="DU43" i="31" s="1"/>
  <c r="IW42" i="31"/>
  <c r="EQ42" i="31"/>
  <c r="ER43" i="31"/>
  <c r="IU42" i="31"/>
  <c r="IV42" i="31" s="1"/>
  <c r="IC42" i="31"/>
  <c r="ID42" i="31" s="1"/>
  <c r="IF42" i="31" s="1"/>
  <c r="KH42" i="31" s="1"/>
  <c r="JB42" i="31"/>
  <c r="EU43" i="31" l="1"/>
  <c r="KB42" i="31"/>
  <c r="IX42" i="31"/>
  <c r="KK42" i="31"/>
  <c r="IM42" i="31"/>
  <c r="DT42" i="31" s="1"/>
  <c r="DZ42" i="31" s="1"/>
  <c r="GM42" i="31"/>
  <c r="DB42" i="31"/>
  <c r="DC42" i="31" s="1"/>
  <c r="DD43" i="31" s="1"/>
  <c r="DE44" i="31" s="1"/>
  <c r="KI43" i="31"/>
  <c r="IN42" i="31"/>
  <c r="DF42" i="31"/>
  <c r="BC43" i="31"/>
  <c r="GT44" i="31" l="1"/>
  <c r="KJ43" i="31"/>
  <c r="GR42" i="31"/>
  <c r="BE43" i="31"/>
  <c r="BD43" i="31"/>
  <c r="GV42" i="31"/>
  <c r="FD42" i="31"/>
  <c r="GU42" i="31"/>
  <c r="BF43" i="31" l="1"/>
  <c r="BG43" i="31"/>
  <c r="GS42" i="31"/>
  <c r="IS42" i="31"/>
  <c r="FL43" i="31"/>
  <c r="FM43" i="31" l="1"/>
  <c r="JH42" i="31"/>
  <c r="JI42" i="31" s="1"/>
  <c r="IT42" i="31"/>
  <c r="GY42" i="31"/>
  <c r="GW42" i="31"/>
  <c r="HC42" i="31" s="1"/>
  <c r="FA43" i="31" s="1"/>
  <c r="HB43" i="31" s="1"/>
  <c r="GX42" i="31"/>
  <c r="BI43" i="31"/>
  <c r="BK43" i="31" s="1"/>
  <c r="BH43" i="31"/>
  <c r="BL43" i="31" l="1"/>
  <c r="BM43" i="31"/>
  <c r="BJ43" i="31"/>
  <c r="JK42" i="31"/>
  <c r="JZ42" i="31" s="1"/>
  <c r="KF42" i="31" s="1"/>
  <c r="IQ43" i="31" s="1"/>
  <c r="EY42" i="31"/>
  <c r="HM42" i="31"/>
  <c r="EG42" i="31"/>
  <c r="EH43" i="31" s="1"/>
  <c r="EI43" i="31" s="1"/>
  <c r="FK43" i="31" s="1"/>
  <c r="HK43" i="31"/>
  <c r="JN42" i="31" l="1"/>
  <c r="JV42" i="31" s="1"/>
  <c r="JF43" i="31" s="1"/>
  <c r="JY43" i="31" s="1"/>
  <c r="JM42" i="31"/>
  <c r="KD42" i="31" s="1"/>
  <c r="IL43" i="31" s="1"/>
  <c r="IR43" i="31" s="1"/>
  <c r="JL42" i="31"/>
  <c r="JJ43" i="31" s="1"/>
  <c r="KA43" i="31"/>
  <c r="EJ42" i="31"/>
  <c r="EK43" i="31" s="1"/>
  <c r="EE42" i="31"/>
  <c r="EF43" i="31" s="1"/>
  <c r="ED42" i="31"/>
  <c r="EB43" i="31" s="1"/>
  <c r="EZ42" i="31"/>
  <c r="DG42" i="31"/>
  <c r="DH42" i="31" s="1"/>
  <c r="DI43" i="31" s="1"/>
  <c r="BN43" i="31"/>
  <c r="BO43" i="31"/>
  <c r="IO43" i="31" l="1"/>
  <c r="JW43" i="31"/>
  <c r="JO43" i="31"/>
  <c r="IP43" i="31"/>
  <c r="JE43" i="31"/>
  <c r="BP43" i="31"/>
  <c r="BQ43" i="31" s="1"/>
  <c r="DP43" i="31"/>
  <c r="EL43" i="31"/>
  <c r="EO43" i="31"/>
  <c r="ES44" i="31" s="1"/>
  <c r="FC43" i="31"/>
  <c r="EP43" i="31"/>
  <c r="ET44" i="31" s="1"/>
  <c r="EV43" i="31"/>
  <c r="DJ43" i="31"/>
  <c r="DK43" i="31" s="1"/>
  <c r="GZ43" i="31"/>
  <c r="KG43" i="31" s="1"/>
  <c r="HZ43" i="31"/>
  <c r="JC43" i="31"/>
  <c r="JD43" i="31"/>
  <c r="JA43" i="31"/>
  <c r="IY43" i="31"/>
  <c r="JX43" i="31" l="1"/>
  <c r="JP43" i="31"/>
  <c r="JQ43" i="31" s="1"/>
  <c r="IE43" i="31"/>
  <c r="EC43" i="31"/>
  <c r="FQ43" i="31"/>
  <c r="DM43" i="31"/>
  <c r="DX43" i="31"/>
  <c r="BR43" i="31"/>
  <c r="BS43" i="31"/>
  <c r="BT43" i="31" l="1"/>
  <c r="BU43" i="31"/>
  <c r="DL43" i="31"/>
  <c r="L44" i="31"/>
  <c r="EX43" i="31"/>
  <c r="M43" i="31" s="1"/>
  <c r="FB43" i="31"/>
  <c r="MB43" i="31" l="1"/>
  <c r="NM43" i="31" s="1"/>
  <c r="NN43" i="31" s="1"/>
  <c r="MJ43" i="31"/>
  <c r="NS43" i="31" s="1"/>
  <c r="BV43" i="31"/>
  <c r="BW43" i="31" s="1"/>
  <c r="BX43" i="31" l="1"/>
  <c r="BY43" i="31"/>
  <c r="CA43" i="31" s="1"/>
  <c r="CC43" i="31" s="1"/>
  <c r="NT43" i="31"/>
  <c r="OU44" i="31"/>
  <c r="OV44" i="31"/>
  <c r="NW43" i="31"/>
  <c r="BZ43" i="31" l="1"/>
  <c r="CB43" i="31"/>
  <c r="NX43" i="31"/>
  <c r="CD43" i="31"/>
  <c r="CE43" i="31"/>
  <c r="FV43" i="31"/>
  <c r="CX43" i="31"/>
  <c r="FR43" i="31"/>
  <c r="NU43" i="31"/>
  <c r="CF43" i="31" l="1"/>
  <c r="CG43" i="31"/>
  <c r="CI43" i="31" s="1"/>
  <c r="NY43" i="31"/>
  <c r="NV43" i="31"/>
  <c r="OF43" i="31"/>
  <c r="OS44" i="31" s="1"/>
  <c r="NZ43" i="31"/>
  <c r="MY43" i="31"/>
  <c r="CY44" i="31"/>
  <c r="CH43" i="31" l="1"/>
  <c r="OA43" i="31"/>
  <c r="MV44" i="31" s="1"/>
  <c r="OG44" i="31" s="1"/>
  <c r="MZ44" i="31"/>
  <c r="OZ43" i="31"/>
  <c r="OI43" i="31"/>
  <c r="OB43" i="31"/>
  <c r="OT44" i="31" s="1"/>
  <c r="OM44" i="31"/>
  <c r="OO44" i="31"/>
  <c r="NF44" i="31"/>
  <c r="CJ43" i="31"/>
  <c r="CO43" i="31" s="1"/>
  <c r="CK43" i="31"/>
  <c r="KT44" i="31" l="1"/>
  <c r="KL44" i="31" s="1"/>
  <c r="KN45" i="31" s="1"/>
  <c r="OJ43" i="31"/>
  <c r="MW44" i="31" s="1"/>
  <c r="OC43" i="31"/>
  <c r="OD44" i="31" s="1"/>
  <c r="OH44" i="31" s="1"/>
  <c r="OK44" i="31" s="1"/>
  <c r="PA43" i="31"/>
  <c r="CL43" i="31"/>
  <c r="CM43" i="31"/>
  <c r="CN43" i="31" s="1"/>
  <c r="MR44" i="31"/>
  <c r="OW43" i="31"/>
  <c r="OX44" i="31"/>
  <c r="KM44" i="31" l="1"/>
  <c r="KO45" i="31" s="1"/>
  <c r="KP45" i="31" s="1"/>
  <c r="OY44" i="31"/>
  <c r="MS44" i="31"/>
  <c r="CP43" i="31"/>
  <c r="MX44" i="31"/>
  <c r="KQ44" i="31"/>
  <c r="KR44" i="31" l="1"/>
  <c r="KS44" i="31" s="1"/>
  <c r="GB43" i="31"/>
  <c r="GC43" i="31" s="1"/>
  <c r="FZ43" i="31"/>
  <c r="GA43" i="31" s="1"/>
  <c r="JR43" i="31"/>
  <c r="JS43" i="31" s="1"/>
  <c r="FH43" i="31"/>
  <c r="FI43" i="31" s="1"/>
  <c r="FE43" i="31"/>
  <c r="FF43" i="31" s="1"/>
  <c r="FU43" i="31"/>
  <c r="FW43" i="31" s="1"/>
  <c r="GO43" i="31"/>
  <c r="HO43" i="31"/>
  <c r="FX43" i="31"/>
  <c r="FY43" i="31" s="1"/>
  <c r="CQ43" i="31"/>
  <c r="DQ43" i="31"/>
  <c r="DR43" i="31" s="1"/>
  <c r="FP43" i="31"/>
  <c r="FS43" i="31" s="1"/>
  <c r="KX43" i="31"/>
  <c r="KU43" i="31"/>
  <c r="NA44" i="31"/>
  <c r="NB44" i="31"/>
  <c r="MO44" i="31"/>
  <c r="NP44" i="31"/>
  <c r="NJ44" i="31"/>
  <c r="NQ44" i="31"/>
  <c r="MU44" i="31"/>
  <c r="NH45" i="31"/>
  <c r="NI45" i="31" s="1"/>
  <c r="MT44" i="31"/>
  <c r="PE44" i="31"/>
  <c r="GN43" i="31" l="1"/>
  <c r="GQ43" i="31" s="1"/>
  <c r="NR44" i="31"/>
  <c r="IA43" i="31"/>
  <c r="IB43" i="31" s="1"/>
  <c r="HP43" i="31"/>
  <c r="IZ43" i="31"/>
  <c r="FG44" i="31"/>
  <c r="HW43" i="31"/>
  <c r="HX44" i="31" s="1"/>
  <c r="DY43" i="31"/>
  <c r="HY43" i="31"/>
  <c r="HA43" i="31"/>
  <c r="HU43" i="31"/>
  <c r="HV44" i="31" s="1"/>
  <c r="FJ44" i="31"/>
  <c r="NK44" i="31"/>
  <c r="NL44" i="31"/>
  <c r="NG45" i="31"/>
  <c r="OQ45" i="31"/>
  <c r="DS43" i="31"/>
  <c r="JU43" i="31"/>
  <c r="KE43" i="31"/>
  <c r="KC43" i="31"/>
  <c r="JT44" i="31"/>
  <c r="CT43" i="31"/>
  <c r="CS43" i="31"/>
  <c r="CR43" i="31"/>
  <c r="KV43" i="31" l="1"/>
  <c r="KW44" i="31" s="1"/>
  <c r="HQ43" i="31"/>
  <c r="HR44" i="31" s="1"/>
  <c r="AX43" i="31"/>
  <c r="AY44" i="31" s="1"/>
  <c r="AZ43" i="31"/>
  <c r="EN43" i="31"/>
  <c r="EM43" i="31"/>
  <c r="EW43" i="31" s="1"/>
  <c r="OR45" i="31"/>
  <c r="NC45" i="31"/>
  <c r="MQ45" i="31"/>
  <c r="HS43" i="31"/>
  <c r="JG43" i="31" s="1"/>
  <c r="HT43" i="31"/>
  <c r="BB44" i="31" l="1"/>
  <c r="IW43" i="31"/>
  <c r="EQ43" i="31"/>
  <c r="DW43" i="31"/>
  <c r="DU44" i="31" s="1"/>
  <c r="ER44" i="31"/>
  <c r="IU43" i="31"/>
  <c r="IV43" i="31" s="1"/>
  <c r="IC43" i="31"/>
  <c r="ID43" i="31" s="1"/>
  <c r="IF43" i="31" s="1"/>
  <c r="KH43" i="31" s="1"/>
  <c r="JB43" i="31"/>
  <c r="EU44" i="31" l="1"/>
  <c r="KK43" i="31"/>
  <c r="KB43" i="31"/>
  <c r="IX43" i="31"/>
  <c r="DB43" i="31"/>
  <c r="DC43" i="31" s="1"/>
  <c r="DD44" i="31" s="1"/>
  <c r="DE45" i="31" s="1"/>
  <c r="GM43" i="31"/>
  <c r="IM43" i="31"/>
  <c r="DT43" i="31" s="1"/>
  <c r="DZ43" i="31" s="1"/>
  <c r="KI44" i="31"/>
  <c r="IN43" i="31"/>
  <c r="DF43" i="31"/>
  <c r="BC44" i="31"/>
  <c r="KJ44" i="31" l="1"/>
  <c r="GR43" i="31"/>
  <c r="BE44" i="31"/>
  <c r="BD44" i="31"/>
  <c r="GT45" i="31"/>
  <c r="FD43" i="31"/>
  <c r="GV43" i="31"/>
  <c r="GU43" i="31"/>
  <c r="BF44" i="31" l="1"/>
  <c r="BG44" i="31"/>
  <c r="GS43" i="31"/>
  <c r="IS43" i="31"/>
  <c r="FL44" i="31"/>
  <c r="FM44" i="31" l="1"/>
  <c r="JH43" i="31"/>
  <c r="JI43" i="31" s="1"/>
  <c r="IT43" i="31"/>
  <c r="GY43" i="31"/>
  <c r="GW43" i="31"/>
  <c r="HC43" i="31" s="1"/>
  <c r="FA44" i="31" s="1"/>
  <c r="HB44" i="31" s="1"/>
  <c r="GX43" i="31"/>
  <c r="BI44" i="31"/>
  <c r="BK44" i="31" s="1"/>
  <c r="BH44" i="31"/>
  <c r="BL44" i="31" l="1"/>
  <c r="BM44" i="31"/>
  <c r="JK43" i="31"/>
  <c r="JZ43" i="31" s="1"/>
  <c r="KF43" i="31" s="1"/>
  <c r="IQ44" i="31" s="1"/>
  <c r="EG43" i="31"/>
  <c r="EH44" i="31" s="1"/>
  <c r="EI44" i="31" s="1"/>
  <c r="FK44" i="31" s="1"/>
  <c r="HM43" i="31"/>
  <c r="EY43" i="31"/>
  <c r="HK44" i="31"/>
  <c r="BJ44" i="31"/>
  <c r="JM43" i="31" l="1"/>
  <c r="KD43" i="31" s="1"/>
  <c r="IL44" i="31" s="1"/>
  <c r="JE44" i="31" s="1"/>
  <c r="EJ43" i="31"/>
  <c r="EK44" i="31" s="1"/>
  <c r="ED43" i="31"/>
  <c r="EB44" i="31" s="1"/>
  <c r="EE43" i="31"/>
  <c r="EF44" i="31" s="1"/>
  <c r="JN43" i="31"/>
  <c r="JV43" i="31" s="1"/>
  <c r="JF44" i="31" s="1"/>
  <c r="JL43" i="31"/>
  <c r="JJ44" i="31" s="1"/>
  <c r="KA44" i="31"/>
  <c r="EZ43" i="31"/>
  <c r="DG43" i="31"/>
  <c r="DH43" i="31" s="1"/>
  <c r="DI44" i="31" s="1"/>
  <c r="BO44" i="31"/>
  <c r="BP44" i="31" s="1"/>
  <c r="BQ44" i="31" s="1"/>
  <c r="BN44" i="31"/>
  <c r="JO44" i="31" l="1"/>
  <c r="IO44" i="31"/>
  <c r="IR44" i="31"/>
  <c r="JC44" i="31"/>
  <c r="JD44" i="31"/>
  <c r="EP44" i="31"/>
  <c r="ET45" i="31" s="1"/>
  <c r="EL44" i="31"/>
  <c r="EO44" i="31"/>
  <c r="ES45" i="31" s="1"/>
  <c r="FC44" i="31"/>
  <c r="EV44" i="31"/>
  <c r="HZ44" i="31"/>
  <c r="DP44" i="31"/>
  <c r="BR44" i="31"/>
  <c r="BS44" i="31"/>
  <c r="JW44" i="31"/>
  <c r="JY44" i="31"/>
  <c r="JA44" i="31"/>
  <c r="GZ44" i="31"/>
  <c r="IE44" i="31" s="1"/>
  <c r="DJ44" i="31"/>
  <c r="DK44" i="31" s="1"/>
  <c r="IP44" i="31"/>
  <c r="IY44" i="31"/>
  <c r="JP44" i="31" s="1"/>
  <c r="JQ44" i="31" s="1"/>
  <c r="EC44" i="31" l="1"/>
  <c r="DX44" i="31"/>
  <c r="DM44" i="31"/>
  <c r="FQ44" i="31"/>
  <c r="KG44" i="31"/>
  <c r="JX44" i="31"/>
  <c r="BT44" i="31"/>
  <c r="BU44" i="31"/>
  <c r="BV44" i="31" s="1"/>
  <c r="BW44" i="31" l="1"/>
  <c r="BX44" i="31" s="1"/>
  <c r="DL44" i="31"/>
  <c r="L45" i="31"/>
  <c r="EX44" i="31"/>
  <c r="M44" i="31" s="1"/>
  <c r="FB44" i="31"/>
  <c r="BY44" i="31" l="1"/>
  <c r="BZ44" i="31" s="1"/>
  <c r="MB44" i="31"/>
  <c r="MJ44" i="31"/>
  <c r="NS44" i="31" s="1"/>
  <c r="CA44" i="31" l="1"/>
  <c r="CC44" i="31" s="1"/>
  <c r="CE44" i="31" s="1"/>
  <c r="NM44" i="31"/>
  <c r="NN44" i="31" s="1"/>
  <c r="NT44" i="31"/>
  <c r="OU45" i="31"/>
  <c r="CB44" i="31" l="1"/>
  <c r="CD44" i="31"/>
  <c r="OV45" i="31"/>
  <c r="NW44" i="31"/>
  <c r="NX44" i="31" s="1"/>
  <c r="OF44" i="31" s="1"/>
  <c r="OS45" i="31" s="1"/>
  <c r="CF44" i="31"/>
  <c r="CG44" i="31"/>
  <c r="CI44" i="31" s="1"/>
  <c r="CX44" i="31"/>
  <c r="FR44" i="31"/>
  <c r="FV44" i="31"/>
  <c r="NU44" i="31"/>
  <c r="CH44" i="31" l="1"/>
  <c r="NY44" i="31"/>
  <c r="NV44" i="31"/>
  <c r="CJ44" i="31"/>
  <c r="CO44" i="31" s="1"/>
  <c r="CK44" i="31"/>
  <c r="MY44" i="31"/>
  <c r="NZ44" i="31"/>
  <c r="CY45" i="31"/>
  <c r="CL44" i="31" l="1"/>
  <c r="CM44" i="31"/>
  <c r="CN44" i="31" s="1"/>
  <c r="OO45" i="31"/>
  <c r="NF45" i="31"/>
  <c r="OM45" i="31"/>
  <c r="OB44" i="31"/>
  <c r="OT45" i="31" s="1"/>
  <c r="OI44" i="31"/>
  <c r="MZ45" i="31"/>
  <c r="OZ44" i="31"/>
  <c r="OA44" i="31"/>
  <c r="MV45" i="31" s="1"/>
  <c r="OJ44" i="31" l="1"/>
  <c r="OY45" i="31" s="1"/>
  <c r="KT45" i="31"/>
  <c r="OG45" i="31"/>
  <c r="OW44" i="31"/>
  <c r="MR45" i="31"/>
  <c r="OX45" i="31"/>
  <c r="PA44" i="31"/>
  <c r="OC44" i="31"/>
  <c r="OD45" i="31" s="1"/>
  <c r="OH45" i="31" s="1"/>
  <c r="CP44" i="31"/>
  <c r="OK45" i="31" l="1"/>
  <c r="MW45" i="31"/>
  <c r="MS45" i="31"/>
  <c r="KM45" i="31"/>
  <c r="KO46" i="31" s="1"/>
  <c r="KL45" i="31"/>
  <c r="KN46" i="31" s="1"/>
  <c r="FE44" i="31"/>
  <c r="FF44" i="31" s="1"/>
  <c r="HO44" i="31"/>
  <c r="GO44" i="31"/>
  <c r="DQ44" i="31"/>
  <c r="DR44" i="31" s="1"/>
  <c r="GB44" i="31"/>
  <c r="GC44" i="31" s="1"/>
  <c r="FZ44" i="31"/>
  <c r="GA44" i="31" s="1"/>
  <c r="FX44" i="31"/>
  <c r="FY44" i="31" s="1"/>
  <c r="FH44" i="31"/>
  <c r="FI44" i="31" s="1"/>
  <c r="FU44" i="31"/>
  <c r="FW44" i="31" s="1"/>
  <c r="CQ44" i="31"/>
  <c r="FP44" i="31"/>
  <c r="FS44" i="31" s="1"/>
  <c r="JR44" i="31"/>
  <c r="JS44" i="31" s="1"/>
  <c r="KX44" i="31"/>
  <c r="GN44" i="31" s="1"/>
  <c r="KU44" i="31"/>
  <c r="MX45" i="31"/>
  <c r="IA44" i="31" l="1"/>
  <c r="IB44" i="31" s="1"/>
  <c r="HP44" i="31"/>
  <c r="IZ44" i="31"/>
  <c r="HU44" i="31"/>
  <c r="HV45" i="31" s="1"/>
  <c r="FJ45" i="31"/>
  <c r="KQ45" i="31"/>
  <c r="KP46" i="31"/>
  <c r="KR45" i="31"/>
  <c r="CS44" i="31"/>
  <c r="CR44" i="31"/>
  <c r="CT44" i="31"/>
  <c r="HW44" i="31"/>
  <c r="HX45" i="31" s="1"/>
  <c r="FG45" i="31"/>
  <c r="GQ44" i="31"/>
  <c r="KV44" i="31"/>
  <c r="DS44" i="31"/>
  <c r="MT45" i="31"/>
  <c r="NH46" i="31"/>
  <c r="NI46" i="31" s="1"/>
  <c r="NP45" i="31"/>
  <c r="NQ45" i="31"/>
  <c r="MO45" i="31"/>
  <c r="NJ45" i="31"/>
  <c r="MU45" i="31"/>
  <c r="PE45" i="31"/>
  <c r="NB45" i="31"/>
  <c r="NA45" i="31"/>
  <c r="JU44" i="31"/>
  <c r="KE44" i="31"/>
  <c r="JT45" i="31"/>
  <c r="KC44" i="31"/>
  <c r="HA44" i="31"/>
  <c r="DY44" i="31"/>
  <c r="HY44" i="31"/>
  <c r="KW45" i="31" l="1"/>
  <c r="HQ44" i="31"/>
  <c r="HR45" i="31" s="1"/>
  <c r="KS45" i="31"/>
  <c r="AX44" i="31"/>
  <c r="AY45" i="31" s="1"/>
  <c r="EN44" i="31"/>
  <c r="AZ44" i="31"/>
  <c r="EM44" i="31"/>
  <c r="EW44" i="31" s="1"/>
  <c r="NK45" i="31"/>
  <c r="NL45" i="31"/>
  <c r="NG46" i="31"/>
  <c r="OQ46" i="31"/>
  <c r="HS44" i="31"/>
  <c r="JG44" i="31" s="1"/>
  <c r="HT44" i="31"/>
  <c r="NR45" i="31"/>
  <c r="BB45" i="31" l="1"/>
  <c r="IW44" i="31"/>
  <c r="EQ44" i="31"/>
  <c r="DW44" i="31"/>
  <c r="DU45" i="31" s="1"/>
  <c r="ER45" i="31"/>
  <c r="IU44" i="31"/>
  <c r="IV44" i="31" s="1"/>
  <c r="NC46" i="31"/>
  <c r="MQ46" i="31"/>
  <c r="IC44" i="31"/>
  <c r="ID44" i="31" s="1"/>
  <c r="IF44" i="31" s="1"/>
  <c r="KH44" i="31" s="1"/>
  <c r="JB44" i="31"/>
  <c r="OR46" i="31"/>
  <c r="EU45" i="31" l="1"/>
  <c r="GM44" i="31"/>
  <c r="IM44" i="31"/>
  <c r="DB44" i="31"/>
  <c r="DC44" i="31" s="1"/>
  <c r="DD45" i="31" s="1"/>
  <c r="DE46" i="31" s="1"/>
  <c r="KI45" i="31"/>
  <c r="IN44" i="31"/>
  <c r="DF44" i="31"/>
  <c r="KK44" i="31"/>
  <c r="KB44" i="31"/>
  <c r="IX44" i="31"/>
  <c r="BC45" i="31"/>
  <c r="DT44" i="31" l="1"/>
  <c r="DZ44" i="31" s="1"/>
  <c r="GR44" i="31"/>
  <c r="FD44" i="31"/>
  <c r="GU44" i="31"/>
  <c r="GV44" i="31"/>
  <c r="BE45" i="31"/>
  <c r="BD45" i="31"/>
  <c r="KJ45" i="31"/>
  <c r="GT46" i="31"/>
  <c r="BF45" i="31" l="1"/>
  <c r="BG45" i="31"/>
  <c r="IS44" i="31"/>
  <c r="FL45" i="31"/>
  <c r="GS44" i="31"/>
  <c r="GX44" i="31" l="1"/>
  <c r="GY44" i="31"/>
  <c r="GW44" i="31"/>
  <c r="HC44" i="31" s="1"/>
  <c r="FA45" i="31" s="1"/>
  <c r="HB45" i="31" s="1"/>
  <c r="FM45" i="31"/>
  <c r="JH44" i="31"/>
  <c r="JI44" i="31" s="1"/>
  <c r="IT44" i="31"/>
  <c r="BH45" i="31"/>
  <c r="BI45" i="31"/>
  <c r="BK45" i="31" s="1"/>
  <c r="BJ45" i="31" l="1"/>
  <c r="JK44" i="31"/>
  <c r="JZ44" i="31" s="1"/>
  <c r="KF44" i="31" s="1"/>
  <c r="IQ45" i="31" s="1"/>
  <c r="BL45" i="31"/>
  <c r="BM45" i="31"/>
  <c r="EY44" i="31"/>
  <c r="EG44" i="31"/>
  <c r="EH45" i="31" s="1"/>
  <c r="EI45" i="31" s="1"/>
  <c r="FK45" i="31" s="1"/>
  <c r="HM44" i="31"/>
  <c r="HK45" i="31"/>
  <c r="JM44" i="31" l="1"/>
  <c r="KD44" i="31" s="1"/>
  <c r="IL45" i="31" s="1"/>
  <c r="JE45" i="31" s="1"/>
  <c r="JN44" i="31"/>
  <c r="JV44" i="31" s="1"/>
  <c r="JF45" i="31" s="1"/>
  <c r="JW45" i="31" s="1"/>
  <c r="BO45" i="31"/>
  <c r="BP45" i="31" s="1"/>
  <c r="BQ45" i="31" s="1"/>
  <c r="BN45" i="31"/>
  <c r="EJ44" i="31"/>
  <c r="EK45" i="31" s="1"/>
  <c r="ED44" i="31"/>
  <c r="EB45" i="31" s="1"/>
  <c r="JA45" i="31" s="1"/>
  <c r="EE44" i="31"/>
  <c r="EF45" i="31" s="1"/>
  <c r="EZ44" i="31"/>
  <c r="DG44" i="31"/>
  <c r="DH44" i="31" s="1"/>
  <c r="DI45" i="31" s="1"/>
  <c r="JL44" i="31"/>
  <c r="JJ45" i="31" s="1"/>
  <c r="KA45" i="31"/>
  <c r="JY45" i="31" l="1"/>
  <c r="IR45" i="31"/>
  <c r="JO45" i="31"/>
  <c r="IP45" i="31"/>
  <c r="IO45" i="31"/>
  <c r="BR45" i="31"/>
  <c r="BS45" i="31"/>
  <c r="GZ45" i="31"/>
  <c r="DJ45" i="31"/>
  <c r="DK45" i="31" s="1"/>
  <c r="EO45" i="31"/>
  <c r="ES46" i="31" s="1"/>
  <c r="EP45" i="31"/>
  <c r="ET46" i="31" s="1"/>
  <c r="FC45" i="31"/>
  <c r="EL45" i="31"/>
  <c r="JX45" i="31" s="1"/>
  <c r="EV45" i="31"/>
  <c r="JC45" i="31"/>
  <c r="JD45" i="31"/>
  <c r="IY45" i="31"/>
  <c r="HZ45" i="31"/>
  <c r="DP45" i="31"/>
  <c r="KG45" i="31" l="1"/>
  <c r="JP45" i="31"/>
  <c r="JQ45" i="31" s="1"/>
  <c r="IE45" i="31"/>
  <c r="DX45" i="31"/>
  <c r="FQ45" i="31"/>
  <c r="DM45" i="31"/>
  <c r="EC45" i="31"/>
  <c r="BT45" i="31"/>
  <c r="BU45" i="31"/>
  <c r="BV45" i="31" l="1"/>
  <c r="BW45" i="31" s="1"/>
  <c r="DL45" i="31"/>
  <c r="L46" i="31"/>
  <c r="FB45" i="31"/>
  <c r="EX45" i="31"/>
  <c r="M45" i="31" s="1"/>
  <c r="BX45" i="31" l="1"/>
  <c r="BY45" i="31"/>
  <c r="MJ45" i="31"/>
  <c r="NS45" i="31" s="1"/>
  <c r="MB45" i="31"/>
  <c r="BZ45" i="31" l="1"/>
  <c r="CA45" i="31"/>
  <c r="CC45" i="31" s="1"/>
  <c r="CD45" i="31" s="1"/>
  <c r="NM45" i="31"/>
  <c r="NN45" i="31" s="1"/>
  <c r="NT45" i="31"/>
  <c r="OU46" i="31"/>
  <c r="CE45" i="31" l="1"/>
  <c r="CG45" i="31" s="1"/>
  <c r="CI45" i="31" s="1"/>
  <c r="CB45" i="31"/>
  <c r="OV46" i="31"/>
  <c r="NW45" i="31"/>
  <c r="NX45" i="31" s="1"/>
  <c r="FV45" i="31"/>
  <c r="CX45" i="31"/>
  <c r="FR45" i="31"/>
  <c r="NU45" i="31"/>
  <c r="CF45" i="31" l="1"/>
  <c r="CH45" i="31"/>
  <c r="NV45" i="31"/>
  <c r="NY45" i="31"/>
  <c r="NZ45" i="31"/>
  <c r="MY45" i="31"/>
  <c r="CY46" i="31"/>
  <c r="CJ45" i="31"/>
  <c r="CO45" i="31" s="1"/>
  <c r="CK45" i="31"/>
  <c r="OF45" i="31"/>
  <c r="OS46" i="31" s="1"/>
  <c r="MZ46" i="31" l="1"/>
  <c r="OZ45" i="31"/>
  <c r="OB45" i="31"/>
  <c r="OT46" i="31" s="1"/>
  <c r="CL45" i="31"/>
  <c r="CM45" i="31"/>
  <c r="CN45" i="31" s="1"/>
  <c r="OI45" i="31"/>
  <c r="OA45" i="31"/>
  <c r="MV46" i="31" s="1"/>
  <c r="OG46" i="31" s="1"/>
  <c r="OM46" i="31"/>
  <c r="OO46" i="31"/>
  <c r="NF46" i="31"/>
  <c r="CP45" i="31" l="1"/>
  <c r="HO45" i="31" s="1"/>
  <c r="KT46" i="31"/>
  <c r="KM46" i="31" s="1"/>
  <c r="KO47" i="31" s="1"/>
  <c r="PA45" i="31"/>
  <c r="OC45" i="31"/>
  <c r="OD46" i="31" s="1"/>
  <c r="OH46" i="31" s="1"/>
  <c r="OK46" i="31" s="1"/>
  <c r="OJ45" i="31"/>
  <c r="OX46" i="31"/>
  <c r="OW45" i="31"/>
  <c r="MR46" i="31"/>
  <c r="KL46" i="31" l="1"/>
  <c r="KN47" i="31" s="1"/>
  <c r="KP47" i="31" s="1"/>
  <c r="KX45" i="31"/>
  <c r="DQ45" i="31"/>
  <c r="DR45" i="31" s="1"/>
  <c r="DS45" i="31" s="1"/>
  <c r="FH45" i="31"/>
  <c r="FI45" i="31" s="1"/>
  <c r="HU45" i="31" s="1"/>
  <c r="HV46" i="31" s="1"/>
  <c r="FX45" i="31"/>
  <c r="FY45" i="31" s="1"/>
  <c r="FZ45" i="31"/>
  <c r="GA45" i="31" s="1"/>
  <c r="FP45" i="31"/>
  <c r="FS45" i="31" s="1"/>
  <c r="HY45" i="31" s="1"/>
  <c r="KU45" i="31"/>
  <c r="JR45" i="31"/>
  <c r="JS45" i="31" s="1"/>
  <c r="KE45" i="31" s="1"/>
  <c r="FE45" i="31"/>
  <c r="FF45" i="31" s="1"/>
  <c r="FG46" i="31" s="1"/>
  <c r="CQ45" i="31"/>
  <c r="CR45" i="31" s="1"/>
  <c r="FU45" i="31"/>
  <c r="FW45" i="31" s="1"/>
  <c r="GB45" i="31"/>
  <c r="GC45" i="31" s="1"/>
  <c r="GO45" i="31"/>
  <c r="KR46" i="31"/>
  <c r="IA45" i="31"/>
  <c r="IB45" i="31" s="1"/>
  <c r="HP45" i="31"/>
  <c r="IZ45" i="31"/>
  <c r="MS46" i="31"/>
  <c r="OY46" i="31"/>
  <c r="MW46" i="31"/>
  <c r="GN45" i="31" l="1"/>
  <c r="KV45" i="31" s="1"/>
  <c r="CS45" i="31"/>
  <c r="KQ46" i="31"/>
  <c r="KS46" i="31" s="1"/>
  <c r="FJ46" i="31"/>
  <c r="CT45" i="31"/>
  <c r="HA45" i="31"/>
  <c r="HW45" i="31"/>
  <c r="HX46" i="31" s="1"/>
  <c r="DY45" i="31"/>
  <c r="JT46" i="31"/>
  <c r="KC45" i="31"/>
  <c r="JU45" i="31"/>
  <c r="HS45" i="31"/>
  <c r="JG45" i="31" s="1"/>
  <c r="HT45" i="31"/>
  <c r="AX45" i="31"/>
  <c r="AY46" i="31" s="1"/>
  <c r="EM45" i="31"/>
  <c r="EW45" i="31" s="1"/>
  <c r="EN45" i="31"/>
  <c r="AZ45" i="31"/>
  <c r="MX46" i="31"/>
  <c r="NJ46" i="31"/>
  <c r="NQ46" i="31"/>
  <c r="MO46" i="31"/>
  <c r="MT46" i="31"/>
  <c r="NH47" i="31"/>
  <c r="NI47" i="31" s="1"/>
  <c r="NP46" i="31"/>
  <c r="MU46" i="31"/>
  <c r="PE46" i="31"/>
  <c r="GQ45" i="31" l="1"/>
  <c r="KW46" i="31"/>
  <c r="HQ45" i="31"/>
  <c r="HR46" i="31" s="1"/>
  <c r="NR46" i="31"/>
  <c r="NA46" i="31"/>
  <c r="NB46" i="31"/>
  <c r="NK46" i="31"/>
  <c r="NL46" i="31"/>
  <c r="NG47" i="31"/>
  <c r="OQ47" i="31"/>
  <c r="BB46" i="31"/>
  <c r="EQ45" i="31"/>
  <c r="IW45" i="31"/>
  <c r="DW45" i="31"/>
  <c r="DU46" i="31" s="1"/>
  <c r="ER46" i="31"/>
  <c r="IU45" i="31"/>
  <c r="IV45" i="31" s="1"/>
  <c r="IC45" i="31"/>
  <c r="ID45" i="31" s="1"/>
  <c r="IF45" i="31" s="1"/>
  <c r="KH45" i="31" s="1"/>
  <c r="JB45" i="31"/>
  <c r="KB45" i="31" l="1"/>
  <c r="IX45" i="31"/>
  <c r="KK45" i="31"/>
  <c r="OR47" i="31"/>
  <c r="EU46" i="31"/>
  <c r="IM45" i="31"/>
  <c r="GM45" i="31"/>
  <c r="DB45" i="31"/>
  <c r="DC45" i="31" s="1"/>
  <c r="DD46" i="31" s="1"/>
  <c r="DE47" i="31" s="1"/>
  <c r="KI46" i="31"/>
  <c r="IN45" i="31"/>
  <c r="DF45" i="31"/>
  <c r="BC46" i="31"/>
  <c r="NC47" i="31"/>
  <c r="MQ47" i="31"/>
  <c r="DT45" i="31" l="1"/>
  <c r="DZ45" i="31" s="1"/>
  <c r="BD46" i="31"/>
  <c r="BE46" i="31"/>
  <c r="FD45" i="31"/>
  <c r="GV45" i="31"/>
  <c r="GU45" i="31"/>
  <c r="GR45" i="31"/>
  <c r="GT47" i="31"/>
  <c r="KJ46" i="31"/>
  <c r="IS45" i="31" l="1"/>
  <c r="FL46" i="31"/>
  <c r="BF46" i="31"/>
  <c r="BG46" i="31"/>
  <c r="GS45" i="31"/>
  <c r="BI46" i="31" l="1"/>
  <c r="BK46" i="31" s="1"/>
  <c r="BH46" i="31"/>
  <c r="FM46" i="31"/>
  <c r="GY45" i="31"/>
  <c r="GX45" i="31"/>
  <c r="GW45" i="31"/>
  <c r="HC45" i="31" s="1"/>
  <c r="FA46" i="31" s="1"/>
  <c r="HB46" i="31" s="1"/>
  <c r="JH45" i="31"/>
  <c r="JI45" i="31" s="1"/>
  <c r="IT45" i="31"/>
  <c r="BJ46" i="31" l="1"/>
  <c r="JK45" i="31"/>
  <c r="JZ45" i="31" s="1"/>
  <c r="KF45" i="31" s="1"/>
  <c r="IQ46" i="31" s="1"/>
  <c r="HM45" i="31"/>
  <c r="EG45" i="31"/>
  <c r="EH46" i="31" s="1"/>
  <c r="EI46" i="31" s="1"/>
  <c r="FK46" i="31" s="1"/>
  <c r="EY45" i="31"/>
  <c r="HK46" i="31"/>
  <c r="BL46" i="31"/>
  <c r="BM46" i="31"/>
  <c r="JM45" i="31" l="1"/>
  <c r="KD45" i="31" s="1"/>
  <c r="IL46" i="31" s="1"/>
  <c r="IR46" i="31" s="1"/>
  <c r="JN45" i="31"/>
  <c r="JV45" i="31" s="1"/>
  <c r="JF46" i="31" s="1"/>
  <c r="ED45" i="31"/>
  <c r="EB46" i="31" s="1"/>
  <c r="JA46" i="31" s="1"/>
  <c r="EJ45" i="31"/>
  <c r="EK46" i="31" s="1"/>
  <c r="EE45" i="31"/>
  <c r="EF46" i="31" s="1"/>
  <c r="BO46" i="31"/>
  <c r="BN46" i="31"/>
  <c r="EZ45" i="31"/>
  <c r="DG45" i="31"/>
  <c r="DH45" i="31" s="1"/>
  <c r="DI46" i="31" s="1"/>
  <c r="JL45" i="31"/>
  <c r="JJ46" i="31" s="1"/>
  <c r="KA46" i="31"/>
  <c r="IY46" i="31" l="1"/>
  <c r="IP46" i="31"/>
  <c r="JE46" i="31"/>
  <c r="JO46" i="31"/>
  <c r="JY46" i="31"/>
  <c r="JW46" i="31"/>
  <c r="DP46" i="31"/>
  <c r="HZ46" i="31"/>
  <c r="BP46" i="31"/>
  <c r="BQ46" i="31" s="1"/>
  <c r="DJ46" i="31"/>
  <c r="DK46" i="31" s="1"/>
  <c r="GZ46" i="31"/>
  <c r="IE46" i="31" s="1"/>
  <c r="IO46" i="31"/>
  <c r="JC46" i="31"/>
  <c r="JD46" i="31"/>
  <c r="EO46" i="31"/>
  <c r="ES47" i="31" s="1"/>
  <c r="EL46" i="31"/>
  <c r="EP46" i="31"/>
  <c r="ET47" i="31" s="1"/>
  <c r="FC46" i="31"/>
  <c r="EV46" i="31"/>
  <c r="JP46" i="31" l="1"/>
  <c r="JQ46" i="31" s="1"/>
  <c r="KG46" i="31"/>
  <c r="BR46" i="31"/>
  <c r="BS46" i="31"/>
  <c r="EC46" i="31"/>
  <c r="DX46" i="31"/>
  <c r="FQ46" i="31"/>
  <c r="DM46" i="31"/>
  <c r="JX46" i="31"/>
  <c r="FB46" i="31" l="1"/>
  <c r="EX46" i="31"/>
  <c r="M46" i="31" s="1"/>
  <c r="BT46" i="31"/>
  <c r="BU46" i="31"/>
  <c r="DL46" i="31"/>
  <c r="L47" i="31"/>
  <c r="BV46" i="31" l="1"/>
  <c r="BW46" i="31" s="1"/>
  <c r="MB46" i="31"/>
  <c r="MJ46" i="31"/>
  <c r="NS46" i="31" s="1"/>
  <c r="BY46" i="31" l="1"/>
  <c r="BX46" i="31"/>
  <c r="NM46" i="31"/>
  <c r="NN46" i="31" s="1"/>
  <c r="NT46" i="31"/>
  <c r="OU47" i="31"/>
  <c r="BZ46" i="31" l="1"/>
  <c r="CA46" i="31"/>
  <c r="CC46" i="31" s="1"/>
  <c r="CD46" i="31" s="1"/>
  <c r="OV47" i="31"/>
  <c r="NW46" i="31"/>
  <c r="NX46" i="31" s="1"/>
  <c r="FR46" i="31"/>
  <c r="CX46" i="31"/>
  <c r="FV46" i="31"/>
  <c r="NU46" i="31"/>
  <c r="CB46" i="31" l="1"/>
  <c r="CE46" i="31"/>
  <c r="CF46" i="31" s="1"/>
  <c r="NV46" i="31"/>
  <c r="NZ46" i="31"/>
  <c r="MY46" i="31"/>
  <c r="CY47" i="31"/>
  <c r="NY46" i="31"/>
  <c r="OF46" i="31"/>
  <c r="OS47" i="31" s="1"/>
  <c r="OI46" i="31" l="1"/>
  <c r="MR47" i="31" s="1"/>
  <c r="CG46" i="31"/>
  <c r="CI46" i="31" s="1"/>
  <c r="CJ46" i="31" s="1"/>
  <c r="CO46" i="31" s="1"/>
  <c r="MZ47" i="31"/>
  <c r="OZ46" i="31"/>
  <c r="OM47" i="31"/>
  <c r="NF47" i="31"/>
  <c r="OO47" i="31"/>
  <c r="OB46" i="31"/>
  <c r="OT47" i="31" s="1"/>
  <c r="OA46" i="31"/>
  <c r="MV47" i="31" s="1"/>
  <c r="OX47" i="31" l="1"/>
  <c r="OW46" i="31"/>
  <c r="CH46" i="31"/>
  <c r="CK46" i="31"/>
  <c r="CL46" i="31" s="1"/>
  <c r="OJ46" i="31"/>
  <c r="KT47" i="31"/>
  <c r="OG47" i="31"/>
  <c r="PA46" i="31"/>
  <c r="OC46" i="31"/>
  <c r="OD47" i="31" s="1"/>
  <c r="OH47" i="31" s="1"/>
  <c r="MS47" i="31"/>
  <c r="CM46" i="31" l="1"/>
  <c r="CN46" i="31" s="1"/>
  <c r="CP46" i="31" s="1"/>
  <c r="KM47" i="31"/>
  <c r="KO48" i="31" s="1"/>
  <c r="KL47" i="31"/>
  <c r="KN48" i="31" s="1"/>
  <c r="MW47" i="31"/>
  <c r="OY47" i="31"/>
  <c r="MU47" i="31"/>
  <c r="NP47" i="31"/>
  <c r="MO47" i="31"/>
  <c r="NJ47" i="31"/>
  <c r="NQ47" i="31"/>
  <c r="NH48" i="31"/>
  <c r="NI48" i="31" s="1"/>
  <c r="MT47" i="31"/>
  <c r="PE47" i="31"/>
  <c r="OK47" i="31"/>
  <c r="NL47" i="31" l="1"/>
  <c r="NK47" i="31"/>
  <c r="NG48" i="31"/>
  <c r="OQ48" i="31"/>
  <c r="DQ46" i="31"/>
  <c r="DR46" i="31" s="1"/>
  <c r="CQ46" i="31"/>
  <c r="FE46" i="31"/>
  <c r="FF46" i="31" s="1"/>
  <c r="FX46" i="31"/>
  <c r="FY46" i="31" s="1"/>
  <c r="GB46" i="31"/>
  <c r="GC46" i="31" s="1"/>
  <c r="GO46" i="31"/>
  <c r="FH46" i="31"/>
  <c r="FI46" i="31" s="1"/>
  <c r="HO46" i="31"/>
  <c r="FZ46" i="31"/>
  <c r="GA46" i="31" s="1"/>
  <c r="FP46" i="31"/>
  <c r="FS46" i="31" s="1"/>
  <c r="FU46" i="31"/>
  <c r="FW46" i="31" s="1"/>
  <c r="JR46" i="31"/>
  <c r="JS46" i="31" s="1"/>
  <c r="KX46" i="31"/>
  <c r="GN46" i="31" s="1"/>
  <c r="KU46" i="31"/>
  <c r="MX47" i="31"/>
  <c r="KQ47" i="31"/>
  <c r="NR47" i="31"/>
  <c r="KP48" i="31"/>
  <c r="KR47" i="31"/>
  <c r="HW46" i="31" l="1"/>
  <c r="HX47" i="31" s="1"/>
  <c r="FG47" i="31"/>
  <c r="JU46" i="31"/>
  <c r="KE46" i="31"/>
  <c r="KC46" i="31"/>
  <c r="JT47" i="31"/>
  <c r="HY46" i="31"/>
  <c r="HA46" i="31"/>
  <c r="DY46" i="31"/>
  <c r="CT46" i="31"/>
  <c r="CS46" i="31"/>
  <c r="CR46" i="31"/>
  <c r="DS46" i="31"/>
  <c r="NA47" i="31"/>
  <c r="NB47" i="31"/>
  <c r="IA46" i="31"/>
  <c r="IB46" i="31" s="1"/>
  <c r="HP46" i="31"/>
  <c r="IZ46" i="31"/>
  <c r="OR48" i="31"/>
  <c r="KS47" i="31"/>
  <c r="HU46" i="31"/>
  <c r="HV47" i="31" s="1"/>
  <c r="FJ47" i="31"/>
  <c r="GQ46" i="31"/>
  <c r="KV46" i="31"/>
  <c r="NC48" i="31"/>
  <c r="MQ48" i="31"/>
  <c r="KW47" i="31" l="1"/>
  <c r="HQ46" i="31"/>
  <c r="HR47" i="31" s="1"/>
  <c r="AX46" i="31"/>
  <c r="AY47" i="31" s="1"/>
  <c r="EN46" i="31"/>
  <c r="EM46" i="31"/>
  <c r="EW46" i="31" s="1"/>
  <c r="AZ46" i="31"/>
  <c r="HS46" i="31"/>
  <c r="JG46" i="31" s="1"/>
  <c r="HT46" i="31"/>
  <c r="BB47" i="31" l="1"/>
  <c r="EQ46" i="31"/>
  <c r="DW46" i="31"/>
  <c r="DU47" i="31" s="1"/>
  <c r="IW46" i="31"/>
  <c r="ER47" i="31"/>
  <c r="IU46" i="31"/>
  <c r="IV46" i="31" s="1"/>
  <c r="IC46" i="31"/>
  <c r="ID46" i="31" s="1"/>
  <c r="IF46" i="31" s="1"/>
  <c r="KH46" i="31" s="1"/>
  <c r="JB46" i="31"/>
  <c r="KB46" i="31" l="1"/>
  <c r="IX46" i="31"/>
  <c r="KK46" i="31"/>
  <c r="EU47" i="31"/>
  <c r="GM46" i="31"/>
  <c r="IM46" i="31"/>
  <c r="DT46" i="31" s="1"/>
  <c r="DZ46" i="31" s="1"/>
  <c r="DB46" i="31"/>
  <c r="DC46" i="31" s="1"/>
  <c r="DD47" i="31" s="1"/>
  <c r="DE48" i="31" s="1"/>
  <c r="KI47" i="31"/>
  <c r="IN46" i="31"/>
  <c r="DF46" i="31"/>
  <c r="BC47" i="31"/>
  <c r="GT48" i="31" l="1"/>
  <c r="KJ47" i="31"/>
  <c r="BD47" i="31"/>
  <c r="BE47" i="31"/>
  <c r="GR46" i="31"/>
  <c r="FD46" i="31"/>
  <c r="GV46" i="31"/>
  <c r="GU46" i="31"/>
  <c r="GS46" i="31" l="1"/>
  <c r="BF47" i="31"/>
  <c r="BG47" i="31"/>
  <c r="IS46" i="31"/>
  <c r="FL47" i="31"/>
  <c r="JH46" i="31" l="1"/>
  <c r="JI46" i="31" s="1"/>
  <c r="IT46" i="31"/>
  <c r="FM47" i="31"/>
  <c r="BI47" i="31"/>
  <c r="BK47" i="31" s="1"/>
  <c r="BH47" i="31"/>
  <c r="GW46" i="31"/>
  <c r="HC46" i="31" s="1"/>
  <c r="FA47" i="31" s="1"/>
  <c r="HB47" i="31" s="1"/>
  <c r="GX46" i="31"/>
  <c r="GY46" i="31"/>
  <c r="BJ47" i="31" l="1"/>
  <c r="EG46" i="31"/>
  <c r="EH47" i="31" s="1"/>
  <c r="EI47" i="31" s="1"/>
  <c r="FK47" i="31" s="1"/>
  <c r="EY46" i="31"/>
  <c r="HM46" i="31"/>
  <c r="HK47" i="31"/>
  <c r="BL47" i="31"/>
  <c r="BM47" i="31"/>
  <c r="JK46" i="31"/>
  <c r="JN46" i="31" s="1"/>
  <c r="JV46" i="31" s="1"/>
  <c r="JF47" i="31" s="1"/>
  <c r="JM46" i="31" l="1"/>
  <c r="KD46" i="31" s="1"/>
  <c r="IL47" i="31" s="1"/>
  <c r="EE46" i="31"/>
  <c r="EF47" i="31" s="1"/>
  <c r="ED46" i="31"/>
  <c r="EB47" i="31" s="1"/>
  <c r="EJ46" i="31"/>
  <c r="EK47" i="31" s="1"/>
  <c r="JY47" i="31"/>
  <c r="JW47" i="31"/>
  <c r="EZ46" i="31"/>
  <c r="DG46" i="31"/>
  <c r="DH46" i="31" s="1"/>
  <c r="DI47" i="31" s="1"/>
  <c r="JZ46" i="31"/>
  <c r="KF46" i="31" s="1"/>
  <c r="IQ47" i="31" s="1"/>
  <c r="JL46" i="31"/>
  <c r="JJ47" i="31" s="1"/>
  <c r="KA47" i="31"/>
  <c r="BO47" i="31"/>
  <c r="BN47" i="31"/>
  <c r="JC47" i="31" l="1"/>
  <c r="JD47" i="31"/>
  <c r="HZ47" i="31"/>
  <c r="EO47" i="31"/>
  <c r="ES48" i="31" s="1"/>
  <c r="EP47" i="31"/>
  <c r="ET48" i="31" s="1"/>
  <c r="EL47" i="31"/>
  <c r="FC47" i="31"/>
  <c r="EV47" i="31"/>
  <c r="DJ47" i="31"/>
  <c r="DK47" i="31" s="1"/>
  <c r="GZ47" i="31"/>
  <c r="IE47" i="31" s="1"/>
  <c r="JA47" i="31"/>
  <c r="IY47" i="31"/>
  <c r="JE47" i="31"/>
  <c r="JO47" i="31"/>
  <c r="IP47" i="31"/>
  <c r="DP47" i="31"/>
  <c r="IO47" i="31"/>
  <c r="BP47" i="31"/>
  <c r="BQ47" i="31" s="1"/>
  <c r="IR47" i="31"/>
  <c r="KG47" i="31" l="1"/>
  <c r="JX47" i="31"/>
  <c r="BR47" i="31"/>
  <c r="BS47" i="31"/>
  <c r="JP47" i="31"/>
  <c r="JQ47" i="31" s="1"/>
  <c r="EC47" i="31"/>
  <c r="DM47" i="31"/>
  <c r="DX47" i="31"/>
  <c r="FQ47" i="31"/>
  <c r="EX47" i="31" l="1"/>
  <c r="M47" i="31" s="1"/>
  <c r="FB47" i="31"/>
  <c r="BT47" i="31"/>
  <c r="BU47" i="31"/>
  <c r="DL47" i="31"/>
  <c r="L48" i="31"/>
  <c r="BV47" i="31" l="1"/>
  <c r="BW47" i="31" s="1"/>
  <c r="MJ47" i="31"/>
  <c r="NS47" i="31" s="1"/>
  <c r="MB47" i="31"/>
  <c r="BX47" i="31" l="1"/>
  <c r="BY47" i="31"/>
  <c r="CA47" i="31" s="1"/>
  <c r="CC47" i="31" s="1"/>
  <c r="NM47" i="31"/>
  <c r="NN47" i="31" s="1"/>
  <c r="NT47" i="31"/>
  <c r="OU48" i="31"/>
  <c r="BZ47" i="31" l="1"/>
  <c r="OV48" i="31"/>
  <c r="NW47" i="31"/>
  <c r="NX47" i="31" s="1"/>
  <c r="OF47" i="31" s="1"/>
  <c r="OS48" i="31" s="1"/>
  <c r="CB47" i="31"/>
  <c r="FV47" i="31"/>
  <c r="FR47" i="31"/>
  <c r="CX47" i="31"/>
  <c r="NU47" i="31"/>
  <c r="CD47" i="31"/>
  <c r="CE47" i="31"/>
  <c r="NY47" i="31" l="1"/>
  <c r="OB47" i="31" s="1"/>
  <c r="OT48" i="31" s="1"/>
  <c r="NV47" i="31"/>
  <c r="MY47" i="31"/>
  <c r="NZ47" i="31"/>
  <c r="CY48" i="31"/>
  <c r="CF47" i="31"/>
  <c r="CG47" i="31"/>
  <c r="CI47" i="31" s="1"/>
  <c r="OI47" i="31" l="1"/>
  <c r="MR48" i="31" s="1"/>
  <c r="OA47" i="31"/>
  <c r="MV48" i="31" s="1"/>
  <c r="OG48" i="31" s="1"/>
  <c r="OC47" i="31"/>
  <c r="OD48" i="31" s="1"/>
  <c r="OH48" i="31" s="1"/>
  <c r="CJ47" i="31"/>
  <c r="CO47" i="31" s="1"/>
  <c r="CK47" i="31"/>
  <c r="MZ48" i="31"/>
  <c r="OZ47" i="31"/>
  <c r="CH47" i="31"/>
  <c r="PA47" i="31"/>
  <c r="OM48" i="31"/>
  <c r="NF48" i="31"/>
  <c r="OO48" i="31"/>
  <c r="OJ47" i="31"/>
  <c r="KT48" i="31" l="1"/>
  <c r="KM48" i="31" s="1"/>
  <c r="KO49" i="31" s="1"/>
  <c r="OK48" i="31"/>
  <c r="OW47" i="31"/>
  <c r="OX48" i="31"/>
  <c r="MS48" i="31"/>
  <c r="CL47" i="31"/>
  <c r="CM47" i="31"/>
  <c r="CN47" i="31" s="1"/>
  <c r="MW48" i="31"/>
  <c r="OY48" i="31"/>
  <c r="KL48" i="31" l="1"/>
  <c r="KN49" i="31" s="1"/>
  <c r="KP49" i="31" s="1"/>
  <c r="CP47" i="31"/>
  <c r="FX47" i="31" s="1"/>
  <c r="FY47" i="31" s="1"/>
  <c r="KR48" i="31"/>
  <c r="MX48" i="31"/>
  <c r="MU48" i="31"/>
  <c r="NP48" i="31"/>
  <c r="NJ48" i="31"/>
  <c r="MO48" i="31"/>
  <c r="NQ48" i="31"/>
  <c r="MT48" i="31"/>
  <c r="NH49" i="31"/>
  <c r="NI49" i="31" s="1"/>
  <c r="PE48" i="31"/>
  <c r="KQ48" i="31" l="1"/>
  <c r="KS48" i="31" s="1"/>
  <c r="NR48" i="31"/>
  <c r="GO47" i="31"/>
  <c r="KX47" i="31"/>
  <c r="GN47" i="31" s="1"/>
  <c r="KV47" i="31" s="1"/>
  <c r="FP47" i="31"/>
  <c r="FS47" i="31" s="1"/>
  <c r="DY47" i="31" s="1"/>
  <c r="FE47" i="31"/>
  <c r="FF47" i="31" s="1"/>
  <c r="HW47" i="31" s="1"/>
  <c r="HX48" i="31" s="1"/>
  <c r="HO47" i="31"/>
  <c r="IA47" i="31" s="1"/>
  <c r="IB47" i="31" s="1"/>
  <c r="DQ47" i="31"/>
  <c r="DR47" i="31" s="1"/>
  <c r="DS47" i="31" s="1"/>
  <c r="FZ47" i="31"/>
  <c r="GA47" i="31" s="1"/>
  <c r="KU47" i="31"/>
  <c r="FU47" i="31"/>
  <c r="FW47" i="31" s="1"/>
  <c r="CQ47" i="31"/>
  <c r="CR47" i="31" s="1"/>
  <c r="GB47" i="31"/>
  <c r="GC47" i="31" s="1"/>
  <c r="JR47" i="31"/>
  <c r="JS47" i="31" s="1"/>
  <c r="KC47" i="31" s="1"/>
  <c r="FH47" i="31"/>
  <c r="FI47" i="31" s="1"/>
  <c r="HU47" i="31" s="1"/>
  <c r="HV48" i="31" s="1"/>
  <c r="NB48" i="31"/>
  <c r="NA48" i="31"/>
  <c r="NL48" i="31"/>
  <c r="NK48" i="31"/>
  <c r="NG49" i="31"/>
  <c r="OQ49" i="31"/>
  <c r="KW48" i="31" l="1"/>
  <c r="HQ47" i="31"/>
  <c r="HR48" i="31" s="1"/>
  <c r="GQ47" i="31"/>
  <c r="FG48" i="31"/>
  <c r="CT47" i="31"/>
  <c r="CS47" i="31"/>
  <c r="IZ47" i="31"/>
  <c r="FJ48" i="31"/>
  <c r="HP47" i="31"/>
  <c r="HT47" i="31" s="1"/>
  <c r="HY47" i="31"/>
  <c r="HA47" i="31"/>
  <c r="KE47" i="31"/>
  <c r="JU47" i="31"/>
  <c r="JT48" i="31"/>
  <c r="NC49" i="31"/>
  <c r="MQ49" i="31"/>
  <c r="AX47" i="31"/>
  <c r="AY48" i="31" s="1"/>
  <c r="EM47" i="31"/>
  <c r="EW47" i="31" s="1"/>
  <c r="EN47" i="31"/>
  <c r="AZ47" i="31"/>
  <c r="OR49" i="31"/>
  <c r="HS47" i="31" l="1"/>
  <c r="JG47" i="31" s="1"/>
  <c r="BB48" i="31"/>
  <c r="EQ47" i="31"/>
  <c r="DW47" i="31"/>
  <c r="DU48" i="31" s="1"/>
  <c r="IW47" i="31"/>
  <c r="ER48" i="31"/>
  <c r="IU47" i="31"/>
  <c r="IV47" i="31" s="1"/>
  <c r="IC47" i="31"/>
  <c r="ID47" i="31" s="1"/>
  <c r="IF47" i="31" s="1"/>
  <c r="KH47" i="31" s="1"/>
  <c r="JB47" i="31"/>
  <c r="IX47" i="31" l="1"/>
  <c r="KK47" i="31"/>
  <c r="EU48" i="31"/>
  <c r="KB47" i="31"/>
  <c r="DB47" i="31"/>
  <c r="DC47" i="31" s="1"/>
  <c r="DD48" i="31" s="1"/>
  <c r="DE49" i="31" s="1"/>
  <c r="IM47" i="31"/>
  <c r="DT47" i="31" s="1"/>
  <c r="DZ47" i="31" s="1"/>
  <c r="GM47" i="31"/>
  <c r="KI48" i="31"/>
  <c r="IN47" i="31"/>
  <c r="DF47" i="31"/>
  <c r="BC48" i="31"/>
  <c r="GT49" i="31" l="1"/>
  <c r="GV47" i="31"/>
  <c r="GU47" i="31"/>
  <c r="FD47" i="31"/>
  <c r="KJ48" i="31"/>
  <c r="GR47" i="31"/>
  <c r="BD48" i="31"/>
  <c r="BE48" i="31"/>
  <c r="IS47" i="31" l="1"/>
  <c r="FL48" i="31"/>
  <c r="BG48" i="31"/>
  <c r="BF48" i="31"/>
  <c r="GS47" i="31"/>
  <c r="FM48" i="31" l="1"/>
  <c r="GX47" i="31"/>
  <c r="GY47" i="31"/>
  <c r="GW47" i="31"/>
  <c r="HC47" i="31" s="1"/>
  <c r="FA48" i="31" s="1"/>
  <c r="HB48" i="31" s="1"/>
  <c r="BI48" i="31"/>
  <c r="BK48" i="31" s="1"/>
  <c r="BH48" i="31"/>
  <c r="JH47" i="31"/>
  <c r="JI47" i="31" s="1"/>
  <c r="IT47" i="31"/>
  <c r="BL48" i="31" l="1"/>
  <c r="BM48" i="31"/>
  <c r="HM47" i="31"/>
  <c r="EG47" i="31"/>
  <c r="EH48" i="31" s="1"/>
  <c r="EI48" i="31" s="1"/>
  <c r="FK48" i="31" s="1"/>
  <c r="EY47" i="31"/>
  <c r="HK48" i="31"/>
  <c r="JK47" i="31"/>
  <c r="JN47" i="31" s="1"/>
  <c r="JV47" i="31" s="1"/>
  <c r="JF48" i="31" s="1"/>
  <c r="BJ48" i="31"/>
  <c r="JW48" i="31" l="1"/>
  <c r="JY48" i="31"/>
  <c r="EZ47" i="31"/>
  <c r="DG47" i="31"/>
  <c r="DH47" i="31" s="1"/>
  <c r="DI48" i="31" s="1"/>
  <c r="JM47" i="31"/>
  <c r="KD47" i="31" s="1"/>
  <c r="IL48" i="31" s="1"/>
  <c r="JZ47" i="31"/>
  <c r="KF47" i="31" s="1"/>
  <c r="IQ48" i="31" s="1"/>
  <c r="JL47" i="31"/>
  <c r="JJ48" i="31" s="1"/>
  <c r="KA48" i="31"/>
  <c r="BO48" i="31"/>
  <c r="BN48" i="31"/>
  <c r="ED47" i="31"/>
  <c r="EB48" i="31" s="1"/>
  <c r="EE47" i="31"/>
  <c r="EF48" i="31" s="1"/>
  <c r="EJ47" i="31"/>
  <c r="EK48" i="31" s="1"/>
  <c r="IY48" i="31" l="1"/>
  <c r="JA48" i="31"/>
  <c r="JO48" i="31"/>
  <c r="JE48" i="31"/>
  <c r="DP48" i="31"/>
  <c r="EL48" i="31"/>
  <c r="EO48" i="31"/>
  <c r="ES49" i="31" s="1"/>
  <c r="EP48" i="31"/>
  <c r="ET49" i="31" s="1"/>
  <c r="FC48" i="31"/>
  <c r="EV48" i="31"/>
  <c r="IR48" i="31"/>
  <c r="IO48" i="31"/>
  <c r="IP48" i="31"/>
  <c r="BP48" i="31"/>
  <c r="BQ48" i="31" s="1"/>
  <c r="JC48" i="31"/>
  <c r="JD48" i="31"/>
  <c r="GZ48" i="31"/>
  <c r="IE48" i="31" s="1"/>
  <c r="DJ48" i="31"/>
  <c r="DK48" i="31" s="1"/>
  <c r="HZ48" i="31"/>
  <c r="JP48" i="31" l="1"/>
  <c r="JQ48" i="31" s="1"/>
  <c r="KG48" i="31"/>
  <c r="JX48" i="31"/>
  <c r="BR48" i="31"/>
  <c r="BS48" i="31"/>
  <c r="FQ48" i="31"/>
  <c r="DX48" i="31"/>
  <c r="DM48" i="31"/>
  <c r="EC48" i="31"/>
  <c r="DL48" i="31" l="1"/>
  <c r="L49" i="31"/>
  <c r="BT48" i="31"/>
  <c r="BU48" i="31"/>
  <c r="FB48" i="31"/>
  <c r="EX48" i="31"/>
  <c r="M48" i="31" s="1"/>
  <c r="MJ48" i="31" l="1"/>
  <c r="NS48" i="31" s="1"/>
  <c r="MB48" i="31"/>
  <c r="BV48" i="31"/>
  <c r="BW48" i="31" s="1"/>
  <c r="BY48" i="31" l="1"/>
  <c r="BX48" i="31"/>
  <c r="NM48" i="31"/>
  <c r="NN48" i="31" s="1"/>
  <c r="NT48" i="31"/>
  <c r="OU49" i="31"/>
  <c r="BZ48" i="31" l="1"/>
  <c r="CA48" i="31"/>
  <c r="CC48" i="31" s="1"/>
  <c r="CD48" i="31" s="1"/>
  <c r="OV49" i="31"/>
  <c r="NW48" i="31"/>
  <c r="NX48" i="31" s="1"/>
  <c r="FR48" i="31"/>
  <c r="CX48" i="31"/>
  <c r="FV48" i="31"/>
  <c r="NU48" i="31"/>
  <c r="CE48" i="31" l="1"/>
  <c r="CF48" i="31" s="1"/>
  <c r="CB48" i="31"/>
  <c r="MY48" i="31"/>
  <c r="NZ48" i="31"/>
  <c r="CY49" i="31"/>
  <c r="NY48" i="31"/>
  <c r="OF48" i="31"/>
  <c r="OS49" i="31" s="1"/>
  <c r="NV48" i="31"/>
  <c r="CG48" i="31" l="1"/>
  <c r="CI48" i="31" s="1"/>
  <c r="CK48" i="31" s="1"/>
  <c r="OA48" i="31"/>
  <c r="MV49" i="31" s="1"/>
  <c r="OG49" i="31" s="1"/>
  <c r="OB48" i="31"/>
  <c r="OT49" i="31" s="1"/>
  <c r="OO49" i="31"/>
  <c r="OM49" i="31"/>
  <c r="NF49" i="31"/>
  <c r="OI48" i="31"/>
  <c r="MZ49" i="31"/>
  <c r="OZ48" i="31"/>
  <c r="CJ48" i="31" l="1"/>
  <c r="CO48" i="31" s="1"/>
  <c r="CH48" i="31"/>
  <c r="KT49" i="31"/>
  <c r="KM49" i="31" s="1"/>
  <c r="KO50" i="31" s="1"/>
  <c r="CL48" i="31"/>
  <c r="CM48" i="31"/>
  <c r="CN48" i="31" s="1"/>
  <c r="PA48" i="31"/>
  <c r="OJ48" i="31"/>
  <c r="OC48" i="31"/>
  <c r="OD49" i="31" s="1"/>
  <c r="OH49" i="31" s="1"/>
  <c r="OK49" i="31" s="1"/>
  <c r="MR49" i="31"/>
  <c r="OX49" i="31"/>
  <c r="OW48" i="31"/>
  <c r="KL49" i="31" l="1"/>
  <c r="KN50" i="31" s="1"/>
  <c r="KP50" i="31" s="1"/>
  <c r="MS49" i="31"/>
  <c r="OY49" i="31"/>
  <c r="MW49" i="31"/>
  <c r="KR49" i="31"/>
  <c r="CP48" i="31"/>
  <c r="KQ49" i="31" l="1"/>
  <c r="KS49" i="31" s="1"/>
  <c r="FE48" i="31"/>
  <c r="FF48" i="31" s="1"/>
  <c r="FP48" i="31"/>
  <c r="FS48" i="31" s="1"/>
  <c r="FX48" i="31"/>
  <c r="FY48" i="31" s="1"/>
  <c r="FH48" i="31"/>
  <c r="FI48" i="31" s="1"/>
  <c r="JR48" i="31"/>
  <c r="JS48" i="31" s="1"/>
  <c r="HO48" i="31"/>
  <c r="GB48" i="31"/>
  <c r="GC48" i="31" s="1"/>
  <c r="DQ48" i="31"/>
  <c r="DR48" i="31" s="1"/>
  <c r="GO48" i="31"/>
  <c r="FU48" i="31"/>
  <c r="FW48" i="31" s="1"/>
  <c r="CQ48" i="31"/>
  <c r="FZ48" i="31"/>
  <c r="GA48" i="31" s="1"/>
  <c r="KX48" i="31"/>
  <c r="KU48" i="31"/>
  <c r="MX49" i="31"/>
  <c r="MO49" i="31"/>
  <c r="NJ49" i="31"/>
  <c r="NQ49" i="31"/>
  <c r="MU49" i="31"/>
  <c r="NP49" i="31"/>
  <c r="MT49" i="31"/>
  <c r="NH50" i="31"/>
  <c r="NI50" i="31" s="1"/>
  <c r="PE49" i="31"/>
  <c r="GN48" i="31" l="1"/>
  <c r="KV48" i="31" s="1"/>
  <c r="DS48" i="31"/>
  <c r="NB49" i="31"/>
  <c r="NA49" i="31"/>
  <c r="HP48" i="31"/>
  <c r="IA48" i="31"/>
  <c r="IB48" i="31" s="1"/>
  <c r="IZ48" i="31"/>
  <c r="NR49" i="31"/>
  <c r="JU48" i="31"/>
  <c r="KC48" i="31"/>
  <c r="JT49" i="31"/>
  <c r="KE48" i="31"/>
  <c r="NL49" i="31"/>
  <c r="NK49" i="31"/>
  <c r="NG50" i="31"/>
  <c r="OQ50" i="31"/>
  <c r="HU48" i="31"/>
  <c r="HV49" i="31" s="1"/>
  <c r="FJ49" i="31"/>
  <c r="CS48" i="31"/>
  <c r="CR48" i="31"/>
  <c r="CT48" i="31"/>
  <c r="HA48" i="31"/>
  <c r="DY48" i="31"/>
  <c r="HY48" i="31"/>
  <c r="HW48" i="31"/>
  <c r="HX49" i="31" s="1"/>
  <c r="FG49" i="31"/>
  <c r="GQ48" i="31" l="1"/>
  <c r="KW49" i="31"/>
  <c r="HQ48" i="31"/>
  <c r="HR49" i="31" s="1"/>
  <c r="HS48" i="31"/>
  <c r="JG48" i="31" s="1"/>
  <c r="HT48" i="31"/>
  <c r="OR50" i="31"/>
  <c r="NC50" i="31"/>
  <c r="MQ50" i="31"/>
  <c r="AX48" i="31"/>
  <c r="AY49" i="31" s="1"/>
  <c r="EN48" i="31"/>
  <c r="AZ48" i="31"/>
  <c r="EM48" i="31"/>
  <c r="EW48" i="31" s="1"/>
  <c r="IC48" i="31" l="1"/>
  <c r="ID48" i="31" s="1"/>
  <c r="IF48" i="31" s="1"/>
  <c r="KH48" i="31" s="1"/>
  <c r="JB48" i="31"/>
  <c r="BB49" i="31"/>
  <c r="IW48" i="31"/>
  <c r="EQ48" i="31"/>
  <c r="DW48" i="31"/>
  <c r="DU49" i="31" s="1"/>
  <c r="ER49" i="31"/>
  <c r="IU48" i="31"/>
  <c r="IV48" i="31" s="1"/>
  <c r="KB48" i="31" l="1"/>
  <c r="BC49" i="31"/>
  <c r="IX48" i="31"/>
  <c r="KK48" i="31"/>
  <c r="EU49" i="31"/>
  <c r="DB48" i="31"/>
  <c r="DC48" i="31" s="1"/>
  <c r="DD49" i="31" s="1"/>
  <c r="DE50" i="31" s="1"/>
  <c r="IM48" i="31"/>
  <c r="GM48" i="31"/>
  <c r="KI49" i="31"/>
  <c r="IN48" i="31"/>
  <c r="DF48" i="31"/>
  <c r="DT48" i="31" l="1"/>
  <c r="DZ48" i="31" s="1"/>
  <c r="GT50" i="31"/>
  <c r="FD48" i="31"/>
  <c r="GV48" i="31"/>
  <c r="GU48" i="31"/>
  <c r="KJ49" i="31"/>
  <c r="GR48" i="31"/>
  <c r="BE49" i="31"/>
  <c r="BD49" i="31"/>
  <c r="IS48" i="31" l="1"/>
  <c r="FL49" i="31"/>
  <c r="BF49" i="31"/>
  <c r="BG49" i="31"/>
  <c r="GS48" i="31"/>
  <c r="BI49" i="31" l="1"/>
  <c r="BK49" i="31" s="1"/>
  <c r="BH49" i="31"/>
  <c r="FM49" i="31"/>
  <c r="GX48" i="31"/>
  <c r="GW48" i="31"/>
  <c r="HC48" i="31" s="1"/>
  <c r="FA49" i="31" s="1"/>
  <c r="HB49" i="31" s="1"/>
  <c r="GY48" i="31"/>
  <c r="JH48" i="31"/>
  <c r="JI48" i="31" s="1"/>
  <c r="IT48" i="31"/>
  <c r="BJ49" i="31" l="1"/>
  <c r="EG48" i="31"/>
  <c r="EH49" i="31" s="1"/>
  <c r="EI49" i="31" s="1"/>
  <c r="FK49" i="31" s="1"/>
  <c r="EY48" i="31"/>
  <c r="HM48" i="31"/>
  <c r="HK49" i="31"/>
  <c r="JK48" i="31"/>
  <c r="BL49" i="31"/>
  <c r="BM49" i="31"/>
  <c r="JM48" i="31" l="1"/>
  <c r="KD48" i="31" s="1"/>
  <c r="IL49" i="31" s="1"/>
  <c r="JL48" i="31"/>
  <c r="JJ49" i="31" s="1"/>
  <c r="KA49" i="31"/>
  <c r="EJ48" i="31"/>
  <c r="EK49" i="31" s="1"/>
  <c r="EE48" i="31"/>
  <c r="EF49" i="31" s="1"/>
  <c r="ED48" i="31"/>
  <c r="EB49" i="31" s="1"/>
  <c r="BN49" i="31"/>
  <c r="BO49" i="31"/>
  <c r="EZ48" i="31"/>
  <c r="DG48" i="31"/>
  <c r="DH48" i="31" s="1"/>
  <c r="DI49" i="31" s="1"/>
  <c r="JN48" i="31"/>
  <c r="JV48" i="31" s="1"/>
  <c r="JF49" i="31" s="1"/>
  <c r="JZ48" i="31"/>
  <c r="KF48" i="31" s="1"/>
  <c r="IQ49" i="31" s="1"/>
  <c r="GZ49" i="31" l="1"/>
  <c r="IE49" i="31" s="1"/>
  <c r="DJ49" i="31"/>
  <c r="DK49" i="31" s="1"/>
  <c r="JC49" i="31"/>
  <c r="JD49" i="31"/>
  <c r="FC49" i="31"/>
  <c r="EP49" i="31"/>
  <c r="ET50" i="31" s="1"/>
  <c r="EO49" i="31"/>
  <c r="ES50" i="31" s="1"/>
  <c r="EL49" i="31"/>
  <c r="EV49" i="31"/>
  <c r="HZ49" i="31"/>
  <c r="JW49" i="31"/>
  <c r="JY49" i="31"/>
  <c r="DP49" i="31"/>
  <c r="JO49" i="31"/>
  <c r="JE49" i="31"/>
  <c r="IY49" i="31"/>
  <c r="JA49" i="31"/>
  <c r="IR49" i="31"/>
  <c r="BP49" i="31"/>
  <c r="BQ49" i="31" s="1"/>
  <c r="IP49" i="31"/>
  <c r="IO49" i="31"/>
  <c r="KG49" i="31" l="1"/>
  <c r="JX49" i="31"/>
  <c r="BR49" i="31"/>
  <c r="BS49" i="31"/>
  <c r="DM49" i="31"/>
  <c r="DX49" i="31"/>
  <c r="FQ49" i="31"/>
  <c r="EC49" i="31"/>
  <c r="JP49" i="31"/>
  <c r="JQ49" i="31" s="1"/>
  <c r="EX49" i="31" l="1"/>
  <c r="M49" i="31" s="1"/>
  <c r="FB49" i="31"/>
  <c r="DL49" i="31"/>
  <c r="L50" i="31"/>
  <c r="BT49" i="31"/>
  <c r="BU49" i="31"/>
  <c r="BV49" i="31" l="1"/>
  <c r="BW49" i="31" s="1"/>
  <c r="MB49" i="31"/>
  <c r="MJ49" i="31"/>
  <c r="NS49" i="31" s="1"/>
  <c r="BX49" i="31" l="1"/>
  <c r="BY49" i="31"/>
  <c r="NM49" i="31"/>
  <c r="NN49" i="31" s="1"/>
  <c r="NT49" i="31"/>
  <c r="OU50" i="31"/>
  <c r="BZ49" i="31" l="1"/>
  <c r="CA49" i="31"/>
  <c r="CC49" i="31" s="1"/>
  <c r="CD49" i="31" s="1"/>
  <c r="OV50" i="31"/>
  <c r="NW49" i="31"/>
  <c r="NX49" i="31" s="1"/>
  <c r="OF49" i="31" s="1"/>
  <c r="OS50" i="31" s="1"/>
  <c r="FR49" i="31"/>
  <c r="CX49" i="31"/>
  <c r="FV49" i="31"/>
  <c r="NU49" i="31"/>
  <c r="CE49" i="31" l="1"/>
  <c r="CF49" i="31" s="1"/>
  <c r="CB49" i="31"/>
  <c r="NZ49" i="31"/>
  <c r="MY49" i="31"/>
  <c r="CY50" i="31"/>
  <c r="NY49" i="31"/>
  <c r="NV49" i="31"/>
  <c r="CG49" i="31" l="1"/>
  <c r="CI49" i="31" s="1"/>
  <c r="CJ49" i="31" s="1"/>
  <c r="CO49" i="31" s="1"/>
  <c r="OA49" i="31"/>
  <c r="MV50" i="31" s="1"/>
  <c r="OG50" i="31" s="1"/>
  <c r="OI49" i="31"/>
  <c r="OB49" i="31"/>
  <c r="OT50" i="31" s="1"/>
  <c r="NF50" i="31"/>
  <c r="OO50" i="31"/>
  <c r="OM50" i="31"/>
  <c r="MZ50" i="31"/>
  <c r="OZ49" i="31"/>
  <c r="CK49" i="31" l="1"/>
  <c r="CL49" i="31" s="1"/>
  <c r="CH49" i="31"/>
  <c r="KT50" i="31"/>
  <c r="KL50" i="31" s="1"/>
  <c r="KN51" i="31" s="1"/>
  <c r="OJ49" i="31"/>
  <c r="OC49" i="31"/>
  <c r="OD50" i="31" s="1"/>
  <c r="OH50" i="31" s="1"/>
  <c r="OK50" i="31" s="1"/>
  <c r="MR50" i="31"/>
  <c r="OX50" i="31"/>
  <c r="OW49" i="31"/>
  <c r="PA49" i="31"/>
  <c r="CM49" i="31" l="1"/>
  <c r="CN49" i="31" s="1"/>
  <c r="CP49" i="31" s="1"/>
  <c r="DQ49" i="31" s="1"/>
  <c r="DR49" i="31" s="1"/>
  <c r="KM50" i="31"/>
  <c r="KO51" i="31" s="1"/>
  <c r="KR50" i="31" s="1"/>
  <c r="MS50" i="31"/>
  <c r="MW50" i="31"/>
  <c r="OY50" i="31"/>
  <c r="KQ50" i="31"/>
  <c r="KP51" i="31" l="1"/>
  <c r="KX49" i="31"/>
  <c r="CQ49" i="31"/>
  <c r="CS49" i="31" s="1"/>
  <c r="FE49" i="31"/>
  <c r="FF49" i="31" s="1"/>
  <c r="HW49" i="31" s="1"/>
  <c r="HX50" i="31" s="1"/>
  <c r="FX49" i="31"/>
  <c r="FY49" i="31" s="1"/>
  <c r="FZ49" i="31"/>
  <c r="GA49" i="31" s="1"/>
  <c r="HO49" i="31"/>
  <c r="HP49" i="31" s="1"/>
  <c r="FP49" i="31"/>
  <c r="FS49" i="31" s="1"/>
  <c r="DY49" i="31" s="1"/>
  <c r="FU49" i="31"/>
  <c r="FW49" i="31" s="1"/>
  <c r="JR49" i="31"/>
  <c r="JS49" i="31" s="1"/>
  <c r="KC49" i="31" s="1"/>
  <c r="FH49" i="31"/>
  <c r="FI49" i="31" s="1"/>
  <c r="HU49" i="31" s="1"/>
  <c r="HV50" i="31" s="1"/>
  <c r="GB49" i="31"/>
  <c r="GC49" i="31" s="1"/>
  <c r="GO49" i="31"/>
  <c r="KU49" i="31"/>
  <c r="MX50" i="31"/>
  <c r="DS49" i="31"/>
  <c r="KS50" i="31"/>
  <c r="NP50" i="31"/>
  <c r="NH51" i="31"/>
  <c r="NI51" i="31" s="1"/>
  <c r="MO50" i="31"/>
  <c r="MU50" i="31"/>
  <c r="NJ50" i="31"/>
  <c r="MT50" i="31"/>
  <c r="NQ50" i="31"/>
  <c r="PE50" i="31"/>
  <c r="GN49" i="31" l="1"/>
  <c r="KV49" i="31" s="1"/>
  <c r="JT50" i="31"/>
  <c r="JU49" i="31"/>
  <c r="KE49" i="31"/>
  <c r="FG50" i="31"/>
  <c r="CT49" i="31"/>
  <c r="FJ50" i="31"/>
  <c r="CR49" i="31"/>
  <c r="IZ49" i="31"/>
  <c r="IA49" i="31"/>
  <c r="IB49" i="31" s="1"/>
  <c r="HY49" i="31"/>
  <c r="HA49" i="31"/>
  <c r="NR50" i="31"/>
  <c r="NB50" i="31"/>
  <c r="NA50" i="31"/>
  <c r="AX49" i="31"/>
  <c r="AY50" i="31" s="1"/>
  <c r="EN49" i="31"/>
  <c r="AZ49" i="31"/>
  <c r="EM49" i="31"/>
  <c r="EW49" i="31" s="1"/>
  <c r="NK50" i="31"/>
  <c r="NL50" i="31"/>
  <c r="NG51" i="31"/>
  <c r="OQ51" i="31"/>
  <c r="HS49" i="31"/>
  <c r="JG49" i="31" s="1"/>
  <c r="HT49" i="31"/>
  <c r="GQ49" i="31" l="1"/>
  <c r="KW50" i="31"/>
  <c r="HQ49" i="31"/>
  <c r="HR50" i="31" s="1"/>
  <c r="BB50" i="31"/>
  <c r="EQ49" i="31"/>
  <c r="IW49" i="31"/>
  <c r="DW49" i="31"/>
  <c r="DU50" i="31" s="1"/>
  <c r="ER50" i="31"/>
  <c r="IU49" i="31"/>
  <c r="IV49" i="31" s="1"/>
  <c r="OR51" i="31"/>
  <c r="IC49" i="31"/>
  <c r="ID49" i="31" s="1"/>
  <c r="IF49" i="31" s="1"/>
  <c r="KH49" i="31" s="1"/>
  <c r="JB49" i="31"/>
  <c r="NC51" i="31"/>
  <c r="MQ51" i="31"/>
  <c r="EU50" i="31" l="1"/>
  <c r="GM49" i="31"/>
  <c r="DB49" i="31"/>
  <c r="DC49" i="31" s="1"/>
  <c r="DD50" i="31" s="1"/>
  <c r="DE51" i="31" s="1"/>
  <c r="IM49" i="31"/>
  <c r="KI50" i="31"/>
  <c r="IN49" i="31"/>
  <c r="DF49" i="31"/>
  <c r="KK49" i="31"/>
  <c r="KB49" i="31"/>
  <c r="IX49" i="31"/>
  <c r="BC50" i="31"/>
  <c r="DT49" i="31" l="1"/>
  <c r="DZ49" i="31" s="1"/>
  <c r="GT51" i="31"/>
  <c r="GR49" i="31"/>
  <c r="FD49" i="31"/>
  <c r="GU49" i="31"/>
  <c r="GV49" i="31"/>
  <c r="KJ50" i="31"/>
  <c r="BD50" i="31"/>
  <c r="BE50" i="31"/>
  <c r="IS49" i="31" l="1"/>
  <c r="FL50" i="31"/>
  <c r="BG50" i="31"/>
  <c r="BF50" i="31"/>
  <c r="GS49" i="31"/>
  <c r="GX49" i="31" l="1"/>
  <c r="GY49" i="31"/>
  <c r="GW49" i="31"/>
  <c r="HC49" i="31" s="1"/>
  <c r="FA50" i="31" s="1"/>
  <c r="HB50" i="31" s="1"/>
  <c r="BH50" i="31"/>
  <c r="BI50" i="31"/>
  <c r="BK50" i="31" s="1"/>
  <c r="FM50" i="31"/>
  <c r="JH49" i="31"/>
  <c r="JI49" i="31" s="1"/>
  <c r="IT49" i="31"/>
  <c r="BL50" i="31" l="1"/>
  <c r="BM50" i="31"/>
  <c r="JK49" i="31"/>
  <c r="JZ49" i="31" s="1"/>
  <c r="KF49" i="31" s="1"/>
  <c r="IQ50" i="31" s="1"/>
  <c r="HM49" i="31"/>
  <c r="EG49" i="31"/>
  <c r="EH50" i="31" s="1"/>
  <c r="EI50" i="31" s="1"/>
  <c r="FK50" i="31" s="1"/>
  <c r="EY49" i="31"/>
  <c r="HK50" i="31"/>
  <c r="BJ50" i="31"/>
  <c r="JN49" i="31" l="1"/>
  <c r="JV49" i="31" s="1"/>
  <c r="JF50" i="31" s="1"/>
  <c r="JY50" i="31" s="1"/>
  <c r="EE49" i="31"/>
  <c r="EF50" i="31" s="1"/>
  <c r="EJ49" i="31"/>
  <c r="EK50" i="31" s="1"/>
  <c r="ED49" i="31"/>
  <c r="EB50" i="31" s="1"/>
  <c r="JM49" i="31"/>
  <c r="KD49" i="31" s="1"/>
  <c r="IL50" i="31" s="1"/>
  <c r="JE50" i="31" s="1"/>
  <c r="JL49" i="31"/>
  <c r="JJ50" i="31" s="1"/>
  <c r="KA50" i="31"/>
  <c r="EZ49" i="31"/>
  <c r="DG49" i="31"/>
  <c r="DH49" i="31" s="1"/>
  <c r="DI50" i="31" s="1"/>
  <c r="BO50" i="31"/>
  <c r="BP50" i="31" s="1"/>
  <c r="BQ50" i="31" s="1"/>
  <c r="BN50" i="31"/>
  <c r="JW50" i="31" l="1"/>
  <c r="JO50" i="31"/>
  <c r="IR50" i="31"/>
  <c r="FC50" i="31"/>
  <c r="EP50" i="31"/>
  <c r="ET51" i="31" s="1"/>
  <c r="EO50" i="31"/>
  <c r="ES51" i="31" s="1"/>
  <c r="EL50" i="31"/>
  <c r="IE50" i="31"/>
  <c r="EV50" i="31"/>
  <c r="DJ50" i="31"/>
  <c r="DK50" i="31" s="1"/>
  <c r="GZ50" i="31"/>
  <c r="JC50" i="31"/>
  <c r="JD50" i="31"/>
  <c r="KG50" i="31"/>
  <c r="HZ50" i="31"/>
  <c r="DP50" i="31"/>
  <c r="JA50" i="31"/>
  <c r="BR50" i="31"/>
  <c r="BS50" i="31"/>
  <c r="IP50" i="31"/>
  <c r="IO50" i="31"/>
  <c r="IY50" i="31"/>
  <c r="JP50" i="31" l="1"/>
  <c r="JQ50" i="31" s="1"/>
  <c r="EC50" i="31"/>
  <c r="DX50" i="31"/>
  <c r="FQ50" i="31"/>
  <c r="DM50" i="31"/>
  <c r="BT50" i="31"/>
  <c r="BU50" i="31"/>
  <c r="JX50" i="31"/>
  <c r="BV50" i="31" l="1"/>
  <c r="BW50" i="31" s="1"/>
  <c r="DL50" i="31"/>
  <c r="L51" i="31"/>
  <c r="EX50" i="31"/>
  <c r="M50" i="31" s="1"/>
  <c r="FB50" i="31"/>
  <c r="BX50" i="31" l="1"/>
  <c r="BY50" i="31"/>
  <c r="MJ50" i="31"/>
  <c r="NS50" i="31" s="1"/>
  <c r="MB50" i="31"/>
  <c r="BZ50" i="31" l="1"/>
  <c r="CA50" i="31"/>
  <c r="CC50" i="31" s="1"/>
  <c r="CD50" i="31" s="1"/>
  <c r="NM50" i="31"/>
  <c r="NN50" i="31" s="1"/>
  <c r="NT50" i="31"/>
  <c r="OU51" i="31"/>
  <c r="CE50" i="31" l="1"/>
  <c r="CF50" i="31" s="1"/>
  <c r="CB50" i="31"/>
  <c r="OV51" i="31"/>
  <c r="NW50" i="31"/>
  <c r="NX50" i="31" s="1"/>
  <c r="FV50" i="31"/>
  <c r="FR50" i="31"/>
  <c r="CX50" i="31"/>
  <c r="NU50" i="31"/>
  <c r="CG50" i="31" l="1"/>
  <c r="CI50" i="31" s="1"/>
  <c r="CJ50" i="31" s="1"/>
  <c r="CO50" i="31" s="1"/>
  <c r="NZ50" i="31"/>
  <c r="MY50" i="31"/>
  <c r="CY51" i="31"/>
  <c r="NY50" i="31"/>
  <c r="NV50" i="31"/>
  <c r="OF50" i="31"/>
  <c r="OS51" i="31" s="1"/>
  <c r="OI50" i="31" l="1"/>
  <c r="OX51" i="31" s="1"/>
  <c r="CK50" i="31"/>
  <c r="CL50" i="31" s="1"/>
  <c r="CH50" i="31"/>
  <c r="OA50" i="31"/>
  <c r="MV51" i="31" s="1"/>
  <c r="OG51" i="31" s="1"/>
  <c r="NF51" i="31"/>
  <c r="OO51" i="31"/>
  <c r="OM51" i="31"/>
  <c r="MZ51" i="31"/>
  <c r="OZ50" i="31"/>
  <c r="OB50" i="31"/>
  <c r="OT51" i="31" s="1"/>
  <c r="MR51" i="31" l="1"/>
  <c r="MS51" i="31" s="1"/>
  <c r="OW50" i="31"/>
  <c r="CM50" i="31"/>
  <c r="CN50" i="31" s="1"/>
  <c r="CP50" i="31" s="1"/>
  <c r="JR50" i="31" s="1"/>
  <c r="JS50" i="31" s="1"/>
  <c r="KT51" i="31"/>
  <c r="KL51" i="31" s="1"/>
  <c r="KN52" i="31" s="1"/>
  <c r="OJ50" i="31"/>
  <c r="MW51" i="31" s="1"/>
  <c r="OC50" i="31"/>
  <c r="OD51" i="31" s="1"/>
  <c r="OH51" i="31" s="1"/>
  <c r="OK51" i="31" s="1"/>
  <c r="PA50" i="31"/>
  <c r="FP50" i="31" l="1"/>
  <c r="FS50" i="31" s="1"/>
  <c r="HY50" i="31" s="1"/>
  <c r="KX50" i="31"/>
  <c r="KM51" i="31"/>
  <c r="KO52" i="31" s="1"/>
  <c r="KR51" i="31" s="1"/>
  <c r="KU50" i="31"/>
  <c r="OY51" i="31"/>
  <c r="FZ50" i="31"/>
  <c r="GA50" i="31" s="1"/>
  <c r="FE50" i="31"/>
  <c r="FF50" i="31" s="1"/>
  <c r="FG51" i="31" s="1"/>
  <c r="FH50" i="31"/>
  <c r="FI50" i="31" s="1"/>
  <c r="HU50" i="31" s="1"/>
  <c r="HV51" i="31" s="1"/>
  <c r="CQ50" i="31"/>
  <c r="CS50" i="31" s="1"/>
  <c r="FX50" i="31"/>
  <c r="FY50" i="31" s="1"/>
  <c r="HO50" i="31"/>
  <c r="IA50" i="31" s="1"/>
  <c r="IB50" i="31" s="1"/>
  <c r="FU50" i="31"/>
  <c r="FW50" i="31" s="1"/>
  <c r="GB50" i="31"/>
  <c r="GC50" i="31" s="1"/>
  <c r="DQ50" i="31"/>
  <c r="DR50" i="31" s="1"/>
  <c r="DS50" i="31" s="1"/>
  <c r="GO50" i="31"/>
  <c r="KE50" i="31"/>
  <c r="JU50" i="31"/>
  <c r="KC50" i="31"/>
  <c r="JT51" i="31"/>
  <c r="NH52" i="31"/>
  <c r="NI52" i="31" s="1"/>
  <c r="MT51" i="31"/>
  <c r="NJ51" i="31"/>
  <c r="MO51" i="31"/>
  <c r="MU51" i="31"/>
  <c r="NQ51" i="31"/>
  <c r="NP51" i="31"/>
  <c r="PE51" i="31"/>
  <c r="MX51" i="31"/>
  <c r="KQ51" i="31"/>
  <c r="GN50" i="31" l="1"/>
  <c r="KV50" i="31" s="1"/>
  <c r="DY50" i="31"/>
  <c r="HA50" i="31"/>
  <c r="KP52" i="31"/>
  <c r="HW50" i="31"/>
  <c r="HX51" i="31" s="1"/>
  <c r="FJ51" i="31"/>
  <c r="CR50" i="31"/>
  <c r="HP50" i="31"/>
  <c r="HS50" i="31" s="1"/>
  <c r="JG50" i="31" s="1"/>
  <c r="IZ50" i="31"/>
  <c r="CT50" i="31"/>
  <c r="KS51" i="31"/>
  <c r="AX50" i="31"/>
  <c r="AY51" i="31" s="1"/>
  <c r="EM50" i="31"/>
  <c r="EW50" i="31" s="1"/>
  <c r="EN50" i="31"/>
  <c r="AZ50" i="31"/>
  <c r="NR51" i="31"/>
  <c r="NA51" i="31"/>
  <c r="NB51" i="31"/>
  <c r="NL51" i="31"/>
  <c r="NK51" i="31"/>
  <c r="NG52" i="31"/>
  <c r="OQ52" i="31"/>
  <c r="GQ50" i="31" l="1"/>
  <c r="KW51" i="31"/>
  <c r="HQ50" i="31"/>
  <c r="HR51" i="31" s="1"/>
  <c r="HT50" i="31"/>
  <c r="IC50" i="31" s="1"/>
  <c r="ID50" i="31" s="1"/>
  <c r="IF50" i="31" s="1"/>
  <c r="KH50" i="31" s="1"/>
  <c r="NC52" i="31"/>
  <c r="MQ52" i="31"/>
  <c r="OR52" i="31"/>
  <c r="BB51" i="31"/>
  <c r="EQ50" i="31"/>
  <c r="DW50" i="31"/>
  <c r="DU51" i="31" s="1"/>
  <c r="IW50" i="31"/>
  <c r="ER51" i="31"/>
  <c r="IU50" i="31"/>
  <c r="IV50" i="31" s="1"/>
  <c r="JB50" i="31" l="1"/>
  <c r="EU51" i="31"/>
  <c r="KK50" i="31"/>
  <c r="KB50" i="31"/>
  <c r="IX50" i="31"/>
  <c r="BC51" i="31"/>
  <c r="DB50" i="31"/>
  <c r="DC50" i="31" s="1"/>
  <c r="DD51" i="31" s="1"/>
  <c r="DE52" i="31" s="1"/>
  <c r="GM50" i="31"/>
  <c r="IM50" i="31"/>
  <c r="KI51" i="31"/>
  <c r="IN50" i="31"/>
  <c r="DF50" i="31"/>
  <c r="DT50" i="31" l="1"/>
  <c r="DZ50" i="31" s="1"/>
  <c r="GT52" i="31"/>
  <c r="GR50" i="31"/>
  <c r="GU50" i="31"/>
  <c r="FD50" i="31"/>
  <c r="GV50" i="31"/>
  <c r="KJ51" i="31"/>
  <c r="BD51" i="31"/>
  <c r="BE51" i="31"/>
  <c r="IS50" i="31" l="1"/>
  <c r="FL51" i="31"/>
  <c r="BF51" i="31"/>
  <c r="BG51" i="31"/>
  <c r="GS50" i="31"/>
  <c r="GW50" i="31" l="1"/>
  <c r="HC50" i="31" s="1"/>
  <c r="FA51" i="31" s="1"/>
  <c r="HB51" i="31" s="1"/>
  <c r="GY50" i="31"/>
  <c r="GX50" i="31"/>
  <c r="BH51" i="31"/>
  <c r="BI51" i="31"/>
  <c r="BK51" i="31" s="1"/>
  <c r="FM51" i="31"/>
  <c r="JH50" i="31"/>
  <c r="JI50" i="31" s="1"/>
  <c r="IT50" i="31"/>
  <c r="BL51" i="31" l="1"/>
  <c r="BM51" i="31"/>
  <c r="BJ51" i="31"/>
  <c r="HM50" i="31"/>
  <c r="EY50" i="31"/>
  <c r="EG50" i="31"/>
  <c r="EH51" i="31" s="1"/>
  <c r="EI51" i="31" s="1"/>
  <c r="FK51" i="31" s="1"/>
  <c r="HK51" i="31"/>
  <c r="JK50" i="31"/>
  <c r="JZ50" i="31" s="1"/>
  <c r="KF50" i="31" s="1"/>
  <c r="IQ51" i="31" s="1"/>
  <c r="JN50" i="31" l="1"/>
  <c r="JV50" i="31" s="1"/>
  <c r="JF51" i="31" s="1"/>
  <c r="JW51" i="31" s="1"/>
  <c r="EZ50" i="31"/>
  <c r="DG50" i="31"/>
  <c r="DH50" i="31" s="1"/>
  <c r="DI51" i="31" s="1"/>
  <c r="JM50" i="31"/>
  <c r="KD50" i="31" s="1"/>
  <c r="IL51" i="31" s="1"/>
  <c r="IR51" i="31" s="1"/>
  <c r="JL50" i="31"/>
  <c r="JJ51" i="31" s="1"/>
  <c r="KA51" i="31"/>
  <c r="BN51" i="31"/>
  <c r="BO51" i="31"/>
  <c r="BP51" i="31" s="1"/>
  <c r="ED50" i="31"/>
  <c r="EB51" i="31" s="1"/>
  <c r="JA51" i="31" s="1"/>
  <c r="EE50" i="31"/>
  <c r="EF51" i="31" s="1"/>
  <c r="EJ50" i="31"/>
  <c r="EK51" i="31" s="1"/>
  <c r="JY51" i="31" l="1"/>
  <c r="JE51" i="31"/>
  <c r="HZ51" i="31"/>
  <c r="IP51" i="31"/>
  <c r="IO51" i="31"/>
  <c r="JO51" i="31"/>
  <c r="JC51" i="31"/>
  <c r="JD51" i="31"/>
  <c r="FC51" i="31"/>
  <c r="EO51" i="31"/>
  <c r="ES52" i="31" s="1"/>
  <c r="EL51" i="31"/>
  <c r="EP51" i="31"/>
  <c r="ET52" i="31" s="1"/>
  <c r="EV51" i="31"/>
  <c r="DP51" i="31"/>
  <c r="GZ51" i="31"/>
  <c r="IE51" i="31" s="1"/>
  <c r="DJ51" i="31"/>
  <c r="DK51" i="31" s="1"/>
  <c r="IY51" i="31"/>
  <c r="BQ51" i="31"/>
  <c r="EC51" i="31" l="1"/>
  <c r="BR51" i="31"/>
  <c r="BS51" i="31"/>
  <c r="JP51" i="31"/>
  <c r="JQ51" i="31" s="1"/>
  <c r="KG51" i="31"/>
  <c r="FQ51" i="31"/>
  <c r="DX51" i="31"/>
  <c r="DM51" i="31"/>
  <c r="JX51" i="31"/>
  <c r="BT51" i="31" l="1"/>
  <c r="BU51" i="31"/>
  <c r="DL51" i="31"/>
  <c r="L52" i="31"/>
  <c r="FB51" i="31"/>
  <c r="EX51" i="31"/>
  <c r="M51" i="31" s="1"/>
  <c r="BV51" i="31" l="1"/>
  <c r="BW51" i="31" s="1"/>
  <c r="MJ51" i="31"/>
  <c r="NS51" i="31" s="1"/>
  <c r="MB51" i="31"/>
  <c r="BY51" i="31" l="1"/>
  <c r="BX51" i="31"/>
  <c r="NM51" i="31"/>
  <c r="NN51" i="31" s="1"/>
  <c r="NT51" i="31"/>
  <c r="OU52" i="31"/>
  <c r="BZ51" i="31" l="1"/>
  <c r="CA51" i="31"/>
  <c r="CC51" i="31" s="1"/>
  <c r="CD51" i="31" s="1"/>
  <c r="OV52" i="31"/>
  <c r="NW51" i="31"/>
  <c r="NX51" i="31" s="1"/>
  <c r="OF51" i="31" s="1"/>
  <c r="OS52" i="31" s="1"/>
  <c r="FV51" i="31"/>
  <c r="CX51" i="31"/>
  <c r="FR51" i="31"/>
  <c r="NU51" i="31"/>
  <c r="CB51" i="31" l="1"/>
  <c r="CE51" i="31"/>
  <c r="CF51" i="31" s="1"/>
  <c r="NY51" i="31"/>
  <c r="OB51" i="31" s="1"/>
  <c r="OT52" i="31" s="1"/>
  <c r="NV51" i="31"/>
  <c r="NZ51" i="31"/>
  <c r="MY51" i="31"/>
  <c r="CY52" i="31"/>
  <c r="CG51" i="31" l="1"/>
  <c r="CI51" i="31" s="1"/>
  <c r="CJ51" i="31" s="1"/>
  <c r="CO51" i="31" s="1"/>
  <c r="OA51" i="31"/>
  <c r="MV52" i="31" s="1"/>
  <c r="OG52" i="31" s="1"/>
  <c r="OJ51" i="31"/>
  <c r="NF52" i="31"/>
  <c r="OO52" i="31"/>
  <c r="OM52" i="31"/>
  <c r="OC51" i="31"/>
  <c r="OD52" i="31" s="1"/>
  <c r="OH52" i="31" s="1"/>
  <c r="PA51" i="31"/>
  <c r="MZ52" i="31"/>
  <c r="OZ51" i="31"/>
  <c r="OI51" i="31"/>
  <c r="CK51" i="31" l="1"/>
  <c r="CM51" i="31" s="1"/>
  <c r="CN51" i="31" s="1"/>
  <c r="CH51" i="31"/>
  <c r="OK52" i="31"/>
  <c r="KT52" i="31"/>
  <c r="KM52" i="31" s="1"/>
  <c r="KO53" i="31" s="1"/>
  <c r="OX52" i="31"/>
  <c r="OW51" i="31"/>
  <c r="MR52" i="31"/>
  <c r="OY52" i="31"/>
  <c r="MW52" i="31"/>
  <c r="KL52" i="31" l="1"/>
  <c r="KN53" i="31" s="1"/>
  <c r="KQ52" i="31" s="1"/>
  <c r="CL51" i="31"/>
  <c r="CP51" i="31" s="1"/>
  <c r="MS52" i="31"/>
  <c r="MX52" i="31"/>
  <c r="KR52" i="31"/>
  <c r="KP53" i="31" l="1"/>
  <c r="NB52" i="31"/>
  <c r="NA52" i="31"/>
  <c r="FZ51" i="31"/>
  <c r="GA51" i="31" s="1"/>
  <c r="FU51" i="31"/>
  <c r="FW51" i="31" s="1"/>
  <c r="CQ51" i="31"/>
  <c r="JR51" i="31"/>
  <c r="JS51" i="31" s="1"/>
  <c r="FH51" i="31"/>
  <c r="FI51" i="31" s="1"/>
  <c r="GO51" i="31"/>
  <c r="DQ51" i="31"/>
  <c r="DR51" i="31" s="1"/>
  <c r="FX51" i="31"/>
  <c r="FY51" i="31" s="1"/>
  <c r="FE51" i="31"/>
  <c r="FF51" i="31" s="1"/>
  <c r="HO51" i="31"/>
  <c r="GB51" i="31"/>
  <c r="GC51" i="31" s="1"/>
  <c r="FP51" i="31"/>
  <c r="FS51" i="31" s="1"/>
  <c r="KX51" i="31"/>
  <c r="GN51" i="31" s="1"/>
  <c r="KU51" i="31"/>
  <c r="KS52" i="31"/>
  <c r="MT52" i="31"/>
  <c r="MO52" i="31"/>
  <c r="NP52" i="31"/>
  <c r="NH53" i="31"/>
  <c r="NI53" i="31" s="1"/>
  <c r="MU52" i="31"/>
  <c r="NQ52" i="31"/>
  <c r="NR52" i="31" s="1"/>
  <c r="NJ52" i="31"/>
  <c r="PE52" i="31"/>
  <c r="NK52" i="31" l="1"/>
  <c r="NL52" i="31"/>
  <c r="NG53" i="31"/>
  <c r="OQ53" i="31"/>
  <c r="HU51" i="31"/>
  <c r="HV52" i="31" s="1"/>
  <c r="FJ52" i="31"/>
  <c r="HY51" i="31"/>
  <c r="DY51" i="31"/>
  <c r="HA51" i="31"/>
  <c r="KE51" i="31"/>
  <c r="JU51" i="31"/>
  <c r="JT52" i="31"/>
  <c r="KC51" i="31"/>
  <c r="CT51" i="31"/>
  <c r="CR51" i="31"/>
  <c r="CS51" i="31"/>
  <c r="IA51" i="31"/>
  <c r="IB51" i="31" s="1"/>
  <c r="HP51" i="31"/>
  <c r="IZ51" i="31"/>
  <c r="GQ51" i="31"/>
  <c r="KV51" i="31"/>
  <c r="HW51" i="31"/>
  <c r="HX52" i="31" s="1"/>
  <c r="FG52" i="31"/>
  <c r="DS51" i="31"/>
  <c r="KW52" i="31" l="1"/>
  <c r="HQ51" i="31"/>
  <c r="HR52" i="31" s="1"/>
  <c r="AX51" i="31"/>
  <c r="AY52" i="31" s="1"/>
  <c r="AZ51" i="31"/>
  <c r="EN51" i="31"/>
  <c r="EM51" i="31"/>
  <c r="EW51" i="31" s="1"/>
  <c r="HT51" i="31"/>
  <c r="HS51" i="31"/>
  <c r="JG51" i="31" s="1"/>
  <c r="OR53" i="31"/>
  <c r="NC53" i="31"/>
  <c r="MQ53" i="31"/>
  <c r="BB52" i="31" l="1"/>
  <c r="IW51" i="31"/>
  <c r="DW51" i="31"/>
  <c r="DU52" i="31" s="1"/>
  <c r="EQ51" i="31"/>
  <c r="ER52" i="31"/>
  <c r="IU51" i="31"/>
  <c r="IV51" i="31" s="1"/>
  <c r="IC51" i="31"/>
  <c r="ID51" i="31" s="1"/>
  <c r="IF51" i="31" s="1"/>
  <c r="KH51" i="31" s="1"/>
  <c r="JB51" i="31"/>
  <c r="KK51" i="31" l="1"/>
  <c r="KB51" i="31"/>
  <c r="IX51" i="31"/>
  <c r="EU52" i="31"/>
  <c r="IM51" i="31"/>
  <c r="GM51" i="31"/>
  <c r="DB51" i="31"/>
  <c r="DC51" i="31" s="1"/>
  <c r="DD52" i="31" s="1"/>
  <c r="DE53" i="31" s="1"/>
  <c r="KI52" i="31"/>
  <c r="IN51" i="31"/>
  <c r="DF51" i="31"/>
  <c r="BC52" i="31"/>
  <c r="GT53" i="31" l="1"/>
  <c r="GU51" i="31"/>
  <c r="FD51" i="31"/>
  <c r="GV51" i="31"/>
  <c r="KJ52" i="31"/>
  <c r="DT51" i="31"/>
  <c r="DZ51" i="31" s="1"/>
  <c r="GR51" i="31"/>
  <c r="BD52" i="31"/>
  <c r="BE52" i="31"/>
  <c r="IS51" i="31" l="1"/>
  <c r="FL52" i="31"/>
  <c r="GS51" i="31"/>
  <c r="BG52" i="31"/>
  <c r="BF52" i="31"/>
  <c r="BI52" i="31" l="1"/>
  <c r="BK52" i="31" s="1"/>
  <c r="BH52" i="31"/>
  <c r="GW51" i="31"/>
  <c r="HC51" i="31" s="1"/>
  <c r="FA52" i="31" s="1"/>
  <c r="HB52" i="31" s="1"/>
  <c r="GX51" i="31"/>
  <c r="GY51" i="31"/>
  <c r="FM52" i="31"/>
  <c r="JH51" i="31"/>
  <c r="JI51" i="31" s="1"/>
  <c r="IT51" i="31"/>
  <c r="JK51" i="31" l="1"/>
  <c r="JZ51" i="31" s="1"/>
  <c r="KF51" i="31" s="1"/>
  <c r="IQ52" i="31" s="1"/>
  <c r="BL52" i="31"/>
  <c r="BM52" i="31"/>
  <c r="HM51" i="31"/>
  <c r="EY51" i="31"/>
  <c r="EG51" i="31"/>
  <c r="EH52" i="31" s="1"/>
  <c r="EI52" i="31" s="1"/>
  <c r="FK52" i="31" s="1"/>
  <c r="HK52" i="31"/>
  <c r="BJ52" i="31"/>
  <c r="JN51" i="31" l="1"/>
  <c r="JV51" i="31" s="1"/>
  <c r="JF52" i="31" s="1"/>
  <c r="JY52" i="31" s="1"/>
  <c r="EZ51" i="31"/>
  <c r="DG51" i="31"/>
  <c r="DH51" i="31" s="1"/>
  <c r="DI52" i="31" s="1"/>
  <c r="BO52" i="31"/>
  <c r="BP52" i="31" s="1"/>
  <c r="BQ52" i="31" s="1"/>
  <c r="BN52" i="31"/>
  <c r="ED51" i="31"/>
  <c r="EB52" i="31" s="1"/>
  <c r="JA52" i="31" s="1"/>
  <c r="EE51" i="31"/>
  <c r="EF52" i="31" s="1"/>
  <c r="EJ51" i="31"/>
  <c r="EK52" i="31" s="1"/>
  <c r="JM51" i="31"/>
  <c r="KD51" i="31" s="1"/>
  <c r="IL52" i="31" s="1"/>
  <c r="JL51" i="31"/>
  <c r="JJ52" i="31" s="1"/>
  <c r="KA52" i="31"/>
  <c r="JW52" i="31" l="1"/>
  <c r="BR52" i="31"/>
  <c r="BS52" i="31"/>
  <c r="HZ52" i="31"/>
  <c r="IO52" i="31"/>
  <c r="IP52" i="31"/>
  <c r="DP52" i="31"/>
  <c r="JO52" i="31"/>
  <c r="DJ52" i="31"/>
  <c r="DK52" i="31" s="1"/>
  <c r="GZ52" i="31"/>
  <c r="IE52" i="31" s="1"/>
  <c r="EL52" i="31"/>
  <c r="FC52" i="31"/>
  <c r="EO52" i="31"/>
  <c r="ES53" i="31" s="1"/>
  <c r="EP52" i="31"/>
  <c r="ET53" i="31" s="1"/>
  <c r="EV52" i="31"/>
  <c r="JE52" i="31"/>
  <c r="JX52" i="31" s="1"/>
  <c r="IY52" i="31"/>
  <c r="JC52" i="31"/>
  <c r="JD52" i="31"/>
  <c r="IR52" i="31"/>
  <c r="DM52" i="31" l="1"/>
  <c r="DX52" i="31"/>
  <c r="FQ52" i="31"/>
  <c r="JP52" i="31"/>
  <c r="JQ52" i="31" s="1"/>
  <c r="BT52" i="31"/>
  <c r="BU52" i="31"/>
  <c r="KG52" i="31"/>
  <c r="EC52" i="31"/>
  <c r="BV52" i="31" l="1"/>
  <c r="BW52" i="31" s="1"/>
  <c r="EX52" i="31"/>
  <c r="M52" i="31" s="1"/>
  <c r="FB52" i="31"/>
  <c r="DL52" i="31"/>
  <c r="L53" i="31"/>
  <c r="BY52" i="31" l="1"/>
  <c r="BX52" i="31"/>
  <c r="MB52" i="31"/>
  <c r="NM52" i="31" s="1"/>
  <c r="NN52" i="31" s="1"/>
  <c r="MJ52" i="31"/>
  <c r="NS52" i="31" s="1"/>
  <c r="BZ52" i="31" l="1"/>
  <c r="CA52" i="31"/>
  <c r="CC52" i="31" s="1"/>
  <c r="CD52" i="31" s="1"/>
  <c r="NT52" i="31"/>
  <c r="OU53" i="31"/>
  <c r="OV53" i="31"/>
  <c r="NW52" i="31"/>
  <c r="CE52" i="31" l="1"/>
  <c r="CF52" i="31" s="1"/>
  <c r="CB52" i="31"/>
  <c r="NX52" i="31"/>
  <c r="FV52" i="31"/>
  <c r="FR52" i="31"/>
  <c r="CX52" i="31"/>
  <c r="NU52" i="31"/>
  <c r="CG52" i="31" l="1"/>
  <c r="CI52" i="31" s="1"/>
  <c r="CJ52" i="31" s="1"/>
  <c r="CO52" i="31" s="1"/>
  <c r="NV52" i="31"/>
  <c r="NY52" i="31"/>
  <c r="MY52" i="31"/>
  <c r="NZ52" i="31"/>
  <c r="CY53" i="31"/>
  <c r="OF52" i="31"/>
  <c r="OS53" i="31" s="1"/>
  <c r="CK52" i="31" l="1"/>
  <c r="CL52" i="31" s="1"/>
  <c r="CH52" i="31"/>
  <c r="OI52" i="31"/>
  <c r="OX53" i="31" s="1"/>
  <c r="OO53" i="31"/>
  <c r="NF53" i="31"/>
  <c r="OM53" i="31"/>
  <c r="MZ53" i="31"/>
  <c r="OZ52" i="31"/>
  <c r="OA52" i="31"/>
  <c r="MV53" i="31" s="1"/>
  <c r="OG53" i="31" s="1"/>
  <c r="OB52" i="31"/>
  <c r="OT53" i="31" s="1"/>
  <c r="CM52" i="31" l="1"/>
  <c r="CN52" i="31" s="1"/>
  <c r="CP52" i="31" s="1"/>
  <c r="OW52" i="31"/>
  <c r="MR53" i="31"/>
  <c r="PA52" i="31"/>
  <c r="OJ52" i="31"/>
  <c r="MW53" i="31" s="1"/>
  <c r="OC52" i="31"/>
  <c r="OD53" i="31" s="1"/>
  <c r="OH53" i="31" s="1"/>
  <c r="OK53" i="31" s="1"/>
  <c r="KT53" i="31"/>
  <c r="MS53" i="31"/>
  <c r="OY53" i="31" l="1"/>
  <c r="KM53" i="31"/>
  <c r="KO54" i="31" s="1"/>
  <c r="KL53" i="31"/>
  <c r="KN54" i="31" s="1"/>
  <c r="MX53" i="31"/>
  <c r="MO53" i="31"/>
  <c r="NH54" i="31"/>
  <c r="NI54" i="31" s="1"/>
  <c r="NJ53" i="31"/>
  <c r="NP53" i="31"/>
  <c r="MU53" i="31"/>
  <c r="NQ53" i="31"/>
  <c r="MT53" i="31"/>
  <c r="PE53" i="31"/>
  <c r="FZ52" i="31"/>
  <c r="GA52" i="31" s="1"/>
  <c r="JR52" i="31"/>
  <c r="JS52" i="31" s="1"/>
  <c r="GB52" i="31"/>
  <c r="GC52" i="31" s="1"/>
  <c r="FH52" i="31"/>
  <c r="FI52" i="31" s="1"/>
  <c r="GO52" i="31"/>
  <c r="FE52" i="31"/>
  <c r="FF52" i="31" s="1"/>
  <c r="FU52" i="31"/>
  <c r="FW52" i="31" s="1"/>
  <c r="DQ52" i="31"/>
  <c r="DR52" i="31" s="1"/>
  <c r="FX52" i="31"/>
  <c r="FY52" i="31" s="1"/>
  <c r="CQ52" i="31"/>
  <c r="HO52" i="31"/>
  <c r="FP52" i="31"/>
  <c r="FS52" i="31" s="1"/>
  <c r="KX52" i="31"/>
  <c r="KU52" i="31"/>
  <c r="GN52" i="31" l="1"/>
  <c r="GQ52" i="31" s="1"/>
  <c r="NR53" i="31"/>
  <c r="DS52" i="31"/>
  <c r="JU52" i="31"/>
  <c r="KE52" i="31"/>
  <c r="JT53" i="31"/>
  <c r="KC52" i="31"/>
  <c r="HW52" i="31"/>
  <c r="HX53" i="31" s="1"/>
  <c r="FG53" i="31"/>
  <c r="NA53" i="31"/>
  <c r="NB53" i="31"/>
  <c r="CS52" i="31"/>
  <c r="CR52" i="31"/>
  <c r="CT52" i="31"/>
  <c r="KQ53" i="31"/>
  <c r="HA52" i="31"/>
  <c r="HY52" i="31"/>
  <c r="DY52" i="31"/>
  <c r="HU52" i="31"/>
  <c r="HV53" i="31" s="1"/>
  <c r="FJ53" i="31"/>
  <c r="KP54" i="31"/>
  <c r="KR53" i="31"/>
  <c r="IA52" i="31"/>
  <c r="IB52" i="31" s="1"/>
  <c r="HP52" i="31"/>
  <c r="IZ52" i="31"/>
  <c r="NK53" i="31"/>
  <c r="NL53" i="31"/>
  <c r="NG54" i="31"/>
  <c r="OQ54" i="31"/>
  <c r="KV52" i="31" l="1"/>
  <c r="KW53" i="31" s="1"/>
  <c r="HQ52" i="31"/>
  <c r="HR53" i="31" s="1"/>
  <c r="KS53" i="31"/>
  <c r="OR54" i="31"/>
  <c r="HT52" i="31"/>
  <c r="HS52" i="31"/>
  <c r="JG52" i="31" s="1"/>
  <c r="NC54" i="31"/>
  <c r="MQ54" i="31"/>
  <c r="AX52" i="31"/>
  <c r="AY53" i="31" s="1"/>
  <c r="EN52" i="31"/>
  <c r="AZ52" i="31"/>
  <c r="EM52" i="31"/>
  <c r="EW52" i="31" s="1"/>
  <c r="BB53" i="31" l="1"/>
  <c r="DW52" i="31"/>
  <c r="DU53" i="31" s="1"/>
  <c r="IW52" i="31"/>
  <c r="EQ52" i="31"/>
  <c r="ER53" i="31"/>
  <c r="IU52" i="31"/>
  <c r="IV52" i="31" s="1"/>
  <c r="IC52" i="31"/>
  <c r="ID52" i="31" s="1"/>
  <c r="IF52" i="31" s="1"/>
  <c r="KH52" i="31" s="1"/>
  <c r="JB52" i="31"/>
  <c r="IM52" i="31" l="1"/>
  <c r="DB52" i="31"/>
  <c r="DC52" i="31" s="1"/>
  <c r="DD53" i="31" s="1"/>
  <c r="DE54" i="31" s="1"/>
  <c r="GM52" i="31"/>
  <c r="KI53" i="31"/>
  <c r="IN52" i="31"/>
  <c r="DF52" i="31"/>
  <c r="KB52" i="31"/>
  <c r="IX52" i="31"/>
  <c r="KK52" i="31"/>
  <c r="EU53" i="31"/>
  <c r="BC53" i="31"/>
  <c r="GT54" i="31" l="1"/>
  <c r="DT52" i="31"/>
  <c r="DZ52" i="31" s="1"/>
  <c r="FD52" i="31"/>
  <c r="GV52" i="31"/>
  <c r="GU52" i="31"/>
  <c r="KJ53" i="31"/>
  <c r="GR52" i="31"/>
  <c r="BE53" i="31"/>
  <c r="BD53" i="31"/>
  <c r="BF53" i="31" l="1"/>
  <c r="BG53" i="31"/>
  <c r="IS52" i="31"/>
  <c r="FL53" i="31"/>
  <c r="GS52" i="31"/>
  <c r="GX52" i="31" l="1"/>
  <c r="GW52" i="31"/>
  <c r="HC52" i="31" s="1"/>
  <c r="FA53" i="31" s="1"/>
  <c r="HB53" i="31" s="1"/>
  <c r="GY52" i="31"/>
  <c r="FM53" i="31"/>
  <c r="JH52" i="31"/>
  <c r="JI52" i="31" s="1"/>
  <c r="IT52" i="31"/>
  <c r="BI53" i="31"/>
  <c r="BK53" i="31" s="1"/>
  <c r="BH53" i="31"/>
  <c r="BL53" i="31" l="1"/>
  <c r="BM53" i="31"/>
  <c r="JK52" i="31"/>
  <c r="JZ52" i="31" s="1"/>
  <c r="KF52" i="31" s="1"/>
  <c r="IQ53" i="31" s="1"/>
  <c r="BJ53" i="31"/>
  <c r="EY52" i="31"/>
  <c r="EG52" i="31"/>
  <c r="EH53" i="31" s="1"/>
  <c r="EI53" i="31" s="1"/>
  <c r="FK53" i="31" s="1"/>
  <c r="HM52" i="31"/>
  <c r="HK53" i="31"/>
  <c r="JM52" i="31" l="1"/>
  <c r="KD52" i="31" s="1"/>
  <c r="IL53" i="31" s="1"/>
  <c r="JE53" i="31" s="1"/>
  <c r="JN52" i="31"/>
  <c r="JV52" i="31" s="1"/>
  <c r="JF53" i="31" s="1"/>
  <c r="JY53" i="31" s="1"/>
  <c r="JL52" i="31"/>
  <c r="JJ53" i="31" s="1"/>
  <c r="KA53" i="31"/>
  <c r="EZ52" i="31"/>
  <c r="DG52" i="31"/>
  <c r="DH52" i="31" s="1"/>
  <c r="DI53" i="31" s="1"/>
  <c r="BN53" i="31"/>
  <c r="BO53" i="31"/>
  <c r="ED52" i="31"/>
  <c r="EB53" i="31" s="1"/>
  <c r="EE52" i="31"/>
  <c r="EF53" i="31" s="1"/>
  <c r="EJ52" i="31"/>
  <c r="EK53" i="31" s="1"/>
  <c r="JW53" i="31" l="1"/>
  <c r="IP53" i="31"/>
  <c r="IR53" i="31"/>
  <c r="JO53" i="31"/>
  <c r="JC53" i="31"/>
  <c r="JD53" i="31"/>
  <c r="FC53" i="31"/>
  <c r="EP53" i="31"/>
  <c r="ET54" i="31" s="1"/>
  <c r="EO53" i="31"/>
  <c r="ES54" i="31" s="1"/>
  <c r="EL53" i="31"/>
  <c r="JX53" i="31" s="1"/>
  <c r="EV53" i="31"/>
  <c r="IY53" i="31"/>
  <c r="HZ53" i="31"/>
  <c r="IO53" i="31"/>
  <c r="GZ53" i="31"/>
  <c r="DJ53" i="31"/>
  <c r="DK53" i="31" s="1"/>
  <c r="JA53" i="31"/>
  <c r="BP53" i="31"/>
  <c r="BQ53" i="31" s="1"/>
  <c r="DP53" i="31"/>
  <c r="KG53" i="31" l="1"/>
  <c r="IE53" i="31"/>
  <c r="JP53" i="31"/>
  <c r="JQ53" i="31" s="1"/>
  <c r="BR53" i="31"/>
  <c r="BS53" i="31"/>
  <c r="DX53" i="31"/>
  <c r="DM53" i="31"/>
  <c r="FQ53" i="31"/>
  <c r="EC53" i="31"/>
  <c r="DL53" i="31" l="1"/>
  <c r="L54" i="31"/>
  <c r="BT53" i="31"/>
  <c r="BU53" i="31"/>
  <c r="EX53" i="31"/>
  <c r="M53" i="31" s="1"/>
  <c r="FB53" i="31"/>
  <c r="BV53" i="31" l="1"/>
  <c r="BW53" i="31" s="1"/>
  <c r="MJ53" i="31"/>
  <c r="NS53" i="31" s="1"/>
  <c r="MB53" i="31"/>
  <c r="NM53" i="31" s="1"/>
  <c r="NN53" i="31" s="1"/>
  <c r="BY53" i="31" l="1"/>
  <c r="CA53" i="31" s="1"/>
  <c r="CC53" i="31" s="1"/>
  <c r="BX53" i="31"/>
  <c r="NT53" i="31"/>
  <c r="OU54" i="31"/>
  <c r="OV54" i="31"/>
  <c r="NW53" i="31"/>
  <c r="BZ53" i="31" l="1"/>
  <c r="CD53" i="31"/>
  <c r="CE53" i="31"/>
  <c r="CB53" i="31"/>
  <c r="NX53" i="31"/>
  <c r="FR53" i="31"/>
  <c r="CX53" i="31"/>
  <c r="FV53" i="31"/>
  <c r="NU53" i="31"/>
  <c r="NY53" i="31" l="1"/>
  <c r="NV53" i="31"/>
  <c r="OF53" i="31"/>
  <c r="OS54" i="31" s="1"/>
  <c r="MY53" i="31"/>
  <c r="NZ53" i="31"/>
  <c r="CY54" i="31"/>
  <c r="CF53" i="31"/>
  <c r="CG53" i="31"/>
  <c r="CI53" i="31" s="1"/>
  <c r="CH53" i="31" l="1"/>
  <c r="OB53" i="31"/>
  <c r="OT54" i="31" s="1"/>
  <c r="MZ54" i="31"/>
  <c r="OZ53" i="31"/>
  <c r="OM54" i="31"/>
  <c r="OO54" i="31"/>
  <c r="NF54" i="31"/>
  <c r="OI53" i="31"/>
  <c r="CJ53" i="31"/>
  <c r="CO53" i="31" s="1"/>
  <c r="CK53" i="31"/>
  <c r="OA53" i="31"/>
  <c r="MV54" i="31" s="1"/>
  <c r="CL53" i="31" l="1"/>
  <c r="CM53" i="31"/>
  <c r="CN53" i="31" s="1"/>
  <c r="OG54" i="31"/>
  <c r="KT54" i="31"/>
  <c r="PA53" i="31"/>
  <c r="OJ53" i="31"/>
  <c r="OW53" i="31"/>
  <c r="OX54" i="31"/>
  <c r="MR54" i="31"/>
  <c r="OC53" i="31"/>
  <c r="OD54" i="31" s="1"/>
  <c r="OH54" i="31" s="1"/>
  <c r="OK54" i="31" l="1"/>
  <c r="MS54" i="31"/>
  <c r="OY54" i="31"/>
  <c r="MW54" i="31"/>
  <c r="KM54" i="31"/>
  <c r="KO55" i="31" s="1"/>
  <c r="KL54" i="31"/>
  <c r="KN55" i="31" s="1"/>
  <c r="CP53" i="31"/>
  <c r="KP55" i="31" l="1"/>
  <c r="KR54" i="31"/>
  <c r="NJ54" i="31"/>
  <c r="NQ54" i="31"/>
  <c r="MT54" i="31"/>
  <c r="MO54" i="31"/>
  <c r="MU54" i="31"/>
  <c r="NH55" i="31"/>
  <c r="NI55" i="31" s="1"/>
  <c r="NP54" i="31"/>
  <c r="PE54" i="31"/>
  <c r="CQ53" i="31"/>
  <c r="FE53" i="31"/>
  <c r="FF53" i="31" s="1"/>
  <c r="GB53" i="31"/>
  <c r="GC53" i="31" s="1"/>
  <c r="HO53" i="31"/>
  <c r="FX53" i="31"/>
  <c r="FY53" i="31" s="1"/>
  <c r="FH53" i="31"/>
  <c r="FI53" i="31" s="1"/>
  <c r="FZ53" i="31"/>
  <c r="GA53" i="31" s="1"/>
  <c r="JR53" i="31"/>
  <c r="JS53" i="31" s="1"/>
  <c r="FU53" i="31"/>
  <c r="FW53" i="31" s="1"/>
  <c r="DQ53" i="31"/>
  <c r="DR53" i="31" s="1"/>
  <c r="GO53" i="31"/>
  <c r="FP53" i="31"/>
  <c r="FS53" i="31" s="1"/>
  <c r="KX53" i="31"/>
  <c r="KU53" i="31"/>
  <c r="MX54" i="31"/>
  <c r="KQ54" i="31"/>
  <c r="KS54" i="31" s="1"/>
  <c r="GN53" i="31" l="1"/>
  <c r="GQ53" i="31" s="1"/>
  <c r="NR54" i="31"/>
  <c r="HP53" i="31"/>
  <c r="IA53" i="31"/>
  <c r="IB53" i="31" s="1"/>
  <c r="IZ53" i="31"/>
  <c r="HA53" i="31"/>
  <c r="HY53" i="31"/>
  <c r="DY53" i="31"/>
  <c r="DS53" i="31"/>
  <c r="HW53" i="31"/>
  <c r="HX54" i="31" s="1"/>
  <c r="FG54" i="31"/>
  <c r="CR53" i="31"/>
  <c r="CS53" i="31"/>
  <c r="CT53" i="31"/>
  <c r="KC53" i="31"/>
  <c r="KE53" i="31"/>
  <c r="JU53" i="31"/>
  <c r="JT54" i="31"/>
  <c r="NK54" i="31"/>
  <c r="NL54" i="31"/>
  <c r="NG55" i="31"/>
  <c r="OQ55" i="31"/>
  <c r="NA54" i="31"/>
  <c r="NB54" i="31"/>
  <c r="HU53" i="31"/>
  <c r="HV54" i="31" s="1"/>
  <c r="FJ54" i="31"/>
  <c r="KV53" i="31" l="1"/>
  <c r="KW54" i="31" s="1"/>
  <c r="HQ53" i="31"/>
  <c r="HR54" i="31" s="1"/>
  <c r="AX53" i="31"/>
  <c r="AY54" i="31" s="1"/>
  <c r="EN53" i="31"/>
  <c r="AZ53" i="31"/>
  <c r="EM53" i="31"/>
  <c r="EW53" i="31" s="1"/>
  <c r="OR55" i="31"/>
  <c r="NC55" i="31"/>
  <c r="MQ55" i="31"/>
  <c r="HT53" i="31"/>
  <c r="HS53" i="31"/>
  <c r="JG53" i="31" s="1"/>
  <c r="IC53" i="31" l="1"/>
  <c r="ID53" i="31" s="1"/>
  <c r="IF53" i="31" s="1"/>
  <c r="KH53" i="31" s="1"/>
  <c r="JB53" i="31"/>
  <c r="BB54" i="31"/>
  <c r="IW53" i="31"/>
  <c r="DW53" i="31"/>
  <c r="DU54" i="31" s="1"/>
  <c r="EQ53" i="31"/>
  <c r="ER54" i="31"/>
  <c r="IU53" i="31"/>
  <c r="IV53" i="31" s="1"/>
  <c r="BC54" i="31" l="1"/>
  <c r="KK53" i="31"/>
  <c r="KB53" i="31"/>
  <c r="IX53" i="31"/>
  <c r="IM53" i="31"/>
  <c r="DB53" i="31"/>
  <c r="DC53" i="31" s="1"/>
  <c r="DD54" i="31" s="1"/>
  <c r="DE55" i="31" s="1"/>
  <c r="GM53" i="31"/>
  <c r="KI54" i="31"/>
  <c r="IN53" i="31"/>
  <c r="DF53" i="31"/>
  <c r="EU54" i="31"/>
  <c r="DT53" i="31" l="1"/>
  <c r="DZ53" i="31" s="1"/>
  <c r="GT55" i="31"/>
  <c r="KJ54" i="31"/>
  <c r="GR53" i="31"/>
  <c r="FD53" i="31"/>
  <c r="GU53" i="31"/>
  <c r="GV53" i="31"/>
  <c r="BD54" i="31"/>
  <c r="BE54" i="31"/>
  <c r="IS53" i="31" l="1"/>
  <c r="FL54" i="31"/>
  <c r="GS53" i="31"/>
  <c r="BF54" i="31"/>
  <c r="BG54" i="31"/>
  <c r="GW53" i="31" l="1"/>
  <c r="HC53" i="31" s="1"/>
  <c r="FA54" i="31" s="1"/>
  <c r="HB54" i="31" s="1"/>
  <c r="GY53" i="31"/>
  <c r="GX53" i="31"/>
  <c r="FM54" i="31"/>
  <c r="BI54" i="31"/>
  <c r="BK54" i="31" s="1"/>
  <c r="BH54" i="31"/>
  <c r="JH53" i="31"/>
  <c r="JI53" i="31" s="1"/>
  <c r="IT53" i="31"/>
  <c r="JK53" i="31" l="1"/>
  <c r="JN53" i="31" s="1"/>
  <c r="JV53" i="31" s="1"/>
  <c r="JF54" i="31" s="1"/>
  <c r="EY53" i="31"/>
  <c r="EG53" i="31"/>
  <c r="EH54" i="31" s="1"/>
  <c r="EI54" i="31" s="1"/>
  <c r="FK54" i="31" s="1"/>
  <c r="HM53" i="31"/>
  <c r="HK54" i="31"/>
  <c r="BL54" i="31"/>
  <c r="BM54" i="31"/>
  <c r="BJ54" i="31"/>
  <c r="JM53" i="31" l="1"/>
  <c r="KD53" i="31" s="1"/>
  <c r="IL54" i="31" s="1"/>
  <c r="EE53" i="31"/>
  <c r="EF54" i="31" s="1"/>
  <c r="ED53" i="31"/>
  <c r="EB54" i="31" s="1"/>
  <c r="EJ53" i="31"/>
  <c r="EK54" i="31" s="1"/>
  <c r="EZ53" i="31"/>
  <c r="DG53" i="31"/>
  <c r="DH53" i="31" s="1"/>
  <c r="DI54" i="31" s="1"/>
  <c r="BN54" i="31"/>
  <c r="BO54" i="31"/>
  <c r="JW54" i="31"/>
  <c r="JY54" i="31"/>
  <c r="JZ53" i="31"/>
  <c r="KF53" i="31" s="1"/>
  <c r="IQ54" i="31" s="1"/>
  <c r="JL53" i="31"/>
  <c r="JJ54" i="31" s="1"/>
  <c r="KA54" i="31"/>
  <c r="IP54" i="31" l="1"/>
  <c r="IO54" i="31"/>
  <c r="JA54" i="31"/>
  <c r="JE54" i="31"/>
  <c r="IR54" i="31"/>
  <c r="JO54" i="31"/>
  <c r="IY54" i="31"/>
  <c r="DP54" i="31"/>
  <c r="JC54" i="31"/>
  <c r="JD54" i="31"/>
  <c r="HZ54" i="31"/>
  <c r="EP54" i="31"/>
  <c r="ET55" i="31" s="1"/>
  <c r="EO54" i="31"/>
  <c r="ES55" i="31" s="1"/>
  <c r="FC54" i="31"/>
  <c r="EL54" i="31"/>
  <c r="EV54" i="31"/>
  <c r="BP54" i="31"/>
  <c r="BQ54" i="31" s="1"/>
  <c r="DJ54" i="31"/>
  <c r="DK54" i="31" s="1"/>
  <c r="GZ54" i="31"/>
  <c r="IE54" i="31" s="1"/>
  <c r="JP54" i="31" l="1"/>
  <c r="JQ54" i="31" s="1"/>
  <c r="BR54" i="31"/>
  <c r="BS54" i="31"/>
  <c r="EC54" i="31"/>
  <c r="DX54" i="31"/>
  <c r="DM54" i="31"/>
  <c r="FQ54" i="31"/>
  <c r="KG54" i="31"/>
  <c r="JX54" i="31"/>
  <c r="DL54" i="31" l="1"/>
  <c r="L55" i="31"/>
  <c r="EX54" i="31"/>
  <c r="M54" i="31" s="1"/>
  <c r="FB54" i="31"/>
  <c r="BT54" i="31"/>
  <c r="BU54" i="31"/>
  <c r="BV54" i="31" l="1"/>
  <c r="BW54" i="31" s="1"/>
  <c r="MJ54" i="31"/>
  <c r="NS54" i="31" s="1"/>
  <c r="MB54" i="31"/>
  <c r="NM54" i="31" s="1"/>
  <c r="NN54" i="31" s="1"/>
  <c r="BY54" i="31" l="1"/>
  <c r="CA54" i="31" s="1"/>
  <c r="CC54" i="31" s="1"/>
  <c r="BX54" i="31"/>
  <c r="OV55" i="31"/>
  <c r="NW54" i="31"/>
  <c r="NT54" i="31"/>
  <c r="OU55" i="31"/>
  <c r="BZ54" i="31" l="1"/>
  <c r="FV54" i="31"/>
  <c r="FR54" i="31"/>
  <c r="CX54" i="31"/>
  <c r="NU54" i="31"/>
  <c r="NX54" i="31"/>
  <c r="OF54" i="31" s="1"/>
  <c r="OS55" i="31" s="1"/>
  <c r="CD54" i="31"/>
  <c r="CE54" i="31"/>
  <c r="CB54" i="31"/>
  <c r="NV54" i="31" l="1"/>
  <c r="MY54" i="31"/>
  <c r="NZ54" i="31"/>
  <c r="CY55" i="31"/>
  <c r="CF54" i="31"/>
  <c r="CG54" i="31"/>
  <c r="CI54" i="31" s="1"/>
  <c r="NY54" i="31"/>
  <c r="OB54" i="31" l="1"/>
  <c r="OT55" i="31" s="1"/>
  <c r="OO55" i="31"/>
  <c r="NF55" i="31"/>
  <c r="OM55" i="31"/>
  <c r="OA54" i="31"/>
  <c r="MV55" i="31" s="1"/>
  <c r="OI54" i="31"/>
  <c r="MZ55" i="31"/>
  <c r="OZ54" i="31"/>
  <c r="CJ54" i="31"/>
  <c r="CO54" i="31" s="1"/>
  <c r="CK54" i="31"/>
  <c r="CH54" i="31"/>
  <c r="CL54" i="31" l="1"/>
  <c r="CM54" i="31"/>
  <c r="CN54" i="31" s="1"/>
  <c r="OW54" i="31"/>
  <c r="OX55" i="31"/>
  <c r="MR55" i="31"/>
  <c r="KT55" i="31"/>
  <c r="OG55" i="31"/>
  <c r="OC54" i="31"/>
  <c r="OD55" i="31" s="1"/>
  <c r="OH55" i="31" s="1"/>
  <c r="PA54" i="31"/>
  <c r="OJ54" i="31"/>
  <c r="MS55" i="31" l="1"/>
  <c r="OY55" i="31"/>
  <c r="MW55" i="31"/>
  <c r="KM55" i="31"/>
  <c r="KO56" i="31" s="1"/>
  <c r="KL55" i="31"/>
  <c r="KN56" i="31" s="1"/>
  <c r="OK55" i="31"/>
  <c r="CP54" i="31"/>
  <c r="MX55" i="31" l="1"/>
  <c r="GB54" i="31"/>
  <c r="GC54" i="31" s="1"/>
  <c r="DQ54" i="31"/>
  <c r="DR54" i="31" s="1"/>
  <c r="FU54" i="31"/>
  <c r="FW54" i="31" s="1"/>
  <c r="FX54" i="31"/>
  <c r="FY54" i="31" s="1"/>
  <c r="FZ54" i="31"/>
  <c r="GA54" i="31" s="1"/>
  <c r="CQ54" i="31"/>
  <c r="FH54" i="31"/>
  <c r="FI54" i="31" s="1"/>
  <c r="FE54" i="31"/>
  <c r="FF54" i="31" s="1"/>
  <c r="FP54" i="31"/>
  <c r="FS54" i="31" s="1"/>
  <c r="HO54" i="31"/>
  <c r="JR54" i="31"/>
  <c r="JS54" i="31" s="1"/>
  <c r="GO54" i="31"/>
  <c r="KX54" i="31"/>
  <c r="KU54" i="31"/>
  <c r="KP56" i="31"/>
  <c r="KR55" i="31"/>
  <c r="KQ55" i="31"/>
  <c r="NH56" i="31"/>
  <c r="NI56" i="31" s="1"/>
  <c r="NQ55" i="31"/>
  <c r="MU55" i="31"/>
  <c r="NJ55" i="31"/>
  <c r="MT55" i="31"/>
  <c r="MO55" i="31"/>
  <c r="NP55" i="31"/>
  <c r="PE55" i="31"/>
  <c r="GN54" i="31" l="1"/>
  <c r="KV54" i="31" s="1"/>
  <c r="KS55" i="31"/>
  <c r="HP54" i="31"/>
  <c r="IA54" i="31"/>
  <c r="IB54" i="31" s="1"/>
  <c r="IZ54" i="31"/>
  <c r="DS54" i="31"/>
  <c r="DY54" i="31"/>
  <c r="HY54" i="31"/>
  <c r="HA54" i="31"/>
  <c r="HW54" i="31"/>
  <c r="HX55" i="31" s="1"/>
  <c r="FG55" i="31"/>
  <c r="JU54" i="31"/>
  <c r="KC54" i="31"/>
  <c r="KE54" i="31"/>
  <c r="JT55" i="31"/>
  <c r="NK55" i="31"/>
  <c r="NL55" i="31"/>
  <c r="NG56" i="31"/>
  <c r="OQ56" i="31"/>
  <c r="HU54" i="31"/>
  <c r="HV55" i="31" s="1"/>
  <c r="FJ55" i="31"/>
  <c r="CT54" i="31"/>
  <c r="CS54" i="31"/>
  <c r="CR54" i="31"/>
  <c r="NA55" i="31"/>
  <c r="NB55" i="31"/>
  <c r="NR55" i="31"/>
  <c r="GQ54" i="31" l="1"/>
  <c r="KW55" i="31"/>
  <c r="HQ54" i="31"/>
  <c r="HR55" i="31" s="1"/>
  <c r="AX54" i="31"/>
  <c r="AY55" i="31" s="1"/>
  <c r="EN54" i="31"/>
  <c r="EM54" i="31"/>
  <c r="EW54" i="31" s="1"/>
  <c r="AZ54" i="31"/>
  <c r="OR56" i="31"/>
  <c r="NC56" i="31"/>
  <c r="MQ56" i="31"/>
  <c r="HS54" i="31"/>
  <c r="JG54" i="31" s="1"/>
  <c r="HT54" i="31"/>
  <c r="IC54" i="31" l="1"/>
  <c r="ID54" i="31" s="1"/>
  <c r="IF54" i="31" s="1"/>
  <c r="KH54" i="31" s="1"/>
  <c r="JB54" i="31"/>
  <c r="BB55" i="31"/>
  <c r="DW54" i="31"/>
  <c r="DU55" i="31" s="1"/>
  <c r="IW54" i="31"/>
  <c r="EQ54" i="31"/>
  <c r="ER55" i="31"/>
  <c r="IU54" i="31"/>
  <c r="IV54" i="31" s="1"/>
  <c r="BC55" i="31" l="1"/>
  <c r="KB54" i="31"/>
  <c r="IX54" i="31"/>
  <c r="KK54" i="31"/>
  <c r="EU55" i="31"/>
  <c r="GM54" i="31"/>
  <c r="IM54" i="31"/>
  <c r="DB54" i="31"/>
  <c r="DC54" i="31" s="1"/>
  <c r="DD55" i="31" s="1"/>
  <c r="DE56" i="31" s="1"/>
  <c r="KI55" i="31"/>
  <c r="IN54" i="31"/>
  <c r="DF54" i="31"/>
  <c r="GT56" i="31" l="1"/>
  <c r="GV54" i="31"/>
  <c r="FD54" i="31"/>
  <c r="GU54" i="31"/>
  <c r="GR54" i="31"/>
  <c r="KJ55" i="31"/>
  <c r="DT54" i="31"/>
  <c r="DZ54" i="31" s="1"/>
  <c r="BD55" i="31"/>
  <c r="BE55" i="31"/>
  <c r="GS54" i="31" l="1"/>
  <c r="BG55" i="31"/>
  <c r="BF55" i="31"/>
  <c r="IS54" i="31"/>
  <c r="FL55" i="31"/>
  <c r="JH54" i="31" l="1"/>
  <c r="JI54" i="31" s="1"/>
  <c r="IT54" i="31"/>
  <c r="FM55" i="31"/>
  <c r="BH55" i="31"/>
  <c r="BI55" i="31"/>
  <c r="BK55" i="31" s="1"/>
  <c r="GY54" i="31"/>
  <c r="GW54" i="31"/>
  <c r="HC54" i="31" s="1"/>
  <c r="FA55" i="31" s="1"/>
  <c r="HB55" i="31" s="1"/>
  <c r="GX54" i="31"/>
  <c r="EY54" i="31" l="1"/>
  <c r="HM54" i="31"/>
  <c r="EG54" i="31"/>
  <c r="EH55" i="31" s="1"/>
  <c r="EI55" i="31" s="1"/>
  <c r="FK55" i="31" s="1"/>
  <c r="HK55" i="31"/>
  <c r="BL55" i="31"/>
  <c r="BM55" i="31"/>
  <c r="BJ55" i="31"/>
  <c r="JK54" i="31"/>
  <c r="JZ54" i="31" s="1"/>
  <c r="KF54" i="31" s="1"/>
  <c r="IQ55" i="31" s="1"/>
  <c r="JM54" i="31" l="1"/>
  <c r="KD54" i="31" s="1"/>
  <c r="IL55" i="31" s="1"/>
  <c r="IR55" i="31" s="1"/>
  <c r="JN54" i="31"/>
  <c r="JV54" i="31" s="1"/>
  <c r="JF55" i="31" s="1"/>
  <c r="JY55" i="31" s="1"/>
  <c r="JL54" i="31"/>
  <c r="JJ55" i="31" s="1"/>
  <c r="KA55" i="31"/>
  <c r="ED54" i="31"/>
  <c r="EB55" i="31" s="1"/>
  <c r="JA55" i="31" s="1"/>
  <c r="EE54" i="31"/>
  <c r="EF55" i="31" s="1"/>
  <c r="EJ54" i="31"/>
  <c r="EK55" i="31" s="1"/>
  <c r="BN55" i="31"/>
  <c r="BO55" i="31"/>
  <c r="EZ54" i="31"/>
  <c r="DG54" i="31"/>
  <c r="DH54" i="31" s="1"/>
  <c r="DI55" i="31" s="1"/>
  <c r="JO55" i="31" l="1"/>
  <c r="JE55" i="31"/>
  <c r="JW55" i="31"/>
  <c r="IP55" i="31"/>
  <c r="IY55" i="31"/>
  <c r="GZ55" i="31"/>
  <c r="IE55" i="31" s="1"/>
  <c r="DJ55" i="31"/>
  <c r="DK55" i="31" s="1"/>
  <c r="IO55" i="31"/>
  <c r="EO55" i="31"/>
  <c r="ES56" i="31" s="1"/>
  <c r="EL55" i="31"/>
  <c r="FC55" i="31"/>
  <c r="EP55" i="31"/>
  <c r="ET56" i="31" s="1"/>
  <c r="EV55" i="31"/>
  <c r="HZ55" i="31"/>
  <c r="DP55" i="31"/>
  <c r="JC55" i="31"/>
  <c r="JD55" i="31"/>
  <c r="BP55" i="31"/>
  <c r="BQ55" i="31" s="1"/>
  <c r="JX55" i="31" l="1"/>
  <c r="JP55" i="31"/>
  <c r="JQ55" i="31" s="1"/>
  <c r="BR55" i="31"/>
  <c r="BS55" i="31"/>
  <c r="DM55" i="31"/>
  <c r="DX55" i="31"/>
  <c r="FQ55" i="31"/>
  <c r="EC55" i="31"/>
  <c r="KG55" i="31"/>
  <c r="DL55" i="31" l="1"/>
  <c r="L56" i="31"/>
  <c r="BT55" i="31"/>
  <c r="BU55" i="31"/>
  <c r="EX55" i="31"/>
  <c r="M55" i="31" s="1"/>
  <c r="FB55" i="31"/>
  <c r="BV55" i="31" l="1"/>
  <c r="BW55" i="31" s="1"/>
  <c r="MJ55" i="31"/>
  <c r="NS55" i="31" s="1"/>
  <c r="MB55" i="31"/>
  <c r="BX55" i="31" l="1"/>
  <c r="BY55" i="31"/>
  <c r="NM55" i="31"/>
  <c r="NN55" i="31" s="1"/>
  <c r="NT55" i="31"/>
  <c r="OU56" i="31"/>
  <c r="BZ55" i="31" l="1"/>
  <c r="CA55" i="31"/>
  <c r="CC55" i="31" s="1"/>
  <c r="CD55" i="31" s="1"/>
  <c r="NW55" i="31"/>
  <c r="NX55" i="31" s="1"/>
  <c r="OF55" i="31" s="1"/>
  <c r="OS56" i="31" s="1"/>
  <c r="OV56" i="31"/>
  <c r="FR55" i="31"/>
  <c r="CX55" i="31"/>
  <c r="FV55" i="31"/>
  <c r="NU55" i="31"/>
  <c r="CB55" i="31" l="1"/>
  <c r="CE55" i="31"/>
  <c r="CF55" i="31" s="1"/>
  <c r="NV55" i="31"/>
  <c r="MY55" i="31"/>
  <c r="NZ55" i="31"/>
  <c r="CY56" i="31"/>
  <c r="NY55" i="31"/>
  <c r="OI55" i="31" l="1"/>
  <c r="MR56" i="31" s="1"/>
  <c r="CG55" i="31"/>
  <c r="CI55" i="31" s="1"/>
  <c r="CJ55" i="31" s="1"/>
  <c r="CO55" i="31" s="1"/>
  <c r="OO56" i="31"/>
  <c r="OM56" i="31"/>
  <c r="NF56" i="31"/>
  <c r="OB55" i="31"/>
  <c r="OT56" i="31" s="1"/>
  <c r="MZ56" i="31"/>
  <c r="OZ55" i="31"/>
  <c r="OA55" i="31"/>
  <c r="MV56" i="31" s="1"/>
  <c r="CK55" i="31" l="1"/>
  <c r="CM55" i="31" s="1"/>
  <c r="CN55" i="31" s="1"/>
  <c r="OW55" i="31"/>
  <c r="OX56" i="31"/>
  <c r="CH55" i="31"/>
  <c r="PA55" i="31"/>
  <c r="KT56" i="31"/>
  <c r="OG56" i="31"/>
  <c r="OC55" i="31"/>
  <c r="OD56" i="31" s="1"/>
  <c r="OH56" i="31" s="1"/>
  <c r="OJ55" i="31"/>
  <c r="MS56" i="31"/>
  <c r="CL55" i="31" l="1"/>
  <c r="CP55" i="31" s="1"/>
  <c r="GB55" i="31" s="1"/>
  <c r="GC55" i="31" s="1"/>
  <c r="MO56" i="31"/>
  <c r="NQ56" i="31"/>
  <c r="MU56" i="31"/>
  <c r="MT56" i="31"/>
  <c r="NJ56" i="31"/>
  <c r="NH57" i="31"/>
  <c r="NI57" i="31" s="1"/>
  <c r="NP56" i="31"/>
  <c r="PE56" i="31"/>
  <c r="KL56" i="31"/>
  <c r="KN57" i="31" s="1"/>
  <c r="KM56" i="31"/>
  <c r="KO57" i="31" s="1"/>
  <c r="OK56" i="31"/>
  <c r="OY56" i="31"/>
  <c r="MW56" i="31"/>
  <c r="HO55" i="31" l="1"/>
  <c r="HP55" i="31" s="1"/>
  <c r="FP55" i="31"/>
  <c r="FS55" i="31" s="1"/>
  <c r="HY55" i="31" s="1"/>
  <c r="FZ55" i="31"/>
  <c r="GA55" i="31" s="1"/>
  <c r="GO55" i="31"/>
  <c r="JR55" i="31"/>
  <c r="JS55" i="31" s="1"/>
  <c r="KE55" i="31" s="1"/>
  <c r="CQ55" i="31"/>
  <c r="CR55" i="31" s="1"/>
  <c r="KU55" i="31"/>
  <c r="FH55" i="31"/>
  <c r="FI55" i="31" s="1"/>
  <c r="FJ56" i="31" s="1"/>
  <c r="KX55" i="31"/>
  <c r="DQ55" i="31"/>
  <c r="DR55" i="31" s="1"/>
  <c r="DS55" i="31" s="1"/>
  <c r="FX55" i="31"/>
  <c r="FY55" i="31" s="1"/>
  <c r="FE55" i="31"/>
  <c r="FF55" i="31" s="1"/>
  <c r="FG56" i="31" s="1"/>
  <c r="FU55" i="31"/>
  <c r="FW55" i="31" s="1"/>
  <c r="MX56" i="31"/>
  <c r="NL56" i="31"/>
  <c r="NK56" i="31"/>
  <c r="NG57" i="31"/>
  <c r="OQ57" i="31"/>
  <c r="KP57" i="31"/>
  <c r="KR56" i="31"/>
  <c r="NR56" i="31"/>
  <c r="KQ56" i="31"/>
  <c r="GN55" i="31" l="1"/>
  <c r="KV55" i="31" s="1"/>
  <c r="IA55" i="31"/>
  <c r="IB55" i="31" s="1"/>
  <c r="IZ55" i="31"/>
  <c r="HU55" i="31"/>
  <c r="HV56" i="31" s="1"/>
  <c r="JT56" i="31"/>
  <c r="HA55" i="31"/>
  <c r="KC55" i="31"/>
  <c r="DY55" i="31"/>
  <c r="JU55" i="31"/>
  <c r="CT55" i="31"/>
  <c r="CS55" i="31"/>
  <c r="HW55" i="31"/>
  <c r="HX56" i="31" s="1"/>
  <c r="KS56" i="31"/>
  <c r="OR57" i="31"/>
  <c r="NC57" i="31"/>
  <c r="MQ57" i="31"/>
  <c r="HS55" i="31"/>
  <c r="JG55" i="31" s="1"/>
  <c r="HT55" i="31"/>
  <c r="AX55" i="31"/>
  <c r="AY56" i="31" s="1"/>
  <c r="AZ55" i="31"/>
  <c r="EN55" i="31"/>
  <c r="EM55" i="31"/>
  <c r="EW55" i="31" s="1"/>
  <c r="NB56" i="31"/>
  <c r="NA56" i="31"/>
  <c r="GQ55" i="31" l="1"/>
  <c r="KW56" i="31"/>
  <c r="HQ55" i="31"/>
  <c r="HR56" i="31" s="1"/>
  <c r="IC55" i="31"/>
  <c r="ID55" i="31" s="1"/>
  <c r="IF55" i="31" s="1"/>
  <c r="KH55" i="31" s="1"/>
  <c r="JB55" i="31"/>
  <c r="BB56" i="31"/>
  <c r="EQ55" i="31"/>
  <c r="DW55" i="31"/>
  <c r="DU56" i="31" s="1"/>
  <c r="IW55" i="31"/>
  <c r="ER56" i="31"/>
  <c r="IU55" i="31"/>
  <c r="IV55" i="31" s="1"/>
  <c r="BC56" i="31" l="1"/>
  <c r="IM55" i="31"/>
  <c r="GM55" i="31"/>
  <c r="DB55" i="31"/>
  <c r="DC55" i="31" s="1"/>
  <c r="DD56" i="31" s="1"/>
  <c r="DE57" i="31" s="1"/>
  <c r="KI56" i="31"/>
  <c r="IN55" i="31"/>
  <c r="DF55" i="31"/>
  <c r="KB55" i="31"/>
  <c r="IX55" i="31"/>
  <c r="KK55" i="31"/>
  <c r="EU56" i="31"/>
  <c r="GT57" i="31" l="1"/>
  <c r="DT55" i="31"/>
  <c r="DZ55" i="31" s="1"/>
  <c r="GU55" i="31"/>
  <c r="GV55" i="31"/>
  <c r="FD55" i="31"/>
  <c r="KJ56" i="31"/>
  <c r="GR55" i="31"/>
  <c r="BE56" i="31"/>
  <c r="BD56" i="31"/>
  <c r="IS55" i="31" l="1"/>
  <c r="FL56" i="31"/>
  <c r="BF56" i="31"/>
  <c r="BG56" i="31"/>
  <c r="GS55" i="31"/>
  <c r="GW55" i="31" l="1"/>
  <c r="HC55" i="31" s="1"/>
  <c r="FA56" i="31" s="1"/>
  <c r="HB56" i="31" s="1"/>
  <c r="GY55" i="31"/>
  <c r="GX55" i="31"/>
  <c r="BH56" i="31"/>
  <c r="BI56" i="31"/>
  <c r="BK56" i="31" s="1"/>
  <c r="FM56" i="31"/>
  <c r="JH55" i="31"/>
  <c r="JI55" i="31" s="1"/>
  <c r="IT55" i="31"/>
  <c r="BL56" i="31" l="1"/>
  <c r="BM56" i="31"/>
  <c r="EG55" i="31"/>
  <c r="EH56" i="31" s="1"/>
  <c r="EI56" i="31" s="1"/>
  <c r="FK56" i="31" s="1"/>
  <c r="HM55" i="31"/>
  <c r="EY55" i="31"/>
  <c r="HK56" i="31"/>
  <c r="BJ56" i="31"/>
  <c r="JK55" i="31"/>
  <c r="JN55" i="31" s="1"/>
  <c r="JV55" i="31" s="1"/>
  <c r="JF56" i="31" s="1"/>
  <c r="JM55" i="31" l="1"/>
  <c r="KD55" i="31" s="1"/>
  <c r="IL56" i="31" s="1"/>
  <c r="JW56" i="31"/>
  <c r="JY56" i="31"/>
  <c r="JZ55" i="31"/>
  <c r="KF55" i="31" s="1"/>
  <c r="IQ56" i="31" s="1"/>
  <c r="JL55" i="31"/>
  <c r="JJ56" i="31" s="1"/>
  <c r="KA56" i="31"/>
  <c r="BN56" i="31"/>
  <c r="BO56" i="31"/>
  <c r="EJ55" i="31"/>
  <c r="EK56" i="31" s="1"/>
  <c r="ED55" i="31"/>
  <c r="EB56" i="31" s="1"/>
  <c r="EE55" i="31"/>
  <c r="EF56" i="31" s="1"/>
  <c r="EZ55" i="31"/>
  <c r="DG55" i="31"/>
  <c r="DH55" i="31" s="1"/>
  <c r="DI56" i="31" s="1"/>
  <c r="EO56" i="31" l="1"/>
  <c r="ES57" i="31" s="1"/>
  <c r="EP56" i="31"/>
  <c r="ET57" i="31" s="1"/>
  <c r="FC56" i="31"/>
  <c r="EL56" i="31"/>
  <c r="EV56" i="31"/>
  <c r="JC56" i="31"/>
  <c r="JD56" i="31"/>
  <c r="GZ56" i="31"/>
  <c r="IE56" i="31" s="1"/>
  <c r="DJ56" i="31"/>
  <c r="DK56" i="31" s="1"/>
  <c r="IY56" i="31"/>
  <c r="JA56" i="31"/>
  <c r="JE56" i="31"/>
  <c r="IR56" i="31"/>
  <c r="JO56" i="31"/>
  <c r="IP56" i="31"/>
  <c r="IO56" i="31"/>
  <c r="HZ56" i="31"/>
  <c r="DP56" i="31"/>
  <c r="BP56" i="31"/>
  <c r="BQ56" i="31" s="1"/>
  <c r="BR56" i="31" l="1"/>
  <c r="BS56" i="31"/>
  <c r="JP56" i="31"/>
  <c r="JQ56" i="31" s="1"/>
  <c r="EC56" i="31"/>
  <c r="FQ56" i="31"/>
  <c r="DM56" i="31"/>
  <c r="DX56" i="31"/>
  <c r="KG56" i="31"/>
  <c r="JX56" i="31"/>
  <c r="DL56" i="31" l="1"/>
  <c r="L57" i="31"/>
  <c r="EX56" i="31"/>
  <c r="M56" i="31" s="1"/>
  <c r="FB56" i="31"/>
  <c r="BT56" i="31"/>
  <c r="BU56" i="31"/>
  <c r="BV56" i="31" l="1"/>
  <c r="BW56" i="31" s="1"/>
  <c r="MJ56" i="31"/>
  <c r="NS56" i="31" s="1"/>
  <c r="MB56" i="31"/>
  <c r="NM56" i="31" s="1"/>
  <c r="NN56" i="31" s="1"/>
  <c r="BX56" i="31" l="1"/>
  <c r="BY56" i="31"/>
  <c r="NT56" i="31"/>
  <c r="OU57" i="31"/>
  <c r="OV57" i="31"/>
  <c r="NW56" i="31"/>
  <c r="BZ56" i="31" l="1"/>
  <c r="CA56" i="31"/>
  <c r="CC56" i="31" s="1"/>
  <c r="CD56" i="31" s="1"/>
  <c r="NX56" i="31"/>
  <c r="FV56" i="31"/>
  <c r="FR56" i="31"/>
  <c r="CX56" i="31"/>
  <c r="NU56" i="31"/>
  <c r="CE56" i="31" l="1"/>
  <c r="CF56" i="31" s="1"/>
  <c r="CB56" i="31"/>
  <c r="NY56" i="31"/>
  <c r="OF56" i="31"/>
  <c r="OS57" i="31" s="1"/>
  <c r="MY56" i="31"/>
  <c r="NZ56" i="31"/>
  <c r="CY57" i="31"/>
  <c r="NV56" i="31"/>
  <c r="CG56" i="31" l="1"/>
  <c r="CI56" i="31" s="1"/>
  <c r="CJ56" i="31" s="1"/>
  <c r="CO56" i="31" s="1"/>
  <c r="OI56" i="31"/>
  <c r="MZ57" i="31"/>
  <c r="OZ56" i="31"/>
  <c r="OB56" i="31"/>
  <c r="OT57" i="31" s="1"/>
  <c r="OO57" i="31"/>
  <c r="OM57" i="31"/>
  <c r="NF57" i="31"/>
  <c r="OA56" i="31"/>
  <c r="MV57" i="31" s="1"/>
  <c r="CH56" i="31" l="1"/>
  <c r="CK56" i="31"/>
  <c r="CL56" i="31" s="1"/>
  <c r="OJ56" i="31"/>
  <c r="MW57" i="31" s="1"/>
  <c r="PA56" i="31"/>
  <c r="KT57" i="31"/>
  <c r="OG57" i="31"/>
  <c r="OC56" i="31"/>
  <c r="OD57" i="31" s="1"/>
  <c r="OH57" i="31" s="1"/>
  <c r="OW56" i="31"/>
  <c r="MR57" i="31"/>
  <c r="OX57" i="31"/>
  <c r="CM56" i="31" l="1"/>
  <c r="CN56" i="31" s="1"/>
  <c r="CP56" i="31" s="1"/>
  <c r="OK57" i="31"/>
  <c r="OY57" i="31"/>
  <c r="MS57" i="31"/>
  <c r="MX57" i="31"/>
  <c r="KM57" i="31"/>
  <c r="KO58" i="31" s="1"/>
  <c r="KL57" i="31"/>
  <c r="KN58" i="31" s="1"/>
  <c r="NA57" i="31" l="1"/>
  <c r="NB57" i="31"/>
  <c r="CQ56" i="31"/>
  <c r="FU56" i="31"/>
  <c r="FW56" i="31" s="1"/>
  <c r="HO56" i="31"/>
  <c r="GB56" i="31"/>
  <c r="GC56" i="31" s="1"/>
  <c r="FX56" i="31"/>
  <c r="FY56" i="31" s="1"/>
  <c r="FE56" i="31"/>
  <c r="FF56" i="31" s="1"/>
  <c r="GO56" i="31"/>
  <c r="JR56" i="31"/>
  <c r="JS56" i="31" s="1"/>
  <c r="FH56" i="31"/>
  <c r="FI56" i="31" s="1"/>
  <c r="DQ56" i="31"/>
  <c r="DR56" i="31" s="1"/>
  <c r="FZ56" i="31"/>
  <c r="GA56" i="31" s="1"/>
  <c r="FP56" i="31"/>
  <c r="FS56" i="31" s="1"/>
  <c r="KX56" i="31"/>
  <c r="KU56" i="31"/>
  <c r="KQ57" i="31"/>
  <c r="KP58" i="31"/>
  <c r="KR57" i="31"/>
  <c r="MT57" i="31"/>
  <c r="MU57" i="31"/>
  <c r="NP57" i="31"/>
  <c r="NJ57" i="31"/>
  <c r="NQ57" i="31"/>
  <c r="NH58" i="31"/>
  <c r="NI58" i="31" s="1"/>
  <c r="MO57" i="31"/>
  <c r="PE57" i="31"/>
  <c r="GN56" i="31" l="1"/>
  <c r="GQ56" i="31" s="1"/>
  <c r="FG57" i="31"/>
  <c r="HW56" i="31"/>
  <c r="HX57" i="31" s="1"/>
  <c r="HY56" i="31"/>
  <c r="HA56" i="31"/>
  <c r="DY56" i="31"/>
  <c r="HP56" i="31"/>
  <c r="IA56" i="31"/>
  <c r="IB56" i="31" s="1"/>
  <c r="IZ56" i="31"/>
  <c r="DS56" i="31"/>
  <c r="HU56" i="31"/>
  <c r="HV57" i="31" s="1"/>
  <c r="FJ57" i="31"/>
  <c r="CR56" i="31"/>
  <c r="CT56" i="31"/>
  <c r="CS56" i="31"/>
  <c r="NR57" i="31"/>
  <c r="KS57" i="31"/>
  <c r="JU56" i="31"/>
  <c r="KC56" i="31"/>
  <c r="JT57" i="31"/>
  <c r="KE56" i="31"/>
  <c r="NK57" i="31"/>
  <c r="NL57" i="31"/>
  <c r="NG58" i="31"/>
  <c r="OQ58" i="31"/>
  <c r="KV56" i="31" l="1"/>
  <c r="KW57" i="31" s="1"/>
  <c r="HQ56" i="31"/>
  <c r="HR57" i="31" s="1"/>
  <c r="OR58" i="31"/>
  <c r="NC58" i="31"/>
  <c r="MQ58" i="31"/>
  <c r="HT56" i="31"/>
  <c r="HS56" i="31"/>
  <c r="JG56" i="31" s="1"/>
  <c r="AX56" i="31"/>
  <c r="AY57" i="31" s="1"/>
  <c r="EN56" i="31"/>
  <c r="EM56" i="31"/>
  <c r="EW56" i="31" s="1"/>
  <c r="AZ56" i="31"/>
  <c r="BB57" i="31" l="1"/>
  <c r="DW56" i="31"/>
  <c r="DU57" i="31" s="1"/>
  <c r="IW56" i="31"/>
  <c r="EQ56" i="31"/>
  <c r="ER57" i="31"/>
  <c r="IU56" i="31"/>
  <c r="IV56" i="31" s="1"/>
  <c r="IC56" i="31"/>
  <c r="ID56" i="31" s="1"/>
  <c r="IF56" i="31" s="1"/>
  <c r="KH56" i="31" s="1"/>
  <c r="JB56" i="31"/>
  <c r="KB56" i="31" l="1"/>
  <c r="IX56" i="31"/>
  <c r="KK56" i="31"/>
  <c r="IM56" i="31"/>
  <c r="DB56" i="31"/>
  <c r="DC56" i="31" s="1"/>
  <c r="DD57" i="31" s="1"/>
  <c r="DE58" i="31" s="1"/>
  <c r="GM56" i="31"/>
  <c r="KI57" i="31"/>
  <c r="IN56" i="31"/>
  <c r="DF56" i="31"/>
  <c r="EU57" i="31"/>
  <c r="BC57" i="31"/>
  <c r="DT56" i="31" l="1"/>
  <c r="DZ56" i="31" s="1"/>
  <c r="GT58" i="31"/>
  <c r="KJ57" i="31"/>
  <c r="GR56" i="31"/>
  <c r="BD57" i="31"/>
  <c r="BE57" i="31"/>
  <c r="FD56" i="31"/>
  <c r="GV56" i="31"/>
  <c r="GU56" i="31"/>
  <c r="BG57" i="31" l="1"/>
  <c r="BF57" i="31"/>
  <c r="GS56" i="31"/>
  <c r="IS56" i="31"/>
  <c r="FL57" i="31"/>
  <c r="FM57" i="31" l="1"/>
  <c r="JH56" i="31"/>
  <c r="JI56" i="31" s="1"/>
  <c r="IT56" i="31"/>
  <c r="GX56" i="31"/>
  <c r="GY56" i="31"/>
  <c r="GW56" i="31"/>
  <c r="HC56" i="31" s="1"/>
  <c r="FA57" i="31" s="1"/>
  <c r="HB57" i="31" s="1"/>
  <c r="BI57" i="31"/>
  <c r="BK57" i="31" s="1"/>
  <c r="BH57" i="31"/>
  <c r="BJ57" i="31" l="1"/>
  <c r="HM56" i="31"/>
  <c r="EY56" i="31"/>
  <c r="EG56" i="31"/>
  <c r="EH57" i="31" s="1"/>
  <c r="EI57" i="31" s="1"/>
  <c r="FK57" i="31" s="1"/>
  <c r="HK57" i="31"/>
  <c r="JK56" i="31"/>
  <c r="JM56" i="31" s="1"/>
  <c r="KD56" i="31" s="1"/>
  <c r="IL57" i="31" s="1"/>
  <c r="BL57" i="31"/>
  <c r="BM57" i="31"/>
  <c r="JZ56" i="31" l="1"/>
  <c r="KF56" i="31" s="1"/>
  <c r="IQ57" i="31" s="1"/>
  <c r="EZ56" i="31"/>
  <c r="DG56" i="31"/>
  <c r="DH56" i="31" s="1"/>
  <c r="DI57" i="31" s="1"/>
  <c r="JL56" i="31"/>
  <c r="JJ57" i="31" s="1"/>
  <c r="KA57" i="31"/>
  <c r="BN57" i="31"/>
  <c r="BO57" i="31"/>
  <c r="BP57" i="31" s="1"/>
  <c r="BQ57" i="31" s="1"/>
  <c r="JN56" i="31"/>
  <c r="JV56" i="31" s="1"/>
  <c r="JF57" i="31" s="1"/>
  <c r="EJ56" i="31"/>
  <c r="EK57" i="31" s="1"/>
  <c r="ED56" i="31"/>
  <c r="EB57" i="31" s="1"/>
  <c r="EE56" i="31"/>
  <c r="EF57" i="31" s="1"/>
  <c r="BR57" i="31" l="1"/>
  <c r="BS57" i="31"/>
  <c r="JA57" i="31"/>
  <c r="JE57" i="31"/>
  <c r="IY57" i="31"/>
  <c r="JO57" i="31"/>
  <c r="IR57" i="31"/>
  <c r="GZ57" i="31"/>
  <c r="IE57" i="31" s="1"/>
  <c r="DJ57" i="31"/>
  <c r="DK57" i="31" s="1"/>
  <c r="FC57" i="31"/>
  <c r="EL57" i="31"/>
  <c r="EP57" i="31"/>
  <c r="ET58" i="31" s="1"/>
  <c r="EO57" i="31"/>
  <c r="ES58" i="31" s="1"/>
  <c r="EV57" i="31"/>
  <c r="IO57" i="31"/>
  <c r="JC57" i="31"/>
  <c r="JD57" i="31"/>
  <c r="HZ57" i="31"/>
  <c r="IP57" i="31"/>
  <c r="DP57" i="31"/>
  <c r="JY57" i="31"/>
  <c r="JW57" i="31"/>
  <c r="KG57" i="31" l="1"/>
  <c r="EC57" i="31"/>
  <c r="JP57" i="31"/>
  <c r="JQ57" i="31" s="1"/>
  <c r="JX57" i="31"/>
  <c r="FQ57" i="31"/>
  <c r="DM57" i="31"/>
  <c r="DX57" i="31"/>
  <c r="BT57" i="31"/>
  <c r="BU57" i="31"/>
  <c r="BV57" i="31" s="1"/>
  <c r="BW57" i="31" l="1"/>
  <c r="BY57" i="31" s="1"/>
  <c r="DL57" i="31"/>
  <c r="L58" i="31"/>
  <c r="FB57" i="31"/>
  <c r="EX57" i="31"/>
  <c r="M57" i="31" s="1"/>
  <c r="BX57" i="31" l="1"/>
  <c r="BZ57" i="31" s="1"/>
  <c r="CA57" i="31"/>
  <c r="CC57" i="31" s="1"/>
  <c r="MJ57" i="31"/>
  <c r="NS57" i="31" s="1"/>
  <c r="MB57" i="31"/>
  <c r="NM57" i="31" s="1"/>
  <c r="NN57" i="31" s="1"/>
  <c r="OV58" i="31" l="1"/>
  <c r="NW57" i="31"/>
  <c r="NT57" i="31"/>
  <c r="OU58" i="31"/>
  <c r="CD57" i="31"/>
  <c r="CE57" i="31"/>
  <c r="CB57" i="31"/>
  <c r="FR57" i="31" l="1"/>
  <c r="CX57" i="31"/>
  <c r="FV57" i="31"/>
  <c r="NU57" i="31"/>
  <c r="NX57" i="31"/>
  <c r="CF57" i="31"/>
  <c r="CG57" i="31"/>
  <c r="CI57" i="31" s="1"/>
  <c r="NV57" i="31" l="1"/>
  <c r="CJ57" i="31"/>
  <c r="CO57" i="31" s="1"/>
  <c r="CK57" i="31"/>
  <c r="NZ57" i="31"/>
  <c r="MY57" i="31"/>
  <c r="CY58" i="31"/>
  <c r="NY57" i="31"/>
  <c r="OF57" i="31"/>
  <c r="OS58" i="31" s="1"/>
  <c r="CH57" i="31"/>
  <c r="OO58" i="31" l="1"/>
  <c r="NF58" i="31"/>
  <c r="OM58" i="31"/>
  <c r="CL57" i="31"/>
  <c r="CM57" i="31"/>
  <c r="CN57" i="31" s="1"/>
  <c r="OA57" i="31"/>
  <c r="MV58" i="31" s="1"/>
  <c r="OG58" i="31" s="1"/>
  <c r="OB57" i="31"/>
  <c r="OT58" i="31" s="1"/>
  <c r="OI57" i="31"/>
  <c r="MZ58" i="31"/>
  <c r="OZ57" i="31"/>
  <c r="CP57" i="31" l="1"/>
  <c r="OX58" i="31"/>
  <c r="OW57" i="31"/>
  <c r="MR58" i="31"/>
  <c r="PA57" i="31"/>
  <c r="OC57" i="31"/>
  <c r="OD58" i="31" s="1"/>
  <c r="OH58" i="31" s="1"/>
  <c r="OK58" i="31" s="1"/>
  <c r="OJ57" i="31"/>
  <c r="KT58" i="31"/>
  <c r="OY58" i="31" l="1"/>
  <c r="MW58" i="31"/>
  <c r="MS58" i="31"/>
  <c r="KM58" i="31"/>
  <c r="KO59" i="31" s="1"/>
  <c r="KL58" i="31"/>
  <c r="KN59" i="31" s="1"/>
  <c r="GB57" i="31"/>
  <c r="GC57" i="31" s="1"/>
  <c r="FP57" i="31"/>
  <c r="FS57" i="31" s="1"/>
  <c r="JR57" i="31"/>
  <c r="JS57" i="31" s="1"/>
  <c r="FZ57" i="31"/>
  <c r="GA57" i="31" s="1"/>
  <c r="FX57" i="31"/>
  <c r="FY57" i="31" s="1"/>
  <c r="FU57" i="31"/>
  <c r="FW57" i="31" s="1"/>
  <c r="CQ57" i="31"/>
  <c r="DQ57" i="31"/>
  <c r="DR57" i="31" s="1"/>
  <c r="FH57" i="31"/>
  <c r="FI57" i="31" s="1"/>
  <c r="HO57" i="31"/>
  <c r="GO57" i="31"/>
  <c r="FE57" i="31"/>
  <c r="FF57" i="31" s="1"/>
  <c r="KX57" i="31"/>
  <c r="KU57" i="31"/>
  <c r="GN57" i="31" l="1"/>
  <c r="GQ57" i="31" s="1"/>
  <c r="KP59" i="31"/>
  <c r="KR58" i="31"/>
  <c r="HW57" i="31"/>
  <c r="HX58" i="31" s="1"/>
  <c r="FG58" i="31"/>
  <c r="MT58" i="31"/>
  <c r="NH59" i="31"/>
  <c r="NI59" i="31" s="1"/>
  <c r="NQ58" i="31"/>
  <c r="MO58" i="31"/>
  <c r="MU58" i="31"/>
  <c r="NP58" i="31"/>
  <c r="NJ58" i="31"/>
  <c r="PE58" i="31"/>
  <c r="KE57" i="31"/>
  <c r="JU57" i="31"/>
  <c r="KC57" i="31"/>
  <c r="JT58" i="31"/>
  <c r="IA57" i="31"/>
  <c r="IB57" i="31" s="1"/>
  <c r="HP57" i="31"/>
  <c r="IZ57" i="31"/>
  <c r="HY57" i="31"/>
  <c r="HA57" i="31"/>
  <c r="DY57" i="31"/>
  <c r="MX58" i="31"/>
  <c r="CR57" i="31"/>
  <c r="CT57" i="31"/>
  <c r="CS57" i="31"/>
  <c r="HU57" i="31"/>
  <c r="HV58" i="31" s="1"/>
  <c r="FJ58" i="31"/>
  <c r="DS57" i="31"/>
  <c r="KQ58" i="31"/>
  <c r="KV57" i="31" l="1"/>
  <c r="KW58" i="31" s="1"/>
  <c r="HQ57" i="31"/>
  <c r="HR58" i="31" s="1"/>
  <c r="NR58" i="31"/>
  <c r="KS58" i="31"/>
  <c r="HT57" i="31"/>
  <c r="HS57" i="31"/>
  <c r="JG57" i="31" s="1"/>
  <c r="AX57" i="31"/>
  <c r="AY58" i="31" s="1"/>
  <c r="EM57" i="31"/>
  <c r="EW57" i="31" s="1"/>
  <c r="AZ57" i="31"/>
  <c r="EN57" i="31"/>
  <c r="NK58" i="31"/>
  <c r="NL58" i="31"/>
  <c r="NG59" i="31"/>
  <c r="OQ59" i="31"/>
  <c r="NA58" i="31"/>
  <c r="NB58" i="31"/>
  <c r="NC59" i="31" l="1"/>
  <c r="MQ59" i="31"/>
  <c r="IC57" i="31"/>
  <c r="ID57" i="31" s="1"/>
  <c r="IF57" i="31" s="1"/>
  <c r="KH57" i="31" s="1"/>
  <c r="JB57" i="31"/>
  <c r="OR59" i="31"/>
  <c r="BB58" i="31"/>
  <c r="IW57" i="31"/>
  <c r="EQ57" i="31"/>
  <c r="DW57" i="31"/>
  <c r="DU58" i="31" s="1"/>
  <c r="ER58" i="31"/>
  <c r="IU57" i="31"/>
  <c r="IV57" i="31" s="1"/>
  <c r="EU58" i="31" l="1"/>
  <c r="BC58" i="31"/>
  <c r="IM57" i="31"/>
  <c r="DB57" i="31"/>
  <c r="DC57" i="31" s="1"/>
  <c r="DD58" i="31" s="1"/>
  <c r="DE59" i="31" s="1"/>
  <c r="GM57" i="31"/>
  <c r="KI58" i="31"/>
  <c r="IN57" i="31"/>
  <c r="DF57" i="31"/>
  <c r="KB57" i="31"/>
  <c r="IX57" i="31"/>
  <c r="KK57" i="31"/>
  <c r="GT59" i="31" l="1"/>
  <c r="BD58" i="31"/>
  <c r="BE58" i="31"/>
  <c r="GR57" i="31"/>
  <c r="DT57" i="31"/>
  <c r="DZ57" i="31" s="1"/>
  <c r="FD57" i="31"/>
  <c r="GV57" i="31"/>
  <c r="GU57" i="31"/>
  <c r="KJ58" i="31"/>
  <c r="GS57" i="31" l="1"/>
  <c r="IS57" i="31"/>
  <c r="FL58" i="31"/>
  <c r="BF58" i="31"/>
  <c r="BG58" i="31"/>
  <c r="BI58" i="31" l="1"/>
  <c r="BK58" i="31" s="1"/>
  <c r="BH58" i="31"/>
  <c r="FM58" i="31"/>
  <c r="JH57" i="31"/>
  <c r="JI57" i="31" s="1"/>
  <c r="IT57" i="31"/>
  <c r="GX57" i="31"/>
  <c r="GY57" i="31"/>
  <c r="GW57" i="31"/>
  <c r="HC57" i="31" s="1"/>
  <c r="FA58" i="31" s="1"/>
  <c r="HB58" i="31" s="1"/>
  <c r="BJ58" i="31" l="1"/>
  <c r="HM57" i="31"/>
  <c r="EG57" i="31"/>
  <c r="EH58" i="31" s="1"/>
  <c r="EI58" i="31" s="1"/>
  <c r="FK58" i="31" s="1"/>
  <c r="EY57" i="31"/>
  <c r="HK58" i="31"/>
  <c r="JK57" i="31"/>
  <c r="BL58" i="31"/>
  <c r="BM58" i="31"/>
  <c r="JZ57" i="31" l="1"/>
  <c r="KF57" i="31" s="1"/>
  <c r="IQ58" i="31" s="1"/>
  <c r="JL57" i="31"/>
  <c r="JJ58" i="31" s="1"/>
  <c r="KA58" i="31"/>
  <c r="BO58" i="31"/>
  <c r="BP58" i="31" s="1"/>
  <c r="BQ58" i="31" s="1"/>
  <c r="BN58" i="31"/>
  <c r="EZ57" i="31"/>
  <c r="DG57" i="31"/>
  <c r="DH57" i="31" s="1"/>
  <c r="DI58" i="31" s="1"/>
  <c r="JN57" i="31"/>
  <c r="JV57" i="31" s="1"/>
  <c r="JF58" i="31" s="1"/>
  <c r="JM57" i="31"/>
  <c r="KD57" i="31" s="1"/>
  <c r="IL58" i="31" s="1"/>
  <c r="ED57" i="31"/>
  <c r="EB58" i="31" s="1"/>
  <c r="EE57" i="31"/>
  <c r="EF58" i="31" s="1"/>
  <c r="EJ57" i="31"/>
  <c r="EK58" i="31" s="1"/>
  <c r="BR58" i="31" l="1"/>
  <c r="BS58" i="31"/>
  <c r="IP58" i="31"/>
  <c r="IO58" i="31"/>
  <c r="HZ58" i="31"/>
  <c r="JW58" i="31"/>
  <c r="JY58" i="31"/>
  <c r="DP58" i="31"/>
  <c r="IY58" i="31"/>
  <c r="JA58" i="31"/>
  <c r="IR58" i="31"/>
  <c r="JE58" i="31"/>
  <c r="JO58" i="31"/>
  <c r="EL58" i="31"/>
  <c r="FC58" i="31"/>
  <c r="EP58" i="31"/>
  <c r="ET59" i="31" s="1"/>
  <c r="EO58" i="31"/>
  <c r="ES59" i="31" s="1"/>
  <c r="EV58" i="31"/>
  <c r="JC58" i="31"/>
  <c r="JD58" i="31"/>
  <c r="DJ58" i="31"/>
  <c r="DK58" i="31" s="1"/>
  <c r="GZ58" i="31"/>
  <c r="IE58" i="31" s="1"/>
  <c r="FQ58" i="31" l="1"/>
  <c r="DX58" i="31"/>
  <c r="DM58" i="31"/>
  <c r="JP58" i="31"/>
  <c r="JQ58" i="31" s="1"/>
  <c r="EC58" i="31"/>
  <c r="JX58" i="31"/>
  <c r="BT58" i="31"/>
  <c r="BU58" i="31"/>
  <c r="KG58" i="31"/>
  <c r="BV58" i="31" l="1"/>
  <c r="BW58" i="31" s="1"/>
  <c r="EX58" i="31"/>
  <c r="M58" i="31" s="1"/>
  <c r="FB58" i="31"/>
  <c r="DL58" i="31"/>
  <c r="L59" i="31"/>
  <c r="BY58" i="31" l="1"/>
  <c r="CA58" i="31" s="1"/>
  <c r="CC58" i="31" s="1"/>
  <c r="BX58" i="31"/>
  <c r="MJ58" i="31"/>
  <c r="NS58" i="31" s="1"/>
  <c r="MB58" i="31"/>
  <c r="NM58" i="31" s="1"/>
  <c r="NN58" i="31" s="1"/>
  <c r="BZ58" i="31" l="1"/>
  <c r="NT58" i="31"/>
  <c r="OU59" i="31"/>
  <c r="CD58" i="31"/>
  <c r="CE58" i="31"/>
  <c r="OV59" i="31"/>
  <c r="NW58" i="31"/>
  <c r="CB58" i="31"/>
  <c r="NX58" i="31" l="1"/>
  <c r="CF58" i="31"/>
  <c r="CG58" i="31"/>
  <c r="CI58" i="31" s="1"/>
  <c r="CX58" i="31"/>
  <c r="FV58" i="31"/>
  <c r="FR58" i="31"/>
  <c r="NU58" i="31"/>
  <c r="CH58" i="31" l="1"/>
  <c r="CJ58" i="31"/>
  <c r="CO58" i="31" s="1"/>
  <c r="CK58" i="31"/>
  <c r="NV58" i="31"/>
  <c r="NY58" i="31"/>
  <c r="MY58" i="31"/>
  <c r="NZ58" i="31"/>
  <c r="CY59" i="31"/>
  <c r="OF58" i="31"/>
  <c r="OS59" i="31" s="1"/>
  <c r="OA58" i="31" l="1"/>
  <c r="MV59" i="31" s="1"/>
  <c r="OG59" i="31" s="1"/>
  <c r="OI58" i="31"/>
  <c r="OB58" i="31"/>
  <c r="OT59" i="31" s="1"/>
  <c r="OM59" i="31"/>
  <c r="OO59" i="31"/>
  <c r="NF59" i="31"/>
  <c r="MZ59" i="31"/>
  <c r="OZ58" i="31"/>
  <c r="CL58" i="31"/>
  <c r="CM58" i="31"/>
  <c r="CN58" i="31" s="1"/>
  <c r="KT59" i="31" l="1"/>
  <c r="KL59" i="31" s="1"/>
  <c r="KN60" i="31" s="1"/>
  <c r="PA58" i="31"/>
  <c r="OJ58" i="31"/>
  <c r="OC58" i="31"/>
  <c r="OD59" i="31" s="1"/>
  <c r="OH59" i="31" s="1"/>
  <c r="OK59" i="31" s="1"/>
  <c r="CP58" i="31"/>
  <c r="OW58" i="31"/>
  <c r="MR59" i="31"/>
  <c r="OX59" i="31"/>
  <c r="KM59" i="31" l="1"/>
  <c r="KO60" i="31" s="1"/>
  <c r="KP60" i="31" s="1"/>
  <c r="FX58" i="31"/>
  <c r="FY58" i="31" s="1"/>
  <c r="DQ58" i="31"/>
  <c r="DR58" i="31" s="1"/>
  <c r="FZ58" i="31"/>
  <c r="GA58" i="31" s="1"/>
  <c r="GO58" i="31"/>
  <c r="HO58" i="31"/>
  <c r="GB58" i="31"/>
  <c r="GC58" i="31" s="1"/>
  <c r="CQ58" i="31"/>
  <c r="FH58" i="31"/>
  <c r="FI58" i="31" s="1"/>
  <c r="JR58" i="31"/>
  <c r="JS58" i="31" s="1"/>
  <c r="FP58" i="31"/>
  <c r="FS58" i="31" s="1"/>
  <c r="FU58" i="31"/>
  <c r="FW58" i="31" s="1"/>
  <c r="FE58" i="31"/>
  <c r="FF58" i="31" s="1"/>
  <c r="KX58" i="31"/>
  <c r="KU58" i="31"/>
  <c r="OY59" i="31"/>
  <c r="MW59" i="31"/>
  <c r="MS59" i="31"/>
  <c r="KQ59" i="31"/>
  <c r="GN58" i="31" l="1"/>
  <c r="KV58" i="31" s="1"/>
  <c r="KR59" i="31"/>
  <c r="KS59" i="31" s="1"/>
  <c r="MX59" i="31"/>
  <c r="HU58" i="31"/>
  <c r="HV59" i="31" s="1"/>
  <c r="FJ59" i="31"/>
  <c r="CT58" i="31"/>
  <c r="CR58" i="31"/>
  <c r="CS58" i="31"/>
  <c r="IA58" i="31"/>
  <c r="IB58" i="31" s="1"/>
  <c r="HP58" i="31"/>
  <c r="IZ58" i="31"/>
  <c r="FG59" i="31"/>
  <c r="HW58" i="31"/>
  <c r="HX59" i="31" s="1"/>
  <c r="NH60" i="31"/>
  <c r="NI60" i="31" s="1"/>
  <c r="MT59" i="31"/>
  <c r="MU59" i="31"/>
  <c r="NJ59" i="31"/>
  <c r="NP59" i="31"/>
  <c r="MO59" i="31"/>
  <c r="NQ59" i="31"/>
  <c r="PE59" i="31"/>
  <c r="HY58" i="31"/>
  <c r="DY58" i="31"/>
  <c r="HA58" i="31"/>
  <c r="DS58" i="31"/>
  <c r="KC58" i="31"/>
  <c r="JU58" i="31"/>
  <c r="JT59" i="31"/>
  <c r="KE58" i="31"/>
  <c r="GQ58" i="31" l="1"/>
  <c r="KW59" i="31"/>
  <c r="HQ58" i="31"/>
  <c r="HR59" i="31" s="1"/>
  <c r="NR59" i="31"/>
  <c r="AX58" i="31"/>
  <c r="AY59" i="31" s="1"/>
  <c r="EM58" i="31"/>
  <c r="EW58" i="31" s="1"/>
  <c r="EN58" i="31"/>
  <c r="AZ58" i="31"/>
  <c r="NK59" i="31"/>
  <c r="NL59" i="31"/>
  <c r="NG60" i="31"/>
  <c r="OQ60" i="31"/>
  <c r="HT58" i="31"/>
  <c r="HS58" i="31"/>
  <c r="JG58" i="31" s="1"/>
  <c r="NA59" i="31"/>
  <c r="NB59" i="31"/>
  <c r="NC60" i="31" l="1"/>
  <c r="MQ60" i="31"/>
  <c r="BB59" i="31"/>
  <c r="DW58" i="31"/>
  <c r="DU59" i="31" s="1"/>
  <c r="EQ58" i="31"/>
  <c r="IW58" i="31"/>
  <c r="ER59" i="31"/>
  <c r="IU58" i="31"/>
  <c r="IV58" i="31" s="1"/>
  <c r="IC58" i="31"/>
  <c r="ID58" i="31" s="1"/>
  <c r="IF58" i="31" s="1"/>
  <c r="KH58" i="31" s="1"/>
  <c r="JB58" i="31"/>
  <c r="OR60" i="31"/>
  <c r="BC59" i="31" l="1"/>
  <c r="GM58" i="31"/>
  <c r="IM58" i="31"/>
  <c r="DB58" i="31"/>
  <c r="DC58" i="31" s="1"/>
  <c r="DD59" i="31" s="1"/>
  <c r="DE60" i="31" s="1"/>
  <c r="KI59" i="31"/>
  <c r="IN58" i="31"/>
  <c r="DF58" i="31"/>
  <c r="KK58" i="31"/>
  <c r="KB58" i="31"/>
  <c r="IX58" i="31"/>
  <c r="EU59" i="31"/>
  <c r="GT60" i="31" l="1"/>
  <c r="DT58" i="31"/>
  <c r="DZ58" i="31" s="1"/>
  <c r="GR58" i="31"/>
  <c r="GU58" i="31"/>
  <c r="FD58" i="31"/>
  <c r="GV58" i="31"/>
  <c r="KJ59" i="31"/>
  <c r="BD59" i="31"/>
  <c r="BE59" i="31"/>
  <c r="IS58" i="31" l="1"/>
  <c r="FL59" i="31"/>
  <c r="BF59" i="31"/>
  <c r="BG59" i="31"/>
  <c r="GS58" i="31"/>
  <c r="GY58" i="31" l="1"/>
  <c r="GX58" i="31"/>
  <c r="GW58" i="31"/>
  <c r="HC58" i="31" s="1"/>
  <c r="FA59" i="31" s="1"/>
  <c r="HB59" i="31" s="1"/>
  <c r="BI59" i="31"/>
  <c r="BK59" i="31" s="1"/>
  <c r="BH59" i="31"/>
  <c r="FM59" i="31"/>
  <c r="JH58" i="31"/>
  <c r="JI58" i="31" s="1"/>
  <c r="IT58" i="31"/>
  <c r="JK58" i="31" l="1"/>
  <c r="JZ58" i="31" s="1"/>
  <c r="KF58" i="31" s="1"/>
  <c r="IQ59" i="31" s="1"/>
  <c r="BL59" i="31"/>
  <c r="BM59" i="31"/>
  <c r="BJ59" i="31"/>
  <c r="HM58" i="31"/>
  <c r="EG58" i="31"/>
  <c r="EH59" i="31" s="1"/>
  <c r="EI59" i="31" s="1"/>
  <c r="FK59" i="31" s="1"/>
  <c r="EY58" i="31"/>
  <c r="HK59" i="31"/>
  <c r="JM58" i="31" l="1"/>
  <c r="KD58" i="31" s="1"/>
  <c r="IL59" i="31" s="1"/>
  <c r="JE59" i="31" s="1"/>
  <c r="BN59" i="31"/>
  <c r="BO59" i="31"/>
  <c r="EZ58" i="31"/>
  <c r="DG58" i="31"/>
  <c r="DH58" i="31" s="1"/>
  <c r="DI59" i="31" s="1"/>
  <c r="JN58" i="31"/>
  <c r="JV58" i="31" s="1"/>
  <c r="JF59" i="31" s="1"/>
  <c r="JL58" i="31"/>
  <c r="JJ59" i="31" s="1"/>
  <c r="KA59" i="31"/>
  <c r="EJ58" i="31"/>
  <c r="EK59" i="31" s="1"/>
  <c r="ED58" i="31"/>
  <c r="EB59" i="31" s="1"/>
  <c r="IY59" i="31" s="1"/>
  <c r="EE58" i="31"/>
  <c r="EF59" i="31" s="1"/>
  <c r="JO59" i="31" l="1"/>
  <c r="IR59" i="31"/>
  <c r="EL59" i="31"/>
  <c r="EO59" i="31"/>
  <c r="ES60" i="31" s="1"/>
  <c r="EP59" i="31"/>
  <c r="ET60" i="31" s="1"/>
  <c r="FC59" i="31"/>
  <c r="EV59" i="31"/>
  <c r="JA59" i="31"/>
  <c r="DP59" i="31"/>
  <c r="JC59" i="31"/>
  <c r="JD59" i="31"/>
  <c r="HZ59" i="31"/>
  <c r="BP59" i="31"/>
  <c r="BQ59" i="31" s="1"/>
  <c r="GZ59" i="31"/>
  <c r="IE59" i="31" s="1"/>
  <c r="DJ59" i="31"/>
  <c r="DK59" i="31" s="1"/>
  <c r="IO59" i="31"/>
  <c r="JP59" i="31" s="1"/>
  <c r="JQ59" i="31" s="1"/>
  <c r="JW59" i="31"/>
  <c r="JY59" i="31"/>
  <c r="IP59" i="31"/>
  <c r="BR59" i="31" l="1"/>
  <c r="BS59" i="31"/>
  <c r="EC59" i="31"/>
  <c r="DX59" i="31"/>
  <c r="FQ59" i="31"/>
  <c r="DM59" i="31"/>
  <c r="KG59" i="31"/>
  <c r="JX59" i="31"/>
  <c r="FB59" i="31" l="1"/>
  <c r="EX59" i="31"/>
  <c r="M59" i="31" s="1"/>
  <c r="BT59" i="31"/>
  <c r="BU59" i="31"/>
  <c r="DL59" i="31"/>
  <c r="L60" i="31"/>
  <c r="BV59" i="31" l="1"/>
  <c r="BW59" i="31" s="1"/>
  <c r="MJ59" i="31"/>
  <c r="NS59" i="31" s="1"/>
  <c r="MB59" i="31"/>
  <c r="NM59" i="31" s="1"/>
  <c r="NN59" i="31" s="1"/>
  <c r="BX59" i="31" l="1"/>
  <c r="BY59" i="31"/>
  <c r="OV60" i="31"/>
  <c r="NW59" i="31"/>
  <c r="NT59" i="31"/>
  <c r="OU60" i="31"/>
  <c r="BZ59" i="31" l="1"/>
  <c r="CA59" i="31"/>
  <c r="CC59" i="31" s="1"/>
  <c r="CE59" i="31" s="1"/>
  <c r="CX59" i="31"/>
  <c r="FV59" i="31"/>
  <c r="FR59" i="31"/>
  <c r="NU59" i="31"/>
  <c r="NX59" i="31"/>
  <c r="CD59" i="31" l="1"/>
  <c r="CB59" i="31"/>
  <c r="NY59" i="31"/>
  <c r="NV59" i="31"/>
  <c r="OF59" i="31"/>
  <c r="OS60" i="31" s="1"/>
  <c r="NZ59" i="31"/>
  <c r="MY59" i="31"/>
  <c r="CY60" i="31"/>
  <c r="CF59" i="31"/>
  <c r="CG59" i="31"/>
  <c r="CI59" i="31" s="1"/>
  <c r="CH59" i="31" l="1"/>
  <c r="CJ59" i="31"/>
  <c r="CO59" i="31" s="1"/>
  <c r="CK59" i="31"/>
  <c r="OM60" i="31"/>
  <c r="OO60" i="31"/>
  <c r="NF60" i="31"/>
  <c r="OB59" i="31"/>
  <c r="OT60" i="31" s="1"/>
  <c r="MZ60" i="31"/>
  <c r="OZ59" i="31"/>
  <c r="OA59" i="31"/>
  <c r="MV60" i="31" s="1"/>
  <c r="OI59" i="31"/>
  <c r="OW59" i="31" l="1"/>
  <c r="OX60" i="31"/>
  <c r="MR60" i="31"/>
  <c r="KT60" i="31"/>
  <c r="OG60" i="31"/>
  <c r="PA59" i="31"/>
  <c r="OJ59" i="31"/>
  <c r="CL59" i="31"/>
  <c r="CM59" i="31"/>
  <c r="CN59" i="31" s="1"/>
  <c r="OC59" i="31"/>
  <c r="OD60" i="31" s="1"/>
  <c r="OH60" i="31" s="1"/>
  <c r="OK60" i="31" l="1"/>
  <c r="MW60" i="31"/>
  <c r="OY60" i="31"/>
  <c r="KL60" i="31"/>
  <c r="KN61" i="31" s="1"/>
  <c r="KM60" i="31"/>
  <c r="KO61" i="31" s="1"/>
  <c r="MS60" i="31"/>
  <c r="CP59" i="31"/>
  <c r="NJ60" i="31" l="1"/>
  <c r="NH61" i="31"/>
  <c r="NI61" i="31" s="1"/>
  <c r="NP60" i="31"/>
  <c r="MU60" i="31"/>
  <c r="MT60" i="31"/>
  <c r="MO60" i="31"/>
  <c r="NQ60" i="31"/>
  <c r="NR60" i="31" s="1"/>
  <c r="PE60" i="31"/>
  <c r="KP61" i="31"/>
  <c r="KR60" i="31"/>
  <c r="KQ60" i="31"/>
  <c r="CQ59" i="31"/>
  <c r="FZ59" i="31"/>
  <c r="GA59" i="31" s="1"/>
  <c r="FX59" i="31"/>
  <c r="FY59" i="31" s="1"/>
  <c r="DQ59" i="31"/>
  <c r="DR59" i="31" s="1"/>
  <c r="GB59" i="31"/>
  <c r="GC59" i="31" s="1"/>
  <c r="FE59" i="31"/>
  <c r="FF59" i="31" s="1"/>
  <c r="GO59" i="31"/>
  <c r="FP59" i="31"/>
  <c r="FS59" i="31" s="1"/>
  <c r="JR59" i="31"/>
  <c r="JS59" i="31" s="1"/>
  <c r="FH59" i="31"/>
  <c r="FI59" i="31" s="1"/>
  <c r="HO59" i="31"/>
  <c r="FU59" i="31"/>
  <c r="FW59" i="31" s="1"/>
  <c r="KX59" i="31"/>
  <c r="GN59" i="31" s="1"/>
  <c r="KU59" i="31"/>
  <c r="MX60" i="31"/>
  <c r="KS60" i="31" l="1"/>
  <c r="HU59" i="31"/>
  <c r="HV60" i="31" s="1"/>
  <c r="FJ60" i="31"/>
  <c r="DY59" i="31"/>
  <c r="HY59" i="31"/>
  <c r="HA59" i="31"/>
  <c r="NA60" i="31"/>
  <c r="NB60" i="31"/>
  <c r="FG60" i="31"/>
  <c r="HW59" i="31"/>
  <c r="HX60" i="31" s="1"/>
  <c r="GQ59" i="31"/>
  <c r="KV59" i="31"/>
  <c r="JU59" i="31"/>
  <c r="KC59" i="31"/>
  <c r="KE59" i="31"/>
  <c r="JT60" i="31"/>
  <c r="DS59" i="31"/>
  <c r="CR59" i="31"/>
  <c r="CT59" i="31"/>
  <c r="CS59" i="31"/>
  <c r="IA59" i="31"/>
  <c r="IB59" i="31" s="1"/>
  <c r="HP59" i="31"/>
  <c r="IZ59" i="31"/>
  <c r="NK60" i="31"/>
  <c r="NL60" i="31"/>
  <c r="NG61" i="31"/>
  <c r="OQ61" i="31"/>
  <c r="KW60" i="31" l="1"/>
  <c r="HQ59" i="31"/>
  <c r="HR60" i="31" s="1"/>
  <c r="OR61" i="31"/>
  <c r="AX59" i="31"/>
  <c r="AY60" i="31" s="1"/>
  <c r="EM59" i="31"/>
  <c r="EW59" i="31" s="1"/>
  <c r="EN59" i="31"/>
  <c r="AZ59" i="31"/>
  <c r="HS59" i="31"/>
  <c r="JG59" i="31" s="1"/>
  <c r="HT59" i="31"/>
  <c r="NC61" i="31"/>
  <c r="MQ61" i="31"/>
  <c r="IC59" i="31" l="1"/>
  <c r="ID59" i="31" s="1"/>
  <c r="IF59" i="31" s="1"/>
  <c r="KH59" i="31" s="1"/>
  <c r="JB59" i="31"/>
  <c r="BB60" i="31"/>
  <c r="EQ59" i="31"/>
  <c r="DW59" i="31"/>
  <c r="DU60" i="31" s="1"/>
  <c r="IW59" i="31"/>
  <c r="ER60" i="31"/>
  <c r="IU59" i="31"/>
  <c r="IV59" i="31" s="1"/>
  <c r="BC60" i="31" l="1"/>
  <c r="GM59" i="31"/>
  <c r="DB59" i="31"/>
  <c r="DC59" i="31" s="1"/>
  <c r="DD60" i="31" s="1"/>
  <c r="DE61" i="31" s="1"/>
  <c r="IM59" i="31"/>
  <c r="KI60" i="31"/>
  <c r="IN59" i="31"/>
  <c r="DF59" i="31"/>
  <c r="KK59" i="31"/>
  <c r="KB59" i="31"/>
  <c r="IX59" i="31"/>
  <c r="EU60" i="31"/>
  <c r="GT61" i="31" l="1"/>
  <c r="DT59" i="31"/>
  <c r="DZ59" i="31" s="1"/>
  <c r="GR59" i="31"/>
  <c r="GU59" i="31"/>
  <c r="FD59" i="31"/>
  <c r="GV59" i="31"/>
  <c r="KJ60" i="31"/>
  <c r="BE60" i="31"/>
  <c r="BD60" i="31"/>
  <c r="IS59" i="31" l="1"/>
  <c r="FL60" i="31"/>
  <c r="BF60" i="31"/>
  <c r="BG60" i="31"/>
  <c r="GS59" i="31"/>
  <c r="GY59" i="31" l="1"/>
  <c r="GW59" i="31"/>
  <c r="HC59" i="31" s="1"/>
  <c r="FA60" i="31" s="1"/>
  <c r="HB60" i="31" s="1"/>
  <c r="GX59" i="31"/>
  <c r="BH60" i="31"/>
  <c r="BI60" i="31"/>
  <c r="BK60" i="31" s="1"/>
  <c r="FM60" i="31"/>
  <c r="JH59" i="31"/>
  <c r="JI59" i="31" s="1"/>
  <c r="IT59" i="31"/>
  <c r="JK59" i="31" l="1"/>
  <c r="JZ59" i="31" s="1"/>
  <c r="KF59" i="31" s="1"/>
  <c r="IQ60" i="31" s="1"/>
  <c r="BL60" i="31"/>
  <c r="BM60" i="31"/>
  <c r="EG59" i="31"/>
  <c r="EH60" i="31" s="1"/>
  <c r="EI60" i="31" s="1"/>
  <c r="FK60" i="31" s="1"/>
  <c r="EY59" i="31"/>
  <c r="HM59" i="31"/>
  <c r="HK60" i="31"/>
  <c r="BJ60" i="31"/>
  <c r="JN59" i="31" l="1"/>
  <c r="JV59" i="31" s="1"/>
  <c r="JF60" i="31" s="1"/>
  <c r="JY60" i="31" s="1"/>
  <c r="BN60" i="31"/>
  <c r="BO60" i="31"/>
  <c r="BP60" i="31" s="1"/>
  <c r="EJ59" i="31"/>
  <c r="EK60" i="31" s="1"/>
  <c r="ED59" i="31"/>
  <c r="EB60" i="31" s="1"/>
  <c r="JA60" i="31" s="1"/>
  <c r="EE59" i="31"/>
  <c r="EF60" i="31" s="1"/>
  <c r="EZ59" i="31"/>
  <c r="DG59" i="31"/>
  <c r="DH59" i="31" s="1"/>
  <c r="DI60" i="31" s="1"/>
  <c r="JM59" i="31"/>
  <c r="KD59" i="31" s="1"/>
  <c r="IL60" i="31" s="1"/>
  <c r="JL59" i="31"/>
  <c r="JJ60" i="31" s="1"/>
  <c r="KA60" i="31"/>
  <c r="JW60" i="31" l="1"/>
  <c r="IO60" i="31"/>
  <c r="IP60" i="31"/>
  <c r="IR60" i="31"/>
  <c r="DP60" i="31"/>
  <c r="JO60" i="31"/>
  <c r="FC60" i="31"/>
  <c r="EL60" i="31"/>
  <c r="EP60" i="31"/>
  <c r="ET61" i="31" s="1"/>
  <c r="EO60" i="31"/>
  <c r="ES61" i="31" s="1"/>
  <c r="EV60" i="31"/>
  <c r="JE60" i="31"/>
  <c r="DJ60" i="31"/>
  <c r="DK60" i="31" s="1"/>
  <c r="GZ60" i="31"/>
  <c r="IE60" i="31" s="1"/>
  <c r="JC60" i="31"/>
  <c r="JD60" i="31"/>
  <c r="IY60" i="31"/>
  <c r="BQ60" i="31"/>
  <c r="HZ60" i="31"/>
  <c r="JP60" i="31" l="1"/>
  <c r="JQ60" i="31" s="1"/>
  <c r="DM60" i="31"/>
  <c r="FQ60" i="31"/>
  <c r="DX60" i="31"/>
  <c r="EC60" i="31"/>
  <c r="KG60" i="31"/>
  <c r="BR60" i="31"/>
  <c r="BS60" i="31"/>
  <c r="JX60" i="31"/>
  <c r="EX60" i="31" l="1"/>
  <c r="M60" i="31" s="1"/>
  <c r="FB60" i="31"/>
  <c r="BT60" i="31"/>
  <c r="BU60" i="31"/>
  <c r="DL60" i="31"/>
  <c r="L61" i="31"/>
  <c r="BV60" i="31" l="1"/>
  <c r="BW60" i="31" s="1"/>
  <c r="MJ60" i="31"/>
  <c r="NS60" i="31" s="1"/>
  <c r="MB60" i="31"/>
  <c r="NM60" i="31" s="1"/>
  <c r="NN60" i="31" s="1"/>
  <c r="BX60" i="31" l="1"/>
  <c r="BY60" i="31"/>
  <c r="OV61" i="31"/>
  <c r="NW60" i="31"/>
  <c r="NX60" i="31" s="1"/>
  <c r="NT60" i="31"/>
  <c r="OU61" i="31"/>
  <c r="BZ60" i="31" l="1"/>
  <c r="CA60" i="31"/>
  <c r="CC60" i="31" s="1"/>
  <c r="CD60" i="31" s="1"/>
  <c r="OF60" i="31"/>
  <c r="OS61" i="31" s="1"/>
  <c r="NY60" i="31"/>
  <c r="FV60" i="31"/>
  <c r="CX60" i="31"/>
  <c r="FR60" i="31"/>
  <c r="NU60" i="31"/>
  <c r="CE60" i="31" l="1"/>
  <c r="CG60" i="31" s="1"/>
  <c r="CI60" i="31" s="1"/>
  <c r="CB60" i="31"/>
  <c r="OB60" i="31"/>
  <c r="OT61" i="31" s="1"/>
  <c r="NV60" i="31"/>
  <c r="MY60" i="31"/>
  <c r="OI60" i="31" s="1"/>
  <c r="NZ60" i="31"/>
  <c r="OA60" i="31" s="1"/>
  <c r="MV61" i="31" s="1"/>
  <c r="CY61" i="31"/>
  <c r="CF60" i="31" l="1"/>
  <c r="MR61" i="31"/>
  <c r="OW60" i="31"/>
  <c r="OX61" i="31"/>
  <c r="CJ60" i="31"/>
  <c r="CO60" i="31" s="1"/>
  <c r="CK60" i="31"/>
  <c r="OG61" i="31"/>
  <c r="PA60" i="31"/>
  <c r="MZ61" i="31"/>
  <c r="OZ60" i="31"/>
  <c r="OJ60" i="31"/>
  <c r="NF61" i="31"/>
  <c r="OM61" i="31"/>
  <c r="OO61" i="31"/>
  <c r="KT61" i="31" s="1"/>
  <c r="CH60" i="31"/>
  <c r="OC60" i="31"/>
  <c r="OD61" i="31" s="1"/>
  <c r="OH61" i="31" s="1"/>
  <c r="KL61" i="31" l="1"/>
  <c r="KN62" i="31" s="1"/>
  <c r="KM61" i="31"/>
  <c r="KO62" i="31" s="1"/>
  <c r="CL60" i="31"/>
  <c r="CM60" i="31"/>
  <c r="CN60" i="31" s="1"/>
  <c r="MW61" i="31"/>
  <c r="OY61" i="31"/>
  <c r="OK61" i="31"/>
  <c r="MS61" i="31"/>
  <c r="MX61" i="31" l="1"/>
  <c r="NH62" i="31"/>
  <c r="NI62" i="31" s="1"/>
  <c r="NP61" i="31"/>
  <c r="MT61" i="31"/>
  <c r="MO61" i="31"/>
  <c r="NJ61" i="31"/>
  <c r="NQ61" i="31"/>
  <c r="MU61" i="31"/>
  <c r="PE61" i="31"/>
  <c r="CP60" i="31"/>
  <c r="KP62" i="31"/>
  <c r="KR61" i="31"/>
  <c r="KQ61" i="31"/>
  <c r="KS61" i="31" l="1"/>
  <c r="NR61" i="31"/>
  <c r="NA61" i="31"/>
  <c r="NB61" i="31"/>
  <c r="FX60" i="31"/>
  <c r="FY60" i="31" s="1"/>
  <c r="FE60" i="31"/>
  <c r="FF60" i="31" s="1"/>
  <c r="GO60" i="31"/>
  <c r="FZ60" i="31"/>
  <c r="GA60" i="31" s="1"/>
  <c r="HO60" i="31"/>
  <c r="DQ60" i="31"/>
  <c r="DR60" i="31" s="1"/>
  <c r="FH60" i="31"/>
  <c r="FI60" i="31" s="1"/>
  <c r="CQ60" i="31"/>
  <c r="FU60" i="31"/>
  <c r="FW60" i="31" s="1"/>
  <c r="FP60" i="31"/>
  <c r="FS60" i="31" s="1"/>
  <c r="JR60" i="31"/>
  <c r="JS60" i="31" s="1"/>
  <c r="GB60" i="31"/>
  <c r="GC60" i="31" s="1"/>
  <c r="KX60" i="31"/>
  <c r="KU60" i="31"/>
  <c r="NK61" i="31"/>
  <c r="NL61" i="31"/>
  <c r="NG62" i="31"/>
  <c r="OQ62" i="31"/>
  <c r="GN60" i="31" l="1"/>
  <c r="KV60" i="31" s="1"/>
  <c r="HU60" i="31"/>
  <c r="HV61" i="31" s="1"/>
  <c r="FJ61" i="31"/>
  <c r="DS60" i="31"/>
  <c r="CS60" i="31"/>
  <c r="CT60" i="31"/>
  <c r="CR60" i="31"/>
  <c r="HP60" i="31"/>
  <c r="IA60" i="31"/>
  <c r="IB60" i="31" s="1"/>
  <c r="IZ60" i="31"/>
  <c r="NC62" i="31"/>
  <c r="MQ62" i="31"/>
  <c r="JU60" i="31"/>
  <c r="KE60" i="31"/>
  <c r="JT61" i="31"/>
  <c r="KC60" i="31"/>
  <c r="OR62" i="31"/>
  <c r="HY60" i="31"/>
  <c r="DY60" i="31"/>
  <c r="HA60" i="31"/>
  <c r="HW60" i="31"/>
  <c r="HX61" i="31" s="1"/>
  <c r="FG61" i="31"/>
  <c r="GQ60" i="31" l="1"/>
  <c r="KW61" i="31"/>
  <c r="HQ60" i="31"/>
  <c r="HR61" i="31" s="1"/>
  <c r="AX60" i="31"/>
  <c r="AY61" i="31" s="1"/>
  <c r="AZ60" i="31"/>
  <c r="EN60" i="31"/>
  <c r="EM60" i="31"/>
  <c r="EW60" i="31" s="1"/>
  <c r="HS60" i="31"/>
  <c r="JG60" i="31" s="1"/>
  <c r="HT60" i="31"/>
  <c r="IC60" i="31" l="1"/>
  <c r="ID60" i="31" s="1"/>
  <c r="IF60" i="31" s="1"/>
  <c r="KH60" i="31" s="1"/>
  <c r="JB60" i="31"/>
  <c r="BB61" i="31"/>
  <c r="IW60" i="31"/>
  <c r="DW60" i="31"/>
  <c r="DU61" i="31" s="1"/>
  <c r="EQ60" i="31"/>
  <c r="ER61" i="31"/>
  <c r="IU60" i="31"/>
  <c r="IV60" i="31" s="1"/>
  <c r="BC61" i="31" l="1"/>
  <c r="IM60" i="31"/>
  <c r="GM60" i="31"/>
  <c r="DB60" i="31"/>
  <c r="DC60" i="31" s="1"/>
  <c r="DD61" i="31" s="1"/>
  <c r="DE62" i="31" s="1"/>
  <c r="KI61" i="31"/>
  <c r="IN60" i="31"/>
  <c r="DF60" i="31"/>
  <c r="KK60" i="31"/>
  <c r="KB60" i="31"/>
  <c r="IX60" i="31"/>
  <c r="EU61" i="31"/>
  <c r="GT62" i="31" l="1"/>
  <c r="DT60" i="31"/>
  <c r="DZ60" i="31" s="1"/>
  <c r="GU60" i="31"/>
  <c r="GV60" i="31"/>
  <c r="FD60" i="31"/>
  <c r="KJ61" i="31"/>
  <c r="GR60" i="31"/>
  <c r="BE61" i="31"/>
  <c r="BD61" i="31"/>
  <c r="IS60" i="31" l="1"/>
  <c r="FL61" i="31"/>
  <c r="BF61" i="31"/>
  <c r="BG61" i="31"/>
  <c r="GS60" i="31"/>
  <c r="GY60" i="31" l="1"/>
  <c r="GX60" i="31"/>
  <c r="GW60" i="31"/>
  <c r="HC60" i="31" s="1"/>
  <c r="FA61" i="31" s="1"/>
  <c r="HB61" i="31" s="1"/>
  <c r="BH61" i="31"/>
  <c r="BI61" i="31"/>
  <c r="BK61" i="31" s="1"/>
  <c r="FM61" i="31"/>
  <c r="JH60" i="31"/>
  <c r="JI60" i="31" s="1"/>
  <c r="IT60" i="31"/>
  <c r="BL61" i="31" l="1"/>
  <c r="BM61" i="31"/>
  <c r="JK60" i="31"/>
  <c r="JZ60" i="31" s="1"/>
  <c r="KF60" i="31" s="1"/>
  <c r="IQ61" i="31" s="1"/>
  <c r="BJ61" i="31"/>
  <c r="HM60" i="31"/>
  <c r="EG60" i="31"/>
  <c r="EH61" i="31" s="1"/>
  <c r="EI61" i="31" s="1"/>
  <c r="FK61" i="31" s="1"/>
  <c r="EY60" i="31"/>
  <c r="HK61" i="31"/>
  <c r="JN60" i="31" l="1"/>
  <c r="JV60" i="31" s="1"/>
  <c r="JF61" i="31" s="1"/>
  <c r="JY61" i="31" s="1"/>
  <c r="JM60" i="31"/>
  <c r="KD60" i="31" s="1"/>
  <c r="IL61" i="31" s="1"/>
  <c r="JE61" i="31" s="1"/>
  <c r="JL60" i="31"/>
  <c r="JJ61" i="31" s="1"/>
  <c r="KA61" i="31"/>
  <c r="EZ60" i="31"/>
  <c r="DG60" i="31"/>
  <c r="DH60" i="31" s="1"/>
  <c r="DI61" i="31" s="1"/>
  <c r="BN61" i="31"/>
  <c r="BO61" i="31"/>
  <c r="BP61" i="31" s="1"/>
  <c r="EE60" i="31"/>
  <c r="EF61" i="31" s="1"/>
  <c r="ED60" i="31"/>
  <c r="EB61" i="31" s="1"/>
  <c r="EJ60" i="31"/>
  <c r="EK61" i="31" s="1"/>
  <c r="JW61" i="31" l="1"/>
  <c r="IR61" i="31"/>
  <c r="JC61" i="31"/>
  <c r="JD61" i="31"/>
  <c r="EL61" i="31"/>
  <c r="JX61" i="31" s="1"/>
  <c r="EP61" i="31"/>
  <c r="ET62" i="31" s="1"/>
  <c r="FC61" i="31"/>
  <c r="EO61" i="31"/>
  <c r="ES62" i="31" s="1"/>
  <c r="EV61" i="31"/>
  <c r="IY61" i="31"/>
  <c r="BQ61" i="31"/>
  <c r="JA61" i="31"/>
  <c r="DJ61" i="31"/>
  <c r="DK61" i="31" s="1"/>
  <c r="GZ61" i="31"/>
  <c r="IE61" i="31" s="1"/>
  <c r="IO61" i="31"/>
  <c r="IP61" i="31"/>
  <c r="JO61" i="31"/>
  <c r="DP61" i="31"/>
  <c r="HZ61" i="31"/>
  <c r="KG61" i="31" l="1"/>
  <c r="JP61" i="31"/>
  <c r="JQ61" i="31" s="1"/>
  <c r="EC61" i="31"/>
  <c r="DX61" i="31"/>
  <c r="FQ61" i="31"/>
  <c r="DM61" i="31"/>
  <c r="BR61" i="31"/>
  <c r="BS61" i="31"/>
  <c r="FB61" i="31" l="1"/>
  <c r="EX61" i="31"/>
  <c r="M61" i="31" s="1"/>
  <c r="DL61" i="31"/>
  <c r="L62" i="31"/>
  <c r="BT61" i="31"/>
  <c r="BU61" i="31"/>
  <c r="BV61" i="31" l="1"/>
  <c r="BW61" i="31" s="1"/>
  <c r="MJ61" i="31"/>
  <c r="NS61" i="31" s="1"/>
  <c r="MB61" i="31"/>
  <c r="NM61" i="31" s="1"/>
  <c r="NN61" i="31" s="1"/>
  <c r="BX61" i="31" l="1"/>
  <c r="BY61" i="31"/>
  <c r="OV62" i="31"/>
  <c r="NW61" i="31"/>
  <c r="NT61" i="31"/>
  <c r="OU62" i="31"/>
  <c r="BZ61" i="31" l="1"/>
  <c r="CA61" i="31"/>
  <c r="CC61" i="31" s="1"/>
  <c r="CD61" i="31" s="1"/>
  <c r="FR61" i="31"/>
  <c r="FV61" i="31"/>
  <c r="CX61" i="31"/>
  <c r="NU61" i="31"/>
  <c r="NX61" i="31"/>
  <c r="CB61" i="31" l="1"/>
  <c r="CE61" i="31"/>
  <c r="CF61" i="31" s="1"/>
  <c r="NZ61" i="31"/>
  <c r="MY61" i="31"/>
  <c r="CY62" i="31"/>
  <c r="NY61" i="31"/>
  <c r="OF61" i="31"/>
  <c r="OS62" i="31" s="1"/>
  <c r="NV61" i="31"/>
  <c r="OI61" i="31" l="1"/>
  <c r="OX62" i="31" s="1"/>
  <c r="CG61" i="31"/>
  <c r="CI61" i="31" s="1"/>
  <c r="CJ61" i="31" s="1"/>
  <c r="CO61" i="31" s="1"/>
  <c r="OB61" i="31"/>
  <c r="OT62" i="31" s="1"/>
  <c r="OO62" i="31"/>
  <c r="NF62" i="31"/>
  <c r="OM62" i="31"/>
  <c r="MZ62" i="31"/>
  <c r="OZ61" i="31"/>
  <c r="OA61" i="31"/>
  <c r="MV62" i="31" s="1"/>
  <c r="MR62" i="31" l="1"/>
  <c r="MS62" i="31" s="1"/>
  <c r="OW61" i="31"/>
  <c r="CK61" i="31"/>
  <c r="CM61" i="31" s="1"/>
  <c r="CN61" i="31" s="1"/>
  <c r="CH61" i="31"/>
  <c r="PA61" i="31"/>
  <c r="OC61" i="31"/>
  <c r="OD62" i="31" s="1"/>
  <c r="OH62" i="31" s="1"/>
  <c r="OJ61" i="31"/>
  <c r="OG62" i="31"/>
  <c r="KT62" i="31"/>
  <c r="CL61" i="31" l="1"/>
  <c r="CP61" i="31" s="1"/>
  <c r="NP62" i="31"/>
  <c r="NQ62" i="31"/>
  <c r="MO62" i="31"/>
  <c r="NJ62" i="31"/>
  <c r="MU62" i="31"/>
  <c r="NH63" i="31"/>
  <c r="NI63" i="31" s="1"/>
  <c r="MT62" i="31"/>
  <c r="PE62" i="31"/>
  <c r="OY62" i="31"/>
  <c r="MW62" i="31"/>
  <c r="OK62" i="31"/>
  <c r="KL62" i="31"/>
  <c r="KN63" i="31" s="1"/>
  <c r="KM62" i="31"/>
  <c r="KO63" i="31" s="1"/>
  <c r="NR62" i="31" l="1"/>
  <c r="NK62" i="31"/>
  <c r="NL62" i="31"/>
  <c r="NG63" i="31"/>
  <c r="OQ63" i="31"/>
  <c r="MX62" i="31"/>
  <c r="KP63" i="31"/>
  <c r="KR62" i="31"/>
  <c r="KQ62" i="31"/>
  <c r="JR61" i="31"/>
  <c r="JS61" i="31" s="1"/>
  <c r="CQ61" i="31"/>
  <c r="FE61" i="31"/>
  <c r="FF61" i="31" s="1"/>
  <c r="FH61" i="31"/>
  <c r="FI61" i="31" s="1"/>
  <c r="HO61" i="31"/>
  <c r="GO61" i="31"/>
  <c r="FP61" i="31"/>
  <c r="FS61" i="31" s="1"/>
  <c r="FZ61" i="31"/>
  <c r="GA61" i="31" s="1"/>
  <c r="DQ61" i="31"/>
  <c r="DR61" i="31" s="1"/>
  <c r="FX61" i="31"/>
  <c r="FY61" i="31" s="1"/>
  <c r="GB61" i="31"/>
  <c r="GC61" i="31" s="1"/>
  <c r="FU61" i="31"/>
  <c r="FW61" i="31" s="1"/>
  <c r="KX61" i="31"/>
  <c r="KU61" i="31"/>
  <c r="GN61" i="31" l="1"/>
  <c r="KV61" i="31" s="1"/>
  <c r="KS62" i="31"/>
  <c r="NA62" i="31"/>
  <c r="NB62" i="31"/>
  <c r="OR63" i="31"/>
  <c r="HY61" i="31"/>
  <c r="DY61" i="31"/>
  <c r="HA61" i="31"/>
  <c r="IA61" i="31"/>
  <c r="IB61" i="31" s="1"/>
  <c r="HP61" i="31"/>
  <c r="IZ61" i="31"/>
  <c r="NC63" i="31"/>
  <c r="MQ63" i="31"/>
  <c r="HU61" i="31"/>
  <c r="HV62" i="31" s="1"/>
  <c r="FJ62" i="31"/>
  <c r="HW61" i="31"/>
  <c r="HX62" i="31" s="1"/>
  <c r="FG62" i="31"/>
  <c r="CR61" i="31"/>
  <c r="CT61" i="31"/>
  <c r="CS61" i="31"/>
  <c r="DS61" i="31"/>
  <c r="JU61" i="31"/>
  <c r="KE61" i="31"/>
  <c r="JT62" i="31"/>
  <c r="KC61" i="31"/>
  <c r="GQ61" i="31" l="1"/>
  <c r="KW62" i="31"/>
  <c r="HQ61" i="31"/>
  <c r="HR62" i="31" s="1"/>
  <c r="HS61" i="31"/>
  <c r="JG61" i="31" s="1"/>
  <c r="HT61" i="31"/>
  <c r="AX61" i="31"/>
  <c r="AY62" i="31" s="1"/>
  <c r="EM61" i="31"/>
  <c r="EW61" i="31" s="1"/>
  <c r="AZ61" i="31"/>
  <c r="EN61" i="31"/>
  <c r="BB62" i="31" l="1"/>
  <c r="IW61" i="31"/>
  <c r="EQ61" i="31"/>
  <c r="DW61" i="31"/>
  <c r="DU62" i="31" s="1"/>
  <c r="ER62" i="31"/>
  <c r="IU61" i="31"/>
  <c r="IV61" i="31" s="1"/>
  <c r="IC61" i="31"/>
  <c r="ID61" i="31" s="1"/>
  <c r="IF61" i="31" s="1"/>
  <c r="KH61" i="31" s="1"/>
  <c r="JB61" i="31"/>
  <c r="EU62" i="31" l="1"/>
  <c r="KB61" i="31"/>
  <c r="IX61" i="31"/>
  <c r="KK61" i="31"/>
  <c r="DB61" i="31"/>
  <c r="DC61" i="31" s="1"/>
  <c r="DD62" i="31" s="1"/>
  <c r="DE63" i="31" s="1"/>
  <c r="GM61" i="31"/>
  <c r="IM61" i="31"/>
  <c r="DT61" i="31" s="1"/>
  <c r="DZ61" i="31" s="1"/>
  <c r="KI62" i="31"/>
  <c r="IN61" i="31"/>
  <c r="DF61" i="31"/>
  <c r="BC62" i="31"/>
  <c r="GT63" i="31" l="1"/>
  <c r="KJ62" i="31"/>
  <c r="GR61" i="31"/>
  <c r="BD62" i="31"/>
  <c r="BE62" i="31"/>
  <c r="FD61" i="31"/>
  <c r="GU61" i="31"/>
  <c r="GV61" i="31"/>
  <c r="GS61" i="31" l="1"/>
  <c r="IS61" i="31"/>
  <c r="FL62" i="31"/>
  <c r="BF62" i="31"/>
  <c r="BG62" i="31"/>
  <c r="BI62" i="31" l="1"/>
  <c r="BK62" i="31" s="1"/>
  <c r="BH62" i="31"/>
  <c r="JH61" i="31"/>
  <c r="JI61" i="31" s="1"/>
  <c r="IT61" i="31"/>
  <c r="FM62" i="31"/>
  <c r="GX61" i="31"/>
  <c r="GY61" i="31"/>
  <c r="GW61" i="31"/>
  <c r="HC61" i="31" s="1"/>
  <c r="FA62" i="31" s="1"/>
  <c r="HB62" i="31" s="1"/>
  <c r="JK61" i="31" l="1"/>
  <c r="JZ61" i="31" s="1"/>
  <c r="KF61" i="31" s="1"/>
  <c r="IQ62" i="31" s="1"/>
  <c r="EY61" i="31"/>
  <c r="HM61" i="31"/>
  <c r="EG61" i="31"/>
  <c r="EH62" i="31" s="1"/>
  <c r="EI62" i="31" s="1"/>
  <c r="FK62" i="31" s="1"/>
  <c r="HK62" i="31"/>
  <c r="BL62" i="31"/>
  <c r="BM62" i="31"/>
  <c r="BJ62" i="31"/>
  <c r="JM61" i="31" l="1"/>
  <c r="KD61" i="31" s="1"/>
  <c r="IL62" i="31" s="1"/>
  <c r="JE62" i="31" s="1"/>
  <c r="ED61" i="31"/>
  <c r="EB62" i="31" s="1"/>
  <c r="IY62" i="31" s="1"/>
  <c r="EJ61" i="31"/>
  <c r="EK62" i="31" s="1"/>
  <c r="EE61" i="31"/>
  <c r="EF62" i="31" s="1"/>
  <c r="EZ61" i="31"/>
  <c r="DG61" i="31"/>
  <c r="DH61" i="31" s="1"/>
  <c r="DI62" i="31" s="1"/>
  <c r="BO62" i="31"/>
  <c r="BP62" i="31" s="1"/>
  <c r="BQ62" i="31" s="1"/>
  <c r="BN62" i="31"/>
  <c r="JN61" i="31"/>
  <c r="JV61" i="31" s="1"/>
  <c r="JF62" i="31" s="1"/>
  <c r="JL61" i="31"/>
  <c r="JJ62" i="31" s="1"/>
  <c r="KA62" i="31"/>
  <c r="IP62" i="31" l="1"/>
  <c r="IR62" i="31"/>
  <c r="IO62" i="31"/>
  <c r="JP62" i="31" s="1"/>
  <c r="JQ62" i="31" s="1"/>
  <c r="BR62" i="31"/>
  <c r="BS62" i="31"/>
  <c r="HZ62" i="31"/>
  <c r="DP62" i="31"/>
  <c r="JY62" i="31"/>
  <c r="JW62" i="31"/>
  <c r="DJ62" i="31"/>
  <c r="DK62" i="31" s="1"/>
  <c r="GZ62" i="31"/>
  <c r="IE62" i="31" s="1"/>
  <c r="JC62" i="31"/>
  <c r="JD62" i="31"/>
  <c r="JO62" i="31"/>
  <c r="FC62" i="31"/>
  <c r="EL62" i="31"/>
  <c r="EO62" i="31"/>
  <c r="ES63" i="31" s="1"/>
  <c r="EP62" i="31"/>
  <c r="ET63" i="31" s="1"/>
  <c r="EV62" i="31"/>
  <c r="JA62" i="31"/>
  <c r="EC62" i="31" l="1"/>
  <c r="FQ62" i="31"/>
  <c r="DX62" i="31"/>
  <c r="DM62" i="31"/>
  <c r="KG62" i="31"/>
  <c r="JX62" i="31"/>
  <c r="BT62" i="31"/>
  <c r="BU62" i="31"/>
  <c r="BV62" i="31" l="1"/>
  <c r="BW62" i="31" s="1"/>
  <c r="FB62" i="31"/>
  <c r="EX62" i="31"/>
  <c r="M62" i="31" s="1"/>
  <c r="DL62" i="31"/>
  <c r="L63" i="31"/>
  <c r="BX62" i="31" l="1"/>
  <c r="BY62" i="31"/>
  <c r="MB62" i="31"/>
  <c r="NM62" i="31" s="1"/>
  <c r="NN62" i="31" s="1"/>
  <c r="MJ62" i="31"/>
  <c r="NS62" i="31" s="1"/>
  <c r="BZ62" i="31" l="1"/>
  <c r="CA62" i="31"/>
  <c r="CC62" i="31" s="1"/>
  <c r="CD62" i="31" s="1"/>
  <c r="NT62" i="31"/>
  <c r="OU63" i="31"/>
  <c r="OV63" i="31"/>
  <c r="NW62" i="31"/>
  <c r="CB62" i="31" l="1"/>
  <c r="CE62" i="31"/>
  <c r="CG62" i="31" s="1"/>
  <c r="CI62" i="31" s="1"/>
  <c r="CX62" i="31"/>
  <c r="FR62" i="31"/>
  <c r="FV62" i="31"/>
  <c r="NU62" i="31"/>
  <c r="NX62" i="31"/>
  <c r="CF62" i="31" l="1"/>
  <c r="CH62" i="31"/>
  <c r="NV62" i="31"/>
  <c r="CJ62" i="31"/>
  <c r="CO62" i="31" s="1"/>
  <c r="CK62" i="31"/>
  <c r="MY62" i="31"/>
  <c r="NZ62" i="31"/>
  <c r="CY63" i="31"/>
  <c r="NY62" i="31"/>
  <c r="OF62" i="31"/>
  <c r="OS63" i="31" s="1"/>
  <c r="MZ63" i="31" l="1"/>
  <c r="OZ62" i="31"/>
  <c r="CL62" i="31"/>
  <c r="CM62" i="31"/>
  <c r="CN62" i="31" s="1"/>
  <c r="OB62" i="31"/>
  <c r="OT63" i="31" s="1"/>
  <c r="OA62" i="31"/>
  <c r="MV63" i="31" s="1"/>
  <c r="OI62" i="31"/>
  <c r="OO63" i="31"/>
  <c r="OM63" i="31"/>
  <c r="NF63" i="31"/>
  <c r="PA62" i="31" l="1"/>
  <c r="OC62" i="31"/>
  <c r="OD63" i="31" s="1"/>
  <c r="OH63" i="31" s="1"/>
  <c r="OJ62" i="31"/>
  <c r="CP62" i="31"/>
  <c r="OW62" i="31"/>
  <c r="OX63" i="31"/>
  <c r="MR63" i="31"/>
  <c r="KT63" i="31"/>
  <c r="OG63" i="31"/>
  <c r="OK63" i="31" l="1"/>
  <c r="KL63" i="31"/>
  <c r="KN64" i="31" s="1"/>
  <c r="KM63" i="31"/>
  <c r="KO64" i="31" s="1"/>
  <c r="MS63" i="31"/>
  <c r="FZ62" i="31"/>
  <c r="GA62" i="31" s="1"/>
  <c r="JR62" i="31"/>
  <c r="JS62" i="31" s="1"/>
  <c r="FP62" i="31"/>
  <c r="FS62" i="31" s="1"/>
  <c r="GB62" i="31"/>
  <c r="GC62" i="31" s="1"/>
  <c r="GO62" i="31"/>
  <c r="HO62" i="31"/>
  <c r="FE62" i="31"/>
  <c r="FF62" i="31" s="1"/>
  <c r="FH62" i="31"/>
  <c r="FI62" i="31" s="1"/>
  <c r="FU62" i="31"/>
  <c r="FW62" i="31" s="1"/>
  <c r="DQ62" i="31"/>
  <c r="DR62" i="31" s="1"/>
  <c r="CQ62" i="31"/>
  <c r="FX62" i="31"/>
  <c r="FY62" i="31" s="1"/>
  <c r="KX62" i="31"/>
  <c r="KU62" i="31"/>
  <c r="MW63" i="31"/>
  <c r="OY63" i="31"/>
  <c r="GN62" i="31" l="1"/>
  <c r="GQ62" i="31" s="1"/>
  <c r="HU62" i="31"/>
  <c r="HV63" i="31" s="1"/>
  <c r="FJ63" i="31"/>
  <c r="MX63" i="31"/>
  <c r="HW62" i="31"/>
  <c r="HX63" i="31" s="1"/>
  <c r="FG63" i="31"/>
  <c r="IA62" i="31"/>
  <c r="IB62" i="31" s="1"/>
  <c r="HP62" i="31"/>
  <c r="IZ62" i="31"/>
  <c r="NH64" i="31"/>
  <c r="NI64" i="31" s="1"/>
  <c r="NP63" i="31"/>
  <c r="MO63" i="31"/>
  <c r="NQ63" i="31"/>
  <c r="MT63" i="31"/>
  <c r="MU63" i="31"/>
  <c r="NJ63" i="31"/>
  <c r="PE63" i="31"/>
  <c r="CS62" i="31"/>
  <c r="CR62" i="31"/>
  <c r="CT62" i="31"/>
  <c r="HA62" i="31"/>
  <c r="HY62" i="31"/>
  <c r="DY62" i="31"/>
  <c r="KP64" i="31"/>
  <c r="KR63" i="31"/>
  <c r="DS62" i="31"/>
  <c r="KE62" i="31"/>
  <c r="JU62" i="31"/>
  <c r="JT63" i="31"/>
  <c r="KC62" i="31"/>
  <c r="KQ63" i="31"/>
  <c r="KS63" i="31" l="1"/>
  <c r="KV62" i="31"/>
  <c r="KW63" i="31" s="1"/>
  <c r="HQ62" i="31"/>
  <c r="HR63" i="31" s="1"/>
  <c r="NK63" i="31"/>
  <c r="NL63" i="31"/>
  <c r="NG64" i="31"/>
  <c r="OQ64" i="31"/>
  <c r="NB63" i="31"/>
  <c r="NA63" i="31"/>
  <c r="NR63" i="31"/>
  <c r="HT62" i="31"/>
  <c r="HS62" i="31"/>
  <c r="JG62" i="31" s="1"/>
  <c r="AX62" i="31"/>
  <c r="AY63" i="31" s="1"/>
  <c r="EM62" i="31"/>
  <c r="EW62" i="31" s="1"/>
  <c r="EN62" i="31"/>
  <c r="AZ62" i="31"/>
  <c r="BB63" i="31" l="1"/>
  <c r="IW62" i="31"/>
  <c r="DW62" i="31"/>
  <c r="DU63" i="31" s="1"/>
  <c r="EQ62" i="31"/>
  <c r="ER63" i="31"/>
  <c r="IU62" i="31"/>
  <c r="IV62" i="31" s="1"/>
  <c r="OR64" i="31"/>
  <c r="NC64" i="31"/>
  <c r="MQ64" i="31"/>
  <c r="IC62" i="31"/>
  <c r="ID62" i="31" s="1"/>
  <c r="IF62" i="31" s="1"/>
  <c r="KH62" i="31" s="1"/>
  <c r="JB62" i="31"/>
  <c r="DB62" i="31" l="1"/>
  <c r="DC62" i="31" s="1"/>
  <c r="DD63" i="31" s="1"/>
  <c r="DE64" i="31" s="1"/>
  <c r="GM62" i="31"/>
  <c r="IM62" i="31"/>
  <c r="KI63" i="31"/>
  <c r="IN62" i="31"/>
  <c r="DF62" i="31"/>
  <c r="EU63" i="31"/>
  <c r="KB62" i="31"/>
  <c r="IX62" i="31"/>
  <c r="KK62" i="31"/>
  <c r="BC63" i="31"/>
  <c r="DT62" i="31" l="1"/>
  <c r="DZ62" i="31" s="1"/>
  <c r="GT64" i="31"/>
  <c r="KJ63" i="31"/>
  <c r="GR62" i="31"/>
  <c r="FD62" i="31"/>
  <c r="GV62" i="31"/>
  <c r="GU62" i="31"/>
  <c r="BE63" i="31"/>
  <c r="BD63" i="31"/>
  <c r="IS62" i="31" l="1"/>
  <c r="FL63" i="31"/>
  <c r="GS62" i="31"/>
  <c r="BF63" i="31"/>
  <c r="BG63" i="31"/>
  <c r="BI63" i="31" l="1"/>
  <c r="BK63" i="31" s="1"/>
  <c r="BH63" i="31"/>
  <c r="GY62" i="31"/>
  <c r="GX62" i="31"/>
  <c r="GW62" i="31"/>
  <c r="HC62" i="31" s="1"/>
  <c r="FA63" i="31" s="1"/>
  <c r="HB63" i="31" s="1"/>
  <c r="FM63" i="31"/>
  <c r="JH62" i="31"/>
  <c r="JI62" i="31" s="1"/>
  <c r="IT62" i="31"/>
  <c r="JK62" i="31" l="1"/>
  <c r="JZ62" i="31" s="1"/>
  <c r="KF62" i="31" s="1"/>
  <c r="IQ63" i="31" s="1"/>
  <c r="BL63" i="31"/>
  <c r="BM63" i="31"/>
  <c r="EY62" i="31"/>
  <c r="EG62" i="31"/>
  <c r="EH63" i="31" s="1"/>
  <c r="EI63" i="31" s="1"/>
  <c r="FK63" i="31" s="1"/>
  <c r="HM62" i="31"/>
  <c r="HK63" i="31"/>
  <c r="BJ63" i="31"/>
  <c r="JM62" i="31" l="1"/>
  <c r="KD62" i="31" s="1"/>
  <c r="IL63" i="31" s="1"/>
  <c r="JE63" i="31" s="1"/>
  <c r="JN62" i="31"/>
  <c r="JV62" i="31" s="1"/>
  <c r="JF63" i="31" s="1"/>
  <c r="JY63" i="31" s="1"/>
  <c r="BO63" i="31"/>
  <c r="BN63" i="31"/>
  <c r="ED62" i="31"/>
  <c r="EB63" i="31" s="1"/>
  <c r="IY63" i="31" s="1"/>
  <c r="EJ62" i="31"/>
  <c r="EK63" i="31" s="1"/>
  <c r="EE62" i="31"/>
  <c r="EF63" i="31" s="1"/>
  <c r="JW63" i="31"/>
  <c r="EZ62" i="31"/>
  <c r="DG62" i="31"/>
  <c r="DH62" i="31" s="1"/>
  <c r="DI63" i="31" s="1"/>
  <c r="JL62" i="31"/>
  <c r="JJ63" i="31" s="1"/>
  <c r="KA63" i="31"/>
  <c r="JO63" i="31" l="1"/>
  <c r="IO63" i="31"/>
  <c r="JP63" i="31" s="1"/>
  <c r="JQ63" i="31" s="1"/>
  <c r="IR63" i="31"/>
  <c r="JA63" i="31"/>
  <c r="HZ63" i="31"/>
  <c r="DP63" i="31"/>
  <c r="GZ63" i="31"/>
  <c r="KG63" i="31" s="1"/>
  <c r="DJ63" i="31"/>
  <c r="DK63" i="31" s="1"/>
  <c r="JC63" i="31"/>
  <c r="JD63" i="31"/>
  <c r="EP63" i="31"/>
  <c r="ET64" i="31" s="1"/>
  <c r="EL63" i="31"/>
  <c r="FC63" i="31"/>
  <c r="EO63" i="31"/>
  <c r="ES64" i="31" s="1"/>
  <c r="EV63" i="31"/>
  <c r="IP63" i="31"/>
  <c r="BP63" i="31"/>
  <c r="BQ63" i="31" s="1"/>
  <c r="IE63" i="31" l="1"/>
  <c r="FQ63" i="31"/>
  <c r="DX63" i="31"/>
  <c r="DM63" i="31"/>
  <c r="EC63" i="31"/>
  <c r="BR63" i="31"/>
  <c r="BS63" i="31"/>
  <c r="JX63" i="31"/>
  <c r="EX63" i="31" l="1"/>
  <c r="M63" i="31" s="1"/>
  <c r="FB63" i="31"/>
  <c r="BT63" i="31"/>
  <c r="BU63" i="31"/>
  <c r="DL63" i="31"/>
  <c r="L64" i="31"/>
  <c r="MJ63" i="31" l="1"/>
  <c r="NS63" i="31" s="1"/>
  <c r="MB63" i="31"/>
  <c r="NM63" i="31" s="1"/>
  <c r="NN63" i="31" s="1"/>
  <c r="BV63" i="31"/>
  <c r="BW63" i="31" s="1"/>
  <c r="BX63" i="31" l="1"/>
  <c r="BY63" i="31"/>
  <c r="NT63" i="31"/>
  <c r="OU64" i="31"/>
  <c r="OV64" i="31"/>
  <c r="NW63" i="31"/>
  <c r="NX63" i="31" s="1"/>
  <c r="BZ63" i="31" l="1"/>
  <c r="CA63" i="31"/>
  <c r="CC63" i="31" s="1"/>
  <c r="CD63" i="31" s="1"/>
  <c r="OF63" i="31"/>
  <c r="OS64" i="31" s="1"/>
  <c r="NY63" i="31"/>
  <c r="FV63" i="31"/>
  <c r="FR63" i="31"/>
  <c r="CX63" i="31"/>
  <c r="NU63" i="31"/>
  <c r="CB63" i="31" l="1"/>
  <c r="CE63" i="31"/>
  <c r="CF63" i="31" s="1"/>
  <c r="OB63" i="31"/>
  <c r="OT64" i="31" s="1"/>
  <c r="NZ63" i="31"/>
  <c r="OA63" i="31" s="1"/>
  <c r="MV64" i="31" s="1"/>
  <c r="OG64" i="31" s="1"/>
  <c r="MY63" i="31"/>
  <c r="CY64" i="31"/>
  <c r="NV63" i="31"/>
  <c r="CG63" i="31" l="1"/>
  <c r="CI63" i="31" s="1"/>
  <c r="CJ63" i="31" s="1"/>
  <c r="CO63" i="31" s="1"/>
  <c r="MZ64" i="31"/>
  <c r="OZ63" i="31"/>
  <c r="PA63" i="31"/>
  <c r="OC63" i="31"/>
  <c r="OD64" i="31" s="1"/>
  <c r="OH64" i="31" s="1"/>
  <c r="OK64" i="31" s="1"/>
  <c r="OJ63" i="31"/>
  <c r="NF64" i="31"/>
  <c r="OO64" i="31"/>
  <c r="KT64" i="31" s="1"/>
  <c r="OM64" i="31"/>
  <c r="OI63" i="31"/>
  <c r="CH63" i="31" l="1"/>
  <c r="CK63" i="31"/>
  <c r="CL63" i="31" s="1"/>
  <c r="KM64" i="31"/>
  <c r="KO65" i="31" s="1"/>
  <c r="KL64" i="31"/>
  <c r="KN65" i="31" s="1"/>
  <c r="OX64" i="31"/>
  <c r="MR64" i="31"/>
  <c r="OW63" i="31"/>
  <c r="MW64" i="31"/>
  <c r="OY64" i="31"/>
  <c r="CM63" i="31" l="1"/>
  <c r="CN63" i="31" s="1"/>
  <c r="CP63" i="31" s="1"/>
  <c r="GO63" i="31" s="1"/>
  <c r="MX64" i="31"/>
  <c r="MS64" i="31"/>
  <c r="KQ64" i="31"/>
  <c r="KP65" i="31"/>
  <c r="KR64" i="31"/>
  <c r="FE63" i="31" l="1"/>
  <c r="FF63" i="31" s="1"/>
  <c r="HW63" i="31" s="1"/>
  <c r="HX64" i="31" s="1"/>
  <c r="DQ63" i="31"/>
  <c r="DR63" i="31" s="1"/>
  <c r="DS63" i="31" s="1"/>
  <c r="FP63" i="31"/>
  <c r="FS63" i="31" s="1"/>
  <c r="HY63" i="31" s="1"/>
  <c r="FZ63" i="31"/>
  <c r="GA63" i="31" s="1"/>
  <c r="FX63" i="31"/>
  <c r="FY63" i="31" s="1"/>
  <c r="HO63" i="31"/>
  <c r="HP63" i="31" s="1"/>
  <c r="FU63" i="31"/>
  <c r="FW63" i="31" s="1"/>
  <c r="FH63" i="31"/>
  <c r="FI63" i="31" s="1"/>
  <c r="FJ64" i="31" s="1"/>
  <c r="JR63" i="31"/>
  <c r="JS63" i="31" s="1"/>
  <c r="KC63" i="31" s="1"/>
  <c r="KU63" i="31"/>
  <c r="KX63" i="31"/>
  <c r="GN63" i="31" s="1"/>
  <c r="GQ63" i="31" s="1"/>
  <c r="GB63" i="31"/>
  <c r="GC63" i="31" s="1"/>
  <c r="CQ63" i="31"/>
  <c r="CR63" i="31" s="1"/>
  <c r="MT64" i="31"/>
  <c r="NJ64" i="31"/>
  <c r="NP64" i="31"/>
  <c r="NH65" i="31"/>
  <c r="NI65" i="31" s="1"/>
  <c r="NQ64" i="31"/>
  <c r="MU64" i="31"/>
  <c r="MO64" i="31"/>
  <c r="PE64" i="31"/>
  <c r="NB64" i="31"/>
  <c r="NA64" i="31"/>
  <c r="KS64" i="31"/>
  <c r="KV63" i="31" l="1"/>
  <c r="HU63" i="31"/>
  <c r="HV64" i="31" s="1"/>
  <c r="IZ63" i="31"/>
  <c r="IA63" i="31"/>
  <c r="IB63" i="31" s="1"/>
  <c r="DY63" i="31"/>
  <c r="HA63" i="31"/>
  <c r="JU63" i="31"/>
  <c r="FG64" i="31"/>
  <c r="CS63" i="31"/>
  <c r="KE63" i="31"/>
  <c r="CT63" i="31"/>
  <c r="JT64" i="31"/>
  <c r="NR64" i="31"/>
  <c r="NK64" i="31"/>
  <c r="NL64" i="31"/>
  <c r="NG65" i="31"/>
  <c r="OQ65" i="31"/>
  <c r="HT63" i="31"/>
  <c r="HS63" i="31"/>
  <c r="JG63" i="31" s="1"/>
  <c r="AX63" i="31"/>
  <c r="AY64" i="31" s="1"/>
  <c r="EM63" i="31"/>
  <c r="EW63" i="31" s="1"/>
  <c r="EN63" i="31"/>
  <c r="AZ63" i="31"/>
  <c r="KW64" i="31" l="1"/>
  <c r="HQ63" i="31"/>
  <c r="HR64" i="31" s="1"/>
  <c r="NC65" i="31"/>
  <c r="MQ65" i="31"/>
  <c r="BB64" i="31"/>
  <c r="DW63" i="31"/>
  <c r="DU64" i="31" s="1"/>
  <c r="IW63" i="31"/>
  <c r="EQ63" i="31"/>
  <c r="ER64" i="31"/>
  <c r="IU63" i="31"/>
  <c r="IV63" i="31" s="1"/>
  <c r="IC63" i="31"/>
  <c r="ID63" i="31" s="1"/>
  <c r="IF63" i="31" s="1"/>
  <c r="KH63" i="31" s="1"/>
  <c r="JB63" i="31"/>
  <c r="OR65" i="31"/>
  <c r="DB63" i="31" l="1"/>
  <c r="DC63" i="31" s="1"/>
  <c r="DD64" i="31" s="1"/>
  <c r="DE65" i="31" s="1"/>
  <c r="IM63" i="31"/>
  <c r="GM63" i="31"/>
  <c r="KI64" i="31"/>
  <c r="IN63" i="31"/>
  <c r="DF63" i="31"/>
  <c r="DT63" i="31" s="1"/>
  <c r="DZ63" i="31" s="1"/>
  <c r="BC64" i="31"/>
  <c r="KK63" i="31"/>
  <c r="KB63" i="31"/>
  <c r="IX63" i="31"/>
  <c r="EU64" i="31"/>
  <c r="GT65" i="31" l="1"/>
  <c r="FD63" i="31"/>
  <c r="GU63" i="31"/>
  <c r="GV63" i="31"/>
  <c r="KJ64" i="31"/>
  <c r="GR63" i="31"/>
  <c r="BD64" i="31"/>
  <c r="BE64" i="31"/>
  <c r="GS63" i="31" l="1"/>
  <c r="BG64" i="31"/>
  <c r="BF64" i="31"/>
  <c r="IS63" i="31"/>
  <c r="FL64" i="31"/>
  <c r="FM64" i="31" l="1"/>
  <c r="JH63" i="31"/>
  <c r="JI63" i="31" s="1"/>
  <c r="IT63" i="31"/>
  <c r="BH64" i="31"/>
  <c r="BI64" i="31"/>
  <c r="BK64" i="31" s="1"/>
  <c r="GW63" i="31"/>
  <c r="HC63" i="31" s="1"/>
  <c r="FA64" i="31" s="1"/>
  <c r="HB64" i="31" s="1"/>
  <c r="GY63" i="31"/>
  <c r="GX63" i="31"/>
  <c r="BJ64" i="31" l="1"/>
  <c r="BL64" i="31"/>
  <c r="BM64" i="31"/>
  <c r="JK63" i="31"/>
  <c r="JM63" i="31" s="1"/>
  <c r="KD63" i="31" s="1"/>
  <c r="IL64" i="31" s="1"/>
  <c r="EY63" i="31"/>
  <c r="HM63" i="31"/>
  <c r="EG63" i="31"/>
  <c r="EH64" i="31" s="1"/>
  <c r="EI64" i="31" s="1"/>
  <c r="FK64" i="31" s="1"/>
  <c r="HK64" i="31"/>
  <c r="JZ63" i="31" l="1"/>
  <c r="KF63" i="31" s="1"/>
  <c r="IQ64" i="31" s="1"/>
  <c r="JL63" i="31"/>
  <c r="JJ64" i="31" s="1"/>
  <c r="KA64" i="31"/>
  <c r="JN63" i="31"/>
  <c r="JV63" i="31" s="1"/>
  <c r="JF64" i="31" s="1"/>
  <c r="BN64" i="31"/>
  <c r="BO64" i="31"/>
  <c r="ED63" i="31"/>
  <c r="EB64" i="31" s="1"/>
  <c r="EE63" i="31"/>
  <c r="EF64" i="31" s="1"/>
  <c r="EJ63" i="31"/>
  <c r="EK64" i="31" s="1"/>
  <c r="EZ63" i="31"/>
  <c r="DG63" i="31"/>
  <c r="DH63" i="31" s="1"/>
  <c r="DI64" i="31" s="1"/>
  <c r="JC64" i="31" l="1"/>
  <c r="JD64" i="31"/>
  <c r="GZ64" i="31"/>
  <c r="IE64" i="31" s="1"/>
  <c r="DJ64" i="31"/>
  <c r="DK64" i="31" s="1"/>
  <c r="EP64" i="31"/>
  <c r="ET65" i="31" s="1"/>
  <c r="FC64" i="31"/>
  <c r="EL64" i="31"/>
  <c r="EO64" i="31"/>
  <c r="ES65" i="31" s="1"/>
  <c r="EV64" i="31"/>
  <c r="HZ64" i="31"/>
  <c r="JY64" i="31"/>
  <c r="JW64" i="31"/>
  <c r="IY64" i="31"/>
  <c r="IR64" i="31"/>
  <c r="KG64" i="31" s="1"/>
  <c r="JE64" i="31"/>
  <c r="JO64" i="31"/>
  <c r="JA64" i="31"/>
  <c r="DP64" i="31"/>
  <c r="IP64" i="31"/>
  <c r="BP64" i="31"/>
  <c r="BQ64" i="31" s="1"/>
  <c r="IO64" i="31"/>
  <c r="JX64" i="31" l="1"/>
  <c r="JP64" i="31"/>
  <c r="JQ64" i="31" s="1"/>
  <c r="BR64" i="31"/>
  <c r="BS64" i="31"/>
  <c r="FQ64" i="31"/>
  <c r="DX64" i="31"/>
  <c r="DM64" i="31"/>
  <c r="EC64" i="31"/>
  <c r="BT64" i="31" l="1"/>
  <c r="BU64" i="31"/>
  <c r="DL64" i="31"/>
  <c r="L65" i="31"/>
  <c r="EX64" i="31"/>
  <c r="M64" i="31" s="1"/>
  <c r="FB64" i="31"/>
  <c r="MJ64" i="31" l="1"/>
  <c r="NS64" i="31" s="1"/>
  <c r="MB64" i="31"/>
  <c r="NM64" i="31" s="1"/>
  <c r="NN64" i="31" s="1"/>
  <c r="BV64" i="31"/>
  <c r="BW64" i="31" s="1"/>
  <c r="BX64" i="31" l="1"/>
  <c r="BY64" i="31"/>
  <c r="CA64" i="31" s="1"/>
  <c r="CC64" i="31" s="1"/>
  <c r="NT64" i="31"/>
  <c r="OU65" i="31"/>
  <c r="OV65" i="31"/>
  <c r="NW64" i="31"/>
  <c r="BZ64" i="31" l="1"/>
  <c r="CD64" i="31"/>
  <c r="CE64" i="31"/>
  <c r="CB64" i="31"/>
  <c r="NX64" i="31"/>
  <c r="FV64" i="31"/>
  <c r="FR64" i="31"/>
  <c r="CX64" i="31"/>
  <c r="NU64" i="31"/>
  <c r="NV64" i="31" l="1"/>
  <c r="NY64" i="31"/>
  <c r="OF64" i="31"/>
  <c r="OS65" i="31" s="1"/>
  <c r="MY64" i="31"/>
  <c r="NZ64" i="31"/>
  <c r="CY65" i="31"/>
  <c r="CF64" i="31"/>
  <c r="CG64" i="31"/>
  <c r="CI64" i="31" s="1"/>
  <c r="CH64" i="31" l="1"/>
  <c r="MZ65" i="31"/>
  <c r="OZ64" i="31"/>
  <c r="OB64" i="31"/>
  <c r="OT65" i="31" s="1"/>
  <c r="OA64" i="31"/>
  <c r="MV65" i="31" s="1"/>
  <c r="CJ64" i="31"/>
  <c r="CO64" i="31" s="1"/>
  <c r="CK64" i="31"/>
  <c r="OI64" i="31"/>
  <c r="NF65" i="31"/>
  <c r="OO65" i="31"/>
  <c r="OM65" i="31"/>
  <c r="PA64" i="31" l="1"/>
  <c r="OJ64" i="31"/>
  <c r="OX65" i="31"/>
  <c r="OW64" i="31"/>
  <c r="MR65" i="31"/>
  <c r="OC64" i="31"/>
  <c r="OD65" i="31" s="1"/>
  <c r="OH65" i="31" s="1"/>
  <c r="KT65" i="31"/>
  <c r="OG65" i="31"/>
  <c r="CL64" i="31"/>
  <c r="CM64" i="31"/>
  <c r="CN64" i="31" s="1"/>
  <c r="OK65" i="31" l="1"/>
  <c r="MS65" i="31"/>
  <c r="OY65" i="31"/>
  <c r="MW65" i="31"/>
  <c r="KL65" i="31"/>
  <c r="KN66" i="31" s="1"/>
  <c r="KM65" i="31"/>
  <c r="KO66" i="31" s="1"/>
  <c r="CP64" i="31"/>
  <c r="KQ65" i="31" l="1"/>
  <c r="FP64" i="31"/>
  <c r="FS64" i="31" s="1"/>
  <c r="GO64" i="31"/>
  <c r="FH64" i="31"/>
  <c r="FI64" i="31" s="1"/>
  <c r="HO64" i="31"/>
  <c r="GB64" i="31"/>
  <c r="GC64" i="31" s="1"/>
  <c r="FE64" i="31"/>
  <c r="FF64" i="31" s="1"/>
  <c r="FU64" i="31"/>
  <c r="FW64" i="31" s="1"/>
  <c r="CQ64" i="31"/>
  <c r="DQ64" i="31"/>
  <c r="DR64" i="31" s="1"/>
  <c r="FZ64" i="31"/>
  <c r="GA64" i="31" s="1"/>
  <c r="FX64" i="31"/>
  <c r="FY64" i="31" s="1"/>
  <c r="JR64" i="31"/>
  <c r="JS64" i="31" s="1"/>
  <c r="KX64" i="31"/>
  <c r="KU64" i="31"/>
  <c r="MX65" i="31"/>
  <c r="KP66" i="31"/>
  <c r="KR65" i="31"/>
  <c r="NJ65" i="31"/>
  <c r="NQ65" i="31"/>
  <c r="NP65" i="31"/>
  <c r="MT65" i="31"/>
  <c r="MU65" i="31"/>
  <c r="NH66" i="31"/>
  <c r="NI66" i="31" s="1"/>
  <c r="MO65" i="31"/>
  <c r="PE65" i="31"/>
  <c r="GN64" i="31" l="1"/>
  <c r="GQ64" i="31" s="1"/>
  <c r="JU64" i="31"/>
  <c r="KC64" i="31"/>
  <c r="JT65" i="31"/>
  <c r="KE64" i="31"/>
  <c r="HP64" i="31"/>
  <c r="IA64" i="31"/>
  <c r="IB64" i="31" s="1"/>
  <c r="IZ64" i="31"/>
  <c r="HU64" i="31"/>
  <c r="HV65" i="31" s="1"/>
  <c r="FJ65" i="31"/>
  <c r="DS64" i="31"/>
  <c r="DY64" i="31"/>
  <c r="HY64" i="31"/>
  <c r="HA64" i="31"/>
  <c r="CS64" i="31"/>
  <c r="CT64" i="31"/>
  <c r="CR64" i="31"/>
  <c r="NK65" i="31"/>
  <c r="NL65" i="31"/>
  <c r="NG66" i="31"/>
  <c r="OQ66" i="31"/>
  <c r="NB65" i="31"/>
  <c r="NA65" i="31"/>
  <c r="KS65" i="31"/>
  <c r="NR65" i="31"/>
  <c r="HW64" i="31"/>
  <c r="HX65" i="31" s="1"/>
  <c r="FG65" i="31"/>
  <c r="KV64" i="31" l="1"/>
  <c r="KW65" i="31" s="1"/>
  <c r="HT64" i="31"/>
  <c r="HS64" i="31"/>
  <c r="JG64" i="31" s="1"/>
  <c r="OR66" i="31"/>
  <c r="AX64" i="31"/>
  <c r="AY65" i="31" s="1"/>
  <c r="AZ64" i="31"/>
  <c r="EM64" i="31"/>
  <c r="EW64" i="31" s="1"/>
  <c r="EN64" i="31"/>
  <c r="NC66" i="31"/>
  <c r="MQ66" i="31"/>
  <c r="HQ64" i="31" l="1"/>
  <c r="HR65" i="31" s="1"/>
  <c r="BB65" i="31"/>
  <c r="IW64" i="31"/>
  <c r="DW64" i="31"/>
  <c r="DU65" i="31" s="1"/>
  <c r="EQ64" i="31"/>
  <c r="ER65" i="31"/>
  <c r="IU64" i="31"/>
  <c r="IV64" i="31" s="1"/>
  <c r="IC64" i="31"/>
  <c r="ID64" i="31" s="1"/>
  <c r="IF64" i="31" s="1"/>
  <c r="KH64" i="31" s="1"/>
  <c r="JB64" i="31"/>
  <c r="EU65" i="31" l="1"/>
  <c r="GM64" i="31"/>
  <c r="DB64" i="31"/>
  <c r="DC64" i="31" s="1"/>
  <c r="DD65" i="31" s="1"/>
  <c r="DE66" i="31" s="1"/>
  <c r="IM64" i="31"/>
  <c r="KI65" i="31"/>
  <c r="IN64" i="31"/>
  <c r="DF64" i="31"/>
  <c r="BC65" i="31"/>
  <c r="KB64" i="31"/>
  <c r="IX64" i="31"/>
  <c r="KK64" i="31"/>
  <c r="DT64" i="31" l="1"/>
  <c r="DZ64" i="31" s="1"/>
  <c r="GR64" i="31"/>
  <c r="GV64" i="31"/>
  <c r="FD64" i="31"/>
  <c r="GU64" i="31"/>
  <c r="GT66" i="31"/>
  <c r="KJ65" i="31"/>
  <c r="BD65" i="31"/>
  <c r="BE65" i="31"/>
  <c r="IS64" i="31" l="1"/>
  <c r="FL65" i="31"/>
  <c r="GS64" i="31"/>
  <c r="BF65" i="31"/>
  <c r="BG65" i="31"/>
  <c r="GY64" i="31" l="1"/>
  <c r="GW64" i="31"/>
  <c r="HC64" i="31" s="1"/>
  <c r="FA65" i="31" s="1"/>
  <c r="HB65" i="31" s="1"/>
  <c r="GX64" i="31"/>
  <c r="FM65" i="31"/>
  <c r="BH65" i="31"/>
  <c r="BI65" i="31"/>
  <c r="BK65" i="31" s="1"/>
  <c r="JH64" i="31"/>
  <c r="JI64" i="31" s="1"/>
  <c r="IT64" i="31"/>
  <c r="BL65" i="31" l="1"/>
  <c r="BM65" i="31"/>
  <c r="EG64" i="31"/>
  <c r="EH65" i="31" s="1"/>
  <c r="EI65" i="31" s="1"/>
  <c r="FK65" i="31" s="1"/>
  <c r="EY64" i="31"/>
  <c r="HM64" i="31"/>
  <c r="HK65" i="31"/>
  <c r="JK64" i="31"/>
  <c r="JZ64" i="31" s="1"/>
  <c r="KF64" i="31" s="1"/>
  <c r="IQ65" i="31" s="1"/>
  <c r="BJ65" i="31"/>
  <c r="JN64" i="31" l="1"/>
  <c r="JV64" i="31" s="1"/>
  <c r="JF65" i="31" s="1"/>
  <c r="JY65" i="31" s="1"/>
  <c r="ED64" i="31"/>
  <c r="EB65" i="31" s="1"/>
  <c r="IY65" i="31" s="1"/>
  <c r="EJ64" i="31"/>
  <c r="EK65" i="31" s="1"/>
  <c r="EE64" i="31"/>
  <c r="EF65" i="31" s="1"/>
  <c r="EZ64" i="31"/>
  <c r="DG64" i="31"/>
  <c r="DH64" i="31" s="1"/>
  <c r="DI65" i="31" s="1"/>
  <c r="BN65" i="31"/>
  <c r="BO65" i="31"/>
  <c r="JM64" i="31"/>
  <c r="KD64" i="31" s="1"/>
  <c r="IL65" i="31" s="1"/>
  <c r="JL64" i="31"/>
  <c r="JJ65" i="31" s="1"/>
  <c r="KA65" i="31"/>
  <c r="JW65" i="31" l="1"/>
  <c r="JO65" i="31"/>
  <c r="JA65" i="31"/>
  <c r="BP65" i="31"/>
  <c r="BQ65" i="31" s="1"/>
  <c r="HZ65" i="31"/>
  <c r="DP65" i="31"/>
  <c r="IO65" i="31"/>
  <c r="JP65" i="31" s="1"/>
  <c r="JQ65" i="31" s="1"/>
  <c r="IP65" i="31"/>
  <c r="DJ65" i="31"/>
  <c r="DK65" i="31" s="1"/>
  <c r="GZ65" i="31"/>
  <c r="IE65" i="31" s="1"/>
  <c r="IR65" i="31"/>
  <c r="JC65" i="31"/>
  <c r="JD65" i="31"/>
  <c r="JE65" i="31"/>
  <c r="EO65" i="31"/>
  <c r="ES66" i="31" s="1"/>
  <c r="EP65" i="31"/>
  <c r="ET66" i="31" s="1"/>
  <c r="FC65" i="31"/>
  <c r="EL65" i="31"/>
  <c r="EV65" i="31"/>
  <c r="JX65" i="31" l="1"/>
  <c r="FQ65" i="31"/>
  <c r="DX65" i="31"/>
  <c r="DM65" i="31"/>
  <c r="EC65" i="31"/>
  <c r="BR65" i="31"/>
  <c r="BS65" i="31"/>
  <c r="KG65" i="31"/>
  <c r="FB65" i="31" l="1"/>
  <c r="EX65" i="31"/>
  <c r="M65" i="31" s="1"/>
  <c r="DL65" i="31"/>
  <c r="L66" i="31"/>
  <c r="BT65" i="31"/>
  <c r="BU65" i="31"/>
  <c r="BV65" i="31" l="1"/>
  <c r="BW65" i="31" s="1"/>
  <c r="MJ65" i="31"/>
  <c r="NS65" i="31" s="1"/>
  <c r="MB65" i="31"/>
  <c r="NM65" i="31" s="1"/>
  <c r="NN65" i="31" s="1"/>
  <c r="BY65" i="31" l="1"/>
  <c r="CA65" i="31" s="1"/>
  <c r="CC65" i="31" s="1"/>
  <c r="BX65" i="31"/>
  <c r="OV66" i="31"/>
  <c r="NW65" i="31"/>
  <c r="NT65" i="31"/>
  <c r="OU66" i="31"/>
  <c r="BZ65" i="31" l="1"/>
  <c r="CB65" i="31"/>
  <c r="NX65" i="31"/>
  <c r="FV65" i="31"/>
  <c r="CX65" i="31"/>
  <c r="FR65" i="31"/>
  <c r="NU65" i="31"/>
  <c r="CD65" i="31"/>
  <c r="CE65" i="31"/>
  <c r="NZ65" i="31" l="1"/>
  <c r="MY65" i="31"/>
  <c r="CY66" i="31"/>
  <c r="CF65" i="31"/>
  <c r="CG65" i="31"/>
  <c r="CI65" i="31" s="1"/>
  <c r="NV65" i="31"/>
  <c r="NY65" i="31"/>
  <c r="OI65" i="31" s="1"/>
  <c r="OF65" i="31"/>
  <c r="OS66" i="31" s="1"/>
  <c r="MR66" i="31" l="1"/>
  <c r="OW65" i="31"/>
  <c r="OX66" i="31"/>
  <c r="CJ65" i="31"/>
  <c r="CO65" i="31" s="1"/>
  <c r="CK65" i="31"/>
  <c r="OB65" i="31"/>
  <c r="OT66" i="31" s="1"/>
  <c r="OA65" i="31"/>
  <c r="MV66" i="31" s="1"/>
  <c r="OG66" i="31" s="1"/>
  <c r="OM66" i="31"/>
  <c r="OO66" i="31"/>
  <c r="NF66" i="31"/>
  <c r="CH65" i="31"/>
  <c r="MZ66" i="31"/>
  <c r="OZ65" i="31"/>
  <c r="KT66" i="31" l="1"/>
  <c r="KM66" i="31" s="1"/>
  <c r="KO67" i="31" s="1"/>
  <c r="OC65" i="31"/>
  <c r="OD66" i="31" s="1"/>
  <c r="OH66" i="31" s="1"/>
  <c r="OK66" i="31" s="1"/>
  <c r="OJ65" i="31"/>
  <c r="OY66" i="31" s="1"/>
  <c r="CL65" i="31"/>
  <c r="CM65" i="31"/>
  <c r="CN65" i="31" s="1"/>
  <c r="PA65" i="31"/>
  <c r="MS66" i="31"/>
  <c r="MW66" i="31" l="1"/>
  <c r="MX66" i="31" s="1"/>
  <c r="KL66" i="31"/>
  <c r="KN67" i="31" s="1"/>
  <c r="KQ66" i="31" s="1"/>
  <c r="NQ66" i="31"/>
  <c r="NP66" i="31"/>
  <c r="NJ66" i="31"/>
  <c r="MU66" i="31"/>
  <c r="NH67" i="31"/>
  <c r="NI67" i="31" s="1"/>
  <c r="MO66" i="31"/>
  <c r="MT66" i="31"/>
  <c r="PE66" i="31"/>
  <c r="KR66" i="31"/>
  <c r="CP65" i="31"/>
  <c r="KP67" i="31" l="1"/>
  <c r="NR66" i="31"/>
  <c r="NB66" i="31"/>
  <c r="NA66" i="31"/>
  <c r="FZ65" i="31"/>
  <c r="GA65" i="31" s="1"/>
  <c r="FP65" i="31"/>
  <c r="FS65" i="31" s="1"/>
  <c r="DQ65" i="31"/>
  <c r="DR65" i="31" s="1"/>
  <c r="GO65" i="31"/>
  <c r="CQ65" i="31"/>
  <c r="JR65" i="31"/>
  <c r="JS65" i="31" s="1"/>
  <c r="FH65" i="31"/>
  <c r="FI65" i="31" s="1"/>
  <c r="FU65" i="31"/>
  <c r="FW65" i="31" s="1"/>
  <c r="FE65" i="31"/>
  <c r="FF65" i="31" s="1"/>
  <c r="HO65" i="31"/>
  <c r="GB65" i="31"/>
  <c r="GC65" i="31" s="1"/>
  <c r="FX65" i="31"/>
  <c r="FY65" i="31" s="1"/>
  <c r="KX65" i="31"/>
  <c r="GN65" i="31" s="1"/>
  <c r="KU65" i="31"/>
  <c r="KS66" i="31"/>
  <c r="NK66" i="31"/>
  <c r="NL66" i="31"/>
  <c r="NG67" i="31"/>
  <c r="OQ67" i="31"/>
  <c r="OR67" i="31" l="1"/>
  <c r="DS65" i="31"/>
  <c r="NC67" i="31"/>
  <c r="MQ67" i="31"/>
  <c r="IA65" i="31"/>
  <c r="IB65" i="31" s="1"/>
  <c r="HP65" i="31"/>
  <c r="IZ65" i="31"/>
  <c r="HA65" i="31"/>
  <c r="DY65" i="31"/>
  <c r="HY65" i="31"/>
  <c r="HW65" i="31"/>
  <c r="HX66" i="31" s="1"/>
  <c r="FG66" i="31"/>
  <c r="HU65" i="31"/>
  <c r="HV66" i="31" s="1"/>
  <c r="FJ66" i="31"/>
  <c r="KE65" i="31"/>
  <c r="JU65" i="31"/>
  <c r="KC65" i="31"/>
  <c r="JT66" i="31"/>
  <c r="GQ65" i="31"/>
  <c r="KV65" i="31"/>
  <c r="CS65" i="31"/>
  <c r="CR65" i="31"/>
  <c r="CT65" i="31"/>
  <c r="KW66" i="31" l="1"/>
  <c r="HQ65" i="31"/>
  <c r="HR66" i="31" s="1"/>
  <c r="AX65" i="31"/>
  <c r="AY66" i="31" s="1"/>
  <c r="AZ65" i="31"/>
  <c r="EN65" i="31"/>
  <c r="EM65" i="31"/>
  <c r="EW65" i="31" s="1"/>
  <c r="HS65" i="31"/>
  <c r="JG65" i="31" s="1"/>
  <c r="HT65" i="31"/>
  <c r="IC65" i="31" l="1"/>
  <c r="ID65" i="31" s="1"/>
  <c r="IF65" i="31" s="1"/>
  <c r="KH65" i="31" s="1"/>
  <c r="JB65" i="31"/>
  <c r="BB66" i="31"/>
  <c r="IW65" i="31"/>
  <c r="EQ65" i="31"/>
  <c r="DW65" i="31"/>
  <c r="DU66" i="31" s="1"/>
  <c r="ER66" i="31"/>
  <c r="IU65" i="31"/>
  <c r="IV65" i="31" s="1"/>
  <c r="BC66" i="31" l="1"/>
  <c r="KB65" i="31"/>
  <c r="IX65" i="31"/>
  <c r="KK65" i="31"/>
  <c r="DB65" i="31"/>
  <c r="DC65" i="31" s="1"/>
  <c r="DD66" i="31" s="1"/>
  <c r="DE67" i="31" s="1"/>
  <c r="GM65" i="31"/>
  <c r="IM65" i="31"/>
  <c r="DT65" i="31" s="1"/>
  <c r="DZ65" i="31" s="1"/>
  <c r="KI66" i="31"/>
  <c r="IN65" i="31"/>
  <c r="DF65" i="31"/>
  <c r="EU66" i="31"/>
  <c r="KJ66" i="31" l="1"/>
  <c r="GR65" i="31"/>
  <c r="GT67" i="31"/>
  <c r="FD65" i="31"/>
  <c r="GV65" i="31"/>
  <c r="GU65" i="31"/>
  <c r="BD66" i="31"/>
  <c r="BE66" i="31"/>
  <c r="GS65" i="31" l="1"/>
  <c r="BF66" i="31"/>
  <c r="BG66" i="31"/>
  <c r="IS65" i="31"/>
  <c r="FL66" i="31"/>
  <c r="JH65" i="31" l="1"/>
  <c r="JI65" i="31" s="1"/>
  <c r="IT65" i="31"/>
  <c r="BI66" i="31"/>
  <c r="BK66" i="31" s="1"/>
  <c r="BH66" i="31"/>
  <c r="GW65" i="31"/>
  <c r="HC65" i="31" s="1"/>
  <c r="FA66" i="31" s="1"/>
  <c r="HB66" i="31" s="1"/>
  <c r="GY65" i="31"/>
  <c r="GX65" i="31"/>
  <c r="FM66" i="31"/>
  <c r="EY65" i="31" l="1"/>
  <c r="EG65" i="31"/>
  <c r="EH66" i="31" s="1"/>
  <c r="EI66" i="31" s="1"/>
  <c r="FK66" i="31" s="1"/>
  <c r="HM65" i="31"/>
  <c r="HK66" i="31"/>
  <c r="BL66" i="31"/>
  <c r="BM66" i="31"/>
  <c r="BJ66" i="31"/>
  <c r="JK65" i="31"/>
  <c r="JZ65" i="31" s="1"/>
  <c r="KF65" i="31" s="1"/>
  <c r="IQ66" i="31" s="1"/>
  <c r="JM65" i="31" l="1"/>
  <c r="KD65" i="31" s="1"/>
  <c r="IL66" i="31" s="1"/>
  <c r="IR66" i="31" s="1"/>
  <c r="JN65" i="31"/>
  <c r="JV65" i="31" s="1"/>
  <c r="JF66" i="31" s="1"/>
  <c r="JW66" i="31" s="1"/>
  <c r="ED65" i="31"/>
  <c r="EB66" i="31" s="1"/>
  <c r="IY66" i="31" s="1"/>
  <c r="EE65" i="31"/>
  <c r="EF66" i="31" s="1"/>
  <c r="EJ65" i="31"/>
  <c r="EK66" i="31" s="1"/>
  <c r="JL65" i="31"/>
  <c r="JJ66" i="31" s="1"/>
  <c r="KA66" i="31"/>
  <c r="BO66" i="31"/>
  <c r="BP66" i="31" s="1"/>
  <c r="BQ66" i="31" s="1"/>
  <c r="BN66" i="31"/>
  <c r="EZ65" i="31"/>
  <c r="DG65" i="31"/>
  <c r="DH65" i="31" s="1"/>
  <c r="DI66" i="31" s="1"/>
  <c r="JE66" i="31" l="1"/>
  <c r="JO66" i="31"/>
  <c r="JY66" i="31"/>
  <c r="JA66" i="31"/>
  <c r="BR66" i="31"/>
  <c r="BS66" i="31"/>
  <c r="JC66" i="31"/>
  <c r="JD66" i="31"/>
  <c r="DJ66" i="31"/>
  <c r="DK66" i="31" s="1"/>
  <c r="GZ66" i="31"/>
  <c r="IE66" i="31" s="1"/>
  <c r="EO66" i="31"/>
  <c r="ES67" i="31" s="1"/>
  <c r="EL66" i="31"/>
  <c r="FC66" i="31"/>
  <c r="EP66" i="31"/>
  <c r="ET67" i="31" s="1"/>
  <c r="EV66" i="31"/>
  <c r="DP66" i="31"/>
  <c r="IO66" i="31"/>
  <c r="JP66" i="31" s="1"/>
  <c r="JQ66" i="31" s="1"/>
  <c r="HZ66" i="31"/>
  <c r="IP66" i="31"/>
  <c r="KG66" i="31" l="1"/>
  <c r="EC66" i="31"/>
  <c r="BT66" i="31"/>
  <c r="BU66" i="31"/>
  <c r="JX66" i="31"/>
  <c r="FQ66" i="31"/>
  <c r="DX66" i="31"/>
  <c r="DM66" i="31"/>
  <c r="BV66" i="31" l="1"/>
  <c r="BW66" i="31" s="1"/>
  <c r="FB66" i="31"/>
  <c r="EX66" i="31"/>
  <c r="M66" i="31" s="1"/>
  <c r="DL66" i="31"/>
  <c r="L67" i="31"/>
  <c r="BY66" i="31" l="1"/>
  <c r="CA66" i="31" s="1"/>
  <c r="CC66" i="31" s="1"/>
  <c r="BX66" i="31"/>
  <c r="MB66" i="31"/>
  <c r="NM66" i="31" s="1"/>
  <c r="NN66" i="31" s="1"/>
  <c r="MJ66" i="31"/>
  <c r="NS66" i="31" s="1"/>
  <c r="BZ66" i="31" l="1"/>
  <c r="OV67" i="31"/>
  <c r="NW66" i="31"/>
  <c r="NX66" i="31" s="1"/>
  <c r="CD66" i="31"/>
  <c r="CE66" i="31"/>
  <c r="NT66" i="31"/>
  <c r="OU67" i="31"/>
  <c r="CB66" i="31"/>
  <c r="CF66" i="31" l="1"/>
  <c r="CG66" i="31"/>
  <c r="CI66" i="31" s="1"/>
  <c r="FR66" i="31"/>
  <c r="FV66" i="31"/>
  <c r="CX66" i="31"/>
  <c r="NU66" i="31"/>
  <c r="OF66" i="31"/>
  <c r="OS67" i="31" s="1"/>
  <c r="NY66" i="31"/>
  <c r="CH66" i="31" l="1"/>
  <c r="OB66" i="31"/>
  <c r="OT67" i="31" s="1"/>
  <c r="CJ66" i="31"/>
  <c r="CO66" i="31" s="1"/>
  <c r="CK66" i="31"/>
  <c r="NV66" i="31"/>
  <c r="MY66" i="31"/>
  <c r="OI66" i="31" s="1"/>
  <c r="NZ66" i="31"/>
  <c r="OA66" i="31" s="1"/>
  <c r="MV67" i="31" s="1"/>
  <c r="OG67" i="31" s="1"/>
  <c r="CY67" i="31"/>
  <c r="OW66" i="31" l="1"/>
  <c r="OX67" i="31"/>
  <c r="MR67" i="31"/>
  <c r="NF67" i="31"/>
  <c r="OO67" i="31"/>
  <c r="KT67" i="31" s="1"/>
  <c r="OM67" i="31"/>
  <c r="MZ67" i="31"/>
  <c r="OZ66" i="31"/>
  <c r="PA66" i="31"/>
  <c r="OC66" i="31"/>
  <c r="OD67" i="31" s="1"/>
  <c r="OH67" i="31" s="1"/>
  <c r="OK67" i="31" s="1"/>
  <c r="OJ66" i="31"/>
  <c r="CL66" i="31"/>
  <c r="CM66" i="31"/>
  <c r="CN66" i="31" s="1"/>
  <c r="CP66" i="31" l="1"/>
  <c r="KL67" i="31"/>
  <c r="KN68" i="31" s="1"/>
  <c r="KM67" i="31"/>
  <c r="KO68" i="31" s="1"/>
  <c r="MW67" i="31"/>
  <c r="OY67" i="31"/>
  <c r="MS67" i="31"/>
  <c r="MT67" i="31" l="1"/>
  <c r="NP67" i="31"/>
  <c r="NQ67" i="31"/>
  <c r="NH68" i="31"/>
  <c r="NI68" i="31" s="1"/>
  <c r="MO67" i="31"/>
  <c r="MU67" i="31"/>
  <c r="NJ67" i="31"/>
  <c r="PE67" i="31"/>
  <c r="MX67" i="31"/>
  <c r="KP68" i="31"/>
  <c r="KR67" i="31"/>
  <c r="KQ67" i="31"/>
  <c r="JR66" i="31"/>
  <c r="JS66" i="31" s="1"/>
  <c r="FX66" i="31"/>
  <c r="FY66" i="31" s="1"/>
  <c r="DQ66" i="31"/>
  <c r="DR66" i="31" s="1"/>
  <c r="GO66" i="31"/>
  <c r="FH66" i="31"/>
  <c r="FI66" i="31" s="1"/>
  <c r="FP66" i="31"/>
  <c r="FS66" i="31" s="1"/>
  <c r="FU66" i="31"/>
  <c r="FW66" i="31" s="1"/>
  <c r="CQ66" i="31"/>
  <c r="FZ66" i="31"/>
  <c r="GA66" i="31" s="1"/>
  <c r="GB66" i="31"/>
  <c r="GC66" i="31" s="1"/>
  <c r="FE66" i="31"/>
  <c r="FF66" i="31" s="1"/>
  <c r="HO66" i="31"/>
  <c r="KX66" i="31"/>
  <c r="GN66" i="31" s="1"/>
  <c r="KU66" i="31"/>
  <c r="NR67" i="31" l="1"/>
  <c r="NK67" i="31"/>
  <c r="NL67" i="31"/>
  <c r="NG68" i="31"/>
  <c r="OQ68" i="31"/>
  <c r="GQ66" i="31"/>
  <c r="KV66" i="31"/>
  <c r="HU66" i="31"/>
  <c r="HV67" i="31" s="1"/>
  <c r="FJ67" i="31"/>
  <c r="IA66" i="31"/>
  <c r="IB66" i="31" s="1"/>
  <c r="HP66" i="31"/>
  <c r="IZ66" i="31"/>
  <c r="FG67" i="31"/>
  <c r="HW66" i="31"/>
  <c r="HX67" i="31" s="1"/>
  <c r="DS66" i="31"/>
  <c r="DY66" i="31"/>
  <c r="HA66" i="31"/>
  <c r="HY66" i="31"/>
  <c r="JU66" i="31"/>
  <c r="KE66" i="31"/>
  <c r="KC66" i="31"/>
  <c r="JT67" i="31"/>
  <c r="NB67" i="31"/>
  <c r="NA67" i="31"/>
  <c r="CR66" i="31"/>
  <c r="CS66" i="31"/>
  <c r="CT66" i="31"/>
  <c r="KS67" i="31"/>
  <c r="KW67" i="31" l="1"/>
  <c r="HQ66" i="31"/>
  <c r="HR67" i="31" s="1"/>
  <c r="HT66" i="31"/>
  <c r="HS66" i="31"/>
  <c r="JG66" i="31" s="1"/>
  <c r="OR68" i="31"/>
  <c r="NC68" i="31"/>
  <c r="MQ68" i="31"/>
  <c r="AX66" i="31"/>
  <c r="AY67" i="31" s="1"/>
  <c r="AZ66" i="31"/>
  <c r="EN66" i="31"/>
  <c r="EM66" i="31"/>
  <c r="EW66" i="31" s="1"/>
  <c r="BB67" i="31" l="1"/>
  <c r="DW66" i="31"/>
  <c r="DU67" i="31" s="1"/>
  <c r="IW66" i="31"/>
  <c r="EQ66" i="31"/>
  <c r="ER67" i="31"/>
  <c r="IU66" i="31"/>
  <c r="IV66" i="31" s="1"/>
  <c r="IC66" i="31"/>
  <c r="ID66" i="31" s="1"/>
  <c r="IF66" i="31" s="1"/>
  <c r="KH66" i="31" s="1"/>
  <c r="JB66" i="31"/>
  <c r="EU67" i="31" l="1"/>
  <c r="BC67" i="31"/>
  <c r="KB66" i="31"/>
  <c r="IX66" i="31"/>
  <c r="KK66" i="31"/>
  <c r="GM66" i="31"/>
  <c r="IM66" i="31"/>
  <c r="DB66" i="31"/>
  <c r="DC66" i="31" s="1"/>
  <c r="DD67" i="31" s="1"/>
  <c r="DE68" i="31" s="1"/>
  <c r="KI67" i="31"/>
  <c r="IN66" i="31"/>
  <c r="DF66" i="31"/>
  <c r="DT66" i="31" l="1"/>
  <c r="DZ66" i="31" s="1"/>
  <c r="GR66" i="31"/>
  <c r="GV66" i="31"/>
  <c r="GU66" i="31"/>
  <c r="FD66" i="31"/>
  <c r="KJ67" i="31"/>
  <c r="BD67" i="31"/>
  <c r="BE67" i="31"/>
  <c r="GT68" i="31"/>
  <c r="IS66" i="31" l="1"/>
  <c r="FL67" i="31"/>
  <c r="BG67" i="31"/>
  <c r="BF67" i="31"/>
  <c r="GS66" i="31"/>
  <c r="GY66" i="31" l="1"/>
  <c r="GW66" i="31"/>
  <c r="HC66" i="31" s="1"/>
  <c r="FA67" i="31" s="1"/>
  <c r="HB67" i="31" s="1"/>
  <c r="GX66" i="31"/>
  <c r="BH67" i="31"/>
  <c r="BI67" i="31"/>
  <c r="BK67" i="31" s="1"/>
  <c r="FM67" i="31"/>
  <c r="JH66" i="31"/>
  <c r="JI66" i="31" s="1"/>
  <c r="IT66" i="31"/>
  <c r="BJ67" i="31" l="1"/>
  <c r="JK66" i="31"/>
  <c r="JN66" i="31" s="1"/>
  <c r="JV66" i="31" s="1"/>
  <c r="JF67" i="31" s="1"/>
  <c r="HM66" i="31"/>
  <c r="EG66" i="31"/>
  <c r="EH67" i="31" s="1"/>
  <c r="EI67" i="31" s="1"/>
  <c r="FK67" i="31" s="1"/>
  <c r="EY66" i="31"/>
  <c r="HK67" i="31"/>
  <c r="BL67" i="31"/>
  <c r="BM67" i="31"/>
  <c r="JM66" i="31" l="1"/>
  <c r="KD66" i="31" s="1"/>
  <c r="IL67" i="31" s="1"/>
  <c r="JW67" i="31"/>
  <c r="JY67" i="31"/>
  <c r="EJ66" i="31"/>
  <c r="EK67" i="31" s="1"/>
  <c r="EE66" i="31"/>
  <c r="EF67" i="31" s="1"/>
  <c r="ED66" i="31"/>
  <c r="EB67" i="31" s="1"/>
  <c r="BO67" i="31"/>
  <c r="BN67" i="31"/>
  <c r="JZ66" i="31"/>
  <c r="KF66" i="31" s="1"/>
  <c r="IQ67" i="31" s="1"/>
  <c r="JL66" i="31"/>
  <c r="JJ67" i="31" s="1"/>
  <c r="KA67" i="31"/>
  <c r="EZ66" i="31"/>
  <c r="DG66" i="31"/>
  <c r="DH66" i="31" s="1"/>
  <c r="DI67" i="31" s="1"/>
  <c r="IP67" i="31" l="1"/>
  <c r="IO67" i="31"/>
  <c r="EL67" i="31"/>
  <c r="FC67" i="31"/>
  <c r="EO67" i="31"/>
  <c r="ES68" i="31" s="1"/>
  <c r="EP67" i="31"/>
  <c r="ET68" i="31" s="1"/>
  <c r="EV67" i="31"/>
  <c r="HZ67" i="31"/>
  <c r="GZ67" i="31"/>
  <c r="IE67" i="31" s="1"/>
  <c r="DJ67" i="31"/>
  <c r="DK67" i="31" s="1"/>
  <c r="DP67" i="31"/>
  <c r="JC67" i="31"/>
  <c r="JD67" i="31"/>
  <c r="JO67" i="31"/>
  <c r="JE67" i="31"/>
  <c r="JX67" i="31" s="1"/>
  <c r="IR67" i="31"/>
  <c r="IY67" i="31"/>
  <c r="JA67" i="31"/>
  <c r="BP67" i="31"/>
  <c r="BQ67" i="31" s="1"/>
  <c r="JP67" i="31" l="1"/>
  <c r="JQ67" i="31" s="1"/>
  <c r="BR67" i="31"/>
  <c r="BS67" i="31"/>
  <c r="EC67" i="31"/>
  <c r="KG67" i="31"/>
  <c r="DM67" i="31"/>
  <c r="DX67" i="31"/>
  <c r="FQ67" i="31"/>
  <c r="DL67" i="31" l="1"/>
  <c r="L68" i="31"/>
  <c r="FB67" i="31"/>
  <c r="EX67" i="31"/>
  <c r="M67" i="31" s="1"/>
  <c r="BT67" i="31"/>
  <c r="BU67" i="31"/>
  <c r="BV67" i="31" l="1"/>
  <c r="BW67" i="31" s="1"/>
  <c r="MB67" i="31"/>
  <c r="MJ67" i="31"/>
  <c r="NS67" i="31" s="1"/>
  <c r="NM67" i="31" l="1"/>
  <c r="NN67" i="31" s="1"/>
  <c r="BY67" i="31"/>
  <c r="BX67" i="31"/>
  <c r="NT67" i="31"/>
  <c r="OU68" i="31"/>
  <c r="BZ67" i="31" l="1"/>
  <c r="OV68" i="31"/>
  <c r="NW67" i="31"/>
  <c r="NX67" i="31" s="1"/>
  <c r="OF67" i="31" s="1"/>
  <c r="OS68" i="31" s="1"/>
  <c r="CA67" i="31"/>
  <c r="CC67" i="31" s="1"/>
  <c r="CD67" i="31" s="1"/>
  <c r="FV67" i="31"/>
  <c r="FR67" i="31"/>
  <c r="CX67" i="31"/>
  <c r="NU67" i="31"/>
  <c r="CE67" i="31" l="1"/>
  <c r="CF67" i="31" s="1"/>
  <c r="NY67" i="31"/>
  <c r="OB67" i="31" s="1"/>
  <c r="OT68" i="31" s="1"/>
  <c r="CB67" i="31"/>
  <c r="NZ67" i="31"/>
  <c r="MY67" i="31"/>
  <c r="CY68" i="31"/>
  <c r="NV67" i="31"/>
  <c r="CG67" i="31" l="1"/>
  <c r="CI67" i="31" s="1"/>
  <c r="CK67" i="31" s="1"/>
  <c r="OA67" i="31"/>
  <c r="MV68" i="31" s="1"/>
  <c r="OG68" i="31" s="1"/>
  <c r="OJ67" i="31"/>
  <c r="OY68" i="31" s="1"/>
  <c r="PA67" i="31"/>
  <c r="OC67" i="31"/>
  <c r="OD68" i="31" s="1"/>
  <c r="OH68" i="31" s="1"/>
  <c r="OM68" i="31"/>
  <c r="NF68" i="31"/>
  <c r="OO68" i="31"/>
  <c r="MZ68" i="31"/>
  <c r="OZ67" i="31"/>
  <c r="OI67" i="31"/>
  <c r="CJ67" i="31" l="1"/>
  <c r="CO67" i="31" s="1"/>
  <c r="CH67" i="31"/>
  <c r="KT68" i="31"/>
  <c r="KM68" i="31" s="1"/>
  <c r="KO69" i="31" s="1"/>
  <c r="OK68" i="31"/>
  <c r="MW68" i="31"/>
  <c r="MX68" i="31" s="1"/>
  <c r="CL67" i="31"/>
  <c r="CM67" i="31"/>
  <c r="CN67" i="31" s="1"/>
  <c r="OX68" i="31"/>
  <c r="OW67" i="31"/>
  <c r="MR68" i="31"/>
  <c r="KL68" i="31" l="1"/>
  <c r="KN69" i="31" s="1"/>
  <c r="KQ68" i="31" s="1"/>
  <c r="CP67" i="31"/>
  <c r="MS68" i="31"/>
  <c r="NB68" i="31"/>
  <c r="NA68" i="31"/>
  <c r="KR68" i="31"/>
  <c r="KP69" i="31" l="1"/>
  <c r="KS68" i="31"/>
  <c r="MT68" i="31"/>
  <c r="NJ68" i="31"/>
  <c r="NP68" i="31"/>
  <c r="NQ68" i="31"/>
  <c r="MO68" i="31"/>
  <c r="NH69" i="31"/>
  <c r="NI69" i="31" s="1"/>
  <c r="MU68" i="31"/>
  <c r="PE68" i="31"/>
  <c r="GB67" i="31"/>
  <c r="GC67" i="31" s="1"/>
  <c r="FE67" i="31"/>
  <c r="FF67" i="31" s="1"/>
  <c r="FP67" i="31"/>
  <c r="FS67" i="31" s="1"/>
  <c r="FH67" i="31"/>
  <c r="FI67" i="31" s="1"/>
  <c r="JR67" i="31"/>
  <c r="JS67" i="31" s="1"/>
  <c r="CQ67" i="31"/>
  <c r="GO67" i="31"/>
  <c r="FU67" i="31"/>
  <c r="FW67" i="31" s="1"/>
  <c r="HO67" i="31"/>
  <c r="DQ67" i="31"/>
  <c r="DR67" i="31" s="1"/>
  <c r="FZ67" i="31"/>
  <c r="GA67" i="31" s="1"/>
  <c r="FX67" i="31"/>
  <c r="FY67" i="31" s="1"/>
  <c r="KX67" i="31"/>
  <c r="KU67" i="31"/>
  <c r="GN67" i="31" l="1"/>
  <c r="GQ67" i="31" s="1"/>
  <c r="NR68" i="31"/>
  <c r="CS67" i="31"/>
  <c r="CR67" i="31"/>
  <c r="CT67" i="31"/>
  <c r="JU67" i="31"/>
  <c r="KE67" i="31"/>
  <c r="JT68" i="31"/>
  <c r="KC67" i="31"/>
  <c r="HU67" i="31"/>
  <c r="HV68" i="31" s="1"/>
  <c r="FJ68" i="31"/>
  <c r="HY67" i="31"/>
  <c r="HA67" i="31"/>
  <c r="DY67" i="31"/>
  <c r="DS67" i="31"/>
  <c r="HW67" i="31"/>
  <c r="HX68" i="31" s="1"/>
  <c r="FG68" i="31"/>
  <c r="NK68" i="31"/>
  <c r="NL68" i="31"/>
  <c r="NG69" i="31"/>
  <c r="OQ69" i="31"/>
  <c r="HP67" i="31"/>
  <c r="IA67" i="31"/>
  <c r="IB67" i="31" s="1"/>
  <c r="IZ67" i="31"/>
  <c r="KV67" i="31" l="1"/>
  <c r="KW68" i="31" s="1"/>
  <c r="NC69" i="31"/>
  <c r="MQ69" i="31"/>
  <c r="HT67" i="31"/>
  <c r="HS67" i="31"/>
  <c r="JG67" i="31" s="1"/>
  <c r="AX67" i="31"/>
  <c r="AY68" i="31" s="1"/>
  <c r="EN67" i="31"/>
  <c r="EM67" i="31"/>
  <c r="EW67" i="31" s="1"/>
  <c r="AZ67" i="31"/>
  <c r="OR69" i="31"/>
  <c r="HQ67" i="31" l="1"/>
  <c r="HR68" i="31" s="1"/>
  <c r="IC67" i="31"/>
  <c r="ID67" i="31" s="1"/>
  <c r="IF67" i="31" s="1"/>
  <c r="KH67" i="31" s="1"/>
  <c r="JB67" i="31"/>
  <c r="BB68" i="31"/>
  <c r="EQ67" i="31"/>
  <c r="IW67" i="31"/>
  <c r="DW67" i="31"/>
  <c r="DU68" i="31" s="1"/>
  <c r="ER68" i="31"/>
  <c r="IU67" i="31"/>
  <c r="IV67" i="31" s="1"/>
  <c r="BC68" i="31" l="1"/>
  <c r="KB67" i="31"/>
  <c r="IX67" i="31"/>
  <c r="KK67" i="31"/>
  <c r="DB67" i="31"/>
  <c r="DC67" i="31" s="1"/>
  <c r="DD68" i="31" s="1"/>
  <c r="DE69" i="31" s="1"/>
  <c r="GM67" i="31"/>
  <c r="IM67" i="31"/>
  <c r="DT67" i="31" s="1"/>
  <c r="DZ67" i="31" s="1"/>
  <c r="KI68" i="31"/>
  <c r="IN67" i="31"/>
  <c r="DF67" i="31"/>
  <c r="EU68" i="31"/>
  <c r="KJ68" i="31" l="1"/>
  <c r="GR67" i="31"/>
  <c r="GT69" i="31"/>
  <c r="GU67" i="31"/>
  <c r="GV67" i="31"/>
  <c r="FD67" i="31"/>
  <c r="BD68" i="31"/>
  <c r="BE68" i="31"/>
  <c r="BF68" i="31" l="1"/>
  <c r="BG68" i="31"/>
  <c r="GS67" i="31"/>
  <c r="IS67" i="31"/>
  <c r="FL68" i="31"/>
  <c r="JH67" i="31" l="1"/>
  <c r="JI67" i="31" s="1"/>
  <c r="IT67" i="31"/>
  <c r="GW67" i="31"/>
  <c r="HC67" i="31" s="1"/>
  <c r="FA68" i="31" s="1"/>
  <c r="HB68" i="31" s="1"/>
  <c r="GX67" i="31"/>
  <c r="GY67" i="31"/>
  <c r="FM68" i="31"/>
  <c r="BI68" i="31"/>
  <c r="BK68" i="31" s="1"/>
  <c r="BH68" i="31"/>
  <c r="BL68" i="31" l="1"/>
  <c r="BM68" i="31"/>
  <c r="EG67" i="31"/>
  <c r="EH68" i="31" s="1"/>
  <c r="EI68" i="31" s="1"/>
  <c r="FK68" i="31" s="1"/>
  <c r="HM67" i="31"/>
  <c r="EY67" i="31"/>
  <c r="HK68" i="31"/>
  <c r="BJ68" i="31"/>
  <c r="JK67" i="31"/>
  <c r="JZ67" i="31" s="1"/>
  <c r="KF67" i="31" s="1"/>
  <c r="IQ68" i="31" s="1"/>
  <c r="JM67" i="31" l="1"/>
  <c r="KD67" i="31" s="1"/>
  <c r="IL68" i="31" s="1"/>
  <c r="JE68" i="31" s="1"/>
  <c r="ED67" i="31"/>
  <c r="EB68" i="31" s="1"/>
  <c r="EJ67" i="31"/>
  <c r="EK68" i="31" s="1"/>
  <c r="EE67" i="31"/>
  <c r="EF68" i="31" s="1"/>
  <c r="JN67" i="31"/>
  <c r="JV67" i="31" s="1"/>
  <c r="JF68" i="31" s="1"/>
  <c r="JL67" i="31"/>
  <c r="JJ68" i="31" s="1"/>
  <c r="KA68" i="31"/>
  <c r="BN68" i="31"/>
  <c r="BO68" i="31"/>
  <c r="EZ67" i="31"/>
  <c r="DG67" i="31"/>
  <c r="DH67" i="31" s="1"/>
  <c r="DI68" i="31" s="1"/>
  <c r="IO68" i="31" l="1"/>
  <c r="IR68" i="31"/>
  <c r="EO68" i="31"/>
  <c r="ES69" i="31" s="1"/>
  <c r="FC68" i="31"/>
  <c r="EP68" i="31"/>
  <c r="ET69" i="31" s="1"/>
  <c r="EL68" i="31"/>
  <c r="EV68" i="31"/>
  <c r="BP68" i="31"/>
  <c r="BQ68" i="31" s="1"/>
  <c r="DP68" i="31"/>
  <c r="HZ68" i="31"/>
  <c r="IY68" i="31"/>
  <c r="JA68" i="31"/>
  <c r="JW68" i="31"/>
  <c r="JY68" i="31"/>
  <c r="GZ68" i="31"/>
  <c r="IE68" i="31" s="1"/>
  <c r="DJ68" i="31"/>
  <c r="DK68" i="31" s="1"/>
  <c r="IP68" i="31"/>
  <c r="JC68" i="31"/>
  <c r="JD68" i="31"/>
  <c r="JO68" i="31"/>
  <c r="JP68" i="31" l="1"/>
  <c r="JQ68" i="31" s="1"/>
  <c r="DM68" i="31"/>
  <c r="FQ68" i="31"/>
  <c r="DX68" i="31"/>
  <c r="EC68" i="31"/>
  <c r="BR68" i="31"/>
  <c r="BS68" i="31"/>
  <c r="KG68" i="31"/>
  <c r="JX68" i="31"/>
  <c r="BT68" i="31" l="1"/>
  <c r="BU68" i="31"/>
  <c r="BV68" i="31" s="1"/>
  <c r="EX68" i="31"/>
  <c r="M68" i="31" s="1"/>
  <c r="FB68" i="31"/>
  <c r="DL68" i="31"/>
  <c r="L69" i="31"/>
  <c r="BW68" i="31" l="1"/>
  <c r="BX68" i="31" s="1"/>
  <c r="MB68" i="31"/>
  <c r="MJ68" i="31"/>
  <c r="NS68" i="31" s="1"/>
  <c r="BY68" i="31" l="1"/>
  <c r="BZ68" i="31" s="1"/>
  <c r="NM68" i="31"/>
  <c r="NN68" i="31" s="1"/>
  <c r="NT68" i="31"/>
  <c r="OU69" i="31"/>
  <c r="CA68" i="31" l="1"/>
  <c r="CC68" i="31" s="1"/>
  <c r="CD68" i="31" s="1"/>
  <c r="OV69" i="31"/>
  <c r="NW68" i="31"/>
  <c r="NX68" i="31"/>
  <c r="FV68" i="31"/>
  <c r="CX68" i="31"/>
  <c r="FR68" i="31"/>
  <c r="NU68" i="31"/>
  <c r="CE68" i="31" l="1"/>
  <c r="CF68" i="31" s="1"/>
  <c r="CB68" i="31"/>
  <c r="NV68" i="31"/>
  <c r="NY68" i="31"/>
  <c r="OF68" i="31"/>
  <c r="OS69" i="31" s="1"/>
  <c r="MY68" i="31"/>
  <c r="NZ68" i="31"/>
  <c r="CY69" i="31"/>
  <c r="CG68" i="31" l="1"/>
  <c r="CI68" i="31" s="1"/>
  <c r="CK68" i="31" s="1"/>
  <c r="OA68" i="31"/>
  <c r="MV69" i="31" s="1"/>
  <c r="OG69" i="31" s="1"/>
  <c r="OI68" i="31"/>
  <c r="OX69" i="31" s="1"/>
  <c r="OO69" i="31"/>
  <c r="OM69" i="31"/>
  <c r="NF69" i="31"/>
  <c r="MZ69" i="31"/>
  <c r="OZ68" i="31"/>
  <c r="OB68" i="31"/>
  <c r="OT69" i="31" s="1"/>
  <c r="CJ68" i="31" l="1"/>
  <c r="CO68" i="31" s="1"/>
  <c r="CH68" i="31"/>
  <c r="OW68" i="31"/>
  <c r="MR69" i="31"/>
  <c r="MS69" i="31" s="1"/>
  <c r="KT69" i="31"/>
  <c r="KM69" i="31" s="1"/>
  <c r="KO70" i="31" s="1"/>
  <c r="OC68" i="31"/>
  <c r="OD69" i="31" s="1"/>
  <c r="OH69" i="31" s="1"/>
  <c r="OK69" i="31" s="1"/>
  <c r="CL68" i="31"/>
  <c r="CM68" i="31"/>
  <c r="CN68" i="31" s="1"/>
  <c r="PA68" i="31"/>
  <c r="OJ68" i="31"/>
  <c r="KL69" i="31" l="1"/>
  <c r="KN70" i="31" s="1"/>
  <c r="KQ69" i="31" s="1"/>
  <c r="CP68" i="31"/>
  <c r="DQ68" i="31" s="1"/>
  <c r="DR68" i="31" s="1"/>
  <c r="MW69" i="31"/>
  <c r="OY69" i="31"/>
  <c r="MO69" i="31"/>
  <c r="NP69" i="31"/>
  <c r="NJ69" i="31"/>
  <c r="NQ69" i="31"/>
  <c r="MT69" i="31"/>
  <c r="MU69" i="31"/>
  <c r="NH70" i="31"/>
  <c r="NI70" i="31" s="1"/>
  <c r="PE69" i="31"/>
  <c r="FE68" i="31"/>
  <c r="FF68" i="31" s="1"/>
  <c r="KR69" i="31"/>
  <c r="NR69" i="31" l="1"/>
  <c r="FZ68" i="31"/>
  <c r="GA68" i="31" s="1"/>
  <c r="CQ68" i="31"/>
  <c r="CS68" i="31" s="1"/>
  <c r="FH68" i="31"/>
  <c r="FI68" i="31" s="1"/>
  <c r="HU68" i="31" s="1"/>
  <c r="HV69" i="31" s="1"/>
  <c r="KU68" i="31"/>
  <c r="FU68" i="31"/>
  <c r="FW68" i="31" s="1"/>
  <c r="JR68" i="31"/>
  <c r="JS68" i="31" s="1"/>
  <c r="KC68" i="31" s="1"/>
  <c r="FX68" i="31"/>
  <c r="FY68" i="31" s="1"/>
  <c r="GB68" i="31"/>
  <c r="GC68" i="31" s="1"/>
  <c r="GO68" i="31"/>
  <c r="FP68" i="31"/>
  <c r="FS68" i="31" s="1"/>
  <c r="DY68" i="31" s="1"/>
  <c r="HO68" i="31"/>
  <c r="HP68" i="31" s="1"/>
  <c r="KX68" i="31"/>
  <c r="GN68" i="31" s="1"/>
  <c r="KV68" i="31" s="1"/>
  <c r="KP70" i="31"/>
  <c r="KS69" i="31"/>
  <c r="DS68" i="31"/>
  <c r="NK69" i="31"/>
  <c r="NL69" i="31"/>
  <c r="NG70" i="31"/>
  <c r="OQ70" i="31"/>
  <c r="FG69" i="31"/>
  <c r="HW68" i="31"/>
  <c r="HX69" i="31" s="1"/>
  <c r="MX69" i="31"/>
  <c r="CR68" i="31" l="1"/>
  <c r="CT68" i="31"/>
  <c r="FJ69" i="31"/>
  <c r="KW69" i="31"/>
  <c r="HQ68" i="31"/>
  <c r="HR69" i="31" s="1"/>
  <c r="JT69" i="31"/>
  <c r="KE68" i="31"/>
  <c r="JU68" i="31"/>
  <c r="HA68" i="31"/>
  <c r="HY68" i="31"/>
  <c r="IZ68" i="31"/>
  <c r="IA68" i="31"/>
  <c r="IB68" i="31" s="1"/>
  <c r="GQ68" i="31"/>
  <c r="NA69" i="31"/>
  <c r="NB69" i="31"/>
  <c r="HT68" i="31"/>
  <c r="HS68" i="31"/>
  <c r="JG68" i="31" s="1"/>
  <c r="OR70" i="31"/>
  <c r="AX68" i="31"/>
  <c r="AY69" i="31" s="1"/>
  <c r="AZ68" i="31"/>
  <c r="EM68" i="31"/>
  <c r="EW68" i="31" s="1"/>
  <c r="EN68" i="31"/>
  <c r="NC70" i="31"/>
  <c r="MQ70" i="31"/>
  <c r="BB69" i="31" l="1"/>
  <c r="DW68" i="31"/>
  <c r="DU69" i="31" s="1"/>
  <c r="IW68" i="31"/>
  <c r="EQ68" i="31"/>
  <c r="ER69" i="31"/>
  <c r="IU68" i="31"/>
  <c r="IV68" i="31" s="1"/>
  <c r="IC68" i="31"/>
  <c r="ID68" i="31" s="1"/>
  <c r="IF68" i="31" s="1"/>
  <c r="KH68" i="31" s="1"/>
  <c r="JB68" i="31"/>
  <c r="KB68" i="31" l="1"/>
  <c r="IX68" i="31"/>
  <c r="KK68" i="31"/>
  <c r="GM68" i="31"/>
  <c r="DB68" i="31"/>
  <c r="DC68" i="31" s="1"/>
  <c r="DD69" i="31" s="1"/>
  <c r="DE70" i="31" s="1"/>
  <c r="IM68" i="31"/>
  <c r="KI69" i="31"/>
  <c r="IN68" i="31"/>
  <c r="DF68" i="31"/>
  <c r="BC69" i="31"/>
  <c r="EU69" i="31"/>
  <c r="DT68" i="31" l="1"/>
  <c r="DZ68" i="31" s="1"/>
  <c r="GR68" i="31"/>
  <c r="BE69" i="31"/>
  <c r="BD69" i="31"/>
  <c r="GV68" i="31"/>
  <c r="GU68" i="31"/>
  <c r="FD68" i="31"/>
  <c r="KJ69" i="31"/>
  <c r="GT70" i="31"/>
  <c r="BG69" i="31" l="1"/>
  <c r="BF69" i="31"/>
  <c r="GS68" i="31"/>
  <c r="IS68" i="31"/>
  <c r="FL69" i="31"/>
  <c r="JH68" i="31" l="1"/>
  <c r="JI68" i="31" s="1"/>
  <c r="IT68" i="31"/>
  <c r="GW68" i="31"/>
  <c r="HC68" i="31" s="1"/>
  <c r="FA69" i="31" s="1"/>
  <c r="HB69" i="31" s="1"/>
  <c r="GY68" i="31"/>
  <c r="GX68" i="31"/>
  <c r="FM69" i="31"/>
  <c r="BH69" i="31"/>
  <c r="BI69" i="31"/>
  <c r="BK69" i="31" s="1"/>
  <c r="BJ69" i="31" l="1"/>
  <c r="EY68" i="31"/>
  <c r="EG68" i="31"/>
  <c r="EH69" i="31" s="1"/>
  <c r="EI69" i="31" s="1"/>
  <c r="FK69" i="31" s="1"/>
  <c r="HM68" i="31"/>
  <c r="HK69" i="31"/>
  <c r="BL69" i="31"/>
  <c r="BM69" i="31"/>
  <c r="JK68" i="31"/>
  <c r="JZ68" i="31" s="1"/>
  <c r="KF68" i="31" s="1"/>
  <c r="IQ69" i="31" s="1"/>
  <c r="JM68" i="31" l="1"/>
  <c r="KD68" i="31" s="1"/>
  <c r="IL69" i="31" s="1"/>
  <c r="EE68" i="31"/>
  <c r="EF69" i="31" s="1"/>
  <c r="EJ68" i="31"/>
  <c r="EK69" i="31" s="1"/>
  <c r="ED68" i="31"/>
  <c r="EB69" i="31" s="1"/>
  <c r="JA69" i="31" s="1"/>
  <c r="BN69" i="31"/>
  <c r="BO69" i="31"/>
  <c r="BP69" i="31" s="1"/>
  <c r="BQ69" i="31" s="1"/>
  <c r="JN68" i="31"/>
  <c r="JV68" i="31" s="1"/>
  <c r="JF69" i="31" s="1"/>
  <c r="JL68" i="31"/>
  <c r="JJ69" i="31" s="1"/>
  <c r="KA69" i="31"/>
  <c r="EZ68" i="31"/>
  <c r="DG68" i="31"/>
  <c r="DH68" i="31" s="1"/>
  <c r="DI69" i="31" s="1"/>
  <c r="JO69" i="31" l="1"/>
  <c r="JE69" i="31"/>
  <c r="IR69" i="31"/>
  <c r="BR69" i="31"/>
  <c r="BS69" i="31"/>
  <c r="JC69" i="31"/>
  <c r="JD69" i="31"/>
  <c r="FC69" i="31"/>
  <c r="EO69" i="31"/>
  <c r="ES70" i="31" s="1"/>
  <c r="EL69" i="31"/>
  <c r="EP69" i="31"/>
  <c r="ET70" i="31" s="1"/>
  <c r="EV69" i="31"/>
  <c r="DJ69" i="31"/>
  <c r="DK69" i="31" s="1"/>
  <c r="GZ69" i="31"/>
  <c r="IE69" i="31" s="1"/>
  <c r="DP69" i="31"/>
  <c r="IO69" i="31"/>
  <c r="HZ69" i="31"/>
  <c r="JW69" i="31"/>
  <c r="JY69" i="31"/>
  <c r="IP69" i="31"/>
  <c r="IY69" i="31"/>
  <c r="JP69" i="31" l="1"/>
  <c r="JQ69" i="31" s="1"/>
  <c r="KG69" i="31"/>
  <c r="DM69" i="31"/>
  <c r="FQ69" i="31"/>
  <c r="DX69" i="31"/>
  <c r="EC69" i="31"/>
  <c r="JX69" i="31"/>
  <c r="BT69" i="31"/>
  <c r="BU69" i="31"/>
  <c r="BV69" i="31" l="1"/>
  <c r="BW69" i="31" s="1"/>
  <c r="EX69" i="31"/>
  <c r="M69" i="31" s="1"/>
  <c r="FB69" i="31"/>
  <c r="DL69" i="31"/>
  <c r="L70" i="31"/>
  <c r="BX69" i="31" l="1"/>
  <c r="BY69" i="31"/>
  <c r="MB69" i="31"/>
  <c r="MJ69" i="31"/>
  <c r="NS69" i="31" s="1"/>
  <c r="BZ69" i="31" l="1"/>
  <c r="CA69" i="31"/>
  <c r="CC69" i="31" s="1"/>
  <c r="CD69" i="31" s="1"/>
  <c r="NM69" i="31"/>
  <c r="NN69" i="31" s="1"/>
  <c r="NT69" i="31"/>
  <c r="OU70" i="31"/>
  <c r="CE69" i="31" l="1"/>
  <c r="CG69" i="31" s="1"/>
  <c r="CI69" i="31" s="1"/>
  <c r="CB69" i="31"/>
  <c r="NW69" i="31"/>
  <c r="NX69" i="31" s="1"/>
  <c r="OF69" i="31" s="1"/>
  <c r="OS70" i="31" s="1"/>
  <c r="OV70" i="31"/>
  <c r="FR69" i="31"/>
  <c r="CX69" i="31"/>
  <c r="FV69" i="31"/>
  <c r="NU69" i="31"/>
  <c r="CF69" i="31" l="1"/>
  <c r="CH69" i="31"/>
  <c r="NV69" i="31"/>
  <c r="NZ69" i="31"/>
  <c r="MY69" i="31"/>
  <c r="CY70" i="31"/>
  <c r="CJ69" i="31"/>
  <c r="CO69" i="31" s="1"/>
  <c r="CK69" i="31"/>
  <c r="NY69" i="31"/>
  <c r="CL69" i="31" l="1"/>
  <c r="CM69" i="31"/>
  <c r="CN69" i="31" s="1"/>
  <c r="MZ70" i="31"/>
  <c r="OZ69" i="31"/>
  <c r="OB69" i="31"/>
  <c r="OT70" i="31" s="1"/>
  <c r="OA69" i="31"/>
  <c r="MV70" i="31" s="1"/>
  <c r="NF70" i="31"/>
  <c r="OM70" i="31"/>
  <c r="OO70" i="31"/>
  <c r="OI69" i="31"/>
  <c r="OJ69" i="31" l="1"/>
  <c r="OC69" i="31"/>
  <c r="OD70" i="31" s="1"/>
  <c r="OH70" i="31" s="1"/>
  <c r="PA69" i="31"/>
  <c r="OW69" i="31"/>
  <c r="MR70" i="31"/>
  <c r="OX70" i="31"/>
  <c r="KT70" i="31"/>
  <c r="OG70" i="31"/>
  <c r="CP69" i="31"/>
  <c r="OK70" i="31" l="1"/>
  <c r="MS70" i="31"/>
  <c r="KL70" i="31"/>
  <c r="KN71" i="31" s="1"/>
  <c r="KM70" i="31"/>
  <c r="KO71" i="31" s="1"/>
  <c r="JR69" i="31"/>
  <c r="JS69" i="31" s="1"/>
  <c r="FH69" i="31"/>
  <c r="FI69" i="31" s="1"/>
  <c r="GO69" i="31"/>
  <c r="FX69" i="31"/>
  <c r="FY69" i="31" s="1"/>
  <c r="FE69" i="31"/>
  <c r="FF69" i="31" s="1"/>
  <c r="DQ69" i="31"/>
  <c r="DR69" i="31" s="1"/>
  <c r="FZ69" i="31"/>
  <c r="GA69" i="31" s="1"/>
  <c r="GB69" i="31"/>
  <c r="GC69" i="31" s="1"/>
  <c r="FU69" i="31"/>
  <c r="FW69" i="31" s="1"/>
  <c r="HO69" i="31"/>
  <c r="FP69" i="31"/>
  <c r="FS69" i="31" s="1"/>
  <c r="CQ69" i="31"/>
  <c r="KX69" i="31"/>
  <c r="KU69" i="31"/>
  <c r="MW70" i="31"/>
  <c r="OY70" i="31"/>
  <c r="GN69" i="31" l="1"/>
  <c r="GQ69" i="31" s="1"/>
  <c r="JU69" i="31"/>
  <c r="KE69" i="31"/>
  <c r="KC69" i="31"/>
  <c r="JT70" i="31"/>
  <c r="KP71" i="31"/>
  <c r="KR70" i="31"/>
  <c r="DS69" i="31"/>
  <c r="KQ70" i="31"/>
  <c r="MX70" i="31"/>
  <c r="HW69" i="31"/>
  <c r="HX70" i="31" s="1"/>
  <c r="FG70" i="31"/>
  <c r="CR69" i="31"/>
  <c r="CT69" i="31"/>
  <c r="CS69" i="31"/>
  <c r="DY69" i="31"/>
  <c r="HY69" i="31"/>
  <c r="HA69" i="31"/>
  <c r="MO70" i="31"/>
  <c r="NJ70" i="31"/>
  <c r="MT70" i="31"/>
  <c r="NQ70" i="31"/>
  <c r="NR70" i="31" s="1"/>
  <c r="MU70" i="31"/>
  <c r="NH71" i="31"/>
  <c r="NI71" i="31" s="1"/>
  <c r="NP70" i="31"/>
  <c r="PE70" i="31"/>
  <c r="HP69" i="31"/>
  <c r="IA69" i="31"/>
  <c r="IB69" i="31" s="1"/>
  <c r="IZ69" i="31"/>
  <c r="HU69" i="31"/>
  <c r="HV70" i="31" s="1"/>
  <c r="FJ70" i="31"/>
  <c r="KV69" i="31" l="1"/>
  <c r="KW70" i="31" s="1"/>
  <c r="KS70" i="31"/>
  <c r="HQ69" i="31"/>
  <c r="HR70" i="31" s="1"/>
  <c r="NA70" i="31"/>
  <c r="NB70" i="31"/>
  <c r="NK70" i="31"/>
  <c r="NL70" i="31"/>
  <c r="NG71" i="31"/>
  <c r="OQ71" i="31"/>
  <c r="HT69" i="31"/>
  <c r="HS69" i="31"/>
  <c r="JG69" i="31" s="1"/>
  <c r="AX69" i="31"/>
  <c r="AY70" i="31" s="1"/>
  <c r="AZ69" i="31"/>
  <c r="EN69" i="31"/>
  <c r="EM69" i="31"/>
  <c r="EW69" i="31" s="1"/>
  <c r="OR71" i="31" l="1"/>
  <c r="IC69" i="31"/>
  <c r="ID69" i="31" s="1"/>
  <c r="IF69" i="31" s="1"/>
  <c r="KH69" i="31" s="1"/>
  <c r="JB69" i="31"/>
  <c r="NC71" i="31"/>
  <c r="MQ71" i="31"/>
  <c r="BB70" i="31"/>
  <c r="DW69" i="31"/>
  <c r="DU70" i="31" s="1"/>
  <c r="IW69" i="31"/>
  <c r="EQ69" i="31"/>
  <c r="ER70" i="31"/>
  <c r="IU69" i="31"/>
  <c r="IV69" i="31" s="1"/>
  <c r="EU70" i="31" l="1"/>
  <c r="IM69" i="31"/>
  <c r="DB69" i="31"/>
  <c r="DC69" i="31" s="1"/>
  <c r="DD70" i="31" s="1"/>
  <c r="DE71" i="31" s="1"/>
  <c r="GM69" i="31"/>
  <c r="KI70" i="31"/>
  <c r="IN69" i="31"/>
  <c r="DF69" i="31"/>
  <c r="KB69" i="31"/>
  <c r="IX69" i="31"/>
  <c r="KK69" i="31"/>
  <c r="BC70" i="31"/>
  <c r="DT69" i="31" l="1"/>
  <c r="DZ69" i="31" s="1"/>
  <c r="FD69" i="31"/>
  <c r="GV69" i="31"/>
  <c r="GU69" i="31"/>
  <c r="KJ70" i="31"/>
  <c r="BD70" i="31"/>
  <c r="BE70" i="31"/>
  <c r="GR69" i="31"/>
  <c r="GT71" i="31"/>
  <c r="BF70" i="31" l="1"/>
  <c r="BG70" i="31"/>
  <c r="GS69" i="31"/>
  <c r="IS69" i="31"/>
  <c r="FL70" i="31"/>
  <c r="FM70" i="31" l="1"/>
  <c r="JH69" i="31"/>
  <c r="JI69" i="31" s="1"/>
  <c r="IT69" i="31"/>
  <c r="GW69" i="31"/>
  <c r="HC69" i="31" s="1"/>
  <c r="FA70" i="31" s="1"/>
  <c r="HB70" i="31" s="1"/>
  <c r="GY69" i="31"/>
  <c r="GX69" i="31"/>
  <c r="BH70" i="31"/>
  <c r="BI70" i="31"/>
  <c r="BK70" i="31" s="1"/>
  <c r="BJ70" i="31" l="1"/>
  <c r="HM69" i="31"/>
  <c r="EY69" i="31"/>
  <c r="EG69" i="31"/>
  <c r="EH70" i="31" s="1"/>
  <c r="EI70" i="31" s="1"/>
  <c r="FK70" i="31" s="1"/>
  <c r="HK70" i="31"/>
  <c r="JK69" i="31"/>
  <c r="BL70" i="31"/>
  <c r="BM70" i="31"/>
  <c r="JM69" i="31" l="1"/>
  <c r="KD69" i="31" s="1"/>
  <c r="IL70" i="31" s="1"/>
  <c r="JL69" i="31"/>
  <c r="JJ70" i="31" s="1"/>
  <c r="KA70" i="31"/>
  <c r="EZ69" i="31"/>
  <c r="DG69" i="31"/>
  <c r="DH69" i="31" s="1"/>
  <c r="DI70" i="31" s="1"/>
  <c r="BN70" i="31"/>
  <c r="BO70" i="31"/>
  <c r="BP70" i="31" s="1"/>
  <c r="BQ70" i="31" s="1"/>
  <c r="JN69" i="31"/>
  <c r="JV69" i="31" s="1"/>
  <c r="JF70" i="31" s="1"/>
  <c r="EE69" i="31"/>
  <c r="EF70" i="31" s="1"/>
  <c r="EJ69" i="31"/>
  <c r="EK70" i="31" s="1"/>
  <c r="ED69" i="31"/>
  <c r="EB70" i="31" s="1"/>
  <c r="JZ69" i="31"/>
  <c r="KF69" i="31" s="1"/>
  <c r="IQ70" i="31" s="1"/>
  <c r="DP70" i="31" l="1"/>
  <c r="GZ70" i="31"/>
  <c r="IE70" i="31" s="1"/>
  <c r="DJ70" i="31"/>
  <c r="DK70" i="31" s="1"/>
  <c r="HZ70" i="31"/>
  <c r="BR70" i="31"/>
  <c r="BS70" i="31"/>
  <c r="JA70" i="31"/>
  <c r="IR70" i="31"/>
  <c r="KG70" i="31" s="1"/>
  <c r="IY70" i="31"/>
  <c r="JO70" i="31"/>
  <c r="JE70" i="31"/>
  <c r="JC70" i="31"/>
  <c r="JD70" i="31"/>
  <c r="JW70" i="31"/>
  <c r="JY70" i="31"/>
  <c r="EP70" i="31"/>
  <c r="ET71" i="31" s="1"/>
  <c r="EL70" i="31"/>
  <c r="EO70" i="31"/>
  <c r="ES71" i="31" s="1"/>
  <c r="FC70" i="31"/>
  <c r="EV70" i="31"/>
  <c r="IP70" i="31"/>
  <c r="IO70" i="31"/>
  <c r="JP70" i="31" l="1"/>
  <c r="JQ70" i="31" s="1"/>
  <c r="DX70" i="31"/>
  <c r="FQ70" i="31"/>
  <c r="DM70" i="31"/>
  <c r="BT70" i="31"/>
  <c r="BU70" i="31"/>
  <c r="EC70" i="31"/>
  <c r="JX70" i="31"/>
  <c r="BV70" i="31" l="1"/>
  <c r="BW70" i="31" s="1"/>
  <c r="DL70" i="31"/>
  <c r="L71" i="31"/>
  <c r="EX70" i="31"/>
  <c r="M70" i="31" s="1"/>
  <c r="FB70" i="31"/>
  <c r="BY70" i="31" l="1"/>
  <c r="CA70" i="31" s="1"/>
  <c r="CC70" i="31" s="1"/>
  <c r="BX70" i="31"/>
  <c r="MJ70" i="31"/>
  <c r="NS70" i="31" s="1"/>
  <c r="MB70" i="31"/>
  <c r="NM70" i="31" s="1"/>
  <c r="NN70" i="31" s="1"/>
  <c r="BZ70" i="31" l="1"/>
  <c r="CB70" i="31"/>
  <c r="CD70" i="31"/>
  <c r="CE70" i="31"/>
  <c r="OV71" i="31"/>
  <c r="NW70" i="31"/>
  <c r="NX70" i="31" s="1"/>
  <c r="NT70" i="31"/>
  <c r="OU71" i="31"/>
  <c r="CX70" i="31" l="1"/>
  <c r="FR70" i="31"/>
  <c r="FV70" i="31"/>
  <c r="NU70" i="31"/>
  <c r="CF70" i="31"/>
  <c r="CG70" i="31"/>
  <c r="CI70" i="31" s="1"/>
  <c r="OF70" i="31"/>
  <c r="OS71" i="31" s="1"/>
  <c r="NY70" i="31"/>
  <c r="CH70" i="31" l="1"/>
  <c r="NV70" i="31"/>
  <c r="NZ70" i="31"/>
  <c r="OA70" i="31" s="1"/>
  <c r="MV71" i="31" s="1"/>
  <c r="MY70" i="31"/>
  <c r="CY71" i="31"/>
  <c r="CJ70" i="31"/>
  <c r="CO70" i="31" s="1"/>
  <c r="CK70" i="31"/>
  <c r="OB70" i="31"/>
  <c r="OT71" i="31" s="1"/>
  <c r="OG71" i="31" l="1"/>
  <c r="OJ70" i="31"/>
  <c r="MZ71" i="31"/>
  <c r="OZ70" i="31"/>
  <c r="CL70" i="31"/>
  <c r="CM70" i="31"/>
  <c r="CN70" i="31" s="1"/>
  <c r="PA70" i="31"/>
  <c r="OC70" i="31"/>
  <c r="OD71" i="31" s="1"/>
  <c r="OH71" i="31" s="1"/>
  <c r="OM71" i="31"/>
  <c r="OO71" i="31"/>
  <c r="KT71" i="31" s="1"/>
  <c r="NF71" i="31"/>
  <c r="OI70" i="31"/>
  <c r="OK71" i="31" l="1"/>
  <c r="KM71" i="31"/>
  <c r="KO72" i="31" s="1"/>
  <c r="KL71" i="31"/>
  <c r="KN72" i="31" s="1"/>
  <c r="OX71" i="31"/>
  <c r="OW70" i="31"/>
  <c r="MR71" i="31"/>
  <c r="OY71" i="31"/>
  <c r="MW71" i="31"/>
  <c r="CP70" i="31"/>
  <c r="MS71" i="31" l="1"/>
  <c r="KQ71" i="31"/>
  <c r="MX71" i="31"/>
  <c r="JR70" i="31"/>
  <c r="JS70" i="31" s="1"/>
  <c r="FU70" i="31"/>
  <c r="FW70" i="31" s="1"/>
  <c r="HO70" i="31"/>
  <c r="FP70" i="31"/>
  <c r="FS70" i="31" s="1"/>
  <c r="FE70" i="31"/>
  <c r="FF70" i="31" s="1"/>
  <c r="FH70" i="31"/>
  <c r="FI70" i="31" s="1"/>
  <c r="GO70" i="31"/>
  <c r="DQ70" i="31"/>
  <c r="DR70" i="31" s="1"/>
  <c r="FZ70" i="31"/>
  <c r="GA70" i="31" s="1"/>
  <c r="CQ70" i="31"/>
  <c r="FX70" i="31"/>
  <c r="FY70" i="31" s="1"/>
  <c r="GB70" i="31"/>
  <c r="GC70" i="31" s="1"/>
  <c r="KX70" i="31"/>
  <c r="GN70" i="31" s="1"/>
  <c r="KU70" i="31"/>
  <c r="KP72" i="31"/>
  <c r="KR71" i="31"/>
  <c r="KS71" i="31" l="1"/>
  <c r="GQ70" i="31"/>
  <c r="KV70" i="31"/>
  <c r="IA70" i="31"/>
  <c r="IB70" i="31" s="1"/>
  <c r="HP70" i="31"/>
  <c r="IZ70" i="31"/>
  <c r="HW70" i="31"/>
  <c r="HX71" i="31" s="1"/>
  <c r="FG71" i="31"/>
  <c r="JU70" i="31"/>
  <c r="KE70" i="31"/>
  <c r="JT71" i="31"/>
  <c r="KC70" i="31"/>
  <c r="DS70" i="31"/>
  <c r="CR70" i="31"/>
  <c r="CT70" i="31"/>
  <c r="CS70" i="31"/>
  <c r="HA70" i="31"/>
  <c r="DY70" i="31"/>
  <c r="HY70" i="31"/>
  <c r="HU70" i="31"/>
  <c r="HV71" i="31" s="1"/>
  <c r="FJ71" i="31"/>
  <c r="NB71" i="31"/>
  <c r="NA71" i="31"/>
  <c r="MO71" i="31"/>
  <c r="NJ71" i="31"/>
  <c r="MT71" i="31"/>
  <c r="NP71" i="31"/>
  <c r="MU71" i="31"/>
  <c r="NQ71" i="31"/>
  <c r="NH72" i="31"/>
  <c r="NI72" i="31" s="1"/>
  <c r="PE71" i="31"/>
  <c r="KW71" i="31" l="1"/>
  <c r="HQ70" i="31"/>
  <c r="HR71" i="31" s="1"/>
  <c r="NR71" i="31"/>
  <c r="AX70" i="31"/>
  <c r="AY71" i="31" s="1"/>
  <c r="AZ70" i="31"/>
  <c r="EN70" i="31"/>
  <c r="EM70" i="31"/>
  <c r="EW70" i="31" s="1"/>
  <c r="HS70" i="31"/>
  <c r="JG70" i="31" s="1"/>
  <c r="HT70" i="31"/>
  <c r="NK71" i="31"/>
  <c r="NL71" i="31"/>
  <c r="NG72" i="31"/>
  <c r="OQ72" i="31"/>
  <c r="BB71" i="31" l="1"/>
  <c r="EQ70" i="31"/>
  <c r="DW70" i="31"/>
  <c r="DU71" i="31" s="1"/>
  <c r="IW70" i="31"/>
  <c r="ER71" i="31"/>
  <c r="IU70" i="31"/>
  <c r="IV70" i="31" s="1"/>
  <c r="NC72" i="31"/>
  <c r="MQ72" i="31"/>
  <c r="IC70" i="31"/>
  <c r="ID70" i="31" s="1"/>
  <c r="IF70" i="31" s="1"/>
  <c r="KH70" i="31" s="1"/>
  <c r="JB70" i="31"/>
  <c r="OR72" i="31"/>
  <c r="KK70" i="31" l="1"/>
  <c r="KB70" i="31"/>
  <c r="IX70" i="31"/>
  <c r="EU71" i="31"/>
  <c r="IM70" i="31"/>
  <c r="GM70" i="31"/>
  <c r="DB70" i="31"/>
  <c r="DC70" i="31" s="1"/>
  <c r="DD71" i="31" s="1"/>
  <c r="DE72" i="31" s="1"/>
  <c r="KI71" i="31"/>
  <c r="IN70" i="31"/>
  <c r="DF70" i="31"/>
  <c r="BC71" i="31"/>
  <c r="DT70" i="31" l="1"/>
  <c r="DZ70" i="31" s="1"/>
  <c r="FD70" i="31"/>
  <c r="GU70" i="31"/>
  <c r="GV70" i="31"/>
  <c r="KJ71" i="31"/>
  <c r="GT72" i="31"/>
  <c r="GR70" i="31"/>
  <c r="BE71" i="31"/>
  <c r="BD71" i="31"/>
  <c r="GS70" i="31" l="1"/>
  <c r="IS70" i="31"/>
  <c r="FL71" i="31"/>
  <c r="BF71" i="31"/>
  <c r="BG71" i="31"/>
  <c r="BI71" i="31" l="1"/>
  <c r="BK71" i="31" s="1"/>
  <c r="BH71" i="31"/>
  <c r="FM71" i="31"/>
  <c r="JH70" i="31"/>
  <c r="JI70" i="31" s="1"/>
  <c r="IT70" i="31"/>
  <c r="GX70" i="31"/>
  <c r="GW70" i="31"/>
  <c r="HC70" i="31" s="1"/>
  <c r="FA71" i="31" s="1"/>
  <c r="HB71" i="31" s="1"/>
  <c r="GY70" i="31"/>
  <c r="BJ71" i="31" l="1"/>
  <c r="EY70" i="31"/>
  <c r="EG70" i="31"/>
  <c r="EH71" i="31" s="1"/>
  <c r="EI71" i="31" s="1"/>
  <c r="FK71" i="31" s="1"/>
  <c r="HM70" i="31"/>
  <c r="HK71" i="31"/>
  <c r="JK70" i="31"/>
  <c r="JZ70" i="31" s="1"/>
  <c r="KF70" i="31" s="1"/>
  <c r="IQ71" i="31" s="1"/>
  <c r="BL71" i="31"/>
  <c r="BM71" i="31"/>
  <c r="EJ70" i="31" l="1"/>
  <c r="EK71" i="31" s="1"/>
  <c r="EE70" i="31"/>
  <c r="EF71" i="31" s="1"/>
  <c r="ED70" i="31"/>
  <c r="EB71" i="31" s="1"/>
  <c r="BN71" i="31"/>
  <c r="BO71" i="31"/>
  <c r="JM70" i="31"/>
  <c r="KD70" i="31" s="1"/>
  <c r="IL71" i="31" s="1"/>
  <c r="JL70" i="31"/>
  <c r="JJ71" i="31" s="1"/>
  <c r="KA71" i="31"/>
  <c r="JN70" i="31"/>
  <c r="JV70" i="31" s="1"/>
  <c r="JF71" i="31" s="1"/>
  <c r="EZ70" i="31"/>
  <c r="DG70" i="31"/>
  <c r="DH70" i="31" s="1"/>
  <c r="DI71" i="31" s="1"/>
  <c r="JO71" i="31" l="1"/>
  <c r="EL71" i="31"/>
  <c r="EP71" i="31"/>
  <c r="ET72" i="31" s="1"/>
  <c r="EO71" i="31"/>
  <c r="ES72" i="31" s="1"/>
  <c r="FC71" i="31"/>
  <c r="EV71" i="31"/>
  <c r="JC71" i="31"/>
  <c r="JD71" i="31"/>
  <c r="DP71" i="31"/>
  <c r="IP71" i="31"/>
  <c r="IO71" i="31"/>
  <c r="IR71" i="31"/>
  <c r="JY71" i="31"/>
  <c r="JW71" i="31"/>
  <c r="JE71" i="31"/>
  <c r="JX71" i="31" s="1"/>
  <c r="DJ71" i="31"/>
  <c r="DK71" i="31" s="1"/>
  <c r="GZ71" i="31"/>
  <c r="IE71" i="31" s="1"/>
  <c r="BP71" i="31"/>
  <c r="BQ71" i="31" s="1"/>
  <c r="IY71" i="31"/>
  <c r="HZ71" i="31"/>
  <c r="JA71" i="31"/>
  <c r="KG71" i="31" l="1"/>
  <c r="JP71" i="31"/>
  <c r="JQ71" i="31" s="1"/>
  <c r="BR71" i="31"/>
  <c r="BS71" i="31"/>
  <c r="DX71" i="31"/>
  <c r="FQ71" i="31"/>
  <c r="DM71" i="31"/>
  <c r="EC71" i="31"/>
  <c r="BT71" i="31" l="1"/>
  <c r="BU71" i="31"/>
  <c r="DL71" i="31"/>
  <c r="L72" i="31"/>
  <c r="FB71" i="31"/>
  <c r="EX71" i="31"/>
  <c r="M71" i="31" s="1"/>
  <c r="MB71" i="31" l="1"/>
  <c r="MJ71" i="31"/>
  <c r="NS71" i="31" s="1"/>
  <c r="BV71" i="31"/>
  <c r="BW71" i="31" s="1"/>
  <c r="BX71" i="31" l="1"/>
  <c r="BY71" i="31"/>
  <c r="NM71" i="31"/>
  <c r="NN71" i="31" s="1"/>
  <c r="NT71" i="31"/>
  <c r="OU72" i="31"/>
  <c r="BZ71" i="31" l="1"/>
  <c r="CA71" i="31"/>
  <c r="CC71" i="31" s="1"/>
  <c r="CE71" i="31" s="1"/>
  <c r="OV72" i="31"/>
  <c r="NW71" i="31"/>
  <c r="NX71" i="31" s="1"/>
  <c r="FV71" i="31"/>
  <c r="FR71" i="31"/>
  <c r="CX71" i="31"/>
  <c r="NU71" i="31"/>
  <c r="CD71" i="31" l="1"/>
  <c r="CB71" i="31"/>
  <c r="NV71" i="31"/>
  <c r="NZ71" i="31"/>
  <c r="MY71" i="31"/>
  <c r="CY72" i="31"/>
  <c r="NY71" i="31"/>
  <c r="OF71" i="31"/>
  <c r="OS72" i="31" s="1"/>
  <c r="CF71" i="31"/>
  <c r="CG71" i="31"/>
  <c r="CI71" i="31" s="1"/>
  <c r="OI71" i="31" l="1"/>
  <c r="OW71" i="31" s="1"/>
  <c r="OA71" i="31"/>
  <c r="MV72" i="31" s="1"/>
  <c r="OG72" i="31" s="1"/>
  <c r="CJ71" i="31"/>
  <c r="CO71" i="31" s="1"/>
  <c r="CK71" i="31"/>
  <c r="NF72" i="31"/>
  <c r="OO72" i="31"/>
  <c r="OM72" i="31"/>
  <c r="CH71" i="31"/>
  <c r="MZ72" i="31"/>
  <c r="OZ71" i="31"/>
  <c r="OB71" i="31"/>
  <c r="OT72" i="31" s="1"/>
  <c r="MR72" i="31" l="1"/>
  <c r="MS72" i="31" s="1"/>
  <c r="OX72" i="31"/>
  <c r="KT72" i="31"/>
  <c r="KL72" i="31" s="1"/>
  <c r="KN73" i="31" s="1"/>
  <c r="OC71" i="31"/>
  <c r="OD72" i="31" s="1"/>
  <c r="OH72" i="31" s="1"/>
  <c r="OK72" i="31" s="1"/>
  <c r="KM72" i="31"/>
  <c r="KO73" i="31" s="1"/>
  <c r="PA71" i="31"/>
  <c r="CL71" i="31"/>
  <c r="CM71" i="31"/>
  <c r="CN71" i="31" s="1"/>
  <c r="OJ71" i="31"/>
  <c r="MO72" i="31" l="1"/>
  <c r="MT72" i="31"/>
  <c r="NP72" i="31"/>
  <c r="NJ72" i="31"/>
  <c r="NQ72" i="31"/>
  <c r="NR72" i="31" s="1"/>
  <c r="NH73" i="31"/>
  <c r="NI73" i="31" s="1"/>
  <c r="MU72" i="31"/>
  <c r="PE72" i="31"/>
  <c r="KP73" i="31"/>
  <c r="KR72" i="31"/>
  <c r="CP71" i="31"/>
  <c r="MW72" i="31"/>
  <c r="OY72" i="31"/>
  <c r="KQ72" i="31"/>
  <c r="KS72" i="31" s="1"/>
  <c r="NK72" i="31" l="1"/>
  <c r="NL72" i="31"/>
  <c r="NG73" i="31"/>
  <c r="OQ73" i="31"/>
  <c r="FP71" i="31"/>
  <c r="FS71" i="31" s="1"/>
  <c r="DQ71" i="31"/>
  <c r="DR71" i="31" s="1"/>
  <c r="FU71" i="31"/>
  <c r="FW71" i="31" s="1"/>
  <c r="CQ71" i="31"/>
  <c r="FH71" i="31"/>
  <c r="FI71" i="31" s="1"/>
  <c r="GO71" i="31"/>
  <c r="JR71" i="31"/>
  <c r="JS71" i="31" s="1"/>
  <c r="FX71" i="31"/>
  <c r="FY71" i="31" s="1"/>
  <c r="FZ71" i="31"/>
  <c r="GA71" i="31" s="1"/>
  <c r="HO71" i="31"/>
  <c r="FE71" i="31"/>
  <c r="FF71" i="31" s="1"/>
  <c r="GB71" i="31"/>
  <c r="GC71" i="31" s="1"/>
  <c r="KX71" i="31"/>
  <c r="KU71" i="31"/>
  <c r="MX72" i="31"/>
  <c r="GN71" i="31" l="1"/>
  <c r="GQ71" i="31" s="1"/>
  <c r="NB72" i="31"/>
  <c r="NA72" i="31"/>
  <c r="HY71" i="31"/>
  <c r="HA71" i="31"/>
  <c r="DY71" i="31"/>
  <c r="OR73" i="31"/>
  <c r="DS71" i="31"/>
  <c r="KE71" i="31"/>
  <c r="JU71" i="31"/>
  <c r="JT72" i="31"/>
  <c r="KC71" i="31"/>
  <c r="NC73" i="31"/>
  <c r="MQ73" i="31"/>
  <c r="IA71" i="31"/>
  <c r="IB71" i="31" s="1"/>
  <c r="HP71" i="31"/>
  <c r="IZ71" i="31"/>
  <c r="HU71" i="31"/>
  <c r="HV72" i="31" s="1"/>
  <c r="FJ72" i="31"/>
  <c r="HW71" i="31"/>
  <c r="HX72" i="31" s="1"/>
  <c r="FG72" i="31"/>
  <c r="CT71" i="31"/>
  <c r="CR71" i="31"/>
  <c r="CS71" i="31"/>
  <c r="KV71" i="31" l="1"/>
  <c r="KW72" i="31" s="1"/>
  <c r="HQ71" i="31"/>
  <c r="HR72" i="31" s="1"/>
  <c r="HT71" i="31"/>
  <c r="HS71" i="31"/>
  <c r="JG71" i="31" s="1"/>
  <c r="AX71" i="31"/>
  <c r="AY72" i="31" s="1"/>
  <c r="EM71" i="31"/>
  <c r="EW71" i="31" s="1"/>
  <c r="AZ71" i="31"/>
  <c r="EN71" i="31"/>
  <c r="IC71" i="31" l="1"/>
  <c r="ID71" i="31" s="1"/>
  <c r="IF71" i="31" s="1"/>
  <c r="KH71" i="31" s="1"/>
  <c r="JB71" i="31"/>
  <c r="BB72" i="31"/>
  <c r="DW71" i="31"/>
  <c r="DU72" i="31" s="1"/>
  <c r="EQ71" i="31"/>
  <c r="IW71" i="31"/>
  <c r="ER72" i="31"/>
  <c r="IU71" i="31"/>
  <c r="IV71" i="31" s="1"/>
  <c r="BC72" i="31" l="1"/>
  <c r="KB71" i="31"/>
  <c r="IX71" i="31"/>
  <c r="KK71" i="31"/>
  <c r="GM71" i="31"/>
  <c r="DB71" i="31"/>
  <c r="DC71" i="31" s="1"/>
  <c r="DD72" i="31" s="1"/>
  <c r="DE73" i="31" s="1"/>
  <c r="IM71" i="31"/>
  <c r="DT71" i="31" s="1"/>
  <c r="DZ71" i="31" s="1"/>
  <c r="KI72" i="31"/>
  <c r="IN71" i="31"/>
  <c r="DF71" i="31"/>
  <c r="EU72" i="31"/>
  <c r="GT73" i="31" l="1"/>
  <c r="KJ72" i="31"/>
  <c r="GR71" i="31"/>
  <c r="FD71" i="31"/>
  <c r="GV71" i="31"/>
  <c r="GU71" i="31"/>
  <c r="BE72" i="31"/>
  <c r="BD72" i="31"/>
  <c r="BG72" i="31" l="1"/>
  <c r="BF72" i="31"/>
  <c r="GS71" i="31"/>
  <c r="IS71" i="31"/>
  <c r="FL72" i="31"/>
  <c r="JH71" i="31" l="1"/>
  <c r="JI71" i="31" s="1"/>
  <c r="IT71" i="31"/>
  <c r="FM72" i="31"/>
  <c r="GX71" i="31"/>
  <c r="GY71" i="31"/>
  <c r="GW71" i="31"/>
  <c r="HC71" i="31" s="1"/>
  <c r="FA72" i="31" s="1"/>
  <c r="HB72" i="31" s="1"/>
  <c r="BI72" i="31"/>
  <c r="BK72" i="31" s="1"/>
  <c r="BH72" i="31"/>
  <c r="BJ72" i="31" l="1"/>
  <c r="HM71" i="31"/>
  <c r="EG71" i="31"/>
  <c r="EH72" i="31" s="1"/>
  <c r="EI72" i="31" s="1"/>
  <c r="FK72" i="31" s="1"/>
  <c r="EY71" i="31"/>
  <c r="HK72" i="31"/>
  <c r="BL72" i="31"/>
  <c r="BM72" i="31"/>
  <c r="JK71" i="31"/>
  <c r="JZ71" i="31" s="1"/>
  <c r="KF71" i="31" s="1"/>
  <c r="IQ72" i="31" s="1"/>
  <c r="JM71" i="31" l="1"/>
  <c r="KD71" i="31" s="1"/>
  <c r="IL72" i="31" s="1"/>
  <c r="JN71" i="31"/>
  <c r="JV71" i="31" s="1"/>
  <c r="JF72" i="31" s="1"/>
  <c r="JY72" i="31" s="1"/>
  <c r="EZ71" i="31"/>
  <c r="DG71" i="31"/>
  <c r="DH71" i="31" s="1"/>
  <c r="DI72" i="31" s="1"/>
  <c r="JL71" i="31"/>
  <c r="JJ72" i="31" s="1"/>
  <c r="KA72" i="31"/>
  <c r="BO72" i="31"/>
  <c r="BN72" i="31"/>
  <c r="ED71" i="31"/>
  <c r="EB72" i="31" s="1"/>
  <c r="EE71" i="31"/>
  <c r="EF72" i="31" s="1"/>
  <c r="EJ71" i="31"/>
  <c r="EK72" i="31" s="1"/>
  <c r="JO72" i="31" l="1"/>
  <c r="JE72" i="31"/>
  <c r="IR72" i="31"/>
  <c r="JW72" i="31"/>
  <c r="DJ72" i="31"/>
  <c r="DK72" i="31" s="1"/>
  <c r="GZ72" i="31"/>
  <c r="IE72" i="31" s="1"/>
  <c r="EL72" i="31"/>
  <c r="FC72" i="31"/>
  <c r="EP72" i="31"/>
  <c r="ET73" i="31" s="1"/>
  <c r="EO72" i="31"/>
  <c r="ES73" i="31" s="1"/>
  <c r="EV72" i="31"/>
  <c r="HZ72" i="31"/>
  <c r="JA72" i="31"/>
  <c r="IP72" i="31"/>
  <c r="DP72" i="31"/>
  <c r="IY72" i="31"/>
  <c r="IO72" i="31"/>
  <c r="JC72" i="31"/>
  <c r="JD72" i="31"/>
  <c r="BP72" i="31"/>
  <c r="BQ72" i="31" s="1"/>
  <c r="KG72" i="31" l="1"/>
  <c r="JP72" i="31"/>
  <c r="JQ72" i="31" s="1"/>
  <c r="BR72" i="31"/>
  <c r="BS72" i="31"/>
  <c r="EC72" i="31"/>
  <c r="JX72" i="31"/>
  <c r="DM72" i="31"/>
  <c r="DX72" i="31"/>
  <c r="FQ72" i="31"/>
  <c r="FB72" i="31" l="1"/>
  <c r="EX72" i="31"/>
  <c r="M72" i="31" s="1"/>
  <c r="DL72" i="31"/>
  <c r="L73" i="31"/>
  <c r="BT72" i="31"/>
  <c r="BU72" i="31"/>
  <c r="BV72" i="31" l="1"/>
  <c r="BW72" i="31" s="1"/>
  <c r="MJ72" i="31"/>
  <c r="NS72" i="31" s="1"/>
  <c r="MB72" i="31"/>
  <c r="NM72" i="31" l="1"/>
  <c r="NN72" i="31" s="1"/>
  <c r="BX72" i="31"/>
  <c r="BY72" i="31"/>
  <c r="CA72" i="31" s="1"/>
  <c r="CC72" i="31" s="1"/>
  <c r="NT72" i="31"/>
  <c r="OU73" i="31"/>
  <c r="OV73" i="31" l="1"/>
  <c r="NW72" i="31"/>
  <c r="NX72" i="31" s="1"/>
  <c r="BZ72" i="31"/>
  <c r="CB72" i="31"/>
  <c r="CX72" i="31"/>
  <c r="FR72" i="31"/>
  <c r="FV72" i="31"/>
  <c r="NU72" i="31"/>
  <c r="CD72" i="31"/>
  <c r="CE72" i="31"/>
  <c r="NV72" i="31" l="1"/>
  <c r="NZ72" i="31"/>
  <c r="MY72" i="31"/>
  <c r="CY73" i="31"/>
  <c r="NY72" i="31"/>
  <c r="CF72" i="31"/>
  <c r="CG72" i="31"/>
  <c r="CI72" i="31" s="1"/>
  <c r="OF72" i="31"/>
  <c r="OS73" i="31" s="1"/>
  <c r="CJ72" i="31" l="1"/>
  <c r="CO72" i="31" s="1"/>
  <c r="CK72" i="31"/>
  <c r="CH72" i="31"/>
  <c r="OB72" i="31"/>
  <c r="OT73" i="31" s="1"/>
  <c r="MZ73" i="31"/>
  <c r="OZ72" i="31"/>
  <c r="OA72" i="31"/>
  <c r="MV73" i="31" s="1"/>
  <c r="OO73" i="31"/>
  <c r="NF73" i="31"/>
  <c r="OM73" i="31"/>
  <c r="OI72" i="31"/>
  <c r="OJ72" i="31" l="1"/>
  <c r="PA72" i="31"/>
  <c r="OC72" i="31"/>
  <c r="OD73" i="31" s="1"/>
  <c r="OH73" i="31" s="1"/>
  <c r="OG73" i="31"/>
  <c r="KT73" i="31"/>
  <c r="CL72" i="31"/>
  <c r="CM72" i="31"/>
  <c r="CN72" i="31" s="1"/>
  <c r="OX73" i="31"/>
  <c r="MR73" i="31"/>
  <c r="OW72" i="31"/>
  <c r="KM73" i="31" l="1"/>
  <c r="KO74" i="31" s="1"/>
  <c r="KL73" i="31"/>
  <c r="KN74" i="31" s="1"/>
  <c r="OK73" i="31"/>
  <c r="CP72" i="31"/>
  <c r="MS73" i="31"/>
  <c r="MW73" i="31"/>
  <c r="OY73" i="31"/>
  <c r="GO72" i="31" l="1"/>
  <c r="HO72" i="31"/>
  <c r="CQ72" i="31"/>
  <c r="DQ72" i="31"/>
  <c r="DR72" i="31" s="1"/>
  <c r="FE72" i="31"/>
  <c r="FF72" i="31" s="1"/>
  <c r="FU72" i="31"/>
  <c r="FW72" i="31" s="1"/>
  <c r="JR72" i="31"/>
  <c r="JS72" i="31" s="1"/>
  <c r="FX72" i="31"/>
  <c r="FY72" i="31" s="1"/>
  <c r="FZ72" i="31"/>
  <c r="GA72" i="31" s="1"/>
  <c r="GB72" i="31"/>
  <c r="GC72" i="31" s="1"/>
  <c r="FP72" i="31"/>
  <c r="FS72" i="31" s="1"/>
  <c r="FH72" i="31"/>
  <c r="FI72" i="31" s="1"/>
  <c r="KX72" i="31"/>
  <c r="KU72" i="31"/>
  <c r="NH74" i="31"/>
  <c r="NI74" i="31" s="1"/>
  <c r="MU73" i="31"/>
  <c r="MO73" i="31"/>
  <c r="NQ73" i="31"/>
  <c r="NJ73" i="31"/>
  <c r="MT73" i="31"/>
  <c r="NP73" i="31"/>
  <c r="PE73" i="31"/>
  <c r="MX73" i="31"/>
  <c r="KQ73" i="31"/>
  <c r="KP74" i="31"/>
  <c r="KR73" i="31"/>
  <c r="GN72" i="31" l="1"/>
  <c r="KV72" i="31" s="1"/>
  <c r="JU72" i="31"/>
  <c r="KE72" i="31"/>
  <c r="JT73" i="31"/>
  <c r="KC72" i="31"/>
  <c r="FG73" i="31"/>
  <c r="HW72" i="31"/>
  <c r="HX73" i="31" s="1"/>
  <c r="NB73" i="31"/>
  <c r="NA73" i="31"/>
  <c r="KS73" i="31"/>
  <c r="HU72" i="31"/>
  <c r="HV73" i="31" s="1"/>
  <c r="FJ73" i="31"/>
  <c r="DS72" i="31"/>
  <c r="NL73" i="31"/>
  <c r="NK73" i="31"/>
  <c r="NG74" i="31"/>
  <c r="OQ74" i="31"/>
  <c r="HY72" i="31"/>
  <c r="DY72" i="31"/>
  <c r="HA72" i="31"/>
  <c r="CT72" i="31"/>
  <c r="CR72" i="31"/>
  <c r="CS72" i="31"/>
  <c r="NR73" i="31"/>
  <c r="HP72" i="31"/>
  <c r="IA72" i="31"/>
  <c r="IB72" i="31" s="1"/>
  <c r="IZ72" i="31"/>
  <c r="GQ72" i="31" l="1"/>
  <c r="KW73" i="31"/>
  <c r="HQ72" i="31"/>
  <c r="HR73" i="31" s="1"/>
  <c r="HT72" i="31"/>
  <c r="HS72" i="31"/>
  <c r="JG72" i="31" s="1"/>
  <c r="NC74" i="31"/>
  <c r="MQ74" i="31"/>
  <c r="OR74" i="31"/>
  <c r="AX72" i="31"/>
  <c r="AY73" i="31" s="1"/>
  <c r="EN72" i="31"/>
  <c r="EM72" i="31"/>
  <c r="EW72" i="31" s="1"/>
  <c r="AZ72" i="31"/>
  <c r="IC72" i="31" l="1"/>
  <c r="ID72" i="31" s="1"/>
  <c r="IF72" i="31" s="1"/>
  <c r="KH72" i="31" s="1"/>
  <c r="JB72" i="31"/>
  <c r="BB73" i="31"/>
  <c r="DW72" i="31"/>
  <c r="DU73" i="31" s="1"/>
  <c r="EQ72" i="31"/>
  <c r="IW72" i="31"/>
  <c r="ER73" i="31"/>
  <c r="IU72" i="31"/>
  <c r="IV72" i="31" s="1"/>
  <c r="BC73" i="31" l="1"/>
  <c r="KB72" i="31"/>
  <c r="IX72" i="31"/>
  <c r="KK72" i="31"/>
  <c r="DB72" i="31"/>
  <c r="DC72" i="31" s="1"/>
  <c r="DD73" i="31" s="1"/>
  <c r="DE74" i="31" s="1"/>
  <c r="IM72" i="31"/>
  <c r="GM72" i="31"/>
  <c r="KI73" i="31"/>
  <c r="IN72" i="31"/>
  <c r="DF72" i="31"/>
  <c r="EU73" i="31"/>
  <c r="DT72" i="31" l="1"/>
  <c r="DZ72" i="31" s="1"/>
  <c r="KJ73" i="31"/>
  <c r="GR72" i="31"/>
  <c r="FD72" i="31"/>
  <c r="GU72" i="31"/>
  <c r="GV72" i="31"/>
  <c r="GT74" i="31"/>
  <c r="BD73" i="31"/>
  <c r="BE73" i="31"/>
  <c r="IS72" i="31" l="1"/>
  <c r="FL73" i="31"/>
  <c r="BG73" i="31"/>
  <c r="BF73" i="31"/>
  <c r="GS72" i="31"/>
  <c r="GW72" i="31" l="1"/>
  <c r="HC72" i="31" s="1"/>
  <c r="FA73" i="31" s="1"/>
  <c r="HB73" i="31" s="1"/>
  <c r="GX72" i="31"/>
  <c r="GY72" i="31"/>
  <c r="BI73" i="31"/>
  <c r="BK73" i="31" s="1"/>
  <c r="BH73" i="31"/>
  <c r="FM73" i="31"/>
  <c r="JH72" i="31"/>
  <c r="JI72" i="31" s="1"/>
  <c r="IT72" i="31"/>
  <c r="JK72" i="31" l="1"/>
  <c r="JZ72" i="31" s="1"/>
  <c r="KF72" i="31" s="1"/>
  <c r="IQ73" i="31" s="1"/>
  <c r="BL73" i="31"/>
  <c r="BM73" i="31"/>
  <c r="BJ73" i="31"/>
  <c r="EY72" i="31"/>
  <c r="EG72" i="31"/>
  <c r="EH73" i="31" s="1"/>
  <c r="EI73" i="31" s="1"/>
  <c r="FK73" i="31" s="1"/>
  <c r="HM72" i="31"/>
  <c r="HK73" i="31"/>
  <c r="JN72" i="31" l="1"/>
  <c r="JV72" i="31" s="1"/>
  <c r="JF73" i="31" s="1"/>
  <c r="JY73" i="31" s="1"/>
  <c r="EZ72" i="31"/>
  <c r="DG72" i="31"/>
  <c r="DH72" i="31" s="1"/>
  <c r="DI73" i="31" s="1"/>
  <c r="EJ72" i="31"/>
  <c r="EK73" i="31" s="1"/>
  <c r="EE72" i="31"/>
  <c r="EF73" i="31" s="1"/>
  <c r="ED72" i="31"/>
  <c r="EB73" i="31" s="1"/>
  <c r="BN73" i="31"/>
  <c r="BO73" i="31"/>
  <c r="JM72" i="31"/>
  <c r="KD72" i="31" s="1"/>
  <c r="IL73" i="31" s="1"/>
  <c r="JE73" i="31" s="1"/>
  <c r="JL72" i="31"/>
  <c r="JJ73" i="31" s="1"/>
  <c r="KA73" i="31"/>
  <c r="JW73" i="31" l="1"/>
  <c r="BP73" i="31"/>
  <c r="BQ73" i="31" s="1"/>
  <c r="HZ73" i="31"/>
  <c r="EO73" i="31"/>
  <c r="ES74" i="31" s="1"/>
  <c r="FC73" i="31"/>
  <c r="EL73" i="31"/>
  <c r="EP73" i="31"/>
  <c r="ET74" i="31" s="1"/>
  <c r="EV73" i="31"/>
  <c r="JC73" i="31"/>
  <c r="JD73" i="31"/>
  <c r="IR73" i="31"/>
  <c r="DJ73" i="31"/>
  <c r="DK73" i="31" s="1"/>
  <c r="GZ73" i="31"/>
  <c r="IE73" i="31" s="1"/>
  <c r="IY73" i="31"/>
  <c r="IO73" i="31"/>
  <c r="IP73" i="31"/>
  <c r="JO73" i="31"/>
  <c r="DP73" i="31"/>
  <c r="JA73" i="31"/>
  <c r="BR73" i="31" l="1"/>
  <c r="BS73" i="31"/>
  <c r="FQ73" i="31"/>
  <c r="DX73" i="31"/>
  <c r="DM73" i="31"/>
  <c r="JP73" i="31"/>
  <c r="JQ73" i="31" s="1"/>
  <c r="BU73" i="31"/>
  <c r="EC73" i="31"/>
  <c r="KG73" i="31"/>
  <c r="JX73" i="31"/>
  <c r="BT73" i="31" l="1"/>
  <c r="BV73" i="31"/>
  <c r="BW73" i="31" s="1"/>
  <c r="BX73" i="31" s="1"/>
  <c r="EX73" i="31"/>
  <c r="M73" i="31" s="1"/>
  <c r="FB73" i="31"/>
  <c r="DL73" i="31"/>
  <c r="L74" i="31"/>
  <c r="BY73" i="31" l="1"/>
  <c r="BZ73" i="31" s="1"/>
  <c r="MB73" i="31"/>
  <c r="MJ73" i="31"/>
  <c r="NS73" i="31" s="1"/>
  <c r="NM73" i="31" l="1"/>
  <c r="NN73" i="31" s="1"/>
  <c r="CA73" i="31"/>
  <c r="CC73" i="31" s="1"/>
  <c r="CD73" i="31" s="1"/>
  <c r="NT73" i="31"/>
  <c r="OU74" i="31"/>
  <c r="CE73" i="31" l="1"/>
  <c r="CG73" i="31" s="1"/>
  <c r="CI73" i="31" s="1"/>
  <c r="CB73" i="31"/>
  <c r="OV74" i="31"/>
  <c r="NW73" i="31"/>
  <c r="NX73" i="31" s="1"/>
  <c r="FR73" i="31"/>
  <c r="FV73" i="31"/>
  <c r="CX73" i="31"/>
  <c r="NU73" i="31"/>
  <c r="CF73" i="31" l="1"/>
  <c r="CH73" i="31"/>
  <c r="NZ73" i="31"/>
  <c r="MY73" i="31"/>
  <c r="CY74" i="31"/>
  <c r="CJ73" i="31"/>
  <c r="CO73" i="31" s="1"/>
  <c r="CK73" i="31"/>
  <c r="NY73" i="31"/>
  <c r="NV73" i="31"/>
  <c r="OF73" i="31"/>
  <c r="OS74" i="31" s="1"/>
  <c r="CL73" i="31" l="1"/>
  <c r="CM73" i="31"/>
  <c r="CN73" i="31" s="1"/>
  <c r="OB73" i="31"/>
  <c r="OT74" i="31" s="1"/>
  <c r="OM74" i="31"/>
  <c r="NF74" i="31"/>
  <c r="OO74" i="31"/>
  <c r="OA73" i="31"/>
  <c r="MV74" i="31" s="1"/>
  <c r="MZ74" i="31"/>
  <c r="OZ73" i="31"/>
  <c r="OI73" i="31"/>
  <c r="OW73" i="31" l="1"/>
  <c r="OX74" i="31"/>
  <c r="MR74" i="31"/>
  <c r="PA73" i="31"/>
  <c r="OC73" i="31"/>
  <c r="OD74" i="31" s="1"/>
  <c r="OH74" i="31" s="1"/>
  <c r="OG74" i="31"/>
  <c r="KT74" i="31"/>
  <c r="OJ73" i="31"/>
  <c r="CP73" i="31"/>
  <c r="KL74" i="31" l="1"/>
  <c r="KN75" i="31" s="1"/>
  <c r="KM74" i="31"/>
  <c r="KO75" i="31" s="1"/>
  <c r="MS74" i="31"/>
  <c r="OK74" i="31"/>
  <c r="JR73" i="31"/>
  <c r="JS73" i="31" s="1"/>
  <c r="HO73" i="31"/>
  <c r="FZ73" i="31"/>
  <c r="DQ73" i="31"/>
  <c r="DR73" i="31" s="1"/>
  <c r="FP73" i="31"/>
  <c r="FS73" i="31" s="1"/>
  <c r="FE73" i="31"/>
  <c r="FF73" i="31" s="1"/>
  <c r="FX73" i="31"/>
  <c r="GO73" i="31"/>
  <c r="FH73" i="31"/>
  <c r="FI73" i="31" s="1"/>
  <c r="GB73" i="31"/>
  <c r="FU73" i="31"/>
  <c r="CQ73" i="31"/>
  <c r="KX73" i="31"/>
  <c r="KU73" i="31"/>
  <c r="MW74" i="31"/>
  <c r="OY74" i="31"/>
  <c r="GN73" i="31" l="1"/>
  <c r="GQ73" i="31" s="1"/>
  <c r="KE73" i="31"/>
  <c r="KC73" i="31"/>
  <c r="JU73" i="31"/>
  <c r="JT74" i="31"/>
  <c r="FY73" i="31"/>
  <c r="HW73" i="31"/>
  <c r="HX74" i="31" s="1"/>
  <c r="FG74" i="31"/>
  <c r="HU73" i="31"/>
  <c r="HV74" i="31" s="1"/>
  <c r="FJ74" i="31"/>
  <c r="HA73" i="31"/>
  <c r="DY73" i="31"/>
  <c r="HY73" i="31"/>
  <c r="CS73" i="31"/>
  <c r="CT73" i="31"/>
  <c r="CR73" i="31"/>
  <c r="DS73" i="31"/>
  <c r="NP74" i="31"/>
  <c r="NH75" i="31"/>
  <c r="NI75" i="31" s="1"/>
  <c r="NJ74" i="31"/>
  <c r="NQ74" i="31"/>
  <c r="MO74" i="31"/>
  <c r="MT74" i="31"/>
  <c r="MU74" i="31"/>
  <c r="PE74" i="31"/>
  <c r="FW73" i="31"/>
  <c r="GA73" i="31"/>
  <c r="KP75" i="31"/>
  <c r="KR74" i="31"/>
  <c r="MX74" i="31"/>
  <c r="GC73" i="31"/>
  <c r="HP73" i="31"/>
  <c r="IA73" i="31"/>
  <c r="IB73" i="31" s="1"/>
  <c r="IZ73" i="31"/>
  <c r="KQ74" i="31"/>
  <c r="KV73" i="31" l="1"/>
  <c r="KW74" i="31" s="1"/>
  <c r="KS74" i="31"/>
  <c r="AX73" i="31"/>
  <c r="AY74" i="31" s="1"/>
  <c r="AZ73" i="31"/>
  <c r="EM73" i="31"/>
  <c r="EW73" i="31" s="1"/>
  <c r="EN73" i="31"/>
  <c r="NB74" i="31"/>
  <c r="NA74" i="31"/>
  <c r="HS73" i="31"/>
  <c r="JG73" i="31" s="1"/>
  <c r="HT73" i="31"/>
  <c r="NR74" i="31"/>
  <c r="NL74" i="31"/>
  <c r="NK74" i="31"/>
  <c r="NG75" i="31"/>
  <c r="OQ75" i="31"/>
  <c r="HQ73" i="31" l="1"/>
  <c r="HR74" i="31" s="1"/>
  <c r="OR75" i="31"/>
  <c r="NC75" i="31"/>
  <c r="MQ75" i="31"/>
  <c r="IC73" i="31"/>
  <c r="ID73" i="31" s="1"/>
  <c r="IF73" i="31" s="1"/>
  <c r="KH73" i="31" s="1"/>
  <c r="JB73" i="31"/>
  <c r="BB74" i="31"/>
  <c r="EQ73" i="31"/>
  <c r="DW73" i="31"/>
  <c r="DU74" i="31" s="1"/>
  <c r="IW73" i="31"/>
  <c r="ER74" i="31"/>
  <c r="IU73" i="31"/>
  <c r="IV73" i="31" s="1"/>
  <c r="EU74" i="31" l="1"/>
  <c r="BC74" i="31"/>
  <c r="KB73" i="31"/>
  <c r="IX73" i="31"/>
  <c r="KK73" i="31"/>
  <c r="GM73" i="31"/>
  <c r="IM73" i="31"/>
  <c r="DB73" i="31"/>
  <c r="DC73" i="31" s="1"/>
  <c r="DD74" i="31" s="1"/>
  <c r="DE75" i="31" s="1"/>
  <c r="KI74" i="31"/>
  <c r="IN73" i="31"/>
  <c r="DF73" i="31"/>
  <c r="DT73" i="31" l="1"/>
  <c r="DZ73" i="31" s="1"/>
  <c r="BD74" i="31"/>
  <c r="BE74" i="31"/>
  <c r="KJ74" i="31"/>
  <c r="GT75" i="31"/>
  <c r="GU73" i="31"/>
  <c r="FD73" i="31"/>
  <c r="GV73" i="31"/>
  <c r="GR73" i="31"/>
  <c r="GS73" i="31" l="1"/>
  <c r="BF74" i="31"/>
  <c r="BG74" i="31"/>
  <c r="IS73" i="31"/>
  <c r="FL74" i="31"/>
  <c r="JH73" i="31" l="1"/>
  <c r="JI73" i="31" s="1"/>
  <c r="IT73" i="31"/>
  <c r="BI74" i="31"/>
  <c r="BK74" i="31" s="1"/>
  <c r="BH74" i="31"/>
  <c r="GW73" i="31"/>
  <c r="HC73" i="31" s="1"/>
  <c r="FA74" i="31" s="1"/>
  <c r="HB74" i="31" s="1"/>
  <c r="GY73" i="31"/>
  <c r="GX73" i="31"/>
  <c r="FM74" i="31"/>
  <c r="BJ74" i="31" l="1"/>
  <c r="EG73" i="31"/>
  <c r="EH74" i="31" s="1"/>
  <c r="EI74" i="31" s="1"/>
  <c r="FK74" i="31" s="1"/>
  <c r="HM73" i="31"/>
  <c r="EY73" i="31"/>
  <c r="HK74" i="31"/>
  <c r="BL74" i="31"/>
  <c r="BM74" i="31"/>
  <c r="JK73" i="31"/>
  <c r="JM73" i="31" s="1"/>
  <c r="KD73" i="31" s="1"/>
  <c r="IL74" i="31" s="1"/>
  <c r="EZ73" i="31" l="1"/>
  <c r="DG73" i="31"/>
  <c r="DH73" i="31" s="1"/>
  <c r="DI74" i="31" s="1"/>
  <c r="JZ73" i="31"/>
  <c r="KF73" i="31" s="1"/>
  <c r="IQ74" i="31" s="1"/>
  <c r="JL73" i="31"/>
  <c r="JJ74" i="31" s="1"/>
  <c r="KA74" i="31"/>
  <c r="EJ73" i="31"/>
  <c r="EK74" i="31" s="1"/>
  <c r="EE73" i="31"/>
  <c r="EF74" i="31" s="1"/>
  <c r="IO74" i="31" s="1"/>
  <c r="ED73" i="31"/>
  <c r="EB74" i="31" s="1"/>
  <c r="JN73" i="31"/>
  <c r="JV73" i="31" s="1"/>
  <c r="JF74" i="31" s="1"/>
  <c r="BO74" i="31"/>
  <c r="BN74" i="31"/>
  <c r="IP74" i="31" l="1"/>
  <c r="IY74" i="31"/>
  <c r="JP74" i="31" s="1"/>
  <c r="JQ74" i="31" s="1"/>
  <c r="JA74" i="31"/>
  <c r="JO74" i="31"/>
  <c r="JE74" i="31"/>
  <c r="BP74" i="31"/>
  <c r="BQ74" i="31" s="1"/>
  <c r="JY74" i="31"/>
  <c r="JW74" i="31"/>
  <c r="FC74" i="31"/>
  <c r="EL74" i="31"/>
  <c r="EP74" i="31"/>
  <c r="ET75" i="31" s="1"/>
  <c r="EO74" i="31"/>
  <c r="ES75" i="31" s="1"/>
  <c r="EV74" i="31"/>
  <c r="GZ74" i="31"/>
  <c r="IE74" i="31" s="1"/>
  <c r="DJ74" i="31"/>
  <c r="DK74" i="31" s="1"/>
  <c r="IR74" i="31"/>
  <c r="DP74" i="31"/>
  <c r="JC74" i="31"/>
  <c r="JD74" i="31"/>
  <c r="HZ74" i="31"/>
  <c r="DX74" i="31" l="1"/>
  <c r="FQ74" i="31"/>
  <c r="DM74" i="31"/>
  <c r="EC74" i="31"/>
  <c r="JX74" i="31"/>
  <c r="BR74" i="31"/>
  <c r="BS74" i="31"/>
  <c r="KG74" i="31"/>
  <c r="DL74" i="31" l="1"/>
  <c r="L75" i="31"/>
  <c r="FB74" i="31"/>
  <c r="EX74" i="31"/>
  <c r="M74" i="31" s="1"/>
  <c r="BT74" i="31"/>
  <c r="BU74" i="31"/>
  <c r="BV74" i="31" s="1"/>
  <c r="BW74" i="31" s="1"/>
  <c r="BX74" i="31" l="1"/>
  <c r="BY74" i="31"/>
  <c r="MB74" i="31"/>
  <c r="MJ74" i="31"/>
  <c r="NS74" i="31" s="1"/>
  <c r="NM74" i="31" l="1"/>
  <c r="NN74" i="31" s="1"/>
  <c r="NT74" i="31"/>
  <c r="OU75" i="31"/>
  <c r="BZ74" i="31"/>
  <c r="CA74" i="31"/>
  <c r="CC74" i="31" s="1"/>
  <c r="OV75" i="31" l="1"/>
  <c r="NW74" i="31"/>
  <c r="NX74" i="31" s="1"/>
  <c r="OF74" i="31" s="1"/>
  <c r="OS75" i="31" s="1"/>
  <c r="CD74" i="31"/>
  <c r="CE74" i="31"/>
  <c r="CB74" i="31"/>
  <c r="FV74" i="31"/>
  <c r="FR74" i="31"/>
  <c r="CX74" i="31"/>
  <c r="NU74" i="31"/>
  <c r="NY74" i="31" l="1"/>
  <c r="OB74" i="31" s="1"/>
  <c r="OT75" i="31" s="1"/>
  <c r="CF74" i="31"/>
  <c r="CG74" i="31"/>
  <c r="CI74" i="31" s="1"/>
  <c r="NV74" i="31"/>
  <c r="MY74" i="31"/>
  <c r="NZ74" i="31"/>
  <c r="CY75" i="31"/>
  <c r="OA74" i="31" l="1"/>
  <c r="MV75" i="31" s="1"/>
  <c r="OG75" i="31" s="1"/>
  <c r="MZ75" i="31"/>
  <c r="OZ74" i="31"/>
  <c r="PA74" i="31"/>
  <c r="OJ74" i="31"/>
  <c r="OI74" i="31"/>
  <c r="CJ74" i="31"/>
  <c r="CO74" i="31" s="1"/>
  <c r="CK74" i="31"/>
  <c r="OC74" i="31"/>
  <c r="OD75" i="31" s="1"/>
  <c r="OH75" i="31" s="1"/>
  <c r="OM75" i="31"/>
  <c r="NF75" i="31"/>
  <c r="OO75" i="31"/>
  <c r="CH74" i="31"/>
  <c r="KT75" i="31" l="1"/>
  <c r="KL75" i="31" s="1"/>
  <c r="KN76" i="31" s="1"/>
  <c r="OY75" i="31"/>
  <c r="MW75" i="31"/>
  <c r="OW74" i="31"/>
  <c r="OX75" i="31"/>
  <c r="MR75" i="31"/>
  <c r="CL74" i="31"/>
  <c r="CM74" i="31"/>
  <c r="CN74" i="31" s="1"/>
  <c r="OK75" i="31"/>
  <c r="KM75" i="31" l="1"/>
  <c r="KO76" i="31" s="1"/>
  <c r="KP76" i="31" s="1"/>
  <c r="MX75" i="31"/>
  <c r="MS75" i="31"/>
  <c r="CP74" i="31"/>
  <c r="KQ75" i="31"/>
  <c r="KR75" i="31" l="1"/>
  <c r="KS75" i="31" s="1"/>
  <c r="NP75" i="31"/>
  <c r="NH76" i="31"/>
  <c r="NI76" i="31" s="1"/>
  <c r="NQ75" i="31"/>
  <c r="MT75" i="31"/>
  <c r="MO75" i="31"/>
  <c r="NJ75" i="31"/>
  <c r="MU75" i="31"/>
  <c r="PE75" i="31"/>
  <c r="GO74" i="31"/>
  <c r="FP74" i="31"/>
  <c r="FS74" i="31" s="1"/>
  <c r="FE74" i="31"/>
  <c r="FF74" i="31" s="1"/>
  <c r="HO74" i="31"/>
  <c r="FU74" i="31"/>
  <c r="DQ74" i="31"/>
  <c r="DR74" i="31" s="1"/>
  <c r="CQ74" i="31"/>
  <c r="FH74" i="31"/>
  <c r="FI74" i="31" s="1"/>
  <c r="GB74" i="31"/>
  <c r="FX74" i="31"/>
  <c r="FZ74" i="31"/>
  <c r="JR74" i="31"/>
  <c r="JS74" i="31" s="1"/>
  <c r="KX74" i="31"/>
  <c r="KU74" i="31"/>
  <c r="NB75" i="31"/>
  <c r="NA75" i="31"/>
  <c r="GN74" i="31" l="1"/>
  <c r="GQ74" i="31" s="1"/>
  <c r="NR75" i="31"/>
  <c r="HU74" i="31"/>
  <c r="HV75" i="31" s="1"/>
  <c r="FJ75" i="31"/>
  <c r="CR74" i="31"/>
  <c r="CT74" i="31"/>
  <c r="CS74" i="31"/>
  <c r="NK75" i="31"/>
  <c r="NL75" i="31"/>
  <c r="NG76" i="31"/>
  <c r="OQ76" i="31"/>
  <c r="FW74" i="31"/>
  <c r="KC74" i="31"/>
  <c r="JU74" i="31"/>
  <c r="JT75" i="31"/>
  <c r="KE74" i="31"/>
  <c r="IA74" i="31"/>
  <c r="IB74" i="31" s="1"/>
  <c r="HP74" i="31"/>
  <c r="IZ74" i="31"/>
  <c r="GA74" i="31"/>
  <c r="FG75" i="31"/>
  <c r="HW74" i="31"/>
  <c r="HX75" i="31" s="1"/>
  <c r="DS74" i="31"/>
  <c r="HY74" i="31"/>
  <c r="HA74" i="31"/>
  <c r="DY74" i="31"/>
  <c r="FY74" i="31"/>
  <c r="GC74" i="31"/>
  <c r="KV74" i="31" l="1"/>
  <c r="KW75" i="31" s="1"/>
  <c r="HQ74" i="31"/>
  <c r="HR75" i="31" s="1"/>
  <c r="NC76" i="31"/>
  <c r="MQ76" i="31"/>
  <c r="HS74" i="31"/>
  <c r="JG74" i="31" s="1"/>
  <c r="HT74" i="31"/>
  <c r="OR76" i="31"/>
  <c r="AX74" i="31"/>
  <c r="AY75" i="31" s="1"/>
  <c r="AZ74" i="31"/>
  <c r="EM74" i="31"/>
  <c r="EW74" i="31" s="1"/>
  <c r="EN74" i="31"/>
  <c r="BB75" i="31" l="1"/>
  <c r="IW74" i="31"/>
  <c r="EQ74" i="31"/>
  <c r="DW74" i="31"/>
  <c r="DU75" i="31" s="1"/>
  <c r="ER75" i="31"/>
  <c r="IU74" i="31"/>
  <c r="IV74" i="31" s="1"/>
  <c r="IC74" i="31"/>
  <c r="ID74" i="31" s="1"/>
  <c r="IF74" i="31" s="1"/>
  <c r="KH74" i="31" s="1"/>
  <c r="JB74" i="31"/>
  <c r="IX74" i="31" l="1"/>
  <c r="KK74" i="31"/>
  <c r="KB74" i="31"/>
  <c r="BC75" i="31"/>
  <c r="EU75" i="31"/>
  <c r="GM74" i="31"/>
  <c r="DB74" i="31"/>
  <c r="DC74" i="31" s="1"/>
  <c r="DD75" i="31" s="1"/>
  <c r="DE76" i="31" s="1"/>
  <c r="IM74" i="31"/>
  <c r="KI75" i="31"/>
  <c r="IN74" i="31"/>
  <c r="DF74" i="31"/>
  <c r="DT74" i="31" l="1"/>
  <c r="DZ74" i="31" s="1"/>
  <c r="FD74" i="31"/>
  <c r="GV74" i="31"/>
  <c r="GU74" i="31"/>
  <c r="BD75" i="31"/>
  <c r="BE75" i="31"/>
  <c r="KJ75" i="31"/>
  <c r="GT76" i="31"/>
  <c r="GR74" i="31"/>
  <c r="GS74" i="31" l="1"/>
  <c r="IS74" i="31"/>
  <c r="FL75" i="31"/>
  <c r="BG75" i="31"/>
  <c r="BF75" i="31"/>
  <c r="JH74" i="31" l="1"/>
  <c r="JI74" i="31" s="1"/>
  <c r="IT74" i="31"/>
  <c r="BH75" i="31"/>
  <c r="BI75" i="31"/>
  <c r="BK75" i="31" s="1"/>
  <c r="FM75" i="31"/>
  <c r="GY74" i="31"/>
  <c r="GX74" i="31"/>
  <c r="GW74" i="31"/>
  <c r="HC74" i="31" s="1"/>
  <c r="FA75" i="31" s="1"/>
  <c r="HB75" i="31" s="1"/>
  <c r="HM74" i="31" l="1"/>
  <c r="EY74" i="31"/>
  <c r="EG74" i="31"/>
  <c r="EH75" i="31" s="1"/>
  <c r="EI75" i="31" s="1"/>
  <c r="FK75" i="31" s="1"/>
  <c r="HK75" i="31"/>
  <c r="BL75" i="31"/>
  <c r="BM75" i="31"/>
  <c r="JK74" i="31"/>
  <c r="JZ74" i="31" s="1"/>
  <c r="KF74" i="31" s="1"/>
  <c r="IQ75" i="31" s="1"/>
  <c r="BJ75" i="31"/>
  <c r="JM74" i="31" l="1"/>
  <c r="KD74" i="31" s="1"/>
  <c r="IL75" i="31" s="1"/>
  <c r="IR75" i="31" s="1"/>
  <c r="JN74" i="31"/>
  <c r="JV74" i="31" s="1"/>
  <c r="JF75" i="31" s="1"/>
  <c r="JY75" i="31" s="1"/>
  <c r="BN75" i="31"/>
  <c r="BO75" i="31"/>
  <c r="EZ74" i="31"/>
  <c r="DG74" i="31"/>
  <c r="DH74" i="31" s="1"/>
  <c r="DI75" i="31" s="1"/>
  <c r="EJ74" i="31"/>
  <c r="EK75" i="31" s="1"/>
  <c r="ED74" i="31"/>
  <c r="EB75" i="31" s="1"/>
  <c r="EE74" i="31"/>
  <c r="EF75" i="31" s="1"/>
  <c r="JL74" i="31"/>
  <c r="JJ75" i="31" s="1"/>
  <c r="KA75" i="31"/>
  <c r="JW75" i="31" l="1"/>
  <c r="JO75" i="31"/>
  <c r="JE75" i="31"/>
  <c r="HZ75" i="31"/>
  <c r="BP75" i="31"/>
  <c r="BQ75" i="31" s="1"/>
  <c r="GZ75" i="31"/>
  <c r="KG75" i="31" s="1"/>
  <c r="DJ75" i="31"/>
  <c r="DK75" i="31" s="1"/>
  <c r="JC75" i="31"/>
  <c r="JD75" i="31"/>
  <c r="EL75" i="31"/>
  <c r="EO75" i="31"/>
  <c r="ES76" i="31" s="1"/>
  <c r="EP75" i="31"/>
  <c r="ET76" i="31" s="1"/>
  <c r="FC75" i="31"/>
  <c r="EV75" i="31"/>
  <c r="IP75" i="31"/>
  <c r="JA75" i="31"/>
  <c r="IY75" i="31"/>
  <c r="IO75" i="31"/>
  <c r="DP75" i="31"/>
  <c r="JX75" i="31" l="1"/>
  <c r="IE75" i="31"/>
  <c r="EC75" i="31"/>
  <c r="JP75" i="31"/>
  <c r="JQ75" i="31" s="1"/>
  <c r="FQ75" i="31"/>
  <c r="DM75" i="31"/>
  <c r="DX75" i="31"/>
  <c r="BR75" i="31"/>
  <c r="BS75" i="31"/>
  <c r="BT75" i="31" l="1"/>
  <c r="BU75" i="31"/>
  <c r="FB75" i="31"/>
  <c r="EX75" i="31"/>
  <c r="M75" i="31" s="1"/>
  <c r="DL75" i="31"/>
  <c r="L76" i="31"/>
  <c r="BV75" i="31" l="1"/>
  <c r="BW75" i="31" s="1"/>
  <c r="MB75" i="31"/>
  <c r="MJ75" i="31"/>
  <c r="NS75" i="31" s="1"/>
  <c r="NM75" i="31" l="1"/>
  <c r="NN75" i="31" s="1"/>
  <c r="NT75" i="31"/>
  <c r="OU76" i="31"/>
  <c r="BX75" i="31"/>
  <c r="BY75" i="31"/>
  <c r="OV76" i="31" l="1"/>
  <c r="NW75" i="31"/>
  <c r="NX75" i="31" s="1"/>
  <c r="OF75" i="31" s="1"/>
  <c r="OS76" i="31" s="1"/>
  <c r="BZ75" i="31"/>
  <c r="CA75" i="31"/>
  <c r="CC75" i="31" s="1"/>
  <c r="FV75" i="31"/>
  <c r="FR75" i="31"/>
  <c r="CX75" i="31"/>
  <c r="NU75" i="31"/>
  <c r="NY75" i="31" l="1"/>
  <c r="OB75" i="31" s="1"/>
  <c r="OT76" i="31" s="1"/>
  <c r="CD75" i="31"/>
  <c r="CE75" i="31"/>
  <c r="NZ75" i="31"/>
  <c r="MY75" i="31"/>
  <c r="CY76" i="31"/>
  <c r="CB75" i="31"/>
  <c r="NV75" i="31"/>
  <c r="OA75" i="31" l="1"/>
  <c r="MV76" i="31" s="1"/>
  <c r="OG76" i="31" s="1"/>
  <c r="OI75" i="31"/>
  <c r="OW75" i="31" s="1"/>
  <c r="CF75" i="31"/>
  <c r="CG75" i="31"/>
  <c r="CI75" i="31" s="1"/>
  <c r="OM76" i="31"/>
  <c r="NF76" i="31"/>
  <c r="OO76" i="31"/>
  <c r="MZ76" i="31"/>
  <c r="OZ75" i="31"/>
  <c r="PA75" i="31"/>
  <c r="OJ75" i="31"/>
  <c r="OC75" i="31"/>
  <c r="OD76" i="31" s="1"/>
  <c r="OH76" i="31" s="1"/>
  <c r="MR76" i="31" l="1"/>
  <c r="OX76" i="31"/>
  <c r="KT76" i="31"/>
  <c r="KL76" i="31" s="1"/>
  <c r="KN77" i="31" s="1"/>
  <c r="CJ75" i="31"/>
  <c r="CO75" i="31" s="1"/>
  <c r="CK75" i="31"/>
  <c r="MS76" i="31"/>
  <c r="OY76" i="31"/>
  <c r="MW76" i="31"/>
  <c r="OK76" i="31"/>
  <c r="CH75" i="31"/>
  <c r="KM76" i="31" l="1"/>
  <c r="KO77" i="31" s="1"/>
  <c r="KP77" i="31" s="1"/>
  <c r="NJ76" i="31"/>
  <c r="MO76" i="31"/>
  <c r="MU76" i="31"/>
  <c r="NH77" i="31"/>
  <c r="NI77" i="31" s="1"/>
  <c r="NP76" i="31"/>
  <c r="MT76" i="31"/>
  <c r="NQ76" i="31"/>
  <c r="PE76" i="31"/>
  <c r="CL75" i="31"/>
  <c r="CM75" i="31"/>
  <c r="CN75" i="31" s="1"/>
  <c r="MX76" i="31"/>
  <c r="KQ76" i="31"/>
  <c r="KR76" i="31" l="1"/>
  <c r="KS76" i="31" s="1"/>
  <c r="NR76" i="31"/>
  <c r="CP75" i="31"/>
  <c r="NA76" i="31"/>
  <c r="NB76" i="31"/>
  <c r="NK76" i="31"/>
  <c r="NL76" i="31"/>
  <c r="NG77" i="31"/>
  <c r="OQ77" i="31"/>
  <c r="NC77" i="31" l="1"/>
  <c r="MQ77" i="31"/>
  <c r="FE75" i="31"/>
  <c r="FF75" i="31" s="1"/>
  <c r="HO75" i="31"/>
  <c r="GB75" i="31"/>
  <c r="FU75" i="31"/>
  <c r="CQ75" i="31"/>
  <c r="FZ75" i="31"/>
  <c r="FX75" i="31"/>
  <c r="DQ75" i="31"/>
  <c r="DR75" i="31" s="1"/>
  <c r="JR75" i="31"/>
  <c r="JS75" i="31" s="1"/>
  <c r="FH75" i="31"/>
  <c r="FI75" i="31" s="1"/>
  <c r="GO75" i="31"/>
  <c r="FP75" i="31"/>
  <c r="FS75" i="31" s="1"/>
  <c r="KX75" i="31"/>
  <c r="KU75" i="31"/>
  <c r="OR77" i="31"/>
  <c r="GN75" i="31" l="1"/>
  <c r="GQ75" i="31" s="1"/>
  <c r="GC75" i="31"/>
  <c r="HW75" i="31"/>
  <c r="HX76" i="31" s="1"/>
  <c r="FG76" i="31"/>
  <c r="HP75" i="31"/>
  <c r="IA75" i="31"/>
  <c r="IB75" i="31" s="1"/>
  <c r="IZ75" i="31"/>
  <c r="DS75" i="31"/>
  <c r="FY75" i="31"/>
  <c r="GA75" i="31"/>
  <c r="KC75" i="31"/>
  <c r="JU75" i="31"/>
  <c r="KE75" i="31"/>
  <c r="JT76" i="31"/>
  <c r="CT75" i="31"/>
  <c r="CS75" i="31"/>
  <c r="CR75" i="31"/>
  <c r="HU75" i="31"/>
  <c r="HV76" i="31" s="1"/>
  <c r="FJ76" i="31"/>
  <c r="HA75" i="31"/>
  <c r="HY75" i="31"/>
  <c r="DY75" i="31"/>
  <c r="FW75" i="31"/>
  <c r="KV75" i="31" l="1"/>
  <c r="KW76" i="31" s="1"/>
  <c r="HQ75" i="31"/>
  <c r="HR76" i="31" s="1"/>
  <c r="AX75" i="31"/>
  <c r="AY76" i="31" s="1"/>
  <c r="EM75" i="31"/>
  <c r="EW75" i="31" s="1"/>
  <c r="AZ75" i="31"/>
  <c r="EN75" i="31"/>
  <c r="HT75" i="31"/>
  <c r="HS75" i="31"/>
  <c r="JG75" i="31" s="1"/>
  <c r="IC75" i="31" l="1"/>
  <c r="ID75" i="31" s="1"/>
  <c r="IF75" i="31" s="1"/>
  <c r="KH75" i="31" s="1"/>
  <c r="JB75" i="31"/>
  <c r="BB76" i="31"/>
  <c r="IW75" i="31"/>
  <c r="DW75" i="31"/>
  <c r="DU76" i="31" s="1"/>
  <c r="EQ75" i="31"/>
  <c r="ER76" i="31"/>
  <c r="IU75" i="31"/>
  <c r="IV75" i="31" s="1"/>
  <c r="BC76" i="31" l="1"/>
  <c r="KB75" i="31"/>
  <c r="IX75" i="31"/>
  <c r="KK75" i="31"/>
  <c r="IM75" i="31"/>
  <c r="GM75" i="31"/>
  <c r="DB75" i="31"/>
  <c r="DC75" i="31" s="1"/>
  <c r="DD76" i="31" s="1"/>
  <c r="DE77" i="31" s="1"/>
  <c r="KI76" i="31"/>
  <c r="IN75" i="31"/>
  <c r="DF75" i="31"/>
  <c r="EU76" i="31"/>
  <c r="DT75" i="31" l="1"/>
  <c r="DZ75" i="31" s="1"/>
  <c r="GT77" i="31"/>
  <c r="GR75" i="31"/>
  <c r="KJ76" i="31"/>
  <c r="GU75" i="31"/>
  <c r="GV75" i="31"/>
  <c r="FD75" i="31"/>
  <c r="BD76" i="31"/>
  <c r="BE76" i="31"/>
  <c r="GS75" i="31" l="1"/>
  <c r="BG76" i="31"/>
  <c r="BF76" i="31"/>
  <c r="IS75" i="31"/>
  <c r="FL76" i="31"/>
  <c r="JH75" i="31" l="1"/>
  <c r="JI75" i="31" s="1"/>
  <c r="IT75" i="31"/>
  <c r="FM76" i="31"/>
  <c r="GW75" i="31"/>
  <c r="HC75" i="31" s="1"/>
  <c r="FA76" i="31" s="1"/>
  <c r="HB76" i="31" s="1"/>
  <c r="GY75" i="31"/>
  <c r="GX75" i="31"/>
  <c r="BI76" i="31"/>
  <c r="BK76" i="31" s="1"/>
  <c r="BH76" i="31"/>
  <c r="BJ76" i="31" l="1"/>
  <c r="HM75" i="31"/>
  <c r="EG75" i="31"/>
  <c r="EH76" i="31" s="1"/>
  <c r="EI76" i="31" s="1"/>
  <c r="FK76" i="31" s="1"/>
  <c r="EY75" i="31"/>
  <c r="HK76" i="31"/>
  <c r="BL76" i="31"/>
  <c r="BM76" i="31"/>
  <c r="JK75" i="31"/>
  <c r="JZ75" i="31" s="1"/>
  <c r="KF75" i="31" s="1"/>
  <c r="IQ76" i="31" s="1"/>
  <c r="JM75" i="31" l="1"/>
  <c r="KD75" i="31" s="1"/>
  <c r="IL76" i="31" s="1"/>
  <c r="JE76" i="31" s="1"/>
  <c r="EZ75" i="31"/>
  <c r="DG75" i="31"/>
  <c r="DH75" i="31" s="1"/>
  <c r="DI76" i="31" s="1"/>
  <c r="JN75" i="31"/>
  <c r="JV75" i="31" s="1"/>
  <c r="JF76" i="31" s="1"/>
  <c r="JL75" i="31"/>
  <c r="JJ76" i="31" s="1"/>
  <c r="KA76" i="31"/>
  <c r="BO76" i="31"/>
  <c r="BN76" i="31"/>
  <c r="EE75" i="31"/>
  <c r="EF76" i="31" s="1"/>
  <c r="EJ75" i="31"/>
  <c r="EK76" i="31" s="1"/>
  <c r="ED75" i="31"/>
  <c r="EB76" i="31" s="1"/>
  <c r="IP76" i="31" l="1"/>
  <c r="JO76" i="31"/>
  <c r="IR76" i="31"/>
  <c r="IO76" i="31"/>
  <c r="EO76" i="31"/>
  <c r="ES77" i="31" s="1"/>
  <c r="EP76" i="31"/>
  <c r="ET77" i="31" s="1"/>
  <c r="EL76" i="31"/>
  <c r="FC76" i="31"/>
  <c r="EV76" i="31"/>
  <c r="HZ76" i="31"/>
  <c r="GZ76" i="31"/>
  <c r="IE76" i="31" s="1"/>
  <c r="DJ76" i="31"/>
  <c r="DK76" i="31" s="1"/>
  <c r="KG76" i="31"/>
  <c r="JY76" i="31"/>
  <c r="JW76" i="31"/>
  <c r="IY76" i="31"/>
  <c r="JC76" i="31"/>
  <c r="JD76" i="31"/>
  <c r="BP76" i="31"/>
  <c r="BQ76" i="31" s="1"/>
  <c r="DP76" i="31"/>
  <c r="JA76" i="31"/>
  <c r="JP76" i="31" l="1"/>
  <c r="JQ76" i="31" s="1"/>
  <c r="EC76" i="31"/>
  <c r="DX76" i="31"/>
  <c r="FQ76" i="31"/>
  <c r="DM76" i="31"/>
  <c r="JX76" i="31"/>
  <c r="BR76" i="31"/>
  <c r="BS76" i="31"/>
  <c r="BT76" i="31" l="1"/>
  <c r="BU76" i="31"/>
  <c r="BV76" i="31" s="1"/>
  <c r="FB76" i="31"/>
  <c r="EX76" i="31"/>
  <c r="M76" i="31" s="1"/>
  <c r="DL76" i="31"/>
  <c r="L77" i="31"/>
  <c r="MJ76" i="31" l="1"/>
  <c r="NS76" i="31" s="1"/>
  <c r="MB76" i="31"/>
  <c r="BW76" i="31"/>
  <c r="NM76" i="31" l="1"/>
  <c r="NN76" i="31" s="1"/>
  <c r="BX76" i="31"/>
  <c r="BY76" i="31"/>
  <c r="NT76" i="31"/>
  <c r="OU77" i="31"/>
  <c r="OV77" i="31" l="1"/>
  <c r="NW76" i="31"/>
  <c r="CX76" i="31"/>
  <c r="FR76" i="31"/>
  <c r="FV76" i="31"/>
  <c r="NU76" i="31"/>
  <c r="NX76" i="31"/>
  <c r="BZ76" i="31"/>
  <c r="CA76" i="31"/>
  <c r="CC76" i="31" s="1"/>
  <c r="CB76" i="31" l="1"/>
  <c r="CD76" i="31"/>
  <c r="CE76" i="31"/>
  <c r="NY76" i="31"/>
  <c r="OF76" i="31"/>
  <c r="OS77" i="31" s="1"/>
  <c r="MY76" i="31"/>
  <c r="NZ76" i="31"/>
  <c r="CY77" i="31"/>
  <c r="NV76" i="31"/>
  <c r="OA76" i="31" l="1"/>
  <c r="MV77" i="31" s="1"/>
  <c r="OG77" i="31" s="1"/>
  <c r="MZ77" i="31"/>
  <c r="OZ76" i="31"/>
  <c r="OI76" i="31"/>
  <c r="OB76" i="31"/>
  <c r="OT77" i="31" s="1"/>
  <c r="NF77" i="31"/>
  <c r="OO77" i="31"/>
  <c r="OM77" i="31"/>
  <c r="CF76" i="31"/>
  <c r="CG76" i="31"/>
  <c r="CI76" i="31" s="1"/>
  <c r="KT77" i="31" l="1"/>
  <c r="KM77" i="31" s="1"/>
  <c r="KO78" i="31" s="1"/>
  <c r="PA76" i="31"/>
  <c r="OC76" i="31"/>
  <c r="OD77" i="31" s="1"/>
  <c r="OH77" i="31" s="1"/>
  <c r="OK77" i="31" s="1"/>
  <c r="OJ76" i="31"/>
  <c r="MW77" i="31" s="1"/>
  <c r="CJ76" i="31"/>
  <c r="CO76" i="31" s="1"/>
  <c r="CK76" i="31"/>
  <c r="MR77" i="31"/>
  <c r="OX77" i="31"/>
  <c r="OW76" i="31"/>
  <c r="CH76" i="31"/>
  <c r="OY77" i="31" l="1"/>
  <c r="KL77" i="31"/>
  <c r="KN78" i="31" s="1"/>
  <c r="KP78" i="31" s="1"/>
  <c r="CL76" i="31"/>
  <c r="CM76" i="31"/>
  <c r="CN76" i="31" s="1"/>
  <c r="MX77" i="31"/>
  <c r="KR77" i="31"/>
  <c r="MS77" i="31"/>
  <c r="KQ77" i="31" l="1"/>
  <c r="KS77" i="31" s="1"/>
  <c r="NA77" i="31"/>
  <c r="NB77" i="31"/>
  <c r="NH78" i="31"/>
  <c r="NI78" i="31" s="1"/>
  <c r="MT77" i="31"/>
  <c r="NQ77" i="31"/>
  <c r="MU77" i="31"/>
  <c r="NJ77" i="31"/>
  <c r="NP77" i="31"/>
  <c r="MO77" i="31"/>
  <c r="PE77" i="31"/>
  <c r="CP76" i="31"/>
  <c r="NK77" i="31" l="1"/>
  <c r="NL77" i="31"/>
  <c r="NG78" i="31"/>
  <c r="OQ78" i="31"/>
  <c r="NR77" i="31"/>
  <c r="FZ76" i="31"/>
  <c r="HO76" i="31"/>
  <c r="CQ76" i="31"/>
  <c r="FU76" i="31"/>
  <c r="JR76" i="31"/>
  <c r="JS76" i="31" s="1"/>
  <c r="GO76" i="31"/>
  <c r="FP76" i="31"/>
  <c r="FS76" i="31" s="1"/>
  <c r="FX76" i="31"/>
  <c r="DQ76" i="31"/>
  <c r="DR76" i="31" s="1"/>
  <c r="GB76" i="31"/>
  <c r="FE76" i="31"/>
  <c r="FF76" i="31" s="1"/>
  <c r="FH76" i="31"/>
  <c r="FI76" i="31" s="1"/>
  <c r="KX76" i="31"/>
  <c r="KU76" i="31"/>
  <c r="GN76" i="31" l="1"/>
  <c r="GQ76" i="31" s="1"/>
  <c r="HA76" i="31"/>
  <c r="DY76" i="31"/>
  <c r="HY76" i="31"/>
  <c r="KE76" i="31"/>
  <c r="KC76" i="31"/>
  <c r="JT77" i="31"/>
  <c r="JU76" i="31"/>
  <c r="FW76" i="31"/>
  <c r="OR78" i="31"/>
  <c r="HU76" i="31"/>
  <c r="HV77" i="31" s="1"/>
  <c r="FJ77" i="31"/>
  <c r="FG77" i="31"/>
  <c r="HW76" i="31"/>
  <c r="HX77" i="31" s="1"/>
  <c r="CT76" i="31"/>
  <c r="CS76" i="31"/>
  <c r="CR76" i="31"/>
  <c r="GC76" i="31"/>
  <c r="IA76" i="31"/>
  <c r="IB76" i="31" s="1"/>
  <c r="HP76" i="31"/>
  <c r="IZ76" i="31"/>
  <c r="NC78" i="31"/>
  <c r="MQ78" i="31"/>
  <c r="FY76" i="31"/>
  <c r="DS76" i="31"/>
  <c r="GA76" i="31"/>
  <c r="KV76" i="31" l="1"/>
  <c r="KW77" i="31" s="1"/>
  <c r="HQ76" i="31"/>
  <c r="HR77" i="31" s="1"/>
  <c r="AX76" i="31"/>
  <c r="AY77" i="31" s="1"/>
  <c r="AZ76" i="31"/>
  <c r="EM76" i="31"/>
  <c r="EW76" i="31" s="1"/>
  <c r="EN76" i="31"/>
  <c r="HT76" i="31"/>
  <c r="HS76" i="31"/>
  <c r="JG76" i="31" s="1"/>
  <c r="IC76" i="31" l="1"/>
  <c r="ID76" i="31" s="1"/>
  <c r="IF76" i="31" s="1"/>
  <c r="KH76" i="31" s="1"/>
  <c r="JB76" i="31"/>
  <c r="BB77" i="31"/>
  <c r="DW76" i="31"/>
  <c r="DU77" i="31" s="1"/>
  <c r="IW76" i="31"/>
  <c r="EQ76" i="31"/>
  <c r="ER77" i="31"/>
  <c r="IU76" i="31"/>
  <c r="IV76" i="31" s="1"/>
  <c r="EU77" i="31" l="1"/>
  <c r="BC77" i="31"/>
  <c r="KB76" i="31"/>
  <c r="IX76" i="31"/>
  <c r="KK76" i="31"/>
  <c r="GM76" i="31"/>
  <c r="IM76" i="31"/>
  <c r="DB76" i="31"/>
  <c r="DC76" i="31" s="1"/>
  <c r="DD77" i="31" s="1"/>
  <c r="DE78" i="31" s="1"/>
  <c r="KI77" i="31"/>
  <c r="IN76" i="31"/>
  <c r="DF76" i="31"/>
  <c r="DT76" i="31" l="1"/>
  <c r="DZ76" i="31" s="1"/>
  <c r="BD77" i="31"/>
  <c r="BE77" i="31"/>
  <c r="GR76" i="31"/>
  <c r="GV76" i="31"/>
  <c r="FD76" i="31"/>
  <c r="GU76" i="31"/>
  <c r="KJ77" i="31"/>
  <c r="GT78" i="31"/>
  <c r="IS76" i="31" l="1"/>
  <c r="FL77" i="31"/>
  <c r="GS76" i="31"/>
  <c r="BG77" i="31"/>
  <c r="BF77" i="31"/>
  <c r="BH77" i="31" l="1"/>
  <c r="BI77" i="31"/>
  <c r="BK77" i="31" s="1"/>
  <c r="FM77" i="31"/>
  <c r="GX76" i="31"/>
  <c r="GY76" i="31"/>
  <c r="GW76" i="31"/>
  <c r="HC76" i="31" s="1"/>
  <c r="FA77" i="31" s="1"/>
  <c r="HB77" i="31" s="1"/>
  <c r="JH76" i="31"/>
  <c r="JI76" i="31" s="1"/>
  <c r="IT76" i="31"/>
  <c r="BJ77" i="31" l="1"/>
  <c r="JK76" i="31"/>
  <c r="JZ76" i="31" s="1"/>
  <c r="KF76" i="31" s="1"/>
  <c r="IQ77" i="31" s="1"/>
  <c r="BL77" i="31"/>
  <c r="BM77" i="31"/>
  <c r="HM76" i="31"/>
  <c r="EY76" i="31"/>
  <c r="EG76" i="31"/>
  <c r="EH77" i="31" s="1"/>
  <c r="EI77" i="31" s="1"/>
  <c r="FK77" i="31" s="1"/>
  <c r="HK77" i="31"/>
  <c r="JM76" i="31" l="1"/>
  <c r="KD76" i="31" s="1"/>
  <c r="IL77" i="31" s="1"/>
  <c r="IR77" i="31" s="1"/>
  <c r="EJ76" i="31"/>
  <c r="EK77" i="31" s="1"/>
  <c r="EE76" i="31"/>
  <c r="EF77" i="31" s="1"/>
  <c r="ED76" i="31"/>
  <c r="EB77" i="31" s="1"/>
  <c r="IY77" i="31" s="1"/>
  <c r="BO77" i="31"/>
  <c r="BN77" i="31"/>
  <c r="JN76" i="31"/>
  <c r="JV76" i="31" s="1"/>
  <c r="JF77" i="31" s="1"/>
  <c r="JL76" i="31"/>
  <c r="JJ77" i="31" s="1"/>
  <c r="KA77" i="31"/>
  <c r="EZ76" i="31"/>
  <c r="DG76" i="31"/>
  <c r="DH76" i="31" s="1"/>
  <c r="DI77" i="31" s="1"/>
  <c r="JE77" i="31" l="1"/>
  <c r="JA77" i="31"/>
  <c r="JO77" i="31"/>
  <c r="IO77" i="31"/>
  <c r="JP77" i="31" s="1"/>
  <c r="JQ77" i="31" s="1"/>
  <c r="IP77" i="31"/>
  <c r="FC77" i="31"/>
  <c r="EO77" i="31"/>
  <c r="ES78" i="31" s="1"/>
  <c r="EP77" i="31"/>
  <c r="ET78" i="31" s="1"/>
  <c r="EL77" i="31"/>
  <c r="EV77" i="31"/>
  <c r="BP77" i="31"/>
  <c r="BQ77" i="31" s="1"/>
  <c r="DJ77" i="31"/>
  <c r="DK77" i="31" s="1"/>
  <c r="GZ77" i="31"/>
  <c r="IE77" i="31" s="1"/>
  <c r="HZ77" i="31"/>
  <c r="JY77" i="31"/>
  <c r="JW77" i="31"/>
  <c r="DP77" i="31"/>
  <c r="JC77" i="31"/>
  <c r="JD77" i="31"/>
  <c r="EC77" i="31" l="1"/>
  <c r="BR77" i="31"/>
  <c r="BS77" i="31"/>
  <c r="DM77" i="31"/>
  <c r="FQ77" i="31"/>
  <c r="DX77" i="31"/>
  <c r="JX77" i="31"/>
  <c r="KG77" i="31"/>
  <c r="DL77" i="31" l="1"/>
  <c r="L78" i="31"/>
  <c r="BT77" i="31"/>
  <c r="BU77" i="31"/>
  <c r="BV77" i="31" s="1"/>
  <c r="FB77" i="31"/>
  <c r="EX77" i="31"/>
  <c r="M77" i="31" s="1"/>
  <c r="MB77" i="31" l="1"/>
  <c r="MJ77" i="31"/>
  <c r="NS77" i="31" s="1"/>
  <c r="BW77" i="31"/>
  <c r="NM77" i="31" l="1"/>
  <c r="NN77" i="31" s="1"/>
  <c r="BX77" i="31"/>
  <c r="BY77" i="31"/>
  <c r="NT77" i="31"/>
  <c r="OU78" i="31"/>
  <c r="NW77" i="31" l="1"/>
  <c r="NX77" i="31" s="1"/>
  <c r="OV78" i="31"/>
  <c r="CX77" i="31"/>
  <c r="FV77" i="31"/>
  <c r="FR77" i="31"/>
  <c r="NU77" i="31"/>
  <c r="BZ77" i="31"/>
  <c r="CA77" i="31"/>
  <c r="CC77" i="31" s="1"/>
  <c r="CB77" i="31" l="1"/>
  <c r="NV77" i="31"/>
  <c r="CD77" i="31"/>
  <c r="CE77" i="31"/>
  <c r="MY77" i="31"/>
  <c r="NZ77" i="31"/>
  <c r="CY78" i="31"/>
  <c r="NY77" i="31"/>
  <c r="OF77" i="31"/>
  <c r="OS78" i="31" s="1"/>
  <c r="OI77" i="31" l="1"/>
  <c r="OX78" i="31" s="1"/>
  <c r="OA77" i="31"/>
  <c r="MV78" i="31" s="1"/>
  <c r="OG78" i="31" s="1"/>
  <c r="CF77" i="31"/>
  <c r="CG77" i="31"/>
  <c r="CI77" i="31" s="1"/>
  <c r="MZ78" i="31"/>
  <c r="OZ77" i="31"/>
  <c r="OB77" i="31"/>
  <c r="OT78" i="31" s="1"/>
  <c r="OM78" i="31"/>
  <c r="NF78" i="31"/>
  <c r="OO78" i="31"/>
  <c r="OW77" i="31" l="1"/>
  <c r="MR78" i="31"/>
  <c r="MS78" i="31" s="1"/>
  <c r="KT78" i="31"/>
  <c r="KM78" i="31" s="1"/>
  <c r="KO79" i="31" s="1"/>
  <c r="CH77" i="31"/>
  <c r="CJ77" i="31"/>
  <c r="CO77" i="31" s="1"/>
  <c r="CK77" i="31"/>
  <c r="PA77" i="31"/>
  <c r="OC77" i="31"/>
  <c r="OD78" i="31" s="1"/>
  <c r="OH78" i="31" s="1"/>
  <c r="OK78" i="31" s="1"/>
  <c r="OJ77" i="31"/>
  <c r="KL78" i="31" l="1"/>
  <c r="KN79" i="31" s="1"/>
  <c r="KP79" i="31" s="1"/>
  <c r="KR78" i="31"/>
  <c r="CL77" i="31"/>
  <c r="CM77" i="31"/>
  <c r="CN77" i="31" s="1"/>
  <c r="NQ78" i="31"/>
  <c r="NP78" i="31"/>
  <c r="NJ78" i="31"/>
  <c r="MO78" i="31"/>
  <c r="NH79" i="31"/>
  <c r="NI79" i="31" s="1"/>
  <c r="MU78" i="31"/>
  <c r="MT78" i="31"/>
  <c r="PE78" i="31"/>
  <c r="OY78" i="31"/>
  <c r="MW78" i="31"/>
  <c r="KQ78" i="31" l="1"/>
  <c r="KS78" i="31" s="1"/>
  <c r="NR78" i="31"/>
  <c r="CP77" i="31"/>
  <c r="NL78" i="31"/>
  <c r="NK78" i="31"/>
  <c r="NG79" i="31"/>
  <c r="OQ79" i="31"/>
  <c r="MX78" i="31"/>
  <c r="NC79" i="31" l="1"/>
  <c r="MQ79" i="31"/>
  <c r="NB78" i="31"/>
  <c r="NA78" i="31"/>
  <c r="JR77" i="31"/>
  <c r="JS77" i="31" s="1"/>
  <c r="FE77" i="31"/>
  <c r="FF77" i="31" s="1"/>
  <c r="CQ77" i="31"/>
  <c r="FZ77" i="31"/>
  <c r="DQ77" i="31"/>
  <c r="DR77" i="31" s="1"/>
  <c r="GO77" i="31"/>
  <c r="GB77" i="31"/>
  <c r="FH77" i="31"/>
  <c r="FI77" i="31" s="1"/>
  <c r="FU77" i="31"/>
  <c r="HO77" i="31"/>
  <c r="FP77" i="31"/>
  <c r="FS77" i="31" s="1"/>
  <c r="FX77" i="31"/>
  <c r="KX77" i="31"/>
  <c r="KU77" i="31"/>
  <c r="OR79" i="31"/>
  <c r="GN77" i="31" l="1"/>
  <c r="KV77" i="31" s="1"/>
  <c r="FG78" i="31"/>
  <c r="HW77" i="31"/>
  <c r="HX78" i="31" s="1"/>
  <c r="FW77" i="31"/>
  <c r="KC77" i="31"/>
  <c r="KE77" i="31"/>
  <c r="JU77" i="31"/>
  <c r="JT78" i="31"/>
  <c r="GC77" i="31"/>
  <c r="HP77" i="31"/>
  <c r="IA77" i="31"/>
  <c r="IB77" i="31" s="1"/>
  <c r="IZ77" i="31"/>
  <c r="DS77" i="31"/>
  <c r="FY77" i="31"/>
  <c r="GA77" i="31"/>
  <c r="HU77" i="31"/>
  <c r="HV78" i="31" s="1"/>
  <c r="FJ78" i="31"/>
  <c r="HA77" i="31"/>
  <c r="DY77" i="31"/>
  <c r="HY77" i="31"/>
  <c r="CR77" i="31"/>
  <c r="CS77" i="31"/>
  <c r="CT77" i="31"/>
  <c r="GQ77" i="31" l="1"/>
  <c r="KW78" i="31"/>
  <c r="HQ77" i="31"/>
  <c r="HR78" i="31" s="1"/>
  <c r="HT77" i="31"/>
  <c r="HS77" i="31"/>
  <c r="JG77" i="31" s="1"/>
  <c r="AX77" i="31"/>
  <c r="AY78" i="31" s="1"/>
  <c r="EN77" i="31"/>
  <c r="AZ77" i="31"/>
  <c r="EM77" i="31"/>
  <c r="EW77" i="31" s="1"/>
  <c r="IC77" i="31" l="1"/>
  <c r="ID77" i="31" s="1"/>
  <c r="IF77" i="31" s="1"/>
  <c r="KH77" i="31" s="1"/>
  <c r="JB77" i="31"/>
  <c r="BB78" i="31"/>
  <c r="DW77" i="31"/>
  <c r="DU78" i="31" s="1"/>
  <c r="IW77" i="31"/>
  <c r="EQ77" i="31"/>
  <c r="ER78" i="31"/>
  <c r="IU77" i="31"/>
  <c r="IV77" i="31" s="1"/>
  <c r="BC78" i="31" l="1"/>
  <c r="GM77" i="31"/>
  <c r="IM77" i="31"/>
  <c r="DB77" i="31"/>
  <c r="DC77" i="31" s="1"/>
  <c r="DD78" i="31" s="1"/>
  <c r="DE79" i="31" s="1"/>
  <c r="KI78" i="31"/>
  <c r="IN77" i="31"/>
  <c r="DF77" i="31"/>
  <c r="EU78" i="31"/>
  <c r="KB77" i="31"/>
  <c r="IX77" i="31"/>
  <c r="KK77" i="31"/>
  <c r="GT79" i="31" l="1"/>
  <c r="DT77" i="31"/>
  <c r="DZ77" i="31" s="1"/>
  <c r="GV77" i="31"/>
  <c r="FD77" i="31"/>
  <c r="GU77" i="31"/>
  <c r="KJ78" i="31"/>
  <c r="GR77" i="31"/>
  <c r="BE78" i="31"/>
  <c r="BD78" i="31"/>
  <c r="BF78" i="31" l="1"/>
  <c r="BG78" i="31"/>
  <c r="IS77" i="31"/>
  <c r="FL78" i="31"/>
  <c r="GS77" i="31"/>
  <c r="GY77" i="31" l="1"/>
  <c r="GW77" i="31"/>
  <c r="HC77" i="31" s="1"/>
  <c r="FA78" i="31" s="1"/>
  <c r="HB78" i="31" s="1"/>
  <c r="GX77" i="31"/>
  <c r="JH77" i="31"/>
  <c r="JI77" i="31" s="1"/>
  <c r="IT77" i="31"/>
  <c r="BI78" i="31"/>
  <c r="BK78" i="31" s="1"/>
  <c r="BH78" i="31"/>
  <c r="FM78" i="31"/>
  <c r="BJ78" i="31" l="1"/>
  <c r="BL78" i="31"/>
  <c r="BM78" i="31"/>
  <c r="EG77" i="31"/>
  <c r="EH78" i="31" s="1"/>
  <c r="EI78" i="31" s="1"/>
  <c r="FK78" i="31" s="1"/>
  <c r="HM77" i="31"/>
  <c r="EY77" i="31"/>
  <c r="HK78" i="31"/>
  <c r="JK77" i="31"/>
  <c r="JZ77" i="31" s="1"/>
  <c r="KF77" i="31" s="1"/>
  <c r="IQ78" i="31" s="1"/>
  <c r="EE77" i="31" l="1"/>
  <c r="EF78" i="31" s="1"/>
  <c r="ED77" i="31"/>
  <c r="EB78" i="31" s="1"/>
  <c r="EJ77" i="31"/>
  <c r="EK78" i="31" s="1"/>
  <c r="JN77" i="31"/>
  <c r="JV77" i="31" s="1"/>
  <c r="JF78" i="31" s="1"/>
  <c r="BN78" i="31"/>
  <c r="BO78" i="31"/>
  <c r="EZ77" i="31"/>
  <c r="DG77" i="31"/>
  <c r="DH77" i="31" s="1"/>
  <c r="DI78" i="31" s="1"/>
  <c r="JM77" i="31"/>
  <c r="KD77" i="31" s="1"/>
  <c r="IL78" i="31" s="1"/>
  <c r="JL77" i="31"/>
  <c r="JJ78" i="31" s="1"/>
  <c r="KA78" i="31"/>
  <c r="JO78" i="31" l="1"/>
  <c r="JE78" i="31"/>
  <c r="GZ78" i="31"/>
  <c r="DJ78" i="31"/>
  <c r="DK78" i="31" s="1"/>
  <c r="IE78" i="31"/>
  <c r="EL78" i="31"/>
  <c r="EP78" i="31"/>
  <c r="ET79" i="31" s="1"/>
  <c r="FC78" i="31"/>
  <c r="EO78" i="31"/>
  <c r="ES79" i="31" s="1"/>
  <c r="EV78" i="31"/>
  <c r="HZ78" i="31"/>
  <c r="BP78" i="31"/>
  <c r="BQ78" i="31" s="1"/>
  <c r="JA78" i="31"/>
  <c r="IP78" i="31"/>
  <c r="IO78" i="31"/>
  <c r="IY78" i="31"/>
  <c r="JC78" i="31"/>
  <c r="JD78" i="31"/>
  <c r="DP78" i="31"/>
  <c r="JW78" i="31"/>
  <c r="JY78" i="31"/>
  <c r="IR78" i="31"/>
  <c r="KG78" i="31" s="1"/>
  <c r="DX78" i="31" l="1"/>
  <c r="FQ78" i="31"/>
  <c r="DM78" i="31"/>
  <c r="EC78" i="31"/>
  <c r="BR78" i="31"/>
  <c r="BS78" i="31"/>
  <c r="JX78" i="31"/>
  <c r="JP78" i="31"/>
  <c r="JQ78" i="31" s="1"/>
  <c r="BT78" i="31" l="1"/>
  <c r="BU78" i="31"/>
  <c r="FB78" i="31"/>
  <c r="EX78" i="31"/>
  <c r="M78" i="31" s="1"/>
  <c r="DL78" i="31"/>
  <c r="L79" i="31"/>
  <c r="BV78" i="31" l="1"/>
  <c r="BW78" i="31" s="1"/>
  <c r="MJ78" i="31"/>
  <c r="NS78" i="31" s="1"/>
  <c r="MB78" i="31"/>
  <c r="NM78" i="31" l="1"/>
  <c r="NN78" i="31" s="1"/>
  <c r="BY78" i="31"/>
  <c r="BX78" i="31"/>
  <c r="NT78" i="31"/>
  <c r="OU79" i="31"/>
  <c r="NW78" i="31" l="1"/>
  <c r="NX78" i="31" s="1"/>
  <c r="OF78" i="31" s="1"/>
  <c r="OS79" i="31" s="1"/>
  <c r="OV79" i="31"/>
  <c r="FR78" i="31"/>
  <c r="CX78" i="31"/>
  <c r="FV78" i="31"/>
  <c r="NU78" i="31"/>
  <c r="BZ78" i="31"/>
  <c r="CA78" i="31"/>
  <c r="CC78" i="31" s="1"/>
  <c r="NY78" i="31" l="1"/>
  <c r="OB78" i="31" s="1"/>
  <c r="OT79" i="31" s="1"/>
  <c r="NZ78" i="31"/>
  <c r="MY78" i="31"/>
  <c r="CY79" i="31"/>
  <c r="NV78" i="31"/>
  <c r="CD78" i="31"/>
  <c r="CE78" i="31"/>
  <c r="CB78" i="31"/>
  <c r="OI78" i="31" l="1"/>
  <c r="OW78" i="31" s="1"/>
  <c r="OA78" i="31"/>
  <c r="MV79" i="31" s="1"/>
  <c r="OG79" i="31" s="1"/>
  <c r="OC78" i="31"/>
  <c r="OD79" i="31" s="1"/>
  <c r="OH79" i="31" s="1"/>
  <c r="MZ79" i="31"/>
  <c r="OZ78" i="31"/>
  <c r="PA78" i="31"/>
  <c r="CF78" i="31"/>
  <c r="CG78" i="31"/>
  <c r="CI78" i="31" s="1"/>
  <c r="NF79" i="31"/>
  <c r="OM79" i="31"/>
  <c r="OO79" i="31"/>
  <c r="OJ78" i="31"/>
  <c r="KT79" i="31" l="1"/>
  <c r="KL79" i="31" s="1"/>
  <c r="KN80" i="31" s="1"/>
  <c r="OX79" i="31"/>
  <c r="MR79" i="31"/>
  <c r="MS79" i="31" s="1"/>
  <c r="OK79" i="31"/>
  <c r="CJ78" i="31"/>
  <c r="CO78" i="31" s="1"/>
  <c r="CK78" i="31"/>
  <c r="OY79" i="31"/>
  <c r="MW79" i="31"/>
  <c r="CH78" i="31"/>
  <c r="KM79" i="31" l="1"/>
  <c r="KO80" i="31" s="1"/>
  <c r="KP80" i="31" s="1"/>
  <c r="MX79" i="31"/>
  <c r="CL78" i="31"/>
  <c r="CM78" i="31"/>
  <c r="CN78" i="31" s="1"/>
  <c r="NQ79" i="31"/>
  <c r="NJ79" i="31"/>
  <c r="NP79" i="31"/>
  <c r="NH80" i="31"/>
  <c r="NI80" i="31" s="1"/>
  <c r="MT79" i="31"/>
  <c r="MO79" i="31"/>
  <c r="MU79" i="31"/>
  <c r="PE79" i="31"/>
  <c r="KQ79" i="31"/>
  <c r="KR79" i="31" l="1"/>
  <c r="KS79" i="31" s="1"/>
  <c r="CP78" i="31"/>
  <c r="NL79" i="31"/>
  <c r="NK79" i="31"/>
  <c r="NG80" i="31"/>
  <c r="OQ80" i="31"/>
  <c r="NB79" i="31"/>
  <c r="NA79" i="31"/>
  <c r="NR79" i="31"/>
  <c r="OR80" i="31" l="1"/>
  <c r="NC80" i="31"/>
  <c r="MQ80" i="31"/>
  <c r="GB78" i="31"/>
  <c r="GC78" i="31" s="1"/>
  <c r="HO78" i="31"/>
  <c r="FX78" i="31"/>
  <c r="FY78" i="31" s="1"/>
  <c r="FP78" i="31"/>
  <c r="FS78" i="31" s="1"/>
  <c r="GO78" i="31"/>
  <c r="FZ78" i="31"/>
  <c r="GA78" i="31" s="1"/>
  <c r="FH78" i="31"/>
  <c r="FI78" i="31" s="1"/>
  <c r="DQ78" i="31"/>
  <c r="DR78" i="31" s="1"/>
  <c r="JR78" i="31"/>
  <c r="JS78" i="31" s="1"/>
  <c r="FU78" i="31"/>
  <c r="FW78" i="31" s="1"/>
  <c r="FE78" i="31"/>
  <c r="FF78" i="31" s="1"/>
  <c r="CQ78" i="31"/>
  <c r="KX78" i="31"/>
  <c r="KU78" i="31"/>
  <c r="GN78" i="31" l="1"/>
  <c r="KV78" i="31" s="1"/>
  <c r="KE78" i="31"/>
  <c r="JU78" i="31"/>
  <c r="JT79" i="31"/>
  <c r="KC78" i="31"/>
  <c r="HU78" i="31"/>
  <c r="HV79" i="31" s="1"/>
  <c r="FJ79" i="31"/>
  <c r="DS78" i="31"/>
  <c r="CS78" i="31"/>
  <c r="CR78" i="31"/>
  <c r="CT78" i="31"/>
  <c r="DY78" i="31"/>
  <c r="HA78" i="31"/>
  <c r="HY78" i="31"/>
  <c r="HW78" i="31"/>
  <c r="HX79" i="31" s="1"/>
  <c r="FG79" i="31"/>
  <c r="HP78" i="31"/>
  <c r="IA78" i="31"/>
  <c r="IB78" i="31" s="1"/>
  <c r="IZ78" i="31"/>
  <c r="GQ78" i="31" l="1"/>
  <c r="KW79" i="31"/>
  <c r="HQ78" i="31"/>
  <c r="HR79" i="31" s="1"/>
  <c r="AX78" i="31"/>
  <c r="AY79" i="31" s="1"/>
  <c r="EM78" i="31"/>
  <c r="EW78" i="31" s="1"/>
  <c r="AZ78" i="31"/>
  <c r="EN78" i="31"/>
  <c r="HT78" i="31"/>
  <c r="HS78" i="31"/>
  <c r="JG78" i="31" s="1"/>
  <c r="BB79" i="31" l="1"/>
  <c r="DW78" i="31"/>
  <c r="DU79" i="31" s="1"/>
  <c r="IW78" i="31"/>
  <c r="EQ78" i="31"/>
  <c r="ER79" i="31"/>
  <c r="IU78" i="31"/>
  <c r="IV78" i="31" s="1"/>
  <c r="IC78" i="31"/>
  <c r="ID78" i="31" s="1"/>
  <c r="IF78" i="31" s="1"/>
  <c r="KH78" i="31" s="1"/>
  <c r="JB78" i="31"/>
  <c r="EU79" i="31" l="1"/>
  <c r="KB78" i="31"/>
  <c r="IX78" i="31"/>
  <c r="KK78" i="31"/>
  <c r="BC79" i="31"/>
  <c r="GM78" i="31"/>
  <c r="IM78" i="31"/>
  <c r="DB78" i="31"/>
  <c r="DC78" i="31" s="1"/>
  <c r="DD79" i="31" s="1"/>
  <c r="DE80" i="31" s="1"/>
  <c r="KI79" i="31"/>
  <c r="IN78" i="31"/>
  <c r="DF78" i="31"/>
  <c r="DT78" i="31" l="1"/>
  <c r="DZ78" i="31" s="1"/>
  <c r="GT80" i="31"/>
  <c r="GV78" i="31"/>
  <c r="FD78" i="31"/>
  <c r="GU78" i="31"/>
  <c r="GR78" i="31"/>
  <c r="BE79" i="31"/>
  <c r="BD79" i="31"/>
  <c r="KJ79" i="31"/>
  <c r="BG79" i="31" l="1"/>
  <c r="BF79" i="31"/>
  <c r="GS78" i="31"/>
  <c r="IS78" i="31"/>
  <c r="FL79" i="31"/>
  <c r="JH78" i="31" l="1"/>
  <c r="JI78" i="31" s="1"/>
  <c r="IT78" i="31"/>
  <c r="FM79" i="31"/>
  <c r="GY78" i="31"/>
  <c r="GW78" i="31"/>
  <c r="HC78" i="31" s="1"/>
  <c r="FA79" i="31" s="1"/>
  <c r="HB79" i="31" s="1"/>
  <c r="GX78" i="31"/>
  <c r="BH79" i="31"/>
  <c r="BI79" i="31"/>
  <c r="BK79" i="31" s="1"/>
  <c r="BJ79" i="31" l="1"/>
  <c r="EG78" i="31"/>
  <c r="EH79" i="31" s="1"/>
  <c r="EI79" i="31" s="1"/>
  <c r="FK79" i="31" s="1"/>
  <c r="HM78" i="31"/>
  <c r="EY78" i="31"/>
  <c r="HK79" i="31"/>
  <c r="BL79" i="31"/>
  <c r="BM79" i="31"/>
  <c r="JK78" i="31"/>
  <c r="JN78" i="31" s="1"/>
  <c r="JV78" i="31" s="1"/>
  <c r="JF79" i="31" s="1"/>
  <c r="JM78" i="31" l="1"/>
  <c r="KD78" i="31" s="1"/>
  <c r="IL79" i="31" s="1"/>
  <c r="JW79" i="31"/>
  <c r="JY79" i="31"/>
  <c r="EZ78" i="31"/>
  <c r="DG78" i="31"/>
  <c r="DH78" i="31" s="1"/>
  <c r="DI79" i="31" s="1"/>
  <c r="JZ78" i="31"/>
  <c r="KF78" i="31" s="1"/>
  <c r="IQ79" i="31" s="1"/>
  <c r="JL78" i="31"/>
  <c r="JJ79" i="31" s="1"/>
  <c r="KA79" i="31"/>
  <c r="EE78" i="31"/>
  <c r="EF79" i="31" s="1"/>
  <c r="EJ78" i="31"/>
  <c r="EK79" i="31" s="1"/>
  <c r="ED78" i="31"/>
  <c r="EB79" i="31" s="1"/>
  <c r="BO79" i="31"/>
  <c r="BN79" i="31"/>
  <c r="IO79" i="31" l="1"/>
  <c r="IP79" i="31"/>
  <c r="DP79" i="31"/>
  <c r="JC79" i="31"/>
  <c r="JD79" i="31"/>
  <c r="GZ79" i="31"/>
  <c r="IE79" i="31" s="1"/>
  <c r="DJ79" i="31"/>
  <c r="DK79" i="31" s="1"/>
  <c r="BP79" i="31"/>
  <c r="BQ79" i="31" s="1"/>
  <c r="JA79" i="31"/>
  <c r="IY79" i="31"/>
  <c r="JO79" i="31"/>
  <c r="JE79" i="31"/>
  <c r="IR79" i="31"/>
  <c r="HZ79" i="31"/>
  <c r="EP79" i="31"/>
  <c r="ET80" i="31" s="1"/>
  <c r="FC79" i="31"/>
  <c r="EL79" i="31"/>
  <c r="EO79" i="31"/>
  <c r="ES80" i="31" s="1"/>
  <c r="EV79" i="31"/>
  <c r="JP79" i="31" l="1"/>
  <c r="JQ79" i="31" s="1"/>
  <c r="KG79" i="31"/>
  <c r="BR79" i="31"/>
  <c r="BS79" i="31"/>
  <c r="BU79" i="31" s="1"/>
  <c r="FQ79" i="31"/>
  <c r="DX79" i="31"/>
  <c r="DM79" i="31"/>
  <c r="EC79" i="31"/>
  <c r="JX79" i="31"/>
  <c r="BV79" i="31" l="1"/>
  <c r="BW79" i="31" s="1"/>
  <c r="BX79" i="31" s="1"/>
  <c r="BT79" i="31"/>
  <c r="EX79" i="31"/>
  <c r="M79" i="31" s="1"/>
  <c r="FB79" i="31"/>
  <c r="DL79" i="31"/>
  <c r="L80" i="31"/>
  <c r="BY79" i="31" l="1"/>
  <c r="BZ79" i="31" s="1"/>
  <c r="MJ79" i="31"/>
  <c r="NS79" i="31" s="1"/>
  <c r="MB79" i="31"/>
  <c r="CA79" i="31" l="1"/>
  <c r="CB79" i="31" s="1"/>
  <c r="CC79" i="31" s="1"/>
  <c r="NM79" i="31"/>
  <c r="NN79" i="31" s="1"/>
  <c r="NT79" i="31"/>
  <c r="OU80" i="31"/>
  <c r="CE79" i="31" l="1"/>
  <c r="CD79" i="31"/>
  <c r="NW79" i="31"/>
  <c r="NX79" i="31" s="1"/>
  <c r="OF79" i="31" s="1"/>
  <c r="OS80" i="31" s="1"/>
  <c r="OV80" i="31"/>
  <c r="FV79" i="31"/>
  <c r="CX79" i="31"/>
  <c r="FR79" i="31"/>
  <c r="NU79" i="31"/>
  <c r="CF79" i="31" l="1"/>
  <c r="CG79" i="31"/>
  <c r="CI79" i="31" s="1"/>
  <c r="CJ79" i="31" s="1"/>
  <c r="CO79" i="31" s="1"/>
  <c r="NY79" i="31"/>
  <c r="OB79" i="31" s="1"/>
  <c r="OT80" i="31" s="1"/>
  <c r="MY79" i="31"/>
  <c r="NZ79" i="31"/>
  <c r="CY80" i="31"/>
  <c r="NV79" i="31"/>
  <c r="CK79" i="31" l="1"/>
  <c r="CL79" i="31" s="1"/>
  <c r="CH79" i="31"/>
  <c r="OI79" i="31"/>
  <c r="MR80" i="31" s="1"/>
  <c r="OA79" i="31"/>
  <c r="MV80" i="31" s="1"/>
  <c r="OG80" i="31" s="1"/>
  <c r="OO80" i="31"/>
  <c r="NF80" i="31"/>
  <c r="OM80" i="31"/>
  <c r="PA79" i="31"/>
  <c r="OJ79" i="31"/>
  <c r="OC79" i="31"/>
  <c r="OD80" i="31" s="1"/>
  <c r="OH80" i="31" s="1"/>
  <c r="MZ80" i="31"/>
  <c r="OZ79" i="31"/>
  <c r="OW79" i="31" l="1"/>
  <c r="CM79" i="31"/>
  <c r="CN79" i="31" s="1"/>
  <c r="CP79" i="31" s="1"/>
  <c r="OX80" i="31"/>
  <c r="KT80" i="31"/>
  <c r="KL80" i="31" s="1"/>
  <c r="KN81" i="31" s="1"/>
  <c r="OY80" i="31"/>
  <c r="MW80" i="31"/>
  <c r="MS80" i="31"/>
  <c r="OK80" i="31"/>
  <c r="KM80" i="31" l="1"/>
  <c r="KO81" i="31" s="1"/>
  <c r="KR80" i="31" s="1"/>
  <c r="MX80" i="31"/>
  <c r="GO79" i="31"/>
  <c r="CQ79" i="31"/>
  <c r="FP79" i="31"/>
  <c r="FS79" i="31" s="1"/>
  <c r="FX79" i="31"/>
  <c r="FY79" i="31" s="1"/>
  <c r="FE79" i="31"/>
  <c r="FF79" i="31" s="1"/>
  <c r="FH79" i="31"/>
  <c r="FI79" i="31" s="1"/>
  <c r="DQ79" i="31"/>
  <c r="DR79" i="31" s="1"/>
  <c r="FU79" i="31"/>
  <c r="FW79" i="31" s="1"/>
  <c r="FZ79" i="31"/>
  <c r="GA79" i="31" s="1"/>
  <c r="GB79" i="31"/>
  <c r="GC79" i="31" s="1"/>
  <c r="HO79" i="31"/>
  <c r="JR79" i="31"/>
  <c r="JS79" i="31" s="1"/>
  <c r="KX79" i="31"/>
  <c r="KU79" i="31"/>
  <c r="NJ80" i="31"/>
  <c r="MT80" i="31"/>
  <c r="NQ80" i="31"/>
  <c r="MU80" i="31"/>
  <c r="NP80" i="31"/>
  <c r="MO80" i="31"/>
  <c r="NH81" i="31"/>
  <c r="NI81" i="31" s="1"/>
  <c r="PE80" i="31"/>
  <c r="KP81" i="31"/>
  <c r="KQ80" i="31"/>
  <c r="GN79" i="31" l="1"/>
  <c r="GQ79" i="31" s="1"/>
  <c r="KS80" i="31"/>
  <c r="JU79" i="31"/>
  <c r="KE79" i="31"/>
  <c r="KC79" i="31"/>
  <c r="JT80" i="31"/>
  <c r="HY79" i="31"/>
  <c r="HA79" i="31"/>
  <c r="DY79" i="31"/>
  <c r="CR79" i="31"/>
  <c r="CS79" i="31"/>
  <c r="CT79" i="31"/>
  <c r="NR80" i="31"/>
  <c r="IA79" i="31"/>
  <c r="IB79" i="31" s="1"/>
  <c r="HP79" i="31"/>
  <c r="IZ79" i="31"/>
  <c r="NL80" i="31"/>
  <c r="NK80" i="31"/>
  <c r="NG81" i="31"/>
  <c r="OQ81" i="31"/>
  <c r="DS79" i="31"/>
  <c r="HU79" i="31"/>
  <c r="HV80" i="31" s="1"/>
  <c r="FJ80" i="31"/>
  <c r="FG80" i="31"/>
  <c r="HW79" i="31"/>
  <c r="HX80" i="31" s="1"/>
  <c r="NB80" i="31"/>
  <c r="NA80" i="31"/>
  <c r="KV79" i="31" l="1"/>
  <c r="KW80" i="31" s="1"/>
  <c r="HQ79" i="31"/>
  <c r="HR80" i="31" s="1"/>
  <c r="AX79" i="31"/>
  <c r="AY80" i="31" s="1"/>
  <c r="EM79" i="31"/>
  <c r="EW79" i="31" s="1"/>
  <c r="AZ79" i="31"/>
  <c r="EN79" i="31"/>
  <c r="HT79" i="31"/>
  <c r="HS79" i="31"/>
  <c r="JG79" i="31" s="1"/>
  <c r="OR81" i="31"/>
  <c r="NC81" i="31"/>
  <c r="MQ81" i="31"/>
  <c r="BB80" i="31" l="1"/>
  <c r="EQ79" i="31"/>
  <c r="DW79" i="31"/>
  <c r="DU80" i="31" s="1"/>
  <c r="IW79" i="31"/>
  <c r="ER80" i="31"/>
  <c r="IU79" i="31"/>
  <c r="IV79" i="31" s="1"/>
  <c r="IC79" i="31"/>
  <c r="ID79" i="31" s="1"/>
  <c r="IF79" i="31" s="1"/>
  <c r="KH79" i="31" s="1"/>
  <c r="JB79" i="31"/>
  <c r="EU80" i="31" l="1"/>
  <c r="IM79" i="31"/>
  <c r="GM79" i="31"/>
  <c r="DB79" i="31"/>
  <c r="DC79" i="31" s="1"/>
  <c r="DD80" i="31" s="1"/>
  <c r="DE81" i="31" s="1"/>
  <c r="KI80" i="31"/>
  <c r="IN79" i="31"/>
  <c r="DF79" i="31"/>
  <c r="KK79" i="31"/>
  <c r="KB79" i="31"/>
  <c r="IX79" i="31"/>
  <c r="BC80" i="31"/>
  <c r="GT81" i="31" l="1"/>
  <c r="DT79" i="31"/>
  <c r="DZ79" i="31" s="1"/>
  <c r="GR79" i="31"/>
  <c r="GV79" i="31"/>
  <c r="FD79" i="31"/>
  <c r="GU79" i="31"/>
  <c r="KJ80" i="31"/>
  <c r="BE80" i="31"/>
  <c r="BD80" i="31"/>
  <c r="IS79" i="31" l="1"/>
  <c r="FL80" i="31"/>
  <c r="GS79" i="31"/>
  <c r="BG80" i="31"/>
  <c r="BF80" i="31"/>
  <c r="BH80" i="31" l="1"/>
  <c r="BI80" i="31"/>
  <c r="BK80" i="31" s="1"/>
  <c r="FM80" i="31"/>
  <c r="GY79" i="31"/>
  <c r="GX79" i="31"/>
  <c r="GW79" i="31"/>
  <c r="HC79" i="31" s="1"/>
  <c r="FA80" i="31" s="1"/>
  <c r="HB80" i="31" s="1"/>
  <c r="JH79" i="31"/>
  <c r="JI79" i="31" s="1"/>
  <c r="IT79" i="31"/>
  <c r="JK79" i="31" l="1"/>
  <c r="JZ79" i="31" s="1"/>
  <c r="KF79" i="31" s="1"/>
  <c r="IQ80" i="31" s="1"/>
  <c r="BL80" i="31"/>
  <c r="BM80" i="31"/>
  <c r="EY79" i="31"/>
  <c r="EG79" i="31"/>
  <c r="EH80" i="31" s="1"/>
  <c r="EI80" i="31" s="1"/>
  <c r="FK80" i="31" s="1"/>
  <c r="HM79" i="31"/>
  <c r="HK80" i="31"/>
  <c r="BJ80" i="31"/>
  <c r="JM79" i="31" l="1"/>
  <c r="KD79" i="31" s="1"/>
  <c r="IL80" i="31" s="1"/>
  <c r="JE80" i="31" s="1"/>
  <c r="JN79" i="31"/>
  <c r="JV79" i="31" s="1"/>
  <c r="JF80" i="31" s="1"/>
  <c r="JW80" i="31" s="1"/>
  <c r="EZ79" i="31"/>
  <c r="DG79" i="31"/>
  <c r="DH79" i="31" s="1"/>
  <c r="DI80" i="31" s="1"/>
  <c r="BN80" i="31"/>
  <c r="BO80" i="31"/>
  <c r="EJ79" i="31"/>
  <c r="EK80" i="31" s="1"/>
  <c r="EE79" i="31"/>
  <c r="EF80" i="31" s="1"/>
  <c r="ED79" i="31"/>
  <c r="EB80" i="31" s="1"/>
  <c r="JL79" i="31"/>
  <c r="JJ80" i="31" s="1"/>
  <c r="KA80" i="31"/>
  <c r="JY80" i="31" l="1"/>
  <c r="JO80" i="31"/>
  <c r="IR80" i="31"/>
  <c r="DJ80" i="31"/>
  <c r="DK80" i="31" s="1"/>
  <c r="GZ80" i="31"/>
  <c r="IE80" i="31" s="1"/>
  <c r="EP80" i="31"/>
  <c r="ET81" i="31" s="1"/>
  <c r="FC80" i="31"/>
  <c r="EL80" i="31"/>
  <c r="JX80" i="31" s="1"/>
  <c r="EO80" i="31"/>
  <c r="ES81" i="31" s="1"/>
  <c r="EV80" i="31"/>
  <c r="BP80" i="31"/>
  <c r="BQ80" i="31" s="1"/>
  <c r="JA80" i="31"/>
  <c r="IP80" i="31"/>
  <c r="IY80" i="31"/>
  <c r="IO80" i="31"/>
  <c r="DP80" i="31"/>
  <c r="JC80" i="31"/>
  <c r="JD80" i="31"/>
  <c r="HZ80" i="31"/>
  <c r="KG80" i="31" l="1"/>
  <c r="BR80" i="31"/>
  <c r="BS80" i="31"/>
  <c r="JP80" i="31"/>
  <c r="JQ80" i="31" s="1"/>
  <c r="FQ80" i="31"/>
  <c r="DX80" i="31"/>
  <c r="DM80" i="31"/>
  <c r="EC80" i="31"/>
  <c r="BT80" i="31" l="1"/>
  <c r="BU80" i="31"/>
  <c r="DL80" i="31"/>
  <c r="L81" i="31"/>
  <c r="FB80" i="31"/>
  <c r="EX80" i="31"/>
  <c r="M80" i="31" s="1"/>
  <c r="BV80" i="31" l="1"/>
  <c r="BW80" i="31" s="1"/>
  <c r="MJ80" i="31"/>
  <c r="NS80" i="31" s="1"/>
  <c r="MB80" i="31"/>
  <c r="NM80" i="31" l="1"/>
  <c r="NN80" i="31" s="1"/>
  <c r="NT80" i="31"/>
  <c r="OU81" i="31"/>
  <c r="BY80" i="31"/>
  <c r="BX80" i="31"/>
  <c r="OV81" i="31" l="1"/>
  <c r="NW80" i="31"/>
  <c r="NX80" i="31" s="1"/>
  <c r="NY80" i="31" s="1"/>
  <c r="CX80" i="31"/>
  <c r="FV80" i="31"/>
  <c r="FR80" i="31"/>
  <c r="NU80" i="31"/>
  <c r="BZ80" i="31"/>
  <c r="CA80" i="31"/>
  <c r="OF80" i="31" l="1"/>
  <c r="OS81" i="31" s="1"/>
  <c r="NV80" i="31"/>
  <c r="OB80" i="31"/>
  <c r="OT81" i="31" s="1"/>
  <c r="MY80" i="31"/>
  <c r="OI80" i="31" s="1"/>
  <c r="NZ80" i="31"/>
  <c r="OA80" i="31" s="1"/>
  <c r="MV81" i="31" s="1"/>
  <c r="OG81" i="31" s="1"/>
  <c r="CY81" i="31"/>
  <c r="CB80" i="31"/>
  <c r="CC80" i="31" s="1"/>
  <c r="CE80" i="31" l="1"/>
  <c r="CG80" i="31" s="1"/>
  <c r="CI80" i="31" s="1"/>
  <c r="CD80" i="31"/>
  <c r="PA80" i="31"/>
  <c r="MR81" i="31"/>
  <c r="OX81" i="31"/>
  <c r="OW80" i="31"/>
  <c r="OC80" i="31"/>
  <c r="OD81" i="31" s="1"/>
  <c r="OH81" i="31" s="1"/>
  <c r="OK81" i="31" s="1"/>
  <c r="OJ80" i="31"/>
  <c r="OO81" i="31"/>
  <c r="KT81" i="31" s="1"/>
  <c r="OM81" i="31"/>
  <c r="NF81" i="31"/>
  <c r="MZ81" i="31"/>
  <c r="OZ80" i="31"/>
  <c r="CF80" i="31" l="1"/>
  <c r="CH80" i="31"/>
  <c r="MS81" i="31"/>
  <c r="KL81" i="31"/>
  <c r="KN82" i="31" s="1"/>
  <c r="KM81" i="31"/>
  <c r="KO82" i="31" s="1"/>
  <c r="CJ80" i="31"/>
  <c r="CO80" i="31" s="1"/>
  <c r="CK80" i="31"/>
  <c r="MW81" i="31"/>
  <c r="OY81" i="31"/>
  <c r="KQ81" i="31" l="1"/>
  <c r="MX81" i="31"/>
  <c r="NP81" i="31"/>
  <c r="MT81" i="31"/>
  <c r="NQ81" i="31"/>
  <c r="MU81" i="31"/>
  <c r="MO81" i="31"/>
  <c r="NH82" i="31"/>
  <c r="NI82" i="31" s="1"/>
  <c r="NJ81" i="31"/>
  <c r="PE81" i="31"/>
  <c r="KP82" i="31"/>
  <c r="KR81" i="31"/>
  <c r="CL80" i="31"/>
  <c r="CM80" i="31"/>
  <c r="CN80" i="31" s="1"/>
  <c r="CP80" i="31" l="1"/>
  <c r="GO80" i="31" s="1"/>
  <c r="NL81" i="31"/>
  <c r="NK81" i="31"/>
  <c r="NG82" i="31"/>
  <c r="OQ82" i="31"/>
  <c r="NB81" i="31"/>
  <c r="NA81" i="31"/>
  <c r="KS81" i="31"/>
  <c r="NR81" i="31"/>
  <c r="DQ80" i="31" l="1"/>
  <c r="DR80" i="31" s="1"/>
  <c r="DS80" i="31" s="1"/>
  <c r="AX80" i="31" s="1"/>
  <c r="AY81" i="31" s="1"/>
  <c r="CQ80" i="31"/>
  <c r="CS80" i="31" s="1"/>
  <c r="FZ80" i="31"/>
  <c r="GA80" i="31" s="1"/>
  <c r="FH80" i="31"/>
  <c r="FI80" i="31" s="1"/>
  <c r="HU80" i="31" s="1"/>
  <c r="HV81" i="31" s="1"/>
  <c r="FU80" i="31"/>
  <c r="FW80" i="31" s="1"/>
  <c r="HO80" i="31"/>
  <c r="IA80" i="31" s="1"/>
  <c r="IB80" i="31" s="1"/>
  <c r="FP80" i="31"/>
  <c r="FS80" i="31" s="1"/>
  <c r="HA80" i="31" s="1"/>
  <c r="GB80" i="31"/>
  <c r="GC80" i="31" s="1"/>
  <c r="JR80" i="31"/>
  <c r="JS80" i="31" s="1"/>
  <c r="KE80" i="31" s="1"/>
  <c r="KU80" i="31"/>
  <c r="KX80" i="31"/>
  <c r="FE80" i="31"/>
  <c r="FF80" i="31" s="1"/>
  <c r="FG81" i="31" s="1"/>
  <c r="FX80" i="31"/>
  <c r="FY80" i="31" s="1"/>
  <c r="OR82" i="31"/>
  <c r="NC82" i="31"/>
  <c r="MQ82" i="31"/>
  <c r="GN80" i="31" l="1"/>
  <c r="GQ80" i="31" s="1"/>
  <c r="CT80" i="31"/>
  <c r="HW80" i="31"/>
  <c r="HX81" i="31" s="1"/>
  <c r="CR80" i="31"/>
  <c r="FJ81" i="31"/>
  <c r="AZ80" i="31"/>
  <c r="HY80" i="31"/>
  <c r="DY80" i="31"/>
  <c r="KC80" i="31"/>
  <c r="JT81" i="31"/>
  <c r="EM80" i="31"/>
  <c r="EW80" i="31" s="1"/>
  <c r="JU80" i="31"/>
  <c r="EN80" i="31"/>
  <c r="EQ80" i="31" s="1"/>
  <c r="IZ80" i="31"/>
  <c r="HP80" i="31"/>
  <c r="HS80" i="31" s="1"/>
  <c r="JG80" i="31" s="1"/>
  <c r="KV80" i="31" l="1"/>
  <c r="KW81" i="31" s="1"/>
  <c r="HQ80" i="31"/>
  <c r="HR81" i="31" s="1"/>
  <c r="HT80" i="31"/>
  <c r="IC80" i="31" s="1"/>
  <c r="ID80" i="31" s="1"/>
  <c r="IF80" i="31" s="1"/>
  <c r="KH80" i="31" s="1"/>
  <c r="IW80" i="31"/>
  <c r="BB81" i="31"/>
  <c r="BC81" i="31" s="1"/>
  <c r="IU80" i="31"/>
  <c r="IV80" i="31" s="1"/>
  <c r="IX80" i="31" s="1"/>
  <c r="DW80" i="31"/>
  <c r="DU81" i="31" s="1"/>
  <c r="ER81" i="31"/>
  <c r="EU81" i="31" s="1"/>
  <c r="JB80" i="31" l="1"/>
  <c r="KK80" i="31"/>
  <c r="KB80" i="31"/>
  <c r="DF80" i="31"/>
  <c r="DB80" i="31"/>
  <c r="DC80" i="31" s="1"/>
  <c r="DD81" i="31" s="1"/>
  <c r="DE82" i="31" s="1"/>
  <c r="IM80" i="31"/>
  <c r="GM80" i="31"/>
  <c r="KI81" i="31"/>
  <c r="IN80" i="31"/>
  <c r="BD81" i="31"/>
  <c r="BE81" i="31"/>
  <c r="GT82" i="31" l="1"/>
  <c r="DT80" i="31"/>
  <c r="DZ80" i="31" s="1"/>
  <c r="BF81" i="31"/>
  <c r="BG81" i="31"/>
  <c r="FD80" i="31"/>
  <c r="GV80" i="31"/>
  <c r="GU80" i="31"/>
  <c r="GR80" i="31"/>
  <c r="KJ81" i="31"/>
  <c r="GS80" i="31" l="1"/>
  <c r="BI81" i="31"/>
  <c r="BK81" i="31" s="1"/>
  <c r="BH81" i="31"/>
  <c r="IS80" i="31"/>
  <c r="FL81" i="31"/>
  <c r="BL81" i="31" l="1"/>
  <c r="BM81" i="31"/>
  <c r="FM81" i="31"/>
  <c r="GY80" i="31"/>
  <c r="GW80" i="31"/>
  <c r="HC80" i="31" s="1"/>
  <c r="FA81" i="31" s="1"/>
  <c r="HB81" i="31" s="1"/>
  <c r="GX80" i="31"/>
  <c r="BJ81" i="31"/>
  <c r="JH80" i="31"/>
  <c r="JI80" i="31" s="1"/>
  <c r="IT80" i="31"/>
  <c r="BO81" i="31" l="1"/>
  <c r="BN81" i="31"/>
  <c r="HM80" i="31"/>
  <c r="EG80" i="31"/>
  <c r="EH81" i="31" s="1"/>
  <c r="EI81" i="31" s="1"/>
  <c r="FK81" i="31" s="1"/>
  <c r="EY80" i="31"/>
  <c r="HK81" i="31"/>
  <c r="JK80" i="31"/>
  <c r="JZ80" i="31" s="1"/>
  <c r="KF80" i="31" s="1"/>
  <c r="IQ81" i="31" s="1"/>
  <c r="JM80" i="31" l="1"/>
  <c r="KD80" i="31" s="1"/>
  <c r="IL81" i="31" s="1"/>
  <c r="IR81" i="31" s="1"/>
  <c r="JN80" i="31"/>
  <c r="JV80" i="31" s="1"/>
  <c r="JF81" i="31" s="1"/>
  <c r="JL80" i="31"/>
  <c r="JJ81" i="31" s="1"/>
  <c r="KA81" i="31"/>
  <c r="EE80" i="31"/>
  <c r="EF81" i="31" s="1"/>
  <c r="ED80" i="31"/>
  <c r="EB81" i="31" s="1"/>
  <c r="IY81" i="31" s="1"/>
  <c r="EJ80" i="31"/>
  <c r="EK81" i="31" s="1"/>
  <c r="EZ80" i="31"/>
  <c r="DG80" i="31"/>
  <c r="DH80" i="31" s="1"/>
  <c r="DI81" i="31" s="1"/>
  <c r="BP81" i="31"/>
  <c r="BQ81" i="31" s="1"/>
  <c r="IO81" i="31" l="1"/>
  <c r="JP81" i="31" s="1"/>
  <c r="JQ81" i="31" s="1"/>
  <c r="JE81" i="31"/>
  <c r="IP81" i="31"/>
  <c r="JW81" i="31"/>
  <c r="JY81" i="31"/>
  <c r="EL81" i="31"/>
  <c r="EO81" i="31"/>
  <c r="ES82" i="31" s="1"/>
  <c r="FC81" i="31"/>
  <c r="EP81" i="31"/>
  <c r="ET82" i="31" s="1"/>
  <c r="EV81" i="31"/>
  <c r="DJ81" i="31"/>
  <c r="DK81" i="31" s="1"/>
  <c r="GZ81" i="31"/>
  <c r="IE81" i="31" s="1"/>
  <c r="JO81" i="31"/>
  <c r="DP81" i="31"/>
  <c r="BR81" i="31"/>
  <c r="BS81" i="31"/>
  <c r="JA81" i="31"/>
  <c r="JC81" i="31"/>
  <c r="JD81" i="31"/>
  <c r="HZ81" i="31"/>
  <c r="BT81" i="31" l="1"/>
  <c r="BU81" i="31"/>
  <c r="BV81" i="31" s="1"/>
  <c r="BW81" i="31" s="1"/>
  <c r="EC81" i="31"/>
  <c r="KG81" i="31"/>
  <c r="DX81" i="31"/>
  <c r="FQ81" i="31"/>
  <c r="DM81" i="31"/>
  <c r="JX81" i="31"/>
  <c r="BY81" i="31" l="1"/>
  <c r="BX81" i="31"/>
  <c r="FB81" i="31"/>
  <c r="EX81" i="31"/>
  <c r="M81" i="31" s="1"/>
  <c r="DL81" i="31"/>
  <c r="L82" i="31"/>
  <c r="MB81" i="31" l="1"/>
  <c r="MJ81" i="31"/>
  <c r="NS81" i="31" s="1"/>
  <c r="BZ81" i="31"/>
  <c r="CA81" i="31"/>
  <c r="NM81" i="31" l="1"/>
  <c r="NN81" i="31" s="1"/>
  <c r="CB81" i="31"/>
  <c r="CC81" i="31" s="1"/>
  <c r="NT81" i="31"/>
  <c r="OU82" i="31"/>
  <c r="CD81" i="31" l="1"/>
  <c r="CE81" i="31"/>
  <c r="OV82" i="31"/>
  <c r="NW81" i="31"/>
  <c r="NX81" i="31" s="1"/>
  <c r="OF81" i="31" s="1"/>
  <c r="OS82" i="31" s="1"/>
  <c r="FR81" i="31"/>
  <c r="CX81" i="31"/>
  <c r="FV81" i="31"/>
  <c r="NU81" i="31"/>
  <c r="CF81" i="31" l="1"/>
  <c r="CG81" i="31"/>
  <c r="CI81" i="31" s="1"/>
  <c r="CJ81" i="31" s="1"/>
  <c r="CO81" i="31" s="1"/>
  <c r="NY81" i="31"/>
  <c r="OB81" i="31" s="1"/>
  <c r="OT82" i="31" s="1"/>
  <c r="NV81" i="31"/>
  <c r="MY81" i="31"/>
  <c r="NZ81" i="31"/>
  <c r="CY82" i="31"/>
  <c r="OA81" i="31" l="1"/>
  <c r="MV82" i="31" s="1"/>
  <c r="OG82" i="31" s="1"/>
  <c r="CK81" i="31"/>
  <c r="CM81" i="31" s="1"/>
  <c r="CN81" i="31" s="1"/>
  <c r="CH81" i="31"/>
  <c r="PA81" i="31"/>
  <c r="OJ81" i="31"/>
  <c r="OY82" i="31" s="1"/>
  <c r="MZ82" i="31"/>
  <c r="OZ81" i="31"/>
  <c r="OC81" i="31"/>
  <c r="OD82" i="31" s="1"/>
  <c r="OH82" i="31" s="1"/>
  <c r="OI81" i="31"/>
  <c r="OO82" i="31"/>
  <c r="NF82" i="31"/>
  <c r="OM82" i="31"/>
  <c r="MW82" i="31" l="1"/>
  <c r="MX82" i="31" s="1"/>
  <c r="CL81" i="31"/>
  <c r="CP81" i="31" s="1"/>
  <c r="KT82" i="31"/>
  <c r="KM82" i="31" s="1"/>
  <c r="KO83" i="31" s="1"/>
  <c r="OK82" i="31"/>
  <c r="OW81" i="31"/>
  <c r="OX82" i="31"/>
  <c r="MR82" i="31"/>
  <c r="KL82" i="31" l="1"/>
  <c r="KN83" i="31" s="1"/>
  <c r="KQ82" i="31" s="1"/>
  <c r="MS82" i="31"/>
  <c r="NB82" i="31"/>
  <c r="NA82" i="31"/>
  <c r="KR82" i="31"/>
  <c r="GB81" i="31"/>
  <c r="GC81" i="31" s="1"/>
  <c r="HO81" i="31"/>
  <c r="CQ81" i="31"/>
  <c r="JR81" i="31"/>
  <c r="JS81" i="31" s="1"/>
  <c r="FH81" i="31"/>
  <c r="FI81" i="31" s="1"/>
  <c r="FE81" i="31"/>
  <c r="FF81" i="31" s="1"/>
  <c r="DQ81" i="31"/>
  <c r="DR81" i="31" s="1"/>
  <c r="FX81" i="31"/>
  <c r="FY81" i="31" s="1"/>
  <c r="FU81" i="31"/>
  <c r="FW81" i="31" s="1"/>
  <c r="FZ81" i="31"/>
  <c r="GA81" i="31" s="1"/>
  <c r="GO81" i="31"/>
  <c r="FP81" i="31"/>
  <c r="FS81" i="31" s="1"/>
  <c r="KX81" i="31"/>
  <c r="KU81" i="31"/>
  <c r="KP83" i="31" l="1"/>
  <c r="GN81" i="31"/>
  <c r="GQ81" i="31" s="1"/>
  <c r="HU81" i="31"/>
  <c r="HV82" i="31" s="1"/>
  <c r="FJ82" i="31"/>
  <c r="CR81" i="31"/>
  <c r="CS81" i="31"/>
  <c r="CT81" i="31"/>
  <c r="KE81" i="31"/>
  <c r="JU81" i="31"/>
  <c r="JT82" i="31"/>
  <c r="KC81" i="31"/>
  <c r="HP81" i="31"/>
  <c r="IA81" i="31"/>
  <c r="IB81" i="31" s="1"/>
  <c r="IZ81" i="31"/>
  <c r="MU82" i="31"/>
  <c r="NQ82" i="31"/>
  <c r="NH83" i="31"/>
  <c r="NI83" i="31" s="1"/>
  <c r="MT82" i="31"/>
  <c r="MO82" i="31"/>
  <c r="NJ82" i="31"/>
  <c r="NP82" i="31"/>
  <c r="PE82" i="31"/>
  <c r="DS81" i="31"/>
  <c r="KS82" i="31"/>
  <c r="HA81" i="31"/>
  <c r="HY81" i="31"/>
  <c r="DY81" i="31"/>
  <c r="HW81" i="31"/>
  <c r="HX82" i="31" s="1"/>
  <c r="FG82" i="31"/>
  <c r="NR82" i="31" l="1"/>
  <c r="KV81" i="31"/>
  <c r="KW82" i="31" s="1"/>
  <c r="HQ81" i="31"/>
  <c r="HR82" i="31" s="1"/>
  <c r="NL82" i="31"/>
  <c r="NK82" i="31"/>
  <c r="NG83" i="31"/>
  <c r="OQ83" i="31"/>
  <c r="HS81" i="31"/>
  <c r="JG81" i="31" s="1"/>
  <c r="HT81" i="31"/>
  <c r="AX81" i="31"/>
  <c r="AY82" i="31" s="1"/>
  <c r="EM81" i="31"/>
  <c r="EW81" i="31" s="1"/>
  <c r="AZ81" i="31"/>
  <c r="EN81" i="31"/>
  <c r="NC83" i="31" l="1"/>
  <c r="MQ83" i="31"/>
  <c r="IC81" i="31"/>
  <c r="ID81" i="31" s="1"/>
  <c r="IF81" i="31" s="1"/>
  <c r="KH81" i="31" s="1"/>
  <c r="JB81" i="31"/>
  <c r="BB82" i="31"/>
  <c r="EQ81" i="31"/>
  <c r="IW81" i="31"/>
  <c r="DW81" i="31"/>
  <c r="DU82" i="31" s="1"/>
  <c r="ER82" i="31"/>
  <c r="IU81" i="31"/>
  <c r="IV81" i="31" s="1"/>
  <c r="OR83" i="31"/>
  <c r="KK81" i="31" l="1"/>
  <c r="KB81" i="31"/>
  <c r="IX81" i="31"/>
  <c r="EU82" i="31"/>
  <c r="IM81" i="31"/>
  <c r="DB81" i="31"/>
  <c r="DC81" i="31" s="1"/>
  <c r="DD82" i="31" s="1"/>
  <c r="DE83" i="31" s="1"/>
  <c r="GM81" i="31"/>
  <c r="KI82" i="31"/>
  <c r="IN81" i="31"/>
  <c r="DF81" i="31"/>
  <c r="BC82" i="31"/>
  <c r="GT83" i="31" l="1"/>
  <c r="DT81" i="31"/>
  <c r="DZ81" i="31" s="1"/>
  <c r="BE82" i="31"/>
  <c r="BD82" i="31"/>
  <c r="FD81" i="31"/>
  <c r="GV81" i="31"/>
  <c r="GU81" i="31"/>
  <c r="KJ82" i="31"/>
  <c r="GR81" i="31"/>
  <c r="GS81" i="31" l="1"/>
  <c r="BF82" i="31"/>
  <c r="BG82" i="31"/>
  <c r="IS81" i="31"/>
  <c r="FL82" i="31"/>
  <c r="JH81" i="31" l="1"/>
  <c r="JI81" i="31" s="1"/>
  <c r="IT81" i="31"/>
  <c r="BH82" i="31"/>
  <c r="BI82" i="31"/>
  <c r="BK82" i="31" s="1"/>
  <c r="FM82" i="31"/>
  <c r="GY81" i="31"/>
  <c r="GW81" i="31"/>
  <c r="HC81" i="31" s="1"/>
  <c r="FA82" i="31" s="1"/>
  <c r="HB82" i="31" s="1"/>
  <c r="GX81" i="31"/>
  <c r="EY81" i="31" l="1"/>
  <c r="EG81" i="31"/>
  <c r="EH82" i="31" s="1"/>
  <c r="EI82" i="31" s="1"/>
  <c r="FK82" i="31" s="1"/>
  <c r="HM81" i="31"/>
  <c r="HK82" i="31"/>
  <c r="BL82" i="31"/>
  <c r="BM82" i="31"/>
  <c r="BJ82" i="31"/>
  <c r="JK81" i="31"/>
  <c r="JN81" i="31" s="1"/>
  <c r="JV81" i="31" s="1"/>
  <c r="JF82" i="31" s="1"/>
  <c r="JM81" i="31" l="1"/>
  <c r="KD81" i="31" s="1"/>
  <c r="IL82" i="31" s="1"/>
  <c r="JW82" i="31"/>
  <c r="JY82" i="31"/>
  <c r="JZ81" i="31"/>
  <c r="KF81" i="31" s="1"/>
  <c r="IQ82" i="31" s="1"/>
  <c r="JL81" i="31"/>
  <c r="JJ82" i="31" s="1"/>
  <c r="KA82" i="31"/>
  <c r="ED81" i="31"/>
  <c r="EB82" i="31" s="1"/>
  <c r="EE81" i="31"/>
  <c r="EF82" i="31" s="1"/>
  <c r="EJ81" i="31"/>
  <c r="EK82" i="31" s="1"/>
  <c r="BN82" i="31"/>
  <c r="BO82" i="31"/>
  <c r="EZ81" i="31"/>
  <c r="DG81" i="31"/>
  <c r="DH81" i="31" s="1"/>
  <c r="DI82" i="31" s="1"/>
  <c r="IP82" i="31" l="1"/>
  <c r="JO82" i="31"/>
  <c r="IO82" i="31"/>
  <c r="BP82" i="31"/>
  <c r="BQ82" i="31" s="1"/>
  <c r="DP82" i="31"/>
  <c r="DJ82" i="31"/>
  <c r="DK82" i="31" s="1"/>
  <c r="GZ82" i="31"/>
  <c r="IE82" i="31" s="1"/>
  <c r="JC82" i="31"/>
  <c r="JD82" i="31"/>
  <c r="FC82" i="31"/>
  <c r="EO82" i="31"/>
  <c r="ES83" i="31" s="1"/>
  <c r="EP82" i="31"/>
  <c r="ET83" i="31" s="1"/>
  <c r="EL82" i="31"/>
  <c r="EV82" i="31"/>
  <c r="JA82" i="31"/>
  <c r="IR82" i="31"/>
  <c r="IY82" i="31"/>
  <c r="JE82" i="31"/>
  <c r="HZ82" i="31"/>
  <c r="JP82" i="31" l="1"/>
  <c r="JQ82" i="31" s="1"/>
  <c r="JX82" i="31"/>
  <c r="KG82" i="31"/>
  <c r="DX82" i="31"/>
  <c r="FQ82" i="31"/>
  <c r="DM82" i="31"/>
  <c r="EC82" i="31"/>
  <c r="BR82" i="31"/>
  <c r="BS82" i="31"/>
  <c r="FB82" i="31" l="1"/>
  <c r="EX82" i="31"/>
  <c r="M82" i="31" s="1"/>
  <c r="DL82" i="31"/>
  <c r="L83" i="31"/>
  <c r="BT82" i="31"/>
  <c r="BU82" i="31"/>
  <c r="MJ82" i="31" l="1"/>
  <c r="NS82" i="31" s="1"/>
  <c r="MB82" i="31"/>
  <c r="NM82" i="31" s="1"/>
  <c r="NN82" i="31" s="1"/>
  <c r="BV82" i="31"/>
  <c r="BW82" i="31" s="1"/>
  <c r="NT82" i="31" l="1"/>
  <c r="OU83" i="31"/>
  <c r="OV83" i="31"/>
  <c r="NW82" i="31"/>
  <c r="BX82" i="31"/>
  <c r="BY82" i="31"/>
  <c r="NX82" i="31" l="1"/>
  <c r="BZ82" i="31"/>
  <c r="CA82" i="31"/>
  <c r="FR82" i="31"/>
  <c r="CX82" i="31"/>
  <c r="FV82" i="31"/>
  <c r="NU82" i="31"/>
  <c r="NZ82" i="31" l="1"/>
  <c r="MY82" i="31"/>
  <c r="CY83" i="31"/>
  <c r="NY82" i="31"/>
  <c r="OF82" i="31"/>
  <c r="OS83" i="31" s="1"/>
  <c r="NV82" i="31"/>
  <c r="CB82" i="31"/>
  <c r="CC82" i="31" s="1"/>
  <c r="CD82" i="31" l="1"/>
  <c r="CE82" i="31"/>
  <c r="CG82" i="31" s="1"/>
  <c r="CI82" i="31" s="1"/>
  <c r="OA82" i="31"/>
  <c r="MV83" i="31" s="1"/>
  <c r="OG83" i="31" s="1"/>
  <c r="OI82" i="31"/>
  <c r="MR83" i="31" s="1"/>
  <c r="NF83" i="31"/>
  <c r="OO83" i="31"/>
  <c r="OM83" i="31"/>
  <c r="MZ83" i="31"/>
  <c r="OZ82" i="31"/>
  <c r="OB82" i="31"/>
  <c r="OT83" i="31" s="1"/>
  <c r="CF82" i="31" l="1"/>
  <c r="CH82" i="31"/>
  <c r="OX83" i="31"/>
  <c r="OW82" i="31"/>
  <c r="KT83" i="31"/>
  <c r="KM83" i="31" s="1"/>
  <c r="KO84" i="31" s="1"/>
  <c r="PA82" i="31"/>
  <c r="CJ82" i="31"/>
  <c r="CO82" i="31" s="1"/>
  <c r="CK82" i="31"/>
  <c r="MS83" i="31"/>
  <c r="OJ82" i="31"/>
  <c r="OC82" i="31"/>
  <c r="OD83" i="31" s="1"/>
  <c r="OH83" i="31" s="1"/>
  <c r="OK83" i="31" s="1"/>
  <c r="KL83" i="31" l="1"/>
  <c r="KN84" i="31" s="1"/>
  <c r="KQ83" i="31" s="1"/>
  <c r="CL82" i="31"/>
  <c r="CM82" i="31"/>
  <c r="CN82" i="31" s="1"/>
  <c r="MW83" i="31"/>
  <c r="OY83" i="31"/>
  <c r="NP83" i="31"/>
  <c r="NJ83" i="31"/>
  <c r="MT83" i="31"/>
  <c r="MU83" i="31"/>
  <c r="MO83" i="31"/>
  <c r="NQ83" i="31"/>
  <c r="NH84" i="31"/>
  <c r="NI84" i="31" s="1"/>
  <c r="PE83" i="31"/>
  <c r="KR83" i="31"/>
  <c r="KP84" i="31" l="1"/>
  <c r="KS83" i="31"/>
  <c r="NK83" i="31"/>
  <c r="NL83" i="31"/>
  <c r="NG84" i="31"/>
  <c r="OQ84" i="31"/>
  <c r="NR83" i="31"/>
  <c r="MX83" i="31"/>
  <c r="CP82" i="31"/>
  <c r="NB83" i="31" l="1"/>
  <c r="NA83" i="31"/>
  <c r="JR82" i="31"/>
  <c r="JS82" i="31" s="1"/>
  <c r="FH82" i="31"/>
  <c r="FI82" i="31" s="1"/>
  <c r="GO82" i="31"/>
  <c r="GB82" i="31"/>
  <c r="GC82" i="31" s="1"/>
  <c r="FZ82" i="31"/>
  <c r="GA82" i="31" s="1"/>
  <c r="CQ82" i="31"/>
  <c r="FX82" i="31"/>
  <c r="FY82" i="31" s="1"/>
  <c r="HO82" i="31"/>
  <c r="FU82" i="31"/>
  <c r="FW82" i="31" s="1"/>
  <c r="DQ82" i="31"/>
  <c r="DR82" i="31" s="1"/>
  <c r="FP82" i="31"/>
  <c r="FS82" i="31" s="1"/>
  <c r="FE82" i="31"/>
  <c r="FF82" i="31" s="1"/>
  <c r="KX82" i="31"/>
  <c r="GN82" i="31" s="1"/>
  <c r="KU82" i="31"/>
  <c r="OR84" i="31"/>
  <c r="NC84" i="31"/>
  <c r="MQ84" i="31"/>
  <c r="CT82" i="31" l="1"/>
  <c r="CS82" i="31"/>
  <c r="CR82" i="31"/>
  <c r="HY82" i="31"/>
  <c r="HA82" i="31"/>
  <c r="DY82" i="31"/>
  <c r="DS82" i="31"/>
  <c r="HU82" i="31"/>
  <c r="HV83" i="31" s="1"/>
  <c r="FJ83" i="31"/>
  <c r="JU82" i="31"/>
  <c r="KE82" i="31"/>
  <c r="JT83" i="31"/>
  <c r="KC82" i="31"/>
  <c r="GQ82" i="31"/>
  <c r="KV82" i="31"/>
  <c r="HP82" i="31"/>
  <c r="IA82" i="31"/>
  <c r="IB82" i="31" s="1"/>
  <c r="IZ82" i="31"/>
  <c r="HW82" i="31"/>
  <c r="HX83" i="31" s="1"/>
  <c r="FG83" i="31"/>
  <c r="KW83" i="31" l="1"/>
  <c r="HQ82" i="31"/>
  <c r="HR83" i="31" s="1"/>
  <c r="AX82" i="31"/>
  <c r="AY83" i="31" s="1"/>
  <c r="EN82" i="31"/>
  <c r="AZ82" i="31"/>
  <c r="EM82" i="31"/>
  <c r="EW82" i="31" s="1"/>
  <c r="HS82" i="31"/>
  <c r="JG82" i="31" s="1"/>
  <c r="HT82" i="31"/>
  <c r="BB83" i="31" l="1"/>
  <c r="IW82" i="31"/>
  <c r="EQ82" i="31"/>
  <c r="DW82" i="31"/>
  <c r="DU83" i="31" s="1"/>
  <c r="ER83" i="31"/>
  <c r="IU82" i="31"/>
  <c r="IV82" i="31" s="1"/>
  <c r="IC82" i="31"/>
  <c r="ID82" i="31" s="1"/>
  <c r="IF82" i="31" s="1"/>
  <c r="KH82" i="31" s="1"/>
  <c r="JB82" i="31"/>
  <c r="KB82" i="31" l="1"/>
  <c r="IX82" i="31"/>
  <c r="KK82" i="31"/>
  <c r="EU83" i="31"/>
  <c r="BC83" i="31"/>
  <c r="IM82" i="31"/>
  <c r="GM82" i="31"/>
  <c r="DB82" i="31"/>
  <c r="DC82" i="31" s="1"/>
  <c r="DD83" i="31" s="1"/>
  <c r="DE84" i="31" s="1"/>
  <c r="KI83" i="31"/>
  <c r="IN82" i="31"/>
  <c r="DF82" i="31"/>
  <c r="GT84" i="31" l="1"/>
  <c r="DT82" i="31"/>
  <c r="DZ82" i="31" s="1"/>
  <c r="GR82" i="31"/>
  <c r="GV82" i="31"/>
  <c r="FD82" i="31"/>
  <c r="GU82" i="31"/>
  <c r="BD83" i="31"/>
  <c r="BE83" i="31"/>
  <c r="KJ83" i="31"/>
  <c r="IS82" i="31" l="1"/>
  <c r="FL83" i="31"/>
  <c r="GS82" i="31"/>
  <c r="BF83" i="31"/>
  <c r="BG83" i="31"/>
  <c r="FM83" i="31" l="1"/>
  <c r="BI83" i="31"/>
  <c r="BK83" i="31" s="1"/>
  <c r="BH83" i="31"/>
  <c r="GW82" i="31"/>
  <c r="HC82" i="31" s="1"/>
  <c r="FA83" i="31" s="1"/>
  <c r="HB83" i="31" s="1"/>
  <c r="GX82" i="31"/>
  <c r="GY82" i="31"/>
  <c r="JH82" i="31"/>
  <c r="JI82" i="31" s="1"/>
  <c r="IT82" i="31"/>
  <c r="BL83" i="31" l="1"/>
  <c r="BM83" i="31"/>
  <c r="EY82" i="31"/>
  <c r="EG82" i="31"/>
  <c r="EH83" i="31" s="1"/>
  <c r="EI83" i="31" s="1"/>
  <c r="FK83" i="31" s="1"/>
  <c r="HM82" i="31"/>
  <c r="HK83" i="31"/>
  <c r="JK82" i="31"/>
  <c r="JN82" i="31" s="1"/>
  <c r="JV82" i="31" s="1"/>
  <c r="JF83" i="31" s="1"/>
  <c r="BJ83" i="31"/>
  <c r="JM82" i="31" l="1"/>
  <c r="KD82" i="31" s="1"/>
  <c r="IL83" i="31" s="1"/>
  <c r="EZ82" i="31"/>
  <c r="DG82" i="31"/>
  <c r="DH82" i="31" s="1"/>
  <c r="DI83" i="31" s="1"/>
  <c r="ED82" i="31"/>
  <c r="EB83" i="31" s="1"/>
  <c r="EE82" i="31"/>
  <c r="EF83" i="31" s="1"/>
  <c r="EJ82" i="31"/>
  <c r="EK83" i="31" s="1"/>
  <c r="BN83" i="31"/>
  <c r="BO83" i="31"/>
  <c r="JZ82" i="31"/>
  <c r="KF82" i="31" s="1"/>
  <c r="IQ83" i="31" s="1"/>
  <c r="JL82" i="31"/>
  <c r="JJ83" i="31" s="1"/>
  <c r="KA83" i="31"/>
  <c r="JW83" i="31"/>
  <c r="JY83" i="31"/>
  <c r="IP83" i="31" l="1"/>
  <c r="BP83" i="31"/>
  <c r="BQ83" i="31" s="1"/>
  <c r="JC83" i="31"/>
  <c r="JD83" i="31"/>
  <c r="IO83" i="31"/>
  <c r="DJ83" i="31"/>
  <c r="DK83" i="31" s="1"/>
  <c r="GZ83" i="31"/>
  <c r="IE83" i="31" s="1"/>
  <c r="DP83" i="31"/>
  <c r="JA83" i="31"/>
  <c r="JE83" i="31"/>
  <c r="IY83" i="31"/>
  <c r="JO83" i="31"/>
  <c r="IR83" i="31"/>
  <c r="EO83" i="31"/>
  <c r="ES84" i="31" s="1"/>
  <c r="EL83" i="31"/>
  <c r="EP83" i="31"/>
  <c r="ET84" i="31" s="1"/>
  <c r="FC83" i="31"/>
  <c r="EV83" i="31"/>
  <c r="HZ83" i="31"/>
  <c r="JP83" i="31" l="1"/>
  <c r="JQ83" i="31" s="1"/>
  <c r="BS83" i="31"/>
  <c r="BU83" i="31" s="1"/>
  <c r="BR83" i="31"/>
  <c r="JX83" i="31"/>
  <c r="DX83" i="31"/>
  <c r="DM83" i="31"/>
  <c r="FQ83" i="31"/>
  <c r="EC83" i="31"/>
  <c r="KG83" i="31"/>
  <c r="BT83" i="31" l="1"/>
  <c r="BV83" i="31"/>
  <c r="BW83" i="31" s="1"/>
  <c r="BY83" i="31" s="1"/>
  <c r="EX83" i="31"/>
  <c r="M83" i="31" s="1"/>
  <c r="FB83" i="31"/>
  <c r="DL83" i="31"/>
  <c r="L84" i="31"/>
  <c r="BX83" i="31" l="1"/>
  <c r="BZ83" i="31" s="1"/>
  <c r="MJ83" i="31"/>
  <c r="NS83" i="31" s="1"/>
  <c r="MB83" i="31"/>
  <c r="CA83" i="31"/>
  <c r="NM83" i="31" l="1"/>
  <c r="NN83" i="31" s="1"/>
  <c r="CB83" i="31"/>
  <c r="CC83" i="31" s="1"/>
  <c r="NT83" i="31"/>
  <c r="OU84" i="31"/>
  <c r="CD83" i="31" l="1"/>
  <c r="CE83" i="31"/>
  <c r="CF83" i="31" s="1"/>
  <c r="OV84" i="31"/>
  <c r="NW83" i="31"/>
  <c r="NX83" i="31" s="1"/>
  <c r="OF83" i="31" s="1"/>
  <c r="OS84" i="31" s="1"/>
  <c r="FR83" i="31"/>
  <c r="FV83" i="31"/>
  <c r="CX83" i="31"/>
  <c r="NU83" i="31"/>
  <c r="CG83" i="31" l="1"/>
  <c r="CI83" i="31" s="1"/>
  <c r="CJ83" i="31" s="1"/>
  <c r="CO83" i="31" s="1"/>
  <c r="NZ83" i="31"/>
  <c r="MY83" i="31"/>
  <c r="CY84" i="31"/>
  <c r="NY83" i="31"/>
  <c r="NV83" i="31"/>
  <c r="CK83" i="31" l="1"/>
  <c r="CL83" i="31" s="1"/>
  <c r="CH83" i="31"/>
  <c r="OM84" i="31"/>
  <c r="NF84" i="31"/>
  <c r="OO84" i="31"/>
  <c r="OB83" i="31"/>
  <c r="OT84" i="31" s="1"/>
  <c r="MZ84" i="31"/>
  <c r="OZ83" i="31"/>
  <c r="OA83" i="31"/>
  <c r="MV84" i="31" s="1"/>
  <c r="OG84" i="31" s="1"/>
  <c r="OI83" i="31"/>
  <c r="CM83" i="31" l="1"/>
  <c r="CN83" i="31" s="1"/>
  <c r="CP83" i="31" s="1"/>
  <c r="OC83" i="31"/>
  <c r="OD84" i="31" s="1"/>
  <c r="OH84" i="31" s="1"/>
  <c r="OK84" i="31" s="1"/>
  <c r="MR84" i="31"/>
  <c r="OX84" i="31"/>
  <c r="OW83" i="31"/>
  <c r="KT84" i="31"/>
  <c r="PA83" i="31"/>
  <c r="OJ83" i="31"/>
  <c r="MW84" i="31" l="1"/>
  <c r="OY84" i="31"/>
  <c r="KM84" i="31"/>
  <c r="KO85" i="31" s="1"/>
  <c r="KL84" i="31"/>
  <c r="KN85" i="31" s="1"/>
  <c r="FX83" i="31"/>
  <c r="FY83" i="31" s="1"/>
  <c r="FU83" i="31"/>
  <c r="FW83" i="31" s="1"/>
  <c r="HO83" i="31"/>
  <c r="GB83" i="31"/>
  <c r="GC83" i="31" s="1"/>
  <c r="FP83" i="31"/>
  <c r="FS83" i="31" s="1"/>
  <c r="JR83" i="31"/>
  <c r="JS83" i="31" s="1"/>
  <c r="DQ83" i="31"/>
  <c r="DR83" i="31" s="1"/>
  <c r="CQ83" i="31"/>
  <c r="FE83" i="31"/>
  <c r="FF83" i="31" s="1"/>
  <c r="FH83" i="31"/>
  <c r="FI83" i="31" s="1"/>
  <c r="GO83" i="31"/>
  <c r="FZ83" i="31"/>
  <c r="GA83" i="31" s="1"/>
  <c r="KX83" i="31"/>
  <c r="GN83" i="31" s="1"/>
  <c r="KU83" i="31"/>
  <c r="MS84" i="31"/>
  <c r="CS83" i="31" l="1"/>
  <c r="CT83" i="31"/>
  <c r="CR83" i="31"/>
  <c r="KQ84" i="31"/>
  <c r="KP85" i="31"/>
  <c r="KR84" i="31"/>
  <c r="HW83" i="31"/>
  <c r="HX84" i="31" s="1"/>
  <c r="FG84" i="31"/>
  <c r="KC83" i="31"/>
  <c r="KE83" i="31"/>
  <c r="JU83" i="31"/>
  <c r="JT84" i="31"/>
  <c r="GQ83" i="31"/>
  <c r="KV83" i="31"/>
  <c r="HY83" i="31"/>
  <c r="HA83" i="31"/>
  <c r="DY83" i="31"/>
  <c r="DS83" i="31"/>
  <c r="HU83" i="31"/>
  <c r="HV84" i="31" s="1"/>
  <c r="FJ84" i="31"/>
  <c r="NJ84" i="31"/>
  <c r="MT84" i="31"/>
  <c r="MU84" i="31"/>
  <c r="MO84" i="31"/>
  <c r="NP84" i="31"/>
  <c r="NQ84" i="31"/>
  <c r="NH85" i="31"/>
  <c r="NI85" i="31" s="1"/>
  <c r="PE84" i="31"/>
  <c r="IA83" i="31"/>
  <c r="IB83" i="31" s="1"/>
  <c r="HP83" i="31"/>
  <c r="IZ83" i="31"/>
  <c r="MX84" i="31"/>
  <c r="KW84" i="31" l="1"/>
  <c r="HQ83" i="31"/>
  <c r="HR84" i="31" s="1"/>
  <c r="NR84" i="31"/>
  <c r="KS84" i="31"/>
  <c r="AX83" i="31"/>
  <c r="AY84" i="31" s="1"/>
  <c r="AZ83" i="31"/>
  <c r="EN83" i="31"/>
  <c r="EM83" i="31"/>
  <c r="EW83" i="31" s="1"/>
  <c r="NL84" i="31"/>
  <c r="NK84" i="31"/>
  <c r="NG85" i="31"/>
  <c r="OQ85" i="31"/>
  <c r="NA84" i="31"/>
  <c r="NB84" i="31"/>
  <c r="HT83" i="31"/>
  <c r="HS83" i="31"/>
  <c r="JG83" i="31" s="1"/>
  <c r="OR85" i="31" l="1"/>
  <c r="IC83" i="31"/>
  <c r="ID83" i="31" s="1"/>
  <c r="IF83" i="31" s="1"/>
  <c r="KH83" i="31" s="1"/>
  <c r="JB83" i="31"/>
  <c r="NC85" i="31"/>
  <c r="MQ85" i="31"/>
  <c r="BB84" i="31"/>
  <c r="EQ83" i="31"/>
  <c r="DW83" i="31"/>
  <c r="DU84" i="31" s="1"/>
  <c r="IW83" i="31"/>
  <c r="ER84" i="31"/>
  <c r="IU83" i="31"/>
  <c r="IV83" i="31" s="1"/>
  <c r="DB83" i="31" l="1"/>
  <c r="DC83" i="31" s="1"/>
  <c r="DD84" i="31" s="1"/>
  <c r="DE85" i="31" s="1"/>
  <c r="IM83" i="31"/>
  <c r="GM83" i="31"/>
  <c r="KI84" i="31"/>
  <c r="IN83" i="31"/>
  <c r="DF83" i="31"/>
  <c r="BC84" i="31"/>
  <c r="KK83" i="31"/>
  <c r="KB83" i="31"/>
  <c r="IX83" i="31"/>
  <c r="EU84" i="31"/>
  <c r="GT85" i="31" l="1"/>
  <c r="DT83" i="31"/>
  <c r="DZ83" i="31" s="1"/>
  <c r="KJ84" i="31"/>
  <c r="GR83" i="31"/>
  <c r="GU83" i="31"/>
  <c r="FD83" i="31"/>
  <c r="GV83" i="31"/>
  <c r="BD84" i="31"/>
  <c r="BE84" i="31"/>
  <c r="IS83" i="31" l="1"/>
  <c r="FL84" i="31"/>
  <c r="BF84" i="31"/>
  <c r="BG84" i="31"/>
  <c r="GS83" i="31"/>
  <c r="BH84" i="31" l="1"/>
  <c r="BI84" i="31"/>
  <c r="BK84" i="31" s="1"/>
  <c r="GX83" i="31"/>
  <c r="GY83" i="31"/>
  <c r="GW83" i="31"/>
  <c r="HC83" i="31" s="1"/>
  <c r="FA84" i="31" s="1"/>
  <c r="HB84" i="31" s="1"/>
  <c r="FM84" i="31"/>
  <c r="JH83" i="31"/>
  <c r="JI83" i="31" s="1"/>
  <c r="IT83" i="31"/>
  <c r="BJ84" i="31" l="1"/>
  <c r="HM83" i="31"/>
  <c r="EG83" i="31"/>
  <c r="EH84" i="31" s="1"/>
  <c r="EI84" i="31" s="1"/>
  <c r="FK84" i="31" s="1"/>
  <c r="EY83" i="31"/>
  <c r="HK84" i="31"/>
  <c r="BL84" i="31"/>
  <c r="BM84" i="31"/>
  <c r="JK83" i="31"/>
  <c r="JN83" i="31" s="1"/>
  <c r="JV83" i="31" s="1"/>
  <c r="JF84" i="31" s="1"/>
  <c r="JM83" i="31" l="1"/>
  <c r="KD83" i="31" s="1"/>
  <c r="IL84" i="31" s="1"/>
  <c r="JY84" i="31"/>
  <c r="JW84" i="31"/>
  <c r="BN84" i="31"/>
  <c r="BO84" i="31"/>
  <c r="EZ83" i="31"/>
  <c r="DG83" i="31"/>
  <c r="DH83" i="31" s="1"/>
  <c r="DI84" i="31" s="1"/>
  <c r="EE83" i="31"/>
  <c r="EF84" i="31" s="1"/>
  <c r="EJ83" i="31"/>
  <c r="EK84" i="31" s="1"/>
  <c r="ED83" i="31"/>
  <c r="EB84" i="31" s="1"/>
  <c r="JZ83" i="31"/>
  <c r="KF83" i="31" s="1"/>
  <c r="IQ84" i="31" s="1"/>
  <c r="JL83" i="31"/>
  <c r="JJ84" i="31" s="1"/>
  <c r="KA84" i="31"/>
  <c r="IO84" i="31" l="1"/>
  <c r="EL84" i="31"/>
  <c r="FC84" i="31"/>
  <c r="EP84" i="31"/>
  <c r="ET85" i="31" s="1"/>
  <c r="EO84" i="31"/>
  <c r="ES85" i="31" s="1"/>
  <c r="EV84" i="31"/>
  <c r="BP84" i="31"/>
  <c r="BQ84" i="31" s="1"/>
  <c r="HZ84" i="31"/>
  <c r="DP84" i="31"/>
  <c r="JC84" i="31"/>
  <c r="JD84" i="31"/>
  <c r="GZ84" i="31"/>
  <c r="IE84" i="31" s="1"/>
  <c r="DJ84" i="31"/>
  <c r="DK84" i="31" s="1"/>
  <c r="IP84" i="31"/>
  <c r="JO84" i="31"/>
  <c r="JE84" i="31"/>
  <c r="JX84" i="31" s="1"/>
  <c r="JA84" i="31"/>
  <c r="IY84" i="31"/>
  <c r="IR84" i="31"/>
  <c r="JP84" i="31" l="1"/>
  <c r="JQ84" i="31" s="1"/>
  <c r="KG84" i="31"/>
  <c r="BR84" i="31"/>
  <c r="BS84" i="31"/>
  <c r="DM84" i="31"/>
  <c r="DX84" i="31"/>
  <c r="FQ84" i="31"/>
  <c r="EC84" i="31"/>
  <c r="EX84" i="31" l="1"/>
  <c r="M84" i="31" s="1"/>
  <c r="FB84" i="31"/>
  <c r="BT84" i="31"/>
  <c r="BU84" i="31"/>
  <c r="BV84" i="31" s="1"/>
  <c r="BW84" i="31" s="1"/>
  <c r="DL84" i="31"/>
  <c r="L85" i="31"/>
  <c r="BX84" i="31" l="1"/>
  <c r="BY84" i="31"/>
  <c r="MB84" i="31"/>
  <c r="MJ84" i="31"/>
  <c r="NS84" i="31" s="1"/>
  <c r="NM84" i="31" l="1"/>
  <c r="NN84" i="31" s="1"/>
  <c r="NT84" i="31"/>
  <c r="OU85" i="31"/>
  <c r="BZ84" i="31"/>
  <c r="CA84" i="31"/>
  <c r="OV85" i="31" l="1"/>
  <c r="NW84" i="31"/>
  <c r="NX84" i="31" s="1"/>
  <c r="OF84" i="31" s="1"/>
  <c r="OS85" i="31" s="1"/>
  <c r="FR84" i="31"/>
  <c r="FV84" i="31"/>
  <c r="CX84" i="31"/>
  <c r="NU84" i="31"/>
  <c r="CB84" i="31"/>
  <c r="CC84" i="31" s="1"/>
  <c r="CD84" i="31" l="1"/>
  <c r="CE84" i="31"/>
  <c r="CF84" i="31" s="1"/>
  <c r="NY84" i="31"/>
  <c r="NV84" i="31"/>
  <c r="MY84" i="31"/>
  <c r="NZ84" i="31"/>
  <c r="OA84" i="31" s="1"/>
  <c r="MV85" i="31" s="1"/>
  <c r="CY85" i="31"/>
  <c r="OB84" i="31"/>
  <c r="OT85" i="31" s="1"/>
  <c r="CG84" i="31" l="1"/>
  <c r="CI84" i="31" s="1"/>
  <c r="CJ84" i="31" s="1"/>
  <c r="CO84" i="31" s="1"/>
  <c r="OJ84" i="31"/>
  <c r="OY85" i="31" s="1"/>
  <c r="OG85" i="31"/>
  <c r="OC84" i="31"/>
  <c r="OD85" i="31" s="1"/>
  <c r="OH85" i="31" s="1"/>
  <c r="MZ85" i="31"/>
  <c r="OZ84" i="31"/>
  <c r="NF85" i="31"/>
  <c r="OO85" i="31"/>
  <c r="KT85" i="31" s="1"/>
  <c r="OM85" i="31"/>
  <c r="PA84" i="31"/>
  <c r="OI84" i="31"/>
  <c r="OK85" i="31" l="1"/>
  <c r="CK84" i="31"/>
  <c r="CL84" i="31" s="1"/>
  <c r="CH84" i="31"/>
  <c r="MW85" i="31"/>
  <c r="MX85" i="31" s="1"/>
  <c r="KM85" i="31"/>
  <c r="KO86" i="31" s="1"/>
  <c r="KL85" i="31"/>
  <c r="KN86" i="31" s="1"/>
  <c r="OW84" i="31"/>
  <c r="MR85" i="31"/>
  <c r="OX85" i="31"/>
  <c r="CM84" i="31" l="1"/>
  <c r="CN84" i="31" s="1"/>
  <c r="CP84" i="31" s="1"/>
  <c r="MS85" i="31"/>
  <c r="NB85" i="31"/>
  <c r="NA85" i="31"/>
  <c r="KQ85" i="31"/>
  <c r="KP86" i="31"/>
  <c r="KR85" i="31"/>
  <c r="CQ84" i="31" l="1"/>
  <c r="HO84" i="31"/>
  <c r="JR84" i="31"/>
  <c r="JS84" i="31" s="1"/>
  <c r="FH84" i="31"/>
  <c r="FI84" i="31" s="1"/>
  <c r="GB84" i="31"/>
  <c r="GC84" i="31" s="1"/>
  <c r="FE84" i="31"/>
  <c r="FF84" i="31" s="1"/>
  <c r="FX84" i="31"/>
  <c r="FY84" i="31" s="1"/>
  <c r="FU84" i="31"/>
  <c r="FW84" i="31" s="1"/>
  <c r="GO84" i="31"/>
  <c r="FP84" i="31"/>
  <c r="FS84" i="31" s="1"/>
  <c r="FZ84" i="31"/>
  <c r="GA84" i="31" s="1"/>
  <c r="DQ84" i="31"/>
  <c r="DR84" i="31" s="1"/>
  <c r="KX84" i="31"/>
  <c r="KU84" i="31"/>
  <c r="KS85" i="31"/>
  <c r="NJ85" i="31"/>
  <c r="MT85" i="31"/>
  <c r="NH86" i="31"/>
  <c r="NI86" i="31" s="1"/>
  <c r="NP85" i="31"/>
  <c r="NQ85" i="31"/>
  <c r="MO85" i="31"/>
  <c r="MU85" i="31"/>
  <c r="PE85" i="31"/>
  <c r="GN84" i="31" l="1"/>
  <c r="KV84" i="31" s="1"/>
  <c r="NR85" i="31"/>
  <c r="HW84" i="31"/>
  <c r="HX85" i="31" s="1"/>
  <c r="FG85" i="31"/>
  <c r="DS84" i="31"/>
  <c r="HU84" i="31"/>
  <c r="HV85" i="31" s="1"/>
  <c r="FJ85" i="31"/>
  <c r="KC84" i="31"/>
  <c r="JU84" i="31"/>
  <c r="KE84" i="31"/>
  <c r="JT85" i="31"/>
  <c r="HA84" i="31"/>
  <c r="DY84" i="31"/>
  <c r="HY84" i="31"/>
  <c r="HP84" i="31"/>
  <c r="IA84" i="31"/>
  <c r="IB84" i="31" s="1"/>
  <c r="IZ84" i="31"/>
  <c r="NL85" i="31"/>
  <c r="NK85" i="31"/>
  <c r="NG86" i="31"/>
  <c r="OQ86" i="31"/>
  <c r="CR84" i="31"/>
  <c r="CS84" i="31"/>
  <c r="CT84" i="31"/>
  <c r="GQ84" i="31" l="1"/>
  <c r="KW85" i="31"/>
  <c r="HQ84" i="31"/>
  <c r="HR85" i="31" s="1"/>
  <c r="NC86" i="31"/>
  <c r="MQ86" i="31"/>
  <c r="HT84" i="31"/>
  <c r="HS84" i="31"/>
  <c r="JG84" i="31" s="1"/>
  <c r="OR86" i="31"/>
  <c r="AX84" i="31"/>
  <c r="AY85" i="31" s="1"/>
  <c r="AZ84" i="31"/>
  <c r="EN84" i="31"/>
  <c r="EM84" i="31"/>
  <c r="EW84" i="31" s="1"/>
  <c r="IC84" i="31" l="1"/>
  <c r="ID84" i="31" s="1"/>
  <c r="IF84" i="31" s="1"/>
  <c r="KH84" i="31" s="1"/>
  <c r="JB84" i="31"/>
  <c r="BB85" i="31"/>
  <c r="EQ84" i="31"/>
  <c r="IW84" i="31"/>
  <c r="DW84" i="31"/>
  <c r="DU85" i="31" s="1"/>
  <c r="ER85" i="31"/>
  <c r="IU84" i="31"/>
  <c r="IV84" i="31" s="1"/>
  <c r="BC85" i="31" l="1"/>
  <c r="EU85" i="31"/>
  <c r="KB84" i="31"/>
  <c r="IX84" i="31"/>
  <c r="KK84" i="31"/>
  <c r="DB84" i="31"/>
  <c r="DC84" i="31" s="1"/>
  <c r="DD85" i="31" s="1"/>
  <c r="DE86" i="31" s="1"/>
  <c r="IM84" i="31"/>
  <c r="GM84" i="31"/>
  <c r="KI85" i="31"/>
  <c r="IN84" i="31"/>
  <c r="DF84" i="31"/>
  <c r="DT84" i="31" l="1"/>
  <c r="DZ84" i="31" s="1"/>
  <c r="GT86" i="31"/>
  <c r="FD84" i="31"/>
  <c r="GV84" i="31"/>
  <c r="GU84" i="31"/>
  <c r="KJ85" i="31"/>
  <c r="GR84" i="31"/>
  <c r="BE85" i="31"/>
  <c r="BD85" i="31"/>
  <c r="BG85" i="31" l="1"/>
  <c r="BF85" i="31"/>
  <c r="IS84" i="31"/>
  <c r="FL85" i="31"/>
  <c r="GS84" i="31"/>
  <c r="GX84" i="31" l="1"/>
  <c r="GY84" i="31"/>
  <c r="GW84" i="31"/>
  <c r="HC84" i="31" s="1"/>
  <c r="FA85" i="31" s="1"/>
  <c r="HB85" i="31" s="1"/>
  <c r="FM85" i="31"/>
  <c r="JH84" i="31"/>
  <c r="JI84" i="31" s="1"/>
  <c r="IT84" i="31"/>
  <c r="BH85" i="31"/>
  <c r="BI85" i="31"/>
  <c r="BK85" i="31" s="1"/>
  <c r="BJ85" i="31" l="1"/>
  <c r="JK84" i="31"/>
  <c r="JN84" i="31" s="1"/>
  <c r="JV84" i="31" s="1"/>
  <c r="JF85" i="31" s="1"/>
  <c r="BL85" i="31"/>
  <c r="BM85" i="31"/>
  <c r="HM84" i="31"/>
  <c r="EG84" i="31"/>
  <c r="EH85" i="31" s="1"/>
  <c r="EI85" i="31" s="1"/>
  <c r="FK85" i="31" s="1"/>
  <c r="EY84" i="31"/>
  <c r="HK85" i="31"/>
  <c r="JM84" i="31" l="1"/>
  <c r="KD84" i="31" s="1"/>
  <c r="IL85" i="31" s="1"/>
  <c r="JW85" i="31"/>
  <c r="JY85" i="31"/>
  <c r="ED84" i="31"/>
  <c r="EB85" i="31" s="1"/>
  <c r="EJ84" i="31"/>
  <c r="EK85" i="31" s="1"/>
  <c r="EE84" i="31"/>
  <c r="EF85" i="31" s="1"/>
  <c r="EZ84" i="31"/>
  <c r="DG84" i="31"/>
  <c r="DH84" i="31" s="1"/>
  <c r="DI85" i="31" s="1"/>
  <c r="BO85" i="31"/>
  <c r="BP85" i="31" s="1"/>
  <c r="BN85" i="31"/>
  <c r="JZ84" i="31"/>
  <c r="KF84" i="31" s="1"/>
  <c r="IQ85" i="31" s="1"/>
  <c r="JL84" i="31"/>
  <c r="JJ85" i="31" s="1"/>
  <c r="KA85" i="31"/>
  <c r="IP85" i="31" l="1"/>
  <c r="JC85" i="31"/>
  <c r="JD85" i="31"/>
  <c r="BQ85" i="31"/>
  <c r="EP85" i="31"/>
  <c r="ET86" i="31" s="1"/>
  <c r="EO85" i="31"/>
  <c r="ES86" i="31" s="1"/>
  <c r="EL85" i="31"/>
  <c r="FC85" i="31"/>
  <c r="EV85" i="31"/>
  <c r="JA85" i="31"/>
  <c r="IY85" i="31"/>
  <c r="JE85" i="31"/>
  <c r="IR85" i="31"/>
  <c r="JO85" i="31"/>
  <c r="GZ85" i="31"/>
  <c r="IE85" i="31" s="1"/>
  <c r="DJ85" i="31"/>
  <c r="DK85" i="31" s="1"/>
  <c r="HZ85" i="31"/>
  <c r="DP85" i="31"/>
  <c r="IO85" i="31"/>
  <c r="JX85" i="31" l="1"/>
  <c r="DM85" i="31"/>
  <c r="DX85" i="31"/>
  <c r="FQ85" i="31"/>
  <c r="KG85" i="31"/>
  <c r="BR85" i="31"/>
  <c r="BS85" i="31"/>
  <c r="EC85" i="31"/>
  <c r="JP85" i="31"/>
  <c r="JQ85" i="31" s="1"/>
  <c r="EX85" i="31" l="1"/>
  <c r="M85" i="31" s="1"/>
  <c r="FB85" i="31"/>
  <c r="BT85" i="31"/>
  <c r="BU85" i="31"/>
  <c r="DL85" i="31"/>
  <c r="L86" i="31"/>
  <c r="MB85" i="31" l="1"/>
  <c r="NM85" i="31" s="1"/>
  <c r="NN85" i="31" s="1"/>
  <c r="MJ85" i="31"/>
  <c r="NS85" i="31" s="1"/>
  <c r="BV85" i="31"/>
  <c r="BW85" i="31" s="1"/>
  <c r="BX85" i="31" l="1"/>
  <c r="BY85" i="31"/>
  <c r="NT85" i="31"/>
  <c r="OU86" i="31"/>
  <c r="OV86" i="31"/>
  <c r="NW85" i="31"/>
  <c r="NX85" i="31" l="1"/>
  <c r="FV85" i="31"/>
  <c r="FR85" i="31"/>
  <c r="CX85" i="31"/>
  <c r="NU85" i="31"/>
  <c r="BZ85" i="31"/>
  <c r="CA85" i="31"/>
  <c r="CB85" i="31" l="1"/>
  <c r="CC85" i="31" s="1"/>
  <c r="NZ85" i="31"/>
  <c r="MY85" i="31"/>
  <c r="CY86" i="31"/>
  <c r="NY85" i="31"/>
  <c r="NV85" i="31"/>
  <c r="OF85" i="31"/>
  <c r="OS86" i="31" s="1"/>
  <c r="CE85" i="31" l="1"/>
  <c r="CG85" i="31" s="1"/>
  <c r="CI85" i="31" s="1"/>
  <c r="CD85" i="31"/>
  <c r="NF86" i="31"/>
  <c r="OM86" i="31"/>
  <c r="OO86" i="31"/>
  <c r="MZ86" i="31"/>
  <c r="OZ85" i="31"/>
  <c r="OB85" i="31"/>
  <c r="OT86" i="31" s="1"/>
  <c r="OA85" i="31"/>
  <c r="MV86" i="31" s="1"/>
  <c r="OI85" i="31"/>
  <c r="CF85" i="31" l="1"/>
  <c r="OG86" i="31"/>
  <c r="KT86" i="31"/>
  <c r="PA85" i="31"/>
  <c r="OC85" i="31"/>
  <c r="OD86" i="31" s="1"/>
  <c r="OH86" i="31" s="1"/>
  <c r="OJ85" i="31"/>
  <c r="CJ85" i="31"/>
  <c r="CO85" i="31" s="1"/>
  <c r="CK85" i="31"/>
  <c r="OX86" i="31"/>
  <c r="OW85" i="31"/>
  <c r="MR86" i="31"/>
  <c r="CH85" i="31"/>
  <c r="OK86" i="31" l="1"/>
  <c r="MW86" i="31"/>
  <c r="OY86" i="31"/>
  <c r="KL86" i="31"/>
  <c r="KN87" i="31" s="1"/>
  <c r="KM86" i="31"/>
  <c r="KO87" i="31" s="1"/>
  <c r="CL85" i="31"/>
  <c r="CM85" i="31"/>
  <c r="CN85" i="31" s="1"/>
  <c r="MS86" i="31"/>
  <c r="NQ86" i="31" l="1"/>
  <c r="NJ86" i="31"/>
  <c r="MT86" i="31"/>
  <c r="NP86" i="31"/>
  <c r="NH87" i="31"/>
  <c r="NI87" i="31" s="1"/>
  <c r="MU86" i="31"/>
  <c r="MO86" i="31"/>
  <c r="PE86" i="31"/>
  <c r="CP85" i="31"/>
  <c r="KP87" i="31"/>
  <c r="KR86" i="31"/>
  <c r="KQ86" i="31"/>
  <c r="MX86" i="31"/>
  <c r="KS86" i="31" l="1"/>
  <c r="NB86" i="31"/>
  <c r="NA86" i="31"/>
  <c r="NK86" i="31"/>
  <c r="NL86" i="31"/>
  <c r="NG87" i="31"/>
  <c r="OQ87" i="31"/>
  <c r="FP85" i="31"/>
  <c r="FS85" i="31" s="1"/>
  <c r="DQ85" i="31"/>
  <c r="DR85" i="31" s="1"/>
  <c r="FX85" i="31"/>
  <c r="FY85" i="31" s="1"/>
  <c r="FE85" i="31"/>
  <c r="FF85" i="31" s="1"/>
  <c r="FU85" i="31"/>
  <c r="FW85" i="31" s="1"/>
  <c r="GB85" i="31"/>
  <c r="GC85" i="31" s="1"/>
  <c r="JR85" i="31"/>
  <c r="JS85" i="31" s="1"/>
  <c r="FH85" i="31"/>
  <c r="FI85" i="31" s="1"/>
  <c r="GO85" i="31"/>
  <c r="HO85" i="31"/>
  <c r="CQ85" i="31"/>
  <c r="FZ85" i="31"/>
  <c r="GA85" i="31" s="1"/>
  <c r="KX85" i="31"/>
  <c r="KU85" i="31"/>
  <c r="NR86" i="31"/>
  <c r="GN85" i="31" l="1"/>
  <c r="GQ85" i="31" s="1"/>
  <c r="KC85" i="31"/>
  <c r="JU85" i="31"/>
  <c r="JT86" i="31"/>
  <c r="KE85" i="31"/>
  <c r="NC87" i="31"/>
  <c r="MQ87" i="31"/>
  <c r="FG86" i="31"/>
  <c r="HW85" i="31"/>
  <c r="HX86" i="31" s="1"/>
  <c r="IA85" i="31"/>
  <c r="IB85" i="31" s="1"/>
  <c r="HP85" i="31"/>
  <c r="IZ85" i="31"/>
  <c r="DS85" i="31"/>
  <c r="DY85" i="31"/>
  <c r="HA85" i="31"/>
  <c r="HY85" i="31"/>
  <c r="CR85" i="31"/>
  <c r="CT85" i="31"/>
  <c r="CS85" i="31"/>
  <c r="HU85" i="31"/>
  <c r="HV86" i="31" s="1"/>
  <c r="FJ86" i="31"/>
  <c r="OR87" i="31"/>
  <c r="KV85" i="31" l="1"/>
  <c r="KW86" i="31" s="1"/>
  <c r="HQ85" i="31"/>
  <c r="HR86" i="31" s="1"/>
  <c r="HS85" i="31"/>
  <c r="JG85" i="31" s="1"/>
  <c r="HT85" i="31"/>
  <c r="AX85" i="31"/>
  <c r="AY86" i="31" s="1"/>
  <c r="EN85" i="31"/>
  <c r="EM85" i="31"/>
  <c r="EW85" i="31" s="1"/>
  <c r="AZ85" i="31"/>
  <c r="BB86" i="31" l="1"/>
  <c r="DW85" i="31"/>
  <c r="DU86" i="31" s="1"/>
  <c r="EQ85" i="31"/>
  <c r="IW85" i="31"/>
  <c r="ER86" i="31"/>
  <c r="IU85" i="31"/>
  <c r="IV85" i="31" s="1"/>
  <c r="IC85" i="31"/>
  <c r="ID85" i="31" s="1"/>
  <c r="IF85" i="31" s="1"/>
  <c r="KH85" i="31" s="1"/>
  <c r="JB85" i="31"/>
  <c r="KK85" i="31" l="1"/>
  <c r="KB85" i="31"/>
  <c r="IX85" i="31"/>
  <c r="EU86" i="31"/>
  <c r="IM85" i="31"/>
  <c r="DT85" i="31" s="1"/>
  <c r="DZ85" i="31" s="1"/>
  <c r="DB85" i="31"/>
  <c r="DC85" i="31" s="1"/>
  <c r="DD86" i="31" s="1"/>
  <c r="DE87" i="31" s="1"/>
  <c r="GM85" i="31"/>
  <c r="KI86" i="31"/>
  <c r="IN85" i="31"/>
  <c r="DF85" i="31"/>
  <c r="BC86" i="31"/>
  <c r="GT87" i="31" l="1"/>
  <c r="GV85" i="31"/>
  <c r="FD85" i="31"/>
  <c r="GU85" i="31"/>
  <c r="KJ86" i="31"/>
  <c r="GR85" i="31"/>
  <c r="BD86" i="31"/>
  <c r="BE86" i="31"/>
  <c r="IS85" i="31" l="1"/>
  <c r="FL86" i="31"/>
  <c r="BF86" i="31"/>
  <c r="BG86" i="31"/>
  <c r="GS85" i="31"/>
  <c r="GY85" i="31" l="1"/>
  <c r="GW85" i="31"/>
  <c r="HC85" i="31" s="1"/>
  <c r="FA86" i="31" s="1"/>
  <c r="HB86" i="31" s="1"/>
  <c r="GX85" i="31"/>
  <c r="BI86" i="31"/>
  <c r="BK86" i="31" s="1"/>
  <c r="BH86" i="31"/>
  <c r="FM86" i="31"/>
  <c r="JH85" i="31"/>
  <c r="JI85" i="31" s="1"/>
  <c r="IT85" i="31"/>
  <c r="JK85" i="31" l="1"/>
  <c r="JZ85" i="31" s="1"/>
  <c r="KF85" i="31" s="1"/>
  <c r="IQ86" i="31" s="1"/>
  <c r="EY85" i="31"/>
  <c r="EG85" i="31"/>
  <c r="EH86" i="31" s="1"/>
  <c r="EI86" i="31" s="1"/>
  <c r="FK86" i="31" s="1"/>
  <c r="HM85" i="31"/>
  <c r="HK86" i="31"/>
  <c r="BJ86" i="31"/>
  <c r="BL86" i="31"/>
  <c r="BM86" i="31"/>
  <c r="JN85" i="31" l="1"/>
  <c r="JV85" i="31" s="1"/>
  <c r="JF86" i="31" s="1"/>
  <c r="JW86" i="31" s="1"/>
  <c r="ED85" i="31"/>
  <c r="EB86" i="31" s="1"/>
  <c r="EJ85" i="31"/>
  <c r="EK86" i="31" s="1"/>
  <c r="EE85" i="31"/>
  <c r="EF86" i="31" s="1"/>
  <c r="EZ85" i="31"/>
  <c r="DG85" i="31"/>
  <c r="DH85" i="31" s="1"/>
  <c r="DI86" i="31" s="1"/>
  <c r="BO86" i="31"/>
  <c r="BN86" i="31"/>
  <c r="JM85" i="31"/>
  <c r="KD85" i="31" s="1"/>
  <c r="IL86" i="31" s="1"/>
  <c r="JL85" i="31"/>
  <c r="JJ86" i="31" s="1"/>
  <c r="KA86" i="31"/>
  <c r="JY86" i="31" l="1"/>
  <c r="JO86" i="31"/>
  <c r="HZ86" i="31"/>
  <c r="FC86" i="31"/>
  <c r="EL86" i="31"/>
  <c r="EP86" i="31"/>
  <c r="ET87" i="31" s="1"/>
  <c r="EO86" i="31"/>
  <c r="ES87" i="31" s="1"/>
  <c r="EV86" i="31"/>
  <c r="JE86" i="31"/>
  <c r="IR86" i="31"/>
  <c r="DP86" i="31"/>
  <c r="BP86" i="31"/>
  <c r="BQ86" i="31" s="1"/>
  <c r="IY86" i="31"/>
  <c r="JC86" i="31"/>
  <c r="JD86" i="31"/>
  <c r="IP86" i="31"/>
  <c r="IO86" i="31"/>
  <c r="JA86" i="31"/>
  <c r="DJ86" i="31"/>
  <c r="DK86" i="31" s="1"/>
  <c r="GZ86" i="31"/>
  <c r="IE86" i="31" s="1"/>
  <c r="JX86" i="31" l="1"/>
  <c r="JP86" i="31"/>
  <c r="JQ86" i="31" s="1"/>
  <c r="EC86" i="31"/>
  <c r="BR86" i="31"/>
  <c r="BS86" i="31"/>
  <c r="DX86" i="31"/>
  <c r="FQ86" i="31"/>
  <c r="DM86" i="31"/>
  <c r="KG86" i="31"/>
  <c r="BT86" i="31" l="1"/>
  <c r="BU86" i="31"/>
  <c r="BV86" i="31" s="1"/>
  <c r="FB86" i="31"/>
  <c r="EX86" i="31"/>
  <c r="M86" i="31" s="1"/>
  <c r="DL86" i="31"/>
  <c r="L87" i="31"/>
  <c r="MB86" i="31" l="1"/>
  <c r="NM86" i="31" s="1"/>
  <c r="NN86" i="31" s="1"/>
  <c r="MJ86" i="31"/>
  <c r="NS86" i="31" s="1"/>
  <c r="BW86" i="31"/>
  <c r="BY86" i="31" l="1"/>
  <c r="BX86" i="31"/>
  <c r="NT86" i="31"/>
  <c r="OU87" i="31"/>
  <c r="OV87" i="31"/>
  <c r="NW86" i="31"/>
  <c r="FV86" i="31" l="1"/>
  <c r="FR86" i="31"/>
  <c r="CX86" i="31"/>
  <c r="NU86" i="31"/>
  <c r="NX86" i="31"/>
  <c r="OF86" i="31" s="1"/>
  <c r="OS87" i="31" s="1"/>
  <c r="BZ86" i="31"/>
  <c r="CA86" i="31"/>
  <c r="NV86" i="31" l="1"/>
  <c r="NZ86" i="31"/>
  <c r="MY86" i="31"/>
  <c r="CY87" i="31"/>
  <c r="CB86" i="31"/>
  <c r="CC86" i="31" s="1"/>
  <c r="NY86" i="31"/>
  <c r="CE86" i="31" l="1"/>
  <c r="CG86" i="31" s="1"/>
  <c r="CI86" i="31" s="1"/>
  <c r="CD86" i="31"/>
  <c r="OB86" i="31"/>
  <c r="OT87" i="31" s="1"/>
  <c r="OI86" i="31"/>
  <c r="NF87" i="31"/>
  <c r="OM87" i="31"/>
  <c r="OO87" i="31"/>
  <c r="OA86" i="31"/>
  <c r="MV87" i="31" s="1"/>
  <c r="MZ87" i="31"/>
  <c r="OZ86" i="31"/>
  <c r="CF86" i="31" l="1"/>
  <c r="MR87" i="31"/>
  <c r="OW86" i="31"/>
  <c r="OX87" i="31"/>
  <c r="PA86" i="31"/>
  <c r="OG87" i="31"/>
  <c r="KT87" i="31"/>
  <c r="OJ86" i="31"/>
  <c r="CJ86" i="31"/>
  <c r="CO86" i="31" s="1"/>
  <c r="CK86" i="31"/>
  <c r="CH86" i="31"/>
  <c r="OC86" i="31"/>
  <c r="OD87" i="31" s="1"/>
  <c r="OH87" i="31" s="1"/>
  <c r="OK87" i="31" l="1"/>
  <c r="OY87" i="31"/>
  <c r="MW87" i="31"/>
  <c r="KL87" i="31"/>
  <c r="KN88" i="31" s="1"/>
  <c r="KM87" i="31"/>
  <c r="KO88" i="31" s="1"/>
  <c r="CL86" i="31"/>
  <c r="CM86" i="31"/>
  <c r="CN86" i="31" s="1"/>
  <c r="MS87" i="31"/>
  <c r="CP86" i="31" l="1"/>
  <c r="KQ87" i="31"/>
  <c r="MX87" i="31"/>
  <c r="KP88" i="31"/>
  <c r="KR87" i="31"/>
  <c r="NH88" i="31"/>
  <c r="NI88" i="31" s="1"/>
  <c r="MU87" i="31"/>
  <c r="MT87" i="31"/>
  <c r="MO87" i="31"/>
  <c r="NQ87" i="31"/>
  <c r="NP87" i="31"/>
  <c r="NJ87" i="31"/>
  <c r="PE87" i="31"/>
  <c r="NR87" i="31" l="1"/>
  <c r="KS87" i="31"/>
  <c r="NL87" i="31"/>
  <c r="NK87" i="31"/>
  <c r="NG88" i="31"/>
  <c r="OQ88" i="31"/>
  <c r="NB87" i="31"/>
  <c r="NA87" i="31"/>
  <c r="GO86" i="31"/>
  <c r="HO86" i="31"/>
  <c r="FU86" i="31"/>
  <c r="FW86" i="31" s="1"/>
  <c r="CQ86" i="31"/>
  <c r="FE86" i="31"/>
  <c r="FF86" i="31" s="1"/>
  <c r="JR86" i="31"/>
  <c r="JS86" i="31" s="1"/>
  <c r="FP86" i="31"/>
  <c r="FS86" i="31" s="1"/>
  <c r="FZ86" i="31"/>
  <c r="GA86" i="31" s="1"/>
  <c r="FH86" i="31"/>
  <c r="FI86" i="31" s="1"/>
  <c r="GB86" i="31"/>
  <c r="GC86" i="31" s="1"/>
  <c r="FX86" i="31"/>
  <c r="FY86" i="31" s="1"/>
  <c r="DQ86" i="31"/>
  <c r="DR86" i="31" s="1"/>
  <c r="KX86" i="31"/>
  <c r="KU86" i="31"/>
  <c r="GN86" i="31" l="1"/>
  <c r="GQ86" i="31" s="1"/>
  <c r="DY86" i="31"/>
  <c r="HA86" i="31"/>
  <c r="HY86" i="31"/>
  <c r="HW86" i="31"/>
  <c r="HX87" i="31" s="1"/>
  <c r="FG87" i="31"/>
  <c r="KC86" i="31"/>
  <c r="JU86" i="31"/>
  <c r="JT87" i="31"/>
  <c r="KE86" i="31"/>
  <c r="DS86" i="31"/>
  <c r="CS86" i="31"/>
  <c r="CT86" i="31"/>
  <c r="CR86" i="31"/>
  <c r="OR88" i="31"/>
  <c r="HP86" i="31"/>
  <c r="IA86" i="31"/>
  <c r="IB86" i="31" s="1"/>
  <c r="IZ86" i="31"/>
  <c r="HU86" i="31"/>
  <c r="HV87" i="31" s="1"/>
  <c r="FJ87" i="31"/>
  <c r="NC88" i="31"/>
  <c r="MQ88" i="31"/>
  <c r="KV86" i="31" l="1"/>
  <c r="KW87" i="31" s="1"/>
  <c r="HQ86" i="31"/>
  <c r="HR87" i="31" s="1"/>
  <c r="AX86" i="31"/>
  <c r="AY87" i="31" s="1"/>
  <c r="EN86" i="31"/>
  <c r="AZ86" i="31"/>
  <c r="EM86" i="31"/>
  <c r="EW86" i="31" s="1"/>
  <c r="HS86" i="31"/>
  <c r="JG86" i="31" s="1"/>
  <c r="HT86" i="31"/>
  <c r="IC86" i="31" l="1"/>
  <c r="ID86" i="31" s="1"/>
  <c r="IF86" i="31" s="1"/>
  <c r="KH86" i="31" s="1"/>
  <c r="JB86" i="31"/>
  <c r="BB87" i="31"/>
  <c r="EQ86" i="31"/>
  <c r="DW86" i="31"/>
  <c r="DU87" i="31" s="1"/>
  <c r="IW86" i="31"/>
  <c r="ER87" i="31"/>
  <c r="IU86" i="31"/>
  <c r="IV86" i="31" s="1"/>
  <c r="GM86" i="31" l="1"/>
  <c r="IM86" i="31"/>
  <c r="DB86" i="31"/>
  <c r="DC86" i="31" s="1"/>
  <c r="DD87" i="31" s="1"/>
  <c r="DE88" i="31" s="1"/>
  <c r="KI87" i="31"/>
  <c r="IN86" i="31"/>
  <c r="DF86" i="31"/>
  <c r="BC87" i="31"/>
  <c r="KB86" i="31"/>
  <c r="IX86" i="31"/>
  <c r="KK86" i="31"/>
  <c r="EU87" i="31"/>
  <c r="DT86" i="31" l="1"/>
  <c r="DZ86" i="31" s="1"/>
  <c r="GT88" i="31"/>
  <c r="GV86" i="31"/>
  <c r="FD86" i="31"/>
  <c r="GU86" i="31"/>
  <c r="KJ87" i="31"/>
  <c r="BD87" i="31"/>
  <c r="BE87" i="31"/>
  <c r="GR86" i="31"/>
  <c r="IS86" i="31" l="1"/>
  <c r="FL87" i="31"/>
  <c r="GS86" i="31"/>
  <c r="BG87" i="31"/>
  <c r="BF87" i="31"/>
  <c r="BI87" i="31" l="1"/>
  <c r="BK87" i="31" s="1"/>
  <c r="BH87" i="31"/>
  <c r="FM87" i="31"/>
  <c r="GX86" i="31"/>
  <c r="GY86" i="31"/>
  <c r="GW86" i="31"/>
  <c r="HC86" i="31" s="1"/>
  <c r="FA87" i="31" s="1"/>
  <c r="HB87" i="31" s="1"/>
  <c r="JH86" i="31"/>
  <c r="JI86" i="31" s="1"/>
  <c r="IT86" i="31"/>
  <c r="BJ87" i="31" l="1"/>
  <c r="JK86" i="31"/>
  <c r="JN86" i="31" s="1"/>
  <c r="JV86" i="31" s="1"/>
  <c r="JF87" i="31" s="1"/>
  <c r="EY86" i="31"/>
  <c r="HM86" i="31"/>
  <c r="EG86" i="31"/>
  <c r="EH87" i="31" s="1"/>
  <c r="EI87" i="31" s="1"/>
  <c r="FK87" i="31" s="1"/>
  <c r="HK87" i="31"/>
  <c r="BL87" i="31"/>
  <c r="BM87" i="31"/>
  <c r="JM86" i="31" l="1"/>
  <c r="KD86" i="31" s="1"/>
  <c r="IL87" i="31" s="1"/>
  <c r="EZ86" i="31"/>
  <c r="DG86" i="31"/>
  <c r="DH86" i="31" s="1"/>
  <c r="DI87" i="31" s="1"/>
  <c r="BN87" i="31"/>
  <c r="BO87" i="31"/>
  <c r="EJ86" i="31"/>
  <c r="EK87" i="31" s="1"/>
  <c r="ED86" i="31"/>
  <c r="EB87" i="31" s="1"/>
  <c r="EE86" i="31"/>
  <c r="EF87" i="31" s="1"/>
  <c r="JW87" i="31"/>
  <c r="JY87" i="31"/>
  <c r="JZ86" i="31"/>
  <c r="KF86" i="31" s="1"/>
  <c r="IQ87" i="31" s="1"/>
  <c r="JL86" i="31"/>
  <c r="JJ87" i="31" s="1"/>
  <c r="KA87" i="31"/>
  <c r="IO87" i="31" l="1"/>
  <c r="IP87" i="31"/>
  <c r="BP87" i="31"/>
  <c r="BQ87" i="31" s="1"/>
  <c r="GZ87" i="31"/>
  <c r="IE87" i="31" s="1"/>
  <c r="DJ87" i="31"/>
  <c r="DK87" i="31" s="1"/>
  <c r="IY87" i="31"/>
  <c r="JA87" i="31"/>
  <c r="JE87" i="31"/>
  <c r="JO87" i="31"/>
  <c r="IR87" i="31"/>
  <c r="EO87" i="31"/>
  <c r="ES88" i="31" s="1"/>
  <c r="EP87" i="31"/>
  <c r="ET88" i="31" s="1"/>
  <c r="FC87" i="31"/>
  <c r="EL87" i="31"/>
  <c r="EV87" i="31"/>
  <c r="DP87" i="31"/>
  <c r="HZ87" i="31"/>
  <c r="JC87" i="31"/>
  <c r="JD87" i="31"/>
  <c r="JP87" i="31" l="1"/>
  <c r="JQ87" i="31" s="1"/>
  <c r="KG87" i="31"/>
  <c r="FQ87" i="31"/>
  <c r="DX87" i="31"/>
  <c r="DM87" i="31"/>
  <c r="JX87" i="31"/>
  <c r="BR87" i="31"/>
  <c r="BS87" i="31"/>
  <c r="EC87" i="31"/>
  <c r="DL87" i="31" l="1"/>
  <c r="L88" i="31"/>
  <c r="EX87" i="31"/>
  <c r="M87" i="31" s="1"/>
  <c r="FB87" i="31"/>
  <c r="BT87" i="31"/>
  <c r="BU87" i="31"/>
  <c r="BV87" i="31" s="1"/>
  <c r="BW87" i="31" l="1"/>
  <c r="MJ87" i="31"/>
  <c r="NS87" i="31" s="1"/>
  <c r="MB87" i="31"/>
  <c r="NM87" i="31" l="1"/>
  <c r="NN87" i="31" s="1"/>
  <c r="BX87" i="31"/>
  <c r="BY87" i="31"/>
  <c r="NT87" i="31"/>
  <c r="OU88" i="31"/>
  <c r="OV88" i="31" l="1"/>
  <c r="NW87" i="31"/>
  <c r="NX87" i="31" s="1"/>
  <c r="NY87" i="31" s="1"/>
  <c r="CX87" i="31"/>
  <c r="FR87" i="31"/>
  <c r="FV87" i="31"/>
  <c r="NU87" i="31"/>
  <c r="BZ87" i="31"/>
  <c r="CA87" i="31"/>
  <c r="OF87" i="31" l="1"/>
  <c r="OS88" i="31" s="1"/>
  <c r="OB87" i="31"/>
  <c r="OT88" i="31" s="1"/>
  <c r="MY87" i="31"/>
  <c r="OI87" i="31" s="1"/>
  <c r="NZ87" i="31"/>
  <c r="OA87" i="31" s="1"/>
  <c r="MV88" i="31" s="1"/>
  <c r="CY88" i="31"/>
  <c r="NV87" i="31"/>
  <c r="CB87" i="31"/>
  <c r="CC87" i="31" s="1"/>
  <c r="CE87" i="31" l="1"/>
  <c r="CG87" i="31" s="1"/>
  <c r="CI87" i="31" s="1"/>
  <c r="CD87" i="31"/>
  <c r="OG88" i="31"/>
  <c r="OW87" i="31"/>
  <c r="OX88" i="31"/>
  <c r="MR88" i="31"/>
  <c r="PA87" i="31"/>
  <c r="OJ87" i="31"/>
  <c r="OO88" i="31"/>
  <c r="KT88" i="31" s="1"/>
  <c r="OM88" i="31"/>
  <c r="NF88" i="31"/>
  <c r="MZ88" i="31"/>
  <c r="OZ87" i="31"/>
  <c r="OC87" i="31"/>
  <c r="OD88" i="31" s="1"/>
  <c r="OH88" i="31" s="1"/>
  <c r="CH87" i="31" l="1"/>
  <c r="CF87" i="31"/>
  <c r="OK88" i="31"/>
  <c r="OY88" i="31"/>
  <c r="MW88" i="31"/>
  <c r="CJ87" i="31"/>
  <c r="CO87" i="31" s="1"/>
  <c r="CK87" i="31"/>
  <c r="KM88" i="31"/>
  <c r="KO89" i="31" s="1"/>
  <c r="KL88" i="31"/>
  <c r="KN89" i="31" s="1"/>
  <c r="MS88" i="31"/>
  <c r="KP89" i="31" l="1"/>
  <c r="KR88" i="31"/>
  <c r="CL87" i="31"/>
  <c r="CM87" i="31"/>
  <c r="CN87" i="31" s="1"/>
  <c r="KQ88" i="31"/>
  <c r="MT88" i="31"/>
  <c r="NJ88" i="31"/>
  <c r="NH89" i="31"/>
  <c r="NI89" i="31" s="1"/>
  <c r="NQ88" i="31"/>
  <c r="MU88" i="31"/>
  <c r="MO88" i="31"/>
  <c r="NP88" i="31"/>
  <c r="PE88" i="31"/>
  <c r="MX88" i="31"/>
  <c r="KS88" i="31" l="1"/>
  <c r="CP87" i="31"/>
  <c r="NR88" i="31"/>
  <c r="NA88" i="31"/>
  <c r="NB88" i="31"/>
  <c r="NK88" i="31"/>
  <c r="NL88" i="31"/>
  <c r="NG89" i="31"/>
  <c r="OQ89" i="31"/>
  <c r="OR89" i="31" l="1"/>
  <c r="GB87" i="31"/>
  <c r="GC87" i="31" s="1"/>
  <c r="FU87" i="31"/>
  <c r="FW87" i="31" s="1"/>
  <c r="FH87" i="31"/>
  <c r="FI87" i="31" s="1"/>
  <c r="FX87" i="31"/>
  <c r="FY87" i="31" s="1"/>
  <c r="FE87" i="31"/>
  <c r="FF87" i="31" s="1"/>
  <c r="FP87" i="31"/>
  <c r="FS87" i="31" s="1"/>
  <c r="JR87" i="31"/>
  <c r="JS87" i="31" s="1"/>
  <c r="HO87" i="31"/>
  <c r="DQ87" i="31"/>
  <c r="DR87" i="31" s="1"/>
  <c r="FZ87" i="31"/>
  <c r="GA87" i="31" s="1"/>
  <c r="GO87" i="31"/>
  <c r="CQ87" i="31"/>
  <c r="KX87" i="31"/>
  <c r="KU87" i="31"/>
  <c r="NC89" i="31"/>
  <c r="MQ89" i="31"/>
  <c r="GN87" i="31" l="1"/>
  <c r="KV87" i="31" s="1"/>
  <c r="FG88" i="31"/>
  <c r="HW87" i="31"/>
  <c r="HX88" i="31" s="1"/>
  <c r="HU87" i="31"/>
  <c r="HV88" i="31" s="1"/>
  <c r="FJ88" i="31"/>
  <c r="DS87" i="31"/>
  <c r="HP87" i="31"/>
  <c r="IA87" i="31"/>
  <c r="IB87" i="31" s="1"/>
  <c r="IZ87" i="31"/>
  <c r="JU87" i="31"/>
  <c r="KC87" i="31"/>
  <c r="JT88" i="31"/>
  <c r="KE87" i="31"/>
  <c r="CR87" i="31"/>
  <c r="CS87" i="31"/>
  <c r="CT87" i="31"/>
  <c r="HY87" i="31"/>
  <c r="HA87" i="31"/>
  <c r="DY87" i="31"/>
  <c r="GQ87" i="31" l="1"/>
  <c r="KW88" i="31"/>
  <c r="HQ87" i="31"/>
  <c r="HR88" i="31" s="1"/>
  <c r="HT87" i="31"/>
  <c r="HS87" i="31"/>
  <c r="JG87" i="31" s="1"/>
  <c r="AX87" i="31"/>
  <c r="AY88" i="31" s="1"/>
  <c r="EM87" i="31"/>
  <c r="EW87" i="31" s="1"/>
  <c r="AZ87" i="31"/>
  <c r="EN87" i="31"/>
  <c r="IC87" i="31" l="1"/>
  <c r="ID87" i="31" s="1"/>
  <c r="IF87" i="31" s="1"/>
  <c r="KH87" i="31" s="1"/>
  <c r="JB87" i="31"/>
  <c r="BB88" i="31"/>
  <c r="EQ87" i="31"/>
  <c r="DW87" i="31"/>
  <c r="DU88" i="31" s="1"/>
  <c r="IW87" i="31"/>
  <c r="ER88" i="31"/>
  <c r="IU87" i="31"/>
  <c r="IV87" i="31" s="1"/>
  <c r="BC88" i="31" l="1"/>
  <c r="EU88" i="31"/>
  <c r="KK87" i="31"/>
  <c r="KB87" i="31"/>
  <c r="IX87" i="31"/>
  <c r="GM87" i="31"/>
  <c r="IM87" i="31"/>
  <c r="DB87" i="31"/>
  <c r="DC87" i="31" s="1"/>
  <c r="DD88" i="31" s="1"/>
  <c r="DE89" i="31" s="1"/>
  <c r="KI88" i="31"/>
  <c r="IN87" i="31"/>
  <c r="DF87" i="31"/>
  <c r="GT89" i="31" l="1"/>
  <c r="GR87" i="31"/>
  <c r="KJ88" i="31"/>
  <c r="DT87" i="31"/>
  <c r="DZ87" i="31" s="1"/>
  <c r="GV87" i="31"/>
  <c r="FD87" i="31"/>
  <c r="GU87" i="31"/>
  <c r="BD88" i="31"/>
  <c r="BE88" i="31"/>
  <c r="BF88" i="31" l="1"/>
  <c r="BG88" i="31"/>
  <c r="GS87" i="31"/>
  <c r="IS87" i="31"/>
  <c r="FL88" i="31"/>
  <c r="FM88" i="31" l="1"/>
  <c r="JH87" i="31"/>
  <c r="JI87" i="31" s="1"/>
  <c r="IT87" i="31"/>
  <c r="BH88" i="31"/>
  <c r="BI88" i="31"/>
  <c r="BK88" i="31" s="1"/>
  <c r="GY87" i="31"/>
  <c r="GX87" i="31"/>
  <c r="GW87" i="31"/>
  <c r="HC87" i="31" s="1"/>
  <c r="FA88" i="31" s="1"/>
  <c r="HB88" i="31" s="1"/>
  <c r="BL88" i="31" l="1"/>
  <c r="BM88" i="31"/>
  <c r="BJ88" i="31"/>
  <c r="EG87" i="31"/>
  <c r="EH88" i="31" s="1"/>
  <c r="EI88" i="31" s="1"/>
  <c r="FK88" i="31" s="1"/>
  <c r="EY87" i="31"/>
  <c r="HM87" i="31"/>
  <c r="HK88" i="31"/>
  <c r="JK87" i="31"/>
  <c r="JZ87" i="31" s="1"/>
  <c r="KF87" i="31" s="1"/>
  <c r="IQ88" i="31" s="1"/>
  <c r="JM87" i="31" l="1"/>
  <c r="KD87" i="31" s="1"/>
  <c r="IL88" i="31" s="1"/>
  <c r="JE88" i="31" s="1"/>
  <c r="EZ87" i="31"/>
  <c r="DG87" i="31"/>
  <c r="DH87" i="31" s="1"/>
  <c r="DI88" i="31" s="1"/>
  <c r="EJ87" i="31"/>
  <c r="EK88" i="31" s="1"/>
  <c r="EE87" i="31"/>
  <c r="EF88" i="31" s="1"/>
  <c r="ED87" i="31"/>
  <c r="EB88" i="31" s="1"/>
  <c r="IY88" i="31" s="1"/>
  <c r="JN87" i="31"/>
  <c r="JV87" i="31" s="1"/>
  <c r="JF88" i="31" s="1"/>
  <c r="JL87" i="31"/>
  <c r="JJ88" i="31" s="1"/>
  <c r="KA88" i="31"/>
  <c r="BN88" i="31"/>
  <c r="BO88" i="31"/>
  <c r="IO88" i="31" l="1"/>
  <c r="JP88" i="31" s="1"/>
  <c r="JQ88" i="31" s="1"/>
  <c r="IR88" i="31"/>
  <c r="JA88" i="31"/>
  <c r="BP88" i="31"/>
  <c r="BQ88" i="31" s="1"/>
  <c r="JY88" i="31"/>
  <c r="JW88" i="31"/>
  <c r="EO88" i="31"/>
  <c r="ES89" i="31" s="1"/>
  <c r="FC88" i="31"/>
  <c r="EP88" i="31"/>
  <c r="ET89" i="31" s="1"/>
  <c r="EL88" i="31"/>
  <c r="EV88" i="31"/>
  <c r="GZ88" i="31"/>
  <c r="IE88" i="31" s="1"/>
  <c r="DJ88" i="31"/>
  <c r="DK88" i="31" s="1"/>
  <c r="IP88" i="31"/>
  <c r="JC88" i="31"/>
  <c r="JD88" i="31"/>
  <c r="DP88" i="31"/>
  <c r="HZ88" i="31"/>
  <c r="JO88" i="31"/>
  <c r="BR88" i="31" l="1"/>
  <c r="BS88" i="31"/>
  <c r="EC88" i="31"/>
  <c r="KG88" i="31"/>
  <c r="JX88" i="31"/>
  <c r="FQ88" i="31"/>
  <c r="DX88" i="31"/>
  <c r="DM88" i="31"/>
  <c r="BT88" i="31" l="1"/>
  <c r="BU88" i="31"/>
  <c r="BV88" i="31" s="1"/>
  <c r="BW88" i="31" s="1"/>
  <c r="BY88" i="31" s="1"/>
  <c r="DL88" i="31"/>
  <c r="L89" i="31"/>
  <c r="FB88" i="31"/>
  <c r="EX88" i="31"/>
  <c r="M88" i="31" s="1"/>
  <c r="BX88" i="31" l="1"/>
  <c r="BZ88" i="31" s="1"/>
  <c r="MJ88" i="31"/>
  <c r="NS88" i="31" s="1"/>
  <c r="MB88" i="31"/>
  <c r="CA88" i="31"/>
  <c r="NM88" i="31" l="1"/>
  <c r="NN88" i="31" s="1"/>
  <c r="CB88" i="31"/>
  <c r="CC88" i="31" s="1"/>
  <c r="NT88" i="31"/>
  <c r="OU89" i="31"/>
  <c r="CD88" i="31" l="1"/>
  <c r="CE88" i="31"/>
  <c r="CF88" i="31" s="1"/>
  <c r="OV89" i="31"/>
  <c r="NW88" i="31"/>
  <c r="NX88" i="31" s="1"/>
  <c r="OF88" i="31" s="1"/>
  <c r="OS89" i="31" s="1"/>
  <c r="CX88" i="31"/>
  <c r="FR88" i="31"/>
  <c r="FV88" i="31"/>
  <c r="NU88" i="31"/>
  <c r="CG88" i="31" l="1"/>
  <c r="CI88" i="31" s="1"/>
  <c r="CJ88" i="31" s="1"/>
  <c r="CO88" i="31" s="1"/>
  <c r="NV88" i="31"/>
  <c r="NZ88" i="31"/>
  <c r="MY88" i="31"/>
  <c r="CY89" i="31"/>
  <c r="NY88" i="31"/>
  <c r="CK88" i="31" l="1"/>
  <c r="CM88" i="31" s="1"/>
  <c r="CN88" i="31" s="1"/>
  <c r="CH88" i="31"/>
  <c r="OI88" i="31"/>
  <c r="OW88" i="31" s="1"/>
  <c r="MZ89" i="31"/>
  <c r="OZ88" i="31"/>
  <c r="OB88" i="31"/>
  <c r="OT89" i="31" s="1"/>
  <c r="OA88" i="31"/>
  <c r="MV89" i="31" s="1"/>
  <c r="OM89" i="31"/>
  <c r="OO89" i="31"/>
  <c r="NF89" i="31"/>
  <c r="CL88" i="31" l="1"/>
  <c r="OX89" i="31"/>
  <c r="MR89" i="31"/>
  <c r="MS89" i="31" s="1"/>
  <c r="OJ88" i="31"/>
  <c r="MW89" i="31" s="1"/>
  <c r="CP88" i="31"/>
  <c r="KT89" i="31"/>
  <c r="OG89" i="31"/>
  <c r="PA88" i="31"/>
  <c r="OC88" i="31"/>
  <c r="OD89" i="31" s="1"/>
  <c r="OH89" i="31" s="1"/>
  <c r="OY89" i="31" l="1"/>
  <c r="KM89" i="31"/>
  <c r="KO90" i="31" s="1"/>
  <c r="KL89" i="31"/>
  <c r="KN90" i="31" s="1"/>
  <c r="MX89" i="31"/>
  <c r="OK89" i="31"/>
  <c r="NJ89" i="31"/>
  <c r="MT89" i="31"/>
  <c r="NH90" i="31"/>
  <c r="NI90" i="31" s="1"/>
  <c r="NQ89" i="31"/>
  <c r="MO89" i="31"/>
  <c r="NP89" i="31"/>
  <c r="MU89" i="31"/>
  <c r="PE89" i="31"/>
  <c r="FX88" i="31"/>
  <c r="FY88" i="31" s="1"/>
  <c r="DQ88" i="31"/>
  <c r="DR88" i="31" s="1"/>
  <c r="FZ88" i="31"/>
  <c r="GA88" i="31" s="1"/>
  <c r="JR88" i="31"/>
  <c r="JS88" i="31" s="1"/>
  <c r="FU88" i="31"/>
  <c r="FW88" i="31" s="1"/>
  <c r="CQ88" i="31"/>
  <c r="HO88" i="31"/>
  <c r="GB88" i="31"/>
  <c r="GC88" i="31" s="1"/>
  <c r="GO88" i="31"/>
  <c r="FP88" i="31"/>
  <c r="FS88" i="31" s="1"/>
  <c r="FH88" i="31"/>
  <c r="FI88" i="31" s="1"/>
  <c r="FE88" i="31"/>
  <c r="FF88" i="31" s="1"/>
  <c r="KX88" i="31"/>
  <c r="GN88" i="31" s="1"/>
  <c r="KU88" i="31"/>
  <c r="NL89" i="31" l="1"/>
  <c r="NK89" i="31"/>
  <c r="NG90" i="31"/>
  <c r="OQ90" i="31"/>
  <c r="HP88" i="31"/>
  <c r="IA88" i="31"/>
  <c r="IB88" i="31" s="1"/>
  <c r="IZ88" i="31"/>
  <c r="CR88" i="31"/>
  <c r="CT88" i="31"/>
  <c r="CS88" i="31"/>
  <c r="GQ88" i="31"/>
  <c r="KV88" i="31"/>
  <c r="NB89" i="31"/>
  <c r="NA89" i="31"/>
  <c r="HW88" i="31"/>
  <c r="HX89" i="31" s="1"/>
  <c r="FG89" i="31"/>
  <c r="JU88" i="31"/>
  <c r="KE88" i="31"/>
  <c r="KC88" i="31"/>
  <c r="JT89" i="31"/>
  <c r="NR89" i="31"/>
  <c r="HU88" i="31"/>
  <c r="HV89" i="31" s="1"/>
  <c r="FJ89" i="31"/>
  <c r="KQ89" i="31"/>
  <c r="HY88" i="31"/>
  <c r="DY88" i="31"/>
  <c r="HA88" i="31"/>
  <c r="DS88" i="31"/>
  <c r="KP90" i="31"/>
  <c r="KR89" i="31"/>
  <c r="KW89" i="31" l="1"/>
  <c r="HQ88" i="31"/>
  <c r="HR89" i="31" s="1"/>
  <c r="HS88" i="31"/>
  <c r="JG88" i="31" s="1"/>
  <c r="HT88" i="31"/>
  <c r="OR90" i="31"/>
  <c r="KS89" i="31"/>
  <c r="AX88" i="31"/>
  <c r="AY89" i="31" s="1"/>
  <c r="AZ88" i="31"/>
  <c r="EM88" i="31"/>
  <c r="EW88" i="31" s="1"/>
  <c r="EN88" i="31"/>
  <c r="NC90" i="31"/>
  <c r="MQ90" i="31"/>
  <c r="IC88" i="31" l="1"/>
  <c r="ID88" i="31" s="1"/>
  <c r="IF88" i="31" s="1"/>
  <c r="KH88" i="31" s="1"/>
  <c r="JB88" i="31"/>
  <c r="BB89" i="31"/>
  <c r="DW88" i="31"/>
  <c r="DU89" i="31" s="1"/>
  <c r="IW88" i="31"/>
  <c r="EQ88" i="31"/>
  <c r="ER89" i="31"/>
  <c r="IU88" i="31"/>
  <c r="IV88" i="31" s="1"/>
  <c r="BC89" i="31" l="1"/>
  <c r="KB88" i="31"/>
  <c r="IX88" i="31"/>
  <c r="KK88" i="31"/>
  <c r="EU89" i="31"/>
  <c r="GM88" i="31"/>
  <c r="IM88" i="31"/>
  <c r="DB88" i="31"/>
  <c r="DC88" i="31" s="1"/>
  <c r="DD89" i="31" s="1"/>
  <c r="DE90" i="31" s="1"/>
  <c r="KI89" i="31"/>
  <c r="IN88" i="31"/>
  <c r="DF88" i="31"/>
  <c r="GT90" i="31" l="1"/>
  <c r="FD88" i="31"/>
  <c r="GU88" i="31"/>
  <c r="GV88" i="31"/>
  <c r="KJ89" i="31"/>
  <c r="DT88" i="31"/>
  <c r="DZ88" i="31" s="1"/>
  <c r="GR88" i="31"/>
  <c r="BE89" i="31"/>
  <c r="BD89" i="31"/>
  <c r="BF89" i="31" l="1"/>
  <c r="BG89" i="31"/>
  <c r="IS88" i="31"/>
  <c r="FL89" i="31"/>
  <c r="GS88" i="31"/>
  <c r="GY88" i="31" l="1"/>
  <c r="GX88" i="31"/>
  <c r="GW88" i="31"/>
  <c r="HC88" i="31" s="1"/>
  <c r="FA89" i="31" s="1"/>
  <c r="HB89" i="31" s="1"/>
  <c r="JH88" i="31"/>
  <c r="JI88" i="31" s="1"/>
  <c r="IT88" i="31"/>
  <c r="BI89" i="31"/>
  <c r="BK89" i="31" s="1"/>
  <c r="BH89" i="31"/>
  <c r="FM89" i="31"/>
  <c r="BJ89" i="31" l="1"/>
  <c r="JK88" i="31"/>
  <c r="JZ88" i="31" s="1"/>
  <c r="KF88" i="31" s="1"/>
  <c r="IQ89" i="31" s="1"/>
  <c r="EG88" i="31"/>
  <c r="EH89" i="31" s="1"/>
  <c r="EI89" i="31" s="1"/>
  <c r="FK89" i="31" s="1"/>
  <c r="HM88" i="31"/>
  <c r="EY88" i="31"/>
  <c r="HK89" i="31"/>
  <c r="BL89" i="31"/>
  <c r="BM89" i="31"/>
  <c r="JM88" i="31" l="1"/>
  <c r="KD88" i="31" s="1"/>
  <c r="IL89" i="31" s="1"/>
  <c r="IR89" i="31" s="1"/>
  <c r="JN88" i="31"/>
  <c r="JV88" i="31" s="1"/>
  <c r="JF89" i="31" s="1"/>
  <c r="JL88" i="31"/>
  <c r="JJ89" i="31" s="1"/>
  <c r="KA89" i="31"/>
  <c r="EZ88" i="31"/>
  <c r="DG88" i="31"/>
  <c r="DH88" i="31" s="1"/>
  <c r="DI89" i="31" s="1"/>
  <c r="BN89" i="31"/>
  <c r="BO89" i="31"/>
  <c r="EJ88" i="31"/>
  <c r="EK89" i="31" s="1"/>
  <c r="EE88" i="31"/>
  <c r="EF89" i="31" s="1"/>
  <c r="ED88" i="31"/>
  <c r="EB89" i="31" s="1"/>
  <c r="IY89" i="31" s="1"/>
  <c r="IO89" i="31" l="1"/>
  <c r="JP89" i="31" s="1"/>
  <c r="JQ89" i="31" s="1"/>
  <c r="JE89" i="31"/>
  <c r="IP89" i="31"/>
  <c r="BP89" i="31"/>
  <c r="BQ89" i="31" s="1"/>
  <c r="DP89" i="31"/>
  <c r="JC89" i="31"/>
  <c r="JD89" i="31"/>
  <c r="JA89" i="31"/>
  <c r="HZ89" i="31"/>
  <c r="FC89" i="31"/>
  <c r="EP89" i="31"/>
  <c r="ET90" i="31" s="1"/>
  <c r="EO89" i="31"/>
  <c r="ES90" i="31" s="1"/>
  <c r="EL89" i="31"/>
  <c r="EV89" i="31"/>
  <c r="GZ89" i="31"/>
  <c r="KG89" i="31" s="1"/>
  <c r="DJ89" i="31"/>
  <c r="DK89" i="31" s="1"/>
  <c r="JY89" i="31"/>
  <c r="JW89" i="31"/>
  <c r="JO89" i="31"/>
  <c r="IE89" i="31" l="1"/>
  <c r="DX89" i="31"/>
  <c r="DM89" i="31"/>
  <c r="FQ89" i="31"/>
  <c r="EC89" i="31"/>
  <c r="BR89" i="31"/>
  <c r="BS89" i="31"/>
  <c r="JX89" i="31"/>
  <c r="BT89" i="31" l="1"/>
  <c r="BU89" i="31"/>
  <c r="BV89" i="31" s="1"/>
  <c r="BW89" i="31" s="1"/>
  <c r="FB89" i="31"/>
  <c r="EX89" i="31"/>
  <c r="M89" i="31" s="1"/>
  <c r="DL89" i="31"/>
  <c r="L90" i="31"/>
  <c r="BX89" i="31" l="1"/>
  <c r="BY89" i="31"/>
  <c r="MB89" i="31"/>
  <c r="NM89" i="31" s="1"/>
  <c r="NN89" i="31" s="1"/>
  <c r="MJ89" i="31"/>
  <c r="NS89" i="31" s="1"/>
  <c r="NT89" i="31" l="1"/>
  <c r="OU90" i="31"/>
  <c r="BZ89" i="31"/>
  <c r="CA89" i="31"/>
  <c r="OV90" i="31"/>
  <c r="NW89" i="31"/>
  <c r="CB89" i="31" l="1"/>
  <c r="CC89" i="31" s="1"/>
  <c r="NX89" i="31"/>
  <c r="OF89" i="31" s="1"/>
  <c r="OS90" i="31" s="1"/>
  <c r="CX89" i="31"/>
  <c r="FV89" i="31"/>
  <c r="FR89" i="31"/>
  <c r="NU89" i="31"/>
  <c r="CD89" i="31" l="1"/>
  <c r="CE89" i="31"/>
  <c r="CF89" i="31" s="1"/>
  <c r="NY89" i="31"/>
  <c r="NV89" i="31"/>
  <c r="NZ89" i="31"/>
  <c r="MY89" i="31"/>
  <c r="CY90" i="31"/>
  <c r="CG89" i="31" l="1"/>
  <c r="CI89" i="31" s="1"/>
  <c r="CJ89" i="31" s="1"/>
  <c r="CO89" i="31" s="1"/>
  <c r="OB89" i="31"/>
  <c r="OT90" i="31" s="1"/>
  <c r="OM90" i="31"/>
  <c r="NF90" i="31"/>
  <c r="OO90" i="31"/>
  <c r="OA89" i="31"/>
  <c r="MV90" i="31" s="1"/>
  <c r="MZ90" i="31"/>
  <c r="OZ89" i="31"/>
  <c r="OI89" i="31"/>
  <c r="CH89" i="31" l="1"/>
  <c r="CK89" i="31"/>
  <c r="CL89" i="31" s="1"/>
  <c r="OX90" i="31"/>
  <c r="OW89" i="31"/>
  <c r="MR90" i="31"/>
  <c r="PA89" i="31"/>
  <c r="KT90" i="31"/>
  <c r="OG90" i="31"/>
  <c r="OJ89" i="31"/>
  <c r="OC89" i="31"/>
  <c r="OD90" i="31" s="1"/>
  <c r="OH90" i="31" s="1"/>
  <c r="CM89" i="31" l="1"/>
  <c r="CN89" i="31" s="1"/>
  <c r="CP89" i="31" s="1"/>
  <c r="KM90" i="31"/>
  <c r="KO91" i="31" s="1"/>
  <c r="KL90" i="31"/>
  <c r="KN91" i="31" s="1"/>
  <c r="MS90" i="31"/>
  <c r="OY90" i="31"/>
  <c r="MW90" i="31"/>
  <c r="OK90" i="31"/>
  <c r="JR89" i="31" l="1"/>
  <c r="JS89" i="31" s="1"/>
  <c r="FU89" i="31"/>
  <c r="FW89" i="31" s="1"/>
  <c r="FZ89" i="31"/>
  <c r="GA89" i="31" s="1"/>
  <c r="DQ89" i="31"/>
  <c r="DR89" i="31" s="1"/>
  <c r="GO89" i="31"/>
  <c r="FP89" i="31"/>
  <c r="FS89" i="31" s="1"/>
  <c r="CQ89" i="31"/>
  <c r="HO89" i="31"/>
  <c r="FE89" i="31"/>
  <c r="FF89" i="31" s="1"/>
  <c r="GB89" i="31"/>
  <c r="GC89" i="31" s="1"/>
  <c r="FX89" i="31"/>
  <c r="FY89" i="31" s="1"/>
  <c r="FH89" i="31"/>
  <c r="FI89" i="31" s="1"/>
  <c r="KX89" i="31"/>
  <c r="KU89" i="31"/>
  <c r="NH91" i="31"/>
  <c r="NI91" i="31" s="1"/>
  <c r="NP90" i="31"/>
  <c r="MT90" i="31"/>
  <c r="NJ90" i="31"/>
  <c r="MU90" i="31"/>
  <c r="MO90" i="31"/>
  <c r="NQ90" i="31"/>
  <c r="PE90" i="31"/>
  <c r="KQ90" i="31"/>
  <c r="MX90" i="31"/>
  <c r="KP91" i="31"/>
  <c r="KR90" i="31"/>
  <c r="GN89" i="31" l="1"/>
  <c r="GQ89" i="31" s="1"/>
  <c r="KS90" i="31"/>
  <c r="IA89" i="31"/>
  <c r="IB89" i="31" s="1"/>
  <c r="HP89" i="31"/>
  <c r="IZ89" i="31"/>
  <c r="CS89" i="31"/>
  <c r="CR89" i="31"/>
  <c r="CT89" i="31"/>
  <c r="HY89" i="31"/>
  <c r="DY89" i="31"/>
  <c r="HA89" i="31"/>
  <c r="NR90" i="31"/>
  <c r="HU89" i="31"/>
  <c r="HV90" i="31" s="1"/>
  <c r="FJ90" i="31"/>
  <c r="DS89" i="31"/>
  <c r="NK90" i="31"/>
  <c r="NL90" i="31"/>
  <c r="NG91" i="31"/>
  <c r="OQ91" i="31"/>
  <c r="NA90" i="31"/>
  <c r="NB90" i="31"/>
  <c r="FG90" i="31"/>
  <c r="HW89" i="31"/>
  <c r="HX90" i="31" s="1"/>
  <c r="KE89" i="31"/>
  <c r="JU89" i="31"/>
  <c r="JT90" i="31"/>
  <c r="KC89" i="31"/>
  <c r="KV89" i="31" l="1"/>
  <c r="KW90" i="31" s="1"/>
  <c r="HQ89" i="31"/>
  <c r="HR90" i="31" s="1"/>
  <c r="AX89" i="31"/>
  <c r="AY90" i="31" s="1"/>
  <c r="EM89" i="31"/>
  <c r="EW89" i="31" s="1"/>
  <c r="AZ89" i="31"/>
  <c r="EN89" i="31"/>
  <c r="OR91" i="31"/>
  <c r="NC91" i="31"/>
  <c r="MQ91" i="31"/>
  <c r="HT89" i="31"/>
  <c r="HS89" i="31"/>
  <c r="JG89" i="31" s="1"/>
  <c r="BB90" i="31" l="1"/>
  <c r="EQ89" i="31"/>
  <c r="DW89" i="31"/>
  <c r="DU90" i="31" s="1"/>
  <c r="IW89" i="31"/>
  <c r="ER90" i="31"/>
  <c r="IU89" i="31"/>
  <c r="IV89" i="31" s="1"/>
  <c r="IC89" i="31"/>
  <c r="ID89" i="31" s="1"/>
  <c r="IF89" i="31" s="1"/>
  <c r="KH89" i="31" s="1"/>
  <c r="JB89" i="31"/>
  <c r="BC90" i="31" l="1"/>
  <c r="IM89" i="31"/>
  <c r="GM89" i="31"/>
  <c r="DB89" i="31"/>
  <c r="DC89" i="31" s="1"/>
  <c r="DD90" i="31" s="1"/>
  <c r="DE91" i="31" s="1"/>
  <c r="KI90" i="31"/>
  <c r="IN89" i="31"/>
  <c r="DF89" i="31"/>
  <c r="EU90" i="31"/>
  <c r="KK89" i="31"/>
  <c r="KB89" i="31"/>
  <c r="IX89" i="31"/>
  <c r="GT91" i="31" l="1"/>
  <c r="DT89" i="31"/>
  <c r="DZ89" i="31" s="1"/>
  <c r="FD89" i="31"/>
  <c r="GV89" i="31"/>
  <c r="GU89" i="31"/>
  <c r="GR89" i="31"/>
  <c r="KJ90" i="31"/>
  <c r="BD90" i="31"/>
  <c r="BE90" i="31"/>
  <c r="GS89" i="31" l="1"/>
  <c r="BF90" i="31"/>
  <c r="BG90" i="31"/>
  <c r="IS89" i="31"/>
  <c r="FL90" i="31"/>
  <c r="FM90" i="31" l="1"/>
  <c r="JH89" i="31"/>
  <c r="JI89" i="31" s="1"/>
  <c r="IT89" i="31"/>
  <c r="BI90" i="31"/>
  <c r="BK90" i="31" s="1"/>
  <c r="BH90" i="31"/>
  <c r="GY89" i="31"/>
  <c r="GW89" i="31"/>
  <c r="HC89" i="31" s="1"/>
  <c r="FA90" i="31" s="1"/>
  <c r="HB90" i="31" s="1"/>
  <c r="GX89" i="31"/>
  <c r="EY89" i="31" l="1"/>
  <c r="EG89" i="31"/>
  <c r="EH90" i="31" s="1"/>
  <c r="EI90" i="31" s="1"/>
  <c r="FK90" i="31" s="1"/>
  <c r="HM89" i="31"/>
  <c r="HK90" i="31"/>
  <c r="BL90" i="31"/>
  <c r="BM90" i="31"/>
  <c r="JK89" i="31"/>
  <c r="JZ89" i="31" s="1"/>
  <c r="KF89" i="31" s="1"/>
  <c r="IQ90" i="31" s="1"/>
  <c r="BJ90" i="31"/>
  <c r="JM89" i="31" l="1"/>
  <c r="KD89" i="31" s="1"/>
  <c r="IL90" i="31" s="1"/>
  <c r="JE90" i="31" s="1"/>
  <c r="EE89" i="31"/>
  <c r="EF90" i="31" s="1"/>
  <c r="ED89" i="31"/>
  <c r="EB90" i="31" s="1"/>
  <c r="JA90" i="31" s="1"/>
  <c r="EJ89" i="31"/>
  <c r="EK90" i="31" s="1"/>
  <c r="BN90" i="31"/>
  <c r="BO90" i="31"/>
  <c r="BP90" i="31" s="1"/>
  <c r="EZ89" i="31"/>
  <c r="DG89" i="31"/>
  <c r="DH89" i="31" s="1"/>
  <c r="DI90" i="31" s="1"/>
  <c r="JN89" i="31"/>
  <c r="JV89" i="31" s="1"/>
  <c r="JF90" i="31" s="1"/>
  <c r="JL89" i="31"/>
  <c r="JJ90" i="31" s="1"/>
  <c r="KA90" i="31"/>
  <c r="IR90" i="31" l="1"/>
  <c r="IP90" i="31"/>
  <c r="IO90" i="31"/>
  <c r="JY90" i="31"/>
  <c r="JW90" i="31"/>
  <c r="HZ90" i="31"/>
  <c r="JC90" i="31"/>
  <c r="JD90" i="31"/>
  <c r="JO90" i="31"/>
  <c r="DP90" i="31"/>
  <c r="FC90" i="31"/>
  <c r="EL90" i="31"/>
  <c r="JX90" i="31" s="1"/>
  <c r="EO90" i="31"/>
  <c r="ES91" i="31" s="1"/>
  <c r="EP90" i="31"/>
  <c r="ET91" i="31" s="1"/>
  <c r="EV90" i="31"/>
  <c r="BQ90" i="31"/>
  <c r="GZ90" i="31"/>
  <c r="IE90" i="31" s="1"/>
  <c r="DJ90" i="31"/>
  <c r="DK90" i="31" s="1"/>
  <c r="IY90" i="31"/>
  <c r="JP90" i="31" l="1"/>
  <c r="JQ90" i="31" s="1"/>
  <c r="BR90" i="31"/>
  <c r="BS90" i="31"/>
  <c r="DM90" i="31"/>
  <c r="DX90" i="31"/>
  <c r="FQ90" i="31"/>
  <c r="KG90" i="31"/>
  <c r="EC90" i="31"/>
  <c r="DL90" i="31" l="1"/>
  <c r="L91" i="31"/>
  <c r="FB90" i="31"/>
  <c r="EX90" i="31"/>
  <c r="M90" i="31" s="1"/>
  <c r="BT90" i="31"/>
  <c r="BU90" i="31"/>
  <c r="MJ90" i="31" l="1"/>
  <c r="NS90" i="31" s="1"/>
  <c r="MB90" i="31"/>
  <c r="NM90" i="31" s="1"/>
  <c r="NN90" i="31" s="1"/>
  <c r="BV90" i="31"/>
  <c r="BW90" i="31" s="1"/>
  <c r="BX90" i="31" l="1"/>
  <c r="BY90" i="31"/>
  <c r="OV91" i="31"/>
  <c r="NW90" i="31"/>
  <c r="NX90" i="31" s="1"/>
  <c r="NT90" i="31"/>
  <c r="OU91" i="31"/>
  <c r="FR90" i="31" l="1"/>
  <c r="CX90" i="31"/>
  <c r="FV90" i="31"/>
  <c r="NU90" i="31"/>
  <c r="BZ90" i="31"/>
  <c r="CA90" i="31"/>
  <c r="OF90" i="31"/>
  <c r="OS91" i="31" s="1"/>
  <c r="NY90" i="31"/>
  <c r="OB90" i="31" l="1"/>
  <c r="OT91" i="31" s="1"/>
  <c r="NV90" i="31"/>
  <c r="MY90" i="31"/>
  <c r="OI90" i="31" s="1"/>
  <c r="NZ90" i="31"/>
  <c r="OA90" i="31" s="1"/>
  <c r="MV91" i="31" s="1"/>
  <c r="CY91" i="31"/>
  <c r="CB90" i="31"/>
  <c r="CC90" i="31" s="1"/>
  <c r="CD90" i="31" l="1"/>
  <c r="CE90" i="31"/>
  <c r="CF90" i="31" s="1"/>
  <c r="OX91" i="31"/>
  <c r="OW90" i="31"/>
  <c r="MR91" i="31"/>
  <c r="OG91" i="31"/>
  <c r="NF91" i="31"/>
  <c r="OM91" i="31"/>
  <c r="OO91" i="31"/>
  <c r="KT91" i="31" s="1"/>
  <c r="PA90" i="31"/>
  <c r="MZ91" i="31"/>
  <c r="OZ90" i="31"/>
  <c r="OJ90" i="31"/>
  <c r="OC90" i="31"/>
  <c r="OD91" i="31" s="1"/>
  <c r="OH91" i="31" s="1"/>
  <c r="CG90" i="31" l="1"/>
  <c r="CH90" i="31" s="1"/>
  <c r="CI90" i="31" s="1"/>
  <c r="OK91" i="31"/>
  <c r="KM91" i="31"/>
  <c r="KO92" i="31" s="1"/>
  <c r="KL91" i="31"/>
  <c r="KN92" i="31" s="1"/>
  <c r="MS91" i="31"/>
  <c r="OY91" i="31"/>
  <c r="MW91" i="31"/>
  <c r="CJ90" i="31" l="1"/>
  <c r="CO90" i="31" s="1"/>
  <c r="CK90" i="31"/>
  <c r="CL90" i="31" s="1"/>
  <c r="NQ91" i="31"/>
  <c r="MO91" i="31"/>
  <c r="MT91" i="31"/>
  <c r="NH92" i="31"/>
  <c r="NI92" i="31" s="1"/>
  <c r="MU91" i="31"/>
  <c r="NJ91" i="31"/>
  <c r="NP91" i="31"/>
  <c r="PE91" i="31"/>
  <c r="MX91" i="31"/>
  <c r="KQ91" i="31"/>
  <c r="KP92" i="31"/>
  <c r="KR91" i="31"/>
  <c r="CM90" i="31" l="1"/>
  <c r="CN90" i="31" s="1"/>
  <c r="CP90" i="31" s="1"/>
  <c r="KS91" i="31"/>
  <c r="NA91" i="31"/>
  <c r="NB91" i="31"/>
  <c r="NL91" i="31"/>
  <c r="NK91" i="31"/>
  <c r="NG92" i="31"/>
  <c r="OQ92" i="31"/>
  <c r="NR91" i="31"/>
  <c r="NC92" i="31" l="1"/>
  <c r="MQ92" i="31"/>
  <c r="FX90" i="31"/>
  <c r="FY90" i="31" s="1"/>
  <c r="FU90" i="31"/>
  <c r="FW90" i="31" s="1"/>
  <c r="DQ90" i="31"/>
  <c r="DR90" i="31" s="1"/>
  <c r="FP90" i="31"/>
  <c r="FS90" i="31" s="1"/>
  <c r="GO90" i="31"/>
  <c r="HO90" i="31"/>
  <c r="FE90" i="31"/>
  <c r="FF90" i="31" s="1"/>
  <c r="FH90" i="31"/>
  <c r="FI90" i="31" s="1"/>
  <c r="JR90" i="31"/>
  <c r="JS90" i="31" s="1"/>
  <c r="CQ90" i="31"/>
  <c r="FZ90" i="31"/>
  <c r="GA90" i="31" s="1"/>
  <c r="GB90" i="31"/>
  <c r="GC90" i="31" s="1"/>
  <c r="KX90" i="31"/>
  <c r="GN90" i="31" s="1"/>
  <c r="KU90" i="31"/>
  <c r="OR92" i="31"/>
  <c r="HA90" i="31" l="1"/>
  <c r="DY90" i="31"/>
  <c r="HY90" i="31"/>
  <c r="CR90" i="31"/>
  <c r="CT90" i="31"/>
  <c r="CS90" i="31"/>
  <c r="HU90" i="31"/>
  <c r="HV91" i="31" s="1"/>
  <c r="FJ91" i="31"/>
  <c r="KC90" i="31"/>
  <c r="KE90" i="31"/>
  <c r="JU90" i="31"/>
  <c r="JT91" i="31"/>
  <c r="HW90" i="31"/>
  <c r="HX91" i="31" s="1"/>
  <c r="FG91" i="31"/>
  <c r="IA90" i="31"/>
  <c r="IB90" i="31" s="1"/>
  <c r="HP90" i="31"/>
  <c r="IZ90" i="31"/>
  <c r="DS90" i="31"/>
  <c r="GQ90" i="31"/>
  <c r="KV90" i="31"/>
  <c r="KW91" i="31" l="1"/>
  <c r="HQ90" i="31"/>
  <c r="HR91" i="31" s="1"/>
  <c r="HT90" i="31"/>
  <c r="HS90" i="31"/>
  <c r="JG90" i="31" s="1"/>
  <c r="AX90" i="31"/>
  <c r="AY91" i="31" s="1"/>
  <c r="AZ90" i="31"/>
  <c r="EN90" i="31"/>
  <c r="EM90" i="31"/>
  <c r="EW90" i="31" s="1"/>
  <c r="IC90" i="31" l="1"/>
  <c r="ID90" i="31" s="1"/>
  <c r="IF90" i="31" s="1"/>
  <c r="KH90" i="31" s="1"/>
  <c r="JB90" i="31"/>
  <c r="BB91" i="31"/>
  <c r="EQ90" i="31"/>
  <c r="DW90" i="31"/>
  <c r="DU91" i="31" s="1"/>
  <c r="ER91" i="31"/>
  <c r="IU90" i="31"/>
  <c r="IV90" i="31" s="1"/>
  <c r="IW90" i="31" l="1"/>
  <c r="KB90" i="31" s="1"/>
  <c r="EU91" i="31"/>
  <c r="BC91" i="31"/>
  <c r="IX90" i="31"/>
  <c r="KK90" i="31"/>
  <c r="IM90" i="31"/>
  <c r="GM90" i="31"/>
  <c r="DB90" i="31"/>
  <c r="DC90" i="31" s="1"/>
  <c r="DD91" i="31" s="1"/>
  <c r="DE92" i="31" s="1"/>
  <c r="KI91" i="31"/>
  <c r="IN90" i="31"/>
  <c r="DF90" i="31"/>
  <c r="GT92" i="31" l="1"/>
  <c r="DT90" i="31"/>
  <c r="DZ90" i="31" s="1"/>
  <c r="GR90" i="31"/>
  <c r="BD91" i="31"/>
  <c r="BE91" i="31"/>
  <c r="GV90" i="31"/>
  <c r="FD90" i="31"/>
  <c r="GU90" i="31"/>
  <c r="KJ91" i="31"/>
  <c r="BF91" i="31" l="1"/>
  <c r="BG91" i="31"/>
  <c r="GS90" i="31"/>
  <c r="IS90" i="31"/>
  <c r="FL91" i="31"/>
  <c r="JH90" i="31" l="1"/>
  <c r="JI90" i="31" s="1"/>
  <c r="IT90" i="31"/>
  <c r="GY90" i="31"/>
  <c r="GW90" i="31"/>
  <c r="HC90" i="31" s="1"/>
  <c r="FA91" i="31" s="1"/>
  <c r="HB91" i="31" s="1"/>
  <c r="GX90" i="31"/>
  <c r="FM91" i="31"/>
  <c r="BI91" i="31"/>
  <c r="BK91" i="31" s="1"/>
  <c r="BH91" i="31"/>
  <c r="BJ91" i="31" l="1"/>
  <c r="EG90" i="31"/>
  <c r="EH91" i="31" s="1"/>
  <c r="EI91" i="31" s="1"/>
  <c r="FK91" i="31" s="1"/>
  <c r="EY90" i="31"/>
  <c r="HM90" i="31"/>
  <c r="HK91" i="31"/>
  <c r="BL91" i="31"/>
  <c r="BM91" i="31"/>
  <c r="JK90" i="31"/>
  <c r="JZ90" i="31" s="1"/>
  <c r="KF90" i="31" s="1"/>
  <c r="IQ91" i="31" s="1"/>
  <c r="JM90" i="31" l="1"/>
  <c r="KD90" i="31" s="1"/>
  <c r="IL91" i="31" s="1"/>
  <c r="JE91" i="31" s="1"/>
  <c r="ED90" i="31"/>
  <c r="EB91" i="31" s="1"/>
  <c r="IY91" i="31" s="1"/>
  <c r="EE90" i="31"/>
  <c r="EF91" i="31" s="1"/>
  <c r="EJ90" i="31"/>
  <c r="EK91" i="31" s="1"/>
  <c r="JN90" i="31"/>
  <c r="JV90" i="31" s="1"/>
  <c r="JF91" i="31" s="1"/>
  <c r="JL90" i="31"/>
  <c r="JJ91" i="31" s="1"/>
  <c r="KA91" i="31"/>
  <c r="EZ90" i="31"/>
  <c r="DG90" i="31"/>
  <c r="DH90" i="31" s="1"/>
  <c r="DI91" i="31" s="1"/>
  <c r="BO91" i="31"/>
  <c r="BN91" i="31"/>
  <c r="IR91" i="31" l="1"/>
  <c r="DJ91" i="31"/>
  <c r="DK91" i="31" s="1"/>
  <c r="GZ91" i="31"/>
  <c r="IE91" i="31" s="1"/>
  <c r="JY91" i="31"/>
  <c r="JW91" i="31"/>
  <c r="FC91" i="31"/>
  <c r="EO91" i="31"/>
  <c r="ES92" i="31" s="1"/>
  <c r="EL91" i="31"/>
  <c r="EP91" i="31"/>
  <c r="ET92" i="31" s="1"/>
  <c r="EV91" i="31"/>
  <c r="IO91" i="31"/>
  <c r="JP91" i="31" s="1"/>
  <c r="JQ91" i="31" s="1"/>
  <c r="IP91" i="31"/>
  <c r="JO91" i="31"/>
  <c r="JA91" i="31"/>
  <c r="HZ91" i="31"/>
  <c r="DP91" i="31"/>
  <c r="JC91" i="31"/>
  <c r="JD91" i="31"/>
  <c r="BP91" i="31"/>
  <c r="BQ91" i="31" s="1"/>
  <c r="KG91" i="31" l="1"/>
  <c r="BR91" i="31"/>
  <c r="BS91" i="31"/>
  <c r="EC91" i="31"/>
  <c r="JX91" i="31"/>
  <c r="FQ91" i="31"/>
  <c r="DX91" i="31"/>
  <c r="DM91" i="31"/>
  <c r="BT91" i="31" l="1"/>
  <c r="BU91" i="31"/>
  <c r="FB91" i="31"/>
  <c r="EX91" i="31"/>
  <c r="M91" i="31" s="1"/>
  <c r="DL91" i="31"/>
  <c r="L92" i="31"/>
  <c r="MB91" i="31" l="1"/>
  <c r="NM91" i="31" s="1"/>
  <c r="NN91" i="31" s="1"/>
  <c r="MJ91" i="31"/>
  <c r="NS91" i="31" s="1"/>
  <c r="BV91" i="31"/>
  <c r="BW91" i="31" s="1"/>
  <c r="BX91" i="31" l="1"/>
  <c r="BY91" i="31"/>
  <c r="NT91" i="31"/>
  <c r="OU92" i="31"/>
  <c r="OV92" i="31"/>
  <c r="NW91" i="31"/>
  <c r="FV91" i="31" l="1"/>
  <c r="FR91" i="31"/>
  <c r="CX91" i="31"/>
  <c r="NU91" i="31"/>
  <c r="NX91" i="31"/>
  <c r="BZ91" i="31"/>
  <c r="CA91" i="31"/>
  <c r="CC91" i="31" s="1"/>
  <c r="CB91" i="31" l="1"/>
  <c r="NV91" i="31"/>
  <c r="CD91" i="31"/>
  <c r="CE91" i="31"/>
  <c r="NY91" i="31"/>
  <c r="NZ91" i="31"/>
  <c r="MY91" i="31"/>
  <c r="CY92" i="31"/>
  <c r="OF91" i="31"/>
  <c r="OS92" i="31" s="1"/>
  <c r="OI91" i="31" l="1"/>
  <c r="OW91" i="31" s="1"/>
  <c r="OA91" i="31"/>
  <c r="MV92" i="31" s="1"/>
  <c r="OG92" i="31" s="1"/>
  <c r="OM92" i="31"/>
  <c r="OO92" i="31"/>
  <c r="NF92" i="31"/>
  <c r="CF91" i="31"/>
  <c r="CG91" i="31"/>
  <c r="MZ92" i="31"/>
  <c r="OZ91" i="31"/>
  <c r="OB91" i="31"/>
  <c r="OT92" i="31" s="1"/>
  <c r="KT92" i="31" l="1"/>
  <c r="KM92" i="31" s="1"/>
  <c r="KO93" i="31" s="1"/>
  <c r="MR92" i="31"/>
  <c r="MS92" i="31" s="1"/>
  <c r="OX92" i="31"/>
  <c r="OJ91" i="31"/>
  <c r="MW92" i="31" s="1"/>
  <c r="OC91" i="31"/>
  <c r="OD92" i="31" s="1"/>
  <c r="OH92" i="31" s="1"/>
  <c r="OK92" i="31" s="1"/>
  <c r="PA91" i="31"/>
  <c r="CH91" i="31"/>
  <c r="CI91" i="31" s="1"/>
  <c r="KL92" i="31" l="1"/>
  <c r="KN93" i="31" s="1"/>
  <c r="KQ92" i="31" s="1"/>
  <c r="CJ91" i="31"/>
  <c r="CO91" i="31" s="1"/>
  <c r="CK91" i="31"/>
  <c r="CL91" i="31" s="1"/>
  <c r="OY92" i="31"/>
  <c r="NJ92" i="31"/>
  <c r="MT92" i="31"/>
  <c r="NP92" i="31"/>
  <c r="MO92" i="31"/>
  <c r="NQ92" i="31"/>
  <c r="MU92" i="31"/>
  <c r="NH93" i="31"/>
  <c r="NI93" i="31" s="1"/>
  <c r="PE92" i="31"/>
  <c r="KR92" i="31"/>
  <c r="MX92" i="31"/>
  <c r="KP93" i="31" l="1"/>
  <c r="CM91" i="31"/>
  <c r="CN91" i="31" s="1"/>
  <c r="CP91" i="31" s="1"/>
  <c r="NK92" i="31"/>
  <c r="NL92" i="31"/>
  <c r="NG93" i="31"/>
  <c r="OQ93" i="31"/>
  <c r="KS92" i="31"/>
  <c r="NB92" i="31"/>
  <c r="NA92" i="31"/>
  <c r="NR92" i="31"/>
  <c r="OR93" i="31" l="1"/>
  <c r="FE91" i="31"/>
  <c r="FF91" i="31" s="1"/>
  <c r="DQ91" i="31"/>
  <c r="DR91" i="31" s="1"/>
  <c r="HO91" i="31"/>
  <c r="FZ91" i="31"/>
  <c r="GA91" i="31" s="1"/>
  <c r="GB91" i="31"/>
  <c r="GC91" i="31" s="1"/>
  <c r="GO91" i="31"/>
  <c r="FX91" i="31"/>
  <c r="FY91" i="31" s="1"/>
  <c r="JR91" i="31"/>
  <c r="JS91" i="31" s="1"/>
  <c r="CQ91" i="31"/>
  <c r="FU91" i="31"/>
  <c r="FW91" i="31" s="1"/>
  <c r="FH91" i="31"/>
  <c r="FI91" i="31" s="1"/>
  <c r="FP91" i="31"/>
  <c r="FS91" i="31" s="1"/>
  <c r="KX91" i="31"/>
  <c r="KU91" i="31"/>
  <c r="NC93" i="31"/>
  <c r="MQ93" i="31"/>
  <c r="GN91" i="31" l="1"/>
  <c r="GQ91" i="31" s="1"/>
  <c r="IA91" i="31"/>
  <c r="IB91" i="31" s="1"/>
  <c r="HP91" i="31"/>
  <c r="IZ91" i="31"/>
  <c r="DS91" i="31"/>
  <c r="CT91" i="31"/>
  <c r="CS91" i="31"/>
  <c r="CR91" i="31"/>
  <c r="FG92" i="31"/>
  <c r="HW91" i="31"/>
  <c r="HX92" i="31" s="1"/>
  <c r="DY91" i="31"/>
  <c r="HY91" i="31"/>
  <c r="HA91" i="31"/>
  <c r="JU91" i="31"/>
  <c r="KC91" i="31"/>
  <c r="KE91" i="31"/>
  <c r="JT92" i="31"/>
  <c r="HU91" i="31"/>
  <c r="HV92" i="31" s="1"/>
  <c r="FJ92" i="31"/>
  <c r="KV91" i="31" l="1"/>
  <c r="KW92" i="31" s="1"/>
  <c r="HQ91" i="31"/>
  <c r="HR92" i="31" s="1"/>
  <c r="HT91" i="31"/>
  <c r="HS91" i="31"/>
  <c r="JG91" i="31" s="1"/>
  <c r="AX91" i="31"/>
  <c r="AY92" i="31" s="1"/>
  <c r="EN91" i="31"/>
  <c r="EM91" i="31"/>
  <c r="EW91" i="31" s="1"/>
  <c r="AZ91" i="31"/>
  <c r="BB92" i="31" l="1"/>
  <c r="EQ91" i="31"/>
  <c r="DW91" i="31"/>
  <c r="DU92" i="31" s="1"/>
  <c r="ER92" i="31"/>
  <c r="IU91" i="31"/>
  <c r="IV91" i="31" s="1"/>
  <c r="IC91" i="31"/>
  <c r="ID91" i="31" s="1"/>
  <c r="IF91" i="31" s="1"/>
  <c r="KH91" i="31" s="1"/>
  <c r="JB91" i="31"/>
  <c r="IW91" i="31" l="1"/>
  <c r="KB91" i="31" s="1"/>
  <c r="IX91" i="31"/>
  <c r="KK91" i="31"/>
  <c r="EU92" i="31"/>
  <c r="BC92" i="31"/>
  <c r="GM91" i="31"/>
  <c r="IM91" i="31"/>
  <c r="DB91" i="31"/>
  <c r="DC91" i="31" s="1"/>
  <c r="DD92" i="31" s="1"/>
  <c r="DE93" i="31" s="1"/>
  <c r="KI92" i="31"/>
  <c r="IN91" i="31"/>
  <c r="DF91" i="31"/>
  <c r="GT93" i="31" l="1"/>
  <c r="DT91" i="31"/>
  <c r="DZ91" i="31" s="1"/>
  <c r="GV91" i="31"/>
  <c r="FD91" i="31"/>
  <c r="GU91" i="31"/>
  <c r="GR91" i="31"/>
  <c r="KJ92" i="31"/>
  <c r="BD92" i="31"/>
  <c r="BE92" i="31"/>
  <c r="BG92" i="31" l="1"/>
  <c r="BF92" i="31"/>
  <c r="GS91" i="31"/>
  <c r="IS91" i="31"/>
  <c r="FL92" i="31"/>
  <c r="JH91" i="31" l="1"/>
  <c r="JI91" i="31" s="1"/>
  <c r="IT91" i="31"/>
  <c r="GX91" i="31"/>
  <c r="GW91" i="31"/>
  <c r="HC91" i="31" s="1"/>
  <c r="FA92" i="31" s="1"/>
  <c r="HB92" i="31" s="1"/>
  <c r="GY91" i="31"/>
  <c r="FM92" i="31"/>
  <c r="BI92" i="31"/>
  <c r="BK92" i="31" s="1"/>
  <c r="BH92" i="31"/>
  <c r="BJ92" i="31" l="1"/>
  <c r="EG91" i="31"/>
  <c r="EH92" i="31" s="1"/>
  <c r="EI92" i="31" s="1"/>
  <c r="FK92" i="31" s="1"/>
  <c r="HM91" i="31"/>
  <c r="EY91" i="31"/>
  <c r="HK92" i="31"/>
  <c r="BL92" i="31"/>
  <c r="BM92" i="31"/>
  <c r="JK91" i="31"/>
  <c r="JZ91" i="31" s="1"/>
  <c r="KF91" i="31" s="1"/>
  <c r="IQ92" i="31" s="1"/>
  <c r="JM91" i="31" l="1"/>
  <c r="KD91" i="31" s="1"/>
  <c r="IL92" i="31" s="1"/>
  <c r="JE92" i="31" s="1"/>
  <c r="EZ91" i="31"/>
  <c r="DG91" i="31"/>
  <c r="DH91" i="31" s="1"/>
  <c r="DI92" i="31" s="1"/>
  <c r="JN91" i="31"/>
  <c r="JV91" i="31" s="1"/>
  <c r="JF92" i="31" s="1"/>
  <c r="JL91" i="31"/>
  <c r="JJ92" i="31" s="1"/>
  <c r="KA92" i="31"/>
  <c r="EE91" i="31"/>
  <c r="EF92" i="31" s="1"/>
  <c r="ED91" i="31"/>
  <c r="EB92" i="31" s="1"/>
  <c r="JA92" i="31" s="1"/>
  <c r="EJ91" i="31"/>
  <c r="EK92" i="31" s="1"/>
  <c r="BO92" i="31"/>
  <c r="BN92" i="31"/>
  <c r="JO92" i="31" l="1"/>
  <c r="IP92" i="31"/>
  <c r="IR92" i="31"/>
  <c r="GZ92" i="31"/>
  <c r="IE92" i="31" s="1"/>
  <c r="DJ92" i="31"/>
  <c r="DK92" i="31" s="1"/>
  <c r="IO92" i="31"/>
  <c r="HZ92" i="31"/>
  <c r="KG92" i="31"/>
  <c r="JW92" i="31"/>
  <c r="JY92" i="31"/>
  <c r="EP92" i="31"/>
  <c r="ET93" i="31" s="1"/>
  <c r="EO92" i="31"/>
  <c r="ES93" i="31" s="1"/>
  <c r="EL92" i="31"/>
  <c r="JX92" i="31" s="1"/>
  <c r="FC92" i="31"/>
  <c r="EV92" i="31"/>
  <c r="DP92" i="31"/>
  <c r="JC92" i="31"/>
  <c r="JD92" i="31"/>
  <c r="BP92" i="31"/>
  <c r="BQ92" i="31" s="1"/>
  <c r="IY92" i="31"/>
  <c r="DM92" i="31" l="1"/>
  <c r="DX92" i="31"/>
  <c r="FQ92" i="31"/>
  <c r="BR92" i="31"/>
  <c r="BS92" i="31"/>
  <c r="EC92" i="31"/>
  <c r="JP92" i="31"/>
  <c r="JQ92" i="31" s="1"/>
  <c r="BT92" i="31" l="1"/>
  <c r="BU92" i="31"/>
  <c r="EX92" i="31"/>
  <c r="M92" i="31" s="1"/>
  <c r="FB92" i="31"/>
  <c r="DL92" i="31"/>
  <c r="L93" i="31"/>
  <c r="BV92" i="31" l="1"/>
  <c r="BW92" i="31" s="1"/>
  <c r="MJ92" i="31"/>
  <c r="NS92" i="31" s="1"/>
  <c r="MB92" i="31"/>
  <c r="NM92" i="31" l="1"/>
  <c r="NN92" i="31" s="1"/>
  <c r="BX92" i="31"/>
  <c r="BY92" i="31"/>
  <c r="NT92" i="31"/>
  <c r="OU93" i="31"/>
  <c r="OV93" i="31" l="1"/>
  <c r="NW92" i="31"/>
  <c r="NX92" i="31" s="1"/>
  <c r="OF92" i="31" s="1"/>
  <c r="OS93" i="31" s="1"/>
  <c r="FV92" i="31"/>
  <c r="CX92" i="31"/>
  <c r="FR92" i="31"/>
  <c r="NU92" i="31"/>
  <c r="BZ92" i="31"/>
  <c r="CA92" i="31"/>
  <c r="CC92" i="31" s="1"/>
  <c r="NY92" i="31" l="1"/>
  <c r="OB92" i="31" s="1"/>
  <c r="OT93" i="31" s="1"/>
  <c r="CD92" i="31"/>
  <c r="CE92" i="31"/>
  <c r="MY92" i="31"/>
  <c r="NZ92" i="31"/>
  <c r="CY93" i="31"/>
  <c r="NV92" i="31"/>
  <c r="CB92" i="31"/>
  <c r="OA92" i="31" l="1"/>
  <c r="MV93" i="31" s="1"/>
  <c r="OG93" i="31" s="1"/>
  <c r="OI92" i="31"/>
  <c r="OW92" i="31"/>
  <c r="OX93" i="31"/>
  <c r="MR93" i="31"/>
  <c r="OJ92" i="31"/>
  <c r="OC92" i="31"/>
  <c r="OD93" i="31" s="1"/>
  <c r="OH93" i="31" s="1"/>
  <c r="OM93" i="31"/>
  <c r="OO93" i="31"/>
  <c r="KT93" i="31" s="1"/>
  <c r="NF93" i="31"/>
  <c r="CF92" i="31"/>
  <c r="CG92" i="31"/>
  <c r="PA92" i="31"/>
  <c r="MZ93" i="31"/>
  <c r="OZ92" i="31"/>
  <c r="OK93" i="31" l="1"/>
  <c r="KL93" i="31"/>
  <c r="KN94" i="31" s="1"/>
  <c r="KM93" i="31"/>
  <c r="KO94" i="31" s="1"/>
  <c r="MW93" i="31"/>
  <c r="OY93" i="31"/>
  <c r="MS93" i="31"/>
  <c r="CH92" i="31"/>
  <c r="CI92" i="31" s="1"/>
  <c r="CJ92" i="31" l="1"/>
  <c r="CO92" i="31" s="1"/>
  <c r="CK92" i="31"/>
  <c r="CL92" i="31" s="1"/>
  <c r="MX93" i="31"/>
  <c r="KP94" i="31"/>
  <c r="KR93" i="31"/>
  <c r="MU93" i="31"/>
  <c r="MT93" i="31"/>
  <c r="NH94" i="31"/>
  <c r="NI94" i="31" s="1"/>
  <c r="NP93" i="31"/>
  <c r="MO93" i="31"/>
  <c r="NJ93" i="31"/>
  <c r="NQ93" i="31"/>
  <c r="PE93" i="31"/>
  <c r="KQ93" i="31"/>
  <c r="CM92" i="31" l="1"/>
  <c r="CN92" i="31" s="1"/>
  <c r="CP92" i="31" s="1"/>
  <c r="KS93" i="31"/>
  <c r="NR93" i="31"/>
  <c r="NL93" i="31"/>
  <c r="NK93" i="31"/>
  <c r="NG94" i="31"/>
  <c r="OQ94" i="31"/>
  <c r="NB93" i="31"/>
  <c r="NA93" i="31"/>
  <c r="OR94" i="31" l="1"/>
  <c r="NC94" i="31"/>
  <c r="MQ94" i="31"/>
  <c r="FE92" i="31"/>
  <c r="FF92" i="31" s="1"/>
  <c r="FP92" i="31"/>
  <c r="FS92" i="31" s="1"/>
  <c r="FX92" i="31"/>
  <c r="FY92" i="31" s="1"/>
  <c r="JR92" i="31"/>
  <c r="JS92" i="31" s="1"/>
  <c r="DQ92" i="31"/>
  <c r="DR92" i="31" s="1"/>
  <c r="GB92" i="31"/>
  <c r="GC92" i="31" s="1"/>
  <c r="GO92" i="31"/>
  <c r="HO92" i="31"/>
  <c r="CQ92" i="31"/>
  <c r="FU92" i="31"/>
  <c r="FW92" i="31" s="1"/>
  <c r="FZ92" i="31"/>
  <c r="GA92" i="31" s="1"/>
  <c r="FH92" i="31"/>
  <c r="FI92" i="31" s="1"/>
  <c r="KX92" i="31"/>
  <c r="KU92" i="31"/>
  <c r="GN92" i="31" l="1"/>
  <c r="GQ92" i="31" s="1"/>
  <c r="FG93" i="31"/>
  <c r="HW92" i="31"/>
  <c r="HX93" i="31" s="1"/>
  <c r="HP92" i="31"/>
  <c r="IA92" i="31"/>
  <c r="IB92" i="31" s="1"/>
  <c r="IZ92" i="31"/>
  <c r="CR92" i="31"/>
  <c r="CT92" i="31"/>
  <c r="CS92" i="31"/>
  <c r="DS92" i="31"/>
  <c r="HU92" i="31"/>
  <c r="HV93" i="31" s="1"/>
  <c r="FJ93" i="31"/>
  <c r="JU92" i="31"/>
  <c r="KE92" i="31"/>
  <c r="KC92" i="31"/>
  <c r="JT93" i="31"/>
  <c r="DY92" i="31"/>
  <c r="HA92" i="31"/>
  <c r="HY92" i="31"/>
  <c r="KV92" i="31" l="1"/>
  <c r="KW93" i="31" s="1"/>
  <c r="HQ92" i="31"/>
  <c r="HR93" i="31" s="1"/>
  <c r="HS92" i="31"/>
  <c r="JG92" i="31" s="1"/>
  <c r="HT92" i="31"/>
  <c r="AX92" i="31"/>
  <c r="AY93" i="31" s="1"/>
  <c r="AZ92" i="31"/>
  <c r="EN92" i="31"/>
  <c r="EM92" i="31"/>
  <c r="EW92" i="31" s="1"/>
  <c r="BB93" i="31" l="1"/>
  <c r="EQ92" i="31"/>
  <c r="DW92" i="31"/>
  <c r="DU93" i="31" s="1"/>
  <c r="ER93" i="31"/>
  <c r="IU92" i="31"/>
  <c r="IV92" i="31" s="1"/>
  <c r="IC92" i="31"/>
  <c r="ID92" i="31" s="1"/>
  <c r="IF92" i="31" s="1"/>
  <c r="KH92" i="31" s="1"/>
  <c r="JB92" i="31"/>
  <c r="IW92" i="31" l="1"/>
  <c r="KB92" i="31" s="1"/>
  <c r="EU93" i="31"/>
  <c r="IX92" i="31"/>
  <c r="KK92" i="31"/>
  <c r="BC93" i="31"/>
  <c r="IM92" i="31"/>
  <c r="DB92" i="31"/>
  <c r="DC92" i="31" s="1"/>
  <c r="DD93" i="31" s="1"/>
  <c r="DE94" i="31" s="1"/>
  <c r="GM92" i="31"/>
  <c r="KI93" i="31"/>
  <c r="IN92" i="31"/>
  <c r="DF92" i="31"/>
  <c r="DT92" i="31" l="1"/>
  <c r="DZ92" i="31" s="1"/>
  <c r="GT94" i="31"/>
  <c r="KJ93" i="31"/>
  <c r="FD92" i="31"/>
  <c r="GV92" i="31"/>
  <c r="GU92" i="31"/>
  <c r="GR92" i="31"/>
  <c r="BE93" i="31"/>
  <c r="BD93" i="31"/>
  <c r="GS92" i="31" l="1"/>
  <c r="IS92" i="31"/>
  <c r="FL93" i="31"/>
  <c r="BF93" i="31"/>
  <c r="BG93" i="31"/>
  <c r="BH93" i="31" l="1"/>
  <c r="BI93" i="31"/>
  <c r="BK93" i="31" s="1"/>
  <c r="JH92" i="31"/>
  <c r="JI92" i="31" s="1"/>
  <c r="IT92" i="31"/>
  <c r="GX92" i="31"/>
  <c r="GW92" i="31"/>
  <c r="HC92" i="31" s="1"/>
  <c r="FA93" i="31" s="1"/>
  <c r="HB93" i="31" s="1"/>
  <c r="GY92" i="31"/>
  <c r="FM93" i="31"/>
  <c r="BJ93" i="31" l="1"/>
  <c r="JK92" i="31"/>
  <c r="JZ92" i="31" s="1"/>
  <c r="KF92" i="31" s="1"/>
  <c r="IQ93" i="31" s="1"/>
  <c r="BL93" i="31"/>
  <c r="BM93" i="31"/>
  <c r="EG92" i="31"/>
  <c r="EH93" i="31" s="1"/>
  <c r="EI93" i="31" s="1"/>
  <c r="FK93" i="31" s="1"/>
  <c r="HM92" i="31"/>
  <c r="EY92" i="31"/>
  <c r="HK93" i="31"/>
  <c r="JM92" i="31" l="1"/>
  <c r="KD92" i="31" s="1"/>
  <c r="IL93" i="31" s="1"/>
  <c r="IR93" i="31" s="1"/>
  <c r="JN92" i="31"/>
  <c r="JV92" i="31" s="1"/>
  <c r="JF93" i="31" s="1"/>
  <c r="JL92" i="31"/>
  <c r="JJ93" i="31" s="1"/>
  <c r="KA93" i="31"/>
  <c r="BO93" i="31"/>
  <c r="BN93" i="31"/>
  <c r="EZ92" i="31"/>
  <c r="DG92" i="31"/>
  <c r="DH92" i="31" s="1"/>
  <c r="DI93" i="31" s="1"/>
  <c r="EJ92" i="31"/>
  <c r="EK93" i="31" s="1"/>
  <c r="ED92" i="31"/>
  <c r="EB93" i="31" s="1"/>
  <c r="EE92" i="31"/>
  <c r="EF93" i="31" s="1"/>
  <c r="IP93" i="31" l="1"/>
  <c r="JO93" i="31"/>
  <c r="JE93" i="31"/>
  <c r="IO93" i="31"/>
  <c r="BP93" i="31"/>
  <c r="BQ93" i="31" s="1"/>
  <c r="DP93" i="31"/>
  <c r="HZ93" i="31"/>
  <c r="EP93" i="31"/>
  <c r="ET94" i="31" s="1"/>
  <c r="EL93" i="31"/>
  <c r="FC93" i="31"/>
  <c r="EO93" i="31"/>
  <c r="ES94" i="31" s="1"/>
  <c r="EV93" i="31"/>
  <c r="JA93" i="31"/>
  <c r="DJ93" i="31"/>
  <c r="DK93" i="31" s="1"/>
  <c r="GZ93" i="31"/>
  <c r="KG93" i="31" s="1"/>
  <c r="JC93" i="31"/>
  <c r="JD93" i="31"/>
  <c r="JW93" i="31"/>
  <c r="JY93" i="31"/>
  <c r="IY93" i="31"/>
  <c r="JP93" i="31" l="1"/>
  <c r="JQ93" i="31" s="1"/>
  <c r="EC93" i="31"/>
  <c r="BR93" i="31"/>
  <c r="BS93" i="31"/>
  <c r="FQ93" i="31"/>
  <c r="DX93" i="31"/>
  <c r="DM93" i="31"/>
  <c r="IE93" i="31"/>
  <c r="JX93" i="31"/>
  <c r="BT93" i="31" l="1"/>
  <c r="BU93" i="31"/>
  <c r="BV93" i="31" s="1"/>
  <c r="BW93" i="31" s="1"/>
  <c r="FB93" i="31"/>
  <c r="EX93" i="31"/>
  <c r="M93" i="31" s="1"/>
  <c r="DL93" i="31"/>
  <c r="L94" i="31"/>
  <c r="BY93" i="31" l="1"/>
  <c r="BX93" i="31"/>
  <c r="MJ93" i="31"/>
  <c r="NS93" i="31" s="1"/>
  <c r="MB93" i="31"/>
  <c r="NM93" i="31" l="1"/>
  <c r="NN93" i="31" s="1"/>
  <c r="NT93" i="31"/>
  <c r="OU94" i="31"/>
  <c r="BZ93" i="31"/>
  <c r="CA93" i="31"/>
  <c r="OV94" i="31" l="1"/>
  <c r="NW93" i="31"/>
  <c r="NX93" i="31" s="1"/>
  <c r="OF93" i="31" s="1"/>
  <c r="OS94" i="31" s="1"/>
  <c r="CB93" i="31"/>
  <c r="CC93" i="31" s="1"/>
  <c r="FV93" i="31"/>
  <c r="CX93" i="31"/>
  <c r="FR93" i="31"/>
  <c r="NU93" i="31"/>
  <c r="CE93" i="31" l="1"/>
  <c r="CF93" i="31" s="1"/>
  <c r="CD93" i="31"/>
  <c r="NY93" i="31"/>
  <c r="OB93" i="31" s="1"/>
  <c r="OT94" i="31" s="1"/>
  <c r="NV93" i="31"/>
  <c r="MY93" i="31"/>
  <c r="NZ93" i="31"/>
  <c r="CY94" i="31"/>
  <c r="CG93" i="31" l="1"/>
  <c r="CH93" i="31" s="1"/>
  <c r="CI93" i="31" s="1"/>
  <c r="OA93" i="31"/>
  <c r="MV94" i="31" s="1"/>
  <c r="OG94" i="31" s="1"/>
  <c r="PA93" i="31"/>
  <c r="OC93" i="31"/>
  <c r="OD94" i="31" s="1"/>
  <c r="OH94" i="31" s="1"/>
  <c r="OJ93" i="31"/>
  <c r="OM94" i="31"/>
  <c r="OO94" i="31"/>
  <c r="NF94" i="31"/>
  <c r="MZ94" i="31"/>
  <c r="OZ93" i="31"/>
  <c r="OI93" i="31"/>
  <c r="CJ93" i="31" l="1"/>
  <c r="CO93" i="31" s="1"/>
  <c r="CK93" i="31"/>
  <c r="CL93" i="31" s="1"/>
  <c r="KT94" i="31"/>
  <c r="KM94" i="31" s="1"/>
  <c r="KO95" i="31" s="1"/>
  <c r="OK94" i="31"/>
  <c r="MR94" i="31"/>
  <c r="OX94" i="31"/>
  <c r="OW93" i="31"/>
  <c r="MW94" i="31"/>
  <c r="OY94" i="31"/>
  <c r="KL94" i="31" l="1"/>
  <c r="KN95" i="31" s="1"/>
  <c r="KQ94" i="31" s="1"/>
  <c r="CM93" i="31"/>
  <c r="CN93" i="31" s="1"/>
  <c r="CP93" i="31" s="1"/>
  <c r="KR94" i="31"/>
  <c r="MX94" i="31"/>
  <c r="MS94" i="31"/>
  <c r="KP95" i="31" l="1"/>
  <c r="KS94" i="31"/>
  <c r="NP94" i="31"/>
  <c r="MO94" i="31"/>
  <c r="NQ94" i="31"/>
  <c r="MU94" i="31"/>
  <c r="MT94" i="31"/>
  <c r="NJ94" i="31"/>
  <c r="NH95" i="31"/>
  <c r="NI95" i="31" s="1"/>
  <c r="PE94" i="31"/>
  <c r="FX93" i="31"/>
  <c r="FY93" i="31" s="1"/>
  <c r="HO93" i="31"/>
  <c r="DQ93" i="31"/>
  <c r="DR93" i="31" s="1"/>
  <c r="FZ93" i="31"/>
  <c r="GA93" i="31" s="1"/>
  <c r="GO93" i="31"/>
  <c r="FH93" i="31"/>
  <c r="FI93" i="31" s="1"/>
  <c r="JR93" i="31"/>
  <c r="JS93" i="31" s="1"/>
  <c r="CQ93" i="31"/>
  <c r="FP93" i="31"/>
  <c r="FS93" i="31" s="1"/>
  <c r="FU93" i="31"/>
  <c r="FW93" i="31" s="1"/>
  <c r="FE93" i="31"/>
  <c r="FF93" i="31" s="1"/>
  <c r="GB93" i="31"/>
  <c r="GC93" i="31" s="1"/>
  <c r="KX93" i="31"/>
  <c r="GN93" i="31" s="1"/>
  <c r="KU93" i="31"/>
  <c r="NA94" i="31"/>
  <c r="NB94" i="31"/>
  <c r="NR94" i="31" l="1"/>
  <c r="HU93" i="31"/>
  <c r="HV94" i="31" s="1"/>
  <c r="FJ94" i="31"/>
  <c r="GQ93" i="31"/>
  <c r="KV93" i="31"/>
  <c r="NK94" i="31"/>
  <c r="NL94" i="31"/>
  <c r="NG95" i="31"/>
  <c r="OQ95" i="31"/>
  <c r="CT93" i="31"/>
  <c r="CR93" i="31"/>
  <c r="CS93" i="31"/>
  <c r="DS93" i="31"/>
  <c r="HW93" i="31"/>
  <c r="HX94" i="31" s="1"/>
  <c r="FG94" i="31"/>
  <c r="IA93" i="31"/>
  <c r="IB93" i="31" s="1"/>
  <c r="HP93" i="31"/>
  <c r="IZ93" i="31"/>
  <c r="KC93" i="31"/>
  <c r="JU93" i="31"/>
  <c r="KE93" i="31"/>
  <c r="JT94" i="31"/>
  <c r="HY93" i="31"/>
  <c r="HA93" i="31"/>
  <c r="DY93" i="31"/>
  <c r="KW94" i="31" l="1"/>
  <c r="HQ93" i="31"/>
  <c r="HR94" i="31" s="1"/>
  <c r="OR95" i="31"/>
  <c r="NC95" i="31"/>
  <c r="MQ95" i="31"/>
  <c r="HT93" i="31"/>
  <c r="HS93" i="31"/>
  <c r="JG93" i="31" s="1"/>
  <c r="AX93" i="31"/>
  <c r="AY94" i="31" s="1"/>
  <c r="AZ93" i="31"/>
  <c r="EM93" i="31"/>
  <c r="EW93" i="31" s="1"/>
  <c r="EN93" i="31"/>
  <c r="IC93" i="31" l="1"/>
  <c r="ID93" i="31" s="1"/>
  <c r="IF93" i="31" s="1"/>
  <c r="KH93" i="31" s="1"/>
  <c r="JB93" i="31"/>
  <c r="BB94" i="31"/>
  <c r="DW93" i="31"/>
  <c r="DU94" i="31" s="1"/>
  <c r="EQ93" i="31"/>
  <c r="ER94" i="31"/>
  <c r="IU93" i="31"/>
  <c r="IV93" i="31" s="1"/>
  <c r="IW93" i="31" l="1"/>
  <c r="KB93" i="31" s="1"/>
  <c r="BC94" i="31"/>
  <c r="IX93" i="31"/>
  <c r="KK93" i="31"/>
  <c r="IM93" i="31"/>
  <c r="DB93" i="31"/>
  <c r="DC93" i="31" s="1"/>
  <c r="DD94" i="31" s="1"/>
  <c r="DE95" i="31" s="1"/>
  <c r="GM93" i="31"/>
  <c r="KI94" i="31"/>
  <c r="IN93" i="31"/>
  <c r="DF93" i="31"/>
  <c r="EU94" i="31"/>
  <c r="DT93" i="31" l="1"/>
  <c r="DZ93" i="31" s="1"/>
  <c r="KJ94" i="31"/>
  <c r="GR93" i="31"/>
  <c r="GT95" i="31"/>
  <c r="FD93" i="31"/>
  <c r="GU93" i="31"/>
  <c r="GV93" i="31"/>
  <c r="BD94" i="31"/>
  <c r="BE94" i="31"/>
  <c r="GS93" i="31" l="1"/>
  <c r="BF94" i="31"/>
  <c r="BG94" i="31"/>
  <c r="IS93" i="31"/>
  <c r="FL94" i="31"/>
  <c r="FM94" i="31" l="1"/>
  <c r="JH93" i="31"/>
  <c r="JI93" i="31" s="1"/>
  <c r="IT93" i="31"/>
  <c r="BI94" i="31"/>
  <c r="BK94" i="31" s="1"/>
  <c r="BH94" i="31"/>
  <c r="GY93" i="31"/>
  <c r="GW93" i="31"/>
  <c r="HC93" i="31" s="1"/>
  <c r="FA94" i="31" s="1"/>
  <c r="HB94" i="31" s="1"/>
  <c r="GX93" i="31"/>
  <c r="BJ94" i="31" l="1"/>
  <c r="BL94" i="31"/>
  <c r="BM94" i="31"/>
  <c r="EG93" i="31"/>
  <c r="EH94" i="31" s="1"/>
  <c r="EI94" i="31" s="1"/>
  <c r="FK94" i="31" s="1"/>
  <c r="EY93" i="31"/>
  <c r="HM93" i="31"/>
  <c r="HK94" i="31"/>
  <c r="JK93" i="31"/>
  <c r="JN93" i="31" s="1"/>
  <c r="JV93" i="31" s="1"/>
  <c r="JF94" i="31" s="1"/>
  <c r="JM93" i="31" l="1"/>
  <c r="KD93" i="31" s="1"/>
  <c r="IL94" i="31" s="1"/>
  <c r="EZ93" i="31"/>
  <c r="DG93" i="31"/>
  <c r="DH93" i="31" s="1"/>
  <c r="DI94" i="31" s="1"/>
  <c r="EJ93" i="31"/>
  <c r="EK94" i="31" s="1"/>
  <c r="EE93" i="31"/>
  <c r="EF94" i="31" s="1"/>
  <c r="ED93" i="31"/>
  <c r="EB94" i="31" s="1"/>
  <c r="JY94" i="31"/>
  <c r="JW94" i="31"/>
  <c r="BO94" i="31"/>
  <c r="BN94" i="31"/>
  <c r="JZ93" i="31"/>
  <c r="KF93" i="31" s="1"/>
  <c r="IQ94" i="31" s="1"/>
  <c r="JL93" i="31"/>
  <c r="JJ94" i="31" s="1"/>
  <c r="KA94" i="31"/>
  <c r="IP94" i="31" l="1"/>
  <c r="IO94" i="31"/>
  <c r="JA94" i="31"/>
  <c r="JO94" i="31"/>
  <c r="IR94" i="31"/>
  <c r="IY94" i="31"/>
  <c r="JE94" i="31"/>
  <c r="FC94" i="31"/>
  <c r="EO94" i="31"/>
  <c r="ES95" i="31" s="1"/>
  <c r="EP94" i="31"/>
  <c r="ET95" i="31" s="1"/>
  <c r="EL94" i="31"/>
  <c r="EV94" i="31"/>
  <c r="DJ94" i="31"/>
  <c r="DK94" i="31" s="1"/>
  <c r="GZ94" i="31"/>
  <c r="IE94" i="31" s="1"/>
  <c r="JC94" i="31"/>
  <c r="JD94" i="31"/>
  <c r="HZ94" i="31"/>
  <c r="BP94" i="31"/>
  <c r="BQ94" i="31" s="1"/>
  <c r="DP94" i="31"/>
  <c r="JP94" i="31" l="1"/>
  <c r="JQ94" i="31" s="1"/>
  <c r="JX94" i="31"/>
  <c r="KG94" i="31"/>
  <c r="FQ94" i="31"/>
  <c r="DX94" i="31"/>
  <c r="DM94" i="31"/>
  <c r="EC94" i="31"/>
  <c r="BR94" i="31"/>
  <c r="BS94" i="31"/>
  <c r="DL94" i="31" l="1"/>
  <c r="L95" i="31"/>
  <c r="FB94" i="31"/>
  <c r="EX94" i="31"/>
  <c r="M94" i="31" s="1"/>
  <c r="BT94" i="31"/>
  <c r="BU94" i="31"/>
  <c r="BV94" i="31" l="1"/>
  <c r="BW94" i="31" s="1"/>
  <c r="MB94" i="31"/>
  <c r="MJ94" i="31"/>
  <c r="NS94" i="31" s="1"/>
  <c r="NM94" i="31" l="1"/>
  <c r="NN94" i="31" s="1"/>
  <c r="NT94" i="31"/>
  <c r="OU95" i="31"/>
  <c r="BX94" i="31"/>
  <c r="BY94" i="31"/>
  <c r="OV95" i="31" l="1"/>
  <c r="NW94" i="31"/>
  <c r="NX94" i="31" s="1"/>
  <c r="OF94" i="31" s="1"/>
  <c r="OS95" i="31" s="1"/>
  <c r="BZ94" i="31"/>
  <c r="CA94" i="31"/>
  <c r="FV94" i="31"/>
  <c r="FR94" i="31"/>
  <c r="CX94" i="31"/>
  <c r="NU94" i="31"/>
  <c r="NY94" i="31" l="1"/>
  <c r="OB94" i="31" s="1"/>
  <c r="OT95" i="31" s="1"/>
  <c r="MY94" i="31"/>
  <c r="NZ94" i="31"/>
  <c r="CY95" i="31"/>
  <c r="NV94" i="31"/>
  <c r="CB94" i="31"/>
  <c r="CC94" i="31" s="1"/>
  <c r="OA94" i="31" l="1"/>
  <c r="MV95" i="31" s="1"/>
  <c r="OG95" i="31" s="1"/>
  <c r="CD94" i="31"/>
  <c r="CE94" i="31"/>
  <c r="CF94" i="31" s="1"/>
  <c r="OM95" i="31"/>
  <c r="NF95" i="31"/>
  <c r="OO95" i="31"/>
  <c r="OC94" i="31"/>
  <c r="OD95" i="31" s="1"/>
  <c r="OH95" i="31" s="1"/>
  <c r="MZ95" i="31"/>
  <c r="OZ94" i="31"/>
  <c r="OI94" i="31"/>
  <c r="OJ94" i="31"/>
  <c r="PA94" i="31"/>
  <c r="OK95" i="31" l="1"/>
  <c r="KT95" i="31"/>
  <c r="CG94" i="31"/>
  <c r="CH94" i="31" s="1"/>
  <c r="CI94" i="31" s="1"/>
  <c r="KL95" i="31"/>
  <c r="KN96" i="31" s="1"/>
  <c r="KM95" i="31"/>
  <c r="KO96" i="31" s="1"/>
  <c r="OY95" i="31"/>
  <c r="MW95" i="31"/>
  <c r="MR95" i="31"/>
  <c r="OW94" i="31"/>
  <c r="OX95" i="31"/>
  <c r="CJ94" i="31" l="1"/>
  <c r="CO94" i="31" s="1"/>
  <c r="CK94" i="31"/>
  <c r="CL94" i="31" s="1"/>
  <c r="MX95" i="31"/>
  <c r="MS95" i="31"/>
  <c r="KP96" i="31"/>
  <c r="KR95" i="31"/>
  <c r="KQ95" i="31"/>
  <c r="CM94" i="31" l="1"/>
  <c r="CN94" i="31" s="1"/>
  <c r="KS95" i="31"/>
  <c r="NJ95" i="31"/>
  <c r="NH96" i="31"/>
  <c r="NI96" i="31" s="1"/>
  <c r="MO95" i="31"/>
  <c r="MU95" i="31"/>
  <c r="NP95" i="31"/>
  <c r="MT95" i="31"/>
  <c r="NQ95" i="31"/>
  <c r="PE95" i="31"/>
  <c r="NA95" i="31"/>
  <c r="NB95" i="31"/>
  <c r="CP94" i="31"/>
  <c r="NR95" i="31" l="1"/>
  <c r="JR94" i="31"/>
  <c r="JS94" i="31" s="1"/>
  <c r="FP94" i="31"/>
  <c r="FS94" i="31" s="1"/>
  <c r="GB94" i="31"/>
  <c r="GC94" i="31" s="1"/>
  <c r="DQ94" i="31"/>
  <c r="DR94" i="31" s="1"/>
  <c r="FU94" i="31"/>
  <c r="FW94" i="31" s="1"/>
  <c r="GO94" i="31"/>
  <c r="FH94" i="31"/>
  <c r="FI94" i="31" s="1"/>
  <c r="HO94" i="31"/>
  <c r="CQ94" i="31"/>
  <c r="FE94" i="31"/>
  <c r="FF94" i="31" s="1"/>
  <c r="FZ94" i="31"/>
  <c r="GA94" i="31" s="1"/>
  <c r="FX94" i="31"/>
  <c r="FY94" i="31" s="1"/>
  <c r="KX94" i="31"/>
  <c r="KU94" i="31"/>
  <c r="NK95" i="31"/>
  <c r="NL95" i="31"/>
  <c r="NG96" i="31"/>
  <c r="OQ96" i="31"/>
  <c r="GN94" i="31" l="1"/>
  <c r="GQ94" i="31" s="1"/>
  <c r="OR96" i="31"/>
  <c r="HW94" i="31"/>
  <c r="HX95" i="31" s="1"/>
  <c r="FG95" i="31"/>
  <c r="CS94" i="31"/>
  <c r="CT94" i="31"/>
  <c r="CR94" i="31"/>
  <c r="JU94" i="31"/>
  <c r="KE94" i="31"/>
  <c r="JT95" i="31"/>
  <c r="KC94" i="31"/>
  <c r="HA94" i="31"/>
  <c r="DY94" i="31"/>
  <c r="HY94" i="31"/>
  <c r="IA94" i="31"/>
  <c r="IB94" i="31" s="1"/>
  <c r="HP94" i="31"/>
  <c r="IZ94" i="31"/>
  <c r="DS94" i="31"/>
  <c r="NC96" i="31"/>
  <c r="MQ96" i="31"/>
  <c r="HU94" i="31"/>
  <c r="HV95" i="31" s="1"/>
  <c r="FJ95" i="31"/>
  <c r="KV94" i="31" l="1"/>
  <c r="KW95" i="31" s="1"/>
  <c r="HQ94" i="31"/>
  <c r="HR95" i="31" s="1"/>
  <c r="HS94" i="31"/>
  <c r="JG94" i="31" s="1"/>
  <c r="HT94" i="31"/>
  <c r="AX94" i="31"/>
  <c r="AY95" i="31" s="1"/>
  <c r="AZ94" i="31"/>
  <c r="EM94" i="31"/>
  <c r="EW94" i="31" s="1"/>
  <c r="EN94" i="31"/>
  <c r="BB95" i="31" l="1"/>
  <c r="EQ94" i="31"/>
  <c r="DW94" i="31"/>
  <c r="DU95" i="31" s="1"/>
  <c r="IW94" i="31"/>
  <c r="ER95" i="31"/>
  <c r="IU94" i="31"/>
  <c r="IV94" i="31" s="1"/>
  <c r="IC94" i="31"/>
  <c r="ID94" i="31" s="1"/>
  <c r="IF94" i="31" s="1"/>
  <c r="KH94" i="31" s="1"/>
  <c r="JB94" i="31"/>
  <c r="KB94" i="31" l="1"/>
  <c r="IX94" i="31"/>
  <c r="KK94" i="31"/>
  <c r="EU95" i="31"/>
  <c r="GM94" i="31"/>
  <c r="IM94" i="31"/>
  <c r="DT94" i="31" s="1"/>
  <c r="DZ94" i="31" s="1"/>
  <c r="DB94" i="31"/>
  <c r="DC94" i="31" s="1"/>
  <c r="DD95" i="31" s="1"/>
  <c r="DE96" i="31" s="1"/>
  <c r="KI95" i="31"/>
  <c r="IN94" i="31"/>
  <c r="DF94" i="31"/>
  <c r="BC95" i="31"/>
  <c r="GT96" i="31" l="1"/>
  <c r="BD95" i="31"/>
  <c r="BE95" i="31"/>
  <c r="GR94" i="31"/>
  <c r="KJ95" i="31"/>
  <c r="FD94" i="31"/>
  <c r="GU94" i="31"/>
  <c r="GV94" i="31"/>
  <c r="BF95" i="31" l="1"/>
  <c r="BG95" i="31"/>
  <c r="GS94" i="31"/>
  <c r="IS94" i="31"/>
  <c r="FL95" i="31"/>
  <c r="FM95" i="31" l="1"/>
  <c r="JH94" i="31"/>
  <c r="JI94" i="31" s="1"/>
  <c r="IT94" i="31"/>
  <c r="GW94" i="31"/>
  <c r="HC94" i="31" s="1"/>
  <c r="FA95" i="31" s="1"/>
  <c r="HB95" i="31" s="1"/>
  <c r="GY94" i="31"/>
  <c r="GX94" i="31"/>
  <c r="BH95" i="31"/>
  <c r="BI95" i="31"/>
  <c r="BK95" i="31" s="1"/>
  <c r="BJ95" i="31" l="1"/>
  <c r="JK94" i="31"/>
  <c r="JM94" i="31" s="1"/>
  <c r="KD94" i="31" s="1"/>
  <c r="IL95" i="31" s="1"/>
  <c r="HM94" i="31"/>
  <c r="EY94" i="31"/>
  <c r="EG94" i="31"/>
  <c r="EH95" i="31" s="1"/>
  <c r="EI95" i="31" s="1"/>
  <c r="FK95" i="31" s="1"/>
  <c r="HK95" i="31"/>
  <c r="BL95" i="31"/>
  <c r="BM95" i="31"/>
  <c r="EZ94" i="31" l="1"/>
  <c r="DG94" i="31"/>
  <c r="DH94" i="31" s="1"/>
  <c r="DI95" i="31" s="1"/>
  <c r="JN94" i="31"/>
  <c r="JV94" i="31" s="1"/>
  <c r="JF95" i="31" s="1"/>
  <c r="JL94" i="31"/>
  <c r="JJ95" i="31" s="1"/>
  <c r="KA95" i="31"/>
  <c r="BN95" i="31"/>
  <c r="BO95" i="31"/>
  <c r="JZ94" i="31"/>
  <c r="KF94" i="31" s="1"/>
  <c r="IQ95" i="31" s="1"/>
  <c r="ED94" i="31"/>
  <c r="EB95" i="31" s="1"/>
  <c r="EJ94" i="31"/>
  <c r="EK95" i="31" s="1"/>
  <c r="EE94" i="31"/>
  <c r="EF95" i="31" s="1"/>
  <c r="IO95" i="31" s="1"/>
  <c r="IP95" i="31" l="1"/>
  <c r="HZ95" i="31"/>
  <c r="JO95" i="31"/>
  <c r="JA95" i="31"/>
  <c r="IR95" i="31"/>
  <c r="KG95" i="31" s="1"/>
  <c r="JE95" i="31"/>
  <c r="IY95" i="31"/>
  <c r="JP95" i="31" s="1"/>
  <c r="JQ95" i="31" s="1"/>
  <c r="JY95" i="31"/>
  <c r="JW95" i="31"/>
  <c r="GZ95" i="31"/>
  <c r="DJ95" i="31"/>
  <c r="DK95" i="31" s="1"/>
  <c r="DP95" i="31"/>
  <c r="EP95" i="31"/>
  <c r="ET96" i="31" s="1"/>
  <c r="EO95" i="31"/>
  <c r="ES96" i="31" s="1"/>
  <c r="IE95" i="31"/>
  <c r="EL95" i="31"/>
  <c r="FC95" i="31"/>
  <c r="EV95" i="31"/>
  <c r="JC95" i="31"/>
  <c r="JD95" i="31"/>
  <c r="BP95" i="31"/>
  <c r="BQ95" i="31" s="1"/>
  <c r="JX95" i="31" l="1"/>
  <c r="EC95" i="31"/>
  <c r="DX95" i="31"/>
  <c r="FQ95" i="31"/>
  <c r="DM95" i="31"/>
  <c r="BR95" i="31"/>
  <c r="BS95" i="31"/>
  <c r="BT95" i="31" l="1"/>
  <c r="BU95" i="31"/>
  <c r="BV95" i="31" s="1"/>
  <c r="BW95" i="31" s="1"/>
  <c r="DL95" i="31"/>
  <c r="L96" i="31"/>
  <c r="EX95" i="31"/>
  <c r="M95" i="31" s="1"/>
  <c r="FB95" i="31"/>
  <c r="BY95" i="31" l="1"/>
  <c r="BX95" i="31"/>
  <c r="MB95" i="31"/>
  <c r="MJ95" i="31"/>
  <c r="NS95" i="31" s="1"/>
  <c r="NM95" i="31" l="1"/>
  <c r="NN95" i="31" s="1"/>
  <c r="NT95" i="31"/>
  <c r="OU96" i="31"/>
  <c r="BZ95" i="31"/>
  <c r="CA95" i="31"/>
  <c r="OV96" i="31" l="1"/>
  <c r="NW95" i="31"/>
  <c r="CX95" i="31"/>
  <c r="FV95" i="31"/>
  <c r="FR95" i="31"/>
  <c r="NU95" i="31"/>
  <c r="CB95" i="31"/>
  <c r="CC95" i="31" s="1"/>
  <c r="NX95" i="31"/>
  <c r="CD95" i="31" l="1"/>
  <c r="CE95" i="31"/>
  <c r="CG95" i="31" s="1"/>
  <c r="NY95" i="31"/>
  <c r="OF95" i="31"/>
  <c r="OS96" i="31" s="1"/>
  <c r="NZ95" i="31"/>
  <c r="MY95" i="31"/>
  <c r="CY96" i="31"/>
  <c r="NV95" i="31"/>
  <c r="CF95" i="31" l="1"/>
  <c r="CH95" i="31"/>
  <c r="CI95" i="31" s="1"/>
  <c r="MZ96" i="31"/>
  <c r="OZ95" i="31"/>
  <c r="OB95" i="31"/>
  <c r="OT96" i="31" s="1"/>
  <c r="OI95" i="31"/>
  <c r="OA95" i="31"/>
  <c r="MV96" i="31" s="1"/>
  <c r="NF96" i="31"/>
  <c r="OM96" i="31"/>
  <c r="OO96" i="31"/>
  <c r="CJ95" i="31" l="1"/>
  <c r="CO95" i="31" s="1"/>
  <c r="CK95" i="31"/>
  <c r="CL95" i="31" s="1"/>
  <c r="PA95" i="31"/>
  <c r="OJ95" i="31"/>
  <c r="OC95" i="31"/>
  <c r="OD96" i="31" s="1"/>
  <c r="OH96" i="31" s="1"/>
  <c r="OG96" i="31"/>
  <c r="KT96" i="31"/>
  <c r="MR96" i="31"/>
  <c r="OX96" i="31"/>
  <c r="OW95" i="31"/>
  <c r="CM95" i="31" l="1"/>
  <c r="CN95" i="31" s="1"/>
  <c r="OK96" i="31"/>
  <c r="KM96" i="31"/>
  <c r="KO97" i="31" s="1"/>
  <c r="KL96" i="31"/>
  <c r="KN97" i="31" s="1"/>
  <c r="OY96" i="31"/>
  <c r="MW96" i="31"/>
  <c r="CP95" i="31"/>
  <c r="MS96" i="31"/>
  <c r="FE95" i="31" l="1"/>
  <c r="FF95" i="31" s="1"/>
  <c r="FP95" i="31"/>
  <c r="FS95" i="31" s="1"/>
  <c r="GO95" i="31"/>
  <c r="FU95" i="31"/>
  <c r="FW95" i="31" s="1"/>
  <c r="CQ95" i="31"/>
  <c r="DQ95" i="31"/>
  <c r="DR95" i="31" s="1"/>
  <c r="JR95" i="31"/>
  <c r="JS95" i="31" s="1"/>
  <c r="HO95" i="31"/>
  <c r="FZ95" i="31"/>
  <c r="GA95" i="31" s="1"/>
  <c r="FX95" i="31"/>
  <c r="FY95" i="31" s="1"/>
  <c r="FH95" i="31"/>
  <c r="FI95" i="31" s="1"/>
  <c r="GB95" i="31"/>
  <c r="GC95" i="31" s="1"/>
  <c r="KX95" i="31"/>
  <c r="KU95" i="31"/>
  <c r="MX96" i="31"/>
  <c r="KQ96" i="31"/>
  <c r="MU96" i="31"/>
  <c r="MT96" i="31"/>
  <c r="NP96" i="31"/>
  <c r="NQ96" i="31"/>
  <c r="NJ96" i="31"/>
  <c r="MO96" i="31"/>
  <c r="NH97" i="31"/>
  <c r="NI97" i="31" s="1"/>
  <c r="PE96" i="31"/>
  <c r="KP97" i="31"/>
  <c r="KR96" i="31"/>
  <c r="GN95" i="31" l="1"/>
  <c r="KV95" i="31" s="1"/>
  <c r="NR96" i="31"/>
  <c r="JU95" i="31"/>
  <c r="KE95" i="31"/>
  <c r="KC95" i="31"/>
  <c r="JT96" i="31"/>
  <c r="CS95" i="31"/>
  <c r="CT95" i="31"/>
  <c r="CR95" i="31"/>
  <c r="DS95" i="31"/>
  <c r="NB96" i="31"/>
  <c r="NA96" i="31"/>
  <c r="HU95" i="31"/>
  <c r="HV96" i="31" s="1"/>
  <c r="FJ96" i="31"/>
  <c r="HA95" i="31"/>
  <c r="HY95" i="31"/>
  <c r="DY95" i="31"/>
  <c r="HW95" i="31"/>
  <c r="HX96" i="31" s="1"/>
  <c r="FG96" i="31"/>
  <c r="KS96" i="31"/>
  <c r="NK96" i="31"/>
  <c r="NL96" i="31"/>
  <c r="NG97" i="31"/>
  <c r="OQ97" i="31"/>
  <c r="HP95" i="31"/>
  <c r="IA95" i="31"/>
  <c r="IB95" i="31" s="1"/>
  <c r="IZ95" i="31"/>
  <c r="GQ95" i="31" l="1"/>
  <c r="KW96" i="31"/>
  <c r="HQ95" i="31"/>
  <c r="HR96" i="31" s="1"/>
  <c r="HT95" i="31"/>
  <c r="HS95" i="31"/>
  <c r="JG95" i="31" s="1"/>
  <c r="NC97" i="31"/>
  <c r="MQ97" i="31"/>
  <c r="OR97" i="31"/>
  <c r="AX95" i="31"/>
  <c r="AY96" i="31" s="1"/>
  <c r="AZ95" i="31"/>
  <c r="EN95" i="31"/>
  <c r="EM95" i="31"/>
  <c r="EW95" i="31" s="1"/>
  <c r="IC95" i="31" l="1"/>
  <c r="ID95" i="31" s="1"/>
  <c r="IF95" i="31" s="1"/>
  <c r="KH95" i="31" s="1"/>
  <c r="JB95" i="31"/>
  <c r="BB96" i="31"/>
  <c r="EQ95" i="31"/>
  <c r="DW95" i="31"/>
  <c r="DU96" i="31" s="1"/>
  <c r="ER96" i="31"/>
  <c r="IU95" i="31"/>
  <c r="IV95" i="31" s="1"/>
  <c r="IW95" i="31" l="1"/>
  <c r="KB95" i="31" s="1"/>
  <c r="GM95" i="31"/>
  <c r="DB95" i="31"/>
  <c r="DC95" i="31" s="1"/>
  <c r="DD96" i="31" s="1"/>
  <c r="DE97" i="31" s="1"/>
  <c r="IM95" i="31"/>
  <c r="KI96" i="31"/>
  <c r="IN95" i="31"/>
  <c r="DF95" i="31"/>
  <c r="EU96" i="31"/>
  <c r="BC96" i="31"/>
  <c r="KK95" i="31"/>
  <c r="IX95" i="31"/>
  <c r="GT97" i="31" l="1"/>
  <c r="KJ96" i="31"/>
  <c r="BD96" i="31"/>
  <c r="BE96" i="31"/>
  <c r="DT95" i="31"/>
  <c r="DZ95" i="31" s="1"/>
  <c r="GU95" i="31"/>
  <c r="FD95" i="31"/>
  <c r="GV95" i="31"/>
  <c r="GR95" i="31"/>
  <c r="IS95" i="31" l="1"/>
  <c r="FL96" i="31"/>
  <c r="BF96" i="31"/>
  <c r="BG96" i="31"/>
  <c r="GS95" i="31"/>
  <c r="BH96" i="31" l="1"/>
  <c r="BI96" i="31"/>
  <c r="BK96" i="31" s="1"/>
  <c r="GY95" i="31"/>
  <c r="GW95" i="31"/>
  <c r="HC95" i="31" s="1"/>
  <c r="FA96" i="31" s="1"/>
  <c r="HB96" i="31" s="1"/>
  <c r="GX95" i="31"/>
  <c r="FM96" i="31"/>
  <c r="JH95" i="31"/>
  <c r="JI95" i="31" s="1"/>
  <c r="IT95" i="31"/>
  <c r="BJ96" i="31" l="1"/>
  <c r="JK95" i="31"/>
  <c r="JZ95" i="31" s="1"/>
  <c r="KF95" i="31" s="1"/>
  <c r="IQ96" i="31" s="1"/>
  <c r="BL96" i="31"/>
  <c r="BM96" i="31"/>
  <c r="EY95" i="31"/>
  <c r="HM95" i="31"/>
  <c r="EG95" i="31"/>
  <c r="EH96" i="31" s="1"/>
  <c r="EI96" i="31" s="1"/>
  <c r="FK96" i="31" s="1"/>
  <c r="HK96" i="31"/>
  <c r="JM95" i="31" l="1"/>
  <c r="KD95" i="31" s="1"/>
  <c r="IL96" i="31" s="1"/>
  <c r="JE96" i="31" s="1"/>
  <c r="BN96" i="31"/>
  <c r="BO96" i="31"/>
  <c r="ED95" i="31"/>
  <c r="EB96" i="31" s="1"/>
  <c r="JA96" i="31" s="1"/>
  <c r="EE95" i="31"/>
  <c r="EF96" i="31" s="1"/>
  <c r="EJ95" i="31"/>
  <c r="EK96" i="31" s="1"/>
  <c r="EZ95" i="31"/>
  <c r="DG95" i="31"/>
  <c r="DH95" i="31" s="1"/>
  <c r="DI96" i="31" s="1"/>
  <c r="JN95" i="31"/>
  <c r="JV95" i="31" s="1"/>
  <c r="JF96" i="31" s="1"/>
  <c r="JL95" i="31"/>
  <c r="JJ96" i="31" s="1"/>
  <c r="KA96" i="31"/>
  <c r="IR96" i="31" l="1"/>
  <c r="DJ96" i="31"/>
  <c r="DK96" i="31" s="1"/>
  <c r="GZ96" i="31"/>
  <c r="IE96" i="31" s="1"/>
  <c r="HZ96" i="31"/>
  <c r="EP96" i="31"/>
  <c r="ET97" i="31" s="1"/>
  <c r="EO96" i="31"/>
  <c r="ES97" i="31" s="1"/>
  <c r="EL96" i="31"/>
  <c r="FC96" i="31"/>
  <c r="EV96" i="31"/>
  <c r="DP96" i="31"/>
  <c r="JY96" i="31"/>
  <c r="JW96" i="31"/>
  <c r="BP96" i="31"/>
  <c r="BQ96" i="31" s="1"/>
  <c r="IP96" i="31"/>
  <c r="IO96" i="31"/>
  <c r="JO96" i="31"/>
  <c r="IY96" i="31"/>
  <c r="JC96" i="31"/>
  <c r="JD96" i="31"/>
  <c r="JP96" i="31" l="1"/>
  <c r="JQ96" i="31" s="1"/>
  <c r="KG96" i="31"/>
  <c r="BR96" i="31"/>
  <c r="BS96" i="31"/>
  <c r="EC96" i="31"/>
  <c r="DX96" i="31"/>
  <c r="DM96" i="31"/>
  <c r="FQ96" i="31"/>
  <c r="JX96" i="31"/>
  <c r="DL96" i="31" l="1"/>
  <c r="L97" i="31"/>
  <c r="BT96" i="31"/>
  <c r="BU96" i="31"/>
  <c r="EX96" i="31"/>
  <c r="M96" i="31" s="1"/>
  <c r="FB96" i="31"/>
  <c r="BV96" i="31" l="1"/>
  <c r="BW96" i="31" s="1"/>
  <c r="MB96" i="31"/>
  <c r="MJ96" i="31"/>
  <c r="NS96" i="31" s="1"/>
  <c r="NM96" i="31" l="1"/>
  <c r="NN96" i="31" s="1"/>
  <c r="NT96" i="31"/>
  <c r="OU97" i="31"/>
  <c r="BY96" i="31"/>
  <c r="BX96" i="31"/>
  <c r="OV97" i="31" l="1"/>
  <c r="NW96" i="31"/>
  <c r="NX96" i="31" s="1"/>
  <c r="BZ96" i="31"/>
  <c r="CA96" i="31"/>
  <c r="CX96" i="31"/>
  <c r="FR96" i="31"/>
  <c r="FV96" i="31"/>
  <c r="NU96" i="31"/>
  <c r="CB96" i="31" l="1"/>
  <c r="CC96" i="31" s="1"/>
  <c r="MY96" i="31"/>
  <c r="NZ96" i="31"/>
  <c r="CY97" i="31"/>
  <c r="NY96" i="31"/>
  <c r="OF96" i="31"/>
  <c r="OS97" i="31" s="1"/>
  <c r="NV96" i="31"/>
  <c r="CD96" i="31" l="1"/>
  <c r="CE96" i="31"/>
  <c r="CF96" i="31" s="1"/>
  <c r="OB96" i="31"/>
  <c r="OT97" i="31" s="1"/>
  <c r="OA96" i="31"/>
  <c r="MV97" i="31" s="1"/>
  <c r="OI96" i="31"/>
  <c r="OM97" i="31"/>
  <c r="OO97" i="31"/>
  <c r="NF97" i="31"/>
  <c r="MZ97" i="31"/>
  <c r="OZ96" i="31"/>
  <c r="CG96" i="31" l="1"/>
  <c r="CH96" i="31" s="1"/>
  <c r="CI96" i="31" s="1"/>
  <c r="OG97" i="31"/>
  <c r="KT97" i="31"/>
  <c r="PA96" i="31"/>
  <c r="MR97" i="31"/>
  <c r="OX97" i="31"/>
  <c r="OW96" i="31"/>
  <c r="OC96" i="31"/>
  <c r="OD97" i="31" s="1"/>
  <c r="OH97" i="31" s="1"/>
  <c r="OJ96" i="31"/>
  <c r="CJ96" i="31" l="1"/>
  <c r="CO96" i="31" s="1"/>
  <c r="CK96" i="31"/>
  <c r="CM96" i="31" s="1"/>
  <c r="CN96" i="31" s="1"/>
  <c r="MS97" i="31"/>
  <c r="KM97" i="31"/>
  <c r="KO98" i="31" s="1"/>
  <c r="KL97" i="31"/>
  <c r="KN98" i="31" s="1"/>
  <c r="OY97" i="31"/>
  <c r="MW97" i="31"/>
  <c r="CL96" i="31"/>
  <c r="OK97" i="31"/>
  <c r="KP98" i="31" l="1"/>
  <c r="KR97" i="31"/>
  <c r="MU97" i="31"/>
  <c r="NJ97" i="31"/>
  <c r="NP97" i="31"/>
  <c r="NQ97" i="31"/>
  <c r="NR97" i="31" s="1"/>
  <c r="NH98" i="31"/>
  <c r="NI98" i="31" s="1"/>
  <c r="MT97" i="31"/>
  <c r="MO97" i="31"/>
  <c r="PE97" i="31"/>
  <c r="CP96" i="31"/>
  <c r="KQ97" i="31"/>
  <c r="KS97" i="31" s="1"/>
  <c r="MX97" i="31"/>
  <c r="FZ96" i="31" l="1"/>
  <c r="GA96" i="31" s="1"/>
  <c r="FU96" i="31"/>
  <c r="FW96" i="31" s="1"/>
  <c r="CQ96" i="31"/>
  <c r="FP96" i="31"/>
  <c r="FS96" i="31" s="1"/>
  <c r="HO96" i="31"/>
  <c r="DQ96" i="31"/>
  <c r="DR96" i="31" s="1"/>
  <c r="FX96" i="31"/>
  <c r="FY96" i="31" s="1"/>
  <c r="GO96" i="31"/>
  <c r="FE96" i="31"/>
  <c r="FF96" i="31" s="1"/>
  <c r="FH96" i="31"/>
  <c r="FI96" i="31" s="1"/>
  <c r="GB96" i="31"/>
  <c r="GC96" i="31" s="1"/>
  <c r="JR96" i="31"/>
  <c r="JS96" i="31" s="1"/>
  <c r="KX96" i="31"/>
  <c r="KU96" i="31"/>
  <c r="NB97" i="31"/>
  <c r="NA97" i="31"/>
  <c r="NK97" i="31"/>
  <c r="NL97" i="31"/>
  <c r="NG98" i="31"/>
  <c r="OQ98" i="31"/>
  <c r="GN96" i="31" l="1"/>
  <c r="KV96" i="31" s="1"/>
  <c r="HP96" i="31"/>
  <c r="IA96" i="31"/>
  <c r="IB96" i="31" s="1"/>
  <c r="IZ96" i="31"/>
  <c r="DS96" i="31"/>
  <c r="DY96" i="31"/>
  <c r="HA96" i="31"/>
  <c r="HY96" i="31"/>
  <c r="KC96" i="31"/>
  <c r="JU96" i="31"/>
  <c r="JT97" i="31"/>
  <c r="KE96" i="31"/>
  <c r="CT96" i="31"/>
  <c r="CS96" i="31"/>
  <c r="CR96" i="31"/>
  <c r="NC98" i="31"/>
  <c r="MQ98" i="31"/>
  <c r="HU96" i="31"/>
  <c r="HV97" i="31" s="1"/>
  <c r="FJ97" i="31"/>
  <c r="OR98" i="31"/>
  <c r="FG97" i="31"/>
  <c r="HW96" i="31"/>
  <c r="HX97" i="31" s="1"/>
  <c r="GQ96" i="31" l="1"/>
  <c r="KW97" i="31"/>
  <c r="HQ96" i="31"/>
  <c r="HR97" i="31" s="1"/>
  <c r="AX96" i="31"/>
  <c r="AY97" i="31" s="1"/>
  <c r="EM96" i="31"/>
  <c r="EW96" i="31" s="1"/>
  <c r="AZ96" i="31"/>
  <c r="EN96" i="31"/>
  <c r="HS96" i="31"/>
  <c r="JG96" i="31" s="1"/>
  <c r="HT96" i="31"/>
  <c r="BB97" i="31" l="1"/>
  <c r="EQ96" i="31"/>
  <c r="DW96" i="31"/>
  <c r="DU97" i="31" s="1"/>
  <c r="IW96" i="31"/>
  <c r="ER97" i="31"/>
  <c r="IU96" i="31"/>
  <c r="IV96" i="31" s="1"/>
  <c r="IC96" i="31"/>
  <c r="ID96" i="31" s="1"/>
  <c r="IF96" i="31" s="1"/>
  <c r="KH96" i="31" s="1"/>
  <c r="JB96" i="31"/>
  <c r="KB96" i="31" l="1"/>
  <c r="IX96" i="31"/>
  <c r="KK96" i="31"/>
  <c r="DB96" i="31"/>
  <c r="DC96" i="31" s="1"/>
  <c r="DD97" i="31" s="1"/>
  <c r="DE98" i="31" s="1"/>
  <c r="GM96" i="31"/>
  <c r="IM96" i="31"/>
  <c r="KI97" i="31"/>
  <c r="IN96" i="31"/>
  <c r="DF96" i="31"/>
  <c r="EU97" i="31"/>
  <c r="BC97" i="31"/>
  <c r="GT98" i="31" l="1"/>
  <c r="KJ97" i="31"/>
  <c r="GR96" i="31"/>
  <c r="BE97" i="31"/>
  <c r="BD97" i="31"/>
  <c r="DT96" i="31"/>
  <c r="DZ96" i="31" s="1"/>
  <c r="FD96" i="31"/>
  <c r="GU96" i="31"/>
  <c r="GV96" i="31"/>
  <c r="BF97" i="31" l="1"/>
  <c r="BG97" i="31"/>
  <c r="GS96" i="31"/>
  <c r="IS96" i="31"/>
  <c r="FL97" i="31"/>
  <c r="FM97" i="31" l="1"/>
  <c r="JH96" i="31"/>
  <c r="JI96" i="31" s="1"/>
  <c r="IT96" i="31"/>
  <c r="GW96" i="31"/>
  <c r="HC96" i="31" s="1"/>
  <c r="FA97" i="31" s="1"/>
  <c r="HB97" i="31" s="1"/>
  <c r="GX96" i="31"/>
  <c r="GY96" i="31"/>
  <c r="BH97" i="31"/>
  <c r="BI97" i="31"/>
  <c r="BK97" i="31" s="1"/>
  <c r="BJ97" i="31" l="1"/>
  <c r="JK96" i="31"/>
  <c r="JN96" i="31" s="1"/>
  <c r="JV96" i="31" s="1"/>
  <c r="JF97" i="31" s="1"/>
  <c r="EG96" i="31"/>
  <c r="EH97" i="31" s="1"/>
  <c r="EI97" i="31" s="1"/>
  <c r="FK97" i="31" s="1"/>
  <c r="HM96" i="31"/>
  <c r="EY96" i="31"/>
  <c r="HK97" i="31"/>
  <c r="BL97" i="31"/>
  <c r="BM97" i="31"/>
  <c r="ED96" i="31" l="1"/>
  <c r="EB97" i="31" s="1"/>
  <c r="EJ96" i="31"/>
  <c r="EK97" i="31" s="1"/>
  <c r="EE96" i="31"/>
  <c r="EF97" i="31" s="1"/>
  <c r="JM96" i="31"/>
  <c r="KD96" i="31" s="1"/>
  <c r="IL97" i="31" s="1"/>
  <c r="JL96" i="31"/>
  <c r="JJ97" i="31" s="1"/>
  <c r="KA97" i="31"/>
  <c r="BN97" i="31"/>
  <c r="BO97" i="31"/>
  <c r="JZ96" i="31"/>
  <c r="KF96" i="31" s="1"/>
  <c r="IQ97" i="31" s="1"/>
  <c r="JW97" i="31"/>
  <c r="JY97" i="31"/>
  <c r="EZ96" i="31"/>
  <c r="DG96" i="31"/>
  <c r="DH96" i="31" s="1"/>
  <c r="DI97" i="31" s="1"/>
  <c r="IY97" i="31" l="1"/>
  <c r="JA97" i="31"/>
  <c r="JO97" i="31"/>
  <c r="IR97" i="31"/>
  <c r="JE97" i="31"/>
  <c r="IO97" i="31"/>
  <c r="IP97" i="31"/>
  <c r="DJ97" i="31"/>
  <c r="DK97" i="31" s="1"/>
  <c r="GZ97" i="31"/>
  <c r="IE97" i="31" s="1"/>
  <c r="JC97" i="31"/>
  <c r="JD97" i="31"/>
  <c r="BP97" i="31"/>
  <c r="BQ97" i="31" s="1"/>
  <c r="HZ97" i="31"/>
  <c r="DP97" i="31"/>
  <c r="EP97" i="31"/>
  <c r="ET98" i="31" s="1"/>
  <c r="EO97" i="31"/>
  <c r="ES98" i="31" s="1"/>
  <c r="FC97" i="31"/>
  <c r="EL97" i="31"/>
  <c r="EV97" i="31"/>
  <c r="KG97" i="31" l="1"/>
  <c r="JX97" i="31"/>
  <c r="JP97" i="31"/>
  <c r="JQ97" i="31" s="1"/>
  <c r="DX97" i="31"/>
  <c r="DM97" i="31"/>
  <c r="FQ97" i="31"/>
  <c r="EC97" i="31"/>
  <c r="BR97" i="31"/>
  <c r="BS97" i="31"/>
  <c r="FB97" i="31" l="1"/>
  <c r="EX97" i="31"/>
  <c r="M97" i="31" s="1"/>
  <c r="DL97" i="31"/>
  <c r="L98" i="31"/>
  <c r="BT97" i="31"/>
  <c r="BU97" i="31"/>
  <c r="MB97" i="31" l="1"/>
  <c r="MJ97" i="31"/>
  <c r="NS97" i="31" s="1"/>
  <c r="BV97" i="31"/>
  <c r="BW97" i="31" s="1"/>
  <c r="NM97" i="31" l="1"/>
  <c r="NN97" i="31" s="1"/>
  <c r="NT97" i="31"/>
  <c r="OU98" i="31"/>
  <c r="BX97" i="31"/>
  <c r="BY97" i="31"/>
  <c r="OV98" i="31" l="1"/>
  <c r="NW97" i="31"/>
  <c r="BZ97" i="31"/>
  <c r="CA97" i="31"/>
  <c r="NX97" i="31"/>
  <c r="FR97" i="31"/>
  <c r="FV97" i="31"/>
  <c r="CX97" i="31"/>
  <c r="NU97" i="31"/>
  <c r="CB97" i="31" l="1"/>
  <c r="CC97" i="31" s="1"/>
  <c r="NY97" i="31"/>
  <c r="OF97" i="31"/>
  <c r="OS98" i="31" s="1"/>
  <c r="NZ97" i="31"/>
  <c r="MY97" i="31"/>
  <c r="CY98" i="31"/>
  <c r="NV97" i="31"/>
  <c r="CE97" i="31" l="1"/>
  <c r="CF97" i="31" s="1"/>
  <c r="CD97" i="31"/>
  <c r="OO98" i="31"/>
  <c r="OM98" i="31"/>
  <c r="NF98" i="31"/>
  <c r="MZ98" i="31"/>
  <c r="OZ97" i="31"/>
  <c r="OB97" i="31"/>
  <c r="OT98" i="31" s="1"/>
  <c r="OI97" i="31"/>
  <c r="OA97" i="31"/>
  <c r="MV98" i="31" s="1"/>
  <c r="CG97" i="31" l="1"/>
  <c r="CH97" i="31" s="1"/>
  <c r="CI97" i="31" s="1"/>
  <c r="PA97" i="31"/>
  <c r="OC97" i="31"/>
  <c r="OD98" i="31" s="1"/>
  <c r="OH98" i="31" s="1"/>
  <c r="OX98" i="31"/>
  <c r="OW97" i="31"/>
  <c r="MR98" i="31"/>
  <c r="OJ97" i="31"/>
  <c r="OG98" i="31"/>
  <c r="KT98" i="31"/>
  <c r="CJ97" i="31" l="1"/>
  <c r="CO97" i="31" s="1"/>
  <c r="CK97" i="31"/>
  <c r="CM97" i="31" s="1"/>
  <c r="CN97" i="31" s="1"/>
  <c r="OY98" i="31"/>
  <c r="MW98" i="31"/>
  <c r="MS98" i="31"/>
  <c r="KL98" i="31"/>
  <c r="KN99" i="31" s="1"/>
  <c r="KM98" i="31"/>
  <c r="KO99" i="31" s="1"/>
  <c r="OK98" i="31"/>
  <c r="CL97" i="31" l="1"/>
  <c r="CP97" i="31" s="1"/>
  <c r="KP99" i="31"/>
  <c r="KR98" i="31"/>
  <c r="NJ98" i="31"/>
  <c r="NP98" i="31"/>
  <c r="MU98" i="31"/>
  <c r="NH99" i="31"/>
  <c r="NI99" i="31" s="1"/>
  <c r="MT98" i="31"/>
  <c r="NQ98" i="31"/>
  <c r="MO98" i="31"/>
  <c r="PE98" i="31"/>
  <c r="MX98" i="31"/>
  <c r="KQ98" i="31"/>
  <c r="NR98" i="31" l="1"/>
  <c r="DQ97" i="31"/>
  <c r="DR97" i="31" s="1"/>
  <c r="DS97" i="31" s="1"/>
  <c r="FU97" i="31"/>
  <c r="FW97" i="31" s="1"/>
  <c r="HO97" i="31"/>
  <c r="HP97" i="31" s="1"/>
  <c r="JR97" i="31"/>
  <c r="JS97" i="31" s="1"/>
  <c r="JU97" i="31" s="1"/>
  <c r="FX97" i="31"/>
  <c r="FY97" i="31" s="1"/>
  <c r="FE97" i="31"/>
  <c r="FF97" i="31" s="1"/>
  <c r="HW97" i="31" s="1"/>
  <c r="HX98" i="31" s="1"/>
  <c r="KX97" i="31"/>
  <c r="GN97" i="31" s="1"/>
  <c r="FH97" i="31"/>
  <c r="FI97" i="31" s="1"/>
  <c r="HU97" i="31" s="1"/>
  <c r="HV98" i="31" s="1"/>
  <c r="GB97" i="31"/>
  <c r="GC97" i="31" s="1"/>
  <c r="FZ97" i="31"/>
  <c r="GA97" i="31" s="1"/>
  <c r="KU97" i="31"/>
  <c r="GO97" i="31"/>
  <c r="FP97" i="31"/>
  <c r="FS97" i="31" s="1"/>
  <c r="HY97" i="31" s="1"/>
  <c r="CQ97" i="31"/>
  <c r="CS97" i="31" s="1"/>
  <c r="KS98" i="31"/>
  <c r="NB98" i="31"/>
  <c r="NA98" i="31"/>
  <c r="NK98" i="31"/>
  <c r="NL98" i="31"/>
  <c r="NG99" i="31"/>
  <c r="OQ99" i="31"/>
  <c r="GQ97" i="31" l="1"/>
  <c r="KE97" i="31"/>
  <c r="HA97" i="31"/>
  <c r="JT98" i="31"/>
  <c r="DY97" i="31"/>
  <c r="IZ97" i="31"/>
  <c r="IA97" i="31"/>
  <c r="IB97" i="31" s="1"/>
  <c r="CT97" i="31"/>
  <c r="KV97" i="31"/>
  <c r="FJ98" i="31"/>
  <c r="FG98" i="31"/>
  <c r="KC97" i="31"/>
  <c r="CR97" i="31"/>
  <c r="OR99" i="31"/>
  <c r="AX97" i="31"/>
  <c r="AY98" i="31" s="1"/>
  <c r="AZ97" i="31"/>
  <c r="EM97" i="31"/>
  <c r="EW97" i="31" s="1"/>
  <c r="EN97" i="31"/>
  <c r="NC99" i="31"/>
  <c r="MQ99" i="31"/>
  <c r="HS97" i="31"/>
  <c r="JG97" i="31" s="1"/>
  <c r="HT97" i="31"/>
  <c r="KW98" i="31" l="1"/>
  <c r="HQ97" i="31"/>
  <c r="HR98" i="31" s="1"/>
  <c r="IC97" i="31"/>
  <c r="ID97" i="31" s="1"/>
  <c r="IF97" i="31" s="1"/>
  <c r="KH97" i="31" s="1"/>
  <c r="JB97" i="31"/>
  <c r="BB98" i="31"/>
  <c r="EQ97" i="31"/>
  <c r="DW97" i="31"/>
  <c r="DU98" i="31" s="1"/>
  <c r="ER98" i="31"/>
  <c r="IU97" i="31"/>
  <c r="IV97" i="31" s="1"/>
  <c r="IW97" i="31" l="1"/>
  <c r="KB97" i="31" s="1"/>
  <c r="BC98" i="31"/>
  <c r="EU98" i="31"/>
  <c r="KK97" i="31"/>
  <c r="IX97" i="31"/>
  <c r="DB97" i="31"/>
  <c r="DC97" i="31" s="1"/>
  <c r="DD98" i="31" s="1"/>
  <c r="DE99" i="31" s="1"/>
  <c r="GM97" i="31"/>
  <c r="IM97" i="31"/>
  <c r="KI98" i="31"/>
  <c r="IN97" i="31"/>
  <c r="DF97" i="31"/>
  <c r="DT97" i="31" l="1"/>
  <c r="DZ97" i="31" s="1"/>
  <c r="GT99" i="31"/>
  <c r="FD97" i="31"/>
  <c r="GV97" i="31"/>
  <c r="GU97" i="31"/>
  <c r="KJ98" i="31"/>
  <c r="GR97" i="31"/>
  <c r="BD98" i="31"/>
  <c r="BE98" i="31"/>
  <c r="BG98" i="31" l="1"/>
  <c r="BF98" i="31"/>
  <c r="IS97" i="31"/>
  <c r="FL98" i="31"/>
  <c r="GS97" i="31"/>
  <c r="GW97" i="31" l="1"/>
  <c r="HC97" i="31" s="1"/>
  <c r="FA98" i="31" s="1"/>
  <c r="HB98" i="31" s="1"/>
  <c r="GX97" i="31"/>
  <c r="GY97" i="31"/>
  <c r="FM98" i="31"/>
  <c r="JH97" i="31"/>
  <c r="JI97" i="31" s="1"/>
  <c r="IT97" i="31"/>
  <c r="BI98" i="31"/>
  <c r="BK98" i="31" s="1"/>
  <c r="BH98" i="31"/>
  <c r="BJ98" i="31" l="1"/>
  <c r="JK97" i="31"/>
  <c r="JZ97" i="31" s="1"/>
  <c r="KF97" i="31" s="1"/>
  <c r="IQ98" i="31" s="1"/>
  <c r="EG97" i="31"/>
  <c r="EH98" i="31" s="1"/>
  <c r="EI98" i="31" s="1"/>
  <c r="FK98" i="31" s="1"/>
  <c r="EY97" i="31"/>
  <c r="HM97" i="31"/>
  <c r="HK98" i="31"/>
  <c r="BL98" i="31"/>
  <c r="BM98" i="31"/>
  <c r="JM97" i="31" l="1"/>
  <c r="KD97" i="31" s="1"/>
  <c r="IL98" i="31" s="1"/>
  <c r="IR98" i="31" s="1"/>
  <c r="EZ97" i="31"/>
  <c r="DG97" i="31"/>
  <c r="DH97" i="31" s="1"/>
  <c r="DI98" i="31" s="1"/>
  <c r="BN98" i="31"/>
  <c r="BO98" i="31"/>
  <c r="JN97" i="31"/>
  <c r="JV97" i="31" s="1"/>
  <c r="JF98" i="31" s="1"/>
  <c r="JL97" i="31"/>
  <c r="JJ98" i="31" s="1"/>
  <c r="KA98" i="31"/>
  <c r="EJ97" i="31"/>
  <c r="EK98" i="31" s="1"/>
  <c r="EE97" i="31"/>
  <c r="EF98" i="31" s="1"/>
  <c r="ED97" i="31"/>
  <c r="EB98" i="31" s="1"/>
  <c r="JE98" i="31" l="1"/>
  <c r="DP98" i="31"/>
  <c r="FC98" i="31"/>
  <c r="EP98" i="31"/>
  <c r="ET99" i="31" s="1"/>
  <c r="EL98" i="31"/>
  <c r="EO98" i="31"/>
  <c r="ES99" i="31" s="1"/>
  <c r="EV98" i="31"/>
  <c r="DJ98" i="31"/>
  <c r="DK98" i="31" s="1"/>
  <c r="GZ98" i="31"/>
  <c r="IE98" i="31" s="1"/>
  <c r="JC98" i="31"/>
  <c r="JD98" i="31"/>
  <c r="HZ98" i="31"/>
  <c r="IY98" i="31"/>
  <c r="IP98" i="31"/>
  <c r="JA98" i="31"/>
  <c r="BP98" i="31"/>
  <c r="BQ98" i="31" s="1"/>
  <c r="JY98" i="31"/>
  <c r="JW98" i="31"/>
  <c r="IO98" i="31"/>
  <c r="JO98" i="31"/>
  <c r="JP98" i="31" l="1"/>
  <c r="JQ98" i="31" s="1"/>
  <c r="FQ98" i="31"/>
  <c r="DX98" i="31"/>
  <c r="DM98" i="31"/>
  <c r="BR98" i="31"/>
  <c r="BS98" i="31"/>
  <c r="EC98" i="31"/>
  <c r="KG98" i="31"/>
  <c r="JX98" i="31"/>
  <c r="EX98" i="31" l="1"/>
  <c r="M98" i="31" s="1"/>
  <c r="FB98" i="31"/>
  <c r="BT98" i="31"/>
  <c r="BU98" i="31"/>
  <c r="DL98" i="31"/>
  <c r="L99" i="31"/>
  <c r="BV98" i="31" l="1"/>
  <c r="BW98" i="31" s="1"/>
  <c r="MJ98" i="31"/>
  <c r="NS98" i="31" s="1"/>
  <c r="MB98" i="31"/>
  <c r="NM98" i="31" l="1"/>
  <c r="NN98" i="31" s="1"/>
  <c r="BX98" i="31"/>
  <c r="BY98" i="31"/>
  <c r="NT98" i="31"/>
  <c r="OU99" i="31"/>
  <c r="OV99" i="31" l="1"/>
  <c r="NW98" i="31"/>
  <c r="FR98" i="31"/>
  <c r="CX98" i="31"/>
  <c r="FV98" i="31"/>
  <c r="NU98" i="31"/>
  <c r="NX98" i="31"/>
  <c r="BZ98" i="31"/>
  <c r="CA98" i="31"/>
  <c r="CB98" i="31" l="1"/>
  <c r="CC98" i="31" s="1"/>
  <c r="NY98" i="31"/>
  <c r="NV98" i="31"/>
  <c r="OF98" i="31"/>
  <c r="OS99" i="31" s="1"/>
  <c r="NZ98" i="31"/>
  <c r="MY98" i="31"/>
  <c r="CY99" i="31"/>
  <c r="CD98" i="31" l="1"/>
  <c r="CE98" i="31"/>
  <c r="CF98" i="31" s="1"/>
  <c r="OM99" i="31"/>
  <c r="OO99" i="31"/>
  <c r="NF99" i="31"/>
  <c r="MZ99" i="31"/>
  <c r="OZ98" i="31"/>
  <c r="OB98" i="31"/>
  <c r="OT99" i="31" s="1"/>
  <c r="OI98" i="31"/>
  <c r="OA98" i="31"/>
  <c r="MV99" i="31" s="1"/>
  <c r="CG98" i="31" l="1"/>
  <c r="CH98" i="31" s="1"/>
  <c r="CI98" i="31" s="1"/>
  <c r="OX99" i="31"/>
  <c r="MR99" i="31"/>
  <c r="OW98" i="31"/>
  <c r="OJ98" i="31"/>
  <c r="PA98" i="31"/>
  <c r="KT99" i="31"/>
  <c r="OG99" i="31"/>
  <c r="OC98" i="31"/>
  <c r="OD99" i="31" s="1"/>
  <c r="OH99" i="31" s="1"/>
  <c r="CJ98" i="31" l="1"/>
  <c r="CO98" i="31" s="1"/>
  <c r="CK98" i="31"/>
  <c r="CL98" i="31" s="1"/>
  <c r="OK99" i="31"/>
  <c r="KM99" i="31"/>
  <c r="KO100" i="31" s="1"/>
  <c r="KL99" i="31"/>
  <c r="KN100" i="31" s="1"/>
  <c r="OY99" i="31"/>
  <c r="MW99" i="31"/>
  <c r="MS99" i="31"/>
  <c r="CM98" i="31" l="1"/>
  <c r="CN98" i="31" s="1"/>
  <c r="CP98" i="31" s="1"/>
  <c r="KQ99" i="31"/>
  <c r="KP100" i="31"/>
  <c r="KR99" i="31"/>
  <c r="MX99" i="31"/>
  <c r="MT99" i="31"/>
  <c r="MO99" i="31"/>
  <c r="NQ99" i="31"/>
  <c r="NP99" i="31"/>
  <c r="NJ99" i="31"/>
  <c r="MU99" i="31"/>
  <c r="NH100" i="31"/>
  <c r="NI100" i="31" s="1"/>
  <c r="PE99" i="31"/>
  <c r="NK99" i="31" l="1"/>
  <c r="NL99" i="31"/>
  <c r="NG100" i="31"/>
  <c r="OQ100" i="31"/>
  <c r="NA99" i="31"/>
  <c r="NB99" i="31"/>
  <c r="NR99" i="31"/>
  <c r="KS99" i="31"/>
  <c r="GB98" i="31"/>
  <c r="GC98" i="31" s="1"/>
  <c r="FP98" i="31"/>
  <c r="FS98" i="31" s="1"/>
  <c r="DQ98" i="31"/>
  <c r="DR98" i="31" s="1"/>
  <c r="FZ98" i="31"/>
  <c r="GA98" i="31" s="1"/>
  <c r="FU98" i="31"/>
  <c r="FW98" i="31" s="1"/>
  <c r="HO98" i="31"/>
  <c r="GO98" i="31"/>
  <c r="FH98" i="31"/>
  <c r="FI98" i="31" s="1"/>
  <c r="CQ98" i="31"/>
  <c r="FE98" i="31"/>
  <c r="FF98" i="31" s="1"/>
  <c r="JR98" i="31"/>
  <c r="JS98" i="31" s="1"/>
  <c r="FX98" i="31"/>
  <c r="FY98" i="31" s="1"/>
  <c r="KX98" i="31"/>
  <c r="KU98" i="31"/>
  <c r="GN98" i="31" l="1"/>
  <c r="GQ98" i="31" s="1"/>
  <c r="DS98" i="31"/>
  <c r="DY98" i="31"/>
  <c r="HA98" i="31"/>
  <c r="HY98" i="31"/>
  <c r="OR100" i="31"/>
  <c r="HW98" i="31"/>
  <c r="HX99" i="31" s="1"/>
  <c r="FG99" i="31"/>
  <c r="CR98" i="31"/>
  <c r="CT98" i="31"/>
  <c r="CS98" i="31"/>
  <c r="HP98" i="31"/>
  <c r="IA98" i="31"/>
  <c r="IB98" i="31" s="1"/>
  <c r="IZ98" i="31"/>
  <c r="NC100" i="31"/>
  <c r="MQ100" i="31"/>
  <c r="JU98" i="31"/>
  <c r="KE98" i="31"/>
  <c r="JT99" i="31"/>
  <c r="KC98" i="31"/>
  <c r="HU98" i="31"/>
  <c r="HV99" i="31" s="1"/>
  <c r="FJ99" i="31"/>
  <c r="KV98" i="31" l="1"/>
  <c r="KW99" i="31" s="1"/>
  <c r="HQ98" i="31"/>
  <c r="HR99" i="31" s="1"/>
  <c r="AX98" i="31"/>
  <c r="AY99" i="31" s="1"/>
  <c r="EN98" i="31"/>
  <c r="AZ98" i="31"/>
  <c r="EM98" i="31"/>
  <c r="EW98" i="31" s="1"/>
  <c r="HS98" i="31"/>
  <c r="JG98" i="31" s="1"/>
  <c r="HT98" i="31"/>
  <c r="IC98" i="31" l="1"/>
  <c r="ID98" i="31" s="1"/>
  <c r="IF98" i="31" s="1"/>
  <c r="KH98" i="31" s="1"/>
  <c r="JB98" i="31"/>
  <c r="BB99" i="31"/>
  <c r="EQ98" i="31"/>
  <c r="DW98" i="31"/>
  <c r="DU99" i="31" s="1"/>
  <c r="ER99" i="31"/>
  <c r="IU98" i="31"/>
  <c r="IV98" i="31" s="1"/>
  <c r="IW98" i="31" l="1"/>
  <c r="KB98" i="31" s="1"/>
  <c r="EU99" i="31"/>
  <c r="BC99" i="31"/>
  <c r="IX98" i="31"/>
  <c r="KK98" i="31"/>
  <c r="GM98" i="31"/>
  <c r="IM98" i="31"/>
  <c r="DB98" i="31"/>
  <c r="DC98" i="31" s="1"/>
  <c r="DD99" i="31" s="1"/>
  <c r="DE100" i="31" s="1"/>
  <c r="KI99" i="31"/>
  <c r="IN98" i="31"/>
  <c r="DF98" i="31"/>
  <c r="GT100" i="31" l="1"/>
  <c r="GR98" i="31"/>
  <c r="BD99" i="31"/>
  <c r="BE99" i="31"/>
  <c r="DT98" i="31"/>
  <c r="DZ98" i="31" s="1"/>
  <c r="FD98" i="31"/>
  <c r="GV98" i="31"/>
  <c r="GU98" i="31"/>
  <c r="KJ99" i="31"/>
  <c r="BF99" i="31" l="1"/>
  <c r="BG99" i="31"/>
  <c r="IS98" i="31"/>
  <c r="FL99" i="31"/>
  <c r="GS98" i="31"/>
  <c r="FM99" i="31" l="1"/>
  <c r="JH98" i="31"/>
  <c r="JI98" i="31" s="1"/>
  <c r="IT98" i="31"/>
  <c r="BI99" i="31"/>
  <c r="BK99" i="31" s="1"/>
  <c r="BH99" i="31"/>
  <c r="GW98" i="31"/>
  <c r="HC98" i="31" s="1"/>
  <c r="FA99" i="31" s="1"/>
  <c r="HB99" i="31" s="1"/>
  <c r="GY98" i="31"/>
  <c r="GX98" i="31"/>
  <c r="BJ99" i="31" l="1"/>
  <c r="BL99" i="31"/>
  <c r="BM99" i="31"/>
  <c r="HM98" i="31"/>
  <c r="EY98" i="31"/>
  <c r="EG98" i="31"/>
  <c r="EH99" i="31" s="1"/>
  <c r="EI99" i="31" s="1"/>
  <c r="FK99" i="31" s="1"/>
  <c r="HK99" i="31"/>
  <c r="JK98" i="31"/>
  <c r="JM98" i="31" s="1"/>
  <c r="KD98" i="31" s="1"/>
  <c r="IL99" i="31" s="1"/>
  <c r="BN99" i="31" l="1"/>
  <c r="BO99" i="31"/>
  <c r="EZ98" i="31"/>
  <c r="DG98" i="31"/>
  <c r="DH98" i="31" s="1"/>
  <c r="DI99" i="31" s="1"/>
  <c r="JZ98" i="31"/>
  <c r="KF98" i="31" s="1"/>
  <c r="IQ99" i="31" s="1"/>
  <c r="JL98" i="31"/>
  <c r="JJ99" i="31" s="1"/>
  <c r="KA99" i="31"/>
  <c r="EE98" i="31"/>
  <c r="EF99" i="31" s="1"/>
  <c r="EJ98" i="31"/>
  <c r="EK99" i="31" s="1"/>
  <c r="ED98" i="31"/>
  <c r="EB99" i="31" s="1"/>
  <c r="JN98" i="31"/>
  <c r="JV98" i="31" s="1"/>
  <c r="JF99" i="31" s="1"/>
  <c r="HZ99" i="31" l="1"/>
  <c r="BP99" i="31"/>
  <c r="BQ99" i="31" s="1"/>
  <c r="JY99" i="31"/>
  <c r="JW99" i="31"/>
  <c r="JA99" i="31"/>
  <c r="IY99" i="31"/>
  <c r="JE99" i="31"/>
  <c r="IR99" i="31"/>
  <c r="GZ99" i="31"/>
  <c r="IE99" i="31" s="1"/>
  <c r="DJ99" i="31"/>
  <c r="DK99" i="31" s="1"/>
  <c r="IP99" i="31"/>
  <c r="IO99" i="31"/>
  <c r="JO99" i="31"/>
  <c r="EP99" i="31"/>
  <c r="ET100" i="31" s="1"/>
  <c r="EL99" i="31"/>
  <c r="EO99" i="31"/>
  <c r="ES100" i="31" s="1"/>
  <c r="FC99" i="31"/>
  <c r="EV99" i="31"/>
  <c r="JC99" i="31"/>
  <c r="JD99" i="31"/>
  <c r="DP99" i="31"/>
  <c r="JX99" i="31" l="1"/>
  <c r="JP99" i="31"/>
  <c r="JQ99" i="31" s="1"/>
  <c r="DX99" i="31"/>
  <c r="DM99" i="31"/>
  <c r="FQ99" i="31"/>
  <c r="EC99" i="31"/>
  <c r="BR99" i="31"/>
  <c r="BS99" i="31"/>
  <c r="KG99" i="31"/>
  <c r="FB99" i="31" l="1"/>
  <c r="EX99" i="31"/>
  <c r="M99" i="31" s="1"/>
  <c r="DL99" i="31"/>
  <c r="L100" i="31"/>
  <c r="BT99" i="31"/>
  <c r="BU99" i="31"/>
  <c r="MJ99" i="31" l="1"/>
  <c r="NS99" i="31" s="1"/>
  <c r="MB99" i="31"/>
  <c r="BV99" i="31"/>
  <c r="BW99" i="31" s="1"/>
  <c r="NM99" i="31" l="1"/>
  <c r="NN99" i="31" s="1"/>
  <c r="BY99" i="31"/>
  <c r="BX99" i="31"/>
  <c r="NT99" i="31"/>
  <c r="OU100" i="31"/>
  <c r="NW99" i="31" l="1"/>
  <c r="NX99" i="31" s="1"/>
  <c r="NY99" i="31" s="1"/>
  <c r="OV100" i="31"/>
  <c r="CX99" i="31"/>
  <c r="FR99" i="31"/>
  <c r="FV99" i="31"/>
  <c r="NU99" i="31"/>
  <c r="BZ99" i="31"/>
  <c r="CA99" i="31"/>
  <c r="OF99" i="31" l="1"/>
  <c r="OS100" i="31" s="1"/>
  <c r="NV99" i="31"/>
  <c r="CB99" i="31"/>
  <c r="CC99" i="31" s="1"/>
  <c r="OB99" i="31"/>
  <c r="OT100" i="31" s="1"/>
  <c r="NZ99" i="31"/>
  <c r="OA99" i="31" s="1"/>
  <c r="MV100" i="31" s="1"/>
  <c r="MY99" i="31"/>
  <c r="CY100" i="31"/>
  <c r="CD99" i="31" l="1"/>
  <c r="CE99" i="31"/>
  <c r="CF99" i="31" s="1"/>
  <c r="OJ99" i="31"/>
  <c r="OY100" i="31" s="1"/>
  <c r="OC99" i="31"/>
  <c r="OD100" i="31" s="1"/>
  <c r="OH100" i="31" s="1"/>
  <c r="OG100" i="31"/>
  <c r="NF100" i="31"/>
  <c r="OO100" i="31"/>
  <c r="KT100" i="31" s="1"/>
  <c r="OM100" i="31"/>
  <c r="MZ100" i="31"/>
  <c r="OZ99" i="31"/>
  <c r="OI99" i="31"/>
  <c r="PA99" i="31"/>
  <c r="CG99" i="31" l="1"/>
  <c r="CH99" i="31" s="1"/>
  <c r="CI99" i="31" s="1"/>
  <c r="OK100" i="31"/>
  <c r="MW100" i="31"/>
  <c r="MX100" i="31" s="1"/>
  <c r="KL100" i="31"/>
  <c r="KN101" i="31" s="1"/>
  <c r="KM100" i="31"/>
  <c r="KO101" i="31" s="1"/>
  <c r="OX100" i="31"/>
  <c r="MR100" i="31"/>
  <c r="OW99" i="31"/>
  <c r="CJ99" i="31" l="1"/>
  <c r="CO99" i="31" s="1"/>
  <c r="CK99" i="31"/>
  <c r="CL99" i="31" s="1"/>
  <c r="MS100" i="31"/>
  <c r="KP101" i="31"/>
  <c r="KR100" i="31"/>
  <c r="NB100" i="31"/>
  <c r="NA100" i="31"/>
  <c r="KQ100" i="31"/>
  <c r="CM99" i="31" l="1"/>
  <c r="CN99" i="31" s="1"/>
  <c r="CP99" i="31" s="1"/>
  <c r="KS100" i="31"/>
  <c r="NQ100" i="31"/>
  <c r="MT100" i="31"/>
  <c r="NP100" i="31"/>
  <c r="NH101" i="31"/>
  <c r="NI101" i="31" s="1"/>
  <c r="MU100" i="31"/>
  <c r="MO100" i="31"/>
  <c r="NJ100" i="31"/>
  <c r="PE100" i="31"/>
  <c r="NK100" i="31" l="1"/>
  <c r="NL100" i="31"/>
  <c r="NG101" i="31"/>
  <c r="OQ101" i="31"/>
  <c r="NR100" i="31"/>
  <c r="FE99" i="31"/>
  <c r="FF99" i="31" s="1"/>
  <c r="FH99" i="31"/>
  <c r="FI99" i="31" s="1"/>
  <c r="HO99" i="31"/>
  <c r="CQ99" i="31"/>
  <c r="DQ99" i="31"/>
  <c r="DR99" i="31" s="1"/>
  <c r="GO99" i="31"/>
  <c r="FP99" i="31"/>
  <c r="FS99" i="31" s="1"/>
  <c r="JR99" i="31"/>
  <c r="JS99" i="31" s="1"/>
  <c r="FU99" i="31"/>
  <c r="FW99" i="31" s="1"/>
  <c r="GB99" i="31"/>
  <c r="GC99" i="31" s="1"/>
  <c r="FX99" i="31"/>
  <c r="FY99" i="31" s="1"/>
  <c r="FZ99" i="31"/>
  <c r="GA99" i="31" s="1"/>
  <c r="KX99" i="31"/>
  <c r="KU99" i="31"/>
  <c r="GN99" i="31" l="1"/>
  <c r="GQ99" i="31" s="1"/>
  <c r="JU99" i="31"/>
  <c r="KC99" i="31"/>
  <c r="KE99" i="31"/>
  <c r="JT100" i="31"/>
  <c r="DS99" i="31"/>
  <c r="HA99" i="31"/>
  <c r="HY99" i="31"/>
  <c r="DY99" i="31"/>
  <c r="CR99" i="31"/>
  <c r="CT99" i="31"/>
  <c r="CS99" i="31"/>
  <c r="OR101" i="31"/>
  <c r="IA99" i="31"/>
  <c r="IB99" i="31" s="1"/>
  <c r="HP99" i="31"/>
  <c r="IZ99" i="31"/>
  <c r="HU99" i="31"/>
  <c r="HV100" i="31" s="1"/>
  <c r="FJ100" i="31"/>
  <c r="NC101" i="31"/>
  <c r="MQ101" i="31"/>
  <c r="HW99" i="31"/>
  <c r="HX100" i="31" s="1"/>
  <c r="FG100" i="31"/>
  <c r="KV99" i="31" l="1"/>
  <c r="KW100" i="31" s="1"/>
  <c r="HQ99" i="31"/>
  <c r="HR100" i="31" s="1"/>
  <c r="HS99" i="31"/>
  <c r="JG99" i="31" s="1"/>
  <c r="HT99" i="31"/>
  <c r="AX99" i="31"/>
  <c r="AY100" i="31" s="1"/>
  <c r="AZ99" i="31"/>
  <c r="EM99" i="31"/>
  <c r="EW99" i="31" s="1"/>
  <c r="EN99" i="31"/>
  <c r="BB100" i="31" l="1"/>
  <c r="DW99" i="31"/>
  <c r="DU100" i="31" s="1"/>
  <c r="EQ99" i="31"/>
  <c r="ER100" i="31"/>
  <c r="IU99" i="31"/>
  <c r="IV99" i="31" s="1"/>
  <c r="IC99" i="31"/>
  <c r="ID99" i="31" s="1"/>
  <c r="IF99" i="31" s="1"/>
  <c r="KH99" i="31" s="1"/>
  <c r="JB99" i="31"/>
  <c r="IW99" i="31" l="1"/>
  <c r="KB99" i="31" s="1"/>
  <c r="EU100" i="31"/>
  <c r="IX99" i="31"/>
  <c r="KK99" i="31"/>
  <c r="DB99" i="31"/>
  <c r="DC99" i="31" s="1"/>
  <c r="DD100" i="31" s="1"/>
  <c r="DE101" i="31" s="1"/>
  <c r="GM99" i="31"/>
  <c r="IM99" i="31"/>
  <c r="KI100" i="31"/>
  <c r="IN99" i="31"/>
  <c r="DF99" i="31"/>
  <c r="BC100" i="31"/>
  <c r="GT101" i="31" l="1"/>
  <c r="DT99" i="31"/>
  <c r="DZ99" i="31" s="1"/>
  <c r="GR99" i="31"/>
  <c r="BD100" i="31"/>
  <c r="BE100" i="31"/>
  <c r="KJ100" i="31"/>
  <c r="FD99" i="31"/>
  <c r="GU99" i="31"/>
  <c r="GV99" i="31"/>
  <c r="BF100" i="31" l="1"/>
  <c r="BG100" i="31"/>
  <c r="IS99" i="31"/>
  <c r="FL100" i="31"/>
  <c r="GS99" i="31"/>
  <c r="GW99" i="31" l="1"/>
  <c r="HC99" i="31" s="1"/>
  <c r="FA100" i="31" s="1"/>
  <c r="HB100" i="31" s="1"/>
  <c r="GX99" i="31"/>
  <c r="GY99" i="31"/>
  <c r="FM100" i="31"/>
  <c r="JH99" i="31"/>
  <c r="JI99" i="31" s="1"/>
  <c r="IT99" i="31"/>
  <c r="BI100" i="31"/>
  <c r="BK100" i="31" s="1"/>
  <c r="BH100" i="31"/>
  <c r="BL100" i="31" l="1"/>
  <c r="BM100" i="31"/>
  <c r="BJ100" i="31"/>
  <c r="JK99" i="31"/>
  <c r="JM99" i="31" s="1"/>
  <c r="KD99" i="31" s="1"/>
  <c r="IL100" i="31" s="1"/>
  <c r="EY99" i="31"/>
  <c r="EG99" i="31"/>
  <c r="EH100" i="31" s="1"/>
  <c r="EI100" i="31" s="1"/>
  <c r="FK100" i="31" s="1"/>
  <c r="HM99" i="31"/>
  <c r="HK100" i="31"/>
  <c r="JN99" i="31" l="1"/>
  <c r="JV99" i="31" s="1"/>
  <c r="JF100" i="31" s="1"/>
  <c r="JL99" i="31"/>
  <c r="JJ100" i="31" s="1"/>
  <c r="KA100" i="31"/>
  <c r="BN100" i="31"/>
  <c r="BO100" i="31"/>
  <c r="EZ99" i="31"/>
  <c r="DG99" i="31"/>
  <c r="DH99" i="31" s="1"/>
  <c r="DI100" i="31" s="1"/>
  <c r="JZ99" i="31"/>
  <c r="KF99" i="31" s="1"/>
  <c r="IQ100" i="31" s="1"/>
  <c r="EE99" i="31"/>
  <c r="EF100" i="31" s="1"/>
  <c r="ED99" i="31"/>
  <c r="EB100" i="31" s="1"/>
  <c r="EJ99" i="31"/>
  <c r="EK100" i="31" s="1"/>
  <c r="JO100" i="31" l="1"/>
  <c r="JA100" i="31"/>
  <c r="IY100" i="31"/>
  <c r="JE100" i="31"/>
  <c r="IR100" i="31"/>
  <c r="BP100" i="31"/>
  <c r="BQ100" i="31" s="1"/>
  <c r="DJ100" i="31"/>
  <c r="DK100" i="31" s="1"/>
  <c r="GZ100" i="31"/>
  <c r="IE100" i="31" s="1"/>
  <c r="HZ100" i="31"/>
  <c r="JW100" i="31"/>
  <c r="JY100" i="31"/>
  <c r="JC100" i="31"/>
  <c r="JD100" i="31"/>
  <c r="IP100" i="31"/>
  <c r="DP100" i="31"/>
  <c r="EP100" i="31"/>
  <c r="ET101" i="31" s="1"/>
  <c r="EO100" i="31"/>
  <c r="ES101" i="31" s="1"/>
  <c r="EL100" i="31"/>
  <c r="FC100" i="31"/>
  <c r="EV100" i="31"/>
  <c r="IO100" i="31"/>
  <c r="BS100" i="31" l="1"/>
  <c r="BU100" i="31" s="1"/>
  <c r="BR100" i="31"/>
  <c r="KG100" i="31"/>
  <c r="EC100" i="31"/>
  <c r="JX100" i="31"/>
  <c r="JP100" i="31"/>
  <c r="JQ100" i="31" s="1"/>
  <c r="FQ100" i="31"/>
  <c r="DX100" i="31"/>
  <c r="DM100" i="31"/>
  <c r="BV100" i="31" l="1"/>
  <c r="BW100" i="31" s="1"/>
  <c r="BX100" i="31" s="1"/>
  <c r="BT100" i="31"/>
  <c r="DL100" i="31"/>
  <c r="L101" i="31"/>
  <c r="EX100" i="31"/>
  <c r="M100" i="31" s="1"/>
  <c r="FB100" i="31"/>
  <c r="BY100" i="31" l="1"/>
  <c r="BZ100" i="31" s="1"/>
  <c r="MB100" i="31"/>
  <c r="MJ100" i="31"/>
  <c r="NS100" i="31" s="1"/>
  <c r="CA100" i="31" l="1"/>
  <c r="CB100" i="31" s="1"/>
  <c r="CC100" i="31" s="1"/>
  <c r="NM100" i="31"/>
  <c r="NN100" i="31" s="1"/>
  <c r="NT100" i="31"/>
  <c r="OU101" i="31"/>
  <c r="CD100" i="31" l="1"/>
  <c r="CE100" i="31"/>
  <c r="CF100" i="31" s="1"/>
  <c r="NW100" i="31"/>
  <c r="NX100" i="31" s="1"/>
  <c r="OF100" i="31" s="1"/>
  <c r="OS101" i="31" s="1"/>
  <c r="OV101" i="31"/>
  <c r="CX100" i="31"/>
  <c r="FR100" i="31"/>
  <c r="FV100" i="31"/>
  <c r="NU100" i="31"/>
  <c r="CG100" i="31" l="1"/>
  <c r="CH100" i="31" s="1"/>
  <c r="CI100" i="31" s="1"/>
  <c r="NV100" i="31"/>
  <c r="MY100" i="31"/>
  <c r="NZ100" i="31"/>
  <c r="CY101" i="31"/>
  <c r="NY100" i="31"/>
  <c r="CJ100" i="31" l="1"/>
  <c r="CO100" i="31" s="1"/>
  <c r="CK100" i="31"/>
  <c r="CL100" i="31" s="1"/>
  <c r="OO101" i="31"/>
  <c r="NF101" i="31"/>
  <c r="OM101" i="31"/>
  <c r="OB100" i="31"/>
  <c r="OT101" i="31" s="1"/>
  <c r="OI100" i="31"/>
  <c r="MZ101" i="31"/>
  <c r="OZ100" i="31"/>
  <c r="OA100" i="31"/>
  <c r="MV101" i="31" s="1"/>
  <c r="CM100" i="31" l="1"/>
  <c r="CN100" i="31" s="1"/>
  <c r="CP100" i="31" s="1"/>
  <c r="PA100" i="31"/>
  <c r="OJ100" i="31"/>
  <c r="OY101" i="31" s="1"/>
  <c r="OC100" i="31"/>
  <c r="OD101" i="31" s="1"/>
  <c r="OH101" i="31" s="1"/>
  <c r="OG101" i="31"/>
  <c r="KT101" i="31"/>
  <c r="OW100" i="31"/>
  <c r="MR101" i="31"/>
  <c r="OX101" i="31"/>
  <c r="MW101" i="31" l="1"/>
  <c r="MX101" i="31" s="1"/>
  <c r="OK101" i="31"/>
  <c r="KM101" i="31"/>
  <c r="KO102" i="31" s="1"/>
  <c r="KL101" i="31"/>
  <c r="KN102" i="31" s="1"/>
  <c r="MS101" i="31"/>
  <c r="CQ100" i="31"/>
  <c r="FE100" i="31"/>
  <c r="FF100" i="31" s="1"/>
  <c r="FZ100" i="31"/>
  <c r="GA100" i="31" s="1"/>
  <c r="FH100" i="31"/>
  <c r="FI100" i="31" s="1"/>
  <c r="FX100" i="31"/>
  <c r="FY100" i="31" s="1"/>
  <c r="DQ100" i="31"/>
  <c r="DR100" i="31" s="1"/>
  <c r="HO100" i="31"/>
  <c r="FU100" i="31"/>
  <c r="FW100" i="31" s="1"/>
  <c r="GB100" i="31"/>
  <c r="GC100" i="31" s="1"/>
  <c r="JR100" i="31"/>
  <c r="JS100" i="31" s="1"/>
  <c r="GO100" i="31"/>
  <c r="FP100" i="31"/>
  <c r="FS100" i="31" s="1"/>
  <c r="KX100" i="31"/>
  <c r="KU100" i="31"/>
  <c r="GN100" i="31" l="1"/>
  <c r="GQ100" i="31" s="1"/>
  <c r="NB101" i="31"/>
  <c r="NA101" i="31"/>
  <c r="HU100" i="31"/>
  <c r="HV101" i="31" s="1"/>
  <c r="FJ101" i="31"/>
  <c r="NP101" i="31"/>
  <c r="NH102" i="31"/>
  <c r="NI102" i="31" s="1"/>
  <c r="NQ101" i="31"/>
  <c r="MO101" i="31"/>
  <c r="NJ101" i="31"/>
  <c r="MU101" i="31"/>
  <c r="MT101" i="31"/>
  <c r="PE101" i="31"/>
  <c r="KQ101" i="31"/>
  <c r="CR100" i="31"/>
  <c r="CT100" i="31"/>
  <c r="CS100" i="31"/>
  <c r="KP102" i="31"/>
  <c r="KR101" i="31"/>
  <c r="DS100" i="31"/>
  <c r="HW100" i="31"/>
  <c r="HX101" i="31" s="1"/>
  <c r="FG101" i="31"/>
  <c r="HA100" i="31"/>
  <c r="HY100" i="31"/>
  <c r="DY100" i="31"/>
  <c r="KE100" i="31"/>
  <c r="KC100" i="31"/>
  <c r="JU100" i="31"/>
  <c r="JT101" i="31"/>
  <c r="IA100" i="31"/>
  <c r="IB100" i="31" s="1"/>
  <c r="HP100" i="31"/>
  <c r="IZ100" i="31"/>
  <c r="KV100" i="31" l="1"/>
  <c r="KW101" i="31" s="1"/>
  <c r="HQ100" i="31"/>
  <c r="HR101" i="31" s="1"/>
  <c r="AX100" i="31"/>
  <c r="AY101" i="31" s="1"/>
  <c r="AZ100" i="31"/>
  <c r="EN100" i="31"/>
  <c r="EM100" i="31"/>
  <c r="EW100" i="31" s="1"/>
  <c r="HT100" i="31"/>
  <c r="HS100" i="31"/>
  <c r="JG100" i="31" s="1"/>
  <c r="NL101" i="31"/>
  <c r="NK101" i="31"/>
  <c r="NG102" i="31"/>
  <c r="OQ102" i="31"/>
  <c r="NR101" i="31"/>
  <c r="KS101" i="31"/>
  <c r="OR102" i="31" l="1"/>
  <c r="NC102" i="31"/>
  <c r="MQ102" i="31"/>
  <c r="BB101" i="31"/>
  <c r="DW100" i="31"/>
  <c r="DU101" i="31" s="1"/>
  <c r="IW100" i="31"/>
  <c r="EQ100" i="31"/>
  <c r="ER101" i="31"/>
  <c r="IU100" i="31"/>
  <c r="IV100" i="31" s="1"/>
  <c r="IC100" i="31"/>
  <c r="ID100" i="31" s="1"/>
  <c r="IF100" i="31" s="1"/>
  <c r="KH100" i="31" s="1"/>
  <c r="JB100" i="31"/>
  <c r="IM100" i="31" l="1"/>
  <c r="GM100" i="31"/>
  <c r="DB100" i="31"/>
  <c r="DC100" i="31" s="1"/>
  <c r="DD101" i="31" s="1"/>
  <c r="DE102" i="31" s="1"/>
  <c r="KI101" i="31"/>
  <c r="IN100" i="31"/>
  <c r="DF100" i="31"/>
  <c r="BC101" i="31"/>
  <c r="KB100" i="31"/>
  <c r="IX100" i="31"/>
  <c r="KK100" i="31"/>
  <c r="EU101" i="31"/>
  <c r="GT102" i="31" l="1"/>
  <c r="FD100" i="31"/>
  <c r="GU100" i="31"/>
  <c r="GV100" i="31"/>
  <c r="KJ101" i="31"/>
  <c r="DT100" i="31"/>
  <c r="DZ100" i="31" s="1"/>
  <c r="GR100" i="31"/>
  <c r="BD101" i="31"/>
  <c r="BE101" i="31"/>
  <c r="BF101" i="31" l="1"/>
  <c r="BG101" i="31"/>
  <c r="IS100" i="31"/>
  <c r="FL101" i="31"/>
  <c r="GS100" i="31"/>
  <c r="GY100" i="31" l="1"/>
  <c r="GX100" i="31"/>
  <c r="GW100" i="31"/>
  <c r="HC100" i="31" s="1"/>
  <c r="FA101" i="31" s="1"/>
  <c r="HB101" i="31" s="1"/>
  <c r="JH100" i="31"/>
  <c r="JI100" i="31" s="1"/>
  <c r="IT100" i="31"/>
  <c r="FM101" i="31"/>
  <c r="BH101" i="31"/>
  <c r="BI101" i="31"/>
  <c r="BK101" i="31" s="1"/>
  <c r="BJ101" i="31" l="1"/>
  <c r="JK100" i="31"/>
  <c r="JZ100" i="31" s="1"/>
  <c r="KF100" i="31" s="1"/>
  <c r="IQ101" i="31" s="1"/>
  <c r="EY100" i="31"/>
  <c r="HM100" i="31"/>
  <c r="EG100" i="31"/>
  <c r="EH101" i="31" s="1"/>
  <c r="EI101" i="31" s="1"/>
  <c r="FK101" i="31" s="1"/>
  <c r="HK101" i="31"/>
  <c r="BL101" i="31"/>
  <c r="BM101" i="31"/>
  <c r="JM100" i="31" l="1"/>
  <c r="KD100" i="31" s="1"/>
  <c r="IL101" i="31" s="1"/>
  <c r="JN100" i="31"/>
  <c r="JV100" i="31" s="1"/>
  <c r="JF101" i="31" s="1"/>
  <c r="JW101" i="31" s="1"/>
  <c r="EZ100" i="31"/>
  <c r="DG100" i="31"/>
  <c r="DH100" i="31" s="1"/>
  <c r="DI101" i="31" s="1"/>
  <c r="BN101" i="31"/>
  <c r="BO101" i="31"/>
  <c r="EJ100" i="31"/>
  <c r="EK101" i="31" s="1"/>
  <c r="EE100" i="31"/>
  <c r="EF101" i="31" s="1"/>
  <c r="ED100" i="31"/>
  <c r="EB101" i="31" s="1"/>
  <c r="JA101" i="31" s="1"/>
  <c r="JL100" i="31"/>
  <c r="JJ101" i="31" s="1"/>
  <c r="KA101" i="31"/>
  <c r="IO101" i="31" l="1"/>
  <c r="JY101" i="31"/>
  <c r="JO101" i="31"/>
  <c r="IR101" i="31"/>
  <c r="JE101" i="31"/>
  <c r="IP101" i="31"/>
  <c r="HZ101" i="31"/>
  <c r="BP101" i="31"/>
  <c r="BQ101" i="31" s="1"/>
  <c r="EP101" i="31"/>
  <c r="ET102" i="31" s="1"/>
  <c r="EO101" i="31"/>
  <c r="ES102" i="31" s="1"/>
  <c r="EL101" i="31"/>
  <c r="FC101" i="31"/>
  <c r="EV101" i="31"/>
  <c r="GZ101" i="31"/>
  <c r="IE101" i="31" s="1"/>
  <c r="DJ101" i="31"/>
  <c r="DK101" i="31" s="1"/>
  <c r="DP101" i="31"/>
  <c r="IY101" i="31"/>
  <c r="JC101" i="31"/>
  <c r="JD101" i="31"/>
  <c r="JP101" i="31" l="1"/>
  <c r="JQ101" i="31" s="1"/>
  <c r="JX101" i="31"/>
  <c r="KG101" i="31"/>
  <c r="BR101" i="31"/>
  <c r="BS101" i="31"/>
  <c r="FQ101" i="31"/>
  <c r="DM101" i="31"/>
  <c r="DX101" i="31"/>
  <c r="EC101" i="31"/>
  <c r="DL101" i="31" l="1"/>
  <c r="L102" i="31"/>
  <c r="BT101" i="31"/>
  <c r="BU101" i="31"/>
  <c r="EX101" i="31"/>
  <c r="M101" i="31" s="1"/>
  <c r="FB101" i="31"/>
  <c r="BV101" i="31" l="1"/>
  <c r="BW101" i="31" s="1"/>
  <c r="MB101" i="31"/>
  <c r="MJ101" i="31"/>
  <c r="NS101" i="31" s="1"/>
  <c r="NM101" i="31" l="1"/>
  <c r="NN101" i="31" s="1"/>
  <c r="NT101" i="31"/>
  <c r="OU102" i="31"/>
  <c r="BY101" i="31"/>
  <c r="BX101" i="31"/>
  <c r="OV102" i="31" l="1"/>
  <c r="NW101" i="31"/>
  <c r="NX101" i="31" s="1"/>
  <c r="OF101" i="31" s="1"/>
  <c r="OS102" i="31" s="1"/>
  <c r="BZ101" i="31"/>
  <c r="CA101" i="31"/>
  <c r="FV101" i="31"/>
  <c r="CX101" i="31"/>
  <c r="FR101" i="31"/>
  <c r="NU101" i="31"/>
  <c r="CB101" i="31" l="1"/>
  <c r="CC101" i="31" s="1"/>
  <c r="NY101" i="31"/>
  <c r="NV101" i="31"/>
  <c r="MY101" i="31"/>
  <c r="NZ101" i="31"/>
  <c r="CY102" i="31"/>
  <c r="CE101" i="31" l="1"/>
  <c r="CG101" i="31" s="1"/>
  <c r="CD101" i="31"/>
  <c r="OB101" i="31"/>
  <c r="OT102" i="31" s="1"/>
  <c r="OA101" i="31"/>
  <c r="MV102" i="31" s="1"/>
  <c r="OG102" i="31" s="1"/>
  <c r="OI101" i="31"/>
  <c r="OO102" i="31"/>
  <c r="OM102" i="31"/>
  <c r="NF102" i="31"/>
  <c r="MZ102" i="31"/>
  <c r="OZ101" i="31"/>
  <c r="CF101" i="31" l="1"/>
  <c r="KT102" i="31"/>
  <c r="CH101" i="31"/>
  <c r="CI101" i="31" s="1"/>
  <c r="OC101" i="31"/>
  <c r="OD102" i="31" s="1"/>
  <c r="OH102" i="31" s="1"/>
  <c r="OK102" i="31" s="1"/>
  <c r="PA101" i="31"/>
  <c r="KM102" i="31"/>
  <c r="KO103" i="31" s="1"/>
  <c r="KL102" i="31"/>
  <c r="KN103" i="31" s="1"/>
  <c r="OX102" i="31"/>
  <c r="OW101" i="31"/>
  <c r="MR102" i="31"/>
  <c r="OJ101" i="31"/>
  <c r="CK101" i="31" l="1"/>
  <c r="CJ101" i="31"/>
  <c r="CO101" i="31" s="1"/>
  <c r="KP103" i="31"/>
  <c r="KR102" i="31"/>
  <c r="KQ102" i="31"/>
  <c r="OY102" i="31"/>
  <c r="MW102" i="31"/>
  <c r="MS102" i="31"/>
  <c r="CL101" i="31" l="1"/>
  <c r="CM101" i="31"/>
  <c r="CN101" i="31" s="1"/>
  <c r="KS102" i="31"/>
  <c r="MO102" i="31"/>
  <c r="NP102" i="31"/>
  <c r="MT102" i="31"/>
  <c r="NH103" i="31"/>
  <c r="NI103" i="31" s="1"/>
  <c r="NQ102" i="31"/>
  <c r="NJ102" i="31"/>
  <c r="MU102" i="31"/>
  <c r="PE102" i="31"/>
  <c r="MX102" i="31"/>
  <c r="CP101" i="31" l="1"/>
  <c r="CQ101" i="31" s="1"/>
  <c r="NR102" i="31"/>
  <c r="NK102" i="31"/>
  <c r="NL102" i="31"/>
  <c r="NG103" i="31"/>
  <c r="OQ103" i="31"/>
  <c r="NA102" i="31"/>
  <c r="NB102" i="31"/>
  <c r="FZ101" i="31" l="1"/>
  <c r="GA101" i="31" s="1"/>
  <c r="FH101" i="31"/>
  <c r="FI101" i="31" s="1"/>
  <c r="HU101" i="31" s="1"/>
  <c r="HV102" i="31" s="1"/>
  <c r="JR101" i="31"/>
  <c r="JS101" i="31" s="1"/>
  <c r="JU101" i="31" s="1"/>
  <c r="FU101" i="31"/>
  <c r="FW101" i="31" s="1"/>
  <c r="KU101" i="31"/>
  <c r="GO101" i="31"/>
  <c r="KX101" i="31"/>
  <c r="GN101" i="31" s="1"/>
  <c r="KV101" i="31" s="1"/>
  <c r="HO101" i="31"/>
  <c r="IA101" i="31" s="1"/>
  <c r="IB101" i="31" s="1"/>
  <c r="FP101" i="31"/>
  <c r="FS101" i="31" s="1"/>
  <c r="HA101" i="31" s="1"/>
  <c r="DQ101" i="31"/>
  <c r="DR101" i="31" s="1"/>
  <c r="DS101" i="31" s="1"/>
  <c r="GB101" i="31"/>
  <c r="GC101" i="31" s="1"/>
  <c r="FE101" i="31"/>
  <c r="FF101" i="31" s="1"/>
  <c r="HW101" i="31" s="1"/>
  <c r="HX102" i="31" s="1"/>
  <c r="FX101" i="31"/>
  <c r="FY101" i="31" s="1"/>
  <c r="OR103" i="31"/>
  <c r="NC103" i="31"/>
  <c r="MQ103" i="31"/>
  <c r="CS101" i="31"/>
  <c r="CT101" i="31"/>
  <c r="CR101" i="31"/>
  <c r="JT102" i="31"/>
  <c r="KW102" i="31" l="1"/>
  <c r="HQ101" i="31"/>
  <c r="HR102" i="31" s="1"/>
  <c r="DY101" i="31"/>
  <c r="HY101" i="31"/>
  <c r="FJ102" i="31"/>
  <c r="KE101" i="31"/>
  <c r="KC101" i="31"/>
  <c r="FG102" i="31"/>
  <c r="HP101" i="31"/>
  <c r="HS101" i="31" s="1"/>
  <c r="JG101" i="31" s="1"/>
  <c r="GQ101" i="31"/>
  <c r="IZ101" i="31"/>
  <c r="AX101" i="31"/>
  <c r="AY102" i="31" s="1"/>
  <c r="EN101" i="31"/>
  <c r="EM101" i="31"/>
  <c r="EW101" i="31" s="1"/>
  <c r="AZ101" i="31"/>
  <c r="HT101" i="31" l="1"/>
  <c r="IC101" i="31" s="1"/>
  <c r="ID101" i="31" s="1"/>
  <c r="IF101" i="31" s="1"/>
  <c r="KH101" i="31" s="1"/>
  <c r="BB102" i="31"/>
  <c r="DW101" i="31"/>
  <c r="DU102" i="31" s="1"/>
  <c r="EQ101" i="31"/>
  <c r="ER102" i="31"/>
  <c r="IU101" i="31"/>
  <c r="IV101" i="31" s="1"/>
  <c r="JB101" i="31" l="1"/>
  <c r="IW101" i="31"/>
  <c r="KB101" i="31" s="1"/>
  <c r="EU102" i="31"/>
  <c r="IX101" i="31"/>
  <c r="KK101" i="31"/>
  <c r="IM101" i="31"/>
  <c r="DB101" i="31"/>
  <c r="DC101" i="31" s="1"/>
  <c r="DD102" i="31" s="1"/>
  <c r="DE103" i="31" s="1"/>
  <c r="GM101" i="31"/>
  <c r="KI102" i="31"/>
  <c r="IN101" i="31"/>
  <c r="DF101" i="31"/>
  <c r="BC102" i="31"/>
  <c r="GT103" i="31" l="1"/>
  <c r="FD101" i="31"/>
  <c r="GU101" i="31"/>
  <c r="GV101" i="31"/>
  <c r="KJ102" i="31"/>
  <c r="GR101" i="31"/>
  <c r="BD102" i="31"/>
  <c r="BE102" i="31"/>
  <c r="DT101" i="31"/>
  <c r="DZ101" i="31" s="1"/>
  <c r="BF102" i="31" l="1"/>
  <c r="BG102" i="31"/>
  <c r="IS101" i="31"/>
  <c r="FL102" i="31"/>
  <c r="GS101" i="31"/>
  <c r="JH101" i="31" l="1"/>
  <c r="JI101" i="31" s="1"/>
  <c r="IT101" i="31"/>
  <c r="GW101" i="31"/>
  <c r="HC101" i="31" s="1"/>
  <c r="FA102" i="31" s="1"/>
  <c r="HB102" i="31" s="1"/>
  <c r="GX101" i="31"/>
  <c r="GY101" i="31"/>
  <c r="BH102" i="31"/>
  <c r="BI102" i="31"/>
  <c r="BK102" i="31" s="1"/>
  <c r="FM102" i="31"/>
  <c r="BJ102" i="31" l="1"/>
  <c r="BL102" i="31"/>
  <c r="BM102" i="31"/>
  <c r="EY101" i="31"/>
  <c r="HM101" i="31"/>
  <c r="EG101" i="31"/>
  <c r="EH102" i="31" s="1"/>
  <c r="EI102" i="31" s="1"/>
  <c r="FK102" i="31" s="1"/>
  <c r="HK102" i="31"/>
  <c r="JK101" i="31"/>
  <c r="JN101" i="31" s="1"/>
  <c r="JV101" i="31" s="1"/>
  <c r="JF102" i="31" s="1"/>
  <c r="EJ101" i="31" l="1"/>
  <c r="EK102" i="31" s="1"/>
  <c r="EE101" i="31"/>
  <c r="EF102" i="31" s="1"/>
  <c r="ED101" i="31"/>
  <c r="EB102" i="31" s="1"/>
  <c r="JY102" i="31"/>
  <c r="JW102" i="31"/>
  <c r="JM101" i="31"/>
  <c r="KD101" i="31" s="1"/>
  <c r="IL102" i="31" s="1"/>
  <c r="JL101" i="31"/>
  <c r="JJ102" i="31" s="1"/>
  <c r="KA102" i="31"/>
  <c r="BN102" i="31"/>
  <c r="BO102" i="31"/>
  <c r="BP102" i="31" s="1"/>
  <c r="JZ101" i="31"/>
  <c r="KF101" i="31" s="1"/>
  <c r="IQ102" i="31" s="1"/>
  <c r="EZ101" i="31"/>
  <c r="DG101" i="31"/>
  <c r="DH101" i="31" s="1"/>
  <c r="DI102" i="31" s="1"/>
  <c r="JO102" i="31" l="1"/>
  <c r="JE102" i="31"/>
  <c r="IY102" i="31"/>
  <c r="IR102" i="31"/>
  <c r="JA102" i="31"/>
  <c r="HZ102" i="31"/>
  <c r="EO102" i="31"/>
  <c r="ES103" i="31" s="1"/>
  <c r="EP102" i="31"/>
  <c r="ET103" i="31" s="1"/>
  <c r="FC102" i="31"/>
  <c r="EL102" i="31"/>
  <c r="EV102" i="31"/>
  <c r="BQ102" i="31"/>
  <c r="DJ102" i="31"/>
  <c r="DK102" i="31" s="1"/>
  <c r="GZ102" i="31"/>
  <c r="IE102" i="31" s="1"/>
  <c r="IO102" i="31"/>
  <c r="IP102" i="31"/>
  <c r="DP102" i="31"/>
  <c r="JC102" i="31"/>
  <c r="JD102" i="31"/>
  <c r="EC102" i="31" l="1"/>
  <c r="KG102" i="31"/>
  <c r="FQ102" i="31"/>
  <c r="DM102" i="31"/>
  <c r="DX102" i="31"/>
  <c r="BR102" i="31"/>
  <c r="BS102" i="31"/>
  <c r="JP102" i="31"/>
  <c r="JQ102" i="31" s="1"/>
  <c r="JX102" i="31"/>
  <c r="BT102" i="31" l="1"/>
  <c r="BU102" i="31"/>
  <c r="DL102" i="31"/>
  <c r="L103" i="31"/>
  <c r="FB102" i="31"/>
  <c r="EX102" i="31"/>
  <c r="M102" i="31" s="1"/>
  <c r="BV102" i="31" l="1"/>
  <c r="BW102" i="31" s="1"/>
  <c r="MB102" i="31"/>
  <c r="NM102" i="31" s="1"/>
  <c r="NN102" i="31" s="1"/>
  <c r="MJ102" i="31"/>
  <c r="NS102" i="31" s="1"/>
  <c r="BY102" i="31" l="1"/>
  <c r="BX102" i="31"/>
  <c r="NT102" i="31"/>
  <c r="OU103" i="31"/>
  <c r="OV103" i="31"/>
  <c r="NW102" i="31"/>
  <c r="NX102" i="31" l="1"/>
  <c r="FR102" i="31"/>
  <c r="FV102" i="31"/>
  <c r="CX102" i="31"/>
  <c r="NU102" i="31"/>
  <c r="BZ102" i="31"/>
  <c r="CA102" i="31"/>
  <c r="CB102" i="31" l="1"/>
  <c r="CC102" i="31" s="1"/>
  <c r="NV102" i="31"/>
  <c r="NY102" i="31"/>
  <c r="MY102" i="31"/>
  <c r="NZ102" i="31"/>
  <c r="CY103" i="31"/>
  <c r="OF102" i="31"/>
  <c r="OS103" i="31" s="1"/>
  <c r="CD102" i="31" l="1"/>
  <c r="CE102" i="31"/>
  <c r="CF102" i="31" s="1"/>
  <c r="OI102" i="31"/>
  <c r="OX103" i="31" s="1"/>
  <c r="OO103" i="31"/>
  <c r="NF103" i="31"/>
  <c r="OM103" i="31"/>
  <c r="OA102" i="31"/>
  <c r="MV103" i="31" s="1"/>
  <c r="MZ103" i="31"/>
  <c r="OZ102" i="31"/>
  <c r="OB102" i="31"/>
  <c r="OT103" i="31" s="1"/>
  <c r="CG102" i="31" l="1"/>
  <c r="CH102" i="31" s="1"/>
  <c r="CI102" i="31" s="1"/>
  <c r="MR103" i="31"/>
  <c r="MS103" i="31" s="1"/>
  <c r="OW102" i="31"/>
  <c r="OJ102" i="31"/>
  <c r="OC102" i="31"/>
  <c r="OD103" i="31" s="1"/>
  <c r="OH103" i="31" s="1"/>
  <c r="PA102" i="31"/>
  <c r="KT103" i="31"/>
  <c r="OG103" i="31"/>
  <c r="CK102" i="31" l="1"/>
  <c r="CL102" i="31" s="1"/>
  <c r="CJ102" i="31"/>
  <c r="CO102" i="31" s="1"/>
  <c r="NP103" i="31"/>
  <c r="MU103" i="31"/>
  <c r="NJ103" i="31"/>
  <c r="NH104" i="31"/>
  <c r="NI104" i="31" s="1"/>
  <c r="MO103" i="31"/>
  <c r="MT103" i="31"/>
  <c r="NQ103" i="31"/>
  <c r="PE103" i="31"/>
  <c r="KL103" i="31"/>
  <c r="KN104" i="31" s="1"/>
  <c r="KM103" i="31"/>
  <c r="KO104" i="31" s="1"/>
  <c r="OK103" i="31"/>
  <c r="MW103" i="31"/>
  <c r="OY103" i="31"/>
  <c r="CM102" i="31" l="1"/>
  <c r="CN102" i="31" s="1"/>
  <c r="CP102" i="31" s="1"/>
  <c r="NR103" i="31"/>
  <c r="MX103" i="31"/>
  <c r="KP104" i="31"/>
  <c r="KR103" i="31"/>
  <c r="NK103" i="31"/>
  <c r="NL103" i="31"/>
  <c r="NG104" i="31"/>
  <c r="OQ104" i="31"/>
  <c r="KQ103" i="31"/>
  <c r="KS103" i="31" l="1"/>
  <c r="OR104" i="31"/>
  <c r="NB103" i="31"/>
  <c r="NA103" i="31"/>
  <c r="FZ102" i="31"/>
  <c r="GA102" i="31" s="1"/>
  <c r="GB102" i="31"/>
  <c r="GC102" i="31" s="1"/>
  <c r="CQ102" i="31"/>
  <c r="FP102" i="31"/>
  <c r="FS102" i="31" s="1"/>
  <c r="FH102" i="31"/>
  <c r="FI102" i="31" s="1"/>
  <c r="FX102" i="31"/>
  <c r="FY102" i="31" s="1"/>
  <c r="FU102" i="31"/>
  <c r="FW102" i="31" s="1"/>
  <c r="HO102" i="31"/>
  <c r="GO102" i="31"/>
  <c r="DQ102" i="31"/>
  <c r="DR102" i="31" s="1"/>
  <c r="FE102" i="31"/>
  <c r="FF102" i="31" s="1"/>
  <c r="JR102" i="31"/>
  <c r="JS102" i="31" s="1"/>
  <c r="KX102" i="31"/>
  <c r="KU102" i="31"/>
  <c r="NC104" i="31"/>
  <c r="MQ104" i="31"/>
  <c r="GN102" i="31" l="1"/>
  <c r="GQ102" i="31" s="1"/>
  <c r="CR102" i="31"/>
  <c r="CT102" i="31"/>
  <c r="CS102" i="31"/>
  <c r="IA102" i="31"/>
  <c r="IB102" i="31" s="1"/>
  <c r="HP102" i="31"/>
  <c r="IZ102" i="31"/>
  <c r="HW102" i="31"/>
  <c r="HX103" i="31" s="1"/>
  <c r="FG103" i="31"/>
  <c r="DS102" i="31"/>
  <c r="HU102" i="31"/>
  <c r="HV103" i="31" s="1"/>
  <c r="FJ103" i="31"/>
  <c r="JU102" i="31"/>
  <c r="KE102" i="31"/>
  <c r="JT103" i="31"/>
  <c r="KC102" i="31"/>
  <c r="HA102" i="31"/>
  <c r="DY102" i="31"/>
  <c r="HY102" i="31"/>
  <c r="KV102" i="31" l="1"/>
  <c r="KW103" i="31" s="1"/>
  <c r="HQ102" i="31"/>
  <c r="HR103" i="31" s="1"/>
  <c r="HT102" i="31"/>
  <c r="HS102" i="31"/>
  <c r="JG102" i="31" s="1"/>
  <c r="AX102" i="31"/>
  <c r="AY103" i="31" s="1"/>
  <c r="EM102" i="31"/>
  <c r="EW102" i="31" s="1"/>
  <c r="AZ102" i="31"/>
  <c r="EN102" i="31"/>
  <c r="IC102" i="31" l="1"/>
  <c r="ID102" i="31" s="1"/>
  <c r="IF102" i="31" s="1"/>
  <c r="KH102" i="31" s="1"/>
  <c r="JB102" i="31"/>
  <c r="BB103" i="31"/>
  <c r="EQ102" i="31"/>
  <c r="DW102" i="31"/>
  <c r="DU103" i="31" s="1"/>
  <c r="IW102" i="31"/>
  <c r="ER103" i="31"/>
  <c r="IU102" i="31"/>
  <c r="IV102" i="31" s="1"/>
  <c r="BC103" i="31" l="1"/>
  <c r="KB102" i="31"/>
  <c r="IX102" i="31"/>
  <c r="KK102" i="31"/>
  <c r="GM102" i="31"/>
  <c r="IM102" i="31"/>
  <c r="DT102" i="31" s="1"/>
  <c r="DZ102" i="31" s="1"/>
  <c r="DB102" i="31"/>
  <c r="DC102" i="31" s="1"/>
  <c r="DD103" i="31" s="1"/>
  <c r="DE104" i="31" s="1"/>
  <c r="KI103" i="31"/>
  <c r="IN102" i="31"/>
  <c r="DF102" i="31"/>
  <c r="EU103" i="31"/>
  <c r="GT104" i="31" l="1"/>
  <c r="FD102" i="31"/>
  <c r="GU102" i="31"/>
  <c r="GV102" i="31"/>
  <c r="KJ103" i="31"/>
  <c r="GR102" i="31"/>
  <c r="BD103" i="31"/>
  <c r="BE103" i="31"/>
  <c r="BF103" i="31" l="1"/>
  <c r="BG103" i="31"/>
  <c r="IS102" i="31"/>
  <c r="FL103" i="31"/>
  <c r="GS102" i="31"/>
  <c r="JH102" i="31" l="1"/>
  <c r="JI102" i="31" s="1"/>
  <c r="IT102" i="31"/>
  <c r="GW102" i="31"/>
  <c r="HC102" i="31" s="1"/>
  <c r="FA103" i="31" s="1"/>
  <c r="HB103" i="31" s="1"/>
  <c r="GY102" i="31"/>
  <c r="GX102" i="31"/>
  <c r="BI103" i="31"/>
  <c r="BK103" i="31" s="1"/>
  <c r="BH103" i="31"/>
  <c r="FM103" i="31"/>
  <c r="BL103" i="31" l="1"/>
  <c r="BM103" i="31"/>
  <c r="EY102" i="31"/>
  <c r="HM102" i="31"/>
  <c r="EG102" i="31"/>
  <c r="EH103" i="31" s="1"/>
  <c r="EI103" i="31" s="1"/>
  <c r="FK103" i="31" s="1"/>
  <c r="HK103" i="31"/>
  <c r="BJ103" i="31"/>
  <c r="JK102" i="31"/>
  <c r="JZ102" i="31" s="1"/>
  <c r="KF102" i="31" s="1"/>
  <c r="IQ103" i="31" s="1"/>
  <c r="JN102" i="31" l="1"/>
  <c r="JV102" i="31" s="1"/>
  <c r="JF103" i="31" s="1"/>
  <c r="JY103" i="31" s="1"/>
  <c r="EE102" i="31"/>
  <c r="EF103" i="31" s="1"/>
  <c r="ED102" i="31"/>
  <c r="EB103" i="31" s="1"/>
  <c r="EJ102" i="31"/>
  <c r="EK103" i="31" s="1"/>
  <c r="EZ102" i="31"/>
  <c r="DG102" i="31"/>
  <c r="DH102" i="31" s="1"/>
  <c r="DI103" i="31" s="1"/>
  <c r="BN103" i="31"/>
  <c r="BO103" i="31"/>
  <c r="JM102" i="31"/>
  <c r="KD102" i="31" s="1"/>
  <c r="IL103" i="31" s="1"/>
  <c r="JE103" i="31" s="1"/>
  <c r="JL102" i="31"/>
  <c r="JJ103" i="31" s="1"/>
  <c r="KA103" i="31"/>
  <c r="JW103" i="31" l="1"/>
  <c r="JO103" i="31"/>
  <c r="EP103" i="31"/>
  <c r="ET104" i="31" s="1"/>
  <c r="EL103" i="31"/>
  <c r="EO103" i="31"/>
  <c r="ES104" i="31" s="1"/>
  <c r="FC103" i="31"/>
  <c r="EV103" i="31"/>
  <c r="IY103" i="31"/>
  <c r="BP103" i="31"/>
  <c r="BQ103" i="31" s="1"/>
  <c r="HZ103" i="31"/>
  <c r="IR103" i="31"/>
  <c r="JC103" i="31"/>
  <c r="JD103" i="31"/>
  <c r="DP103" i="31"/>
  <c r="DJ103" i="31"/>
  <c r="DK103" i="31" s="1"/>
  <c r="GZ103" i="31"/>
  <c r="IE103" i="31" s="1"/>
  <c r="IO103" i="31"/>
  <c r="IP103" i="31"/>
  <c r="JA103" i="31"/>
  <c r="BR103" i="31" l="1"/>
  <c r="BS103" i="31"/>
  <c r="EC103" i="31"/>
  <c r="JP103" i="31"/>
  <c r="JQ103" i="31" s="1"/>
  <c r="KG103" i="31"/>
  <c r="FQ103" i="31"/>
  <c r="DM103" i="31"/>
  <c r="DX103" i="31"/>
  <c r="JX103" i="31"/>
  <c r="EX103" i="31" l="1"/>
  <c r="M103" i="31" s="1"/>
  <c r="FB103" i="31"/>
  <c r="BT103" i="31"/>
  <c r="BU103" i="31"/>
  <c r="DL103" i="31"/>
  <c r="L104" i="31"/>
  <c r="MJ103" i="31" l="1"/>
  <c r="NS103" i="31" s="1"/>
  <c r="MB103" i="31"/>
  <c r="NM103" i="31" s="1"/>
  <c r="NN103" i="31" s="1"/>
  <c r="BV103" i="31"/>
  <c r="BW103" i="31" s="1"/>
  <c r="BY103" i="31" l="1"/>
  <c r="BX103" i="31"/>
  <c r="OV104" i="31"/>
  <c r="NW103" i="31"/>
  <c r="NT103" i="31"/>
  <c r="OU104" i="31"/>
  <c r="FR103" i="31" l="1"/>
  <c r="FV103" i="31"/>
  <c r="CX103" i="31"/>
  <c r="NU103" i="31"/>
  <c r="NX103" i="31"/>
  <c r="BZ103" i="31"/>
  <c r="CA103" i="31"/>
  <c r="NV103" i="31" l="1"/>
  <c r="MY103" i="31"/>
  <c r="NZ103" i="31"/>
  <c r="CY104" i="31"/>
  <c r="CB103" i="31"/>
  <c r="CC103" i="31" s="1"/>
  <c r="NY103" i="31"/>
  <c r="OF103" i="31"/>
  <c r="OS104" i="31" s="1"/>
  <c r="CD103" i="31" l="1"/>
  <c r="CE103" i="31"/>
  <c r="CF103" i="31" s="1"/>
  <c r="MZ104" i="31"/>
  <c r="OZ103" i="31"/>
  <c r="OB103" i="31"/>
  <c r="OT104" i="31" s="1"/>
  <c r="OI103" i="31"/>
  <c r="NF104" i="31"/>
  <c r="OO104" i="31"/>
  <c r="OM104" i="31"/>
  <c r="OA103" i="31"/>
  <c r="MV104" i="31" s="1"/>
  <c r="OG104" i="31" s="1"/>
  <c r="CG103" i="31" l="1"/>
  <c r="CH103" i="31" s="1"/>
  <c r="CI103" i="31" s="1"/>
  <c r="PA103" i="31"/>
  <c r="OC103" i="31"/>
  <c r="OD104" i="31" s="1"/>
  <c r="OH104" i="31" s="1"/>
  <c r="OK104" i="31" s="1"/>
  <c r="OJ103" i="31"/>
  <c r="MW104" i="31" s="1"/>
  <c r="KT104" i="31"/>
  <c r="KL104" i="31" s="1"/>
  <c r="KN105" i="31" s="1"/>
  <c r="OX104" i="31"/>
  <c r="OW103" i="31"/>
  <c r="MR104" i="31"/>
  <c r="OY104" i="31" l="1"/>
  <c r="CJ103" i="31"/>
  <c r="CO103" i="31" s="1"/>
  <c r="CK103" i="31"/>
  <c r="CL103" i="31" s="1"/>
  <c r="KM104" i="31"/>
  <c r="KO105" i="31" s="1"/>
  <c r="KP105" i="31" s="1"/>
  <c r="KQ104" i="31"/>
  <c r="MS104" i="31"/>
  <c r="MX104" i="31"/>
  <c r="CM103" i="31" l="1"/>
  <c r="CN103" i="31" s="1"/>
  <c r="CP103" i="31" s="1"/>
  <c r="KR104" i="31"/>
  <c r="KS104" i="31" s="1"/>
  <c r="MU104" i="31"/>
  <c r="MO104" i="31"/>
  <c r="NJ104" i="31"/>
  <c r="NH105" i="31"/>
  <c r="NI105" i="31" s="1"/>
  <c r="MT104" i="31"/>
  <c r="NP104" i="31"/>
  <c r="NQ104" i="31"/>
  <c r="PE104" i="31"/>
  <c r="NA104" i="31"/>
  <c r="NB104" i="31"/>
  <c r="NR104" i="31" l="1"/>
  <c r="NL104" i="31"/>
  <c r="NK104" i="31"/>
  <c r="NG105" i="31"/>
  <c r="OQ105" i="31"/>
  <c r="FE103" i="31"/>
  <c r="FF103" i="31" s="1"/>
  <c r="FP103" i="31"/>
  <c r="FS103" i="31" s="1"/>
  <c r="GO103" i="31"/>
  <c r="JR103" i="31"/>
  <c r="JS103" i="31" s="1"/>
  <c r="DQ103" i="31"/>
  <c r="DR103" i="31" s="1"/>
  <c r="FX103" i="31"/>
  <c r="FY103" i="31" s="1"/>
  <c r="FZ103" i="31"/>
  <c r="GA103" i="31" s="1"/>
  <c r="HO103" i="31"/>
  <c r="FU103" i="31"/>
  <c r="FW103" i="31" s="1"/>
  <c r="GB103" i="31"/>
  <c r="GC103" i="31" s="1"/>
  <c r="FH103" i="31"/>
  <c r="FI103" i="31" s="1"/>
  <c r="CQ103" i="31"/>
  <c r="KX103" i="31"/>
  <c r="GN103" i="31" s="1"/>
  <c r="KU103" i="31"/>
  <c r="HW103" i="31" l="1"/>
  <c r="HX104" i="31" s="1"/>
  <c r="FG104" i="31"/>
  <c r="OR105" i="31"/>
  <c r="IA103" i="31"/>
  <c r="IB103" i="31" s="1"/>
  <c r="HP103" i="31"/>
  <c r="IZ103" i="31"/>
  <c r="GQ103" i="31"/>
  <c r="KV103" i="31"/>
  <c r="DS103" i="31"/>
  <c r="CR103" i="31"/>
  <c r="CS103" i="31"/>
  <c r="CT103" i="31"/>
  <c r="KE103" i="31"/>
  <c r="JU103" i="31"/>
  <c r="KC103" i="31"/>
  <c r="JT104" i="31"/>
  <c r="NC105" i="31"/>
  <c r="MQ105" i="31"/>
  <c r="HU103" i="31"/>
  <c r="HV104" i="31" s="1"/>
  <c r="FJ104" i="31"/>
  <c r="HA103" i="31"/>
  <c r="HY103" i="31"/>
  <c r="DY103" i="31"/>
  <c r="KW104" i="31" l="1"/>
  <c r="HQ103" i="31"/>
  <c r="HR104" i="31" s="1"/>
  <c r="AX103" i="31"/>
  <c r="AY104" i="31" s="1"/>
  <c r="EN103" i="31"/>
  <c r="AZ103" i="31"/>
  <c r="EM103" i="31"/>
  <c r="EW103" i="31" s="1"/>
  <c r="HS103" i="31"/>
  <c r="JG103" i="31" s="1"/>
  <c r="HT103" i="31"/>
  <c r="IC103" i="31" l="1"/>
  <c r="ID103" i="31" s="1"/>
  <c r="IF103" i="31" s="1"/>
  <c r="KH103" i="31" s="1"/>
  <c r="JB103" i="31"/>
  <c r="BB104" i="31"/>
  <c r="EQ103" i="31"/>
  <c r="DW103" i="31"/>
  <c r="DU104" i="31" s="1"/>
  <c r="ER104" i="31"/>
  <c r="IU103" i="31"/>
  <c r="IV103" i="31" s="1"/>
  <c r="IW103" i="31" l="1"/>
  <c r="KB103" i="31" s="1"/>
  <c r="BC104" i="31"/>
  <c r="KK103" i="31"/>
  <c r="IX103" i="31"/>
  <c r="EU104" i="31"/>
  <c r="IM103" i="31"/>
  <c r="GM103" i="31"/>
  <c r="DB103" i="31"/>
  <c r="DC103" i="31" s="1"/>
  <c r="DD104" i="31" s="1"/>
  <c r="DE105" i="31" s="1"/>
  <c r="KI104" i="31"/>
  <c r="IN103" i="31"/>
  <c r="DF103" i="31"/>
  <c r="GT105" i="31" l="1"/>
  <c r="DT103" i="31"/>
  <c r="DZ103" i="31" s="1"/>
  <c r="GU103" i="31"/>
  <c r="GV103" i="31"/>
  <c r="FD103" i="31"/>
  <c r="KJ104" i="31"/>
  <c r="GR103" i="31"/>
  <c r="BD104" i="31"/>
  <c r="BE104" i="31"/>
  <c r="IS103" i="31" l="1"/>
  <c r="FL104" i="31"/>
  <c r="GS103" i="31"/>
  <c r="BG104" i="31"/>
  <c r="BF104" i="31"/>
  <c r="GW103" i="31" l="1"/>
  <c r="HC103" i="31" s="1"/>
  <c r="FA104" i="31" s="1"/>
  <c r="HB104" i="31" s="1"/>
  <c r="GX103" i="31"/>
  <c r="GY103" i="31"/>
  <c r="FM104" i="31"/>
  <c r="BI104" i="31"/>
  <c r="BK104" i="31" s="1"/>
  <c r="BH104" i="31"/>
  <c r="JH103" i="31"/>
  <c r="JI103" i="31" s="1"/>
  <c r="IT103" i="31"/>
  <c r="BL104" i="31" l="1"/>
  <c r="BM104" i="31"/>
  <c r="JK103" i="31"/>
  <c r="JZ103" i="31" s="1"/>
  <c r="KF103" i="31" s="1"/>
  <c r="IQ104" i="31" s="1"/>
  <c r="EY103" i="31"/>
  <c r="EG103" i="31"/>
  <c r="EH104" i="31" s="1"/>
  <c r="EI104" i="31" s="1"/>
  <c r="FK104" i="31" s="1"/>
  <c r="HM103" i="31"/>
  <c r="HK104" i="31"/>
  <c r="BJ104" i="31"/>
  <c r="JN103" i="31" l="1"/>
  <c r="JV103" i="31" s="1"/>
  <c r="JF104" i="31" s="1"/>
  <c r="JW104" i="31" s="1"/>
  <c r="EZ103" i="31"/>
  <c r="DG103" i="31"/>
  <c r="DH103" i="31" s="1"/>
  <c r="DI104" i="31" s="1"/>
  <c r="JM103" i="31"/>
  <c r="KD103" i="31" s="1"/>
  <c r="IL104" i="31" s="1"/>
  <c r="JL103" i="31"/>
  <c r="JJ104" i="31" s="1"/>
  <c r="KA104" i="31"/>
  <c r="EJ103" i="31"/>
  <c r="EK104" i="31" s="1"/>
  <c r="EE103" i="31"/>
  <c r="EF104" i="31" s="1"/>
  <c r="ED103" i="31"/>
  <c r="EB104" i="31" s="1"/>
  <c r="BO104" i="31"/>
  <c r="BN104" i="31"/>
  <c r="JY104" i="31" l="1"/>
  <c r="IO104" i="31"/>
  <c r="IP104" i="31"/>
  <c r="GZ104" i="31"/>
  <c r="IE104" i="31" s="1"/>
  <c r="DJ104" i="31"/>
  <c r="DK104" i="31" s="1"/>
  <c r="EO104" i="31"/>
  <c r="ES105" i="31" s="1"/>
  <c r="FC104" i="31"/>
  <c r="EP104" i="31"/>
  <c r="ET105" i="31" s="1"/>
  <c r="EL104" i="31"/>
  <c r="EV104" i="31"/>
  <c r="JC104" i="31"/>
  <c r="JD104" i="31"/>
  <c r="IY104" i="31"/>
  <c r="JP104" i="31" s="1"/>
  <c r="JQ104" i="31" s="1"/>
  <c r="JO104" i="31"/>
  <c r="JE104" i="31"/>
  <c r="DP104" i="31"/>
  <c r="HZ104" i="31"/>
  <c r="JA104" i="31"/>
  <c r="BP104" i="31"/>
  <c r="BQ104" i="31" s="1"/>
  <c r="IR104" i="31"/>
  <c r="KG104" i="31" l="1"/>
  <c r="JX104" i="31"/>
  <c r="BR104" i="31"/>
  <c r="BS104" i="31"/>
  <c r="EC104" i="31"/>
  <c r="DM104" i="31"/>
  <c r="DX104" i="31"/>
  <c r="FQ104" i="31"/>
  <c r="EX104" i="31" l="1"/>
  <c r="M104" i="31" s="1"/>
  <c r="FB104" i="31"/>
  <c r="DL104" i="31"/>
  <c r="L105" i="31"/>
  <c r="BT104" i="31"/>
  <c r="BU104" i="31"/>
  <c r="BV104" i="31" s="1"/>
  <c r="BW104" i="31" s="1"/>
  <c r="BY104" i="31" l="1"/>
  <c r="BX104" i="31"/>
  <c r="MB104" i="31"/>
  <c r="MJ104" i="31"/>
  <c r="NS104" i="31" s="1"/>
  <c r="NM104" i="31" l="1"/>
  <c r="NN104" i="31" s="1"/>
  <c r="NT104" i="31"/>
  <c r="OU105" i="31"/>
  <c r="BZ104" i="31"/>
  <c r="CA104" i="31"/>
  <c r="OV105" i="31" l="1"/>
  <c r="NW104" i="31"/>
  <c r="NX104" i="31" s="1"/>
  <c r="CB104" i="31"/>
  <c r="CC104" i="31" s="1"/>
  <c r="FV104" i="31"/>
  <c r="CX104" i="31"/>
  <c r="FR104" i="31"/>
  <c r="NU104" i="31"/>
  <c r="CD104" i="31" l="1"/>
  <c r="CE104" i="31"/>
  <c r="CF104" i="31" s="1"/>
  <c r="NY104" i="31"/>
  <c r="OF104" i="31"/>
  <c r="OS105" i="31" s="1"/>
  <c r="NV104" i="31"/>
  <c r="MY104" i="31"/>
  <c r="NZ104" i="31"/>
  <c r="CY105" i="31"/>
  <c r="CG104" i="31" l="1"/>
  <c r="CH104" i="31" s="1"/>
  <c r="CI104" i="31" s="1"/>
  <c r="OO105" i="31"/>
  <c r="NF105" i="31"/>
  <c r="OM105" i="31"/>
  <c r="OA104" i="31"/>
  <c r="MV105" i="31" s="1"/>
  <c r="OG105" i="31" s="1"/>
  <c r="OB104" i="31"/>
  <c r="OT105" i="31" s="1"/>
  <c r="MZ105" i="31"/>
  <c r="OZ104" i="31"/>
  <c r="OI104" i="31"/>
  <c r="CJ104" i="31" l="1"/>
  <c r="CO104" i="31" s="1"/>
  <c r="CK104" i="31"/>
  <c r="CM104" i="31" s="1"/>
  <c r="CN104" i="31" s="1"/>
  <c r="OC104" i="31"/>
  <c r="OD105" i="31" s="1"/>
  <c r="OH105" i="31" s="1"/>
  <c r="OK105" i="31" s="1"/>
  <c r="OJ104" i="31"/>
  <c r="MW105" i="31" s="1"/>
  <c r="OX105" i="31"/>
  <c r="MR105" i="31"/>
  <c r="OW104" i="31"/>
  <c r="PA104" i="31"/>
  <c r="KT105" i="31"/>
  <c r="CL104" i="31" l="1"/>
  <c r="CP104" i="31" s="1"/>
  <c r="OY105" i="31"/>
  <c r="MX105" i="31"/>
  <c r="MS105" i="31"/>
  <c r="KM105" i="31"/>
  <c r="KO106" i="31" s="1"/>
  <c r="KL105" i="31"/>
  <c r="KN106" i="31" s="1"/>
  <c r="FP104" i="31" l="1"/>
  <c r="FS104" i="31" s="1"/>
  <c r="HA104" i="31" s="1"/>
  <c r="FZ104" i="31"/>
  <c r="GA104" i="31" s="1"/>
  <c r="CQ104" i="31"/>
  <c r="CR104" i="31" s="1"/>
  <c r="FX104" i="31"/>
  <c r="FY104" i="31" s="1"/>
  <c r="KX104" i="31"/>
  <c r="HO104" i="31"/>
  <c r="IA104" i="31" s="1"/>
  <c r="IB104" i="31" s="1"/>
  <c r="FH104" i="31"/>
  <c r="FI104" i="31" s="1"/>
  <c r="HU104" i="31" s="1"/>
  <c r="HV105" i="31" s="1"/>
  <c r="FU104" i="31"/>
  <c r="FW104" i="31" s="1"/>
  <c r="JR104" i="31"/>
  <c r="JS104" i="31" s="1"/>
  <c r="JT105" i="31" s="1"/>
  <c r="FE104" i="31"/>
  <c r="FF104" i="31" s="1"/>
  <c r="HW104" i="31" s="1"/>
  <c r="HX105" i="31" s="1"/>
  <c r="DQ104" i="31"/>
  <c r="DR104" i="31" s="1"/>
  <c r="DS104" i="31" s="1"/>
  <c r="KU104" i="31"/>
  <c r="GO104" i="31"/>
  <c r="GB104" i="31"/>
  <c r="GC104" i="31" s="1"/>
  <c r="NH106" i="31"/>
  <c r="NI106" i="31" s="1"/>
  <c r="NQ105" i="31"/>
  <c r="MO105" i="31"/>
  <c r="MT105" i="31"/>
  <c r="MU105" i="31"/>
  <c r="NP105" i="31"/>
  <c r="NJ105" i="31"/>
  <c r="PE105" i="31"/>
  <c r="KQ105" i="31"/>
  <c r="KP106" i="31"/>
  <c r="KR105" i="31"/>
  <c r="NB105" i="31"/>
  <c r="NA105" i="31"/>
  <c r="GN104" i="31" l="1"/>
  <c r="KV104" i="31" s="1"/>
  <c r="CS104" i="31"/>
  <c r="CT104" i="31"/>
  <c r="IZ104" i="31"/>
  <c r="HP104" i="31"/>
  <c r="HT104" i="31" s="1"/>
  <c r="KE104" i="31"/>
  <c r="HY104" i="31"/>
  <c r="DY104" i="31"/>
  <c r="FJ105" i="31"/>
  <c r="KC104" i="31"/>
  <c r="JU104" i="31"/>
  <c r="FG105" i="31"/>
  <c r="NR105" i="31"/>
  <c r="KS105" i="31"/>
  <c r="NK105" i="31"/>
  <c r="NL105" i="31"/>
  <c r="NG106" i="31"/>
  <c r="OQ106" i="31"/>
  <c r="AX104" i="31"/>
  <c r="AY105" i="31" s="1"/>
  <c r="EM104" i="31"/>
  <c r="EW104" i="31" s="1"/>
  <c r="AZ104" i="31"/>
  <c r="EN104" i="31"/>
  <c r="GQ104" i="31" l="1"/>
  <c r="HS104" i="31"/>
  <c r="JG104" i="31" s="1"/>
  <c r="KW105" i="31"/>
  <c r="HQ104" i="31"/>
  <c r="HR105" i="31" s="1"/>
  <c r="NC106" i="31"/>
  <c r="MQ106" i="31"/>
  <c r="BB105" i="31"/>
  <c r="EQ104" i="31"/>
  <c r="DW104" i="31"/>
  <c r="DU105" i="31" s="1"/>
  <c r="ER105" i="31"/>
  <c r="IU104" i="31"/>
  <c r="IV104" i="31" s="1"/>
  <c r="IC104" i="31"/>
  <c r="ID104" i="31" s="1"/>
  <c r="IF104" i="31" s="1"/>
  <c r="KH104" i="31" s="1"/>
  <c r="JB104" i="31"/>
  <c r="OR106" i="31"/>
  <c r="IW104" i="31" l="1"/>
  <c r="KB104" i="31" s="1"/>
  <c r="BC105" i="31"/>
  <c r="IX104" i="31"/>
  <c r="KK104" i="31"/>
  <c r="EU105" i="31"/>
  <c r="IM104" i="31"/>
  <c r="GM104" i="31"/>
  <c r="DB104" i="31"/>
  <c r="DC104" i="31" s="1"/>
  <c r="DD105" i="31" s="1"/>
  <c r="DE106" i="31" s="1"/>
  <c r="KI105" i="31"/>
  <c r="IN104" i="31"/>
  <c r="DF104" i="31"/>
  <c r="GT106" i="31" l="1"/>
  <c r="KJ105" i="31"/>
  <c r="DT104" i="31"/>
  <c r="DZ104" i="31" s="1"/>
  <c r="GU104" i="31"/>
  <c r="FD104" i="31"/>
  <c r="GV104" i="31"/>
  <c r="GR104" i="31"/>
  <c r="BE105" i="31"/>
  <c r="BD105" i="31"/>
  <c r="IS104" i="31" l="1"/>
  <c r="FL105" i="31"/>
  <c r="BG105" i="31"/>
  <c r="BF105" i="31"/>
  <c r="GS104" i="31"/>
  <c r="GX104" i="31" l="1"/>
  <c r="GW104" i="31"/>
  <c r="HC104" i="31" s="1"/>
  <c r="FA105" i="31" s="1"/>
  <c r="HB105" i="31" s="1"/>
  <c r="GY104" i="31"/>
  <c r="FM105" i="31"/>
  <c r="BH105" i="31"/>
  <c r="BI105" i="31"/>
  <c r="BK105" i="31" s="1"/>
  <c r="JH104" i="31"/>
  <c r="JI104" i="31" s="1"/>
  <c r="IT104" i="31"/>
  <c r="BL105" i="31" l="1"/>
  <c r="BM105" i="31"/>
  <c r="JK104" i="31"/>
  <c r="JM104" i="31" s="1"/>
  <c r="KD104" i="31" s="1"/>
  <c r="IL105" i="31" s="1"/>
  <c r="BJ105" i="31"/>
  <c r="HM104" i="31"/>
  <c r="EY104" i="31"/>
  <c r="EG104" i="31"/>
  <c r="EH105" i="31" s="1"/>
  <c r="EI105" i="31" s="1"/>
  <c r="FK105" i="31" s="1"/>
  <c r="HK105" i="31"/>
  <c r="JN104" i="31" l="1"/>
  <c r="JV104" i="31" s="1"/>
  <c r="JF105" i="31" s="1"/>
  <c r="JW105" i="31" s="1"/>
  <c r="JZ104" i="31"/>
  <c r="KF104" i="31" s="1"/>
  <c r="IQ105" i="31" s="1"/>
  <c r="JL104" i="31"/>
  <c r="JJ105" i="31" s="1"/>
  <c r="KA105" i="31"/>
  <c r="BN105" i="31"/>
  <c r="BO105" i="31"/>
  <c r="EZ104" i="31"/>
  <c r="DG104" i="31"/>
  <c r="DH104" i="31" s="1"/>
  <c r="DI105" i="31" s="1"/>
  <c r="ED104" i="31"/>
  <c r="EB105" i="31" s="1"/>
  <c r="EE104" i="31"/>
  <c r="EF105" i="31" s="1"/>
  <c r="EJ104" i="31"/>
  <c r="EK105" i="31" s="1"/>
  <c r="JY105" i="31" l="1"/>
  <c r="BP105" i="31"/>
  <c r="BQ105" i="31" s="1"/>
  <c r="HZ105" i="31"/>
  <c r="JA105" i="31"/>
  <c r="JE105" i="31"/>
  <c r="IY105" i="31"/>
  <c r="IR105" i="31"/>
  <c r="JO105" i="31"/>
  <c r="GZ105" i="31"/>
  <c r="IE105" i="31" s="1"/>
  <c r="DJ105" i="31"/>
  <c r="DK105" i="31" s="1"/>
  <c r="IO105" i="31"/>
  <c r="DP105" i="31"/>
  <c r="JC105" i="31"/>
  <c r="JD105" i="31"/>
  <c r="EP105" i="31"/>
  <c r="ET106" i="31" s="1"/>
  <c r="FC105" i="31"/>
  <c r="EL105" i="31"/>
  <c r="EO105" i="31"/>
  <c r="ES106" i="31" s="1"/>
  <c r="EV105" i="31"/>
  <c r="IP105" i="31"/>
  <c r="JP105" i="31" l="1"/>
  <c r="JQ105" i="31" s="1"/>
  <c r="BR105" i="31"/>
  <c r="BS105" i="31"/>
  <c r="FQ105" i="31"/>
  <c r="DX105" i="31"/>
  <c r="DM105" i="31"/>
  <c r="EC105" i="31"/>
  <c r="KG105" i="31"/>
  <c r="JX105" i="31"/>
  <c r="BT105" i="31" l="1"/>
  <c r="BU105" i="31"/>
  <c r="BV105" i="31" s="1"/>
  <c r="BW105" i="31" s="1"/>
  <c r="BX105" i="31" s="1"/>
  <c r="DL105" i="31"/>
  <c r="L106" i="31"/>
  <c r="EX105" i="31"/>
  <c r="M105" i="31" s="1"/>
  <c r="FB105" i="31"/>
  <c r="BY105" i="31" l="1"/>
  <c r="BZ105" i="31" s="1"/>
  <c r="MB105" i="31"/>
  <c r="NM105" i="31" s="1"/>
  <c r="NN105" i="31" s="1"/>
  <c r="MJ105" i="31"/>
  <c r="NS105" i="31" s="1"/>
  <c r="CA105" i="31" l="1"/>
  <c r="CB105" i="31" s="1"/>
  <c r="CC105" i="31" s="1"/>
  <c r="NT105" i="31"/>
  <c r="OU106" i="31"/>
  <c r="OV106" i="31"/>
  <c r="NW105" i="31"/>
  <c r="NX105" i="31" s="1"/>
  <c r="CD105" i="31" l="1"/>
  <c r="CE105" i="31"/>
  <c r="CF105" i="31" s="1"/>
  <c r="OF105" i="31"/>
  <c r="OS106" i="31" s="1"/>
  <c r="NY105" i="31"/>
  <c r="FR105" i="31"/>
  <c r="FV105" i="31"/>
  <c r="CX105" i="31"/>
  <c r="NU105" i="31"/>
  <c r="CG105" i="31" l="1"/>
  <c r="NV105" i="31"/>
  <c r="OB105" i="31"/>
  <c r="OT106" i="31" s="1"/>
  <c r="MY105" i="31"/>
  <c r="OI105" i="31" s="1"/>
  <c r="NZ105" i="31"/>
  <c r="OA105" i="31" s="1"/>
  <c r="MV106" i="31" s="1"/>
  <c r="OG106" i="31" s="1"/>
  <c r="CY106" i="31"/>
  <c r="CH105" i="31"/>
  <c r="CI105" i="31" l="1"/>
  <c r="CJ105" i="31" s="1"/>
  <c r="CO105" i="31" s="1"/>
  <c r="CK105" i="31"/>
  <c r="CL105" i="31" s="1"/>
  <c r="OX106" i="31"/>
  <c r="MR106" i="31"/>
  <c r="OW105" i="31"/>
  <c r="PA105" i="31"/>
  <c r="OC105" i="31"/>
  <c r="OD106" i="31" s="1"/>
  <c r="OH106" i="31" s="1"/>
  <c r="OK106" i="31" s="1"/>
  <c r="OO106" i="31"/>
  <c r="KT106" i="31" s="1"/>
  <c r="OM106" i="31"/>
  <c r="NF106" i="31"/>
  <c r="OJ105" i="31"/>
  <c r="MZ106" i="31"/>
  <c r="OZ105" i="31"/>
  <c r="CM105" i="31" l="1"/>
  <c r="CN105" i="31" s="1"/>
  <c r="CP105" i="31" s="1"/>
  <c r="KL106" i="31"/>
  <c r="KN107" i="31" s="1"/>
  <c r="KM106" i="31"/>
  <c r="KO107" i="31" s="1"/>
  <c r="MW106" i="31"/>
  <c r="OY106" i="31"/>
  <c r="MS106" i="31"/>
  <c r="MX106" i="31" l="1"/>
  <c r="NH107" i="31"/>
  <c r="NI107" i="31" s="1"/>
  <c r="MT106" i="31"/>
  <c r="NQ106" i="31"/>
  <c r="NJ106" i="31"/>
  <c r="MO106" i="31"/>
  <c r="NP106" i="31"/>
  <c r="MU106" i="31"/>
  <c r="PE106" i="31"/>
  <c r="KP107" i="31"/>
  <c r="KR106" i="31"/>
  <c r="FU105" i="31"/>
  <c r="FW105" i="31" s="1"/>
  <c r="FX105" i="31"/>
  <c r="FY105" i="31" s="1"/>
  <c r="GO105" i="31"/>
  <c r="FH105" i="31"/>
  <c r="FI105" i="31" s="1"/>
  <c r="FP105" i="31"/>
  <c r="FS105" i="31" s="1"/>
  <c r="HO105" i="31"/>
  <c r="JR105" i="31"/>
  <c r="JS105" i="31" s="1"/>
  <c r="DQ105" i="31"/>
  <c r="DR105" i="31" s="1"/>
  <c r="FE105" i="31"/>
  <c r="FF105" i="31" s="1"/>
  <c r="GB105" i="31"/>
  <c r="GC105" i="31" s="1"/>
  <c r="FZ105" i="31"/>
  <c r="GA105" i="31" s="1"/>
  <c r="CQ105" i="31"/>
  <c r="KX105" i="31"/>
  <c r="GN105" i="31" s="1"/>
  <c r="KU105" i="31"/>
  <c r="KQ106" i="31"/>
  <c r="KS106" i="31" l="1"/>
  <c r="NR106" i="31"/>
  <c r="NK106" i="31"/>
  <c r="NL106" i="31"/>
  <c r="NG107" i="31"/>
  <c r="OQ107" i="31"/>
  <c r="HW105" i="31"/>
  <c r="HX106" i="31" s="1"/>
  <c r="FG106" i="31"/>
  <c r="JU105" i="31"/>
  <c r="KC105" i="31"/>
  <c r="JT106" i="31"/>
  <c r="KE105" i="31"/>
  <c r="GQ105" i="31"/>
  <c r="KV105" i="31"/>
  <c r="HY105" i="31"/>
  <c r="DY105" i="31"/>
  <c r="HA105" i="31"/>
  <c r="CS105" i="31"/>
  <c r="CR105" i="31"/>
  <c r="CT105" i="31"/>
  <c r="HU105" i="31"/>
  <c r="HV106" i="31" s="1"/>
  <c r="FJ106" i="31"/>
  <c r="DS105" i="31"/>
  <c r="NA106" i="31"/>
  <c r="NB106" i="31"/>
  <c r="IA105" i="31"/>
  <c r="IB105" i="31" s="1"/>
  <c r="HP105" i="31"/>
  <c r="IZ105" i="31"/>
  <c r="KW106" i="31" l="1"/>
  <c r="HQ105" i="31"/>
  <c r="HR106" i="31" s="1"/>
  <c r="OR107" i="31"/>
  <c r="HT105" i="31"/>
  <c r="HS105" i="31"/>
  <c r="JG105" i="31" s="1"/>
  <c r="AX105" i="31"/>
  <c r="AY106" i="31" s="1"/>
  <c r="EN105" i="31"/>
  <c r="EM105" i="31"/>
  <c r="EW105" i="31" s="1"/>
  <c r="AZ105" i="31"/>
  <c r="NC107" i="31"/>
  <c r="MQ107" i="31"/>
  <c r="BB106" i="31" l="1"/>
  <c r="DW105" i="31"/>
  <c r="DU106" i="31" s="1"/>
  <c r="EQ105" i="31"/>
  <c r="IW105" i="31"/>
  <c r="ER106" i="31"/>
  <c r="IU105" i="31"/>
  <c r="IV105" i="31" s="1"/>
  <c r="IC105" i="31"/>
  <c r="ID105" i="31" s="1"/>
  <c r="IF105" i="31" s="1"/>
  <c r="KH105" i="31" s="1"/>
  <c r="JB105" i="31"/>
  <c r="EU106" i="31" l="1"/>
  <c r="KB105" i="31"/>
  <c r="IX105" i="31"/>
  <c r="KK105" i="31"/>
  <c r="GM105" i="31"/>
  <c r="IM105" i="31"/>
  <c r="DT105" i="31" s="1"/>
  <c r="DZ105" i="31" s="1"/>
  <c r="DB105" i="31"/>
  <c r="DC105" i="31" s="1"/>
  <c r="DD106" i="31" s="1"/>
  <c r="DE107" i="31" s="1"/>
  <c r="KI106" i="31"/>
  <c r="IN105" i="31"/>
  <c r="DF105" i="31"/>
  <c r="BC106" i="31"/>
  <c r="GT107" i="31" l="1"/>
  <c r="GR105" i="31"/>
  <c r="BD106" i="31"/>
  <c r="BE106" i="31"/>
  <c r="KJ106" i="31"/>
  <c r="FD105" i="31"/>
  <c r="GU105" i="31"/>
  <c r="GV105" i="31"/>
  <c r="IS105" i="31" l="1"/>
  <c r="FL106" i="31"/>
  <c r="BG106" i="31"/>
  <c r="BF106" i="31"/>
  <c r="GS105" i="31"/>
  <c r="GX105" i="31" l="1"/>
  <c r="GW105" i="31"/>
  <c r="HC105" i="31" s="1"/>
  <c r="FA106" i="31" s="1"/>
  <c r="HB106" i="31" s="1"/>
  <c r="GY105" i="31"/>
  <c r="FM106" i="31"/>
  <c r="BI106" i="31"/>
  <c r="BK106" i="31" s="1"/>
  <c r="BH106" i="31"/>
  <c r="JH105" i="31"/>
  <c r="JI105" i="31" s="1"/>
  <c r="IT105" i="31"/>
  <c r="BL106" i="31" l="1"/>
  <c r="BM106" i="31"/>
  <c r="JK105" i="31"/>
  <c r="JZ105" i="31" s="1"/>
  <c r="KF105" i="31" s="1"/>
  <c r="IQ106" i="31" s="1"/>
  <c r="EY105" i="31"/>
  <c r="HM105" i="31"/>
  <c r="EG105" i="31"/>
  <c r="EH106" i="31" s="1"/>
  <c r="EI106" i="31" s="1"/>
  <c r="FK106" i="31" s="1"/>
  <c r="HK106" i="31"/>
  <c r="BJ106" i="31"/>
  <c r="JM105" i="31" l="1"/>
  <c r="KD105" i="31" s="1"/>
  <c r="IL106" i="31" s="1"/>
  <c r="JL105" i="31"/>
  <c r="JJ106" i="31" s="1"/>
  <c r="KA106" i="31"/>
  <c r="BN106" i="31"/>
  <c r="BO106" i="31"/>
  <c r="JN105" i="31"/>
  <c r="JV105" i="31" s="1"/>
  <c r="JF106" i="31" s="1"/>
  <c r="EJ105" i="31"/>
  <c r="EK106" i="31" s="1"/>
  <c r="ED105" i="31"/>
  <c r="EB106" i="31" s="1"/>
  <c r="JA106" i="31" s="1"/>
  <c r="EE105" i="31"/>
  <c r="EF106" i="31" s="1"/>
  <c r="EZ105" i="31"/>
  <c r="DG105" i="31"/>
  <c r="DH105" i="31" s="1"/>
  <c r="DI106" i="31" s="1"/>
  <c r="IO106" i="31" l="1"/>
  <c r="IP106" i="31"/>
  <c r="JO106" i="31"/>
  <c r="DJ106" i="31"/>
  <c r="DK106" i="31" s="1"/>
  <c r="GZ106" i="31"/>
  <c r="IE106" i="31" s="1"/>
  <c r="BP106" i="31"/>
  <c r="BQ106" i="31" s="1"/>
  <c r="EL106" i="31"/>
  <c r="EP106" i="31"/>
  <c r="ET107" i="31" s="1"/>
  <c r="EO106" i="31"/>
  <c r="ES107" i="31" s="1"/>
  <c r="FC106" i="31"/>
  <c r="EV106" i="31"/>
  <c r="IR106" i="31"/>
  <c r="DP106" i="31"/>
  <c r="JE106" i="31"/>
  <c r="JC106" i="31"/>
  <c r="JD106" i="31"/>
  <c r="HZ106" i="31"/>
  <c r="IY106" i="31"/>
  <c r="JY106" i="31"/>
  <c r="JW106" i="31"/>
  <c r="JP106" i="31" l="1"/>
  <c r="JQ106" i="31" s="1"/>
  <c r="JX106" i="31"/>
  <c r="KG106" i="31"/>
  <c r="BR106" i="31"/>
  <c r="BS106" i="31"/>
  <c r="DM106" i="31"/>
  <c r="FQ106" i="31"/>
  <c r="DX106" i="31"/>
  <c r="EC106" i="31"/>
  <c r="FB106" i="31" l="1"/>
  <c r="EX106" i="31"/>
  <c r="M106" i="31" s="1"/>
  <c r="DL106" i="31"/>
  <c r="L107" i="31"/>
  <c r="BT106" i="31"/>
  <c r="BU106" i="31"/>
  <c r="BV106" i="31" l="1"/>
  <c r="BW106" i="31" s="1"/>
  <c r="MB106" i="31"/>
  <c r="MJ106" i="31"/>
  <c r="NS106" i="31" s="1"/>
  <c r="NM106" i="31" l="1"/>
  <c r="NN106" i="31" s="1"/>
  <c r="BX106" i="31"/>
  <c r="BY106" i="31"/>
  <c r="NT106" i="31"/>
  <c r="OU107" i="31"/>
  <c r="NW106" i="31" l="1"/>
  <c r="NX106" i="31" s="1"/>
  <c r="OV107" i="31"/>
  <c r="FV106" i="31"/>
  <c r="FR106" i="31"/>
  <c r="CX106" i="31"/>
  <c r="NU106" i="31"/>
  <c r="BZ106" i="31"/>
  <c r="CA106" i="31"/>
  <c r="CB106" i="31" l="1"/>
  <c r="CC106" i="31" s="1"/>
  <c r="NZ106" i="31"/>
  <c r="MY106" i="31"/>
  <c r="CY107" i="31"/>
  <c r="NY106" i="31"/>
  <c r="NV106" i="31"/>
  <c r="OF106" i="31"/>
  <c r="OS107" i="31" s="1"/>
  <c r="OA106" i="31" l="1"/>
  <c r="MV107" i="31" s="1"/>
  <c r="OG107" i="31" s="1"/>
  <c r="CE106" i="31"/>
  <c r="CF106" i="31" s="1"/>
  <c r="CD106" i="31"/>
  <c r="NF107" i="31"/>
  <c r="OO107" i="31"/>
  <c r="OM107" i="31"/>
  <c r="MZ107" i="31"/>
  <c r="OZ106" i="31"/>
  <c r="OI106" i="31"/>
  <c r="OB106" i="31"/>
  <c r="OT107" i="31" s="1"/>
  <c r="KT107" i="31" l="1"/>
  <c r="KL107" i="31" s="1"/>
  <c r="KN108" i="31" s="1"/>
  <c r="CG106" i="31"/>
  <c r="OJ106" i="31"/>
  <c r="OC106" i="31"/>
  <c r="OD107" i="31" s="1"/>
  <c r="OH107" i="31" s="1"/>
  <c r="OK107" i="31" s="1"/>
  <c r="KM107" i="31"/>
  <c r="KO108" i="31" s="1"/>
  <c r="OY107" i="31"/>
  <c r="MW107" i="31"/>
  <c r="MR107" i="31"/>
  <c r="OW106" i="31"/>
  <c r="OX107" i="31"/>
  <c r="CH106" i="31"/>
  <c r="PA106" i="31"/>
  <c r="CI106" i="31" l="1"/>
  <c r="CJ106" i="31"/>
  <c r="CO106" i="31" s="1"/>
  <c r="CK106" i="31"/>
  <c r="CM106" i="31" s="1"/>
  <c r="CN106" i="31" s="1"/>
  <c r="MS107" i="31"/>
  <c r="MX107" i="31"/>
  <c r="KP108" i="31"/>
  <c r="KR107" i="31"/>
  <c r="KQ107" i="31"/>
  <c r="CL106" i="31" l="1"/>
  <c r="CP106" i="31" s="1"/>
  <c r="KS107" i="31"/>
  <c r="NA107" i="31"/>
  <c r="NB107" i="31"/>
  <c r="MT107" i="31"/>
  <c r="MO107" i="31"/>
  <c r="NQ107" i="31"/>
  <c r="NP107" i="31"/>
  <c r="MU107" i="31"/>
  <c r="NJ107" i="31"/>
  <c r="NH108" i="31"/>
  <c r="NI108" i="31" s="1"/>
  <c r="PE107" i="31"/>
  <c r="FZ106" i="31" l="1"/>
  <c r="GA106" i="31" s="1"/>
  <c r="FP106" i="31"/>
  <c r="FS106" i="31" s="1"/>
  <c r="DY106" i="31" s="1"/>
  <c r="GB106" i="31"/>
  <c r="GC106" i="31" s="1"/>
  <c r="JR106" i="31"/>
  <c r="JS106" i="31" s="1"/>
  <c r="KC106" i="31" s="1"/>
  <c r="KU106" i="31"/>
  <c r="HO106" i="31"/>
  <c r="IA106" i="31" s="1"/>
  <c r="IB106" i="31" s="1"/>
  <c r="DQ106" i="31"/>
  <c r="DR106" i="31" s="1"/>
  <c r="DS106" i="31" s="1"/>
  <c r="KX106" i="31"/>
  <c r="FX106" i="31"/>
  <c r="FY106" i="31" s="1"/>
  <c r="FE106" i="31"/>
  <c r="FF106" i="31" s="1"/>
  <c r="HW106" i="31" s="1"/>
  <c r="HX107" i="31" s="1"/>
  <c r="FU106" i="31"/>
  <c r="FW106" i="31" s="1"/>
  <c r="FH106" i="31"/>
  <c r="FI106" i="31" s="1"/>
  <c r="HU106" i="31" s="1"/>
  <c r="HV107" i="31" s="1"/>
  <c r="CQ106" i="31"/>
  <c r="CT106" i="31" s="1"/>
  <c r="GO106" i="31"/>
  <c r="HA106" i="31"/>
  <c r="NR107" i="31"/>
  <c r="NK107" i="31"/>
  <c r="NL107" i="31"/>
  <c r="NG108" i="31"/>
  <c r="OQ108" i="31"/>
  <c r="HY106" i="31" l="1"/>
  <c r="GN106" i="31"/>
  <c r="KV106" i="31" s="1"/>
  <c r="JU106" i="31"/>
  <c r="JT107" i="31"/>
  <c r="KE106" i="31"/>
  <c r="IZ106" i="31"/>
  <c r="HP106" i="31"/>
  <c r="HS106" i="31" s="1"/>
  <c r="JG106" i="31" s="1"/>
  <c r="CR106" i="31"/>
  <c r="CS106" i="31"/>
  <c r="FG107" i="31"/>
  <c r="FJ107" i="31"/>
  <c r="OR108" i="31"/>
  <c r="NC108" i="31"/>
  <c r="MQ108" i="31"/>
  <c r="AX106" i="31"/>
  <c r="AY107" i="31" s="1"/>
  <c r="AZ106" i="31"/>
  <c r="EN106" i="31"/>
  <c r="EM106" i="31"/>
  <c r="EW106" i="31" s="1"/>
  <c r="GQ106" i="31" l="1"/>
  <c r="KW107" i="31"/>
  <c r="HQ106" i="31"/>
  <c r="HR107" i="31" s="1"/>
  <c r="HT106" i="31"/>
  <c r="IC106" i="31" s="1"/>
  <c r="ID106" i="31" s="1"/>
  <c r="IF106" i="31" s="1"/>
  <c r="KH106" i="31" s="1"/>
  <c r="BB107" i="31"/>
  <c r="DW106" i="31"/>
  <c r="DU107" i="31" s="1"/>
  <c r="EQ106" i="31"/>
  <c r="ER107" i="31"/>
  <c r="IU106" i="31"/>
  <c r="IV106" i="31" s="1"/>
  <c r="JB106" i="31" l="1"/>
  <c r="IW106" i="31"/>
  <c r="KB106" i="31" s="1"/>
  <c r="KK106" i="31"/>
  <c r="IX106" i="31"/>
  <c r="EU107" i="31"/>
  <c r="DB106" i="31"/>
  <c r="DC106" i="31" s="1"/>
  <c r="DD107" i="31" s="1"/>
  <c r="DE108" i="31" s="1"/>
  <c r="GM106" i="31"/>
  <c r="IM106" i="31"/>
  <c r="KI107" i="31"/>
  <c r="IN106" i="31"/>
  <c r="DF106" i="31"/>
  <c r="BC107" i="31"/>
  <c r="GT108" i="31" l="1"/>
  <c r="DT106" i="31"/>
  <c r="DZ106" i="31" s="1"/>
  <c r="GR106" i="31"/>
  <c r="BE107" i="31"/>
  <c r="BD107" i="31"/>
  <c r="KJ107" i="31"/>
  <c r="FD106" i="31"/>
  <c r="GU106" i="31"/>
  <c r="GV106" i="31"/>
  <c r="BG107" i="31" l="1"/>
  <c r="BF107" i="31"/>
  <c r="GS106" i="31"/>
  <c r="IS106" i="31"/>
  <c r="FL107" i="31"/>
  <c r="JH106" i="31" l="1"/>
  <c r="JI106" i="31" s="1"/>
  <c r="IT106" i="31"/>
  <c r="GY106" i="31"/>
  <c r="GX106" i="31"/>
  <c r="GW106" i="31"/>
  <c r="HC106" i="31" s="1"/>
  <c r="FA107" i="31" s="1"/>
  <c r="HB107" i="31" s="1"/>
  <c r="FM107" i="31"/>
  <c r="BI107" i="31"/>
  <c r="BK107" i="31" s="1"/>
  <c r="BH107" i="31"/>
  <c r="BJ107" i="31" l="1"/>
  <c r="HM106" i="31"/>
  <c r="EY106" i="31"/>
  <c r="EG106" i="31"/>
  <c r="EH107" i="31" s="1"/>
  <c r="EI107" i="31" s="1"/>
  <c r="FK107" i="31" s="1"/>
  <c r="HK107" i="31"/>
  <c r="BL107" i="31"/>
  <c r="BM107" i="31"/>
  <c r="JK106" i="31"/>
  <c r="JZ106" i="31" s="1"/>
  <c r="KF106" i="31" s="1"/>
  <c r="IQ107" i="31" s="1"/>
  <c r="JM106" i="31" l="1"/>
  <c r="KD106" i="31" s="1"/>
  <c r="IL107" i="31" s="1"/>
  <c r="JE107" i="31" s="1"/>
  <c r="JN106" i="31"/>
  <c r="JV106" i="31" s="1"/>
  <c r="JF107" i="31" s="1"/>
  <c r="JY107" i="31" s="1"/>
  <c r="EZ106" i="31"/>
  <c r="DG106" i="31"/>
  <c r="DH106" i="31" s="1"/>
  <c r="DI107" i="31" s="1"/>
  <c r="BO107" i="31"/>
  <c r="BN107" i="31"/>
  <c r="JL106" i="31"/>
  <c r="JJ107" i="31" s="1"/>
  <c r="KA107" i="31"/>
  <c r="EJ106" i="31"/>
  <c r="EK107" i="31" s="1"/>
  <c r="EE106" i="31"/>
  <c r="EF107" i="31" s="1"/>
  <c r="ED106" i="31"/>
  <c r="EB107" i="31" s="1"/>
  <c r="JA107" i="31" s="1"/>
  <c r="IP107" i="31" l="1"/>
  <c r="IR107" i="31"/>
  <c r="JO107" i="31"/>
  <c r="JW107" i="31"/>
  <c r="IY107" i="31"/>
  <c r="JC107" i="31"/>
  <c r="JD107" i="31"/>
  <c r="HZ107" i="31"/>
  <c r="DP107" i="31"/>
  <c r="DJ107" i="31"/>
  <c r="DK107" i="31" s="1"/>
  <c r="GZ107" i="31"/>
  <c r="IE107" i="31" s="1"/>
  <c r="BP107" i="31"/>
  <c r="BQ107" i="31" s="1"/>
  <c r="IO107" i="31"/>
  <c r="EL107" i="31"/>
  <c r="JX107" i="31" s="1"/>
  <c r="EP107" i="31"/>
  <c r="ET108" i="31" s="1"/>
  <c r="FC107" i="31"/>
  <c r="EO107" i="31"/>
  <c r="ES108" i="31" s="1"/>
  <c r="EV107" i="31"/>
  <c r="JP107" i="31" l="1"/>
  <c r="JQ107" i="31" s="1"/>
  <c r="KG107" i="31"/>
  <c r="DM107" i="31"/>
  <c r="DX107" i="31"/>
  <c r="FQ107" i="31"/>
  <c r="EC107" i="31"/>
  <c r="BR107" i="31"/>
  <c r="BS107" i="31"/>
  <c r="DL107" i="31" l="1"/>
  <c r="L108" i="31"/>
  <c r="BT107" i="31"/>
  <c r="BU107" i="31"/>
  <c r="EX107" i="31"/>
  <c r="M107" i="31" s="1"/>
  <c r="FB107" i="31"/>
  <c r="BV107" i="31" l="1"/>
  <c r="BW107" i="31" s="1"/>
  <c r="MJ107" i="31"/>
  <c r="NS107" i="31" s="1"/>
  <c r="MB107" i="31"/>
  <c r="NM107" i="31" l="1"/>
  <c r="NN107" i="31" s="1"/>
  <c r="BX107" i="31"/>
  <c r="BY107" i="31"/>
  <c r="NT107" i="31"/>
  <c r="OU108" i="31"/>
  <c r="OV108" i="31" l="1"/>
  <c r="NW107" i="31"/>
  <c r="FV107" i="31"/>
  <c r="CX107" i="31"/>
  <c r="FR107" i="31"/>
  <c r="NU107" i="31"/>
  <c r="NX107" i="31"/>
  <c r="BZ107" i="31"/>
  <c r="CA107" i="31"/>
  <c r="CB107" i="31" l="1"/>
  <c r="CC107" i="31" s="1"/>
  <c r="NY107" i="31"/>
  <c r="NV107" i="31"/>
  <c r="OF107" i="31"/>
  <c r="OS108" i="31" s="1"/>
  <c r="NZ107" i="31"/>
  <c r="MY107" i="31"/>
  <c r="CY108" i="31"/>
  <c r="CD107" i="31" l="1"/>
  <c r="CE107" i="31"/>
  <c r="CF107" i="31" s="1"/>
  <c r="OB107" i="31"/>
  <c r="OT108" i="31" s="1"/>
  <c r="OO108" i="31"/>
  <c r="OM108" i="31"/>
  <c r="NF108" i="31"/>
  <c r="MZ108" i="31"/>
  <c r="OZ107" i="31"/>
  <c r="OA107" i="31"/>
  <c r="MV108" i="31" s="1"/>
  <c r="OI107" i="31"/>
  <c r="CG107" i="31" l="1"/>
  <c r="CH107" i="31" s="1"/>
  <c r="CI107" i="31" s="1"/>
  <c r="OG108" i="31"/>
  <c r="KT108" i="31"/>
  <c r="PA107" i="31"/>
  <c r="OC107" i="31"/>
  <c r="OD108" i="31" s="1"/>
  <c r="OH108" i="31" s="1"/>
  <c r="OJ107" i="31"/>
  <c r="OW107" i="31"/>
  <c r="MR108" i="31"/>
  <c r="OX108" i="31"/>
  <c r="CJ107" i="31" l="1"/>
  <c r="CO107" i="31" s="1"/>
  <c r="CK107" i="31"/>
  <c r="CL107" i="31" s="1"/>
  <c r="OY108" i="31"/>
  <c r="MW108" i="31"/>
  <c r="OK108" i="31"/>
  <c r="MS108" i="31"/>
  <c r="KL108" i="31"/>
  <c r="KN109" i="31" s="1"/>
  <c r="KM108" i="31"/>
  <c r="KO109" i="31" s="1"/>
  <c r="CM107" i="31" l="1"/>
  <c r="CN107" i="31" s="1"/>
  <c r="CP107" i="31" s="1"/>
  <c r="MO108" i="31"/>
  <c r="MU108" i="31"/>
  <c r="NP108" i="31"/>
  <c r="MT108" i="31"/>
  <c r="NQ108" i="31"/>
  <c r="NJ108" i="31"/>
  <c r="NH109" i="31"/>
  <c r="NI109" i="31" s="1"/>
  <c r="PE108" i="31"/>
  <c r="KP109" i="31"/>
  <c r="KR108" i="31"/>
  <c r="KQ108" i="31"/>
  <c r="MX108" i="31"/>
  <c r="FH107" i="31" l="1"/>
  <c r="FI107" i="31" s="1"/>
  <c r="HU107" i="31" s="1"/>
  <c r="HV108" i="31" s="1"/>
  <c r="FX107" i="31"/>
  <c r="FY107" i="31" s="1"/>
  <c r="FZ107" i="31"/>
  <c r="GA107" i="31" s="1"/>
  <c r="NR108" i="31"/>
  <c r="GO107" i="31"/>
  <c r="HO107" i="31"/>
  <c r="IA107" i="31" s="1"/>
  <c r="IB107" i="31" s="1"/>
  <c r="FU107" i="31"/>
  <c r="FW107" i="31" s="1"/>
  <c r="JR107" i="31"/>
  <c r="JS107" i="31" s="1"/>
  <c r="KE107" i="31" s="1"/>
  <c r="GB107" i="31"/>
  <c r="GC107" i="31" s="1"/>
  <c r="CQ107" i="31"/>
  <c r="CS107" i="31" s="1"/>
  <c r="FP107" i="31"/>
  <c r="FS107" i="31" s="1"/>
  <c r="DY107" i="31" s="1"/>
  <c r="DQ107" i="31"/>
  <c r="DR107" i="31" s="1"/>
  <c r="DS107" i="31" s="1"/>
  <c r="KU107" i="31"/>
  <c r="FE107" i="31"/>
  <c r="FF107" i="31" s="1"/>
  <c r="FG108" i="31" s="1"/>
  <c r="KX107" i="31"/>
  <c r="GN107" i="31" s="1"/>
  <c r="KS108" i="31"/>
  <c r="NA108" i="31"/>
  <c r="NB108" i="31"/>
  <c r="NK108" i="31"/>
  <c r="NL108" i="31"/>
  <c r="NG109" i="31"/>
  <c r="OQ109" i="31"/>
  <c r="FJ108" i="31" l="1"/>
  <c r="GQ107" i="31"/>
  <c r="IZ107" i="31"/>
  <c r="HP107" i="31"/>
  <c r="HT107" i="31" s="1"/>
  <c r="HW107" i="31"/>
  <c r="HX108" i="31" s="1"/>
  <c r="CR107" i="31"/>
  <c r="KC107" i="31"/>
  <c r="JU107" i="31"/>
  <c r="CT107" i="31"/>
  <c r="KV107" i="31"/>
  <c r="JT108" i="31"/>
  <c r="HY107" i="31"/>
  <c r="HA107" i="31"/>
  <c r="NC109" i="31"/>
  <c r="MQ109" i="31"/>
  <c r="AX107" i="31"/>
  <c r="AY108" i="31" s="1"/>
  <c r="AZ107" i="31"/>
  <c r="EM107" i="31"/>
  <c r="EW107" i="31" s="1"/>
  <c r="EN107" i="31"/>
  <c r="OR109" i="31"/>
  <c r="KW108" i="31" l="1"/>
  <c r="HQ107" i="31"/>
  <c r="HR108" i="31" s="1"/>
  <c r="HS107" i="31"/>
  <c r="JG107" i="31" s="1"/>
  <c r="IC107" i="31"/>
  <c r="ID107" i="31" s="1"/>
  <c r="IF107" i="31" s="1"/>
  <c r="KH107" i="31" s="1"/>
  <c r="JB107" i="31"/>
  <c r="BB108" i="31"/>
  <c r="DW107" i="31"/>
  <c r="DU108" i="31" s="1"/>
  <c r="EQ107" i="31"/>
  <c r="ER108" i="31"/>
  <c r="IU107" i="31"/>
  <c r="IV107" i="31" s="1"/>
  <c r="IW107" i="31" l="1"/>
  <c r="KB107" i="31" s="1"/>
  <c r="BC108" i="31"/>
  <c r="KK107" i="31"/>
  <c r="IX107" i="31"/>
  <c r="IM107" i="31"/>
  <c r="GM107" i="31"/>
  <c r="DB107" i="31"/>
  <c r="DC107" i="31" s="1"/>
  <c r="DD108" i="31" s="1"/>
  <c r="DE109" i="31" s="1"/>
  <c r="KI108" i="31"/>
  <c r="IN107" i="31"/>
  <c r="DF107" i="31"/>
  <c r="EU108" i="31"/>
  <c r="GT109" i="31" l="1"/>
  <c r="FD107" i="31"/>
  <c r="GU107" i="31"/>
  <c r="GV107" i="31"/>
  <c r="KJ108" i="31"/>
  <c r="DT107" i="31"/>
  <c r="DZ107" i="31" s="1"/>
  <c r="GR107" i="31"/>
  <c r="BD108" i="31"/>
  <c r="BE108" i="31"/>
  <c r="BF108" i="31" l="1"/>
  <c r="BG108" i="31"/>
  <c r="IS107" i="31"/>
  <c r="FL108" i="31"/>
  <c r="GS107" i="31"/>
  <c r="GY107" i="31" l="1"/>
  <c r="GX107" i="31"/>
  <c r="GW107" i="31"/>
  <c r="HC107" i="31" s="1"/>
  <c r="FA108" i="31" s="1"/>
  <c r="HB108" i="31" s="1"/>
  <c r="JH107" i="31"/>
  <c r="JI107" i="31" s="1"/>
  <c r="IT107" i="31"/>
  <c r="BH108" i="31"/>
  <c r="BI108" i="31"/>
  <c r="BK108" i="31" s="1"/>
  <c r="FM108" i="31"/>
  <c r="BL108" i="31" l="1"/>
  <c r="BM108" i="31"/>
  <c r="BJ108" i="31"/>
  <c r="JK107" i="31"/>
  <c r="EG107" i="31"/>
  <c r="EH108" i="31" s="1"/>
  <c r="EI108" i="31" s="1"/>
  <c r="FK108" i="31" s="1"/>
  <c r="HM107" i="31"/>
  <c r="EY107" i="31"/>
  <c r="HK108" i="31"/>
  <c r="JM107" i="31" l="1"/>
  <c r="KD107" i="31" s="1"/>
  <c r="IL108" i="31" s="1"/>
  <c r="JL107" i="31"/>
  <c r="JJ108" i="31" s="1"/>
  <c r="KA108" i="31"/>
  <c r="JN107" i="31"/>
  <c r="JV107" i="31" s="1"/>
  <c r="JF108" i="31" s="1"/>
  <c r="EZ107" i="31"/>
  <c r="DG107" i="31"/>
  <c r="DH107" i="31" s="1"/>
  <c r="DI108" i="31" s="1"/>
  <c r="ED107" i="31"/>
  <c r="EB108" i="31" s="1"/>
  <c r="EJ107" i="31"/>
  <c r="EK108" i="31" s="1"/>
  <c r="EE107" i="31"/>
  <c r="EF108" i="31" s="1"/>
  <c r="BN108" i="31"/>
  <c r="BO108" i="31"/>
  <c r="JZ107" i="31"/>
  <c r="KF107" i="31" s="1"/>
  <c r="IQ108" i="31" s="1"/>
  <c r="EP108" i="31" l="1"/>
  <c r="ET109" i="31" s="1"/>
  <c r="FC108" i="31"/>
  <c r="EO108" i="31"/>
  <c r="ES109" i="31" s="1"/>
  <c r="EL108" i="31"/>
  <c r="EV108" i="31"/>
  <c r="JY108" i="31"/>
  <c r="JW108" i="31"/>
  <c r="HZ108" i="31"/>
  <c r="BP108" i="31"/>
  <c r="BQ108" i="31" s="1"/>
  <c r="GZ108" i="31"/>
  <c r="IE108" i="31" s="1"/>
  <c r="DJ108" i="31"/>
  <c r="DK108" i="31" s="1"/>
  <c r="DP108" i="31"/>
  <c r="JA108" i="31"/>
  <c r="JO108" i="31"/>
  <c r="IR108" i="31"/>
  <c r="JE108" i="31"/>
  <c r="IY108" i="31"/>
  <c r="JC108" i="31"/>
  <c r="JD108" i="31"/>
  <c r="IO108" i="31"/>
  <c r="IP108" i="31"/>
  <c r="KG108" i="31" l="1"/>
  <c r="JP108" i="31"/>
  <c r="JQ108" i="31" s="1"/>
  <c r="JX108" i="31"/>
  <c r="EC108" i="31"/>
  <c r="FQ108" i="31"/>
  <c r="DM108" i="31"/>
  <c r="DX108" i="31"/>
  <c r="BR108" i="31"/>
  <c r="BS108" i="31"/>
  <c r="DL108" i="31" l="1"/>
  <c r="L109" i="31"/>
  <c r="EX108" i="31"/>
  <c r="M108" i="31" s="1"/>
  <c r="FB108" i="31"/>
  <c r="BT108" i="31"/>
  <c r="BU108" i="31"/>
  <c r="BV108" i="31" l="1"/>
  <c r="BW108" i="31" s="1"/>
  <c r="MB108" i="31"/>
  <c r="MJ108" i="31"/>
  <c r="NS108" i="31" s="1"/>
  <c r="NM108" i="31" l="1"/>
  <c r="NN108" i="31" s="1"/>
  <c r="BX108" i="31"/>
  <c r="BY108" i="31"/>
  <c r="NT108" i="31"/>
  <c r="OU109" i="31"/>
  <c r="OV109" i="31" l="1"/>
  <c r="NW108" i="31"/>
  <c r="NX108" i="31" s="1"/>
  <c r="CX108" i="31"/>
  <c r="FR108" i="31"/>
  <c r="FV108" i="31"/>
  <c r="NU108" i="31"/>
  <c r="BZ108" i="31"/>
  <c r="CA108" i="31"/>
  <c r="CC108" i="31" s="1"/>
  <c r="CB108" i="31" l="1"/>
  <c r="NY108" i="31"/>
  <c r="CD108" i="31"/>
  <c r="CE108" i="31"/>
  <c r="NV108" i="31"/>
  <c r="OF108" i="31"/>
  <c r="OS109" i="31" s="1"/>
  <c r="NZ108" i="31"/>
  <c r="MY108" i="31"/>
  <c r="CY109" i="31"/>
  <c r="CF108" i="31" l="1"/>
  <c r="CG108" i="31"/>
  <c r="NF109" i="31"/>
  <c r="OO109" i="31"/>
  <c r="OM109" i="31"/>
  <c r="OB108" i="31"/>
  <c r="OT109" i="31" s="1"/>
  <c r="MZ109" i="31"/>
  <c r="OZ108" i="31"/>
  <c r="OA108" i="31"/>
  <c r="MV109" i="31" s="1"/>
  <c r="OI108" i="31"/>
  <c r="OG109" i="31" l="1"/>
  <c r="KT109" i="31"/>
  <c r="PA108" i="31"/>
  <c r="OJ108" i="31"/>
  <c r="OC108" i="31"/>
  <c r="OD109" i="31" s="1"/>
  <c r="OH109" i="31" s="1"/>
  <c r="OW108" i="31"/>
  <c r="OX109" i="31"/>
  <c r="MR109" i="31"/>
  <c r="CH108" i="31"/>
  <c r="CI108" i="31" s="1"/>
  <c r="CJ108" i="31" l="1"/>
  <c r="CO108" i="31" s="1"/>
  <c r="CK108" i="31"/>
  <c r="CL108" i="31" s="1"/>
  <c r="OK109" i="31"/>
  <c r="OY109" i="31"/>
  <c r="MW109" i="31"/>
  <c r="MS109" i="31"/>
  <c r="KL109" i="31"/>
  <c r="KN110" i="31" s="1"/>
  <c r="KM109" i="31"/>
  <c r="KO110" i="31" s="1"/>
  <c r="CM108" i="31" l="1"/>
  <c r="CN108" i="31" s="1"/>
  <c r="CP108" i="31" s="1"/>
  <c r="KQ109" i="31"/>
  <c r="MT109" i="31"/>
  <c r="NP109" i="31"/>
  <c r="MU109" i="31"/>
  <c r="NJ109" i="31"/>
  <c r="NQ109" i="31"/>
  <c r="NH110" i="31"/>
  <c r="NI110" i="31" s="1"/>
  <c r="MO109" i="31"/>
  <c r="PE109" i="31"/>
  <c r="MX109" i="31"/>
  <c r="KP110" i="31"/>
  <c r="KR109" i="31"/>
  <c r="NR109" i="31" l="1"/>
  <c r="FX108" i="31"/>
  <c r="FY108" i="31" s="1"/>
  <c r="FP108" i="31"/>
  <c r="FS108" i="31" s="1"/>
  <c r="JR108" i="31"/>
  <c r="JS108" i="31" s="1"/>
  <c r="GO108" i="31"/>
  <c r="FE108" i="31"/>
  <c r="FF108" i="31" s="1"/>
  <c r="GB108" i="31"/>
  <c r="GC108" i="31" s="1"/>
  <c r="DQ108" i="31"/>
  <c r="DR108" i="31" s="1"/>
  <c r="FH108" i="31"/>
  <c r="FI108" i="31" s="1"/>
  <c r="CQ108" i="31"/>
  <c r="FU108" i="31"/>
  <c r="FW108" i="31" s="1"/>
  <c r="HO108" i="31"/>
  <c r="FZ108" i="31"/>
  <c r="GA108" i="31" s="1"/>
  <c r="KX108" i="31"/>
  <c r="GN108" i="31" s="1"/>
  <c r="KU108" i="31"/>
  <c r="NB109" i="31"/>
  <c r="NA109" i="31"/>
  <c r="KS109" i="31"/>
  <c r="NK109" i="31"/>
  <c r="NL109" i="31"/>
  <c r="NG110" i="31"/>
  <c r="OQ110" i="31"/>
  <c r="GQ108" i="31" l="1"/>
  <c r="KV108" i="31"/>
  <c r="HW108" i="31"/>
  <c r="HX109" i="31" s="1"/>
  <c r="FG109" i="31"/>
  <c r="JU108" i="31"/>
  <c r="KE108" i="31"/>
  <c r="KC108" i="31"/>
  <c r="JT109" i="31"/>
  <c r="HY108" i="31"/>
  <c r="DY108" i="31"/>
  <c r="HA108" i="31"/>
  <c r="NC110" i="31"/>
  <c r="MQ110" i="31"/>
  <c r="CT108" i="31"/>
  <c r="CR108" i="31"/>
  <c r="CS108" i="31"/>
  <c r="OR110" i="31"/>
  <c r="IA108" i="31"/>
  <c r="IB108" i="31" s="1"/>
  <c r="HP108" i="31"/>
  <c r="IZ108" i="31"/>
  <c r="HU108" i="31"/>
  <c r="HV109" i="31" s="1"/>
  <c r="FJ109" i="31"/>
  <c r="DS108" i="31"/>
  <c r="KW109" i="31" l="1"/>
  <c r="HQ108" i="31"/>
  <c r="HR109" i="31" s="1"/>
  <c r="AX108" i="31"/>
  <c r="AY109" i="31" s="1"/>
  <c r="EN108" i="31"/>
  <c r="EM108" i="31"/>
  <c r="EW108" i="31" s="1"/>
  <c r="AZ108" i="31"/>
  <c r="HS108" i="31"/>
  <c r="JG108" i="31" s="1"/>
  <c r="HT108" i="31"/>
  <c r="BB109" i="31" l="1"/>
  <c r="EQ108" i="31"/>
  <c r="IW108" i="31"/>
  <c r="DW108" i="31"/>
  <c r="DU109" i="31" s="1"/>
  <c r="ER109" i="31"/>
  <c r="IU108" i="31"/>
  <c r="IV108" i="31" s="1"/>
  <c r="IC108" i="31"/>
  <c r="ID108" i="31" s="1"/>
  <c r="IF108" i="31" s="1"/>
  <c r="KH108" i="31" s="1"/>
  <c r="JB108" i="31"/>
  <c r="EU109" i="31" l="1"/>
  <c r="GM108" i="31"/>
  <c r="IM108" i="31"/>
  <c r="DB108" i="31"/>
  <c r="DC108" i="31" s="1"/>
  <c r="DD109" i="31" s="1"/>
  <c r="DE110" i="31" s="1"/>
  <c r="KI109" i="31"/>
  <c r="IN108" i="31"/>
  <c r="DF108" i="31"/>
  <c r="KK108" i="31"/>
  <c r="KB108" i="31"/>
  <c r="IX108" i="31"/>
  <c r="BC109" i="31"/>
  <c r="GT110" i="31" l="1"/>
  <c r="DT108" i="31"/>
  <c r="DZ108" i="31" s="1"/>
  <c r="GR108" i="31"/>
  <c r="FD108" i="31"/>
  <c r="GU108" i="31"/>
  <c r="GV108" i="31"/>
  <c r="KJ109" i="31"/>
  <c r="BE109" i="31"/>
  <c r="BD109" i="31"/>
  <c r="IS108" i="31" l="1"/>
  <c r="FL109" i="31"/>
  <c r="GS108" i="31"/>
  <c r="BF109" i="31"/>
  <c r="BG109" i="31"/>
  <c r="BI109" i="31" l="1"/>
  <c r="BK109" i="31" s="1"/>
  <c r="BH109" i="31"/>
  <c r="GY108" i="31"/>
  <c r="GX108" i="31"/>
  <c r="GW108" i="31"/>
  <c r="HC108" i="31" s="1"/>
  <c r="FA109" i="31" s="1"/>
  <c r="HB109" i="31" s="1"/>
  <c r="FM109" i="31"/>
  <c r="JH108" i="31"/>
  <c r="JI108" i="31" s="1"/>
  <c r="IT108" i="31"/>
  <c r="BJ109" i="31" l="1"/>
  <c r="JK108" i="31"/>
  <c r="JZ108" i="31" s="1"/>
  <c r="KF108" i="31" s="1"/>
  <c r="IQ109" i="31" s="1"/>
  <c r="EY108" i="31"/>
  <c r="EG108" i="31"/>
  <c r="EH109" i="31" s="1"/>
  <c r="EI109" i="31" s="1"/>
  <c r="FK109" i="31" s="1"/>
  <c r="HM108" i="31"/>
  <c r="HK109" i="31"/>
  <c r="BL109" i="31"/>
  <c r="BM109" i="31"/>
  <c r="JM108" i="31" l="1"/>
  <c r="KD108" i="31" s="1"/>
  <c r="IL109" i="31" s="1"/>
  <c r="JE109" i="31" s="1"/>
  <c r="JN108" i="31"/>
  <c r="JV108" i="31" s="1"/>
  <c r="JF109" i="31" s="1"/>
  <c r="JW109" i="31" s="1"/>
  <c r="EZ108" i="31"/>
  <c r="DG108" i="31"/>
  <c r="DH108" i="31" s="1"/>
  <c r="DI109" i="31" s="1"/>
  <c r="JL108" i="31"/>
  <c r="JJ109" i="31" s="1"/>
  <c r="KA109" i="31"/>
  <c r="BN109" i="31"/>
  <c r="BO109" i="31"/>
  <c r="ED108" i="31"/>
  <c r="EB109" i="31" s="1"/>
  <c r="JA109" i="31" s="1"/>
  <c r="EJ108" i="31"/>
  <c r="EK109" i="31" s="1"/>
  <c r="EE108" i="31"/>
  <c r="EF109" i="31" s="1"/>
  <c r="JY109" i="31" l="1"/>
  <c r="IR109" i="31"/>
  <c r="JO109" i="31"/>
  <c r="JC109" i="31"/>
  <c r="JD109" i="31"/>
  <c r="GZ109" i="31"/>
  <c r="IE109" i="31" s="1"/>
  <c r="DJ109" i="31"/>
  <c r="DK109" i="31" s="1"/>
  <c r="EP109" i="31"/>
  <c r="ET110" i="31" s="1"/>
  <c r="EO109" i="31"/>
  <c r="ES110" i="31" s="1"/>
  <c r="FC109" i="31"/>
  <c r="EL109" i="31"/>
  <c r="EV109" i="31"/>
  <c r="HZ109" i="31"/>
  <c r="BP109" i="31"/>
  <c r="BQ109" i="31" s="1"/>
  <c r="IO109" i="31"/>
  <c r="IP109" i="31"/>
  <c r="DP109" i="31"/>
  <c r="IY109" i="31"/>
  <c r="BS109" i="31" l="1"/>
  <c r="BU109" i="31" s="1"/>
  <c r="BR109" i="31"/>
  <c r="JP109" i="31"/>
  <c r="JQ109" i="31" s="1"/>
  <c r="KG109" i="31"/>
  <c r="EC109" i="31"/>
  <c r="DX109" i="31"/>
  <c r="DM109" i="31"/>
  <c r="FQ109" i="31"/>
  <c r="JX109" i="31"/>
  <c r="BV109" i="31" l="1"/>
  <c r="BW109" i="31" s="1"/>
  <c r="BX109" i="31" s="1"/>
  <c r="BT109" i="31"/>
  <c r="DL109" i="31"/>
  <c r="L110" i="31"/>
  <c r="FB109" i="31"/>
  <c r="EX109" i="31"/>
  <c r="M109" i="31" s="1"/>
  <c r="BY109" i="31" l="1"/>
  <c r="BZ109" i="31" s="1"/>
  <c r="MJ109" i="31"/>
  <c r="NS109" i="31" s="1"/>
  <c r="MB109" i="31"/>
  <c r="NM109" i="31" s="1"/>
  <c r="NN109" i="31" s="1"/>
  <c r="CA109" i="31" l="1"/>
  <c r="CC109" i="31" s="1"/>
  <c r="CD109" i="31" s="1"/>
  <c r="OV110" i="31"/>
  <c r="NW109" i="31"/>
  <c r="NX109" i="31" s="1"/>
  <c r="NT109" i="31"/>
  <c r="OU110" i="31"/>
  <c r="CE109" i="31" l="1"/>
  <c r="CF109" i="31" s="1"/>
  <c r="CB109" i="31"/>
  <c r="FV109" i="31"/>
  <c r="CX109" i="31"/>
  <c r="FR109" i="31"/>
  <c r="NU109" i="31"/>
  <c r="OF109" i="31"/>
  <c r="OS110" i="31" s="1"/>
  <c r="NY109" i="31"/>
  <c r="CG109" i="31" l="1"/>
  <c r="CH109" i="31" s="1"/>
  <c r="CI109" i="31" s="1"/>
  <c r="NV109" i="31"/>
  <c r="OB109" i="31"/>
  <c r="OT110" i="31" s="1"/>
  <c r="NZ109" i="31"/>
  <c r="OA109" i="31" s="1"/>
  <c r="MV110" i="31" s="1"/>
  <c r="MY109" i="31"/>
  <c r="CY110" i="31"/>
  <c r="CK109" i="31" l="1"/>
  <c r="CL109" i="31" s="1"/>
  <c r="CJ109" i="31"/>
  <c r="CO109" i="31" s="1"/>
  <c r="OC109" i="31"/>
  <c r="OD110" i="31" s="1"/>
  <c r="OH110" i="31" s="1"/>
  <c r="PA109" i="31"/>
  <c r="OJ109" i="31"/>
  <c r="OY110" i="31" s="1"/>
  <c r="MZ110" i="31"/>
  <c r="OZ109" i="31"/>
  <c r="OM110" i="31"/>
  <c r="OO110" i="31"/>
  <c r="KT110" i="31" s="1"/>
  <c r="NF110" i="31"/>
  <c r="OG110" i="31"/>
  <c r="OI109" i="31"/>
  <c r="CM109" i="31" l="1"/>
  <c r="CN109" i="31" s="1"/>
  <c r="CP109" i="31" s="1"/>
  <c r="OK110" i="31"/>
  <c r="MW110" i="31"/>
  <c r="MX110" i="31" s="1"/>
  <c r="KM110" i="31"/>
  <c r="KO111" i="31" s="1"/>
  <c r="KL110" i="31"/>
  <c r="KN111" i="31" s="1"/>
  <c r="OX110" i="31"/>
  <c r="OW109" i="31"/>
  <c r="MR110" i="31"/>
  <c r="NB110" i="31" l="1"/>
  <c r="NA110" i="31"/>
  <c r="MS110" i="31"/>
  <c r="KQ110" i="31"/>
  <c r="JR109" i="31"/>
  <c r="JS109" i="31" s="1"/>
  <c r="GO109" i="31"/>
  <c r="CQ109" i="31"/>
  <c r="FP109" i="31"/>
  <c r="FS109" i="31" s="1"/>
  <c r="FH109" i="31"/>
  <c r="FI109" i="31" s="1"/>
  <c r="DQ109" i="31"/>
  <c r="DR109" i="31" s="1"/>
  <c r="FU109" i="31"/>
  <c r="FW109" i="31" s="1"/>
  <c r="FX109" i="31"/>
  <c r="FY109" i="31" s="1"/>
  <c r="GB109" i="31"/>
  <c r="GC109" i="31" s="1"/>
  <c r="FZ109" i="31"/>
  <c r="GA109" i="31" s="1"/>
  <c r="FE109" i="31"/>
  <c r="FF109" i="31" s="1"/>
  <c r="HO109" i="31"/>
  <c r="KX109" i="31"/>
  <c r="KU109" i="31"/>
  <c r="KP111" i="31"/>
  <c r="KR110" i="31"/>
  <c r="GN109" i="31" l="1"/>
  <c r="GQ109" i="31" s="1"/>
  <c r="HU109" i="31"/>
  <c r="HV110" i="31" s="1"/>
  <c r="FJ110" i="31"/>
  <c r="MU110" i="31"/>
  <c r="NP110" i="31"/>
  <c r="NJ110" i="31"/>
  <c r="NQ110" i="31"/>
  <c r="MO110" i="31"/>
  <c r="MT110" i="31"/>
  <c r="NH111" i="31"/>
  <c r="NI111" i="31" s="1"/>
  <c r="PE110" i="31"/>
  <c r="CS109" i="31"/>
  <c r="CT109" i="31"/>
  <c r="CR109" i="31"/>
  <c r="IA109" i="31"/>
  <c r="IB109" i="31" s="1"/>
  <c r="HP109" i="31"/>
  <c r="IZ109" i="31"/>
  <c r="FG110" i="31"/>
  <c r="HW109" i="31"/>
  <c r="HX110" i="31" s="1"/>
  <c r="DS109" i="31"/>
  <c r="JU109" i="31"/>
  <c r="KE109" i="31"/>
  <c r="KC109" i="31"/>
  <c r="JT110" i="31"/>
  <c r="HA109" i="31"/>
  <c r="DY109" i="31"/>
  <c r="HY109" i="31"/>
  <c r="KS110" i="31"/>
  <c r="KV109" i="31" l="1"/>
  <c r="KW110" i="31" s="1"/>
  <c r="HQ109" i="31"/>
  <c r="HR110" i="31" s="1"/>
  <c r="NK110" i="31"/>
  <c r="NL110" i="31"/>
  <c r="NG111" i="31"/>
  <c r="OQ111" i="31"/>
  <c r="AX109" i="31"/>
  <c r="AY110" i="31" s="1"/>
  <c r="EN109" i="31"/>
  <c r="AZ109" i="31"/>
  <c r="EM109" i="31"/>
  <c r="EW109" i="31" s="1"/>
  <c r="HT109" i="31"/>
  <c r="HS109" i="31"/>
  <c r="JG109" i="31" s="1"/>
  <c r="NR110" i="31"/>
  <c r="IC109" i="31" l="1"/>
  <c r="ID109" i="31" s="1"/>
  <c r="IF109" i="31" s="1"/>
  <c r="KH109" i="31" s="1"/>
  <c r="JB109" i="31"/>
  <c r="BB110" i="31"/>
  <c r="DW109" i="31"/>
  <c r="DU110" i="31" s="1"/>
  <c r="EQ109" i="31"/>
  <c r="IW109" i="31"/>
  <c r="ER110" i="31"/>
  <c r="IU109" i="31"/>
  <c r="IV109" i="31" s="1"/>
  <c r="OR111" i="31"/>
  <c r="NC111" i="31"/>
  <c r="MQ111" i="31"/>
  <c r="BC110" i="31" l="1"/>
  <c r="KK109" i="31"/>
  <c r="KB109" i="31"/>
  <c r="IX109" i="31"/>
  <c r="IM109" i="31"/>
  <c r="DB109" i="31"/>
  <c r="DC109" i="31" s="1"/>
  <c r="DD110" i="31" s="1"/>
  <c r="DE111" i="31" s="1"/>
  <c r="GM109" i="31"/>
  <c r="KI110" i="31"/>
  <c r="IN109" i="31"/>
  <c r="DF109" i="31"/>
  <c r="EU110" i="31"/>
  <c r="DT109" i="31" l="1"/>
  <c r="DZ109" i="31" s="1"/>
  <c r="GT111" i="31"/>
  <c r="GR109" i="31"/>
  <c r="BD110" i="31"/>
  <c r="BE110" i="31"/>
  <c r="KJ110" i="31"/>
  <c r="FD109" i="31"/>
  <c r="GV109" i="31"/>
  <c r="GU109" i="31"/>
  <c r="BF110" i="31" l="1"/>
  <c r="BG110" i="31"/>
  <c r="GS109" i="31"/>
  <c r="IS109" i="31"/>
  <c r="FL110" i="31"/>
  <c r="FM110" i="31" l="1"/>
  <c r="JH109" i="31"/>
  <c r="JI109" i="31" s="1"/>
  <c r="IT109" i="31"/>
  <c r="BH110" i="31"/>
  <c r="BI110" i="31"/>
  <c r="BK110" i="31" s="1"/>
  <c r="GX109" i="31"/>
  <c r="GW109" i="31"/>
  <c r="HC109" i="31" s="1"/>
  <c r="FA110" i="31" s="1"/>
  <c r="HB110" i="31" s="1"/>
  <c r="GY109" i="31"/>
  <c r="BL110" i="31" l="1"/>
  <c r="BM110" i="31"/>
  <c r="HM109" i="31"/>
  <c r="EY109" i="31"/>
  <c r="EG109" i="31"/>
  <c r="EH110" i="31" s="1"/>
  <c r="EI110" i="31" s="1"/>
  <c r="FK110" i="31" s="1"/>
  <c r="HK110" i="31"/>
  <c r="BJ110" i="31"/>
  <c r="JK109" i="31"/>
  <c r="JN109" i="31" s="1"/>
  <c r="JV109" i="31" s="1"/>
  <c r="JF110" i="31" s="1"/>
  <c r="JM109" i="31" l="1"/>
  <c r="KD109" i="31" s="1"/>
  <c r="IL110" i="31" s="1"/>
  <c r="EZ109" i="31"/>
  <c r="DG109" i="31"/>
  <c r="DH109" i="31" s="1"/>
  <c r="DI110" i="31" s="1"/>
  <c r="JY110" i="31"/>
  <c r="JW110" i="31"/>
  <c r="JZ109" i="31"/>
  <c r="KF109" i="31" s="1"/>
  <c r="IQ110" i="31" s="1"/>
  <c r="JL109" i="31"/>
  <c r="JJ110" i="31" s="1"/>
  <c r="KA110" i="31"/>
  <c r="EE109" i="31"/>
  <c r="EF110" i="31" s="1"/>
  <c r="EJ109" i="31"/>
  <c r="EK110" i="31" s="1"/>
  <c r="ED109" i="31"/>
  <c r="EB110" i="31" s="1"/>
  <c r="BN110" i="31"/>
  <c r="BO110" i="31"/>
  <c r="IP110" i="31" l="1"/>
  <c r="JA110" i="31"/>
  <c r="IR110" i="31"/>
  <c r="IY110" i="31"/>
  <c r="JE110" i="31"/>
  <c r="FC110" i="31"/>
  <c r="EO110" i="31"/>
  <c r="ES111" i="31" s="1"/>
  <c r="EL110" i="31"/>
  <c r="EP110" i="31"/>
  <c r="ET111" i="31" s="1"/>
  <c r="EV110" i="31"/>
  <c r="JC110" i="31"/>
  <c r="JD110" i="31"/>
  <c r="JO110" i="31"/>
  <c r="BP110" i="31"/>
  <c r="BQ110" i="31" s="1"/>
  <c r="DP110" i="31"/>
  <c r="HZ110" i="31"/>
  <c r="DJ110" i="31"/>
  <c r="DK110" i="31" s="1"/>
  <c r="GZ110" i="31"/>
  <c r="IE110" i="31" s="1"/>
  <c r="IO110" i="31"/>
  <c r="BR110" i="31" l="1"/>
  <c r="BS110" i="31"/>
  <c r="EC110" i="31"/>
  <c r="JX110" i="31"/>
  <c r="DM110" i="31"/>
  <c r="FQ110" i="31"/>
  <c r="DX110" i="31"/>
  <c r="JP110" i="31"/>
  <c r="JQ110" i="31" s="1"/>
  <c r="KG110" i="31"/>
  <c r="DL110" i="31" l="1"/>
  <c r="L111" i="31"/>
  <c r="FB110" i="31"/>
  <c r="EX110" i="31"/>
  <c r="M110" i="31" s="1"/>
  <c r="BT110" i="31"/>
  <c r="BU110" i="31"/>
  <c r="BV110" i="31" s="1"/>
  <c r="BW110" i="31" s="1"/>
  <c r="BX110" i="31" l="1"/>
  <c r="BY110" i="31"/>
  <c r="MJ110" i="31"/>
  <c r="NS110" i="31" s="1"/>
  <c r="MB110" i="31"/>
  <c r="NM110" i="31" s="1"/>
  <c r="NN110" i="31" s="1"/>
  <c r="NT110" i="31" l="1"/>
  <c r="OU111" i="31"/>
  <c r="OV111" i="31"/>
  <c r="NW110" i="31"/>
  <c r="NX110" i="31" s="1"/>
  <c r="BZ110" i="31"/>
  <c r="CA110" i="31"/>
  <c r="CC110" i="31" s="1"/>
  <c r="CD110" i="31" l="1"/>
  <c r="CE110" i="31"/>
  <c r="OF110" i="31"/>
  <c r="OS111" i="31" s="1"/>
  <c r="NY110" i="31"/>
  <c r="CB110" i="31"/>
  <c r="FR110" i="31"/>
  <c r="CX110" i="31"/>
  <c r="FV110" i="31"/>
  <c r="NU110" i="31"/>
  <c r="OB110" i="31" l="1"/>
  <c r="OT111" i="31" s="1"/>
  <c r="NV110" i="31"/>
  <c r="MY110" i="31"/>
  <c r="NZ110" i="31"/>
  <c r="OA110" i="31" s="1"/>
  <c r="MV111" i="31" s="1"/>
  <c r="CY111" i="31"/>
  <c r="CF110" i="31"/>
  <c r="CG110" i="31"/>
  <c r="MZ111" i="31" l="1"/>
  <c r="OZ110" i="31"/>
  <c r="OG111" i="31"/>
  <c r="PA110" i="31"/>
  <c r="OO111" i="31"/>
  <c r="KT111" i="31" s="1"/>
  <c r="NF111" i="31"/>
  <c r="OM111" i="31"/>
  <c r="OC110" i="31"/>
  <c r="OD111" i="31" s="1"/>
  <c r="OH111" i="31" s="1"/>
  <c r="OI110" i="31"/>
  <c r="CH110" i="31"/>
  <c r="CI110" i="31" s="1"/>
  <c r="OJ110" i="31"/>
  <c r="CJ110" i="31" l="1"/>
  <c r="CO110" i="31" s="1"/>
  <c r="CK110" i="31"/>
  <c r="CL110" i="31" s="1"/>
  <c r="OK111" i="31"/>
  <c r="OW110" i="31"/>
  <c r="OX111" i="31"/>
  <c r="MR111" i="31"/>
  <c r="KM111" i="31"/>
  <c r="KO112" i="31" s="1"/>
  <c r="KL111" i="31"/>
  <c r="KN112" i="31" s="1"/>
  <c r="MW111" i="31"/>
  <c r="OY111" i="31"/>
  <c r="CM110" i="31" l="1"/>
  <c r="CN110" i="31" s="1"/>
  <c r="CP110" i="31" s="1"/>
  <c r="MX111" i="31"/>
  <c r="KQ111" i="31"/>
  <c r="KP112" i="31"/>
  <c r="KR111" i="31"/>
  <c r="MS111" i="31"/>
  <c r="KS111" i="31" l="1"/>
  <c r="FZ110" i="31"/>
  <c r="GA110" i="31" s="1"/>
  <c r="HO110" i="31"/>
  <c r="CQ110" i="31"/>
  <c r="JR110" i="31"/>
  <c r="JS110" i="31" s="1"/>
  <c r="DQ110" i="31"/>
  <c r="DR110" i="31" s="1"/>
  <c r="FX110" i="31"/>
  <c r="FY110" i="31" s="1"/>
  <c r="FE110" i="31"/>
  <c r="FF110" i="31" s="1"/>
  <c r="GO110" i="31"/>
  <c r="FH110" i="31"/>
  <c r="FI110" i="31" s="1"/>
  <c r="GB110" i="31"/>
  <c r="GC110" i="31" s="1"/>
  <c r="FP110" i="31"/>
  <c r="FS110" i="31" s="1"/>
  <c r="FU110" i="31"/>
  <c r="FW110" i="31" s="1"/>
  <c r="KX110" i="31"/>
  <c r="KU110" i="31"/>
  <c r="MO111" i="31"/>
  <c r="NJ111" i="31"/>
  <c r="NP111" i="31"/>
  <c r="MT111" i="31"/>
  <c r="MU111" i="31"/>
  <c r="NQ111" i="31"/>
  <c r="NH112" i="31"/>
  <c r="NI112" i="31" s="1"/>
  <c r="PE111" i="31"/>
  <c r="NA111" i="31"/>
  <c r="NB111" i="31"/>
  <c r="GN110" i="31" l="1"/>
  <c r="KV110" i="31" s="1"/>
  <c r="NR111" i="31"/>
  <c r="NL111" i="31"/>
  <c r="NK111" i="31"/>
  <c r="NG112" i="31"/>
  <c r="OQ112" i="31"/>
  <c r="HW110" i="31"/>
  <c r="HX111" i="31" s="1"/>
  <c r="FG111" i="31"/>
  <c r="DS110" i="31"/>
  <c r="JU110" i="31"/>
  <c r="KE110" i="31"/>
  <c r="JT111" i="31"/>
  <c r="KC110" i="31"/>
  <c r="DY110" i="31"/>
  <c r="HA110" i="31"/>
  <c r="HY110" i="31"/>
  <c r="CR110" i="31"/>
  <c r="CS110" i="31"/>
  <c r="CT110" i="31"/>
  <c r="HP110" i="31"/>
  <c r="IA110" i="31"/>
  <c r="IB110" i="31" s="1"/>
  <c r="IZ110" i="31"/>
  <c r="HU110" i="31"/>
  <c r="HV111" i="31" s="1"/>
  <c r="FJ111" i="31"/>
  <c r="GQ110" i="31" l="1"/>
  <c r="KW111" i="31"/>
  <c r="HQ110" i="31"/>
  <c r="HR111" i="31" s="1"/>
  <c r="OR112" i="31"/>
  <c r="HS110" i="31"/>
  <c r="JG110" i="31" s="1"/>
  <c r="HT110" i="31"/>
  <c r="AX110" i="31"/>
  <c r="AY111" i="31" s="1"/>
  <c r="AZ110" i="31"/>
  <c r="EN110" i="31"/>
  <c r="EM110" i="31"/>
  <c r="EW110" i="31" s="1"/>
  <c r="NC112" i="31"/>
  <c r="MQ112" i="31"/>
  <c r="IC110" i="31" l="1"/>
  <c r="ID110" i="31" s="1"/>
  <c r="IF110" i="31" s="1"/>
  <c r="KH110" i="31" s="1"/>
  <c r="JB110" i="31"/>
  <c r="BB111" i="31"/>
  <c r="DW110" i="31"/>
  <c r="DU111" i="31" s="1"/>
  <c r="EQ110" i="31"/>
  <c r="IW110" i="31"/>
  <c r="ER111" i="31"/>
  <c r="IU110" i="31"/>
  <c r="IV110" i="31" s="1"/>
  <c r="BC111" i="31" l="1"/>
  <c r="KK110" i="31"/>
  <c r="KB110" i="31"/>
  <c r="IX110" i="31"/>
  <c r="EU111" i="31"/>
  <c r="DB110" i="31"/>
  <c r="DC110" i="31" s="1"/>
  <c r="DD111" i="31" s="1"/>
  <c r="DE112" i="31" s="1"/>
  <c r="IM110" i="31"/>
  <c r="GM110" i="31"/>
  <c r="KI111" i="31"/>
  <c r="IN110" i="31"/>
  <c r="DF110" i="31"/>
  <c r="GT112" i="31" l="1"/>
  <c r="DT110" i="31"/>
  <c r="DZ110" i="31" s="1"/>
  <c r="KJ111" i="31"/>
  <c r="FD110" i="31"/>
  <c r="GU110" i="31"/>
  <c r="GV110" i="31"/>
  <c r="GR110" i="31"/>
  <c r="BE111" i="31"/>
  <c r="BD111" i="31"/>
  <c r="IS110" i="31" l="1"/>
  <c r="FL111" i="31"/>
  <c r="BF111" i="31"/>
  <c r="BG111" i="31"/>
  <c r="GS110" i="31"/>
  <c r="BH111" i="31" l="1"/>
  <c r="BI111" i="31"/>
  <c r="BK111" i="31" s="1"/>
  <c r="FM111" i="31"/>
  <c r="GY110" i="31"/>
  <c r="GX110" i="31"/>
  <c r="GW110" i="31"/>
  <c r="HC110" i="31" s="1"/>
  <c r="FA111" i="31" s="1"/>
  <c r="HB111" i="31" s="1"/>
  <c r="JH110" i="31"/>
  <c r="JI110" i="31" s="1"/>
  <c r="IT110" i="31"/>
  <c r="BL111" i="31" l="1"/>
  <c r="BM111" i="31"/>
  <c r="JK110" i="31"/>
  <c r="JZ110" i="31" s="1"/>
  <c r="KF110" i="31" s="1"/>
  <c r="IQ111" i="31" s="1"/>
  <c r="HM110" i="31"/>
  <c r="EG110" i="31"/>
  <c r="EH111" i="31" s="1"/>
  <c r="EI111" i="31" s="1"/>
  <c r="FK111" i="31" s="1"/>
  <c r="EY110" i="31"/>
  <c r="HK111" i="31"/>
  <c r="BJ111" i="31"/>
  <c r="EZ110" i="31" l="1"/>
  <c r="DG110" i="31"/>
  <c r="DH110" i="31" s="1"/>
  <c r="DI111" i="31" s="1"/>
  <c r="JN110" i="31"/>
  <c r="JV110" i="31" s="1"/>
  <c r="JF111" i="31" s="1"/>
  <c r="JL110" i="31"/>
  <c r="JJ111" i="31" s="1"/>
  <c r="KA111" i="31"/>
  <c r="BO111" i="31"/>
  <c r="BP111" i="31" s="1"/>
  <c r="BN111" i="31"/>
  <c r="EE110" i="31"/>
  <c r="EF111" i="31" s="1"/>
  <c r="ED110" i="31"/>
  <c r="EB111" i="31" s="1"/>
  <c r="IY111" i="31" s="1"/>
  <c r="EJ110" i="31"/>
  <c r="EK111" i="31" s="1"/>
  <c r="JM110" i="31"/>
  <c r="KD110" i="31" s="1"/>
  <c r="IL111" i="31" s="1"/>
  <c r="JE111" i="31" s="1"/>
  <c r="DP111" i="31" l="1"/>
  <c r="JC111" i="31"/>
  <c r="JD111" i="31"/>
  <c r="IO111" i="31"/>
  <c r="JP111" i="31" s="1"/>
  <c r="JQ111" i="31" s="1"/>
  <c r="IP111" i="31"/>
  <c r="EP111" i="31"/>
  <c r="ET112" i="31" s="1"/>
  <c r="FC111" i="31"/>
  <c r="EO111" i="31"/>
  <c r="ES112" i="31" s="1"/>
  <c r="EL111" i="31"/>
  <c r="EV111" i="31"/>
  <c r="HZ111" i="31"/>
  <c r="JA111" i="31"/>
  <c r="GZ111" i="31"/>
  <c r="IE111" i="31" s="1"/>
  <c r="DJ111" i="31"/>
  <c r="DK111" i="31" s="1"/>
  <c r="IR111" i="31"/>
  <c r="BQ111" i="31"/>
  <c r="JW111" i="31"/>
  <c r="JY111" i="31"/>
  <c r="JO111" i="31"/>
  <c r="KG111" i="31" l="1"/>
  <c r="BR111" i="31"/>
  <c r="BS111" i="31"/>
  <c r="DX111" i="31"/>
  <c r="FQ111" i="31"/>
  <c r="DM111" i="31"/>
  <c r="EC111" i="31"/>
  <c r="JX111" i="31"/>
  <c r="FB111" i="31" l="1"/>
  <c r="EX111" i="31"/>
  <c r="M111" i="31" s="1"/>
  <c r="BT111" i="31"/>
  <c r="BU111" i="31"/>
  <c r="DL111" i="31"/>
  <c r="L112" i="31"/>
  <c r="MJ111" i="31" l="1"/>
  <c r="NS111" i="31" s="1"/>
  <c r="MB111" i="31"/>
  <c r="NM111" i="31" s="1"/>
  <c r="NN111" i="31" s="1"/>
  <c r="BV111" i="31"/>
  <c r="BW111" i="31" s="1"/>
  <c r="BY111" i="31" l="1"/>
  <c r="BX111" i="31"/>
  <c r="OV112" i="31"/>
  <c r="NW111" i="31"/>
  <c r="NX111" i="31" s="1"/>
  <c r="NT111" i="31"/>
  <c r="OU112" i="31"/>
  <c r="CX111" i="31" l="1"/>
  <c r="FR111" i="31"/>
  <c r="FV111" i="31"/>
  <c r="NU111" i="31"/>
  <c r="OF111" i="31"/>
  <c r="OS112" i="31" s="1"/>
  <c r="NY111" i="31"/>
  <c r="BZ111" i="31"/>
  <c r="CA111" i="31"/>
  <c r="CC111" i="31" s="1"/>
  <c r="CB111" i="31" l="1"/>
  <c r="NV111" i="31"/>
  <c r="OB111" i="31"/>
  <c r="OT112" i="31" s="1"/>
  <c r="NZ111" i="31"/>
  <c r="OA111" i="31" s="1"/>
  <c r="MV112" i="31" s="1"/>
  <c r="MY111" i="31"/>
  <c r="OI111" i="31" s="1"/>
  <c r="CY112" i="31"/>
  <c r="CD111" i="31"/>
  <c r="CE111" i="31"/>
  <c r="OC111" i="31" l="1"/>
  <c r="OD112" i="31" s="1"/>
  <c r="OH112" i="31" s="1"/>
  <c r="PA111" i="31"/>
  <c r="OJ111" i="31"/>
  <c r="MW112" i="31" s="1"/>
  <c r="CF111" i="31"/>
  <c r="CG111" i="31"/>
  <c r="MZ112" i="31"/>
  <c r="OZ111" i="31"/>
  <c r="OO112" i="31"/>
  <c r="KT112" i="31" s="1"/>
  <c r="NF112" i="31"/>
  <c r="OM112" i="31"/>
  <c r="OG112" i="31"/>
  <c r="OX112" i="31"/>
  <c r="MR112" i="31"/>
  <c r="OW111" i="31"/>
  <c r="OK112" i="31" l="1"/>
  <c r="OY112" i="31"/>
  <c r="CH111" i="31"/>
  <c r="CI111" i="31" s="1"/>
  <c r="KL112" i="31"/>
  <c r="KN113" i="31" s="1"/>
  <c r="KM112" i="31"/>
  <c r="KO113" i="31" s="1"/>
  <c r="MS112" i="31"/>
  <c r="MX112" i="31"/>
  <c r="CJ111" i="31" l="1"/>
  <c r="CO111" i="31" s="1"/>
  <c r="CK111" i="31"/>
  <c r="CL111" i="31" s="1"/>
  <c r="KQ112" i="31"/>
  <c r="NB112" i="31"/>
  <c r="NA112" i="31"/>
  <c r="NH113" i="31"/>
  <c r="NI113" i="31" s="1"/>
  <c r="MU112" i="31"/>
  <c r="NQ112" i="31"/>
  <c r="NP112" i="31"/>
  <c r="MO112" i="31"/>
  <c r="NJ112" i="31"/>
  <c r="MT112" i="31"/>
  <c r="PE112" i="31"/>
  <c r="KP113" i="31"/>
  <c r="KR112" i="31"/>
  <c r="CM111" i="31" l="1"/>
  <c r="CN111" i="31" s="1"/>
  <c r="CP111" i="31" s="1"/>
  <c r="NR112" i="31"/>
  <c r="NL112" i="31"/>
  <c r="NK112" i="31"/>
  <c r="NG113" i="31"/>
  <c r="OQ113" i="31"/>
  <c r="KS112" i="31"/>
  <c r="OR113" i="31" l="1"/>
  <c r="NC113" i="31"/>
  <c r="MQ113" i="31"/>
  <c r="FX111" i="31"/>
  <c r="FY111" i="31" s="1"/>
  <c r="DQ111" i="31"/>
  <c r="DR111" i="31" s="1"/>
  <c r="JR111" i="31"/>
  <c r="JS111" i="31" s="1"/>
  <c r="CQ111" i="31"/>
  <c r="FU111" i="31"/>
  <c r="FW111" i="31" s="1"/>
  <c r="GB111" i="31"/>
  <c r="GC111" i="31" s="1"/>
  <c r="FH111" i="31"/>
  <c r="FI111" i="31" s="1"/>
  <c r="FZ111" i="31"/>
  <c r="GA111" i="31" s="1"/>
  <c r="FP111" i="31"/>
  <c r="FS111" i="31" s="1"/>
  <c r="HO111" i="31"/>
  <c r="FE111" i="31"/>
  <c r="FF111" i="31" s="1"/>
  <c r="GO111" i="31"/>
  <c r="KX111" i="31"/>
  <c r="GN111" i="31" s="1"/>
  <c r="KU111" i="31"/>
  <c r="HP111" i="31" l="1"/>
  <c r="IA111" i="31"/>
  <c r="IB111" i="31" s="1"/>
  <c r="IZ111" i="31"/>
  <c r="HU111" i="31"/>
  <c r="HV112" i="31" s="1"/>
  <c r="FJ112" i="31"/>
  <c r="GQ111" i="31"/>
  <c r="KV111" i="31"/>
  <c r="DS111" i="31"/>
  <c r="CR111" i="31"/>
  <c r="CS111" i="31"/>
  <c r="CT111" i="31"/>
  <c r="DY111" i="31"/>
  <c r="HY111" i="31"/>
  <c r="HA111" i="31"/>
  <c r="FG112" i="31"/>
  <c r="HW111" i="31"/>
  <c r="HX112" i="31" s="1"/>
  <c r="JU111" i="31"/>
  <c r="KE111" i="31"/>
  <c r="JT112" i="31"/>
  <c r="KC111" i="31"/>
  <c r="KW112" i="31" l="1"/>
  <c r="HQ111" i="31"/>
  <c r="HR112" i="31" s="1"/>
  <c r="AX111" i="31"/>
  <c r="AY112" i="31" s="1"/>
  <c r="EN111" i="31"/>
  <c r="AZ111" i="31"/>
  <c r="EM111" i="31"/>
  <c r="EW111" i="31" s="1"/>
  <c r="HT111" i="31"/>
  <c r="HS111" i="31"/>
  <c r="JG111" i="31" s="1"/>
  <c r="BB112" i="31" l="1"/>
  <c r="DW111" i="31"/>
  <c r="DU112" i="31" s="1"/>
  <c r="EQ111" i="31"/>
  <c r="ER112" i="31"/>
  <c r="IU111" i="31"/>
  <c r="IV111" i="31" s="1"/>
  <c r="IC111" i="31"/>
  <c r="ID111" i="31" s="1"/>
  <c r="IF111" i="31" s="1"/>
  <c r="KH111" i="31" s="1"/>
  <c r="JB111" i="31"/>
  <c r="IW111" i="31" l="1"/>
  <c r="KB111" i="31" s="1"/>
  <c r="DB111" i="31"/>
  <c r="DC111" i="31" s="1"/>
  <c r="DD112" i="31" s="1"/>
  <c r="DE113" i="31" s="1"/>
  <c r="GM111" i="31"/>
  <c r="IM111" i="31"/>
  <c r="KI112" i="31"/>
  <c r="IN111" i="31"/>
  <c r="DF111" i="31"/>
  <c r="IX111" i="31"/>
  <c r="KK111" i="31"/>
  <c r="EU112" i="31"/>
  <c r="BC112" i="31"/>
  <c r="GT113" i="31" l="1"/>
  <c r="FD111" i="31"/>
  <c r="GV111" i="31"/>
  <c r="GU111" i="31"/>
  <c r="KJ112" i="31"/>
  <c r="DT111" i="31"/>
  <c r="DZ111" i="31" s="1"/>
  <c r="GR111" i="31"/>
  <c r="BD112" i="31"/>
  <c r="BE112" i="31"/>
  <c r="BF112" i="31" l="1"/>
  <c r="BG112" i="31"/>
  <c r="IS111" i="31"/>
  <c r="FL112" i="31"/>
  <c r="GS111" i="31"/>
  <c r="JH111" i="31" l="1"/>
  <c r="JI111" i="31" s="1"/>
  <c r="IT111" i="31"/>
  <c r="GY111" i="31"/>
  <c r="GX111" i="31"/>
  <c r="GW111" i="31"/>
  <c r="HC111" i="31" s="1"/>
  <c r="FA112" i="31" s="1"/>
  <c r="HB112" i="31" s="1"/>
  <c r="BI112" i="31"/>
  <c r="BK112" i="31" s="1"/>
  <c r="BH112" i="31"/>
  <c r="FM112" i="31"/>
  <c r="BJ112" i="31" l="1"/>
  <c r="BL112" i="31"/>
  <c r="BM112" i="31"/>
  <c r="EY111" i="31"/>
  <c r="HM111" i="31"/>
  <c r="EG111" i="31"/>
  <c r="EH112" i="31" s="1"/>
  <c r="EI112" i="31" s="1"/>
  <c r="FK112" i="31" s="1"/>
  <c r="HK112" i="31"/>
  <c r="JK111" i="31"/>
  <c r="JN111" i="31" s="1"/>
  <c r="JV111" i="31" s="1"/>
  <c r="JF112" i="31" s="1"/>
  <c r="JM111" i="31" l="1"/>
  <c r="KD111" i="31" s="1"/>
  <c r="IL112" i="31" s="1"/>
  <c r="JW112" i="31"/>
  <c r="JY112" i="31"/>
  <c r="EZ111" i="31"/>
  <c r="DG111" i="31"/>
  <c r="DH111" i="31" s="1"/>
  <c r="DI112" i="31" s="1"/>
  <c r="BN112" i="31"/>
  <c r="BO112" i="31"/>
  <c r="EE111" i="31"/>
  <c r="EF112" i="31" s="1"/>
  <c r="EJ111" i="31"/>
  <c r="EK112" i="31" s="1"/>
  <c r="ED111" i="31"/>
  <c r="EB112" i="31" s="1"/>
  <c r="JZ111" i="31"/>
  <c r="KF111" i="31" s="1"/>
  <c r="IQ112" i="31" s="1"/>
  <c r="JL111" i="31"/>
  <c r="JJ112" i="31" s="1"/>
  <c r="KA112" i="31"/>
  <c r="BP112" i="31" l="1"/>
  <c r="BQ112" i="31" s="1"/>
  <c r="DJ112" i="31"/>
  <c r="DK112" i="31" s="1"/>
  <c r="GZ112" i="31"/>
  <c r="IE112" i="31" s="1"/>
  <c r="IO112" i="31"/>
  <c r="DP112" i="31"/>
  <c r="HZ112" i="31"/>
  <c r="IP112" i="31"/>
  <c r="JC112" i="31"/>
  <c r="JD112" i="31"/>
  <c r="JE112" i="31"/>
  <c r="IY112" i="31"/>
  <c r="JA112" i="31"/>
  <c r="JO112" i="31"/>
  <c r="IR112" i="31"/>
  <c r="EL112" i="31"/>
  <c r="FC112" i="31"/>
  <c r="EO112" i="31"/>
  <c r="ES113" i="31" s="1"/>
  <c r="EP112" i="31"/>
  <c r="ET113" i="31" s="1"/>
  <c r="EV112" i="31"/>
  <c r="BR112" i="31" l="1"/>
  <c r="BS112" i="31"/>
  <c r="KG112" i="31"/>
  <c r="JP112" i="31"/>
  <c r="JQ112" i="31" s="1"/>
  <c r="EC112" i="31"/>
  <c r="JX112" i="31"/>
  <c r="FQ112" i="31"/>
  <c r="DX112" i="31"/>
  <c r="DM112" i="31"/>
  <c r="BT112" i="31" l="1"/>
  <c r="BU112" i="31"/>
  <c r="BV112" i="31" s="1"/>
  <c r="BW112" i="31" s="1"/>
  <c r="BY112" i="31" s="1"/>
  <c r="DL112" i="31"/>
  <c r="L113" i="31"/>
  <c r="EX112" i="31"/>
  <c r="M112" i="31" s="1"/>
  <c r="FB112" i="31"/>
  <c r="BX112" i="31" l="1"/>
  <c r="MB112" i="31"/>
  <c r="MJ112" i="31"/>
  <c r="NS112" i="31" s="1"/>
  <c r="BZ112" i="31"/>
  <c r="CA112" i="31"/>
  <c r="CC112" i="31" s="1"/>
  <c r="NM112" i="31" l="1"/>
  <c r="NN112" i="31" s="1"/>
  <c r="CD112" i="31"/>
  <c r="CE112" i="31"/>
  <c r="CB112" i="31"/>
  <c r="NT112" i="31"/>
  <c r="OU113" i="31"/>
  <c r="NW112" i="31" l="1"/>
  <c r="NX112" i="31" s="1"/>
  <c r="NY112" i="31" s="1"/>
  <c r="OV113" i="31"/>
  <c r="FV112" i="31"/>
  <c r="FR112" i="31"/>
  <c r="CX112" i="31"/>
  <c r="NU112" i="31"/>
  <c r="CF112" i="31"/>
  <c r="CG112" i="31"/>
  <c r="OF112" i="31" l="1"/>
  <c r="OS113" i="31" s="1"/>
  <c r="CH112" i="31"/>
  <c r="CI112" i="31" s="1"/>
  <c r="NZ112" i="31"/>
  <c r="OA112" i="31" s="1"/>
  <c r="MV113" i="31" s="1"/>
  <c r="MY112" i="31"/>
  <c r="OI112" i="31" s="1"/>
  <c r="CY113" i="31"/>
  <c r="NV112" i="31"/>
  <c r="OB112" i="31"/>
  <c r="OT113" i="31" s="1"/>
  <c r="CJ112" i="31" l="1"/>
  <c r="CO112" i="31" s="1"/>
  <c r="CK112" i="31"/>
  <c r="CL112" i="31" s="1"/>
  <c r="OC112" i="31"/>
  <c r="OD113" i="31" s="1"/>
  <c r="OH113" i="31" s="1"/>
  <c r="PA112" i="31"/>
  <c r="OJ112" i="31"/>
  <c r="OY113" i="31" s="1"/>
  <c r="OX113" i="31"/>
  <c r="MR113" i="31"/>
  <c r="OW112" i="31"/>
  <c r="OM113" i="31"/>
  <c r="NF113" i="31"/>
  <c r="OO113" i="31"/>
  <c r="KT113" i="31" s="1"/>
  <c r="OG113" i="31"/>
  <c r="MZ113" i="31"/>
  <c r="OZ112" i="31"/>
  <c r="CM112" i="31" l="1"/>
  <c r="CN112" i="31" s="1"/>
  <c r="CP112" i="31" s="1"/>
  <c r="OK113" i="31"/>
  <c r="MW113" i="31"/>
  <c r="KL113" i="31"/>
  <c r="KN114" i="31" s="1"/>
  <c r="KM113" i="31"/>
  <c r="KO114" i="31" s="1"/>
  <c r="MX113" i="31"/>
  <c r="MS113" i="31"/>
  <c r="FE112" i="31" l="1"/>
  <c r="FF112" i="31" s="1"/>
  <c r="FU112" i="31"/>
  <c r="FW112" i="31" s="1"/>
  <c r="HO112" i="31"/>
  <c r="GB112" i="31"/>
  <c r="GC112" i="31" s="1"/>
  <c r="FH112" i="31"/>
  <c r="FI112" i="31" s="1"/>
  <c r="CQ112" i="31"/>
  <c r="DQ112" i="31"/>
  <c r="DR112" i="31" s="1"/>
  <c r="FP112" i="31"/>
  <c r="FS112" i="31" s="1"/>
  <c r="FX112" i="31"/>
  <c r="FY112" i="31" s="1"/>
  <c r="JR112" i="31"/>
  <c r="JS112" i="31" s="1"/>
  <c r="FZ112" i="31"/>
  <c r="GA112" i="31" s="1"/>
  <c r="GO112" i="31"/>
  <c r="KX112" i="31"/>
  <c r="KU112" i="31"/>
  <c r="MT113" i="31"/>
  <c r="MU113" i="31"/>
  <c r="NH114" i="31"/>
  <c r="NI114" i="31" s="1"/>
  <c r="NJ113" i="31"/>
  <c r="MO113" i="31"/>
  <c r="NP113" i="31"/>
  <c r="NQ113" i="31"/>
  <c r="PE113" i="31"/>
  <c r="NB113" i="31"/>
  <c r="NA113" i="31"/>
  <c r="KP114" i="31"/>
  <c r="KR113" i="31"/>
  <c r="KQ113" i="31"/>
  <c r="GN112" i="31" l="1"/>
  <c r="GQ112" i="31" s="1"/>
  <c r="NR113" i="31"/>
  <c r="KS113" i="31"/>
  <c r="HY112" i="31"/>
  <c r="DY112" i="31"/>
  <c r="HA112" i="31"/>
  <c r="CS112" i="31"/>
  <c r="CT112" i="31"/>
  <c r="CR112" i="31"/>
  <c r="HU112" i="31"/>
  <c r="HV113" i="31" s="1"/>
  <c r="FJ113" i="31"/>
  <c r="HP112" i="31"/>
  <c r="IA112" i="31"/>
  <c r="IB112" i="31" s="1"/>
  <c r="IZ112" i="31"/>
  <c r="DS112" i="31"/>
  <c r="NL113" i="31"/>
  <c r="NK113" i="31"/>
  <c r="NG114" i="31"/>
  <c r="OQ114" i="31"/>
  <c r="JU112" i="31"/>
  <c r="KE112" i="31"/>
  <c r="KC112" i="31"/>
  <c r="JT113" i="31"/>
  <c r="HW112" i="31"/>
  <c r="HX113" i="31" s="1"/>
  <c r="FG113" i="31"/>
  <c r="KV112" i="31" l="1"/>
  <c r="KW113" i="31" s="1"/>
  <c r="HQ112" i="31"/>
  <c r="HR113" i="31" s="1"/>
  <c r="NC114" i="31"/>
  <c r="MQ114" i="31"/>
  <c r="HS112" i="31"/>
  <c r="JG112" i="31" s="1"/>
  <c r="HT112" i="31"/>
  <c r="OR114" i="31"/>
  <c r="AX112" i="31"/>
  <c r="AY113" i="31" s="1"/>
  <c r="AZ112" i="31"/>
  <c r="EN112" i="31"/>
  <c r="EM112" i="31"/>
  <c r="EW112" i="31" s="1"/>
  <c r="BB113" i="31" l="1"/>
  <c r="EQ112" i="31"/>
  <c r="DW112" i="31"/>
  <c r="DU113" i="31" s="1"/>
  <c r="ER113" i="31"/>
  <c r="IU112" i="31"/>
  <c r="IV112" i="31" s="1"/>
  <c r="IC112" i="31"/>
  <c r="ID112" i="31" s="1"/>
  <c r="IF112" i="31" s="1"/>
  <c r="KH112" i="31" s="1"/>
  <c r="JB112" i="31"/>
  <c r="IW112" i="31" l="1"/>
  <c r="KB112" i="31" s="1"/>
  <c r="IX112" i="31"/>
  <c r="KK112" i="31"/>
  <c r="DB112" i="31"/>
  <c r="DC112" i="31" s="1"/>
  <c r="DD113" i="31" s="1"/>
  <c r="DE114" i="31" s="1"/>
  <c r="IM112" i="31"/>
  <c r="GM112" i="31"/>
  <c r="KI113" i="31"/>
  <c r="IN112" i="31"/>
  <c r="DF112" i="31"/>
  <c r="BC113" i="31"/>
  <c r="EU113" i="31"/>
  <c r="DT112" i="31" l="1"/>
  <c r="DZ112" i="31" s="1"/>
  <c r="GT114" i="31"/>
  <c r="BD113" i="31"/>
  <c r="BE113" i="31"/>
  <c r="FD112" i="31"/>
  <c r="GV112" i="31"/>
  <c r="GU112" i="31"/>
  <c r="KJ113" i="31"/>
  <c r="GR112" i="31"/>
  <c r="GS112" i="31" l="1"/>
  <c r="BG113" i="31"/>
  <c r="BF113" i="31"/>
  <c r="IS112" i="31"/>
  <c r="FL113" i="31"/>
  <c r="FM113" i="31" l="1"/>
  <c r="JH112" i="31"/>
  <c r="JI112" i="31" s="1"/>
  <c r="IT112" i="31"/>
  <c r="BI113" i="31"/>
  <c r="BK113" i="31" s="1"/>
  <c r="BH113" i="31"/>
  <c r="GW112" i="31"/>
  <c r="HC112" i="31" s="1"/>
  <c r="FA113" i="31" s="1"/>
  <c r="HB113" i="31" s="1"/>
  <c r="GY112" i="31"/>
  <c r="GX112" i="31"/>
  <c r="EG112" i="31" l="1"/>
  <c r="EH113" i="31" s="1"/>
  <c r="EI113" i="31" s="1"/>
  <c r="FK113" i="31" s="1"/>
  <c r="HM112" i="31"/>
  <c r="EY112" i="31"/>
  <c r="HK113" i="31"/>
  <c r="BL113" i="31"/>
  <c r="BM113" i="31"/>
  <c r="JK112" i="31"/>
  <c r="JN112" i="31" s="1"/>
  <c r="JV112" i="31" s="1"/>
  <c r="JF113" i="31" s="1"/>
  <c r="BJ113" i="31"/>
  <c r="JY113" i="31" l="1"/>
  <c r="JW113" i="31"/>
  <c r="EZ112" i="31"/>
  <c r="DG112" i="31"/>
  <c r="DH112" i="31" s="1"/>
  <c r="DI113" i="31" s="1"/>
  <c r="JM112" i="31"/>
  <c r="KD112" i="31" s="1"/>
  <c r="IL113" i="31" s="1"/>
  <c r="ED112" i="31"/>
  <c r="EB113" i="31" s="1"/>
  <c r="EE112" i="31"/>
  <c r="EF113" i="31" s="1"/>
  <c r="EJ112" i="31"/>
  <c r="EK113" i="31" s="1"/>
  <c r="JZ112" i="31"/>
  <c r="KF112" i="31" s="1"/>
  <c r="IQ113" i="31" s="1"/>
  <c r="JL112" i="31"/>
  <c r="JJ113" i="31" s="1"/>
  <c r="KA113" i="31"/>
  <c r="BN113" i="31"/>
  <c r="BO113" i="31"/>
  <c r="BP113" i="31" l="1"/>
  <c r="BQ113" i="31" s="1"/>
  <c r="HZ113" i="31"/>
  <c r="DJ113" i="31"/>
  <c r="DK113" i="31" s="1"/>
  <c r="GZ113" i="31"/>
  <c r="IE113" i="31" s="1"/>
  <c r="DP113" i="31"/>
  <c r="FC113" i="31"/>
  <c r="EP113" i="31"/>
  <c r="ET114" i="31" s="1"/>
  <c r="EL113" i="31"/>
  <c r="EO113" i="31"/>
  <c r="ES114" i="31" s="1"/>
  <c r="EV113" i="31"/>
  <c r="JA113" i="31"/>
  <c r="IY113" i="31"/>
  <c r="IR113" i="31"/>
  <c r="JO113" i="31"/>
  <c r="JE113" i="31"/>
  <c r="IP113" i="31"/>
  <c r="IO113" i="31"/>
  <c r="JC113" i="31"/>
  <c r="JD113" i="31"/>
  <c r="KG113" i="31" l="1"/>
  <c r="JX113" i="31"/>
  <c r="JP113" i="31"/>
  <c r="JQ113" i="31" s="1"/>
  <c r="FQ113" i="31"/>
  <c r="DX113" i="31"/>
  <c r="DM113" i="31"/>
  <c r="BR113" i="31"/>
  <c r="BS113" i="31"/>
  <c r="EC113" i="31"/>
  <c r="BT113" i="31" l="1"/>
  <c r="BU113" i="31"/>
  <c r="DL113" i="31"/>
  <c r="L114" i="31"/>
  <c r="FB113" i="31"/>
  <c r="EX113" i="31"/>
  <c r="M113" i="31" s="1"/>
  <c r="BV113" i="31" l="1"/>
  <c r="BW113" i="31" s="1"/>
  <c r="MJ113" i="31"/>
  <c r="NS113" i="31" s="1"/>
  <c r="MB113" i="31"/>
  <c r="NM113" i="31" l="1"/>
  <c r="NN113" i="31" s="1"/>
  <c r="NT113" i="31"/>
  <c r="OU114" i="31"/>
  <c r="BY113" i="31"/>
  <c r="BX113" i="31"/>
  <c r="OV114" i="31" l="1"/>
  <c r="NW113" i="31"/>
  <c r="NX113" i="31" s="1"/>
  <c r="FR113" i="31"/>
  <c r="CX113" i="31"/>
  <c r="FV113" i="31"/>
  <c r="NU113" i="31"/>
  <c r="BZ113" i="31"/>
  <c r="CA113" i="31"/>
  <c r="NV113" i="31" l="1"/>
  <c r="MY113" i="31"/>
  <c r="NZ113" i="31"/>
  <c r="CY114" i="31"/>
  <c r="NY113" i="31"/>
  <c r="OF113" i="31"/>
  <c r="OS114" i="31" s="1"/>
  <c r="CB113" i="31"/>
  <c r="CC113" i="31" s="1"/>
  <c r="CD113" i="31" l="1"/>
  <c r="CE113" i="31"/>
  <c r="CG113" i="31" s="1"/>
  <c r="OA113" i="31"/>
  <c r="MV114" i="31" s="1"/>
  <c r="OG114" i="31" s="1"/>
  <c r="OM114" i="31"/>
  <c r="NF114" i="31"/>
  <c r="OO114" i="31"/>
  <c r="OI113" i="31"/>
  <c r="OB113" i="31"/>
  <c r="OT114" i="31" s="1"/>
  <c r="MZ114" i="31"/>
  <c r="OZ113" i="31"/>
  <c r="KT114" i="31" l="1"/>
  <c r="KL114" i="31" s="1"/>
  <c r="KN115" i="31" s="1"/>
  <c r="CF113" i="31"/>
  <c r="CH113" i="31"/>
  <c r="CI113" i="31" s="1"/>
  <c r="PA113" i="31"/>
  <c r="MR114" i="31"/>
  <c r="OW113" i="31"/>
  <c r="OX114" i="31"/>
  <c r="OJ113" i="31"/>
  <c r="OC113" i="31"/>
  <c r="OD114" i="31" s="1"/>
  <c r="OH114" i="31" s="1"/>
  <c r="OK114" i="31" s="1"/>
  <c r="KM114" i="31" l="1"/>
  <c r="KO115" i="31" s="1"/>
  <c r="KP115" i="31" s="1"/>
  <c r="CJ113" i="31"/>
  <c r="CO113" i="31" s="1"/>
  <c r="CK113" i="31"/>
  <c r="CL113" i="31" s="1"/>
  <c r="MS114" i="31"/>
  <c r="MW114" i="31"/>
  <c r="OY114" i="31"/>
  <c r="KQ114" i="31"/>
  <c r="KR114" i="31" l="1"/>
  <c r="KS114" i="31" s="1"/>
  <c r="CM113" i="31"/>
  <c r="CN113" i="31" s="1"/>
  <c r="CP113" i="31" s="1"/>
  <c r="FE113" i="31" s="1"/>
  <c r="FF113" i="31" s="1"/>
  <c r="MO114" i="31"/>
  <c r="MU114" i="31"/>
  <c r="NJ114" i="31"/>
  <c r="NH115" i="31"/>
  <c r="NI115" i="31" s="1"/>
  <c r="MT114" i="31"/>
  <c r="NQ114" i="31"/>
  <c r="NP114" i="31"/>
  <c r="PE114" i="31"/>
  <c r="MX114" i="31"/>
  <c r="JR113" i="31" l="1"/>
  <c r="JS113" i="31" s="1"/>
  <c r="KE113" i="31" s="1"/>
  <c r="DQ113" i="31"/>
  <c r="DR113" i="31" s="1"/>
  <c r="DS113" i="31" s="1"/>
  <c r="FU113" i="31"/>
  <c r="FW113" i="31" s="1"/>
  <c r="GO113" i="31"/>
  <c r="FH113" i="31"/>
  <c r="FI113" i="31" s="1"/>
  <c r="FJ114" i="31" s="1"/>
  <c r="GB113" i="31"/>
  <c r="GC113" i="31" s="1"/>
  <c r="KU113" i="31"/>
  <c r="KX113" i="31"/>
  <c r="FZ113" i="31"/>
  <c r="GA113" i="31" s="1"/>
  <c r="HO113" i="31"/>
  <c r="HP113" i="31" s="1"/>
  <c r="FP113" i="31"/>
  <c r="FS113" i="31" s="1"/>
  <c r="HY113" i="31" s="1"/>
  <c r="FX113" i="31"/>
  <c r="FY113" i="31" s="1"/>
  <c r="CQ113" i="31"/>
  <c r="CT113" i="31" s="1"/>
  <c r="NR114" i="31"/>
  <c r="NB114" i="31"/>
  <c r="NA114" i="31"/>
  <c r="HW113" i="31"/>
  <c r="HX114" i="31" s="1"/>
  <c r="FG114" i="31"/>
  <c r="NL114" i="31"/>
  <c r="NK114" i="31"/>
  <c r="NG115" i="31"/>
  <c r="OQ115" i="31"/>
  <c r="JU113" i="31" l="1"/>
  <c r="JT114" i="31"/>
  <c r="GN113" i="31"/>
  <c r="GQ113" i="31" s="1"/>
  <c r="HU113" i="31"/>
  <c r="HV114" i="31" s="1"/>
  <c r="KC113" i="31"/>
  <c r="HA113" i="31"/>
  <c r="DY113" i="31"/>
  <c r="IA113" i="31"/>
  <c r="IB113" i="31" s="1"/>
  <c r="CS113" i="31"/>
  <c r="IZ113" i="31"/>
  <c r="CR113" i="31"/>
  <c r="AX113" i="31"/>
  <c r="AY114" i="31" s="1"/>
  <c r="EM113" i="31"/>
  <c r="EW113" i="31" s="1"/>
  <c r="EN113" i="31"/>
  <c r="AZ113" i="31"/>
  <c r="HT113" i="31"/>
  <c r="HS113" i="31"/>
  <c r="JG113" i="31" s="1"/>
  <c r="OR115" i="31"/>
  <c r="NC115" i="31"/>
  <c r="MQ115" i="31"/>
  <c r="KV113" i="31" l="1"/>
  <c r="KW114" i="31" s="1"/>
  <c r="HQ113" i="31"/>
  <c r="HR114" i="31" s="1"/>
  <c r="BB114" i="31"/>
  <c r="DW113" i="31"/>
  <c r="DU114" i="31" s="1"/>
  <c r="EQ113" i="31"/>
  <c r="IW113" i="31"/>
  <c r="ER114" i="31"/>
  <c r="IU113" i="31"/>
  <c r="IV113" i="31" s="1"/>
  <c r="IC113" i="31"/>
  <c r="ID113" i="31" s="1"/>
  <c r="IF113" i="31" s="1"/>
  <c r="KH113" i="31" s="1"/>
  <c r="JB113" i="31"/>
  <c r="KB113" i="31" l="1"/>
  <c r="IX113" i="31"/>
  <c r="KK113" i="31"/>
  <c r="IM113" i="31"/>
  <c r="DB113" i="31"/>
  <c r="DC113" i="31" s="1"/>
  <c r="DD114" i="31" s="1"/>
  <c r="DE115" i="31" s="1"/>
  <c r="GM113" i="31"/>
  <c r="KI114" i="31"/>
  <c r="IN113" i="31"/>
  <c r="DF113" i="31"/>
  <c r="EU114" i="31"/>
  <c r="BC114" i="31"/>
  <c r="GT115" i="31" l="1"/>
  <c r="GR113" i="31"/>
  <c r="DT113" i="31"/>
  <c r="DZ113" i="31" s="1"/>
  <c r="GV113" i="31"/>
  <c r="FD113" i="31"/>
  <c r="GU113" i="31"/>
  <c r="BE114" i="31"/>
  <c r="BD114" i="31"/>
  <c r="KJ114" i="31"/>
  <c r="IS113" i="31" l="1"/>
  <c r="FL114" i="31"/>
  <c r="GS113" i="31"/>
  <c r="BG114" i="31"/>
  <c r="BF114" i="31"/>
  <c r="FM114" i="31" l="1"/>
  <c r="BI114" i="31"/>
  <c r="BK114" i="31" s="1"/>
  <c r="BH114" i="31"/>
  <c r="GY113" i="31"/>
  <c r="GX113" i="31"/>
  <c r="GW113" i="31"/>
  <c r="HC113" i="31" s="1"/>
  <c r="FA114" i="31" s="1"/>
  <c r="HB114" i="31" s="1"/>
  <c r="JH113" i="31"/>
  <c r="JI113" i="31" s="1"/>
  <c r="IT113" i="31"/>
  <c r="JK113" i="31" l="1"/>
  <c r="JZ113" i="31" s="1"/>
  <c r="KF113" i="31" s="1"/>
  <c r="IQ114" i="31" s="1"/>
  <c r="BL114" i="31"/>
  <c r="BM114" i="31"/>
  <c r="EG113" i="31"/>
  <c r="EH114" i="31" s="1"/>
  <c r="EI114" i="31" s="1"/>
  <c r="FK114" i="31" s="1"/>
  <c r="EY113" i="31"/>
  <c r="HM113" i="31"/>
  <c r="HK114" i="31"/>
  <c r="BJ114" i="31"/>
  <c r="JM113" i="31" l="1"/>
  <c r="KD113" i="31" s="1"/>
  <c r="IL114" i="31" s="1"/>
  <c r="IR114" i="31" s="1"/>
  <c r="JN113" i="31"/>
  <c r="JV113" i="31" s="1"/>
  <c r="JF114" i="31" s="1"/>
  <c r="JY114" i="31" s="1"/>
  <c r="BN114" i="31"/>
  <c r="BO114" i="31"/>
  <c r="ED113" i="31"/>
  <c r="EB114" i="31" s="1"/>
  <c r="IY114" i="31" s="1"/>
  <c r="EJ113" i="31"/>
  <c r="EK114" i="31" s="1"/>
  <c r="EE113" i="31"/>
  <c r="EF114" i="31" s="1"/>
  <c r="JL113" i="31"/>
  <c r="JJ114" i="31" s="1"/>
  <c r="KA114" i="31"/>
  <c r="EZ113" i="31"/>
  <c r="DG113" i="31"/>
  <c r="DH113" i="31" s="1"/>
  <c r="DI114" i="31" s="1"/>
  <c r="JE114" i="31" l="1"/>
  <c r="IP114" i="31"/>
  <c r="JO114" i="31"/>
  <c r="JW114" i="31"/>
  <c r="JA114" i="31"/>
  <c r="DP114" i="31"/>
  <c r="HZ114" i="31"/>
  <c r="JC114" i="31"/>
  <c r="JD114" i="31"/>
  <c r="GZ114" i="31"/>
  <c r="IE114" i="31" s="1"/>
  <c r="DJ114" i="31"/>
  <c r="DK114" i="31" s="1"/>
  <c r="FC114" i="31"/>
  <c r="EP114" i="31"/>
  <c r="ET115" i="31" s="1"/>
  <c r="EO114" i="31"/>
  <c r="ES115" i="31" s="1"/>
  <c r="EL114" i="31"/>
  <c r="EV114" i="31"/>
  <c r="BP114" i="31"/>
  <c r="BQ114" i="31" s="1"/>
  <c r="IO114" i="31"/>
  <c r="JP114" i="31" s="1"/>
  <c r="JQ114" i="31" s="1"/>
  <c r="EC114" i="31" l="1"/>
  <c r="DM114" i="31"/>
  <c r="FQ114" i="31"/>
  <c r="DX114" i="31"/>
  <c r="KG114" i="31"/>
  <c r="BR114" i="31"/>
  <c r="BS114" i="31"/>
  <c r="JX114" i="31"/>
  <c r="DL114" i="31" l="1"/>
  <c r="L115" i="31"/>
  <c r="FB114" i="31"/>
  <c r="EX114" i="31"/>
  <c r="M114" i="31" s="1"/>
  <c r="BT114" i="31"/>
  <c r="BU114" i="31"/>
  <c r="BV114" i="31" s="1"/>
  <c r="BW114" i="31" s="1"/>
  <c r="BY114" i="31" l="1"/>
  <c r="BX114" i="31"/>
  <c r="MB114" i="31"/>
  <c r="MJ114" i="31"/>
  <c r="NS114" i="31" s="1"/>
  <c r="NM114" i="31" l="1"/>
  <c r="NN114" i="31" s="1"/>
  <c r="NT114" i="31"/>
  <c r="OU115" i="31"/>
  <c r="BZ114" i="31"/>
  <c r="CA114" i="31"/>
  <c r="OV115" i="31" l="1"/>
  <c r="NW114" i="31"/>
  <c r="NX114" i="31" s="1"/>
  <c r="CB114" i="31"/>
  <c r="CC114" i="31" s="1"/>
  <c r="FV114" i="31"/>
  <c r="FR114" i="31"/>
  <c r="CX114" i="31"/>
  <c r="NU114" i="31"/>
  <c r="CD114" i="31" l="1"/>
  <c r="CE114" i="31"/>
  <c r="CF114" i="31" s="1"/>
  <c r="NV114" i="31"/>
  <c r="NY114" i="31"/>
  <c r="NZ114" i="31"/>
  <c r="MY114" i="31"/>
  <c r="CY115" i="31"/>
  <c r="OF114" i="31"/>
  <c r="OS115" i="31" s="1"/>
  <c r="CG114" i="31" l="1"/>
  <c r="CH114" i="31" s="1"/>
  <c r="CI114" i="31" s="1"/>
  <c r="OB114" i="31"/>
  <c r="OT115" i="31" s="1"/>
  <c r="OA114" i="31"/>
  <c r="MV115" i="31" s="1"/>
  <c r="OG115" i="31" s="1"/>
  <c r="OO115" i="31"/>
  <c r="NF115" i="31"/>
  <c r="OM115" i="31"/>
  <c r="OI114" i="31"/>
  <c r="MZ115" i="31"/>
  <c r="OZ114" i="31"/>
  <c r="KT115" i="31" l="1"/>
  <c r="KL115" i="31" s="1"/>
  <c r="KN116" i="31" s="1"/>
  <c r="CK114" i="31"/>
  <c r="CL114" i="31" s="1"/>
  <c r="CJ114" i="31"/>
  <c r="CO114" i="31" s="1"/>
  <c r="OW114" i="31"/>
  <c r="OX115" i="31"/>
  <c r="MR115" i="31"/>
  <c r="PA114" i="31"/>
  <c r="OJ114" i="31"/>
  <c r="KM115" i="31"/>
  <c r="KO116" i="31" s="1"/>
  <c r="OC114" i="31"/>
  <c r="OD115" i="31" s="1"/>
  <c r="OH115" i="31" s="1"/>
  <c r="OK115" i="31" s="1"/>
  <c r="CM114" i="31" l="1"/>
  <c r="CN114" i="31" s="1"/>
  <c r="CP114" i="31" s="1"/>
  <c r="MS115" i="31"/>
  <c r="KP116" i="31"/>
  <c r="KR115" i="31"/>
  <c r="OY115" i="31"/>
  <c r="MW115" i="31"/>
  <c r="KQ115" i="31"/>
  <c r="KS115" i="31" l="1"/>
  <c r="NP115" i="31"/>
  <c r="MT115" i="31"/>
  <c r="MU115" i="31"/>
  <c r="NH116" i="31"/>
  <c r="NI116" i="31" s="1"/>
  <c r="NQ115" i="31"/>
  <c r="MO115" i="31"/>
  <c r="NJ115" i="31"/>
  <c r="PE115" i="31"/>
  <c r="MX115" i="31"/>
  <c r="FZ114" i="31"/>
  <c r="GA114" i="31" s="1"/>
  <c r="FH114" i="31"/>
  <c r="FI114" i="31" s="1"/>
  <c r="GO114" i="31"/>
  <c r="FU114" i="31"/>
  <c r="FW114" i="31" s="1"/>
  <c r="FE114" i="31"/>
  <c r="FF114" i="31" s="1"/>
  <c r="HO114" i="31"/>
  <c r="GB114" i="31"/>
  <c r="GC114" i="31" s="1"/>
  <c r="FX114" i="31"/>
  <c r="FY114" i="31" s="1"/>
  <c r="JR114" i="31"/>
  <c r="JS114" i="31" s="1"/>
  <c r="CQ114" i="31"/>
  <c r="FP114" i="31"/>
  <c r="FS114" i="31" s="1"/>
  <c r="DQ114" i="31"/>
  <c r="DR114" i="31" s="1"/>
  <c r="KX114" i="31"/>
  <c r="KU114" i="31"/>
  <c r="GN114" i="31" l="1"/>
  <c r="KV114" i="31" s="1"/>
  <c r="NR115" i="31"/>
  <c r="DY114" i="31"/>
  <c r="HA114" i="31"/>
  <c r="HY114" i="31"/>
  <c r="HU114" i="31"/>
  <c r="HV115" i="31" s="1"/>
  <c r="FJ115" i="31"/>
  <c r="NK115" i="31"/>
  <c r="NL115" i="31"/>
  <c r="NG116" i="31"/>
  <c r="OQ116" i="31"/>
  <c r="DS114" i="31"/>
  <c r="IA114" i="31"/>
  <c r="IB114" i="31" s="1"/>
  <c r="HP114" i="31"/>
  <c r="IZ114" i="31"/>
  <c r="CT114" i="31"/>
  <c r="CR114" i="31"/>
  <c r="CS114" i="31"/>
  <c r="KC114" i="31"/>
  <c r="KE114" i="31"/>
  <c r="JT115" i="31"/>
  <c r="JU114" i="31"/>
  <c r="FG115" i="31"/>
  <c r="HW114" i="31"/>
  <c r="HX115" i="31" s="1"/>
  <c r="NB115" i="31"/>
  <c r="NA115" i="31"/>
  <c r="GQ114" i="31" l="1"/>
  <c r="KW115" i="31"/>
  <c r="HQ114" i="31"/>
  <c r="HR115" i="31" s="1"/>
  <c r="HS114" i="31"/>
  <c r="JG114" i="31" s="1"/>
  <c r="HT114" i="31"/>
  <c r="OR116" i="31"/>
  <c r="NC116" i="31"/>
  <c r="MQ116" i="31"/>
  <c r="AX114" i="31"/>
  <c r="AY115" i="31" s="1"/>
  <c r="EN114" i="31"/>
  <c r="AZ114" i="31"/>
  <c r="EM114" i="31"/>
  <c r="EW114" i="31" s="1"/>
  <c r="BB115" i="31" l="1"/>
  <c r="EQ114" i="31"/>
  <c r="DW114" i="31"/>
  <c r="DU115" i="31" s="1"/>
  <c r="IW114" i="31"/>
  <c r="ER115" i="31"/>
  <c r="IU114" i="31"/>
  <c r="IV114" i="31" s="1"/>
  <c r="IC114" i="31"/>
  <c r="ID114" i="31" s="1"/>
  <c r="IF114" i="31" s="1"/>
  <c r="KH114" i="31" s="1"/>
  <c r="JB114" i="31"/>
  <c r="KK114" i="31" l="1"/>
  <c r="KB114" i="31"/>
  <c r="IX114" i="31"/>
  <c r="EU115" i="31"/>
  <c r="IM114" i="31"/>
  <c r="DB114" i="31"/>
  <c r="DC114" i="31" s="1"/>
  <c r="DD115" i="31" s="1"/>
  <c r="DE116" i="31" s="1"/>
  <c r="GM114" i="31"/>
  <c r="KI115" i="31"/>
  <c r="IN114" i="31"/>
  <c r="DF114" i="31"/>
  <c r="BC115" i="31"/>
  <c r="GT116" i="31" l="1"/>
  <c r="FD114" i="31"/>
  <c r="GV114" i="31"/>
  <c r="GU114" i="31"/>
  <c r="KJ115" i="31"/>
  <c r="GR114" i="31"/>
  <c r="DT114" i="31"/>
  <c r="DZ114" i="31" s="1"/>
  <c r="BD115" i="31"/>
  <c r="BE115" i="31"/>
  <c r="BF115" i="31" l="1"/>
  <c r="BG115" i="31"/>
  <c r="IS114" i="31"/>
  <c r="FL115" i="31"/>
  <c r="GS114" i="31"/>
  <c r="GW114" i="31" l="1"/>
  <c r="HC114" i="31" s="1"/>
  <c r="FA115" i="31" s="1"/>
  <c r="HB115" i="31" s="1"/>
  <c r="GY114" i="31"/>
  <c r="GX114" i="31"/>
  <c r="JH114" i="31"/>
  <c r="JI114" i="31" s="1"/>
  <c r="IT114" i="31"/>
  <c r="BH115" i="31"/>
  <c r="BI115" i="31"/>
  <c r="BK115" i="31" s="1"/>
  <c r="FM115" i="31"/>
  <c r="BL115" i="31" l="1"/>
  <c r="BM115" i="31"/>
  <c r="HM114" i="31"/>
  <c r="EG114" i="31"/>
  <c r="EH115" i="31" s="1"/>
  <c r="EI115" i="31" s="1"/>
  <c r="FK115" i="31" s="1"/>
  <c r="EY114" i="31"/>
  <c r="HK115" i="31"/>
  <c r="BJ115" i="31"/>
  <c r="JK114" i="31"/>
  <c r="JN114" i="31" s="1"/>
  <c r="JV114" i="31" s="1"/>
  <c r="JF115" i="31" s="1"/>
  <c r="JM114" i="31" l="1"/>
  <c r="KD114" i="31" s="1"/>
  <c r="IL115" i="31" s="1"/>
  <c r="EZ114" i="31"/>
  <c r="DG114" i="31"/>
  <c r="DH114" i="31" s="1"/>
  <c r="DI115" i="31" s="1"/>
  <c r="JY115" i="31"/>
  <c r="JW115" i="31"/>
  <c r="JZ114" i="31"/>
  <c r="KF114" i="31" s="1"/>
  <c r="IQ115" i="31" s="1"/>
  <c r="JL114" i="31"/>
  <c r="JJ115" i="31" s="1"/>
  <c r="KA115" i="31"/>
  <c r="EJ114" i="31"/>
  <c r="EK115" i="31" s="1"/>
  <c r="ED114" i="31"/>
  <c r="EB115" i="31" s="1"/>
  <c r="EE114" i="31"/>
  <c r="EF115" i="31" s="1"/>
  <c r="BN115" i="31"/>
  <c r="BO115" i="31"/>
  <c r="IO115" i="31" l="1"/>
  <c r="HZ115" i="31"/>
  <c r="BP115" i="31"/>
  <c r="BQ115" i="31" s="1"/>
  <c r="JA115" i="31"/>
  <c r="IY115" i="31"/>
  <c r="JE115" i="31"/>
  <c r="JO115" i="31"/>
  <c r="DP115" i="31"/>
  <c r="IP115" i="31"/>
  <c r="EO115" i="31"/>
  <c r="ES116" i="31" s="1"/>
  <c r="EL115" i="31"/>
  <c r="EP115" i="31"/>
  <c r="ET116" i="31" s="1"/>
  <c r="FC115" i="31"/>
  <c r="EV115" i="31"/>
  <c r="GZ115" i="31"/>
  <c r="IE115" i="31" s="1"/>
  <c r="DJ115" i="31"/>
  <c r="DK115" i="31" s="1"/>
  <c r="IR115" i="31"/>
  <c r="JC115" i="31"/>
  <c r="JD115" i="31"/>
  <c r="JP115" i="31" l="1"/>
  <c r="JQ115" i="31" s="1"/>
  <c r="KG115" i="31"/>
  <c r="DM115" i="31"/>
  <c r="FQ115" i="31"/>
  <c r="DX115" i="31"/>
  <c r="BR115" i="31"/>
  <c r="BS115" i="31"/>
  <c r="EC115" i="31"/>
  <c r="JX115" i="31"/>
  <c r="BT115" i="31" l="1"/>
  <c r="BU115" i="31"/>
  <c r="BV115" i="31" s="1"/>
  <c r="BW115" i="31" s="1"/>
  <c r="EX115" i="31"/>
  <c r="M115" i="31" s="1"/>
  <c r="FB115" i="31"/>
  <c r="DL115" i="31"/>
  <c r="L116" i="31"/>
  <c r="BX115" i="31" l="1"/>
  <c r="BY115" i="31"/>
  <c r="MB115" i="31"/>
  <c r="MJ115" i="31"/>
  <c r="NS115" i="31" s="1"/>
  <c r="NM115" i="31" l="1"/>
  <c r="NN115" i="31" s="1"/>
  <c r="NT115" i="31"/>
  <c r="OU116" i="31"/>
  <c r="BZ115" i="31"/>
  <c r="CA115" i="31"/>
  <c r="OV116" i="31" l="1"/>
  <c r="NW115" i="31"/>
  <c r="NX115" i="31" s="1"/>
  <c r="OF115" i="31" s="1"/>
  <c r="OS116" i="31" s="1"/>
  <c r="CB115" i="31"/>
  <c r="CC115" i="31" s="1"/>
  <c r="FR115" i="31"/>
  <c r="CX115" i="31"/>
  <c r="FV115" i="31"/>
  <c r="NU115" i="31"/>
  <c r="CD115" i="31" l="1"/>
  <c r="CE115" i="31"/>
  <c r="CF115" i="31" s="1"/>
  <c r="NY115" i="31"/>
  <c r="OB115" i="31" s="1"/>
  <c r="OT116" i="31" s="1"/>
  <c r="MY115" i="31"/>
  <c r="NZ115" i="31"/>
  <c r="CY116" i="31"/>
  <c r="NV115" i="31"/>
  <c r="CG115" i="31" l="1"/>
  <c r="CH115" i="31" s="1"/>
  <c r="CI115" i="31" s="1"/>
  <c r="OI115" i="31"/>
  <c r="OW115" i="31" s="1"/>
  <c r="OA115" i="31"/>
  <c r="MV116" i="31" s="1"/>
  <c r="OG116" i="31" s="1"/>
  <c r="PA115" i="31"/>
  <c r="OJ115" i="31"/>
  <c r="MW116" i="31" s="1"/>
  <c r="OC115" i="31"/>
  <c r="OD116" i="31" s="1"/>
  <c r="OH116" i="31" s="1"/>
  <c r="OO116" i="31"/>
  <c r="OM116" i="31"/>
  <c r="NF116" i="31"/>
  <c r="MZ116" i="31"/>
  <c r="OZ115" i="31"/>
  <c r="OX116" i="31" l="1"/>
  <c r="MR116" i="31"/>
  <c r="MS116" i="31" s="1"/>
  <c r="CJ115" i="31"/>
  <c r="CO115" i="31" s="1"/>
  <c r="CK115" i="31"/>
  <c r="CM115" i="31" s="1"/>
  <c r="CN115" i="31" s="1"/>
  <c r="KT116" i="31"/>
  <c r="KL116" i="31" s="1"/>
  <c r="KN117" i="31" s="1"/>
  <c r="OK116" i="31"/>
  <c r="OY116" i="31"/>
  <c r="KM116" i="31"/>
  <c r="KO117" i="31" s="1"/>
  <c r="MX116" i="31"/>
  <c r="CL115" i="31" l="1"/>
  <c r="CP115" i="31" s="1"/>
  <c r="NB116" i="31"/>
  <c r="NA116" i="31"/>
  <c r="KQ116" i="31"/>
  <c r="NH117" i="31"/>
  <c r="NI117" i="31" s="1"/>
  <c r="NJ116" i="31"/>
  <c r="MT116" i="31"/>
  <c r="NQ116" i="31"/>
  <c r="MU116" i="31"/>
  <c r="MO116" i="31"/>
  <c r="NP116" i="31"/>
  <c r="PE116" i="31"/>
  <c r="KP117" i="31"/>
  <c r="KR116" i="31"/>
  <c r="NK116" i="31" l="1"/>
  <c r="NL116" i="31"/>
  <c r="NG117" i="31"/>
  <c r="OQ117" i="31"/>
  <c r="KS116" i="31"/>
  <c r="NR116" i="31"/>
  <c r="CQ115" i="31"/>
  <c r="FX115" i="31"/>
  <c r="FY115" i="31" s="1"/>
  <c r="FP115" i="31"/>
  <c r="FS115" i="31" s="1"/>
  <c r="GB115" i="31"/>
  <c r="GC115" i="31" s="1"/>
  <c r="HO115" i="31"/>
  <c r="FH115" i="31"/>
  <c r="FI115" i="31" s="1"/>
  <c r="FZ115" i="31"/>
  <c r="GA115" i="31" s="1"/>
  <c r="FU115" i="31"/>
  <c r="FW115" i="31" s="1"/>
  <c r="JR115" i="31"/>
  <c r="JS115" i="31" s="1"/>
  <c r="DQ115" i="31"/>
  <c r="DR115" i="31" s="1"/>
  <c r="GO115" i="31"/>
  <c r="FE115" i="31"/>
  <c r="FF115" i="31" s="1"/>
  <c r="KX115" i="31"/>
  <c r="KU115" i="31"/>
  <c r="GN115" i="31" l="1"/>
  <c r="GQ115" i="31" s="1"/>
  <c r="IA115" i="31"/>
  <c r="IB115" i="31" s="1"/>
  <c r="HP115" i="31"/>
  <c r="IZ115" i="31"/>
  <c r="NC117" i="31"/>
  <c r="MQ117" i="31"/>
  <c r="OR117" i="31"/>
  <c r="HY115" i="31"/>
  <c r="HA115" i="31"/>
  <c r="DY115" i="31"/>
  <c r="KE115" i="31"/>
  <c r="KC115" i="31"/>
  <c r="JT116" i="31"/>
  <c r="JU115" i="31"/>
  <c r="CT115" i="31"/>
  <c r="CS115" i="31"/>
  <c r="CR115" i="31"/>
  <c r="HU115" i="31"/>
  <c r="HV116" i="31" s="1"/>
  <c r="FJ116" i="31"/>
  <c r="DS115" i="31"/>
  <c r="FG116" i="31"/>
  <c r="HW115" i="31"/>
  <c r="HX116" i="31" s="1"/>
  <c r="KV115" i="31" l="1"/>
  <c r="KW116" i="31" s="1"/>
  <c r="HQ115" i="31"/>
  <c r="HR116" i="31" s="1"/>
  <c r="AX115" i="31"/>
  <c r="AY116" i="31" s="1"/>
  <c r="EM115" i="31"/>
  <c r="EW115" i="31" s="1"/>
  <c r="EN115" i="31"/>
  <c r="AZ115" i="31"/>
  <c r="HT115" i="31"/>
  <c r="HS115" i="31"/>
  <c r="JG115" i="31" s="1"/>
  <c r="BB116" i="31" l="1"/>
  <c r="EQ115" i="31"/>
  <c r="DW115" i="31"/>
  <c r="DU116" i="31" s="1"/>
  <c r="IW115" i="31"/>
  <c r="ER116" i="31"/>
  <c r="IU115" i="31"/>
  <c r="IV115" i="31" s="1"/>
  <c r="IC115" i="31"/>
  <c r="ID115" i="31" s="1"/>
  <c r="IF115" i="31" s="1"/>
  <c r="KH115" i="31" s="1"/>
  <c r="JB115" i="31"/>
  <c r="EU116" i="31" l="1"/>
  <c r="KB115" i="31"/>
  <c r="IX115" i="31"/>
  <c r="KK115" i="31"/>
  <c r="IM115" i="31"/>
  <c r="DB115" i="31"/>
  <c r="DC115" i="31" s="1"/>
  <c r="DD116" i="31" s="1"/>
  <c r="DE117" i="31" s="1"/>
  <c r="GM115" i="31"/>
  <c r="KI116" i="31"/>
  <c r="IN115" i="31"/>
  <c r="DF115" i="31"/>
  <c r="BC116" i="31"/>
  <c r="GT117" i="31" l="1"/>
  <c r="FD115" i="31"/>
  <c r="GU115" i="31"/>
  <c r="GV115" i="31"/>
  <c r="KJ116" i="31"/>
  <c r="GR115" i="31"/>
  <c r="DT115" i="31"/>
  <c r="DZ115" i="31" s="1"/>
  <c r="BE116" i="31"/>
  <c r="BD116" i="31"/>
  <c r="GS115" i="31" l="1"/>
  <c r="BG116" i="31"/>
  <c r="BF116" i="31"/>
  <c r="IS115" i="31"/>
  <c r="FL116" i="31"/>
  <c r="JH115" i="31" l="1"/>
  <c r="JI115" i="31" s="1"/>
  <c r="IT115" i="31"/>
  <c r="FM116" i="31"/>
  <c r="BH116" i="31"/>
  <c r="BI116" i="31"/>
  <c r="BK116" i="31" s="1"/>
  <c r="GY115" i="31"/>
  <c r="GW115" i="31"/>
  <c r="HC115" i="31" s="1"/>
  <c r="FA116" i="31" s="1"/>
  <c r="HB116" i="31" s="1"/>
  <c r="GX115" i="31"/>
  <c r="BL116" i="31" l="1"/>
  <c r="BM116" i="31"/>
  <c r="BJ116" i="31"/>
  <c r="HM115" i="31"/>
  <c r="EY115" i="31"/>
  <c r="EG115" i="31"/>
  <c r="EH116" i="31" s="1"/>
  <c r="EI116" i="31" s="1"/>
  <c r="FK116" i="31" s="1"/>
  <c r="HK116" i="31"/>
  <c r="JK115" i="31"/>
  <c r="JZ115" i="31" s="1"/>
  <c r="KF115" i="31" s="1"/>
  <c r="IQ116" i="31" s="1"/>
  <c r="EZ115" i="31" l="1"/>
  <c r="DG115" i="31"/>
  <c r="DH115" i="31" s="1"/>
  <c r="DI116" i="31" s="1"/>
  <c r="EJ115" i="31"/>
  <c r="EK116" i="31" s="1"/>
  <c r="EE115" i="31"/>
  <c r="EF116" i="31" s="1"/>
  <c r="ED115" i="31"/>
  <c r="EB116" i="31" s="1"/>
  <c r="JM115" i="31"/>
  <c r="KD115" i="31" s="1"/>
  <c r="IL116" i="31" s="1"/>
  <c r="IR116" i="31" s="1"/>
  <c r="BO116" i="31"/>
  <c r="BN116" i="31"/>
  <c r="JN115" i="31"/>
  <c r="JV115" i="31" s="1"/>
  <c r="JF116" i="31" s="1"/>
  <c r="JL115" i="31"/>
  <c r="JJ116" i="31" s="1"/>
  <c r="KA116" i="31"/>
  <c r="JO116" i="31" l="1"/>
  <c r="BP116" i="31"/>
  <c r="BQ116" i="31" s="1"/>
  <c r="DP116" i="31"/>
  <c r="HZ116" i="31"/>
  <c r="IP116" i="31"/>
  <c r="IO116" i="31"/>
  <c r="FC116" i="31"/>
  <c r="EP116" i="31"/>
  <c r="ET117" i="31" s="1"/>
  <c r="EO116" i="31"/>
  <c r="ES117" i="31" s="1"/>
  <c r="EL116" i="31"/>
  <c r="EV116" i="31"/>
  <c r="IY116" i="31"/>
  <c r="JE116" i="31"/>
  <c r="DJ116" i="31"/>
  <c r="DK116" i="31" s="1"/>
  <c r="GZ116" i="31"/>
  <c r="KG116" i="31" s="1"/>
  <c r="JA116" i="31"/>
  <c r="JW116" i="31"/>
  <c r="JY116" i="31"/>
  <c r="JC116" i="31"/>
  <c r="JD116" i="31"/>
  <c r="IE116" i="31" l="1"/>
  <c r="JP116" i="31"/>
  <c r="JQ116" i="31" s="1"/>
  <c r="EC116" i="31"/>
  <c r="FQ116" i="31"/>
  <c r="DX116" i="31"/>
  <c r="DM116" i="31"/>
  <c r="BR116" i="31"/>
  <c r="BS116" i="31"/>
  <c r="JX116" i="31"/>
  <c r="EX116" i="31" l="1"/>
  <c r="M116" i="31" s="1"/>
  <c r="FB116" i="31"/>
  <c r="DL116" i="31"/>
  <c r="L117" i="31"/>
  <c r="BT116" i="31"/>
  <c r="BU116" i="31"/>
  <c r="BV116" i="31" l="1"/>
  <c r="BW116" i="31" s="1"/>
  <c r="MB116" i="31"/>
  <c r="NM116" i="31" s="1"/>
  <c r="NN116" i="31" s="1"/>
  <c r="MJ116" i="31"/>
  <c r="NS116" i="31" s="1"/>
  <c r="OV117" i="31" l="1"/>
  <c r="NW116" i="31"/>
  <c r="NT116" i="31"/>
  <c r="OU117" i="31"/>
  <c r="BX116" i="31"/>
  <c r="BY116" i="31"/>
  <c r="BZ116" i="31" l="1"/>
  <c r="CA116" i="31"/>
  <c r="CX116" i="31"/>
  <c r="FV116" i="31"/>
  <c r="FR116" i="31"/>
  <c r="NU116" i="31"/>
  <c r="NX116" i="31"/>
  <c r="NY116" i="31" l="1"/>
  <c r="MY116" i="31"/>
  <c r="NZ116" i="31"/>
  <c r="CY117" i="31"/>
  <c r="NV116" i="31"/>
  <c r="OF116" i="31"/>
  <c r="OS117" i="31" s="1"/>
  <c r="CB116" i="31"/>
  <c r="CC116" i="31" s="1"/>
  <c r="CD116" i="31" l="1"/>
  <c r="CE116" i="31"/>
  <c r="CF116" i="31" s="1"/>
  <c r="OO117" i="31"/>
  <c r="OM117" i="31"/>
  <c r="NF117" i="31"/>
  <c r="OB116" i="31"/>
  <c r="OT117" i="31" s="1"/>
  <c r="MZ117" i="31"/>
  <c r="OZ116" i="31"/>
  <c r="OA116" i="31"/>
  <c r="MV117" i="31" s="1"/>
  <c r="OI116" i="31"/>
  <c r="CG116" i="31" l="1"/>
  <c r="CH116" i="31" s="1"/>
  <c r="CI116" i="31" s="1"/>
  <c r="PA116" i="31"/>
  <c r="OJ116" i="31"/>
  <c r="MW117" i="31" s="1"/>
  <c r="OC116" i="31"/>
  <c r="OD117" i="31" s="1"/>
  <c r="OH117" i="31" s="1"/>
  <c r="KT117" i="31"/>
  <c r="OG117" i="31"/>
  <c r="OX117" i="31"/>
  <c r="MR117" i="31"/>
  <c r="OW116" i="31"/>
  <c r="OY117" i="31" l="1"/>
  <c r="CK116" i="31"/>
  <c r="CL116" i="31" s="1"/>
  <c r="CJ116" i="31"/>
  <c r="CO116" i="31" s="1"/>
  <c r="OK117" i="31"/>
  <c r="KM117" i="31"/>
  <c r="KO118" i="31" s="1"/>
  <c r="KL117" i="31"/>
  <c r="KN118" i="31" s="1"/>
  <c r="MS117" i="31"/>
  <c r="MX117" i="31"/>
  <c r="CM116" i="31" l="1"/>
  <c r="CN116" i="31" s="1"/>
  <c r="CP116" i="31" s="1"/>
  <c r="NB117" i="31"/>
  <c r="NA117" i="31"/>
  <c r="NP117" i="31"/>
  <c r="NH118" i="31"/>
  <c r="NI118" i="31" s="1"/>
  <c r="MU117" i="31"/>
  <c r="MT117" i="31"/>
  <c r="NJ117" i="31"/>
  <c r="MO117" i="31"/>
  <c r="NQ117" i="31"/>
  <c r="PE117" i="31"/>
  <c r="KQ117" i="31"/>
  <c r="KP118" i="31"/>
  <c r="KR117" i="31"/>
  <c r="CQ116" i="31" l="1"/>
  <c r="FH116" i="31"/>
  <c r="FI116" i="31" s="1"/>
  <c r="FP116" i="31"/>
  <c r="FS116" i="31" s="1"/>
  <c r="FZ116" i="31"/>
  <c r="GA116" i="31" s="1"/>
  <c r="FU116" i="31"/>
  <c r="FW116" i="31" s="1"/>
  <c r="FE116" i="31"/>
  <c r="FF116" i="31" s="1"/>
  <c r="GO116" i="31"/>
  <c r="JR116" i="31"/>
  <c r="JS116" i="31" s="1"/>
  <c r="GB116" i="31"/>
  <c r="GC116" i="31" s="1"/>
  <c r="HO116" i="31"/>
  <c r="FX116" i="31"/>
  <c r="FY116" i="31" s="1"/>
  <c r="DQ116" i="31"/>
  <c r="DR116" i="31" s="1"/>
  <c r="KX116" i="31"/>
  <c r="KU116" i="31"/>
  <c r="KS117" i="31"/>
  <c r="NK117" i="31"/>
  <c r="NL117" i="31"/>
  <c r="NG118" i="31"/>
  <c r="OQ118" i="31"/>
  <c r="NR117" i="31"/>
  <c r="GN116" i="31" l="1"/>
  <c r="GQ116" i="31" s="1"/>
  <c r="JU116" i="31"/>
  <c r="KE116" i="31"/>
  <c r="KC116" i="31"/>
  <c r="JT117" i="31"/>
  <c r="FG117" i="31"/>
  <c r="HW116" i="31"/>
  <c r="HX117" i="31" s="1"/>
  <c r="DS116" i="31"/>
  <c r="HY116" i="31"/>
  <c r="DY116" i="31"/>
  <c r="HA116" i="31"/>
  <c r="NC118" i="31"/>
  <c r="MQ118" i="31"/>
  <c r="HP116" i="31"/>
  <c r="IA116" i="31"/>
  <c r="IB116" i="31" s="1"/>
  <c r="IZ116" i="31"/>
  <c r="HU116" i="31"/>
  <c r="HV117" i="31" s="1"/>
  <c r="FJ117" i="31"/>
  <c r="OR118" i="31"/>
  <c r="CS116" i="31"/>
  <c r="CR116" i="31"/>
  <c r="CT116" i="31"/>
  <c r="KV116" i="31" l="1"/>
  <c r="KW117" i="31" s="1"/>
  <c r="HQ116" i="31"/>
  <c r="HR117" i="31" s="1"/>
  <c r="AX116" i="31"/>
  <c r="AY117" i="31" s="1"/>
  <c r="EM116" i="31"/>
  <c r="EW116" i="31" s="1"/>
  <c r="EN116" i="31"/>
  <c r="AZ116" i="31"/>
  <c r="HS116" i="31"/>
  <c r="JG116" i="31" s="1"/>
  <c r="HT116" i="31"/>
  <c r="BB117" i="31" l="1"/>
  <c r="EQ116" i="31"/>
  <c r="DW116" i="31"/>
  <c r="DU117" i="31" s="1"/>
  <c r="ER117" i="31"/>
  <c r="IU116" i="31"/>
  <c r="IV116" i="31" s="1"/>
  <c r="IC116" i="31"/>
  <c r="ID116" i="31" s="1"/>
  <c r="IF116" i="31" s="1"/>
  <c r="KH116" i="31" s="1"/>
  <c r="JB116" i="31"/>
  <c r="IW116" i="31" l="1"/>
  <c r="KB116" i="31" s="1"/>
  <c r="KK116" i="31"/>
  <c r="IX116" i="31"/>
  <c r="IM116" i="31"/>
  <c r="DB116" i="31"/>
  <c r="DC116" i="31" s="1"/>
  <c r="DD117" i="31" s="1"/>
  <c r="DE118" i="31" s="1"/>
  <c r="GM116" i="31"/>
  <c r="KI117" i="31"/>
  <c r="IN116" i="31"/>
  <c r="DF116" i="31"/>
  <c r="BC117" i="31"/>
  <c r="EU117" i="31"/>
  <c r="DT116" i="31" l="1"/>
  <c r="DZ116" i="31" s="1"/>
  <c r="GT118" i="31"/>
  <c r="GR116" i="31"/>
  <c r="BE117" i="31"/>
  <c r="BD117" i="31"/>
  <c r="FD116" i="31"/>
  <c r="GV116" i="31"/>
  <c r="GU116" i="31"/>
  <c r="KJ117" i="31"/>
  <c r="IS116" i="31" l="1"/>
  <c r="FL117" i="31"/>
  <c r="BG117" i="31"/>
  <c r="BF117" i="31"/>
  <c r="GS116" i="31"/>
  <c r="GW116" i="31" l="1"/>
  <c r="HC116" i="31" s="1"/>
  <c r="FA117" i="31" s="1"/>
  <c r="HB117" i="31" s="1"/>
  <c r="GY116" i="31"/>
  <c r="GX116" i="31"/>
  <c r="BI117" i="31"/>
  <c r="BK117" i="31" s="1"/>
  <c r="BH117" i="31"/>
  <c r="FM117" i="31"/>
  <c r="JH116" i="31"/>
  <c r="JI116" i="31" s="1"/>
  <c r="IT116" i="31"/>
  <c r="JK116" i="31" l="1"/>
  <c r="JN116" i="31" s="1"/>
  <c r="JV116" i="31" s="1"/>
  <c r="JF117" i="31" s="1"/>
  <c r="EY116" i="31"/>
  <c r="HM116" i="31"/>
  <c r="EG116" i="31"/>
  <c r="EH117" i="31" s="1"/>
  <c r="EI117" i="31" s="1"/>
  <c r="FK117" i="31" s="1"/>
  <c r="HK117" i="31"/>
  <c r="BJ117" i="31"/>
  <c r="BL117" i="31"/>
  <c r="BM117" i="31"/>
  <c r="JM116" i="31" l="1"/>
  <c r="KD116" i="31" s="1"/>
  <c r="IL117" i="31" s="1"/>
  <c r="JW117" i="31"/>
  <c r="JY117" i="31"/>
  <c r="BN117" i="31"/>
  <c r="BO117" i="31"/>
  <c r="EZ116" i="31"/>
  <c r="DG116" i="31"/>
  <c r="DH116" i="31" s="1"/>
  <c r="DI117" i="31" s="1"/>
  <c r="JZ116" i="31"/>
  <c r="KF116" i="31" s="1"/>
  <c r="IQ117" i="31" s="1"/>
  <c r="JL116" i="31"/>
  <c r="JJ117" i="31" s="1"/>
  <c r="KA117" i="31"/>
  <c r="EJ116" i="31"/>
  <c r="EK117" i="31" s="1"/>
  <c r="ED116" i="31"/>
  <c r="EB117" i="31" s="1"/>
  <c r="EE116" i="31"/>
  <c r="EF117" i="31" s="1"/>
  <c r="IO117" i="31" l="1"/>
  <c r="IP117" i="31"/>
  <c r="JE117" i="31"/>
  <c r="IR117" i="31"/>
  <c r="JO117" i="31"/>
  <c r="JA117" i="31"/>
  <c r="IY117" i="31"/>
  <c r="JP117" i="31" s="1"/>
  <c r="JQ117" i="31" s="1"/>
  <c r="HZ117" i="31"/>
  <c r="BP117" i="31"/>
  <c r="BQ117" i="31" s="1"/>
  <c r="DP117" i="31"/>
  <c r="DJ117" i="31"/>
  <c r="DK117" i="31" s="1"/>
  <c r="GZ117" i="31"/>
  <c r="IE117" i="31" s="1"/>
  <c r="EO117" i="31"/>
  <c r="ES118" i="31" s="1"/>
  <c r="FC117" i="31"/>
  <c r="EL117" i="31"/>
  <c r="EP117" i="31"/>
  <c r="ET118" i="31" s="1"/>
  <c r="EV117" i="31"/>
  <c r="JC117" i="31"/>
  <c r="JD117" i="31"/>
  <c r="EC117" i="31" l="1"/>
  <c r="DX117" i="31"/>
  <c r="FQ117" i="31"/>
  <c r="DM117" i="31"/>
  <c r="BR117" i="31"/>
  <c r="BS117" i="31"/>
  <c r="KG117" i="31"/>
  <c r="JX117" i="31"/>
  <c r="FB117" i="31" l="1"/>
  <c r="EX117" i="31"/>
  <c r="M117" i="31" s="1"/>
  <c r="DL117" i="31"/>
  <c r="L118" i="31"/>
  <c r="BT117" i="31"/>
  <c r="BU117" i="31"/>
  <c r="MJ117" i="31" l="1"/>
  <c r="NS117" i="31" s="1"/>
  <c r="MB117" i="31"/>
  <c r="NM117" i="31" s="1"/>
  <c r="NN117" i="31" s="1"/>
  <c r="BV117" i="31"/>
  <c r="BW117" i="31" s="1"/>
  <c r="BY117" i="31" l="1"/>
  <c r="BX117" i="31"/>
  <c r="OV118" i="31"/>
  <c r="NW117" i="31"/>
  <c r="NT117" i="31"/>
  <c r="OU118" i="31"/>
  <c r="CX117" i="31" l="1"/>
  <c r="FV117" i="31"/>
  <c r="FR117" i="31"/>
  <c r="NU117" i="31"/>
  <c r="NX117" i="31"/>
  <c r="BZ117" i="31"/>
  <c r="CA117" i="31"/>
  <c r="NV117" i="31" l="1"/>
  <c r="MY117" i="31"/>
  <c r="NZ117" i="31"/>
  <c r="CY118" i="31"/>
  <c r="CB117" i="31"/>
  <c r="CC117" i="31" s="1"/>
  <c r="NY117" i="31"/>
  <c r="OF117" i="31"/>
  <c r="OS118" i="31" s="1"/>
  <c r="CD117" i="31" l="1"/>
  <c r="CE117" i="31"/>
  <c r="CF117" i="31" s="1"/>
  <c r="OI117" i="31"/>
  <c r="MR118" i="31" s="1"/>
  <c r="MZ118" i="31"/>
  <c r="OZ117" i="31"/>
  <c r="OA117" i="31"/>
  <c r="MV118" i="31" s="1"/>
  <c r="OG118" i="31" s="1"/>
  <c r="OB117" i="31"/>
  <c r="OT118" i="31" s="1"/>
  <c r="NF118" i="31"/>
  <c r="OM118" i="31"/>
  <c r="OO118" i="31"/>
  <c r="CG117" i="31" l="1"/>
  <c r="CH117" i="31" s="1"/>
  <c r="CI117" i="31" s="1"/>
  <c r="OW117" i="31"/>
  <c r="OX118" i="31"/>
  <c r="OJ117" i="31"/>
  <c r="MW118" i="31" s="1"/>
  <c r="KT118" i="31"/>
  <c r="KM118" i="31" s="1"/>
  <c r="KO119" i="31" s="1"/>
  <c r="PA117" i="31"/>
  <c r="OC117" i="31"/>
  <c r="OD118" i="31" s="1"/>
  <c r="OH118" i="31" s="1"/>
  <c r="OK118" i="31" s="1"/>
  <c r="MS118" i="31"/>
  <c r="OY118" i="31" l="1"/>
  <c r="CJ117" i="31"/>
  <c r="CO117" i="31" s="1"/>
  <c r="CK117" i="31"/>
  <c r="CM117" i="31" s="1"/>
  <c r="CN117" i="31" s="1"/>
  <c r="KL118" i="31"/>
  <c r="KN119" i="31" s="1"/>
  <c r="KQ118" i="31" s="1"/>
  <c r="KR118" i="31"/>
  <c r="MU118" i="31"/>
  <c r="NP118" i="31"/>
  <c r="MO118" i="31"/>
  <c r="NH119" i="31"/>
  <c r="NI119" i="31" s="1"/>
  <c r="MT118" i="31"/>
  <c r="NJ118" i="31"/>
  <c r="NQ118" i="31"/>
  <c r="PE118" i="31"/>
  <c r="MX118" i="31"/>
  <c r="CL117" i="31" l="1"/>
  <c r="CP117" i="31" s="1"/>
  <c r="KP119" i="31"/>
  <c r="NR118" i="31"/>
  <c r="NK118" i="31"/>
  <c r="NL118" i="31"/>
  <c r="NG119" i="31"/>
  <c r="OQ119" i="31"/>
  <c r="KS118" i="31"/>
  <c r="NA118" i="31"/>
  <c r="NB118" i="31"/>
  <c r="JR117" i="31" l="1"/>
  <c r="JS117" i="31" s="1"/>
  <c r="FU117" i="31"/>
  <c r="FW117" i="31" s="1"/>
  <c r="FZ117" i="31"/>
  <c r="GA117" i="31" s="1"/>
  <c r="FH117" i="31"/>
  <c r="FI117" i="31" s="1"/>
  <c r="HO117" i="31"/>
  <c r="FE117" i="31"/>
  <c r="FF117" i="31" s="1"/>
  <c r="FX117" i="31"/>
  <c r="FY117" i="31" s="1"/>
  <c r="CQ117" i="31"/>
  <c r="GO117" i="31"/>
  <c r="FP117" i="31"/>
  <c r="FS117" i="31" s="1"/>
  <c r="GB117" i="31"/>
  <c r="GC117" i="31" s="1"/>
  <c r="DQ117" i="31"/>
  <c r="DR117" i="31" s="1"/>
  <c r="KX117" i="31"/>
  <c r="KU117" i="31"/>
  <c r="NC119" i="31"/>
  <c r="MQ119" i="31"/>
  <c r="OR119" i="31"/>
  <c r="GN117" i="31" l="1"/>
  <c r="KV117" i="31" s="1"/>
  <c r="IA117" i="31"/>
  <c r="IB117" i="31" s="1"/>
  <c r="HP117" i="31"/>
  <c r="IZ117" i="31"/>
  <c r="HU117" i="31"/>
  <c r="HV118" i="31" s="1"/>
  <c r="FJ118" i="31"/>
  <c r="HA117" i="31"/>
  <c r="DY117" i="31"/>
  <c r="HY117" i="31"/>
  <c r="DS117" i="31"/>
  <c r="KE117" i="31"/>
  <c r="JU117" i="31"/>
  <c r="JT118" i="31"/>
  <c r="KC117" i="31"/>
  <c r="HW117" i="31"/>
  <c r="HX118" i="31" s="1"/>
  <c r="FG118" i="31"/>
  <c r="CS117" i="31"/>
  <c r="CT117" i="31"/>
  <c r="CR117" i="31"/>
  <c r="GQ117" i="31" l="1"/>
  <c r="KW118" i="31"/>
  <c r="HQ117" i="31"/>
  <c r="HR118" i="31" s="1"/>
  <c r="AX117" i="31"/>
  <c r="AY118" i="31" s="1"/>
  <c r="AZ117" i="31"/>
  <c r="EN117" i="31"/>
  <c r="EM117" i="31"/>
  <c r="EW117" i="31" s="1"/>
  <c r="HS117" i="31"/>
  <c r="JG117" i="31" s="1"/>
  <c r="HT117" i="31"/>
  <c r="BB118" i="31" l="1"/>
  <c r="EQ117" i="31"/>
  <c r="DW117" i="31"/>
  <c r="DU118" i="31" s="1"/>
  <c r="ER118" i="31"/>
  <c r="IU117" i="31"/>
  <c r="IV117" i="31" s="1"/>
  <c r="IC117" i="31"/>
  <c r="ID117" i="31" s="1"/>
  <c r="IF117" i="31" s="1"/>
  <c r="KH117" i="31" s="1"/>
  <c r="JB117" i="31"/>
  <c r="IW117" i="31" l="1"/>
  <c r="KB117" i="31" s="1"/>
  <c r="KK117" i="31"/>
  <c r="IX117" i="31"/>
  <c r="EU118" i="31"/>
  <c r="DB117" i="31"/>
  <c r="DC117" i="31" s="1"/>
  <c r="DD118" i="31" s="1"/>
  <c r="DE119" i="31" s="1"/>
  <c r="IM117" i="31"/>
  <c r="GM117" i="31"/>
  <c r="KI118" i="31"/>
  <c r="IN117" i="31"/>
  <c r="DF117" i="31"/>
  <c r="BC118" i="31"/>
  <c r="DT117" i="31" l="1"/>
  <c r="DZ117" i="31" s="1"/>
  <c r="GT119" i="31"/>
  <c r="GR117" i="31"/>
  <c r="KJ118" i="31"/>
  <c r="BD118" i="31"/>
  <c r="BE118" i="31"/>
  <c r="GV117" i="31"/>
  <c r="FD117" i="31"/>
  <c r="GU117" i="31"/>
  <c r="GS117" i="31" l="1"/>
  <c r="BF118" i="31"/>
  <c r="BG118" i="31"/>
  <c r="IS117" i="31"/>
  <c r="FL118" i="31"/>
  <c r="FM118" i="31" l="1"/>
  <c r="JH117" i="31"/>
  <c r="JI117" i="31" s="1"/>
  <c r="IT117" i="31"/>
  <c r="GX117" i="31"/>
  <c r="GY117" i="31"/>
  <c r="GW117" i="31"/>
  <c r="HC117" i="31" s="1"/>
  <c r="FA118" i="31" s="1"/>
  <c r="HB118" i="31" s="1"/>
  <c r="BI118" i="31"/>
  <c r="BK118" i="31" s="1"/>
  <c r="BH118" i="31"/>
  <c r="BJ118" i="31" l="1"/>
  <c r="HM117" i="31"/>
  <c r="EG117" i="31"/>
  <c r="EH118" i="31" s="1"/>
  <c r="EI118" i="31" s="1"/>
  <c r="FK118" i="31" s="1"/>
  <c r="EY117" i="31"/>
  <c r="HK118" i="31"/>
  <c r="JK117" i="31"/>
  <c r="JM117" i="31" s="1"/>
  <c r="KD117" i="31" s="1"/>
  <c r="IL118" i="31" s="1"/>
  <c r="BL118" i="31"/>
  <c r="BM118" i="31"/>
  <c r="JN117" i="31" l="1"/>
  <c r="JV117" i="31" s="1"/>
  <c r="JF118" i="31" s="1"/>
  <c r="JL117" i="31"/>
  <c r="JJ118" i="31" s="1"/>
  <c r="KA118" i="31"/>
  <c r="BN118" i="31"/>
  <c r="BO118" i="31"/>
  <c r="EZ117" i="31"/>
  <c r="DG117" i="31"/>
  <c r="DH117" i="31" s="1"/>
  <c r="DI118" i="31" s="1"/>
  <c r="JZ117" i="31"/>
  <c r="KF117" i="31" s="1"/>
  <c r="IQ118" i="31" s="1"/>
  <c r="EE117" i="31"/>
  <c r="EF118" i="31" s="1"/>
  <c r="IO118" i="31" s="1"/>
  <c r="EJ117" i="31"/>
  <c r="EK118" i="31" s="1"/>
  <c r="ED117" i="31"/>
  <c r="EB118" i="31" s="1"/>
  <c r="BP118" i="31" l="1"/>
  <c r="BQ118" i="31" s="1"/>
  <c r="JE118" i="31"/>
  <c r="JO118" i="31"/>
  <c r="JA118" i="31"/>
  <c r="IY118" i="31"/>
  <c r="JP118" i="31" s="1"/>
  <c r="JQ118" i="31" s="1"/>
  <c r="IR118" i="31"/>
  <c r="HZ118" i="31"/>
  <c r="DP118" i="31"/>
  <c r="JW118" i="31"/>
  <c r="JY118" i="31"/>
  <c r="EP118" i="31"/>
  <c r="ET119" i="31" s="1"/>
  <c r="EL118" i="31"/>
  <c r="FC118" i="31"/>
  <c r="EO118" i="31"/>
  <c r="ES119" i="31" s="1"/>
  <c r="EV118" i="31"/>
  <c r="DJ118" i="31"/>
  <c r="DK118" i="31" s="1"/>
  <c r="GZ118" i="31"/>
  <c r="IE118" i="31" s="1"/>
  <c r="JC118" i="31"/>
  <c r="JD118" i="31"/>
  <c r="IP118" i="31"/>
  <c r="KG118" i="31" l="1"/>
  <c r="EC118" i="31"/>
  <c r="JX118" i="31"/>
  <c r="DM118" i="31"/>
  <c r="DX118" i="31"/>
  <c r="FQ118" i="31"/>
  <c r="BR118" i="31"/>
  <c r="BS118" i="31"/>
  <c r="DL118" i="31" l="1"/>
  <c r="L119" i="31"/>
  <c r="BT118" i="31"/>
  <c r="BU118" i="31"/>
  <c r="BV118" i="31" s="1"/>
  <c r="FB118" i="31"/>
  <c r="EX118" i="31"/>
  <c r="M118" i="31" s="1"/>
  <c r="BW118" i="31" l="1"/>
  <c r="MJ118" i="31"/>
  <c r="NS118" i="31" s="1"/>
  <c r="MB118" i="31"/>
  <c r="NM118" i="31" s="1"/>
  <c r="NN118" i="31" s="1"/>
  <c r="OV119" i="31" l="1"/>
  <c r="NW118" i="31"/>
  <c r="NT118" i="31"/>
  <c r="OU119" i="31"/>
  <c r="BY118" i="31"/>
  <c r="BX118" i="31"/>
  <c r="FR118" i="31" l="1"/>
  <c r="FV118" i="31"/>
  <c r="CX118" i="31"/>
  <c r="NU118" i="31"/>
  <c r="BZ118" i="31"/>
  <c r="CA118" i="31"/>
  <c r="NX118" i="31"/>
  <c r="OF118" i="31" s="1"/>
  <c r="OS119" i="31" s="1"/>
  <c r="NV118" i="31" l="1"/>
  <c r="NZ118" i="31"/>
  <c r="MY118" i="31"/>
  <c r="CY119" i="31"/>
  <c r="NY118" i="31"/>
  <c r="CB118" i="31"/>
  <c r="CC118" i="31" s="1"/>
  <c r="CE118" i="31" l="1"/>
  <c r="CG118" i="31" s="1"/>
  <c r="CD118" i="31"/>
  <c r="OI118" i="31"/>
  <c r="OX119" i="31" s="1"/>
  <c r="OM119" i="31"/>
  <c r="OO119" i="31"/>
  <c r="NF119" i="31"/>
  <c r="MZ119" i="31"/>
  <c r="OZ118" i="31"/>
  <c r="OB118" i="31"/>
  <c r="OT119" i="31" s="1"/>
  <c r="OA118" i="31"/>
  <c r="MV119" i="31" s="1"/>
  <c r="OW118" i="31" l="1"/>
  <c r="MR119" i="31"/>
  <c r="CF118" i="31"/>
  <c r="OJ118" i="31"/>
  <c r="OC118" i="31"/>
  <c r="OD119" i="31" s="1"/>
  <c r="OH119" i="31" s="1"/>
  <c r="CH118" i="31"/>
  <c r="CI118" i="31" s="1"/>
  <c r="MW119" i="31"/>
  <c r="OY119" i="31"/>
  <c r="OG119" i="31"/>
  <c r="KT119" i="31"/>
  <c r="MS119" i="31"/>
  <c r="PA118" i="31"/>
  <c r="OK119" i="31" l="1"/>
  <c r="CJ118" i="31"/>
  <c r="CO118" i="31" s="1"/>
  <c r="CK118" i="31"/>
  <c r="CL118" i="31" s="1"/>
  <c r="KM119" i="31"/>
  <c r="KO120" i="31" s="1"/>
  <c r="KL119" i="31"/>
  <c r="KN120" i="31" s="1"/>
  <c r="NH120" i="31"/>
  <c r="NI120" i="31" s="1"/>
  <c r="MO119" i="31"/>
  <c r="NP119" i="31"/>
  <c r="NJ119" i="31"/>
  <c r="MT119" i="31"/>
  <c r="MU119" i="31"/>
  <c r="NQ119" i="31"/>
  <c r="PE119" i="31"/>
  <c r="MX119" i="31"/>
  <c r="CM118" i="31" l="1"/>
  <c r="CN118" i="31" s="1"/>
  <c r="CP118" i="31" s="1"/>
  <c r="NA119" i="31"/>
  <c r="NB119" i="31"/>
  <c r="KQ119" i="31"/>
  <c r="NR119" i="31"/>
  <c r="KP120" i="31"/>
  <c r="KR119" i="31"/>
  <c r="NL119" i="31"/>
  <c r="NK119" i="31"/>
  <c r="NG120" i="31"/>
  <c r="OQ120" i="31"/>
  <c r="FX118" i="31" l="1"/>
  <c r="FY118" i="31" s="1"/>
  <c r="FE118" i="31"/>
  <c r="FF118" i="31" s="1"/>
  <c r="GB118" i="31"/>
  <c r="GC118" i="31" s="1"/>
  <c r="CQ118" i="31"/>
  <c r="FZ118" i="31"/>
  <c r="GA118" i="31" s="1"/>
  <c r="FH118" i="31"/>
  <c r="FI118" i="31" s="1"/>
  <c r="GO118" i="31"/>
  <c r="HO118" i="31"/>
  <c r="DQ118" i="31"/>
  <c r="DR118" i="31" s="1"/>
  <c r="FU118" i="31"/>
  <c r="FW118" i="31" s="1"/>
  <c r="FP118" i="31"/>
  <c r="FS118" i="31" s="1"/>
  <c r="JR118" i="31"/>
  <c r="JS118" i="31" s="1"/>
  <c r="KX118" i="31"/>
  <c r="GN118" i="31" s="1"/>
  <c r="KU118" i="31"/>
  <c r="OR120" i="31"/>
  <c r="NC120" i="31"/>
  <c r="MQ120" i="31"/>
  <c r="KS119" i="31"/>
  <c r="IA118" i="31" l="1"/>
  <c r="IB118" i="31" s="1"/>
  <c r="HP118" i="31"/>
  <c r="IZ118" i="31"/>
  <c r="HU118" i="31"/>
  <c r="HV119" i="31" s="1"/>
  <c r="FJ119" i="31"/>
  <c r="GQ118" i="31"/>
  <c r="KV118" i="31"/>
  <c r="JU118" i="31"/>
  <c r="KC118" i="31"/>
  <c r="KE118" i="31"/>
  <c r="JT119" i="31"/>
  <c r="CR118" i="31"/>
  <c r="CS118" i="31"/>
  <c r="CT118" i="31"/>
  <c r="HY118" i="31"/>
  <c r="HA118" i="31"/>
  <c r="DY118" i="31"/>
  <c r="FG119" i="31"/>
  <c r="HW118" i="31"/>
  <c r="HX119" i="31" s="1"/>
  <c r="DS118" i="31"/>
  <c r="AZ118" i="31" s="1"/>
  <c r="KW119" i="31" l="1"/>
  <c r="HQ118" i="31"/>
  <c r="HR119" i="31" s="1"/>
  <c r="AX118" i="31"/>
  <c r="AY119" i="31" s="1"/>
  <c r="EN118" i="31"/>
  <c r="EM118" i="31"/>
  <c r="EW118" i="31" s="1"/>
  <c r="HS118" i="31"/>
  <c r="JG118" i="31" s="1"/>
  <c r="HT118" i="31"/>
  <c r="IC118" i="31" l="1"/>
  <c r="ID118" i="31" s="1"/>
  <c r="IF118" i="31" s="1"/>
  <c r="KH118" i="31" s="1"/>
  <c r="JB118" i="31"/>
  <c r="BB119" i="31"/>
  <c r="DW118" i="31"/>
  <c r="DU119" i="31" s="1"/>
  <c r="EQ118" i="31"/>
  <c r="ER119" i="31"/>
  <c r="IU118" i="31"/>
  <c r="IV118" i="31" s="1"/>
  <c r="IX118" i="31" l="1"/>
  <c r="KK118" i="31"/>
  <c r="EU119" i="31"/>
  <c r="BC119" i="31"/>
  <c r="IW118" i="31"/>
  <c r="KB118" i="31" s="1"/>
  <c r="GM118" i="31"/>
  <c r="DB118" i="31"/>
  <c r="DC118" i="31" s="1"/>
  <c r="DD119" i="31" s="1"/>
  <c r="DE120" i="31" s="1"/>
  <c r="IM118" i="31"/>
  <c r="KI119" i="31"/>
  <c r="IN118" i="31"/>
  <c r="DF118" i="31"/>
  <c r="GT120" i="31" l="1"/>
  <c r="GV118" i="31"/>
  <c r="FD118" i="31"/>
  <c r="GU118" i="31"/>
  <c r="KJ119" i="31"/>
  <c r="BD119" i="31"/>
  <c r="BE119" i="31"/>
  <c r="DT118" i="31"/>
  <c r="DZ118" i="31" s="1"/>
  <c r="GR118" i="31"/>
  <c r="IS118" i="31" l="1"/>
  <c r="FL119" i="31"/>
  <c r="FM119" i="31" s="1"/>
  <c r="BF119" i="31"/>
  <c r="BG119" i="31"/>
  <c r="GS118" i="31"/>
  <c r="JH118" i="31" l="1"/>
  <c r="JI118" i="31" s="1"/>
  <c r="JK118" i="31" s="1"/>
  <c r="JN118" i="31" s="1"/>
  <c r="JV118" i="31" s="1"/>
  <c r="JF119" i="31" s="1"/>
  <c r="JY119" i="31" s="1"/>
  <c r="IT118" i="31"/>
  <c r="GX118" i="31"/>
  <c r="GW118" i="31"/>
  <c r="HC118" i="31" s="1"/>
  <c r="FA119" i="31" s="1"/>
  <c r="HB119" i="31" s="1"/>
  <c r="GY118" i="31"/>
  <c r="BH119" i="31"/>
  <c r="BI119" i="31"/>
  <c r="BK119" i="31" s="1"/>
  <c r="KA119" i="31" l="1"/>
  <c r="HZ119" i="31" s="1"/>
  <c r="JL118" i="31"/>
  <c r="JJ119" i="31" s="1"/>
  <c r="JM118" i="31"/>
  <c r="KD118" i="31" s="1"/>
  <c r="IL119" i="31" s="1"/>
  <c r="JZ118" i="31"/>
  <c r="KF118" i="31" s="1"/>
  <c r="IQ119" i="31" s="1"/>
  <c r="EG118" i="31"/>
  <c r="EH119" i="31" s="1"/>
  <c r="HM118" i="31"/>
  <c r="EY118" i="31"/>
  <c r="HK119" i="31"/>
  <c r="BL119" i="31"/>
  <c r="BM119" i="31"/>
  <c r="BJ119" i="31"/>
  <c r="JO119" i="31" l="1"/>
  <c r="JE119" i="31"/>
  <c r="IR119" i="31"/>
  <c r="ED118" i="31"/>
  <c r="EB119" i="31" s="1"/>
  <c r="EJ118" i="31"/>
  <c r="EK119" i="31" s="1"/>
  <c r="EE118" i="31"/>
  <c r="EF119" i="31" s="1"/>
  <c r="EZ118" i="31"/>
  <c r="DG118" i="31"/>
  <c r="DH118" i="31" s="1"/>
  <c r="DI119" i="31" s="1"/>
  <c r="EI119" i="31"/>
  <c r="FK119" i="31" s="1"/>
  <c r="JW119" i="31"/>
  <c r="BN119" i="31"/>
  <c r="BO119" i="31"/>
  <c r="BP119" i="31" s="1"/>
  <c r="DP119" i="31" l="1"/>
  <c r="GZ119" i="31"/>
  <c r="KG119" i="31" s="1"/>
  <c r="DJ119" i="31"/>
  <c r="DK119" i="31" s="1"/>
  <c r="IP119" i="31"/>
  <c r="IO119" i="31"/>
  <c r="BQ119" i="31"/>
  <c r="BS119" i="31" s="1"/>
  <c r="BU119" i="31" s="1"/>
  <c r="JC119" i="31"/>
  <c r="JD119" i="31"/>
  <c r="FC119" i="31"/>
  <c r="EL119" i="31"/>
  <c r="EP119" i="31"/>
  <c r="ET120" i="31" s="1"/>
  <c r="EO119" i="31"/>
  <c r="ES120" i="31" s="1"/>
  <c r="IE119" i="31"/>
  <c r="EV119" i="31"/>
  <c r="JA119" i="31"/>
  <c r="IY119" i="31"/>
  <c r="JP119" i="31" l="1"/>
  <c r="JQ119" i="31" s="1"/>
  <c r="EC119" i="31"/>
  <c r="JX119" i="31"/>
  <c r="FQ119" i="31"/>
  <c r="DM119" i="31"/>
  <c r="DX119" i="31"/>
  <c r="BR119" i="31"/>
  <c r="BV119" i="31" s="1"/>
  <c r="BW119" i="31" s="1"/>
  <c r="BT119" i="31" l="1"/>
  <c r="BY119" i="31"/>
  <c r="BX119" i="31"/>
  <c r="EX119" i="31"/>
  <c r="M119" i="31" s="1"/>
  <c r="FB119" i="31"/>
  <c r="DL119" i="31"/>
  <c r="L120" i="31"/>
  <c r="MJ119" i="31" l="1"/>
  <c r="NS119" i="31" s="1"/>
  <c r="MB119" i="31"/>
  <c r="NM119" i="31" s="1"/>
  <c r="NN119" i="31" s="1"/>
  <c r="BZ119" i="31"/>
  <c r="CA119" i="31"/>
  <c r="CB119" i="31" l="1"/>
  <c r="CC119" i="31" s="1"/>
  <c r="OV120" i="31"/>
  <c r="NW119" i="31"/>
  <c r="NT119" i="31"/>
  <c r="OU120" i="31"/>
  <c r="CD119" i="31" l="1"/>
  <c r="CE119" i="31"/>
  <c r="CG119" i="31" s="1"/>
  <c r="FR119" i="31"/>
  <c r="FV119" i="31"/>
  <c r="CX119" i="31"/>
  <c r="NU119" i="31"/>
  <c r="NX119" i="31"/>
  <c r="CF119" i="31"/>
  <c r="CH119" i="31" l="1"/>
  <c r="CI119" i="31" s="1"/>
  <c r="NZ119" i="31"/>
  <c r="MY119" i="31"/>
  <c r="CY120" i="31"/>
  <c r="NV119" i="31"/>
  <c r="NY119" i="31"/>
  <c r="OF119" i="31"/>
  <c r="OS120" i="31" s="1"/>
  <c r="CK119" i="31" l="1"/>
  <c r="CM119" i="31" s="1"/>
  <c r="CN119" i="31" s="1"/>
  <c r="CJ119" i="31"/>
  <c r="CO119" i="31" s="1"/>
  <c r="OB119" i="31"/>
  <c r="OT120" i="31" s="1"/>
  <c r="OM120" i="31"/>
  <c r="NF120" i="31"/>
  <c r="OO120" i="31"/>
  <c r="OI119" i="31"/>
  <c r="MZ120" i="31"/>
  <c r="OZ119" i="31"/>
  <c r="OA119" i="31"/>
  <c r="MV120" i="31" s="1"/>
  <c r="CL119" i="31" l="1"/>
  <c r="CP119" i="31" s="1"/>
  <c r="KT120" i="31"/>
  <c r="OG120" i="31"/>
  <c r="PA119" i="31"/>
  <c r="OJ119" i="31"/>
  <c r="OW119" i="31"/>
  <c r="MR120" i="31"/>
  <c r="OX120" i="31"/>
  <c r="OC119" i="31"/>
  <c r="OD120" i="31" s="1"/>
  <c r="OH120" i="31" s="1"/>
  <c r="OK120" i="31" l="1"/>
  <c r="MS120" i="31"/>
  <c r="MW120" i="31"/>
  <c r="OY120" i="31"/>
  <c r="FH119" i="31"/>
  <c r="FI119" i="31" s="1"/>
  <c r="HO119" i="31"/>
  <c r="GO119" i="31"/>
  <c r="FP119" i="31"/>
  <c r="FS119" i="31" s="1"/>
  <c r="DQ119" i="31"/>
  <c r="DR119" i="31" s="1"/>
  <c r="GB119" i="31"/>
  <c r="GC119" i="31" s="1"/>
  <c r="JR119" i="31"/>
  <c r="JS119" i="31" s="1"/>
  <c r="FU119" i="31"/>
  <c r="FW119" i="31" s="1"/>
  <c r="FE119" i="31"/>
  <c r="FF119" i="31" s="1"/>
  <c r="CQ119" i="31"/>
  <c r="FX119" i="31"/>
  <c r="FY119" i="31" s="1"/>
  <c r="FZ119" i="31"/>
  <c r="GA119" i="31" s="1"/>
  <c r="KX119" i="31"/>
  <c r="KU119" i="31"/>
  <c r="KL120" i="31"/>
  <c r="KN121" i="31" s="1"/>
  <c r="KM120" i="31"/>
  <c r="KO121" i="31" s="1"/>
  <c r="GN119" i="31" l="1"/>
  <c r="HU119" i="31"/>
  <c r="HV120" i="31" s="1"/>
  <c r="FJ120" i="31"/>
  <c r="KC119" i="31"/>
  <c r="JU119" i="31"/>
  <c r="JT120" i="31"/>
  <c r="KE119" i="31"/>
  <c r="MX120" i="31"/>
  <c r="HW119" i="31"/>
  <c r="HX120" i="31" s="1"/>
  <c r="FG120" i="31"/>
  <c r="KP121" i="31"/>
  <c r="KR120" i="31"/>
  <c r="DS119" i="31"/>
  <c r="AX119" i="31" s="1"/>
  <c r="AY120" i="31" s="1"/>
  <c r="GQ119" i="31"/>
  <c r="KV119" i="31"/>
  <c r="HA119" i="31"/>
  <c r="DY119" i="31"/>
  <c r="HY119" i="31"/>
  <c r="KQ120" i="31"/>
  <c r="CR119" i="31"/>
  <c r="CS119" i="31"/>
  <c r="CT119" i="31"/>
  <c r="IA119" i="31"/>
  <c r="IB119" i="31" s="1"/>
  <c r="HP119" i="31"/>
  <c r="IZ119" i="31"/>
  <c r="NH121" i="31"/>
  <c r="NI121" i="31" s="1"/>
  <c r="NP120" i="31"/>
  <c r="NQ120" i="31"/>
  <c r="MT120" i="31"/>
  <c r="NJ120" i="31"/>
  <c r="MU120" i="31"/>
  <c r="MO120" i="31"/>
  <c r="PE120" i="31"/>
  <c r="KW120" i="31" l="1"/>
  <c r="HQ119" i="31"/>
  <c r="HR120" i="31" s="1"/>
  <c r="NR120" i="31"/>
  <c r="AZ119" i="31"/>
  <c r="EM119" i="31"/>
  <c r="EW119" i="31" s="1"/>
  <c r="EN119" i="31"/>
  <c r="NA120" i="31"/>
  <c r="NB120" i="31"/>
  <c r="HT119" i="31"/>
  <c r="HS119" i="31"/>
  <c r="JG119" i="31" s="1"/>
  <c r="NK120" i="31"/>
  <c r="NL120" i="31"/>
  <c r="NG121" i="31"/>
  <c r="OQ121" i="31"/>
  <c r="KS120" i="31"/>
  <c r="NC121" i="31" l="1"/>
  <c r="MQ121" i="31"/>
  <c r="BB120" i="31"/>
  <c r="EQ119" i="31"/>
  <c r="DW119" i="31"/>
  <c r="DU120" i="31" s="1"/>
  <c r="ER120" i="31"/>
  <c r="IU119" i="31"/>
  <c r="IV119" i="31" s="1"/>
  <c r="IC119" i="31"/>
  <c r="ID119" i="31" s="1"/>
  <c r="IF119" i="31" s="1"/>
  <c r="KH119" i="31" s="1"/>
  <c r="JB119" i="31"/>
  <c r="OR121" i="31"/>
  <c r="IW119" i="31" l="1"/>
  <c r="KB119" i="31" s="1"/>
  <c r="IM119" i="31"/>
  <c r="DB119" i="31"/>
  <c r="DC119" i="31" s="1"/>
  <c r="DD120" i="31" s="1"/>
  <c r="DE121" i="31" s="1"/>
  <c r="GM119" i="31"/>
  <c r="KI120" i="31"/>
  <c r="IN119" i="31"/>
  <c r="DF119" i="31"/>
  <c r="BC120" i="31"/>
  <c r="IX119" i="31"/>
  <c r="KK119" i="31"/>
  <c r="EU120" i="31"/>
  <c r="GT121" i="31" l="1"/>
  <c r="DT119" i="31"/>
  <c r="DZ119" i="31" s="1"/>
  <c r="KJ120" i="31"/>
  <c r="GU119" i="31"/>
  <c r="GV119" i="31"/>
  <c r="FD119" i="31"/>
  <c r="GR119" i="31"/>
  <c r="BE120" i="31"/>
  <c r="BD120" i="31"/>
  <c r="GS119" i="31" l="1"/>
  <c r="IS119" i="31"/>
  <c r="FL120" i="31"/>
  <c r="BF120" i="31"/>
  <c r="BG120" i="31"/>
  <c r="BH120" i="31" l="1"/>
  <c r="BI120" i="31"/>
  <c r="BK120" i="31" s="1"/>
  <c r="JH119" i="31"/>
  <c r="JI119" i="31" s="1"/>
  <c r="IT119" i="31"/>
  <c r="FM120" i="31"/>
  <c r="GY119" i="31"/>
  <c r="GX119" i="31"/>
  <c r="GW119" i="31"/>
  <c r="HC119" i="31" s="1"/>
  <c r="FA120" i="31" s="1"/>
  <c r="HB120" i="31" s="1"/>
  <c r="JK119" i="31" l="1"/>
  <c r="JZ119" i="31" s="1"/>
  <c r="KF119" i="31" s="1"/>
  <c r="IQ120" i="31" s="1"/>
  <c r="HM119" i="31"/>
  <c r="EY119" i="31"/>
  <c r="EG119" i="31"/>
  <c r="EH120" i="31" s="1"/>
  <c r="EI120" i="31" s="1"/>
  <c r="FK120" i="31" s="1"/>
  <c r="HK120" i="31"/>
  <c r="BL120" i="31"/>
  <c r="BM120" i="31"/>
  <c r="BJ120" i="31"/>
  <c r="JM119" i="31" l="1"/>
  <c r="KD119" i="31" s="1"/>
  <c r="IL120" i="31" s="1"/>
  <c r="JE120" i="31" s="1"/>
  <c r="EE119" i="31"/>
  <c r="EF120" i="31" s="1"/>
  <c r="ED119" i="31"/>
  <c r="EB120" i="31" s="1"/>
  <c r="EJ119" i="31"/>
  <c r="EK120" i="31" s="1"/>
  <c r="EZ119" i="31"/>
  <c r="DG119" i="31"/>
  <c r="DH119" i="31" s="1"/>
  <c r="DI120" i="31" s="1"/>
  <c r="BN120" i="31"/>
  <c r="BO120" i="31"/>
  <c r="BP120" i="31" s="1"/>
  <c r="JN119" i="31"/>
  <c r="JV119" i="31" s="1"/>
  <c r="JF120" i="31" s="1"/>
  <c r="JL119" i="31"/>
  <c r="JJ120" i="31" s="1"/>
  <c r="KA120" i="31"/>
  <c r="IR120" i="31" l="1"/>
  <c r="FC120" i="31"/>
  <c r="EO120" i="31"/>
  <c r="ES121" i="31" s="1"/>
  <c r="EP120" i="31"/>
  <c r="ET121" i="31" s="1"/>
  <c r="EL120" i="31"/>
  <c r="EV120" i="31"/>
  <c r="JW120" i="31"/>
  <c r="JY120" i="31"/>
  <c r="JC120" i="31"/>
  <c r="JD120" i="31"/>
  <c r="HZ120" i="31"/>
  <c r="DJ120" i="31"/>
  <c r="DK120" i="31" s="1"/>
  <c r="GZ120" i="31"/>
  <c r="IE120" i="31" s="1"/>
  <c r="JO120" i="31"/>
  <c r="JA120" i="31"/>
  <c r="BQ120" i="31"/>
  <c r="DP120" i="31"/>
  <c r="IY120" i="31"/>
  <c r="IO120" i="31"/>
  <c r="IP120" i="31"/>
  <c r="KG120" i="31" l="1"/>
  <c r="EC120" i="31"/>
  <c r="DM120" i="31"/>
  <c r="DX120" i="31"/>
  <c r="FQ120" i="31"/>
  <c r="JP120" i="31"/>
  <c r="JQ120" i="31" s="1"/>
  <c r="JX120" i="31"/>
  <c r="BR120" i="31"/>
  <c r="BS120" i="31"/>
  <c r="DL120" i="31" l="1"/>
  <c r="L121" i="31"/>
  <c r="BT120" i="31"/>
  <c r="BU120" i="31"/>
  <c r="BV120" i="31" s="1"/>
  <c r="BW120" i="31" s="1"/>
  <c r="FB120" i="31"/>
  <c r="EX120" i="31"/>
  <c r="M120" i="31" s="1"/>
  <c r="BY120" i="31" l="1"/>
  <c r="BX120" i="31"/>
  <c r="MB120" i="31"/>
  <c r="NM120" i="31" s="1"/>
  <c r="NN120" i="31" s="1"/>
  <c r="MJ120" i="31"/>
  <c r="NS120" i="31" s="1"/>
  <c r="OV121" i="31" l="1"/>
  <c r="NW120" i="31"/>
  <c r="NX120" i="31" s="1"/>
  <c r="NT120" i="31"/>
  <c r="OU121" i="31"/>
  <c r="BZ120" i="31"/>
  <c r="CA120" i="31"/>
  <c r="CB120" i="31" l="1"/>
  <c r="CC120" i="31" s="1"/>
  <c r="CX120" i="31"/>
  <c r="FR120" i="31"/>
  <c r="FV120" i="31"/>
  <c r="NU120" i="31"/>
  <c r="OF120" i="31"/>
  <c r="OS121" i="31" s="1"/>
  <c r="NY120" i="31"/>
  <c r="CE120" i="31" l="1"/>
  <c r="CF120" i="31" s="1"/>
  <c r="CD120" i="31"/>
  <c r="OB120" i="31"/>
  <c r="OT121" i="31" s="1"/>
  <c r="NV120" i="31"/>
  <c r="CG120" i="31"/>
  <c r="NZ120" i="31"/>
  <c r="OA120" i="31" s="1"/>
  <c r="MV121" i="31" s="1"/>
  <c r="MY120" i="31"/>
  <c r="CY121" i="31"/>
  <c r="MZ121" i="31" l="1"/>
  <c r="OZ120" i="31"/>
  <c r="OG121" i="31"/>
  <c r="OI120" i="31"/>
  <c r="OM121" i="31"/>
  <c r="OO121" i="31"/>
  <c r="KT121" i="31" s="1"/>
  <c r="NF121" i="31"/>
  <c r="OC120" i="31"/>
  <c r="OD121" i="31" s="1"/>
  <c r="OH121" i="31" s="1"/>
  <c r="PA120" i="31"/>
  <c r="CH120" i="31"/>
  <c r="CI120" i="31" s="1"/>
  <c r="OJ120" i="31"/>
  <c r="CJ120" i="31" l="1"/>
  <c r="CO120" i="31" s="1"/>
  <c r="CK120" i="31"/>
  <c r="CL120" i="31" s="1"/>
  <c r="KL121" i="31"/>
  <c r="KN122" i="31" s="1"/>
  <c r="KM121" i="31"/>
  <c r="KO122" i="31" s="1"/>
  <c r="OK121" i="31"/>
  <c r="MR121" i="31"/>
  <c r="OX121" i="31"/>
  <c r="OW120" i="31"/>
  <c r="MW121" i="31"/>
  <c r="OY121" i="31"/>
  <c r="CM120" i="31" l="1"/>
  <c r="CN120" i="31" s="1"/>
  <c r="CP120" i="31" s="1"/>
  <c r="MS121" i="31"/>
  <c r="KP122" i="31"/>
  <c r="KR121" i="31"/>
  <c r="MX121" i="31"/>
  <c r="KQ121" i="31"/>
  <c r="KS121" i="31" l="1"/>
  <c r="CQ120" i="31"/>
  <c r="FU120" i="31"/>
  <c r="FW120" i="31" s="1"/>
  <c r="FE120" i="31"/>
  <c r="FF120" i="31" s="1"/>
  <c r="HO120" i="31"/>
  <c r="GO120" i="31"/>
  <c r="FH120" i="31"/>
  <c r="FI120" i="31" s="1"/>
  <c r="JR120" i="31"/>
  <c r="JS120" i="31" s="1"/>
  <c r="DQ120" i="31"/>
  <c r="DR120" i="31" s="1"/>
  <c r="FZ120" i="31"/>
  <c r="GA120" i="31" s="1"/>
  <c r="GB120" i="31"/>
  <c r="GC120" i="31" s="1"/>
  <c r="FP120" i="31"/>
  <c r="FS120" i="31" s="1"/>
  <c r="FX120" i="31"/>
  <c r="FY120" i="31" s="1"/>
  <c r="KX120" i="31"/>
  <c r="KU120" i="31"/>
  <c r="MO121" i="31"/>
  <c r="MT121" i="31"/>
  <c r="MU121" i="31"/>
  <c r="NJ121" i="31"/>
  <c r="NP121" i="31"/>
  <c r="NH122" i="31"/>
  <c r="NI122" i="31" s="1"/>
  <c r="NQ121" i="31"/>
  <c r="NR121" i="31" s="1"/>
  <c r="PE121" i="31"/>
  <c r="NB121" i="31"/>
  <c r="NA121" i="31"/>
  <c r="GN120" i="31" l="1"/>
  <c r="DS120" i="31"/>
  <c r="AX120" i="31" s="1"/>
  <c r="AY121" i="31" s="1"/>
  <c r="KC120" i="31"/>
  <c r="KE120" i="31"/>
  <c r="JU120" i="31"/>
  <c r="JT121" i="31"/>
  <c r="HU120" i="31"/>
  <c r="HV121" i="31" s="1"/>
  <c r="FJ121" i="31"/>
  <c r="GQ120" i="31"/>
  <c r="KV120" i="31"/>
  <c r="HP120" i="31"/>
  <c r="IA120" i="31"/>
  <c r="IB120" i="31" s="1"/>
  <c r="IZ120" i="31"/>
  <c r="HY120" i="31"/>
  <c r="DY120" i="31"/>
  <c r="HA120" i="31"/>
  <c r="HW120" i="31"/>
  <c r="HX121" i="31" s="1"/>
  <c r="FG121" i="31"/>
  <c r="NL121" i="31"/>
  <c r="NK121" i="31"/>
  <c r="NG122" i="31"/>
  <c r="OQ122" i="31"/>
  <c r="CS120" i="31"/>
  <c r="CR120" i="31"/>
  <c r="CT120" i="31"/>
  <c r="KW121" i="31" l="1"/>
  <c r="HQ120" i="31"/>
  <c r="HR121" i="31" s="1"/>
  <c r="NC122" i="31"/>
  <c r="MQ122" i="31"/>
  <c r="HS120" i="31"/>
  <c r="JG120" i="31" s="1"/>
  <c r="HT120" i="31"/>
  <c r="EM120" i="31"/>
  <c r="EW120" i="31" s="1"/>
  <c r="AZ120" i="31"/>
  <c r="EN120" i="31"/>
  <c r="OR122" i="31"/>
  <c r="BB121" i="31" l="1"/>
  <c r="EQ120" i="31"/>
  <c r="DW120" i="31"/>
  <c r="DU121" i="31" s="1"/>
  <c r="ER121" i="31"/>
  <c r="IU120" i="31"/>
  <c r="IV120" i="31" s="1"/>
  <c r="IC120" i="31"/>
  <c r="ID120" i="31" s="1"/>
  <c r="IF120" i="31" s="1"/>
  <c r="KH120" i="31" s="1"/>
  <c r="JB120" i="31"/>
  <c r="IW120" i="31" l="1"/>
  <c r="KB120" i="31" s="1"/>
  <c r="IX120" i="31"/>
  <c r="KK120" i="31"/>
  <c r="EU121" i="31"/>
  <c r="DB120" i="31"/>
  <c r="DC120" i="31" s="1"/>
  <c r="DD121" i="31" s="1"/>
  <c r="DE122" i="31" s="1"/>
  <c r="GM120" i="31"/>
  <c r="IM120" i="31"/>
  <c r="DT120" i="31" s="1"/>
  <c r="DZ120" i="31" s="1"/>
  <c r="KI121" i="31"/>
  <c r="IN120" i="31"/>
  <c r="DF120" i="31"/>
  <c r="BC121" i="31"/>
  <c r="GT122" i="31" l="1"/>
  <c r="GR120" i="31"/>
  <c r="GV120" i="31"/>
  <c r="FD120" i="31"/>
  <c r="GU120" i="31"/>
  <c r="KJ121" i="31"/>
  <c r="BE121" i="31"/>
  <c r="BD121" i="31"/>
  <c r="IS120" i="31" l="1"/>
  <c r="FL121" i="31"/>
  <c r="BG121" i="31"/>
  <c r="BF121" i="31"/>
  <c r="GS120" i="31"/>
  <c r="GW120" i="31" l="1"/>
  <c r="HC120" i="31" s="1"/>
  <c r="FA121" i="31" s="1"/>
  <c r="HB121" i="31" s="1"/>
  <c r="GY120" i="31"/>
  <c r="GX120" i="31"/>
  <c r="FM121" i="31"/>
  <c r="BI121" i="31"/>
  <c r="BK121" i="31" s="1"/>
  <c r="BH121" i="31"/>
  <c r="JH120" i="31"/>
  <c r="JI120" i="31" s="1"/>
  <c r="IT120" i="31"/>
  <c r="BL121" i="31" l="1"/>
  <c r="BM121" i="31"/>
  <c r="JK120" i="31"/>
  <c r="JZ120" i="31" s="1"/>
  <c r="KF120" i="31" s="1"/>
  <c r="IQ121" i="31" s="1"/>
  <c r="HM120" i="31"/>
  <c r="EY120" i="31"/>
  <c r="EG120" i="31"/>
  <c r="EH121" i="31" s="1"/>
  <c r="EI121" i="31" s="1"/>
  <c r="FK121" i="31" s="1"/>
  <c r="HK121" i="31"/>
  <c r="BJ121" i="31"/>
  <c r="JN120" i="31" l="1"/>
  <c r="JV120" i="31" s="1"/>
  <c r="JF121" i="31" s="1"/>
  <c r="JY121" i="31" s="1"/>
  <c r="JM120" i="31"/>
  <c r="KD120" i="31" s="1"/>
  <c r="IL121" i="31" s="1"/>
  <c r="JL120" i="31"/>
  <c r="JJ121" i="31" s="1"/>
  <c r="KA121" i="31"/>
  <c r="BN121" i="31"/>
  <c r="BO121" i="31"/>
  <c r="BP121" i="31" s="1"/>
  <c r="ED120" i="31"/>
  <c r="EB121" i="31" s="1"/>
  <c r="IY121" i="31" s="1"/>
  <c r="EJ120" i="31"/>
  <c r="EK121" i="31" s="1"/>
  <c r="EE120" i="31"/>
  <c r="EF121" i="31" s="1"/>
  <c r="EZ120" i="31"/>
  <c r="DG120" i="31"/>
  <c r="DH120" i="31" s="1"/>
  <c r="DI121" i="31" s="1"/>
  <c r="JW121" i="31" l="1"/>
  <c r="DP121" i="31"/>
  <c r="IP121" i="31"/>
  <c r="IO121" i="31"/>
  <c r="DJ121" i="31"/>
  <c r="DK121" i="31" s="1"/>
  <c r="GZ121" i="31"/>
  <c r="IE121" i="31" s="1"/>
  <c r="JC121" i="31"/>
  <c r="JD121" i="31"/>
  <c r="JO121" i="31"/>
  <c r="EL121" i="31"/>
  <c r="FC121" i="31"/>
  <c r="EO121" i="31"/>
  <c r="ES122" i="31" s="1"/>
  <c r="EP121" i="31"/>
  <c r="ET122" i="31" s="1"/>
  <c r="EV121" i="31"/>
  <c r="IR121" i="31"/>
  <c r="JP121" i="31"/>
  <c r="JQ121" i="31" s="1"/>
  <c r="HZ121" i="31"/>
  <c r="JA121" i="31"/>
  <c r="BQ121" i="31"/>
  <c r="JE121" i="31"/>
  <c r="JX121" i="31" l="1"/>
  <c r="KG121" i="31"/>
  <c r="EC121" i="31"/>
  <c r="DX121" i="31"/>
  <c r="FQ121" i="31"/>
  <c r="DM121" i="31"/>
  <c r="BR121" i="31"/>
  <c r="BS121" i="31"/>
  <c r="DL121" i="31" l="1"/>
  <c r="L122" i="31"/>
  <c r="FB121" i="31"/>
  <c r="EX121" i="31"/>
  <c r="M121" i="31" s="1"/>
  <c r="BT121" i="31"/>
  <c r="BU121" i="31"/>
  <c r="BV121" i="31" s="1"/>
  <c r="BW121" i="31" s="1"/>
  <c r="BY121" i="31" l="1"/>
  <c r="BX121" i="31"/>
  <c r="MJ121" i="31"/>
  <c r="NS121" i="31" s="1"/>
  <c r="MB121" i="31"/>
  <c r="NM121" i="31" s="1"/>
  <c r="NN121" i="31" s="1"/>
  <c r="OV122" i="31" l="1"/>
  <c r="NW121" i="31"/>
  <c r="NT121" i="31"/>
  <c r="OU122" i="31"/>
  <c r="BZ121" i="31"/>
  <c r="CA121" i="31"/>
  <c r="CB121" i="31" l="1"/>
  <c r="CC121" i="31" s="1"/>
  <c r="NX121" i="31"/>
  <c r="FR121" i="31"/>
  <c r="FV121" i="31"/>
  <c r="CX121" i="31"/>
  <c r="NU121" i="31"/>
  <c r="CD121" i="31" l="1"/>
  <c r="CE121" i="31"/>
  <c r="CF121" i="31" s="1"/>
  <c r="NY121" i="31"/>
  <c r="OF121" i="31"/>
  <c r="OS122" i="31" s="1"/>
  <c r="NV121" i="31"/>
  <c r="NZ121" i="31"/>
  <c r="MY121" i="31"/>
  <c r="CY122" i="31"/>
  <c r="CG121" i="31" l="1"/>
  <c r="OM122" i="31"/>
  <c r="NF122" i="31"/>
  <c r="OO122" i="31"/>
  <c r="MZ122" i="31"/>
  <c r="OZ121" i="31"/>
  <c r="OA121" i="31"/>
  <c r="MV122" i="31" s="1"/>
  <c r="OG122" i="31" s="1"/>
  <c r="OB121" i="31"/>
  <c r="OT122" i="31" s="1"/>
  <c r="CH121" i="31"/>
  <c r="OI121" i="31"/>
  <c r="CI121" i="31" l="1"/>
  <c r="CJ121" i="31" s="1"/>
  <c r="CO121" i="31" s="1"/>
  <c r="CK121" i="31"/>
  <c r="CL121" i="31" s="1"/>
  <c r="KT122" i="31"/>
  <c r="KL122" i="31" s="1"/>
  <c r="KN123" i="31" s="1"/>
  <c r="OJ121" i="31"/>
  <c r="PA121" i="31"/>
  <c r="OC121" i="31"/>
  <c r="OD122" i="31" s="1"/>
  <c r="OH122" i="31" s="1"/>
  <c r="OK122" i="31" s="1"/>
  <c r="OW121" i="31"/>
  <c r="OX122" i="31"/>
  <c r="MR122" i="31"/>
  <c r="CM121" i="31" l="1"/>
  <c r="CN121" i="31" s="1"/>
  <c r="CP121" i="31" s="1"/>
  <c r="FE121" i="31" s="1"/>
  <c r="FF121" i="31" s="1"/>
  <c r="KM122" i="31"/>
  <c r="KO123" i="31" s="1"/>
  <c r="KR122" i="31" s="1"/>
  <c r="KQ122" i="31"/>
  <c r="MS122" i="31"/>
  <c r="MW122" i="31"/>
  <c r="OY122" i="31"/>
  <c r="FH121" i="31" l="1"/>
  <c r="FI121" i="31" s="1"/>
  <c r="FJ122" i="31" s="1"/>
  <c r="CQ121" i="31"/>
  <c r="CR121" i="31" s="1"/>
  <c r="KP123" i="31"/>
  <c r="FP121" i="31"/>
  <c r="FS121" i="31" s="1"/>
  <c r="DY121" i="31" s="1"/>
  <c r="GO121" i="31"/>
  <c r="KX121" i="31"/>
  <c r="DQ121" i="31"/>
  <c r="DR121" i="31" s="1"/>
  <c r="DS121" i="31" s="1"/>
  <c r="AX121" i="31" s="1"/>
  <c r="AY122" i="31" s="1"/>
  <c r="FZ121" i="31"/>
  <c r="GA121" i="31" s="1"/>
  <c r="GB121" i="31"/>
  <c r="GC121" i="31" s="1"/>
  <c r="FX121" i="31"/>
  <c r="FY121" i="31" s="1"/>
  <c r="HO121" i="31"/>
  <c r="HP121" i="31" s="1"/>
  <c r="JR121" i="31"/>
  <c r="JS121" i="31" s="1"/>
  <c r="JT122" i="31" s="1"/>
  <c r="FU121" i="31"/>
  <c r="FW121" i="31" s="1"/>
  <c r="KU121" i="31"/>
  <c r="KS122" i="31"/>
  <c r="CT121" i="31"/>
  <c r="MU122" i="31"/>
  <c r="NQ122" i="31"/>
  <c r="NH123" i="31"/>
  <c r="NI123" i="31" s="1"/>
  <c r="MO122" i="31"/>
  <c r="NP122" i="31"/>
  <c r="MT122" i="31"/>
  <c r="NJ122" i="31"/>
  <c r="PE122" i="31"/>
  <c r="MX122" i="31"/>
  <c r="HW121" i="31"/>
  <c r="HX122" i="31" s="1"/>
  <c r="FG122" i="31"/>
  <c r="GN121" i="31" l="1"/>
  <c r="GQ121" i="31" s="1"/>
  <c r="HU121" i="31"/>
  <c r="HV122" i="31" s="1"/>
  <c r="CS121" i="31"/>
  <c r="HY121" i="31"/>
  <c r="HA121" i="31"/>
  <c r="KV121" i="31"/>
  <c r="KC121" i="31"/>
  <c r="JU121" i="31"/>
  <c r="IZ121" i="31"/>
  <c r="IA121" i="31"/>
  <c r="IB121" i="31" s="1"/>
  <c r="KE121" i="31"/>
  <c r="NR122" i="31"/>
  <c r="NB122" i="31"/>
  <c r="NA122" i="31"/>
  <c r="EM121" i="31"/>
  <c r="EW121" i="31" s="1"/>
  <c r="EN121" i="31"/>
  <c r="AZ121" i="31"/>
  <c r="NK122" i="31"/>
  <c r="NL122" i="31"/>
  <c r="NG123" i="31"/>
  <c r="OQ123" i="31"/>
  <c r="HS121" i="31"/>
  <c r="JG121" i="31" s="1"/>
  <c r="HT121" i="31"/>
  <c r="KW122" i="31" l="1"/>
  <c r="HQ121" i="31"/>
  <c r="HR122" i="31" s="1"/>
  <c r="BB122" i="31"/>
  <c r="DW121" i="31"/>
  <c r="DU122" i="31" s="1"/>
  <c r="EQ121" i="31"/>
  <c r="ER122" i="31"/>
  <c r="IU121" i="31"/>
  <c r="IV121" i="31" s="1"/>
  <c r="OR123" i="31"/>
  <c r="NC123" i="31"/>
  <c r="MQ123" i="31"/>
  <c r="IC121" i="31"/>
  <c r="ID121" i="31" s="1"/>
  <c r="IF121" i="31" s="1"/>
  <c r="KH121" i="31" s="1"/>
  <c r="JB121" i="31"/>
  <c r="IW121" i="31" l="1"/>
  <c r="KB121" i="31" s="1"/>
  <c r="EU122" i="31"/>
  <c r="IX121" i="31"/>
  <c r="KK121" i="31"/>
  <c r="GM121" i="31"/>
  <c r="IM121" i="31"/>
  <c r="DT121" i="31" s="1"/>
  <c r="DZ121" i="31" s="1"/>
  <c r="DB121" i="31"/>
  <c r="DC121" i="31" s="1"/>
  <c r="DD122" i="31" s="1"/>
  <c r="DE123" i="31" s="1"/>
  <c r="KI122" i="31"/>
  <c r="IN121" i="31"/>
  <c r="DF121" i="31"/>
  <c r="BC122" i="31"/>
  <c r="GT123" i="31" l="1"/>
  <c r="KJ122" i="31"/>
  <c r="BE122" i="31"/>
  <c r="BD122" i="31"/>
  <c r="GR121" i="31"/>
  <c r="FD121" i="31"/>
  <c r="GV121" i="31"/>
  <c r="GU121" i="31"/>
  <c r="GS121" i="31" l="1"/>
  <c r="BF122" i="31"/>
  <c r="BG122" i="31"/>
  <c r="IS121" i="31"/>
  <c r="FL122" i="31"/>
  <c r="BI122" i="31" l="1"/>
  <c r="BK122" i="31" s="1"/>
  <c r="BH122" i="31"/>
  <c r="FM122" i="31"/>
  <c r="GX121" i="31"/>
  <c r="GW121" i="31"/>
  <c r="HC121" i="31" s="1"/>
  <c r="FA122" i="31" s="1"/>
  <c r="HB122" i="31" s="1"/>
  <c r="GY121" i="31"/>
  <c r="JH121" i="31"/>
  <c r="JI121" i="31" s="1"/>
  <c r="IT121" i="31"/>
  <c r="BJ122" i="31" l="1"/>
  <c r="JK121" i="31"/>
  <c r="JN121" i="31" s="1"/>
  <c r="JV121" i="31" s="1"/>
  <c r="JF122" i="31" s="1"/>
  <c r="EY121" i="31"/>
  <c r="EG121" i="31"/>
  <c r="EH122" i="31" s="1"/>
  <c r="EI122" i="31" s="1"/>
  <c r="FK122" i="31" s="1"/>
  <c r="HM121" i="31"/>
  <c r="HK122" i="31"/>
  <c r="BL122" i="31"/>
  <c r="BM122" i="31"/>
  <c r="JM121" i="31" l="1"/>
  <c r="KD121" i="31" s="1"/>
  <c r="IL122" i="31" s="1"/>
  <c r="EE121" i="31"/>
  <c r="EF122" i="31" s="1"/>
  <c r="ED121" i="31"/>
  <c r="EB122" i="31" s="1"/>
  <c r="EJ121" i="31"/>
  <c r="EK122" i="31" s="1"/>
  <c r="BO122" i="31"/>
  <c r="BN122" i="31"/>
  <c r="JZ121" i="31"/>
  <c r="KF121" i="31" s="1"/>
  <c r="IQ122" i="31" s="1"/>
  <c r="JL121" i="31"/>
  <c r="JJ122" i="31" s="1"/>
  <c r="KA122" i="31"/>
  <c r="EZ121" i="31"/>
  <c r="DG121" i="31"/>
  <c r="DH121" i="31" s="1"/>
  <c r="DI122" i="31" s="1"/>
  <c r="JY122" i="31"/>
  <c r="JW122" i="31"/>
  <c r="IP122" i="31" l="1"/>
  <c r="IO122" i="31"/>
  <c r="JA122" i="31"/>
  <c r="IY122" i="31"/>
  <c r="JE122" i="31"/>
  <c r="JO122" i="31"/>
  <c r="IR122" i="31"/>
  <c r="JC122" i="31"/>
  <c r="JD122" i="31"/>
  <c r="HZ122" i="31"/>
  <c r="DP122" i="31"/>
  <c r="BP122" i="31"/>
  <c r="BQ122" i="31" s="1"/>
  <c r="FC122" i="31"/>
  <c r="EO122" i="31"/>
  <c r="ES123" i="31" s="1"/>
  <c r="EL122" i="31"/>
  <c r="EP122" i="31"/>
  <c r="ET123" i="31" s="1"/>
  <c r="EV122" i="31"/>
  <c r="GZ122" i="31"/>
  <c r="IE122" i="31" s="1"/>
  <c r="DJ122" i="31"/>
  <c r="DK122" i="31" s="1"/>
  <c r="JP122" i="31" l="1"/>
  <c r="JQ122" i="31" s="1"/>
  <c r="KG122" i="31"/>
  <c r="BR122" i="31"/>
  <c r="BS122" i="31"/>
  <c r="DM122" i="31"/>
  <c r="DX122" i="31"/>
  <c r="FQ122" i="31"/>
  <c r="EC122" i="31"/>
  <c r="JX122" i="31"/>
  <c r="DL122" i="31" l="1"/>
  <c r="L123" i="31"/>
  <c r="BT122" i="31"/>
  <c r="BU122" i="31"/>
  <c r="EX122" i="31"/>
  <c r="M122" i="31" s="1"/>
  <c r="FB122" i="31"/>
  <c r="MB122" i="31" l="1"/>
  <c r="MJ122" i="31"/>
  <c r="NS122" i="31" s="1"/>
  <c r="BV122" i="31"/>
  <c r="BW122" i="31" s="1"/>
  <c r="NM122" i="31" l="1"/>
  <c r="NN122" i="31" s="1"/>
  <c r="NT122" i="31"/>
  <c r="OU123" i="31"/>
  <c r="BX122" i="31"/>
  <c r="BY122" i="31"/>
  <c r="OV123" i="31" l="1"/>
  <c r="NW122" i="31"/>
  <c r="NX122" i="31" s="1"/>
  <c r="OF122" i="31" s="1"/>
  <c r="OS123" i="31" s="1"/>
  <c r="BZ122" i="31"/>
  <c r="CA122" i="31"/>
  <c r="FR122" i="31"/>
  <c r="CX122" i="31"/>
  <c r="FV122" i="31"/>
  <c r="NU122" i="31"/>
  <c r="NY122" i="31" l="1"/>
  <c r="OB122" i="31" s="1"/>
  <c r="OT123" i="31" s="1"/>
  <c r="CB122" i="31"/>
  <c r="CC122" i="31" s="1"/>
  <c r="MY122" i="31"/>
  <c r="NZ122" i="31"/>
  <c r="CY123" i="31"/>
  <c r="NV122" i="31"/>
  <c r="OA122" i="31" l="1"/>
  <c r="MV123" i="31" s="1"/>
  <c r="OG123" i="31" s="1"/>
  <c r="OI122" i="31"/>
  <c r="OX123" i="31" s="1"/>
  <c r="CE122" i="31"/>
  <c r="CG122" i="31" s="1"/>
  <c r="CD122" i="31"/>
  <c r="PA122" i="31"/>
  <c r="OC122" i="31"/>
  <c r="OD123" i="31" s="1"/>
  <c r="OH123" i="31" s="1"/>
  <c r="OK123" i="31" s="1"/>
  <c r="OJ122" i="31"/>
  <c r="OW122" i="31"/>
  <c r="MZ123" i="31"/>
  <c r="OZ122" i="31"/>
  <c r="NF123" i="31"/>
  <c r="OM123" i="31"/>
  <c r="OO123" i="31"/>
  <c r="KT123" i="31" s="1"/>
  <c r="MR123" i="31" l="1"/>
  <c r="CF122" i="31"/>
  <c r="CH122" i="31"/>
  <c r="CI122" i="31" s="1"/>
  <c r="KM123" i="31"/>
  <c r="KO124" i="31" s="1"/>
  <c r="KL123" i="31"/>
  <c r="KN124" i="31" s="1"/>
  <c r="MW123" i="31"/>
  <c r="OY123" i="31"/>
  <c r="MS123" i="31"/>
  <c r="CK122" i="31" l="1"/>
  <c r="CL122" i="31" s="1"/>
  <c r="CJ122" i="31"/>
  <c r="CO122" i="31" s="1"/>
  <c r="MX123" i="31"/>
  <c r="KQ123" i="31"/>
  <c r="NP123" i="31"/>
  <c r="NH124" i="31"/>
  <c r="NI124" i="31" s="1"/>
  <c r="MT123" i="31"/>
  <c r="MO123" i="31"/>
  <c r="NQ123" i="31"/>
  <c r="MU123" i="31"/>
  <c r="NJ123" i="31"/>
  <c r="PE123" i="31"/>
  <c r="KP124" i="31"/>
  <c r="KR123" i="31"/>
  <c r="CM122" i="31" l="1"/>
  <c r="CN122" i="31" s="1"/>
  <c r="CP122" i="31" s="1"/>
  <c r="KS123" i="31"/>
  <c r="NR123" i="31"/>
  <c r="NL123" i="31"/>
  <c r="NK123" i="31"/>
  <c r="NG124" i="31"/>
  <c r="OQ124" i="31"/>
  <c r="NA123" i="31"/>
  <c r="NB123" i="31"/>
  <c r="OR124" i="31" l="1"/>
  <c r="CQ122" i="31"/>
  <c r="FP122" i="31"/>
  <c r="FS122" i="31" s="1"/>
  <c r="FZ122" i="31"/>
  <c r="GA122" i="31" s="1"/>
  <c r="GB122" i="31"/>
  <c r="GC122" i="31" s="1"/>
  <c r="FX122" i="31"/>
  <c r="FY122" i="31" s="1"/>
  <c r="HO122" i="31"/>
  <c r="DQ122" i="31"/>
  <c r="DR122" i="31" s="1"/>
  <c r="GO122" i="31"/>
  <c r="JR122" i="31"/>
  <c r="JS122" i="31" s="1"/>
  <c r="FU122" i="31"/>
  <c r="FW122" i="31" s="1"/>
  <c r="FH122" i="31"/>
  <c r="FI122" i="31" s="1"/>
  <c r="FE122" i="31"/>
  <c r="FF122" i="31" s="1"/>
  <c r="KX122" i="31"/>
  <c r="KU122" i="31"/>
  <c r="NC124" i="31"/>
  <c r="MQ124" i="31"/>
  <c r="GN122" i="31" l="1"/>
  <c r="GQ122" i="31" s="1"/>
  <c r="DY122" i="31"/>
  <c r="HY122" i="31"/>
  <c r="HA122" i="31"/>
  <c r="CS122" i="31"/>
  <c r="CT122" i="31"/>
  <c r="CR122" i="31"/>
  <c r="FG123" i="31"/>
  <c r="HW122" i="31"/>
  <c r="HX123" i="31" s="1"/>
  <c r="JU122" i="31"/>
  <c r="KE122" i="31"/>
  <c r="KC122" i="31"/>
  <c r="JT123" i="31"/>
  <c r="HU122" i="31"/>
  <c r="HV123" i="31" s="1"/>
  <c r="FJ123" i="31"/>
  <c r="DS122" i="31"/>
  <c r="AX122" i="31" s="1"/>
  <c r="AY123" i="31" s="1"/>
  <c r="HP122" i="31"/>
  <c r="IA122" i="31"/>
  <c r="IB122" i="31" s="1"/>
  <c r="IZ122" i="31"/>
  <c r="KV122" i="31" l="1"/>
  <c r="KW123" i="31" s="1"/>
  <c r="HQ122" i="31"/>
  <c r="HR123" i="31" s="1"/>
  <c r="HT122" i="31"/>
  <c r="HS122" i="31"/>
  <c r="JG122" i="31" s="1"/>
  <c r="EN122" i="31"/>
  <c r="EM122" i="31"/>
  <c r="EW122" i="31" s="1"/>
  <c r="AZ122" i="31"/>
  <c r="IC122" i="31" l="1"/>
  <c r="ID122" i="31" s="1"/>
  <c r="IF122" i="31" s="1"/>
  <c r="KH122" i="31" s="1"/>
  <c r="JB122" i="31"/>
  <c r="BB123" i="31"/>
  <c r="EQ122" i="31"/>
  <c r="DW122" i="31"/>
  <c r="DU123" i="31" s="1"/>
  <c r="IW122" i="31"/>
  <c r="ER123" i="31"/>
  <c r="IU122" i="31"/>
  <c r="IV122" i="31" s="1"/>
  <c r="BC123" i="31" l="1"/>
  <c r="IM122" i="31"/>
  <c r="DB122" i="31"/>
  <c r="DC122" i="31" s="1"/>
  <c r="DD123" i="31" s="1"/>
  <c r="DE124" i="31" s="1"/>
  <c r="GM122" i="31"/>
  <c r="KI123" i="31"/>
  <c r="IN122" i="31"/>
  <c r="DF122" i="31"/>
  <c r="EU123" i="31"/>
  <c r="KK122" i="31"/>
  <c r="KB122" i="31"/>
  <c r="IX122" i="31"/>
  <c r="DT122" i="31" l="1"/>
  <c r="DZ122" i="31" s="1"/>
  <c r="GT124" i="31"/>
  <c r="GR122" i="31"/>
  <c r="KJ123" i="31"/>
  <c r="FD122" i="31"/>
  <c r="GU122" i="31"/>
  <c r="GV122" i="31"/>
  <c r="BE123" i="31"/>
  <c r="BD123" i="31"/>
  <c r="IS122" i="31" l="1"/>
  <c r="FL123" i="31"/>
  <c r="GS122" i="31"/>
  <c r="BF123" i="31"/>
  <c r="BG123" i="31"/>
  <c r="FM123" i="31" l="1"/>
  <c r="BI123" i="31"/>
  <c r="BK123" i="31" s="1"/>
  <c r="BH123" i="31"/>
  <c r="GW122" i="31"/>
  <c r="HC122" i="31" s="1"/>
  <c r="FA123" i="31" s="1"/>
  <c r="HB123" i="31" s="1"/>
  <c r="GX122" i="31"/>
  <c r="GY122" i="31"/>
  <c r="JH122" i="31"/>
  <c r="JI122" i="31" s="1"/>
  <c r="IT122" i="31"/>
  <c r="JK122" i="31" l="1"/>
  <c r="JZ122" i="31" s="1"/>
  <c r="KF122" i="31" s="1"/>
  <c r="IQ123" i="31" s="1"/>
  <c r="EG122" i="31"/>
  <c r="EH123" i="31" s="1"/>
  <c r="EI123" i="31" s="1"/>
  <c r="FK123" i="31" s="1"/>
  <c r="EY122" i="31"/>
  <c r="HM122" i="31"/>
  <c r="HK123" i="31"/>
  <c r="BL123" i="31"/>
  <c r="BM123" i="31"/>
  <c r="BJ123" i="31"/>
  <c r="JN122" i="31" l="1"/>
  <c r="JV122" i="31" s="1"/>
  <c r="JF123" i="31" s="1"/>
  <c r="JY123" i="31" s="1"/>
  <c r="EE122" i="31"/>
  <c r="EF123" i="31" s="1"/>
  <c r="EJ122" i="31"/>
  <c r="EK123" i="31" s="1"/>
  <c r="ED122" i="31"/>
  <c r="EB123" i="31" s="1"/>
  <c r="EZ122" i="31"/>
  <c r="DG122" i="31"/>
  <c r="DH122" i="31" s="1"/>
  <c r="DI123" i="31" s="1"/>
  <c r="BN123" i="31"/>
  <c r="BO123" i="31"/>
  <c r="JM122" i="31"/>
  <c r="KD122" i="31" s="1"/>
  <c r="IL123" i="31" s="1"/>
  <c r="JL122" i="31"/>
  <c r="JJ123" i="31" s="1"/>
  <c r="KA123" i="31"/>
  <c r="JO123" i="31" l="1"/>
  <c r="JW123" i="31"/>
  <c r="EO123" i="31"/>
  <c r="ES124" i="31" s="1"/>
  <c r="EP123" i="31"/>
  <c r="ET124" i="31" s="1"/>
  <c r="FC123" i="31"/>
  <c r="EL123" i="31"/>
  <c r="EV123" i="31"/>
  <c r="JA123" i="31"/>
  <c r="JC123" i="31"/>
  <c r="JD123" i="31"/>
  <c r="IO123" i="31"/>
  <c r="IP123" i="31"/>
  <c r="JE123" i="31"/>
  <c r="HZ123" i="31"/>
  <c r="DP123" i="31"/>
  <c r="IR123" i="31"/>
  <c r="GZ123" i="31"/>
  <c r="IE123" i="31" s="1"/>
  <c r="DJ123" i="31"/>
  <c r="DK123" i="31" s="1"/>
  <c r="BP123" i="31"/>
  <c r="BQ123" i="31" s="1"/>
  <c r="IY123" i="31"/>
  <c r="JP123" i="31" l="1"/>
  <c r="JQ123" i="31" s="1"/>
  <c r="KG123" i="31"/>
  <c r="EC123" i="31"/>
  <c r="DX123" i="31"/>
  <c r="DM123" i="31"/>
  <c r="FQ123" i="31"/>
  <c r="BR123" i="31"/>
  <c r="BS123" i="31"/>
  <c r="JX123" i="31"/>
  <c r="DL123" i="31" l="1"/>
  <c r="L124" i="31"/>
  <c r="BT123" i="31"/>
  <c r="BU123" i="31"/>
  <c r="FB123" i="31"/>
  <c r="EX123" i="31"/>
  <c r="M123" i="31" s="1"/>
  <c r="MJ123" i="31" l="1"/>
  <c r="NS123" i="31" s="1"/>
  <c r="MB123" i="31"/>
  <c r="BV123" i="31"/>
  <c r="BW123" i="31" s="1"/>
  <c r="NM123" i="31" l="1"/>
  <c r="NN123" i="31" s="1"/>
  <c r="BY123" i="31"/>
  <c r="BX123" i="31"/>
  <c r="NT123" i="31"/>
  <c r="OU124" i="31"/>
  <c r="OV124" i="31" l="1"/>
  <c r="NW123" i="31"/>
  <c r="NX123" i="31"/>
  <c r="OF123" i="31" s="1"/>
  <c r="OS124" i="31" s="1"/>
  <c r="CX123" i="31"/>
  <c r="FV123" i="31"/>
  <c r="FR123" i="31"/>
  <c r="NU123" i="31"/>
  <c r="BZ123" i="31"/>
  <c r="CA123" i="31"/>
  <c r="MY123" i="31" l="1"/>
  <c r="NZ123" i="31"/>
  <c r="CY124" i="31"/>
  <c r="CB123" i="31"/>
  <c r="CC123" i="31" s="1"/>
  <c r="NY123" i="31"/>
  <c r="NV123" i="31"/>
  <c r="OI123" i="31" l="1"/>
  <c r="MR124" i="31" s="1"/>
  <c r="CE123" i="31"/>
  <c r="CF123" i="31" s="1"/>
  <c r="CD123" i="31"/>
  <c r="OA123" i="31"/>
  <c r="MV124" i="31" s="1"/>
  <c r="OG124" i="31" s="1"/>
  <c r="OO124" i="31"/>
  <c r="NF124" i="31"/>
  <c r="OM124" i="31"/>
  <c r="MZ124" i="31"/>
  <c r="OZ123" i="31"/>
  <c r="OB123" i="31"/>
  <c r="OT124" i="31" s="1"/>
  <c r="OW123" i="31" l="1"/>
  <c r="OX124" i="31"/>
  <c r="CG123" i="31"/>
  <c r="CH123" i="31" s="1"/>
  <c r="CI123" i="31" s="1"/>
  <c r="KT124" i="31"/>
  <c r="KM124" i="31" s="1"/>
  <c r="KO125" i="31" s="1"/>
  <c r="PA123" i="31"/>
  <c r="OJ123" i="31"/>
  <c r="MW124" i="31" s="1"/>
  <c r="OC123" i="31"/>
  <c r="OD124" i="31" s="1"/>
  <c r="OH124" i="31" s="1"/>
  <c r="OK124" i="31" s="1"/>
  <c r="KL124" i="31"/>
  <c r="KN125" i="31" s="1"/>
  <c r="MS124" i="31"/>
  <c r="CJ123" i="31" l="1"/>
  <c r="CO123" i="31" s="1"/>
  <c r="CK123" i="31"/>
  <c r="CM123" i="31" s="1"/>
  <c r="CN123" i="31" s="1"/>
  <c r="OY124" i="31"/>
  <c r="MX124" i="31"/>
  <c r="MU124" i="31"/>
  <c r="NQ124" i="31"/>
  <c r="NH125" i="31"/>
  <c r="NI125" i="31" s="1"/>
  <c r="MO124" i="31"/>
  <c r="MT124" i="31"/>
  <c r="NJ124" i="31"/>
  <c r="NP124" i="31"/>
  <c r="PE124" i="31"/>
  <c r="KQ124" i="31"/>
  <c r="KP125" i="31"/>
  <c r="KR124" i="31"/>
  <c r="CL123" i="31"/>
  <c r="NR124" i="31" l="1"/>
  <c r="KS124" i="31"/>
  <c r="CP123" i="31"/>
  <c r="NK124" i="31"/>
  <c r="NL124" i="31"/>
  <c r="NG125" i="31"/>
  <c r="OQ125" i="31"/>
  <c r="NB124" i="31"/>
  <c r="NA124" i="31"/>
  <c r="OR125" i="31" l="1"/>
  <c r="NC125" i="31"/>
  <c r="MQ125" i="31"/>
  <c r="GB123" i="31"/>
  <c r="GC123" i="31" s="1"/>
  <c r="FP123" i="31"/>
  <c r="FS123" i="31" s="1"/>
  <c r="DQ123" i="31"/>
  <c r="DR123" i="31" s="1"/>
  <c r="FU123" i="31"/>
  <c r="FW123" i="31" s="1"/>
  <c r="FE123" i="31"/>
  <c r="FF123" i="31" s="1"/>
  <c r="GO123" i="31"/>
  <c r="FX123" i="31"/>
  <c r="FY123" i="31" s="1"/>
  <c r="JR123" i="31"/>
  <c r="JS123" i="31" s="1"/>
  <c r="HO123" i="31"/>
  <c r="FZ123" i="31"/>
  <c r="GA123" i="31" s="1"/>
  <c r="CQ123" i="31"/>
  <c r="FH123" i="31"/>
  <c r="FI123" i="31" s="1"/>
  <c r="KX123" i="31"/>
  <c r="GN123" i="31" s="1"/>
  <c r="KU123" i="31"/>
  <c r="DY123" i="31" l="1"/>
  <c r="HA123" i="31"/>
  <c r="HY123" i="31"/>
  <c r="HP123" i="31"/>
  <c r="IA123" i="31"/>
  <c r="IB123" i="31" s="1"/>
  <c r="IZ123" i="31"/>
  <c r="JU123" i="31"/>
  <c r="KC123" i="31"/>
  <c r="JT124" i="31"/>
  <c r="KE123" i="31"/>
  <c r="GQ123" i="31"/>
  <c r="KV123" i="31"/>
  <c r="HW123" i="31"/>
  <c r="HX124" i="31" s="1"/>
  <c r="FG124" i="31"/>
  <c r="HU123" i="31"/>
  <c r="HV124" i="31" s="1"/>
  <c r="FJ124" i="31"/>
  <c r="CS123" i="31"/>
  <c r="CR123" i="31"/>
  <c r="CT123" i="31"/>
  <c r="DS123" i="31"/>
  <c r="AX123" i="31" s="1"/>
  <c r="AY124" i="31" s="1"/>
  <c r="KW124" i="31" l="1"/>
  <c r="HQ123" i="31"/>
  <c r="HR124" i="31" s="1"/>
  <c r="EM123" i="31"/>
  <c r="EW123" i="31" s="1"/>
  <c r="AZ123" i="31"/>
  <c r="EN123" i="31"/>
  <c r="HS123" i="31"/>
  <c r="JG123" i="31" s="1"/>
  <c r="HT123" i="31"/>
  <c r="IC123" i="31" l="1"/>
  <c r="ID123" i="31" s="1"/>
  <c r="IF123" i="31" s="1"/>
  <c r="KH123" i="31" s="1"/>
  <c r="JB123" i="31"/>
  <c r="BB124" i="31"/>
  <c r="DW123" i="31"/>
  <c r="DU124" i="31" s="1"/>
  <c r="EQ123" i="31"/>
  <c r="ER124" i="31"/>
  <c r="IU123" i="31"/>
  <c r="IV123" i="31" s="1"/>
  <c r="IW123" i="31" l="1"/>
  <c r="KB123" i="31" s="1"/>
  <c r="BC124" i="31"/>
  <c r="KK123" i="31"/>
  <c r="IX123" i="31"/>
  <c r="EU124" i="31"/>
  <c r="DB123" i="31"/>
  <c r="DC123" i="31" s="1"/>
  <c r="DD124" i="31" s="1"/>
  <c r="DE125" i="31" s="1"/>
  <c r="IM123" i="31"/>
  <c r="GM123" i="31"/>
  <c r="KI124" i="31"/>
  <c r="IN123" i="31"/>
  <c r="DF123" i="31"/>
  <c r="DT123" i="31" l="1"/>
  <c r="DZ123" i="31" s="1"/>
  <c r="GT125" i="31"/>
  <c r="KJ124" i="31"/>
  <c r="GR123" i="31"/>
  <c r="GU123" i="31"/>
  <c r="GV123" i="31"/>
  <c r="FD123" i="31"/>
  <c r="BE124" i="31"/>
  <c r="BD124" i="31"/>
  <c r="GS123" i="31" l="1"/>
  <c r="BF124" i="31"/>
  <c r="BG124" i="31"/>
  <c r="IS123" i="31"/>
  <c r="FL124" i="31"/>
  <c r="FM124" i="31" l="1"/>
  <c r="BI124" i="31"/>
  <c r="BK124" i="31" s="1"/>
  <c r="BH124" i="31"/>
  <c r="JH123" i="31"/>
  <c r="JI123" i="31" s="1"/>
  <c r="IT123" i="31"/>
  <c r="GX123" i="31"/>
  <c r="GW123" i="31"/>
  <c r="HC123" i="31" s="1"/>
  <c r="FA124" i="31" s="1"/>
  <c r="HB124" i="31" s="1"/>
  <c r="GY123" i="31"/>
  <c r="BL124" i="31" l="1"/>
  <c r="BM124" i="31"/>
  <c r="BJ124" i="31"/>
  <c r="EG123" i="31"/>
  <c r="EH124" i="31" s="1"/>
  <c r="EI124" i="31" s="1"/>
  <c r="FK124" i="31" s="1"/>
  <c r="EY123" i="31"/>
  <c r="HM123" i="31"/>
  <c r="HK124" i="31"/>
  <c r="JK123" i="31"/>
  <c r="JZ123" i="31" s="1"/>
  <c r="KF123" i="31" s="1"/>
  <c r="IQ124" i="31" s="1"/>
  <c r="JM123" i="31" l="1"/>
  <c r="KD123" i="31" s="1"/>
  <c r="IL124" i="31" s="1"/>
  <c r="IR124" i="31" s="1"/>
  <c r="JN123" i="31"/>
  <c r="JV123" i="31" s="1"/>
  <c r="JF124" i="31" s="1"/>
  <c r="JY124" i="31" s="1"/>
  <c r="JL123" i="31"/>
  <c r="JJ124" i="31" s="1"/>
  <c r="KA124" i="31"/>
  <c r="EZ123" i="31"/>
  <c r="DG123" i="31"/>
  <c r="DH123" i="31" s="1"/>
  <c r="DI124" i="31" s="1"/>
  <c r="BO124" i="31"/>
  <c r="BN124" i="31"/>
  <c r="EJ123" i="31"/>
  <c r="EK124" i="31" s="1"/>
  <c r="ED123" i="31"/>
  <c r="EB124" i="31" s="1"/>
  <c r="JA124" i="31" s="1"/>
  <c r="EE123" i="31"/>
  <c r="EF124" i="31" s="1"/>
  <c r="IO124" i="31" l="1"/>
  <c r="JE124" i="31"/>
  <c r="JO124" i="31"/>
  <c r="JW124" i="31"/>
  <c r="JC124" i="31"/>
  <c r="JD124" i="31"/>
  <c r="EO124" i="31"/>
  <c r="ES125" i="31" s="1"/>
  <c r="EP124" i="31"/>
  <c r="ET125" i="31" s="1"/>
  <c r="FC124" i="31"/>
  <c r="EL124" i="31"/>
  <c r="EV124" i="31"/>
  <c r="DP124" i="31"/>
  <c r="HZ124" i="31"/>
  <c r="BP124" i="31"/>
  <c r="BQ124" i="31" s="1"/>
  <c r="DJ124" i="31"/>
  <c r="DK124" i="31" s="1"/>
  <c r="GZ124" i="31"/>
  <c r="IE124" i="31" s="1"/>
  <c r="IY124" i="31"/>
  <c r="JP124" i="31" s="1"/>
  <c r="JQ124" i="31" s="1"/>
  <c r="IP124" i="31"/>
  <c r="JX124" i="31" l="1"/>
  <c r="KG124" i="31"/>
  <c r="BR124" i="31"/>
  <c r="BS124" i="31"/>
  <c r="FQ124" i="31"/>
  <c r="DX124" i="31"/>
  <c r="DM124" i="31"/>
  <c r="EC124" i="31"/>
  <c r="DL124" i="31" l="1"/>
  <c r="L125" i="31"/>
  <c r="BT124" i="31"/>
  <c r="BU124" i="31"/>
  <c r="BV124" i="31" s="1"/>
  <c r="BW124" i="31" s="1"/>
  <c r="FB124" i="31"/>
  <c r="EX124" i="31"/>
  <c r="M124" i="31" s="1"/>
  <c r="BY124" i="31" l="1"/>
  <c r="BX124" i="31"/>
  <c r="MB124" i="31"/>
  <c r="MJ124" i="31"/>
  <c r="NS124" i="31" s="1"/>
  <c r="NM124" i="31" l="1"/>
  <c r="NN124" i="31" s="1"/>
  <c r="NT124" i="31"/>
  <c r="OU125" i="31"/>
  <c r="BZ124" i="31"/>
  <c r="CA124" i="31"/>
  <c r="OV125" i="31" l="1"/>
  <c r="NW124" i="31"/>
  <c r="FV124" i="31"/>
  <c r="CX124" i="31"/>
  <c r="FR124" i="31"/>
  <c r="NU124" i="31"/>
  <c r="CB124" i="31"/>
  <c r="CC124" i="31" s="1"/>
  <c r="NX124" i="31"/>
  <c r="CE124" i="31" l="1"/>
  <c r="CG124" i="31" s="1"/>
  <c r="CD124" i="31"/>
  <c r="NZ124" i="31"/>
  <c r="MY124" i="31"/>
  <c r="CY125" i="31"/>
  <c r="NY124" i="31"/>
  <c r="NV124" i="31"/>
  <c r="OF124" i="31"/>
  <c r="OS125" i="31" s="1"/>
  <c r="CF124" i="31" l="1"/>
  <c r="CH124" i="31"/>
  <c r="CI124" i="31" s="1"/>
  <c r="OB124" i="31"/>
  <c r="OT125" i="31" s="1"/>
  <c r="OA124" i="31"/>
  <c r="MV125" i="31" s="1"/>
  <c r="OI124" i="31"/>
  <c r="MZ125" i="31"/>
  <c r="OZ124" i="31"/>
  <c r="OM125" i="31"/>
  <c r="NF125" i="31"/>
  <c r="OO125" i="31"/>
  <c r="CJ124" i="31" l="1"/>
  <c r="CO124" i="31" s="1"/>
  <c r="CK124" i="31"/>
  <c r="CL124" i="31" s="1"/>
  <c r="OW124" i="31"/>
  <c r="OX125" i="31"/>
  <c r="MR125" i="31"/>
  <c r="OG125" i="31"/>
  <c r="KT125" i="31"/>
  <c r="PA124" i="31"/>
  <c r="OC124" i="31"/>
  <c r="OD125" i="31" s="1"/>
  <c r="OH125" i="31" s="1"/>
  <c r="OJ124" i="31"/>
  <c r="CM124" i="31" l="1"/>
  <c r="CN124" i="31" s="1"/>
  <c r="CP124" i="31" s="1"/>
  <c r="OK125" i="31"/>
  <c r="MS125" i="31"/>
  <c r="KM125" i="31"/>
  <c r="KO126" i="31" s="1"/>
  <c r="KL125" i="31"/>
  <c r="KN126" i="31" s="1"/>
  <c r="MW125" i="31"/>
  <c r="OY125" i="31"/>
  <c r="MX125" i="31" l="1"/>
  <c r="KP126" i="31"/>
  <c r="KR125" i="31"/>
  <c r="CQ124" i="31"/>
  <c r="GO124" i="31"/>
  <c r="FP124" i="31"/>
  <c r="FS124" i="31" s="1"/>
  <c r="JR124" i="31"/>
  <c r="JS124" i="31" s="1"/>
  <c r="FX124" i="31"/>
  <c r="FY124" i="31" s="1"/>
  <c r="FH124" i="31"/>
  <c r="FI124" i="31" s="1"/>
  <c r="FZ124" i="31"/>
  <c r="GA124" i="31" s="1"/>
  <c r="GB124" i="31"/>
  <c r="GC124" i="31" s="1"/>
  <c r="DQ124" i="31"/>
  <c r="DR124" i="31" s="1"/>
  <c r="FU124" i="31"/>
  <c r="FW124" i="31" s="1"/>
  <c r="HO124" i="31"/>
  <c r="FE124" i="31"/>
  <c r="FF124" i="31" s="1"/>
  <c r="KX124" i="31"/>
  <c r="GN124" i="31" s="1"/>
  <c r="KU124" i="31"/>
  <c r="KQ125" i="31"/>
  <c r="MO125" i="31"/>
  <c r="NH126" i="31"/>
  <c r="NI126" i="31" s="1"/>
  <c r="NJ125" i="31"/>
  <c r="NQ125" i="31"/>
  <c r="MT125" i="31"/>
  <c r="MU125" i="31"/>
  <c r="NP125" i="31"/>
  <c r="PE125" i="31"/>
  <c r="KS125" i="31" l="1"/>
  <c r="DS124" i="31"/>
  <c r="AX124" i="31" s="1"/>
  <c r="AY125" i="31" s="1"/>
  <c r="CS124" i="31"/>
  <c r="CT124" i="31"/>
  <c r="CR124" i="31"/>
  <c r="HU124" i="31"/>
  <c r="HV125" i="31" s="1"/>
  <c r="FJ125" i="31"/>
  <c r="GQ124" i="31"/>
  <c r="KV124" i="31"/>
  <c r="NR125" i="31"/>
  <c r="HW124" i="31"/>
  <c r="HX125" i="31" s="1"/>
  <c r="FG125" i="31"/>
  <c r="JU124" i="31"/>
  <c r="KE124" i="31"/>
  <c r="KC124" i="31"/>
  <c r="JT125" i="31"/>
  <c r="NK125" i="31"/>
  <c r="NL125" i="31"/>
  <c r="NG126" i="31"/>
  <c r="OQ126" i="31"/>
  <c r="HP124" i="31"/>
  <c r="IA124" i="31"/>
  <c r="IB124" i="31" s="1"/>
  <c r="IZ124" i="31"/>
  <c r="HY124" i="31"/>
  <c r="HA124" i="31"/>
  <c r="DY124" i="31"/>
  <c r="NA125" i="31"/>
  <c r="NB125" i="31"/>
  <c r="KW125" i="31" l="1"/>
  <c r="HQ124" i="31"/>
  <c r="HR125" i="31" s="1"/>
  <c r="OR126" i="31"/>
  <c r="HS124" i="31"/>
  <c r="JG124" i="31" s="1"/>
  <c r="HT124" i="31"/>
  <c r="NC126" i="31"/>
  <c r="MQ126" i="31"/>
  <c r="AZ124" i="31"/>
  <c r="EN124" i="31"/>
  <c r="EM124" i="31"/>
  <c r="EW124" i="31" s="1"/>
  <c r="BB125" i="31" l="1"/>
  <c r="EQ124" i="31"/>
  <c r="DW124" i="31"/>
  <c r="DU125" i="31" s="1"/>
  <c r="ER125" i="31"/>
  <c r="IU124" i="31"/>
  <c r="IV124" i="31" s="1"/>
  <c r="IC124" i="31"/>
  <c r="ID124" i="31" s="1"/>
  <c r="IF124" i="31" s="1"/>
  <c r="KH124" i="31" s="1"/>
  <c r="JB124" i="31"/>
  <c r="IW124" i="31" l="1"/>
  <c r="KB124" i="31" s="1"/>
  <c r="IX124" i="31"/>
  <c r="KK124" i="31"/>
  <c r="EU125" i="31"/>
  <c r="GM124" i="31"/>
  <c r="DB124" i="31"/>
  <c r="DC124" i="31" s="1"/>
  <c r="DD125" i="31" s="1"/>
  <c r="DE126" i="31" s="1"/>
  <c r="IM124" i="31"/>
  <c r="KI125" i="31"/>
  <c r="IN124" i="31"/>
  <c r="DF124" i="31"/>
  <c r="BC125" i="31"/>
  <c r="DT124" i="31" l="1"/>
  <c r="DZ124" i="31" s="1"/>
  <c r="GT126" i="31"/>
  <c r="KJ125" i="31"/>
  <c r="FD124" i="31"/>
  <c r="GV124" i="31"/>
  <c r="GU124" i="31"/>
  <c r="BD125" i="31"/>
  <c r="BE125" i="31"/>
  <c r="GR124" i="31"/>
  <c r="IS124" i="31" l="1"/>
  <c r="FL125" i="31"/>
  <c r="GS124" i="31"/>
  <c r="BF125" i="31"/>
  <c r="BG125" i="31"/>
  <c r="BH125" i="31" l="1"/>
  <c r="BI125" i="31"/>
  <c r="BK125" i="31" s="1"/>
  <c r="GY124" i="31"/>
  <c r="GX124" i="31"/>
  <c r="GW124" i="31"/>
  <c r="HC124" i="31" s="1"/>
  <c r="FA125" i="31" s="1"/>
  <c r="HB125" i="31" s="1"/>
  <c r="FM125" i="31"/>
  <c r="JH124" i="31"/>
  <c r="JI124" i="31" s="1"/>
  <c r="IT124" i="31"/>
  <c r="BJ125" i="31" l="1"/>
  <c r="JK124" i="31"/>
  <c r="JN124" i="31" s="1"/>
  <c r="JV124" i="31" s="1"/>
  <c r="JF125" i="31" s="1"/>
  <c r="BL125" i="31"/>
  <c r="BM125" i="31"/>
  <c r="EY124" i="31"/>
  <c r="EG124" i="31"/>
  <c r="EH125" i="31" s="1"/>
  <c r="EI125" i="31" s="1"/>
  <c r="FK125" i="31" s="1"/>
  <c r="HM124" i="31"/>
  <c r="HK125" i="31"/>
  <c r="JM124" i="31" l="1"/>
  <c r="KD124" i="31" s="1"/>
  <c r="IL125" i="31" s="1"/>
  <c r="BO125" i="31"/>
  <c r="BN125" i="31"/>
  <c r="JW125" i="31"/>
  <c r="JY125" i="31"/>
  <c r="JZ124" i="31"/>
  <c r="KF124" i="31" s="1"/>
  <c r="IQ125" i="31" s="1"/>
  <c r="JL124" i="31"/>
  <c r="JJ125" i="31" s="1"/>
  <c r="KA125" i="31"/>
  <c r="EZ124" i="31"/>
  <c r="DG124" i="31"/>
  <c r="DH124" i="31" s="1"/>
  <c r="DI125" i="31" s="1"/>
  <c r="EJ124" i="31"/>
  <c r="EK125" i="31" s="1"/>
  <c r="EE124" i="31"/>
  <c r="EF125" i="31" s="1"/>
  <c r="ED124" i="31"/>
  <c r="EB125" i="31" s="1"/>
  <c r="JA125" i="31" l="1"/>
  <c r="IY125" i="31"/>
  <c r="JE125" i="31"/>
  <c r="IR125" i="31"/>
  <c r="HZ125" i="31"/>
  <c r="EO125" i="31"/>
  <c r="ES126" i="31" s="1"/>
  <c r="EL125" i="31"/>
  <c r="EP125" i="31"/>
  <c r="ET126" i="31" s="1"/>
  <c r="FC125" i="31"/>
  <c r="EV125" i="31"/>
  <c r="DJ125" i="31"/>
  <c r="DK125" i="31" s="1"/>
  <c r="GZ125" i="31"/>
  <c r="IE125" i="31" s="1"/>
  <c r="BP125" i="31"/>
  <c r="BQ125" i="31" s="1"/>
  <c r="JC125" i="31"/>
  <c r="JD125" i="31"/>
  <c r="JO125" i="31"/>
  <c r="IP125" i="31"/>
  <c r="DP125" i="31"/>
  <c r="IO125" i="31"/>
  <c r="KG125" i="31" l="1"/>
  <c r="BR125" i="31"/>
  <c r="BS125" i="31"/>
  <c r="JX125" i="31"/>
  <c r="FQ125" i="31"/>
  <c r="DX125" i="31"/>
  <c r="DM125" i="31"/>
  <c r="EC125" i="31"/>
  <c r="JP125" i="31"/>
  <c r="JQ125" i="31" s="1"/>
  <c r="DL125" i="31" l="1"/>
  <c r="L126" i="31"/>
  <c r="EX125" i="31"/>
  <c r="M125" i="31" s="1"/>
  <c r="FB125" i="31"/>
  <c r="BT125" i="31"/>
  <c r="BU125" i="31"/>
  <c r="BV125" i="31" s="1"/>
  <c r="BW125" i="31" s="1"/>
  <c r="BX125" i="31" l="1"/>
  <c r="BY125" i="31"/>
  <c r="MB125" i="31"/>
  <c r="MJ125" i="31"/>
  <c r="NS125" i="31" s="1"/>
  <c r="NM125" i="31" l="1"/>
  <c r="NN125" i="31" s="1"/>
  <c r="NT125" i="31"/>
  <c r="OU126" i="31"/>
  <c r="BZ125" i="31"/>
  <c r="CA125" i="31"/>
  <c r="OV126" i="31" l="1"/>
  <c r="NW125" i="31"/>
  <c r="NX125" i="31" s="1"/>
  <c r="OF125" i="31" s="1"/>
  <c r="OS126" i="31" s="1"/>
  <c r="CX125" i="31"/>
  <c r="FV125" i="31"/>
  <c r="FR125" i="31"/>
  <c r="NU125" i="31"/>
  <c r="CB125" i="31"/>
  <c r="CC125" i="31" s="1"/>
  <c r="NY125" i="31" l="1"/>
  <c r="OB125" i="31" s="1"/>
  <c r="OT126" i="31" s="1"/>
  <c r="CD125" i="31"/>
  <c r="CE125" i="31"/>
  <c r="CF125" i="31" s="1"/>
  <c r="MY125" i="31"/>
  <c r="NZ125" i="31"/>
  <c r="CY126" i="31"/>
  <c r="NV125" i="31"/>
  <c r="OA125" i="31" l="1"/>
  <c r="MV126" i="31" s="1"/>
  <c r="OG126" i="31" s="1"/>
  <c r="CG125" i="31"/>
  <c r="CH125" i="31" s="1"/>
  <c r="CI125" i="31" s="1"/>
  <c r="OO126" i="31"/>
  <c r="NF126" i="31"/>
  <c r="OM126" i="31"/>
  <c r="PA125" i="31"/>
  <c r="MZ126" i="31"/>
  <c r="OZ125" i="31"/>
  <c r="OJ125" i="31"/>
  <c r="OC125" i="31"/>
  <c r="OD126" i="31" s="1"/>
  <c r="OH126" i="31" s="1"/>
  <c r="OI125" i="31"/>
  <c r="KT126" i="31" l="1"/>
  <c r="KM126" i="31" s="1"/>
  <c r="KO127" i="31" s="1"/>
  <c r="OK126" i="31"/>
  <c r="CJ125" i="31"/>
  <c r="CO125" i="31" s="1"/>
  <c r="CK125" i="31"/>
  <c r="CL125" i="31" s="1"/>
  <c r="OY126" i="31"/>
  <c r="MW126" i="31"/>
  <c r="OW125" i="31"/>
  <c r="OX126" i="31"/>
  <c r="MR126" i="31"/>
  <c r="KL126" i="31" l="1"/>
  <c r="KN127" i="31" s="1"/>
  <c r="KQ126" i="31" s="1"/>
  <c r="CM125" i="31"/>
  <c r="CN125" i="31" s="1"/>
  <c r="CP125" i="31" s="1"/>
  <c r="MX126" i="31"/>
  <c r="MS126" i="31"/>
  <c r="KR126" i="31"/>
  <c r="KP127" i="31" l="1"/>
  <c r="FU125" i="31"/>
  <c r="FW125" i="31" s="1"/>
  <c r="FZ125" i="31"/>
  <c r="GA125" i="31" s="1"/>
  <c r="FX125" i="31"/>
  <c r="FY125" i="31" s="1"/>
  <c r="DQ125" i="31"/>
  <c r="DR125" i="31" s="1"/>
  <c r="GO125" i="31"/>
  <c r="FE125" i="31"/>
  <c r="FF125" i="31" s="1"/>
  <c r="FP125" i="31"/>
  <c r="FS125" i="31" s="1"/>
  <c r="FH125" i="31"/>
  <c r="FI125" i="31" s="1"/>
  <c r="GB125" i="31"/>
  <c r="GC125" i="31" s="1"/>
  <c r="JR125" i="31"/>
  <c r="JS125" i="31" s="1"/>
  <c r="HO125" i="31"/>
  <c r="CQ125" i="31"/>
  <c r="KX125" i="31"/>
  <c r="KU125" i="31"/>
  <c r="NA126" i="31"/>
  <c r="NB126" i="31"/>
  <c r="MT126" i="31"/>
  <c r="NH127" i="31"/>
  <c r="NI127" i="31" s="1"/>
  <c r="NP126" i="31"/>
  <c r="NQ126" i="31"/>
  <c r="MO126" i="31"/>
  <c r="MU126" i="31"/>
  <c r="NJ126" i="31"/>
  <c r="PE126" i="31"/>
  <c r="KS126" i="31"/>
  <c r="GN125" i="31" l="1"/>
  <c r="GQ125" i="31" s="1"/>
  <c r="NR126" i="31"/>
  <c r="HU125" i="31"/>
  <c r="HV126" i="31" s="1"/>
  <c r="FJ126" i="31"/>
  <c r="HA125" i="31"/>
  <c r="HY125" i="31"/>
  <c r="DY125" i="31"/>
  <c r="HW125" i="31"/>
  <c r="HX126" i="31" s="1"/>
  <c r="FG126" i="31"/>
  <c r="CT125" i="31"/>
  <c r="CS125" i="31"/>
  <c r="CR125" i="31"/>
  <c r="DS125" i="31"/>
  <c r="AX125" i="31" s="1"/>
  <c r="AY126" i="31" s="1"/>
  <c r="IA125" i="31"/>
  <c r="IB125" i="31" s="1"/>
  <c r="HP125" i="31"/>
  <c r="IZ125" i="31"/>
  <c r="NL126" i="31"/>
  <c r="NK126" i="31"/>
  <c r="NG127" i="31"/>
  <c r="OQ127" i="31"/>
  <c r="JU125" i="31"/>
  <c r="KE125" i="31"/>
  <c r="JT126" i="31"/>
  <c r="KC125" i="31"/>
  <c r="KV125" i="31" l="1"/>
  <c r="KW126" i="31" s="1"/>
  <c r="HQ125" i="31"/>
  <c r="HR126" i="31" s="1"/>
  <c r="EM125" i="31"/>
  <c r="EW125" i="31" s="1"/>
  <c r="EN125" i="31"/>
  <c r="AZ125" i="31"/>
  <c r="HS125" i="31"/>
  <c r="JG125" i="31" s="1"/>
  <c r="HT125" i="31"/>
  <c r="NC127" i="31"/>
  <c r="MQ127" i="31"/>
  <c r="OR127" i="31"/>
  <c r="BB126" i="31" l="1"/>
  <c r="EQ125" i="31"/>
  <c r="DW125" i="31"/>
  <c r="DU126" i="31" s="1"/>
  <c r="ER126" i="31"/>
  <c r="IU125" i="31"/>
  <c r="IV125" i="31" s="1"/>
  <c r="IC125" i="31"/>
  <c r="ID125" i="31" s="1"/>
  <c r="IF125" i="31" s="1"/>
  <c r="KH125" i="31" s="1"/>
  <c r="JB125" i="31"/>
  <c r="IW125" i="31" l="1"/>
  <c r="KB125" i="31" s="1"/>
  <c r="EU126" i="31"/>
  <c r="IX125" i="31"/>
  <c r="KK125" i="31"/>
  <c r="BC126" i="31"/>
  <c r="GM125" i="31"/>
  <c r="DB125" i="31"/>
  <c r="DC125" i="31" s="1"/>
  <c r="DD126" i="31" s="1"/>
  <c r="DE127" i="31" s="1"/>
  <c r="IM125" i="31"/>
  <c r="KI126" i="31"/>
  <c r="IN125" i="31"/>
  <c r="DF125" i="31"/>
  <c r="DT125" i="31" l="1"/>
  <c r="DZ125" i="31" s="1"/>
  <c r="GT127" i="31"/>
  <c r="GR125" i="31"/>
  <c r="KJ126" i="31"/>
  <c r="FD125" i="31"/>
  <c r="GV125" i="31"/>
  <c r="GU125" i="31"/>
  <c r="BD126" i="31"/>
  <c r="BE126" i="31"/>
  <c r="IS125" i="31" l="1"/>
  <c r="FL126" i="31"/>
  <c r="BF126" i="31"/>
  <c r="BG126" i="31"/>
  <c r="GS125" i="31"/>
  <c r="GW125" i="31" l="1"/>
  <c r="HC125" i="31" s="1"/>
  <c r="FA126" i="31" s="1"/>
  <c r="HB126" i="31" s="1"/>
  <c r="GY125" i="31"/>
  <c r="GX125" i="31"/>
  <c r="BI126" i="31"/>
  <c r="BK126" i="31" s="1"/>
  <c r="BH126" i="31"/>
  <c r="FM126" i="31"/>
  <c r="JH125" i="31"/>
  <c r="JI125" i="31" s="1"/>
  <c r="IT125" i="31"/>
  <c r="BJ126" i="31" l="1"/>
  <c r="HM125" i="31"/>
  <c r="EG125" i="31"/>
  <c r="EH126" i="31" s="1"/>
  <c r="EI126" i="31" s="1"/>
  <c r="FK126" i="31" s="1"/>
  <c r="EY125" i="31"/>
  <c r="HK126" i="31"/>
  <c r="BL126" i="31"/>
  <c r="BM126" i="31"/>
  <c r="JK125" i="31"/>
  <c r="JZ125" i="31" s="1"/>
  <c r="KF125" i="31" s="1"/>
  <c r="IQ126" i="31" s="1"/>
  <c r="JN125" i="31" l="1"/>
  <c r="JV125" i="31" s="1"/>
  <c r="JF126" i="31" s="1"/>
  <c r="EE125" i="31"/>
  <c r="EF126" i="31" s="1"/>
  <c r="EJ125" i="31"/>
  <c r="EK126" i="31" s="1"/>
  <c r="ED125" i="31"/>
  <c r="EB126" i="31" s="1"/>
  <c r="IY126" i="31" s="1"/>
  <c r="EZ125" i="31"/>
  <c r="DG125" i="31"/>
  <c r="DH125" i="31" s="1"/>
  <c r="DI126" i="31" s="1"/>
  <c r="JM125" i="31"/>
  <c r="KD125" i="31" s="1"/>
  <c r="IL126" i="31" s="1"/>
  <c r="IR126" i="31" s="1"/>
  <c r="JL125" i="31"/>
  <c r="JJ126" i="31" s="1"/>
  <c r="KA126" i="31"/>
  <c r="BO126" i="31"/>
  <c r="BN126" i="31"/>
  <c r="JW126" i="31" l="1"/>
  <c r="JY126" i="31"/>
  <c r="JO126" i="31"/>
  <c r="HZ126" i="31"/>
  <c r="DP126" i="31"/>
  <c r="GZ126" i="31"/>
  <c r="KG126" i="31" s="1"/>
  <c r="DJ126" i="31"/>
  <c r="DK126" i="31" s="1"/>
  <c r="BP126" i="31"/>
  <c r="BQ126" i="31" s="1"/>
  <c r="JC126" i="31"/>
  <c r="JD126" i="31"/>
  <c r="IP126" i="31"/>
  <c r="IO126" i="31"/>
  <c r="JP126" i="31" s="1"/>
  <c r="JQ126" i="31" s="1"/>
  <c r="JE126" i="31"/>
  <c r="EP126" i="31"/>
  <c r="ET127" i="31" s="1"/>
  <c r="EL126" i="31"/>
  <c r="FC126" i="31"/>
  <c r="EO126" i="31"/>
  <c r="ES127" i="31" s="1"/>
  <c r="EV126" i="31"/>
  <c r="JA126" i="31"/>
  <c r="IE126" i="31" l="1"/>
  <c r="JX126" i="31"/>
  <c r="DX126" i="31"/>
  <c r="FQ126" i="31"/>
  <c r="DM126" i="31"/>
  <c r="BR126" i="31"/>
  <c r="BS126" i="31"/>
  <c r="EC126" i="31"/>
  <c r="DL126" i="31" l="1"/>
  <c r="L127" i="31"/>
  <c r="BT126" i="31"/>
  <c r="BU126" i="31"/>
  <c r="BV126" i="31" s="1"/>
  <c r="BW126" i="31" s="1"/>
  <c r="FB126" i="31"/>
  <c r="EX126" i="31"/>
  <c r="M126" i="31" s="1"/>
  <c r="BX126" i="31" l="1"/>
  <c r="BY126" i="31"/>
  <c r="MB126" i="31"/>
  <c r="NM126" i="31" s="1"/>
  <c r="NN126" i="31" s="1"/>
  <c r="MJ126" i="31"/>
  <c r="NS126" i="31" s="1"/>
  <c r="BZ126" i="31" l="1"/>
  <c r="CA126" i="31"/>
  <c r="NT126" i="31"/>
  <c r="OU127" i="31"/>
  <c r="OV127" i="31"/>
  <c r="NW126" i="31"/>
  <c r="CB126" i="31" l="1"/>
  <c r="CC126" i="31" s="1"/>
  <c r="CX126" i="31"/>
  <c r="FR126" i="31"/>
  <c r="FV126" i="31"/>
  <c r="NU126" i="31"/>
  <c r="NX126" i="31"/>
  <c r="OF126" i="31" s="1"/>
  <c r="OS127" i="31" s="1"/>
  <c r="CE126" i="31" l="1"/>
  <c r="CG126" i="31" s="1"/>
  <c r="CD126" i="31"/>
  <c r="NV126" i="31"/>
  <c r="NZ126" i="31"/>
  <c r="MY126" i="31"/>
  <c r="CY127" i="31"/>
  <c r="NY126" i="31"/>
  <c r="CF126" i="31" l="1"/>
  <c r="CH126" i="31"/>
  <c r="CI126" i="31" s="1"/>
  <c r="OB126" i="31"/>
  <c r="OT127" i="31" s="1"/>
  <c r="MZ127" i="31"/>
  <c r="OZ126" i="31"/>
  <c r="OI126" i="31"/>
  <c r="OM127" i="31"/>
  <c r="OO127" i="31"/>
  <c r="NF127" i="31"/>
  <c r="OA126" i="31"/>
  <c r="MV127" i="31" s="1"/>
  <c r="CJ126" i="31" l="1"/>
  <c r="CO126" i="31" s="1"/>
  <c r="CK126" i="31"/>
  <c r="CL126" i="31" s="1"/>
  <c r="OW126" i="31"/>
  <c r="OX127" i="31"/>
  <c r="MR127" i="31"/>
  <c r="OJ126" i="31"/>
  <c r="OG127" i="31"/>
  <c r="KT127" i="31"/>
  <c r="PA126" i="31"/>
  <c r="OC126" i="31"/>
  <c r="OD127" i="31" s="1"/>
  <c r="OH127" i="31" s="1"/>
  <c r="CM126" i="31" l="1"/>
  <c r="CN126" i="31" s="1"/>
  <c r="CP126" i="31" s="1"/>
  <c r="OK127" i="31"/>
  <c r="KM127" i="31"/>
  <c r="KO128" i="31" s="1"/>
  <c r="KL127" i="31"/>
  <c r="KN128" i="31" s="1"/>
  <c r="MS127" i="31"/>
  <c r="MW127" i="31"/>
  <c r="OY127" i="31"/>
  <c r="MX127" i="31" l="1"/>
  <c r="MT127" i="31"/>
  <c r="NJ127" i="31"/>
  <c r="MU127" i="31"/>
  <c r="NP127" i="31"/>
  <c r="NH128" i="31"/>
  <c r="NI128" i="31" s="1"/>
  <c r="NQ127" i="31"/>
  <c r="MO127" i="31"/>
  <c r="PE127" i="31"/>
  <c r="JR126" i="31"/>
  <c r="JS126" i="31" s="1"/>
  <c r="HO126" i="31"/>
  <c r="GB126" i="31"/>
  <c r="GC126" i="31" s="1"/>
  <c r="FP126" i="31"/>
  <c r="FS126" i="31" s="1"/>
  <c r="CQ126" i="31"/>
  <c r="FX126" i="31"/>
  <c r="FY126" i="31" s="1"/>
  <c r="GO126" i="31"/>
  <c r="FU126" i="31"/>
  <c r="FW126" i="31" s="1"/>
  <c r="FZ126" i="31"/>
  <c r="GA126" i="31" s="1"/>
  <c r="FE126" i="31"/>
  <c r="FF126" i="31" s="1"/>
  <c r="FH126" i="31"/>
  <c r="FI126" i="31" s="1"/>
  <c r="DQ126" i="31"/>
  <c r="DR126" i="31" s="1"/>
  <c r="KX126" i="31"/>
  <c r="KU126" i="31"/>
  <c r="KQ127" i="31"/>
  <c r="KP128" i="31"/>
  <c r="KR127" i="31"/>
  <c r="GN126" i="31" l="1"/>
  <c r="GQ126" i="31" s="1"/>
  <c r="CS126" i="31"/>
  <c r="CR126" i="31"/>
  <c r="CT126" i="31"/>
  <c r="HY126" i="31"/>
  <c r="HA126" i="31"/>
  <c r="DY126" i="31"/>
  <c r="KV126" i="31"/>
  <c r="HW126" i="31"/>
  <c r="HX127" i="31" s="1"/>
  <c r="FG127" i="31"/>
  <c r="HP126" i="31"/>
  <c r="IA126" i="31"/>
  <c r="IB126" i="31" s="1"/>
  <c r="IZ126" i="31"/>
  <c r="NL127" i="31"/>
  <c r="NK127" i="31"/>
  <c r="NG128" i="31"/>
  <c r="OQ128" i="31"/>
  <c r="DS126" i="31"/>
  <c r="AX126" i="31" s="1"/>
  <c r="AY127" i="31" s="1"/>
  <c r="JU126" i="31"/>
  <c r="KC126" i="31"/>
  <c r="JT127" i="31"/>
  <c r="KE126" i="31"/>
  <c r="KS127" i="31"/>
  <c r="HU126" i="31"/>
  <c r="HV127" i="31" s="1"/>
  <c r="FJ127" i="31"/>
  <c r="NR127" i="31"/>
  <c r="NA127" i="31"/>
  <c r="NB127" i="31"/>
  <c r="KW127" i="31" l="1"/>
  <c r="HQ126" i="31"/>
  <c r="HR127" i="31" s="1"/>
  <c r="HS126" i="31"/>
  <c r="JG126" i="31" s="1"/>
  <c r="HT126" i="31"/>
  <c r="EM126" i="31"/>
  <c r="EW126" i="31" s="1"/>
  <c r="EN126" i="31"/>
  <c r="AZ126" i="31"/>
  <c r="OR128" i="31"/>
  <c r="NC128" i="31"/>
  <c r="MQ128" i="31"/>
  <c r="BB127" i="31" l="1"/>
  <c r="DW126" i="31"/>
  <c r="DU127" i="31" s="1"/>
  <c r="EQ126" i="31"/>
  <c r="ER127" i="31"/>
  <c r="IU126" i="31"/>
  <c r="IV126" i="31" s="1"/>
  <c r="IC126" i="31"/>
  <c r="ID126" i="31" s="1"/>
  <c r="IF126" i="31" s="1"/>
  <c r="KH126" i="31" s="1"/>
  <c r="JB126" i="31"/>
  <c r="IW126" i="31" l="1"/>
  <c r="KB126" i="31" s="1"/>
  <c r="IX126" i="31"/>
  <c r="KK126" i="31"/>
  <c r="EU127" i="31"/>
  <c r="DB126" i="31"/>
  <c r="DC126" i="31" s="1"/>
  <c r="DD127" i="31" s="1"/>
  <c r="DE128" i="31" s="1"/>
  <c r="GM126" i="31"/>
  <c r="IM126" i="31"/>
  <c r="DT126" i="31" s="1"/>
  <c r="DZ126" i="31" s="1"/>
  <c r="KI127" i="31"/>
  <c r="IN126" i="31"/>
  <c r="DF126" i="31"/>
  <c r="BC127" i="31"/>
  <c r="GT128" i="31" l="1"/>
  <c r="GR126" i="31"/>
  <c r="BE127" i="31"/>
  <c r="BD127" i="31"/>
  <c r="KJ127" i="31"/>
  <c r="FD126" i="31"/>
  <c r="GU126" i="31"/>
  <c r="GV126" i="31"/>
  <c r="BG127" i="31" l="1"/>
  <c r="BF127" i="31"/>
  <c r="GS126" i="31"/>
  <c r="IS126" i="31"/>
  <c r="FL127" i="31"/>
  <c r="FM127" i="31" l="1"/>
  <c r="GX126" i="31"/>
  <c r="GY126" i="31"/>
  <c r="GW126" i="31"/>
  <c r="HC126" i="31" s="1"/>
  <c r="FA127" i="31" s="1"/>
  <c r="HB127" i="31" s="1"/>
  <c r="JH126" i="31"/>
  <c r="JI126" i="31" s="1"/>
  <c r="IT126" i="31"/>
  <c r="BI127" i="31"/>
  <c r="BK127" i="31" s="1"/>
  <c r="BH127" i="31"/>
  <c r="BJ127" i="31" l="1"/>
  <c r="JK126" i="31"/>
  <c r="JN126" i="31" s="1"/>
  <c r="JV126" i="31" s="1"/>
  <c r="JF127" i="31" s="1"/>
  <c r="EY126" i="31"/>
  <c r="HM126" i="31"/>
  <c r="EG126" i="31"/>
  <c r="EH127" i="31" s="1"/>
  <c r="EI127" i="31" s="1"/>
  <c r="FK127" i="31" s="1"/>
  <c r="HK127" i="31"/>
  <c r="BL127" i="31"/>
  <c r="BM127" i="31"/>
  <c r="JM126" i="31" l="1"/>
  <c r="KD126" i="31" s="1"/>
  <c r="IL127" i="31" s="1"/>
  <c r="EJ126" i="31"/>
  <c r="EK127" i="31" s="1"/>
  <c r="ED126" i="31"/>
  <c r="EB127" i="31" s="1"/>
  <c r="EE126" i="31"/>
  <c r="EF127" i="31" s="1"/>
  <c r="EZ126" i="31"/>
  <c r="DG126" i="31"/>
  <c r="DH126" i="31" s="1"/>
  <c r="DI127" i="31" s="1"/>
  <c r="BN127" i="31"/>
  <c r="BO127" i="31"/>
  <c r="JY127" i="31"/>
  <c r="JW127" i="31"/>
  <c r="JZ126" i="31"/>
  <c r="KF126" i="31" s="1"/>
  <c r="IQ127" i="31" s="1"/>
  <c r="JL126" i="31"/>
  <c r="JJ127" i="31" s="1"/>
  <c r="KA127" i="31"/>
  <c r="IP127" i="31" l="1"/>
  <c r="IO127" i="31"/>
  <c r="BP127" i="31"/>
  <c r="BQ127" i="31" s="1"/>
  <c r="DP127" i="31"/>
  <c r="HZ127" i="31"/>
  <c r="GZ127" i="31"/>
  <c r="IE127" i="31" s="1"/>
  <c r="DJ127" i="31"/>
  <c r="DK127" i="31" s="1"/>
  <c r="EP127" i="31"/>
  <c r="ET128" i="31" s="1"/>
  <c r="FC127" i="31"/>
  <c r="EO127" i="31"/>
  <c r="ES128" i="31" s="1"/>
  <c r="EL127" i="31"/>
  <c r="EV127" i="31"/>
  <c r="IR127" i="31"/>
  <c r="JA127" i="31"/>
  <c r="JO127" i="31"/>
  <c r="JE127" i="31"/>
  <c r="IY127" i="31"/>
  <c r="JC127" i="31"/>
  <c r="JD127" i="31"/>
  <c r="JP127" i="31" l="1"/>
  <c r="JQ127" i="31" s="1"/>
  <c r="KG127" i="31"/>
  <c r="BR127" i="31"/>
  <c r="BS127" i="31"/>
  <c r="EC127" i="31"/>
  <c r="JX127" i="31"/>
  <c r="DX127" i="31"/>
  <c r="FQ127" i="31"/>
  <c r="DM127" i="31"/>
  <c r="FB127" i="31" l="1"/>
  <c r="EX127" i="31"/>
  <c r="M127" i="31" s="1"/>
  <c r="DL127" i="31"/>
  <c r="L128" i="31"/>
  <c r="BT127" i="31"/>
  <c r="BU127" i="31"/>
  <c r="BV127" i="31" l="1"/>
  <c r="BW127" i="31" s="1"/>
  <c r="MJ127" i="31"/>
  <c r="NS127" i="31" s="1"/>
  <c r="MB127" i="31"/>
  <c r="NM127" i="31" s="1"/>
  <c r="NN127" i="31" s="1"/>
  <c r="NT127" i="31" l="1"/>
  <c r="OU128" i="31"/>
  <c r="OV128" i="31"/>
  <c r="NW127" i="31"/>
  <c r="NX127" i="31" s="1"/>
  <c r="BX127" i="31"/>
  <c r="BY127" i="31"/>
  <c r="BZ127" i="31" l="1"/>
  <c r="CA127" i="31"/>
  <c r="OF127" i="31"/>
  <c r="OS128" i="31" s="1"/>
  <c r="NY127" i="31"/>
  <c r="FV127" i="31"/>
  <c r="CX127" i="31"/>
  <c r="FR127" i="31"/>
  <c r="NU127" i="31"/>
  <c r="NZ127" i="31" l="1"/>
  <c r="OA127" i="31" s="1"/>
  <c r="MV128" i="31" s="1"/>
  <c r="MY127" i="31"/>
  <c r="OI127" i="31" s="1"/>
  <c r="CY128" i="31"/>
  <c r="OB127" i="31"/>
  <c r="OT128" i="31" s="1"/>
  <c r="NV127" i="31"/>
  <c r="CB127" i="31"/>
  <c r="CC127" i="31" s="1"/>
  <c r="CD127" i="31" l="1"/>
  <c r="CE127" i="31"/>
  <c r="CF127" i="31" s="1"/>
  <c r="OG128" i="31"/>
  <c r="OX128" i="31"/>
  <c r="OW127" i="31"/>
  <c r="MR128" i="31"/>
  <c r="OM128" i="31"/>
  <c r="OO128" i="31"/>
  <c r="KT128" i="31" s="1"/>
  <c r="NF128" i="31"/>
  <c r="MZ128" i="31"/>
  <c r="OZ127" i="31"/>
  <c r="OJ127" i="31"/>
  <c r="PA127" i="31"/>
  <c r="OC127" i="31"/>
  <c r="OD128" i="31" s="1"/>
  <c r="OH128" i="31" s="1"/>
  <c r="CG127" i="31" l="1"/>
  <c r="CH127" i="31" s="1"/>
  <c r="CI127" i="31" s="1"/>
  <c r="KM128" i="31"/>
  <c r="KO129" i="31" s="1"/>
  <c r="KL128" i="31"/>
  <c r="KN129" i="31" s="1"/>
  <c r="MW128" i="31"/>
  <c r="OY128" i="31"/>
  <c r="MS128" i="31"/>
  <c r="OK128" i="31"/>
  <c r="CJ127" i="31" l="1"/>
  <c r="CO127" i="31" s="1"/>
  <c r="CK127" i="31"/>
  <c r="CL127" i="31" s="1"/>
  <c r="NH129" i="31"/>
  <c r="NI129" i="31" s="1"/>
  <c r="MO128" i="31"/>
  <c r="MU128" i="31"/>
  <c r="NP128" i="31"/>
  <c r="MT128" i="31"/>
  <c r="NJ128" i="31"/>
  <c r="NQ128" i="31"/>
  <c r="PE128" i="31"/>
  <c r="KQ128" i="31"/>
  <c r="MX128" i="31"/>
  <c r="KP129" i="31"/>
  <c r="KR128" i="31"/>
  <c r="CM127" i="31" l="1"/>
  <c r="CN127" i="31" s="1"/>
  <c r="CP127" i="31" s="1"/>
  <c r="FZ127" i="31" s="1"/>
  <c r="GA127" i="31" s="1"/>
  <c r="NR128" i="31"/>
  <c r="KS128" i="31"/>
  <c r="NB128" i="31"/>
  <c r="NA128" i="31"/>
  <c r="NL128" i="31"/>
  <c r="NK128" i="31"/>
  <c r="NG129" i="31"/>
  <c r="OQ129" i="31"/>
  <c r="JR127" i="31" l="1"/>
  <c r="JS127" i="31" s="1"/>
  <c r="KE127" i="31" s="1"/>
  <c r="FE127" i="31"/>
  <c r="FF127" i="31" s="1"/>
  <c r="HW127" i="31" s="1"/>
  <c r="HX128" i="31" s="1"/>
  <c r="DQ127" i="31"/>
  <c r="DR127" i="31" s="1"/>
  <c r="DS127" i="31" s="1"/>
  <c r="AX127" i="31" s="1"/>
  <c r="AY128" i="31" s="1"/>
  <c r="GB127" i="31"/>
  <c r="GC127" i="31" s="1"/>
  <c r="KU127" i="31"/>
  <c r="FH127" i="31"/>
  <c r="FI127" i="31" s="1"/>
  <c r="FJ128" i="31" s="1"/>
  <c r="KX127" i="31"/>
  <c r="GN127" i="31" s="1"/>
  <c r="KV127" i="31" s="1"/>
  <c r="CQ127" i="31"/>
  <c r="CT127" i="31" s="1"/>
  <c r="HO127" i="31"/>
  <c r="HP127" i="31" s="1"/>
  <c r="GO127" i="31"/>
  <c r="FP127" i="31"/>
  <c r="FS127" i="31" s="1"/>
  <c r="HA127" i="31" s="1"/>
  <c r="FU127" i="31"/>
  <c r="FW127" i="31" s="1"/>
  <c r="FX127" i="31"/>
  <c r="FY127" i="31" s="1"/>
  <c r="OR129" i="31"/>
  <c r="NC129" i="31"/>
  <c r="MQ129" i="31"/>
  <c r="KW128" i="31" l="1"/>
  <c r="HQ127" i="31"/>
  <c r="HR128" i="31" s="1"/>
  <c r="FG128" i="31"/>
  <c r="KC127" i="31"/>
  <c r="JT128" i="31"/>
  <c r="JU127" i="31"/>
  <c r="HU127" i="31"/>
  <c r="HV128" i="31" s="1"/>
  <c r="GQ127" i="31"/>
  <c r="DY127" i="31"/>
  <c r="HY127" i="31"/>
  <c r="IA127" i="31"/>
  <c r="IB127" i="31" s="1"/>
  <c r="CS127" i="31"/>
  <c r="IZ127" i="31"/>
  <c r="CR127" i="31"/>
  <c r="HS127" i="31"/>
  <c r="JG127" i="31" s="1"/>
  <c r="HT127" i="31"/>
  <c r="AZ127" i="31"/>
  <c r="EM127" i="31"/>
  <c r="EW127" i="31" s="1"/>
  <c r="EN127" i="31"/>
  <c r="BB128" i="31" l="1"/>
  <c r="DW127" i="31"/>
  <c r="DU128" i="31" s="1"/>
  <c r="EQ127" i="31"/>
  <c r="IW127" i="31"/>
  <c r="ER128" i="31"/>
  <c r="IU127" i="31"/>
  <c r="IV127" i="31" s="1"/>
  <c r="IC127" i="31"/>
  <c r="ID127" i="31" s="1"/>
  <c r="IF127" i="31" s="1"/>
  <c r="KH127" i="31" s="1"/>
  <c r="JB127" i="31"/>
  <c r="BC128" i="31" l="1"/>
  <c r="KK127" i="31"/>
  <c r="KB127" i="31"/>
  <c r="IX127" i="31"/>
  <c r="IM127" i="31"/>
  <c r="GM127" i="31"/>
  <c r="DB127" i="31"/>
  <c r="DC127" i="31" s="1"/>
  <c r="DD128" i="31" s="1"/>
  <c r="DE129" i="31" s="1"/>
  <c r="KI128" i="31"/>
  <c r="IN127" i="31"/>
  <c r="DF127" i="31"/>
  <c r="EU128" i="31"/>
  <c r="DT127" i="31" l="1"/>
  <c r="DZ127" i="31" s="1"/>
  <c r="GT129" i="31"/>
  <c r="GR127" i="31"/>
  <c r="KJ128" i="31"/>
  <c r="BD128" i="31"/>
  <c r="BE128" i="31"/>
  <c r="FD127" i="31"/>
  <c r="GV127" i="31"/>
  <c r="GU127" i="31"/>
  <c r="BF128" i="31" l="1"/>
  <c r="BG128" i="31"/>
  <c r="GS127" i="31"/>
  <c r="IS127" i="31"/>
  <c r="FL128" i="31"/>
  <c r="JH127" i="31" l="1"/>
  <c r="JI127" i="31" s="1"/>
  <c r="IT127" i="31"/>
  <c r="FM128" i="31"/>
  <c r="BI128" i="31"/>
  <c r="BK128" i="31" s="1"/>
  <c r="BH128" i="31"/>
  <c r="GY127" i="31"/>
  <c r="GW127" i="31"/>
  <c r="HC127" i="31" s="1"/>
  <c r="FA128" i="31" s="1"/>
  <c r="HB128" i="31" s="1"/>
  <c r="GX127" i="31"/>
  <c r="BJ128" i="31" l="1"/>
  <c r="EY127" i="31"/>
  <c r="EG127" i="31"/>
  <c r="EH128" i="31" s="1"/>
  <c r="EI128" i="31" s="1"/>
  <c r="FK128" i="31" s="1"/>
  <c r="HM127" i="31"/>
  <c r="HK128" i="31"/>
  <c r="BL128" i="31"/>
  <c r="BM128" i="31"/>
  <c r="JK127" i="31"/>
  <c r="JZ127" i="31" s="1"/>
  <c r="KF127" i="31" s="1"/>
  <c r="IQ128" i="31" s="1"/>
  <c r="JM127" i="31" l="1"/>
  <c r="KD127" i="31" s="1"/>
  <c r="IL128" i="31" s="1"/>
  <c r="IR128" i="31" s="1"/>
  <c r="JN127" i="31"/>
  <c r="JV127" i="31" s="1"/>
  <c r="JF128" i="31" s="1"/>
  <c r="JW128" i="31" s="1"/>
  <c r="JL127" i="31"/>
  <c r="JJ128" i="31" s="1"/>
  <c r="KA128" i="31"/>
  <c r="EZ127" i="31"/>
  <c r="DG127" i="31"/>
  <c r="DH127" i="31" s="1"/>
  <c r="DI128" i="31" s="1"/>
  <c r="ED127" i="31"/>
  <c r="EB128" i="31" s="1"/>
  <c r="EE127" i="31"/>
  <c r="EF128" i="31" s="1"/>
  <c r="EJ127" i="31"/>
  <c r="EK128" i="31" s="1"/>
  <c r="BN128" i="31"/>
  <c r="BO128" i="31"/>
  <c r="JE128" i="31" l="1"/>
  <c r="JO128" i="31"/>
  <c r="JY128" i="31"/>
  <c r="HZ128" i="31"/>
  <c r="GZ128" i="31"/>
  <c r="IE128" i="31" s="1"/>
  <c r="DJ128" i="31"/>
  <c r="DK128" i="31" s="1"/>
  <c r="FC128" i="31"/>
  <c r="EO128" i="31"/>
  <c r="ES129" i="31" s="1"/>
  <c r="EL128" i="31"/>
  <c r="EP128" i="31"/>
  <c r="ET129" i="31" s="1"/>
  <c r="EV128" i="31"/>
  <c r="BP128" i="31"/>
  <c r="BQ128" i="31" s="1"/>
  <c r="JC128" i="31"/>
  <c r="JD128" i="31"/>
  <c r="IY128" i="31"/>
  <c r="DP128" i="31"/>
  <c r="IO128" i="31"/>
  <c r="JA128" i="31"/>
  <c r="IP128" i="31"/>
  <c r="JP128" i="31" l="1"/>
  <c r="JQ128" i="31" s="1"/>
  <c r="BR128" i="31"/>
  <c r="BS128" i="31"/>
  <c r="EC128" i="31"/>
  <c r="JX128" i="31"/>
  <c r="FQ128" i="31"/>
  <c r="DM128" i="31"/>
  <c r="DX128" i="31"/>
  <c r="KG128" i="31"/>
  <c r="EX128" i="31" l="1"/>
  <c r="M128" i="31" s="1"/>
  <c r="FB128" i="31"/>
  <c r="DL128" i="31"/>
  <c r="L129" i="31"/>
  <c r="BT128" i="31"/>
  <c r="BU128" i="31"/>
  <c r="BV128" i="31" l="1"/>
  <c r="BW128" i="31" s="1"/>
  <c r="MB128" i="31"/>
  <c r="NM128" i="31" s="1"/>
  <c r="NN128" i="31" s="1"/>
  <c r="MJ128" i="31"/>
  <c r="NS128" i="31" s="1"/>
  <c r="BX128" i="31" l="1"/>
  <c r="BY128" i="31"/>
  <c r="NT128" i="31"/>
  <c r="OU129" i="31"/>
  <c r="OV129" i="31"/>
  <c r="NW128" i="31"/>
  <c r="BZ128" i="31" l="1"/>
  <c r="CA128" i="31"/>
  <c r="FR128" i="31"/>
  <c r="CX128" i="31"/>
  <c r="FV128" i="31"/>
  <c r="NU128" i="31"/>
  <c r="NX128" i="31"/>
  <c r="CB128" i="31" l="1"/>
  <c r="CC128" i="31" s="1"/>
  <c r="NV128" i="31"/>
  <c r="NZ128" i="31"/>
  <c r="MY128" i="31"/>
  <c r="CY129" i="31"/>
  <c r="NY128" i="31"/>
  <c r="OF128" i="31"/>
  <c r="OS129" i="31" s="1"/>
  <c r="CD128" i="31" l="1"/>
  <c r="CE128" i="31"/>
  <c r="MZ129" i="31"/>
  <c r="OZ128" i="31"/>
  <c r="OB128" i="31"/>
  <c r="OT129" i="31" s="1"/>
  <c r="OI128" i="31"/>
  <c r="OA128" i="31"/>
  <c r="MV129" i="31" s="1"/>
  <c r="OM129" i="31"/>
  <c r="NF129" i="31"/>
  <c r="OO129" i="31"/>
  <c r="CF128" i="31" l="1"/>
  <c r="CG128" i="31"/>
  <c r="PA128" i="31"/>
  <c r="OJ128" i="31"/>
  <c r="OC128" i="31"/>
  <c r="OD129" i="31" s="1"/>
  <c r="OH129" i="31" s="1"/>
  <c r="OG129" i="31"/>
  <c r="KT129" i="31"/>
  <c r="MR129" i="31"/>
  <c r="OX129" i="31"/>
  <c r="OW128" i="31"/>
  <c r="CH128" i="31" l="1"/>
  <c r="CI128" i="31" s="1"/>
  <c r="OK129" i="31"/>
  <c r="MS129" i="31"/>
  <c r="KM129" i="31"/>
  <c r="KO130" i="31" s="1"/>
  <c r="KL129" i="31"/>
  <c r="KN130" i="31" s="1"/>
  <c r="OY129" i="31"/>
  <c r="MW129" i="31"/>
  <c r="CK128" i="31" l="1"/>
  <c r="CM128" i="31" s="1"/>
  <c r="CN128" i="31" s="1"/>
  <c r="CJ128" i="31"/>
  <c r="CO128" i="31" s="1"/>
  <c r="KQ129" i="31"/>
  <c r="KP130" i="31"/>
  <c r="KR129" i="31"/>
  <c r="MX129" i="31"/>
  <c r="NJ129" i="31"/>
  <c r="NQ129" i="31"/>
  <c r="MU129" i="31"/>
  <c r="NH130" i="31"/>
  <c r="NI130" i="31" s="1"/>
  <c r="MO129" i="31"/>
  <c r="MT129" i="31"/>
  <c r="NP129" i="31"/>
  <c r="PE129" i="31"/>
  <c r="CL128" i="31" l="1"/>
  <c r="CP128" i="31" s="1"/>
  <c r="NA129" i="31"/>
  <c r="NB129" i="31"/>
  <c r="NK129" i="31"/>
  <c r="NL129" i="31"/>
  <c r="NG130" i="31"/>
  <c r="OQ130" i="31"/>
  <c r="KS129" i="31"/>
  <c r="NR129" i="31"/>
  <c r="FE128" i="31" l="1"/>
  <c r="FF128" i="31" s="1"/>
  <c r="HO128" i="31"/>
  <c r="GO128" i="31"/>
  <c r="DQ128" i="31"/>
  <c r="DR128" i="31" s="1"/>
  <c r="DS128" i="31" s="1"/>
  <c r="AX128" i="31" s="1"/>
  <c r="AY129" i="31" s="1"/>
  <c r="KX128" i="31"/>
  <c r="GN128" i="31" s="1"/>
  <c r="FH128" i="31"/>
  <c r="FI128" i="31" s="1"/>
  <c r="FZ128" i="31"/>
  <c r="GA128" i="31" s="1"/>
  <c r="JR128" i="31"/>
  <c r="JS128" i="31" s="1"/>
  <c r="KU128" i="31"/>
  <c r="FP128" i="31"/>
  <c r="FS128" i="31" s="1"/>
  <c r="CQ128" i="31"/>
  <c r="GB128" i="31"/>
  <c r="GC128" i="31" s="1"/>
  <c r="FU128" i="31"/>
  <c r="FW128" i="31" s="1"/>
  <c r="FX128" i="31"/>
  <c r="FY128" i="31" s="1"/>
  <c r="OR130" i="31"/>
  <c r="NC130" i="31"/>
  <c r="MQ130" i="31"/>
  <c r="EN128" i="31" l="1"/>
  <c r="EQ128" i="31" s="1"/>
  <c r="EM128" i="31"/>
  <c r="EW128" i="31" s="1"/>
  <c r="GQ128" i="31"/>
  <c r="KV128" i="31"/>
  <c r="CR128" i="31"/>
  <c r="CS128" i="31"/>
  <c r="CT128" i="31"/>
  <c r="KE128" i="31"/>
  <c r="JT129" i="31"/>
  <c r="KC128" i="31"/>
  <c r="JU128" i="31"/>
  <c r="HU128" i="31"/>
  <c r="HV129" i="31" s="1"/>
  <c r="FJ129" i="31"/>
  <c r="HA128" i="31"/>
  <c r="HY128" i="31"/>
  <c r="DY128" i="31"/>
  <c r="IA128" i="31"/>
  <c r="IB128" i="31" s="1"/>
  <c r="IZ128" i="31"/>
  <c r="HP128" i="31"/>
  <c r="AZ128" i="31"/>
  <c r="FG129" i="31"/>
  <c r="HW128" i="31"/>
  <c r="HX129" i="31" s="1"/>
  <c r="KW129" i="31" l="1"/>
  <c r="HQ128" i="31"/>
  <c r="HR129" i="31" s="1"/>
  <c r="DW128" i="31"/>
  <c r="DU129" i="31" s="1"/>
  <c r="IW128" i="31"/>
  <c r="BB129" i="31"/>
  <c r="BC129" i="31" s="1"/>
  <c r="IU128" i="31"/>
  <c r="IV128" i="31" s="1"/>
  <c r="KK128" i="31" s="1"/>
  <c r="ER129" i="31"/>
  <c r="EU129" i="31" s="1"/>
  <c r="HT128" i="31"/>
  <c r="HS128" i="31"/>
  <c r="JG128" i="31" s="1"/>
  <c r="KB128" i="31" l="1"/>
  <c r="IX128" i="31"/>
  <c r="IC128" i="31"/>
  <c r="ID128" i="31" s="1"/>
  <c r="IF128" i="31" s="1"/>
  <c r="KH128" i="31" s="1"/>
  <c r="JB128" i="31"/>
  <c r="BD129" i="31"/>
  <c r="BE129" i="31"/>
  <c r="IN128" i="31" l="1"/>
  <c r="DF128" i="31"/>
  <c r="DB128" i="31"/>
  <c r="DC128" i="31" s="1"/>
  <c r="DD129" i="31" s="1"/>
  <c r="DE130" i="31" s="1"/>
  <c r="GM128" i="31"/>
  <c r="IM128" i="31"/>
  <c r="DT128" i="31" s="1"/>
  <c r="DZ128" i="31" s="1"/>
  <c r="KI129" i="31"/>
  <c r="KJ129" i="31" s="1"/>
  <c r="BG129" i="31"/>
  <c r="BF129" i="31"/>
  <c r="GT130" i="31" l="1"/>
  <c r="GR128" i="31"/>
  <c r="FD128" i="31"/>
  <c r="GU128" i="31"/>
  <c r="GV128" i="31"/>
  <c r="BI129" i="31"/>
  <c r="BK129" i="31" s="1"/>
  <c r="BH129" i="31"/>
  <c r="IS128" i="31" l="1"/>
  <c r="FL129" i="31"/>
  <c r="FM129" i="31" s="1"/>
  <c r="GS128" i="31"/>
  <c r="BL129" i="31"/>
  <c r="BM129" i="31"/>
  <c r="BJ129" i="31"/>
  <c r="GX128" i="31" l="1"/>
  <c r="GW128" i="31"/>
  <c r="HC128" i="31" s="1"/>
  <c r="FA129" i="31" s="1"/>
  <c r="HB129" i="31" s="1"/>
  <c r="GY128" i="31"/>
  <c r="JH128" i="31"/>
  <c r="JI128" i="31" s="1"/>
  <c r="JK128" i="31" s="1"/>
  <c r="JZ128" i="31" s="1"/>
  <c r="KF128" i="31" s="1"/>
  <c r="IQ129" i="31" s="1"/>
  <c r="IT128" i="31"/>
  <c r="BN129" i="31"/>
  <c r="BO129" i="31"/>
  <c r="JL128" i="31" l="1"/>
  <c r="JJ129" i="31" s="1"/>
  <c r="KA129" i="31"/>
  <c r="JM128" i="31"/>
  <c r="KD128" i="31" s="1"/>
  <c r="IL129" i="31" s="1"/>
  <c r="IR129" i="31" s="1"/>
  <c r="JN128" i="31"/>
  <c r="JV128" i="31" s="1"/>
  <c r="JF129" i="31" s="1"/>
  <c r="EY128" i="31"/>
  <c r="HK129" i="31"/>
  <c r="EG128" i="31"/>
  <c r="EH129" i="31" s="1"/>
  <c r="EI129" i="31" s="1"/>
  <c r="FK129" i="31" s="1"/>
  <c r="HM128" i="31"/>
  <c r="BP129" i="31"/>
  <c r="BQ129" i="31" s="1"/>
  <c r="HZ129" i="31"/>
  <c r="JW129" i="31" l="1"/>
  <c r="JE129" i="31"/>
  <c r="JY129" i="31"/>
  <c r="JO129" i="31"/>
  <c r="EZ128" i="31"/>
  <c r="DG128" i="31"/>
  <c r="DH128" i="31" s="1"/>
  <c r="DI129" i="31" s="1"/>
  <c r="ED128" i="31"/>
  <c r="EB129" i="31" s="1"/>
  <c r="EE128" i="31"/>
  <c r="EF129" i="31" s="1"/>
  <c r="IP129" i="31" s="1"/>
  <c r="EJ128" i="31"/>
  <c r="EK129" i="31" s="1"/>
  <c r="BR129" i="31"/>
  <c r="BS129" i="31"/>
  <c r="IO129" i="31" l="1"/>
  <c r="DP129" i="31"/>
  <c r="JC129" i="31"/>
  <c r="JD129" i="31"/>
  <c r="EP129" i="31"/>
  <c r="ET130" i="31" s="1"/>
  <c r="EO129" i="31"/>
  <c r="ES130" i="31" s="1"/>
  <c r="JA129" i="31"/>
  <c r="FC129" i="31"/>
  <c r="EL129" i="31"/>
  <c r="EV129" i="31"/>
  <c r="IY129" i="31"/>
  <c r="GZ129" i="31"/>
  <c r="DJ129" i="31"/>
  <c r="DK129" i="31" s="1"/>
  <c r="BT129" i="31"/>
  <c r="BU129" i="31"/>
  <c r="JP129" i="31" l="1"/>
  <c r="JQ129" i="31" s="1"/>
  <c r="EC129" i="31"/>
  <c r="JX129" i="31"/>
  <c r="IE129" i="31"/>
  <c r="KG129" i="31"/>
  <c r="DX129" i="31"/>
  <c r="DM129" i="31"/>
  <c r="FQ129" i="31"/>
  <c r="BV129" i="31"/>
  <c r="BW129" i="31" s="1"/>
  <c r="DL129" i="31" l="1"/>
  <c r="L130" i="31"/>
  <c r="EX129" i="31"/>
  <c r="M129" i="31" s="1"/>
  <c r="FB129" i="31"/>
  <c r="BY129" i="31"/>
  <c r="BX129" i="31"/>
  <c r="MJ129" i="31" l="1"/>
  <c r="NS129" i="31" s="1"/>
  <c r="MB129" i="31"/>
  <c r="BZ129" i="31"/>
  <c r="CA129" i="31"/>
  <c r="NM129" i="31" l="1"/>
  <c r="NN129" i="31" s="1"/>
  <c r="OU130" i="31"/>
  <c r="NT129" i="31"/>
  <c r="CB129" i="31"/>
  <c r="CC129" i="31" s="1"/>
  <c r="CD129" i="31" l="1"/>
  <c r="CE129" i="31"/>
  <c r="CF129" i="31" s="1"/>
  <c r="NW129" i="31"/>
  <c r="OV130" i="31"/>
  <c r="FR129" i="31"/>
  <c r="CX129" i="31"/>
  <c r="FV129" i="31"/>
  <c r="NU129" i="31"/>
  <c r="NV129" i="31" s="1"/>
  <c r="CG129" i="31" l="1"/>
  <c r="CH129" i="31" s="1"/>
  <c r="CI129" i="31" s="1"/>
  <c r="NX129" i="31"/>
  <c r="NY129" i="31" s="1"/>
  <c r="OB129" i="31" s="1"/>
  <c r="OT130" i="31" s="1"/>
  <c r="CY130" i="31"/>
  <c r="NZ129" i="31"/>
  <c r="MY129" i="31"/>
  <c r="CJ129" i="31" l="1"/>
  <c r="CO129" i="31" s="1"/>
  <c r="CK129" i="31"/>
  <c r="CL129" i="31" s="1"/>
  <c r="OA129" i="31"/>
  <c r="MV130" i="31" s="1"/>
  <c r="OG130" i="31" s="1"/>
  <c r="OF129" i="31"/>
  <c r="OS130" i="31" s="1"/>
  <c r="OC129" i="31"/>
  <c r="OD130" i="31" s="1"/>
  <c r="OH130" i="31" s="1"/>
  <c r="MZ130" i="31"/>
  <c r="OI129" i="31"/>
  <c r="OM130" i="31"/>
  <c r="NF130" i="31"/>
  <c r="OO130" i="31"/>
  <c r="OJ129" i="31"/>
  <c r="PA129" i="31"/>
  <c r="CM129" i="31" l="1"/>
  <c r="CN129" i="31" s="1"/>
  <c r="CP129" i="31" s="1"/>
  <c r="OZ129" i="31"/>
  <c r="OK130" i="31"/>
  <c r="KT130" i="31"/>
  <c r="KM130" i="31" s="1"/>
  <c r="KO131" i="31" s="1"/>
  <c r="KR130" i="31" s="1"/>
  <c r="MW130" i="31"/>
  <c r="MX130" i="31" s="1"/>
  <c r="NA130" i="31" s="1"/>
  <c r="OY130" i="31"/>
  <c r="KL130" i="31"/>
  <c r="KN131" i="31" s="1"/>
  <c r="KQ130" i="31" s="1"/>
  <c r="MR130" i="31"/>
  <c r="MS130" i="31" s="1"/>
  <c r="OW129" i="31"/>
  <c r="OX130" i="31"/>
  <c r="NB130" i="31" l="1"/>
  <c r="KP131" i="31"/>
  <c r="NP130" i="31"/>
  <c r="NH131" i="31"/>
  <c r="NI131" i="31" s="1"/>
  <c r="MU130" i="31"/>
  <c r="NJ130" i="31"/>
  <c r="MT130" i="31"/>
  <c r="NQ130" i="31"/>
  <c r="NR130" i="31" s="1"/>
  <c r="PE130" i="31"/>
  <c r="MO130" i="31"/>
  <c r="KS130" i="31"/>
  <c r="GB129" i="31"/>
  <c r="GC129" i="31" s="1"/>
  <c r="HO129" i="31"/>
  <c r="FX129" i="31"/>
  <c r="FY129" i="31" s="1"/>
  <c r="FZ129" i="31"/>
  <c r="GA129" i="31" s="1"/>
  <c r="CQ129" i="31"/>
  <c r="FH129" i="31"/>
  <c r="FI129" i="31" s="1"/>
  <c r="JR129" i="31"/>
  <c r="JS129" i="31" s="1"/>
  <c r="DQ129" i="31"/>
  <c r="DR129" i="31" s="1"/>
  <c r="GO129" i="31"/>
  <c r="FU129" i="31"/>
  <c r="FW129" i="31" s="1"/>
  <c r="FP129" i="31"/>
  <c r="FS129" i="31" s="1"/>
  <c r="FE129" i="31"/>
  <c r="FF129" i="31" s="1"/>
  <c r="KX129" i="31"/>
  <c r="GN129" i="31" s="1"/>
  <c r="KU129" i="31"/>
  <c r="NL130" i="31" l="1"/>
  <c r="NG131" i="31"/>
  <c r="OQ131" i="31"/>
  <c r="OR131" i="31" s="1"/>
  <c r="NK130" i="31"/>
  <c r="JU129" i="31"/>
  <c r="KE129" i="31"/>
  <c r="JT130" i="31"/>
  <c r="KC129" i="31"/>
  <c r="DS129" i="31"/>
  <c r="AX129" i="31" s="1"/>
  <c r="AY130" i="31" s="1"/>
  <c r="HU129" i="31"/>
  <c r="HV130" i="31" s="1"/>
  <c r="FJ130" i="31"/>
  <c r="GQ129" i="31"/>
  <c r="KV129" i="31"/>
  <c r="CS129" i="31"/>
  <c r="CR129" i="31"/>
  <c r="CT129" i="31"/>
  <c r="HW129" i="31"/>
  <c r="HX130" i="31" s="1"/>
  <c r="FG130" i="31"/>
  <c r="HY129" i="31"/>
  <c r="DY129" i="31"/>
  <c r="HA129" i="31"/>
  <c r="HP129" i="31"/>
  <c r="IA129" i="31"/>
  <c r="IB129" i="31" s="1"/>
  <c r="IZ129" i="31"/>
  <c r="KW130" i="31" l="1"/>
  <c r="HQ129" i="31"/>
  <c r="HR130" i="31" s="1"/>
  <c r="NC131" i="31"/>
  <c r="MQ131" i="31"/>
  <c r="EN129" i="31"/>
  <c r="AZ129" i="31"/>
  <c r="EM129" i="31"/>
  <c r="EW129" i="31" s="1"/>
  <c r="HS129" i="31"/>
  <c r="JG129" i="31" s="1"/>
  <c r="HT129" i="31"/>
  <c r="IC129" i="31" l="1"/>
  <c r="ID129" i="31" s="1"/>
  <c r="IF129" i="31" s="1"/>
  <c r="KH129" i="31" s="1"/>
  <c r="JB129" i="31"/>
  <c r="BB130" i="31"/>
  <c r="DW129" i="31"/>
  <c r="DU130" i="31" s="1"/>
  <c r="EQ129" i="31"/>
  <c r="ER130" i="31"/>
  <c r="IU129" i="31"/>
  <c r="IV129" i="31" s="1"/>
  <c r="IW129" i="31" l="1"/>
  <c r="KB129" i="31" s="1"/>
  <c r="BC130" i="31"/>
  <c r="EU130" i="31"/>
  <c r="IX129" i="31"/>
  <c r="KK129" i="31"/>
  <c r="IM129" i="31"/>
  <c r="DB129" i="31"/>
  <c r="DC129" i="31" s="1"/>
  <c r="DD130" i="31" s="1"/>
  <c r="DE131" i="31" s="1"/>
  <c r="GM129" i="31"/>
  <c r="KI130" i="31"/>
  <c r="IN129" i="31"/>
  <c r="DF129" i="31"/>
  <c r="DT129" i="31" l="1"/>
  <c r="DZ129" i="31" s="1"/>
  <c r="GT131" i="31"/>
  <c r="FD129" i="31"/>
  <c r="GV129" i="31"/>
  <c r="GU129" i="31"/>
  <c r="KJ130" i="31"/>
  <c r="GR129" i="31"/>
  <c r="BE130" i="31"/>
  <c r="BD130" i="31"/>
  <c r="BG130" i="31" l="1"/>
  <c r="BF130" i="31"/>
  <c r="IS129" i="31"/>
  <c r="FL130" i="31"/>
  <c r="GS129" i="31"/>
  <c r="GY129" i="31" l="1"/>
  <c r="GX129" i="31"/>
  <c r="GW129" i="31"/>
  <c r="HC129" i="31" s="1"/>
  <c r="FA130" i="31" s="1"/>
  <c r="HB130" i="31" s="1"/>
  <c r="JH129" i="31"/>
  <c r="JI129" i="31" s="1"/>
  <c r="IT129" i="31"/>
  <c r="FM130" i="31"/>
  <c r="BI130" i="31"/>
  <c r="BK130" i="31" s="1"/>
  <c r="BH130" i="31"/>
  <c r="BJ130" i="31" l="1"/>
  <c r="JK129" i="31"/>
  <c r="JN129" i="31" s="1"/>
  <c r="JV129" i="31" s="1"/>
  <c r="JF130" i="31" s="1"/>
  <c r="HM129" i="31"/>
  <c r="EY129" i="31"/>
  <c r="EG129" i="31"/>
  <c r="EH130" i="31" s="1"/>
  <c r="EI130" i="31" s="1"/>
  <c r="FK130" i="31" s="1"/>
  <c r="HK130" i="31"/>
  <c r="BL130" i="31"/>
  <c r="BM130" i="31"/>
  <c r="JM129" i="31" l="1"/>
  <c r="KD129" i="31" s="1"/>
  <c r="IL130" i="31" s="1"/>
  <c r="EZ129" i="31"/>
  <c r="DG129" i="31"/>
  <c r="DH129" i="31" s="1"/>
  <c r="DI130" i="31" s="1"/>
  <c r="ED129" i="31"/>
  <c r="EB130" i="31" s="1"/>
  <c r="EJ129" i="31"/>
  <c r="EK130" i="31" s="1"/>
  <c r="EE129" i="31"/>
  <c r="EF130" i="31" s="1"/>
  <c r="IP130" i="31" s="1"/>
  <c r="JY130" i="31"/>
  <c r="JW130" i="31"/>
  <c r="JZ129" i="31"/>
  <c r="KF129" i="31" s="1"/>
  <c r="IQ130" i="31" s="1"/>
  <c r="JL129" i="31"/>
  <c r="JJ130" i="31" s="1"/>
  <c r="KA130" i="31"/>
  <c r="BN130" i="31"/>
  <c r="BO130" i="31"/>
  <c r="BP130" i="31" s="1"/>
  <c r="JC130" i="31" l="1"/>
  <c r="JD130" i="31"/>
  <c r="JA130" i="31"/>
  <c r="IY130" i="31"/>
  <c r="JO130" i="31"/>
  <c r="IR130" i="31"/>
  <c r="JE130" i="31"/>
  <c r="EP130" i="31"/>
  <c r="ET131" i="31" s="1"/>
  <c r="FC130" i="31"/>
  <c r="EO130" i="31"/>
  <c r="ES131" i="31" s="1"/>
  <c r="EL130" i="31"/>
  <c r="EV130" i="31"/>
  <c r="IO130" i="31"/>
  <c r="HZ130" i="31"/>
  <c r="DP130" i="31"/>
  <c r="DJ130" i="31"/>
  <c r="DK130" i="31" s="1"/>
  <c r="GZ130" i="31"/>
  <c r="IE130" i="31" s="1"/>
  <c r="BQ130" i="31"/>
  <c r="KG130" i="31" l="1"/>
  <c r="JP130" i="31"/>
  <c r="JQ130" i="31" s="1"/>
  <c r="EC130" i="31"/>
  <c r="BR130" i="31"/>
  <c r="BS130" i="31"/>
  <c r="DX130" i="31"/>
  <c r="DM130" i="31"/>
  <c r="FQ130" i="31"/>
  <c r="JX130" i="31"/>
  <c r="BT130" i="31" l="1"/>
  <c r="BU130" i="31"/>
  <c r="BV130" i="31" s="1"/>
  <c r="BW130" i="31" s="1"/>
  <c r="FB130" i="31"/>
  <c r="EX130" i="31"/>
  <c r="M130" i="31" s="1"/>
  <c r="DL130" i="31"/>
  <c r="L131" i="31"/>
  <c r="MB130" i="31" l="1"/>
  <c r="NM130" i="31" s="1"/>
  <c r="NN130" i="31" s="1"/>
  <c r="MJ130" i="31"/>
  <c r="NS130" i="31" s="1"/>
  <c r="BX130" i="31"/>
  <c r="BY130" i="31"/>
  <c r="OV131" i="31" l="1"/>
  <c r="NW130" i="31"/>
  <c r="BZ130" i="31"/>
  <c r="CA130" i="31"/>
  <c r="NT130" i="31"/>
  <c r="OU131" i="31"/>
  <c r="CX130" i="31" l="1"/>
  <c r="FV130" i="31"/>
  <c r="FR130" i="31"/>
  <c r="NU130" i="31"/>
  <c r="NX130" i="31"/>
  <c r="CB130" i="31"/>
  <c r="CC130" i="31" s="1"/>
  <c r="CE130" i="31" l="1"/>
  <c r="CG130" i="31" s="1"/>
  <c r="CD130" i="31"/>
  <c r="NV130" i="31"/>
  <c r="NY130" i="31"/>
  <c r="OF130" i="31"/>
  <c r="OS131" i="31" s="1"/>
  <c r="NZ130" i="31"/>
  <c r="MY130" i="31"/>
  <c r="CY131" i="31"/>
  <c r="CF130" i="31" l="1"/>
  <c r="CH130" i="31"/>
  <c r="CI130" i="31" s="1"/>
  <c r="OB130" i="31"/>
  <c r="OT131" i="31" s="1"/>
  <c r="OM131" i="31"/>
  <c r="NF131" i="31"/>
  <c r="OO131" i="31"/>
  <c r="OI130" i="31"/>
  <c r="OA130" i="31"/>
  <c r="MV131" i="31" s="1"/>
  <c r="OG131" i="31" s="1"/>
  <c r="MZ131" i="31"/>
  <c r="OZ130" i="31"/>
  <c r="CJ130" i="31" l="1"/>
  <c r="CO130" i="31" s="1"/>
  <c r="CK130" i="31"/>
  <c r="CL130" i="31" s="1"/>
  <c r="OW130" i="31"/>
  <c r="MR131" i="31"/>
  <c r="OX131" i="31"/>
  <c r="OJ130" i="31"/>
  <c r="PA130" i="31"/>
  <c r="KT131" i="31"/>
  <c r="OC130" i="31"/>
  <c r="OD131" i="31" s="1"/>
  <c r="OH131" i="31" s="1"/>
  <c r="OK131" i="31" s="1"/>
  <c r="CM130" i="31" l="1"/>
  <c r="CN130" i="31" s="1"/>
  <c r="CP130" i="31" s="1"/>
  <c r="OY131" i="31"/>
  <c r="MW131" i="31"/>
  <c r="MS131" i="31"/>
  <c r="KM131" i="31"/>
  <c r="KO132" i="31" s="1"/>
  <c r="KL131" i="31"/>
  <c r="KN132" i="31" s="1"/>
  <c r="KP132" i="31" l="1"/>
  <c r="KR131" i="31"/>
  <c r="MU131" i="31"/>
  <c r="MO131" i="31"/>
  <c r="MT131" i="31"/>
  <c r="NJ131" i="31"/>
  <c r="NP131" i="31"/>
  <c r="NH132" i="31"/>
  <c r="NI132" i="31" s="1"/>
  <c r="NQ131" i="31"/>
  <c r="PE131" i="31"/>
  <c r="MX131" i="31"/>
  <c r="CQ130" i="31"/>
  <c r="FX130" i="31"/>
  <c r="FY130" i="31" s="1"/>
  <c r="FE130" i="31"/>
  <c r="FF130" i="31" s="1"/>
  <c r="GO130" i="31"/>
  <c r="HO130" i="31"/>
  <c r="FZ130" i="31"/>
  <c r="GA130" i="31" s="1"/>
  <c r="FU130" i="31"/>
  <c r="FW130" i="31" s="1"/>
  <c r="FP130" i="31"/>
  <c r="FS130" i="31" s="1"/>
  <c r="JR130" i="31"/>
  <c r="JS130" i="31" s="1"/>
  <c r="FH130" i="31"/>
  <c r="FI130" i="31" s="1"/>
  <c r="GB130" i="31"/>
  <c r="GC130" i="31" s="1"/>
  <c r="DQ130" i="31"/>
  <c r="DR130" i="31" s="1"/>
  <c r="KX130" i="31"/>
  <c r="GN130" i="31" s="1"/>
  <c r="KU130" i="31"/>
  <c r="KQ131" i="31"/>
  <c r="KS131" i="31" s="1"/>
  <c r="NL131" i="31" l="1"/>
  <c r="NK131" i="31"/>
  <c r="NG132" i="31"/>
  <c r="OQ132" i="31"/>
  <c r="HY130" i="31"/>
  <c r="HA130" i="31"/>
  <c r="DY130" i="31"/>
  <c r="HU130" i="31"/>
  <c r="HV131" i="31" s="1"/>
  <c r="FJ131" i="31"/>
  <c r="NA131" i="31"/>
  <c r="NB131" i="31"/>
  <c r="GQ130" i="31"/>
  <c r="KV130" i="31"/>
  <c r="IA130" i="31"/>
  <c r="IB130" i="31" s="1"/>
  <c r="HP130" i="31"/>
  <c r="IZ130" i="31"/>
  <c r="KE130" i="31"/>
  <c r="JU130" i="31"/>
  <c r="KC130" i="31"/>
  <c r="JT131" i="31"/>
  <c r="DS130" i="31"/>
  <c r="AX130" i="31" s="1"/>
  <c r="AY131" i="31" s="1"/>
  <c r="NR131" i="31"/>
  <c r="CT130" i="31"/>
  <c r="CR130" i="31"/>
  <c r="CS130" i="31"/>
  <c r="HW130" i="31"/>
  <c r="HX131" i="31" s="1"/>
  <c r="FG131" i="31"/>
  <c r="KW131" i="31" l="1"/>
  <c r="HQ130" i="31"/>
  <c r="HR131" i="31" s="1"/>
  <c r="OR132" i="31"/>
  <c r="HS130" i="31"/>
  <c r="JG130" i="31" s="1"/>
  <c r="HT130" i="31"/>
  <c r="EN130" i="31"/>
  <c r="AZ130" i="31"/>
  <c r="EM130" i="31"/>
  <c r="EW130" i="31" s="1"/>
  <c r="NC132" i="31"/>
  <c r="MQ132" i="31"/>
  <c r="IC130" i="31" l="1"/>
  <c r="ID130" i="31" s="1"/>
  <c r="IF130" i="31" s="1"/>
  <c r="KH130" i="31" s="1"/>
  <c r="JB130" i="31"/>
  <c r="BB131" i="31"/>
  <c r="DW130" i="31"/>
  <c r="DU131" i="31" s="1"/>
  <c r="EQ130" i="31"/>
  <c r="ER131" i="31"/>
  <c r="IU130" i="31"/>
  <c r="IV130" i="31" s="1"/>
  <c r="IW130" i="31" l="1"/>
  <c r="KB130" i="31" s="1"/>
  <c r="BC131" i="31"/>
  <c r="EU131" i="31"/>
  <c r="IM130" i="31"/>
  <c r="GM130" i="31"/>
  <c r="DB130" i="31"/>
  <c r="DC130" i="31" s="1"/>
  <c r="DD131" i="31" s="1"/>
  <c r="DE132" i="31" s="1"/>
  <c r="KI131" i="31"/>
  <c r="IN130" i="31"/>
  <c r="DF130" i="31"/>
  <c r="IX130" i="31"/>
  <c r="KK130" i="31"/>
  <c r="DT130" i="31" l="1"/>
  <c r="DZ130" i="31" s="1"/>
  <c r="GT132" i="31"/>
  <c r="KJ131" i="31"/>
  <c r="FD130" i="31"/>
  <c r="GU130" i="31"/>
  <c r="GV130" i="31"/>
  <c r="GR130" i="31"/>
  <c r="BD131" i="31"/>
  <c r="BE131" i="31"/>
  <c r="BF131" i="31" l="1"/>
  <c r="BG131" i="31"/>
  <c r="IS130" i="31"/>
  <c r="FL131" i="31"/>
  <c r="GS130" i="31"/>
  <c r="FM131" i="31" l="1"/>
  <c r="JH130" i="31"/>
  <c r="JI130" i="31" s="1"/>
  <c r="IT130" i="31"/>
  <c r="GY130" i="31"/>
  <c r="GW130" i="31"/>
  <c r="HC130" i="31" s="1"/>
  <c r="FA131" i="31" s="1"/>
  <c r="HB131" i="31" s="1"/>
  <c r="GX130" i="31"/>
  <c r="BH131" i="31"/>
  <c r="BI131" i="31"/>
  <c r="BK131" i="31" s="1"/>
  <c r="BJ131" i="31" l="1"/>
  <c r="JK130" i="31"/>
  <c r="JN130" i="31" s="1"/>
  <c r="JV130" i="31" s="1"/>
  <c r="JF131" i="31" s="1"/>
  <c r="EG130" i="31"/>
  <c r="EH131" i="31" s="1"/>
  <c r="EI131" i="31" s="1"/>
  <c r="FK131" i="31" s="1"/>
  <c r="EY130" i="31"/>
  <c r="HM130" i="31"/>
  <c r="HK131" i="31"/>
  <c r="BL131" i="31"/>
  <c r="BM131" i="31"/>
  <c r="JZ130" i="31" l="1"/>
  <c r="KF130" i="31" s="1"/>
  <c r="IQ131" i="31" s="1"/>
  <c r="JW131" i="31"/>
  <c r="JY131" i="31"/>
  <c r="EZ130" i="31"/>
  <c r="DG130" i="31"/>
  <c r="DH130" i="31" s="1"/>
  <c r="DI131" i="31" s="1"/>
  <c r="EJ130" i="31"/>
  <c r="EK131" i="31" s="1"/>
  <c r="EE130" i="31"/>
  <c r="EF131" i="31" s="1"/>
  <c r="ED130" i="31"/>
  <c r="EB131" i="31" s="1"/>
  <c r="JM130" i="31"/>
  <c r="KD130" i="31" s="1"/>
  <c r="IL131" i="31" s="1"/>
  <c r="JL130" i="31"/>
  <c r="JJ131" i="31" s="1"/>
  <c r="KA131" i="31"/>
  <c r="BO131" i="31"/>
  <c r="BP131" i="31" s="1"/>
  <c r="BN131" i="31"/>
  <c r="JO131" i="31" l="1"/>
  <c r="JE131" i="31"/>
  <c r="EL131" i="31"/>
  <c r="EP131" i="31"/>
  <c r="ET132" i="31" s="1"/>
  <c r="FC131" i="31"/>
  <c r="EO131" i="31"/>
  <c r="ES132" i="31" s="1"/>
  <c r="EV131" i="31"/>
  <c r="IP131" i="31"/>
  <c r="IO131" i="31"/>
  <c r="DJ131" i="31"/>
  <c r="DK131" i="31" s="1"/>
  <c r="GZ131" i="31"/>
  <c r="IE131" i="31" s="1"/>
  <c r="JC131" i="31"/>
  <c r="JD131" i="31"/>
  <c r="DP131" i="31"/>
  <c r="JA131" i="31"/>
  <c r="BQ131" i="31"/>
  <c r="IR131" i="31"/>
  <c r="HZ131" i="31"/>
  <c r="IY131" i="31"/>
  <c r="JP131" i="31" l="1"/>
  <c r="JQ131" i="31" s="1"/>
  <c r="EC131" i="31"/>
  <c r="BR131" i="31"/>
  <c r="BS131" i="31"/>
  <c r="FQ131" i="31"/>
  <c r="DM131" i="31"/>
  <c r="DX131" i="31"/>
  <c r="JX131" i="31"/>
  <c r="KG131" i="31"/>
  <c r="BT131" i="31" l="1"/>
  <c r="BU131" i="31"/>
  <c r="BV131" i="31" s="1"/>
  <c r="BW131" i="31" s="1"/>
  <c r="FB131" i="31"/>
  <c r="EX131" i="31"/>
  <c r="M131" i="31" s="1"/>
  <c r="DL131" i="31"/>
  <c r="L132" i="31"/>
  <c r="BY131" i="31" l="1"/>
  <c r="BX131" i="31"/>
  <c r="MJ131" i="31"/>
  <c r="NS131" i="31" s="1"/>
  <c r="MB131" i="31"/>
  <c r="NM131" i="31" s="1"/>
  <c r="NN131" i="31" s="1"/>
  <c r="OV132" i="31" l="1"/>
  <c r="NW131" i="31"/>
  <c r="NT131" i="31"/>
  <c r="OU132" i="31"/>
  <c r="BZ131" i="31"/>
  <c r="CA131" i="31"/>
  <c r="FR131" i="31" l="1"/>
  <c r="FV131" i="31"/>
  <c r="CX131" i="31"/>
  <c r="NU131" i="31"/>
  <c r="NX131" i="31"/>
  <c r="CB131" i="31"/>
  <c r="CC131" i="31" s="1"/>
  <c r="CD131" i="31" l="1"/>
  <c r="CE131" i="31"/>
  <c r="CF131" i="31" s="1"/>
  <c r="NZ131" i="31"/>
  <c r="MY131" i="31"/>
  <c r="CY132" i="31"/>
  <c r="NY131" i="31"/>
  <c r="OF131" i="31"/>
  <c r="OS132" i="31" s="1"/>
  <c r="NV131" i="31"/>
  <c r="CG131" i="31" l="1"/>
  <c r="CH131" i="31" s="1"/>
  <c r="CI131" i="31" s="1"/>
  <c r="OB131" i="31"/>
  <c r="OT132" i="31" s="1"/>
  <c r="OA131" i="31"/>
  <c r="MV132" i="31" s="1"/>
  <c r="OM132" i="31"/>
  <c r="NF132" i="31"/>
  <c r="OO132" i="31"/>
  <c r="MZ132" i="31"/>
  <c r="OZ131" i="31"/>
  <c r="OI131" i="31"/>
  <c r="CK131" i="31" l="1"/>
  <c r="CM131" i="31" s="1"/>
  <c r="CN131" i="31" s="1"/>
  <c r="CJ131" i="31"/>
  <c r="CO131" i="31" s="1"/>
  <c r="OW131" i="31"/>
  <c r="MR132" i="31"/>
  <c r="OX132" i="31"/>
  <c r="KT132" i="31"/>
  <c r="OG132" i="31"/>
  <c r="PA131" i="31"/>
  <c r="OC131" i="31"/>
  <c r="OD132" i="31" s="1"/>
  <c r="OH132" i="31" s="1"/>
  <c r="OJ131" i="31"/>
  <c r="CL131" i="31" l="1"/>
  <c r="CP131" i="31" s="1"/>
  <c r="KL132" i="31"/>
  <c r="KN133" i="31" s="1"/>
  <c r="KM132" i="31"/>
  <c r="KO133" i="31" s="1"/>
  <c r="OY132" i="31"/>
  <c r="MW132" i="31"/>
  <c r="OK132" i="31"/>
  <c r="MS132" i="31"/>
  <c r="MX132" i="31" l="1"/>
  <c r="FX131" i="31"/>
  <c r="FY131" i="31" s="1"/>
  <c r="FP131" i="31"/>
  <c r="FS131" i="31" s="1"/>
  <c r="GB131" i="31"/>
  <c r="GC131" i="31" s="1"/>
  <c r="GO131" i="31"/>
  <c r="FU131" i="31"/>
  <c r="FW131" i="31" s="1"/>
  <c r="JR131" i="31"/>
  <c r="JS131" i="31" s="1"/>
  <c r="FH131" i="31"/>
  <c r="FI131" i="31" s="1"/>
  <c r="CQ131" i="31"/>
  <c r="DQ131" i="31"/>
  <c r="DR131" i="31" s="1"/>
  <c r="FE131" i="31"/>
  <c r="FF131" i="31" s="1"/>
  <c r="HO131" i="31"/>
  <c r="FZ131" i="31"/>
  <c r="GA131" i="31" s="1"/>
  <c r="KX131" i="31"/>
  <c r="KU131" i="31"/>
  <c r="MU132" i="31"/>
  <c r="NH133" i="31"/>
  <c r="NI133" i="31" s="1"/>
  <c r="NP132" i="31"/>
  <c r="MT132" i="31"/>
  <c r="MO132" i="31"/>
  <c r="NQ132" i="31"/>
  <c r="NJ132" i="31"/>
  <c r="PE132" i="31"/>
  <c r="KP133" i="31"/>
  <c r="KR132" i="31"/>
  <c r="KQ132" i="31"/>
  <c r="GN131" i="31" l="1"/>
  <c r="GQ131" i="31" s="1"/>
  <c r="NR132" i="31"/>
  <c r="KS132" i="31"/>
  <c r="HW131" i="31"/>
  <c r="HX132" i="31" s="1"/>
  <c r="FG132" i="31"/>
  <c r="HY131" i="31"/>
  <c r="DY131" i="31"/>
  <c r="HA131" i="31"/>
  <c r="HP131" i="31"/>
  <c r="IA131" i="31"/>
  <c r="IB131" i="31" s="1"/>
  <c r="IZ131" i="31"/>
  <c r="DS131" i="31"/>
  <c r="AX131" i="31" s="1"/>
  <c r="AY132" i="31" s="1"/>
  <c r="CR131" i="31"/>
  <c r="CS131" i="31"/>
  <c r="CT131" i="31"/>
  <c r="HU131" i="31"/>
  <c r="HV132" i="31" s="1"/>
  <c r="FJ132" i="31"/>
  <c r="JU131" i="31"/>
  <c r="KE131" i="31"/>
  <c r="JT132" i="31"/>
  <c r="KC131" i="31"/>
  <c r="NK132" i="31"/>
  <c r="NL132" i="31"/>
  <c r="NG133" i="31"/>
  <c r="OQ133" i="31"/>
  <c r="NA132" i="31"/>
  <c r="NB132" i="31"/>
  <c r="KV131" i="31" l="1"/>
  <c r="KW132" i="31" s="1"/>
  <c r="HQ131" i="31"/>
  <c r="HR132" i="31" s="1"/>
  <c r="HT131" i="31"/>
  <c r="HS131" i="31"/>
  <c r="JG131" i="31" s="1"/>
  <c r="NC133" i="31"/>
  <c r="MQ133" i="31"/>
  <c r="OR133" i="31"/>
  <c r="EN131" i="31"/>
  <c r="AZ131" i="31"/>
  <c r="EM131" i="31"/>
  <c r="EW131" i="31" s="1"/>
  <c r="BB132" i="31" l="1"/>
  <c r="DW131" i="31"/>
  <c r="DU132" i="31" s="1"/>
  <c r="EQ131" i="31"/>
  <c r="IW131" i="31"/>
  <c r="ER132" i="31"/>
  <c r="IU131" i="31"/>
  <c r="IV131" i="31" s="1"/>
  <c r="IC131" i="31"/>
  <c r="ID131" i="31" s="1"/>
  <c r="IF131" i="31" s="1"/>
  <c r="KH131" i="31" s="1"/>
  <c r="JB131" i="31"/>
  <c r="KB131" i="31" l="1"/>
  <c r="IX131" i="31"/>
  <c r="KK131" i="31"/>
  <c r="EU132" i="31"/>
  <c r="IM131" i="31"/>
  <c r="GM131" i="31"/>
  <c r="DB131" i="31"/>
  <c r="DC131" i="31" s="1"/>
  <c r="DD132" i="31" s="1"/>
  <c r="DE133" i="31" s="1"/>
  <c r="KI132" i="31"/>
  <c r="IN131" i="31"/>
  <c r="DF131" i="31"/>
  <c r="BC132" i="31"/>
  <c r="GT133" i="31" l="1"/>
  <c r="DT131" i="31"/>
  <c r="DZ131" i="31" s="1"/>
  <c r="GV131" i="31"/>
  <c r="FD131" i="31"/>
  <c r="GU131" i="31"/>
  <c r="KJ132" i="31"/>
  <c r="GR131" i="31"/>
  <c r="BD132" i="31"/>
  <c r="BE132" i="31"/>
  <c r="IS131" i="31" l="1"/>
  <c r="FL132" i="31"/>
  <c r="GS131" i="31"/>
  <c r="BF132" i="31"/>
  <c r="BG132" i="31"/>
  <c r="BI132" i="31" l="1"/>
  <c r="BK132" i="31" s="1"/>
  <c r="BH132" i="31"/>
  <c r="GY131" i="31"/>
  <c r="GX131" i="31"/>
  <c r="GW131" i="31"/>
  <c r="HC131" i="31" s="1"/>
  <c r="FA132" i="31" s="1"/>
  <c r="HB132" i="31" s="1"/>
  <c r="FM132" i="31"/>
  <c r="JH131" i="31"/>
  <c r="JI131" i="31" s="1"/>
  <c r="IT131" i="31"/>
  <c r="BJ132" i="31" l="1"/>
  <c r="EG131" i="31"/>
  <c r="EH132" i="31" s="1"/>
  <c r="EI132" i="31" s="1"/>
  <c r="FK132" i="31" s="1"/>
  <c r="EY131" i="31"/>
  <c r="HM131" i="31"/>
  <c r="HK132" i="31"/>
  <c r="JK131" i="31"/>
  <c r="JN131" i="31" s="1"/>
  <c r="JV131" i="31" s="1"/>
  <c r="JF132" i="31" s="1"/>
  <c r="BL132" i="31"/>
  <c r="BM132" i="31"/>
  <c r="JY132" i="31" l="1"/>
  <c r="JW132" i="31"/>
  <c r="JZ131" i="31"/>
  <c r="KF131" i="31" s="1"/>
  <c r="IQ132" i="31" s="1"/>
  <c r="ED131" i="31"/>
  <c r="EB132" i="31" s="1"/>
  <c r="EE131" i="31"/>
  <c r="EF132" i="31" s="1"/>
  <c r="EJ131" i="31"/>
  <c r="EK132" i="31" s="1"/>
  <c r="EZ131" i="31"/>
  <c r="DG131" i="31"/>
  <c r="DH131" i="31" s="1"/>
  <c r="DI132" i="31" s="1"/>
  <c r="JM131" i="31"/>
  <c r="KD131" i="31" s="1"/>
  <c r="IL132" i="31" s="1"/>
  <c r="JL131" i="31"/>
  <c r="JJ132" i="31" s="1"/>
  <c r="KA132" i="31"/>
  <c r="BN132" i="31"/>
  <c r="BO132" i="31"/>
  <c r="BP132" i="31" s="1"/>
  <c r="DJ132" i="31" l="1"/>
  <c r="DK132" i="31" s="1"/>
  <c r="GZ132" i="31"/>
  <c r="IE132" i="31" s="1"/>
  <c r="HZ132" i="31"/>
  <c r="EO132" i="31"/>
  <c r="ES133" i="31" s="1"/>
  <c r="EL132" i="31"/>
  <c r="FC132" i="31"/>
  <c r="EP132" i="31"/>
  <c r="ET133" i="31" s="1"/>
  <c r="EV132" i="31"/>
  <c r="BQ132" i="31"/>
  <c r="IO132" i="31"/>
  <c r="IP132" i="31"/>
  <c r="JO132" i="31"/>
  <c r="JA132" i="31"/>
  <c r="IY132" i="31"/>
  <c r="JE132" i="31"/>
  <c r="IR132" i="31"/>
  <c r="KG132" i="31" s="1"/>
  <c r="DP132" i="31"/>
  <c r="JC132" i="31"/>
  <c r="JD132" i="31"/>
  <c r="JP132" i="31" l="1"/>
  <c r="JQ132" i="31" s="1"/>
  <c r="JX132" i="31"/>
  <c r="BR132" i="31"/>
  <c r="BS132" i="31"/>
  <c r="EC132" i="31"/>
  <c r="DM132" i="31"/>
  <c r="DX132" i="31"/>
  <c r="FQ132" i="31"/>
  <c r="DL132" i="31" l="1"/>
  <c r="L133" i="31"/>
  <c r="EX132" i="31"/>
  <c r="M132" i="31" s="1"/>
  <c r="FB132" i="31"/>
  <c r="BT132" i="31"/>
  <c r="BU132" i="31"/>
  <c r="BV132" i="31" l="1"/>
  <c r="BW132" i="31" s="1"/>
  <c r="MJ132" i="31"/>
  <c r="NS132" i="31" s="1"/>
  <c r="MB132" i="31"/>
  <c r="NM132" i="31" s="1"/>
  <c r="NN132" i="31" s="1"/>
  <c r="NT132" i="31" l="1"/>
  <c r="OU133" i="31"/>
  <c r="OV133" i="31"/>
  <c r="NW132" i="31"/>
  <c r="BX132" i="31"/>
  <c r="BY132" i="31"/>
  <c r="BZ132" i="31" l="1"/>
  <c r="CA132" i="31"/>
  <c r="NX132" i="31"/>
  <c r="FR132" i="31"/>
  <c r="FV132" i="31"/>
  <c r="CX132" i="31"/>
  <c r="NU132" i="31"/>
  <c r="CB132" i="31" l="1"/>
  <c r="CC132" i="31" s="1"/>
  <c r="NV132" i="31"/>
  <c r="NZ132" i="31"/>
  <c r="MY132" i="31"/>
  <c r="CY133" i="31"/>
  <c r="NY132" i="31"/>
  <c r="OF132" i="31"/>
  <c r="OS133" i="31" s="1"/>
  <c r="CD132" i="31" l="1"/>
  <c r="CE132" i="31"/>
  <c r="CF132" i="31" s="1"/>
  <c r="OA132" i="31"/>
  <c r="MV133" i="31" s="1"/>
  <c r="OG133" i="31" s="1"/>
  <c r="OB132" i="31"/>
  <c r="OT133" i="31" s="1"/>
  <c r="OI132" i="31"/>
  <c r="MZ133" i="31"/>
  <c r="OZ132" i="31"/>
  <c r="OO133" i="31"/>
  <c r="OM133" i="31"/>
  <c r="NF133" i="31"/>
  <c r="CG132" i="31" l="1"/>
  <c r="CH132" i="31" s="1"/>
  <c r="CI132" i="31" s="1"/>
  <c r="KT133" i="31"/>
  <c r="KM133" i="31" s="1"/>
  <c r="KO134" i="31" s="1"/>
  <c r="OC132" i="31"/>
  <c r="OD133" i="31" s="1"/>
  <c r="OH133" i="31" s="1"/>
  <c r="OK133" i="31" s="1"/>
  <c r="PA132" i="31"/>
  <c r="OJ132" i="31"/>
  <c r="MR133" i="31"/>
  <c r="OW132" i="31"/>
  <c r="OX133" i="31"/>
  <c r="KL133" i="31" l="1"/>
  <c r="KN134" i="31" s="1"/>
  <c r="KQ133" i="31" s="1"/>
  <c r="CJ132" i="31"/>
  <c r="CO132" i="31" s="1"/>
  <c r="CK132" i="31"/>
  <c r="CL132" i="31" s="1"/>
  <c r="MS133" i="31"/>
  <c r="KR133" i="31"/>
  <c r="MW133" i="31"/>
  <c r="OY133" i="31"/>
  <c r="KP134" i="31" l="1"/>
  <c r="CM132" i="31"/>
  <c r="CN132" i="31" s="1"/>
  <c r="KS133" i="31"/>
  <c r="MU133" i="31"/>
  <c r="MT133" i="31"/>
  <c r="NQ133" i="31"/>
  <c r="NP133" i="31"/>
  <c r="NJ133" i="31"/>
  <c r="MO133" i="31"/>
  <c r="NH134" i="31"/>
  <c r="NI134" i="31" s="1"/>
  <c r="PE133" i="31"/>
  <c r="MX133" i="31"/>
  <c r="CP132" i="31"/>
  <c r="NK133" i="31" l="1"/>
  <c r="NL133" i="31"/>
  <c r="NG134" i="31"/>
  <c r="OQ134" i="31"/>
  <c r="GB132" i="31"/>
  <c r="GC132" i="31" s="1"/>
  <c r="FH132" i="31"/>
  <c r="FI132" i="31" s="1"/>
  <c r="CQ132" i="31"/>
  <c r="FU132" i="31"/>
  <c r="FW132" i="31" s="1"/>
  <c r="GO132" i="31"/>
  <c r="FE132" i="31"/>
  <c r="FF132" i="31" s="1"/>
  <c r="DQ132" i="31"/>
  <c r="DR132" i="31" s="1"/>
  <c r="FZ132" i="31"/>
  <c r="GA132" i="31" s="1"/>
  <c r="JR132" i="31"/>
  <c r="JS132" i="31" s="1"/>
  <c r="FP132" i="31"/>
  <c r="FS132" i="31" s="1"/>
  <c r="HO132" i="31"/>
  <c r="FX132" i="31"/>
  <c r="FY132" i="31" s="1"/>
  <c r="KX132" i="31"/>
  <c r="KU132" i="31"/>
  <c r="NR133" i="31"/>
  <c r="NB133" i="31"/>
  <c r="NA133" i="31"/>
  <c r="GN132" i="31" l="1"/>
  <c r="HU132" i="31"/>
  <c r="HV133" i="31" s="1"/>
  <c r="FJ133" i="31"/>
  <c r="OR134" i="31"/>
  <c r="IA132" i="31"/>
  <c r="IB132" i="31" s="1"/>
  <c r="HP132" i="31"/>
  <c r="IZ132" i="31"/>
  <c r="DS132" i="31"/>
  <c r="AX132" i="31" s="1"/>
  <c r="AY133" i="31" s="1"/>
  <c r="HA132" i="31"/>
  <c r="HY132" i="31"/>
  <c r="DY132" i="31"/>
  <c r="HW132" i="31"/>
  <c r="HX133" i="31" s="1"/>
  <c r="FG133" i="31"/>
  <c r="NC134" i="31"/>
  <c r="MQ134" i="31"/>
  <c r="CR132" i="31"/>
  <c r="CT132" i="31"/>
  <c r="CS132" i="31"/>
  <c r="KE132" i="31"/>
  <c r="JU132" i="31"/>
  <c r="JT133" i="31"/>
  <c r="KC132" i="31"/>
  <c r="GQ132" i="31"/>
  <c r="KV132" i="31"/>
  <c r="KW133" i="31" l="1"/>
  <c r="HQ132" i="31"/>
  <c r="HR133" i="31" s="1"/>
  <c r="HS132" i="31"/>
  <c r="JG132" i="31" s="1"/>
  <c r="HT132" i="31"/>
  <c r="EN132" i="31"/>
  <c r="AZ132" i="31"/>
  <c r="EM132" i="31"/>
  <c r="EW132" i="31" s="1"/>
  <c r="BB133" i="31" l="1"/>
  <c r="EQ132" i="31"/>
  <c r="DW132" i="31"/>
  <c r="DU133" i="31" s="1"/>
  <c r="ER133" i="31"/>
  <c r="IU132" i="31"/>
  <c r="IV132" i="31" s="1"/>
  <c r="IC132" i="31"/>
  <c r="ID132" i="31" s="1"/>
  <c r="IF132" i="31" s="1"/>
  <c r="KH132" i="31" s="1"/>
  <c r="JB132" i="31"/>
  <c r="IW132" i="31" l="1"/>
  <c r="KB132" i="31" s="1"/>
  <c r="KK132" i="31"/>
  <c r="IX132" i="31"/>
  <c r="EU133" i="31"/>
  <c r="GM132" i="31"/>
  <c r="DB132" i="31"/>
  <c r="DC132" i="31" s="1"/>
  <c r="DD133" i="31" s="1"/>
  <c r="DE134" i="31" s="1"/>
  <c r="IM132" i="31"/>
  <c r="KI133" i="31"/>
  <c r="IN132" i="31"/>
  <c r="DF132" i="31"/>
  <c r="BC133" i="31"/>
  <c r="GT134" i="31" l="1"/>
  <c r="KJ133" i="31"/>
  <c r="DT132" i="31"/>
  <c r="DZ132" i="31" s="1"/>
  <c r="FD132" i="31"/>
  <c r="GU132" i="31"/>
  <c r="GV132" i="31"/>
  <c r="BD133" i="31"/>
  <c r="BE133" i="31"/>
  <c r="GR132" i="31"/>
  <c r="IS132" i="31" l="1"/>
  <c r="FL133" i="31"/>
  <c r="GS132" i="31"/>
  <c r="BF133" i="31"/>
  <c r="BG133" i="31"/>
  <c r="BH133" i="31" l="1"/>
  <c r="BI133" i="31"/>
  <c r="BK133" i="31" s="1"/>
  <c r="GY132" i="31"/>
  <c r="GW132" i="31"/>
  <c r="HC132" i="31" s="1"/>
  <c r="FA133" i="31" s="1"/>
  <c r="HB133" i="31" s="1"/>
  <c r="GX132" i="31"/>
  <c r="FM133" i="31"/>
  <c r="JH132" i="31"/>
  <c r="JI132" i="31" s="1"/>
  <c r="IT132" i="31"/>
  <c r="BJ133" i="31" l="1"/>
  <c r="JK132" i="31"/>
  <c r="JZ132" i="31" s="1"/>
  <c r="KF132" i="31" s="1"/>
  <c r="IQ133" i="31" s="1"/>
  <c r="EG132" i="31"/>
  <c r="EH133" i="31" s="1"/>
  <c r="EI133" i="31" s="1"/>
  <c r="FK133" i="31" s="1"/>
  <c r="HM132" i="31"/>
  <c r="EY132" i="31"/>
  <c r="HK133" i="31"/>
  <c r="BL133" i="31"/>
  <c r="BM133" i="31"/>
  <c r="JM132" i="31" l="1"/>
  <c r="KD132" i="31" s="1"/>
  <c r="IL133" i="31" s="1"/>
  <c r="IR133" i="31" s="1"/>
  <c r="EZ132" i="31"/>
  <c r="DG132" i="31"/>
  <c r="DH132" i="31" s="1"/>
  <c r="DI133" i="31" s="1"/>
  <c r="EE132" i="31"/>
  <c r="EF133" i="31" s="1"/>
  <c r="EJ132" i="31"/>
  <c r="EK133" i="31" s="1"/>
  <c r="ED132" i="31"/>
  <c r="EB133" i="31" s="1"/>
  <c r="IY133" i="31" s="1"/>
  <c r="BN133" i="31"/>
  <c r="BO133" i="31"/>
  <c r="JN132" i="31"/>
  <c r="JV132" i="31" s="1"/>
  <c r="JF133" i="31" s="1"/>
  <c r="JL132" i="31"/>
  <c r="JJ133" i="31" s="1"/>
  <c r="KA133" i="31"/>
  <c r="JE133" i="31" l="1"/>
  <c r="IO133" i="31"/>
  <c r="JO133" i="31"/>
  <c r="IP133" i="31"/>
  <c r="JP133" i="31"/>
  <c r="JQ133" i="31" s="1"/>
  <c r="EP133" i="31"/>
  <c r="ET134" i="31" s="1"/>
  <c r="FC133" i="31"/>
  <c r="EO133" i="31"/>
  <c r="ES134" i="31" s="1"/>
  <c r="EL133" i="31"/>
  <c r="JX133" i="31" s="1"/>
  <c r="EV133" i="31"/>
  <c r="HZ133" i="31"/>
  <c r="JC133" i="31"/>
  <c r="JD133" i="31"/>
  <c r="GZ133" i="31"/>
  <c r="IE133" i="31" s="1"/>
  <c r="DJ133" i="31"/>
  <c r="DK133" i="31" s="1"/>
  <c r="JY133" i="31"/>
  <c r="JW133" i="31"/>
  <c r="JA133" i="31"/>
  <c r="BP133" i="31"/>
  <c r="BQ133" i="31" s="1"/>
  <c r="DP133" i="31"/>
  <c r="BR133" i="31" l="1"/>
  <c r="BS133" i="31"/>
  <c r="EC133" i="31"/>
  <c r="KG133" i="31"/>
  <c r="DM133" i="31"/>
  <c r="FQ133" i="31"/>
  <c r="DX133" i="31"/>
  <c r="DL133" i="31" l="1"/>
  <c r="L134" i="31"/>
  <c r="FB133" i="31"/>
  <c r="EX133" i="31"/>
  <c r="M133" i="31" s="1"/>
  <c r="BT133" i="31"/>
  <c r="BU133" i="31"/>
  <c r="BV133" i="31" l="1"/>
  <c r="BW133" i="31" s="1"/>
  <c r="MB133" i="31"/>
  <c r="NM133" i="31" s="1"/>
  <c r="NN133" i="31" s="1"/>
  <c r="MJ133" i="31"/>
  <c r="NS133" i="31" s="1"/>
  <c r="OV134" i="31" l="1"/>
  <c r="NW133" i="31"/>
  <c r="BY133" i="31"/>
  <c r="BX133" i="31"/>
  <c r="NT133" i="31"/>
  <c r="OU134" i="31"/>
  <c r="BZ133" i="31" l="1"/>
  <c r="CA133" i="31"/>
  <c r="NX133" i="31"/>
  <c r="OF133" i="31" s="1"/>
  <c r="OS134" i="31" s="1"/>
  <c r="FR133" i="31"/>
  <c r="CX133" i="31"/>
  <c r="FV133" i="31"/>
  <c r="NU133" i="31"/>
  <c r="CB133" i="31" l="1"/>
  <c r="CC133" i="31" s="1"/>
  <c r="NV133" i="31"/>
  <c r="NZ133" i="31"/>
  <c r="MY133" i="31"/>
  <c r="CY134" i="31"/>
  <c r="NY133" i="31"/>
  <c r="CD133" i="31" l="1"/>
  <c r="CE133" i="31"/>
  <c r="CF133" i="31" s="1"/>
  <c r="OO134" i="31"/>
  <c r="NF134" i="31"/>
  <c r="OM134" i="31"/>
  <c r="MZ134" i="31"/>
  <c r="OZ133" i="31"/>
  <c r="OI133" i="31"/>
  <c r="OB133" i="31"/>
  <c r="OT134" i="31" s="1"/>
  <c r="OA133" i="31"/>
  <c r="MV134" i="31" s="1"/>
  <c r="CG133" i="31" l="1"/>
  <c r="CH133" i="31" s="1"/>
  <c r="CI133" i="31" s="1"/>
  <c r="PA133" i="31"/>
  <c r="OC133" i="31"/>
  <c r="OD134" i="31" s="1"/>
  <c r="OH134" i="31" s="1"/>
  <c r="OJ133" i="31"/>
  <c r="OX134" i="31"/>
  <c r="OW133" i="31"/>
  <c r="MR134" i="31"/>
  <c r="KT134" i="31"/>
  <c r="OG134" i="31"/>
  <c r="CK133" i="31" l="1"/>
  <c r="CM133" i="31" s="1"/>
  <c r="CN133" i="31" s="1"/>
  <c r="CJ133" i="31"/>
  <c r="CO133" i="31" s="1"/>
  <c r="OK134" i="31"/>
  <c r="MS134" i="31"/>
  <c r="OY134" i="31"/>
  <c r="MW134" i="31"/>
  <c r="KM134" i="31"/>
  <c r="KO135" i="31" s="1"/>
  <c r="KL134" i="31"/>
  <c r="KN135" i="31" s="1"/>
  <c r="CL133" i="31" l="1"/>
  <c r="KP135" i="31"/>
  <c r="KR134" i="31"/>
  <c r="MX134" i="31"/>
  <c r="CP133" i="31"/>
  <c r="KQ134" i="31"/>
  <c r="NH135" i="31"/>
  <c r="NI135" i="31" s="1"/>
  <c r="MT134" i="31"/>
  <c r="NJ134" i="31"/>
  <c r="NQ134" i="31"/>
  <c r="MU134" i="31"/>
  <c r="NP134" i="31"/>
  <c r="MO134" i="31"/>
  <c r="PE134" i="31"/>
  <c r="NB134" i="31" l="1"/>
  <c r="NA134" i="31"/>
  <c r="NK134" i="31"/>
  <c r="NL134" i="31"/>
  <c r="NG135" i="31"/>
  <c r="OQ135" i="31"/>
  <c r="NR134" i="31"/>
  <c r="KS134" i="31"/>
  <c r="GB133" i="31"/>
  <c r="GC133" i="31" s="1"/>
  <c r="JR133" i="31"/>
  <c r="JS133" i="31" s="1"/>
  <c r="FU133" i="31"/>
  <c r="FW133" i="31" s="1"/>
  <c r="FZ133" i="31"/>
  <c r="GA133" i="31" s="1"/>
  <c r="DQ133" i="31"/>
  <c r="DR133" i="31" s="1"/>
  <c r="FX133" i="31"/>
  <c r="FY133" i="31" s="1"/>
  <c r="FE133" i="31"/>
  <c r="FF133" i="31" s="1"/>
  <c r="FH133" i="31"/>
  <c r="FI133" i="31" s="1"/>
  <c r="HO133" i="31"/>
  <c r="GO133" i="31"/>
  <c r="FP133" i="31"/>
  <c r="FS133" i="31" s="1"/>
  <c r="CQ133" i="31"/>
  <c r="KX133" i="31"/>
  <c r="KU133" i="31"/>
  <c r="GN133" i="31" l="1"/>
  <c r="GQ133" i="31" s="1"/>
  <c r="NC135" i="31"/>
  <c r="MQ135" i="31"/>
  <c r="DS133" i="31"/>
  <c r="AX133" i="31" s="1"/>
  <c r="AY134" i="31" s="1"/>
  <c r="JU133" i="31"/>
  <c r="KE133" i="31"/>
  <c r="JT134" i="31"/>
  <c r="KC133" i="31"/>
  <c r="OR135" i="31"/>
  <c r="DY133" i="31"/>
  <c r="HA133" i="31"/>
  <c r="HY133" i="31"/>
  <c r="IA133" i="31"/>
  <c r="IB133" i="31" s="1"/>
  <c r="HP133" i="31"/>
  <c r="IZ133" i="31"/>
  <c r="HU133" i="31"/>
  <c r="HV134" i="31" s="1"/>
  <c r="FJ134" i="31"/>
  <c r="HW133" i="31"/>
  <c r="HX134" i="31" s="1"/>
  <c r="FG134" i="31"/>
  <c r="CT133" i="31"/>
  <c r="CR133" i="31"/>
  <c r="CS133" i="31"/>
  <c r="KV133" i="31" l="1"/>
  <c r="KW134" i="31" s="1"/>
  <c r="HQ133" i="31"/>
  <c r="HR134" i="31" s="1"/>
  <c r="HS133" i="31"/>
  <c r="JG133" i="31" s="1"/>
  <c r="HT133" i="31"/>
  <c r="EM133" i="31"/>
  <c r="EW133" i="31" s="1"/>
  <c r="AZ133" i="31"/>
  <c r="EN133" i="31"/>
  <c r="BB134" i="31" l="1"/>
  <c r="EQ133" i="31"/>
  <c r="DW133" i="31"/>
  <c r="DU134" i="31" s="1"/>
  <c r="ER134" i="31"/>
  <c r="IU133" i="31"/>
  <c r="IV133" i="31" s="1"/>
  <c r="IC133" i="31"/>
  <c r="ID133" i="31" s="1"/>
  <c r="IF133" i="31" s="1"/>
  <c r="KH133" i="31" s="1"/>
  <c r="JB133" i="31"/>
  <c r="IW133" i="31" l="1"/>
  <c r="KB133" i="31" s="1"/>
  <c r="EU134" i="31"/>
  <c r="BC134" i="31"/>
  <c r="IM133" i="31"/>
  <c r="DB133" i="31"/>
  <c r="DC133" i="31" s="1"/>
  <c r="DD134" i="31" s="1"/>
  <c r="DE135" i="31" s="1"/>
  <c r="GM133" i="31"/>
  <c r="KI134" i="31"/>
  <c r="IN133" i="31"/>
  <c r="DF133" i="31"/>
  <c r="IX133" i="31"/>
  <c r="KK133" i="31"/>
  <c r="DT133" i="31" l="1"/>
  <c r="DZ133" i="31" s="1"/>
  <c r="GT135" i="31"/>
  <c r="BE134" i="31"/>
  <c r="BD134" i="31"/>
  <c r="GR133" i="31"/>
  <c r="FD133" i="31"/>
  <c r="GV133" i="31"/>
  <c r="GU133" i="31"/>
  <c r="KJ134" i="31"/>
  <c r="IS133" i="31" l="1"/>
  <c r="FL134" i="31"/>
  <c r="GS133" i="31"/>
  <c r="BF134" i="31"/>
  <c r="BG134" i="31"/>
  <c r="FM134" i="31" l="1"/>
  <c r="BI134" i="31"/>
  <c r="BK134" i="31" s="1"/>
  <c r="BH134" i="31"/>
  <c r="GW133" i="31"/>
  <c r="HC133" i="31" s="1"/>
  <c r="FA134" i="31" s="1"/>
  <c r="HB134" i="31" s="1"/>
  <c r="GX133" i="31"/>
  <c r="GY133" i="31"/>
  <c r="JH133" i="31"/>
  <c r="JI133" i="31" s="1"/>
  <c r="IT133" i="31"/>
  <c r="JK133" i="31" l="1"/>
  <c r="JN133" i="31" s="1"/>
  <c r="JV133" i="31" s="1"/>
  <c r="JF134" i="31" s="1"/>
  <c r="BL134" i="31"/>
  <c r="BM134" i="31"/>
  <c r="EY133" i="31"/>
  <c r="EG133" i="31"/>
  <c r="EH134" i="31" s="1"/>
  <c r="EI134" i="31" s="1"/>
  <c r="FK134" i="31" s="1"/>
  <c r="HM133" i="31"/>
  <c r="HK134" i="31"/>
  <c r="BJ134" i="31"/>
  <c r="JM133" i="31" l="1"/>
  <c r="KD133" i="31" s="1"/>
  <c r="IL134" i="31" s="1"/>
  <c r="JY134" i="31"/>
  <c r="JW134" i="31"/>
  <c r="ED133" i="31"/>
  <c r="EB134" i="31" s="1"/>
  <c r="EE133" i="31"/>
  <c r="EF134" i="31" s="1"/>
  <c r="EJ133" i="31"/>
  <c r="EK134" i="31" s="1"/>
  <c r="BO134" i="31"/>
  <c r="BN134" i="31"/>
  <c r="JZ133" i="31"/>
  <c r="KF133" i="31" s="1"/>
  <c r="IQ134" i="31" s="1"/>
  <c r="IR134" i="31" s="1"/>
  <c r="JL133" i="31"/>
  <c r="JJ134" i="31" s="1"/>
  <c r="KA134" i="31"/>
  <c r="EZ133" i="31"/>
  <c r="DG133" i="31"/>
  <c r="DH133" i="31" s="1"/>
  <c r="DI134" i="31" s="1"/>
  <c r="IO134" i="31" l="1"/>
  <c r="GZ134" i="31"/>
  <c r="IE134" i="31" s="1"/>
  <c r="DJ134" i="31"/>
  <c r="DK134" i="31" s="1"/>
  <c r="DP134" i="31"/>
  <c r="IP134" i="31"/>
  <c r="IY134" i="31"/>
  <c r="JA134" i="31"/>
  <c r="JO134" i="31"/>
  <c r="JE134" i="31"/>
  <c r="HZ134" i="31"/>
  <c r="BP134" i="31"/>
  <c r="BQ134" i="31" s="1"/>
  <c r="EL134" i="31"/>
  <c r="EO134" i="31"/>
  <c r="ES135" i="31" s="1"/>
  <c r="EP134" i="31"/>
  <c r="ET135" i="31" s="1"/>
  <c r="FC134" i="31"/>
  <c r="EV134" i="31"/>
  <c r="JC134" i="31"/>
  <c r="JD134" i="31"/>
  <c r="JP134" i="31" l="1"/>
  <c r="JQ134" i="31" s="1"/>
  <c r="JX134" i="31"/>
  <c r="BR134" i="31"/>
  <c r="BS134" i="31"/>
  <c r="DM134" i="31"/>
  <c r="FQ134" i="31"/>
  <c r="DX134" i="31"/>
  <c r="EC134" i="31"/>
  <c r="KG134" i="31"/>
  <c r="BT134" i="31" l="1"/>
  <c r="BU134" i="31"/>
  <c r="BV134" i="31" s="1"/>
  <c r="BW134" i="31" s="1"/>
  <c r="DL134" i="31"/>
  <c r="L135" i="31"/>
  <c r="EX134" i="31"/>
  <c r="M134" i="31" s="1"/>
  <c r="FB134" i="31"/>
  <c r="BX134" i="31" l="1"/>
  <c r="BY134" i="31"/>
  <c r="MB134" i="31"/>
  <c r="NM134" i="31" s="1"/>
  <c r="NN134" i="31" s="1"/>
  <c r="MJ134" i="31"/>
  <c r="NS134" i="31" s="1"/>
  <c r="NT134" i="31" l="1"/>
  <c r="OU135" i="31"/>
  <c r="OV135" i="31"/>
  <c r="NW134" i="31"/>
  <c r="BZ134" i="31"/>
  <c r="CA134" i="31"/>
  <c r="CB134" i="31" l="1"/>
  <c r="CC134" i="31" s="1"/>
  <c r="NX134" i="31"/>
  <c r="CX134" i="31"/>
  <c r="FV134" i="31"/>
  <c r="FR134" i="31"/>
  <c r="NU134" i="31"/>
  <c r="CD134" i="31" l="1"/>
  <c r="CE134" i="31"/>
  <c r="CG134" i="31" s="1"/>
  <c r="NV134" i="31"/>
  <c r="NY134" i="31"/>
  <c r="NZ134" i="31"/>
  <c r="MY134" i="31"/>
  <c r="CY135" i="31"/>
  <c r="OF134" i="31"/>
  <c r="OS135" i="31" s="1"/>
  <c r="CF134" i="31" l="1"/>
  <c r="OA134" i="31"/>
  <c r="MV135" i="31" s="1"/>
  <c r="OG135" i="31" s="1"/>
  <c r="OO135" i="31"/>
  <c r="OM135" i="31"/>
  <c r="NF135" i="31"/>
  <c r="MZ135" i="31"/>
  <c r="OZ134" i="31"/>
  <c r="OB134" i="31"/>
  <c r="OT135" i="31" s="1"/>
  <c r="OI134" i="31"/>
  <c r="CH134" i="31"/>
  <c r="CI134" i="31" s="1"/>
  <c r="CJ134" i="31" l="1"/>
  <c r="CO134" i="31" s="1"/>
  <c r="CK134" i="31"/>
  <c r="CL134" i="31" s="1"/>
  <c r="KT135" i="31"/>
  <c r="KL135" i="31" s="1"/>
  <c r="KN136" i="31" s="1"/>
  <c r="OJ134" i="31"/>
  <c r="OC134" i="31"/>
  <c r="OD135" i="31" s="1"/>
  <c r="OH135" i="31" s="1"/>
  <c r="OK135" i="31" s="1"/>
  <c r="PA134" i="31"/>
  <c r="MR135" i="31"/>
  <c r="OW134" i="31"/>
  <c r="OX135" i="31"/>
  <c r="CM134" i="31" l="1"/>
  <c r="CN134" i="31" s="1"/>
  <c r="CP134" i="31" s="1"/>
  <c r="KM135" i="31"/>
  <c r="KO136" i="31" s="1"/>
  <c r="KP136" i="31" s="1"/>
  <c r="OY135" i="31"/>
  <c r="MW135" i="31"/>
  <c r="MS135" i="31"/>
  <c r="KQ135" i="31"/>
  <c r="GO134" i="31" l="1"/>
  <c r="FU134" i="31"/>
  <c r="FW134" i="31" s="1"/>
  <c r="GB134" i="31"/>
  <c r="GC134" i="31" s="1"/>
  <c r="FX134" i="31"/>
  <c r="FY134" i="31" s="1"/>
  <c r="FZ134" i="31"/>
  <c r="GA134" i="31" s="1"/>
  <c r="CQ134" i="31"/>
  <c r="CT134" i="31" s="1"/>
  <c r="HO134" i="31"/>
  <c r="IA134" i="31" s="1"/>
  <c r="IB134" i="31" s="1"/>
  <c r="FP134" i="31"/>
  <c r="FS134" i="31" s="1"/>
  <c r="HY134" i="31" s="1"/>
  <c r="JR134" i="31"/>
  <c r="JS134" i="31" s="1"/>
  <c r="KC134" i="31" s="1"/>
  <c r="KU134" i="31"/>
  <c r="DQ134" i="31"/>
  <c r="DR134" i="31" s="1"/>
  <c r="DS134" i="31" s="1"/>
  <c r="AX134" i="31" s="1"/>
  <c r="AY135" i="31" s="1"/>
  <c r="KX134" i="31"/>
  <c r="GN134" i="31" s="1"/>
  <c r="GQ134" i="31" s="1"/>
  <c r="FE134" i="31"/>
  <c r="FF134" i="31" s="1"/>
  <c r="HW134" i="31" s="1"/>
  <c r="HX135" i="31" s="1"/>
  <c r="FH134" i="31"/>
  <c r="FI134" i="31" s="1"/>
  <c r="HU134" i="31" s="1"/>
  <c r="HV135" i="31" s="1"/>
  <c r="KR135" i="31"/>
  <c r="KS135" i="31" s="1"/>
  <c r="MT135" i="31"/>
  <c r="MO135" i="31"/>
  <c r="NJ135" i="31"/>
  <c r="MU135" i="31"/>
  <c r="NP135" i="31"/>
  <c r="NH136" i="31"/>
  <c r="NI136" i="31" s="1"/>
  <c r="NQ135" i="31"/>
  <c r="PE135" i="31"/>
  <c r="MX135" i="31"/>
  <c r="HP134" i="31" l="1"/>
  <c r="HS134" i="31" s="1"/>
  <c r="JG134" i="31" s="1"/>
  <c r="CS134" i="31"/>
  <c r="HA134" i="31"/>
  <c r="DY134" i="31"/>
  <c r="IZ134" i="31"/>
  <c r="CR134" i="31"/>
  <c r="KE134" i="31"/>
  <c r="KV134" i="31"/>
  <c r="EM134" i="31"/>
  <c r="EW134" i="31" s="1"/>
  <c r="JU134" i="31"/>
  <c r="AZ134" i="31"/>
  <c r="JT135" i="31"/>
  <c r="FG135" i="31"/>
  <c r="FJ135" i="31"/>
  <c r="EN134" i="31"/>
  <c r="BB135" i="31" s="1"/>
  <c r="NL135" i="31"/>
  <c r="NK135" i="31"/>
  <c r="NG136" i="31"/>
  <c r="OQ136" i="31"/>
  <c r="NB135" i="31"/>
  <c r="NA135" i="31"/>
  <c r="NR135" i="31"/>
  <c r="HT134" i="31" l="1"/>
  <c r="JB134" i="31" s="1"/>
  <c r="KW135" i="31"/>
  <c r="HQ134" i="31"/>
  <c r="HR135" i="31" s="1"/>
  <c r="IU134" i="31"/>
  <c r="IV134" i="31" s="1"/>
  <c r="KK134" i="31" s="1"/>
  <c r="ER135" i="31"/>
  <c r="EU135" i="31" s="1"/>
  <c r="DW134" i="31"/>
  <c r="DU135" i="31" s="1"/>
  <c r="EQ134" i="31"/>
  <c r="IW134" i="31"/>
  <c r="IC134" i="31"/>
  <c r="ID134" i="31" s="1"/>
  <c r="IF134" i="31" s="1"/>
  <c r="KH134" i="31" s="1"/>
  <c r="NC136" i="31"/>
  <c r="MQ136" i="31"/>
  <c r="OR136" i="31"/>
  <c r="BC135" i="31"/>
  <c r="KB134" i="31" l="1"/>
  <c r="IX134" i="31"/>
  <c r="BE135" i="31"/>
  <c r="BD135" i="31"/>
  <c r="DF134" i="31"/>
  <c r="GM134" i="31"/>
  <c r="DB134" i="31"/>
  <c r="DC134" i="31" s="1"/>
  <c r="DD135" i="31" s="1"/>
  <c r="DE136" i="31" s="1"/>
  <c r="IM134" i="31"/>
  <c r="DT134" i="31" s="1"/>
  <c r="DZ134" i="31" s="1"/>
  <c r="KI135" i="31"/>
  <c r="IN134" i="31"/>
  <c r="GT136" i="31" l="1"/>
  <c r="GV134" i="31"/>
  <c r="FD134" i="31"/>
  <c r="GU134" i="31"/>
  <c r="GR134" i="31"/>
  <c r="KJ135" i="31"/>
  <c r="BF135" i="31"/>
  <c r="BG135" i="31"/>
  <c r="GS134" i="31" l="1"/>
  <c r="IS134" i="31"/>
  <c r="FL135" i="31"/>
  <c r="BI135" i="31"/>
  <c r="BK135" i="31" s="1"/>
  <c r="BH135" i="31"/>
  <c r="BL135" i="31" l="1"/>
  <c r="BM135" i="31"/>
  <c r="JH134" i="31"/>
  <c r="JI134" i="31" s="1"/>
  <c r="IT134" i="31"/>
  <c r="FM135" i="31"/>
  <c r="BJ135" i="31"/>
  <c r="GY134" i="31"/>
  <c r="GX134" i="31"/>
  <c r="GW134" i="31"/>
  <c r="HC134" i="31" s="1"/>
  <c r="FA135" i="31" s="1"/>
  <c r="HB135" i="31" s="1"/>
  <c r="JK134" i="31" l="1"/>
  <c r="JN134" i="31" s="1"/>
  <c r="JV134" i="31" s="1"/>
  <c r="JF135" i="31" s="1"/>
  <c r="BN135" i="31"/>
  <c r="BO135" i="31"/>
  <c r="BP135" i="31" s="1"/>
  <c r="EY134" i="31"/>
  <c r="HM134" i="31"/>
  <c r="EG134" i="31"/>
  <c r="EH135" i="31" s="1"/>
  <c r="EI135" i="31" s="1"/>
  <c r="FK135" i="31" s="1"/>
  <c r="HK135" i="31"/>
  <c r="JM134" i="31" l="1"/>
  <c r="KD134" i="31" s="1"/>
  <c r="IL135" i="31" s="1"/>
  <c r="JW135" i="31"/>
  <c r="JY135" i="31"/>
  <c r="BQ135" i="31"/>
  <c r="ED134" i="31"/>
  <c r="EB135" i="31" s="1"/>
  <c r="EJ134" i="31"/>
  <c r="EK135" i="31" s="1"/>
  <c r="EE134" i="31"/>
  <c r="EF135" i="31" s="1"/>
  <c r="EZ134" i="31"/>
  <c r="DG134" i="31"/>
  <c r="DH134" i="31" s="1"/>
  <c r="DI135" i="31" s="1"/>
  <c r="JZ134" i="31"/>
  <c r="KF134" i="31" s="1"/>
  <c r="IQ135" i="31" s="1"/>
  <c r="JL134" i="31"/>
  <c r="JJ135" i="31" s="1"/>
  <c r="KA135" i="31"/>
  <c r="HZ135" i="31" l="1"/>
  <c r="JC135" i="31"/>
  <c r="JD135" i="31"/>
  <c r="EP135" i="31"/>
  <c r="ET136" i="31" s="1"/>
  <c r="EO135" i="31"/>
  <c r="ES136" i="31" s="1"/>
  <c r="EL135" i="31"/>
  <c r="FC135" i="31"/>
  <c r="EV135" i="31"/>
  <c r="IY135" i="31"/>
  <c r="JA135" i="31"/>
  <c r="JO135" i="31"/>
  <c r="JE135" i="31"/>
  <c r="DP135" i="31"/>
  <c r="BR135" i="31"/>
  <c r="BS135" i="31"/>
  <c r="DJ135" i="31"/>
  <c r="DK135" i="31" s="1"/>
  <c r="GZ135" i="31"/>
  <c r="IE135" i="31" s="1"/>
  <c r="IP135" i="31"/>
  <c r="IO135" i="31"/>
  <c r="IR135" i="31"/>
  <c r="KG135" i="31" l="1"/>
  <c r="JX135" i="31"/>
  <c r="JP135" i="31"/>
  <c r="JQ135" i="31" s="1"/>
  <c r="DM135" i="31"/>
  <c r="DX135" i="31"/>
  <c r="FQ135" i="31"/>
  <c r="EC135" i="31"/>
  <c r="BT135" i="31"/>
  <c r="BU135" i="31"/>
  <c r="FB135" i="31" l="1"/>
  <c r="EX135" i="31"/>
  <c r="M135" i="31" s="1"/>
  <c r="BV135" i="31"/>
  <c r="BW135" i="31" s="1"/>
  <c r="DL135" i="31"/>
  <c r="L136" i="31"/>
  <c r="MB135" i="31" l="1"/>
  <c r="NM135" i="31" s="1"/>
  <c r="NN135" i="31" s="1"/>
  <c r="MJ135" i="31"/>
  <c r="NS135" i="31" s="1"/>
  <c r="BY135" i="31"/>
  <c r="BX135" i="31"/>
  <c r="BZ135" i="31" l="1"/>
  <c r="CA135" i="31"/>
  <c r="NT135" i="31"/>
  <c r="OU136" i="31"/>
  <c r="OV136" i="31"/>
  <c r="NW135" i="31"/>
  <c r="FR135" i="31" l="1"/>
  <c r="FV135" i="31"/>
  <c r="CX135" i="31"/>
  <c r="NU135" i="31"/>
  <c r="NX135" i="31"/>
  <c r="CB135" i="31"/>
  <c r="CC135" i="31" s="1"/>
  <c r="CD135" i="31" l="1"/>
  <c r="CE135" i="31"/>
  <c r="CF135" i="31" s="1"/>
  <c r="NZ135" i="31"/>
  <c r="MY135" i="31"/>
  <c r="CY136" i="31"/>
  <c r="NY135" i="31"/>
  <c r="OF135" i="31"/>
  <c r="OS136" i="31" s="1"/>
  <c r="NV135" i="31"/>
  <c r="CG135" i="31" l="1"/>
  <c r="CH135" i="31" s="1"/>
  <c r="CI135" i="31" s="1"/>
  <c r="OA135" i="31"/>
  <c r="MV136" i="31" s="1"/>
  <c r="OG136" i="31" s="1"/>
  <c r="OM136" i="31"/>
  <c r="OO136" i="31"/>
  <c r="NF136" i="31"/>
  <c r="MZ136" i="31"/>
  <c r="OZ135" i="31"/>
  <c r="OI135" i="31"/>
  <c r="OB135" i="31"/>
  <c r="OT136" i="31" s="1"/>
  <c r="KT136" i="31" l="1"/>
  <c r="KL136" i="31" s="1"/>
  <c r="KN137" i="31" s="1"/>
  <c r="CK135" i="31"/>
  <c r="CL135" i="31" s="1"/>
  <c r="CJ135" i="31"/>
  <c r="CO135" i="31" s="1"/>
  <c r="OC135" i="31"/>
  <c r="OD136" i="31" s="1"/>
  <c r="OH136" i="31" s="1"/>
  <c r="OK136" i="31" s="1"/>
  <c r="OJ135" i="31"/>
  <c r="PA135" i="31"/>
  <c r="OW135" i="31"/>
  <c r="MR136" i="31"/>
  <c r="OX136" i="31"/>
  <c r="KM136" i="31" l="1"/>
  <c r="KO137" i="31" s="1"/>
  <c r="KR136" i="31" s="1"/>
  <c r="CM135" i="31"/>
  <c r="CN135" i="31" s="1"/>
  <c r="CP135" i="31" s="1"/>
  <c r="OY136" i="31"/>
  <c r="MW136" i="31"/>
  <c r="MS136" i="31"/>
  <c r="KQ136" i="31"/>
  <c r="KP137" i="31" l="1"/>
  <c r="JR135" i="31"/>
  <c r="JS135" i="31" s="1"/>
  <c r="KC135" i="31" s="1"/>
  <c r="FZ135" i="31"/>
  <c r="GA135" i="31" s="1"/>
  <c r="FP135" i="31"/>
  <c r="FS135" i="31" s="1"/>
  <c r="HA135" i="31" s="1"/>
  <c r="DQ135" i="31"/>
  <c r="DR135" i="31" s="1"/>
  <c r="DS135" i="31" s="1"/>
  <c r="KX135" i="31"/>
  <c r="GB135" i="31"/>
  <c r="GC135" i="31" s="1"/>
  <c r="GO135" i="31"/>
  <c r="CQ135" i="31"/>
  <c r="CR135" i="31" s="1"/>
  <c r="FU135" i="31"/>
  <c r="FW135" i="31" s="1"/>
  <c r="HO135" i="31"/>
  <c r="IZ135" i="31" s="1"/>
  <c r="FE135" i="31"/>
  <c r="FF135" i="31" s="1"/>
  <c r="HW135" i="31" s="1"/>
  <c r="HX136" i="31" s="1"/>
  <c r="FH135" i="31"/>
  <c r="FI135" i="31" s="1"/>
  <c r="HU135" i="31" s="1"/>
  <c r="HV136" i="31" s="1"/>
  <c r="FX135" i="31"/>
  <c r="FY135" i="31" s="1"/>
  <c r="KU135" i="31"/>
  <c r="NJ136" i="31"/>
  <c r="MT136" i="31"/>
  <c r="MO136" i="31"/>
  <c r="NP136" i="31"/>
  <c r="MU136" i="31"/>
  <c r="NH137" i="31"/>
  <c r="NI137" i="31" s="1"/>
  <c r="NQ136" i="31"/>
  <c r="PE136" i="31"/>
  <c r="MX136" i="31"/>
  <c r="KS136" i="31"/>
  <c r="JU135" i="31" l="1"/>
  <c r="JT136" i="31"/>
  <c r="KE135" i="31"/>
  <c r="GN135" i="31"/>
  <c r="KV135" i="31" s="1"/>
  <c r="DY135" i="31"/>
  <c r="HY135" i="31"/>
  <c r="FJ136" i="31"/>
  <c r="CT135" i="31"/>
  <c r="CS135" i="31"/>
  <c r="HP135" i="31"/>
  <c r="HT135" i="31" s="1"/>
  <c r="IA135" i="31"/>
  <c r="IB135" i="31" s="1"/>
  <c r="FG136" i="31"/>
  <c r="AZ135" i="31"/>
  <c r="AX135" i="31"/>
  <c r="AY136" i="31" s="1"/>
  <c r="NA136" i="31"/>
  <c r="NB136" i="31"/>
  <c r="EM135" i="31"/>
  <c r="EW135" i="31" s="1"/>
  <c r="EN135" i="31"/>
  <c r="NL136" i="31"/>
  <c r="NK136" i="31"/>
  <c r="NG137" i="31"/>
  <c r="OQ137" i="31"/>
  <c r="NR136" i="31"/>
  <c r="GQ135" i="31" l="1"/>
  <c r="KW136" i="31"/>
  <c r="HQ135" i="31"/>
  <c r="HR136" i="31" s="1"/>
  <c r="HS135" i="31"/>
  <c r="JG135" i="31" s="1"/>
  <c r="OR137" i="31"/>
  <c r="IC135" i="31"/>
  <c r="ID135" i="31" s="1"/>
  <c r="IF135" i="31" s="1"/>
  <c r="KH135" i="31" s="1"/>
  <c r="JB135" i="31"/>
  <c r="NC137" i="31"/>
  <c r="MQ137" i="31"/>
  <c r="BB136" i="31"/>
  <c r="EQ135" i="31"/>
  <c r="DW135" i="31"/>
  <c r="DU136" i="31" s="1"/>
  <c r="ER136" i="31"/>
  <c r="IU135" i="31"/>
  <c r="IV135" i="31" s="1"/>
  <c r="IW135" i="31" l="1"/>
  <c r="KB135" i="31" s="1"/>
  <c r="GM135" i="31"/>
  <c r="IM135" i="31"/>
  <c r="DB135" i="31"/>
  <c r="DC135" i="31" s="1"/>
  <c r="DD136" i="31" s="1"/>
  <c r="DE137" i="31" s="1"/>
  <c r="KI136" i="31"/>
  <c r="IN135" i="31"/>
  <c r="DF135" i="31"/>
  <c r="BC136" i="31"/>
  <c r="IX135" i="31"/>
  <c r="KK135" i="31"/>
  <c r="EU136" i="31"/>
  <c r="GT137" i="31" l="1"/>
  <c r="FD135" i="31"/>
  <c r="GU135" i="31"/>
  <c r="GV135" i="31"/>
  <c r="KJ136" i="31"/>
  <c r="DT135" i="31"/>
  <c r="DZ135" i="31" s="1"/>
  <c r="BD136" i="31"/>
  <c r="BE136" i="31"/>
  <c r="GR135" i="31"/>
  <c r="IS135" i="31" l="1"/>
  <c r="FL136" i="31"/>
  <c r="FM136" i="31" s="1"/>
  <c r="GS135" i="31"/>
  <c r="BG136" i="31"/>
  <c r="BF136" i="31"/>
  <c r="JH135" i="31" l="1"/>
  <c r="JI135" i="31" s="1"/>
  <c r="IT135" i="31"/>
  <c r="BH136" i="31"/>
  <c r="BI136" i="31"/>
  <c r="BK136" i="31" s="1"/>
  <c r="GX135" i="31"/>
  <c r="GW135" i="31"/>
  <c r="HC135" i="31" s="1"/>
  <c r="FA136" i="31" s="1"/>
  <c r="HB136" i="31" s="1"/>
  <c r="GY135" i="31"/>
  <c r="JK135" i="31" l="1"/>
  <c r="JM135" i="31" s="1"/>
  <c r="KD135" i="31" s="1"/>
  <c r="IL136" i="31" s="1"/>
  <c r="BJ136" i="31"/>
  <c r="HM135" i="31"/>
  <c r="EY135" i="31"/>
  <c r="EG135" i="31"/>
  <c r="EH136" i="31" s="1"/>
  <c r="HK136" i="31"/>
  <c r="BL136" i="31"/>
  <c r="BM136" i="31"/>
  <c r="JZ135" i="31" l="1"/>
  <c r="KF135" i="31" s="1"/>
  <c r="IQ136" i="31" s="1"/>
  <c r="JL135" i="31"/>
  <c r="JJ136" i="31" s="1"/>
  <c r="KA136" i="31"/>
  <c r="HZ136" i="31" s="1"/>
  <c r="JN135" i="31"/>
  <c r="JV135" i="31" s="1"/>
  <c r="JF136" i="31" s="1"/>
  <c r="JY136" i="31" s="1"/>
  <c r="BN136" i="31"/>
  <c r="BO136" i="31"/>
  <c r="EI136" i="31"/>
  <c r="FK136" i="31" s="1"/>
  <c r="EZ135" i="31"/>
  <c r="DG135" i="31"/>
  <c r="DH135" i="31" s="1"/>
  <c r="DI136" i="31" s="1"/>
  <c r="EJ135" i="31"/>
  <c r="EK136" i="31" s="1"/>
  <c r="EE135" i="31"/>
  <c r="EF136" i="31" s="1"/>
  <c r="ED135" i="31"/>
  <c r="EB136" i="31" s="1"/>
  <c r="JW136" i="31" l="1"/>
  <c r="JO136" i="31"/>
  <c r="IR136" i="31"/>
  <c r="JE136" i="31"/>
  <c r="GZ136" i="31"/>
  <c r="KG136" i="31" s="1"/>
  <c r="DJ136" i="31"/>
  <c r="DK136" i="31" s="1"/>
  <c r="IO136" i="31"/>
  <c r="IP136" i="31"/>
  <c r="JC136" i="31"/>
  <c r="JD136" i="31"/>
  <c r="DP136" i="31"/>
  <c r="EO136" i="31"/>
  <c r="ES137" i="31" s="1"/>
  <c r="EP136" i="31"/>
  <c r="ET137" i="31" s="1"/>
  <c r="FC136" i="31"/>
  <c r="EL136" i="31"/>
  <c r="EV136" i="31"/>
  <c r="IY136" i="31"/>
  <c r="JA136" i="31"/>
  <c r="BP136" i="31"/>
  <c r="BQ136" i="31" s="1"/>
  <c r="BS136" i="31" s="1"/>
  <c r="BU136" i="31" s="1"/>
  <c r="IE136" i="31" l="1"/>
  <c r="JP136" i="31"/>
  <c r="JQ136" i="31" s="1"/>
  <c r="FQ136" i="31"/>
  <c r="DM136" i="31"/>
  <c r="DX136" i="31"/>
  <c r="EC136" i="31"/>
  <c r="JX136" i="31"/>
  <c r="BR136" i="31"/>
  <c r="BV136" i="31" s="1"/>
  <c r="BW136" i="31" s="1"/>
  <c r="BT136" i="31" l="1"/>
  <c r="FB136" i="31"/>
  <c r="EX136" i="31"/>
  <c r="M136" i="31" s="1"/>
  <c r="DL136" i="31"/>
  <c r="L137" i="31"/>
  <c r="BX136" i="31"/>
  <c r="BY136" i="31"/>
  <c r="MJ136" i="31" l="1"/>
  <c r="NS136" i="31" s="1"/>
  <c r="MB136" i="31"/>
  <c r="NM136" i="31" s="1"/>
  <c r="NN136" i="31" s="1"/>
  <c r="BZ136" i="31"/>
  <c r="CA136" i="31"/>
  <c r="CB136" i="31" l="1"/>
  <c r="CC136" i="31" s="1"/>
  <c r="OV137" i="31"/>
  <c r="NW136" i="31"/>
  <c r="NT136" i="31"/>
  <c r="OU137" i="31"/>
  <c r="CD136" i="31" l="1"/>
  <c r="CE136" i="31"/>
  <c r="CF136" i="31" s="1"/>
  <c r="FV136" i="31"/>
  <c r="CX136" i="31"/>
  <c r="FR136" i="31"/>
  <c r="NU136" i="31"/>
  <c r="NX136" i="31"/>
  <c r="CG136" i="31" l="1"/>
  <c r="CH136" i="31" s="1"/>
  <c r="CI136" i="31" s="1"/>
  <c r="NV136" i="31"/>
  <c r="NY136" i="31"/>
  <c r="NZ136" i="31"/>
  <c r="MY136" i="31"/>
  <c r="CY137" i="31"/>
  <c r="OF136" i="31"/>
  <c r="OS137" i="31" s="1"/>
  <c r="CJ136" i="31" l="1"/>
  <c r="CO136" i="31" s="1"/>
  <c r="CK136" i="31"/>
  <c r="CL136" i="31" s="1"/>
  <c r="MZ137" i="31"/>
  <c r="OZ136" i="31"/>
  <c r="OA136" i="31"/>
  <c r="MV137" i="31" s="1"/>
  <c r="OG137" i="31" s="1"/>
  <c r="OB136" i="31"/>
  <c r="OT137" i="31" s="1"/>
  <c r="OI136" i="31"/>
  <c r="OO137" i="31"/>
  <c r="OM137" i="31"/>
  <c r="NF137" i="31"/>
  <c r="CM136" i="31" l="1"/>
  <c r="CN136" i="31" s="1"/>
  <c r="CP136" i="31" s="1"/>
  <c r="JR136" i="31" s="1"/>
  <c r="JS136" i="31" s="1"/>
  <c r="KT137" i="31"/>
  <c r="KL137" i="31" s="1"/>
  <c r="KN138" i="31" s="1"/>
  <c r="PA136" i="31"/>
  <c r="OC136" i="31"/>
  <c r="OD137" i="31" s="1"/>
  <c r="OH137" i="31" s="1"/>
  <c r="OK137" i="31" s="1"/>
  <c r="OJ136" i="31"/>
  <c r="OW136" i="31"/>
  <c r="OX137" i="31"/>
  <c r="MR137" i="31"/>
  <c r="KM137" i="31" l="1"/>
  <c r="KO138" i="31" s="1"/>
  <c r="KU136" i="31"/>
  <c r="GB136" i="31"/>
  <c r="GC136" i="31" s="1"/>
  <c r="GO136" i="31"/>
  <c r="FX136" i="31"/>
  <c r="FY136" i="31" s="1"/>
  <c r="DQ136" i="31"/>
  <c r="DR136" i="31" s="1"/>
  <c r="DS136" i="31" s="1"/>
  <c r="AX136" i="31" s="1"/>
  <c r="AY137" i="31" s="1"/>
  <c r="FZ136" i="31"/>
  <c r="GA136" i="31" s="1"/>
  <c r="HO136" i="31"/>
  <c r="HP136" i="31" s="1"/>
  <c r="FU136" i="31"/>
  <c r="FW136" i="31" s="1"/>
  <c r="FH136" i="31"/>
  <c r="FI136" i="31" s="1"/>
  <c r="HU136" i="31" s="1"/>
  <c r="HV137" i="31" s="1"/>
  <c r="KX136" i="31"/>
  <c r="GN136" i="31" s="1"/>
  <c r="FE136" i="31"/>
  <c r="FF136" i="31" s="1"/>
  <c r="HW136" i="31" s="1"/>
  <c r="HX137" i="31" s="1"/>
  <c r="CQ136" i="31"/>
  <c r="CT136" i="31" s="1"/>
  <c r="FP136" i="31"/>
  <c r="FS136" i="31" s="1"/>
  <c r="HY136" i="31" s="1"/>
  <c r="KC136" i="31"/>
  <c r="JU136" i="31"/>
  <c r="JT137" i="31"/>
  <c r="KE136" i="31"/>
  <c r="KP138" i="31"/>
  <c r="KR137" i="31"/>
  <c r="MS137" i="31"/>
  <c r="KQ137" i="31"/>
  <c r="OY137" i="31"/>
  <c r="MW137" i="31"/>
  <c r="GQ136" i="31" l="1"/>
  <c r="IA136" i="31"/>
  <c r="IB136" i="31" s="1"/>
  <c r="IZ136" i="31"/>
  <c r="FJ137" i="31"/>
  <c r="FG137" i="31"/>
  <c r="HA136" i="31"/>
  <c r="DY136" i="31"/>
  <c r="KV136" i="31"/>
  <c r="CR136" i="31"/>
  <c r="CS136" i="31"/>
  <c r="HT136" i="31"/>
  <c r="HS136" i="31"/>
  <c r="JG136" i="31" s="1"/>
  <c r="MX137" i="31"/>
  <c r="KS137" i="31"/>
  <c r="EN136" i="31"/>
  <c r="EM136" i="31"/>
  <c r="EW136" i="31" s="1"/>
  <c r="AZ136" i="31"/>
  <c r="MU137" i="31"/>
  <c r="MT137" i="31"/>
  <c r="NH138" i="31"/>
  <c r="NI138" i="31" s="1"/>
  <c r="NJ137" i="31"/>
  <c r="NQ137" i="31"/>
  <c r="NP137" i="31"/>
  <c r="MO137" i="31"/>
  <c r="PE137" i="31"/>
  <c r="KW137" i="31" l="1"/>
  <c r="HQ136" i="31"/>
  <c r="HR137" i="31" s="1"/>
  <c r="NR137" i="31"/>
  <c r="NK137" i="31"/>
  <c r="NL137" i="31"/>
  <c r="NG138" i="31"/>
  <c r="OQ138" i="31"/>
  <c r="BB137" i="31"/>
  <c r="DW136" i="31"/>
  <c r="DU137" i="31" s="1"/>
  <c r="EQ136" i="31"/>
  <c r="ER137" i="31"/>
  <c r="IU136" i="31"/>
  <c r="IV136" i="31" s="1"/>
  <c r="IC136" i="31"/>
  <c r="ID136" i="31" s="1"/>
  <c r="IF136" i="31" s="1"/>
  <c r="KH136" i="31" s="1"/>
  <c r="JB136" i="31"/>
  <c r="NB137" i="31"/>
  <c r="NA137" i="31"/>
  <c r="IW136" i="31" l="1"/>
  <c r="KB136" i="31" s="1"/>
  <c r="BC137" i="31"/>
  <c r="OR138" i="31"/>
  <c r="IM136" i="31"/>
  <c r="DB136" i="31"/>
  <c r="DC136" i="31" s="1"/>
  <c r="DD137" i="31" s="1"/>
  <c r="DE138" i="31" s="1"/>
  <c r="GM136" i="31"/>
  <c r="KI137" i="31"/>
  <c r="IN136" i="31"/>
  <c r="DF136" i="31"/>
  <c r="EU137" i="31"/>
  <c r="NC138" i="31"/>
  <c r="MQ138" i="31"/>
  <c r="IX136" i="31"/>
  <c r="KK136" i="31"/>
  <c r="DT136" i="31" l="1"/>
  <c r="DZ136" i="31" s="1"/>
  <c r="GT138" i="31"/>
  <c r="GR136" i="31"/>
  <c r="KJ137" i="31"/>
  <c r="GU136" i="31"/>
  <c r="FD136" i="31"/>
  <c r="GV136" i="31"/>
  <c r="BD137" i="31"/>
  <c r="BE137" i="31"/>
  <c r="BG137" i="31" l="1"/>
  <c r="BF137" i="31"/>
  <c r="GS136" i="31"/>
  <c r="IS136" i="31"/>
  <c r="FL137" i="31"/>
  <c r="GX136" i="31" l="1"/>
  <c r="GY136" i="31"/>
  <c r="GW136" i="31"/>
  <c r="HC136" i="31" s="1"/>
  <c r="FA137" i="31" s="1"/>
  <c r="HB137" i="31" s="1"/>
  <c r="FM137" i="31"/>
  <c r="JH136" i="31"/>
  <c r="JI136" i="31" s="1"/>
  <c r="IT136" i="31"/>
  <c r="BH137" i="31"/>
  <c r="BI137" i="31"/>
  <c r="BK137" i="31" s="1"/>
  <c r="BJ137" i="31" l="1"/>
  <c r="BL137" i="31"/>
  <c r="BM137" i="31"/>
  <c r="JK136" i="31"/>
  <c r="JZ136" i="31" s="1"/>
  <c r="KF136" i="31" s="1"/>
  <c r="IQ137" i="31" s="1"/>
  <c r="EG136" i="31"/>
  <c r="EH137" i="31" s="1"/>
  <c r="EI137" i="31" s="1"/>
  <c r="FK137" i="31" s="1"/>
  <c r="EY136" i="31"/>
  <c r="HM136" i="31"/>
  <c r="HK137" i="31"/>
  <c r="JN136" i="31" l="1"/>
  <c r="JV136" i="31" s="1"/>
  <c r="JF137" i="31" s="1"/>
  <c r="JM136" i="31"/>
  <c r="KD136" i="31" s="1"/>
  <c r="IL137" i="31" s="1"/>
  <c r="EJ136" i="31"/>
  <c r="EK137" i="31" s="1"/>
  <c r="EE136" i="31"/>
  <c r="EF137" i="31" s="1"/>
  <c r="ED136" i="31"/>
  <c r="EB137" i="31" s="1"/>
  <c r="IY137" i="31" s="1"/>
  <c r="BO137" i="31"/>
  <c r="BN137" i="31"/>
  <c r="JL136" i="31"/>
  <c r="JJ137" i="31" s="1"/>
  <c r="KA137" i="31"/>
  <c r="EZ136" i="31"/>
  <c r="DG136" i="31"/>
  <c r="DH136" i="31" s="1"/>
  <c r="DI137" i="31" s="1"/>
  <c r="JO137" i="31" l="1"/>
  <c r="JA137" i="31"/>
  <c r="JY137" i="31"/>
  <c r="JW137" i="31"/>
  <c r="JC137" i="31"/>
  <c r="JD137" i="31"/>
  <c r="BP137" i="31"/>
  <c r="BQ137" i="31" s="1"/>
  <c r="IR137" i="31"/>
  <c r="HZ137" i="31"/>
  <c r="EL137" i="31"/>
  <c r="EP137" i="31"/>
  <c r="ET138" i="31" s="1"/>
  <c r="FC137" i="31"/>
  <c r="EO137" i="31"/>
  <c r="ES138" i="31" s="1"/>
  <c r="EV137" i="31"/>
  <c r="IP137" i="31"/>
  <c r="IO137" i="31"/>
  <c r="JP137" i="31" s="1"/>
  <c r="JQ137" i="31" s="1"/>
  <c r="DP137" i="31"/>
  <c r="GZ137" i="31"/>
  <c r="IE137" i="31" s="1"/>
  <c r="DJ137" i="31"/>
  <c r="DK137" i="31" s="1"/>
  <c r="JE137" i="31"/>
  <c r="JX137" i="31" l="1"/>
  <c r="BR137" i="31"/>
  <c r="BS137" i="31"/>
  <c r="EC137" i="31"/>
  <c r="DX137" i="31"/>
  <c r="FQ137" i="31"/>
  <c r="DM137" i="31"/>
  <c r="KG137" i="31"/>
  <c r="EX137" i="31" l="1"/>
  <c r="M137" i="31" s="1"/>
  <c r="FB137" i="31"/>
  <c r="BT137" i="31"/>
  <c r="BU137" i="31"/>
  <c r="BV137" i="31" s="1"/>
  <c r="BW137" i="31" s="1"/>
  <c r="DL137" i="31"/>
  <c r="L138" i="31"/>
  <c r="MB137" i="31" l="1"/>
  <c r="MJ137" i="31"/>
  <c r="NS137" i="31" s="1"/>
  <c r="BY137" i="31"/>
  <c r="BX137" i="31"/>
  <c r="NM137" i="31" l="1"/>
  <c r="NN137" i="31" s="1"/>
  <c r="BZ137" i="31"/>
  <c r="CA137" i="31"/>
  <c r="NT137" i="31"/>
  <c r="OU138" i="31"/>
  <c r="OV138" i="31" l="1"/>
  <c r="NW137" i="31"/>
  <c r="NX137" i="31" s="1"/>
  <c r="FR137" i="31"/>
  <c r="FV137" i="31"/>
  <c r="CX137" i="31"/>
  <c r="NU137" i="31"/>
  <c r="CB137" i="31"/>
  <c r="CC137" i="31" s="1"/>
  <c r="CD137" i="31" l="1"/>
  <c r="CE137" i="31"/>
  <c r="CF137" i="31" s="1"/>
  <c r="NY137" i="31"/>
  <c r="OF137" i="31"/>
  <c r="OS138" i="31" s="1"/>
  <c r="NV137" i="31"/>
  <c r="NZ137" i="31"/>
  <c r="MY137" i="31"/>
  <c r="CY138" i="31"/>
  <c r="CG137" i="31" l="1"/>
  <c r="CH137" i="31" s="1"/>
  <c r="CI137" i="31" s="1"/>
  <c r="OB137" i="31"/>
  <c r="OT138" i="31" s="1"/>
  <c r="OM138" i="31"/>
  <c r="OO138" i="31"/>
  <c r="NF138" i="31"/>
  <c r="OI137" i="31"/>
  <c r="MZ138" i="31"/>
  <c r="OZ137" i="31"/>
  <c r="OA137" i="31"/>
  <c r="MV138" i="31" s="1"/>
  <c r="CJ137" i="31" l="1"/>
  <c r="CO137" i="31" s="1"/>
  <c r="CK137" i="31"/>
  <c r="PA137" i="31"/>
  <c r="OW137" i="31"/>
  <c r="MR138" i="31"/>
  <c r="OX138" i="31"/>
  <c r="OC137" i="31"/>
  <c r="OD138" i="31" s="1"/>
  <c r="OH138" i="31" s="1"/>
  <c r="KT138" i="31"/>
  <c r="OG138" i="31"/>
  <c r="OJ137" i="31"/>
  <c r="CL137" i="31" l="1"/>
  <c r="CM137" i="31"/>
  <c r="CN137" i="31" s="1"/>
  <c r="OK138" i="31"/>
  <c r="KL138" i="31"/>
  <c r="KN139" i="31" s="1"/>
  <c r="KM138" i="31"/>
  <c r="KO139" i="31" s="1"/>
  <c r="MS138" i="31"/>
  <c r="OY138" i="31"/>
  <c r="MW138" i="31"/>
  <c r="CP137" i="31" l="1"/>
  <c r="CQ137" i="31" s="1"/>
  <c r="MO138" i="31"/>
  <c r="MT138" i="31"/>
  <c r="NQ138" i="31"/>
  <c r="MU138" i="31"/>
  <c r="NJ138" i="31"/>
  <c r="NP138" i="31"/>
  <c r="NH139" i="31"/>
  <c r="NI139" i="31" s="1"/>
  <c r="PE138" i="31"/>
  <c r="GB137" i="31"/>
  <c r="GC137" i="31" s="1"/>
  <c r="GO137" i="31"/>
  <c r="FP137" i="31"/>
  <c r="FS137" i="31" s="1"/>
  <c r="FZ137" i="31"/>
  <c r="GA137" i="31" s="1"/>
  <c r="FH137" i="31"/>
  <c r="FI137" i="31" s="1"/>
  <c r="JR137" i="31"/>
  <c r="JS137" i="31" s="1"/>
  <c r="FU137" i="31"/>
  <c r="FW137" i="31" s="1"/>
  <c r="DQ137" i="31"/>
  <c r="DR137" i="31" s="1"/>
  <c r="HO137" i="31"/>
  <c r="KX137" i="31"/>
  <c r="KU137" i="31"/>
  <c r="KP139" i="31"/>
  <c r="KR138" i="31"/>
  <c r="MX138" i="31"/>
  <c r="KQ138" i="31"/>
  <c r="FX137" i="31" l="1"/>
  <c r="FY137" i="31" s="1"/>
  <c r="FE137" i="31"/>
  <c r="FF137" i="31" s="1"/>
  <c r="FG138" i="31" s="1"/>
  <c r="GN137" i="31"/>
  <c r="GQ137" i="31" s="1"/>
  <c r="KS138" i="31"/>
  <c r="HU137" i="31"/>
  <c r="HV138" i="31" s="1"/>
  <c r="FJ138" i="31"/>
  <c r="CT137" i="31"/>
  <c r="CS137" i="31"/>
  <c r="CR137" i="31"/>
  <c r="NL138" i="31"/>
  <c r="NK138" i="31"/>
  <c r="NG139" i="31"/>
  <c r="OQ139" i="31"/>
  <c r="DY137" i="31"/>
  <c r="HA137" i="31"/>
  <c r="HY137" i="31"/>
  <c r="NB138" i="31"/>
  <c r="NA138" i="31"/>
  <c r="DS137" i="31"/>
  <c r="AX137" i="31" s="1"/>
  <c r="AY138" i="31" s="1"/>
  <c r="NR138" i="31"/>
  <c r="IA137" i="31"/>
  <c r="IB137" i="31" s="1"/>
  <c r="HP137" i="31"/>
  <c r="IZ137" i="31"/>
  <c r="JU137" i="31"/>
  <c r="KC137" i="31"/>
  <c r="KE137" i="31"/>
  <c r="JT138" i="31"/>
  <c r="HW137" i="31" l="1"/>
  <c r="HX138" i="31" s="1"/>
  <c r="KV137" i="31"/>
  <c r="KW138" i="31" s="1"/>
  <c r="HQ137" i="31"/>
  <c r="HR138" i="31" s="1"/>
  <c r="AZ137" i="31"/>
  <c r="EM137" i="31"/>
  <c r="EW137" i="31" s="1"/>
  <c r="EN137" i="31"/>
  <c r="OR139" i="31"/>
  <c r="HT137" i="31"/>
  <c r="HS137" i="31"/>
  <c r="JG137" i="31" s="1"/>
  <c r="NC139" i="31"/>
  <c r="MQ139" i="31"/>
  <c r="BB138" i="31" l="1"/>
  <c r="EQ137" i="31"/>
  <c r="DW137" i="31"/>
  <c r="DU138" i="31" s="1"/>
  <c r="ER138" i="31"/>
  <c r="IU137" i="31"/>
  <c r="IV137" i="31" s="1"/>
  <c r="IC137" i="31"/>
  <c r="ID137" i="31" s="1"/>
  <c r="IF137" i="31" s="1"/>
  <c r="KH137" i="31" s="1"/>
  <c r="JB137" i="31"/>
  <c r="IW137" i="31" l="1"/>
  <c r="KB137" i="31" s="1"/>
  <c r="IX137" i="31"/>
  <c r="KK137" i="31"/>
  <c r="EU138" i="31"/>
  <c r="IM137" i="31"/>
  <c r="DB137" i="31"/>
  <c r="DC137" i="31" s="1"/>
  <c r="DD138" i="31" s="1"/>
  <c r="DE139" i="31" s="1"/>
  <c r="GM137" i="31"/>
  <c r="KI138" i="31"/>
  <c r="IN137" i="31"/>
  <c r="DF137" i="31"/>
  <c r="BC138" i="31"/>
  <c r="DT137" i="31" l="1"/>
  <c r="DZ137" i="31" s="1"/>
  <c r="GT139" i="31"/>
  <c r="FD137" i="31"/>
  <c r="GV137" i="31"/>
  <c r="GU137" i="31"/>
  <c r="KJ138" i="31"/>
  <c r="GR137" i="31"/>
  <c r="BE138" i="31"/>
  <c r="BD138" i="31"/>
  <c r="BF138" i="31" l="1"/>
  <c r="BG138" i="31"/>
  <c r="IS137" i="31"/>
  <c r="FL138" i="31"/>
  <c r="GS137" i="31"/>
  <c r="GX137" i="31" l="1"/>
  <c r="GY137" i="31"/>
  <c r="GW137" i="31"/>
  <c r="HC137" i="31" s="1"/>
  <c r="FA138" i="31" s="1"/>
  <c r="HB138" i="31" s="1"/>
  <c r="JH137" i="31"/>
  <c r="JI137" i="31" s="1"/>
  <c r="IT137" i="31"/>
  <c r="BI138" i="31"/>
  <c r="BK138" i="31" s="1"/>
  <c r="BH138" i="31"/>
  <c r="FM138" i="31"/>
  <c r="BJ138" i="31" l="1"/>
  <c r="BL138" i="31"/>
  <c r="BM138" i="31"/>
  <c r="JK137" i="31"/>
  <c r="JM137" i="31" s="1"/>
  <c r="KD137" i="31" s="1"/>
  <c r="IL138" i="31" s="1"/>
  <c r="EG137" i="31"/>
  <c r="EH138" i="31" s="1"/>
  <c r="EI138" i="31" s="1"/>
  <c r="FK138" i="31" s="1"/>
  <c r="HM137" i="31"/>
  <c r="EY137" i="31"/>
  <c r="HK138" i="31"/>
  <c r="JN137" i="31" l="1"/>
  <c r="JV137" i="31" s="1"/>
  <c r="JF138" i="31" s="1"/>
  <c r="JW138" i="31" s="1"/>
  <c r="BN138" i="31"/>
  <c r="BO138" i="31"/>
  <c r="EZ137" i="31"/>
  <c r="DG137" i="31"/>
  <c r="DH137" i="31" s="1"/>
  <c r="DI138" i="31" s="1"/>
  <c r="JZ137" i="31"/>
  <c r="KF137" i="31" s="1"/>
  <c r="IQ138" i="31" s="1"/>
  <c r="JL137" i="31"/>
  <c r="JJ138" i="31" s="1"/>
  <c r="KA138" i="31"/>
  <c r="ED137" i="31"/>
  <c r="EB138" i="31" s="1"/>
  <c r="EJ137" i="31"/>
  <c r="EK138" i="31" s="1"/>
  <c r="EE137" i="31"/>
  <c r="EF138" i="31" s="1"/>
  <c r="IP138" i="31" s="1"/>
  <c r="JY138" i="31" l="1"/>
  <c r="IO138" i="31"/>
  <c r="GZ138" i="31"/>
  <c r="IE138" i="31" s="1"/>
  <c r="DJ138" i="31"/>
  <c r="DK138" i="31" s="1"/>
  <c r="BP138" i="31"/>
  <c r="BQ138" i="31" s="1"/>
  <c r="DP138" i="31"/>
  <c r="JC138" i="31"/>
  <c r="JD138" i="31"/>
  <c r="JA138" i="31"/>
  <c r="JO138" i="31"/>
  <c r="IR138" i="31"/>
  <c r="JE138" i="31"/>
  <c r="IY138" i="31"/>
  <c r="EL138" i="31"/>
  <c r="FC138" i="31"/>
  <c r="EO138" i="31"/>
  <c r="ES139" i="31" s="1"/>
  <c r="EP138" i="31"/>
  <c r="ET139" i="31" s="1"/>
  <c r="EV138" i="31"/>
  <c r="HZ138" i="31"/>
  <c r="JP138" i="31" l="1"/>
  <c r="JQ138" i="31" s="1"/>
  <c r="KG138" i="31"/>
  <c r="BR138" i="31"/>
  <c r="BS138" i="31"/>
  <c r="EC138" i="31"/>
  <c r="DX138" i="31"/>
  <c r="FQ138" i="31"/>
  <c r="DM138" i="31"/>
  <c r="JX138" i="31"/>
  <c r="FB138" i="31" l="1"/>
  <c r="EX138" i="31"/>
  <c r="M138" i="31" s="1"/>
  <c r="DL138" i="31"/>
  <c r="L139" i="31"/>
  <c r="BT138" i="31"/>
  <c r="BU138" i="31"/>
  <c r="BV138" i="31" l="1"/>
  <c r="BW138" i="31" s="1"/>
  <c r="MJ138" i="31"/>
  <c r="NS138" i="31" s="1"/>
  <c r="MB138" i="31"/>
  <c r="NM138" i="31" l="1"/>
  <c r="NN138" i="31" s="1"/>
  <c r="NT138" i="31"/>
  <c r="OU139" i="31"/>
  <c r="BY138" i="31"/>
  <c r="BX138" i="31"/>
  <c r="OV139" i="31" l="1"/>
  <c r="NW138" i="31"/>
  <c r="NX138" i="31" s="1"/>
  <c r="BZ138" i="31"/>
  <c r="CA138" i="31"/>
  <c r="FV138" i="31"/>
  <c r="CX138" i="31"/>
  <c r="FR138" i="31"/>
  <c r="NU138" i="31"/>
  <c r="CB138" i="31" l="1"/>
  <c r="CC138" i="31" s="1"/>
  <c r="NZ138" i="31"/>
  <c r="MY138" i="31"/>
  <c r="CY139" i="31"/>
  <c r="NY138" i="31"/>
  <c r="NV138" i="31"/>
  <c r="OF138" i="31"/>
  <c r="OS139" i="31" s="1"/>
  <c r="CD138" i="31" l="1"/>
  <c r="CE138" i="31"/>
  <c r="CF138" i="31" s="1"/>
  <c r="OB138" i="31"/>
  <c r="OT139" i="31" s="1"/>
  <c r="OO139" i="31"/>
  <c r="OM139" i="31"/>
  <c r="NF139" i="31"/>
  <c r="OI138" i="31"/>
  <c r="OA138" i="31"/>
  <c r="MV139" i="31" s="1"/>
  <c r="MZ139" i="31"/>
  <c r="OZ138" i="31"/>
  <c r="CG138" i="31" l="1"/>
  <c r="CH138" i="31" s="1"/>
  <c r="CI138" i="31" s="1"/>
  <c r="OX139" i="31"/>
  <c r="MR139" i="31"/>
  <c r="OW138" i="31"/>
  <c r="PA138" i="31"/>
  <c r="OJ138" i="31"/>
  <c r="KT139" i="31"/>
  <c r="OG139" i="31"/>
  <c r="OC138" i="31"/>
  <c r="OD139" i="31" s="1"/>
  <c r="OH139" i="31" s="1"/>
  <c r="CK138" i="31" l="1"/>
  <c r="CM138" i="31" s="1"/>
  <c r="CN138" i="31" s="1"/>
  <c r="CJ138" i="31"/>
  <c r="CO138" i="31" s="1"/>
  <c r="MS139" i="31"/>
  <c r="KM139" i="31"/>
  <c r="KO140" i="31" s="1"/>
  <c r="KL139" i="31"/>
  <c r="KN140" i="31" s="1"/>
  <c r="OK139" i="31"/>
  <c r="OY139" i="31"/>
  <c r="MW139" i="31"/>
  <c r="CL138" i="31" l="1"/>
  <c r="CP138" i="31" s="1"/>
  <c r="FU138" i="31" s="1"/>
  <c r="FW138" i="31" s="1"/>
  <c r="KQ139" i="31"/>
  <c r="KP140" i="31"/>
  <c r="KR139" i="31"/>
  <c r="MX139" i="31"/>
  <c r="NQ139" i="31"/>
  <c r="NP139" i="31"/>
  <c r="MT139" i="31"/>
  <c r="NH140" i="31"/>
  <c r="NI140" i="31" s="1"/>
  <c r="NJ139" i="31"/>
  <c r="MU139" i="31"/>
  <c r="MO139" i="31"/>
  <c r="PE139" i="31"/>
  <c r="FZ138" i="31" l="1"/>
  <c r="GA138" i="31" s="1"/>
  <c r="GB138" i="31"/>
  <c r="GC138" i="31" s="1"/>
  <c r="FX138" i="31"/>
  <c r="FY138" i="31" s="1"/>
  <c r="FH138" i="31"/>
  <c r="FI138" i="31" s="1"/>
  <c r="HU138" i="31" s="1"/>
  <c r="HV139" i="31" s="1"/>
  <c r="DQ138" i="31"/>
  <c r="DR138" i="31" s="1"/>
  <c r="DS138" i="31" s="1"/>
  <c r="AX138" i="31" s="1"/>
  <c r="AY139" i="31" s="1"/>
  <c r="HO138" i="31"/>
  <c r="HP138" i="31" s="1"/>
  <c r="FP138" i="31"/>
  <c r="FS138" i="31" s="1"/>
  <c r="HA138" i="31" s="1"/>
  <c r="GO138" i="31"/>
  <c r="FE138" i="31"/>
  <c r="FF138" i="31" s="1"/>
  <c r="HW138" i="31" s="1"/>
  <c r="HX139" i="31" s="1"/>
  <c r="KX138" i="31"/>
  <c r="KU138" i="31"/>
  <c r="JR138" i="31"/>
  <c r="JS138" i="31" s="1"/>
  <c r="KE138" i="31" s="1"/>
  <c r="CQ138" i="31"/>
  <c r="CT138" i="31" s="1"/>
  <c r="NR139" i="31"/>
  <c r="NA139" i="31"/>
  <c r="NB139" i="31"/>
  <c r="KS139" i="31"/>
  <c r="NL139" i="31"/>
  <c r="NK139" i="31"/>
  <c r="NG140" i="31"/>
  <c r="OQ140" i="31"/>
  <c r="GN138" i="31" l="1"/>
  <c r="GQ138" i="31" s="1"/>
  <c r="IA138" i="31"/>
  <c r="IB138" i="31" s="1"/>
  <c r="FJ139" i="31"/>
  <c r="HY138" i="31"/>
  <c r="DY138" i="31"/>
  <c r="IZ138" i="31"/>
  <c r="FG139" i="31"/>
  <c r="CR138" i="31"/>
  <c r="CS138" i="31"/>
  <c r="KC138" i="31"/>
  <c r="JT139" i="31"/>
  <c r="JU138" i="31"/>
  <c r="OR140" i="31"/>
  <c r="EN138" i="31"/>
  <c r="AZ138" i="31"/>
  <c r="EM138" i="31"/>
  <c r="EW138" i="31" s="1"/>
  <c r="NC140" i="31"/>
  <c r="MQ140" i="31"/>
  <c r="HT138" i="31"/>
  <c r="HS138" i="31"/>
  <c r="JG138" i="31" s="1"/>
  <c r="KV138" i="31" l="1"/>
  <c r="KW139" i="31" s="1"/>
  <c r="HQ138" i="31"/>
  <c r="HR139" i="31" s="1"/>
  <c r="IC138" i="31"/>
  <c r="ID138" i="31" s="1"/>
  <c r="IF138" i="31" s="1"/>
  <c r="KH138" i="31" s="1"/>
  <c r="JB138" i="31"/>
  <c r="BB139" i="31"/>
  <c r="DW138" i="31"/>
  <c r="DU139" i="31" s="1"/>
  <c r="EQ138" i="31"/>
  <c r="ER139" i="31"/>
  <c r="IU138" i="31"/>
  <c r="IV138" i="31" s="1"/>
  <c r="IW138" i="31" l="1"/>
  <c r="KB138" i="31" s="1"/>
  <c r="BC139" i="31"/>
  <c r="GM138" i="31"/>
  <c r="DB138" i="31"/>
  <c r="DC138" i="31" s="1"/>
  <c r="DD139" i="31" s="1"/>
  <c r="DE140" i="31" s="1"/>
  <c r="IM138" i="31"/>
  <c r="KI139" i="31"/>
  <c r="IN138" i="31"/>
  <c r="DF138" i="31"/>
  <c r="IX138" i="31"/>
  <c r="KK138" i="31"/>
  <c r="EU139" i="31"/>
  <c r="DT138" i="31" l="1"/>
  <c r="DZ138" i="31" s="1"/>
  <c r="GT140" i="31"/>
  <c r="GU138" i="31"/>
  <c r="FD138" i="31"/>
  <c r="GV138" i="31"/>
  <c r="GR138" i="31"/>
  <c r="KJ139" i="31"/>
  <c r="BD139" i="31"/>
  <c r="BE139" i="31"/>
  <c r="GS138" i="31" l="1"/>
  <c r="IS138" i="31"/>
  <c r="FL139" i="31"/>
  <c r="BG139" i="31"/>
  <c r="BF139" i="31"/>
  <c r="BI139" i="31" l="1"/>
  <c r="BK139" i="31" s="1"/>
  <c r="BH139" i="31"/>
  <c r="FM139" i="31"/>
  <c r="JH138" i="31"/>
  <c r="JI138" i="31" s="1"/>
  <c r="IT138" i="31"/>
  <c r="GY138" i="31"/>
  <c r="GX138" i="31"/>
  <c r="GW138" i="31"/>
  <c r="HC138" i="31" s="1"/>
  <c r="FA139" i="31" s="1"/>
  <c r="HB139" i="31" s="1"/>
  <c r="BJ139" i="31" l="1"/>
  <c r="HM138" i="31"/>
  <c r="EG138" i="31"/>
  <c r="EH139" i="31" s="1"/>
  <c r="EI139" i="31" s="1"/>
  <c r="FK139" i="31" s="1"/>
  <c r="EY138" i="31"/>
  <c r="HK139" i="31"/>
  <c r="JK138" i="31"/>
  <c r="BL139" i="31"/>
  <c r="BM139" i="31"/>
  <c r="JL138" i="31" l="1"/>
  <c r="JJ139" i="31" s="1"/>
  <c r="KA139" i="31"/>
  <c r="JZ138" i="31"/>
  <c r="KF138" i="31" s="1"/>
  <c r="IQ139" i="31" s="1"/>
  <c r="BN139" i="31"/>
  <c r="BO139" i="31"/>
  <c r="JM138" i="31"/>
  <c r="KD138" i="31" s="1"/>
  <c r="IL139" i="31" s="1"/>
  <c r="EZ138" i="31"/>
  <c r="DG138" i="31"/>
  <c r="DH138" i="31" s="1"/>
  <c r="DI139" i="31" s="1"/>
  <c r="JN138" i="31"/>
  <c r="JV138" i="31" s="1"/>
  <c r="JF139" i="31" s="1"/>
  <c r="ED138" i="31"/>
  <c r="EB139" i="31" s="1"/>
  <c r="EJ138" i="31"/>
  <c r="EK139" i="31" s="1"/>
  <c r="EE138" i="31"/>
  <c r="EF139" i="31" s="1"/>
  <c r="EP139" i="31" l="1"/>
  <c r="ET140" i="31" s="1"/>
  <c r="FC139" i="31"/>
  <c r="EL139" i="31"/>
  <c r="EO139" i="31"/>
  <c r="ES140" i="31" s="1"/>
  <c r="EV139" i="31"/>
  <c r="JY139" i="31"/>
  <c r="JW139" i="31"/>
  <c r="BP139" i="31"/>
  <c r="BQ139" i="31" s="1"/>
  <c r="IY139" i="31"/>
  <c r="JO139" i="31"/>
  <c r="JE139" i="31"/>
  <c r="IR139" i="31"/>
  <c r="JA139" i="31"/>
  <c r="DP139" i="31"/>
  <c r="GZ139" i="31"/>
  <c r="IE139" i="31" s="1"/>
  <c r="DJ139" i="31"/>
  <c r="DK139" i="31" s="1"/>
  <c r="HZ139" i="31"/>
  <c r="IO139" i="31"/>
  <c r="IP139" i="31"/>
  <c r="JC139" i="31"/>
  <c r="JD139" i="31"/>
  <c r="JP139" i="31" l="1"/>
  <c r="JQ139" i="31" s="1"/>
  <c r="BR139" i="31"/>
  <c r="BS139" i="31"/>
  <c r="EC139" i="31"/>
  <c r="KG139" i="31"/>
  <c r="JX139" i="31"/>
  <c r="DM139" i="31"/>
  <c r="DX139" i="31"/>
  <c r="FQ139" i="31"/>
  <c r="FB139" i="31" l="1"/>
  <c r="EX139" i="31"/>
  <c r="M139" i="31" s="1"/>
  <c r="DL139" i="31"/>
  <c r="L140" i="31"/>
  <c r="BT139" i="31"/>
  <c r="BU139" i="31"/>
  <c r="BV139" i="31" s="1"/>
  <c r="BW139" i="31" s="1"/>
  <c r="MJ139" i="31" l="1"/>
  <c r="NS139" i="31" s="1"/>
  <c r="MB139" i="31"/>
  <c r="BX139" i="31"/>
  <c r="BY139" i="31"/>
  <c r="NM139" i="31" l="1"/>
  <c r="NN139" i="31" s="1"/>
  <c r="BZ139" i="31"/>
  <c r="CA139" i="31"/>
  <c r="NT139" i="31"/>
  <c r="OU140" i="31"/>
  <c r="NW139" i="31" l="1"/>
  <c r="NX139" i="31" s="1"/>
  <c r="NY139" i="31" s="1"/>
  <c r="OV140" i="31"/>
  <c r="FV139" i="31"/>
  <c r="CX139" i="31"/>
  <c r="FR139" i="31"/>
  <c r="NU139" i="31"/>
  <c r="CB139" i="31"/>
  <c r="CC139" i="31" s="1"/>
  <c r="CE139" i="31" l="1"/>
  <c r="CD139" i="31"/>
  <c r="OF139" i="31"/>
  <c r="OS140" i="31" s="1"/>
  <c r="NV139" i="31"/>
  <c r="NZ139" i="31"/>
  <c r="OA139" i="31" s="1"/>
  <c r="MV140" i="31" s="1"/>
  <c r="OG140" i="31" s="1"/>
  <c r="MY139" i="31"/>
  <c r="CY140" i="31"/>
  <c r="OB139" i="31"/>
  <c r="OT140" i="31" s="1"/>
  <c r="CF139" i="31" l="1"/>
  <c r="CG139" i="31"/>
  <c r="MZ140" i="31"/>
  <c r="OZ139" i="31"/>
  <c r="PA139" i="31"/>
  <c r="OC139" i="31"/>
  <c r="OD140" i="31" s="1"/>
  <c r="OH140" i="31" s="1"/>
  <c r="OK140" i="31" s="1"/>
  <c r="OJ139" i="31"/>
  <c r="CH139" i="31"/>
  <c r="CI139" i="31" s="1"/>
  <c r="OI139" i="31"/>
  <c r="OM140" i="31"/>
  <c r="OO140" i="31"/>
  <c r="KT140" i="31" s="1"/>
  <c r="NF140" i="31"/>
  <c r="CJ139" i="31" l="1"/>
  <c r="CO139" i="31" s="1"/>
  <c r="CK139" i="31"/>
  <c r="CL139" i="31" s="1"/>
  <c r="KL140" i="31"/>
  <c r="KN141" i="31" s="1"/>
  <c r="KM140" i="31"/>
  <c r="KO141" i="31" s="1"/>
  <c r="OY140" i="31"/>
  <c r="MW140" i="31"/>
  <c r="MR140" i="31"/>
  <c r="OW139" i="31"/>
  <c r="OX140" i="31"/>
  <c r="CM139" i="31" l="1"/>
  <c r="CN139" i="31" s="1"/>
  <c r="MS140" i="31"/>
  <c r="CP139" i="31"/>
  <c r="MX140" i="31"/>
  <c r="KP141" i="31"/>
  <c r="KR140" i="31"/>
  <c r="KQ140" i="31"/>
  <c r="KS140" i="31" l="1"/>
  <c r="NB140" i="31"/>
  <c r="NA140" i="31"/>
  <c r="GO139" i="31"/>
  <c r="FH139" i="31"/>
  <c r="FI139" i="31" s="1"/>
  <c r="GB139" i="31"/>
  <c r="GC139" i="31" s="1"/>
  <c r="CQ139" i="31"/>
  <c r="HO139" i="31"/>
  <c r="FZ139" i="31"/>
  <c r="GA139" i="31" s="1"/>
  <c r="FE139" i="31"/>
  <c r="FF139" i="31" s="1"/>
  <c r="FU139" i="31"/>
  <c r="FW139" i="31" s="1"/>
  <c r="FP139" i="31"/>
  <c r="FS139" i="31" s="1"/>
  <c r="DQ139" i="31"/>
  <c r="DR139" i="31" s="1"/>
  <c r="FX139" i="31"/>
  <c r="FY139" i="31" s="1"/>
  <c r="JR139" i="31"/>
  <c r="JS139" i="31" s="1"/>
  <c r="KX139" i="31"/>
  <c r="GN139" i="31" s="1"/>
  <c r="KU139" i="31"/>
  <c r="NJ140" i="31"/>
  <c r="MO140" i="31"/>
  <c r="NH141" i="31"/>
  <c r="NI141" i="31" s="1"/>
  <c r="NP140" i="31"/>
  <c r="NQ140" i="31"/>
  <c r="MU140" i="31"/>
  <c r="MT140" i="31"/>
  <c r="PE140" i="31"/>
  <c r="NR140" i="31" l="1"/>
  <c r="CS139" i="31"/>
  <c r="CT139" i="31"/>
  <c r="CR139" i="31"/>
  <c r="IA139" i="31"/>
  <c r="IB139" i="31" s="1"/>
  <c r="HP139" i="31"/>
  <c r="IZ139" i="31"/>
  <c r="GQ139" i="31"/>
  <c r="KV139" i="31"/>
  <c r="DS139" i="31"/>
  <c r="AX139" i="31" s="1"/>
  <c r="AY140" i="31" s="1"/>
  <c r="HU139" i="31"/>
  <c r="HV140" i="31" s="1"/>
  <c r="FJ140" i="31"/>
  <c r="HY139" i="31"/>
  <c r="HA139" i="31"/>
  <c r="DY139" i="31"/>
  <c r="KC139" i="31"/>
  <c r="KE139" i="31"/>
  <c r="JT140" i="31"/>
  <c r="JU139" i="31"/>
  <c r="NL140" i="31"/>
  <c r="NK140" i="31"/>
  <c r="NG141" i="31"/>
  <c r="OQ141" i="31"/>
  <c r="FG140" i="31"/>
  <c r="HW139" i="31"/>
  <c r="HX140" i="31" s="1"/>
  <c r="KW140" i="31" l="1"/>
  <c r="HQ139" i="31"/>
  <c r="HR140" i="31" s="1"/>
  <c r="HS139" i="31"/>
  <c r="JG139" i="31" s="1"/>
  <c r="HT139" i="31"/>
  <c r="OR141" i="31"/>
  <c r="EM139" i="31"/>
  <c r="EW139" i="31" s="1"/>
  <c r="EN139" i="31"/>
  <c r="AZ139" i="31"/>
  <c r="NC141" i="31"/>
  <c r="MQ141" i="31"/>
  <c r="IC139" i="31" l="1"/>
  <c r="ID139" i="31" s="1"/>
  <c r="IF139" i="31" s="1"/>
  <c r="KH139" i="31" s="1"/>
  <c r="JB139" i="31"/>
  <c r="BB140" i="31"/>
  <c r="DW139" i="31"/>
  <c r="DU140" i="31" s="1"/>
  <c r="EQ139" i="31"/>
  <c r="ER140" i="31"/>
  <c r="IU139" i="31"/>
  <c r="IV139" i="31" s="1"/>
  <c r="IW139" i="31" l="1"/>
  <c r="KB139" i="31" s="1"/>
  <c r="BC140" i="31"/>
  <c r="EU140" i="31"/>
  <c r="IX139" i="31"/>
  <c r="KK139" i="31"/>
  <c r="DB139" i="31"/>
  <c r="DC139" i="31" s="1"/>
  <c r="DD140" i="31" s="1"/>
  <c r="DE141" i="31" s="1"/>
  <c r="IM139" i="31"/>
  <c r="GM139" i="31"/>
  <c r="KI140" i="31"/>
  <c r="IN139" i="31"/>
  <c r="DF139" i="31"/>
  <c r="DT139" i="31" l="1"/>
  <c r="DZ139" i="31" s="1"/>
  <c r="GT141" i="31"/>
  <c r="KJ140" i="31"/>
  <c r="GR139" i="31"/>
  <c r="GU139" i="31"/>
  <c r="FD139" i="31"/>
  <c r="GV139" i="31"/>
  <c r="BD140" i="31"/>
  <c r="BE140" i="31"/>
  <c r="IS139" i="31" l="1"/>
  <c r="FL140" i="31"/>
  <c r="GS139" i="31"/>
  <c r="BF140" i="31"/>
  <c r="BG140" i="31"/>
  <c r="BI140" i="31" l="1"/>
  <c r="BK140" i="31" s="1"/>
  <c r="BH140" i="31"/>
  <c r="GY139" i="31"/>
  <c r="GW139" i="31"/>
  <c r="HC139" i="31" s="1"/>
  <c r="FA140" i="31" s="1"/>
  <c r="HB140" i="31" s="1"/>
  <c r="GX139" i="31"/>
  <c r="FM140" i="31"/>
  <c r="JH139" i="31"/>
  <c r="JI139" i="31" s="1"/>
  <c r="IT139" i="31"/>
  <c r="JK139" i="31" l="1"/>
  <c r="JN139" i="31" s="1"/>
  <c r="JV139" i="31" s="1"/>
  <c r="JF140" i="31" s="1"/>
  <c r="EG139" i="31"/>
  <c r="EH140" i="31" s="1"/>
  <c r="EI140" i="31" s="1"/>
  <c r="FK140" i="31" s="1"/>
  <c r="HM139" i="31"/>
  <c r="EY139" i="31"/>
  <c r="HK140" i="31"/>
  <c r="BL140" i="31"/>
  <c r="BM140" i="31"/>
  <c r="BJ140" i="31"/>
  <c r="EE139" i="31" l="1"/>
  <c r="EF140" i="31" s="1"/>
  <c r="ED139" i="31"/>
  <c r="EB140" i="31" s="1"/>
  <c r="EJ139" i="31"/>
  <c r="EK140" i="31" s="1"/>
  <c r="JW140" i="31"/>
  <c r="JY140" i="31"/>
  <c r="JM139" i="31"/>
  <c r="KD139" i="31" s="1"/>
  <c r="IL140" i="31" s="1"/>
  <c r="JL139" i="31"/>
  <c r="JJ140" i="31" s="1"/>
  <c r="KA140" i="31"/>
  <c r="BN140" i="31"/>
  <c r="BO140" i="31"/>
  <c r="JZ139" i="31"/>
  <c r="KF139" i="31" s="1"/>
  <c r="IQ140" i="31" s="1"/>
  <c r="EZ139" i="31"/>
  <c r="DG139" i="31"/>
  <c r="DH139" i="31" s="1"/>
  <c r="DI140" i="31" s="1"/>
  <c r="JA140" i="31" l="1"/>
  <c r="IR140" i="31"/>
  <c r="JE140" i="31"/>
  <c r="JO140" i="31"/>
  <c r="IY140" i="31"/>
  <c r="IP140" i="31"/>
  <c r="IO140" i="31"/>
  <c r="JC140" i="31"/>
  <c r="JD140" i="31"/>
  <c r="HZ140" i="31"/>
  <c r="DP140" i="31"/>
  <c r="BP140" i="31"/>
  <c r="BQ140" i="31" s="1"/>
  <c r="FC140" i="31"/>
  <c r="EP140" i="31"/>
  <c r="ET141" i="31" s="1"/>
  <c r="EO140" i="31"/>
  <c r="ES141" i="31" s="1"/>
  <c r="EL140" i="31"/>
  <c r="EV140" i="31"/>
  <c r="GZ140" i="31"/>
  <c r="IE140" i="31" s="1"/>
  <c r="DJ140" i="31"/>
  <c r="DK140" i="31" s="1"/>
  <c r="JP140" i="31" l="1"/>
  <c r="JQ140" i="31" s="1"/>
  <c r="JX140" i="31"/>
  <c r="BR140" i="31"/>
  <c r="BS140" i="31"/>
  <c r="DX140" i="31"/>
  <c r="DM140" i="31"/>
  <c r="FQ140" i="31"/>
  <c r="KG140" i="31"/>
  <c r="EC140" i="31"/>
  <c r="DL140" i="31" l="1"/>
  <c r="L141" i="31"/>
  <c r="EX140" i="31"/>
  <c r="M140" i="31" s="1"/>
  <c r="FB140" i="31"/>
  <c r="BT140" i="31"/>
  <c r="BU140" i="31"/>
  <c r="BV140" i="31" s="1"/>
  <c r="BW140" i="31" s="1"/>
  <c r="BX140" i="31" l="1"/>
  <c r="BY140" i="31"/>
  <c r="MB140" i="31"/>
  <c r="NM140" i="31" s="1"/>
  <c r="NN140" i="31" s="1"/>
  <c r="MJ140" i="31"/>
  <c r="NS140" i="31" s="1"/>
  <c r="NT140" i="31" l="1"/>
  <c r="OU141" i="31"/>
  <c r="BZ140" i="31"/>
  <c r="CA140" i="31"/>
  <c r="OV141" i="31"/>
  <c r="NW140" i="31"/>
  <c r="CB140" i="31" l="1"/>
  <c r="CC140" i="31" s="1"/>
  <c r="NX140" i="31"/>
  <c r="CX140" i="31"/>
  <c r="FR140" i="31"/>
  <c r="FV140" i="31"/>
  <c r="NU140" i="31"/>
  <c r="CD140" i="31" l="1"/>
  <c r="CE140" i="31"/>
  <c r="CF140" i="31" s="1"/>
  <c r="NY140" i="31"/>
  <c r="NV140" i="31"/>
  <c r="OF140" i="31"/>
  <c r="OS141" i="31" s="1"/>
  <c r="NZ140" i="31"/>
  <c r="MY140" i="31"/>
  <c r="CY141" i="31"/>
  <c r="CG140" i="31" l="1"/>
  <c r="CH140" i="31" s="1"/>
  <c r="CI140" i="31" s="1"/>
  <c r="OB140" i="31"/>
  <c r="OT141" i="31" s="1"/>
  <c r="MZ141" i="31"/>
  <c r="OZ140" i="31"/>
  <c r="OA140" i="31"/>
  <c r="MV141" i="31" s="1"/>
  <c r="NF141" i="31"/>
  <c r="OO141" i="31"/>
  <c r="OM141" i="31"/>
  <c r="OI140" i="31"/>
  <c r="CK140" i="31" l="1"/>
  <c r="CL140" i="31" s="1"/>
  <c r="CJ140" i="31"/>
  <c r="CO140" i="31" s="1"/>
  <c r="PA140" i="31"/>
  <c r="OJ140" i="31"/>
  <c r="OG141" i="31"/>
  <c r="KT141" i="31"/>
  <c r="OC140" i="31"/>
  <c r="OD141" i="31" s="1"/>
  <c r="OH141" i="31" s="1"/>
  <c r="OX141" i="31"/>
  <c r="MR141" i="31"/>
  <c r="OW140" i="31"/>
  <c r="CM140" i="31" l="1"/>
  <c r="CN140" i="31" s="1"/>
  <c r="OK141" i="31"/>
  <c r="CP140" i="31"/>
  <c r="MW141" i="31"/>
  <c r="OY141" i="31"/>
  <c r="KL141" i="31"/>
  <c r="KN142" i="31" s="1"/>
  <c r="KM141" i="31"/>
  <c r="KO142" i="31" s="1"/>
  <c r="MS141" i="31"/>
  <c r="NQ141" i="31" l="1"/>
  <c r="NH142" i="31"/>
  <c r="NI142" i="31" s="1"/>
  <c r="MT141" i="31"/>
  <c r="MO141" i="31"/>
  <c r="MU141" i="31"/>
  <c r="NP141" i="31"/>
  <c r="NJ141" i="31"/>
  <c r="PE141" i="31"/>
  <c r="KP142" i="31"/>
  <c r="KR141" i="31"/>
  <c r="MX141" i="31"/>
  <c r="KQ141" i="31"/>
  <c r="FX140" i="31"/>
  <c r="FY140" i="31" s="1"/>
  <c r="FP140" i="31"/>
  <c r="FS140" i="31" s="1"/>
  <c r="FZ140" i="31"/>
  <c r="GA140" i="31" s="1"/>
  <c r="GB140" i="31"/>
  <c r="GC140" i="31" s="1"/>
  <c r="JR140" i="31"/>
  <c r="JS140" i="31" s="1"/>
  <c r="FU140" i="31"/>
  <c r="FW140" i="31" s="1"/>
  <c r="HO140" i="31"/>
  <c r="CQ140" i="31"/>
  <c r="GO140" i="31"/>
  <c r="DQ140" i="31"/>
  <c r="DR140" i="31" s="1"/>
  <c r="FE140" i="31"/>
  <c r="FF140" i="31" s="1"/>
  <c r="FH140" i="31"/>
  <c r="FI140" i="31" s="1"/>
  <c r="KX140" i="31"/>
  <c r="KU140" i="31"/>
  <c r="GN140" i="31" l="1"/>
  <c r="GQ140" i="31" s="1"/>
  <c r="IA140" i="31"/>
  <c r="IB140" i="31" s="1"/>
  <c r="HP140" i="31"/>
  <c r="IZ140" i="31"/>
  <c r="NK141" i="31"/>
  <c r="NL141" i="31"/>
  <c r="NG142" i="31"/>
  <c r="OQ142" i="31"/>
  <c r="KV140" i="31"/>
  <c r="KE140" i="31"/>
  <c r="JU140" i="31"/>
  <c r="JT141" i="31"/>
  <c r="KC140" i="31"/>
  <c r="NB141" i="31"/>
  <c r="NA141" i="31"/>
  <c r="HW140" i="31"/>
  <c r="HX141" i="31" s="1"/>
  <c r="FG141" i="31"/>
  <c r="DS140" i="31"/>
  <c r="AX140" i="31" s="1"/>
  <c r="AY141" i="31" s="1"/>
  <c r="DY140" i="31"/>
  <c r="HY140" i="31"/>
  <c r="HA140" i="31"/>
  <c r="HU140" i="31"/>
  <c r="HV141" i="31" s="1"/>
  <c r="FJ141" i="31"/>
  <c r="CR140" i="31"/>
  <c r="CT140" i="31"/>
  <c r="CS140" i="31"/>
  <c r="KS141" i="31"/>
  <c r="NR141" i="31"/>
  <c r="KW141" i="31" l="1"/>
  <c r="HQ140" i="31"/>
  <c r="HR141" i="31" s="1"/>
  <c r="EM140" i="31"/>
  <c r="EW140" i="31" s="1"/>
  <c r="AZ140" i="31"/>
  <c r="EN140" i="31"/>
  <c r="NC142" i="31"/>
  <c r="MQ142" i="31"/>
  <c r="OR142" i="31"/>
  <c r="HS140" i="31"/>
  <c r="JG140" i="31" s="1"/>
  <c r="HT140" i="31"/>
  <c r="BB141" i="31" l="1"/>
  <c r="DW140" i="31"/>
  <c r="DU141" i="31" s="1"/>
  <c r="EQ140" i="31"/>
  <c r="ER141" i="31"/>
  <c r="IU140" i="31"/>
  <c r="IV140" i="31" s="1"/>
  <c r="IC140" i="31"/>
  <c r="ID140" i="31" s="1"/>
  <c r="IF140" i="31" s="1"/>
  <c r="KH140" i="31" s="1"/>
  <c r="JB140" i="31"/>
  <c r="IW140" i="31" l="1"/>
  <c r="KB140" i="31" s="1"/>
  <c r="KK140" i="31"/>
  <c r="IX140" i="31"/>
  <c r="GM140" i="31"/>
  <c r="IM140" i="31"/>
  <c r="DB140" i="31"/>
  <c r="DC140" i="31" s="1"/>
  <c r="DD141" i="31" s="1"/>
  <c r="DE142" i="31" s="1"/>
  <c r="KI141" i="31"/>
  <c r="IN140" i="31"/>
  <c r="DF140" i="31"/>
  <c r="EU141" i="31"/>
  <c r="BC141" i="31"/>
  <c r="DT140" i="31" l="1"/>
  <c r="DZ140" i="31" s="1"/>
  <c r="GT142" i="31"/>
  <c r="GR140" i="31"/>
  <c r="BD141" i="31"/>
  <c r="BE141" i="31"/>
  <c r="KJ141" i="31"/>
  <c r="FD140" i="31"/>
  <c r="GU140" i="31"/>
  <c r="GV140" i="31"/>
  <c r="BG141" i="31" l="1"/>
  <c r="BF141" i="31"/>
  <c r="GS140" i="31"/>
  <c r="IS140" i="31"/>
  <c r="FL141" i="31"/>
  <c r="FM141" i="31" l="1"/>
  <c r="GW140" i="31"/>
  <c r="HC140" i="31" s="1"/>
  <c r="FA141" i="31" s="1"/>
  <c r="HB141" i="31" s="1"/>
  <c r="GY140" i="31"/>
  <c r="GX140" i="31"/>
  <c r="JH140" i="31"/>
  <c r="JI140" i="31" s="1"/>
  <c r="IT140" i="31"/>
  <c r="BH141" i="31"/>
  <c r="BI141" i="31"/>
  <c r="BK141" i="31" s="1"/>
  <c r="BJ141" i="31" l="1"/>
  <c r="JK140" i="31"/>
  <c r="JZ140" i="31" s="1"/>
  <c r="KF140" i="31" s="1"/>
  <c r="IQ141" i="31" s="1"/>
  <c r="BL141" i="31"/>
  <c r="BM141" i="31"/>
  <c r="EG140" i="31"/>
  <c r="EH141" i="31" s="1"/>
  <c r="EI141" i="31" s="1"/>
  <c r="FK141" i="31" s="1"/>
  <c r="HM140" i="31"/>
  <c r="EY140" i="31"/>
  <c r="HK141" i="31"/>
  <c r="JM140" i="31" l="1"/>
  <c r="KD140" i="31" s="1"/>
  <c r="IL141" i="31" s="1"/>
  <c r="JE141" i="31" s="1"/>
  <c r="JN140" i="31"/>
  <c r="JV140" i="31" s="1"/>
  <c r="JF141" i="31" s="1"/>
  <c r="JW141" i="31" s="1"/>
  <c r="BO141" i="31"/>
  <c r="BN141" i="31"/>
  <c r="EZ140" i="31"/>
  <c r="DG140" i="31"/>
  <c r="DH140" i="31" s="1"/>
  <c r="DI141" i="31" s="1"/>
  <c r="EJ140" i="31"/>
  <c r="EK141" i="31" s="1"/>
  <c r="EE140" i="31"/>
  <c r="EF141" i="31" s="1"/>
  <c r="ED140" i="31"/>
  <c r="EB141" i="31" s="1"/>
  <c r="IY141" i="31" s="1"/>
  <c r="JL140" i="31"/>
  <c r="JJ141" i="31" s="1"/>
  <c r="KA141" i="31"/>
  <c r="JY141" i="31" l="1"/>
  <c r="IR141" i="31"/>
  <c r="JO141" i="31"/>
  <c r="IO141" i="31"/>
  <c r="JP141" i="31" s="1"/>
  <c r="JQ141" i="31" s="1"/>
  <c r="FC141" i="31"/>
  <c r="EP141" i="31"/>
  <c r="ET142" i="31" s="1"/>
  <c r="EO141" i="31"/>
  <c r="ES142" i="31" s="1"/>
  <c r="EL141" i="31"/>
  <c r="JX141" i="31" s="1"/>
  <c r="EV141" i="31"/>
  <c r="HZ141" i="31"/>
  <c r="JC141" i="31"/>
  <c r="JD141" i="31"/>
  <c r="IP141" i="31"/>
  <c r="JA141" i="31"/>
  <c r="GZ141" i="31"/>
  <c r="IE141" i="31" s="1"/>
  <c r="DJ141" i="31"/>
  <c r="DK141" i="31" s="1"/>
  <c r="DP141" i="31"/>
  <c r="BP141" i="31"/>
  <c r="BQ141" i="31" s="1"/>
  <c r="KG141" i="31" l="1"/>
  <c r="DX141" i="31"/>
  <c r="FQ141" i="31"/>
  <c r="DM141" i="31"/>
  <c r="BR141" i="31"/>
  <c r="BS141" i="31"/>
  <c r="EC141" i="31"/>
  <c r="DL141" i="31" l="1"/>
  <c r="L142" i="31"/>
  <c r="BT141" i="31"/>
  <c r="BU141" i="31"/>
  <c r="EX141" i="31"/>
  <c r="M141" i="31" s="1"/>
  <c r="FB141" i="31"/>
  <c r="BV141" i="31" l="1"/>
  <c r="BW141" i="31" s="1"/>
  <c r="MJ141" i="31"/>
  <c r="NS141" i="31" s="1"/>
  <c r="MB141" i="31"/>
  <c r="NM141" i="31" s="1"/>
  <c r="NN141" i="31" s="1"/>
  <c r="BX141" i="31" l="1"/>
  <c r="BY141" i="31"/>
  <c r="CA141" i="31" s="1"/>
  <c r="NT141" i="31"/>
  <c r="OU142" i="31"/>
  <c r="OV142" i="31"/>
  <c r="NW141" i="31"/>
  <c r="BZ141" i="31" l="1"/>
  <c r="CB141" i="31"/>
  <c r="CC141" i="31" s="1"/>
  <c r="NX141" i="31"/>
  <c r="CX141" i="31"/>
  <c r="FR141" i="31"/>
  <c r="FV141" i="31"/>
  <c r="NU141" i="31"/>
  <c r="CD141" i="31" l="1"/>
  <c r="CE141" i="31"/>
  <c r="CG141" i="31" s="1"/>
  <c r="NZ141" i="31"/>
  <c r="MY141" i="31"/>
  <c r="CY142" i="31"/>
  <c r="NY141" i="31"/>
  <c r="OF141" i="31"/>
  <c r="OS142" i="31" s="1"/>
  <c r="NV141" i="31"/>
  <c r="CF141" i="31" l="1"/>
  <c r="OA141" i="31"/>
  <c r="MV142" i="31" s="1"/>
  <c r="OG142" i="31" s="1"/>
  <c r="OI141" i="31"/>
  <c r="MR142" i="31" s="1"/>
  <c r="OO142" i="31"/>
  <c r="NF142" i="31"/>
  <c r="OM142" i="31"/>
  <c r="MZ142" i="31"/>
  <c r="OZ141" i="31"/>
  <c r="CH141" i="31"/>
  <c r="CI141" i="31" s="1"/>
  <c r="OB141" i="31"/>
  <c r="OT142" i="31" s="1"/>
  <c r="KT142" i="31" l="1"/>
  <c r="KM142" i="31" s="1"/>
  <c r="KO143" i="31" s="1"/>
  <c r="CJ141" i="31"/>
  <c r="CO141" i="31" s="1"/>
  <c r="CK141" i="31"/>
  <c r="CM141" i="31" s="1"/>
  <c r="CN141" i="31" s="1"/>
  <c r="OW141" i="31"/>
  <c r="OX142" i="31"/>
  <c r="MS142" i="31"/>
  <c r="OC141" i="31"/>
  <c r="OD142" i="31" s="1"/>
  <c r="OH142" i="31" s="1"/>
  <c r="OK142" i="31" s="1"/>
  <c r="PA141" i="31"/>
  <c r="OJ141" i="31"/>
  <c r="KL142" i="31" l="1"/>
  <c r="KN143" i="31" s="1"/>
  <c r="KP143" i="31" s="1"/>
  <c r="CL141" i="31"/>
  <c r="CP141" i="31" s="1"/>
  <c r="NJ142" i="31"/>
  <c r="NP142" i="31"/>
  <c r="NH143" i="31"/>
  <c r="NI143" i="31" s="1"/>
  <c r="NQ142" i="31"/>
  <c r="MT142" i="31"/>
  <c r="MU142" i="31"/>
  <c r="MO142" i="31"/>
  <c r="PE142" i="31"/>
  <c r="KR142" i="31"/>
  <c r="OY142" i="31"/>
  <c r="MW142" i="31"/>
  <c r="KQ142" i="31" l="1"/>
  <c r="KS142" i="31" s="1"/>
  <c r="NR142" i="31"/>
  <c r="MX142" i="31"/>
  <c r="NL142" i="31"/>
  <c r="NK142" i="31"/>
  <c r="NG143" i="31"/>
  <c r="OQ143" i="31"/>
  <c r="FZ141" i="31"/>
  <c r="GA141" i="31" s="1"/>
  <c r="JR141" i="31"/>
  <c r="JS141" i="31" s="1"/>
  <c r="FP141" i="31"/>
  <c r="FS141" i="31" s="1"/>
  <c r="GO141" i="31"/>
  <c r="FH141" i="31"/>
  <c r="FI141" i="31" s="1"/>
  <c r="FE141" i="31"/>
  <c r="FF141" i="31" s="1"/>
  <c r="FU141" i="31"/>
  <c r="FW141" i="31" s="1"/>
  <c r="DQ141" i="31"/>
  <c r="DR141" i="31" s="1"/>
  <c r="FX141" i="31"/>
  <c r="FY141" i="31" s="1"/>
  <c r="CQ141" i="31"/>
  <c r="GB141" i="31"/>
  <c r="GC141" i="31" s="1"/>
  <c r="HO141" i="31"/>
  <c r="KX141" i="31"/>
  <c r="KU141" i="31"/>
  <c r="GN141" i="31" l="1"/>
  <c r="GQ141" i="31" s="1"/>
  <c r="HU141" i="31"/>
  <c r="HV142" i="31" s="1"/>
  <c r="FJ142" i="31"/>
  <c r="NC143" i="31"/>
  <c r="MQ143" i="31"/>
  <c r="DY141" i="31"/>
  <c r="HY141" i="31"/>
  <c r="HA141" i="31"/>
  <c r="IA141" i="31"/>
  <c r="IB141" i="31" s="1"/>
  <c r="HP141" i="31"/>
  <c r="IZ141" i="31"/>
  <c r="CT141" i="31"/>
  <c r="CS141" i="31"/>
  <c r="CR141" i="31"/>
  <c r="JU141" i="31"/>
  <c r="KC141" i="31"/>
  <c r="KE141" i="31"/>
  <c r="JT142" i="31"/>
  <c r="DS141" i="31"/>
  <c r="AX141" i="31" s="1"/>
  <c r="AY142" i="31" s="1"/>
  <c r="OR143" i="31"/>
  <c r="NA142" i="31"/>
  <c r="NB142" i="31"/>
  <c r="FG142" i="31"/>
  <c r="HW141" i="31"/>
  <c r="HX142" i="31" s="1"/>
  <c r="KV141" i="31" l="1"/>
  <c r="KW142" i="31" s="1"/>
  <c r="HQ141" i="31"/>
  <c r="HR142" i="31" s="1"/>
  <c r="AZ141" i="31"/>
  <c r="EM141" i="31"/>
  <c r="EW141" i="31" s="1"/>
  <c r="EN141" i="31"/>
  <c r="HS141" i="31"/>
  <c r="JG141" i="31" s="1"/>
  <c r="HT141" i="31"/>
  <c r="BB142" i="31" l="1"/>
  <c r="DW141" i="31"/>
  <c r="DU142" i="31" s="1"/>
  <c r="EQ141" i="31"/>
  <c r="ER142" i="31"/>
  <c r="IU141" i="31"/>
  <c r="IV141" i="31" s="1"/>
  <c r="IC141" i="31"/>
  <c r="ID141" i="31" s="1"/>
  <c r="IF141" i="31" s="1"/>
  <c r="KH141" i="31" s="1"/>
  <c r="JB141" i="31"/>
  <c r="IW141" i="31" l="1"/>
  <c r="KB141" i="31" s="1"/>
  <c r="KK141" i="31"/>
  <c r="IX141" i="31"/>
  <c r="EU142" i="31"/>
  <c r="IM141" i="31"/>
  <c r="GM141" i="31"/>
  <c r="DB141" i="31"/>
  <c r="DC141" i="31" s="1"/>
  <c r="DD142" i="31" s="1"/>
  <c r="DE143" i="31" s="1"/>
  <c r="KI142" i="31"/>
  <c r="IN141" i="31"/>
  <c r="DF141" i="31"/>
  <c r="BC142" i="31"/>
  <c r="DT141" i="31" l="1"/>
  <c r="DZ141" i="31" s="1"/>
  <c r="GT143" i="31"/>
  <c r="KJ142" i="31"/>
  <c r="GR141" i="31"/>
  <c r="BE142" i="31"/>
  <c r="BD142" i="31"/>
  <c r="FD141" i="31"/>
  <c r="GV141" i="31"/>
  <c r="GU141" i="31"/>
  <c r="GS141" i="31" l="1"/>
  <c r="BG142" i="31"/>
  <c r="BF142" i="31"/>
  <c r="IS141" i="31"/>
  <c r="FL142" i="31"/>
  <c r="JH141" i="31" l="1"/>
  <c r="JI141" i="31" s="1"/>
  <c r="IT141" i="31"/>
  <c r="FM142" i="31"/>
  <c r="GW141" i="31"/>
  <c r="HC141" i="31" s="1"/>
  <c r="FA142" i="31" s="1"/>
  <c r="HB142" i="31" s="1"/>
  <c r="GX141" i="31"/>
  <c r="GY141" i="31"/>
  <c r="BI142" i="31"/>
  <c r="BK142" i="31" s="1"/>
  <c r="BH142" i="31"/>
  <c r="BJ142" i="31" l="1"/>
  <c r="EY141" i="31"/>
  <c r="HM141" i="31"/>
  <c r="EG141" i="31"/>
  <c r="EH142" i="31" s="1"/>
  <c r="EI142" i="31" s="1"/>
  <c r="FK142" i="31" s="1"/>
  <c r="HK142" i="31"/>
  <c r="BL142" i="31"/>
  <c r="BM142" i="31"/>
  <c r="JK141" i="31"/>
  <c r="JZ141" i="31" s="1"/>
  <c r="KF141" i="31" s="1"/>
  <c r="IQ142" i="31" s="1"/>
  <c r="JM141" i="31" l="1"/>
  <c r="KD141" i="31" s="1"/>
  <c r="IL142" i="31" s="1"/>
  <c r="IR142" i="31" s="1"/>
  <c r="JN141" i="31"/>
  <c r="JV141" i="31" s="1"/>
  <c r="JF142" i="31" s="1"/>
  <c r="JW142" i="31" s="1"/>
  <c r="EE141" i="31"/>
  <c r="EF142" i="31" s="1"/>
  <c r="ED141" i="31"/>
  <c r="EB142" i="31" s="1"/>
  <c r="IY142" i="31" s="1"/>
  <c r="EJ141" i="31"/>
  <c r="EK142" i="31" s="1"/>
  <c r="EZ141" i="31"/>
  <c r="DG141" i="31"/>
  <c r="DH141" i="31" s="1"/>
  <c r="DI142" i="31" s="1"/>
  <c r="JL141" i="31"/>
  <c r="JJ142" i="31" s="1"/>
  <c r="KA142" i="31"/>
  <c r="BN142" i="31"/>
  <c r="BO142" i="31"/>
  <c r="BP142" i="31" s="1"/>
  <c r="IP142" i="31" l="1"/>
  <c r="JE142" i="31"/>
  <c r="JO142" i="31"/>
  <c r="JY142" i="31"/>
  <c r="IO142" i="31"/>
  <c r="JP142" i="31" s="1"/>
  <c r="JQ142" i="31" s="1"/>
  <c r="DP142" i="31"/>
  <c r="BQ142" i="31"/>
  <c r="JC142" i="31"/>
  <c r="JD142" i="31"/>
  <c r="FC142" i="31"/>
  <c r="EP142" i="31"/>
  <c r="ET143" i="31" s="1"/>
  <c r="EL142" i="31"/>
  <c r="EO142" i="31"/>
  <c r="ES143" i="31" s="1"/>
  <c r="EV142" i="31"/>
  <c r="JA142" i="31"/>
  <c r="HZ142" i="31"/>
  <c r="DJ142" i="31"/>
  <c r="DK142" i="31" s="1"/>
  <c r="GZ142" i="31"/>
  <c r="IE142" i="31" s="1"/>
  <c r="BR142" i="31" l="1"/>
  <c r="BS142" i="31"/>
  <c r="DM142" i="31"/>
  <c r="DX142" i="31"/>
  <c r="FQ142" i="31"/>
  <c r="KG142" i="31"/>
  <c r="EC142" i="31"/>
  <c r="JX142" i="31"/>
  <c r="DL142" i="31" l="1"/>
  <c r="L143" i="31"/>
  <c r="BT142" i="31"/>
  <c r="BU142" i="31"/>
  <c r="BV142" i="31" s="1"/>
  <c r="BW142" i="31" s="1"/>
  <c r="EX142" i="31"/>
  <c r="M142" i="31" s="1"/>
  <c r="FB142" i="31"/>
  <c r="MB142" i="31" l="1"/>
  <c r="NM142" i="31" s="1"/>
  <c r="NN142" i="31" s="1"/>
  <c r="MJ142" i="31"/>
  <c r="NS142" i="31" s="1"/>
  <c r="BY142" i="31"/>
  <c r="BX142" i="31"/>
  <c r="BZ142" i="31" l="1"/>
  <c r="CA142" i="31"/>
  <c r="NT142" i="31"/>
  <c r="OU143" i="31"/>
  <c r="OV143" i="31"/>
  <c r="NW142" i="31"/>
  <c r="CX142" i="31" l="1"/>
  <c r="FV142" i="31"/>
  <c r="FR142" i="31"/>
  <c r="NU142" i="31"/>
  <c r="NX142" i="31"/>
  <c r="OF142" i="31" s="1"/>
  <c r="OS143" i="31" s="1"/>
  <c r="CB142" i="31"/>
  <c r="CC142" i="31" s="1"/>
  <c r="CD142" i="31" l="1"/>
  <c r="CE142" i="31"/>
  <c r="CF142" i="31" s="1"/>
  <c r="MY142" i="31"/>
  <c r="NZ142" i="31"/>
  <c r="CY143" i="31"/>
  <c r="NY142" i="31"/>
  <c r="NV142" i="31"/>
  <c r="CG142" i="31" l="1"/>
  <c r="CH142" i="31" s="1"/>
  <c r="CI142" i="31" s="1"/>
  <c r="OB142" i="31"/>
  <c r="OT143" i="31" s="1"/>
  <c r="OI142" i="31"/>
  <c r="OA142" i="31"/>
  <c r="MV143" i="31" s="1"/>
  <c r="OG143" i="31" s="1"/>
  <c r="NF143" i="31"/>
  <c r="OO143" i="31"/>
  <c r="OM143" i="31"/>
  <c r="MZ143" i="31"/>
  <c r="OZ142" i="31"/>
  <c r="CK142" i="31" l="1"/>
  <c r="CM142" i="31" s="1"/>
  <c r="CN142" i="31" s="1"/>
  <c r="CJ142" i="31"/>
  <c r="CO142" i="31" s="1"/>
  <c r="KT143" i="31"/>
  <c r="KL143" i="31" s="1"/>
  <c r="KN144" i="31" s="1"/>
  <c r="OW142" i="31"/>
  <c r="OX143" i="31"/>
  <c r="MR143" i="31"/>
  <c r="PA142" i="31"/>
  <c r="OC142" i="31"/>
  <c r="OD143" i="31" s="1"/>
  <c r="OH143" i="31" s="1"/>
  <c r="OK143" i="31" s="1"/>
  <c r="OJ142" i="31"/>
  <c r="KM143" i="31" l="1"/>
  <c r="KO144" i="31" s="1"/>
  <c r="KP144" i="31" s="1"/>
  <c r="CL142" i="31"/>
  <c r="CP142" i="31" s="1"/>
  <c r="MS143" i="31"/>
  <c r="OY143" i="31"/>
  <c r="MW143" i="31"/>
  <c r="KQ143" i="31"/>
  <c r="KR143" i="31" l="1"/>
  <c r="KS143" i="31" s="1"/>
  <c r="MX143" i="31"/>
  <c r="MU143" i="31"/>
  <c r="MT143" i="31"/>
  <c r="NP143" i="31"/>
  <c r="MO143" i="31"/>
  <c r="NJ143" i="31"/>
  <c r="NH144" i="31"/>
  <c r="NI144" i="31" s="1"/>
  <c r="NQ143" i="31"/>
  <c r="PE143" i="31"/>
  <c r="FU142" i="31"/>
  <c r="FW142" i="31" s="1"/>
  <c r="FP142" i="31"/>
  <c r="FS142" i="31" s="1"/>
  <c r="FE142" i="31"/>
  <c r="FF142" i="31" s="1"/>
  <c r="DQ142" i="31"/>
  <c r="DR142" i="31" s="1"/>
  <c r="FX142" i="31"/>
  <c r="FY142" i="31" s="1"/>
  <c r="FZ142" i="31"/>
  <c r="GA142" i="31" s="1"/>
  <c r="GB142" i="31"/>
  <c r="GC142" i="31" s="1"/>
  <c r="JR142" i="31"/>
  <c r="JS142" i="31" s="1"/>
  <c r="HO142" i="31"/>
  <c r="CQ142" i="31"/>
  <c r="FH142" i="31"/>
  <c r="FI142" i="31" s="1"/>
  <c r="GO142" i="31"/>
  <c r="KX142" i="31"/>
  <c r="GN142" i="31" s="1"/>
  <c r="KU142" i="31"/>
  <c r="DS142" i="31" l="1"/>
  <c r="AX142" i="31" s="1"/>
  <c r="AY143" i="31" s="1"/>
  <c r="HU142" i="31"/>
  <c r="HV143" i="31" s="1"/>
  <c r="FJ143" i="31"/>
  <c r="CR142" i="31"/>
  <c r="CS142" i="31"/>
  <c r="CT142" i="31"/>
  <c r="HY142" i="31"/>
  <c r="DY142" i="31"/>
  <c r="HA142" i="31"/>
  <c r="IA142" i="31"/>
  <c r="IB142" i="31" s="1"/>
  <c r="HP142" i="31"/>
  <c r="IZ142" i="31"/>
  <c r="HW142" i="31"/>
  <c r="HX143" i="31" s="1"/>
  <c r="FG143" i="31"/>
  <c r="JU142" i="31"/>
  <c r="KE142" i="31"/>
  <c r="KC142" i="31"/>
  <c r="JT143" i="31"/>
  <c r="NR143" i="31"/>
  <c r="GQ142" i="31"/>
  <c r="KV142" i="31"/>
  <c r="NK143" i="31"/>
  <c r="NL143" i="31"/>
  <c r="NG144" i="31"/>
  <c r="OQ144" i="31"/>
  <c r="NA143" i="31"/>
  <c r="NB143" i="31"/>
  <c r="KW143" i="31" l="1"/>
  <c r="HQ142" i="31"/>
  <c r="HR143" i="31" s="1"/>
  <c r="OR144" i="31"/>
  <c r="NC144" i="31"/>
  <c r="MQ144" i="31"/>
  <c r="HT142" i="31"/>
  <c r="HS142" i="31"/>
  <c r="JG142" i="31" s="1"/>
  <c r="EM142" i="31"/>
  <c r="EW142" i="31" s="1"/>
  <c r="AZ142" i="31"/>
  <c r="EN142" i="31"/>
  <c r="BB143" i="31" l="1"/>
  <c r="DW142" i="31"/>
  <c r="DU143" i="31" s="1"/>
  <c r="EQ142" i="31"/>
  <c r="ER143" i="31"/>
  <c r="IU142" i="31"/>
  <c r="IV142" i="31" s="1"/>
  <c r="IC142" i="31"/>
  <c r="ID142" i="31" s="1"/>
  <c r="IF142" i="31" s="1"/>
  <c r="KH142" i="31" s="1"/>
  <c r="JB142" i="31"/>
  <c r="IW142" i="31" l="1"/>
  <c r="KB142" i="31" s="1"/>
  <c r="KK142" i="31"/>
  <c r="IX142" i="31"/>
  <c r="EU143" i="31"/>
  <c r="IM142" i="31"/>
  <c r="GM142" i="31"/>
  <c r="DB142" i="31"/>
  <c r="DC142" i="31" s="1"/>
  <c r="DD143" i="31" s="1"/>
  <c r="DE144" i="31" s="1"/>
  <c r="KI143" i="31"/>
  <c r="IN142" i="31"/>
  <c r="DF142" i="31"/>
  <c r="BC143" i="31"/>
  <c r="GT144" i="31" l="1"/>
  <c r="GV142" i="31"/>
  <c r="FD142" i="31"/>
  <c r="GU142" i="31"/>
  <c r="KJ143" i="31"/>
  <c r="GR142" i="31"/>
  <c r="DT142" i="31"/>
  <c r="DZ142" i="31" s="1"/>
  <c r="BE143" i="31"/>
  <c r="BD143" i="31"/>
  <c r="IS142" i="31" l="1"/>
  <c r="FL143" i="31"/>
  <c r="BF143" i="31"/>
  <c r="BG143" i="31"/>
  <c r="GS142" i="31"/>
  <c r="BH143" i="31" l="1"/>
  <c r="BI143" i="31"/>
  <c r="BK143" i="31" s="1"/>
  <c r="FM143" i="31"/>
  <c r="GW142" i="31"/>
  <c r="HC142" i="31" s="1"/>
  <c r="FA143" i="31" s="1"/>
  <c r="HB143" i="31" s="1"/>
  <c r="GX142" i="31"/>
  <c r="GY142" i="31"/>
  <c r="JH142" i="31"/>
  <c r="JI142" i="31" s="1"/>
  <c r="IT142" i="31"/>
  <c r="BJ143" i="31" l="1"/>
  <c r="JK142" i="31"/>
  <c r="JZ142" i="31" s="1"/>
  <c r="KF142" i="31" s="1"/>
  <c r="IQ143" i="31" s="1"/>
  <c r="EY142" i="31"/>
  <c r="EG142" i="31"/>
  <c r="EH143" i="31" s="1"/>
  <c r="EI143" i="31" s="1"/>
  <c r="FK143" i="31" s="1"/>
  <c r="HM142" i="31"/>
  <c r="HK143" i="31"/>
  <c r="BL143" i="31"/>
  <c r="BM143" i="31"/>
  <c r="JN142" i="31" l="1"/>
  <c r="JV142" i="31" s="1"/>
  <c r="JF143" i="31" s="1"/>
  <c r="JW143" i="31" s="1"/>
  <c r="EZ142" i="31"/>
  <c r="DG142" i="31"/>
  <c r="DH142" i="31" s="1"/>
  <c r="DI143" i="31" s="1"/>
  <c r="BN143" i="31"/>
  <c r="BO143" i="31"/>
  <c r="EE142" i="31"/>
  <c r="EF143" i="31" s="1"/>
  <c r="ED142" i="31"/>
  <c r="EB143" i="31" s="1"/>
  <c r="IY143" i="31" s="1"/>
  <c r="EJ142" i="31"/>
  <c r="EK143" i="31" s="1"/>
  <c r="JM142" i="31"/>
  <c r="KD142" i="31" s="1"/>
  <c r="IL143" i="31" s="1"/>
  <c r="JL142" i="31"/>
  <c r="JJ143" i="31" s="1"/>
  <c r="KA143" i="31"/>
  <c r="JA143" i="31" l="1"/>
  <c r="JY143" i="31"/>
  <c r="JO143" i="31"/>
  <c r="IR143" i="31"/>
  <c r="HZ143" i="31"/>
  <c r="IP143" i="31"/>
  <c r="IO143" i="31"/>
  <c r="JP143" i="31" s="1"/>
  <c r="JQ143" i="31" s="1"/>
  <c r="JC143" i="31"/>
  <c r="JD143" i="31"/>
  <c r="DP143" i="31"/>
  <c r="EO143" i="31"/>
  <c r="ES144" i="31" s="1"/>
  <c r="EL143" i="31"/>
  <c r="EP143" i="31"/>
  <c r="ET144" i="31" s="1"/>
  <c r="FC143" i="31"/>
  <c r="EV143" i="31"/>
  <c r="JE143" i="31"/>
  <c r="BP143" i="31"/>
  <c r="BQ143" i="31" s="1"/>
  <c r="GZ143" i="31"/>
  <c r="IE143" i="31" s="1"/>
  <c r="DJ143" i="31"/>
  <c r="DK143" i="31" s="1"/>
  <c r="JX143" i="31" l="1"/>
  <c r="KG143" i="31"/>
  <c r="DM143" i="31"/>
  <c r="FQ143" i="31"/>
  <c r="DX143" i="31"/>
  <c r="BR143" i="31"/>
  <c r="BS143" i="31"/>
  <c r="EC143" i="31"/>
  <c r="BT143" i="31" l="1"/>
  <c r="BU143" i="31"/>
  <c r="BV143" i="31" s="1"/>
  <c r="BW143" i="31" s="1"/>
  <c r="EX143" i="31"/>
  <c r="M143" i="31" s="1"/>
  <c r="FB143" i="31"/>
  <c r="DL143" i="31"/>
  <c r="L144" i="31"/>
  <c r="BX143" i="31" l="1"/>
  <c r="BY143" i="31"/>
  <c r="MB143" i="31"/>
  <c r="MJ143" i="31"/>
  <c r="NS143" i="31" s="1"/>
  <c r="NM143" i="31" l="1"/>
  <c r="NN143" i="31" s="1"/>
  <c r="NT143" i="31"/>
  <c r="OU144" i="31"/>
  <c r="BZ143" i="31"/>
  <c r="CA143" i="31"/>
  <c r="OV144" i="31" l="1"/>
  <c r="NW143" i="31"/>
  <c r="NX143" i="31" s="1"/>
  <c r="NY143" i="31" s="1"/>
  <c r="CB143" i="31"/>
  <c r="CC143" i="31" s="1"/>
  <c r="CX143" i="31"/>
  <c r="FV143" i="31"/>
  <c r="FR143" i="31"/>
  <c r="NU143" i="31"/>
  <c r="CD143" i="31" l="1"/>
  <c r="CE143" i="31"/>
  <c r="CF143" i="31" s="1"/>
  <c r="OF143" i="31"/>
  <c r="OS144" i="31" s="1"/>
  <c r="OB143" i="31"/>
  <c r="OT144" i="31" s="1"/>
  <c r="NV143" i="31"/>
  <c r="NZ143" i="31"/>
  <c r="OA143" i="31" s="1"/>
  <c r="MV144" i="31" s="1"/>
  <c r="MY143" i="31"/>
  <c r="CY144" i="31"/>
  <c r="CG143" i="31" l="1"/>
  <c r="CH143" i="31" s="1"/>
  <c r="CI143" i="31" s="1"/>
  <c r="OJ143" i="31"/>
  <c r="MW144" i="31" s="1"/>
  <c r="OC143" i="31"/>
  <c r="OD144" i="31" s="1"/>
  <c r="OH144" i="31" s="1"/>
  <c r="OG144" i="31"/>
  <c r="MZ144" i="31"/>
  <c r="OZ143" i="31"/>
  <c r="OM144" i="31"/>
  <c r="NF144" i="31"/>
  <c r="OO144" i="31"/>
  <c r="KT144" i="31" s="1"/>
  <c r="OI143" i="31"/>
  <c r="PA143" i="31"/>
  <c r="OY144" i="31" l="1"/>
  <c r="CJ143" i="31"/>
  <c r="CO143" i="31" s="1"/>
  <c r="CK143" i="31"/>
  <c r="CM143" i="31" s="1"/>
  <c r="CN143" i="31" s="1"/>
  <c r="OK144" i="31"/>
  <c r="KM144" i="31"/>
  <c r="KO145" i="31" s="1"/>
  <c r="KL144" i="31"/>
  <c r="KN145" i="31" s="1"/>
  <c r="OW143" i="31"/>
  <c r="MR144" i="31"/>
  <c r="OX144" i="31"/>
  <c r="MX144" i="31"/>
  <c r="CL143" i="31" l="1"/>
  <c r="CP143" i="31" s="1"/>
  <c r="MS144" i="31"/>
  <c r="KQ144" i="31"/>
  <c r="NB144" i="31"/>
  <c r="NA144" i="31"/>
  <c r="KP145" i="31"/>
  <c r="KR144" i="31"/>
  <c r="KS144" i="31" l="1"/>
  <c r="GO143" i="31"/>
  <c r="FZ143" i="31"/>
  <c r="GA143" i="31" s="1"/>
  <c r="FE143" i="31"/>
  <c r="FF143" i="31" s="1"/>
  <c r="DQ143" i="31"/>
  <c r="DR143" i="31" s="1"/>
  <c r="FU143" i="31"/>
  <c r="FW143" i="31" s="1"/>
  <c r="GB143" i="31"/>
  <c r="GC143" i="31" s="1"/>
  <c r="HO143" i="31"/>
  <c r="JR143" i="31"/>
  <c r="JS143" i="31" s="1"/>
  <c r="FH143" i="31"/>
  <c r="FI143" i="31" s="1"/>
  <c r="CQ143" i="31"/>
  <c r="FX143" i="31"/>
  <c r="FY143" i="31" s="1"/>
  <c r="FP143" i="31"/>
  <c r="FS143" i="31" s="1"/>
  <c r="KX143" i="31"/>
  <c r="KU143" i="31"/>
  <c r="NQ144" i="31"/>
  <c r="NR144" i="31" s="1"/>
  <c r="NP144" i="31"/>
  <c r="NJ144" i="31"/>
  <c r="MT144" i="31"/>
  <c r="NH145" i="31"/>
  <c r="NI145" i="31" s="1"/>
  <c r="MO144" i="31"/>
  <c r="MU144" i="31"/>
  <c r="PE144" i="31"/>
  <c r="GN143" i="31" l="1"/>
  <c r="HP143" i="31"/>
  <c r="IA143" i="31"/>
  <c r="IB143" i="31" s="1"/>
  <c r="IZ143" i="31"/>
  <c r="GQ143" i="31"/>
  <c r="KV143" i="31"/>
  <c r="HA143" i="31"/>
  <c r="DY143" i="31"/>
  <c r="HY143" i="31"/>
  <c r="DS143" i="31"/>
  <c r="AX143" i="31" s="1"/>
  <c r="AY144" i="31" s="1"/>
  <c r="HW143" i="31"/>
  <c r="HX144" i="31" s="1"/>
  <c r="FG144" i="31"/>
  <c r="NK144" i="31"/>
  <c r="NL144" i="31"/>
  <c r="NG145" i="31"/>
  <c r="OQ145" i="31"/>
  <c r="CR143" i="31"/>
  <c r="CT143" i="31"/>
  <c r="CS143" i="31"/>
  <c r="HU143" i="31"/>
  <c r="HV144" i="31" s="1"/>
  <c r="FJ144" i="31"/>
  <c r="KC143" i="31"/>
  <c r="JU143" i="31"/>
  <c r="KE143" i="31"/>
  <c r="JT144" i="31"/>
  <c r="KW144" i="31" l="1"/>
  <c r="HQ143" i="31"/>
  <c r="HR144" i="31" s="1"/>
  <c r="OR145" i="31"/>
  <c r="AZ143" i="31"/>
  <c r="EN143" i="31"/>
  <c r="EM143" i="31"/>
  <c r="EW143" i="31" s="1"/>
  <c r="NC145" i="31"/>
  <c r="MQ145" i="31"/>
  <c r="HS143" i="31"/>
  <c r="JG143" i="31" s="1"/>
  <c r="HT143" i="31"/>
  <c r="BB144" i="31" l="1"/>
  <c r="EQ143" i="31"/>
  <c r="DW143" i="31"/>
  <c r="DU144" i="31" s="1"/>
  <c r="ER144" i="31"/>
  <c r="IU143" i="31"/>
  <c r="IV143" i="31" s="1"/>
  <c r="IC143" i="31"/>
  <c r="ID143" i="31" s="1"/>
  <c r="IF143" i="31" s="1"/>
  <c r="KH143" i="31" s="1"/>
  <c r="JB143" i="31"/>
  <c r="IW143" i="31" l="1"/>
  <c r="KB143" i="31" s="1"/>
  <c r="IX143" i="31"/>
  <c r="KK143" i="31"/>
  <c r="EU144" i="31"/>
  <c r="DB143" i="31"/>
  <c r="DC143" i="31" s="1"/>
  <c r="DD144" i="31" s="1"/>
  <c r="DE145" i="31" s="1"/>
  <c r="GM143" i="31"/>
  <c r="IM143" i="31"/>
  <c r="KI144" i="31"/>
  <c r="IN143" i="31"/>
  <c r="DF143" i="31"/>
  <c r="BC144" i="31"/>
  <c r="GT145" i="31" l="1"/>
  <c r="GU143" i="31"/>
  <c r="FD143" i="31"/>
  <c r="GV143" i="31"/>
  <c r="DT143" i="31"/>
  <c r="DZ143" i="31" s="1"/>
  <c r="GR143" i="31"/>
  <c r="KJ144" i="31"/>
  <c r="BD144" i="31"/>
  <c r="BE144" i="31"/>
  <c r="GS143" i="31" l="1"/>
  <c r="BF144" i="31"/>
  <c r="BG144" i="31"/>
  <c r="IS143" i="31"/>
  <c r="FL144" i="31"/>
  <c r="FM144" i="31" l="1"/>
  <c r="JH143" i="31"/>
  <c r="JI143" i="31" s="1"/>
  <c r="IT143" i="31"/>
  <c r="BI144" i="31"/>
  <c r="BK144" i="31" s="1"/>
  <c r="BH144" i="31"/>
  <c r="GY143" i="31"/>
  <c r="GX143" i="31"/>
  <c r="GW143" i="31"/>
  <c r="HC143" i="31" s="1"/>
  <c r="FA144" i="31" s="1"/>
  <c r="HB144" i="31" s="1"/>
  <c r="BJ144" i="31" l="1"/>
  <c r="EY143" i="31"/>
  <c r="EG143" i="31"/>
  <c r="EH144" i="31" s="1"/>
  <c r="EI144" i="31" s="1"/>
  <c r="FK144" i="31" s="1"/>
  <c r="HM143" i="31"/>
  <c r="HK144" i="31"/>
  <c r="BL144" i="31"/>
  <c r="BM144" i="31"/>
  <c r="JK143" i="31"/>
  <c r="JZ143" i="31" s="1"/>
  <c r="KF143" i="31" s="1"/>
  <c r="IQ144" i="31" s="1"/>
  <c r="JM143" i="31" l="1"/>
  <c r="KD143" i="31" s="1"/>
  <c r="IL144" i="31" s="1"/>
  <c r="IR144" i="31" s="1"/>
  <c r="EE143" i="31"/>
  <c r="EF144" i="31" s="1"/>
  <c r="EJ143" i="31"/>
  <c r="EK144" i="31" s="1"/>
  <c r="ED143" i="31"/>
  <c r="EB144" i="31" s="1"/>
  <c r="JA144" i="31" s="1"/>
  <c r="JN143" i="31"/>
  <c r="JV143" i="31" s="1"/>
  <c r="JF144" i="31" s="1"/>
  <c r="JL143" i="31"/>
  <c r="JJ144" i="31" s="1"/>
  <c r="KA144" i="31"/>
  <c r="EZ143" i="31"/>
  <c r="DG143" i="31"/>
  <c r="DH143" i="31" s="1"/>
  <c r="DI144" i="31" s="1"/>
  <c r="BO144" i="31"/>
  <c r="BN144" i="31"/>
  <c r="JE144" i="31" l="1"/>
  <c r="DP144" i="31"/>
  <c r="HZ144" i="31"/>
  <c r="JY144" i="31"/>
  <c r="JW144" i="31"/>
  <c r="EL144" i="31"/>
  <c r="EP144" i="31"/>
  <c r="ET145" i="31" s="1"/>
  <c r="FC144" i="31"/>
  <c r="EO144" i="31"/>
  <c r="ES145" i="31" s="1"/>
  <c r="EV144" i="31"/>
  <c r="IY144" i="31"/>
  <c r="GZ144" i="31"/>
  <c r="IE144" i="31" s="1"/>
  <c r="DJ144" i="31"/>
  <c r="DK144" i="31" s="1"/>
  <c r="JC144" i="31"/>
  <c r="JD144" i="31"/>
  <c r="IP144" i="31"/>
  <c r="BP144" i="31"/>
  <c r="BQ144" i="31" s="1"/>
  <c r="JO144" i="31"/>
  <c r="IO144" i="31"/>
  <c r="KG144" i="31" l="1"/>
  <c r="JX144" i="31"/>
  <c r="JP144" i="31"/>
  <c r="JQ144" i="31" s="1"/>
  <c r="BR144" i="31"/>
  <c r="BS144" i="31"/>
  <c r="DM144" i="31"/>
  <c r="DX144" i="31"/>
  <c r="FQ144" i="31"/>
  <c r="EC144" i="31"/>
  <c r="DL144" i="31" l="1"/>
  <c r="L145" i="31"/>
  <c r="BT144" i="31"/>
  <c r="BU144" i="31"/>
  <c r="EX144" i="31"/>
  <c r="M144" i="31" s="1"/>
  <c r="FB144" i="31"/>
  <c r="BV144" i="31" l="1"/>
  <c r="BW144" i="31" s="1"/>
  <c r="MJ144" i="31"/>
  <c r="NS144" i="31" s="1"/>
  <c r="MB144" i="31"/>
  <c r="NM144" i="31" s="1"/>
  <c r="NN144" i="31" s="1"/>
  <c r="BY144" i="31" l="1"/>
  <c r="CA144" i="31" s="1"/>
  <c r="BX144" i="31"/>
  <c r="OV145" i="31"/>
  <c r="NW144" i="31"/>
  <c r="NT144" i="31"/>
  <c r="OU145" i="31"/>
  <c r="BZ144" i="31" l="1"/>
  <c r="CX144" i="31"/>
  <c r="FV144" i="31"/>
  <c r="FR144" i="31"/>
  <c r="NU144" i="31"/>
  <c r="NX144" i="31"/>
  <c r="CB144" i="31"/>
  <c r="CC144" i="31" s="1"/>
  <c r="CE144" i="31" l="1"/>
  <c r="CF144" i="31" s="1"/>
  <c r="CD144" i="31"/>
  <c r="NY144" i="31"/>
  <c r="NV144" i="31"/>
  <c r="OF144" i="31"/>
  <c r="OS145" i="31" s="1"/>
  <c r="NZ144" i="31"/>
  <c r="MY144" i="31"/>
  <c r="CY145" i="31"/>
  <c r="CG144" i="31" l="1"/>
  <c r="CH144" i="31" s="1"/>
  <c r="CI144" i="31" s="1"/>
  <c r="OA144" i="31"/>
  <c r="MV145" i="31" s="1"/>
  <c r="OG145" i="31" s="1"/>
  <c r="OM145" i="31"/>
  <c r="NF145" i="31"/>
  <c r="OO145" i="31"/>
  <c r="MZ145" i="31"/>
  <c r="OZ144" i="31"/>
  <c r="OB144" i="31"/>
  <c r="OT145" i="31" s="1"/>
  <c r="OI144" i="31"/>
  <c r="KT145" i="31" l="1"/>
  <c r="KL145" i="31" s="1"/>
  <c r="KN146" i="31" s="1"/>
  <c r="CJ144" i="31"/>
  <c r="CO144" i="31" s="1"/>
  <c r="CK144" i="31"/>
  <c r="CL144" i="31" s="1"/>
  <c r="OC144" i="31"/>
  <c r="OD145" i="31" s="1"/>
  <c r="OH145" i="31" s="1"/>
  <c r="OK145" i="31" s="1"/>
  <c r="PA144" i="31"/>
  <c r="OJ144" i="31"/>
  <c r="OX145" i="31"/>
  <c r="OW144" i="31"/>
  <c r="MR145" i="31"/>
  <c r="KM145" i="31" l="1"/>
  <c r="KO146" i="31" s="1"/>
  <c r="KP146" i="31" s="1"/>
  <c r="CM144" i="31"/>
  <c r="CN144" i="31" s="1"/>
  <c r="CP144" i="31" s="1"/>
  <c r="KQ145" i="31"/>
  <c r="MW145" i="31"/>
  <c r="OY145" i="31"/>
  <c r="MS145" i="31"/>
  <c r="KR145" i="31" l="1"/>
  <c r="FH144" i="31"/>
  <c r="FI144" i="31" s="1"/>
  <c r="HU144" i="31" s="1"/>
  <c r="HV145" i="31" s="1"/>
  <c r="JR144" i="31"/>
  <c r="JS144" i="31" s="1"/>
  <c r="KE144" i="31" s="1"/>
  <c r="HO144" i="31"/>
  <c r="HP144" i="31" s="1"/>
  <c r="GB144" i="31"/>
  <c r="GC144" i="31" s="1"/>
  <c r="DQ144" i="31"/>
  <c r="DR144" i="31" s="1"/>
  <c r="DS144" i="31" s="1"/>
  <c r="AX144" i="31" s="1"/>
  <c r="AY145" i="31" s="1"/>
  <c r="FX144" i="31"/>
  <c r="FY144" i="31" s="1"/>
  <c r="FU144" i="31"/>
  <c r="FW144" i="31" s="1"/>
  <c r="KU144" i="31"/>
  <c r="FZ144" i="31"/>
  <c r="GA144" i="31" s="1"/>
  <c r="KX144" i="31"/>
  <c r="GN144" i="31" s="1"/>
  <c r="KV144" i="31" s="1"/>
  <c r="CQ144" i="31"/>
  <c r="CS144" i="31" s="1"/>
  <c r="GO144" i="31"/>
  <c r="FP144" i="31"/>
  <c r="FS144" i="31" s="1"/>
  <c r="DY144" i="31" s="1"/>
  <c r="FE144" i="31"/>
  <c r="FF144" i="31" s="1"/>
  <c r="FG145" i="31" s="1"/>
  <c r="MX145" i="31"/>
  <c r="KS145" i="31"/>
  <c r="NH146" i="31"/>
  <c r="NI146" i="31" s="1"/>
  <c r="NQ145" i="31"/>
  <c r="NJ145" i="31"/>
  <c r="NP145" i="31"/>
  <c r="MU145" i="31"/>
  <c r="MO145" i="31"/>
  <c r="MT145" i="31"/>
  <c r="PE145" i="31"/>
  <c r="KW145" i="31" l="1"/>
  <c r="HQ144" i="31"/>
  <c r="HR145" i="31" s="1"/>
  <c r="KC144" i="31"/>
  <c r="FJ145" i="31"/>
  <c r="IZ144" i="31"/>
  <c r="IA144" i="31"/>
  <c r="IB144" i="31" s="1"/>
  <c r="JU144" i="31"/>
  <c r="JT145" i="31"/>
  <c r="CR144" i="31"/>
  <c r="CT144" i="31"/>
  <c r="GQ144" i="31"/>
  <c r="HY144" i="31"/>
  <c r="HA144" i="31"/>
  <c r="HW144" i="31"/>
  <c r="HX145" i="31" s="1"/>
  <c r="NL145" i="31"/>
  <c r="NK145" i="31"/>
  <c r="NG146" i="31"/>
  <c r="OQ146" i="31"/>
  <c r="NA145" i="31"/>
  <c r="NB145" i="31"/>
  <c r="NR145" i="31"/>
  <c r="HS144" i="31"/>
  <c r="JG144" i="31" s="1"/>
  <c r="HT144" i="31"/>
  <c r="EN144" i="31"/>
  <c r="AZ144" i="31"/>
  <c r="EM144" i="31"/>
  <c r="EW144" i="31" s="1"/>
  <c r="IC144" i="31" l="1"/>
  <c r="ID144" i="31" s="1"/>
  <c r="IF144" i="31" s="1"/>
  <c r="KH144" i="31" s="1"/>
  <c r="JB144" i="31"/>
  <c r="OR146" i="31"/>
  <c r="NC146" i="31"/>
  <c r="MQ146" i="31"/>
  <c r="BB145" i="31"/>
  <c r="IW144" i="31"/>
  <c r="DW144" i="31"/>
  <c r="DU145" i="31" s="1"/>
  <c r="EQ144" i="31"/>
  <c r="ER145" i="31"/>
  <c r="IU144" i="31"/>
  <c r="IV144" i="31" s="1"/>
  <c r="BC145" i="31" l="1"/>
  <c r="KB144" i="31"/>
  <c r="IX144" i="31"/>
  <c r="KK144" i="31"/>
  <c r="GM144" i="31"/>
  <c r="DB144" i="31"/>
  <c r="DC144" i="31" s="1"/>
  <c r="DD145" i="31" s="1"/>
  <c r="DE146" i="31" s="1"/>
  <c r="IM144" i="31"/>
  <c r="DT144" i="31" s="1"/>
  <c r="DZ144" i="31" s="1"/>
  <c r="KI145" i="31"/>
  <c r="IN144" i="31"/>
  <c r="DF144" i="31"/>
  <c r="EU145" i="31"/>
  <c r="GT146" i="31" l="1"/>
  <c r="GR144" i="31"/>
  <c r="FD144" i="31"/>
  <c r="GV144" i="31"/>
  <c r="GU144" i="31"/>
  <c r="KJ145" i="31"/>
  <c r="BD145" i="31"/>
  <c r="BE145" i="31"/>
  <c r="IS144" i="31" l="1"/>
  <c r="FL145" i="31"/>
  <c r="GS144" i="31"/>
  <c r="BF145" i="31"/>
  <c r="BG145" i="31"/>
  <c r="FM145" i="31" l="1"/>
  <c r="BI145" i="31"/>
  <c r="BK145" i="31" s="1"/>
  <c r="BH145" i="31"/>
  <c r="GW144" i="31"/>
  <c r="HC144" i="31" s="1"/>
  <c r="FA145" i="31" s="1"/>
  <c r="HB145" i="31" s="1"/>
  <c r="GX144" i="31"/>
  <c r="GY144" i="31"/>
  <c r="JH144" i="31"/>
  <c r="JI144" i="31" s="1"/>
  <c r="IT144" i="31"/>
  <c r="BL145" i="31" l="1"/>
  <c r="BM145" i="31"/>
  <c r="JK144" i="31"/>
  <c r="JN144" i="31" s="1"/>
  <c r="JV144" i="31" s="1"/>
  <c r="JF145" i="31" s="1"/>
  <c r="EY144" i="31"/>
  <c r="EG144" i="31"/>
  <c r="EH145" i="31" s="1"/>
  <c r="EI145" i="31" s="1"/>
  <c r="FK145" i="31" s="1"/>
  <c r="HM144" i="31"/>
  <c r="HK145" i="31"/>
  <c r="BJ145" i="31"/>
  <c r="JW145" i="31" l="1"/>
  <c r="JY145" i="31"/>
  <c r="EZ144" i="31"/>
  <c r="DG144" i="31"/>
  <c r="DH144" i="31" s="1"/>
  <c r="DI145" i="31" s="1"/>
  <c r="JM144" i="31"/>
  <c r="KD144" i="31" s="1"/>
  <c r="IL145" i="31" s="1"/>
  <c r="BO145" i="31"/>
  <c r="BN145" i="31"/>
  <c r="JZ144" i="31"/>
  <c r="KF144" i="31" s="1"/>
  <c r="IQ145" i="31" s="1"/>
  <c r="JL144" i="31"/>
  <c r="JJ145" i="31" s="1"/>
  <c r="KA145" i="31"/>
  <c r="EJ144" i="31"/>
  <c r="EK145" i="31" s="1"/>
  <c r="ED144" i="31"/>
  <c r="EB145" i="31" s="1"/>
  <c r="EE144" i="31"/>
  <c r="EF145" i="31" s="1"/>
  <c r="BP145" i="31" l="1"/>
  <c r="BQ145" i="31" s="1"/>
  <c r="IP145" i="31"/>
  <c r="IO145" i="31"/>
  <c r="HZ145" i="31"/>
  <c r="DJ145" i="31"/>
  <c r="DK145" i="31" s="1"/>
  <c r="GZ145" i="31"/>
  <c r="IE145" i="31" s="1"/>
  <c r="DP145" i="31"/>
  <c r="EP145" i="31"/>
  <c r="ET146" i="31" s="1"/>
  <c r="FC145" i="31"/>
  <c r="EL145" i="31"/>
  <c r="EO145" i="31"/>
  <c r="ES146" i="31" s="1"/>
  <c r="EV145" i="31"/>
  <c r="JA145" i="31"/>
  <c r="IR145" i="31"/>
  <c r="JE145" i="31"/>
  <c r="IY145" i="31"/>
  <c r="JC145" i="31"/>
  <c r="JD145" i="31"/>
  <c r="JO145" i="31"/>
  <c r="JP145" i="31" l="1"/>
  <c r="JQ145" i="31" s="1"/>
  <c r="BR145" i="31"/>
  <c r="BS145" i="31"/>
  <c r="DM145" i="31"/>
  <c r="DX145" i="31"/>
  <c r="FQ145" i="31"/>
  <c r="EC145" i="31"/>
  <c r="JX145" i="31"/>
  <c r="KG145" i="31"/>
  <c r="DL145" i="31" l="1"/>
  <c r="L146" i="31"/>
  <c r="BT145" i="31"/>
  <c r="BU145" i="31"/>
  <c r="EX145" i="31"/>
  <c r="M145" i="31" s="1"/>
  <c r="FB145" i="31"/>
  <c r="MJ145" i="31" l="1"/>
  <c r="NS145" i="31" s="1"/>
  <c r="MB145" i="31"/>
  <c r="NM145" i="31" s="1"/>
  <c r="NN145" i="31" s="1"/>
  <c r="BV145" i="31"/>
  <c r="BW145" i="31" s="1"/>
  <c r="BX145" i="31" l="1"/>
  <c r="BY145" i="31"/>
  <c r="OV146" i="31"/>
  <c r="NW145" i="31"/>
  <c r="NT145" i="31"/>
  <c r="OU146" i="31"/>
  <c r="FV145" i="31" l="1"/>
  <c r="FR145" i="31"/>
  <c r="CX145" i="31"/>
  <c r="NU145" i="31"/>
  <c r="NX145" i="31"/>
  <c r="BZ145" i="31"/>
  <c r="CA145" i="31"/>
  <c r="CB145" i="31" l="1"/>
  <c r="CC145" i="31" s="1"/>
  <c r="NV145" i="31"/>
  <c r="NZ145" i="31"/>
  <c r="MY145" i="31"/>
  <c r="CY146" i="31"/>
  <c r="NY145" i="31"/>
  <c r="OF145" i="31"/>
  <c r="OS146" i="31" s="1"/>
  <c r="CE145" i="31" l="1"/>
  <c r="CD145" i="31"/>
  <c r="MZ146" i="31"/>
  <c r="OZ145" i="31"/>
  <c r="OA145" i="31"/>
  <c r="MV146" i="31" s="1"/>
  <c r="OG146" i="31" s="1"/>
  <c r="OB145" i="31"/>
  <c r="OT146" i="31" s="1"/>
  <c r="OI145" i="31"/>
  <c r="NF146" i="31"/>
  <c r="OM146" i="31"/>
  <c r="OO146" i="31"/>
  <c r="CF145" i="31" l="1"/>
  <c r="CG145" i="31"/>
  <c r="CH145" i="31" s="1"/>
  <c r="CI145" i="31" s="1"/>
  <c r="OJ145" i="31"/>
  <c r="OY146" i="31" s="1"/>
  <c r="OC145" i="31"/>
  <c r="OD146" i="31" s="1"/>
  <c r="OH146" i="31" s="1"/>
  <c r="OK146" i="31" s="1"/>
  <c r="KT146" i="31"/>
  <c r="KM146" i="31" s="1"/>
  <c r="KO147" i="31" s="1"/>
  <c r="OW145" i="31"/>
  <c r="MR146" i="31"/>
  <c r="OX146" i="31"/>
  <c r="PA145" i="31"/>
  <c r="MW146" i="31" l="1"/>
  <c r="MX146" i="31" s="1"/>
  <c r="KL146" i="31"/>
  <c r="KN147" i="31" s="1"/>
  <c r="KQ146" i="31" s="1"/>
  <c r="CJ145" i="31"/>
  <c r="CO145" i="31" s="1"/>
  <c r="CK145" i="31"/>
  <c r="CL145" i="31" s="1"/>
  <c r="MS146" i="31"/>
  <c r="KR146" i="31"/>
  <c r="KP147" i="31" l="1"/>
  <c r="CM145" i="31"/>
  <c r="CN145" i="31" s="1"/>
  <c r="CP145" i="31" s="1"/>
  <c r="KS146" i="31"/>
  <c r="NP146" i="31"/>
  <c r="MT146" i="31"/>
  <c r="NJ146" i="31"/>
  <c r="NH147" i="31"/>
  <c r="NI147" i="31" s="1"/>
  <c r="MO146" i="31"/>
  <c r="NQ146" i="31"/>
  <c r="MU146" i="31"/>
  <c r="PE146" i="31"/>
  <c r="NA146" i="31"/>
  <c r="NB146" i="31"/>
  <c r="NR146" i="31" l="1"/>
  <c r="NK146" i="31"/>
  <c r="NL146" i="31"/>
  <c r="NG147" i="31"/>
  <c r="OQ147" i="31"/>
  <c r="GO145" i="31"/>
  <c r="FH145" i="31"/>
  <c r="FI145" i="31" s="1"/>
  <c r="GB145" i="31"/>
  <c r="GC145" i="31" s="1"/>
  <c r="FX145" i="31"/>
  <c r="FY145" i="31" s="1"/>
  <c r="FE145" i="31"/>
  <c r="FF145" i="31" s="1"/>
  <c r="HO145" i="31"/>
  <c r="DQ145" i="31"/>
  <c r="DR145" i="31" s="1"/>
  <c r="CQ145" i="31"/>
  <c r="JR145" i="31"/>
  <c r="JS145" i="31" s="1"/>
  <c r="FU145" i="31"/>
  <c r="FW145" i="31" s="1"/>
  <c r="FP145" i="31"/>
  <c r="FS145" i="31" s="1"/>
  <c r="FZ145" i="31"/>
  <c r="GA145" i="31" s="1"/>
  <c r="KX145" i="31"/>
  <c r="KU145" i="31"/>
  <c r="GN145" i="31" l="1"/>
  <c r="GQ145" i="31" s="1"/>
  <c r="HP145" i="31"/>
  <c r="IA145" i="31"/>
  <c r="IB145" i="31" s="1"/>
  <c r="IZ145" i="31"/>
  <c r="OR147" i="31"/>
  <c r="HW145" i="31"/>
  <c r="HX146" i="31" s="1"/>
  <c r="FG146" i="31"/>
  <c r="NC147" i="31"/>
  <c r="MQ147" i="31"/>
  <c r="HY145" i="31"/>
  <c r="HA145" i="31"/>
  <c r="DY145" i="31"/>
  <c r="CT145" i="31"/>
  <c r="CS145" i="31"/>
  <c r="CR145" i="31"/>
  <c r="HU145" i="31"/>
  <c r="HV146" i="31" s="1"/>
  <c r="FJ146" i="31"/>
  <c r="DS145" i="31"/>
  <c r="AX145" i="31" s="1"/>
  <c r="AY146" i="31" s="1"/>
  <c r="JU145" i="31"/>
  <c r="KC145" i="31"/>
  <c r="JT146" i="31"/>
  <c r="KE145" i="31"/>
  <c r="KV145" i="31" l="1"/>
  <c r="KW146" i="31" s="1"/>
  <c r="HQ145" i="31"/>
  <c r="HR146" i="31" s="1"/>
  <c r="EM145" i="31"/>
  <c r="EW145" i="31" s="1"/>
  <c r="EN145" i="31"/>
  <c r="AZ145" i="31"/>
  <c r="HS145" i="31"/>
  <c r="JG145" i="31" s="1"/>
  <c r="HT145" i="31"/>
  <c r="IC145" i="31" l="1"/>
  <c r="ID145" i="31" s="1"/>
  <c r="IF145" i="31" s="1"/>
  <c r="KH145" i="31" s="1"/>
  <c r="JB145" i="31"/>
  <c r="BB146" i="31"/>
  <c r="EQ145" i="31"/>
  <c r="DW145" i="31"/>
  <c r="DU146" i="31" s="1"/>
  <c r="ER146" i="31"/>
  <c r="IU145" i="31"/>
  <c r="IV145" i="31" s="1"/>
  <c r="IW145" i="31" l="1"/>
  <c r="KB145" i="31" s="1"/>
  <c r="EU146" i="31"/>
  <c r="BC146" i="31"/>
  <c r="KK145" i="31"/>
  <c r="IX145" i="31"/>
  <c r="DB145" i="31"/>
  <c r="DC145" i="31" s="1"/>
  <c r="DD146" i="31" s="1"/>
  <c r="DE147" i="31" s="1"/>
  <c r="GM145" i="31"/>
  <c r="IM145" i="31"/>
  <c r="KI146" i="31"/>
  <c r="IN145" i="31"/>
  <c r="DF145" i="31"/>
  <c r="DT145" i="31" l="1"/>
  <c r="DZ145" i="31" s="1"/>
  <c r="GT147" i="31"/>
  <c r="GV145" i="31"/>
  <c r="GU145" i="31"/>
  <c r="FD145" i="31"/>
  <c r="KJ146" i="31"/>
  <c r="BD146" i="31"/>
  <c r="BE146" i="31"/>
  <c r="GR145" i="31"/>
  <c r="IS145" i="31" l="1"/>
  <c r="FL146" i="31"/>
  <c r="BF146" i="31"/>
  <c r="BG146" i="31"/>
  <c r="GS145" i="31"/>
  <c r="BH146" i="31" l="1"/>
  <c r="BI146" i="31"/>
  <c r="BK146" i="31" s="1"/>
  <c r="GY145" i="31"/>
  <c r="GX145" i="31"/>
  <c r="GW145" i="31"/>
  <c r="HC145" i="31" s="1"/>
  <c r="FA146" i="31" s="1"/>
  <c r="HB146" i="31" s="1"/>
  <c r="FM146" i="31"/>
  <c r="JH145" i="31"/>
  <c r="JI145" i="31" s="1"/>
  <c r="IT145" i="31"/>
  <c r="BJ146" i="31" l="1"/>
  <c r="JK145" i="31"/>
  <c r="JZ145" i="31" s="1"/>
  <c r="KF145" i="31" s="1"/>
  <c r="IQ146" i="31" s="1"/>
  <c r="BL146" i="31"/>
  <c r="BM146" i="31"/>
  <c r="HM145" i="31"/>
  <c r="EG145" i="31"/>
  <c r="EH146" i="31" s="1"/>
  <c r="EI146" i="31" s="1"/>
  <c r="FK146" i="31" s="1"/>
  <c r="EY145" i="31"/>
  <c r="HK146" i="31"/>
  <c r="JM145" i="31" l="1"/>
  <c r="KD145" i="31" s="1"/>
  <c r="IL146" i="31" s="1"/>
  <c r="JE146" i="31" s="1"/>
  <c r="JN145" i="31"/>
  <c r="JV145" i="31" s="1"/>
  <c r="JF146" i="31" s="1"/>
  <c r="JW146" i="31" s="1"/>
  <c r="ED145" i="31"/>
  <c r="EB146" i="31" s="1"/>
  <c r="IY146" i="31" s="1"/>
  <c r="EJ145" i="31"/>
  <c r="EK146" i="31" s="1"/>
  <c r="EE145" i="31"/>
  <c r="EF146" i="31" s="1"/>
  <c r="EZ145" i="31"/>
  <c r="DG145" i="31"/>
  <c r="DH145" i="31" s="1"/>
  <c r="DI146" i="31" s="1"/>
  <c r="BO146" i="31"/>
  <c r="BN146" i="31"/>
  <c r="JL145" i="31"/>
  <c r="JJ146" i="31" s="1"/>
  <c r="KA146" i="31"/>
  <c r="IR146" i="31" l="1"/>
  <c r="IO146" i="31"/>
  <c r="JP146" i="31" s="1"/>
  <c r="JQ146" i="31" s="1"/>
  <c r="JO146" i="31"/>
  <c r="JY146" i="31"/>
  <c r="JA146" i="31"/>
  <c r="IP146" i="31"/>
  <c r="BP146" i="31"/>
  <c r="BQ146" i="31" s="1"/>
  <c r="HZ146" i="31"/>
  <c r="DJ146" i="31"/>
  <c r="DK146" i="31" s="1"/>
  <c r="GZ146" i="31"/>
  <c r="IE146" i="31" s="1"/>
  <c r="DP146" i="31"/>
  <c r="JC146" i="31"/>
  <c r="JD146" i="31"/>
  <c r="EO146" i="31"/>
  <c r="ES147" i="31" s="1"/>
  <c r="EL146" i="31"/>
  <c r="JX146" i="31" s="1"/>
  <c r="EP146" i="31"/>
  <c r="ET147" i="31" s="1"/>
  <c r="FC146" i="31"/>
  <c r="EV146" i="31"/>
  <c r="KG146" i="31" l="1"/>
  <c r="DM146" i="31"/>
  <c r="FQ146" i="31"/>
  <c r="DX146" i="31"/>
  <c r="EC146" i="31"/>
  <c r="BR146" i="31"/>
  <c r="BS146" i="31"/>
  <c r="FB146" i="31" l="1"/>
  <c r="EX146" i="31"/>
  <c r="M146" i="31" s="1"/>
  <c r="BT146" i="31"/>
  <c r="BU146" i="31"/>
  <c r="DL146" i="31"/>
  <c r="L147" i="31"/>
  <c r="BV146" i="31" l="1"/>
  <c r="BW146" i="31" s="1"/>
  <c r="MB146" i="31"/>
  <c r="NM146" i="31" s="1"/>
  <c r="NN146" i="31" s="1"/>
  <c r="MJ146" i="31"/>
  <c r="NS146" i="31" s="1"/>
  <c r="BX146" i="31" l="1"/>
  <c r="BY146" i="31"/>
  <c r="NT146" i="31"/>
  <c r="OU147" i="31"/>
  <c r="OV147" i="31"/>
  <c r="NW146" i="31"/>
  <c r="BZ146" i="31" l="1"/>
  <c r="CA146" i="31"/>
  <c r="NX146" i="31"/>
  <c r="FR146" i="31"/>
  <c r="FV146" i="31"/>
  <c r="CX146" i="31"/>
  <c r="NU146" i="31"/>
  <c r="CB146" i="31" l="1"/>
  <c r="CC146" i="31" s="1"/>
  <c r="NY146" i="31"/>
  <c r="OF146" i="31"/>
  <c r="OS147" i="31" s="1"/>
  <c r="MY146" i="31"/>
  <c r="NZ146" i="31"/>
  <c r="CY147" i="31"/>
  <c r="NV146" i="31"/>
  <c r="CD146" i="31" l="1"/>
  <c r="CE146" i="31"/>
  <c r="OA146" i="31"/>
  <c r="MV147" i="31" s="1"/>
  <c r="OG147" i="31" s="1"/>
  <c r="OO147" i="31"/>
  <c r="OM147" i="31"/>
  <c r="NF147" i="31"/>
  <c r="MZ147" i="31"/>
  <c r="OZ146" i="31"/>
  <c r="OB146" i="31"/>
  <c r="OT147" i="31" s="1"/>
  <c r="OI146" i="31"/>
  <c r="CG146" i="31" l="1"/>
  <c r="CH146" i="31" s="1"/>
  <c r="CI146" i="31" s="1"/>
  <c r="CJ146" i="31" s="1"/>
  <c r="CO146" i="31" s="1"/>
  <c r="CF146" i="31"/>
  <c r="KT147" i="31"/>
  <c r="KM147" i="31" s="1"/>
  <c r="KO148" i="31" s="1"/>
  <c r="OW146" i="31"/>
  <c r="OX147" i="31"/>
  <c r="MR147" i="31"/>
  <c r="PA146" i="31"/>
  <c r="OJ146" i="31"/>
  <c r="OC146" i="31"/>
  <c r="OD147" i="31" s="1"/>
  <c r="OH147" i="31" s="1"/>
  <c r="OK147" i="31" s="1"/>
  <c r="KL147" i="31" l="1"/>
  <c r="KN148" i="31" s="1"/>
  <c r="KP148" i="31" s="1"/>
  <c r="CK146" i="31"/>
  <c r="CM146" i="31" s="1"/>
  <c r="CN146" i="31" s="1"/>
  <c r="MW147" i="31"/>
  <c r="OY147" i="31"/>
  <c r="MS147" i="31"/>
  <c r="KR147" i="31"/>
  <c r="KQ147" i="31" l="1"/>
  <c r="KS147" i="31" s="1"/>
  <c r="CL146" i="31"/>
  <c r="CP146" i="31" s="1"/>
  <c r="MX147" i="31"/>
  <c r="MT147" i="31"/>
  <c r="MO147" i="31"/>
  <c r="NP147" i="31"/>
  <c r="NJ147" i="31"/>
  <c r="MU147" i="31"/>
  <c r="NQ147" i="31"/>
  <c r="NH148" i="31"/>
  <c r="NI148" i="31" s="1"/>
  <c r="PE147" i="31"/>
  <c r="JR146" i="31" l="1"/>
  <c r="JS146" i="31" s="1"/>
  <c r="JU146" i="31" s="1"/>
  <c r="FZ146" i="31"/>
  <c r="GA146" i="31" s="1"/>
  <c r="FX146" i="31"/>
  <c r="FY146" i="31" s="1"/>
  <c r="GB146" i="31"/>
  <c r="GC146" i="31" s="1"/>
  <c r="FU146" i="31"/>
  <c r="FW146" i="31" s="1"/>
  <c r="FP146" i="31"/>
  <c r="FS146" i="31" s="1"/>
  <c r="GO146" i="31"/>
  <c r="CQ146" i="31"/>
  <c r="DQ146" i="31"/>
  <c r="DR146" i="31" s="1"/>
  <c r="DS146" i="31" s="1"/>
  <c r="AX146" i="31" s="1"/>
  <c r="AY147" i="31" s="1"/>
  <c r="FH146" i="31"/>
  <c r="FI146" i="31" s="1"/>
  <c r="KX146" i="31"/>
  <c r="FE146" i="31"/>
  <c r="FF146" i="31" s="1"/>
  <c r="KU146" i="31"/>
  <c r="HO146" i="31"/>
  <c r="NA147" i="31"/>
  <c r="NB147" i="31"/>
  <c r="NL147" i="31"/>
  <c r="NK147" i="31"/>
  <c r="NG148" i="31"/>
  <c r="OQ148" i="31"/>
  <c r="NR147" i="31"/>
  <c r="GN146" i="31" l="1"/>
  <c r="KV146" i="31" s="1"/>
  <c r="KC146" i="31"/>
  <c r="JT147" i="31"/>
  <c r="KE146" i="31"/>
  <c r="EM146" i="31"/>
  <c r="EW146" i="31" s="1"/>
  <c r="FJ147" i="31"/>
  <c r="HU146" i="31"/>
  <c r="HV147" i="31" s="1"/>
  <c r="CS146" i="31"/>
  <c r="CR146" i="31"/>
  <c r="CT146" i="31"/>
  <c r="EN146" i="31"/>
  <c r="ER147" i="31" s="1"/>
  <c r="FG147" i="31"/>
  <c r="HW146" i="31"/>
  <c r="HX147" i="31" s="1"/>
  <c r="AZ146" i="31"/>
  <c r="HP146" i="31"/>
  <c r="IA146" i="31"/>
  <c r="IB146" i="31" s="1"/>
  <c r="IZ146" i="31"/>
  <c r="HY146" i="31"/>
  <c r="HA146" i="31"/>
  <c r="DY146" i="31"/>
  <c r="OR148" i="31"/>
  <c r="NC148" i="31"/>
  <c r="MQ148" i="31"/>
  <c r="GQ146" i="31" l="1"/>
  <c r="KW147" i="31"/>
  <c r="HQ146" i="31"/>
  <c r="HR147" i="31" s="1"/>
  <c r="DW146" i="31"/>
  <c r="DU147" i="31" s="1"/>
  <c r="BB147" i="31"/>
  <c r="BC147" i="31" s="1"/>
  <c r="EQ146" i="31"/>
  <c r="HS146" i="31"/>
  <c r="JG146" i="31" s="1"/>
  <c r="HT146" i="31"/>
  <c r="IU146" i="31"/>
  <c r="IV146" i="31" s="1"/>
  <c r="IX146" i="31" s="1"/>
  <c r="EU147" i="31"/>
  <c r="IW146" i="31" l="1"/>
  <c r="KB146" i="31" s="1"/>
  <c r="KK146" i="31"/>
  <c r="IC146" i="31"/>
  <c r="ID146" i="31" s="1"/>
  <c r="IF146" i="31" s="1"/>
  <c r="KH146" i="31" s="1"/>
  <c r="JB146" i="31"/>
  <c r="BD147" i="31"/>
  <c r="BE147" i="31"/>
  <c r="DB146" i="31" l="1"/>
  <c r="DC146" i="31" s="1"/>
  <c r="DD147" i="31" s="1"/>
  <c r="DE148" i="31" s="1"/>
  <c r="IM146" i="31"/>
  <c r="KI147" i="31"/>
  <c r="KJ147" i="31" s="1"/>
  <c r="IN146" i="31"/>
  <c r="GM146" i="31"/>
  <c r="DF146" i="31"/>
  <c r="BG147" i="31"/>
  <c r="BF147" i="31"/>
  <c r="GU146" i="31" l="1"/>
  <c r="GV146" i="31"/>
  <c r="FD146" i="31"/>
  <c r="DT146" i="31"/>
  <c r="DZ146" i="31" s="1"/>
  <c r="GR146" i="31"/>
  <c r="GT148" i="31"/>
  <c r="BH147" i="31"/>
  <c r="BI147" i="31"/>
  <c r="BK147" i="31" s="1"/>
  <c r="GS146" i="31" l="1"/>
  <c r="IS146" i="31"/>
  <c r="FL147" i="31"/>
  <c r="FM147" i="31" s="1"/>
  <c r="BJ147" i="31"/>
  <c r="BL147" i="31"/>
  <c r="BM147" i="31"/>
  <c r="JH146" i="31" l="1"/>
  <c r="JI146" i="31" s="1"/>
  <c r="JK146" i="31" s="1"/>
  <c r="JZ146" i="31" s="1"/>
  <c r="KF146" i="31" s="1"/>
  <c r="IQ147" i="31" s="1"/>
  <c r="IT146" i="31"/>
  <c r="GW146" i="31"/>
  <c r="HC146" i="31" s="1"/>
  <c r="FA147" i="31" s="1"/>
  <c r="HB147" i="31" s="1"/>
  <c r="GY146" i="31"/>
  <c r="GX146" i="31"/>
  <c r="BO147" i="31"/>
  <c r="BP147" i="31" s="1"/>
  <c r="BN147" i="31"/>
  <c r="JN146" i="31" l="1"/>
  <c r="JV146" i="31" s="1"/>
  <c r="JF147" i="31" s="1"/>
  <c r="JY147" i="31" s="1"/>
  <c r="JM146" i="31"/>
  <c r="KD146" i="31" s="1"/>
  <c r="IL147" i="31" s="1"/>
  <c r="JE147" i="31" s="1"/>
  <c r="KA147" i="31"/>
  <c r="HZ147" i="31" s="1"/>
  <c r="JL146" i="31"/>
  <c r="JJ147" i="31" s="1"/>
  <c r="HK147" i="31"/>
  <c r="EY146" i="31"/>
  <c r="HM146" i="31"/>
  <c r="EG146" i="31"/>
  <c r="EH147" i="31" s="1"/>
  <c r="EI147" i="31" s="1"/>
  <c r="FK147" i="31" s="1"/>
  <c r="BQ147" i="31"/>
  <c r="JO147" i="31" l="1"/>
  <c r="IR147" i="31"/>
  <c r="JW147" i="31"/>
  <c r="EJ146" i="31"/>
  <c r="EK147" i="31" s="1"/>
  <c r="EE146" i="31"/>
  <c r="EF147" i="31" s="1"/>
  <c r="ED146" i="31"/>
  <c r="EB147" i="31" s="1"/>
  <c r="EZ146" i="31"/>
  <c r="DG146" i="31"/>
  <c r="DH146" i="31" s="1"/>
  <c r="DI147" i="31" s="1"/>
  <c r="BR147" i="31"/>
  <c r="BS147" i="31"/>
  <c r="DP147" i="31" l="1"/>
  <c r="IP147" i="31"/>
  <c r="IO147" i="31"/>
  <c r="GZ147" i="31"/>
  <c r="DJ147" i="31"/>
  <c r="DK147" i="31" s="1"/>
  <c r="EV147" i="31"/>
  <c r="EO147" i="31"/>
  <c r="ES148" i="31" s="1"/>
  <c r="EP147" i="31"/>
  <c r="ET148" i="31" s="1"/>
  <c r="FC147" i="31"/>
  <c r="EL147" i="31"/>
  <c r="JA147" i="31"/>
  <c r="IY147" i="31"/>
  <c r="JD147" i="31"/>
  <c r="JC147" i="31"/>
  <c r="BT147" i="31"/>
  <c r="BU147" i="31"/>
  <c r="JP147" i="31" l="1"/>
  <c r="JQ147" i="31" s="1"/>
  <c r="IE147" i="31"/>
  <c r="KG147" i="31"/>
  <c r="DX147" i="31"/>
  <c r="FQ147" i="31"/>
  <c r="DM147" i="31"/>
  <c r="JX147" i="31"/>
  <c r="EC147" i="31"/>
  <c r="BV147" i="31"/>
  <c r="BW147" i="31" s="1"/>
  <c r="FB147" i="31" l="1"/>
  <c r="EX147" i="31"/>
  <c r="M147" i="31" s="1"/>
  <c r="L148" i="31"/>
  <c r="DL147" i="31"/>
  <c r="BX147" i="31"/>
  <c r="BY147" i="31"/>
  <c r="BZ147" i="31" l="1"/>
  <c r="MB147" i="31"/>
  <c r="NM147" i="31" s="1"/>
  <c r="NN147" i="31" s="1"/>
  <c r="MJ147" i="31"/>
  <c r="NS147" i="31" s="1"/>
  <c r="CA147" i="31"/>
  <c r="CB147" i="31" s="1"/>
  <c r="CC147" i="31" s="1"/>
  <c r="CD147" i="31" s="1"/>
  <c r="NT147" i="31" l="1"/>
  <c r="OU148" i="31"/>
  <c r="OV148" i="31"/>
  <c r="NW147" i="31"/>
  <c r="NX147" i="31" s="1"/>
  <c r="NY147" i="31" s="1"/>
  <c r="OB147" i="31" s="1"/>
  <c r="OT148" i="31" s="1"/>
  <c r="CE147" i="31"/>
  <c r="CF147" i="31" s="1"/>
  <c r="OF147" i="31" l="1"/>
  <c r="OS148" i="31" s="1"/>
  <c r="CG147" i="31"/>
  <c r="CH147" i="31" s="1"/>
  <c r="FR147" i="31"/>
  <c r="FV147" i="31"/>
  <c r="CX147" i="31"/>
  <c r="NU147" i="31"/>
  <c r="NV147" i="31" s="1"/>
  <c r="CI147" i="31" l="1"/>
  <c r="CJ147" i="31" s="1"/>
  <c r="CO147" i="31" s="1"/>
  <c r="CY148" i="31"/>
  <c r="NZ147" i="31"/>
  <c r="MY147" i="31"/>
  <c r="CK147" i="31" l="1"/>
  <c r="CL147" i="31" s="1"/>
  <c r="OA147" i="31"/>
  <c r="MV148" i="31" s="1"/>
  <c r="OG148" i="31" s="1"/>
  <c r="OC147" i="31"/>
  <c r="OD148" i="31" s="1"/>
  <c r="OH148" i="31" s="1"/>
  <c r="OI147" i="31"/>
  <c r="MZ148" i="31"/>
  <c r="OZ147" i="31"/>
  <c r="PA147" i="31"/>
  <c r="OJ147" i="31"/>
  <c r="OM148" i="31"/>
  <c r="NF148" i="31"/>
  <c r="OO148" i="31"/>
  <c r="CM147" i="31" l="1"/>
  <c r="CN147" i="31" s="1"/>
  <c r="CP147" i="31" s="1"/>
  <c r="KT148" i="31"/>
  <c r="KM148" i="31" s="1"/>
  <c r="KO149" i="31" s="1"/>
  <c r="OK148" i="31"/>
  <c r="MR148" i="31"/>
  <c r="MS148" i="31" s="1"/>
  <c r="OX148" i="31"/>
  <c r="OW147" i="31"/>
  <c r="OY148" i="31"/>
  <c r="MW148" i="31"/>
  <c r="MX148" i="31" s="1"/>
  <c r="KL148" i="31" l="1"/>
  <c r="KN149" i="31" s="1"/>
  <c r="KQ148" i="31" s="1"/>
  <c r="FP147" i="31"/>
  <c r="FS147" i="31" s="1"/>
  <c r="DY147" i="31" s="1"/>
  <c r="GB147" i="31"/>
  <c r="GC147" i="31" s="1"/>
  <c r="FX147" i="31"/>
  <c r="FY147" i="31" s="1"/>
  <c r="HO147" i="31"/>
  <c r="HP147" i="31" s="1"/>
  <c r="KU147" i="31"/>
  <c r="KX147" i="31"/>
  <c r="GN147" i="31" s="1"/>
  <c r="KV147" i="31" s="1"/>
  <c r="FH147" i="31"/>
  <c r="FI147" i="31" s="1"/>
  <c r="FJ148" i="31" s="1"/>
  <c r="DQ147" i="31"/>
  <c r="DR147" i="31" s="1"/>
  <c r="DS147" i="31" s="1"/>
  <c r="AX147" i="31" s="1"/>
  <c r="AY148" i="31" s="1"/>
  <c r="FZ147" i="31"/>
  <c r="GA147" i="31" s="1"/>
  <c r="GO147" i="31"/>
  <c r="FE147" i="31"/>
  <c r="FF147" i="31" s="1"/>
  <c r="FG148" i="31" s="1"/>
  <c r="JR147" i="31"/>
  <c r="JS147" i="31" s="1"/>
  <c r="JU147" i="31" s="1"/>
  <c r="CQ147" i="31"/>
  <c r="CR147" i="31" s="1"/>
  <c r="FU147" i="31"/>
  <c r="FW147" i="31" s="1"/>
  <c r="NA148" i="31"/>
  <c r="NB148" i="31"/>
  <c r="KR148" i="31"/>
  <c r="NP148" i="31"/>
  <c r="MT148" i="31"/>
  <c r="PE148" i="31"/>
  <c r="NQ148" i="31"/>
  <c r="MO148" i="31"/>
  <c r="NJ148" i="31"/>
  <c r="NG149" i="31" s="1"/>
  <c r="NH149" i="31"/>
  <c r="NI149" i="31" s="1"/>
  <c r="MU148" i="31"/>
  <c r="NR148" i="31" l="1"/>
  <c r="KP149" i="31"/>
  <c r="KS148" i="31"/>
  <c r="HW147" i="31"/>
  <c r="HX148" i="31" s="1"/>
  <c r="HA147" i="31"/>
  <c r="HY147" i="31"/>
  <c r="GQ147" i="31"/>
  <c r="KW148" i="31"/>
  <c r="HQ147" i="31"/>
  <c r="HR148" i="31" s="1"/>
  <c r="JT148" i="31"/>
  <c r="KE147" i="31"/>
  <c r="IA147" i="31"/>
  <c r="IB147" i="31" s="1"/>
  <c r="HU147" i="31"/>
  <c r="HV148" i="31" s="1"/>
  <c r="CT147" i="31"/>
  <c r="CS147" i="31"/>
  <c r="KC147" i="31"/>
  <c r="IZ147" i="31"/>
  <c r="NL148" i="31"/>
  <c r="NK148" i="31"/>
  <c r="OQ149" i="31"/>
  <c r="OR149" i="31" s="1"/>
  <c r="EM147" i="31"/>
  <c r="EW147" i="31" s="1"/>
  <c r="AZ147" i="31"/>
  <c r="EN147" i="31"/>
  <c r="HT147" i="31"/>
  <c r="HS147" i="31"/>
  <c r="JG147" i="31" s="1"/>
  <c r="MQ149" i="31" l="1"/>
  <c r="NC149" i="31"/>
  <c r="BB148" i="31"/>
  <c r="EQ147" i="31"/>
  <c r="DW147" i="31"/>
  <c r="DU148" i="31" s="1"/>
  <c r="ER148" i="31"/>
  <c r="IU147" i="31"/>
  <c r="IV147" i="31" s="1"/>
  <c r="IC147" i="31"/>
  <c r="ID147" i="31" s="1"/>
  <c r="IF147" i="31" s="1"/>
  <c r="KH147" i="31" s="1"/>
  <c r="JB147" i="31"/>
  <c r="IW147" i="31" l="1"/>
  <c r="KB147" i="31" s="1"/>
  <c r="EU148" i="31"/>
  <c r="GM147" i="31"/>
  <c r="IM147" i="31"/>
  <c r="DB147" i="31"/>
  <c r="DC147" i="31" s="1"/>
  <c r="DD148" i="31" s="1"/>
  <c r="DE149" i="31" s="1"/>
  <c r="KI148" i="31"/>
  <c r="IN147" i="31"/>
  <c r="DF147" i="31"/>
  <c r="IX147" i="31"/>
  <c r="KK147" i="31"/>
  <c r="BC148" i="31"/>
  <c r="DT147" i="31" l="1"/>
  <c r="DZ147" i="31" s="1"/>
  <c r="GT149" i="31"/>
  <c r="GR147" i="31"/>
  <c r="FD147" i="31"/>
  <c r="GU147" i="31"/>
  <c r="GV147" i="31"/>
  <c r="KJ148" i="31"/>
  <c r="BD148" i="31"/>
  <c r="BE148" i="31"/>
  <c r="IS147" i="31" l="1"/>
  <c r="FL148" i="31"/>
  <c r="BF148" i="31"/>
  <c r="BG148" i="31"/>
  <c r="GS147" i="31"/>
  <c r="GW147" i="31" l="1"/>
  <c r="HC147" i="31" s="1"/>
  <c r="FA148" i="31" s="1"/>
  <c r="HB148" i="31" s="1"/>
  <c r="GX147" i="31"/>
  <c r="GY147" i="31"/>
  <c r="BI148" i="31"/>
  <c r="BK148" i="31" s="1"/>
  <c r="BH148" i="31"/>
  <c r="FM148" i="31"/>
  <c r="JH147" i="31"/>
  <c r="JI147" i="31" s="1"/>
  <c r="IT147" i="31"/>
  <c r="JK147" i="31" l="1"/>
  <c r="JZ147" i="31" s="1"/>
  <c r="KF147" i="31" s="1"/>
  <c r="IQ148" i="31" s="1"/>
  <c r="BJ148" i="31"/>
  <c r="EG147" i="31"/>
  <c r="EH148" i="31" s="1"/>
  <c r="EI148" i="31" s="1"/>
  <c r="FK148" i="31" s="1"/>
  <c r="HM147" i="31"/>
  <c r="EY147" i="31"/>
  <c r="HK148" i="31"/>
  <c r="BL148" i="31"/>
  <c r="BM148" i="31"/>
  <c r="JM147" i="31" l="1"/>
  <c r="KD147" i="31" s="1"/>
  <c r="IL148" i="31" s="1"/>
  <c r="IR148" i="31" s="1"/>
  <c r="BO148" i="31"/>
  <c r="BP148" i="31" s="1"/>
  <c r="BN148" i="31"/>
  <c r="JN147" i="31"/>
  <c r="JV147" i="31" s="1"/>
  <c r="JF148" i="31" s="1"/>
  <c r="JL147" i="31"/>
  <c r="JJ148" i="31" s="1"/>
  <c r="KA148" i="31"/>
  <c r="EZ147" i="31"/>
  <c r="DG147" i="31"/>
  <c r="DH147" i="31" s="1"/>
  <c r="DI148" i="31" s="1"/>
  <c r="EJ147" i="31"/>
  <c r="EK148" i="31" s="1"/>
  <c r="EE147" i="31"/>
  <c r="EF148" i="31" s="1"/>
  <c r="ED147" i="31"/>
  <c r="EB148" i="31" s="1"/>
  <c r="JE148" i="31" l="1"/>
  <c r="JO148" i="31"/>
  <c r="FC148" i="31"/>
  <c r="EP148" i="31"/>
  <c r="ET149" i="31" s="1"/>
  <c r="EL148" i="31"/>
  <c r="EO148" i="31"/>
  <c r="ES149" i="31" s="1"/>
  <c r="EV148" i="31"/>
  <c r="GZ148" i="31"/>
  <c r="IE148" i="31" s="1"/>
  <c r="DJ148" i="31"/>
  <c r="DK148" i="31" s="1"/>
  <c r="DP148" i="31"/>
  <c r="IO148" i="31"/>
  <c r="IP148" i="31"/>
  <c r="HZ148" i="31"/>
  <c r="JA148" i="31"/>
  <c r="IY148" i="31"/>
  <c r="JC148" i="31"/>
  <c r="JD148" i="31"/>
  <c r="JW148" i="31"/>
  <c r="JY148" i="31"/>
  <c r="BQ148" i="31"/>
  <c r="KG148" i="31" l="1"/>
  <c r="JP148" i="31"/>
  <c r="JQ148" i="31" s="1"/>
  <c r="BR148" i="31"/>
  <c r="BS148" i="31"/>
  <c r="EC148" i="31"/>
  <c r="JX148" i="31"/>
  <c r="DX148" i="31"/>
  <c r="FQ148" i="31"/>
  <c r="DM148" i="31"/>
  <c r="EX148" i="31" l="1"/>
  <c r="M148" i="31" s="1"/>
  <c r="FB148" i="31"/>
  <c r="BT148" i="31"/>
  <c r="BU148" i="31"/>
  <c r="DL148" i="31"/>
  <c r="L149" i="31"/>
  <c r="BV148" i="31" l="1"/>
  <c r="BW148" i="31" s="1"/>
  <c r="MB148" i="31"/>
  <c r="NM148" i="31" s="1"/>
  <c r="NN148" i="31" s="1"/>
  <c r="MJ148" i="31"/>
  <c r="NS148" i="31" s="1"/>
  <c r="BY148" i="31" l="1"/>
  <c r="CA148" i="31" s="1"/>
  <c r="BX148" i="31"/>
  <c r="OV149" i="31"/>
  <c r="NW148" i="31"/>
  <c r="NT148" i="31"/>
  <c r="OU149" i="31"/>
  <c r="CB148" i="31" l="1"/>
  <c r="CC148" i="31" s="1"/>
  <c r="CD148" i="31" s="1"/>
  <c r="BZ148" i="31"/>
  <c r="FV148" i="31"/>
  <c r="CX148" i="31"/>
  <c r="FR148" i="31"/>
  <c r="NU148" i="31"/>
  <c r="NX148" i="31"/>
  <c r="NY148" i="31" s="1"/>
  <c r="CE148" i="31" l="1"/>
  <c r="CF148" i="31" s="1"/>
  <c r="NV148" i="31"/>
  <c r="MY148" i="31"/>
  <c r="OI148" i="31" s="1"/>
  <c r="NZ148" i="31"/>
  <c r="OA148" i="31" s="1"/>
  <c r="MV149" i="31" s="1"/>
  <c r="OG149" i="31" s="1"/>
  <c r="CY149" i="31"/>
  <c r="OB148" i="31"/>
  <c r="OT149" i="31" s="1"/>
  <c r="OF148" i="31"/>
  <c r="OS149" i="31" s="1"/>
  <c r="CG148" i="31" l="1"/>
  <c r="CH148" i="31" s="1"/>
  <c r="OJ148" i="31"/>
  <c r="MW149" i="31" s="1"/>
  <c r="OO149" i="31"/>
  <c r="KT149" i="31" s="1"/>
  <c r="NF149" i="31"/>
  <c r="OM149" i="31"/>
  <c r="OW148" i="31"/>
  <c r="OX149" i="31"/>
  <c r="MR149" i="31"/>
  <c r="MZ149" i="31"/>
  <c r="OZ148" i="31"/>
  <c r="PA148" i="31"/>
  <c r="OC148" i="31"/>
  <c r="OD149" i="31" s="1"/>
  <c r="OH149" i="31" s="1"/>
  <c r="OK149" i="31" s="1"/>
  <c r="OY149" i="31" l="1"/>
  <c r="CI148" i="31"/>
  <c r="CJ148" i="31" s="1"/>
  <c r="CO148" i="31" s="1"/>
  <c r="MX149" i="31"/>
  <c r="MS149" i="31"/>
  <c r="KL149" i="31"/>
  <c r="KN150" i="31" s="1"/>
  <c r="KM149" i="31"/>
  <c r="KO150" i="31" s="1"/>
  <c r="CK148" i="31" l="1"/>
  <c r="CL148" i="31" s="1"/>
  <c r="KP150" i="31"/>
  <c r="KR149" i="31"/>
  <c r="MO149" i="31"/>
  <c r="MU149" i="31"/>
  <c r="NH150" i="31"/>
  <c r="NI150" i="31" s="1"/>
  <c r="MT149" i="31"/>
  <c r="NQ149" i="31"/>
  <c r="NJ149" i="31"/>
  <c r="NP149" i="31"/>
  <c r="PE149" i="31"/>
  <c r="KQ149" i="31"/>
  <c r="NA149" i="31"/>
  <c r="NB149" i="31"/>
  <c r="CM148" i="31" l="1"/>
  <c r="CN148" i="31" s="1"/>
  <c r="CP148" i="31" s="1"/>
  <c r="FE148" i="31" s="1"/>
  <c r="FF148" i="31" s="1"/>
  <c r="NR149" i="31"/>
  <c r="KS149" i="31"/>
  <c r="NL149" i="31"/>
  <c r="NK149" i="31"/>
  <c r="NG150" i="31"/>
  <c r="OQ150" i="31"/>
  <c r="KU148" i="31" l="1"/>
  <c r="FX148" i="31"/>
  <c r="FY148" i="31" s="1"/>
  <c r="CQ148" i="31"/>
  <c r="CT148" i="31" s="1"/>
  <c r="HO148" i="31"/>
  <c r="GO148" i="31"/>
  <c r="KX148" i="31"/>
  <c r="GN148" i="31" s="1"/>
  <c r="GQ148" i="31" s="1"/>
  <c r="FU148" i="31"/>
  <c r="FW148" i="31" s="1"/>
  <c r="GB148" i="31"/>
  <c r="GC148" i="31" s="1"/>
  <c r="DQ148" i="31"/>
  <c r="DR148" i="31" s="1"/>
  <c r="DS148" i="31" s="1"/>
  <c r="AX148" i="31" s="1"/>
  <c r="AY149" i="31" s="1"/>
  <c r="JR148" i="31"/>
  <c r="JS148" i="31" s="1"/>
  <c r="KE148" i="31" s="1"/>
  <c r="FP148" i="31"/>
  <c r="FS148" i="31" s="1"/>
  <c r="FH148" i="31"/>
  <c r="FI148" i="31" s="1"/>
  <c r="FJ149" i="31" s="1"/>
  <c r="FZ148" i="31"/>
  <c r="GA148" i="31" s="1"/>
  <c r="IA148" i="31"/>
  <c r="IB148" i="31" s="1"/>
  <c r="HP148" i="31"/>
  <c r="IZ148" i="31"/>
  <c r="HW148" i="31"/>
  <c r="HX149" i="31" s="1"/>
  <c r="FG149" i="31"/>
  <c r="EM148" i="31"/>
  <c r="EW148" i="31" s="1"/>
  <c r="NC150" i="31"/>
  <c r="MQ150" i="31"/>
  <c r="HA148" i="31"/>
  <c r="DY148" i="31"/>
  <c r="HY148" i="31"/>
  <c r="OR150" i="31"/>
  <c r="CR148" i="31"/>
  <c r="CS148" i="31"/>
  <c r="HU148" i="31" l="1"/>
  <c r="HV149" i="31" s="1"/>
  <c r="KV148" i="31"/>
  <c r="JU148" i="31"/>
  <c r="AZ148" i="31"/>
  <c r="JT149" i="31"/>
  <c r="KC148" i="31"/>
  <c r="EN148" i="31"/>
  <c r="EQ148" i="31" s="1"/>
  <c r="KW149" i="31"/>
  <c r="HQ148" i="31"/>
  <c r="HR149" i="31" s="1"/>
  <c r="HT148" i="31"/>
  <c r="HS148" i="31"/>
  <c r="JG148" i="31" s="1"/>
  <c r="IU148" i="31" l="1"/>
  <c r="IV148" i="31" s="1"/>
  <c r="KK148" i="31" s="1"/>
  <c r="ER149" i="31"/>
  <c r="EU149" i="31" s="1"/>
  <c r="BB149" i="31"/>
  <c r="BC149" i="31" s="1"/>
  <c r="DW148" i="31"/>
  <c r="DU149" i="31" s="1"/>
  <c r="IW148" i="31"/>
  <c r="KB148" i="31" s="1"/>
  <c r="IX148" i="31"/>
  <c r="IC148" i="31"/>
  <c r="ID148" i="31" s="1"/>
  <c r="IF148" i="31" s="1"/>
  <c r="KH148" i="31" s="1"/>
  <c r="JB148" i="31"/>
  <c r="DF148" i="31" l="1"/>
  <c r="GM148" i="31"/>
  <c r="IM148" i="31"/>
  <c r="DB148" i="31"/>
  <c r="DC148" i="31" s="1"/>
  <c r="DD149" i="31" s="1"/>
  <c r="DE150" i="31" s="1"/>
  <c r="KI149" i="31"/>
  <c r="IN148" i="31"/>
  <c r="BD149" i="31"/>
  <c r="BE149" i="31"/>
  <c r="DT148" i="31" l="1"/>
  <c r="DZ148" i="31" s="1"/>
  <c r="GT150" i="31"/>
  <c r="GR148" i="31"/>
  <c r="BF149" i="31"/>
  <c r="BG149" i="31"/>
  <c r="GV148" i="31"/>
  <c r="GU148" i="31"/>
  <c r="FD148" i="31"/>
  <c r="KJ149" i="31"/>
  <c r="IS148" i="31" l="1"/>
  <c r="FL149" i="31"/>
  <c r="GS148" i="31"/>
  <c r="BH149" i="31"/>
  <c r="BI149" i="31"/>
  <c r="BK149" i="31" s="1"/>
  <c r="BL149" i="31" l="1"/>
  <c r="BM149" i="31"/>
  <c r="GW148" i="31"/>
  <c r="HC148" i="31" s="1"/>
  <c r="FA149" i="31" s="1"/>
  <c r="HB149" i="31" s="1"/>
  <c r="GY148" i="31"/>
  <c r="GX148" i="31"/>
  <c r="FM149" i="31"/>
  <c r="BJ149" i="31"/>
  <c r="JH148" i="31"/>
  <c r="JI148" i="31" s="1"/>
  <c r="IT148" i="31"/>
  <c r="BO149" i="31" l="1"/>
  <c r="BP149" i="31" s="1"/>
  <c r="BN149" i="31"/>
  <c r="JK148" i="31"/>
  <c r="HM148" i="31"/>
  <c r="EG148" i="31"/>
  <c r="EH149" i="31" s="1"/>
  <c r="EI149" i="31" s="1"/>
  <c r="FK149" i="31" s="1"/>
  <c r="EY148" i="31"/>
  <c r="HK149" i="31"/>
  <c r="EZ148" i="31" l="1"/>
  <c r="DG148" i="31"/>
  <c r="DH148" i="31" s="1"/>
  <c r="DI149" i="31" s="1"/>
  <c r="JN148" i="31"/>
  <c r="JV148" i="31" s="1"/>
  <c r="JF149" i="31" s="1"/>
  <c r="JL148" i="31"/>
  <c r="JJ149" i="31" s="1"/>
  <c r="KA149" i="31"/>
  <c r="EJ148" i="31"/>
  <c r="EK149" i="31" s="1"/>
  <c r="ED148" i="31"/>
  <c r="EB149" i="31" s="1"/>
  <c r="EE148" i="31"/>
  <c r="EF149" i="31" s="1"/>
  <c r="JM148" i="31"/>
  <c r="KD148" i="31" s="1"/>
  <c r="IL149" i="31" s="1"/>
  <c r="JZ148" i="31"/>
  <c r="KF148" i="31" s="1"/>
  <c r="IQ149" i="31" s="1"/>
  <c r="BQ149" i="31"/>
  <c r="GZ149" i="31" l="1"/>
  <c r="IE149" i="31" s="1"/>
  <c r="DJ149" i="31"/>
  <c r="DK149" i="31" s="1"/>
  <c r="EP149" i="31"/>
  <c r="ET150" i="31" s="1"/>
  <c r="EO149" i="31"/>
  <c r="ES150" i="31" s="1"/>
  <c r="EL149" i="31"/>
  <c r="FC149" i="31"/>
  <c r="EV149" i="31"/>
  <c r="JC149" i="31"/>
  <c r="JD149" i="31"/>
  <c r="HZ149" i="31"/>
  <c r="JY149" i="31"/>
  <c r="JW149" i="31"/>
  <c r="IR149" i="31"/>
  <c r="IY149" i="31"/>
  <c r="JO149" i="31"/>
  <c r="JA149" i="31"/>
  <c r="JE149" i="31"/>
  <c r="DP149" i="31"/>
  <c r="BR149" i="31"/>
  <c r="BS149" i="31"/>
  <c r="IP149" i="31"/>
  <c r="IO149" i="31"/>
  <c r="KG149" i="31" l="1"/>
  <c r="JP149" i="31"/>
  <c r="JQ149" i="31" s="1"/>
  <c r="EC149" i="31"/>
  <c r="DM149" i="31"/>
  <c r="DX149" i="31"/>
  <c r="FQ149" i="31"/>
  <c r="BT149" i="31"/>
  <c r="BU149" i="31"/>
  <c r="JX149" i="31"/>
  <c r="BV149" i="31" l="1"/>
  <c r="BW149" i="31" s="1"/>
  <c r="DL149" i="31"/>
  <c r="L150" i="31"/>
  <c r="EX149" i="31"/>
  <c r="M149" i="31" s="1"/>
  <c r="FB149" i="31"/>
  <c r="BY149" i="31" l="1"/>
  <c r="CA149" i="31" s="1"/>
  <c r="BX149" i="31"/>
  <c r="MJ149" i="31"/>
  <c r="NS149" i="31" s="1"/>
  <c r="MB149" i="31"/>
  <c r="NM149" i="31" s="1"/>
  <c r="NN149" i="31" s="1"/>
  <c r="BZ149" i="31" l="1"/>
  <c r="CB149" i="31"/>
  <c r="CC149" i="31" s="1"/>
  <c r="CD149" i="31" s="1"/>
  <c r="NT149" i="31"/>
  <c r="OU150" i="31"/>
  <c r="OV150" i="31"/>
  <c r="NW149" i="31"/>
  <c r="CE149" i="31" l="1"/>
  <c r="CF149" i="31" s="1"/>
  <c r="NX149" i="31"/>
  <c r="FR149" i="31"/>
  <c r="CX149" i="31"/>
  <c r="FV149" i="31"/>
  <c r="NU149" i="31"/>
  <c r="CG149" i="31" l="1"/>
  <c r="CH149" i="31" s="1"/>
  <c r="NV149" i="31"/>
  <c r="MY149" i="31"/>
  <c r="NZ149" i="31"/>
  <c r="CY150" i="31"/>
  <c r="NY149" i="31"/>
  <c r="OF149" i="31"/>
  <c r="OS150" i="31" s="1"/>
  <c r="CI149" i="31" l="1"/>
  <c r="OI149" i="31"/>
  <c r="MR150" i="31" s="1"/>
  <c r="OM150" i="31"/>
  <c r="NF150" i="31"/>
  <c r="OO150" i="31"/>
  <c r="MZ150" i="31"/>
  <c r="OZ149" i="31"/>
  <c r="OA149" i="31"/>
  <c r="MV150" i="31" s="1"/>
  <c r="OG150" i="31" s="1"/>
  <c r="OB149" i="31"/>
  <c r="OT150" i="31" s="1"/>
  <c r="KT150" i="31" l="1"/>
  <c r="KL150" i="31" s="1"/>
  <c r="KN151" i="31" s="1"/>
  <c r="CJ149" i="31"/>
  <c r="CO149" i="31" s="1"/>
  <c r="CK149" i="31"/>
  <c r="OW149" i="31"/>
  <c r="OX150" i="31"/>
  <c r="PA149" i="31"/>
  <c r="OC149" i="31"/>
  <c r="OD150" i="31" s="1"/>
  <c r="OH150" i="31" s="1"/>
  <c r="OK150" i="31" s="1"/>
  <c r="OJ149" i="31"/>
  <c r="OY150" i="31" s="1"/>
  <c r="KM150" i="31"/>
  <c r="KO151" i="31" s="1"/>
  <c r="MS150" i="31"/>
  <c r="CL149" i="31" l="1"/>
  <c r="CM149" i="31"/>
  <c r="CN149" i="31" s="1"/>
  <c r="MW150" i="31"/>
  <c r="MX150" i="31" s="1"/>
  <c r="KP151" i="31"/>
  <c r="KR150" i="31"/>
  <c r="KQ150" i="31"/>
  <c r="NH151" i="31"/>
  <c r="NI151" i="31" s="1"/>
  <c r="MT150" i="31"/>
  <c r="NP150" i="31"/>
  <c r="MU150" i="31"/>
  <c r="NJ150" i="31"/>
  <c r="MO150" i="31"/>
  <c r="NQ150" i="31"/>
  <c r="PE150" i="31"/>
  <c r="CP149" i="31" l="1"/>
  <c r="KS150" i="31"/>
  <c r="NR150" i="31"/>
  <c r="NK150" i="31"/>
  <c r="NL150" i="31"/>
  <c r="NG151" i="31"/>
  <c r="OQ151" i="31"/>
  <c r="NB150" i="31"/>
  <c r="NA150" i="31"/>
  <c r="FX149" i="31" l="1"/>
  <c r="FY149" i="31" s="1"/>
  <c r="FZ149" i="31"/>
  <c r="GA149" i="31" s="1"/>
  <c r="GB149" i="31"/>
  <c r="GC149" i="31" s="1"/>
  <c r="FU149" i="31"/>
  <c r="FW149" i="31" s="1"/>
  <c r="FH149" i="31"/>
  <c r="FI149" i="31" s="1"/>
  <c r="KU149" i="31"/>
  <c r="CQ149" i="31"/>
  <c r="FE149" i="31"/>
  <c r="FF149" i="31" s="1"/>
  <c r="KX149" i="31"/>
  <c r="GO149" i="31"/>
  <c r="HO149" i="31"/>
  <c r="FP149" i="31"/>
  <c r="FS149" i="31" s="1"/>
  <c r="JR149" i="31"/>
  <c r="JS149" i="31" s="1"/>
  <c r="DQ149" i="31"/>
  <c r="DR149" i="31" s="1"/>
  <c r="DS149" i="31" s="1"/>
  <c r="AX149" i="31" s="1"/>
  <c r="AY150" i="31" s="1"/>
  <c r="OR151" i="31"/>
  <c r="NC151" i="31"/>
  <c r="MQ151" i="31"/>
  <c r="GN149" i="31" l="1"/>
  <c r="GQ149" i="31" s="1"/>
  <c r="AZ149" i="31"/>
  <c r="EN149" i="31"/>
  <c r="DW149" i="31" s="1"/>
  <c r="DU150" i="31" s="1"/>
  <c r="EM149" i="31"/>
  <c r="EW149" i="31" s="1"/>
  <c r="DY149" i="31"/>
  <c r="HA149" i="31"/>
  <c r="HY149" i="31"/>
  <c r="HW149" i="31"/>
  <c r="HX150" i="31" s="1"/>
  <c r="FG150" i="31"/>
  <c r="IA149" i="31"/>
  <c r="IB149" i="31" s="1"/>
  <c r="HP149" i="31"/>
  <c r="IZ149" i="31"/>
  <c r="CT149" i="31"/>
  <c r="CR149" i="31"/>
  <c r="CS149" i="31"/>
  <c r="JT150" i="31"/>
  <c r="KC149" i="31"/>
  <c r="KE149" i="31"/>
  <c r="JU149" i="31"/>
  <c r="HU149" i="31"/>
  <c r="HV150" i="31" s="1"/>
  <c r="FJ150" i="31"/>
  <c r="KV149" i="31" l="1"/>
  <c r="KW150" i="31" s="1"/>
  <c r="HQ149" i="31"/>
  <c r="HR150" i="31" s="1"/>
  <c r="BB150" i="31"/>
  <c r="BC150" i="31" s="1"/>
  <c r="EQ149" i="31"/>
  <c r="IU149" i="31"/>
  <c r="IV149" i="31" s="1"/>
  <c r="IX149" i="31" s="1"/>
  <c r="ER150" i="31"/>
  <c r="EU150" i="31" s="1"/>
  <c r="HT149" i="31"/>
  <c r="HS149" i="31"/>
  <c r="JG149" i="31" s="1"/>
  <c r="IW149" i="31"/>
  <c r="KB149" i="31" l="1"/>
  <c r="KK149" i="31"/>
  <c r="IC149" i="31"/>
  <c r="ID149" i="31" s="1"/>
  <c r="IF149" i="31" s="1"/>
  <c r="KH149" i="31" s="1"/>
  <c r="JB149" i="31"/>
  <c r="BE150" i="31"/>
  <c r="BD150" i="31"/>
  <c r="IM149" i="31" l="1"/>
  <c r="GM149" i="31"/>
  <c r="KI150" i="31"/>
  <c r="KJ150" i="31" s="1"/>
  <c r="DF149" i="31"/>
  <c r="IN149" i="31"/>
  <c r="DB149" i="31"/>
  <c r="DC149" i="31" s="1"/>
  <c r="DD150" i="31" s="1"/>
  <c r="DE151" i="31" s="1"/>
  <c r="BF150" i="31"/>
  <c r="BG150" i="31"/>
  <c r="GU149" i="31" l="1"/>
  <c r="GV149" i="31"/>
  <c r="FD149" i="31"/>
  <c r="GR149" i="31"/>
  <c r="GT151" i="31"/>
  <c r="DT149" i="31"/>
  <c r="DZ149" i="31" s="1"/>
  <c r="BI150" i="31"/>
  <c r="BK150" i="31" s="1"/>
  <c r="BH150" i="31"/>
  <c r="GS149" i="31" l="1"/>
  <c r="FL150" i="31"/>
  <c r="FM150" i="31" s="1"/>
  <c r="IS149" i="31"/>
  <c r="BJ150" i="31"/>
  <c r="BL150" i="31"/>
  <c r="BM150" i="31"/>
  <c r="JH149" i="31" l="1"/>
  <c r="JI149" i="31" s="1"/>
  <c r="JK149" i="31" s="1"/>
  <c r="JZ149" i="31" s="1"/>
  <c r="KF149" i="31" s="1"/>
  <c r="IQ150" i="31" s="1"/>
  <c r="IT149" i="31"/>
  <c r="GW149" i="31"/>
  <c r="HC149" i="31" s="1"/>
  <c r="FA150" i="31" s="1"/>
  <c r="HB150" i="31" s="1"/>
  <c r="GY149" i="31"/>
  <c r="GX149" i="31"/>
  <c r="BN150" i="31"/>
  <c r="BO150" i="31"/>
  <c r="BP150" i="31" s="1"/>
  <c r="KA150" i="31" l="1"/>
  <c r="HZ150" i="31" s="1"/>
  <c r="JL149" i="31"/>
  <c r="JJ150" i="31" s="1"/>
  <c r="JM149" i="31"/>
  <c r="KD149" i="31" s="1"/>
  <c r="IL150" i="31" s="1"/>
  <c r="JE150" i="31" s="1"/>
  <c r="JN149" i="31"/>
  <c r="JV149" i="31" s="1"/>
  <c r="JF150" i="31" s="1"/>
  <c r="JY150" i="31" s="1"/>
  <c r="HM149" i="31"/>
  <c r="HK150" i="31"/>
  <c r="EG149" i="31"/>
  <c r="EH150" i="31" s="1"/>
  <c r="EI150" i="31" s="1"/>
  <c r="FK150" i="31" s="1"/>
  <c r="EY149" i="31"/>
  <c r="BQ150" i="31"/>
  <c r="IR150" i="31" l="1"/>
  <c r="JO150" i="31"/>
  <c r="JW150" i="31"/>
  <c r="EZ149" i="31"/>
  <c r="DG149" i="31"/>
  <c r="DH149" i="31" s="1"/>
  <c r="DI150" i="31" s="1"/>
  <c r="EE149" i="31"/>
  <c r="EF150" i="31" s="1"/>
  <c r="ED149" i="31"/>
  <c r="EB150" i="31" s="1"/>
  <c r="EJ149" i="31"/>
  <c r="EK150" i="31" s="1"/>
  <c r="BR150" i="31"/>
  <c r="BS150" i="31"/>
  <c r="JD150" i="31" l="1"/>
  <c r="JC150" i="31"/>
  <c r="GZ150" i="31"/>
  <c r="IO150" i="31"/>
  <c r="IP150" i="31"/>
  <c r="DJ150" i="31"/>
  <c r="DK150" i="31" s="1"/>
  <c r="IY150" i="31"/>
  <c r="JA150" i="31"/>
  <c r="EL150" i="31"/>
  <c r="EO150" i="31"/>
  <c r="ES151" i="31" s="1"/>
  <c r="EV150" i="31"/>
  <c r="EP150" i="31"/>
  <c r="ET151" i="31" s="1"/>
  <c r="FC150" i="31"/>
  <c r="DP150" i="31"/>
  <c r="BT150" i="31"/>
  <c r="BU150" i="31"/>
  <c r="DM150" i="31" l="1"/>
  <c r="DX150" i="31"/>
  <c r="FQ150" i="31"/>
  <c r="JP150" i="31"/>
  <c r="JQ150" i="31" s="1"/>
  <c r="IE150" i="31"/>
  <c r="KG150" i="31"/>
  <c r="EC150" i="31"/>
  <c r="JX150" i="31"/>
  <c r="BV150" i="31"/>
  <c r="BW150" i="31" s="1"/>
  <c r="FB150" i="31" l="1"/>
  <c r="EX150" i="31"/>
  <c r="M150" i="31" s="1"/>
  <c r="DL150" i="31"/>
  <c r="L151" i="31"/>
  <c r="BY150" i="31"/>
  <c r="CA150" i="31" s="1"/>
  <c r="BX150" i="31"/>
  <c r="MJ150" i="31" l="1"/>
  <c r="NS150" i="31" s="1"/>
  <c r="MB150" i="31"/>
  <c r="NM150" i="31" s="1"/>
  <c r="NN150" i="31" s="1"/>
  <c r="BZ150" i="31"/>
  <c r="CB150" i="31"/>
  <c r="CC150" i="31" s="1"/>
  <c r="OV151" i="31" l="1"/>
  <c r="NW150" i="31"/>
  <c r="NX150" i="31" s="1"/>
  <c r="NY150" i="31" s="1"/>
  <c r="NT150" i="31"/>
  <c r="OU151" i="31"/>
  <c r="CD150" i="31"/>
  <c r="CE150" i="31"/>
  <c r="NU150" i="31" l="1"/>
  <c r="NV150" i="31" s="1"/>
  <c r="FR150" i="31"/>
  <c r="FV150" i="31"/>
  <c r="CX150" i="31"/>
  <c r="OF150" i="31"/>
  <c r="OS151" i="31" s="1"/>
  <c r="OB150" i="31"/>
  <c r="OT151" i="31" s="1"/>
  <c r="CF150" i="31"/>
  <c r="CG150" i="31"/>
  <c r="MY150" i="31" l="1"/>
  <c r="PA150" i="31" s="1"/>
  <c r="NZ150" i="31"/>
  <c r="OA150" i="31" s="1"/>
  <c r="MV151" i="31" s="1"/>
  <c r="CY151" i="31"/>
  <c r="CH150" i="31"/>
  <c r="CI150" i="31" s="1"/>
  <c r="OC150" i="31" l="1"/>
  <c r="OD151" i="31" s="1"/>
  <c r="OH151" i="31" s="1"/>
  <c r="OJ150" i="31"/>
  <c r="CJ150" i="31"/>
  <c r="CO150" i="31" s="1"/>
  <c r="CK150" i="31"/>
  <c r="CL150" i="31" s="1"/>
  <c r="OG151" i="31"/>
  <c r="NF151" i="31"/>
  <c r="OM151" i="31"/>
  <c r="OO151" i="31"/>
  <c r="KT151" i="31" s="1"/>
  <c r="OI150" i="31"/>
  <c r="OZ150" i="31"/>
  <c r="MZ151" i="31"/>
  <c r="MW151" i="31"/>
  <c r="OY151" i="31"/>
  <c r="OK151" i="31" l="1"/>
  <c r="CM150" i="31"/>
  <c r="CN150" i="31" s="1"/>
  <c r="CP150" i="31" s="1"/>
  <c r="KL151" i="31"/>
  <c r="KN152" i="31" s="1"/>
  <c r="KQ151" i="31" s="1"/>
  <c r="KM151" i="31"/>
  <c r="KO152" i="31" s="1"/>
  <c r="KR151" i="31" s="1"/>
  <c r="MR151" i="31"/>
  <c r="MS151" i="31" s="1"/>
  <c r="OX151" i="31"/>
  <c r="OW150" i="31"/>
  <c r="MX151" i="31"/>
  <c r="KP152" i="31" l="1"/>
  <c r="MT151" i="31"/>
  <c r="PE151" i="31"/>
  <c r="NH152" i="31"/>
  <c r="NI152" i="31" s="1"/>
  <c r="MU151" i="31"/>
  <c r="MO151" i="31"/>
  <c r="NJ151" i="31"/>
  <c r="NQ151" i="31"/>
  <c r="NP151" i="31"/>
  <c r="NB151" i="31"/>
  <c r="NA151" i="31"/>
  <c r="KS151" i="31"/>
  <c r="FZ150" i="31"/>
  <c r="GA150" i="31" s="1"/>
  <c r="DQ150" i="31"/>
  <c r="DR150" i="31" s="1"/>
  <c r="FX150" i="31"/>
  <c r="FY150" i="31" s="1"/>
  <c r="GO150" i="31"/>
  <c r="FU150" i="31"/>
  <c r="FW150" i="31" s="1"/>
  <c r="FH150" i="31"/>
  <c r="FI150" i="31" s="1"/>
  <c r="FP150" i="31"/>
  <c r="FS150" i="31" s="1"/>
  <c r="CQ150" i="31"/>
  <c r="FE150" i="31"/>
  <c r="FF150" i="31" s="1"/>
  <c r="GB150" i="31"/>
  <c r="GC150" i="31" s="1"/>
  <c r="JR150" i="31"/>
  <c r="JS150" i="31" s="1"/>
  <c r="HO150" i="31"/>
  <c r="KX150" i="31"/>
  <c r="GN150" i="31" s="1"/>
  <c r="KU150" i="31"/>
  <c r="NR151" i="31" l="1"/>
  <c r="NL151" i="31"/>
  <c r="NK151" i="31"/>
  <c r="NG152" i="31"/>
  <c r="OQ152" i="31"/>
  <c r="OR152" i="31" s="1"/>
  <c r="CR150" i="31"/>
  <c r="CT150" i="31"/>
  <c r="CS150" i="31"/>
  <c r="HU150" i="31"/>
  <c r="HV151" i="31" s="1"/>
  <c r="FJ151" i="31"/>
  <c r="GQ150" i="31"/>
  <c r="KV150" i="31"/>
  <c r="IA150" i="31"/>
  <c r="IB150" i="31" s="1"/>
  <c r="HP150" i="31"/>
  <c r="IZ150" i="31"/>
  <c r="JU150" i="31"/>
  <c r="KE150" i="31"/>
  <c r="JT151" i="31"/>
  <c r="KC150" i="31"/>
  <c r="DS150" i="31"/>
  <c r="AX150" i="31" s="1"/>
  <c r="AY151" i="31" s="1"/>
  <c r="HA150" i="31"/>
  <c r="DY150" i="31"/>
  <c r="HY150" i="31"/>
  <c r="HW150" i="31"/>
  <c r="HX151" i="31" s="1"/>
  <c r="FG151" i="31"/>
  <c r="KW151" i="31" l="1"/>
  <c r="HQ150" i="31"/>
  <c r="HR151" i="31" s="1"/>
  <c r="NC152" i="31"/>
  <c r="MQ152" i="31"/>
  <c r="HT150" i="31"/>
  <c r="HS150" i="31"/>
  <c r="JG150" i="31" s="1"/>
  <c r="AZ150" i="31"/>
  <c r="EM150" i="31"/>
  <c r="EW150" i="31" s="1"/>
  <c r="EN150" i="31"/>
  <c r="BB151" i="31" l="1"/>
  <c r="DW150" i="31"/>
  <c r="DU151" i="31" s="1"/>
  <c r="EQ150" i="31"/>
  <c r="ER151" i="31"/>
  <c r="IU150" i="31"/>
  <c r="IV150" i="31" s="1"/>
  <c r="IC150" i="31"/>
  <c r="ID150" i="31" s="1"/>
  <c r="IF150" i="31" s="1"/>
  <c r="KH150" i="31" s="1"/>
  <c r="JB150" i="31"/>
  <c r="IW150" i="31" l="1"/>
  <c r="KB150" i="31" s="1"/>
  <c r="IX150" i="31"/>
  <c r="KK150" i="31"/>
  <c r="GM150" i="31"/>
  <c r="IM150" i="31"/>
  <c r="DB150" i="31"/>
  <c r="DC150" i="31" s="1"/>
  <c r="DD151" i="31" s="1"/>
  <c r="DE152" i="31" s="1"/>
  <c r="KI151" i="31"/>
  <c r="IN150" i="31"/>
  <c r="DF150" i="31"/>
  <c r="EU151" i="31"/>
  <c r="BC151" i="31"/>
  <c r="DT150" i="31" l="1"/>
  <c r="DZ150" i="31" s="1"/>
  <c r="GT152" i="31"/>
  <c r="GR150" i="31"/>
  <c r="GV150" i="31"/>
  <c r="FD150" i="31"/>
  <c r="GU150" i="31"/>
  <c r="BD151" i="31"/>
  <c r="BE151" i="31"/>
  <c r="KJ151" i="31"/>
  <c r="IS150" i="31" l="1"/>
  <c r="FL151" i="31"/>
  <c r="GS150" i="31"/>
  <c r="BG151" i="31"/>
  <c r="BF151" i="31"/>
  <c r="BI151" i="31" l="1"/>
  <c r="BK151" i="31" s="1"/>
  <c r="BH151" i="31"/>
  <c r="FM151" i="31"/>
  <c r="GY150" i="31"/>
  <c r="GX150" i="31"/>
  <c r="GW150" i="31"/>
  <c r="HC150" i="31" s="1"/>
  <c r="FA151" i="31" s="1"/>
  <c r="HB151" i="31" s="1"/>
  <c r="JH150" i="31"/>
  <c r="JI150" i="31" s="1"/>
  <c r="IT150" i="31"/>
  <c r="JK150" i="31" l="1"/>
  <c r="JZ150" i="31" s="1"/>
  <c r="KF150" i="31" s="1"/>
  <c r="IQ151" i="31" s="1"/>
  <c r="BL151" i="31"/>
  <c r="BM151" i="31"/>
  <c r="HM150" i="31"/>
  <c r="EY150" i="31"/>
  <c r="EG150" i="31"/>
  <c r="EH151" i="31" s="1"/>
  <c r="EI151" i="31" s="1"/>
  <c r="FK151" i="31" s="1"/>
  <c r="HK151" i="31"/>
  <c r="BJ151" i="31"/>
  <c r="JM150" i="31" l="1"/>
  <c r="KD150" i="31" s="1"/>
  <c r="IL151" i="31" s="1"/>
  <c r="IR151" i="31" s="1"/>
  <c r="JN150" i="31"/>
  <c r="JV150" i="31" s="1"/>
  <c r="JF151" i="31" s="1"/>
  <c r="JY151" i="31" s="1"/>
  <c r="BN151" i="31"/>
  <c r="BO151" i="31"/>
  <c r="JL150" i="31"/>
  <c r="JJ151" i="31" s="1"/>
  <c r="KA151" i="31"/>
  <c r="EZ150" i="31"/>
  <c r="DG150" i="31"/>
  <c r="DH150" i="31" s="1"/>
  <c r="DI151" i="31" s="1"/>
  <c r="ED150" i="31"/>
  <c r="EB151" i="31" s="1"/>
  <c r="IY151" i="31" s="1"/>
  <c r="EE150" i="31"/>
  <c r="EF151" i="31" s="1"/>
  <c r="EJ150" i="31"/>
  <c r="EK151" i="31" s="1"/>
  <c r="JW151" i="31" l="1"/>
  <c r="JE151" i="31"/>
  <c r="JO151" i="31"/>
  <c r="IP151" i="31"/>
  <c r="DJ151" i="31"/>
  <c r="DK151" i="31" s="1"/>
  <c r="GZ151" i="31"/>
  <c r="IE151" i="31" s="1"/>
  <c r="DP151" i="31"/>
  <c r="HZ151" i="31"/>
  <c r="BP151" i="31"/>
  <c r="BQ151" i="31" s="1"/>
  <c r="JC151" i="31"/>
  <c r="JD151" i="31"/>
  <c r="EP151" i="31"/>
  <c r="ET152" i="31" s="1"/>
  <c r="EO151" i="31"/>
  <c r="ES152" i="31" s="1"/>
  <c r="FC151" i="31"/>
  <c r="EL151" i="31"/>
  <c r="EV151" i="31"/>
  <c r="JA151" i="31"/>
  <c r="IO151" i="31"/>
  <c r="JP151" i="31" s="1"/>
  <c r="JQ151" i="31" s="1"/>
  <c r="KG151" i="31" l="1"/>
  <c r="BR151" i="31"/>
  <c r="BS151" i="31"/>
  <c r="EC151" i="31"/>
  <c r="DM151" i="31"/>
  <c r="FQ151" i="31"/>
  <c r="DX151" i="31"/>
  <c r="JX151" i="31"/>
  <c r="BT151" i="31" l="1"/>
  <c r="BU151" i="31"/>
  <c r="DL151" i="31"/>
  <c r="L152" i="31"/>
  <c r="FB151" i="31"/>
  <c r="EX151" i="31"/>
  <c r="M151" i="31" s="1"/>
  <c r="BV151" i="31" l="1"/>
  <c r="BW151" i="31" s="1"/>
  <c r="MJ151" i="31"/>
  <c r="NS151" i="31" s="1"/>
  <c r="MB151" i="31"/>
  <c r="NM151" i="31" s="1"/>
  <c r="NN151" i="31" s="1"/>
  <c r="BX151" i="31" l="1"/>
  <c r="BY151" i="31"/>
  <c r="OV152" i="31"/>
  <c r="NW151" i="31"/>
  <c r="NX151" i="31" s="1"/>
  <c r="NT151" i="31"/>
  <c r="OU152" i="31"/>
  <c r="BZ151" i="31" l="1"/>
  <c r="CA151" i="31"/>
  <c r="CB151" i="31" s="1"/>
  <c r="CC151" i="31" s="1"/>
  <c r="CD151" i="31" s="1"/>
  <c r="FR151" i="31"/>
  <c r="CX151" i="31"/>
  <c r="FV151" i="31"/>
  <c r="NU151" i="31"/>
  <c r="OF151" i="31"/>
  <c r="OS152" i="31" s="1"/>
  <c r="NY151" i="31"/>
  <c r="CE151" i="31" l="1"/>
  <c r="CF151" i="31" s="1"/>
  <c r="NV151" i="31"/>
  <c r="NZ151" i="31"/>
  <c r="OA151" i="31" s="1"/>
  <c r="MV152" i="31" s="1"/>
  <c r="OG152" i="31" s="1"/>
  <c r="MY151" i="31"/>
  <c r="CY152" i="31"/>
  <c r="OB151" i="31"/>
  <c r="OT152" i="31" s="1"/>
  <c r="CG151" i="31" l="1"/>
  <c r="CH151" i="31" s="1"/>
  <c r="OO152" i="31"/>
  <c r="KT152" i="31" s="1"/>
  <c r="OM152" i="31"/>
  <c r="NF152" i="31"/>
  <c r="MZ152" i="31"/>
  <c r="OZ151" i="31"/>
  <c r="PA151" i="31"/>
  <c r="OC151" i="31"/>
  <c r="OD152" i="31" s="1"/>
  <c r="OH152" i="31" s="1"/>
  <c r="OK152" i="31" s="1"/>
  <c r="OJ151" i="31"/>
  <c r="OI151" i="31"/>
  <c r="CI151" i="31" l="1"/>
  <c r="CK151" i="31" s="1"/>
  <c r="CM151" i="31" s="1"/>
  <c r="CN151" i="31" s="1"/>
  <c r="OY152" i="31"/>
  <c r="MW152" i="31"/>
  <c r="KM152" i="31"/>
  <c r="KO153" i="31" s="1"/>
  <c r="KL152" i="31"/>
  <c r="KN153" i="31" s="1"/>
  <c r="MR152" i="31"/>
  <c r="OW151" i="31"/>
  <c r="OX152" i="31"/>
  <c r="CL151" i="31" l="1"/>
  <c r="CP151" i="31" s="1"/>
  <c r="CJ151" i="31"/>
  <c r="CO151" i="31" s="1"/>
  <c r="MS152" i="31"/>
  <c r="KP153" i="31"/>
  <c r="KR152" i="31"/>
  <c r="MX152" i="31"/>
  <c r="KQ152" i="31"/>
  <c r="NA152" i="31" l="1"/>
  <c r="NB152" i="31"/>
  <c r="KS152" i="31"/>
  <c r="JR151" i="31"/>
  <c r="JS151" i="31" s="1"/>
  <c r="DQ151" i="31"/>
  <c r="DR151" i="31" s="1"/>
  <c r="HO151" i="31"/>
  <c r="GB151" i="31"/>
  <c r="GC151" i="31" s="1"/>
  <c r="FU151" i="31"/>
  <c r="FW151" i="31" s="1"/>
  <c r="FX151" i="31"/>
  <c r="FY151" i="31" s="1"/>
  <c r="FE151" i="31"/>
  <c r="FF151" i="31" s="1"/>
  <c r="FH151" i="31"/>
  <c r="FI151" i="31" s="1"/>
  <c r="GO151" i="31"/>
  <c r="FZ151" i="31"/>
  <c r="GA151" i="31" s="1"/>
  <c r="FP151" i="31"/>
  <c r="FS151" i="31" s="1"/>
  <c r="CQ151" i="31"/>
  <c r="KX151" i="31"/>
  <c r="GN151" i="31" s="1"/>
  <c r="KU151" i="31"/>
  <c r="NH153" i="31"/>
  <c r="NI153" i="31" s="1"/>
  <c r="NQ152" i="31"/>
  <c r="MT152" i="31"/>
  <c r="NP152" i="31"/>
  <c r="NJ152" i="31"/>
  <c r="MU152" i="31"/>
  <c r="MO152" i="31"/>
  <c r="PE152" i="31"/>
  <c r="HY151" i="31" l="1"/>
  <c r="DY151" i="31"/>
  <c r="HA151" i="31"/>
  <c r="HP151" i="31"/>
  <c r="IA151" i="31"/>
  <c r="IB151" i="31" s="1"/>
  <c r="IZ151" i="31"/>
  <c r="CT151" i="31"/>
  <c r="CR151" i="31"/>
  <c r="CS151" i="31"/>
  <c r="DS151" i="31"/>
  <c r="AX151" i="31" s="1"/>
  <c r="AY152" i="31" s="1"/>
  <c r="KE151" i="31"/>
  <c r="JU151" i="31"/>
  <c r="JT152" i="31"/>
  <c r="KC151" i="31"/>
  <c r="GQ151" i="31"/>
  <c r="KV151" i="31"/>
  <c r="NR152" i="31"/>
  <c r="HU151" i="31"/>
  <c r="HV152" i="31" s="1"/>
  <c r="FJ152" i="31"/>
  <c r="NK152" i="31"/>
  <c r="NL152" i="31"/>
  <c r="NG153" i="31"/>
  <c r="OQ153" i="31"/>
  <c r="HW151" i="31"/>
  <c r="HX152" i="31" s="1"/>
  <c r="FG152" i="31"/>
  <c r="KW152" i="31" l="1"/>
  <c r="HQ151" i="31"/>
  <c r="HR152" i="31" s="1"/>
  <c r="HS151" i="31"/>
  <c r="JG151" i="31" s="1"/>
  <c r="HT151" i="31"/>
  <c r="OR153" i="31"/>
  <c r="AZ151" i="31"/>
  <c r="EM151" i="31"/>
  <c r="EW151" i="31" s="1"/>
  <c r="EN151" i="31"/>
  <c r="NC153" i="31"/>
  <c r="MQ153" i="31"/>
  <c r="IC151" i="31" l="1"/>
  <c r="ID151" i="31" s="1"/>
  <c r="IF151" i="31" s="1"/>
  <c r="KH151" i="31" s="1"/>
  <c r="JB151" i="31"/>
  <c r="BB152" i="31"/>
  <c r="EQ151" i="31"/>
  <c r="DW151" i="31"/>
  <c r="DU152" i="31" s="1"/>
  <c r="ER152" i="31"/>
  <c r="IU151" i="31"/>
  <c r="IV151" i="31" s="1"/>
  <c r="IW151" i="31" l="1"/>
  <c r="KB151" i="31" s="1"/>
  <c r="BC152" i="31"/>
  <c r="DB151" i="31"/>
  <c r="DC151" i="31" s="1"/>
  <c r="DD152" i="31" s="1"/>
  <c r="DE153" i="31" s="1"/>
  <c r="IM151" i="31"/>
  <c r="GM151" i="31"/>
  <c r="KI152" i="31"/>
  <c r="IN151" i="31"/>
  <c r="DF151" i="31"/>
  <c r="IX151" i="31"/>
  <c r="KK151" i="31"/>
  <c r="EU152" i="31"/>
  <c r="DT151" i="31" l="1"/>
  <c r="DZ151" i="31" s="1"/>
  <c r="GT153" i="31"/>
  <c r="GU151" i="31"/>
  <c r="FD151" i="31"/>
  <c r="GV151" i="31"/>
  <c r="KJ152" i="31"/>
  <c r="GR151" i="31"/>
  <c r="BD152" i="31"/>
  <c r="BE152" i="31"/>
  <c r="BF152" i="31" l="1"/>
  <c r="BG152" i="31"/>
  <c r="IS151" i="31"/>
  <c r="FL152" i="31"/>
  <c r="GS151" i="31"/>
  <c r="JH151" i="31" l="1"/>
  <c r="JI151" i="31" s="1"/>
  <c r="IT151" i="31"/>
  <c r="GW151" i="31"/>
  <c r="HC151" i="31" s="1"/>
  <c r="FA152" i="31" s="1"/>
  <c r="HB152" i="31" s="1"/>
  <c r="GX151" i="31"/>
  <c r="GY151" i="31"/>
  <c r="BI152" i="31"/>
  <c r="BK152" i="31" s="1"/>
  <c r="BH152" i="31"/>
  <c r="FM152" i="31"/>
  <c r="BJ152" i="31" l="1"/>
  <c r="BL152" i="31"/>
  <c r="BM152" i="31"/>
  <c r="EY151" i="31"/>
  <c r="EG151" i="31"/>
  <c r="EH152" i="31" s="1"/>
  <c r="EI152" i="31" s="1"/>
  <c r="FK152" i="31" s="1"/>
  <c r="HM151" i="31"/>
  <c r="HK152" i="31"/>
  <c r="JK151" i="31"/>
  <c r="JN151" i="31" s="1"/>
  <c r="JV151" i="31" s="1"/>
  <c r="JF152" i="31" s="1"/>
  <c r="JW152" i="31" l="1"/>
  <c r="JY152" i="31"/>
  <c r="EZ151" i="31"/>
  <c r="DG151" i="31"/>
  <c r="DH151" i="31" s="1"/>
  <c r="DI152" i="31" s="1"/>
  <c r="JZ151" i="31"/>
  <c r="KF151" i="31" s="1"/>
  <c r="IQ152" i="31" s="1"/>
  <c r="BN152" i="31"/>
  <c r="BO152" i="31"/>
  <c r="EE151" i="31"/>
  <c r="EF152" i="31" s="1"/>
  <c r="EJ151" i="31"/>
  <c r="EK152" i="31" s="1"/>
  <c r="ED151" i="31"/>
  <c r="EB152" i="31" s="1"/>
  <c r="JM151" i="31"/>
  <c r="KD151" i="31" s="1"/>
  <c r="IL152" i="31" s="1"/>
  <c r="JL151" i="31"/>
  <c r="JJ152" i="31" s="1"/>
  <c r="KA152" i="31"/>
  <c r="EL152" i="31" l="1"/>
  <c r="EO152" i="31"/>
  <c r="ES153" i="31" s="1"/>
  <c r="EP152" i="31"/>
  <c r="ET153" i="31" s="1"/>
  <c r="FC152" i="31"/>
  <c r="EV152" i="31"/>
  <c r="JC152" i="31"/>
  <c r="JD152" i="31"/>
  <c r="IR152" i="31"/>
  <c r="JO152" i="31"/>
  <c r="JE152" i="31"/>
  <c r="JA152" i="31"/>
  <c r="IY152" i="31"/>
  <c r="IO152" i="31"/>
  <c r="IP152" i="31"/>
  <c r="DP152" i="31"/>
  <c r="BP152" i="31"/>
  <c r="BQ152" i="31" s="1"/>
  <c r="GZ152" i="31"/>
  <c r="IE152" i="31" s="1"/>
  <c r="DJ152" i="31"/>
  <c r="DK152" i="31" s="1"/>
  <c r="HZ152" i="31"/>
  <c r="JX152" i="31" l="1"/>
  <c r="JP152" i="31"/>
  <c r="JQ152" i="31" s="1"/>
  <c r="KG152" i="31"/>
  <c r="BR152" i="31"/>
  <c r="BS152" i="31"/>
  <c r="DM152" i="31"/>
  <c r="FQ152" i="31"/>
  <c r="DX152" i="31"/>
  <c r="EC152" i="31"/>
  <c r="DL152" i="31" l="1"/>
  <c r="L153" i="31"/>
  <c r="FB152" i="31"/>
  <c r="EX152" i="31"/>
  <c r="M152" i="31" s="1"/>
  <c r="BT152" i="31"/>
  <c r="BU152" i="31"/>
  <c r="BV152" i="31" s="1"/>
  <c r="BW152" i="31" l="1"/>
  <c r="BY152" i="31" s="1"/>
  <c r="MJ152" i="31"/>
  <c r="NS152" i="31" s="1"/>
  <c r="MB152" i="31"/>
  <c r="NM152" i="31" s="1"/>
  <c r="NN152" i="31" s="1"/>
  <c r="BX152" i="31" l="1"/>
  <c r="BZ152" i="31" s="1"/>
  <c r="CA152" i="31"/>
  <c r="OV153" i="31"/>
  <c r="NW152" i="31"/>
  <c r="NT152" i="31"/>
  <c r="OU153" i="31"/>
  <c r="CB152" i="31" l="1"/>
  <c r="CC152" i="31" s="1"/>
  <c r="CD152" i="31" s="1"/>
  <c r="FR152" i="31"/>
  <c r="FV152" i="31"/>
  <c r="CX152" i="31"/>
  <c r="NU152" i="31"/>
  <c r="NX152" i="31"/>
  <c r="CE152" i="31" l="1"/>
  <c r="CG152" i="31" s="1"/>
  <c r="NV152" i="31"/>
  <c r="NZ152" i="31"/>
  <c r="MY152" i="31"/>
  <c r="CY153" i="31"/>
  <c r="NY152" i="31"/>
  <c r="OF152" i="31"/>
  <c r="OS153" i="31" s="1"/>
  <c r="CF152" i="31" l="1"/>
  <c r="OI152" i="31"/>
  <c r="MR153" i="31" s="1"/>
  <c r="CH152" i="31"/>
  <c r="CI152" i="31" s="1"/>
  <c r="OO153" i="31"/>
  <c r="NF153" i="31"/>
  <c r="OM153" i="31"/>
  <c r="MZ153" i="31"/>
  <c r="OZ152" i="31"/>
  <c r="OA152" i="31"/>
  <c r="MV153" i="31" s="1"/>
  <c r="OG153" i="31" s="1"/>
  <c r="OB152" i="31"/>
  <c r="OT153" i="31" s="1"/>
  <c r="OW152" i="31" l="1"/>
  <c r="OX153" i="31"/>
  <c r="CJ152" i="31"/>
  <c r="CO152" i="31" s="1"/>
  <c r="CK152" i="31"/>
  <c r="CL152" i="31" s="1"/>
  <c r="OJ152" i="31"/>
  <c r="OY153" i="31" s="1"/>
  <c r="OC152" i="31"/>
  <c r="OD153" i="31" s="1"/>
  <c r="OH153" i="31" s="1"/>
  <c r="OK153" i="31" s="1"/>
  <c r="KT153" i="31"/>
  <c r="PA152" i="31"/>
  <c r="MS153" i="31"/>
  <c r="MW153" i="31" l="1"/>
  <c r="MX153" i="31" s="1"/>
  <c r="CM152" i="31"/>
  <c r="CN152" i="31" s="1"/>
  <c r="CP152" i="31" s="1"/>
  <c r="FZ152" i="31" s="1"/>
  <c r="GA152" i="31" s="1"/>
  <c r="KM153" i="31"/>
  <c r="KO154" i="31" s="1"/>
  <c r="KL153" i="31"/>
  <c r="KN154" i="31" s="1"/>
  <c r="NJ153" i="31"/>
  <c r="NH154" i="31"/>
  <c r="NI154" i="31" s="1"/>
  <c r="NP153" i="31"/>
  <c r="MO153" i="31"/>
  <c r="MU153" i="31"/>
  <c r="MT153" i="31"/>
  <c r="NQ153" i="31"/>
  <c r="PE153" i="31"/>
  <c r="FX152" i="31" l="1"/>
  <c r="FY152" i="31" s="1"/>
  <c r="FU152" i="31"/>
  <c r="FW152" i="31" s="1"/>
  <c r="GB152" i="31"/>
  <c r="GC152" i="31" s="1"/>
  <c r="JR152" i="31"/>
  <c r="JS152" i="31" s="1"/>
  <c r="KE152" i="31" s="1"/>
  <c r="FH152" i="31"/>
  <c r="FI152" i="31" s="1"/>
  <c r="HU152" i="31" s="1"/>
  <c r="HV153" i="31" s="1"/>
  <c r="KX152" i="31"/>
  <c r="KU152" i="31"/>
  <c r="GO152" i="31"/>
  <c r="HO152" i="31"/>
  <c r="IA152" i="31" s="1"/>
  <c r="IB152" i="31" s="1"/>
  <c r="FP152" i="31"/>
  <c r="FS152" i="31" s="1"/>
  <c r="HY152" i="31" s="1"/>
  <c r="CQ152" i="31"/>
  <c r="CR152" i="31" s="1"/>
  <c r="DQ152" i="31"/>
  <c r="DR152" i="31" s="1"/>
  <c r="DS152" i="31" s="1"/>
  <c r="AX152" i="31" s="1"/>
  <c r="AY153" i="31" s="1"/>
  <c r="FE152" i="31"/>
  <c r="FF152" i="31" s="1"/>
  <c r="HW152" i="31" s="1"/>
  <c r="HX153" i="31" s="1"/>
  <c r="NR153" i="31"/>
  <c r="NK153" i="31"/>
  <c r="NL153" i="31"/>
  <c r="NG154" i="31"/>
  <c r="OQ154" i="31"/>
  <c r="KQ153" i="31"/>
  <c r="KP154" i="31"/>
  <c r="KR153" i="31"/>
  <c r="NB153" i="31"/>
  <c r="NA153" i="31"/>
  <c r="KC152" i="31" l="1"/>
  <c r="JT153" i="31"/>
  <c r="JU152" i="31"/>
  <c r="GN152" i="31"/>
  <c r="KV152" i="31" s="1"/>
  <c r="FJ153" i="31"/>
  <c r="FG153" i="31"/>
  <c r="HA152" i="31"/>
  <c r="DY152" i="31"/>
  <c r="CS152" i="31"/>
  <c r="CT152" i="31"/>
  <c r="IZ152" i="31"/>
  <c r="HP152" i="31"/>
  <c r="HS152" i="31" s="1"/>
  <c r="JG152" i="31" s="1"/>
  <c r="EN152" i="31"/>
  <c r="EM152" i="31"/>
  <c r="EW152" i="31" s="1"/>
  <c r="AZ152" i="31"/>
  <c r="OR154" i="31"/>
  <c r="KS153" i="31"/>
  <c r="NC154" i="31"/>
  <c r="MQ154" i="31"/>
  <c r="GQ152" i="31" l="1"/>
  <c r="KW153" i="31"/>
  <c r="HQ152" i="31"/>
  <c r="HR153" i="31" s="1"/>
  <c r="HT152" i="31"/>
  <c r="IC152" i="31" s="1"/>
  <c r="ID152" i="31" s="1"/>
  <c r="IF152" i="31" s="1"/>
  <c r="KH152" i="31" s="1"/>
  <c r="BB153" i="31"/>
  <c r="DW152" i="31"/>
  <c r="DU153" i="31" s="1"/>
  <c r="IW152" i="31"/>
  <c r="EQ152" i="31"/>
  <c r="ER153" i="31"/>
  <c r="IU152" i="31"/>
  <c r="IV152" i="31" s="1"/>
  <c r="JB152" i="31" l="1"/>
  <c r="BC153" i="31"/>
  <c r="KK152" i="31"/>
  <c r="KB152" i="31"/>
  <c r="IX152" i="31"/>
  <c r="IM152" i="31"/>
  <c r="GM152" i="31"/>
  <c r="DB152" i="31"/>
  <c r="DC152" i="31" s="1"/>
  <c r="DD153" i="31" s="1"/>
  <c r="DE154" i="31" s="1"/>
  <c r="KI153" i="31"/>
  <c r="IN152" i="31"/>
  <c r="DF152" i="31"/>
  <c r="EU153" i="31"/>
  <c r="DT152" i="31" l="1"/>
  <c r="DZ152" i="31" s="1"/>
  <c r="GT154" i="31"/>
  <c r="KJ153" i="31"/>
  <c r="GR152" i="31"/>
  <c r="FD152" i="31"/>
  <c r="GV152" i="31"/>
  <c r="GU152" i="31"/>
  <c r="BE153" i="31"/>
  <c r="BD153" i="31"/>
  <c r="IS152" i="31" l="1"/>
  <c r="FL153" i="31"/>
  <c r="GS152" i="31"/>
  <c r="BF153" i="31"/>
  <c r="BG153" i="31"/>
  <c r="GX152" i="31" l="1"/>
  <c r="GY152" i="31"/>
  <c r="GW152" i="31"/>
  <c r="HC152" i="31" s="1"/>
  <c r="FA153" i="31" s="1"/>
  <c r="HB153" i="31" s="1"/>
  <c r="BI153" i="31"/>
  <c r="BK153" i="31" s="1"/>
  <c r="BH153" i="31"/>
  <c r="FM153" i="31"/>
  <c r="JH152" i="31"/>
  <c r="JI152" i="31" s="1"/>
  <c r="IT152" i="31"/>
  <c r="BJ153" i="31" l="1"/>
  <c r="BL153" i="31"/>
  <c r="BM153" i="31"/>
  <c r="JK152" i="31"/>
  <c r="JN152" i="31" s="1"/>
  <c r="JV152" i="31" s="1"/>
  <c r="JF153" i="31" s="1"/>
  <c r="EG152" i="31"/>
  <c r="EH153" i="31" s="1"/>
  <c r="EI153" i="31" s="1"/>
  <c r="FK153" i="31" s="1"/>
  <c r="EY152" i="31"/>
  <c r="HM152" i="31"/>
  <c r="HK153" i="31"/>
  <c r="JZ152" i="31" l="1"/>
  <c r="KF152" i="31" s="1"/>
  <c r="IQ153" i="31" s="1"/>
  <c r="JM152" i="31"/>
  <c r="KD152" i="31" s="1"/>
  <c r="IL153" i="31" s="1"/>
  <c r="JL152" i="31"/>
  <c r="JJ153" i="31" s="1"/>
  <c r="KA153" i="31"/>
  <c r="BN153" i="31"/>
  <c r="BO153" i="31"/>
  <c r="BP153" i="31" s="1"/>
  <c r="EJ152" i="31"/>
  <c r="EK153" i="31" s="1"/>
  <c r="EE152" i="31"/>
  <c r="EF153" i="31" s="1"/>
  <c r="ED152" i="31"/>
  <c r="EB153" i="31" s="1"/>
  <c r="EZ152" i="31"/>
  <c r="DG152" i="31"/>
  <c r="DH152" i="31" s="1"/>
  <c r="DI153" i="31" s="1"/>
  <c r="JY153" i="31"/>
  <c r="JW153" i="31"/>
  <c r="IY153" i="31" l="1"/>
  <c r="JA153" i="31"/>
  <c r="IP153" i="31"/>
  <c r="IO153" i="31"/>
  <c r="JO153" i="31"/>
  <c r="DP153" i="31"/>
  <c r="HZ153" i="31"/>
  <c r="BQ153" i="31"/>
  <c r="IR153" i="31"/>
  <c r="GZ153" i="31"/>
  <c r="IE153" i="31" s="1"/>
  <c r="DJ153" i="31"/>
  <c r="DK153" i="31" s="1"/>
  <c r="JC153" i="31"/>
  <c r="JD153" i="31"/>
  <c r="EO153" i="31"/>
  <c r="ES154" i="31" s="1"/>
  <c r="EL153" i="31"/>
  <c r="EP153" i="31"/>
  <c r="ET154" i="31" s="1"/>
  <c r="FC153" i="31"/>
  <c r="EV153" i="31"/>
  <c r="JE153" i="31"/>
  <c r="JP153" i="31" l="1"/>
  <c r="JQ153" i="31" s="1"/>
  <c r="JX153" i="31"/>
  <c r="KG153" i="31"/>
  <c r="EC153" i="31"/>
  <c r="BR153" i="31"/>
  <c r="BS153" i="31"/>
  <c r="DM153" i="31"/>
  <c r="FQ153" i="31"/>
  <c r="DX153" i="31"/>
  <c r="DL153" i="31" l="1"/>
  <c r="L154" i="31"/>
  <c r="BT153" i="31"/>
  <c r="BU153" i="31"/>
  <c r="EX153" i="31"/>
  <c r="M153" i="31" s="1"/>
  <c r="FB153" i="31"/>
  <c r="BV153" i="31" l="1"/>
  <c r="BW153" i="31" s="1"/>
  <c r="MJ153" i="31"/>
  <c r="NS153" i="31" s="1"/>
  <c r="MB153" i="31"/>
  <c r="NM153" i="31" s="1"/>
  <c r="NN153" i="31" s="1"/>
  <c r="BX153" i="31" l="1"/>
  <c r="BY153" i="31"/>
  <c r="BZ153" i="31" s="1"/>
  <c r="OV154" i="31"/>
  <c r="NW153" i="31"/>
  <c r="NT153" i="31"/>
  <c r="OU154" i="31"/>
  <c r="CA153" i="31" l="1"/>
  <c r="CB153" i="31" s="1"/>
  <c r="CC153" i="31" s="1"/>
  <c r="CD153" i="31" s="1"/>
  <c r="FR153" i="31"/>
  <c r="CX153" i="31"/>
  <c r="FV153" i="31"/>
  <c r="NU153" i="31"/>
  <c r="NX153" i="31"/>
  <c r="CE153" i="31" l="1"/>
  <c r="CF153" i="31" s="1"/>
  <c r="NV153" i="31"/>
  <c r="NY153" i="31"/>
  <c r="OF153" i="31"/>
  <c r="OS154" i="31" s="1"/>
  <c r="NZ153" i="31"/>
  <c r="MY153" i="31"/>
  <c r="CY154" i="31"/>
  <c r="CG153" i="31" l="1"/>
  <c r="CH153" i="31" s="1"/>
  <c r="CI153" i="31" s="1"/>
  <c r="OA153" i="31"/>
  <c r="MV154" i="31" s="1"/>
  <c r="OG154" i="31" s="1"/>
  <c r="OB153" i="31"/>
  <c r="OT154" i="31" s="1"/>
  <c r="OI153" i="31"/>
  <c r="NF154" i="31"/>
  <c r="OM154" i="31"/>
  <c r="OO154" i="31"/>
  <c r="MZ154" i="31"/>
  <c r="OZ153" i="31"/>
  <c r="KT154" i="31" l="1"/>
  <c r="KM154" i="31" s="1"/>
  <c r="KO155" i="31" s="1"/>
  <c r="CJ153" i="31"/>
  <c r="CO153" i="31" s="1"/>
  <c r="CK153" i="31"/>
  <c r="CM153" i="31" s="1"/>
  <c r="CN153" i="31" s="1"/>
  <c r="OC153" i="31"/>
  <c r="OD154" i="31" s="1"/>
  <c r="OH154" i="31" s="1"/>
  <c r="OK154" i="31" s="1"/>
  <c r="PA153" i="31"/>
  <c r="OJ153" i="31"/>
  <c r="OW153" i="31"/>
  <c r="MR154" i="31"/>
  <c r="OX154" i="31"/>
  <c r="KL154" i="31" l="1"/>
  <c r="KN155" i="31" s="1"/>
  <c r="KQ154" i="31" s="1"/>
  <c r="CL153" i="31"/>
  <c r="CP153" i="31" s="1"/>
  <c r="MW154" i="31"/>
  <c r="OY154" i="31"/>
  <c r="MS154" i="31"/>
  <c r="KR154" i="31"/>
  <c r="KP155" i="31" l="1"/>
  <c r="NJ154" i="31"/>
  <c r="NP154" i="31"/>
  <c r="NH155" i="31"/>
  <c r="NI155" i="31" s="1"/>
  <c r="NQ154" i="31"/>
  <c r="MU154" i="31"/>
  <c r="MT154" i="31"/>
  <c r="MO154" i="31"/>
  <c r="PE154" i="31"/>
  <c r="MX154" i="31"/>
  <c r="KS154" i="31"/>
  <c r="GO153" i="31"/>
  <c r="FH153" i="31"/>
  <c r="FI153" i="31" s="1"/>
  <c r="FZ153" i="31"/>
  <c r="GA153" i="31" s="1"/>
  <c r="FX153" i="31"/>
  <c r="FY153" i="31" s="1"/>
  <c r="FE153" i="31"/>
  <c r="FF153" i="31" s="1"/>
  <c r="FU153" i="31"/>
  <c r="FW153" i="31" s="1"/>
  <c r="JR153" i="31"/>
  <c r="JS153" i="31" s="1"/>
  <c r="HO153" i="31"/>
  <c r="CQ153" i="31"/>
  <c r="DQ153" i="31"/>
  <c r="DR153" i="31" s="1"/>
  <c r="FP153" i="31"/>
  <c r="FS153" i="31" s="1"/>
  <c r="GB153" i="31"/>
  <c r="GC153" i="31" s="1"/>
  <c r="KX153" i="31"/>
  <c r="KU153" i="31"/>
  <c r="GN153" i="31" l="1"/>
  <c r="GQ153" i="31" s="1"/>
  <c r="NR154" i="31"/>
  <c r="CT153" i="31"/>
  <c r="CR153" i="31"/>
  <c r="CS153" i="31"/>
  <c r="HP153" i="31"/>
  <c r="IA153" i="31"/>
  <c r="IB153" i="31" s="1"/>
  <c r="IZ153" i="31"/>
  <c r="KE153" i="31"/>
  <c r="JU153" i="31"/>
  <c r="JT154" i="31"/>
  <c r="KC153" i="31"/>
  <c r="HU153" i="31"/>
  <c r="HV154" i="31" s="1"/>
  <c r="FJ154" i="31"/>
  <c r="DS153" i="31"/>
  <c r="AX153" i="31" s="1"/>
  <c r="AY154" i="31" s="1"/>
  <c r="HW153" i="31"/>
  <c r="HX154" i="31" s="1"/>
  <c r="FG154" i="31"/>
  <c r="HY153" i="31"/>
  <c r="HA153" i="31"/>
  <c r="DY153" i="31"/>
  <c r="NB154" i="31"/>
  <c r="NA154" i="31"/>
  <c r="NK154" i="31"/>
  <c r="NL154" i="31"/>
  <c r="NG155" i="31"/>
  <c r="OQ155" i="31"/>
  <c r="KV153" i="31" l="1"/>
  <c r="KW154" i="31" s="1"/>
  <c r="HQ153" i="31"/>
  <c r="HR154" i="31" s="1"/>
  <c r="NC155" i="31"/>
  <c r="MQ155" i="31"/>
  <c r="HT153" i="31"/>
  <c r="HS153" i="31"/>
  <c r="JG153" i="31" s="1"/>
  <c r="OR155" i="31"/>
  <c r="EM153" i="31"/>
  <c r="EW153" i="31" s="1"/>
  <c r="EN153" i="31"/>
  <c r="AZ153" i="31"/>
  <c r="IC153" i="31" l="1"/>
  <c r="ID153" i="31" s="1"/>
  <c r="IF153" i="31" s="1"/>
  <c r="KH153" i="31" s="1"/>
  <c r="JB153" i="31"/>
  <c r="BB154" i="31"/>
  <c r="DW153" i="31"/>
  <c r="DU154" i="31" s="1"/>
  <c r="EQ153" i="31"/>
  <c r="ER154" i="31"/>
  <c r="IU153" i="31"/>
  <c r="IV153" i="31" s="1"/>
  <c r="IW153" i="31" l="1"/>
  <c r="KB153" i="31" s="1"/>
  <c r="EU154" i="31"/>
  <c r="BC154" i="31"/>
  <c r="KK153" i="31"/>
  <c r="IX153" i="31"/>
  <c r="GM153" i="31"/>
  <c r="DB153" i="31"/>
  <c r="DC153" i="31" s="1"/>
  <c r="DD154" i="31" s="1"/>
  <c r="DE155" i="31" s="1"/>
  <c r="IM153" i="31"/>
  <c r="KI154" i="31"/>
  <c r="IN153" i="31"/>
  <c r="DF153" i="31"/>
  <c r="GT155" i="31" l="1"/>
  <c r="GR153" i="31"/>
  <c r="BE154" i="31"/>
  <c r="BD154" i="31"/>
  <c r="KJ154" i="31"/>
  <c r="GV153" i="31"/>
  <c r="GU153" i="31"/>
  <c r="FD153" i="31"/>
  <c r="DT153" i="31"/>
  <c r="DZ153" i="31" s="1"/>
  <c r="BG154" i="31" l="1"/>
  <c r="BF154" i="31"/>
  <c r="GS153" i="31"/>
  <c r="IS153" i="31"/>
  <c r="FL154" i="31"/>
  <c r="FM154" i="31" l="1"/>
  <c r="JH153" i="31"/>
  <c r="JI153" i="31" s="1"/>
  <c r="IT153" i="31"/>
  <c r="GY153" i="31"/>
  <c r="GW153" i="31"/>
  <c r="HC153" i="31" s="1"/>
  <c r="FA154" i="31" s="1"/>
  <c r="HB154" i="31" s="1"/>
  <c r="GX153" i="31"/>
  <c r="BH154" i="31"/>
  <c r="BI154" i="31"/>
  <c r="BK154" i="31" s="1"/>
  <c r="BJ154" i="31" l="1"/>
  <c r="EG153" i="31"/>
  <c r="EH154" i="31" s="1"/>
  <c r="EI154" i="31" s="1"/>
  <c r="FK154" i="31" s="1"/>
  <c r="EY153" i="31"/>
  <c r="HM153" i="31"/>
  <c r="HK154" i="31"/>
  <c r="BL154" i="31"/>
  <c r="BM154" i="31"/>
  <c r="JK153" i="31"/>
  <c r="JN153" i="31" s="1"/>
  <c r="JV153" i="31" s="1"/>
  <c r="JF154" i="31" s="1"/>
  <c r="JW154" i="31" l="1"/>
  <c r="JY154" i="31"/>
  <c r="JM153" i="31"/>
  <c r="KD153" i="31" s="1"/>
  <c r="IL154" i="31" s="1"/>
  <c r="EZ153" i="31"/>
  <c r="DG153" i="31"/>
  <c r="DH153" i="31" s="1"/>
  <c r="DI154" i="31" s="1"/>
  <c r="ED153" i="31"/>
  <c r="EB154" i="31" s="1"/>
  <c r="EJ153" i="31"/>
  <c r="EK154" i="31" s="1"/>
  <c r="EE153" i="31"/>
  <c r="EF154" i="31" s="1"/>
  <c r="BN154" i="31"/>
  <c r="BO154" i="31"/>
  <c r="JZ153" i="31"/>
  <c r="KF153" i="31" s="1"/>
  <c r="IQ154" i="31" s="1"/>
  <c r="JL153" i="31"/>
  <c r="JJ154" i="31" s="1"/>
  <c r="KA154" i="31"/>
  <c r="DP154" i="31" l="1"/>
  <c r="IO154" i="31"/>
  <c r="IP154" i="31"/>
  <c r="HZ154" i="31"/>
  <c r="BP154" i="31"/>
  <c r="BQ154" i="31" s="1"/>
  <c r="GZ154" i="31"/>
  <c r="IE154" i="31" s="1"/>
  <c r="DJ154" i="31"/>
  <c r="DK154" i="31" s="1"/>
  <c r="EP154" i="31"/>
  <c r="ET155" i="31" s="1"/>
  <c r="FC154" i="31"/>
  <c r="EO154" i="31"/>
  <c r="ES155" i="31" s="1"/>
  <c r="EL154" i="31"/>
  <c r="EV154" i="31"/>
  <c r="IR154" i="31"/>
  <c r="JO154" i="31"/>
  <c r="JA154" i="31"/>
  <c r="JE154" i="31"/>
  <c r="IY154" i="31"/>
  <c r="JC154" i="31"/>
  <c r="JD154" i="31"/>
  <c r="BR154" i="31" l="1"/>
  <c r="BS154" i="31"/>
  <c r="JP154" i="31"/>
  <c r="JQ154" i="31" s="1"/>
  <c r="DX154" i="31"/>
  <c r="FQ154" i="31"/>
  <c r="DM154" i="31"/>
  <c r="EC154" i="31"/>
  <c r="JX154" i="31"/>
  <c r="KG154" i="31"/>
  <c r="BT154" i="31" l="1"/>
  <c r="BU154" i="31"/>
  <c r="BV154" i="31" s="1"/>
  <c r="BW154" i="31" s="1"/>
  <c r="EX154" i="31"/>
  <c r="M154" i="31" s="1"/>
  <c r="FB154" i="31"/>
  <c r="DL154" i="31"/>
  <c r="L155" i="31"/>
  <c r="MJ154" i="31" l="1"/>
  <c r="NS154" i="31" s="1"/>
  <c r="MB154" i="31"/>
  <c r="BX154" i="31"/>
  <c r="BY154" i="31"/>
  <c r="NM154" i="31" l="1"/>
  <c r="NN154" i="31" s="1"/>
  <c r="BZ154" i="31"/>
  <c r="CA154" i="31"/>
  <c r="NT154" i="31"/>
  <c r="OU155" i="31"/>
  <c r="OV155" i="31" l="1"/>
  <c r="NW154" i="31"/>
  <c r="CX154" i="31"/>
  <c r="FV154" i="31"/>
  <c r="FR154" i="31"/>
  <c r="NU154" i="31"/>
  <c r="NX154" i="31"/>
  <c r="OF154" i="31" s="1"/>
  <c r="OS155" i="31" s="1"/>
  <c r="CB154" i="31"/>
  <c r="CC154" i="31" s="1"/>
  <c r="NV154" i="31" l="1"/>
  <c r="CD154" i="31"/>
  <c r="CE154" i="31"/>
  <c r="NY154" i="31"/>
  <c r="MY154" i="31"/>
  <c r="NZ154" i="31"/>
  <c r="CY155" i="31"/>
  <c r="OI154" i="31" l="1"/>
  <c r="OW154" i="31" s="1"/>
  <c r="OA154" i="31"/>
  <c r="MV155" i="31" s="1"/>
  <c r="OG155" i="31" s="1"/>
  <c r="CF154" i="31"/>
  <c r="CG154" i="31"/>
  <c r="OM155" i="31"/>
  <c r="OO155" i="31"/>
  <c r="NF155" i="31"/>
  <c r="MZ155" i="31"/>
  <c r="OZ154" i="31"/>
  <c r="OB154" i="31"/>
  <c r="OT155" i="31" s="1"/>
  <c r="KT155" i="31" l="1"/>
  <c r="MR155" i="31"/>
  <c r="OX155" i="31"/>
  <c r="OC154" i="31"/>
  <c r="OD155" i="31" s="1"/>
  <c r="OH155" i="31" s="1"/>
  <c r="OK155" i="31" s="1"/>
  <c r="OJ154" i="31"/>
  <c r="MW155" i="31" s="1"/>
  <c r="MS155" i="31"/>
  <c r="KM155" i="31"/>
  <c r="KO156" i="31" s="1"/>
  <c r="KL155" i="31"/>
  <c r="KN156" i="31" s="1"/>
  <c r="PA154" i="31"/>
  <c r="CH154" i="31"/>
  <c r="CI154" i="31" s="1"/>
  <c r="CJ154" i="31" l="1"/>
  <c r="CO154" i="31" s="1"/>
  <c r="CK154" i="31"/>
  <c r="CM154" i="31" s="1"/>
  <c r="CN154" i="31" s="1"/>
  <c r="OY155" i="31"/>
  <c r="MT155" i="31"/>
  <c r="MU155" i="31"/>
  <c r="NH156" i="31"/>
  <c r="NI156" i="31" s="1"/>
  <c r="NJ155" i="31"/>
  <c r="NP155" i="31"/>
  <c r="NQ155" i="31"/>
  <c r="MO155" i="31"/>
  <c r="PE155" i="31"/>
  <c r="KP156" i="31"/>
  <c r="KR155" i="31"/>
  <c r="KQ155" i="31"/>
  <c r="MX155" i="31"/>
  <c r="CL154" i="31" l="1"/>
  <c r="CP154" i="31" s="1"/>
  <c r="KS155" i="31"/>
  <c r="NR155" i="31"/>
  <c r="NL155" i="31"/>
  <c r="NK155" i="31"/>
  <c r="NG156" i="31"/>
  <c r="OQ156" i="31"/>
  <c r="NB155" i="31"/>
  <c r="NA155" i="31"/>
  <c r="OR156" i="31" l="1"/>
  <c r="NC156" i="31"/>
  <c r="MQ156" i="31"/>
  <c r="GB154" i="31"/>
  <c r="GC154" i="31" s="1"/>
  <c r="FP154" i="31"/>
  <c r="FS154" i="31" s="1"/>
  <c r="JR154" i="31"/>
  <c r="JS154" i="31" s="1"/>
  <c r="DQ154" i="31"/>
  <c r="DR154" i="31" s="1"/>
  <c r="GO154" i="31"/>
  <c r="FZ154" i="31"/>
  <c r="GA154" i="31" s="1"/>
  <c r="FE154" i="31"/>
  <c r="FF154" i="31" s="1"/>
  <c r="FH154" i="31"/>
  <c r="FI154" i="31" s="1"/>
  <c r="HO154" i="31"/>
  <c r="FU154" i="31"/>
  <c r="FW154" i="31" s="1"/>
  <c r="FX154" i="31"/>
  <c r="FY154" i="31" s="1"/>
  <c r="CQ154" i="31"/>
  <c r="KX154" i="31"/>
  <c r="GN154" i="31" s="1"/>
  <c r="KU154" i="31"/>
  <c r="HU154" i="31" l="1"/>
  <c r="HV155" i="31" s="1"/>
  <c r="FJ155" i="31"/>
  <c r="IA154" i="31"/>
  <c r="IB154" i="31" s="1"/>
  <c r="HP154" i="31"/>
  <c r="IZ154" i="31"/>
  <c r="HW154" i="31"/>
  <c r="HX155" i="31" s="1"/>
  <c r="FG155" i="31"/>
  <c r="HY154" i="31"/>
  <c r="DY154" i="31"/>
  <c r="HA154" i="31"/>
  <c r="GQ154" i="31"/>
  <c r="KV154" i="31"/>
  <c r="CS154" i="31"/>
  <c r="CT154" i="31"/>
  <c r="CR154" i="31"/>
  <c r="DS154" i="31"/>
  <c r="AX154" i="31" s="1"/>
  <c r="AY155" i="31" s="1"/>
  <c r="KC154" i="31"/>
  <c r="JU154" i="31"/>
  <c r="JT155" i="31"/>
  <c r="KE154" i="31"/>
  <c r="KW155" i="31" l="1"/>
  <c r="HQ154" i="31"/>
  <c r="HR155" i="31" s="1"/>
  <c r="HS154" i="31"/>
  <c r="JG154" i="31" s="1"/>
  <c r="HT154" i="31"/>
  <c r="EM154" i="31"/>
  <c r="EW154" i="31" s="1"/>
  <c r="AZ154" i="31"/>
  <c r="EN154" i="31"/>
  <c r="IC154" i="31" l="1"/>
  <c r="ID154" i="31" s="1"/>
  <c r="IF154" i="31" s="1"/>
  <c r="KH154" i="31" s="1"/>
  <c r="JB154" i="31"/>
  <c r="BB155" i="31"/>
  <c r="DW154" i="31"/>
  <c r="DU155" i="31" s="1"/>
  <c r="EQ154" i="31"/>
  <c r="ER155" i="31"/>
  <c r="IU154" i="31"/>
  <c r="IV154" i="31" s="1"/>
  <c r="IW154" i="31" l="1"/>
  <c r="KB154" i="31" s="1"/>
  <c r="BC155" i="31"/>
  <c r="KK154" i="31"/>
  <c r="IX154" i="31"/>
  <c r="EU155" i="31"/>
  <c r="DB154" i="31"/>
  <c r="DC154" i="31" s="1"/>
  <c r="DD155" i="31" s="1"/>
  <c r="DE156" i="31" s="1"/>
  <c r="IM154" i="31"/>
  <c r="GM154" i="31"/>
  <c r="KI155" i="31"/>
  <c r="IN154" i="31"/>
  <c r="DF154" i="31"/>
  <c r="DT154" i="31" l="1"/>
  <c r="DZ154" i="31" s="1"/>
  <c r="GT156" i="31"/>
  <c r="FD154" i="31"/>
  <c r="GU154" i="31"/>
  <c r="GV154" i="31"/>
  <c r="KJ155" i="31"/>
  <c r="GR154" i="31"/>
  <c r="BE155" i="31"/>
  <c r="BD155" i="31"/>
  <c r="BF155" i="31" l="1"/>
  <c r="BG155" i="31"/>
  <c r="IS154" i="31"/>
  <c r="FL155" i="31"/>
  <c r="GS154" i="31"/>
  <c r="JH154" i="31" l="1"/>
  <c r="JI154" i="31" s="1"/>
  <c r="IT154" i="31"/>
  <c r="GX154" i="31"/>
  <c r="GY154" i="31"/>
  <c r="GW154" i="31"/>
  <c r="HC154" i="31" s="1"/>
  <c r="FA155" i="31" s="1"/>
  <c r="HB155" i="31" s="1"/>
  <c r="BI155" i="31"/>
  <c r="BK155" i="31" s="1"/>
  <c r="BH155" i="31"/>
  <c r="FM155" i="31"/>
  <c r="BL155" i="31" l="1"/>
  <c r="BM155" i="31"/>
  <c r="HM154" i="31"/>
  <c r="EG154" i="31"/>
  <c r="EH155" i="31" s="1"/>
  <c r="EI155" i="31" s="1"/>
  <c r="FK155" i="31" s="1"/>
  <c r="EY154" i="31"/>
  <c r="HK155" i="31"/>
  <c r="BJ155" i="31"/>
  <c r="JK154" i="31"/>
  <c r="JM154" i="31" s="1"/>
  <c r="KD154" i="31" s="1"/>
  <c r="IL155" i="31" s="1"/>
  <c r="JN154" i="31" l="1"/>
  <c r="JV154" i="31" s="1"/>
  <c r="JF155" i="31" s="1"/>
  <c r="JW155" i="31" s="1"/>
  <c r="EZ154" i="31"/>
  <c r="DG154" i="31"/>
  <c r="DH154" i="31" s="1"/>
  <c r="DI155" i="31" s="1"/>
  <c r="EE154" i="31"/>
  <c r="EF155" i="31" s="1"/>
  <c r="IO155" i="31" s="1"/>
  <c r="ED154" i="31"/>
  <c r="EB155" i="31" s="1"/>
  <c r="EJ154" i="31"/>
  <c r="EK155" i="31" s="1"/>
  <c r="BN155" i="31"/>
  <c r="BO155" i="31"/>
  <c r="JZ154" i="31"/>
  <c r="KF154" i="31" s="1"/>
  <c r="IQ155" i="31" s="1"/>
  <c r="JL154" i="31"/>
  <c r="JJ155" i="31" s="1"/>
  <c r="KA155" i="31"/>
  <c r="JY155" i="31" l="1"/>
  <c r="HZ155" i="31"/>
  <c r="DP155" i="31"/>
  <c r="BP155" i="31"/>
  <c r="BQ155" i="31" s="1"/>
  <c r="IP155" i="31"/>
  <c r="EO155" i="31"/>
  <c r="ES156" i="31" s="1"/>
  <c r="EL155" i="31"/>
  <c r="FC155" i="31"/>
  <c r="EP155" i="31"/>
  <c r="ET156" i="31" s="1"/>
  <c r="EV155" i="31"/>
  <c r="JA155" i="31"/>
  <c r="IY155" i="31"/>
  <c r="JP155" i="31" s="1"/>
  <c r="JQ155" i="31" s="1"/>
  <c r="JE155" i="31"/>
  <c r="JO155" i="31"/>
  <c r="DJ155" i="31"/>
  <c r="DK155" i="31" s="1"/>
  <c r="GZ155" i="31"/>
  <c r="IE155" i="31" s="1"/>
  <c r="JC155" i="31"/>
  <c r="JD155" i="31"/>
  <c r="IR155" i="31"/>
  <c r="KG155" i="31" l="1"/>
  <c r="BR155" i="31"/>
  <c r="BS155" i="31"/>
  <c r="JX155" i="31"/>
  <c r="EC155" i="31"/>
  <c r="FQ155" i="31"/>
  <c r="DX155" i="31"/>
  <c r="DM155" i="31"/>
  <c r="BT155" i="31" l="1"/>
  <c r="BU155" i="31"/>
  <c r="BV155" i="31" s="1"/>
  <c r="BW155" i="31" s="1"/>
  <c r="DL155" i="31"/>
  <c r="L156" i="31"/>
  <c r="EX155" i="31"/>
  <c r="M155" i="31" s="1"/>
  <c r="FB155" i="31"/>
  <c r="BY155" i="31" l="1"/>
  <c r="BX155" i="31"/>
  <c r="MB155" i="31"/>
  <c r="NM155" i="31" s="1"/>
  <c r="NN155" i="31" s="1"/>
  <c r="MJ155" i="31"/>
  <c r="NS155" i="31" s="1"/>
  <c r="OV156" i="31" l="1"/>
  <c r="NW155" i="31"/>
  <c r="BZ155" i="31"/>
  <c r="CA155" i="31"/>
  <c r="NT155" i="31"/>
  <c r="OU156" i="31"/>
  <c r="FV155" i="31" l="1"/>
  <c r="CX155" i="31"/>
  <c r="FR155" i="31"/>
  <c r="NU155" i="31"/>
  <c r="CB155" i="31"/>
  <c r="CC155" i="31" s="1"/>
  <c r="NX155" i="31"/>
  <c r="CD155" i="31" l="1"/>
  <c r="CE155" i="31"/>
  <c r="CG155" i="31" s="1"/>
  <c r="NY155" i="31"/>
  <c r="NZ155" i="31"/>
  <c r="MY155" i="31"/>
  <c r="CY156" i="31"/>
  <c r="OF155" i="31"/>
  <c r="OS156" i="31" s="1"/>
  <c r="NV155" i="31"/>
  <c r="CF155" i="31" l="1"/>
  <c r="OI155" i="31"/>
  <c r="MR156" i="31" s="1"/>
  <c r="NF156" i="31"/>
  <c r="OM156" i="31"/>
  <c r="OO156" i="31"/>
  <c r="MZ156" i="31"/>
  <c r="OZ155" i="31"/>
  <c r="OA155" i="31"/>
  <c r="MV156" i="31" s="1"/>
  <c r="OB155" i="31"/>
  <c r="OT156" i="31" s="1"/>
  <c r="CH155" i="31"/>
  <c r="CI155" i="31" s="1"/>
  <c r="OW155" i="31" l="1"/>
  <c r="OX156" i="31"/>
  <c r="CK155" i="31"/>
  <c r="CJ155" i="31"/>
  <c r="CO155" i="31" s="1"/>
  <c r="PA155" i="31"/>
  <c r="OC155" i="31"/>
  <c r="OD156" i="31" s="1"/>
  <c r="OH156" i="31" s="1"/>
  <c r="OJ155" i="31"/>
  <c r="OY156" i="31" s="1"/>
  <c r="OG156" i="31"/>
  <c r="KT156" i="31"/>
  <c r="MS156" i="31"/>
  <c r="CL155" i="31" l="1"/>
  <c r="CM155" i="31"/>
  <c r="CN155" i="31" s="1"/>
  <c r="OK156" i="31"/>
  <c r="MW156" i="31"/>
  <c r="MU156" i="31"/>
  <c r="NQ156" i="31"/>
  <c r="NJ156" i="31"/>
  <c r="NH157" i="31"/>
  <c r="NI157" i="31" s="1"/>
  <c r="NP156" i="31"/>
  <c r="MT156" i="31"/>
  <c r="MO156" i="31"/>
  <c r="PE156" i="31"/>
  <c r="KM156" i="31"/>
  <c r="KO157" i="31" s="1"/>
  <c r="KL156" i="31"/>
  <c r="KN157" i="31" s="1"/>
  <c r="MX156" i="31"/>
  <c r="CP155" i="31" l="1"/>
  <c r="FZ155" i="31" s="1"/>
  <c r="GA155" i="31" s="1"/>
  <c r="NL156" i="31"/>
  <c r="NK156" i="31"/>
  <c r="NG157" i="31"/>
  <c r="OQ157" i="31"/>
  <c r="NB156" i="31"/>
  <c r="NA156" i="31"/>
  <c r="KQ156" i="31"/>
  <c r="NR156" i="31"/>
  <c r="DQ155" i="31"/>
  <c r="DR155" i="31" s="1"/>
  <c r="KP157" i="31"/>
  <c r="KR156" i="31"/>
  <c r="GB155" i="31" l="1"/>
  <c r="GC155" i="31" s="1"/>
  <c r="FE155" i="31"/>
  <c r="FF155" i="31" s="1"/>
  <c r="FG156" i="31" s="1"/>
  <c r="KX155" i="31"/>
  <c r="FX155" i="31"/>
  <c r="FY155" i="31" s="1"/>
  <c r="JR155" i="31"/>
  <c r="JS155" i="31" s="1"/>
  <c r="JU155" i="31" s="1"/>
  <c r="FU155" i="31"/>
  <c r="FW155" i="31" s="1"/>
  <c r="KU155" i="31"/>
  <c r="CQ155" i="31"/>
  <c r="CR155" i="31" s="1"/>
  <c r="GO155" i="31"/>
  <c r="HO155" i="31"/>
  <c r="IZ155" i="31" s="1"/>
  <c r="FH155" i="31"/>
  <c r="FI155" i="31" s="1"/>
  <c r="HU155" i="31" s="1"/>
  <c r="HV156" i="31" s="1"/>
  <c r="FP155" i="31"/>
  <c r="FS155" i="31" s="1"/>
  <c r="HY155" i="31" s="1"/>
  <c r="GN155" i="31"/>
  <c r="GQ155" i="31" s="1"/>
  <c r="KS156" i="31"/>
  <c r="HP155" i="31"/>
  <c r="IA155" i="31"/>
  <c r="IB155" i="31" s="1"/>
  <c r="OR157" i="31"/>
  <c r="DS155" i="31"/>
  <c r="AX155" i="31" s="1"/>
  <c r="AY156" i="31" s="1"/>
  <c r="HW155" i="31"/>
  <c r="HX156" i="31" s="1"/>
  <c r="NC157" i="31"/>
  <c r="MQ157" i="31"/>
  <c r="FJ156" i="31" l="1"/>
  <c r="CT155" i="31"/>
  <c r="HA155" i="31"/>
  <c r="DY155" i="31"/>
  <c r="CS155" i="31"/>
  <c r="JT156" i="31"/>
  <c r="KC155" i="31"/>
  <c r="KE155" i="31"/>
  <c r="KV155" i="31"/>
  <c r="KW156" i="31" s="1"/>
  <c r="HQ155" i="31"/>
  <c r="HR156" i="31" s="1"/>
  <c r="AZ155" i="31"/>
  <c r="EM155" i="31"/>
  <c r="EW155" i="31" s="1"/>
  <c r="EN155" i="31"/>
  <c r="HT155" i="31"/>
  <c r="HS155" i="31"/>
  <c r="JG155" i="31" s="1"/>
  <c r="IC155" i="31" l="1"/>
  <c r="ID155" i="31" s="1"/>
  <c r="IF155" i="31" s="1"/>
  <c r="KH155" i="31" s="1"/>
  <c r="JB155" i="31"/>
  <c r="BB156" i="31"/>
  <c r="EQ155" i="31"/>
  <c r="DW155" i="31"/>
  <c r="DU156" i="31" s="1"/>
  <c r="ER156" i="31"/>
  <c r="IU155" i="31"/>
  <c r="IV155" i="31" s="1"/>
  <c r="IW155" i="31" l="1"/>
  <c r="KB155" i="31" s="1"/>
  <c r="BC156" i="31"/>
  <c r="IX155" i="31"/>
  <c r="KK155" i="31"/>
  <c r="EU156" i="31"/>
  <c r="IM155" i="31"/>
  <c r="GM155" i="31"/>
  <c r="DB155" i="31"/>
  <c r="DC155" i="31" s="1"/>
  <c r="DD156" i="31" s="1"/>
  <c r="DE157" i="31" s="1"/>
  <c r="KI156" i="31"/>
  <c r="IN155" i="31"/>
  <c r="DF155" i="31"/>
  <c r="DT155" i="31" l="1"/>
  <c r="DZ155" i="31" s="1"/>
  <c r="GT157" i="31"/>
  <c r="GR155" i="31"/>
  <c r="FD155" i="31"/>
  <c r="GV155" i="31"/>
  <c r="GU155" i="31"/>
  <c r="KJ156" i="31"/>
  <c r="BD156" i="31"/>
  <c r="BE156" i="31"/>
  <c r="BG156" i="31" l="1"/>
  <c r="BF156" i="31"/>
  <c r="IS155" i="31"/>
  <c r="FL156" i="31"/>
  <c r="GS155" i="31"/>
  <c r="JH155" i="31" l="1"/>
  <c r="JI155" i="31" s="1"/>
  <c r="IT155" i="31"/>
  <c r="GW155" i="31"/>
  <c r="HC155" i="31" s="1"/>
  <c r="FA156" i="31" s="1"/>
  <c r="HB156" i="31" s="1"/>
  <c r="GX155" i="31"/>
  <c r="GY155" i="31"/>
  <c r="FM156" i="31"/>
  <c r="BI156" i="31"/>
  <c r="BK156" i="31" s="1"/>
  <c r="BH156" i="31"/>
  <c r="BJ156" i="31" l="1"/>
  <c r="EG155" i="31"/>
  <c r="EH156" i="31" s="1"/>
  <c r="EI156" i="31" s="1"/>
  <c r="FK156" i="31" s="1"/>
  <c r="EY155" i="31"/>
  <c r="HM155" i="31"/>
  <c r="HK156" i="31"/>
  <c r="BL156" i="31"/>
  <c r="BM156" i="31"/>
  <c r="JK155" i="31"/>
  <c r="JZ155" i="31" s="1"/>
  <c r="KF155" i="31" s="1"/>
  <c r="IQ156" i="31" s="1"/>
  <c r="JN155" i="31" l="1"/>
  <c r="JV155" i="31" s="1"/>
  <c r="JF156" i="31" s="1"/>
  <c r="JW156" i="31" s="1"/>
  <c r="EJ155" i="31"/>
  <c r="EK156" i="31" s="1"/>
  <c r="ED155" i="31"/>
  <c r="EB156" i="31" s="1"/>
  <c r="IY156" i="31" s="1"/>
  <c r="EE155" i="31"/>
  <c r="EF156" i="31" s="1"/>
  <c r="EZ155" i="31"/>
  <c r="DG155" i="31"/>
  <c r="DH155" i="31" s="1"/>
  <c r="DI156" i="31" s="1"/>
  <c r="JM155" i="31"/>
  <c r="KD155" i="31" s="1"/>
  <c r="IL156" i="31" s="1"/>
  <c r="IR156" i="31" s="1"/>
  <c r="JL155" i="31"/>
  <c r="JJ156" i="31" s="1"/>
  <c r="KA156" i="31"/>
  <c r="BN156" i="31"/>
  <c r="BO156" i="31"/>
  <c r="JY156" i="31" l="1"/>
  <c r="GZ156" i="31"/>
  <c r="IE156" i="31" s="1"/>
  <c r="DJ156" i="31"/>
  <c r="DK156" i="31" s="1"/>
  <c r="IO156" i="31"/>
  <c r="JP156" i="31" s="1"/>
  <c r="JQ156" i="31" s="1"/>
  <c r="IP156" i="31"/>
  <c r="JO156" i="31"/>
  <c r="BP156" i="31"/>
  <c r="BQ156" i="31" s="1"/>
  <c r="EL156" i="31"/>
  <c r="EO156" i="31"/>
  <c r="ES157" i="31" s="1"/>
  <c r="FC156" i="31"/>
  <c r="EP156" i="31"/>
  <c r="ET157" i="31" s="1"/>
  <c r="EV156" i="31"/>
  <c r="JE156" i="31"/>
  <c r="JC156" i="31"/>
  <c r="JD156" i="31"/>
  <c r="JA156" i="31"/>
  <c r="DP156" i="31"/>
  <c r="HZ156" i="31"/>
  <c r="JX156" i="31" l="1"/>
  <c r="DX156" i="31"/>
  <c r="FQ156" i="31"/>
  <c r="DM156" i="31"/>
  <c r="EC156" i="31"/>
  <c r="BR156" i="31"/>
  <c r="BS156" i="31"/>
  <c r="KG156" i="31"/>
  <c r="EX156" i="31" l="1"/>
  <c r="M156" i="31" s="1"/>
  <c r="FB156" i="31"/>
  <c r="BT156" i="31"/>
  <c r="BU156" i="31"/>
  <c r="BV156" i="31" s="1"/>
  <c r="DL156" i="31"/>
  <c r="L157" i="31"/>
  <c r="MB156" i="31" l="1"/>
  <c r="NM156" i="31" s="1"/>
  <c r="NN156" i="31" s="1"/>
  <c r="MJ156" i="31"/>
  <c r="NS156" i="31" s="1"/>
  <c r="BW156" i="31"/>
  <c r="BY156" i="31" l="1"/>
  <c r="BX156" i="31"/>
  <c r="OV157" i="31"/>
  <c r="NW156" i="31"/>
  <c r="NT156" i="31"/>
  <c r="OU157" i="31"/>
  <c r="FV156" i="31" l="1"/>
  <c r="FR156" i="31"/>
  <c r="CX156" i="31"/>
  <c r="NU156" i="31"/>
  <c r="NX156" i="31"/>
  <c r="BZ156" i="31"/>
  <c r="CA156" i="31"/>
  <c r="MY156" i="31" l="1"/>
  <c r="NZ156" i="31"/>
  <c r="CY157" i="31"/>
  <c r="NV156" i="31"/>
  <c r="CB156" i="31"/>
  <c r="CC156" i="31" s="1"/>
  <c r="NY156" i="31"/>
  <c r="OF156" i="31"/>
  <c r="OS157" i="31" s="1"/>
  <c r="CE156" i="31" l="1"/>
  <c r="CG156" i="31" s="1"/>
  <c r="CD156" i="31"/>
  <c r="OA156" i="31"/>
  <c r="MV157" i="31" s="1"/>
  <c r="OG157" i="31" s="1"/>
  <c r="OO157" i="31"/>
  <c r="OM157" i="31"/>
  <c r="NF157" i="31"/>
  <c r="OB156" i="31"/>
  <c r="OT157" i="31" s="1"/>
  <c r="OI156" i="31"/>
  <c r="MZ157" i="31"/>
  <c r="OZ156" i="31"/>
  <c r="CF156" i="31" l="1"/>
  <c r="KT157" i="31"/>
  <c r="KM157" i="31" s="1"/>
  <c r="KO158" i="31" s="1"/>
  <c r="OJ156" i="31"/>
  <c r="OY157" i="31" s="1"/>
  <c r="KL157" i="31"/>
  <c r="KN158" i="31" s="1"/>
  <c r="CH156" i="31"/>
  <c r="CI156" i="31" s="1"/>
  <c r="MR157" i="31"/>
  <c r="OX157" i="31"/>
  <c r="OW156" i="31"/>
  <c r="PA156" i="31"/>
  <c r="OC156" i="31"/>
  <c r="OD157" i="31" s="1"/>
  <c r="OH157" i="31" s="1"/>
  <c r="OK157" i="31" s="1"/>
  <c r="MW157" i="31" l="1"/>
  <c r="MX157" i="31" s="1"/>
  <c r="CJ156" i="31"/>
  <c r="CO156" i="31" s="1"/>
  <c r="CK156" i="31"/>
  <c r="MS157" i="31"/>
  <c r="KP158" i="31"/>
  <c r="KR157" i="31"/>
  <c r="KQ157" i="31"/>
  <c r="KS157" i="31" l="1"/>
  <c r="NA157" i="31"/>
  <c r="NB157" i="31"/>
  <c r="MU157" i="31"/>
  <c r="NH158" i="31"/>
  <c r="NI158" i="31" s="1"/>
  <c r="NP157" i="31"/>
  <c r="NQ157" i="31"/>
  <c r="MT157" i="31"/>
  <c r="MO157" i="31"/>
  <c r="NJ157" i="31"/>
  <c r="PE157" i="31"/>
  <c r="CL156" i="31"/>
  <c r="CM156" i="31"/>
  <c r="CN156" i="31" s="1"/>
  <c r="NR157" i="31" l="1"/>
  <c r="CP156" i="31"/>
  <c r="NK157" i="31"/>
  <c r="NL157" i="31"/>
  <c r="NG158" i="31"/>
  <c r="OQ158" i="31"/>
  <c r="NC158" i="31" l="1"/>
  <c r="MQ158" i="31"/>
  <c r="OR158" i="31"/>
  <c r="CQ156" i="31"/>
  <c r="HO156" i="31"/>
  <c r="GB156" i="31"/>
  <c r="GC156" i="31" s="1"/>
  <c r="FZ156" i="31"/>
  <c r="GA156" i="31" s="1"/>
  <c r="DQ156" i="31"/>
  <c r="DR156" i="31" s="1"/>
  <c r="GO156" i="31"/>
  <c r="JR156" i="31"/>
  <c r="JS156" i="31" s="1"/>
  <c r="FP156" i="31"/>
  <c r="FS156" i="31" s="1"/>
  <c r="FX156" i="31"/>
  <c r="FY156" i="31" s="1"/>
  <c r="FE156" i="31"/>
  <c r="FF156" i="31" s="1"/>
  <c r="FU156" i="31"/>
  <c r="FW156" i="31" s="1"/>
  <c r="FH156" i="31"/>
  <c r="FI156" i="31" s="1"/>
  <c r="KX156" i="31"/>
  <c r="GN156" i="31" s="1"/>
  <c r="KU156" i="31"/>
  <c r="HP156" i="31" l="1"/>
  <c r="IA156" i="31"/>
  <c r="IB156" i="31" s="1"/>
  <c r="IZ156" i="31"/>
  <c r="CS156" i="31"/>
  <c r="CT156" i="31"/>
  <c r="CR156" i="31"/>
  <c r="HY156" i="31"/>
  <c r="HA156" i="31"/>
  <c r="DY156" i="31"/>
  <c r="KE156" i="31"/>
  <c r="JU156" i="31"/>
  <c r="JT157" i="31"/>
  <c r="KC156" i="31"/>
  <c r="GQ156" i="31"/>
  <c r="KV156" i="31"/>
  <c r="DS156" i="31"/>
  <c r="AX156" i="31" s="1"/>
  <c r="AY157" i="31" s="1"/>
  <c r="HU156" i="31"/>
  <c r="HV157" i="31" s="1"/>
  <c r="FJ157" i="31"/>
  <c r="HW156" i="31"/>
  <c r="HX157" i="31" s="1"/>
  <c r="FG157" i="31"/>
  <c r="KW157" i="31" l="1"/>
  <c r="HQ156" i="31"/>
  <c r="HR157" i="31" s="1"/>
  <c r="AZ156" i="31"/>
  <c r="EN156" i="31"/>
  <c r="EM156" i="31"/>
  <c r="EW156" i="31" s="1"/>
  <c r="HS156" i="31"/>
  <c r="JG156" i="31" s="1"/>
  <c r="HT156" i="31"/>
  <c r="BB157" i="31" l="1"/>
  <c r="EQ156" i="31"/>
  <c r="DW156" i="31"/>
  <c r="DU157" i="31" s="1"/>
  <c r="IW156" i="31"/>
  <c r="ER157" i="31"/>
  <c r="IU156" i="31"/>
  <c r="IV156" i="31" s="1"/>
  <c r="IC156" i="31"/>
  <c r="ID156" i="31" s="1"/>
  <c r="IF156" i="31" s="1"/>
  <c r="KH156" i="31" s="1"/>
  <c r="JB156" i="31"/>
  <c r="EU157" i="31" l="1"/>
  <c r="KB156" i="31"/>
  <c r="IX156" i="31"/>
  <c r="KK156" i="31"/>
  <c r="IM156" i="31"/>
  <c r="GM156" i="31"/>
  <c r="DB156" i="31"/>
  <c r="DC156" i="31" s="1"/>
  <c r="DD157" i="31" s="1"/>
  <c r="DE158" i="31" s="1"/>
  <c r="KI157" i="31"/>
  <c r="IN156" i="31"/>
  <c r="DF156" i="31"/>
  <c r="BC157" i="31"/>
  <c r="GT158" i="31" l="1"/>
  <c r="KJ157" i="31"/>
  <c r="GR156" i="31"/>
  <c r="DT156" i="31"/>
  <c r="DZ156" i="31" s="1"/>
  <c r="GU156" i="31"/>
  <c r="FD156" i="31"/>
  <c r="GV156" i="31"/>
  <c r="BD157" i="31"/>
  <c r="BE157" i="31"/>
  <c r="BF157" i="31" l="1"/>
  <c r="BG157" i="31"/>
  <c r="GS156" i="31"/>
  <c r="IS156" i="31"/>
  <c r="FL157" i="31"/>
  <c r="FM157" i="31" l="1"/>
  <c r="GW156" i="31"/>
  <c r="HC156" i="31" s="1"/>
  <c r="FA157" i="31" s="1"/>
  <c r="HB157" i="31" s="1"/>
  <c r="GY156" i="31"/>
  <c r="GX156" i="31"/>
  <c r="JH156" i="31"/>
  <c r="JI156" i="31" s="1"/>
  <c r="IT156" i="31"/>
  <c r="BI157" i="31"/>
  <c r="BK157" i="31" s="1"/>
  <c r="BH157" i="31"/>
  <c r="BL157" i="31" l="1"/>
  <c r="BM157" i="31"/>
  <c r="BJ157" i="31"/>
  <c r="JK156" i="31"/>
  <c r="JN156" i="31" s="1"/>
  <c r="JV156" i="31" s="1"/>
  <c r="JF157" i="31" s="1"/>
  <c r="HM156" i="31"/>
  <c r="EY156" i="31"/>
  <c r="EG156" i="31"/>
  <c r="EH157" i="31" s="1"/>
  <c r="EI157" i="31" s="1"/>
  <c r="FK157" i="31" s="1"/>
  <c r="HK157" i="31"/>
  <c r="JW157" i="31" l="1"/>
  <c r="JY157" i="31"/>
  <c r="EZ156" i="31"/>
  <c r="DG156" i="31"/>
  <c r="DH156" i="31" s="1"/>
  <c r="DI157" i="31" s="1"/>
  <c r="EJ156" i="31"/>
  <c r="EK157" i="31" s="1"/>
  <c r="ED156" i="31"/>
  <c r="EB157" i="31" s="1"/>
  <c r="EE156" i="31"/>
  <c r="EF157" i="31" s="1"/>
  <c r="JZ156" i="31"/>
  <c r="KF156" i="31" s="1"/>
  <c r="IQ157" i="31" s="1"/>
  <c r="JL156" i="31"/>
  <c r="JJ157" i="31" s="1"/>
  <c r="KA157" i="31"/>
  <c r="JM156" i="31"/>
  <c r="KD156" i="31" s="1"/>
  <c r="IL157" i="31" s="1"/>
  <c r="BN157" i="31"/>
  <c r="BO157" i="31"/>
  <c r="EO157" i="31" l="1"/>
  <c r="ES158" i="31" s="1"/>
  <c r="EP157" i="31"/>
  <c r="ET158" i="31" s="1"/>
  <c r="EL157" i="31"/>
  <c r="FC157" i="31"/>
  <c r="EV157" i="31"/>
  <c r="JA157" i="31"/>
  <c r="IY157" i="31"/>
  <c r="IR157" i="31"/>
  <c r="JE157" i="31"/>
  <c r="JO157" i="31"/>
  <c r="GZ157" i="31"/>
  <c r="IE157" i="31" s="1"/>
  <c r="DJ157" i="31"/>
  <c r="DK157" i="31" s="1"/>
  <c r="JC157" i="31"/>
  <c r="JD157" i="31"/>
  <c r="IO157" i="31"/>
  <c r="IP157" i="31"/>
  <c r="BP157" i="31"/>
  <c r="BQ157" i="31" s="1"/>
  <c r="DP157" i="31"/>
  <c r="HZ157" i="31"/>
  <c r="BS157" i="31" l="1"/>
  <c r="BU157" i="31" s="1"/>
  <c r="BR157" i="31"/>
  <c r="JX157" i="31"/>
  <c r="KG157" i="31"/>
  <c r="JP157" i="31"/>
  <c r="JQ157" i="31" s="1"/>
  <c r="EC157" i="31"/>
  <c r="FQ157" i="31"/>
  <c r="DM157" i="31"/>
  <c r="DX157" i="31"/>
  <c r="BT157" i="31" l="1"/>
  <c r="EX157" i="31"/>
  <c r="M157" i="31" s="1"/>
  <c r="FB157" i="31"/>
  <c r="DL157" i="31"/>
  <c r="L158" i="31"/>
  <c r="BV157" i="31"/>
  <c r="BW157" i="31" s="1"/>
  <c r="BY157" i="31" l="1"/>
  <c r="BX157" i="31"/>
  <c r="MB157" i="31"/>
  <c r="MJ157" i="31"/>
  <c r="NS157" i="31" s="1"/>
  <c r="NM157" i="31" l="1"/>
  <c r="NN157" i="31" s="1"/>
  <c r="NT157" i="31"/>
  <c r="OU158" i="31"/>
  <c r="BZ157" i="31"/>
  <c r="CA157" i="31"/>
  <c r="OV158" i="31" l="1"/>
  <c r="NW157" i="31"/>
  <c r="CB157" i="31"/>
  <c r="CC157" i="31" s="1"/>
  <c r="FV157" i="31"/>
  <c r="CX157" i="31"/>
  <c r="FR157" i="31"/>
  <c r="NU157" i="31"/>
  <c r="NX157" i="31"/>
  <c r="CE157" i="31" l="1"/>
  <c r="CG157" i="31" s="1"/>
  <c r="CD157" i="31"/>
  <c r="MY157" i="31"/>
  <c r="NZ157" i="31"/>
  <c r="CY158" i="31"/>
  <c r="NY157" i="31"/>
  <c r="NV157" i="31"/>
  <c r="OF157" i="31"/>
  <c r="OS158" i="31" s="1"/>
  <c r="CF157" i="31" l="1"/>
  <c r="OA157" i="31"/>
  <c r="MV158" i="31" s="1"/>
  <c r="OG158" i="31" s="1"/>
  <c r="CH157" i="31"/>
  <c r="CI157" i="31" s="1"/>
  <c r="NF158" i="31"/>
  <c r="OO158" i="31"/>
  <c r="OM158" i="31"/>
  <c r="OB157" i="31"/>
  <c r="OT158" i="31" s="1"/>
  <c r="OI157" i="31"/>
  <c r="MZ158" i="31"/>
  <c r="OZ157" i="31"/>
  <c r="KT158" i="31" l="1"/>
  <c r="KL158" i="31" s="1"/>
  <c r="KN159" i="31" s="1"/>
  <c r="MR158" i="31"/>
  <c r="OW157" i="31"/>
  <c r="OX158" i="31"/>
  <c r="PA157" i="31"/>
  <c r="OC157" i="31"/>
  <c r="OD158" i="31" s="1"/>
  <c r="OH158" i="31" s="1"/>
  <c r="OK158" i="31" s="1"/>
  <c r="CJ157" i="31"/>
  <c r="CO157" i="31" s="1"/>
  <c r="CK157" i="31"/>
  <c r="OJ157" i="31"/>
  <c r="KM158" i="31" l="1"/>
  <c r="KO159" i="31" s="1"/>
  <c r="KP159" i="31" s="1"/>
  <c r="OY158" i="31"/>
  <c r="MW158" i="31"/>
  <c r="MS158" i="31"/>
  <c r="CL157" i="31"/>
  <c r="CM157" i="31"/>
  <c r="CN157" i="31" s="1"/>
  <c r="KQ158" i="31"/>
  <c r="KR158" i="31" l="1"/>
  <c r="KS158" i="31" s="1"/>
  <c r="CP157" i="31"/>
  <c r="FU157" i="31" s="1"/>
  <c r="FW157" i="31" s="1"/>
  <c r="NP158" i="31"/>
  <c r="MO158" i="31"/>
  <c r="NH159" i="31"/>
  <c r="NI159" i="31" s="1"/>
  <c r="NJ158" i="31"/>
  <c r="MU158" i="31"/>
  <c r="MT158" i="31"/>
  <c r="NQ158" i="31"/>
  <c r="PE158" i="31"/>
  <c r="MX158" i="31"/>
  <c r="KU157" i="31" l="1"/>
  <c r="FH157" i="31"/>
  <c r="FI157" i="31" s="1"/>
  <c r="HU157" i="31" s="1"/>
  <c r="HV158" i="31" s="1"/>
  <c r="FE157" i="31"/>
  <c r="FF157" i="31" s="1"/>
  <c r="FG158" i="31" s="1"/>
  <c r="FP157" i="31"/>
  <c r="FS157" i="31" s="1"/>
  <c r="DY157" i="31" s="1"/>
  <c r="KX157" i="31"/>
  <c r="GN157" i="31" s="1"/>
  <c r="DQ157" i="31"/>
  <c r="DR157" i="31" s="1"/>
  <c r="DS157" i="31" s="1"/>
  <c r="AX157" i="31" s="1"/>
  <c r="AY158" i="31" s="1"/>
  <c r="CQ157" i="31"/>
  <c r="CS157" i="31" s="1"/>
  <c r="FX157" i="31"/>
  <c r="FY157" i="31" s="1"/>
  <c r="FZ157" i="31"/>
  <c r="GA157" i="31" s="1"/>
  <c r="HO157" i="31"/>
  <c r="HP157" i="31" s="1"/>
  <c r="JR157" i="31"/>
  <c r="JS157" i="31" s="1"/>
  <c r="JT158" i="31" s="1"/>
  <c r="GO157" i="31"/>
  <c r="GB157" i="31"/>
  <c r="GC157" i="31" s="1"/>
  <c r="NR158" i="31"/>
  <c r="NB158" i="31"/>
  <c r="NA158" i="31"/>
  <c r="NK158" i="31"/>
  <c r="NL158" i="31"/>
  <c r="NG159" i="31"/>
  <c r="OQ159" i="31"/>
  <c r="FJ158" i="31" l="1"/>
  <c r="GQ157" i="31"/>
  <c r="HY157" i="31"/>
  <c r="HA157" i="31"/>
  <c r="HW157" i="31"/>
  <c r="HX158" i="31" s="1"/>
  <c r="KV157" i="31"/>
  <c r="CR157" i="31"/>
  <c r="KC157" i="31"/>
  <c r="KE157" i="31"/>
  <c r="JU157" i="31"/>
  <c r="IZ157" i="31"/>
  <c r="IA157" i="31"/>
  <c r="IB157" i="31" s="1"/>
  <c r="CT157" i="31"/>
  <c r="EM157" i="31"/>
  <c r="EW157" i="31" s="1"/>
  <c r="EN157" i="31"/>
  <c r="AZ157" i="31"/>
  <c r="OR159" i="31"/>
  <c r="HT157" i="31"/>
  <c r="HS157" i="31"/>
  <c r="JG157" i="31" s="1"/>
  <c r="NC159" i="31"/>
  <c r="MQ159" i="31"/>
  <c r="KW158" i="31" l="1"/>
  <c r="HQ157" i="31"/>
  <c r="HR158" i="31" s="1"/>
  <c r="BB158" i="31"/>
  <c r="DW157" i="31"/>
  <c r="DU158" i="31" s="1"/>
  <c r="EQ157" i="31"/>
  <c r="ER158" i="31"/>
  <c r="IU157" i="31"/>
  <c r="IV157" i="31" s="1"/>
  <c r="IC157" i="31"/>
  <c r="ID157" i="31" s="1"/>
  <c r="IF157" i="31" s="1"/>
  <c r="KH157" i="31" s="1"/>
  <c r="JB157" i="31"/>
  <c r="IW157" i="31" l="1"/>
  <c r="KB157" i="31" s="1"/>
  <c r="IX157" i="31"/>
  <c r="KK157" i="31"/>
  <c r="EU158" i="31"/>
  <c r="GM157" i="31"/>
  <c r="IM157" i="31"/>
  <c r="DB157" i="31"/>
  <c r="DC157" i="31" s="1"/>
  <c r="DD158" i="31" s="1"/>
  <c r="DE159" i="31" s="1"/>
  <c r="KI158" i="31"/>
  <c r="IN157" i="31"/>
  <c r="DF157" i="31"/>
  <c r="BC158" i="31"/>
  <c r="DT157" i="31" l="1"/>
  <c r="DZ157" i="31" s="1"/>
  <c r="GT159" i="31"/>
  <c r="KJ158" i="31"/>
  <c r="GR157" i="31"/>
  <c r="BE158" i="31"/>
  <c r="BD158" i="31"/>
  <c r="FD157" i="31"/>
  <c r="GU157" i="31"/>
  <c r="GV157" i="31"/>
  <c r="BG158" i="31" l="1"/>
  <c r="BF158" i="31"/>
  <c r="GS157" i="31"/>
  <c r="IS157" i="31"/>
  <c r="FL158" i="31"/>
  <c r="JH157" i="31" l="1"/>
  <c r="JI157" i="31" s="1"/>
  <c r="IT157" i="31"/>
  <c r="FM158" i="31"/>
  <c r="GY157" i="31"/>
  <c r="GW157" i="31"/>
  <c r="HC157" i="31" s="1"/>
  <c r="FA158" i="31" s="1"/>
  <c r="HB158" i="31" s="1"/>
  <c r="GX157" i="31"/>
  <c r="BI158" i="31"/>
  <c r="BK158" i="31" s="1"/>
  <c r="BH158" i="31"/>
  <c r="BJ158" i="31" l="1"/>
  <c r="EG157" i="31"/>
  <c r="EH158" i="31" s="1"/>
  <c r="EI158" i="31" s="1"/>
  <c r="FK158" i="31" s="1"/>
  <c r="EY157" i="31"/>
  <c r="HM157" i="31"/>
  <c r="HK158" i="31"/>
  <c r="BL158" i="31"/>
  <c r="BM158" i="31"/>
  <c r="JK157" i="31"/>
  <c r="JZ157" i="31" s="1"/>
  <c r="KF157" i="31" s="1"/>
  <c r="IQ158" i="31" s="1"/>
  <c r="JM157" i="31" l="1"/>
  <c r="KD157" i="31" s="1"/>
  <c r="IL158" i="31" s="1"/>
  <c r="JE158" i="31" s="1"/>
  <c r="EJ157" i="31"/>
  <c r="EK158" i="31" s="1"/>
  <c r="EE157" i="31"/>
  <c r="EF158" i="31" s="1"/>
  <c r="ED157" i="31"/>
  <c r="EB158" i="31" s="1"/>
  <c r="JA158" i="31" s="1"/>
  <c r="JN157" i="31"/>
  <c r="JV157" i="31" s="1"/>
  <c r="JF158" i="31" s="1"/>
  <c r="JL157" i="31"/>
  <c r="JJ158" i="31" s="1"/>
  <c r="KA158" i="31"/>
  <c r="EZ157" i="31"/>
  <c r="DG157" i="31"/>
  <c r="DH157" i="31" s="1"/>
  <c r="DI158" i="31" s="1"/>
  <c r="BN158" i="31"/>
  <c r="BO158" i="31"/>
  <c r="IO158" i="31" l="1"/>
  <c r="IR158" i="31"/>
  <c r="IP158" i="31"/>
  <c r="HZ158" i="31"/>
  <c r="JY158" i="31"/>
  <c r="JW158" i="31"/>
  <c r="EO158" i="31"/>
  <c r="ES159" i="31" s="1"/>
  <c r="EL158" i="31"/>
  <c r="JX158" i="31" s="1"/>
  <c r="FC158" i="31"/>
  <c r="EP158" i="31"/>
  <c r="ET159" i="31" s="1"/>
  <c r="EV158" i="31"/>
  <c r="JO158" i="31"/>
  <c r="DJ158" i="31"/>
  <c r="DK158" i="31" s="1"/>
  <c r="GZ158" i="31"/>
  <c r="KG158" i="31" s="1"/>
  <c r="IY158" i="31"/>
  <c r="BP158" i="31"/>
  <c r="BQ158" i="31" s="1"/>
  <c r="BR158" i="31" s="1"/>
  <c r="JC158" i="31"/>
  <c r="JD158" i="31"/>
  <c r="DP158" i="31"/>
  <c r="JP158" i="31" l="1"/>
  <c r="JQ158" i="31" s="1"/>
  <c r="BS158" i="31"/>
  <c r="BU158" i="31" s="1"/>
  <c r="BV158" i="31" s="1"/>
  <c r="DX158" i="31"/>
  <c r="DM158" i="31"/>
  <c r="FQ158" i="31"/>
  <c r="EC158" i="31"/>
  <c r="IE158" i="31"/>
  <c r="BT158" i="31" l="1"/>
  <c r="FB158" i="31"/>
  <c r="EX158" i="31"/>
  <c r="M158" i="31" s="1"/>
  <c r="DL158" i="31"/>
  <c r="L159" i="31"/>
  <c r="BW158" i="31"/>
  <c r="BX158" i="31" l="1"/>
  <c r="BY158" i="31"/>
  <c r="MB158" i="31"/>
  <c r="NM158" i="31" s="1"/>
  <c r="NN158" i="31" s="1"/>
  <c r="MJ158" i="31"/>
  <c r="NS158" i="31" s="1"/>
  <c r="NT158" i="31" l="1"/>
  <c r="OU159" i="31"/>
  <c r="BZ158" i="31"/>
  <c r="CA158" i="31"/>
  <c r="OV159" i="31"/>
  <c r="NW158" i="31"/>
  <c r="NX158" i="31" s="1"/>
  <c r="CB158" i="31" l="1"/>
  <c r="CC158" i="31" s="1"/>
  <c r="OF158" i="31"/>
  <c r="OS159" i="31" s="1"/>
  <c r="NY158" i="31"/>
  <c r="FV158" i="31"/>
  <c r="FR158" i="31"/>
  <c r="CX158" i="31"/>
  <c r="NU158" i="31"/>
  <c r="CD158" i="31" l="1"/>
  <c r="CE158" i="31"/>
  <c r="CF158" i="31" s="1"/>
  <c r="NV158" i="31"/>
  <c r="NZ158" i="31"/>
  <c r="OA158" i="31" s="1"/>
  <c r="MV159" i="31" s="1"/>
  <c r="MY158" i="31"/>
  <c r="CY159" i="31"/>
  <c r="OB158" i="31"/>
  <c r="OT159" i="31" s="1"/>
  <c r="CG158" i="31" l="1"/>
  <c r="CH158" i="31" s="1"/>
  <c r="CI158" i="31" s="1"/>
  <c r="CJ158" i="31" s="1"/>
  <c r="CO158" i="31" s="1"/>
  <c r="OC158" i="31"/>
  <c r="OD159" i="31" s="1"/>
  <c r="OH159" i="31" s="1"/>
  <c r="NF159" i="31"/>
  <c r="OO159" i="31"/>
  <c r="KT159" i="31" s="1"/>
  <c r="OM159" i="31"/>
  <c r="OG159" i="31"/>
  <c r="OJ158" i="31"/>
  <c r="MZ159" i="31"/>
  <c r="OZ158" i="31"/>
  <c r="PA158" i="31"/>
  <c r="OI158" i="31"/>
  <c r="CK158" i="31" l="1"/>
  <c r="CL158" i="31" s="1"/>
  <c r="KM159" i="31"/>
  <c r="KO160" i="31" s="1"/>
  <c r="KL159" i="31"/>
  <c r="KN160" i="31" s="1"/>
  <c r="OX159" i="31"/>
  <c r="OW158" i="31"/>
  <c r="MR159" i="31"/>
  <c r="OK159" i="31"/>
  <c r="OY159" i="31"/>
  <c r="MW159" i="31"/>
  <c r="CM158" i="31" l="1"/>
  <c r="CN158" i="31" s="1"/>
  <c r="CP158" i="31" s="1"/>
  <c r="HO158" i="31" s="1"/>
  <c r="MS159" i="31"/>
  <c r="KQ159" i="31"/>
  <c r="MX159" i="31"/>
  <c r="KP160" i="31"/>
  <c r="KR159" i="31"/>
  <c r="DQ158" i="31" l="1"/>
  <c r="DR158" i="31" s="1"/>
  <c r="DS158" i="31" s="1"/>
  <c r="AX158" i="31" s="1"/>
  <c r="AY159" i="31" s="1"/>
  <c r="KU158" i="31"/>
  <c r="FE158" i="31"/>
  <c r="FF158" i="31" s="1"/>
  <c r="HW158" i="31" s="1"/>
  <c r="HX159" i="31" s="1"/>
  <c r="GB158" i="31"/>
  <c r="GC158" i="31" s="1"/>
  <c r="KX158" i="31"/>
  <c r="GN158" i="31" s="1"/>
  <c r="FX158" i="31"/>
  <c r="FY158" i="31" s="1"/>
  <c r="FU158" i="31"/>
  <c r="FW158" i="31" s="1"/>
  <c r="FP158" i="31"/>
  <c r="FS158" i="31" s="1"/>
  <c r="DY158" i="31" s="1"/>
  <c r="FZ158" i="31"/>
  <c r="GA158" i="31" s="1"/>
  <c r="FH158" i="31"/>
  <c r="FI158" i="31" s="1"/>
  <c r="HU158" i="31" s="1"/>
  <c r="HV159" i="31" s="1"/>
  <c r="GO158" i="31"/>
  <c r="CQ158" i="31"/>
  <c r="CS158" i="31" s="1"/>
  <c r="JR158" i="31"/>
  <c r="JS158" i="31" s="1"/>
  <c r="JU158" i="31" s="1"/>
  <c r="KS159" i="31"/>
  <c r="HP158" i="31"/>
  <c r="IA158" i="31"/>
  <c r="IB158" i="31" s="1"/>
  <c r="IZ158" i="31"/>
  <c r="NA159" i="31"/>
  <c r="NB159" i="31"/>
  <c r="MO159" i="31"/>
  <c r="NQ159" i="31"/>
  <c r="NH160" i="31"/>
  <c r="NI160" i="31" s="1"/>
  <c r="NP159" i="31"/>
  <c r="MU159" i="31"/>
  <c r="MT159" i="31"/>
  <c r="NJ159" i="31"/>
  <c r="PE159" i="31"/>
  <c r="FG159" i="31" l="1"/>
  <c r="FJ159" i="31"/>
  <c r="GQ158" i="31"/>
  <c r="KC158" i="31"/>
  <c r="JT159" i="31"/>
  <c r="KV158" i="31"/>
  <c r="KE158" i="31"/>
  <c r="HY158" i="31"/>
  <c r="CR158" i="31"/>
  <c r="CT158" i="31"/>
  <c r="HA158" i="31"/>
  <c r="NR159" i="31"/>
  <c r="NL159" i="31"/>
  <c r="NK159" i="31"/>
  <c r="NG160" i="31"/>
  <c r="OQ160" i="31"/>
  <c r="HT158" i="31"/>
  <c r="HS158" i="31"/>
  <c r="JG158" i="31" s="1"/>
  <c r="EM158" i="31"/>
  <c r="EW158" i="31" s="1"/>
  <c r="AZ158" i="31"/>
  <c r="EN158" i="31"/>
  <c r="KW159" i="31" l="1"/>
  <c r="HQ158" i="31"/>
  <c r="HR159" i="31" s="1"/>
  <c r="OR160" i="31"/>
  <c r="NC160" i="31"/>
  <c r="MQ160" i="31"/>
  <c r="BB159" i="31"/>
  <c r="IW158" i="31"/>
  <c r="EQ158" i="31"/>
  <c r="DW158" i="31"/>
  <c r="DU159" i="31" s="1"/>
  <c r="ER159" i="31"/>
  <c r="IU158" i="31"/>
  <c r="IV158" i="31" s="1"/>
  <c r="IC158" i="31"/>
  <c r="ID158" i="31" s="1"/>
  <c r="IF158" i="31" s="1"/>
  <c r="KH158" i="31" s="1"/>
  <c r="JB158" i="31"/>
  <c r="IM158" i="31" l="1"/>
  <c r="GM158" i="31"/>
  <c r="DB158" i="31"/>
  <c r="DC158" i="31" s="1"/>
  <c r="DD159" i="31" s="1"/>
  <c r="DE160" i="31" s="1"/>
  <c r="KI159" i="31"/>
  <c r="IN158" i="31"/>
  <c r="DF158" i="31"/>
  <c r="BC159" i="31"/>
  <c r="KB158" i="31"/>
  <c r="IX158" i="31"/>
  <c r="KK158" i="31"/>
  <c r="EU159" i="31"/>
  <c r="DT158" i="31" l="1"/>
  <c r="DZ158" i="31" s="1"/>
  <c r="GT160" i="31"/>
  <c r="GR158" i="31"/>
  <c r="KJ159" i="31"/>
  <c r="FD158" i="31"/>
  <c r="GU158" i="31"/>
  <c r="GV158" i="31"/>
  <c r="BE159" i="31"/>
  <c r="BD159" i="31"/>
  <c r="IS158" i="31" l="1"/>
  <c r="FL159" i="31"/>
  <c r="GS158" i="31"/>
  <c r="BF159" i="31"/>
  <c r="BG159" i="31"/>
  <c r="BH159" i="31" l="1"/>
  <c r="BI159" i="31"/>
  <c r="BK159" i="31" s="1"/>
  <c r="FM159" i="31"/>
  <c r="GX158" i="31"/>
  <c r="GY158" i="31"/>
  <c r="GW158" i="31"/>
  <c r="HC158" i="31" s="1"/>
  <c r="FA159" i="31" s="1"/>
  <c r="HB159" i="31" s="1"/>
  <c r="JH158" i="31"/>
  <c r="JI158" i="31" s="1"/>
  <c r="IT158" i="31"/>
  <c r="JK158" i="31" l="1"/>
  <c r="JZ158" i="31" s="1"/>
  <c r="KF158" i="31" s="1"/>
  <c r="IQ159" i="31" s="1"/>
  <c r="BL159" i="31"/>
  <c r="BM159" i="31"/>
  <c r="EY158" i="31"/>
  <c r="HM158" i="31"/>
  <c r="EG158" i="31"/>
  <c r="EH159" i="31" s="1"/>
  <c r="EI159" i="31" s="1"/>
  <c r="FK159" i="31" s="1"/>
  <c r="HK159" i="31"/>
  <c r="BJ159" i="31"/>
  <c r="JM158" i="31" l="1"/>
  <c r="KD158" i="31" s="1"/>
  <c r="IL159" i="31" s="1"/>
  <c r="JE159" i="31" s="1"/>
  <c r="JN158" i="31"/>
  <c r="JV158" i="31" s="1"/>
  <c r="JF159" i="31" s="1"/>
  <c r="JW159" i="31" s="1"/>
  <c r="BO159" i="31"/>
  <c r="BN159" i="31"/>
  <c r="JL158" i="31"/>
  <c r="JJ159" i="31" s="1"/>
  <c r="KA159" i="31"/>
  <c r="EJ158" i="31"/>
  <c r="EK159" i="31" s="1"/>
  <c r="EE158" i="31"/>
  <c r="EF159" i="31" s="1"/>
  <c r="ED158" i="31"/>
  <c r="EB159" i="31" s="1"/>
  <c r="EZ158" i="31"/>
  <c r="DG158" i="31"/>
  <c r="DH158" i="31" s="1"/>
  <c r="DI159" i="31" s="1"/>
  <c r="JY159" i="31" l="1"/>
  <c r="IR159" i="31"/>
  <c r="JO159" i="31"/>
  <c r="FC159" i="31"/>
  <c r="EL159" i="31"/>
  <c r="JX159" i="31" s="1"/>
  <c r="EP159" i="31"/>
  <c r="ET160" i="31" s="1"/>
  <c r="EO159" i="31"/>
  <c r="ES160" i="31" s="1"/>
  <c r="EV159" i="31"/>
  <c r="JC159" i="31"/>
  <c r="JD159" i="31"/>
  <c r="BP159" i="31"/>
  <c r="BQ159" i="31" s="1"/>
  <c r="HZ159" i="31"/>
  <c r="GZ159" i="31"/>
  <c r="IE159" i="31" s="1"/>
  <c r="DJ159" i="31"/>
  <c r="DK159" i="31" s="1"/>
  <c r="DP159" i="31"/>
  <c r="IY159" i="31"/>
  <c r="IP159" i="31"/>
  <c r="IO159" i="31"/>
  <c r="JA159" i="31"/>
  <c r="BR159" i="31" l="1"/>
  <c r="BS159" i="31"/>
  <c r="BU159" i="31" s="1"/>
  <c r="KG159" i="31"/>
  <c r="FQ159" i="31"/>
  <c r="DX159" i="31"/>
  <c r="DM159" i="31"/>
  <c r="JP159" i="31"/>
  <c r="JQ159" i="31" s="1"/>
  <c r="EC159" i="31"/>
  <c r="BT159" i="31" l="1"/>
  <c r="EX159" i="31"/>
  <c r="M159" i="31" s="1"/>
  <c r="FB159" i="31"/>
  <c r="BV159" i="31"/>
  <c r="BW159" i="31" s="1"/>
  <c r="DL159" i="31"/>
  <c r="L160" i="31"/>
  <c r="BY159" i="31" l="1"/>
  <c r="BX159" i="31"/>
  <c r="MB159" i="31"/>
  <c r="NM159" i="31" s="1"/>
  <c r="NN159" i="31" s="1"/>
  <c r="MJ159" i="31"/>
  <c r="NS159" i="31" s="1"/>
  <c r="OV160" i="31" l="1"/>
  <c r="NW159" i="31"/>
  <c r="NT159" i="31"/>
  <c r="OU160" i="31"/>
  <c r="BZ159" i="31"/>
  <c r="CA159" i="31"/>
  <c r="CB159" i="31" l="1"/>
  <c r="CC159" i="31" s="1"/>
  <c r="FV159" i="31"/>
  <c r="FR159" i="31"/>
  <c r="CX159" i="31"/>
  <c r="NU159" i="31"/>
  <c r="NX159" i="31"/>
  <c r="OF159" i="31" s="1"/>
  <c r="OS160" i="31" s="1"/>
  <c r="CE159" i="31" l="1"/>
  <c r="CD159" i="31"/>
  <c r="NV159" i="31"/>
  <c r="NZ159" i="31"/>
  <c r="MY159" i="31"/>
  <c r="CY160" i="31"/>
  <c r="NY159" i="31"/>
  <c r="CF159" i="31" l="1"/>
  <c r="CG159" i="31"/>
  <c r="CH159" i="31" s="1"/>
  <c r="CI159" i="31" s="1"/>
  <c r="OB159" i="31"/>
  <c r="OT160" i="31" s="1"/>
  <c r="OM160" i="31"/>
  <c r="OO160" i="31"/>
  <c r="NF160" i="31"/>
  <c r="OA159" i="31"/>
  <c r="MV160" i="31" s="1"/>
  <c r="OG160" i="31" s="1"/>
  <c r="MZ160" i="31"/>
  <c r="OZ159" i="31"/>
  <c r="OI159" i="31"/>
  <c r="KT160" i="31" l="1"/>
  <c r="KM160" i="31" s="1"/>
  <c r="KO161" i="31" s="1"/>
  <c r="MR160" i="31"/>
  <c r="OW159" i="31"/>
  <c r="OX160" i="31"/>
  <c r="PA159" i="31"/>
  <c r="OJ159" i="31"/>
  <c r="CJ159" i="31"/>
  <c r="CO159" i="31" s="1"/>
  <c r="CK159" i="31"/>
  <c r="OC159" i="31"/>
  <c r="OD160" i="31" s="1"/>
  <c r="OH160" i="31" s="1"/>
  <c r="OK160" i="31" s="1"/>
  <c r="KL160" i="31" l="1"/>
  <c r="KN161" i="31" s="1"/>
  <c r="KP161" i="31" s="1"/>
  <c r="CL159" i="31"/>
  <c r="CM159" i="31"/>
  <c r="CN159" i="31" s="1"/>
  <c r="OY160" i="31"/>
  <c r="MW160" i="31"/>
  <c r="KR160" i="31"/>
  <c r="MS160" i="31"/>
  <c r="KQ160" i="31" l="1"/>
  <c r="KS160" i="31" s="1"/>
  <c r="NQ160" i="31"/>
  <c r="NH161" i="31"/>
  <c r="NI161" i="31" s="1"/>
  <c r="MT160" i="31"/>
  <c r="MU160" i="31"/>
  <c r="MO160" i="31"/>
  <c r="NP160" i="31"/>
  <c r="NJ160" i="31"/>
  <c r="PE160" i="31"/>
  <c r="MX160" i="31"/>
  <c r="CP159" i="31"/>
  <c r="NA160" i="31" l="1"/>
  <c r="NB160" i="31"/>
  <c r="GB159" i="31"/>
  <c r="GC159" i="31" s="1"/>
  <c r="GO159" i="31"/>
  <c r="JR159" i="31"/>
  <c r="JS159" i="31" s="1"/>
  <c r="FZ159" i="31"/>
  <c r="GA159" i="31" s="1"/>
  <c r="FU159" i="31"/>
  <c r="FW159" i="31" s="1"/>
  <c r="FE159" i="31"/>
  <c r="FF159" i="31" s="1"/>
  <c r="FP159" i="31"/>
  <c r="FS159" i="31" s="1"/>
  <c r="HO159" i="31"/>
  <c r="FX159" i="31"/>
  <c r="FY159" i="31" s="1"/>
  <c r="DQ159" i="31"/>
  <c r="DR159" i="31" s="1"/>
  <c r="FH159" i="31"/>
  <c r="FI159" i="31" s="1"/>
  <c r="CQ159" i="31"/>
  <c r="KX159" i="31"/>
  <c r="GN159" i="31" s="1"/>
  <c r="KU159" i="31"/>
  <c r="NL160" i="31"/>
  <c r="NK160" i="31"/>
  <c r="NG161" i="31"/>
  <c r="OQ161" i="31"/>
  <c r="NR160" i="31"/>
  <c r="CS159" i="31" l="1"/>
  <c r="CT159" i="31"/>
  <c r="CR159" i="31"/>
  <c r="KE159" i="31"/>
  <c r="JU159" i="31"/>
  <c r="JT160" i="31"/>
  <c r="KC159" i="31"/>
  <c r="DS159" i="31"/>
  <c r="AX159" i="31" s="1"/>
  <c r="AY160" i="31" s="1"/>
  <c r="NC161" i="31"/>
  <c r="MQ161" i="31"/>
  <c r="HP159" i="31"/>
  <c r="IA159" i="31"/>
  <c r="IB159" i="31" s="1"/>
  <c r="IZ159" i="31"/>
  <c r="OR161" i="31"/>
  <c r="HA159" i="31"/>
  <c r="DY159" i="31"/>
  <c r="HY159" i="31"/>
  <c r="HU159" i="31"/>
  <c r="HV160" i="31" s="1"/>
  <c r="FJ160" i="31"/>
  <c r="FG160" i="31"/>
  <c r="HW159" i="31"/>
  <c r="HX160" i="31" s="1"/>
  <c r="GQ159" i="31"/>
  <c r="KV159" i="31"/>
  <c r="KW160" i="31" l="1"/>
  <c r="HQ159" i="31"/>
  <c r="HR160" i="31" s="1"/>
  <c r="AZ159" i="31"/>
  <c r="EN159" i="31"/>
  <c r="EM159" i="31"/>
  <c r="EW159" i="31" s="1"/>
  <c r="HT159" i="31"/>
  <c r="HS159" i="31"/>
  <c r="JG159" i="31" s="1"/>
  <c r="BB160" i="31" l="1"/>
  <c r="DW159" i="31"/>
  <c r="DU160" i="31" s="1"/>
  <c r="EQ159" i="31"/>
  <c r="ER160" i="31"/>
  <c r="IU159" i="31"/>
  <c r="IV159" i="31" s="1"/>
  <c r="IC159" i="31"/>
  <c r="ID159" i="31" s="1"/>
  <c r="IF159" i="31" s="1"/>
  <c r="KH159" i="31" s="1"/>
  <c r="JB159" i="31"/>
  <c r="IW159" i="31" l="1"/>
  <c r="KB159" i="31" s="1"/>
  <c r="IX159" i="31"/>
  <c r="KK159" i="31"/>
  <c r="EU160" i="31"/>
  <c r="BC160" i="31"/>
  <c r="GM159" i="31"/>
  <c r="IM159" i="31"/>
  <c r="DT159" i="31" s="1"/>
  <c r="DZ159" i="31" s="1"/>
  <c r="DB159" i="31"/>
  <c r="DC159" i="31" s="1"/>
  <c r="DD160" i="31" s="1"/>
  <c r="DE161" i="31" s="1"/>
  <c r="KI160" i="31"/>
  <c r="IN159" i="31"/>
  <c r="DF159" i="31"/>
  <c r="GT161" i="31" l="1"/>
  <c r="FD159" i="31"/>
  <c r="GV159" i="31"/>
  <c r="GU159" i="31"/>
  <c r="KJ160" i="31"/>
  <c r="BD160" i="31"/>
  <c r="BE160" i="31"/>
  <c r="GR159" i="31"/>
  <c r="IS159" i="31" l="1"/>
  <c r="FL160" i="31"/>
  <c r="GS159" i="31"/>
  <c r="BF160" i="31"/>
  <c r="BG160" i="31"/>
  <c r="GW159" i="31" l="1"/>
  <c r="HC159" i="31" s="1"/>
  <c r="FA160" i="31" s="1"/>
  <c r="HB160" i="31" s="1"/>
  <c r="GX159" i="31"/>
  <c r="GY159" i="31"/>
  <c r="FM160" i="31"/>
  <c r="BI160" i="31"/>
  <c r="BK160" i="31" s="1"/>
  <c r="BH160" i="31"/>
  <c r="JH159" i="31"/>
  <c r="JI159" i="31" s="1"/>
  <c r="IT159" i="31"/>
  <c r="BL160" i="31" l="1"/>
  <c r="BM160" i="31"/>
  <c r="EG159" i="31"/>
  <c r="EH160" i="31" s="1"/>
  <c r="EI160" i="31" s="1"/>
  <c r="FK160" i="31" s="1"/>
  <c r="HM159" i="31"/>
  <c r="EY159" i="31"/>
  <c r="HK160" i="31"/>
  <c r="JK159" i="31"/>
  <c r="JZ159" i="31" s="1"/>
  <c r="KF159" i="31" s="1"/>
  <c r="IQ160" i="31" s="1"/>
  <c r="BJ160" i="31"/>
  <c r="JM159" i="31" l="1"/>
  <c r="KD159" i="31" s="1"/>
  <c r="IL160" i="31" s="1"/>
  <c r="IR160" i="31" s="1"/>
  <c r="JN159" i="31"/>
  <c r="JV159" i="31" s="1"/>
  <c r="JF160" i="31" s="1"/>
  <c r="JW160" i="31" s="1"/>
  <c r="ED159" i="31"/>
  <c r="EB160" i="31" s="1"/>
  <c r="JA160" i="31" s="1"/>
  <c r="EJ159" i="31"/>
  <c r="EK160" i="31" s="1"/>
  <c r="EE159" i="31"/>
  <c r="EF160" i="31" s="1"/>
  <c r="BN160" i="31"/>
  <c r="BO160" i="31"/>
  <c r="EZ159" i="31"/>
  <c r="DG159" i="31"/>
  <c r="DH159" i="31" s="1"/>
  <c r="DI160" i="31" s="1"/>
  <c r="JL159" i="31"/>
  <c r="JJ160" i="31" s="1"/>
  <c r="KA160" i="31"/>
  <c r="IP160" i="31" l="1"/>
  <c r="JE160" i="31"/>
  <c r="JO160" i="31"/>
  <c r="JY160" i="31"/>
  <c r="JC160" i="31"/>
  <c r="JD160" i="31"/>
  <c r="HZ160" i="31"/>
  <c r="IY160" i="31"/>
  <c r="BP160" i="31"/>
  <c r="BQ160" i="31" s="1"/>
  <c r="DP160" i="31"/>
  <c r="IO160" i="31"/>
  <c r="GZ160" i="31"/>
  <c r="IE160" i="31" s="1"/>
  <c r="DJ160" i="31"/>
  <c r="DK160" i="31" s="1"/>
  <c r="EO160" i="31"/>
  <c r="ES161" i="31" s="1"/>
  <c r="EL160" i="31"/>
  <c r="EP160" i="31"/>
  <c r="ET161" i="31" s="1"/>
  <c r="FC160" i="31"/>
  <c r="EV160" i="31"/>
  <c r="BR160" i="31" l="1"/>
  <c r="BS160" i="31"/>
  <c r="BU160" i="31" s="1"/>
  <c r="JP160" i="31"/>
  <c r="JQ160" i="31" s="1"/>
  <c r="KG160" i="31"/>
  <c r="EC160" i="31"/>
  <c r="FQ160" i="31"/>
  <c r="DM160" i="31"/>
  <c r="DX160" i="31"/>
  <c r="JX160" i="31"/>
  <c r="BT160" i="31" l="1"/>
  <c r="DL160" i="31"/>
  <c r="L161" i="31"/>
  <c r="BV160" i="31"/>
  <c r="BW160" i="31" s="1"/>
  <c r="EX160" i="31"/>
  <c r="M160" i="31" s="1"/>
  <c r="FB160" i="31"/>
  <c r="BY160" i="31" l="1"/>
  <c r="BX160" i="31"/>
  <c r="MJ160" i="31"/>
  <c r="NS160" i="31" s="1"/>
  <c r="MB160" i="31"/>
  <c r="NM160" i="31" s="1"/>
  <c r="NN160" i="31" s="1"/>
  <c r="NT160" i="31" l="1"/>
  <c r="OU161" i="31"/>
  <c r="OV161" i="31"/>
  <c r="NW160" i="31"/>
  <c r="NX160" i="31" s="1"/>
  <c r="BZ160" i="31"/>
  <c r="CA160" i="31"/>
  <c r="CB160" i="31" l="1"/>
  <c r="CC160" i="31" s="1"/>
  <c r="OF160" i="31"/>
  <c r="OS161" i="31" s="1"/>
  <c r="NY160" i="31"/>
  <c r="CX160" i="31"/>
  <c r="FR160" i="31"/>
  <c r="FV160" i="31"/>
  <c r="NU160" i="31"/>
  <c r="CE160" i="31" l="1"/>
  <c r="CD160" i="31"/>
  <c r="NV160" i="31"/>
  <c r="OB160" i="31"/>
  <c r="OT161" i="31" s="1"/>
  <c r="MY160" i="31"/>
  <c r="NZ160" i="31"/>
  <c r="OA160" i="31" s="1"/>
  <c r="MV161" i="31" s="1"/>
  <c r="OG161" i="31" s="1"/>
  <c r="CY161" i="31"/>
  <c r="CF160" i="31" l="1"/>
  <c r="CG160" i="31"/>
  <c r="CH160" i="31" s="1"/>
  <c r="CI160" i="31" s="1"/>
  <c r="CK160" i="31" s="1"/>
  <c r="PA160" i="31"/>
  <c r="MZ161" i="31"/>
  <c r="OZ160" i="31"/>
  <c r="OI160" i="31"/>
  <c r="OJ160" i="31"/>
  <c r="OC160" i="31"/>
  <c r="OD161" i="31" s="1"/>
  <c r="OH161" i="31" s="1"/>
  <c r="OK161" i="31" s="1"/>
  <c r="OO161" i="31"/>
  <c r="KT161" i="31" s="1"/>
  <c r="NF161" i="31"/>
  <c r="OM161" i="31"/>
  <c r="CJ160" i="31" l="1"/>
  <c r="CO160" i="31" s="1"/>
  <c r="CM160" i="31"/>
  <c r="CN160" i="31" s="1"/>
  <c r="OW160" i="31"/>
  <c r="OX161" i="31"/>
  <c r="MR161" i="31"/>
  <c r="OY161" i="31"/>
  <c r="MW161" i="31"/>
  <c r="KL161" i="31"/>
  <c r="KN162" i="31" s="1"/>
  <c r="KM161" i="31"/>
  <c r="KO162" i="31" s="1"/>
  <c r="CL160" i="31" l="1"/>
  <c r="CP160" i="31" s="1"/>
  <c r="MX161" i="31"/>
  <c r="MS161" i="31"/>
  <c r="KP162" i="31"/>
  <c r="KR161" i="31"/>
  <c r="KQ161" i="31"/>
  <c r="KS161" i="31" l="1"/>
  <c r="CQ160" i="31"/>
  <c r="FE160" i="31"/>
  <c r="FF160" i="31" s="1"/>
  <c r="HO160" i="31"/>
  <c r="FZ160" i="31"/>
  <c r="GA160" i="31" s="1"/>
  <c r="FU160" i="31"/>
  <c r="FW160" i="31" s="1"/>
  <c r="FX160" i="31"/>
  <c r="FY160" i="31" s="1"/>
  <c r="GO160" i="31"/>
  <c r="GB160" i="31"/>
  <c r="GC160" i="31" s="1"/>
  <c r="DQ160" i="31"/>
  <c r="DR160" i="31" s="1"/>
  <c r="FP160" i="31"/>
  <c r="FS160" i="31" s="1"/>
  <c r="JR160" i="31"/>
  <c r="JS160" i="31" s="1"/>
  <c r="FH160" i="31"/>
  <c r="FI160" i="31" s="1"/>
  <c r="KX160" i="31"/>
  <c r="KU160" i="31"/>
  <c r="NA161" i="31"/>
  <c r="NB161" i="31"/>
  <c r="MU161" i="31"/>
  <c r="NQ161" i="31"/>
  <c r="NH162" i="31"/>
  <c r="NI162" i="31" s="1"/>
  <c r="MT161" i="31"/>
  <c r="NJ161" i="31"/>
  <c r="NP161" i="31"/>
  <c r="MO161" i="31"/>
  <c r="PE161" i="31"/>
  <c r="GN160" i="31" l="1"/>
  <c r="GQ160" i="31" s="1"/>
  <c r="NL161" i="31"/>
  <c r="NK161" i="31"/>
  <c r="NG162" i="31"/>
  <c r="OQ162" i="31"/>
  <c r="HU160" i="31"/>
  <c r="HV161" i="31" s="1"/>
  <c r="FJ161" i="31"/>
  <c r="KE160" i="31"/>
  <c r="KC160" i="31"/>
  <c r="JU160" i="31"/>
  <c r="JT161" i="31"/>
  <c r="HP160" i="31"/>
  <c r="IA160" i="31"/>
  <c r="IB160" i="31" s="1"/>
  <c r="IZ160" i="31"/>
  <c r="NR161" i="31"/>
  <c r="HY160" i="31"/>
  <c r="HA160" i="31"/>
  <c r="DY160" i="31"/>
  <c r="FG161" i="31"/>
  <c r="HW160" i="31"/>
  <c r="HX161" i="31" s="1"/>
  <c r="DS160" i="31"/>
  <c r="AX160" i="31" s="1"/>
  <c r="AY161" i="31" s="1"/>
  <c r="CR160" i="31"/>
  <c r="CS160" i="31"/>
  <c r="CT160" i="31"/>
  <c r="KV160" i="31" l="1"/>
  <c r="KW161" i="31" s="1"/>
  <c r="HQ160" i="31"/>
  <c r="HR161" i="31" s="1"/>
  <c r="OR162" i="31"/>
  <c r="EM160" i="31"/>
  <c r="EW160" i="31" s="1"/>
  <c r="AZ160" i="31"/>
  <c r="EN160" i="31"/>
  <c r="HS160" i="31"/>
  <c r="JG160" i="31" s="1"/>
  <c r="HT160" i="31"/>
  <c r="NC162" i="31"/>
  <c r="MQ162" i="31"/>
  <c r="BB161" i="31" l="1"/>
  <c r="DW160" i="31"/>
  <c r="DU161" i="31" s="1"/>
  <c r="EQ160" i="31"/>
  <c r="ER161" i="31"/>
  <c r="IU160" i="31"/>
  <c r="IV160" i="31" s="1"/>
  <c r="IC160" i="31"/>
  <c r="ID160" i="31" s="1"/>
  <c r="IF160" i="31" s="1"/>
  <c r="KH160" i="31" s="1"/>
  <c r="JB160" i="31"/>
  <c r="IW160" i="31" l="1"/>
  <c r="KB160" i="31" s="1"/>
  <c r="IX160" i="31"/>
  <c r="KK160" i="31"/>
  <c r="EU161" i="31"/>
  <c r="IM160" i="31"/>
  <c r="GM160" i="31"/>
  <c r="DB160" i="31"/>
  <c r="DC160" i="31" s="1"/>
  <c r="DD161" i="31" s="1"/>
  <c r="DE162" i="31" s="1"/>
  <c r="KI161" i="31"/>
  <c r="IN160" i="31"/>
  <c r="DF160" i="31"/>
  <c r="BC161" i="31"/>
  <c r="DT160" i="31" l="1"/>
  <c r="DZ160" i="31" s="1"/>
  <c r="GT162" i="31"/>
  <c r="KJ161" i="31"/>
  <c r="GR160" i="31"/>
  <c r="BE161" i="31"/>
  <c r="BD161" i="31"/>
  <c r="GV160" i="31"/>
  <c r="GU160" i="31"/>
  <c r="FD160" i="31"/>
  <c r="BF161" i="31" l="1"/>
  <c r="BG161" i="31"/>
  <c r="IS160" i="31"/>
  <c r="FL161" i="31"/>
  <c r="GS160" i="31"/>
  <c r="JH160" i="31" l="1"/>
  <c r="JI160" i="31" s="1"/>
  <c r="IT160" i="31"/>
  <c r="GW160" i="31"/>
  <c r="HC160" i="31" s="1"/>
  <c r="FA161" i="31" s="1"/>
  <c r="HB161" i="31" s="1"/>
  <c r="GX160" i="31"/>
  <c r="GY160" i="31"/>
  <c r="BI161" i="31"/>
  <c r="BK161" i="31" s="1"/>
  <c r="BH161" i="31"/>
  <c r="FM161" i="31"/>
  <c r="BL161" i="31" l="1"/>
  <c r="BM161" i="31"/>
  <c r="BJ161" i="31"/>
  <c r="EY160" i="31"/>
  <c r="EG160" i="31"/>
  <c r="EH161" i="31" s="1"/>
  <c r="EI161" i="31" s="1"/>
  <c r="FK161" i="31" s="1"/>
  <c r="HM160" i="31"/>
  <c r="HK161" i="31"/>
  <c r="JK160" i="31"/>
  <c r="JZ160" i="31" s="1"/>
  <c r="KF160" i="31" s="1"/>
  <c r="IQ161" i="31" s="1"/>
  <c r="JM160" i="31" l="1"/>
  <c r="KD160" i="31" s="1"/>
  <c r="IL161" i="31" s="1"/>
  <c r="JE161" i="31" s="1"/>
  <c r="JN160" i="31"/>
  <c r="JV160" i="31" s="1"/>
  <c r="JF161" i="31" s="1"/>
  <c r="JY161" i="31" s="1"/>
  <c r="EZ160" i="31"/>
  <c r="DG160" i="31"/>
  <c r="DH160" i="31" s="1"/>
  <c r="DI161" i="31" s="1"/>
  <c r="JL160" i="31"/>
  <c r="JJ161" i="31" s="1"/>
  <c r="KA161" i="31"/>
  <c r="BN161" i="31"/>
  <c r="BO161" i="31"/>
  <c r="BP161" i="31" s="1"/>
  <c r="EE160" i="31"/>
  <c r="EF161" i="31" s="1"/>
  <c r="EJ160" i="31"/>
  <c r="EK161" i="31" s="1"/>
  <c r="ED160" i="31"/>
  <c r="EB161" i="31" s="1"/>
  <c r="JA161" i="31" s="1"/>
  <c r="IR161" i="31" l="1"/>
  <c r="IO161" i="31"/>
  <c r="JO161" i="31"/>
  <c r="JW161" i="31"/>
  <c r="BQ161" i="31"/>
  <c r="BR161" i="31" s="1"/>
  <c r="IY161" i="31"/>
  <c r="JC161" i="31"/>
  <c r="JD161" i="31"/>
  <c r="HZ161" i="31"/>
  <c r="IP161" i="31"/>
  <c r="DP161" i="31"/>
  <c r="GZ161" i="31"/>
  <c r="IE161" i="31" s="1"/>
  <c r="DJ161" i="31"/>
  <c r="DK161" i="31" s="1"/>
  <c r="FC161" i="31"/>
  <c r="EO161" i="31"/>
  <c r="ES162" i="31" s="1"/>
  <c r="EL161" i="31"/>
  <c r="JX161" i="31" s="1"/>
  <c r="EP161" i="31"/>
  <c r="ET162" i="31" s="1"/>
  <c r="EV161" i="31"/>
  <c r="JP161" i="31" l="1"/>
  <c r="JQ161" i="31" s="1"/>
  <c r="BS161" i="31"/>
  <c r="BT161" i="31" s="1"/>
  <c r="KG161" i="31"/>
  <c r="EC161" i="31"/>
  <c r="DM161" i="31"/>
  <c r="DX161" i="31"/>
  <c r="FQ161" i="31"/>
  <c r="BU161" i="31" l="1"/>
  <c r="BV161" i="31" s="1"/>
  <c r="BW161" i="31" s="1"/>
  <c r="DL161" i="31"/>
  <c r="L162" i="31"/>
  <c r="FB161" i="31"/>
  <c r="EX161" i="31"/>
  <c r="M161" i="31" s="1"/>
  <c r="MJ161" i="31" l="1"/>
  <c r="NS161" i="31" s="1"/>
  <c r="MB161" i="31"/>
  <c r="NM161" i="31" s="1"/>
  <c r="NN161" i="31" s="1"/>
  <c r="BY161" i="31"/>
  <c r="BX161" i="31"/>
  <c r="OV162" i="31" l="1"/>
  <c r="NW161" i="31"/>
  <c r="NX161" i="31" s="1"/>
  <c r="BZ161" i="31"/>
  <c r="CA161" i="31"/>
  <c r="NT161" i="31"/>
  <c r="OU162" i="31"/>
  <c r="CX161" i="31" l="1"/>
  <c r="FR161" i="31"/>
  <c r="FV161" i="31"/>
  <c r="NU161" i="31"/>
  <c r="OF161" i="31"/>
  <c r="OS162" i="31" s="1"/>
  <c r="NY161" i="31"/>
  <c r="CB161" i="31"/>
  <c r="CC161" i="31" s="1"/>
  <c r="CE161" i="31" l="1"/>
  <c r="CD161" i="31"/>
  <c r="OB161" i="31"/>
  <c r="OT162" i="31" s="1"/>
  <c r="NV161" i="31"/>
  <c r="MY161" i="31"/>
  <c r="NZ161" i="31"/>
  <c r="CY162" i="31"/>
  <c r="CF161" i="31" l="1"/>
  <c r="CG161" i="31"/>
  <c r="CH161" i="31" s="1"/>
  <c r="OC161" i="31"/>
  <c r="OD162" i="31" s="1"/>
  <c r="OH162" i="31" s="1"/>
  <c r="OJ161" i="31"/>
  <c r="MW162" i="31" s="1"/>
  <c r="MZ162" i="31"/>
  <c r="OZ161" i="31"/>
  <c r="OI161" i="31"/>
  <c r="OA161" i="31"/>
  <c r="MV162" i="31" s="1"/>
  <c r="OM162" i="31"/>
  <c r="NF162" i="31"/>
  <c r="OO162" i="31"/>
  <c r="PA161" i="31"/>
  <c r="CI161" i="31" l="1"/>
  <c r="OY162" i="31"/>
  <c r="KT162" i="31"/>
  <c r="OG162" i="31"/>
  <c r="OK162" i="31" s="1"/>
  <c r="OX162" i="31"/>
  <c r="OW161" i="31"/>
  <c r="MR162" i="31"/>
  <c r="MX162" i="31"/>
  <c r="CJ161" i="31" l="1"/>
  <c r="CO161" i="31" s="1"/>
  <c r="CK161" i="31"/>
  <c r="MS162" i="31"/>
  <c r="KM162" i="31"/>
  <c r="KO163" i="31" s="1"/>
  <c r="KL162" i="31"/>
  <c r="KN163" i="31" s="1"/>
  <c r="NA162" i="31"/>
  <c r="NB162" i="31"/>
  <c r="CL161" i="31" l="1"/>
  <c r="CM161" i="31"/>
  <c r="CN161" i="31" s="1"/>
  <c r="KP163" i="31"/>
  <c r="KR162" i="31"/>
  <c r="KQ162" i="31"/>
  <c r="MT162" i="31"/>
  <c r="NQ162" i="31"/>
  <c r="NJ162" i="31"/>
  <c r="NP162" i="31"/>
  <c r="MU162" i="31"/>
  <c r="MO162" i="31"/>
  <c r="NH163" i="31"/>
  <c r="NI163" i="31" s="1"/>
  <c r="PE162" i="31"/>
  <c r="CP161" i="31" l="1"/>
  <c r="KS162" i="31"/>
  <c r="NR162" i="31"/>
  <c r="NK162" i="31"/>
  <c r="NL162" i="31"/>
  <c r="NG163" i="31"/>
  <c r="OQ163" i="31"/>
  <c r="GB161" i="31" l="1"/>
  <c r="GC161" i="31" s="1"/>
  <c r="FU161" i="31"/>
  <c r="FW161" i="31" s="1"/>
  <c r="FX161" i="31"/>
  <c r="FY161" i="31" s="1"/>
  <c r="FZ161" i="31"/>
  <c r="GA161" i="31" s="1"/>
  <c r="JR161" i="31"/>
  <c r="JS161" i="31" s="1"/>
  <c r="KX161" i="31"/>
  <c r="HO161" i="31"/>
  <c r="KU161" i="31"/>
  <c r="FP161" i="31"/>
  <c r="FS161" i="31" s="1"/>
  <c r="GO161" i="31"/>
  <c r="DQ161" i="31"/>
  <c r="DR161" i="31" s="1"/>
  <c r="DS161" i="31" s="1"/>
  <c r="AX161" i="31" s="1"/>
  <c r="AY162" i="31" s="1"/>
  <c r="FE161" i="31"/>
  <c r="FF161" i="31" s="1"/>
  <c r="FH161" i="31"/>
  <c r="FI161" i="31" s="1"/>
  <c r="CQ161" i="31"/>
  <c r="OR163" i="31"/>
  <c r="NC163" i="31"/>
  <c r="MQ163" i="31"/>
  <c r="GN161" i="31" l="1"/>
  <c r="GQ161" i="31" s="1"/>
  <c r="AZ161" i="31"/>
  <c r="HA161" i="31"/>
  <c r="HY161" i="31"/>
  <c r="DY161" i="31"/>
  <c r="IA161" i="31"/>
  <c r="IB161" i="31" s="1"/>
  <c r="HP161" i="31"/>
  <c r="IZ161" i="31"/>
  <c r="HW161" i="31"/>
  <c r="HX162" i="31" s="1"/>
  <c r="FG162" i="31"/>
  <c r="CS161" i="31"/>
  <c r="CR161" i="31"/>
  <c r="CT161" i="31"/>
  <c r="EN161" i="31"/>
  <c r="EQ161" i="31" s="1"/>
  <c r="EM161" i="31"/>
  <c r="EW161" i="31" s="1"/>
  <c r="FJ162" i="31"/>
  <c r="HU161" i="31"/>
  <c r="HV162" i="31" s="1"/>
  <c r="KE161" i="31"/>
  <c r="JT162" i="31"/>
  <c r="JU161" i="31"/>
  <c r="KC161" i="31"/>
  <c r="KV161" i="31" l="1"/>
  <c r="KW162" i="31" s="1"/>
  <c r="HQ161" i="31"/>
  <c r="HR162" i="31" s="1"/>
  <c r="BB162" i="31"/>
  <c r="BC162" i="31" s="1"/>
  <c r="DW161" i="31"/>
  <c r="DU162" i="31" s="1"/>
  <c r="HS161" i="31"/>
  <c r="JG161" i="31" s="1"/>
  <c r="HT161" i="31"/>
  <c r="ER162" i="31"/>
  <c r="EU162" i="31" s="1"/>
  <c r="IU161" i="31"/>
  <c r="IV161" i="31" s="1"/>
  <c r="IX161" i="31" s="1"/>
  <c r="IW161" i="31" l="1"/>
  <c r="KB161" i="31" s="1"/>
  <c r="KK161" i="31"/>
  <c r="IC161" i="31"/>
  <c r="ID161" i="31" s="1"/>
  <c r="IF161" i="31" s="1"/>
  <c r="KH161" i="31" s="1"/>
  <c r="JB161" i="31"/>
  <c r="BD162" i="31"/>
  <c r="BE162" i="31"/>
  <c r="KI162" i="31" l="1"/>
  <c r="KJ162" i="31" s="1"/>
  <c r="GM161" i="31"/>
  <c r="DF161" i="31"/>
  <c r="DB161" i="31"/>
  <c r="DC161" i="31" s="1"/>
  <c r="DD162" i="31" s="1"/>
  <c r="DE163" i="31" s="1"/>
  <c r="IM161" i="31"/>
  <c r="DT161" i="31" s="1"/>
  <c r="DZ161" i="31" s="1"/>
  <c r="IN161" i="31"/>
  <c r="BF162" i="31"/>
  <c r="BG162" i="31"/>
  <c r="GT163" i="31" l="1"/>
  <c r="GR161" i="31"/>
  <c r="GU161" i="31"/>
  <c r="GV161" i="31"/>
  <c r="FD161" i="31"/>
  <c r="BI162" i="31"/>
  <c r="BK162" i="31" s="1"/>
  <c r="BH162" i="31"/>
  <c r="FL162" i="31" l="1"/>
  <c r="FM162" i="31" s="1"/>
  <c r="IS161" i="31"/>
  <c r="GS161" i="31"/>
  <c r="BL162" i="31"/>
  <c r="BM162" i="31"/>
  <c r="BJ162" i="31"/>
  <c r="GX161" i="31" l="1"/>
  <c r="GY161" i="31"/>
  <c r="GW161" i="31"/>
  <c r="HC161" i="31" s="1"/>
  <c r="FA162" i="31" s="1"/>
  <c r="HB162" i="31" s="1"/>
  <c r="JH161" i="31"/>
  <c r="JI161" i="31" s="1"/>
  <c r="JK161" i="31" s="1"/>
  <c r="JZ161" i="31" s="1"/>
  <c r="KF161" i="31" s="1"/>
  <c r="IQ162" i="31" s="1"/>
  <c r="IT161" i="31"/>
  <c r="BN162" i="31"/>
  <c r="BO162" i="31"/>
  <c r="JM161" i="31" l="1"/>
  <c r="KD161" i="31" s="1"/>
  <c r="IL162" i="31" s="1"/>
  <c r="IR162" i="31" s="1"/>
  <c r="JL161" i="31"/>
  <c r="JJ162" i="31" s="1"/>
  <c r="JN161" i="31"/>
  <c r="JV161" i="31" s="1"/>
  <c r="JF162" i="31" s="1"/>
  <c r="KA162" i="31"/>
  <c r="HZ162" i="31" s="1"/>
  <c r="EY161" i="31"/>
  <c r="HK162" i="31"/>
  <c r="HM161" i="31"/>
  <c r="EG161" i="31"/>
  <c r="EH162" i="31" s="1"/>
  <c r="EI162" i="31" s="1"/>
  <c r="FK162" i="31" s="1"/>
  <c r="BP162" i="31"/>
  <c r="BQ162" i="31" s="1"/>
  <c r="JE162" i="31" l="1"/>
  <c r="JO162" i="31"/>
  <c r="JY162" i="31"/>
  <c r="JW162" i="31"/>
  <c r="EZ161" i="31"/>
  <c r="DG161" i="31"/>
  <c r="DH161" i="31" s="1"/>
  <c r="DI162" i="31" s="1"/>
  <c r="EJ161" i="31"/>
  <c r="EK162" i="31" s="1"/>
  <c r="EE161" i="31"/>
  <c r="EF162" i="31" s="1"/>
  <c r="ED161" i="31"/>
  <c r="EB162" i="31" s="1"/>
  <c r="BR162" i="31"/>
  <c r="BS162" i="31"/>
  <c r="BT162" i="31" l="1"/>
  <c r="JA162" i="31"/>
  <c r="EV162" i="31"/>
  <c r="IY162" i="31"/>
  <c r="EO162" i="31"/>
  <c r="ES163" i="31" s="1"/>
  <c r="EP162" i="31"/>
  <c r="ET163" i="31" s="1"/>
  <c r="FC162" i="31"/>
  <c r="EL162" i="31"/>
  <c r="IP162" i="31"/>
  <c r="GZ162" i="31"/>
  <c r="IO162" i="31"/>
  <c r="DJ162" i="31"/>
  <c r="DK162" i="31" s="1"/>
  <c r="DP162" i="31"/>
  <c r="JC162" i="31"/>
  <c r="JD162" i="31"/>
  <c r="BU162" i="31"/>
  <c r="BV162" i="31" s="1"/>
  <c r="BW162" i="31" s="1"/>
  <c r="JP162" i="31" l="1"/>
  <c r="JQ162" i="31" s="1"/>
  <c r="EC162" i="31"/>
  <c r="JX162" i="31"/>
  <c r="DX162" i="31"/>
  <c r="DM162" i="31"/>
  <c r="FQ162" i="31"/>
  <c r="IE162" i="31"/>
  <c r="KG162" i="31"/>
  <c r="BY162" i="31"/>
  <c r="BX162" i="31"/>
  <c r="L163" i="31" l="1"/>
  <c r="DL162" i="31"/>
  <c r="EX162" i="31"/>
  <c r="M162" i="31" s="1"/>
  <c r="FB162" i="31"/>
  <c r="BZ162" i="31"/>
  <c r="CA162" i="31"/>
  <c r="MB162" i="31" l="1"/>
  <c r="NM162" i="31" s="1"/>
  <c r="NN162" i="31" s="1"/>
  <c r="MJ162" i="31"/>
  <c r="NS162" i="31" s="1"/>
  <c r="CB162" i="31"/>
  <c r="CC162" i="31" s="1"/>
  <c r="OU163" i="31" l="1"/>
  <c r="NT162" i="31"/>
  <c r="NW162" i="31"/>
  <c r="NX162" i="31" s="1"/>
  <c r="OF162" i="31" s="1"/>
  <c r="OS163" i="31" s="1"/>
  <c r="OV163" i="31"/>
  <c r="CE162" i="31"/>
  <c r="CF162" i="31" s="1"/>
  <c r="CD162" i="31"/>
  <c r="CG162" i="31" l="1"/>
  <c r="CH162" i="31" s="1"/>
  <c r="CI162" i="31" s="1"/>
  <c r="FV162" i="31"/>
  <c r="CX162" i="31"/>
  <c r="NU162" i="31"/>
  <c r="NV162" i="31" s="1"/>
  <c r="FR162" i="31"/>
  <c r="NY162" i="31"/>
  <c r="OB162" i="31" s="1"/>
  <c r="OT163" i="31" s="1"/>
  <c r="NZ162" i="31" l="1"/>
  <c r="OA162" i="31" s="1"/>
  <c r="MV163" i="31" s="1"/>
  <c r="OG163" i="31" s="1"/>
  <c r="MY162" i="31"/>
  <c r="PA162" i="31" s="1"/>
  <c r="CY163" i="31"/>
  <c r="CJ162" i="31"/>
  <c r="CO162" i="31" s="1"/>
  <c r="CK162" i="31"/>
  <c r="OC162" i="31" l="1"/>
  <c r="OD163" i="31" s="1"/>
  <c r="OH163" i="31" s="1"/>
  <c r="OK163" i="31" s="1"/>
  <c r="OJ162" i="31"/>
  <c r="OY163" i="31" s="1"/>
  <c r="OO163" i="31"/>
  <c r="KT163" i="31" s="1"/>
  <c r="KM163" i="31" s="1"/>
  <c r="KO164" i="31" s="1"/>
  <c r="OM163" i="31"/>
  <c r="NF163" i="31"/>
  <c r="OI162" i="31"/>
  <c r="MZ163" i="31"/>
  <c r="OZ162" i="31"/>
  <c r="CL162" i="31"/>
  <c r="CM162" i="31"/>
  <c r="CN162" i="31" s="1"/>
  <c r="KL163" i="31" l="1"/>
  <c r="KN164" i="31" s="1"/>
  <c r="KQ163" i="31" s="1"/>
  <c r="MW163" i="31"/>
  <c r="MX163" i="31" s="1"/>
  <c r="NB163" i="31" s="1"/>
  <c r="OW162" i="31"/>
  <c r="MR163" i="31"/>
  <c r="MS163" i="31" s="1"/>
  <c r="OX163" i="31"/>
  <c r="CP162" i="31"/>
  <c r="KR163" i="31"/>
  <c r="KP164" i="31" l="1"/>
  <c r="NA163" i="31"/>
  <c r="NP163" i="31"/>
  <c r="PE163" i="31"/>
  <c r="MT163" i="31"/>
  <c r="NJ163" i="31"/>
  <c r="MO163" i="31"/>
  <c r="NQ163" i="31"/>
  <c r="NR163" i="31" s="1"/>
  <c r="MU163" i="31"/>
  <c r="NH164" i="31"/>
  <c r="NI164" i="31" s="1"/>
  <c r="KS163" i="31"/>
  <c r="GO162" i="31"/>
  <c r="HO162" i="31"/>
  <c r="GB162" i="31"/>
  <c r="GC162" i="31" s="1"/>
  <c r="FP162" i="31"/>
  <c r="FS162" i="31" s="1"/>
  <c r="CQ162" i="31"/>
  <c r="FH162" i="31"/>
  <c r="FI162" i="31" s="1"/>
  <c r="FE162" i="31"/>
  <c r="FF162" i="31" s="1"/>
  <c r="FX162" i="31"/>
  <c r="FY162" i="31" s="1"/>
  <c r="FU162" i="31"/>
  <c r="FW162" i="31" s="1"/>
  <c r="DQ162" i="31"/>
  <c r="DR162" i="31" s="1"/>
  <c r="JR162" i="31"/>
  <c r="JS162" i="31" s="1"/>
  <c r="FZ162" i="31"/>
  <c r="GA162" i="31" s="1"/>
  <c r="KX162" i="31"/>
  <c r="KU162" i="31"/>
  <c r="GN162" i="31" l="1"/>
  <c r="KV162" i="31" s="1"/>
  <c r="NG164" i="31"/>
  <c r="OQ164" i="31"/>
  <c r="OR164" i="31" s="1"/>
  <c r="NL163" i="31"/>
  <c r="NK163" i="31"/>
  <c r="HW162" i="31"/>
  <c r="HX163" i="31" s="1"/>
  <c r="FG163" i="31"/>
  <c r="HU162" i="31"/>
  <c r="HV163" i="31" s="1"/>
  <c r="FJ163" i="31"/>
  <c r="CR162" i="31"/>
  <c r="CS162" i="31"/>
  <c r="CT162" i="31"/>
  <c r="DY162" i="31"/>
  <c r="HA162" i="31"/>
  <c r="HY162" i="31"/>
  <c r="JU162" i="31"/>
  <c r="KE162" i="31"/>
  <c r="JT163" i="31"/>
  <c r="KC162" i="31"/>
  <c r="DS162" i="31"/>
  <c r="AX162" i="31" s="1"/>
  <c r="AY163" i="31" s="1"/>
  <c r="HP162" i="31"/>
  <c r="IA162" i="31"/>
  <c r="IB162" i="31" s="1"/>
  <c r="IZ162" i="31"/>
  <c r="GQ162" i="31" l="1"/>
  <c r="KW163" i="31"/>
  <c r="HQ162" i="31"/>
  <c r="HR163" i="31" s="1"/>
  <c r="NC164" i="31"/>
  <c r="MQ164" i="31"/>
  <c r="HT162" i="31"/>
  <c r="HS162" i="31"/>
  <c r="JG162" i="31" s="1"/>
  <c r="EN162" i="31"/>
  <c r="AZ162" i="31"/>
  <c r="EM162" i="31"/>
  <c r="EW162" i="31" s="1"/>
  <c r="BB163" i="31" l="1"/>
  <c r="EQ162" i="31"/>
  <c r="DW162" i="31"/>
  <c r="DU163" i="31" s="1"/>
  <c r="ER163" i="31"/>
  <c r="IU162" i="31"/>
  <c r="IV162" i="31" s="1"/>
  <c r="IC162" i="31"/>
  <c r="ID162" i="31" s="1"/>
  <c r="IF162" i="31" s="1"/>
  <c r="KH162" i="31" s="1"/>
  <c r="JB162" i="31"/>
  <c r="IW162" i="31" l="1"/>
  <c r="KB162" i="31" s="1"/>
  <c r="EU163" i="31"/>
  <c r="IX162" i="31"/>
  <c r="KK162" i="31"/>
  <c r="DB162" i="31"/>
  <c r="DC162" i="31" s="1"/>
  <c r="DD163" i="31" s="1"/>
  <c r="DE164" i="31" s="1"/>
  <c r="IM162" i="31"/>
  <c r="GM162" i="31"/>
  <c r="KI163" i="31"/>
  <c r="IN162" i="31"/>
  <c r="DF162" i="31"/>
  <c r="BC163" i="31"/>
  <c r="DT162" i="31" l="1"/>
  <c r="DZ162" i="31" s="1"/>
  <c r="GT164" i="31"/>
  <c r="KJ163" i="31"/>
  <c r="GR162" i="31"/>
  <c r="BE163" i="31"/>
  <c r="BD163" i="31"/>
  <c r="FD162" i="31"/>
  <c r="GU162" i="31"/>
  <c r="GV162" i="31"/>
  <c r="BF163" i="31" l="1"/>
  <c r="BG163" i="31"/>
  <c r="GS162" i="31"/>
  <c r="IS162" i="31"/>
  <c r="FL163" i="31"/>
  <c r="JH162" i="31" l="1"/>
  <c r="JI162" i="31" s="1"/>
  <c r="IT162" i="31"/>
  <c r="FM163" i="31"/>
  <c r="BI163" i="31"/>
  <c r="BK163" i="31" s="1"/>
  <c r="BH163" i="31"/>
  <c r="GW162" i="31"/>
  <c r="HC162" i="31" s="1"/>
  <c r="FA163" i="31" s="1"/>
  <c r="HB163" i="31" s="1"/>
  <c r="GX162" i="31"/>
  <c r="GY162" i="31"/>
  <c r="BJ163" i="31" l="1"/>
  <c r="BL163" i="31"/>
  <c r="BM163" i="31"/>
  <c r="EY162" i="31"/>
  <c r="HM162" i="31"/>
  <c r="EG162" i="31"/>
  <c r="EH163" i="31" s="1"/>
  <c r="EI163" i="31" s="1"/>
  <c r="FK163" i="31" s="1"/>
  <c r="HK163" i="31"/>
  <c r="JK162" i="31"/>
  <c r="JZ162" i="31" s="1"/>
  <c r="KF162" i="31" s="1"/>
  <c r="IQ163" i="31" s="1"/>
  <c r="JM162" i="31" l="1"/>
  <c r="KD162" i="31" s="1"/>
  <c r="IL163" i="31" s="1"/>
  <c r="IR163" i="31" s="1"/>
  <c r="JN162" i="31"/>
  <c r="JV162" i="31" s="1"/>
  <c r="JF163" i="31" s="1"/>
  <c r="JY163" i="31" s="1"/>
  <c r="BN163" i="31"/>
  <c r="BO163" i="31"/>
  <c r="ED162" i="31"/>
  <c r="EB163" i="31" s="1"/>
  <c r="IY163" i="31" s="1"/>
  <c r="EJ162" i="31"/>
  <c r="EK163" i="31" s="1"/>
  <c r="EE162" i="31"/>
  <c r="EF163" i="31" s="1"/>
  <c r="JL162" i="31"/>
  <c r="JJ163" i="31" s="1"/>
  <c r="KA163" i="31"/>
  <c r="EZ162" i="31"/>
  <c r="DG162" i="31"/>
  <c r="DH162" i="31" s="1"/>
  <c r="DI163" i="31" s="1"/>
  <c r="JE163" i="31" l="1"/>
  <c r="IP163" i="31"/>
  <c r="JO163" i="31"/>
  <c r="JW163" i="31"/>
  <c r="IO163" i="31"/>
  <c r="JP163" i="31" s="1"/>
  <c r="JQ163" i="31" s="1"/>
  <c r="JA163" i="31"/>
  <c r="DP163" i="31"/>
  <c r="BP163" i="31"/>
  <c r="BQ163" i="31" s="1"/>
  <c r="HZ163" i="31"/>
  <c r="GZ163" i="31"/>
  <c r="IE163" i="31" s="1"/>
  <c r="DJ163" i="31"/>
  <c r="DK163" i="31" s="1"/>
  <c r="JC163" i="31"/>
  <c r="JD163" i="31"/>
  <c r="EL163" i="31"/>
  <c r="EP163" i="31"/>
  <c r="ET164" i="31" s="1"/>
  <c r="EO163" i="31"/>
  <c r="ES164" i="31" s="1"/>
  <c r="FC163" i="31"/>
  <c r="EV163" i="31"/>
  <c r="DX163" i="31" l="1"/>
  <c r="DM163" i="31"/>
  <c r="FQ163" i="31"/>
  <c r="BR163" i="31"/>
  <c r="BS163" i="31"/>
  <c r="EC163" i="31"/>
  <c r="JX163" i="31"/>
  <c r="KG163" i="31"/>
  <c r="FB163" i="31" l="1"/>
  <c r="EX163" i="31"/>
  <c r="M163" i="31" s="1"/>
  <c r="DL163" i="31"/>
  <c r="L164" i="31"/>
  <c r="BT163" i="31"/>
  <c r="BU163" i="31"/>
  <c r="MB163" i="31" l="1"/>
  <c r="NM163" i="31" s="1"/>
  <c r="NN163" i="31" s="1"/>
  <c r="MJ163" i="31"/>
  <c r="NS163" i="31" s="1"/>
  <c r="BV163" i="31"/>
  <c r="BW163" i="31" s="1"/>
  <c r="BX163" i="31" l="1"/>
  <c r="BY163" i="31"/>
  <c r="OV164" i="31"/>
  <c r="NW163" i="31"/>
  <c r="NX163" i="31" s="1"/>
  <c r="NT163" i="31"/>
  <c r="OU164" i="31"/>
  <c r="FV163" i="31" l="1"/>
  <c r="FR163" i="31"/>
  <c r="CX163" i="31"/>
  <c r="NU163" i="31"/>
  <c r="BZ163" i="31"/>
  <c r="CA163" i="31"/>
  <c r="OF163" i="31"/>
  <c r="OS164" i="31" s="1"/>
  <c r="NY163" i="31"/>
  <c r="CB163" i="31" l="1"/>
  <c r="CC163" i="31" s="1"/>
  <c r="NV163" i="31"/>
  <c r="OB163" i="31"/>
  <c r="OT164" i="31" s="1"/>
  <c r="MY163" i="31"/>
  <c r="NZ163" i="31"/>
  <c r="OA163" i="31" s="1"/>
  <c r="MV164" i="31" s="1"/>
  <c r="OG164" i="31" s="1"/>
  <c r="CY164" i="31"/>
  <c r="CD163" i="31" l="1"/>
  <c r="CE163" i="31"/>
  <c r="CF163" i="31" s="1"/>
  <c r="OM164" i="31"/>
  <c r="NF164" i="31"/>
  <c r="OO164" i="31"/>
  <c r="KT164" i="31" s="1"/>
  <c r="MZ164" i="31"/>
  <c r="OZ163" i="31"/>
  <c r="OJ163" i="31"/>
  <c r="OC163" i="31"/>
  <c r="OD164" i="31" s="1"/>
  <c r="OH164" i="31" s="1"/>
  <c r="OK164" i="31" s="1"/>
  <c r="PA163" i="31"/>
  <c r="OI163" i="31"/>
  <c r="CG163" i="31" l="1"/>
  <c r="CH163" i="31" s="1"/>
  <c r="CI163" i="31" s="1"/>
  <c r="CJ163" i="31" s="1"/>
  <c r="CO163" i="31" s="1"/>
  <c r="KL164" i="31"/>
  <c r="KN165" i="31" s="1"/>
  <c r="KM164" i="31"/>
  <c r="KO165" i="31" s="1"/>
  <c r="MW164" i="31"/>
  <c r="OY164" i="31"/>
  <c r="MR164" i="31"/>
  <c r="OX164" i="31"/>
  <c r="OW163" i="31"/>
  <c r="CK163" i="31" l="1"/>
  <c r="CL163" i="31" s="1"/>
  <c r="MX164" i="31"/>
  <c r="KP165" i="31"/>
  <c r="KR164" i="31"/>
  <c r="KQ164" i="31"/>
  <c r="MS164" i="31"/>
  <c r="CM163" i="31" l="1"/>
  <c r="CN163" i="31" s="1"/>
  <c r="CP163" i="31" s="1"/>
  <c r="MT164" i="31"/>
  <c r="NH165" i="31"/>
  <c r="NI165" i="31" s="1"/>
  <c r="MU164" i="31"/>
  <c r="NP164" i="31"/>
  <c r="NQ164" i="31"/>
  <c r="NJ164" i="31"/>
  <c r="MO164" i="31"/>
  <c r="PE164" i="31"/>
  <c r="KS164" i="31"/>
  <c r="NB164" i="31"/>
  <c r="NA164" i="31"/>
  <c r="NR164" i="31" l="1"/>
  <c r="NK164" i="31"/>
  <c r="NL164" i="31"/>
  <c r="NG165" i="31"/>
  <c r="OQ165" i="31"/>
  <c r="FE163" i="31"/>
  <c r="FF163" i="31" s="1"/>
  <c r="GB163" i="31"/>
  <c r="GC163" i="31" s="1"/>
  <c r="CQ163" i="31"/>
  <c r="FH163" i="31"/>
  <c r="FI163" i="31" s="1"/>
  <c r="JR163" i="31"/>
  <c r="JS163" i="31" s="1"/>
  <c r="FX163" i="31"/>
  <c r="FY163" i="31" s="1"/>
  <c r="FP163" i="31"/>
  <c r="FS163" i="31" s="1"/>
  <c r="FU163" i="31"/>
  <c r="FW163" i="31" s="1"/>
  <c r="FZ163" i="31"/>
  <c r="GA163" i="31" s="1"/>
  <c r="DQ163" i="31"/>
  <c r="DR163" i="31" s="1"/>
  <c r="HO163" i="31"/>
  <c r="GO163" i="31"/>
  <c r="KX163" i="31"/>
  <c r="KU163" i="31"/>
  <c r="GN163" i="31" l="1"/>
  <c r="GQ163" i="31" s="1"/>
  <c r="FG164" i="31"/>
  <c r="HW163" i="31"/>
  <c r="HX164" i="31" s="1"/>
  <c r="DY163" i="31"/>
  <c r="HY163" i="31"/>
  <c r="HA163" i="31"/>
  <c r="KC163" i="31"/>
  <c r="KE163" i="31"/>
  <c r="JT164" i="31"/>
  <c r="JU163" i="31"/>
  <c r="OR165" i="31"/>
  <c r="HU163" i="31"/>
  <c r="HV164" i="31" s="1"/>
  <c r="FJ164" i="31"/>
  <c r="IA163" i="31"/>
  <c r="IB163" i="31" s="1"/>
  <c r="HP163" i="31"/>
  <c r="IZ163" i="31"/>
  <c r="CT163" i="31"/>
  <c r="CR163" i="31"/>
  <c r="CS163" i="31"/>
  <c r="NC165" i="31"/>
  <c r="MQ165" i="31"/>
  <c r="DS163" i="31"/>
  <c r="AX163" i="31" s="1"/>
  <c r="AY164" i="31" s="1"/>
  <c r="KV163" i="31" l="1"/>
  <c r="KW164" i="31" s="1"/>
  <c r="HQ163" i="31"/>
  <c r="HR164" i="31" s="1"/>
  <c r="AZ163" i="31"/>
  <c r="EM163" i="31"/>
  <c r="EW163" i="31" s="1"/>
  <c r="EN163" i="31"/>
  <c r="HS163" i="31"/>
  <c r="JG163" i="31" s="1"/>
  <c r="HT163" i="31"/>
  <c r="IC163" i="31" l="1"/>
  <c r="ID163" i="31" s="1"/>
  <c r="IF163" i="31" s="1"/>
  <c r="KH163" i="31" s="1"/>
  <c r="JB163" i="31"/>
  <c r="BB164" i="31"/>
  <c r="EQ163" i="31"/>
  <c r="DW163" i="31"/>
  <c r="DU164" i="31" s="1"/>
  <c r="IW163" i="31"/>
  <c r="ER164" i="31"/>
  <c r="IU163" i="31"/>
  <c r="IV163" i="31" s="1"/>
  <c r="EU164" i="31" l="1"/>
  <c r="BC164" i="31"/>
  <c r="KB163" i="31"/>
  <c r="IX163" i="31"/>
  <c r="KK163" i="31"/>
  <c r="DB163" i="31"/>
  <c r="DC163" i="31" s="1"/>
  <c r="DD164" i="31" s="1"/>
  <c r="DE165" i="31" s="1"/>
  <c r="GM163" i="31"/>
  <c r="IM163" i="31"/>
  <c r="KI164" i="31"/>
  <c r="IN163" i="31"/>
  <c r="DF163" i="31"/>
  <c r="GT165" i="31" l="1"/>
  <c r="DT163" i="31"/>
  <c r="DZ163" i="31" s="1"/>
  <c r="FD163" i="31"/>
  <c r="GU163" i="31"/>
  <c r="GV163" i="31"/>
  <c r="BE164" i="31"/>
  <c r="BD164" i="31"/>
  <c r="KJ164" i="31"/>
  <c r="GR163" i="31"/>
  <c r="BF164" i="31" l="1"/>
  <c r="BG164" i="31"/>
  <c r="IS163" i="31"/>
  <c r="FL164" i="31"/>
  <c r="GS163" i="31"/>
  <c r="GX163" i="31" l="1"/>
  <c r="GW163" i="31"/>
  <c r="HC163" i="31" s="1"/>
  <c r="FA164" i="31" s="1"/>
  <c r="HB164" i="31" s="1"/>
  <c r="GY163" i="31"/>
  <c r="JH163" i="31"/>
  <c r="JI163" i="31" s="1"/>
  <c r="IT163" i="31"/>
  <c r="BI164" i="31"/>
  <c r="BK164" i="31" s="1"/>
  <c r="BH164" i="31"/>
  <c r="FM164" i="31"/>
  <c r="BJ164" i="31" l="1"/>
  <c r="BL164" i="31"/>
  <c r="BM164" i="31"/>
  <c r="JK163" i="31"/>
  <c r="JM163" i="31" s="1"/>
  <c r="KD163" i="31" s="1"/>
  <c r="IL164" i="31" s="1"/>
  <c r="HM163" i="31"/>
  <c r="EY163" i="31"/>
  <c r="EG163" i="31"/>
  <c r="EH164" i="31" s="1"/>
  <c r="EI164" i="31" s="1"/>
  <c r="FK164" i="31" s="1"/>
  <c r="HK164" i="31"/>
  <c r="JZ163" i="31" l="1"/>
  <c r="KF163" i="31" s="1"/>
  <c r="IQ164" i="31" s="1"/>
  <c r="JL163" i="31"/>
  <c r="JJ164" i="31" s="1"/>
  <c r="KA164" i="31"/>
  <c r="BN164" i="31"/>
  <c r="BO164" i="31"/>
  <c r="EZ163" i="31"/>
  <c r="DG163" i="31"/>
  <c r="DH163" i="31" s="1"/>
  <c r="DI164" i="31" s="1"/>
  <c r="JN163" i="31"/>
  <c r="JV163" i="31" s="1"/>
  <c r="JF164" i="31" s="1"/>
  <c r="EJ163" i="31"/>
  <c r="EK164" i="31" s="1"/>
  <c r="EE163" i="31"/>
  <c r="EF164" i="31" s="1"/>
  <c r="IP164" i="31" s="1"/>
  <c r="ED163" i="31"/>
  <c r="EB164" i="31" s="1"/>
  <c r="JY164" i="31" l="1"/>
  <c r="JW164" i="31"/>
  <c r="HZ164" i="31"/>
  <c r="DP164" i="31"/>
  <c r="JA164" i="31"/>
  <c r="IY164" i="31"/>
  <c r="IR164" i="31"/>
  <c r="JE164" i="31"/>
  <c r="JX164" i="31" s="1"/>
  <c r="EO164" i="31"/>
  <c r="ES165" i="31" s="1"/>
  <c r="FC164" i="31"/>
  <c r="EP164" i="31"/>
  <c r="ET165" i="31" s="1"/>
  <c r="EL164" i="31"/>
  <c r="EV164" i="31"/>
  <c r="GZ164" i="31"/>
  <c r="IE164" i="31" s="1"/>
  <c r="DJ164" i="31"/>
  <c r="DK164" i="31" s="1"/>
  <c r="IO164" i="31"/>
  <c r="JC164" i="31"/>
  <c r="JD164" i="31"/>
  <c r="BP164" i="31"/>
  <c r="BQ164" i="31" s="1"/>
  <c r="JO164" i="31"/>
  <c r="DX164" i="31" l="1"/>
  <c r="DM164" i="31"/>
  <c r="FQ164" i="31"/>
  <c r="KG164" i="31"/>
  <c r="EC164" i="31"/>
  <c r="JP164" i="31"/>
  <c r="JQ164" i="31" s="1"/>
  <c r="BR164" i="31"/>
  <c r="BS164" i="31"/>
  <c r="FB164" i="31" l="1"/>
  <c r="EX164" i="31"/>
  <c r="M164" i="31" s="1"/>
  <c r="BT164" i="31"/>
  <c r="BU164" i="31"/>
  <c r="DL164" i="31"/>
  <c r="L165" i="31"/>
  <c r="MB164" i="31" l="1"/>
  <c r="NM164" i="31" s="1"/>
  <c r="NN164" i="31" s="1"/>
  <c r="MJ164" i="31"/>
  <c r="NS164" i="31" s="1"/>
  <c r="BV164" i="31"/>
  <c r="BW164" i="31" s="1"/>
  <c r="BX164" i="31" l="1"/>
  <c r="BY164" i="31"/>
  <c r="NT164" i="31"/>
  <c r="OU165" i="31"/>
  <c r="OV165" i="31"/>
  <c r="NW164" i="31"/>
  <c r="NX164" i="31" s="1"/>
  <c r="FR164" i="31" l="1"/>
  <c r="FV164" i="31"/>
  <c r="CX164" i="31"/>
  <c r="NU164" i="31"/>
  <c r="BZ164" i="31"/>
  <c r="CA164" i="31"/>
  <c r="OF164" i="31"/>
  <c r="OS165" i="31" s="1"/>
  <c r="NY164" i="31"/>
  <c r="CB164" i="31" l="1"/>
  <c r="CC164" i="31" s="1"/>
  <c r="MY164" i="31"/>
  <c r="NZ164" i="31"/>
  <c r="OA164" i="31" s="1"/>
  <c r="MV165" i="31" s="1"/>
  <c r="OG165" i="31" s="1"/>
  <c r="CY165" i="31"/>
  <c r="NV164" i="31"/>
  <c r="OB164" i="31"/>
  <c r="OT165" i="31" s="1"/>
  <c r="CD164" i="31" l="1"/>
  <c r="CE164" i="31"/>
  <c r="CF164" i="31" s="1"/>
  <c r="PA164" i="31"/>
  <c r="OO165" i="31"/>
  <c r="KT165" i="31" s="1"/>
  <c r="NF165" i="31"/>
  <c r="OM165" i="31"/>
  <c r="MZ165" i="31"/>
  <c r="OZ164" i="31"/>
  <c r="OJ164" i="31"/>
  <c r="OC164" i="31"/>
  <c r="OD165" i="31" s="1"/>
  <c r="OH165" i="31" s="1"/>
  <c r="OK165" i="31" s="1"/>
  <c r="OI164" i="31"/>
  <c r="CG164" i="31" l="1"/>
  <c r="CH164" i="31" s="1"/>
  <c r="CI164" i="31" s="1"/>
  <c r="CJ164" i="31" s="1"/>
  <c r="CO164" i="31" s="1"/>
  <c r="MW165" i="31"/>
  <c r="OY165" i="31"/>
  <c r="MR165" i="31"/>
  <c r="OW164" i="31"/>
  <c r="OX165" i="31"/>
  <c r="KM165" i="31"/>
  <c r="KO166" i="31" s="1"/>
  <c r="KL165" i="31"/>
  <c r="KN166" i="31" s="1"/>
  <c r="CK164" i="31" l="1"/>
  <c r="CL164" i="31" s="1"/>
  <c r="MS165" i="31"/>
  <c r="MX165" i="31"/>
  <c r="KQ165" i="31"/>
  <c r="KP166" i="31"/>
  <c r="KR165" i="31"/>
  <c r="CM164" i="31" l="1"/>
  <c r="CN164" i="31" s="1"/>
  <c r="CP164" i="31" s="1"/>
  <c r="NB165" i="31"/>
  <c r="NA165" i="31"/>
  <c r="NH166" i="31"/>
  <c r="NI166" i="31" s="1"/>
  <c r="MU165" i="31"/>
  <c r="NJ165" i="31"/>
  <c r="NP165" i="31"/>
  <c r="NQ165" i="31"/>
  <c r="MO165" i="31"/>
  <c r="MT165" i="31"/>
  <c r="PE165" i="31"/>
  <c r="KS165" i="31"/>
  <c r="NR165" i="31" l="1"/>
  <c r="NL165" i="31"/>
  <c r="NK165" i="31"/>
  <c r="NG166" i="31"/>
  <c r="OQ166" i="31"/>
  <c r="CQ164" i="31"/>
  <c r="HO164" i="31"/>
  <c r="FU164" i="31"/>
  <c r="FW164" i="31" s="1"/>
  <c r="DQ164" i="31"/>
  <c r="DR164" i="31" s="1"/>
  <c r="FE164" i="31"/>
  <c r="FF164" i="31" s="1"/>
  <c r="GB164" i="31"/>
  <c r="GC164" i="31" s="1"/>
  <c r="JR164" i="31"/>
  <c r="JS164" i="31" s="1"/>
  <c r="FP164" i="31"/>
  <c r="FS164" i="31" s="1"/>
  <c r="FZ164" i="31"/>
  <c r="GA164" i="31" s="1"/>
  <c r="GO164" i="31"/>
  <c r="FH164" i="31"/>
  <c r="FI164" i="31" s="1"/>
  <c r="FX164" i="31"/>
  <c r="FY164" i="31" s="1"/>
  <c r="KX164" i="31"/>
  <c r="KU164" i="31"/>
  <c r="GN164" i="31" l="1"/>
  <c r="GQ164" i="31" s="1"/>
  <c r="JU164" i="31"/>
  <c r="KC164" i="31"/>
  <c r="KE164" i="31"/>
  <c r="JT165" i="31"/>
  <c r="FG165" i="31"/>
  <c r="HW164" i="31"/>
  <c r="HX165" i="31" s="1"/>
  <c r="NC166" i="31"/>
  <c r="MQ166" i="31"/>
  <c r="DS164" i="31"/>
  <c r="AX164" i="31" s="1"/>
  <c r="AY165" i="31" s="1"/>
  <c r="HU164" i="31"/>
  <c r="HV165" i="31" s="1"/>
  <c r="FJ165" i="31"/>
  <c r="HY164" i="31"/>
  <c r="HA164" i="31"/>
  <c r="DY164" i="31"/>
  <c r="IA164" i="31"/>
  <c r="IB164" i="31" s="1"/>
  <c r="HP164" i="31"/>
  <c r="IZ164" i="31"/>
  <c r="OR166" i="31"/>
  <c r="CR164" i="31"/>
  <c r="CT164" i="31"/>
  <c r="CS164" i="31"/>
  <c r="KV164" i="31" l="1"/>
  <c r="KW165" i="31" s="1"/>
  <c r="HQ164" i="31"/>
  <c r="HR165" i="31" s="1"/>
  <c r="EM164" i="31"/>
  <c r="EW164" i="31" s="1"/>
  <c r="AZ164" i="31"/>
  <c r="EN164" i="31"/>
  <c r="HS164" i="31"/>
  <c r="JG164" i="31" s="1"/>
  <c r="HT164" i="31"/>
  <c r="IC164" i="31" l="1"/>
  <c r="ID164" i="31" s="1"/>
  <c r="IF164" i="31" s="1"/>
  <c r="KH164" i="31" s="1"/>
  <c r="JB164" i="31"/>
  <c r="BB165" i="31"/>
  <c r="DW164" i="31"/>
  <c r="DU165" i="31" s="1"/>
  <c r="EQ164" i="31"/>
  <c r="ER165" i="31"/>
  <c r="IU164" i="31"/>
  <c r="IV164" i="31" s="1"/>
  <c r="IW164" i="31" l="1"/>
  <c r="BC165" i="31"/>
  <c r="EU165" i="31"/>
  <c r="KK164" i="31"/>
  <c r="KB164" i="31"/>
  <c r="IX164" i="31"/>
  <c r="GM164" i="31"/>
  <c r="DB164" i="31"/>
  <c r="DC164" i="31" s="1"/>
  <c r="DD165" i="31" s="1"/>
  <c r="DE166" i="31" s="1"/>
  <c r="IM164" i="31"/>
  <c r="KI165" i="31"/>
  <c r="IN164" i="31"/>
  <c r="DF164" i="31"/>
  <c r="GT166" i="31" l="1"/>
  <c r="GV164" i="31"/>
  <c r="FD164" i="31"/>
  <c r="GU164" i="31"/>
  <c r="KJ165" i="31"/>
  <c r="GR164" i="31"/>
  <c r="DT164" i="31"/>
  <c r="DZ164" i="31" s="1"/>
  <c r="BD165" i="31"/>
  <c r="BE165" i="31"/>
  <c r="GS164" i="31" l="1"/>
  <c r="IS164" i="31"/>
  <c r="FL165" i="31"/>
  <c r="BF165" i="31"/>
  <c r="BG165" i="31"/>
  <c r="FM165" i="31" l="1"/>
  <c r="JH164" i="31"/>
  <c r="JI164" i="31" s="1"/>
  <c r="IT164" i="31"/>
  <c r="GY164" i="31"/>
  <c r="GX164" i="31"/>
  <c r="GW164" i="31"/>
  <c r="HC164" i="31" s="1"/>
  <c r="FA165" i="31" s="1"/>
  <c r="HB165" i="31" s="1"/>
  <c r="BI165" i="31"/>
  <c r="BK165" i="31" s="1"/>
  <c r="BH165" i="31"/>
  <c r="JK164" i="31" l="1"/>
  <c r="JZ164" i="31" s="1"/>
  <c r="KF164" i="31" s="1"/>
  <c r="IQ165" i="31" s="1"/>
  <c r="EG164" i="31"/>
  <c r="EH165" i="31" s="1"/>
  <c r="EI165" i="31" s="1"/>
  <c r="FK165" i="31" s="1"/>
  <c r="EY164" i="31"/>
  <c r="HM164" i="31"/>
  <c r="HK165" i="31"/>
  <c r="BL165" i="31"/>
  <c r="BM165" i="31"/>
  <c r="BJ165" i="31"/>
  <c r="JM164" i="31" l="1"/>
  <c r="KD164" i="31" s="1"/>
  <c r="IL165" i="31" s="1"/>
  <c r="IR165" i="31" s="1"/>
  <c r="JN164" i="31"/>
  <c r="JV164" i="31" s="1"/>
  <c r="JF165" i="31" s="1"/>
  <c r="JY165" i="31" s="1"/>
  <c r="EZ164" i="31"/>
  <c r="DG164" i="31"/>
  <c r="DH164" i="31" s="1"/>
  <c r="DI165" i="31" s="1"/>
  <c r="BO165" i="31"/>
  <c r="BN165" i="31"/>
  <c r="JL164" i="31"/>
  <c r="JJ165" i="31" s="1"/>
  <c r="KA165" i="31"/>
  <c r="EJ164" i="31"/>
  <c r="EK165" i="31" s="1"/>
  <c r="EE164" i="31"/>
  <c r="EF165" i="31" s="1"/>
  <c r="ED164" i="31"/>
  <c r="EB165" i="31" s="1"/>
  <c r="JA165" i="31" s="1"/>
  <c r="IO165" i="31" l="1"/>
  <c r="JW165" i="31"/>
  <c r="JE165" i="31"/>
  <c r="JO165" i="31"/>
  <c r="IY165" i="31"/>
  <c r="JC165" i="31"/>
  <c r="JD165" i="31"/>
  <c r="HZ165" i="31"/>
  <c r="DP165" i="31"/>
  <c r="BP165" i="31"/>
  <c r="BQ165" i="31" s="1"/>
  <c r="DJ165" i="31"/>
  <c r="DK165" i="31" s="1"/>
  <c r="GZ165" i="31"/>
  <c r="IE165" i="31" s="1"/>
  <c r="EO165" i="31"/>
  <c r="ES166" i="31" s="1"/>
  <c r="EL165" i="31"/>
  <c r="EP165" i="31"/>
  <c r="ET166" i="31" s="1"/>
  <c r="FC165" i="31"/>
  <c r="EV165" i="31"/>
  <c r="IP165" i="31"/>
  <c r="JX165" i="31" l="1"/>
  <c r="JP165" i="31"/>
  <c r="JQ165" i="31" s="1"/>
  <c r="BR165" i="31"/>
  <c r="BS165" i="31"/>
  <c r="FQ165" i="31"/>
  <c r="DX165" i="31"/>
  <c r="DM165" i="31"/>
  <c r="KG165" i="31"/>
  <c r="EC165" i="31"/>
  <c r="BT165" i="31" l="1"/>
  <c r="BU165" i="31"/>
  <c r="BV165" i="31" s="1"/>
  <c r="BW165" i="31" s="1"/>
  <c r="DL165" i="31"/>
  <c r="L166" i="31"/>
  <c r="EX165" i="31"/>
  <c r="M165" i="31" s="1"/>
  <c r="FB165" i="31"/>
  <c r="BY165" i="31" l="1"/>
  <c r="BX165" i="31"/>
  <c r="MB165" i="31"/>
  <c r="NM165" i="31" s="1"/>
  <c r="NN165" i="31" s="1"/>
  <c r="MJ165" i="31"/>
  <c r="NS165" i="31" s="1"/>
  <c r="OV166" i="31" l="1"/>
  <c r="NW165" i="31"/>
  <c r="NT165" i="31"/>
  <c r="OU166" i="31"/>
  <c r="BZ165" i="31"/>
  <c r="CA165" i="31"/>
  <c r="CB165" i="31" l="1"/>
  <c r="CC165" i="31" s="1"/>
  <c r="NX165" i="31"/>
  <c r="OF165" i="31" s="1"/>
  <c r="OS166" i="31" s="1"/>
  <c r="FV165" i="31"/>
  <c r="FR165" i="31"/>
  <c r="CX165" i="31"/>
  <c r="NU165" i="31"/>
  <c r="CE165" i="31" l="1"/>
  <c r="CG165" i="31" s="1"/>
  <c r="CD165" i="31"/>
  <c r="NY165" i="31"/>
  <c r="NV165" i="31"/>
  <c r="MY165" i="31"/>
  <c r="NZ165" i="31"/>
  <c r="CY166" i="31"/>
  <c r="CF165" i="31" l="1"/>
  <c r="OB165" i="31"/>
  <c r="OT166" i="31" s="1"/>
  <c r="NF166" i="31"/>
  <c r="OM166" i="31"/>
  <c r="OO166" i="31"/>
  <c r="MZ166" i="31"/>
  <c r="OZ165" i="31"/>
  <c r="CH165" i="31"/>
  <c r="CI165" i="31" s="1"/>
  <c r="OI165" i="31"/>
  <c r="OA165" i="31"/>
  <c r="MV166" i="31" s="1"/>
  <c r="OG166" i="31" l="1"/>
  <c r="KT166" i="31"/>
  <c r="CJ165" i="31"/>
  <c r="CO165" i="31" s="1"/>
  <c r="CK165" i="31"/>
  <c r="OW165" i="31"/>
  <c r="OX166" i="31"/>
  <c r="MR166" i="31"/>
  <c r="PA165" i="31"/>
  <c r="OC165" i="31"/>
  <c r="OD166" i="31" s="1"/>
  <c r="OH166" i="31" s="1"/>
  <c r="OK166" i="31" s="1"/>
  <c r="OJ165" i="31"/>
  <c r="CL165" i="31" l="1"/>
  <c r="CM165" i="31"/>
  <c r="CN165" i="31" s="1"/>
  <c r="MS166" i="31"/>
  <c r="MW166" i="31"/>
  <c r="OY166" i="31"/>
  <c r="KL166" i="31"/>
  <c r="KN167" i="31" s="1"/>
  <c r="KM166" i="31"/>
  <c r="KO167" i="31" s="1"/>
  <c r="NQ166" i="31" l="1"/>
  <c r="NH167" i="31"/>
  <c r="NI167" i="31" s="1"/>
  <c r="MT166" i="31"/>
  <c r="MO166" i="31"/>
  <c r="MU166" i="31"/>
  <c r="NJ166" i="31"/>
  <c r="NP166" i="31"/>
  <c r="PE166" i="31"/>
  <c r="KP167" i="31"/>
  <c r="KR166" i="31"/>
  <c r="CP165" i="31"/>
  <c r="MX166" i="31"/>
  <c r="KQ166" i="31"/>
  <c r="GO165" i="31" l="1"/>
  <c r="HO165" i="31"/>
  <c r="JR165" i="31"/>
  <c r="JS165" i="31" s="1"/>
  <c r="DQ165" i="31"/>
  <c r="DR165" i="31" s="1"/>
  <c r="FZ165" i="31"/>
  <c r="GA165" i="31" s="1"/>
  <c r="FE165" i="31"/>
  <c r="FF165" i="31" s="1"/>
  <c r="GB165" i="31"/>
  <c r="GC165" i="31" s="1"/>
  <c r="FH165" i="31"/>
  <c r="FI165" i="31" s="1"/>
  <c r="FX165" i="31"/>
  <c r="FY165" i="31" s="1"/>
  <c r="CQ165" i="31"/>
  <c r="FU165" i="31"/>
  <c r="FW165" i="31" s="1"/>
  <c r="FP165" i="31"/>
  <c r="FS165" i="31" s="1"/>
  <c r="KX165" i="31"/>
  <c r="KU165" i="31"/>
  <c r="NL166" i="31"/>
  <c r="NK166" i="31"/>
  <c r="NG167" i="31"/>
  <c r="OQ167" i="31"/>
  <c r="NA166" i="31"/>
  <c r="NB166" i="31"/>
  <c r="KS166" i="31"/>
  <c r="NR166" i="31"/>
  <c r="GN165" i="31" l="1"/>
  <c r="KV165" i="31" s="1"/>
  <c r="HW165" i="31"/>
  <c r="HX166" i="31" s="1"/>
  <c r="FG166" i="31"/>
  <c r="HU165" i="31"/>
  <c r="HV166" i="31" s="1"/>
  <c r="FJ166" i="31"/>
  <c r="DS165" i="31"/>
  <c r="AX165" i="31" s="1"/>
  <c r="AY166" i="31" s="1"/>
  <c r="JU165" i="31"/>
  <c r="KE165" i="31"/>
  <c r="KC165" i="31"/>
  <c r="JT166" i="31"/>
  <c r="NC167" i="31"/>
  <c r="MQ167" i="31"/>
  <c r="HY165" i="31"/>
  <c r="DY165" i="31"/>
  <c r="HA165" i="31"/>
  <c r="OR167" i="31"/>
  <c r="CT165" i="31"/>
  <c r="CR165" i="31"/>
  <c r="CS165" i="31"/>
  <c r="IA165" i="31"/>
  <c r="IB165" i="31" s="1"/>
  <c r="HP165" i="31"/>
  <c r="IZ165" i="31"/>
  <c r="GQ165" i="31" l="1"/>
  <c r="KW166" i="31"/>
  <c r="HQ165" i="31"/>
  <c r="HR166" i="31" s="1"/>
  <c r="EM165" i="31"/>
  <c r="EW165" i="31" s="1"/>
  <c r="AZ165" i="31"/>
  <c r="EN165" i="31"/>
  <c r="HT165" i="31"/>
  <c r="HS165" i="31"/>
  <c r="JG165" i="31" s="1"/>
  <c r="BB166" i="31" l="1"/>
  <c r="EQ165" i="31"/>
  <c r="DW165" i="31"/>
  <c r="DU166" i="31" s="1"/>
  <c r="ER166" i="31"/>
  <c r="IU165" i="31"/>
  <c r="IV165" i="31" s="1"/>
  <c r="IC165" i="31"/>
  <c r="ID165" i="31" s="1"/>
  <c r="IF165" i="31" s="1"/>
  <c r="KH165" i="31" s="1"/>
  <c r="JB165" i="31"/>
  <c r="IW165" i="31" l="1"/>
  <c r="KB165" i="31" s="1"/>
  <c r="EU166" i="31"/>
  <c r="IX165" i="31"/>
  <c r="KK165" i="31"/>
  <c r="DB165" i="31"/>
  <c r="DC165" i="31" s="1"/>
  <c r="DD166" i="31" s="1"/>
  <c r="DE167" i="31" s="1"/>
  <c r="GM165" i="31"/>
  <c r="IM165" i="31"/>
  <c r="KI166" i="31"/>
  <c r="IN165" i="31"/>
  <c r="DF165" i="31"/>
  <c r="BC166" i="31"/>
  <c r="GT167" i="31" l="1"/>
  <c r="DT165" i="31"/>
  <c r="DZ165" i="31" s="1"/>
  <c r="FD165" i="31"/>
  <c r="GU165" i="31"/>
  <c r="GV165" i="31"/>
  <c r="GR165" i="31"/>
  <c r="KJ166" i="31"/>
  <c r="BE166" i="31"/>
  <c r="BD166" i="31"/>
  <c r="IS165" i="31" l="1"/>
  <c r="FL166" i="31"/>
  <c r="BF166" i="31"/>
  <c r="BG166" i="31"/>
  <c r="GS165" i="31"/>
  <c r="BI166" i="31" l="1"/>
  <c r="BK166" i="31" s="1"/>
  <c r="BH166" i="31"/>
  <c r="GW165" i="31"/>
  <c r="HC165" i="31" s="1"/>
  <c r="FA166" i="31" s="1"/>
  <c r="HB166" i="31" s="1"/>
  <c r="GY165" i="31"/>
  <c r="GX165" i="31"/>
  <c r="FM166" i="31"/>
  <c r="JH165" i="31"/>
  <c r="JI165" i="31" s="1"/>
  <c r="IT165" i="31"/>
  <c r="BJ166" i="31" l="1"/>
  <c r="JK165" i="31"/>
  <c r="JZ165" i="31" s="1"/>
  <c r="KF165" i="31" s="1"/>
  <c r="IQ166" i="31" s="1"/>
  <c r="EG165" i="31"/>
  <c r="EH166" i="31" s="1"/>
  <c r="EI166" i="31" s="1"/>
  <c r="FK166" i="31" s="1"/>
  <c r="EY165" i="31"/>
  <c r="HM165" i="31"/>
  <c r="HK166" i="31"/>
  <c r="BL166" i="31"/>
  <c r="BM166" i="31"/>
  <c r="JM165" i="31" l="1"/>
  <c r="KD165" i="31" s="1"/>
  <c r="IL166" i="31" s="1"/>
  <c r="IR166" i="31" s="1"/>
  <c r="ED165" i="31"/>
  <c r="EB166" i="31" s="1"/>
  <c r="JA166" i="31" s="1"/>
  <c r="EE165" i="31"/>
  <c r="EF166" i="31" s="1"/>
  <c r="EJ165" i="31"/>
  <c r="EK166" i="31" s="1"/>
  <c r="BN166" i="31"/>
  <c r="BO166" i="31"/>
  <c r="EZ165" i="31"/>
  <c r="DG165" i="31"/>
  <c r="DH165" i="31" s="1"/>
  <c r="DI166" i="31" s="1"/>
  <c r="JN165" i="31"/>
  <c r="JV165" i="31" s="1"/>
  <c r="JF166" i="31" s="1"/>
  <c r="JL165" i="31"/>
  <c r="JJ166" i="31" s="1"/>
  <c r="KA166" i="31"/>
  <c r="IO166" i="31" l="1"/>
  <c r="JE166" i="31"/>
  <c r="IP166" i="31"/>
  <c r="IY166" i="31"/>
  <c r="JY166" i="31"/>
  <c r="JW166" i="31"/>
  <c r="DP166" i="31"/>
  <c r="JC166" i="31"/>
  <c r="JD166" i="31"/>
  <c r="GZ166" i="31"/>
  <c r="IE166" i="31" s="1"/>
  <c r="DJ166" i="31"/>
  <c r="DK166" i="31" s="1"/>
  <c r="HZ166" i="31"/>
  <c r="JO166" i="31"/>
  <c r="BP166" i="31"/>
  <c r="BQ166" i="31" s="1"/>
  <c r="EL166" i="31"/>
  <c r="EO166" i="31"/>
  <c r="ES167" i="31" s="1"/>
  <c r="EP166" i="31"/>
  <c r="ET167" i="31" s="1"/>
  <c r="FC166" i="31"/>
  <c r="EV166" i="31"/>
  <c r="JX166" i="31" l="1"/>
  <c r="JP166" i="31"/>
  <c r="JQ166" i="31" s="1"/>
  <c r="BR166" i="31"/>
  <c r="BS166" i="31"/>
  <c r="EC166" i="31"/>
  <c r="DM166" i="31"/>
  <c r="FQ166" i="31"/>
  <c r="DX166" i="31"/>
  <c r="KG166" i="31"/>
  <c r="BT166" i="31" l="1"/>
  <c r="BU166" i="31"/>
  <c r="BV166" i="31" s="1"/>
  <c r="BW166" i="31" s="1"/>
  <c r="EX166" i="31"/>
  <c r="M166" i="31" s="1"/>
  <c r="FB166" i="31"/>
  <c r="DL166" i="31"/>
  <c r="L167" i="31"/>
  <c r="BY166" i="31" l="1"/>
  <c r="BX166" i="31"/>
  <c r="MB166" i="31"/>
  <c r="NM166" i="31" s="1"/>
  <c r="NN166" i="31" s="1"/>
  <c r="MJ166" i="31"/>
  <c r="NS166" i="31" s="1"/>
  <c r="OV167" i="31" l="1"/>
  <c r="NW166" i="31"/>
  <c r="NT166" i="31"/>
  <c r="OU167" i="31"/>
  <c r="BZ166" i="31"/>
  <c r="CA166" i="31"/>
  <c r="CB166" i="31" l="1"/>
  <c r="CC166" i="31" s="1"/>
  <c r="CX166" i="31"/>
  <c r="FV166" i="31"/>
  <c r="FR166" i="31"/>
  <c r="NU166" i="31"/>
  <c r="NX166" i="31"/>
  <c r="CD166" i="31" l="1"/>
  <c r="CE166" i="31"/>
  <c r="CF166" i="31" s="1"/>
  <c r="NV166" i="31"/>
  <c r="NY166" i="31"/>
  <c r="OF166" i="31"/>
  <c r="OS167" i="31" s="1"/>
  <c r="NZ166" i="31"/>
  <c r="MY166" i="31"/>
  <c r="CY167" i="31"/>
  <c r="CG166" i="31" l="1"/>
  <c r="CH166" i="31" s="1"/>
  <c r="CI166" i="31" s="1"/>
  <c r="CJ166" i="31" s="1"/>
  <c r="CO166" i="31" s="1"/>
  <c r="OI166" i="31"/>
  <c r="OW166" i="31" s="1"/>
  <c r="OB166" i="31"/>
  <c r="OT167" i="31" s="1"/>
  <c r="OA166" i="31"/>
  <c r="MV167" i="31" s="1"/>
  <c r="NF167" i="31"/>
  <c r="OM167" i="31"/>
  <c r="OO167" i="31"/>
  <c r="MZ167" i="31"/>
  <c r="OZ166" i="31"/>
  <c r="MR167" i="31" l="1"/>
  <c r="MS167" i="31" s="1"/>
  <c r="OX167" i="31"/>
  <c r="CK166" i="31"/>
  <c r="CL166" i="31" s="1"/>
  <c r="OC166" i="31"/>
  <c r="OD167" i="31" s="1"/>
  <c r="OH167" i="31" s="1"/>
  <c r="OJ166" i="31"/>
  <c r="PA166" i="31"/>
  <c r="OG167" i="31"/>
  <c r="KT167" i="31"/>
  <c r="CM166" i="31" l="1"/>
  <c r="CN166" i="31" s="1"/>
  <c r="CP166" i="31" s="1"/>
  <c r="NH168" i="31"/>
  <c r="NI168" i="31" s="1"/>
  <c r="NJ167" i="31"/>
  <c r="MO167" i="31"/>
  <c r="NP167" i="31"/>
  <c r="MT167" i="31"/>
  <c r="NQ167" i="31"/>
  <c r="MU167" i="31"/>
  <c r="PE167" i="31"/>
  <c r="OY167" i="31"/>
  <c r="MW167" i="31"/>
  <c r="OK167" i="31"/>
  <c r="KM167" i="31"/>
  <c r="KO168" i="31" s="1"/>
  <c r="KL167" i="31"/>
  <c r="KN168" i="31" s="1"/>
  <c r="NR167" i="31" l="1"/>
  <c r="KQ167" i="31"/>
  <c r="GB166" i="31"/>
  <c r="GC166" i="31" s="1"/>
  <c r="FH166" i="31"/>
  <c r="FI166" i="31" s="1"/>
  <c r="FU166" i="31"/>
  <c r="FW166" i="31" s="1"/>
  <c r="FX166" i="31"/>
  <c r="FY166" i="31" s="1"/>
  <c r="DQ166" i="31"/>
  <c r="DR166" i="31" s="1"/>
  <c r="FP166" i="31"/>
  <c r="FS166" i="31" s="1"/>
  <c r="JR166" i="31"/>
  <c r="JS166" i="31" s="1"/>
  <c r="HO166" i="31"/>
  <c r="FE166" i="31"/>
  <c r="FF166" i="31" s="1"/>
  <c r="CQ166" i="31"/>
  <c r="FZ166" i="31"/>
  <c r="GA166" i="31" s="1"/>
  <c r="GO166" i="31"/>
  <c r="KX166" i="31"/>
  <c r="KU166" i="31"/>
  <c r="KP168" i="31"/>
  <c r="KR167" i="31"/>
  <c r="MX167" i="31"/>
  <c r="NK167" i="31"/>
  <c r="NL167" i="31"/>
  <c r="NG168" i="31"/>
  <c r="OQ168" i="31"/>
  <c r="GN166" i="31" l="1"/>
  <c r="KV166" i="31" s="1"/>
  <c r="HA166" i="31"/>
  <c r="DY166" i="31"/>
  <c r="HY166" i="31"/>
  <c r="DS166" i="31"/>
  <c r="AX166" i="31" s="1"/>
  <c r="AY167" i="31" s="1"/>
  <c r="HU166" i="31"/>
  <c r="HV167" i="31" s="1"/>
  <c r="FJ167" i="31"/>
  <c r="NB167" i="31"/>
  <c r="NA167" i="31"/>
  <c r="OR168" i="31"/>
  <c r="HW166" i="31"/>
  <c r="HX167" i="31" s="1"/>
  <c r="FG167" i="31"/>
  <c r="IA166" i="31"/>
  <c r="IB166" i="31" s="1"/>
  <c r="HP166" i="31"/>
  <c r="IZ166" i="31"/>
  <c r="KS167" i="31"/>
  <c r="GQ166" i="31"/>
  <c r="CS166" i="31"/>
  <c r="CR166" i="31"/>
  <c r="CT166" i="31"/>
  <c r="NC168" i="31"/>
  <c r="MQ168" i="31"/>
  <c r="KC166" i="31"/>
  <c r="KE166" i="31"/>
  <c r="JT167" i="31"/>
  <c r="JU166" i="31"/>
  <c r="KW167" i="31" l="1"/>
  <c r="HQ166" i="31"/>
  <c r="HR167" i="31" s="1"/>
  <c r="EM166" i="31"/>
  <c r="EW166" i="31" s="1"/>
  <c r="EN166" i="31"/>
  <c r="AZ166" i="31"/>
  <c r="HS166" i="31"/>
  <c r="JG166" i="31" s="1"/>
  <c r="HT166" i="31"/>
  <c r="BB167" i="31" l="1"/>
  <c r="EQ166" i="31"/>
  <c r="DW166" i="31"/>
  <c r="DU167" i="31" s="1"/>
  <c r="ER167" i="31"/>
  <c r="IU166" i="31"/>
  <c r="IV166" i="31" s="1"/>
  <c r="IC166" i="31"/>
  <c r="ID166" i="31" s="1"/>
  <c r="IF166" i="31" s="1"/>
  <c r="KH166" i="31" s="1"/>
  <c r="JB166" i="31"/>
  <c r="IW166" i="31" l="1"/>
  <c r="KB166" i="31" s="1"/>
  <c r="EU167" i="31"/>
  <c r="IX166" i="31"/>
  <c r="KK166" i="31"/>
  <c r="DB166" i="31"/>
  <c r="DC166" i="31" s="1"/>
  <c r="DD167" i="31" s="1"/>
  <c r="DE168" i="31" s="1"/>
  <c r="IM166" i="31"/>
  <c r="GM166" i="31"/>
  <c r="KI167" i="31"/>
  <c r="IN166" i="31"/>
  <c r="DF166" i="31"/>
  <c r="BC167" i="31"/>
  <c r="GT168" i="31" l="1"/>
  <c r="DT166" i="31"/>
  <c r="DZ166" i="31" s="1"/>
  <c r="GV166" i="31"/>
  <c r="FD166" i="31"/>
  <c r="GU166" i="31"/>
  <c r="GR166" i="31"/>
  <c r="KJ167" i="31"/>
  <c r="BD167" i="31"/>
  <c r="BE167" i="31"/>
  <c r="IS166" i="31" l="1"/>
  <c r="FL167" i="31"/>
  <c r="BG167" i="31"/>
  <c r="BF167" i="31"/>
  <c r="GS166" i="31"/>
  <c r="GX166" i="31" l="1"/>
  <c r="GY166" i="31"/>
  <c r="GW166" i="31"/>
  <c r="HC166" i="31" s="1"/>
  <c r="FA167" i="31" s="1"/>
  <c r="HB167" i="31" s="1"/>
  <c r="BI167" i="31"/>
  <c r="BK167" i="31" s="1"/>
  <c r="BH167" i="31"/>
  <c r="FM167" i="31"/>
  <c r="JH166" i="31"/>
  <c r="JI166" i="31" s="1"/>
  <c r="IT166" i="31"/>
  <c r="BL167" i="31" l="1"/>
  <c r="BM167" i="31"/>
  <c r="BJ167" i="31"/>
  <c r="JK166" i="31"/>
  <c r="JN166" i="31" s="1"/>
  <c r="JV166" i="31" s="1"/>
  <c r="JF167" i="31" s="1"/>
  <c r="EG166" i="31"/>
  <c r="EH167" i="31" s="1"/>
  <c r="EI167" i="31" s="1"/>
  <c r="FK167" i="31" s="1"/>
  <c r="HM166" i="31"/>
  <c r="EY166" i="31"/>
  <c r="HK167" i="31"/>
  <c r="JW167" i="31" l="1"/>
  <c r="JY167" i="31"/>
  <c r="EZ166" i="31"/>
  <c r="DG166" i="31"/>
  <c r="DH166" i="31" s="1"/>
  <c r="DI167" i="31" s="1"/>
  <c r="BN167" i="31"/>
  <c r="BO167" i="31"/>
  <c r="JM166" i="31"/>
  <c r="KD166" i="31" s="1"/>
  <c r="IL167" i="31" s="1"/>
  <c r="JL166" i="31"/>
  <c r="JJ167" i="31" s="1"/>
  <c r="KA167" i="31"/>
  <c r="EJ166" i="31"/>
  <c r="EK167" i="31" s="1"/>
  <c r="ED166" i="31"/>
  <c r="EB167" i="31" s="1"/>
  <c r="EE166" i="31"/>
  <c r="EF167" i="31" s="1"/>
  <c r="JZ166" i="31"/>
  <c r="KF166" i="31" s="1"/>
  <c r="IQ167" i="31" s="1"/>
  <c r="JC167" i="31" l="1"/>
  <c r="JD167" i="31"/>
  <c r="EO167" i="31"/>
  <c r="ES168" i="31" s="1"/>
  <c r="EL167" i="31"/>
  <c r="FC167" i="31"/>
  <c r="EP167" i="31"/>
  <c r="ET168" i="31" s="1"/>
  <c r="EV167" i="31"/>
  <c r="HZ167" i="31"/>
  <c r="DP167" i="31"/>
  <c r="IY167" i="31"/>
  <c r="JE167" i="31"/>
  <c r="JO167" i="31"/>
  <c r="IR167" i="31"/>
  <c r="JA167" i="31"/>
  <c r="IO167" i="31"/>
  <c r="IP167" i="31"/>
  <c r="BP167" i="31"/>
  <c r="BQ167" i="31" s="1"/>
  <c r="GZ167" i="31"/>
  <c r="IE167" i="31" s="1"/>
  <c r="DJ167" i="31"/>
  <c r="DK167" i="31" s="1"/>
  <c r="KG167" i="31" l="1"/>
  <c r="JX167" i="31"/>
  <c r="JP167" i="31"/>
  <c r="JQ167" i="31" s="1"/>
  <c r="BR167" i="31"/>
  <c r="BS167" i="31"/>
  <c r="EC167" i="31"/>
  <c r="FQ167" i="31"/>
  <c r="DM167" i="31"/>
  <c r="DX167" i="31"/>
  <c r="BT167" i="31" l="1"/>
  <c r="BU167" i="31"/>
  <c r="BV167" i="31" s="1"/>
  <c r="BW167" i="31" s="1"/>
  <c r="FB167" i="31"/>
  <c r="EX167" i="31"/>
  <c r="M167" i="31" s="1"/>
  <c r="DL167" i="31"/>
  <c r="L168" i="31"/>
  <c r="MB167" i="31" l="1"/>
  <c r="NM167" i="31" s="1"/>
  <c r="NN167" i="31" s="1"/>
  <c r="MJ167" i="31"/>
  <c r="NS167" i="31" s="1"/>
  <c r="BX167" i="31"/>
  <c r="BY167" i="31"/>
  <c r="BZ167" i="31" l="1"/>
  <c r="CA167" i="31"/>
  <c r="OV168" i="31"/>
  <c r="NW167" i="31"/>
  <c r="NT167" i="31"/>
  <c r="OU168" i="31"/>
  <c r="NX167" i="31" l="1"/>
  <c r="FV167" i="31"/>
  <c r="FR167" i="31"/>
  <c r="CX167" i="31"/>
  <c r="NU167" i="31"/>
  <c r="CB167" i="31"/>
  <c r="CC167" i="31" s="1"/>
  <c r="CE167" i="31" l="1"/>
  <c r="CD167" i="31"/>
  <c r="MY167" i="31"/>
  <c r="NZ167" i="31"/>
  <c r="CY168" i="31"/>
  <c r="NY167" i="31"/>
  <c r="NV167" i="31"/>
  <c r="OF167" i="31"/>
  <c r="OS168" i="31" s="1"/>
  <c r="CF167" i="31" l="1"/>
  <c r="CG167" i="31"/>
  <c r="CH167" i="31" s="1"/>
  <c r="CI167" i="31" s="1"/>
  <c r="MZ168" i="31"/>
  <c r="OZ167" i="31"/>
  <c r="OB167" i="31"/>
  <c r="OT168" i="31" s="1"/>
  <c r="OI167" i="31"/>
  <c r="OO168" i="31"/>
  <c r="OM168" i="31"/>
  <c r="NF168" i="31"/>
  <c r="OA167" i="31"/>
  <c r="MV168" i="31" s="1"/>
  <c r="OG168" i="31" l="1"/>
  <c r="KT168" i="31"/>
  <c r="PA167" i="31"/>
  <c r="OJ167" i="31"/>
  <c r="OC167" i="31"/>
  <c r="OD168" i="31" s="1"/>
  <c r="OH168" i="31" s="1"/>
  <c r="CJ167" i="31"/>
  <c r="CO167" i="31" s="1"/>
  <c r="CK167" i="31"/>
  <c r="OW167" i="31"/>
  <c r="OX168" i="31"/>
  <c r="MR168" i="31"/>
  <c r="CL167" i="31" l="1"/>
  <c r="CM167" i="31"/>
  <c r="CN167" i="31" s="1"/>
  <c r="OY168" i="31"/>
  <c r="MW168" i="31"/>
  <c r="MS168" i="31"/>
  <c r="KM168" i="31"/>
  <c r="KO169" i="31" s="1"/>
  <c r="KL168" i="31"/>
  <c r="KN169" i="31" s="1"/>
  <c r="OK168" i="31"/>
  <c r="NP168" i="31" l="1"/>
  <c r="MO168" i="31"/>
  <c r="NQ168" i="31"/>
  <c r="NJ168" i="31"/>
  <c r="MT168" i="31"/>
  <c r="MU168" i="31"/>
  <c r="NH169" i="31"/>
  <c r="NI169" i="31" s="1"/>
  <c r="PE168" i="31"/>
  <c r="MX168" i="31"/>
  <c r="KQ168" i="31"/>
  <c r="CP167" i="31"/>
  <c r="KP169" i="31"/>
  <c r="KR168" i="31"/>
  <c r="NR168" i="31" l="1"/>
  <c r="KS168" i="31"/>
  <c r="FX167" i="31"/>
  <c r="FY167" i="31" s="1"/>
  <c r="JR167" i="31"/>
  <c r="JS167" i="31" s="1"/>
  <c r="HO167" i="31"/>
  <c r="FP167" i="31"/>
  <c r="FS167" i="31" s="1"/>
  <c r="FU167" i="31"/>
  <c r="FW167" i="31" s="1"/>
  <c r="FE167" i="31"/>
  <c r="FF167" i="31" s="1"/>
  <c r="GO167" i="31"/>
  <c r="FH167" i="31"/>
  <c r="FI167" i="31" s="1"/>
  <c r="FZ167" i="31"/>
  <c r="GA167" i="31" s="1"/>
  <c r="DQ167" i="31"/>
  <c r="DR167" i="31" s="1"/>
  <c r="GB167" i="31"/>
  <c r="GC167" i="31" s="1"/>
  <c r="CQ167" i="31"/>
  <c r="KX167" i="31"/>
  <c r="KU167" i="31"/>
  <c r="NK168" i="31"/>
  <c r="NL168" i="31"/>
  <c r="NG169" i="31"/>
  <c r="OQ169" i="31"/>
  <c r="NA168" i="31"/>
  <c r="NB168" i="31"/>
  <c r="GN167" i="31" l="1"/>
  <c r="GQ167" i="31" s="1"/>
  <c r="HY167" i="31"/>
  <c r="DY167" i="31"/>
  <c r="HA167" i="31"/>
  <c r="HP167" i="31"/>
  <c r="IA167" i="31"/>
  <c r="IB167" i="31" s="1"/>
  <c r="IZ167" i="31"/>
  <c r="CR167" i="31"/>
  <c r="CS167" i="31"/>
  <c r="CT167" i="31"/>
  <c r="NC169" i="31"/>
  <c r="MQ169" i="31"/>
  <c r="DS167" i="31"/>
  <c r="AX167" i="31" s="1"/>
  <c r="AY168" i="31" s="1"/>
  <c r="KE167" i="31"/>
  <c r="JU167" i="31"/>
  <c r="JT168" i="31"/>
  <c r="KC167" i="31"/>
  <c r="OR169" i="31"/>
  <c r="HW167" i="31"/>
  <c r="HX168" i="31" s="1"/>
  <c r="FG168" i="31"/>
  <c r="HU167" i="31"/>
  <c r="HV168" i="31" s="1"/>
  <c r="FJ168" i="31"/>
  <c r="KV167" i="31" l="1"/>
  <c r="KW168" i="31" s="1"/>
  <c r="HQ167" i="31"/>
  <c r="HR168" i="31" s="1"/>
  <c r="HT167" i="31"/>
  <c r="HS167" i="31"/>
  <c r="JG167" i="31" s="1"/>
  <c r="AZ167" i="31"/>
  <c r="EN167" i="31"/>
  <c r="EM167" i="31"/>
  <c r="EW167" i="31" s="1"/>
  <c r="BB168" i="31" l="1"/>
  <c r="DW167" i="31"/>
  <c r="DU168" i="31" s="1"/>
  <c r="EQ167" i="31"/>
  <c r="ER168" i="31"/>
  <c r="IU167" i="31"/>
  <c r="IV167" i="31" s="1"/>
  <c r="IC167" i="31"/>
  <c r="ID167" i="31" s="1"/>
  <c r="IF167" i="31" s="1"/>
  <c r="KH167" i="31" s="1"/>
  <c r="JB167" i="31"/>
  <c r="IW167" i="31" l="1"/>
  <c r="KB167" i="31" s="1"/>
  <c r="KK167" i="31"/>
  <c r="IX167" i="31"/>
  <c r="EU168" i="31"/>
  <c r="GM167" i="31"/>
  <c r="IM167" i="31"/>
  <c r="DB167" i="31"/>
  <c r="DC167" i="31" s="1"/>
  <c r="DD168" i="31" s="1"/>
  <c r="DE169" i="31" s="1"/>
  <c r="KI168" i="31"/>
  <c r="KJ168" i="31" s="1"/>
  <c r="IN167" i="31"/>
  <c r="DF167" i="31"/>
  <c r="BC168" i="31"/>
  <c r="GT169" i="31" l="1"/>
  <c r="DT167" i="31"/>
  <c r="DZ167" i="31" s="1"/>
  <c r="FD167" i="31"/>
  <c r="GV167" i="31"/>
  <c r="GU167" i="31"/>
  <c r="GR167" i="31"/>
  <c r="BD168" i="31"/>
  <c r="BE168" i="31"/>
  <c r="GS167" i="31" l="1"/>
  <c r="IS167" i="31"/>
  <c r="FL168" i="31"/>
  <c r="BF168" i="31"/>
  <c r="BG168" i="31"/>
  <c r="BH168" i="31" l="1"/>
  <c r="BI168" i="31"/>
  <c r="BK168" i="31" s="1"/>
  <c r="FM168" i="31"/>
  <c r="JH167" i="31"/>
  <c r="JI167" i="31" s="1"/>
  <c r="IT167" i="31"/>
  <c r="GY167" i="31"/>
  <c r="GX167" i="31"/>
  <c r="GW167" i="31"/>
  <c r="HC167" i="31" s="1"/>
  <c r="FA168" i="31" s="1"/>
  <c r="HB168" i="31" s="1"/>
  <c r="BJ168" i="31" l="1"/>
  <c r="HM167" i="31"/>
  <c r="EG167" i="31"/>
  <c r="EH168" i="31" s="1"/>
  <c r="EI168" i="31" s="1"/>
  <c r="FK168" i="31" s="1"/>
  <c r="EY167" i="31"/>
  <c r="HK168" i="31"/>
  <c r="BL168" i="31"/>
  <c r="BM168" i="31"/>
  <c r="JK167" i="31"/>
  <c r="JZ167" i="31" s="1"/>
  <c r="KF167" i="31" s="1"/>
  <c r="IQ168" i="31" s="1"/>
  <c r="JM167" i="31" l="1"/>
  <c r="KD167" i="31" s="1"/>
  <c r="IL168" i="31" s="1"/>
  <c r="JE168" i="31" s="1"/>
  <c r="JN167" i="31"/>
  <c r="JV167" i="31" s="1"/>
  <c r="JF168" i="31" s="1"/>
  <c r="JY168" i="31" s="1"/>
  <c r="EZ167" i="31"/>
  <c r="DG167" i="31"/>
  <c r="DH167" i="31" s="1"/>
  <c r="DI168" i="31" s="1"/>
  <c r="EE167" i="31"/>
  <c r="EF168" i="31" s="1"/>
  <c r="EJ167" i="31"/>
  <c r="EK168" i="31" s="1"/>
  <c r="ED167" i="31"/>
  <c r="EB168" i="31" s="1"/>
  <c r="JA168" i="31" s="1"/>
  <c r="BO168" i="31"/>
  <c r="BN168" i="31"/>
  <c r="JL167" i="31"/>
  <c r="JJ168" i="31" s="1"/>
  <c r="KA168" i="31"/>
  <c r="IP168" i="31" l="1"/>
  <c r="IR168" i="31"/>
  <c r="JW168" i="31"/>
  <c r="IO168" i="31"/>
  <c r="JO168" i="31"/>
  <c r="HZ168" i="31"/>
  <c r="EP168" i="31"/>
  <c r="ET169" i="31" s="1"/>
  <c r="FC168" i="31"/>
  <c r="EO168" i="31"/>
  <c r="ES169" i="31" s="1"/>
  <c r="EL168" i="31"/>
  <c r="JX168" i="31" s="1"/>
  <c r="EV168" i="31"/>
  <c r="JC168" i="31"/>
  <c r="JD168" i="31"/>
  <c r="DP168" i="31"/>
  <c r="IY168" i="31"/>
  <c r="JP168" i="31" s="1"/>
  <c r="JQ168" i="31" s="1"/>
  <c r="GZ168" i="31"/>
  <c r="IE168" i="31" s="1"/>
  <c r="DJ168" i="31"/>
  <c r="DK168" i="31" s="1"/>
  <c r="BP168" i="31"/>
  <c r="BQ168" i="31" s="1"/>
  <c r="BR168" i="31" l="1"/>
  <c r="BS168" i="31"/>
  <c r="FQ168" i="31"/>
  <c r="DX168" i="31"/>
  <c r="DM168" i="31"/>
  <c r="KG168" i="31"/>
  <c r="EC168" i="31"/>
  <c r="BT168" i="31" l="1"/>
  <c r="BU168" i="31"/>
  <c r="BV168" i="31" s="1"/>
  <c r="BW168" i="31" s="1"/>
  <c r="EX168" i="31"/>
  <c r="M168" i="31" s="1"/>
  <c r="FB168" i="31"/>
  <c r="DL168" i="31"/>
  <c r="L169" i="31"/>
  <c r="BX168" i="31" l="1"/>
  <c r="BY168" i="31"/>
  <c r="MJ168" i="31"/>
  <c r="NS168" i="31" s="1"/>
  <c r="MB168" i="31"/>
  <c r="NM168" i="31" s="1"/>
  <c r="NN168" i="31" s="1"/>
  <c r="OV169" i="31" l="1"/>
  <c r="NW168" i="31"/>
  <c r="NT168" i="31"/>
  <c r="OU169" i="31"/>
  <c r="BZ168" i="31"/>
  <c r="CA168" i="31"/>
  <c r="CB168" i="31" l="1"/>
  <c r="CC168" i="31" s="1"/>
  <c r="CX168" i="31"/>
  <c r="FV168" i="31"/>
  <c r="FR168" i="31"/>
  <c r="NU168" i="31"/>
  <c r="NX168" i="31"/>
  <c r="CE168" i="31" l="1"/>
  <c r="CG168" i="31" s="1"/>
  <c r="CD168" i="31"/>
  <c r="NV168" i="31"/>
  <c r="NZ168" i="31"/>
  <c r="MY168" i="31"/>
  <c r="CY169" i="31"/>
  <c r="NY168" i="31"/>
  <c r="OF168" i="31"/>
  <c r="OS169" i="31" s="1"/>
  <c r="CF168" i="31" l="1"/>
  <c r="CH168" i="31"/>
  <c r="CI168" i="31" s="1"/>
  <c r="CJ168" i="31" s="1"/>
  <c r="CO168" i="31" s="1"/>
  <c r="OI168" i="31"/>
  <c r="OW168" i="31" s="1"/>
  <c r="OO169" i="31"/>
  <c r="OM169" i="31"/>
  <c r="NF169" i="31"/>
  <c r="MZ169" i="31"/>
  <c r="OZ168" i="31"/>
  <c r="OB168" i="31"/>
  <c r="OT169" i="31" s="1"/>
  <c r="OA168" i="31"/>
  <c r="MV169" i="31" s="1"/>
  <c r="CK168" i="31" l="1"/>
  <c r="CM168" i="31" s="1"/>
  <c r="CN168" i="31" s="1"/>
  <c r="OX169" i="31"/>
  <c r="MR169" i="31"/>
  <c r="MS169" i="31" s="1"/>
  <c r="PA168" i="31"/>
  <c r="OC168" i="31"/>
  <c r="OD169" i="31" s="1"/>
  <c r="OH169" i="31" s="1"/>
  <c r="OJ168" i="31"/>
  <c r="KT169" i="31"/>
  <c r="OG169" i="31"/>
  <c r="CL168" i="31" l="1"/>
  <c r="OK169" i="31"/>
  <c r="NJ169" i="31"/>
  <c r="NH170" i="31"/>
  <c r="NI170" i="31" s="1"/>
  <c r="MO169" i="31"/>
  <c r="NQ169" i="31"/>
  <c r="NP169" i="31"/>
  <c r="MT169" i="31"/>
  <c r="MU169" i="31"/>
  <c r="PE169" i="31"/>
  <c r="KM169" i="31"/>
  <c r="KO170" i="31" s="1"/>
  <c r="KL169" i="31"/>
  <c r="KN170" i="31" s="1"/>
  <c r="MW169" i="31"/>
  <c r="OY169" i="31"/>
  <c r="CP168" i="31"/>
  <c r="NR169" i="31" l="1"/>
  <c r="GB168" i="31"/>
  <c r="GC168" i="31" s="1"/>
  <c r="CQ168" i="31"/>
  <c r="FE168" i="31"/>
  <c r="FF168" i="31" s="1"/>
  <c r="FU168" i="31"/>
  <c r="FW168" i="31" s="1"/>
  <c r="JR168" i="31"/>
  <c r="JS168" i="31" s="1"/>
  <c r="FH168" i="31"/>
  <c r="FI168" i="31" s="1"/>
  <c r="DQ168" i="31"/>
  <c r="DR168" i="31" s="1"/>
  <c r="FZ168" i="31"/>
  <c r="GA168" i="31" s="1"/>
  <c r="HO168" i="31"/>
  <c r="FX168" i="31"/>
  <c r="FY168" i="31" s="1"/>
  <c r="FP168" i="31"/>
  <c r="FS168" i="31" s="1"/>
  <c r="GO168" i="31"/>
  <c r="KX168" i="31"/>
  <c r="KU168" i="31"/>
  <c r="MX169" i="31"/>
  <c r="KQ169" i="31"/>
  <c r="KP170" i="31"/>
  <c r="KR169" i="31"/>
  <c r="NK169" i="31"/>
  <c r="NL169" i="31"/>
  <c r="NG170" i="31"/>
  <c r="OQ170" i="31"/>
  <c r="GN168" i="31" l="1"/>
  <c r="KS169" i="31"/>
  <c r="DS168" i="31"/>
  <c r="AX168" i="31" s="1"/>
  <c r="AY169" i="31" s="1"/>
  <c r="KE168" i="31"/>
  <c r="JU168" i="31"/>
  <c r="JT169" i="31"/>
  <c r="KC168" i="31"/>
  <c r="HU168" i="31"/>
  <c r="HV169" i="31" s="1"/>
  <c r="FJ169" i="31"/>
  <c r="OR170" i="31"/>
  <c r="NC170" i="31"/>
  <c r="MQ170" i="31"/>
  <c r="HW168" i="31"/>
  <c r="HX169" i="31" s="1"/>
  <c r="FG169" i="31"/>
  <c r="DY168" i="31"/>
  <c r="HA168" i="31"/>
  <c r="HY168" i="31"/>
  <c r="CR168" i="31"/>
  <c r="CS168" i="31"/>
  <c r="CT168" i="31"/>
  <c r="IA168" i="31"/>
  <c r="IB168" i="31" s="1"/>
  <c r="HP168" i="31"/>
  <c r="IZ168" i="31"/>
  <c r="GQ168" i="31"/>
  <c r="KV168" i="31"/>
  <c r="NB169" i="31"/>
  <c r="NA169" i="31"/>
  <c r="KW169" i="31" l="1"/>
  <c r="HQ168" i="31"/>
  <c r="HR169" i="31" s="1"/>
  <c r="HS168" i="31"/>
  <c r="JG168" i="31" s="1"/>
  <c r="HT168" i="31"/>
  <c r="AZ168" i="31"/>
  <c r="EM168" i="31"/>
  <c r="EW168" i="31" s="1"/>
  <c r="EN168" i="31"/>
  <c r="IC168" i="31" l="1"/>
  <c r="ID168" i="31" s="1"/>
  <c r="IF168" i="31" s="1"/>
  <c r="KH168" i="31" s="1"/>
  <c r="JB168" i="31"/>
  <c r="BB169" i="31"/>
  <c r="EQ168" i="31"/>
  <c r="DW168" i="31"/>
  <c r="DU169" i="31" s="1"/>
  <c r="ER169" i="31"/>
  <c r="IU168" i="31"/>
  <c r="IV168" i="31" s="1"/>
  <c r="IW168" i="31" l="1"/>
  <c r="KB168" i="31" s="1"/>
  <c r="EU169" i="31"/>
  <c r="BC169" i="31"/>
  <c r="KK168" i="31"/>
  <c r="IX168" i="31"/>
  <c r="KI169" i="31"/>
  <c r="GM168" i="31"/>
  <c r="IM168" i="31"/>
  <c r="DB168" i="31"/>
  <c r="DC168" i="31" s="1"/>
  <c r="DD169" i="31" s="1"/>
  <c r="DE170" i="31" s="1"/>
  <c r="IN168" i="31"/>
  <c r="DF168" i="31"/>
  <c r="GT170" i="31" l="1"/>
  <c r="DT168" i="31"/>
  <c r="DZ168" i="31" s="1"/>
  <c r="BE169" i="31"/>
  <c r="BD169" i="31"/>
  <c r="FD168" i="31"/>
  <c r="GU168" i="31"/>
  <c r="GV168" i="31"/>
  <c r="KJ169" i="31"/>
  <c r="GR168" i="31"/>
  <c r="IS168" i="31" l="1"/>
  <c r="FL169" i="31"/>
  <c r="GS168" i="31"/>
  <c r="BG169" i="31"/>
  <c r="BF169" i="31"/>
  <c r="GY168" i="31" l="1"/>
  <c r="GX168" i="31"/>
  <c r="GW168" i="31"/>
  <c r="HC168" i="31" s="1"/>
  <c r="FA169" i="31" s="1"/>
  <c r="HB169" i="31" s="1"/>
  <c r="FM169" i="31"/>
  <c r="BH169" i="31"/>
  <c r="BI169" i="31"/>
  <c r="BK169" i="31" s="1"/>
  <c r="JH168" i="31"/>
  <c r="JI168" i="31" s="1"/>
  <c r="IT168" i="31"/>
  <c r="BL169" i="31" l="1"/>
  <c r="BM169" i="31"/>
  <c r="HM168" i="31"/>
  <c r="EG168" i="31"/>
  <c r="EH169" i="31" s="1"/>
  <c r="EI169" i="31" s="1"/>
  <c r="FK169" i="31" s="1"/>
  <c r="EY168" i="31"/>
  <c r="HK169" i="31"/>
  <c r="JK168" i="31"/>
  <c r="JZ168" i="31" s="1"/>
  <c r="KF168" i="31" s="1"/>
  <c r="IQ169" i="31" s="1"/>
  <c r="BJ169" i="31"/>
  <c r="JN168" i="31" l="1"/>
  <c r="JV168" i="31" s="1"/>
  <c r="JF169" i="31" s="1"/>
  <c r="JW169" i="31" s="1"/>
  <c r="ED168" i="31"/>
  <c r="EB169" i="31" s="1"/>
  <c r="IY169" i="31" s="1"/>
  <c r="EJ168" i="31"/>
  <c r="EK169" i="31" s="1"/>
  <c r="EE168" i="31"/>
  <c r="EF169" i="31" s="1"/>
  <c r="BO169" i="31"/>
  <c r="BN169" i="31"/>
  <c r="JM168" i="31"/>
  <c r="KD168" i="31" s="1"/>
  <c r="IL169" i="31" s="1"/>
  <c r="IR169" i="31" s="1"/>
  <c r="JL168" i="31"/>
  <c r="JJ169" i="31" s="1"/>
  <c r="KA169" i="31"/>
  <c r="EZ168" i="31"/>
  <c r="DG168" i="31"/>
  <c r="DH168" i="31" s="1"/>
  <c r="DI169" i="31" s="1"/>
  <c r="JA169" i="31" l="1"/>
  <c r="JY169" i="31"/>
  <c r="HZ169" i="31"/>
  <c r="JE169" i="31"/>
  <c r="DJ169" i="31"/>
  <c r="DK169" i="31" s="1"/>
  <c r="GZ169" i="31"/>
  <c r="IE169" i="31" s="1"/>
  <c r="IP169" i="31"/>
  <c r="IO169" i="31"/>
  <c r="JP169" i="31" s="1"/>
  <c r="JQ169" i="31" s="1"/>
  <c r="JO169" i="31"/>
  <c r="DP169" i="31"/>
  <c r="JC169" i="31"/>
  <c r="JD169" i="31"/>
  <c r="BP169" i="31"/>
  <c r="BQ169" i="31" s="1"/>
  <c r="FC169" i="31"/>
  <c r="EO169" i="31"/>
  <c r="ES170" i="31" s="1"/>
  <c r="EP169" i="31"/>
  <c r="ET170" i="31" s="1"/>
  <c r="EL169" i="31"/>
  <c r="EV169" i="31"/>
  <c r="BR169" i="31" l="1"/>
  <c r="BS169" i="31"/>
  <c r="FQ169" i="31"/>
  <c r="DM169" i="31"/>
  <c r="DX169" i="31"/>
  <c r="EC169" i="31"/>
  <c r="JX169" i="31"/>
  <c r="KG169" i="31"/>
  <c r="BT169" i="31" l="1"/>
  <c r="BU169" i="31"/>
  <c r="BV169" i="31" s="1"/>
  <c r="BW169" i="31" s="1"/>
  <c r="DL169" i="31"/>
  <c r="L170" i="31"/>
  <c r="EX169" i="31"/>
  <c r="M169" i="31" s="1"/>
  <c r="FB169" i="31"/>
  <c r="MJ169" i="31" l="1"/>
  <c r="NS169" i="31" s="1"/>
  <c r="MB169" i="31"/>
  <c r="NM169" i="31" s="1"/>
  <c r="NN169" i="31" s="1"/>
  <c r="BX169" i="31"/>
  <c r="BY169" i="31"/>
  <c r="BZ169" i="31" l="1"/>
  <c r="CA169" i="31"/>
  <c r="OV170" i="31"/>
  <c r="NW169" i="31"/>
  <c r="NT169" i="31"/>
  <c r="OU170" i="31"/>
  <c r="CB169" i="31" l="1"/>
  <c r="CC169" i="31" s="1"/>
  <c r="NX169" i="31"/>
  <c r="CX169" i="31"/>
  <c r="FR169" i="31"/>
  <c r="FV169" i="31"/>
  <c r="NU169" i="31"/>
  <c r="CD169" i="31" l="1"/>
  <c r="CE169" i="31"/>
  <c r="CF169" i="31" s="1"/>
  <c r="MY169" i="31"/>
  <c r="NZ169" i="31"/>
  <c r="CY170" i="31"/>
  <c r="NV169" i="31"/>
  <c r="NY169" i="31"/>
  <c r="OF169" i="31"/>
  <c r="OS170" i="31" s="1"/>
  <c r="CG169" i="31" l="1"/>
  <c r="CH169" i="31" s="1"/>
  <c r="CI169" i="31" s="1"/>
  <c r="OB169" i="31"/>
  <c r="OT170" i="31" s="1"/>
  <c r="OO170" i="31"/>
  <c r="OM170" i="31"/>
  <c r="NF170" i="31"/>
  <c r="OA169" i="31"/>
  <c r="MV170" i="31" s="1"/>
  <c r="OI169" i="31"/>
  <c r="MZ170" i="31"/>
  <c r="OZ169" i="31"/>
  <c r="OG170" i="31" l="1"/>
  <c r="KT170" i="31"/>
  <c r="PA169" i="31"/>
  <c r="OJ169" i="31"/>
  <c r="OX170" i="31"/>
  <c r="OW169" i="31"/>
  <c r="MR170" i="31"/>
  <c r="CJ169" i="31"/>
  <c r="CO169" i="31" s="1"/>
  <c r="CK169" i="31"/>
  <c r="OC169" i="31"/>
  <c r="OD170" i="31" s="1"/>
  <c r="OH170" i="31" s="1"/>
  <c r="MS170" i="31" l="1"/>
  <c r="KM170" i="31"/>
  <c r="KO171" i="31" s="1"/>
  <c r="KL170" i="31"/>
  <c r="KN171" i="31" s="1"/>
  <c r="MW170" i="31"/>
  <c r="OY170" i="31"/>
  <c r="CL169" i="31"/>
  <c r="CM169" i="31"/>
  <c r="CN169" i="31" s="1"/>
  <c r="OK170" i="31"/>
  <c r="CP169" i="31" l="1"/>
  <c r="FH169" i="31" s="1"/>
  <c r="FI169" i="31" s="1"/>
  <c r="KQ170" i="31"/>
  <c r="KP171" i="31"/>
  <c r="KR170" i="31"/>
  <c r="MX170" i="31"/>
  <c r="NP170" i="31"/>
  <c r="NQ170" i="31"/>
  <c r="NJ170" i="31"/>
  <c r="NH171" i="31"/>
  <c r="NI171" i="31" s="1"/>
  <c r="MU170" i="31"/>
  <c r="MT170" i="31"/>
  <c r="MO170" i="31"/>
  <c r="PE170" i="31"/>
  <c r="GB169" i="31" l="1"/>
  <c r="GC169" i="31" s="1"/>
  <c r="FP169" i="31"/>
  <c r="FS169" i="31" s="1"/>
  <c r="HY169" i="31" s="1"/>
  <c r="CQ169" i="31"/>
  <c r="CS169" i="31" s="1"/>
  <c r="FX169" i="31"/>
  <c r="FY169" i="31" s="1"/>
  <c r="FE169" i="31"/>
  <c r="FF169" i="31" s="1"/>
  <c r="FG170" i="31" s="1"/>
  <c r="GO169" i="31"/>
  <c r="FZ169" i="31"/>
  <c r="GA169" i="31" s="1"/>
  <c r="FU169" i="31"/>
  <c r="FW169" i="31" s="1"/>
  <c r="DQ169" i="31"/>
  <c r="DR169" i="31" s="1"/>
  <c r="DS169" i="31" s="1"/>
  <c r="AX169" i="31" s="1"/>
  <c r="AY170" i="31" s="1"/>
  <c r="JR169" i="31"/>
  <c r="JS169" i="31" s="1"/>
  <c r="JT170" i="31" s="1"/>
  <c r="KU169" i="31"/>
  <c r="HO169" i="31"/>
  <c r="IA169" i="31" s="1"/>
  <c r="IB169" i="31" s="1"/>
  <c r="KX169" i="31"/>
  <c r="GN169" i="31" s="1"/>
  <c r="KV169" i="31" s="1"/>
  <c r="NA170" i="31"/>
  <c r="NB170" i="31"/>
  <c r="HU169" i="31"/>
  <c r="HV170" i="31" s="1"/>
  <c r="FJ170" i="31"/>
  <c r="KS170" i="31"/>
  <c r="NK170" i="31"/>
  <c r="NL170" i="31"/>
  <c r="NG171" i="31"/>
  <c r="OQ171" i="31"/>
  <c r="NR170" i="31"/>
  <c r="KW170" i="31" l="1"/>
  <c r="HQ169" i="31"/>
  <c r="HR170" i="31" s="1"/>
  <c r="DY169" i="31"/>
  <c r="HA169" i="31"/>
  <c r="CT169" i="31"/>
  <c r="CR169" i="31"/>
  <c r="HW169" i="31"/>
  <c r="HX170" i="31" s="1"/>
  <c r="IZ169" i="31"/>
  <c r="HP169" i="31"/>
  <c r="HS169" i="31" s="1"/>
  <c r="JG169" i="31" s="1"/>
  <c r="GQ169" i="31"/>
  <c r="KC169" i="31"/>
  <c r="KE169" i="31"/>
  <c r="JU169" i="31"/>
  <c r="NC171" i="31"/>
  <c r="MQ171" i="31"/>
  <c r="OR171" i="31"/>
  <c r="EN169" i="31"/>
  <c r="EM169" i="31"/>
  <c r="EW169" i="31" s="1"/>
  <c r="AZ169" i="31"/>
  <c r="HT169" i="31" l="1"/>
  <c r="IC169" i="31" s="1"/>
  <c r="ID169" i="31" s="1"/>
  <c r="IF169" i="31" s="1"/>
  <c r="KH169" i="31" s="1"/>
  <c r="BB170" i="31"/>
  <c r="DW169" i="31"/>
  <c r="DU170" i="31" s="1"/>
  <c r="EQ169" i="31"/>
  <c r="ER170" i="31"/>
  <c r="IU169" i="31"/>
  <c r="IV169" i="31" s="1"/>
  <c r="JB169" i="31" l="1"/>
  <c r="IW169" i="31"/>
  <c r="KB169" i="31" s="1"/>
  <c r="EU170" i="31"/>
  <c r="BC170" i="31"/>
  <c r="KK169" i="31"/>
  <c r="IX169" i="31"/>
  <c r="DB169" i="31"/>
  <c r="DC169" i="31" s="1"/>
  <c r="DD170" i="31" s="1"/>
  <c r="DE171" i="31" s="1"/>
  <c r="IM169" i="31"/>
  <c r="GM169" i="31"/>
  <c r="KI170" i="31"/>
  <c r="IN169" i="31"/>
  <c r="DF169" i="31"/>
  <c r="GT171" i="31" l="1"/>
  <c r="DT169" i="31"/>
  <c r="DZ169" i="31" s="1"/>
  <c r="BD170" i="31"/>
  <c r="BE170" i="31"/>
  <c r="FD169" i="31"/>
  <c r="GV169" i="31"/>
  <c r="GU169" i="31"/>
  <c r="KJ170" i="31"/>
  <c r="GR169" i="31"/>
  <c r="IS169" i="31" l="1"/>
  <c r="FL170" i="31"/>
  <c r="GS169" i="31"/>
  <c r="BG170" i="31"/>
  <c r="BF170" i="31"/>
  <c r="BH170" i="31" l="1"/>
  <c r="BI170" i="31"/>
  <c r="BK170" i="31" s="1"/>
  <c r="GY169" i="31"/>
  <c r="GX169" i="31"/>
  <c r="GW169" i="31"/>
  <c r="HC169" i="31" s="1"/>
  <c r="FA170" i="31" s="1"/>
  <c r="HB170" i="31" s="1"/>
  <c r="FM170" i="31"/>
  <c r="JH169" i="31"/>
  <c r="JI169" i="31" s="1"/>
  <c r="IT169" i="31"/>
  <c r="BJ170" i="31" l="1"/>
  <c r="HM169" i="31"/>
  <c r="EY169" i="31"/>
  <c r="EG169" i="31"/>
  <c r="EH170" i="31" s="1"/>
  <c r="EI170" i="31" s="1"/>
  <c r="FK170" i="31" s="1"/>
  <c r="HK170" i="31"/>
  <c r="BL170" i="31"/>
  <c r="BM170" i="31"/>
  <c r="JK169" i="31"/>
  <c r="JZ169" i="31" s="1"/>
  <c r="KF169" i="31" s="1"/>
  <c r="IQ170" i="31" s="1"/>
  <c r="JM169" i="31" l="1"/>
  <c r="KD169" i="31" s="1"/>
  <c r="IL170" i="31" s="1"/>
  <c r="IR170" i="31" s="1"/>
  <c r="EZ169" i="31"/>
  <c r="DG169" i="31"/>
  <c r="DH169" i="31" s="1"/>
  <c r="DI170" i="31" s="1"/>
  <c r="ED169" i="31"/>
  <c r="EB170" i="31" s="1"/>
  <c r="EJ169" i="31"/>
  <c r="EK170" i="31" s="1"/>
  <c r="EE169" i="31"/>
  <c r="EF170" i="31" s="1"/>
  <c r="BN170" i="31"/>
  <c r="BO170" i="31"/>
  <c r="JN169" i="31"/>
  <c r="JV169" i="31" s="1"/>
  <c r="JF170" i="31" s="1"/>
  <c r="JL169" i="31"/>
  <c r="JJ170" i="31" s="1"/>
  <c r="KA170" i="31"/>
  <c r="JE170" i="31" l="1"/>
  <c r="GZ170" i="31"/>
  <c r="IE170" i="31" s="1"/>
  <c r="DJ170" i="31"/>
  <c r="DK170" i="31" s="1"/>
  <c r="JY170" i="31"/>
  <c r="JW170" i="31"/>
  <c r="HZ170" i="31"/>
  <c r="KG170" i="31"/>
  <c r="IP170" i="31"/>
  <c r="EO170" i="31"/>
  <c r="ES171" i="31" s="1"/>
  <c r="FC170" i="31"/>
  <c r="EL170" i="31"/>
  <c r="EP170" i="31"/>
  <c r="ET171" i="31" s="1"/>
  <c r="EV170" i="31"/>
  <c r="IO170" i="31"/>
  <c r="JC170" i="31"/>
  <c r="JD170" i="31"/>
  <c r="JO170" i="31"/>
  <c r="IY170" i="31"/>
  <c r="DP170" i="31"/>
  <c r="JA170" i="31"/>
  <c r="BP170" i="31"/>
  <c r="BQ170" i="31" s="1"/>
  <c r="BR170" i="31" s="1"/>
  <c r="JX170" i="31" l="1"/>
  <c r="BS170" i="31"/>
  <c r="BT170" i="31" s="1"/>
  <c r="DX170" i="31"/>
  <c r="FQ170" i="31"/>
  <c r="DM170" i="31"/>
  <c r="JP170" i="31"/>
  <c r="JQ170" i="31" s="1"/>
  <c r="EC170" i="31"/>
  <c r="BU170" i="31" l="1"/>
  <c r="BV170" i="31" s="1"/>
  <c r="BW170" i="31" s="1"/>
  <c r="FB170" i="31"/>
  <c r="EX170" i="31"/>
  <c r="M170" i="31" s="1"/>
  <c r="DL170" i="31"/>
  <c r="L171" i="31"/>
  <c r="MB170" i="31" l="1"/>
  <c r="NM170" i="31" s="1"/>
  <c r="NN170" i="31" s="1"/>
  <c r="MJ170" i="31"/>
  <c r="NS170" i="31" s="1"/>
  <c r="BY170" i="31"/>
  <c r="BX170" i="31"/>
  <c r="NT170" i="31" l="1"/>
  <c r="OU171" i="31"/>
  <c r="OV171" i="31"/>
  <c r="NW170" i="31"/>
  <c r="BZ170" i="31"/>
  <c r="CA170" i="31"/>
  <c r="FR170" i="31" l="1"/>
  <c r="CX170" i="31"/>
  <c r="FV170" i="31"/>
  <c r="NU170" i="31"/>
  <c r="NX170" i="31"/>
  <c r="CB170" i="31"/>
  <c r="CC170" i="31" s="1"/>
  <c r="CD170" i="31" l="1"/>
  <c r="CE170" i="31"/>
  <c r="CF170" i="31" s="1"/>
  <c r="NY170" i="31"/>
  <c r="OF170" i="31"/>
  <c r="OS171" i="31" s="1"/>
  <c r="NV170" i="31"/>
  <c r="MY170" i="31"/>
  <c r="NZ170" i="31"/>
  <c r="CY171" i="31"/>
  <c r="CG170" i="31" l="1"/>
  <c r="NF171" i="31"/>
  <c r="OM171" i="31"/>
  <c r="OO171" i="31"/>
  <c r="MZ171" i="31"/>
  <c r="OZ170" i="31"/>
  <c r="OB170" i="31"/>
  <c r="OT171" i="31" s="1"/>
  <c r="OA170" i="31"/>
  <c r="MV171" i="31" s="1"/>
  <c r="OG171" i="31" s="1"/>
  <c r="CH170" i="31"/>
  <c r="CI170" i="31" s="1"/>
  <c r="OI170" i="31"/>
  <c r="CJ170" i="31" l="1"/>
  <c r="CO170" i="31" s="1"/>
  <c r="CK170" i="31"/>
  <c r="CL170" i="31" s="1"/>
  <c r="PA170" i="31"/>
  <c r="KT171" i="31"/>
  <c r="OJ170" i="31"/>
  <c r="MR171" i="31"/>
  <c r="OW170" i="31"/>
  <c r="OX171" i="31"/>
  <c r="OC170" i="31"/>
  <c r="OD171" i="31" s="1"/>
  <c r="OH171" i="31" s="1"/>
  <c r="OK171" i="31" s="1"/>
  <c r="CM170" i="31" l="1"/>
  <c r="CN170" i="31" s="1"/>
  <c r="CP170" i="31" s="1"/>
  <c r="OY171" i="31"/>
  <c r="MW171" i="31"/>
  <c r="KL171" i="31"/>
  <c r="KN172" i="31" s="1"/>
  <c r="KM171" i="31"/>
  <c r="KO172" i="31" s="1"/>
  <c r="MS171" i="31"/>
  <c r="NQ171" i="31" l="1"/>
  <c r="MU171" i="31"/>
  <c r="NH172" i="31"/>
  <c r="NI172" i="31" s="1"/>
  <c r="NP171" i="31"/>
  <c r="NJ171" i="31"/>
  <c r="MO171" i="31"/>
  <c r="MT171" i="31"/>
  <c r="PE171" i="31"/>
  <c r="KP172" i="31"/>
  <c r="KR171" i="31"/>
  <c r="MX171" i="31"/>
  <c r="KQ171" i="31"/>
  <c r="FE170" i="31"/>
  <c r="FF170" i="31" s="1"/>
  <c r="CQ170" i="31"/>
  <c r="FZ170" i="31"/>
  <c r="GA170" i="31" s="1"/>
  <c r="JR170" i="31"/>
  <c r="JS170" i="31" s="1"/>
  <c r="GB170" i="31"/>
  <c r="GC170" i="31" s="1"/>
  <c r="HO170" i="31"/>
  <c r="FX170" i="31"/>
  <c r="FY170" i="31" s="1"/>
  <c r="FP170" i="31"/>
  <c r="FS170" i="31" s="1"/>
  <c r="FH170" i="31"/>
  <c r="FI170" i="31" s="1"/>
  <c r="FU170" i="31"/>
  <c r="FW170" i="31" s="1"/>
  <c r="DQ170" i="31"/>
  <c r="DR170" i="31" s="1"/>
  <c r="GO170" i="31"/>
  <c r="KX170" i="31"/>
  <c r="GN170" i="31" s="1"/>
  <c r="KU170" i="31"/>
  <c r="KS171" i="31" l="1"/>
  <c r="HP170" i="31"/>
  <c r="IA170" i="31"/>
  <c r="IB170" i="31" s="1"/>
  <c r="IZ170" i="31"/>
  <c r="NK171" i="31"/>
  <c r="NL171" i="31"/>
  <c r="NG172" i="31"/>
  <c r="OQ172" i="31"/>
  <c r="DY170" i="31"/>
  <c r="HY170" i="31"/>
  <c r="HA170" i="31"/>
  <c r="NB171" i="31"/>
  <c r="NA171" i="31"/>
  <c r="DS170" i="31"/>
  <c r="AX170" i="31" s="1"/>
  <c r="AY171" i="31" s="1"/>
  <c r="GQ170" i="31"/>
  <c r="KV170" i="31"/>
  <c r="CS170" i="31"/>
  <c r="CR170" i="31"/>
  <c r="CT170" i="31"/>
  <c r="JU170" i="31"/>
  <c r="KC170" i="31"/>
  <c r="KE170" i="31"/>
  <c r="JT171" i="31"/>
  <c r="HU170" i="31"/>
  <c r="HV171" i="31" s="1"/>
  <c r="FJ171" i="31"/>
  <c r="FG171" i="31"/>
  <c r="HW170" i="31"/>
  <c r="HX171" i="31" s="1"/>
  <c r="NR171" i="31"/>
  <c r="KW171" i="31" l="1"/>
  <c r="HQ170" i="31"/>
  <c r="HR171" i="31" s="1"/>
  <c r="NC172" i="31"/>
  <c r="MQ172" i="31"/>
  <c r="AZ170" i="31"/>
  <c r="EN170" i="31"/>
  <c r="EM170" i="31"/>
  <c r="EW170" i="31" s="1"/>
  <c r="HT170" i="31"/>
  <c r="HS170" i="31"/>
  <c r="JG170" i="31" s="1"/>
  <c r="OR172" i="31"/>
  <c r="IC170" i="31" l="1"/>
  <c r="ID170" i="31" s="1"/>
  <c r="IF170" i="31" s="1"/>
  <c r="KH170" i="31" s="1"/>
  <c r="JB170" i="31"/>
  <c r="BB171" i="31"/>
  <c r="DW170" i="31"/>
  <c r="DU171" i="31" s="1"/>
  <c r="EQ170" i="31"/>
  <c r="ER171" i="31"/>
  <c r="IU170" i="31"/>
  <c r="IV170" i="31" s="1"/>
  <c r="IW170" i="31" l="1"/>
  <c r="KB170" i="31" s="1"/>
  <c r="EU171" i="31"/>
  <c r="BC171" i="31"/>
  <c r="IX170" i="31"/>
  <c r="KK170" i="31"/>
  <c r="DB170" i="31"/>
  <c r="DC170" i="31" s="1"/>
  <c r="DD171" i="31" s="1"/>
  <c r="DE172" i="31" s="1"/>
  <c r="IM170" i="31"/>
  <c r="GM170" i="31"/>
  <c r="KI171" i="31"/>
  <c r="IN170" i="31"/>
  <c r="DF170" i="31"/>
  <c r="DT170" i="31" l="1"/>
  <c r="DZ170" i="31" s="1"/>
  <c r="GT172" i="31"/>
  <c r="BE171" i="31"/>
  <c r="BD171" i="31"/>
  <c r="FD170" i="31"/>
  <c r="GU170" i="31"/>
  <c r="GV170" i="31"/>
  <c r="KJ171" i="31"/>
  <c r="GR170" i="31"/>
  <c r="IS170" i="31" l="1"/>
  <c r="FL171" i="31"/>
  <c r="GS170" i="31"/>
  <c r="BF171" i="31"/>
  <c r="BG171" i="31"/>
  <c r="BI171" i="31" l="1"/>
  <c r="BK171" i="31" s="1"/>
  <c r="BH171" i="31"/>
  <c r="GW170" i="31"/>
  <c r="HC170" i="31" s="1"/>
  <c r="FA171" i="31" s="1"/>
  <c r="HB171" i="31" s="1"/>
  <c r="GY170" i="31"/>
  <c r="GX170" i="31"/>
  <c r="FM171" i="31"/>
  <c r="JH170" i="31"/>
  <c r="JI170" i="31" s="1"/>
  <c r="IT170" i="31"/>
  <c r="BJ171" i="31" l="1"/>
  <c r="JK170" i="31"/>
  <c r="JN170" i="31" s="1"/>
  <c r="JV170" i="31" s="1"/>
  <c r="JF171" i="31" s="1"/>
  <c r="HM170" i="31"/>
  <c r="EG170" i="31"/>
  <c r="EH171" i="31" s="1"/>
  <c r="EI171" i="31" s="1"/>
  <c r="FK171" i="31" s="1"/>
  <c r="EY170" i="31"/>
  <c r="HK171" i="31"/>
  <c r="BL171" i="31"/>
  <c r="BM171" i="31"/>
  <c r="JM170" i="31" l="1"/>
  <c r="KD170" i="31" s="1"/>
  <c r="IL171" i="31" s="1"/>
  <c r="JW171" i="31"/>
  <c r="JY171" i="31"/>
  <c r="EZ170" i="31"/>
  <c r="DG170" i="31"/>
  <c r="DH170" i="31" s="1"/>
  <c r="DI171" i="31" s="1"/>
  <c r="EJ170" i="31"/>
  <c r="EK171" i="31" s="1"/>
  <c r="ED170" i="31"/>
  <c r="EB171" i="31" s="1"/>
  <c r="EE170" i="31"/>
  <c r="EF171" i="31" s="1"/>
  <c r="BN171" i="31"/>
  <c r="BO171" i="31"/>
  <c r="JZ170" i="31"/>
  <c r="KF170" i="31" s="1"/>
  <c r="IQ171" i="31" s="1"/>
  <c r="JL170" i="31"/>
  <c r="JJ171" i="31" s="1"/>
  <c r="KA171" i="31"/>
  <c r="IO171" i="31" l="1"/>
  <c r="IP171" i="31"/>
  <c r="JE171" i="31"/>
  <c r="BP171" i="31"/>
  <c r="BQ171" i="31" s="1"/>
  <c r="DP171" i="31"/>
  <c r="HZ171" i="31"/>
  <c r="DJ171" i="31"/>
  <c r="DK171" i="31" s="1"/>
  <c r="GZ171" i="31"/>
  <c r="IE171" i="31" s="1"/>
  <c r="EL171" i="31"/>
  <c r="FC171" i="31"/>
  <c r="EP171" i="31"/>
  <c r="ET172" i="31" s="1"/>
  <c r="EO171" i="31"/>
  <c r="ES172" i="31" s="1"/>
  <c r="EV171" i="31"/>
  <c r="IY171" i="31"/>
  <c r="JA171" i="31"/>
  <c r="JO171" i="31"/>
  <c r="IR171" i="31"/>
  <c r="JC171" i="31"/>
  <c r="JD171" i="31"/>
  <c r="JP171" i="31" l="1"/>
  <c r="JQ171" i="31" s="1"/>
  <c r="KG171" i="31"/>
  <c r="EC171" i="31"/>
  <c r="DX171" i="31"/>
  <c r="FQ171" i="31"/>
  <c r="DM171" i="31"/>
  <c r="BR171" i="31"/>
  <c r="BS171" i="31"/>
  <c r="JX171" i="31"/>
  <c r="DL171" i="31" l="1"/>
  <c r="L172" i="31"/>
  <c r="FB171" i="31"/>
  <c r="EX171" i="31"/>
  <c r="M171" i="31" s="1"/>
  <c r="BT171" i="31"/>
  <c r="BU171" i="31"/>
  <c r="MB171" i="31" l="1"/>
  <c r="NM171" i="31" s="1"/>
  <c r="NN171" i="31" s="1"/>
  <c r="MJ171" i="31"/>
  <c r="NS171" i="31" s="1"/>
  <c r="BV171" i="31"/>
  <c r="BW171" i="31" s="1"/>
  <c r="BX171" i="31" l="1"/>
  <c r="BY171" i="31"/>
  <c r="NT171" i="31"/>
  <c r="OU172" i="31"/>
  <c r="OV172" i="31"/>
  <c r="NW171" i="31"/>
  <c r="NX171" i="31" s="1"/>
  <c r="OF171" i="31" l="1"/>
  <c r="OS172" i="31" s="1"/>
  <c r="NY171" i="31"/>
  <c r="FV171" i="31"/>
  <c r="FR171" i="31"/>
  <c r="CX171" i="31"/>
  <c r="NU171" i="31"/>
  <c r="BZ171" i="31"/>
  <c r="CA171" i="31"/>
  <c r="OB171" i="31" l="1"/>
  <c r="OT172" i="31" s="1"/>
  <c r="NV171" i="31"/>
  <c r="MY171" i="31"/>
  <c r="NZ171" i="31"/>
  <c r="OA171" i="31" s="1"/>
  <c r="MV172" i="31" s="1"/>
  <c r="OG172" i="31" s="1"/>
  <c r="CY172" i="31"/>
  <c r="CB171" i="31"/>
  <c r="CC171" i="31" s="1"/>
  <c r="CE171" i="31" l="1"/>
  <c r="CD171" i="31"/>
  <c r="PA171" i="31"/>
  <c r="MZ172" i="31"/>
  <c r="OZ171" i="31"/>
  <c r="OC171" i="31"/>
  <c r="OD172" i="31" s="1"/>
  <c r="OH172" i="31" s="1"/>
  <c r="OK172" i="31" s="1"/>
  <c r="OM172" i="31"/>
  <c r="NF172" i="31"/>
  <c r="OO172" i="31"/>
  <c r="KT172" i="31" s="1"/>
  <c r="OI171" i="31"/>
  <c r="OJ171" i="31"/>
  <c r="CF171" i="31" l="1"/>
  <c r="CG171" i="31"/>
  <c r="CH171" i="31" s="1"/>
  <c r="CI171" i="31" s="1"/>
  <c r="OY172" i="31"/>
  <c r="MW172" i="31"/>
  <c r="OX172" i="31"/>
  <c r="MR172" i="31"/>
  <c r="OW171" i="31"/>
  <c r="KL172" i="31"/>
  <c r="KN173" i="31" s="1"/>
  <c r="KM172" i="31"/>
  <c r="KO173" i="31" s="1"/>
  <c r="MS172" i="31" l="1"/>
  <c r="MX172" i="31"/>
  <c r="KP173" i="31"/>
  <c r="KR172" i="31"/>
  <c r="CJ171" i="31"/>
  <c r="CO171" i="31" s="1"/>
  <c r="CK171" i="31"/>
  <c r="KQ172" i="31"/>
  <c r="KS172" i="31" l="1"/>
  <c r="NB172" i="31"/>
  <c r="NA172" i="31"/>
  <c r="CL171" i="31"/>
  <c r="CM171" i="31"/>
  <c r="CN171" i="31" s="1"/>
  <c r="NH173" i="31"/>
  <c r="NI173" i="31" s="1"/>
  <c r="NJ172" i="31"/>
  <c r="MT172" i="31"/>
  <c r="NQ172" i="31"/>
  <c r="NP172" i="31"/>
  <c r="MU172" i="31"/>
  <c r="MO172" i="31"/>
  <c r="PE172" i="31"/>
  <c r="NR172" i="31" l="1"/>
  <c r="NK172" i="31"/>
  <c r="NL172" i="31"/>
  <c r="NG173" i="31"/>
  <c r="OQ173" i="31"/>
  <c r="CP171" i="31"/>
  <c r="FU171" i="31" l="1"/>
  <c r="FW171" i="31" s="1"/>
  <c r="FE171" i="31"/>
  <c r="FF171" i="31" s="1"/>
  <c r="FX171" i="31"/>
  <c r="FY171" i="31" s="1"/>
  <c r="FP171" i="31"/>
  <c r="FS171" i="31" s="1"/>
  <c r="DQ171" i="31"/>
  <c r="DR171" i="31" s="1"/>
  <c r="GO171" i="31"/>
  <c r="CQ171" i="31"/>
  <c r="HO171" i="31"/>
  <c r="FZ171" i="31"/>
  <c r="GA171" i="31" s="1"/>
  <c r="FH171" i="31"/>
  <c r="FI171" i="31" s="1"/>
  <c r="JR171" i="31"/>
  <c r="JS171" i="31" s="1"/>
  <c r="GB171" i="31"/>
  <c r="GC171" i="31" s="1"/>
  <c r="KX171" i="31"/>
  <c r="KU171" i="31"/>
  <c r="NC173" i="31"/>
  <c r="MQ173" i="31"/>
  <c r="OR173" i="31"/>
  <c r="GN171" i="31" l="1"/>
  <c r="GQ171" i="31" s="1"/>
  <c r="HP171" i="31"/>
  <c r="IA171" i="31"/>
  <c r="IB171" i="31" s="1"/>
  <c r="IZ171" i="31"/>
  <c r="DS171" i="31"/>
  <c r="AX171" i="31" s="1"/>
  <c r="AY172" i="31" s="1"/>
  <c r="CR171" i="31"/>
  <c r="CS171" i="31"/>
  <c r="CT171" i="31"/>
  <c r="HY171" i="31"/>
  <c r="DY171" i="31"/>
  <c r="HA171" i="31"/>
  <c r="KV171" i="31"/>
  <c r="JU171" i="31"/>
  <c r="KE171" i="31"/>
  <c r="KC171" i="31"/>
  <c r="JT172" i="31"/>
  <c r="HU171" i="31"/>
  <c r="HV172" i="31" s="1"/>
  <c r="FJ172" i="31"/>
  <c r="FG172" i="31"/>
  <c r="HW171" i="31"/>
  <c r="HX172" i="31" s="1"/>
  <c r="KW172" i="31" l="1"/>
  <c r="HQ171" i="31"/>
  <c r="HR172" i="31" s="1"/>
  <c r="EN171" i="31"/>
  <c r="EM171" i="31"/>
  <c r="EW171" i="31" s="1"/>
  <c r="AZ171" i="31"/>
  <c r="HT171" i="31"/>
  <c r="HS171" i="31"/>
  <c r="JG171" i="31" s="1"/>
  <c r="IC171" i="31" l="1"/>
  <c r="ID171" i="31" s="1"/>
  <c r="IF171" i="31" s="1"/>
  <c r="KH171" i="31" s="1"/>
  <c r="JB171" i="31"/>
  <c r="BB172" i="31"/>
  <c r="DW171" i="31"/>
  <c r="DU172" i="31" s="1"/>
  <c r="EQ171" i="31"/>
  <c r="ER172" i="31"/>
  <c r="IU171" i="31"/>
  <c r="IV171" i="31" s="1"/>
  <c r="IW171" i="31" l="1"/>
  <c r="KB171" i="31" s="1"/>
  <c r="BC172" i="31"/>
  <c r="IX171" i="31"/>
  <c r="KK171" i="31"/>
  <c r="EU172" i="31"/>
  <c r="DB171" i="31"/>
  <c r="DC171" i="31" s="1"/>
  <c r="DD172" i="31" s="1"/>
  <c r="DE173" i="31" s="1"/>
  <c r="IM171" i="31"/>
  <c r="GM171" i="31"/>
  <c r="KI172" i="31"/>
  <c r="IN171" i="31"/>
  <c r="DF171" i="31"/>
  <c r="DT171" i="31" l="1"/>
  <c r="DZ171" i="31" s="1"/>
  <c r="GT173" i="31"/>
  <c r="FD171" i="31"/>
  <c r="GV171" i="31"/>
  <c r="GU171" i="31"/>
  <c r="KJ172" i="31"/>
  <c r="GR171" i="31"/>
  <c r="BD172" i="31"/>
  <c r="BE172" i="31"/>
  <c r="BF172" i="31" l="1"/>
  <c r="BG172" i="31"/>
  <c r="IS171" i="31"/>
  <c r="FL172" i="31"/>
  <c r="GS171" i="31"/>
  <c r="FM172" i="31" l="1"/>
  <c r="JH171" i="31"/>
  <c r="JI171" i="31" s="1"/>
  <c r="IT171" i="31"/>
  <c r="GY171" i="31"/>
  <c r="GX171" i="31"/>
  <c r="GW171" i="31"/>
  <c r="HC171" i="31" s="1"/>
  <c r="FA172" i="31" s="1"/>
  <c r="HB172" i="31" s="1"/>
  <c r="BH172" i="31"/>
  <c r="BI172" i="31"/>
  <c r="BK172" i="31" s="1"/>
  <c r="BJ172" i="31" l="1"/>
  <c r="JK171" i="31"/>
  <c r="JZ171" i="31" s="1"/>
  <c r="KF171" i="31" s="1"/>
  <c r="IQ172" i="31" s="1"/>
  <c r="EY171" i="31"/>
  <c r="EG171" i="31"/>
  <c r="EH172" i="31" s="1"/>
  <c r="EI172" i="31" s="1"/>
  <c r="FK172" i="31" s="1"/>
  <c r="HM171" i="31"/>
  <c r="HK172" i="31"/>
  <c r="BL172" i="31"/>
  <c r="BM172" i="31"/>
  <c r="JM171" i="31" l="1"/>
  <c r="KD171" i="31" s="1"/>
  <c r="IL172" i="31" s="1"/>
  <c r="IR172" i="31" s="1"/>
  <c r="JN171" i="31"/>
  <c r="JV171" i="31" s="1"/>
  <c r="JF172" i="31" s="1"/>
  <c r="JY172" i="31" s="1"/>
  <c r="EZ171" i="31"/>
  <c r="DG171" i="31"/>
  <c r="DH171" i="31" s="1"/>
  <c r="DI172" i="31" s="1"/>
  <c r="JL171" i="31"/>
  <c r="JJ172" i="31" s="1"/>
  <c r="KA172" i="31"/>
  <c r="BN172" i="31"/>
  <c r="BO172" i="31"/>
  <c r="EE171" i="31"/>
  <c r="EF172" i="31" s="1"/>
  <c r="EJ171" i="31"/>
  <c r="EK172" i="31" s="1"/>
  <c r="ED171" i="31"/>
  <c r="EB172" i="31" s="1"/>
  <c r="JA172" i="31" s="1"/>
  <c r="JE172" i="31" l="1"/>
  <c r="JW172" i="31"/>
  <c r="IO172" i="31"/>
  <c r="JO172" i="31"/>
  <c r="BP172" i="31"/>
  <c r="BQ172" i="31" s="1"/>
  <c r="IP172" i="31"/>
  <c r="EP172" i="31"/>
  <c r="ET173" i="31" s="1"/>
  <c r="EL172" i="31"/>
  <c r="JX172" i="31" s="1"/>
  <c r="FC172" i="31"/>
  <c r="EO172" i="31"/>
  <c r="ES173" i="31" s="1"/>
  <c r="EV172" i="31"/>
  <c r="IY172" i="31"/>
  <c r="JP172" i="31" s="1"/>
  <c r="JQ172" i="31" s="1"/>
  <c r="JC172" i="31"/>
  <c r="JD172" i="31"/>
  <c r="DP172" i="31"/>
  <c r="DJ172" i="31"/>
  <c r="DK172" i="31" s="1"/>
  <c r="GZ172" i="31"/>
  <c r="KG172" i="31" s="1"/>
  <c r="HZ172" i="31"/>
  <c r="BR172" i="31" l="1"/>
  <c r="BS172" i="31"/>
  <c r="BT172" i="31" s="1"/>
  <c r="FQ172" i="31"/>
  <c r="DM172" i="31"/>
  <c r="DX172" i="31"/>
  <c r="EC172" i="31"/>
  <c r="IE172" i="31"/>
  <c r="BU172" i="31" l="1"/>
  <c r="BV172" i="31" s="1"/>
  <c r="BW172" i="31" s="1"/>
  <c r="EX172" i="31"/>
  <c r="M172" i="31" s="1"/>
  <c r="FB172" i="31"/>
  <c r="DL172" i="31"/>
  <c r="L173" i="31"/>
  <c r="BY172" i="31" l="1"/>
  <c r="BX172" i="31"/>
  <c r="MJ172" i="31"/>
  <c r="NS172" i="31" s="1"/>
  <c r="MB172" i="31"/>
  <c r="NM172" i="31" s="1"/>
  <c r="NN172" i="31" s="1"/>
  <c r="OV173" i="31" l="1"/>
  <c r="NW172" i="31"/>
  <c r="NT172" i="31"/>
  <c r="OU173" i="31"/>
  <c r="BZ172" i="31"/>
  <c r="CA172" i="31"/>
  <c r="CB172" i="31" l="1"/>
  <c r="CC172" i="31" s="1"/>
  <c r="FR172" i="31"/>
  <c r="FV172" i="31"/>
  <c r="CX172" i="31"/>
  <c r="NU172" i="31"/>
  <c r="NX172" i="31"/>
  <c r="CD172" i="31" l="1"/>
  <c r="CE172" i="31"/>
  <c r="CF172" i="31" s="1"/>
  <c r="NZ172" i="31"/>
  <c r="MY172" i="31"/>
  <c r="CY173" i="31"/>
  <c r="NY172" i="31"/>
  <c r="OF172" i="31"/>
  <c r="OS173" i="31" s="1"/>
  <c r="NV172" i="31"/>
  <c r="CG172" i="31" l="1"/>
  <c r="CH172" i="31" s="1"/>
  <c r="CI172" i="31" s="1"/>
  <c r="OB172" i="31"/>
  <c r="OT173" i="31" s="1"/>
  <c r="OA172" i="31"/>
  <c r="MV173" i="31" s="1"/>
  <c r="OI172" i="31"/>
  <c r="OO173" i="31"/>
  <c r="OM173" i="31"/>
  <c r="NF173" i="31"/>
  <c r="MZ173" i="31"/>
  <c r="OZ172" i="31"/>
  <c r="CJ172" i="31" l="1"/>
  <c r="CO172" i="31" s="1"/>
  <c r="CK172" i="31"/>
  <c r="OW172" i="31"/>
  <c r="MR173" i="31"/>
  <c r="OX173" i="31"/>
  <c r="OG173" i="31"/>
  <c r="KT173" i="31"/>
  <c r="OC172" i="31"/>
  <c r="OD173" i="31" s="1"/>
  <c r="OH173" i="31" s="1"/>
  <c r="PA172" i="31"/>
  <c r="OJ172" i="31"/>
  <c r="OK173" i="31" l="1"/>
  <c r="MS173" i="31"/>
  <c r="OY173" i="31"/>
  <c r="MW173" i="31"/>
  <c r="CL172" i="31"/>
  <c r="CM172" i="31"/>
  <c r="CN172" i="31" s="1"/>
  <c r="KM173" i="31"/>
  <c r="KO174" i="31" s="1"/>
  <c r="KL173" i="31"/>
  <c r="KN174" i="31" s="1"/>
  <c r="CP172" i="31" l="1"/>
  <c r="FP172" i="31" s="1"/>
  <c r="FS172" i="31" s="1"/>
  <c r="MX173" i="31"/>
  <c r="KQ173" i="31"/>
  <c r="KP174" i="31"/>
  <c r="KR173" i="31"/>
  <c r="NQ173" i="31"/>
  <c r="MO173" i="31"/>
  <c r="NH174" i="31"/>
  <c r="NI174" i="31" s="1"/>
  <c r="MU173" i="31"/>
  <c r="NP173" i="31"/>
  <c r="NJ173" i="31"/>
  <c r="MT173" i="31"/>
  <c r="PE173" i="31"/>
  <c r="KU172" i="31" l="1"/>
  <c r="CQ172" i="31"/>
  <c r="CT172" i="31" s="1"/>
  <c r="KX172" i="31"/>
  <c r="GN172" i="31" s="1"/>
  <c r="KV172" i="31" s="1"/>
  <c r="FH172" i="31"/>
  <c r="FI172" i="31" s="1"/>
  <c r="HU172" i="31" s="1"/>
  <c r="HV173" i="31" s="1"/>
  <c r="JR172" i="31"/>
  <c r="JS172" i="31" s="1"/>
  <c r="JU172" i="31" s="1"/>
  <c r="HO172" i="31"/>
  <c r="IZ172" i="31" s="1"/>
  <c r="GB172" i="31"/>
  <c r="GC172" i="31" s="1"/>
  <c r="FE172" i="31"/>
  <c r="FF172" i="31" s="1"/>
  <c r="FG173" i="31" s="1"/>
  <c r="FU172" i="31"/>
  <c r="FW172" i="31" s="1"/>
  <c r="GO172" i="31"/>
  <c r="FZ172" i="31"/>
  <c r="GA172" i="31" s="1"/>
  <c r="FX172" i="31"/>
  <c r="FY172" i="31" s="1"/>
  <c r="DQ172" i="31"/>
  <c r="DR172" i="31" s="1"/>
  <c r="DS172" i="31" s="1"/>
  <c r="AX172" i="31" s="1"/>
  <c r="AY173" i="31" s="1"/>
  <c r="NR173" i="31"/>
  <c r="KS173" i="31"/>
  <c r="NK173" i="31"/>
  <c r="NL173" i="31"/>
  <c r="NG174" i="31"/>
  <c r="OQ174" i="31"/>
  <c r="HY172" i="31"/>
  <c r="DY172" i="31"/>
  <c r="HA172" i="31"/>
  <c r="NA173" i="31"/>
  <c r="NB173" i="31"/>
  <c r="CS172" i="31" l="1"/>
  <c r="CR172" i="31"/>
  <c r="KW173" i="31"/>
  <c r="HQ172" i="31"/>
  <c r="HR173" i="31" s="1"/>
  <c r="GQ172" i="31"/>
  <c r="FJ173" i="31"/>
  <c r="KC172" i="31"/>
  <c r="JT173" i="31"/>
  <c r="KE172" i="31"/>
  <c r="HP172" i="31"/>
  <c r="HT172" i="31" s="1"/>
  <c r="IA172" i="31"/>
  <c r="IB172" i="31" s="1"/>
  <c r="HW172" i="31"/>
  <c r="HX173" i="31" s="1"/>
  <c r="NC174" i="31"/>
  <c r="MQ174" i="31"/>
  <c r="OR174" i="31"/>
  <c r="EM172" i="31"/>
  <c r="EW172" i="31" s="1"/>
  <c r="EN172" i="31"/>
  <c r="AZ172" i="31"/>
  <c r="HS172" i="31" l="1"/>
  <c r="JG172" i="31" s="1"/>
  <c r="IC172" i="31"/>
  <c r="ID172" i="31" s="1"/>
  <c r="IF172" i="31" s="1"/>
  <c r="KH172" i="31" s="1"/>
  <c r="JB172" i="31"/>
  <c r="BB173" i="31"/>
  <c r="EQ172" i="31"/>
  <c r="DW172" i="31"/>
  <c r="DU173" i="31" s="1"/>
  <c r="IW172" i="31"/>
  <c r="ER173" i="31"/>
  <c r="IU172" i="31"/>
  <c r="IV172" i="31" s="1"/>
  <c r="BC173" i="31" l="1"/>
  <c r="KB172" i="31"/>
  <c r="IX172" i="31"/>
  <c r="KK172" i="31"/>
  <c r="DB172" i="31"/>
  <c r="DC172" i="31" s="1"/>
  <c r="DD173" i="31" s="1"/>
  <c r="DE174" i="31" s="1"/>
  <c r="IM172" i="31"/>
  <c r="DT172" i="31" s="1"/>
  <c r="DZ172" i="31" s="1"/>
  <c r="GM172" i="31"/>
  <c r="KI173" i="31"/>
  <c r="IN172" i="31"/>
  <c r="DF172" i="31"/>
  <c r="EU173" i="31"/>
  <c r="GT174" i="31" l="1"/>
  <c r="GR172" i="31"/>
  <c r="KJ173" i="31"/>
  <c r="FD172" i="31"/>
  <c r="GU172" i="31"/>
  <c r="GV172" i="31"/>
  <c r="BD173" i="31"/>
  <c r="BE173" i="31"/>
  <c r="IS172" i="31" l="1"/>
  <c r="FL173" i="31"/>
  <c r="BF173" i="31"/>
  <c r="BG173" i="31"/>
  <c r="GS172" i="31"/>
  <c r="GW172" i="31" l="1"/>
  <c r="HC172" i="31" s="1"/>
  <c r="FA173" i="31" s="1"/>
  <c r="HB173" i="31" s="1"/>
  <c r="GX172" i="31"/>
  <c r="GY172" i="31"/>
  <c r="BI173" i="31"/>
  <c r="BK173" i="31" s="1"/>
  <c r="BH173" i="31"/>
  <c r="FM173" i="31"/>
  <c r="JH172" i="31"/>
  <c r="JI172" i="31" s="1"/>
  <c r="IT172" i="31"/>
  <c r="JK172" i="31" l="1"/>
  <c r="JZ172" i="31" s="1"/>
  <c r="KF172" i="31" s="1"/>
  <c r="IQ173" i="31" s="1"/>
  <c r="BJ173" i="31"/>
  <c r="HM172" i="31"/>
  <c r="EY172" i="31"/>
  <c r="EG172" i="31"/>
  <c r="EH173" i="31" s="1"/>
  <c r="EI173" i="31" s="1"/>
  <c r="FK173" i="31" s="1"/>
  <c r="HK173" i="31"/>
  <c r="BL173" i="31"/>
  <c r="BM173" i="31"/>
  <c r="JM172" i="31" l="1"/>
  <c r="KD172" i="31" s="1"/>
  <c r="IL173" i="31" s="1"/>
  <c r="IR173" i="31" s="1"/>
  <c r="JN172" i="31"/>
  <c r="JV172" i="31" s="1"/>
  <c r="JF173" i="31" s="1"/>
  <c r="JW173" i="31" s="1"/>
  <c r="BN173" i="31"/>
  <c r="BO173" i="31"/>
  <c r="EJ172" i="31"/>
  <c r="EK173" i="31" s="1"/>
  <c r="EE172" i="31"/>
  <c r="EF173" i="31" s="1"/>
  <c r="ED172" i="31"/>
  <c r="EB173" i="31" s="1"/>
  <c r="IY173" i="31" s="1"/>
  <c r="EZ172" i="31"/>
  <c r="DG172" i="31"/>
  <c r="DH172" i="31" s="1"/>
  <c r="DI173" i="31" s="1"/>
  <c r="JL172" i="31"/>
  <c r="JJ173" i="31" s="1"/>
  <c r="KA173" i="31"/>
  <c r="JY173" i="31" l="1"/>
  <c r="JE173" i="31"/>
  <c r="IP173" i="31"/>
  <c r="JO173" i="31"/>
  <c r="IO173" i="31"/>
  <c r="JP173" i="31" s="1"/>
  <c r="JQ173" i="31" s="1"/>
  <c r="BP173" i="31"/>
  <c r="BQ173" i="31" s="1"/>
  <c r="DP173" i="31"/>
  <c r="JC173" i="31"/>
  <c r="JD173" i="31"/>
  <c r="JA173" i="31"/>
  <c r="EP173" i="31"/>
  <c r="ET174" i="31" s="1"/>
  <c r="FC173" i="31"/>
  <c r="EL173" i="31"/>
  <c r="EO173" i="31"/>
  <c r="ES174" i="31" s="1"/>
  <c r="EV173" i="31"/>
  <c r="HZ173" i="31"/>
  <c r="GZ173" i="31"/>
  <c r="IE173" i="31" s="1"/>
  <c r="DJ173" i="31"/>
  <c r="DK173" i="31" s="1"/>
  <c r="BR173" i="31" l="1"/>
  <c r="BS173" i="31"/>
  <c r="BU173" i="31" s="1"/>
  <c r="KG173" i="31"/>
  <c r="DM173" i="31"/>
  <c r="FQ173" i="31"/>
  <c r="DX173" i="31"/>
  <c r="EC173" i="31"/>
  <c r="JX173" i="31"/>
  <c r="BV173" i="31" l="1"/>
  <c r="BW173" i="31" s="1"/>
  <c r="BT173" i="31"/>
  <c r="EX173" i="31"/>
  <c r="M173" i="31" s="1"/>
  <c r="FB173" i="31"/>
  <c r="DL173" i="31"/>
  <c r="L174" i="31"/>
  <c r="MB173" i="31" l="1"/>
  <c r="NM173" i="31" s="1"/>
  <c r="NN173" i="31" s="1"/>
  <c r="MJ173" i="31"/>
  <c r="NS173" i="31" s="1"/>
  <c r="BX173" i="31"/>
  <c r="BY173" i="31"/>
  <c r="BZ173" i="31" l="1"/>
  <c r="CA173" i="31"/>
  <c r="NT173" i="31"/>
  <c r="OU174" i="31"/>
  <c r="OV174" i="31"/>
  <c r="NW173" i="31"/>
  <c r="CB173" i="31" l="1"/>
  <c r="CC173" i="31" s="1"/>
  <c r="CX173" i="31"/>
  <c r="FV173" i="31"/>
  <c r="FR173" i="31"/>
  <c r="NU173" i="31"/>
  <c r="NX173" i="31"/>
  <c r="OF173" i="31" s="1"/>
  <c r="OS174" i="31" s="1"/>
  <c r="CE173" i="31" l="1"/>
  <c r="CG173" i="31" s="1"/>
  <c r="CD173" i="31"/>
  <c r="NV173" i="31"/>
  <c r="NZ173" i="31"/>
  <c r="MY173" i="31"/>
  <c r="CY174" i="31"/>
  <c r="NY173" i="31"/>
  <c r="CF173" i="31" l="1"/>
  <c r="MZ174" i="31"/>
  <c r="OZ173" i="31"/>
  <c r="NF174" i="31"/>
  <c r="OM174" i="31"/>
  <c r="OO174" i="31"/>
  <c r="OB173" i="31"/>
  <c r="OT174" i="31" s="1"/>
  <c r="OA173" i="31"/>
  <c r="MV174" i="31" s="1"/>
  <c r="CH173" i="31"/>
  <c r="CI173" i="31" s="1"/>
  <c r="OI173" i="31"/>
  <c r="OJ173" i="31" l="1"/>
  <c r="MW174" i="31" s="1"/>
  <c r="OG174" i="31"/>
  <c r="KT174" i="31"/>
  <c r="MR174" i="31"/>
  <c r="OW173" i="31"/>
  <c r="OX174" i="31"/>
  <c r="CJ173" i="31"/>
  <c r="CO173" i="31" s="1"/>
  <c r="CK173" i="31"/>
  <c r="PA173" i="31"/>
  <c r="OC173" i="31"/>
  <c r="OD174" i="31" s="1"/>
  <c r="OH174" i="31" s="1"/>
  <c r="OY174" i="31" l="1"/>
  <c r="OK174" i="31"/>
  <c r="MS174" i="31"/>
  <c r="KL174" i="31"/>
  <c r="KN175" i="31" s="1"/>
  <c r="KM174" i="31"/>
  <c r="KO175" i="31" s="1"/>
  <c r="CL173" i="31"/>
  <c r="CM173" i="31"/>
  <c r="CN173" i="31" s="1"/>
  <c r="MX174" i="31"/>
  <c r="KP175" i="31" l="1"/>
  <c r="KR174" i="31"/>
  <c r="KQ174" i="31"/>
  <c r="KS174" i="31" s="1"/>
  <c r="NP174" i="31"/>
  <c r="NQ174" i="31"/>
  <c r="NJ174" i="31"/>
  <c r="MU174" i="31"/>
  <c r="MO174" i="31"/>
  <c r="MT174" i="31"/>
  <c r="NH175" i="31"/>
  <c r="NI175" i="31" s="1"/>
  <c r="PE174" i="31"/>
  <c r="CP173" i="31"/>
  <c r="NB174" i="31"/>
  <c r="NA174" i="31"/>
  <c r="NR174" i="31" l="1"/>
  <c r="FX173" i="31"/>
  <c r="FY173" i="31" s="1"/>
  <c r="HO173" i="31"/>
  <c r="CQ173" i="31"/>
  <c r="FP173" i="31"/>
  <c r="FS173" i="31" s="1"/>
  <c r="GB173" i="31"/>
  <c r="GC173" i="31" s="1"/>
  <c r="JR173" i="31"/>
  <c r="JS173" i="31" s="1"/>
  <c r="FZ173" i="31"/>
  <c r="GA173" i="31" s="1"/>
  <c r="FH173" i="31"/>
  <c r="FI173" i="31" s="1"/>
  <c r="FU173" i="31"/>
  <c r="FW173" i="31" s="1"/>
  <c r="FE173" i="31"/>
  <c r="FF173" i="31" s="1"/>
  <c r="DQ173" i="31"/>
  <c r="DR173" i="31" s="1"/>
  <c r="GO173" i="31"/>
  <c r="KX173" i="31"/>
  <c r="KU173" i="31"/>
  <c r="NK174" i="31"/>
  <c r="NL174" i="31"/>
  <c r="NG175" i="31"/>
  <c r="OQ175" i="31"/>
  <c r="GN173" i="31" l="1"/>
  <c r="GQ173" i="31" s="1"/>
  <c r="KC173" i="31"/>
  <c r="JU173" i="31"/>
  <c r="JT174" i="31"/>
  <c r="KE173" i="31"/>
  <c r="DY173" i="31"/>
  <c r="HY173" i="31"/>
  <c r="HA173" i="31"/>
  <c r="OR175" i="31"/>
  <c r="NC175" i="31"/>
  <c r="MQ175" i="31"/>
  <c r="DS173" i="31"/>
  <c r="AX173" i="31" s="1"/>
  <c r="AY174" i="31" s="1"/>
  <c r="CS173" i="31"/>
  <c r="CT173" i="31"/>
  <c r="CR173" i="31"/>
  <c r="HW173" i="31"/>
  <c r="HX174" i="31" s="1"/>
  <c r="FG174" i="31"/>
  <c r="IA173" i="31"/>
  <c r="IB173" i="31" s="1"/>
  <c r="HP173" i="31"/>
  <c r="IZ173" i="31"/>
  <c r="HU173" i="31"/>
  <c r="HV174" i="31" s="1"/>
  <c r="FJ174" i="31"/>
  <c r="KV173" i="31" l="1"/>
  <c r="KW174" i="31" s="1"/>
  <c r="HQ173" i="31"/>
  <c r="HR174" i="31" s="1"/>
  <c r="EN173" i="31"/>
  <c r="EM173" i="31"/>
  <c r="EW173" i="31" s="1"/>
  <c r="AZ173" i="31"/>
  <c r="HS173" i="31"/>
  <c r="JG173" i="31" s="1"/>
  <c r="HT173" i="31"/>
  <c r="BB174" i="31" l="1"/>
  <c r="EQ173" i="31"/>
  <c r="DW173" i="31"/>
  <c r="DU174" i="31" s="1"/>
  <c r="ER174" i="31"/>
  <c r="IU173" i="31"/>
  <c r="IV173" i="31" s="1"/>
  <c r="IC173" i="31"/>
  <c r="ID173" i="31" s="1"/>
  <c r="IF173" i="31" s="1"/>
  <c r="KH173" i="31" s="1"/>
  <c r="JB173" i="31"/>
  <c r="IW173" i="31" l="1"/>
  <c r="KB173" i="31" s="1"/>
  <c r="EU174" i="31"/>
  <c r="BC174" i="31"/>
  <c r="DB173" i="31"/>
  <c r="DC173" i="31" s="1"/>
  <c r="DD174" i="31" s="1"/>
  <c r="DE175" i="31" s="1"/>
  <c r="IM173" i="31"/>
  <c r="GM173" i="31"/>
  <c r="KI174" i="31"/>
  <c r="IN173" i="31"/>
  <c r="DF173" i="31"/>
  <c r="IX173" i="31"/>
  <c r="KK173" i="31"/>
  <c r="DT173" i="31" l="1"/>
  <c r="DZ173" i="31" s="1"/>
  <c r="GT175" i="31"/>
  <c r="KJ174" i="31"/>
  <c r="GR173" i="31"/>
  <c r="BD174" i="31"/>
  <c r="BE174" i="31"/>
  <c r="GV173" i="31"/>
  <c r="FD173" i="31"/>
  <c r="GU173" i="31"/>
  <c r="BF174" i="31" l="1"/>
  <c r="BG174" i="31"/>
  <c r="GS173" i="31"/>
  <c r="IS173" i="31"/>
  <c r="FL174" i="31"/>
  <c r="FM174" i="31" l="1"/>
  <c r="GW173" i="31"/>
  <c r="HC173" i="31" s="1"/>
  <c r="FA174" i="31" s="1"/>
  <c r="HB174" i="31" s="1"/>
  <c r="GX173" i="31"/>
  <c r="GY173" i="31"/>
  <c r="BI174" i="31"/>
  <c r="BK174" i="31" s="1"/>
  <c r="BH174" i="31"/>
  <c r="JH173" i="31"/>
  <c r="JI173" i="31" s="1"/>
  <c r="IT173" i="31"/>
  <c r="BL174" i="31" l="1"/>
  <c r="BM174" i="31"/>
  <c r="JK173" i="31"/>
  <c r="JZ173" i="31" s="1"/>
  <c r="KF173" i="31" s="1"/>
  <c r="IQ174" i="31" s="1"/>
  <c r="EG173" i="31"/>
  <c r="EH174" i="31" s="1"/>
  <c r="EI174" i="31" s="1"/>
  <c r="FK174" i="31" s="1"/>
  <c r="HM173" i="31"/>
  <c r="EY173" i="31"/>
  <c r="HK174" i="31"/>
  <c r="BJ174" i="31"/>
  <c r="JN173" i="31" l="1"/>
  <c r="JV173" i="31" s="1"/>
  <c r="JF174" i="31" s="1"/>
  <c r="EZ173" i="31"/>
  <c r="DG173" i="31"/>
  <c r="DH173" i="31" s="1"/>
  <c r="DI174" i="31" s="1"/>
  <c r="BO174" i="31"/>
  <c r="BN174" i="31"/>
  <c r="JL173" i="31"/>
  <c r="JJ174" i="31" s="1"/>
  <c r="KA174" i="31"/>
  <c r="JM173" i="31"/>
  <c r="KD173" i="31" s="1"/>
  <c r="IL174" i="31" s="1"/>
  <c r="JE174" i="31" s="1"/>
  <c r="EJ173" i="31"/>
  <c r="EK174" i="31" s="1"/>
  <c r="ED173" i="31"/>
  <c r="EB174" i="31" s="1"/>
  <c r="EE173" i="31"/>
  <c r="EF174" i="31" s="1"/>
  <c r="BP174" i="31" l="1"/>
  <c r="BQ174" i="31" s="1"/>
  <c r="EL174" i="31"/>
  <c r="FC174" i="31"/>
  <c r="EO174" i="31"/>
  <c r="ES175" i="31" s="1"/>
  <c r="EP174" i="31"/>
  <c r="ET175" i="31" s="1"/>
  <c r="EV174" i="31"/>
  <c r="JO174" i="31"/>
  <c r="IY174" i="31"/>
  <c r="IR174" i="31"/>
  <c r="GZ174" i="31"/>
  <c r="IE174" i="31" s="1"/>
  <c r="DJ174" i="31"/>
  <c r="DK174" i="31" s="1"/>
  <c r="JC174" i="31"/>
  <c r="JD174" i="31"/>
  <c r="JA174" i="31"/>
  <c r="HZ174" i="31"/>
  <c r="DP174" i="31"/>
  <c r="JW174" i="31"/>
  <c r="JY174" i="31"/>
  <c r="IP174" i="31"/>
  <c r="IO174" i="31"/>
  <c r="BR174" i="31" l="1"/>
  <c r="BS174" i="31"/>
  <c r="KG174" i="31"/>
  <c r="JP174" i="31"/>
  <c r="JQ174" i="31" s="1"/>
  <c r="EC174" i="31"/>
  <c r="FQ174" i="31"/>
  <c r="DX174" i="31"/>
  <c r="DM174" i="31"/>
  <c r="JX174" i="31"/>
  <c r="BT174" i="31" l="1"/>
  <c r="BU174" i="31"/>
  <c r="BV174" i="31" s="1"/>
  <c r="BW174" i="31" s="1"/>
  <c r="DL174" i="31"/>
  <c r="L175" i="31"/>
  <c r="EX174" i="31"/>
  <c r="M174" i="31" s="1"/>
  <c r="FB174" i="31"/>
  <c r="BY174" i="31" l="1"/>
  <c r="BX174" i="31"/>
  <c r="MB174" i="31"/>
  <c r="NM174" i="31" s="1"/>
  <c r="NN174" i="31" s="1"/>
  <c r="MJ174" i="31"/>
  <c r="NS174" i="31" s="1"/>
  <c r="NT174" i="31" l="1"/>
  <c r="OU175" i="31"/>
  <c r="OV175" i="31"/>
  <c r="NW174" i="31"/>
  <c r="BZ174" i="31"/>
  <c r="CA174" i="31"/>
  <c r="CB174" i="31" l="1"/>
  <c r="CC174" i="31" s="1"/>
  <c r="NX174" i="31"/>
  <c r="FR174" i="31"/>
  <c r="FV174" i="31"/>
  <c r="CX174" i="31"/>
  <c r="NU174" i="31"/>
  <c r="CE174" i="31" l="1"/>
  <c r="CG174" i="31" s="1"/>
  <c r="CD174" i="31"/>
  <c r="NV174" i="31"/>
  <c r="MY174" i="31"/>
  <c r="NZ174" i="31"/>
  <c r="CY175" i="31"/>
  <c r="NY174" i="31"/>
  <c r="OF174" i="31"/>
  <c r="OS175" i="31" s="1"/>
  <c r="CF174" i="31" l="1"/>
  <c r="OO175" i="31"/>
  <c r="NF175" i="31"/>
  <c r="OM175" i="31"/>
  <c r="CH174" i="31"/>
  <c r="CI174" i="31" s="1"/>
  <c r="MZ175" i="31"/>
  <c r="OZ174" i="31"/>
  <c r="OB174" i="31"/>
  <c r="OT175" i="31" s="1"/>
  <c r="OA174" i="31"/>
  <c r="MV175" i="31" s="1"/>
  <c r="OI174" i="31"/>
  <c r="OX175" i="31" l="1"/>
  <c r="MR175" i="31"/>
  <c r="OW174" i="31"/>
  <c r="CJ174" i="31"/>
  <c r="CO174" i="31" s="1"/>
  <c r="CK174" i="31"/>
  <c r="PA174" i="31"/>
  <c r="OJ174" i="31"/>
  <c r="KT175" i="31"/>
  <c r="OG175" i="31"/>
  <c r="OC174" i="31"/>
  <c r="OD175" i="31" s="1"/>
  <c r="OH175" i="31" s="1"/>
  <c r="OK175" i="31" l="1"/>
  <c r="OY175" i="31"/>
  <c r="MW175" i="31"/>
  <c r="CL174" i="31"/>
  <c r="CM174" i="31"/>
  <c r="CN174" i="31" s="1"/>
  <c r="MS175" i="31"/>
  <c r="KL175" i="31"/>
  <c r="KN176" i="31" s="1"/>
  <c r="KM175" i="31"/>
  <c r="KO176" i="31" s="1"/>
  <c r="NJ175" i="31" l="1"/>
  <c r="NP175" i="31"/>
  <c r="MU175" i="31"/>
  <c r="MO175" i="31"/>
  <c r="MT175" i="31"/>
  <c r="NQ175" i="31"/>
  <c r="NR175" i="31" s="1"/>
  <c r="NH176" i="31"/>
  <c r="NI176" i="31" s="1"/>
  <c r="PE175" i="31"/>
  <c r="CP174" i="31"/>
  <c r="KP176" i="31"/>
  <c r="KR175" i="31"/>
  <c r="MX175" i="31"/>
  <c r="KQ175" i="31"/>
  <c r="NB175" i="31" l="1"/>
  <c r="NA175" i="31"/>
  <c r="KS175" i="31"/>
  <c r="FX174" i="31"/>
  <c r="FY174" i="31" s="1"/>
  <c r="DQ174" i="31"/>
  <c r="DR174" i="31" s="1"/>
  <c r="FZ174" i="31"/>
  <c r="GA174" i="31" s="1"/>
  <c r="FP174" i="31"/>
  <c r="FS174" i="31" s="1"/>
  <c r="GO174" i="31"/>
  <c r="CQ174" i="31"/>
  <c r="FU174" i="31"/>
  <c r="FW174" i="31" s="1"/>
  <c r="FH174" i="31"/>
  <c r="FI174" i="31" s="1"/>
  <c r="FE174" i="31"/>
  <c r="FF174" i="31" s="1"/>
  <c r="JR174" i="31"/>
  <c r="JS174" i="31" s="1"/>
  <c r="GB174" i="31"/>
  <c r="GC174" i="31" s="1"/>
  <c r="HO174" i="31"/>
  <c r="KX174" i="31"/>
  <c r="GN174" i="31" s="1"/>
  <c r="KU174" i="31"/>
  <c r="NK175" i="31"/>
  <c r="NL175" i="31"/>
  <c r="NG176" i="31"/>
  <c r="OQ176" i="31"/>
  <c r="DS174" i="31" l="1"/>
  <c r="AX174" i="31" s="1"/>
  <c r="AY175" i="31" s="1"/>
  <c r="OR176" i="31"/>
  <c r="HW174" i="31"/>
  <c r="HX175" i="31" s="1"/>
  <c r="FG175" i="31"/>
  <c r="HU174" i="31"/>
  <c r="HV175" i="31" s="1"/>
  <c r="FJ175" i="31"/>
  <c r="CR174" i="31"/>
  <c r="CT174" i="31"/>
  <c r="CS174" i="31"/>
  <c r="GQ174" i="31"/>
  <c r="KV174" i="31"/>
  <c r="JU174" i="31"/>
  <c r="KE174" i="31"/>
  <c r="KC174" i="31"/>
  <c r="JT175" i="31"/>
  <c r="NC176" i="31"/>
  <c r="MQ176" i="31"/>
  <c r="HP174" i="31"/>
  <c r="IA174" i="31"/>
  <c r="IB174" i="31" s="1"/>
  <c r="IZ174" i="31"/>
  <c r="HY174" i="31"/>
  <c r="HA174" i="31"/>
  <c r="DY174" i="31"/>
  <c r="KW175" i="31" l="1"/>
  <c r="HQ174" i="31"/>
  <c r="HR175" i="31" s="1"/>
  <c r="HS174" i="31"/>
  <c r="JG174" i="31" s="1"/>
  <c r="HT174" i="31"/>
  <c r="EM174" i="31"/>
  <c r="EW174" i="31" s="1"/>
  <c r="EN174" i="31"/>
  <c r="AZ174" i="31"/>
  <c r="BB175" i="31" l="1"/>
  <c r="EQ174" i="31"/>
  <c r="DW174" i="31"/>
  <c r="DU175" i="31" s="1"/>
  <c r="ER175" i="31"/>
  <c r="IU174" i="31"/>
  <c r="IV174" i="31" s="1"/>
  <c r="IC174" i="31"/>
  <c r="ID174" i="31" s="1"/>
  <c r="IF174" i="31" s="1"/>
  <c r="KH174" i="31" s="1"/>
  <c r="JB174" i="31"/>
  <c r="IW174" i="31" l="1"/>
  <c r="KB174" i="31" s="1"/>
  <c r="EU175" i="31"/>
  <c r="BC175" i="31"/>
  <c r="GM174" i="31"/>
  <c r="IM174" i="31"/>
  <c r="DB174" i="31"/>
  <c r="DC174" i="31" s="1"/>
  <c r="DD175" i="31" s="1"/>
  <c r="DE176" i="31" s="1"/>
  <c r="KI175" i="31"/>
  <c r="IN174" i="31"/>
  <c r="DF174" i="31"/>
  <c r="IX174" i="31"/>
  <c r="KK174" i="31"/>
  <c r="GT176" i="31" l="1"/>
  <c r="BD175" i="31"/>
  <c r="BE175" i="31"/>
  <c r="KJ175" i="31"/>
  <c r="GR174" i="31"/>
  <c r="DT174" i="31"/>
  <c r="DZ174" i="31" s="1"/>
  <c r="FD174" i="31"/>
  <c r="GV174" i="31"/>
  <c r="GU174" i="31"/>
  <c r="GS174" i="31" l="1"/>
  <c r="BG175" i="31"/>
  <c r="BF175" i="31"/>
  <c r="IS174" i="31"/>
  <c r="FL175" i="31"/>
  <c r="FM175" i="31" l="1"/>
  <c r="JH174" i="31"/>
  <c r="JI174" i="31" s="1"/>
  <c r="IT174" i="31"/>
  <c r="GX174" i="31"/>
  <c r="GW174" i="31"/>
  <c r="HC174" i="31" s="1"/>
  <c r="FA175" i="31" s="1"/>
  <c r="HB175" i="31" s="1"/>
  <c r="GY174" i="31"/>
  <c r="BI175" i="31"/>
  <c r="BK175" i="31" s="1"/>
  <c r="BH175" i="31"/>
  <c r="BJ175" i="31" l="1"/>
  <c r="EY174" i="31"/>
  <c r="HM174" i="31"/>
  <c r="EG174" i="31"/>
  <c r="EH175" i="31" s="1"/>
  <c r="EI175" i="31" s="1"/>
  <c r="FK175" i="31" s="1"/>
  <c r="HK175" i="31"/>
  <c r="JK174" i="31"/>
  <c r="BL175" i="31"/>
  <c r="BM175" i="31"/>
  <c r="JN174" i="31" l="1"/>
  <c r="JV174" i="31" s="1"/>
  <c r="JF175" i="31" s="1"/>
  <c r="JL174" i="31"/>
  <c r="JJ175" i="31" s="1"/>
  <c r="KA175" i="31"/>
  <c r="BO175" i="31"/>
  <c r="BN175" i="31"/>
  <c r="EE174" i="31"/>
  <c r="EF175" i="31" s="1"/>
  <c r="ED174" i="31"/>
  <c r="EB175" i="31" s="1"/>
  <c r="EJ174" i="31"/>
  <c r="EK175" i="31" s="1"/>
  <c r="JZ174" i="31"/>
  <c r="KF174" i="31" s="1"/>
  <c r="IQ175" i="31" s="1"/>
  <c r="JM174" i="31"/>
  <c r="KD174" i="31" s="1"/>
  <c r="IL175" i="31" s="1"/>
  <c r="EZ174" i="31"/>
  <c r="DG174" i="31"/>
  <c r="DH174" i="31" s="1"/>
  <c r="DI175" i="31" s="1"/>
  <c r="JO175" i="31" l="1"/>
  <c r="IP175" i="31"/>
  <c r="IO175" i="31"/>
  <c r="EO175" i="31"/>
  <c r="ES176" i="31" s="1"/>
  <c r="EL175" i="31"/>
  <c r="EP175" i="31"/>
  <c r="ET176" i="31" s="1"/>
  <c r="FC175" i="31"/>
  <c r="EV175" i="31"/>
  <c r="IY175" i="31"/>
  <c r="JA175" i="31"/>
  <c r="IR175" i="31"/>
  <c r="JE175" i="31"/>
  <c r="DJ175" i="31"/>
  <c r="DK175" i="31" s="1"/>
  <c r="GZ175" i="31"/>
  <c r="IE175" i="31" s="1"/>
  <c r="BP175" i="31"/>
  <c r="BQ175" i="31" s="1"/>
  <c r="HZ175" i="31"/>
  <c r="JC175" i="31"/>
  <c r="JD175" i="31"/>
  <c r="DP175" i="31"/>
  <c r="JW175" i="31"/>
  <c r="JY175" i="31"/>
  <c r="BS175" i="31" l="1"/>
  <c r="BT175" i="31" s="1"/>
  <c r="BR175" i="31"/>
  <c r="JX175" i="31"/>
  <c r="KG175" i="31"/>
  <c r="EC175" i="31"/>
  <c r="FQ175" i="31"/>
  <c r="DX175" i="31"/>
  <c r="DM175" i="31"/>
  <c r="JP175" i="31"/>
  <c r="JQ175" i="31" s="1"/>
  <c r="BU175" i="31" l="1"/>
  <c r="BV175" i="31" s="1"/>
  <c r="BW175" i="31"/>
  <c r="DL175" i="31"/>
  <c r="L176" i="31"/>
  <c r="EX175" i="31"/>
  <c r="M175" i="31" s="1"/>
  <c r="FB175" i="31"/>
  <c r="MB175" i="31" l="1"/>
  <c r="NM175" i="31" s="1"/>
  <c r="NN175" i="31" s="1"/>
  <c r="MJ175" i="31"/>
  <c r="NS175" i="31" s="1"/>
  <c r="BY175" i="31"/>
  <c r="BX175" i="31"/>
  <c r="BZ175" i="31" l="1"/>
  <c r="CA175" i="31"/>
  <c r="NT175" i="31"/>
  <c r="OU176" i="31"/>
  <c r="OV176" i="31"/>
  <c r="NW175" i="31"/>
  <c r="FR175" i="31" l="1"/>
  <c r="CX175" i="31"/>
  <c r="FV175" i="31"/>
  <c r="NU175" i="31"/>
  <c r="NX175" i="31"/>
  <c r="OF175" i="31" s="1"/>
  <c r="OS176" i="31" s="1"/>
  <c r="CB175" i="31"/>
  <c r="CC175" i="31" s="1"/>
  <c r="CD175" i="31" l="1"/>
  <c r="CE175" i="31"/>
  <c r="CF175" i="31" s="1"/>
  <c r="NZ175" i="31"/>
  <c r="MY175" i="31"/>
  <c r="CY176" i="31"/>
  <c r="NY175" i="31"/>
  <c r="NV175" i="31"/>
  <c r="OA175" i="31" l="1"/>
  <c r="MV176" i="31" s="1"/>
  <c r="OG176" i="31" s="1"/>
  <c r="CG175" i="31"/>
  <c r="CH175" i="31" s="1"/>
  <c r="CI175" i="31" s="1"/>
  <c r="CJ175" i="31" s="1"/>
  <c r="CO175" i="31" s="1"/>
  <c r="NF176" i="31"/>
  <c r="OM176" i="31"/>
  <c r="OO176" i="31"/>
  <c r="MZ176" i="31"/>
  <c r="OZ175" i="31"/>
  <c r="OB175" i="31"/>
  <c r="OT176" i="31" s="1"/>
  <c r="OI175" i="31"/>
  <c r="KT176" i="31" l="1"/>
  <c r="KL176" i="31" s="1"/>
  <c r="KN177" i="31" s="1"/>
  <c r="CK175" i="31"/>
  <c r="CL175" i="31" s="1"/>
  <c r="OC175" i="31"/>
  <c r="OD176" i="31" s="1"/>
  <c r="OH176" i="31" s="1"/>
  <c r="OK176" i="31" s="1"/>
  <c r="OJ175" i="31"/>
  <c r="PA175" i="31"/>
  <c r="OW175" i="31"/>
  <c r="OX176" i="31"/>
  <c r="MR176" i="31"/>
  <c r="KM176" i="31" l="1"/>
  <c r="KO177" i="31" s="1"/>
  <c r="KP177" i="31" s="1"/>
  <c r="CM175" i="31"/>
  <c r="CN175" i="31" s="1"/>
  <c r="CP175" i="31" s="1"/>
  <c r="MS176" i="31"/>
  <c r="OY176" i="31"/>
  <c r="MW176" i="31"/>
  <c r="KQ176" i="31"/>
  <c r="KR176" i="31" l="1"/>
  <c r="KS176" i="31" s="1"/>
  <c r="MX176" i="31"/>
  <c r="MT176" i="31"/>
  <c r="MO176" i="31"/>
  <c r="NP176" i="31"/>
  <c r="NQ176" i="31"/>
  <c r="MU176" i="31"/>
  <c r="NJ176" i="31"/>
  <c r="NH177" i="31"/>
  <c r="NI177" i="31" s="1"/>
  <c r="PE176" i="31"/>
  <c r="CQ175" i="31"/>
  <c r="FE175" i="31"/>
  <c r="FF175" i="31" s="1"/>
  <c r="GB175" i="31"/>
  <c r="GC175" i="31" s="1"/>
  <c r="FP175" i="31"/>
  <c r="FS175" i="31" s="1"/>
  <c r="FH175" i="31"/>
  <c r="FI175" i="31" s="1"/>
  <c r="FZ175" i="31"/>
  <c r="GA175" i="31" s="1"/>
  <c r="JR175" i="31"/>
  <c r="JS175" i="31" s="1"/>
  <c r="HO175" i="31"/>
  <c r="DQ175" i="31"/>
  <c r="DR175" i="31" s="1"/>
  <c r="GO175" i="31"/>
  <c r="FX175" i="31"/>
  <c r="FY175" i="31" s="1"/>
  <c r="FU175" i="31"/>
  <c r="FW175" i="31" s="1"/>
  <c r="KX175" i="31"/>
  <c r="KU175" i="31"/>
  <c r="NR176" i="31" l="1"/>
  <c r="GN175" i="31"/>
  <c r="GQ175" i="31" s="1"/>
  <c r="DY175" i="31"/>
  <c r="HY175" i="31"/>
  <c r="HA175" i="31"/>
  <c r="FG176" i="31"/>
  <c r="HW175" i="31"/>
  <c r="HX176" i="31" s="1"/>
  <c r="DS175" i="31"/>
  <c r="AX175" i="31" s="1"/>
  <c r="AY176" i="31" s="1"/>
  <c r="CS175" i="31"/>
  <c r="CT175" i="31"/>
  <c r="CR175" i="31"/>
  <c r="IA175" i="31"/>
  <c r="IB175" i="31" s="1"/>
  <c r="HP175" i="31"/>
  <c r="IZ175" i="31"/>
  <c r="JU175" i="31"/>
  <c r="KC175" i="31"/>
  <c r="JT176" i="31"/>
  <c r="KE175" i="31"/>
  <c r="HU175" i="31"/>
  <c r="HV176" i="31" s="1"/>
  <c r="FJ176" i="31"/>
  <c r="NL176" i="31"/>
  <c r="NK176" i="31"/>
  <c r="NG177" i="31"/>
  <c r="OQ177" i="31"/>
  <c r="NA176" i="31"/>
  <c r="NB176" i="31"/>
  <c r="KV175" i="31" l="1"/>
  <c r="KW176" i="31" s="1"/>
  <c r="HQ175" i="31"/>
  <c r="HR176" i="31" s="1"/>
  <c r="EN175" i="31"/>
  <c r="AZ175" i="31"/>
  <c r="EM175" i="31"/>
  <c r="EW175" i="31" s="1"/>
  <c r="OR177" i="31"/>
  <c r="HS175" i="31"/>
  <c r="JG175" i="31" s="1"/>
  <c r="HT175" i="31"/>
  <c r="NC177" i="31"/>
  <c r="MQ177" i="31"/>
  <c r="IC175" i="31" l="1"/>
  <c r="ID175" i="31" s="1"/>
  <c r="IF175" i="31" s="1"/>
  <c r="KH175" i="31" s="1"/>
  <c r="JB175" i="31"/>
  <c r="BB176" i="31"/>
  <c r="EQ175" i="31"/>
  <c r="DW175" i="31"/>
  <c r="DU176" i="31" s="1"/>
  <c r="ER176" i="31"/>
  <c r="IU175" i="31"/>
  <c r="IV175" i="31" s="1"/>
  <c r="IW175" i="31" l="1"/>
  <c r="KB175" i="31" s="1"/>
  <c r="BC176" i="31"/>
  <c r="KK175" i="31"/>
  <c r="IX175" i="31"/>
  <c r="GM175" i="31"/>
  <c r="DB175" i="31"/>
  <c r="DC175" i="31" s="1"/>
  <c r="DD176" i="31" s="1"/>
  <c r="DE177" i="31" s="1"/>
  <c r="IM175" i="31"/>
  <c r="KI176" i="31"/>
  <c r="IN175" i="31"/>
  <c r="DF175" i="31"/>
  <c r="EU176" i="31"/>
  <c r="GT177" i="31" l="1"/>
  <c r="DT175" i="31"/>
  <c r="DZ175" i="31" s="1"/>
  <c r="KJ176" i="31"/>
  <c r="FD175" i="31"/>
  <c r="GU175" i="31"/>
  <c r="GV175" i="31"/>
  <c r="GR175" i="31"/>
  <c r="BE176" i="31"/>
  <c r="BD176" i="31"/>
  <c r="GS175" i="31" l="1"/>
  <c r="IS175" i="31"/>
  <c r="FL176" i="31"/>
  <c r="BG176" i="31"/>
  <c r="BF176" i="31"/>
  <c r="BI176" i="31" l="1"/>
  <c r="BK176" i="31" s="1"/>
  <c r="BH176" i="31"/>
  <c r="FM176" i="31"/>
  <c r="JH175" i="31"/>
  <c r="JI175" i="31" s="1"/>
  <c r="IT175" i="31"/>
  <c r="GW175" i="31"/>
  <c r="HC175" i="31" s="1"/>
  <c r="FA176" i="31" s="1"/>
  <c r="HB176" i="31" s="1"/>
  <c r="GY175" i="31"/>
  <c r="GX175" i="31"/>
  <c r="BL176" i="31" l="1"/>
  <c r="BM176" i="31"/>
  <c r="EG175" i="31"/>
  <c r="EH176" i="31" s="1"/>
  <c r="EI176" i="31" s="1"/>
  <c r="FK176" i="31" s="1"/>
  <c r="HM175" i="31"/>
  <c r="EY175" i="31"/>
  <c r="HK176" i="31"/>
  <c r="JK175" i="31"/>
  <c r="JZ175" i="31" s="1"/>
  <c r="KF175" i="31" s="1"/>
  <c r="IQ176" i="31" s="1"/>
  <c r="BJ176" i="31"/>
  <c r="JM175" i="31" l="1"/>
  <c r="KD175" i="31" s="1"/>
  <c r="IL176" i="31" s="1"/>
  <c r="JE176" i="31" s="1"/>
  <c r="ED175" i="31"/>
  <c r="EB176" i="31" s="1"/>
  <c r="EJ175" i="31"/>
  <c r="EK176" i="31" s="1"/>
  <c r="EE175" i="31"/>
  <c r="EF176" i="31" s="1"/>
  <c r="EZ175" i="31"/>
  <c r="DG175" i="31"/>
  <c r="DH175" i="31" s="1"/>
  <c r="DI176" i="31" s="1"/>
  <c r="JN175" i="31"/>
  <c r="JV175" i="31" s="1"/>
  <c r="JF176" i="31" s="1"/>
  <c r="BO176" i="31"/>
  <c r="BN176" i="31"/>
  <c r="JL175" i="31"/>
  <c r="JJ176" i="31" s="1"/>
  <c r="KA176" i="31"/>
  <c r="IP176" i="31" l="1"/>
  <c r="IR176" i="31"/>
  <c r="IO176" i="31"/>
  <c r="JW176" i="31"/>
  <c r="JY176" i="31"/>
  <c r="EO176" i="31"/>
  <c r="ES177" i="31" s="1"/>
  <c r="EL176" i="31"/>
  <c r="JX176" i="31" s="1"/>
  <c r="EP176" i="31"/>
  <c r="ET177" i="31" s="1"/>
  <c r="FC176" i="31"/>
  <c r="EV176" i="31"/>
  <c r="IY176" i="31"/>
  <c r="JA176" i="31"/>
  <c r="HZ176" i="31"/>
  <c r="BP176" i="31"/>
  <c r="BQ176" i="31" s="1"/>
  <c r="BR176" i="31" s="1"/>
  <c r="JO176" i="31"/>
  <c r="DK176" i="31"/>
  <c r="DP176" i="31"/>
  <c r="GZ176" i="31"/>
  <c r="IE176" i="31" s="1"/>
  <c r="DJ176" i="31"/>
  <c r="JC176" i="31"/>
  <c r="JD176" i="31"/>
  <c r="JP176" i="31" l="1"/>
  <c r="JQ176" i="31" s="1"/>
  <c r="BS176" i="31"/>
  <c r="BT176" i="31" s="1"/>
  <c r="KG176" i="31"/>
  <c r="DM176" i="31"/>
  <c r="DX176" i="31"/>
  <c r="FQ176" i="31"/>
  <c r="EC176" i="31"/>
  <c r="BU176" i="31" l="1"/>
  <c r="BV176" i="31" s="1"/>
  <c r="EX176" i="31"/>
  <c r="M176" i="31" s="1"/>
  <c r="FB176" i="31"/>
  <c r="DL176" i="31"/>
  <c r="L177" i="31"/>
  <c r="BW176" i="31" l="1"/>
  <c r="BX176" i="31" s="1"/>
  <c r="MB176" i="31"/>
  <c r="NM176" i="31" s="1"/>
  <c r="NN176" i="31" s="1"/>
  <c r="MJ176" i="31"/>
  <c r="NS176" i="31" s="1"/>
  <c r="BY176" i="31" l="1"/>
  <c r="BZ176" i="31" s="1"/>
  <c r="NT176" i="31"/>
  <c r="OU177" i="31"/>
  <c r="OV177" i="31"/>
  <c r="NW176" i="31"/>
  <c r="CA176" i="31" l="1"/>
  <c r="CB176" i="31" s="1"/>
  <c r="CC176" i="31" s="1"/>
  <c r="NX176" i="31"/>
  <c r="FR176" i="31"/>
  <c r="CX176" i="31"/>
  <c r="FV176" i="31"/>
  <c r="NU176" i="31"/>
  <c r="CD176" i="31" l="1"/>
  <c r="CE176" i="31"/>
  <c r="CF176" i="31" s="1"/>
  <c r="NV176" i="31"/>
  <c r="NY176" i="31"/>
  <c r="MY176" i="31"/>
  <c r="NZ176" i="31"/>
  <c r="CY177" i="31"/>
  <c r="OF176" i="31"/>
  <c r="OS177" i="31" s="1"/>
  <c r="CG176" i="31" l="1"/>
  <c r="CH176" i="31" s="1"/>
  <c r="CI176" i="31" s="1"/>
  <c r="CJ176" i="31" s="1"/>
  <c r="CO176" i="31" s="1"/>
  <c r="OI176" i="31"/>
  <c r="OW176" i="31" s="1"/>
  <c r="NF177" i="31"/>
  <c r="OO177" i="31"/>
  <c r="OM177" i="31"/>
  <c r="MZ177" i="31"/>
  <c r="OZ176" i="31"/>
  <c r="OA176" i="31"/>
  <c r="MV177" i="31" s="1"/>
  <c r="OG177" i="31" s="1"/>
  <c r="OB176" i="31"/>
  <c r="OT177" i="31" s="1"/>
  <c r="MR177" i="31" l="1"/>
  <c r="MS177" i="31" s="1"/>
  <c r="OX177" i="31"/>
  <c r="CK176" i="31"/>
  <c r="CL176" i="31" s="1"/>
  <c r="OC176" i="31"/>
  <c r="OD177" i="31" s="1"/>
  <c r="OH177" i="31" s="1"/>
  <c r="OK177" i="31" s="1"/>
  <c r="OJ176" i="31"/>
  <c r="OY177" i="31" s="1"/>
  <c r="KT177" i="31"/>
  <c r="PA176" i="31"/>
  <c r="CM176" i="31" l="1"/>
  <c r="CN176" i="31" s="1"/>
  <c r="CP176" i="31" s="1"/>
  <c r="MW177" i="31"/>
  <c r="MX177" i="31" s="1"/>
  <c r="MT177" i="31"/>
  <c r="NJ177" i="31"/>
  <c r="NP177" i="31"/>
  <c r="NQ177" i="31"/>
  <c r="MU177" i="31"/>
  <c r="MO177" i="31"/>
  <c r="NH178" i="31"/>
  <c r="NI178" i="31" s="1"/>
  <c r="PE177" i="31"/>
  <c r="KM177" i="31"/>
  <c r="KO178" i="31" s="1"/>
  <c r="KL177" i="31"/>
  <c r="KN178" i="31" s="1"/>
  <c r="NR177" i="31" l="1"/>
  <c r="KQ177" i="31"/>
  <c r="KP178" i="31"/>
  <c r="KR177" i="31"/>
  <c r="NK177" i="31"/>
  <c r="NL177" i="31"/>
  <c r="NG178" i="31"/>
  <c r="OQ178" i="31"/>
  <c r="NB177" i="31"/>
  <c r="NA177" i="31"/>
  <c r="FU176" i="31"/>
  <c r="FW176" i="31" s="1"/>
  <c r="HO176" i="31"/>
  <c r="FZ176" i="31"/>
  <c r="GA176" i="31" s="1"/>
  <c r="GB176" i="31"/>
  <c r="GC176" i="31" s="1"/>
  <c r="FE176" i="31"/>
  <c r="FF176" i="31" s="1"/>
  <c r="FP176" i="31"/>
  <c r="FS176" i="31" s="1"/>
  <c r="CQ176" i="31"/>
  <c r="DQ176" i="31"/>
  <c r="DR176" i="31" s="1"/>
  <c r="FX176" i="31"/>
  <c r="FY176" i="31" s="1"/>
  <c r="GO176" i="31"/>
  <c r="FH176" i="31"/>
  <c r="FI176" i="31" s="1"/>
  <c r="JR176" i="31"/>
  <c r="JS176" i="31" s="1"/>
  <c r="KX176" i="31"/>
  <c r="GN176" i="31" s="1"/>
  <c r="KU176" i="31"/>
  <c r="NC178" i="31" l="1"/>
  <c r="MQ178" i="31"/>
  <c r="DS176" i="31"/>
  <c r="AX176" i="31" s="1"/>
  <c r="AY177" i="31" s="1"/>
  <c r="HU176" i="31"/>
  <c r="HV177" i="31" s="1"/>
  <c r="FJ177" i="31"/>
  <c r="CS176" i="31"/>
  <c r="CR176" i="31"/>
  <c r="CT176" i="31"/>
  <c r="DY176" i="31"/>
  <c r="HY176" i="31"/>
  <c r="HA176" i="31"/>
  <c r="KS177" i="31"/>
  <c r="HP176" i="31"/>
  <c r="IA176" i="31"/>
  <c r="IB176" i="31" s="1"/>
  <c r="IZ176" i="31"/>
  <c r="GQ176" i="31"/>
  <c r="KV176" i="31"/>
  <c r="FG177" i="31"/>
  <c r="HW176" i="31"/>
  <c r="HX177" i="31" s="1"/>
  <c r="OR178" i="31"/>
  <c r="JU176" i="31"/>
  <c r="KC176" i="31"/>
  <c r="KE176" i="31"/>
  <c r="JT177" i="31"/>
  <c r="KW177" i="31" l="1"/>
  <c r="HQ176" i="31"/>
  <c r="HR177" i="31" s="1"/>
  <c r="EM176" i="31"/>
  <c r="EW176" i="31" s="1"/>
  <c r="AZ176" i="31"/>
  <c r="EN176" i="31"/>
  <c r="HT176" i="31"/>
  <c r="HS176" i="31"/>
  <c r="JG176" i="31" s="1"/>
  <c r="IC176" i="31" l="1"/>
  <c r="ID176" i="31" s="1"/>
  <c r="IF176" i="31" s="1"/>
  <c r="KH176" i="31" s="1"/>
  <c r="JB176" i="31"/>
  <c r="BB177" i="31"/>
  <c r="EQ176" i="31"/>
  <c r="DW176" i="31"/>
  <c r="DU177" i="31" s="1"/>
  <c r="ER177" i="31"/>
  <c r="IU176" i="31"/>
  <c r="IV176" i="31" s="1"/>
  <c r="IW176" i="31" l="1"/>
  <c r="KB176" i="31" s="1"/>
  <c r="BC177" i="31"/>
  <c r="IX176" i="31"/>
  <c r="KK176" i="31"/>
  <c r="EU177" i="31"/>
  <c r="GM176" i="31"/>
  <c r="DB176" i="31"/>
  <c r="DC176" i="31" s="1"/>
  <c r="DD177" i="31" s="1"/>
  <c r="DE178" i="31" s="1"/>
  <c r="IM176" i="31"/>
  <c r="KI177" i="31"/>
  <c r="IN176" i="31"/>
  <c r="DF176" i="31"/>
  <c r="GT178" i="31" l="1"/>
  <c r="DT176" i="31"/>
  <c r="DZ176" i="31" s="1"/>
  <c r="FD176" i="31"/>
  <c r="GV176" i="31"/>
  <c r="GU176" i="31"/>
  <c r="GR176" i="31"/>
  <c r="KJ177" i="31"/>
  <c r="BD177" i="31"/>
  <c r="BE177" i="31"/>
  <c r="GS176" i="31" l="1"/>
  <c r="BF177" i="31"/>
  <c r="BG177" i="31"/>
  <c r="IS176" i="31"/>
  <c r="FL177" i="31"/>
  <c r="FM177" i="31" l="1"/>
  <c r="JH176" i="31"/>
  <c r="JI176" i="31" s="1"/>
  <c r="IT176" i="31"/>
  <c r="BI177" i="31"/>
  <c r="BK177" i="31" s="1"/>
  <c r="BH177" i="31"/>
  <c r="GX176" i="31"/>
  <c r="GW176" i="31"/>
  <c r="HC176" i="31" s="1"/>
  <c r="FA177" i="31" s="1"/>
  <c r="HB177" i="31" s="1"/>
  <c r="GY176" i="31"/>
  <c r="BJ177" i="31" l="1"/>
  <c r="BL177" i="31"/>
  <c r="BM177" i="31"/>
  <c r="HM176" i="31"/>
  <c r="EG176" i="31"/>
  <c r="EH177" i="31" s="1"/>
  <c r="EI177" i="31" s="1"/>
  <c r="FK177" i="31" s="1"/>
  <c r="EY176" i="31"/>
  <c r="HK177" i="31"/>
  <c r="JK176" i="31"/>
  <c r="JN176" i="31" s="1"/>
  <c r="JV176" i="31" s="1"/>
  <c r="JF177" i="31" s="1"/>
  <c r="JY177" i="31" l="1"/>
  <c r="JW177" i="31"/>
  <c r="EZ176" i="31"/>
  <c r="DG176" i="31"/>
  <c r="DH176" i="31" s="1"/>
  <c r="DI177" i="31" s="1"/>
  <c r="EE176" i="31"/>
  <c r="EF177" i="31" s="1"/>
  <c r="EJ176" i="31"/>
  <c r="EK177" i="31" s="1"/>
  <c r="ED176" i="31"/>
  <c r="EB177" i="31" s="1"/>
  <c r="BO177" i="31"/>
  <c r="BN177" i="31"/>
  <c r="JM176" i="31"/>
  <c r="KD176" i="31" s="1"/>
  <c r="IL177" i="31" s="1"/>
  <c r="JZ176" i="31"/>
  <c r="KF176" i="31" s="1"/>
  <c r="IQ177" i="31" s="1"/>
  <c r="JL176" i="31"/>
  <c r="JJ177" i="31" s="1"/>
  <c r="KA177" i="31"/>
  <c r="BP177" i="31" l="1"/>
  <c r="BQ177" i="31" s="1"/>
  <c r="EP177" i="31"/>
  <c r="ET178" i="31" s="1"/>
  <c r="EO177" i="31"/>
  <c r="ES178" i="31" s="1"/>
  <c r="FC177" i="31"/>
  <c r="EL177" i="31"/>
  <c r="EV177" i="31"/>
  <c r="DP177" i="31"/>
  <c r="GZ177" i="31"/>
  <c r="IE177" i="31" s="1"/>
  <c r="DJ177" i="31"/>
  <c r="DK177" i="31" s="1"/>
  <c r="IR177" i="31"/>
  <c r="IO177" i="31"/>
  <c r="IP177" i="31"/>
  <c r="HZ177" i="31"/>
  <c r="JA177" i="31"/>
  <c r="IY177" i="31"/>
  <c r="JE177" i="31"/>
  <c r="JO177" i="31"/>
  <c r="JC177" i="31"/>
  <c r="JD177" i="31"/>
  <c r="BR177" i="31" l="1"/>
  <c r="BS177" i="31"/>
  <c r="KG177" i="31"/>
  <c r="DX177" i="31"/>
  <c r="FQ177" i="31"/>
  <c r="DM177" i="31"/>
  <c r="EC177" i="31"/>
  <c r="JX177" i="31"/>
  <c r="JP177" i="31"/>
  <c r="JQ177" i="31" s="1"/>
  <c r="BT177" i="31" l="1"/>
  <c r="BU177" i="31"/>
  <c r="BV177" i="31" s="1"/>
  <c r="BW177" i="31" s="1"/>
  <c r="DL177" i="31"/>
  <c r="L178" i="31"/>
  <c r="EX177" i="31"/>
  <c r="M177" i="31" s="1"/>
  <c r="FB177" i="31"/>
  <c r="BY177" i="31" l="1"/>
  <c r="BX177" i="31"/>
  <c r="MJ177" i="31"/>
  <c r="NS177" i="31" s="1"/>
  <c r="MB177" i="31"/>
  <c r="NM177" i="31" s="1"/>
  <c r="NN177" i="31" s="1"/>
  <c r="OV178" i="31" l="1"/>
  <c r="NW177" i="31"/>
  <c r="NT177" i="31"/>
  <c r="OU178" i="31"/>
  <c r="BZ177" i="31"/>
  <c r="CA177" i="31"/>
  <c r="CB177" i="31" l="1"/>
  <c r="CC177" i="31" s="1"/>
  <c r="CX177" i="31"/>
  <c r="FR177" i="31"/>
  <c r="FV177" i="31"/>
  <c r="NU177" i="31"/>
  <c r="NX177" i="31"/>
  <c r="CE177" i="31" l="1"/>
  <c r="CD177" i="31"/>
  <c r="NV177" i="31"/>
  <c r="NZ177" i="31"/>
  <c r="MY177" i="31"/>
  <c r="CY178" i="31"/>
  <c r="NY177" i="31"/>
  <c r="OF177" i="31"/>
  <c r="OS178" i="31" s="1"/>
  <c r="CF177" i="31" l="1"/>
  <c r="CG177" i="31"/>
  <c r="CH177" i="31" s="1"/>
  <c r="CI177" i="31" s="1"/>
  <c r="CJ177" i="31" s="1"/>
  <c r="CO177" i="31" s="1"/>
  <c r="OO178" i="31"/>
  <c r="OM178" i="31"/>
  <c r="NF178" i="31"/>
  <c r="OI177" i="31"/>
  <c r="OB177" i="31"/>
  <c r="OT178" i="31" s="1"/>
  <c r="MZ178" i="31"/>
  <c r="OZ177" i="31"/>
  <c r="OA177" i="31"/>
  <c r="MV178" i="31" s="1"/>
  <c r="CK177" i="31" l="1"/>
  <c r="CM177" i="31" s="1"/>
  <c r="CN177" i="31" s="1"/>
  <c r="OG178" i="31"/>
  <c r="KT178" i="31"/>
  <c r="OX178" i="31"/>
  <c r="OW177" i="31"/>
  <c r="MR178" i="31"/>
  <c r="OC177" i="31"/>
  <c r="OD178" i="31" s="1"/>
  <c r="OH178" i="31" s="1"/>
  <c r="PA177" i="31"/>
  <c r="OJ177" i="31"/>
  <c r="CL177" i="31" l="1"/>
  <c r="CP177" i="31" s="1"/>
  <c r="MS178" i="31"/>
  <c r="KL178" i="31"/>
  <c r="KN179" i="31" s="1"/>
  <c r="KM178" i="31"/>
  <c r="KO179" i="31" s="1"/>
  <c r="OY178" i="31"/>
  <c r="MW178" i="31"/>
  <c r="OK178" i="31"/>
  <c r="KQ178" i="31" l="1"/>
  <c r="FZ177" i="31"/>
  <c r="GA177" i="31" s="1"/>
  <c r="HO177" i="31"/>
  <c r="DQ177" i="31"/>
  <c r="DR177" i="31" s="1"/>
  <c r="JR177" i="31"/>
  <c r="JS177" i="31" s="1"/>
  <c r="GB177" i="31"/>
  <c r="GC177" i="31" s="1"/>
  <c r="FX177" i="31"/>
  <c r="FY177" i="31" s="1"/>
  <c r="FH177" i="31"/>
  <c r="FI177" i="31" s="1"/>
  <c r="FU177" i="31"/>
  <c r="FW177" i="31" s="1"/>
  <c r="FE177" i="31"/>
  <c r="FF177" i="31" s="1"/>
  <c r="FP177" i="31"/>
  <c r="FS177" i="31" s="1"/>
  <c r="GO177" i="31"/>
  <c r="CQ177" i="31"/>
  <c r="KX177" i="31"/>
  <c r="KU177" i="31"/>
  <c r="MX178" i="31"/>
  <c r="KP179" i="31"/>
  <c r="KR178" i="31"/>
  <c r="NH179" i="31"/>
  <c r="NI179" i="31" s="1"/>
  <c r="MU178" i="31"/>
  <c r="NP178" i="31"/>
  <c r="MT178" i="31"/>
  <c r="NJ178" i="31"/>
  <c r="MO178" i="31"/>
  <c r="NQ178" i="31"/>
  <c r="PE178" i="31"/>
  <c r="GN177" i="31" l="1"/>
  <c r="GQ177" i="31" s="1"/>
  <c r="NR178" i="31"/>
  <c r="CR177" i="31"/>
  <c r="CT177" i="31"/>
  <c r="CS177" i="31"/>
  <c r="JU177" i="31"/>
  <c r="KC177" i="31"/>
  <c r="KE177" i="31"/>
  <c r="JT178" i="31"/>
  <c r="DS177" i="31"/>
  <c r="AX177" i="31" s="1"/>
  <c r="AY178" i="31" s="1"/>
  <c r="HA177" i="31"/>
  <c r="DY177" i="31"/>
  <c r="HY177" i="31"/>
  <c r="IA177" i="31"/>
  <c r="IB177" i="31" s="1"/>
  <c r="HP177" i="31"/>
  <c r="IZ177" i="31"/>
  <c r="NK178" i="31"/>
  <c r="NL178" i="31"/>
  <c r="NG179" i="31"/>
  <c r="OQ179" i="31"/>
  <c r="HW177" i="31"/>
  <c r="HX178" i="31" s="1"/>
  <c r="FG178" i="31"/>
  <c r="KS178" i="31"/>
  <c r="NA178" i="31"/>
  <c r="NB178" i="31"/>
  <c r="HU177" i="31"/>
  <c r="HV178" i="31" s="1"/>
  <c r="FJ178" i="31"/>
  <c r="KV177" i="31" l="1"/>
  <c r="KW178" i="31" s="1"/>
  <c r="HQ177" i="31"/>
  <c r="HR178" i="31" s="1"/>
  <c r="HT177" i="31"/>
  <c r="HS177" i="31"/>
  <c r="JG177" i="31" s="1"/>
  <c r="OR179" i="31"/>
  <c r="NC179" i="31"/>
  <c r="MQ179" i="31"/>
  <c r="EM177" i="31"/>
  <c r="EW177" i="31" s="1"/>
  <c r="AZ177" i="31"/>
  <c r="EN177" i="31"/>
  <c r="IC177" i="31" l="1"/>
  <c r="ID177" i="31" s="1"/>
  <c r="IF177" i="31" s="1"/>
  <c r="KH177" i="31" s="1"/>
  <c r="JB177" i="31"/>
  <c r="BB178" i="31"/>
  <c r="EQ177" i="31"/>
  <c r="DW177" i="31"/>
  <c r="DU178" i="31" s="1"/>
  <c r="ER178" i="31"/>
  <c r="IU177" i="31"/>
  <c r="IV177" i="31" s="1"/>
  <c r="IW177" i="31" l="1"/>
  <c r="KB177" i="31" s="1"/>
  <c r="IX177" i="31"/>
  <c r="KK177" i="31"/>
  <c r="EU178" i="31"/>
  <c r="IM177" i="31"/>
  <c r="DB177" i="31"/>
  <c r="DC177" i="31" s="1"/>
  <c r="DD178" i="31" s="1"/>
  <c r="DE179" i="31" s="1"/>
  <c r="GM177" i="31"/>
  <c r="KI178" i="31"/>
  <c r="IN177" i="31"/>
  <c r="DF177" i="31"/>
  <c r="BC178" i="31"/>
  <c r="GT179" i="31" l="1"/>
  <c r="FD177" i="31"/>
  <c r="GU177" i="31"/>
  <c r="GV177" i="31"/>
  <c r="KJ178" i="31"/>
  <c r="GR177" i="31"/>
  <c r="DT177" i="31"/>
  <c r="DZ177" i="31" s="1"/>
  <c r="BE178" i="31"/>
  <c r="BD178" i="31"/>
  <c r="BF178" i="31" l="1"/>
  <c r="BG178" i="31"/>
  <c r="IS177" i="31"/>
  <c r="FL178" i="31"/>
  <c r="GS177" i="31"/>
  <c r="GY177" i="31" l="1"/>
  <c r="GW177" i="31"/>
  <c r="HC177" i="31" s="1"/>
  <c r="FA178" i="31" s="1"/>
  <c r="HB178" i="31" s="1"/>
  <c r="GX177" i="31"/>
  <c r="JH177" i="31"/>
  <c r="JI177" i="31" s="1"/>
  <c r="IT177" i="31"/>
  <c r="BI178" i="31"/>
  <c r="BK178" i="31" s="1"/>
  <c r="BH178" i="31"/>
  <c r="FM178" i="31"/>
  <c r="BJ178" i="31" l="1"/>
  <c r="EG177" i="31"/>
  <c r="EH178" i="31" s="1"/>
  <c r="EI178" i="31" s="1"/>
  <c r="FK178" i="31" s="1"/>
  <c r="HM177" i="31"/>
  <c r="EY177" i="31"/>
  <c r="HK178" i="31"/>
  <c r="JK177" i="31"/>
  <c r="JM177" i="31" s="1"/>
  <c r="KD177" i="31" s="1"/>
  <c r="IL178" i="31" s="1"/>
  <c r="BL178" i="31"/>
  <c r="BM178" i="31"/>
  <c r="BN178" i="31" l="1"/>
  <c r="BO178" i="31"/>
  <c r="EZ177" i="31"/>
  <c r="DG177" i="31"/>
  <c r="DH177" i="31" s="1"/>
  <c r="DI178" i="31" s="1"/>
  <c r="EE177" i="31"/>
  <c r="EF178" i="31" s="1"/>
  <c r="ED177" i="31"/>
  <c r="EB178" i="31" s="1"/>
  <c r="EJ177" i="31"/>
  <c r="EK178" i="31" s="1"/>
  <c r="JZ177" i="31"/>
  <c r="KF177" i="31" s="1"/>
  <c r="IQ178" i="31" s="1"/>
  <c r="JL177" i="31"/>
  <c r="JJ178" i="31" s="1"/>
  <c r="KA178" i="31"/>
  <c r="JN177" i="31"/>
  <c r="JV177" i="31" s="1"/>
  <c r="JF178" i="31" s="1"/>
  <c r="JE178" i="31" l="1"/>
  <c r="IR178" i="31"/>
  <c r="JA178" i="31"/>
  <c r="JO178" i="31"/>
  <c r="IY178" i="31"/>
  <c r="JC178" i="31"/>
  <c r="JD178" i="31"/>
  <c r="BP178" i="31"/>
  <c r="BQ178" i="31" s="1"/>
  <c r="GZ178" i="31"/>
  <c r="IE178" i="31" s="1"/>
  <c r="DJ178" i="31"/>
  <c r="DK178" i="31" s="1"/>
  <c r="EL178" i="31"/>
  <c r="EP178" i="31"/>
  <c r="ET179" i="31" s="1"/>
  <c r="FC178" i="31"/>
  <c r="EO178" i="31"/>
  <c r="ES179" i="31" s="1"/>
  <c r="EV178" i="31"/>
  <c r="DP178" i="31"/>
  <c r="IP178" i="31"/>
  <c r="HZ178" i="31"/>
  <c r="JW178" i="31"/>
  <c r="JY178" i="31"/>
  <c r="IO178" i="31"/>
  <c r="JP178" i="31" l="1"/>
  <c r="JQ178" i="31" s="1"/>
  <c r="FQ178" i="31"/>
  <c r="DM178" i="31"/>
  <c r="DX178" i="31"/>
  <c r="KG178" i="31"/>
  <c r="EC178" i="31"/>
  <c r="BR178" i="31"/>
  <c r="BS178" i="31"/>
  <c r="JX178" i="31"/>
  <c r="FB178" i="31" l="1"/>
  <c r="EX178" i="31"/>
  <c r="M178" i="31" s="1"/>
  <c r="DL178" i="31"/>
  <c r="L179" i="31"/>
  <c r="BT178" i="31"/>
  <c r="BU178" i="31"/>
  <c r="BV178" i="31" s="1"/>
  <c r="MB178" i="31" l="1"/>
  <c r="NM178" i="31" s="1"/>
  <c r="NN178" i="31" s="1"/>
  <c r="MJ178" i="31"/>
  <c r="NS178" i="31" s="1"/>
  <c r="BW178" i="31"/>
  <c r="NT178" i="31" l="1"/>
  <c r="OU179" i="31"/>
  <c r="OV179" i="31"/>
  <c r="NW178" i="31"/>
  <c r="NX178" i="31" s="1"/>
  <c r="BY178" i="31"/>
  <c r="BX178" i="31"/>
  <c r="OF178" i="31" l="1"/>
  <c r="OS179" i="31" s="1"/>
  <c r="NY178" i="31"/>
  <c r="BZ178" i="31"/>
  <c r="CA178" i="31"/>
  <c r="CX178" i="31"/>
  <c r="FV178" i="31"/>
  <c r="FR178" i="31"/>
  <c r="NU178" i="31"/>
  <c r="NV178" i="31" l="1"/>
  <c r="OB178" i="31"/>
  <c r="OT179" i="31" s="1"/>
  <c r="MY178" i="31"/>
  <c r="OI178" i="31" s="1"/>
  <c r="NZ178" i="31"/>
  <c r="OA178" i="31" s="1"/>
  <c r="MV179" i="31" s="1"/>
  <c r="CY179" i="31"/>
  <c r="CB178" i="31"/>
  <c r="CC178" i="31" s="1"/>
  <c r="CD178" i="31" l="1"/>
  <c r="CE178" i="31"/>
  <c r="CF178" i="31" s="1"/>
  <c r="PA178" i="31"/>
  <c r="OJ178" i="31"/>
  <c r="OY179" i="31" s="1"/>
  <c r="OC178" i="31"/>
  <c r="OD179" i="31" s="1"/>
  <c r="OH179" i="31" s="1"/>
  <c r="OG179" i="31"/>
  <c r="OO179" i="31"/>
  <c r="KT179" i="31" s="1"/>
  <c r="OM179" i="31"/>
  <c r="NF179" i="31"/>
  <c r="OX179" i="31"/>
  <c r="MR179" i="31"/>
  <c r="OW178" i="31"/>
  <c r="MZ179" i="31"/>
  <c r="OZ178" i="31"/>
  <c r="CG178" i="31" l="1"/>
  <c r="CH178" i="31" s="1"/>
  <c r="CI178" i="31" s="1"/>
  <c r="MW179" i="31"/>
  <c r="OK179" i="31"/>
  <c r="KM179" i="31"/>
  <c r="KO180" i="31" s="1"/>
  <c r="KL179" i="31"/>
  <c r="KN180" i="31" s="1"/>
  <c r="MS179" i="31"/>
  <c r="MX179" i="31"/>
  <c r="CJ178" i="31" l="1"/>
  <c r="CO178" i="31" s="1"/>
  <c r="CK178" i="31"/>
  <c r="NA179" i="31"/>
  <c r="NB179" i="31"/>
  <c r="KQ179" i="31"/>
  <c r="MU179" i="31"/>
  <c r="NP179" i="31"/>
  <c r="MO179" i="31"/>
  <c r="NJ179" i="31"/>
  <c r="MT179" i="31"/>
  <c r="NH180" i="31"/>
  <c r="NI180" i="31" s="1"/>
  <c r="NQ179" i="31"/>
  <c r="PE179" i="31"/>
  <c r="KP180" i="31"/>
  <c r="KR179" i="31"/>
  <c r="KS179" i="31" l="1"/>
  <c r="NR179" i="31"/>
  <c r="NK179" i="31"/>
  <c r="NL179" i="31"/>
  <c r="NG180" i="31"/>
  <c r="OQ180" i="31"/>
  <c r="CL178" i="31"/>
  <c r="CM178" i="31"/>
  <c r="CN178" i="31" s="1"/>
  <c r="CP178" i="31" l="1"/>
  <c r="NC180" i="31"/>
  <c r="MQ180" i="31"/>
  <c r="OR180" i="31"/>
  <c r="GO178" i="31" l="1"/>
  <c r="HO178" i="31"/>
  <c r="DQ178" i="31"/>
  <c r="DR178" i="31" s="1"/>
  <c r="FP178" i="31"/>
  <c r="FS178" i="31" s="1"/>
  <c r="JR178" i="31"/>
  <c r="JS178" i="31" s="1"/>
  <c r="FH178" i="31"/>
  <c r="FI178" i="31" s="1"/>
  <c r="FX178" i="31"/>
  <c r="FY178" i="31" s="1"/>
  <c r="FE178" i="31"/>
  <c r="FF178" i="31" s="1"/>
  <c r="FU178" i="31"/>
  <c r="FW178" i="31" s="1"/>
  <c r="CQ178" i="31"/>
  <c r="FZ178" i="31"/>
  <c r="GA178" i="31" s="1"/>
  <c r="GB178" i="31"/>
  <c r="GC178" i="31" s="1"/>
  <c r="KX178" i="31"/>
  <c r="KU178" i="31"/>
  <c r="GN178" i="31" l="1"/>
  <c r="GQ178" i="31" s="1"/>
  <c r="KC178" i="31"/>
  <c r="JU178" i="31"/>
  <c r="JT179" i="31"/>
  <c r="KE178" i="31"/>
  <c r="HU178" i="31"/>
  <c r="HV179" i="31" s="1"/>
  <c r="FJ179" i="31"/>
  <c r="HA178" i="31"/>
  <c r="DY178" i="31"/>
  <c r="HY178" i="31"/>
  <c r="DS178" i="31"/>
  <c r="AX178" i="31" s="1"/>
  <c r="AY179" i="31" s="1"/>
  <c r="CS178" i="31"/>
  <c r="CT178" i="31"/>
  <c r="CR178" i="31"/>
  <c r="IA178" i="31"/>
  <c r="IB178" i="31" s="1"/>
  <c r="HP178" i="31"/>
  <c r="IZ178" i="31"/>
  <c r="HW178" i="31"/>
  <c r="HX179" i="31" s="1"/>
  <c r="FG179" i="31"/>
  <c r="KV178" i="31" l="1"/>
  <c r="KW179" i="31" s="1"/>
  <c r="HQ178" i="31"/>
  <c r="HR179" i="31" s="1"/>
  <c r="EM178" i="31"/>
  <c r="EW178" i="31" s="1"/>
  <c r="EN178" i="31"/>
  <c r="AZ178" i="31"/>
  <c r="HT178" i="31"/>
  <c r="HS178" i="31"/>
  <c r="JG178" i="31" s="1"/>
  <c r="IC178" i="31" l="1"/>
  <c r="ID178" i="31" s="1"/>
  <c r="IF178" i="31" s="1"/>
  <c r="KH178" i="31" s="1"/>
  <c r="JB178" i="31"/>
  <c r="BB179" i="31"/>
  <c r="EQ178" i="31"/>
  <c r="DW178" i="31"/>
  <c r="DU179" i="31" s="1"/>
  <c r="IW178" i="31"/>
  <c r="ER179" i="31"/>
  <c r="IU178" i="31"/>
  <c r="IV178" i="31" s="1"/>
  <c r="EU179" i="31" l="1"/>
  <c r="DB178" i="31"/>
  <c r="DC178" i="31" s="1"/>
  <c r="DD179" i="31" s="1"/>
  <c r="DE180" i="31" s="1"/>
  <c r="GM178" i="31"/>
  <c r="IM178" i="31"/>
  <c r="KI179" i="31"/>
  <c r="IN178" i="31"/>
  <c r="DF178" i="31"/>
  <c r="BC179" i="31"/>
  <c r="KK178" i="31"/>
  <c r="KB178" i="31"/>
  <c r="IX178" i="31"/>
  <c r="GT180" i="31" l="1"/>
  <c r="DT178" i="31"/>
  <c r="DZ178" i="31" s="1"/>
  <c r="BE179" i="31"/>
  <c r="BD179" i="31"/>
  <c r="GU178" i="31"/>
  <c r="FD178" i="31"/>
  <c r="GV178" i="31"/>
  <c r="KJ179" i="31"/>
  <c r="GR178" i="31"/>
  <c r="IS178" i="31" l="1"/>
  <c r="FL179" i="31"/>
  <c r="GS178" i="31"/>
  <c r="BF179" i="31"/>
  <c r="BG179" i="31"/>
  <c r="BH179" i="31" l="1"/>
  <c r="BI179" i="31"/>
  <c r="BK179" i="31" s="1"/>
  <c r="FM179" i="31"/>
  <c r="GW178" i="31"/>
  <c r="HC178" i="31" s="1"/>
  <c r="FA179" i="31" s="1"/>
  <c r="HB179" i="31" s="1"/>
  <c r="GY178" i="31"/>
  <c r="GX178" i="31"/>
  <c r="JH178" i="31"/>
  <c r="JI178" i="31" s="1"/>
  <c r="IT178" i="31"/>
  <c r="JK178" i="31" l="1"/>
  <c r="JN178" i="31" s="1"/>
  <c r="JV178" i="31" s="1"/>
  <c r="JF179" i="31" s="1"/>
  <c r="EY178" i="31"/>
  <c r="EG178" i="31"/>
  <c r="EH179" i="31" s="1"/>
  <c r="EI179" i="31" s="1"/>
  <c r="FK179" i="31" s="1"/>
  <c r="HM178" i="31"/>
  <c r="HK179" i="31"/>
  <c r="BL179" i="31"/>
  <c r="BM179" i="31"/>
  <c r="BJ179" i="31"/>
  <c r="JM178" i="31" l="1"/>
  <c r="KD178" i="31" s="1"/>
  <c r="IL179" i="31" s="1"/>
  <c r="EZ178" i="31"/>
  <c r="DG178" i="31"/>
  <c r="DH178" i="31" s="1"/>
  <c r="DI179" i="31" s="1"/>
  <c r="BO179" i="31"/>
  <c r="BN179" i="31"/>
  <c r="JW179" i="31"/>
  <c r="JY179" i="31"/>
  <c r="EJ178" i="31"/>
  <c r="EK179" i="31" s="1"/>
  <c r="ED178" i="31"/>
  <c r="EB179" i="31" s="1"/>
  <c r="EE178" i="31"/>
  <c r="EF179" i="31" s="1"/>
  <c r="JZ178" i="31"/>
  <c r="KF178" i="31" s="1"/>
  <c r="IQ179" i="31" s="1"/>
  <c r="JL178" i="31"/>
  <c r="JJ179" i="31" s="1"/>
  <c r="KA179" i="31"/>
  <c r="JE179" i="31" l="1"/>
  <c r="IO179" i="31"/>
  <c r="IP179" i="31"/>
  <c r="JC179" i="31"/>
  <c r="JD179" i="31"/>
  <c r="HZ179" i="31"/>
  <c r="BP179" i="31"/>
  <c r="BQ179" i="31" s="1"/>
  <c r="IY179" i="31"/>
  <c r="JA179" i="31"/>
  <c r="JO179" i="31"/>
  <c r="IR179" i="31"/>
  <c r="DP179" i="31"/>
  <c r="FC179" i="31"/>
  <c r="EL179" i="31"/>
  <c r="EO179" i="31"/>
  <c r="ES180" i="31" s="1"/>
  <c r="EP179" i="31"/>
  <c r="ET180" i="31" s="1"/>
  <c r="EV179" i="31"/>
  <c r="GZ179" i="31"/>
  <c r="IE179" i="31" s="1"/>
  <c r="DJ179" i="31"/>
  <c r="DK179" i="31" s="1"/>
  <c r="JP179" i="31" l="1"/>
  <c r="JQ179" i="31" s="1"/>
  <c r="KG179" i="31"/>
  <c r="EC179" i="31"/>
  <c r="DM179" i="31"/>
  <c r="DX179" i="31"/>
  <c r="FQ179" i="31"/>
  <c r="BR179" i="31"/>
  <c r="BS179" i="31"/>
  <c r="JX179" i="31"/>
  <c r="DL179" i="31" l="1"/>
  <c r="L180" i="31"/>
  <c r="BT179" i="31"/>
  <c r="BU179" i="31"/>
  <c r="EX179" i="31"/>
  <c r="M179" i="31" s="1"/>
  <c r="FB179" i="31"/>
  <c r="MJ179" i="31" l="1"/>
  <c r="NS179" i="31" s="1"/>
  <c r="MB179" i="31"/>
  <c r="NM179" i="31" s="1"/>
  <c r="NN179" i="31" s="1"/>
  <c r="BV179" i="31"/>
  <c r="BW179" i="31" s="1"/>
  <c r="BX179" i="31" l="1"/>
  <c r="BY179" i="31"/>
  <c r="OV180" i="31"/>
  <c r="NW179" i="31"/>
  <c r="NT179" i="31"/>
  <c r="OU180" i="31"/>
  <c r="CX179" i="31" l="1"/>
  <c r="FV179" i="31"/>
  <c r="FR179" i="31"/>
  <c r="NU179" i="31"/>
  <c r="BZ179" i="31"/>
  <c r="CA179" i="31"/>
  <c r="NX179" i="31"/>
  <c r="CB179" i="31" l="1"/>
  <c r="CC179" i="31" s="1"/>
  <c r="NV179" i="31"/>
  <c r="MY179" i="31"/>
  <c r="NZ179" i="31"/>
  <c r="CY180" i="31"/>
  <c r="NY179" i="31"/>
  <c r="OF179" i="31"/>
  <c r="OS180" i="31" s="1"/>
  <c r="CD179" i="31" l="1"/>
  <c r="CE179" i="31"/>
  <c r="CF179" i="31" s="1"/>
  <c r="OB179" i="31"/>
  <c r="OT180" i="31" s="1"/>
  <c r="OA179" i="31"/>
  <c r="MV180" i="31" s="1"/>
  <c r="OI179" i="31"/>
  <c r="MZ180" i="31"/>
  <c r="OZ179" i="31"/>
  <c r="OM180" i="31"/>
  <c r="NF180" i="31"/>
  <c r="OO180" i="31"/>
  <c r="CG179" i="31" l="1"/>
  <c r="CH179" i="31" s="1"/>
  <c r="CI179" i="31" s="1"/>
  <c r="KT180" i="31"/>
  <c r="OG180" i="31"/>
  <c r="OC179" i="31"/>
  <c r="OD180" i="31" s="1"/>
  <c r="OH180" i="31" s="1"/>
  <c r="OJ179" i="31"/>
  <c r="PA179" i="31"/>
  <c r="MR180" i="31"/>
  <c r="OX180" i="31"/>
  <c r="OW179" i="31"/>
  <c r="OK180" i="31" l="1"/>
  <c r="CJ179" i="31"/>
  <c r="CO179" i="31" s="1"/>
  <c r="CK179" i="31"/>
  <c r="MW180" i="31"/>
  <c r="OY180" i="31"/>
  <c r="MS180" i="31"/>
  <c r="KM180" i="31"/>
  <c r="KO181" i="31" s="1"/>
  <c r="KL180" i="31"/>
  <c r="KN181" i="31" s="1"/>
  <c r="MX180" i="31" l="1"/>
  <c r="KQ180" i="31"/>
  <c r="NQ180" i="31"/>
  <c r="NJ180" i="31"/>
  <c r="NH181" i="31"/>
  <c r="NI181" i="31" s="1"/>
  <c r="MO180" i="31"/>
  <c r="MU180" i="31"/>
  <c r="NP180" i="31"/>
  <c r="MT180" i="31"/>
  <c r="PE180" i="31"/>
  <c r="KP181" i="31"/>
  <c r="KR180" i="31"/>
  <c r="CL179" i="31"/>
  <c r="CM179" i="31"/>
  <c r="CN179" i="31" s="1"/>
  <c r="CP179" i="31" l="1"/>
  <c r="FP179" i="31" s="1"/>
  <c r="FS179" i="31" s="1"/>
  <c r="NR180" i="31"/>
  <c r="KS180" i="31"/>
  <c r="NL180" i="31"/>
  <c r="NK180" i="31"/>
  <c r="NG181" i="31"/>
  <c r="OQ181" i="31"/>
  <c r="NB180" i="31"/>
  <c r="NA180" i="31"/>
  <c r="JR179" i="31" l="1"/>
  <c r="JS179" i="31" s="1"/>
  <c r="KC179" i="31" s="1"/>
  <c r="KX179" i="31"/>
  <c r="CQ179" i="31"/>
  <c r="CR179" i="31" s="1"/>
  <c r="GB179" i="31"/>
  <c r="GC179" i="31" s="1"/>
  <c r="FX179" i="31"/>
  <c r="FY179" i="31" s="1"/>
  <c r="FH179" i="31"/>
  <c r="FI179" i="31" s="1"/>
  <c r="FJ180" i="31" s="1"/>
  <c r="FZ179" i="31"/>
  <c r="GA179" i="31" s="1"/>
  <c r="FU179" i="31"/>
  <c r="FW179" i="31" s="1"/>
  <c r="HO179" i="31"/>
  <c r="HP179" i="31" s="1"/>
  <c r="KU179" i="31"/>
  <c r="DQ179" i="31"/>
  <c r="DR179" i="31" s="1"/>
  <c r="DS179" i="31" s="1"/>
  <c r="AX179" i="31" s="1"/>
  <c r="AY180" i="31" s="1"/>
  <c r="FE179" i="31"/>
  <c r="FF179" i="31" s="1"/>
  <c r="FG180" i="31" s="1"/>
  <c r="GO179" i="31"/>
  <c r="GN179" i="31"/>
  <c r="KV179" i="31" s="1"/>
  <c r="OR181" i="31"/>
  <c r="HA179" i="31"/>
  <c r="DY179" i="31"/>
  <c r="HY179" i="31"/>
  <c r="NC181" i="31"/>
  <c r="MQ181" i="31"/>
  <c r="CT179" i="31" l="1"/>
  <c r="CS179" i="31"/>
  <c r="HU179" i="31"/>
  <c r="HV180" i="31" s="1"/>
  <c r="JT180" i="31"/>
  <c r="JU179" i="31"/>
  <c r="IZ179" i="31"/>
  <c r="IA179" i="31"/>
  <c r="IB179" i="31" s="1"/>
  <c r="KE179" i="31"/>
  <c r="HW179" i="31"/>
  <c r="HX180" i="31" s="1"/>
  <c r="GQ179" i="31"/>
  <c r="KW180" i="31"/>
  <c r="HQ179" i="31"/>
  <c r="HR180" i="31" s="1"/>
  <c r="AZ179" i="31"/>
  <c r="EM179" i="31"/>
  <c r="EW179" i="31" s="1"/>
  <c r="EN179" i="31"/>
  <c r="HS179" i="31"/>
  <c r="JG179" i="31" s="1"/>
  <c r="HT179" i="31"/>
  <c r="BB180" i="31" l="1"/>
  <c r="EQ179" i="31"/>
  <c r="DW179" i="31"/>
  <c r="DU180" i="31" s="1"/>
  <c r="IW179" i="31"/>
  <c r="ER180" i="31"/>
  <c r="IU179" i="31"/>
  <c r="IV179" i="31" s="1"/>
  <c r="IC179" i="31"/>
  <c r="ID179" i="31" s="1"/>
  <c r="IF179" i="31" s="1"/>
  <c r="KH179" i="31" s="1"/>
  <c r="JB179" i="31"/>
  <c r="BC180" i="31" l="1"/>
  <c r="EU180" i="31"/>
  <c r="IM179" i="31"/>
  <c r="GM179" i="31"/>
  <c r="DB179" i="31"/>
  <c r="DC179" i="31" s="1"/>
  <c r="DD180" i="31" s="1"/>
  <c r="DE181" i="31" s="1"/>
  <c r="KI180" i="31"/>
  <c r="IN179" i="31"/>
  <c r="DF179" i="31"/>
  <c r="KB179" i="31"/>
  <c r="IX179" i="31"/>
  <c r="KK179" i="31"/>
  <c r="DT179" i="31" l="1"/>
  <c r="DZ179" i="31" s="1"/>
  <c r="GT181" i="31"/>
  <c r="KJ180" i="31"/>
  <c r="GR179" i="31"/>
  <c r="FD179" i="31"/>
  <c r="GV179" i="31"/>
  <c r="GU179" i="31"/>
  <c r="BD180" i="31"/>
  <c r="BE180" i="31"/>
  <c r="GS179" i="31" l="1"/>
  <c r="BF180" i="31"/>
  <c r="BG180" i="31"/>
  <c r="IS179" i="31"/>
  <c r="FL180" i="31"/>
  <c r="FM180" i="31" l="1"/>
  <c r="JH179" i="31"/>
  <c r="JI179" i="31" s="1"/>
  <c r="IT179" i="31"/>
  <c r="BH180" i="31"/>
  <c r="BI180" i="31"/>
  <c r="BK180" i="31" s="1"/>
  <c r="GW179" i="31"/>
  <c r="HC179" i="31" s="1"/>
  <c r="FA180" i="31" s="1"/>
  <c r="HB180" i="31" s="1"/>
  <c r="GX179" i="31"/>
  <c r="GY179" i="31"/>
  <c r="EG179" i="31" l="1"/>
  <c r="EH180" i="31" s="1"/>
  <c r="EI180" i="31" s="1"/>
  <c r="FK180" i="31" s="1"/>
  <c r="EY179" i="31"/>
  <c r="HM179" i="31"/>
  <c r="HK180" i="31"/>
  <c r="BJ180" i="31"/>
  <c r="JK179" i="31"/>
  <c r="JN179" i="31" s="1"/>
  <c r="JV179" i="31" s="1"/>
  <c r="JF180" i="31" s="1"/>
  <c r="BL180" i="31"/>
  <c r="BM180" i="31"/>
  <c r="JZ179" i="31" l="1"/>
  <c r="KF179" i="31" s="1"/>
  <c r="IQ180" i="31" s="1"/>
  <c r="JM179" i="31"/>
  <c r="KD179" i="31" s="1"/>
  <c r="IL180" i="31" s="1"/>
  <c r="BN180" i="31"/>
  <c r="BO180" i="31"/>
  <c r="ED179" i="31"/>
  <c r="EB180" i="31" s="1"/>
  <c r="EJ179" i="31"/>
  <c r="EK180" i="31" s="1"/>
  <c r="EE179" i="31"/>
  <c r="EF180" i="31" s="1"/>
  <c r="JY180" i="31"/>
  <c r="JW180" i="31"/>
  <c r="EZ179" i="31"/>
  <c r="DG179" i="31"/>
  <c r="DH179" i="31" s="1"/>
  <c r="DI180" i="31" s="1"/>
  <c r="JL179" i="31"/>
  <c r="JJ180" i="31" s="1"/>
  <c r="KA180" i="31"/>
  <c r="IP180" i="31" l="1"/>
  <c r="IY180" i="31"/>
  <c r="JO180" i="31"/>
  <c r="JE180" i="31"/>
  <c r="IR180" i="31"/>
  <c r="JA180" i="31"/>
  <c r="DP180" i="31"/>
  <c r="DJ180" i="31"/>
  <c r="DK180" i="31" s="1"/>
  <c r="GZ180" i="31"/>
  <c r="IE180" i="31" s="1"/>
  <c r="JC180" i="31"/>
  <c r="JD180" i="31"/>
  <c r="BP180" i="31"/>
  <c r="BQ180" i="31" s="1"/>
  <c r="EL180" i="31"/>
  <c r="FC180" i="31"/>
  <c r="EO180" i="31"/>
  <c r="ES181" i="31" s="1"/>
  <c r="EP180" i="31"/>
  <c r="ET181" i="31" s="1"/>
  <c r="EV180" i="31"/>
  <c r="HZ180" i="31"/>
  <c r="IO180" i="31"/>
  <c r="JP180" i="31" l="1"/>
  <c r="JQ180" i="31" s="1"/>
  <c r="KG180" i="31"/>
  <c r="DM180" i="31"/>
  <c r="FQ180" i="31"/>
  <c r="DX180" i="31"/>
  <c r="BR180" i="31"/>
  <c r="BS180" i="31"/>
  <c r="EC180" i="31"/>
  <c r="JX180" i="31"/>
  <c r="BT180" i="31" l="1"/>
  <c r="BU180" i="31"/>
  <c r="DL180" i="31"/>
  <c r="L181" i="31"/>
  <c r="FB180" i="31"/>
  <c r="EX180" i="31"/>
  <c r="M180" i="31" s="1"/>
  <c r="MB180" i="31" l="1"/>
  <c r="NM180" i="31" s="1"/>
  <c r="NN180" i="31" s="1"/>
  <c r="MJ180" i="31"/>
  <c r="NS180" i="31" s="1"/>
  <c r="BV180" i="31"/>
  <c r="BW180" i="31" s="1"/>
  <c r="BY180" i="31" l="1"/>
  <c r="BX180" i="31"/>
  <c r="NT180" i="31"/>
  <c r="OU181" i="31"/>
  <c r="OV181" i="31"/>
  <c r="NW180" i="31"/>
  <c r="NX180" i="31" l="1"/>
  <c r="FR180" i="31"/>
  <c r="FV180" i="31"/>
  <c r="CX180" i="31"/>
  <c r="NU180" i="31"/>
  <c r="BZ180" i="31"/>
  <c r="CA180" i="31"/>
  <c r="NZ180" i="31" l="1"/>
  <c r="MY180" i="31"/>
  <c r="CY181" i="31"/>
  <c r="NY180" i="31"/>
  <c r="CB180" i="31"/>
  <c r="CC180" i="31" s="1"/>
  <c r="NV180" i="31"/>
  <c r="OF180" i="31"/>
  <c r="OS181" i="31" s="1"/>
  <c r="OA180" i="31" l="1"/>
  <c r="MV181" i="31" s="1"/>
  <c r="OG181" i="31" s="1"/>
  <c r="CD180" i="31"/>
  <c r="CE180" i="31"/>
  <c r="CF180" i="31" s="1"/>
  <c r="OO181" i="31"/>
  <c r="OM181" i="31"/>
  <c r="NF181" i="31"/>
  <c r="OB180" i="31"/>
  <c r="OT181" i="31" s="1"/>
  <c r="MZ181" i="31"/>
  <c r="OZ180" i="31"/>
  <c r="OI180" i="31"/>
  <c r="KT181" i="31" l="1"/>
  <c r="KM181" i="31" s="1"/>
  <c r="KO182" i="31" s="1"/>
  <c r="CG180" i="31"/>
  <c r="CH180" i="31" s="1"/>
  <c r="CI180" i="31" s="1"/>
  <c r="OC180" i="31"/>
  <c r="OD181" i="31" s="1"/>
  <c r="OH181" i="31" s="1"/>
  <c r="OK181" i="31" s="1"/>
  <c r="PA180" i="31"/>
  <c r="MR181" i="31"/>
  <c r="OX181" i="31"/>
  <c r="OW180" i="31"/>
  <c r="OJ180" i="31"/>
  <c r="KL181" i="31" l="1"/>
  <c r="KN182" i="31" s="1"/>
  <c r="KP182" i="31" s="1"/>
  <c r="OY181" i="31"/>
  <c r="MW181" i="31"/>
  <c r="CJ180" i="31"/>
  <c r="CO180" i="31" s="1"/>
  <c r="CK180" i="31"/>
  <c r="KR181" i="31"/>
  <c r="MS181" i="31"/>
  <c r="KQ181" i="31" l="1"/>
  <c r="KS181" i="31" s="1"/>
  <c r="CL180" i="31"/>
  <c r="CM180" i="31"/>
  <c r="CN180" i="31" s="1"/>
  <c r="NH182" i="31"/>
  <c r="NI182" i="31" s="1"/>
  <c r="NP181" i="31"/>
  <c r="MU181" i="31"/>
  <c r="NJ181" i="31"/>
  <c r="NQ181" i="31"/>
  <c r="MO181" i="31"/>
  <c r="MT181" i="31"/>
  <c r="PE181" i="31"/>
  <c r="MX181" i="31"/>
  <c r="NR181" i="31" l="1"/>
  <c r="NK181" i="31"/>
  <c r="NL181" i="31"/>
  <c r="NG182" i="31"/>
  <c r="OQ182" i="31"/>
  <c r="NB181" i="31"/>
  <c r="NA181" i="31"/>
  <c r="CP180" i="31"/>
  <c r="OR182" i="31" l="1"/>
  <c r="NC182" i="31"/>
  <c r="MQ182" i="31"/>
  <c r="GO180" i="31"/>
  <c r="FH180" i="31"/>
  <c r="FI180" i="31" s="1"/>
  <c r="FP180" i="31"/>
  <c r="FS180" i="31" s="1"/>
  <c r="DQ180" i="31"/>
  <c r="DR180" i="31" s="1"/>
  <c r="CQ180" i="31"/>
  <c r="GB180" i="31"/>
  <c r="GC180" i="31" s="1"/>
  <c r="FE180" i="31"/>
  <c r="FF180" i="31" s="1"/>
  <c r="FX180" i="31"/>
  <c r="FY180" i="31" s="1"/>
  <c r="HO180" i="31"/>
  <c r="JR180" i="31"/>
  <c r="JS180" i="31" s="1"/>
  <c r="FZ180" i="31"/>
  <c r="GA180" i="31" s="1"/>
  <c r="FU180" i="31"/>
  <c r="FW180" i="31" s="1"/>
  <c r="KX180" i="31"/>
  <c r="GN180" i="31" s="1"/>
  <c r="KU180" i="31"/>
  <c r="HU180" i="31" l="1"/>
  <c r="HV181" i="31" s="1"/>
  <c r="FJ181" i="31"/>
  <c r="HP180" i="31"/>
  <c r="IA180" i="31"/>
  <c r="IB180" i="31" s="1"/>
  <c r="IZ180" i="31"/>
  <c r="HW180" i="31"/>
  <c r="HX181" i="31" s="1"/>
  <c r="FG181" i="31"/>
  <c r="KE180" i="31"/>
  <c r="JU180" i="31"/>
  <c r="JT181" i="31"/>
  <c r="KC180" i="31"/>
  <c r="GQ180" i="31"/>
  <c r="KV180" i="31"/>
  <c r="CS180" i="31"/>
  <c r="CR180" i="31"/>
  <c r="CT180" i="31"/>
  <c r="DS180" i="31"/>
  <c r="AX180" i="31" s="1"/>
  <c r="AY181" i="31" s="1"/>
  <c r="HY180" i="31"/>
  <c r="HA180" i="31"/>
  <c r="DY180" i="31"/>
  <c r="KW181" i="31" l="1"/>
  <c r="HQ180" i="31"/>
  <c r="HR181" i="31" s="1"/>
  <c r="EN180" i="31"/>
  <c r="EM180" i="31"/>
  <c r="EW180" i="31" s="1"/>
  <c r="AZ180" i="31"/>
  <c r="HT180" i="31"/>
  <c r="HS180" i="31"/>
  <c r="JG180" i="31" s="1"/>
  <c r="BB181" i="31" l="1"/>
  <c r="DW180" i="31"/>
  <c r="DU181" i="31" s="1"/>
  <c r="EQ180" i="31"/>
  <c r="ER181" i="31"/>
  <c r="IU180" i="31"/>
  <c r="IV180" i="31" s="1"/>
  <c r="IC180" i="31"/>
  <c r="ID180" i="31" s="1"/>
  <c r="IF180" i="31" s="1"/>
  <c r="KH180" i="31" s="1"/>
  <c r="JB180" i="31"/>
  <c r="IW180" i="31" l="1"/>
  <c r="KB180" i="31" s="1"/>
  <c r="IM180" i="31"/>
  <c r="DB180" i="31"/>
  <c r="DC180" i="31" s="1"/>
  <c r="DD181" i="31" s="1"/>
  <c r="DE182" i="31" s="1"/>
  <c r="GM180" i="31"/>
  <c r="KI181" i="31"/>
  <c r="IN180" i="31"/>
  <c r="DF180" i="31"/>
  <c r="IX180" i="31"/>
  <c r="KK180" i="31"/>
  <c r="EU181" i="31"/>
  <c r="BC181" i="31"/>
  <c r="GT182" i="31" l="1"/>
  <c r="KJ181" i="31"/>
  <c r="GR180" i="31"/>
  <c r="FD180" i="31"/>
  <c r="GU180" i="31"/>
  <c r="GV180" i="31"/>
  <c r="DT180" i="31"/>
  <c r="DZ180" i="31" s="1"/>
  <c r="BD181" i="31"/>
  <c r="BE181" i="31"/>
  <c r="GS180" i="31" l="1"/>
  <c r="BG181" i="31"/>
  <c r="BF181" i="31"/>
  <c r="IS180" i="31"/>
  <c r="FL181" i="31"/>
  <c r="FM181" i="31" l="1"/>
  <c r="BH181" i="31"/>
  <c r="BI181" i="31"/>
  <c r="BK181" i="31" s="1"/>
  <c r="JH180" i="31"/>
  <c r="JI180" i="31" s="1"/>
  <c r="IT180" i="31"/>
  <c r="GY180" i="31"/>
  <c r="GX180" i="31"/>
  <c r="GW180" i="31"/>
  <c r="HC180" i="31" s="1"/>
  <c r="FA181" i="31" s="1"/>
  <c r="HB181" i="31" s="1"/>
  <c r="EG180" i="31" l="1"/>
  <c r="EH181" i="31" s="1"/>
  <c r="EI181" i="31" s="1"/>
  <c r="FK181" i="31" s="1"/>
  <c r="HM180" i="31"/>
  <c r="EY180" i="31"/>
  <c r="HK181" i="31"/>
  <c r="BJ181" i="31"/>
  <c r="BL181" i="31"/>
  <c r="BM181" i="31"/>
  <c r="JK180" i="31"/>
  <c r="JZ180" i="31" s="1"/>
  <c r="KF180" i="31" s="1"/>
  <c r="IQ181" i="31" s="1"/>
  <c r="JN180" i="31" l="1"/>
  <c r="JV180" i="31" s="1"/>
  <c r="JF181" i="31" s="1"/>
  <c r="ED180" i="31"/>
  <c r="EB181" i="31" s="1"/>
  <c r="EJ180" i="31"/>
  <c r="EK181" i="31" s="1"/>
  <c r="EE180" i="31"/>
  <c r="EF181" i="31" s="1"/>
  <c r="JM180" i="31"/>
  <c r="KD180" i="31" s="1"/>
  <c r="IL181" i="31" s="1"/>
  <c r="JL180" i="31"/>
  <c r="JJ181" i="31" s="1"/>
  <c r="KA181" i="31"/>
  <c r="EZ180" i="31"/>
  <c r="DG180" i="31"/>
  <c r="DH180" i="31" s="1"/>
  <c r="DI181" i="31" s="1"/>
  <c r="BN181" i="31"/>
  <c r="BO181" i="31"/>
  <c r="JO181" i="31" l="1"/>
  <c r="JE181" i="31"/>
  <c r="EO181" i="31"/>
  <c r="ES182" i="31" s="1"/>
  <c r="EL181" i="31"/>
  <c r="FC181" i="31"/>
  <c r="EP181" i="31"/>
  <c r="ET182" i="31" s="1"/>
  <c r="EV181" i="31"/>
  <c r="JC181" i="31"/>
  <c r="JD181" i="31"/>
  <c r="HZ181" i="31"/>
  <c r="JA181" i="31"/>
  <c r="IR181" i="31"/>
  <c r="DP181" i="31"/>
  <c r="JY181" i="31"/>
  <c r="JW181" i="31"/>
  <c r="BP181" i="31"/>
  <c r="BQ181" i="31" s="1"/>
  <c r="IO181" i="31"/>
  <c r="IP181" i="31"/>
  <c r="DJ181" i="31"/>
  <c r="DK181" i="31" s="1"/>
  <c r="GZ181" i="31"/>
  <c r="IE181" i="31" s="1"/>
  <c r="IY181" i="31"/>
  <c r="JX181" i="31" l="1"/>
  <c r="JP181" i="31"/>
  <c r="JQ181" i="31" s="1"/>
  <c r="BR181" i="31"/>
  <c r="BS181" i="31"/>
  <c r="BU181" i="31" s="1"/>
  <c r="KG181" i="31"/>
  <c r="DM181" i="31"/>
  <c r="DX181" i="31"/>
  <c r="FQ181" i="31"/>
  <c r="EC181" i="31"/>
  <c r="BT181" i="31" l="1"/>
  <c r="FB181" i="31"/>
  <c r="EX181" i="31"/>
  <c r="M181" i="31" s="1"/>
  <c r="DL181" i="31"/>
  <c r="L182" i="31"/>
  <c r="BV181" i="31"/>
  <c r="BW181" i="31" s="1"/>
  <c r="MB181" i="31" l="1"/>
  <c r="NM181" i="31" s="1"/>
  <c r="NN181" i="31" s="1"/>
  <c r="MJ181" i="31"/>
  <c r="NS181" i="31" s="1"/>
  <c r="BX181" i="31"/>
  <c r="BY181" i="31"/>
  <c r="BZ181" i="31" l="1"/>
  <c r="CA181" i="31"/>
  <c r="OV182" i="31"/>
  <c r="NW181" i="31"/>
  <c r="NT181" i="31"/>
  <c r="OU182" i="31"/>
  <c r="CB181" i="31" l="1"/>
  <c r="CC181" i="31" s="1"/>
  <c r="CX181" i="31"/>
  <c r="FV181" i="31"/>
  <c r="FR181" i="31"/>
  <c r="NU181" i="31"/>
  <c r="NX181" i="31"/>
  <c r="CE181" i="31" l="1"/>
  <c r="CG181" i="31" s="1"/>
  <c r="CD181" i="31"/>
  <c r="MY181" i="31"/>
  <c r="NZ181" i="31"/>
  <c r="CY182" i="31"/>
  <c r="NY181" i="31"/>
  <c r="OF181" i="31"/>
  <c r="OS182" i="31" s="1"/>
  <c r="NV181" i="31"/>
  <c r="OI181" i="31" l="1"/>
  <c r="MR182" i="31" s="1"/>
  <c r="CF181" i="31"/>
  <c r="CH181" i="31"/>
  <c r="CI181" i="31" s="1"/>
  <c r="OB181" i="31"/>
  <c r="OT182" i="31" s="1"/>
  <c r="OO182" i="31"/>
  <c r="OM182" i="31"/>
  <c r="NF182" i="31"/>
  <c r="MZ182" i="31"/>
  <c r="OZ181" i="31"/>
  <c r="OA181" i="31"/>
  <c r="MV182" i="31" s="1"/>
  <c r="OG182" i="31" s="1"/>
  <c r="OX182" i="31" l="1"/>
  <c r="OW181" i="31"/>
  <c r="CJ181" i="31"/>
  <c r="CO181" i="31" s="1"/>
  <c r="CK181" i="31"/>
  <c r="CL181" i="31" s="1"/>
  <c r="KT182" i="31"/>
  <c r="KL182" i="31" s="1"/>
  <c r="KN183" i="31" s="1"/>
  <c r="OC181" i="31"/>
  <c r="OD182" i="31" s="1"/>
  <c r="OH182" i="31" s="1"/>
  <c r="OK182" i="31" s="1"/>
  <c r="KM182" i="31"/>
  <c r="KO183" i="31" s="1"/>
  <c r="PA181" i="31"/>
  <c r="OJ181" i="31"/>
  <c r="MS182" i="31"/>
  <c r="CM181" i="31" l="1"/>
  <c r="CN181" i="31" s="1"/>
  <c r="CP181" i="31" s="1"/>
  <c r="OY182" i="31"/>
  <c r="MW182" i="31"/>
  <c r="NP182" i="31"/>
  <c r="MU182" i="31"/>
  <c r="NH183" i="31"/>
  <c r="NI183" i="31" s="1"/>
  <c r="NJ182" i="31"/>
  <c r="MT182" i="31"/>
  <c r="MO182" i="31"/>
  <c r="NQ182" i="31"/>
  <c r="PE182" i="31"/>
  <c r="KP183" i="31"/>
  <c r="KR182" i="31"/>
  <c r="KQ182" i="31"/>
  <c r="FU181" i="31" l="1"/>
  <c r="FW181" i="31" s="1"/>
  <c r="DQ181" i="31"/>
  <c r="DR181" i="31" s="1"/>
  <c r="DS181" i="31" s="1"/>
  <c r="AX181" i="31" s="1"/>
  <c r="AY182" i="31" s="1"/>
  <c r="CQ181" i="31"/>
  <c r="CR181" i="31" s="1"/>
  <c r="FH181" i="31"/>
  <c r="FI181" i="31" s="1"/>
  <c r="HU181" i="31" s="1"/>
  <c r="HV182" i="31" s="1"/>
  <c r="FE181" i="31"/>
  <c r="FF181" i="31" s="1"/>
  <c r="FG182" i="31" s="1"/>
  <c r="FP181" i="31"/>
  <c r="FS181" i="31" s="1"/>
  <c r="HY181" i="31" s="1"/>
  <c r="FZ181" i="31"/>
  <c r="GA181" i="31" s="1"/>
  <c r="KU181" i="31"/>
  <c r="KX181" i="31"/>
  <c r="FX181" i="31"/>
  <c r="FY181" i="31" s="1"/>
  <c r="NR182" i="31"/>
  <c r="KS182" i="31"/>
  <c r="GB181" i="31"/>
  <c r="GC181" i="31" s="1"/>
  <c r="GO181" i="31"/>
  <c r="HO181" i="31"/>
  <c r="HP181" i="31" s="1"/>
  <c r="JR181" i="31"/>
  <c r="JS181" i="31" s="1"/>
  <c r="JU181" i="31" s="1"/>
  <c r="MX182" i="31"/>
  <c r="NK182" i="31"/>
  <c r="NL182" i="31"/>
  <c r="NG183" i="31"/>
  <c r="OQ183" i="31"/>
  <c r="GN181" i="31" l="1"/>
  <c r="KV181" i="31" s="1"/>
  <c r="HW181" i="31"/>
  <c r="HX182" i="31" s="1"/>
  <c r="FJ182" i="31"/>
  <c r="CS181" i="31"/>
  <c r="CT181" i="31"/>
  <c r="DY181" i="31"/>
  <c r="HA181" i="31"/>
  <c r="JT182" i="31"/>
  <c r="IZ181" i="31"/>
  <c r="KE181" i="31"/>
  <c r="IA181" i="31"/>
  <c r="IB181" i="31" s="1"/>
  <c r="KC181" i="31"/>
  <c r="NA182" i="31"/>
  <c r="NB182" i="31"/>
  <c r="AZ181" i="31"/>
  <c r="EN181" i="31"/>
  <c r="EM181" i="31"/>
  <c r="EW181" i="31" s="1"/>
  <c r="OR183" i="31"/>
  <c r="NC183" i="31"/>
  <c r="MQ183" i="31"/>
  <c r="HS181" i="31"/>
  <c r="JG181" i="31" s="1"/>
  <c r="HT181" i="31"/>
  <c r="KW182" i="31" l="1"/>
  <c r="HQ181" i="31"/>
  <c r="HR182" i="31" s="1"/>
  <c r="GQ181" i="31"/>
  <c r="IC181" i="31"/>
  <c r="ID181" i="31" s="1"/>
  <c r="IF181" i="31" s="1"/>
  <c r="KH181" i="31" s="1"/>
  <c r="JB181" i="31"/>
  <c r="BB182" i="31"/>
  <c r="DW181" i="31"/>
  <c r="DU182" i="31" s="1"/>
  <c r="EQ181" i="31"/>
  <c r="ER182" i="31"/>
  <c r="IU181" i="31"/>
  <c r="IV181" i="31" s="1"/>
  <c r="IW181" i="31" l="1"/>
  <c r="KB181" i="31" s="1"/>
  <c r="KK181" i="31"/>
  <c r="IX181" i="31"/>
  <c r="BC182" i="31"/>
  <c r="EU182" i="31"/>
  <c r="DB181" i="31"/>
  <c r="DC181" i="31" s="1"/>
  <c r="DD182" i="31" s="1"/>
  <c r="DE183" i="31" s="1"/>
  <c r="IM181" i="31"/>
  <c r="GM181" i="31"/>
  <c r="KI182" i="31"/>
  <c r="IN181" i="31"/>
  <c r="DF181" i="31"/>
  <c r="GT183" i="31" l="1"/>
  <c r="DT181" i="31"/>
  <c r="DZ181" i="31" s="1"/>
  <c r="FD181" i="31"/>
  <c r="GU181" i="31"/>
  <c r="GV181" i="31"/>
  <c r="BE182" i="31"/>
  <c r="BD182" i="31"/>
  <c r="KJ182" i="31"/>
  <c r="GR181" i="31"/>
  <c r="GS181" i="31" l="1"/>
  <c r="IS181" i="31"/>
  <c r="FL182" i="31"/>
  <c r="BG182" i="31"/>
  <c r="BF182" i="31"/>
  <c r="BI182" i="31" l="1"/>
  <c r="BK182" i="31" s="1"/>
  <c r="BH182" i="31"/>
  <c r="JH181" i="31"/>
  <c r="JI181" i="31" s="1"/>
  <c r="IT181" i="31"/>
  <c r="GX181" i="31"/>
  <c r="GY181" i="31"/>
  <c r="GW181" i="31"/>
  <c r="HC181" i="31" s="1"/>
  <c r="FA182" i="31" s="1"/>
  <c r="HB182" i="31" s="1"/>
  <c r="FM182" i="31"/>
  <c r="BJ182" i="31" l="1"/>
  <c r="JK181" i="31"/>
  <c r="JZ181" i="31" s="1"/>
  <c r="KF181" i="31" s="1"/>
  <c r="IQ182" i="31" s="1"/>
  <c r="EG181" i="31"/>
  <c r="EH182" i="31" s="1"/>
  <c r="EI182" i="31" s="1"/>
  <c r="FK182" i="31" s="1"/>
  <c r="HM181" i="31"/>
  <c r="EY181" i="31"/>
  <c r="HK182" i="31"/>
  <c r="BL182" i="31"/>
  <c r="BM182" i="31"/>
  <c r="JN181" i="31" l="1"/>
  <c r="JV181" i="31" s="1"/>
  <c r="JF182" i="31" s="1"/>
  <c r="JY182" i="31" s="1"/>
  <c r="BN182" i="31"/>
  <c r="BO182" i="31"/>
  <c r="EZ181" i="31"/>
  <c r="DG181" i="31"/>
  <c r="DH181" i="31" s="1"/>
  <c r="DI182" i="31" s="1"/>
  <c r="EE181" i="31"/>
  <c r="EF182" i="31" s="1"/>
  <c r="EJ181" i="31"/>
  <c r="EK182" i="31" s="1"/>
  <c r="ED181" i="31"/>
  <c r="EB182" i="31" s="1"/>
  <c r="IY182" i="31" s="1"/>
  <c r="JM181" i="31"/>
  <c r="KD181" i="31" s="1"/>
  <c r="IL182" i="31" s="1"/>
  <c r="JE182" i="31" s="1"/>
  <c r="JL181" i="31"/>
  <c r="JJ182" i="31" s="1"/>
  <c r="KA182" i="31"/>
  <c r="JW182" i="31" l="1"/>
  <c r="BP182" i="31"/>
  <c r="BQ182" i="31" s="1"/>
  <c r="BR182" i="31" s="1"/>
  <c r="HZ182" i="31"/>
  <c r="IR182" i="31"/>
  <c r="DP182" i="31"/>
  <c r="IP182" i="31"/>
  <c r="IO182" i="31"/>
  <c r="JP182" i="31" s="1"/>
  <c r="JQ182" i="31" s="1"/>
  <c r="JO182" i="31"/>
  <c r="EL182" i="31"/>
  <c r="EP182" i="31"/>
  <c r="ET183" i="31" s="1"/>
  <c r="EO182" i="31"/>
  <c r="ES183" i="31" s="1"/>
  <c r="FC182" i="31"/>
  <c r="EV182" i="31"/>
  <c r="JA182" i="31"/>
  <c r="GZ182" i="31"/>
  <c r="IE182" i="31" s="1"/>
  <c r="DJ182" i="31"/>
  <c r="DK182" i="31" s="1"/>
  <c r="JC182" i="31"/>
  <c r="JD182" i="31"/>
  <c r="BS182" i="31" l="1"/>
  <c r="BT182" i="31" s="1"/>
  <c r="KG182" i="31"/>
  <c r="EC182" i="31"/>
  <c r="DX182" i="31"/>
  <c r="DM182" i="31"/>
  <c r="FQ182" i="31"/>
  <c r="JX182" i="31"/>
  <c r="BU182" i="31" l="1"/>
  <c r="BV182" i="31" s="1"/>
  <c r="DL182" i="31"/>
  <c r="L183" i="31"/>
  <c r="FB182" i="31"/>
  <c r="EX182" i="31"/>
  <c r="M182" i="31" s="1"/>
  <c r="BW182" i="31" l="1"/>
  <c r="BY182" i="31" s="1"/>
  <c r="MB182" i="31"/>
  <c r="NM182" i="31" s="1"/>
  <c r="NN182" i="31" s="1"/>
  <c r="MJ182" i="31"/>
  <c r="NS182" i="31" s="1"/>
  <c r="BX182" i="31" l="1"/>
  <c r="BZ182" i="31" s="1"/>
  <c r="CA182" i="31"/>
  <c r="OV183" i="31"/>
  <c r="NW182" i="31"/>
  <c r="NX182" i="31" s="1"/>
  <c r="NT182" i="31"/>
  <c r="OU183" i="31"/>
  <c r="CB182" i="31" l="1"/>
  <c r="CC182" i="31" s="1"/>
  <c r="OF182" i="31"/>
  <c r="OS183" i="31" s="1"/>
  <c r="NY182" i="31"/>
  <c r="FV182" i="31"/>
  <c r="CX182" i="31"/>
  <c r="FR182" i="31"/>
  <c r="NU182" i="31"/>
  <c r="CD182" i="31" l="1"/>
  <c r="CE182" i="31"/>
  <c r="CF182" i="31" s="1"/>
  <c r="OB182" i="31"/>
  <c r="OT183" i="31" s="1"/>
  <c r="NV182" i="31"/>
  <c r="MY182" i="31"/>
  <c r="OI182" i="31" s="1"/>
  <c r="NZ182" i="31"/>
  <c r="OA182" i="31" s="1"/>
  <c r="MV183" i="31" s="1"/>
  <c r="CY183" i="31"/>
  <c r="CG182" i="31" l="1"/>
  <c r="CH182" i="31" s="1"/>
  <c r="CI182" i="31" s="1"/>
  <c r="PA182" i="31"/>
  <c r="OC182" i="31"/>
  <c r="OD183" i="31" s="1"/>
  <c r="OH183" i="31" s="1"/>
  <c r="OJ182" i="31"/>
  <c r="MW183" i="31" s="1"/>
  <c r="OX183" i="31"/>
  <c r="OW182" i="31"/>
  <c r="MR183" i="31"/>
  <c r="MZ183" i="31"/>
  <c r="OZ182" i="31"/>
  <c r="OG183" i="31"/>
  <c r="OO183" i="31"/>
  <c r="KT183" i="31" s="1"/>
  <c r="NF183" i="31"/>
  <c r="OM183" i="31"/>
  <c r="OY183" i="31" l="1"/>
  <c r="OK183" i="31"/>
  <c r="KL183" i="31"/>
  <c r="KN184" i="31" s="1"/>
  <c r="KM183" i="31"/>
  <c r="KO184" i="31" s="1"/>
  <c r="MS183" i="31"/>
  <c r="CJ182" i="31"/>
  <c r="CO182" i="31" s="1"/>
  <c r="CK182" i="31"/>
  <c r="MX183" i="31"/>
  <c r="NB183" i="31" l="1"/>
  <c r="NA183" i="31"/>
  <c r="CL182" i="31"/>
  <c r="CM182" i="31"/>
  <c r="CN182" i="31" s="1"/>
  <c r="NJ183" i="31"/>
  <c r="MO183" i="31"/>
  <c r="NP183" i="31"/>
  <c r="MU183" i="31"/>
  <c r="MT183" i="31"/>
  <c r="NH184" i="31"/>
  <c r="NI184" i="31" s="1"/>
  <c r="NQ183" i="31"/>
  <c r="PE183" i="31"/>
  <c r="KP184" i="31"/>
  <c r="KR183" i="31"/>
  <c r="KQ183" i="31"/>
  <c r="NL183" i="31" l="1"/>
  <c r="NK183" i="31"/>
  <c r="NG184" i="31"/>
  <c r="OQ184" i="31"/>
  <c r="NR183" i="31"/>
  <c r="CP182" i="31"/>
  <c r="KS183" i="31"/>
  <c r="FU182" i="31" l="1"/>
  <c r="FW182" i="31" s="1"/>
  <c r="CQ182" i="31"/>
  <c r="GO182" i="31"/>
  <c r="FP182" i="31"/>
  <c r="FS182" i="31" s="1"/>
  <c r="GB182" i="31"/>
  <c r="GC182" i="31" s="1"/>
  <c r="DQ182" i="31"/>
  <c r="DR182" i="31" s="1"/>
  <c r="FE182" i="31"/>
  <c r="FF182" i="31" s="1"/>
  <c r="FH182" i="31"/>
  <c r="FI182" i="31" s="1"/>
  <c r="HO182" i="31"/>
  <c r="FZ182" i="31"/>
  <c r="GA182" i="31" s="1"/>
  <c r="JR182" i="31"/>
  <c r="JS182" i="31" s="1"/>
  <c r="FX182" i="31"/>
  <c r="FY182" i="31" s="1"/>
  <c r="KX182" i="31"/>
  <c r="GN182" i="31" s="1"/>
  <c r="KU182" i="31"/>
  <c r="OR184" i="31"/>
  <c r="NC184" i="31"/>
  <c r="MQ184" i="31"/>
  <c r="DS182" i="31" l="1"/>
  <c r="AX182" i="31" s="1"/>
  <c r="AY183" i="31" s="1"/>
  <c r="HW182" i="31"/>
  <c r="HX183" i="31" s="1"/>
  <c r="FG183" i="31"/>
  <c r="HA182" i="31"/>
  <c r="HY182" i="31"/>
  <c r="DY182" i="31"/>
  <c r="JU182" i="31"/>
  <c r="KE182" i="31"/>
  <c r="JT183" i="31"/>
  <c r="KC182" i="31"/>
  <c r="HU182" i="31"/>
  <c r="HV183" i="31" s="1"/>
  <c r="FJ183" i="31"/>
  <c r="CR182" i="31"/>
  <c r="CT182" i="31"/>
  <c r="CS182" i="31"/>
  <c r="GQ182" i="31"/>
  <c r="KV182" i="31"/>
  <c r="HP182" i="31"/>
  <c r="IA182" i="31"/>
  <c r="IB182" i="31" s="1"/>
  <c r="IZ182" i="31"/>
  <c r="KW183" i="31" l="1"/>
  <c r="HQ182" i="31"/>
  <c r="HR183" i="31" s="1"/>
  <c r="HT182" i="31"/>
  <c r="HS182" i="31"/>
  <c r="JG182" i="31" s="1"/>
  <c r="EN182" i="31"/>
  <c r="AZ182" i="31"/>
  <c r="EM182" i="31"/>
  <c r="EW182" i="31" s="1"/>
  <c r="IC182" i="31" l="1"/>
  <c r="ID182" i="31" s="1"/>
  <c r="IF182" i="31" s="1"/>
  <c r="KH182" i="31" s="1"/>
  <c r="JB182" i="31"/>
  <c r="BB183" i="31"/>
  <c r="DW182" i="31"/>
  <c r="DU183" i="31" s="1"/>
  <c r="EQ182" i="31"/>
  <c r="IW182" i="31"/>
  <c r="ER183" i="31"/>
  <c r="IU182" i="31"/>
  <c r="IV182" i="31" s="1"/>
  <c r="IM182" i="31" l="1"/>
  <c r="DB182" i="31"/>
  <c r="DC182" i="31" s="1"/>
  <c r="DD183" i="31" s="1"/>
  <c r="DE184" i="31" s="1"/>
  <c r="GM182" i="31"/>
  <c r="KI183" i="31"/>
  <c r="IN182" i="31"/>
  <c r="DF182" i="31"/>
  <c r="BC183" i="31"/>
  <c r="EU183" i="31"/>
  <c r="KB182" i="31"/>
  <c r="IX182" i="31"/>
  <c r="KK182" i="31"/>
  <c r="GT184" i="31" l="1"/>
  <c r="KJ183" i="31"/>
  <c r="GR182" i="31"/>
  <c r="BE183" i="31"/>
  <c r="BD183" i="31"/>
  <c r="GU182" i="31"/>
  <c r="GV182" i="31"/>
  <c r="FD182" i="31"/>
  <c r="DT182" i="31"/>
  <c r="DZ182" i="31" s="1"/>
  <c r="BF183" i="31" l="1"/>
  <c r="BG183" i="31"/>
  <c r="GS182" i="31"/>
  <c r="IS182" i="31"/>
  <c r="FL183" i="31"/>
  <c r="JH182" i="31" l="1"/>
  <c r="JI182" i="31" s="1"/>
  <c r="IT182" i="31"/>
  <c r="FM183" i="31"/>
  <c r="GW182" i="31"/>
  <c r="HC182" i="31" s="1"/>
  <c r="FA183" i="31" s="1"/>
  <c r="HB183" i="31" s="1"/>
  <c r="GX182" i="31"/>
  <c r="GY182" i="31"/>
  <c r="BI183" i="31"/>
  <c r="BK183" i="31" s="1"/>
  <c r="BH183" i="31"/>
  <c r="BL183" i="31" l="1"/>
  <c r="BM183" i="31"/>
  <c r="EG182" i="31"/>
  <c r="EH183" i="31" s="1"/>
  <c r="EI183" i="31" s="1"/>
  <c r="FK183" i="31" s="1"/>
  <c r="EY182" i="31"/>
  <c r="HM182" i="31"/>
  <c r="HK183" i="31"/>
  <c r="BJ183" i="31"/>
  <c r="JK182" i="31"/>
  <c r="JN182" i="31" s="1"/>
  <c r="JV182" i="31" s="1"/>
  <c r="JF183" i="31" s="1"/>
  <c r="JM182" i="31" l="1"/>
  <c r="KD182" i="31" s="1"/>
  <c r="IL183" i="31" s="1"/>
  <c r="EZ182" i="31"/>
  <c r="DG182" i="31"/>
  <c r="DH182" i="31" s="1"/>
  <c r="DI183" i="31" s="1"/>
  <c r="JW183" i="31"/>
  <c r="JY183" i="31"/>
  <c r="JZ182" i="31"/>
  <c r="KF182" i="31" s="1"/>
  <c r="IQ183" i="31" s="1"/>
  <c r="JL182" i="31"/>
  <c r="JJ183" i="31" s="1"/>
  <c r="KA183" i="31"/>
  <c r="EJ182" i="31"/>
  <c r="EK183" i="31" s="1"/>
  <c r="EE182" i="31"/>
  <c r="EF183" i="31" s="1"/>
  <c r="ED182" i="31"/>
  <c r="EB183" i="31" s="1"/>
  <c r="BN183" i="31"/>
  <c r="BO183" i="31"/>
  <c r="IP183" i="31" l="1"/>
  <c r="IO183" i="31"/>
  <c r="EL183" i="31"/>
  <c r="EP183" i="31"/>
  <c r="ET184" i="31" s="1"/>
  <c r="EO183" i="31"/>
  <c r="ES184" i="31" s="1"/>
  <c r="FC183" i="31"/>
  <c r="EV183" i="31"/>
  <c r="GZ183" i="31"/>
  <c r="IE183" i="31" s="1"/>
  <c r="DJ183" i="31"/>
  <c r="DK183" i="31" s="1"/>
  <c r="HZ183" i="31"/>
  <c r="DP183" i="31"/>
  <c r="JA183" i="31"/>
  <c r="IR183" i="31"/>
  <c r="JE183" i="31"/>
  <c r="JO183" i="31"/>
  <c r="IY183" i="31"/>
  <c r="BP183" i="31"/>
  <c r="BQ183" i="31" s="1"/>
  <c r="JC183" i="31"/>
  <c r="JD183" i="31"/>
  <c r="JP183" i="31" l="1"/>
  <c r="JQ183" i="31" s="1"/>
  <c r="BR183" i="31"/>
  <c r="BS183" i="31"/>
  <c r="BU183" i="31" s="1"/>
  <c r="KG183" i="31"/>
  <c r="FQ183" i="31"/>
  <c r="DM183" i="31"/>
  <c r="DX183" i="31"/>
  <c r="EC183" i="31"/>
  <c r="JX183" i="31"/>
  <c r="BV183" i="31" l="1"/>
  <c r="BW183" i="31" s="1"/>
  <c r="BT183" i="31"/>
  <c r="DL183" i="31"/>
  <c r="L184" i="31"/>
  <c r="FB183" i="31"/>
  <c r="EX183" i="31"/>
  <c r="M183" i="31" s="1"/>
  <c r="MJ183" i="31" l="1"/>
  <c r="NS183" i="31" s="1"/>
  <c r="MB183" i="31"/>
  <c r="NM183" i="31" s="1"/>
  <c r="NN183" i="31" s="1"/>
  <c r="BY183" i="31"/>
  <c r="BX183" i="31"/>
  <c r="OV184" i="31" l="1"/>
  <c r="NW183" i="31"/>
  <c r="NT183" i="31"/>
  <c r="OU184" i="31"/>
  <c r="BZ183" i="31"/>
  <c r="CA183" i="31"/>
  <c r="CB183" i="31" l="1"/>
  <c r="CC183" i="31" s="1"/>
  <c r="CX183" i="31"/>
  <c r="FR183" i="31"/>
  <c r="FV183" i="31"/>
  <c r="NU183" i="31"/>
  <c r="NX183" i="31"/>
  <c r="OF183" i="31" s="1"/>
  <c r="OS184" i="31" s="1"/>
  <c r="CE183" i="31" l="1"/>
  <c r="CF183" i="31" s="1"/>
  <c r="CD183" i="31"/>
  <c r="NV183" i="31"/>
  <c r="MY183" i="31"/>
  <c r="NZ183" i="31"/>
  <c r="CY184" i="31"/>
  <c r="NY183" i="31"/>
  <c r="CG183" i="31" l="1"/>
  <c r="CH183" i="31" s="1"/>
  <c r="CI183" i="31" s="1"/>
  <c r="CK183" i="31" s="1"/>
  <c r="OI183" i="31"/>
  <c r="MR184" i="31" s="1"/>
  <c r="NF184" i="31"/>
  <c r="OM184" i="31"/>
  <c r="OO184" i="31"/>
  <c r="OB183" i="31"/>
  <c r="OT184" i="31" s="1"/>
  <c r="OA183" i="31"/>
  <c r="MV184" i="31" s="1"/>
  <c r="OG184" i="31" s="1"/>
  <c r="MZ184" i="31"/>
  <c r="OZ183" i="31"/>
  <c r="OX184" i="31" l="1"/>
  <c r="OW183" i="31"/>
  <c r="CJ183" i="31"/>
  <c r="CO183" i="31" s="1"/>
  <c r="CL183" i="31"/>
  <c r="CM183" i="31"/>
  <c r="CN183" i="31" s="1"/>
  <c r="OJ183" i="31"/>
  <c r="OC183" i="31"/>
  <c r="OD184" i="31" s="1"/>
  <c r="OH184" i="31" s="1"/>
  <c r="OK184" i="31" s="1"/>
  <c r="PA183" i="31"/>
  <c r="KT184" i="31"/>
  <c r="MS184" i="31"/>
  <c r="OY184" i="31" l="1"/>
  <c r="MW184" i="31"/>
  <c r="MO184" i="31"/>
  <c r="NJ184" i="31"/>
  <c r="NQ184" i="31"/>
  <c r="NP184" i="31"/>
  <c r="NH185" i="31"/>
  <c r="NI185" i="31" s="1"/>
  <c r="MT184" i="31"/>
  <c r="MU184" i="31"/>
  <c r="PE184" i="31"/>
  <c r="KM184" i="31"/>
  <c r="KO185" i="31" s="1"/>
  <c r="KL184" i="31"/>
  <c r="KN185" i="31" s="1"/>
  <c r="CP183" i="31"/>
  <c r="NR184" i="31" l="1"/>
  <c r="KQ184" i="31"/>
  <c r="NL184" i="31"/>
  <c r="NK184" i="31"/>
  <c r="NG185" i="31"/>
  <c r="OQ185" i="31"/>
  <c r="KP185" i="31"/>
  <c r="KR184" i="31"/>
  <c r="MX184" i="31"/>
  <c r="CQ183" i="31"/>
  <c r="FH183" i="31"/>
  <c r="FI183" i="31" s="1"/>
  <c r="HO183" i="31"/>
  <c r="FX183" i="31"/>
  <c r="FY183" i="31" s="1"/>
  <c r="GB183" i="31"/>
  <c r="GC183" i="31" s="1"/>
  <c r="DQ183" i="31"/>
  <c r="DR183" i="31" s="1"/>
  <c r="FZ183" i="31"/>
  <c r="GA183" i="31" s="1"/>
  <c r="GO183" i="31"/>
  <c r="FU183" i="31"/>
  <c r="FW183" i="31" s="1"/>
  <c r="JR183" i="31"/>
  <c r="JS183" i="31" s="1"/>
  <c r="FP183" i="31"/>
  <c r="FS183" i="31" s="1"/>
  <c r="FE183" i="31"/>
  <c r="FF183" i="31" s="1"/>
  <c r="KX183" i="31"/>
  <c r="KU183" i="31"/>
  <c r="GN183" i="31" l="1"/>
  <c r="GQ183" i="31" s="1"/>
  <c r="JU183" i="31"/>
  <c r="KE183" i="31"/>
  <c r="JT184" i="31"/>
  <c r="KC183" i="31"/>
  <c r="HU183" i="31"/>
  <c r="HV184" i="31" s="1"/>
  <c r="FJ184" i="31"/>
  <c r="OR185" i="31"/>
  <c r="DS183" i="31"/>
  <c r="AX183" i="31" s="1"/>
  <c r="AY184" i="31" s="1"/>
  <c r="NC185" i="31"/>
  <c r="MQ185" i="31"/>
  <c r="NB184" i="31"/>
  <c r="NA184" i="31"/>
  <c r="CR183" i="31"/>
  <c r="CT183" i="31"/>
  <c r="CS183" i="31"/>
  <c r="HW183" i="31"/>
  <c r="HX184" i="31" s="1"/>
  <c r="FG184" i="31"/>
  <c r="KS184" i="31"/>
  <c r="HY183" i="31"/>
  <c r="DY183" i="31"/>
  <c r="HA183" i="31"/>
  <c r="IA183" i="31"/>
  <c r="IB183" i="31" s="1"/>
  <c r="HP183" i="31"/>
  <c r="IZ183" i="31"/>
  <c r="KV183" i="31" l="1"/>
  <c r="KW184" i="31" s="1"/>
  <c r="HQ183" i="31"/>
  <c r="HR184" i="31" s="1"/>
  <c r="HS183" i="31"/>
  <c r="JG183" i="31" s="1"/>
  <c r="HT183" i="31"/>
  <c r="EN183" i="31"/>
  <c r="AZ183" i="31"/>
  <c r="EM183" i="31"/>
  <c r="EW183" i="31" s="1"/>
  <c r="IC183" i="31" l="1"/>
  <c r="ID183" i="31" s="1"/>
  <c r="IF183" i="31" s="1"/>
  <c r="KH183" i="31" s="1"/>
  <c r="JB183" i="31"/>
  <c r="BB184" i="31"/>
  <c r="DW183" i="31"/>
  <c r="DU184" i="31" s="1"/>
  <c r="EQ183" i="31"/>
  <c r="ER184" i="31"/>
  <c r="IU183" i="31"/>
  <c r="IV183" i="31" s="1"/>
  <c r="IW183" i="31" l="1"/>
  <c r="KB183" i="31" s="1"/>
  <c r="IM183" i="31"/>
  <c r="GM183" i="31"/>
  <c r="DB183" i="31"/>
  <c r="DC183" i="31" s="1"/>
  <c r="DD184" i="31" s="1"/>
  <c r="DE185" i="31" s="1"/>
  <c r="KI184" i="31"/>
  <c r="IN183" i="31"/>
  <c r="DF183" i="31"/>
  <c r="BC184" i="31"/>
  <c r="EU184" i="31"/>
  <c r="IX183" i="31"/>
  <c r="KK183" i="31"/>
  <c r="GT185" i="31" l="1"/>
  <c r="KJ184" i="31"/>
  <c r="GU183" i="31"/>
  <c r="GV183" i="31"/>
  <c r="FD183" i="31"/>
  <c r="BE184" i="31"/>
  <c r="BD184" i="31"/>
  <c r="GR183" i="31"/>
  <c r="DT183" i="31"/>
  <c r="DZ183" i="31" s="1"/>
  <c r="BF184" i="31" l="1"/>
  <c r="BG184" i="31"/>
  <c r="GS183" i="31"/>
  <c r="IS183" i="31"/>
  <c r="FL184" i="31"/>
  <c r="FM184" i="31" l="1"/>
  <c r="JH183" i="31"/>
  <c r="JI183" i="31" s="1"/>
  <c r="IT183" i="31"/>
  <c r="GY183" i="31"/>
  <c r="GW183" i="31"/>
  <c r="HC183" i="31" s="1"/>
  <c r="FA184" i="31" s="1"/>
  <c r="HB184" i="31" s="1"/>
  <c r="GX183" i="31"/>
  <c r="BI184" i="31"/>
  <c r="BK184" i="31" s="1"/>
  <c r="BH184" i="31"/>
  <c r="BL184" i="31" l="1"/>
  <c r="BM184" i="31"/>
  <c r="EY183" i="31"/>
  <c r="EG183" i="31"/>
  <c r="EH184" i="31" s="1"/>
  <c r="EI184" i="31" s="1"/>
  <c r="FK184" i="31" s="1"/>
  <c r="HM183" i="31"/>
  <c r="HK184" i="31"/>
  <c r="JK183" i="31"/>
  <c r="JZ183" i="31" s="1"/>
  <c r="KF183" i="31" s="1"/>
  <c r="IQ184" i="31" s="1"/>
  <c r="BJ184" i="31"/>
  <c r="JN183" i="31" l="1"/>
  <c r="JV183" i="31" s="1"/>
  <c r="JF184" i="31" s="1"/>
  <c r="JY184" i="31" s="1"/>
  <c r="EE183" i="31"/>
  <c r="EF184" i="31" s="1"/>
  <c r="ED183" i="31"/>
  <c r="EB184" i="31" s="1"/>
  <c r="JA184" i="31" s="1"/>
  <c r="EJ183" i="31"/>
  <c r="EK184" i="31" s="1"/>
  <c r="EZ183" i="31"/>
  <c r="DG183" i="31"/>
  <c r="DH183" i="31" s="1"/>
  <c r="DI184" i="31" s="1"/>
  <c r="BO184" i="31"/>
  <c r="BN184" i="31"/>
  <c r="JM183" i="31"/>
  <c r="KD183" i="31" s="1"/>
  <c r="IL184" i="31" s="1"/>
  <c r="JL183" i="31"/>
  <c r="JJ184" i="31" s="1"/>
  <c r="KA184" i="31"/>
  <c r="JW184" i="31" l="1"/>
  <c r="IY184" i="31"/>
  <c r="HZ184" i="31"/>
  <c r="IP184" i="31"/>
  <c r="IO184" i="31"/>
  <c r="BP184" i="31"/>
  <c r="BQ184" i="31" s="1"/>
  <c r="DP184" i="31"/>
  <c r="JO184" i="31"/>
  <c r="JC184" i="31"/>
  <c r="JD184" i="31"/>
  <c r="IR184" i="31"/>
  <c r="EP184" i="31"/>
  <c r="ET185" i="31" s="1"/>
  <c r="EO184" i="31"/>
  <c r="ES185" i="31" s="1"/>
  <c r="FC184" i="31"/>
  <c r="EL184" i="31"/>
  <c r="EV184" i="31"/>
  <c r="JE184" i="31"/>
  <c r="DJ184" i="31"/>
  <c r="DK184" i="31" s="1"/>
  <c r="GZ184" i="31"/>
  <c r="IE184" i="31" s="1"/>
  <c r="JP184" i="31" l="1"/>
  <c r="JQ184" i="31" s="1"/>
  <c r="KG184" i="31"/>
  <c r="DX184" i="31"/>
  <c r="DM184" i="31"/>
  <c r="FQ184" i="31"/>
  <c r="BR184" i="31"/>
  <c r="BS184" i="31"/>
  <c r="JX184" i="31"/>
  <c r="EC184" i="31"/>
  <c r="DL184" i="31" l="1"/>
  <c r="L185" i="31"/>
  <c r="EX184" i="31"/>
  <c r="M184" i="31" s="1"/>
  <c r="FB184" i="31"/>
  <c r="BT184" i="31"/>
  <c r="BU184" i="31"/>
  <c r="MB184" i="31" l="1"/>
  <c r="NM184" i="31" s="1"/>
  <c r="NN184" i="31" s="1"/>
  <c r="MJ184" i="31"/>
  <c r="NS184" i="31" s="1"/>
  <c r="BV184" i="31"/>
  <c r="BW184" i="31" s="1"/>
  <c r="BY184" i="31" l="1"/>
  <c r="BX184" i="31"/>
  <c r="NT184" i="31"/>
  <c r="OU185" i="31"/>
  <c r="OV185" i="31"/>
  <c r="NW184" i="31"/>
  <c r="CX184" i="31" l="1"/>
  <c r="FR184" i="31"/>
  <c r="FV184" i="31"/>
  <c r="NU184" i="31"/>
  <c r="NX184" i="31"/>
  <c r="BZ184" i="31"/>
  <c r="CA184" i="31"/>
  <c r="CC184" i="31" s="1"/>
  <c r="CB184" i="31" l="1"/>
  <c r="NV184" i="31"/>
  <c r="CD184" i="31"/>
  <c r="CE184" i="31"/>
  <c r="NZ184" i="31"/>
  <c r="MY184" i="31"/>
  <c r="CY185" i="31"/>
  <c r="NY184" i="31"/>
  <c r="OF184" i="31"/>
  <c r="OS185" i="31" s="1"/>
  <c r="CF184" i="31" l="1"/>
  <c r="CG184" i="31"/>
  <c r="MZ185" i="31"/>
  <c r="OZ184" i="31"/>
  <c r="OB184" i="31"/>
  <c r="OT185" i="31" s="1"/>
  <c r="NF185" i="31"/>
  <c r="OM185" i="31"/>
  <c r="OO185" i="31"/>
  <c r="OI184" i="31"/>
  <c r="OA184" i="31"/>
  <c r="MV185" i="31" s="1"/>
  <c r="PA184" i="31" l="1"/>
  <c r="OC184" i="31"/>
  <c r="OD185" i="31" s="1"/>
  <c r="OH185" i="31" s="1"/>
  <c r="OJ184" i="31"/>
  <c r="MW185" i="31" s="1"/>
  <c r="CH184" i="31"/>
  <c r="CI184" i="31" s="1"/>
  <c r="OW184" i="31"/>
  <c r="MR185" i="31"/>
  <c r="OX185" i="31"/>
  <c r="KT185" i="31"/>
  <c r="OG185" i="31"/>
  <c r="OY185" i="31" l="1"/>
  <c r="OK185" i="31"/>
  <c r="MS185" i="31"/>
  <c r="CJ184" i="31"/>
  <c r="CO184" i="31" s="1"/>
  <c r="CK184" i="31"/>
  <c r="KL185" i="31"/>
  <c r="KN186" i="31" s="1"/>
  <c r="KM185" i="31"/>
  <c r="KO186" i="31" s="1"/>
  <c r="MX185" i="31"/>
  <c r="KP186" i="31" l="1"/>
  <c r="KR185" i="31"/>
  <c r="KQ185" i="31"/>
  <c r="CL184" i="31"/>
  <c r="CM184" i="31"/>
  <c r="CN184" i="31" s="1"/>
  <c r="NB185" i="31"/>
  <c r="NA185" i="31"/>
  <c r="NQ185" i="31"/>
  <c r="NJ185" i="31"/>
  <c r="MT185" i="31"/>
  <c r="MO185" i="31"/>
  <c r="NP185" i="31"/>
  <c r="NH186" i="31"/>
  <c r="NI186" i="31" s="1"/>
  <c r="MU185" i="31"/>
  <c r="PE185" i="31"/>
  <c r="KS185" i="31" l="1"/>
  <c r="CP184" i="31"/>
  <c r="NR185" i="31"/>
  <c r="NK185" i="31"/>
  <c r="NL185" i="31"/>
  <c r="NG186" i="31"/>
  <c r="OQ186" i="31"/>
  <c r="NC186" i="31" l="1"/>
  <c r="MQ186" i="31"/>
  <c r="JR184" i="31"/>
  <c r="JS184" i="31" s="1"/>
  <c r="HO184" i="31"/>
  <c r="FH184" i="31"/>
  <c r="FI184" i="31" s="1"/>
  <c r="DQ184" i="31"/>
  <c r="DR184" i="31" s="1"/>
  <c r="GB184" i="31"/>
  <c r="GC184" i="31" s="1"/>
  <c r="FZ184" i="31"/>
  <c r="GA184" i="31" s="1"/>
  <c r="CQ184" i="31"/>
  <c r="GO184" i="31"/>
  <c r="FE184" i="31"/>
  <c r="FF184" i="31" s="1"/>
  <c r="FP184" i="31"/>
  <c r="FS184" i="31" s="1"/>
  <c r="FX184" i="31"/>
  <c r="FY184" i="31" s="1"/>
  <c r="FU184" i="31"/>
  <c r="FW184" i="31" s="1"/>
  <c r="KX184" i="31"/>
  <c r="KU184" i="31"/>
  <c r="OR186" i="31"/>
  <c r="GN184" i="31" l="1"/>
  <c r="GQ184" i="31" s="1"/>
  <c r="IA184" i="31"/>
  <c r="IB184" i="31" s="1"/>
  <c r="HP184" i="31"/>
  <c r="IZ184" i="31"/>
  <c r="KE184" i="31"/>
  <c r="JU184" i="31"/>
  <c r="JT185" i="31"/>
  <c r="KC184" i="31"/>
  <c r="HU184" i="31"/>
  <c r="HV185" i="31" s="1"/>
  <c r="FJ185" i="31"/>
  <c r="HW184" i="31"/>
  <c r="HX185" i="31" s="1"/>
  <c r="FG185" i="31"/>
  <c r="CS184" i="31"/>
  <c r="CT184" i="31"/>
  <c r="CR184" i="31"/>
  <c r="DS184" i="31"/>
  <c r="AX184" i="31" s="1"/>
  <c r="AY185" i="31" s="1"/>
  <c r="HA184" i="31"/>
  <c r="DY184" i="31"/>
  <c r="HY184" i="31"/>
  <c r="KV184" i="31" l="1"/>
  <c r="KW185" i="31" s="1"/>
  <c r="HQ184" i="31"/>
  <c r="HR185" i="31" s="1"/>
  <c r="HS184" i="31"/>
  <c r="JG184" i="31" s="1"/>
  <c r="HT184" i="31"/>
  <c r="EM184" i="31"/>
  <c r="EW184" i="31" s="1"/>
  <c r="EN184" i="31"/>
  <c r="AZ184" i="31"/>
  <c r="IC184" i="31" l="1"/>
  <c r="ID184" i="31" s="1"/>
  <c r="IF184" i="31" s="1"/>
  <c r="KH184" i="31" s="1"/>
  <c r="JB184" i="31"/>
  <c r="BB185" i="31"/>
  <c r="EQ184" i="31"/>
  <c r="DW184" i="31"/>
  <c r="DU185" i="31" s="1"/>
  <c r="ER185" i="31"/>
  <c r="IU184" i="31"/>
  <c r="IV184" i="31" s="1"/>
  <c r="IW184" i="31" l="1"/>
  <c r="KB184" i="31" s="1"/>
  <c r="KK184" i="31"/>
  <c r="IX184" i="31"/>
  <c r="BC185" i="31"/>
  <c r="GM184" i="31"/>
  <c r="DB184" i="31"/>
  <c r="DC184" i="31" s="1"/>
  <c r="DD185" i="31" s="1"/>
  <c r="DE186" i="31" s="1"/>
  <c r="IM184" i="31"/>
  <c r="KI185" i="31"/>
  <c r="IN184" i="31"/>
  <c r="DF184" i="31"/>
  <c r="EU185" i="31"/>
  <c r="GT186" i="31" l="1"/>
  <c r="DT184" i="31"/>
  <c r="DZ184" i="31" s="1"/>
  <c r="KJ185" i="31"/>
  <c r="BD185" i="31"/>
  <c r="BE185" i="31"/>
  <c r="GU184" i="31"/>
  <c r="GV184" i="31"/>
  <c r="FD184" i="31"/>
  <c r="GR184" i="31"/>
  <c r="IS184" i="31" l="1"/>
  <c r="FL185" i="31"/>
  <c r="BG185" i="31"/>
  <c r="BF185" i="31"/>
  <c r="GS184" i="31"/>
  <c r="BI185" i="31" l="1"/>
  <c r="BK185" i="31" s="1"/>
  <c r="BH185" i="31"/>
  <c r="FM185" i="31"/>
  <c r="GW184" i="31"/>
  <c r="HC184" i="31" s="1"/>
  <c r="FA185" i="31" s="1"/>
  <c r="HB185" i="31" s="1"/>
  <c r="GX184" i="31"/>
  <c r="GY184" i="31"/>
  <c r="JH184" i="31"/>
  <c r="JI184" i="31" s="1"/>
  <c r="IT184" i="31"/>
  <c r="BJ185" i="31" l="1"/>
  <c r="JK184" i="31"/>
  <c r="EG184" i="31"/>
  <c r="EH185" i="31" s="1"/>
  <c r="EI185" i="31" s="1"/>
  <c r="FK185" i="31" s="1"/>
  <c r="HM184" i="31"/>
  <c r="EY184" i="31"/>
  <c r="HK185" i="31"/>
  <c r="BL185" i="31"/>
  <c r="BM185" i="31"/>
  <c r="EZ184" i="31" l="1"/>
  <c r="DG184" i="31"/>
  <c r="DH184" i="31" s="1"/>
  <c r="DI185" i="31" s="1"/>
  <c r="EE184" i="31"/>
  <c r="EF185" i="31" s="1"/>
  <c r="ED184" i="31"/>
  <c r="EB185" i="31" s="1"/>
  <c r="EJ184" i="31"/>
  <c r="EK185" i="31" s="1"/>
  <c r="JM184" i="31"/>
  <c r="KD184" i="31" s="1"/>
  <c r="IL185" i="31" s="1"/>
  <c r="JL184" i="31"/>
  <c r="JJ185" i="31" s="1"/>
  <c r="KA185" i="31"/>
  <c r="BN185" i="31"/>
  <c r="BO185" i="31"/>
  <c r="JN184" i="31"/>
  <c r="JV184" i="31" s="1"/>
  <c r="JF185" i="31" s="1"/>
  <c r="JZ184" i="31"/>
  <c r="KF184" i="31" s="1"/>
  <c r="IQ185" i="31" s="1"/>
  <c r="JW185" i="31" l="1"/>
  <c r="JY185" i="31"/>
  <c r="HZ185" i="31"/>
  <c r="DJ185" i="31"/>
  <c r="DK185" i="31" s="1"/>
  <c r="GZ185" i="31"/>
  <c r="IE185" i="31" s="1"/>
  <c r="JC185" i="31"/>
  <c r="JD185" i="31"/>
  <c r="EP185" i="31"/>
  <c r="ET186" i="31" s="1"/>
  <c r="FC185" i="31"/>
  <c r="EL185" i="31"/>
  <c r="EO185" i="31"/>
  <c r="ES186" i="31" s="1"/>
  <c r="EV185" i="31"/>
  <c r="DP185" i="31"/>
  <c r="JA185" i="31"/>
  <c r="JO185" i="31"/>
  <c r="IR185" i="31"/>
  <c r="JE185" i="31"/>
  <c r="IY185" i="31"/>
  <c r="IP185" i="31"/>
  <c r="IO185" i="31"/>
  <c r="BP185" i="31"/>
  <c r="BQ185" i="31" s="1"/>
  <c r="EC185" i="31" l="1"/>
  <c r="DM185" i="31"/>
  <c r="FQ185" i="31"/>
  <c r="DX185" i="31"/>
  <c r="BR185" i="31"/>
  <c r="BS185" i="31"/>
  <c r="JP185" i="31"/>
  <c r="JQ185" i="31" s="1"/>
  <c r="JX185" i="31"/>
  <c r="KG185" i="31"/>
  <c r="DL185" i="31" l="1"/>
  <c r="L186" i="31"/>
  <c r="BT185" i="31"/>
  <c r="BU185" i="31"/>
  <c r="FB185" i="31"/>
  <c r="EX185" i="31"/>
  <c r="M185" i="31" s="1"/>
  <c r="MJ185" i="31" l="1"/>
  <c r="NS185" i="31" s="1"/>
  <c r="MB185" i="31"/>
  <c r="NM185" i="31" s="1"/>
  <c r="NN185" i="31" s="1"/>
  <c r="BV185" i="31"/>
  <c r="BW185" i="31" s="1"/>
  <c r="BY185" i="31" l="1"/>
  <c r="BX185" i="31"/>
  <c r="NT185" i="31"/>
  <c r="OU186" i="31"/>
  <c r="OV186" i="31"/>
  <c r="NW185" i="31"/>
  <c r="BZ185" i="31" l="1"/>
  <c r="CA185" i="31"/>
  <c r="CB185" i="31" s="1"/>
  <c r="CC185" i="31" s="1"/>
  <c r="NX185" i="31"/>
  <c r="FV185" i="31"/>
  <c r="CX185" i="31"/>
  <c r="FR185" i="31"/>
  <c r="NU185" i="31"/>
  <c r="CD185" i="31" l="1"/>
  <c r="CE185" i="31"/>
  <c r="NV185" i="31"/>
  <c r="NY185" i="31"/>
  <c r="NZ185" i="31"/>
  <c r="MY185" i="31"/>
  <c r="CY186" i="31"/>
  <c r="OF185" i="31"/>
  <c r="OS186" i="31" s="1"/>
  <c r="OI185" i="31" l="1"/>
  <c r="OX186" i="31" s="1"/>
  <c r="OA185" i="31"/>
  <c r="MV186" i="31" s="1"/>
  <c r="OG186" i="31" s="1"/>
  <c r="OM186" i="31"/>
  <c r="NF186" i="31"/>
  <c r="OO186" i="31"/>
  <c r="KT186" i="31" s="1"/>
  <c r="MZ186" i="31"/>
  <c r="OZ185" i="31"/>
  <c r="CF185" i="31"/>
  <c r="CG185" i="31"/>
  <c r="OB185" i="31"/>
  <c r="OT186" i="31" s="1"/>
  <c r="MR186" i="31" l="1"/>
  <c r="MS186" i="31" s="1"/>
  <c r="OW185" i="31"/>
  <c r="PA185" i="31"/>
  <c r="OC185" i="31"/>
  <c r="OD186" i="31" s="1"/>
  <c r="OH186" i="31" s="1"/>
  <c r="OK186" i="31" s="1"/>
  <c r="KL186" i="31"/>
  <c r="KN187" i="31" s="1"/>
  <c r="KM186" i="31"/>
  <c r="KO187" i="31" s="1"/>
  <c r="CH185" i="31"/>
  <c r="CI185" i="31" s="1"/>
  <c r="OJ185" i="31"/>
  <c r="NH187" i="31" l="1"/>
  <c r="NI187" i="31" s="1"/>
  <c r="MO186" i="31"/>
  <c r="NP186" i="31"/>
  <c r="MU186" i="31"/>
  <c r="NQ186" i="31"/>
  <c r="MT186" i="31"/>
  <c r="NJ186" i="31"/>
  <c r="PE186" i="31"/>
  <c r="OY186" i="31"/>
  <c r="MW186" i="31"/>
  <c r="KP187" i="31"/>
  <c r="KR186" i="31"/>
  <c r="CJ185" i="31"/>
  <c r="CO185" i="31" s="1"/>
  <c r="CK185" i="31"/>
  <c r="KQ186" i="31"/>
  <c r="NR186" i="31" l="1"/>
  <c r="CL185" i="31"/>
  <c r="CM185" i="31"/>
  <c r="CN185" i="31" s="1"/>
  <c r="MX186" i="31"/>
  <c r="NL186" i="31"/>
  <c r="NK186" i="31"/>
  <c r="NG187" i="31"/>
  <c r="OQ187" i="31"/>
  <c r="KS186" i="31"/>
  <c r="NC187" i="31" l="1"/>
  <c r="MQ187" i="31"/>
  <c r="NB186" i="31"/>
  <c r="NA186" i="31"/>
  <c r="OR187" i="31"/>
  <c r="CP185" i="31"/>
  <c r="JR185" i="31" l="1"/>
  <c r="JS185" i="31" s="1"/>
  <c r="DQ185" i="31"/>
  <c r="DR185" i="31" s="1"/>
  <c r="FZ185" i="31"/>
  <c r="GA185" i="31" s="1"/>
  <c r="FX185" i="31"/>
  <c r="FY185" i="31" s="1"/>
  <c r="FH185" i="31"/>
  <c r="FI185" i="31" s="1"/>
  <c r="GB185" i="31"/>
  <c r="GC185" i="31" s="1"/>
  <c r="CQ185" i="31"/>
  <c r="HO185" i="31"/>
  <c r="GO185" i="31"/>
  <c r="FU185" i="31"/>
  <c r="FW185" i="31" s="1"/>
  <c r="FE185" i="31"/>
  <c r="FF185" i="31" s="1"/>
  <c r="FP185" i="31"/>
  <c r="FS185" i="31" s="1"/>
  <c r="KX185" i="31"/>
  <c r="KU185" i="31"/>
  <c r="GN185" i="31" l="1"/>
  <c r="GQ185" i="31" s="1"/>
  <c r="HP185" i="31"/>
  <c r="IA185" i="31"/>
  <c r="IB185" i="31" s="1"/>
  <c r="IZ185" i="31"/>
  <c r="CS185" i="31"/>
  <c r="CT185" i="31"/>
  <c r="CR185" i="31"/>
  <c r="HU185" i="31"/>
  <c r="HV186" i="31" s="1"/>
  <c r="FJ186" i="31"/>
  <c r="HY185" i="31"/>
  <c r="DY185" i="31"/>
  <c r="HA185" i="31"/>
  <c r="HW185" i="31"/>
  <c r="HX186" i="31" s="1"/>
  <c r="FG186" i="31"/>
  <c r="DS185" i="31"/>
  <c r="AX185" i="31" s="1"/>
  <c r="AY186" i="31" s="1"/>
  <c r="KE185" i="31"/>
  <c r="JU185" i="31"/>
  <c r="JT186" i="31"/>
  <c r="KC185" i="31"/>
  <c r="KV185" i="31" l="1"/>
  <c r="KW186" i="31" s="1"/>
  <c r="HQ185" i="31"/>
  <c r="HR186" i="31" s="1"/>
  <c r="EM185" i="31"/>
  <c r="EW185" i="31" s="1"/>
  <c r="AZ185" i="31"/>
  <c r="EN185" i="31"/>
  <c r="HT185" i="31"/>
  <c r="HS185" i="31"/>
  <c r="JG185" i="31" s="1"/>
  <c r="BB186" i="31" l="1"/>
  <c r="EQ185" i="31"/>
  <c r="DW185" i="31"/>
  <c r="DU186" i="31" s="1"/>
  <c r="ER186" i="31"/>
  <c r="IU185" i="31"/>
  <c r="IV185" i="31" s="1"/>
  <c r="IC185" i="31"/>
  <c r="ID185" i="31" s="1"/>
  <c r="IF185" i="31" s="1"/>
  <c r="KH185" i="31" s="1"/>
  <c r="JB185" i="31"/>
  <c r="IW185" i="31" l="1"/>
  <c r="KB185" i="31" s="1"/>
  <c r="KK185" i="31"/>
  <c r="IX185" i="31"/>
  <c r="IM185" i="31"/>
  <c r="DB185" i="31"/>
  <c r="DC185" i="31" s="1"/>
  <c r="DD186" i="31" s="1"/>
  <c r="DE187" i="31" s="1"/>
  <c r="GM185" i="31"/>
  <c r="KI186" i="31"/>
  <c r="IN185" i="31"/>
  <c r="DF185" i="31"/>
  <c r="EU186" i="31"/>
  <c r="BC186" i="31"/>
  <c r="GT187" i="31" l="1"/>
  <c r="DT185" i="31"/>
  <c r="DZ185" i="31" s="1"/>
  <c r="FD185" i="31"/>
  <c r="GV185" i="31"/>
  <c r="GU185" i="31"/>
  <c r="GR185" i="31"/>
  <c r="BD186" i="31"/>
  <c r="BE186" i="31"/>
  <c r="KJ186" i="31"/>
  <c r="GS185" i="31" l="1"/>
  <c r="IS185" i="31"/>
  <c r="FL186" i="31"/>
  <c r="BF186" i="31"/>
  <c r="BG186" i="31"/>
  <c r="BH186" i="31" l="1"/>
  <c r="BI186" i="31"/>
  <c r="BK186" i="31" s="1"/>
  <c r="FM186" i="31"/>
  <c r="JH185" i="31"/>
  <c r="JI185" i="31" s="1"/>
  <c r="IT185" i="31"/>
  <c r="GX185" i="31"/>
  <c r="GY185" i="31"/>
  <c r="GW185" i="31"/>
  <c r="HC185" i="31" s="1"/>
  <c r="FA186" i="31" s="1"/>
  <c r="HB186" i="31" s="1"/>
  <c r="EY185" i="31" l="1"/>
  <c r="HM185" i="31"/>
  <c r="EG185" i="31"/>
  <c r="EH186" i="31" s="1"/>
  <c r="EI186" i="31" s="1"/>
  <c r="FK186" i="31" s="1"/>
  <c r="HK186" i="31"/>
  <c r="BL186" i="31"/>
  <c r="BM186" i="31"/>
  <c r="JK185" i="31"/>
  <c r="JZ185" i="31" s="1"/>
  <c r="KF185" i="31" s="1"/>
  <c r="IQ186" i="31" s="1"/>
  <c r="BJ186" i="31"/>
  <c r="JM185" i="31" l="1"/>
  <c r="KD185" i="31" s="1"/>
  <c r="IL186" i="31" s="1"/>
  <c r="IR186" i="31" s="1"/>
  <c r="JN185" i="31"/>
  <c r="JV185" i="31" s="1"/>
  <c r="JF186" i="31" s="1"/>
  <c r="JW186" i="31" s="1"/>
  <c r="BN186" i="31"/>
  <c r="BO186" i="31"/>
  <c r="ED185" i="31"/>
  <c r="EB186" i="31" s="1"/>
  <c r="EE185" i="31"/>
  <c r="EF186" i="31" s="1"/>
  <c r="EJ185" i="31"/>
  <c r="EK186" i="31" s="1"/>
  <c r="EZ185" i="31"/>
  <c r="DG185" i="31"/>
  <c r="DH185" i="31" s="1"/>
  <c r="DI186" i="31" s="1"/>
  <c r="JL185" i="31"/>
  <c r="JJ186" i="31" s="1"/>
  <c r="KA186" i="31"/>
  <c r="JE186" i="31" l="1"/>
  <c r="IP186" i="31"/>
  <c r="JO186" i="31"/>
  <c r="JY186" i="31"/>
  <c r="IO186" i="31"/>
  <c r="BP186" i="31"/>
  <c r="BQ186" i="31" s="1"/>
  <c r="DJ186" i="31"/>
  <c r="DK186" i="31" s="1"/>
  <c r="GZ186" i="31"/>
  <c r="IE186" i="31" s="1"/>
  <c r="JC186" i="31"/>
  <c r="JD186" i="31"/>
  <c r="EO186" i="31"/>
  <c r="ES187" i="31" s="1"/>
  <c r="EP186" i="31"/>
  <c r="ET187" i="31" s="1"/>
  <c r="FC186" i="31"/>
  <c r="EL186" i="31"/>
  <c r="EV186" i="31"/>
  <c r="IY186" i="31"/>
  <c r="JP186" i="31" s="1"/>
  <c r="JQ186" i="31" s="1"/>
  <c r="HZ186" i="31"/>
  <c r="DP186" i="31"/>
  <c r="JA186" i="31"/>
  <c r="JX186" i="31" l="1"/>
  <c r="BR186" i="31"/>
  <c r="BS186" i="31"/>
  <c r="BT186" i="31" s="1"/>
  <c r="KG186" i="31"/>
  <c r="DM186" i="31"/>
  <c r="DX186" i="31"/>
  <c r="FQ186" i="31"/>
  <c r="EC186" i="31"/>
  <c r="BU186" i="31" l="1"/>
  <c r="BV186" i="31" s="1"/>
  <c r="EX186" i="31"/>
  <c r="M186" i="31" s="1"/>
  <c r="FB186" i="31"/>
  <c r="DL186" i="31"/>
  <c r="L187" i="31"/>
  <c r="BW186" i="31" l="1"/>
  <c r="MJ186" i="31"/>
  <c r="NS186" i="31" s="1"/>
  <c r="MB186" i="31"/>
  <c r="NM186" i="31" s="1"/>
  <c r="NN186" i="31" s="1"/>
  <c r="BX186" i="31" l="1"/>
  <c r="BY186" i="31"/>
  <c r="OV187" i="31"/>
  <c r="NW186" i="31"/>
  <c r="NT186" i="31"/>
  <c r="OU187" i="31"/>
  <c r="CA186" i="31" l="1"/>
  <c r="BZ186" i="31"/>
  <c r="NX186" i="31"/>
  <c r="OF186" i="31" s="1"/>
  <c r="OS187" i="31" s="1"/>
  <c r="CX186" i="31"/>
  <c r="FR186" i="31"/>
  <c r="FV186" i="31"/>
  <c r="NU186" i="31"/>
  <c r="CB186" i="31" l="1"/>
  <c r="CC186" i="31"/>
  <c r="NY186" i="31"/>
  <c r="NV186" i="31"/>
  <c r="NZ186" i="31"/>
  <c r="MY186" i="31"/>
  <c r="CY187" i="31"/>
  <c r="CE186" i="31" l="1"/>
  <c r="CD186" i="31"/>
  <c r="OI186" i="31"/>
  <c r="OX187" i="31" s="1"/>
  <c r="OO187" i="31"/>
  <c r="NF187" i="31"/>
  <c r="OM187" i="31"/>
  <c r="OB186" i="31"/>
  <c r="OT187" i="31" s="1"/>
  <c r="OA186" i="31"/>
  <c r="MV187" i="31" s="1"/>
  <c r="MZ187" i="31"/>
  <c r="OZ186" i="31"/>
  <c r="OW186" i="31" l="1"/>
  <c r="MR187" i="31"/>
  <c r="MS187" i="31" s="1"/>
  <c r="CF186" i="31"/>
  <c r="CG186" i="31"/>
  <c r="KT187" i="31"/>
  <c r="OG187" i="31"/>
  <c r="PA186" i="31"/>
  <c r="OJ186" i="31"/>
  <c r="OC186" i="31"/>
  <c r="OD187" i="31" s="1"/>
  <c r="OH187" i="31" s="1"/>
  <c r="CH186" i="31" l="1"/>
  <c r="CI186" i="31" s="1"/>
  <c r="MT187" i="31"/>
  <c r="MU187" i="31"/>
  <c r="MO187" i="31"/>
  <c r="NJ187" i="31"/>
  <c r="NQ187" i="31"/>
  <c r="NP187" i="31"/>
  <c r="NH188" i="31"/>
  <c r="NI188" i="31" s="1"/>
  <c r="PE187" i="31"/>
  <c r="MW187" i="31"/>
  <c r="OY187" i="31"/>
  <c r="OK187" i="31"/>
  <c r="KM187" i="31"/>
  <c r="KO188" i="31" s="1"/>
  <c r="KL187" i="31"/>
  <c r="KN188" i="31" s="1"/>
  <c r="NR187" i="31" l="1"/>
  <c r="CK186" i="31"/>
  <c r="CJ186" i="31"/>
  <c r="CO186" i="31" s="1"/>
  <c r="NK187" i="31"/>
  <c r="NL187" i="31"/>
  <c r="NG188" i="31"/>
  <c r="OQ188" i="31"/>
  <c r="KQ187" i="31"/>
  <c r="MX187" i="31"/>
  <c r="KP188" i="31"/>
  <c r="KR187" i="31"/>
  <c r="CL186" i="31" l="1"/>
  <c r="CM186" i="31"/>
  <c r="CN186" i="31" s="1"/>
  <c r="OR188" i="31"/>
  <c r="NC188" i="31"/>
  <c r="MQ188" i="31"/>
  <c r="NB187" i="31"/>
  <c r="NA187" i="31"/>
  <c r="KS187" i="31"/>
  <c r="CP186" i="31" l="1"/>
  <c r="DQ186" i="31" l="1"/>
  <c r="DR186" i="31" s="1"/>
  <c r="DS186" i="31" s="1"/>
  <c r="AX186" i="31" s="1"/>
  <c r="AY187" i="31" s="1"/>
  <c r="CQ186" i="31"/>
  <c r="JR186" i="31"/>
  <c r="JS186" i="31" s="1"/>
  <c r="FU186" i="31"/>
  <c r="FW186" i="31" s="1"/>
  <c r="KX186" i="31"/>
  <c r="KU186" i="31"/>
  <c r="FP186" i="31"/>
  <c r="FS186" i="31" s="1"/>
  <c r="FX186" i="31"/>
  <c r="FY186" i="31" s="1"/>
  <c r="GB186" i="31"/>
  <c r="GC186" i="31" s="1"/>
  <c r="FE186" i="31"/>
  <c r="FF186" i="31" s="1"/>
  <c r="HO186" i="31"/>
  <c r="GO186" i="31"/>
  <c r="FZ186" i="31"/>
  <c r="GA186" i="31" s="1"/>
  <c r="FH186" i="31"/>
  <c r="FI186" i="31" s="1"/>
  <c r="EN186" i="31" l="1"/>
  <c r="IW186" i="31" s="1"/>
  <c r="AZ186" i="31"/>
  <c r="EM186" i="31"/>
  <c r="EW186" i="31" s="1"/>
  <c r="GN186" i="31"/>
  <c r="KV186" i="31" s="1"/>
  <c r="HY186" i="31"/>
  <c r="DY186" i="31"/>
  <c r="HA186" i="31"/>
  <c r="GQ186" i="31"/>
  <c r="HP186" i="31"/>
  <c r="IZ186" i="31"/>
  <c r="IA186" i="31"/>
  <c r="IB186" i="31" s="1"/>
  <c r="KC186" i="31"/>
  <c r="JU186" i="31"/>
  <c r="JT187" i="31"/>
  <c r="KE186" i="31"/>
  <c r="HU186" i="31"/>
  <c r="HV187" i="31" s="1"/>
  <c r="FJ187" i="31"/>
  <c r="HW186" i="31"/>
  <c r="HX187" i="31" s="1"/>
  <c r="FG187" i="31"/>
  <c r="CS186" i="31"/>
  <c r="CR186" i="31"/>
  <c r="CT186" i="31"/>
  <c r="BB187" i="31" l="1"/>
  <c r="BC187" i="31" s="1"/>
  <c r="DW186" i="31"/>
  <c r="DU187" i="31" s="1"/>
  <c r="ER187" i="31"/>
  <c r="EU187" i="31" s="1"/>
  <c r="EQ186" i="31"/>
  <c r="IU186" i="31"/>
  <c r="IV186" i="31" s="1"/>
  <c r="KB186" i="31" s="1"/>
  <c r="KW187" i="31"/>
  <c r="HQ186" i="31"/>
  <c r="HR187" i="31" s="1"/>
  <c r="HS186" i="31"/>
  <c r="JG186" i="31" s="1"/>
  <c r="HT186" i="31"/>
  <c r="KK186" i="31" l="1"/>
  <c r="IX186" i="31"/>
  <c r="IC186" i="31"/>
  <c r="ID186" i="31" s="1"/>
  <c r="IF186" i="31" s="1"/>
  <c r="KH186" i="31" s="1"/>
  <c r="JB186" i="31"/>
  <c r="BD187" i="31"/>
  <c r="BE187" i="31"/>
  <c r="IN186" i="31" l="1"/>
  <c r="DB186" i="31"/>
  <c r="DC186" i="31" s="1"/>
  <c r="DD187" i="31" s="1"/>
  <c r="DE188" i="31" s="1"/>
  <c r="DF186" i="31"/>
  <c r="GM186" i="31"/>
  <c r="KI187" i="31"/>
  <c r="KJ187" i="31" s="1"/>
  <c r="IM186" i="31"/>
  <c r="DT186" i="31" s="1"/>
  <c r="DZ186" i="31" s="1"/>
  <c r="BF187" i="31"/>
  <c r="BG187" i="31"/>
  <c r="GT188" i="31" l="1"/>
  <c r="GR186" i="31"/>
  <c r="GV186" i="31"/>
  <c r="FD186" i="31"/>
  <c r="GU186" i="31"/>
  <c r="BI187" i="31"/>
  <c r="BK187" i="31" s="1"/>
  <c r="BH187" i="31"/>
  <c r="BJ187" i="31" l="1"/>
  <c r="FL187" i="31"/>
  <c r="FM187" i="31" s="1"/>
  <c r="IS186" i="31"/>
  <c r="GS186" i="31"/>
  <c r="BL187" i="31"/>
  <c r="BM187" i="31"/>
  <c r="GY186" i="31" l="1"/>
  <c r="GX186" i="31"/>
  <c r="GW186" i="31"/>
  <c r="HC186" i="31" s="1"/>
  <c r="FA187" i="31" s="1"/>
  <c r="HB187" i="31" s="1"/>
  <c r="JH186" i="31"/>
  <c r="JI186" i="31" s="1"/>
  <c r="JK186" i="31" s="1"/>
  <c r="KA187" i="31" s="1"/>
  <c r="IT186" i="31"/>
  <c r="BO187" i="31"/>
  <c r="BN187" i="31"/>
  <c r="JM186" i="31" l="1"/>
  <c r="KD186" i="31" s="1"/>
  <c r="IL187" i="31" s="1"/>
  <c r="JL186" i="31"/>
  <c r="JJ187" i="31" s="1"/>
  <c r="JN186" i="31"/>
  <c r="JV186" i="31" s="1"/>
  <c r="JF187" i="31" s="1"/>
  <c r="JY187" i="31" s="1"/>
  <c r="EG186" i="31"/>
  <c r="EH187" i="31" s="1"/>
  <c r="EI187" i="31" s="1"/>
  <c r="FK187" i="31" s="1"/>
  <c r="HK187" i="31"/>
  <c r="EY186" i="31"/>
  <c r="HM186" i="31"/>
  <c r="JZ186" i="31"/>
  <c r="KF186" i="31" s="1"/>
  <c r="IQ187" i="31" s="1"/>
  <c r="IR187" i="31" s="1"/>
  <c r="HZ187" i="31"/>
  <c r="BP187" i="31"/>
  <c r="BQ187" i="31" s="1"/>
  <c r="BR187" i="31" s="1"/>
  <c r="EJ186" i="31" l="1"/>
  <c r="EK187" i="31" s="1"/>
  <c r="EE186" i="31"/>
  <c r="EF187" i="31" s="1"/>
  <c r="ED186" i="31"/>
  <c r="EB187" i="31" s="1"/>
  <c r="IY187" i="31" s="1"/>
  <c r="JO187" i="31"/>
  <c r="JE187" i="31"/>
  <c r="JW187" i="31"/>
  <c r="EZ186" i="31"/>
  <c r="DG186" i="31"/>
  <c r="DH186" i="31" s="1"/>
  <c r="DI187" i="31" s="1"/>
  <c r="BS187" i="31"/>
  <c r="BT187" i="31" s="1"/>
  <c r="JA187" i="31" l="1"/>
  <c r="BU187" i="31"/>
  <c r="DP187" i="31"/>
  <c r="EL187" i="31"/>
  <c r="EP187" i="31"/>
  <c r="ET188" i="31" s="1"/>
  <c r="EO187" i="31"/>
  <c r="ES188" i="31" s="1"/>
  <c r="FC187" i="31"/>
  <c r="EV187" i="31"/>
  <c r="GZ187" i="31"/>
  <c r="KG187" i="31" s="1"/>
  <c r="DJ187" i="31"/>
  <c r="DK187" i="31" s="1"/>
  <c r="IO187" i="31"/>
  <c r="JP187" i="31" s="1"/>
  <c r="JQ187" i="31" s="1"/>
  <c r="IP187" i="31"/>
  <c r="JD187" i="31"/>
  <c r="JC187" i="31"/>
  <c r="BV187" i="31"/>
  <c r="BW187" i="31" s="1"/>
  <c r="IE187" i="31" l="1"/>
  <c r="BY187" i="31"/>
  <c r="BX187" i="31"/>
  <c r="DX187" i="31"/>
  <c r="FQ187" i="31"/>
  <c r="DM187" i="31"/>
  <c r="EC187" i="31"/>
  <c r="JX187" i="31"/>
  <c r="BZ187" i="31" l="1"/>
  <c r="CA187" i="31"/>
  <c r="CB187" i="31" s="1"/>
  <c r="L188" i="31"/>
  <c r="DL187" i="31"/>
  <c r="FB187" i="31"/>
  <c r="EX187" i="31"/>
  <c r="M187" i="31" s="1"/>
  <c r="CC187" i="31" l="1"/>
  <c r="CD187" i="31" s="1"/>
  <c r="MJ187" i="31"/>
  <c r="NS187" i="31" s="1"/>
  <c r="MB187" i="31"/>
  <c r="NM187" i="31" s="1"/>
  <c r="NN187" i="31" s="1"/>
  <c r="CE187" i="31" l="1"/>
  <c r="CF187" i="31" s="1"/>
  <c r="OV188" i="31"/>
  <c r="NW187" i="31"/>
  <c r="NX187" i="31" s="1"/>
  <c r="NY187" i="31" s="1"/>
  <c r="NT187" i="31"/>
  <c r="OU188" i="31"/>
  <c r="CG187" i="31" l="1"/>
  <c r="CH187" i="31" s="1"/>
  <c r="CI187" i="31" s="1"/>
  <c r="NU187" i="31"/>
  <c r="NV187" i="31" s="1"/>
  <c r="FR187" i="31"/>
  <c r="CX187" i="31"/>
  <c r="FV187" i="31"/>
  <c r="OF187" i="31"/>
  <c r="OS188" i="31" s="1"/>
  <c r="OB187" i="31"/>
  <c r="OT188" i="31" s="1"/>
  <c r="CY188" i="31" l="1"/>
  <c r="MY187" i="31"/>
  <c r="PA187" i="31" s="1"/>
  <c r="NZ187" i="31"/>
  <c r="OA187" i="31" s="1"/>
  <c r="MV188" i="31" s="1"/>
  <c r="OG188" i="31" s="1"/>
  <c r="CJ187" i="31"/>
  <c r="CO187" i="31" s="1"/>
  <c r="CK187" i="31"/>
  <c r="OC187" i="31" l="1"/>
  <c r="OD188" i="31" s="1"/>
  <c r="OH188" i="31" s="1"/>
  <c r="OK188" i="31" s="1"/>
  <c r="OJ187" i="31"/>
  <c r="MW188" i="31" s="1"/>
  <c r="OI187" i="31"/>
  <c r="MZ188" i="31"/>
  <c r="OZ187" i="31"/>
  <c r="NF188" i="31"/>
  <c r="OO188" i="31"/>
  <c r="KT188" i="31" s="1"/>
  <c r="KM188" i="31" s="1"/>
  <c r="KO189" i="31" s="1"/>
  <c r="OM188" i="31"/>
  <c r="CL187" i="31"/>
  <c r="CM187" i="31"/>
  <c r="CN187" i="31" s="1"/>
  <c r="OY188" i="31" l="1"/>
  <c r="KL188" i="31"/>
  <c r="KN189" i="31" s="1"/>
  <c r="KQ188" i="31" s="1"/>
  <c r="MR188" i="31"/>
  <c r="MS188" i="31" s="1"/>
  <c r="OW187" i="31"/>
  <c r="OX188" i="31"/>
  <c r="CP187" i="31"/>
  <c r="KR188" i="31"/>
  <c r="MX188" i="31"/>
  <c r="KP189" i="31" l="1"/>
  <c r="KS188" i="31"/>
  <c r="MO188" i="31"/>
  <c r="NJ188" i="31"/>
  <c r="NH189" i="31"/>
  <c r="NI189" i="31" s="1"/>
  <c r="NQ188" i="31"/>
  <c r="MT188" i="31"/>
  <c r="NP188" i="31"/>
  <c r="MU188" i="31"/>
  <c r="PE188" i="31"/>
  <c r="GO187" i="31"/>
  <c r="FP187" i="31"/>
  <c r="FS187" i="31" s="1"/>
  <c r="DQ187" i="31"/>
  <c r="DR187" i="31" s="1"/>
  <c r="FX187" i="31"/>
  <c r="FY187" i="31" s="1"/>
  <c r="FZ187" i="31"/>
  <c r="GA187" i="31" s="1"/>
  <c r="FU187" i="31"/>
  <c r="FW187" i="31" s="1"/>
  <c r="JR187" i="31"/>
  <c r="JS187" i="31" s="1"/>
  <c r="CQ187" i="31"/>
  <c r="GB187" i="31"/>
  <c r="GC187" i="31" s="1"/>
  <c r="FE187" i="31"/>
  <c r="FF187" i="31" s="1"/>
  <c r="HO187" i="31"/>
  <c r="FH187" i="31"/>
  <c r="FI187" i="31" s="1"/>
  <c r="KX187" i="31"/>
  <c r="KU187" i="31"/>
  <c r="NB188" i="31"/>
  <c r="NA188" i="31"/>
  <c r="GN187" i="31" l="1"/>
  <c r="KV187" i="31" s="1"/>
  <c r="NR188" i="31"/>
  <c r="NG189" i="31"/>
  <c r="OQ189" i="31"/>
  <c r="OR189" i="31" s="1"/>
  <c r="NL188" i="31"/>
  <c r="NK188" i="31"/>
  <c r="HU187" i="31"/>
  <c r="HV188" i="31" s="1"/>
  <c r="FJ188" i="31"/>
  <c r="IA187" i="31"/>
  <c r="IB187" i="31" s="1"/>
  <c r="HP187" i="31"/>
  <c r="IZ187" i="31"/>
  <c r="DS187" i="31"/>
  <c r="AX187" i="31" s="1"/>
  <c r="AY188" i="31" s="1"/>
  <c r="FG188" i="31"/>
  <c r="HW187" i="31"/>
  <c r="HX188" i="31" s="1"/>
  <c r="DY187" i="31"/>
  <c r="HY187" i="31"/>
  <c r="HA187" i="31"/>
  <c r="CT187" i="31"/>
  <c r="CR187" i="31"/>
  <c r="CS187" i="31"/>
  <c r="KC187" i="31"/>
  <c r="KE187" i="31"/>
  <c r="JU187" i="31"/>
  <c r="JT188" i="31"/>
  <c r="GQ187" i="31" l="1"/>
  <c r="KW188" i="31"/>
  <c r="HQ187" i="31"/>
  <c r="HR188" i="31" s="1"/>
  <c r="NC189" i="31"/>
  <c r="MQ189" i="31"/>
  <c r="HS187" i="31"/>
  <c r="JG187" i="31" s="1"/>
  <c r="HT187" i="31"/>
  <c r="EM187" i="31"/>
  <c r="EW187" i="31" s="1"/>
  <c r="EN187" i="31"/>
  <c r="AZ187" i="31"/>
  <c r="BB188" i="31" l="1"/>
  <c r="EQ187" i="31"/>
  <c r="DW187" i="31"/>
  <c r="DU188" i="31" s="1"/>
  <c r="ER188" i="31"/>
  <c r="IU187" i="31"/>
  <c r="IV187" i="31" s="1"/>
  <c r="IC187" i="31"/>
  <c r="ID187" i="31" s="1"/>
  <c r="IF187" i="31" s="1"/>
  <c r="KH187" i="31" s="1"/>
  <c r="JB187" i="31"/>
  <c r="IW187" i="31" l="1"/>
  <c r="KB187" i="31" s="1"/>
  <c r="EU188" i="31"/>
  <c r="IX187" i="31"/>
  <c r="KK187" i="31"/>
  <c r="DB187" i="31"/>
  <c r="DC187" i="31" s="1"/>
  <c r="DD188" i="31" s="1"/>
  <c r="DE189" i="31" s="1"/>
  <c r="IM187" i="31"/>
  <c r="GM187" i="31"/>
  <c r="KI188" i="31"/>
  <c r="IN187" i="31"/>
  <c r="DF187" i="31"/>
  <c r="BC188" i="31"/>
  <c r="GT189" i="31" l="1"/>
  <c r="FD187" i="31"/>
  <c r="GU187" i="31"/>
  <c r="GV187" i="31"/>
  <c r="KJ188" i="31"/>
  <c r="DT187" i="31"/>
  <c r="DZ187" i="31" s="1"/>
  <c r="GR187" i="31"/>
  <c r="BE188" i="31"/>
  <c r="BD188" i="31"/>
  <c r="IS187" i="31" l="1"/>
  <c r="FL188" i="31"/>
  <c r="BF188" i="31"/>
  <c r="BG188" i="31"/>
  <c r="GS187" i="31"/>
  <c r="GX187" i="31" l="1"/>
  <c r="GY187" i="31"/>
  <c r="GW187" i="31"/>
  <c r="HC187" i="31" s="1"/>
  <c r="FA188" i="31" s="1"/>
  <c r="HB188" i="31" s="1"/>
  <c r="FM188" i="31"/>
  <c r="BI188" i="31"/>
  <c r="BK188" i="31" s="1"/>
  <c r="BH188" i="31"/>
  <c r="JH187" i="31"/>
  <c r="JI187" i="31" s="1"/>
  <c r="IT187" i="31"/>
  <c r="BL188" i="31" l="1"/>
  <c r="BM188" i="31"/>
  <c r="JK187" i="31"/>
  <c r="JZ187" i="31" s="1"/>
  <c r="KF187" i="31" s="1"/>
  <c r="IQ188" i="31" s="1"/>
  <c r="EG187" i="31"/>
  <c r="EH188" i="31" s="1"/>
  <c r="EI188" i="31" s="1"/>
  <c r="FK188" i="31" s="1"/>
  <c r="HM187" i="31"/>
  <c r="EY187" i="31"/>
  <c r="HK188" i="31"/>
  <c r="BJ188" i="31"/>
  <c r="JM187" i="31" l="1"/>
  <c r="KD187" i="31" s="1"/>
  <c r="IL188" i="31" s="1"/>
  <c r="IR188" i="31" s="1"/>
  <c r="EZ187" i="31"/>
  <c r="DG187" i="31"/>
  <c r="DH187" i="31" s="1"/>
  <c r="DI188" i="31" s="1"/>
  <c r="EJ187" i="31"/>
  <c r="EK188" i="31" s="1"/>
  <c r="ED187" i="31"/>
  <c r="EB188" i="31" s="1"/>
  <c r="EE187" i="31"/>
  <c r="EF188" i="31" s="1"/>
  <c r="JN187" i="31"/>
  <c r="JV187" i="31" s="1"/>
  <c r="JF188" i="31" s="1"/>
  <c r="JL187" i="31"/>
  <c r="JJ188" i="31" s="1"/>
  <c r="KA188" i="31"/>
  <c r="BN188" i="31"/>
  <c r="BO188" i="31"/>
  <c r="IO188" i="31" l="1"/>
  <c r="JE188" i="31"/>
  <c r="IP188" i="31"/>
  <c r="BP188" i="31"/>
  <c r="BQ188" i="31" s="1"/>
  <c r="JC188" i="31"/>
  <c r="JD188" i="31"/>
  <c r="FC188" i="31"/>
  <c r="EL188" i="31"/>
  <c r="JX188" i="31" s="1"/>
  <c r="EO188" i="31"/>
  <c r="ES189" i="31" s="1"/>
  <c r="EP188" i="31"/>
  <c r="ET189" i="31" s="1"/>
  <c r="EV188" i="31"/>
  <c r="JY188" i="31"/>
  <c r="JW188" i="31"/>
  <c r="JO188" i="31"/>
  <c r="IY188" i="31"/>
  <c r="JA188" i="31"/>
  <c r="HZ188" i="31"/>
  <c r="DP188" i="31"/>
  <c r="GZ188" i="31"/>
  <c r="IE188" i="31" s="1"/>
  <c r="DJ188" i="31"/>
  <c r="DK188" i="31" s="1"/>
  <c r="JP188" i="31" l="1"/>
  <c r="JQ188" i="31" s="1"/>
  <c r="BR188" i="31"/>
  <c r="BS188" i="31"/>
  <c r="BT188" i="31" s="1"/>
  <c r="KG188" i="31"/>
  <c r="DM188" i="31"/>
  <c r="DX188" i="31"/>
  <c r="FQ188" i="31"/>
  <c r="EC188" i="31"/>
  <c r="BU188" i="31" l="1"/>
  <c r="EX188" i="31"/>
  <c r="M188" i="31" s="1"/>
  <c r="FB188" i="31"/>
  <c r="DL188" i="31"/>
  <c r="L189" i="31"/>
  <c r="BV188" i="31" l="1"/>
  <c r="BW188" i="31" s="1"/>
  <c r="MJ188" i="31"/>
  <c r="NS188" i="31" s="1"/>
  <c r="MB188" i="31"/>
  <c r="NM188" i="31" s="1"/>
  <c r="NN188" i="31" s="1"/>
  <c r="BY188" i="31" l="1"/>
  <c r="BX188" i="31"/>
  <c r="OV189" i="31"/>
  <c r="NW188" i="31"/>
  <c r="NT188" i="31"/>
  <c r="OU189" i="31"/>
  <c r="BZ188" i="31" l="1"/>
  <c r="CA188" i="31"/>
  <c r="FV188" i="31"/>
  <c r="FR188" i="31"/>
  <c r="CX188" i="31"/>
  <c r="NU188" i="31"/>
  <c r="NX188" i="31"/>
  <c r="CB188" i="31" l="1"/>
  <c r="CC188" i="31"/>
  <c r="MY188" i="31"/>
  <c r="NZ188" i="31"/>
  <c r="CY189" i="31"/>
  <c r="NV188" i="31"/>
  <c r="NY188" i="31"/>
  <c r="OF188" i="31"/>
  <c r="OS189" i="31" s="1"/>
  <c r="CE188" i="31" l="1"/>
  <c r="CD188" i="31"/>
  <c r="OO189" i="31"/>
  <c r="NF189" i="31"/>
  <c r="OM189" i="31"/>
  <c r="OA188" i="31"/>
  <c r="MV189" i="31" s="1"/>
  <c r="OG189" i="31" s="1"/>
  <c r="OB188" i="31"/>
  <c r="OT189" i="31" s="1"/>
  <c r="OI188" i="31"/>
  <c r="MZ189" i="31"/>
  <c r="OZ188" i="31"/>
  <c r="CF188" i="31" l="1"/>
  <c r="CG188" i="31"/>
  <c r="OX189" i="31"/>
  <c r="OW188" i="31"/>
  <c r="MR189" i="31"/>
  <c r="PA188" i="31"/>
  <c r="KT189" i="31"/>
  <c r="OJ188" i="31"/>
  <c r="OC188" i="31"/>
  <c r="OD189" i="31" s="1"/>
  <c r="OH189" i="31" s="1"/>
  <c r="OK189" i="31" s="1"/>
  <c r="CH188" i="31" l="1"/>
  <c r="CI188" i="31" s="1"/>
  <c r="MW189" i="31"/>
  <c r="OY189" i="31"/>
  <c r="KM189" i="31"/>
  <c r="KO190" i="31" s="1"/>
  <c r="KL189" i="31"/>
  <c r="KN190" i="31" s="1"/>
  <c r="MS189" i="31"/>
  <c r="CJ188" i="31" l="1"/>
  <c r="CO188" i="31" s="1"/>
  <c r="CK188" i="31"/>
  <c r="KQ189" i="31"/>
  <c r="NJ189" i="31"/>
  <c r="MO189" i="31"/>
  <c r="MU189" i="31"/>
  <c r="NH190" i="31"/>
  <c r="NI190" i="31" s="1"/>
  <c r="NQ189" i="31"/>
  <c r="MT189" i="31"/>
  <c r="NP189" i="31"/>
  <c r="PE189" i="31"/>
  <c r="KP190" i="31"/>
  <c r="KR189" i="31"/>
  <c r="MX189" i="31"/>
  <c r="NR189" i="31" l="1"/>
  <c r="CM188" i="31"/>
  <c r="CN188" i="31" s="1"/>
  <c r="CL188" i="31"/>
  <c r="NB189" i="31"/>
  <c r="NA189" i="31"/>
  <c r="NL189" i="31"/>
  <c r="NK189" i="31"/>
  <c r="NG190" i="31"/>
  <c r="OQ190" i="31"/>
  <c r="KS189" i="31"/>
  <c r="CP188" i="31" l="1"/>
  <c r="JR188" i="31" s="1"/>
  <c r="JS188" i="31" s="1"/>
  <c r="JT189" i="31" s="1"/>
  <c r="NC190" i="31"/>
  <c r="MQ190" i="31"/>
  <c r="OR190" i="31"/>
  <c r="HO188" i="31" l="1"/>
  <c r="HP188" i="31" s="1"/>
  <c r="FU188" i="31"/>
  <c r="FW188" i="31" s="1"/>
  <c r="FZ188" i="31"/>
  <c r="GA188" i="31" s="1"/>
  <c r="FH188" i="31"/>
  <c r="FI188" i="31" s="1"/>
  <c r="HU188" i="31" s="1"/>
  <c r="HV189" i="31" s="1"/>
  <c r="DQ188" i="31"/>
  <c r="DR188" i="31" s="1"/>
  <c r="DS188" i="31" s="1"/>
  <c r="AX188" i="31" s="1"/>
  <c r="AY189" i="31" s="1"/>
  <c r="KU188" i="31"/>
  <c r="GB188" i="31"/>
  <c r="GC188" i="31" s="1"/>
  <c r="FX188" i="31"/>
  <c r="FY188" i="31" s="1"/>
  <c r="KC188" i="31"/>
  <c r="JU188" i="31"/>
  <c r="FP188" i="31"/>
  <c r="FS188" i="31" s="1"/>
  <c r="HA188" i="31" s="1"/>
  <c r="KE188" i="31"/>
  <c r="GO188" i="31"/>
  <c r="CQ188" i="31"/>
  <c r="CS188" i="31" s="1"/>
  <c r="FE188" i="31"/>
  <c r="FF188" i="31" s="1"/>
  <c r="KX188" i="31"/>
  <c r="GN188" i="31" s="1"/>
  <c r="KV188" i="31" s="1"/>
  <c r="AZ188" i="31"/>
  <c r="EN188" i="31"/>
  <c r="DW188" i="31" s="1"/>
  <c r="DU189" i="31" s="1"/>
  <c r="IA188" i="31"/>
  <c r="IB188" i="31" s="1"/>
  <c r="IZ188" i="31"/>
  <c r="HS188" i="31"/>
  <c r="JG188" i="31" s="1"/>
  <c r="HT188" i="31"/>
  <c r="FJ189" i="31" l="1"/>
  <c r="EM188" i="31"/>
  <c r="EW188" i="31" s="1"/>
  <c r="HY188" i="31"/>
  <c r="DY188" i="31"/>
  <c r="KW189" i="31"/>
  <c r="HQ188" i="31"/>
  <c r="HR189" i="31" s="1"/>
  <c r="CR188" i="31"/>
  <c r="CT188" i="31"/>
  <c r="FG189" i="31"/>
  <c r="HW188" i="31"/>
  <c r="HX189" i="31" s="1"/>
  <c r="GQ188" i="31"/>
  <c r="EQ188" i="31"/>
  <c r="BB189" i="31"/>
  <c r="BC189" i="31" s="1"/>
  <c r="IU188" i="31"/>
  <c r="IV188" i="31" s="1"/>
  <c r="ER189" i="31"/>
  <c r="EU189" i="31" s="1"/>
  <c r="IC188" i="31"/>
  <c r="ID188" i="31" s="1"/>
  <c r="IF188" i="31" s="1"/>
  <c r="KH188" i="31" s="1"/>
  <c r="JB188" i="31"/>
  <c r="IW188" i="31" l="1"/>
  <c r="KB188" i="31" s="1"/>
  <c r="KK188" i="31"/>
  <c r="IX188" i="31"/>
  <c r="DF188" i="31"/>
  <c r="DB188" i="31"/>
  <c r="DC188" i="31" s="1"/>
  <c r="DD189" i="31" s="1"/>
  <c r="DE190" i="31" s="1"/>
  <c r="GM188" i="31"/>
  <c r="IM188" i="31"/>
  <c r="DT188" i="31" s="1"/>
  <c r="DZ188" i="31" s="1"/>
  <c r="KI189" i="31"/>
  <c r="IN188" i="31"/>
  <c r="BD189" i="31"/>
  <c r="BE189" i="31"/>
  <c r="GT190" i="31" l="1"/>
  <c r="KJ189" i="31"/>
  <c r="GR188" i="31"/>
  <c r="BG189" i="31"/>
  <c r="BF189" i="31"/>
  <c r="GV188" i="31"/>
  <c r="FD188" i="31"/>
  <c r="GU188" i="31"/>
  <c r="BH189" i="31" l="1"/>
  <c r="BI189" i="31"/>
  <c r="BK189" i="31" s="1"/>
  <c r="GS188" i="31"/>
  <c r="IS188" i="31"/>
  <c r="FL189" i="31"/>
  <c r="GY188" i="31" l="1"/>
  <c r="GW188" i="31"/>
  <c r="HC188" i="31" s="1"/>
  <c r="FA189" i="31" s="1"/>
  <c r="HB189" i="31" s="1"/>
  <c r="GX188" i="31"/>
  <c r="FM189" i="31"/>
  <c r="BL189" i="31"/>
  <c r="BM189" i="31"/>
  <c r="JH188" i="31"/>
  <c r="JI188" i="31" s="1"/>
  <c r="IT188" i="31"/>
  <c r="BJ189" i="31"/>
  <c r="BN189" i="31" l="1"/>
  <c r="BO189" i="31"/>
  <c r="BP189" i="31" s="1"/>
  <c r="JK188" i="31"/>
  <c r="JM188" i="31" s="1"/>
  <c r="KD188" i="31" s="1"/>
  <c r="IL189" i="31" s="1"/>
  <c r="EG188" i="31"/>
  <c r="EH189" i="31" s="1"/>
  <c r="EI189" i="31" s="1"/>
  <c r="FK189" i="31" s="1"/>
  <c r="EY188" i="31"/>
  <c r="HM188" i="31"/>
  <c r="HK189" i="31"/>
  <c r="BQ189" i="31" l="1"/>
  <c r="BR189" i="31" s="1"/>
  <c r="JZ188" i="31"/>
  <c r="KF188" i="31" s="1"/>
  <c r="IQ189" i="31" s="1"/>
  <c r="EE188" i="31"/>
  <c r="EF189" i="31" s="1"/>
  <c r="EJ188" i="31"/>
  <c r="EK189" i="31" s="1"/>
  <c r="ED188" i="31"/>
  <c r="EB189" i="31" s="1"/>
  <c r="EZ188" i="31"/>
  <c r="DG188" i="31"/>
  <c r="DH188" i="31" s="1"/>
  <c r="DI189" i="31" s="1"/>
  <c r="JL188" i="31"/>
  <c r="JJ189" i="31" s="1"/>
  <c r="KA189" i="31"/>
  <c r="JN188" i="31"/>
  <c r="JV188" i="31" s="1"/>
  <c r="JF189" i="31" s="1"/>
  <c r="BS189" i="31" l="1"/>
  <c r="BT189" i="31" s="1"/>
  <c r="EL189" i="31"/>
  <c r="FC189" i="31"/>
  <c r="EP189" i="31"/>
  <c r="ET190" i="31" s="1"/>
  <c r="EO189" i="31"/>
  <c r="ES190" i="31" s="1"/>
  <c r="EV189" i="31"/>
  <c r="GZ189" i="31"/>
  <c r="IE189" i="31" s="1"/>
  <c r="DJ189" i="31"/>
  <c r="DK189" i="31" s="1"/>
  <c r="JC189" i="31"/>
  <c r="JD189" i="31"/>
  <c r="IY189" i="31"/>
  <c r="JO189" i="31"/>
  <c r="JA189" i="31"/>
  <c r="JE189" i="31"/>
  <c r="JX189" i="31" s="1"/>
  <c r="IR189" i="31"/>
  <c r="JY189" i="31"/>
  <c r="JW189" i="31"/>
  <c r="IO189" i="31"/>
  <c r="HZ189" i="31"/>
  <c r="DP189" i="31"/>
  <c r="IP189" i="31"/>
  <c r="BU189" i="31" l="1"/>
  <c r="KG189" i="31"/>
  <c r="DX189" i="31"/>
  <c r="FQ189" i="31"/>
  <c r="DM189" i="31"/>
  <c r="EC189" i="31"/>
  <c r="BV189" i="31"/>
  <c r="BW189" i="31" s="1"/>
  <c r="JP189" i="31"/>
  <c r="JQ189" i="31" s="1"/>
  <c r="BY189" i="31" l="1"/>
  <c r="CA189" i="31" s="1"/>
  <c r="BX189" i="31"/>
  <c r="DL189" i="31"/>
  <c r="L190" i="31"/>
  <c r="FB189" i="31"/>
  <c r="EX189" i="31"/>
  <c r="M189" i="31" s="1"/>
  <c r="BZ189" i="31" l="1"/>
  <c r="MB189" i="31"/>
  <c r="MJ189" i="31"/>
  <c r="NS189" i="31" s="1"/>
  <c r="CB189" i="31"/>
  <c r="CC189" i="31" s="1"/>
  <c r="NM189" i="31" l="1"/>
  <c r="NN189" i="31" s="1"/>
  <c r="CD189" i="31"/>
  <c r="CE189" i="31"/>
  <c r="NT189" i="31"/>
  <c r="OU190" i="31"/>
  <c r="NW189" i="31" l="1"/>
  <c r="NX189" i="31" s="1"/>
  <c r="OV190" i="31"/>
  <c r="CX189" i="31"/>
  <c r="FV189" i="31"/>
  <c r="FR189" i="31"/>
  <c r="NU189" i="31"/>
  <c r="CF189" i="31"/>
  <c r="CG189" i="31"/>
  <c r="CH189" i="31" l="1"/>
  <c r="CI189" i="31" s="1"/>
  <c r="MY189" i="31"/>
  <c r="NZ189" i="31"/>
  <c r="CY190" i="31"/>
  <c r="NY189" i="31"/>
  <c r="NV189" i="31"/>
  <c r="OF189" i="31"/>
  <c r="OS190" i="31" s="1"/>
  <c r="OI189" i="31" l="1"/>
  <c r="OX190" i="31" s="1"/>
  <c r="CK189" i="31"/>
  <c r="CM189" i="31" s="1"/>
  <c r="CN189" i="31" s="1"/>
  <c r="CJ189" i="31"/>
  <c r="CO189" i="31" s="1"/>
  <c r="NF190" i="31"/>
  <c r="OO190" i="31"/>
  <c r="OM190" i="31"/>
  <c r="MZ190" i="31"/>
  <c r="OZ189" i="31"/>
  <c r="OB189" i="31"/>
  <c r="OT190" i="31" s="1"/>
  <c r="OA189" i="31"/>
  <c r="MV190" i="31" s="1"/>
  <c r="OW189" i="31" l="1"/>
  <c r="MR190" i="31"/>
  <c r="CL189" i="31"/>
  <c r="CP189" i="31" s="1"/>
  <c r="MS190" i="31"/>
  <c r="OC189" i="31"/>
  <c r="OD190" i="31" s="1"/>
  <c r="OH190" i="31" s="1"/>
  <c r="OJ189" i="31"/>
  <c r="PA189" i="31"/>
  <c r="OG190" i="31"/>
  <c r="KT190" i="31"/>
  <c r="OK190" i="31" l="1"/>
  <c r="KM190" i="31"/>
  <c r="KO191" i="31" s="1"/>
  <c r="KL190" i="31"/>
  <c r="KN191" i="31" s="1"/>
  <c r="GB189" i="31"/>
  <c r="GC189" i="31" s="1"/>
  <c r="GO189" i="31"/>
  <c r="CQ189" i="31"/>
  <c r="DQ189" i="31"/>
  <c r="DR189" i="31" s="1"/>
  <c r="JR189" i="31"/>
  <c r="JS189" i="31" s="1"/>
  <c r="FZ189" i="31"/>
  <c r="GA189" i="31" s="1"/>
  <c r="FU189" i="31"/>
  <c r="FW189" i="31" s="1"/>
  <c r="HO189" i="31"/>
  <c r="FE189" i="31"/>
  <c r="FF189" i="31" s="1"/>
  <c r="FP189" i="31"/>
  <c r="FS189" i="31" s="1"/>
  <c r="FH189" i="31"/>
  <c r="FI189" i="31" s="1"/>
  <c r="FX189" i="31"/>
  <c r="FY189" i="31" s="1"/>
  <c r="KX189" i="31"/>
  <c r="GN189" i="31" s="1"/>
  <c r="KU189" i="31"/>
  <c r="OY190" i="31"/>
  <c r="MW190" i="31"/>
  <c r="NP190" i="31"/>
  <c r="MU190" i="31"/>
  <c r="NH191" i="31"/>
  <c r="NI191" i="31" s="1"/>
  <c r="MO190" i="31"/>
  <c r="NJ190" i="31"/>
  <c r="NQ190" i="31"/>
  <c r="MT190" i="31"/>
  <c r="PE190" i="31"/>
  <c r="NR190" i="31" l="1"/>
  <c r="JU189" i="31"/>
  <c r="KC189" i="31"/>
  <c r="KE189" i="31"/>
  <c r="JT190" i="31"/>
  <c r="DS189" i="31"/>
  <c r="AX189" i="31" s="1"/>
  <c r="AY190" i="31" s="1"/>
  <c r="HU189" i="31"/>
  <c r="HV190" i="31" s="1"/>
  <c r="FJ190" i="31"/>
  <c r="CS189" i="31"/>
  <c r="CT189" i="31"/>
  <c r="CR189" i="31"/>
  <c r="HA189" i="31"/>
  <c r="DY189" i="31"/>
  <c r="HY189" i="31"/>
  <c r="GQ189" i="31"/>
  <c r="KV189" i="31"/>
  <c r="FG190" i="31"/>
  <c r="HW189" i="31"/>
  <c r="HX190" i="31" s="1"/>
  <c r="MX190" i="31"/>
  <c r="IA189" i="31"/>
  <c r="IB189" i="31" s="1"/>
  <c r="HP189" i="31"/>
  <c r="IZ189" i="31"/>
  <c r="KQ190" i="31"/>
  <c r="NK190" i="31"/>
  <c r="NL190" i="31"/>
  <c r="NG191" i="31"/>
  <c r="OQ191" i="31"/>
  <c r="KP191" i="31"/>
  <c r="KR190" i="31"/>
  <c r="KW190" i="31" l="1"/>
  <c r="HQ189" i="31"/>
  <c r="HR190" i="31" s="1"/>
  <c r="NB190" i="31"/>
  <c r="NA190" i="31"/>
  <c r="NC191" i="31"/>
  <c r="MQ191" i="31"/>
  <c r="KS190" i="31"/>
  <c r="AZ189" i="31"/>
  <c r="EM189" i="31"/>
  <c r="EW189" i="31" s="1"/>
  <c r="EN189" i="31"/>
  <c r="HT189" i="31"/>
  <c r="HS189" i="31"/>
  <c r="JG189" i="31" s="1"/>
  <c r="OR191" i="31"/>
  <c r="BB190" i="31" l="1"/>
  <c r="DW189" i="31"/>
  <c r="DU190" i="31" s="1"/>
  <c r="EQ189" i="31"/>
  <c r="ER190" i="31"/>
  <c r="IU189" i="31"/>
  <c r="IV189" i="31" s="1"/>
  <c r="IC189" i="31"/>
  <c r="ID189" i="31" s="1"/>
  <c r="IF189" i="31" s="1"/>
  <c r="KH189" i="31" s="1"/>
  <c r="JB189" i="31"/>
  <c r="IW189" i="31" l="1"/>
  <c r="KB189" i="31" s="1"/>
  <c r="DB189" i="31"/>
  <c r="DC189" i="31" s="1"/>
  <c r="DD190" i="31" s="1"/>
  <c r="DE191" i="31" s="1"/>
  <c r="IM189" i="31"/>
  <c r="GM189" i="31"/>
  <c r="KI190" i="31"/>
  <c r="IN189" i="31"/>
  <c r="DF189" i="31"/>
  <c r="IX189" i="31"/>
  <c r="KK189" i="31"/>
  <c r="EU190" i="31"/>
  <c r="BC190" i="31"/>
  <c r="GT191" i="31" l="1"/>
  <c r="KJ190" i="31"/>
  <c r="GR189" i="31"/>
  <c r="BD190" i="31"/>
  <c r="BE190" i="31"/>
  <c r="FD189" i="31"/>
  <c r="GU189" i="31"/>
  <c r="GV189" i="31"/>
  <c r="DT189" i="31"/>
  <c r="DZ189" i="31" s="1"/>
  <c r="BF190" i="31" l="1"/>
  <c r="BG190" i="31"/>
  <c r="GS189" i="31"/>
  <c r="IS189" i="31"/>
  <c r="FL190" i="31"/>
  <c r="FM190" i="31" l="1"/>
  <c r="BI190" i="31"/>
  <c r="BK190" i="31" s="1"/>
  <c r="BH190" i="31"/>
  <c r="JH189" i="31"/>
  <c r="JI189" i="31" s="1"/>
  <c r="IT189" i="31"/>
  <c r="GY189" i="31"/>
  <c r="GX189" i="31"/>
  <c r="GW189" i="31"/>
  <c r="HC189" i="31" s="1"/>
  <c r="FA190" i="31" s="1"/>
  <c r="HB190" i="31" s="1"/>
  <c r="BJ190" i="31" l="1"/>
  <c r="EG189" i="31"/>
  <c r="EH190" i="31" s="1"/>
  <c r="EI190" i="31" s="1"/>
  <c r="FK190" i="31" s="1"/>
  <c r="HM189" i="31"/>
  <c r="EY189" i="31"/>
  <c r="HK190" i="31"/>
  <c r="BL190" i="31"/>
  <c r="BM190" i="31"/>
  <c r="JK189" i="31"/>
  <c r="JZ189" i="31" s="1"/>
  <c r="KF189" i="31" s="1"/>
  <c r="IQ190" i="31" s="1"/>
  <c r="JN189" i="31" l="1"/>
  <c r="JV189" i="31" s="1"/>
  <c r="JF190" i="31" s="1"/>
  <c r="JY190" i="31" s="1"/>
  <c r="EZ189" i="31"/>
  <c r="DG189" i="31"/>
  <c r="DH189" i="31" s="1"/>
  <c r="DI190" i="31" s="1"/>
  <c r="EE189" i="31"/>
  <c r="EF190" i="31" s="1"/>
  <c r="ED189" i="31"/>
  <c r="EB190" i="31" s="1"/>
  <c r="JA190" i="31" s="1"/>
  <c r="EJ189" i="31"/>
  <c r="EK190" i="31" s="1"/>
  <c r="JM189" i="31"/>
  <c r="KD189" i="31" s="1"/>
  <c r="IL190" i="31" s="1"/>
  <c r="JL189" i="31"/>
  <c r="JJ190" i="31" s="1"/>
  <c r="KA190" i="31"/>
  <c r="BN190" i="31"/>
  <c r="BO190" i="31"/>
  <c r="JW190" i="31" l="1"/>
  <c r="IP190" i="31"/>
  <c r="IO190" i="31"/>
  <c r="DP190" i="31"/>
  <c r="IR190" i="31"/>
  <c r="EO190" i="31"/>
  <c r="ES191" i="31" s="1"/>
  <c r="EP190" i="31"/>
  <c r="ET191" i="31" s="1"/>
  <c r="EL190" i="31"/>
  <c r="FC190" i="31"/>
  <c r="EV190" i="31"/>
  <c r="DJ190" i="31"/>
  <c r="DK190" i="31" s="1"/>
  <c r="GZ190" i="31"/>
  <c r="IE190" i="31" s="1"/>
  <c r="JC190" i="31"/>
  <c r="JD190" i="31"/>
  <c r="IY190" i="31"/>
  <c r="BP190" i="31"/>
  <c r="BQ190" i="31" s="1"/>
  <c r="JE190" i="31"/>
  <c r="HZ190" i="31"/>
  <c r="JO190" i="31"/>
  <c r="JP190" i="31" l="1"/>
  <c r="JQ190" i="31" s="1"/>
  <c r="KG190" i="31"/>
  <c r="EC190" i="31"/>
  <c r="JX190" i="31"/>
  <c r="DX190" i="31"/>
  <c r="DM190" i="31"/>
  <c r="FQ190" i="31"/>
  <c r="BR190" i="31"/>
  <c r="BS190" i="31"/>
  <c r="DL190" i="31" l="1"/>
  <c r="L191" i="31"/>
  <c r="EX190" i="31"/>
  <c r="M190" i="31" s="1"/>
  <c r="FB190" i="31"/>
  <c r="BT190" i="31"/>
  <c r="BU190" i="31"/>
  <c r="BV190" i="31" l="1"/>
  <c r="BW190" i="31" s="1"/>
  <c r="MB190" i="31"/>
  <c r="MJ190" i="31"/>
  <c r="NS190" i="31" s="1"/>
  <c r="NM190" i="31" l="1"/>
  <c r="NN190" i="31" s="1"/>
  <c r="BY190" i="31"/>
  <c r="CA190" i="31" s="1"/>
  <c r="BX190" i="31"/>
  <c r="NT190" i="31"/>
  <c r="OU191" i="31"/>
  <c r="BZ190" i="31" l="1"/>
  <c r="OV191" i="31"/>
  <c r="NW190" i="31"/>
  <c r="FR190" i="31"/>
  <c r="CX190" i="31"/>
  <c r="FV190" i="31"/>
  <c r="NU190" i="31"/>
  <c r="NX190" i="31"/>
  <c r="OF190" i="31" s="1"/>
  <c r="OS191" i="31" s="1"/>
  <c r="CB190" i="31"/>
  <c r="CC190" i="31" s="1"/>
  <c r="CD190" i="31" l="1"/>
  <c r="CE190" i="31"/>
  <c r="NV190" i="31"/>
  <c r="NZ190" i="31"/>
  <c r="MY190" i="31"/>
  <c r="CY191" i="31"/>
  <c r="NY190" i="31"/>
  <c r="NF191" i="31" l="1"/>
  <c r="OO191" i="31"/>
  <c r="OM191" i="31"/>
  <c r="MZ191" i="31"/>
  <c r="OZ190" i="31"/>
  <c r="OB190" i="31"/>
  <c r="OT191" i="31" s="1"/>
  <c r="OA190" i="31"/>
  <c r="MV191" i="31" s="1"/>
  <c r="CF190" i="31"/>
  <c r="CG190" i="31"/>
  <c r="OI190" i="31"/>
  <c r="CH190" i="31" l="1"/>
  <c r="CI190" i="31" s="1"/>
  <c r="OC190" i="31"/>
  <c r="OD191" i="31" s="1"/>
  <c r="OH191" i="31" s="1"/>
  <c r="OG191" i="31"/>
  <c r="KT191" i="31"/>
  <c r="OX191" i="31"/>
  <c r="MR191" i="31"/>
  <c r="OW190" i="31"/>
  <c r="PA190" i="31"/>
  <c r="OJ190" i="31"/>
  <c r="OK191" i="31" l="1"/>
  <c r="CJ190" i="31"/>
  <c r="CO190" i="31" s="1"/>
  <c r="CK190" i="31"/>
  <c r="CM190" i="31" s="1"/>
  <c r="CN190" i="31" s="1"/>
  <c r="MS191" i="31"/>
  <c r="MW191" i="31"/>
  <c r="OY191" i="31"/>
  <c r="KL191" i="31"/>
  <c r="KN192" i="31" s="1"/>
  <c r="KM191" i="31"/>
  <c r="KO192" i="31" s="1"/>
  <c r="CL190" i="31" l="1"/>
  <c r="CP190" i="31" s="1"/>
  <c r="MX191" i="31"/>
  <c r="KP192" i="31"/>
  <c r="KR191" i="31"/>
  <c r="NP191" i="31"/>
  <c r="NQ191" i="31"/>
  <c r="MU191" i="31"/>
  <c r="NJ191" i="31"/>
  <c r="NH192" i="31"/>
  <c r="NI192" i="31" s="1"/>
  <c r="MO191" i="31"/>
  <c r="MT191" i="31"/>
  <c r="PE191" i="31"/>
  <c r="KQ191" i="31"/>
  <c r="NK191" i="31" l="1"/>
  <c r="NL191" i="31"/>
  <c r="NG192" i="31"/>
  <c r="OQ192" i="31"/>
  <c r="KS191" i="31"/>
  <c r="NA191" i="31"/>
  <c r="NB191" i="31"/>
  <c r="NR191" i="31"/>
  <c r="CQ190" i="31"/>
  <c r="HO190" i="31"/>
  <c r="GB190" i="31"/>
  <c r="GC190" i="31" s="1"/>
  <c r="FH190" i="31"/>
  <c r="FI190" i="31" s="1"/>
  <c r="FZ190" i="31"/>
  <c r="GA190" i="31" s="1"/>
  <c r="FP190" i="31"/>
  <c r="FS190" i="31" s="1"/>
  <c r="DQ190" i="31"/>
  <c r="DR190" i="31" s="1"/>
  <c r="FU190" i="31"/>
  <c r="FW190" i="31" s="1"/>
  <c r="FE190" i="31"/>
  <c r="FF190" i="31" s="1"/>
  <c r="GO190" i="31"/>
  <c r="FX190" i="31"/>
  <c r="FY190" i="31" s="1"/>
  <c r="JR190" i="31"/>
  <c r="JS190" i="31" s="1"/>
  <c r="KX190" i="31"/>
  <c r="KU190" i="31"/>
  <c r="GN190" i="31" l="1"/>
  <c r="GQ190" i="31" s="1"/>
  <c r="HU190" i="31"/>
  <c r="HV191" i="31" s="1"/>
  <c r="FJ191" i="31"/>
  <c r="OR192" i="31"/>
  <c r="KE190" i="31"/>
  <c r="JU190" i="31"/>
  <c r="JT191" i="31"/>
  <c r="KC190" i="31"/>
  <c r="IA190" i="31"/>
  <c r="IB190" i="31" s="1"/>
  <c r="HP190" i="31"/>
  <c r="IZ190" i="31"/>
  <c r="HW190" i="31"/>
  <c r="HX191" i="31" s="1"/>
  <c r="FG191" i="31"/>
  <c r="CS190" i="31"/>
  <c r="CR190" i="31"/>
  <c r="CT190" i="31"/>
  <c r="NC192" i="31"/>
  <c r="MQ192" i="31"/>
  <c r="DS190" i="31"/>
  <c r="AX190" i="31" s="1"/>
  <c r="AY191" i="31" s="1"/>
  <c r="DY190" i="31"/>
  <c r="HA190" i="31"/>
  <c r="HY190" i="31"/>
  <c r="KV190" i="31" l="1"/>
  <c r="KW191" i="31" s="1"/>
  <c r="HQ190" i="31"/>
  <c r="HR191" i="31" s="1"/>
  <c r="HT190" i="31"/>
  <c r="HS190" i="31"/>
  <c r="JG190" i="31" s="1"/>
  <c r="EM190" i="31"/>
  <c r="EW190" i="31" s="1"/>
  <c r="EN190" i="31"/>
  <c r="AZ190" i="31"/>
  <c r="IC190" i="31" l="1"/>
  <c r="ID190" i="31" s="1"/>
  <c r="IF190" i="31" s="1"/>
  <c r="KH190" i="31" s="1"/>
  <c r="JB190" i="31"/>
  <c r="BB191" i="31"/>
  <c r="EQ190" i="31"/>
  <c r="DW190" i="31"/>
  <c r="DU191" i="31" s="1"/>
  <c r="ER191" i="31"/>
  <c r="IU190" i="31"/>
  <c r="IV190" i="31" s="1"/>
  <c r="IW190" i="31" l="1"/>
  <c r="KB190" i="31" s="1"/>
  <c r="BC191" i="31"/>
  <c r="IX190" i="31"/>
  <c r="KK190" i="31"/>
  <c r="EU191" i="31"/>
  <c r="GM190" i="31"/>
  <c r="DB190" i="31"/>
  <c r="DC190" i="31" s="1"/>
  <c r="DD191" i="31" s="1"/>
  <c r="DE192" i="31" s="1"/>
  <c r="IM190" i="31"/>
  <c r="KI191" i="31"/>
  <c r="IN190" i="31"/>
  <c r="DF190" i="31"/>
  <c r="GT192" i="31" l="1"/>
  <c r="DT190" i="31"/>
  <c r="DZ190" i="31" s="1"/>
  <c r="GR190" i="31"/>
  <c r="KJ191" i="31"/>
  <c r="FD190" i="31"/>
  <c r="GU190" i="31"/>
  <c r="GV190" i="31"/>
  <c r="BE191" i="31"/>
  <c r="BD191" i="31"/>
  <c r="IS190" i="31" l="1"/>
  <c r="FL191" i="31"/>
  <c r="BF191" i="31"/>
  <c r="BG191" i="31"/>
  <c r="GS190" i="31"/>
  <c r="GY190" i="31" l="1"/>
  <c r="GX190" i="31"/>
  <c r="GW190" i="31"/>
  <c r="HC190" i="31" s="1"/>
  <c r="FA191" i="31" s="1"/>
  <c r="HB191" i="31" s="1"/>
  <c r="BH191" i="31"/>
  <c r="BI191" i="31"/>
  <c r="BK191" i="31" s="1"/>
  <c r="FM191" i="31"/>
  <c r="JH190" i="31"/>
  <c r="JI190" i="31" s="1"/>
  <c r="IT190" i="31"/>
  <c r="BL191" i="31" l="1"/>
  <c r="BM191" i="31"/>
  <c r="BJ191" i="31"/>
  <c r="JK190" i="31"/>
  <c r="JM190" i="31" s="1"/>
  <c r="KD190" i="31" s="1"/>
  <c r="IL191" i="31" s="1"/>
  <c r="EG190" i="31"/>
  <c r="EH191" i="31" s="1"/>
  <c r="EI191" i="31" s="1"/>
  <c r="FK191" i="31" s="1"/>
  <c r="EY190" i="31"/>
  <c r="HM190" i="31"/>
  <c r="HK191" i="31"/>
  <c r="JL190" i="31" l="1"/>
  <c r="JJ191" i="31" s="1"/>
  <c r="KA191" i="31"/>
  <c r="JN190" i="31"/>
  <c r="JV190" i="31" s="1"/>
  <c r="JF191" i="31" s="1"/>
  <c r="JZ190" i="31"/>
  <c r="KF190" i="31" s="1"/>
  <c r="IQ191" i="31" s="1"/>
  <c r="EJ190" i="31"/>
  <c r="EK191" i="31" s="1"/>
  <c r="EE190" i="31"/>
  <c r="EF191" i="31" s="1"/>
  <c r="ED190" i="31"/>
  <c r="EB191" i="31" s="1"/>
  <c r="EZ190" i="31"/>
  <c r="DG190" i="31"/>
  <c r="DH190" i="31" s="1"/>
  <c r="DI191" i="31" s="1"/>
  <c r="BO191" i="31"/>
  <c r="BN191" i="31"/>
  <c r="IR191" i="31" l="1"/>
  <c r="IY191" i="31"/>
  <c r="JO191" i="31"/>
  <c r="JA191" i="31"/>
  <c r="JE191" i="31"/>
  <c r="HZ191" i="31"/>
  <c r="DP191" i="31"/>
  <c r="EL191" i="31"/>
  <c r="FC191" i="31"/>
  <c r="EO191" i="31"/>
  <c r="ES192" i="31" s="1"/>
  <c r="EP191" i="31"/>
  <c r="ET192" i="31" s="1"/>
  <c r="EV191" i="31"/>
  <c r="BP191" i="31"/>
  <c r="BQ191" i="31" s="1"/>
  <c r="GZ191" i="31"/>
  <c r="IE191" i="31" s="1"/>
  <c r="DJ191" i="31"/>
  <c r="DK191" i="31" s="1"/>
  <c r="IO191" i="31"/>
  <c r="JY191" i="31"/>
  <c r="JW191" i="31"/>
  <c r="IP191" i="31"/>
  <c r="JC191" i="31"/>
  <c r="JD191" i="31"/>
  <c r="BR191" i="31" l="1"/>
  <c r="BS191" i="31"/>
  <c r="DX191" i="31"/>
  <c r="FQ191" i="31"/>
  <c r="DM191" i="31"/>
  <c r="BT191" i="31"/>
  <c r="BU191" i="31"/>
  <c r="JX191" i="31"/>
  <c r="EC191" i="31"/>
  <c r="JP191" i="31"/>
  <c r="JQ191" i="31" s="1"/>
  <c r="KG191" i="31"/>
  <c r="DL191" i="31" l="1"/>
  <c r="L192" i="31"/>
  <c r="BV191" i="31"/>
  <c r="BW191" i="31" s="1"/>
  <c r="EX191" i="31"/>
  <c r="M191" i="31" s="1"/>
  <c r="FB191" i="31"/>
  <c r="BY191" i="31" l="1"/>
  <c r="CA191" i="31" s="1"/>
  <c r="BX191" i="31"/>
  <c r="MB191" i="31"/>
  <c r="NM191" i="31" s="1"/>
  <c r="NN191" i="31" s="1"/>
  <c r="MJ191" i="31"/>
  <c r="NS191" i="31" s="1"/>
  <c r="BZ191" i="31" l="1"/>
  <c r="NT191" i="31"/>
  <c r="OU192" i="31"/>
  <c r="OV192" i="31"/>
  <c r="NW191" i="31"/>
  <c r="CB191" i="31"/>
  <c r="CC191" i="31" s="1"/>
  <c r="CD191" i="31" l="1"/>
  <c r="CE191" i="31"/>
  <c r="CG191" i="31" s="1"/>
  <c r="FV191" i="31"/>
  <c r="FR191" i="31"/>
  <c r="CX191" i="31"/>
  <c r="NU191" i="31"/>
  <c r="NX191" i="31"/>
  <c r="OF191" i="31" s="1"/>
  <c r="OS192" i="31" s="1"/>
  <c r="CH191" i="31" l="1"/>
  <c r="CI191" i="31" s="1"/>
  <c r="CF191" i="31"/>
  <c r="NV191" i="31"/>
  <c r="NZ191" i="31"/>
  <c r="MY191" i="31"/>
  <c r="CY192" i="31"/>
  <c r="NY191" i="31"/>
  <c r="OO192" i="31" l="1"/>
  <c r="NF192" i="31"/>
  <c r="OM192" i="31"/>
  <c r="MZ192" i="31"/>
  <c r="OZ191" i="31"/>
  <c r="OB191" i="31"/>
  <c r="OT192" i="31" s="1"/>
  <c r="OI191" i="31"/>
  <c r="CJ191" i="31"/>
  <c r="CO191" i="31" s="1"/>
  <c r="CK191" i="31"/>
  <c r="OA191" i="31"/>
  <c r="MV192" i="31" s="1"/>
  <c r="OC191" i="31" l="1"/>
  <c r="OD192" i="31" s="1"/>
  <c r="OH192" i="31" s="1"/>
  <c r="CL191" i="31"/>
  <c r="CM191" i="31"/>
  <c r="CN191" i="31" s="1"/>
  <c r="KT192" i="31"/>
  <c r="OG192" i="31"/>
  <c r="PA191" i="31"/>
  <c r="OX192" i="31"/>
  <c r="OW191" i="31"/>
  <c r="MR192" i="31"/>
  <c r="OJ191" i="31"/>
  <c r="OK192" i="31" l="1"/>
  <c r="CP191" i="31"/>
  <c r="FZ191" i="31" s="1"/>
  <c r="GA191" i="31" s="1"/>
  <c r="MW192" i="31"/>
  <c r="OY192" i="31"/>
  <c r="MS192" i="31"/>
  <c r="KL192" i="31"/>
  <c r="KN193" i="31" s="1"/>
  <c r="KM192" i="31"/>
  <c r="KO193" i="31" s="1"/>
  <c r="FU191" i="31"/>
  <c r="FW191" i="31" s="1"/>
  <c r="JR191" i="31" l="1"/>
  <c r="JS191" i="31" s="1"/>
  <c r="JT192" i="31" s="1"/>
  <c r="HO191" i="31"/>
  <c r="FX191" i="31"/>
  <c r="FY191" i="31" s="1"/>
  <c r="GO191" i="31"/>
  <c r="CQ191" i="31"/>
  <c r="CT191" i="31" s="1"/>
  <c r="FH191" i="31"/>
  <c r="FI191" i="31" s="1"/>
  <c r="HU191" i="31" s="1"/>
  <c r="HV192" i="31" s="1"/>
  <c r="FP191" i="31"/>
  <c r="FS191" i="31" s="1"/>
  <c r="DY191" i="31" s="1"/>
  <c r="GB191" i="31"/>
  <c r="GC191" i="31" s="1"/>
  <c r="DQ191" i="31"/>
  <c r="DR191" i="31" s="1"/>
  <c r="DS191" i="31" s="1"/>
  <c r="AX191" i="31" s="1"/>
  <c r="AY192" i="31" s="1"/>
  <c r="KU191" i="31"/>
  <c r="FE191" i="31"/>
  <c r="FF191" i="31" s="1"/>
  <c r="HW191" i="31" s="1"/>
  <c r="HX192" i="31" s="1"/>
  <c r="KX191" i="31"/>
  <c r="GN191" i="31" s="1"/>
  <c r="KQ192" i="31"/>
  <c r="HP191" i="31"/>
  <c r="IA191" i="31"/>
  <c r="IB191" i="31" s="1"/>
  <c r="IZ191" i="31"/>
  <c r="MT192" i="31"/>
  <c r="NP192" i="31"/>
  <c r="NJ192" i="31"/>
  <c r="MO192" i="31"/>
  <c r="NQ192" i="31"/>
  <c r="NH193" i="31"/>
  <c r="NI193" i="31" s="1"/>
  <c r="MU192" i="31"/>
  <c r="PE192" i="31"/>
  <c r="KP193" i="31"/>
  <c r="KR192" i="31"/>
  <c r="MX192" i="31"/>
  <c r="JU191" i="31" l="1"/>
  <c r="KE191" i="31"/>
  <c r="KC191" i="31"/>
  <c r="FG192" i="31"/>
  <c r="CR191" i="31"/>
  <c r="CS191" i="31"/>
  <c r="GQ191" i="31"/>
  <c r="KV191" i="31"/>
  <c r="HA191" i="31"/>
  <c r="HY191" i="31"/>
  <c r="FJ192" i="31"/>
  <c r="NR192" i="31"/>
  <c r="HT191" i="31"/>
  <c r="HS191" i="31"/>
  <c r="JG191" i="31" s="1"/>
  <c r="NK192" i="31"/>
  <c r="NL192" i="31"/>
  <c r="NG193" i="31"/>
  <c r="OQ193" i="31"/>
  <c r="EN191" i="31"/>
  <c r="EM191" i="31"/>
  <c r="EW191" i="31" s="1"/>
  <c r="AZ191" i="31"/>
  <c r="KS192" i="31"/>
  <c r="NA192" i="31"/>
  <c r="NB192" i="31"/>
  <c r="KW192" i="31" l="1"/>
  <c r="HQ191" i="31"/>
  <c r="HR192" i="31" s="1"/>
  <c r="OR193" i="31"/>
  <c r="BB192" i="31"/>
  <c r="DW191" i="31"/>
  <c r="DU192" i="31" s="1"/>
  <c r="EQ191" i="31"/>
  <c r="ER192" i="31"/>
  <c r="IU191" i="31"/>
  <c r="IV191" i="31" s="1"/>
  <c r="NC193" i="31"/>
  <c r="MQ193" i="31"/>
  <c r="IC191" i="31"/>
  <c r="ID191" i="31" s="1"/>
  <c r="IF191" i="31" s="1"/>
  <c r="KH191" i="31" s="1"/>
  <c r="JB191" i="31"/>
  <c r="IW191" i="31" l="1"/>
  <c r="KB191" i="31" s="1"/>
  <c r="DB191" i="31"/>
  <c r="DC191" i="31" s="1"/>
  <c r="DD192" i="31" s="1"/>
  <c r="DE193" i="31" s="1"/>
  <c r="GM191" i="31"/>
  <c r="IM191" i="31"/>
  <c r="KI192" i="31"/>
  <c r="IN191" i="31"/>
  <c r="DF191" i="31"/>
  <c r="BC192" i="31"/>
  <c r="KK191" i="31"/>
  <c r="IX191" i="31"/>
  <c r="EU192" i="31"/>
  <c r="GT193" i="31" l="1"/>
  <c r="DT191" i="31"/>
  <c r="DZ191" i="31" s="1"/>
  <c r="KJ192" i="31"/>
  <c r="BE192" i="31"/>
  <c r="BD192" i="31"/>
  <c r="GV191" i="31"/>
  <c r="FD191" i="31"/>
  <c r="GU191" i="31"/>
  <c r="GR191" i="31"/>
  <c r="BG192" i="31" l="1"/>
  <c r="BF192" i="31"/>
  <c r="GS191" i="31"/>
  <c r="IS191" i="31"/>
  <c r="FL192" i="31"/>
  <c r="JH191" i="31" l="1"/>
  <c r="JI191" i="31" s="1"/>
  <c r="IT191" i="31"/>
  <c r="FM192" i="31"/>
  <c r="GY191" i="31"/>
  <c r="GX191" i="31"/>
  <c r="GW191" i="31"/>
  <c r="HC191" i="31" s="1"/>
  <c r="FA192" i="31" s="1"/>
  <c r="HB192" i="31" s="1"/>
  <c r="BI192" i="31"/>
  <c r="BK192" i="31" s="1"/>
  <c r="BH192" i="31"/>
  <c r="BJ192" i="31" l="1"/>
  <c r="EG191" i="31"/>
  <c r="EH192" i="31" s="1"/>
  <c r="EI192" i="31" s="1"/>
  <c r="FK192" i="31" s="1"/>
  <c r="HM191" i="31"/>
  <c r="EY191" i="31"/>
  <c r="HK192" i="31"/>
  <c r="BL192" i="31"/>
  <c r="BM192" i="31"/>
  <c r="JK191" i="31"/>
  <c r="JZ191" i="31" s="1"/>
  <c r="KF191" i="31" s="1"/>
  <c r="IQ192" i="31" s="1"/>
  <c r="EZ191" i="31" l="1"/>
  <c r="DG191" i="31"/>
  <c r="DH191" i="31" s="1"/>
  <c r="DI192" i="31" s="1"/>
  <c r="BO192" i="31"/>
  <c r="BN192" i="31"/>
  <c r="JM191" i="31"/>
  <c r="KD191" i="31" s="1"/>
  <c r="IL192" i="31" s="1"/>
  <c r="EE191" i="31"/>
  <c r="EF192" i="31" s="1"/>
  <c r="ED191" i="31"/>
  <c r="EB192" i="31" s="1"/>
  <c r="JA192" i="31" s="1"/>
  <c r="EJ191" i="31"/>
  <c r="EK192" i="31" s="1"/>
  <c r="JN191" i="31"/>
  <c r="JV191" i="31" s="1"/>
  <c r="JF192" i="31" s="1"/>
  <c r="JL191" i="31"/>
  <c r="JJ192" i="31" s="1"/>
  <c r="KA192" i="31"/>
  <c r="IY192" i="31" l="1"/>
  <c r="HZ192" i="31"/>
  <c r="IO192" i="31"/>
  <c r="IP192" i="31"/>
  <c r="JE192" i="31"/>
  <c r="JC192" i="31"/>
  <c r="JD192" i="31"/>
  <c r="JW192" i="31"/>
  <c r="JY192" i="31"/>
  <c r="JO192" i="31"/>
  <c r="FC192" i="31"/>
  <c r="EO192" i="31"/>
  <c r="ES193" i="31" s="1"/>
  <c r="EP192" i="31"/>
  <c r="ET193" i="31" s="1"/>
  <c r="EL192" i="31"/>
  <c r="EV192" i="31"/>
  <c r="IR192" i="31"/>
  <c r="DP192" i="31"/>
  <c r="GZ192" i="31"/>
  <c r="IE192" i="31" s="1"/>
  <c r="DJ192" i="31"/>
  <c r="DK192" i="31" s="1"/>
  <c r="BP192" i="31"/>
  <c r="BQ192" i="31" s="1"/>
  <c r="JP192" i="31" l="1"/>
  <c r="JQ192" i="31" s="1"/>
  <c r="JX192" i="31"/>
  <c r="KG192" i="31"/>
  <c r="DX192" i="31"/>
  <c r="FQ192" i="31"/>
  <c r="DM192" i="31"/>
  <c r="EC192" i="31"/>
  <c r="BR192" i="31"/>
  <c r="BS192" i="31"/>
  <c r="FB192" i="31" l="1"/>
  <c r="EX192" i="31"/>
  <c r="M192" i="31" s="1"/>
  <c r="DL192" i="31"/>
  <c r="L193" i="31"/>
  <c r="BT192" i="31"/>
  <c r="BU192" i="31"/>
  <c r="BV192" i="31" l="1"/>
  <c r="BW192" i="31" s="1"/>
  <c r="MJ192" i="31"/>
  <c r="NS192" i="31" s="1"/>
  <c r="MB192" i="31"/>
  <c r="NM192" i="31" s="1"/>
  <c r="NN192" i="31" s="1"/>
  <c r="BX192" i="31" l="1"/>
  <c r="BY192" i="31"/>
  <c r="NT192" i="31"/>
  <c r="OU193" i="31"/>
  <c r="OV193" i="31"/>
  <c r="NW192" i="31"/>
  <c r="BZ192" i="31" l="1"/>
  <c r="CA192" i="31"/>
  <c r="CB192" i="31" s="1"/>
  <c r="CC192" i="31" s="1"/>
  <c r="NX192" i="31"/>
  <c r="FR192" i="31"/>
  <c r="FV192" i="31"/>
  <c r="CX192" i="31"/>
  <c r="NU192" i="31"/>
  <c r="CE192" i="31" l="1"/>
  <c r="CF192" i="31" s="1"/>
  <c r="CD192" i="31"/>
  <c r="MY192" i="31"/>
  <c r="NZ192" i="31"/>
  <c r="CY193" i="31"/>
  <c r="NY192" i="31"/>
  <c r="NV192" i="31"/>
  <c r="OF192" i="31"/>
  <c r="OS193" i="31" s="1"/>
  <c r="CG192" i="31" l="1"/>
  <c r="CH192" i="31" s="1"/>
  <c r="CI192" i="31" s="1"/>
  <c r="CJ192" i="31" s="1"/>
  <c r="CO192" i="31" s="1"/>
  <c r="OO193" i="31"/>
  <c r="OM193" i="31"/>
  <c r="NF193" i="31"/>
  <c r="OB192" i="31"/>
  <c r="OT193" i="31" s="1"/>
  <c r="MZ193" i="31"/>
  <c r="OZ192" i="31"/>
  <c r="OA192" i="31"/>
  <c r="MV193" i="31" s="1"/>
  <c r="OI192" i="31"/>
  <c r="CK192" i="31" l="1"/>
  <c r="CL192" i="31" s="1"/>
  <c r="OJ192" i="31"/>
  <c r="OY193" i="31" s="1"/>
  <c r="OW192" i="31"/>
  <c r="MR193" i="31"/>
  <c r="OX193" i="31"/>
  <c r="KT193" i="31"/>
  <c r="OG193" i="31"/>
  <c r="PA192" i="31"/>
  <c r="OC192" i="31"/>
  <c r="OD193" i="31" s="1"/>
  <c r="OH193" i="31" s="1"/>
  <c r="MW193" i="31" l="1"/>
  <c r="OK193" i="31"/>
  <c r="CM192" i="31"/>
  <c r="CN192" i="31" s="1"/>
  <c r="MS193" i="31"/>
  <c r="KM193" i="31"/>
  <c r="KO194" i="31" s="1"/>
  <c r="KL193" i="31"/>
  <c r="KN194" i="31" s="1"/>
  <c r="MX193" i="31"/>
  <c r="CP192" i="31"/>
  <c r="KP194" i="31" l="1"/>
  <c r="KR193" i="31"/>
  <c r="KQ193" i="31"/>
  <c r="MO193" i="31"/>
  <c r="MT193" i="31"/>
  <c r="NQ193" i="31"/>
  <c r="NP193" i="31"/>
  <c r="NJ193" i="31"/>
  <c r="MU193" i="31"/>
  <c r="NH194" i="31"/>
  <c r="NI194" i="31" s="1"/>
  <c r="PE193" i="31"/>
  <c r="FE192" i="31"/>
  <c r="FF192" i="31" s="1"/>
  <c r="FH192" i="31"/>
  <c r="FI192" i="31" s="1"/>
  <c r="JR192" i="31"/>
  <c r="JS192" i="31" s="1"/>
  <c r="GO192" i="31"/>
  <c r="HO192" i="31"/>
  <c r="FP192" i="31"/>
  <c r="FS192" i="31" s="1"/>
  <c r="FX192" i="31"/>
  <c r="FY192" i="31" s="1"/>
  <c r="FZ192" i="31"/>
  <c r="GA192" i="31" s="1"/>
  <c r="GB192" i="31"/>
  <c r="GC192" i="31" s="1"/>
  <c r="CQ192" i="31"/>
  <c r="FU192" i="31"/>
  <c r="FW192" i="31" s="1"/>
  <c r="DQ192" i="31"/>
  <c r="DR192" i="31" s="1"/>
  <c r="KX192" i="31"/>
  <c r="GN192" i="31" s="1"/>
  <c r="KU192" i="31"/>
  <c r="NA193" i="31"/>
  <c r="NB193" i="31"/>
  <c r="KS193" i="31" l="1"/>
  <c r="NR193" i="31"/>
  <c r="KC192" i="31"/>
  <c r="JU192" i="31"/>
  <c r="JT193" i="31"/>
  <c r="KE192" i="31"/>
  <c r="HW192" i="31"/>
  <c r="HX193" i="31" s="1"/>
  <c r="FG193" i="31"/>
  <c r="HU192" i="31"/>
  <c r="HV193" i="31" s="1"/>
  <c r="FJ193" i="31"/>
  <c r="HA192" i="31"/>
  <c r="DY192" i="31"/>
  <c r="HY192" i="31"/>
  <c r="CR192" i="31"/>
  <c r="CS192" i="31"/>
  <c r="CT192" i="31"/>
  <c r="IA192" i="31"/>
  <c r="IB192" i="31" s="1"/>
  <c r="HP192" i="31"/>
  <c r="IZ192" i="31"/>
  <c r="NL193" i="31"/>
  <c r="NK193" i="31"/>
  <c r="NG194" i="31"/>
  <c r="OQ194" i="31"/>
  <c r="GQ192" i="31"/>
  <c r="KV192" i="31"/>
  <c r="DS192" i="31"/>
  <c r="AX192" i="31" s="1"/>
  <c r="AY193" i="31" s="1"/>
  <c r="KW193" i="31" l="1"/>
  <c r="HQ192" i="31"/>
  <c r="HR193" i="31" s="1"/>
  <c r="EM192" i="31"/>
  <c r="EW192" i="31" s="1"/>
  <c r="EN192" i="31"/>
  <c r="AZ192" i="31"/>
  <c r="HT192" i="31"/>
  <c r="HS192" i="31"/>
  <c r="JG192" i="31" s="1"/>
  <c r="NC194" i="31"/>
  <c r="MQ194" i="31"/>
  <c r="OR194" i="31"/>
  <c r="IC192" i="31" l="1"/>
  <c r="ID192" i="31" s="1"/>
  <c r="IF192" i="31" s="1"/>
  <c r="KH192" i="31" s="1"/>
  <c r="JB192" i="31"/>
  <c r="BB193" i="31"/>
  <c r="DW192" i="31"/>
  <c r="DU193" i="31" s="1"/>
  <c r="EQ192" i="31"/>
  <c r="ER193" i="31"/>
  <c r="IU192" i="31"/>
  <c r="IV192" i="31" s="1"/>
  <c r="IW192" i="31" l="1"/>
  <c r="KB192" i="31" s="1"/>
  <c r="BC193" i="31"/>
  <c r="IX192" i="31"/>
  <c r="KK192" i="31"/>
  <c r="EU193" i="31"/>
  <c r="DB192" i="31"/>
  <c r="DC192" i="31" s="1"/>
  <c r="DD193" i="31" s="1"/>
  <c r="DE194" i="31" s="1"/>
  <c r="IM192" i="31"/>
  <c r="GM192" i="31"/>
  <c r="KI193" i="31"/>
  <c r="IN192" i="31"/>
  <c r="DF192" i="31"/>
  <c r="DT192" i="31" l="1"/>
  <c r="DZ192" i="31" s="1"/>
  <c r="GT194" i="31"/>
  <c r="FD192" i="31"/>
  <c r="GV192" i="31"/>
  <c r="GU192" i="31"/>
  <c r="KJ193" i="31"/>
  <c r="GR192" i="31"/>
  <c r="BD193" i="31"/>
  <c r="BE193" i="31"/>
  <c r="GS192" i="31" l="1"/>
  <c r="BG193" i="31"/>
  <c r="BF193" i="31"/>
  <c r="IS192" i="31"/>
  <c r="FL193" i="31"/>
  <c r="JH192" i="31" l="1"/>
  <c r="JI192" i="31" s="1"/>
  <c r="IT192" i="31"/>
  <c r="FM193" i="31"/>
  <c r="BH193" i="31"/>
  <c r="BI193" i="31"/>
  <c r="BK193" i="31" s="1"/>
  <c r="GW192" i="31"/>
  <c r="HC192" i="31" s="1"/>
  <c r="FA193" i="31" s="1"/>
  <c r="HB193" i="31" s="1"/>
  <c r="GY192" i="31"/>
  <c r="GX192" i="31"/>
  <c r="EG192" i="31" l="1"/>
  <c r="EH193" i="31" s="1"/>
  <c r="EI193" i="31" s="1"/>
  <c r="FK193" i="31" s="1"/>
  <c r="HM192" i="31"/>
  <c r="EY192" i="31"/>
  <c r="HK193" i="31"/>
  <c r="BL193" i="31"/>
  <c r="BM193" i="31"/>
  <c r="BJ193" i="31"/>
  <c r="JK192" i="31"/>
  <c r="JZ192" i="31" s="1"/>
  <c r="KF192" i="31" s="1"/>
  <c r="IQ193" i="31" s="1"/>
  <c r="BO193" i="31" l="1"/>
  <c r="BN193" i="31"/>
  <c r="JN192" i="31"/>
  <c r="JV192" i="31" s="1"/>
  <c r="JF193" i="31" s="1"/>
  <c r="EZ192" i="31"/>
  <c r="DG192" i="31"/>
  <c r="DH192" i="31" s="1"/>
  <c r="DI193" i="31" s="1"/>
  <c r="ED192" i="31"/>
  <c r="EB193" i="31" s="1"/>
  <c r="EE192" i="31"/>
  <c r="EF193" i="31" s="1"/>
  <c r="EJ192" i="31"/>
  <c r="EK193" i="31" s="1"/>
  <c r="JM192" i="31"/>
  <c r="KD192" i="31" s="1"/>
  <c r="IL193" i="31" s="1"/>
  <c r="JE193" i="31" s="1"/>
  <c r="JL192" i="31"/>
  <c r="JJ193" i="31" s="1"/>
  <c r="KA193" i="31"/>
  <c r="FC193" i="31" l="1"/>
  <c r="EP193" i="31"/>
  <c r="ET194" i="31" s="1"/>
  <c r="EL193" i="31"/>
  <c r="EO193" i="31"/>
  <c r="ES194" i="31" s="1"/>
  <c r="EV193" i="31"/>
  <c r="DP193" i="31"/>
  <c r="GZ193" i="31"/>
  <c r="IE193" i="31" s="1"/>
  <c r="DJ193" i="31"/>
  <c r="DK193" i="31" s="1"/>
  <c r="HZ193" i="31"/>
  <c r="BP193" i="31"/>
  <c r="BQ193" i="31" s="1"/>
  <c r="IO193" i="31"/>
  <c r="IP193" i="31"/>
  <c r="IY193" i="31"/>
  <c r="JO193" i="31"/>
  <c r="JW193" i="31"/>
  <c r="JY193" i="31"/>
  <c r="IR193" i="31"/>
  <c r="JC193" i="31"/>
  <c r="JD193" i="31"/>
  <c r="JA193" i="31"/>
  <c r="JP193" i="31" l="1"/>
  <c r="JQ193" i="31" s="1"/>
  <c r="KG193" i="31"/>
  <c r="BS193" i="31"/>
  <c r="BR193" i="31"/>
  <c r="EC193" i="31"/>
  <c r="FQ193" i="31"/>
  <c r="DM193" i="31"/>
  <c r="DX193" i="31"/>
  <c r="JX193" i="31"/>
  <c r="BT193" i="31" l="1"/>
  <c r="BU193" i="31"/>
  <c r="BV193" i="31" s="1"/>
  <c r="BW193" i="31" s="1"/>
  <c r="EX193" i="31"/>
  <c r="M193" i="31" s="1"/>
  <c r="FB193" i="31"/>
  <c r="DL193" i="31"/>
  <c r="L194" i="31"/>
  <c r="BX193" i="31" l="1"/>
  <c r="BY193" i="31"/>
  <c r="MJ193" i="31"/>
  <c r="NS193" i="31" s="1"/>
  <c r="MB193" i="31"/>
  <c r="NM193" i="31" s="1"/>
  <c r="NN193" i="31" s="1"/>
  <c r="BZ193" i="31" l="1"/>
  <c r="CA193" i="31"/>
  <c r="CB193" i="31" s="1"/>
  <c r="CC193" i="31" s="1"/>
  <c r="OV194" i="31"/>
  <c r="NW193" i="31"/>
  <c r="NT193" i="31"/>
  <c r="OU194" i="31"/>
  <c r="CD193" i="31" l="1"/>
  <c r="CE193" i="31"/>
  <c r="CF193" i="31" s="1"/>
  <c r="CX193" i="31"/>
  <c r="FV193" i="31"/>
  <c r="FR193" i="31"/>
  <c r="NU193" i="31"/>
  <c r="NX193" i="31"/>
  <c r="OF193" i="31" s="1"/>
  <c r="OS194" i="31" s="1"/>
  <c r="CG193" i="31" l="1"/>
  <c r="CH193" i="31" s="1"/>
  <c r="CI193" i="31" s="1"/>
  <c r="CJ193" i="31" s="1"/>
  <c r="CO193" i="31" s="1"/>
  <c r="NZ193" i="31"/>
  <c r="MY193" i="31"/>
  <c r="CY194" i="31"/>
  <c r="NY193" i="31"/>
  <c r="NV193" i="31"/>
  <c r="OA193" i="31" l="1"/>
  <c r="MV194" i="31" s="1"/>
  <c r="OG194" i="31" s="1"/>
  <c r="CK193" i="31"/>
  <c r="CL193" i="31" s="1"/>
  <c r="NF194" i="31"/>
  <c r="OO194" i="31"/>
  <c r="OM194" i="31"/>
  <c r="MZ194" i="31"/>
  <c r="OZ193" i="31"/>
  <c r="OI193" i="31"/>
  <c r="OB193" i="31"/>
  <c r="OT194" i="31" s="1"/>
  <c r="KT194" i="31" l="1"/>
  <c r="KL194" i="31" s="1"/>
  <c r="KN195" i="31" s="1"/>
  <c r="CM193" i="31"/>
  <c r="CN193" i="31" s="1"/>
  <c r="CP193" i="31" s="1"/>
  <c r="PA193" i="31"/>
  <c r="OJ193" i="31"/>
  <c r="OC193" i="31"/>
  <c r="OD194" i="31" s="1"/>
  <c r="OH194" i="31" s="1"/>
  <c r="OK194" i="31" s="1"/>
  <c r="OX194" i="31"/>
  <c r="MR194" i="31"/>
  <c r="OW193" i="31"/>
  <c r="KM194" i="31" l="1"/>
  <c r="KO195" i="31" s="1"/>
  <c r="KR194" i="31" s="1"/>
  <c r="MS194" i="31"/>
  <c r="MW194" i="31"/>
  <c r="OY194" i="31"/>
  <c r="FX193" i="31"/>
  <c r="FY193" i="31" s="1"/>
  <c r="DQ193" i="31"/>
  <c r="DR193" i="31" s="1"/>
  <c r="FH193" i="31"/>
  <c r="FI193" i="31" s="1"/>
  <c r="FE193" i="31"/>
  <c r="FF193" i="31" s="1"/>
  <c r="GB193" i="31"/>
  <c r="GC193" i="31" s="1"/>
  <c r="CQ193" i="31"/>
  <c r="GO193" i="31"/>
  <c r="FZ193" i="31"/>
  <c r="GA193" i="31" s="1"/>
  <c r="FU193" i="31"/>
  <c r="FW193" i="31" s="1"/>
  <c r="JR193" i="31"/>
  <c r="JS193" i="31" s="1"/>
  <c r="HO193" i="31"/>
  <c r="FP193" i="31"/>
  <c r="FS193" i="31" s="1"/>
  <c r="KX193" i="31"/>
  <c r="KU193" i="31"/>
  <c r="KQ194" i="31"/>
  <c r="KP195" i="31" l="1"/>
  <c r="GN193" i="31"/>
  <c r="KV193" i="31" s="1"/>
  <c r="KS194" i="31"/>
  <c r="HY193" i="31"/>
  <c r="DY193" i="31"/>
  <c r="HA193" i="31"/>
  <c r="MX194" i="31"/>
  <c r="GQ193" i="31"/>
  <c r="HU193" i="31"/>
  <c r="HV194" i="31" s="1"/>
  <c r="FJ194" i="31"/>
  <c r="DS193" i="31"/>
  <c r="AX193" i="31" s="1"/>
  <c r="AY194" i="31" s="1"/>
  <c r="HW193" i="31"/>
  <c r="HX194" i="31" s="1"/>
  <c r="FG194" i="31"/>
  <c r="KE193" i="31"/>
  <c r="JU193" i="31"/>
  <c r="JT194" i="31"/>
  <c r="KC193" i="31"/>
  <c r="MU194" i="31"/>
  <c r="NH195" i="31"/>
  <c r="NI195" i="31" s="1"/>
  <c r="MO194" i="31"/>
  <c r="NP194" i="31"/>
  <c r="NQ194" i="31"/>
  <c r="NJ194" i="31"/>
  <c r="MT194" i="31"/>
  <c r="PE194" i="31"/>
  <c r="CT193" i="31"/>
  <c r="CS193" i="31"/>
  <c r="CR193" i="31"/>
  <c r="HP193" i="31"/>
  <c r="IA193" i="31"/>
  <c r="IB193" i="31" s="1"/>
  <c r="IZ193" i="31"/>
  <c r="NR194" i="31" l="1"/>
  <c r="KW194" i="31"/>
  <c r="HQ193" i="31"/>
  <c r="HR194" i="31" s="1"/>
  <c r="EM193" i="31"/>
  <c r="EW193" i="31" s="1"/>
  <c r="AZ193" i="31"/>
  <c r="EN193" i="31"/>
  <c r="NB194" i="31"/>
  <c r="NA194" i="31"/>
  <c r="NK194" i="31"/>
  <c r="NL194" i="31"/>
  <c r="NG195" i="31"/>
  <c r="OQ195" i="31"/>
  <c r="HS193" i="31"/>
  <c r="JG193" i="31" s="1"/>
  <c r="HT193" i="31"/>
  <c r="OR195" i="31" l="1"/>
  <c r="BB194" i="31"/>
  <c r="EQ193" i="31"/>
  <c r="DW193" i="31"/>
  <c r="DU194" i="31" s="1"/>
  <c r="ER194" i="31"/>
  <c r="IU193" i="31"/>
  <c r="IV193" i="31" s="1"/>
  <c r="IC193" i="31"/>
  <c r="ID193" i="31" s="1"/>
  <c r="IF193" i="31" s="1"/>
  <c r="KH193" i="31" s="1"/>
  <c r="JB193" i="31"/>
  <c r="NC195" i="31"/>
  <c r="MQ195" i="31"/>
  <c r="IW193" i="31" l="1"/>
  <c r="KB193" i="31" s="1"/>
  <c r="DB193" i="31"/>
  <c r="DC193" i="31" s="1"/>
  <c r="DD194" i="31" s="1"/>
  <c r="DE195" i="31" s="1"/>
  <c r="GM193" i="31"/>
  <c r="IM193" i="31"/>
  <c r="KI194" i="31"/>
  <c r="IN193" i="31"/>
  <c r="DF193" i="31"/>
  <c r="BC194" i="31"/>
  <c r="IX193" i="31"/>
  <c r="KK193" i="31"/>
  <c r="EU194" i="31"/>
  <c r="GT195" i="31" l="1"/>
  <c r="DT193" i="31"/>
  <c r="DZ193" i="31" s="1"/>
  <c r="GU193" i="31"/>
  <c r="GV193" i="31"/>
  <c r="FD193" i="31"/>
  <c r="GR193" i="31"/>
  <c r="KJ194" i="31"/>
  <c r="BD194" i="31"/>
  <c r="BE194" i="31"/>
  <c r="GS193" i="31" l="1"/>
  <c r="BG194" i="31"/>
  <c r="BF194" i="31"/>
  <c r="IS193" i="31"/>
  <c r="FL194" i="31"/>
  <c r="JH193" i="31" l="1"/>
  <c r="JI193" i="31" s="1"/>
  <c r="IT193" i="31"/>
  <c r="FM194" i="31"/>
  <c r="BI194" i="31"/>
  <c r="BK194" i="31" s="1"/>
  <c r="BH194" i="31"/>
  <c r="GX193" i="31"/>
  <c r="GY193" i="31"/>
  <c r="GW193" i="31"/>
  <c r="HC193" i="31" s="1"/>
  <c r="FA194" i="31" s="1"/>
  <c r="HB194" i="31" s="1"/>
  <c r="BJ194" i="31" l="1"/>
  <c r="BL194" i="31"/>
  <c r="BM194" i="31"/>
  <c r="EG193" i="31"/>
  <c r="EH194" i="31" s="1"/>
  <c r="EI194" i="31" s="1"/>
  <c r="FK194" i="31" s="1"/>
  <c r="HM193" i="31"/>
  <c r="EY193" i="31"/>
  <c r="HK194" i="31"/>
  <c r="JK193" i="31"/>
  <c r="JN193" i="31" s="1"/>
  <c r="JV193" i="31" s="1"/>
  <c r="JF194" i="31" s="1"/>
  <c r="JM193" i="31" l="1"/>
  <c r="KD193" i="31" s="1"/>
  <c r="IL194" i="31" s="1"/>
  <c r="JL193" i="31"/>
  <c r="JJ194" i="31" s="1"/>
  <c r="KA194" i="31"/>
  <c r="JW194" i="31"/>
  <c r="JY194" i="31"/>
  <c r="JZ193" i="31"/>
  <c r="KF193" i="31" s="1"/>
  <c r="IQ194" i="31" s="1"/>
  <c r="EE193" i="31"/>
  <c r="EF194" i="31" s="1"/>
  <c r="EJ193" i="31"/>
  <c r="EK194" i="31" s="1"/>
  <c r="ED193" i="31"/>
  <c r="EB194" i="31" s="1"/>
  <c r="BN194" i="31"/>
  <c r="BO194" i="31"/>
  <c r="EZ193" i="31"/>
  <c r="DG193" i="31"/>
  <c r="DH193" i="31" s="1"/>
  <c r="DI194" i="31" s="1"/>
  <c r="DP194" i="31" l="1"/>
  <c r="EL194" i="31"/>
  <c r="FC194" i="31"/>
  <c r="EP194" i="31"/>
  <c r="ET195" i="31" s="1"/>
  <c r="EO194" i="31"/>
  <c r="ES195" i="31" s="1"/>
  <c r="EV194" i="31"/>
  <c r="GZ194" i="31"/>
  <c r="IE194" i="31" s="1"/>
  <c r="DJ194" i="31"/>
  <c r="DK194" i="31" s="1"/>
  <c r="IP194" i="31"/>
  <c r="BP194" i="31"/>
  <c r="BQ194" i="31" s="1"/>
  <c r="HZ194" i="31"/>
  <c r="JC194" i="31"/>
  <c r="JD194" i="31"/>
  <c r="IY194" i="31"/>
  <c r="IR194" i="31"/>
  <c r="JO194" i="31"/>
  <c r="JE194" i="31"/>
  <c r="JA194" i="31"/>
  <c r="IO194" i="31"/>
  <c r="JX194" i="31" l="1"/>
  <c r="DX194" i="31"/>
  <c r="FQ194" i="31"/>
  <c r="DM194" i="31"/>
  <c r="EC194" i="31"/>
  <c r="KG194" i="31"/>
  <c r="BR194" i="31"/>
  <c r="BS194" i="31"/>
  <c r="JP194" i="31"/>
  <c r="JQ194" i="31" s="1"/>
  <c r="FB194" i="31" l="1"/>
  <c r="EX194" i="31"/>
  <c r="M194" i="31" s="1"/>
  <c r="DL194" i="31"/>
  <c r="L195" i="31"/>
  <c r="BT194" i="31"/>
  <c r="BU194" i="31"/>
  <c r="BV194" i="31" l="1"/>
  <c r="BW194" i="31" s="1"/>
  <c r="MJ194" i="31"/>
  <c r="NS194" i="31" s="1"/>
  <c r="MB194" i="31"/>
  <c r="NM194" i="31" s="1"/>
  <c r="NN194" i="31" s="1"/>
  <c r="BY194" i="31" l="1"/>
  <c r="CA194" i="31" s="1"/>
  <c r="BX194" i="31"/>
  <c r="OV195" i="31"/>
  <c r="NW194" i="31"/>
  <c r="NT194" i="31"/>
  <c r="OU195" i="31"/>
  <c r="BZ194" i="31" l="1"/>
  <c r="CB194" i="31"/>
  <c r="CC194" i="31" s="1"/>
  <c r="CX194" i="31"/>
  <c r="FV194" i="31"/>
  <c r="FR194" i="31"/>
  <c r="NU194" i="31"/>
  <c r="NX194" i="31"/>
  <c r="OF194" i="31" s="1"/>
  <c r="OS195" i="31" s="1"/>
  <c r="CD194" i="31" l="1"/>
  <c r="CE194" i="31"/>
  <c r="CG194" i="31" s="1"/>
  <c r="NZ194" i="31"/>
  <c r="MY194" i="31"/>
  <c r="CY195" i="31"/>
  <c r="NY194" i="31"/>
  <c r="NV194" i="31"/>
  <c r="OA194" i="31" l="1"/>
  <c r="MV195" i="31" s="1"/>
  <c r="OG195" i="31" s="1"/>
  <c r="CF194" i="31"/>
  <c r="MZ195" i="31"/>
  <c r="OZ194" i="31"/>
  <c r="NF195" i="31"/>
  <c r="OO195" i="31"/>
  <c r="OM195" i="31"/>
  <c r="CH194" i="31"/>
  <c r="CI194" i="31" s="1"/>
  <c r="OB194" i="31"/>
  <c r="OT195" i="31" s="1"/>
  <c r="OI194" i="31"/>
  <c r="KT195" i="31" l="1"/>
  <c r="KL195" i="31" s="1"/>
  <c r="KN196" i="31" s="1"/>
  <c r="CJ194" i="31"/>
  <c r="CO194" i="31" s="1"/>
  <c r="CK194" i="31"/>
  <c r="OJ194" i="31"/>
  <c r="PA194" i="31"/>
  <c r="OC194" i="31"/>
  <c r="OD195" i="31" s="1"/>
  <c r="OH195" i="31" s="1"/>
  <c r="OK195" i="31" s="1"/>
  <c r="OW194" i="31"/>
  <c r="MR195" i="31"/>
  <c r="OX195" i="31"/>
  <c r="KM195" i="31" l="1"/>
  <c r="KO196" i="31" s="1"/>
  <c r="KP196" i="31" s="1"/>
  <c r="KQ195" i="31"/>
  <c r="OY195" i="31"/>
  <c r="MW195" i="31"/>
  <c r="CL194" i="31"/>
  <c r="CM194" i="31"/>
  <c r="CN194" i="31" s="1"/>
  <c r="MS195" i="31"/>
  <c r="KR195" i="31" l="1"/>
  <c r="KS195" i="31" s="1"/>
  <c r="CP194" i="31"/>
  <c r="MX195" i="31"/>
  <c r="MT195" i="31"/>
  <c r="NQ195" i="31"/>
  <c r="NP195" i="31"/>
  <c r="MO195" i="31"/>
  <c r="MU195" i="31"/>
  <c r="NH196" i="31"/>
  <c r="NI196" i="31" s="1"/>
  <c r="NJ195" i="31"/>
  <c r="PE195" i="31"/>
  <c r="NR195" i="31" l="1"/>
  <c r="NK195" i="31"/>
  <c r="NL195" i="31"/>
  <c r="NG196" i="31"/>
  <c r="OQ196" i="31"/>
  <c r="NB195" i="31"/>
  <c r="NA195" i="31"/>
  <c r="FU194" i="31"/>
  <c r="FW194" i="31" s="1"/>
  <c r="FP194" i="31"/>
  <c r="FS194" i="31" s="1"/>
  <c r="JR194" i="31"/>
  <c r="JS194" i="31" s="1"/>
  <c r="CQ194" i="31"/>
  <c r="FE194" i="31"/>
  <c r="FF194" i="31" s="1"/>
  <c r="FH194" i="31"/>
  <c r="FI194" i="31" s="1"/>
  <c r="FX194" i="31"/>
  <c r="FY194" i="31" s="1"/>
  <c r="DQ194" i="31"/>
  <c r="DR194" i="31" s="1"/>
  <c r="GO194" i="31"/>
  <c r="HO194" i="31"/>
  <c r="FZ194" i="31"/>
  <c r="GA194" i="31" s="1"/>
  <c r="GB194" i="31"/>
  <c r="GC194" i="31" s="1"/>
  <c r="KX194" i="31"/>
  <c r="KU194" i="31"/>
  <c r="GN194" i="31" l="1"/>
  <c r="CS194" i="31"/>
  <c r="CT194" i="31"/>
  <c r="CR194" i="31"/>
  <c r="HW194" i="31"/>
  <c r="HX195" i="31" s="1"/>
  <c r="FG195" i="31"/>
  <c r="JU194" i="31"/>
  <c r="KE194" i="31"/>
  <c r="JT195" i="31"/>
  <c r="KC194" i="31"/>
  <c r="OR196" i="31"/>
  <c r="GQ194" i="31"/>
  <c r="KV194" i="31"/>
  <c r="DY194" i="31"/>
  <c r="HY194" i="31"/>
  <c r="HA194" i="31"/>
  <c r="IA194" i="31"/>
  <c r="IB194" i="31" s="1"/>
  <c r="HP194" i="31"/>
  <c r="IZ194" i="31"/>
  <c r="DS194" i="31"/>
  <c r="AX194" i="31" s="1"/>
  <c r="AY195" i="31" s="1"/>
  <c r="NC196" i="31"/>
  <c r="MQ196" i="31"/>
  <c r="HU194" i="31"/>
  <c r="HV195" i="31" s="1"/>
  <c r="FJ195" i="31"/>
  <c r="KW195" i="31" l="1"/>
  <c r="HQ194" i="31"/>
  <c r="HR195" i="31" s="1"/>
  <c r="EM194" i="31"/>
  <c r="EW194" i="31" s="1"/>
  <c r="AZ194" i="31"/>
  <c r="EN194" i="31"/>
  <c r="HT194" i="31"/>
  <c r="HS194" i="31"/>
  <c r="JG194" i="31" s="1"/>
  <c r="BB195" i="31" l="1"/>
  <c r="DW194" i="31"/>
  <c r="DU195" i="31" s="1"/>
  <c r="EQ194" i="31"/>
  <c r="ER195" i="31"/>
  <c r="IU194" i="31"/>
  <c r="IV194" i="31" s="1"/>
  <c r="IC194" i="31"/>
  <c r="ID194" i="31" s="1"/>
  <c r="IF194" i="31" s="1"/>
  <c r="KH194" i="31" s="1"/>
  <c r="JB194" i="31"/>
  <c r="IW194" i="31" l="1"/>
  <c r="KB194" i="31" s="1"/>
  <c r="IX194" i="31"/>
  <c r="KK194" i="31"/>
  <c r="EU195" i="31"/>
  <c r="DB194" i="31"/>
  <c r="DC194" i="31" s="1"/>
  <c r="DD195" i="31" s="1"/>
  <c r="DE196" i="31" s="1"/>
  <c r="IM194" i="31"/>
  <c r="GM194" i="31"/>
  <c r="KI195" i="31"/>
  <c r="IN194" i="31"/>
  <c r="DF194" i="31"/>
  <c r="BC195" i="31"/>
  <c r="DT194" i="31" l="1"/>
  <c r="DZ194" i="31" s="1"/>
  <c r="GT196" i="31"/>
  <c r="KJ195" i="31"/>
  <c r="GR194" i="31"/>
  <c r="BD195" i="31"/>
  <c r="BE195" i="31"/>
  <c r="FD194" i="31"/>
  <c r="GV194" i="31"/>
  <c r="GU194" i="31"/>
  <c r="BG195" i="31" l="1"/>
  <c r="BF195" i="31"/>
  <c r="GS194" i="31"/>
  <c r="IS194" i="31"/>
  <c r="FL195" i="31"/>
  <c r="FM195" i="31" l="1"/>
  <c r="GW194" i="31"/>
  <c r="HC194" i="31" s="1"/>
  <c r="FA195" i="31" s="1"/>
  <c r="HB195" i="31" s="1"/>
  <c r="GY194" i="31"/>
  <c r="GX194" i="31"/>
  <c r="JH194" i="31"/>
  <c r="JI194" i="31" s="1"/>
  <c r="IT194" i="31"/>
  <c r="BI195" i="31"/>
  <c r="BK195" i="31" s="1"/>
  <c r="BH195" i="31"/>
  <c r="BJ195" i="31" l="1"/>
  <c r="JK194" i="31"/>
  <c r="JZ194" i="31" s="1"/>
  <c r="KF194" i="31" s="1"/>
  <c r="IQ195" i="31" s="1"/>
  <c r="EG194" i="31"/>
  <c r="EH195" i="31" s="1"/>
  <c r="EI195" i="31" s="1"/>
  <c r="FK195" i="31" s="1"/>
  <c r="EY194" i="31"/>
  <c r="HM194" i="31"/>
  <c r="HK195" i="31"/>
  <c r="BL195" i="31"/>
  <c r="BM195" i="31"/>
  <c r="EZ194" i="31" l="1"/>
  <c r="DG194" i="31"/>
  <c r="DH194" i="31" s="1"/>
  <c r="DI195" i="31" s="1"/>
  <c r="EJ194" i="31"/>
  <c r="EK195" i="31" s="1"/>
  <c r="EE194" i="31"/>
  <c r="EF195" i="31" s="1"/>
  <c r="ED194" i="31"/>
  <c r="EB195" i="31" s="1"/>
  <c r="IY195" i="31" s="1"/>
  <c r="BO195" i="31"/>
  <c r="BN195" i="31"/>
  <c r="JM194" i="31"/>
  <c r="KD194" i="31" s="1"/>
  <c r="IL195" i="31" s="1"/>
  <c r="IR195" i="31" s="1"/>
  <c r="JN194" i="31"/>
  <c r="JV194" i="31" s="1"/>
  <c r="JF195" i="31" s="1"/>
  <c r="JL194" i="31"/>
  <c r="JJ195" i="31" s="1"/>
  <c r="KA195" i="31"/>
  <c r="JE195" i="31" l="1"/>
  <c r="JC195" i="31"/>
  <c r="JD195" i="31"/>
  <c r="HZ195" i="31"/>
  <c r="JY195" i="31"/>
  <c r="JW195" i="31"/>
  <c r="IO195" i="31"/>
  <c r="JP195" i="31" s="1"/>
  <c r="JQ195" i="31" s="1"/>
  <c r="IP195" i="31"/>
  <c r="EP195" i="31"/>
  <c r="ET196" i="31" s="1"/>
  <c r="EL195" i="31"/>
  <c r="EO195" i="31"/>
  <c r="ES196" i="31" s="1"/>
  <c r="FC195" i="31"/>
  <c r="EV195" i="31"/>
  <c r="JO195" i="31"/>
  <c r="DP195" i="31"/>
  <c r="BP195" i="31"/>
  <c r="BQ195" i="31" s="1"/>
  <c r="GZ195" i="31"/>
  <c r="IE195" i="31" s="1"/>
  <c r="DJ195" i="31"/>
  <c r="DK195" i="31" s="1"/>
  <c r="JA195" i="31"/>
  <c r="JX195" i="31" l="1"/>
  <c r="BS195" i="31"/>
  <c r="BU195" i="31" s="1"/>
  <c r="BR195" i="31"/>
  <c r="FQ195" i="31"/>
  <c r="DX195" i="31"/>
  <c r="DM195" i="31"/>
  <c r="KG195" i="31"/>
  <c r="EC195" i="31"/>
  <c r="BT195" i="31" l="1"/>
  <c r="EX195" i="31"/>
  <c r="M195" i="31" s="1"/>
  <c r="FB195" i="31"/>
  <c r="BV195" i="31"/>
  <c r="BW195" i="31" s="1"/>
  <c r="DL195" i="31"/>
  <c r="L196" i="31"/>
  <c r="BX195" i="31" l="1"/>
  <c r="BY195" i="31"/>
  <c r="MJ195" i="31"/>
  <c r="NS195" i="31" s="1"/>
  <c r="MB195" i="31"/>
  <c r="NM195" i="31" s="1"/>
  <c r="NN195" i="31" s="1"/>
  <c r="BZ195" i="31" l="1"/>
  <c r="CA195" i="31"/>
  <c r="CB195" i="31" s="1"/>
  <c r="CC195" i="31" s="1"/>
  <c r="OV196" i="31"/>
  <c r="NW195" i="31"/>
  <c r="NT195" i="31"/>
  <c r="OU196" i="31"/>
  <c r="CD195" i="31" l="1"/>
  <c r="CE195" i="31"/>
  <c r="CG195" i="31" s="1"/>
  <c r="CX195" i="31"/>
  <c r="FR195" i="31"/>
  <c r="FV195" i="31"/>
  <c r="NU195" i="31"/>
  <c r="NX195" i="31"/>
  <c r="OF195" i="31" s="1"/>
  <c r="OS196" i="31" s="1"/>
  <c r="CH195" i="31" l="1"/>
  <c r="CI195" i="31" s="1"/>
  <c r="CK195" i="31" s="1"/>
  <c r="CF195" i="31"/>
  <c r="NV195" i="31"/>
  <c r="NY195" i="31"/>
  <c r="MY195" i="31"/>
  <c r="NZ195" i="31"/>
  <c r="CY196" i="31"/>
  <c r="CJ195" i="31" l="1"/>
  <c r="CO195" i="31" s="1"/>
  <c r="OI195" i="31"/>
  <c r="OX196" i="31" s="1"/>
  <c r="OM196" i="31"/>
  <c r="NF196" i="31"/>
  <c r="OO196" i="31"/>
  <c r="OB195" i="31"/>
  <c r="OT196" i="31" s="1"/>
  <c r="CL195" i="31"/>
  <c r="CM195" i="31"/>
  <c r="CN195" i="31" s="1"/>
  <c r="MZ196" i="31"/>
  <c r="OZ195" i="31"/>
  <c r="OA195" i="31"/>
  <c r="MV196" i="31" s="1"/>
  <c r="OW195" i="31" l="1"/>
  <c r="MR196" i="31"/>
  <c r="CP195" i="31"/>
  <c r="PA195" i="31"/>
  <c r="MS196" i="31"/>
  <c r="OC195" i="31"/>
  <c r="OD196" i="31" s="1"/>
  <c r="OH196" i="31" s="1"/>
  <c r="OG196" i="31"/>
  <c r="KT196" i="31"/>
  <c r="OJ195" i="31"/>
  <c r="MT196" i="31" l="1"/>
  <c r="NP196" i="31"/>
  <c r="MU196" i="31"/>
  <c r="NQ196" i="31"/>
  <c r="NJ196" i="31"/>
  <c r="MO196" i="31"/>
  <c r="NH197" i="31"/>
  <c r="NI197" i="31" s="1"/>
  <c r="PE196" i="31"/>
  <c r="MW196" i="31"/>
  <c r="OY196" i="31"/>
  <c r="KL196" i="31"/>
  <c r="KN197" i="31" s="1"/>
  <c r="KM196" i="31"/>
  <c r="KO197" i="31" s="1"/>
  <c r="FX195" i="31"/>
  <c r="FY195" i="31" s="1"/>
  <c r="DQ195" i="31"/>
  <c r="DR195" i="31" s="1"/>
  <c r="GO195" i="31"/>
  <c r="GB195" i="31"/>
  <c r="GC195" i="31" s="1"/>
  <c r="FH195" i="31"/>
  <c r="FI195" i="31" s="1"/>
  <c r="FE195" i="31"/>
  <c r="FF195" i="31" s="1"/>
  <c r="FP195" i="31"/>
  <c r="FS195" i="31" s="1"/>
  <c r="JR195" i="31"/>
  <c r="JS195" i="31" s="1"/>
  <c r="FU195" i="31"/>
  <c r="FW195" i="31" s="1"/>
  <c r="FZ195" i="31"/>
  <c r="GA195" i="31" s="1"/>
  <c r="HO195" i="31"/>
  <c r="CQ195" i="31"/>
  <c r="KX195" i="31"/>
  <c r="GN195" i="31" s="1"/>
  <c r="KU195" i="31"/>
  <c r="OK196" i="31"/>
  <c r="NR196" i="31" l="1"/>
  <c r="IA195" i="31"/>
  <c r="IB195" i="31" s="1"/>
  <c r="HP195" i="31"/>
  <c r="IZ195" i="31"/>
  <c r="NK196" i="31"/>
  <c r="NL196" i="31"/>
  <c r="NG197" i="31"/>
  <c r="OQ197" i="31"/>
  <c r="HA195" i="31"/>
  <c r="HY195" i="31"/>
  <c r="DY195" i="31"/>
  <c r="KQ196" i="31"/>
  <c r="CT195" i="31"/>
  <c r="CR195" i="31"/>
  <c r="CS195" i="31"/>
  <c r="DS195" i="31"/>
  <c r="AX195" i="31" s="1"/>
  <c r="AY196" i="31" s="1"/>
  <c r="JU195" i="31"/>
  <c r="KE195" i="31"/>
  <c r="KC195" i="31"/>
  <c r="JT196" i="31"/>
  <c r="FG196" i="31"/>
  <c r="HW195" i="31"/>
  <c r="HX196" i="31" s="1"/>
  <c r="KP197" i="31"/>
  <c r="KR196" i="31"/>
  <c r="GQ195" i="31"/>
  <c r="KV195" i="31"/>
  <c r="HU195" i="31"/>
  <c r="HV196" i="31" s="1"/>
  <c r="FJ196" i="31"/>
  <c r="MX196" i="31"/>
  <c r="KW196" i="31" l="1"/>
  <c r="HQ195" i="31"/>
  <c r="HR196" i="31" s="1"/>
  <c r="NC197" i="31"/>
  <c r="MQ197" i="31"/>
  <c r="KS196" i="31"/>
  <c r="AZ195" i="31"/>
  <c r="EM195" i="31"/>
  <c r="EW195" i="31" s="1"/>
  <c r="EN195" i="31"/>
  <c r="NB196" i="31"/>
  <c r="NA196" i="31"/>
  <c r="HT195" i="31"/>
  <c r="HS195" i="31"/>
  <c r="JG195" i="31" s="1"/>
  <c r="OR197" i="31"/>
  <c r="IC195" i="31" l="1"/>
  <c r="ID195" i="31" s="1"/>
  <c r="IF195" i="31" s="1"/>
  <c r="KH195" i="31" s="1"/>
  <c r="JB195" i="31"/>
  <c r="BB196" i="31"/>
  <c r="DW195" i="31"/>
  <c r="DU196" i="31" s="1"/>
  <c r="EQ195" i="31"/>
  <c r="ER196" i="31"/>
  <c r="IU195" i="31"/>
  <c r="IV195" i="31" s="1"/>
  <c r="IW195" i="31" l="1"/>
  <c r="KB195" i="31" s="1"/>
  <c r="EU196" i="31"/>
  <c r="KK195" i="31"/>
  <c r="IX195" i="31"/>
  <c r="GM195" i="31"/>
  <c r="DB195" i="31"/>
  <c r="DC195" i="31" s="1"/>
  <c r="DD196" i="31" s="1"/>
  <c r="DE197" i="31" s="1"/>
  <c r="IM195" i="31"/>
  <c r="KI196" i="31"/>
  <c r="IN195" i="31"/>
  <c r="DF195" i="31"/>
  <c r="BC196" i="31"/>
  <c r="GT197" i="31" l="1"/>
  <c r="DT195" i="31"/>
  <c r="DZ195" i="31" s="1"/>
  <c r="KJ196" i="31"/>
  <c r="FD195" i="31"/>
  <c r="GU195" i="31"/>
  <c r="GV195" i="31"/>
  <c r="BD196" i="31"/>
  <c r="BE196" i="31"/>
  <c r="GR195" i="31"/>
  <c r="BG196" i="31" l="1"/>
  <c r="BF196" i="31"/>
  <c r="IS195" i="31"/>
  <c r="FL196" i="31"/>
  <c r="GS195" i="31"/>
  <c r="GY195" i="31" l="1"/>
  <c r="GX195" i="31"/>
  <c r="GW195" i="31"/>
  <c r="HC195" i="31" s="1"/>
  <c r="FA196" i="31" s="1"/>
  <c r="HB196" i="31" s="1"/>
  <c r="JH195" i="31"/>
  <c r="JI195" i="31" s="1"/>
  <c r="IT195" i="31"/>
  <c r="FM196" i="31"/>
  <c r="BH196" i="31"/>
  <c r="BI196" i="31"/>
  <c r="BK196" i="31" s="1"/>
  <c r="BJ196" i="31" l="1"/>
  <c r="JK195" i="31"/>
  <c r="JN195" i="31" s="1"/>
  <c r="JV195" i="31" s="1"/>
  <c r="JF196" i="31" s="1"/>
  <c r="EG195" i="31"/>
  <c r="EH196" i="31" s="1"/>
  <c r="EI196" i="31" s="1"/>
  <c r="FK196" i="31" s="1"/>
  <c r="HM195" i="31"/>
  <c r="EY195" i="31"/>
  <c r="HK196" i="31"/>
  <c r="BL196" i="31"/>
  <c r="BM196" i="31"/>
  <c r="EZ195" i="31" l="1"/>
  <c r="DG195" i="31"/>
  <c r="DH195" i="31" s="1"/>
  <c r="DI196" i="31" s="1"/>
  <c r="EE195" i="31"/>
  <c r="EF196" i="31" s="1"/>
  <c r="EJ195" i="31"/>
  <c r="EK196" i="31" s="1"/>
  <c r="ED195" i="31"/>
  <c r="EB196" i="31" s="1"/>
  <c r="BN196" i="31"/>
  <c r="BO196" i="31"/>
  <c r="JM195" i="31"/>
  <c r="KD195" i="31" s="1"/>
  <c r="IL196" i="31" s="1"/>
  <c r="JL195" i="31"/>
  <c r="JJ196" i="31" s="1"/>
  <c r="KA196" i="31"/>
  <c r="JY196" i="31"/>
  <c r="JW196" i="31"/>
  <c r="JZ195" i="31"/>
  <c r="KF195" i="31" s="1"/>
  <c r="IQ196" i="31" s="1"/>
  <c r="BP196" i="31" l="1"/>
  <c r="BQ196" i="31" s="1"/>
  <c r="EO196" i="31"/>
  <c r="ES197" i="31" s="1"/>
  <c r="EP196" i="31"/>
  <c r="ET197" i="31" s="1"/>
  <c r="FC196" i="31"/>
  <c r="EL196" i="31"/>
  <c r="EV196" i="31"/>
  <c r="IY196" i="31"/>
  <c r="JA196" i="31"/>
  <c r="JE196" i="31"/>
  <c r="IR196" i="31"/>
  <c r="GZ196" i="31"/>
  <c r="IE196" i="31" s="1"/>
  <c r="DJ196" i="31"/>
  <c r="DK196" i="31" s="1"/>
  <c r="IO196" i="31"/>
  <c r="IP196" i="31"/>
  <c r="HZ196" i="31"/>
  <c r="JC196" i="31"/>
  <c r="JD196" i="31"/>
  <c r="DP196" i="31"/>
  <c r="JO196" i="31"/>
  <c r="JP196" i="31" l="1"/>
  <c r="JQ196" i="31" s="1"/>
  <c r="KG196" i="31"/>
  <c r="JX196" i="31"/>
  <c r="DX196" i="31"/>
  <c r="DM196" i="31"/>
  <c r="FQ196" i="31"/>
  <c r="EC196" i="31"/>
  <c r="BR196" i="31"/>
  <c r="BS196" i="31"/>
  <c r="EX196" i="31" l="1"/>
  <c r="M196" i="31" s="1"/>
  <c r="FB196" i="31"/>
  <c r="BT196" i="31"/>
  <c r="BU196" i="31"/>
  <c r="DL196" i="31"/>
  <c r="L197" i="31"/>
  <c r="BV196" i="31" l="1"/>
  <c r="BW196" i="31" s="1"/>
  <c r="MJ196" i="31"/>
  <c r="NS196" i="31" s="1"/>
  <c r="MB196" i="31"/>
  <c r="NM196" i="31" s="1"/>
  <c r="NN196" i="31" s="1"/>
  <c r="BY196" i="31" l="1"/>
  <c r="BX196" i="31"/>
  <c r="OV197" i="31"/>
  <c r="NW196" i="31"/>
  <c r="NT196" i="31"/>
  <c r="OU197" i="31"/>
  <c r="BZ196" i="31" l="1"/>
  <c r="CA196" i="31"/>
  <c r="CB196" i="31" s="1"/>
  <c r="CC196" i="31" s="1"/>
  <c r="FV196" i="31"/>
  <c r="FR196" i="31"/>
  <c r="CX196" i="31"/>
  <c r="NU196" i="31"/>
  <c r="NX196" i="31"/>
  <c r="CE196" i="31" l="1"/>
  <c r="CG196" i="31" s="1"/>
  <c r="CD196" i="31"/>
  <c r="MY196" i="31"/>
  <c r="NZ196" i="31"/>
  <c r="CY197" i="31"/>
  <c r="NV196" i="31"/>
  <c r="NY196" i="31"/>
  <c r="OF196" i="31"/>
  <c r="OS197" i="31" s="1"/>
  <c r="CF196" i="31" l="1"/>
  <c r="CH196" i="31"/>
  <c r="CI196" i="31" s="1"/>
  <c r="OB196" i="31"/>
  <c r="OT197" i="31" s="1"/>
  <c r="OI196" i="31"/>
  <c r="OA196" i="31"/>
  <c r="MV197" i="31" s="1"/>
  <c r="OM197" i="31"/>
  <c r="NF197" i="31"/>
  <c r="OO197" i="31"/>
  <c r="MZ197" i="31"/>
  <c r="OZ196" i="31"/>
  <c r="CJ196" i="31" l="1"/>
  <c r="CO196" i="31" s="1"/>
  <c r="CK196" i="31"/>
  <c r="PA196" i="31"/>
  <c r="OJ196" i="31"/>
  <c r="OX197" i="31"/>
  <c r="MR197" i="31"/>
  <c r="OW196" i="31"/>
  <c r="OC196" i="31"/>
  <c r="OD197" i="31" s="1"/>
  <c r="OH197" i="31" s="1"/>
  <c r="KT197" i="31"/>
  <c r="OG197" i="31"/>
  <c r="OK197" i="31" l="1"/>
  <c r="MS197" i="31"/>
  <c r="MW197" i="31"/>
  <c r="OY197" i="31"/>
  <c r="CL196" i="31"/>
  <c r="CM196" i="31"/>
  <c r="CN196" i="31" s="1"/>
  <c r="KM197" i="31"/>
  <c r="KO198" i="31" s="1"/>
  <c r="KL197" i="31"/>
  <c r="KN198" i="31" s="1"/>
  <c r="CP196" i="31" l="1"/>
  <c r="CQ196" i="31" s="1"/>
  <c r="KQ197" i="31"/>
  <c r="MX197" i="31"/>
  <c r="KP198" i="31"/>
  <c r="KR197" i="31"/>
  <c r="NQ197" i="31"/>
  <c r="MT197" i="31"/>
  <c r="MO197" i="31"/>
  <c r="NJ197" i="31"/>
  <c r="MU197" i="31"/>
  <c r="NP197" i="31"/>
  <c r="NH198" i="31"/>
  <c r="NI198" i="31" s="1"/>
  <c r="PE197" i="31"/>
  <c r="KX196" i="31" l="1"/>
  <c r="FX196" i="31"/>
  <c r="FY196" i="31" s="1"/>
  <c r="FZ196" i="31"/>
  <c r="GA196" i="31" s="1"/>
  <c r="FU196" i="31"/>
  <c r="FW196" i="31" s="1"/>
  <c r="GB196" i="31"/>
  <c r="GC196" i="31" s="1"/>
  <c r="FE196" i="31"/>
  <c r="FF196" i="31" s="1"/>
  <c r="FG197" i="31" s="1"/>
  <c r="FP196" i="31"/>
  <c r="FS196" i="31" s="1"/>
  <c r="DY196" i="31" s="1"/>
  <c r="KU196" i="31"/>
  <c r="HO196" i="31"/>
  <c r="HP196" i="31" s="1"/>
  <c r="DQ196" i="31"/>
  <c r="DR196" i="31" s="1"/>
  <c r="DS196" i="31" s="1"/>
  <c r="AX196" i="31" s="1"/>
  <c r="AY197" i="31" s="1"/>
  <c r="GO196" i="31"/>
  <c r="JR196" i="31"/>
  <c r="JS196" i="31" s="1"/>
  <c r="KC196" i="31" s="1"/>
  <c r="FH196" i="31"/>
  <c r="FI196" i="31" s="1"/>
  <c r="FJ197" i="31" s="1"/>
  <c r="NR197" i="31"/>
  <c r="KS197" i="31"/>
  <c r="NK197" i="31"/>
  <c r="NL197" i="31"/>
  <c r="NG198" i="31"/>
  <c r="OQ198" i="31"/>
  <c r="NB197" i="31"/>
  <c r="NA197" i="31"/>
  <c r="CR196" i="31"/>
  <c r="CS196" i="31"/>
  <c r="CT196" i="31"/>
  <c r="IA196" i="31" l="1"/>
  <c r="IB196" i="31" s="1"/>
  <c r="GN196" i="31"/>
  <c r="KV196" i="31" s="1"/>
  <c r="HW196" i="31"/>
  <c r="HX197" i="31" s="1"/>
  <c r="IZ196" i="31"/>
  <c r="HY196" i="31"/>
  <c r="HA196" i="31"/>
  <c r="JT197" i="31"/>
  <c r="KE196" i="31"/>
  <c r="JU196" i="31"/>
  <c r="HU196" i="31"/>
  <c r="HV197" i="31" s="1"/>
  <c r="OR198" i="31"/>
  <c r="AZ196" i="31"/>
  <c r="EN196" i="31"/>
  <c r="EM196" i="31"/>
  <c r="EW196" i="31" s="1"/>
  <c r="NC198" i="31"/>
  <c r="MQ198" i="31"/>
  <c r="HS196" i="31"/>
  <c r="JG196" i="31" s="1"/>
  <c r="HT196" i="31"/>
  <c r="KW197" i="31" l="1"/>
  <c r="HQ196" i="31"/>
  <c r="HR197" i="31" s="1"/>
  <c r="GQ196" i="31"/>
  <c r="BB197" i="31"/>
  <c r="EQ196" i="31"/>
  <c r="DW196" i="31"/>
  <c r="DU197" i="31" s="1"/>
  <c r="ER197" i="31"/>
  <c r="IU196" i="31"/>
  <c r="IV196" i="31" s="1"/>
  <c r="IC196" i="31"/>
  <c r="ID196" i="31" s="1"/>
  <c r="IF196" i="31" s="1"/>
  <c r="KH196" i="31" s="1"/>
  <c r="JB196" i="31"/>
  <c r="IW196" i="31" l="1"/>
  <c r="KB196" i="31" s="1"/>
  <c r="IX196" i="31"/>
  <c r="KK196" i="31"/>
  <c r="EU197" i="31"/>
  <c r="DB196" i="31"/>
  <c r="DC196" i="31" s="1"/>
  <c r="DD197" i="31" s="1"/>
  <c r="DE198" i="31" s="1"/>
  <c r="IM196" i="31"/>
  <c r="GM196" i="31"/>
  <c r="KI197" i="31"/>
  <c r="IN196" i="31"/>
  <c r="DF196" i="31"/>
  <c r="BC197" i="31"/>
  <c r="GT198" i="31" l="1"/>
  <c r="GR196" i="31"/>
  <c r="KJ197" i="31"/>
  <c r="GU196" i="31"/>
  <c r="GV196" i="31"/>
  <c r="FD196" i="31"/>
  <c r="DT196" i="31"/>
  <c r="DZ196" i="31" s="1"/>
  <c r="BD197" i="31"/>
  <c r="BE197" i="31"/>
  <c r="BG197" i="31" l="1"/>
  <c r="BF197" i="31"/>
  <c r="GS196" i="31"/>
  <c r="IS196" i="31"/>
  <c r="FL197" i="31"/>
  <c r="GX196" i="31" l="1"/>
  <c r="GY196" i="31"/>
  <c r="GW196" i="31"/>
  <c r="HC196" i="31" s="1"/>
  <c r="FA197" i="31" s="1"/>
  <c r="HB197" i="31" s="1"/>
  <c r="FM197" i="31"/>
  <c r="JH196" i="31"/>
  <c r="JI196" i="31" s="1"/>
  <c r="IT196" i="31"/>
  <c r="BI197" i="31"/>
  <c r="BK197" i="31" s="1"/>
  <c r="BH197" i="31"/>
  <c r="BJ197" i="31" l="1"/>
  <c r="JK196" i="31"/>
  <c r="JN196" i="31" s="1"/>
  <c r="JV196" i="31" s="1"/>
  <c r="JF197" i="31" s="1"/>
  <c r="BL197" i="31"/>
  <c r="BM197" i="31"/>
  <c r="HM196" i="31"/>
  <c r="EY196" i="31"/>
  <c r="EG196" i="31"/>
  <c r="EH197" i="31" s="1"/>
  <c r="EI197" i="31" s="1"/>
  <c r="FK197" i="31" s="1"/>
  <c r="HK197" i="31"/>
  <c r="JM196" i="31" l="1"/>
  <c r="KD196" i="31" s="1"/>
  <c r="IL197" i="31" s="1"/>
  <c r="JY197" i="31"/>
  <c r="JW197" i="31"/>
  <c r="EE196" i="31"/>
  <c r="EF197" i="31" s="1"/>
  <c r="ED196" i="31"/>
  <c r="EB197" i="31" s="1"/>
  <c r="EJ196" i="31"/>
  <c r="EK197" i="31" s="1"/>
  <c r="BO197" i="31"/>
  <c r="BN197" i="31"/>
  <c r="JZ196" i="31"/>
  <c r="KF196" i="31" s="1"/>
  <c r="IQ197" i="31" s="1"/>
  <c r="JL196" i="31"/>
  <c r="JJ197" i="31" s="1"/>
  <c r="KA197" i="31"/>
  <c r="EZ196" i="31"/>
  <c r="DG196" i="31"/>
  <c r="DH196" i="31" s="1"/>
  <c r="DI197" i="31" s="1"/>
  <c r="IO197" i="31" l="1"/>
  <c r="IP197" i="31"/>
  <c r="DP197" i="31"/>
  <c r="BP197" i="31"/>
  <c r="BQ197" i="31" s="1"/>
  <c r="DJ197" i="31"/>
  <c r="DK197" i="31" s="1"/>
  <c r="GZ197" i="31"/>
  <c r="IE197" i="31" s="1"/>
  <c r="EL197" i="31"/>
  <c r="EO197" i="31"/>
  <c r="ES198" i="31" s="1"/>
  <c r="EP197" i="31"/>
  <c r="ET198" i="31" s="1"/>
  <c r="FC197" i="31"/>
  <c r="EV197" i="31"/>
  <c r="IY197" i="31"/>
  <c r="JA197" i="31"/>
  <c r="JE197" i="31"/>
  <c r="IR197" i="31"/>
  <c r="JO197" i="31"/>
  <c r="JC197" i="31"/>
  <c r="JD197" i="31"/>
  <c r="HZ197" i="31"/>
  <c r="JP197" i="31" l="1"/>
  <c r="JQ197" i="31" s="1"/>
  <c r="JX197" i="31"/>
  <c r="BS197" i="31"/>
  <c r="BU197" i="31" s="1"/>
  <c r="BR197" i="31"/>
  <c r="EC197" i="31"/>
  <c r="DX197" i="31"/>
  <c r="DM197" i="31"/>
  <c r="FQ197" i="31"/>
  <c r="KG197" i="31"/>
  <c r="BT197" i="31" l="1"/>
  <c r="BV197" i="31"/>
  <c r="BW197" i="31" s="1"/>
  <c r="DL197" i="31"/>
  <c r="L198" i="31"/>
  <c r="EX197" i="31"/>
  <c r="M197" i="31" s="1"/>
  <c r="FB197" i="31"/>
  <c r="BY197" i="31" l="1"/>
  <c r="BX197" i="31"/>
  <c r="MB197" i="31"/>
  <c r="NM197" i="31" s="1"/>
  <c r="NN197" i="31" s="1"/>
  <c r="MJ197" i="31"/>
  <c r="NS197" i="31" s="1"/>
  <c r="BZ197" i="31" l="1"/>
  <c r="CA197" i="31"/>
  <c r="CB197" i="31" s="1"/>
  <c r="CC197" i="31" s="1"/>
  <c r="NT197" i="31"/>
  <c r="OU198" i="31"/>
  <c r="OV198" i="31"/>
  <c r="NW197" i="31"/>
  <c r="CD197" i="31" l="1"/>
  <c r="CE197" i="31"/>
  <c r="CG197" i="31" s="1"/>
  <c r="NX197" i="31"/>
  <c r="FR197" i="31"/>
  <c r="FV197" i="31"/>
  <c r="CX197" i="31"/>
  <c r="NU197" i="31"/>
  <c r="CF197" i="31" l="1"/>
  <c r="CH197" i="31"/>
  <c r="CI197" i="31" s="1"/>
  <c r="NY197" i="31"/>
  <c r="NV197" i="31"/>
  <c r="NZ197" i="31"/>
  <c r="MY197" i="31"/>
  <c r="CY198" i="31"/>
  <c r="OF197" i="31"/>
  <c r="OS198" i="31" s="1"/>
  <c r="CJ197" i="31" l="1"/>
  <c r="CO197" i="31" s="1"/>
  <c r="CK197" i="31"/>
  <c r="OM198" i="31"/>
  <c r="NF198" i="31"/>
  <c r="OO198" i="31"/>
  <c r="OB197" i="31"/>
  <c r="OT198" i="31" s="1"/>
  <c r="OI197" i="31"/>
  <c r="OA197" i="31"/>
  <c r="MV198" i="31" s="1"/>
  <c r="MZ198" i="31"/>
  <c r="OZ197" i="31"/>
  <c r="OJ197" i="31" l="1"/>
  <c r="MW198" i="31" s="1"/>
  <c r="OG198" i="31"/>
  <c r="KT198" i="31"/>
  <c r="OW197" i="31"/>
  <c r="MR198" i="31"/>
  <c r="OX198" i="31"/>
  <c r="CL197" i="31"/>
  <c r="CM197" i="31"/>
  <c r="CN197" i="31" s="1"/>
  <c r="PA197" i="31"/>
  <c r="OC197" i="31"/>
  <c r="OD198" i="31" s="1"/>
  <c r="OH198" i="31" s="1"/>
  <c r="OY198" i="31" l="1"/>
  <c r="MS198" i="31"/>
  <c r="OK198" i="31"/>
  <c r="KL198" i="31"/>
  <c r="KN199" i="31" s="1"/>
  <c r="KM198" i="31"/>
  <c r="KO199" i="31" s="1"/>
  <c r="CP197" i="31"/>
  <c r="MX198" i="31"/>
  <c r="KQ198" i="31" l="1"/>
  <c r="NA198" i="31"/>
  <c r="NB198" i="31"/>
  <c r="FE197" i="31"/>
  <c r="FF197" i="31" s="1"/>
  <c r="HO197" i="31"/>
  <c r="GB197" i="31"/>
  <c r="GC197" i="31" s="1"/>
  <c r="DQ197" i="31"/>
  <c r="DR197" i="31" s="1"/>
  <c r="FZ197" i="31"/>
  <c r="GA197" i="31" s="1"/>
  <c r="JR197" i="31"/>
  <c r="JS197" i="31" s="1"/>
  <c r="FH197" i="31"/>
  <c r="FI197" i="31" s="1"/>
  <c r="FX197" i="31"/>
  <c r="FY197" i="31" s="1"/>
  <c r="FU197" i="31"/>
  <c r="FW197" i="31" s="1"/>
  <c r="GO197" i="31"/>
  <c r="FP197" i="31"/>
  <c r="FS197" i="31" s="1"/>
  <c r="CQ197" i="31"/>
  <c r="KX197" i="31"/>
  <c r="GN197" i="31" s="1"/>
  <c r="KU197" i="31"/>
  <c r="KP199" i="31"/>
  <c r="KR198" i="31"/>
  <c r="MU198" i="31"/>
  <c r="NP198" i="31"/>
  <c r="MO198" i="31"/>
  <c r="MT198" i="31"/>
  <c r="NQ198" i="31"/>
  <c r="NH199" i="31"/>
  <c r="NI199" i="31" s="1"/>
  <c r="NJ198" i="31"/>
  <c r="PE198" i="31"/>
  <c r="DS197" i="31" l="1"/>
  <c r="AX197" i="31" s="1"/>
  <c r="AY198" i="31" s="1"/>
  <c r="IA197" i="31"/>
  <c r="IB197" i="31" s="1"/>
  <c r="HP197" i="31"/>
  <c r="IZ197" i="31"/>
  <c r="CS197" i="31"/>
  <c r="CR197" i="31"/>
  <c r="CT197" i="31"/>
  <c r="HW197" i="31"/>
  <c r="HX198" i="31" s="1"/>
  <c r="FG198" i="31"/>
  <c r="HU197" i="31"/>
  <c r="HV198" i="31" s="1"/>
  <c r="FJ198" i="31"/>
  <c r="NR198" i="31"/>
  <c r="KE197" i="31"/>
  <c r="JU197" i="31"/>
  <c r="KC197" i="31"/>
  <c r="JT198" i="31"/>
  <c r="KS198" i="31"/>
  <c r="DY197" i="31"/>
  <c r="HY197" i="31"/>
  <c r="HA197" i="31"/>
  <c r="NK198" i="31"/>
  <c r="NL198" i="31"/>
  <c r="NG199" i="31"/>
  <c r="OQ199" i="31"/>
  <c r="GQ197" i="31"/>
  <c r="KV197" i="31"/>
  <c r="KW198" i="31" l="1"/>
  <c r="HQ197" i="31"/>
  <c r="HR198" i="31" s="1"/>
  <c r="OR199" i="31"/>
  <c r="HT197" i="31"/>
  <c r="HS197" i="31"/>
  <c r="JG197" i="31" s="1"/>
  <c r="NC199" i="31"/>
  <c r="MQ199" i="31"/>
  <c r="AZ197" i="31"/>
  <c r="EM197" i="31"/>
  <c r="EW197" i="31" s="1"/>
  <c r="EN197" i="31"/>
  <c r="BB198" i="31" l="1"/>
  <c r="DW197" i="31"/>
  <c r="DU198" i="31" s="1"/>
  <c r="EQ197" i="31"/>
  <c r="ER198" i="31"/>
  <c r="IU197" i="31"/>
  <c r="IV197" i="31" s="1"/>
  <c r="IC197" i="31"/>
  <c r="ID197" i="31" s="1"/>
  <c r="IF197" i="31" s="1"/>
  <c r="KH197" i="31" s="1"/>
  <c r="JB197" i="31"/>
  <c r="IW197" i="31" l="1"/>
  <c r="KB197" i="31" s="1"/>
  <c r="EU198" i="31"/>
  <c r="IM197" i="31"/>
  <c r="DB197" i="31"/>
  <c r="DC197" i="31" s="1"/>
  <c r="DD198" i="31" s="1"/>
  <c r="DE199" i="31" s="1"/>
  <c r="GM197" i="31"/>
  <c r="KI198" i="31"/>
  <c r="IN197" i="31"/>
  <c r="DF197" i="31"/>
  <c r="IX197" i="31"/>
  <c r="KK197" i="31"/>
  <c r="BC198" i="31"/>
  <c r="GT199" i="31" l="1"/>
  <c r="DT197" i="31"/>
  <c r="DZ197" i="31" s="1"/>
  <c r="GV197" i="31"/>
  <c r="FD197" i="31"/>
  <c r="GU197" i="31"/>
  <c r="KJ198" i="31"/>
  <c r="BD198" i="31"/>
  <c r="BE198" i="31"/>
  <c r="GR197" i="31"/>
  <c r="IS197" i="31" l="1"/>
  <c r="FL198" i="31"/>
  <c r="BF198" i="31"/>
  <c r="BG198" i="31"/>
  <c r="GS197" i="31"/>
  <c r="GW197" i="31" l="1"/>
  <c r="HC197" i="31" s="1"/>
  <c r="FA198" i="31" s="1"/>
  <c r="HB198" i="31" s="1"/>
  <c r="GX197" i="31"/>
  <c r="GY197" i="31"/>
  <c r="BH198" i="31"/>
  <c r="BI198" i="31"/>
  <c r="BK198" i="31" s="1"/>
  <c r="FM198" i="31"/>
  <c r="JH197" i="31"/>
  <c r="JI197" i="31" s="1"/>
  <c r="IT197" i="31"/>
  <c r="BL198" i="31" l="1"/>
  <c r="BM198" i="31"/>
  <c r="EY197" i="31"/>
  <c r="HM197" i="31"/>
  <c r="EG197" i="31"/>
  <c r="EH198" i="31" s="1"/>
  <c r="EI198" i="31" s="1"/>
  <c r="FK198" i="31" s="1"/>
  <c r="HK198" i="31"/>
  <c r="JK197" i="31"/>
  <c r="JN197" i="31" s="1"/>
  <c r="JV197" i="31" s="1"/>
  <c r="JF198" i="31" s="1"/>
  <c r="BJ198" i="31"/>
  <c r="JY198" i="31" l="1"/>
  <c r="JW198" i="31"/>
  <c r="EE197" i="31"/>
  <c r="EF198" i="31" s="1"/>
  <c r="EJ197" i="31"/>
  <c r="EK198" i="31" s="1"/>
  <c r="ED197" i="31"/>
  <c r="EB198" i="31" s="1"/>
  <c r="EZ197" i="31"/>
  <c r="DG197" i="31"/>
  <c r="DH197" i="31" s="1"/>
  <c r="DI198" i="31" s="1"/>
  <c r="JZ197" i="31"/>
  <c r="KF197" i="31" s="1"/>
  <c r="IQ198" i="31" s="1"/>
  <c r="BN198" i="31"/>
  <c r="BO198" i="31"/>
  <c r="JM197" i="31"/>
  <c r="KD197" i="31" s="1"/>
  <c r="IL198" i="31" s="1"/>
  <c r="JL197" i="31"/>
  <c r="JJ198" i="31" s="1"/>
  <c r="KA198" i="31"/>
  <c r="IP198" i="31" l="1"/>
  <c r="IO198" i="31"/>
  <c r="JA198" i="31"/>
  <c r="JE198" i="31"/>
  <c r="JO198" i="31"/>
  <c r="IR198" i="31"/>
  <c r="IY198" i="31"/>
  <c r="DP198" i="31"/>
  <c r="GZ198" i="31"/>
  <c r="IE198" i="31" s="1"/>
  <c r="DJ198" i="31"/>
  <c r="DK198" i="31" s="1"/>
  <c r="EL198" i="31"/>
  <c r="EP198" i="31"/>
  <c r="ET199" i="31" s="1"/>
  <c r="FC198" i="31"/>
  <c r="EO198" i="31"/>
  <c r="ES199" i="31" s="1"/>
  <c r="EV198" i="31"/>
  <c r="JC198" i="31"/>
  <c r="JD198" i="31"/>
  <c r="BP198" i="31"/>
  <c r="BQ198" i="31" s="1"/>
  <c r="HZ198" i="31"/>
  <c r="KG198" i="31" l="1"/>
  <c r="JP198" i="31"/>
  <c r="JQ198" i="31" s="1"/>
  <c r="FQ198" i="31"/>
  <c r="DX198" i="31"/>
  <c r="DM198" i="31"/>
  <c r="JX198" i="31"/>
  <c r="BR198" i="31"/>
  <c r="BS198" i="31"/>
  <c r="EC198" i="31"/>
  <c r="DL198" i="31" l="1"/>
  <c r="L199" i="31"/>
  <c r="BT198" i="31"/>
  <c r="BU198" i="31"/>
  <c r="FB198" i="31"/>
  <c r="EX198" i="31"/>
  <c r="M198" i="31" s="1"/>
  <c r="MB198" i="31" l="1"/>
  <c r="NM198" i="31" s="1"/>
  <c r="NN198" i="31" s="1"/>
  <c r="MJ198" i="31"/>
  <c r="NS198" i="31" s="1"/>
  <c r="BV198" i="31"/>
  <c r="BW198" i="31" s="1"/>
  <c r="BX198" i="31" l="1"/>
  <c r="BY198" i="31"/>
  <c r="CA198" i="31" s="1"/>
  <c r="OV199" i="31"/>
  <c r="NW198" i="31"/>
  <c r="NT198" i="31"/>
  <c r="OU199" i="31"/>
  <c r="BZ198" i="31" l="1"/>
  <c r="CB198" i="31"/>
  <c r="CC198" i="31" s="1"/>
  <c r="FR198" i="31"/>
  <c r="FV198" i="31"/>
  <c r="CX198" i="31"/>
  <c r="NU198" i="31"/>
  <c r="NX198" i="31"/>
  <c r="CD198" i="31" l="1"/>
  <c r="CE198" i="31"/>
  <c r="NY198" i="31"/>
  <c r="OF198" i="31"/>
  <c r="OS199" i="31" s="1"/>
  <c r="NV198" i="31"/>
  <c r="NZ198" i="31"/>
  <c r="MY198" i="31"/>
  <c r="CY199" i="31"/>
  <c r="CF198" i="31" l="1"/>
  <c r="CG198" i="31"/>
  <c r="CH198" i="31" s="1"/>
  <c r="CI198" i="31" s="1"/>
  <c r="OO199" i="31"/>
  <c r="NF199" i="31"/>
  <c r="OM199" i="31"/>
  <c r="MZ199" i="31"/>
  <c r="OZ198" i="31"/>
  <c r="OB198" i="31"/>
  <c r="OT199" i="31" s="1"/>
  <c r="OI198" i="31"/>
  <c r="OA198" i="31"/>
  <c r="MV199" i="31" s="1"/>
  <c r="CJ198" i="31" l="1"/>
  <c r="CO198" i="31" s="1"/>
  <c r="CK198" i="31"/>
  <c r="OG199" i="31"/>
  <c r="KT199" i="31"/>
  <c r="PA198" i="31"/>
  <c r="OC198" i="31"/>
  <c r="OD199" i="31" s="1"/>
  <c r="OH199" i="31" s="1"/>
  <c r="MR199" i="31"/>
  <c r="OW198" i="31"/>
  <c r="OX199" i="31"/>
  <c r="OJ198" i="31"/>
  <c r="MS199" i="31" l="1"/>
  <c r="OK199" i="31"/>
  <c r="KL199" i="31"/>
  <c r="KN200" i="31" s="1"/>
  <c r="KM199" i="31"/>
  <c r="KO200" i="31" s="1"/>
  <c r="CL198" i="31"/>
  <c r="CM198" i="31"/>
  <c r="CN198" i="31" s="1"/>
  <c r="MW199" i="31"/>
  <c r="OY199" i="31"/>
  <c r="CP198" i="31" l="1"/>
  <c r="CQ198" i="31" s="1"/>
  <c r="KP200" i="31"/>
  <c r="KR199" i="31"/>
  <c r="NJ199" i="31"/>
  <c r="NP199" i="31"/>
  <c r="NQ199" i="31"/>
  <c r="MO199" i="31"/>
  <c r="MT199" i="31"/>
  <c r="MU199" i="31"/>
  <c r="NH200" i="31"/>
  <c r="NI200" i="31" s="1"/>
  <c r="PE199" i="31"/>
  <c r="KQ199" i="31"/>
  <c r="MX199" i="31"/>
  <c r="DQ198" i="31" l="1"/>
  <c r="DR198" i="31" s="1"/>
  <c r="DS198" i="31" s="1"/>
  <c r="AX198" i="31" s="1"/>
  <c r="AY199" i="31" s="1"/>
  <c r="KU198" i="31"/>
  <c r="FX198" i="31"/>
  <c r="FY198" i="31" s="1"/>
  <c r="KX198" i="31"/>
  <c r="FU198" i="31"/>
  <c r="FW198" i="31" s="1"/>
  <c r="JR198" i="31"/>
  <c r="JS198" i="31" s="1"/>
  <c r="KC198" i="31" s="1"/>
  <c r="FE198" i="31"/>
  <c r="FF198" i="31" s="1"/>
  <c r="FG199" i="31" s="1"/>
  <c r="HO198" i="31"/>
  <c r="IZ198" i="31" s="1"/>
  <c r="GB198" i="31"/>
  <c r="GC198" i="31" s="1"/>
  <c r="GO198" i="31"/>
  <c r="FZ198" i="31"/>
  <c r="GA198" i="31" s="1"/>
  <c r="FP198" i="31"/>
  <c r="FS198" i="31" s="1"/>
  <c r="HA198" i="31" s="1"/>
  <c r="FH198" i="31"/>
  <c r="FI198" i="31" s="1"/>
  <c r="HU198" i="31" s="1"/>
  <c r="HV199" i="31" s="1"/>
  <c r="GN198" i="31"/>
  <c r="KV198" i="31" s="1"/>
  <c r="NR199" i="31"/>
  <c r="KS199" i="31"/>
  <c r="NL199" i="31"/>
  <c r="NK199" i="31"/>
  <c r="NG200" i="31"/>
  <c r="OQ200" i="31"/>
  <c r="CT198" i="31"/>
  <c r="CR198" i="31"/>
  <c r="CS198" i="31"/>
  <c r="NB199" i="31"/>
  <c r="NA199" i="31"/>
  <c r="HW198" i="31" l="1"/>
  <c r="HX199" i="31" s="1"/>
  <c r="DY198" i="31"/>
  <c r="HY198" i="31"/>
  <c r="IA198" i="31"/>
  <c r="IB198" i="31" s="1"/>
  <c r="HP198" i="31"/>
  <c r="HS198" i="31" s="1"/>
  <c r="JG198" i="31" s="1"/>
  <c r="JT199" i="31"/>
  <c r="FJ199" i="31"/>
  <c r="JU198" i="31"/>
  <c r="KE198" i="31"/>
  <c r="GQ198" i="31"/>
  <c r="KW199" i="31"/>
  <c r="HQ198" i="31"/>
  <c r="HR199" i="31" s="1"/>
  <c r="NC200" i="31"/>
  <c r="MQ200" i="31"/>
  <c r="OR200" i="31"/>
  <c r="AZ198" i="31"/>
  <c r="EN198" i="31"/>
  <c r="EM198" i="31"/>
  <c r="EW198" i="31" s="1"/>
  <c r="HT198" i="31" l="1"/>
  <c r="IC198" i="31" s="1"/>
  <c r="ID198" i="31" s="1"/>
  <c r="IF198" i="31" s="1"/>
  <c r="KH198" i="31" s="1"/>
  <c r="BB199" i="31"/>
  <c r="EQ198" i="31"/>
  <c r="DW198" i="31"/>
  <c r="DU199" i="31" s="1"/>
  <c r="ER199" i="31"/>
  <c r="IU198" i="31"/>
  <c r="IV198" i="31" s="1"/>
  <c r="JB198" i="31" l="1"/>
  <c r="IW198" i="31"/>
  <c r="KB198" i="31" s="1"/>
  <c r="BC199" i="31"/>
  <c r="KK198" i="31"/>
  <c r="IX198" i="31"/>
  <c r="GM198" i="31"/>
  <c r="DB198" i="31"/>
  <c r="DC198" i="31" s="1"/>
  <c r="DD199" i="31" s="1"/>
  <c r="DE200" i="31" s="1"/>
  <c r="IM198" i="31"/>
  <c r="DT198" i="31" s="1"/>
  <c r="DZ198" i="31" s="1"/>
  <c r="KI199" i="31"/>
  <c r="IN198" i="31"/>
  <c r="DF198" i="31"/>
  <c r="EU199" i="31"/>
  <c r="GT200" i="31" l="1"/>
  <c r="FD198" i="31"/>
  <c r="GV198" i="31"/>
  <c r="GU198" i="31"/>
  <c r="KJ199" i="31"/>
  <c r="GR198" i="31"/>
  <c r="BE199" i="31"/>
  <c r="BD199" i="31"/>
  <c r="GS198" i="31" l="1"/>
  <c r="IS198" i="31"/>
  <c r="FL199" i="31"/>
  <c r="BG199" i="31"/>
  <c r="BF199" i="31"/>
  <c r="FM199" i="31" l="1"/>
  <c r="BI199" i="31"/>
  <c r="BK199" i="31" s="1"/>
  <c r="BH199" i="31"/>
  <c r="JH198" i="31"/>
  <c r="JI198" i="31" s="1"/>
  <c r="IT198" i="31"/>
  <c r="GY198" i="31"/>
  <c r="GW198" i="31"/>
  <c r="HC198" i="31" s="1"/>
  <c r="FA199" i="31" s="1"/>
  <c r="HB199" i="31" s="1"/>
  <c r="GX198" i="31"/>
  <c r="EY198" i="31" l="1"/>
  <c r="EG198" i="31"/>
  <c r="EH199" i="31" s="1"/>
  <c r="EI199" i="31" s="1"/>
  <c r="FK199" i="31" s="1"/>
  <c r="HM198" i="31"/>
  <c r="HK199" i="31"/>
  <c r="BL199" i="31"/>
  <c r="BM199" i="31"/>
  <c r="JK198" i="31"/>
  <c r="JM198" i="31" s="1"/>
  <c r="KD198" i="31" s="1"/>
  <c r="IL199" i="31" s="1"/>
  <c r="BJ199" i="31"/>
  <c r="JZ198" i="31" l="1"/>
  <c r="KF198" i="31" s="1"/>
  <c r="IQ199" i="31" s="1"/>
  <c r="ED198" i="31"/>
  <c r="EB199" i="31" s="1"/>
  <c r="EE198" i="31"/>
  <c r="EF199" i="31" s="1"/>
  <c r="IO199" i="31" s="1"/>
  <c r="EJ198" i="31"/>
  <c r="EK199" i="31" s="1"/>
  <c r="JN198" i="31"/>
  <c r="JV198" i="31" s="1"/>
  <c r="JF199" i="31" s="1"/>
  <c r="JL198" i="31"/>
  <c r="JJ199" i="31" s="1"/>
  <c r="KA199" i="31"/>
  <c r="BN199" i="31"/>
  <c r="BO199" i="31"/>
  <c r="EZ198" i="31"/>
  <c r="DG198" i="31"/>
  <c r="DH198" i="31" s="1"/>
  <c r="DI199" i="31" s="1"/>
  <c r="EP199" i="31" l="1"/>
  <c r="ET200" i="31" s="1"/>
  <c r="EL199" i="31"/>
  <c r="FC199" i="31"/>
  <c r="EO199" i="31"/>
  <c r="ES200" i="31" s="1"/>
  <c r="EV199" i="31"/>
  <c r="JC199" i="31"/>
  <c r="JD199" i="31"/>
  <c r="IR199" i="31"/>
  <c r="JE199" i="31"/>
  <c r="JA199" i="31"/>
  <c r="JO199" i="31"/>
  <c r="IY199" i="31"/>
  <c r="JP199" i="31" s="1"/>
  <c r="JQ199" i="31" s="1"/>
  <c r="HZ199" i="31"/>
  <c r="BP199" i="31"/>
  <c r="BQ199" i="31" s="1"/>
  <c r="DP199" i="31"/>
  <c r="DJ199" i="31"/>
  <c r="DK199" i="31" s="1"/>
  <c r="GZ199" i="31"/>
  <c r="IE199" i="31" s="1"/>
  <c r="JW199" i="31"/>
  <c r="JY199" i="31"/>
  <c r="IP199" i="31"/>
  <c r="JX199" i="31" l="1"/>
  <c r="BS199" i="31"/>
  <c r="BR199" i="31"/>
  <c r="DM199" i="31"/>
  <c r="DX199" i="31"/>
  <c r="FQ199" i="31"/>
  <c r="EC199" i="31"/>
  <c r="KG199" i="31"/>
  <c r="BT199" i="31" l="1"/>
  <c r="BU199" i="31"/>
  <c r="BV199" i="31" s="1"/>
  <c r="BW199" i="31" s="1"/>
  <c r="FB199" i="31"/>
  <c r="EX199" i="31"/>
  <c r="M199" i="31" s="1"/>
  <c r="DL199" i="31"/>
  <c r="L200" i="31"/>
  <c r="BY199" i="31" l="1"/>
  <c r="BX199" i="31"/>
  <c r="MJ199" i="31"/>
  <c r="NS199" i="31" s="1"/>
  <c r="MB199" i="31"/>
  <c r="NM199" i="31" s="1"/>
  <c r="NN199" i="31" s="1"/>
  <c r="BZ199" i="31" l="1"/>
  <c r="CA199" i="31"/>
  <c r="CB199" i="31" s="1"/>
  <c r="OV200" i="31"/>
  <c r="NW199" i="31"/>
  <c r="NT199" i="31"/>
  <c r="OU200" i="31"/>
  <c r="CC199" i="31" l="1"/>
  <c r="FR199" i="31"/>
  <c r="CX199" i="31"/>
  <c r="FV199" i="31"/>
  <c r="NU199" i="31"/>
  <c r="NX199" i="31"/>
  <c r="OF199" i="31" s="1"/>
  <c r="OS200" i="31" s="1"/>
  <c r="CE199" i="31" l="1"/>
  <c r="CD199" i="31"/>
  <c r="NV199" i="31"/>
  <c r="NZ199" i="31"/>
  <c r="MY199" i="31"/>
  <c r="CY200" i="31"/>
  <c r="NY199" i="31"/>
  <c r="CF199" i="31" l="1"/>
  <c r="CG199" i="31"/>
  <c r="CH199" i="31" s="1"/>
  <c r="CI199" i="31" s="1"/>
  <c r="CK199" i="31" s="1"/>
  <c r="OB199" i="31"/>
  <c r="OT200" i="31" s="1"/>
  <c r="OI199" i="31"/>
  <c r="MZ200" i="31"/>
  <c r="OZ199" i="31"/>
  <c r="OA199" i="31"/>
  <c r="MV200" i="31" s="1"/>
  <c r="OO200" i="31"/>
  <c r="OM200" i="31"/>
  <c r="NF200" i="31"/>
  <c r="CJ199" i="31" l="1"/>
  <c r="CO199" i="31" s="1"/>
  <c r="OW199" i="31"/>
  <c r="MR200" i="31"/>
  <c r="OX200" i="31"/>
  <c r="PA199" i="31"/>
  <c r="OC199" i="31"/>
  <c r="OD200" i="31" s="1"/>
  <c r="OH200" i="31" s="1"/>
  <c r="OJ199" i="31"/>
  <c r="CL199" i="31"/>
  <c r="CM199" i="31"/>
  <c r="CN199" i="31" s="1"/>
  <c r="KT200" i="31"/>
  <c r="OG200" i="31"/>
  <c r="CP199" i="31" l="1"/>
  <c r="KX199" i="31" s="1"/>
  <c r="OY200" i="31"/>
  <c r="MW200" i="31"/>
  <c r="OK200" i="31"/>
  <c r="MS200" i="31"/>
  <c r="KM200" i="31"/>
  <c r="KO201" i="31" s="1"/>
  <c r="KL200" i="31"/>
  <c r="KN201" i="31" s="1"/>
  <c r="FX199" i="31" l="1"/>
  <c r="FY199" i="31" s="1"/>
  <c r="FH199" i="31"/>
  <c r="FI199" i="31" s="1"/>
  <c r="FJ200" i="31" s="1"/>
  <c r="FZ199" i="31"/>
  <c r="GA199" i="31" s="1"/>
  <c r="FU199" i="31"/>
  <c r="FW199" i="31" s="1"/>
  <c r="GB199" i="31"/>
  <c r="GC199" i="31" s="1"/>
  <c r="GO199" i="31"/>
  <c r="FP199" i="31"/>
  <c r="FS199" i="31" s="1"/>
  <c r="HA199" i="31" s="1"/>
  <c r="FE199" i="31"/>
  <c r="FF199" i="31" s="1"/>
  <c r="FG200" i="31" s="1"/>
  <c r="HO199" i="31"/>
  <c r="HP199" i="31" s="1"/>
  <c r="JR199" i="31"/>
  <c r="JS199" i="31" s="1"/>
  <c r="JU199" i="31" s="1"/>
  <c r="DQ199" i="31"/>
  <c r="DR199" i="31" s="1"/>
  <c r="DS199" i="31" s="1"/>
  <c r="AX199" i="31" s="1"/>
  <c r="AY200" i="31" s="1"/>
  <c r="CQ199" i="31"/>
  <c r="CT199" i="31" s="1"/>
  <c r="KU199" i="31"/>
  <c r="GN199" i="31" s="1"/>
  <c r="KV199" i="31" s="1"/>
  <c r="KP201" i="31"/>
  <c r="KR200" i="31"/>
  <c r="NP200" i="31"/>
  <c r="NQ200" i="31"/>
  <c r="NJ200" i="31"/>
  <c r="NH201" i="31"/>
  <c r="NI201" i="31" s="1"/>
  <c r="MU200" i="31"/>
  <c r="MO200" i="31"/>
  <c r="MT200" i="31"/>
  <c r="PE200" i="31"/>
  <c r="HU199" i="31"/>
  <c r="HV200" i="31" s="1"/>
  <c r="KQ200" i="31"/>
  <c r="MX200" i="31"/>
  <c r="KW200" i="31" l="1"/>
  <c r="HQ199" i="31"/>
  <c r="HR200" i="31" s="1"/>
  <c r="GQ199" i="31"/>
  <c r="DY199" i="31"/>
  <c r="HY199" i="31"/>
  <c r="HW199" i="31"/>
  <c r="HX200" i="31" s="1"/>
  <c r="IZ199" i="31"/>
  <c r="IA199" i="31"/>
  <c r="IB199" i="31" s="1"/>
  <c r="CR199" i="31"/>
  <c r="CS199" i="31"/>
  <c r="KE199" i="31"/>
  <c r="JT200" i="31"/>
  <c r="KC199" i="31"/>
  <c r="KS200" i="31"/>
  <c r="HS199" i="31"/>
  <c r="JG199" i="31" s="1"/>
  <c r="HT199" i="31"/>
  <c r="NL200" i="31"/>
  <c r="NK200" i="31"/>
  <c r="NG201" i="31"/>
  <c r="OQ201" i="31"/>
  <c r="EM199" i="31"/>
  <c r="EW199" i="31" s="1"/>
  <c r="AZ199" i="31"/>
  <c r="EN199" i="31"/>
  <c r="NR200" i="31"/>
  <c r="NB200" i="31"/>
  <c r="NA200" i="31"/>
  <c r="IC199" i="31" l="1"/>
  <c r="ID199" i="31" s="1"/>
  <c r="IF199" i="31" s="1"/>
  <c r="KH199" i="31" s="1"/>
  <c r="JB199" i="31"/>
  <c r="OR201" i="31"/>
  <c r="NC201" i="31"/>
  <c r="MQ201" i="31"/>
  <c r="BB200" i="31"/>
  <c r="DW199" i="31"/>
  <c r="DU200" i="31" s="1"/>
  <c r="IW199" i="31"/>
  <c r="EQ199" i="31"/>
  <c r="ER200" i="31"/>
  <c r="IU199" i="31"/>
  <c r="IV199" i="31" s="1"/>
  <c r="DB199" i="31" l="1"/>
  <c r="DC199" i="31" s="1"/>
  <c r="DD200" i="31" s="1"/>
  <c r="DE201" i="31" s="1"/>
  <c r="IM199" i="31"/>
  <c r="GM199" i="31"/>
  <c r="KI200" i="31"/>
  <c r="IN199" i="31"/>
  <c r="DF199" i="31"/>
  <c r="EU200" i="31"/>
  <c r="BC200" i="31"/>
  <c r="KK199" i="31"/>
  <c r="KB199" i="31"/>
  <c r="IX199" i="31"/>
  <c r="DT199" i="31" l="1"/>
  <c r="DZ199" i="31" s="1"/>
  <c r="GT201" i="31"/>
  <c r="BD200" i="31"/>
  <c r="BE200" i="31"/>
  <c r="GR199" i="31"/>
  <c r="FD199" i="31"/>
  <c r="GV199" i="31"/>
  <c r="GU199" i="31"/>
  <c r="KJ200" i="31"/>
  <c r="GS199" i="31" l="1"/>
  <c r="IS199" i="31"/>
  <c r="FL200" i="31"/>
  <c r="BF200" i="31"/>
  <c r="BG200" i="31"/>
  <c r="FM200" i="31" l="1"/>
  <c r="BI200" i="31"/>
  <c r="BK200" i="31" s="1"/>
  <c r="BH200" i="31"/>
  <c r="JH199" i="31"/>
  <c r="JI199" i="31" s="1"/>
  <c r="IT199" i="31"/>
  <c r="GY199" i="31"/>
  <c r="GX199" i="31"/>
  <c r="GW199" i="31"/>
  <c r="HC199" i="31" s="1"/>
  <c r="FA200" i="31" s="1"/>
  <c r="HB200" i="31" s="1"/>
  <c r="EG199" i="31" l="1"/>
  <c r="EH200" i="31" s="1"/>
  <c r="EI200" i="31" s="1"/>
  <c r="FK200" i="31" s="1"/>
  <c r="EY199" i="31"/>
  <c r="HM199" i="31"/>
  <c r="HK200" i="31"/>
  <c r="BL200" i="31"/>
  <c r="BM200" i="31"/>
  <c r="JK199" i="31"/>
  <c r="JN199" i="31" s="1"/>
  <c r="JV199" i="31" s="1"/>
  <c r="JF200" i="31" s="1"/>
  <c r="BJ200" i="31"/>
  <c r="JW200" i="31" l="1"/>
  <c r="JY200" i="31"/>
  <c r="ED199" i="31"/>
  <c r="EB200" i="31" s="1"/>
  <c r="EE199" i="31"/>
  <c r="EF200" i="31" s="1"/>
  <c r="EJ199" i="31"/>
  <c r="EK200" i="31" s="1"/>
  <c r="JZ199" i="31"/>
  <c r="KF199" i="31" s="1"/>
  <c r="IQ200" i="31" s="1"/>
  <c r="EZ199" i="31"/>
  <c r="DG199" i="31"/>
  <c r="DH199" i="31" s="1"/>
  <c r="DI200" i="31" s="1"/>
  <c r="JM199" i="31"/>
  <c r="KD199" i="31" s="1"/>
  <c r="IL200" i="31" s="1"/>
  <c r="JL199" i="31"/>
  <c r="JJ200" i="31" s="1"/>
  <c r="KA200" i="31"/>
  <c r="BN200" i="31"/>
  <c r="BO200" i="31"/>
  <c r="HZ200" i="31" l="1"/>
  <c r="JA200" i="31"/>
  <c r="JE200" i="31"/>
  <c r="JO200" i="31"/>
  <c r="IR200" i="31"/>
  <c r="IY200" i="31"/>
  <c r="JC200" i="31"/>
  <c r="JD200" i="31"/>
  <c r="GZ200" i="31"/>
  <c r="IE200" i="31" s="1"/>
  <c r="DJ200" i="31"/>
  <c r="DK200" i="31" s="1"/>
  <c r="EO200" i="31"/>
  <c r="ES201" i="31" s="1"/>
  <c r="EL200" i="31"/>
  <c r="FC200" i="31"/>
  <c r="EP200" i="31"/>
  <c r="ET201" i="31" s="1"/>
  <c r="EV200" i="31"/>
  <c r="IO200" i="31"/>
  <c r="IP200" i="31"/>
  <c r="BP200" i="31"/>
  <c r="BQ200" i="31" s="1"/>
  <c r="DP200" i="31"/>
  <c r="BR200" i="31" l="1"/>
  <c r="BS200" i="31"/>
  <c r="BU200" i="31" s="1"/>
  <c r="JX200" i="31"/>
  <c r="FQ200" i="31"/>
  <c r="DX200" i="31"/>
  <c r="DM200" i="31"/>
  <c r="EC200" i="31"/>
  <c r="JP200" i="31"/>
  <c r="JQ200" i="31" s="1"/>
  <c r="KG200" i="31"/>
  <c r="BT200" i="31" l="1"/>
  <c r="BV200" i="31"/>
  <c r="BW200" i="31" s="1"/>
  <c r="FB200" i="31"/>
  <c r="EX200" i="31"/>
  <c r="M200" i="31" s="1"/>
  <c r="DL200" i="31"/>
  <c r="L201" i="31"/>
  <c r="BY200" i="31" l="1"/>
  <c r="BX200" i="31"/>
  <c r="MJ200" i="31"/>
  <c r="NS200" i="31" s="1"/>
  <c r="MB200" i="31"/>
  <c r="BZ200" i="31" l="1"/>
  <c r="CA200" i="31"/>
  <c r="CB200" i="31" s="1"/>
  <c r="CC200" i="31" s="1"/>
  <c r="NM200" i="31"/>
  <c r="NN200" i="31" s="1"/>
  <c r="NT200" i="31"/>
  <c r="OU201" i="31"/>
  <c r="CD200" i="31" l="1"/>
  <c r="CE200" i="31"/>
  <c r="CG200" i="31" s="1"/>
  <c r="NW200" i="31"/>
  <c r="NX200" i="31" s="1"/>
  <c r="OV201" i="31"/>
  <c r="FV200" i="31"/>
  <c r="CX200" i="31"/>
  <c r="FR200" i="31"/>
  <c r="NU200" i="31"/>
  <c r="CF200" i="31" l="1"/>
  <c r="NV200" i="31"/>
  <c r="NY200" i="31"/>
  <c r="OF200" i="31"/>
  <c r="OS201" i="31" s="1"/>
  <c r="CH200" i="31"/>
  <c r="CI200" i="31" s="1"/>
  <c r="NZ200" i="31"/>
  <c r="MY200" i="31"/>
  <c r="CY201" i="31"/>
  <c r="CJ200" i="31" l="1"/>
  <c r="CO200" i="31" s="1"/>
  <c r="CK200" i="31"/>
  <c r="OA200" i="31"/>
  <c r="MV201" i="31" s="1"/>
  <c r="OG201" i="31" s="1"/>
  <c r="OB200" i="31"/>
  <c r="OT201" i="31" s="1"/>
  <c r="OI200" i="31"/>
  <c r="OM201" i="31"/>
  <c r="NF201" i="31"/>
  <c r="OO201" i="31"/>
  <c r="KT201" i="31" s="1"/>
  <c r="MZ201" i="31"/>
  <c r="OZ200" i="31"/>
  <c r="OX201" i="31" l="1"/>
  <c r="OW200" i="31"/>
  <c r="MR201" i="31"/>
  <c r="PA200" i="31"/>
  <c r="OC200" i="31"/>
  <c r="OD201" i="31" s="1"/>
  <c r="OH201" i="31" s="1"/>
  <c r="OK201" i="31" s="1"/>
  <c r="OJ200" i="31"/>
  <c r="CL200" i="31"/>
  <c r="CM200" i="31"/>
  <c r="CN200" i="31" s="1"/>
  <c r="KM201" i="31"/>
  <c r="KO202" i="31" s="1"/>
  <c r="KL201" i="31"/>
  <c r="KN202" i="31" s="1"/>
  <c r="CP200" i="31" l="1"/>
  <c r="FP200" i="31" s="1"/>
  <c r="FS200" i="31" s="1"/>
  <c r="MS201" i="31"/>
  <c r="MW201" i="31"/>
  <c r="OY201" i="31"/>
  <c r="KQ201" i="31"/>
  <c r="KP202" i="31"/>
  <c r="KR201" i="31"/>
  <c r="FZ200" i="31" l="1"/>
  <c r="GA200" i="31" s="1"/>
  <c r="FE200" i="31"/>
  <c r="FF200" i="31" s="1"/>
  <c r="FX200" i="31"/>
  <c r="FY200" i="31" s="1"/>
  <c r="GO200" i="31"/>
  <c r="KU200" i="31"/>
  <c r="FU200" i="31"/>
  <c r="FW200" i="31" s="1"/>
  <c r="KX200" i="31"/>
  <c r="GN200" i="31" s="1"/>
  <c r="GQ200" i="31" s="1"/>
  <c r="JR200" i="31"/>
  <c r="JS200" i="31" s="1"/>
  <c r="KE200" i="31" s="1"/>
  <c r="HO200" i="31"/>
  <c r="HP200" i="31" s="1"/>
  <c r="FH200" i="31"/>
  <c r="FI200" i="31" s="1"/>
  <c r="FJ201" i="31" s="1"/>
  <c r="CQ200" i="31"/>
  <c r="CS200" i="31" s="1"/>
  <c r="DQ200" i="31"/>
  <c r="DR200" i="31" s="1"/>
  <c r="DS200" i="31" s="1"/>
  <c r="AX200" i="31" s="1"/>
  <c r="AY201" i="31" s="1"/>
  <c r="GB200" i="31"/>
  <c r="GC200" i="31" s="1"/>
  <c r="KS201" i="31"/>
  <c r="HW200" i="31"/>
  <c r="HX201" i="31" s="1"/>
  <c r="FG201" i="31"/>
  <c r="NP201" i="31"/>
  <c r="MU201" i="31"/>
  <c r="NH202" i="31"/>
  <c r="NI202" i="31" s="1"/>
  <c r="NJ201" i="31"/>
  <c r="MT201" i="31"/>
  <c r="NQ201" i="31"/>
  <c r="MO201" i="31"/>
  <c r="PE201" i="31"/>
  <c r="HA200" i="31"/>
  <c r="DY200" i="31"/>
  <c r="HY200" i="31"/>
  <c r="MX201" i="31"/>
  <c r="JT201" i="31" l="1"/>
  <c r="KV200" i="31"/>
  <c r="KC200" i="31"/>
  <c r="JU200" i="31"/>
  <c r="IA200" i="31"/>
  <c r="IB200" i="31" s="1"/>
  <c r="CT200" i="31"/>
  <c r="IZ200" i="31"/>
  <c r="CR200" i="31"/>
  <c r="HU200" i="31"/>
  <c r="HV201" i="31" s="1"/>
  <c r="NR201" i="31"/>
  <c r="NL201" i="31"/>
  <c r="NK201" i="31"/>
  <c r="NG202" i="31"/>
  <c r="OQ202" i="31"/>
  <c r="HT200" i="31"/>
  <c r="HS200" i="31"/>
  <c r="JG200" i="31" s="1"/>
  <c r="NA201" i="31"/>
  <c r="NB201" i="31"/>
  <c r="EN200" i="31"/>
  <c r="EM200" i="31"/>
  <c r="EW200" i="31" s="1"/>
  <c r="AZ200" i="31"/>
  <c r="KW201" i="31" l="1"/>
  <c r="HQ200" i="31"/>
  <c r="HR201" i="31" s="1"/>
  <c r="BB201" i="31"/>
  <c r="DW200" i="31"/>
  <c r="DU201" i="31" s="1"/>
  <c r="EQ200" i="31"/>
  <c r="IW200" i="31"/>
  <c r="ER201" i="31"/>
  <c r="IU200" i="31"/>
  <c r="IV200" i="31" s="1"/>
  <c r="OR202" i="31"/>
  <c r="IC200" i="31"/>
  <c r="ID200" i="31" s="1"/>
  <c r="IF200" i="31" s="1"/>
  <c r="KH200" i="31" s="1"/>
  <c r="JB200" i="31"/>
  <c r="NC202" i="31"/>
  <c r="MQ202" i="31"/>
  <c r="GM200" i="31" l="1"/>
  <c r="IM200" i="31"/>
  <c r="DB200" i="31"/>
  <c r="DC200" i="31" s="1"/>
  <c r="DD201" i="31" s="1"/>
  <c r="DE202" i="31" s="1"/>
  <c r="KI201" i="31"/>
  <c r="IN200" i="31"/>
  <c r="DF200" i="31"/>
  <c r="EU201" i="31"/>
  <c r="KB200" i="31"/>
  <c r="IX200" i="31"/>
  <c r="KK200" i="31"/>
  <c r="BC201" i="31"/>
  <c r="GT202" i="31" l="1"/>
  <c r="DT200" i="31"/>
  <c r="DZ200" i="31" s="1"/>
  <c r="GR200" i="31"/>
  <c r="KJ201" i="31"/>
  <c r="BE201" i="31"/>
  <c r="BD201" i="31"/>
  <c r="FD200" i="31"/>
  <c r="GU200" i="31"/>
  <c r="GV200" i="31"/>
  <c r="BG201" i="31" l="1"/>
  <c r="BF201" i="31"/>
  <c r="GS200" i="31"/>
  <c r="IS200" i="31"/>
  <c r="FL201" i="31"/>
  <c r="FM201" i="31" l="1"/>
  <c r="JH200" i="31"/>
  <c r="JI200" i="31" s="1"/>
  <c r="IT200" i="31"/>
  <c r="GW200" i="31"/>
  <c r="HC200" i="31" s="1"/>
  <c r="FA201" i="31" s="1"/>
  <c r="HB201" i="31" s="1"/>
  <c r="GY200" i="31"/>
  <c r="GX200" i="31"/>
  <c r="BI201" i="31"/>
  <c r="BK201" i="31" s="1"/>
  <c r="BH201" i="31"/>
  <c r="BJ201" i="31" l="1"/>
  <c r="EG200" i="31"/>
  <c r="EH201" i="31" s="1"/>
  <c r="EI201" i="31" s="1"/>
  <c r="FK201" i="31" s="1"/>
  <c r="EY200" i="31"/>
  <c r="HM200" i="31"/>
  <c r="HK201" i="31"/>
  <c r="JK200" i="31"/>
  <c r="JZ200" i="31" s="1"/>
  <c r="KF200" i="31" s="1"/>
  <c r="IQ201" i="31" s="1"/>
  <c r="BL201" i="31"/>
  <c r="BM201" i="31"/>
  <c r="JM200" i="31" l="1"/>
  <c r="KD200" i="31" s="1"/>
  <c r="IL201" i="31" s="1"/>
  <c r="JN200" i="31"/>
  <c r="JV200" i="31" s="1"/>
  <c r="JF201" i="31" s="1"/>
  <c r="JL200" i="31"/>
  <c r="JJ201" i="31" s="1"/>
  <c r="KA201" i="31"/>
  <c r="EJ200" i="31"/>
  <c r="EK201" i="31" s="1"/>
  <c r="EE200" i="31"/>
  <c r="EF201" i="31" s="1"/>
  <c r="ED200" i="31"/>
  <c r="EB201" i="31" s="1"/>
  <c r="BO201" i="31"/>
  <c r="BN201" i="31"/>
  <c r="EZ200" i="31"/>
  <c r="DG200" i="31"/>
  <c r="DH200" i="31" s="1"/>
  <c r="DI201" i="31" s="1"/>
  <c r="JY201" i="31" l="1"/>
  <c r="JW201" i="31"/>
  <c r="DP201" i="31"/>
  <c r="GZ201" i="31"/>
  <c r="IE201" i="31" s="1"/>
  <c r="DJ201" i="31"/>
  <c r="DK201" i="31" s="1"/>
  <c r="IP201" i="31"/>
  <c r="IO201" i="31"/>
  <c r="FC201" i="31"/>
  <c r="EL201" i="31"/>
  <c r="EO201" i="31"/>
  <c r="ES202" i="31" s="1"/>
  <c r="EP201" i="31"/>
  <c r="ET202" i="31" s="1"/>
  <c r="EV201" i="31"/>
  <c r="JE201" i="31"/>
  <c r="IY201" i="31"/>
  <c r="IR201" i="31"/>
  <c r="BP201" i="31"/>
  <c r="BQ201" i="31" s="1"/>
  <c r="JC201" i="31"/>
  <c r="JD201" i="31"/>
  <c r="JA201" i="31"/>
  <c r="HZ201" i="31"/>
  <c r="JO201" i="31"/>
  <c r="KG201" i="31" l="1"/>
  <c r="JP201" i="31"/>
  <c r="JQ201" i="31" s="1"/>
  <c r="EC201" i="31"/>
  <c r="JX201" i="31"/>
  <c r="BR201" i="31"/>
  <c r="BS201" i="31"/>
  <c r="FQ201" i="31"/>
  <c r="DM201" i="31"/>
  <c r="DX201" i="31"/>
  <c r="BT201" i="31" l="1"/>
  <c r="BU201" i="31"/>
  <c r="DL201" i="31"/>
  <c r="L202" i="31"/>
  <c r="FB201" i="31"/>
  <c r="EX201" i="31"/>
  <c r="M201" i="31" s="1"/>
  <c r="MJ201" i="31" l="1"/>
  <c r="NS201" i="31" s="1"/>
  <c r="MB201" i="31"/>
  <c r="BV201" i="31"/>
  <c r="BW201" i="31" s="1"/>
  <c r="NM201" i="31" l="1"/>
  <c r="NN201" i="31" s="1"/>
  <c r="BX201" i="31"/>
  <c r="BY201" i="31"/>
  <c r="NT201" i="31"/>
  <c r="OU202" i="31"/>
  <c r="BZ201" i="31" l="1"/>
  <c r="OV202" i="31"/>
  <c r="NW201" i="31"/>
  <c r="NX201" i="31" s="1"/>
  <c r="CA201" i="31"/>
  <c r="FR201" i="31"/>
  <c r="CX201" i="31"/>
  <c r="FV201" i="31"/>
  <c r="NU201" i="31"/>
  <c r="CB201" i="31" l="1"/>
  <c r="CC201" i="31" s="1"/>
  <c r="NY201" i="31"/>
  <c r="NV201" i="31"/>
  <c r="OF201" i="31"/>
  <c r="OS202" i="31" s="1"/>
  <c r="NZ201" i="31"/>
  <c r="MY201" i="31"/>
  <c r="CY202" i="31"/>
  <c r="CD201" i="31" l="1"/>
  <c r="CE201" i="31"/>
  <c r="MZ202" i="31"/>
  <c r="OZ201" i="31"/>
  <c r="OB201" i="31"/>
  <c r="OT202" i="31" s="1"/>
  <c r="OA201" i="31"/>
  <c r="MV202" i="31" s="1"/>
  <c r="OG202" i="31" s="1"/>
  <c r="OM202" i="31"/>
  <c r="OO202" i="31"/>
  <c r="NF202" i="31"/>
  <c r="OI201" i="31"/>
  <c r="CF201" i="31" l="1"/>
  <c r="CG201" i="31"/>
  <c r="CH201" i="31" s="1"/>
  <c r="CI201" i="31" s="1"/>
  <c r="CJ201" i="31" s="1"/>
  <c r="CO201" i="31" s="1"/>
  <c r="PA201" i="31"/>
  <c r="OJ201" i="31"/>
  <c r="OY202" i="31" s="1"/>
  <c r="OC201" i="31"/>
  <c r="OD202" i="31" s="1"/>
  <c r="OH202" i="31" s="1"/>
  <c r="OK202" i="31" s="1"/>
  <c r="KT202" i="31"/>
  <c r="KL202" i="31" s="1"/>
  <c r="KN203" i="31" s="1"/>
  <c r="MR202" i="31"/>
  <c r="OX202" i="31"/>
  <c r="OW201" i="31"/>
  <c r="MW202" i="31" l="1"/>
  <c r="MX202" i="31" s="1"/>
  <c r="CK201" i="31"/>
  <c r="CL201" i="31" s="1"/>
  <c r="KM202" i="31"/>
  <c r="KO203" i="31" s="1"/>
  <c r="KP203" i="31" s="1"/>
  <c r="KQ202" i="31"/>
  <c r="MS202" i="31"/>
  <c r="CM201" i="31" l="1"/>
  <c r="CN201" i="31" s="1"/>
  <c r="CP201" i="31" s="1"/>
  <c r="KR202" i="31"/>
  <c r="KS202" i="31" s="1"/>
  <c r="NQ202" i="31"/>
  <c r="NH203" i="31"/>
  <c r="NI203" i="31" s="1"/>
  <c r="MT202" i="31"/>
  <c r="NP202" i="31"/>
  <c r="MO202" i="31"/>
  <c r="MU202" i="31"/>
  <c r="NJ202" i="31"/>
  <c r="PE202" i="31"/>
  <c r="NB202" i="31"/>
  <c r="NA202" i="31"/>
  <c r="JR201" i="31" l="1"/>
  <c r="JS201" i="31" s="1"/>
  <c r="HO201" i="31"/>
  <c r="FU201" i="31"/>
  <c r="FW201" i="31" s="1"/>
  <c r="FX201" i="31"/>
  <c r="FY201" i="31" s="1"/>
  <c r="DQ201" i="31"/>
  <c r="DR201" i="31" s="1"/>
  <c r="GB201" i="31"/>
  <c r="GC201" i="31" s="1"/>
  <c r="CQ201" i="31"/>
  <c r="FH201" i="31"/>
  <c r="FI201" i="31" s="1"/>
  <c r="FZ201" i="31"/>
  <c r="GA201" i="31" s="1"/>
  <c r="GO201" i="31"/>
  <c r="FP201" i="31"/>
  <c r="FS201" i="31" s="1"/>
  <c r="FE201" i="31"/>
  <c r="FF201" i="31" s="1"/>
  <c r="KX201" i="31"/>
  <c r="KU201" i="31"/>
  <c r="NK202" i="31"/>
  <c r="NL202" i="31"/>
  <c r="NG203" i="31"/>
  <c r="OQ203" i="31"/>
  <c r="NR202" i="31"/>
  <c r="GN201" i="31" l="1"/>
  <c r="GQ201" i="31" s="1"/>
  <c r="CT201" i="31"/>
  <c r="CR201" i="31"/>
  <c r="CS201" i="31"/>
  <c r="HW201" i="31"/>
  <c r="HX202" i="31" s="1"/>
  <c r="FG202" i="31"/>
  <c r="HA201" i="31"/>
  <c r="HY201" i="31"/>
  <c r="DY201" i="31"/>
  <c r="NC203" i="31"/>
  <c r="MQ203" i="31"/>
  <c r="IA201" i="31"/>
  <c r="IB201" i="31" s="1"/>
  <c r="HP201" i="31"/>
  <c r="IZ201" i="31"/>
  <c r="DS201" i="31"/>
  <c r="AX201" i="31" s="1"/>
  <c r="AY202" i="31" s="1"/>
  <c r="KE201" i="31"/>
  <c r="JU201" i="31"/>
  <c r="JT202" i="31"/>
  <c r="KC201" i="31"/>
  <c r="OR203" i="31"/>
  <c r="HU201" i="31"/>
  <c r="HV202" i="31" s="1"/>
  <c r="FJ202" i="31"/>
  <c r="KV201" i="31" l="1"/>
  <c r="KW202" i="31" s="1"/>
  <c r="HQ201" i="31"/>
  <c r="HR202" i="31" s="1"/>
  <c r="EN201" i="31"/>
  <c r="EM201" i="31"/>
  <c r="EW201" i="31" s="1"/>
  <c r="AZ201" i="31"/>
  <c r="HT201" i="31"/>
  <c r="HS201" i="31"/>
  <c r="JG201" i="31" s="1"/>
  <c r="IC201" i="31" l="1"/>
  <c r="ID201" i="31" s="1"/>
  <c r="IF201" i="31" s="1"/>
  <c r="KH201" i="31" s="1"/>
  <c r="JB201" i="31"/>
  <c r="BB202" i="31"/>
  <c r="DW201" i="31"/>
  <c r="DU202" i="31" s="1"/>
  <c r="EQ201" i="31"/>
  <c r="ER202" i="31"/>
  <c r="IU201" i="31"/>
  <c r="IV201" i="31" s="1"/>
  <c r="IW201" i="31" l="1"/>
  <c r="KB201" i="31" s="1"/>
  <c r="BC202" i="31"/>
  <c r="KK201" i="31"/>
  <c r="IX201" i="31"/>
  <c r="GM201" i="31"/>
  <c r="DB201" i="31"/>
  <c r="DC201" i="31" s="1"/>
  <c r="DD202" i="31" s="1"/>
  <c r="DE203" i="31" s="1"/>
  <c r="IM201" i="31"/>
  <c r="DT201" i="31" s="1"/>
  <c r="DZ201" i="31" s="1"/>
  <c r="KI202" i="31"/>
  <c r="IN201" i="31"/>
  <c r="DF201" i="31"/>
  <c r="EU202" i="31"/>
  <c r="GT203" i="31" l="1"/>
  <c r="KJ202" i="31"/>
  <c r="BD202" i="31"/>
  <c r="BE202" i="31"/>
  <c r="GR201" i="31"/>
  <c r="FD201" i="31"/>
  <c r="GU201" i="31"/>
  <c r="GV201" i="31"/>
  <c r="GS201" i="31" l="1"/>
  <c r="BF202" i="31"/>
  <c r="BG202" i="31"/>
  <c r="IS201" i="31"/>
  <c r="FL202" i="31"/>
  <c r="JH201" i="31" l="1"/>
  <c r="JI201" i="31" s="1"/>
  <c r="IT201" i="31"/>
  <c r="BH202" i="31"/>
  <c r="BI202" i="31"/>
  <c r="BK202" i="31" s="1"/>
  <c r="FM202" i="31"/>
  <c r="GX201" i="31"/>
  <c r="GW201" i="31"/>
  <c r="HC201" i="31" s="1"/>
  <c r="FA202" i="31" s="1"/>
  <c r="HB202" i="31" s="1"/>
  <c r="GY201" i="31"/>
  <c r="BL202" i="31" l="1"/>
  <c r="BM202" i="31"/>
  <c r="HM201" i="31"/>
  <c r="EY201" i="31"/>
  <c r="EG201" i="31"/>
  <c r="EH202" i="31" s="1"/>
  <c r="EI202" i="31" s="1"/>
  <c r="FK202" i="31" s="1"/>
  <c r="HK202" i="31"/>
  <c r="BJ202" i="31"/>
  <c r="JK201" i="31"/>
  <c r="JN201" i="31" s="1"/>
  <c r="JV201" i="31" s="1"/>
  <c r="JF202" i="31" s="1"/>
  <c r="JM201" i="31" l="1"/>
  <c r="KD201" i="31" s="1"/>
  <c r="IL202" i="31" s="1"/>
  <c r="JY202" i="31"/>
  <c r="JW202" i="31"/>
  <c r="JZ201" i="31"/>
  <c r="KF201" i="31" s="1"/>
  <c r="IQ202" i="31" s="1"/>
  <c r="EZ201" i="31"/>
  <c r="DG201" i="31"/>
  <c r="DH201" i="31" s="1"/>
  <c r="DI202" i="31" s="1"/>
  <c r="BN202" i="31"/>
  <c r="BO202" i="31"/>
  <c r="JL201" i="31"/>
  <c r="JJ202" i="31" s="1"/>
  <c r="KA202" i="31"/>
  <c r="ED201" i="31"/>
  <c r="EB202" i="31" s="1"/>
  <c r="EJ201" i="31"/>
  <c r="EK202" i="31" s="1"/>
  <c r="EE201" i="31"/>
  <c r="EF202" i="31" s="1"/>
  <c r="IO202" i="31" l="1"/>
  <c r="IP202" i="31"/>
  <c r="DP202" i="31"/>
  <c r="GZ202" i="31"/>
  <c r="DJ202" i="31"/>
  <c r="DK202" i="31" s="1"/>
  <c r="BP202" i="31"/>
  <c r="BQ202" i="31" s="1"/>
  <c r="HZ202" i="31"/>
  <c r="JA202" i="31"/>
  <c r="IY202" i="31"/>
  <c r="JE202" i="31"/>
  <c r="IR202" i="31"/>
  <c r="JO202" i="31"/>
  <c r="JC202" i="31"/>
  <c r="JD202" i="31"/>
  <c r="FC202" i="31"/>
  <c r="IE202" i="31"/>
  <c r="EP202" i="31"/>
  <c r="ET203" i="31" s="1"/>
  <c r="EO202" i="31"/>
  <c r="ES203" i="31" s="1"/>
  <c r="EL202" i="31"/>
  <c r="EV202" i="31"/>
  <c r="JP202" i="31" l="1"/>
  <c r="JQ202" i="31" s="1"/>
  <c r="JX202" i="31"/>
  <c r="EC202" i="31"/>
  <c r="BR202" i="31"/>
  <c r="BS202" i="31"/>
  <c r="KG202" i="31"/>
  <c r="DM202" i="31"/>
  <c r="DX202" i="31"/>
  <c r="FQ202" i="31"/>
  <c r="DL202" i="31" l="1"/>
  <c r="L203" i="31"/>
  <c r="BT202" i="31"/>
  <c r="BU202" i="31"/>
  <c r="FB202" i="31"/>
  <c r="EX202" i="31"/>
  <c r="M202" i="31" s="1"/>
  <c r="BV202" i="31" l="1"/>
  <c r="BW202" i="31" s="1"/>
  <c r="MB202" i="31"/>
  <c r="MJ202" i="31"/>
  <c r="NS202" i="31" s="1"/>
  <c r="NM202" i="31" l="1"/>
  <c r="NN202" i="31" s="1"/>
  <c r="BY202" i="31"/>
  <c r="BX202" i="31"/>
  <c r="NT202" i="31"/>
  <c r="OU203" i="31"/>
  <c r="BZ202" i="31" l="1"/>
  <c r="NW202" i="31"/>
  <c r="NX202" i="31" s="1"/>
  <c r="OF202" i="31" s="1"/>
  <c r="OS203" i="31" s="1"/>
  <c r="OV203" i="31"/>
  <c r="CA202" i="31"/>
  <c r="CX202" i="31"/>
  <c r="FV202" i="31"/>
  <c r="FR202" i="31"/>
  <c r="NU202" i="31"/>
  <c r="CB202" i="31" l="1"/>
  <c r="CC202" i="31" s="1"/>
  <c r="NZ202" i="31"/>
  <c r="MY202" i="31"/>
  <c r="CY203" i="31"/>
  <c r="NY202" i="31"/>
  <c r="NV202" i="31"/>
  <c r="CD202" i="31" l="1"/>
  <c r="CE202" i="31"/>
  <c r="CF202" i="31" s="1"/>
  <c r="OI202" i="31"/>
  <c r="OX203" i="31" s="1"/>
  <c r="MZ203" i="31"/>
  <c r="OZ202" i="31"/>
  <c r="OB202" i="31"/>
  <c r="OT203" i="31" s="1"/>
  <c r="OA202" i="31"/>
  <c r="MV203" i="31" s="1"/>
  <c r="NF203" i="31"/>
  <c r="OM203" i="31"/>
  <c r="OO203" i="31"/>
  <c r="MR203" i="31" l="1"/>
  <c r="MS203" i="31" s="1"/>
  <c r="OW202" i="31"/>
  <c r="CG202" i="31"/>
  <c r="OC202" i="31"/>
  <c r="OD203" i="31" s="1"/>
  <c r="OH203" i="31" s="1"/>
  <c r="OJ202" i="31"/>
  <c r="MW203" i="31" s="1"/>
  <c r="PA202" i="31"/>
  <c r="OG203" i="31"/>
  <c r="KT203" i="31"/>
  <c r="OK203" i="31" l="1"/>
  <c r="OY203" i="31"/>
  <c r="CH202" i="31"/>
  <c r="CI202" i="31" s="1"/>
  <c r="NQ203" i="31"/>
  <c r="NH204" i="31"/>
  <c r="NI204" i="31" s="1"/>
  <c r="MO203" i="31"/>
  <c r="MT203" i="31"/>
  <c r="NP203" i="31"/>
  <c r="NJ203" i="31"/>
  <c r="MU203" i="31"/>
  <c r="PE203" i="31"/>
  <c r="MX203" i="31"/>
  <c r="KM203" i="31"/>
  <c r="KO204" i="31" s="1"/>
  <c r="KL203" i="31"/>
  <c r="KN204" i="31" s="1"/>
  <c r="CJ202" i="31" l="1"/>
  <c r="CO202" i="31" s="1"/>
  <c r="CK202" i="31"/>
  <c r="KQ203" i="31"/>
  <c r="KP204" i="31"/>
  <c r="KR203" i="31"/>
  <c r="NK203" i="31"/>
  <c r="NL203" i="31"/>
  <c r="NG204" i="31"/>
  <c r="OQ204" i="31"/>
  <c r="NB203" i="31"/>
  <c r="NA203" i="31"/>
  <c r="NR203" i="31"/>
  <c r="CM202" i="31" l="1"/>
  <c r="CN202" i="31" s="1"/>
  <c r="CL202" i="31"/>
  <c r="KS203" i="31"/>
  <c r="OR204" i="31"/>
  <c r="NC204" i="31"/>
  <c r="MQ204" i="31"/>
  <c r="CP202" i="31" l="1"/>
  <c r="GO202" i="31" s="1"/>
  <c r="FU202" i="31" l="1"/>
  <c r="FW202" i="31" s="1"/>
  <c r="JR202" i="31"/>
  <c r="JS202" i="31" s="1"/>
  <c r="KC202" i="31" s="1"/>
  <c r="KX202" i="31"/>
  <c r="KU202" i="31"/>
  <c r="FE202" i="31"/>
  <c r="FF202" i="31" s="1"/>
  <c r="FG203" i="31" s="1"/>
  <c r="HO202" i="31"/>
  <c r="IZ202" i="31" s="1"/>
  <c r="FP202" i="31"/>
  <c r="FS202" i="31" s="1"/>
  <c r="DY202" i="31" s="1"/>
  <c r="FX202" i="31"/>
  <c r="FY202" i="31" s="1"/>
  <c r="FH202" i="31"/>
  <c r="FI202" i="31" s="1"/>
  <c r="HU202" i="31" s="1"/>
  <c r="HV203" i="31" s="1"/>
  <c r="CQ202" i="31"/>
  <c r="DQ202" i="31"/>
  <c r="DR202" i="31" s="1"/>
  <c r="DS202" i="31" s="1"/>
  <c r="AX202" i="31" s="1"/>
  <c r="AY203" i="31" s="1"/>
  <c r="GB202" i="31"/>
  <c r="GC202" i="31" s="1"/>
  <c r="FZ202" i="31"/>
  <c r="GA202" i="31" s="1"/>
  <c r="JT203" i="31"/>
  <c r="JU202" i="31"/>
  <c r="KE202" i="31" l="1"/>
  <c r="GN202" i="31"/>
  <c r="KV202" i="31" s="1"/>
  <c r="HW202" i="31"/>
  <c r="HX203" i="31" s="1"/>
  <c r="IA202" i="31"/>
  <c r="IB202" i="31" s="1"/>
  <c r="HP202" i="31"/>
  <c r="HS202" i="31" s="1"/>
  <c r="JG202" i="31" s="1"/>
  <c r="FJ203" i="31"/>
  <c r="EN202" i="31"/>
  <c r="BB203" i="31" s="1"/>
  <c r="CS202" i="31"/>
  <c r="CT202" i="31"/>
  <c r="CR202" i="31"/>
  <c r="EM202" i="31"/>
  <c r="EW202" i="31" s="1"/>
  <c r="HA202" i="31"/>
  <c r="HY202" i="31"/>
  <c r="AZ202" i="31"/>
  <c r="HT202" i="31"/>
  <c r="JB202" i="31" s="1"/>
  <c r="GQ202" i="31" l="1"/>
  <c r="KW203" i="31"/>
  <c r="HQ202" i="31"/>
  <c r="HR203" i="31" s="1"/>
  <c r="IU202" i="31"/>
  <c r="IV202" i="31" s="1"/>
  <c r="IX202" i="31" s="1"/>
  <c r="ER203" i="31"/>
  <c r="EU203" i="31" s="1"/>
  <c r="DW202" i="31"/>
  <c r="DU203" i="31" s="1"/>
  <c r="EQ202" i="31"/>
  <c r="IC202" i="31"/>
  <c r="ID202" i="31" s="1"/>
  <c r="IF202" i="31" s="1"/>
  <c r="KH202" i="31" s="1"/>
  <c r="KI203" i="31" s="1"/>
  <c r="IW202" i="31"/>
  <c r="BC203" i="31"/>
  <c r="KK202" i="31" l="1"/>
  <c r="KB202" i="31"/>
  <c r="GM202" i="31"/>
  <c r="IM202" i="31"/>
  <c r="DB202" i="31"/>
  <c r="DC202" i="31" s="1"/>
  <c r="DD203" i="31" s="1"/>
  <c r="DE204" i="31" s="1"/>
  <c r="GT204" i="31" s="1"/>
  <c r="DF202" i="31"/>
  <c r="GU202" i="31" s="1"/>
  <c r="IN202" i="31"/>
  <c r="KJ203" i="31"/>
  <c r="BD203" i="31"/>
  <c r="BE203" i="31"/>
  <c r="GR202" i="31" l="1"/>
  <c r="DT202" i="31"/>
  <c r="DZ202" i="31" s="1"/>
  <c r="FD202" i="31"/>
  <c r="FL203" i="31" s="1"/>
  <c r="GV202" i="31"/>
  <c r="BF203" i="31"/>
  <c r="BG203" i="31"/>
  <c r="GS202" i="31" l="1"/>
  <c r="GX202" i="31" s="1"/>
  <c r="IS202" i="31"/>
  <c r="JH202" i="31" s="1"/>
  <c r="JI202" i="31" s="1"/>
  <c r="FM203" i="31"/>
  <c r="BI203" i="31"/>
  <c r="BK203" i="31" s="1"/>
  <c r="BH203" i="31"/>
  <c r="GY202" i="31" l="1"/>
  <c r="GW202" i="31"/>
  <c r="HC202" i="31" s="1"/>
  <c r="FA203" i="31" s="1"/>
  <c r="HB203" i="31" s="1"/>
  <c r="IT202" i="31"/>
  <c r="HM202" i="31"/>
  <c r="EG202" i="31"/>
  <c r="EH203" i="31" s="1"/>
  <c r="EI203" i="31" s="1"/>
  <c r="FK203" i="31" s="1"/>
  <c r="EY202" i="31"/>
  <c r="HK203" i="31"/>
  <c r="BJ203" i="31"/>
  <c r="BL203" i="31"/>
  <c r="BM203" i="31"/>
  <c r="JK202" i="31"/>
  <c r="JN202" i="31" s="1"/>
  <c r="JV202" i="31" s="1"/>
  <c r="JF203" i="31" s="1"/>
  <c r="JW203" i="31" l="1"/>
  <c r="JY203" i="31"/>
  <c r="JZ202" i="31"/>
  <c r="KF202" i="31" s="1"/>
  <c r="IQ203" i="31" s="1"/>
  <c r="EZ202" i="31"/>
  <c r="DG202" i="31"/>
  <c r="DH202" i="31" s="1"/>
  <c r="DI203" i="31" s="1"/>
  <c r="JM202" i="31"/>
  <c r="KD202" i="31" s="1"/>
  <c r="IL203" i="31" s="1"/>
  <c r="JL202" i="31"/>
  <c r="JJ203" i="31" s="1"/>
  <c r="KA203" i="31"/>
  <c r="BO203" i="31"/>
  <c r="BN203" i="31"/>
  <c r="EE202" i="31"/>
  <c r="EF203" i="31" s="1"/>
  <c r="ED202" i="31"/>
  <c r="EB203" i="31" s="1"/>
  <c r="EJ202" i="31"/>
  <c r="EK203" i="31" s="1"/>
  <c r="DP203" i="31" l="1"/>
  <c r="BP203" i="31"/>
  <c r="BQ203" i="31" s="1"/>
  <c r="IR203" i="31"/>
  <c r="IY203" i="31"/>
  <c r="JA203" i="31"/>
  <c r="JO203" i="31"/>
  <c r="JE203" i="31"/>
  <c r="JC203" i="31"/>
  <c r="JD203" i="31"/>
  <c r="EP203" i="31"/>
  <c r="ET204" i="31" s="1"/>
  <c r="EL203" i="31"/>
  <c r="EO203" i="31"/>
  <c r="ES204" i="31" s="1"/>
  <c r="FC203" i="31"/>
  <c r="EV203" i="31"/>
  <c r="HZ203" i="31"/>
  <c r="IO203" i="31"/>
  <c r="IP203" i="31"/>
  <c r="DJ203" i="31"/>
  <c r="DK203" i="31" s="1"/>
  <c r="GZ203" i="31"/>
  <c r="IE203" i="31" s="1"/>
  <c r="BR203" i="31" l="1"/>
  <c r="BS203" i="31"/>
  <c r="KG203" i="31"/>
  <c r="JX203" i="31"/>
  <c r="DX203" i="31"/>
  <c r="DM203" i="31"/>
  <c r="FQ203" i="31"/>
  <c r="EC203" i="31"/>
  <c r="JP203" i="31"/>
  <c r="JQ203" i="31" s="1"/>
  <c r="BT203" i="31" l="1"/>
  <c r="BU203" i="31"/>
  <c r="BV203" i="31" s="1"/>
  <c r="BW203" i="31" s="1"/>
  <c r="EX203" i="31"/>
  <c r="M203" i="31" s="1"/>
  <c r="FB203" i="31"/>
  <c r="DL203" i="31"/>
  <c r="L204" i="31"/>
  <c r="BX203" i="31" l="1"/>
  <c r="BY203" i="31"/>
  <c r="BZ203" i="31" s="1"/>
  <c r="MJ203" i="31"/>
  <c r="NS203" i="31" s="1"/>
  <c r="MB203" i="31"/>
  <c r="NM203" i="31" s="1"/>
  <c r="NN203" i="31" s="1"/>
  <c r="CA203" i="31" l="1"/>
  <c r="CB203" i="31" s="1"/>
  <c r="NT203" i="31"/>
  <c r="OU204" i="31"/>
  <c r="OV204" i="31"/>
  <c r="NW203" i="31"/>
  <c r="CC203" i="31" l="1"/>
  <c r="NX203" i="31"/>
  <c r="FR203" i="31"/>
  <c r="FV203" i="31"/>
  <c r="CX203" i="31"/>
  <c r="NU203" i="31"/>
  <c r="CE203" i="31" l="1"/>
  <c r="CD203" i="31"/>
  <c r="NV203" i="31"/>
  <c r="NY203" i="31"/>
  <c r="MY203" i="31"/>
  <c r="NZ203" i="31"/>
  <c r="CY204" i="31"/>
  <c r="OF203" i="31"/>
  <c r="OS204" i="31" s="1"/>
  <c r="CF203" i="31" l="1"/>
  <c r="CG203" i="31"/>
  <c r="CH203" i="31" s="1"/>
  <c r="CI203" i="31" s="1"/>
  <c r="MZ204" i="31"/>
  <c r="OZ203" i="31"/>
  <c r="OB203" i="31"/>
  <c r="OT204" i="31" s="1"/>
  <c r="OI203" i="31"/>
  <c r="OA203" i="31"/>
  <c r="MV204" i="31" s="1"/>
  <c r="OO204" i="31"/>
  <c r="OM204" i="31"/>
  <c r="NF204" i="31"/>
  <c r="CK203" i="31" l="1"/>
  <c r="CJ203" i="31"/>
  <c r="CO203" i="31" s="1"/>
  <c r="OC203" i="31"/>
  <c r="OD204" i="31" s="1"/>
  <c r="OH204" i="31" s="1"/>
  <c r="OX204" i="31"/>
  <c r="MR204" i="31"/>
  <c r="OW203" i="31"/>
  <c r="PA203" i="31"/>
  <c r="OJ203" i="31"/>
  <c r="OG204" i="31"/>
  <c r="KT204" i="31"/>
  <c r="OK204" i="31" l="1"/>
  <c r="CM203" i="31"/>
  <c r="CN203" i="31" s="1"/>
  <c r="CL203" i="31"/>
  <c r="KM204" i="31"/>
  <c r="KO205" i="31" s="1"/>
  <c r="KL204" i="31"/>
  <c r="KN205" i="31" s="1"/>
  <c r="MW204" i="31"/>
  <c r="OY204" i="31"/>
  <c r="MS204" i="31"/>
  <c r="CP203" i="31" l="1"/>
  <c r="FH203" i="31" s="1"/>
  <c r="FI203" i="31" s="1"/>
  <c r="KP205" i="31"/>
  <c r="KR204" i="31"/>
  <c r="NJ204" i="31"/>
  <c r="NP204" i="31"/>
  <c r="MU204" i="31"/>
  <c r="NH205" i="31"/>
  <c r="NI205" i="31" s="1"/>
  <c r="NQ204" i="31"/>
  <c r="MT204" i="31"/>
  <c r="MO204" i="31"/>
  <c r="PE204" i="31"/>
  <c r="MX204" i="31"/>
  <c r="KQ204" i="31"/>
  <c r="FP203" i="31" l="1"/>
  <c r="FS203" i="31" s="1"/>
  <c r="HY203" i="31" s="1"/>
  <c r="KU203" i="31"/>
  <c r="GO203" i="31"/>
  <c r="JR203" i="31"/>
  <c r="JS203" i="31" s="1"/>
  <c r="KE203" i="31" s="1"/>
  <c r="CQ203" i="31"/>
  <c r="CS203" i="31" s="1"/>
  <c r="FZ203" i="31"/>
  <c r="GA203" i="31" s="1"/>
  <c r="GB203" i="31"/>
  <c r="GC203" i="31" s="1"/>
  <c r="DQ203" i="31"/>
  <c r="DR203" i="31" s="1"/>
  <c r="DS203" i="31" s="1"/>
  <c r="AX203" i="31" s="1"/>
  <c r="AY204" i="31" s="1"/>
  <c r="FU203" i="31"/>
  <c r="FW203" i="31" s="1"/>
  <c r="KX203" i="31"/>
  <c r="GN203" i="31" s="1"/>
  <c r="FX203" i="31"/>
  <c r="FY203" i="31" s="1"/>
  <c r="FE203" i="31"/>
  <c r="FF203" i="31" s="1"/>
  <c r="FG204" i="31" s="1"/>
  <c r="HO203" i="31"/>
  <c r="IA203" i="31" s="1"/>
  <c r="IB203" i="31" s="1"/>
  <c r="NR204" i="31"/>
  <c r="FJ204" i="31"/>
  <c r="HU203" i="31"/>
  <c r="HV204" i="31" s="1"/>
  <c r="KS204" i="31"/>
  <c r="NA204" i="31"/>
  <c r="NB204" i="31"/>
  <c r="NK204" i="31"/>
  <c r="NL204" i="31"/>
  <c r="NG205" i="31"/>
  <c r="OQ205" i="31"/>
  <c r="HW203" i="31" l="1"/>
  <c r="HX204" i="31" s="1"/>
  <c r="HA203" i="31"/>
  <c r="DY203" i="31"/>
  <c r="IZ203" i="31"/>
  <c r="HP203" i="31"/>
  <c r="HT203" i="31" s="1"/>
  <c r="CT203" i="31"/>
  <c r="CR203" i="31"/>
  <c r="KC203" i="31"/>
  <c r="JT204" i="31"/>
  <c r="GQ203" i="31"/>
  <c r="JU203" i="31"/>
  <c r="KV203" i="31"/>
  <c r="EN203" i="31"/>
  <c r="AZ203" i="31"/>
  <c r="EM203" i="31"/>
  <c r="EW203" i="31" s="1"/>
  <c r="NC205" i="31"/>
  <c r="MQ205" i="31"/>
  <c r="OR205" i="31"/>
  <c r="KW204" i="31" l="1"/>
  <c r="HQ203" i="31"/>
  <c r="HR204" i="31" s="1"/>
  <c r="HS203" i="31"/>
  <c r="JG203" i="31" s="1"/>
  <c r="IU203" i="31"/>
  <c r="IV203" i="31" s="1"/>
  <c r="IX203" i="31" s="1"/>
  <c r="ER204" i="31"/>
  <c r="EU204" i="31" s="1"/>
  <c r="DW203" i="31"/>
  <c r="DU204" i="31" s="1"/>
  <c r="EQ203" i="31"/>
  <c r="BB204" i="31"/>
  <c r="BC204" i="31" s="1"/>
  <c r="BD204" i="31" s="1"/>
  <c r="JB203" i="31"/>
  <c r="IC203" i="31"/>
  <c r="ID203" i="31" s="1"/>
  <c r="IF203" i="31" s="1"/>
  <c r="KH203" i="31" s="1"/>
  <c r="IW203" i="31" l="1"/>
  <c r="KB203" i="31" s="1"/>
  <c r="KK203" i="31"/>
  <c r="BE204" i="31"/>
  <c r="BG204" i="31" s="1"/>
  <c r="IM203" i="31"/>
  <c r="KI204" i="31"/>
  <c r="KJ204" i="31" s="1"/>
  <c r="DF203" i="31"/>
  <c r="GM203" i="31"/>
  <c r="IN203" i="31"/>
  <c r="DB203" i="31"/>
  <c r="DC203" i="31" s="1"/>
  <c r="DD204" i="31" s="1"/>
  <c r="DE205" i="31" s="1"/>
  <c r="BF204" i="31" l="1"/>
  <c r="GT205" i="31"/>
  <c r="GR203" i="31"/>
  <c r="GV203" i="31"/>
  <c r="GU203" i="31"/>
  <c r="FD203" i="31"/>
  <c r="DT203" i="31"/>
  <c r="DZ203" i="31" s="1"/>
  <c r="BI204" i="31"/>
  <c r="BK204" i="31" s="1"/>
  <c r="BH204" i="31"/>
  <c r="IS203" i="31" l="1"/>
  <c r="FL204" i="31"/>
  <c r="FM204" i="31" s="1"/>
  <c r="GS203" i="31"/>
  <c r="BJ204" i="31"/>
  <c r="BL204" i="31"/>
  <c r="BM204" i="31"/>
  <c r="GW203" i="31" l="1"/>
  <c r="HC203" i="31" s="1"/>
  <c r="FA204" i="31" s="1"/>
  <c r="HB204" i="31" s="1"/>
  <c r="GX203" i="31"/>
  <c r="GY203" i="31"/>
  <c r="JH203" i="31"/>
  <c r="JI203" i="31" s="1"/>
  <c r="JK203" i="31" s="1"/>
  <c r="JZ203" i="31" s="1"/>
  <c r="KF203" i="31" s="1"/>
  <c r="IQ204" i="31" s="1"/>
  <c r="IT203" i="31"/>
  <c r="BN204" i="31"/>
  <c r="BO204" i="31"/>
  <c r="JN203" i="31" l="1"/>
  <c r="JV203" i="31" s="1"/>
  <c r="JF204" i="31" s="1"/>
  <c r="JY204" i="31" s="1"/>
  <c r="JM203" i="31"/>
  <c r="KD203" i="31" s="1"/>
  <c r="IL204" i="31" s="1"/>
  <c r="JE204" i="31" s="1"/>
  <c r="HK204" i="31"/>
  <c r="EY203" i="31"/>
  <c r="HM203" i="31"/>
  <c r="EG203" i="31"/>
  <c r="EH204" i="31" s="1"/>
  <c r="EI204" i="31" s="1"/>
  <c r="FK204" i="31" s="1"/>
  <c r="JL203" i="31"/>
  <c r="JJ204" i="31" s="1"/>
  <c r="KA204" i="31"/>
  <c r="HZ204" i="31" s="1"/>
  <c r="BP204" i="31"/>
  <c r="BQ204" i="31" s="1"/>
  <c r="IR204" i="31" l="1"/>
  <c r="JO204" i="31"/>
  <c r="ED203" i="31"/>
  <c r="EB204" i="31" s="1"/>
  <c r="EJ203" i="31"/>
  <c r="EK204" i="31" s="1"/>
  <c r="EE203" i="31"/>
  <c r="EF204" i="31" s="1"/>
  <c r="JW204" i="31"/>
  <c r="DG203" i="31"/>
  <c r="DH203" i="31" s="1"/>
  <c r="DI204" i="31" s="1"/>
  <c r="DP204" i="31" s="1"/>
  <c r="EZ203" i="31"/>
  <c r="BR204" i="31"/>
  <c r="BS204" i="31"/>
  <c r="DJ204" i="31" l="1"/>
  <c r="DK204" i="31" s="1"/>
  <c r="GZ204" i="31"/>
  <c r="IP204" i="31"/>
  <c r="IO204" i="31"/>
  <c r="JD204" i="31"/>
  <c r="JC204" i="31"/>
  <c r="IY204" i="31"/>
  <c r="JA204" i="31"/>
  <c r="EP204" i="31"/>
  <c r="ET205" i="31" s="1"/>
  <c r="EV204" i="31"/>
  <c r="EO204" i="31"/>
  <c r="ES205" i="31" s="1"/>
  <c r="FC204" i="31"/>
  <c r="EL204" i="31"/>
  <c r="BT204" i="31"/>
  <c r="BU204" i="31"/>
  <c r="JP204" i="31" l="1"/>
  <c r="JQ204" i="31" s="1"/>
  <c r="IE204" i="31"/>
  <c r="KG204" i="31"/>
  <c r="JX204" i="31"/>
  <c r="EC204" i="31"/>
  <c r="DM204" i="31"/>
  <c r="FQ204" i="31"/>
  <c r="DX204" i="31"/>
  <c r="BV204" i="31"/>
  <c r="BW204" i="31" s="1"/>
  <c r="DL204" i="31" l="1"/>
  <c r="L205" i="31"/>
  <c r="EX204" i="31"/>
  <c r="M204" i="31" s="1"/>
  <c r="FB204" i="31"/>
  <c r="BX204" i="31"/>
  <c r="BY204" i="31"/>
  <c r="MJ204" i="31" l="1"/>
  <c r="NS204" i="31" s="1"/>
  <c r="MB204" i="31"/>
  <c r="BZ204" i="31"/>
  <c r="CA204" i="31"/>
  <c r="NM204" i="31" l="1"/>
  <c r="NN204" i="31" s="1"/>
  <c r="OU205" i="31"/>
  <c r="NT204" i="31"/>
  <c r="CB204" i="31"/>
  <c r="CC204" i="31" s="1"/>
  <c r="OV205" i="31" l="1"/>
  <c r="NW204" i="31"/>
  <c r="NX204" i="31" s="1"/>
  <c r="NY204" i="31" s="1"/>
  <c r="OB204" i="31" s="1"/>
  <c r="OT205" i="31" s="1"/>
  <c r="CD204" i="31"/>
  <c r="CE204" i="31"/>
  <c r="CG204" i="31" s="1"/>
  <c r="CX204" i="31"/>
  <c r="FR204" i="31"/>
  <c r="NU204" i="31"/>
  <c r="NV204" i="31" s="1"/>
  <c r="FV204" i="31"/>
  <c r="OF204" i="31" l="1"/>
  <c r="OS205" i="31" s="1"/>
  <c r="CF204" i="31"/>
  <c r="CH204" i="31"/>
  <c r="CI204" i="31" s="1"/>
  <c r="CJ204" i="31" s="1"/>
  <c r="CO204" i="31" s="1"/>
  <c r="CY205" i="31"/>
  <c r="MY204" i="31"/>
  <c r="OJ204" i="31" s="1"/>
  <c r="NZ204" i="31"/>
  <c r="OA204" i="31" s="1"/>
  <c r="MV205" i="31" s="1"/>
  <c r="OG205" i="31" s="1"/>
  <c r="PA204" i="31" l="1"/>
  <c r="CK204" i="31"/>
  <c r="CM204" i="31" s="1"/>
  <c r="CN204" i="31" s="1"/>
  <c r="OC204" i="31"/>
  <c r="OD205" i="31" s="1"/>
  <c r="OH205" i="31" s="1"/>
  <c r="OK205" i="31" s="1"/>
  <c r="MZ205" i="31"/>
  <c r="OZ204" i="31"/>
  <c r="OI204" i="31"/>
  <c r="OO205" i="31"/>
  <c r="KT205" i="31" s="1"/>
  <c r="KL205" i="31" s="1"/>
  <c r="KN206" i="31" s="1"/>
  <c r="OM205" i="31"/>
  <c r="NF205" i="31"/>
  <c r="MW205" i="31"/>
  <c r="OY205" i="31"/>
  <c r="CL204" i="31" l="1"/>
  <c r="CP204" i="31" s="1"/>
  <c r="KM205" i="31"/>
  <c r="KO206" i="31" s="1"/>
  <c r="KP206" i="31" s="1"/>
  <c r="OX205" i="31"/>
  <c r="MR205" i="31"/>
  <c r="MS205" i="31" s="1"/>
  <c r="MO205" i="31" s="1"/>
  <c r="OW204" i="31"/>
  <c r="MX205" i="31"/>
  <c r="KQ205" i="31"/>
  <c r="KR205" i="31" l="1"/>
  <c r="PE205" i="31"/>
  <c r="NP205" i="31"/>
  <c r="NH206" i="31"/>
  <c r="NI206" i="31" s="1"/>
  <c r="NJ205" i="31"/>
  <c r="NG206" i="31" s="1"/>
  <c r="MT205" i="31"/>
  <c r="MU205" i="31"/>
  <c r="NQ205" i="31"/>
  <c r="NA205" i="31"/>
  <c r="NB205" i="31"/>
  <c r="FE204" i="31"/>
  <c r="FF204" i="31" s="1"/>
  <c r="FP204" i="31"/>
  <c r="FS204" i="31" s="1"/>
  <c r="FH204" i="31"/>
  <c r="FI204" i="31" s="1"/>
  <c r="FU204" i="31"/>
  <c r="FW204" i="31" s="1"/>
  <c r="HO204" i="31"/>
  <c r="FZ204" i="31"/>
  <c r="GA204" i="31" s="1"/>
  <c r="CQ204" i="31"/>
  <c r="GO204" i="31"/>
  <c r="JR204" i="31"/>
  <c r="JS204" i="31" s="1"/>
  <c r="GB204" i="31"/>
  <c r="GC204" i="31" s="1"/>
  <c r="FX204" i="31"/>
  <c r="FY204" i="31" s="1"/>
  <c r="DQ204" i="31"/>
  <c r="DR204" i="31" s="1"/>
  <c r="KX204" i="31"/>
  <c r="KU204" i="31"/>
  <c r="KS205" i="31"/>
  <c r="NR205" i="31" l="1"/>
  <c r="GN204" i="31"/>
  <c r="KV204" i="31" s="1"/>
  <c r="NL205" i="31"/>
  <c r="NC206" i="31" s="1"/>
  <c r="NK205" i="31"/>
  <c r="OQ206" i="31"/>
  <c r="OR206" i="31" s="1"/>
  <c r="DS204" i="31"/>
  <c r="AX204" i="31" s="1"/>
  <c r="AY205" i="31" s="1"/>
  <c r="IA204" i="31"/>
  <c r="IB204" i="31" s="1"/>
  <c r="HP204" i="31"/>
  <c r="IZ204" i="31"/>
  <c r="HU204" i="31"/>
  <c r="HV205" i="31" s="1"/>
  <c r="FJ205" i="31"/>
  <c r="HA204" i="31"/>
  <c r="DY204" i="31"/>
  <c r="HY204" i="31"/>
  <c r="CS204" i="31"/>
  <c r="CR204" i="31"/>
  <c r="CT204" i="31"/>
  <c r="HW204" i="31"/>
  <c r="HX205" i="31" s="1"/>
  <c r="FG205" i="31"/>
  <c r="KE204" i="31"/>
  <c r="KC204" i="31"/>
  <c r="JU204" i="31"/>
  <c r="JT205" i="31"/>
  <c r="GQ204" i="31" l="1"/>
  <c r="KW205" i="31"/>
  <c r="HQ204" i="31"/>
  <c r="HR205" i="31" s="1"/>
  <c r="MQ206" i="31"/>
  <c r="EM204" i="31"/>
  <c r="EW204" i="31" s="1"/>
  <c r="AZ204" i="31"/>
  <c r="EN204" i="31"/>
  <c r="HT204" i="31"/>
  <c r="HS204" i="31"/>
  <c r="JG204" i="31" s="1"/>
  <c r="IC204" i="31" l="1"/>
  <c r="ID204" i="31" s="1"/>
  <c r="IF204" i="31" s="1"/>
  <c r="KH204" i="31" s="1"/>
  <c r="JB204" i="31"/>
  <c r="BB205" i="31"/>
  <c r="DW204" i="31"/>
  <c r="DU205" i="31" s="1"/>
  <c r="EQ204" i="31"/>
  <c r="ER205" i="31"/>
  <c r="IU204" i="31"/>
  <c r="IV204" i="31" s="1"/>
  <c r="IW204" i="31" l="1"/>
  <c r="KB204" i="31" s="1"/>
  <c r="BC205" i="31"/>
  <c r="IX204" i="31"/>
  <c r="KK204" i="31"/>
  <c r="EU205" i="31"/>
  <c r="DB204" i="31"/>
  <c r="DC204" i="31" s="1"/>
  <c r="DD205" i="31" s="1"/>
  <c r="DE206" i="31" s="1"/>
  <c r="IM204" i="31"/>
  <c r="GM204" i="31"/>
  <c r="KI205" i="31"/>
  <c r="IN204" i="31"/>
  <c r="DF204" i="31"/>
  <c r="DT204" i="31" l="1"/>
  <c r="DZ204" i="31" s="1"/>
  <c r="GT206" i="31"/>
  <c r="GU204" i="31"/>
  <c r="FD204" i="31"/>
  <c r="GV204" i="31"/>
  <c r="KJ205" i="31"/>
  <c r="GR204" i="31"/>
  <c r="BD205" i="31"/>
  <c r="BE205" i="31"/>
  <c r="GS204" i="31" l="1"/>
  <c r="BG205" i="31"/>
  <c r="BF205" i="31"/>
  <c r="IS204" i="31"/>
  <c r="FL205" i="31"/>
  <c r="JH204" i="31" l="1"/>
  <c r="JI204" i="31" s="1"/>
  <c r="IT204" i="31"/>
  <c r="FM205" i="31"/>
  <c r="BI205" i="31"/>
  <c r="BK205" i="31" s="1"/>
  <c r="BH205" i="31"/>
  <c r="GX204" i="31"/>
  <c r="GY204" i="31"/>
  <c r="GW204" i="31"/>
  <c r="HC204" i="31" s="1"/>
  <c r="FA205" i="31" s="1"/>
  <c r="HB205" i="31" s="1"/>
  <c r="EY204" i="31" l="1"/>
  <c r="HM204" i="31"/>
  <c r="EG204" i="31"/>
  <c r="EH205" i="31" s="1"/>
  <c r="EI205" i="31" s="1"/>
  <c r="FK205" i="31" s="1"/>
  <c r="HK205" i="31"/>
  <c r="BL205" i="31"/>
  <c r="BM205" i="31"/>
  <c r="BJ205" i="31"/>
  <c r="JK204" i="31"/>
  <c r="JN204" i="31" s="1"/>
  <c r="JV204" i="31" s="1"/>
  <c r="JF205" i="31" s="1"/>
  <c r="JW205" i="31" l="1"/>
  <c r="JY205" i="31"/>
  <c r="JM204" i="31"/>
  <c r="KD204" i="31" s="1"/>
  <c r="IL205" i="31" s="1"/>
  <c r="EE204" i="31"/>
  <c r="EF205" i="31" s="1"/>
  <c r="EJ204" i="31"/>
  <c r="EK205" i="31" s="1"/>
  <c r="ED204" i="31"/>
  <c r="EB205" i="31" s="1"/>
  <c r="EZ204" i="31"/>
  <c r="DG204" i="31"/>
  <c r="DH204" i="31" s="1"/>
  <c r="DI205" i="31" s="1"/>
  <c r="JZ204" i="31"/>
  <c r="KF204" i="31" s="1"/>
  <c r="IQ205" i="31" s="1"/>
  <c r="JL204" i="31"/>
  <c r="JJ205" i="31" s="1"/>
  <c r="KA205" i="31"/>
  <c r="BN205" i="31"/>
  <c r="BO205" i="31"/>
  <c r="DJ205" i="31" l="1"/>
  <c r="DK205" i="31" s="1"/>
  <c r="GZ205" i="31"/>
  <c r="IE205" i="31" s="1"/>
  <c r="EO205" i="31"/>
  <c r="ES206" i="31" s="1"/>
  <c r="EL205" i="31"/>
  <c r="FC205" i="31"/>
  <c r="EP205" i="31"/>
  <c r="ET206" i="31" s="1"/>
  <c r="EV205" i="31"/>
  <c r="HZ205" i="31"/>
  <c r="BP205" i="31"/>
  <c r="BQ205" i="31" s="1"/>
  <c r="IP205" i="31"/>
  <c r="IO205" i="31"/>
  <c r="DP205" i="31"/>
  <c r="JC205" i="31"/>
  <c r="JD205" i="31"/>
  <c r="JA205" i="31"/>
  <c r="IY205" i="31"/>
  <c r="JO205" i="31"/>
  <c r="JE205" i="31"/>
  <c r="IR205" i="31"/>
  <c r="KG205" i="31" l="1"/>
  <c r="BR205" i="31"/>
  <c r="BS205" i="31"/>
  <c r="JX205" i="31"/>
  <c r="JP205" i="31"/>
  <c r="JQ205" i="31" s="1"/>
  <c r="FQ205" i="31"/>
  <c r="DM205" i="31"/>
  <c r="DX205" i="31"/>
  <c r="EC205" i="31"/>
  <c r="BT205" i="31" l="1"/>
  <c r="BU205" i="31"/>
  <c r="BV205" i="31" s="1"/>
  <c r="BW205" i="31" s="1"/>
  <c r="FB205" i="31"/>
  <c r="EX205" i="31"/>
  <c r="M205" i="31" s="1"/>
  <c r="DL205" i="31"/>
  <c r="L206" i="31"/>
  <c r="BX205" i="31" l="1"/>
  <c r="BY205" i="31"/>
  <c r="CA205" i="31" s="1"/>
  <c r="MJ205" i="31"/>
  <c r="NS205" i="31" s="1"/>
  <c r="MB205" i="31"/>
  <c r="NM205" i="31" s="1"/>
  <c r="NN205" i="31" s="1"/>
  <c r="BZ205" i="31" l="1"/>
  <c r="CB205" i="31"/>
  <c r="CC205" i="31" s="1"/>
  <c r="OV206" i="31"/>
  <c r="NW205" i="31"/>
  <c r="NT205" i="31"/>
  <c r="OU206" i="31"/>
  <c r="CD205" i="31" l="1"/>
  <c r="CE205" i="31"/>
  <c r="CG205" i="31" s="1"/>
  <c r="CX205" i="31"/>
  <c r="FV205" i="31"/>
  <c r="FR205" i="31"/>
  <c r="NU205" i="31"/>
  <c r="NX205" i="31"/>
  <c r="CH205" i="31" l="1"/>
  <c r="CI205" i="31" s="1"/>
  <c r="CJ205" i="31" s="1"/>
  <c r="CO205" i="31" s="1"/>
  <c r="CF205" i="31"/>
  <c r="NY205" i="31"/>
  <c r="NV205" i="31"/>
  <c r="MY205" i="31"/>
  <c r="NZ205" i="31"/>
  <c r="CY206" i="31"/>
  <c r="OF205" i="31"/>
  <c r="OS206" i="31" s="1"/>
  <c r="CK205" i="31" l="1"/>
  <c r="CL205" i="31" s="1"/>
  <c r="OB205" i="31"/>
  <c r="OT206" i="31" s="1"/>
  <c r="OI205" i="31"/>
  <c r="OA205" i="31"/>
  <c r="MV206" i="31" s="1"/>
  <c r="OO206" i="31"/>
  <c r="OM206" i="31"/>
  <c r="NF206" i="31"/>
  <c r="MZ206" i="31"/>
  <c r="OZ205" i="31"/>
  <c r="CM205" i="31" l="1"/>
  <c r="CN205" i="31" s="1"/>
  <c r="CP205" i="31" s="1"/>
  <c r="OG206" i="31"/>
  <c r="KT206" i="31"/>
  <c r="OW205" i="31"/>
  <c r="OX206" i="31"/>
  <c r="MR206" i="31"/>
  <c r="PA205" i="31"/>
  <c r="OJ205" i="31"/>
  <c r="OC205" i="31"/>
  <c r="OD206" i="31" s="1"/>
  <c r="OH206" i="31" s="1"/>
  <c r="MS206" i="31" l="1"/>
  <c r="OK206" i="31"/>
  <c r="KL206" i="31"/>
  <c r="KN207" i="31" s="1"/>
  <c r="KM206" i="31"/>
  <c r="KO207" i="31" s="1"/>
  <c r="OY206" i="31"/>
  <c r="MW206" i="31"/>
  <c r="GB205" i="31"/>
  <c r="GC205" i="31" s="1"/>
  <c r="FP205" i="31"/>
  <c r="FS205" i="31" s="1"/>
  <c r="HO205" i="31"/>
  <c r="DQ205" i="31"/>
  <c r="DR205" i="31" s="1"/>
  <c r="FX205" i="31"/>
  <c r="FY205" i="31" s="1"/>
  <c r="FE205" i="31"/>
  <c r="FF205" i="31" s="1"/>
  <c r="JR205" i="31"/>
  <c r="JS205" i="31" s="1"/>
  <c r="CQ205" i="31"/>
  <c r="GO205" i="31"/>
  <c r="FZ205" i="31"/>
  <c r="GA205" i="31" s="1"/>
  <c r="FU205" i="31"/>
  <c r="FW205" i="31" s="1"/>
  <c r="FH205" i="31"/>
  <c r="FI205" i="31" s="1"/>
  <c r="KX205" i="31"/>
  <c r="KU205" i="31"/>
  <c r="GN205" i="31" l="1"/>
  <c r="GQ205" i="31" s="1"/>
  <c r="KQ206" i="31"/>
  <c r="KP207" i="31"/>
  <c r="KR206" i="31"/>
  <c r="HP205" i="31"/>
  <c r="IA205" i="31"/>
  <c r="IB205" i="31" s="1"/>
  <c r="IZ205" i="31"/>
  <c r="DS205" i="31"/>
  <c r="AX205" i="31" s="1"/>
  <c r="AY206" i="31" s="1"/>
  <c r="DY205" i="31"/>
  <c r="HY205" i="31"/>
  <c r="HA205" i="31"/>
  <c r="FG206" i="31"/>
  <c r="HW205" i="31"/>
  <c r="HX206" i="31" s="1"/>
  <c r="HU205" i="31"/>
  <c r="HV206" i="31" s="1"/>
  <c r="FJ206" i="31"/>
  <c r="CS205" i="31"/>
  <c r="CR205" i="31"/>
  <c r="CT205" i="31"/>
  <c r="MX206" i="31"/>
  <c r="JU205" i="31"/>
  <c r="KE205" i="31"/>
  <c r="KC205" i="31"/>
  <c r="JT206" i="31"/>
  <c r="NP206" i="31"/>
  <c r="NJ206" i="31"/>
  <c r="MT206" i="31"/>
  <c r="NQ206" i="31"/>
  <c r="MO206" i="31"/>
  <c r="NH207" i="31"/>
  <c r="NI207" i="31" s="1"/>
  <c r="MU206" i="31"/>
  <c r="PE206" i="31"/>
  <c r="KV205" i="31" l="1"/>
  <c r="KW206" i="31" s="1"/>
  <c r="HQ205" i="31"/>
  <c r="HR206" i="31" s="1"/>
  <c r="NR206" i="31"/>
  <c r="HS205" i="31"/>
  <c r="JG205" i="31" s="1"/>
  <c r="HT205" i="31"/>
  <c r="EM205" i="31"/>
  <c r="EW205" i="31" s="1"/>
  <c r="EN205" i="31"/>
  <c r="AZ205" i="31"/>
  <c r="NL206" i="31"/>
  <c r="NK206" i="31"/>
  <c r="NG207" i="31"/>
  <c r="OQ207" i="31"/>
  <c r="KS206" i="31"/>
  <c r="NB206" i="31"/>
  <c r="NA206" i="31"/>
  <c r="NC207" i="31" l="1"/>
  <c r="MQ207" i="31"/>
  <c r="IC205" i="31"/>
  <c r="ID205" i="31" s="1"/>
  <c r="IF205" i="31" s="1"/>
  <c r="KH205" i="31" s="1"/>
  <c r="JB205" i="31"/>
  <c r="OR207" i="31"/>
  <c r="BB206" i="31"/>
  <c r="IW205" i="31"/>
  <c r="DW205" i="31"/>
  <c r="DU206" i="31" s="1"/>
  <c r="EQ205" i="31"/>
  <c r="ER206" i="31"/>
  <c r="IU205" i="31"/>
  <c r="IV205" i="31" s="1"/>
  <c r="EU206" i="31" l="1"/>
  <c r="BC206" i="31"/>
  <c r="DB205" i="31"/>
  <c r="DC205" i="31" s="1"/>
  <c r="DD206" i="31" s="1"/>
  <c r="DE207" i="31" s="1"/>
  <c r="IM205" i="31"/>
  <c r="GM205" i="31"/>
  <c r="KI206" i="31"/>
  <c r="IN205" i="31"/>
  <c r="DF205" i="31"/>
  <c r="KB205" i="31"/>
  <c r="IX205" i="31"/>
  <c r="KK205" i="31"/>
  <c r="DT205" i="31" l="1"/>
  <c r="DZ205" i="31" s="1"/>
  <c r="GT207" i="31"/>
  <c r="GR205" i="31"/>
  <c r="BD206" i="31"/>
  <c r="BE206" i="31"/>
  <c r="KJ206" i="31"/>
  <c r="FD205" i="31"/>
  <c r="GV205" i="31"/>
  <c r="GU205" i="31"/>
  <c r="IS205" i="31" l="1"/>
  <c r="FL206" i="31"/>
  <c r="GS205" i="31"/>
  <c r="BG206" i="31"/>
  <c r="BF206" i="31"/>
  <c r="BI206" i="31" l="1"/>
  <c r="BK206" i="31" s="1"/>
  <c r="BH206" i="31"/>
  <c r="GX205" i="31"/>
  <c r="GW205" i="31"/>
  <c r="HC205" i="31" s="1"/>
  <c r="FA206" i="31" s="1"/>
  <c r="HB206" i="31" s="1"/>
  <c r="GY205" i="31"/>
  <c r="FM206" i="31"/>
  <c r="JH205" i="31"/>
  <c r="JI205" i="31" s="1"/>
  <c r="IT205" i="31"/>
  <c r="EG205" i="31" l="1"/>
  <c r="EH206" i="31" s="1"/>
  <c r="EI206" i="31" s="1"/>
  <c r="FK206" i="31" s="1"/>
  <c r="EY205" i="31"/>
  <c r="HM205" i="31"/>
  <c r="HK206" i="31"/>
  <c r="JK205" i="31"/>
  <c r="JN205" i="31" s="1"/>
  <c r="JV205" i="31" s="1"/>
  <c r="JF206" i="31" s="1"/>
  <c r="BL206" i="31"/>
  <c r="BM206" i="31"/>
  <c r="BJ206" i="31"/>
  <c r="JZ205" i="31" l="1"/>
  <c r="KF205" i="31" s="1"/>
  <c r="IQ206" i="31" s="1"/>
  <c r="JW206" i="31"/>
  <c r="JY206" i="31"/>
  <c r="JM205" i="31"/>
  <c r="KD205" i="31" s="1"/>
  <c r="IL206" i="31" s="1"/>
  <c r="JL205" i="31"/>
  <c r="JJ206" i="31" s="1"/>
  <c r="KA206" i="31"/>
  <c r="ED205" i="31"/>
  <c r="EB206" i="31" s="1"/>
  <c r="EJ205" i="31"/>
  <c r="EK206" i="31" s="1"/>
  <c r="EE205" i="31"/>
  <c r="EF206" i="31" s="1"/>
  <c r="BN206" i="31"/>
  <c r="BO206" i="31"/>
  <c r="EZ205" i="31"/>
  <c r="DG205" i="31"/>
  <c r="DH205" i="31" s="1"/>
  <c r="DI206" i="31" s="1"/>
  <c r="IR206" i="31" l="1"/>
  <c r="JO206" i="31"/>
  <c r="JE206" i="31"/>
  <c r="DP206" i="31"/>
  <c r="JC206" i="31"/>
  <c r="JD206" i="31"/>
  <c r="DJ206" i="31"/>
  <c r="DK206" i="31" s="1"/>
  <c r="GZ206" i="31"/>
  <c r="IE206" i="31" s="1"/>
  <c r="EO206" i="31"/>
  <c r="ES207" i="31" s="1"/>
  <c r="EP206" i="31"/>
  <c r="ET207" i="31" s="1"/>
  <c r="FC206" i="31"/>
  <c r="EL206" i="31"/>
  <c r="EV206" i="31"/>
  <c r="IY206" i="31"/>
  <c r="BP206" i="31"/>
  <c r="BQ206" i="31" s="1"/>
  <c r="HZ206" i="31"/>
  <c r="JA206" i="31"/>
  <c r="IP206" i="31"/>
  <c r="IO206" i="31"/>
  <c r="BR206" i="31" l="1"/>
  <c r="BS206" i="31"/>
  <c r="BT206" i="31" s="1"/>
  <c r="FQ206" i="31"/>
  <c r="DM206" i="31"/>
  <c r="DX206" i="31"/>
  <c r="JP206" i="31"/>
  <c r="JQ206" i="31" s="1"/>
  <c r="EC206" i="31"/>
  <c r="JX206" i="31"/>
  <c r="KG206" i="31"/>
  <c r="BU206" i="31" l="1"/>
  <c r="BV206" i="31" s="1"/>
  <c r="BW206" i="31" s="1"/>
  <c r="FB206" i="31"/>
  <c r="EX206" i="31"/>
  <c r="M206" i="31" s="1"/>
  <c r="DL206" i="31"/>
  <c r="L207" i="31"/>
  <c r="BX206" i="31" l="1"/>
  <c r="BY206" i="31"/>
  <c r="CA206" i="31" s="1"/>
  <c r="MB206" i="31"/>
  <c r="NM206" i="31" s="1"/>
  <c r="NN206" i="31" s="1"/>
  <c r="MJ206" i="31"/>
  <c r="NS206" i="31" s="1"/>
  <c r="BZ206" i="31" l="1"/>
  <c r="CB206" i="31"/>
  <c r="CC206" i="31" s="1"/>
  <c r="NT206" i="31"/>
  <c r="OU207" i="31"/>
  <c r="OV207" i="31"/>
  <c r="NW206" i="31"/>
  <c r="CD206" i="31" l="1"/>
  <c r="CE206" i="31"/>
  <c r="CF206" i="31" s="1"/>
  <c r="FR206" i="31"/>
  <c r="CX206" i="31"/>
  <c r="FV206" i="31"/>
  <c r="NU206" i="31"/>
  <c r="NX206" i="31"/>
  <c r="CG206" i="31" l="1"/>
  <c r="CH206" i="31" s="1"/>
  <c r="CI206" i="31" s="1"/>
  <c r="NY206" i="31"/>
  <c r="NV206" i="31"/>
  <c r="NZ206" i="31"/>
  <c r="MY206" i="31"/>
  <c r="CY207" i="31"/>
  <c r="OF206" i="31"/>
  <c r="OS207" i="31" s="1"/>
  <c r="CJ206" i="31" l="1"/>
  <c r="CO206" i="31" s="1"/>
  <c r="CK206" i="31"/>
  <c r="OI206" i="31"/>
  <c r="OB206" i="31"/>
  <c r="OT207" i="31" s="1"/>
  <c r="OA206" i="31"/>
  <c r="MV207" i="31" s="1"/>
  <c r="OM207" i="31"/>
  <c r="OO207" i="31"/>
  <c r="NF207" i="31"/>
  <c r="MZ207" i="31"/>
  <c r="OZ206" i="31"/>
  <c r="KT207" i="31" l="1"/>
  <c r="OG207" i="31"/>
  <c r="PA206" i="31"/>
  <c r="OJ206" i="31"/>
  <c r="MR207" i="31"/>
  <c r="OX207" i="31"/>
  <c r="OW206" i="31"/>
  <c r="OC206" i="31"/>
  <c r="OD207" i="31" s="1"/>
  <c r="OH207" i="31" s="1"/>
  <c r="CL206" i="31"/>
  <c r="CM206" i="31"/>
  <c r="CN206" i="31" s="1"/>
  <c r="OK207" i="31" l="1"/>
  <c r="MS207" i="31"/>
  <c r="MW207" i="31"/>
  <c r="OY207" i="31"/>
  <c r="CP206" i="31"/>
  <c r="KM207" i="31"/>
  <c r="KO208" i="31" s="1"/>
  <c r="KL207" i="31"/>
  <c r="KN208" i="31" s="1"/>
  <c r="JR206" i="31" l="1"/>
  <c r="JS206" i="31" s="1"/>
  <c r="FP206" i="31"/>
  <c r="FS206" i="31" s="1"/>
  <c r="DQ206" i="31"/>
  <c r="DR206" i="31" s="1"/>
  <c r="GO206" i="31"/>
  <c r="FU206" i="31"/>
  <c r="FW206" i="31" s="1"/>
  <c r="FZ206" i="31"/>
  <c r="GA206" i="31" s="1"/>
  <c r="HO206" i="31"/>
  <c r="CQ206" i="31"/>
  <c r="GB206" i="31"/>
  <c r="GC206" i="31" s="1"/>
  <c r="FE206" i="31"/>
  <c r="FF206" i="31" s="1"/>
  <c r="FX206" i="31"/>
  <c r="FY206" i="31" s="1"/>
  <c r="FH206" i="31"/>
  <c r="FI206" i="31" s="1"/>
  <c r="KX206" i="31"/>
  <c r="GN206" i="31" s="1"/>
  <c r="KU206" i="31"/>
  <c r="NP207" i="31"/>
  <c r="MT207" i="31"/>
  <c r="NJ207" i="31"/>
  <c r="NH208" i="31"/>
  <c r="NI208" i="31" s="1"/>
  <c r="MU207" i="31"/>
  <c r="NQ207" i="31"/>
  <c r="MO207" i="31"/>
  <c r="PE207" i="31"/>
  <c r="KQ207" i="31"/>
  <c r="MX207" i="31"/>
  <c r="KP208" i="31"/>
  <c r="KR207" i="31"/>
  <c r="CR206" i="31" l="1"/>
  <c r="CS206" i="31"/>
  <c r="CT206" i="31"/>
  <c r="IA206" i="31"/>
  <c r="IB206" i="31" s="1"/>
  <c r="HP206" i="31"/>
  <c r="IZ206" i="31"/>
  <c r="GQ206" i="31"/>
  <c r="KV206" i="31"/>
  <c r="NR207" i="31"/>
  <c r="HU206" i="31"/>
  <c r="HV207" i="31" s="1"/>
  <c r="FJ207" i="31"/>
  <c r="DS206" i="31"/>
  <c r="AX206" i="31" s="1"/>
  <c r="AY207" i="31" s="1"/>
  <c r="HW206" i="31"/>
  <c r="HX207" i="31" s="1"/>
  <c r="FG207" i="31"/>
  <c r="HY206" i="31"/>
  <c r="DY206" i="31"/>
  <c r="HA206" i="31"/>
  <c r="NB207" i="31"/>
  <c r="NA207" i="31"/>
  <c r="KS207" i="31"/>
  <c r="NK207" i="31"/>
  <c r="NL207" i="31"/>
  <c r="NG208" i="31"/>
  <c r="OQ208" i="31"/>
  <c r="KE206" i="31"/>
  <c r="JU206" i="31"/>
  <c r="JT207" i="31"/>
  <c r="KC206" i="31"/>
  <c r="KW207" i="31" l="1"/>
  <c r="HQ206" i="31"/>
  <c r="HR207" i="31" s="1"/>
  <c r="OR208" i="31"/>
  <c r="HT206" i="31"/>
  <c r="HS206" i="31"/>
  <c r="JG206" i="31" s="1"/>
  <c r="NC208" i="31"/>
  <c r="MQ208" i="31"/>
  <c r="EM206" i="31"/>
  <c r="EW206" i="31" s="1"/>
  <c r="EN206" i="31"/>
  <c r="AZ206" i="31"/>
  <c r="BB207" i="31" l="1"/>
  <c r="DW206" i="31"/>
  <c r="DU207" i="31" s="1"/>
  <c r="EQ206" i="31"/>
  <c r="IW206" i="31"/>
  <c r="ER207" i="31"/>
  <c r="IU206" i="31"/>
  <c r="IV206" i="31" s="1"/>
  <c r="IC206" i="31"/>
  <c r="ID206" i="31" s="1"/>
  <c r="IF206" i="31" s="1"/>
  <c r="KH206" i="31" s="1"/>
  <c r="JB206" i="31"/>
  <c r="KB206" i="31" l="1"/>
  <c r="IX206" i="31"/>
  <c r="KK206" i="31"/>
  <c r="EU207" i="31"/>
  <c r="IM206" i="31"/>
  <c r="GM206" i="31"/>
  <c r="DB206" i="31"/>
  <c r="DC206" i="31" s="1"/>
  <c r="DD207" i="31" s="1"/>
  <c r="DE208" i="31" s="1"/>
  <c r="KI207" i="31"/>
  <c r="IN206" i="31"/>
  <c r="DF206" i="31"/>
  <c r="BC207" i="31"/>
  <c r="GT208" i="31" l="1"/>
  <c r="FD206" i="31"/>
  <c r="GU206" i="31"/>
  <c r="GV206" i="31"/>
  <c r="KJ207" i="31"/>
  <c r="GR206" i="31"/>
  <c r="DT206" i="31"/>
  <c r="DZ206" i="31" s="1"/>
  <c r="BD207" i="31"/>
  <c r="BE207" i="31"/>
  <c r="BG207" i="31" l="1"/>
  <c r="BF207" i="31"/>
  <c r="IS206" i="31"/>
  <c r="FL207" i="31"/>
  <c r="GS206" i="31"/>
  <c r="FM207" i="31" l="1"/>
  <c r="GW206" i="31"/>
  <c r="HC206" i="31" s="1"/>
  <c r="FA207" i="31" s="1"/>
  <c r="HB207" i="31" s="1"/>
  <c r="GY206" i="31"/>
  <c r="GX206" i="31"/>
  <c r="JH206" i="31"/>
  <c r="JI206" i="31" s="1"/>
  <c r="IT206" i="31"/>
  <c r="BI207" i="31"/>
  <c r="BK207" i="31" s="1"/>
  <c r="BH207" i="31"/>
  <c r="BJ207" i="31" l="1"/>
  <c r="JK206" i="31"/>
  <c r="JZ206" i="31" s="1"/>
  <c r="KF206" i="31" s="1"/>
  <c r="IQ207" i="31" s="1"/>
  <c r="EY206" i="31"/>
  <c r="EG206" i="31"/>
  <c r="EH207" i="31" s="1"/>
  <c r="EI207" i="31" s="1"/>
  <c r="FK207" i="31" s="1"/>
  <c r="HM206" i="31"/>
  <c r="HK207" i="31"/>
  <c r="BL207" i="31"/>
  <c r="BM207" i="31"/>
  <c r="JN206" i="31" l="1"/>
  <c r="JV206" i="31" s="1"/>
  <c r="JF207" i="31" s="1"/>
  <c r="JW207" i="31" s="1"/>
  <c r="EZ206" i="31"/>
  <c r="DG206" i="31"/>
  <c r="DH206" i="31" s="1"/>
  <c r="DI207" i="31" s="1"/>
  <c r="BN207" i="31"/>
  <c r="BO207" i="31"/>
  <c r="JM206" i="31"/>
  <c r="KD206" i="31" s="1"/>
  <c r="IL207" i="31" s="1"/>
  <c r="JL206" i="31"/>
  <c r="JJ207" i="31" s="1"/>
  <c r="KA207" i="31"/>
  <c r="ED206" i="31"/>
  <c r="EB207" i="31" s="1"/>
  <c r="EJ206" i="31"/>
  <c r="EK207" i="31" s="1"/>
  <c r="EE206" i="31"/>
  <c r="EF207" i="31" s="1"/>
  <c r="JO207" i="31" l="1"/>
  <c r="JY207" i="31"/>
  <c r="JC207" i="31"/>
  <c r="JD207" i="31"/>
  <c r="EO207" i="31"/>
  <c r="ES208" i="31" s="1"/>
  <c r="EP207" i="31"/>
  <c r="ET208" i="31" s="1"/>
  <c r="EL207" i="31"/>
  <c r="FC207" i="31"/>
  <c r="EV207" i="31"/>
  <c r="DJ207" i="31"/>
  <c r="DK207" i="31" s="1"/>
  <c r="GZ207" i="31"/>
  <c r="IE207" i="31" s="1"/>
  <c r="JA207" i="31"/>
  <c r="HZ207" i="31"/>
  <c r="IO207" i="31"/>
  <c r="IP207" i="31"/>
  <c r="BP207" i="31"/>
  <c r="BQ207" i="31" s="1"/>
  <c r="BR207" i="31" s="1"/>
  <c r="JE207" i="31"/>
  <c r="DP207" i="31"/>
  <c r="IY207" i="31"/>
  <c r="IR207" i="31"/>
  <c r="JX207" i="31" l="1"/>
  <c r="KG207" i="31"/>
  <c r="BS207" i="31"/>
  <c r="BT207" i="31" s="1"/>
  <c r="JP207" i="31"/>
  <c r="JQ207" i="31" s="1"/>
  <c r="DX207" i="31"/>
  <c r="DM207" i="31"/>
  <c r="FQ207" i="31"/>
  <c r="EC207" i="31"/>
  <c r="BU207" i="31" l="1"/>
  <c r="BV207" i="31" s="1"/>
  <c r="BW207" i="31" s="1"/>
  <c r="FB207" i="31"/>
  <c r="EX207" i="31"/>
  <c r="M207" i="31" s="1"/>
  <c r="DL207" i="31"/>
  <c r="L208" i="31"/>
  <c r="BY207" i="31" l="1"/>
  <c r="CA207" i="31" s="1"/>
  <c r="BX207" i="31"/>
  <c r="MB207" i="31"/>
  <c r="NM207" i="31" s="1"/>
  <c r="NN207" i="31" s="1"/>
  <c r="MJ207" i="31"/>
  <c r="NS207" i="31" s="1"/>
  <c r="BZ207" i="31" l="1"/>
  <c r="NT207" i="31"/>
  <c r="OU208" i="31"/>
  <c r="OV208" i="31"/>
  <c r="NW207" i="31"/>
  <c r="CB207" i="31"/>
  <c r="CC207" i="31" s="1"/>
  <c r="CD207" i="31" l="1"/>
  <c r="CE207" i="31"/>
  <c r="CG207" i="31" s="1"/>
  <c r="FV207" i="31"/>
  <c r="FR207" i="31"/>
  <c r="CX207" i="31"/>
  <c r="NU207" i="31"/>
  <c r="NX207" i="31"/>
  <c r="OF207" i="31" s="1"/>
  <c r="OS208" i="31" s="1"/>
  <c r="CH207" i="31" l="1"/>
  <c r="CI207" i="31" s="1"/>
  <c r="CK207" i="31" s="1"/>
  <c r="CF207" i="31"/>
  <c r="NV207" i="31"/>
  <c r="NZ207" i="31"/>
  <c r="MY207" i="31"/>
  <c r="CY208" i="31"/>
  <c r="NY207" i="31"/>
  <c r="CJ207" i="31" l="1"/>
  <c r="CO207" i="31" s="1"/>
  <c r="MZ208" i="31"/>
  <c r="OZ207" i="31"/>
  <c r="OB207" i="31"/>
  <c r="OT208" i="31" s="1"/>
  <c r="OI207" i="31"/>
  <c r="OM208" i="31"/>
  <c r="OO208" i="31"/>
  <c r="NF208" i="31"/>
  <c r="CL207" i="31"/>
  <c r="CM207" i="31"/>
  <c r="CN207" i="31" s="1"/>
  <c r="OA207" i="31"/>
  <c r="MV208" i="31" s="1"/>
  <c r="CP207" i="31" l="1"/>
  <c r="CQ207" i="31" s="1"/>
  <c r="OG208" i="31"/>
  <c r="KT208" i="31"/>
  <c r="OX208" i="31"/>
  <c r="MR208" i="31"/>
  <c r="OW207" i="31"/>
  <c r="PA207" i="31"/>
  <c r="OJ207" i="31"/>
  <c r="OC207" i="31"/>
  <c r="OD208" i="31" s="1"/>
  <c r="OH208" i="31" s="1"/>
  <c r="JR207" i="31" l="1"/>
  <c r="JS207" i="31" s="1"/>
  <c r="KE207" i="31" s="1"/>
  <c r="GO207" i="31"/>
  <c r="KX207" i="31"/>
  <c r="FP207" i="31"/>
  <c r="FS207" i="31" s="1"/>
  <c r="HY207" i="31" s="1"/>
  <c r="HO207" i="31"/>
  <c r="IZ207" i="31" s="1"/>
  <c r="KU207" i="31"/>
  <c r="FU207" i="31"/>
  <c r="FW207" i="31" s="1"/>
  <c r="FX207" i="31"/>
  <c r="FY207" i="31" s="1"/>
  <c r="FZ207" i="31"/>
  <c r="GA207" i="31" s="1"/>
  <c r="FE207" i="31"/>
  <c r="FF207" i="31" s="1"/>
  <c r="FG208" i="31" s="1"/>
  <c r="GB207" i="31"/>
  <c r="GC207" i="31" s="1"/>
  <c r="FH207" i="31"/>
  <c r="FI207" i="31" s="1"/>
  <c r="HU207" i="31" s="1"/>
  <c r="HV208" i="31" s="1"/>
  <c r="DQ207" i="31"/>
  <c r="DR207" i="31" s="1"/>
  <c r="DS207" i="31" s="1"/>
  <c r="AX207" i="31" s="1"/>
  <c r="AY208" i="31" s="1"/>
  <c r="KL208" i="31"/>
  <c r="KN209" i="31" s="1"/>
  <c r="KM208" i="31"/>
  <c r="KO209" i="31" s="1"/>
  <c r="OY208" i="31"/>
  <c r="MW208" i="31"/>
  <c r="OK208" i="31"/>
  <c r="MS208" i="31"/>
  <c r="CS207" i="31"/>
  <c r="CR207" i="31"/>
  <c r="CT207" i="31"/>
  <c r="KC207" i="31" l="1"/>
  <c r="JU207" i="31"/>
  <c r="JT208" i="31"/>
  <c r="GN207" i="31"/>
  <c r="KV207" i="31" s="1"/>
  <c r="IA207" i="31"/>
  <c r="IB207" i="31" s="1"/>
  <c r="DY207" i="31"/>
  <c r="HP207" i="31"/>
  <c r="HS207" i="31" s="1"/>
  <c r="JG207" i="31" s="1"/>
  <c r="HA207" i="31"/>
  <c r="FJ208" i="31"/>
  <c r="HW207" i="31"/>
  <c r="HX208" i="31" s="1"/>
  <c r="MX208" i="31"/>
  <c r="EM207" i="31"/>
  <c r="EW207" i="31" s="1"/>
  <c r="EN207" i="31"/>
  <c r="AZ207" i="31"/>
  <c r="KP209" i="31"/>
  <c r="KR208" i="31"/>
  <c r="MO208" i="31"/>
  <c r="MT208" i="31"/>
  <c r="NH209" i="31"/>
  <c r="NI209" i="31" s="1"/>
  <c r="MU208" i="31"/>
  <c r="NQ208" i="31"/>
  <c r="NP208" i="31"/>
  <c r="NJ208" i="31"/>
  <c r="PE208" i="31"/>
  <c r="KQ208" i="31"/>
  <c r="GQ207" i="31" l="1"/>
  <c r="HT207" i="31"/>
  <c r="IC207" i="31" s="1"/>
  <c r="ID207" i="31" s="1"/>
  <c r="IF207" i="31" s="1"/>
  <c r="KH207" i="31" s="1"/>
  <c r="KW208" i="31"/>
  <c r="HQ207" i="31"/>
  <c r="HR208" i="31" s="1"/>
  <c r="NR208" i="31"/>
  <c r="KS208" i="31"/>
  <c r="NK208" i="31"/>
  <c r="NL208" i="31"/>
  <c r="NG209" i="31"/>
  <c r="OQ209" i="31"/>
  <c r="NB208" i="31"/>
  <c r="NA208" i="31"/>
  <c r="BB208" i="31"/>
  <c r="EQ207" i="31"/>
  <c r="DW207" i="31"/>
  <c r="DU208" i="31" s="1"/>
  <c r="IW207" i="31"/>
  <c r="ER208" i="31"/>
  <c r="IU207" i="31"/>
  <c r="IV207" i="31" s="1"/>
  <c r="JB207" i="31" l="1"/>
  <c r="OR209" i="31"/>
  <c r="BC208" i="31"/>
  <c r="NC209" i="31"/>
  <c r="MQ209" i="31"/>
  <c r="KB207" i="31"/>
  <c r="IX207" i="31"/>
  <c r="KK207" i="31"/>
  <c r="EU208" i="31"/>
  <c r="DB207" i="31"/>
  <c r="DC207" i="31" s="1"/>
  <c r="DD208" i="31" s="1"/>
  <c r="DE209" i="31" s="1"/>
  <c r="GM207" i="31"/>
  <c r="IM207" i="31"/>
  <c r="KI208" i="31"/>
  <c r="IN207" i="31"/>
  <c r="DF207" i="31"/>
  <c r="GT209" i="31" l="1"/>
  <c r="DT207" i="31"/>
  <c r="DZ207" i="31" s="1"/>
  <c r="GR207" i="31"/>
  <c r="BD208" i="31"/>
  <c r="BE208" i="31"/>
  <c r="KJ208" i="31"/>
  <c r="FD207" i="31"/>
  <c r="GU207" i="31"/>
  <c r="GV207" i="31"/>
  <c r="BF208" i="31" l="1"/>
  <c r="BG208" i="31"/>
  <c r="GS207" i="31"/>
  <c r="IS207" i="31"/>
  <c r="FL208" i="31"/>
  <c r="FM208" i="31" l="1"/>
  <c r="BH208" i="31"/>
  <c r="BI208" i="31"/>
  <c r="BK208" i="31" s="1"/>
  <c r="JH207" i="31"/>
  <c r="JI207" i="31" s="1"/>
  <c r="IT207" i="31"/>
  <c r="GX207" i="31"/>
  <c r="GY207" i="31"/>
  <c r="GW207" i="31"/>
  <c r="HC207" i="31" s="1"/>
  <c r="FA208" i="31" s="1"/>
  <c r="HB208" i="31" s="1"/>
  <c r="BJ208" i="31" l="1"/>
  <c r="HM207" i="31"/>
  <c r="EG207" i="31"/>
  <c r="EH208" i="31" s="1"/>
  <c r="EI208" i="31" s="1"/>
  <c r="FK208" i="31" s="1"/>
  <c r="EY207" i="31"/>
  <c r="HK208" i="31"/>
  <c r="BL208" i="31"/>
  <c r="BM208" i="31"/>
  <c r="JK207" i="31"/>
  <c r="JZ207" i="31" l="1"/>
  <c r="KF207" i="31" s="1"/>
  <c r="IQ208" i="31" s="1"/>
  <c r="JL207" i="31"/>
  <c r="JJ208" i="31" s="1"/>
  <c r="KA208" i="31"/>
  <c r="JM207" i="31"/>
  <c r="KD207" i="31" s="1"/>
  <c r="IL208" i="31" s="1"/>
  <c r="EE207" i="31"/>
  <c r="EF208" i="31" s="1"/>
  <c r="ED207" i="31"/>
  <c r="EB208" i="31" s="1"/>
  <c r="EJ207" i="31"/>
  <c r="EK208" i="31" s="1"/>
  <c r="JN207" i="31"/>
  <c r="JV207" i="31" s="1"/>
  <c r="JF208" i="31" s="1"/>
  <c r="EZ207" i="31"/>
  <c r="DG207" i="31"/>
  <c r="DH207" i="31" s="1"/>
  <c r="DI208" i="31" s="1"/>
  <c r="BN208" i="31"/>
  <c r="BO208" i="31"/>
  <c r="DP208" i="31" l="1"/>
  <c r="HZ208" i="31"/>
  <c r="JC208" i="31"/>
  <c r="JD208" i="31"/>
  <c r="FC208" i="31"/>
  <c r="EL208" i="31"/>
  <c r="EO208" i="31"/>
  <c r="ES209" i="31" s="1"/>
  <c r="EP208" i="31"/>
  <c r="ET209" i="31" s="1"/>
  <c r="EV208" i="31"/>
  <c r="GZ208" i="31"/>
  <c r="IE208" i="31" s="1"/>
  <c r="DJ208" i="31"/>
  <c r="DK208" i="31" s="1"/>
  <c r="BP208" i="31"/>
  <c r="BQ208" i="31" s="1"/>
  <c r="JE208" i="31"/>
  <c r="IP208" i="31"/>
  <c r="IO208" i="31"/>
  <c r="JY208" i="31"/>
  <c r="JW208" i="31"/>
  <c r="IY208" i="31"/>
  <c r="JA208" i="31"/>
  <c r="IR208" i="31"/>
  <c r="JO208" i="31"/>
  <c r="DM208" i="31" l="1"/>
  <c r="FQ208" i="31"/>
  <c r="DX208" i="31"/>
  <c r="JP208" i="31"/>
  <c r="JQ208" i="31" s="1"/>
  <c r="EC208" i="31"/>
  <c r="JX208" i="31"/>
  <c r="KG208" i="31"/>
  <c r="BR208" i="31"/>
  <c r="BS208" i="31"/>
  <c r="FB208" i="31" l="1"/>
  <c r="EX208" i="31"/>
  <c r="M208" i="31" s="1"/>
  <c r="BT208" i="31"/>
  <c r="BU208" i="31"/>
  <c r="DL208" i="31"/>
  <c r="L209" i="31"/>
  <c r="MB208" i="31" l="1"/>
  <c r="NM208" i="31" s="1"/>
  <c r="NN208" i="31" s="1"/>
  <c r="MJ208" i="31"/>
  <c r="NS208" i="31" s="1"/>
  <c r="BV208" i="31"/>
  <c r="BW208" i="31" s="1"/>
  <c r="BX208" i="31" l="1"/>
  <c r="BY208" i="31"/>
  <c r="NT208" i="31"/>
  <c r="OU209" i="31"/>
  <c r="OV209" i="31"/>
  <c r="NW208" i="31"/>
  <c r="BZ208" i="31" l="1"/>
  <c r="CA208" i="31"/>
  <c r="CB208" i="31" s="1"/>
  <c r="FR208" i="31"/>
  <c r="CX208" i="31"/>
  <c r="FV208" i="31"/>
  <c r="NU208" i="31"/>
  <c r="NX208" i="31"/>
  <c r="CC208" i="31" l="1"/>
  <c r="NY208" i="31"/>
  <c r="NV208" i="31"/>
  <c r="NZ208" i="31"/>
  <c r="MY208" i="31"/>
  <c r="CY209" i="31"/>
  <c r="OF208" i="31"/>
  <c r="OS209" i="31" s="1"/>
  <c r="CD208" i="31" l="1"/>
  <c r="CE208" i="31"/>
  <c r="OI208" i="31"/>
  <c r="OB208" i="31"/>
  <c r="OT209" i="31" s="1"/>
  <c r="OA208" i="31"/>
  <c r="MV209" i="31" s="1"/>
  <c r="OO209" i="31"/>
  <c r="NF209" i="31"/>
  <c r="OM209" i="31"/>
  <c r="MZ209" i="31"/>
  <c r="OZ208" i="31"/>
  <c r="CG208" i="31" l="1"/>
  <c r="CH208" i="31" s="1"/>
  <c r="CI208" i="31" s="1"/>
  <c r="CF208" i="31"/>
  <c r="KT209" i="31"/>
  <c r="OG209" i="31"/>
  <c r="OJ208" i="31"/>
  <c r="OW208" i="31"/>
  <c r="MR209" i="31"/>
  <c r="OX209" i="31"/>
  <c r="PA208" i="31"/>
  <c r="OC208" i="31"/>
  <c r="OD209" i="31" s="1"/>
  <c r="OH209" i="31" s="1"/>
  <c r="CK208" i="31" l="1"/>
  <c r="CJ208" i="31"/>
  <c r="CO208" i="31" s="1"/>
  <c r="MS209" i="31"/>
  <c r="MW209" i="31"/>
  <c r="OY209" i="31"/>
  <c r="OK209" i="31"/>
  <c r="KM209" i="31"/>
  <c r="KO210" i="31" s="1"/>
  <c r="KL209" i="31"/>
  <c r="KN210" i="31" s="1"/>
  <c r="CL208" i="31" l="1"/>
  <c r="CM208" i="31"/>
  <c r="CN208" i="31" s="1"/>
  <c r="KQ209" i="31"/>
  <c r="MX209" i="31"/>
  <c r="KP210" i="31"/>
  <c r="KR209" i="31"/>
  <c r="MU209" i="31"/>
  <c r="MO209" i="31"/>
  <c r="NH210" i="31"/>
  <c r="NI210" i="31" s="1"/>
  <c r="NP209" i="31"/>
  <c r="NJ209" i="31"/>
  <c r="NQ209" i="31"/>
  <c r="MT209" i="31"/>
  <c r="PE209" i="31"/>
  <c r="CP208" i="31" l="1"/>
  <c r="NR209" i="31"/>
  <c r="KS209" i="31"/>
  <c r="NK209" i="31"/>
  <c r="NL209" i="31"/>
  <c r="NG210" i="31"/>
  <c r="OQ210" i="31"/>
  <c r="NB209" i="31"/>
  <c r="NA209" i="31"/>
  <c r="FZ208" i="31" l="1"/>
  <c r="GA208" i="31" s="1"/>
  <c r="GO208" i="31"/>
  <c r="FE208" i="31"/>
  <c r="FF208" i="31" s="1"/>
  <c r="FH208" i="31"/>
  <c r="FI208" i="31" s="1"/>
  <c r="GB208" i="31"/>
  <c r="GC208" i="31" s="1"/>
  <c r="DQ208" i="31"/>
  <c r="DR208" i="31" s="1"/>
  <c r="DS208" i="31" s="1"/>
  <c r="AX208" i="31" s="1"/>
  <c r="AY209" i="31" s="1"/>
  <c r="FP208" i="31"/>
  <c r="FS208" i="31" s="1"/>
  <c r="JR208" i="31"/>
  <c r="JS208" i="31" s="1"/>
  <c r="KX208" i="31"/>
  <c r="FX208" i="31"/>
  <c r="FY208" i="31" s="1"/>
  <c r="FU208" i="31"/>
  <c r="FW208" i="31" s="1"/>
  <c r="HO208" i="31"/>
  <c r="KU208" i="31"/>
  <c r="CQ208" i="31"/>
  <c r="NC210" i="31"/>
  <c r="MQ210" i="31"/>
  <c r="OR210" i="31"/>
  <c r="GN208" i="31" l="1"/>
  <c r="GQ208" i="31" s="1"/>
  <c r="CT208" i="31"/>
  <c r="CR208" i="31"/>
  <c r="CS208" i="31"/>
  <c r="KE208" i="31"/>
  <c r="JU208" i="31"/>
  <c r="JT209" i="31"/>
  <c r="KC208" i="31"/>
  <c r="HU208" i="31"/>
  <c r="HV209" i="31" s="1"/>
  <c r="FJ209" i="31"/>
  <c r="HY208" i="31"/>
  <c r="HA208" i="31"/>
  <c r="DY208" i="31"/>
  <c r="AZ208" i="31"/>
  <c r="HW208" i="31"/>
  <c r="HX209" i="31" s="1"/>
  <c r="FG209" i="31"/>
  <c r="EN208" i="31"/>
  <c r="IW208" i="31" s="1"/>
  <c r="IA208" i="31"/>
  <c r="IB208" i="31" s="1"/>
  <c r="HP208" i="31"/>
  <c r="IZ208" i="31"/>
  <c r="EM208" i="31"/>
  <c r="EW208" i="31" s="1"/>
  <c r="KV208" i="31" l="1"/>
  <c r="KW209" i="31" s="1"/>
  <c r="HQ208" i="31"/>
  <c r="HR209" i="31" s="1"/>
  <c r="BB209" i="31"/>
  <c r="BC209" i="31" s="1"/>
  <c r="EQ208" i="31"/>
  <c r="ER209" i="31"/>
  <c r="EU209" i="31" s="1"/>
  <c r="DW208" i="31"/>
  <c r="DU209" i="31" s="1"/>
  <c r="HT208" i="31"/>
  <c r="HS208" i="31"/>
  <c r="JG208" i="31" s="1"/>
  <c r="IU208" i="31"/>
  <c r="IV208" i="31" s="1"/>
  <c r="IX208" i="31" s="1"/>
  <c r="KB208" i="31" l="1"/>
  <c r="KK208" i="31"/>
  <c r="JB208" i="31"/>
  <c r="IC208" i="31"/>
  <c r="ID208" i="31" s="1"/>
  <c r="IF208" i="31" s="1"/>
  <c r="KH208" i="31" s="1"/>
  <c r="BD209" i="31"/>
  <c r="BE209" i="31"/>
  <c r="DF208" i="31" l="1"/>
  <c r="IN208" i="31"/>
  <c r="DB208" i="31"/>
  <c r="DC208" i="31" s="1"/>
  <c r="DD209" i="31" s="1"/>
  <c r="DE210" i="31" s="1"/>
  <c r="IM208" i="31"/>
  <c r="GM208" i="31"/>
  <c r="KI209" i="31"/>
  <c r="KJ209" i="31" s="1"/>
  <c r="BF209" i="31"/>
  <c r="BG209" i="31"/>
  <c r="DT208" i="31" l="1"/>
  <c r="DZ208" i="31" s="1"/>
  <c r="GR208" i="31"/>
  <c r="GT210" i="31"/>
  <c r="GU208" i="31"/>
  <c r="FD208" i="31"/>
  <c r="GV208" i="31"/>
  <c r="BI209" i="31"/>
  <c r="BK209" i="31" s="1"/>
  <c r="BH209" i="31"/>
  <c r="FL209" i="31" l="1"/>
  <c r="FM209" i="31" s="1"/>
  <c r="IS208" i="31"/>
  <c r="GS208" i="31"/>
  <c r="BJ209" i="31"/>
  <c r="BL209" i="31"/>
  <c r="BM209" i="31"/>
  <c r="GY208" i="31" l="1"/>
  <c r="GW208" i="31"/>
  <c r="HC208" i="31" s="1"/>
  <c r="FA209" i="31" s="1"/>
  <c r="HB209" i="31" s="1"/>
  <c r="GX208" i="31"/>
  <c r="IT208" i="31"/>
  <c r="JH208" i="31"/>
  <c r="JI208" i="31" s="1"/>
  <c r="JK208" i="31" s="1"/>
  <c r="JZ208" i="31" s="1"/>
  <c r="KF208" i="31" s="1"/>
  <c r="IQ209" i="31" s="1"/>
  <c r="BN209" i="31"/>
  <c r="BO209" i="31"/>
  <c r="KA209" i="31" l="1"/>
  <c r="HZ209" i="31" s="1"/>
  <c r="JN208" i="31"/>
  <c r="JV208" i="31" s="1"/>
  <c r="JF209" i="31" s="1"/>
  <c r="JY209" i="31" s="1"/>
  <c r="JL208" i="31"/>
  <c r="JJ209" i="31" s="1"/>
  <c r="JM208" i="31"/>
  <c r="KD208" i="31" s="1"/>
  <c r="IL209" i="31" s="1"/>
  <c r="EY208" i="31"/>
  <c r="EG208" i="31"/>
  <c r="EH209" i="31" s="1"/>
  <c r="EI209" i="31" s="1"/>
  <c r="FK209" i="31" s="1"/>
  <c r="HM208" i="31"/>
  <c r="HK209" i="31"/>
  <c r="BP209" i="31"/>
  <c r="BQ209" i="31" s="1"/>
  <c r="JO209" i="31" l="1"/>
  <c r="IR209" i="31"/>
  <c r="JE209" i="31"/>
  <c r="EE208" i="31"/>
  <c r="EF209" i="31" s="1"/>
  <c r="ED208" i="31"/>
  <c r="EB209" i="31" s="1"/>
  <c r="EJ208" i="31"/>
  <c r="EK209" i="31" s="1"/>
  <c r="EZ208" i="31"/>
  <c r="DG208" i="31"/>
  <c r="DH208" i="31" s="1"/>
  <c r="DI209" i="31" s="1"/>
  <c r="JW209" i="31"/>
  <c r="BR209" i="31"/>
  <c r="BS209" i="31"/>
  <c r="DP209" i="31" l="1"/>
  <c r="JD209" i="31"/>
  <c r="JC209" i="31"/>
  <c r="JA209" i="31"/>
  <c r="EL209" i="31"/>
  <c r="FC209" i="31"/>
  <c r="IY209" i="31"/>
  <c r="EO209" i="31"/>
  <c r="ES210" i="31" s="1"/>
  <c r="EV209" i="31"/>
  <c r="EP209" i="31"/>
  <c r="ET210" i="31" s="1"/>
  <c r="DJ209" i="31"/>
  <c r="DK209" i="31" s="1"/>
  <c r="IO209" i="31"/>
  <c r="GZ209" i="31"/>
  <c r="IP209" i="31"/>
  <c r="BT209" i="31"/>
  <c r="BU209" i="31"/>
  <c r="JP209" i="31" l="1"/>
  <c r="JQ209" i="31" s="1"/>
  <c r="IE209" i="31"/>
  <c r="KG209" i="31"/>
  <c r="EC209" i="31"/>
  <c r="JX209" i="31"/>
  <c r="FQ209" i="31"/>
  <c r="DM209" i="31"/>
  <c r="DX209" i="31"/>
  <c r="BV209" i="31"/>
  <c r="BW209" i="31" s="1"/>
  <c r="EX209" i="31" l="1"/>
  <c r="M209" i="31" s="1"/>
  <c r="FB209" i="31"/>
  <c r="DL209" i="31"/>
  <c r="L210" i="31"/>
  <c r="BY209" i="31"/>
  <c r="CA209" i="31" s="1"/>
  <c r="BX209" i="31"/>
  <c r="MJ209" i="31" l="1"/>
  <c r="NS209" i="31" s="1"/>
  <c r="MB209" i="31"/>
  <c r="NM209" i="31" s="1"/>
  <c r="NN209" i="31" s="1"/>
  <c r="BZ209" i="31"/>
  <c r="CB209" i="31"/>
  <c r="CC209" i="31" s="1"/>
  <c r="CD209" i="31" l="1"/>
  <c r="CE209" i="31"/>
  <c r="OV210" i="31"/>
  <c r="NW209" i="31"/>
  <c r="NX209" i="31" s="1"/>
  <c r="NY209" i="31" s="1"/>
  <c r="NT209" i="31"/>
  <c r="OU210" i="31"/>
  <c r="CF209" i="31" l="1"/>
  <c r="CG209" i="31"/>
  <c r="CH209" i="31" s="1"/>
  <c r="CI209" i="31" s="1"/>
  <c r="FV209" i="31"/>
  <c r="CX209" i="31"/>
  <c r="NU209" i="31"/>
  <c r="NV209" i="31" s="1"/>
  <c r="FR209" i="31"/>
  <c r="OF209" i="31"/>
  <c r="OS210" i="31" s="1"/>
  <c r="OB209" i="31"/>
  <c r="OT210" i="31" s="1"/>
  <c r="MY209" i="31" l="1"/>
  <c r="PA209" i="31" s="1"/>
  <c r="CY210" i="31"/>
  <c r="NZ209" i="31"/>
  <c r="OA209" i="31" s="1"/>
  <c r="MV210" i="31" s="1"/>
  <c r="OG210" i="31" s="1"/>
  <c r="CJ209" i="31"/>
  <c r="CO209" i="31" s="1"/>
  <c r="CK209" i="31"/>
  <c r="OC209" i="31" l="1"/>
  <c r="OD210" i="31" s="1"/>
  <c r="OH210" i="31" s="1"/>
  <c r="OK210" i="31" s="1"/>
  <c r="OJ209" i="31"/>
  <c r="MW210" i="31" s="1"/>
  <c r="OM210" i="31"/>
  <c r="NF210" i="31"/>
  <c r="OO210" i="31"/>
  <c r="KT210" i="31" s="1"/>
  <c r="KL210" i="31" s="1"/>
  <c r="KN211" i="31" s="1"/>
  <c r="OI209" i="31"/>
  <c r="MZ210" i="31"/>
  <c r="OZ209" i="31"/>
  <c r="CL209" i="31"/>
  <c r="CM209" i="31"/>
  <c r="CN209" i="31" s="1"/>
  <c r="OY210" i="31" l="1"/>
  <c r="OX210" i="31"/>
  <c r="MR210" i="31"/>
  <c r="MS210" i="31" s="1"/>
  <c r="PE210" i="31" s="1"/>
  <c r="OW209" i="31"/>
  <c r="KM210" i="31"/>
  <c r="KO211" i="31" s="1"/>
  <c r="KP211" i="31" s="1"/>
  <c r="MX210" i="31"/>
  <c r="KQ210" i="31"/>
  <c r="CP209" i="31"/>
  <c r="NQ210" i="31" l="1"/>
  <c r="MO210" i="31"/>
  <c r="NH211" i="31"/>
  <c r="NI211" i="31" s="1"/>
  <c r="MU210" i="31"/>
  <c r="NP210" i="31"/>
  <c r="KR210" i="31"/>
  <c r="KS210" i="31" s="1"/>
  <c r="MT210" i="31"/>
  <c r="NJ210" i="31"/>
  <c r="OQ211" i="31" s="1"/>
  <c r="JR209" i="31"/>
  <c r="JS209" i="31" s="1"/>
  <c r="FU209" i="31"/>
  <c r="FW209" i="31" s="1"/>
  <c r="FX209" i="31"/>
  <c r="FY209" i="31" s="1"/>
  <c r="GO209" i="31"/>
  <c r="DQ209" i="31"/>
  <c r="DR209" i="31" s="1"/>
  <c r="FE209" i="31"/>
  <c r="FF209" i="31" s="1"/>
  <c r="HO209" i="31"/>
  <c r="CQ209" i="31"/>
  <c r="FZ209" i="31"/>
  <c r="GA209" i="31" s="1"/>
  <c r="FH209" i="31"/>
  <c r="FI209" i="31" s="1"/>
  <c r="FP209" i="31"/>
  <c r="FS209" i="31" s="1"/>
  <c r="GB209" i="31"/>
  <c r="GC209" i="31" s="1"/>
  <c r="KX209" i="31"/>
  <c r="KU209" i="31"/>
  <c r="NB210" i="31"/>
  <c r="NA210" i="31"/>
  <c r="NR210" i="31" l="1"/>
  <c r="GN209" i="31"/>
  <c r="GQ209" i="31" s="1"/>
  <c r="NK210" i="31"/>
  <c r="NG211" i="31"/>
  <c r="NL210" i="31"/>
  <c r="MQ211" i="31" s="1"/>
  <c r="DS209" i="31"/>
  <c r="AX209" i="31" s="1"/>
  <c r="AY210" i="31" s="1"/>
  <c r="IA209" i="31"/>
  <c r="IB209" i="31" s="1"/>
  <c r="HP209" i="31"/>
  <c r="IZ209" i="31"/>
  <c r="HW209" i="31"/>
  <c r="HX210" i="31" s="1"/>
  <c r="FG210" i="31"/>
  <c r="HY209" i="31"/>
  <c r="HA209" i="31"/>
  <c r="DY209" i="31"/>
  <c r="HU209" i="31"/>
  <c r="HV210" i="31" s="1"/>
  <c r="FJ210" i="31"/>
  <c r="KC209" i="31"/>
  <c r="JU209" i="31"/>
  <c r="JT210" i="31"/>
  <c r="KE209" i="31"/>
  <c r="CT209" i="31"/>
  <c r="CS209" i="31"/>
  <c r="CR209" i="31"/>
  <c r="OR211" i="31"/>
  <c r="KV209" i="31" l="1"/>
  <c r="KW210" i="31" s="1"/>
  <c r="HQ209" i="31"/>
  <c r="HR210" i="31" s="1"/>
  <c r="NC211" i="31"/>
  <c r="HS209" i="31"/>
  <c r="JG209" i="31" s="1"/>
  <c r="HT209" i="31"/>
  <c r="EN209" i="31"/>
  <c r="AZ209" i="31"/>
  <c r="EM209" i="31"/>
  <c r="EW209" i="31" s="1"/>
  <c r="BB210" i="31" l="1"/>
  <c r="EQ209" i="31"/>
  <c r="DW209" i="31"/>
  <c r="DU210" i="31" s="1"/>
  <c r="ER210" i="31"/>
  <c r="IU209" i="31"/>
  <c r="IV209" i="31" s="1"/>
  <c r="IC209" i="31"/>
  <c r="ID209" i="31" s="1"/>
  <c r="IF209" i="31" s="1"/>
  <c r="KH209" i="31" s="1"/>
  <c r="JB209" i="31"/>
  <c r="IW209" i="31" l="1"/>
  <c r="KB209" i="31" s="1"/>
  <c r="IX209" i="31"/>
  <c r="KK209" i="31"/>
  <c r="EU210" i="31"/>
  <c r="BC210" i="31"/>
  <c r="IM209" i="31"/>
  <c r="DB209" i="31"/>
  <c r="DC209" i="31" s="1"/>
  <c r="DD210" i="31" s="1"/>
  <c r="DE211" i="31" s="1"/>
  <c r="GM209" i="31"/>
  <c r="KI210" i="31"/>
  <c r="IN209" i="31"/>
  <c r="DF209" i="31"/>
  <c r="DT209" i="31" l="1"/>
  <c r="DZ209" i="31" s="1"/>
  <c r="GT211" i="31"/>
  <c r="KJ210" i="31"/>
  <c r="GR209" i="31"/>
  <c r="GV209" i="31"/>
  <c r="FD209" i="31"/>
  <c r="GU209" i="31"/>
  <c r="BD210" i="31"/>
  <c r="BE210" i="31"/>
  <c r="IS209" i="31" l="1"/>
  <c r="FL210" i="31"/>
  <c r="GS209" i="31"/>
  <c r="BG210" i="31"/>
  <c r="BF210" i="31"/>
  <c r="GY209" i="31" l="1"/>
  <c r="GW209" i="31"/>
  <c r="HC209" i="31" s="1"/>
  <c r="FA210" i="31" s="1"/>
  <c r="HB210" i="31" s="1"/>
  <c r="GX209" i="31"/>
  <c r="BI210" i="31"/>
  <c r="BK210" i="31" s="1"/>
  <c r="BH210" i="31"/>
  <c r="FM210" i="31"/>
  <c r="JH209" i="31"/>
  <c r="JI209" i="31" s="1"/>
  <c r="IT209" i="31"/>
  <c r="BL210" i="31" l="1"/>
  <c r="BM210" i="31"/>
  <c r="HM209" i="31"/>
  <c r="EY209" i="31"/>
  <c r="EG209" i="31"/>
  <c r="EH210" i="31" s="1"/>
  <c r="EI210" i="31" s="1"/>
  <c r="FK210" i="31" s="1"/>
  <c r="HK210" i="31"/>
  <c r="JK209" i="31"/>
  <c r="JZ209" i="31" s="1"/>
  <c r="KF209" i="31" s="1"/>
  <c r="IQ210" i="31" s="1"/>
  <c r="BJ210" i="31"/>
  <c r="JM209" i="31" l="1"/>
  <c r="KD209" i="31" s="1"/>
  <c r="IL210" i="31" s="1"/>
  <c r="JE210" i="31" s="1"/>
  <c r="JN209" i="31"/>
  <c r="JV209" i="31" s="1"/>
  <c r="JF210" i="31" s="1"/>
  <c r="JY210" i="31" s="1"/>
  <c r="EZ209" i="31"/>
  <c r="DG209" i="31"/>
  <c r="DH209" i="31" s="1"/>
  <c r="DI210" i="31" s="1"/>
  <c r="ED209" i="31"/>
  <c r="EB210" i="31" s="1"/>
  <c r="EJ209" i="31"/>
  <c r="EK210" i="31" s="1"/>
  <c r="EE209" i="31"/>
  <c r="EF210" i="31" s="1"/>
  <c r="JL209" i="31"/>
  <c r="JJ210" i="31" s="1"/>
  <c r="KA210" i="31"/>
  <c r="BN210" i="31"/>
  <c r="BO210" i="31"/>
  <c r="IR210" i="31" l="1"/>
  <c r="JO210" i="31"/>
  <c r="JW210" i="31"/>
  <c r="BP210" i="31"/>
  <c r="BQ210" i="31" s="1"/>
  <c r="DJ210" i="31"/>
  <c r="DK210" i="31" s="1"/>
  <c r="GZ210" i="31"/>
  <c r="HZ210" i="31"/>
  <c r="JC210" i="31"/>
  <c r="JD210" i="31"/>
  <c r="IP210" i="31"/>
  <c r="EP210" i="31"/>
  <c r="ET211" i="31" s="1"/>
  <c r="FC210" i="31"/>
  <c r="EL210" i="31"/>
  <c r="EO210" i="31"/>
  <c r="ES211" i="31" s="1"/>
  <c r="EV210" i="31"/>
  <c r="IO210" i="31"/>
  <c r="DP210" i="31"/>
  <c r="IY210" i="31"/>
  <c r="JA210" i="31"/>
  <c r="KG210" i="31" l="1"/>
  <c r="IE210" i="31"/>
  <c r="BR210" i="31"/>
  <c r="BS210" i="31"/>
  <c r="BT210" i="31" s="1"/>
  <c r="JP210" i="31"/>
  <c r="JQ210" i="31" s="1"/>
  <c r="EC210" i="31"/>
  <c r="FQ210" i="31"/>
  <c r="DX210" i="31"/>
  <c r="DM210" i="31"/>
  <c r="JX210" i="31"/>
  <c r="BU210" i="31" l="1"/>
  <c r="BV210" i="31" s="1"/>
  <c r="BW210" i="31" s="1"/>
  <c r="FB210" i="31"/>
  <c r="EX210" i="31"/>
  <c r="M210" i="31" s="1"/>
  <c r="DL210" i="31"/>
  <c r="L211" i="31"/>
  <c r="BY210" i="31" l="1"/>
  <c r="CA210" i="31" s="1"/>
  <c r="BX210" i="31"/>
  <c r="MB210" i="31"/>
  <c r="NM210" i="31" s="1"/>
  <c r="NN210" i="31" s="1"/>
  <c r="MJ210" i="31"/>
  <c r="NS210" i="31" s="1"/>
  <c r="BZ210" i="31" l="1"/>
  <c r="CB210" i="31"/>
  <c r="CC210" i="31" s="1"/>
  <c r="NT210" i="31"/>
  <c r="OU211" i="31"/>
  <c r="OV211" i="31"/>
  <c r="NW210" i="31"/>
  <c r="CD210" i="31" l="1"/>
  <c r="CE210" i="31"/>
  <c r="CG210" i="31" s="1"/>
  <c r="FR210" i="31"/>
  <c r="FV210" i="31"/>
  <c r="CX210" i="31"/>
  <c r="NU210" i="31"/>
  <c r="NX210" i="31"/>
  <c r="CF210" i="31" l="1"/>
  <c r="MY210" i="31"/>
  <c r="NZ210" i="31"/>
  <c r="CY211" i="31"/>
  <c r="NV210" i="31"/>
  <c r="CH210" i="31"/>
  <c r="CI210" i="31" s="1"/>
  <c r="NY210" i="31"/>
  <c r="OF210" i="31"/>
  <c r="OS211" i="31" s="1"/>
  <c r="CJ210" i="31" l="1"/>
  <c r="CO210" i="31" s="1"/>
  <c r="CK210" i="31"/>
  <c r="OB210" i="31"/>
  <c r="OT211" i="31" s="1"/>
  <c r="NF211" i="31"/>
  <c r="OM211" i="31"/>
  <c r="OO211" i="31"/>
  <c r="OI210" i="31"/>
  <c r="OA210" i="31"/>
  <c r="MV211" i="31" s="1"/>
  <c r="MZ211" i="31"/>
  <c r="OZ210" i="31"/>
  <c r="OC210" i="31" l="1"/>
  <c r="OD211" i="31" s="1"/>
  <c r="OH211" i="31" s="1"/>
  <c r="OX211" i="31"/>
  <c r="MR211" i="31"/>
  <c r="OW210" i="31"/>
  <c r="OJ210" i="31"/>
  <c r="KT211" i="31"/>
  <c r="OG211" i="31"/>
  <c r="CL210" i="31"/>
  <c r="CM210" i="31"/>
  <c r="CN210" i="31" s="1"/>
  <c r="PA210" i="31"/>
  <c r="KM211" i="31" l="1"/>
  <c r="KO212" i="31" s="1"/>
  <c r="KL211" i="31"/>
  <c r="KN212" i="31" s="1"/>
  <c r="OY211" i="31"/>
  <c r="MW211" i="31"/>
  <c r="MS211" i="31"/>
  <c r="CP210" i="31"/>
  <c r="OK211" i="31"/>
  <c r="MX211" i="31" l="1"/>
  <c r="FZ210" i="31"/>
  <c r="GA210" i="31" s="1"/>
  <c r="FH210" i="31"/>
  <c r="FI210" i="31" s="1"/>
  <c r="GB210" i="31"/>
  <c r="GC210" i="31" s="1"/>
  <c r="GO210" i="31"/>
  <c r="FP210" i="31"/>
  <c r="FS210" i="31" s="1"/>
  <c r="FU210" i="31"/>
  <c r="FW210" i="31" s="1"/>
  <c r="FX210" i="31"/>
  <c r="FY210" i="31" s="1"/>
  <c r="DQ210" i="31"/>
  <c r="DR210" i="31" s="1"/>
  <c r="CQ210" i="31"/>
  <c r="HO210" i="31"/>
  <c r="FE210" i="31"/>
  <c r="FF210" i="31" s="1"/>
  <c r="JR210" i="31"/>
  <c r="JS210" i="31" s="1"/>
  <c r="KX210" i="31"/>
  <c r="KU210" i="31"/>
  <c r="KQ211" i="31"/>
  <c r="MT211" i="31"/>
  <c r="NQ211" i="31"/>
  <c r="NP211" i="31"/>
  <c r="NJ211" i="31"/>
  <c r="MU211" i="31"/>
  <c r="MO211" i="31"/>
  <c r="NH212" i="31"/>
  <c r="NI212" i="31" s="1"/>
  <c r="PE211" i="31"/>
  <c r="KP212" i="31"/>
  <c r="KR211" i="31"/>
  <c r="GN210" i="31" l="1"/>
  <c r="KV210" i="31" s="1"/>
  <c r="NR211" i="31"/>
  <c r="HU210" i="31"/>
  <c r="HV211" i="31" s="1"/>
  <c r="FJ211" i="31"/>
  <c r="FG211" i="31"/>
  <c r="HW210" i="31"/>
  <c r="HX211" i="31" s="1"/>
  <c r="CR210" i="31"/>
  <c r="CT210" i="31"/>
  <c r="CS210" i="31"/>
  <c r="KS211" i="31"/>
  <c r="DS210" i="31"/>
  <c r="AX210" i="31" s="1"/>
  <c r="AY211" i="31" s="1"/>
  <c r="KC210" i="31"/>
  <c r="KE210" i="31"/>
  <c r="JU210" i="31"/>
  <c r="JT211" i="31"/>
  <c r="NL211" i="31"/>
  <c r="NK211" i="31"/>
  <c r="NG212" i="31"/>
  <c r="OQ212" i="31"/>
  <c r="IA210" i="31"/>
  <c r="IB210" i="31" s="1"/>
  <c r="HP210" i="31"/>
  <c r="IZ210" i="31"/>
  <c r="NB211" i="31"/>
  <c r="NA211" i="31"/>
  <c r="HA210" i="31"/>
  <c r="DY210" i="31"/>
  <c r="HY210" i="31"/>
  <c r="GQ210" i="31" l="1"/>
  <c r="KW211" i="31"/>
  <c r="HQ210" i="31"/>
  <c r="HR211" i="31" s="1"/>
  <c r="HS210" i="31"/>
  <c r="JG210" i="31" s="1"/>
  <c r="HT210" i="31"/>
  <c r="NC212" i="31"/>
  <c r="MQ212" i="31"/>
  <c r="OR212" i="31"/>
  <c r="EN210" i="31"/>
  <c r="EM210" i="31"/>
  <c r="EW210" i="31" s="1"/>
  <c r="AZ210" i="31"/>
  <c r="IC210" i="31" l="1"/>
  <c r="ID210" i="31" s="1"/>
  <c r="IF210" i="31" s="1"/>
  <c r="KH210" i="31" s="1"/>
  <c r="JB210" i="31"/>
  <c r="BB211" i="31"/>
  <c r="EQ210" i="31"/>
  <c r="DW210" i="31"/>
  <c r="DU211" i="31" s="1"/>
  <c r="ER211" i="31"/>
  <c r="IU210" i="31"/>
  <c r="IV210" i="31" s="1"/>
  <c r="IW210" i="31" l="1"/>
  <c r="KB210" i="31" s="1"/>
  <c r="KK210" i="31"/>
  <c r="IX210" i="31"/>
  <c r="BC211" i="31"/>
  <c r="EU211" i="31"/>
  <c r="IM210" i="31"/>
  <c r="DB210" i="31"/>
  <c r="DC210" i="31" s="1"/>
  <c r="DD211" i="31" s="1"/>
  <c r="DE212" i="31" s="1"/>
  <c r="GM210" i="31"/>
  <c r="KI211" i="31"/>
  <c r="IN210" i="31"/>
  <c r="DF210" i="31"/>
  <c r="DT210" i="31" l="1"/>
  <c r="DZ210" i="31" s="1"/>
  <c r="GT212" i="31"/>
  <c r="GU210" i="31"/>
  <c r="GV210" i="31"/>
  <c r="FD210" i="31"/>
  <c r="KJ211" i="31"/>
  <c r="BD211" i="31"/>
  <c r="BE211" i="31"/>
  <c r="GR210" i="31"/>
  <c r="BF211" i="31" l="1"/>
  <c r="BG211" i="31"/>
  <c r="IS210" i="31"/>
  <c r="FL211" i="31"/>
  <c r="GS210" i="31"/>
  <c r="BI211" i="31" l="1"/>
  <c r="BK211" i="31" s="1"/>
  <c r="BH211" i="31"/>
  <c r="GY210" i="31"/>
  <c r="GX210" i="31"/>
  <c r="GW210" i="31"/>
  <c r="HC210" i="31" s="1"/>
  <c r="FA211" i="31" s="1"/>
  <c r="HB211" i="31" s="1"/>
  <c r="FM211" i="31"/>
  <c r="JH210" i="31"/>
  <c r="JI210" i="31" s="1"/>
  <c r="IT210" i="31"/>
  <c r="BJ211" i="31" l="1"/>
  <c r="JK210" i="31"/>
  <c r="JZ210" i="31" s="1"/>
  <c r="KF210" i="31" s="1"/>
  <c r="IQ211" i="31" s="1"/>
  <c r="EY210" i="31"/>
  <c r="EG210" i="31"/>
  <c r="EH211" i="31" s="1"/>
  <c r="EI211" i="31" s="1"/>
  <c r="FK211" i="31" s="1"/>
  <c r="HM210" i="31"/>
  <c r="HK211" i="31"/>
  <c r="BL211" i="31"/>
  <c r="BM211" i="31"/>
  <c r="JN210" i="31" l="1"/>
  <c r="JV210" i="31" s="1"/>
  <c r="JF211" i="31" s="1"/>
  <c r="JY211" i="31" s="1"/>
  <c r="EZ210" i="31"/>
  <c r="DG210" i="31"/>
  <c r="DH210" i="31" s="1"/>
  <c r="DI211" i="31" s="1"/>
  <c r="BN211" i="31"/>
  <c r="BO211" i="31"/>
  <c r="JM210" i="31"/>
  <c r="KD210" i="31" s="1"/>
  <c r="IL211" i="31" s="1"/>
  <c r="IR211" i="31" s="1"/>
  <c r="JL210" i="31"/>
  <c r="JJ211" i="31" s="1"/>
  <c r="KA211" i="31"/>
  <c r="ED210" i="31"/>
  <c r="EB211" i="31" s="1"/>
  <c r="EJ210" i="31"/>
  <c r="EK211" i="31" s="1"/>
  <c r="EE210" i="31"/>
  <c r="EF211" i="31" s="1"/>
  <c r="JW211" i="31" l="1"/>
  <c r="JO211" i="31"/>
  <c r="GZ211" i="31"/>
  <c r="IE211" i="31" s="1"/>
  <c r="DJ211" i="31"/>
  <c r="DK211" i="31" s="1"/>
  <c r="EL211" i="31"/>
  <c r="FC211" i="31"/>
  <c r="EO211" i="31"/>
  <c r="ES212" i="31" s="1"/>
  <c r="EP211" i="31"/>
  <c r="ET212" i="31" s="1"/>
  <c r="EV211" i="31"/>
  <c r="JC211" i="31"/>
  <c r="JD211" i="31"/>
  <c r="HZ211" i="31"/>
  <c r="JA211" i="31"/>
  <c r="DP211" i="31"/>
  <c r="IY211" i="31"/>
  <c r="IO211" i="31"/>
  <c r="IP211" i="31"/>
  <c r="JE211" i="31"/>
  <c r="BP211" i="31"/>
  <c r="BQ211" i="31" s="1"/>
  <c r="JX211" i="31" l="1"/>
  <c r="BS211" i="31"/>
  <c r="BR211" i="31"/>
  <c r="KG211" i="31"/>
  <c r="EC211" i="31"/>
  <c r="JP211" i="31"/>
  <c r="JQ211" i="31" s="1"/>
  <c r="DX211" i="31"/>
  <c r="FQ211" i="31"/>
  <c r="DM211" i="31"/>
  <c r="BT211" i="31" l="1"/>
  <c r="BU211" i="31"/>
  <c r="BV211" i="31" s="1"/>
  <c r="BW211" i="31" s="1"/>
  <c r="DL211" i="31"/>
  <c r="L212" i="31"/>
  <c r="EX211" i="31"/>
  <c r="M211" i="31" s="1"/>
  <c r="FB211" i="31"/>
  <c r="BX211" i="31" l="1"/>
  <c r="BY211" i="31"/>
  <c r="MJ211" i="31"/>
  <c r="NS211" i="31" s="1"/>
  <c r="MB211" i="31"/>
  <c r="NM211" i="31" s="1"/>
  <c r="NN211" i="31" s="1"/>
  <c r="BZ211" i="31" l="1"/>
  <c r="CA211" i="31"/>
  <c r="CB211" i="31" s="1"/>
  <c r="OV212" i="31"/>
  <c r="NW211" i="31"/>
  <c r="NT211" i="31"/>
  <c r="OU212" i="31"/>
  <c r="CC211" i="31" l="1"/>
  <c r="FV211" i="31"/>
  <c r="FR211" i="31"/>
  <c r="CX211" i="31"/>
  <c r="NU211" i="31"/>
  <c r="NX211" i="31"/>
  <c r="OF211" i="31" s="1"/>
  <c r="OS212" i="31" s="1"/>
  <c r="CD211" i="31" l="1"/>
  <c r="CE211" i="31"/>
  <c r="NV211" i="31"/>
  <c r="NZ211" i="31"/>
  <c r="MY211" i="31"/>
  <c r="CY212" i="31"/>
  <c r="NY211" i="31"/>
  <c r="CF211" i="31" l="1"/>
  <c r="CG211" i="31"/>
  <c r="CH211" i="31" s="1"/>
  <c r="CI211" i="31" s="1"/>
  <c r="CJ211" i="31" s="1"/>
  <c r="CO211" i="31" s="1"/>
  <c r="NF212" i="31"/>
  <c r="OM212" i="31"/>
  <c r="OO212" i="31"/>
  <c r="OB211" i="31"/>
  <c r="OT212" i="31" s="1"/>
  <c r="OA211" i="31"/>
  <c r="MV212" i="31" s="1"/>
  <c r="MZ212" i="31"/>
  <c r="OZ211" i="31"/>
  <c r="OI211" i="31"/>
  <c r="CK211" i="31" l="1"/>
  <c r="CL211" i="31" s="1"/>
  <c r="OX212" i="31"/>
  <c r="MR212" i="31"/>
  <c r="OW211" i="31"/>
  <c r="OC211" i="31"/>
  <c r="OD212" i="31" s="1"/>
  <c r="OH212" i="31" s="1"/>
  <c r="OG212" i="31"/>
  <c r="KT212" i="31"/>
  <c r="PA211" i="31"/>
  <c r="OJ211" i="31"/>
  <c r="CM211" i="31" l="1"/>
  <c r="CN211" i="31" s="1"/>
  <c r="CP211" i="31" s="1"/>
  <c r="OK212" i="31"/>
  <c r="KL212" i="31"/>
  <c r="KN213" i="31" s="1"/>
  <c r="KM212" i="31"/>
  <c r="KO213" i="31" s="1"/>
  <c r="OY212" i="31"/>
  <c r="MW212" i="31"/>
  <c r="MS212" i="31"/>
  <c r="HO211" i="31" l="1"/>
  <c r="IA211" i="31" s="1"/>
  <c r="IB211" i="31" s="1"/>
  <c r="GB211" i="31"/>
  <c r="GC211" i="31" s="1"/>
  <c r="FZ211" i="31"/>
  <c r="GA211" i="31" s="1"/>
  <c r="FE211" i="31"/>
  <c r="FF211" i="31" s="1"/>
  <c r="FG212" i="31" s="1"/>
  <c r="FH211" i="31"/>
  <c r="FI211" i="31" s="1"/>
  <c r="HU211" i="31" s="1"/>
  <c r="HV212" i="31" s="1"/>
  <c r="FP211" i="31"/>
  <c r="FS211" i="31" s="1"/>
  <c r="HY211" i="31" s="1"/>
  <c r="FX211" i="31"/>
  <c r="FY211" i="31" s="1"/>
  <c r="KU211" i="31"/>
  <c r="KX211" i="31"/>
  <c r="FU211" i="31"/>
  <c r="FW211" i="31" s="1"/>
  <c r="CQ211" i="31"/>
  <c r="CR211" i="31" s="1"/>
  <c r="JR211" i="31"/>
  <c r="JS211" i="31" s="1"/>
  <c r="KE211" i="31" s="1"/>
  <c r="DQ211" i="31"/>
  <c r="DR211" i="31" s="1"/>
  <c r="DS211" i="31" s="1"/>
  <c r="AX211" i="31" s="1"/>
  <c r="AY212" i="31" s="1"/>
  <c r="GO211" i="31"/>
  <c r="KP213" i="31"/>
  <c r="KR212" i="31"/>
  <c r="KQ212" i="31"/>
  <c r="MX212" i="31"/>
  <c r="NQ212" i="31"/>
  <c r="NH213" i="31"/>
  <c r="NI213" i="31" s="1"/>
  <c r="MU212" i="31"/>
  <c r="NP212" i="31"/>
  <c r="NJ212" i="31"/>
  <c r="MO212" i="31"/>
  <c r="MT212" i="31"/>
  <c r="PE212" i="31"/>
  <c r="GN211" i="31" l="1"/>
  <c r="KV211" i="31" s="1"/>
  <c r="HW211" i="31"/>
  <c r="HX212" i="31" s="1"/>
  <c r="IZ211" i="31"/>
  <c r="HP211" i="31"/>
  <c r="HT211" i="31" s="1"/>
  <c r="DY211" i="31"/>
  <c r="FJ212" i="31"/>
  <c r="HA211" i="31"/>
  <c r="CS211" i="31"/>
  <c r="KC211" i="31"/>
  <c r="JU211" i="31"/>
  <c r="CT211" i="31"/>
  <c r="JT212" i="31"/>
  <c r="KS212" i="31"/>
  <c r="NR212" i="31"/>
  <c r="NB212" i="31"/>
  <c r="NA212" i="31"/>
  <c r="EN211" i="31"/>
  <c r="AZ211" i="31"/>
  <c r="EM211" i="31"/>
  <c r="EW211" i="31" s="1"/>
  <c r="NL212" i="31"/>
  <c r="NK212" i="31"/>
  <c r="NG213" i="31"/>
  <c r="OQ213" i="31"/>
  <c r="HS211" i="31" l="1"/>
  <c r="JG211" i="31" s="1"/>
  <c r="GQ211" i="31"/>
  <c r="KW212" i="31"/>
  <c r="HQ211" i="31"/>
  <c r="HR212" i="31" s="1"/>
  <c r="OR213" i="31"/>
  <c r="NC213" i="31"/>
  <c r="MQ213" i="31"/>
  <c r="BB212" i="31"/>
  <c r="IW211" i="31"/>
  <c r="EQ211" i="31"/>
  <c r="DW211" i="31"/>
  <c r="DU212" i="31" s="1"/>
  <c r="ER212" i="31"/>
  <c r="IU211" i="31"/>
  <c r="IV211" i="31" s="1"/>
  <c r="IC211" i="31"/>
  <c r="ID211" i="31" s="1"/>
  <c r="IF211" i="31" s="1"/>
  <c r="KH211" i="31" s="1"/>
  <c r="JB211" i="31"/>
  <c r="BC212" i="31" l="1"/>
  <c r="KB211" i="31"/>
  <c r="IX211" i="31"/>
  <c r="KK211" i="31"/>
  <c r="EU212" i="31"/>
  <c r="DB211" i="31"/>
  <c r="DC211" i="31" s="1"/>
  <c r="DD212" i="31" s="1"/>
  <c r="DE213" i="31" s="1"/>
  <c r="IM211" i="31"/>
  <c r="GM211" i="31"/>
  <c r="KI212" i="31"/>
  <c r="IN211" i="31"/>
  <c r="DF211" i="31"/>
  <c r="GT213" i="31" l="1"/>
  <c r="KJ212" i="31"/>
  <c r="GR211" i="31"/>
  <c r="DT211" i="31"/>
  <c r="DZ211" i="31" s="1"/>
  <c r="FD211" i="31"/>
  <c r="GU211" i="31"/>
  <c r="GV211" i="31"/>
  <c r="BD212" i="31"/>
  <c r="BE212" i="31"/>
  <c r="BF212" i="31" l="1"/>
  <c r="BG212" i="31"/>
  <c r="IS211" i="31"/>
  <c r="FL212" i="31"/>
  <c r="GS211" i="31"/>
  <c r="GX211" i="31" l="1"/>
  <c r="GW211" i="31"/>
  <c r="HC211" i="31" s="1"/>
  <c r="FA212" i="31" s="1"/>
  <c r="HB212" i="31" s="1"/>
  <c r="GY211" i="31"/>
  <c r="BH212" i="31"/>
  <c r="BI212" i="31"/>
  <c r="BK212" i="31" s="1"/>
  <c r="FM212" i="31"/>
  <c r="JH211" i="31"/>
  <c r="JI211" i="31" s="1"/>
  <c r="IT211" i="31"/>
  <c r="BJ212" i="31" l="1"/>
  <c r="JK211" i="31"/>
  <c r="JZ211" i="31" s="1"/>
  <c r="KF211" i="31" s="1"/>
  <c r="IQ212" i="31" s="1"/>
  <c r="BL212" i="31"/>
  <c r="BM212" i="31"/>
  <c r="HM211" i="31"/>
  <c r="EG211" i="31"/>
  <c r="EH212" i="31" s="1"/>
  <c r="EI212" i="31" s="1"/>
  <c r="FK212" i="31" s="1"/>
  <c r="EY211" i="31"/>
  <c r="HK212" i="31"/>
  <c r="JM211" i="31" l="1"/>
  <c r="KD211" i="31" s="1"/>
  <c r="IL212" i="31" s="1"/>
  <c r="IR212" i="31" s="1"/>
  <c r="BO212" i="31"/>
  <c r="BN212" i="31"/>
  <c r="EZ211" i="31"/>
  <c r="DG211" i="31"/>
  <c r="DH211" i="31" s="1"/>
  <c r="DI212" i="31" s="1"/>
  <c r="JN211" i="31"/>
  <c r="JV211" i="31" s="1"/>
  <c r="JF212" i="31" s="1"/>
  <c r="JL211" i="31"/>
  <c r="JJ212" i="31" s="1"/>
  <c r="KA212" i="31"/>
  <c r="ED211" i="31"/>
  <c r="EB212" i="31" s="1"/>
  <c r="EJ211" i="31"/>
  <c r="EK212" i="31" s="1"/>
  <c r="EE211" i="31"/>
  <c r="EF212" i="31" s="1"/>
  <c r="JE212" i="31" l="1"/>
  <c r="IO212" i="31"/>
  <c r="EL212" i="31"/>
  <c r="FC212" i="31"/>
  <c r="EO212" i="31"/>
  <c r="ES213" i="31" s="1"/>
  <c r="EP212" i="31"/>
  <c r="ET213" i="31" s="1"/>
  <c r="EV212" i="31"/>
  <c r="JW212" i="31"/>
  <c r="JY212" i="31"/>
  <c r="IY212" i="31"/>
  <c r="JC212" i="31"/>
  <c r="JD212" i="31"/>
  <c r="JA212" i="31"/>
  <c r="IP212" i="31"/>
  <c r="JO212" i="31"/>
  <c r="HZ212" i="31"/>
  <c r="GZ212" i="31"/>
  <c r="IE212" i="31" s="1"/>
  <c r="DJ212" i="31"/>
  <c r="DK212" i="31" s="1"/>
  <c r="DP212" i="31"/>
  <c r="BP212" i="31"/>
  <c r="BQ212" i="31" s="1"/>
  <c r="JP212" i="31" l="1"/>
  <c r="JQ212" i="31" s="1"/>
  <c r="JX212" i="31"/>
  <c r="BR212" i="31"/>
  <c r="BS212" i="31"/>
  <c r="BT212" i="31" s="1"/>
  <c r="DM212" i="31"/>
  <c r="FQ212" i="31"/>
  <c r="DX212" i="31"/>
  <c r="KG212" i="31"/>
  <c r="EC212" i="31"/>
  <c r="BU212" i="31" l="1"/>
  <c r="BV212" i="31" s="1"/>
  <c r="EX212" i="31"/>
  <c r="M212" i="31" s="1"/>
  <c r="FB212" i="31"/>
  <c r="DL212" i="31"/>
  <c r="L213" i="31"/>
  <c r="BW212" i="31" l="1"/>
  <c r="MJ212" i="31"/>
  <c r="NS212" i="31" s="1"/>
  <c r="MB212" i="31"/>
  <c r="NM212" i="31" s="1"/>
  <c r="NN212" i="31" s="1"/>
  <c r="BX212" i="31" l="1"/>
  <c r="BY212" i="31"/>
  <c r="OV213" i="31"/>
  <c r="NW212" i="31"/>
  <c r="NT212" i="31"/>
  <c r="OU213" i="31"/>
  <c r="CA212" i="31" l="1"/>
  <c r="BZ212" i="31"/>
  <c r="FV212" i="31"/>
  <c r="FR212" i="31"/>
  <c r="CX212" i="31"/>
  <c r="NU212" i="31"/>
  <c r="NX212" i="31"/>
  <c r="CB212" i="31" l="1"/>
  <c r="CC212" i="31" s="1"/>
  <c r="NY212" i="31"/>
  <c r="OF212" i="31"/>
  <c r="OS213" i="31" s="1"/>
  <c r="NV212" i="31"/>
  <c r="NZ212" i="31"/>
  <c r="MY212" i="31"/>
  <c r="CY213" i="31"/>
  <c r="CE212" i="31" l="1"/>
  <c r="CD212" i="31"/>
  <c r="NF213" i="31"/>
  <c r="OO213" i="31"/>
  <c r="OM213" i="31"/>
  <c r="MZ213" i="31"/>
  <c r="OZ212" i="31"/>
  <c r="OB212" i="31"/>
  <c r="OT213" i="31" s="1"/>
  <c r="OA212" i="31"/>
  <c r="MV213" i="31" s="1"/>
  <c r="OG213" i="31" s="1"/>
  <c r="OI212" i="31"/>
  <c r="CF212" i="31" l="1"/>
  <c r="CG212" i="31"/>
  <c r="OW212" i="31"/>
  <c r="MR213" i="31"/>
  <c r="OX213" i="31"/>
  <c r="KT213" i="31"/>
  <c r="PA212" i="31"/>
  <c r="OJ212" i="31"/>
  <c r="OC212" i="31"/>
  <c r="OD213" i="31" s="1"/>
  <c r="OH213" i="31" s="1"/>
  <c r="OK213" i="31" s="1"/>
  <c r="CH212" i="31" l="1"/>
  <c r="CI212" i="31" s="1"/>
  <c r="MS213" i="31"/>
  <c r="KM213" i="31"/>
  <c r="KO214" i="31" s="1"/>
  <c r="KL213" i="31"/>
  <c r="KN214" i="31" s="1"/>
  <c r="MW213" i="31"/>
  <c r="OY213" i="31"/>
  <c r="CJ212" i="31" l="1"/>
  <c r="CO212" i="31" s="1"/>
  <c r="CK212" i="31"/>
  <c r="NH214" i="31"/>
  <c r="NI214" i="31" s="1"/>
  <c r="MT213" i="31"/>
  <c r="NQ213" i="31"/>
  <c r="MO213" i="31"/>
  <c r="MU213" i="31"/>
  <c r="NP213" i="31"/>
  <c r="NJ213" i="31"/>
  <c r="PE213" i="31"/>
  <c r="MX213" i="31"/>
  <c r="KP214" i="31"/>
  <c r="KR213" i="31"/>
  <c r="KQ213" i="31"/>
  <c r="CM212" i="31" l="1"/>
  <c r="CN212" i="31" s="1"/>
  <c r="CL212" i="31"/>
  <c r="NB213" i="31"/>
  <c r="NA213" i="31"/>
  <c r="KS213" i="31"/>
  <c r="NR213" i="31"/>
  <c r="NK213" i="31"/>
  <c r="NL213" i="31"/>
  <c r="NG214" i="31"/>
  <c r="OQ214" i="31"/>
  <c r="CP212" i="31" l="1"/>
  <c r="GB212" i="31" s="1"/>
  <c r="GC212" i="31" s="1"/>
  <c r="OR214" i="31"/>
  <c r="NC214" i="31"/>
  <c r="MQ214" i="31"/>
  <c r="FX212" i="31" l="1"/>
  <c r="FY212" i="31" s="1"/>
  <c r="GO212" i="31"/>
  <c r="KX212" i="31"/>
  <c r="GN212" i="31" s="1"/>
  <c r="KV212" i="31" s="1"/>
  <c r="FU212" i="31"/>
  <c r="FW212" i="31" s="1"/>
  <c r="DQ212" i="31"/>
  <c r="DR212" i="31" s="1"/>
  <c r="DS212" i="31" s="1"/>
  <c r="AZ212" i="31" s="1"/>
  <c r="JR212" i="31"/>
  <c r="JS212" i="31" s="1"/>
  <c r="KE212" i="31" s="1"/>
  <c r="HO212" i="31"/>
  <c r="HP212" i="31" s="1"/>
  <c r="FP212" i="31"/>
  <c r="FS212" i="31" s="1"/>
  <c r="DY212" i="31" s="1"/>
  <c r="KU212" i="31"/>
  <c r="FH212" i="31"/>
  <c r="FI212" i="31" s="1"/>
  <c r="HU212" i="31" s="1"/>
  <c r="HV213" i="31" s="1"/>
  <c r="FE212" i="31"/>
  <c r="FF212" i="31" s="1"/>
  <c r="HW212" i="31" s="1"/>
  <c r="HX213" i="31" s="1"/>
  <c r="FZ212" i="31"/>
  <c r="GA212" i="31" s="1"/>
  <c r="CQ212" i="31"/>
  <c r="CR212" i="31" s="1"/>
  <c r="KW213" i="31" l="1"/>
  <c r="HQ212" i="31"/>
  <c r="HR213" i="31" s="1"/>
  <c r="AX212" i="31"/>
  <c r="AY213" i="31" s="1"/>
  <c r="GQ212" i="31"/>
  <c r="FJ213" i="31"/>
  <c r="FG213" i="31"/>
  <c r="CT212" i="31"/>
  <c r="CS212" i="31"/>
  <c r="HY212" i="31"/>
  <c r="HA212" i="31"/>
  <c r="EM212" i="31"/>
  <c r="EW212" i="31" s="1"/>
  <c r="JT213" i="31"/>
  <c r="JU212" i="31"/>
  <c r="IZ212" i="31"/>
  <c r="KC212" i="31"/>
  <c r="IA212" i="31"/>
  <c r="IB212" i="31" s="1"/>
  <c r="EN212" i="31"/>
  <c r="EQ212" i="31" s="1"/>
  <c r="HT212" i="31"/>
  <c r="HS212" i="31"/>
  <c r="JG212" i="31" s="1"/>
  <c r="ER213" i="31" l="1"/>
  <c r="EU213" i="31" s="1"/>
  <c r="DW212" i="31"/>
  <c r="DU213" i="31" s="1"/>
  <c r="BB213" i="31"/>
  <c r="BC213" i="31" s="1"/>
  <c r="BE213" i="31" s="1"/>
  <c r="BF213" i="31" s="1"/>
  <c r="IU212" i="31"/>
  <c r="IV212" i="31" s="1"/>
  <c r="KK212" i="31" s="1"/>
  <c r="IW212" i="31"/>
  <c r="JB212" i="31"/>
  <c r="IC212" i="31"/>
  <c r="ID212" i="31" s="1"/>
  <c r="IF212" i="31" s="1"/>
  <c r="KH212" i="31" s="1"/>
  <c r="KB212" i="31" l="1"/>
  <c r="BG213" i="31"/>
  <c r="BH213" i="31" s="1"/>
  <c r="BD213" i="31"/>
  <c r="IX212" i="31"/>
  <c r="IN212" i="31"/>
  <c r="DB212" i="31"/>
  <c r="DC212" i="31" s="1"/>
  <c r="DD213" i="31" s="1"/>
  <c r="DE214" i="31" s="1"/>
  <c r="DF212" i="31"/>
  <c r="GM212" i="31"/>
  <c r="KI213" i="31"/>
  <c r="KJ213" i="31" s="1"/>
  <c r="IM212" i="31"/>
  <c r="BI213" i="31" l="1"/>
  <c r="BK213" i="31" s="1"/>
  <c r="BL213" i="31" s="1"/>
  <c r="DT212" i="31"/>
  <c r="DZ212" i="31" s="1"/>
  <c r="GT214" i="31"/>
  <c r="GR212" i="31"/>
  <c r="FD212" i="31"/>
  <c r="GU212" i="31"/>
  <c r="GV212" i="31"/>
  <c r="BJ213" i="31" l="1"/>
  <c r="BM213" i="31"/>
  <c r="BO213" i="31" s="1"/>
  <c r="FL213" i="31"/>
  <c r="FM213" i="31" s="1"/>
  <c r="IS212" i="31"/>
  <c r="GS212" i="31"/>
  <c r="BN213" i="31" l="1"/>
  <c r="GY212" i="31"/>
  <c r="GX212" i="31"/>
  <c r="GW212" i="31"/>
  <c r="HC212" i="31" s="1"/>
  <c r="FA213" i="31" s="1"/>
  <c r="HB213" i="31" s="1"/>
  <c r="JH212" i="31"/>
  <c r="JI212" i="31" s="1"/>
  <c r="IT212" i="31"/>
  <c r="BP213" i="31"/>
  <c r="BQ213" i="31" s="1"/>
  <c r="JK212" i="31" l="1"/>
  <c r="JM212" i="31" s="1"/>
  <c r="KD212" i="31" s="1"/>
  <c r="IL213" i="31" s="1"/>
  <c r="EG212" i="31"/>
  <c r="EH213" i="31" s="1"/>
  <c r="EI213" i="31" s="1"/>
  <c r="FK213" i="31" s="1"/>
  <c r="EY212" i="31"/>
  <c r="HM212" i="31"/>
  <c r="HK213" i="31"/>
  <c r="BR213" i="31"/>
  <c r="BS213" i="31"/>
  <c r="BT213" i="31" l="1"/>
  <c r="BU213" i="31"/>
  <c r="BV213" i="31" s="1"/>
  <c r="BW213" i="31" s="1"/>
  <c r="EZ212" i="31"/>
  <c r="DG212" i="31"/>
  <c r="DH212" i="31" s="1"/>
  <c r="DI213" i="31" s="1"/>
  <c r="JZ212" i="31"/>
  <c r="KF212" i="31" s="1"/>
  <c r="IQ213" i="31" s="1"/>
  <c r="JL212" i="31"/>
  <c r="JJ213" i="31" s="1"/>
  <c r="KA213" i="31"/>
  <c r="HZ213" i="31" s="1"/>
  <c r="EE212" i="31"/>
  <c r="EF213" i="31" s="1"/>
  <c r="ED212" i="31"/>
  <c r="EB213" i="31" s="1"/>
  <c r="EJ212" i="31"/>
  <c r="EK213" i="31" s="1"/>
  <c r="JN212" i="31"/>
  <c r="JV212" i="31" s="1"/>
  <c r="JF213" i="31" s="1"/>
  <c r="DP213" i="31" l="1"/>
  <c r="BY213" i="31"/>
  <c r="BX213" i="31"/>
  <c r="IO213" i="31"/>
  <c r="GZ213" i="31"/>
  <c r="IE213" i="31" s="1"/>
  <c r="DJ213" i="31"/>
  <c r="DK213" i="31" s="1"/>
  <c r="JE213" i="31"/>
  <c r="IR213" i="31"/>
  <c r="KG213" i="31" s="1"/>
  <c r="JO213" i="31"/>
  <c r="JA213" i="31"/>
  <c r="IY213" i="31"/>
  <c r="IP213" i="31"/>
  <c r="JC213" i="31"/>
  <c r="JD213" i="31"/>
  <c r="JY213" i="31"/>
  <c r="JW213" i="31"/>
  <c r="FC213" i="31"/>
  <c r="EO213" i="31"/>
  <c r="ES214" i="31" s="1"/>
  <c r="EP213" i="31"/>
  <c r="ET214" i="31" s="1"/>
  <c r="EV213" i="31"/>
  <c r="EL213" i="31"/>
  <c r="BZ213" i="31"/>
  <c r="CA213" i="31"/>
  <c r="JX213" i="31" l="1"/>
  <c r="JP213" i="31"/>
  <c r="JQ213" i="31" s="1"/>
  <c r="FQ213" i="31"/>
  <c r="DX213" i="31"/>
  <c r="DM213" i="31"/>
  <c r="EC213" i="31"/>
  <c r="CB213" i="31"/>
  <c r="CC213" i="31" s="1"/>
  <c r="CE213" i="31" l="1"/>
  <c r="CD213" i="31"/>
  <c r="FB213" i="31"/>
  <c r="EX213" i="31"/>
  <c r="M213" i="31" s="1"/>
  <c r="L214" i="31"/>
  <c r="DL213" i="31"/>
  <c r="CF213" i="31" l="1"/>
  <c r="CG213" i="31"/>
  <c r="CH213" i="31" s="1"/>
  <c r="MJ213" i="31"/>
  <c r="NS213" i="31" s="1"/>
  <c r="MB213" i="31"/>
  <c r="NM213" i="31" s="1"/>
  <c r="NN213" i="31" s="1"/>
  <c r="CI213" i="31" l="1"/>
  <c r="CJ213" i="31" s="1"/>
  <c r="CO213" i="31" s="1"/>
  <c r="NW213" i="31"/>
  <c r="OV214" i="31"/>
  <c r="OU214" i="31"/>
  <c r="NT213" i="31"/>
  <c r="CK213" i="31" l="1"/>
  <c r="CM213" i="31" s="1"/>
  <c r="CN213" i="31" s="1"/>
  <c r="NU213" i="31"/>
  <c r="NV213" i="31" s="1"/>
  <c r="FV213" i="31"/>
  <c r="FR213" i="31"/>
  <c r="CX213" i="31"/>
  <c r="NX213" i="31"/>
  <c r="OF213" i="31" s="1"/>
  <c r="OS214" i="31" s="1"/>
  <c r="CL213" i="31" l="1"/>
  <c r="CP213" i="31" s="1"/>
  <c r="JR213" i="31" s="1"/>
  <c r="JS213" i="31" s="1"/>
  <c r="NY213" i="31"/>
  <c r="MY213" i="31"/>
  <c r="NZ213" i="31"/>
  <c r="CY214" i="31"/>
  <c r="OA213" i="31" l="1"/>
  <c r="MV214" i="31" s="1"/>
  <c r="OG214" i="31" s="1"/>
  <c r="GB213" i="31"/>
  <c r="GC213" i="31" s="1"/>
  <c r="FU213" i="31"/>
  <c r="FW213" i="31" s="1"/>
  <c r="FE213" i="31"/>
  <c r="FF213" i="31" s="1"/>
  <c r="FG214" i="31" s="1"/>
  <c r="KU213" i="31"/>
  <c r="KX213" i="31"/>
  <c r="GN213" i="31" s="1"/>
  <c r="KV213" i="31" s="1"/>
  <c r="FZ213" i="31"/>
  <c r="GA213" i="31" s="1"/>
  <c r="HO213" i="31"/>
  <c r="IZ213" i="31" s="1"/>
  <c r="DQ213" i="31"/>
  <c r="DR213" i="31" s="1"/>
  <c r="DS213" i="31" s="1"/>
  <c r="AX213" i="31" s="1"/>
  <c r="AY214" i="31" s="1"/>
  <c r="OO214" i="31"/>
  <c r="NF214" i="31"/>
  <c r="OM214" i="31"/>
  <c r="FH213" i="31"/>
  <c r="FI213" i="31" s="1"/>
  <c r="FJ214" i="31" s="1"/>
  <c r="MZ214" i="31"/>
  <c r="OZ213" i="31"/>
  <c r="FP213" i="31"/>
  <c r="FS213" i="31" s="1"/>
  <c r="HY213" i="31" s="1"/>
  <c r="FX213" i="31"/>
  <c r="FY213" i="31" s="1"/>
  <c r="CQ213" i="31"/>
  <c r="CT213" i="31" s="1"/>
  <c r="GO213" i="31"/>
  <c r="OI213" i="31"/>
  <c r="OB213" i="31"/>
  <c r="OT214" i="31" s="1"/>
  <c r="KC213" i="31"/>
  <c r="JU213" i="31"/>
  <c r="JT214" i="31"/>
  <c r="KE213" i="31"/>
  <c r="KW214" i="31" l="1"/>
  <c r="HQ213" i="31"/>
  <c r="HR214" i="31" s="1"/>
  <c r="KT214" i="31"/>
  <c r="KL214" i="31" s="1"/>
  <c r="KN215" i="31" s="1"/>
  <c r="KQ214" i="31" s="1"/>
  <c r="HW213" i="31"/>
  <c r="HX214" i="31" s="1"/>
  <c r="HU213" i="31"/>
  <c r="HV214" i="31" s="1"/>
  <c r="GQ213" i="31"/>
  <c r="IA213" i="31"/>
  <c r="IB213" i="31" s="1"/>
  <c r="HP213" i="31"/>
  <c r="HS213" i="31" s="1"/>
  <c r="JG213" i="31" s="1"/>
  <c r="CR213" i="31"/>
  <c r="OC213" i="31"/>
  <c r="OD214" i="31" s="1"/>
  <c r="OH214" i="31" s="1"/>
  <c r="OK214" i="31" s="1"/>
  <c r="CS213" i="31"/>
  <c r="MR214" i="31"/>
  <c r="MS214" i="31" s="1"/>
  <c r="OX214" i="31"/>
  <c r="OW213" i="31"/>
  <c r="HA213" i="31"/>
  <c r="PA213" i="31"/>
  <c r="DY213" i="31"/>
  <c r="OJ213" i="31"/>
  <c r="EM213" i="31"/>
  <c r="EW213" i="31" s="1"/>
  <c r="EN213" i="31"/>
  <c r="AZ213" i="31"/>
  <c r="KM214" i="31" l="1"/>
  <c r="KO215" i="31" s="1"/>
  <c r="KP215" i="31" s="1"/>
  <c r="HT213" i="31"/>
  <c r="IC213" i="31" s="1"/>
  <c r="ID213" i="31" s="1"/>
  <c r="IF213" i="31" s="1"/>
  <c r="KH213" i="31" s="1"/>
  <c r="NP214" i="31"/>
  <c r="PE214" i="31"/>
  <c r="NQ214" i="31"/>
  <c r="MO214" i="31"/>
  <c r="MT214" i="31"/>
  <c r="MU214" i="31"/>
  <c r="NH215" i="31"/>
  <c r="NI215" i="31" s="1"/>
  <c r="NJ214" i="31"/>
  <c r="OY214" i="31"/>
  <c r="MW214" i="31"/>
  <c r="MX214" i="31" s="1"/>
  <c r="BB214" i="31"/>
  <c r="DW213" i="31"/>
  <c r="DU214" i="31" s="1"/>
  <c r="EQ213" i="31"/>
  <c r="ER214" i="31"/>
  <c r="IU213" i="31"/>
  <c r="IV213" i="31" s="1"/>
  <c r="KR214" i="31" l="1"/>
  <c r="KS214" i="31" s="1"/>
  <c r="NR214" i="31"/>
  <c r="JB213" i="31"/>
  <c r="IW213" i="31"/>
  <c r="KB213" i="31" s="1"/>
  <c r="NL214" i="31"/>
  <c r="NK214" i="31"/>
  <c r="NG215" i="31"/>
  <c r="OQ215" i="31"/>
  <c r="OR215" i="31" s="1"/>
  <c r="NB214" i="31"/>
  <c r="NA214" i="31"/>
  <c r="BC214" i="31"/>
  <c r="IX213" i="31"/>
  <c r="KK213" i="31"/>
  <c r="EU214" i="31"/>
  <c r="IM213" i="31"/>
  <c r="DB213" i="31"/>
  <c r="DC213" i="31" s="1"/>
  <c r="DD214" i="31" s="1"/>
  <c r="DE215" i="31" s="1"/>
  <c r="GM213" i="31"/>
  <c r="KI214" i="31"/>
  <c r="IN213" i="31"/>
  <c r="DF213" i="31"/>
  <c r="DT213" i="31" l="1"/>
  <c r="DZ213" i="31" s="1"/>
  <c r="GT215" i="31"/>
  <c r="NC215" i="31"/>
  <c r="MQ215" i="31"/>
  <c r="GU213" i="31"/>
  <c r="GV213" i="31"/>
  <c r="FD213" i="31"/>
  <c r="KJ214" i="31"/>
  <c r="BD214" i="31"/>
  <c r="BE214" i="31"/>
  <c r="GR213" i="31"/>
  <c r="GS213" i="31" l="1"/>
  <c r="IS213" i="31"/>
  <c r="FL214" i="31"/>
  <c r="BF214" i="31"/>
  <c r="BG214" i="31"/>
  <c r="BH214" i="31" l="1"/>
  <c r="BI214" i="31"/>
  <c r="BK214" i="31" s="1"/>
  <c r="FM214" i="31"/>
  <c r="JH213" i="31"/>
  <c r="JI213" i="31" s="1"/>
  <c r="IT213" i="31"/>
  <c r="GW213" i="31"/>
  <c r="HC213" i="31" s="1"/>
  <c r="FA214" i="31" s="1"/>
  <c r="HB214" i="31" s="1"/>
  <c r="GX213" i="31"/>
  <c r="GY213" i="31"/>
  <c r="JK213" i="31" l="1"/>
  <c r="JZ213" i="31" s="1"/>
  <c r="KF213" i="31" s="1"/>
  <c r="IQ214" i="31" s="1"/>
  <c r="EG213" i="31"/>
  <c r="EH214" i="31" s="1"/>
  <c r="EI214" i="31" s="1"/>
  <c r="FK214" i="31" s="1"/>
  <c r="HM213" i="31"/>
  <c r="EY213" i="31"/>
  <c r="HK214" i="31"/>
  <c r="BL214" i="31"/>
  <c r="BM214" i="31"/>
  <c r="BJ214" i="31"/>
  <c r="JM213" i="31" l="1"/>
  <c r="KD213" i="31" s="1"/>
  <c r="IL214" i="31" s="1"/>
  <c r="JE214" i="31" s="1"/>
  <c r="EZ213" i="31"/>
  <c r="DG213" i="31"/>
  <c r="DH213" i="31" s="1"/>
  <c r="DI214" i="31" s="1"/>
  <c r="ED213" i="31"/>
  <c r="EB214" i="31" s="1"/>
  <c r="IY214" i="31" s="1"/>
  <c r="EJ213" i="31"/>
  <c r="EK214" i="31" s="1"/>
  <c r="EE213" i="31"/>
  <c r="EF214" i="31" s="1"/>
  <c r="BN214" i="31"/>
  <c r="BO214" i="31"/>
  <c r="JN213" i="31"/>
  <c r="JV213" i="31" s="1"/>
  <c r="JF214" i="31" s="1"/>
  <c r="JL213" i="31"/>
  <c r="JJ214" i="31" s="1"/>
  <c r="KA214" i="31"/>
  <c r="IR214" i="31" l="1"/>
  <c r="BP214" i="31"/>
  <c r="BQ214" i="31" s="1"/>
  <c r="JY214" i="31"/>
  <c r="JW214" i="31"/>
  <c r="EP214" i="31"/>
  <c r="ET215" i="31" s="1"/>
  <c r="EO214" i="31"/>
  <c r="ES215" i="31" s="1"/>
  <c r="EL214" i="31"/>
  <c r="JX214" i="31" s="1"/>
  <c r="FC214" i="31"/>
  <c r="EV214" i="31"/>
  <c r="DJ214" i="31"/>
  <c r="DK214" i="31" s="1"/>
  <c r="GZ214" i="31"/>
  <c r="IE214" i="31" s="1"/>
  <c r="DP214" i="31"/>
  <c r="HZ214" i="31"/>
  <c r="JC214" i="31"/>
  <c r="JD214" i="31"/>
  <c r="IO214" i="31"/>
  <c r="JP214" i="31" s="1"/>
  <c r="JQ214" i="31" s="1"/>
  <c r="JO214" i="31"/>
  <c r="IP214" i="31"/>
  <c r="JA214" i="31"/>
  <c r="KG214" i="31" l="1"/>
  <c r="EC214" i="31"/>
  <c r="BR214" i="31"/>
  <c r="BS214" i="31"/>
  <c r="DX214" i="31"/>
  <c r="FQ214" i="31"/>
  <c r="DM214" i="31"/>
  <c r="BT214" i="31" l="1"/>
  <c r="BU214" i="31"/>
  <c r="EX214" i="31"/>
  <c r="M214" i="31" s="1"/>
  <c r="FB214" i="31"/>
  <c r="DL214" i="31"/>
  <c r="L215" i="31"/>
  <c r="MB214" i="31" l="1"/>
  <c r="NM214" i="31" s="1"/>
  <c r="NN214" i="31" s="1"/>
  <c r="MJ214" i="31"/>
  <c r="NS214" i="31" s="1"/>
  <c r="BV214" i="31"/>
  <c r="BW214" i="31" s="1"/>
  <c r="BY214" i="31" l="1"/>
  <c r="CA214" i="31" s="1"/>
  <c r="BX214" i="31"/>
  <c r="OV215" i="31"/>
  <c r="NW214" i="31"/>
  <c r="NT214" i="31"/>
  <c r="OU215" i="31"/>
  <c r="BZ214" i="31" l="1"/>
  <c r="FR214" i="31"/>
  <c r="FV214" i="31"/>
  <c r="CX214" i="31"/>
  <c r="NU214" i="31"/>
  <c r="CB214" i="31"/>
  <c r="CC214" i="31" s="1"/>
  <c r="NX214" i="31"/>
  <c r="CE214" i="31" l="1"/>
  <c r="CD214" i="31"/>
  <c r="NY214" i="31"/>
  <c r="OF214" i="31"/>
  <c r="OS215" i="31" s="1"/>
  <c r="NV214" i="31"/>
  <c r="MY214" i="31"/>
  <c r="NZ214" i="31"/>
  <c r="CY215" i="31"/>
  <c r="CF214" i="31" l="1"/>
  <c r="CG214" i="31"/>
  <c r="CH214" i="31" s="1"/>
  <c r="CI214" i="31" s="1"/>
  <c r="NF215" i="31"/>
  <c r="OO215" i="31"/>
  <c r="OM215" i="31"/>
  <c r="MZ215" i="31"/>
  <c r="OZ214" i="31"/>
  <c r="OB214" i="31"/>
  <c r="OT215" i="31" s="1"/>
  <c r="OI214" i="31"/>
  <c r="OA214" i="31"/>
  <c r="MV215" i="31" s="1"/>
  <c r="OG215" i="31" s="1"/>
  <c r="CJ214" i="31" l="1"/>
  <c r="CO214" i="31" s="1"/>
  <c r="CK214" i="31"/>
  <c r="KT215" i="31"/>
  <c r="OW214" i="31"/>
  <c r="MR215" i="31"/>
  <c r="OX215" i="31"/>
  <c r="PA214" i="31"/>
  <c r="OC214" i="31"/>
  <c r="OD215" i="31" s="1"/>
  <c r="OH215" i="31" s="1"/>
  <c r="OK215" i="31" s="1"/>
  <c r="OJ214" i="31"/>
  <c r="MS215" i="31" l="1"/>
  <c r="MW215" i="31"/>
  <c r="OY215" i="31"/>
  <c r="KL215" i="31"/>
  <c r="KN216" i="31" s="1"/>
  <c r="KM215" i="31"/>
  <c r="KO216" i="31" s="1"/>
  <c r="CL214" i="31"/>
  <c r="CM214" i="31"/>
  <c r="CN214" i="31" s="1"/>
  <c r="MX215" i="31" l="1"/>
  <c r="KQ215" i="31"/>
  <c r="CP214" i="31"/>
  <c r="KP216" i="31"/>
  <c r="KR215" i="31"/>
  <c r="MT215" i="31"/>
  <c r="NJ215" i="31"/>
  <c r="MU215" i="31"/>
  <c r="NP215" i="31"/>
  <c r="NH216" i="31"/>
  <c r="NI216" i="31" s="1"/>
  <c r="MO215" i="31"/>
  <c r="NQ215" i="31"/>
  <c r="PE215" i="31"/>
  <c r="KS215" i="31" l="1"/>
  <c r="FZ214" i="31"/>
  <c r="GA214" i="31" s="1"/>
  <c r="FX214" i="31"/>
  <c r="FY214" i="31" s="1"/>
  <c r="GB214" i="31"/>
  <c r="GC214" i="31" s="1"/>
  <c r="HO214" i="31"/>
  <c r="GO214" i="31"/>
  <c r="FU214" i="31"/>
  <c r="FW214" i="31" s="1"/>
  <c r="FE214" i="31"/>
  <c r="FF214" i="31" s="1"/>
  <c r="FP214" i="31"/>
  <c r="FS214" i="31" s="1"/>
  <c r="CQ214" i="31"/>
  <c r="FH214" i="31"/>
  <c r="FI214" i="31" s="1"/>
  <c r="DQ214" i="31"/>
  <c r="DR214" i="31" s="1"/>
  <c r="JR214" i="31"/>
  <c r="JS214" i="31" s="1"/>
  <c r="KX214" i="31"/>
  <c r="KU214" i="31"/>
  <c r="NK215" i="31"/>
  <c r="NL215" i="31"/>
  <c r="NG216" i="31"/>
  <c r="OQ216" i="31"/>
  <c r="NB215" i="31"/>
  <c r="NA215" i="31"/>
  <c r="NR215" i="31"/>
  <c r="GN214" i="31" l="1"/>
  <c r="KV214" i="31" s="1"/>
  <c r="FG215" i="31"/>
  <c r="HW214" i="31"/>
  <c r="HX215" i="31" s="1"/>
  <c r="IA214" i="31"/>
  <c r="IB214" i="31" s="1"/>
  <c r="HP214" i="31"/>
  <c r="IZ214" i="31"/>
  <c r="OR216" i="31"/>
  <c r="DS214" i="31"/>
  <c r="AX214" i="31" s="1"/>
  <c r="AY215" i="31" s="1"/>
  <c r="HY214" i="31"/>
  <c r="HA214" i="31"/>
  <c r="DY214" i="31"/>
  <c r="HU214" i="31"/>
  <c r="HV215" i="31" s="1"/>
  <c r="FJ215" i="31"/>
  <c r="JU214" i="31"/>
  <c r="KE214" i="31"/>
  <c r="KC214" i="31"/>
  <c r="JT215" i="31"/>
  <c r="NC216" i="31"/>
  <c r="MQ216" i="31"/>
  <c r="CR214" i="31"/>
  <c r="CT214" i="31"/>
  <c r="CS214" i="31"/>
  <c r="GQ214" i="31" l="1"/>
  <c r="KW215" i="31"/>
  <c r="HQ214" i="31"/>
  <c r="HR215" i="31" s="1"/>
  <c r="HS214" i="31"/>
  <c r="JG214" i="31" s="1"/>
  <c r="HT214" i="31"/>
  <c r="AZ214" i="31"/>
  <c r="EN214" i="31"/>
  <c r="EM214" i="31"/>
  <c r="EW214" i="31" s="1"/>
  <c r="BB215" i="31" l="1"/>
  <c r="EQ214" i="31"/>
  <c r="DW214" i="31"/>
  <c r="DU215" i="31" s="1"/>
  <c r="ER215" i="31"/>
  <c r="IU214" i="31"/>
  <c r="IV214" i="31" s="1"/>
  <c r="IC214" i="31"/>
  <c r="ID214" i="31" s="1"/>
  <c r="IF214" i="31" s="1"/>
  <c r="KH214" i="31" s="1"/>
  <c r="JB214" i="31"/>
  <c r="IW214" i="31" l="1"/>
  <c r="KB214" i="31" s="1"/>
  <c r="IX214" i="31"/>
  <c r="KK214" i="31"/>
  <c r="EU215" i="31"/>
  <c r="IM214" i="31"/>
  <c r="DB214" i="31"/>
  <c r="DC214" i="31" s="1"/>
  <c r="DD215" i="31" s="1"/>
  <c r="DE216" i="31" s="1"/>
  <c r="GM214" i="31"/>
  <c r="KI215" i="31"/>
  <c r="IN214" i="31"/>
  <c r="DF214" i="31"/>
  <c r="BC215" i="31"/>
  <c r="DT214" i="31" l="1"/>
  <c r="DZ214" i="31" s="1"/>
  <c r="GT216" i="31"/>
  <c r="KJ215" i="31"/>
  <c r="GR214" i="31"/>
  <c r="BD215" i="31"/>
  <c r="BE215" i="31"/>
  <c r="GV214" i="31"/>
  <c r="FD214" i="31"/>
  <c r="GU214" i="31"/>
  <c r="GS214" i="31" l="1"/>
  <c r="BF215" i="31"/>
  <c r="BG215" i="31"/>
  <c r="IS214" i="31"/>
  <c r="FL215" i="31"/>
  <c r="FM215" i="31" l="1"/>
  <c r="BI215" i="31"/>
  <c r="BK215" i="31" s="1"/>
  <c r="BH215" i="31"/>
  <c r="JH214" i="31"/>
  <c r="JI214" i="31" s="1"/>
  <c r="IT214" i="31"/>
  <c r="GW214" i="31"/>
  <c r="HC214" i="31" s="1"/>
  <c r="FA215" i="31" s="1"/>
  <c r="HB215" i="31" s="1"/>
  <c r="GY214" i="31"/>
  <c r="GX214" i="31"/>
  <c r="BJ215" i="31" l="1"/>
  <c r="HM214" i="31"/>
  <c r="EY214" i="31"/>
  <c r="EG214" i="31"/>
  <c r="EH215" i="31" s="1"/>
  <c r="EI215" i="31" s="1"/>
  <c r="FK215" i="31" s="1"/>
  <c r="HK215" i="31"/>
  <c r="BL215" i="31"/>
  <c r="BM215" i="31"/>
  <c r="JK214" i="31"/>
  <c r="JM214" i="31" s="1"/>
  <c r="KD214" i="31" s="1"/>
  <c r="IL215" i="31" s="1"/>
  <c r="JN214" i="31" l="1"/>
  <c r="JV214" i="31" s="1"/>
  <c r="JF215" i="31" s="1"/>
  <c r="JL214" i="31"/>
  <c r="JJ215" i="31" s="1"/>
  <c r="KA215" i="31"/>
  <c r="EZ214" i="31"/>
  <c r="DG214" i="31"/>
  <c r="DH214" i="31" s="1"/>
  <c r="DI215" i="31" s="1"/>
  <c r="JZ214" i="31"/>
  <c r="KF214" i="31" s="1"/>
  <c r="IQ215" i="31" s="1"/>
  <c r="BN215" i="31"/>
  <c r="BO215" i="31"/>
  <c r="ED214" i="31"/>
  <c r="EB215" i="31" s="1"/>
  <c r="EE214" i="31"/>
  <c r="EF215" i="31" s="1"/>
  <c r="IO215" i="31" s="1"/>
  <c r="EJ214" i="31"/>
  <c r="EK215" i="31" s="1"/>
  <c r="IP215" i="31" l="1"/>
  <c r="JY215" i="31"/>
  <c r="JW215" i="31"/>
  <c r="BP215" i="31"/>
  <c r="BQ215" i="31" s="1"/>
  <c r="JC215" i="31"/>
  <c r="JD215" i="31"/>
  <c r="DJ215" i="31"/>
  <c r="DK215" i="31" s="1"/>
  <c r="GZ215" i="31"/>
  <c r="IE215" i="31" s="1"/>
  <c r="JA215" i="31"/>
  <c r="IY215" i="31"/>
  <c r="JP215" i="31" s="1"/>
  <c r="JQ215" i="31" s="1"/>
  <c r="JO215" i="31"/>
  <c r="IR215" i="31"/>
  <c r="JE215" i="31"/>
  <c r="HZ215" i="31"/>
  <c r="FC215" i="31"/>
  <c r="EP215" i="31"/>
  <c r="ET216" i="31" s="1"/>
  <c r="EO215" i="31"/>
  <c r="ES216" i="31" s="1"/>
  <c r="EL215" i="31"/>
  <c r="EV215" i="31"/>
  <c r="DP215" i="31"/>
  <c r="EC215" i="31" l="1"/>
  <c r="JX215" i="31"/>
  <c r="DM215" i="31"/>
  <c r="DX215" i="31"/>
  <c r="FQ215" i="31"/>
  <c r="BR215" i="31"/>
  <c r="BS215" i="31"/>
  <c r="KG215" i="31"/>
  <c r="DL215" i="31" l="1"/>
  <c r="L216" i="31"/>
  <c r="BT215" i="31"/>
  <c r="BU215" i="31"/>
  <c r="EX215" i="31"/>
  <c r="M215" i="31" s="1"/>
  <c r="FB215" i="31"/>
  <c r="BV215" i="31" l="1"/>
  <c r="BW215" i="31" s="1"/>
  <c r="MB215" i="31"/>
  <c r="NM215" i="31" s="1"/>
  <c r="NN215" i="31" s="1"/>
  <c r="MJ215" i="31"/>
  <c r="NS215" i="31" s="1"/>
  <c r="BY215" i="31" l="1"/>
  <c r="BX215" i="31"/>
  <c r="OV216" i="31"/>
  <c r="NW215" i="31"/>
  <c r="NT215" i="31"/>
  <c r="OU216" i="31"/>
  <c r="BZ215" i="31" l="1"/>
  <c r="CA215" i="31"/>
  <c r="CB215" i="31" s="1"/>
  <c r="FV215" i="31"/>
  <c r="FR215" i="31"/>
  <c r="CX215" i="31"/>
  <c r="NU215" i="31"/>
  <c r="NX215" i="31"/>
  <c r="OF215" i="31" s="1"/>
  <c r="OS216" i="31" s="1"/>
  <c r="CC215" i="31" l="1"/>
  <c r="NY215" i="31"/>
  <c r="NV215" i="31"/>
  <c r="NZ215" i="31"/>
  <c r="MY215" i="31"/>
  <c r="CY216" i="31"/>
  <c r="CD215" i="31" l="1"/>
  <c r="CE215" i="31"/>
  <c r="OB215" i="31"/>
  <c r="OT216" i="31" s="1"/>
  <c r="OA215" i="31"/>
  <c r="MV216" i="31" s="1"/>
  <c r="OI215" i="31"/>
  <c r="NF216" i="31"/>
  <c r="OM216" i="31"/>
  <c r="OO216" i="31"/>
  <c r="MZ216" i="31"/>
  <c r="OZ215" i="31"/>
  <c r="CF215" i="31" l="1"/>
  <c r="CG215" i="31"/>
  <c r="CH215" i="31" s="1"/>
  <c r="CI215" i="31" s="1"/>
  <c r="CJ215" i="31" s="1"/>
  <c r="CO215" i="31" s="1"/>
  <c r="OW215" i="31"/>
  <c r="OX216" i="31"/>
  <c r="MR216" i="31"/>
  <c r="OG216" i="31"/>
  <c r="KT216" i="31"/>
  <c r="PA215" i="31"/>
  <c r="OJ215" i="31"/>
  <c r="OC215" i="31"/>
  <c r="OD216" i="31" s="1"/>
  <c r="OH216" i="31" s="1"/>
  <c r="CK215" i="31" l="1"/>
  <c r="CM215" i="31" s="1"/>
  <c r="CN215" i="31" s="1"/>
  <c r="OK216" i="31"/>
  <c r="MS216" i="31"/>
  <c r="KM216" i="31"/>
  <c r="KO217" i="31" s="1"/>
  <c r="KL216" i="31"/>
  <c r="KN217" i="31" s="1"/>
  <c r="OY216" i="31"/>
  <c r="MW216" i="31"/>
  <c r="CL215" i="31" l="1"/>
  <c r="CP215" i="31" s="1"/>
  <c r="KQ216" i="31"/>
  <c r="KP217" i="31"/>
  <c r="KR216" i="31"/>
  <c r="MT216" i="31"/>
  <c r="NP216" i="31"/>
  <c r="MO216" i="31"/>
  <c r="NH217" i="31"/>
  <c r="NI217" i="31" s="1"/>
  <c r="MU216" i="31"/>
  <c r="NJ216" i="31"/>
  <c r="NQ216" i="31"/>
  <c r="PE216" i="31"/>
  <c r="MX216" i="31"/>
  <c r="NA216" i="31" l="1"/>
  <c r="NB216" i="31"/>
  <c r="NR216" i="31"/>
  <c r="KS216" i="31"/>
  <c r="NL216" i="31"/>
  <c r="NK216" i="31"/>
  <c r="NG217" i="31"/>
  <c r="OQ217" i="31"/>
  <c r="CQ215" i="31"/>
  <c r="HO215" i="31"/>
  <c r="GO215" i="31"/>
  <c r="FU215" i="31"/>
  <c r="FW215" i="31" s="1"/>
  <c r="JR215" i="31"/>
  <c r="JS215" i="31" s="1"/>
  <c r="DQ215" i="31"/>
  <c r="DR215" i="31" s="1"/>
  <c r="FX215" i="31"/>
  <c r="FY215" i="31" s="1"/>
  <c r="FZ215" i="31"/>
  <c r="GA215" i="31" s="1"/>
  <c r="GB215" i="31"/>
  <c r="GC215" i="31" s="1"/>
  <c r="FP215" i="31"/>
  <c r="FS215" i="31" s="1"/>
  <c r="FE215" i="31"/>
  <c r="FF215" i="31" s="1"/>
  <c r="FH215" i="31"/>
  <c r="FI215" i="31" s="1"/>
  <c r="KX215" i="31"/>
  <c r="KU215" i="31"/>
  <c r="GN215" i="31" l="1"/>
  <c r="GQ215" i="31" s="1"/>
  <c r="HU215" i="31"/>
  <c r="HV216" i="31" s="1"/>
  <c r="FJ216" i="31"/>
  <c r="NC217" i="31"/>
  <c r="MQ217" i="31"/>
  <c r="HA215" i="31"/>
  <c r="HY215" i="31"/>
  <c r="DY215" i="31"/>
  <c r="HP215" i="31"/>
  <c r="IA215" i="31"/>
  <c r="IB215" i="31" s="1"/>
  <c r="IZ215" i="31"/>
  <c r="CT215" i="31"/>
  <c r="CS215" i="31"/>
  <c r="CR215" i="31"/>
  <c r="OR217" i="31"/>
  <c r="JU215" i="31"/>
  <c r="KE215" i="31"/>
  <c r="JT216" i="31"/>
  <c r="KC215" i="31"/>
  <c r="FG216" i="31"/>
  <c r="HW215" i="31"/>
  <c r="HX216" i="31" s="1"/>
  <c r="DS215" i="31"/>
  <c r="AX215" i="31" s="1"/>
  <c r="AY216" i="31" s="1"/>
  <c r="KV215" i="31" l="1"/>
  <c r="KW216" i="31" s="1"/>
  <c r="HQ215" i="31"/>
  <c r="HR216" i="31" s="1"/>
  <c r="HT215" i="31"/>
  <c r="HS215" i="31"/>
  <c r="JG215" i="31" s="1"/>
  <c r="AZ215" i="31"/>
  <c r="EN215" i="31"/>
  <c r="EM215" i="31"/>
  <c r="EW215" i="31" s="1"/>
  <c r="BB216" i="31" l="1"/>
  <c r="EQ215" i="31"/>
  <c r="DW215" i="31"/>
  <c r="DU216" i="31" s="1"/>
  <c r="ER216" i="31"/>
  <c r="IU215" i="31"/>
  <c r="IV215" i="31" s="1"/>
  <c r="IC215" i="31"/>
  <c r="ID215" i="31" s="1"/>
  <c r="IF215" i="31" s="1"/>
  <c r="KH215" i="31" s="1"/>
  <c r="JB215" i="31"/>
  <c r="IW215" i="31" l="1"/>
  <c r="KB215" i="31" s="1"/>
  <c r="EU216" i="31"/>
  <c r="DB215" i="31"/>
  <c r="DC215" i="31" s="1"/>
  <c r="DD216" i="31" s="1"/>
  <c r="DE217" i="31" s="1"/>
  <c r="IM215" i="31"/>
  <c r="GM215" i="31"/>
  <c r="KI216" i="31"/>
  <c r="IN215" i="31"/>
  <c r="DF215" i="31"/>
  <c r="BC216" i="31"/>
  <c r="KK215" i="31"/>
  <c r="IX215" i="31"/>
  <c r="GT217" i="31" l="1"/>
  <c r="DT215" i="31"/>
  <c r="DZ215" i="31" s="1"/>
  <c r="FD215" i="31"/>
  <c r="GV215" i="31"/>
  <c r="GU215" i="31"/>
  <c r="KJ216" i="31"/>
  <c r="GR215" i="31"/>
  <c r="BE216" i="31"/>
  <c r="BD216" i="31"/>
  <c r="GS215" i="31" l="1"/>
  <c r="IS215" i="31"/>
  <c r="FL216" i="31"/>
  <c r="BF216" i="31"/>
  <c r="BG216" i="31"/>
  <c r="BH216" i="31" l="1"/>
  <c r="BI216" i="31"/>
  <c r="BK216" i="31" s="1"/>
  <c r="FM216" i="31"/>
  <c r="JH215" i="31"/>
  <c r="JI215" i="31" s="1"/>
  <c r="IT215" i="31"/>
  <c r="GX215" i="31"/>
  <c r="GW215" i="31"/>
  <c r="HC215" i="31" s="1"/>
  <c r="FA216" i="31" s="1"/>
  <c r="HB216" i="31" s="1"/>
  <c r="GY215" i="31"/>
  <c r="EG215" i="31" l="1"/>
  <c r="EH216" i="31" s="1"/>
  <c r="EI216" i="31" s="1"/>
  <c r="FK216" i="31" s="1"/>
  <c r="EY215" i="31"/>
  <c r="HM215" i="31"/>
  <c r="HK216" i="31"/>
  <c r="JK215" i="31"/>
  <c r="JZ215" i="31" s="1"/>
  <c r="KF215" i="31" s="1"/>
  <c r="IQ216" i="31" s="1"/>
  <c r="BL216" i="31"/>
  <c r="BM216" i="31"/>
  <c r="BJ216" i="31"/>
  <c r="JN215" i="31" l="1"/>
  <c r="JV215" i="31" s="1"/>
  <c r="JF216" i="31" s="1"/>
  <c r="JL215" i="31"/>
  <c r="JJ216" i="31" s="1"/>
  <c r="KA216" i="31"/>
  <c r="BO216" i="31"/>
  <c r="BN216" i="31"/>
  <c r="EJ215" i="31"/>
  <c r="EK216" i="31" s="1"/>
  <c r="ED215" i="31"/>
  <c r="EB216" i="31" s="1"/>
  <c r="EE215" i="31"/>
  <c r="EF216" i="31" s="1"/>
  <c r="EZ215" i="31"/>
  <c r="DG215" i="31"/>
  <c r="DH215" i="31" s="1"/>
  <c r="DI216" i="31" s="1"/>
  <c r="JM215" i="31"/>
  <c r="KD215" i="31" s="1"/>
  <c r="IL216" i="31" s="1"/>
  <c r="JE216" i="31" s="1"/>
  <c r="EL216" i="31" l="1"/>
  <c r="FC216" i="31"/>
  <c r="EP216" i="31"/>
  <c r="ET217" i="31" s="1"/>
  <c r="EO216" i="31"/>
  <c r="ES217" i="31" s="1"/>
  <c r="EV216" i="31"/>
  <c r="JC216" i="31"/>
  <c r="JD216" i="31"/>
  <c r="DP216" i="31"/>
  <c r="IY216" i="31"/>
  <c r="HZ216" i="31"/>
  <c r="JO216" i="31"/>
  <c r="IP216" i="31"/>
  <c r="IO216" i="31"/>
  <c r="IR216" i="31"/>
  <c r="JA216" i="31"/>
  <c r="BP216" i="31"/>
  <c r="BQ216" i="31" s="1"/>
  <c r="GZ216" i="31"/>
  <c r="IE216" i="31" s="1"/>
  <c r="DJ216" i="31"/>
  <c r="DK216" i="31" s="1"/>
  <c r="JW216" i="31"/>
  <c r="JY216" i="31"/>
  <c r="JP216" i="31" l="1"/>
  <c r="JQ216" i="31" s="1"/>
  <c r="DM216" i="31"/>
  <c r="DX216" i="31"/>
  <c r="FQ216" i="31"/>
  <c r="EC216" i="31"/>
  <c r="BR216" i="31"/>
  <c r="BS216" i="31"/>
  <c r="KG216" i="31"/>
  <c r="JX216" i="31"/>
  <c r="FB216" i="31" l="1"/>
  <c r="EX216" i="31"/>
  <c r="M216" i="31" s="1"/>
  <c r="BT216" i="31"/>
  <c r="BU216" i="31"/>
  <c r="DL216" i="31"/>
  <c r="L217" i="31"/>
  <c r="MJ216" i="31" l="1"/>
  <c r="NS216" i="31" s="1"/>
  <c r="MB216" i="31"/>
  <c r="BV216" i="31"/>
  <c r="BW216" i="31" s="1"/>
  <c r="NM216" i="31" l="1"/>
  <c r="NN216" i="31" s="1"/>
  <c r="BX216" i="31"/>
  <c r="BY216" i="31"/>
  <c r="NT216" i="31"/>
  <c r="OU217" i="31"/>
  <c r="BZ216" i="31" l="1"/>
  <c r="OV217" i="31"/>
  <c r="NW216" i="31"/>
  <c r="NX216" i="31" s="1"/>
  <c r="OF216" i="31" s="1"/>
  <c r="OS217" i="31" s="1"/>
  <c r="CA216" i="31"/>
  <c r="CX216" i="31"/>
  <c r="FR216" i="31"/>
  <c r="FV216" i="31"/>
  <c r="NU216" i="31"/>
  <c r="NY216" i="31" l="1"/>
  <c r="OB216" i="31" s="1"/>
  <c r="OT217" i="31" s="1"/>
  <c r="CB216" i="31"/>
  <c r="CC216" i="31" s="1"/>
  <c r="NV216" i="31"/>
  <c r="NZ216" i="31"/>
  <c r="MY216" i="31"/>
  <c r="CY217" i="31"/>
  <c r="CE216" i="31" l="1"/>
  <c r="CD216" i="31"/>
  <c r="OA216" i="31"/>
  <c r="MV217" i="31" s="1"/>
  <c r="OG217" i="31" s="1"/>
  <c r="MZ217" i="31"/>
  <c r="OZ216" i="31"/>
  <c r="OC216" i="31"/>
  <c r="OD217" i="31" s="1"/>
  <c r="OH217" i="31" s="1"/>
  <c r="OJ216" i="31"/>
  <c r="PA216" i="31"/>
  <c r="OO217" i="31"/>
  <c r="NF217" i="31"/>
  <c r="OM217" i="31"/>
  <c r="OI216" i="31"/>
  <c r="OK217" i="31" l="1"/>
  <c r="KT217" i="31"/>
  <c r="CF216" i="31"/>
  <c r="CG216" i="31"/>
  <c r="MW217" i="31"/>
  <c r="OY217" i="31"/>
  <c r="KL217" i="31"/>
  <c r="KN218" i="31" s="1"/>
  <c r="KM217" i="31"/>
  <c r="KO218" i="31" s="1"/>
  <c r="MR217" i="31"/>
  <c r="OW216" i="31"/>
  <c r="OX217" i="31"/>
  <c r="CH216" i="31" l="1"/>
  <c r="CI216" i="31" s="1"/>
  <c r="KQ217" i="31"/>
  <c r="MX217" i="31"/>
  <c r="KP218" i="31"/>
  <c r="KR217" i="31"/>
  <c r="MS217" i="31"/>
  <c r="CJ216" i="31" l="1"/>
  <c r="CO216" i="31" s="1"/>
  <c r="CK216" i="31"/>
  <c r="KS217" i="31"/>
  <c r="MO217" i="31"/>
  <c r="MT217" i="31"/>
  <c r="MU217" i="31"/>
  <c r="NP217" i="31"/>
  <c r="NJ217" i="31"/>
  <c r="NH218" i="31"/>
  <c r="NI218" i="31" s="1"/>
  <c r="NQ217" i="31"/>
  <c r="PE217" i="31"/>
  <c r="NA217" i="31"/>
  <c r="NB217" i="31"/>
  <c r="CL216" i="31" l="1"/>
  <c r="CM216" i="31"/>
  <c r="CN216" i="31" s="1"/>
  <c r="NR217" i="31"/>
  <c r="NL217" i="31"/>
  <c r="NK217" i="31"/>
  <c r="NG218" i="31"/>
  <c r="OQ218" i="31"/>
  <c r="CP216" i="31" l="1"/>
  <c r="FH216" i="31" s="1"/>
  <c r="FI216" i="31" s="1"/>
  <c r="HU216" i="31" s="1"/>
  <c r="HV217" i="31" s="1"/>
  <c r="OR218" i="31"/>
  <c r="NC218" i="31"/>
  <c r="MQ218" i="31"/>
  <c r="DQ216" i="31" l="1"/>
  <c r="DR216" i="31" s="1"/>
  <c r="DS216" i="31" s="1"/>
  <c r="AX216" i="31" s="1"/>
  <c r="AY217" i="31" s="1"/>
  <c r="CQ216" i="31"/>
  <c r="CR216" i="31" s="1"/>
  <c r="HO216" i="31"/>
  <c r="HP216" i="31" s="1"/>
  <c r="HT216" i="31" s="1"/>
  <c r="JR216" i="31"/>
  <c r="JS216" i="31" s="1"/>
  <c r="KC216" i="31" s="1"/>
  <c r="GB216" i="31"/>
  <c r="GC216" i="31" s="1"/>
  <c r="FJ217" i="31"/>
  <c r="FP216" i="31"/>
  <c r="FS216" i="31" s="1"/>
  <c r="HY216" i="31" s="1"/>
  <c r="KU216" i="31"/>
  <c r="FE216" i="31"/>
  <c r="FF216" i="31" s="1"/>
  <c r="HW216" i="31" s="1"/>
  <c r="HX217" i="31" s="1"/>
  <c r="FZ216" i="31"/>
  <c r="GA216" i="31" s="1"/>
  <c r="KX216" i="31"/>
  <c r="FU216" i="31"/>
  <c r="FW216" i="31" s="1"/>
  <c r="GO216" i="31"/>
  <c r="FX216" i="31"/>
  <c r="FY216" i="31" s="1"/>
  <c r="KE216" i="31" l="1"/>
  <c r="EN216" i="31"/>
  <c r="EQ216" i="31" s="1"/>
  <c r="AZ216" i="31"/>
  <c r="EM216" i="31"/>
  <c r="EW216" i="31" s="1"/>
  <c r="GN216" i="31"/>
  <c r="KV216" i="31" s="1"/>
  <c r="HS216" i="31"/>
  <c r="JG216" i="31" s="1"/>
  <c r="CS216" i="31"/>
  <c r="IA216" i="31"/>
  <c r="IB216" i="31" s="1"/>
  <c r="IZ216" i="31"/>
  <c r="CT216" i="31"/>
  <c r="JU216" i="31"/>
  <c r="JT217" i="31"/>
  <c r="HA216" i="31"/>
  <c r="FG217" i="31"/>
  <c r="DY216" i="31"/>
  <c r="IC216" i="31"/>
  <c r="ID216" i="31" s="1"/>
  <c r="JB216" i="31"/>
  <c r="BB217" i="31" l="1"/>
  <c r="BC217" i="31" s="1"/>
  <c r="DW216" i="31"/>
  <c r="DU217" i="31" s="1"/>
  <c r="IU216" i="31"/>
  <c r="IV216" i="31" s="1"/>
  <c r="IX216" i="31" s="1"/>
  <c r="ER217" i="31"/>
  <c r="EU217" i="31" s="1"/>
  <c r="GQ216" i="31"/>
  <c r="KW217" i="31"/>
  <c r="HQ216" i="31"/>
  <c r="HR217" i="31" s="1"/>
  <c r="IF216" i="31"/>
  <c r="KH216" i="31" s="1"/>
  <c r="KK216" i="31" l="1"/>
  <c r="IW216" i="31"/>
  <c r="KB216" i="31" s="1"/>
  <c r="DF216" i="31"/>
  <c r="GU216" i="31" s="1"/>
  <c r="IN216" i="31"/>
  <c r="KI217" i="31"/>
  <c r="KJ217" i="31" s="1"/>
  <c r="GM216" i="31"/>
  <c r="DB216" i="31"/>
  <c r="DC216" i="31" s="1"/>
  <c r="DD217" i="31" s="1"/>
  <c r="DE218" i="31" s="1"/>
  <c r="GT218" i="31" s="1"/>
  <c r="IM216" i="31"/>
  <c r="FD216" i="31" s="1"/>
  <c r="BE217" i="31"/>
  <c r="BD217" i="31"/>
  <c r="GV216" i="31" l="1"/>
  <c r="DT216" i="31"/>
  <c r="DZ216" i="31" s="1"/>
  <c r="GR216" i="31"/>
  <c r="IS216" i="31"/>
  <c r="FL217" i="31"/>
  <c r="BF217" i="31"/>
  <c r="BG217" i="31"/>
  <c r="GS216" i="31" l="1"/>
  <c r="GX216" i="31" s="1"/>
  <c r="FM217" i="31"/>
  <c r="BI217" i="31"/>
  <c r="BK217" i="31" s="1"/>
  <c r="BH217" i="31"/>
  <c r="JH216" i="31"/>
  <c r="JI216" i="31" s="1"/>
  <c r="IT216" i="31"/>
  <c r="GY216" i="31" l="1"/>
  <c r="GW216" i="31"/>
  <c r="HC216" i="31" s="1"/>
  <c r="FA217" i="31" s="1"/>
  <c r="HB217" i="31" s="1"/>
  <c r="JK216" i="31"/>
  <c r="JZ216" i="31" s="1"/>
  <c r="KF216" i="31" s="1"/>
  <c r="IQ217" i="31" s="1"/>
  <c r="HM216" i="31"/>
  <c r="EG216" i="31"/>
  <c r="EH217" i="31" s="1"/>
  <c r="EI217" i="31" s="1"/>
  <c r="FK217" i="31" s="1"/>
  <c r="EY216" i="31"/>
  <c r="HK217" i="31"/>
  <c r="BL217" i="31"/>
  <c r="BM217" i="31"/>
  <c r="BJ217" i="31"/>
  <c r="JM216" i="31" l="1"/>
  <c r="KD216" i="31" s="1"/>
  <c r="IL217" i="31" s="1"/>
  <c r="JE217" i="31" s="1"/>
  <c r="JN216" i="31"/>
  <c r="JV216" i="31" s="1"/>
  <c r="JF217" i="31" s="1"/>
  <c r="BN217" i="31"/>
  <c r="BO217" i="31"/>
  <c r="EE216" i="31"/>
  <c r="EF217" i="31" s="1"/>
  <c r="EJ216" i="31"/>
  <c r="EK217" i="31" s="1"/>
  <c r="ED216" i="31"/>
  <c r="EB217" i="31" s="1"/>
  <c r="JL216" i="31"/>
  <c r="JJ217" i="31" s="1"/>
  <c r="KA217" i="31"/>
  <c r="EZ216" i="31"/>
  <c r="DG216" i="31"/>
  <c r="DH216" i="31" s="1"/>
  <c r="DI217" i="31" s="1"/>
  <c r="IR217" i="31" l="1"/>
  <c r="IP217" i="31"/>
  <c r="JO217" i="31"/>
  <c r="JW217" i="31"/>
  <c r="JY217" i="31"/>
  <c r="BP217" i="31"/>
  <c r="BQ217" i="31" s="1"/>
  <c r="JC217" i="31"/>
  <c r="JD217" i="31"/>
  <c r="EP217" i="31"/>
  <c r="ET218" i="31" s="1"/>
  <c r="EO217" i="31"/>
  <c r="ES218" i="31" s="1"/>
  <c r="EL217" i="31"/>
  <c r="FC217" i="31"/>
  <c r="EV217" i="31"/>
  <c r="HZ217" i="31"/>
  <c r="DP217" i="31"/>
  <c r="DJ217" i="31"/>
  <c r="DK217" i="31" s="1"/>
  <c r="GZ217" i="31"/>
  <c r="IE217" i="31" s="1"/>
  <c r="JA217" i="31"/>
  <c r="IO217" i="31"/>
  <c r="IY217" i="31"/>
  <c r="KG217" i="31" l="1"/>
  <c r="JP217" i="31"/>
  <c r="JQ217" i="31" s="1"/>
  <c r="EC217" i="31"/>
  <c r="JX217" i="31"/>
  <c r="DM217" i="31"/>
  <c r="DX217" i="31"/>
  <c r="FQ217" i="31"/>
  <c r="BR217" i="31"/>
  <c r="BS217" i="31"/>
  <c r="DL217" i="31" l="1"/>
  <c r="L218" i="31"/>
  <c r="BT217" i="31"/>
  <c r="BU217" i="31"/>
  <c r="EX217" i="31"/>
  <c r="M217" i="31" s="1"/>
  <c r="FB217" i="31"/>
  <c r="BV217" i="31" l="1"/>
  <c r="BW217" i="31" s="1"/>
  <c r="MJ217" i="31"/>
  <c r="NS217" i="31" s="1"/>
  <c r="MB217" i="31"/>
  <c r="NM217" i="31" l="1"/>
  <c r="NN217" i="31" s="1"/>
  <c r="BY217" i="31"/>
  <c r="BX217" i="31"/>
  <c r="NT217" i="31"/>
  <c r="OU218" i="31"/>
  <c r="BZ217" i="31" l="1"/>
  <c r="OV218" i="31"/>
  <c r="NW217" i="31"/>
  <c r="NX217" i="31" s="1"/>
  <c r="CA217" i="31"/>
  <c r="CX217" i="31"/>
  <c r="FV217" i="31"/>
  <c r="FR217" i="31"/>
  <c r="NU217" i="31"/>
  <c r="CB217" i="31" l="1"/>
  <c r="CC217" i="31" s="1"/>
  <c r="NY217" i="31"/>
  <c r="NZ217" i="31"/>
  <c r="MY217" i="31"/>
  <c r="CY218" i="31"/>
  <c r="OF217" i="31"/>
  <c r="OS218" i="31" s="1"/>
  <c r="NV217" i="31"/>
  <c r="CD217" i="31" l="1"/>
  <c r="CE217" i="31"/>
  <c r="CF217" i="31" s="1"/>
  <c r="OB217" i="31"/>
  <c r="OT218" i="31" s="1"/>
  <c r="OI217" i="31"/>
  <c r="OA217" i="31"/>
  <c r="MV218" i="31" s="1"/>
  <c r="OG218" i="31" s="1"/>
  <c r="NF218" i="31"/>
  <c r="OM218" i="31"/>
  <c r="OO218" i="31"/>
  <c r="MZ218" i="31"/>
  <c r="OZ217" i="31"/>
  <c r="CG217" i="31" l="1"/>
  <c r="CH217" i="31" s="1"/>
  <c r="OW217" i="31"/>
  <c r="MR218" i="31"/>
  <c r="OX218" i="31"/>
  <c r="KT218" i="31"/>
  <c r="PA217" i="31"/>
  <c r="OJ217" i="31"/>
  <c r="OC217" i="31"/>
  <c r="OD218" i="31" s="1"/>
  <c r="OH218" i="31" s="1"/>
  <c r="OK218" i="31" s="1"/>
  <c r="CI217" i="31" l="1"/>
  <c r="CJ217" i="31" s="1"/>
  <c r="CO217" i="31" s="1"/>
  <c r="KL218" i="31"/>
  <c r="KN219" i="31" s="1"/>
  <c r="KM218" i="31"/>
  <c r="KO219" i="31" s="1"/>
  <c r="MS218" i="31"/>
  <c r="MW218" i="31"/>
  <c r="OY218" i="31"/>
  <c r="CK217" i="31" l="1"/>
  <c r="CL217" i="31" s="1"/>
  <c r="MU218" i="31"/>
  <c r="MO218" i="31"/>
  <c r="NQ218" i="31"/>
  <c r="NH219" i="31"/>
  <c r="NI219" i="31" s="1"/>
  <c r="NP218" i="31"/>
  <c r="MT218" i="31"/>
  <c r="NJ218" i="31"/>
  <c r="PE218" i="31"/>
  <c r="KP219" i="31"/>
  <c r="KR218" i="31"/>
  <c r="MX218" i="31"/>
  <c r="KQ218" i="31"/>
  <c r="CM217" i="31" l="1"/>
  <c r="CN217" i="31" s="1"/>
  <c r="CP217" i="31" s="1"/>
  <c r="GB217" i="31" s="1"/>
  <c r="GC217" i="31" s="1"/>
  <c r="KS218" i="31"/>
  <c r="NK218" i="31"/>
  <c r="NL218" i="31"/>
  <c r="NG219" i="31"/>
  <c r="OQ219" i="31"/>
  <c r="NB218" i="31"/>
  <c r="NA218" i="31"/>
  <c r="NR218" i="31"/>
  <c r="HO217" i="31" l="1"/>
  <c r="HP217" i="31" s="1"/>
  <c r="HT217" i="31" s="1"/>
  <c r="FE217" i="31"/>
  <c r="FF217" i="31" s="1"/>
  <c r="FG218" i="31" s="1"/>
  <c r="KX217" i="31"/>
  <c r="GN217" i="31" s="1"/>
  <c r="KV217" i="31" s="1"/>
  <c r="FU217" i="31"/>
  <c r="FW217" i="31" s="1"/>
  <c r="DQ217" i="31"/>
  <c r="DR217" i="31" s="1"/>
  <c r="DS217" i="31" s="1"/>
  <c r="AX217" i="31" s="1"/>
  <c r="AY218" i="31" s="1"/>
  <c r="GO217" i="31"/>
  <c r="GQ217" i="31" s="1"/>
  <c r="JR217" i="31"/>
  <c r="JS217" i="31" s="1"/>
  <c r="KC217" i="31" s="1"/>
  <c r="FX217" i="31"/>
  <c r="FY217" i="31" s="1"/>
  <c r="FZ217" i="31"/>
  <c r="GA217" i="31" s="1"/>
  <c r="CQ217" i="31"/>
  <c r="CT217" i="31" s="1"/>
  <c r="FH217" i="31"/>
  <c r="FI217" i="31" s="1"/>
  <c r="HU217" i="31" s="1"/>
  <c r="HV218" i="31" s="1"/>
  <c r="FP217" i="31"/>
  <c r="FS217" i="31" s="1"/>
  <c r="HA217" i="31" s="1"/>
  <c r="KU217" i="31"/>
  <c r="CR217" i="31"/>
  <c r="CS217" i="31"/>
  <c r="HW217" i="31"/>
  <c r="HX218" i="31" s="1"/>
  <c r="NC219" i="31"/>
  <c r="MQ219" i="31"/>
  <c r="OR219" i="31"/>
  <c r="EN217" i="31" l="1"/>
  <c r="ER218" i="31" s="1"/>
  <c r="KE217" i="31"/>
  <c r="JT218" i="31"/>
  <c r="EM217" i="31"/>
  <c r="EW217" i="31" s="1"/>
  <c r="JU217" i="31"/>
  <c r="AZ217" i="31"/>
  <c r="FJ218" i="31"/>
  <c r="DY217" i="31"/>
  <c r="IZ217" i="31"/>
  <c r="HS217" i="31"/>
  <c r="JG217" i="31" s="1"/>
  <c r="IA217" i="31"/>
  <c r="IB217" i="31" s="1"/>
  <c r="HY217" i="31"/>
  <c r="KW218" i="31"/>
  <c r="HQ217" i="31"/>
  <c r="HR218" i="31" s="1"/>
  <c r="IC217" i="31"/>
  <c r="ID217" i="31" s="1"/>
  <c r="IF217" i="31" s="1"/>
  <c r="KH217" i="31" s="1"/>
  <c r="JB217" i="31"/>
  <c r="DW217" i="31" l="1"/>
  <c r="DU218" i="31" s="1"/>
  <c r="EQ217" i="31"/>
  <c r="IU217" i="31"/>
  <c r="IV217" i="31" s="1"/>
  <c r="BB218" i="31"/>
  <c r="IW217" i="31"/>
  <c r="KB217" i="31" s="1"/>
  <c r="EU218" i="31"/>
  <c r="KK217" i="31"/>
  <c r="IX217" i="31"/>
  <c r="DB217" i="31"/>
  <c r="DC217" i="31" s="1"/>
  <c r="DD218" i="31" s="1"/>
  <c r="DE219" i="31" s="1"/>
  <c r="IM217" i="31"/>
  <c r="GM217" i="31"/>
  <c r="KI218" i="31"/>
  <c r="IN217" i="31"/>
  <c r="DF217" i="31"/>
  <c r="BC218" i="31"/>
  <c r="GT219" i="31" l="1"/>
  <c r="GR217" i="31"/>
  <c r="BE218" i="31"/>
  <c r="BD218" i="31"/>
  <c r="GV217" i="31"/>
  <c r="FD217" i="31"/>
  <c r="GU217" i="31"/>
  <c r="KJ218" i="31"/>
  <c r="DT217" i="31"/>
  <c r="DZ217" i="31" s="1"/>
  <c r="IS217" i="31" l="1"/>
  <c r="FL218" i="31"/>
  <c r="BG218" i="31"/>
  <c r="BF218" i="31"/>
  <c r="GS217" i="31"/>
  <c r="GW217" i="31" l="1"/>
  <c r="HC217" i="31" s="1"/>
  <c r="FA218" i="31" s="1"/>
  <c r="HB218" i="31" s="1"/>
  <c r="GX217" i="31"/>
  <c r="GY217" i="31"/>
  <c r="BI218" i="31"/>
  <c r="BK218" i="31" s="1"/>
  <c r="BH218" i="31"/>
  <c r="FM218" i="31"/>
  <c r="JH217" i="31"/>
  <c r="JI217" i="31" s="1"/>
  <c r="IT217" i="31"/>
  <c r="JK217" i="31" l="1"/>
  <c r="JZ217" i="31" s="1"/>
  <c r="KF217" i="31" s="1"/>
  <c r="IQ218" i="31" s="1"/>
  <c r="EG217" i="31"/>
  <c r="EH218" i="31" s="1"/>
  <c r="EI218" i="31" s="1"/>
  <c r="FK218" i="31" s="1"/>
  <c r="EY217" i="31"/>
  <c r="HM217" i="31"/>
  <c r="HK218" i="31"/>
  <c r="BL218" i="31"/>
  <c r="BM218" i="31"/>
  <c r="BJ218" i="31"/>
  <c r="JM217" i="31" l="1"/>
  <c r="KD217" i="31" s="1"/>
  <c r="IL218" i="31" s="1"/>
  <c r="IR218" i="31" s="1"/>
  <c r="JN217" i="31"/>
  <c r="JV217" i="31" s="1"/>
  <c r="JF218" i="31" s="1"/>
  <c r="JW218" i="31" s="1"/>
  <c r="EZ217" i="31"/>
  <c r="DG217" i="31"/>
  <c r="DH217" i="31" s="1"/>
  <c r="DI218" i="31" s="1"/>
  <c r="BN218" i="31"/>
  <c r="BO218" i="31"/>
  <c r="JL217" i="31"/>
  <c r="JJ218" i="31" s="1"/>
  <c r="KA218" i="31"/>
  <c r="EE217" i="31"/>
  <c r="EF218" i="31" s="1"/>
  <c r="ED217" i="31"/>
  <c r="EB218" i="31" s="1"/>
  <c r="EJ217" i="31"/>
  <c r="EK218" i="31" s="1"/>
  <c r="JE218" i="31" l="1"/>
  <c r="JO218" i="31"/>
  <c r="JY218" i="31"/>
  <c r="JC218" i="31"/>
  <c r="JD218" i="31"/>
  <c r="EO218" i="31"/>
  <c r="ES219" i="31" s="1"/>
  <c r="EL218" i="31"/>
  <c r="EP218" i="31"/>
  <c r="ET219" i="31" s="1"/>
  <c r="FC218" i="31"/>
  <c r="EV218" i="31"/>
  <c r="GZ218" i="31"/>
  <c r="IE218" i="31" s="1"/>
  <c r="DJ218" i="31"/>
  <c r="DK218" i="31" s="1"/>
  <c r="HZ218" i="31"/>
  <c r="DP218" i="31"/>
  <c r="JA218" i="31"/>
  <c r="IY218" i="31"/>
  <c r="BP218" i="31"/>
  <c r="BQ218" i="31" s="1"/>
  <c r="IP218" i="31"/>
  <c r="IO218" i="31"/>
  <c r="JP218" i="31" l="1"/>
  <c r="JQ218" i="31" s="1"/>
  <c r="KG218" i="31"/>
  <c r="DX218" i="31"/>
  <c r="FQ218" i="31"/>
  <c r="DM218" i="31"/>
  <c r="BR218" i="31"/>
  <c r="BS218" i="31"/>
  <c r="EC218" i="31"/>
  <c r="JX218" i="31"/>
  <c r="DL218" i="31" l="1"/>
  <c r="L219" i="31"/>
  <c r="FB218" i="31"/>
  <c r="EX218" i="31"/>
  <c r="M218" i="31" s="1"/>
  <c r="BT218" i="31"/>
  <c r="BU218" i="31"/>
  <c r="MJ218" i="31" l="1"/>
  <c r="NS218" i="31" s="1"/>
  <c r="MB218" i="31"/>
  <c r="BV218" i="31"/>
  <c r="BW218" i="31" s="1"/>
  <c r="NM218" i="31" l="1"/>
  <c r="NN218" i="31" s="1"/>
  <c r="BY218" i="31"/>
  <c r="CA218" i="31" s="1"/>
  <c r="BX218" i="31"/>
  <c r="NT218" i="31"/>
  <c r="OU219" i="31"/>
  <c r="BZ218" i="31" l="1"/>
  <c r="OV219" i="31"/>
  <c r="NW218" i="31"/>
  <c r="NX218" i="31" s="1"/>
  <c r="OF218" i="31" s="1"/>
  <c r="OS219" i="31" s="1"/>
  <c r="CX218" i="31"/>
  <c r="FR218" i="31"/>
  <c r="FV218" i="31"/>
  <c r="NU218" i="31"/>
  <c r="CB218" i="31"/>
  <c r="CC218" i="31" s="1"/>
  <c r="CE218" i="31" l="1"/>
  <c r="CF218" i="31" s="1"/>
  <c r="CD218" i="31"/>
  <c r="NV218" i="31"/>
  <c r="MY218" i="31"/>
  <c r="NZ218" i="31"/>
  <c r="CY219" i="31"/>
  <c r="NY218" i="31"/>
  <c r="CG218" i="31" l="1"/>
  <c r="CH218" i="31" s="1"/>
  <c r="OI218" i="31"/>
  <c r="OB218" i="31"/>
  <c r="OT219" i="31" s="1"/>
  <c r="OA218" i="31"/>
  <c r="MV219" i="31" s="1"/>
  <c r="NF219" i="31"/>
  <c r="OM219" i="31"/>
  <c r="OO219" i="31"/>
  <c r="MZ219" i="31"/>
  <c r="OZ218" i="31"/>
  <c r="CI218" i="31" l="1"/>
  <c r="CJ218" i="31" s="1"/>
  <c r="CO218" i="31" s="1"/>
  <c r="KT219" i="31"/>
  <c r="OG219" i="31"/>
  <c r="PA218" i="31"/>
  <c r="OJ218" i="31"/>
  <c r="OC218" i="31"/>
  <c r="OD219" i="31" s="1"/>
  <c r="OH219" i="31" s="1"/>
  <c r="OK219" i="31" s="1"/>
  <c r="MR219" i="31"/>
  <c r="OW218" i="31"/>
  <c r="OX219" i="31"/>
  <c r="CK218" i="31" l="1"/>
  <c r="CL218" i="31" s="1"/>
  <c r="OY219" i="31"/>
  <c r="MW219" i="31"/>
  <c r="KM219" i="31"/>
  <c r="KO220" i="31" s="1"/>
  <c r="KL219" i="31"/>
  <c r="KN220" i="31" s="1"/>
  <c r="MS219" i="31"/>
  <c r="CM218" i="31" l="1"/>
  <c r="CN218" i="31" s="1"/>
  <c r="CP218" i="31" s="1"/>
  <c r="JR218" i="31" s="1"/>
  <c r="JS218" i="31" s="1"/>
  <c r="KP220" i="31"/>
  <c r="KR219" i="31"/>
  <c r="KQ219" i="31"/>
  <c r="MX219" i="31"/>
  <c r="MU219" i="31"/>
  <c r="MO219" i="31"/>
  <c r="NJ219" i="31"/>
  <c r="MT219" i="31"/>
  <c r="NH220" i="31"/>
  <c r="NI220" i="31" s="1"/>
  <c r="NP219" i="31"/>
  <c r="NQ219" i="31"/>
  <c r="PE219" i="31"/>
  <c r="GB218" i="31" l="1"/>
  <c r="GC218" i="31" s="1"/>
  <c r="KU218" i="31"/>
  <c r="FE218" i="31"/>
  <c r="FF218" i="31" s="1"/>
  <c r="FG219" i="31" s="1"/>
  <c r="DQ218" i="31"/>
  <c r="DR218" i="31" s="1"/>
  <c r="DS218" i="31" s="1"/>
  <c r="AX218" i="31" s="1"/>
  <c r="AY219" i="31" s="1"/>
  <c r="FX218" i="31"/>
  <c r="FY218" i="31" s="1"/>
  <c r="HO218" i="31"/>
  <c r="HP218" i="31" s="1"/>
  <c r="CQ218" i="31"/>
  <c r="CS218" i="31" s="1"/>
  <c r="FH218" i="31"/>
  <c r="FI218" i="31" s="1"/>
  <c r="HU218" i="31" s="1"/>
  <c r="HV219" i="31" s="1"/>
  <c r="FP218" i="31"/>
  <c r="FS218" i="31" s="1"/>
  <c r="DY218" i="31" s="1"/>
  <c r="FU218" i="31"/>
  <c r="FW218" i="31" s="1"/>
  <c r="FZ218" i="31"/>
  <c r="GA218" i="31" s="1"/>
  <c r="GO218" i="31"/>
  <c r="KX218" i="31"/>
  <c r="GN218" i="31" s="1"/>
  <c r="KV218" i="31" s="1"/>
  <c r="KS219" i="31"/>
  <c r="NR219" i="31"/>
  <c r="NB219" i="31"/>
  <c r="NA219" i="31"/>
  <c r="JU218" i="31"/>
  <c r="KE218" i="31"/>
  <c r="KC218" i="31"/>
  <c r="JT219" i="31"/>
  <c r="HW218" i="31"/>
  <c r="HX219" i="31" s="1"/>
  <c r="NK219" i="31"/>
  <c r="NL219" i="31"/>
  <c r="NG220" i="31"/>
  <c r="OQ220" i="31"/>
  <c r="KW219" i="31" l="1"/>
  <c r="HQ218" i="31"/>
  <c r="HR219" i="31" s="1"/>
  <c r="IA218" i="31"/>
  <c r="IB218" i="31" s="1"/>
  <c r="IZ218" i="31"/>
  <c r="FJ219" i="31"/>
  <c r="CR218" i="31"/>
  <c r="CT218" i="31"/>
  <c r="HY218" i="31"/>
  <c r="HA218" i="31"/>
  <c r="GQ218" i="31"/>
  <c r="OR220" i="31"/>
  <c r="NC220" i="31"/>
  <c r="MQ220" i="31"/>
  <c r="EM218" i="31"/>
  <c r="EW218" i="31" s="1"/>
  <c r="EN218" i="31"/>
  <c r="AZ218" i="31"/>
  <c r="HT218" i="31"/>
  <c r="HS218" i="31"/>
  <c r="JG218" i="31" s="1"/>
  <c r="BB219" i="31" l="1"/>
  <c r="DW218" i="31"/>
  <c r="DU219" i="31" s="1"/>
  <c r="EQ218" i="31"/>
  <c r="IW218" i="31"/>
  <c r="ER219" i="31"/>
  <c r="IU218" i="31"/>
  <c r="IV218" i="31" s="1"/>
  <c r="IC218" i="31"/>
  <c r="ID218" i="31" s="1"/>
  <c r="IF218" i="31" s="1"/>
  <c r="KH218" i="31" s="1"/>
  <c r="JB218" i="31"/>
  <c r="KK218" i="31" l="1"/>
  <c r="KB218" i="31"/>
  <c r="IX218" i="31"/>
  <c r="EU219" i="31"/>
  <c r="DB218" i="31"/>
  <c r="DC218" i="31" s="1"/>
  <c r="DD219" i="31" s="1"/>
  <c r="DE220" i="31" s="1"/>
  <c r="IM218" i="31"/>
  <c r="GM218" i="31"/>
  <c r="KI219" i="31"/>
  <c r="IN218" i="31"/>
  <c r="DF218" i="31"/>
  <c r="BC219" i="31"/>
  <c r="GT220" i="31" l="1"/>
  <c r="KJ219" i="31"/>
  <c r="FD218" i="31"/>
  <c r="GV218" i="31"/>
  <c r="GU218" i="31"/>
  <c r="GR218" i="31"/>
  <c r="DT218" i="31"/>
  <c r="DZ218" i="31" s="1"/>
  <c r="BD219" i="31"/>
  <c r="BE219" i="31"/>
  <c r="BF219" i="31" l="1"/>
  <c r="BG219" i="31"/>
  <c r="IS218" i="31"/>
  <c r="FL219" i="31"/>
  <c r="GS218" i="31"/>
  <c r="FM219" i="31" l="1"/>
  <c r="BI219" i="31"/>
  <c r="BK219" i="31" s="1"/>
  <c r="BH219" i="31"/>
  <c r="GY218" i="31"/>
  <c r="GW218" i="31"/>
  <c r="HC218" i="31" s="1"/>
  <c r="FA219" i="31" s="1"/>
  <c r="HB219" i="31" s="1"/>
  <c r="GX218" i="31"/>
  <c r="JH218" i="31"/>
  <c r="JI218" i="31" s="1"/>
  <c r="IT218" i="31"/>
  <c r="BJ219" i="31" l="1"/>
  <c r="EG218" i="31"/>
  <c r="EH219" i="31" s="1"/>
  <c r="EI219" i="31" s="1"/>
  <c r="FK219" i="31" s="1"/>
  <c r="EY218" i="31"/>
  <c r="HM218" i="31"/>
  <c r="HK219" i="31"/>
  <c r="JK218" i="31"/>
  <c r="BL219" i="31"/>
  <c r="BM219" i="31"/>
  <c r="BN219" i="31" l="1"/>
  <c r="BO219" i="31"/>
  <c r="EZ218" i="31"/>
  <c r="DG218" i="31"/>
  <c r="DH218" i="31" s="1"/>
  <c r="DI219" i="31" s="1"/>
  <c r="JZ218" i="31"/>
  <c r="KF218" i="31" s="1"/>
  <c r="IQ219" i="31" s="1"/>
  <c r="JL218" i="31"/>
  <c r="JJ219" i="31" s="1"/>
  <c r="KA219" i="31"/>
  <c r="ED218" i="31"/>
  <c r="EB219" i="31" s="1"/>
  <c r="EE218" i="31"/>
  <c r="EF219" i="31" s="1"/>
  <c r="EJ218" i="31"/>
  <c r="EK219" i="31" s="1"/>
  <c r="JM218" i="31"/>
  <c r="KD218" i="31" s="1"/>
  <c r="IL219" i="31" s="1"/>
  <c r="JN218" i="31"/>
  <c r="JV218" i="31" s="1"/>
  <c r="JF219" i="31" s="1"/>
  <c r="IR219" i="31" l="1"/>
  <c r="IO219" i="31"/>
  <c r="IP219" i="31"/>
  <c r="DJ219" i="31"/>
  <c r="DK219" i="31" s="1"/>
  <c r="GZ219" i="31"/>
  <c r="IE219" i="31" s="1"/>
  <c r="JC219" i="31"/>
  <c r="JD219" i="31"/>
  <c r="FC219" i="31"/>
  <c r="EL219" i="31"/>
  <c r="EO219" i="31"/>
  <c r="ES220" i="31" s="1"/>
  <c r="EP219" i="31"/>
  <c r="ET220" i="31" s="1"/>
  <c r="EV219" i="31"/>
  <c r="HZ219" i="31"/>
  <c r="BP219" i="31"/>
  <c r="BQ219" i="31" s="1"/>
  <c r="DP219" i="31"/>
  <c r="JY219" i="31"/>
  <c r="JW219" i="31"/>
  <c r="JA219" i="31"/>
  <c r="IY219" i="31"/>
  <c r="JE219" i="31"/>
  <c r="JO219" i="31"/>
  <c r="JP219" i="31" l="1"/>
  <c r="JQ219" i="31" s="1"/>
  <c r="JX219" i="31"/>
  <c r="DX219" i="31"/>
  <c r="FQ219" i="31"/>
  <c r="DM219" i="31"/>
  <c r="EC219" i="31"/>
  <c r="BR219" i="31"/>
  <c r="BS219" i="31"/>
  <c r="KG219" i="31"/>
  <c r="FB219" i="31" l="1"/>
  <c r="EX219" i="31"/>
  <c r="M219" i="31" s="1"/>
  <c r="DL219" i="31"/>
  <c r="L220" i="31"/>
  <c r="BT219" i="31"/>
  <c r="BU219" i="31"/>
  <c r="BV219" i="31" l="1"/>
  <c r="BW219" i="31" s="1"/>
  <c r="MJ219" i="31"/>
  <c r="NS219" i="31" s="1"/>
  <c r="MB219" i="31"/>
  <c r="NM219" i="31" l="1"/>
  <c r="NN219" i="31" s="1"/>
  <c r="BX219" i="31"/>
  <c r="BY219" i="31"/>
  <c r="NT219" i="31"/>
  <c r="OU220" i="31"/>
  <c r="BZ219" i="31" l="1"/>
  <c r="OV220" i="31"/>
  <c r="NW219" i="31"/>
  <c r="NX219" i="31" s="1"/>
  <c r="CA219" i="31"/>
  <c r="CX219" i="31"/>
  <c r="FR219" i="31"/>
  <c r="FV219" i="31"/>
  <c r="NU219" i="31"/>
  <c r="CB219" i="31" l="1"/>
  <c r="CC219" i="31" s="1"/>
  <c r="NY219" i="31"/>
  <c r="NZ219" i="31"/>
  <c r="MY219" i="31"/>
  <c r="CY220" i="31"/>
  <c r="OF219" i="31"/>
  <c r="OS220" i="31" s="1"/>
  <c r="NV219" i="31"/>
  <c r="CD219" i="31" l="1"/>
  <c r="CE219" i="31"/>
  <c r="CG219" i="31" s="1"/>
  <c r="OI219" i="31"/>
  <c r="OW219" i="31" s="1"/>
  <c r="OM220" i="31"/>
  <c r="OO220" i="31"/>
  <c r="NF220" i="31"/>
  <c r="MZ220" i="31"/>
  <c r="OZ219" i="31"/>
  <c r="OB219" i="31"/>
  <c r="OT220" i="31" s="1"/>
  <c r="OA219" i="31"/>
  <c r="MV220" i="31" s="1"/>
  <c r="CH219" i="31" l="1"/>
  <c r="CI219" i="31" s="1"/>
  <c r="CJ219" i="31" s="1"/>
  <c r="CO219" i="31" s="1"/>
  <c r="CF219" i="31"/>
  <c r="OX220" i="31"/>
  <c r="MR220" i="31"/>
  <c r="MS220" i="31" s="1"/>
  <c r="OC219" i="31"/>
  <c r="OD220" i="31" s="1"/>
  <c r="OH220" i="31" s="1"/>
  <c r="PA219" i="31"/>
  <c r="OJ219" i="31"/>
  <c r="KT220" i="31"/>
  <c r="OG220" i="31"/>
  <c r="CK219" i="31" l="1"/>
  <c r="CL219" i="31" s="1"/>
  <c r="MT220" i="31"/>
  <c r="NP220" i="31"/>
  <c r="NJ220" i="31"/>
  <c r="MU220" i="31"/>
  <c r="MO220" i="31"/>
  <c r="NQ220" i="31"/>
  <c r="NR220" i="31" s="1"/>
  <c r="NH221" i="31"/>
  <c r="NI221" i="31" s="1"/>
  <c r="PE220" i="31"/>
  <c r="OY220" i="31"/>
  <c r="MW220" i="31"/>
  <c r="KL220" i="31"/>
  <c r="KN221" i="31" s="1"/>
  <c r="KM220" i="31"/>
  <c r="KO221" i="31" s="1"/>
  <c r="OK220" i="31"/>
  <c r="CM219" i="31" l="1"/>
  <c r="CN219" i="31" s="1"/>
  <c r="CP219" i="31" s="1"/>
  <c r="KP221" i="31"/>
  <c r="KR220" i="31"/>
  <c r="KQ220" i="31"/>
  <c r="NL220" i="31"/>
  <c r="NK220" i="31"/>
  <c r="NG221" i="31"/>
  <c r="OQ221" i="31"/>
  <c r="MX220" i="31"/>
  <c r="KS220" i="31" l="1"/>
  <c r="FZ219" i="31"/>
  <c r="GA219" i="31" s="1"/>
  <c r="FU219" i="31"/>
  <c r="FW219" i="31" s="1"/>
  <c r="FE219" i="31"/>
  <c r="FF219" i="31" s="1"/>
  <c r="DQ219" i="31"/>
  <c r="DR219" i="31" s="1"/>
  <c r="GB219" i="31"/>
  <c r="GC219" i="31" s="1"/>
  <c r="HO219" i="31"/>
  <c r="CQ219" i="31"/>
  <c r="FP219" i="31"/>
  <c r="FS219" i="31" s="1"/>
  <c r="GO219" i="31"/>
  <c r="FH219" i="31"/>
  <c r="FI219" i="31" s="1"/>
  <c r="JR219" i="31"/>
  <c r="JS219" i="31" s="1"/>
  <c r="FX219" i="31"/>
  <c r="FY219" i="31" s="1"/>
  <c r="KX219" i="31"/>
  <c r="GN219" i="31" s="1"/>
  <c r="KU219" i="31"/>
  <c r="OR221" i="31"/>
  <c r="NA220" i="31"/>
  <c r="NB220" i="31"/>
  <c r="NC221" i="31"/>
  <c r="MQ221" i="31"/>
  <c r="HP219" i="31" l="1"/>
  <c r="IA219" i="31"/>
  <c r="IB219" i="31" s="1"/>
  <c r="IZ219" i="31"/>
  <c r="CT219" i="31"/>
  <c r="CR219" i="31"/>
  <c r="CS219" i="31"/>
  <c r="DY219" i="31"/>
  <c r="HA219" i="31"/>
  <c r="HY219" i="31"/>
  <c r="DS219" i="31"/>
  <c r="AX219" i="31" s="1"/>
  <c r="AY220" i="31" s="1"/>
  <c r="KC219" i="31"/>
  <c r="JU219" i="31"/>
  <c r="JT220" i="31"/>
  <c r="KE219" i="31"/>
  <c r="FG220" i="31"/>
  <c r="HW219" i="31"/>
  <c r="HX220" i="31" s="1"/>
  <c r="GQ219" i="31"/>
  <c r="KV219" i="31"/>
  <c r="HU219" i="31"/>
  <c r="HV220" i="31" s="1"/>
  <c r="FJ220" i="31"/>
  <c r="KW220" i="31" l="1"/>
  <c r="HQ219" i="31"/>
  <c r="HR220" i="31" s="1"/>
  <c r="AZ219" i="31"/>
  <c r="EN219" i="31"/>
  <c r="EM219" i="31"/>
  <c r="EW219" i="31" s="1"/>
  <c r="HT219" i="31"/>
  <c r="HS219" i="31"/>
  <c r="JG219" i="31" s="1"/>
  <c r="IC219" i="31" l="1"/>
  <c r="ID219" i="31" s="1"/>
  <c r="IF219" i="31" s="1"/>
  <c r="KH219" i="31" s="1"/>
  <c r="JB219" i="31"/>
  <c r="BB220" i="31"/>
  <c r="DW219" i="31"/>
  <c r="DU220" i="31" s="1"/>
  <c r="IW219" i="31"/>
  <c r="EQ219" i="31"/>
  <c r="ER220" i="31"/>
  <c r="IU219" i="31"/>
  <c r="IV219" i="31" s="1"/>
  <c r="KB219" i="31" l="1"/>
  <c r="BC220" i="31"/>
  <c r="IX219" i="31"/>
  <c r="KK219" i="31"/>
  <c r="DB219" i="31"/>
  <c r="DC219" i="31" s="1"/>
  <c r="DD220" i="31" s="1"/>
  <c r="DE221" i="31" s="1"/>
  <c r="IM219" i="31"/>
  <c r="GM219" i="31"/>
  <c r="KI220" i="31"/>
  <c r="IN219" i="31"/>
  <c r="DF219" i="31"/>
  <c r="EU220" i="31"/>
  <c r="GT221" i="31" l="1"/>
  <c r="DT219" i="31"/>
  <c r="DZ219" i="31" s="1"/>
  <c r="FD219" i="31"/>
  <c r="GV219" i="31"/>
  <c r="GU219" i="31"/>
  <c r="KJ220" i="31"/>
  <c r="GR219" i="31"/>
  <c r="BD220" i="31"/>
  <c r="BE220" i="31"/>
  <c r="BG220" i="31" l="1"/>
  <c r="BF220" i="31"/>
  <c r="IS219" i="31"/>
  <c r="FL220" i="31"/>
  <c r="GS219" i="31"/>
  <c r="GW219" i="31" l="1"/>
  <c r="HC219" i="31" s="1"/>
  <c r="FA220" i="31" s="1"/>
  <c r="HB220" i="31" s="1"/>
  <c r="GY219" i="31"/>
  <c r="GX219" i="31"/>
  <c r="FM220" i="31"/>
  <c r="JH219" i="31"/>
  <c r="JI219" i="31" s="1"/>
  <c r="IT219" i="31"/>
  <c r="BH220" i="31"/>
  <c r="BI220" i="31"/>
  <c r="BK220" i="31" s="1"/>
  <c r="JK219" i="31" l="1"/>
  <c r="JZ219" i="31" s="1"/>
  <c r="KF219" i="31" s="1"/>
  <c r="IQ220" i="31" s="1"/>
  <c r="BJ220" i="31"/>
  <c r="EG219" i="31"/>
  <c r="EH220" i="31" s="1"/>
  <c r="EI220" i="31" s="1"/>
  <c r="FK220" i="31" s="1"/>
  <c r="EY219" i="31"/>
  <c r="HM219" i="31"/>
  <c r="HK220" i="31"/>
  <c r="BL220" i="31"/>
  <c r="BM220" i="31"/>
  <c r="JN219" i="31" l="1"/>
  <c r="JV219" i="31" s="1"/>
  <c r="JF220" i="31" s="1"/>
  <c r="JW220" i="31" s="1"/>
  <c r="JM219" i="31"/>
  <c r="KD219" i="31" s="1"/>
  <c r="IL220" i="31" s="1"/>
  <c r="JE220" i="31" s="1"/>
  <c r="EZ219" i="31"/>
  <c r="DG219" i="31"/>
  <c r="DH219" i="31" s="1"/>
  <c r="DI220" i="31" s="1"/>
  <c r="BN220" i="31"/>
  <c r="BO220" i="31"/>
  <c r="EE219" i="31"/>
  <c r="EF220" i="31" s="1"/>
  <c r="ED219" i="31"/>
  <c r="EB220" i="31" s="1"/>
  <c r="EJ219" i="31"/>
  <c r="EK220" i="31" s="1"/>
  <c r="JL219" i="31"/>
  <c r="JJ220" i="31" s="1"/>
  <c r="KA220" i="31"/>
  <c r="JY220" i="31" l="1"/>
  <c r="IR220" i="31"/>
  <c r="JO220" i="31"/>
  <c r="BP220" i="31"/>
  <c r="BQ220" i="31" s="1"/>
  <c r="FC220" i="31"/>
  <c r="EO220" i="31"/>
  <c r="ES221" i="31" s="1"/>
  <c r="EP220" i="31"/>
  <c r="ET221" i="31" s="1"/>
  <c r="EL220" i="31"/>
  <c r="EV220" i="31"/>
  <c r="DJ220" i="31"/>
  <c r="DK220" i="31" s="1"/>
  <c r="GZ220" i="31"/>
  <c r="IE220" i="31" s="1"/>
  <c r="JC220" i="31"/>
  <c r="JD220" i="31"/>
  <c r="JA220" i="31"/>
  <c r="IO220" i="31"/>
  <c r="IP220" i="31"/>
  <c r="IY220" i="31"/>
  <c r="DP220" i="31"/>
  <c r="HZ220" i="31"/>
  <c r="BS220" i="31" l="1"/>
  <c r="BU220" i="31" s="1"/>
  <c r="BR220" i="31"/>
  <c r="EC220" i="31"/>
  <c r="JX220" i="31"/>
  <c r="JP220" i="31"/>
  <c r="JQ220" i="31" s="1"/>
  <c r="FQ220" i="31"/>
  <c r="DM220" i="31"/>
  <c r="DX220" i="31"/>
  <c r="KG220" i="31"/>
  <c r="BT220" i="31" l="1"/>
  <c r="DL220" i="31"/>
  <c r="L221" i="31"/>
  <c r="BV220" i="31"/>
  <c r="BW220" i="31" s="1"/>
  <c r="FB220" i="31"/>
  <c r="EX220" i="31"/>
  <c r="M220" i="31" s="1"/>
  <c r="BX220" i="31" l="1"/>
  <c r="BY220" i="31"/>
  <c r="BZ220" i="31" s="1"/>
  <c r="MB220" i="31"/>
  <c r="NM220" i="31" s="1"/>
  <c r="NN220" i="31" s="1"/>
  <c r="MJ220" i="31"/>
  <c r="NS220" i="31" s="1"/>
  <c r="CA220" i="31" l="1"/>
  <c r="NT220" i="31"/>
  <c r="OU221" i="31"/>
  <c r="OV221" i="31"/>
  <c r="NW220" i="31"/>
  <c r="CB220" i="31" l="1"/>
  <c r="CC220" i="31" s="1"/>
  <c r="NX220" i="31"/>
  <c r="FR220" i="31"/>
  <c r="CX220" i="31"/>
  <c r="FV220" i="31"/>
  <c r="NU220" i="31"/>
  <c r="CD220" i="31" l="1"/>
  <c r="CE220" i="31"/>
  <c r="CG220" i="31" s="1"/>
  <c r="NV220" i="31"/>
  <c r="NY220" i="31"/>
  <c r="OF220" i="31"/>
  <c r="OS221" i="31" s="1"/>
  <c r="NZ220" i="31"/>
  <c r="MY220" i="31"/>
  <c r="CY221" i="31"/>
  <c r="CH220" i="31" l="1"/>
  <c r="CF220" i="31"/>
  <c r="CI220" i="31"/>
  <c r="CJ220" i="31" s="1"/>
  <c r="CO220" i="31" s="1"/>
  <c r="MZ221" i="31"/>
  <c r="OZ220" i="31"/>
  <c r="OM221" i="31"/>
  <c r="NF221" i="31"/>
  <c r="OO221" i="31"/>
  <c r="OA220" i="31"/>
  <c r="MV221" i="31" s="1"/>
  <c r="OG221" i="31" s="1"/>
  <c r="OB220" i="31"/>
  <c r="OT221" i="31" s="1"/>
  <c r="OI220" i="31"/>
  <c r="CK220" i="31" l="1"/>
  <c r="CL220" i="31" s="1"/>
  <c r="KT221" i="31"/>
  <c r="OW220" i="31"/>
  <c r="MR221" i="31"/>
  <c r="OX221" i="31"/>
  <c r="PA220" i="31"/>
  <c r="OC220" i="31"/>
  <c r="OD221" i="31" s="1"/>
  <c r="OH221" i="31" s="1"/>
  <c r="OK221" i="31" s="1"/>
  <c r="OJ220" i="31"/>
  <c r="CM220" i="31" l="1"/>
  <c r="CN220" i="31" s="1"/>
  <c r="CP220" i="31" s="1"/>
  <c r="KM221" i="31"/>
  <c r="KO222" i="31" s="1"/>
  <c r="KL221" i="31"/>
  <c r="KN222" i="31" s="1"/>
  <c r="MS221" i="31"/>
  <c r="MW221" i="31"/>
  <c r="OY221" i="31"/>
  <c r="MX221" i="31" l="1"/>
  <c r="MO221" i="31"/>
  <c r="NQ221" i="31"/>
  <c r="MU221" i="31"/>
  <c r="NH222" i="31"/>
  <c r="NI222" i="31" s="1"/>
  <c r="NJ221" i="31"/>
  <c r="NP221" i="31"/>
  <c r="MT221" i="31"/>
  <c r="PE221" i="31"/>
  <c r="KQ221" i="31"/>
  <c r="GB220" i="31"/>
  <c r="GC220" i="31" s="1"/>
  <c r="FH220" i="31"/>
  <c r="FI220" i="31" s="1"/>
  <c r="FX220" i="31"/>
  <c r="FY220" i="31" s="1"/>
  <c r="FZ220" i="31"/>
  <c r="GA220" i="31" s="1"/>
  <c r="FU220" i="31"/>
  <c r="FW220" i="31" s="1"/>
  <c r="FE220" i="31"/>
  <c r="FF220" i="31" s="1"/>
  <c r="DQ220" i="31"/>
  <c r="DR220" i="31" s="1"/>
  <c r="JR220" i="31"/>
  <c r="JS220" i="31" s="1"/>
  <c r="HO220" i="31"/>
  <c r="GO220" i="31"/>
  <c r="CQ220" i="31"/>
  <c r="FP220" i="31"/>
  <c r="FS220" i="31" s="1"/>
  <c r="KX220" i="31"/>
  <c r="KU220" i="31"/>
  <c r="KP222" i="31"/>
  <c r="KR221" i="31"/>
  <c r="GN220" i="31" l="1"/>
  <c r="GQ220" i="31" s="1"/>
  <c r="NR221" i="31"/>
  <c r="NL221" i="31"/>
  <c r="NK221" i="31"/>
  <c r="NG222" i="31"/>
  <c r="OQ222" i="31"/>
  <c r="HP220" i="31"/>
  <c r="IA220" i="31"/>
  <c r="IB220" i="31" s="1"/>
  <c r="IZ220" i="31"/>
  <c r="JU220" i="31"/>
  <c r="KC220" i="31"/>
  <c r="JT221" i="31"/>
  <c r="KE220" i="31"/>
  <c r="KS221" i="31"/>
  <c r="DS220" i="31"/>
  <c r="AX220" i="31" s="1"/>
  <c r="AY221" i="31" s="1"/>
  <c r="HW220" i="31"/>
  <c r="HX221" i="31" s="1"/>
  <c r="FG221" i="31"/>
  <c r="CT220" i="31"/>
  <c r="CR220" i="31"/>
  <c r="CS220" i="31"/>
  <c r="HU220" i="31"/>
  <c r="HV221" i="31" s="1"/>
  <c r="FJ221" i="31"/>
  <c r="HA220" i="31"/>
  <c r="DY220" i="31"/>
  <c r="HY220" i="31"/>
  <c r="NB221" i="31"/>
  <c r="NA221" i="31"/>
  <c r="KV220" i="31" l="1"/>
  <c r="KW221" i="31" s="1"/>
  <c r="HQ220" i="31"/>
  <c r="HR221" i="31" s="1"/>
  <c r="OR222" i="31"/>
  <c r="EN220" i="31"/>
  <c r="EM220" i="31"/>
  <c r="EW220" i="31" s="1"/>
  <c r="AZ220" i="31"/>
  <c r="HT220" i="31"/>
  <c r="HS220" i="31"/>
  <c r="JG220" i="31" s="1"/>
  <c r="NC222" i="31"/>
  <c r="MQ222" i="31"/>
  <c r="BB221" i="31" l="1"/>
  <c r="DW220" i="31"/>
  <c r="DU221" i="31" s="1"/>
  <c r="EQ220" i="31"/>
  <c r="ER221" i="31"/>
  <c r="IU220" i="31"/>
  <c r="IV220" i="31" s="1"/>
  <c r="IC220" i="31"/>
  <c r="ID220" i="31" s="1"/>
  <c r="IF220" i="31" s="1"/>
  <c r="KH220" i="31" s="1"/>
  <c r="JB220" i="31"/>
  <c r="IW220" i="31" l="1"/>
  <c r="KB220" i="31" s="1"/>
  <c r="IX220" i="31"/>
  <c r="KK220" i="31"/>
  <c r="EU221" i="31"/>
  <c r="DB220" i="31"/>
  <c r="DC220" i="31" s="1"/>
  <c r="DD221" i="31" s="1"/>
  <c r="DE222" i="31" s="1"/>
  <c r="GM220" i="31"/>
  <c r="IM220" i="31"/>
  <c r="DT220" i="31" s="1"/>
  <c r="DZ220" i="31" s="1"/>
  <c r="KI221" i="31"/>
  <c r="IN220" i="31"/>
  <c r="DF220" i="31"/>
  <c r="BC221" i="31"/>
  <c r="GT222" i="31" l="1"/>
  <c r="KJ221" i="31"/>
  <c r="GR220" i="31"/>
  <c r="BD221" i="31"/>
  <c r="BE221" i="31"/>
  <c r="GU220" i="31"/>
  <c r="GV220" i="31"/>
  <c r="FD220" i="31"/>
  <c r="GS220" i="31" l="1"/>
  <c r="BF221" i="31"/>
  <c r="BG221" i="31"/>
  <c r="IS220" i="31"/>
  <c r="FL221" i="31"/>
  <c r="FM221" i="31" l="1"/>
  <c r="BI221" i="31"/>
  <c r="BK221" i="31" s="1"/>
  <c r="BH221" i="31"/>
  <c r="JH220" i="31"/>
  <c r="JI220" i="31" s="1"/>
  <c r="IT220" i="31"/>
  <c r="GW220" i="31"/>
  <c r="HC220" i="31" s="1"/>
  <c r="FA221" i="31" s="1"/>
  <c r="HB221" i="31" s="1"/>
  <c r="GX220" i="31"/>
  <c r="GY220" i="31"/>
  <c r="HM220" i="31" l="1"/>
  <c r="EY220" i="31"/>
  <c r="EG220" i="31"/>
  <c r="EH221" i="31" s="1"/>
  <c r="EI221" i="31" s="1"/>
  <c r="FK221" i="31" s="1"/>
  <c r="HK221" i="31"/>
  <c r="BJ221" i="31"/>
  <c r="BL221" i="31"/>
  <c r="BM221" i="31"/>
  <c r="JK220" i="31"/>
  <c r="JN220" i="31" s="1"/>
  <c r="JV220" i="31" s="1"/>
  <c r="JF221" i="31" s="1"/>
  <c r="JM220" i="31" l="1"/>
  <c r="KD220" i="31" s="1"/>
  <c r="IL221" i="31" s="1"/>
  <c r="JW221" i="31"/>
  <c r="JY221" i="31"/>
  <c r="BO221" i="31"/>
  <c r="BN221" i="31"/>
  <c r="JZ220" i="31"/>
  <c r="KF220" i="31" s="1"/>
  <c r="IQ221" i="31" s="1"/>
  <c r="JL220" i="31"/>
  <c r="JJ221" i="31" s="1"/>
  <c r="KA221" i="31"/>
  <c r="EZ220" i="31"/>
  <c r="DG220" i="31"/>
  <c r="DH220" i="31" s="1"/>
  <c r="DI221" i="31" s="1"/>
  <c r="EJ220" i="31"/>
  <c r="EK221" i="31" s="1"/>
  <c r="ED220" i="31"/>
  <c r="EB221" i="31" s="1"/>
  <c r="EE220" i="31"/>
  <c r="EF221" i="31" s="1"/>
  <c r="HZ221" i="31" l="1"/>
  <c r="DJ221" i="31"/>
  <c r="DK221" i="31" s="1"/>
  <c r="GZ221" i="31"/>
  <c r="IE221" i="31" s="1"/>
  <c r="JA221" i="31"/>
  <c r="IY221" i="31"/>
  <c r="IR221" i="31"/>
  <c r="JE221" i="31"/>
  <c r="FC221" i="31"/>
  <c r="EO221" i="31"/>
  <c r="ES222" i="31" s="1"/>
  <c r="EP221" i="31"/>
  <c r="ET222" i="31" s="1"/>
  <c r="EL221" i="31"/>
  <c r="EV221" i="31"/>
  <c r="IO221" i="31"/>
  <c r="DP221" i="31"/>
  <c r="BP221" i="31"/>
  <c r="BQ221" i="31" s="1"/>
  <c r="JC221" i="31"/>
  <c r="JD221" i="31"/>
  <c r="IP221" i="31"/>
  <c r="JO221" i="31"/>
  <c r="BR221" i="31" l="1"/>
  <c r="BS221" i="31"/>
  <c r="BU221" i="31" s="1"/>
  <c r="JP221" i="31"/>
  <c r="JQ221" i="31" s="1"/>
  <c r="DM221" i="31"/>
  <c r="FQ221" i="31"/>
  <c r="DX221" i="31"/>
  <c r="EC221" i="31"/>
  <c r="JX221" i="31"/>
  <c r="KG221" i="31"/>
  <c r="BT221" i="31" l="1"/>
  <c r="BV221" i="31"/>
  <c r="BW221" i="31" s="1"/>
  <c r="EX221" i="31"/>
  <c r="M221" i="31" s="1"/>
  <c r="FB221" i="31"/>
  <c r="DL221" i="31"/>
  <c r="L222" i="31"/>
  <c r="BX221" i="31" l="1"/>
  <c r="BY221" i="31"/>
  <c r="BZ221" i="31" s="1"/>
  <c r="MJ221" i="31"/>
  <c r="NS221" i="31" s="1"/>
  <c r="MB221" i="31"/>
  <c r="NM221" i="31" s="1"/>
  <c r="NN221" i="31" s="1"/>
  <c r="CA221" i="31" l="1"/>
  <c r="OV222" i="31"/>
  <c r="NW221" i="31"/>
  <c r="NT221" i="31"/>
  <c r="OU222" i="31"/>
  <c r="CB221" i="31" l="1"/>
  <c r="CC221" i="31" s="1"/>
  <c r="NX221" i="31"/>
  <c r="FV221" i="31"/>
  <c r="FR221" i="31"/>
  <c r="CX221" i="31"/>
  <c r="NU221" i="31"/>
  <c r="CD221" i="31" l="1"/>
  <c r="CE221" i="31"/>
  <c r="CG221" i="31" s="1"/>
  <c r="NV221" i="31"/>
  <c r="NY221" i="31"/>
  <c r="NZ221" i="31"/>
  <c r="MY221" i="31"/>
  <c r="CY222" i="31"/>
  <c r="OF221" i="31"/>
  <c r="OS222" i="31" s="1"/>
  <c r="CH221" i="31" l="1"/>
  <c r="CI221" i="31" s="1"/>
  <c r="CJ221" i="31" s="1"/>
  <c r="CO221" i="31" s="1"/>
  <c r="CF221" i="31"/>
  <c r="OO222" i="31"/>
  <c r="NF222" i="31"/>
  <c r="OM222" i="31"/>
  <c r="MZ222" i="31"/>
  <c r="OZ221" i="31"/>
  <c r="OB221" i="31"/>
  <c r="OT222" i="31" s="1"/>
  <c r="OI221" i="31"/>
  <c r="OA221" i="31"/>
  <c r="MV222" i="31" s="1"/>
  <c r="CK221" i="31" l="1"/>
  <c r="CL221" i="31" s="1"/>
  <c r="MR222" i="31"/>
  <c r="OW221" i="31"/>
  <c r="OX222" i="31"/>
  <c r="OC221" i="31"/>
  <c r="OD222" i="31" s="1"/>
  <c r="OH222" i="31" s="1"/>
  <c r="PA221" i="31"/>
  <c r="OG222" i="31"/>
  <c r="KT222" i="31"/>
  <c r="OJ221" i="31"/>
  <c r="CM221" i="31" l="1"/>
  <c r="CN221" i="31" s="1"/>
  <c r="CP221" i="31" s="1"/>
  <c r="HO221" i="31" s="1"/>
  <c r="MW222" i="31"/>
  <c r="OY222" i="31"/>
  <c r="MS222" i="31"/>
  <c r="KL222" i="31"/>
  <c r="KN223" i="31" s="1"/>
  <c r="KM222" i="31"/>
  <c r="KO223" i="31" s="1"/>
  <c r="OK222" i="31"/>
  <c r="KX221" i="31" l="1"/>
  <c r="DQ221" i="31"/>
  <c r="DR221" i="31" s="1"/>
  <c r="DS221" i="31" s="1"/>
  <c r="AX221" i="31" s="1"/>
  <c r="AY222" i="31" s="1"/>
  <c r="CQ221" i="31"/>
  <c r="CS221" i="31" s="1"/>
  <c r="FE221" i="31"/>
  <c r="FF221" i="31" s="1"/>
  <c r="HW221" i="31" s="1"/>
  <c r="HX222" i="31" s="1"/>
  <c r="FH221" i="31"/>
  <c r="FI221" i="31" s="1"/>
  <c r="HU221" i="31" s="1"/>
  <c r="HV222" i="31" s="1"/>
  <c r="FZ221" i="31"/>
  <c r="GA221" i="31" s="1"/>
  <c r="GO221" i="31"/>
  <c r="FX221" i="31"/>
  <c r="FY221" i="31" s="1"/>
  <c r="FU221" i="31"/>
  <c r="FW221" i="31" s="1"/>
  <c r="FP221" i="31"/>
  <c r="FS221" i="31" s="1"/>
  <c r="DY221" i="31" s="1"/>
  <c r="GB221" i="31"/>
  <c r="GC221" i="31" s="1"/>
  <c r="JR221" i="31"/>
  <c r="JS221" i="31" s="1"/>
  <c r="KE221" i="31" s="1"/>
  <c r="KU221" i="31"/>
  <c r="HP221" i="31"/>
  <c r="IA221" i="31"/>
  <c r="IB221" i="31" s="1"/>
  <c r="IZ221" i="31"/>
  <c r="NQ222" i="31"/>
  <c r="NJ222" i="31"/>
  <c r="NP222" i="31"/>
  <c r="NH223" i="31"/>
  <c r="NI223" i="31" s="1"/>
  <c r="MU222" i="31"/>
  <c r="MT222" i="31"/>
  <c r="MO222" i="31"/>
  <c r="PE222" i="31"/>
  <c r="KQ222" i="31"/>
  <c r="KP223" i="31"/>
  <c r="KR222" i="31"/>
  <c r="MX222" i="31"/>
  <c r="GN221" i="31" l="1"/>
  <c r="KV221" i="31" s="1"/>
  <c r="HA221" i="31"/>
  <c r="FJ222" i="31"/>
  <c r="HY221" i="31"/>
  <c r="CR221" i="31"/>
  <c r="CT221" i="31"/>
  <c r="FG222" i="31"/>
  <c r="JT222" i="31"/>
  <c r="KC221" i="31"/>
  <c r="JU221" i="31"/>
  <c r="NL222" i="31"/>
  <c r="NK222" i="31"/>
  <c r="NG223" i="31"/>
  <c r="OQ223" i="31"/>
  <c r="NR222" i="31"/>
  <c r="HT221" i="31"/>
  <c r="HS221" i="31"/>
  <c r="JG221" i="31" s="1"/>
  <c r="NA222" i="31"/>
  <c r="NB222" i="31"/>
  <c r="EM221" i="31"/>
  <c r="EW221" i="31" s="1"/>
  <c r="EN221" i="31"/>
  <c r="AZ221" i="31"/>
  <c r="KS222" i="31"/>
  <c r="KW222" i="31" l="1"/>
  <c r="HQ221" i="31"/>
  <c r="HR222" i="31" s="1"/>
  <c r="GQ221" i="31"/>
  <c r="BB222" i="31"/>
  <c r="DW221" i="31"/>
  <c r="DU222" i="31" s="1"/>
  <c r="EQ221" i="31"/>
  <c r="IW221" i="31"/>
  <c r="ER222" i="31"/>
  <c r="IU221" i="31"/>
  <c r="IV221" i="31" s="1"/>
  <c r="IC221" i="31"/>
  <c r="ID221" i="31" s="1"/>
  <c r="IF221" i="31" s="1"/>
  <c r="KH221" i="31" s="1"/>
  <c r="JB221" i="31"/>
  <c r="OR223" i="31"/>
  <c r="NC223" i="31"/>
  <c r="MQ223" i="31"/>
  <c r="KB221" i="31" l="1"/>
  <c r="IX221" i="31"/>
  <c r="KK221" i="31"/>
  <c r="EU222" i="31"/>
  <c r="BC222" i="31"/>
  <c r="IM221" i="31"/>
  <c r="DB221" i="31"/>
  <c r="DC221" i="31" s="1"/>
  <c r="DD222" i="31" s="1"/>
  <c r="DE223" i="31" s="1"/>
  <c r="GM221" i="31"/>
  <c r="KI222" i="31"/>
  <c r="IN221" i="31"/>
  <c r="DF221" i="31"/>
  <c r="GT223" i="31" l="1"/>
  <c r="DT221" i="31"/>
  <c r="DZ221" i="31" s="1"/>
  <c r="FD221" i="31"/>
  <c r="GV221" i="31"/>
  <c r="GU221" i="31"/>
  <c r="KJ222" i="31"/>
  <c r="BE222" i="31"/>
  <c r="BD222" i="31"/>
  <c r="GR221" i="31"/>
  <c r="IS221" i="31" l="1"/>
  <c r="FL222" i="31"/>
  <c r="GS221" i="31"/>
  <c r="BF222" i="31"/>
  <c r="BG222" i="31"/>
  <c r="GY221" i="31" l="1"/>
  <c r="GW221" i="31"/>
  <c r="HC221" i="31" s="1"/>
  <c r="FA222" i="31" s="1"/>
  <c r="HB222" i="31" s="1"/>
  <c r="GX221" i="31"/>
  <c r="FM222" i="31"/>
  <c r="BI222" i="31"/>
  <c r="BK222" i="31" s="1"/>
  <c r="BH222" i="31"/>
  <c r="JH221" i="31"/>
  <c r="JI221" i="31" s="1"/>
  <c r="IT221" i="31"/>
  <c r="JK221" i="31" l="1"/>
  <c r="JZ221" i="31" s="1"/>
  <c r="KF221" i="31" s="1"/>
  <c r="IQ222" i="31" s="1"/>
  <c r="BL222" i="31"/>
  <c r="BM222" i="31"/>
  <c r="EY221" i="31"/>
  <c r="HM221" i="31"/>
  <c r="EG221" i="31"/>
  <c r="EH222" i="31" s="1"/>
  <c r="EI222" i="31" s="1"/>
  <c r="FK222" i="31" s="1"/>
  <c r="HK222" i="31"/>
  <c r="BJ222" i="31"/>
  <c r="JM221" i="31" l="1"/>
  <c r="KD221" i="31" s="1"/>
  <c r="IL222" i="31" s="1"/>
  <c r="IR222" i="31" s="1"/>
  <c r="JN221" i="31"/>
  <c r="JV221" i="31" s="1"/>
  <c r="JF222" i="31" s="1"/>
  <c r="JY222" i="31" s="1"/>
  <c r="BN222" i="31"/>
  <c r="BO222" i="31"/>
  <c r="BP222" i="31" s="1"/>
  <c r="EE221" i="31"/>
  <c r="EF222" i="31" s="1"/>
  <c r="ED221" i="31"/>
  <c r="EB222" i="31" s="1"/>
  <c r="JA222" i="31" s="1"/>
  <c r="EJ221" i="31"/>
  <c r="EK222" i="31" s="1"/>
  <c r="EZ221" i="31"/>
  <c r="DG221" i="31"/>
  <c r="DH221" i="31" s="1"/>
  <c r="DI222" i="31" s="1"/>
  <c r="JL221" i="31"/>
  <c r="JJ222" i="31" s="1"/>
  <c r="KA222" i="31"/>
  <c r="JW222" i="31" l="1"/>
  <c r="JE222" i="31"/>
  <c r="JO222" i="31"/>
  <c r="BQ222" i="31"/>
  <c r="BS222" i="31" s="1"/>
  <c r="JC222" i="31"/>
  <c r="JD222" i="31"/>
  <c r="GZ222" i="31"/>
  <c r="IE222" i="31" s="1"/>
  <c r="DJ222" i="31"/>
  <c r="DK222" i="31" s="1"/>
  <c r="HZ222" i="31"/>
  <c r="EL222" i="31"/>
  <c r="FC222" i="31"/>
  <c r="EO222" i="31"/>
  <c r="ES223" i="31" s="1"/>
  <c r="EP222" i="31"/>
  <c r="ET223" i="31" s="1"/>
  <c r="EV222" i="31"/>
  <c r="IY222" i="31"/>
  <c r="IO222" i="31"/>
  <c r="DP222" i="31"/>
  <c r="IP222" i="31"/>
  <c r="BR222" i="31" l="1"/>
  <c r="BT222" i="31" s="1"/>
  <c r="DM222" i="31"/>
  <c r="FQ222" i="31"/>
  <c r="DX222" i="31"/>
  <c r="EC222" i="31"/>
  <c r="BU222" i="31"/>
  <c r="KG222" i="31"/>
  <c r="JP222" i="31"/>
  <c r="JQ222" i="31" s="1"/>
  <c r="JX222" i="31"/>
  <c r="FB222" i="31" l="1"/>
  <c r="EX222" i="31"/>
  <c r="M222" i="31" s="1"/>
  <c r="BV222" i="31"/>
  <c r="BW222" i="31" s="1"/>
  <c r="DL222" i="31"/>
  <c r="L223" i="31"/>
  <c r="BX222" i="31" l="1"/>
  <c r="BY222" i="31"/>
  <c r="BZ222" i="31" s="1"/>
  <c r="MJ222" i="31"/>
  <c r="NS222" i="31" s="1"/>
  <c r="MB222" i="31"/>
  <c r="NM222" i="31" s="1"/>
  <c r="NN222" i="31" s="1"/>
  <c r="CA222" i="31" l="1"/>
  <c r="OV223" i="31"/>
  <c r="NW222" i="31"/>
  <c r="NT222" i="31"/>
  <c r="OU223" i="31"/>
  <c r="CB222" i="31" l="1"/>
  <c r="CC222" i="31" s="1"/>
  <c r="FR222" i="31"/>
  <c r="CX222" i="31"/>
  <c r="FV222" i="31"/>
  <c r="NU222" i="31"/>
  <c r="NX222" i="31"/>
  <c r="CD222" i="31" l="1"/>
  <c r="CE222" i="31"/>
  <c r="CF222" i="31" s="1"/>
  <c r="MY222" i="31"/>
  <c r="NZ222" i="31"/>
  <c r="CY223" i="31"/>
  <c r="NY222" i="31"/>
  <c r="OF222" i="31"/>
  <c r="OS223" i="31" s="1"/>
  <c r="NV222" i="31"/>
  <c r="CG222" i="31" l="1"/>
  <c r="CH222" i="31" s="1"/>
  <c r="CI222" i="31" s="1"/>
  <c r="CJ222" i="31" s="1"/>
  <c r="CO222" i="31" s="1"/>
  <c r="OI222" i="31"/>
  <c r="OX223" i="31" s="1"/>
  <c r="OA222" i="31"/>
  <c r="MV223" i="31" s="1"/>
  <c r="OG223" i="31" s="1"/>
  <c r="OB222" i="31"/>
  <c r="OT223" i="31" s="1"/>
  <c r="OM223" i="31"/>
  <c r="NF223" i="31"/>
  <c r="OO223" i="31"/>
  <c r="MZ223" i="31"/>
  <c r="OZ222" i="31"/>
  <c r="CK222" i="31" l="1"/>
  <c r="CM222" i="31" s="1"/>
  <c r="CN222" i="31" s="1"/>
  <c r="MR223" i="31"/>
  <c r="MS223" i="31" s="1"/>
  <c r="OW222" i="31"/>
  <c r="OC222" i="31"/>
  <c r="OD223" i="31" s="1"/>
  <c r="OH223" i="31" s="1"/>
  <c r="OK223" i="31" s="1"/>
  <c r="OJ222" i="31"/>
  <c r="OY223" i="31" s="1"/>
  <c r="KT223" i="31"/>
  <c r="PA222" i="31"/>
  <c r="CL222" i="31" l="1"/>
  <c r="CP222" i="31" s="1"/>
  <c r="MW223" i="31"/>
  <c r="MX223" i="31" s="1"/>
  <c r="NJ223" i="31"/>
  <c r="MU223" i="31"/>
  <c r="NH224" i="31"/>
  <c r="NI224" i="31" s="1"/>
  <c r="MT223" i="31"/>
  <c r="NP223" i="31"/>
  <c r="NQ223" i="31"/>
  <c r="MO223" i="31"/>
  <c r="PE223" i="31"/>
  <c r="KM223" i="31"/>
  <c r="KO224" i="31" s="1"/>
  <c r="KL223" i="31"/>
  <c r="KN224" i="31" s="1"/>
  <c r="NR223" i="31" l="1"/>
  <c r="JR222" i="31"/>
  <c r="JS222" i="31" s="1"/>
  <c r="FP222" i="31"/>
  <c r="FS222" i="31" s="1"/>
  <c r="GB222" i="31"/>
  <c r="GC222" i="31" s="1"/>
  <c r="HO222" i="31"/>
  <c r="FX222" i="31"/>
  <c r="FY222" i="31" s="1"/>
  <c r="FE222" i="31"/>
  <c r="FF222" i="31" s="1"/>
  <c r="CQ222" i="31"/>
  <c r="DQ222" i="31"/>
  <c r="DR222" i="31" s="1"/>
  <c r="FZ222" i="31"/>
  <c r="GA222" i="31" s="1"/>
  <c r="GO222" i="31"/>
  <c r="FU222" i="31"/>
  <c r="FW222" i="31" s="1"/>
  <c r="FH222" i="31"/>
  <c r="FI222" i="31" s="1"/>
  <c r="KX222" i="31"/>
  <c r="GN222" i="31" s="1"/>
  <c r="KU222" i="31"/>
  <c r="KP224" i="31"/>
  <c r="KR223" i="31"/>
  <c r="NK223" i="31"/>
  <c r="NL223" i="31"/>
  <c r="NG224" i="31"/>
  <c r="OQ224" i="31"/>
  <c r="KQ223" i="31"/>
  <c r="NB223" i="31"/>
  <c r="NA223" i="31"/>
  <c r="GQ222" i="31" l="1"/>
  <c r="KV222" i="31"/>
  <c r="HP222" i="31"/>
  <c r="IA222" i="31"/>
  <c r="IB222" i="31" s="1"/>
  <c r="IZ222" i="31"/>
  <c r="FG223" i="31"/>
  <c r="HW222" i="31"/>
  <c r="HX223" i="31" s="1"/>
  <c r="HU222" i="31"/>
  <c r="HV223" i="31" s="1"/>
  <c r="FJ223" i="31"/>
  <c r="DY222" i="31"/>
  <c r="HA222" i="31"/>
  <c r="HY222" i="31"/>
  <c r="CS222" i="31"/>
  <c r="CT222" i="31"/>
  <c r="CR222" i="31"/>
  <c r="JU222" i="31"/>
  <c r="KE222" i="31"/>
  <c r="KC222" i="31"/>
  <c r="JT223" i="31"/>
  <c r="OR224" i="31"/>
  <c r="NC224" i="31"/>
  <c r="MQ224" i="31"/>
  <c r="KS223" i="31"/>
  <c r="DS222" i="31"/>
  <c r="AX222" i="31" s="1"/>
  <c r="AY223" i="31" s="1"/>
  <c r="KW223" i="31" l="1"/>
  <c r="HQ222" i="31"/>
  <c r="HR223" i="31" s="1"/>
  <c r="HT222" i="31"/>
  <c r="HS222" i="31"/>
  <c r="JG222" i="31" s="1"/>
  <c r="EN222" i="31"/>
  <c r="EM222" i="31"/>
  <c r="EW222" i="31" s="1"/>
  <c r="AZ222" i="31"/>
  <c r="BB223" i="31" l="1"/>
  <c r="DW222" i="31"/>
  <c r="DU223" i="31" s="1"/>
  <c r="EQ222" i="31"/>
  <c r="ER223" i="31"/>
  <c r="IU222" i="31"/>
  <c r="IV222" i="31" s="1"/>
  <c r="IC222" i="31"/>
  <c r="ID222" i="31" s="1"/>
  <c r="IF222" i="31" s="1"/>
  <c r="KH222" i="31" s="1"/>
  <c r="JB222" i="31"/>
  <c r="IW222" i="31" l="1"/>
  <c r="KB222" i="31" s="1"/>
  <c r="IX222" i="31"/>
  <c r="KK222" i="31"/>
  <c r="EU223" i="31"/>
  <c r="IM222" i="31"/>
  <c r="GM222" i="31"/>
  <c r="DB222" i="31"/>
  <c r="DC222" i="31" s="1"/>
  <c r="DD223" i="31" s="1"/>
  <c r="DE224" i="31" s="1"/>
  <c r="KI223" i="31"/>
  <c r="IN222" i="31"/>
  <c r="DF222" i="31"/>
  <c r="BC223" i="31"/>
  <c r="DT222" i="31" l="1"/>
  <c r="DZ222" i="31" s="1"/>
  <c r="GT224" i="31"/>
  <c r="KJ223" i="31"/>
  <c r="GR222" i="31"/>
  <c r="FD222" i="31"/>
  <c r="GU222" i="31"/>
  <c r="GV222" i="31"/>
  <c r="BD223" i="31"/>
  <c r="BE223" i="31"/>
  <c r="GS222" i="31" l="1"/>
  <c r="IS222" i="31"/>
  <c r="FL223" i="31"/>
  <c r="BF223" i="31"/>
  <c r="BG223" i="31"/>
  <c r="FM223" i="31" l="1"/>
  <c r="BI223" i="31"/>
  <c r="BK223" i="31" s="1"/>
  <c r="BH223" i="31"/>
  <c r="JH222" i="31"/>
  <c r="JI222" i="31" s="1"/>
  <c r="IT222" i="31"/>
  <c r="GX222" i="31"/>
  <c r="GW222" i="31"/>
  <c r="HC222" i="31" s="1"/>
  <c r="FA223" i="31" s="1"/>
  <c r="HB223" i="31" s="1"/>
  <c r="GY222" i="31"/>
  <c r="EY222" i="31" l="1"/>
  <c r="HM222" i="31"/>
  <c r="EG222" i="31"/>
  <c r="EH223" i="31" s="1"/>
  <c r="EI223" i="31" s="1"/>
  <c r="FK223" i="31" s="1"/>
  <c r="HK223" i="31"/>
  <c r="BL223" i="31"/>
  <c r="BM223" i="31"/>
  <c r="JK222" i="31"/>
  <c r="JZ222" i="31" s="1"/>
  <c r="KF222" i="31" s="1"/>
  <c r="IQ223" i="31" s="1"/>
  <c r="BJ223" i="31"/>
  <c r="JM222" i="31" l="1"/>
  <c r="KD222" i="31" s="1"/>
  <c r="IL223" i="31" s="1"/>
  <c r="JE223" i="31" s="1"/>
  <c r="JN222" i="31"/>
  <c r="JV222" i="31" s="1"/>
  <c r="JF223" i="31" s="1"/>
  <c r="JY223" i="31" s="1"/>
  <c r="JL222" i="31"/>
  <c r="JJ223" i="31" s="1"/>
  <c r="KA223" i="31"/>
  <c r="EZ222" i="31"/>
  <c r="DG222" i="31"/>
  <c r="DH222" i="31" s="1"/>
  <c r="DI223" i="31" s="1"/>
  <c r="ED222" i="31"/>
  <c r="EB223" i="31" s="1"/>
  <c r="EE222" i="31"/>
  <c r="EF223" i="31" s="1"/>
  <c r="EJ222" i="31"/>
  <c r="EK223" i="31" s="1"/>
  <c r="BN223" i="31"/>
  <c r="BO223" i="31"/>
  <c r="JW223" i="31" l="1"/>
  <c r="IR223" i="31"/>
  <c r="IP223" i="31"/>
  <c r="JO223" i="31"/>
  <c r="FC223" i="31"/>
  <c r="EP223" i="31"/>
  <c r="ET224" i="31" s="1"/>
  <c r="EO223" i="31"/>
  <c r="ES224" i="31" s="1"/>
  <c r="EL223" i="31"/>
  <c r="EV223" i="31"/>
  <c r="DP223" i="31"/>
  <c r="IY223" i="31"/>
  <c r="JA223" i="31"/>
  <c r="HZ223" i="31"/>
  <c r="BP223" i="31"/>
  <c r="BQ223" i="31" s="1"/>
  <c r="BR223" i="31" s="1"/>
  <c r="JC223" i="31"/>
  <c r="JD223" i="31"/>
  <c r="GZ223" i="31"/>
  <c r="IE223" i="31" s="1"/>
  <c r="DJ223" i="31"/>
  <c r="DK223" i="31" s="1"/>
  <c r="IO223" i="31"/>
  <c r="BS223" i="31" l="1"/>
  <c r="BT223" i="31" s="1"/>
  <c r="KG223" i="31"/>
  <c r="DX223" i="31"/>
  <c r="DM223" i="31"/>
  <c r="FQ223" i="31"/>
  <c r="JP223" i="31"/>
  <c r="JQ223" i="31" s="1"/>
  <c r="EC223" i="31"/>
  <c r="JX223" i="31"/>
  <c r="BU223" i="31" l="1"/>
  <c r="BV223" i="31" s="1"/>
  <c r="BW223" i="31" s="1"/>
  <c r="DL223" i="31"/>
  <c r="L224" i="31"/>
  <c r="EX223" i="31"/>
  <c r="M223" i="31" s="1"/>
  <c r="FB223" i="31"/>
  <c r="BX223" i="31" l="1"/>
  <c r="BY223" i="31"/>
  <c r="BZ223" i="31" s="1"/>
  <c r="MB223" i="31"/>
  <c r="NM223" i="31" s="1"/>
  <c r="NN223" i="31" s="1"/>
  <c r="MJ223" i="31"/>
  <c r="NS223" i="31" s="1"/>
  <c r="CA223" i="31" l="1"/>
  <c r="OV224" i="31"/>
  <c r="NW223" i="31"/>
  <c r="NT223" i="31"/>
  <c r="OU224" i="31"/>
  <c r="CB223" i="31" l="1"/>
  <c r="CC223" i="31" s="1"/>
  <c r="NX223" i="31"/>
  <c r="FV223" i="31"/>
  <c r="CX223" i="31"/>
  <c r="FR223" i="31"/>
  <c r="NU223" i="31"/>
  <c r="CD223" i="31" l="1"/>
  <c r="CE223" i="31"/>
  <c r="CF223" i="31" s="1"/>
  <c r="NY223" i="31"/>
  <c r="NV223" i="31"/>
  <c r="OF223" i="31"/>
  <c r="OS224" i="31" s="1"/>
  <c r="NZ223" i="31"/>
  <c r="MY223" i="31"/>
  <c r="CY224" i="31"/>
  <c r="CG223" i="31" l="1"/>
  <c r="CH223" i="31" s="1"/>
  <c r="CI223" i="31" s="1"/>
  <c r="CJ223" i="31" s="1"/>
  <c r="CO223" i="31" s="1"/>
  <c r="OI223" i="31"/>
  <c r="OW223" i="31" s="1"/>
  <c r="MZ224" i="31"/>
  <c r="OZ223" i="31"/>
  <c r="OM224" i="31"/>
  <c r="NF224" i="31"/>
  <c r="OO224" i="31"/>
  <c r="OB223" i="31"/>
  <c r="OT224" i="31" s="1"/>
  <c r="OA223" i="31"/>
  <c r="MV224" i="31" s="1"/>
  <c r="CK223" i="31" l="1"/>
  <c r="CL223" i="31" s="1"/>
  <c r="OX224" i="31"/>
  <c r="MR224" i="31"/>
  <c r="OJ223" i="31"/>
  <c r="OC223" i="31"/>
  <c r="OD224" i="31" s="1"/>
  <c r="OH224" i="31" s="1"/>
  <c r="MS224" i="31"/>
  <c r="PA223" i="31"/>
  <c r="KT224" i="31"/>
  <c r="OG224" i="31"/>
  <c r="CM223" i="31" l="1"/>
  <c r="CN223" i="31" s="1"/>
  <c r="CP223" i="31" s="1"/>
  <c r="NP224" i="31"/>
  <c r="NJ224" i="31"/>
  <c r="NQ224" i="31"/>
  <c r="NR224" i="31" s="1"/>
  <c r="MU224" i="31"/>
  <c r="NH225" i="31"/>
  <c r="NI225" i="31" s="1"/>
  <c r="MO224" i="31"/>
  <c r="MT224" i="31"/>
  <c r="PE224" i="31"/>
  <c r="KM224" i="31"/>
  <c r="KO225" i="31" s="1"/>
  <c r="KL224" i="31"/>
  <c r="KN225" i="31" s="1"/>
  <c r="OK224" i="31"/>
  <c r="OY224" i="31"/>
  <c r="MW224" i="31"/>
  <c r="FP223" i="31" l="1"/>
  <c r="FS223" i="31" s="1"/>
  <c r="GB223" i="31"/>
  <c r="GC223" i="31" s="1"/>
  <c r="JR223" i="31"/>
  <c r="JS223" i="31" s="1"/>
  <c r="FH223" i="31"/>
  <c r="FI223" i="31" s="1"/>
  <c r="FZ223" i="31"/>
  <c r="GA223" i="31" s="1"/>
  <c r="DQ223" i="31"/>
  <c r="DR223" i="31" s="1"/>
  <c r="GO223" i="31"/>
  <c r="HO223" i="31"/>
  <c r="FX223" i="31"/>
  <c r="FY223" i="31" s="1"/>
  <c r="FE223" i="31"/>
  <c r="FF223" i="31" s="1"/>
  <c r="FU223" i="31"/>
  <c r="FW223" i="31" s="1"/>
  <c r="CQ223" i="31"/>
  <c r="KX223" i="31"/>
  <c r="KU223" i="31"/>
  <c r="NL224" i="31"/>
  <c r="NK224" i="31"/>
  <c r="NG225" i="31"/>
  <c r="OQ225" i="31"/>
  <c r="MX224" i="31"/>
  <c r="KQ224" i="31"/>
  <c r="KP225" i="31"/>
  <c r="KR224" i="31"/>
  <c r="GN223" i="31" l="1"/>
  <c r="GQ223" i="31" s="1"/>
  <c r="KE223" i="31"/>
  <c r="JU223" i="31"/>
  <c r="JT224" i="31"/>
  <c r="KC223" i="31"/>
  <c r="HU223" i="31"/>
  <c r="HV224" i="31" s="1"/>
  <c r="FJ224" i="31"/>
  <c r="DY223" i="31"/>
  <c r="HA223" i="31"/>
  <c r="HY223" i="31"/>
  <c r="KS224" i="31"/>
  <c r="NC225" i="31"/>
  <c r="MQ225" i="31"/>
  <c r="IA223" i="31"/>
  <c r="IB223" i="31" s="1"/>
  <c r="HP223" i="31"/>
  <c r="IZ223" i="31"/>
  <c r="CT223" i="31"/>
  <c r="CR223" i="31"/>
  <c r="CS223" i="31"/>
  <c r="NA224" i="31"/>
  <c r="NB224" i="31"/>
  <c r="OR225" i="31"/>
  <c r="HW223" i="31"/>
  <c r="HX224" i="31" s="1"/>
  <c r="FG224" i="31"/>
  <c r="DS223" i="31"/>
  <c r="AX223" i="31" s="1"/>
  <c r="AY224" i="31" s="1"/>
  <c r="KV223" i="31" l="1"/>
  <c r="KW224" i="31" s="1"/>
  <c r="HQ223" i="31"/>
  <c r="HR224" i="31" s="1"/>
  <c r="EM223" i="31"/>
  <c r="EW223" i="31" s="1"/>
  <c r="EN223" i="31"/>
  <c r="AZ223" i="31"/>
  <c r="HS223" i="31"/>
  <c r="JG223" i="31" s="1"/>
  <c r="HT223" i="31"/>
  <c r="BB224" i="31" l="1"/>
  <c r="DW223" i="31"/>
  <c r="DU224" i="31" s="1"/>
  <c r="IW223" i="31"/>
  <c r="EQ223" i="31"/>
  <c r="ER224" i="31"/>
  <c r="IU223" i="31"/>
  <c r="IV223" i="31" s="1"/>
  <c r="IC223" i="31"/>
  <c r="ID223" i="31" s="1"/>
  <c r="IF223" i="31" s="1"/>
  <c r="KH223" i="31" s="1"/>
  <c r="JB223" i="31"/>
  <c r="KB223" i="31" l="1"/>
  <c r="IX223" i="31"/>
  <c r="KK223" i="31"/>
  <c r="EU224" i="31"/>
  <c r="DB223" i="31"/>
  <c r="DC223" i="31" s="1"/>
  <c r="DD224" i="31" s="1"/>
  <c r="DE225" i="31" s="1"/>
  <c r="GM223" i="31"/>
  <c r="IM223" i="31"/>
  <c r="KI224" i="31"/>
  <c r="IN223" i="31"/>
  <c r="DF223" i="31"/>
  <c r="BC224" i="31"/>
  <c r="GT225" i="31" l="1"/>
  <c r="FD223" i="31"/>
  <c r="GU223" i="31"/>
  <c r="GV223" i="31"/>
  <c r="KJ224" i="31"/>
  <c r="GR223" i="31"/>
  <c r="DT223" i="31"/>
  <c r="DZ223" i="31" s="1"/>
  <c r="BD224" i="31"/>
  <c r="BE224" i="31"/>
  <c r="BG224" i="31" l="1"/>
  <c r="BF224" i="31"/>
  <c r="IS223" i="31"/>
  <c r="FL224" i="31"/>
  <c r="GS223" i="31"/>
  <c r="FM224" i="31" l="1"/>
  <c r="GW223" i="31"/>
  <c r="HC223" i="31" s="1"/>
  <c r="FA224" i="31" s="1"/>
  <c r="HB224" i="31" s="1"/>
  <c r="GX223" i="31"/>
  <c r="GY223" i="31"/>
  <c r="JH223" i="31"/>
  <c r="JI223" i="31" s="1"/>
  <c r="IT223" i="31"/>
  <c r="BH224" i="31"/>
  <c r="BI224" i="31"/>
  <c r="BK224" i="31" s="1"/>
  <c r="JK223" i="31" l="1"/>
  <c r="JZ223" i="31" s="1"/>
  <c r="KF223" i="31" s="1"/>
  <c r="IQ224" i="31" s="1"/>
  <c r="HM223" i="31"/>
  <c r="EG223" i="31"/>
  <c r="EH224" i="31" s="1"/>
  <c r="EI224" i="31" s="1"/>
  <c r="FK224" i="31" s="1"/>
  <c r="EY223" i="31"/>
  <c r="HK224" i="31"/>
  <c r="BJ224" i="31"/>
  <c r="BL224" i="31"/>
  <c r="BM224" i="31"/>
  <c r="JM223" i="31" l="1"/>
  <c r="KD223" i="31" s="1"/>
  <c r="IL224" i="31" s="1"/>
  <c r="JE224" i="31" s="1"/>
  <c r="EZ223" i="31"/>
  <c r="DG223" i="31"/>
  <c r="DH223" i="31" s="1"/>
  <c r="DI224" i="31" s="1"/>
  <c r="BN224" i="31"/>
  <c r="BO224" i="31"/>
  <c r="EJ223" i="31"/>
  <c r="EK224" i="31" s="1"/>
  <c r="EE223" i="31"/>
  <c r="EF224" i="31" s="1"/>
  <c r="ED223" i="31"/>
  <c r="EB224" i="31" s="1"/>
  <c r="JN223" i="31"/>
  <c r="JV223" i="31" s="1"/>
  <c r="JF224" i="31" s="1"/>
  <c r="JL223" i="31"/>
  <c r="JJ224" i="31" s="1"/>
  <c r="KA224" i="31"/>
  <c r="IO224" i="31" l="1"/>
  <c r="IR224" i="31"/>
  <c r="BP224" i="31"/>
  <c r="BQ224" i="31" s="1"/>
  <c r="JY224" i="31"/>
  <c r="JW224" i="31"/>
  <c r="JO224" i="31"/>
  <c r="FC224" i="31"/>
  <c r="EP224" i="31"/>
  <c r="ET225" i="31" s="1"/>
  <c r="EO224" i="31"/>
  <c r="ES225" i="31" s="1"/>
  <c r="EL224" i="31"/>
  <c r="EV224" i="31"/>
  <c r="IP224" i="31"/>
  <c r="JC224" i="31"/>
  <c r="JD224" i="31"/>
  <c r="DP224" i="31"/>
  <c r="GZ224" i="31"/>
  <c r="DJ224" i="31"/>
  <c r="DK224" i="31" s="1"/>
  <c r="IY224" i="31"/>
  <c r="JA224" i="31"/>
  <c r="HZ224" i="31"/>
  <c r="KG224" i="31" l="1"/>
  <c r="JP224" i="31"/>
  <c r="JQ224" i="31" s="1"/>
  <c r="IE224" i="31"/>
  <c r="BR224" i="31"/>
  <c r="BS224" i="31"/>
  <c r="DX224" i="31"/>
  <c r="FQ224" i="31"/>
  <c r="DM224" i="31"/>
  <c r="EC224" i="31"/>
  <c r="JX224" i="31"/>
  <c r="BT224" i="31" l="1"/>
  <c r="BU224" i="31"/>
  <c r="BV224" i="31" s="1"/>
  <c r="DL224" i="31"/>
  <c r="L225" i="31"/>
  <c r="FB224" i="31"/>
  <c r="EX224" i="31"/>
  <c r="M224" i="31" s="1"/>
  <c r="BW224" i="31" l="1"/>
  <c r="MB224" i="31"/>
  <c r="NM224" i="31" s="1"/>
  <c r="NN224" i="31" s="1"/>
  <c r="MJ224" i="31"/>
  <c r="NS224" i="31" s="1"/>
  <c r="BY224" i="31" l="1"/>
  <c r="BX224" i="31"/>
  <c r="NT224" i="31"/>
  <c r="OU225" i="31"/>
  <c r="OV225" i="31"/>
  <c r="NW224" i="31"/>
  <c r="BZ224" i="31" l="1"/>
  <c r="CA224" i="31"/>
  <c r="NX224" i="31"/>
  <c r="FV224" i="31"/>
  <c r="FR224" i="31"/>
  <c r="CX224" i="31"/>
  <c r="NU224" i="31"/>
  <c r="CB224" i="31" l="1"/>
  <c r="CC224" i="31" s="1"/>
  <c r="NZ224" i="31"/>
  <c r="MY224" i="31"/>
  <c r="CY225" i="31"/>
  <c r="NV224" i="31"/>
  <c r="NY224" i="31"/>
  <c r="OF224" i="31"/>
  <c r="OS225" i="31" s="1"/>
  <c r="CD224" i="31" l="1"/>
  <c r="CE224" i="31"/>
  <c r="OB224" i="31"/>
  <c r="OT225" i="31" s="1"/>
  <c r="MZ225" i="31"/>
  <c r="OZ224" i="31"/>
  <c r="OA224" i="31"/>
  <c r="MV225" i="31" s="1"/>
  <c r="OO225" i="31"/>
  <c r="NF225" i="31"/>
  <c r="OM225" i="31"/>
  <c r="OI224" i="31"/>
  <c r="CG224" i="31" l="1"/>
  <c r="CH224" i="31" s="1"/>
  <c r="CI224" i="31" s="1"/>
  <c r="CF224" i="31"/>
  <c r="MR225" i="31"/>
  <c r="OW224" i="31"/>
  <c r="OX225" i="31"/>
  <c r="OC224" i="31"/>
  <c r="OD225" i="31" s="1"/>
  <c r="OH225" i="31" s="1"/>
  <c r="PA224" i="31"/>
  <c r="OJ224" i="31"/>
  <c r="OG225" i="31"/>
  <c r="KT225" i="31"/>
  <c r="CK224" i="31" l="1"/>
  <c r="CJ224" i="31"/>
  <c r="CO224" i="31" s="1"/>
  <c r="OK225" i="31"/>
  <c r="KL225" i="31"/>
  <c r="KN226" i="31" s="1"/>
  <c r="KM225" i="31"/>
  <c r="KO226" i="31" s="1"/>
  <c r="MW225" i="31"/>
  <c r="OY225" i="31"/>
  <c r="MS225" i="31"/>
  <c r="CL224" i="31" l="1"/>
  <c r="CM224" i="31"/>
  <c r="CN224" i="31" s="1"/>
  <c r="MU225" i="31"/>
  <c r="MO225" i="31"/>
  <c r="NJ225" i="31"/>
  <c r="NP225" i="31"/>
  <c r="NQ225" i="31"/>
  <c r="MT225" i="31"/>
  <c r="NH226" i="31"/>
  <c r="NI226" i="31" s="1"/>
  <c r="PE225" i="31"/>
  <c r="MX225" i="31"/>
  <c r="KQ225" i="31"/>
  <c r="KP226" i="31"/>
  <c r="KR225" i="31"/>
  <c r="NR225" i="31" l="1"/>
  <c r="KS225" i="31"/>
  <c r="CP224" i="31"/>
  <c r="NA225" i="31"/>
  <c r="NB225" i="31"/>
  <c r="NL225" i="31"/>
  <c r="NK225" i="31"/>
  <c r="NG226" i="31"/>
  <c r="OQ226" i="31"/>
  <c r="FZ224" i="31" l="1"/>
  <c r="GA224" i="31" s="1"/>
  <c r="KU224" i="31"/>
  <c r="FX224" i="31"/>
  <c r="FY224" i="31" s="1"/>
  <c r="DQ224" i="31"/>
  <c r="DR224" i="31" s="1"/>
  <c r="DS224" i="31" s="1"/>
  <c r="AX224" i="31" s="1"/>
  <c r="AY225" i="31" s="1"/>
  <c r="FP224" i="31"/>
  <c r="FS224" i="31" s="1"/>
  <c r="CQ224" i="31"/>
  <c r="HO224" i="31"/>
  <c r="FH224" i="31"/>
  <c r="FI224" i="31" s="1"/>
  <c r="KX224" i="31"/>
  <c r="GN224" i="31" s="1"/>
  <c r="FE224" i="31"/>
  <c r="FF224" i="31" s="1"/>
  <c r="GO224" i="31"/>
  <c r="FU224" i="31"/>
  <c r="FW224" i="31" s="1"/>
  <c r="JR224" i="31"/>
  <c r="JS224" i="31" s="1"/>
  <c r="GB224" i="31"/>
  <c r="GC224" i="31" s="1"/>
  <c r="NC226" i="31"/>
  <c r="MQ226" i="31"/>
  <c r="OR226" i="31"/>
  <c r="CS224" i="31" l="1"/>
  <c r="CR224" i="31"/>
  <c r="CT224" i="31"/>
  <c r="HP224" i="31"/>
  <c r="IA224" i="31"/>
  <c r="IB224" i="31" s="1"/>
  <c r="IZ224" i="31"/>
  <c r="HY224" i="31"/>
  <c r="DY224" i="31"/>
  <c r="HA224" i="31"/>
  <c r="EM224" i="31"/>
  <c r="EW224" i="31" s="1"/>
  <c r="AZ224" i="31"/>
  <c r="EN224" i="31"/>
  <c r="HU224" i="31"/>
  <c r="HV225" i="31" s="1"/>
  <c r="FJ225" i="31"/>
  <c r="HW224" i="31"/>
  <c r="HX225" i="31" s="1"/>
  <c r="FG225" i="31"/>
  <c r="KE224" i="31"/>
  <c r="KC224" i="31"/>
  <c r="JT225" i="31"/>
  <c r="JU224" i="31"/>
  <c r="GQ224" i="31"/>
  <c r="KV224" i="31"/>
  <c r="KW225" i="31" l="1"/>
  <c r="HQ224" i="31"/>
  <c r="HR225" i="31" s="1"/>
  <c r="BB225" i="31"/>
  <c r="BC225" i="31" s="1"/>
  <c r="BE225" i="31" s="1"/>
  <c r="DW224" i="31"/>
  <c r="DU225" i="31" s="1"/>
  <c r="ER225" i="31"/>
  <c r="EU225" i="31" s="1"/>
  <c r="IW224" i="31"/>
  <c r="IU224" i="31"/>
  <c r="IV224" i="31" s="1"/>
  <c r="EQ224" i="31"/>
  <c r="HS224" i="31"/>
  <c r="JG224" i="31" s="1"/>
  <c r="HT224" i="31"/>
  <c r="BD225" i="31" l="1"/>
  <c r="JB224" i="31"/>
  <c r="IC224" i="31"/>
  <c r="ID224" i="31" s="1"/>
  <c r="IF224" i="31" s="1"/>
  <c r="KH224" i="31" s="1"/>
  <c r="KK224" i="31"/>
  <c r="IX224" i="31"/>
  <c r="KB224" i="31"/>
  <c r="BF225" i="31"/>
  <c r="BG225" i="31"/>
  <c r="IM224" i="31" l="1"/>
  <c r="DB224" i="31"/>
  <c r="DC224" i="31" s="1"/>
  <c r="DD225" i="31" s="1"/>
  <c r="DE226" i="31" s="1"/>
  <c r="KI225" i="31"/>
  <c r="KJ225" i="31" s="1"/>
  <c r="IN224" i="31"/>
  <c r="DF224" i="31"/>
  <c r="GM224" i="31"/>
  <c r="BI225" i="31"/>
  <c r="BK225" i="31" s="1"/>
  <c r="BH225" i="31"/>
  <c r="DT224" i="31" l="1"/>
  <c r="DZ224" i="31" s="1"/>
  <c r="GT226" i="31"/>
  <c r="GR224" i="31"/>
  <c r="BJ225" i="31"/>
  <c r="FD224" i="31"/>
  <c r="GU224" i="31"/>
  <c r="GV224" i="31"/>
  <c r="BL225" i="31"/>
  <c r="BM225" i="31"/>
  <c r="IS224" i="31" l="1"/>
  <c r="FL225" i="31"/>
  <c r="FM225" i="31" s="1"/>
  <c r="GS224" i="31"/>
  <c r="BO225" i="31"/>
  <c r="BN225" i="31"/>
  <c r="GW224" i="31" l="1"/>
  <c r="HC224" i="31" s="1"/>
  <c r="FA225" i="31" s="1"/>
  <c r="HB225" i="31" s="1"/>
  <c r="GX224" i="31"/>
  <c r="GY224" i="31"/>
  <c r="IT224" i="31"/>
  <c r="JH224" i="31"/>
  <c r="JI224" i="31" s="1"/>
  <c r="BP225" i="31"/>
  <c r="BQ225" i="31" s="1"/>
  <c r="JK224" i="31" l="1"/>
  <c r="JM224" i="31" s="1"/>
  <c r="KD224" i="31" s="1"/>
  <c r="IL225" i="31" s="1"/>
  <c r="EY224" i="31"/>
  <c r="HK225" i="31"/>
  <c r="HM224" i="31"/>
  <c r="EG224" i="31"/>
  <c r="EH225" i="31" s="1"/>
  <c r="EI225" i="31" s="1"/>
  <c r="FK225" i="31" s="1"/>
  <c r="BR225" i="31"/>
  <c r="BS225" i="31"/>
  <c r="JN224" i="31" l="1"/>
  <c r="JV224" i="31" s="1"/>
  <c r="JF225" i="31" s="1"/>
  <c r="JY225" i="31" s="1"/>
  <c r="EJ224" i="31"/>
  <c r="EK225" i="31" s="1"/>
  <c r="ED224" i="31"/>
  <c r="EB225" i="31" s="1"/>
  <c r="EE224" i="31"/>
  <c r="EF225" i="31" s="1"/>
  <c r="EZ224" i="31"/>
  <c r="DG224" i="31"/>
  <c r="DH224" i="31" s="1"/>
  <c r="DI225" i="31" s="1"/>
  <c r="DP225" i="31" s="1"/>
  <c r="JZ224" i="31"/>
  <c r="KF224" i="31" s="1"/>
  <c r="IQ225" i="31" s="1"/>
  <c r="KA225" i="31"/>
  <c r="HZ225" i="31" s="1"/>
  <c r="JL224" i="31"/>
  <c r="JJ225" i="31" s="1"/>
  <c r="BT225" i="31"/>
  <c r="BU225" i="31"/>
  <c r="JO225" i="31" l="1"/>
  <c r="JW225" i="31"/>
  <c r="JE225" i="31"/>
  <c r="IR225" i="31"/>
  <c r="IY225" i="31"/>
  <c r="GZ225" i="31"/>
  <c r="IE225" i="31" s="1"/>
  <c r="DJ225" i="31"/>
  <c r="DK225" i="31" s="1"/>
  <c r="IO225" i="31"/>
  <c r="JA225" i="31"/>
  <c r="EP225" i="31"/>
  <c r="ET226" i="31" s="1"/>
  <c r="EV225" i="31"/>
  <c r="EO225" i="31"/>
  <c r="ES226" i="31" s="1"/>
  <c r="FC225" i="31"/>
  <c r="EL225" i="31"/>
  <c r="IP225" i="31"/>
  <c r="JD225" i="31"/>
  <c r="JC225" i="31"/>
  <c r="BV225" i="31"/>
  <c r="BW225" i="31" s="1"/>
  <c r="BY225" i="31" s="1"/>
  <c r="DX225" i="31" l="1"/>
  <c r="FQ225" i="31"/>
  <c r="DM225" i="31"/>
  <c r="EC225" i="31"/>
  <c r="BX225" i="31"/>
  <c r="BZ225" i="31" s="1"/>
  <c r="JP225" i="31"/>
  <c r="JQ225" i="31" s="1"/>
  <c r="KG225" i="31"/>
  <c r="JX225" i="31"/>
  <c r="CA225" i="31"/>
  <c r="EX225" i="31" l="1"/>
  <c r="M225" i="31" s="1"/>
  <c r="FB225" i="31"/>
  <c r="DL225" i="31"/>
  <c r="L226" i="31"/>
  <c r="CB225" i="31"/>
  <c r="CC225" i="31" s="1"/>
  <c r="CD225" i="31" l="1"/>
  <c r="CE225" i="31"/>
  <c r="CF225" i="31" s="1"/>
  <c r="MB225" i="31"/>
  <c r="NM225" i="31" s="1"/>
  <c r="NN225" i="31" s="1"/>
  <c r="MJ225" i="31"/>
  <c r="NS225" i="31" s="1"/>
  <c r="CG225" i="31" l="1"/>
  <c r="CH225" i="31" s="1"/>
  <c r="CI225" i="31" s="1"/>
  <c r="NT225" i="31"/>
  <c r="OU226" i="31"/>
  <c r="OV226" i="31"/>
  <c r="NW225" i="31"/>
  <c r="NX225" i="31" l="1"/>
  <c r="OF225" i="31" s="1"/>
  <c r="OS226" i="31" s="1"/>
  <c r="FV225" i="31"/>
  <c r="NU225" i="31"/>
  <c r="NV225" i="31" s="1"/>
  <c r="FR225" i="31"/>
  <c r="CX225" i="31"/>
  <c r="CJ225" i="31"/>
  <c r="CO225" i="31" s="1"/>
  <c r="CK225" i="31"/>
  <c r="CY226" i="31" l="1"/>
  <c r="MY225" i="31"/>
  <c r="NZ225" i="31"/>
  <c r="NY225" i="31"/>
  <c r="CL225" i="31"/>
  <c r="CM225" i="31"/>
  <c r="CN225" i="31" s="1"/>
  <c r="OI225" i="31" l="1"/>
  <c r="MR226" i="31" s="1"/>
  <c r="MS226" i="31" s="1"/>
  <c r="MO226" i="31" s="1"/>
  <c r="OA225" i="31"/>
  <c r="MV226" i="31" s="1"/>
  <c r="OG226" i="31" s="1"/>
  <c r="OB225" i="31"/>
  <c r="OT226" i="31" s="1"/>
  <c r="MZ226" i="31"/>
  <c r="OZ225" i="31"/>
  <c r="OM226" i="31"/>
  <c r="NF226" i="31"/>
  <c r="OO226" i="31"/>
  <c r="CP225" i="31"/>
  <c r="KT226" i="31" l="1"/>
  <c r="KM226" i="31" s="1"/>
  <c r="KO227" i="31" s="1"/>
  <c r="OX226" i="31"/>
  <c r="OW225" i="31"/>
  <c r="OC225" i="31"/>
  <c r="OD226" i="31" s="1"/>
  <c r="OH226" i="31" s="1"/>
  <c r="OK226" i="31" s="1"/>
  <c r="PE226" i="31"/>
  <c r="NH227" i="31"/>
  <c r="NI227" i="31" s="1"/>
  <c r="MU226" i="31"/>
  <c r="OJ225" i="31"/>
  <c r="OY226" i="31" s="1"/>
  <c r="KL226" i="31"/>
  <c r="KN227" i="31" s="1"/>
  <c r="KQ226" i="31" s="1"/>
  <c r="MT226" i="31"/>
  <c r="NJ226" i="31"/>
  <c r="NL226" i="31" s="1"/>
  <c r="NP226" i="31"/>
  <c r="NQ226" i="31"/>
  <c r="PA225" i="31"/>
  <c r="FX225" i="31"/>
  <c r="FY225" i="31" s="1"/>
  <c r="FZ225" i="31"/>
  <c r="GA225" i="31" s="1"/>
  <c r="DQ225" i="31"/>
  <c r="DR225" i="31" s="1"/>
  <c r="FH225" i="31"/>
  <c r="FI225" i="31" s="1"/>
  <c r="FP225" i="31"/>
  <c r="FS225" i="31" s="1"/>
  <c r="CQ225" i="31"/>
  <c r="FU225" i="31"/>
  <c r="FW225" i="31" s="1"/>
  <c r="GO225" i="31"/>
  <c r="GB225" i="31"/>
  <c r="GC225" i="31" s="1"/>
  <c r="JR225" i="31"/>
  <c r="JS225" i="31" s="1"/>
  <c r="HO225" i="31"/>
  <c r="FE225" i="31"/>
  <c r="FF225" i="31" s="1"/>
  <c r="KX225" i="31"/>
  <c r="KU225" i="31"/>
  <c r="GN225" i="31" l="1"/>
  <c r="GQ225" i="31" s="1"/>
  <c r="MW226" i="31"/>
  <c r="MX226" i="31" s="1"/>
  <c r="NB226" i="31" s="1"/>
  <c r="OQ227" i="31"/>
  <c r="NG227" i="31"/>
  <c r="NK226" i="31"/>
  <c r="KP227" i="31"/>
  <c r="KR226" i="31"/>
  <c r="KS226" i="31" s="1"/>
  <c r="NR226" i="31"/>
  <c r="IA225" i="31"/>
  <c r="IB225" i="31" s="1"/>
  <c r="HP225" i="31"/>
  <c r="IZ225" i="31"/>
  <c r="HW225" i="31"/>
  <c r="HX226" i="31" s="1"/>
  <c r="FG226" i="31"/>
  <c r="HU225" i="31"/>
  <c r="HV226" i="31" s="1"/>
  <c r="FJ226" i="31"/>
  <c r="OR227" i="31"/>
  <c r="HY225" i="31"/>
  <c r="DY225" i="31"/>
  <c r="HA225" i="31"/>
  <c r="JU225" i="31"/>
  <c r="KE225" i="31"/>
  <c r="KC225" i="31"/>
  <c r="JT226" i="31"/>
  <c r="DS225" i="31"/>
  <c r="AX225" i="31" s="1"/>
  <c r="AY226" i="31" s="1"/>
  <c r="NC227" i="31"/>
  <c r="MQ227" i="31"/>
  <c r="CS225" i="31"/>
  <c r="CR225" i="31"/>
  <c r="CT225" i="31"/>
  <c r="KV225" i="31" l="1"/>
  <c r="KW226" i="31" s="1"/>
  <c r="HQ225" i="31"/>
  <c r="HR226" i="31" s="1"/>
  <c r="NA226" i="31"/>
  <c r="EN225" i="31"/>
  <c r="AZ225" i="31"/>
  <c r="EM225" i="31"/>
  <c r="EW225" i="31" s="1"/>
  <c r="HS225" i="31"/>
  <c r="JG225" i="31" s="1"/>
  <c r="HT225" i="31"/>
  <c r="IC225" i="31" l="1"/>
  <c r="ID225" i="31" s="1"/>
  <c r="IF225" i="31" s="1"/>
  <c r="KH225" i="31" s="1"/>
  <c r="JB225" i="31"/>
  <c r="BB226" i="31"/>
  <c r="EQ225" i="31"/>
  <c r="DW225" i="31"/>
  <c r="DU226" i="31" s="1"/>
  <c r="IW225" i="31"/>
  <c r="ER226" i="31"/>
  <c r="IU225" i="31"/>
  <c r="IV225" i="31" s="1"/>
  <c r="KB225" i="31" l="1"/>
  <c r="BC226" i="31"/>
  <c r="IX225" i="31"/>
  <c r="KK225" i="31"/>
  <c r="EU226" i="31"/>
  <c r="IM225" i="31"/>
  <c r="DB225" i="31"/>
  <c r="DC225" i="31" s="1"/>
  <c r="DD226" i="31" s="1"/>
  <c r="DE227" i="31" s="1"/>
  <c r="GM225" i="31"/>
  <c r="KI226" i="31"/>
  <c r="IN225" i="31"/>
  <c r="DF225" i="31"/>
  <c r="GT227" i="31" l="1"/>
  <c r="DT225" i="31"/>
  <c r="DZ225" i="31" s="1"/>
  <c r="FD225" i="31"/>
  <c r="GU225" i="31"/>
  <c r="GV225" i="31"/>
  <c r="KJ226" i="31"/>
  <c r="GR225" i="31"/>
  <c r="BD226" i="31"/>
  <c r="BE226" i="31"/>
  <c r="BF226" i="31" l="1"/>
  <c r="BG226" i="31"/>
  <c r="IS225" i="31"/>
  <c r="FL226" i="31"/>
  <c r="GS225" i="31"/>
  <c r="FM226" i="31" l="1"/>
  <c r="BI226" i="31"/>
  <c r="BK226" i="31" s="1"/>
  <c r="BH226" i="31"/>
  <c r="GY225" i="31"/>
  <c r="GW225" i="31"/>
  <c r="HC225" i="31" s="1"/>
  <c r="FA226" i="31" s="1"/>
  <c r="HB226" i="31" s="1"/>
  <c r="GX225" i="31"/>
  <c r="JH225" i="31"/>
  <c r="JI225" i="31" s="1"/>
  <c r="IT225" i="31"/>
  <c r="BJ226" i="31" l="1"/>
  <c r="JK225" i="31"/>
  <c r="JZ225" i="31" s="1"/>
  <c r="KF225" i="31" s="1"/>
  <c r="IQ226" i="31" s="1"/>
  <c r="EG225" i="31"/>
  <c r="EH226" i="31" s="1"/>
  <c r="EI226" i="31" s="1"/>
  <c r="FK226" i="31" s="1"/>
  <c r="HM225" i="31"/>
  <c r="EY225" i="31"/>
  <c r="HK226" i="31"/>
  <c r="BL226" i="31"/>
  <c r="BM226" i="31"/>
  <c r="JM225" i="31" l="1"/>
  <c r="KD225" i="31" s="1"/>
  <c r="IL226" i="31" s="1"/>
  <c r="IR226" i="31" s="1"/>
  <c r="JN225" i="31"/>
  <c r="JV225" i="31" s="1"/>
  <c r="JF226" i="31" s="1"/>
  <c r="ED225" i="31"/>
  <c r="EB226" i="31" s="1"/>
  <c r="IY226" i="31" s="1"/>
  <c r="EE225" i="31"/>
  <c r="EF226" i="31" s="1"/>
  <c r="EJ225" i="31"/>
  <c r="EK226" i="31" s="1"/>
  <c r="BN226" i="31"/>
  <c r="BO226" i="31"/>
  <c r="JL225" i="31"/>
  <c r="JJ226" i="31" s="1"/>
  <c r="KA226" i="31"/>
  <c r="EZ225" i="31"/>
  <c r="DG225" i="31"/>
  <c r="DH225" i="31" s="1"/>
  <c r="DI226" i="31" s="1"/>
  <c r="JE226" i="31" l="1"/>
  <c r="IP226" i="31"/>
  <c r="JO226" i="31"/>
  <c r="JW226" i="31"/>
  <c r="JY226" i="31"/>
  <c r="JA226" i="31"/>
  <c r="IO226" i="31"/>
  <c r="JP226" i="31" s="1"/>
  <c r="JQ226" i="31" s="1"/>
  <c r="HZ226" i="31"/>
  <c r="DP226" i="31"/>
  <c r="JC226" i="31"/>
  <c r="JD226" i="31"/>
  <c r="GZ226" i="31"/>
  <c r="KG226" i="31" s="1"/>
  <c r="DJ226" i="31"/>
  <c r="DK226" i="31" s="1"/>
  <c r="BP226" i="31"/>
  <c r="BQ226" i="31" s="1"/>
  <c r="FC226" i="31"/>
  <c r="EO226" i="31"/>
  <c r="ES227" i="31" s="1"/>
  <c r="EL226" i="31"/>
  <c r="EP226" i="31"/>
  <c r="ET227" i="31" s="1"/>
  <c r="EV226" i="31"/>
  <c r="IE226" i="31" l="1"/>
  <c r="DX226" i="31"/>
  <c r="FQ226" i="31"/>
  <c r="DM226" i="31"/>
  <c r="BR226" i="31"/>
  <c r="BS226" i="31"/>
  <c r="EC226" i="31"/>
  <c r="JX226" i="31"/>
  <c r="BT226" i="31" l="1"/>
  <c r="BU226" i="31"/>
  <c r="DL226" i="31"/>
  <c r="L227" i="31"/>
  <c r="EX226" i="31"/>
  <c r="M226" i="31" s="1"/>
  <c r="FB226" i="31"/>
  <c r="BV226" i="31" l="1"/>
  <c r="BW226" i="31" s="1"/>
  <c r="MB226" i="31"/>
  <c r="NM226" i="31" s="1"/>
  <c r="NN226" i="31" s="1"/>
  <c r="MJ226" i="31"/>
  <c r="NS226" i="31" s="1"/>
  <c r="BY226" i="31" l="1"/>
  <c r="BX226" i="31"/>
  <c r="OV227" i="31"/>
  <c r="NW226" i="31"/>
  <c r="NT226" i="31"/>
  <c r="OU227" i="31"/>
  <c r="BZ226" i="31" l="1"/>
  <c r="CA226" i="31"/>
  <c r="CB226" i="31" s="1"/>
  <c r="CC226" i="31" s="1"/>
  <c r="FR226" i="31"/>
  <c r="CX226" i="31"/>
  <c r="FV226" i="31"/>
  <c r="NU226" i="31"/>
  <c r="NX226" i="31"/>
  <c r="CD226" i="31" l="1"/>
  <c r="CE226" i="31"/>
  <c r="CF226" i="31" s="1"/>
  <c r="NV226" i="31"/>
  <c r="NY226" i="31"/>
  <c r="NZ226" i="31"/>
  <c r="MY226" i="31"/>
  <c r="CY227" i="31"/>
  <c r="OF226" i="31"/>
  <c r="OS227" i="31" s="1"/>
  <c r="CG226" i="31" l="1"/>
  <c r="CH226" i="31" s="1"/>
  <c r="CI226" i="31" s="1"/>
  <c r="MZ227" i="31"/>
  <c r="OZ226" i="31"/>
  <c r="OB226" i="31"/>
  <c r="OT227" i="31" s="1"/>
  <c r="OA226" i="31"/>
  <c r="MV227" i="31" s="1"/>
  <c r="OI226" i="31"/>
  <c r="OM227" i="31"/>
  <c r="NF227" i="31"/>
  <c r="OO227" i="31"/>
  <c r="CJ226" i="31" l="1"/>
  <c r="CO226" i="31" s="1"/>
  <c r="CK226" i="31"/>
  <c r="OJ226" i="31"/>
  <c r="KT227" i="31"/>
  <c r="OG227" i="31"/>
  <c r="PA226" i="31"/>
  <c r="OC226" i="31"/>
  <c r="OD227" i="31" s="1"/>
  <c r="OH227" i="31" s="1"/>
  <c r="OW226" i="31"/>
  <c r="OX227" i="31"/>
  <c r="MR227" i="31"/>
  <c r="OK227" i="31" l="1"/>
  <c r="OY227" i="31"/>
  <c r="MW227" i="31"/>
  <c r="CL226" i="31"/>
  <c r="CM226" i="31"/>
  <c r="CN226" i="31" s="1"/>
  <c r="KM227" i="31"/>
  <c r="KO228" i="31" s="1"/>
  <c r="KL227" i="31"/>
  <c r="KN228" i="31" s="1"/>
  <c r="MS227" i="31"/>
  <c r="CP226" i="31" l="1"/>
  <c r="FZ226" i="31" s="1"/>
  <c r="GA226" i="31" s="1"/>
  <c r="MU227" i="31"/>
  <c r="MT227" i="31"/>
  <c r="NH228" i="31"/>
  <c r="NI228" i="31" s="1"/>
  <c r="NQ227" i="31"/>
  <c r="NP227" i="31"/>
  <c r="NJ227" i="31"/>
  <c r="MO227" i="31"/>
  <c r="PE227" i="31"/>
  <c r="KP228" i="31"/>
  <c r="KR227" i="31"/>
  <c r="KQ227" i="31"/>
  <c r="MX227" i="31"/>
  <c r="FX226" i="31" l="1"/>
  <c r="FY226" i="31" s="1"/>
  <c r="GB226" i="31"/>
  <c r="GC226" i="31" s="1"/>
  <c r="FU226" i="31"/>
  <c r="FW226" i="31" s="1"/>
  <c r="FH226" i="31"/>
  <c r="FI226" i="31" s="1"/>
  <c r="HU226" i="31" s="1"/>
  <c r="HV227" i="31" s="1"/>
  <c r="GO226" i="31"/>
  <c r="KX226" i="31"/>
  <c r="FE226" i="31"/>
  <c r="FF226" i="31" s="1"/>
  <c r="FG227" i="31" s="1"/>
  <c r="KS227" i="31"/>
  <c r="DQ226" i="31"/>
  <c r="DR226" i="31" s="1"/>
  <c r="DS226" i="31" s="1"/>
  <c r="AX226" i="31" s="1"/>
  <c r="AY227" i="31" s="1"/>
  <c r="JR226" i="31"/>
  <c r="JS226" i="31" s="1"/>
  <c r="JT227" i="31" s="1"/>
  <c r="FP226" i="31"/>
  <c r="FS226" i="31" s="1"/>
  <c r="HY226" i="31" s="1"/>
  <c r="CQ226" i="31"/>
  <c r="CT226" i="31" s="1"/>
  <c r="HO226" i="31"/>
  <c r="HP226" i="31" s="1"/>
  <c r="KU226" i="31"/>
  <c r="NR227" i="31"/>
  <c r="NL227" i="31"/>
  <c r="NK227" i="31"/>
  <c r="NG228" i="31"/>
  <c r="OQ228" i="31"/>
  <c r="NA227" i="31"/>
  <c r="NB227" i="31"/>
  <c r="FJ227" i="31" l="1"/>
  <c r="GN226" i="31"/>
  <c r="GQ226" i="31" s="1"/>
  <c r="HW226" i="31"/>
  <c r="HX227" i="31" s="1"/>
  <c r="JU226" i="31"/>
  <c r="KC226" i="31"/>
  <c r="KE226" i="31"/>
  <c r="HA226" i="31"/>
  <c r="IZ226" i="31"/>
  <c r="IA226" i="31"/>
  <c r="IB226" i="31" s="1"/>
  <c r="CS226" i="31"/>
  <c r="CR226" i="31"/>
  <c r="DY226" i="31"/>
  <c r="NC228" i="31"/>
  <c r="MQ228" i="31"/>
  <c r="AZ226" i="31"/>
  <c r="EM226" i="31"/>
  <c r="EW226" i="31" s="1"/>
  <c r="EN226" i="31"/>
  <c r="OR228" i="31"/>
  <c r="HS226" i="31"/>
  <c r="JG226" i="31" s="1"/>
  <c r="HT226" i="31"/>
  <c r="KV226" i="31" l="1"/>
  <c r="KW227" i="31" s="1"/>
  <c r="HQ226" i="31"/>
  <c r="HR227" i="31" s="1"/>
  <c r="BB227" i="31"/>
  <c r="EQ226" i="31"/>
  <c r="IW226" i="31"/>
  <c r="DW226" i="31"/>
  <c r="DU227" i="31" s="1"/>
  <c r="ER227" i="31"/>
  <c r="IU226" i="31"/>
  <c r="IV226" i="31" s="1"/>
  <c r="IC226" i="31"/>
  <c r="ID226" i="31" s="1"/>
  <c r="IF226" i="31" s="1"/>
  <c r="KH226" i="31" s="1"/>
  <c r="JB226" i="31"/>
  <c r="KB226" i="31" l="1"/>
  <c r="EU227" i="31"/>
  <c r="IM226" i="31"/>
  <c r="DB226" i="31"/>
  <c r="DC226" i="31" s="1"/>
  <c r="DD227" i="31" s="1"/>
  <c r="DE228" i="31" s="1"/>
  <c r="GM226" i="31"/>
  <c r="KI227" i="31"/>
  <c r="IN226" i="31"/>
  <c r="DF226" i="31"/>
  <c r="BC227" i="31"/>
  <c r="IX226" i="31"/>
  <c r="KK226" i="31"/>
  <c r="DT226" i="31" l="1"/>
  <c r="DZ226" i="31" s="1"/>
  <c r="GT228" i="31"/>
  <c r="FD226" i="31"/>
  <c r="GV226" i="31"/>
  <c r="GU226" i="31"/>
  <c r="BD227" i="31"/>
  <c r="BE227" i="31"/>
  <c r="KJ227" i="31"/>
  <c r="GR226" i="31"/>
  <c r="BF227" i="31" l="1"/>
  <c r="BG227" i="31"/>
  <c r="IS226" i="31"/>
  <c r="FL227" i="31"/>
  <c r="GS226" i="31"/>
  <c r="FM227" i="31" l="1"/>
  <c r="BI227" i="31"/>
  <c r="BK227" i="31" s="1"/>
  <c r="BH227" i="31"/>
  <c r="GW226" i="31"/>
  <c r="HC226" i="31" s="1"/>
  <c r="FA227" i="31" s="1"/>
  <c r="HB227" i="31" s="1"/>
  <c r="GY226" i="31"/>
  <c r="GX226" i="31"/>
  <c r="JH226" i="31"/>
  <c r="JI226" i="31" s="1"/>
  <c r="IT226" i="31"/>
  <c r="BJ227" i="31" l="1"/>
  <c r="HM226" i="31"/>
  <c r="EG226" i="31"/>
  <c r="EH227" i="31" s="1"/>
  <c r="EI227" i="31" s="1"/>
  <c r="FK227" i="31" s="1"/>
  <c r="EY226" i="31"/>
  <c r="HK227" i="31"/>
  <c r="BL227" i="31"/>
  <c r="BM227" i="31"/>
  <c r="JK226" i="31"/>
  <c r="JZ226" i="31" s="1"/>
  <c r="KF226" i="31" s="1"/>
  <c r="IQ227" i="31" s="1"/>
  <c r="JN226" i="31" l="1"/>
  <c r="JV226" i="31" s="1"/>
  <c r="JF227" i="31" s="1"/>
  <c r="JW227" i="31" s="1"/>
  <c r="BN227" i="31"/>
  <c r="BO227" i="31"/>
  <c r="BP227" i="31" s="1"/>
  <c r="EZ226" i="31"/>
  <c r="DG226" i="31"/>
  <c r="DH226" i="31" s="1"/>
  <c r="DI227" i="31" s="1"/>
  <c r="ED226" i="31"/>
  <c r="EB227" i="31" s="1"/>
  <c r="EE226" i="31"/>
  <c r="EF227" i="31" s="1"/>
  <c r="EJ226" i="31"/>
  <c r="EK227" i="31" s="1"/>
  <c r="JM226" i="31"/>
  <c r="KD226" i="31" s="1"/>
  <c r="IL227" i="31" s="1"/>
  <c r="IR227" i="31" s="1"/>
  <c r="JL226" i="31"/>
  <c r="JJ227" i="31" s="1"/>
  <c r="KA227" i="31"/>
  <c r="JY227" i="31" l="1"/>
  <c r="BQ227" i="31"/>
  <c r="BS227" i="31" s="1"/>
  <c r="EL227" i="31"/>
  <c r="EP227" i="31"/>
  <c r="ET228" i="31" s="1"/>
  <c r="EO227" i="31"/>
  <c r="ES228" i="31" s="1"/>
  <c r="FC227" i="31"/>
  <c r="EV227" i="31"/>
  <c r="HZ227" i="31"/>
  <c r="IP227" i="31"/>
  <c r="IO227" i="31"/>
  <c r="IY227" i="31"/>
  <c r="JA227" i="31"/>
  <c r="JE227" i="31"/>
  <c r="JC227" i="31"/>
  <c r="JD227" i="31"/>
  <c r="BR227" i="31"/>
  <c r="JO227" i="31"/>
  <c r="DP227" i="31"/>
  <c r="DJ227" i="31"/>
  <c r="DK227" i="31" s="1"/>
  <c r="GZ227" i="31"/>
  <c r="IE227" i="31" s="1"/>
  <c r="FQ227" i="31" l="1"/>
  <c r="DX227" i="31"/>
  <c r="DM227" i="31"/>
  <c r="JX227" i="31"/>
  <c r="BT227" i="31"/>
  <c r="BU227" i="31"/>
  <c r="KG227" i="31"/>
  <c r="EC227" i="31"/>
  <c r="JP227" i="31"/>
  <c r="JQ227" i="31" s="1"/>
  <c r="BV227" i="31" l="1"/>
  <c r="BW227" i="31" s="1"/>
  <c r="DL227" i="31"/>
  <c r="L228" i="31"/>
  <c r="FB227" i="31"/>
  <c r="EX227" i="31"/>
  <c r="M227" i="31" s="1"/>
  <c r="BY227" i="31" l="1"/>
  <c r="BX227" i="31"/>
  <c r="MB227" i="31"/>
  <c r="NM227" i="31" s="1"/>
  <c r="NN227" i="31" s="1"/>
  <c r="MJ227" i="31"/>
  <c r="NS227" i="31" s="1"/>
  <c r="BZ227" i="31" l="1"/>
  <c r="CA227" i="31"/>
  <c r="CB227" i="31" s="1"/>
  <c r="CC227" i="31" s="1"/>
  <c r="NT227" i="31"/>
  <c r="OU228" i="31"/>
  <c r="OV228" i="31"/>
  <c r="NW227" i="31"/>
  <c r="NX227" i="31" s="1"/>
  <c r="CD227" i="31" l="1"/>
  <c r="CE227" i="31"/>
  <c r="CF227" i="31" s="1"/>
  <c r="OF227" i="31"/>
  <c r="OS228" i="31" s="1"/>
  <c r="NY227" i="31"/>
  <c r="CX227" i="31"/>
  <c r="FV227" i="31"/>
  <c r="FR227" i="31"/>
  <c r="NU227" i="31"/>
  <c r="CG227" i="31" l="1"/>
  <c r="CH227" i="31" s="1"/>
  <c r="CI227" i="31" s="1"/>
  <c r="NZ227" i="31"/>
  <c r="OA227" i="31" s="1"/>
  <c r="MV228" i="31" s="1"/>
  <c r="MY227" i="31"/>
  <c r="CY228" i="31"/>
  <c r="OB227" i="31"/>
  <c r="OT228" i="31" s="1"/>
  <c r="NV227" i="31"/>
  <c r="OG228" i="31" l="1"/>
  <c r="MZ228" i="31"/>
  <c r="OZ227" i="31"/>
  <c r="OC227" i="31"/>
  <c r="OD228" i="31" s="1"/>
  <c r="OH228" i="31" s="1"/>
  <c r="CJ227" i="31"/>
  <c r="CO227" i="31" s="1"/>
  <c r="CK227" i="31"/>
  <c r="NF228" i="31"/>
  <c r="OM228" i="31"/>
  <c r="OO228" i="31"/>
  <c r="KT228" i="31" s="1"/>
  <c r="PA227" i="31"/>
  <c r="OJ227" i="31"/>
  <c r="OI227" i="31"/>
  <c r="OK228" i="31" l="1"/>
  <c r="KM228" i="31"/>
  <c r="KO229" i="31" s="1"/>
  <c r="KL228" i="31"/>
  <c r="KN229" i="31" s="1"/>
  <c r="CL227" i="31"/>
  <c r="CM227" i="31"/>
  <c r="CN227" i="31" s="1"/>
  <c r="OW227" i="31"/>
  <c r="OX228" i="31"/>
  <c r="MR228" i="31"/>
  <c r="MW228" i="31"/>
  <c r="OY228" i="31"/>
  <c r="CP227" i="31" l="1"/>
  <c r="MX228" i="31"/>
  <c r="MS228" i="31"/>
  <c r="KQ228" i="31"/>
  <c r="KP229" i="31"/>
  <c r="KR228" i="31"/>
  <c r="NJ228" i="31" l="1"/>
  <c r="MU228" i="31"/>
  <c r="MT228" i="31"/>
  <c r="MO228" i="31"/>
  <c r="NP228" i="31"/>
  <c r="NQ228" i="31"/>
  <c r="NH229" i="31"/>
  <c r="NI229" i="31" s="1"/>
  <c r="PE228" i="31"/>
  <c r="KS228" i="31"/>
  <c r="NB228" i="31"/>
  <c r="NA228" i="31"/>
  <c r="FE227" i="31"/>
  <c r="FF227" i="31" s="1"/>
  <c r="HO227" i="31"/>
  <c r="FZ227" i="31"/>
  <c r="GA227" i="31" s="1"/>
  <c r="GO227" i="31"/>
  <c r="FU227" i="31"/>
  <c r="FW227" i="31" s="1"/>
  <c r="CQ227" i="31"/>
  <c r="JR227" i="31"/>
  <c r="JS227" i="31" s="1"/>
  <c r="DQ227" i="31"/>
  <c r="DR227" i="31" s="1"/>
  <c r="FX227" i="31"/>
  <c r="FY227" i="31" s="1"/>
  <c r="FP227" i="31"/>
  <c r="FS227" i="31" s="1"/>
  <c r="GB227" i="31"/>
  <c r="GC227" i="31" s="1"/>
  <c r="FH227" i="31"/>
  <c r="FI227" i="31" s="1"/>
  <c r="KX227" i="31"/>
  <c r="GN227" i="31" s="1"/>
  <c r="KU227" i="31"/>
  <c r="NR228" i="31" l="1"/>
  <c r="GQ227" i="31"/>
  <c r="KV227" i="31"/>
  <c r="IA227" i="31"/>
  <c r="IB227" i="31" s="1"/>
  <c r="HP227" i="31"/>
  <c r="IZ227" i="31"/>
  <c r="HU227" i="31"/>
  <c r="HV228" i="31" s="1"/>
  <c r="FJ228" i="31"/>
  <c r="HA227" i="31"/>
  <c r="HY227" i="31"/>
  <c r="DY227" i="31"/>
  <c r="HW227" i="31"/>
  <c r="HX228" i="31" s="1"/>
  <c r="FG228" i="31"/>
  <c r="DS227" i="31"/>
  <c r="AX227" i="31" s="1"/>
  <c r="AY228" i="31" s="1"/>
  <c r="KC227" i="31"/>
  <c r="KE227" i="31"/>
  <c r="JU227" i="31"/>
  <c r="JT228" i="31"/>
  <c r="CS227" i="31"/>
  <c r="CR227" i="31"/>
  <c r="CT227" i="31"/>
  <c r="NK228" i="31"/>
  <c r="NL228" i="31"/>
  <c r="NG229" i="31"/>
  <c r="OQ229" i="31"/>
  <c r="KW228" i="31" l="1"/>
  <c r="HQ227" i="31"/>
  <c r="HR228" i="31" s="1"/>
  <c r="HT227" i="31"/>
  <c r="HS227" i="31"/>
  <c r="JG227" i="31" s="1"/>
  <c r="OR229" i="31"/>
  <c r="AZ227" i="31"/>
  <c r="EN227" i="31"/>
  <c r="EM227" i="31"/>
  <c r="EW227" i="31" s="1"/>
  <c r="NC229" i="31"/>
  <c r="MQ229" i="31"/>
  <c r="BB228" i="31" l="1"/>
  <c r="DW227" i="31"/>
  <c r="DU228" i="31" s="1"/>
  <c r="EQ227" i="31"/>
  <c r="ER228" i="31"/>
  <c r="IU227" i="31"/>
  <c r="IV227" i="31" s="1"/>
  <c r="IC227" i="31"/>
  <c r="ID227" i="31" s="1"/>
  <c r="IF227" i="31" s="1"/>
  <c r="KH227" i="31" s="1"/>
  <c r="JB227" i="31"/>
  <c r="IW227" i="31" l="1"/>
  <c r="KB227" i="31" s="1"/>
  <c r="IX227" i="31"/>
  <c r="KK227" i="31"/>
  <c r="EU228" i="31"/>
  <c r="DB227" i="31"/>
  <c r="DC227" i="31" s="1"/>
  <c r="DD228" i="31" s="1"/>
  <c r="DE229" i="31" s="1"/>
  <c r="IM227" i="31"/>
  <c r="GM227" i="31"/>
  <c r="KI228" i="31"/>
  <c r="IN227" i="31"/>
  <c r="DF227" i="31"/>
  <c r="BC228" i="31"/>
  <c r="GT229" i="31" l="1"/>
  <c r="FD227" i="31"/>
  <c r="GU227" i="31"/>
  <c r="GV227" i="31"/>
  <c r="KJ228" i="31"/>
  <c r="DT227" i="31"/>
  <c r="DZ227" i="31" s="1"/>
  <c r="BD228" i="31"/>
  <c r="BE228" i="31"/>
  <c r="GR227" i="31"/>
  <c r="GS227" i="31" l="1"/>
  <c r="BF228" i="31"/>
  <c r="BG228" i="31"/>
  <c r="IS227" i="31"/>
  <c r="FL228" i="31"/>
  <c r="FM228" i="31" l="1"/>
  <c r="BI228" i="31"/>
  <c r="BK228" i="31" s="1"/>
  <c r="BH228" i="31"/>
  <c r="JH227" i="31"/>
  <c r="JI227" i="31" s="1"/>
  <c r="IT227" i="31"/>
  <c r="GX227" i="31"/>
  <c r="GY227" i="31"/>
  <c r="GW227" i="31"/>
  <c r="HC227" i="31" s="1"/>
  <c r="FA228" i="31" s="1"/>
  <c r="HB228" i="31" s="1"/>
  <c r="HM227" i="31" l="1"/>
  <c r="EG227" i="31"/>
  <c r="EH228" i="31" s="1"/>
  <c r="EI228" i="31" s="1"/>
  <c r="FK228" i="31" s="1"/>
  <c r="EY227" i="31"/>
  <c r="HK228" i="31"/>
  <c r="BJ228" i="31"/>
  <c r="BL228" i="31"/>
  <c r="BM228" i="31"/>
  <c r="JK227" i="31"/>
  <c r="JZ227" i="31" s="1"/>
  <c r="KF227" i="31" s="1"/>
  <c r="IQ228" i="31" s="1"/>
  <c r="JN227" i="31" l="1"/>
  <c r="JV227" i="31" s="1"/>
  <c r="JF228" i="31" s="1"/>
  <c r="JY228" i="31" s="1"/>
  <c r="JM227" i="31"/>
  <c r="KD227" i="31" s="1"/>
  <c r="IL228" i="31" s="1"/>
  <c r="JL227" i="31"/>
  <c r="JJ228" i="31" s="1"/>
  <c r="KA228" i="31"/>
  <c r="EZ227" i="31"/>
  <c r="DG227" i="31"/>
  <c r="DH227" i="31" s="1"/>
  <c r="DI228" i="31" s="1"/>
  <c r="BN228" i="31"/>
  <c r="BO228" i="31"/>
  <c r="EE227" i="31"/>
  <c r="EF228" i="31" s="1"/>
  <c r="ED227" i="31"/>
  <c r="EB228" i="31" s="1"/>
  <c r="JA228" i="31" s="1"/>
  <c r="EJ227" i="31"/>
  <c r="EK228" i="31" s="1"/>
  <c r="JO228" i="31" l="1"/>
  <c r="JW228" i="31"/>
  <c r="BP228" i="31"/>
  <c r="BQ228" i="31" s="1"/>
  <c r="JC228" i="31"/>
  <c r="JD228" i="31"/>
  <c r="HZ228" i="31"/>
  <c r="DP228" i="31"/>
  <c r="GZ228" i="31"/>
  <c r="IE228" i="31" s="1"/>
  <c r="DJ228" i="31"/>
  <c r="DK228" i="31" s="1"/>
  <c r="EP228" i="31"/>
  <c r="ET229" i="31" s="1"/>
  <c r="EO228" i="31"/>
  <c r="ES229" i="31" s="1"/>
  <c r="EL228" i="31"/>
  <c r="FC228" i="31"/>
  <c r="EV228" i="31"/>
  <c r="IO228" i="31"/>
  <c r="IP228" i="31"/>
  <c r="IR228" i="31"/>
  <c r="JE228" i="31"/>
  <c r="IY228" i="31"/>
  <c r="JX228" i="31" l="1"/>
  <c r="BR228" i="31"/>
  <c r="BS228" i="31"/>
  <c r="KG228" i="31"/>
  <c r="JP228" i="31"/>
  <c r="JQ228" i="31" s="1"/>
  <c r="DX228" i="31"/>
  <c r="FQ228" i="31"/>
  <c r="DM228" i="31"/>
  <c r="EC228" i="31"/>
  <c r="BT228" i="31" l="1"/>
  <c r="BU228" i="31"/>
  <c r="BV228" i="31" s="1"/>
  <c r="EX228" i="31"/>
  <c r="M228" i="31" s="1"/>
  <c r="FB228" i="31"/>
  <c r="DL228" i="31"/>
  <c r="L229" i="31"/>
  <c r="BW228" i="31" l="1"/>
  <c r="MJ228" i="31"/>
  <c r="NS228" i="31" s="1"/>
  <c r="MB228" i="31"/>
  <c r="NM228" i="31" l="1"/>
  <c r="NN228" i="31" s="1"/>
  <c r="BY228" i="31"/>
  <c r="BX228" i="31"/>
  <c r="NT228" i="31"/>
  <c r="OU229" i="31"/>
  <c r="OV229" i="31" l="1"/>
  <c r="NW228" i="31"/>
  <c r="NX228" i="31" s="1"/>
  <c r="OF228" i="31" s="1"/>
  <c r="OS229" i="31" s="1"/>
  <c r="BZ228" i="31"/>
  <c r="CA228" i="31"/>
  <c r="FV228" i="31"/>
  <c r="FR228" i="31"/>
  <c r="CX228" i="31"/>
  <c r="NU228" i="31"/>
  <c r="CB228" i="31" l="1"/>
  <c r="CC228" i="31" s="1"/>
  <c r="NY228" i="31"/>
  <c r="NV228" i="31"/>
  <c r="MY228" i="31"/>
  <c r="NZ228" i="31"/>
  <c r="CY229" i="31"/>
  <c r="CE228" i="31" l="1"/>
  <c r="CD228" i="31"/>
  <c r="OM229" i="31"/>
  <c r="OO229" i="31"/>
  <c r="NF229" i="31"/>
  <c r="OB228" i="31"/>
  <c r="OT229" i="31" s="1"/>
  <c r="OI228" i="31"/>
  <c r="MZ229" i="31"/>
  <c r="OZ228" i="31"/>
  <c r="OA228" i="31"/>
  <c r="MV229" i="31" s="1"/>
  <c r="CF228" i="31" l="1"/>
  <c r="CG228" i="31"/>
  <c r="CH228" i="31" s="1"/>
  <c r="CI228" i="31" s="1"/>
  <c r="PA228" i="31"/>
  <c r="OC228" i="31"/>
  <c r="OD229" i="31" s="1"/>
  <c r="OH229" i="31" s="1"/>
  <c r="OJ228" i="31"/>
  <c r="MW229" i="31" s="1"/>
  <c r="KT229" i="31"/>
  <c r="OG229" i="31"/>
  <c r="OX229" i="31"/>
  <c r="OW228" i="31"/>
  <c r="MR229" i="31"/>
  <c r="OY229" i="31" l="1"/>
  <c r="OK229" i="31"/>
  <c r="CJ228" i="31"/>
  <c r="CO228" i="31" s="1"/>
  <c r="CK228" i="31"/>
  <c r="MX229" i="31"/>
  <c r="MS229" i="31"/>
  <c r="KL229" i="31"/>
  <c r="KN230" i="31" s="1"/>
  <c r="KM229" i="31"/>
  <c r="KO230" i="31" s="1"/>
  <c r="CL228" i="31" l="1"/>
  <c r="CM228" i="31"/>
  <c r="CN228" i="31" s="1"/>
  <c r="KQ229" i="31"/>
  <c r="MT229" i="31"/>
  <c r="MU229" i="31"/>
  <c r="NH230" i="31"/>
  <c r="NI230" i="31" s="1"/>
  <c r="NQ229" i="31"/>
  <c r="NP229" i="31"/>
  <c r="MO229" i="31"/>
  <c r="NJ229" i="31"/>
  <c r="PE229" i="31"/>
  <c r="NA229" i="31"/>
  <c r="NB229" i="31"/>
  <c r="KP230" i="31"/>
  <c r="KR229" i="31"/>
  <c r="CP228" i="31" l="1"/>
  <c r="NK229" i="31"/>
  <c r="NL229" i="31"/>
  <c r="NG230" i="31"/>
  <c r="OQ230" i="31"/>
  <c r="NR229" i="31"/>
  <c r="KS229" i="31"/>
  <c r="FH228" i="31" l="1"/>
  <c r="FI228" i="31" s="1"/>
  <c r="GB228" i="31"/>
  <c r="GC228" i="31" s="1"/>
  <c r="FZ228" i="31"/>
  <c r="GA228" i="31" s="1"/>
  <c r="KX228" i="31"/>
  <c r="GO228" i="31"/>
  <c r="CQ228" i="31"/>
  <c r="DQ228" i="31"/>
  <c r="DR228" i="31" s="1"/>
  <c r="DS228" i="31" s="1"/>
  <c r="AX228" i="31" s="1"/>
  <c r="AY229" i="31" s="1"/>
  <c r="JR228" i="31"/>
  <c r="JS228" i="31" s="1"/>
  <c r="FE228" i="31"/>
  <c r="FF228" i="31" s="1"/>
  <c r="FU228" i="31"/>
  <c r="FW228" i="31" s="1"/>
  <c r="FP228" i="31"/>
  <c r="FS228" i="31" s="1"/>
  <c r="HO228" i="31"/>
  <c r="FX228" i="31"/>
  <c r="FY228" i="31" s="1"/>
  <c r="KU228" i="31"/>
  <c r="NC230" i="31"/>
  <c r="MQ230" i="31"/>
  <c r="OR230" i="31"/>
  <c r="GN228" i="31" l="1"/>
  <c r="GQ228" i="31" s="1"/>
  <c r="CS228" i="31"/>
  <c r="CT228" i="31"/>
  <c r="CR228" i="31"/>
  <c r="EM228" i="31"/>
  <c r="EW228" i="31" s="1"/>
  <c r="AZ228" i="31"/>
  <c r="EN228" i="31"/>
  <c r="IZ228" i="31"/>
  <c r="IA228" i="31"/>
  <c r="IB228" i="31" s="1"/>
  <c r="HP228" i="31"/>
  <c r="HY228" i="31"/>
  <c r="HA228" i="31"/>
  <c r="DY228" i="31"/>
  <c r="JU228" i="31"/>
  <c r="KC228" i="31"/>
  <c r="KE228" i="31"/>
  <c r="JT229" i="31"/>
  <c r="FG229" i="31"/>
  <c r="HW228" i="31"/>
  <c r="HX229" i="31" s="1"/>
  <c r="HU228" i="31"/>
  <c r="HV229" i="31" s="1"/>
  <c r="FJ229" i="31"/>
  <c r="KV228" i="31" l="1"/>
  <c r="KW229" i="31" s="1"/>
  <c r="HQ228" i="31"/>
  <c r="HR229" i="31" s="1"/>
  <c r="HT228" i="31"/>
  <c r="HS228" i="31"/>
  <c r="JG228" i="31" s="1"/>
  <c r="BB229" i="31"/>
  <c r="BC229" i="31" s="1"/>
  <c r="BD229" i="31" s="1"/>
  <c r="DW228" i="31"/>
  <c r="DU229" i="31" s="1"/>
  <c r="ER229" i="31"/>
  <c r="EU229" i="31" s="1"/>
  <c r="EQ228" i="31"/>
  <c r="IU228" i="31"/>
  <c r="IV228" i="31" s="1"/>
  <c r="IW228" i="31"/>
  <c r="BE229" i="31" l="1"/>
  <c r="BF229" i="31" s="1"/>
  <c r="IX228" i="31"/>
  <c r="KK228" i="31"/>
  <c r="KB228" i="31"/>
  <c r="IC228" i="31"/>
  <c r="ID228" i="31" s="1"/>
  <c r="IF228" i="31" s="1"/>
  <c r="KH228" i="31" s="1"/>
  <c r="JB228" i="31"/>
  <c r="BG229" i="31"/>
  <c r="GM228" i="31" l="1"/>
  <c r="IM228" i="31"/>
  <c r="DB228" i="31"/>
  <c r="DC228" i="31" s="1"/>
  <c r="DD229" i="31" s="1"/>
  <c r="DE230" i="31" s="1"/>
  <c r="IN228" i="31"/>
  <c r="KI229" i="31"/>
  <c r="KJ229" i="31" s="1"/>
  <c r="DF228" i="31"/>
  <c r="BI229" i="31"/>
  <c r="BK229" i="31" s="1"/>
  <c r="BH229" i="31"/>
  <c r="GT230" i="31" l="1"/>
  <c r="BJ229" i="31"/>
  <c r="FD228" i="31"/>
  <c r="GV228" i="31"/>
  <c r="GU228" i="31"/>
  <c r="DT228" i="31"/>
  <c r="DZ228" i="31" s="1"/>
  <c r="GR228" i="31"/>
  <c r="BL229" i="31"/>
  <c r="BM229" i="31"/>
  <c r="GS228" i="31" l="1"/>
  <c r="FL229" i="31"/>
  <c r="FM229" i="31" s="1"/>
  <c r="IS228" i="31"/>
  <c r="BO229" i="31"/>
  <c r="BN229" i="31"/>
  <c r="JH228" i="31" l="1"/>
  <c r="JI228" i="31" s="1"/>
  <c r="IT228" i="31"/>
  <c r="GX228" i="31"/>
  <c r="GY228" i="31"/>
  <c r="GW228" i="31"/>
  <c r="HC228" i="31" s="1"/>
  <c r="FA229" i="31" s="1"/>
  <c r="HB229" i="31" s="1"/>
  <c r="BP229" i="31"/>
  <c r="BQ229" i="31" s="1"/>
  <c r="EG228" i="31" l="1"/>
  <c r="EH229" i="31" s="1"/>
  <c r="EI229" i="31" s="1"/>
  <c r="FK229" i="31" s="1"/>
  <c r="HK229" i="31"/>
  <c r="EY228" i="31"/>
  <c r="HM228" i="31"/>
  <c r="JK228" i="31"/>
  <c r="JM228" i="31" s="1"/>
  <c r="KD228" i="31" s="1"/>
  <c r="IL229" i="31" s="1"/>
  <c r="BR229" i="31"/>
  <c r="BS229" i="31"/>
  <c r="JN228" i="31" l="1"/>
  <c r="JV228" i="31" s="1"/>
  <c r="JF229" i="31" s="1"/>
  <c r="JW229" i="31" s="1"/>
  <c r="JZ228" i="31"/>
  <c r="KF228" i="31" s="1"/>
  <c r="IQ229" i="31" s="1"/>
  <c r="KA229" i="31"/>
  <c r="HZ229" i="31" s="1"/>
  <c r="JL228" i="31"/>
  <c r="JJ229" i="31" s="1"/>
  <c r="EE228" i="31"/>
  <c r="EF229" i="31" s="1"/>
  <c r="ED228" i="31"/>
  <c r="EB229" i="31" s="1"/>
  <c r="EJ228" i="31"/>
  <c r="EK229" i="31" s="1"/>
  <c r="EZ228" i="31"/>
  <c r="DG228" i="31"/>
  <c r="DH228" i="31" s="1"/>
  <c r="DI229" i="31" s="1"/>
  <c r="BT229" i="31"/>
  <c r="BU229" i="31"/>
  <c r="JY229" i="31" l="1"/>
  <c r="DJ229" i="31"/>
  <c r="DK229" i="31" s="1"/>
  <c r="GZ229" i="31"/>
  <c r="IE229" i="31" s="1"/>
  <c r="IY229" i="31"/>
  <c r="EO229" i="31"/>
  <c r="ES230" i="31" s="1"/>
  <c r="EL229" i="31"/>
  <c r="EP229" i="31"/>
  <c r="ET230" i="31" s="1"/>
  <c r="EV229" i="31"/>
  <c r="FC229" i="31"/>
  <c r="DP229" i="31"/>
  <c r="JD229" i="31"/>
  <c r="JC229" i="31"/>
  <c r="JO229" i="31"/>
  <c r="JA229" i="31"/>
  <c r="IR229" i="31"/>
  <c r="KG229" i="31" s="1"/>
  <c r="JE229" i="31"/>
  <c r="IO229" i="31"/>
  <c r="IP229" i="31"/>
  <c r="BV229" i="31"/>
  <c r="BW229" i="31" s="1"/>
  <c r="JX229" i="31" l="1"/>
  <c r="BY229" i="31"/>
  <c r="CA229" i="31" s="1"/>
  <c r="BX229" i="31"/>
  <c r="EC229" i="31"/>
  <c r="JP229" i="31"/>
  <c r="JQ229" i="31" s="1"/>
  <c r="FQ229" i="31"/>
  <c r="DX229" i="31"/>
  <c r="DM229" i="31"/>
  <c r="BZ229" i="31" l="1"/>
  <c r="FB229" i="31"/>
  <c r="EX229" i="31"/>
  <c r="M229" i="31" s="1"/>
  <c r="L230" i="31"/>
  <c r="DL229" i="31"/>
  <c r="CB229" i="31"/>
  <c r="CC229" i="31" s="1"/>
  <c r="CE229" i="31" l="1"/>
  <c r="CD229" i="31"/>
  <c r="MB229" i="31"/>
  <c r="MJ229" i="31"/>
  <c r="NS229" i="31" s="1"/>
  <c r="CF229" i="31" l="1"/>
  <c r="CG229" i="31"/>
  <c r="CH229" i="31" s="1"/>
  <c r="CI229" i="31" s="1"/>
  <c r="NM229" i="31"/>
  <c r="NN229" i="31" s="1"/>
  <c r="OU230" i="31"/>
  <c r="NT229" i="31"/>
  <c r="OV230" i="31" l="1"/>
  <c r="NW229" i="31"/>
  <c r="NX229" i="31" s="1"/>
  <c r="OF229" i="31" s="1"/>
  <c r="OS230" i="31" s="1"/>
  <c r="CX229" i="31"/>
  <c r="FV229" i="31"/>
  <c r="FR229" i="31"/>
  <c r="NU229" i="31"/>
  <c r="NV229" i="31" s="1"/>
  <c r="CJ229" i="31"/>
  <c r="CO229" i="31" s="1"/>
  <c r="CK229" i="31"/>
  <c r="NZ229" i="31" l="1"/>
  <c r="MY229" i="31"/>
  <c r="CY230" i="31"/>
  <c r="NY229" i="31"/>
  <c r="CL229" i="31"/>
  <c r="CM229" i="31"/>
  <c r="CN229" i="31" s="1"/>
  <c r="OI229" i="31" l="1"/>
  <c r="OX230" i="31" s="1"/>
  <c r="OA229" i="31"/>
  <c r="MV230" i="31" s="1"/>
  <c r="OG230" i="31" s="1"/>
  <c r="NF230" i="31"/>
  <c r="OM230" i="31"/>
  <c r="OO230" i="31"/>
  <c r="OZ229" i="31"/>
  <c r="MZ230" i="31"/>
  <c r="OB229" i="31"/>
  <c r="OT230" i="31" s="1"/>
  <c r="CP229" i="31"/>
  <c r="KT230" i="31" l="1"/>
  <c r="KL230" i="31" s="1"/>
  <c r="KN231" i="31" s="1"/>
  <c r="KQ230" i="31" s="1"/>
  <c r="OW229" i="31"/>
  <c r="MR230" i="31"/>
  <c r="MS230" i="31" s="1"/>
  <c r="MT230" i="31" s="1"/>
  <c r="OC229" i="31"/>
  <c r="OD230" i="31" s="1"/>
  <c r="OH230" i="31" s="1"/>
  <c r="OK230" i="31" s="1"/>
  <c r="PA229" i="31"/>
  <c r="OJ229" i="31"/>
  <c r="OY230" i="31" s="1"/>
  <c r="CQ229" i="31"/>
  <c r="FU229" i="31"/>
  <c r="FW229" i="31" s="1"/>
  <c r="FP229" i="31"/>
  <c r="FS229" i="31" s="1"/>
  <c r="GO229" i="31"/>
  <c r="FE229" i="31"/>
  <c r="FF229" i="31" s="1"/>
  <c r="DQ229" i="31"/>
  <c r="DR229" i="31" s="1"/>
  <c r="GB229" i="31"/>
  <c r="GC229" i="31" s="1"/>
  <c r="JR229" i="31"/>
  <c r="JS229" i="31" s="1"/>
  <c r="FX229" i="31"/>
  <c r="FY229" i="31" s="1"/>
  <c r="FZ229" i="31"/>
  <c r="GA229" i="31" s="1"/>
  <c r="FH229" i="31"/>
  <c r="FI229" i="31" s="1"/>
  <c r="HO229" i="31"/>
  <c r="KX229" i="31"/>
  <c r="KU229" i="31"/>
  <c r="KM230" i="31" l="1"/>
  <c r="KO231" i="31" s="1"/>
  <c r="KR230" i="31" s="1"/>
  <c r="KS230" i="31" s="1"/>
  <c r="GN229" i="31"/>
  <c r="GQ229" i="31" s="1"/>
  <c r="MU230" i="31"/>
  <c r="MO230" i="31"/>
  <c r="NH231" i="31"/>
  <c r="NI231" i="31" s="1"/>
  <c r="NJ230" i="31"/>
  <c r="OQ231" i="31" s="1"/>
  <c r="OR231" i="31" s="1"/>
  <c r="NQ230" i="31"/>
  <c r="NP230" i="31"/>
  <c r="PE230" i="31"/>
  <c r="MW230" i="31"/>
  <c r="MX230" i="31" s="1"/>
  <c r="NB230" i="31" s="1"/>
  <c r="KE229" i="31"/>
  <c r="JU229" i="31"/>
  <c r="JT230" i="31"/>
  <c r="KC229" i="31"/>
  <c r="HW229" i="31"/>
  <c r="HX230" i="31" s="1"/>
  <c r="FG230" i="31"/>
  <c r="DS229" i="31"/>
  <c r="AX229" i="31" s="1"/>
  <c r="AY230" i="31" s="1"/>
  <c r="IA229" i="31"/>
  <c r="IB229" i="31" s="1"/>
  <c r="HP229" i="31"/>
  <c r="IZ229" i="31"/>
  <c r="HU229" i="31"/>
  <c r="HV230" i="31" s="1"/>
  <c r="FJ230" i="31"/>
  <c r="HA229" i="31"/>
  <c r="HY229" i="31"/>
  <c r="DY229" i="31"/>
  <c r="CS229" i="31"/>
  <c r="CR229" i="31"/>
  <c r="CT229" i="31"/>
  <c r="KP231" i="31" l="1"/>
  <c r="KV229" i="31"/>
  <c r="KW230" i="31" s="1"/>
  <c r="HQ229" i="31"/>
  <c r="HR230" i="31" s="1"/>
  <c r="NG231" i="31"/>
  <c r="NR230" i="31"/>
  <c r="NL230" i="31"/>
  <c r="NC231" i="31" s="1"/>
  <c r="NK230" i="31"/>
  <c r="NA230" i="31"/>
  <c r="HS229" i="31"/>
  <c r="JG229" i="31" s="1"/>
  <c r="HT229" i="31"/>
  <c r="AZ229" i="31"/>
  <c r="EN229" i="31"/>
  <c r="EM229" i="31"/>
  <c r="EW229" i="31" s="1"/>
  <c r="MQ231" i="31" l="1"/>
  <c r="IC229" i="31"/>
  <c r="ID229" i="31" s="1"/>
  <c r="IF229" i="31" s="1"/>
  <c r="KH229" i="31" s="1"/>
  <c r="JB229" i="31"/>
  <c r="BB230" i="31"/>
  <c r="EQ229" i="31"/>
  <c r="DW229" i="31"/>
  <c r="DU230" i="31" s="1"/>
  <c r="ER230" i="31"/>
  <c r="IU229" i="31"/>
  <c r="IV229" i="31" s="1"/>
  <c r="IW229" i="31" l="1"/>
  <c r="KB229" i="31" s="1"/>
  <c r="BC230" i="31"/>
  <c r="KK229" i="31"/>
  <c r="IX229" i="31"/>
  <c r="EU230" i="31"/>
  <c r="KI230" i="31"/>
  <c r="IM229" i="31"/>
  <c r="DB229" i="31"/>
  <c r="DC229" i="31" s="1"/>
  <c r="DD230" i="31" s="1"/>
  <c r="DE231" i="31" s="1"/>
  <c r="GM229" i="31"/>
  <c r="IN229" i="31"/>
  <c r="DF229" i="31"/>
  <c r="DT229" i="31" l="1"/>
  <c r="DZ229" i="31" s="1"/>
  <c r="GT231" i="31"/>
  <c r="GR229" i="31"/>
  <c r="KJ230" i="31"/>
  <c r="GV229" i="31"/>
  <c r="FD229" i="31"/>
  <c r="GU229" i="31"/>
  <c r="BE230" i="31"/>
  <c r="BD230" i="31"/>
  <c r="IS229" i="31" l="1"/>
  <c r="FL230" i="31"/>
  <c r="GS229" i="31"/>
  <c r="BF230" i="31"/>
  <c r="BG230" i="31"/>
  <c r="FM230" i="31" l="1"/>
  <c r="BH230" i="31"/>
  <c r="BI230" i="31"/>
  <c r="BK230" i="31" s="1"/>
  <c r="GY229" i="31"/>
  <c r="GX229" i="31"/>
  <c r="GW229" i="31"/>
  <c r="HC229" i="31" s="1"/>
  <c r="FA230" i="31" s="1"/>
  <c r="HB230" i="31" s="1"/>
  <c r="JH229" i="31"/>
  <c r="JI229" i="31" s="1"/>
  <c r="IT229" i="31"/>
  <c r="JK229" i="31" l="1"/>
  <c r="JN229" i="31" s="1"/>
  <c r="JV229" i="31" s="1"/>
  <c r="JF230" i="31" s="1"/>
  <c r="BL230" i="31"/>
  <c r="BM230" i="31"/>
  <c r="HM229" i="31"/>
  <c r="EY229" i="31"/>
  <c r="EG229" i="31"/>
  <c r="EH230" i="31" s="1"/>
  <c r="EI230" i="31" s="1"/>
  <c r="FK230" i="31" s="1"/>
  <c r="HK230" i="31"/>
  <c r="BJ230" i="31"/>
  <c r="JM229" i="31" l="1"/>
  <c r="KD229" i="31" s="1"/>
  <c r="IL230" i="31" s="1"/>
  <c r="BO230" i="31"/>
  <c r="BP230" i="31" s="1"/>
  <c r="BN230" i="31"/>
  <c r="ED229" i="31"/>
  <c r="EB230" i="31" s="1"/>
  <c r="EJ229" i="31"/>
  <c r="EK230" i="31" s="1"/>
  <c r="EE229" i="31"/>
  <c r="EF230" i="31" s="1"/>
  <c r="JY230" i="31"/>
  <c r="JW230" i="31"/>
  <c r="JZ229" i="31"/>
  <c r="KF229" i="31" s="1"/>
  <c r="IQ230" i="31" s="1"/>
  <c r="JL229" i="31"/>
  <c r="JJ230" i="31" s="1"/>
  <c r="KA230" i="31"/>
  <c r="EZ229" i="31"/>
  <c r="DG229" i="31"/>
  <c r="DH229" i="31" s="1"/>
  <c r="DI230" i="31" s="1"/>
  <c r="IO230" i="31" l="1"/>
  <c r="BQ230" i="31"/>
  <c r="BR230" i="31" s="1"/>
  <c r="IP230" i="31"/>
  <c r="FC230" i="31"/>
  <c r="EL230" i="31"/>
  <c r="EO230" i="31"/>
  <c r="ES231" i="31" s="1"/>
  <c r="EP230" i="31"/>
  <c r="ET231" i="31" s="1"/>
  <c r="EV230" i="31"/>
  <c r="DP230" i="31"/>
  <c r="HZ230" i="31"/>
  <c r="JC230" i="31"/>
  <c r="JD230" i="31"/>
  <c r="IR230" i="31"/>
  <c r="IY230" i="31"/>
  <c r="JA230" i="31"/>
  <c r="JO230" i="31"/>
  <c r="JE230" i="31"/>
  <c r="GZ230" i="31"/>
  <c r="IE230" i="31" s="1"/>
  <c r="DJ230" i="31"/>
  <c r="DK230" i="31" s="1"/>
  <c r="BS230" i="31"/>
  <c r="JP230" i="31" l="1"/>
  <c r="JQ230" i="31" s="1"/>
  <c r="JX230" i="31"/>
  <c r="KG230" i="31"/>
  <c r="EC230" i="31"/>
  <c r="FQ230" i="31"/>
  <c r="DX230" i="31"/>
  <c r="DM230" i="31"/>
  <c r="BT230" i="31"/>
  <c r="BU230" i="31"/>
  <c r="DL230" i="31" l="1"/>
  <c r="L231" i="31"/>
  <c r="FB230" i="31"/>
  <c r="EX230" i="31"/>
  <c r="M230" i="31" s="1"/>
  <c r="BV230" i="31"/>
  <c r="BW230" i="31" s="1"/>
  <c r="BX230" i="31" l="1"/>
  <c r="BY230" i="31"/>
  <c r="MB230" i="31"/>
  <c r="MJ230" i="31"/>
  <c r="NS230" i="31" s="1"/>
  <c r="BZ230" i="31" l="1"/>
  <c r="NM230" i="31"/>
  <c r="NN230" i="31" s="1"/>
  <c r="CA230" i="31"/>
  <c r="NT230" i="31"/>
  <c r="OU231" i="31"/>
  <c r="OV231" i="31" l="1"/>
  <c r="NW230" i="31"/>
  <c r="NX230" i="31" s="1"/>
  <c r="OF230" i="31" s="1"/>
  <c r="OS231" i="31" s="1"/>
  <c r="CB230" i="31"/>
  <c r="CC230" i="31" s="1"/>
  <c r="FR230" i="31"/>
  <c r="FV230" i="31"/>
  <c r="CX230" i="31"/>
  <c r="NU230" i="31"/>
  <c r="NY230" i="31" l="1"/>
  <c r="OB230" i="31" s="1"/>
  <c r="OT231" i="31" s="1"/>
  <c r="CD230" i="31"/>
  <c r="CE230" i="31"/>
  <c r="MY230" i="31"/>
  <c r="NZ230" i="31"/>
  <c r="CY231" i="31"/>
  <c r="NV230" i="31"/>
  <c r="OA230" i="31" l="1"/>
  <c r="MV231" i="31" s="1"/>
  <c r="OG231" i="31" s="1"/>
  <c r="CG230" i="31"/>
  <c r="CH230" i="31" s="1"/>
  <c r="CI230" i="31" s="1"/>
  <c r="CJ230" i="31" s="1"/>
  <c r="CO230" i="31" s="1"/>
  <c r="CF230" i="31"/>
  <c r="PA230" i="31"/>
  <c r="MZ231" i="31"/>
  <c r="OZ230" i="31"/>
  <c r="OI230" i="31"/>
  <c r="OC230" i="31"/>
  <c r="OD231" i="31" s="1"/>
  <c r="OH231" i="31" s="1"/>
  <c r="OO231" i="31"/>
  <c r="OM231" i="31"/>
  <c r="NF231" i="31"/>
  <c r="OJ230" i="31"/>
  <c r="KT231" i="31" l="1"/>
  <c r="CK230" i="31"/>
  <c r="CL230" i="31" s="1"/>
  <c r="OK231" i="31"/>
  <c r="OW230" i="31"/>
  <c r="OX231" i="31"/>
  <c r="MR231" i="31"/>
  <c r="KL231" i="31"/>
  <c r="KN232" i="31" s="1"/>
  <c r="KM231" i="31"/>
  <c r="KO232" i="31" s="1"/>
  <c r="OY231" i="31"/>
  <c r="MW231" i="31"/>
  <c r="CM230" i="31" l="1"/>
  <c r="CN230" i="31" s="1"/>
  <c r="CP230" i="31" s="1"/>
  <c r="KP232" i="31"/>
  <c r="KR231" i="31"/>
  <c r="KQ231" i="31"/>
  <c r="MS231" i="31"/>
  <c r="MX231" i="31"/>
  <c r="KS231" i="31" l="1"/>
  <c r="NH232" i="31"/>
  <c r="NI232" i="31" s="1"/>
  <c r="NJ231" i="31"/>
  <c r="MU231" i="31"/>
  <c r="NP231" i="31"/>
  <c r="NQ231" i="31"/>
  <c r="MT231" i="31"/>
  <c r="MO231" i="31"/>
  <c r="PE231" i="31"/>
  <c r="NA231" i="31"/>
  <c r="NB231" i="31"/>
  <c r="GO230" i="31"/>
  <c r="FP230" i="31"/>
  <c r="FS230" i="31" s="1"/>
  <c r="FE230" i="31"/>
  <c r="FF230" i="31" s="1"/>
  <c r="HO230" i="31"/>
  <c r="JR230" i="31"/>
  <c r="JS230" i="31" s="1"/>
  <c r="DQ230" i="31"/>
  <c r="DR230" i="31" s="1"/>
  <c r="GB230" i="31"/>
  <c r="GC230" i="31" s="1"/>
  <c r="FU230" i="31"/>
  <c r="FW230" i="31" s="1"/>
  <c r="CQ230" i="31"/>
  <c r="FX230" i="31"/>
  <c r="FY230" i="31" s="1"/>
  <c r="FZ230" i="31"/>
  <c r="GA230" i="31" s="1"/>
  <c r="FH230" i="31"/>
  <c r="FI230" i="31" s="1"/>
  <c r="KX230" i="31"/>
  <c r="GN230" i="31" s="1"/>
  <c r="KU230" i="31"/>
  <c r="NR231" i="31" l="1"/>
  <c r="DS230" i="31"/>
  <c r="AX230" i="31" s="1"/>
  <c r="AY231" i="31" s="1"/>
  <c r="IA230" i="31"/>
  <c r="IB230" i="31" s="1"/>
  <c r="HP230" i="31"/>
  <c r="IZ230" i="31"/>
  <c r="KE230" i="31"/>
  <c r="KC230" i="31"/>
  <c r="JU230" i="31"/>
  <c r="JT231" i="31"/>
  <c r="HW230" i="31"/>
  <c r="HX231" i="31" s="1"/>
  <c r="FG231" i="31"/>
  <c r="HY230" i="31"/>
  <c r="HA230" i="31"/>
  <c r="DY230" i="31"/>
  <c r="GQ230" i="31"/>
  <c r="KV230" i="31"/>
  <c r="CT230" i="31"/>
  <c r="CS230" i="31"/>
  <c r="CR230" i="31"/>
  <c r="NK231" i="31"/>
  <c r="NL231" i="31"/>
  <c r="NG232" i="31"/>
  <c r="OQ232" i="31"/>
  <c r="HU230" i="31"/>
  <c r="HV231" i="31" s="1"/>
  <c r="FJ231" i="31"/>
  <c r="KW231" i="31" l="1"/>
  <c r="HQ230" i="31"/>
  <c r="HR231" i="31" s="1"/>
  <c r="HT230" i="31"/>
  <c r="HS230" i="31"/>
  <c r="JG230" i="31" s="1"/>
  <c r="OR232" i="31"/>
  <c r="NC232" i="31"/>
  <c r="MQ232" i="31"/>
  <c r="AZ230" i="31"/>
  <c r="EM230" i="31"/>
  <c r="EW230" i="31" s="1"/>
  <c r="EN230" i="31"/>
  <c r="BB231" i="31" l="1"/>
  <c r="EQ230" i="31"/>
  <c r="DW230" i="31"/>
  <c r="DU231" i="31" s="1"/>
  <c r="ER231" i="31"/>
  <c r="IU230" i="31"/>
  <c r="IV230" i="31" s="1"/>
  <c r="IC230" i="31"/>
  <c r="ID230" i="31" s="1"/>
  <c r="IF230" i="31" s="1"/>
  <c r="KH230" i="31" s="1"/>
  <c r="JB230" i="31"/>
  <c r="IW230" i="31" l="1"/>
  <c r="KB230" i="31" s="1"/>
  <c r="EU231" i="31"/>
  <c r="IX230" i="31"/>
  <c r="KK230" i="31"/>
  <c r="GM230" i="31"/>
  <c r="DB230" i="31"/>
  <c r="DC230" i="31" s="1"/>
  <c r="DD231" i="31" s="1"/>
  <c r="DE232" i="31" s="1"/>
  <c r="IM230" i="31"/>
  <c r="KI231" i="31"/>
  <c r="IN230" i="31"/>
  <c r="DF230" i="31"/>
  <c r="BC231" i="31"/>
  <c r="DT230" i="31" l="1"/>
  <c r="DZ230" i="31" s="1"/>
  <c r="GT232" i="31"/>
  <c r="KJ231" i="31"/>
  <c r="BD231" i="31"/>
  <c r="BE231" i="31"/>
  <c r="GR230" i="31"/>
  <c r="GV230" i="31"/>
  <c r="FD230" i="31"/>
  <c r="GU230" i="31"/>
  <c r="GS230" i="31" l="1"/>
  <c r="BF231" i="31"/>
  <c r="BG231" i="31"/>
  <c r="IS230" i="31"/>
  <c r="FL231" i="31"/>
  <c r="JH230" i="31" l="1"/>
  <c r="JI230" i="31" s="1"/>
  <c r="IT230" i="31"/>
  <c r="BH231" i="31"/>
  <c r="BI231" i="31"/>
  <c r="BK231" i="31" s="1"/>
  <c r="FM231" i="31"/>
  <c r="GX230" i="31"/>
  <c r="GW230" i="31"/>
  <c r="HC230" i="31" s="1"/>
  <c r="FA231" i="31" s="1"/>
  <c r="HB231" i="31" s="1"/>
  <c r="GY230" i="31"/>
  <c r="BL231" i="31" l="1"/>
  <c r="BM231" i="31"/>
  <c r="BJ231" i="31"/>
  <c r="EY230" i="31"/>
  <c r="HM230" i="31"/>
  <c r="EG230" i="31"/>
  <c r="EH231" i="31" s="1"/>
  <c r="EI231" i="31" s="1"/>
  <c r="FK231" i="31" s="1"/>
  <c r="HK231" i="31"/>
  <c r="JK230" i="31"/>
  <c r="JZ230" i="31" s="1"/>
  <c r="KF230" i="31" s="1"/>
  <c r="IQ231" i="31" s="1"/>
  <c r="JM230" i="31" l="1"/>
  <c r="KD230" i="31" s="1"/>
  <c r="IL231" i="31" s="1"/>
  <c r="JN230" i="31"/>
  <c r="JV230" i="31" s="1"/>
  <c r="JF231" i="31" s="1"/>
  <c r="ED230" i="31"/>
  <c r="EB231" i="31" s="1"/>
  <c r="IY231" i="31" s="1"/>
  <c r="EE230" i="31"/>
  <c r="EF231" i="31" s="1"/>
  <c r="EJ230" i="31"/>
  <c r="EK231" i="31" s="1"/>
  <c r="EZ230" i="31"/>
  <c r="DG230" i="31"/>
  <c r="DH230" i="31" s="1"/>
  <c r="DI231" i="31" s="1"/>
  <c r="BN231" i="31"/>
  <c r="BO231" i="31"/>
  <c r="JL230" i="31"/>
  <c r="JJ231" i="31" s="1"/>
  <c r="KA231" i="31"/>
  <c r="JO231" i="31" l="1"/>
  <c r="JA231" i="31"/>
  <c r="BP231" i="31"/>
  <c r="BQ231" i="31" s="1"/>
  <c r="IO231" i="31"/>
  <c r="JP231" i="31" s="1"/>
  <c r="JQ231" i="31" s="1"/>
  <c r="IP231" i="31"/>
  <c r="HZ231" i="31"/>
  <c r="IR231" i="31"/>
  <c r="DP231" i="31"/>
  <c r="DJ231" i="31"/>
  <c r="DK231" i="31" s="1"/>
  <c r="GZ231" i="31"/>
  <c r="IE231" i="31" s="1"/>
  <c r="JE231" i="31"/>
  <c r="JY231" i="31"/>
  <c r="JW231" i="31"/>
  <c r="JC231" i="31"/>
  <c r="JD231" i="31"/>
  <c r="EO231" i="31"/>
  <c r="ES232" i="31" s="1"/>
  <c r="FC231" i="31"/>
  <c r="EL231" i="31"/>
  <c r="EP231" i="31"/>
  <c r="ET232" i="31" s="1"/>
  <c r="EV231" i="31"/>
  <c r="BS231" i="31" l="1"/>
  <c r="BR231" i="31"/>
  <c r="DX231" i="31"/>
  <c r="FQ231" i="31"/>
  <c r="DM231" i="31"/>
  <c r="EC231" i="31"/>
  <c r="KG231" i="31"/>
  <c r="JX231" i="31"/>
  <c r="BT231" i="31" l="1"/>
  <c r="BU231" i="31"/>
  <c r="BV231" i="31" s="1"/>
  <c r="BW231" i="31" s="1"/>
  <c r="DL231" i="31"/>
  <c r="L232" i="31"/>
  <c r="EX231" i="31"/>
  <c r="M231" i="31" s="1"/>
  <c r="FB231" i="31"/>
  <c r="BX231" i="31" l="1"/>
  <c r="BY231" i="31"/>
  <c r="MJ231" i="31"/>
  <c r="NS231" i="31" s="1"/>
  <c r="MB231" i="31"/>
  <c r="BZ231" i="31" l="1"/>
  <c r="NM231" i="31"/>
  <c r="NN231" i="31" s="1"/>
  <c r="CA231" i="31"/>
  <c r="NT231" i="31"/>
  <c r="OU232" i="31"/>
  <c r="OV232" i="31" l="1"/>
  <c r="NW231" i="31"/>
  <c r="CB231" i="31"/>
  <c r="CC231" i="31" s="1"/>
  <c r="CX231" i="31"/>
  <c r="FV231" i="31"/>
  <c r="FR231" i="31"/>
  <c r="NU231" i="31"/>
  <c r="NX231" i="31"/>
  <c r="CE231" i="31" l="1"/>
  <c r="CD231" i="31"/>
  <c r="NV231" i="31"/>
  <c r="NY231" i="31"/>
  <c r="OF231" i="31"/>
  <c r="OS232" i="31" s="1"/>
  <c r="MY231" i="31"/>
  <c r="NZ231" i="31"/>
  <c r="CY232" i="31"/>
  <c r="CG231" i="31" l="1"/>
  <c r="CH231" i="31" s="1"/>
  <c r="CI231" i="31" s="1"/>
  <c r="CJ231" i="31" s="1"/>
  <c r="CO231" i="31" s="1"/>
  <c r="CF231" i="31"/>
  <c r="OB231" i="31"/>
  <c r="OT232" i="31" s="1"/>
  <c r="OM232" i="31"/>
  <c r="OO232" i="31"/>
  <c r="NF232" i="31"/>
  <c r="OI231" i="31"/>
  <c r="OA231" i="31"/>
  <c r="MV232" i="31" s="1"/>
  <c r="MZ232" i="31"/>
  <c r="OZ231" i="31"/>
  <c r="CK231" i="31" l="1"/>
  <c r="CM231" i="31" s="1"/>
  <c r="CN231" i="31" s="1"/>
  <c r="PA231" i="31"/>
  <c r="MR232" i="31"/>
  <c r="OX232" i="31"/>
  <c r="OW231" i="31"/>
  <c r="OJ231" i="31"/>
  <c r="OG232" i="31"/>
  <c r="KT232" i="31"/>
  <c r="OC231" i="31"/>
  <c r="OD232" i="31" s="1"/>
  <c r="OH232" i="31" s="1"/>
  <c r="CL231" i="31" l="1"/>
  <c r="CP231" i="31" s="1"/>
  <c r="GB231" i="31" s="1"/>
  <c r="GC231" i="31" s="1"/>
  <c r="OK232" i="31"/>
  <c r="KM232" i="31"/>
  <c r="KO233" i="31" s="1"/>
  <c r="KL232" i="31"/>
  <c r="KN233" i="31" s="1"/>
  <c r="OY232" i="31"/>
  <c r="MW232" i="31"/>
  <c r="MS232" i="31"/>
  <c r="CQ231" i="31" l="1"/>
  <c r="CS231" i="31" s="1"/>
  <c r="GO231" i="31"/>
  <c r="JR231" i="31"/>
  <c r="JS231" i="31" s="1"/>
  <c r="KC231" i="31" s="1"/>
  <c r="FZ231" i="31"/>
  <c r="GA231" i="31" s="1"/>
  <c r="FH231" i="31"/>
  <c r="FI231" i="31" s="1"/>
  <c r="HU231" i="31" s="1"/>
  <c r="HV232" i="31" s="1"/>
  <c r="FX231" i="31"/>
  <c r="FY231" i="31" s="1"/>
  <c r="KU231" i="31"/>
  <c r="KX231" i="31"/>
  <c r="GN231" i="31" s="1"/>
  <c r="KV231" i="31" s="1"/>
  <c r="FP231" i="31"/>
  <c r="FS231" i="31" s="1"/>
  <c r="HA231" i="31" s="1"/>
  <c r="DQ231" i="31"/>
  <c r="DR231" i="31" s="1"/>
  <c r="DS231" i="31" s="1"/>
  <c r="AX231" i="31" s="1"/>
  <c r="AY232" i="31" s="1"/>
  <c r="HO231" i="31"/>
  <c r="IZ231" i="31" s="1"/>
  <c r="FE231" i="31"/>
  <c r="FF231" i="31" s="1"/>
  <c r="HW231" i="31" s="1"/>
  <c r="HX232" i="31" s="1"/>
  <c r="FU231" i="31"/>
  <c r="FW231" i="31" s="1"/>
  <c r="KP233" i="31"/>
  <c r="KR232" i="31"/>
  <c r="KQ232" i="31"/>
  <c r="NJ232" i="31"/>
  <c r="NH233" i="31"/>
  <c r="NI233" i="31" s="1"/>
  <c r="NQ232" i="31"/>
  <c r="MU232" i="31"/>
  <c r="MO232" i="31"/>
  <c r="MT232" i="31"/>
  <c r="NP232" i="31"/>
  <c r="PE232" i="31"/>
  <c r="MX232" i="31"/>
  <c r="CR231" i="31" l="1"/>
  <c r="CT231" i="31"/>
  <c r="KW232" i="31"/>
  <c r="HQ231" i="31"/>
  <c r="HR232" i="31" s="1"/>
  <c r="JT232" i="31"/>
  <c r="KE231" i="31"/>
  <c r="JU231" i="31"/>
  <c r="FJ232" i="31"/>
  <c r="GQ231" i="31"/>
  <c r="IA231" i="31"/>
  <c r="IB231" i="31" s="1"/>
  <c r="DY231" i="31"/>
  <c r="HY231" i="31"/>
  <c r="HP231" i="31"/>
  <c r="HT231" i="31" s="1"/>
  <c r="FG232" i="31"/>
  <c r="NR232" i="31"/>
  <c r="NK232" i="31"/>
  <c r="NL232" i="31"/>
  <c r="NG233" i="31"/>
  <c r="OQ233" i="31"/>
  <c r="EN231" i="31"/>
  <c r="AZ231" i="31"/>
  <c r="EM231" i="31"/>
  <c r="EW231" i="31" s="1"/>
  <c r="NA232" i="31"/>
  <c r="NB232" i="31"/>
  <c r="KS232" i="31"/>
  <c r="HS231" i="31" l="1"/>
  <c r="JG231" i="31" s="1"/>
  <c r="OR233" i="31"/>
  <c r="NC233" i="31"/>
  <c r="MQ233" i="31"/>
  <c r="BB232" i="31"/>
  <c r="EQ231" i="31"/>
  <c r="IW231" i="31"/>
  <c r="DW231" i="31"/>
  <c r="DU232" i="31" s="1"/>
  <c r="ER232" i="31"/>
  <c r="IU231" i="31"/>
  <c r="IV231" i="31" s="1"/>
  <c r="IC231" i="31"/>
  <c r="ID231" i="31" s="1"/>
  <c r="IF231" i="31" s="1"/>
  <c r="KH231" i="31" s="1"/>
  <c r="JB231" i="31"/>
  <c r="EU232" i="31" l="1"/>
  <c r="KK231" i="31"/>
  <c r="KB231" i="31"/>
  <c r="IX231" i="31"/>
  <c r="DB231" i="31"/>
  <c r="DC231" i="31" s="1"/>
  <c r="DD232" i="31" s="1"/>
  <c r="DE233" i="31" s="1"/>
  <c r="GM231" i="31"/>
  <c r="IM231" i="31"/>
  <c r="KI232" i="31"/>
  <c r="IN231" i="31"/>
  <c r="DF231" i="31"/>
  <c r="BC232" i="31"/>
  <c r="DT231" i="31" l="1"/>
  <c r="DZ231" i="31" s="1"/>
  <c r="GT233" i="31"/>
  <c r="GR231" i="31"/>
  <c r="KJ232" i="31"/>
  <c r="BE232" i="31"/>
  <c r="BD232" i="31"/>
  <c r="FD231" i="31"/>
  <c r="GV231" i="31"/>
  <c r="GU231" i="31"/>
  <c r="IS231" i="31" l="1"/>
  <c r="FL232" i="31"/>
  <c r="BG232" i="31"/>
  <c r="BF232" i="31"/>
  <c r="GS231" i="31"/>
  <c r="GY231" i="31" l="1"/>
  <c r="GX231" i="31"/>
  <c r="GW231" i="31"/>
  <c r="HC231" i="31" s="1"/>
  <c r="FA232" i="31" s="1"/>
  <c r="HB232" i="31" s="1"/>
  <c r="BI232" i="31"/>
  <c r="BK232" i="31" s="1"/>
  <c r="BH232" i="31"/>
  <c r="FM232" i="31"/>
  <c r="JH231" i="31"/>
  <c r="JI231" i="31" s="1"/>
  <c r="IT231" i="31"/>
  <c r="JK231" i="31" l="1"/>
  <c r="JZ231" i="31" s="1"/>
  <c r="KF231" i="31" s="1"/>
  <c r="IQ232" i="31" s="1"/>
  <c r="BL232" i="31"/>
  <c r="BM232" i="31"/>
  <c r="BJ232" i="31"/>
  <c r="EY231" i="31"/>
  <c r="HM231" i="31"/>
  <c r="EG231" i="31"/>
  <c r="EH232" i="31" s="1"/>
  <c r="EI232" i="31" s="1"/>
  <c r="FK232" i="31" s="1"/>
  <c r="HK232" i="31"/>
  <c r="JN231" i="31" l="1"/>
  <c r="JV231" i="31" s="1"/>
  <c r="JF232" i="31" s="1"/>
  <c r="JY232" i="31" s="1"/>
  <c r="BO232" i="31"/>
  <c r="BN232" i="31"/>
  <c r="EE231" i="31"/>
  <c r="EF232" i="31" s="1"/>
  <c r="ED231" i="31"/>
  <c r="EB232" i="31" s="1"/>
  <c r="JA232" i="31" s="1"/>
  <c r="EJ231" i="31"/>
  <c r="EK232" i="31" s="1"/>
  <c r="EZ231" i="31"/>
  <c r="DG231" i="31"/>
  <c r="DH231" i="31" s="1"/>
  <c r="DI232" i="31" s="1"/>
  <c r="JM231" i="31"/>
  <c r="KD231" i="31" s="1"/>
  <c r="IL232" i="31" s="1"/>
  <c r="IR232" i="31" s="1"/>
  <c r="JL231" i="31"/>
  <c r="JJ232" i="31" s="1"/>
  <c r="KA232" i="31"/>
  <c r="JW232" i="31" l="1"/>
  <c r="IY232" i="31"/>
  <c r="GZ232" i="31"/>
  <c r="IE232" i="31" s="1"/>
  <c r="DJ232" i="31"/>
  <c r="DK232" i="31" s="1"/>
  <c r="IP232" i="31"/>
  <c r="IO232" i="31"/>
  <c r="HZ232" i="31"/>
  <c r="JE232" i="31"/>
  <c r="JO232" i="31"/>
  <c r="DP232" i="31"/>
  <c r="JC232" i="31"/>
  <c r="JD232" i="31"/>
  <c r="EL232" i="31"/>
  <c r="EO232" i="31"/>
  <c r="ES233" i="31" s="1"/>
  <c r="FC232" i="31"/>
  <c r="EP232" i="31"/>
  <c r="ET233" i="31" s="1"/>
  <c r="EV232" i="31"/>
  <c r="BP232" i="31"/>
  <c r="BQ232" i="31" s="1"/>
  <c r="JP232" i="31" l="1"/>
  <c r="JQ232" i="31" s="1"/>
  <c r="BR232" i="31"/>
  <c r="BS232" i="31"/>
  <c r="EC232" i="31"/>
  <c r="FQ232" i="31"/>
  <c r="DX232" i="31"/>
  <c r="DM232" i="31"/>
  <c r="JX232" i="31"/>
  <c r="KG232" i="31"/>
  <c r="DL232" i="31" l="1"/>
  <c r="L233" i="31"/>
  <c r="BT232" i="31"/>
  <c r="BU232" i="31"/>
  <c r="FB232" i="31"/>
  <c r="EX232" i="31"/>
  <c r="M232" i="31" s="1"/>
  <c r="BV232" i="31" l="1"/>
  <c r="BW232" i="31" s="1"/>
  <c r="MJ232" i="31"/>
  <c r="NS232" i="31" s="1"/>
  <c r="MB232" i="31"/>
  <c r="NM232" i="31" l="1"/>
  <c r="NN232" i="31" s="1"/>
  <c r="BY232" i="31"/>
  <c r="CA232" i="31" s="1"/>
  <c r="BX232" i="31"/>
  <c r="NT232" i="31"/>
  <c r="OU233" i="31"/>
  <c r="OV233" i="31" l="1"/>
  <c r="NW232" i="31"/>
  <c r="NX232" i="31" s="1"/>
  <c r="BZ232" i="31"/>
  <c r="CX232" i="31"/>
  <c r="FV232" i="31"/>
  <c r="FR232" i="31"/>
  <c r="NU232" i="31"/>
  <c r="CB232" i="31"/>
  <c r="CC232" i="31" s="1"/>
  <c r="CD232" i="31" l="1"/>
  <c r="CE232" i="31"/>
  <c r="CG232" i="31" s="1"/>
  <c r="MY232" i="31"/>
  <c r="NZ232" i="31"/>
  <c r="CY233" i="31"/>
  <c r="NY232" i="31"/>
  <c r="OF232" i="31"/>
  <c r="OS233" i="31" s="1"/>
  <c r="NV232" i="31"/>
  <c r="CH232" i="31" l="1"/>
  <c r="CI232" i="31" s="1"/>
  <c r="CF232" i="31"/>
  <c r="OB232" i="31"/>
  <c r="OT233" i="31" s="1"/>
  <c r="OI232" i="31"/>
  <c r="OO233" i="31"/>
  <c r="NF233" i="31"/>
  <c r="OM233" i="31"/>
  <c r="MZ233" i="31"/>
  <c r="OZ232" i="31"/>
  <c r="OA232" i="31"/>
  <c r="MV233" i="31" s="1"/>
  <c r="PA232" i="31" l="1"/>
  <c r="OJ232" i="31"/>
  <c r="OG233" i="31"/>
  <c r="KT233" i="31"/>
  <c r="OX233" i="31"/>
  <c r="MR233" i="31"/>
  <c r="OW232" i="31"/>
  <c r="OC232" i="31"/>
  <c r="OD233" i="31" s="1"/>
  <c r="OH233" i="31" s="1"/>
  <c r="CJ232" i="31"/>
  <c r="CO232" i="31" s="1"/>
  <c r="CK232" i="31"/>
  <c r="KM233" i="31" l="1"/>
  <c r="KO234" i="31" s="1"/>
  <c r="KL233" i="31"/>
  <c r="KN234" i="31" s="1"/>
  <c r="MS233" i="31"/>
  <c r="MW233" i="31"/>
  <c r="OY233" i="31"/>
  <c r="CL232" i="31"/>
  <c r="CM232" i="31"/>
  <c r="CN232" i="31" s="1"/>
  <c r="OK233" i="31"/>
  <c r="MX233" i="31" l="1"/>
  <c r="MT233" i="31"/>
  <c r="MO233" i="31"/>
  <c r="NQ233" i="31"/>
  <c r="MU233" i="31"/>
  <c r="NH234" i="31"/>
  <c r="NI234" i="31" s="1"/>
  <c r="NP233" i="31"/>
  <c r="NJ233" i="31"/>
  <c r="PE233" i="31"/>
  <c r="KQ233" i="31"/>
  <c r="CP232" i="31"/>
  <c r="KP234" i="31"/>
  <c r="KR233" i="31"/>
  <c r="NR233" i="31" l="1"/>
  <c r="KS233" i="31"/>
  <c r="NL233" i="31"/>
  <c r="NK233" i="31"/>
  <c r="NG234" i="31"/>
  <c r="OQ234" i="31"/>
  <c r="CQ232" i="31"/>
  <c r="FU232" i="31"/>
  <c r="FW232" i="31" s="1"/>
  <c r="FH232" i="31"/>
  <c r="FI232" i="31" s="1"/>
  <c r="FE232" i="31"/>
  <c r="FF232" i="31" s="1"/>
  <c r="FZ232" i="31"/>
  <c r="GA232" i="31" s="1"/>
  <c r="JR232" i="31"/>
  <c r="JS232" i="31" s="1"/>
  <c r="FP232" i="31"/>
  <c r="FS232" i="31" s="1"/>
  <c r="GO232" i="31"/>
  <c r="DQ232" i="31"/>
  <c r="DR232" i="31" s="1"/>
  <c r="GB232" i="31"/>
  <c r="GC232" i="31" s="1"/>
  <c r="HO232" i="31"/>
  <c r="FX232" i="31"/>
  <c r="FY232" i="31" s="1"/>
  <c r="KX232" i="31"/>
  <c r="KU232" i="31"/>
  <c r="NA233" i="31"/>
  <c r="NB233" i="31"/>
  <c r="GN232" i="31" l="1"/>
  <c r="GQ232" i="31" s="1"/>
  <c r="HA232" i="31"/>
  <c r="HY232" i="31"/>
  <c r="DY232" i="31"/>
  <c r="DS232" i="31"/>
  <c r="AX232" i="31" s="1"/>
  <c r="AY233" i="31" s="1"/>
  <c r="KV232" i="31"/>
  <c r="HW232" i="31"/>
  <c r="HX233" i="31" s="1"/>
  <c r="FG233" i="31"/>
  <c r="NC234" i="31"/>
  <c r="MQ234" i="31"/>
  <c r="KE232" i="31"/>
  <c r="JU232" i="31"/>
  <c r="JT233" i="31"/>
  <c r="KC232" i="31"/>
  <c r="HP232" i="31"/>
  <c r="IA232" i="31"/>
  <c r="IB232" i="31" s="1"/>
  <c r="IZ232" i="31"/>
  <c r="HU232" i="31"/>
  <c r="HV233" i="31" s="1"/>
  <c r="FJ233" i="31"/>
  <c r="CT232" i="31"/>
  <c r="CS232" i="31"/>
  <c r="CR232" i="31"/>
  <c r="OR234" i="31"/>
  <c r="KW233" i="31" l="1"/>
  <c r="HQ232" i="31"/>
  <c r="HR233" i="31" s="1"/>
  <c r="EN232" i="31"/>
  <c r="EM232" i="31"/>
  <c r="EW232" i="31" s="1"/>
  <c r="AZ232" i="31"/>
  <c r="HT232" i="31"/>
  <c r="HS232" i="31"/>
  <c r="JG232" i="31" s="1"/>
  <c r="IC232" i="31" l="1"/>
  <c r="ID232" i="31" s="1"/>
  <c r="IF232" i="31" s="1"/>
  <c r="KH232" i="31" s="1"/>
  <c r="JB232" i="31"/>
  <c r="BB233" i="31"/>
  <c r="DW232" i="31"/>
  <c r="DU233" i="31" s="1"/>
  <c r="IW232" i="31"/>
  <c r="EQ232" i="31"/>
  <c r="ER233" i="31"/>
  <c r="IU232" i="31"/>
  <c r="IV232" i="31" s="1"/>
  <c r="KB232" i="31" l="1"/>
  <c r="IX232" i="31"/>
  <c r="KK232" i="31"/>
  <c r="GM232" i="31"/>
  <c r="DB232" i="31"/>
  <c r="DC232" i="31" s="1"/>
  <c r="DD233" i="31" s="1"/>
  <c r="DE234" i="31" s="1"/>
  <c r="IM232" i="31"/>
  <c r="KI233" i="31"/>
  <c r="IN232" i="31"/>
  <c r="DF232" i="31"/>
  <c r="BC233" i="31"/>
  <c r="EU233" i="31"/>
  <c r="DT232" i="31" l="1"/>
  <c r="DZ232" i="31" s="1"/>
  <c r="GT234" i="31"/>
  <c r="BE233" i="31"/>
  <c r="BD233" i="31"/>
  <c r="GU232" i="31"/>
  <c r="FD232" i="31"/>
  <c r="GV232" i="31"/>
  <c r="GR232" i="31"/>
  <c r="KJ233" i="31"/>
  <c r="GS232" i="31" l="1"/>
  <c r="IS232" i="31"/>
  <c r="FL233" i="31"/>
  <c r="BG233" i="31"/>
  <c r="BF233" i="31"/>
  <c r="BI233" i="31" l="1"/>
  <c r="BK233" i="31" s="1"/>
  <c r="BH233" i="31"/>
  <c r="FM233" i="31"/>
  <c r="JH232" i="31"/>
  <c r="JI232" i="31" s="1"/>
  <c r="IT232" i="31"/>
  <c r="GX232" i="31"/>
  <c r="GW232" i="31"/>
  <c r="HC232" i="31" s="1"/>
  <c r="FA233" i="31" s="1"/>
  <c r="HB233" i="31" s="1"/>
  <c r="GY232" i="31"/>
  <c r="BJ233" i="31" l="1"/>
  <c r="EY232" i="31"/>
  <c r="EG232" i="31"/>
  <c r="EH233" i="31" s="1"/>
  <c r="EI233" i="31" s="1"/>
  <c r="FK233" i="31" s="1"/>
  <c r="HM232" i="31"/>
  <c r="HK233" i="31"/>
  <c r="JK232" i="31"/>
  <c r="JZ232" i="31" s="1"/>
  <c r="KF232" i="31" s="1"/>
  <c r="IQ233" i="31" s="1"/>
  <c r="BL233" i="31"/>
  <c r="BM233" i="31"/>
  <c r="BO233" i="31" l="1"/>
  <c r="BN233" i="31"/>
  <c r="EE232" i="31"/>
  <c r="EF233" i="31" s="1"/>
  <c r="EJ232" i="31"/>
  <c r="EK233" i="31" s="1"/>
  <c r="ED232" i="31"/>
  <c r="EB233" i="31" s="1"/>
  <c r="JM232" i="31"/>
  <c r="KD232" i="31" s="1"/>
  <c r="IL233" i="31" s="1"/>
  <c r="JE233" i="31" s="1"/>
  <c r="JL232" i="31"/>
  <c r="JJ233" i="31" s="1"/>
  <c r="KA233" i="31"/>
  <c r="EZ232" i="31"/>
  <c r="DG232" i="31"/>
  <c r="DH232" i="31" s="1"/>
  <c r="DI233" i="31" s="1"/>
  <c r="JN232" i="31"/>
  <c r="JV232" i="31" s="1"/>
  <c r="JF233" i="31" s="1"/>
  <c r="EP233" i="31" l="1"/>
  <c r="ET234" i="31" s="1"/>
  <c r="FC233" i="31"/>
  <c r="EO233" i="31"/>
  <c r="ES234" i="31" s="1"/>
  <c r="EL233" i="31"/>
  <c r="EV233" i="31"/>
  <c r="HZ233" i="31"/>
  <c r="BP233" i="31"/>
  <c r="BQ233" i="31" s="1"/>
  <c r="JC233" i="31"/>
  <c r="JD233" i="31"/>
  <c r="JO233" i="31"/>
  <c r="JW233" i="31"/>
  <c r="JY233" i="31"/>
  <c r="GZ233" i="31"/>
  <c r="IE233" i="31" s="1"/>
  <c r="DJ233" i="31"/>
  <c r="DK233" i="31" s="1"/>
  <c r="JA233" i="31"/>
  <c r="IO233" i="31"/>
  <c r="IP233" i="31"/>
  <c r="DP233" i="31"/>
  <c r="IY233" i="31"/>
  <c r="IR233" i="31"/>
  <c r="JP233" i="31" l="1"/>
  <c r="JQ233" i="31" s="1"/>
  <c r="DX233" i="31"/>
  <c r="DM233" i="31"/>
  <c r="FQ233" i="31"/>
  <c r="EC233" i="31"/>
  <c r="KG233" i="31"/>
  <c r="BR233" i="31"/>
  <c r="BS233" i="31"/>
  <c r="JX233" i="31"/>
  <c r="EX233" i="31" l="1"/>
  <c r="M233" i="31" s="1"/>
  <c r="FB233" i="31"/>
  <c r="BT233" i="31"/>
  <c r="BU233" i="31"/>
  <c r="DL233" i="31"/>
  <c r="L234" i="31"/>
  <c r="BV233" i="31" l="1"/>
  <c r="BW233" i="31" s="1"/>
  <c r="MB233" i="31"/>
  <c r="MJ233" i="31"/>
  <c r="NS233" i="31" s="1"/>
  <c r="NM233" i="31" l="1"/>
  <c r="NN233" i="31" s="1"/>
  <c r="BX233" i="31"/>
  <c r="BY233" i="31"/>
  <c r="NT233" i="31"/>
  <c r="OU234" i="31"/>
  <c r="BZ233" i="31" l="1"/>
  <c r="NW233" i="31"/>
  <c r="OV234" i="31"/>
  <c r="CA233" i="31"/>
  <c r="CB233" i="31" s="1"/>
  <c r="CC233" i="31" s="1"/>
  <c r="NX233" i="31"/>
  <c r="FV233" i="31"/>
  <c r="FR233" i="31"/>
  <c r="CX233" i="31"/>
  <c r="NU233" i="31"/>
  <c r="CD233" i="31" l="1"/>
  <c r="CE233" i="31"/>
  <c r="CF233" i="31" s="1"/>
  <c r="MY233" i="31"/>
  <c r="NZ233" i="31"/>
  <c r="CY234" i="31"/>
  <c r="NY233" i="31"/>
  <c r="NV233" i="31"/>
  <c r="OF233" i="31"/>
  <c r="OS234" i="31" s="1"/>
  <c r="CG233" i="31" l="1"/>
  <c r="CH233" i="31" s="1"/>
  <c r="CI233" i="31" s="1"/>
  <c r="NF234" i="31"/>
  <c r="OO234" i="31"/>
  <c r="OM234" i="31"/>
  <c r="OB233" i="31"/>
  <c r="OT234" i="31" s="1"/>
  <c r="OA233" i="31"/>
  <c r="MV234" i="31" s="1"/>
  <c r="MZ234" i="31"/>
  <c r="OZ233" i="31"/>
  <c r="OI233" i="31"/>
  <c r="OJ233" i="31" l="1"/>
  <c r="OY234" i="31" s="1"/>
  <c r="OC233" i="31"/>
  <c r="OD234" i="31" s="1"/>
  <c r="OH234" i="31" s="1"/>
  <c r="CJ233" i="31"/>
  <c r="CO233" i="31" s="1"/>
  <c r="CK233" i="31"/>
  <c r="OX234" i="31"/>
  <c r="OW233" i="31"/>
  <c r="MR234" i="31"/>
  <c r="OG234" i="31"/>
  <c r="KT234" i="31"/>
  <c r="PA233" i="31"/>
  <c r="MW234" i="31" l="1"/>
  <c r="MX234" i="31" s="1"/>
  <c r="OK234" i="31"/>
  <c r="MS234" i="31"/>
  <c r="CL233" i="31"/>
  <c r="CM233" i="31"/>
  <c r="CN233" i="31" s="1"/>
  <c r="KL234" i="31"/>
  <c r="KN235" i="31" s="1"/>
  <c r="KM234" i="31"/>
  <c r="KO235" i="31" s="1"/>
  <c r="CP233" i="31" l="1"/>
  <c r="GO233" i="31" s="1"/>
  <c r="KP235" i="31"/>
  <c r="KR234" i="31"/>
  <c r="NA234" i="31"/>
  <c r="NB234" i="31"/>
  <c r="KQ234" i="31"/>
  <c r="NJ234" i="31"/>
  <c r="NQ234" i="31"/>
  <c r="NP234" i="31"/>
  <c r="NH235" i="31"/>
  <c r="NI235" i="31" s="1"/>
  <c r="MO234" i="31"/>
  <c r="MT234" i="31"/>
  <c r="MU234" i="31"/>
  <c r="PE234" i="31"/>
  <c r="FZ233" i="31" l="1"/>
  <c r="GA233" i="31" s="1"/>
  <c r="GB233" i="31"/>
  <c r="GC233" i="31" s="1"/>
  <c r="FX233" i="31"/>
  <c r="FY233" i="31" s="1"/>
  <c r="DQ233" i="31"/>
  <c r="DR233" i="31" s="1"/>
  <c r="DS233" i="31" s="1"/>
  <c r="AX233" i="31" s="1"/>
  <c r="AY234" i="31" s="1"/>
  <c r="FP233" i="31"/>
  <c r="FS233" i="31" s="1"/>
  <c r="DY233" i="31" s="1"/>
  <c r="FH233" i="31"/>
  <c r="FI233" i="31" s="1"/>
  <c r="HU233" i="31" s="1"/>
  <c r="HV234" i="31" s="1"/>
  <c r="CQ233" i="31"/>
  <c r="CR233" i="31" s="1"/>
  <c r="KU233" i="31"/>
  <c r="KX233" i="31"/>
  <c r="FU233" i="31"/>
  <c r="FW233" i="31" s="1"/>
  <c r="HO233" i="31"/>
  <c r="IZ233" i="31" s="1"/>
  <c r="JR233" i="31"/>
  <c r="JS233" i="31" s="1"/>
  <c r="JU233" i="31" s="1"/>
  <c r="FE233" i="31"/>
  <c r="FF233" i="31" s="1"/>
  <c r="HW233" i="31" s="1"/>
  <c r="HX234" i="31" s="1"/>
  <c r="KS234" i="31"/>
  <c r="NR234" i="31"/>
  <c r="NK234" i="31"/>
  <c r="NL234" i="31"/>
  <c r="NG235" i="31"/>
  <c r="OQ235" i="31"/>
  <c r="GN233" i="31" l="1"/>
  <c r="GQ233" i="31" s="1"/>
  <c r="HP233" i="31"/>
  <c r="HT233" i="31" s="1"/>
  <c r="IA233" i="31"/>
  <c r="IB233" i="31" s="1"/>
  <c r="FJ234" i="31"/>
  <c r="JT234" i="31"/>
  <c r="KC233" i="31"/>
  <c r="KE233" i="31"/>
  <c r="FG234" i="31"/>
  <c r="CT233" i="31"/>
  <c r="HA233" i="31"/>
  <c r="HY233" i="31"/>
  <c r="CS233" i="31"/>
  <c r="EM233" i="31"/>
  <c r="EW233" i="31" s="1"/>
  <c r="EN233" i="31"/>
  <c r="AZ233" i="31"/>
  <c r="OR235" i="31"/>
  <c r="NC235" i="31"/>
  <c r="MQ235" i="31"/>
  <c r="HS233" i="31" l="1"/>
  <c r="JG233" i="31" s="1"/>
  <c r="KV233" i="31"/>
  <c r="KW234" i="31" s="1"/>
  <c r="HQ233" i="31"/>
  <c r="HR234" i="31" s="1"/>
  <c r="BB234" i="31"/>
  <c r="DW233" i="31"/>
  <c r="DU234" i="31" s="1"/>
  <c r="EQ233" i="31"/>
  <c r="ER234" i="31"/>
  <c r="IU233" i="31"/>
  <c r="IV233" i="31" s="1"/>
  <c r="IC233" i="31"/>
  <c r="ID233" i="31" s="1"/>
  <c r="IF233" i="31" s="1"/>
  <c r="KH233" i="31" s="1"/>
  <c r="JB233" i="31"/>
  <c r="IW233" i="31" l="1"/>
  <c r="KB233" i="31" s="1"/>
  <c r="IX233" i="31"/>
  <c r="KK233" i="31"/>
  <c r="EU234" i="31"/>
  <c r="DB233" i="31"/>
  <c r="DC233" i="31" s="1"/>
  <c r="DD234" i="31" s="1"/>
  <c r="DE235" i="31" s="1"/>
  <c r="GM233" i="31"/>
  <c r="IM233" i="31"/>
  <c r="KI234" i="31"/>
  <c r="IN233" i="31"/>
  <c r="DF233" i="31"/>
  <c r="BC234" i="31"/>
  <c r="GT235" i="31" l="1"/>
  <c r="DT233" i="31"/>
  <c r="DZ233" i="31" s="1"/>
  <c r="GV233" i="31"/>
  <c r="FD233" i="31"/>
  <c r="GU233" i="31"/>
  <c r="BE234" i="31"/>
  <c r="BD234" i="31"/>
  <c r="KJ234" i="31"/>
  <c r="GR233" i="31"/>
  <c r="BF234" i="31" l="1"/>
  <c r="BG234" i="31"/>
  <c r="GS233" i="31"/>
  <c r="IS233" i="31"/>
  <c r="FL234" i="31"/>
  <c r="JH233" i="31" l="1"/>
  <c r="JI233" i="31" s="1"/>
  <c r="IT233" i="31"/>
  <c r="BH234" i="31"/>
  <c r="BI234" i="31"/>
  <c r="BK234" i="31" s="1"/>
  <c r="FM234" i="31"/>
  <c r="GX233" i="31"/>
  <c r="GW233" i="31"/>
  <c r="HC233" i="31" s="1"/>
  <c r="FA234" i="31" s="1"/>
  <c r="HB234" i="31" s="1"/>
  <c r="GY233" i="31"/>
  <c r="BJ234" i="31" l="1"/>
  <c r="EY233" i="31"/>
  <c r="HM233" i="31"/>
  <c r="EG233" i="31"/>
  <c r="EH234" i="31" s="1"/>
  <c r="EI234" i="31" s="1"/>
  <c r="FK234" i="31" s="1"/>
  <c r="HK234" i="31"/>
  <c r="BL234" i="31"/>
  <c r="BM234" i="31"/>
  <c r="JK233" i="31"/>
  <c r="JZ233" i="31" s="1"/>
  <c r="KF233" i="31" s="1"/>
  <c r="IQ234" i="31" s="1"/>
  <c r="JN233" i="31" l="1"/>
  <c r="JV233" i="31" s="1"/>
  <c r="JF234" i="31" s="1"/>
  <c r="JW234" i="31" s="1"/>
  <c r="EJ233" i="31"/>
  <c r="EK234" i="31" s="1"/>
  <c r="ED233" i="31"/>
  <c r="EB234" i="31" s="1"/>
  <c r="IY234" i="31" s="1"/>
  <c r="EE233" i="31"/>
  <c r="EF234" i="31" s="1"/>
  <c r="JM233" i="31"/>
  <c r="KD233" i="31" s="1"/>
  <c r="IL234" i="31" s="1"/>
  <c r="JL233" i="31"/>
  <c r="JJ234" i="31" s="1"/>
  <c r="KA234" i="31"/>
  <c r="EZ233" i="31"/>
  <c r="DG233" i="31"/>
  <c r="DH233" i="31" s="1"/>
  <c r="DI234" i="31" s="1"/>
  <c r="BN234" i="31"/>
  <c r="BO234" i="31"/>
  <c r="JY234" i="31" l="1"/>
  <c r="IO234" i="31"/>
  <c r="JP234" i="31" s="1"/>
  <c r="JQ234" i="31" s="1"/>
  <c r="IP234" i="31"/>
  <c r="JO234" i="31"/>
  <c r="GZ234" i="31"/>
  <c r="IE234" i="31" s="1"/>
  <c r="DJ234" i="31"/>
  <c r="DK234" i="31" s="1"/>
  <c r="DP234" i="31"/>
  <c r="JE234" i="31"/>
  <c r="BP234" i="31"/>
  <c r="BQ234" i="31" s="1"/>
  <c r="IR234" i="31"/>
  <c r="EL234" i="31"/>
  <c r="EO234" i="31"/>
  <c r="ES235" i="31" s="1"/>
  <c r="EP234" i="31"/>
  <c r="ET235" i="31" s="1"/>
  <c r="FC234" i="31"/>
  <c r="EV234" i="31"/>
  <c r="JC234" i="31"/>
  <c r="JD234" i="31"/>
  <c r="JA234" i="31"/>
  <c r="HZ234" i="31"/>
  <c r="JX234" i="31" l="1"/>
  <c r="KG234" i="31"/>
  <c r="FQ234" i="31"/>
  <c r="DX234" i="31"/>
  <c r="DM234" i="31"/>
  <c r="BR234" i="31"/>
  <c r="BS234" i="31"/>
  <c r="EC234" i="31"/>
  <c r="BT234" i="31" l="1"/>
  <c r="BU234" i="31"/>
  <c r="DL234" i="31"/>
  <c r="L235" i="31"/>
  <c r="FB234" i="31"/>
  <c r="EX234" i="31"/>
  <c r="M234" i="31" s="1"/>
  <c r="BV234" i="31" l="1"/>
  <c r="BW234" i="31" s="1"/>
  <c r="MJ234" i="31"/>
  <c r="NS234" i="31" s="1"/>
  <c r="MB234" i="31"/>
  <c r="NM234" i="31" s="1"/>
  <c r="NN234" i="31" s="1"/>
  <c r="BX234" i="31" l="1"/>
  <c r="BY234" i="31"/>
  <c r="CA234" i="31" s="1"/>
  <c r="OV235" i="31"/>
  <c r="NW234" i="31"/>
  <c r="NT234" i="31"/>
  <c r="OU235" i="31"/>
  <c r="BZ234" i="31" l="1"/>
  <c r="CX234" i="31"/>
  <c r="FR234" i="31"/>
  <c r="FV234" i="31"/>
  <c r="NU234" i="31"/>
  <c r="NX234" i="31"/>
  <c r="CB234" i="31"/>
  <c r="CC234" i="31" s="1"/>
  <c r="CD234" i="31" l="1"/>
  <c r="CE234" i="31"/>
  <c r="CF234" i="31" s="1"/>
  <c r="NV234" i="31"/>
  <c r="NY234" i="31"/>
  <c r="OF234" i="31"/>
  <c r="OS235" i="31" s="1"/>
  <c r="NZ234" i="31"/>
  <c r="MY234" i="31"/>
  <c r="CY235" i="31"/>
  <c r="CG234" i="31" l="1"/>
  <c r="CH234" i="31" s="1"/>
  <c r="CI234" i="31" s="1"/>
  <c r="OA234" i="31"/>
  <c r="MV235" i="31" s="1"/>
  <c r="OG235" i="31" s="1"/>
  <c r="MZ235" i="31"/>
  <c r="OZ234" i="31"/>
  <c r="OM235" i="31"/>
  <c r="OO235" i="31"/>
  <c r="NF235" i="31"/>
  <c r="OB234" i="31"/>
  <c r="OT235" i="31" s="1"/>
  <c r="OI234" i="31"/>
  <c r="KT235" i="31" l="1"/>
  <c r="CJ234" i="31"/>
  <c r="CO234" i="31" s="1"/>
  <c r="CK234" i="31"/>
  <c r="OX235" i="31"/>
  <c r="MR235" i="31"/>
  <c r="OW234" i="31"/>
  <c r="KL235" i="31"/>
  <c r="KN236" i="31" s="1"/>
  <c r="KM235" i="31"/>
  <c r="KO236" i="31" s="1"/>
  <c r="PA234" i="31"/>
  <c r="OJ234" i="31"/>
  <c r="OC234" i="31"/>
  <c r="OD235" i="31" s="1"/>
  <c r="OH235" i="31" s="1"/>
  <c r="OK235" i="31" s="1"/>
  <c r="KQ235" i="31" l="1"/>
  <c r="MS235" i="31"/>
  <c r="KP236" i="31"/>
  <c r="KR235" i="31"/>
  <c r="CL234" i="31"/>
  <c r="CM234" i="31"/>
  <c r="CN234" i="31" s="1"/>
  <c r="OY235" i="31"/>
  <c r="MW235" i="31"/>
  <c r="KS235" i="31" l="1"/>
  <c r="MX235" i="31"/>
  <c r="CP234" i="31"/>
  <c r="NP235" i="31"/>
  <c r="NQ235" i="31"/>
  <c r="MU235" i="31"/>
  <c r="NJ235" i="31"/>
  <c r="MO235" i="31"/>
  <c r="NH236" i="31"/>
  <c r="NI236" i="31" s="1"/>
  <c r="MT235" i="31"/>
  <c r="PE235" i="31"/>
  <c r="NR235" i="31" l="1"/>
  <c r="CQ234" i="31"/>
  <c r="FU234" i="31"/>
  <c r="FW234" i="31" s="1"/>
  <c r="FX234" i="31"/>
  <c r="FY234" i="31" s="1"/>
  <c r="GO234" i="31"/>
  <c r="FH234" i="31"/>
  <c r="FI234" i="31" s="1"/>
  <c r="FZ234" i="31"/>
  <c r="GA234" i="31" s="1"/>
  <c r="FP234" i="31"/>
  <c r="FS234" i="31" s="1"/>
  <c r="FE234" i="31"/>
  <c r="FF234" i="31" s="1"/>
  <c r="GB234" i="31"/>
  <c r="GC234" i="31" s="1"/>
  <c r="JR234" i="31"/>
  <c r="JS234" i="31" s="1"/>
  <c r="HO234" i="31"/>
  <c r="DQ234" i="31"/>
  <c r="DR234" i="31" s="1"/>
  <c r="KX234" i="31"/>
  <c r="GN234" i="31" s="1"/>
  <c r="KU234" i="31"/>
  <c r="NK235" i="31"/>
  <c r="NL235" i="31"/>
  <c r="NG236" i="31"/>
  <c r="OQ236" i="31"/>
  <c r="NB235" i="31"/>
  <c r="NA235" i="31"/>
  <c r="DS234" i="31" l="1"/>
  <c r="AX234" i="31" s="1"/>
  <c r="AY235" i="31" s="1"/>
  <c r="GQ234" i="31"/>
  <c r="KV234" i="31"/>
  <c r="OR236" i="31"/>
  <c r="JU234" i="31"/>
  <c r="KE234" i="31"/>
  <c r="JT235" i="31"/>
  <c r="KC234" i="31"/>
  <c r="NC236" i="31"/>
  <c r="MQ236" i="31"/>
  <c r="CR234" i="31"/>
  <c r="CT234" i="31"/>
  <c r="CS234" i="31"/>
  <c r="HU234" i="31"/>
  <c r="HV235" i="31" s="1"/>
  <c r="FJ235" i="31"/>
  <c r="HW234" i="31"/>
  <c r="HX235" i="31" s="1"/>
  <c r="FG235" i="31"/>
  <c r="HP234" i="31"/>
  <c r="IA234" i="31"/>
  <c r="IB234" i="31" s="1"/>
  <c r="IZ234" i="31"/>
  <c r="DY234" i="31"/>
  <c r="HA234" i="31"/>
  <c r="HY234" i="31"/>
  <c r="KW235" i="31" l="1"/>
  <c r="HQ234" i="31"/>
  <c r="HR235" i="31" s="1"/>
  <c r="HS234" i="31"/>
  <c r="JG234" i="31" s="1"/>
  <c r="HT234" i="31"/>
  <c r="EM234" i="31"/>
  <c r="EW234" i="31" s="1"/>
  <c r="AZ234" i="31"/>
  <c r="EN234" i="31"/>
  <c r="BB235" i="31" l="1"/>
  <c r="DW234" i="31"/>
  <c r="DU235" i="31" s="1"/>
  <c r="EQ234" i="31"/>
  <c r="ER235" i="31"/>
  <c r="IU234" i="31"/>
  <c r="IV234" i="31" s="1"/>
  <c r="IC234" i="31"/>
  <c r="ID234" i="31" s="1"/>
  <c r="IF234" i="31" s="1"/>
  <c r="KH234" i="31" s="1"/>
  <c r="JB234" i="31"/>
  <c r="IW234" i="31" l="1"/>
  <c r="KB234" i="31" s="1"/>
  <c r="KK234" i="31"/>
  <c r="IX234" i="31"/>
  <c r="EU235" i="31"/>
  <c r="GM234" i="31"/>
  <c r="DB234" i="31"/>
  <c r="DC234" i="31" s="1"/>
  <c r="DD235" i="31" s="1"/>
  <c r="DE236" i="31" s="1"/>
  <c r="IM234" i="31"/>
  <c r="KI235" i="31"/>
  <c r="IN234" i="31"/>
  <c r="DF234" i="31"/>
  <c r="BC235" i="31"/>
  <c r="DT234" i="31" l="1"/>
  <c r="DZ234" i="31" s="1"/>
  <c r="GT236" i="31"/>
  <c r="KJ235" i="31"/>
  <c r="BD235" i="31"/>
  <c r="BE235" i="31"/>
  <c r="GR234" i="31"/>
  <c r="FD234" i="31"/>
  <c r="GU234" i="31"/>
  <c r="GV234" i="31"/>
  <c r="GS234" i="31" l="1"/>
  <c r="BF235" i="31"/>
  <c r="BG235" i="31"/>
  <c r="IS234" i="31"/>
  <c r="FL235" i="31"/>
  <c r="JH234" i="31" l="1"/>
  <c r="JI234" i="31" s="1"/>
  <c r="IT234" i="31"/>
  <c r="BH235" i="31"/>
  <c r="BI235" i="31"/>
  <c r="BK235" i="31" s="1"/>
  <c r="FM235" i="31"/>
  <c r="GW234" i="31"/>
  <c r="HC234" i="31" s="1"/>
  <c r="FA235" i="31" s="1"/>
  <c r="HB235" i="31" s="1"/>
  <c r="GY234" i="31"/>
  <c r="GX234" i="31"/>
  <c r="BL235" i="31" l="1"/>
  <c r="BM235" i="31"/>
  <c r="HM234" i="31"/>
  <c r="EY234" i="31"/>
  <c r="EG234" i="31"/>
  <c r="EH235" i="31" s="1"/>
  <c r="EI235" i="31" s="1"/>
  <c r="FK235" i="31" s="1"/>
  <c r="HK235" i="31"/>
  <c r="BJ235" i="31"/>
  <c r="JK234" i="31"/>
  <c r="JN234" i="31" s="1"/>
  <c r="JV234" i="31" s="1"/>
  <c r="JF235" i="31" s="1"/>
  <c r="JM234" i="31" l="1"/>
  <c r="KD234" i="31" s="1"/>
  <c r="IL235" i="31" s="1"/>
  <c r="JY235" i="31"/>
  <c r="JW235" i="31"/>
  <c r="JZ234" i="31"/>
  <c r="KF234" i="31" s="1"/>
  <c r="IQ235" i="31" s="1"/>
  <c r="EE234" i="31"/>
  <c r="EF235" i="31" s="1"/>
  <c r="EJ234" i="31"/>
  <c r="EK235" i="31" s="1"/>
  <c r="ED234" i="31"/>
  <c r="EB235" i="31" s="1"/>
  <c r="EZ234" i="31"/>
  <c r="DG234" i="31"/>
  <c r="DH234" i="31" s="1"/>
  <c r="DI235" i="31" s="1"/>
  <c r="BN235" i="31"/>
  <c r="BO235" i="31"/>
  <c r="JL234" i="31"/>
  <c r="JJ235" i="31" s="1"/>
  <c r="KA235" i="31"/>
  <c r="JO235" i="31" l="1"/>
  <c r="BP235" i="31"/>
  <c r="BQ235" i="31" s="1"/>
  <c r="JC235" i="31"/>
  <c r="JD235" i="31"/>
  <c r="GZ235" i="31"/>
  <c r="IE235" i="31" s="1"/>
  <c r="DJ235" i="31"/>
  <c r="DK235" i="31" s="1"/>
  <c r="DP235" i="31"/>
  <c r="HZ235" i="31"/>
  <c r="IY235" i="31"/>
  <c r="JA235" i="31"/>
  <c r="JE235" i="31"/>
  <c r="IR235" i="31"/>
  <c r="IO235" i="31"/>
  <c r="EL235" i="31"/>
  <c r="FC235" i="31"/>
  <c r="EP235" i="31"/>
  <c r="ET236" i="31" s="1"/>
  <c r="EO235" i="31"/>
  <c r="ES236" i="31" s="1"/>
  <c r="EV235" i="31"/>
  <c r="IP235" i="31"/>
  <c r="KG235" i="31" l="1"/>
  <c r="JP235" i="31"/>
  <c r="JQ235" i="31" s="1"/>
  <c r="DM235" i="31"/>
  <c r="FQ235" i="31"/>
  <c r="DX235" i="31"/>
  <c r="JX235" i="31"/>
  <c r="BR235" i="31"/>
  <c r="BS235" i="31"/>
  <c r="EC235" i="31"/>
  <c r="FB235" i="31" l="1"/>
  <c r="EX235" i="31"/>
  <c r="M235" i="31" s="1"/>
  <c r="BT235" i="31"/>
  <c r="BU235" i="31"/>
  <c r="DL235" i="31"/>
  <c r="L236" i="31"/>
  <c r="BV235" i="31" l="1"/>
  <c r="BW235" i="31" s="1"/>
  <c r="MB235" i="31"/>
  <c r="NM235" i="31" s="1"/>
  <c r="NN235" i="31" s="1"/>
  <c r="MJ235" i="31"/>
  <c r="NS235" i="31" s="1"/>
  <c r="BX235" i="31" l="1"/>
  <c r="BY235" i="31"/>
  <c r="NT235" i="31"/>
  <c r="OU236" i="31"/>
  <c r="OV236" i="31"/>
  <c r="NW235" i="31"/>
  <c r="BZ235" i="31" l="1"/>
  <c r="CA235" i="31"/>
  <c r="FV235" i="31"/>
  <c r="FR235" i="31"/>
  <c r="CX235" i="31"/>
  <c r="NU235" i="31"/>
  <c r="NX235" i="31"/>
  <c r="OF235" i="31" s="1"/>
  <c r="OS236" i="31" s="1"/>
  <c r="CB235" i="31"/>
  <c r="CC235" i="31" l="1"/>
  <c r="NV235" i="31"/>
  <c r="NZ235" i="31"/>
  <c r="MY235" i="31"/>
  <c r="CY236" i="31"/>
  <c r="NY235" i="31"/>
  <c r="CD235" i="31" l="1"/>
  <c r="CE235" i="31"/>
  <c r="OB235" i="31"/>
  <c r="OT236" i="31" s="1"/>
  <c r="OI235" i="31"/>
  <c r="OM236" i="31"/>
  <c r="OO236" i="31"/>
  <c r="NF236" i="31"/>
  <c r="OA235" i="31"/>
  <c r="MV236" i="31" s="1"/>
  <c r="OG236" i="31" s="1"/>
  <c r="MZ236" i="31"/>
  <c r="OZ235" i="31"/>
  <c r="CF235" i="31" l="1"/>
  <c r="CG235" i="31"/>
  <c r="KT236" i="31"/>
  <c r="KL236" i="31" s="1"/>
  <c r="KN237" i="31" s="1"/>
  <c r="OW235" i="31"/>
  <c r="MR236" i="31"/>
  <c r="OX236" i="31"/>
  <c r="PA235" i="31"/>
  <c r="OC235" i="31"/>
  <c r="OD236" i="31" s="1"/>
  <c r="OH236" i="31" s="1"/>
  <c r="OK236" i="31" s="1"/>
  <c r="OJ235" i="31"/>
  <c r="KM236" i="31" l="1"/>
  <c r="KO237" i="31" s="1"/>
  <c r="KP237" i="31" s="1"/>
  <c r="CH235" i="31"/>
  <c r="CI235" i="31" s="1"/>
  <c r="MS236" i="31"/>
  <c r="KQ236" i="31"/>
  <c r="OY236" i="31"/>
  <c r="MW236" i="31"/>
  <c r="KR236" i="31" l="1"/>
  <c r="KS236" i="31" s="1"/>
  <c r="CJ235" i="31"/>
  <c r="CO235" i="31" s="1"/>
  <c r="CK235" i="31"/>
  <c r="MX236" i="31"/>
  <c r="NJ236" i="31"/>
  <c r="MT236" i="31"/>
  <c r="MU236" i="31"/>
  <c r="MO236" i="31"/>
  <c r="NP236" i="31"/>
  <c r="NH237" i="31"/>
  <c r="NI237" i="31" s="1"/>
  <c r="NQ236" i="31"/>
  <c r="PE236" i="31"/>
  <c r="CL235" i="31" l="1"/>
  <c r="CM235" i="31"/>
  <c r="CN235" i="31" s="1"/>
  <c r="NK236" i="31"/>
  <c r="NL236" i="31"/>
  <c r="NG237" i="31"/>
  <c r="OQ237" i="31"/>
  <c r="NR236" i="31"/>
  <c r="NA236" i="31"/>
  <c r="NB236" i="31"/>
  <c r="CP235" i="31" l="1"/>
  <c r="OR237" i="31"/>
  <c r="NC237" i="31"/>
  <c r="MQ237" i="31"/>
  <c r="DQ235" i="31" l="1"/>
  <c r="DR235" i="31" s="1"/>
  <c r="DS235" i="31" s="1"/>
  <c r="KX235" i="31"/>
  <c r="FX235" i="31"/>
  <c r="FY235" i="31" s="1"/>
  <c r="GO235" i="31"/>
  <c r="FU235" i="31"/>
  <c r="FW235" i="31" s="1"/>
  <c r="KU235" i="31"/>
  <c r="FH235" i="31"/>
  <c r="FI235" i="31" s="1"/>
  <c r="FE235" i="31"/>
  <c r="FF235" i="31" s="1"/>
  <c r="HO235" i="31"/>
  <c r="JR235" i="31"/>
  <c r="JS235" i="31" s="1"/>
  <c r="GB235" i="31"/>
  <c r="GC235" i="31" s="1"/>
  <c r="CQ235" i="31"/>
  <c r="FP235" i="31"/>
  <c r="FS235" i="31" s="1"/>
  <c r="FZ235" i="31"/>
  <c r="GA235" i="31" s="1"/>
  <c r="GN235" i="31" l="1"/>
  <c r="KV235" i="31" s="1"/>
  <c r="FJ236" i="31"/>
  <c r="HU235" i="31"/>
  <c r="HV236" i="31" s="1"/>
  <c r="CR235" i="31"/>
  <c r="CS235" i="31"/>
  <c r="CT235" i="31"/>
  <c r="HW235" i="31"/>
  <c r="HX236" i="31" s="1"/>
  <c r="FG236" i="31"/>
  <c r="KE235" i="31"/>
  <c r="JU235" i="31"/>
  <c r="KC235" i="31"/>
  <c r="JT236" i="31"/>
  <c r="HA235" i="31"/>
  <c r="HY235" i="31"/>
  <c r="DY235" i="31"/>
  <c r="IZ235" i="31"/>
  <c r="IA235" i="31"/>
  <c r="IB235" i="31" s="1"/>
  <c r="HP235" i="31"/>
  <c r="AX235" i="31"/>
  <c r="AY236" i="31" s="1"/>
  <c r="EM235" i="31"/>
  <c r="EW235" i="31" s="1"/>
  <c r="EN235" i="31"/>
  <c r="AZ235" i="31"/>
  <c r="GQ235" i="31" l="1"/>
  <c r="KW236" i="31"/>
  <c r="HQ235" i="31"/>
  <c r="HR236" i="31" s="1"/>
  <c r="BB236" i="31"/>
  <c r="BC236" i="31" s="1"/>
  <c r="BE236" i="31" s="1"/>
  <c r="DW235" i="31"/>
  <c r="DU236" i="31" s="1"/>
  <c r="EQ235" i="31"/>
  <c r="ER236" i="31"/>
  <c r="EU236" i="31" s="1"/>
  <c r="IU235" i="31"/>
  <c r="IV235" i="31" s="1"/>
  <c r="HT235" i="31"/>
  <c r="HS235" i="31"/>
  <c r="JG235" i="31" s="1"/>
  <c r="IW235" i="31" l="1"/>
  <c r="KB235" i="31" s="1"/>
  <c r="BD236" i="31"/>
  <c r="IX235" i="31"/>
  <c r="KK235" i="31"/>
  <c r="IC235" i="31"/>
  <c r="ID235" i="31" s="1"/>
  <c r="IF235" i="31" s="1"/>
  <c r="KH235" i="31" s="1"/>
  <c r="JB235" i="31"/>
  <c r="BF236" i="31"/>
  <c r="BG236" i="31"/>
  <c r="KI236" i="31" l="1"/>
  <c r="KJ236" i="31" s="1"/>
  <c r="IN235" i="31"/>
  <c r="IM235" i="31"/>
  <c r="DB235" i="31"/>
  <c r="DC235" i="31" s="1"/>
  <c r="DD236" i="31" s="1"/>
  <c r="DE237" i="31" s="1"/>
  <c r="DF235" i="31"/>
  <c r="GM235" i="31"/>
  <c r="BI236" i="31"/>
  <c r="BK236" i="31" s="1"/>
  <c r="BH236" i="31"/>
  <c r="DT235" i="31" l="1"/>
  <c r="DZ235" i="31" s="1"/>
  <c r="GT237" i="31"/>
  <c r="GR235" i="31"/>
  <c r="FD235" i="31"/>
  <c r="GU235" i="31"/>
  <c r="GV235" i="31"/>
  <c r="BL236" i="31"/>
  <c r="BM236" i="31"/>
  <c r="BJ236" i="31"/>
  <c r="FL236" i="31" l="1"/>
  <c r="FM236" i="31" s="1"/>
  <c r="IS235" i="31"/>
  <c r="GS235" i="31"/>
  <c r="BN236" i="31"/>
  <c r="BO236" i="31"/>
  <c r="GW235" i="31" l="1"/>
  <c r="HC235" i="31" s="1"/>
  <c r="FA236" i="31" s="1"/>
  <c r="HB236" i="31" s="1"/>
  <c r="GX235" i="31"/>
  <c r="GY235" i="31"/>
  <c r="JH235" i="31"/>
  <c r="JI235" i="31" s="1"/>
  <c r="IT235" i="31"/>
  <c r="BP236" i="31"/>
  <c r="BQ236" i="31" s="1"/>
  <c r="JK235" i="31" l="1"/>
  <c r="JN235" i="31" s="1"/>
  <c r="JV235" i="31" s="1"/>
  <c r="JF236" i="31" s="1"/>
  <c r="EG235" i="31"/>
  <c r="EH236" i="31" s="1"/>
  <c r="EI236" i="31" s="1"/>
  <c r="FK236" i="31" s="1"/>
  <c r="EY235" i="31"/>
  <c r="HK236" i="31"/>
  <c r="HM235" i="31"/>
  <c r="BR236" i="31"/>
  <c r="BS236" i="31"/>
  <c r="JM235" i="31" l="1"/>
  <c r="KD235" i="31" s="1"/>
  <c r="IL236" i="31" s="1"/>
  <c r="EZ235" i="31"/>
  <c r="DG235" i="31"/>
  <c r="DH235" i="31" s="1"/>
  <c r="DI236" i="31" s="1"/>
  <c r="JW236" i="31"/>
  <c r="JY236" i="31"/>
  <c r="ED235" i="31"/>
  <c r="EB236" i="31" s="1"/>
  <c r="EE235" i="31"/>
  <c r="EF236" i="31" s="1"/>
  <c r="EJ235" i="31"/>
  <c r="EK236" i="31" s="1"/>
  <c r="JZ235" i="31"/>
  <c r="KF235" i="31" s="1"/>
  <c r="IQ236" i="31" s="1"/>
  <c r="KA236" i="31"/>
  <c r="HZ236" i="31" s="1"/>
  <c r="JL235" i="31"/>
  <c r="JJ236" i="31" s="1"/>
  <c r="BT236" i="31"/>
  <c r="BU236" i="31"/>
  <c r="IP236" i="31" l="1"/>
  <c r="IO236" i="31"/>
  <c r="IR236" i="31"/>
  <c r="JA236" i="31"/>
  <c r="JO236" i="31"/>
  <c r="JE236" i="31"/>
  <c r="IY236" i="31"/>
  <c r="EL236" i="31"/>
  <c r="FC236" i="31"/>
  <c r="EV236" i="31"/>
  <c r="EO236" i="31"/>
  <c r="ES237" i="31" s="1"/>
  <c r="EP236" i="31"/>
  <c r="ET237" i="31" s="1"/>
  <c r="DP236" i="31"/>
  <c r="JD236" i="31"/>
  <c r="JC236" i="31"/>
  <c r="GZ236" i="31"/>
  <c r="IE236" i="31" s="1"/>
  <c r="DJ236" i="31"/>
  <c r="DK236" i="31" s="1"/>
  <c r="BV236" i="31"/>
  <c r="BW236" i="31" s="1"/>
  <c r="JP236" i="31" l="1"/>
  <c r="JQ236" i="31" s="1"/>
  <c r="FQ236" i="31"/>
  <c r="DM236" i="31"/>
  <c r="DX236" i="31"/>
  <c r="KG236" i="31"/>
  <c r="EC236" i="31"/>
  <c r="JX236" i="31"/>
  <c r="BY236" i="31"/>
  <c r="BX236" i="31"/>
  <c r="BZ236" i="31" l="1"/>
  <c r="CA236" i="31"/>
  <c r="CB236" i="31" s="1"/>
  <c r="FB236" i="31"/>
  <c r="EX236" i="31"/>
  <c r="M236" i="31" s="1"/>
  <c r="L237" i="31"/>
  <c r="DL236" i="31"/>
  <c r="MJ236" i="31" l="1"/>
  <c r="NS236" i="31" s="1"/>
  <c r="MB236" i="31"/>
  <c r="CC236" i="31"/>
  <c r="NM236" i="31" l="1"/>
  <c r="NN236" i="31" s="1"/>
  <c r="CD236" i="31"/>
  <c r="CE236" i="31"/>
  <c r="NT236" i="31"/>
  <c r="OU237" i="31"/>
  <c r="OV237" i="31" l="1"/>
  <c r="NW236" i="31"/>
  <c r="NX236" i="31" s="1"/>
  <c r="CX236" i="31"/>
  <c r="NU236" i="31"/>
  <c r="NV236" i="31" s="1"/>
  <c r="FV236" i="31"/>
  <c r="FR236" i="31"/>
  <c r="CF236" i="31"/>
  <c r="CG236" i="31"/>
  <c r="CH236" i="31" l="1"/>
  <c r="CI236" i="31" s="1"/>
  <c r="NY236" i="31"/>
  <c r="CY237" i="31"/>
  <c r="NZ236" i="31"/>
  <c r="MY236" i="31"/>
  <c r="OF236" i="31"/>
  <c r="OS237" i="31" s="1"/>
  <c r="OA236" i="31" l="1"/>
  <c r="MV237" i="31" s="1"/>
  <c r="OG237" i="31" s="1"/>
  <c r="CJ236" i="31"/>
  <c r="CO236" i="31" s="1"/>
  <c r="CK236" i="31"/>
  <c r="CL236" i="31" s="1"/>
  <c r="OZ236" i="31"/>
  <c r="MZ237" i="31"/>
  <c r="OM237" i="31"/>
  <c r="NF237" i="31"/>
  <c r="OO237" i="31"/>
  <c r="OI236" i="31"/>
  <c r="OB236" i="31"/>
  <c r="OT237" i="31" s="1"/>
  <c r="KT237" i="31" l="1"/>
  <c r="KM237" i="31" s="1"/>
  <c r="KO238" i="31" s="1"/>
  <c r="CM236" i="31"/>
  <c r="CN236" i="31" s="1"/>
  <c r="CP236" i="31" s="1"/>
  <c r="OX237" i="31"/>
  <c r="OW236" i="31"/>
  <c r="MR237" i="31"/>
  <c r="MS237" i="31" s="1"/>
  <c r="PA236" i="31"/>
  <c r="OJ236" i="31"/>
  <c r="OC236" i="31"/>
  <c r="OD237" i="31" s="1"/>
  <c r="OH237" i="31" s="1"/>
  <c r="OK237" i="31" s="1"/>
  <c r="KL237" i="31" l="1"/>
  <c r="KN238" i="31" s="1"/>
  <c r="KQ237" i="31" s="1"/>
  <c r="FP236" i="31"/>
  <c r="FS236" i="31" s="1"/>
  <c r="HO236" i="31"/>
  <c r="KX236" i="31"/>
  <c r="GN236" i="31" s="1"/>
  <c r="KU236" i="31"/>
  <c r="CQ236" i="31"/>
  <c r="GB236" i="31"/>
  <c r="GC236" i="31" s="1"/>
  <c r="FE236" i="31"/>
  <c r="FF236" i="31" s="1"/>
  <c r="GO236" i="31"/>
  <c r="JR236" i="31"/>
  <c r="JS236" i="31" s="1"/>
  <c r="FH236" i="31"/>
  <c r="FI236" i="31" s="1"/>
  <c r="HU236" i="31" s="1"/>
  <c r="HV237" i="31" s="1"/>
  <c r="FZ236" i="31"/>
  <c r="GA236" i="31" s="1"/>
  <c r="FX236" i="31"/>
  <c r="FY236" i="31" s="1"/>
  <c r="DQ236" i="31"/>
  <c r="DR236" i="31" s="1"/>
  <c r="DS236" i="31" s="1"/>
  <c r="AX236" i="31" s="1"/>
  <c r="AY237" i="31" s="1"/>
  <c r="FU236" i="31"/>
  <c r="FW236" i="31" s="1"/>
  <c r="KR237" i="31"/>
  <c r="KS237" i="31" s="1"/>
  <c r="KP238" i="31"/>
  <c r="OY237" i="31"/>
  <c r="MW237" i="31"/>
  <c r="MX237" i="31" s="1"/>
  <c r="NJ237" i="31"/>
  <c r="NP237" i="31"/>
  <c r="MU237" i="31"/>
  <c r="PE237" i="31"/>
  <c r="MT237" i="31"/>
  <c r="NQ237" i="31"/>
  <c r="NH238" i="31"/>
  <c r="NI238" i="31" s="1"/>
  <c r="MO237" i="31"/>
  <c r="FJ237" i="31" l="1"/>
  <c r="EN236" i="31"/>
  <c r="IU236" i="31" s="1"/>
  <c r="IV236" i="31" s="1"/>
  <c r="AZ236" i="31"/>
  <c r="EM236" i="31"/>
  <c r="EW236" i="31" s="1"/>
  <c r="CR236" i="31"/>
  <c r="CT236" i="31"/>
  <c r="CS236" i="31"/>
  <c r="GQ236" i="31"/>
  <c r="KV236" i="31"/>
  <c r="IZ236" i="31"/>
  <c r="HP236" i="31"/>
  <c r="IA236" i="31"/>
  <c r="IB236" i="31" s="1"/>
  <c r="HW236" i="31"/>
  <c r="HX237" i="31" s="1"/>
  <c r="FG237" i="31"/>
  <c r="KC236" i="31"/>
  <c r="JU236" i="31"/>
  <c r="JT237" i="31"/>
  <c r="KE236" i="31"/>
  <c r="DY236" i="31"/>
  <c r="HY236" i="31"/>
  <c r="HA236" i="31"/>
  <c r="NB237" i="31"/>
  <c r="NA237" i="31"/>
  <c r="NL237" i="31"/>
  <c r="NG238" i="31"/>
  <c r="NK237" i="31"/>
  <c r="OQ238" i="31"/>
  <c r="OR238" i="31" s="1"/>
  <c r="NR237" i="31"/>
  <c r="BB237" i="31"/>
  <c r="ER237" i="31"/>
  <c r="KW237" i="31" l="1"/>
  <c r="HQ236" i="31"/>
  <c r="HR237" i="31" s="1"/>
  <c r="EQ236" i="31"/>
  <c r="DW236" i="31"/>
  <c r="DU237" i="31" s="1"/>
  <c r="HT236" i="31"/>
  <c r="HS236" i="31"/>
  <c r="JG236" i="31" s="1"/>
  <c r="NC238" i="31"/>
  <c r="MQ238" i="31"/>
  <c r="IW236" i="31"/>
  <c r="KB236" i="31" s="1"/>
  <c r="KK236" i="31"/>
  <c r="IX236" i="31"/>
  <c r="BC237" i="31"/>
  <c r="EU237" i="31"/>
  <c r="IC236" i="31" l="1"/>
  <c r="ID236" i="31" s="1"/>
  <c r="IF236" i="31" s="1"/>
  <c r="KH236" i="31" s="1"/>
  <c r="JB236" i="31"/>
  <c r="BD237" i="31"/>
  <c r="BE237" i="31"/>
  <c r="DF236" i="31" l="1"/>
  <c r="IM236" i="31"/>
  <c r="DB236" i="31"/>
  <c r="DC236" i="31" s="1"/>
  <c r="DD237" i="31" s="1"/>
  <c r="DE238" i="31" s="1"/>
  <c r="GM236" i="31"/>
  <c r="KI237" i="31"/>
  <c r="KJ237" i="31" s="1"/>
  <c r="IN236" i="31"/>
  <c r="BF237" i="31"/>
  <c r="BG237" i="31"/>
  <c r="DT236" i="31" l="1"/>
  <c r="DZ236" i="31" s="1"/>
  <c r="GR236" i="31"/>
  <c r="GT238" i="31"/>
  <c r="GU236" i="31"/>
  <c r="GV236" i="31"/>
  <c r="FD236" i="31"/>
  <c r="BI237" i="31"/>
  <c r="BK237" i="31" s="1"/>
  <c r="BH237" i="31"/>
  <c r="IS236" i="31" l="1"/>
  <c r="FL237" i="31"/>
  <c r="FM237" i="31" s="1"/>
  <c r="BJ237" i="31"/>
  <c r="GS236" i="31"/>
  <c r="BL237" i="31"/>
  <c r="BM237" i="31"/>
  <c r="GX236" i="31" l="1"/>
  <c r="GW236" i="31"/>
  <c r="HC236" i="31" s="1"/>
  <c r="FA237" i="31" s="1"/>
  <c r="HB237" i="31" s="1"/>
  <c r="GY236" i="31"/>
  <c r="IT236" i="31"/>
  <c r="JH236" i="31"/>
  <c r="JI236" i="31" s="1"/>
  <c r="JK236" i="31" s="1"/>
  <c r="JN236" i="31" s="1"/>
  <c r="JV236" i="31" s="1"/>
  <c r="JF237" i="31" s="1"/>
  <c r="BN237" i="31"/>
  <c r="BO237" i="31"/>
  <c r="KA237" i="31" l="1"/>
  <c r="HZ237" i="31" s="1"/>
  <c r="JM236" i="31"/>
  <c r="KD236" i="31" s="1"/>
  <c r="IL237" i="31" s="1"/>
  <c r="JL236" i="31"/>
  <c r="JJ237" i="31" s="1"/>
  <c r="JZ236" i="31"/>
  <c r="KF236" i="31" s="1"/>
  <c r="IQ237" i="31" s="1"/>
  <c r="HK237" i="31"/>
  <c r="EG236" i="31"/>
  <c r="EH237" i="31" s="1"/>
  <c r="EI237" i="31" s="1"/>
  <c r="FK237" i="31" s="1"/>
  <c r="EY236" i="31"/>
  <c r="HM236" i="31"/>
  <c r="JY237" i="31"/>
  <c r="BP237" i="31"/>
  <c r="BQ237" i="31" s="1"/>
  <c r="JE237" i="31" l="1"/>
  <c r="IR237" i="31"/>
  <c r="JO237" i="31"/>
  <c r="EZ236" i="31"/>
  <c r="DG236" i="31"/>
  <c r="DH236" i="31" s="1"/>
  <c r="DI237" i="31" s="1"/>
  <c r="EE236" i="31"/>
  <c r="EF237" i="31" s="1"/>
  <c r="ED236" i="31"/>
  <c r="EB237" i="31" s="1"/>
  <c r="EJ236" i="31"/>
  <c r="EK237" i="31" s="1"/>
  <c r="JW237" i="31"/>
  <c r="BR237" i="31"/>
  <c r="BS237" i="31"/>
  <c r="DJ237" i="31" l="1"/>
  <c r="DK237" i="31" s="1"/>
  <c r="IP237" i="31"/>
  <c r="IO237" i="31"/>
  <c r="GZ237" i="31"/>
  <c r="EV237" i="31"/>
  <c r="EL237" i="31"/>
  <c r="IY237" i="31"/>
  <c r="EP237" i="31"/>
  <c r="ET238" i="31" s="1"/>
  <c r="FC237" i="31"/>
  <c r="EO237" i="31"/>
  <c r="ES238" i="31" s="1"/>
  <c r="JA237" i="31"/>
  <c r="DP237" i="31"/>
  <c r="JC237" i="31"/>
  <c r="JD237" i="31"/>
  <c r="BT237" i="31"/>
  <c r="BU237" i="31"/>
  <c r="JP237" i="31" l="1"/>
  <c r="JQ237" i="31" s="1"/>
  <c r="EC237" i="31"/>
  <c r="JX237" i="31"/>
  <c r="IE237" i="31"/>
  <c r="KG237" i="31"/>
  <c r="DM237" i="31"/>
  <c r="DX237" i="31"/>
  <c r="FQ237" i="31"/>
  <c r="BV237" i="31"/>
  <c r="BW237" i="31" s="1"/>
  <c r="DL237" i="31" l="1"/>
  <c r="L238" i="31"/>
  <c r="EX237" i="31"/>
  <c r="M237" i="31" s="1"/>
  <c r="FB237" i="31"/>
  <c r="BX237" i="31"/>
  <c r="BY237" i="31"/>
  <c r="BZ237" i="31" l="1"/>
  <c r="MB237" i="31"/>
  <c r="MJ237" i="31"/>
  <c r="NS237" i="31" s="1"/>
  <c r="CA237" i="31"/>
  <c r="NM237" i="31" l="1"/>
  <c r="NN237" i="31" s="1"/>
  <c r="CB237" i="31"/>
  <c r="CC237" i="31" s="1"/>
  <c r="NT237" i="31"/>
  <c r="OU238" i="31"/>
  <c r="CE237" i="31" l="1"/>
  <c r="CD237" i="31"/>
  <c r="OV238" i="31"/>
  <c r="NW237" i="31"/>
  <c r="NX237" i="31" s="1"/>
  <c r="NY237" i="31" s="1"/>
  <c r="OB237" i="31" s="1"/>
  <c r="OT238" i="31" s="1"/>
  <c r="NU237" i="31"/>
  <c r="NV237" i="31" s="1"/>
  <c r="FR237" i="31"/>
  <c r="CX237" i="31"/>
  <c r="FV237" i="31"/>
  <c r="CG237" i="31" l="1"/>
  <c r="CF237" i="31"/>
  <c r="OF237" i="31"/>
  <c r="OS238" i="31" s="1"/>
  <c r="MY237" i="31"/>
  <c r="PA237" i="31" s="1"/>
  <c r="NZ237" i="31"/>
  <c r="OA237" i="31" s="1"/>
  <c r="MV238" i="31" s="1"/>
  <c r="OG238" i="31" s="1"/>
  <c r="CY238" i="31"/>
  <c r="OJ237" i="31" l="1"/>
  <c r="OY238" i="31" s="1"/>
  <c r="CH237" i="31"/>
  <c r="CI237" i="31" s="1"/>
  <c r="OC237" i="31"/>
  <c r="OD238" i="31" s="1"/>
  <c r="OH238" i="31" s="1"/>
  <c r="OK238" i="31" s="1"/>
  <c r="OO238" i="31"/>
  <c r="KT238" i="31" s="1"/>
  <c r="OM238" i="31"/>
  <c r="NF238" i="31"/>
  <c r="MZ238" i="31"/>
  <c r="OZ237" i="31"/>
  <c r="OI237" i="31"/>
  <c r="MW238" i="31" l="1"/>
  <c r="MX238" i="31" s="1"/>
  <c r="NA238" i="31" s="1"/>
  <c r="CK237" i="31"/>
  <c r="CJ237" i="31"/>
  <c r="CO237" i="31" s="1"/>
  <c r="MR238" i="31"/>
  <c r="MS238" i="31" s="1"/>
  <c r="OW237" i="31"/>
  <c r="OX238" i="31"/>
  <c r="KM238" i="31"/>
  <c r="KO239" i="31" s="1"/>
  <c r="KL238" i="31"/>
  <c r="KN239" i="31" s="1"/>
  <c r="KQ238" i="31" s="1"/>
  <c r="NB238" i="31" l="1"/>
  <c r="CL237" i="31"/>
  <c r="CM237" i="31"/>
  <c r="CN237" i="31" s="1"/>
  <c r="KP239" i="31"/>
  <c r="KR238" i="31"/>
  <c r="KS238" i="31" s="1"/>
  <c r="NH239" i="31"/>
  <c r="NI239" i="31" s="1"/>
  <c r="NQ238" i="31"/>
  <c r="MU238" i="31"/>
  <c r="NJ238" i="31"/>
  <c r="NP238" i="31"/>
  <c r="MO238" i="31"/>
  <c r="MT238" i="31"/>
  <c r="PE238" i="31"/>
  <c r="CP237" i="31" l="1"/>
  <c r="NR238" i="31"/>
  <c r="NL238" i="31"/>
  <c r="NK238" i="31"/>
  <c r="NG239" i="31"/>
  <c r="OQ239" i="31"/>
  <c r="OR239" i="31" s="1"/>
  <c r="FP237" i="31" l="1"/>
  <c r="FS237" i="31" s="1"/>
  <c r="FH237" i="31"/>
  <c r="FI237" i="31" s="1"/>
  <c r="KU237" i="31"/>
  <c r="DQ237" i="31"/>
  <c r="DR237" i="31" s="1"/>
  <c r="DS237" i="31" s="1"/>
  <c r="GO237" i="31"/>
  <c r="JR237" i="31"/>
  <c r="JS237" i="31" s="1"/>
  <c r="FZ237" i="31"/>
  <c r="GA237" i="31" s="1"/>
  <c r="FE237" i="31"/>
  <c r="FF237" i="31" s="1"/>
  <c r="GB237" i="31"/>
  <c r="GC237" i="31" s="1"/>
  <c r="CQ237" i="31"/>
  <c r="KX237" i="31"/>
  <c r="GN237" i="31" s="1"/>
  <c r="FX237" i="31"/>
  <c r="FY237" i="31" s="1"/>
  <c r="HO237" i="31"/>
  <c r="FU237" i="31"/>
  <c r="FW237" i="31" s="1"/>
  <c r="NC239" i="31"/>
  <c r="MQ239" i="31"/>
  <c r="AX237" i="31" l="1"/>
  <c r="AY238" i="31" s="1"/>
  <c r="EM237" i="31"/>
  <c r="EW237" i="31" s="1"/>
  <c r="EN237" i="31"/>
  <c r="AZ237" i="31"/>
  <c r="FG238" i="31"/>
  <c r="HW237" i="31"/>
  <c r="HX238" i="31" s="1"/>
  <c r="HP237" i="31"/>
  <c r="IA237" i="31"/>
  <c r="IB237" i="31" s="1"/>
  <c r="IZ237" i="31"/>
  <c r="KV237" i="31"/>
  <c r="GQ237" i="31"/>
  <c r="CR237" i="31"/>
  <c r="CT237" i="31"/>
  <c r="CS237" i="31"/>
  <c r="FJ238" i="31"/>
  <c r="HU237" i="31"/>
  <c r="HV238" i="31" s="1"/>
  <c r="JU237" i="31"/>
  <c r="KC237" i="31"/>
  <c r="JT238" i="31"/>
  <c r="KE237" i="31"/>
  <c r="DY237" i="31"/>
  <c r="HA237" i="31"/>
  <c r="HY237" i="31"/>
  <c r="KW238" i="31" l="1"/>
  <c r="HQ237" i="31"/>
  <c r="HR238" i="31" s="1"/>
  <c r="HS237" i="31"/>
  <c r="JG237" i="31" s="1"/>
  <c r="HT237" i="31"/>
  <c r="BB238" i="31"/>
  <c r="BC238" i="31" s="1"/>
  <c r="BD238" i="31" s="1"/>
  <c r="IU237" i="31"/>
  <c r="DW237" i="31"/>
  <c r="DU238" i="31" s="1"/>
  <c r="ER238" i="31"/>
  <c r="EU238" i="31" s="1"/>
  <c r="EQ237" i="31"/>
  <c r="IV237" i="31" l="1"/>
  <c r="KK237" i="31" s="1"/>
  <c r="IW237" i="31"/>
  <c r="BE238" i="31"/>
  <c r="BF238" i="31" s="1"/>
  <c r="IC237" i="31"/>
  <c r="ID237" i="31" s="1"/>
  <c r="IF237" i="31" s="1"/>
  <c r="KH237" i="31" s="1"/>
  <c r="JB237" i="31"/>
  <c r="IX237" i="31" l="1"/>
  <c r="KB237" i="31"/>
  <c r="BG238" i="31"/>
  <c r="BH238" i="31" s="1"/>
  <c r="KI238" i="31"/>
  <c r="KJ238" i="31" s="1"/>
  <c r="IN237" i="31"/>
  <c r="GM237" i="31"/>
  <c r="DF237" i="31"/>
  <c r="IM237" i="31"/>
  <c r="DB237" i="31"/>
  <c r="DC237" i="31" s="1"/>
  <c r="DD238" i="31" s="1"/>
  <c r="DE239" i="31" s="1"/>
  <c r="BI238" i="31" l="1"/>
  <c r="BK238" i="31" s="1"/>
  <c r="BL238" i="31" s="1"/>
  <c r="DT237" i="31"/>
  <c r="DZ237" i="31" s="1"/>
  <c r="FD237" i="31"/>
  <c r="GU237" i="31"/>
  <c r="GV237" i="31"/>
  <c r="GR237" i="31"/>
  <c r="GT239" i="31"/>
  <c r="BM238" i="31" l="1"/>
  <c r="BO238" i="31" s="1"/>
  <c r="BJ238" i="31"/>
  <c r="GS237" i="31"/>
  <c r="IS237" i="31"/>
  <c r="FL238" i="31"/>
  <c r="FM238" i="31" s="1"/>
  <c r="BN238" i="31" l="1"/>
  <c r="JH237" i="31"/>
  <c r="JI237" i="31" s="1"/>
  <c r="IT237" i="31"/>
  <c r="GY237" i="31"/>
  <c r="GW237" i="31"/>
  <c r="HC237" i="31" s="1"/>
  <c r="FA238" i="31" s="1"/>
  <c r="HB238" i="31" s="1"/>
  <c r="GX237" i="31"/>
  <c r="BP238" i="31"/>
  <c r="BQ238" i="31" s="1"/>
  <c r="EG237" i="31" l="1"/>
  <c r="EH238" i="31" s="1"/>
  <c r="EI238" i="31" s="1"/>
  <c r="FK238" i="31" s="1"/>
  <c r="EY237" i="31"/>
  <c r="HM237" i="31"/>
  <c r="HK238" i="31"/>
  <c r="JK237" i="31"/>
  <c r="JM237" i="31" s="1"/>
  <c r="KD237" i="31" s="1"/>
  <c r="IL238" i="31" s="1"/>
  <c r="BR238" i="31"/>
  <c r="BS238" i="31"/>
  <c r="JN237" i="31" l="1"/>
  <c r="JV237" i="31" s="1"/>
  <c r="JF238" i="31" s="1"/>
  <c r="JW238" i="31" s="1"/>
  <c r="JZ237" i="31"/>
  <c r="KF237" i="31" s="1"/>
  <c r="IQ238" i="31" s="1"/>
  <c r="JE238" i="31" s="1"/>
  <c r="JL237" i="31"/>
  <c r="JJ238" i="31" s="1"/>
  <c r="KA238" i="31"/>
  <c r="HZ238" i="31" s="1"/>
  <c r="EZ237" i="31"/>
  <c r="DG237" i="31"/>
  <c r="DH237" i="31" s="1"/>
  <c r="DI238" i="31" s="1"/>
  <c r="ED237" i="31"/>
  <c r="EB238" i="31" s="1"/>
  <c r="EJ237" i="31"/>
  <c r="EK238" i="31" s="1"/>
  <c r="EE237" i="31"/>
  <c r="EF238" i="31" s="1"/>
  <c r="BT238" i="31"/>
  <c r="BU238" i="31"/>
  <c r="DP238" i="31" l="1"/>
  <c r="JY238" i="31"/>
  <c r="DJ238" i="31"/>
  <c r="DK238" i="31" s="1"/>
  <c r="GZ238" i="31"/>
  <c r="IE238" i="31" s="1"/>
  <c r="JC238" i="31"/>
  <c r="JD238" i="31"/>
  <c r="IR238" i="31"/>
  <c r="KG238" i="31" s="1"/>
  <c r="IY238" i="31"/>
  <c r="JO238" i="31"/>
  <c r="JA238" i="31"/>
  <c r="EV238" i="31"/>
  <c r="EL238" i="31"/>
  <c r="FC238" i="31"/>
  <c r="EP238" i="31"/>
  <c r="ET239" i="31" s="1"/>
  <c r="EO238" i="31"/>
  <c r="ES239" i="31" s="1"/>
  <c r="IO238" i="31"/>
  <c r="IP238" i="31"/>
  <c r="BV238" i="31"/>
  <c r="BW238" i="31" s="1"/>
  <c r="JP238" i="31" l="1"/>
  <c r="JQ238" i="31" s="1"/>
  <c r="JX238" i="31"/>
  <c r="EC238" i="31"/>
  <c r="FQ238" i="31"/>
  <c r="DX238" i="31"/>
  <c r="DM238" i="31"/>
  <c r="BX238" i="31"/>
  <c r="BY238" i="31"/>
  <c r="BZ238" i="31" l="1"/>
  <c r="DL238" i="31"/>
  <c r="L239" i="31"/>
  <c r="FB238" i="31"/>
  <c r="EX238" i="31"/>
  <c r="M238" i="31" s="1"/>
  <c r="CA238" i="31"/>
  <c r="CB238" i="31" l="1"/>
  <c r="CC238" i="31" s="1"/>
  <c r="MJ238" i="31"/>
  <c r="NS238" i="31" s="1"/>
  <c r="MB238" i="31"/>
  <c r="NM238" i="31" s="1"/>
  <c r="NN238" i="31" s="1"/>
  <c r="CE238" i="31" l="1"/>
  <c r="CD238" i="31"/>
  <c r="NT238" i="31"/>
  <c r="OU239" i="31"/>
  <c r="NW238" i="31"/>
  <c r="OV239" i="31"/>
  <c r="NX238" i="31" l="1"/>
  <c r="OF238" i="31" s="1"/>
  <c r="OS239" i="31" s="1"/>
  <c r="FR238" i="31"/>
  <c r="FV238" i="31"/>
  <c r="CX238" i="31"/>
  <c r="NU238" i="31"/>
  <c r="NV238" i="31" s="1"/>
  <c r="CF238" i="31"/>
  <c r="CG238" i="31"/>
  <c r="CH238" i="31" s="1"/>
  <c r="CI238" i="31" s="1"/>
  <c r="CJ238" i="31" s="1"/>
  <c r="CO238" i="31" s="1"/>
  <c r="NZ238" i="31" l="1"/>
  <c r="MY238" i="31"/>
  <c r="CY239" i="31"/>
  <c r="CK238" i="31"/>
  <c r="CL238" i="31" s="1"/>
  <c r="NY238" i="31"/>
  <c r="OI238" i="31" l="1"/>
  <c r="OW238" i="31" s="1"/>
  <c r="CM238" i="31"/>
  <c r="CN238" i="31" s="1"/>
  <c r="CP238" i="31" s="1"/>
  <c r="DQ238" i="31" s="1"/>
  <c r="DR238" i="31" s="1"/>
  <c r="OA238" i="31"/>
  <c r="MV239" i="31" s="1"/>
  <c r="OG239" i="31" s="1"/>
  <c r="OB238" i="31"/>
  <c r="OT239" i="31" s="1"/>
  <c r="OM239" i="31"/>
  <c r="NF239" i="31"/>
  <c r="OO239" i="31"/>
  <c r="MZ239" i="31"/>
  <c r="OZ238" i="31"/>
  <c r="OX239" i="31" l="1"/>
  <c r="MR239" i="31"/>
  <c r="MS239" i="31" s="1"/>
  <c r="MU239" i="31" s="1"/>
  <c r="GB238" i="31"/>
  <c r="GC238" i="31" s="1"/>
  <c r="KT239" i="31"/>
  <c r="KL239" i="31" s="1"/>
  <c r="KN240" i="31" s="1"/>
  <c r="KQ239" i="31" s="1"/>
  <c r="FP238" i="31"/>
  <c r="FS238" i="31" s="1"/>
  <c r="HY238" i="31" s="1"/>
  <c r="OJ238" i="31"/>
  <c r="MW239" i="31" s="1"/>
  <c r="MX239" i="31" s="1"/>
  <c r="NA239" i="31" s="1"/>
  <c r="FE238" i="31"/>
  <c r="FF238" i="31" s="1"/>
  <c r="FG239" i="31" s="1"/>
  <c r="OC238" i="31"/>
  <c r="OD239" i="31" s="1"/>
  <c r="OH239" i="31" s="1"/>
  <c r="OK239" i="31" s="1"/>
  <c r="PA238" i="31"/>
  <c r="FH238" i="31"/>
  <c r="FI238" i="31" s="1"/>
  <c r="FJ239" i="31" s="1"/>
  <c r="KU238" i="31"/>
  <c r="FX238" i="31"/>
  <c r="FY238" i="31" s="1"/>
  <c r="KX238" i="31"/>
  <c r="HO238" i="31"/>
  <c r="HP238" i="31" s="1"/>
  <c r="FZ238" i="31"/>
  <c r="GA238" i="31" s="1"/>
  <c r="FU238" i="31"/>
  <c r="FW238" i="31" s="1"/>
  <c r="GO238" i="31"/>
  <c r="NH240" i="31"/>
  <c r="NI240" i="31" s="1"/>
  <c r="JR238" i="31"/>
  <c r="JS238" i="31" s="1"/>
  <c r="JT239" i="31" s="1"/>
  <c r="CQ238" i="31"/>
  <c r="CR238" i="31" s="1"/>
  <c r="DS238" i="31"/>
  <c r="AX238" i="31" s="1"/>
  <c r="AY239" i="31" s="1"/>
  <c r="NP239" i="31" l="1"/>
  <c r="NJ239" i="31"/>
  <c r="NL239" i="31" s="1"/>
  <c r="NC240" i="31" s="1"/>
  <c r="PE239" i="31"/>
  <c r="NQ239" i="31"/>
  <c r="NR239" i="31" s="1"/>
  <c r="MT239" i="31"/>
  <c r="MO239" i="31"/>
  <c r="KM239" i="31"/>
  <c r="KO240" i="31" s="1"/>
  <c r="KP240" i="31" s="1"/>
  <c r="GN238" i="31"/>
  <c r="GQ238" i="31" s="1"/>
  <c r="DY238" i="31"/>
  <c r="HA238" i="31"/>
  <c r="HW238" i="31"/>
  <c r="HX239" i="31" s="1"/>
  <c r="OY239" i="31"/>
  <c r="HU238" i="31"/>
  <c r="HV239" i="31" s="1"/>
  <c r="NK239" i="31"/>
  <c r="CT238" i="31"/>
  <c r="NB239" i="31"/>
  <c r="CS238" i="31"/>
  <c r="IZ238" i="31"/>
  <c r="IA238" i="31"/>
  <c r="IB238" i="31" s="1"/>
  <c r="JU238" i="31"/>
  <c r="KE238" i="31"/>
  <c r="KC238" i="31"/>
  <c r="HS238" i="31"/>
  <c r="JG238" i="31" s="1"/>
  <c r="HT238" i="31"/>
  <c r="AZ238" i="31"/>
  <c r="EN238" i="31"/>
  <c r="EM238" i="31"/>
  <c r="EW238" i="31" s="1"/>
  <c r="MQ240" i="31" l="1"/>
  <c r="NG240" i="31"/>
  <c r="OQ240" i="31"/>
  <c r="OR240" i="31" s="1"/>
  <c r="KR239" i="31"/>
  <c r="KS239" i="31" s="1"/>
  <c r="KV238" i="31"/>
  <c r="KW239" i="31" s="1"/>
  <c r="HQ238" i="31"/>
  <c r="HR239" i="31" s="1"/>
  <c r="IC238" i="31"/>
  <c r="ID238" i="31" s="1"/>
  <c r="IF238" i="31" s="1"/>
  <c r="KH238" i="31" s="1"/>
  <c r="JB238" i="31"/>
  <c r="BB239" i="31"/>
  <c r="EQ238" i="31"/>
  <c r="DW238" i="31"/>
  <c r="DU239" i="31" s="1"/>
  <c r="ER239" i="31"/>
  <c r="IU238" i="31"/>
  <c r="IV238" i="31" s="1"/>
  <c r="IW238" i="31" l="1"/>
  <c r="KB238" i="31" s="1"/>
  <c r="BC239" i="31"/>
  <c r="EU239" i="31"/>
  <c r="DB238" i="31"/>
  <c r="DC238" i="31" s="1"/>
  <c r="DD239" i="31" s="1"/>
  <c r="DE240" i="31" s="1"/>
  <c r="IM238" i="31"/>
  <c r="GM238" i="31"/>
  <c r="KI239" i="31"/>
  <c r="IN238" i="31"/>
  <c r="DF238" i="31"/>
  <c r="IX238" i="31"/>
  <c r="KK238" i="31"/>
  <c r="DT238" i="31" l="1"/>
  <c r="DZ238" i="31" s="1"/>
  <c r="GT240" i="31"/>
  <c r="KJ239" i="31"/>
  <c r="GR238" i="31"/>
  <c r="GV238" i="31"/>
  <c r="FD238" i="31"/>
  <c r="GU238" i="31"/>
  <c r="BE239" i="31"/>
  <c r="BD239" i="31"/>
  <c r="IS238" i="31" l="1"/>
  <c r="FL239" i="31"/>
  <c r="GS238" i="31"/>
  <c r="BG239" i="31"/>
  <c r="BF239" i="31"/>
  <c r="BI239" i="31" l="1"/>
  <c r="BK239" i="31" s="1"/>
  <c r="BH239" i="31"/>
  <c r="GY238" i="31"/>
  <c r="GX238" i="31"/>
  <c r="GW238" i="31"/>
  <c r="HC238" i="31" s="1"/>
  <c r="FA239" i="31" s="1"/>
  <c r="HB239" i="31" s="1"/>
  <c r="FM239" i="31"/>
  <c r="JH238" i="31"/>
  <c r="JI238" i="31" s="1"/>
  <c r="IT238" i="31"/>
  <c r="JK238" i="31" l="1"/>
  <c r="JZ238" i="31" s="1"/>
  <c r="KF238" i="31" s="1"/>
  <c r="IQ239" i="31" s="1"/>
  <c r="BL239" i="31"/>
  <c r="BM239" i="31"/>
  <c r="EG238" i="31"/>
  <c r="EH239" i="31" s="1"/>
  <c r="EI239" i="31" s="1"/>
  <c r="FK239" i="31" s="1"/>
  <c r="EY238" i="31"/>
  <c r="HM238" i="31"/>
  <c r="HK239" i="31"/>
  <c r="BJ239" i="31"/>
  <c r="BN239" i="31" l="1"/>
  <c r="BO239" i="31"/>
  <c r="JN238" i="31"/>
  <c r="JV238" i="31" s="1"/>
  <c r="JF239" i="31" s="1"/>
  <c r="EJ238" i="31"/>
  <c r="EK239" i="31" s="1"/>
  <c r="EE238" i="31"/>
  <c r="EF239" i="31" s="1"/>
  <c r="ED238" i="31"/>
  <c r="EB239" i="31" s="1"/>
  <c r="IY239" i="31" s="1"/>
  <c r="EZ238" i="31"/>
  <c r="DG238" i="31"/>
  <c r="DH238" i="31" s="1"/>
  <c r="DI239" i="31" s="1"/>
  <c r="JM238" i="31"/>
  <c r="KD238" i="31" s="1"/>
  <c r="IL239" i="31" s="1"/>
  <c r="JE239" i="31" s="1"/>
  <c r="JL238" i="31"/>
  <c r="JJ239" i="31" s="1"/>
  <c r="KA239" i="31"/>
  <c r="JW239" i="31" l="1"/>
  <c r="JY239" i="31"/>
  <c r="JC239" i="31"/>
  <c r="JD239" i="31"/>
  <c r="IO239" i="31"/>
  <c r="JP239" i="31" s="1"/>
  <c r="JQ239" i="31" s="1"/>
  <c r="IP239" i="31"/>
  <c r="BP239" i="31"/>
  <c r="BQ239" i="31" s="1"/>
  <c r="JO239" i="31"/>
  <c r="EO239" i="31"/>
  <c r="ES240" i="31" s="1"/>
  <c r="EP239" i="31"/>
  <c r="ET240" i="31" s="1"/>
  <c r="FC239" i="31"/>
  <c r="EL239" i="31"/>
  <c r="EV239" i="31"/>
  <c r="JA239" i="31"/>
  <c r="HZ239" i="31"/>
  <c r="DP239" i="31"/>
  <c r="IR239" i="31"/>
  <c r="DJ239" i="31"/>
  <c r="DK239" i="31" s="1"/>
  <c r="GZ239" i="31"/>
  <c r="IE239" i="31" s="1"/>
  <c r="BS239" i="31" l="1"/>
  <c r="BU239" i="31" s="1"/>
  <c r="BR239" i="31"/>
  <c r="DX239" i="31"/>
  <c r="FQ239" i="31"/>
  <c r="DM239" i="31"/>
  <c r="EC239" i="31"/>
  <c r="JX239" i="31"/>
  <c r="KG239" i="31"/>
  <c r="BT239" i="31" l="1"/>
  <c r="BV239" i="31"/>
  <c r="BW239" i="31" s="1"/>
  <c r="EX239" i="31"/>
  <c r="M239" i="31" s="1"/>
  <c r="FB239" i="31"/>
  <c r="DL239" i="31"/>
  <c r="L240" i="31"/>
  <c r="BX239" i="31" l="1"/>
  <c r="BY239" i="31"/>
  <c r="BZ239" i="31" s="1"/>
  <c r="MB239" i="31"/>
  <c r="MJ239" i="31"/>
  <c r="NS239" i="31" s="1"/>
  <c r="CA239" i="31" l="1"/>
  <c r="CB239" i="31" s="1"/>
  <c r="CC239" i="31" s="1"/>
  <c r="NM239" i="31"/>
  <c r="NN239" i="31" s="1"/>
  <c r="NT239" i="31"/>
  <c r="OU240" i="31"/>
  <c r="OV240" i="31" l="1"/>
  <c r="NW239" i="31"/>
  <c r="NX239" i="31" s="1"/>
  <c r="CD239" i="31"/>
  <c r="CE239" i="31"/>
  <c r="CF239" i="31" s="1"/>
  <c r="FV239" i="31"/>
  <c r="FR239" i="31"/>
  <c r="CX239" i="31"/>
  <c r="NU239" i="31"/>
  <c r="CG239" i="31" l="1"/>
  <c r="CH239" i="31" s="1"/>
  <c r="CI239" i="31" s="1"/>
  <c r="NV239" i="31"/>
  <c r="MY239" i="31"/>
  <c r="NZ239" i="31"/>
  <c r="CY240" i="31"/>
  <c r="NY239" i="31"/>
  <c r="OF239" i="31"/>
  <c r="OS240" i="31" s="1"/>
  <c r="OI239" i="31" l="1"/>
  <c r="OX240" i="31" s="1"/>
  <c r="OA239" i="31"/>
  <c r="MV240" i="31" s="1"/>
  <c r="OG240" i="31" s="1"/>
  <c r="NF240" i="31"/>
  <c r="OM240" i="31"/>
  <c r="OO240" i="31"/>
  <c r="CJ239" i="31"/>
  <c r="CO239" i="31" s="1"/>
  <c r="CK239" i="31"/>
  <c r="MZ240" i="31"/>
  <c r="OZ239" i="31"/>
  <c r="OB239" i="31"/>
  <c r="OT240" i="31" s="1"/>
  <c r="MR240" i="31" l="1"/>
  <c r="MS240" i="31" s="1"/>
  <c r="OW239" i="31"/>
  <c r="KT240" i="31"/>
  <c r="OJ239" i="31"/>
  <c r="MW240" i="31" s="1"/>
  <c r="OC239" i="31"/>
  <c r="OD240" i="31" s="1"/>
  <c r="OH240" i="31" s="1"/>
  <c r="OK240" i="31" s="1"/>
  <c r="KL240" i="31"/>
  <c r="KN241" i="31" s="1"/>
  <c r="KM240" i="31"/>
  <c r="KO241" i="31" s="1"/>
  <c r="CL239" i="31"/>
  <c r="CM239" i="31"/>
  <c r="CN239" i="31" s="1"/>
  <c r="PA239" i="31"/>
  <c r="OY240" i="31" l="1"/>
  <c r="CP239" i="31"/>
  <c r="JR239" i="31" s="1"/>
  <c r="JS239" i="31" s="1"/>
  <c r="MX240" i="31"/>
  <c r="KP241" i="31"/>
  <c r="KR240" i="31"/>
  <c r="MO240" i="31"/>
  <c r="NH241" i="31"/>
  <c r="NI241" i="31" s="1"/>
  <c r="NQ240" i="31"/>
  <c r="NJ240" i="31"/>
  <c r="MT240" i="31"/>
  <c r="NP240" i="31"/>
  <c r="MU240" i="31"/>
  <c r="PE240" i="31"/>
  <c r="KQ240" i="31"/>
  <c r="FE239" i="31" l="1"/>
  <c r="FF239" i="31" s="1"/>
  <c r="HW239" i="31" s="1"/>
  <c r="HX240" i="31" s="1"/>
  <c r="DQ239" i="31"/>
  <c r="DR239" i="31" s="1"/>
  <c r="DS239" i="31" s="1"/>
  <c r="AX239" i="31" s="1"/>
  <c r="AY240" i="31" s="1"/>
  <c r="HO239" i="31"/>
  <c r="HP239" i="31" s="1"/>
  <c r="GO239" i="31"/>
  <c r="FU239" i="31"/>
  <c r="FW239" i="31" s="1"/>
  <c r="FH239" i="31"/>
  <c r="FI239" i="31" s="1"/>
  <c r="FJ240" i="31" s="1"/>
  <c r="KU239" i="31"/>
  <c r="KX239" i="31"/>
  <c r="GN239" i="31" s="1"/>
  <c r="FP239" i="31"/>
  <c r="FS239" i="31" s="1"/>
  <c r="HA239" i="31" s="1"/>
  <c r="FZ239" i="31"/>
  <c r="GA239" i="31" s="1"/>
  <c r="CQ239" i="31"/>
  <c r="CT239" i="31" s="1"/>
  <c r="GB239" i="31"/>
  <c r="GC239" i="31" s="1"/>
  <c r="FX239" i="31"/>
  <c r="FY239" i="31" s="1"/>
  <c r="KS240" i="31"/>
  <c r="NR240" i="31"/>
  <c r="NB240" i="31"/>
  <c r="NA240" i="31"/>
  <c r="NK240" i="31"/>
  <c r="NL240" i="31"/>
  <c r="NG241" i="31"/>
  <c r="OQ241" i="31"/>
  <c r="JU239" i="31"/>
  <c r="KE239" i="31"/>
  <c r="JT240" i="31"/>
  <c r="KC239" i="31"/>
  <c r="GQ239" i="31" l="1"/>
  <c r="FG240" i="31"/>
  <c r="HU239" i="31"/>
  <c r="HV240" i="31" s="1"/>
  <c r="CR239" i="31"/>
  <c r="IA239" i="31"/>
  <c r="IB239" i="31" s="1"/>
  <c r="IZ239" i="31"/>
  <c r="CS239" i="31"/>
  <c r="HY239" i="31"/>
  <c r="DY239" i="31"/>
  <c r="KV239" i="31"/>
  <c r="EM239" i="31"/>
  <c r="EW239" i="31" s="1"/>
  <c r="AZ239" i="31"/>
  <c r="EN239" i="31"/>
  <c r="HT239" i="31"/>
  <c r="HS239" i="31"/>
  <c r="JG239" i="31" s="1"/>
  <c r="OR241" i="31"/>
  <c r="NC241" i="31"/>
  <c r="MQ241" i="31"/>
  <c r="KW240" i="31" l="1"/>
  <c r="HQ239" i="31"/>
  <c r="HR240" i="31" s="1"/>
  <c r="IC239" i="31"/>
  <c r="ID239" i="31" s="1"/>
  <c r="IF239" i="31" s="1"/>
  <c r="KH239" i="31" s="1"/>
  <c r="JB239" i="31"/>
  <c r="BB240" i="31"/>
  <c r="EQ239" i="31"/>
  <c r="DW239" i="31"/>
  <c r="DU240" i="31" s="1"/>
  <c r="ER240" i="31"/>
  <c r="IU239" i="31"/>
  <c r="IV239" i="31" s="1"/>
  <c r="IW239" i="31" l="1"/>
  <c r="KB239" i="31" s="1"/>
  <c r="BC240" i="31"/>
  <c r="KK239" i="31"/>
  <c r="IX239" i="31"/>
  <c r="EU240" i="31"/>
  <c r="IM239" i="31"/>
  <c r="DB239" i="31"/>
  <c r="DC239" i="31" s="1"/>
  <c r="DD240" i="31" s="1"/>
  <c r="DE241" i="31" s="1"/>
  <c r="GM239" i="31"/>
  <c r="KI240" i="31"/>
  <c r="IN239" i="31"/>
  <c r="DF239" i="31"/>
  <c r="DT239" i="31" l="1"/>
  <c r="DZ239" i="31" s="1"/>
  <c r="GT241" i="31"/>
  <c r="GU239" i="31"/>
  <c r="FD239" i="31"/>
  <c r="GV239" i="31"/>
  <c r="KJ240" i="31"/>
  <c r="GR239" i="31"/>
  <c r="BE240" i="31"/>
  <c r="BD240" i="31"/>
  <c r="IS239" i="31" l="1"/>
  <c r="FL240" i="31"/>
  <c r="BF240" i="31"/>
  <c r="BG240" i="31"/>
  <c r="GS239" i="31"/>
  <c r="GX239" i="31" l="1"/>
  <c r="GW239" i="31"/>
  <c r="HC239" i="31" s="1"/>
  <c r="FA240" i="31" s="1"/>
  <c r="HB240" i="31" s="1"/>
  <c r="GY239" i="31"/>
  <c r="BH240" i="31"/>
  <c r="BI240" i="31"/>
  <c r="BK240" i="31" s="1"/>
  <c r="FM240" i="31"/>
  <c r="JH239" i="31"/>
  <c r="JI239" i="31" s="1"/>
  <c r="IT239" i="31"/>
  <c r="BL240" i="31" l="1"/>
  <c r="BM240" i="31"/>
  <c r="JK239" i="31"/>
  <c r="JZ239" i="31" s="1"/>
  <c r="KF239" i="31" s="1"/>
  <c r="IQ240" i="31" s="1"/>
  <c r="BJ240" i="31"/>
  <c r="EG239" i="31"/>
  <c r="EH240" i="31" s="1"/>
  <c r="EI240" i="31" s="1"/>
  <c r="FK240" i="31" s="1"/>
  <c r="EY239" i="31"/>
  <c r="HM239" i="31"/>
  <c r="HK240" i="31"/>
  <c r="JN239" i="31" l="1"/>
  <c r="JV239" i="31" s="1"/>
  <c r="JF240" i="31" s="1"/>
  <c r="ED239" i="31"/>
  <c r="EB240" i="31" s="1"/>
  <c r="EE239" i="31"/>
  <c r="EF240" i="31" s="1"/>
  <c r="EJ239" i="31"/>
  <c r="EK240" i="31" s="1"/>
  <c r="BN240" i="31"/>
  <c r="BO240" i="31"/>
  <c r="JL239" i="31"/>
  <c r="JJ240" i="31" s="1"/>
  <c r="KA240" i="31"/>
  <c r="EZ239" i="31"/>
  <c r="DG239" i="31"/>
  <c r="DH239" i="31" s="1"/>
  <c r="DI240" i="31" s="1"/>
  <c r="JM239" i="31"/>
  <c r="KD239" i="31" s="1"/>
  <c r="IL240" i="31" s="1"/>
  <c r="JO240" i="31" l="1"/>
  <c r="EL240" i="31"/>
  <c r="EO240" i="31"/>
  <c r="ES241" i="31" s="1"/>
  <c r="EP240" i="31"/>
  <c r="ET241" i="31" s="1"/>
  <c r="FC240" i="31"/>
  <c r="EV240" i="31"/>
  <c r="IO240" i="31"/>
  <c r="IP240" i="31"/>
  <c r="BP240" i="31"/>
  <c r="BQ240" i="31" s="1"/>
  <c r="DP240" i="31"/>
  <c r="JA240" i="31"/>
  <c r="HZ240" i="31"/>
  <c r="JC240" i="31"/>
  <c r="JD240" i="31"/>
  <c r="IY240" i="31"/>
  <c r="JW240" i="31"/>
  <c r="JY240" i="31"/>
  <c r="JE240" i="31"/>
  <c r="JX240" i="31" s="1"/>
  <c r="GZ240" i="31"/>
  <c r="IE240" i="31" s="1"/>
  <c r="DJ240" i="31"/>
  <c r="DK240" i="31" s="1"/>
  <c r="IR240" i="31"/>
  <c r="BR240" i="31" l="1"/>
  <c r="BS240" i="31"/>
  <c r="BU240" i="31" s="1"/>
  <c r="JP240" i="31"/>
  <c r="JQ240" i="31" s="1"/>
  <c r="DM240" i="31"/>
  <c r="DX240" i="31"/>
  <c r="FQ240" i="31"/>
  <c r="KG240" i="31"/>
  <c r="EC240" i="31"/>
  <c r="BT240" i="31" l="1"/>
  <c r="FB240" i="31"/>
  <c r="EX240" i="31"/>
  <c r="M240" i="31" s="1"/>
  <c r="BV240" i="31"/>
  <c r="BW240" i="31" s="1"/>
  <c r="DL240" i="31"/>
  <c r="L241" i="31"/>
  <c r="BX240" i="31" l="1"/>
  <c r="BY240" i="31"/>
  <c r="BZ240" i="31" s="1"/>
  <c r="MJ240" i="31"/>
  <c r="NS240" i="31" s="1"/>
  <c r="MB240" i="31"/>
  <c r="CA240" i="31" l="1"/>
  <c r="CB240" i="31" s="1"/>
  <c r="CC240" i="31" s="1"/>
  <c r="NM240" i="31"/>
  <c r="NN240" i="31" s="1"/>
  <c r="NT240" i="31"/>
  <c r="OU241" i="31"/>
  <c r="CD240" i="31" l="1"/>
  <c r="CE240" i="31"/>
  <c r="CG240" i="31" s="1"/>
  <c r="OV241" i="31"/>
  <c r="NW240" i="31"/>
  <c r="NX240" i="31" s="1"/>
  <c r="FV240" i="31"/>
  <c r="FR240" i="31"/>
  <c r="CX240" i="31"/>
  <c r="NU240" i="31"/>
  <c r="CH240" i="31" l="1"/>
  <c r="CI240" i="31" s="1"/>
  <c r="CF240" i="31"/>
  <c r="MY240" i="31"/>
  <c r="NZ240" i="31"/>
  <c r="CY241" i="31"/>
  <c r="NY240" i="31"/>
  <c r="NV240" i="31"/>
  <c r="OF240" i="31"/>
  <c r="OS241" i="31" s="1"/>
  <c r="OA240" i="31" l="1"/>
  <c r="MV241" i="31" s="1"/>
  <c r="OG241" i="31" s="1"/>
  <c r="OB240" i="31"/>
  <c r="OT241" i="31" s="1"/>
  <c r="OI240" i="31"/>
  <c r="CJ240" i="31"/>
  <c r="CO240" i="31" s="1"/>
  <c r="CK240" i="31"/>
  <c r="OM241" i="31"/>
  <c r="NF241" i="31"/>
  <c r="OO241" i="31"/>
  <c r="MZ241" i="31"/>
  <c r="OZ240" i="31"/>
  <c r="KT241" i="31" l="1"/>
  <c r="KM241" i="31" s="1"/>
  <c r="KO242" i="31" s="1"/>
  <c r="CL240" i="31"/>
  <c r="CM240" i="31"/>
  <c r="CN240" i="31" s="1"/>
  <c r="OC240" i="31"/>
  <c r="OD241" i="31" s="1"/>
  <c r="OH241" i="31" s="1"/>
  <c r="OK241" i="31" s="1"/>
  <c r="OJ240" i="31"/>
  <c r="OW240" i="31"/>
  <c r="OX241" i="31"/>
  <c r="MR241" i="31"/>
  <c r="PA240" i="31"/>
  <c r="KL241" i="31" l="1"/>
  <c r="KN242" i="31" s="1"/>
  <c r="KQ241" i="31" s="1"/>
  <c r="MW241" i="31"/>
  <c r="OY241" i="31"/>
  <c r="KR241" i="31"/>
  <c r="MS241" i="31"/>
  <c r="CP240" i="31"/>
  <c r="KP242" i="31" l="1"/>
  <c r="NJ241" i="31"/>
  <c r="NQ241" i="31"/>
  <c r="MO241" i="31"/>
  <c r="NH242" i="31"/>
  <c r="NI242" i="31" s="1"/>
  <c r="NP241" i="31"/>
  <c r="MU241" i="31"/>
  <c r="MT241" i="31"/>
  <c r="PE241" i="31"/>
  <c r="KS241" i="31"/>
  <c r="FX240" i="31"/>
  <c r="FY240" i="31" s="1"/>
  <c r="FU240" i="31"/>
  <c r="FW240" i="31" s="1"/>
  <c r="FH240" i="31"/>
  <c r="FI240" i="31" s="1"/>
  <c r="FE240" i="31"/>
  <c r="FF240" i="31" s="1"/>
  <c r="FZ240" i="31"/>
  <c r="GA240" i="31" s="1"/>
  <c r="GO240" i="31"/>
  <c r="FP240" i="31"/>
  <c r="FS240" i="31" s="1"/>
  <c r="GB240" i="31"/>
  <c r="GC240" i="31" s="1"/>
  <c r="DQ240" i="31"/>
  <c r="DR240" i="31" s="1"/>
  <c r="JR240" i="31"/>
  <c r="JS240" i="31" s="1"/>
  <c r="HO240" i="31"/>
  <c r="CQ240" i="31"/>
  <c r="KX240" i="31"/>
  <c r="KU240" i="31"/>
  <c r="MX241" i="31"/>
  <c r="GN240" i="31" l="1"/>
  <c r="KV240" i="31" s="1"/>
  <c r="HY240" i="31"/>
  <c r="DY240" i="31"/>
  <c r="HA240" i="31"/>
  <c r="CT240" i="31"/>
  <c r="CS240" i="31"/>
  <c r="CR240" i="31"/>
  <c r="HW240" i="31"/>
  <c r="HX241" i="31" s="1"/>
  <c r="FG241" i="31"/>
  <c r="IA240" i="31"/>
  <c r="IB240" i="31" s="1"/>
  <c r="HP240" i="31"/>
  <c r="IZ240" i="31"/>
  <c r="HU240" i="31"/>
  <c r="HV241" i="31" s="1"/>
  <c r="FJ241" i="31"/>
  <c r="KC240" i="31"/>
  <c r="JU240" i="31"/>
  <c r="KE240" i="31"/>
  <c r="JT241" i="31"/>
  <c r="DS240" i="31"/>
  <c r="AX240" i="31" s="1"/>
  <c r="AY241" i="31" s="1"/>
  <c r="NR241" i="31"/>
  <c r="NA241" i="31"/>
  <c r="NB241" i="31"/>
  <c r="NK241" i="31"/>
  <c r="NL241" i="31"/>
  <c r="NG242" i="31"/>
  <c r="OQ242" i="31"/>
  <c r="GQ240" i="31" l="1"/>
  <c r="KW241" i="31"/>
  <c r="HQ240" i="31"/>
  <c r="HR241" i="31" s="1"/>
  <c r="HT240" i="31"/>
  <c r="HS240" i="31"/>
  <c r="JG240" i="31" s="1"/>
  <c r="NC242" i="31"/>
  <c r="MQ242" i="31"/>
  <c r="OR242" i="31"/>
  <c r="AZ240" i="31"/>
  <c r="EM240" i="31"/>
  <c r="EW240" i="31" s="1"/>
  <c r="EN240" i="31"/>
  <c r="BB241" i="31" l="1"/>
  <c r="EQ240" i="31"/>
  <c r="DW240" i="31"/>
  <c r="DU241" i="31" s="1"/>
  <c r="ER241" i="31"/>
  <c r="IU240" i="31"/>
  <c r="IV240" i="31" s="1"/>
  <c r="IC240" i="31"/>
  <c r="ID240" i="31" s="1"/>
  <c r="IF240" i="31" s="1"/>
  <c r="KH240" i="31" s="1"/>
  <c r="JB240" i="31"/>
  <c r="IW240" i="31" l="1"/>
  <c r="KB240" i="31" s="1"/>
  <c r="EU241" i="31"/>
  <c r="GM240" i="31"/>
  <c r="DB240" i="31"/>
  <c r="DC240" i="31" s="1"/>
  <c r="DD241" i="31" s="1"/>
  <c r="DE242" i="31" s="1"/>
  <c r="IM240" i="31"/>
  <c r="KI241" i="31"/>
  <c r="IN240" i="31"/>
  <c r="DF240" i="31"/>
  <c r="BC241" i="31"/>
  <c r="IX240" i="31"/>
  <c r="KK240" i="31"/>
  <c r="DT240" i="31" l="1"/>
  <c r="DZ240" i="31" s="1"/>
  <c r="GT242" i="31"/>
  <c r="GR240" i="31"/>
  <c r="BE241" i="31"/>
  <c r="BD241" i="31"/>
  <c r="FD240" i="31"/>
  <c r="GV240" i="31"/>
  <c r="GU240" i="31"/>
  <c r="KJ241" i="31"/>
  <c r="BG241" i="31" l="1"/>
  <c r="BF241" i="31"/>
  <c r="IS240" i="31"/>
  <c r="FL241" i="31"/>
  <c r="GS240" i="31"/>
  <c r="GY240" i="31" l="1"/>
  <c r="GX240" i="31"/>
  <c r="GW240" i="31"/>
  <c r="HC240" i="31" s="1"/>
  <c r="FA241" i="31" s="1"/>
  <c r="HB241" i="31" s="1"/>
  <c r="FM241" i="31"/>
  <c r="JH240" i="31"/>
  <c r="JI240" i="31" s="1"/>
  <c r="IT240" i="31"/>
  <c r="BI241" i="31"/>
  <c r="BK241" i="31" s="1"/>
  <c r="BH241" i="31"/>
  <c r="BJ241" i="31" l="1"/>
  <c r="JK240" i="31"/>
  <c r="JZ240" i="31" s="1"/>
  <c r="KF240" i="31" s="1"/>
  <c r="IQ241" i="31" s="1"/>
  <c r="HM240" i="31"/>
  <c r="EY240" i="31"/>
  <c r="EG240" i="31"/>
  <c r="EH241" i="31" s="1"/>
  <c r="EI241" i="31" s="1"/>
  <c r="FK241" i="31" s="1"/>
  <c r="HK241" i="31"/>
  <c r="BL241" i="31"/>
  <c r="BM241" i="31"/>
  <c r="JM240" i="31" l="1"/>
  <c r="KD240" i="31" s="1"/>
  <c r="IL241" i="31" s="1"/>
  <c r="JE241" i="31" s="1"/>
  <c r="EE240" i="31"/>
  <c r="EF241" i="31" s="1"/>
  <c r="EJ240" i="31"/>
  <c r="EK241" i="31" s="1"/>
  <c r="ED240" i="31"/>
  <c r="EB241" i="31" s="1"/>
  <c r="IY241" i="31" s="1"/>
  <c r="BO241" i="31"/>
  <c r="BN241" i="31"/>
  <c r="JN240" i="31"/>
  <c r="JV240" i="31" s="1"/>
  <c r="JF241" i="31" s="1"/>
  <c r="JL240" i="31"/>
  <c r="JJ241" i="31" s="1"/>
  <c r="KA241" i="31"/>
  <c r="EZ240" i="31"/>
  <c r="DG240" i="31"/>
  <c r="DH240" i="31" s="1"/>
  <c r="DI241" i="31" s="1"/>
  <c r="JO241" i="31" l="1"/>
  <c r="IR241" i="31"/>
  <c r="IO241" i="31"/>
  <c r="JP241" i="31" s="1"/>
  <c r="JQ241" i="31" s="1"/>
  <c r="JA241" i="31"/>
  <c r="IP241" i="31"/>
  <c r="DP241" i="31"/>
  <c r="HZ241" i="31"/>
  <c r="EP241" i="31"/>
  <c r="ET242" i="31" s="1"/>
  <c r="FC241" i="31"/>
  <c r="EL241" i="31"/>
  <c r="JX241" i="31" s="1"/>
  <c r="EO241" i="31"/>
  <c r="ES242" i="31" s="1"/>
  <c r="EV241" i="31"/>
  <c r="BP241" i="31"/>
  <c r="BQ241" i="31" s="1"/>
  <c r="JC241" i="31"/>
  <c r="JD241" i="31"/>
  <c r="JW241" i="31"/>
  <c r="JY241" i="31"/>
  <c r="DJ241" i="31"/>
  <c r="DK241" i="31" s="1"/>
  <c r="GZ241" i="31"/>
  <c r="KG241" i="31" s="1"/>
  <c r="BR241" i="31" l="1"/>
  <c r="BS241" i="31"/>
  <c r="IE241" i="31"/>
  <c r="DX241" i="31"/>
  <c r="FQ241" i="31"/>
  <c r="DM241" i="31"/>
  <c r="EC241" i="31"/>
  <c r="DL241" i="31" l="1"/>
  <c r="L242" i="31"/>
  <c r="EX241" i="31"/>
  <c r="M241" i="31" s="1"/>
  <c r="FB241" i="31"/>
  <c r="BT241" i="31"/>
  <c r="BU241" i="31"/>
  <c r="BV241" i="31" l="1"/>
  <c r="BW241" i="31" s="1"/>
  <c r="MJ241" i="31"/>
  <c r="NS241" i="31" s="1"/>
  <c r="MB241" i="31"/>
  <c r="NM241" i="31" l="1"/>
  <c r="NN241" i="31" s="1"/>
  <c r="BX241" i="31"/>
  <c r="BY241" i="31"/>
  <c r="CA241" i="31" s="1"/>
  <c r="NT241" i="31"/>
  <c r="OU242" i="31"/>
  <c r="OV242" i="31" l="1"/>
  <c r="NW241" i="31"/>
  <c r="NX241" i="31" s="1"/>
  <c r="BZ241" i="31"/>
  <c r="CB241" i="31"/>
  <c r="CC241" i="31" s="1"/>
  <c r="CX241" i="31"/>
  <c r="FV241" i="31"/>
  <c r="FR241" i="31"/>
  <c r="NU241" i="31"/>
  <c r="CD241" i="31" l="1"/>
  <c r="CE241" i="31"/>
  <c r="CF241" i="31" s="1"/>
  <c r="NV241" i="31"/>
  <c r="NY241" i="31"/>
  <c r="OF241" i="31"/>
  <c r="OS242" i="31" s="1"/>
  <c r="MY241" i="31"/>
  <c r="NZ241" i="31"/>
  <c r="CY242" i="31"/>
  <c r="CG241" i="31" l="1"/>
  <c r="CH241" i="31" s="1"/>
  <c r="CI241" i="31" s="1"/>
  <c r="OI241" i="31"/>
  <c r="OW241" i="31" s="1"/>
  <c r="OA241" i="31"/>
  <c r="MV242" i="31" s="1"/>
  <c r="OG242" i="31" s="1"/>
  <c r="OM242" i="31"/>
  <c r="NF242" i="31"/>
  <c r="OO242" i="31"/>
  <c r="MZ242" i="31"/>
  <c r="OZ241" i="31"/>
  <c r="OB241" i="31"/>
  <c r="OT242" i="31" s="1"/>
  <c r="KT242" i="31" l="1"/>
  <c r="KL242" i="31" s="1"/>
  <c r="KN243" i="31" s="1"/>
  <c r="OX242" i="31"/>
  <c r="MR242" i="31"/>
  <c r="MS242" i="31" s="1"/>
  <c r="CJ241" i="31"/>
  <c r="CO241" i="31" s="1"/>
  <c r="CK241" i="31"/>
  <c r="OJ241" i="31"/>
  <c r="PA241" i="31"/>
  <c r="OC241" i="31"/>
  <c r="OD242" i="31" s="1"/>
  <c r="OH242" i="31" s="1"/>
  <c r="OK242" i="31" s="1"/>
  <c r="KM242" i="31"/>
  <c r="KO243" i="31" s="1"/>
  <c r="NQ242" i="31" l="1"/>
  <c r="NH243" i="31"/>
  <c r="NI243" i="31" s="1"/>
  <c r="NP242" i="31"/>
  <c r="MU242" i="31"/>
  <c r="NJ242" i="31"/>
  <c r="MT242" i="31"/>
  <c r="MO242" i="31"/>
  <c r="PE242" i="31"/>
  <c r="KQ242" i="31"/>
  <c r="MW242" i="31"/>
  <c r="OY242" i="31"/>
  <c r="CL241" i="31"/>
  <c r="CM241" i="31"/>
  <c r="CN241" i="31" s="1"/>
  <c r="KP243" i="31"/>
  <c r="KR242" i="31"/>
  <c r="CP241" i="31" l="1"/>
  <c r="GB241" i="31" s="1"/>
  <c r="GC241" i="31" s="1"/>
  <c r="KS242" i="31"/>
  <c r="NK242" i="31"/>
  <c r="NL242" i="31"/>
  <c r="NG243" i="31"/>
  <c r="OQ243" i="31"/>
  <c r="MX242" i="31"/>
  <c r="NR242" i="31"/>
  <c r="KU241" i="31" l="1"/>
  <c r="CQ241" i="31"/>
  <c r="CR241" i="31" s="1"/>
  <c r="FU241" i="31"/>
  <c r="FW241" i="31" s="1"/>
  <c r="FZ241" i="31"/>
  <c r="GA241" i="31" s="1"/>
  <c r="GO241" i="31"/>
  <c r="DQ241" i="31"/>
  <c r="DR241" i="31" s="1"/>
  <c r="DS241" i="31" s="1"/>
  <c r="AX241" i="31" s="1"/>
  <c r="AY242" i="31" s="1"/>
  <c r="KX241" i="31"/>
  <c r="GN241" i="31" s="1"/>
  <c r="FP241" i="31"/>
  <c r="FS241" i="31" s="1"/>
  <c r="HY241" i="31" s="1"/>
  <c r="FE241" i="31"/>
  <c r="FF241" i="31" s="1"/>
  <c r="HW241" i="31" s="1"/>
  <c r="HX242" i="31" s="1"/>
  <c r="FH241" i="31"/>
  <c r="FI241" i="31" s="1"/>
  <c r="HU241" i="31" s="1"/>
  <c r="HV242" i="31" s="1"/>
  <c r="HO241" i="31"/>
  <c r="IA241" i="31" s="1"/>
  <c r="IB241" i="31" s="1"/>
  <c r="FX241" i="31"/>
  <c r="FY241" i="31" s="1"/>
  <c r="JR241" i="31"/>
  <c r="JS241" i="31" s="1"/>
  <c r="KE241" i="31" s="1"/>
  <c r="CS241" i="31"/>
  <c r="NB242" i="31"/>
  <c r="NA242" i="31"/>
  <c r="OR243" i="31"/>
  <c r="NC243" i="31"/>
  <c r="MQ243" i="31"/>
  <c r="GQ241" i="31" l="1"/>
  <c r="CT241" i="31"/>
  <c r="FJ242" i="31"/>
  <c r="FG242" i="31"/>
  <c r="IZ241" i="31"/>
  <c r="HP241" i="31"/>
  <c r="HS241" i="31" s="1"/>
  <c r="JG241" i="31" s="1"/>
  <c r="KC241" i="31"/>
  <c r="JT242" i="31"/>
  <c r="JU241" i="31"/>
  <c r="DY241" i="31"/>
  <c r="KV241" i="31"/>
  <c r="HA241" i="31"/>
  <c r="AZ241" i="31"/>
  <c r="EM241" i="31"/>
  <c r="EW241" i="31" s="1"/>
  <c r="EN241" i="31"/>
  <c r="KW242" i="31" l="1"/>
  <c r="HQ241" i="31"/>
  <c r="HR242" i="31" s="1"/>
  <c r="HT241" i="31"/>
  <c r="IC241" i="31" s="1"/>
  <c r="ID241" i="31" s="1"/>
  <c r="IF241" i="31" s="1"/>
  <c r="KH241" i="31" s="1"/>
  <c r="BB242" i="31"/>
  <c r="DW241" i="31"/>
  <c r="DU242" i="31" s="1"/>
  <c r="EQ241" i="31"/>
  <c r="IW241" i="31"/>
  <c r="ER242" i="31"/>
  <c r="IU241" i="31"/>
  <c r="IV241" i="31" s="1"/>
  <c r="JB241" i="31" l="1"/>
  <c r="BC242" i="31"/>
  <c r="GM241" i="31"/>
  <c r="IM241" i="31"/>
  <c r="DB241" i="31"/>
  <c r="DC241" i="31" s="1"/>
  <c r="DD242" i="31" s="1"/>
  <c r="DE243" i="31" s="1"/>
  <c r="KI242" i="31"/>
  <c r="IN241" i="31"/>
  <c r="DF241" i="31"/>
  <c r="KK241" i="31"/>
  <c r="KB241" i="31"/>
  <c r="IX241" i="31"/>
  <c r="EU242" i="31"/>
  <c r="DT241" i="31" l="1"/>
  <c r="DZ241" i="31" s="1"/>
  <c r="GT243" i="31"/>
  <c r="GR241" i="31"/>
  <c r="GV241" i="31"/>
  <c r="FD241" i="31"/>
  <c r="GU241" i="31"/>
  <c r="KJ242" i="31"/>
  <c r="BD242" i="31"/>
  <c r="BE242" i="31"/>
  <c r="GS241" i="31" l="1"/>
  <c r="IS241" i="31"/>
  <c r="FL242" i="31"/>
  <c r="BG242" i="31"/>
  <c r="BF242" i="31"/>
  <c r="JH241" i="31" l="1"/>
  <c r="JI241" i="31" s="1"/>
  <c r="IT241" i="31"/>
  <c r="BI242" i="31"/>
  <c r="BK242" i="31" s="1"/>
  <c r="BH242" i="31"/>
  <c r="FM242" i="31"/>
  <c r="GX241" i="31"/>
  <c r="GY241" i="31"/>
  <c r="GW241" i="31"/>
  <c r="HC241" i="31" s="1"/>
  <c r="FA242" i="31" s="1"/>
  <c r="HB242" i="31" s="1"/>
  <c r="BL242" i="31" l="1"/>
  <c r="BM242" i="31"/>
  <c r="JK241" i="31"/>
  <c r="JZ241" i="31" s="1"/>
  <c r="KF241" i="31" s="1"/>
  <c r="IQ242" i="31" s="1"/>
  <c r="EG241" i="31"/>
  <c r="EH242" i="31" s="1"/>
  <c r="EI242" i="31" s="1"/>
  <c r="FK242" i="31" s="1"/>
  <c r="HM241" i="31"/>
  <c r="EY241" i="31"/>
  <c r="HK242" i="31"/>
  <c r="BJ242" i="31"/>
  <c r="BO242" i="31" l="1"/>
  <c r="BN242" i="31"/>
  <c r="JM241" i="31"/>
  <c r="KD241" i="31" s="1"/>
  <c r="IL242" i="31" s="1"/>
  <c r="EZ241" i="31"/>
  <c r="DG241" i="31"/>
  <c r="DH241" i="31" s="1"/>
  <c r="DI242" i="31" s="1"/>
  <c r="JN241" i="31"/>
  <c r="JV241" i="31" s="1"/>
  <c r="JF242" i="31" s="1"/>
  <c r="JL241" i="31"/>
  <c r="JJ242" i="31" s="1"/>
  <c r="KA242" i="31"/>
  <c r="ED241" i="31"/>
  <c r="EB242" i="31" s="1"/>
  <c r="IY242" i="31" s="1"/>
  <c r="EJ241" i="31"/>
  <c r="EK242" i="31" s="1"/>
  <c r="EE241" i="31"/>
  <c r="EF242" i="31" s="1"/>
  <c r="JO242" i="31" l="1"/>
  <c r="DP242" i="31"/>
  <c r="JC242" i="31"/>
  <c r="JD242" i="31"/>
  <c r="IO242" i="31"/>
  <c r="JP242" i="31" s="1"/>
  <c r="JQ242" i="31" s="1"/>
  <c r="IP242" i="31"/>
  <c r="JE242" i="31"/>
  <c r="BP242" i="31"/>
  <c r="BQ242" i="31" s="1"/>
  <c r="IR242" i="31"/>
  <c r="EO242" i="31"/>
  <c r="ES243" i="31" s="1"/>
  <c r="EP242" i="31"/>
  <c r="ET243" i="31" s="1"/>
  <c r="FC242" i="31"/>
  <c r="EL242" i="31"/>
  <c r="EV242" i="31"/>
  <c r="JA242" i="31"/>
  <c r="GZ242" i="31"/>
  <c r="IE242" i="31" s="1"/>
  <c r="DJ242" i="31"/>
  <c r="DK242" i="31" s="1"/>
  <c r="HZ242" i="31"/>
  <c r="JW242" i="31"/>
  <c r="JY242" i="31"/>
  <c r="BR242" i="31" l="1"/>
  <c r="BS242" i="31"/>
  <c r="KG242" i="31"/>
  <c r="EC242" i="31"/>
  <c r="JX242" i="31"/>
  <c r="FQ242" i="31"/>
  <c r="DM242" i="31"/>
  <c r="DX242" i="31"/>
  <c r="BT242" i="31" l="1"/>
  <c r="BU242" i="31"/>
  <c r="BV242" i="31" s="1"/>
  <c r="BW242" i="31" s="1"/>
  <c r="DL242" i="31"/>
  <c r="L243" i="31"/>
  <c r="EX242" i="31"/>
  <c r="M242" i="31" s="1"/>
  <c r="FB242" i="31"/>
  <c r="BY242" i="31" l="1"/>
  <c r="CA242" i="31" s="1"/>
  <c r="BX242" i="31"/>
  <c r="MJ242" i="31"/>
  <c r="NS242" i="31" s="1"/>
  <c r="MB242" i="31"/>
  <c r="NM242" i="31" s="1"/>
  <c r="NN242" i="31" s="1"/>
  <c r="BZ242" i="31" l="1"/>
  <c r="NT242" i="31"/>
  <c r="OU243" i="31"/>
  <c r="OV243" i="31"/>
  <c r="NW242" i="31"/>
  <c r="CB242" i="31"/>
  <c r="CC242" i="31" s="1"/>
  <c r="CE242" i="31" l="1"/>
  <c r="CD242" i="31"/>
  <c r="NX242" i="31"/>
  <c r="CX242" i="31"/>
  <c r="FV242" i="31"/>
  <c r="FR242" i="31"/>
  <c r="NU242" i="31"/>
  <c r="CF242" i="31" l="1"/>
  <c r="CG242" i="31"/>
  <c r="CH242" i="31" s="1"/>
  <c r="CI242" i="31" s="1"/>
  <c r="NY242" i="31"/>
  <c r="OF242" i="31"/>
  <c r="OS243" i="31" s="1"/>
  <c r="NV242" i="31"/>
  <c r="MY242" i="31"/>
  <c r="NZ242" i="31"/>
  <c r="CY243" i="31"/>
  <c r="CJ242" i="31" l="1"/>
  <c r="CO242" i="31" s="1"/>
  <c r="CK242" i="31"/>
  <c r="MZ243" i="31"/>
  <c r="OZ242" i="31"/>
  <c r="NF243" i="31"/>
  <c r="OM243" i="31"/>
  <c r="OO243" i="31"/>
  <c r="OB242" i="31"/>
  <c r="OT243" i="31" s="1"/>
  <c r="OI242" i="31"/>
  <c r="OA242" i="31"/>
  <c r="MV243" i="31" s="1"/>
  <c r="OG243" i="31" l="1"/>
  <c r="KT243" i="31"/>
  <c r="PA242" i="31"/>
  <c r="OC242" i="31"/>
  <c r="OD243" i="31" s="1"/>
  <c r="OH243" i="31" s="1"/>
  <c r="OW242" i="31"/>
  <c r="OX243" i="31"/>
  <c r="MR243" i="31"/>
  <c r="CL242" i="31"/>
  <c r="CM242" i="31"/>
  <c r="CN242" i="31" s="1"/>
  <c r="OJ242" i="31"/>
  <c r="OK243" i="31" l="1"/>
  <c r="CP242" i="31"/>
  <c r="JR242" i="31" s="1"/>
  <c r="JS242" i="31" s="1"/>
  <c r="MS243" i="31"/>
  <c r="MW243" i="31"/>
  <c r="OY243" i="31"/>
  <c r="KM243" i="31"/>
  <c r="KO244" i="31" s="1"/>
  <c r="KL243" i="31"/>
  <c r="KN244" i="31" s="1"/>
  <c r="FX242" i="31"/>
  <c r="FY242" i="31" s="1"/>
  <c r="KX242" i="31" l="1"/>
  <c r="GO242" i="31"/>
  <c r="FP242" i="31"/>
  <c r="FS242" i="31" s="1"/>
  <c r="FH242" i="31"/>
  <c r="FI242" i="31" s="1"/>
  <c r="HU242" i="31" s="1"/>
  <c r="HV243" i="31" s="1"/>
  <c r="GB242" i="31"/>
  <c r="GC242" i="31" s="1"/>
  <c r="FU242" i="31"/>
  <c r="FW242" i="31" s="1"/>
  <c r="FE242" i="31"/>
  <c r="FF242" i="31" s="1"/>
  <c r="HW242" i="31" s="1"/>
  <c r="HX243" i="31" s="1"/>
  <c r="KU242" i="31"/>
  <c r="FZ242" i="31"/>
  <c r="GA242" i="31" s="1"/>
  <c r="CQ242" i="31"/>
  <c r="CS242" i="31" s="1"/>
  <c r="HO242" i="31"/>
  <c r="IA242" i="31" s="1"/>
  <c r="IB242" i="31" s="1"/>
  <c r="DQ242" i="31"/>
  <c r="DR242" i="31" s="1"/>
  <c r="DS242" i="31" s="1"/>
  <c r="AX242" i="31" s="1"/>
  <c r="AY243" i="31" s="1"/>
  <c r="GN242" i="31"/>
  <c r="GQ242" i="31" s="1"/>
  <c r="MX243" i="31"/>
  <c r="KP244" i="31"/>
  <c r="KR243" i="31"/>
  <c r="JU242" i="31"/>
  <c r="KE242" i="31"/>
  <c r="JT243" i="31"/>
  <c r="KC242" i="31"/>
  <c r="MU243" i="31"/>
  <c r="NQ243" i="31"/>
  <c r="NH244" i="31"/>
  <c r="NI244" i="31" s="1"/>
  <c r="NP243" i="31"/>
  <c r="NJ243" i="31"/>
  <c r="MT243" i="31"/>
  <c r="MO243" i="31"/>
  <c r="PE243" i="31"/>
  <c r="DY242" i="31"/>
  <c r="HA242" i="31"/>
  <c r="HY242" i="31"/>
  <c r="KQ243" i="31"/>
  <c r="FG243" i="31" l="1"/>
  <c r="FJ243" i="31"/>
  <c r="CR242" i="31"/>
  <c r="CT242" i="31"/>
  <c r="IZ242" i="31"/>
  <c r="HP242" i="31"/>
  <c r="HS242" i="31" s="1"/>
  <c r="JG242" i="31" s="1"/>
  <c r="KV242" i="31"/>
  <c r="KW243" i="31" s="1"/>
  <c r="KS243" i="31"/>
  <c r="HQ242" i="31"/>
  <c r="HR243" i="31" s="1"/>
  <c r="NR243" i="31"/>
  <c r="AZ242" i="31"/>
  <c r="EM242" i="31"/>
  <c r="EW242" i="31" s="1"/>
  <c r="EN242" i="31"/>
  <c r="NK243" i="31"/>
  <c r="NL243" i="31"/>
  <c r="NG244" i="31"/>
  <c r="OQ244" i="31"/>
  <c r="NA243" i="31"/>
  <c r="NB243" i="31"/>
  <c r="HT242" i="31" l="1"/>
  <c r="BB243" i="31"/>
  <c r="EQ242" i="31"/>
  <c r="DW242" i="31"/>
  <c r="DU243" i="31" s="1"/>
  <c r="ER243" i="31"/>
  <c r="IU242" i="31"/>
  <c r="IV242" i="31" s="1"/>
  <c r="IC242" i="31"/>
  <c r="ID242" i="31" s="1"/>
  <c r="IF242" i="31" s="1"/>
  <c r="KH242" i="31" s="1"/>
  <c r="JB242" i="31"/>
  <c r="OR244" i="31"/>
  <c r="NC244" i="31"/>
  <c r="MQ244" i="31"/>
  <c r="IW242" i="31" l="1"/>
  <c r="KB242" i="31" s="1"/>
  <c r="EU243" i="31"/>
  <c r="KK242" i="31"/>
  <c r="IX242" i="31"/>
  <c r="IM242" i="31"/>
  <c r="DB242" i="31"/>
  <c r="DC242" i="31" s="1"/>
  <c r="DD243" i="31" s="1"/>
  <c r="DE244" i="31" s="1"/>
  <c r="GM242" i="31"/>
  <c r="KI243" i="31"/>
  <c r="IN242" i="31"/>
  <c r="DF242" i="31"/>
  <c r="BC243" i="31"/>
  <c r="GT244" i="31" l="1"/>
  <c r="GR242" i="31"/>
  <c r="KJ243" i="31"/>
  <c r="DT242" i="31"/>
  <c r="DZ242" i="31" s="1"/>
  <c r="BD243" i="31"/>
  <c r="BE243" i="31"/>
  <c r="FD242" i="31"/>
  <c r="GU242" i="31"/>
  <c r="GV242" i="31"/>
  <c r="BF243" i="31" l="1"/>
  <c r="BG243" i="31"/>
  <c r="GS242" i="31"/>
  <c r="IS242" i="31"/>
  <c r="FL243" i="31"/>
  <c r="JH242" i="31" l="1"/>
  <c r="JI242" i="31" s="1"/>
  <c r="IT242" i="31"/>
  <c r="BH243" i="31"/>
  <c r="BI243" i="31"/>
  <c r="BK243" i="31" s="1"/>
  <c r="FM243" i="31"/>
  <c r="GW242" i="31"/>
  <c r="HC242" i="31" s="1"/>
  <c r="FA243" i="31" s="1"/>
  <c r="HB243" i="31" s="1"/>
  <c r="GY242" i="31"/>
  <c r="GX242" i="31"/>
  <c r="BJ243" i="31" l="1"/>
  <c r="EG242" i="31"/>
  <c r="EH243" i="31" s="1"/>
  <c r="EI243" i="31" s="1"/>
  <c r="FK243" i="31" s="1"/>
  <c r="HM242" i="31"/>
  <c r="EY242" i="31"/>
  <c r="HK243" i="31"/>
  <c r="BL243" i="31"/>
  <c r="BM243" i="31"/>
  <c r="JK242" i="31"/>
  <c r="JN242" i="31" s="1"/>
  <c r="JV242" i="31" s="1"/>
  <c r="JF243" i="31" s="1"/>
  <c r="JM242" i="31" l="1"/>
  <c r="KD242" i="31" s="1"/>
  <c r="IL243" i="31" s="1"/>
  <c r="JY243" i="31"/>
  <c r="JW243" i="31"/>
  <c r="JL242" i="31"/>
  <c r="JJ243" i="31" s="1"/>
  <c r="KA243" i="31"/>
  <c r="EJ242" i="31"/>
  <c r="EK243" i="31" s="1"/>
  <c r="ED242" i="31"/>
  <c r="EB243" i="31" s="1"/>
  <c r="EE242" i="31"/>
  <c r="EF243" i="31" s="1"/>
  <c r="JZ242" i="31"/>
  <c r="KF242" i="31" s="1"/>
  <c r="IQ243" i="31" s="1"/>
  <c r="EZ242" i="31"/>
  <c r="DG242" i="31"/>
  <c r="DH242" i="31" s="1"/>
  <c r="DI243" i="31" s="1"/>
  <c r="BO243" i="31"/>
  <c r="BN243" i="31"/>
  <c r="DP243" i="31" l="1"/>
  <c r="HZ243" i="31"/>
  <c r="DJ243" i="31"/>
  <c r="DK243" i="31" s="1"/>
  <c r="GZ243" i="31"/>
  <c r="IE243" i="31" s="1"/>
  <c r="BP243" i="31"/>
  <c r="BQ243" i="31" s="1"/>
  <c r="JO243" i="31"/>
  <c r="IY243" i="31"/>
  <c r="JE243" i="31"/>
  <c r="IR243" i="31"/>
  <c r="JA243" i="31"/>
  <c r="EP243" i="31"/>
  <c r="ET244" i="31" s="1"/>
  <c r="EL243" i="31"/>
  <c r="FC243" i="31"/>
  <c r="EO243" i="31"/>
  <c r="ES244" i="31" s="1"/>
  <c r="EV243" i="31"/>
  <c r="IP243" i="31"/>
  <c r="JC243" i="31"/>
  <c r="JD243" i="31"/>
  <c r="IO243" i="31"/>
  <c r="BS243" i="31" l="1"/>
  <c r="BR243" i="31"/>
  <c r="JX243" i="31"/>
  <c r="JP243" i="31"/>
  <c r="JQ243" i="31" s="1"/>
  <c r="DX243" i="31"/>
  <c r="DM243" i="31"/>
  <c r="FQ243" i="31"/>
  <c r="EC243" i="31"/>
  <c r="KG243" i="31"/>
  <c r="BT243" i="31" l="1"/>
  <c r="BU243" i="31"/>
  <c r="BV243" i="31" s="1"/>
  <c r="BW243" i="31" s="1"/>
  <c r="EX243" i="31"/>
  <c r="M243" i="31" s="1"/>
  <c r="FB243" i="31"/>
  <c r="DL243" i="31"/>
  <c r="L244" i="31"/>
  <c r="BX243" i="31" l="1"/>
  <c r="BY243" i="31"/>
  <c r="MJ243" i="31"/>
  <c r="NS243" i="31" s="1"/>
  <c r="MB243" i="31"/>
  <c r="BZ243" i="31" l="1"/>
  <c r="NM243" i="31"/>
  <c r="NN243" i="31" s="1"/>
  <c r="CA243" i="31"/>
  <c r="NT243" i="31"/>
  <c r="OU244" i="31"/>
  <c r="CB243" i="31" l="1"/>
  <c r="CC243" i="31" s="1"/>
  <c r="OV244" i="31"/>
  <c r="NW243" i="31"/>
  <c r="NX243" i="31" s="1"/>
  <c r="FR243" i="31"/>
  <c r="CX243" i="31"/>
  <c r="FV243" i="31"/>
  <c r="NU243" i="31"/>
  <c r="CD243" i="31" l="1"/>
  <c r="CE243" i="31"/>
  <c r="CF243" i="31" s="1"/>
  <c r="NY243" i="31"/>
  <c r="NZ243" i="31"/>
  <c r="MY243" i="31"/>
  <c r="CY244" i="31"/>
  <c r="NV243" i="31"/>
  <c r="OF243" i="31"/>
  <c r="OS244" i="31" s="1"/>
  <c r="CG243" i="31" l="1"/>
  <c r="CH243" i="31" s="1"/>
  <c r="MZ244" i="31"/>
  <c r="OZ243" i="31"/>
  <c r="OB243" i="31"/>
  <c r="OT244" i="31" s="1"/>
  <c r="OI243" i="31"/>
  <c r="OA243" i="31"/>
  <c r="MV244" i="31" s="1"/>
  <c r="NF244" i="31"/>
  <c r="OO244" i="31"/>
  <c r="OM244" i="31"/>
  <c r="CI243" i="31" l="1"/>
  <c r="OG244" i="31"/>
  <c r="KT244" i="31"/>
  <c r="OJ243" i="31"/>
  <c r="OX244" i="31"/>
  <c r="MR244" i="31"/>
  <c r="OW243" i="31"/>
  <c r="PA243" i="31"/>
  <c r="OC243" i="31"/>
  <c r="OD244" i="31" s="1"/>
  <c r="OH244" i="31" s="1"/>
  <c r="OK244" i="31" l="1"/>
  <c r="CK243" i="31"/>
  <c r="CJ243" i="31"/>
  <c r="CO243" i="31" s="1"/>
  <c r="OY244" i="31"/>
  <c r="MW244" i="31"/>
  <c r="KL244" i="31"/>
  <c r="KN245" i="31" s="1"/>
  <c r="KM244" i="31"/>
  <c r="KO245" i="31" s="1"/>
  <c r="MS244" i="31"/>
  <c r="CM243" i="31" l="1"/>
  <c r="CN243" i="31" s="1"/>
  <c r="CL243" i="31"/>
  <c r="KQ244" i="31"/>
  <c r="MX244" i="31"/>
  <c r="KP245" i="31"/>
  <c r="KR244" i="31"/>
  <c r="NH245" i="31"/>
  <c r="NI245" i="31" s="1"/>
  <c r="MT244" i="31"/>
  <c r="MO244" i="31"/>
  <c r="NJ244" i="31"/>
  <c r="MU244" i="31"/>
  <c r="NP244" i="31"/>
  <c r="NQ244" i="31"/>
  <c r="PE244" i="31"/>
  <c r="CP243" i="31" l="1"/>
  <c r="FU243" i="31" s="1"/>
  <c r="FW243" i="31" s="1"/>
  <c r="NR244" i="31"/>
  <c r="NA244" i="31"/>
  <c r="NB244" i="31"/>
  <c r="NL244" i="31"/>
  <c r="NK244" i="31"/>
  <c r="NG245" i="31"/>
  <c r="OQ245" i="31"/>
  <c r="KS244" i="31"/>
  <c r="GB243" i="31" l="1"/>
  <c r="GC243" i="31" s="1"/>
  <c r="KU243" i="31"/>
  <c r="CQ243" i="31"/>
  <c r="CS243" i="31" s="1"/>
  <c r="FP243" i="31"/>
  <c r="FS243" i="31" s="1"/>
  <c r="DY243" i="31" s="1"/>
  <c r="KX243" i="31"/>
  <c r="GN243" i="31" s="1"/>
  <c r="KV243" i="31" s="1"/>
  <c r="FH243" i="31"/>
  <c r="FI243" i="31" s="1"/>
  <c r="FJ244" i="31" s="1"/>
  <c r="HO243" i="31"/>
  <c r="HP243" i="31" s="1"/>
  <c r="JR243" i="31"/>
  <c r="JS243" i="31" s="1"/>
  <c r="JT244" i="31" s="1"/>
  <c r="FZ243" i="31"/>
  <c r="GA243" i="31" s="1"/>
  <c r="FX243" i="31"/>
  <c r="FY243" i="31" s="1"/>
  <c r="DQ243" i="31"/>
  <c r="DR243" i="31" s="1"/>
  <c r="DS243" i="31" s="1"/>
  <c r="AX243" i="31" s="1"/>
  <c r="AY244" i="31" s="1"/>
  <c r="FE243" i="31"/>
  <c r="FF243" i="31" s="1"/>
  <c r="HW243" i="31" s="1"/>
  <c r="HX244" i="31" s="1"/>
  <c r="GO243" i="31"/>
  <c r="EN243" i="31"/>
  <c r="BB244" i="31" s="1"/>
  <c r="OR245" i="31"/>
  <c r="NC245" i="31"/>
  <c r="MQ245" i="31"/>
  <c r="KW244" i="31" l="1"/>
  <c r="HQ243" i="31"/>
  <c r="HR244" i="31" s="1"/>
  <c r="CR243" i="31"/>
  <c r="EM243" i="31"/>
  <c r="EW243" i="31" s="1"/>
  <c r="AZ243" i="31"/>
  <c r="FG244" i="31"/>
  <c r="HU243" i="31"/>
  <c r="HV244" i="31" s="1"/>
  <c r="GQ243" i="31"/>
  <c r="HY243" i="31"/>
  <c r="HA243" i="31"/>
  <c r="CT243" i="31"/>
  <c r="IA243" i="31"/>
  <c r="IB243" i="31" s="1"/>
  <c r="KE243" i="31"/>
  <c r="JU243" i="31"/>
  <c r="KC243" i="31"/>
  <c r="IZ243" i="31"/>
  <c r="IU243" i="31"/>
  <c r="IV243" i="31" s="1"/>
  <c r="IX243" i="31" s="1"/>
  <c r="ER244" i="31"/>
  <c r="EU244" i="31" s="1"/>
  <c r="DW243" i="31"/>
  <c r="DU244" i="31" s="1"/>
  <c r="EQ243" i="31"/>
  <c r="HS243" i="31"/>
  <c r="JG243" i="31" s="1"/>
  <c r="HT243" i="31"/>
  <c r="IW243" i="31"/>
  <c r="BC244" i="31"/>
  <c r="KK243" i="31" l="1"/>
  <c r="KB243" i="31"/>
  <c r="IC243" i="31"/>
  <c r="ID243" i="31" s="1"/>
  <c r="IF243" i="31" s="1"/>
  <c r="KH243" i="31" s="1"/>
  <c r="JB243" i="31"/>
  <c r="BD244" i="31"/>
  <c r="BE244" i="31"/>
  <c r="KI244" i="31" l="1"/>
  <c r="KJ244" i="31" s="1"/>
  <c r="IN243" i="31"/>
  <c r="DF243" i="31"/>
  <c r="GM243" i="31"/>
  <c r="IM243" i="31"/>
  <c r="DB243" i="31"/>
  <c r="DC243" i="31" s="1"/>
  <c r="DD244" i="31" s="1"/>
  <c r="DE245" i="31" s="1"/>
  <c r="BF244" i="31"/>
  <c r="BG244" i="31"/>
  <c r="DT243" i="31" l="1"/>
  <c r="DZ243" i="31" s="1"/>
  <c r="GT245" i="31"/>
  <c r="FD243" i="31"/>
  <c r="GV243" i="31"/>
  <c r="GU243" i="31"/>
  <c r="GR243" i="31"/>
  <c r="BI244" i="31"/>
  <c r="BK244" i="31" s="1"/>
  <c r="BH244" i="31"/>
  <c r="BJ244" i="31" l="1"/>
  <c r="GS243" i="31"/>
  <c r="FL244" i="31"/>
  <c r="FM244" i="31" s="1"/>
  <c r="IS243" i="31"/>
  <c r="BL244" i="31"/>
  <c r="BM244" i="31"/>
  <c r="JH243" i="31" l="1"/>
  <c r="JI243" i="31" s="1"/>
  <c r="JK243" i="31" s="1"/>
  <c r="JZ243" i="31" s="1"/>
  <c r="KF243" i="31" s="1"/>
  <c r="IQ244" i="31" s="1"/>
  <c r="IT243" i="31"/>
  <c r="GY243" i="31"/>
  <c r="GX243" i="31"/>
  <c r="GW243" i="31"/>
  <c r="HC243" i="31" s="1"/>
  <c r="FA244" i="31" s="1"/>
  <c r="HB244" i="31" s="1"/>
  <c r="BN244" i="31"/>
  <c r="BO244" i="31"/>
  <c r="KA244" i="31" l="1"/>
  <c r="HZ244" i="31" s="1"/>
  <c r="JM243" i="31"/>
  <c r="KD243" i="31" s="1"/>
  <c r="IL244" i="31" s="1"/>
  <c r="IR244" i="31" s="1"/>
  <c r="JN243" i="31"/>
  <c r="JV243" i="31" s="1"/>
  <c r="JF244" i="31" s="1"/>
  <c r="JY244" i="31" s="1"/>
  <c r="JL243" i="31"/>
  <c r="JJ244" i="31" s="1"/>
  <c r="EG243" i="31"/>
  <c r="EH244" i="31" s="1"/>
  <c r="EI244" i="31" s="1"/>
  <c r="FK244" i="31" s="1"/>
  <c r="EY243" i="31"/>
  <c r="HK244" i="31"/>
  <c r="HM243" i="31"/>
  <c r="BP244" i="31"/>
  <c r="BQ244" i="31" s="1"/>
  <c r="JE244" i="31" l="1"/>
  <c r="JO244" i="31"/>
  <c r="JW244" i="31"/>
  <c r="EE243" i="31"/>
  <c r="EF244" i="31" s="1"/>
  <c r="EJ243" i="31"/>
  <c r="EK244" i="31" s="1"/>
  <c r="ED243" i="31"/>
  <c r="EB244" i="31" s="1"/>
  <c r="DG243" i="31"/>
  <c r="DH243" i="31" s="1"/>
  <c r="DI244" i="31" s="1"/>
  <c r="EZ243" i="31"/>
  <c r="BR244" i="31"/>
  <c r="BS244" i="31"/>
  <c r="DP244" i="31" l="1"/>
  <c r="EL244" i="31"/>
  <c r="EO244" i="31"/>
  <c r="ES245" i="31" s="1"/>
  <c r="IY244" i="31"/>
  <c r="FC244" i="31"/>
  <c r="EP244" i="31"/>
  <c r="ET245" i="31" s="1"/>
  <c r="JA244" i="31"/>
  <c r="EV244" i="31"/>
  <c r="JC244" i="31"/>
  <c r="JD244" i="31"/>
  <c r="IO244" i="31"/>
  <c r="GZ244" i="31"/>
  <c r="IP244" i="31"/>
  <c r="DJ244" i="31"/>
  <c r="DK244" i="31" s="1"/>
  <c r="BT244" i="31"/>
  <c r="BU244" i="31"/>
  <c r="FQ244" i="31" l="1"/>
  <c r="DM244" i="31"/>
  <c r="DX244" i="31"/>
  <c r="IE244" i="31"/>
  <c r="KG244" i="31"/>
  <c r="JP244" i="31"/>
  <c r="JQ244" i="31" s="1"/>
  <c r="EC244" i="31"/>
  <c r="JX244" i="31"/>
  <c r="BV244" i="31"/>
  <c r="BW244" i="31" s="1"/>
  <c r="EX244" i="31" l="1"/>
  <c r="M244" i="31" s="1"/>
  <c r="FB244" i="31"/>
  <c r="DL244" i="31"/>
  <c r="L245" i="31"/>
  <c r="BX244" i="31"/>
  <c r="BY244" i="31"/>
  <c r="BZ244" i="31" l="1"/>
  <c r="MB244" i="31"/>
  <c r="NM244" i="31" s="1"/>
  <c r="NN244" i="31" s="1"/>
  <c r="OV245" i="31" s="1"/>
  <c r="MJ244" i="31"/>
  <c r="NS244" i="31" s="1"/>
  <c r="CA244" i="31"/>
  <c r="NW244" i="31" l="1"/>
  <c r="NX244" i="31" s="1"/>
  <c r="NY244" i="31" s="1"/>
  <c r="OB244" i="31" s="1"/>
  <c r="OT245" i="31" s="1"/>
  <c r="OU245" i="31"/>
  <c r="NT244" i="31"/>
  <c r="CB244" i="31"/>
  <c r="CC244" i="31" s="1"/>
  <c r="CD244" i="31" l="1"/>
  <c r="CE244" i="31"/>
  <c r="CF244" i="31" s="1"/>
  <c r="OF244" i="31"/>
  <c r="OS245" i="31" s="1"/>
  <c r="CX244" i="31"/>
  <c r="NU244" i="31"/>
  <c r="NV244" i="31" s="1"/>
  <c r="FV244" i="31"/>
  <c r="FR244" i="31"/>
  <c r="CG244" i="31" l="1"/>
  <c r="CH244" i="31" s="1"/>
  <c r="CI244" i="31" s="1"/>
  <c r="CJ244" i="31" s="1"/>
  <c r="CO244" i="31" s="1"/>
  <c r="CY245" i="31"/>
  <c r="MY244" i="31"/>
  <c r="NZ244" i="31"/>
  <c r="CK244" i="31" l="1"/>
  <c r="CL244" i="31" s="1"/>
  <c r="OA244" i="31"/>
  <c r="MV245" i="31" s="1"/>
  <c r="OG245" i="31" s="1"/>
  <c r="OC244" i="31"/>
  <c r="OD245" i="31" s="1"/>
  <c r="OH245" i="31" s="1"/>
  <c r="PA244" i="31"/>
  <c r="MZ245" i="31"/>
  <c r="OZ244" i="31"/>
  <c r="OJ244" i="31"/>
  <c r="OI244" i="31"/>
  <c r="OM245" i="31"/>
  <c r="NF245" i="31"/>
  <c r="OO245" i="31"/>
  <c r="CM244" i="31" l="1"/>
  <c r="CN244" i="31" s="1"/>
  <c r="CP244" i="31" s="1"/>
  <c r="KT245" i="31"/>
  <c r="KM245" i="31" s="1"/>
  <c r="KO246" i="31" s="1"/>
  <c r="MR245" i="31"/>
  <c r="MS245" i="31" s="1"/>
  <c r="MO245" i="31" s="1"/>
  <c r="OX245" i="31"/>
  <c r="OW244" i="31"/>
  <c r="OY245" i="31"/>
  <c r="MW245" i="31"/>
  <c r="MX245" i="31" s="1"/>
  <c r="NB245" i="31" s="1"/>
  <c r="KL245" i="31"/>
  <c r="KN246" i="31" s="1"/>
  <c r="KQ245" i="31" s="1"/>
  <c r="OK245" i="31"/>
  <c r="MT245" i="31" l="1"/>
  <c r="PE245" i="31"/>
  <c r="NH246" i="31"/>
  <c r="NI246" i="31" s="1"/>
  <c r="NQ245" i="31"/>
  <c r="MU245" i="31"/>
  <c r="NP245" i="31"/>
  <c r="NR245" i="31" s="1"/>
  <c r="NJ245" i="31"/>
  <c r="NG246" i="31" s="1"/>
  <c r="KR245" i="31"/>
  <c r="KS245" i="31" s="1"/>
  <c r="KP246" i="31"/>
  <c r="NA245" i="31"/>
  <c r="FP244" i="31"/>
  <c r="FS244" i="31" s="1"/>
  <c r="CQ244" i="31"/>
  <c r="GO244" i="31"/>
  <c r="HO244" i="31"/>
  <c r="FE244" i="31"/>
  <c r="FF244" i="31" s="1"/>
  <c r="FU244" i="31"/>
  <c r="FW244" i="31" s="1"/>
  <c r="JR244" i="31"/>
  <c r="JS244" i="31" s="1"/>
  <c r="FH244" i="31"/>
  <c r="FI244" i="31" s="1"/>
  <c r="FZ244" i="31"/>
  <c r="GA244" i="31" s="1"/>
  <c r="DQ244" i="31"/>
  <c r="DR244" i="31" s="1"/>
  <c r="FX244" i="31"/>
  <c r="FY244" i="31" s="1"/>
  <c r="GB244" i="31"/>
  <c r="GC244" i="31" s="1"/>
  <c r="KX244" i="31"/>
  <c r="KU244" i="31"/>
  <c r="GN244" i="31" l="1"/>
  <c r="KV244" i="31" s="1"/>
  <c r="NK245" i="31"/>
  <c r="NL245" i="31"/>
  <c r="NC246" i="31" s="1"/>
  <c r="OQ246" i="31"/>
  <c r="OR246" i="31" s="1"/>
  <c r="IA244" i="31"/>
  <c r="IB244" i="31" s="1"/>
  <c r="HP244" i="31"/>
  <c r="IZ244" i="31"/>
  <c r="DS244" i="31"/>
  <c r="AX244" i="31" s="1"/>
  <c r="AY245" i="31" s="1"/>
  <c r="HU244" i="31"/>
  <c r="HV245" i="31" s="1"/>
  <c r="FJ245" i="31"/>
  <c r="KE244" i="31"/>
  <c r="JU244" i="31"/>
  <c r="JT245" i="31"/>
  <c r="KC244" i="31"/>
  <c r="DY244" i="31"/>
  <c r="HY244" i="31"/>
  <c r="HA244" i="31"/>
  <c r="CR244" i="31"/>
  <c r="CT244" i="31"/>
  <c r="CS244" i="31"/>
  <c r="HW244" i="31"/>
  <c r="HX245" i="31" s="1"/>
  <c r="FG245" i="31"/>
  <c r="GQ244" i="31" l="1"/>
  <c r="KW245" i="31"/>
  <c r="HQ244" i="31"/>
  <c r="HR245" i="31" s="1"/>
  <c r="MQ246" i="31"/>
  <c r="EN244" i="31"/>
  <c r="AZ244" i="31"/>
  <c r="EM244" i="31"/>
  <c r="EW244" i="31" s="1"/>
  <c r="HT244" i="31"/>
  <c r="HS244" i="31"/>
  <c r="JG244" i="31" s="1"/>
  <c r="BB245" i="31" l="1"/>
  <c r="EQ244" i="31"/>
  <c r="DW244" i="31"/>
  <c r="DU245" i="31" s="1"/>
  <c r="ER245" i="31"/>
  <c r="IU244" i="31"/>
  <c r="IV244" i="31" s="1"/>
  <c r="IC244" i="31"/>
  <c r="ID244" i="31" s="1"/>
  <c r="IF244" i="31" s="1"/>
  <c r="KH244" i="31" s="1"/>
  <c r="JB244" i="31"/>
  <c r="IW244" i="31" l="1"/>
  <c r="KB244" i="31" s="1"/>
  <c r="EU245" i="31"/>
  <c r="IX244" i="31"/>
  <c r="KK244" i="31"/>
  <c r="DB244" i="31"/>
  <c r="DC244" i="31" s="1"/>
  <c r="DD245" i="31" s="1"/>
  <c r="DE246" i="31" s="1"/>
  <c r="GM244" i="31"/>
  <c r="IM244" i="31"/>
  <c r="KI245" i="31"/>
  <c r="IN244" i="31"/>
  <c r="DF244" i="31"/>
  <c r="BC245" i="31"/>
  <c r="GT246" i="31" l="1"/>
  <c r="DT244" i="31"/>
  <c r="DZ244" i="31" s="1"/>
  <c r="GU244" i="31"/>
  <c r="FD244" i="31"/>
  <c r="GV244" i="31"/>
  <c r="BD245" i="31"/>
  <c r="BE245" i="31"/>
  <c r="GR244" i="31"/>
  <c r="KJ245" i="31"/>
  <c r="GS244" i="31" l="1"/>
  <c r="BF245" i="31"/>
  <c r="BG245" i="31"/>
  <c r="IS244" i="31"/>
  <c r="FL245" i="31"/>
  <c r="BI245" i="31" l="1"/>
  <c r="BK245" i="31" s="1"/>
  <c r="BH245" i="31"/>
  <c r="FM245" i="31"/>
  <c r="JH244" i="31"/>
  <c r="JI244" i="31" s="1"/>
  <c r="IT244" i="31"/>
  <c r="GY244" i="31"/>
  <c r="GX244" i="31"/>
  <c r="GW244" i="31"/>
  <c r="HC244" i="31" s="1"/>
  <c r="FA245" i="31" s="1"/>
  <c r="HB245" i="31" s="1"/>
  <c r="BJ245" i="31" l="1"/>
  <c r="EG244" i="31"/>
  <c r="EH245" i="31" s="1"/>
  <c r="EI245" i="31" s="1"/>
  <c r="FK245" i="31" s="1"/>
  <c r="EY244" i="31"/>
  <c r="HM244" i="31"/>
  <c r="HK245" i="31"/>
  <c r="JK244" i="31"/>
  <c r="BL245" i="31"/>
  <c r="BM245" i="31"/>
  <c r="JL244" i="31" l="1"/>
  <c r="JJ245" i="31" s="1"/>
  <c r="KA245" i="31"/>
  <c r="JM244" i="31"/>
  <c r="KD244" i="31" s="1"/>
  <c r="IL245" i="31" s="1"/>
  <c r="JN244" i="31"/>
  <c r="JV244" i="31" s="1"/>
  <c r="JF245" i="31" s="1"/>
  <c r="EZ244" i="31"/>
  <c r="DG244" i="31"/>
  <c r="DH244" i="31" s="1"/>
  <c r="DI245" i="31" s="1"/>
  <c r="BN245" i="31"/>
  <c r="BO245" i="31"/>
  <c r="EJ244" i="31"/>
  <c r="EK245" i="31" s="1"/>
  <c r="EE244" i="31"/>
  <c r="EF245" i="31" s="1"/>
  <c r="ED244" i="31"/>
  <c r="EB245" i="31" s="1"/>
  <c r="JZ244" i="31"/>
  <c r="KF244" i="31" s="1"/>
  <c r="IQ245" i="31" s="1"/>
  <c r="JC245" i="31" l="1"/>
  <c r="JD245" i="31"/>
  <c r="DJ245" i="31"/>
  <c r="DK245" i="31" s="1"/>
  <c r="GZ245" i="31"/>
  <c r="IE245" i="31" s="1"/>
  <c r="JW245" i="31"/>
  <c r="JY245" i="31"/>
  <c r="IP245" i="31"/>
  <c r="IO245" i="31"/>
  <c r="HZ245" i="31"/>
  <c r="IY245" i="31"/>
  <c r="JE245" i="31"/>
  <c r="JO245" i="31"/>
  <c r="IR245" i="31"/>
  <c r="JA245" i="31"/>
  <c r="DP245" i="31"/>
  <c r="FC245" i="31"/>
  <c r="EP245" i="31"/>
  <c r="ET246" i="31" s="1"/>
  <c r="EO245" i="31"/>
  <c r="ES246" i="31" s="1"/>
  <c r="EL245" i="31"/>
  <c r="EV245" i="31"/>
  <c r="BP245" i="31"/>
  <c r="BQ245" i="31" s="1"/>
  <c r="BR245" i="31" l="1"/>
  <c r="BS245" i="31"/>
  <c r="KG245" i="31"/>
  <c r="JP245" i="31"/>
  <c r="JQ245" i="31" s="1"/>
  <c r="FQ245" i="31"/>
  <c r="DM245" i="31"/>
  <c r="DX245" i="31"/>
  <c r="JX245" i="31"/>
  <c r="EC245" i="31"/>
  <c r="BT245" i="31" l="1"/>
  <c r="BU245" i="31"/>
  <c r="BV245" i="31" s="1"/>
  <c r="EX245" i="31"/>
  <c r="M245" i="31" s="1"/>
  <c r="FB245" i="31"/>
  <c r="DL245" i="31"/>
  <c r="L246" i="31"/>
  <c r="BW245" i="31" l="1"/>
  <c r="MJ245" i="31"/>
  <c r="NS245" i="31" s="1"/>
  <c r="MB245" i="31"/>
  <c r="NM245" i="31" l="1"/>
  <c r="NN245" i="31" s="1"/>
  <c r="BY245" i="31"/>
  <c r="BX245" i="31"/>
  <c r="NT245" i="31"/>
  <c r="OU246" i="31"/>
  <c r="OV246" i="31" l="1"/>
  <c r="NW245" i="31"/>
  <c r="NX245" i="31" s="1"/>
  <c r="CA245" i="31"/>
  <c r="BZ245" i="31"/>
  <c r="FV245" i="31"/>
  <c r="FR245" i="31"/>
  <c r="CX245" i="31"/>
  <c r="NU245" i="31"/>
  <c r="CB245" i="31" l="1"/>
  <c r="CC245" i="31" s="1"/>
  <c r="MY245" i="31"/>
  <c r="NZ245" i="31"/>
  <c r="CY246" i="31"/>
  <c r="NY245" i="31"/>
  <c r="OF245" i="31"/>
  <c r="OS246" i="31" s="1"/>
  <c r="NV245" i="31"/>
  <c r="CE245" i="31" l="1"/>
  <c r="CG245" i="31" s="1"/>
  <c r="CD245" i="31"/>
  <c r="OA245" i="31"/>
  <c r="MV246" i="31" s="1"/>
  <c r="OG246" i="31" s="1"/>
  <c r="NF246" i="31"/>
  <c r="OM246" i="31"/>
  <c r="OO246" i="31"/>
  <c r="OB245" i="31"/>
  <c r="OT246" i="31" s="1"/>
  <c r="OI245" i="31"/>
  <c r="MZ246" i="31"/>
  <c r="OZ245" i="31"/>
  <c r="CF245" i="31" l="1"/>
  <c r="CH245" i="31"/>
  <c r="CI245" i="31" s="1"/>
  <c r="CJ245" i="31" s="1"/>
  <c r="CO245" i="31" s="1"/>
  <c r="KT246" i="31"/>
  <c r="KM246" i="31" s="1"/>
  <c r="KO247" i="31" s="1"/>
  <c r="PA245" i="31"/>
  <c r="OW245" i="31"/>
  <c r="OX246" i="31"/>
  <c r="MR246" i="31"/>
  <c r="OC245" i="31"/>
  <c r="OD246" i="31" s="1"/>
  <c r="OH246" i="31" s="1"/>
  <c r="OK246" i="31" s="1"/>
  <c r="OJ245" i="31"/>
  <c r="CK245" i="31" l="1"/>
  <c r="CL245" i="31" s="1"/>
  <c r="KL246" i="31"/>
  <c r="KN247" i="31" s="1"/>
  <c r="KQ246" i="31" s="1"/>
  <c r="MS246" i="31"/>
  <c r="MW246" i="31"/>
  <c r="OY246" i="31"/>
  <c r="KR246" i="31"/>
  <c r="CM245" i="31" l="1"/>
  <c r="CN245" i="31" s="1"/>
  <c r="CP245" i="31" s="1"/>
  <c r="KP247" i="31"/>
  <c r="KS246" i="31"/>
  <c r="MT246" i="31"/>
  <c r="NH247" i="31"/>
  <c r="NI247" i="31" s="1"/>
  <c r="NJ246" i="31"/>
  <c r="MO246" i="31"/>
  <c r="NQ246" i="31"/>
  <c r="NP246" i="31"/>
  <c r="MU246" i="31"/>
  <c r="PE246" i="31"/>
  <c r="MX246" i="31"/>
  <c r="FU245" i="31" l="1"/>
  <c r="FW245" i="31" s="1"/>
  <c r="GO245" i="31"/>
  <c r="FE245" i="31"/>
  <c r="FF245" i="31" s="1"/>
  <c r="HW245" i="31" s="1"/>
  <c r="HX246" i="31" s="1"/>
  <c r="DQ245" i="31"/>
  <c r="DR245" i="31" s="1"/>
  <c r="DS245" i="31" s="1"/>
  <c r="AX245" i="31" s="1"/>
  <c r="AY246" i="31" s="1"/>
  <c r="FH245" i="31"/>
  <c r="FI245" i="31" s="1"/>
  <c r="FJ246" i="31" s="1"/>
  <c r="GB245" i="31"/>
  <c r="GC245" i="31" s="1"/>
  <c r="JR245" i="31"/>
  <c r="JS245" i="31" s="1"/>
  <c r="JT246" i="31" s="1"/>
  <c r="CQ245" i="31"/>
  <c r="CT245" i="31" s="1"/>
  <c r="FX245" i="31"/>
  <c r="FY245" i="31" s="1"/>
  <c r="KU245" i="31"/>
  <c r="FZ245" i="31"/>
  <c r="GA245" i="31" s="1"/>
  <c r="KX245" i="31"/>
  <c r="GN245" i="31" s="1"/>
  <c r="KV245" i="31" s="1"/>
  <c r="FP245" i="31"/>
  <c r="FS245" i="31" s="1"/>
  <c r="HY245" i="31" s="1"/>
  <c r="HO245" i="31"/>
  <c r="IA245" i="31" s="1"/>
  <c r="IB245" i="31" s="1"/>
  <c r="FG246" i="31"/>
  <c r="HU245" i="31"/>
  <c r="HV246" i="31" s="1"/>
  <c r="NR246" i="31"/>
  <c r="NL246" i="31"/>
  <c r="NK246" i="31"/>
  <c r="NG247" i="31"/>
  <c r="OQ247" i="31"/>
  <c r="NB246" i="31"/>
  <c r="NA246" i="31"/>
  <c r="AZ245" i="31" l="1"/>
  <c r="EN245" i="31"/>
  <c r="BB246" i="31" s="1"/>
  <c r="EM245" i="31"/>
  <c r="EW245" i="31" s="1"/>
  <c r="IZ245" i="31"/>
  <c r="HP245" i="31"/>
  <c r="HT245" i="31" s="1"/>
  <c r="JB245" i="31" s="1"/>
  <c r="KE245" i="31"/>
  <c r="JU245" i="31"/>
  <c r="KC245" i="31"/>
  <c r="CR245" i="31"/>
  <c r="DY245" i="31"/>
  <c r="CS245" i="31"/>
  <c r="HA245" i="31"/>
  <c r="GQ245" i="31"/>
  <c r="KW246" i="31"/>
  <c r="HQ245" i="31"/>
  <c r="HR246" i="31" s="1"/>
  <c r="HS245" i="31"/>
  <c r="JG245" i="31" s="1"/>
  <c r="NC247" i="31"/>
  <c r="MQ247" i="31"/>
  <c r="OR247" i="31"/>
  <c r="DW245" i="31" l="1"/>
  <c r="DU246" i="31" s="1"/>
  <c r="IU245" i="31"/>
  <c r="IV245" i="31" s="1"/>
  <c r="KK245" i="31" s="1"/>
  <c r="ER246" i="31"/>
  <c r="EU246" i="31" s="1"/>
  <c r="EQ245" i="31"/>
  <c r="IC245" i="31"/>
  <c r="ID245" i="31" s="1"/>
  <c r="IF245" i="31" s="1"/>
  <c r="KH245" i="31" s="1"/>
  <c r="GM245" i="31" s="1"/>
  <c r="IW245" i="31"/>
  <c r="KB245" i="31" s="1"/>
  <c r="BC246" i="31"/>
  <c r="IX245" i="31"/>
  <c r="DF245" i="31" l="1"/>
  <c r="GV245" i="31" s="1"/>
  <c r="IN245" i="31"/>
  <c r="KI246" i="31"/>
  <c r="DB245" i="31"/>
  <c r="DC245" i="31" s="1"/>
  <c r="DD246" i="31" s="1"/>
  <c r="DE247" i="31" s="1"/>
  <c r="GT247" i="31" s="1"/>
  <c r="IM245" i="31"/>
  <c r="KJ246" i="31"/>
  <c r="GR245" i="31"/>
  <c r="BE246" i="31"/>
  <c r="BD246" i="31"/>
  <c r="GU245" i="31" l="1"/>
  <c r="DT245" i="31"/>
  <c r="DZ245" i="31" s="1"/>
  <c r="FD245" i="31"/>
  <c r="IS245" i="31" s="1"/>
  <c r="BF246" i="31"/>
  <c r="BG246" i="31"/>
  <c r="GS245" i="31"/>
  <c r="FL246" i="31" l="1"/>
  <c r="BI246" i="31"/>
  <c r="BK246" i="31" s="1"/>
  <c r="BH246" i="31"/>
  <c r="FM246" i="31"/>
  <c r="GY245" i="31"/>
  <c r="GX245" i="31"/>
  <c r="GW245" i="31"/>
  <c r="HC245" i="31" s="1"/>
  <c r="FA246" i="31" s="1"/>
  <c r="HB246" i="31" s="1"/>
  <c r="JH245" i="31"/>
  <c r="JI245" i="31" s="1"/>
  <c r="IT245" i="31"/>
  <c r="BJ246" i="31" l="1"/>
  <c r="JK245" i="31"/>
  <c r="JN245" i="31" s="1"/>
  <c r="JV245" i="31" s="1"/>
  <c r="JF246" i="31" s="1"/>
  <c r="EG245" i="31"/>
  <c r="EH246" i="31" s="1"/>
  <c r="EI246" i="31" s="1"/>
  <c r="FK246" i="31" s="1"/>
  <c r="HM245" i="31"/>
  <c r="EY245" i="31"/>
  <c r="HK246" i="31"/>
  <c r="BL246" i="31"/>
  <c r="BM246" i="31"/>
  <c r="JM245" i="31" l="1"/>
  <c r="KD245" i="31" s="1"/>
  <c r="IL246" i="31" s="1"/>
  <c r="EE245" i="31"/>
  <c r="EF246" i="31" s="1"/>
  <c r="EJ245" i="31"/>
  <c r="EK246" i="31" s="1"/>
  <c r="ED245" i="31"/>
  <c r="EB246" i="31" s="1"/>
  <c r="BN246" i="31"/>
  <c r="BO246" i="31"/>
  <c r="JL245" i="31"/>
  <c r="JJ246" i="31" s="1"/>
  <c r="KA246" i="31"/>
  <c r="JW246" i="31"/>
  <c r="JY246" i="31"/>
  <c r="JZ245" i="31"/>
  <c r="KF245" i="31" s="1"/>
  <c r="IQ246" i="31" s="1"/>
  <c r="EZ245" i="31"/>
  <c r="DG245" i="31"/>
  <c r="DH245" i="31" s="1"/>
  <c r="DI246" i="31" s="1"/>
  <c r="IO246" i="31" l="1"/>
  <c r="IP246" i="31"/>
  <c r="HZ246" i="31"/>
  <c r="DP246" i="31"/>
  <c r="FC246" i="31"/>
  <c r="EL246" i="31"/>
  <c r="EP246" i="31"/>
  <c r="ET247" i="31" s="1"/>
  <c r="EO246" i="31"/>
  <c r="ES247" i="31" s="1"/>
  <c r="EV246" i="31"/>
  <c r="BP246" i="31"/>
  <c r="BQ246" i="31" s="1"/>
  <c r="JC246" i="31"/>
  <c r="JD246" i="31"/>
  <c r="JO246" i="31"/>
  <c r="IY246" i="31"/>
  <c r="IR246" i="31"/>
  <c r="JA246" i="31"/>
  <c r="JE246" i="31"/>
  <c r="DJ246" i="31"/>
  <c r="DK246" i="31" s="1"/>
  <c r="GZ246" i="31"/>
  <c r="IE246" i="31" s="1"/>
  <c r="JP246" i="31" l="1"/>
  <c r="JQ246" i="31" s="1"/>
  <c r="KG246" i="31"/>
  <c r="BR246" i="31"/>
  <c r="BS246" i="31"/>
  <c r="JX246" i="31"/>
  <c r="EC246" i="31"/>
  <c r="DM246" i="31"/>
  <c r="FQ246" i="31"/>
  <c r="DX246" i="31"/>
  <c r="BT246" i="31" l="1"/>
  <c r="BU246" i="31"/>
  <c r="BV246" i="31" s="1"/>
  <c r="BW246" i="31" s="1"/>
  <c r="FB246" i="31"/>
  <c r="EX246" i="31"/>
  <c r="M246" i="31" s="1"/>
  <c r="DL246" i="31"/>
  <c r="L247" i="31"/>
  <c r="BY246" i="31" l="1"/>
  <c r="CA246" i="31" s="1"/>
  <c r="BX246" i="31"/>
  <c r="MJ246" i="31"/>
  <c r="NS246" i="31" s="1"/>
  <c r="MB246" i="31"/>
  <c r="BZ246" i="31" l="1"/>
  <c r="NM246" i="31"/>
  <c r="NN246" i="31" s="1"/>
  <c r="CB246" i="31"/>
  <c r="CC246" i="31" s="1"/>
  <c r="NT246" i="31"/>
  <c r="OU247" i="31"/>
  <c r="CE246" i="31" l="1"/>
  <c r="CF246" i="31" s="1"/>
  <c r="CD246" i="31"/>
  <c r="OV247" i="31"/>
  <c r="NW246" i="31"/>
  <c r="NX246" i="31" s="1"/>
  <c r="CX246" i="31"/>
  <c r="FV246" i="31"/>
  <c r="FR246" i="31"/>
  <c r="NU246" i="31"/>
  <c r="CG246" i="31" l="1"/>
  <c r="CH246" i="31" s="1"/>
  <c r="CI246" i="31" s="1"/>
  <c r="MY246" i="31"/>
  <c r="NZ246" i="31"/>
  <c r="CY247" i="31"/>
  <c r="NY246" i="31"/>
  <c r="OF246" i="31"/>
  <c r="OS247" i="31" s="1"/>
  <c r="NV246" i="31"/>
  <c r="OB246" i="31" l="1"/>
  <c r="OT247" i="31" s="1"/>
  <c r="OA246" i="31"/>
  <c r="MV247" i="31" s="1"/>
  <c r="OI246" i="31"/>
  <c r="OM247" i="31"/>
  <c r="OO247" i="31"/>
  <c r="NF247" i="31"/>
  <c r="CJ246" i="31"/>
  <c r="CO246" i="31" s="1"/>
  <c r="CK246" i="31"/>
  <c r="MZ247" i="31"/>
  <c r="OZ246" i="31"/>
  <c r="CL246" i="31" l="1"/>
  <c r="CM246" i="31"/>
  <c r="CN246" i="31" s="1"/>
  <c r="KT247" i="31"/>
  <c r="OG247" i="31"/>
  <c r="MR247" i="31"/>
  <c r="OW246" i="31"/>
  <c r="OX247" i="31"/>
  <c r="OJ246" i="31"/>
  <c r="PA246" i="31"/>
  <c r="OC246" i="31"/>
  <c r="OD247" i="31" s="1"/>
  <c r="OH247" i="31" s="1"/>
  <c r="OK247" i="31" l="1"/>
  <c r="MS247" i="31"/>
  <c r="KM247" i="31"/>
  <c r="KO248" i="31" s="1"/>
  <c r="KL247" i="31"/>
  <c r="KN248" i="31" s="1"/>
  <c r="OY247" i="31"/>
  <c r="MW247" i="31"/>
  <c r="CP246" i="31"/>
  <c r="KQ247" i="31" l="1"/>
  <c r="KP248" i="31"/>
  <c r="KR247" i="31"/>
  <c r="FE246" i="31"/>
  <c r="FF246" i="31" s="1"/>
  <c r="DQ246" i="31"/>
  <c r="DR246" i="31" s="1"/>
  <c r="GB246" i="31"/>
  <c r="GC246" i="31" s="1"/>
  <c r="JR246" i="31"/>
  <c r="JS246" i="31" s="1"/>
  <c r="CQ246" i="31"/>
  <c r="HO246" i="31"/>
  <c r="FZ246" i="31"/>
  <c r="GA246" i="31" s="1"/>
  <c r="FX246" i="31"/>
  <c r="FY246" i="31" s="1"/>
  <c r="FH246" i="31"/>
  <c r="FI246" i="31" s="1"/>
  <c r="FP246" i="31"/>
  <c r="FS246" i="31" s="1"/>
  <c r="FU246" i="31"/>
  <c r="FW246" i="31" s="1"/>
  <c r="GO246" i="31"/>
  <c r="KX246" i="31"/>
  <c r="GN246" i="31" s="1"/>
  <c r="KU246" i="31"/>
  <c r="NH248" i="31"/>
  <c r="NI248" i="31" s="1"/>
  <c r="NQ247" i="31"/>
  <c r="MO247" i="31"/>
  <c r="NJ247" i="31"/>
  <c r="NP247" i="31"/>
  <c r="MT247" i="31"/>
  <c r="MU247" i="31"/>
  <c r="PE247" i="31"/>
  <c r="MX247" i="31"/>
  <c r="NR247" i="31" l="1"/>
  <c r="HW246" i="31"/>
  <c r="HX247" i="31" s="1"/>
  <c r="FG247" i="31"/>
  <c r="HY246" i="31"/>
  <c r="HA246" i="31"/>
  <c r="DY246" i="31"/>
  <c r="NL247" i="31"/>
  <c r="NK247" i="31"/>
  <c r="NG248" i="31"/>
  <c r="OQ248" i="31"/>
  <c r="HU246" i="31"/>
  <c r="HV247" i="31" s="1"/>
  <c r="FJ247" i="31"/>
  <c r="HP246" i="31"/>
  <c r="IA246" i="31"/>
  <c r="IB246" i="31" s="1"/>
  <c r="IZ246" i="31"/>
  <c r="GQ246" i="31"/>
  <c r="KV246" i="31"/>
  <c r="CR246" i="31"/>
  <c r="CT246" i="31"/>
  <c r="CS246" i="31"/>
  <c r="KS247" i="31"/>
  <c r="DS246" i="31"/>
  <c r="AX246" i="31" s="1"/>
  <c r="AY247" i="31" s="1"/>
  <c r="NB247" i="31"/>
  <c r="NA247" i="31"/>
  <c r="JU246" i="31"/>
  <c r="KE246" i="31"/>
  <c r="KC246" i="31"/>
  <c r="JT247" i="31"/>
  <c r="KW247" i="31" l="1"/>
  <c r="HQ246" i="31"/>
  <c r="HR247" i="31" s="1"/>
  <c r="NC248" i="31"/>
  <c r="MQ248" i="31"/>
  <c r="HT246" i="31"/>
  <c r="HS246" i="31"/>
  <c r="JG246" i="31" s="1"/>
  <c r="EM246" i="31"/>
  <c r="EW246" i="31" s="1"/>
  <c r="EN246" i="31"/>
  <c r="AZ246" i="31"/>
  <c r="OR248" i="31"/>
  <c r="IC246" i="31" l="1"/>
  <c r="ID246" i="31" s="1"/>
  <c r="IF246" i="31" s="1"/>
  <c r="KH246" i="31" s="1"/>
  <c r="JB246" i="31"/>
  <c r="BB247" i="31"/>
  <c r="EQ246" i="31"/>
  <c r="DW246" i="31"/>
  <c r="DU247" i="31" s="1"/>
  <c r="ER247" i="31"/>
  <c r="IU246" i="31"/>
  <c r="IV246" i="31" s="1"/>
  <c r="IW246" i="31" l="1"/>
  <c r="KB246" i="31" s="1"/>
  <c r="BC247" i="31"/>
  <c r="GM246" i="31"/>
  <c r="IM246" i="31"/>
  <c r="DB246" i="31"/>
  <c r="DC246" i="31" s="1"/>
  <c r="DD247" i="31" s="1"/>
  <c r="DE248" i="31" s="1"/>
  <c r="KI247" i="31"/>
  <c r="IN246" i="31"/>
  <c r="DF246" i="31"/>
  <c r="KK246" i="31"/>
  <c r="IX246" i="31"/>
  <c r="EU247" i="31"/>
  <c r="GT248" i="31" l="1"/>
  <c r="DT246" i="31"/>
  <c r="DZ246" i="31" s="1"/>
  <c r="FD246" i="31"/>
  <c r="GU246" i="31"/>
  <c r="GV246" i="31"/>
  <c r="GR246" i="31"/>
  <c r="KJ247" i="31"/>
  <c r="BD247" i="31"/>
  <c r="BE247" i="31"/>
  <c r="GS246" i="31" l="1"/>
  <c r="BF247" i="31"/>
  <c r="BG247" i="31"/>
  <c r="IS246" i="31"/>
  <c r="FL247" i="31"/>
  <c r="FM247" i="31" l="1"/>
  <c r="BH247" i="31"/>
  <c r="BI247" i="31"/>
  <c r="BK247" i="31" s="1"/>
  <c r="JH246" i="31"/>
  <c r="JI246" i="31" s="1"/>
  <c r="IT246" i="31"/>
  <c r="GY246" i="31"/>
  <c r="GX246" i="31"/>
  <c r="GW246" i="31"/>
  <c r="HC246" i="31" s="1"/>
  <c r="FA247" i="31" s="1"/>
  <c r="HB247" i="31" s="1"/>
  <c r="EG246" i="31" l="1"/>
  <c r="EH247" i="31" s="1"/>
  <c r="EI247" i="31" s="1"/>
  <c r="FK247" i="31" s="1"/>
  <c r="EY246" i="31"/>
  <c r="HM246" i="31"/>
  <c r="HK247" i="31"/>
  <c r="BJ247" i="31"/>
  <c r="BL247" i="31"/>
  <c r="BM247" i="31"/>
  <c r="JK246" i="31"/>
  <c r="JM246" i="31" s="1"/>
  <c r="KD246" i="31" s="1"/>
  <c r="IL247" i="31" s="1"/>
  <c r="BN247" i="31" l="1"/>
  <c r="BO247" i="31"/>
  <c r="JZ246" i="31"/>
  <c r="KF246" i="31" s="1"/>
  <c r="IQ247" i="31" s="1"/>
  <c r="JL246" i="31"/>
  <c r="JJ247" i="31" s="1"/>
  <c r="KA247" i="31"/>
  <c r="EJ246" i="31"/>
  <c r="EK247" i="31" s="1"/>
  <c r="EE246" i="31"/>
  <c r="EF247" i="31" s="1"/>
  <c r="ED246" i="31"/>
  <c r="EB247" i="31" s="1"/>
  <c r="JN246" i="31"/>
  <c r="JV246" i="31" s="1"/>
  <c r="JF247" i="31" s="1"/>
  <c r="EZ246" i="31"/>
  <c r="DG246" i="31"/>
  <c r="DH246" i="31" s="1"/>
  <c r="DI247" i="31" s="1"/>
  <c r="FC247" i="31" l="1"/>
  <c r="EO247" i="31"/>
  <c r="ES248" i="31" s="1"/>
  <c r="EL247" i="31"/>
  <c r="EP247" i="31"/>
  <c r="ET248" i="31" s="1"/>
  <c r="EV247" i="31"/>
  <c r="GZ247" i="31"/>
  <c r="IE247" i="31" s="1"/>
  <c r="DJ247" i="31"/>
  <c r="DK247" i="31" s="1"/>
  <c r="JC247" i="31"/>
  <c r="JD247" i="31"/>
  <c r="DP247" i="31"/>
  <c r="IP247" i="31"/>
  <c r="IO247" i="31"/>
  <c r="JA247" i="31"/>
  <c r="IY247" i="31"/>
  <c r="IR247" i="31"/>
  <c r="JO247" i="31"/>
  <c r="JW247" i="31"/>
  <c r="JY247" i="31"/>
  <c r="JE247" i="31"/>
  <c r="BP247" i="31"/>
  <c r="BQ247" i="31" s="1"/>
  <c r="BR247" i="31" s="1"/>
  <c r="HZ247" i="31"/>
  <c r="JX247" i="31" l="1"/>
  <c r="BS247" i="31"/>
  <c r="BU247" i="31" s="1"/>
  <c r="FQ247" i="31"/>
  <c r="DX247" i="31"/>
  <c r="DM247" i="31"/>
  <c r="KG247" i="31"/>
  <c r="JP247" i="31"/>
  <c r="JQ247" i="31" s="1"/>
  <c r="EC247" i="31"/>
  <c r="BT247" i="31" l="1"/>
  <c r="BV247" i="31"/>
  <c r="BW247" i="31" s="1"/>
  <c r="EX247" i="31"/>
  <c r="M247" i="31" s="1"/>
  <c r="FB247" i="31"/>
  <c r="DL247" i="31"/>
  <c r="L248" i="31"/>
  <c r="BX247" i="31" l="1"/>
  <c r="BY247" i="31"/>
  <c r="MB247" i="31"/>
  <c r="MJ247" i="31"/>
  <c r="NS247" i="31" s="1"/>
  <c r="BZ247" i="31" l="1"/>
  <c r="CA247" i="31"/>
  <c r="NM247" i="31"/>
  <c r="NN247" i="31" s="1"/>
  <c r="NT247" i="31"/>
  <c r="OU248" i="31"/>
  <c r="CB247" i="31" l="1"/>
  <c r="CC247" i="31" s="1"/>
  <c r="NW247" i="31"/>
  <c r="NX247" i="31" s="1"/>
  <c r="OV248" i="31"/>
  <c r="CX247" i="31"/>
  <c r="FR247" i="31"/>
  <c r="FV247" i="31"/>
  <c r="NU247" i="31"/>
  <c r="CD247" i="31" l="1"/>
  <c r="CE247" i="31"/>
  <c r="CF247" i="31" s="1"/>
  <c r="NY247" i="31"/>
  <c r="NZ247" i="31"/>
  <c r="MY247" i="31"/>
  <c r="CY248" i="31"/>
  <c r="OF247" i="31"/>
  <c r="OS248" i="31" s="1"/>
  <c r="NV247" i="31"/>
  <c r="CG247" i="31" l="1"/>
  <c r="CH247" i="31" s="1"/>
  <c r="CI247" i="31" s="1"/>
  <c r="CJ247" i="31" s="1"/>
  <c r="CO247" i="31" s="1"/>
  <c r="NF248" i="31"/>
  <c r="OO248" i="31"/>
  <c r="OM248" i="31"/>
  <c r="OI247" i="31"/>
  <c r="OB247" i="31"/>
  <c r="OT248" i="31" s="1"/>
  <c r="MZ248" i="31"/>
  <c r="OZ247" i="31"/>
  <c r="OA247" i="31"/>
  <c r="MV248" i="31" s="1"/>
  <c r="CK247" i="31" l="1"/>
  <c r="CL247" i="31" s="1"/>
  <c r="OW247" i="31"/>
  <c r="OX248" i="31"/>
  <c r="MR248" i="31"/>
  <c r="OG248" i="31"/>
  <c r="KT248" i="31"/>
  <c r="PA247" i="31"/>
  <c r="OJ247" i="31"/>
  <c r="OC247" i="31"/>
  <c r="OD248" i="31" s="1"/>
  <c r="OH248" i="31" s="1"/>
  <c r="CM247" i="31" l="1"/>
  <c r="CN247" i="31" s="1"/>
  <c r="OK248" i="31"/>
  <c r="KL248" i="31"/>
  <c r="KN249" i="31" s="1"/>
  <c r="KM248" i="31"/>
  <c r="KO249" i="31" s="1"/>
  <c r="CP247" i="31"/>
  <c r="OY248" i="31"/>
  <c r="MW248" i="31"/>
  <c r="MS248" i="31"/>
  <c r="MX248" i="31" l="1"/>
  <c r="JR247" i="31"/>
  <c r="JS247" i="31" s="1"/>
  <c r="DQ247" i="31"/>
  <c r="DR247" i="31" s="1"/>
  <c r="HO247" i="31"/>
  <c r="GB247" i="31"/>
  <c r="GC247" i="31" s="1"/>
  <c r="FH247" i="31"/>
  <c r="FI247" i="31" s="1"/>
  <c r="GO247" i="31"/>
  <c r="FP247" i="31"/>
  <c r="FS247" i="31" s="1"/>
  <c r="CQ247" i="31"/>
  <c r="FZ247" i="31"/>
  <c r="GA247" i="31" s="1"/>
  <c r="FX247" i="31"/>
  <c r="FY247" i="31" s="1"/>
  <c r="FU247" i="31"/>
  <c r="FW247" i="31" s="1"/>
  <c r="FE247" i="31"/>
  <c r="FF247" i="31" s="1"/>
  <c r="KX247" i="31"/>
  <c r="KU247" i="31"/>
  <c r="MO248" i="31"/>
  <c r="NH249" i="31"/>
  <c r="NI249" i="31" s="1"/>
  <c r="NQ248" i="31"/>
  <c r="NJ248" i="31"/>
  <c r="MT248" i="31"/>
  <c r="NP248" i="31"/>
  <c r="MU248" i="31"/>
  <c r="PE248" i="31"/>
  <c r="KP249" i="31"/>
  <c r="KR248" i="31"/>
  <c r="KQ248" i="31"/>
  <c r="GN247" i="31" l="1"/>
  <c r="GQ247" i="31" s="1"/>
  <c r="KS248" i="31"/>
  <c r="HU247" i="31"/>
  <c r="HV248" i="31" s="1"/>
  <c r="FJ248" i="31"/>
  <c r="KV247" i="31"/>
  <c r="HP247" i="31"/>
  <c r="IA247" i="31"/>
  <c r="IB247" i="31" s="1"/>
  <c r="IZ247" i="31"/>
  <c r="DS247" i="31"/>
  <c r="AX247" i="31" s="1"/>
  <c r="AY248" i="31" s="1"/>
  <c r="NR248" i="31"/>
  <c r="KE247" i="31"/>
  <c r="KC247" i="31"/>
  <c r="JT248" i="31"/>
  <c r="JU247" i="31"/>
  <c r="NL248" i="31"/>
  <c r="NK248" i="31"/>
  <c r="NG249" i="31"/>
  <c r="OQ249" i="31"/>
  <c r="CS247" i="31"/>
  <c r="CT247" i="31"/>
  <c r="CR247" i="31"/>
  <c r="HY247" i="31"/>
  <c r="DY247" i="31"/>
  <c r="HA247" i="31"/>
  <c r="HW247" i="31"/>
  <c r="HX248" i="31" s="1"/>
  <c r="FG248" i="31"/>
  <c r="NB248" i="31"/>
  <c r="NA248" i="31"/>
  <c r="KW248" i="31" l="1"/>
  <c r="HQ247" i="31"/>
  <c r="HR248" i="31" s="1"/>
  <c r="HS247" i="31"/>
  <c r="JG247" i="31" s="1"/>
  <c r="HT247" i="31"/>
  <c r="OR249" i="31"/>
  <c r="EN247" i="31"/>
  <c r="EM247" i="31"/>
  <c r="EW247" i="31" s="1"/>
  <c r="AZ247" i="31"/>
  <c r="NC249" i="31"/>
  <c r="MQ249" i="31"/>
  <c r="IC247" i="31" l="1"/>
  <c r="ID247" i="31" s="1"/>
  <c r="IF247" i="31" s="1"/>
  <c r="KH247" i="31" s="1"/>
  <c r="JB247" i="31"/>
  <c r="BB248" i="31"/>
  <c r="DW247" i="31"/>
  <c r="DU248" i="31" s="1"/>
  <c r="EQ247" i="31"/>
  <c r="ER248" i="31"/>
  <c r="IU247" i="31"/>
  <c r="IV247" i="31" s="1"/>
  <c r="IW247" i="31" l="1"/>
  <c r="KB247" i="31" s="1"/>
  <c r="BC248" i="31"/>
  <c r="IX247" i="31"/>
  <c r="KK247" i="31"/>
  <c r="DB247" i="31"/>
  <c r="DC247" i="31" s="1"/>
  <c r="DD248" i="31" s="1"/>
  <c r="DE249" i="31" s="1"/>
  <c r="IM247" i="31"/>
  <c r="GM247" i="31"/>
  <c r="KI248" i="31"/>
  <c r="IN247" i="31"/>
  <c r="DF247" i="31"/>
  <c r="EU248" i="31"/>
  <c r="GT249" i="31" l="1"/>
  <c r="FD247" i="31"/>
  <c r="GU247" i="31"/>
  <c r="GV247" i="31"/>
  <c r="KJ248" i="31"/>
  <c r="GR247" i="31"/>
  <c r="DT247" i="31"/>
  <c r="DZ247" i="31" s="1"/>
  <c r="BD248" i="31"/>
  <c r="BE248" i="31"/>
  <c r="BF248" i="31" l="1"/>
  <c r="BG248" i="31"/>
  <c r="IS247" i="31"/>
  <c r="FL248" i="31"/>
  <c r="GS247" i="31"/>
  <c r="FM248" i="31" l="1"/>
  <c r="BI248" i="31"/>
  <c r="BK248" i="31" s="1"/>
  <c r="BH248" i="31"/>
  <c r="GW247" i="31"/>
  <c r="HC247" i="31" s="1"/>
  <c r="FA248" i="31" s="1"/>
  <c r="HB248" i="31" s="1"/>
  <c r="GY247" i="31"/>
  <c r="GX247" i="31"/>
  <c r="JH247" i="31"/>
  <c r="JI247" i="31" s="1"/>
  <c r="IT247" i="31"/>
  <c r="BJ248" i="31" l="1"/>
  <c r="EG247" i="31"/>
  <c r="EH248" i="31" s="1"/>
  <c r="EI248" i="31" s="1"/>
  <c r="FK248" i="31" s="1"/>
  <c r="HM247" i="31"/>
  <c r="EY247" i="31"/>
  <c r="HK248" i="31"/>
  <c r="JK247" i="31"/>
  <c r="JZ247" i="31" s="1"/>
  <c r="KF247" i="31" s="1"/>
  <c r="IQ248" i="31" s="1"/>
  <c r="BL248" i="31"/>
  <c r="BM248" i="31"/>
  <c r="EZ247" i="31" l="1"/>
  <c r="DG247" i="31"/>
  <c r="DH247" i="31" s="1"/>
  <c r="DI248" i="31" s="1"/>
  <c r="ED247" i="31"/>
  <c r="EB248" i="31" s="1"/>
  <c r="JA248" i="31" s="1"/>
  <c r="EE247" i="31"/>
  <c r="EF248" i="31" s="1"/>
  <c r="EJ247" i="31"/>
  <c r="EK248" i="31" s="1"/>
  <c r="JM247" i="31"/>
  <c r="KD247" i="31" s="1"/>
  <c r="IL248" i="31" s="1"/>
  <c r="JL247" i="31"/>
  <c r="JJ248" i="31" s="1"/>
  <c r="KA248" i="31"/>
  <c r="BN248" i="31"/>
  <c r="BO248" i="31"/>
  <c r="JN247" i="31"/>
  <c r="JV247" i="31" s="1"/>
  <c r="JF248" i="31" s="1"/>
  <c r="JO248" i="31" l="1"/>
  <c r="BP248" i="31"/>
  <c r="BQ248" i="31" s="1"/>
  <c r="DP248" i="31"/>
  <c r="HZ248" i="31"/>
  <c r="JW248" i="31"/>
  <c r="JY248" i="31"/>
  <c r="IR248" i="31"/>
  <c r="JC248" i="31"/>
  <c r="JD248" i="31"/>
  <c r="IP248" i="31"/>
  <c r="IO248" i="31"/>
  <c r="JE248" i="31"/>
  <c r="DJ248" i="31"/>
  <c r="DK248" i="31" s="1"/>
  <c r="GZ248" i="31"/>
  <c r="IE248" i="31" s="1"/>
  <c r="FC248" i="31"/>
  <c r="EL248" i="31"/>
  <c r="EP248" i="31"/>
  <c r="ET249" i="31" s="1"/>
  <c r="EO248" i="31"/>
  <c r="ES249" i="31" s="1"/>
  <c r="EV248" i="31"/>
  <c r="IY248" i="31"/>
  <c r="BS248" i="31" l="1"/>
  <c r="BU248" i="31" s="1"/>
  <c r="BR248" i="31"/>
  <c r="JP248" i="31"/>
  <c r="JQ248" i="31" s="1"/>
  <c r="KG248" i="31"/>
  <c r="DX248" i="31"/>
  <c r="DM248" i="31"/>
  <c r="FQ248" i="31"/>
  <c r="EC248" i="31"/>
  <c r="JX248" i="31"/>
  <c r="BT248" i="31" l="1"/>
  <c r="FB248" i="31"/>
  <c r="EX248" i="31"/>
  <c r="M248" i="31" s="1"/>
  <c r="DL248" i="31"/>
  <c r="L249" i="31"/>
  <c r="BV248" i="31"/>
  <c r="BW248" i="31" s="1"/>
  <c r="BX248" i="31" l="1"/>
  <c r="BY248" i="31"/>
  <c r="MB248" i="31"/>
  <c r="NM248" i="31" s="1"/>
  <c r="NN248" i="31" s="1"/>
  <c r="MJ248" i="31"/>
  <c r="NS248" i="31" s="1"/>
  <c r="BZ248" i="31" l="1"/>
  <c r="CA248" i="31"/>
  <c r="NT248" i="31"/>
  <c r="OU249" i="31"/>
  <c r="OV249" i="31"/>
  <c r="NW248" i="31"/>
  <c r="CB248" i="31" l="1"/>
  <c r="CC248" i="31" s="1"/>
  <c r="NX248" i="31"/>
  <c r="FR248" i="31"/>
  <c r="FV248" i="31"/>
  <c r="CX248" i="31"/>
  <c r="NU248" i="31"/>
  <c r="CD248" i="31" l="1"/>
  <c r="CE248" i="31"/>
  <c r="NY248" i="31"/>
  <c r="NV248" i="31"/>
  <c r="OF248" i="31"/>
  <c r="OS249" i="31" s="1"/>
  <c r="NZ248" i="31"/>
  <c r="MY248" i="31"/>
  <c r="CY249" i="31"/>
  <c r="CF248" i="31" l="1"/>
  <c r="CG248" i="31"/>
  <c r="OA248" i="31"/>
  <c r="MV249" i="31" s="1"/>
  <c r="OG249" i="31" s="1"/>
  <c r="OB248" i="31"/>
  <c r="OT249" i="31" s="1"/>
  <c r="NF249" i="31"/>
  <c r="OO249" i="31"/>
  <c r="OM249" i="31"/>
  <c r="MZ249" i="31"/>
  <c r="OZ248" i="31"/>
  <c r="OI248" i="31"/>
  <c r="CH248" i="31" l="1"/>
  <c r="CI248" i="31" s="1"/>
  <c r="KT249" i="31"/>
  <c r="KM249" i="31" s="1"/>
  <c r="KO250" i="31" s="1"/>
  <c r="OX249" i="31"/>
  <c r="OW248" i="31"/>
  <c r="MR249" i="31"/>
  <c r="PA248" i="31"/>
  <c r="OC248" i="31"/>
  <c r="OD249" i="31" s="1"/>
  <c r="OH249" i="31" s="1"/>
  <c r="OK249" i="31" s="1"/>
  <c r="OJ248" i="31"/>
  <c r="KL249" i="31" l="1"/>
  <c r="KN250" i="31" s="1"/>
  <c r="KP250" i="31" s="1"/>
  <c r="CJ248" i="31"/>
  <c r="CO248" i="31" s="1"/>
  <c r="CK248" i="31"/>
  <c r="KR249" i="31"/>
  <c r="MS249" i="31"/>
  <c r="MW249" i="31"/>
  <c r="OY249" i="31"/>
  <c r="KQ249" i="31" l="1"/>
  <c r="KS249" i="31" s="1"/>
  <c r="CL248" i="31"/>
  <c r="CM248" i="31"/>
  <c r="CN248" i="31" s="1"/>
  <c r="MX249" i="31"/>
  <c r="NJ249" i="31"/>
  <c r="MU249" i="31"/>
  <c r="NH250" i="31"/>
  <c r="NI250" i="31" s="1"/>
  <c r="MO249" i="31"/>
  <c r="NP249" i="31"/>
  <c r="NQ249" i="31"/>
  <c r="MT249" i="31"/>
  <c r="PE249" i="31"/>
  <c r="CP248" i="31" l="1"/>
  <c r="NB249" i="31"/>
  <c r="NA249" i="31"/>
  <c r="NR249" i="31"/>
  <c r="NK249" i="31"/>
  <c r="NL249" i="31"/>
  <c r="NG250" i="31"/>
  <c r="OQ250" i="31"/>
  <c r="FE248" i="31" l="1"/>
  <c r="FF248" i="31" s="1"/>
  <c r="KU248" i="31"/>
  <c r="FU248" i="31"/>
  <c r="FW248" i="31" s="1"/>
  <c r="GO248" i="31"/>
  <c r="KX248" i="31"/>
  <c r="GN248" i="31" s="1"/>
  <c r="HO248" i="31"/>
  <c r="JR248" i="31"/>
  <c r="JS248" i="31" s="1"/>
  <c r="DQ248" i="31"/>
  <c r="DR248" i="31" s="1"/>
  <c r="DS248" i="31" s="1"/>
  <c r="AX248" i="31" s="1"/>
  <c r="AY249" i="31" s="1"/>
  <c r="FX248" i="31"/>
  <c r="FY248" i="31" s="1"/>
  <c r="FH248" i="31"/>
  <c r="FI248" i="31" s="1"/>
  <c r="FZ248" i="31"/>
  <c r="GA248" i="31" s="1"/>
  <c r="FP248" i="31"/>
  <c r="FS248" i="31" s="1"/>
  <c r="CQ248" i="31"/>
  <c r="GB248" i="31"/>
  <c r="GC248" i="31" s="1"/>
  <c r="OR250" i="31"/>
  <c r="NC250" i="31"/>
  <c r="MQ250" i="31"/>
  <c r="EN248" i="31" l="1"/>
  <c r="AZ248" i="31"/>
  <c r="EM248" i="31"/>
  <c r="EW248" i="31" s="1"/>
  <c r="GQ248" i="31"/>
  <c r="KV248" i="31"/>
  <c r="IA248" i="31"/>
  <c r="IB248" i="31" s="1"/>
  <c r="IZ248" i="31"/>
  <c r="HP248" i="31"/>
  <c r="JT249" i="31"/>
  <c r="KC248" i="31"/>
  <c r="JU248" i="31"/>
  <c r="KE248" i="31"/>
  <c r="HA248" i="31"/>
  <c r="DY248" i="31"/>
  <c r="HY248" i="31"/>
  <c r="FJ249" i="31"/>
  <c r="HU248" i="31"/>
  <c r="HV249" i="31" s="1"/>
  <c r="CR248" i="31"/>
  <c r="CT248" i="31"/>
  <c r="CS248" i="31"/>
  <c r="HW248" i="31"/>
  <c r="HX249" i="31" s="1"/>
  <c r="FG249" i="31"/>
  <c r="KW249" i="31" l="1"/>
  <c r="HQ248" i="31"/>
  <c r="HR249" i="31" s="1"/>
  <c r="HS248" i="31"/>
  <c r="JG248" i="31" s="1"/>
  <c r="HT248" i="31"/>
  <c r="DW248" i="31"/>
  <c r="DU249" i="31" s="1"/>
  <c r="EQ248" i="31"/>
  <c r="IU248" i="31"/>
  <c r="IV248" i="31" s="1"/>
  <c r="BB249" i="31"/>
  <c r="BC249" i="31" s="1"/>
  <c r="BE249" i="31" s="1"/>
  <c r="ER249" i="31"/>
  <c r="EU249" i="31" s="1"/>
  <c r="IW248" i="31" l="1"/>
  <c r="KB248" i="31" s="1"/>
  <c r="KK248" i="31"/>
  <c r="IX248" i="31"/>
  <c r="BD249" i="31"/>
  <c r="IC248" i="31"/>
  <c r="ID248" i="31" s="1"/>
  <c r="IF248" i="31" s="1"/>
  <c r="KH248" i="31" s="1"/>
  <c r="JB248" i="31"/>
  <c r="BF249" i="31"/>
  <c r="BG249" i="31"/>
  <c r="DF248" i="31" l="1"/>
  <c r="DB248" i="31"/>
  <c r="DC248" i="31" s="1"/>
  <c r="DD249" i="31" s="1"/>
  <c r="DE250" i="31" s="1"/>
  <c r="GM248" i="31"/>
  <c r="KI249" i="31"/>
  <c r="KJ249" i="31" s="1"/>
  <c r="IM248" i="31"/>
  <c r="IN248" i="31"/>
  <c r="BI249" i="31"/>
  <c r="BK249" i="31" s="1"/>
  <c r="BH249" i="31"/>
  <c r="DT248" i="31" l="1"/>
  <c r="DZ248" i="31" s="1"/>
  <c r="GT250" i="31"/>
  <c r="GR248" i="31"/>
  <c r="FD248" i="31"/>
  <c r="GU248" i="31"/>
  <c r="GV248" i="31"/>
  <c r="BJ249" i="31"/>
  <c r="BL249" i="31"/>
  <c r="BM249" i="31"/>
  <c r="FL249" i="31" l="1"/>
  <c r="FM249" i="31" s="1"/>
  <c r="IS248" i="31"/>
  <c r="GS248" i="31"/>
  <c r="BO249" i="31"/>
  <c r="BN249" i="31"/>
  <c r="JH248" i="31" l="1"/>
  <c r="JI248" i="31" s="1"/>
  <c r="IT248" i="31"/>
  <c r="GX248" i="31"/>
  <c r="GW248" i="31"/>
  <c r="HC248" i="31" s="1"/>
  <c r="FA249" i="31" s="1"/>
  <c r="HB249" i="31" s="1"/>
  <c r="GY248" i="31"/>
  <c r="BP249" i="31"/>
  <c r="BQ249" i="31" s="1"/>
  <c r="HM248" i="31" l="1"/>
  <c r="HK249" i="31"/>
  <c r="EG248" i="31"/>
  <c r="EH249" i="31" s="1"/>
  <c r="EI249" i="31" s="1"/>
  <c r="FK249" i="31" s="1"/>
  <c r="EY248" i="31"/>
  <c r="JK248" i="31"/>
  <c r="JN248" i="31" s="1"/>
  <c r="JV248" i="31" s="1"/>
  <c r="JF249" i="31" s="1"/>
  <c r="BR249" i="31"/>
  <c r="BS249" i="31"/>
  <c r="JM248" i="31" l="1"/>
  <c r="KD248" i="31" s="1"/>
  <c r="IL249" i="31" s="1"/>
  <c r="JZ248" i="31"/>
  <c r="KF248" i="31" s="1"/>
  <c r="IQ249" i="31" s="1"/>
  <c r="JL248" i="31"/>
  <c r="JJ249" i="31" s="1"/>
  <c r="KA249" i="31"/>
  <c r="HZ249" i="31" s="1"/>
  <c r="JY249" i="31"/>
  <c r="JW249" i="31"/>
  <c r="EZ248" i="31"/>
  <c r="DG248" i="31"/>
  <c r="DH248" i="31" s="1"/>
  <c r="DI249" i="31" s="1"/>
  <c r="DP249" i="31" s="1"/>
  <c r="EJ248" i="31"/>
  <c r="EK249" i="31" s="1"/>
  <c r="ED248" i="31"/>
  <c r="EB249" i="31" s="1"/>
  <c r="EE248" i="31"/>
  <c r="EF249" i="31" s="1"/>
  <c r="BT249" i="31"/>
  <c r="BU249" i="31"/>
  <c r="IO249" i="31" l="1"/>
  <c r="DJ249" i="31"/>
  <c r="DK249" i="31" s="1"/>
  <c r="GZ249" i="31"/>
  <c r="IE249" i="31" s="1"/>
  <c r="IR249" i="31"/>
  <c r="JE249" i="31"/>
  <c r="JO249" i="31"/>
  <c r="IY249" i="31"/>
  <c r="JA249" i="31"/>
  <c r="EL249" i="31"/>
  <c r="EO249" i="31"/>
  <c r="ES250" i="31" s="1"/>
  <c r="FC249" i="31"/>
  <c r="EP249" i="31"/>
  <c r="ET250" i="31" s="1"/>
  <c r="EV249" i="31"/>
  <c r="JC249" i="31"/>
  <c r="JD249" i="31"/>
  <c r="IP249" i="31"/>
  <c r="BV249" i="31"/>
  <c r="BW249" i="31" s="1"/>
  <c r="JP249" i="31" l="1"/>
  <c r="JQ249" i="31" s="1"/>
  <c r="JX249" i="31"/>
  <c r="KG249" i="31"/>
  <c r="BX249" i="31"/>
  <c r="BY249" i="31"/>
  <c r="DX249" i="31"/>
  <c r="FQ249" i="31"/>
  <c r="DM249" i="31"/>
  <c r="EC249" i="31"/>
  <c r="BZ249" i="31" l="1"/>
  <c r="CA249" i="31"/>
  <c r="FB249" i="31"/>
  <c r="EX249" i="31"/>
  <c r="M249" i="31" s="1"/>
  <c r="DL249" i="31"/>
  <c r="L250" i="31"/>
  <c r="CB249" i="31" l="1"/>
  <c r="CC249" i="31" s="1"/>
  <c r="MJ249" i="31"/>
  <c r="NS249" i="31" s="1"/>
  <c r="MB249" i="31"/>
  <c r="NM249" i="31" s="1"/>
  <c r="NN249" i="31" s="1"/>
  <c r="CD249" i="31" l="1"/>
  <c r="CE249" i="31"/>
  <c r="CF249" i="31" s="1"/>
  <c r="OV250" i="31"/>
  <c r="NW249" i="31"/>
  <c r="NT249" i="31"/>
  <c r="OU250" i="31"/>
  <c r="CG249" i="31" l="1"/>
  <c r="CH249" i="31" s="1"/>
  <c r="CI249" i="31" s="1"/>
  <c r="CK249" i="31" s="1"/>
  <c r="CX249" i="31"/>
  <c r="NU249" i="31"/>
  <c r="NV249" i="31" s="1"/>
  <c r="FV249" i="31"/>
  <c r="FR249" i="31"/>
  <c r="NX249" i="31"/>
  <c r="OF249" i="31" s="1"/>
  <c r="OS250" i="31" s="1"/>
  <c r="CJ249" i="31" l="1"/>
  <c r="CO249" i="31" s="1"/>
  <c r="CM249" i="31"/>
  <c r="CN249" i="31" s="1"/>
  <c r="NY249" i="31"/>
  <c r="NZ249" i="31"/>
  <c r="MY249" i="31"/>
  <c r="CY250" i="31"/>
  <c r="CL249" i="31" l="1"/>
  <c r="CP249" i="31" s="1"/>
  <c r="OA249" i="31"/>
  <c r="MV250" i="31" s="1"/>
  <c r="OG250" i="31" s="1"/>
  <c r="MZ250" i="31"/>
  <c r="OZ249" i="31"/>
  <c r="OI249" i="31"/>
  <c r="OO250" i="31"/>
  <c r="NF250" i="31"/>
  <c r="OM250" i="31"/>
  <c r="OB249" i="31"/>
  <c r="OT250" i="31" s="1"/>
  <c r="DQ249" i="31" l="1"/>
  <c r="DR249" i="31" s="1"/>
  <c r="DS249" i="31" s="1"/>
  <c r="AX249" i="31" s="1"/>
  <c r="AY250" i="31" s="1"/>
  <c r="JR249" i="31"/>
  <c r="JS249" i="31" s="1"/>
  <c r="JT250" i="31" s="1"/>
  <c r="FP249" i="31"/>
  <c r="FS249" i="31" s="1"/>
  <c r="HY249" i="31" s="1"/>
  <c r="FX249" i="31"/>
  <c r="FY249" i="31" s="1"/>
  <c r="HO249" i="31"/>
  <c r="HP249" i="31" s="1"/>
  <c r="FZ249" i="31"/>
  <c r="GA249" i="31" s="1"/>
  <c r="GB249" i="31"/>
  <c r="GC249" i="31" s="1"/>
  <c r="FE249" i="31"/>
  <c r="FF249" i="31" s="1"/>
  <c r="FG250" i="31" s="1"/>
  <c r="FH249" i="31"/>
  <c r="FI249" i="31" s="1"/>
  <c r="FJ250" i="31" s="1"/>
  <c r="KX249" i="31"/>
  <c r="GN249" i="31" s="1"/>
  <c r="KV249" i="31" s="1"/>
  <c r="KU249" i="31"/>
  <c r="FU249" i="31"/>
  <c r="FW249" i="31" s="1"/>
  <c r="GO249" i="31"/>
  <c r="CQ249" i="31"/>
  <c r="CS249" i="31" s="1"/>
  <c r="KT250" i="31"/>
  <c r="KL250" i="31" s="1"/>
  <c r="KN251" i="31" s="1"/>
  <c r="KQ250" i="31" s="1"/>
  <c r="OX250" i="31"/>
  <c r="MR250" i="31"/>
  <c r="MS250" i="31" s="1"/>
  <c r="OW249" i="31"/>
  <c r="PA249" i="31"/>
  <c r="OJ249" i="31"/>
  <c r="OC249" i="31"/>
  <c r="OD250" i="31" s="1"/>
  <c r="OH250" i="31" s="1"/>
  <c r="OK250" i="31" s="1"/>
  <c r="KE249" i="31"/>
  <c r="JU249" i="31"/>
  <c r="HU249" i="31" l="1"/>
  <c r="HV250" i="31" s="1"/>
  <c r="HA249" i="31"/>
  <c r="DY249" i="31"/>
  <c r="IZ249" i="31"/>
  <c r="KC249" i="31"/>
  <c r="CR249" i="31"/>
  <c r="HW249" i="31"/>
  <c r="HX250" i="31" s="1"/>
  <c r="GQ249" i="31"/>
  <c r="CT249" i="31"/>
  <c r="IA249" i="31"/>
  <c r="IB249" i="31" s="1"/>
  <c r="KM250" i="31"/>
  <c r="KO251" i="31" s="1"/>
  <c r="KR250" i="31" s="1"/>
  <c r="KS250" i="31" s="1"/>
  <c r="KW250" i="31"/>
  <c r="HQ249" i="31"/>
  <c r="HR250" i="31" s="1"/>
  <c r="MW250" i="31"/>
  <c r="MX250" i="31" s="1"/>
  <c r="OY250" i="31"/>
  <c r="MT250" i="31"/>
  <c r="NP250" i="31"/>
  <c r="MU250" i="31"/>
  <c r="MO250" i="31"/>
  <c r="NJ250" i="31"/>
  <c r="PE250" i="31"/>
  <c r="NQ250" i="31"/>
  <c r="NH251" i="31"/>
  <c r="NI251" i="31" s="1"/>
  <c r="EM249" i="31"/>
  <c r="EW249" i="31" s="1"/>
  <c r="AZ249" i="31"/>
  <c r="EN249" i="31"/>
  <c r="HS249" i="31"/>
  <c r="JG249" i="31" s="1"/>
  <c r="HT249" i="31"/>
  <c r="KP251" i="31" l="1"/>
  <c r="NR250" i="31"/>
  <c r="OQ251" i="31"/>
  <c r="OR251" i="31" s="1"/>
  <c r="NL250" i="31"/>
  <c r="NG251" i="31"/>
  <c r="NK250" i="31"/>
  <c r="NA250" i="31"/>
  <c r="NB250" i="31"/>
  <c r="BB250" i="31"/>
  <c r="EQ249" i="31"/>
  <c r="DW249" i="31"/>
  <c r="DU250" i="31" s="1"/>
  <c r="IW249" i="31"/>
  <c r="ER250" i="31"/>
  <c r="IU249" i="31"/>
  <c r="IV249" i="31" s="1"/>
  <c r="IC249" i="31"/>
  <c r="ID249" i="31" s="1"/>
  <c r="IF249" i="31" s="1"/>
  <c r="KH249" i="31" s="1"/>
  <c r="JB249" i="31"/>
  <c r="NC251" i="31" l="1"/>
  <c r="MQ251" i="31"/>
  <c r="EU250" i="31"/>
  <c r="IM249" i="31"/>
  <c r="GM249" i="31"/>
  <c r="DB249" i="31"/>
  <c r="DC249" i="31" s="1"/>
  <c r="DD250" i="31" s="1"/>
  <c r="DE251" i="31" s="1"/>
  <c r="KI250" i="31"/>
  <c r="IN249" i="31"/>
  <c r="DF249" i="31"/>
  <c r="BC250" i="31"/>
  <c r="KK249" i="31"/>
  <c r="KB249" i="31"/>
  <c r="IX249" i="31"/>
  <c r="GT251" i="31" l="1"/>
  <c r="DT249" i="31"/>
  <c r="DZ249" i="31" s="1"/>
  <c r="FD249" i="31"/>
  <c r="GV249" i="31"/>
  <c r="GU249" i="31"/>
  <c r="BD250" i="31"/>
  <c r="BE250" i="31"/>
  <c r="KJ250" i="31"/>
  <c r="GR249" i="31"/>
  <c r="BG250" i="31" l="1"/>
  <c r="BF250" i="31"/>
  <c r="GS249" i="31"/>
  <c r="IS249" i="31"/>
  <c r="FL250" i="31"/>
  <c r="JH249" i="31" l="1"/>
  <c r="JI249" i="31" s="1"/>
  <c r="IT249" i="31"/>
  <c r="FM250" i="31"/>
  <c r="GW249" i="31"/>
  <c r="HC249" i="31" s="1"/>
  <c r="FA250" i="31" s="1"/>
  <c r="HB250" i="31" s="1"/>
  <c r="GY249" i="31"/>
  <c r="GX249" i="31"/>
  <c r="BI250" i="31"/>
  <c r="BK250" i="31" s="1"/>
  <c r="BH250" i="31"/>
  <c r="BJ250" i="31" l="1"/>
  <c r="EG249" i="31"/>
  <c r="EH250" i="31" s="1"/>
  <c r="EI250" i="31" s="1"/>
  <c r="FK250" i="31" s="1"/>
  <c r="EY249" i="31"/>
  <c r="HM249" i="31"/>
  <c r="HK250" i="31"/>
  <c r="BL250" i="31"/>
  <c r="BM250" i="31"/>
  <c r="JK249" i="31"/>
  <c r="JM249" i="31" s="1"/>
  <c r="KD249" i="31" s="1"/>
  <c r="IL250" i="31" s="1"/>
  <c r="JN249" i="31" l="1"/>
  <c r="JV249" i="31" s="1"/>
  <c r="JF250" i="31" s="1"/>
  <c r="EZ249" i="31"/>
  <c r="DG249" i="31"/>
  <c r="DH249" i="31" s="1"/>
  <c r="DI250" i="31" s="1"/>
  <c r="EJ249" i="31"/>
  <c r="EK250" i="31" s="1"/>
  <c r="EE249" i="31"/>
  <c r="EF250" i="31" s="1"/>
  <c r="IP250" i="31" s="1"/>
  <c r="ED249" i="31"/>
  <c r="EB250" i="31" s="1"/>
  <c r="JZ249" i="31"/>
  <c r="KF249" i="31" s="1"/>
  <c r="IQ250" i="31" s="1"/>
  <c r="JL249" i="31"/>
  <c r="JJ250" i="31" s="1"/>
  <c r="KA250" i="31"/>
  <c r="BN250" i="31"/>
  <c r="BO250" i="31"/>
  <c r="JC250" i="31" l="1"/>
  <c r="JD250" i="31"/>
  <c r="HZ250" i="31"/>
  <c r="BP250" i="31"/>
  <c r="BQ250" i="31" s="1"/>
  <c r="JW250" i="31"/>
  <c r="JY250" i="31"/>
  <c r="EO250" i="31"/>
  <c r="ES251" i="31" s="1"/>
  <c r="FC250" i="31"/>
  <c r="EL250" i="31"/>
  <c r="EP250" i="31"/>
  <c r="ET251" i="31" s="1"/>
  <c r="EV250" i="31"/>
  <c r="DP250" i="31"/>
  <c r="JO250" i="31"/>
  <c r="IY250" i="31"/>
  <c r="JA250" i="31"/>
  <c r="IR250" i="31"/>
  <c r="JE250" i="31"/>
  <c r="JX250" i="31" s="1"/>
  <c r="GZ250" i="31"/>
  <c r="IE250" i="31" s="1"/>
  <c r="DJ250" i="31"/>
  <c r="DK250" i="31" s="1"/>
  <c r="IO250" i="31"/>
  <c r="BR250" i="31" l="1"/>
  <c r="BS250" i="31"/>
  <c r="BT250" i="31" s="1"/>
  <c r="JP250" i="31"/>
  <c r="JQ250" i="31" s="1"/>
  <c r="KG250" i="31"/>
  <c r="DM250" i="31"/>
  <c r="DX250" i="31"/>
  <c r="FQ250" i="31"/>
  <c r="EC250" i="31"/>
  <c r="BU250" i="31" l="1"/>
  <c r="FB250" i="31"/>
  <c r="EX250" i="31"/>
  <c r="M250" i="31" s="1"/>
  <c r="DL250" i="31"/>
  <c r="L251" i="31"/>
  <c r="BV250" i="31" l="1"/>
  <c r="BW250" i="31" s="1"/>
  <c r="MJ250" i="31"/>
  <c r="NS250" i="31" s="1"/>
  <c r="MB250" i="31"/>
  <c r="NM250" i="31" s="1"/>
  <c r="NN250" i="31" s="1"/>
  <c r="BX250" i="31" l="1"/>
  <c r="BY250" i="31"/>
  <c r="OV251" i="31"/>
  <c r="NW250" i="31"/>
  <c r="NT250" i="31"/>
  <c r="OU251" i="31"/>
  <c r="BZ250" i="31" l="1"/>
  <c r="CA250" i="31"/>
  <c r="FV250" i="31"/>
  <c r="FR250" i="31"/>
  <c r="CX250" i="31"/>
  <c r="NU250" i="31"/>
  <c r="NX250" i="31"/>
  <c r="OF250" i="31" s="1"/>
  <c r="OS251" i="31" s="1"/>
  <c r="CB250" i="31" l="1"/>
  <c r="CC250" i="31" s="1"/>
  <c r="NV250" i="31"/>
  <c r="NY250" i="31"/>
  <c r="NZ250" i="31"/>
  <c r="MY250" i="31"/>
  <c r="CY251" i="31"/>
  <c r="OI250" i="31" l="1"/>
  <c r="OW250" i="31" s="1"/>
  <c r="CD250" i="31"/>
  <c r="CE250" i="31"/>
  <c r="OO251" i="31"/>
  <c r="OM251" i="31"/>
  <c r="NF251" i="31"/>
  <c r="MZ251" i="31"/>
  <c r="OZ250" i="31"/>
  <c r="OB250" i="31"/>
  <c r="OT251" i="31" s="1"/>
  <c r="OA250" i="31"/>
  <c r="MV251" i="31" s="1"/>
  <c r="MR251" i="31" l="1"/>
  <c r="MS251" i="31" s="1"/>
  <c r="OX251" i="31"/>
  <c r="CG250" i="31"/>
  <c r="CH250" i="31" s="1"/>
  <c r="CF250" i="31"/>
  <c r="PA250" i="31"/>
  <c r="OC250" i="31"/>
  <c r="OD251" i="31" s="1"/>
  <c r="OH251" i="31" s="1"/>
  <c r="OJ250" i="31"/>
  <c r="OG251" i="31"/>
  <c r="KT251" i="31"/>
  <c r="CI250" i="31" l="1"/>
  <c r="CK250" i="31" s="1"/>
  <c r="NJ251" i="31"/>
  <c r="MT251" i="31"/>
  <c r="NH252" i="31"/>
  <c r="NI252" i="31" s="1"/>
  <c r="MO251" i="31"/>
  <c r="MU251" i="31"/>
  <c r="NP251" i="31"/>
  <c r="NQ251" i="31"/>
  <c r="PE251" i="31"/>
  <c r="KM251" i="31"/>
  <c r="KO252" i="31" s="1"/>
  <c r="KL251" i="31"/>
  <c r="KN252" i="31" s="1"/>
  <c r="OY251" i="31"/>
  <c r="MW251" i="31"/>
  <c r="OK251" i="31"/>
  <c r="CJ250" i="31" l="1"/>
  <c r="CO250" i="31" s="1"/>
  <c r="NR251" i="31"/>
  <c r="CL250" i="31"/>
  <c r="CM250" i="31"/>
  <c r="CN250" i="31" s="1"/>
  <c r="MX251" i="31"/>
  <c r="KQ251" i="31"/>
  <c r="KP252" i="31"/>
  <c r="KR251" i="31"/>
  <c r="NL251" i="31"/>
  <c r="NK251" i="31"/>
  <c r="NG252" i="31"/>
  <c r="OQ252" i="31"/>
  <c r="CP250" i="31" l="1"/>
  <c r="KS251" i="31"/>
  <c r="OR252" i="31"/>
  <c r="NB251" i="31"/>
  <c r="NA251" i="31"/>
  <c r="NC252" i="31"/>
  <c r="MQ252" i="31"/>
  <c r="FX250" i="31" l="1"/>
  <c r="FY250" i="31" s="1"/>
  <c r="KX250" i="31"/>
  <c r="JR250" i="31"/>
  <c r="JS250" i="31" s="1"/>
  <c r="FZ250" i="31"/>
  <c r="GA250" i="31" s="1"/>
  <c r="CQ250" i="31"/>
  <c r="KU250" i="31"/>
  <c r="DQ250" i="31"/>
  <c r="DR250" i="31" s="1"/>
  <c r="DS250" i="31" s="1"/>
  <c r="AX250" i="31" s="1"/>
  <c r="AY251" i="31" s="1"/>
  <c r="FP250" i="31"/>
  <c r="FS250" i="31" s="1"/>
  <c r="FU250" i="31"/>
  <c r="FW250" i="31" s="1"/>
  <c r="GO250" i="31"/>
  <c r="FH250" i="31"/>
  <c r="FI250" i="31" s="1"/>
  <c r="GB250" i="31"/>
  <c r="GC250" i="31" s="1"/>
  <c r="FE250" i="31"/>
  <c r="FF250" i="31" s="1"/>
  <c r="HO250" i="31"/>
  <c r="GN250" i="31" l="1"/>
  <c r="KV250" i="31" s="1"/>
  <c r="IA250" i="31"/>
  <c r="IB250" i="31" s="1"/>
  <c r="IZ250" i="31"/>
  <c r="HP250" i="31"/>
  <c r="CR250" i="31"/>
  <c r="CT250" i="31"/>
  <c r="CS250" i="31"/>
  <c r="HU250" i="31"/>
  <c r="HV251" i="31" s="1"/>
  <c r="FJ251" i="31"/>
  <c r="KC250" i="31"/>
  <c r="JT251" i="31"/>
  <c r="KE250" i="31"/>
  <c r="JU250" i="31"/>
  <c r="HY250" i="31"/>
  <c r="DY250" i="31"/>
  <c r="HA250" i="31"/>
  <c r="EM250" i="31"/>
  <c r="EW250" i="31" s="1"/>
  <c r="EN250" i="31"/>
  <c r="AZ250" i="31"/>
  <c r="FG251" i="31"/>
  <c r="HW250" i="31"/>
  <c r="HX251" i="31" s="1"/>
  <c r="GQ250" i="31" l="1"/>
  <c r="KW251" i="31"/>
  <c r="HQ250" i="31"/>
  <c r="HR251" i="31" s="1"/>
  <c r="BB251" i="31"/>
  <c r="BC251" i="31" s="1"/>
  <c r="BD251" i="31" s="1"/>
  <c r="EQ250" i="31"/>
  <c r="DW250" i="31"/>
  <c r="DU251" i="31" s="1"/>
  <c r="ER251" i="31"/>
  <c r="EU251" i="31" s="1"/>
  <c r="IW250" i="31"/>
  <c r="IU250" i="31"/>
  <c r="IV250" i="31" s="1"/>
  <c r="HT250" i="31"/>
  <c r="HS250" i="31"/>
  <c r="JG250" i="31" s="1"/>
  <c r="BE251" i="31" l="1"/>
  <c r="BG251" i="31" s="1"/>
  <c r="KK250" i="31"/>
  <c r="KB250" i="31"/>
  <c r="IX250" i="31"/>
  <c r="IC250" i="31"/>
  <c r="ID250" i="31" s="1"/>
  <c r="IF250" i="31" s="1"/>
  <c r="KH250" i="31" s="1"/>
  <c r="JB250" i="31"/>
  <c r="BF251" i="31" l="1"/>
  <c r="IN250" i="31"/>
  <c r="DF250" i="31"/>
  <c r="IM250" i="31"/>
  <c r="GM250" i="31"/>
  <c r="KI251" i="31"/>
  <c r="KJ251" i="31" s="1"/>
  <c r="DB250" i="31"/>
  <c r="DC250" i="31" s="1"/>
  <c r="DD251" i="31" s="1"/>
  <c r="DE252" i="31" s="1"/>
  <c r="BH251" i="31"/>
  <c r="BI251" i="31"/>
  <c r="BK251" i="31" s="1"/>
  <c r="DT250" i="31" l="1"/>
  <c r="DZ250" i="31" s="1"/>
  <c r="GT252" i="31"/>
  <c r="GR250" i="31"/>
  <c r="BJ251" i="31"/>
  <c r="FD250" i="31"/>
  <c r="GU250" i="31"/>
  <c r="GV250" i="31"/>
  <c r="BL251" i="31"/>
  <c r="BM251" i="31"/>
  <c r="FL251" i="31" l="1"/>
  <c r="FM251" i="31" s="1"/>
  <c r="IS250" i="31"/>
  <c r="GS250" i="31"/>
  <c r="BO251" i="31"/>
  <c r="BN251" i="31"/>
  <c r="JH250" i="31" l="1"/>
  <c r="JI250" i="31" s="1"/>
  <c r="IT250" i="31"/>
  <c r="GX250" i="31"/>
  <c r="GW250" i="31"/>
  <c r="HC250" i="31" s="1"/>
  <c r="FA251" i="31" s="1"/>
  <c r="HB251" i="31" s="1"/>
  <c r="GY250" i="31"/>
  <c r="BP251" i="31"/>
  <c r="BQ251" i="31" s="1"/>
  <c r="HK251" i="31" l="1"/>
  <c r="EG250" i="31"/>
  <c r="EH251" i="31" s="1"/>
  <c r="EI251" i="31" s="1"/>
  <c r="FK251" i="31" s="1"/>
  <c r="HM250" i="31"/>
  <c r="EY250" i="31"/>
  <c r="JK250" i="31"/>
  <c r="JZ250" i="31" s="1"/>
  <c r="KF250" i="31" s="1"/>
  <c r="IQ251" i="31" s="1"/>
  <c r="BR251" i="31"/>
  <c r="BS251" i="31"/>
  <c r="BT251" i="31" l="1"/>
  <c r="JN250" i="31"/>
  <c r="JV250" i="31" s="1"/>
  <c r="JF251" i="31" s="1"/>
  <c r="EE250" i="31"/>
  <c r="EF251" i="31" s="1"/>
  <c r="ED250" i="31"/>
  <c r="EB251" i="31" s="1"/>
  <c r="EJ250" i="31"/>
  <c r="EK251" i="31" s="1"/>
  <c r="KA251" i="31"/>
  <c r="HZ251" i="31" s="1"/>
  <c r="JL250" i="31"/>
  <c r="JJ251" i="31" s="1"/>
  <c r="EZ250" i="31"/>
  <c r="DG250" i="31"/>
  <c r="DH250" i="31" s="1"/>
  <c r="DI251" i="31" s="1"/>
  <c r="JM250" i="31"/>
  <c r="KD250" i="31" s="1"/>
  <c r="IL251" i="31" s="1"/>
  <c r="BU251" i="31"/>
  <c r="JO251" i="31" l="1"/>
  <c r="JC251" i="31"/>
  <c r="JD251" i="31"/>
  <c r="EO251" i="31"/>
  <c r="ES252" i="31" s="1"/>
  <c r="EL251" i="31"/>
  <c r="FC251" i="31"/>
  <c r="EV251" i="31"/>
  <c r="EP251" i="31"/>
  <c r="ET252" i="31" s="1"/>
  <c r="GZ251" i="31"/>
  <c r="IE251" i="31" s="1"/>
  <c r="DJ251" i="31"/>
  <c r="DK251" i="31" s="1"/>
  <c r="JY251" i="31"/>
  <c r="JW251" i="31"/>
  <c r="IR251" i="31"/>
  <c r="DP251" i="31"/>
  <c r="IY251" i="31"/>
  <c r="BV251" i="31"/>
  <c r="BW251" i="31" s="1"/>
  <c r="JE251" i="31"/>
  <c r="IO251" i="31"/>
  <c r="IP251" i="31"/>
  <c r="JA251" i="31"/>
  <c r="KG251" i="31" l="1"/>
  <c r="BX251" i="31"/>
  <c r="BY251" i="31"/>
  <c r="JP251" i="31"/>
  <c r="JQ251" i="31" s="1"/>
  <c r="FQ251" i="31"/>
  <c r="DX251" i="31"/>
  <c r="DM251" i="31"/>
  <c r="EC251" i="31"/>
  <c r="JX251" i="31"/>
  <c r="L252" i="31" l="1"/>
  <c r="DL251" i="31"/>
  <c r="CA251" i="31"/>
  <c r="BZ251" i="31"/>
  <c r="EX251" i="31"/>
  <c r="M251" i="31" s="1"/>
  <c r="FB251" i="31"/>
  <c r="CB251" i="31" l="1"/>
  <c r="CC251" i="31" s="1"/>
  <c r="MJ251" i="31"/>
  <c r="NS251" i="31" s="1"/>
  <c r="MB251" i="31"/>
  <c r="NM251" i="31" s="1"/>
  <c r="NN251" i="31" s="1"/>
  <c r="OU252" i="31" l="1"/>
  <c r="NT251" i="31"/>
  <c r="OV252" i="31"/>
  <c r="NW251" i="31"/>
  <c r="CD251" i="31"/>
  <c r="CE251" i="31"/>
  <c r="CF251" i="31" l="1"/>
  <c r="CG251" i="31"/>
  <c r="CH251" i="31" s="1"/>
  <c r="NX251" i="31"/>
  <c r="OF251" i="31" s="1"/>
  <c r="OS252" i="31" s="1"/>
  <c r="FV251" i="31"/>
  <c r="FR251" i="31"/>
  <c r="CX251" i="31"/>
  <c r="NU251" i="31"/>
  <c r="NV251" i="31" s="1"/>
  <c r="CI251" i="31" l="1"/>
  <c r="CJ251" i="31" s="1"/>
  <c r="CO251" i="31" s="1"/>
  <c r="NY251" i="31"/>
  <c r="CK251" i="31"/>
  <c r="MY251" i="31"/>
  <c r="NZ251" i="31"/>
  <c r="CY252" i="31"/>
  <c r="OA251" i="31" l="1"/>
  <c r="MV252" i="31" s="1"/>
  <c r="OG252" i="31"/>
  <c r="MZ252" i="31"/>
  <c r="OZ251" i="31"/>
  <c r="CL251" i="31"/>
  <c r="CM251" i="31"/>
  <c r="CN251" i="31" s="1"/>
  <c r="OM252" i="31"/>
  <c r="NF252" i="31"/>
  <c r="OO252" i="31"/>
  <c r="KT252" i="31" s="1"/>
  <c r="OI251" i="31"/>
  <c r="OB251" i="31"/>
  <c r="OT252" i="31" s="1"/>
  <c r="OJ251" i="31" l="1"/>
  <c r="OY252" i="31" s="1"/>
  <c r="PA251" i="31"/>
  <c r="OC251" i="31"/>
  <c r="OD252" i="31" s="1"/>
  <c r="OH252" i="31" s="1"/>
  <c r="OK252" i="31" s="1"/>
  <c r="KL252" i="31"/>
  <c r="KN253" i="31" s="1"/>
  <c r="KQ252" i="31" s="1"/>
  <c r="KM252" i="31"/>
  <c r="KO253" i="31" s="1"/>
  <c r="CP251" i="31"/>
  <c r="OX252" i="31"/>
  <c r="OW251" i="31"/>
  <c r="MR252" i="31"/>
  <c r="MS252" i="31" s="1"/>
  <c r="MW252" i="31" l="1"/>
  <c r="MX252" i="31" s="1"/>
  <c r="NA252" i="31" s="1"/>
  <c r="FU251" i="31"/>
  <c r="FW251" i="31" s="1"/>
  <c r="DQ251" i="31"/>
  <c r="DR251" i="31" s="1"/>
  <c r="DS251" i="31" s="1"/>
  <c r="AX251" i="31" s="1"/>
  <c r="AY252" i="31" s="1"/>
  <c r="KU251" i="31"/>
  <c r="CQ251" i="31"/>
  <c r="FE251" i="31"/>
  <c r="FF251" i="31" s="1"/>
  <c r="GO251" i="31"/>
  <c r="FZ251" i="31"/>
  <c r="GA251" i="31" s="1"/>
  <c r="GB251" i="31"/>
  <c r="GC251" i="31" s="1"/>
  <c r="FX251" i="31"/>
  <c r="FY251" i="31" s="1"/>
  <c r="HO251" i="31"/>
  <c r="JR251" i="31"/>
  <c r="JS251" i="31" s="1"/>
  <c r="FH251" i="31"/>
  <c r="FI251" i="31" s="1"/>
  <c r="KX251" i="31"/>
  <c r="GN251" i="31" s="1"/>
  <c r="FP251" i="31"/>
  <c r="FS251" i="31" s="1"/>
  <c r="NP252" i="31"/>
  <c r="MO252" i="31"/>
  <c r="MU252" i="31"/>
  <c r="NH253" i="31"/>
  <c r="NI253" i="31" s="1"/>
  <c r="PE252" i="31"/>
  <c r="MT252" i="31"/>
  <c r="NQ252" i="31"/>
  <c r="NJ252" i="31"/>
  <c r="KR252" i="31"/>
  <c r="KS252" i="31" s="1"/>
  <c r="KP253" i="31"/>
  <c r="NB252" i="31" l="1"/>
  <c r="NR252" i="31"/>
  <c r="KV251" i="31"/>
  <c r="GQ251" i="31"/>
  <c r="HW251" i="31"/>
  <c r="HX252" i="31" s="1"/>
  <c r="FG252" i="31"/>
  <c r="HY251" i="31"/>
  <c r="HA251" i="31"/>
  <c r="DY251" i="31"/>
  <c r="CR251" i="31"/>
  <c r="CS251" i="31"/>
  <c r="CT251" i="31"/>
  <c r="HU251" i="31"/>
  <c r="HV252" i="31" s="1"/>
  <c r="FJ252" i="31"/>
  <c r="KC251" i="31"/>
  <c r="JU251" i="31"/>
  <c r="KE251" i="31"/>
  <c r="JT252" i="31"/>
  <c r="IZ251" i="31"/>
  <c r="IA251" i="31"/>
  <c r="IB251" i="31" s="1"/>
  <c r="HP251" i="31"/>
  <c r="EM251" i="31"/>
  <c r="EW251" i="31" s="1"/>
  <c r="AZ251" i="31"/>
  <c r="EN251" i="31"/>
  <c r="NG253" i="31"/>
  <c r="NL252" i="31"/>
  <c r="NK252" i="31"/>
  <c r="OQ253" i="31"/>
  <c r="OR253" i="31" s="1"/>
  <c r="KW252" i="31" l="1"/>
  <c r="HQ251" i="31"/>
  <c r="HR252" i="31" s="1"/>
  <c r="IU251" i="31"/>
  <c r="IV251" i="31" s="1"/>
  <c r="BB252" i="31"/>
  <c r="BC252" i="31" s="1"/>
  <c r="BD252" i="31" s="1"/>
  <c r="DW251" i="31"/>
  <c r="DU252" i="31" s="1"/>
  <c r="EQ251" i="31"/>
  <c r="IW251" i="31"/>
  <c r="ER252" i="31"/>
  <c r="EU252" i="31" s="1"/>
  <c r="HT251" i="31"/>
  <c r="HS251" i="31"/>
  <c r="JG251" i="31" s="1"/>
  <c r="NC253" i="31"/>
  <c r="MQ253" i="31"/>
  <c r="IC251" i="31" l="1"/>
  <c r="ID251" i="31" s="1"/>
  <c r="IF251" i="31" s="1"/>
  <c r="KH251" i="31" s="1"/>
  <c r="JB251" i="31"/>
  <c r="BE252" i="31"/>
  <c r="BF252" i="31" s="1"/>
  <c r="IX251" i="31"/>
  <c r="KK251" i="31"/>
  <c r="KB251" i="31"/>
  <c r="BG252" i="31"/>
  <c r="DB251" i="31" l="1"/>
  <c r="DC251" i="31" s="1"/>
  <c r="DD252" i="31" s="1"/>
  <c r="DE253" i="31" s="1"/>
  <c r="IM251" i="31"/>
  <c r="GM251" i="31"/>
  <c r="KI252" i="31"/>
  <c r="KJ252" i="31" s="1"/>
  <c r="DF251" i="31"/>
  <c r="IN251" i="31"/>
  <c r="BI252" i="31"/>
  <c r="BK252" i="31" s="1"/>
  <c r="BH252" i="31"/>
  <c r="DT251" i="31" l="1"/>
  <c r="DZ251" i="31" s="1"/>
  <c r="GT253" i="31"/>
  <c r="FD251" i="31"/>
  <c r="GU251" i="31"/>
  <c r="GV251" i="31"/>
  <c r="GR251" i="31"/>
  <c r="BJ252" i="31"/>
  <c r="BL252" i="31"/>
  <c r="BM252" i="31"/>
  <c r="GS251" i="31" l="1"/>
  <c r="IS251" i="31"/>
  <c r="FL252" i="31"/>
  <c r="FM252" i="31" s="1"/>
  <c r="BN252" i="31"/>
  <c r="BO252" i="31"/>
  <c r="JH251" i="31" l="1"/>
  <c r="JI251" i="31" s="1"/>
  <c r="IT251" i="31"/>
  <c r="GY251" i="31"/>
  <c r="GX251" i="31"/>
  <c r="GW251" i="31"/>
  <c r="HC251" i="31" s="1"/>
  <c r="FA252" i="31" s="1"/>
  <c r="HB252" i="31" s="1"/>
  <c r="BP252" i="31"/>
  <c r="BQ252" i="31" s="1"/>
  <c r="EG251" i="31" l="1"/>
  <c r="EH252" i="31" s="1"/>
  <c r="EI252" i="31" s="1"/>
  <c r="FK252" i="31" s="1"/>
  <c r="HM251" i="31"/>
  <c r="EY251" i="31"/>
  <c r="HK252" i="31"/>
  <c r="JK251" i="31"/>
  <c r="JN251" i="31" s="1"/>
  <c r="JV251" i="31" s="1"/>
  <c r="JF252" i="31" s="1"/>
  <c r="BR252" i="31"/>
  <c r="BS252" i="31"/>
  <c r="BT252" i="31" l="1"/>
  <c r="BU252" i="31"/>
  <c r="BV252" i="31" s="1"/>
  <c r="BW252" i="31" s="1"/>
  <c r="JY252" i="31"/>
  <c r="JW252" i="31"/>
  <c r="JM251" i="31"/>
  <c r="KD251" i="31" s="1"/>
  <c r="IL252" i="31" s="1"/>
  <c r="ED251" i="31"/>
  <c r="EB252" i="31" s="1"/>
  <c r="EJ251" i="31"/>
  <c r="EK252" i="31" s="1"/>
  <c r="EE251" i="31"/>
  <c r="EF252" i="31" s="1"/>
  <c r="EZ251" i="31"/>
  <c r="DG251" i="31"/>
  <c r="DH251" i="31" s="1"/>
  <c r="DI252" i="31" s="1"/>
  <c r="JL251" i="31"/>
  <c r="JJ252" i="31" s="1"/>
  <c r="KA252" i="31"/>
  <c r="HZ252" i="31" s="1"/>
  <c r="JZ251" i="31"/>
  <c r="KF251" i="31" s="1"/>
  <c r="IQ252" i="31" s="1"/>
  <c r="BY252" i="31" l="1"/>
  <c r="BX252" i="31"/>
  <c r="IP252" i="31"/>
  <c r="GZ252" i="31"/>
  <c r="IE252" i="31" s="1"/>
  <c r="DJ252" i="31"/>
  <c r="DK252" i="31" s="1"/>
  <c r="JC252" i="31"/>
  <c r="JD252" i="31"/>
  <c r="JO252" i="31"/>
  <c r="JA252" i="31"/>
  <c r="JE252" i="31"/>
  <c r="IR252" i="31"/>
  <c r="IY252" i="31"/>
  <c r="IO252" i="31"/>
  <c r="EO252" i="31"/>
  <c r="ES253" i="31" s="1"/>
  <c r="EP252" i="31"/>
  <c r="ET253" i="31" s="1"/>
  <c r="FC252" i="31"/>
  <c r="EV252" i="31"/>
  <c r="EL252" i="31"/>
  <c r="DP252" i="31"/>
  <c r="BZ252" i="31" l="1"/>
  <c r="CA252" i="31"/>
  <c r="JP252" i="31"/>
  <c r="JQ252" i="31" s="1"/>
  <c r="KG252" i="31"/>
  <c r="EC252" i="31"/>
  <c r="JX252" i="31"/>
  <c r="DX252" i="31"/>
  <c r="DM252" i="31"/>
  <c r="FQ252" i="31"/>
  <c r="CB252" i="31" l="1"/>
  <c r="CC252" i="31" s="1"/>
  <c r="DL252" i="31"/>
  <c r="L253" i="31"/>
  <c r="EX252" i="31"/>
  <c r="M252" i="31" s="1"/>
  <c r="FB252" i="31"/>
  <c r="CD252" i="31" l="1"/>
  <c r="CE252" i="31"/>
  <c r="CF252" i="31" s="1"/>
  <c r="MJ252" i="31"/>
  <c r="NS252" i="31" s="1"/>
  <c r="MB252" i="31"/>
  <c r="NM252" i="31" s="1"/>
  <c r="NN252" i="31" s="1"/>
  <c r="CG252" i="31" l="1"/>
  <c r="CH252" i="31" s="1"/>
  <c r="CI252" i="31" s="1"/>
  <c r="CJ252" i="31" s="1"/>
  <c r="CO252" i="31" s="1"/>
  <c r="NW252" i="31"/>
  <c r="OV253" i="31"/>
  <c r="NT252" i="31"/>
  <c r="OU253" i="31"/>
  <c r="CK252" i="31" l="1"/>
  <c r="CL252" i="31" s="1"/>
  <c r="FR252" i="31"/>
  <c r="NU252" i="31"/>
  <c r="NV252" i="31" s="1"/>
  <c r="FV252" i="31"/>
  <c r="CX252" i="31"/>
  <c r="NX252" i="31"/>
  <c r="CM252" i="31" l="1"/>
  <c r="CN252" i="31" s="1"/>
  <c r="CP252" i="31" s="1"/>
  <c r="FP252" i="31" s="1"/>
  <c r="FS252" i="31" s="1"/>
  <c r="DY252" i="31" s="1"/>
  <c r="NY252" i="31"/>
  <c r="MY252" i="31"/>
  <c r="NZ252" i="31"/>
  <c r="CY253" i="31"/>
  <c r="OF252" i="31"/>
  <c r="OS253" i="31" s="1"/>
  <c r="JR252" i="31" l="1"/>
  <c r="JS252" i="31" s="1"/>
  <c r="JU252" i="31" s="1"/>
  <c r="CQ252" i="31"/>
  <c r="CT252" i="31" s="1"/>
  <c r="DQ252" i="31"/>
  <c r="DR252" i="31" s="1"/>
  <c r="DS252" i="31" s="1"/>
  <c r="AX252" i="31" s="1"/>
  <c r="AY253" i="31" s="1"/>
  <c r="GB252" i="31"/>
  <c r="GC252" i="31" s="1"/>
  <c r="FH252" i="31"/>
  <c r="FI252" i="31" s="1"/>
  <c r="HU252" i="31" s="1"/>
  <c r="HV253" i="31" s="1"/>
  <c r="FU252" i="31"/>
  <c r="FW252" i="31" s="1"/>
  <c r="FZ252" i="31"/>
  <c r="GA252" i="31" s="1"/>
  <c r="KX252" i="31"/>
  <c r="GN252" i="31" s="1"/>
  <c r="KV252" i="31" s="1"/>
  <c r="KW253" i="31" s="1"/>
  <c r="FX252" i="31"/>
  <c r="FY252" i="31" s="1"/>
  <c r="KU252" i="31"/>
  <c r="FE252" i="31"/>
  <c r="FF252" i="31" s="1"/>
  <c r="HW252" i="31" s="1"/>
  <c r="HX253" i="31" s="1"/>
  <c r="GO252" i="31"/>
  <c r="HO252" i="31"/>
  <c r="IZ252" i="31" s="1"/>
  <c r="HQ252" i="31"/>
  <c r="HR253" i="31" s="1"/>
  <c r="OA252" i="31"/>
  <c r="MV253" i="31" s="1"/>
  <c r="OG253" i="31" s="1"/>
  <c r="CS252" i="31"/>
  <c r="HA252" i="31"/>
  <c r="CR252" i="31"/>
  <c r="HY252" i="31"/>
  <c r="OI252" i="31"/>
  <c r="OX253" i="31" s="1"/>
  <c r="OB252" i="31"/>
  <c r="OT253" i="31" s="1"/>
  <c r="OO253" i="31"/>
  <c r="NF253" i="31"/>
  <c r="OM253" i="31"/>
  <c r="MZ253" i="31"/>
  <c r="OZ252" i="31"/>
  <c r="KC252" i="31" l="1"/>
  <c r="JT253" i="31"/>
  <c r="KE252" i="31"/>
  <c r="EM252" i="31"/>
  <c r="EW252" i="31" s="1"/>
  <c r="EN252" i="31"/>
  <c r="IW252" i="31" s="1"/>
  <c r="FJ253" i="31"/>
  <c r="AZ252" i="31"/>
  <c r="GQ252" i="31"/>
  <c r="FG253" i="31"/>
  <c r="HP252" i="31"/>
  <c r="HT252" i="31" s="1"/>
  <c r="IC252" i="31" s="1"/>
  <c r="ID252" i="31" s="1"/>
  <c r="IA252" i="31"/>
  <c r="IB252" i="31" s="1"/>
  <c r="KT253" i="31"/>
  <c r="KL253" i="31" s="1"/>
  <c r="KN254" i="31" s="1"/>
  <c r="KQ253" i="31" s="1"/>
  <c r="MR253" i="31"/>
  <c r="MS253" i="31" s="1"/>
  <c r="NP253" i="31" s="1"/>
  <c r="OW252" i="31"/>
  <c r="OJ252" i="31"/>
  <c r="OY253" i="31" s="1"/>
  <c r="PA252" i="31"/>
  <c r="OC252" i="31"/>
  <c r="OD253" i="31" s="1"/>
  <c r="OH253" i="31" s="1"/>
  <c r="OK253" i="31" s="1"/>
  <c r="ER253" i="31" l="1"/>
  <c r="EU253" i="31" s="1"/>
  <c r="DW252" i="31"/>
  <c r="DU253" i="31" s="1"/>
  <c r="BB253" i="31"/>
  <c r="BC253" i="31" s="1"/>
  <c r="EQ252" i="31"/>
  <c r="IU252" i="31"/>
  <c r="IV252" i="31" s="1"/>
  <c r="KK252" i="31" s="1"/>
  <c r="HS252" i="31"/>
  <c r="JG252" i="31" s="1"/>
  <c r="JB252" i="31"/>
  <c r="IF252" i="31"/>
  <c r="KH252" i="31" s="1"/>
  <c r="DB252" i="31" s="1"/>
  <c r="DC252" i="31" s="1"/>
  <c r="DD253" i="31" s="1"/>
  <c r="DE254" i="31" s="1"/>
  <c r="KM253" i="31"/>
  <c r="KO254" i="31" s="1"/>
  <c r="KR253" i="31" s="1"/>
  <c r="KS253" i="31" s="1"/>
  <c r="MT253" i="31"/>
  <c r="PE253" i="31"/>
  <c r="NQ253" i="31"/>
  <c r="NR253" i="31" s="1"/>
  <c r="MU253" i="31"/>
  <c r="NJ253" i="31"/>
  <c r="NK253" i="31" s="1"/>
  <c r="MO253" i="31"/>
  <c r="NH254" i="31"/>
  <c r="NI254" i="31" s="1"/>
  <c r="MW253" i="31"/>
  <c r="MX253" i="31" s="1"/>
  <c r="NA253" i="31" s="1"/>
  <c r="IX252" i="31" l="1"/>
  <c r="KB252" i="31"/>
  <c r="DF252" i="31"/>
  <c r="GV252" i="31" s="1"/>
  <c r="IN252" i="31"/>
  <c r="KI253" i="31"/>
  <c r="KJ253" i="31" s="1"/>
  <c r="IM252" i="31"/>
  <c r="DT252" i="31" s="1"/>
  <c r="DZ252" i="31" s="1"/>
  <c r="GM252" i="31"/>
  <c r="KP254" i="31"/>
  <c r="OQ254" i="31"/>
  <c r="OR254" i="31" s="1"/>
  <c r="NL253" i="31"/>
  <c r="NG254" i="31"/>
  <c r="NB253" i="31"/>
  <c r="GT254" i="31"/>
  <c r="GU252" i="31"/>
  <c r="BE253" i="31"/>
  <c r="BD253" i="31"/>
  <c r="FD252" i="31" l="1"/>
  <c r="IS252" i="31" s="1"/>
  <c r="GR252" i="31"/>
  <c r="NC254" i="31"/>
  <c r="MQ254" i="31"/>
  <c r="BG253" i="31"/>
  <c r="BF253" i="31"/>
  <c r="FL253" i="31" l="1"/>
  <c r="FM253" i="31" s="1"/>
  <c r="GS252" i="31"/>
  <c r="GX252" i="31" s="1"/>
  <c r="BH253" i="31"/>
  <c r="BI253" i="31"/>
  <c r="BK253" i="31" s="1"/>
  <c r="JH252" i="31"/>
  <c r="JI252" i="31" s="1"/>
  <c r="IT252" i="31"/>
  <c r="GW252" i="31" l="1"/>
  <c r="HC252" i="31" s="1"/>
  <c r="FA253" i="31" s="1"/>
  <c r="HB253" i="31" s="1"/>
  <c r="GY252" i="31"/>
  <c r="BL253" i="31"/>
  <c r="BM253" i="31"/>
  <c r="JK252" i="31"/>
  <c r="JN252" i="31" s="1"/>
  <c r="JV252" i="31" s="1"/>
  <c r="JF253" i="31" s="1"/>
  <c r="HM252" i="31"/>
  <c r="EY252" i="31"/>
  <c r="EG252" i="31"/>
  <c r="EH253" i="31" s="1"/>
  <c r="EI253" i="31" s="1"/>
  <c r="FK253" i="31" s="1"/>
  <c r="HK253" i="31"/>
  <c r="BJ253" i="31"/>
  <c r="JY253" i="31" l="1"/>
  <c r="JW253" i="31"/>
  <c r="JM252" i="31"/>
  <c r="KD252" i="31" s="1"/>
  <c r="IL253" i="31" s="1"/>
  <c r="JL252" i="31"/>
  <c r="JJ253" i="31" s="1"/>
  <c r="KA253" i="31"/>
  <c r="JZ252" i="31"/>
  <c r="KF252" i="31" s="1"/>
  <c r="IQ253" i="31" s="1"/>
  <c r="BN253" i="31"/>
  <c r="BO253" i="31"/>
  <c r="EZ252" i="31"/>
  <c r="DG252" i="31"/>
  <c r="DH252" i="31" s="1"/>
  <c r="DI253" i="31" s="1"/>
  <c r="EJ252" i="31"/>
  <c r="EK253" i="31" s="1"/>
  <c r="ED252" i="31"/>
  <c r="EB253" i="31" s="1"/>
  <c r="EE252" i="31"/>
  <c r="EF253" i="31" s="1"/>
  <c r="BP253" i="31" l="1"/>
  <c r="BQ253" i="31" s="1"/>
  <c r="JC253" i="31"/>
  <c r="JD253" i="31"/>
  <c r="IY253" i="31"/>
  <c r="JA253" i="31"/>
  <c r="JE253" i="31"/>
  <c r="IR253" i="31"/>
  <c r="JO253" i="31"/>
  <c r="IO253" i="31"/>
  <c r="IP253" i="31"/>
  <c r="GZ253" i="31"/>
  <c r="IE253" i="31" s="1"/>
  <c r="DJ253" i="31"/>
  <c r="DK253" i="31" s="1"/>
  <c r="DP253" i="31"/>
  <c r="HZ253" i="31"/>
  <c r="EL253" i="31"/>
  <c r="EO253" i="31"/>
  <c r="ES254" i="31" s="1"/>
  <c r="EP253" i="31"/>
  <c r="ET254" i="31" s="1"/>
  <c r="FC253" i="31"/>
  <c r="EV253" i="31"/>
  <c r="KG253" i="31" l="1"/>
  <c r="JP253" i="31"/>
  <c r="JQ253" i="31" s="1"/>
  <c r="BR253" i="31"/>
  <c r="BS253" i="31"/>
  <c r="BU253" i="31" s="1"/>
  <c r="JX253" i="31"/>
  <c r="DX253" i="31"/>
  <c r="FQ253" i="31"/>
  <c r="DM253" i="31"/>
  <c r="EC253" i="31"/>
  <c r="BT253" i="31" l="1"/>
  <c r="FB253" i="31"/>
  <c r="EX253" i="31"/>
  <c r="M253" i="31" s="1"/>
  <c r="DL253" i="31"/>
  <c r="L254" i="31"/>
  <c r="BV253" i="31"/>
  <c r="BW253" i="31" s="1"/>
  <c r="BX253" i="31" l="1"/>
  <c r="BY253" i="31"/>
  <c r="MJ253" i="31"/>
  <c r="NS253" i="31" s="1"/>
  <c r="MB253" i="31"/>
  <c r="NM253" i="31" s="1"/>
  <c r="NN253" i="31" s="1"/>
  <c r="BZ253" i="31" l="1"/>
  <c r="CA253" i="31"/>
  <c r="OV254" i="31"/>
  <c r="NW253" i="31"/>
  <c r="NT253" i="31"/>
  <c r="OU254" i="31"/>
  <c r="CB253" i="31" l="1"/>
  <c r="CC253" i="31" s="1"/>
  <c r="FR253" i="31"/>
  <c r="CX253" i="31"/>
  <c r="FV253" i="31"/>
  <c r="NU253" i="31"/>
  <c r="NX253" i="31"/>
  <c r="OF253" i="31" s="1"/>
  <c r="OS254" i="31" s="1"/>
  <c r="CD253" i="31" l="1"/>
  <c r="CE253" i="31"/>
  <c r="CG253" i="31" s="1"/>
  <c r="NV253" i="31"/>
  <c r="MY253" i="31"/>
  <c r="NZ253" i="31"/>
  <c r="CY254" i="31"/>
  <c r="NY253" i="31"/>
  <c r="CH253" i="31" l="1"/>
  <c r="CI253" i="31" s="1"/>
  <c r="CF253" i="31"/>
  <c r="OA253" i="31"/>
  <c r="MV254" i="31" s="1"/>
  <c r="OG254" i="31" s="1"/>
  <c r="OB253" i="31"/>
  <c r="OT254" i="31" s="1"/>
  <c r="OI253" i="31"/>
  <c r="MZ254" i="31"/>
  <c r="OZ253" i="31"/>
  <c r="OM254" i="31"/>
  <c r="OO254" i="31"/>
  <c r="NF254" i="31"/>
  <c r="CK253" i="31" l="1"/>
  <c r="CM253" i="31" s="1"/>
  <c r="CN253" i="31" s="1"/>
  <c r="CJ253" i="31"/>
  <c r="CO253" i="31" s="1"/>
  <c r="KT254" i="31"/>
  <c r="KL254" i="31" s="1"/>
  <c r="KN255" i="31" s="1"/>
  <c r="MR254" i="31"/>
  <c r="OX254" i="31"/>
  <c r="OW253" i="31"/>
  <c r="OJ253" i="31"/>
  <c r="PA253" i="31"/>
  <c r="OC253" i="31"/>
  <c r="OD254" i="31" s="1"/>
  <c r="OH254" i="31" s="1"/>
  <c r="OK254" i="31" s="1"/>
  <c r="CL253" i="31" l="1"/>
  <c r="CP253" i="31" s="1"/>
  <c r="FH253" i="31" s="1"/>
  <c r="FI253" i="31" s="1"/>
  <c r="KM254" i="31"/>
  <c r="KO255" i="31" s="1"/>
  <c r="KP255" i="31" s="1"/>
  <c r="MS254" i="31"/>
  <c r="KQ254" i="31"/>
  <c r="OY254" i="31"/>
  <c r="MW254" i="31"/>
  <c r="FE253" i="31" l="1"/>
  <c r="FF253" i="31" s="1"/>
  <c r="HW253" i="31" s="1"/>
  <c r="HX254" i="31" s="1"/>
  <c r="GO253" i="31"/>
  <c r="HO253" i="31"/>
  <c r="IZ253" i="31" s="1"/>
  <c r="FZ253" i="31"/>
  <c r="GA253" i="31" s="1"/>
  <c r="FP253" i="31"/>
  <c r="FS253" i="31" s="1"/>
  <c r="HA253" i="31" s="1"/>
  <c r="KX253" i="31"/>
  <c r="GN253" i="31" s="1"/>
  <c r="DQ253" i="31"/>
  <c r="DR253" i="31" s="1"/>
  <c r="DS253" i="31" s="1"/>
  <c r="AX253" i="31" s="1"/>
  <c r="AY254" i="31" s="1"/>
  <c r="GB253" i="31"/>
  <c r="GC253" i="31" s="1"/>
  <c r="JR253" i="31"/>
  <c r="JS253" i="31" s="1"/>
  <c r="JU253" i="31" s="1"/>
  <c r="CQ253" i="31"/>
  <c r="CR253" i="31" s="1"/>
  <c r="KU253" i="31"/>
  <c r="FU253" i="31"/>
  <c r="FW253" i="31" s="1"/>
  <c r="FX253" i="31"/>
  <c r="FY253" i="31" s="1"/>
  <c r="KR254" i="31"/>
  <c r="KS254" i="31" s="1"/>
  <c r="DY253" i="31"/>
  <c r="HY253" i="31"/>
  <c r="NJ254" i="31"/>
  <c r="NP254" i="31"/>
  <c r="NH255" i="31"/>
  <c r="NI255" i="31" s="1"/>
  <c r="NQ254" i="31"/>
  <c r="MO254" i="31"/>
  <c r="MU254" i="31"/>
  <c r="MT254" i="31"/>
  <c r="PE254" i="31"/>
  <c r="HU253" i="31"/>
  <c r="HV254" i="31" s="1"/>
  <c r="FJ254" i="31"/>
  <c r="HP253" i="31"/>
  <c r="IA253" i="31"/>
  <c r="IB253" i="31" s="1"/>
  <c r="MX254" i="31"/>
  <c r="FG254" i="31" l="1"/>
  <c r="JT254" i="31"/>
  <c r="KE253" i="31"/>
  <c r="KC253" i="31"/>
  <c r="CS253" i="31"/>
  <c r="GQ253" i="31"/>
  <c r="CT253" i="31"/>
  <c r="KV253" i="31"/>
  <c r="KW254" i="31" s="1"/>
  <c r="HQ253" i="31"/>
  <c r="HR254" i="31" s="1"/>
  <c r="NL254" i="31"/>
  <c r="NK254" i="31"/>
  <c r="NG255" i="31"/>
  <c r="OQ255" i="31"/>
  <c r="EM253" i="31"/>
  <c r="EW253" i="31" s="1"/>
  <c r="AZ253" i="31"/>
  <c r="EN253" i="31"/>
  <c r="HT253" i="31"/>
  <c r="HS253" i="31"/>
  <c r="JG253" i="31" s="1"/>
  <c r="NB254" i="31"/>
  <c r="NA254" i="31"/>
  <c r="NR254" i="31"/>
  <c r="BB254" i="31" l="1"/>
  <c r="DW253" i="31"/>
  <c r="DU254" i="31" s="1"/>
  <c r="IW253" i="31"/>
  <c r="EQ253" i="31"/>
  <c r="ER254" i="31"/>
  <c r="IU253" i="31"/>
  <c r="IV253" i="31" s="1"/>
  <c r="IC253" i="31"/>
  <c r="ID253" i="31" s="1"/>
  <c r="IF253" i="31" s="1"/>
  <c r="KH253" i="31" s="1"/>
  <c r="JB253" i="31"/>
  <c r="OR255" i="31"/>
  <c r="NC255" i="31"/>
  <c r="MQ255" i="31"/>
  <c r="IX253" i="31" l="1"/>
  <c r="KK253" i="31"/>
  <c r="EU254" i="31"/>
  <c r="KB253" i="31"/>
  <c r="BC254" i="31"/>
  <c r="GM253" i="31"/>
  <c r="DB253" i="31"/>
  <c r="DC253" i="31" s="1"/>
  <c r="DD254" i="31" s="1"/>
  <c r="DE255" i="31" s="1"/>
  <c r="IM253" i="31"/>
  <c r="KI254" i="31"/>
  <c r="IN253" i="31"/>
  <c r="DF253" i="31"/>
  <c r="GT255" i="31" l="1"/>
  <c r="GR253" i="31"/>
  <c r="DT253" i="31"/>
  <c r="DZ253" i="31" s="1"/>
  <c r="GV253" i="31"/>
  <c r="GU253" i="31"/>
  <c r="FD253" i="31"/>
  <c r="KJ254" i="31"/>
  <c r="BD254" i="31"/>
  <c r="BE254" i="31"/>
  <c r="IS253" i="31" l="1"/>
  <c r="FL254" i="31"/>
  <c r="BG254" i="31"/>
  <c r="BF254" i="31"/>
  <c r="GS253" i="31"/>
  <c r="GW253" i="31" l="1"/>
  <c r="HC253" i="31" s="1"/>
  <c r="FA254" i="31" s="1"/>
  <c r="HB254" i="31" s="1"/>
  <c r="GX253" i="31"/>
  <c r="GY253" i="31"/>
  <c r="FM254" i="31"/>
  <c r="BI254" i="31"/>
  <c r="BK254" i="31" s="1"/>
  <c r="BH254" i="31"/>
  <c r="JH253" i="31"/>
  <c r="JI253" i="31" s="1"/>
  <c r="IT253" i="31"/>
  <c r="BL254" i="31" l="1"/>
  <c r="BM254" i="31"/>
  <c r="HM253" i="31"/>
  <c r="EG253" i="31"/>
  <c r="EH254" i="31" s="1"/>
  <c r="EI254" i="31" s="1"/>
  <c r="FK254" i="31" s="1"/>
  <c r="EY253" i="31"/>
  <c r="HK254" i="31"/>
  <c r="JK253" i="31"/>
  <c r="JN253" i="31" s="1"/>
  <c r="JV253" i="31" s="1"/>
  <c r="JF254" i="31" s="1"/>
  <c r="BJ254" i="31"/>
  <c r="JW254" i="31" l="1"/>
  <c r="JY254" i="31"/>
  <c r="EZ253" i="31"/>
  <c r="DG253" i="31"/>
  <c r="DH253" i="31" s="1"/>
  <c r="DI254" i="31" s="1"/>
  <c r="JM253" i="31"/>
  <c r="KD253" i="31" s="1"/>
  <c r="IL254" i="31" s="1"/>
  <c r="EE253" i="31"/>
  <c r="EF254" i="31" s="1"/>
  <c r="EJ253" i="31"/>
  <c r="EK254" i="31" s="1"/>
  <c r="ED253" i="31"/>
  <c r="EB254" i="31" s="1"/>
  <c r="BO254" i="31"/>
  <c r="BN254" i="31"/>
  <c r="JZ253" i="31"/>
  <c r="KF253" i="31" s="1"/>
  <c r="IQ254" i="31" s="1"/>
  <c r="JL253" i="31"/>
  <c r="JJ254" i="31" s="1"/>
  <c r="KA254" i="31"/>
  <c r="EL254" i="31" l="1"/>
  <c r="EO254" i="31"/>
  <c r="ES255" i="31" s="1"/>
  <c r="EP254" i="31"/>
  <c r="ET255" i="31" s="1"/>
  <c r="FC254" i="31"/>
  <c r="EV254" i="31"/>
  <c r="JC254" i="31"/>
  <c r="JD254" i="31"/>
  <c r="JA254" i="31"/>
  <c r="IY254" i="31"/>
  <c r="IR254" i="31"/>
  <c r="JO254" i="31"/>
  <c r="JE254" i="31"/>
  <c r="IP254" i="31"/>
  <c r="IO254" i="31"/>
  <c r="DJ254" i="31"/>
  <c r="DK254" i="31" s="1"/>
  <c r="GZ254" i="31"/>
  <c r="IE254" i="31" s="1"/>
  <c r="DP254" i="31"/>
  <c r="HZ254" i="31"/>
  <c r="BP254" i="31"/>
  <c r="BQ254" i="31" s="1"/>
  <c r="JX254" i="31" l="1"/>
  <c r="KG254" i="31"/>
  <c r="DX254" i="31"/>
  <c r="FQ254" i="31"/>
  <c r="DM254" i="31"/>
  <c r="EC254" i="31"/>
  <c r="BR254" i="31"/>
  <c r="BS254" i="31"/>
  <c r="JP254" i="31"/>
  <c r="JQ254" i="31" s="1"/>
  <c r="FB254" i="31" l="1"/>
  <c r="EX254" i="31"/>
  <c r="M254" i="31" s="1"/>
  <c r="DL254" i="31"/>
  <c r="L255" i="31"/>
  <c r="BT254" i="31"/>
  <c r="BU254" i="31"/>
  <c r="BV254" i="31" l="1"/>
  <c r="BW254" i="31" s="1"/>
  <c r="MJ254" i="31"/>
  <c r="NS254" i="31" s="1"/>
  <c r="MB254" i="31"/>
  <c r="NM254" i="31" l="1"/>
  <c r="NN254" i="31" s="1"/>
  <c r="BX254" i="31"/>
  <c r="BY254" i="31"/>
  <c r="CA254" i="31" s="1"/>
  <c r="NT254" i="31"/>
  <c r="OU255" i="31"/>
  <c r="OV255" i="31" l="1"/>
  <c r="NW254" i="31"/>
  <c r="NX254" i="31" s="1"/>
  <c r="BZ254" i="31"/>
  <c r="FR254" i="31"/>
  <c r="CX254" i="31"/>
  <c r="FV254" i="31"/>
  <c r="NU254" i="31"/>
  <c r="CB254" i="31"/>
  <c r="CC254" i="31" s="1"/>
  <c r="CD254" i="31" l="1"/>
  <c r="CE254" i="31"/>
  <c r="CG254" i="31" s="1"/>
  <c r="NV254" i="31"/>
  <c r="NY254" i="31"/>
  <c r="NZ254" i="31"/>
  <c r="MY254" i="31"/>
  <c r="CY255" i="31"/>
  <c r="OF254" i="31"/>
  <c r="OS255" i="31" s="1"/>
  <c r="CF254" i="31" l="1"/>
  <c r="OA254" i="31"/>
  <c r="MV255" i="31" s="1"/>
  <c r="OG255" i="31" s="1"/>
  <c r="MZ255" i="31"/>
  <c r="OZ254" i="31"/>
  <c r="CH254" i="31"/>
  <c r="CI254" i="31" s="1"/>
  <c r="OB254" i="31"/>
  <c r="OT255" i="31" s="1"/>
  <c r="OI254" i="31"/>
  <c r="OM255" i="31"/>
  <c r="NF255" i="31"/>
  <c r="OO255" i="31"/>
  <c r="KT255" i="31" l="1"/>
  <c r="KL255" i="31" s="1"/>
  <c r="KN256" i="31" s="1"/>
  <c r="OJ254" i="31"/>
  <c r="OY255" i="31" s="1"/>
  <c r="OC254" i="31"/>
  <c r="OD255" i="31" s="1"/>
  <c r="OH255" i="31" s="1"/>
  <c r="OK255" i="31" s="1"/>
  <c r="CK254" i="31"/>
  <c r="CM254" i="31" s="1"/>
  <c r="CN254" i="31" s="1"/>
  <c r="CJ254" i="31"/>
  <c r="CO254" i="31" s="1"/>
  <c r="PA254" i="31"/>
  <c r="KM255" i="31"/>
  <c r="KO256" i="31" s="1"/>
  <c r="OX255" i="31"/>
  <c r="OW254" i="31"/>
  <c r="MR255" i="31"/>
  <c r="MW255" i="31" l="1"/>
  <c r="MX255" i="31" s="1"/>
  <c r="CL254" i="31"/>
  <c r="CP254" i="31" s="1"/>
  <c r="MS255" i="31"/>
  <c r="KP256" i="31"/>
  <c r="KR255" i="31"/>
  <c r="KQ255" i="31"/>
  <c r="KS255" i="31" l="1"/>
  <c r="HO254" i="31"/>
  <c r="IA254" i="31" s="1"/>
  <c r="IB254" i="31" s="1"/>
  <c r="FU254" i="31"/>
  <c r="FW254" i="31" s="1"/>
  <c r="GB254" i="31"/>
  <c r="GC254" i="31" s="1"/>
  <c r="CQ254" i="31"/>
  <c r="CR254" i="31" s="1"/>
  <c r="FE254" i="31"/>
  <c r="FF254" i="31" s="1"/>
  <c r="HW254" i="31" s="1"/>
  <c r="HX255" i="31" s="1"/>
  <c r="KU254" i="31"/>
  <c r="FZ254" i="31"/>
  <c r="GA254" i="31" s="1"/>
  <c r="FX254" i="31"/>
  <c r="FY254" i="31" s="1"/>
  <c r="DQ254" i="31"/>
  <c r="DR254" i="31" s="1"/>
  <c r="DS254" i="31" s="1"/>
  <c r="AX254" i="31" s="1"/>
  <c r="AY255" i="31" s="1"/>
  <c r="JR254" i="31"/>
  <c r="JS254" i="31" s="1"/>
  <c r="JU254" i="31" s="1"/>
  <c r="FH254" i="31"/>
  <c r="FI254" i="31" s="1"/>
  <c r="HU254" i="31" s="1"/>
  <c r="HV255" i="31" s="1"/>
  <c r="GO254" i="31"/>
  <c r="FP254" i="31"/>
  <c r="FS254" i="31" s="1"/>
  <c r="HY254" i="31" s="1"/>
  <c r="KX254" i="31"/>
  <c r="GN254" i="31" s="1"/>
  <c r="NA255" i="31"/>
  <c r="NB255" i="31"/>
  <c r="NH256" i="31"/>
  <c r="NI256" i="31" s="1"/>
  <c r="NP255" i="31"/>
  <c r="NJ255" i="31"/>
  <c r="MO255" i="31"/>
  <c r="MT255" i="31"/>
  <c r="NQ255" i="31"/>
  <c r="MU255" i="31"/>
  <c r="PE255" i="31"/>
  <c r="CS254" i="31" l="1"/>
  <c r="CT254" i="31"/>
  <c r="FG255" i="31"/>
  <c r="HP254" i="31"/>
  <c r="IZ254" i="31"/>
  <c r="KE254" i="31"/>
  <c r="JT255" i="31"/>
  <c r="GQ254" i="31"/>
  <c r="KC254" i="31"/>
  <c r="FJ255" i="31"/>
  <c r="DY254" i="31"/>
  <c r="KV254" i="31"/>
  <c r="HA254" i="31"/>
  <c r="NR255" i="31"/>
  <c r="EM254" i="31"/>
  <c r="EW254" i="31" s="1"/>
  <c r="AZ254" i="31"/>
  <c r="EN254" i="31"/>
  <c r="NL255" i="31"/>
  <c r="NK255" i="31"/>
  <c r="NG256" i="31"/>
  <c r="OQ256" i="31"/>
  <c r="HT254" i="31"/>
  <c r="HS254" i="31"/>
  <c r="JG254" i="31" s="1"/>
  <c r="KW255" i="31" l="1"/>
  <c r="HQ254" i="31"/>
  <c r="HR255" i="31" s="1"/>
  <c r="NC256" i="31"/>
  <c r="MQ256" i="31"/>
  <c r="IC254" i="31"/>
  <c r="ID254" i="31" s="1"/>
  <c r="IF254" i="31" s="1"/>
  <c r="KH254" i="31" s="1"/>
  <c r="JB254" i="31"/>
  <c r="BB255" i="31"/>
  <c r="EQ254" i="31"/>
  <c r="DW254" i="31"/>
  <c r="DU255" i="31" s="1"/>
  <c r="ER255" i="31"/>
  <c r="IU254" i="31"/>
  <c r="IV254" i="31" s="1"/>
  <c r="OR256" i="31"/>
  <c r="IW254" i="31" l="1"/>
  <c r="KB254" i="31" s="1"/>
  <c r="BC255" i="31"/>
  <c r="IX254" i="31"/>
  <c r="KK254" i="31"/>
  <c r="DB254" i="31"/>
  <c r="DC254" i="31" s="1"/>
  <c r="DD255" i="31" s="1"/>
  <c r="DE256" i="31" s="1"/>
  <c r="IM254" i="31"/>
  <c r="GM254" i="31"/>
  <c r="KI255" i="31"/>
  <c r="IN254" i="31"/>
  <c r="DF254" i="31"/>
  <c r="EU255" i="31"/>
  <c r="GT256" i="31" l="1"/>
  <c r="GR254" i="31"/>
  <c r="KJ255" i="31"/>
  <c r="DT254" i="31"/>
  <c r="DZ254" i="31" s="1"/>
  <c r="GU254" i="31"/>
  <c r="GV254" i="31"/>
  <c r="FD254" i="31"/>
  <c r="BD255" i="31"/>
  <c r="BE255" i="31"/>
  <c r="BG255" i="31" l="1"/>
  <c r="BF255" i="31"/>
  <c r="GS254" i="31"/>
  <c r="IS254" i="31"/>
  <c r="FL255" i="31"/>
  <c r="FM255" i="31" l="1"/>
  <c r="JH254" i="31"/>
  <c r="JI254" i="31" s="1"/>
  <c r="IT254" i="31"/>
  <c r="GW254" i="31"/>
  <c r="HC254" i="31" s="1"/>
  <c r="FA255" i="31" s="1"/>
  <c r="HB255" i="31" s="1"/>
  <c r="GY254" i="31"/>
  <c r="GX254" i="31"/>
  <c r="BH255" i="31"/>
  <c r="BI255" i="31"/>
  <c r="BK255" i="31" s="1"/>
  <c r="HM254" i="31" l="1"/>
  <c r="EG254" i="31"/>
  <c r="EH255" i="31" s="1"/>
  <c r="EI255" i="31" s="1"/>
  <c r="FK255" i="31" s="1"/>
  <c r="EY254" i="31"/>
  <c r="HK255" i="31"/>
  <c r="JK254" i="31"/>
  <c r="JM254" i="31" s="1"/>
  <c r="KD254" i="31" s="1"/>
  <c r="IL255" i="31" s="1"/>
  <c r="BJ255" i="31"/>
  <c r="BL255" i="31"/>
  <c r="BM255" i="31"/>
  <c r="JN254" i="31" l="1"/>
  <c r="JV254" i="31" s="1"/>
  <c r="JF255" i="31" s="1"/>
  <c r="JL254" i="31"/>
  <c r="JJ255" i="31" s="1"/>
  <c r="KA255" i="31"/>
  <c r="JZ254" i="31"/>
  <c r="KF254" i="31" s="1"/>
  <c r="IQ255" i="31" s="1"/>
  <c r="BO255" i="31"/>
  <c r="BN255" i="31"/>
  <c r="EZ254" i="31"/>
  <c r="DG254" i="31"/>
  <c r="DH254" i="31" s="1"/>
  <c r="DI255" i="31" s="1"/>
  <c r="EJ254" i="31"/>
  <c r="EK255" i="31" s="1"/>
  <c r="EE254" i="31"/>
  <c r="EF255" i="31" s="1"/>
  <c r="IO255" i="31" s="1"/>
  <c r="ED254" i="31"/>
  <c r="EB255" i="31" s="1"/>
  <c r="BP255" i="31" l="1"/>
  <c r="BQ255" i="31" s="1"/>
  <c r="DP255" i="31"/>
  <c r="IR255" i="31"/>
  <c r="JO255" i="31"/>
  <c r="JE255" i="31"/>
  <c r="IY255" i="31"/>
  <c r="JP255" i="31" s="1"/>
  <c r="JQ255" i="31" s="1"/>
  <c r="JA255" i="31"/>
  <c r="HZ255" i="31"/>
  <c r="DJ255" i="31"/>
  <c r="DK255" i="31" s="1"/>
  <c r="GZ255" i="31"/>
  <c r="IE255" i="31" s="1"/>
  <c r="IP255" i="31"/>
  <c r="JY255" i="31"/>
  <c r="JW255" i="31"/>
  <c r="FC255" i="31"/>
  <c r="EO255" i="31"/>
  <c r="ES256" i="31" s="1"/>
  <c r="EL255" i="31"/>
  <c r="EP255" i="31"/>
  <c r="ET256" i="31" s="1"/>
  <c r="EV255" i="31"/>
  <c r="JC255" i="31"/>
  <c r="JD255" i="31"/>
  <c r="KG255" i="31" l="1"/>
  <c r="DX255" i="31"/>
  <c r="FQ255" i="31"/>
  <c r="DM255" i="31"/>
  <c r="EC255" i="31"/>
  <c r="JX255" i="31"/>
  <c r="BR255" i="31"/>
  <c r="BS255" i="31"/>
  <c r="FB255" i="31" l="1"/>
  <c r="EX255" i="31"/>
  <c r="M255" i="31" s="1"/>
  <c r="BT255" i="31"/>
  <c r="BU255" i="31"/>
  <c r="DL255" i="31"/>
  <c r="L256" i="31"/>
  <c r="BV255" i="31" l="1"/>
  <c r="BW255" i="31" s="1"/>
  <c r="MJ255" i="31"/>
  <c r="NS255" i="31" s="1"/>
  <c r="MB255" i="31"/>
  <c r="NM255" i="31" l="1"/>
  <c r="NN255" i="31" s="1"/>
  <c r="BX255" i="31"/>
  <c r="BY255" i="31"/>
  <c r="CA255" i="31" s="1"/>
  <c r="NT255" i="31"/>
  <c r="OU256" i="31"/>
  <c r="OV256" i="31" l="1"/>
  <c r="NW255" i="31"/>
  <c r="NX255" i="31" s="1"/>
  <c r="BZ255" i="31"/>
  <c r="FV255" i="31"/>
  <c r="CX255" i="31"/>
  <c r="FR255" i="31"/>
  <c r="NU255" i="31"/>
  <c r="CB255" i="31"/>
  <c r="CC255" i="31" s="1"/>
  <c r="CD255" i="31" l="1"/>
  <c r="CE255" i="31"/>
  <c r="CF255" i="31" s="1"/>
  <c r="NY255" i="31"/>
  <c r="OF255" i="31"/>
  <c r="OS256" i="31" s="1"/>
  <c r="NV255" i="31"/>
  <c r="NZ255" i="31"/>
  <c r="MY255" i="31"/>
  <c r="CY256" i="31"/>
  <c r="CG255" i="31" l="1"/>
  <c r="CH255" i="31" s="1"/>
  <c r="CI255" i="31" s="1"/>
  <c r="OM256" i="31"/>
  <c r="OO256" i="31"/>
  <c r="NF256" i="31"/>
  <c r="OB255" i="31"/>
  <c r="OT256" i="31" s="1"/>
  <c r="MZ256" i="31"/>
  <c r="OZ255" i="31"/>
  <c r="OA255" i="31"/>
  <c r="MV256" i="31" s="1"/>
  <c r="OI255" i="31"/>
  <c r="CK255" i="31" l="1"/>
  <c r="CM255" i="31" s="1"/>
  <c r="CN255" i="31" s="1"/>
  <c r="CJ255" i="31"/>
  <c r="CO255" i="31" s="1"/>
  <c r="OJ255" i="31"/>
  <c r="OY256" i="31" s="1"/>
  <c r="KT256" i="31"/>
  <c r="OG256" i="31"/>
  <c r="MR256" i="31"/>
  <c r="OW255" i="31"/>
  <c r="OX256" i="31"/>
  <c r="PA255" i="31"/>
  <c r="OC255" i="31"/>
  <c r="OD256" i="31" s="1"/>
  <c r="OH256" i="31" s="1"/>
  <c r="MW256" i="31" l="1"/>
  <c r="MX256" i="31" s="1"/>
  <c r="CL255" i="31"/>
  <c r="CP255" i="31" s="1"/>
  <c r="MS256" i="31"/>
  <c r="OK256" i="31"/>
  <c r="KM256" i="31"/>
  <c r="KO257" i="31" s="1"/>
  <c r="KL256" i="31"/>
  <c r="KN257" i="31" s="1"/>
  <c r="KQ256" i="31" l="1"/>
  <c r="NB256" i="31"/>
  <c r="NA256" i="31"/>
  <c r="KP257" i="31"/>
  <c r="KR256" i="31"/>
  <c r="FX255" i="31"/>
  <c r="FY255" i="31" s="1"/>
  <c r="FU255" i="31"/>
  <c r="FW255" i="31" s="1"/>
  <c r="JR255" i="31"/>
  <c r="JS255" i="31" s="1"/>
  <c r="FZ255" i="31"/>
  <c r="GA255" i="31" s="1"/>
  <c r="GO255" i="31"/>
  <c r="FE255" i="31"/>
  <c r="FF255" i="31" s="1"/>
  <c r="CQ255" i="31"/>
  <c r="DQ255" i="31"/>
  <c r="DR255" i="31" s="1"/>
  <c r="GB255" i="31"/>
  <c r="GC255" i="31" s="1"/>
  <c r="FH255" i="31"/>
  <c r="FI255" i="31" s="1"/>
  <c r="FP255" i="31"/>
  <c r="FS255" i="31" s="1"/>
  <c r="HO255" i="31"/>
  <c r="KX255" i="31"/>
  <c r="KU255" i="31"/>
  <c r="MU256" i="31"/>
  <c r="NJ256" i="31"/>
  <c r="NQ256" i="31"/>
  <c r="MO256" i="31"/>
  <c r="NP256" i="31"/>
  <c r="MT256" i="31"/>
  <c r="NH257" i="31"/>
  <c r="NI257" i="31" s="1"/>
  <c r="PE256" i="31"/>
  <c r="GN255" i="31" l="1"/>
  <c r="GQ255" i="31" s="1"/>
  <c r="NR256" i="31"/>
  <c r="CR255" i="31"/>
  <c r="CT255" i="31"/>
  <c r="CS255" i="31"/>
  <c r="NK256" i="31"/>
  <c r="NL256" i="31"/>
  <c r="NG257" i="31"/>
  <c r="OQ257" i="31"/>
  <c r="FG256" i="31"/>
  <c r="HW255" i="31"/>
  <c r="HX256" i="31" s="1"/>
  <c r="DS255" i="31"/>
  <c r="AX255" i="31" s="1"/>
  <c r="AY256" i="31" s="1"/>
  <c r="KV255" i="31"/>
  <c r="HP255" i="31"/>
  <c r="IA255" i="31"/>
  <c r="IB255" i="31" s="1"/>
  <c r="IZ255" i="31"/>
  <c r="HY255" i="31"/>
  <c r="DY255" i="31"/>
  <c r="HA255" i="31"/>
  <c r="JU255" i="31"/>
  <c r="KE255" i="31"/>
  <c r="JT256" i="31"/>
  <c r="KC255" i="31"/>
  <c r="KS256" i="31"/>
  <c r="HU255" i="31"/>
  <c r="HV256" i="31" s="1"/>
  <c r="FJ256" i="31"/>
  <c r="KW256" i="31" l="1"/>
  <c r="HQ255" i="31"/>
  <c r="HR256" i="31" s="1"/>
  <c r="NC257" i="31"/>
  <c r="MQ257" i="31"/>
  <c r="OR257" i="31"/>
  <c r="AZ255" i="31"/>
  <c r="EM255" i="31"/>
  <c r="EW255" i="31" s="1"/>
  <c r="EN255" i="31"/>
  <c r="HT255" i="31"/>
  <c r="HS255" i="31"/>
  <c r="JG255" i="31" s="1"/>
  <c r="BB256" i="31" l="1"/>
  <c r="EQ255" i="31"/>
  <c r="DW255" i="31"/>
  <c r="DU256" i="31" s="1"/>
  <c r="IW255" i="31"/>
  <c r="ER256" i="31"/>
  <c r="IU255" i="31"/>
  <c r="IV255" i="31" s="1"/>
  <c r="IC255" i="31"/>
  <c r="ID255" i="31" s="1"/>
  <c r="IF255" i="31" s="1"/>
  <c r="KH255" i="31" s="1"/>
  <c r="JB255" i="31"/>
  <c r="KB255" i="31" l="1"/>
  <c r="IX255" i="31"/>
  <c r="KK255" i="31"/>
  <c r="EU256" i="31"/>
  <c r="DB255" i="31"/>
  <c r="DC255" i="31" s="1"/>
  <c r="DD256" i="31" s="1"/>
  <c r="DE257" i="31" s="1"/>
  <c r="GM255" i="31"/>
  <c r="IM255" i="31"/>
  <c r="DT255" i="31" s="1"/>
  <c r="DZ255" i="31" s="1"/>
  <c r="KI256" i="31"/>
  <c r="IN255" i="31"/>
  <c r="DF255" i="31"/>
  <c r="BC256" i="31"/>
  <c r="GT257" i="31" l="1"/>
  <c r="GR255" i="31"/>
  <c r="BD256" i="31"/>
  <c r="BE256" i="31"/>
  <c r="KJ256" i="31"/>
  <c r="FD255" i="31"/>
  <c r="GU255" i="31"/>
  <c r="GV255" i="31"/>
  <c r="BF256" i="31" l="1"/>
  <c r="BG256" i="31"/>
  <c r="GS255" i="31"/>
  <c r="IS255" i="31"/>
  <c r="FL256" i="31"/>
  <c r="FM256" i="31" l="1"/>
  <c r="BI256" i="31"/>
  <c r="BK256" i="31" s="1"/>
  <c r="BH256" i="31"/>
  <c r="JH255" i="31"/>
  <c r="JI255" i="31" s="1"/>
  <c r="IT255" i="31"/>
  <c r="GX255" i="31"/>
  <c r="GW255" i="31"/>
  <c r="HC255" i="31" s="1"/>
  <c r="FA256" i="31" s="1"/>
  <c r="HB256" i="31" s="1"/>
  <c r="GY255" i="31"/>
  <c r="BJ256" i="31" l="1"/>
  <c r="HM255" i="31"/>
  <c r="EG255" i="31"/>
  <c r="EH256" i="31" s="1"/>
  <c r="EI256" i="31" s="1"/>
  <c r="FK256" i="31" s="1"/>
  <c r="EY255" i="31"/>
  <c r="HK256" i="31"/>
  <c r="BL256" i="31"/>
  <c r="BM256" i="31"/>
  <c r="JK255" i="31"/>
  <c r="JZ255" i="31" s="1"/>
  <c r="KF255" i="31" s="1"/>
  <c r="IQ256" i="31" s="1"/>
  <c r="JM255" i="31" l="1"/>
  <c r="KD255" i="31" s="1"/>
  <c r="IL256" i="31" s="1"/>
  <c r="JE256" i="31" s="1"/>
  <c r="JN255" i="31"/>
  <c r="JV255" i="31" s="1"/>
  <c r="JF256" i="31" s="1"/>
  <c r="EZ255" i="31"/>
  <c r="DG255" i="31"/>
  <c r="DH255" i="31" s="1"/>
  <c r="DI256" i="31" s="1"/>
  <c r="JL255" i="31"/>
  <c r="JJ256" i="31" s="1"/>
  <c r="KA256" i="31"/>
  <c r="BO256" i="31"/>
  <c r="BN256" i="31"/>
  <c r="EE255" i="31"/>
  <c r="EF256" i="31" s="1"/>
  <c r="ED255" i="31"/>
  <c r="EB256" i="31" s="1"/>
  <c r="JA256" i="31" s="1"/>
  <c r="EJ255" i="31"/>
  <c r="EK256" i="31" s="1"/>
  <c r="IR256" i="31" l="1"/>
  <c r="JO256" i="31"/>
  <c r="JY256" i="31"/>
  <c r="JW256" i="31"/>
  <c r="JC256" i="31"/>
  <c r="JD256" i="31"/>
  <c r="BP256" i="31"/>
  <c r="BQ256" i="31" s="1"/>
  <c r="HZ256" i="31"/>
  <c r="EP256" i="31"/>
  <c r="ET257" i="31" s="1"/>
  <c r="EL256" i="31"/>
  <c r="JX256" i="31" s="1"/>
  <c r="EO256" i="31"/>
  <c r="ES257" i="31" s="1"/>
  <c r="FC256" i="31"/>
  <c r="EV256" i="31"/>
  <c r="GZ256" i="31"/>
  <c r="DJ256" i="31"/>
  <c r="DK256" i="31" s="1"/>
  <c r="IO256" i="31"/>
  <c r="IP256" i="31"/>
  <c r="IY256" i="31"/>
  <c r="DP256" i="31"/>
  <c r="KG256" i="31" l="1"/>
  <c r="IE256" i="31"/>
  <c r="JP256" i="31"/>
  <c r="JQ256" i="31" s="1"/>
  <c r="BR256" i="31"/>
  <c r="BS256" i="31"/>
  <c r="DM256" i="31"/>
  <c r="DX256" i="31"/>
  <c r="FQ256" i="31"/>
  <c r="EC256" i="31"/>
  <c r="BT256" i="31" l="1"/>
  <c r="BU256" i="31"/>
  <c r="DL256" i="31"/>
  <c r="L257" i="31"/>
  <c r="EX256" i="31"/>
  <c r="M256" i="31" s="1"/>
  <c r="FB256" i="31"/>
  <c r="MJ256" i="31" l="1"/>
  <c r="NS256" i="31" s="1"/>
  <c r="MB256" i="31"/>
  <c r="NM256" i="31" s="1"/>
  <c r="NN256" i="31" s="1"/>
  <c r="BV256" i="31"/>
  <c r="BW256" i="31" s="1"/>
  <c r="BX256" i="31" l="1"/>
  <c r="BY256" i="31"/>
  <c r="OV257" i="31"/>
  <c r="NW256" i="31"/>
  <c r="NX256" i="31" s="1"/>
  <c r="NT256" i="31"/>
  <c r="OU257" i="31"/>
  <c r="BZ256" i="31" l="1"/>
  <c r="CA256" i="31"/>
  <c r="OF256" i="31"/>
  <c r="OS257" i="31" s="1"/>
  <c r="NY256" i="31"/>
  <c r="FR256" i="31"/>
  <c r="CX256" i="31"/>
  <c r="FV256" i="31"/>
  <c r="NU256" i="31"/>
  <c r="CB256" i="31" l="1"/>
  <c r="CC256" i="31" s="1"/>
  <c r="OB256" i="31"/>
  <c r="OT257" i="31" s="1"/>
  <c r="NV256" i="31"/>
  <c r="MY256" i="31"/>
  <c r="NZ256" i="31"/>
  <c r="OA256" i="31" s="1"/>
  <c r="MV257" i="31" s="1"/>
  <c r="CY257" i="31"/>
  <c r="CD256" i="31" l="1"/>
  <c r="CE256" i="31"/>
  <c r="CF256" i="31" s="1"/>
  <c r="OO257" i="31"/>
  <c r="KT257" i="31" s="1"/>
  <c r="NF257" i="31"/>
  <c r="OM257" i="31"/>
  <c r="OG257" i="31"/>
  <c r="MZ257" i="31"/>
  <c r="OZ256" i="31"/>
  <c r="PA256" i="31"/>
  <c r="OJ256" i="31"/>
  <c r="OI256" i="31"/>
  <c r="OC256" i="31"/>
  <c r="OD257" i="31" s="1"/>
  <c r="OH257" i="31" s="1"/>
  <c r="CG256" i="31" l="1"/>
  <c r="CH256" i="31" s="1"/>
  <c r="OK257" i="31"/>
  <c r="KM257" i="31"/>
  <c r="KO258" i="31" s="1"/>
  <c r="KL257" i="31"/>
  <c r="KN258" i="31" s="1"/>
  <c r="OX257" i="31"/>
  <c r="OW256" i="31"/>
  <c r="MR257" i="31"/>
  <c r="MW257" i="31"/>
  <c r="OY257" i="31"/>
  <c r="CI256" i="31" l="1"/>
  <c r="CJ256" i="31" s="1"/>
  <c r="CO256" i="31" s="1"/>
  <c r="KQ257" i="31"/>
  <c r="MS257" i="31"/>
  <c r="KP258" i="31"/>
  <c r="KR257" i="31"/>
  <c r="MX257" i="31"/>
  <c r="CK256" i="31" l="1"/>
  <c r="CM256" i="31" s="1"/>
  <c r="CN256" i="31" s="1"/>
  <c r="NB257" i="31"/>
  <c r="NA257" i="31"/>
  <c r="NP257" i="31"/>
  <c r="NQ257" i="31"/>
  <c r="MU257" i="31"/>
  <c r="MT257" i="31"/>
  <c r="NJ257" i="31"/>
  <c r="NH258" i="31"/>
  <c r="NI258" i="31" s="1"/>
  <c r="MO257" i="31"/>
  <c r="PE257" i="31"/>
  <c r="KS257" i="31"/>
  <c r="CL256" i="31" l="1"/>
  <c r="CP256" i="31" s="1"/>
  <c r="FX256" i="31" s="1"/>
  <c r="FY256" i="31" s="1"/>
  <c r="NR257" i="31"/>
  <c r="NK257" i="31"/>
  <c r="NL257" i="31"/>
  <c r="NG258" i="31"/>
  <c r="OQ258" i="31"/>
  <c r="DQ256" i="31" l="1"/>
  <c r="DR256" i="31" s="1"/>
  <c r="DS256" i="31" s="1"/>
  <c r="AX256" i="31" s="1"/>
  <c r="AY257" i="31" s="1"/>
  <c r="GB256" i="31"/>
  <c r="GC256" i="31" s="1"/>
  <c r="FH256" i="31"/>
  <c r="FI256" i="31" s="1"/>
  <c r="HU256" i="31" s="1"/>
  <c r="HV257" i="31" s="1"/>
  <c r="HO256" i="31"/>
  <c r="IA256" i="31" s="1"/>
  <c r="IB256" i="31" s="1"/>
  <c r="FP256" i="31"/>
  <c r="FS256" i="31" s="1"/>
  <c r="HA256" i="31" s="1"/>
  <c r="JR256" i="31"/>
  <c r="JS256" i="31" s="1"/>
  <c r="JT257" i="31" s="1"/>
  <c r="KU256" i="31"/>
  <c r="FE256" i="31"/>
  <c r="FF256" i="31" s="1"/>
  <c r="FG257" i="31" s="1"/>
  <c r="FU256" i="31"/>
  <c r="FW256" i="31" s="1"/>
  <c r="KX256" i="31"/>
  <c r="GN256" i="31" s="1"/>
  <c r="KV256" i="31" s="1"/>
  <c r="CQ256" i="31"/>
  <c r="CS256" i="31" s="1"/>
  <c r="GO256" i="31"/>
  <c r="FZ256" i="31"/>
  <c r="GA256" i="31" s="1"/>
  <c r="IZ256" i="31"/>
  <c r="NC258" i="31"/>
  <c r="MQ258" i="31"/>
  <c r="OR258" i="31"/>
  <c r="AZ256" i="31" l="1"/>
  <c r="EN256" i="31"/>
  <c r="BB257" i="31" s="1"/>
  <c r="EM256" i="31"/>
  <c r="EW256" i="31" s="1"/>
  <c r="HY256" i="31"/>
  <c r="FJ257" i="31"/>
  <c r="HP256" i="31"/>
  <c r="HS256" i="31" s="1"/>
  <c r="JG256" i="31" s="1"/>
  <c r="DY256" i="31"/>
  <c r="KE256" i="31"/>
  <c r="JU256" i="31"/>
  <c r="HW256" i="31"/>
  <c r="HX257" i="31" s="1"/>
  <c r="KC256" i="31"/>
  <c r="CT256" i="31"/>
  <c r="CR256" i="31"/>
  <c r="GQ256" i="31"/>
  <c r="KW257" i="31"/>
  <c r="HQ256" i="31"/>
  <c r="HR257" i="31" s="1"/>
  <c r="IU256" i="31" l="1"/>
  <c r="IV256" i="31" s="1"/>
  <c r="ER257" i="31"/>
  <c r="EQ256" i="31"/>
  <c r="IW256" i="31"/>
  <c r="KB256" i="31" s="1"/>
  <c r="DW256" i="31"/>
  <c r="DU257" i="31" s="1"/>
  <c r="HT256" i="31"/>
  <c r="JB256" i="31" s="1"/>
  <c r="EU257" i="31"/>
  <c r="BC257" i="31"/>
  <c r="IX256" i="31"/>
  <c r="KK256" i="31"/>
  <c r="IC256" i="31" l="1"/>
  <c r="ID256" i="31" s="1"/>
  <c r="IF256" i="31" s="1"/>
  <c r="KH256" i="31" s="1"/>
  <c r="IM256" i="31" s="1"/>
  <c r="BE257" i="31"/>
  <c r="BD257" i="31"/>
  <c r="KI257" i="31" l="1"/>
  <c r="KJ257" i="31" s="1"/>
  <c r="IN256" i="31"/>
  <c r="DF256" i="31"/>
  <c r="GU256" i="31" s="1"/>
  <c r="DB256" i="31"/>
  <c r="DC256" i="31" s="1"/>
  <c r="DD257" i="31" s="1"/>
  <c r="DE258" i="31" s="1"/>
  <c r="GT258" i="31" s="1"/>
  <c r="GM256" i="31"/>
  <c r="GR256" i="31" s="1"/>
  <c r="DT256" i="31"/>
  <c r="DZ256" i="31" s="1"/>
  <c r="FD256" i="31"/>
  <c r="FL257" i="31" s="1"/>
  <c r="BF257" i="31"/>
  <c r="BG257" i="31"/>
  <c r="GV256" i="31" l="1"/>
  <c r="GS256" i="31"/>
  <c r="GX256" i="31" s="1"/>
  <c r="IS256" i="31"/>
  <c r="JH256" i="31" s="1"/>
  <c r="JI256" i="31" s="1"/>
  <c r="FM257" i="31"/>
  <c r="BI257" i="31"/>
  <c r="BK257" i="31" s="1"/>
  <c r="BH257" i="31"/>
  <c r="GW256" i="31" l="1"/>
  <c r="HC256" i="31" s="1"/>
  <c r="FA257" i="31" s="1"/>
  <c r="HB257" i="31" s="1"/>
  <c r="GY256" i="31"/>
  <c r="IT256" i="31"/>
  <c r="EY256" i="31"/>
  <c r="HM256" i="31"/>
  <c r="EG256" i="31"/>
  <c r="EH257" i="31" s="1"/>
  <c r="EI257" i="31" s="1"/>
  <c r="FK257" i="31" s="1"/>
  <c r="HK257" i="31"/>
  <c r="BL257" i="31"/>
  <c r="BM257" i="31"/>
  <c r="JK256" i="31"/>
  <c r="JZ256" i="31" s="1"/>
  <c r="KF256" i="31" s="1"/>
  <c r="IQ257" i="31" s="1"/>
  <c r="BJ257" i="31"/>
  <c r="JM256" i="31" l="1"/>
  <c r="KD256" i="31" s="1"/>
  <c r="IL257" i="31" s="1"/>
  <c r="JE257" i="31" s="1"/>
  <c r="BO257" i="31"/>
  <c r="BP257" i="31" s="1"/>
  <c r="BN257" i="31"/>
  <c r="EJ256" i="31"/>
  <c r="EK257" i="31" s="1"/>
  <c r="EE256" i="31"/>
  <c r="EF257" i="31" s="1"/>
  <c r="ED256" i="31"/>
  <c r="EB257" i="31" s="1"/>
  <c r="IY257" i="31" s="1"/>
  <c r="EZ256" i="31"/>
  <c r="DG256" i="31"/>
  <c r="DH256" i="31" s="1"/>
  <c r="DI257" i="31" s="1"/>
  <c r="JN256" i="31"/>
  <c r="JV256" i="31" s="1"/>
  <c r="JF257" i="31" s="1"/>
  <c r="JL256" i="31"/>
  <c r="JJ257" i="31" s="1"/>
  <c r="KA257" i="31"/>
  <c r="IR257" i="31" l="1"/>
  <c r="BQ257" i="31"/>
  <c r="BR257" i="31" s="1"/>
  <c r="JW257" i="31"/>
  <c r="JY257" i="31"/>
  <c r="HZ257" i="31"/>
  <c r="EO257" i="31"/>
  <c r="ES258" i="31" s="1"/>
  <c r="EP257" i="31"/>
  <c r="ET258" i="31" s="1"/>
  <c r="EL257" i="31"/>
  <c r="FC257" i="31"/>
  <c r="EV257" i="31"/>
  <c r="DP257" i="31"/>
  <c r="JC257" i="31"/>
  <c r="JD257" i="31"/>
  <c r="JO257" i="31"/>
  <c r="GZ257" i="31"/>
  <c r="IE257" i="31" s="1"/>
  <c r="DJ257" i="31"/>
  <c r="DK257" i="31" s="1"/>
  <c r="IO257" i="31"/>
  <c r="JP257" i="31" s="1"/>
  <c r="JQ257" i="31" s="1"/>
  <c r="JA257" i="31"/>
  <c r="IP257" i="31"/>
  <c r="BS257" i="31" l="1"/>
  <c r="BU257" i="31" s="1"/>
  <c r="EC257" i="31"/>
  <c r="KG257" i="31"/>
  <c r="DX257" i="31"/>
  <c r="FQ257" i="31"/>
  <c r="DM257" i="31"/>
  <c r="JX257" i="31"/>
  <c r="BT257" i="31" l="1"/>
  <c r="BV257" i="31"/>
  <c r="BW257" i="31" s="1"/>
  <c r="DL257" i="31"/>
  <c r="L258" i="31"/>
  <c r="FB257" i="31"/>
  <c r="EX257" i="31"/>
  <c r="M257" i="31" s="1"/>
  <c r="BY257" i="31" l="1"/>
  <c r="CA257" i="31" s="1"/>
  <c r="BX257" i="31"/>
  <c r="MJ257" i="31"/>
  <c r="NS257" i="31" s="1"/>
  <c r="MB257" i="31"/>
  <c r="BZ257" i="31" l="1"/>
  <c r="NM257" i="31"/>
  <c r="NN257" i="31" s="1"/>
  <c r="NT257" i="31"/>
  <c r="OU258" i="31"/>
  <c r="CB257" i="31"/>
  <c r="CC257" i="31" s="1"/>
  <c r="CD257" i="31" l="1"/>
  <c r="CE257" i="31"/>
  <c r="CF257" i="31" s="1"/>
  <c r="OV258" i="31"/>
  <c r="NW257" i="31"/>
  <c r="NX257" i="31" s="1"/>
  <c r="FR257" i="31"/>
  <c r="CX257" i="31"/>
  <c r="FV257" i="31"/>
  <c r="NU257" i="31"/>
  <c r="CG257" i="31" l="1"/>
  <c r="CH257" i="31" s="1"/>
  <c r="CI257" i="31" s="1"/>
  <c r="NV257" i="31"/>
  <c r="MY257" i="31"/>
  <c r="NZ257" i="31"/>
  <c r="CY258" i="31"/>
  <c r="NY257" i="31"/>
  <c r="OF257" i="31"/>
  <c r="OS258" i="31" s="1"/>
  <c r="OI257" i="31" l="1"/>
  <c r="MR258" i="31" s="1"/>
  <c r="CK257" i="31"/>
  <c r="CM257" i="31" s="1"/>
  <c r="CN257" i="31" s="1"/>
  <c r="CJ257" i="31"/>
  <c r="CO257" i="31" s="1"/>
  <c r="NF258" i="31"/>
  <c r="OO258" i="31"/>
  <c r="OM258" i="31"/>
  <c r="OB257" i="31"/>
  <c r="OT258" i="31" s="1"/>
  <c r="OA257" i="31"/>
  <c r="MV258" i="31" s="1"/>
  <c r="MZ258" i="31"/>
  <c r="OZ257" i="31"/>
  <c r="OX258" i="31" l="1"/>
  <c r="OW257" i="31"/>
  <c r="CL257" i="31"/>
  <c r="CP257" i="31" s="1"/>
  <c r="OC257" i="31"/>
  <c r="OD258" i="31" s="1"/>
  <c r="OH258" i="31" s="1"/>
  <c r="OG258" i="31"/>
  <c r="KT258" i="31"/>
  <c r="PA257" i="31"/>
  <c r="OJ257" i="31"/>
  <c r="MS258" i="31"/>
  <c r="OY258" i="31" l="1"/>
  <c r="MW258" i="31"/>
  <c r="KM258" i="31"/>
  <c r="KO259" i="31" s="1"/>
  <c r="KL258" i="31"/>
  <c r="KN259" i="31" s="1"/>
  <c r="NJ258" i="31"/>
  <c r="NQ258" i="31"/>
  <c r="MO258" i="31"/>
  <c r="NH259" i="31"/>
  <c r="NI259" i="31" s="1"/>
  <c r="MT258" i="31"/>
  <c r="MU258" i="31"/>
  <c r="NP258" i="31"/>
  <c r="PE258" i="31"/>
  <c r="FU257" i="31"/>
  <c r="FW257" i="31" s="1"/>
  <c r="CQ257" i="31"/>
  <c r="FE257" i="31"/>
  <c r="FF257" i="31" s="1"/>
  <c r="FH257" i="31"/>
  <c r="FI257" i="31" s="1"/>
  <c r="FX257" i="31"/>
  <c r="FY257" i="31" s="1"/>
  <c r="JR257" i="31"/>
  <c r="JS257" i="31" s="1"/>
  <c r="HO257" i="31"/>
  <c r="FP257" i="31"/>
  <c r="FS257" i="31" s="1"/>
  <c r="DQ257" i="31"/>
  <c r="DR257" i="31" s="1"/>
  <c r="GO257" i="31"/>
  <c r="GB257" i="31"/>
  <c r="GC257" i="31" s="1"/>
  <c r="FZ257" i="31"/>
  <c r="GA257" i="31" s="1"/>
  <c r="KX257" i="31"/>
  <c r="GN257" i="31" s="1"/>
  <c r="KU257" i="31"/>
  <c r="OK258" i="31"/>
  <c r="NR258" i="31" l="1"/>
  <c r="DS257" i="31"/>
  <c r="AX257" i="31" s="1"/>
  <c r="AY258" i="31" s="1"/>
  <c r="NK258" i="31"/>
  <c r="NL258" i="31"/>
  <c r="NG259" i="31"/>
  <c r="OQ259" i="31"/>
  <c r="HW257" i="31"/>
  <c r="HX258" i="31" s="1"/>
  <c r="FG258" i="31"/>
  <c r="KQ258" i="31"/>
  <c r="KP259" i="31"/>
  <c r="KR258" i="31"/>
  <c r="CT257" i="31"/>
  <c r="CR257" i="31"/>
  <c r="CS257" i="31"/>
  <c r="HP257" i="31"/>
  <c r="IA257" i="31"/>
  <c r="IB257" i="31" s="1"/>
  <c r="IZ257" i="31"/>
  <c r="KE257" i="31"/>
  <c r="JU257" i="31"/>
  <c r="JT258" i="31"/>
  <c r="KC257" i="31"/>
  <c r="MX258" i="31"/>
  <c r="HU257" i="31"/>
  <c r="HV258" i="31" s="1"/>
  <c r="FJ258" i="31"/>
  <c r="DY257" i="31"/>
  <c r="HA257" i="31"/>
  <c r="HY257" i="31"/>
  <c r="GQ257" i="31"/>
  <c r="KV257" i="31"/>
  <c r="KW258" i="31" l="1"/>
  <c r="HQ257" i="31"/>
  <c r="HR258" i="31" s="1"/>
  <c r="OR259" i="31"/>
  <c r="NC259" i="31"/>
  <c r="MQ259" i="31"/>
  <c r="HT257" i="31"/>
  <c r="HS257" i="31"/>
  <c r="JG257" i="31" s="1"/>
  <c r="KS258" i="31"/>
  <c r="NA258" i="31"/>
  <c r="NB258" i="31"/>
  <c r="AZ257" i="31"/>
  <c r="EN257" i="31"/>
  <c r="EM257" i="31"/>
  <c r="EW257" i="31" s="1"/>
  <c r="BB258" i="31" l="1"/>
  <c r="EQ257" i="31"/>
  <c r="DW257" i="31"/>
  <c r="DU258" i="31" s="1"/>
  <c r="ER258" i="31"/>
  <c r="IU257" i="31"/>
  <c r="IV257" i="31" s="1"/>
  <c r="IC257" i="31"/>
  <c r="ID257" i="31" s="1"/>
  <c r="IF257" i="31" s="1"/>
  <c r="KH257" i="31" s="1"/>
  <c r="JB257" i="31"/>
  <c r="IW257" i="31" l="1"/>
  <c r="KB257" i="31" s="1"/>
  <c r="DB257" i="31"/>
  <c r="DC257" i="31" s="1"/>
  <c r="DD258" i="31" s="1"/>
  <c r="DE259" i="31" s="1"/>
  <c r="IM257" i="31"/>
  <c r="GM257" i="31"/>
  <c r="KI258" i="31"/>
  <c r="IN257" i="31"/>
  <c r="DF257" i="31"/>
  <c r="IX257" i="31"/>
  <c r="KK257" i="31"/>
  <c r="EU258" i="31"/>
  <c r="BC258" i="31"/>
  <c r="DT257" i="31" l="1"/>
  <c r="DZ257" i="31" s="1"/>
  <c r="GT259" i="31"/>
  <c r="GR257" i="31"/>
  <c r="KJ258" i="31"/>
  <c r="BD258" i="31"/>
  <c r="BE258" i="31"/>
  <c r="FD257" i="31"/>
  <c r="GU257" i="31"/>
  <c r="GV257" i="31"/>
  <c r="BF258" i="31" l="1"/>
  <c r="BG258" i="31"/>
  <c r="GS257" i="31"/>
  <c r="IS257" i="31"/>
  <c r="FL258" i="31"/>
  <c r="JH257" i="31" l="1"/>
  <c r="JI257" i="31" s="1"/>
  <c r="IT257" i="31"/>
  <c r="BI258" i="31"/>
  <c r="BK258" i="31" s="1"/>
  <c r="BH258" i="31"/>
  <c r="FM258" i="31"/>
  <c r="GY257" i="31"/>
  <c r="GX257" i="31"/>
  <c r="GW257" i="31"/>
  <c r="HC257" i="31" s="1"/>
  <c r="FA258" i="31" s="1"/>
  <c r="HB258" i="31" s="1"/>
  <c r="BJ258" i="31" l="1"/>
  <c r="EG257" i="31"/>
  <c r="EH258" i="31" s="1"/>
  <c r="EI258" i="31" s="1"/>
  <c r="FK258" i="31" s="1"/>
  <c r="HM257" i="31"/>
  <c r="EY257" i="31"/>
  <c r="HK258" i="31"/>
  <c r="BL258" i="31"/>
  <c r="BM258" i="31"/>
  <c r="JK257" i="31"/>
  <c r="JN257" i="31" s="1"/>
  <c r="JV257" i="31" s="1"/>
  <c r="JF258" i="31" s="1"/>
  <c r="JM257" i="31" l="1"/>
  <c r="KD257" i="31" s="1"/>
  <c r="IL258" i="31" s="1"/>
  <c r="JY258" i="31"/>
  <c r="JW258" i="31"/>
  <c r="JZ257" i="31"/>
  <c r="KF257" i="31" s="1"/>
  <c r="IQ258" i="31" s="1"/>
  <c r="EE257" i="31"/>
  <c r="EF258" i="31" s="1"/>
  <c r="EJ257" i="31"/>
  <c r="EK258" i="31" s="1"/>
  <c r="ED257" i="31"/>
  <c r="EB258" i="31" s="1"/>
  <c r="EZ257" i="31"/>
  <c r="DG257" i="31"/>
  <c r="DH257" i="31" s="1"/>
  <c r="DI258" i="31" s="1"/>
  <c r="JL257" i="31"/>
  <c r="JJ258" i="31" s="1"/>
  <c r="KA258" i="31"/>
  <c r="BO258" i="31"/>
  <c r="BN258" i="31"/>
  <c r="IO258" i="31" l="1"/>
  <c r="FC258" i="31"/>
  <c r="EL258" i="31"/>
  <c r="EO258" i="31"/>
  <c r="ES259" i="31" s="1"/>
  <c r="EP258" i="31"/>
  <c r="ET259" i="31" s="1"/>
  <c r="EV258" i="31"/>
  <c r="JC258" i="31"/>
  <c r="JD258" i="31"/>
  <c r="HZ258" i="31"/>
  <c r="DJ258" i="31"/>
  <c r="DK258" i="31" s="1"/>
  <c r="GZ258" i="31"/>
  <c r="IE258" i="31" s="1"/>
  <c r="IY258" i="31"/>
  <c r="IR258" i="31"/>
  <c r="KG258" i="31" s="1"/>
  <c r="JA258" i="31"/>
  <c r="JE258" i="31"/>
  <c r="JX258" i="31" s="1"/>
  <c r="JO258" i="31"/>
  <c r="BP258" i="31"/>
  <c r="BQ258" i="31" s="1"/>
  <c r="DP258" i="31"/>
  <c r="IP258" i="31"/>
  <c r="JP258" i="31" l="1"/>
  <c r="JQ258" i="31" s="1"/>
  <c r="DM258" i="31"/>
  <c r="DX258" i="31"/>
  <c r="FQ258" i="31"/>
  <c r="EC258" i="31"/>
  <c r="BR258" i="31"/>
  <c r="BS258" i="31"/>
  <c r="BT258" i="31" l="1"/>
  <c r="BU258" i="31"/>
  <c r="EX258" i="31"/>
  <c r="M258" i="31" s="1"/>
  <c r="FB258" i="31"/>
  <c r="DL258" i="31"/>
  <c r="L259" i="31"/>
  <c r="BV258" i="31" l="1"/>
  <c r="BW258" i="31" s="1"/>
  <c r="MJ258" i="31"/>
  <c r="NS258" i="31" s="1"/>
  <c r="MB258" i="31"/>
  <c r="NM258" i="31" l="1"/>
  <c r="NN258" i="31" s="1"/>
  <c r="BY258" i="31"/>
  <c r="BX258" i="31"/>
  <c r="NT258" i="31"/>
  <c r="OU259" i="31"/>
  <c r="BZ258" i="31" l="1"/>
  <c r="OV259" i="31"/>
  <c r="NW258" i="31"/>
  <c r="NX258" i="31" s="1"/>
  <c r="NY258" i="31" s="1"/>
  <c r="CA258" i="31"/>
  <c r="FR258" i="31"/>
  <c r="CX258" i="31"/>
  <c r="FV258" i="31"/>
  <c r="NU258" i="31"/>
  <c r="CB258" i="31" l="1"/>
  <c r="CC258" i="31" s="1"/>
  <c r="OF258" i="31"/>
  <c r="OS259" i="31" s="1"/>
  <c r="NV258" i="31"/>
  <c r="NZ258" i="31"/>
  <c r="OA258" i="31" s="1"/>
  <c r="MV259" i="31" s="1"/>
  <c r="MY258" i="31"/>
  <c r="CY259" i="31"/>
  <c r="OB258" i="31"/>
  <c r="OT259" i="31" s="1"/>
  <c r="CD258" i="31" l="1"/>
  <c r="CE258" i="31"/>
  <c r="CF258" i="31" s="1"/>
  <c r="OG259" i="31"/>
  <c r="PA258" i="31"/>
  <c r="MZ259" i="31"/>
  <c r="OZ258" i="31"/>
  <c r="OJ258" i="31"/>
  <c r="OC258" i="31"/>
  <c r="OD259" i="31" s="1"/>
  <c r="OH259" i="31" s="1"/>
  <c r="OI258" i="31"/>
  <c r="NF259" i="31"/>
  <c r="OO259" i="31"/>
  <c r="KT259" i="31" s="1"/>
  <c r="OM259" i="31"/>
  <c r="CG258" i="31" l="1"/>
  <c r="CH258" i="31" s="1"/>
  <c r="CI258" i="31" s="1"/>
  <c r="CJ258" i="31" s="1"/>
  <c r="CO258" i="31" s="1"/>
  <c r="OK259" i="31"/>
  <c r="KM259" i="31"/>
  <c r="KO260" i="31" s="1"/>
  <c r="KL259" i="31"/>
  <c r="KN260" i="31" s="1"/>
  <c r="MW259" i="31"/>
  <c r="OY259" i="31"/>
  <c r="OX259" i="31"/>
  <c r="MR259" i="31"/>
  <c r="OW258" i="31"/>
  <c r="CK258" i="31" l="1"/>
  <c r="CL258" i="31" s="1"/>
  <c r="MS259" i="31"/>
  <c r="MX259" i="31"/>
  <c r="KQ259" i="31"/>
  <c r="KP260" i="31"/>
  <c r="KR259" i="31"/>
  <c r="CM258" i="31" l="1"/>
  <c r="CN258" i="31" s="1"/>
  <c r="CP258" i="31" s="1"/>
  <c r="CQ258" i="31" s="1"/>
  <c r="NB259" i="31"/>
  <c r="NA259" i="31"/>
  <c r="KS259" i="31"/>
  <c r="MT259" i="31"/>
  <c r="NH260" i="31"/>
  <c r="NI260" i="31" s="1"/>
  <c r="NP259" i="31"/>
  <c r="MU259" i="31"/>
  <c r="NJ259" i="31"/>
  <c r="NQ259" i="31"/>
  <c r="MO259" i="31"/>
  <c r="PE259" i="31"/>
  <c r="NR259" i="31" l="1"/>
  <c r="KX258" i="31"/>
  <c r="GO258" i="31"/>
  <c r="FX258" i="31"/>
  <c r="FY258" i="31" s="1"/>
  <c r="HO258" i="31"/>
  <c r="HP258" i="31" s="1"/>
  <c r="FE258" i="31"/>
  <c r="FF258" i="31" s="1"/>
  <c r="HW258" i="31" s="1"/>
  <c r="HX259" i="31" s="1"/>
  <c r="KU258" i="31"/>
  <c r="FZ258" i="31"/>
  <c r="GA258" i="31" s="1"/>
  <c r="FU258" i="31"/>
  <c r="FW258" i="31" s="1"/>
  <c r="JR258" i="31"/>
  <c r="JS258" i="31" s="1"/>
  <c r="KE258" i="31" s="1"/>
  <c r="FP258" i="31"/>
  <c r="FS258" i="31" s="1"/>
  <c r="HY258" i="31" s="1"/>
  <c r="DQ258" i="31"/>
  <c r="DR258" i="31" s="1"/>
  <c r="DS258" i="31" s="1"/>
  <c r="AX258" i="31" s="1"/>
  <c r="AY259" i="31" s="1"/>
  <c r="GB258" i="31"/>
  <c r="GC258" i="31" s="1"/>
  <c r="FH258" i="31"/>
  <c r="FI258" i="31" s="1"/>
  <c r="HU258" i="31" s="1"/>
  <c r="HV259" i="31" s="1"/>
  <c r="NK259" i="31"/>
  <c r="NL259" i="31"/>
  <c r="NG260" i="31"/>
  <c r="OQ260" i="31"/>
  <c r="CT258" i="31"/>
  <c r="CS258" i="31"/>
  <c r="CR258" i="31"/>
  <c r="GN258" i="31" l="1"/>
  <c r="KV258" i="31" s="1"/>
  <c r="DY258" i="31"/>
  <c r="HA258" i="31"/>
  <c r="KC258" i="31"/>
  <c r="JT259" i="31"/>
  <c r="JU258" i="31"/>
  <c r="IA258" i="31"/>
  <c r="IB258" i="31" s="1"/>
  <c r="FG259" i="31"/>
  <c r="IZ258" i="31"/>
  <c r="FJ259" i="31"/>
  <c r="HT258" i="31"/>
  <c r="HS258" i="31"/>
  <c r="JG258" i="31" s="1"/>
  <c r="NC260" i="31"/>
  <c r="MQ260" i="31"/>
  <c r="AZ258" i="31"/>
  <c r="EM258" i="31"/>
  <c r="EW258" i="31" s="1"/>
  <c r="EN258" i="31"/>
  <c r="OR260" i="31"/>
  <c r="GQ258" i="31" l="1"/>
  <c r="KW259" i="31"/>
  <c r="HQ258" i="31"/>
  <c r="HR259" i="31" s="1"/>
  <c r="BB259" i="31"/>
  <c r="DW258" i="31"/>
  <c r="DU259" i="31" s="1"/>
  <c r="EQ258" i="31"/>
  <c r="ER259" i="31"/>
  <c r="IU258" i="31"/>
  <c r="IV258" i="31" s="1"/>
  <c r="IC258" i="31"/>
  <c r="ID258" i="31" s="1"/>
  <c r="IF258" i="31" s="1"/>
  <c r="KH258" i="31" s="1"/>
  <c r="JB258" i="31"/>
  <c r="IW258" i="31" l="1"/>
  <c r="KB258" i="31" s="1"/>
  <c r="BC259" i="31"/>
  <c r="GM258" i="31"/>
  <c r="DB258" i="31"/>
  <c r="DC258" i="31" s="1"/>
  <c r="DD259" i="31" s="1"/>
  <c r="DE260" i="31" s="1"/>
  <c r="IM258" i="31"/>
  <c r="KI259" i="31"/>
  <c r="IN258" i="31"/>
  <c r="DF258" i="31"/>
  <c r="KK258" i="31"/>
  <c r="IX258" i="31"/>
  <c r="EU259" i="31"/>
  <c r="GT260" i="31" l="1"/>
  <c r="FD258" i="31"/>
  <c r="GU258" i="31"/>
  <c r="GV258" i="31"/>
  <c r="GR258" i="31"/>
  <c r="KJ259" i="31"/>
  <c r="DT258" i="31"/>
  <c r="DZ258" i="31" s="1"/>
  <c r="BD259" i="31"/>
  <c r="BE259" i="31"/>
  <c r="GS258" i="31" l="1"/>
  <c r="IS258" i="31"/>
  <c r="FL259" i="31"/>
  <c r="BF259" i="31"/>
  <c r="BG259" i="31"/>
  <c r="BI259" i="31" l="1"/>
  <c r="BK259" i="31" s="1"/>
  <c r="BH259" i="31"/>
  <c r="JH258" i="31"/>
  <c r="JI258" i="31" s="1"/>
  <c r="IT258" i="31"/>
  <c r="FM259" i="31"/>
  <c r="GW258" i="31"/>
  <c r="HC258" i="31" s="1"/>
  <c r="FA259" i="31" s="1"/>
  <c r="HB259" i="31" s="1"/>
  <c r="GX258" i="31"/>
  <c r="GY258" i="31"/>
  <c r="BJ259" i="31" l="1"/>
  <c r="JK258" i="31"/>
  <c r="JN258" i="31" s="1"/>
  <c r="JV258" i="31" s="1"/>
  <c r="JF259" i="31" s="1"/>
  <c r="EG258" i="31"/>
  <c r="EH259" i="31" s="1"/>
  <c r="EI259" i="31" s="1"/>
  <c r="FK259" i="31" s="1"/>
  <c r="EY258" i="31"/>
  <c r="HM258" i="31"/>
  <c r="HK259" i="31"/>
  <c r="BL259" i="31"/>
  <c r="BM259" i="31"/>
  <c r="EJ258" i="31" l="1"/>
  <c r="EK259" i="31" s="1"/>
  <c r="EE258" i="31"/>
  <c r="EF259" i="31" s="1"/>
  <c r="ED258" i="31"/>
  <c r="EB259" i="31" s="1"/>
  <c r="EZ258" i="31"/>
  <c r="DG258" i="31"/>
  <c r="DH258" i="31" s="1"/>
  <c r="DI259" i="31" s="1"/>
  <c r="BN259" i="31"/>
  <c r="BO259" i="31"/>
  <c r="JM258" i="31"/>
  <c r="KD258" i="31" s="1"/>
  <c r="IL259" i="31" s="1"/>
  <c r="JL258" i="31"/>
  <c r="JJ259" i="31" s="1"/>
  <c r="KA259" i="31"/>
  <c r="JW259" i="31"/>
  <c r="JY259" i="31"/>
  <c r="JZ258" i="31"/>
  <c r="KF258" i="31" s="1"/>
  <c r="IQ259" i="31" s="1"/>
  <c r="HZ259" i="31" l="1"/>
  <c r="BP259" i="31"/>
  <c r="BQ259" i="31" s="1"/>
  <c r="IP259" i="31"/>
  <c r="IO259" i="31"/>
  <c r="EL259" i="31"/>
  <c r="FC259" i="31"/>
  <c r="EP259" i="31"/>
  <c r="ET260" i="31" s="1"/>
  <c r="EO259" i="31"/>
  <c r="ES260" i="31" s="1"/>
  <c r="EV259" i="31"/>
  <c r="DP259" i="31"/>
  <c r="DJ259" i="31"/>
  <c r="DK259" i="31" s="1"/>
  <c r="GZ259" i="31"/>
  <c r="IE259" i="31" s="1"/>
  <c r="IY259" i="31"/>
  <c r="JO259" i="31"/>
  <c r="JA259" i="31"/>
  <c r="JE259" i="31"/>
  <c r="IR259" i="31"/>
  <c r="JC259" i="31"/>
  <c r="JD259" i="31"/>
  <c r="JP259" i="31" l="1"/>
  <c r="JQ259" i="31" s="1"/>
  <c r="BS259" i="31"/>
  <c r="BU259" i="31" s="1"/>
  <c r="BR259" i="31"/>
  <c r="JX259" i="31"/>
  <c r="KG259" i="31"/>
  <c r="EC259" i="31"/>
  <c r="FQ259" i="31"/>
  <c r="DX259" i="31"/>
  <c r="DM259" i="31"/>
  <c r="BT259" i="31" l="1"/>
  <c r="DL259" i="31"/>
  <c r="L260" i="31"/>
  <c r="BV259" i="31"/>
  <c r="BW259" i="31" s="1"/>
  <c r="FB259" i="31"/>
  <c r="EX259" i="31"/>
  <c r="M259" i="31" s="1"/>
  <c r="BX259" i="31" l="1"/>
  <c r="BY259" i="31"/>
  <c r="MJ259" i="31"/>
  <c r="NS259" i="31" s="1"/>
  <c r="MB259" i="31"/>
  <c r="NM259" i="31" s="1"/>
  <c r="NN259" i="31" s="1"/>
  <c r="BZ259" i="31" l="1"/>
  <c r="CA259" i="31"/>
  <c r="OV260" i="31"/>
  <c r="NW259" i="31"/>
  <c r="NT259" i="31"/>
  <c r="OU260" i="31"/>
  <c r="CB259" i="31" l="1"/>
  <c r="CC259" i="31" s="1"/>
  <c r="FR259" i="31"/>
  <c r="CX259" i="31"/>
  <c r="FV259" i="31"/>
  <c r="NU259" i="31"/>
  <c r="NX259" i="31"/>
  <c r="CD259" i="31" l="1"/>
  <c r="CE259" i="31"/>
  <c r="CF259" i="31" s="1"/>
  <c r="MY259" i="31"/>
  <c r="NZ259" i="31"/>
  <c r="CY260" i="31"/>
  <c r="NY259" i="31"/>
  <c r="OF259" i="31"/>
  <c r="OS260" i="31" s="1"/>
  <c r="NV259" i="31"/>
  <c r="CG259" i="31" l="1"/>
  <c r="CH259" i="31" s="1"/>
  <c r="CI259" i="31" s="1"/>
  <c r="CJ259" i="31" s="1"/>
  <c r="CO259" i="31" s="1"/>
  <c r="OB259" i="31"/>
  <c r="OT260" i="31" s="1"/>
  <c r="OI259" i="31"/>
  <c r="OA259" i="31"/>
  <c r="MV260" i="31" s="1"/>
  <c r="OM260" i="31"/>
  <c r="NF260" i="31"/>
  <c r="OO260" i="31"/>
  <c r="MZ260" i="31"/>
  <c r="OZ259" i="31"/>
  <c r="CK259" i="31" l="1"/>
  <c r="CL259" i="31" s="1"/>
  <c r="OG260" i="31"/>
  <c r="KT260" i="31"/>
  <c r="OW259" i="31"/>
  <c r="MR260" i="31"/>
  <c r="OX260" i="31"/>
  <c r="PA259" i="31"/>
  <c r="OJ259" i="31"/>
  <c r="OC259" i="31"/>
  <c r="OD260" i="31" s="1"/>
  <c r="OH260" i="31" s="1"/>
  <c r="CM259" i="31" l="1"/>
  <c r="CN259" i="31" s="1"/>
  <c r="CP259" i="31" s="1"/>
  <c r="JR259" i="31" s="1"/>
  <c r="JS259" i="31" s="1"/>
  <c r="OK260" i="31"/>
  <c r="MS260" i="31"/>
  <c r="KL260" i="31"/>
  <c r="KN261" i="31" s="1"/>
  <c r="KM260" i="31"/>
  <c r="KO261" i="31" s="1"/>
  <c r="OY260" i="31"/>
  <c r="MW260" i="31"/>
  <c r="FP259" i="31" l="1"/>
  <c r="FS259" i="31" s="1"/>
  <c r="HY259" i="31" s="1"/>
  <c r="FZ259" i="31"/>
  <c r="GA259" i="31" s="1"/>
  <c r="HO259" i="31"/>
  <c r="IA259" i="31" s="1"/>
  <c r="IB259" i="31" s="1"/>
  <c r="FX259" i="31"/>
  <c r="FY259" i="31" s="1"/>
  <c r="DQ259" i="31"/>
  <c r="DR259" i="31" s="1"/>
  <c r="DS259" i="31" s="1"/>
  <c r="AX259" i="31" s="1"/>
  <c r="AY260" i="31" s="1"/>
  <c r="KU259" i="31"/>
  <c r="FE259" i="31"/>
  <c r="FF259" i="31" s="1"/>
  <c r="HW259" i="31" s="1"/>
  <c r="HX260" i="31" s="1"/>
  <c r="FU259" i="31"/>
  <c r="FW259" i="31" s="1"/>
  <c r="KX259" i="31"/>
  <c r="GN259" i="31" s="1"/>
  <c r="CQ259" i="31"/>
  <c r="CS259" i="31" s="1"/>
  <c r="FH259" i="31"/>
  <c r="FI259" i="31" s="1"/>
  <c r="FJ260" i="31" s="1"/>
  <c r="GB259" i="31"/>
  <c r="GC259" i="31" s="1"/>
  <c r="GO259" i="31"/>
  <c r="KE259" i="31"/>
  <c r="JU259" i="31"/>
  <c r="JT260" i="31"/>
  <c r="KC259" i="31"/>
  <c r="CR259" i="31"/>
  <c r="MX260" i="31"/>
  <c r="KQ260" i="31"/>
  <c r="KP261" i="31"/>
  <c r="KR260" i="31"/>
  <c r="NJ260" i="31"/>
  <c r="MU260" i="31"/>
  <c r="NH261" i="31"/>
  <c r="NI261" i="31" s="1"/>
  <c r="NQ260" i="31"/>
  <c r="MT260" i="31"/>
  <c r="MO260" i="31"/>
  <c r="NP260" i="31"/>
  <c r="PE260" i="31"/>
  <c r="CT259" i="31" l="1"/>
  <c r="HP259" i="31"/>
  <c r="HS259" i="31" s="1"/>
  <c r="JG259" i="31" s="1"/>
  <c r="HU259" i="31"/>
  <c r="HV260" i="31" s="1"/>
  <c r="IZ259" i="31"/>
  <c r="FG260" i="31"/>
  <c r="DY259" i="31"/>
  <c r="HA259" i="31"/>
  <c r="GQ259" i="31"/>
  <c r="KV259" i="31"/>
  <c r="KW260" i="31" s="1"/>
  <c r="HQ259" i="31"/>
  <c r="HR260" i="31" s="1"/>
  <c r="EM259" i="31"/>
  <c r="EW259" i="31" s="1"/>
  <c r="EN259" i="31"/>
  <c r="AZ259" i="31"/>
  <c r="KS260" i="31"/>
  <c r="NB260" i="31"/>
  <c r="NA260" i="31"/>
  <c r="NR260" i="31"/>
  <c r="NK260" i="31"/>
  <c r="NL260" i="31"/>
  <c r="NG261" i="31"/>
  <c r="OQ261" i="31"/>
  <c r="HT259" i="31" l="1"/>
  <c r="JB259" i="31" s="1"/>
  <c r="BB260" i="31"/>
  <c r="EQ259" i="31"/>
  <c r="DW259" i="31"/>
  <c r="DU260" i="31" s="1"/>
  <c r="ER260" i="31"/>
  <c r="IU259" i="31"/>
  <c r="IV259" i="31" s="1"/>
  <c r="NC261" i="31"/>
  <c r="MQ261" i="31"/>
  <c r="IC259" i="31"/>
  <c r="ID259" i="31" s="1"/>
  <c r="IF259" i="31" s="1"/>
  <c r="KH259" i="31" s="1"/>
  <c r="OR261" i="31"/>
  <c r="IW259" i="31" l="1"/>
  <c r="KB259" i="31" s="1"/>
  <c r="DB259" i="31"/>
  <c r="DC259" i="31" s="1"/>
  <c r="DD260" i="31" s="1"/>
  <c r="DE261" i="31" s="1"/>
  <c r="GM259" i="31"/>
  <c r="IM259" i="31"/>
  <c r="KI260" i="31"/>
  <c r="IN259" i="31"/>
  <c r="DF259" i="31"/>
  <c r="IX259" i="31"/>
  <c r="KK259" i="31"/>
  <c r="EU260" i="31"/>
  <c r="BC260" i="31"/>
  <c r="GT261" i="31" l="1"/>
  <c r="KJ260" i="31"/>
  <c r="DT259" i="31"/>
  <c r="DZ259" i="31" s="1"/>
  <c r="GU259" i="31"/>
  <c r="GV259" i="31"/>
  <c r="FD259" i="31"/>
  <c r="GR259" i="31"/>
  <c r="BD260" i="31"/>
  <c r="BE260" i="31"/>
  <c r="IS259" i="31" l="1"/>
  <c r="FL260" i="31"/>
  <c r="BG260" i="31"/>
  <c r="BF260" i="31"/>
  <c r="GS259" i="31"/>
  <c r="GX259" i="31" l="1"/>
  <c r="GW259" i="31"/>
  <c r="HC259" i="31" s="1"/>
  <c r="FA260" i="31" s="1"/>
  <c r="HB260" i="31" s="1"/>
  <c r="GY259" i="31"/>
  <c r="FM260" i="31"/>
  <c r="BI260" i="31"/>
  <c r="BK260" i="31" s="1"/>
  <c r="BH260" i="31"/>
  <c r="JH259" i="31"/>
  <c r="JI259" i="31" s="1"/>
  <c r="IT259" i="31"/>
  <c r="BL260" i="31" l="1"/>
  <c r="BM260" i="31"/>
  <c r="JK259" i="31"/>
  <c r="JZ259" i="31" s="1"/>
  <c r="KF259" i="31" s="1"/>
  <c r="IQ260" i="31" s="1"/>
  <c r="BJ260" i="31"/>
  <c r="EG259" i="31"/>
  <c r="EH260" i="31" s="1"/>
  <c r="EI260" i="31" s="1"/>
  <c r="FK260" i="31" s="1"/>
  <c r="HM259" i="31"/>
  <c r="EY259" i="31"/>
  <c r="HK260" i="31"/>
  <c r="JN259" i="31" l="1"/>
  <c r="JV259" i="31" s="1"/>
  <c r="JF260" i="31" s="1"/>
  <c r="JW260" i="31" s="1"/>
  <c r="JM259" i="31"/>
  <c r="KD259" i="31" s="1"/>
  <c r="IL260" i="31" s="1"/>
  <c r="JE260" i="31" s="1"/>
  <c r="JL259" i="31"/>
  <c r="JJ260" i="31" s="1"/>
  <c r="KA260" i="31"/>
  <c r="BO260" i="31"/>
  <c r="BN260" i="31"/>
  <c r="EZ259" i="31"/>
  <c r="DG259" i="31"/>
  <c r="DH259" i="31" s="1"/>
  <c r="DI260" i="31" s="1"/>
  <c r="ED259" i="31"/>
  <c r="EB260" i="31" s="1"/>
  <c r="EJ259" i="31"/>
  <c r="EK260" i="31" s="1"/>
  <c r="EE259" i="31"/>
  <c r="EF260" i="31" s="1"/>
  <c r="JY260" i="31" l="1"/>
  <c r="IO260" i="31"/>
  <c r="IR260" i="31"/>
  <c r="JO260" i="31"/>
  <c r="IP260" i="31"/>
  <c r="JC260" i="31"/>
  <c r="JD260" i="31"/>
  <c r="DP260" i="31"/>
  <c r="BP260" i="31"/>
  <c r="BQ260" i="31" s="1"/>
  <c r="HZ260" i="31"/>
  <c r="EL260" i="31"/>
  <c r="JX260" i="31" s="1"/>
  <c r="EO260" i="31"/>
  <c r="ES261" i="31" s="1"/>
  <c r="EP260" i="31"/>
  <c r="ET261" i="31" s="1"/>
  <c r="FC260" i="31"/>
  <c r="EV260" i="31"/>
  <c r="JA260" i="31"/>
  <c r="GZ260" i="31"/>
  <c r="DJ260" i="31"/>
  <c r="DK260" i="31" s="1"/>
  <c r="IY260" i="31"/>
  <c r="JP260" i="31" l="1"/>
  <c r="JQ260" i="31" s="1"/>
  <c r="KG260" i="31"/>
  <c r="IE260" i="31"/>
  <c r="EC260" i="31"/>
  <c r="DX260" i="31"/>
  <c r="DM260" i="31"/>
  <c r="FQ260" i="31"/>
  <c r="BR260" i="31"/>
  <c r="BS260" i="31"/>
  <c r="DL260" i="31" l="1"/>
  <c r="L261" i="31"/>
  <c r="EX260" i="31"/>
  <c r="M260" i="31" s="1"/>
  <c r="FB260" i="31"/>
  <c r="BT260" i="31"/>
  <c r="BU260" i="31"/>
  <c r="MJ260" i="31" l="1"/>
  <c r="NS260" i="31" s="1"/>
  <c r="MB260" i="31"/>
  <c r="NM260" i="31" s="1"/>
  <c r="NN260" i="31" s="1"/>
  <c r="BV260" i="31"/>
  <c r="BW260" i="31" s="1"/>
  <c r="BX260" i="31" l="1"/>
  <c r="BY260" i="31"/>
  <c r="CA260" i="31" s="1"/>
  <c r="OV261" i="31"/>
  <c r="NW260" i="31"/>
  <c r="NT260" i="31"/>
  <c r="OU261" i="31"/>
  <c r="BZ260" i="31" l="1"/>
  <c r="FV260" i="31"/>
  <c r="FR260" i="31"/>
  <c r="CX260" i="31"/>
  <c r="NU260" i="31"/>
  <c r="CB260" i="31"/>
  <c r="CC260" i="31" s="1"/>
  <c r="NX260" i="31"/>
  <c r="CD260" i="31" l="1"/>
  <c r="CE260" i="31"/>
  <c r="CF260" i="31" s="1"/>
  <c r="NV260" i="31"/>
  <c r="MY260" i="31"/>
  <c r="NZ260" i="31"/>
  <c r="CY261" i="31"/>
  <c r="NY260" i="31"/>
  <c r="OF260" i="31"/>
  <c r="OS261" i="31" s="1"/>
  <c r="CG260" i="31" l="1"/>
  <c r="CH260" i="31" s="1"/>
  <c r="CI260" i="31" s="1"/>
  <c r="OI260" i="31"/>
  <c r="OB260" i="31"/>
  <c r="OT261" i="31" s="1"/>
  <c r="OA260" i="31"/>
  <c r="MV261" i="31" s="1"/>
  <c r="NF261" i="31"/>
  <c r="OO261" i="31"/>
  <c r="OM261" i="31"/>
  <c r="MZ261" i="31"/>
  <c r="OZ260" i="31"/>
  <c r="CJ260" i="31" l="1"/>
  <c r="CO260" i="31" s="1"/>
  <c r="CK260" i="31"/>
  <c r="CL260" i="31" s="1"/>
  <c r="OJ260" i="31"/>
  <c r="KT261" i="31"/>
  <c r="OG261" i="31"/>
  <c r="OC260" i="31"/>
  <c r="OD261" i="31" s="1"/>
  <c r="OH261" i="31" s="1"/>
  <c r="PA260" i="31"/>
  <c r="MR261" i="31"/>
  <c r="OX261" i="31"/>
  <c r="OW260" i="31"/>
  <c r="OK261" i="31" l="1"/>
  <c r="CM260" i="31"/>
  <c r="CN260" i="31" s="1"/>
  <c r="KM261" i="31"/>
  <c r="KO262" i="31" s="1"/>
  <c r="KL261" i="31"/>
  <c r="KN262" i="31" s="1"/>
  <c r="CP260" i="31"/>
  <c r="MW261" i="31"/>
  <c r="OY261" i="31"/>
  <c r="MS261" i="31"/>
  <c r="NQ261" i="31" l="1"/>
  <c r="MO261" i="31"/>
  <c r="MU261" i="31"/>
  <c r="MT261" i="31"/>
  <c r="NJ261" i="31"/>
  <c r="NP261" i="31"/>
  <c r="NH262" i="31"/>
  <c r="NI262" i="31" s="1"/>
  <c r="PE261" i="31"/>
  <c r="MX261" i="31"/>
  <c r="KQ261" i="31"/>
  <c r="JR260" i="31"/>
  <c r="JS260" i="31" s="1"/>
  <c r="DQ260" i="31"/>
  <c r="DR260" i="31" s="1"/>
  <c r="HO260" i="31"/>
  <c r="GB260" i="31"/>
  <c r="GC260" i="31" s="1"/>
  <c r="FU260" i="31"/>
  <c r="FW260" i="31" s="1"/>
  <c r="CQ260" i="31"/>
  <c r="FX260" i="31"/>
  <c r="FY260" i="31" s="1"/>
  <c r="FP260" i="31"/>
  <c r="FS260" i="31" s="1"/>
  <c r="FH260" i="31"/>
  <c r="FI260" i="31" s="1"/>
  <c r="FZ260" i="31"/>
  <c r="GA260" i="31" s="1"/>
  <c r="FE260" i="31"/>
  <c r="FF260" i="31" s="1"/>
  <c r="GO260" i="31"/>
  <c r="KX260" i="31"/>
  <c r="KU260" i="31"/>
  <c r="KP262" i="31"/>
  <c r="KR261" i="31"/>
  <c r="GN260" i="31" l="1"/>
  <c r="GQ260" i="31" s="1"/>
  <c r="DS260" i="31"/>
  <c r="AX260" i="31" s="1"/>
  <c r="AY261" i="31" s="1"/>
  <c r="HA260" i="31"/>
  <c r="DY260" i="31"/>
  <c r="HY260" i="31"/>
  <c r="KS261" i="31"/>
  <c r="JU260" i="31"/>
  <c r="KE260" i="31"/>
  <c r="KC260" i="31"/>
  <c r="JT261" i="31"/>
  <c r="NL261" i="31"/>
  <c r="NK261" i="31"/>
  <c r="NG262" i="31"/>
  <c r="OQ262" i="31"/>
  <c r="CS260" i="31"/>
  <c r="CT260" i="31"/>
  <c r="CR260" i="31"/>
  <c r="HU260" i="31"/>
  <c r="HV261" i="31" s="1"/>
  <c r="FJ261" i="31"/>
  <c r="NB261" i="31"/>
  <c r="NA261" i="31"/>
  <c r="FG261" i="31"/>
  <c r="HW260" i="31"/>
  <c r="HX261" i="31" s="1"/>
  <c r="IA260" i="31"/>
  <c r="IB260" i="31" s="1"/>
  <c r="HP260" i="31"/>
  <c r="IZ260" i="31"/>
  <c r="NR261" i="31"/>
  <c r="KV260" i="31" l="1"/>
  <c r="KW261" i="31" s="1"/>
  <c r="HQ260" i="31"/>
  <c r="HR261" i="31" s="1"/>
  <c r="OR262" i="31"/>
  <c r="HS260" i="31"/>
  <c r="JG260" i="31" s="1"/>
  <c r="HT260" i="31"/>
  <c r="NC262" i="31"/>
  <c r="MQ262" i="31"/>
  <c r="AZ260" i="31"/>
  <c r="EN260" i="31"/>
  <c r="EM260" i="31"/>
  <c r="EW260" i="31" s="1"/>
  <c r="IC260" i="31" l="1"/>
  <c r="ID260" i="31" s="1"/>
  <c r="IF260" i="31" s="1"/>
  <c r="KH260" i="31" s="1"/>
  <c r="JB260" i="31"/>
  <c r="BB261" i="31"/>
  <c r="DW260" i="31"/>
  <c r="DU261" i="31" s="1"/>
  <c r="EQ260" i="31"/>
  <c r="IW260" i="31"/>
  <c r="ER261" i="31"/>
  <c r="IU260" i="31"/>
  <c r="IV260" i="31" s="1"/>
  <c r="BC261" i="31" l="1"/>
  <c r="KK260" i="31"/>
  <c r="KB260" i="31"/>
  <c r="IX260" i="31"/>
  <c r="EU261" i="31"/>
  <c r="DB260" i="31"/>
  <c r="DC260" i="31" s="1"/>
  <c r="DD261" i="31" s="1"/>
  <c r="DE262" i="31" s="1"/>
  <c r="GM260" i="31"/>
  <c r="IM260" i="31"/>
  <c r="KI261" i="31"/>
  <c r="IN260" i="31"/>
  <c r="DF260" i="31"/>
  <c r="GT262" i="31" l="1"/>
  <c r="DT260" i="31"/>
  <c r="DZ260" i="31" s="1"/>
  <c r="KJ261" i="31"/>
  <c r="FD260" i="31"/>
  <c r="GU260" i="31"/>
  <c r="GV260" i="31"/>
  <c r="GR260" i="31"/>
  <c r="BD261" i="31"/>
  <c r="BE261" i="31"/>
  <c r="IS260" i="31" l="1"/>
  <c r="FL261" i="31"/>
  <c r="BF261" i="31"/>
  <c r="BG261" i="31"/>
  <c r="GS260" i="31"/>
  <c r="BI261" i="31" l="1"/>
  <c r="BK261" i="31" s="1"/>
  <c r="BH261" i="31"/>
  <c r="FM261" i="31"/>
  <c r="GX260" i="31"/>
  <c r="GW260" i="31"/>
  <c r="HC260" i="31" s="1"/>
  <c r="FA261" i="31" s="1"/>
  <c r="HB261" i="31" s="1"/>
  <c r="GY260" i="31"/>
  <c r="JH260" i="31"/>
  <c r="JI260" i="31" s="1"/>
  <c r="IT260" i="31"/>
  <c r="BJ261" i="31" l="1"/>
  <c r="JK260" i="31"/>
  <c r="JN260" i="31" s="1"/>
  <c r="JV260" i="31" s="1"/>
  <c r="JF261" i="31" s="1"/>
  <c r="EG260" i="31"/>
  <c r="EH261" i="31" s="1"/>
  <c r="EI261" i="31" s="1"/>
  <c r="FK261" i="31" s="1"/>
  <c r="EY260" i="31"/>
  <c r="HM260" i="31"/>
  <c r="HK261" i="31"/>
  <c r="BL261" i="31"/>
  <c r="BM261" i="31"/>
  <c r="JM260" i="31" l="1"/>
  <c r="KD260" i="31" s="1"/>
  <c r="IL261" i="31" s="1"/>
  <c r="JW261" i="31"/>
  <c r="JY261" i="31"/>
  <c r="EZ260" i="31"/>
  <c r="DG260" i="31"/>
  <c r="DH260" i="31" s="1"/>
  <c r="DI261" i="31" s="1"/>
  <c r="JZ260" i="31"/>
  <c r="KF260" i="31" s="1"/>
  <c r="IQ261" i="31" s="1"/>
  <c r="JL260" i="31"/>
  <c r="JJ261" i="31" s="1"/>
  <c r="KA261" i="31"/>
  <c r="BN261" i="31"/>
  <c r="BO261" i="31"/>
  <c r="ED260" i="31"/>
  <c r="EB261" i="31" s="1"/>
  <c r="EE260" i="31"/>
  <c r="EF261" i="31" s="1"/>
  <c r="EJ260" i="31"/>
  <c r="EK261" i="31" s="1"/>
  <c r="IO261" i="31" l="1"/>
  <c r="IP261" i="31"/>
  <c r="IY261" i="31"/>
  <c r="JE261" i="31"/>
  <c r="IR261" i="31"/>
  <c r="JA261" i="31"/>
  <c r="JO261" i="31"/>
  <c r="JC261" i="31"/>
  <c r="JD261" i="31"/>
  <c r="BP261" i="31"/>
  <c r="BQ261" i="31" s="1"/>
  <c r="DJ261" i="31"/>
  <c r="DK261" i="31" s="1"/>
  <c r="GZ261" i="31"/>
  <c r="IE261" i="31" s="1"/>
  <c r="HZ261" i="31"/>
  <c r="DP261" i="31"/>
  <c r="FC261" i="31"/>
  <c r="EL261" i="31"/>
  <c r="EP261" i="31"/>
  <c r="ET262" i="31" s="1"/>
  <c r="EO261" i="31"/>
  <c r="ES262" i="31" s="1"/>
  <c r="EV261" i="31"/>
  <c r="JP261" i="31" l="1"/>
  <c r="JQ261" i="31" s="1"/>
  <c r="EC261" i="31"/>
  <c r="FQ261" i="31"/>
  <c r="DM261" i="31"/>
  <c r="DX261" i="31"/>
  <c r="KG261" i="31"/>
  <c r="BR261" i="31"/>
  <c r="BS261" i="31"/>
  <c r="JX261" i="31"/>
  <c r="DL261" i="31" l="1"/>
  <c r="L262" i="31"/>
  <c r="FB261" i="31"/>
  <c r="EX261" i="31"/>
  <c r="M261" i="31" s="1"/>
  <c r="BT261" i="31"/>
  <c r="BU261" i="31"/>
  <c r="BV261" i="31" l="1"/>
  <c r="BW261" i="31" s="1"/>
  <c r="MB261" i="31"/>
  <c r="NM261" i="31" s="1"/>
  <c r="NN261" i="31" s="1"/>
  <c r="MJ261" i="31"/>
  <c r="NS261" i="31" s="1"/>
  <c r="BY261" i="31" l="1"/>
  <c r="BX261" i="31"/>
  <c r="NT261" i="31"/>
  <c r="OU262" i="31"/>
  <c r="OV262" i="31"/>
  <c r="NW261" i="31"/>
  <c r="BZ261" i="31" l="1"/>
  <c r="CA261" i="31"/>
  <c r="FR261" i="31"/>
  <c r="CX261" i="31"/>
  <c r="FV261" i="31"/>
  <c r="NU261" i="31"/>
  <c r="NX261" i="31"/>
  <c r="CB261" i="31" l="1"/>
  <c r="CC261" i="31" s="1"/>
  <c r="MY261" i="31"/>
  <c r="NZ261" i="31"/>
  <c r="CY262" i="31"/>
  <c r="NV261" i="31"/>
  <c r="NY261" i="31"/>
  <c r="OF261" i="31"/>
  <c r="OS262" i="31" s="1"/>
  <c r="CD261" i="31" l="1"/>
  <c r="CE261" i="31"/>
  <c r="CG261" i="31" s="1"/>
  <c r="OA261" i="31"/>
  <c r="MV262" i="31" s="1"/>
  <c r="OG262" i="31" s="1"/>
  <c r="NF262" i="31"/>
  <c r="OO262" i="31"/>
  <c r="OM262" i="31"/>
  <c r="OB261" i="31"/>
  <c r="OT262" i="31" s="1"/>
  <c r="OI261" i="31"/>
  <c r="MZ262" i="31"/>
  <c r="OZ261" i="31"/>
  <c r="KT262" i="31" l="1"/>
  <c r="CH261" i="31"/>
  <c r="CI261" i="31" s="1"/>
  <c r="CJ261" i="31" s="1"/>
  <c r="CO261" i="31" s="1"/>
  <c r="CF261" i="31"/>
  <c r="OC261" i="31"/>
  <c r="OD262" i="31" s="1"/>
  <c r="OH262" i="31" s="1"/>
  <c r="OK262" i="31" s="1"/>
  <c r="MR262" i="31"/>
  <c r="OW261" i="31"/>
  <c r="OX262" i="31"/>
  <c r="KL262" i="31"/>
  <c r="KN263" i="31" s="1"/>
  <c r="KM262" i="31"/>
  <c r="KO263" i="31" s="1"/>
  <c r="PA261" i="31"/>
  <c r="OJ261" i="31"/>
  <c r="CK261" i="31" l="1"/>
  <c r="CL261" i="31" s="1"/>
  <c r="KP263" i="31"/>
  <c r="KR262" i="31"/>
  <c r="OY262" i="31"/>
  <c r="MW262" i="31"/>
  <c r="KQ262" i="31"/>
  <c r="MS262" i="31"/>
  <c r="CM261" i="31" l="1"/>
  <c r="CN261" i="31" s="1"/>
  <c r="CP261" i="31" s="1"/>
  <c r="GO261" i="31" s="1"/>
  <c r="KS262" i="31"/>
  <c r="NJ262" i="31"/>
  <c r="NH263" i="31"/>
  <c r="NI263" i="31" s="1"/>
  <c r="NQ262" i="31"/>
  <c r="MO262" i="31"/>
  <c r="NP262" i="31"/>
  <c r="MT262" i="31"/>
  <c r="MU262" i="31"/>
  <c r="PE262" i="31"/>
  <c r="MX262" i="31"/>
  <c r="KX261" i="31" l="1"/>
  <c r="GN261" i="31" s="1"/>
  <c r="GQ261" i="31" s="1"/>
  <c r="FE261" i="31"/>
  <c r="FF261" i="31" s="1"/>
  <c r="HW261" i="31" s="1"/>
  <c r="HX262" i="31" s="1"/>
  <c r="FU261" i="31"/>
  <c r="FW261" i="31" s="1"/>
  <c r="GB261" i="31"/>
  <c r="GC261" i="31" s="1"/>
  <c r="FZ261" i="31"/>
  <c r="GA261" i="31" s="1"/>
  <c r="FX261" i="31"/>
  <c r="FY261" i="31" s="1"/>
  <c r="FP261" i="31"/>
  <c r="FS261" i="31" s="1"/>
  <c r="HY261" i="31" s="1"/>
  <c r="JR261" i="31"/>
  <c r="JS261" i="31" s="1"/>
  <c r="KC261" i="31" s="1"/>
  <c r="KU261" i="31"/>
  <c r="HO261" i="31"/>
  <c r="HP261" i="31" s="1"/>
  <c r="DQ261" i="31"/>
  <c r="DR261" i="31" s="1"/>
  <c r="DS261" i="31" s="1"/>
  <c r="AX261" i="31" s="1"/>
  <c r="AY262" i="31" s="1"/>
  <c r="FH261" i="31"/>
  <c r="FI261" i="31" s="1"/>
  <c r="HU261" i="31" s="1"/>
  <c r="HV262" i="31" s="1"/>
  <c r="CQ261" i="31"/>
  <c r="CR261" i="31" s="1"/>
  <c r="NR262" i="31"/>
  <c r="NB262" i="31"/>
  <c r="NA262" i="31"/>
  <c r="NK262" i="31"/>
  <c r="NL262" i="31"/>
  <c r="NG263" i="31"/>
  <c r="OQ263" i="31"/>
  <c r="FG262" i="31" l="1"/>
  <c r="CS261" i="31"/>
  <c r="FJ262" i="31"/>
  <c r="IZ261" i="31"/>
  <c r="IA261" i="31"/>
  <c r="IB261" i="31" s="1"/>
  <c r="DY261" i="31"/>
  <c r="HA261" i="31"/>
  <c r="CT261" i="31"/>
  <c r="KE261" i="31"/>
  <c r="JT262" i="31"/>
  <c r="JU261" i="31"/>
  <c r="KV261" i="31"/>
  <c r="KW262" i="31" s="1"/>
  <c r="HQ261" i="31"/>
  <c r="HR262" i="31" s="1"/>
  <c r="NC263" i="31"/>
  <c r="MQ263" i="31"/>
  <c r="AZ261" i="31"/>
  <c r="EM261" i="31"/>
  <c r="EW261" i="31" s="1"/>
  <c r="EN261" i="31"/>
  <c r="HS261" i="31"/>
  <c r="JG261" i="31" s="1"/>
  <c r="HT261" i="31"/>
  <c r="OR263" i="31"/>
  <c r="IC261" i="31" l="1"/>
  <c r="ID261" i="31" s="1"/>
  <c r="IF261" i="31" s="1"/>
  <c r="KH261" i="31" s="1"/>
  <c r="JB261" i="31"/>
  <c r="BB262" i="31"/>
  <c r="DW261" i="31"/>
  <c r="DU262" i="31" s="1"/>
  <c r="EQ261" i="31"/>
  <c r="ER262" i="31"/>
  <c r="IU261" i="31"/>
  <c r="IV261" i="31" s="1"/>
  <c r="IW261" i="31" l="1"/>
  <c r="KB261" i="31" s="1"/>
  <c r="BC262" i="31"/>
  <c r="KK261" i="31"/>
  <c r="IX261" i="31"/>
  <c r="DB261" i="31"/>
  <c r="DC261" i="31" s="1"/>
  <c r="DD262" i="31" s="1"/>
  <c r="DE263" i="31" s="1"/>
  <c r="IM261" i="31"/>
  <c r="GM261" i="31"/>
  <c r="KI262" i="31"/>
  <c r="IN261" i="31"/>
  <c r="DF261" i="31"/>
  <c r="EU262" i="31"/>
  <c r="GT263" i="31" l="1"/>
  <c r="GV261" i="31"/>
  <c r="FD261" i="31"/>
  <c r="GU261" i="31"/>
  <c r="DT261" i="31"/>
  <c r="DZ261" i="31" s="1"/>
  <c r="KJ262" i="31"/>
  <c r="GR261" i="31"/>
  <c r="BE262" i="31"/>
  <c r="BD262" i="31"/>
  <c r="IS261" i="31" l="1"/>
  <c r="FL262" i="31"/>
  <c r="BF262" i="31"/>
  <c r="BG262" i="31"/>
  <c r="GS261" i="31"/>
  <c r="BH262" i="31" l="1"/>
  <c r="BI262" i="31"/>
  <c r="BK262" i="31" s="1"/>
  <c r="GW261" i="31"/>
  <c r="HC261" i="31" s="1"/>
  <c r="FA262" i="31" s="1"/>
  <c r="HB262" i="31" s="1"/>
  <c r="GX261" i="31"/>
  <c r="GY261" i="31"/>
  <c r="FM262" i="31"/>
  <c r="JH261" i="31"/>
  <c r="JI261" i="31" s="1"/>
  <c r="IT261" i="31"/>
  <c r="EY261" i="31" l="1"/>
  <c r="HM261" i="31"/>
  <c r="EG261" i="31"/>
  <c r="EH262" i="31" s="1"/>
  <c r="EI262" i="31" s="1"/>
  <c r="FK262" i="31" s="1"/>
  <c r="HK262" i="31"/>
  <c r="BJ262" i="31"/>
  <c r="JK261" i="31"/>
  <c r="BL262" i="31"/>
  <c r="BM262" i="31"/>
  <c r="JM261" i="31" l="1"/>
  <c r="KD261" i="31" s="1"/>
  <c r="IL262" i="31" s="1"/>
  <c r="JL261" i="31"/>
  <c r="JJ262" i="31" s="1"/>
  <c r="KA262" i="31"/>
  <c r="BN262" i="31"/>
  <c r="BO262" i="31"/>
  <c r="ED261" i="31"/>
  <c r="EB262" i="31" s="1"/>
  <c r="EE261" i="31"/>
  <c r="EF262" i="31" s="1"/>
  <c r="EJ261" i="31"/>
  <c r="EK262" i="31" s="1"/>
  <c r="JN261" i="31"/>
  <c r="JV261" i="31" s="1"/>
  <c r="JF262" i="31" s="1"/>
  <c r="JZ261" i="31"/>
  <c r="KF261" i="31" s="1"/>
  <c r="IQ262" i="31" s="1"/>
  <c r="EZ261" i="31"/>
  <c r="DG261" i="31"/>
  <c r="DH261" i="31" s="1"/>
  <c r="DI262" i="31" s="1"/>
  <c r="JY262" i="31" l="1"/>
  <c r="JW262" i="31"/>
  <c r="JC262" i="31"/>
  <c r="JD262" i="31"/>
  <c r="BP262" i="31"/>
  <c r="BQ262" i="31" s="1"/>
  <c r="GZ262" i="31"/>
  <c r="IE262" i="31" s="1"/>
  <c r="DJ262" i="31"/>
  <c r="DK262" i="31" s="1"/>
  <c r="IO262" i="31"/>
  <c r="IP262" i="31"/>
  <c r="IY262" i="31"/>
  <c r="JO262" i="31"/>
  <c r="JE262" i="31"/>
  <c r="IR262" i="31"/>
  <c r="JA262" i="31"/>
  <c r="HZ262" i="31"/>
  <c r="EP262" i="31"/>
  <c r="ET263" i="31" s="1"/>
  <c r="FC262" i="31"/>
  <c r="EL262" i="31"/>
  <c r="EO262" i="31"/>
  <c r="ES263" i="31" s="1"/>
  <c r="EV262" i="31"/>
  <c r="DP262" i="31"/>
  <c r="JX262" i="31" l="1"/>
  <c r="JP262" i="31"/>
  <c r="JQ262" i="31" s="1"/>
  <c r="BR262" i="31"/>
  <c r="BS262" i="31"/>
  <c r="EC262" i="31"/>
  <c r="KG262" i="31"/>
  <c r="DM262" i="31"/>
  <c r="FQ262" i="31"/>
  <c r="DX262" i="31"/>
  <c r="FB262" i="31" l="1"/>
  <c r="EX262" i="31"/>
  <c r="M262" i="31" s="1"/>
  <c r="DL262" i="31"/>
  <c r="L263" i="31"/>
  <c r="BT262" i="31"/>
  <c r="BU262" i="31"/>
  <c r="BV262" i="31" l="1"/>
  <c r="BW262" i="31" s="1"/>
  <c r="MB262" i="31"/>
  <c r="NM262" i="31" s="1"/>
  <c r="NN262" i="31" s="1"/>
  <c r="MJ262" i="31"/>
  <c r="NS262" i="31" s="1"/>
  <c r="BX262" i="31" l="1"/>
  <c r="BY262" i="31"/>
  <c r="NT262" i="31"/>
  <c r="OU263" i="31"/>
  <c r="OV263" i="31"/>
  <c r="NW262" i="31"/>
  <c r="BZ262" i="31" l="1"/>
  <c r="CA262" i="31"/>
  <c r="FR262" i="31"/>
  <c r="CX262" i="31"/>
  <c r="FV262" i="31"/>
  <c r="NU262" i="31"/>
  <c r="NX262" i="31"/>
  <c r="CB262" i="31" l="1"/>
  <c r="CC262" i="31" s="1"/>
  <c r="NV262" i="31"/>
  <c r="NZ262" i="31"/>
  <c r="MY262" i="31"/>
  <c r="CY263" i="31"/>
  <c r="NY262" i="31"/>
  <c r="OF262" i="31"/>
  <c r="OS263" i="31" s="1"/>
  <c r="CD262" i="31" l="1"/>
  <c r="CE262" i="31"/>
  <c r="CF262" i="31" s="1"/>
  <c r="OA262" i="31"/>
  <c r="MV263" i="31" s="1"/>
  <c r="OG263" i="31" s="1"/>
  <c r="OB262" i="31"/>
  <c r="OT263" i="31" s="1"/>
  <c r="OI262" i="31"/>
  <c r="OM263" i="31"/>
  <c r="OO263" i="31"/>
  <c r="NF263" i="31"/>
  <c r="MZ263" i="31"/>
  <c r="OZ262" i="31"/>
  <c r="CG262" i="31" l="1"/>
  <c r="CH262" i="31" s="1"/>
  <c r="CI262" i="31" s="1"/>
  <c r="CJ262" i="31" s="1"/>
  <c r="CO262" i="31" s="1"/>
  <c r="KT263" i="31"/>
  <c r="KL263" i="31" s="1"/>
  <c r="KN264" i="31" s="1"/>
  <c r="PA262" i="31"/>
  <c r="OJ262" i="31"/>
  <c r="OC262" i="31"/>
  <c r="OD263" i="31" s="1"/>
  <c r="OH263" i="31" s="1"/>
  <c r="OK263" i="31" s="1"/>
  <c r="OX263" i="31"/>
  <c r="OW262" i="31"/>
  <c r="MR263" i="31"/>
  <c r="CK262" i="31" l="1"/>
  <c r="CL262" i="31" s="1"/>
  <c r="KM263" i="31"/>
  <c r="KO264" i="31" s="1"/>
  <c r="KR263" i="31" s="1"/>
  <c r="MW263" i="31"/>
  <c r="OY263" i="31"/>
  <c r="KQ263" i="31"/>
  <c r="MS263" i="31"/>
  <c r="CM262" i="31" l="1"/>
  <c r="CN262" i="31" s="1"/>
  <c r="CP262" i="31" s="1"/>
  <c r="KP264" i="31"/>
  <c r="MX263" i="31"/>
  <c r="NP263" i="31"/>
  <c r="NH264" i="31"/>
  <c r="NI264" i="31" s="1"/>
  <c r="NQ263" i="31"/>
  <c r="NJ263" i="31"/>
  <c r="MU263" i="31"/>
  <c r="MO263" i="31"/>
  <c r="MT263" i="31"/>
  <c r="PE263" i="31"/>
  <c r="KS263" i="31"/>
  <c r="FP262" i="31" l="1"/>
  <c r="FS262" i="31" s="1"/>
  <c r="DY262" i="31" s="1"/>
  <c r="FH262" i="31"/>
  <c r="FI262" i="31" s="1"/>
  <c r="HU262" i="31" s="1"/>
  <c r="HV263" i="31" s="1"/>
  <c r="CQ262" i="31"/>
  <c r="CT262" i="31" s="1"/>
  <c r="FX262" i="31"/>
  <c r="FY262" i="31" s="1"/>
  <c r="FU262" i="31"/>
  <c r="FW262" i="31" s="1"/>
  <c r="KU262" i="31"/>
  <c r="KX262" i="31"/>
  <c r="GN262" i="31" s="1"/>
  <c r="HO262" i="31"/>
  <c r="IA262" i="31" s="1"/>
  <c r="IB262" i="31" s="1"/>
  <c r="DQ262" i="31"/>
  <c r="DR262" i="31" s="1"/>
  <c r="DS262" i="31" s="1"/>
  <c r="AX262" i="31" s="1"/>
  <c r="AY263" i="31" s="1"/>
  <c r="GB262" i="31"/>
  <c r="GC262" i="31" s="1"/>
  <c r="GO262" i="31"/>
  <c r="FE262" i="31"/>
  <c r="FF262" i="31" s="1"/>
  <c r="FG263" i="31" s="1"/>
  <c r="FZ262" i="31"/>
  <c r="GA262" i="31" s="1"/>
  <c r="JR262" i="31"/>
  <c r="JS262" i="31" s="1"/>
  <c r="JT263" i="31" s="1"/>
  <c r="NR263" i="31"/>
  <c r="CR262" i="31"/>
  <c r="NL263" i="31"/>
  <c r="NK263" i="31"/>
  <c r="NG264" i="31"/>
  <c r="OQ264" i="31"/>
  <c r="NA263" i="31"/>
  <c r="NB263" i="31"/>
  <c r="HA262" i="31" l="1"/>
  <c r="HY262" i="31"/>
  <c r="CS262" i="31"/>
  <c r="FJ263" i="31"/>
  <c r="IZ262" i="31"/>
  <c r="HP262" i="31"/>
  <c r="HT262" i="31" s="1"/>
  <c r="HW262" i="31"/>
  <c r="HX263" i="31" s="1"/>
  <c r="GQ262" i="31"/>
  <c r="KE262" i="31"/>
  <c r="JU262" i="31"/>
  <c r="KC262" i="31"/>
  <c r="KV262" i="31"/>
  <c r="KW263" i="31" s="1"/>
  <c r="HQ262" i="31"/>
  <c r="HR263" i="31" s="1"/>
  <c r="NC264" i="31"/>
  <c r="MQ264" i="31"/>
  <c r="OR264" i="31"/>
  <c r="AZ262" i="31"/>
  <c r="EM262" i="31"/>
  <c r="EW262" i="31" s="1"/>
  <c r="EN262" i="31"/>
  <c r="HS262" i="31" l="1"/>
  <c r="JG262" i="31" s="1"/>
  <c r="BB263" i="31"/>
  <c r="DW262" i="31"/>
  <c r="DU263" i="31" s="1"/>
  <c r="EQ262" i="31"/>
  <c r="ER263" i="31"/>
  <c r="IU262" i="31"/>
  <c r="IV262" i="31" s="1"/>
  <c r="IC262" i="31"/>
  <c r="ID262" i="31" s="1"/>
  <c r="IF262" i="31" s="1"/>
  <c r="KH262" i="31" s="1"/>
  <c r="JB262" i="31"/>
  <c r="IW262" i="31" l="1"/>
  <c r="KB262" i="31" s="1"/>
  <c r="IX262" i="31"/>
  <c r="KK262" i="31"/>
  <c r="EU263" i="31"/>
  <c r="GM262" i="31"/>
  <c r="DB262" i="31"/>
  <c r="DC262" i="31" s="1"/>
  <c r="DD263" i="31" s="1"/>
  <c r="DE264" i="31" s="1"/>
  <c r="IM262" i="31"/>
  <c r="KI263" i="31"/>
  <c r="IN262" i="31"/>
  <c r="DF262" i="31"/>
  <c r="BC263" i="31"/>
  <c r="GT264" i="31" l="1"/>
  <c r="DT262" i="31"/>
  <c r="DZ262" i="31" s="1"/>
  <c r="GU262" i="31"/>
  <c r="FD262" i="31"/>
  <c r="GV262" i="31"/>
  <c r="BE263" i="31"/>
  <c r="BD263" i="31"/>
  <c r="KJ263" i="31"/>
  <c r="GR262" i="31"/>
  <c r="BF263" i="31" l="1"/>
  <c r="BG263" i="31"/>
  <c r="IS262" i="31"/>
  <c r="FL263" i="31"/>
  <c r="GS262" i="31"/>
  <c r="BH263" i="31" l="1"/>
  <c r="BI263" i="31"/>
  <c r="BK263" i="31" s="1"/>
  <c r="GX262" i="31"/>
  <c r="GY262" i="31"/>
  <c r="GW262" i="31"/>
  <c r="HC262" i="31" s="1"/>
  <c r="FA263" i="31" s="1"/>
  <c r="HB263" i="31" s="1"/>
  <c r="FM263" i="31"/>
  <c r="JH262" i="31"/>
  <c r="JI262" i="31" s="1"/>
  <c r="IT262" i="31"/>
  <c r="BJ263" i="31" l="1"/>
  <c r="HM262" i="31"/>
  <c r="EY262" i="31"/>
  <c r="EG262" i="31"/>
  <c r="EH263" i="31" s="1"/>
  <c r="EI263" i="31" s="1"/>
  <c r="FK263" i="31" s="1"/>
  <c r="HK263" i="31"/>
  <c r="JK262" i="31"/>
  <c r="JN262" i="31" s="1"/>
  <c r="JV262" i="31" s="1"/>
  <c r="JF263" i="31" s="1"/>
  <c r="BL263" i="31"/>
  <c r="BM263" i="31"/>
  <c r="JW263" i="31" l="1"/>
  <c r="JY263" i="31"/>
  <c r="JZ262" i="31"/>
  <c r="KF262" i="31" s="1"/>
  <c r="IQ263" i="31" s="1"/>
  <c r="EZ262" i="31"/>
  <c r="DG262" i="31"/>
  <c r="DH262" i="31" s="1"/>
  <c r="DI263" i="31" s="1"/>
  <c r="EJ262" i="31"/>
  <c r="EK263" i="31" s="1"/>
  <c r="ED262" i="31"/>
  <c r="EB263" i="31" s="1"/>
  <c r="EE262" i="31"/>
  <c r="EF263" i="31" s="1"/>
  <c r="JM262" i="31"/>
  <c r="KD262" i="31" s="1"/>
  <c r="IL263" i="31" s="1"/>
  <c r="JL262" i="31"/>
  <c r="JJ263" i="31" s="1"/>
  <c r="KA263" i="31"/>
  <c r="BN263" i="31"/>
  <c r="BO263" i="31"/>
  <c r="JC263" i="31" l="1"/>
  <c r="JD263" i="31"/>
  <c r="BP263" i="31"/>
  <c r="BQ263" i="31" s="1"/>
  <c r="DP263" i="31"/>
  <c r="IY263" i="31"/>
  <c r="JE263" i="31"/>
  <c r="JA263" i="31"/>
  <c r="JO263" i="31"/>
  <c r="IR263" i="31"/>
  <c r="HZ263" i="31"/>
  <c r="IO263" i="31"/>
  <c r="IP263" i="31"/>
  <c r="EO263" i="31"/>
  <c r="ES264" i="31" s="1"/>
  <c r="EL263" i="31"/>
  <c r="FC263" i="31"/>
  <c r="EP263" i="31"/>
  <c r="ET264" i="31" s="1"/>
  <c r="EV263" i="31"/>
  <c r="GZ263" i="31"/>
  <c r="IE263" i="31" s="1"/>
  <c r="DJ263" i="31"/>
  <c r="DK263" i="31" s="1"/>
  <c r="FQ263" i="31" l="1"/>
  <c r="DX263" i="31"/>
  <c r="DM263" i="31"/>
  <c r="BR263" i="31"/>
  <c r="BS263" i="31"/>
  <c r="EC263" i="31"/>
  <c r="KG263" i="31"/>
  <c r="JX263" i="31"/>
  <c r="JP263" i="31"/>
  <c r="JQ263" i="31" s="1"/>
  <c r="EX263" i="31" l="1"/>
  <c r="M263" i="31" s="1"/>
  <c r="FB263" i="31"/>
  <c r="BT263" i="31"/>
  <c r="BU263" i="31"/>
  <c r="DL263" i="31"/>
  <c r="L264" i="31"/>
  <c r="MB263" i="31" l="1"/>
  <c r="NM263" i="31" s="1"/>
  <c r="NN263" i="31" s="1"/>
  <c r="MJ263" i="31"/>
  <c r="NS263" i="31" s="1"/>
  <c r="BV263" i="31"/>
  <c r="BW263" i="31" s="1"/>
  <c r="BX263" i="31" l="1"/>
  <c r="BY263" i="31"/>
  <c r="NT263" i="31"/>
  <c r="OU264" i="31"/>
  <c r="OV264" i="31"/>
  <c r="NW263" i="31"/>
  <c r="BZ263" i="31" l="1"/>
  <c r="CA263" i="31"/>
  <c r="CC263" i="31" s="1"/>
  <c r="CD263" i="31" s="1"/>
  <c r="FR263" i="31"/>
  <c r="CX263" i="31"/>
  <c r="FV263" i="31"/>
  <c r="NU263" i="31"/>
  <c r="NX263" i="31"/>
  <c r="CB263" i="31"/>
  <c r="CE263" i="31" l="1"/>
  <c r="CF263" i="31" s="1"/>
  <c r="NV263" i="31"/>
  <c r="NY263" i="31"/>
  <c r="MY263" i="31"/>
  <c r="NZ263" i="31"/>
  <c r="CY264" i="31"/>
  <c r="OF263" i="31"/>
  <c r="OS264" i="31" s="1"/>
  <c r="CG263" i="31" l="1"/>
  <c r="CH263" i="31" s="1"/>
  <c r="CI263" i="31" s="1"/>
  <c r="OI263" i="31"/>
  <c r="OW263" i="31" s="1"/>
  <c r="OA263" i="31"/>
  <c r="MV264" i="31" s="1"/>
  <c r="OG264" i="31" s="1"/>
  <c r="NF264" i="31"/>
  <c r="OO264" i="31"/>
  <c r="OM264" i="31"/>
  <c r="MZ264" i="31"/>
  <c r="OZ263" i="31"/>
  <c r="OB263" i="31"/>
  <c r="OT264" i="31" s="1"/>
  <c r="MR264" i="31" l="1"/>
  <c r="MS264" i="31" s="1"/>
  <c r="OX264" i="31"/>
  <c r="CJ263" i="31"/>
  <c r="CO263" i="31" s="1"/>
  <c r="CK263" i="31"/>
  <c r="KT264" i="31"/>
  <c r="KM264" i="31" s="1"/>
  <c r="KO265" i="31" s="1"/>
  <c r="OC263" i="31"/>
  <c r="OD264" i="31" s="1"/>
  <c r="OH264" i="31" s="1"/>
  <c r="OK264" i="31" s="1"/>
  <c r="KL264" i="31"/>
  <c r="KN265" i="31" s="1"/>
  <c r="PA263" i="31"/>
  <c r="OJ263" i="31"/>
  <c r="CL263" i="31" l="1"/>
  <c r="CM263" i="31"/>
  <c r="CN263" i="31" s="1"/>
  <c r="NP264" i="31"/>
  <c r="MT264" i="31"/>
  <c r="MO264" i="31"/>
  <c r="NH265" i="31"/>
  <c r="NI265" i="31" s="1"/>
  <c r="NJ264" i="31"/>
  <c r="NQ264" i="31"/>
  <c r="NR264" i="31" s="1"/>
  <c r="MU264" i="31"/>
  <c r="PE264" i="31"/>
  <c r="KQ264" i="31"/>
  <c r="OY264" i="31"/>
  <c r="MW264" i="31"/>
  <c r="KP265" i="31"/>
  <c r="KR264" i="31"/>
  <c r="CP263" i="31" l="1"/>
  <c r="NK264" i="31"/>
  <c r="NL264" i="31"/>
  <c r="NG265" i="31"/>
  <c r="OQ265" i="31"/>
  <c r="MX264" i="31"/>
  <c r="KS264" i="31"/>
  <c r="CQ263" i="31"/>
  <c r="HO263" i="31"/>
  <c r="JR263" i="31"/>
  <c r="JS263" i="31" s="1"/>
  <c r="GB263" i="31"/>
  <c r="GC263" i="31" s="1"/>
  <c r="DQ263" i="31"/>
  <c r="DR263" i="31" s="1"/>
  <c r="FP263" i="31"/>
  <c r="FS263" i="31" s="1"/>
  <c r="GO263" i="31"/>
  <c r="FX263" i="31"/>
  <c r="FY263" i="31" s="1"/>
  <c r="FZ263" i="31"/>
  <c r="GA263" i="31" s="1"/>
  <c r="FU263" i="31"/>
  <c r="FW263" i="31" s="1"/>
  <c r="FE263" i="31"/>
  <c r="FF263" i="31" s="1"/>
  <c r="FH263" i="31"/>
  <c r="FI263" i="31" s="1"/>
  <c r="KX263" i="31"/>
  <c r="KU263" i="31"/>
  <c r="GN263" i="31" l="1"/>
  <c r="GQ263" i="31" s="1"/>
  <c r="HU263" i="31"/>
  <c r="HV264" i="31" s="1"/>
  <c r="FJ264" i="31"/>
  <c r="IA263" i="31"/>
  <c r="IB263" i="31" s="1"/>
  <c r="HP263" i="31"/>
  <c r="IZ263" i="31"/>
  <c r="HW263" i="31"/>
  <c r="HX264" i="31" s="1"/>
  <c r="FG264" i="31"/>
  <c r="CR263" i="31"/>
  <c r="CS263" i="31"/>
  <c r="CT263" i="31"/>
  <c r="OR265" i="31"/>
  <c r="JU263" i="31"/>
  <c r="KE263" i="31"/>
  <c r="JT264" i="31"/>
  <c r="KC263" i="31"/>
  <c r="NC265" i="31"/>
  <c r="MQ265" i="31"/>
  <c r="NB264" i="31"/>
  <c r="NA264" i="31"/>
  <c r="DY263" i="31"/>
  <c r="HY263" i="31"/>
  <c r="HA263" i="31"/>
  <c r="DS263" i="31"/>
  <c r="AX263" i="31" s="1"/>
  <c r="AY264" i="31" s="1"/>
  <c r="KV263" i="31" l="1"/>
  <c r="KW264" i="31" s="1"/>
  <c r="HQ263" i="31"/>
  <c r="HR264" i="31" s="1"/>
  <c r="EN263" i="31"/>
  <c r="EM263" i="31"/>
  <c r="EW263" i="31" s="1"/>
  <c r="AZ263" i="31"/>
  <c r="HT263" i="31"/>
  <c r="HS263" i="31"/>
  <c r="JG263" i="31" s="1"/>
  <c r="BB264" i="31" l="1"/>
  <c r="EQ263" i="31"/>
  <c r="DW263" i="31"/>
  <c r="DU264" i="31" s="1"/>
  <c r="ER264" i="31"/>
  <c r="IU263" i="31"/>
  <c r="IV263" i="31" s="1"/>
  <c r="IC263" i="31"/>
  <c r="ID263" i="31" s="1"/>
  <c r="IF263" i="31" s="1"/>
  <c r="KH263" i="31" s="1"/>
  <c r="JB263" i="31"/>
  <c r="IW263" i="31" l="1"/>
  <c r="KB263" i="31" s="1"/>
  <c r="IX263" i="31"/>
  <c r="KK263" i="31"/>
  <c r="EU264" i="31"/>
  <c r="IM263" i="31"/>
  <c r="GM263" i="31"/>
  <c r="DB263" i="31"/>
  <c r="DC263" i="31" s="1"/>
  <c r="DD264" i="31" s="1"/>
  <c r="DE265" i="31" s="1"/>
  <c r="KI264" i="31"/>
  <c r="IN263" i="31"/>
  <c r="DF263" i="31"/>
  <c r="BC264" i="31"/>
  <c r="GT265" i="31" l="1"/>
  <c r="DT263" i="31"/>
  <c r="DZ263" i="31" s="1"/>
  <c r="FD263" i="31"/>
  <c r="GV263" i="31"/>
  <c r="GU263" i="31"/>
  <c r="KJ264" i="31"/>
  <c r="GR263" i="31"/>
  <c r="BD264" i="31"/>
  <c r="BE264" i="31"/>
  <c r="IS263" i="31" l="1"/>
  <c r="FL264" i="31"/>
  <c r="BG264" i="31"/>
  <c r="BF264" i="31"/>
  <c r="GS263" i="31"/>
  <c r="GW263" i="31" l="1"/>
  <c r="HC263" i="31" s="1"/>
  <c r="FA264" i="31" s="1"/>
  <c r="HB264" i="31" s="1"/>
  <c r="GY263" i="31"/>
  <c r="GX263" i="31"/>
  <c r="BH264" i="31"/>
  <c r="BI264" i="31"/>
  <c r="BK264" i="31" s="1"/>
  <c r="FM264" i="31"/>
  <c r="JH263" i="31"/>
  <c r="JI263" i="31" s="1"/>
  <c r="IT263" i="31"/>
  <c r="JK263" i="31" l="1"/>
  <c r="JM263" i="31" s="1"/>
  <c r="KD263" i="31" s="1"/>
  <c r="IL264" i="31" s="1"/>
  <c r="BL264" i="31"/>
  <c r="BM264" i="31"/>
  <c r="EY263" i="31"/>
  <c r="EG263" i="31"/>
  <c r="EH264" i="31" s="1"/>
  <c r="EI264" i="31" s="1"/>
  <c r="FK264" i="31" s="1"/>
  <c r="HM263" i="31"/>
  <c r="HK264" i="31"/>
  <c r="BJ264" i="31"/>
  <c r="EZ263" i="31" l="1"/>
  <c r="DG263" i="31"/>
  <c r="DH263" i="31" s="1"/>
  <c r="DI264" i="31" s="1"/>
  <c r="BO264" i="31"/>
  <c r="BN264" i="31"/>
  <c r="JN263" i="31"/>
  <c r="JV263" i="31" s="1"/>
  <c r="JF264" i="31" s="1"/>
  <c r="JL263" i="31"/>
  <c r="JJ264" i="31" s="1"/>
  <c r="KA264" i="31"/>
  <c r="JZ263" i="31"/>
  <c r="KF263" i="31" s="1"/>
  <c r="IQ264" i="31" s="1"/>
  <c r="EJ263" i="31"/>
  <c r="EK264" i="31" s="1"/>
  <c r="EE263" i="31"/>
  <c r="EF264" i="31" s="1"/>
  <c r="IP264" i="31" s="1"/>
  <c r="ED263" i="31"/>
  <c r="EB264" i="31" s="1"/>
  <c r="IO264" i="31" l="1"/>
  <c r="JA264" i="31"/>
  <c r="IY264" i="31"/>
  <c r="JO264" i="31"/>
  <c r="IR264" i="31"/>
  <c r="JE264" i="31"/>
  <c r="EL264" i="31"/>
  <c r="EP264" i="31"/>
  <c r="ET265" i="31" s="1"/>
  <c r="EO264" i="31"/>
  <c r="ES265" i="31" s="1"/>
  <c r="FC264" i="31"/>
  <c r="EV264" i="31"/>
  <c r="HZ264" i="31"/>
  <c r="BP264" i="31"/>
  <c r="BQ264" i="31" s="1"/>
  <c r="DP264" i="31"/>
  <c r="DJ264" i="31"/>
  <c r="DK264" i="31" s="1"/>
  <c r="GZ264" i="31"/>
  <c r="IE264" i="31" s="1"/>
  <c r="JC264" i="31"/>
  <c r="JD264" i="31"/>
  <c r="JY264" i="31"/>
  <c r="JW264" i="31"/>
  <c r="JP264" i="31" l="1"/>
  <c r="JQ264" i="31" s="1"/>
  <c r="KG264" i="31"/>
  <c r="JX264" i="31"/>
  <c r="EC264" i="31"/>
  <c r="FQ264" i="31"/>
  <c r="DX264" i="31"/>
  <c r="DM264" i="31"/>
  <c r="BR264" i="31"/>
  <c r="BS264" i="31"/>
  <c r="EX264" i="31" l="1"/>
  <c r="M264" i="31" s="1"/>
  <c r="FB264" i="31"/>
  <c r="DL264" i="31"/>
  <c r="L265" i="31"/>
  <c r="BT264" i="31"/>
  <c r="BU264" i="31"/>
  <c r="BV264" i="31" l="1"/>
  <c r="BW264" i="31" s="1"/>
  <c r="MB264" i="31"/>
  <c r="MJ264" i="31"/>
  <c r="NS264" i="31" s="1"/>
  <c r="NM264" i="31" l="1"/>
  <c r="NN264" i="31" s="1"/>
  <c r="BY264" i="31"/>
  <c r="CA264" i="31" s="1"/>
  <c r="BX264" i="31"/>
  <c r="NT264" i="31"/>
  <c r="OU265" i="31"/>
  <c r="NW264" i="31" l="1"/>
  <c r="NX264" i="31" s="1"/>
  <c r="OV265" i="31"/>
  <c r="BZ264" i="31"/>
  <c r="CB264" i="31"/>
  <c r="CC264" i="31" s="1"/>
  <c r="FV264" i="31"/>
  <c r="CX264" i="31"/>
  <c r="FR264" i="31"/>
  <c r="NU264" i="31"/>
  <c r="CD264" i="31" l="1"/>
  <c r="CE264" i="31"/>
  <c r="CG264" i="31" s="1"/>
  <c r="NY264" i="31"/>
  <c r="NZ264" i="31"/>
  <c r="MY264" i="31"/>
  <c r="CY265" i="31"/>
  <c r="OF264" i="31"/>
  <c r="OS265" i="31" s="1"/>
  <c r="NV264" i="31"/>
  <c r="CF264" i="31" l="1"/>
  <c r="CH264" i="31"/>
  <c r="CI264" i="31" s="1"/>
  <c r="OO265" i="31"/>
  <c r="OM265" i="31"/>
  <c r="NF265" i="31"/>
  <c r="MZ265" i="31"/>
  <c r="OZ264" i="31"/>
  <c r="OB264" i="31"/>
  <c r="OT265" i="31" s="1"/>
  <c r="OA264" i="31"/>
  <c r="MV265" i="31" s="1"/>
  <c r="OI264" i="31"/>
  <c r="CJ264" i="31" l="1"/>
  <c r="CO264" i="31" s="1"/>
  <c r="CK264" i="31"/>
  <c r="KT265" i="31"/>
  <c r="OG265" i="31"/>
  <c r="PA264" i="31"/>
  <c r="OW264" i="31"/>
  <c r="OX265" i="31"/>
  <c r="MR265" i="31"/>
  <c r="OJ264" i="31"/>
  <c r="OC264" i="31"/>
  <c r="OD265" i="31" s="1"/>
  <c r="OH265" i="31" s="1"/>
  <c r="CL264" i="31" l="1"/>
  <c r="CM264" i="31"/>
  <c r="CN264" i="31" s="1"/>
  <c r="OK265" i="31"/>
  <c r="OY265" i="31"/>
  <c r="MW265" i="31"/>
  <c r="KM265" i="31"/>
  <c r="KO266" i="31" s="1"/>
  <c r="KL265" i="31"/>
  <c r="KN266" i="31" s="1"/>
  <c r="MS265" i="31"/>
  <c r="CP264" i="31" l="1"/>
  <c r="FH264" i="31" s="1"/>
  <c r="FI264" i="31" s="1"/>
  <c r="NP265" i="31"/>
  <c r="MU265" i="31"/>
  <c r="MO265" i="31"/>
  <c r="NJ265" i="31"/>
  <c r="NQ265" i="31"/>
  <c r="MT265" i="31"/>
  <c r="NH266" i="31"/>
  <c r="NI266" i="31" s="1"/>
  <c r="PE265" i="31"/>
  <c r="KQ265" i="31"/>
  <c r="KP266" i="31"/>
  <c r="KR265" i="31"/>
  <c r="MX265" i="31"/>
  <c r="NR265" i="31" l="1"/>
  <c r="FU264" i="31"/>
  <c r="FW264" i="31" s="1"/>
  <c r="FE264" i="31"/>
  <c r="FF264" i="31" s="1"/>
  <c r="HW264" i="31" s="1"/>
  <c r="HX265" i="31" s="1"/>
  <c r="GB264" i="31"/>
  <c r="GC264" i="31" s="1"/>
  <c r="JR264" i="31"/>
  <c r="JS264" i="31" s="1"/>
  <c r="KE264" i="31" s="1"/>
  <c r="GO264" i="31"/>
  <c r="FP264" i="31"/>
  <c r="FS264" i="31" s="1"/>
  <c r="HA264" i="31" s="1"/>
  <c r="CQ264" i="31"/>
  <c r="CS264" i="31" s="1"/>
  <c r="HO264" i="31"/>
  <c r="HP264" i="31" s="1"/>
  <c r="FX264" i="31"/>
  <c r="FY264" i="31" s="1"/>
  <c r="FZ264" i="31"/>
  <c r="GA264" i="31" s="1"/>
  <c r="DQ264" i="31"/>
  <c r="DR264" i="31" s="1"/>
  <c r="DS264" i="31" s="1"/>
  <c r="AX264" i="31" s="1"/>
  <c r="AY265" i="31" s="1"/>
  <c r="KU264" i="31"/>
  <c r="KX264" i="31"/>
  <c r="NA265" i="31"/>
  <c r="NB265" i="31"/>
  <c r="NL265" i="31"/>
  <c r="NK265" i="31"/>
  <c r="NG266" i="31"/>
  <c r="OQ266" i="31"/>
  <c r="HU264" i="31"/>
  <c r="HV265" i="31" s="1"/>
  <c r="FJ265" i="31"/>
  <c r="KS265" i="31"/>
  <c r="FG265" i="31" l="1"/>
  <c r="JU264" i="31"/>
  <c r="GN264" i="31"/>
  <c r="KV264" i="31" s="1"/>
  <c r="JT265" i="31"/>
  <c r="KC264" i="31"/>
  <c r="GQ264" i="31"/>
  <c r="DY264" i="31"/>
  <c r="HY264" i="31"/>
  <c r="IZ264" i="31"/>
  <c r="IA264" i="31"/>
  <c r="IB264" i="31" s="1"/>
  <c r="CR264" i="31"/>
  <c r="CT264" i="31"/>
  <c r="HT264" i="31"/>
  <c r="HS264" i="31"/>
  <c r="JG264" i="31" s="1"/>
  <c r="EM264" i="31"/>
  <c r="EW264" i="31" s="1"/>
  <c r="AZ264" i="31"/>
  <c r="EN264" i="31"/>
  <c r="OR266" i="31"/>
  <c r="NC266" i="31"/>
  <c r="MQ266" i="31"/>
  <c r="KW265" i="31" l="1"/>
  <c r="HQ264" i="31"/>
  <c r="HR265" i="31" s="1"/>
  <c r="BB265" i="31"/>
  <c r="EQ264" i="31"/>
  <c r="DW264" i="31"/>
  <c r="DU265" i="31" s="1"/>
  <c r="ER265" i="31"/>
  <c r="IU264" i="31"/>
  <c r="IV264" i="31" s="1"/>
  <c r="IC264" i="31"/>
  <c r="ID264" i="31" s="1"/>
  <c r="IF264" i="31" s="1"/>
  <c r="KH264" i="31" s="1"/>
  <c r="JB264" i="31"/>
  <c r="IW264" i="31" l="1"/>
  <c r="KB264" i="31" s="1"/>
  <c r="BC265" i="31"/>
  <c r="IM264" i="31"/>
  <c r="GM264" i="31"/>
  <c r="DB264" i="31"/>
  <c r="DC264" i="31" s="1"/>
  <c r="DD265" i="31" s="1"/>
  <c r="DE266" i="31" s="1"/>
  <c r="KI265" i="31"/>
  <c r="IN264" i="31"/>
  <c r="DF264" i="31"/>
  <c r="EU265" i="31"/>
  <c r="KK264" i="31"/>
  <c r="IX264" i="31"/>
  <c r="GT266" i="31" l="1"/>
  <c r="DT264" i="31"/>
  <c r="DZ264" i="31" s="1"/>
  <c r="KJ265" i="31"/>
  <c r="BD265" i="31"/>
  <c r="BE265" i="31"/>
  <c r="GU264" i="31"/>
  <c r="FD264" i="31"/>
  <c r="GV264" i="31"/>
  <c r="GR264" i="31"/>
  <c r="IS264" i="31" l="1"/>
  <c r="FL265" i="31"/>
  <c r="GS264" i="31"/>
  <c r="BF265" i="31"/>
  <c r="BG265" i="31"/>
  <c r="BI265" i="31" l="1"/>
  <c r="BK265" i="31" s="1"/>
  <c r="BH265" i="31"/>
  <c r="FM265" i="31"/>
  <c r="GY264" i="31"/>
  <c r="GX264" i="31"/>
  <c r="GW264" i="31"/>
  <c r="HC264" i="31" s="1"/>
  <c r="FA265" i="31" s="1"/>
  <c r="HB265" i="31" s="1"/>
  <c r="JH264" i="31"/>
  <c r="JI264" i="31" s="1"/>
  <c r="IT264" i="31"/>
  <c r="BJ265" i="31" l="1"/>
  <c r="JK264" i="31"/>
  <c r="JN264" i="31" s="1"/>
  <c r="JV264" i="31" s="1"/>
  <c r="JF265" i="31" s="1"/>
  <c r="EY264" i="31"/>
  <c r="HM264" i="31"/>
  <c r="EG264" i="31"/>
  <c r="EH265" i="31" s="1"/>
  <c r="EI265" i="31" s="1"/>
  <c r="FK265" i="31" s="1"/>
  <c r="HK265" i="31"/>
  <c r="BL265" i="31"/>
  <c r="BM265" i="31"/>
  <c r="JY265" i="31" l="1"/>
  <c r="JW265" i="31"/>
  <c r="EJ264" i="31"/>
  <c r="EK265" i="31" s="1"/>
  <c r="EE264" i="31"/>
  <c r="EF265" i="31" s="1"/>
  <c r="ED264" i="31"/>
  <c r="EB265" i="31" s="1"/>
  <c r="EZ264" i="31"/>
  <c r="DG264" i="31"/>
  <c r="DH264" i="31" s="1"/>
  <c r="DI265" i="31" s="1"/>
  <c r="BN265" i="31"/>
  <c r="BO265" i="31"/>
  <c r="BP265" i="31" s="1"/>
  <c r="JM264" i="31"/>
  <c r="KD264" i="31" s="1"/>
  <c r="IL265" i="31" s="1"/>
  <c r="JZ264" i="31"/>
  <c r="KF264" i="31" s="1"/>
  <c r="IQ265" i="31" s="1"/>
  <c r="JL264" i="31"/>
  <c r="JJ265" i="31" s="1"/>
  <c r="KA265" i="31"/>
  <c r="BQ265" i="31" l="1"/>
  <c r="BR265" i="31" s="1"/>
  <c r="IY265" i="31"/>
  <c r="JA265" i="31"/>
  <c r="IR265" i="31"/>
  <c r="JO265" i="31"/>
  <c r="JE265" i="31"/>
  <c r="IP265" i="31"/>
  <c r="IO265" i="31"/>
  <c r="DP265" i="31"/>
  <c r="EO265" i="31"/>
  <c r="ES266" i="31" s="1"/>
  <c r="FC265" i="31"/>
  <c r="EP265" i="31"/>
  <c r="ET266" i="31" s="1"/>
  <c r="EL265" i="31"/>
  <c r="EV265" i="31"/>
  <c r="DJ265" i="31"/>
  <c r="DK265" i="31" s="1"/>
  <c r="GZ265" i="31"/>
  <c r="IE265" i="31" s="1"/>
  <c r="JC265" i="31"/>
  <c r="JD265" i="31"/>
  <c r="HZ265" i="31"/>
  <c r="JP265" i="31" l="1"/>
  <c r="JQ265" i="31" s="1"/>
  <c r="BS265" i="31"/>
  <c r="BT265" i="31" s="1"/>
  <c r="JX265" i="31"/>
  <c r="DM265" i="31"/>
  <c r="DX265" i="31"/>
  <c r="FQ265" i="31"/>
  <c r="EC265" i="31"/>
  <c r="KG265" i="31"/>
  <c r="BU265" i="31" l="1"/>
  <c r="BV265" i="31" s="1"/>
  <c r="BW265" i="31" s="1"/>
  <c r="FB265" i="31"/>
  <c r="EX265" i="31"/>
  <c r="M265" i="31" s="1"/>
  <c r="DL265" i="31"/>
  <c r="L266" i="31"/>
  <c r="BY265" i="31" l="1"/>
  <c r="BX265" i="31"/>
  <c r="MJ265" i="31"/>
  <c r="NS265" i="31" s="1"/>
  <c r="MB265" i="31"/>
  <c r="BZ265" i="31" l="1"/>
  <c r="CA265" i="31"/>
  <c r="CB265" i="31" s="1"/>
  <c r="CC265" i="31" s="1"/>
  <c r="NM265" i="31"/>
  <c r="NN265" i="31" s="1"/>
  <c r="NT265" i="31"/>
  <c r="OU266" i="31"/>
  <c r="CD265" i="31" l="1"/>
  <c r="CE265" i="31"/>
  <c r="CF265" i="31" s="1"/>
  <c r="OV266" i="31"/>
  <c r="NW265" i="31"/>
  <c r="NX265" i="31" s="1"/>
  <c r="CX265" i="31"/>
  <c r="FV265" i="31"/>
  <c r="FR265" i="31"/>
  <c r="NU265" i="31"/>
  <c r="CG265" i="31" l="1"/>
  <c r="CH265" i="31" s="1"/>
  <c r="CI265" i="31" s="1"/>
  <c r="NV265" i="31"/>
  <c r="NY265" i="31"/>
  <c r="OF265" i="31"/>
  <c r="OS266" i="31" s="1"/>
  <c r="NZ265" i="31"/>
  <c r="MY265" i="31"/>
  <c r="CY266" i="31"/>
  <c r="CK265" i="31" l="1"/>
  <c r="CJ265" i="31"/>
  <c r="CO265" i="31" s="1"/>
  <c r="OA265" i="31"/>
  <c r="MV266" i="31" s="1"/>
  <c r="OG266" i="31" s="1"/>
  <c r="MZ266" i="31"/>
  <c r="OZ265" i="31"/>
  <c r="OI265" i="31"/>
  <c r="OO266" i="31"/>
  <c r="NF266" i="31"/>
  <c r="OM266" i="31"/>
  <c r="OB265" i="31"/>
  <c r="OT266" i="31" s="1"/>
  <c r="CL265" i="31" l="1"/>
  <c r="CM265" i="31"/>
  <c r="CN265" i="31" s="1"/>
  <c r="KT266" i="31"/>
  <c r="KM266" i="31" s="1"/>
  <c r="KO267" i="31" s="1"/>
  <c r="KL266" i="31"/>
  <c r="KN267" i="31" s="1"/>
  <c r="PA265" i="31"/>
  <c r="OJ265" i="31"/>
  <c r="OC265" i="31"/>
  <c r="OD266" i="31" s="1"/>
  <c r="OH266" i="31" s="1"/>
  <c r="OK266" i="31" s="1"/>
  <c r="OX266" i="31"/>
  <c r="MR266" i="31"/>
  <c r="OW265" i="31"/>
  <c r="CP265" i="31" l="1"/>
  <c r="CQ265" i="31" s="1"/>
  <c r="MS266" i="31"/>
  <c r="KQ266" i="31"/>
  <c r="OY266" i="31"/>
  <c r="MW266" i="31"/>
  <c r="KP267" i="31"/>
  <c r="KR266" i="31"/>
  <c r="KU265" i="31" l="1"/>
  <c r="FX265" i="31"/>
  <c r="FY265" i="31" s="1"/>
  <c r="FU265" i="31"/>
  <c r="FW265" i="31" s="1"/>
  <c r="HO265" i="31"/>
  <c r="IA265" i="31" s="1"/>
  <c r="IB265" i="31" s="1"/>
  <c r="FE265" i="31"/>
  <c r="FF265" i="31" s="1"/>
  <c r="HW265" i="31" s="1"/>
  <c r="HX266" i="31" s="1"/>
  <c r="KX265" i="31"/>
  <c r="GN265" i="31" s="1"/>
  <c r="GB265" i="31"/>
  <c r="GC265" i="31" s="1"/>
  <c r="FP265" i="31"/>
  <c r="FS265" i="31" s="1"/>
  <c r="DY265" i="31" s="1"/>
  <c r="FH265" i="31"/>
  <c r="FI265" i="31" s="1"/>
  <c r="FJ266" i="31" s="1"/>
  <c r="DQ265" i="31"/>
  <c r="DR265" i="31" s="1"/>
  <c r="FZ265" i="31"/>
  <c r="GA265" i="31" s="1"/>
  <c r="JR265" i="31"/>
  <c r="JS265" i="31" s="1"/>
  <c r="JU265" i="31" s="1"/>
  <c r="GO265" i="31"/>
  <c r="KE265" i="31"/>
  <c r="KC265" i="31"/>
  <c r="JT266" i="31"/>
  <c r="MX266" i="31"/>
  <c r="CR265" i="31"/>
  <c r="CT265" i="31"/>
  <c r="CS265" i="31"/>
  <c r="KS266" i="31"/>
  <c r="DS265" i="31"/>
  <c r="AX265" i="31" s="1"/>
  <c r="AY266" i="31" s="1"/>
  <c r="NP266" i="31"/>
  <c r="MT266" i="31"/>
  <c r="NQ266" i="31"/>
  <c r="NJ266" i="31"/>
  <c r="MU266" i="31"/>
  <c r="MO266" i="31"/>
  <c r="NH267" i="31"/>
  <c r="NI267" i="31" s="1"/>
  <c r="PE266" i="31"/>
  <c r="GQ265" i="31" l="1"/>
  <c r="HP265" i="31"/>
  <c r="IZ265" i="31"/>
  <c r="FG266" i="31"/>
  <c r="HA265" i="31"/>
  <c r="HU265" i="31"/>
  <c r="HV266" i="31" s="1"/>
  <c r="KV265" i="31"/>
  <c r="KW266" i="31" s="1"/>
  <c r="HY265" i="31"/>
  <c r="HQ265" i="31"/>
  <c r="HR266" i="31" s="1"/>
  <c r="NR266" i="31"/>
  <c r="AZ265" i="31"/>
  <c r="EN265" i="31"/>
  <c r="EM265" i="31"/>
  <c r="EW265" i="31" s="1"/>
  <c r="NB266" i="31"/>
  <c r="NA266" i="31"/>
  <c r="NK266" i="31"/>
  <c r="NL266" i="31"/>
  <c r="NG267" i="31"/>
  <c r="OQ267" i="31"/>
  <c r="HT265" i="31"/>
  <c r="HS265" i="31"/>
  <c r="JG265" i="31" s="1"/>
  <c r="NC267" i="31" l="1"/>
  <c r="MQ267" i="31"/>
  <c r="IC265" i="31"/>
  <c r="ID265" i="31" s="1"/>
  <c r="IF265" i="31" s="1"/>
  <c r="KH265" i="31" s="1"/>
  <c r="JB265" i="31"/>
  <c r="BB266" i="31"/>
  <c r="EQ265" i="31"/>
  <c r="DW265" i="31"/>
  <c r="DU266" i="31" s="1"/>
  <c r="IW265" i="31"/>
  <c r="ER266" i="31"/>
  <c r="IU265" i="31"/>
  <c r="IV265" i="31" s="1"/>
  <c r="OR267" i="31"/>
  <c r="BC266" i="31" l="1"/>
  <c r="KK265" i="31"/>
  <c r="KB265" i="31"/>
  <c r="IX265" i="31"/>
  <c r="DB265" i="31"/>
  <c r="DC265" i="31" s="1"/>
  <c r="DD266" i="31" s="1"/>
  <c r="DE267" i="31" s="1"/>
  <c r="IM265" i="31"/>
  <c r="DT265" i="31" s="1"/>
  <c r="DZ265" i="31" s="1"/>
  <c r="GM265" i="31"/>
  <c r="KI266" i="31"/>
  <c r="IN265" i="31"/>
  <c r="DF265" i="31"/>
  <c r="EU266" i="31"/>
  <c r="GT267" i="31" l="1"/>
  <c r="KJ266" i="31"/>
  <c r="GR265" i="31"/>
  <c r="FD265" i="31"/>
  <c r="GU265" i="31"/>
  <c r="GV265" i="31"/>
  <c r="BD266" i="31"/>
  <c r="BE266" i="31"/>
  <c r="IS265" i="31" l="1"/>
  <c r="FL266" i="31"/>
  <c r="GS265" i="31"/>
  <c r="BF266" i="31"/>
  <c r="BG266" i="31"/>
  <c r="BI266" i="31" l="1"/>
  <c r="BK266" i="31" s="1"/>
  <c r="BH266" i="31"/>
  <c r="FM266" i="31"/>
  <c r="GY265" i="31"/>
  <c r="GX265" i="31"/>
  <c r="GW265" i="31"/>
  <c r="HC265" i="31" s="1"/>
  <c r="FA266" i="31" s="1"/>
  <c r="HB266" i="31" s="1"/>
  <c r="JH265" i="31"/>
  <c r="JI265" i="31" s="1"/>
  <c r="IT265" i="31"/>
  <c r="BJ266" i="31" l="1"/>
  <c r="JK265" i="31"/>
  <c r="JN265" i="31" s="1"/>
  <c r="JV265" i="31" s="1"/>
  <c r="JF266" i="31" s="1"/>
  <c r="HM265" i="31"/>
  <c r="EY265" i="31"/>
  <c r="EG265" i="31"/>
  <c r="EH266" i="31" s="1"/>
  <c r="EI266" i="31" s="1"/>
  <c r="FK266" i="31" s="1"/>
  <c r="HK266" i="31"/>
  <c r="BL266" i="31"/>
  <c r="BM266" i="31"/>
  <c r="JM265" i="31" l="1"/>
  <c r="KD265" i="31" s="1"/>
  <c r="IL266" i="31" s="1"/>
  <c r="JW266" i="31"/>
  <c r="JY266" i="31"/>
  <c r="EZ265" i="31"/>
  <c r="DG265" i="31"/>
  <c r="DH265" i="31" s="1"/>
  <c r="DI266" i="31" s="1"/>
  <c r="ED265" i="31"/>
  <c r="EB266" i="31" s="1"/>
  <c r="EE265" i="31"/>
  <c r="EF266" i="31" s="1"/>
  <c r="EJ265" i="31"/>
  <c r="EK266" i="31" s="1"/>
  <c r="BN266" i="31"/>
  <c r="BO266" i="31"/>
  <c r="JZ265" i="31"/>
  <c r="KF265" i="31" s="1"/>
  <c r="IQ266" i="31" s="1"/>
  <c r="JL265" i="31"/>
  <c r="JJ266" i="31" s="1"/>
  <c r="KA266" i="31"/>
  <c r="BP266" i="31" l="1"/>
  <c r="BQ266" i="31" s="1"/>
  <c r="BR266" i="31" s="1"/>
  <c r="GZ266" i="31"/>
  <c r="IE266" i="31" s="1"/>
  <c r="DJ266" i="31"/>
  <c r="DK266" i="31" s="1"/>
  <c r="EL266" i="31"/>
  <c r="EP266" i="31"/>
  <c r="ET267" i="31" s="1"/>
  <c r="EO266" i="31"/>
  <c r="ES267" i="31" s="1"/>
  <c r="FC266" i="31"/>
  <c r="EV266" i="31"/>
  <c r="HZ266" i="31"/>
  <c r="DP266" i="31"/>
  <c r="IO266" i="31"/>
  <c r="IY266" i="31"/>
  <c r="JA266" i="31"/>
  <c r="IR266" i="31"/>
  <c r="JO266" i="31"/>
  <c r="IP266" i="31"/>
  <c r="JC266" i="31"/>
  <c r="JD266" i="31"/>
  <c r="JE266" i="31"/>
  <c r="KG266" i="31" l="1"/>
  <c r="BS266" i="31"/>
  <c r="BT266" i="31" s="1"/>
  <c r="JP266" i="31"/>
  <c r="JQ266" i="31" s="1"/>
  <c r="DM266" i="31"/>
  <c r="DX266" i="31"/>
  <c r="FQ266" i="31"/>
  <c r="EC266" i="31"/>
  <c r="JX266" i="31"/>
  <c r="BU266" i="31" l="1"/>
  <c r="BV266" i="31" s="1"/>
  <c r="BW266" i="31" s="1"/>
  <c r="DL266" i="31"/>
  <c r="L267" i="31"/>
  <c r="EX266" i="31"/>
  <c r="M266" i="31" s="1"/>
  <c r="FB266" i="31"/>
  <c r="BX266" i="31" l="1"/>
  <c r="BY266" i="31"/>
  <c r="MJ266" i="31"/>
  <c r="NS266" i="31" s="1"/>
  <c r="MB266" i="31"/>
  <c r="NM266" i="31" s="1"/>
  <c r="NN266" i="31" s="1"/>
  <c r="BZ266" i="31" l="1"/>
  <c r="CA266" i="31"/>
  <c r="CB266" i="31" s="1"/>
  <c r="CC266" i="31" s="1"/>
  <c r="OV267" i="31"/>
  <c r="NW266" i="31"/>
  <c r="NT266" i="31"/>
  <c r="OU267" i="31"/>
  <c r="CD266" i="31" l="1"/>
  <c r="CE266" i="31"/>
  <c r="CG266" i="31" s="1"/>
  <c r="FV266" i="31"/>
  <c r="CX266" i="31"/>
  <c r="FR266" i="31"/>
  <c r="NU266" i="31"/>
  <c r="NX266" i="31"/>
  <c r="OF266" i="31" s="1"/>
  <c r="OS267" i="31" s="1"/>
  <c r="CF266" i="31"/>
  <c r="NV266" i="31" l="1"/>
  <c r="CH266" i="31"/>
  <c r="CI266" i="31" s="1"/>
  <c r="NZ266" i="31"/>
  <c r="MY266" i="31"/>
  <c r="CY267" i="31"/>
  <c r="NY266" i="31"/>
  <c r="CJ266" i="31" l="1"/>
  <c r="CO266" i="31" s="1"/>
  <c r="CK266" i="31"/>
  <c r="CL266" i="31" s="1"/>
  <c r="NF267" i="31"/>
  <c r="OO267" i="31"/>
  <c r="OM267" i="31"/>
  <c r="MZ267" i="31"/>
  <c r="OZ266" i="31"/>
  <c r="OA266" i="31"/>
  <c r="MV267" i="31" s="1"/>
  <c r="OG267" i="31" s="1"/>
  <c r="OB266" i="31"/>
  <c r="OT267" i="31" s="1"/>
  <c r="OI266" i="31"/>
  <c r="CM266" i="31" l="1"/>
  <c r="CN266" i="31" s="1"/>
  <c r="CP266" i="31" s="1"/>
  <c r="OJ266" i="31"/>
  <c r="MR267" i="31"/>
  <c r="OX267" i="31"/>
  <c r="OW266" i="31"/>
  <c r="PA266" i="31"/>
  <c r="KT267" i="31"/>
  <c r="OC266" i="31"/>
  <c r="OD267" i="31" s="1"/>
  <c r="OH267" i="31" s="1"/>
  <c r="OK267" i="31" s="1"/>
  <c r="MS267" i="31" l="1"/>
  <c r="OY267" i="31"/>
  <c r="MW267" i="31"/>
  <c r="FX266" i="31"/>
  <c r="FY266" i="31" s="1"/>
  <c r="CQ266" i="31"/>
  <c r="GB266" i="31"/>
  <c r="GC266" i="31" s="1"/>
  <c r="FH266" i="31"/>
  <c r="FI266" i="31" s="1"/>
  <c r="FE266" i="31"/>
  <c r="FF266" i="31" s="1"/>
  <c r="FU266" i="31"/>
  <c r="FW266" i="31" s="1"/>
  <c r="FP266" i="31"/>
  <c r="FS266" i="31" s="1"/>
  <c r="GO266" i="31"/>
  <c r="HO266" i="31"/>
  <c r="DQ266" i="31"/>
  <c r="DR266" i="31" s="1"/>
  <c r="JR266" i="31"/>
  <c r="JS266" i="31" s="1"/>
  <c r="FZ266" i="31"/>
  <c r="GA266" i="31" s="1"/>
  <c r="KX266" i="31"/>
  <c r="GN266" i="31" s="1"/>
  <c r="KU266" i="31"/>
  <c r="KM267" i="31"/>
  <c r="KO268" i="31" s="1"/>
  <c r="KL267" i="31"/>
  <c r="KN268" i="31" s="1"/>
  <c r="DY266" i="31" l="1"/>
  <c r="HA266" i="31"/>
  <c r="HY266" i="31"/>
  <c r="HP266" i="31"/>
  <c r="IA266" i="31"/>
  <c r="IB266" i="31" s="1"/>
  <c r="IZ266" i="31"/>
  <c r="GQ266" i="31"/>
  <c r="KV266" i="31"/>
  <c r="KP268" i="31"/>
  <c r="KR267" i="31"/>
  <c r="FG267" i="31"/>
  <c r="HW266" i="31"/>
  <c r="HX267" i="31" s="1"/>
  <c r="HU266" i="31"/>
  <c r="HV267" i="31" s="1"/>
  <c r="FJ267" i="31"/>
  <c r="NP267" i="31"/>
  <c r="MT267" i="31"/>
  <c r="MO267" i="31"/>
  <c r="NH268" i="31"/>
  <c r="NI268" i="31" s="1"/>
  <c r="NJ267" i="31"/>
  <c r="NQ267" i="31"/>
  <c r="MU267" i="31"/>
  <c r="PE267" i="31"/>
  <c r="KQ267" i="31"/>
  <c r="MX267" i="31"/>
  <c r="JU266" i="31"/>
  <c r="KC266" i="31"/>
  <c r="JT267" i="31"/>
  <c r="KE266" i="31"/>
  <c r="DS266" i="31"/>
  <c r="AX266" i="31" s="1"/>
  <c r="AY267" i="31" s="1"/>
  <c r="CS266" i="31"/>
  <c r="CT266" i="31"/>
  <c r="CR266" i="31"/>
  <c r="KW267" i="31" l="1"/>
  <c r="HQ266" i="31"/>
  <c r="HR267" i="31" s="1"/>
  <c r="NR267" i="31"/>
  <c r="NK267" i="31"/>
  <c r="NL267" i="31"/>
  <c r="NG268" i="31"/>
  <c r="OQ268" i="31"/>
  <c r="NA267" i="31"/>
  <c r="NB267" i="31"/>
  <c r="HS266" i="31"/>
  <c r="JG266" i="31" s="1"/>
  <c r="HT266" i="31"/>
  <c r="EM266" i="31"/>
  <c r="EW266" i="31" s="1"/>
  <c r="AZ266" i="31"/>
  <c r="EN266" i="31"/>
  <c r="KS267" i="31"/>
  <c r="IC266" i="31" l="1"/>
  <c r="ID266" i="31" s="1"/>
  <c r="IF266" i="31" s="1"/>
  <c r="KH266" i="31" s="1"/>
  <c r="JB266" i="31"/>
  <c r="BB267" i="31"/>
  <c r="EQ266" i="31"/>
  <c r="DW266" i="31"/>
  <c r="DU267" i="31" s="1"/>
  <c r="ER267" i="31"/>
  <c r="IU266" i="31"/>
  <c r="IV266" i="31" s="1"/>
  <c r="OR268" i="31"/>
  <c r="NC268" i="31"/>
  <c r="MQ268" i="31"/>
  <c r="IW266" i="31" l="1"/>
  <c r="KB266" i="31" s="1"/>
  <c r="BC267" i="31"/>
  <c r="IM266" i="31"/>
  <c r="GM266" i="31"/>
  <c r="DB266" i="31"/>
  <c r="DC266" i="31" s="1"/>
  <c r="DD267" i="31" s="1"/>
  <c r="DE268" i="31" s="1"/>
  <c r="KI267" i="31"/>
  <c r="IN266" i="31"/>
  <c r="DF266" i="31"/>
  <c r="IX266" i="31"/>
  <c r="KK266" i="31"/>
  <c r="EU267" i="31"/>
  <c r="GT268" i="31" l="1"/>
  <c r="DT266" i="31"/>
  <c r="DZ266" i="31" s="1"/>
  <c r="GR266" i="31"/>
  <c r="FD266" i="31"/>
  <c r="GU266" i="31"/>
  <c r="GV266" i="31"/>
  <c r="KJ267" i="31"/>
  <c r="BD267" i="31"/>
  <c r="BE267" i="31"/>
  <c r="IS266" i="31" l="1"/>
  <c r="FL267" i="31"/>
  <c r="BF267" i="31"/>
  <c r="BG267" i="31"/>
  <c r="GS266" i="31"/>
  <c r="GY266" i="31" l="1"/>
  <c r="GX266" i="31"/>
  <c r="GW266" i="31"/>
  <c r="HC266" i="31" s="1"/>
  <c r="FA267" i="31" s="1"/>
  <c r="HB267" i="31" s="1"/>
  <c r="BI267" i="31"/>
  <c r="BK267" i="31" s="1"/>
  <c r="BH267" i="31"/>
  <c r="FM267" i="31"/>
  <c r="JH266" i="31"/>
  <c r="JI266" i="31" s="1"/>
  <c r="IT266" i="31"/>
  <c r="BL267" i="31" l="1"/>
  <c r="BM267" i="31"/>
  <c r="BJ267" i="31"/>
  <c r="JK266" i="31"/>
  <c r="JZ266" i="31" s="1"/>
  <c r="KF266" i="31" s="1"/>
  <c r="IQ267" i="31" s="1"/>
  <c r="HM266" i="31"/>
  <c r="EY266" i="31"/>
  <c r="EG266" i="31"/>
  <c r="EH267" i="31" s="1"/>
  <c r="EI267" i="31" s="1"/>
  <c r="FK267" i="31" s="1"/>
  <c r="HK267" i="31"/>
  <c r="JN266" i="31" l="1"/>
  <c r="JV266" i="31" s="1"/>
  <c r="JF267" i="31" s="1"/>
  <c r="JW267" i="31" s="1"/>
  <c r="JM266" i="31"/>
  <c r="KD266" i="31" s="1"/>
  <c r="IL267" i="31" s="1"/>
  <c r="JL266" i="31"/>
  <c r="JJ267" i="31" s="1"/>
  <c r="KA267" i="31"/>
  <c r="BO267" i="31"/>
  <c r="BN267" i="31"/>
  <c r="EZ266" i="31"/>
  <c r="DG266" i="31"/>
  <c r="DH266" i="31" s="1"/>
  <c r="DI267" i="31" s="1"/>
  <c r="ED266" i="31"/>
  <c r="EB267" i="31" s="1"/>
  <c r="EE266" i="31"/>
  <c r="EF267" i="31" s="1"/>
  <c r="EJ266" i="31"/>
  <c r="EK267" i="31" s="1"/>
  <c r="JY267" i="31" l="1"/>
  <c r="DJ267" i="31"/>
  <c r="DK267" i="31" s="1"/>
  <c r="GZ267" i="31"/>
  <c r="IE267" i="31" s="1"/>
  <c r="JC267" i="31"/>
  <c r="JD267" i="31"/>
  <c r="HZ267" i="31"/>
  <c r="EO267" i="31"/>
  <c r="ES268" i="31" s="1"/>
  <c r="FC267" i="31"/>
  <c r="EP267" i="31"/>
  <c r="ET268" i="31" s="1"/>
  <c r="EL267" i="31"/>
  <c r="EV267" i="31"/>
  <c r="IP267" i="31"/>
  <c r="IO267" i="31"/>
  <c r="JO267" i="31"/>
  <c r="IY267" i="31"/>
  <c r="DP267" i="31"/>
  <c r="BP267" i="31"/>
  <c r="BQ267" i="31" s="1"/>
  <c r="JE267" i="31"/>
  <c r="IR267" i="31"/>
  <c r="JA267" i="31"/>
  <c r="KG267" i="31" l="1"/>
  <c r="JP267" i="31"/>
  <c r="JQ267" i="31" s="1"/>
  <c r="BS267" i="31"/>
  <c r="BU267" i="31" s="1"/>
  <c r="BR267" i="31"/>
  <c r="EC267" i="31"/>
  <c r="JX267" i="31"/>
  <c r="DM267" i="31"/>
  <c r="FQ267" i="31"/>
  <c r="DX267" i="31"/>
  <c r="BT267" i="31" l="1"/>
  <c r="BV267" i="31"/>
  <c r="BW267" i="31" s="1"/>
  <c r="DL267" i="31"/>
  <c r="L268" i="31"/>
  <c r="EX267" i="31"/>
  <c r="M267" i="31" s="1"/>
  <c r="FB267" i="31"/>
  <c r="BX267" i="31" l="1"/>
  <c r="BY267" i="31"/>
  <c r="MB267" i="31"/>
  <c r="NM267" i="31" s="1"/>
  <c r="NN267" i="31" s="1"/>
  <c r="MJ267" i="31"/>
  <c r="NS267" i="31" s="1"/>
  <c r="BZ267" i="31" l="1"/>
  <c r="CA267" i="31"/>
  <c r="CB267" i="31" s="1"/>
  <c r="CC267" i="31" s="1"/>
  <c r="NT267" i="31"/>
  <c r="OU268" i="31"/>
  <c r="OV268" i="31"/>
  <c r="NW267" i="31"/>
  <c r="CD267" i="31" l="1"/>
  <c r="CE267" i="31"/>
  <c r="CG267" i="31" s="1"/>
  <c r="NX267" i="31"/>
  <c r="FR267" i="31"/>
  <c r="FV267" i="31"/>
  <c r="CX267" i="31"/>
  <c r="NU267" i="31"/>
  <c r="CF267" i="31" l="1"/>
  <c r="NV267" i="31"/>
  <c r="MY267" i="31"/>
  <c r="NZ267" i="31"/>
  <c r="CY268" i="31"/>
  <c r="CH267" i="31"/>
  <c r="CI267" i="31" s="1"/>
  <c r="NY267" i="31"/>
  <c r="OF267" i="31"/>
  <c r="OS268" i="31" s="1"/>
  <c r="CJ267" i="31" l="1"/>
  <c r="CO267" i="31" s="1"/>
  <c r="CK267" i="31"/>
  <c r="OI267" i="31"/>
  <c r="OX268" i="31" s="1"/>
  <c r="NF268" i="31"/>
  <c r="OM268" i="31"/>
  <c r="OO268" i="31"/>
  <c r="OA267" i="31"/>
  <c r="MV268" i="31" s="1"/>
  <c r="OB267" i="31"/>
  <c r="OT268" i="31" s="1"/>
  <c r="MZ268" i="31"/>
  <c r="OZ267" i="31"/>
  <c r="MR268" i="31" l="1"/>
  <c r="MS268" i="31" s="1"/>
  <c r="CL267" i="31"/>
  <c r="CM267" i="31"/>
  <c r="CN267" i="31" s="1"/>
  <c r="OW267" i="31"/>
  <c r="PA267" i="31"/>
  <c r="OC267" i="31"/>
  <c r="OD268" i="31" s="1"/>
  <c r="OH268" i="31" s="1"/>
  <c r="OJ267" i="31"/>
  <c r="OG268" i="31"/>
  <c r="KT268" i="31"/>
  <c r="CP267" i="31" l="1"/>
  <c r="FE267" i="31" s="1"/>
  <c r="FF267" i="31" s="1"/>
  <c r="HW267" i="31" s="1"/>
  <c r="HX268" i="31" s="1"/>
  <c r="OY268" i="31"/>
  <c r="MW268" i="31"/>
  <c r="OK268" i="31"/>
  <c r="MO268" i="31"/>
  <c r="NQ268" i="31"/>
  <c r="NP268" i="31"/>
  <c r="NJ268" i="31"/>
  <c r="NH269" i="31"/>
  <c r="NI269" i="31" s="1"/>
  <c r="MU268" i="31"/>
  <c r="MT268" i="31"/>
  <c r="PE268" i="31"/>
  <c r="KM268" i="31"/>
  <c r="KO269" i="31" s="1"/>
  <c r="KL268" i="31"/>
  <c r="KN269" i="31" s="1"/>
  <c r="JR267" i="31" l="1"/>
  <c r="JS267" i="31" s="1"/>
  <c r="JT268" i="31" s="1"/>
  <c r="FG268" i="31"/>
  <c r="DQ267" i="31"/>
  <c r="DR267" i="31" s="1"/>
  <c r="DS267" i="31" s="1"/>
  <c r="AX267" i="31" s="1"/>
  <c r="AY268" i="31" s="1"/>
  <c r="KX267" i="31"/>
  <c r="FH267" i="31"/>
  <c r="FI267" i="31" s="1"/>
  <c r="HU267" i="31" s="1"/>
  <c r="HV268" i="31" s="1"/>
  <c r="KU267" i="31"/>
  <c r="CQ267" i="31"/>
  <c r="FU267" i="31"/>
  <c r="FW267" i="31" s="1"/>
  <c r="FX267" i="31"/>
  <c r="FY267" i="31" s="1"/>
  <c r="GO267" i="31"/>
  <c r="HO267" i="31"/>
  <c r="HP267" i="31" s="1"/>
  <c r="HT267" i="31" s="1"/>
  <c r="FZ267" i="31"/>
  <c r="GA267" i="31" s="1"/>
  <c r="GB267" i="31"/>
  <c r="GC267" i="31" s="1"/>
  <c r="FP267" i="31"/>
  <c r="FS267" i="31" s="1"/>
  <c r="HY267" i="31" s="1"/>
  <c r="KE267" i="31"/>
  <c r="NR268" i="31"/>
  <c r="KP269" i="31"/>
  <c r="KR268" i="31"/>
  <c r="MX268" i="31"/>
  <c r="KQ268" i="31"/>
  <c r="NK268" i="31"/>
  <c r="NL268" i="31"/>
  <c r="NG269" i="31"/>
  <c r="OQ269" i="31"/>
  <c r="JU267" i="31" l="1"/>
  <c r="KC267" i="31"/>
  <c r="GN267" i="31"/>
  <c r="KV267" i="31" s="1"/>
  <c r="AZ267" i="31"/>
  <c r="HA267" i="31"/>
  <c r="DY267" i="31"/>
  <c r="FJ268" i="31"/>
  <c r="HS267" i="31"/>
  <c r="JG267" i="31" s="1"/>
  <c r="EM267" i="31"/>
  <c r="EW267" i="31" s="1"/>
  <c r="IZ267" i="31"/>
  <c r="EN267" i="31"/>
  <c r="BB268" i="31" s="1"/>
  <c r="IA267" i="31"/>
  <c r="IB267" i="31" s="1"/>
  <c r="CR267" i="31"/>
  <c r="CT267" i="31"/>
  <c r="CS267" i="31"/>
  <c r="KS268" i="31"/>
  <c r="OR269" i="31"/>
  <c r="IC267" i="31"/>
  <c r="ID267" i="31" s="1"/>
  <c r="JB267" i="31"/>
  <c r="NC269" i="31"/>
  <c r="MQ269" i="31"/>
  <c r="NB268" i="31"/>
  <c r="NA268" i="31"/>
  <c r="GQ267" i="31" l="1"/>
  <c r="KW268" i="31"/>
  <c r="HQ267" i="31"/>
  <c r="HR268" i="31" s="1"/>
  <c r="IF267" i="31"/>
  <c r="KH267" i="31" s="1"/>
  <c r="DB267" i="31" s="1"/>
  <c r="DC267" i="31" s="1"/>
  <c r="DD268" i="31" s="1"/>
  <c r="DE269" i="31" s="1"/>
  <c r="IU267" i="31"/>
  <c r="IV267" i="31" s="1"/>
  <c r="IX267" i="31" s="1"/>
  <c r="ER268" i="31"/>
  <c r="EU268" i="31" s="1"/>
  <c r="DW267" i="31"/>
  <c r="DU268" i="31" s="1"/>
  <c r="EQ267" i="31"/>
  <c r="IW267" i="31"/>
  <c r="BC268" i="31"/>
  <c r="GM267" i="31" l="1"/>
  <c r="GR267" i="31" s="1"/>
  <c r="KK267" i="31"/>
  <c r="KB267" i="31"/>
  <c r="DF267" i="31"/>
  <c r="GV267" i="31" s="1"/>
  <c r="IN267" i="31"/>
  <c r="KI268" i="31"/>
  <c r="KJ268" i="31" s="1"/>
  <c r="IM267" i="31"/>
  <c r="DT267" i="31" s="1"/>
  <c r="DZ267" i="31" s="1"/>
  <c r="GT269" i="31"/>
  <c r="BD268" i="31"/>
  <c r="BE268" i="31"/>
  <c r="GU267" i="31" l="1"/>
  <c r="FD267" i="31"/>
  <c r="IS267" i="31" s="1"/>
  <c r="BF268" i="31"/>
  <c r="BG268" i="31"/>
  <c r="GS267" i="31"/>
  <c r="FL268" i="31" l="1"/>
  <c r="FM268" i="31" s="1"/>
  <c r="BI268" i="31"/>
  <c r="BK268" i="31" s="1"/>
  <c r="BH268" i="31"/>
  <c r="GW267" i="31"/>
  <c r="HC267" i="31" s="1"/>
  <c r="FA268" i="31" s="1"/>
  <c r="HB268" i="31" s="1"/>
  <c r="GY267" i="31"/>
  <c r="GX267" i="31"/>
  <c r="JH267" i="31"/>
  <c r="JI267" i="31" s="1"/>
  <c r="IT267" i="31"/>
  <c r="BJ268" i="31" l="1"/>
  <c r="JK267" i="31"/>
  <c r="JN267" i="31" s="1"/>
  <c r="JV267" i="31" s="1"/>
  <c r="JF268" i="31" s="1"/>
  <c r="HM267" i="31"/>
  <c r="EG267" i="31"/>
  <c r="EH268" i="31" s="1"/>
  <c r="EI268" i="31" s="1"/>
  <c r="FK268" i="31" s="1"/>
  <c r="EY267" i="31"/>
  <c r="HK268" i="31"/>
  <c r="BL268" i="31"/>
  <c r="BM268" i="31"/>
  <c r="JM267" i="31" l="1"/>
  <c r="KD267" i="31" s="1"/>
  <c r="IL268" i="31" s="1"/>
  <c r="JW268" i="31"/>
  <c r="JY268" i="31"/>
  <c r="EZ267" i="31"/>
  <c r="DG267" i="31"/>
  <c r="DH267" i="31" s="1"/>
  <c r="DI268" i="31" s="1"/>
  <c r="ED267" i="31"/>
  <c r="EB268" i="31" s="1"/>
  <c r="EE267" i="31"/>
  <c r="EF268" i="31" s="1"/>
  <c r="EJ267" i="31"/>
  <c r="EK268" i="31" s="1"/>
  <c r="JZ267" i="31"/>
  <c r="KF267" i="31" s="1"/>
  <c r="IQ268" i="31" s="1"/>
  <c r="JL267" i="31"/>
  <c r="JJ268" i="31" s="1"/>
  <c r="KA268" i="31"/>
  <c r="BO268" i="31"/>
  <c r="BN268" i="31"/>
  <c r="IO268" i="31" l="1"/>
  <c r="IP268" i="31"/>
  <c r="EP268" i="31"/>
  <c r="ET269" i="31" s="1"/>
  <c r="FC268" i="31"/>
  <c r="EL268" i="31"/>
  <c r="EO268" i="31"/>
  <c r="ES269" i="31" s="1"/>
  <c r="EV268" i="31"/>
  <c r="HZ268" i="31"/>
  <c r="JE268" i="31"/>
  <c r="JA268" i="31"/>
  <c r="IR268" i="31"/>
  <c r="IY268" i="31"/>
  <c r="JO268" i="31"/>
  <c r="DP268" i="31"/>
  <c r="BP268" i="31"/>
  <c r="BQ268" i="31" s="1"/>
  <c r="JC268" i="31"/>
  <c r="JD268" i="31"/>
  <c r="GZ268" i="31"/>
  <c r="IE268" i="31" s="1"/>
  <c r="DJ268" i="31"/>
  <c r="DK268" i="31" s="1"/>
  <c r="JP268" i="31" l="1"/>
  <c r="JQ268" i="31" s="1"/>
  <c r="BR268" i="31"/>
  <c r="BS268" i="31"/>
  <c r="BT268" i="31" s="1"/>
  <c r="JX268" i="31"/>
  <c r="FQ268" i="31"/>
  <c r="DX268" i="31"/>
  <c r="DM268" i="31"/>
  <c r="KG268" i="31"/>
  <c r="EC268" i="31"/>
  <c r="BU268" i="31" l="1"/>
  <c r="BV268" i="31" s="1"/>
  <c r="EX268" i="31"/>
  <c r="M268" i="31" s="1"/>
  <c r="FB268" i="31"/>
  <c r="DL268" i="31"/>
  <c r="L269" i="31"/>
  <c r="BW268" i="31" l="1"/>
  <c r="MB268" i="31"/>
  <c r="MJ268" i="31"/>
  <c r="NS268" i="31" s="1"/>
  <c r="NM268" i="31" l="1"/>
  <c r="NN268" i="31" s="1"/>
  <c r="BY268" i="31"/>
  <c r="BX268" i="31"/>
  <c r="NT268" i="31"/>
  <c r="OU269" i="31"/>
  <c r="NW268" i="31" l="1"/>
  <c r="NX268" i="31" s="1"/>
  <c r="OV269" i="31"/>
  <c r="CA268" i="31"/>
  <c r="BZ268" i="31"/>
  <c r="FR268" i="31"/>
  <c r="CX268" i="31"/>
  <c r="FV268" i="31"/>
  <c r="NU268" i="31"/>
  <c r="CB268" i="31" l="1"/>
  <c r="CC268" i="31" s="1"/>
  <c r="NV268" i="31"/>
  <c r="NZ268" i="31"/>
  <c r="MY268" i="31"/>
  <c r="CY269" i="31"/>
  <c r="NY268" i="31"/>
  <c r="OF268" i="31"/>
  <c r="OS269" i="31" s="1"/>
  <c r="CD268" i="31" l="1"/>
  <c r="CE268" i="31"/>
  <c r="NF269" i="31"/>
  <c r="OO269" i="31"/>
  <c r="OM269" i="31"/>
  <c r="MZ269" i="31"/>
  <c r="OZ268" i="31"/>
  <c r="OB268" i="31"/>
  <c r="OT269" i="31" s="1"/>
  <c r="OA268" i="31"/>
  <c r="MV269" i="31" s="1"/>
  <c r="OI268" i="31"/>
  <c r="CF268" i="31" l="1"/>
  <c r="CG268" i="31"/>
  <c r="CH268" i="31" s="1"/>
  <c r="CI268" i="31" s="1"/>
  <c r="CJ268" i="31" s="1"/>
  <c r="CO268" i="31" s="1"/>
  <c r="OG269" i="31"/>
  <c r="KT269" i="31"/>
  <c r="OJ268" i="31"/>
  <c r="OX269" i="31"/>
  <c r="MR269" i="31"/>
  <c r="OW268" i="31"/>
  <c r="PA268" i="31"/>
  <c r="OC268" i="31"/>
  <c r="OD269" i="31" s="1"/>
  <c r="OH269" i="31" s="1"/>
  <c r="CK268" i="31" l="1"/>
  <c r="CM268" i="31" s="1"/>
  <c r="CN268" i="31" s="1"/>
  <c r="KL269" i="31"/>
  <c r="KN270" i="31" s="1"/>
  <c r="KM269" i="31"/>
  <c r="KO270" i="31" s="1"/>
  <c r="MS269" i="31"/>
  <c r="OK269" i="31"/>
  <c r="MW269" i="31"/>
  <c r="OY269" i="31"/>
  <c r="CL268" i="31" l="1"/>
  <c r="CP268" i="31" s="1"/>
  <c r="FH268" i="31" s="1"/>
  <c r="FI268" i="31" s="1"/>
  <c r="MX269" i="31"/>
  <c r="KP270" i="31"/>
  <c r="KR269" i="31"/>
  <c r="NP269" i="31"/>
  <c r="NJ269" i="31"/>
  <c r="MU269" i="31"/>
  <c r="NH270" i="31"/>
  <c r="NI270" i="31" s="1"/>
  <c r="MO269" i="31"/>
  <c r="MT269" i="31"/>
  <c r="NQ269" i="31"/>
  <c r="PE269" i="31"/>
  <c r="KQ269" i="31"/>
  <c r="FP268" i="31" l="1"/>
  <c r="FS268" i="31" s="1"/>
  <c r="DY268" i="31" s="1"/>
  <c r="FE268" i="31"/>
  <c r="FF268" i="31" s="1"/>
  <c r="FG269" i="31" s="1"/>
  <c r="DQ268" i="31"/>
  <c r="DR268" i="31" s="1"/>
  <c r="DS268" i="31" s="1"/>
  <c r="AX268" i="31" s="1"/>
  <c r="AY269" i="31" s="1"/>
  <c r="HO268" i="31"/>
  <c r="HP268" i="31" s="1"/>
  <c r="FU268" i="31"/>
  <c r="FW268" i="31" s="1"/>
  <c r="JR268" i="31"/>
  <c r="JS268" i="31" s="1"/>
  <c r="JT269" i="31" s="1"/>
  <c r="CQ268" i="31"/>
  <c r="CS268" i="31" s="1"/>
  <c r="KX268" i="31"/>
  <c r="GN268" i="31" s="1"/>
  <c r="KV268" i="31" s="1"/>
  <c r="KU268" i="31"/>
  <c r="GB268" i="31"/>
  <c r="GC268" i="31" s="1"/>
  <c r="FX268" i="31"/>
  <c r="FY268" i="31" s="1"/>
  <c r="FZ268" i="31"/>
  <c r="GA268" i="31" s="1"/>
  <c r="GO268" i="31"/>
  <c r="FJ269" i="31"/>
  <c r="HU268" i="31"/>
  <c r="HV269" i="31" s="1"/>
  <c r="KS269" i="31"/>
  <c r="NB269" i="31"/>
  <c r="NA269" i="31"/>
  <c r="NK269" i="31"/>
  <c r="NL269" i="31"/>
  <c r="NG270" i="31"/>
  <c r="OQ270" i="31"/>
  <c r="NR269" i="31"/>
  <c r="HW268" i="31" l="1"/>
  <c r="HX269" i="31" s="1"/>
  <c r="KW269" i="31"/>
  <c r="HQ268" i="31"/>
  <c r="HR269" i="31" s="1"/>
  <c r="AZ268" i="31"/>
  <c r="EN268" i="31"/>
  <c r="DW268" i="31" s="1"/>
  <c r="DU269" i="31" s="1"/>
  <c r="HY268" i="31"/>
  <c r="HA268" i="31"/>
  <c r="EM268" i="31"/>
  <c r="EW268" i="31" s="1"/>
  <c r="IZ268" i="31"/>
  <c r="IA268" i="31"/>
  <c r="IB268" i="31" s="1"/>
  <c r="JU268" i="31"/>
  <c r="KE268" i="31"/>
  <c r="KC268" i="31"/>
  <c r="GQ268" i="31"/>
  <c r="CR268" i="31"/>
  <c r="CT268" i="31"/>
  <c r="HT268" i="31"/>
  <c r="HS268" i="31"/>
  <c r="JG268" i="31" s="1"/>
  <c r="NC270" i="31"/>
  <c r="MQ270" i="31"/>
  <c r="OR270" i="31"/>
  <c r="ER269" i="31" l="1"/>
  <c r="EU269" i="31" s="1"/>
  <c r="IU268" i="31"/>
  <c r="IV268" i="31" s="1"/>
  <c r="IX268" i="31" s="1"/>
  <c r="BB269" i="31"/>
  <c r="BC269" i="31" s="1"/>
  <c r="BD269" i="31" s="1"/>
  <c r="IW268" i="31"/>
  <c r="KB268" i="31" s="1"/>
  <c r="EQ268" i="31"/>
  <c r="KK268" i="31"/>
  <c r="IC268" i="31"/>
  <c r="ID268" i="31" s="1"/>
  <c r="IF268" i="31" s="1"/>
  <c r="KH268" i="31" s="1"/>
  <c r="JB268" i="31"/>
  <c r="BE269" i="31" l="1"/>
  <c r="BF269" i="31" s="1"/>
  <c r="IM268" i="31"/>
  <c r="DB268" i="31"/>
  <c r="DC268" i="31" s="1"/>
  <c r="DD269" i="31" s="1"/>
  <c r="DE270" i="31" s="1"/>
  <c r="KI269" i="31"/>
  <c r="KJ269" i="31" s="1"/>
  <c r="IN268" i="31"/>
  <c r="GM268" i="31"/>
  <c r="DF268" i="31"/>
  <c r="BG269" i="31" l="1"/>
  <c r="BH269" i="31" s="1"/>
  <c r="GU268" i="31"/>
  <c r="FD268" i="31"/>
  <c r="GV268" i="31"/>
  <c r="GT270" i="31"/>
  <c r="GR268" i="31"/>
  <c r="DT268" i="31"/>
  <c r="DZ268" i="31" s="1"/>
  <c r="BI269" i="31" l="1"/>
  <c r="BK269" i="31" s="1"/>
  <c r="BL269" i="31" s="1"/>
  <c r="FL269" i="31"/>
  <c r="FM269" i="31" s="1"/>
  <c r="IS268" i="31"/>
  <c r="GS268" i="31"/>
  <c r="BM269" i="31" l="1"/>
  <c r="BO269" i="31" s="1"/>
  <c r="BJ269" i="31"/>
  <c r="JH268" i="31"/>
  <c r="JI268" i="31" s="1"/>
  <c r="JK268" i="31" s="1"/>
  <c r="JZ268" i="31" s="1"/>
  <c r="KF268" i="31" s="1"/>
  <c r="IQ269" i="31" s="1"/>
  <c r="IT268" i="31"/>
  <c r="GX268" i="31"/>
  <c r="GW268" i="31"/>
  <c r="HC268" i="31" s="1"/>
  <c r="FA269" i="31" s="1"/>
  <c r="HB269" i="31" s="1"/>
  <c r="GY268" i="31"/>
  <c r="BN269" i="31" l="1"/>
  <c r="JN268" i="31"/>
  <c r="JV268" i="31" s="1"/>
  <c r="JF269" i="31" s="1"/>
  <c r="JY269" i="31" s="1"/>
  <c r="JM268" i="31"/>
  <c r="KD268" i="31" s="1"/>
  <c r="IL269" i="31" s="1"/>
  <c r="JE269" i="31" s="1"/>
  <c r="KA269" i="31"/>
  <c r="HZ269" i="31" s="1"/>
  <c r="JL268" i="31"/>
  <c r="JJ269" i="31" s="1"/>
  <c r="EG268" i="31"/>
  <c r="EH269" i="31" s="1"/>
  <c r="EI269" i="31" s="1"/>
  <c r="FK269" i="31" s="1"/>
  <c r="HM268" i="31"/>
  <c r="EY268" i="31"/>
  <c r="HK269" i="31"/>
  <c r="BP269" i="31"/>
  <c r="BQ269" i="31" s="1"/>
  <c r="JO269" i="31" l="1"/>
  <c r="IR269" i="31"/>
  <c r="EE268" i="31"/>
  <c r="EF269" i="31" s="1"/>
  <c r="EJ268" i="31"/>
  <c r="EK269" i="31" s="1"/>
  <c r="ED268" i="31"/>
  <c r="EB269" i="31" s="1"/>
  <c r="EZ268" i="31"/>
  <c r="DG268" i="31"/>
  <c r="DH268" i="31" s="1"/>
  <c r="DI269" i="31" s="1"/>
  <c r="JW269" i="31"/>
  <c r="BR269" i="31"/>
  <c r="BS269" i="31"/>
  <c r="DP269" i="31" l="1"/>
  <c r="JA269" i="31"/>
  <c r="IY269" i="31"/>
  <c r="FC269" i="31"/>
  <c r="EP269" i="31"/>
  <c r="ET270" i="31" s="1"/>
  <c r="EV269" i="31"/>
  <c r="EL269" i="31"/>
  <c r="EO269" i="31"/>
  <c r="ES270" i="31" s="1"/>
  <c r="JC269" i="31"/>
  <c r="JD269" i="31"/>
  <c r="GZ269" i="31"/>
  <c r="DJ269" i="31"/>
  <c r="DK269" i="31" s="1"/>
  <c r="IP269" i="31"/>
  <c r="IO269" i="31"/>
  <c r="JP269" i="31" s="1"/>
  <c r="JQ269" i="31" s="1"/>
  <c r="BT269" i="31"/>
  <c r="BU269" i="31"/>
  <c r="EC269" i="31" l="1"/>
  <c r="JX269" i="31"/>
  <c r="DM269" i="31"/>
  <c r="FQ269" i="31"/>
  <c r="DX269" i="31"/>
  <c r="IE269" i="31"/>
  <c r="KG269" i="31"/>
  <c r="BV269" i="31"/>
  <c r="BW269" i="31" s="1"/>
  <c r="BY269" i="31" l="1"/>
  <c r="CA269" i="31" s="1"/>
  <c r="BX269" i="31"/>
  <c r="L270" i="31"/>
  <c r="DL269" i="31"/>
  <c r="FB269" i="31"/>
  <c r="EX269" i="31"/>
  <c r="M269" i="31" s="1"/>
  <c r="BZ269" i="31" l="1"/>
  <c r="MB269" i="31"/>
  <c r="MJ269" i="31"/>
  <c r="NS269" i="31" s="1"/>
  <c r="CB269" i="31"/>
  <c r="CC269" i="31" s="1"/>
  <c r="CE269" i="31" l="1"/>
  <c r="CD269" i="31"/>
  <c r="NM269" i="31"/>
  <c r="NN269" i="31" s="1"/>
  <c r="NT269" i="31"/>
  <c r="OU270" i="31"/>
  <c r="CF269" i="31" l="1"/>
  <c r="CG269" i="31"/>
  <c r="CH269" i="31" s="1"/>
  <c r="CI269" i="31" s="1"/>
  <c r="OV270" i="31"/>
  <c r="NW269" i="31"/>
  <c r="NX269" i="31" s="1"/>
  <c r="NY269" i="31" s="1"/>
  <c r="OB269" i="31" s="1"/>
  <c r="OT270" i="31" s="1"/>
  <c r="CX269" i="31"/>
  <c r="FV269" i="31"/>
  <c r="NU269" i="31"/>
  <c r="NV269" i="31" s="1"/>
  <c r="FR269" i="31"/>
  <c r="OF269" i="31" l="1"/>
  <c r="OS270" i="31" s="1"/>
  <c r="CY270" i="31"/>
  <c r="MY269" i="31"/>
  <c r="NZ269" i="31"/>
  <c r="OA269" i="31" s="1"/>
  <c r="MV270" i="31" s="1"/>
  <c r="OG270" i="31" s="1"/>
  <c r="CJ269" i="31"/>
  <c r="CO269" i="31" s="1"/>
  <c r="CK269" i="31"/>
  <c r="OJ269" i="31"/>
  <c r="CL269" i="31" l="1"/>
  <c r="MZ270" i="31"/>
  <c r="OZ269" i="31"/>
  <c r="OI269" i="31"/>
  <c r="OC269" i="31"/>
  <c r="OD270" i="31" s="1"/>
  <c r="OH270" i="31" s="1"/>
  <c r="OK270" i="31" s="1"/>
  <c r="PA269" i="31"/>
  <c r="OM270" i="31"/>
  <c r="NF270" i="31"/>
  <c r="OO270" i="31"/>
  <c r="KT270" i="31" s="1"/>
  <c r="CM269" i="31"/>
  <c r="CN269" i="31" s="1"/>
  <c r="MW270" i="31"/>
  <c r="OY270" i="31"/>
  <c r="CP269" i="31" l="1"/>
  <c r="CQ269" i="31" s="1"/>
  <c r="KL270" i="31"/>
  <c r="KN271" i="31" s="1"/>
  <c r="KQ270" i="31" s="1"/>
  <c r="KM270" i="31"/>
  <c r="KO271" i="31" s="1"/>
  <c r="KR270" i="31" s="1"/>
  <c r="MR270" i="31"/>
  <c r="MS270" i="31" s="1"/>
  <c r="NP270" i="31" s="1"/>
  <c r="OX270" i="31"/>
  <c r="OW269" i="31"/>
  <c r="MX270" i="31"/>
  <c r="FZ269" i="31" l="1"/>
  <c r="GA269" i="31" s="1"/>
  <c r="FU269" i="31"/>
  <c r="FW269" i="31" s="1"/>
  <c r="HO269" i="31"/>
  <c r="HP269" i="31" s="1"/>
  <c r="FH269" i="31"/>
  <c r="FI269" i="31" s="1"/>
  <c r="HU269" i="31" s="1"/>
  <c r="HV270" i="31" s="1"/>
  <c r="DQ269" i="31"/>
  <c r="DR269" i="31" s="1"/>
  <c r="DS269" i="31" s="1"/>
  <c r="AX269" i="31" s="1"/>
  <c r="AY270" i="31" s="1"/>
  <c r="KU269" i="31"/>
  <c r="GO269" i="31"/>
  <c r="KX269" i="31"/>
  <c r="GN269" i="31" s="1"/>
  <c r="KV269" i="31" s="1"/>
  <c r="FP269" i="31"/>
  <c r="FS269" i="31" s="1"/>
  <c r="HA269" i="31" s="1"/>
  <c r="GB269" i="31"/>
  <c r="GC269" i="31" s="1"/>
  <c r="FE269" i="31"/>
  <c r="FF269" i="31" s="1"/>
  <c r="FG270" i="31" s="1"/>
  <c r="FX269" i="31"/>
  <c r="FY269" i="31" s="1"/>
  <c r="JR269" i="31"/>
  <c r="JS269" i="31" s="1"/>
  <c r="JT270" i="31" s="1"/>
  <c r="KP271" i="31"/>
  <c r="NH271" i="31"/>
  <c r="NI271" i="31" s="1"/>
  <c r="MU270" i="31"/>
  <c r="MT270" i="31"/>
  <c r="PE270" i="31"/>
  <c r="NQ270" i="31"/>
  <c r="NR270" i="31" s="1"/>
  <c r="NJ270" i="31"/>
  <c r="NK270" i="31" s="1"/>
  <c r="MO270" i="31"/>
  <c r="KS270" i="31"/>
  <c r="FJ270" i="31"/>
  <c r="NA270" i="31"/>
  <c r="NB270" i="31"/>
  <c r="CR269" i="31"/>
  <c r="CS269" i="31"/>
  <c r="CT269" i="31"/>
  <c r="KW270" i="31" l="1"/>
  <c r="HQ269" i="31"/>
  <c r="HR270" i="31" s="1"/>
  <c r="IZ269" i="31"/>
  <c r="HY269" i="31"/>
  <c r="DY269" i="31"/>
  <c r="IA269" i="31"/>
  <c r="IB269" i="31" s="1"/>
  <c r="HW269" i="31"/>
  <c r="HX270" i="31" s="1"/>
  <c r="KE269" i="31"/>
  <c r="JU269" i="31"/>
  <c r="GQ269" i="31"/>
  <c r="KC269" i="31"/>
  <c r="OQ271" i="31"/>
  <c r="OR271" i="31" s="1"/>
  <c r="NG271" i="31"/>
  <c r="NL270" i="31"/>
  <c r="NC271" i="31" s="1"/>
  <c r="HS269" i="31"/>
  <c r="JG269" i="31" s="1"/>
  <c r="HT269" i="31"/>
  <c r="EN269" i="31"/>
  <c r="EM269" i="31"/>
  <c r="EW269" i="31" s="1"/>
  <c r="AZ269" i="31"/>
  <c r="MQ271" i="31" l="1"/>
  <c r="IC269" i="31"/>
  <c r="ID269" i="31" s="1"/>
  <c r="IF269" i="31" s="1"/>
  <c r="KH269" i="31" s="1"/>
  <c r="JB269" i="31"/>
  <c r="BB270" i="31"/>
  <c r="EQ269" i="31"/>
  <c r="DW269" i="31"/>
  <c r="DU270" i="31" s="1"/>
  <c r="IW269" i="31"/>
  <c r="ER270" i="31"/>
  <c r="IU269" i="31"/>
  <c r="IV269" i="31" s="1"/>
  <c r="KB269" i="31" l="1"/>
  <c r="IX269" i="31"/>
  <c r="KK269" i="31"/>
  <c r="BC270" i="31"/>
  <c r="EU270" i="31"/>
  <c r="DB269" i="31"/>
  <c r="DC269" i="31" s="1"/>
  <c r="DD270" i="31" s="1"/>
  <c r="DE271" i="31" s="1"/>
  <c r="GM269" i="31"/>
  <c r="IM269" i="31"/>
  <c r="KI270" i="31"/>
  <c r="IN269" i="31"/>
  <c r="DF269" i="31"/>
  <c r="GT271" i="31" l="1"/>
  <c r="BD270" i="31"/>
  <c r="BE270" i="31"/>
  <c r="DT269" i="31"/>
  <c r="DZ269" i="31" s="1"/>
  <c r="GV269" i="31"/>
  <c r="FD269" i="31"/>
  <c r="GU269" i="31"/>
  <c r="GR269" i="31"/>
  <c r="KJ270" i="31"/>
  <c r="IS269" i="31" l="1"/>
  <c r="FL270" i="31"/>
  <c r="BG270" i="31"/>
  <c r="BF270" i="31"/>
  <c r="GS269" i="31"/>
  <c r="GW269" i="31" l="1"/>
  <c r="HC269" i="31" s="1"/>
  <c r="FA270" i="31" s="1"/>
  <c r="HB270" i="31" s="1"/>
  <c r="GX269" i="31"/>
  <c r="GY269" i="31"/>
  <c r="FM270" i="31"/>
  <c r="BI270" i="31"/>
  <c r="BK270" i="31" s="1"/>
  <c r="BH270" i="31"/>
  <c r="JH269" i="31"/>
  <c r="JI269" i="31" s="1"/>
  <c r="IT269" i="31"/>
  <c r="BL270" i="31" l="1"/>
  <c r="BM270" i="31"/>
  <c r="JK269" i="31"/>
  <c r="JZ269" i="31" s="1"/>
  <c r="KF269" i="31" s="1"/>
  <c r="IQ270" i="31" s="1"/>
  <c r="BJ270" i="31"/>
  <c r="EY269" i="31"/>
  <c r="HM269" i="31"/>
  <c r="EG269" i="31"/>
  <c r="EH270" i="31" s="1"/>
  <c r="EI270" i="31" s="1"/>
  <c r="FK270" i="31" s="1"/>
  <c r="HK270" i="31"/>
  <c r="JN269" i="31" l="1"/>
  <c r="JV269" i="31" s="1"/>
  <c r="JF270" i="31" s="1"/>
  <c r="JW270" i="31" s="1"/>
  <c r="EJ269" i="31"/>
  <c r="EK270" i="31" s="1"/>
  <c r="EE269" i="31"/>
  <c r="EF270" i="31" s="1"/>
  <c r="ED269" i="31"/>
  <c r="EB270" i="31" s="1"/>
  <c r="JA270" i="31" s="1"/>
  <c r="JM269" i="31"/>
  <c r="KD269" i="31" s="1"/>
  <c r="IL270" i="31" s="1"/>
  <c r="IR270" i="31" s="1"/>
  <c r="JL269" i="31"/>
  <c r="JJ270" i="31" s="1"/>
  <c r="KA270" i="31"/>
  <c r="BN270" i="31"/>
  <c r="BO270" i="31"/>
  <c r="EZ269" i="31"/>
  <c r="DG269" i="31"/>
  <c r="DH269" i="31" s="1"/>
  <c r="DI270" i="31" s="1"/>
  <c r="JY270" i="31" l="1"/>
  <c r="IY270" i="31"/>
  <c r="JC270" i="31"/>
  <c r="JD270" i="31"/>
  <c r="HZ270" i="31"/>
  <c r="BP270" i="31"/>
  <c r="BQ270" i="31" s="1"/>
  <c r="DP270" i="31"/>
  <c r="KG270" i="31"/>
  <c r="IP270" i="31"/>
  <c r="IO270" i="31"/>
  <c r="JE270" i="31"/>
  <c r="GZ270" i="31"/>
  <c r="IE270" i="31" s="1"/>
  <c r="DJ270" i="31"/>
  <c r="DK270" i="31" s="1"/>
  <c r="FC270" i="31"/>
  <c r="EO270" i="31"/>
  <c r="ES271" i="31" s="1"/>
  <c r="EP270" i="31"/>
  <c r="ET271" i="31" s="1"/>
  <c r="EL270" i="31"/>
  <c r="EV270" i="31"/>
  <c r="JO270" i="31"/>
  <c r="JP270" i="31" l="1"/>
  <c r="JQ270" i="31" s="1"/>
  <c r="JX270" i="31"/>
  <c r="BR270" i="31"/>
  <c r="BS270" i="31"/>
  <c r="DX270" i="31"/>
  <c r="DM270" i="31"/>
  <c r="FQ270" i="31"/>
  <c r="EC270" i="31"/>
  <c r="FB270" i="31" l="1"/>
  <c r="EX270" i="31"/>
  <c r="M270" i="31" s="1"/>
  <c r="DL270" i="31"/>
  <c r="L271" i="31"/>
  <c r="BT270" i="31"/>
  <c r="BU270" i="31"/>
  <c r="BV270" i="31" l="1"/>
  <c r="BW270" i="31" s="1"/>
  <c r="MB270" i="31"/>
  <c r="MJ270" i="31"/>
  <c r="NS270" i="31" s="1"/>
  <c r="NM270" i="31" l="1"/>
  <c r="NN270" i="31" s="1"/>
  <c r="BY270" i="31"/>
  <c r="CA270" i="31" s="1"/>
  <c r="BX270" i="31"/>
  <c r="NT270" i="31"/>
  <c r="OU271" i="31"/>
  <c r="OV271" i="31" l="1"/>
  <c r="NW270" i="31"/>
  <c r="NX270" i="31" s="1"/>
  <c r="BZ270" i="31"/>
  <c r="FR270" i="31"/>
  <c r="CX270" i="31"/>
  <c r="FV270" i="31"/>
  <c r="NU270" i="31"/>
  <c r="CB270" i="31"/>
  <c r="CC270" i="31" s="1"/>
  <c r="CD270" i="31" l="1"/>
  <c r="CE270" i="31"/>
  <c r="CG270" i="31" s="1"/>
  <c r="NY270" i="31"/>
  <c r="OF270" i="31"/>
  <c r="OS271" i="31" s="1"/>
  <c r="NZ270" i="31"/>
  <c r="MY270" i="31"/>
  <c r="CY271" i="31"/>
  <c r="NV270" i="31"/>
  <c r="CF270" i="31" l="1"/>
  <c r="CH270" i="31"/>
  <c r="CI270" i="31" s="1"/>
  <c r="OA270" i="31"/>
  <c r="MV271" i="31" s="1"/>
  <c r="OG271" i="31" s="1"/>
  <c r="NF271" i="31"/>
  <c r="OO271" i="31"/>
  <c r="OM271" i="31"/>
  <c r="MZ271" i="31"/>
  <c r="OZ270" i="31"/>
  <c r="OB270" i="31"/>
  <c r="OT271" i="31" s="1"/>
  <c r="OI270" i="31"/>
  <c r="KT271" i="31" l="1"/>
  <c r="KL271" i="31" s="1"/>
  <c r="KN272" i="31" s="1"/>
  <c r="CJ270" i="31"/>
  <c r="CO270" i="31" s="1"/>
  <c r="CK270" i="31"/>
  <c r="MR271" i="31"/>
  <c r="OX271" i="31"/>
  <c r="OW270" i="31"/>
  <c r="PA270" i="31"/>
  <c r="OJ270" i="31"/>
  <c r="OC270" i="31"/>
  <c r="OD271" i="31" s="1"/>
  <c r="OH271" i="31" s="1"/>
  <c r="OK271" i="31" s="1"/>
  <c r="CL270" i="31" l="1"/>
  <c r="KM271" i="31"/>
  <c r="KO272" i="31" s="1"/>
  <c r="KP272" i="31" s="1"/>
  <c r="CM270" i="31"/>
  <c r="CN270" i="31" s="1"/>
  <c r="MS271" i="31"/>
  <c r="MW271" i="31"/>
  <c r="OY271" i="31"/>
  <c r="KQ271" i="31"/>
  <c r="CP270" i="31" l="1"/>
  <c r="FP270" i="31" s="1"/>
  <c r="FS270" i="31" s="1"/>
  <c r="KR271" i="31"/>
  <c r="KS271" i="31"/>
  <c r="MX271" i="31"/>
  <c r="NJ271" i="31"/>
  <c r="NQ271" i="31"/>
  <c r="MT271" i="31"/>
  <c r="MU271" i="31"/>
  <c r="MO271" i="31"/>
  <c r="NP271" i="31"/>
  <c r="NH272" i="31"/>
  <c r="NI272" i="31" s="1"/>
  <c r="PE271" i="31"/>
  <c r="FU270" i="31" l="1"/>
  <c r="FW270" i="31" s="1"/>
  <c r="CQ270" i="31"/>
  <c r="FX270" i="31"/>
  <c r="FY270" i="31" s="1"/>
  <c r="FZ270" i="31"/>
  <c r="GA270" i="31" s="1"/>
  <c r="GO270" i="31"/>
  <c r="DQ270" i="31"/>
  <c r="DR270" i="31" s="1"/>
  <c r="DS270" i="31" s="1"/>
  <c r="AX270" i="31" s="1"/>
  <c r="AY271" i="31" s="1"/>
  <c r="KX270" i="31"/>
  <c r="GN270" i="31" s="1"/>
  <c r="GQ270" i="31" s="1"/>
  <c r="GB270" i="31"/>
  <c r="GC270" i="31" s="1"/>
  <c r="FH270" i="31"/>
  <c r="FI270" i="31" s="1"/>
  <c r="HU270" i="31" s="1"/>
  <c r="HV271" i="31" s="1"/>
  <c r="JR270" i="31"/>
  <c r="JS270" i="31" s="1"/>
  <c r="HO270" i="31"/>
  <c r="IA270" i="31" s="1"/>
  <c r="IB270" i="31" s="1"/>
  <c r="FE270" i="31"/>
  <c r="FF270" i="31" s="1"/>
  <c r="HW270" i="31" s="1"/>
  <c r="HX271" i="31" s="1"/>
  <c r="KU270" i="31"/>
  <c r="NR271" i="31"/>
  <c r="NL271" i="31"/>
  <c r="NK271" i="31"/>
  <c r="NG272" i="31"/>
  <c r="OQ272" i="31"/>
  <c r="KC270" i="31"/>
  <c r="JU270" i="31"/>
  <c r="KE270" i="31"/>
  <c r="JT271" i="31"/>
  <c r="HA270" i="31"/>
  <c r="DY270" i="31"/>
  <c r="HY270" i="31"/>
  <c r="NB271" i="31"/>
  <c r="NA271" i="31"/>
  <c r="CT270" i="31"/>
  <c r="CS270" i="31"/>
  <c r="CR270" i="31"/>
  <c r="KV270" i="31" l="1"/>
  <c r="FJ271" i="31"/>
  <c r="FG271" i="31"/>
  <c r="IZ270" i="31"/>
  <c r="HP270" i="31"/>
  <c r="KW271" i="31"/>
  <c r="HQ270" i="31"/>
  <c r="HR271" i="31" s="1"/>
  <c r="EN270" i="31"/>
  <c r="EM270" i="31"/>
  <c r="EW270" i="31" s="1"/>
  <c r="AZ270" i="31"/>
  <c r="OR272" i="31"/>
  <c r="NC272" i="31"/>
  <c r="MQ272" i="31"/>
  <c r="HS270" i="31"/>
  <c r="JG270" i="31" s="1"/>
  <c r="HT270" i="31"/>
  <c r="IC270" i="31" l="1"/>
  <c r="ID270" i="31" s="1"/>
  <c r="IF270" i="31" s="1"/>
  <c r="KH270" i="31" s="1"/>
  <c r="JB270" i="31"/>
  <c r="BB271" i="31"/>
  <c r="DW270" i="31"/>
  <c r="DU271" i="31" s="1"/>
  <c r="EQ270" i="31"/>
  <c r="ER271" i="31"/>
  <c r="IU270" i="31"/>
  <c r="IV270" i="31" s="1"/>
  <c r="IW270" i="31" l="1"/>
  <c r="KB270" i="31" s="1"/>
  <c r="EU271" i="31"/>
  <c r="BC271" i="31"/>
  <c r="KK270" i="31"/>
  <c r="IX270" i="31"/>
  <c r="IM270" i="31"/>
  <c r="DB270" i="31"/>
  <c r="DC270" i="31" s="1"/>
  <c r="DD271" i="31" s="1"/>
  <c r="DE272" i="31" s="1"/>
  <c r="GM270" i="31"/>
  <c r="KI271" i="31"/>
  <c r="IN270" i="31"/>
  <c r="DF270" i="31"/>
  <c r="GT272" i="31" l="1"/>
  <c r="DT270" i="31"/>
  <c r="DZ270" i="31" s="1"/>
  <c r="FD270" i="31"/>
  <c r="GV270" i="31"/>
  <c r="GU270" i="31"/>
  <c r="BD271" i="31"/>
  <c r="BE271" i="31"/>
  <c r="KJ271" i="31"/>
  <c r="GR270" i="31"/>
  <c r="BF271" i="31" l="1"/>
  <c r="BG271" i="31"/>
  <c r="GS270" i="31"/>
  <c r="IS270" i="31"/>
  <c r="FL271" i="31"/>
  <c r="FM271" i="31" l="1"/>
  <c r="BI271" i="31"/>
  <c r="BK271" i="31" s="1"/>
  <c r="BH271" i="31"/>
  <c r="JH270" i="31"/>
  <c r="JI270" i="31" s="1"/>
  <c r="IT270" i="31"/>
  <c r="GW270" i="31"/>
  <c r="HC270" i="31" s="1"/>
  <c r="FA271" i="31" s="1"/>
  <c r="HB271" i="31" s="1"/>
  <c r="GX270" i="31"/>
  <c r="GY270" i="31"/>
  <c r="BJ271" i="31" l="1"/>
  <c r="HM270" i="31"/>
  <c r="EY270" i="31"/>
  <c r="EG270" i="31"/>
  <c r="EH271" i="31" s="1"/>
  <c r="EI271" i="31" s="1"/>
  <c r="FK271" i="31" s="1"/>
  <c r="HK271" i="31"/>
  <c r="BL271" i="31"/>
  <c r="BM271" i="31"/>
  <c r="JK270" i="31"/>
  <c r="JZ270" i="31" s="1"/>
  <c r="KF270" i="31" s="1"/>
  <c r="IQ271" i="31" s="1"/>
  <c r="JM270" i="31" l="1"/>
  <c r="KD270" i="31" s="1"/>
  <c r="IL271" i="31" s="1"/>
  <c r="JE271" i="31" s="1"/>
  <c r="JN270" i="31"/>
  <c r="JV270" i="31" s="1"/>
  <c r="JF271" i="31" s="1"/>
  <c r="EZ270" i="31"/>
  <c r="DG270" i="31"/>
  <c r="DH270" i="31" s="1"/>
  <c r="DI271" i="31" s="1"/>
  <c r="BN271" i="31"/>
  <c r="BO271" i="31"/>
  <c r="EJ270" i="31"/>
  <c r="EK271" i="31" s="1"/>
  <c r="ED270" i="31"/>
  <c r="EB271" i="31" s="1"/>
  <c r="EE270" i="31"/>
  <c r="EF271" i="31" s="1"/>
  <c r="JL270" i="31"/>
  <c r="JJ271" i="31" s="1"/>
  <c r="KA271" i="31"/>
  <c r="IP271" i="31" l="1"/>
  <c r="JO271" i="31"/>
  <c r="IR271" i="31"/>
  <c r="IO271" i="31"/>
  <c r="BP271" i="31"/>
  <c r="BQ271" i="31" s="1"/>
  <c r="GZ271" i="31"/>
  <c r="DJ271" i="31"/>
  <c r="DK271" i="31" s="1"/>
  <c r="FC271" i="31"/>
  <c r="EP271" i="31"/>
  <c r="ET272" i="31" s="1"/>
  <c r="EO271" i="31"/>
  <c r="ES272" i="31" s="1"/>
  <c r="EL271" i="31"/>
  <c r="EV271" i="31"/>
  <c r="JC271" i="31"/>
  <c r="JD271" i="31"/>
  <c r="IY271" i="31"/>
  <c r="JP271" i="31" s="1"/>
  <c r="JQ271" i="31" s="1"/>
  <c r="HZ271" i="31"/>
  <c r="DP271" i="31"/>
  <c r="JA271" i="31"/>
  <c r="JY271" i="31"/>
  <c r="JW271" i="31"/>
  <c r="KG271" i="31" l="1"/>
  <c r="IE271" i="31"/>
  <c r="EC271" i="31"/>
  <c r="DX271" i="31"/>
  <c r="DM271" i="31"/>
  <c r="FQ271" i="31"/>
  <c r="BR271" i="31"/>
  <c r="BS271" i="31"/>
  <c r="JX271" i="31"/>
  <c r="DL271" i="31" l="1"/>
  <c r="L272" i="31"/>
  <c r="EX271" i="31"/>
  <c r="M271" i="31" s="1"/>
  <c r="FB271" i="31"/>
  <c r="BT271" i="31"/>
  <c r="BU271" i="31"/>
  <c r="MJ271" i="31" l="1"/>
  <c r="NS271" i="31" s="1"/>
  <c r="MB271" i="31"/>
  <c r="BV271" i="31"/>
  <c r="BW271" i="31" s="1"/>
  <c r="NM271" i="31" l="1"/>
  <c r="NN271" i="31" s="1"/>
  <c r="BX271" i="31"/>
  <c r="BY271" i="31"/>
  <c r="CA271" i="31" s="1"/>
  <c r="NT271" i="31"/>
  <c r="OU272" i="31"/>
  <c r="OV272" i="31" l="1"/>
  <c r="NW271" i="31"/>
  <c r="BZ271" i="31"/>
  <c r="CB271" i="31"/>
  <c r="CC271" i="31" s="1"/>
  <c r="NX271" i="31"/>
  <c r="CX271" i="31"/>
  <c r="FV271" i="31"/>
  <c r="FR271" i="31"/>
  <c r="NU271" i="31"/>
  <c r="CE271" i="31" l="1"/>
  <c r="CG271" i="31" s="1"/>
  <c r="CD271" i="31"/>
  <c r="MY271" i="31"/>
  <c r="NZ271" i="31"/>
  <c r="CY272" i="31"/>
  <c r="NV271" i="31"/>
  <c r="NY271" i="31"/>
  <c r="OF271" i="31"/>
  <c r="OS272" i="31" s="1"/>
  <c r="CF271" i="31" l="1"/>
  <c r="OA271" i="31"/>
  <c r="MV272" i="31" s="1"/>
  <c r="OG272" i="31" s="1"/>
  <c r="OI271" i="31"/>
  <c r="MR272" i="31" s="1"/>
  <c r="OO272" i="31"/>
  <c r="NF272" i="31"/>
  <c r="OM272" i="31"/>
  <c r="CH271" i="31"/>
  <c r="CI271" i="31" s="1"/>
  <c r="OB271" i="31"/>
  <c r="OT272" i="31" s="1"/>
  <c r="MZ272" i="31"/>
  <c r="OZ271" i="31"/>
  <c r="KT272" i="31" l="1"/>
  <c r="KM272" i="31" s="1"/>
  <c r="KO273" i="31" s="1"/>
  <c r="OX272" i="31"/>
  <c r="OW271" i="31"/>
  <c r="CJ271" i="31"/>
  <c r="CO271" i="31" s="1"/>
  <c r="CK271" i="31"/>
  <c r="CL271" i="31" s="1"/>
  <c r="OJ271" i="31"/>
  <c r="OY272" i="31" s="1"/>
  <c r="OC271" i="31"/>
  <c r="OD272" i="31" s="1"/>
  <c r="OH272" i="31" s="1"/>
  <c r="OK272" i="31" s="1"/>
  <c r="KL272" i="31"/>
  <c r="KN273" i="31" s="1"/>
  <c r="MS272" i="31"/>
  <c r="PA271" i="31"/>
  <c r="MW272" i="31" l="1"/>
  <c r="MX272" i="31" s="1"/>
  <c r="CM271" i="31"/>
  <c r="CN271" i="31" s="1"/>
  <c r="CP271" i="31" s="1"/>
  <c r="KP273" i="31"/>
  <c r="KR272" i="31"/>
  <c r="MT272" i="31"/>
  <c r="NJ272" i="31"/>
  <c r="NQ272" i="31"/>
  <c r="NP272" i="31"/>
  <c r="NH273" i="31"/>
  <c r="NI273" i="31" s="1"/>
  <c r="MO272" i="31"/>
  <c r="MU272" i="31"/>
  <c r="PE272" i="31"/>
  <c r="KQ272" i="31"/>
  <c r="NR272" i="31" l="1"/>
  <c r="KS272" i="31"/>
  <c r="NB272" i="31"/>
  <c r="NA272" i="31"/>
  <c r="NK272" i="31"/>
  <c r="NL272" i="31"/>
  <c r="NG273" i="31"/>
  <c r="OQ273" i="31"/>
  <c r="FZ271" i="31"/>
  <c r="GA271" i="31" s="1"/>
  <c r="DQ271" i="31"/>
  <c r="DR271" i="31" s="1"/>
  <c r="FP271" i="31"/>
  <c r="FS271" i="31" s="1"/>
  <c r="FH271" i="31"/>
  <c r="FI271" i="31" s="1"/>
  <c r="FE271" i="31"/>
  <c r="FF271" i="31" s="1"/>
  <c r="HO271" i="31"/>
  <c r="JR271" i="31"/>
  <c r="JS271" i="31" s="1"/>
  <c r="FU271" i="31"/>
  <c r="FW271" i="31" s="1"/>
  <c r="CQ271" i="31"/>
  <c r="GB271" i="31"/>
  <c r="GC271" i="31" s="1"/>
  <c r="GO271" i="31"/>
  <c r="FX271" i="31"/>
  <c r="FY271" i="31" s="1"/>
  <c r="KX271" i="31"/>
  <c r="KU271" i="31"/>
  <c r="GN271" i="31" l="1"/>
  <c r="GQ271" i="31" s="1"/>
  <c r="FG272" i="31"/>
  <c r="HW271" i="31"/>
  <c r="HX272" i="31" s="1"/>
  <c r="HU271" i="31"/>
  <c r="HV272" i="31" s="1"/>
  <c r="FJ272" i="31"/>
  <c r="CR271" i="31"/>
  <c r="CS271" i="31"/>
  <c r="CT271" i="31"/>
  <c r="NC273" i="31"/>
  <c r="MQ273" i="31"/>
  <c r="JU271" i="31"/>
  <c r="KC271" i="31"/>
  <c r="KE271" i="31"/>
  <c r="JT272" i="31"/>
  <c r="OR273" i="31"/>
  <c r="HA271" i="31"/>
  <c r="HY271" i="31"/>
  <c r="DY271" i="31"/>
  <c r="DS271" i="31"/>
  <c r="AX271" i="31" s="1"/>
  <c r="AY272" i="31" s="1"/>
  <c r="IA271" i="31"/>
  <c r="IB271" i="31" s="1"/>
  <c r="HP271" i="31"/>
  <c r="IZ271" i="31"/>
  <c r="KV271" i="31" l="1"/>
  <c r="KW272" i="31" s="1"/>
  <c r="HQ271" i="31"/>
  <c r="HR272" i="31" s="1"/>
  <c r="HT271" i="31"/>
  <c r="HS271" i="31"/>
  <c r="JG271" i="31" s="1"/>
  <c r="EN271" i="31"/>
  <c r="AZ271" i="31"/>
  <c r="EM271" i="31"/>
  <c r="EW271" i="31" s="1"/>
  <c r="BB272" i="31" l="1"/>
  <c r="EQ271" i="31"/>
  <c r="DW271" i="31"/>
  <c r="DU272" i="31" s="1"/>
  <c r="ER272" i="31"/>
  <c r="IU271" i="31"/>
  <c r="IV271" i="31" s="1"/>
  <c r="IC271" i="31"/>
  <c r="ID271" i="31" s="1"/>
  <c r="IF271" i="31" s="1"/>
  <c r="KH271" i="31" s="1"/>
  <c r="JB271" i="31"/>
  <c r="IW271" i="31" l="1"/>
  <c r="KB271" i="31" s="1"/>
  <c r="EU272" i="31"/>
  <c r="IX271" i="31"/>
  <c r="KK271" i="31"/>
  <c r="BC272" i="31"/>
  <c r="IM271" i="31"/>
  <c r="DB271" i="31"/>
  <c r="DC271" i="31" s="1"/>
  <c r="DD272" i="31" s="1"/>
  <c r="DE273" i="31" s="1"/>
  <c r="GM271" i="31"/>
  <c r="KI272" i="31"/>
  <c r="IN271" i="31"/>
  <c r="DF271" i="31"/>
  <c r="DT271" i="31" l="1"/>
  <c r="DZ271" i="31" s="1"/>
  <c r="GT273" i="31"/>
  <c r="KJ272" i="31"/>
  <c r="FD271" i="31"/>
  <c r="GV271" i="31"/>
  <c r="GU271" i="31"/>
  <c r="GR271" i="31"/>
  <c r="BD272" i="31"/>
  <c r="BE272" i="31"/>
  <c r="GS271" i="31" l="1"/>
  <c r="IS271" i="31"/>
  <c r="FL272" i="31"/>
  <c r="BF272" i="31"/>
  <c r="BG272" i="31"/>
  <c r="BI272" i="31" l="1"/>
  <c r="BK272" i="31" s="1"/>
  <c r="BH272" i="31"/>
  <c r="FM272" i="31"/>
  <c r="JH271" i="31"/>
  <c r="JI271" i="31" s="1"/>
  <c r="IT271" i="31"/>
  <c r="GW271" i="31"/>
  <c r="HC271" i="31" s="1"/>
  <c r="FA272" i="31" s="1"/>
  <c r="HB272" i="31" s="1"/>
  <c r="GY271" i="31"/>
  <c r="GX271" i="31"/>
  <c r="BJ272" i="31" l="1"/>
  <c r="HM271" i="31"/>
  <c r="EY271" i="31"/>
  <c r="EG271" i="31"/>
  <c r="EH272" i="31" s="1"/>
  <c r="EI272" i="31" s="1"/>
  <c r="FK272" i="31" s="1"/>
  <c r="HK272" i="31"/>
  <c r="JK271" i="31"/>
  <c r="JN271" i="31" s="1"/>
  <c r="JV271" i="31" s="1"/>
  <c r="JF272" i="31" s="1"/>
  <c r="BL272" i="31"/>
  <c r="BM272" i="31"/>
  <c r="JY272" i="31" l="1"/>
  <c r="JW272" i="31"/>
  <c r="JM271" i="31"/>
  <c r="KD271" i="31" s="1"/>
  <c r="IL272" i="31" s="1"/>
  <c r="BN272" i="31"/>
  <c r="BO272" i="31"/>
  <c r="JZ271" i="31"/>
  <c r="KF271" i="31" s="1"/>
  <c r="IQ272" i="31" s="1"/>
  <c r="JL271" i="31"/>
  <c r="JJ272" i="31" s="1"/>
  <c r="KA272" i="31"/>
  <c r="EZ271" i="31"/>
  <c r="DG271" i="31"/>
  <c r="DH271" i="31" s="1"/>
  <c r="DI272" i="31" s="1"/>
  <c r="EE271" i="31"/>
  <c r="EF272" i="31" s="1"/>
  <c r="EJ271" i="31"/>
  <c r="EK272" i="31" s="1"/>
  <c r="ED271" i="31"/>
  <c r="EB272" i="31" s="1"/>
  <c r="EL272" i="31" l="1"/>
  <c r="FC272" i="31"/>
  <c r="EP272" i="31"/>
  <c r="ET273" i="31" s="1"/>
  <c r="EO272" i="31"/>
  <c r="ES273" i="31" s="1"/>
  <c r="EV272" i="31"/>
  <c r="HZ272" i="31"/>
  <c r="JC272" i="31"/>
  <c r="JD272" i="31"/>
  <c r="IO272" i="31"/>
  <c r="IP272" i="31"/>
  <c r="GZ272" i="31"/>
  <c r="IE272" i="31" s="1"/>
  <c r="DJ272" i="31"/>
  <c r="DK272" i="31" s="1"/>
  <c r="BP272" i="31"/>
  <c r="BQ272" i="31" s="1"/>
  <c r="JO272" i="31"/>
  <c r="JA272" i="31"/>
  <c r="IY272" i="31"/>
  <c r="JE272" i="31"/>
  <c r="JX272" i="31" s="1"/>
  <c r="IR272" i="31"/>
  <c r="DP272" i="31"/>
  <c r="BR272" i="31" l="1"/>
  <c r="BS272" i="31"/>
  <c r="BT272" i="31" s="1"/>
  <c r="KG272" i="31"/>
  <c r="JP272" i="31"/>
  <c r="JQ272" i="31" s="1"/>
  <c r="DX272" i="31"/>
  <c r="FQ272" i="31"/>
  <c r="DM272" i="31"/>
  <c r="EC272" i="31"/>
  <c r="BU272" i="31" l="1"/>
  <c r="BV272" i="31" s="1"/>
  <c r="EX272" i="31"/>
  <c r="M272" i="31" s="1"/>
  <c r="FB272" i="31"/>
  <c r="DL272" i="31"/>
  <c r="L273" i="31"/>
  <c r="BW272" i="31" l="1"/>
  <c r="MJ272" i="31"/>
  <c r="NS272" i="31" s="1"/>
  <c r="MB272" i="31"/>
  <c r="NM272" i="31" l="1"/>
  <c r="NN272" i="31" s="1"/>
  <c r="BX272" i="31"/>
  <c r="BY272" i="31"/>
  <c r="NT272" i="31"/>
  <c r="OU273" i="31"/>
  <c r="OV273" i="31" l="1"/>
  <c r="NW272" i="31"/>
  <c r="NX272" i="31" s="1"/>
  <c r="CA272" i="31"/>
  <c r="BZ272" i="31"/>
  <c r="FV272" i="31"/>
  <c r="CX272" i="31"/>
  <c r="FR272" i="31"/>
  <c r="NU272" i="31"/>
  <c r="CB272" i="31" l="1"/>
  <c r="CC272" i="31" s="1"/>
  <c r="NZ272" i="31"/>
  <c r="MY272" i="31"/>
  <c r="CY273" i="31"/>
  <c r="NV272" i="31"/>
  <c r="NY272" i="31"/>
  <c r="OF272" i="31"/>
  <c r="OS273" i="31" s="1"/>
  <c r="CD272" i="31" l="1"/>
  <c r="CE272" i="31"/>
  <c r="CF272" i="31" s="1"/>
  <c r="MZ273" i="31"/>
  <c r="OZ272" i="31"/>
  <c r="OB272" i="31"/>
  <c r="OT273" i="31" s="1"/>
  <c r="OO273" i="31"/>
  <c r="OM273" i="31"/>
  <c r="NF273" i="31"/>
  <c r="OI272" i="31"/>
  <c r="OA272" i="31"/>
  <c r="MV273" i="31" s="1"/>
  <c r="CG272" i="31" l="1"/>
  <c r="CH272" i="31" s="1"/>
  <c r="KT273" i="31"/>
  <c r="OG273" i="31"/>
  <c r="PA272" i="31"/>
  <c r="OC272" i="31"/>
  <c r="OD273" i="31" s="1"/>
  <c r="OH273" i="31" s="1"/>
  <c r="OJ272" i="31"/>
  <c r="OX273" i="31"/>
  <c r="OW272" i="31"/>
  <c r="MR273" i="31"/>
  <c r="OK273" i="31" l="1"/>
  <c r="CI272" i="31"/>
  <c r="CJ272" i="31" s="1"/>
  <c r="CO272" i="31" s="1"/>
  <c r="MS273" i="31"/>
  <c r="MW273" i="31"/>
  <c r="OY273" i="31"/>
  <c r="KM273" i="31"/>
  <c r="KO274" i="31" s="1"/>
  <c r="KL273" i="31"/>
  <c r="KN274" i="31" s="1"/>
  <c r="CK272" i="31" l="1"/>
  <c r="CM272" i="31" s="1"/>
  <c r="CN272" i="31" s="1"/>
  <c r="KP274" i="31"/>
  <c r="KR273" i="31"/>
  <c r="KQ273" i="31"/>
  <c r="MX273" i="31"/>
  <c r="MT273" i="31"/>
  <c r="MO273" i="31"/>
  <c r="MU273" i="31"/>
  <c r="NP273" i="31"/>
  <c r="NJ273" i="31"/>
  <c r="NQ273" i="31"/>
  <c r="NH274" i="31"/>
  <c r="NI274" i="31" s="1"/>
  <c r="PE273" i="31"/>
  <c r="NR273" i="31" l="1"/>
  <c r="CL272" i="31"/>
  <c r="CP272" i="31" s="1"/>
  <c r="KS273" i="31"/>
  <c r="NB273" i="31"/>
  <c r="NA273" i="31"/>
  <c r="NK273" i="31"/>
  <c r="NL273" i="31"/>
  <c r="NG274" i="31"/>
  <c r="OQ274" i="31"/>
  <c r="KX272" i="31" l="1"/>
  <c r="KU272" i="31"/>
  <c r="FE272" i="31"/>
  <c r="FF272" i="31" s="1"/>
  <c r="HW272" i="31" s="1"/>
  <c r="HX273" i="31" s="1"/>
  <c r="DQ272" i="31"/>
  <c r="DR272" i="31" s="1"/>
  <c r="DS272" i="31" s="1"/>
  <c r="AX272" i="31" s="1"/>
  <c r="AY273" i="31" s="1"/>
  <c r="FP272" i="31"/>
  <c r="FS272" i="31" s="1"/>
  <c r="HA272" i="31" s="1"/>
  <c r="FH272" i="31"/>
  <c r="FI272" i="31" s="1"/>
  <c r="FJ273" i="31" s="1"/>
  <c r="FZ272" i="31"/>
  <c r="GA272" i="31" s="1"/>
  <c r="GO272" i="31"/>
  <c r="HO272" i="31"/>
  <c r="IA272" i="31" s="1"/>
  <c r="IB272" i="31" s="1"/>
  <c r="FU272" i="31"/>
  <c r="FW272" i="31" s="1"/>
  <c r="CQ272" i="31"/>
  <c r="CR272" i="31" s="1"/>
  <c r="GB272" i="31"/>
  <c r="GC272" i="31" s="1"/>
  <c r="JR272" i="31"/>
  <c r="JS272" i="31" s="1"/>
  <c r="JT273" i="31" s="1"/>
  <c r="FX272" i="31"/>
  <c r="FY272" i="31" s="1"/>
  <c r="EN272" i="31"/>
  <c r="ER273" i="31" s="1"/>
  <c r="OR274" i="31"/>
  <c r="NC274" i="31"/>
  <c r="MQ274" i="31"/>
  <c r="HP272" i="31" l="1"/>
  <c r="HT272" i="31" s="1"/>
  <c r="GN272" i="31"/>
  <c r="KV272" i="31" s="1"/>
  <c r="EM272" i="31"/>
  <c r="EW272" i="31" s="1"/>
  <c r="CT272" i="31"/>
  <c r="DY272" i="31"/>
  <c r="HY272" i="31"/>
  <c r="IZ272" i="31"/>
  <c r="HU272" i="31"/>
  <c r="HV273" i="31" s="1"/>
  <c r="FG273" i="31"/>
  <c r="JU272" i="31"/>
  <c r="KE272" i="31"/>
  <c r="CS272" i="31"/>
  <c r="BB273" i="31"/>
  <c r="BC273" i="31" s="1"/>
  <c r="EQ272" i="31"/>
  <c r="KC272" i="31"/>
  <c r="AZ272" i="31"/>
  <c r="DW272" i="31"/>
  <c r="DU273" i="31" s="1"/>
  <c r="IU272" i="31"/>
  <c r="EU273" i="31"/>
  <c r="HS272" i="31" l="1"/>
  <c r="JG272" i="31" s="1"/>
  <c r="GQ272" i="31"/>
  <c r="KW273" i="31"/>
  <c r="HQ272" i="31"/>
  <c r="HR273" i="31" s="1"/>
  <c r="IV272" i="31"/>
  <c r="IW272" i="31"/>
  <c r="IC272" i="31"/>
  <c r="ID272" i="31" s="1"/>
  <c r="IF272" i="31" s="1"/>
  <c r="KH272" i="31" s="1"/>
  <c r="JB272" i="31"/>
  <c r="BD273" i="31"/>
  <c r="BE273" i="31"/>
  <c r="IX272" i="31" l="1"/>
  <c r="KB272" i="31"/>
  <c r="KK272" i="31"/>
  <c r="GM272" i="31"/>
  <c r="IM272" i="31"/>
  <c r="IN272" i="31"/>
  <c r="KI273" i="31"/>
  <c r="KJ273" i="31" s="1"/>
  <c r="DF272" i="31"/>
  <c r="DB272" i="31"/>
  <c r="DC272" i="31" s="1"/>
  <c r="DD273" i="31" s="1"/>
  <c r="DE274" i="31" s="1"/>
  <c r="BF273" i="31"/>
  <c r="BG273" i="31"/>
  <c r="GT274" i="31" l="1"/>
  <c r="FD272" i="31"/>
  <c r="GV272" i="31"/>
  <c r="GU272" i="31"/>
  <c r="DT272" i="31"/>
  <c r="DZ272" i="31" s="1"/>
  <c r="GR272" i="31"/>
  <c r="BI273" i="31"/>
  <c r="BK273" i="31" s="1"/>
  <c r="BH273" i="31"/>
  <c r="GS272" i="31" l="1"/>
  <c r="IS272" i="31"/>
  <c r="FL273" i="31"/>
  <c r="FM273" i="31" s="1"/>
  <c r="BJ273" i="31"/>
  <c r="BL273" i="31"/>
  <c r="BM273" i="31"/>
  <c r="JH272" i="31" l="1"/>
  <c r="JI272" i="31" s="1"/>
  <c r="JK272" i="31" s="1"/>
  <c r="JM272" i="31" s="1"/>
  <c r="KD272" i="31" s="1"/>
  <c r="IL273" i="31" s="1"/>
  <c r="IT272" i="31"/>
  <c r="GW272" i="31"/>
  <c r="HC272" i="31" s="1"/>
  <c r="FA273" i="31" s="1"/>
  <c r="HB273" i="31" s="1"/>
  <c r="GX272" i="31"/>
  <c r="GY272" i="31"/>
  <c r="BN273" i="31"/>
  <c r="BO273" i="31"/>
  <c r="JN272" i="31" l="1"/>
  <c r="JV272" i="31" s="1"/>
  <c r="JF273" i="31" s="1"/>
  <c r="JY273" i="31" s="1"/>
  <c r="JZ272" i="31"/>
  <c r="KF272" i="31" s="1"/>
  <c r="IQ273" i="31" s="1"/>
  <c r="IR273" i="31" s="1"/>
  <c r="KA273" i="31"/>
  <c r="HZ273" i="31" s="1"/>
  <c r="JL272" i="31"/>
  <c r="JJ273" i="31" s="1"/>
  <c r="EG272" i="31"/>
  <c r="EH273" i="31" s="1"/>
  <c r="EI273" i="31" s="1"/>
  <c r="FK273" i="31" s="1"/>
  <c r="HK273" i="31"/>
  <c r="EY272" i="31"/>
  <c r="HM272" i="31"/>
  <c r="BP273" i="31"/>
  <c r="BQ273" i="31" s="1"/>
  <c r="JO273" i="31" l="1"/>
  <c r="JE273" i="31"/>
  <c r="JW273" i="31"/>
  <c r="EJ272" i="31"/>
  <c r="EK273" i="31" s="1"/>
  <c r="EE272" i="31"/>
  <c r="EF273" i="31" s="1"/>
  <c r="ED272" i="31"/>
  <c r="EB273" i="31" s="1"/>
  <c r="EZ272" i="31"/>
  <c r="DG272" i="31"/>
  <c r="DH272" i="31" s="1"/>
  <c r="DI273" i="31" s="1"/>
  <c r="BS273" i="31"/>
  <c r="BR273" i="31"/>
  <c r="BT273" i="31" l="1"/>
  <c r="DP273" i="31"/>
  <c r="JA273" i="31"/>
  <c r="FC273" i="31"/>
  <c r="EL273" i="31"/>
  <c r="IY273" i="31"/>
  <c r="EV273" i="31"/>
  <c r="EP273" i="31"/>
  <c r="ET274" i="31" s="1"/>
  <c r="EO273" i="31"/>
  <c r="ES274" i="31" s="1"/>
  <c r="BU273" i="31"/>
  <c r="DJ273" i="31"/>
  <c r="DK273" i="31" s="1"/>
  <c r="IO273" i="31"/>
  <c r="IP273" i="31"/>
  <c r="GZ273" i="31"/>
  <c r="JD273" i="31"/>
  <c r="JC273" i="31"/>
  <c r="JP273" i="31" l="1"/>
  <c r="JQ273" i="31" s="1"/>
  <c r="JX273" i="31"/>
  <c r="EC273" i="31"/>
  <c r="IE273" i="31"/>
  <c r="KG273" i="31"/>
  <c r="BV273" i="31"/>
  <c r="BW273" i="31" s="1"/>
  <c r="DM273" i="31"/>
  <c r="DX273" i="31"/>
  <c r="FQ273" i="31"/>
  <c r="BY273" i="31" l="1"/>
  <c r="BX273" i="31"/>
  <c r="L274" i="31"/>
  <c r="DL273" i="31"/>
  <c r="FB273" i="31"/>
  <c r="EX273" i="31"/>
  <c r="M273" i="31" s="1"/>
  <c r="MJ273" i="31" l="1"/>
  <c r="NS273" i="31" s="1"/>
  <c r="MB273" i="31"/>
  <c r="BZ273" i="31"/>
  <c r="CA273" i="31"/>
  <c r="NM273" i="31" l="1"/>
  <c r="NN273" i="31" s="1"/>
  <c r="NT273" i="31"/>
  <c r="OU274" i="31"/>
  <c r="CB273" i="31"/>
  <c r="CC273" i="31" s="1"/>
  <c r="CD273" i="31" l="1"/>
  <c r="CE273" i="31"/>
  <c r="CF273" i="31" s="1"/>
  <c r="NW273" i="31"/>
  <c r="NX273" i="31" s="1"/>
  <c r="OF273" i="31" s="1"/>
  <c r="OS274" i="31" s="1"/>
  <c r="OV274" i="31"/>
  <c r="FR273" i="31"/>
  <c r="CX273" i="31"/>
  <c r="FV273" i="31"/>
  <c r="NU273" i="31"/>
  <c r="NV273" i="31" s="1"/>
  <c r="CG273" i="31" l="1"/>
  <c r="CH273" i="31" s="1"/>
  <c r="CI273" i="31" s="1"/>
  <c r="MY273" i="31"/>
  <c r="CY274" i="31"/>
  <c r="NZ273" i="31"/>
  <c r="NY273" i="31"/>
  <c r="OB273" i="31" l="1"/>
  <c r="OT274" i="31" s="1"/>
  <c r="OA273" i="31"/>
  <c r="MV274" i="31" s="1"/>
  <c r="OI273" i="31"/>
  <c r="NF274" i="31"/>
  <c r="OO274" i="31"/>
  <c r="OM274" i="31"/>
  <c r="OZ273" i="31"/>
  <c r="MZ274" i="31"/>
  <c r="CJ273" i="31"/>
  <c r="CO273" i="31" s="1"/>
  <c r="CK273" i="31"/>
  <c r="OJ273" i="31" l="1"/>
  <c r="MW274" i="31" s="1"/>
  <c r="MX274" i="31" s="1"/>
  <c r="NA274" i="31" s="1"/>
  <c r="OC273" i="31"/>
  <c r="OD274" i="31" s="1"/>
  <c r="OH274" i="31" s="1"/>
  <c r="KT274" i="31"/>
  <c r="OG274" i="31"/>
  <c r="CL273" i="31"/>
  <c r="CM273" i="31"/>
  <c r="CN273" i="31" s="1"/>
  <c r="PA273" i="31"/>
  <c r="OW273" i="31"/>
  <c r="OX274" i="31"/>
  <c r="MR274" i="31"/>
  <c r="MS274" i="31" s="1"/>
  <c r="OY274" i="31" l="1"/>
  <c r="OK274" i="31"/>
  <c r="NB274" i="31"/>
  <c r="CP273" i="31"/>
  <c r="MT274" i="31"/>
  <c r="NH275" i="31"/>
  <c r="NI275" i="31" s="1"/>
  <c r="NJ274" i="31"/>
  <c r="NQ274" i="31"/>
  <c r="NP274" i="31"/>
  <c r="MU274" i="31"/>
  <c r="MO274" i="31"/>
  <c r="PE274" i="31"/>
  <c r="KL274" i="31"/>
  <c r="KN275" i="31" s="1"/>
  <c r="KQ274" i="31" s="1"/>
  <c r="KM274" i="31"/>
  <c r="KO275" i="31" s="1"/>
  <c r="NR274" i="31" l="1"/>
  <c r="OQ275" i="31"/>
  <c r="OR275" i="31" s="1"/>
  <c r="NK274" i="31"/>
  <c r="NG275" i="31"/>
  <c r="NL274" i="31"/>
  <c r="KR274" i="31"/>
  <c r="KS274" i="31" s="1"/>
  <c r="KP275" i="31"/>
  <c r="FX273" i="31"/>
  <c r="FY273" i="31" s="1"/>
  <c r="JR273" i="31"/>
  <c r="JS273" i="31" s="1"/>
  <c r="KX273" i="31"/>
  <c r="GN273" i="31" s="1"/>
  <c r="GB273" i="31"/>
  <c r="GC273" i="31" s="1"/>
  <c r="HO273" i="31"/>
  <c r="FH273" i="31"/>
  <c r="FI273" i="31" s="1"/>
  <c r="FZ273" i="31"/>
  <c r="GA273" i="31" s="1"/>
  <c r="CQ273" i="31"/>
  <c r="GO273" i="31"/>
  <c r="KU273" i="31"/>
  <c r="DQ273" i="31"/>
  <c r="DR273" i="31" s="1"/>
  <c r="DS273" i="31" s="1"/>
  <c r="AX273" i="31" s="1"/>
  <c r="AY274" i="31" s="1"/>
  <c r="FP273" i="31"/>
  <c r="FS273" i="31" s="1"/>
  <c r="FE273" i="31"/>
  <c r="FF273" i="31" s="1"/>
  <c r="FU273" i="31"/>
  <c r="FW273" i="31" s="1"/>
  <c r="CT273" i="31" l="1"/>
  <c r="CS273" i="31"/>
  <c r="CR273" i="31"/>
  <c r="HU273" i="31"/>
  <c r="HV274" i="31" s="1"/>
  <c r="FJ274" i="31"/>
  <c r="HW273" i="31"/>
  <c r="HX274" i="31" s="1"/>
  <c r="FG274" i="31"/>
  <c r="NC275" i="31"/>
  <c r="MQ275" i="31"/>
  <c r="IA273" i="31"/>
  <c r="IB273" i="31" s="1"/>
  <c r="HP273" i="31"/>
  <c r="IZ273" i="31"/>
  <c r="HY273" i="31"/>
  <c r="HA273" i="31"/>
  <c r="DY273" i="31"/>
  <c r="KV273" i="31"/>
  <c r="GQ273" i="31"/>
  <c r="EM273" i="31"/>
  <c r="EW273" i="31" s="1"/>
  <c r="EN273" i="31"/>
  <c r="AZ273" i="31"/>
  <c r="KE273" i="31"/>
  <c r="JT274" i="31"/>
  <c r="KC273" i="31"/>
  <c r="JU273" i="31"/>
  <c r="KW274" i="31" l="1"/>
  <c r="HQ273" i="31"/>
  <c r="HR274" i="31" s="1"/>
  <c r="EQ273" i="31"/>
  <c r="BB274" i="31"/>
  <c r="BC274" i="31" s="1"/>
  <c r="BD274" i="31" s="1"/>
  <c r="DW273" i="31"/>
  <c r="DU274" i="31" s="1"/>
  <c r="ER274" i="31"/>
  <c r="EU274" i="31" s="1"/>
  <c r="IU273" i="31"/>
  <c r="IV273" i="31" s="1"/>
  <c r="HS273" i="31"/>
  <c r="JG273" i="31" s="1"/>
  <c r="HT273" i="31"/>
  <c r="IW273" i="31" l="1"/>
  <c r="KB273" i="31" s="1"/>
  <c r="BE274" i="31"/>
  <c r="BG274" i="31" s="1"/>
  <c r="JB273" i="31"/>
  <c r="IC273" i="31"/>
  <c r="ID273" i="31" s="1"/>
  <c r="IF273" i="31" s="1"/>
  <c r="KH273" i="31" s="1"/>
  <c r="KK273" i="31"/>
  <c r="IX273" i="31"/>
  <c r="BF274" i="31"/>
  <c r="IM273" i="31" l="1"/>
  <c r="KI274" i="31"/>
  <c r="KJ274" i="31" s="1"/>
  <c r="DF273" i="31"/>
  <c r="IN273" i="31"/>
  <c r="GM273" i="31"/>
  <c r="DB273" i="31"/>
  <c r="DC273" i="31" s="1"/>
  <c r="DD274" i="31" s="1"/>
  <c r="DE275" i="31" s="1"/>
  <c r="BH274" i="31"/>
  <c r="BI274" i="31"/>
  <c r="BK274" i="31" s="1"/>
  <c r="DT273" i="31" l="1"/>
  <c r="DZ273" i="31" s="1"/>
  <c r="GT275" i="31"/>
  <c r="GR273" i="31"/>
  <c r="FD273" i="31"/>
  <c r="GV273" i="31"/>
  <c r="GU273" i="31"/>
  <c r="BJ274" i="31"/>
  <c r="BL274" i="31"/>
  <c r="BM274" i="31"/>
  <c r="GS273" i="31" l="1"/>
  <c r="FL274" i="31"/>
  <c r="FM274" i="31" s="1"/>
  <c r="IS273" i="31"/>
  <c r="BN274" i="31"/>
  <c r="BO274" i="31"/>
  <c r="JH273" i="31" l="1"/>
  <c r="JI273" i="31" s="1"/>
  <c r="IT273" i="31"/>
  <c r="GY273" i="31"/>
  <c r="GX273" i="31"/>
  <c r="GW273" i="31"/>
  <c r="HC273" i="31" s="1"/>
  <c r="FA274" i="31" s="1"/>
  <c r="HB274" i="31" s="1"/>
  <c r="BP274" i="31"/>
  <c r="BQ274" i="31" s="1"/>
  <c r="EG273" i="31" l="1"/>
  <c r="EH274" i="31" s="1"/>
  <c r="EI274" i="31" s="1"/>
  <c r="FK274" i="31" s="1"/>
  <c r="HM273" i="31"/>
  <c r="EY273" i="31"/>
  <c r="HK274" i="31"/>
  <c r="JK273" i="31"/>
  <c r="JN273" i="31" s="1"/>
  <c r="JV273" i="31" s="1"/>
  <c r="JF274" i="31" s="1"/>
  <c r="BR274" i="31"/>
  <c r="BS274" i="31"/>
  <c r="JW274" i="31" l="1"/>
  <c r="JY274" i="31"/>
  <c r="DG273" i="31"/>
  <c r="DH273" i="31" s="1"/>
  <c r="DI274" i="31" s="1"/>
  <c r="EZ273" i="31"/>
  <c r="JZ273" i="31"/>
  <c r="KF273" i="31" s="1"/>
  <c r="IQ274" i="31" s="1"/>
  <c r="JL273" i="31"/>
  <c r="JJ274" i="31" s="1"/>
  <c r="KA274" i="31"/>
  <c r="HZ274" i="31" s="1"/>
  <c r="EE273" i="31"/>
  <c r="EF274" i="31" s="1"/>
  <c r="EJ273" i="31"/>
  <c r="EK274" i="31" s="1"/>
  <c r="ED273" i="31"/>
  <c r="EB274" i="31" s="1"/>
  <c r="JM273" i="31"/>
  <c r="KD273" i="31" s="1"/>
  <c r="IL274" i="31" s="1"/>
  <c r="BT274" i="31"/>
  <c r="BU274" i="31"/>
  <c r="DP274" i="31" l="1"/>
  <c r="JE274" i="31"/>
  <c r="JO274" i="31"/>
  <c r="IY274" i="31"/>
  <c r="DJ274" i="31"/>
  <c r="DK274" i="31" s="1"/>
  <c r="GZ274" i="31"/>
  <c r="IE274" i="31" s="1"/>
  <c r="JA274" i="31"/>
  <c r="FC274" i="31"/>
  <c r="EP274" i="31"/>
  <c r="ET275" i="31" s="1"/>
  <c r="EL274" i="31"/>
  <c r="EV274" i="31"/>
  <c r="EO274" i="31"/>
  <c r="ES275" i="31" s="1"/>
  <c r="IR274" i="31"/>
  <c r="IO274" i="31"/>
  <c r="IP274" i="31"/>
  <c r="JC274" i="31"/>
  <c r="JD274" i="31"/>
  <c r="BV274" i="31"/>
  <c r="BW274" i="31" s="1"/>
  <c r="JP274" i="31" l="1"/>
  <c r="JQ274" i="31" s="1"/>
  <c r="KG274" i="31"/>
  <c r="BX274" i="31"/>
  <c r="BY274" i="31"/>
  <c r="DM274" i="31"/>
  <c r="FQ274" i="31"/>
  <c r="DX274" i="31"/>
  <c r="JX274" i="31"/>
  <c r="EC274" i="31"/>
  <c r="BZ274" i="31" l="1"/>
  <c r="CA274" i="31"/>
  <c r="EX274" i="31"/>
  <c r="M274" i="31" s="1"/>
  <c r="FB274" i="31"/>
  <c r="DL274" i="31"/>
  <c r="L275" i="31"/>
  <c r="CB274" i="31" l="1"/>
  <c r="CC274" i="31" s="1"/>
  <c r="MJ274" i="31"/>
  <c r="NS274" i="31" s="1"/>
  <c r="MB274" i="31"/>
  <c r="NM274" i="31" s="1"/>
  <c r="NN274" i="31" s="1"/>
  <c r="CD274" i="31" l="1"/>
  <c r="CE274" i="31"/>
  <c r="NW274" i="31"/>
  <c r="OV275" i="31"/>
  <c r="NT274" i="31"/>
  <c r="OU275" i="31"/>
  <c r="CF274" i="31" l="1"/>
  <c r="CG274" i="31"/>
  <c r="CH274" i="31" s="1"/>
  <c r="CI274" i="31" s="1"/>
  <c r="CK274" i="31" s="1"/>
  <c r="CM274" i="31" s="1"/>
  <c r="CN274" i="31" s="1"/>
  <c r="FV274" i="31"/>
  <c r="CX274" i="31"/>
  <c r="NU274" i="31"/>
  <c r="NV274" i="31" s="1"/>
  <c r="FR274" i="31"/>
  <c r="NX274" i="31"/>
  <c r="OF274" i="31" s="1"/>
  <c r="OS275" i="31" s="1"/>
  <c r="CJ274" i="31" l="1"/>
  <c r="CO274" i="31" s="1"/>
  <c r="NY274" i="31"/>
  <c r="CY275" i="31"/>
  <c r="NZ274" i="31"/>
  <c r="MY274" i="31"/>
  <c r="CL274" i="31" l="1"/>
  <c r="CP274" i="31" s="1"/>
  <c r="GB274" i="31" s="1"/>
  <c r="GC274" i="31" s="1"/>
  <c r="OA274" i="31"/>
  <c r="MV275" i="31" s="1"/>
  <c r="OG275" i="31" s="1"/>
  <c r="MZ275" i="31"/>
  <c r="OZ274" i="31"/>
  <c r="OO275" i="31"/>
  <c r="NF275" i="31"/>
  <c r="OM275" i="31"/>
  <c r="OI274" i="31"/>
  <c r="OB274" i="31"/>
  <c r="OT275" i="31" s="1"/>
  <c r="FE274" i="31" l="1"/>
  <c r="FF274" i="31" s="1"/>
  <c r="FG275" i="31" s="1"/>
  <c r="FP274" i="31"/>
  <c r="FS274" i="31" s="1"/>
  <c r="HA274" i="31" s="1"/>
  <c r="CQ274" i="31"/>
  <c r="CS274" i="31" s="1"/>
  <c r="KX274" i="31"/>
  <c r="GN274" i="31" s="1"/>
  <c r="GO274" i="31"/>
  <c r="HO274" i="31"/>
  <c r="IA274" i="31" s="1"/>
  <c r="IB274" i="31" s="1"/>
  <c r="FH274" i="31"/>
  <c r="FI274" i="31" s="1"/>
  <c r="FJ275" i="31" s="1"/>
  <c r="FU274" i="31"/>
  <c r="FW274" i="31" s="1"/>
  <c r="KU274" i="31"/>
  <c r="FX274" i="31"/>
  <c r="FY274" i="31" s="1"/>
  <c r="FZ274" i="31"/>
  <c r="GA274" i="31" s="1"/>
  <c r="DQ274" i="31"/>
  <c r="DR274" i="31" s="1"/>
  <c r="DS274" i="31" s="1"/>
  <c r="AX274" i="31" s="1"/>
  <c r="AY275" i="31" s="1"/>
  <c r="JR274" i="31"/>
  <c r="JS274" i="31" s="1"/>
  <c r="KE274" i="31" s="1"/>
  <c r="KT275" i="31"/>
  <c r="KM275" i="31" s="1"/>
  <c r="KO276" i="31" s="1"/>
  <c r="OX275" i="31"/>
  <c r="OW274" i="31"/>
  <c r="MR275" i="31"/>
  <c r="MS275" i="31" s="1"/>
  <c r="PA274" i="31"/>
  <c r="OC274" i="31"/>
  <c r="OD275" i="31" s="1"/>
  <c r="OH275" i="31" s="1"/>
  <c r="OK275" i="31" s="1"/>
  <c r="OJ274" i="31"/>
  <c r="KV274" i="31"/>
  <c r="HW274" i="31" l="1"/>
  <c r="HX275" i="31" s="1"/>
  <c r="GQ274" i="31"/>
  <c r="HY274" i="31"/>
  <c r="CR274" i="31"/>
  <c r="CT274" i="31"/>
  <c r="KW275" i="31"/>
  <c r="HQ274" i="31"/>
  <c r="HR275" i="31" s="1"/>
  <c r="DY274" i="31"/>
  <c r="JT275" i="31"/>
  <c r="JU274" i="31"/>
  <c r="KC274" i="31"/>
  <c r="HU274" i="31"/>
  <c r="HV275" i="31" s="1"/>
  <c r="IZ274" i="31"/>
  <c r="HP274" i="31"/>
  <c r="HS274" i="31" s="1"/>
  <c r="JG274" i="31" s="1"/>
  <c r="KL275" i="31"/>
  <c r="KN276" i="31" s="1"/>
  <c r="KQ275" i="31" s="1"/>
  <c r="NQ275" i="31"/>
  <c r="NP275" i="31"/>
  <c r="NH276" i="31"/>
  <c r="NI276" i="31" s="1"/>
  <c r="MO275" i="31"/>
  <c r="PE275" i="31"/>
  <c r="MU275" i="31"/>
  <c r="MT275" i="31"/>
  <c r="NJ275" i="31"/>
  <c r="MW275" i="31"/>
  <c r="MX275" i="31" s="1"/>
  <c r="OY275" i="31"/>
  <c r="KR275" i="31"/>
  <c r="EM274" i="31"/>
  <c r="EW274" i="31" s="1"/>
  <c r="AZ274" i="31"/>
  <c r="EN274" i="31"/>
  <c r="HT274" i="31" l="1"/>
  <c r="IC274" i="31" s="1"/>
  <c r="ID274" i="31" s="1"/>
  <c r="IF274" i="31" s="1"/>
  <c r="KH274" i="31" s="1"/>
  <c r="KS275" i="31"/>
  <c r="KP276" i="31"/>
  <c r="NR275" i="31"/>
  <c r="OQ276" i="31"/>
  <c r="OR276" i="31" s="1"/>
  <c r="NL275" i="31"/>
  <c r="NG276" i="31"/>
  <c r="NK275" i="31"/>
  <c r="NA275" i="31"/>
  <c r="NB275" i="31"/>
  <c r="BB275" i="31"/>
  <c r="DW274" i="31"/>
  <c r="DU275" i="31" s="1"/>
  <c r="EQ274" i="31"/>
  <c r="ER275" i="31"/>
  <c r="IU274" i="31"/>
  <c r="IV274" i="31" s="1"/>
  <c r="JB274" i="31" l="1"/>
  <c r="IW274" i="31"/>
  <c r="KB274" i="31" s="1"/>
  <c r="NC276" i="31"/>
  <c r="MQ276" i="31"/>
  <c r="IX274" i="31"/>
  <c r="KK274" i="31"/>
  <c r="EU275" i="31"/>
  <c r="DB274" i="31"/>
  <c r="DC274" i="31" s="1"/>
  <c r="DD275" i="31" s="1"/>
  <c r="DE276" i="31" s="1"/>
  <c r="GM274" i="31"/>
  <c r="IM274" i="31"/>
  <c r="KI275" i="31"/>
  <c r="IN274" i="31"/>
  <c r="DF274" i="31"/>
  <c r="BC275" i="31"/>
  <c r="GT276" i="31" l="1"/>
  <c r="DT274" i="31"/>
  <c r="DZ274" i="31" s="1"/>
  <c r="GU274" i="31"/>
  <c r="FD274" i="31"/>
  <c r="GV274" i="31"/>
  <c r="KJ275" i="31"/>
  <c r="GR274" i="31"/>
  <c r="BE275" i="31"/>
  <c r="BD275" i="31"/>
  <c r="IS274" i="31" l="1"/>
  <c r="FL275" i="31"/>
  <c r="BF275" i="31"/>
  <c r="BG275" i="31"/>
  <c r="GS274" i="31"/>
  <c r="BH275" i="31" l="1"/>
  <c r="BI275" i="31"/>
  <c r="BK275" i="31" s="1"/>
  <c r="FM275" i="31"/>
  <c r="GY274" i="31"/>
  <c r="GX274" i="31"/>
  <c r="GW274" i="31"/>
  <c r="HC274" i="31" s="1"/>
  <c r="FA275" i="31" s="1"/>
  <c r="HB275" i="31" s="1"/>
  <c r="JH274" i="31"/>
  <c r="JI274" i="31" s="1"/>
  <c r="IT274" i="31"/>
  <c r="BJ275" i="31" l="1"/>
  <c r="JK274" i="31"/>
  <c r="JN274" i="31" s="1"/>
  <c r="JV274" i="31" s="1"/>
  <c r="JF275" i="31" s="1"/>
  <c r="BL275" i="31"/>
  <c r="BM275" i="31"/>
  <c r="EG274" i="31"/>
  <c r="EH275" i="31" s="1"/>
  <c r="EI275" i="31" s="1"/>
  <c r="FK275" i="31" s="1"/>
  <c r="EY274" i="31"/>
  <c r="HM274" i="31"/>
  <c r="HK275" i="31"/>
  <c r="JM274" i="31" l="1"/>
  <c r="KD274" i="31" s="1"/>
  <c r="IL275" i="31" s="1"/>
  <c r="BN275" i="31"/>
  <c r="BO275" i="31"/>
  <c r="EE274" i="31"/>
  <c r="EF275" i="31" s="1"/>
  <c r="EJ274" i="31"/>
  <c r="EK275" i="31" s="1"/>
  <c r="ED274" i="31"/>
  <c r="EB275" i="31" s="1"/>
  <c r="JL274" i="31"/>
  <c r="JJ275" i="31" s="1"/>
  <c r="KA275" i="31"/>
  <c r="JY275" i="31"/>
  <c r="JW275" i="31"/>
  <c r="JZ274" i="31"/>
  <c r="KF274" i="31" s="1"/>
  <c r="IQ275" i="31" s="1"/>
  <c r="EZ274" i="31"/>
  <c r="DG274" i="31"/>
  <c r="DH274" i="31" s="1"/>
  <c r="DI275" i="31" s="1"/>
  <c r="IO275" i="31" l="1"/>
  <c r="IP275" i="31"/>
  <c r="HZ275" i="31"/>
  <c r="DP275" i="31"/>
  <c r="EL275" i="31"/>
  <c r="EP275" i="31"/>
  <c r="ET276" i="31" s="1"/>
  <c r="EO275" i="31"/>
  <c r="ES276" i="31" s="1"/>
  <c r="FC275" i="31"/>
  <c r="EV275" i="31"/>
  <c r="JC275" i="31"/>
  <c r="JD275" i="31"/>
  <c r="BP275" i="31"/>
  <c r="BQ275" i="31" s="1"/>
  <c r="JA275" i="31"/>
  <c r="IY275" i="31"/>
  <c r="JE275" i="31"/>
  <c r="JX275" i="31" s="1"/>
  <c r="JO275" i="31"/>
  <c r="IR275" i="31"/>
  <c r="DJ275" i="31"/>
  <c r="DK275" i="31" s="1"/>
  <c r="GZ275" i="31"/>
  <c r="IE275" i="31" s="1"/>
  <c r="JP275" i="31" l="1"/>
  <c r="JQ275" i="31" s="1"/>
  <c r="DX275" i="31"/>
  <c r="FQ275" i="31"/>
  <c r="DM275" i="31"/>
  <c r="KG275" i="31"/>
  <c r="EC275" i="31"/>
  <c r="BR275" i="31"/>
  <c r="BS275" i="31"/>
  <c r="EX275" i="31" l="1"/>
  <c r="M275" i="31" s="1"/>
  <c r="FB275" i="31"/>
  <c r="DL275" i="31"/>
  <c r="L276" i="31"/>
  <c r="BT275" i="31"/>
  <c r="BU275" i="31"/>
  <c r="MJ275" i="31" l="1"/>
  <c r="NS275" i="31" s="1"/>
  <c r="MB275" i="31"/>
  <c r="NM275" i="31" s="1"/>
  <c r="NN275" i="31" s="1"/>
  <c r="BV275" i="31"/>
  <c r="BW275" i="31" s="1"/>
  <c r="BX275" i="31" l="1"/>
  <c r="BY275" i="31"/>
  <c r="OV276" i="31"/>
  <c r="NW275" i="31"/>
  <c r="NX275" i="31" s="1"/>
  <c r="NT275" i="31"/>
  <c r="OU276" i="31"/>
  <c r="BZ275" i="31" l="1"/>
  <c r="CA275" i="31"/>
  <c r="CB275" i="31" s="1"/>
  <c r="FV275" i="31"/>
  <c r="FR275" i="31"/>
  <c r="CX275" i="31"/>
  <c r="NU275" i="31"/>
  <c r="OF275" i="31"/>
  <c r="OS276" i="31" s="1"/>
  <c r="NY275" i="31"/>
  <c r="CC275" i="31" l="1"/>
  <c r="NZ275" i="31"/>
  <c r="OA275" i="31" s="1"/>
  <c r="MV276" i="31" s="1"/>
  <c r="MY275" i="31"/>
  <c r="OI275" i="31" s="1"/>
  <c r="CY276" i="31"/>
  <c r="NV275" i="31"/>
  <c r="OB275" i="31"/>
  <c r="OT276" i="31" s="1"/>
  <c r="CD275" i="31" l="1"/>
  <c r="CE275" i="31"/>
  <c r="PA275" i="31"/>
  <c r="NF276" i="31"/>
  <c r="OM276" i="31"/>
  <c r="OO276" i="31"/>
  <c r="KT276" i="31" s="1"/>
  <c r="MZ276" i="31"/>
  <c r="OZ275" i="31"/>
  <c r="OG276" i="31"/>
  <c r="OJ275" i="31"/>
  <c r="OC275" i="31"/>
  <c r="OD276" i="31" s="1"/>
  <c r="OH276" i="31" s="1"/>
  <c r="MR276" i="31"/>
  <c r="OX276" i="31"/>
  <c r="OW275" i="31"/>
  <c r="CF275" i="31" l="1"/>
  <c r="CG275" i="31"/>
  <c r="CH275" i="31" s="1"/>
  <c r="CI275" i="31" s="1"/>
  <c r="CK275" i="31" s="1"/>
  <c r="KL276" i="31"/>
  <c r="KN277" i="31" s="1"/>
  <c r="KM276" i="31"/>
  <c r="KO277" i="31" s="1"/>
  <c r="OK276" i="31"/>
  <c r="MS276" i="31"/>
  <c r="OY276" i="31"/>
  <c r="MW276" i="31"/>
  <c r="CM275" i="31" l="1"/>
  <c r="CN275" i="31" s="1"/>
  <c r="CJ275" i="31"/>
  <c r="CO275" i="31" s="1"/>
  <c r="NH277" i="31"/>
  <c r="NI277" i="31" s="1"/>
  <c r="MT276" i="31"/>
  <c r="NP276" i="31"/>
  <c r="MO276" i="31"/>
  <c r="MU276" i="31"/>
  <c r="NJ276" i="31"/>
  <c r="NQ276" i="31"/>
  <c r="PE276" i="31"/>
  <c r="MX276" i="31"/>
  <c r="KP277" i="31"/>
  <c r="KR276" i="31"/>
  <c r="KQ276" i="31"/>
  <c r="CL275" i="31" l="1"/>
  <c r="CP275" i="31" s="1"/>
  <c r="DQ275" i="31" s="1"/>
  <c r="DR275" i="31" s="1"/>
  <c r="DS275" i="31" s="1"/>
  <c r="AX275" i="31" s="1"/>
  <c r="AY276" i="31" s="1"/>
  <c r="NR276" i="31"/>
  <c r="KS276" i="31"/>
  <c r="NK276" i="31"/>
  <c r="NL276" i="31"/>
  <c r="NG277" i="31"/>
  <c r="OQ277" i="31"/>
  <c r="NB276" i="31"/>
  <c r="NA276" i="31"/>
  <c r="GB275" i="31" l="1"/>
  <c r="GC275" i="31" s="1"/>
  <c r="CQ275" i="31"/>
  <c r="CS275" i="31" s="1"/>
  <c r="KU275" i="31"/>
  <c r="FH275" i="31"/>
  <c r="FI275" i="31" s="1"/>
  <c r="HU275" i="31" s="1"/>
  <c r="HV276" i="31" s="1"/>
  <c r="FZ275" i="31"/>
  <c r="GA275" i="31" s="1"/>
  <c r="JR275" i="31"/>
  <c r="JS275" i="31" s="1"/>
  <c r="JU275" i="31" s="1"/>
  <c r="FP275" i="31"/>
  <c r="FS275" i="31" s="1"/>
  <c r="HA275" i="31" s="1"/>
  <c r="HO275" i="31"/>
  <c r="IZ275" i="31" s="1"/>
  <c r="KX275" i="31"/>
  <c r="FE275" i="31"/>
  <c r="FF275" i="31" s="1"/>
  <c r="GO275" i="31"/>
  <c r="FX275" i="31"/>
  <c r="FY275" i="31" s="1"/>
  <c r="FU275" i="31"/>
  <c r="FW275" i="31" s="1"/>
  <c r="OR277" i="31"/>
  <c r="AZ275" i="31"/>
  <c r="EM275" i="31"/>
  <c r="EW275" i="31" s="1"/>
  <c r="EN275" i="31"/>
  <c r="NC277" i="31"/>
  <c r="MQ277" i="31"/>
  <c r="CT275" i="31" l="1"/>
  <c r="CR275" i="31"/>
  <c r="GN275" i="31"/>
  <c r="KV275" i="31" s="1"/>
  <c r="FJ276" i="31"/>
  <c r="KC275" i="31"/>
  <c r="KE275" i="31"/>
  <c r="JT276" i="31"/>
  <c r="DY275" i="31"/>
  <c r="HY275" i="31"/>
  <c r="IA275" i="31"/>
  <c r="IB275" i="31" s="1"/>
  <c r="HP275" i="31"/>
  <c r="HT275" i="31" s="1"/>
  <c r="IC275" i="31" s="1"/>
  <c r="ID275" i="31" s="1"/>
  <c r="FG276" i="31"/>
  <c r="HW275" i="31"/>
  <c r="HX276" i="31" s="1"/>
  <c r="BB276" i="31"/>
  <c r="DW275" i="31"/>
  <c r="DU276" i="31" s="1"/>
  <c r="EQ275" i="31"/>
  <c r="IW275" i="31"/>
  <c r="ER276" i="31"/>
  <c r="IU275" i="31"/>
  <c r="IV275" i="31" s="1"/>
  <c r="GQ275" i="31" l="1"/>
  <c r="KW276" i="31"/>
  <c r="HQ275" i="31"/>
  <c r="HR276" i="31" s="1"/>
  <c r="IF275" i="31"/>
  <c r="KH275" i="31" s="1"/>
  <c r="JB275" i="31"/>
  <c r="HS275" i="31"/>
  <c r="JG275" i="31" s="1"/>
  <c r="BC276" i="31"/>
  <c r="KB275" i="31"/>
  <c r="IX275" i="31"/>
  <c r="KK275" i="31"/>
  <c r="EU276" i="31"/>
  <c r="IM275" i="31" l="1"/>
  <c r="DF275" i="31"/>
  <c r="GV275" i="31" s="1"/>
  <c r="IN275" i="31"/>
  <c r="KI276" i="31"/>
  <c r="KJ276" i="31" s="1"/>
  <c r="GM275" i="31"/>
  <c r="DB275" i="31"/>
  <c r="DC275" i="31" s="1"/>
  <c r="DD276" i="31" s="1"/>
  <c r="DE277" i="31" s="1"/>
  <c r="GT277" i="31" s="1"/>
  <c r="BD276" i="31"/>
  <c r="BE276" i="31"/>
  <c r="DT275" i="31" l="1"/>
  <c r="DZ275" i="31" s="1"/>
  <c r="GU275" i="31"/>
  <c r="FD275" i="31"/>
  <c r="IS275" i="31" s="1"/>
  <c r="GR275" i="31"/>
  <c r="BG276" i="31"/>
  <c r="BF276" i="31"/>
  <c r="FL276" i="31" l="1"/>
  <c r="FM276" i="31" s="1"/>
  <c r="GS275" i="31"/>
  <c r="GW275" i="31" s="1"/>
  <c r="HC275" i="31" s="1"/>
  <c r="FA276" i="31" s="1"/>
  <c r="HB276" i="31" s="1"/>
  <c r="BI276" i="31"/>
  <c r="BK276" i="31" s="1"/>
  <c r="BH276" i="31"/>
  <c r="JH275" i="31"/>
  <c r="JI275" i="31" s="1"/>
  <c r="IT275" i="31"/>
  <c r="GX275" i="31" l="1"/>
  <c r="EY275" i="31" s="1"/>
  <c r="GY275" i="31"/>
  <c r="BL276" i="31"/>
  <c r="BM276" i="31"/>
  <c r="BJ276" i="31"/>
  <c r="JK275" i="31"/>
  <c r="JZ275" i="31" s="1"/>
  <c r="KF275" i="31" s="1"/>
  <c r="IQ276" i="31" s="1"/>
  <c r="EG275" i="31" l="1"/>
  <c r="EH276" i="31" s="1"/>
  <c r="EI276" i="31" s="1"/>
  <c r="FK276" i="31" s="1"/>
  <c r="HM275" i="31"/>
  <c r="EJ275" i="31" s="1"/>
  <c r="EK276" i="31" s="1"/>
  <c r="HK276" i="31"/>
  <c r="JN275" i="31"/>
  <c r="JV275" i="31" s="1"/>
  <c r="JF276" i="31" s="1"/>
  <c r="JL275" i="31"/>
  <c r="JJ276" i="31" s="1"/>
  <c r="KA276" i="31"/>
  <c r="EZ275" i="31"/>
  <c r="DG275" i="31"/>
  <c r="DH275" i="31" s="1"/>
  <c r="DI276" i="31" s="1"/>
  <c r="BN276" i="31"/>
  <c r="BO276" i="31"/>
  <c r="JM275" i="31"/>
  <c r="KD275" i="31" s="1"/>
  <c r="IL276" i="31" s="1"/>
  <c r="EE275" i="31" l="1"/>
  <c r="EF276" i="31" s="1"/>
  <c r="ED275" i="31"/>
  <c r="EB276" i="31" s="1"/>
  <c r="JA276" i="31" s="1"/>
  <c r="JW276" i="31"/>
  <c r="JY276" i="31"/>
  <c r="HZ276" i="31"/>
  <c r="BP276" i="31"/>
  <c r="BQ276" i="31" s="1"/>
  <c r="IP276" i="31"/>
  <c r="IO276" i="31"/>
  <c r="DJ276" i="31"/>
  <c r="DK276" i="31" s="1"/>
  <c r="JC276" i="31"/>
  <c r="JD276" i="31"/>
  <c r="EP276" i="31"/>
  <c r="ET277" i="31" s="1"/>
  <c r="IY276" i="31"/>
  <c r="JO276" i="31"/>
  <c r="IR276" i="31"/>
  <c r="JE276" i="31"/>
  <c r="DP276" i="31" l="1"/>
  <c r="EO276" i="31"/>
  <c r="ES277" i="31" s="1"/>
  <c r="EL276" i="31"/>
  <c r="JX276" i="31" s="1"/>
  <c r="FC276" i="31"/>
  <c r="EV276" i="31"/>
  <c r="GZ276" i="31"/>
  <c r="IE276" i="31" s="1"/>
  <c r="BR276" i="31"/>
  <c r="BS276" i="31"/>
  <c r="JP276" i="31"/>
  <c r="JQ276" i="31" s="1"/>
  <c r="FQ276" i="31"/>
  <c r="DX276" i="31"/>
  <c r="DM276" i="31"/>
  <c r="KG276" i="31" l="1"/>
  <c r="EC276" i="31"/>
  <c r="EX276" i="31" s="1"/>
  <c r="M276" i="31" s="1"/>
  <c r="BT276" i="31"/>
  <c r="BU276" i="31"/>
  <c r="DL276" i="31"/>
  <c r="L277" i="31"/>
  <c r="FB276" i="31" l="1"/>
  <c r="BV276" i="31"/>
  <c r="BW276" i="31" s="1"/>
  <c r="MB276" i="31"/>
  <c r="NM276" i="31" s="1"/>
  <c r="NN276" i="31" s="1"/>
  <c r="MJ276" i="31"/>
  <c r="NS276" i="31" s="1"/>
  <c r="BY276" i="31" l="1"/>
  <c r="BX276" i="31"/>
  <c r="NT276" i="31"/>
  <c r="OU277" i="31"/>
  <c r="OV277" i="31"/>
  <c r="NW276" i="31"/>
  <c r="BZ276" i="31" l="1"/>
  <c r="CA276" i="31"/>
  <c r="CB276" i="31" s="1"/>
  <c r="CC276" i="31" s="1"/>
  <c r="NX276" i="31"/>
  <c r="CX276" i="31"/>
  <c r="FV276" i="31"/>
  <c r="FR276" i="31"/>
  <c r="NU276" i="31"/>
  <c r="CD276" i="31" l="1"/>
  <c r="CE276" i="31"/>
  <c r="CF276" i="31" s="1"/>
  <c r="NY276" i="31"/>
  <c r="OF276" i="31"/>
  <c r="OS277" i="31" s="1"/>
  <c r="NV276" i="31"/>
  <c r="NZ276" i="31"/>
  <c r="MY276" i="31"/>
  <c r="CY277" i="31"/>
  <c r="CG276" i="31" l="1"/>
  <c r="CH276" i="31" s="1"/>
  <c r="CI276" i="31" s="1"/>
  <c r="OM277" i="31"/>
  <c r="OO277" i="31"/>
  <c r="NF277" i="31"/>
  <c r="OB276" i="31"/>
  <c r="OT277" i="31" s="1"/>
  <c r="MZ277" i="31"/>
  <c r="OZ276" i="31"/>
  <c r="OA276" i="31"/>
  <c r="MV277" i="31" s="1"/>
  <c r="OI276" i="31"/>
  <c r="CK276" i="31" l="1"/>
  <c r="CJ276" i="31"/>
  <c r="CO276" i="31" s="1"/>
  <c r="KT277" i="31"/>
  <c r="OG277" i="31"/>
  <c r="PA276" i="31"/>
  <c r="OC276" i="31"/>
  <c r="OD277" i="31" s="1"/>
  <c r="OH277" i="31" s="1"/>
  <c r="OJ276" i="31"/>
  <c r="OW276" i="31"/>
  <c r="OX277" i="31"/>
  <c r="MR277" i="31"/>
  <c r="CL276" i="31" l="1"/>
  <c r="CM276" i="31"/>
  <c r="CN276" i="31" s="1"/>
  <c r="OK277" i="31"/>
  <c r="MW277" i="31"/>
  <c r="OY277" i="31"/>
  <c r="MS277" i="31"/>
  <c r="KM277" i="31"/>
  <c r="KO278" i="31" s="1"/>
  <c r="KL277" i="31"/>
  <c r="KN278" i="31" s="1"/>
  <c r="CP276" i="31" l="1"/>
  <c r="GO276" i="31" s="1"/>
  <c r="KQ277" i="31"/>
  <c r="NJ277" i="31"/>
  <c r="NH278" i="31"/>
  <c r="NI278" i="31" s="1"/>
  <c r="MT277" i="31"/>
  <c r="NP277" i="31"/>
  <c r="MU277" i="31"/>
  <c r="NQ277" i="31"/>
  <c r="MO277" i="31"/>
  <c r="PE277" i="31"/>
  <c r="KP278" i="31"/>
  <c r="KR277" i="31"/>
  <c r="MX277" i="31"/>
  <c r="KU276" i="31" l="1"/>
  <c r="FP276" i="31"/>
  <c r="FS276" i="31" s="1"/>
  <c r="HY276" i="31" s="1"/>
  <c r="JR276" i="31"/>
  <c r="JS276" i="31" s="1"/>
  <c r="KE276" i="31" s="1"/>
  <c r="KX276" i="31"/>
  <c r="GN276" i="31" s="1"/>
  <c r="GQ276" i="31" s="1"/>
  <c r="FX276" i="31"/>
  <c r="FY276" i="31" s="1"/>
  <c r="GB276" i="31"/>
  <c r="GC276" i="31" s="1"/>
  <c r="FH276" i="31"/>
  <c r="FI276" i="31" s="1"/>
  <c r="HU276" i="31" s="1"/>
  <c r="HV277" i="31" s="1"/>
  <c r="HO276" i="31"/>
  <c r="IA276" i="31" s="1"/>
  <c r="IB276" i="31" s="1"/>
  <c r="FU276" i="31"/>
  <c r="FW276" i="31" s="1"/>
  <c r="FE276" i="31"/>
  <c r="FF276" i="31" s="1"/>
  <c r="HW276" i="31" s="1"/>
  <c r="HX277" i="31" s="1"/>
  <c r="FZ276" i="31"/>
  <c r="GA276" i="31" s="1"/>
  <c r="DQ276" i="31"/>
  <c r="DR276" i="31" s="1"/>
  <c r="DS276" i="31" s="1"/>
  <c r="AX276" i="31" s="1"/>
  <c r="AY277" i="31" s="1"/>
  <c r="CQ276" i="31"/>
  <c r="CS276" i="31" s="1"/>
  <c r="KS277" i="31"/>
  <c r="NR277" i="31"/>
  <c r="NB277" i="31"/>
  <c r="NA277" i="31"/>
  <c r="NL277" i="31"/>
  <c r="NK277" i="31"/>
  <c r="NG278" i="31"/>
  <c r="OQ278" i="31"/>
  <c r="DY276" i="31" l="1"/>
  <c r="JT277" i="31"/>
  <c r="JU276" i="31"/>
  <c r="KC276" i="31"/>
  <c r="HA276" i="31"/>
  <c r="KV276" i="31"/>
  <c r="KW277" i="31" s="1"/>
  <c r="FJ277" i="31"/>
  <c r="IZ276" i="31"/>
  <c r="HP276" i="31"/>
  <c r="HT276" i="31" s="1"/>
  <c r="CR276" i="31"/>
  <c r="FG277" i="31"/>
  <c r="CT276" i="31"/>
  <c r="HQ276" i="31"/>
  <c r="HR277" i="31" s="1"/>
  <c r="OR278" i="31"/>
  <c r="AZ276" i="31"/>
  <c r="EM276" i="31"/>
  <c r="EW276" i="31" s="1"/>
  <c r="EN276" i="31"/>
  <c r="NC278" i="31"/>
  <c r="MQ278" i="31"/>
  <c r="HS276" i="31" l="1"/>
  <c r="JG276" i="31" s="1"/>
  <c r="IC276" i="31"/>
  <c r="ID276" i="31" s="1"/>
  <c r="IF276" i="31" s="1"/>
  <c r="KH276" i="31" s="1"/>
  <c r="JB276" i="31"/>
  <c r="BB277" i="31"/>
  <c r="DW276" i="31"/>
  <c r="DU277" i="31" s="1"/>
  <c r="EQ276" i="31"/>
  <c r="ER277" i="31"/>
  <c r="IU276" i="31"/>
  <c r="IV276" i="31" s="1"/>
  <c r="IW276" i="31" l="1"/>
  <c r="KB276" i="31" s="1"/>
  <c r="KK276" i="31"/>
  <c r="IX276" i="31"/>
  <c r="GM276" i="31"/>
  <c r="DB276" i="31"/>
  <c r="DC276" i="31" s="1"/>
  <c r="DD277" i="31" s="1"/>
  <c r="DE278" i="31" s="1"/>
  <c r="IM276" i="31"/>
  <c r="KI277" i="31"/>
  <c r="IN276" i="31"/>
  <c r="DF276" i="31"/>
  <c r="BC277" i="31"/>
  <c r="EU277" i="31"/>
  <c r="DT276" i="31" l="1"/>
  <c r="DZ276" i="31" s="1"/>
  <c r="GT278" i="31"/>
  <c r="KJ277" i="31"/>
  <c r="GR276" i="31"/>
  <c r="FD276" i="31"/>
  <c r="GU276" i="31"/>
  <c r="GV276" i="31"/>
  <c r="BD277" i="31"/>
  <c r="BE277" i="31"/>
  <c r="GS276" i="31" l="1"/>
  <c r="IS276" i="31"/>
  <c r="FL277" i="31"/>
  <c r="BG277" i="31"/>
  <c r="BF277" i="31"/>
  <c r="BI277" i="31" l="1"/>
  <c r="BK277" i="31" s="1"/>
  <c r="BH277" i="31"/>
  <c r="FM277" i="31"/>
  <c r="JH276" i="31"/>
  <c r="JI276" i="31" s="1"/>
  <c r="IT276" i="31"/>
  <c r="GY276" i="31"/>
  <c r="GX276" i="31"/>
  <c r="GW276" i="31"/>
  <c r="HC276" i="31" s="1"/>
  <c r="FA277" i="31" s="1"/>
  <c r="HB277" i="31" s="1"/>
  <c r="BJ277" i="31" l="1"/>
  <c r="HM276" i="31"/>
  <c r="EG276" i="31"/>
  <c r="EH277" i="31" s="1"/>
  <c r="EI277" i="31" s="1"/>
  <c r="FK277" i="31" s="1"/>
  <c r="EY276" i="31"/>
  <c r="HK277" i="31"/>
  <c r="JK276" i="31"/>
  <c r="JZ276" i="31" s="1"/>
  <c r="KF276" i="31" s="1"/>
  <c r="IQ277" i="31" s="1"/>
  <c r="BL277" i="31"/>
  <c r="BM277" i="31"/>
  <c r="EZ276" i="31" l="1"/>
  <c r="DG276" i="31"/>
  <c r="DH276" i="31" s="1"/>
  <c r="DI277" i="31" s="1"/>
  <c r="BO277" i="31"/>
  <c r="BN277" i="31"/>
  <c r="JM276" i="31"/>
  <c r="KD276" i="31" s="1"/>
  <c r="IL277" i="31" s="1"/>
  <c r="JE277" i="31" s="1"/>
  <c r="JL276" i="31"/>
  <c r="JJ277" i="31" s="1"/>
  <c r="KA277" i="31"/>
  <c r="ED276" i="31"/>
  <c r="EB277" i="31" s="1"/>
  <c r="JA277" i="31" s="1"/>
  <c r="EJ276" i="31"/>
  <c r="EK277" i="31" s="1"/>
  <c r="EE276" i="31"/>
  <c r="EF277" i="31" s="1"/>
  <c r="JN276" i="31"/>
  <c r="JV276" i="31" s="1"/>
  <c r="JF277" i="31" s="1"/>
  <c r="JW277" i="31" l="1"/>
  <c r="JY277" i="31"/>
  <c r="IR277" i="31"/>
  <c r="JC277" i="31"/>
  <c r="JD277" i="31"/>
  <c r="EO277" i="31"/>
  <c r="ES278" i="31" s="1"/>
  <c r="EP277" i="31"/>
  <c r="ET278" i="31" s="1"/>
  <c r="FC277" i="31"/>
  <c r="EL277" i="31"/>
  <c r="EV277" i="31"/>
  <c r="IY277" i="31"/>
  <c r="JO277" i="31"/>
  <c r="HZ277" i="31"/>
  <c r="BP277" i="31"/>
  <c r="BQ277" i="31" s="1"/>
  <c r="IO277" i="31"/>
  <c r="IP277" i="31"/>
  <c r="DJ277" i="31"/>
  <c r="DK277" i="31" s="1"/>
  <c r="GZ277" i="31"/>
  <c r="IE277" i="31" s="1"/>
  <c r="DP277" i="31"/>
  <c r="KG277" i="31" l="1"/>
  <c r="BR277" i="31"/>
  <c r="BS277" i="31"/>
  <c r="DM277" i="31"/>
  <c r="FQ277" i="31"/>
  <c r="DX277" i="31"/>
  <c r="EC277" i="31"/>
  <c r="JP277" i="31"/>
  <c r="JQ277" i="31" s="1"/>
  <c r="JX277" i="31"/>
  <c r="DL277" i="31" l="1"/>
  <c r="L278" i="31"/>
  <c r="BT277" i="31"/>
  <c r="BU277" i="31"/>
  <c r="EX277" i="31"/>
  <c r="M277" i="31" s="1"/>
  <c r="FB277" i="31"/>
  <c r="BV277" i="31" l="1"/>
  <c r="BW277" i="31" s="1"/>
  <c r="MJ277" i="31"/>
  <c r="NS277" i="31" s="1"/>
  <c r="MB277" i="31"/>
  <c r="NM277" i="31" s="1"/>
  <c r="NN277" i="31" s="1"/>
  <c r="BX277" i="31" l="1"/>
  <c r="BY277" i="31"/>
  <c r="CA277" i="31" s="1"/>
  <c r="OV278" i="31"/>
  <c r="NW277" i="31"/>
  <c r="NT277" i="31"/>
  <c r="OU278" i="31"/>
  <c r="BZ277" i="31" l="1"/>
  <c r="FR277" i="31"/>
  <c r="CX277" i="31"/>
  <c r="FV277" i="31"/>
  <c r="NU277" i="31"/>
  <c r="NX277" i="31"/>
  <c r="CB277" i="31"/>
  <c r="CC277" i="31" s="1"/>
  <c r="CD277" i="31" l="1"/>
  <c r="CE277" i="31"/>
  <c r="NV277" i="31"/>
  <c r="NZ277" i="31"/>
  <c r="MY277" i="31"/>
  <c r="CY278" i="31"/>
  <c r="NY277" i="31"/>
  <c r="OF277" i="31"/>
  <c r="OS278" i="31" s="1"/>
  <c r="CF277" i="31" l="1"/>
  <c r="CG277" i="31"/>
  <c r="CH277" i="31" s="1"/>
  <c r="CI277" i="31" s="1"/>
  <c r="OB277" i="31"/>
  <c r="OT278" i="31" s="1"/>
  <c r="OI277" i="31"/>
  <c r="OA277" i="31"/>
  <c r="MV278" i="31" s="1"/>
  <c r="OM278" i="31"/>
  <c r="NF278" i="31"/>
  <c r="OO278" i="31"/>
  <c r="MZ278" i="31"/>
  <c r="OZ277" i="31"/>
  <c r="CK277" i="31" l="1"/>
  <c r="CM277" i="31" s="1"/>
  <c r="CN277" i="31" s="1"/>
  <c r="CJ277" i="31"/>
  <c r="CO277" i="31" s="1"/>
  <c r="PA277" i="31"/>
  <c r="OX278" i="31"/>
  <c r="MR278" i="31"/>
  <c r="OW277" i="31"/>
  <c r="OC277" i="31"/>
  <c r="OD278" i="31" s="1"/>
  <c r="OH278" i="31" s="1"/>
  <c r="KT278" i="31"/>
  <c r="OG278" i="31"/>
  <c r="OJ277" i="31"/>
  <c r="CL277" i="31" l="1"/>
  <c r="CP277" i="31" s="1"/>
  <c r="OY278" i="31"/>
  <c r="MW278" i="31"/>
  <c r="MS278" i="31"/>
  <c r="OK278" i="31"/>
  <c r="KM278" i="31"/>
  <c r="KO279" i="31" s="1"/>
  <c r="KL278" i="31"/>
  <c r="KN279" i="31" s="1"/>
  <c r="NP278" i="31" l="1"/>
  <c r="NH279" i="31"/>
  <c r="NI279" i="31" s="1"/>
  <c r="MT278" i="31"/>
  <c r="NJ278" i="31"/>
  <c r="NQ278" i="31"/>
  <c r="MU278" i="31"/>
  <c r="MO278" i="31"/>
  <c r="PE278" i="31"/>
  <c r="MX278" i="31"/>
  <c r="KQ278" i="31"/>
  <c r="FP277" i="31"/>
  <c r="FS277" i="31" s="1"/>
  <c r="FH277" i="31"/>
  <c r="FI277" i="31" s="1"/>
  <c r="HO277" i="31"/>
  <c r="CQ277" i="31"/>
  <c r="FX277" i="31"/>
  <c r="FY277" i="31" s="1"/>
  <c r="FE277" i="31"/>
  <c r="FF277" i="31" s="1"/>
  <c r="GO277" i="31"/>
  <c r="DQ277" i="31"/>
  <c r="DR277" i="31" s="1"/>
  <c r="GB277" i="31"/>
  <c r="GC277" i="31" s="1"/>
  <c r="FU277" i="31"/>
  <c r="FW277" i="31" s="1"/>
  <c r="JR277" i="31"/>
  <c r="JS277" i="31" s="1"/>
  <c r="FZ277" i="31"/>
  <c r="GA277" i="31" s="1"/>
  <c r="KX277" i="31"/>
  <c r="KU277" i="31"/>
  <c r="KP279" i="31"/>
  <c r="KR278" i="31"/>
  <c r="GN277" i="31" l="1"/>
  <c r="KV277" i="31" s="1"/>
  <c r="NR278" i="31"/>
  <c r="HU277" i="31"/>
  <c r="HV278" i="31" s="1"/>
  <c r="FJ278" i="31"/>
  <c r="DY277" i="31"/>
  <c r="HY277" i="31"/>
  <c r="HA277" i="31"/>
  <c r="KS278" i="31"/>
  <c r="HW277" i="31"/>
  <c r="HX278" i="31" s="1"/>
  <c r="FG278" i="31"/>
  <c r="NK278" i="31"/>
  <c r="NL278" i="31"/>
  <c r="NG279" i="31"/>
  <c r="OQ279" i="31"/>
  <c r="CR277" i="31"/>
  <c r="CS277" i="31"/>
  <c r="CT277" i="31"/>
  <c r="DS277" i="31"/>
  <c r="AX277" i="31" s="1"/>
  <c r="AY278" i="31" s="1"/>
  <c r="JU277" i="31"/>
  <c r="KE277" i="31"/>
  <c r="JT278" i="31"/>
  <c r="KC277" i="31"/>
  <c r="HP277" i="31"/>
  <c r="IA277" i="31"/>
  <c r="IB277" i="31" s="1"/>
  <c r="IZ277" i="31"/>
  <c r="NA278" i="31"/>
  <c r="NB278" i="31"/>
  <c r="GQ277" i="31" l="1"/>
  <c r="KW278" i="31"/>
  <c r="HQ277" i="31"/>
  <c r="HR278" i="31" s="1"/>
  <c r="HT277" i="31"/>
  <c r="HS277" i="31"/>
  <c r="JG277" i="31" s="1"/>
  <c r="OR279" i="31"/>
  <c r="NC279" i="31"/>
  <c r="MQ279" i="31"/>
  <c r="EN277" i="31"/>
  <c r="AZ277" i="31"/>
  <c r="EM277" i="31"/>
  <c r="EW277" i="31" s="1"/>
  <c r="BB278" i="31" l="1"/>
  <c r="DW277" i="31"/>
  <c r="DU278" i="31" s="1"/>
  <c r="EQ277" i="31"/>
  <c r="ER278" i="31"/>
  <c r="IU277" i="31"/>
  <c r="IV277" i="31" s="1"/>
  <c r="IC277" i="31"/>
  <c r="ID277" i="31" s="1"/>
  <c r="IF277" i="31" s="1"/>
  <c r="KH277" i="31" s="1"/>
  <c r="JB277" i="31"/>
  <c r="IW277" i="31" l="1"/>
  <c r="KB277" i="31" s="1"/>
  <c r="KK277" i="31"/>
  <c r="IX277" i="31"/>
  <c r="EU278" i="31"/>
  <c r="GM277" i="31"/>
  <c r="IM277" i="31"/>
  <c r="DB277" i="31"/>
  <c r="DC277" i="31" s="1"/>
  <c r="DD278" i="31" s="1"/>
  <c r="DE279" i="31" s="1"/>
  <c r="KI278" i="31"/>
  <c r="IN277" i="31"/>
  <c r="DF277" i="31"/>
  <c r="BC278" i="31"/>
  <c r="DT277" i="31" l="1"/>
  <c r="DZ277" i="31" s="1"/>
  <c r="GT279" i="31"/>
  <c r="BD278" i="31"/>
  <c r="BE278" i="31"/>
  <c r="KJ278" i="31"/>
  <c r="GR277" i="31"/>
  <c r="FD277" i="31"/>
  <c r="GU277" i="31"/>
  <c r="GV277" i="31"/>
  <c r="GS277" i="31" l="1"/>
  <c r="BF278" i="31"/>
  <c r="BG278" i="31"/>
  <c r="IS277" i="31"/>
  <c r="FL278" i="31"/>
  <c r="FM278" i="31" l="1"/>
  <c r="BH278" i="31"/>
  <c r="BI278" i="31"/>
  <c r="BK278" i="31" s="1"/>
  <c r="JH277" i="31"/>
  <c r="JI277" i="31" s="1"/>
  <c r="IT277" i="31"/>
  <c r="GY277" i="31"/>
  <c r="GW277" i="31"/>
  <c r="HC277" i="31" s="1"/>
  <c r="FA278" i="31" s="1"/>
  <c r="HB278" i="31" s="1"/>
  <c r="GX277" i="31"/>
  <c r="BJ278" i="31" l="1"/>
  <c r="EG277" i="31"/>
  <c r="EH278" i="31" s="1"/>
  <c r="EI278" i="31" s="1"/>
  <c r="FK278" i="31" s="1"/>
  <c r="EY277" i="31"/>
  <c r="HM277" i="31"/>
  <c r="HK278" i="31"/>
  <c r="BL278" i="31"/>
  <c r="BM278" i="31"/>
  <c r="JK277" i="31"/>
  <c r="JM277" i="31" s="1"/>
  <c r="KD277" i="31" s="1"/>
  <c r="IL278" i="31" s="1"/>
  <c r="BN278" i="31" l="1"/>
  <c r="BO278" i="31"/>
  <c r="JN277" i="31"/>
  <c r="JV277" i="31" s="1"/>
  <c r="JF278" i="31" s="1"/>
  <c r="JL277" i="31"/>
  <c r="JJ278" i="31" s="1"/>
  <c r="KA278" i="31"/>
  <c r="EZ277" i="31"/>
  <c r="DG277" i="31"/>
  <c r="DH277" i="31" s="1"/>
  <c r="DI278" i="31" s="1"/>
  <c r="EJ277" i="31"/>
  <c r="EK278" i="31" s="1"/>
  <c r="ED277" i="31"/>
  <c r="EB278" i="31" s="1"/>
  <c r="EE277" i="31"/>
  <c r="EF278" i="31" s="1"/>
  <c r="IP278" i="31" s="1"/>
  <c r="JZ277" i="31"/>
  <c r="KF277" i="31" s="1"/>
  <c r="IQ278" i="31" s="1"/>
  <c r="IO278" i="31" l="1"/>
  <c r="DP278" i="31"/>
  <c r="JC278" i="31"/>
  <c r="JD278" i="31"/>
  <c r="JO278" i="31"/>
  <c r="IR278" i="31"/>
  <c r="IY278" i="31"/>
  <c r="JA278" i="31"/>
  <c r="JE278" i="31"/>
  <c r="DJ278" i="31"/>
  <c r="DK278" i="31" s="1"/>
  <c r="GZ278" i="31"/>
  <c r="IE278" i="31" s="1"/>
  <c r="HZ278" i="31"/>
  <c r="BP278" i="31"/>
  <c r="BQ278" i="31" s="1"/>
  <c r="JW278" i="31"/>
  <c r="JY278" i="31"/>
  <c r="EP278" i="31"/>
  <c r="ET279" i="31" s="1"/>
  <c r="EL278" i="31"/>
  <c r="EO278" i="31"/>
  <c r="ES279" i="31" s="1"/>
  <c r="FC278" i="31"/>
  <c r="EV278" i="31"/>
  <c r="JP278" i="31" l="1"/>
  <c r="JQ278" i="31" s="1"/>
  <c r="JX278" i="31"/>
  <c r="FQ278" i="31"/>
  <c r="DM278" i="31"/>
  <c r="DX278" i="31"/>
  <c r="BR278" i="31"/>
  <c r="BS278" i="31"/>
  <c r="KG278" i="31"/>
  <c r="EC278" i="31"/>
  <c r="BT278" i="31" l="1"/>
  <c r="BU278" i="31"/>
  <c r="DL278" i="31"/>
  <c r="L279" i="31"/>
  <c r="FB278" i="31"/>
  <c r="EX278" i="31"/>
  <c r="M278" i="31" s="1"/>
  <c r="MJ278" i="31" l="1"/>
  <c r="NS278" i="31" s="1"/>
  <c r="MB278" i="31"/>
  <c r="NM278" i="31" s="1"/>
  <c r="NN278" i="31" s="1"/>
  <c r="BV278" i="31"/>
  <c r="BW278" i="31" s="1"/>
  <c r="BX278" i="31" l="1"/>
  <c r="BY278" i="31"/>
  <c r="OV279" i="31"/>
  <c r="NW278" i="31"/>
  <c r="NT278" i="31"/>
  <c r="OU279" i="31"/>
  <c r="BZ278" i="31" l="1"/>
  <c r="CA278" i="31"/>
  <c r="CB278" i="31" s="1"/>
  <c r="FR278" i="31"/>
  <c r="CX278" i="31"/>
  <c r="FV278" i="31"/>
  <c r="NU278" i="31"/>
  <c r="NX278" i="31"/>
  <c r="OF278" i="31" s="1"/>
  <c r="OS279" i="31" s="1"/>
  <c r="CC278" i="31" l="1"/>
  <c r="NV278" i="31"/>
  <c r="NZ278" i="31"/>
  <c r="MY278" i="31"/>
  <c r="CY279" i="31"/>
  <c r="NY278" i="31"/>
  <c r="CE278" i="31" l="1"/>
  <c r="CD278" i="31"/>
  <c r="OA278" i="31"/>
  <c r="MV279" i="31" s="1"/>
  <c r="OG279" i="31" s="1"/>
  <c r="OI278" i="31"/>
  <c r="OB278" i="31"/>
  <c r="OT279" i="31" s="1"/>
  <c r="OM279" i="31"/>
  <c r="NF279" i="31"/>
  <c r="OO279" i="31"/>
  <c r="MZ279" i="31"/>
  <c r="OZ278" i="31"/>
  <c r="KT279" i="31" l="1"/>
  <c r="KM279" i="31" s="1"/>
  <c r="KO280" i="31" s="1"/>
  <c r="CF278" i="31"/>
  <c r="CG278" i="31"/>
  <c r="CH278" i="31" s="1"/>
  <c r="CI278" i="31" s="1"/>
  <c r="CJ278" i="31" s="1"/>
  <c r="CO278" i="31" s="1"/>
  <c r="OJ278" i="31"/>
  <c r="OY279" i="31" s="1"/>
  <c r="OC278" i="31"/>
  <c r="OD279" i="31" s="1"/>
  <c r="OH279" i="31" s="1"/>
  <c r="OK279" i="31" s="1"/>
  <c r="OW278" i="31"/>
  <c r="MR279" i="31"/>
  <c r="OX279" i="31"/>
  <c r="PA278" i="31"/>
  <c r="KL279" i="31" l="1"/>
  <c r="KN280" i="31" s="1"/>
  <c r="KP280" i="31" s="1"/>
  <c r="CK278" i="31"/>
  <c r="CL278" i="31" s="1"/>
  <c r="MW279" i="31"/>
  <c r="MX279" i="31" s="1"/>
  <c r="KR279" i="31"/>
  <c r="MS279" i="31"/>
  <c r="KQ279" i="31" l="1"/>
  <c r="KS279" i="31" s="1"/>
  <c r="CM278" i="31"/>
  <c r="CN278" i="31" s="1"/>
  <c r="CP278" i="31" s="1"/>
  <c r="FE278" i="31" s="1"/>
  <c r="FF278" i="31" s="1"/>
  <c r="NH280" i="31"/>
  <c r="NI280" i="31" s="1"/>
  <c r="MO279" i="31"/>
  <c r="NP279" i="31"/>
  <c r="MT279" i="31"/>
  <c r="NQ279" i="31"/>
  <c r="MU279" i="31"/>
  <c r="NJ279" i="31"/>
  <c r="PE279" i="31"/>
  <c r="NB279" i="31"/>
  <c r="NA279" i="31"/>
  <c r="CQ278" i="31" l="1"/>
  <c r="CT278" i="31" s="1"/>
  <c r="KX278" i="31"/>
  <c r="FH278" i="31"/>
  <c r="FI278" i="31" s="1"/>
  <c r="HU278" i="31" s="1"/>
  <c r="HV279" i="31" s="1"/>
  <c r="FU278" i="31"/>
  <c r="FW278" i="31" s="1"/>
  <c r="JR278" i="31"/>
  <c r="JS278" i="31" s="1"/>
  <c r="JU278" i="31" s="1"/>
  <c r="FP278" i="31"/>
  <c r="FS278" i="31" s="1"/>
  <c r="HY278" i="31" s="1"/>
  <c r="GB278" i="31"/>
  <c r="GC278" i="31" s="1"/>
  <c r="GO278" i="31"/>
  <c r="FZ278" i="31"/>
  <c r="GA278" i="31" s="1"/>
  <c r="FX278" i="31"/>
  <c r="FY278" i="31" s="1"/>
  <c r="DQ278" i="31"/>
  <c r="DR278" i="31" s="1"/>
  <c r="DS278" i="31" s="1"/>
  <c r="AX278" i="31" s="1"/>
  <c r="AY279" i="31" s="1"/>
  <c r="KU278" i="31"/>
  <c r="HO278" i="31"/>
  <c r="HP278" i="31" s="1"/>
  <c r="NR279" i="31"/>
  <c r="NK279" i="31"/>
  <c r="NL279" i="31"/>
  <c r="NG280" i="31"/>
  <c r="OQ280" i="31"/>
  <c r="FG279" i="31"/>
  <c r="HW278" i="31"/>
  <c r="HX279" i="31" s="1"/>
  <c r="CS278" i="31" l="1"/>
  <c r="CR278" i="31"/>
  <c r="GN278" i="31"/>
  <c r="KV278" i="31" s="1"/>
  <c r="FJ279" i="31"/>
  <c r="IZ278" i="31"/>
  <c r="IA278" i="31"/>
  <c r="IB278" i="31" s="1"/>
  <c r="KC278" i="31"/>
  <c r="JT279" i="31"/>
  <c r="KE278" i="31"/>
  <c r="DY278" i="31"/>
  <c r="HA278" i="31"/>
  <c r="NC280" i="31"/>
  <c r="MQ280" i="31"/>
  <c r="OR280" i="31"/>
  <c r="EN278" i="31"/>
  <c r="AZ278" i="31"/>
  <c r="EM278" i="31"/>
  <c r="EW278" i="31" s="1"/>
  <c r="HT278" i="31"/>
  <c r="HS278" i="31"/>
  <c r="JG278" i="31" s="1"/>
  <c r="GQ278" i="31" l="1"/>
  <c r="KW279" i="31"/>
  <c r="HQ278" i="31"/>
  <c r="HR279" i="31" s="1"/>
  <c r="BB279" i="31"/>
  <c r="DW278" i="31"/>
  <c r="DU279" i="31" s="1"/>
  <c r="EQ278" i="31"/>
  <c r="IW278" i="31"/>
  <c r="ER279" i="31"/>
  <c r="IU278" i="31"/>
  <c r="IV278" i="31" s="1"/>
  <c r="IC278" i="31"/>
  <c r="ID278" i="31" s="1"/>
  <c r="IF278" i="31" s="1"/>
  <c r="KH278" i="31" s="1"/>
  <c r="JB278" i="31"/>
  <c r="KK278" i="31" l="1"/>
  <c r="KB278" i="31"/>
  <c r="IX278" i="31"/>
  <c r="EU279" i="31"/>
  <c r="IM278" i="31"/>
  <c r="GM278" i="31"/>
  <c r="DB278" i="31"/>
  <c r="DC278" i="31" s="1"/>
  <c r="DD279" i="31" s="1"/>
  <c r="DE280" i="31" s="1"/>
  <c r="KI279" i="31"/>
  <c r="IN278" i="31"/>
  <c r="DF278" i="31"/>
  <c r="BC279" i="31"/>
  <c r="DT278" i="31" l="1"/>
  <c r="DZ278" i="31" s="1"/>
  <c r="GT280" i="31"/>
  <c r="GR278" i="31"/>
  <c r="KJ279" i="31"/>
  <c r="BE279" i="31"/>
  <c r="BD279" i="31"/>
  <c r="FD278" i="31"/>
  <c r="GU278" i="31"/>
  <c r="GV278" i="31"/>
  <c r="GS278" i="31" l="1"/>
  <c r="BF279" i="31"/>
  <c r="BG279" i="31"/>
  <c r="IS278" i="31"/>
  <c r="FL279" i="31"/>
  <c r="FM279" i="31" l="1"/>
  <c r="BI279" i="31"/>
  <c r="BK279" i="31" s="1"/>
  <c r="BH279" i="31"/>
  <c r="JH278" i="31"/>
  <c r="JI278" i="31" s="1"/>
  <c r="IT278" i="31"/>
  <c r="GY278" i="31"/>
  <c r="GX278" i="31"/>
  <c r="GW278" i="31"/>
  <c r="HC278" i="31" s="1"/>
  <c r="FA279" i="31" s="1"/>
  <c r="HB279" i="31" s="1"/>
  <c r="HM278" i="31" l="1"/>
  <c r="EG278" i="31"/>
  <c r="EH279" i="31" s="1"/>
  <c r="EI279" i="31" s="1"/>
  <c r="FK279" i="31" s="1"/>
  <c r="EY278" i="31"/>
  <c r="HK279" i="31"/>
  <c r="BJ279" i="31"/>
  <c r="BL279" i="31"/>
  <c r="BM279" i="31"/>
  <c r="JK278" i="31"/>
  <c r="JN278" i="31" s="1"/>
  <c r="JV278" i="31" s="1"/>
  <c r="JF279" i="31" s="1"/>
  <c r="JM278" i="31" l="1"/>
  <c r="KD278" i="31" s="1"/>
  <c r="IL279" i="31" s="1"/>
  <c r="JY279" i="31"/>
  <c r="JW279" i="31"/>
  <c r="JL278" i="31"/>
  <c r="JJ279" i="31" s="1"/>
  <c r="KA279" i="31"/>
  <c r="JZ278" i="31"/>
  <c r="KF278" i="31" s="1"/>
  <c r="IQ279" i="31" s="1"/>
  <c r="BN279" i="31"/>
  <c r="BO279" i="31"/>
  <c r="EZ278" i="31"/>
  <c r="DG278" i="31"/>
  <c r="DH278" i="31" s="1"/>
  <c r="DI279" i="31" s="1"/>
  <c r="EE278" i="31"/>
  <c r="EF279" i="31" s="1"/>
  <c r="ED278" i="31"/>
  <c r="EB279" i="31" s="1"/>
  <c r="EJ278" i="31"/>
  <c r="EK279" i="31" s="1"/>
  <c r="IO279" i="31" l="1"/>
  <c r="IP279" i="31"/>
  <c r="BP279" i="31"/>
  <c r="BQ279" i="31" s="1"/>
  <c r="DP279" i="31"/>
  <c r="IY279" i="31"/>
  <c r="IR279" i="31"/>
  <c r="JO279" i="31"/>
  <c r="JE279" i="31"/>
  <c r="JA279" i="31"/>
  <c r="HZ279" i="31"/>
  <c r="EL279" i="31"/>
  <c r="FC279" i="31"/>
  <c r="EP279" i="31"/>
  <c r="ET280" i="31" s="1"/>
  <c r="EO279" i="31"/>
  <c r="ES280" i="31" s="1"/>
  <c r="EV279" i="31"/>
  <c r="JC279" i="31"/>
  <c r="JD279" i="31"/>
  <c r="GZ279" i="31"/>
  <c r="IE279" i="31" s="1"/>
  <c r="DJ279" i="31"/>
  <c r="DK279" i="31" s="1"/>
  <c r="JP279" i="31" l="1"/>
  <c r="JQ279" i="31" s="1"/>
  <c r="JX279" i="31"/>
  <c r="EC279" i="31"/>
  <c r="FQ279" i="31"/>
  <c r="DM279" i="31"/>
  <c r="DX279" i="31"/>
  <c r="KG279" i="31"/>
  <c r="BR279" i="31"/>
  <c r="BS279" i="31"/>
  <c r="DL279" i="31" l="1"/>
  <c r="L280" i="31"/>
  <c r="BT279" i="31"/>
  <c r="BU279" i="31"/>
  <c r="EX279" i="31"/>
  <c r="M279" i="31" s="1"/>
  <c r="FB279" i="31"/>
  <c r="BV279" i="31" l="1"/>
  <c r="BW279" i="31" s="1"/>
  <c r="MB279" i="31"/>
  <c r="NM279" i="31" s="1"/>
  <c r="NN279" i="31" s="1"/>
  <c r="MJ279" i="31"/>
  <c r="NS279" i="31" s="1"/>
  <c r="BX279" i="31" l="1"/>
  <c r="BY279" i="31"/>
  <c r="OV280" i="31"/>
  <c r="NW279" i="31"/>
  <c r="NT279" i="31"/>
  <c r="OU280" i="31"/>
  <c r="BZ279" i="31" l="1"/>
  <c r="CA279" i="31"/>
  <c r="CB279" i="31" s="1"/>
  <c r="FV279" i="31"/>
  <c r="CX279" i="31"/>
  <c r="FR279" i="31"/>
  <c r="NU279" i="31"/>
  <c r="NX279" i="31"/>
  <c r="CC279" i="31" l="1"/>
  <c r="NV279" i="31"/>
  <c r="NZ279" i="31"/>
  <c r="MY279" i="31"/>
  <c r="CY280" i="31"/>
  <c r="NY279" i="31"/>
  <c r="OF279" i="31"/>
  <c r="OS280" i="31" s="1"/>
  <c r="CE279" i="31" l="1"/>
  <c r="CD279" i="31"/>
  <c r="OI279" i="31"/>
  <c r="OW279" i="31" s="1"/>
  <c r="OA279" i="31"/>
  <c r="MV280" i="31" s="1"/>
  <c r="OG280" i="31" s="1"/>
  <c r="OO280" i="31"/>
  <c r="OM280" i="31"/>
  <c r="NF280" i="31"/>
  <c r="MZ280" i="31"/>
  <c r="OZ279" i="31"/>
  <c r="OB279" i="31"/>
  <c r="OT280" i="31" s="1"/>
  <c r="OX280" i="31" l="1"/>
  <c r="MR280" i="31"/>
  <c r="KT280" i="31"/>
  <c r="KM280" i="31" s="1"/>
  <c r="KO281" i="31" s="1"/>
  <c r="CF279" i="31"/>
  <c r="CG279" i="31"/>
  <c r="CH279" i="31" s="1"/>
  <c r="CI279" i="31" s="1"/>
  <c r="CJ279" i="31" s="1"/>
  <c r="CO279" i="31" s="1"/>
  <c r="KL280" i="31"/>
  <c r="KN281" i="31" s="1"/>
  <c r="MS280" i="31"/>
  <c r="PA279" i="31"/>
  <c r="OJ279" i="31"/>
  <c r="OC279" i="31"/>
  <c r="OD280" i="31" s="1"/>
  <c r="OH280" i="31" s="1"/>
  <c r="OK280" i="31" s="1"/>
  <c r="CK279" i="31" l="1"/>
  <c r="CL279" i="31" s="1"/>
  <c r="NQ280" i="31"/>
  <c r="NJ280" i="31"/>
  <c r="MU280" i="31"/>
  <c r="NH281" i="31"/>
  <c r="NI281" i="31" s="1"/>
  <c r="MO280" i="31"/>
  <c r="MT280" i="31"/>
  <c r="NP280" i="31"/>
  <c r="PE280" i="31"/>
  <c r="OY280" i="31"/>
  <c r="MW280" i="31"/>
  <c r="KQ280" i="31"/>
  <c r="KP281" i="31"/>
  <c r="KR280" i="31"/>
  <c r="CM279" i="31" l="1"/>
  <c r="CN279" i="31" s="1"/>
  <c r="CP279" i="31" s="1"/>
  <c r="FX279" i="31" s="1"/>
  <c r="FY279" i="31" s="1"/>
  <c r="NK280" i="31"/>
  <c r="NL280" i="31"/>
  <c r="NG281" i="31"/>
  <c r="OQ281" i="31"/>
  <c r="KS280" i="31"/>
  <c r="MX280" i="31"/>
  <c r="NR280" i="31"/>
  <c r="KU279" i="31" l="1"/>
  <c r="KX279" i="31"/>
  <c r="GN279" i="31" s="1"/>
  <c r="KV279" i="31" s="1"/>
  <c r="FE279" i="31"/>
  <c r="FF279" i="31" s="1"/>
  <c r="HW279" i="31" s="1"/>
  <c r="HX280" i="31" s="1"/>
  <c r="FP279" i="31"/>
  <c r="FS279" i="31" s="1"/>
  <c r="HY279" i="31" s="1"/>
  <c r="FZ279" i="31"/>
  <c r="GA279" i="31" s="1"/>
  <c r="DQ279" i="31"/>
  <c r="DR279" i="31" s="1"/>
  <c r="DS279" i="31" s="1"/>
  <c r="AX279" i="31" s="1"/>
  <c r="AY280" i="31" s="1"/>
  <c r="FH279" i="31"/>
  <c r="FI279" i="31" s="1"/>
  <c r="HU279" i="31" s="1"/>
  <c r="HV280" i="31" s="1"/>
  <c r="GO279" i="31"/>
  <c r="HO279" i="31"/>
  <c r="HP279" i="31" s="1"/>
  <c r="FU279" i="31"/>
  <c r="FW279" i="31" s="1"/>
  <c r="GB279" i="31"/>
  <c r="GC279" i="31" s="1"/>
  <c r="JR279" i="31"/>
  <c r="JS279" i="31" s="1"/>
  <c r="KC279" i="31" s="1"/>
  <c r="CQ279" i="31"/>
  <c r="CR279" i="31" s="1"/>
  <c r="OR281" i="31"/>
  <c r="NC281" i="31"/>
  <c r="MQ281" i="31"/>
  <c r="NB280" i="31"/>
  <c r="NA280" i="31"/>
  <c r="KW280" i="31" l="1"/>
  <c r="HQ279" i="31"/>
  <c r="HR280" i="31" s="1"/>
  <c r="GQ279" i="31"/>
  <c r="FG280" i="31"/>
  <c r="HA279" i="31"/>
  <c r="DY279" i="31"/>
  <c r="FJ280" i="31"/>
  <c r="IA279" i="31"/>
  <c r="IB279" i="31" s="1"/>
  <c r="IZ279" i="31"/>
  <c r="JU279" i="31"/>
  <c r="CT279" i="31"/>
  <c r="JT280" i="31"/>
  <c r="KE279" i="31"/>
  <c r="CS279" i="31"/>
  <c r="EN279" i="31"/>
  <c r="AZ279" i="31"/>
  <c r="EM279" i="31"/>
  <c r="EW279" i="31" s="1"/>
  <c r="HT279" i="31"/>
  <c r="HS279" i="31"/>
  <c r="JG279" i="31" s="1"/>
  <c r="BB280" i="31" l="1"/>
  <c r="DW279" i="31"/>
  <c r="DU280" i="31" s="1"/>
  <c r="EQ279" i="31"/>
  <c r="ER280" i="31"/>
  <c r="IU279" i="31"/>
  <c r="IV279" i="31" s="1"/>
  <c r="IC279" i="31"/>
  <c r="ID279" i="31" s="1"/>
  <c r="IF279" i="31" s="1"/>
  <c r="KH279" i="31" s="1"/>
  <c r="JB279" i="31"/>
  <c r="IW279" i="31" l="1"/>
  <c r="KB279" i="31" s="1"/>
  <c r="IX279" i="31"/>
  <c r="KK279" i="31"/>
  <c r="DB279" i="31"/>
  <c r="DC279" i="31" s="1"/>
  <c r="DD280" i="31" s="1"/>
  <c r="DE281" i="31" s="1"/>
  <c r="IM279" i="31"/>
  <c r="GM279" i="31"/>
  <c r="KI280" i="31"/>
  <c r="IN279" i="31"/>
  <c r="DF279" i="31"/>
  <c r="EU280" i="31"/>
  <c r="BC280" i="31"/>
  <c r="GT281" i="31" l="1"/>
  <c r="BD280" i="31"/>
  <c r="BE280" i="31"/>
  <c r="GR279" i="31"/>
  <c r="DT279" i="31"/>
  <c r="DZ279" i="31" s="1"/>
  <c r="GV279" i="31"/>
  <c r="FD279" i="31"/>
  <c r="GU279" i="31"/>
  <c r="KJ280" i="31"/>
  <c r="GS279" i="31" l="1"/>
  <c r="BF280" i="31"/>
  <c r="BG280" i="31"/>
  <c r="IS279" i="31"/>
  <c r="FL280" i="31"/>
  <c r="FM280" i="31" l="1"/>
  <c r="JH279" i="31"/>
  <c r="JI279" i="31" s="1"/>
  <c r="IT279" i="31"/>
  <c r="BI280" i="31"/>
  <c r="BK280" i="31" s="1"/>
  <c r="BH280" i="31"/>
  <c r="GW279" i="31"/>
  <c r="HC279" i="31" s="1"/>
  <c r="FA280" i="31" s="1"/>
  <c r="HB280" i="31" s="1"/>
  <c r="GY279" i="31"/>
  <c r="GX279" i="31"/>
  <c r="EG279" i="31" l="1"/>
  <c r="EH280" i="31" s="1"/>
  <c r="EI280" i="31" s="1"/>
  <c r="FK280" i="31" s="1"/>
  <c r="EY279" i="31"/>
  <c r="HM279" i="31"/>
  <c r="HK280" i="31"/>
  <c r="BL280" i="31"/>
  <c r="BM280" i="31"/>
  <c r="JK279" i="31"/>
  <c r="JZ279" i="31" s="1"/>
  <c r="KF279" i="31" s="1"/>
  <c r="IQ280" i="31" s="1"/>
  <c r="BJ280" i="31"/>
  <c r="JN279" i="31" l="1"/>
  <c r="JV279" i="31" s="1"/>
  <c r="JF280" i="31" s="1"/>
  <c r="JY280" i="31" s="1"/>
  <c r="BN280" i="31"/>
  <c r="BO280" i="31"/>
  <c r="EJ279" i="31"/>
  <c r="EK280" i="31" s="1"/>
  <c r="EE279" i="31"/>
  <c r="EF280" i="31" s="1"/>
  <c r="ED279" i="31"/>
  <c r="EB280" i="31" s="1"/>
  <c r="IY280" i="31" s="1"/>
  <c r="EZ279" i="31"/>
  <c r="DG279" i="31"/>
  <c r="DH279" i="31" s="1"/>
  <c r="DI280" i="31" s="1"/>
  <c r="JM279" i="31"/>
  <c r="KD279" i="31" s="1"/>
  <c r="IL280" i="31" s="1"/>
  <c r="IR280" i="31" s="1"/>
  <c r="JL279" i="31"/>
  <c r="JJ280" i="31" s="1"/>
  <c r="KA280" i="31"/>
  <c r="JW280" i="31" l="1"/>
  <c r="JO280" i="31"/>
  <c r="JA280" i="31"/>
  <c r="BP280" i="31"/>
  <c r="BQ280" i="31" s="1"/>
  <c r="DP280" i="31"/>
  <c r="HZ280" i="31"/>
  <c r="IO280" i="31"/>
  <c r="JP280" i="31" s="1"/>
  <c r="JQ280" i="31" s="1"/>
  <c r="IP280" i="31"/>
  <c r="EO280" i="31"/>
  <c r="ES281" i="31" s="1"/>
  <c r="FC280" i="31"/>
  <c r="EL280" i="31"/>
  <c r="EP280" i="31"/>
  <c r="ET281" i="31" s="1"/>
  <c r="EV280" i="31"/>
  <c r="GZ280" i="31"/>
  <c r="IE280" i="31" s="1"/>
  <c r="DJ280" i="31"/>
  <c r="DK280" i="31" s="1"/>
  <c r="JE280" i="31"/>
  <c r="JC280" i="31"/>
  <c r="JD280" i="31"/>
  <c r="BS280" i="31" l="1"/>
  <c r="BU280" i="31" s="1"/>
  <c r="BR280" i="31"/>
  <c r="JX280" i="31"/>
  <c r="FQ280" i="31"/>
  <c r="DM280" i="31"/>
  <c r="DX280" i="31"/>
  <c r="EC280" i="31"/>
  <c r="KG280" i="31"/>
  <c r="BT280" i="31" l="1"/>
  <c r="BV280" i="31"/>
  <c r="BW280" i="31" s="1"/>
  <c r="EX280" i="31"/>
  <c r="M280" i="31" s="1"/>
  <c r="FB280" i="31"/>
  <c r="DL280" i="31"/>
  <c r="L281" i="31"/>
  <c r="BY280" i="31" l="1"/>
  <c r="BX280" i="31"/>
  <c r="MJ280" i="31"/>
  <c r="NS280" i="31" s="1"/>
  <c r="MB280" i="31"/>
  <c r="NM280" i="31" s="1"/>
  <c r="NN280" i="31" s="1"/>
  <c r="BZ280" i="31" l="1"/>
  <c r="CA280" i="31"/>
  <c r="CB280" i="31" s="1"/>
  <c r="CC280" i="31" s="1"/>
  <c r="OV281" i="31"/>
  <c r="NW280" i="31"/>
  <c r="NT280" i="31"/>
  <c r="OU281" i="31"/>
  <c r="CD280" i="31" l="1"/>
  <c r="CE280" i="31"/>
  <c r="CF280" i="31" s="1"/>
  <c r="NX280" i="31"/>
  <c r="FR280" i="31"/>
  <c r="FV280" i="31"/>
  <c r="CX280" i="31"/>
  <c r="NU280" i="31"/>
  <c r="CG280" i="31" l="1"/>
  <c r="CH280" i="31" s="1"/>
  <c r="CI280" i="31" s="1"/>
  <c r="NY280" i="31"/>
  <c r="NZ280" i="31"/>
  <c r="MY280" i="31"/>
  <c r="CY281" i="31"/>
  <c r="NV280" i="31"/>
  <c r="OF280" i="31"/>
  <c r="OS281" i="31" s="1"/>
  <c r="CJ280" i="31" l="1"/>
  <c r="CO280" i="31" s="1"/>
  <c r="CK280" i="31"/>
  <c r="OA280" i="31"/>
  <c r="MV281" i="31" s="1"/>
  <c r="OG281" i="31" s="1"/>
  <c r="OM281" i="31"/>
  <c r="NF281" i="31"/>
  <c r="OO281" i="31"/>
  <c r="MZ281" i="31"/>
  <c r="OZ280" i="31"/>
  <c r="OB280" i="31"/>
  <c r="OT281" i="31" s="1"/>
  <c r="OI280" i="31"/>
  <c r="CL280" i="31" l="1"/>
  <c r="CM280" i="31"/>
  <c r="CN280" i="31" s="1"/>
  <c r="KT281" i="31"/>
  <c r="KL281" i="31" s="1"/>
  <c r="KN282" i="31" s="1"/>
  <c r="OJ280" i="31"/>
  <c r="OW280" i="31"/>
  <c r="OX281" i="31"/>
  <c r="MR281" i="31"/>
  <c r="PA280" i="31"/>
  <c r="OC280" i="31"/>
  <c r="OD281" i="31" s="1"/>
  <c r="OH281" i="31" s="1"/>
  <c r="OK281" i="31" s="1"/>
  <c r="CP280" i="31" l="1"/>
  <c r="CQ280" i="31" s="1"/>
  <c r="KM281" i="31"/>
  <c r="KO282" i="31" s="1"/>
  <c r="KP282" i="31" s="1"/>
  <c r="MS281" i="31"/>
  <c r="MW281" i="31"/>
  <c r="OY281" i="31"/>
  <c r="KQ281" i="31"/>
  <c r="FX280" i="31" l="1"/>
  <c r="FY280" i="31" s="1"/>
  <c r="FZ280" i="31"/>
  <c r="GA280" i="31" s="1"/>
  <c r="FH280" i="31"/>
  <c r="FI280" i="31" s="1"/>
  <c r="HU280" i="31" s="1"/>
  <c r="HV281" i="31" s="1"/>
  <c r="FP280" i="31"/>
  <c r="FS280" i="31" s="1"/>
  <c r="HY280" i="31" s="1"/>
  <c r="JR280" i="31"/>
  <c r="JS280" i="31" s="1"/>
  <c r="KE280" i="31" s="1"/>
  <c r="FU280" i="31"/>
  <c r="FW280" i="31" s="1"/>
  <c r="GO280" i="31"/>
  <c r="HO280" i="31"/>
  <c r="IZ280" i="31" s="1"/>
  <c r="DQ280" i="31"/>
  <c r="DR280" i="31" s="1"/>
  <c r="DS280" i="31" s="1"/>
  <c r="AX280" i="31" s="1"/>
  <c r="AY281" i="31" s="1"/>
  <c r="FE280" i="31"/>
  <c r="FF280" i="31" s="1"/>
  <c r="HW280" i="31" s="1"/>
  <c r="HX281" i="31" s="1"/>
  <c r="KU280" i="31"/>
  <c r="GB280" i="31"/>
  <c r="GC280" i="31" s="1"/>
  <c r="KX280" i="31"/>
  <c r="GN280" i="31" s="1"/>
  <c r="KR281" i="31"/>
  <c r="KS281" i="31" s="1"/>
  <c r="MX281" i="31"/>
  <c r="CR280" i="31"/>
  <c r="CS280" i="31"/>
  <c r="CT280" i="31"/>
  <c r="HA280" i="31"/>
  <c r="DY280" i="31"/>
  <c r="NP281" i="31"/>
  <c r="MT281" i="31"/>
  <c r="NH282" i="31"/>
  <c r="NI282" i="31" s="1"/>
  <c r="NQ281" i="31"/>
  <c r="NJ281" i="31"/>
  <c r="MO281" i="31"/>
  <c r="MU281" i="31"/>
  <c r="PE281" i="31"/>
  <c r="FJ281" i="31" l="1"/>
  <c r="GQ280" i="31"/>
  <c r="JT281" i="31"/>
  <c r="HP280" i="31"/>
  <c r="HS280" i="31" s="1"/>
  <c r="JG280" i="31" s="1"/>
  <c r="JU280" i="31"/>
  <c r="IA280" i="31"/>
  <c r="IB280" i="31" s="1"/>
  <c r="KC280" i="31"/>
  <c r="FG281" i="31"/>
  <c r="KV280" i="31"/>
  <c r="KW281" i="31" s="1"/>
  <c r="HQ280" i="31"/>
  <c r="HR281" i="31" s="1"/>
  <c r="NR281" i="31"/>
  <c r="NK281" i="31"/>
  <c r="NL281" i="31"/>
  <c r="NG282" i="31"/>
  <c r="OQ282" i="31"/>
  <c r="EM280" i="31"/>
  <c r="EW280" i="31" s="1"/>
  <c r="EN280" i="31"/>
  <c r="AZ280" i="31"/>
  <c r="NB281" i="31"/>
  <c r="NA281" i="31"/>
  <c r="HT280" i="31" l="1"/>
  <c r="IC280" i="31" s="1"/>
  <c r="ID280" i="31" s="1"/>
  <c r="IF280" i="31" s="1"/>
  <c r="KH280" i="31" s="1"/>
  <c r="BB281" i="31"/>
  <c r="DW280" i="31"/>
  <c r="DU281" i="31" s="1"/>
  <c r="EQ280" i="31"/>
  <c r="ER281" i="31"/>
  <c r="IU280" i="31"/>
  <c r="IV280" i="31" s="1"/>
  <c r="OR282" i="31"/>
  <c r="NC282" i="31"/>
  <c r="MQ282" i="31"/>
  <c r="JB280" i="31" l="1"/>
  <c r="IW280" i="31"/>
  <c r="KB280" i="31" s="1"/>
  <c r="EU281" i="31"/>
  <c r="BC281" i="31"/>
  <c r="IX280" i="31"/>
  <c r="KK280" i="31"/>
  <c r="GM280" i="31"/>
  <c r="IM280" i="31"/>
  <c r="DB280" i="31"/>
  <c r="DC280" i="31" s="1"/>
  <c r="DD281" i="31" s="1"/>
  <c r="DE282" i="31" s="1"/>
  <c r="KI281" i="31"/>
  <c r="IN280" i="31"/>
  <c r="DF280" i="31"/>
  <c r="DT280" i="31" l="1"/>
  <c r="DZ280" i="31" s="1"/>
  <c r="GT282" i="31"/>
  <c r="GV280" i="31"/>
  <c r="GU280" i="31"/>
  <c r="FD280" i="31"/>
  <c r="KJ281" i="31"/>
  <c r="BD281" i="31"/>
  <c r="BE281" i="31"/>
  <c r="GR280" i="31"/>
  <c r="BF281" i="31" l="1"/>
  <c r="BG281" i="31"/>
  <c r="IS280" i="31"/>
  <c r="FL281" i="31"/>
  <c r="GS280" i="31"/>
  <c r="FM281" i="31" l="1"/>
  <c r="GX280" i="31"/>
  <c r="GW280" i="31"/>
  <c r="HC280" i="31" s="1"/>
  <c r="FA281" i="31" s="1"/>
  <c r="HB281" i="31" s="1"/>
  <c r="GY280" i="31"/>
  <c r="BI281" i="31"/>
  <c r="BK281" i="31" s="1"/>
  <c r="BH281" i="31"/>
  <c r="JH280" i="31"/>
  <c r="JI280" i="31" s="1"/>
  <c r="IT280" i="31"/>
  <c r="BJ281" i="31" l="1"/>
  <c r="BL281" i="31"/>
  <c r="BM281" i="31"/>
  <c r="JK280" i="31"/>
  <c r="JN280" i="31" s="1"/>
  <c r="JV280" i="31" s="1"/>
  <c r="JF281" i="31" s="1"/>
  <c r="HM280" i="31"/>
  <c r="EG280" i="31"/>
  <c r="EH281" i="31" s="1"/>
  <c r="EI281" i="31" s="1"/>
  <c r="FK281" i="31" s="1"/>
  <c r="EY280" i="31"/>
  <c r="HK281" i="31"/>
  <c r="JW281" i="31" l="1"/>
  <c r="JY281" i="31"/>
  <c r="JZ280" i="31"/>
  <c r="KF280" i="31" s="1"/>
  <c r="IQ281" i="31" s="1"/>
  <c r="BO281" i="31"/>
  <c r="BN281" i="31"/>
  <c r="JL280" i="31"/>
  <c r="JJ281" i="31" s="1"/>
  <c r="KA281" i="31"/>
  <c r="EZ280" i="31"/>
  <c r="DG280" i="31"/>
  <c r="DH280" i="31" s="1"/>
  <c r="DI281" i="31" s="1"/>
  <c r="EJ280" i="31"/>
  <c r="EK281" i="31" s="1"/>
  <c r="ED280" i="31"/>
  <c r="EB281" i="31" s="1"/>
  <c r="EE280" i="31"/>
  <c r="EF281" i="31" s="1"/>
  <c r="JM280" i="31"/>
  <c r="KD280" i="31" s="1"/>
  <c r="IL281" i="31" s="1"/>
  <c r="DP281" i="31" l="1"/>
  <c r="BP281" i="31"/>
  <c r="BQ281" i="31" s="1"/>
  <c r="IP281" i="31"/>
  <c r="IO281" i="31"/>
  <c r="HZ281" i="31"/>
  <c r="JC281" i="31"/>
  <c r="JD281" i="31"/>
  <c r="IR281" i="31"/>
  <c r="JO281" i="31"/>
  <c r="JE281" i="31"/>
  <c r="JA281" i="31"/>
  <c r="IY281" i="31"/>
  <c r="GZ281" i="31"/>
  <c r="IE281" i="31" s="1"/>
  <c r="DJ281" i="31"/>
  <c r="DK281" i="31" s="1"/>
  <c r="EO281" i="31"/>
  <c r="ES282" i="31" s="1"/>
  <c r="EP281" i="31"/>
  <c r="ET282" i="31" s="1"/>
  <c r="FC281" i="31"/>
  <c r="EL281" i="31"/>
  <c r="EV281" i="31"/>
  <c r="KG281" i="31" l="1"/>
  <c r="BR281" i="31"/>
  <c r="BS281" i="31"/>
  <c r="EC281" i="31"/>
  <c r="JP281" i="31"/>
  <c r="JQ281" i="31" s="1"/>
  <c r="FQ281" i="31"/>
  <c r="DX281" i="31"/>
  <c r="DM281" i="31"/>
  <c r="JX281" i="31"/>
  <c r="BT281" i="31" l="1"/>
  <c r="BU281" i="31"/>
  <c r="FB281" i="31"/>
  <c r="EX281" i="31"/>
  <c r="M281" i="31" s="1"/>
  <c r="DL281" i="31"/>
  <c r="L282" i="31"/>
  <c r="BV281" i="31" l="1"/>
  <c r="BW281" i="31" s="1"/>
  <c r="MJ281" i="31"/>
  <c r="NS281" i="31" s="1"/>
  <c r="MB281" i="31"/>
  <c r="BX281" i="31" l="1"/>
  <c r="BY281" i="31"/>
  <c r="BZ281" i="31" s="1"/>
  <c r="NM281" i="31"/>
  <c r="NN281" i="31" s="1"/>
  <c r="NT281" i="31"/>
  <c r="OU282" i="31"/>
  <c r="CA281" i="31" l="1"/>
  <c r="CB281" i="31" s="1"/>
  <c r="CC281" i="31" s="1"/>
  <c r="OV282" i="31"/>
  <c r="NW281" i="31"/>
  <c r="NX281" i="31"/>
  <c r="FR281" i="31"/>
  <c r="CX281" i="31"/>
  <c r="FV281" i="31"/>
  <c r="NU281" i="31"/>
  <c r="CD281" i="31" l="1"/>
  <c r="CE281" i="31"/>
  <c r="CG281" i="31" s="1"/>
  <c r="NY281" i="31"/>
  <c r="NV281" i="31"/>
  <c r="NZ281" i="31"/>
  <c r="MY281" i="31"/>
  <c r="CY282" i="31"/>
  <c r="OF281" i="31"/>
  <c r="OS282" i="31" s="1"/>
  <c r="CF281" i="31" l="1"/>
  <c r="CH281" i="31"/>
  <c r="CI281" i="31" s="1"/>
  <c r="OO282" i="31"/>
  <c r="NF282" i="31"/>
  <c r="OM282" i="31"/>
  <c r="MZ282" i="31"/>
  <c r="OZ281" i="31"/>
  <c r="OI281" i="31"/>
  <c r="OB281" i="31"/>
  <c r="OT282" i="31" s="1"/>
  <c r="OA281" i="31"/>
  <c r="MV282" i="31" s="1"/>
  <c r="CK281" i="31" l="1"/>
  <c r="CJ281" i="31"/>
  <c r="CO281" i="31" s="1"/>
  <c r="OG282" i="31"/>
  <c r="KT282" i="31"/>
  <c r="PA281" i="31"/>
  <c r="OJ281" i="31"/>
  <c r="OC281" i="31"/>
  <c r="OD282" i="31" s="1"/>
  <c r="OH282" i="31" s="1"/>
  <c r="MR282" i="31"/>
  <c r="OX282" i="31"/>
  <c r="OW281" i="31"/>
  <c r="OK282" i="31" l="1"/>
  <c r="CL281" i="31"/>
  <c r="CM281" i="31"/>
  <c r="CN281" i="31" s="1"/>
  <c r="MS282" i="31"/>
  <c r="OY282" i="31"/>
  <c r="MW282" i="31"/>
  <c r="KL282" i="31"/>
  <c r="KN283" i="31" s="1"/>
  <c r="KM282" i="31"/>
  <c r="KO283" i="31" s="1"/>
  <c r="CP281" i="31" l="1"/>
  <c r="FP281" i="31" s="1"/>
  <c r="FS281" i="31" s="1"/>
  <c r="MX282" i="31"/>
  <c r="KQ282" i="31"/>
  <c r="KP283" i="31"/>
  <c r="KR282" i="31"/>
  <c r="NJ282" i="31"/>
  <c r="NH283" i="31"/>
  <c r="NI283" i="31" s="1"/>
  <c r="MT282" i="31"/>
  <c r="MU282" i="31"/>
  <c r="NQ282" i="31"/>
  <c r="MO282" i="31"/>
  <c r="NP282" i="31"/>
  <c r="PE282" i="31"/>
  <c r="FE281" i="31"/>
  <c r="FF281" i="31" s="1"/>
  <c r="FZ281" i="31" l="1"/>
  <c r="GA281" i="31" s="1"/>
  <c r="GB281" i="31"/>
  <c r="GC281" i="31" s="1"/>
  <c r="FH281" i="31"/>
  <c r="FI281" i="31" s="1"/>
  <c r="HU281" i="31" s="1"/>
  <c r="HV282" i="31" s="1"/>
  <c r="FU281" i="31"/>
  <c r="FW281" i="31" s="1"/>
  <c r="CQ281" i="31"/>
  <c r="CS281" i="31" s="1"/>
  <c r="FX281" i="31"/>
  <c r="FY281" i="31" s="1"/>
  <c r="DQ281" i="31"/>
  <c r="DR281" i="31" s="1"/>
  <c r="DS281" i="31" s="1"/>
  <c r="AX281" i="31" s="1"/>
  <c r="AY282" i="31" s="1"/>
  <c r="GO281" i="31"/>
  <c r="HO281" i="31"/>
  <c r="IZ281" i="31" s="1"/>
  <c r="KU281" i="31"/>
  <c r="JR281" i="31"/>
  <c r="JS281" i="31" s="1"/>
  <c r="KC281" i="31" s="1"/>
  <c r="KX281" i="31"/>
  <c r="GN281" i="31" s="1"/>
  <c r="KS282" i="31"/>
  <c r="DY281" i="31"/>
  <c r="HA281" i="31"/>
  <c r="HY281" i="31"/>
  <c r="NR282" i="31"/>
  <c r="HW281" i="31"/>
  <c r="HX282" i="31" s="1"/>
  <c r="FG282" i="31"/>
  <c r="NK282" i="31"/>
  <c r="NL282" i="31"/>
  <c r="NG283" i="31"/>
  <c r="OQ283" i="31"/>
  <c r="NA282" i="31"/>
  <c r="NB282" i="31"/>
  <c r="FJ282" i="31" l="1"/>
  <c r="GQ281" i="31"/>
  <c r="CR281" i="31"/>
  <c r="CT281" i="31"/>
  <c r="IA281" i="31"/>
  <c r="IB281" i="31" s="1"/>
  <c r="JT282" i="31"/>
  <c r="KE281" i="31"/>
  <c r="KV281" i="31"/>
  <c r="KW282" i="31" s="1"/>
  <c r="JU281" i="31"/>
  <c r="HP281" i="31"/>
  <c r="HT281" i="31" s="1"/>
  <c r="HQ281" i="31"/>
  <c r="HR282" i="31" s="1"/>
  <c r="NC283" i="31"/>
  <c r="MQ283" i="31"/>
  <c r="OR283" i="31"/>
  <c r="AZ281" i="31"/>
  <c r="EN281" i="31"/>
  <c r="EM281" i="31"/>
  <c r="EW281" i="31" s="1"/>
  <c r="HS281" i="31" l="1"/>
  <c r="JG281" i="31" s="1"/>
  <c r="IC281" i="31"/>
  <c r="ID281" i="31" s="1"/>
  <c r="IF281" i="31" s="1"/>
  <c r="KH281" i="31" s="1"/>
  <c r="JB281" i="31"/>
  <c r="BB282" i="31"/>
  <c r="EQ281" i="31"/>
  <c r="DW281" i="31"/>
  <c r="DU282" i="31" s="1"/>
  <c r="ER282" i="31"/>
  <c r="IU281" i="31"/>
  <c r="IV281" i="31" s="1"/>
  <c r="IW281" i="31" l="1"/>
  <c r="KB281" i="31" s="1"/>
  <c r="KK281" i="31"/>
  <c r="IX281" i="31"/>
  <c r="BC282" i="31"/>
  <c r="EU282" i="31"/>
  <c r="GM281" i="31"/>
  <c r="IM281" i="31"/>
  <c r="DB281" i="31"/>
  <c r="DC281" i="31" s="1"/>
  <c r="DD282" i="31" s="1"/>
  <c r="DE283" i="31" s="1"/>
  <c r="KI282" i="31"/>
  <c r="IN281" i="31"/>
  <c r="DF281" i="31"/>
  <c r="DT281" i="31" l="1"/>
  <c r="DZ281" i="31" s="1"/>
  <c r="GT283" i="31"/>
  <c r="GR281" i="31"/>
  <c r="BE282" i="31"/>
  <c r="BD282" i="31"/>
  <c r="KJ282" i="31"/>
  <c r="FD281" i="31"/>
  <c r="GV281" i="31"/>
  <c r="GU281" i="31"/>
  <c r="BF282" i="31" l="1"/>
  <c r="BG282" i="31"/>
  <c r="GS281" i="31"/>
  <c r="IS281" i="31"/>
  <c r="FL282" i="31"/>
  <c r="FM282" i="31" l="1"/>
  <c r="BI282" i="31"/>
  <c r="BK282" i="31" s="1"/>
  <c r="BH282" i="31"/>
  <c r="JH281" i="31"/>
  <c r="JI281" i="31" s="1"/>
  <c r="IT281" i="31"/>
  <c r="GX281" i="31"/>
  <c r="GY281" i="31"/>
  <c r="GW281" i="31"/>
  <c r="HC281" i="31" s="1"/>
  <c r="FA282" i="31" s="1"/>
  <c r="HB282" i="31" s="1"/>
  <c r="BJ282" i="31" l="1"/>
  <c r="BL282" i="31"/>
  <c r="BM282" i="31"/>
  <c r="EY281" i="31"/>
  <c r="HM281" i="31"/>
  <c r="EG281" i="31"/>
  <c r="EH282" i="31" s="1"/>
  <c r="EI282" i="31" s="1"/>
  <c r="FK282" i="31" s="1"/>
  <c r="HK282" i="31"/>
  <c r="JK281" i="31"/>
  <c r="JZ281" i="31" s="1"/>
  <c r="KF281" i="31" s="1"/>
  <c r="IQ282" i="31" s="1"/>
  <c r="JM281" i="31" l="1"/>
  <c r="KD281" i="31" s="1"/>
  <c r="IL282" i="31" s="1"/>
  <c r="JE282" i="31" s="1"/>
  <c r="ED281" i="31"/>
  <c r="EB282" i="31" s="1"/>
  <c r="IY282" i="31" s="1"/>
  <c r="EJ281" i="31"/>
  <c r="EK282" i="31" s="1"/>
  <c r="EE281" i="31"/>
  <c r="EF282" i="31" s="1"/>
  <c r="JN281" i="31"/>
  <c r="JV281" i="31" s="1"/>
  <c r="JF282" i="31" s="1"/>
  <c r="JL281" i="31"/>
  <c r="JJ282" i="31" s="1"/>
  <c r="KA282" i="31"/>
  <c r="EZ281" i="31"/>
  <c r="DG281" i="31"/>
  <c r="DH281" i="31" s="1"/>
  <c r="DI282" i="31" s="1"/>
  <c r="BN282" i="31"/>
  <c r="BO282" i="31"/>
  <c r="JO282" i="31" l="1"/>
  <c r="IR282" i="31"/>
  <c r="IP282" i="31"/>
  <c r="JA282" i="31"/>
  <c r="IO282" i="31"/>
  <c r="JP282" i="31" s="1"/>
  <c r="JQ282" i="31" s="1"/>
  <c r="HZ282" i="31"/>
  <c r="GZ282" i="31"/>
  <c r="IE282" i="31" s="1"/>
  <c r="DJ282" i="31"/>
  <c r="DK282" i="31" s="1"/>
  <c r="BP282" i="31"/>
  <c r="BQ282" i="31" s="1"/>
  <c r="DP282" i="31"/>
  <c r="JC282" i="31"/>
  <c r="JD282" i="31"/>
  <c r="JY282" i="31"/>
  <c r="JW282" i="31"/>
  <c r="FC282" i="31"/>
  <c r="EP282" i="31"/>
  <c r="ET283" i="31" s="1"/>
  <c r="EL282" i="31"/>
  <c r="JX282" i="31" s="1"/>
  <c r="EO282" i="31"/>
  <c r="ES283" i="31" s="1"/>
  <c r="EV282" i="31"/>
  <c r="BR282" i="31" l="1"/>
  <c r="BS282" i="31"/>
  <c r="EC282" i="31"/>
  <c r="DM282" i="31"/>
  <c r="FQ282" i="31"/>
  <c r="DX282" i="31"/>
  <c r="KG282" i="31"/>
  <c r="DL282" i="31" l="1"/>
  <c r="L283" i="31"/>
  <c r="FB282" i="31"/>
  <c r="EX282" i="31"/>
  <c r="M282" i="31" s="1"/>
  <c r="BT282" i="31"/>
  <c r="BU282" i="31"/>
  <c r="BV282" i="31" l="1"/>
  <c r="BW282" i="31" s="1"/>
  <c r="MB282" i="31"/>
  <c r="NM282" i="31" s="1"/>
  <c r="NN282" i="31" s="1"/>
  <c r="MJ282" i="31"/>
  <c r="NS282" i="31" s="1"/>
  <c r="BY282" i="31" l="1"/>
  <c r="BX282" i="31"/>
  <c r="OV283" i="31"/>
  <c r="NW282" i="31"/>
  <c r="NX282" i="31" s="1"/>
  <c r="NT282" i="31"/>
  <c r="OU283" i="31"/>
  <c r="BZ282" i="31" l="1"/>
  <c r="CA282" i="31"/>
  <c r="CB282" i="31" s="1"/>
  <c r="CC282" i="31" s="1"/>
  <c r="FV282" i="31"/>
  <c r="FR282" i="31"/>
  <c r="CX282" i="31"/>
  <c r="NU282" i="31"/>
  <c r="OF282" i="31"/>
  <c r="OS283" i="31" s="1"/>
  <c r="NY282" i="31"/>
  <c r="CD282" i="31" l="1"/>
  <c r="CE282" i="31"/>
  <c r="CF282" i="31" s="1"/>
  <c r="OB282" i="31"/>
  <c r="OT283" i="31" s="1"/>
  <c r="NV282" i="31"/>
  <c r="MY282" i="31"/>
  <c r="OI282" i="31" s="1"/>
  <c r="NZ282" i="31"/>
  <c r="OA282" i="31" s="1"/>
  <c r="MV283" i="31" s="1"/>
  <c r="CY283" i="31"/>
  <c r="CG282" i="31" l="1"/>
  <c r="CH282" i="31" s="1"/>
  <c r="CI282" i="31" s="1"/>
  <c r="OX283" i="31"/>
  <c r="OW282" i="31"/>
  <c r="MR283" i="31"/>
  <c r="OG283" i="31"/>
  <c r="PA282" i="31"/>
  <c r="OJ282" i="31"/>
  <c r="NF283" i="31"/>
  <c r="OM283" i="31"/>
  <c r="OO283" i="31"/>
  <c r="KT283" i="31" s="1"/>
  <c r="OC282" i="31"/>
  <c r="OD283" i="31" s="1"/>
  <c r="OH283" i="31" s="1"/>
  <c r="MZ283" i="31"/>
  <c r="OZ282" i="31"/>
  <c r="CJ282" i="31" l="1"/>
  <c r="CO282" i="31" s="1"/>
  <c r="CK282" i="31"/>
  <c r="OK283" i="31"/>
  <c r="KM283" i="31"/>
  <c r="KO284" i="31" s="1"/>
  <c r="KL283" i="31"/>
  <c r="KN284" i="31" s="1"/>
  <c r="MS283" i="31"/>
  <c r="MW283" i="31"/>
  <c r="OY283" i="31"/>
  <c r="CL282" i="31" l="1"/>
  <c r="CM282" i="31"/>
  <c r="CN282" i="31" s="1"/>
  <c r="NQ283" i="31"/>
  <c r="NJ283" i="31"/>
  <c r="MO283" i="31"/>
  <c r="MT283" i="31"/>
  <c r="MU283" i="31"/>
  <c r="NH284" i="31"/>
  <c r="NI284" i="31" s="1"/>
  <c r="NP283" i="31"/>
  <c r="PE283" i="31"/>
  <c r="KQ283" i="31"/>
  <c r="MX283" i="31"/>
  <c r="KP284" i="31"/>
  <c r="KR283" i="31"/>
  <c r="CP282" i="31" l="1"/>
  <c r="GB282" i="31" s="1"/>
  <c r="GC282" i="31" s="1"/>
  <c r="NR283" i="31"/>
  <c r="KS283" i="31"/>
  <c r="NB283" i="31"/>
  <c r="NA283" i="31"/>
  <c r="NK283" i="31"/>
  <c r="NL283" i="31"/>
  <c r="NG284" i="31"/>
  <c r="OQ284" i="31"/>
  <c r="HO282" i="31" l="1"/>
  <c r="FH282" i="31"/>
  <c r="FI282" i="31" s="1"/>
  <c r="HU282" i="31" s="1"/>
  <c r="HV283" i="31" s="1"/>
  <c r="JR282" i="31"/>
  <c r="JS282" i="31" s="1"/>
  <c r="JT283" i="31" s="1"/>
  <c r="KU282" i="31"/>
  <c r="FZ282" i="31"/>
  <c r="GA282" i="31" s="1"/>
  <c r="CQ282" i="31"/>
  <c r="CR282" i="31" s="1"/>
  <c r="FX282" i="31"/>
  <c r="FY282" i="31" s="1"/>
  <c r="KX282" i="31"/>
  <c r="GN282" i="31" s="1"/>
  <c r="GO282" i="31"/>
  <c r="FU282" i="31"/>
  <c r="FW282" i="31" s="1"/>
  <c r="DQ282" i="31"/>
  <c r="DR282" i="31" s="1"/>
  <c r="DS282" i="31" s="1"/>
  <c r="AX282" i="31" s="1"/>
  <c r="AY283" i="31" s="1"/>
  <c r="FE282" i="31"/>
  <c r="FF282" i="31" s="1"/>
  <c r="FG283" i="31" s="1"/>
  <c r="FP282" i="31"/>
  <c r="FS282" i="31" s="1"/>
  <c r="DY282" i="31" s="1"/>
  <c r="JU282" i="31"/>
  <c r="KC282" i="31"/>
  <c r="KE282" i="31"/>
  <c r="NC284" i="31"/>
  <c r="MQ284" i="31"/>
  <c r="OR284" i="31"/>
  <c r="HP282" i="31"/>
  <c r="IA282" i="31"/>
  <c r="IB282" i="31" s="1"/>
  <c r="IZ282" i="31"/>
  <c r="HW282" i="31" l="1"/>
  <c r="HX283" i="31" s="1"/>
  <c r="CS282" i="31"/>
  <c r="CT282" i="31"/>
  <c r="HY282" i="31"/>
  <c r="HA282" i="31"/>
  <c r="KV282" i="31"/>
  <c r="KW283" i="31" s="1"/>
  <c r="GQ282" i="31"/>
  <c r="FJ283" i="31"/>
  <c r="HQ282" i="31"/>
  <c r="HR283" i="31" s="1"/>
  <c r="AZ282" i="31"/>
  <c r="EM282" i="31"/>
  <c r="EW282" i="31" s="1"/>
  <c r="EN282" i="31"/>
  <c r="HT282" i="31"/>
  <c r="HS282" i="31"/>
  <c r="JG282" i="31" s="1"/>
  <c r="BB283" i="31" l="1"/>
  <c r="DW282" i="31"/>
  <c r="DU283" i="31" s="1"/>
  <c r="EQ282" i="31"/>
  <c r="ER283" i="31"/>
  <c r="IU282" i="31"/>
  <c r="IV282" i="31" s="1"/>
  <c r="IC282" i="31"/>
  <c r="ID282" i="31" s="1"/>
  <c r="IF282" i="31" s="1"/>
  <c r="KH282" i="31" s="1"/>
  <c r="JB282" i="31"/>
  <c r="IW282" i="31" l="1"/>
  <c r="KB282" i="31" s="1"/>
  <c r="KK282" i="31"/>
  <c r="IX282" i="31"/>
  <c r="EU283" i="31"/>
  <c r="BC283" i="31"/>
  <c r="GM282" i="31"/>
  <c r="IM282" i="31"/>
  <c r="DT282" i="31" s="1"/>
  <c r="DZ282" i="31" s="1"/>
  <c r="DB282" i="31"/>
  <c r="DC282" i="31" s="1"/>
  <c r="DD283" i="31" s="1"/>
  <c r="DE284" i="31" s="1"/>
  <c r="KI283" i="31"/>
  <c r="IN282" i="31"/>
  <c r="DF282" i="31"/>
  <c r="GT284" i="31" l="1"/>
  <c r="GR282" i="31"/>
  <c r="KJ283" i="31"/>
  <c r="BE283" i="31"/>
  <c r="BD283" i="31"/>
  <c r="FD282" i="31"/>
  <c r="GV282" i="31"/>
  <c r="GU282" i="31"/>
  <c r="GS282" i="31" l="1"/>
  <c r="BF283" i="31"/>
  <c r="BG283" i="31"/>
  <c r="IS282" i="31"/>
  <c r="FL283" i="31"/>
  <c r="FM283" i="31" l="1"/>
  <c r="BI283" i="31"/>
  <c r="BK283" i="31" s="1"/>
  <c r="BH283" i="31"/>
  <c r="JH282" i="31"/>
  <c r="JI282" i="31" s="1"/>
  <c r="IT282" i="31"/>
  <c r="GW282" i="31"/>
  <c r="HC282" i="31" s="1"/>
  <c r="FA283" i="31" s="1"/>
  <c r="HB283" i="31" s="1"/>
  <c r="GX282" i="31"/>
  <c r="GY282" i="31"/>
  <c r="HM282" i="31" l="1"/>
  <c r="EG282" i="31"/>
  <c r="EH283" i="31" s="1"/>
  <c r="EI283" i="31" s="1"/>
  <c r="FK283" i="31" s="1"/>
  <c r="EY282" i="31"/>
  <c r="HK283" i="31"/>
  <c r="BL283" i="31"/>
  <c r="BM283" i="31"/>
  <c r="BJ283" i="31"/>
  <c r="JK282" i="31"/>
  <c r="JZ282" i="31" s="1"/>
  <c r="KF282" i="31" s="1"/>
  <c r="IQ283" i="31" s="1"/>
  <c r="JM282" i="31" l="1"/>
  <c r="KD282" i="31" s="1"/>
  <c r="IL283" i="31" s="1"/>
  <c r="IR283" i="31" s="1"/>
  <c r="BN283" i="31"/>
  <c r="BO283" i="31"/>
  <c r="JN282" i="31"/>
  <c r="JV282" i="31" s="1"/>
  <c r="JF283" i="31" s="1"/>
  <c r="EZ282" i="31"/>
  <c r="DG282" i="31"/>
  <c r="DH282" i="31" s="1"/>
  <c r="DI283" i="31" s="1"/>
  <c r="JL282" i="31"/>
  <c r="JJ283" i="31" s="1"/>
  <c r="KA283" i="31"/>
  <c r="EJ282" i="31"/>
  <c r="EK283" i="31" s="1"/>
  <c r="ED282" i="31"/>
  <c r="EB283" i="31" s="1"/>
  <c r="EE282" i="31"/>
  <c r="EF283" i="31" s="1"/>
  <c r="JO283" i="31" l="1"/>
  <c r="IP283" i="31"/>
  <c r="JE283" i="31"/>
  <c r="GZ283" i="31"/>
  <c r="IE283" i="31" s="1"/>
  <c r="DJ283" i="31"/>
  <c r="DK283" i="31" s="1"/>
  <c r="BP283" i="31"/>
  <c r="BQ283" i="31" s="1"/>
  <c r="DP283" i="31"/>
  <c r="EO283" i="31"/>
  <c r="ES284" i="31" s="1"/>
  <c r="FC283" i="31"/>
  <c r="EL283" i="31"/>
  <c r="EP283" i="31"/>
  <c r="ET284" i="31" s="1"/>
  <c r="EV283" i="31"/>
  <c r="JC283" i="31"/>
  <c r="JD283" i="31"/>
  <c r="HZ283" i="31"/>
  <c r="JA283" i="31"/>
  <c r="IO283" i="31"/>
  <c r="JY283" i="31"/>
  <c r="JW283" i="31"/>
  <c r="IY283" i="31"/>
  <c r="JX283" i="31" l="1"/>
  <c r="KG283" i="31"/>
  <c r="JP283" i="31"/>
  <c r="JQ283" i="31" s="1"/>
  <c r="BR283" i="31"/>
  <c r="BS283" i="31"/>
  <c r="FQ283" i="31"/>
  <c r="DX283" i="31"/>
  <c r="DM283" i="31"/>
  <c r="EC283" i="31"/>
  <c r="DL283" i="31" l="1"/>
  <c r="L284" i="31"/>
  <c r="FB283" i="31"/>
  <c r="EX283" i="31"/>
  <c r="M283" i="31" s="1"/>
  <c r="BT283" i="31"/>
  <c r="BU283" i="31"/>
  <c r="BV283" i="31" l="1"/>
  <c r="BW283" i="31" s="1"/>
  <c r="MJ283" i="31"/>
  <c r="NS283" i="31" s="1"/>
  <c r="MB283" i="31"/>
  <c r="NM283" i="31" s="1"/>
  <c r="NN283" i="31" s="1"/>
  <c r="BX283" i="31" l="1"/>
  <c r="BY283" i="31"/>
  <c r="CA283" i="31" s="1"/>
  <c r="OV284" i="31"/>
  <c r="NW283" i="31"/>
  <c r="NT283" i="31"/>
  <c r="OU284" i="31"/>
  <c r="BZ283" i="31" l="1"/>
  <c r="NX283" i="31"/>
  <c r="FV283" i="31"/>
  <c r="FR283" i="31"/>
  <c r="CX283" i="31"/>
  <c r="NU283" i="31"/>
  <c r="CB283" i="31"/>
  <c r="CC283" i="31" s="1"/>
  <c r="CD283" i="31" l="1"/>
  <c r="CE283" i="31"/>
  <c r="CG283" i="31" s="1"/>
  <c r="NY283" i="31"/>
  <c r="MY283" i="31"/>
  <c r="NZ283" i="31"/>
  <c r="CY284" i="31"/>
  <c r="OF283" i="31"/>
  <c r="OS284" i="31" s="1"/>
  <c r="NV283" i="31"/>
  <c r="CF283" i="31" l="1"/>
  <c r="CH283" i="31"/>
  <c r="CI283" i="31" s="1"/>
  <c r="MZ284" i="31"/>
  <c r="OZ283" i="31"/>
  <c r="OB283" i="31"/>
  <c r="OT284" i="31" s="1"/>
  <c r="OI283" i="31"/>
  <c r="OA283" i="31"/>
  <c r="MV284" i="31" s="1"/>
  <c r="OM284" i="31"/>
  <c r="NF284" i="31"/>
  <c r="OO284" i="31"/>
  <c r="CK283" i="31" l="1"/>
  <c r="CM283" i="31" s="1"/>
  <c r="CN283" i="31" s="1"/>
  <c r="CJ283" i="31"/>
  <c r="CO283" i="31" s="1"/>
  <c r="KT284" i="31"/>
  <c r="OG284" i="31"/>
  <c r="PA283" i="31"/>
  <c r="OJ283" i="31"/>
  <c r="OC283" i="31"/>
  <c r="OD284" i="31" s="1"/>
  <c r="OH284" i="31" s="1"/>
  <c r="MR284" i="31"/>
  <c r="OW283" i="31"/>
  <c r="OX284" i="31"/>
  <c r="CL283" i="31" l="1"/>
  <c r="CP283" i="31" s="1"/>
  <c r="OY284" i="31"/>
  <c r="MW284" i="31"/>
  <c r="OK284" i="31"/>
  <c r="MS284" i="31"/>
  <c r="KM284" i="31"/>
  <c r="KO285" i="31" s="1"/>
  <c r="KL284" i="31"/>
  <c r="KN285" i="31" s="1"/>
  <c r="KQ284" i="31" l="1"/>
  <c r="NP284" i="31"/>
  <c r="MU284" i="31"/>
  <c r="MT284" i="31"/>
  <c r="MO284" i="31"/>
  <c r="NJ284" i="31"/>
  <c r="NH285" i="31"/>
  <c r="NI285" i="31" s="1"/>
  <c r="NQ284" i="31"/>
  <c r="PE284" i="31"/>
  <c r="MX284" i="31"/>
  <c r="KP285" i="31"/>
  <c r="KR284" i="31"/>
  <c r="FZ283" i="31"/>
  <c r="GA283" i="31" s="1"/>
  <c r="FH283" i="31"/>
  <c r="FI283" i="31" s="1"/>
  <c r="JR283" i="31"/>
  <c r="JS283" i="31" s="1"/>
  <c r="CQ283" i="31"/>
  <c r="HO283" i="31"/>
  <c r="FX283" i="31"/>
  <c r="FY283" i="31" s="1"/>
  <c r="FP283" i="31"/>
  <c r="FS283" i="31" s="1"/>
  <c r="FE283" i="31"/>
  <c r="FF283" i="31" s="1"/>
  <c r="FU283" i="31"/>
  <c r="FW283" i="31" s="1"/>
  <c r="GB283" i="31"/>
  <c r="GC283" i="31" s="1"/>
  <c r="DQ283" i="31"/>
  <c r="DR283" i="31" s="1"/>
  <c r="GO283" i="31"/>
  <c r="KX283" i="31"/>
  <c r="KU283" i="31"/>
  <c r="GN283" i="31" l="1"/>
  <c r="GQ283" i="31" s="1"/>
  <c r="DS283" i="31"/>
  <c r="AX283" i="31" s="1"/>
  <c r="AY284" i="31" s="1"/>
  <c r="JU283" i="31"/>
  <c r="KC283" i="31"/>
  <c r="JT284" i="31"/>
  <c r="KE283" i="31"/>
  <c r="NB284" i="31"/>
  <c r="NA284" i="31"/>
  <c r="NK284" i="31"/>
  <c r="NL284" i="31"/>
  <c r="NG285" i="31"/>
  <c r="OQ285" i="31"/>
  <c r="CS283" i="31"/>
  <c r="CR283" i="31"/>
  <c r="CT283" i="31"/>
  <c r="HU283" i="31"/>
  <c r="HV284" i="31" s="1"/>
  <c r="FJ284" i="31"/>
  <c r="KS284" i="31"/>
  <c r="DY283" i="31"/>
  <c r="HA283" i="31"/>
  <c r="HY283" i="31"/>
  <c r="HP283" i="31"/>
  <c r="IA283" i="31"/>
  <c r="IB283" i="31" s="1"/>
  <c r="IZ283" i="31"/>
  <c r="FG284" i="31"/>
  <c r="HW283" i="31"/>
  <c r="HX284" i="31" s="1"/>
  <c r="NR284" i="31"/>
  <c r="KV283" i="31" l="1"/>
  <c r="KW284" i="31" s="1"/>
  <c r="HQ283" i="31"/>
  <c r="HR284" i="31" s="1"/>
  <c r="AZ283" i="31"/>
  <c r="EN283" i="31"/>
  <c r="EM283" i="31"/>
  <c r="EW283" i="31" s="1"/>
  <c r="NC285" i="31"/>
  <c r="MQ285" i="31"/>
  <c r="HT283" i="31"/>
  <c r="HS283" i="31"/>
  <c r="JG283" i="31" s="1"/>
  <c r="OR285" i="31"/>
  <c r="IC283" i="31" l="1"/>
  <c r="ID283" i="31" s="1"/>
  <c r="IF283" i="31" s="1"/>
  <c r="KH283" i="31" s="1"/>
  <c r="JB283" i="31"/>
  <c r="BB284" i="31"/>
  <c r="EQ283" i="31"/>
  <c r="DW283" i="31"/>
  <c r="DU284" i="31" s="1"/>
  <c r="IW283" i="31"/>
  <c r="ER284" i="31"/>
  <c r="IU283" i="31"/>
  <c r="IV283" i="31" s="1"/>
  <c r="BC284" i="31" l="1"/>
  <c r="KB283" i="31"/>
  <c r="IX283" i="31"/>
  <c r="KK283" i="31"/>
  <c r="DB283" i="31"/>
  <c r="DC283" i="31" s="1"/>
  <c r="DD284" i="31" s="1"/>
  <c r="DE285" i="31" s="1"/>
  <c r="GM283" i="31"/>
  <c r="IM283" i="31"/>
  <c r="DT283" i="31" s="1"/>
  <c r="DZ283" i="31" s="1"/>
  <c r="KI284" i="31"/>
  <c r="IN283" i="31"/>
  <c r="DF283" i="31"/>
  <c r="EU284" i="31"/>
  <c r="GT285" i="31" l="1"/>
  <c r="GR283" i="31"/>
  <c r="KJ284" i="31"/>
  <c r="FD283" i="31"/>
  <c r="GV283" i="31"/>
  <c r="GU283" i="31"/>
  <c r="BD284" i="31"/>
  <c r="BE284" i="31"/>
  <c r="IS283" i="31" l="1"/>
  <c r="FL284" i="31"/>
  <c r="BF284" i="31"/>
  <c r="BG284" i="31"/>
  <c r="GS283" i="31"/>
  <c r="BI284" i="31" l="1"/>
  <c r="BK284" i="31" s="1"/>
  <c r="BH284" i="31"/>
  <c r="FM284" i="31"/>
  <c r="GX283" i="31"/>
  <c r="GW283" i="31"/>
  <c r="HC283" i="31" s="1"/>
  <c r="FA284" i="31" s="1"/>
  <c r="HB284" i="31" s="1"/>
  <c r="GY283" i="31"/>
  <c r="JH283" i="31"/>
  <c r="JI283" i="31" s="1"/>
  <c r="IT283" i="31"/>
  <c r="BJ284" i="31" l="1"/>
  <c r="JK283" i="31"/>
  <c r="JM283" i="31" s="1"/>
  <c r="KD283" i="31" s="1"/>
  <c r="IL284" i="31" s="1"/>
  <c r="EY283" i="31"/>
  <c r="EG283" i="31"/>
  <c r="EH284" i="31" s="1"/>
  <c r="EI284" i="31" s="1"/>
  <c r="FK284" i="31" s="1"/>
  <c r="HM283" i="31"/>
  <c r="HK284" i="31"/>
  <c r="BL284" i="31"/>
  <c r="BM284" i="31"/>
  <c r="EE283" i="31" l="1"/>
  <c r="EF284" i="31" s="1"/>
  <c r="IO284" i="31" s="1"/>
  <c r="ED283" i="31"/>
  <c r="EB284" i="31" s="1"/>
  <c r="EJ283" i="31"/>
  <c r="EK284" i="31" s="1"/>
  <c r="EZ283" i="31"/>
  <c r="DG283" i="31"/>
  <c r="DH283" i="31" s="1"/>
  <c r="DI284" i="31" s="1"/>
  <c r="BN284" i="31"/>
  <c r="BO284" i="31"/>
  <c r="JN283" i="31"/>
  <c r="JV283" i="31" s="1"/>
  <c r="JF284" i="31" s="1"/>
  <c r="JL283" i="31"/>
  <c r="JJ284" i="31" s="1"/>
  <c r="KA284" i="31"/>
  <c r="JZ283" i="31"/>
  <c r="KF283" i="31" s="1"/>
  <c r="IQ284" i="31" s="1"/>
  <c r="IP284" i="31" l="1"/>
  <c r="BP284" i="31"/>
  <c r="BQ284" i="31" s="1"/>
  <c r="HZ284" i="31"/>
  <c r="JY284" i="31"/>
  <c r="JW284" i="31"/>
  <c r="JC284" i="31"/>
  <c r="JD284" i="31"/>
  <c r="DP284" i="31"/>
  <c r="EO284" i="31"/>
  <c r="ES285" i="31" s="1"/>
  <c r="EP284" i="31"/>
  <c r="ET285" i="31" s="1"/>
  <c r="FC284" i="31"/>
  <c r="EL284" i="31"/>
  <c r="EV284" i="31"/>
  <c r="JO284" i="31"/>
  <c r="JE284" i="31"/>
  <c r="JA284" i="31"/>
  <c r="IR284" i="31"/>
  <c r="IY284" i="31"/>
  <c r="JP284" i="31" s="1"/>
  <c r="JQ284" i="31" s="1"/>
  <c r="DJ284" i="31"/>
  <c r="DK284" i="31" s="1"/>
  <c r="GZ284" i="31"/>
  <c r="IE284" i="31" s="1"/>
  <c r="DX284" i="31" l="1"/>
  <c r="DM284" i="31"/>
  <c r="FQ284" i="31"/>
  <c r="KG284" i="31"/>
  <c r="EC284" i="31"/>
  <c r="JX284" i="31"/>
  <c r="BR284" i="31"/>
  <c r="BS284" i="31"/>
  <c r="EX284" i="31" l="1"/>
  <c r="M284" i="31" s="1"/>
  <c r="FB284" i="31"/>
  <c r="DL284" i="31"/>
  <c r="L285" i="31"/>
  <c r="BT284" i="31"/>
  <c r="BU284" i="31"/>
  <c r="BV284" i="31" l="1"/>
  <c r="BW284" i="31" s="1"/>
  <c r="MB284" i="31"/>
  <c r="NM284" i="31" s="1"/>
  <c r="NN284" i="31" s="1"/>
  <c r="MJ284" i="31"/>
  <c r="NS284" i="31" s="1"/>
  <c r="BY284" i="31" l="1"/>
  <c r="BX284" i="31"/>
  <c r="NT284" i="31"/>
  <c r="OU285" i="31"/>
  <c r="OV285" i="31"/>
  <c r="NW284" i="31"/>
  <c r="BZ284" i="31" l="1"/>
  <c r="CA284" i="31"/>
  <c r="CB284" i="31" s="1"/>
  <c r="CC284" i="31" s="1"/>
  <c r="FR284" i="31"/>
  <c r="CX284" i="31"/>
  <c r="FV284" i="31"/>
  <c r="NU284" i="31"/>
  <c r="NX284" i="31"/>
  <c r="CD284" i="31" l="1"/>
  <c r="CE284" i="31"/>
  <c r="CG284" i="31" s="1"/>
  <c r="NY284" i="31"/>
  <c r="MY284" i="31"/>
  <c r="NZ284" i="31"/>
  <c r="CY285" i="31"/>
  <c r="OF284" i="31"/>
  <c r="OS285" i="31" s="1"/>
  <c r="NV284" i="31"/>
  <c r="CF284" i="31" l="1"/>
  <c r="OM285" i="31"/>
  <c r="OO285" i="31"/>
  <c r="NF285" i="31"/>
  <c r="CH284" i="31"/>
  <c r="CI284" i="31" s="1"/>
  <c r="OI284" i="31"/>
  <c r="OB284" i="31"/>
  <c r="OT285" i="31" s="1"/>
  <c r="OA284" i="31"/>
  <c r="MV285" i="31" s="1"/>
  <c r="MZ285" i="31"/>
  <c r="OZ284" i="31"/>
  <c r="CK284" i="31" l="1"/>
  <c r="CM284" i="31" s="1"/>
  <c r="CN284" i="31" s="1"/>
  <c r="CJ284" i="31"/>
  <c r="CO284" i="31" s="1"/>
  <c r="PA284" i="31"/>
  <c r="OC284" i="31"/>
  <c r="OD285" i="31" s="1"/>
  <c r="OH285" i="31" s="1"/>
  <c r="OJ284" i="31"/>
  <c r="OX285" i="31"/>
  <c r="OW284" i="31"/>
  <c r="MR285" i="31"/>
  <c r="KT285" i="31"/>
  <c r="OG285" i="31"/>
  <c r="CL284" i="31" l="1"/>
  <c r="CP284" i="31" s="1"/>
  <c r="OK285" i="31"/>
  <c r="KL285" i="31"/>
  <c r="KN286" i="31" s="1"/>
  <c r="KM285" i="31"/>
  <c r="KO286" i="31" s="1"/>
  <c r="OY285" i="31"/>
  <c r="MW285" i="31"/>
  <c r="MS285" i="31"/>
  <c r="NJ285" i="31" l="1"/>
  <c r="NH286" i="31"/>
  <c r="NI286" i="31" s="1"/>
  <c r="MO285" i="31"/>
  <c r="MU285" i="31"/>
  <c r="NP285" i="31"/>
  <c r="NQ285" i="31"/>
  <c r="MT285" i="31"/>
  <c r="PE285" i="31"/>
  <c r="FP284" i="31"/>
  <c r="FS284" i="31" s="1"/>
  <c r="HO284" i="31"/>
  <c r="FU284" i="31"/>
  <c r="FW284" i="31" s="1"/>
  <c r="JR284" i="31"/>
  <c r="JS284" i="31" s="1"/>
  <c r="GB284" i="31"/>
  <c r="GC284" i="31" s="1"/>
  <c r="GO284" i="31"/>
  <c r="CQ284" i="31"/>
  <c r="FH284" i="31"/>
  <c r="FI284" i="31" s="1"/>
  <c r="FE284" i="31"/>
  <c r="FF284" i="31" s="1"/>
  <c r="DQ284" i="31"/>
  <c r="DR284" i="31" s="1"/>
  <c r="FZ284" i="31"/>
  <c r="GA284" i="31" s="1"/>
  <c r="FX284" i="31"/>
  <c r="FY284" i="31" s="1"/>
  <c r="KX284" i="31"/>
  <c r="KU284" i="31"/>
  <c r="MX285" i="31"/>
  <c r="KP286" i="31"/>
  <c r="KR285" i="31"/>
  <c r="KQ285" i="31"/>
  <c r="GN284" i="31" l="1"/>
  <c r="GQ284" i="31" s="1"/>
  <c r="NR285" i="31"/>
  <c r="KS285" i="31"/>
  <c r="HU284" i="31"/>
  <c r="HV285" i="31" s="1"/>
  <c r="FJ285" i="31"/>
  <c r="CS284" i="31"/>
  <c r="CT284" i="31"/>
  <c r="CR284" i="31"/>
  <c r="JU284" i="31"/>
  <c r="KE284" i="31"/>
  <c r="KC284" i="31"/>
  <c r="JT285" i="31"/>
  <c r="NA285" i="31"/>
  <c r="NB285" i="31"/>
  <c r="DS284" i="31"/>
  <c r="AX284" i="31" s="1"/>
  <c r="AY285" i="31" s="1"/>
  <c r="HP284" i="31"/>
  <c r="IA284" i="31"/>
  <c r="IB284" i="31" s="1"/>
  <c r="IZ284" i="31"/>
  <c r="KV284" i="31"/>
  <c r="FG285" i="31"/>
  <c r="HW284" i="31"/>
  <c r="HX285" i="31" s="1"/>
  <c r="HA284" i="31"/>
  <c r="DY284" i="31"/>
  <c r="HY284" i="31"/>
  <c r="NK285" i="31"/>
  <c r="NL285" i="31"/>
  <c r="NG286" i="31"/>
  <c r="OQ286" i="31"/>
  <c r="KW285" i="31" l="1"/>
  <c r="HQ284" i="31"/>
  <c r="HR285" i="31" s="1"/>
  <c r="OR286" i="31"/>
  <c r="AZ284" i="31"/>
  <c r="EM284" i="31"/>
  <c r="EW284" i="31" s="1"/>
  <c r="EN284" i="31"/>
  <c r="NC286" i="31"/>
  <c r="MQ286" i="31"/>
  <c r="HS284" i="31"/>
  <c r="JG284" i="31" s="1"/>
  <c r="HT284" i="31"/>
  <c r="IC284" i="31" l="1"/>
  <c r="ID284" i="31" s="1"/>
  <c r="IF284" i="31" s="1"/>
  <c r="KH284" i="31" s="1"/>
  <c r="JB284" i="31"/>
  <c r="BB285" i="31"/>
  <c r="EQ284" i="31"/>
  <c r="DW284" i="31"/>
  <c r="DU285" i="31" s="1"/>
  <c r="IW284" i="31"/>
  <c r="ER285" i="31"/>
  <c r="IU284" i="31"/>
  <c r="IV284" i="31" s="1"/>
  <c r="BC285" i="31" l="1"/>
  <c r="KK284" i="31"/>
  <c r="KB284" i="31"/>
  <c r="IX284" i="31"/>
  <c r="EU285" i="31"/>
  <c r="IM284" i="31"/>
  <c r="DB284" i="31"/>
  <c r="DC284" i="31" s="1"/>
  <c r="DD285" i="31" s="1"/>
  <c r="DE286" i="31" s="1"/>
  <c r="GM284" i="31"/>
  <c r="KI285" i="31"/>
  <c r="IN284" i="31"/>
  <c r="DF284" i="31"/>
  <c r="DT284" i="31" l="1"/>
  <c r="DZ284" i="31" s="1"/>
  <c r="GT286" i="31"/>
  <c r="GV284" i="31"/>
  <c r="GU284" i="31"/>
  <c r="FD284" i="31"/>
  <c r="KJ285" i="31"/>
  <c r="GR284" i="31"/>
  <c r="BD285" i="31"/>
  <c r="BE285" i="31"/>
  <c r="IS284" i="31" l="1"/>
  <c r="FL285" i="31"/>
  <c r="BG285" i="31"/>
  <c r="BF285" i="31"/>
  <c r="GS284" i="31"/>
  <c r="FM285" i="31" l="1"/>
  <c r="GX284" i="31"/>
  <c r="GW284" i="31"/>
  <c r="HC284" i="31" s="1"/>
  <c r="FA285" i="31" s="1"/>
  <c r="HB285" i="31" s="1"/>
  <c r="GY284" i="31"/>
  <c r="BI285" i="31"/>
  <c r="BK285" i="31" s="1"/>
  <c r="BH285" i="31"/>
  <c r="JH284" i="31"/>
  <c r="JI284" i="31" s="1"/>
  <c r="IT284" i="31"/>
  <c r="BL285" i="31" l="1"/>
  <c r="BM285" i="31"/>
  <c r="JK284" i="31"/>
  <c r="JM284" i="31" s="1"/>
  <c r="KD284" i="31" s="1"/>
  <c r="IL285" i="31" s="1"/>
  <c r="EG284" i="31"/>
  <c r="EH285" i="31" s="1"/>
  <c r="EI285" i="31" s="1"/>
  <c r="FK285" i="31" s="1"/>
  <c r="EY284" i="31"/>
  <c r="HM284" i="31"/>
  <c r="HK285" i="31"/>
  <c r="BJ285" i="31"/>
  <c r="JZ284" i="31" l="1"/>
  <c r="KF284" i="31" s="1"/>
  <c r="IQ285" i="31" s="1"/>
  <c r="JL284" i="31"/>
  <c r="JJ285" i="31" s="1"/>
  <c r="KA285" i="31"/>
  <c r="EE284" i="31"/>
  <c r="EF285" i="31" s="1"/>
  <c r="IP285" i="31" s="1"/>
  <c r="ED284" i="31"/>
  <c r="EB285" i="31" s="1"/>
  <c r="EJ284" i="31"/>
  <c r="EK285" i="31" s="1"/>
  <c r="JN284" i="31"/>
  <c r="JV284" i="31" s="1"/>
  <c r="JF285" i="31" s="1"/>
  <c r="BN285" i="31"/>
  <c r="BO285" i="31"/>
  <c r="EZ284" i="31"/>
  <c r="DG284" i="31"/>
  <c r="DH284" i="31" s="1"/>
  <c r="DI285" i="31" s="1"/>
  <c r="IO285" i="31" l="1"/>
  <c r="JC285" i="31"/>
  <c r="JD285" i="31"/>
  <c r="EL285" i="31"/>
  <c r="EO285" i="31"/>
  <c r="ES286" i="31" s="1"/>
  <c r="FC285" i="31"/>
  <c r="EP285" i="31"/>
  <c r="ET286" i="31" s="1"/>
  <c r="EV285" i="31"/>
  <c r="HZ285" i="31"/>
  <c r="GZ285" i="31"/>
  <c r="IE285" i="31" s="1"/>
  <c r="DJ285" i="31"/>
  <c r="DK285" i="31" s="1"/>
  <c r="BP285" i="31"/>
  <c r="BQ285" i="31" s="1"/>
  <c r="DP285" i="31"/>
  <c r="JY285" i="31"/>
  <c r="JW285" i="31"/>
  <c r="JE285" i="31"/>
  <c r="IR285" i="31"/>
  <c r="JO285" i="31"/>
  <c r="JA285" i="31"/>
  <c r="IY285" i="31"/>
  <c r="JP285" i="31" l="1"/>
  <c r="JQ285" i="31" s="1"/>
  <c r="BR285" i="31"/>
  <c r="BS285" i="31"/>
  <c r="JX285" i="31"/>
  <c r="KG285" i="31"/>
  <c r="DM285" i="31"/>
  <c r="FQ285" i="31"/>
  <c r="DX285" i="31"/>
  <c r="EC285" i="31"/>
  <c r="BT285" i="31" l="1"/>
  <c r="BU285" i="31"/>
  <c r="FB285" i="31"/>
  <c r="EX285" i="31"/>
  <c r="M285" i="31" s="1"/>
  <c r="DL285" i="31"/>
  <c r="L286" i="31"/>
  <c r="BV285" i="31" l="1"/>
  <c r="BW285" i="31" s="1"/>
  <c r="MJ285" i="31"/>
  <c r="NS285" i="31" s="1"/>
  <c r="MB285" i="31"/>
  <c r="NM285" i="31" l="1"/>
  <c r="NN285" i="31" s="1"/>
  <c r="BY285" i="31"/>
  <c r="BX285" i="31"/>
  <c r="NT285" i="31"/>
  <c r="OU286" i="31"/>
  <c r="NW285" i="31" l="1"/>
  <c r="OV286" i="31"/>
  <c r="CA285" i="31"/>
  <c r="BZ285" i="31"/>
  <c r="FV285" i="31"/>
  <c r="FR285" i="31"/>
  <c r="CX285" i="31"/>
  <c r="NU285" i="31"/>
  <c r="NX285" i="31"/>
  <c r="CB285" i="31" l="1"/>
  <c r="CC285" i="31" s="1"/>
  <c r="NY285" i="31"/>
  <c r="OF285" i="31"/>
  <c r="OS286" i="31" s="1"/>
  <c r="NV285" i="31"/>
  <c r="NZ285" i="31"/>
  <c r="MY285" i="31"/>
  <c r="CY286" i="31"/>
  <c r="CE285" i="31" l="1"/>
  <c r="CD285" i="31"/>
  <c r="OB285" i="31"/>
  <c r="OT286" i="31" s="1"/>
  <c r="OO286" i="31"/>
  <c r="OM286" i="31"/>
  <c r="NF286" i="31"/>
  <c r="OI285" i="31"/>
  <c r="OA285" i="31"/>
  <c r="MV286" i="31" s="1"/>
  <c r="MZ286" i="31"/>
  <c r="OZ285" i="31"/>
  <c r="CF285" i="31" l="1"/>
  <c r="CG285" i="31"/>
  <c r="OG286" i="31"/>
  <c r="KT286" i="31"/>
  <c r="PA285" i="31"/>
  <c r="OW285" i="31"/>
  <c r="OX286" i="31"/>
  <c r="MR286" i="31"/>
  <c r="OC285" i="31"/>
  <c r="OD286" i="31" s="1"/>
  <c r="OH286" i="31" s="1"/>
  <c r="OJ285" i="31"/>
  <c r="OK286" i="31" l="1"/>
  <c r="CH285" i="31"/>
  <c r="CI285" i="31" s="1"/>
  <c r="MW286" i="31"/>
  <c r="OY286" i="31"/>
  <c r="KM286" i="31"/>
  <c r="KO287" i="31" s="1"/>
  <c r="KL286" i="31"/>
  <c r="KN287" i="31" s="1"/>
  <c r="MS286" i="31"/>
  <c r="CJ285" i="31" l="1"/>
  <c r="CO285" i="31" s="1"/>
  <c r="CK285" i="31"/>
  <c r="CM285" i="31" s="1"/>
  <c r="CN285" i="31" s="1"/>
  <c r="NJ286" i="31"/>
  <c r="MT286" i="31"/>
  <c r="NP286" i="31"/>
  <c r="MU286" i="31"/>
  <c r="NQ286" i="31"/>
  <c r="NH287" i="31"/>
  <c r="NI287" i="31" s="1"/>
  <c r="MO286" i="31"/>
  <c r="PE286" i="31"/>
  <c r="KQ286" i="31"/>
  <c r="KP287" i="31"/>
  <c r="KR286" i="31"/>
  <c r="MX286" i="31"/>
  <c r="CL285" i="31" l="1"/>
  <c r="CP285" i="31" s="1"/>
  <c r="NR286" i="31"/>
  <c r="KS286" i="31"/>
  <c r="NK286" i="31"/>
  <c r="NL286" i="31"/>
  <c r="NG287" i="31"/>
  <c r="OQ287" i="31"/>
  <c r="NA286" i="31"/>
  <c r="NB286" i="31"/>
  <c r="FX285" i="31" l="1"/>
  <c r="FY285" i="31" s="1"/>
  <c r="GB285" i="31"/>
  <c r="GC285" i="31" s="1"/>
  <c r="KU285" i="31"/>
  <c r="DQ285" i="31"/>
  <c r="DR285" i="31" s="1"/>
  <c r="DS285" i="31" s="1"/>
  <c r="AX285" i="31" s="1"/>
  <c r="AY286" i="31" s="1"/>
  <c r="FH285" i="31"/>
  <c r="FI285" i="31" s="1"/>
  <c r="HU285" i="31" s="1"/>
  <c r="HV286" i="31" s="1"/>
  <c r="JR285" i="31"/>
  <c r="JS285" i="31" s="1"/>
  <c r="KE285" i="31" s="1"/>
  <c r="GO285" i="31"/>
  <c r="FP285" i="31"/>
  <c r="FS285" i="31" s="1"/>
  <c r="HY285" i="31" s="1"/>
  <c r="FZ285" i="31"/>
  <c r="GA285" i="31" s="1"/>
  <c r="FE285" i="31"/>
  <c r="FF285" i="31" s="1"/>
  <c r="FG286" i="31" s="1"/>
  <c r="FU285" i="31"/>
  <c r="FW285" i="31" s="1"/>
  <c r="CQ285" i="31"/>
  <c r="CR285" i="31" s="1"/>
  <c r="HO285" i="31"/>
  <c r="HP285" i="31" s="1"/>
  <c r="KX285" i="31"/>
  <c r="GN285" i="31" s="1"/>
  <c r="NC287" i="31"/>
  <c r="MQ287" i="31"/>
  <c r="OR287" i="31"/>
  <c r="EN285" i="31" l="1"/>
  <c r="ER286" i="31" s="1"/>
  <c r="EU286" i="31" s="1"/>
  <c r="GQ285" i="31"/>
  <c r="JU285" i="31"/>
  <c r="FJ286" i="31"/>
  <c r="DY285" i="31"/>
  <c r="JT286" i="31"/>
  <c r="HA285" i="31"/>
  <c r="KC285" i="31"/>
  <c r="EM285" i="31"/>
  <c r="EW285" i="31" s="1"/>
  <c r="AZ285" i="31"/>
  <c r="HW285" i="31"/>
  <c r="HX286" i="31" s="1"/>
  <c r="IZ285" i="31"/>
  <c r="IA285" i="31"/>
  <c r="IB285" i="31" s="1"/>
  <c r="KV285" i="31"/>
  <c r="CT285" i="31"/>
  <c r="CS285" i="31"/>
  <c r="HS285" i="31"/>
  <c r="JG285" i="31" s="1"/>
  <c r="HT285" i="31"/>
  <c r="DW285" i="31" l="1"/>
  <c r="DU286" i="31" s="1"/>
  <c r="IU285" i="31"/>
  <c r="IV285" i="31" s="1"/>
  <c r="BB286" i="31"/>
  <c r="BC286" i="31" s="1"/>
  <c r="BD286" i="31" s="1"/>
  <c r="EQ285" i="31"/>
  <c r="KW286" i="31"/>
  <c r="HQ285" i="31"/>
  <c r="HR286" i="31" s="1"/>
  <c r="IW285" i="31"/>
  <c r="IC285" i="31"/>
  <c r="ID285" i="31" s="1"/>
  <c r="IF285" i="31" s="1"/>
  <c r="KH285" i="31" s="1"/>
  <c r="JB285" i="31"/>
  <c r="BE286" i="31" l="1"/>
  <c r="BF286" i="31" s="1"/>
  <c r="IX285" i="31"/>
  <c r="KB285" i="31"/>
  <c r="KK285" i="31"/>
  <c r="DF285" i="31"/>
  <c r="IM285" i="31"/>
  <c r="DB285" i="31"/>
  <c r="DC285" i="31" s="1"/>
  <c r="DD286" i="31" s="1"/>
  <c r="DE287" i="31" s="1"/>
  <c r="KI286" i="31"/>
  <c r="KJ286" i="31" s="1"/>
  <c r="GM285" i="31"/>
  <c r="IN285" i="31"/>
  <c r="BG286" i="31" l="1"/>
  <c r="BH286" i="31" s="1"/>
  <c r="GR285" i="31"/>
  <c r="GT287" i="31"/>
  <c r="DT285" i="31"/>
  <c r="DZ285" i="31" s="1"/>
  <c r="GV285" i="31"/>
  <c r="GU285" i="31"/>
  <c r="FD285" i="31"/>
  <c r="BI286" i="31" l="1"/>
  <c r="BK286" i="31" s="1"/>
  <c r="BL286" i="31" s="1"/>
  <c r="GS285" i="31"/>
  <c r="FL286" i="31"/>
  <c r="FM286" i="31" s="1"/>
  <c r="IS285" i="31"/>
  <c r="BJ286" i="31" l="1"/>
  <c r="BM286" i="31"/>
  <c r="BN286" i="31" s="1"/>
  <c r="IT285" i="31"/>
  <c r="JH285" i="31"/>
  <c r="JI285" i="31" s="1"/>
  <c r="JK285" i="31" s="1"/>
  <c r="JM285" i="31" s="1"/>
  <c r="KD285" i="31" s="1"/>
  <c r="IL286" i="31" s="1"/>
  <c r="GY285" i="31"/>
  <c r="GW285" i="31"/>
  <c r="HC285" i="31" s="1"/>
  <c r="FA286" i="31" s="1"/>
  <c r="HB286" i="31" s="1"/>
  <c r="GX285" i="31"/>
  <c r="BO286" i="31"/>
  <c r="KA286" i="31" l="1"/>
  <c r="HZ286" i="31" s="1"/>
  <c r="JL285" i="31"/>
  <c r="JJ286" i="31" s="1"/>
  <c r="JZ285" i="31"/>
  <c r="KF285" i="31" s="1"/>
  <c r="IQ286" i="31" s="1"/>
  <c r="JE286" i="31" s="1"/>
  <c r="HK286" i="31"/>
  <c r="EG285" i="31"/>
  <c r="EH286" i="31" s="1"/>
  <c r="EI286" i="31" s="1"/>
  <c r="FK286" i="31" s="1"/>
  <c r="EY285" i="31"/>
  <c r="HM285" i="31"/>
  <c r="JN285" i="31"/>
  <c r="JV285" i="31" s="1"/>
  <c r="JF286" i="31" s="1"/>
  <c r="JY286" i="31" s="1"/>
  <c r="BP286" i="31"/>
  <c r="BQ286" i="31" s="1"/>
  <c r="IR286" i="31" l="1"/>
  <c r="ED285" i="31"/>
  <c r="EB286" i="31" s="1"/>
  <c r="EE285" i="31"/>
  <c r="EF286" i="31" s="1"/>
  <c r="EJ285" i="31"/>
  <c r="EK286" i="31" s="1"/>
  <c r="JW286" i="31"/>
  <c r="JO286" i="31"/>
  <c r="EZ285" i="31"/>
  <c r="DG285" i="31"/>
  <c r="DH285" i="31" s="1"/>
  <c r="DI286" i="31" s="1"/>
  <c r="BS286" i="31"/>
  <c r="BU286" i="31" s="1"/>
  <c r="BR286" i="31"/>
  <c r="DP286" i="31" l="1"/>
  <c r="BT286" i="31"/>
  <c r="JC286" i="31"/>
  <c r="JD286" i="31"/>
  <c r="DJ286" i="31"/>
  <c r="DK286" i="31" s="1"/>
  <c r="IP286" i="31"/>
  <c r="IO286" i="31"/>
  <c r="GZ286" i="31"/>
  <c r="EV286" i="31"/>
  <c r="EL286" i="31"/>
  <c r="EP286" i="31"/>
  <c r="ET287" i="31" s="1"/>
  <c r="FC286" i="31"/>
  <c r="EO286" i="31"/>
  <c r="ES287" i="31" s="1"/>
  <c r="JA286" i="31"/>
  <c r="IY286" i="31"/>
  <c r="BV286" i="31"/>
  <c r="BW286" i="31" s="1"/>
  <c r="BY286" i="31" s="1"/>
  <c r="JP286" i="31" l="1"/>
  <c r="JQ286" i="31" s="1"/>
  <c r="BX286" i="31"/>
  <c r="DX286" i="31"/>
  <c r="FQ286" i="31"/>
  <c r="DM286" i="31"/>
  <c r="IE286" i="31"/>
  <c r="KG286" i="31"/>
  <c r="JX286" i="31"/>
  <c r="EC286" i="31"/>
  <c r="BZ286" i="31"/>
  <c r="CA286" i="31"/>
  <c r="DL286" i="31" l="1"/>
  <c r="L287" i="31"/>
  <c r="FB286" i="31"/>
  <c r="EX286" i="31"/>
  <c r="M286" i="31" s="1"/>
  <c r="CB286" i="31"/>
  <c r="CC286" i="31" s="1"/>
  <c r="CD286" i="31" l="1"/>
  <c r="CE286" i="31"/>
  <c r="CF286" i="31" s="1"/>
  <c r="MJ286" i="31"/>
  <c r="NS286" i="31" s="1"/>
  <c r="MB286" i="31"/>
  <c r="NM286" i="31" s="1"/>
  <c r="NN286" i="31" s="1"/>
  <c r="CG286" i="31" l="1"/>
  <c r="CH286" i="31" s="1"/>
  <c r="CI286" i="31" s="1"/>
  <c r="OV287" i="31"/>
  <c r="NW286" i="31"/>
  <c r="NX286" i="31" s="1"/>
  <c r="NY286" i="31" s="1"/>
  <c r="NT286" i="31"/>
  <c r="OU287" i="31"/>
  <c r="OF286" i="31" l="1"/>
  <c r="OS287" i="31" s="1"/>
  <c r="NU286" i="31"/>
  <c r="NV286" i="31" s="1"/>
  <c r="FV286" i="31"/>
  <c r="FR286" i="31"/>
  <c r="CX286" i="31"/>
  <c r="CJ286" i="31"/>
  <c r="CO286" i="31" s="1"/>
  <c r="CK286" i="31"/>
  <c r="CM286" i="31" s="1"/>
  <c r="CN286" i="31" s="1"/>
  <c r="OB286" i="31"/>
  <c r="OT287" i="31" s="1"/>
  <c r="CL286" i="31" l="1"/>
  <c r="CP286" i="31" s="1"/>
  <c r="FX286" i="31" s="1"/>
  <c r="FY286" i="31" s="1"/>
  <c r="NZ286" i="31"/>
  <c r="OA286" i="31" s="1"/>
  <c r="MV287" i="31" s="1"/>
  <c r="OG287" i="31" s="1"/>
  <c r="CY287" i="31"/>
  <c r="MY286" i="31"/>
  <c r="PA286" i="31" s="1"/>
  <c r="OC286" i="31" l="1"/>
  <c r="OD287" i="31" s="1"/>
  <c r="OH287" i="31" s="1"/>
  <c r="OK287" i="31" s="1"/>
  <c r="OJ286" i="31"/>
  <c r="HO286" i="31"/>
  <c r="HP286" i="31" s="1"/>
  <c r="FE286" i="31"/>
  <c r="FF286" i="31" s="1"/>
  <c r="HW286" i="31" s="1"/>
  <c r="HX287" i="31" s="1"/>
  <c r="JR286" i="31"/>
  <c r="JS286" i="31" s="1"/>
  <c r="JU286" i="31" s="1"/>
  <c r="CQ286" i="31"/>
  <c r="CR286" i="31" s="1"/>
  <c r="FH286" i="31"/>
  <c r="FI286" i="31" s="1"/>
  <c r="HU286" i="31" s="1"/>
  <c r="HV287" i="31" s="1"/>
  <c r="FP286" i="31"/>
  <c r="FS286" i="31" s="1"/>
  <c r="HY286" i="31" s="1"/>
  <c r="FU286" i="31"/>
  <c r="FW286" i="31" s="1"/>
  <c r="GB286" i="31"/>
  <c r="GC286" i="31" s="1"/>
  <c r="MZ287" i="31"/>
  <c r="OZ286" i="31"/>
  <c r="OI286" i="31"/>
  <c r="KU286" i="31"/>
  <c r="FZ286" i="31"/>
  <c r="GA286" i="31" s="1"/>
  <c r="NF287" i="31"/>
  <c r="OO287" i="31"/>
  <c r="KT287" i="31" s="1"/>
  <c r="KL287" i="31" s="1"/>
  <c r="KN288" i="31" s="1"/>
  <c r="OM287" i="31"/>
  <c r="KX286" i="31"/>
  <c r="DQ286" i="31"/>
  <c r="DR286" i="31" s="1"/>
  <c r="DS286" i="31" s="1"/>
  <c r="AX286" i="31" s="1"/>
  <c r="AY287" i="31" s="1"/>
  <c r="GO286" i="31"/>
  <c r="OY287" i="31"/>
  <c r="MW287" i="31"/>
  <c r="GN286" i="31" l="1"/>
  <c r="KV286" i="31" s="1"/>
  <c r="KC286" i="31"/>
  <c r="JT287" i="31"/>
  <c r="IA286" i="31"/>
  <c r="IB286" i="31" s="1"/>
  <c r="IZ286" i="31"/>
  <c r="KE286" i="31"/>
  <c r="FG287" i="31"/>
  <c r="HA286" i="31"/>
  <c r="DY286" i="31"/>
  <c r="FJ287" i="31"/>
  <c r="KM287" i="31"/>
  <c r="KO288" i="31" s="1"/>
  <c r="KP288" i="31" s="1"/>
  <c r="CT286" i="31"/>
  <c r="CS286" i="31"/>
  <c r="OW286" i="31"/>
  <c r="OX287" i="31"/>
  <c r="MR287" i="31"/>
  <c r="MS287" i="31" s="1"/>
  <c r="NJ287" i="31" s="1"/>
  <c r="KQ287" i="31"/>
  <c r="MX287" i="31"/>
  <c r="AZ286" i="31"/>
  <c r="EM286" i="31"/>
  <c r="EW286" i="31" s="1"/>
  <c r="EN286" i="31"/>
  <c r="HT286" i="31"/>
  <c r="HS286" i="31"/>
  <c r="JG286" i="31" s="1"/>
  <c r="GQ286" i="31" l="1"/>
  <c r="KW287" i="31"/>
  <c r="HQ286" i="31"/>
  <c r="HR287" i="31" s="1"/>
  <c r="KR287" i="31"/>
  <c r="KS287" i="31" s="1"/>
  <c r="NH288" i="31"/>
  <c r="NI288" i="31" s="1"/>
  <c r="NQ287" i="31"/>
  <c r="MO287" i="31"/>
  <c r="MU287" i="31"/>
  <c r="MT287" i="31"/>
  <c r="NP287" i="31"/>
  <c r="PE287" i="31"/>
  <c r="BB287" i="31"/>
  <c r="EQ286" i="31"/>
  <c r="DW286" i="31"/>
  <c r="DU287" i="31" s="1"/>
  <c r="ER287" i="31"/>
  <c r="IU286" i="31"/>
  <c r="IV286" i="31" s="1"/>
  <c r="NL287" i="31"/>
  <c r="NK287" i="31"/>
  <c r="NG288" i="31"/>
  <c r="OQ288" i="31"/>
  <c r="IC286" i="31"/>
  <c r="ID286" i="31" s="1"/>
  <c r="IF286" i="31" s="1"/>
  <c r="KH286" i="31" s="1"/>
  <c r="JB286" i="31"/>
  <c r="NB287" i="31"/>
  <c r="NA287" i="31"/>
  <c r="NR287" i="31" l="1"/>
  <c r="IW286" i="31"/>
  <c r="KB286" i="31" s="1"/>
  <c r="OR288" i="31"/>
  <c r="NC288" i="31"/>
  <c r="MQ288" i="31"/>
  <c r="BC287" i="31"/>
  <c r="EU287" i="31"/>
  <c r="DB286" i="31"/>
  <c r="DC286" i="31" s="1"/>
  <c r="DD287" i="31" s="1"/>
  <c r="DE288" i="31" s="1"/>
  <c r="GM286" i="31"/>
  <c r="IM286" i="31"/>
  <c r="KI287" i="31"/>
  <c r="IN286" i="31"/>
  <c r="DF286" i="31"/>
  <c r="IX286" i="31"/>
  <c r="KK286" i="31"/>
  <c r="GT288" i="31" l="1"/>
  <c r="GU286" i="31"/>
  <c r="GV286" i="31"/>
  <c r="FD286" i="31"/>
  <c r="DT286" i="31"/>
  <c r="DZ286" i="31" s="1"/>
  <c r="BD287" i="31"/>
  <c r="BE287" i="31"/>
  <c r="KJ287" i="31"/>
  <c r="GR286" i="31"/>
  <c r="BG287" i="31" l="1"/>
  <c r="BF287" i="31"/>
  <c r="GS286" i="31"/>
  <c r="IS286" i="31"/>
  <c r="FL287" i="31"/>
  <c r="JH286" i="31" l="1"/>
  <c r="JI286" i="31" s="1"/>
  <c r="IT286" i="31"/>
  <c r="FM287" i="31"/>
  <c r="GY286" i="31"/>
  <c r="GX286" i="31"/>
  <c r="GW286" i="31"/>
  <c r="HC286" i="31" s="1"/>
  <c r="FA287" i="31" s="1"/>
  <c r="HB287" i="31" s="1"/>
  <c r="BI287" i="31"/>
  <c r="BK287" i="31" s="1"/>
  <c r="BH287" i="31"/>
  <c r="BJ287" i="31" l="1"/>
  <c r="EG286" i="31"/>
  <c r="EH287" i="31" s="1"/>
  <c r="EI287" i="31" s="1"/>
  <c r="FK287" i="31" s="1"/>
  <c r="HM286" i="31"/>
  <c r="EY286" i="31"/>
  <c r="HK287" i="31"/>
  <c r="BL287" i="31"/>
  <c r="BM287" i="31"/>
  <c r="JK286" i="31"/>
  <c r="JZ286" i="31" s="1"/>
  <c r="KF286" i="31" s="1"/>
  <c r="IQ287" i="31" s="1"/>
  <c r="JN286" i="31" l="1"/>
  <c r="JV286" i="31" s="1"/>
  <c r="JF287" i="31" s="1"/>
  <c r="JY287" i="31" s="1"/>
  <c r="EZ286" i="31"/>
  <c r="DG286" i="31"/>
  <c r="DH286" i="31" s="1"/>
  <c r="DI287" i="31" s="1"/>
  <c r="JM286" i="31"/>
  <c r="KD286" i="31" s="1"/>
  <c r="IL287" i="31" s="1"/>
  <c r="IR287" i="31" s="1"/>
  <c r="JL286" i="31"/>
  <c r="JJ287" i="31" s="1"/>
  <c r="KA287" i="31"/>
  <c r="ED286" i="31"/>
  <c r="EB287" i="31" s="1"/>
  <c r="IY287" i="31" s="1"/>
  <c r="EJ286" i="31"/>
  <c r="EK287" i="31" s="1"/>
  <c r="EE286" i="31"/>
  <c r="EF287" i="31" s="1"/>
  <c r="BN287" i="31"/>
  <c r="BO287" i="31"/>
  <c r="JW287" i="31" l="1"/>
  <c r="IO287" i="31"/>
  <c r="JP287" i="31" s="1"/>
  <c r="JQ287" i="31" s="1"/>
  <c r="IP287" i="31"/>
  <c r="JE287" i="31"/>
  <c r="DP287" i="31"/>
  <c r="GZ287" i="31"/>
  <c r="IE287" i="31" s="1"/>
  <c r="DJ287" i="31"/>
  <c r="DK287" i="31" s="1"/>
  <c r="JO287" i="31"/>
  <c r="JC287" i="31"/>
  <c r="JD287" i="31"/>
  <c r="FC287" i="31"/>
  <c r="EL287" i="31"/>
  <c r="EP287" i="31"/>
  <c r="ET288" i="31" s="1"/>
  <c r="EO287" i="31"/>
  <c r="ES288" i="31" s="1"/>
  <c r="EV287" i="31"/>
  <c r="JA287" i="31"/>
  <c r="HZ287" i="31"/>
  <c r="BP287" i="31"/>
  <c r="BQ287" i="31" s="1"/>
  <c r="BR287" i="31" l="1"/>
  <c r="BS287" i="31"/>
  <c r="EC287" i="31"/>
  <c r="DX287" i="31"/>
  <c r="FQ287" i="31"/>
  <c r="DM287" i="31"/>
  <c r="JX287" i="31"/>
  <c r="KG287" i="31"/>
  <c r="BT287" i="31" l="1"/>
  <c r="BU287" i="31"/>
  <c r="BV287" i="31" s="1"/>
  <c r="BW287" i="31" s="1"/>
  <c r="DL287" i="31"/>
  <c r="L288" i="31"/>
  <c r="FB287" i="31"/>
  <c r="EX287" i="31"/>
  <c r="M287" i="31" s="1"/>
  <c r="BY287" i="31" l="1"/>
  <c r="BX287" i="31"/>
  <c r="MJ287" i="31"/>
  <c r="NS287" i="31" s="1"/>
  <c r="MB287" i="31"/>
  <c r="NM287" i="31" s="1"/>
  <c r="NN287" i="31" s="1"/>
  <c r="BZ287" i="31" l="1"/>
  <c r="CA287" i="31"/>
  <c r="CB287" i="31" s="1"/>
  <c r="CC287" i="31" s="1"/>
  <c r="OV288" i="31"/>
  <c r="NW287" i="31"/>
  <c r="NX287" i="31" s="1"/>
  <c r="NT287" i="31"/>
  <c r="OU288" i="31"/>
  <c r="CD287" i="31" l="1"/>
  <c r="CE287" i="31"/>
  <c r="CF287" i="31" s="1"/>
  <c r="OF287" i="31"/>
  <c r="OS288" i="31" s="1"/>
  <c r="NY287" i="31"/>
  <c r="FR287" i="31"/>
  <c r="CX287" i="31"/>
  <c r="FV287" i="31"/>
  <c r="NU287" i="31"/>
  <c r="CG287" i="31" l="1"/>
  <c r="CH287" i="31" s="1"/>
  <c r="NZ287" i="31"/>
  <c r="OA287" i="31" s="1"/>
  <c r="MV288" i="31" s="1"/>
  <c r="OG288" i="31" s="1"/>
  <c r="MY287" i="31"/>
  <c r="CY288" i="31"/>
  <c r="OB287" i="31"/>
  <c r="OT288" i="31" s="1"/>
  <c r="NV287" i="31"/>
  <c r="CI287" i="31" l="1"/>
  <c r="CJ287" i="31" s="1"/>
  <c r="CO287" i="31" s="1"/>
  <c r="OM288" i="31"/>
  <c r="OO288" i="31"/>
  <c r="KT288" i="31" s="1"/>
  <c r="NF288" i="31"/>
  <c r="MZ288" i="31"/>
  <c r="OZ287" i="31"/>
  <c r="PA287" i="31"/>
  <c r="OC287" i="31"/>
  <c r="OD288" i="31" s="1"/>
  <c r="OH288" i="31" s="1"/>
  <c r="OK288" i="31" s="1"/>
  <c r="OJ287" i="31"/>
  <c r="OI287" i="31"/>
  <c r="CK287" i="31" l="1"/>
  <c r="CM287" i="31" s="1"/>
  <c r="CN287" i="31" s="1"/>
  <c r="OX288" i="31"/>
  <c r="OW287" i="31"/>
  <c r="MR288" i="31"/>
  <c r="MW288" i="31"/>
  <c r="OY288" i="31"/>
  <c r="KM288" i="31"/>
  <c r="KO289" i="31" s="1"/>
  <c r="KL288" i="31"/>
  <c r="KN289" i="31" s="1"/>
  <c r="CL287" i="31" l="1"/>
  <c r="CP287" i="31" s="1"/>
  <c r="FU287" i="31" s="1"/>
  <c r="FW287" i="31" s="1"/>
  <c r="MX288" i="31"/>
  <c r="KP289" i="31"/>
  <c r="KR288" i="31"/>
  <c r="KQ288" i="31"/>
  <c r="MS288" i="31"/>
  <c r="FE287" i="31" l="1"/>
  <c r="FF287" i="31" s="1"/>
  <c r="HW287" i="31" s="1"/>
  <c r="HX288" i="31" s="1"/>
  <c r="DQ287" i="31"/>
  <c r="DR287" i="31" s="1"/>
  <c r="DS287" i="31" s="1"/>
  <c r="AX287" i="31" s="1"/>
  <c r="AY288" i="31" s="1"/>
  <c r="KU287" i="31"/>
  <c r="KX287" i="31"/>
  <c r="GN287" i="31" s="1"/>
  <c r="KV287" i="31" s="1"/>
  <c r="FZ287" i="31"/>
  <c r="GA287" i="31" s="1"/>
  <c r="GB287" i="31"/>
  <c r="GC287" i="31" s="1"/>
  <c r="HO287" i="31"/>
  <c r="IA287" i="31" s="1"/>
  <c r="IB287" i="31" s="1"/>
  <c r="FX287" i="31"/>
  <c r="FY287" i="31" s="1"/>
  <c r="JR287" i="31"/>
  <c r="JS287" i="31" s="1"/>
  <c r="KE287" i="31" s="1"/>
  <c r="FH287" i="31"/>
  <c r="FI287" i="31" s="1"/>
  <c r="HU287" i="31" s="1"/>
  <c r="HV288" i="31" s="1"/>
  <c r="GO287" i="31"/>
  <c r="CQ287" i="31"/>
  <c r="CS287" i="31" s="1"/>
  <c r="FP287" i="31"/>
  <c r="FS287" i="31" s="1"/>
  <c r="DY287" i="31" s="1"/>
  <c r="KS288" i="31"/>
  <c r="NJ288" i="31"/>
  <c r="NP288" i="31"/>
  <c r="MO288" i="31"/>
  <c r="MU288" i="31"/>
  <c r="NQ288" i="31"/>
  <c r="MT288" i="31"/>
  <c r="NH289" i="31"/>
  <c r="NI289" i="31" s="1"/>
  <c r="PE288" i="31"/>
  <c r="NA288" i="31"/>
  <c r="NB288" i="31"/>
  <c r="FG288" i="31" l="1"/>
  <c r="KW288" i="31"/>
  <c r="HQ287" i="31"/>
  <c r="HR288" i="31" s="1"/>
  <c r="EM287" i="31"/>
  <c r="EW287" i="31" s="1"/>
  <c r="EN287" i="31"/>
  <c r="EQ287" i="31" s="1"/>
  <c r="AZ287" i="31"/>
  <c r="GQ287" i="31"/>
  <c r="HP287" i="31"/>
  <c r="HT287" i="31" s="1"/>
  <c r="IC287" i="31" s="1"/>
  <c r="ID287" i="31" s="1"/>
  <c r="IF287" i="31" s="1"/>
  <c r="KH287" i="31" s="1"/>
  <c r="IZ287" i="31"/>
  <c r="FJ288" i="31"/>
  <c r="JU287" i="31"/>
  <c r="JT288" i="31"/>
  <c r="CT287" i="31"/>
  <c r="CR287" i="31"/>
  <c r="KC287" i="31"/>
  <c r="HA287" i="31"/>
  <c r="HY287" i="31"/>
  <c r="NL288" i="31"/>
  <c r="NK288" i="31"/>
  <c r="NG289" i="31"/>
  <c r="OQ289" i="31"/>
  <c r="NR288" i="31"/>
  <c r="IU287" i="31" l="1"/>
  <c r="IV287" i="31" s="1"/>
  <c r="KK287" i="31" s="1"/>
  <c r="ER288" i="31"/>
  <c r="DW287" i="31"/>
  <c r="DU288" i="31" s="1"/>
  <c r="BB288" i="31"/>
  <c r="BC288" i="31" s="1"/>
  <c r="JB287" i="31"/>
  <c r="HS287" i="31"/>
  <c r="JG287" i="31" s="1"/>
  <c r="IW287" i="31"/>
  <c r="KB287" i="31" s="1"/>
  <c r="DB287" i="31"/>
  <c r="DC287" i="31" s="1"/>
  <c r="DD288" i="31" s="1"/>
  <c r="DE289" i="31" s="1"/>
  <c r="GM287" i="31"/>
  <c r="IM287" i="31"/>
  <c r="KI288" i="31"/>
  <c r="IN287" i="31"/>
  <c r="DF287" i="31"/>
  <c r="EU288" i="31"/>
  <c r="OR289" i="31"/>
  <c r="IX287" i="31"/>
  <c r="NC289" i="31"/>
  <c r="MQ289" i="31"/>
  <c r="DT287" i="31" l="1"/>
  <c r="DZ287" i="31" s="1"/>
  <c r="GT289" i="31"/>
  <c r="GV287" i="31"/>
  <c r="GU287" i="31"/>
  <c r="FD287" i="31"/>
  <c r="KJ288" i="31"/>
  <c r="GR287" i="31"/>
  <c r="BE288" i="31"/>
  <c r="BD288" i="31"/>
  <c r="BG288" i="31" l="1"/>
  <c r="BF288" i="31"/>
  <c r="IS287" i="31"/>
  <c r="FL288" i="31"/>
  <c r="GS287" i="31"/>
  <c r="GY287" i="31" l="1"/>
  <c r="GW287" i="31"/>
  <c r="HC287" i="31" s="1"/>
  <c r="FA288" i="31" s="1"/>
  <c r="HB288" i="31" s="1"/>
  <c r="GX287" i="31"/>
  <c r="FM288" i="31"/>
  <c r="JH287" i="31"/>
  <c r="JI287" i="31" s="1"/>
  <c r="IT287" i="31"/>
  <c r="BI288" i="31"/>
  <c r="BK288" i="31" s="1"/>
  <c r="BH288" i="31"/>
  <c r="BJ288" i="31" l="1"/>
  <c r="EG287" i="31"/>
  <c r="EH288" i="31" s="1"/>
  <c r="EI288" i="31" s="1"/>
  <c r="FK288" i="31" s="1"/>
  <c r="EY287" i="31"/>
  <c r="HM287" i="31"/>
  <c r="HK288" i="31"/>
  <c r="JK287" i="31"/>
  <c r="JZ287" i="31" s="1"/>
  <c r="KF287" i="31" s="1"/>
  <c r="IQ288" i="31" s="1"/>
  <c r="BL288" i="31"/>
  <c r="BM288" i="31"/>
  <c r="JN287" i="31" l="1"/>
  <c r="JV287" i="31" s="1"/>
  <c r="JF288" i="31" s="1"/>
  <c r="BN288" i="31"/>
  <c r="BO288" i="31"/>
  <c r="ED287" i="31"/>
  <c r="EB288" i="31" s="1"/>
  <c r="EE287" i="31"/>
  <c r="EF288" i="31" s="1"/>
  <c r="EJ287" i="31"/>
  <c r="EK288" i="31" s="1"/>
  <c r="JL287" i="31"/>
  <c r="JJ288" i="31" s="1"/>
  <c r="KA288" i="31"/>
  <c r="EZ287" i="31"/>
  <c r="DG287" i="31"/>
  <c r="DH287" i="31" s="1"/>
  <c r="DI288" i="31" s="1"/>
  <c r="JM287" i="31"/>
  <c r="KD287" i="31" s="1"/>
  <c r="IL288" i="31" s="1"/>
  <c r="JC288" i="31" l="1"/>
  <c r="JD288" i="31"/>
  <c r="BP288" i="31"/>
  <c r="BQ288" i="31" s="1"/>
  <c r="DJ288" i="31"/>
  <c r="DK288" i="31" s="1"/>
  <c r="GZ288" i="31"/>
  <c r="IE288" i="31" s="1"/>
  <c r="DP288" i="31"/>
  <c r="JW288" i="31"/>
  <c r="JY288" i="31"/>
  <c r="FC288" i="31"/>
  <c r="EO288" i="31"/>
  <c r="ES289" i="31" s="1"/>
  <c r="EP288" i="31"/>
  <c r="ET289" i="31" s="1"/>
  <c r="EL288" i="31"/>
  <c r="EV288" i="31"/>
  <c r="JA288" i="31"/>
  <c r="IY288" i="31"/>
  <c r="IP288" i="31"/>
  <c r="IO288" i="31"/>
  <c r="JO288" i="31"/>
  <c r="IR288" i="31"/>
  <c r="HZ288" i="31"/>
  <c r="JE288" i="31"/>
  <c r="JP288" i="31" l="1"/>
  <c r="JQ288" i="31" s="1"/>
  <c r="JX288" i="31"/>
  <c r="KG288" i="31"/>
  <c r="BR288" i="31"/>
  <c r="BS288" i="31"/>
  <c r="EC288" i="31"/>
  <c r="FQ288" i="31"/>
  <c r="DM288" i="31"/>
  <c r="DX288" i="31"/>
  <c r="DL288" i="31" l="1"/>
  <c r="L289" i="31"/>
  <c r="FB288" i="31"/>
  <c r="EX288" i="31"/>
  <c r="M288" i="31" s="1"/>
  <c r="BT288" i="31"/>
  <c r="BU288" i="31"/>
  <c r="BV288" i="31" l="1"/>
  <c r="BW288" i="31" s="1"/>
  <c r="MB288" i="31"/>
  <c r="NM288" i="31" s="1"/>
  <c r="NN288" i="31" s="1"/>
  <c r="MJ288" i="31"/>
  <c r="NS288" i="31" s="1"/>
  <c r="BX288" i="31" l="1"/>
  <c r="BY288" i="31"/>
  <c r="BZ288" i="31" s="1"/>
  <c r="NT288" i="31"/>
  <c r="OU289" i="31"/>
  <c r="OV289" i="31"/>
  <c r="NW288" i="31"/>
  <c r="CA288" i="31" l="1"/>
  <c r="NX288" i="31"/>
  <c r="FV288" i="31"/>
  <c r="FR288" i="31"/>
  <c r="CX288" i="31"/>
  <c r="NU288" i="31"/>
  <c r="CB288" i="31" l="1"/>
  <c r="CC288" i="31" s="1"/>
  <c r="NV288" i="31"/>
  <c r="NY288" i="31"/>
  <c r="OF288" i="31"/>
  <c r="OS289" i="31" s="1"/>
  <c r="MY288" i="31"/>
  <c r="NZ288" i="31"/>
  <c r="CY289" i="31"/>
  <c r="CD288" i="31" l="1"/>
  <c r="CE288" i="31"/>
  <c r="CF288" i="31" s="1"/>
  <c r="OA288" i="31"/>
  <c r="MV289" i="31" s="1"/>
  <c r="OG289" i="31" s="1"/>
  <c r="NF289" i="31"/>
  <c r="OO289" i="31"/>
  <c r="OM289" i="31"/>
  <c r="MZ289" i="31"/>
  <c r="OZ288" i="31"/>
  <c r="OB288" i="31"/>
  <c r="OT289" i="31" s="1"/>
  <c r="OI288" i="31"/>
  <c r="KT289" i="31" l="1"/>
  <c r="KM289" i="31" s="1"/>
  <c r="KO290" i="31" s="1"/>
  <c r="CG288" i="31"/>
  <c r="CH288" i="31" s="1"/>
  <c r="CI288" i="31" s="1"/>
  <c r="CJ288" i="31" s="1"/>
  <c r="CO288" i="31" s="1"/>
  <c r="OC288" i="31"/>
  <c r="OD289" i="31" s="1"/>
  <c r="OH289" i="31" s="1"/>
  <c r="OK289" i="31" s="1"/>
  <c r="OX289" i="31"/>
  <c r="OW288" i="31"/>
  <c r="MR289" i="31"/>
  <c r="PA288" i="31"/>
  <c r="OJ288" i="31"/>
  <c r="KL289" i="31" l="1"/>
  <c r="KN290" i="31" s="1"/>
  <c r="KQ289" i="31" s="1"/>
  <c r="CK288" i="31"/>
  <c r="CL288" i="31" s="1"/>
  <c r="MW289" i="31"/>
  <c r="OY289" i="31"/>
  <c r="KR289" i="31"/>
  <c r="MS289" i="31"/>
  <c r="KP290" i="31" l="1"/>
  <c r="CM288" i="31"/>
  <c r="CN288" i="31" s="1"/>
  <c r="CP288" i="31" s="1"/>
  <c r="CQ288" i="31" s="1"/>
  <c r="KS289" i="31"/>
  <c r="MX289" i="31"/>
  <c r="MU289" i="31"/>
  <c r="NQ289" i="31"/>
  <c r="MO289" i="31"/>
  <c r="NJ289" i="31"/>
  <c r="NH290" i="31"/>
  <c r="NI290" i="31" s="1"/>
  <c r="NP289" i="31"/>
  <c r="MT289" i="31"/>
  <c r="PE289" i="31"/>
  <c r="FP288" i="31" l="1"/>
  <c r="FS288" i="31" s="1"/>
  <c r="HA288" i="31" s="1"/>
  <c r="FE288" i="31"/>
  <c r="FF288" i="31" s="1"/>
  <c r="HW288" i="31" s="1"/>
  <c r="HX289" i="31" s="1"/>
  <c r="HO288" i="31"/>
  <c r="HP288" i="31" s="1"/>
  <c r="JR288" i="31"/>
  <c r="JS288" i="31" s="1"/>
  <c r="JU288" i="31" s="1"/>
  <c r="FH288" i="31"/>
  <c r="FI288" i="31" s="1"/>
  <c r="HU288" i="31" s="1"/>
  <c r="HV289" i="31" s="1"/>
  <c r="KU288" i="31"/>
  <c r="KX288" i="31"/>
  <c r="GN288" i="31" s="1"/>
  <c r="KV288" i="31" s="1"/>
  <c r="FZ288" i="31"/>
  <c r="GA288" i="31" s="1"/>
  <c r="GO288" i="31"/>
  <c r="GB288" i="31"/>
  <c r="GC288" i="31" s="1"/>
  <c r="FU288" i="31"/>
  <c r="FW288" i="31" s="1"/>
  <c r="FX288" i="31"/>
  <c r="FY288" i="31" s="1"/>
  <c r="DQ288" i="31"/>
  <c r="DR288" i="31" s="1"/>
  <c r="DS288" i="31" s="1"/>
  <c r="AX288" i="31" s="1"/>
  <c r="AY289" i="31" s="1"/>
  <c r="CT288" i="31"/>
  <c r="CS288" i="31"/>
  <c r="CR288" i="31"/>
  <c r="NR289" i="31"/>
  <c r="NA289" i="31"/>
  <c r="NB289" i="31"/>
  <c r="NL289" i="31"/>
  <c r="NK289" i="31"/>
  <c r="NG290" i="31"/>
  <c r="OQ290" i="31"/>
  <c r="DY288" i="31" l="1"/>
  <c r="KW289" i="31"/>
  <c r="HQ288" i="31"/>
  <c r="HR289" i="31" s="1"/>
  <c r="HY288" i="31"/>
  <c r="FG289" i="31"/>
  <c r="IZ288" i="31"/>
  <c r="FJ289" i="31"/>
  <c r="IA288" i="31"/>
  <c r="IB288" i="31" s="1"/>
  <c r="KE288" i="31"/>
  <c r="KC288" i="31"/>
  <c r="JT289" i="31"/>
  <c r="GQ288" i="31"/>
  <c r="AZ288" i="31"/>
  <c r="EM288" i="31"/>
  <c r="EW288" i="31" s="1"/>
  <c r="EN288" i="31"/>
  <c r="HT288" i="31"/>
  <c r="HS288" i="31"/>
  <c r="JG288" i="31" s="1"/>
  <c r="OR290" i="31"/>
  <c r="NC290" i="31"/>
  <c r="MQ290" i="31"/>
  <c r="BB289" i="31" l="1"/>
  <c r="EQ288" i="31"/>
  <c r="DW288" i="31"/>
  <c r="DU289" i="31" s="1"/>
  <c r="ER289" i="31"/>
  <c r="IU288" i="31"/>
  <c r="IV288" i="31" s="1"/>
  <c r="IC288" i="31"/>
  <c r="ID288" i="31" s="1"/>
  <c r="IF288" i="31" s="1"/>
  <c r="KH288" i="31" s="1"/>
  <c r="JB288" i="31"/>
  <c r="IW288" i="31" l="1"/>
  <c r="KB288" i="31" s="1"/>
  <c r="KK288" i="31"/>
  <c r="IX288" i="31"/>
  <c r="EU289" i="31"/>
  <c r="DB288" i="31"/>
  <c r="DC288" i="31" s="1"/>
  <c r="DD289" i="31" s="1"/>
  <c r="DE290" i="31" s="1"/>
  <c r="IM288" i="31"/>
  <c r="GM288" i="31"/>
  <c r="KI289" i="31"/>
  <c r="IN288" i="31"/>
  <c r="DF288" i="31"/>
  <c r="BC289" i="31"/>
  <c r="GT290" i="31" l="1"/>
  <c r="DT288" i="31"/>
  <c r="DZ288" i="31" s="1"/>
  <c r="FD288" i="31"/>
  <c r="GV288" i="31"/>
  <c r="GU288" i="31"/>
  <c r="GR288" i="31"/>
  <c r="KJ289" i="31"/>
  <c r="BE289" i="31"/>
  <c r="BD289" i="31"/>
  <c r="GS288" i="31" l="1"/>
  <c r="IS288" i="31"/>
  <c r="FL289" i="31"/>
  <c r="BG289" i="31"/>
  <c r="BF289" i="31"/>
  <c r="BH289" i="31" l="1"/>
  <c r="BI289" i="31"/>
  <c r="BK289" i="31" s="1"/>
  <c r="FM289" i="31"/>
  <c r="JH288" i="31"/>
  <c r="JI288" i="31" s="1"/>
  <c r="IT288" i="31"/>
  <c r="GY288" i="31"/>
  <c r="GX288" i="31"/>
  <c r="GW288" i="31"/>
  <c r="HC288" i="31" s="1"/>
  <c r="FA289" i="31" s="1"/>
  <c r="HB289" i="31" s="1"/>
  <c r="JK288" i="31" l="1"/>
  <c r="JZ288" i="31" s="1"/>
  <c r="KF288" i="31" s="1"/>
  <c r="IQ289" i="31" s="1"/>
  <c r="EG288" i="31"/>
  <c r="EH289" i="31" s="1"/>
  <c r="EI289" i="31" s="1"/>
  <c r="FK289" i="31" s="1"/>
  <c r="EY288" i="31"/>
  <c r="HM288" i="31"/>
  <c r="HK289" i="31"/>
  <c r="BL289" i="31"/>
  <c r="BM289" i="31"/>
  <c r="BJ289" i="31"/>
  <c r="JM288" i="31" l="1"/>
  <c r="KD288" i="31" s="1"/>
  <c r="IL289" i="31" s="1"/>
  <c r="IR289" i="31" s="1"/>
  <c r="JN288" i="31"/>
  <c r="JV288" i="31" s="1"/>
  <c r="JF289" i="31" s="1"/>
  <c r="JW289" i="31" s="1"/>
  <c r="EZ288" i="31"/>
  <c r="DG288" i="31"/>
  <c r="DH288" i="31" s="1"/>
  <c r="DI289" i="31" s="1"/>
  <c r="BN289" i="31"/>
  <c r="BO289" i="31"/>
  <c r="JL288" i="31"/>
  <c r="JJ289" i="31" s="1"/>
  <c r="KA289" i="31"/>
  <c r="EJ288" i="31"/>
  <c r="EK289" i="31" s="1"/>
  <c r="ED288" i="31"/>
  <c r="EB289" i="31" s="1"/>
  <c r="EE288" i="31"/>
  <c r="EF289" i="31" s="1"/>
  <c r="JE289" i="31" l="1"/>
  <c r="JO289" i="31"/>
  <c r="JY289" i="31"/>
  <c r="GZ289" i="31"/>
  <c r="IE289" i="31" s="1"/>
  <c r="DJ289" i="31"/>
  <c r="DK289" i="31" s="1"/>
  <c r="FC289" i="31"/>
  <c r="EP289" i="31"/>
  <c r="ET290" i="31" s="1"/>
  <c r="EL289" i="31"/>
  <c r="EO289" i="31"/>
  <c r="ES290" i="31" s="1"/>
  <c r="EV289" i="31"/>
  <c r="IY289" i="31"/>
  <c r="IP289" i="31"/>
  <c r="JC289" i="31"/>
  <c r="JD289" i="31"/>
  <c r="HZ289" i="31"/>
  <c r="IO289" i="31"/>
  <c r="DP289" i="31"/>
  <c r="BP289" i="31"/>
  <c r="BQ289" i="31" s="1"/>
  <c r="JA289" i="31"/>
  <c r="JX289" i="31" l="1"/>
  <c r="KG289" i="31"/>
  <c r="JP289" i="31"/>
  <c r="JQ289" i="31" s="1"/>
  <c r="BR289" i="31"/>
  <c r="BS289" i="31"/>
  <c r="FQ289" i="31"/>
  <c r="DX289" i="31"/>
  <c r="DM289" i="31"/>
  <c r="EC289" i="31"/>
  <c r="DL289" i="31" l="1"/>
  <c r="L290" i="31"/>
  <c r="BT289" i="31"/>
  <c r="BU289" i="31"/>
  <c r="EX289" i="31"/>
  <c r="M289" i="31" s="1"/>
  <c r="FB289" i="31"/>
  <c r="BV289" i="31" l="1"/>
  <c r="BW289" i="31" s="1"/>
  <c r="MJ289" i="31"/>
  <c r="NS289" i="31" s="1"/>
  <c r="MB289" i="31"/>
  <c r="NM289" i="31" s="1"/>
  <c r="NN289" i="31" s="1"/>
  <c r="BX289" i="31" l="1"/>
  <c r="BY289" i="31"/>
  <c r="BZ289" i="31" s="1"/>
  <c r="OV290" i="31"/>
  <c r="NW289" i="31"/>
  <c r="NX289" i="31" s="1"/>
  <c r="NT289" i="31"/>
  <c r="OU290" i="31"/>
  <c r="CA289" i="31" l="1"/>
  <c r="FV289" i="31"/>
  <c r="FR289" i="31"/>
  <c r="CX289" i="31"/>
  <c r="NU289" i="31"/>
  <c r="OF289" i="31"/>
  <c r="OS290" i="31" s="1"/>
  <c r="NY289" i="31"/>
  <c r="CB289" i="31" l="1"/>
  <c r="CC289" i="31" s="1"/>
  <c r="NV289" i="31"/>
  <c r="OB289" i="31"/>
  <c r="OT290" i="31" s="1"/>
  <c r="NZ289" i="31"/>
  <c r="OA289" i="31" s="1"/>
  <c r="MV290" i="31" s="1"/>
  <c r="OG290" i="31" s="1"/>
  <c r="MY289" i="31"/>
  <c r="CY290" i="31"/>
  <c r="CD289" i="31" l="1"/>
  <c r="CE289" i="31"/>
  <c r="OC289" i="31"/>
  <c r="OD290" i="31" s="1"/>
  <c r="OH290" i="31" s="1"/>
  <c r="OK290" i="31" s="1"/>
  <c r="NF290" i="31"/>
  <c r="OM290" i="31"/>
  <c r="OO290" i="31"/>
  <c r="KT290" i="31" s="1"/>
  <c r="MZ290" i="31"/>
  <c r="OZ289" i="31"/>
  <c r="OJ289" i="31"/>
  <c r="OI289" i="31"/>
  <c r="PA289" i="31"/>
  <c r="CF289" i="31" l="1"/>
  <c r="CG289" i="31"/>
  <c r="CH289" i="31" s="1"/>
  <c r="CI289" i="31" s="1"/>
  <c r="CJ289" i="31" s="1"/>
  <c r="CO289" i="31" s="1"/>
  <c r="MW290" i="31"/>
  <c r="OY290" i="31"/>
  <c r="KL290" i="31"/>
  <c r="KN291" i="31" s="1"/>
  <c r="KM290" i="31"/>
  <c r="KO291" i="31" s="1"/>
  <c r="OW289" i="31"/>
  <c r="OX290" i="31"/>
  <c r="MR290" i="31"/>
  <c r="CK289" i="31" l="1"/>
  <c r="CL289" i="31" s="1"/>
  <c r="KP291" i="31"/>
  <c r="KR290" i="31"/>
  <c r="KQ290" i="31"/>
  <c r="MX290" i="31"/>
  <c r="MS290" i="31"/>
  <c r="CM289" i="31" l="1"/>
  <c r="CN289" i="31" s="1"/>
  <c r="CP289" i="31" s="1"/>
  <c r="FX289" i="31" s="1"/>
  <c r="FY289" i="31" s="1"/>
  <c r="KS290" i="31"/>
  <c r="NB290" i="31"/>
  <c r="NA290" i="31"/>
  <c r="NP290" i="31"/>
  <c r="NJ290" i="31"/>
  <c r="MT290" i="31"/>
  <c r="MO290" i="31"/>
  <c r="MU290" i="31"/>
  <c r="NH291" i="31"/>
  <c r="NI291" i="31" s="1"/>
  <c r="NQ290" i="31"/>
  <c r="PE290" i="31"/>
  <c r="KX289" i="31" l="1"/>
  <c r="GB289" i="31"/>
  <c r="GC289" i="31" s="1"/>
  <c r="DQ289" i="31"/>
  <c r="DR289" i="31" s="1"/>
  <c r="DS289" i="31" s="1"/>
  <c r="AX289" i="31" s="1"/>
  <c r="AY290" i="31" s="1"/>
  <c r="CQ289" i="31"/>
  <c r="CR289" i="31" s="1"/>
  <c r="FP289" i="31"/>
  <c r="FS289" i="31" s="1"/>
  <c r="DY289" i="31" s="1"/>
  <c r="FH289" i="31"/>
  <c r="FI289" i="31" s="1"/>
  <c r="HU289" i="31" s="1"/>
  <c r="HV290" i="31" s="1"/>
  <c r="FE289" i="31"/>
  <c r="FF289" i="31" s="1"/>
  <c r="FG290" i="31" s="1"/>
  <c r="HO289" i="31"/>
  <c r="IZ289" i="31" s="1"/>
  <c r="FU289" i="31"/>
  <c r="FW289" i="31" s="1"/>
  <c r="JR289" i="31"/>
  <c r="JS289" i="31" s="1"/>
  <c r="JU289" i="31" s="1"/>
  <c r="GO289" i="31"/>
  <c r="FZ289" i="31"/>
  <c r="GA289" i="31" s="1"/>
  <c r="KU289" i="31"/>
  <c r="NL290" i="31"/>
  <c r="NK290" i="31"/>
  <c r="NG291" i="31"/>
  <c r="OQ291" i="31"/>
  <c r="NR290" i="31"/>
  <c r="GN289" i="31" l="1"/>
  <c r="KV289" i="31" s="1"/>
  <c r="JT290" i="31"/>
  <c r="HY289" i="31"/>
  <c r="KC289" i="31"/>
  <c r="KE289" i="31"/>
  <c r="HA289" i="31"/>
  <c r="CS289" i="31"/>
  <c r="CT289" i="31"/>
  <c r="FJ290" i="31"/>
  <c r="HW289" i="31"/>
  <c r="HX290" i="31" s="1"/>
  <c r="HP289" i="31"/>
  <c r="HT289" i="31" s="1"/>
  <c r="IA289" i="31"/>
  <c r="IB289" i="31" s="1"/>
  <c r="OR291" i="31"/>
  <c r="NC291" i="31"/>
  <c r="MQ291" i="31"/>
  <c r="EN289" i="31"/>
  <c r="EM289" i="31"/>
  <c r="EW289" i="31" s="1"/>
  <c r="AZ289" i="31"/>
  <c r="GQ289" i="31" l="1"/>
  <c r="KW290" i="31"/>
  <c r="HQ289" i="31"/>
  <c r="HR290" i="31" s="1"/>
  <c r="HS289" i="31"/>
  <c r="JG289" i="31" s="1"/>
  <c r="BB290" i="31"/>
  <c r="DW289" i="31"/>
  <c r="DU290" i="31" s="1"/>
  <c r="EQ289" i="31"/>
  <c r="ER290" i="31"/>
  <c r="IU289" i="31"/>
  <c r="IV289" i="31" s="1"/>
  <c r="IC289" i="31"/>
  <c r="ID289" i="31" s="1"/>
  <c r="IF289" i="31" s="1"/>
  <c r="KH289" i="31" s="1"/>
  <c r="JB289" i="31"/>
  <c r="IW289" i="31" l="1"/>
  <c r="KB289" i="31" s="1"/>
  <c r="EU290" i="31"/>
  <c r="IM289" i="31"/>
  <c r="GM289" i="31"/>
  <c r="DB289" i="31"/>
  <c r="DC289" i="31" s="1"/>
  <c r="DD290" i="31" s="1"/>
  <c r="DE291" i="31" s="1"/>
  <c r="KI290" i="31"/>
  <c r="IN289" i="31"/>
  <c r="DF289" i="31"/>
  <c r="BC290" i="31"/>
  <c r="KK289" i="31"/>
  <c r="IX289" i="31"/>
  <c r="GT291" i="31" l="1"/>
  <c r="DT289" i="31"/>
  <c r="DZ289" i="31" s="1"/>
  <c r="GR289" i="31"/>
  <c r="GV289" i="31"/>
  <c r="FD289" i="31"/>
  <c r="GU289" i="31"/>
  <c r="KJ290" i="31"/>
  <c r="BE290" i="31"/>
  <c r="BD290" i="31"/>
  <c r="IS289" i="31" l="1"/>
  <c r="FL290" i="31"/>
  <c r="GS289" i="31"/>
  <c r="BF290" i="31"/>
  <c r="BG290" i="31"/>
  <c r="BH290" i="31" l="1"/>
  <c r="BI290" i="31"/>
  <c r="BK290" i="31" s="1"/>
  <c r="GW289" i="31"/>
  <c r="HC289" i="31" s="1"/>
  <c r="FA290" i="31" s="1"/>
  <c r="HB290" i="31" s="1"/>
  <c r="GY289" i="31"/>
  <c r="GX289" i="31"/>
  <c r="FM290" i="31"/>
  <c r="JH289" i="31"/>
  <c r="JI289" i="31" s="1"/>
  <c r="IT289" i="31"/>
  <c r="BJ290" i="31" l="1"/>
  <c r="BL290" i="31"/>
  <c r="BM290" i="31"/>
  <c r="JK289" i="31"/>
  <c r="JN289" i="31" s="1"/>
  <c r="JV289" i="31" s="1"/>
  <c r="JF290" i="31" s="1"/>
  <c r="HM289" i="31"/>
  <c r="EG289" i="31"/>
  <c r="EH290" i="31" s="1"/>
  <c r="EI290" i="31" s="1"/>
  <c r="FK290" i="31" s="1"/>
  <c r="EY289" i="31"/>
  <c r="HK290" i="31"/>
  <c r="JW290" i="31" l="1"/>
  <c r="JY290" i="31"/>
  <c r="EE289" i="31"/>
  <c r="EF290" i="31" s="1"/>
  <c r="ED289" i="31"/>
  <c r="EB290" i="31" s="1"/>
  <c r="EJ289" i="31"/>
  <c r="EK290" i="31" s="1"/>
  <c r="BN290" i="31"/>
  <c r="BO290" i="31"/>
  <c r="JM289" i="31"/>
  <c r="KD289" i="31" s="1"/>
  <c r="IL290" i="31" s="1"/>
  <c r="JZ289" i="31"/>
  <c r="KF289" i="31" s="1"/>
  <c r="IQ290" i="31" s="1"/>
  <c r="JL289" i="31"/>
  <c r="JJ290" i="31" s="1"/>
  <c r="KA290" i="31"/>
  <c r="EZ289" i="31"/>
  <c r="DG289" i="31"/>
  <c r="DH289" i="31" s="1"/>
  <c r="DI290" i="31" s="1"/>
  <c r="HZ290" i="31" l="1"/>
  <c r="BP290" i="31"/>
  <c r="BQ290" i="31" s="1"/>
  <c r="DP290" i="31"/>
  <c r="JE290" i="31"/>
  <c r="IR290" i="31"/>
  <c r="IY290" i="31"/>
  <c r="JO290" i="31"/>
  <c r="JA290" i="31"/>
  <c r="JC290" i="31"/>
  <c r="JD290" i="31"/>
  <c r="FC290" i="31"/>
  <c r="EL290" i="31"/>
  <c r="EO290" i="31"/>
  <c r="ES291" i="31" s="1"/>
  <c r="EP290" i="31"/>
  <c r="ET291" i="31" s="1"/>
  <c r="EV290" i="31"/>
  <c r="IO290" i="31"/>
  <c r="IP290" i="31"/>
  <c r="GZ290" i="31"/>
  <c r="IE290" i="31" s="1"/>
  <c r="DJ290" i="31"/>
  <c r="DK290" i="31" s="1"/>
  <c r="BR290" i="31" l="1"/>
  <c r="BS290" i="31"/>
  <c r="JP290" i="31"/>
  <c r="JQ290" i="31" s="1"/>
  <c r="DM290" i="31"/>
  <c r="FQ290" i="31"/>
  <c r="DX290" i="31"/>
  <c r="EC290" i="31"/>
  <c r="JX290" i="31"/>
  <c r="KG290" i="31"/>
  <c r="BT290" i="31" l="1"/>
  <c r="BU290" i="31"/>
  <c r="EX290" i="31"/>
  <c r="M290" i="31" s="1"/>
  <c r="FB290" i="31"/>
  <c r="DL290" i="31"/>
  <c r="L291" i="31"/>
  <c r="BV290" i="31" l="1"/>
  <c r="BW290" i="31" s="1"/>
  <c r="MJ290" i="31"/>
  <c r="NS290" i="31" s="1"/>
  <c r="MB290" i="31"/>
  <c r="NM290" i="31" l="1"/>
  <c r="NN290" i="31" s="1"/>
  <c r="BX290" i="31"/>
  <c r="BY290" i="31"/>
  <c r="NT290" i="31"/>
  <c r="OU291" i="31"/>
  <c r="OV291" i="31" l="1"/>
  <c r="NW290" i="31"/>
  <c r="NX290" i="31" s="1"/>
  <c r="NY290" i="31" s="1"/>
  <c r="BZ290" i="31"/>
  <c r="CA290" i="31"/>
  <c r="CX290" i="31"/>
  <c r="FV290" i="31"/>
  <c r="FR290" i="31"/>
  <c r="NU290" i="31"/>
  <c r="OF290" i="31" l="1"/>
  <c r="OS291" i="31" s="1"/>
  <c r="CB290" i="31"/>
  <c r="CC290" i="31" s="1"/>
  <c r="MY290" i="31"/>
  <c r="NZ290" i="31"/>
  <c r="OA290" i="31" s="1"/>
  <c r="MV291" i="31" s="1"/>
  <c r="OG291" i="31" s="1"/>
  <c r="CY291" i="31"/>
  <c r="NV290" i="31"/>
  <c r="OB290" i="31"/>
  <c r="OT291" i="31" s="1"/>
  <c r="CE290" i="31" l="1"/>
  <c r="CD290" i="31"/>
  <c r="OM291" i="31"/>
  <c r="OO291" i="31"/>
  <c r="KT291" i="31" s="1"/>
  <c r="NF291" i="31"/>
  <c r="MZ291" i="31"/>
  <c r="OZ290" i="31"/>
  <c r="OC290" i="31"/>
  <c r="OD291" i="31" s="1"/>
  <c r="OH291" i="31" s="1"/>
  <c r="OK291" i="31" s="1"/>
  <c r="PA290" i="31"/>
  <c r="OJ290" i="31"/>
  <c r="OI290" i="31"/>
  <c r="CG290" i="31" l="1"/>
  <c r="CF290" i="31"/>
  <c r="OW290" i="31"/>
  <c r="MR291" i="31"/>
  <c r="OX291" i="31"/>
  <c r="KM291" i="31"/>
  <c r="KO292" i="31" s="1"/>
  <c r="KL291" i="31"/>
  <c r="KN292" i="31" s="1"/>
  <c r="MW291" i="31"/>
  <c r="OY291" i="31"/>
  <c r="CH290" i="31" l="1"/>
  <c r="CI290" i="31" s="1"/>
  <c r="MX291" i="31"/>
  <c r="KQ291" i="31"/>
  <c r="KP292" i="31"/>
  <c r="KR291" i="31"/>
  <c r="MS291" i="31"/>
  <c r="CJ290" i="31" l="1"/>
  <c r="CO290" i="31" s="1"/>
  <c r="CK290" i="31"/>
  <c r="CL290" i="31" s="1"/>
  <c r="KS291" i="31"/>
  <c r="NQ291" i="31"/>
  <c r="MO291" i="31"/>
  <c r="MU291" i="31"/>
  <c r="MT291" i="31"/>
  <c r="NP291" i="31"/>
  <c r="NJ291" i="31"/>
  <c r="NH292" i="31"/>
  <c r="NI292" i="31" s="1"/>
  <c r="PE291" i="31"/>
  <c r="NB291" i="31"/>
  <c r="NA291" i="31"/>
  <c r="CM290" i="31" l="1"/>
  <c r="CN290" i="31" s="1"/>
  <c r="CP290" i="31" s="1"/>
  <c r="NR291" i="31"/>
  <c r="NL291" i="31"/>
  <c r="NK291" i="31"/>
  <c r="NG292" i="31"/>
  <c r="OQ292" i="31"/>
  <c r="GO290" i="31" l="1"/>
  <c r="HO290" i="31"/>
  <c r="FH290" i="31"/>
  <c r="FI290" i="31" s="1"/>
  <c r="CQ290" i="31"/>
  <c r="FU290" i="31"/>
  <c r="FW290" i="31" s="1"/>
  <c r="FX290" i="31"/>
  <c r="FY290" i="31" s="1"/>
  <c r="FZ290" i="31"/>
  <c r="GA290" i="31" s="1"/>
  <c r="FE290" i="31"/>
  <c r="FF290" i="31" s="1"/>
  <c r="FP290" i="31"/>
  <c r="FS290" i="31" s="1"/>
  <c r="KX290" i="31"/>
  <c r="DQ290" i="31"/>
  <c r="DR290" i="31" s="1"/>
  <c r="DS290" i="31" s="1"/>
  <c r="AX290" i="31" s="1"/>
  <c r="AY291" i="31" s="1"/>
  <c r="GB290" i="31"/>
  <c r="GC290" i="31" s="1"/>
  <c r="JR290" i="31"/>
  <c r="JS290" i="31" s="1"/>
  <c r="KU290" i="31"/>
  <c r="OR292" i="31"/>
  <c r="NC292" i="31"/>
  <c r="MQ292" i="31"/>
  <c r="GN290" i="31" l="1"/>
  <c r="KV290" i="31" s="1"/>
  <c r="CT290" i="31"/>
  <c r="CS290" i="31"/>
  <c r="CR290" i="31"/>
  <c r="AZ290" i="31"/>
  <c r="EN290" i="31"/>
  <c r="EM290" i="31"/>
  <c r="EW290" i="31" s="1"/>
  <c r="HU290" i="31"/>
  <c r="HV291" i="31" s="1"/>
  <c r="FJ291" i="31"/>
  <c r="FG291" i="31"/>
  <c r="HW290" i="31"/>
  <c r="HX291" i="31" s="1"/>
  <c r="HP290" i="31"/>
  <c r="IZ290" i="31"/>
  <c r="IA290" i="31"/>
  <c r="IB290" i="31" s="1"/>
  <c r="KC290" i="31"/>
  <c r="JU290" i="31"/>
  <c r="JT291" i="31"/>
  <c r="KE290" i="31"/>
  <c r="DY290" i="31"/>
  <c r="HY290" i="31"/>
  <c r="HA290" i="31"/>
  <c r="GQ290" i="31" l="1"/>
  <c r="KW291" i="31"/>
  <c r="HQ290" i="31"/>
  <c r="HR291" i="31" s="1"/>
  <c r="DW290" i="31"/>
  <c r="DU291" i="31" s="1"/>
  <c r="IU290" i="31"/>
  <c r="IV290" i="31" s="1"/>
  <c r="BB291" i="31"/>
  <c r="BC291" i="31" s="1"/>
  <c r="BE291" i="31" s="1"/>
  <c r="IW290" i="31"/>
  <c r="EQ290" i="31"/>
  <c r="ER291" i="31"/>
  <c r="EU291" i="31" s="1"/>
  <c r="HT290" i="31"/>
  <c r="HS290" i="31"/>
  <c r="JG290" i="31" s="1"/>
  <c r="BD291" i="31" l="1"/>
  <c r="JB290" i="31"/>
  <c r="IC290" i="31"/>
  <c r="ID290" i="31" s="1"/>
  <c r="IF290" i="31" s="1"/>
  <c r="KH290" i="31" s="1"/>
  <c r="IX290" i="31"/>
  <c r="KK290" i="31"/>
  <c r="KB290" i="31"/>
  <c r="BF291" i="31"/>
  <c r="BG291" i="31"/>
  <c r="IN290" i="31" l="1"/>
  <c r="IM290" i="31"/>
  <c r="DB290" i="31"/>
  <c r="DC290" i="31" s="1"/>
  <c r="DD291" i="31" s="1"/>
  <c r="DE292" i="31" s="1"/>
  <c r="KI291" i="31"/>
  <c r="KJ291" i="31" s="1"/>
  <c r="DF290" i="31"/>
  <c r="GM290" i="31"/>
  <c r="BH291" i="31"/>
  <c r="BI291" i="31"/>
  <c r="BK291" i="31" s="1"/>
  <c r="GT292" i="31" l="1"/>
  <c r="GR290" i="31"/>
  <c r="GV290" i="31"/>
  <c r="FD290" i="31"/>
  <c r="GU290" i="31"/>
  <c r="DT290" i="31"/>
  <c r="DZ290" i="31" s="1"/>
  <c r="BL291" i="31"/>
  <c r="BM291" i="31"/>
  <c r="BJ291" i="31"/>
  <c r="IS290" i="31" l="1"/>
  <c r="FL291" i="31"/>
  <c r="FM291" i="31" s="1"/>
  <c r="GS290" i="31"/>
  <c r="BO291" i="31"/>
  <c r="BN291" i="31"/>
  <c r="GY290" i="31" l="1"/>
  <c r="GX290" i="31"/>
  <c r="GW290" i="31"/>
  <c r="HC290" i="31" s="1"/>
  <c r="FA291" i="31" s="1"/>
  <c r="HB291" i="31" s="1"/>
  <c r="JH290" i="31"/>
  <c r="JI290" i="31" s="1"/>
  <c r="IT290" i="31"/>
  <c r="BP291" i="31"/>
  <c r="BQ291" i="31" s="1"/>
  <c r="JK290" i="31" l="1"/>
  <c r="HK291" i="31"/>
  <c r="HM290" i="31"/>
  <c r="EG290" i="31"/>
  <c r="EH291" i="31" s="1"/>
  <c r="EI291" i="31" s="1"/>
  <c r="FK291" i="31" s="1"/>
  <c r="EY290" i="31"/>
  <c r="BR291" i="31"/>
  <c r="BS291" i="31"/>
  <c r="ED290" i="31" l="1"/>
  <c r="EB291" i="31" s="1"/>
  <c r="EE290" i="31"/>
  <c r="EF291" i="31" s="1"/>
  <c r="EJ290" i="31"/>
  <c r="EK291" i="31" s="1"/>
  <c r="KA291" i="31"/>
  <c r="HZ291" i="31" s="1"/>
  <c r="JL290" i="31"/>
  <c r="JJ291" i="31" s="1"/>
  <c r="JN290" i="31"/>
  <c r="JV290" i="31" s="1"/>
  <c r="JF291" i="31" s="1"/>
  <c r="JZ290" i="31"/>
  <c r="KF290" i="31" s="1"/>
  <c r="IQ291" i="31" s="1"/>
  <c r="DG290" i="31"/>
  <c r="DH290" i="31" s="1"/>
  <c r="DI291" i="31" s="1"/>
  <c r="EZ290" i="31"/>
  <c r="JM290" i="31"/>
  <c r="KD290" i="31" s="1"/>
  <c r="IL291" i="31" s="1"/>
  <c r="BT291" i="31"/>
  <c r="BU291" i="31"/>
  <c r="DP291" i="31" l="1"/>
  <c r="IR291" i="31"/>
  <c r="JE291" i="31"/>
  <c r="JA291" i="31"/>
  <c r="IY291" i="31"/>
  <c r="JD291" i="31"/>
  <c r="JC291" i="31"/>
  <c r="JO291" i="31"/>
  <c r="JW291" i="31"/>
  <c r="JY291" i="31"/>
  <c r="GZ291" i="31"/>
  <c r="IE291" i="31" s="1"/>
  <c r="DJ291" i="31"/>
  <c r="DK291" i="31" s="1"/>
  <c r="IO291" i="31"/>
  <c r="IP291" i="31"/>
  <c r="EL291" i="31"/>
  <c r="EP291" i="31"/>
  <c r="ET292" i="31" s="1"/>
  <c r="FC291" i="31"/>
  <c r="EO291" i="31"/>
  <c r="ES292" i="31" s="1"/>
  <c r="EV291" i="31"/>
  <c r="BV291" i="31"/>
  <c r="BW291" i="31" s="1"/>
  <c r="BY291" i="31" l="1"/>
  <c r="CA291" i="31" s="1"/>
  <c r="BX291" i="31"/>
  <c r="JP291" i="31"/>
  <c r="JQ291" i="31" s="1"/>
  <c r="DM291" i="31"/>
  <c r="FQ291" i="31"/>
  <c r="DX291" i="31"/>
  <c r="JX291" i="31"/>
  <c r="EC291" i="31"/>
  <c r="KG291" i="31"/>
  <c r="BZ291" i="31" l="1"/>
  <c r="EX291" i="31"/>
  <c r="M291" i="31" s="1"/>
  <c r="FB291" i="31"/>
  <c r="L292" i="31"/>
  <c r="DL291" i="31"/>
  <c r="CB291" i="31"/>
  <c r="CC291" i="31" s="1"/>
  <c r="CD291" i="31" l="1"/>
  <c r="CE291" i="31"/>
  <c r="CF291" i="31" s="1"/>
  <c r="MB291" i="31"/>
  <c r="MJ291" i="31"/>
  <c r="NS291" i="31" s="1"/>
  <c r="CG291" i="31" l="1"/>
  <c r="CH291" i="31" s="1"/>
  <c r="CI291" i="31" s="1"/>
  <c r="NM291" i="31"/>
  <c r="NN291" i="31" s="1"/>
  <c r="OU292" i="31"/>
  <c r="NT291" i="31"/>
  <c r="OV292" i="31" l="1"/>
  <c r="NW291" i="31"/>
  <c r="CJ291" i="31"/>
  <c r="CO291" i="31" s="1"/>
  <c r="CK291" i="31"/>
  <c r="NX291" i="31"/>
  <c r="OF291" i="31" s="1"/>
  <c r="OS292" i="31" s="1"/>
  <c r="FR291" i="31"/>
  <c r="FV291" i="31"/>
  <c r="CX291" i="31"/>
  <c r="NU291" i="31"/>
  <c r="NV291" i="31" s="1"/>
  <c r="CL291" i="31" l="1"/>
  <c r="CM291" i="31"/>
  <c r="CN291" i="31" s="1"/>
  <c r="MY291" i="31"/>
  <c r="CY292" i="31"/>
  <c r="NZ291" i="31"/>
  <c r="NY291" i="31"/>
  <c r="CP291" i="31" l="1"/>
  <c r="FE291" i="31" s="1"/>
  <c r="FF291" i="31" s="1"/>
  <c r="OI291" i="31"/>
  <c r="OX292" i="31" s="1"/>
  <c r="OA291" i="31"/>
  <c r="MV292" i="31" s="1"/>
  <c r="OG292" i="31" s="1"/>
  <c r="OO292" i="31"/>
  <c r="OM292" i="31"/>
  <c r="NF292" i="31"/>
  <c r="OB291" i="31"/>
  <c r="OT292" i="31" s="1"/>
  <c r="MZ292" i="31"/>
  <c r="OZ291" i="31"/>
  <c r="FZ291" i="31" l="1"/>
  <c r="GA291" i="31" s="1"/>
  <c r="CQ291" i="31"/>
  <c r="CR291" i="31" s="1"/>
  <c r="FX291" i="31"/>
  <c r="FY291" i="31" s="1"/>
  <c r="GO291" i="31"/>
  <c r="FU291" i="31"/>
  <c r="FW291" i="31" s="1"/>
  <c r="FH291" i="31"/>
  <c r="FI291" i="31" s="1"/>
  <c r="FJ292" i="31" s="1"/>
  <c r="KT292" i="31"/>
  <c r="KM292" i="31" s="1"/>
  <c r="KO293" i="31" s="1"/>
  <c r="OW291" i="31"/>
  <c r="MR292" i="31"/>
  <c r="MS292" i="31" s="1"/>
  <c r="NJ292" i="31" s="1"/>
  <c r="OQ293" i="31" s="1"/>
  <c r="JR291" i="31"/>
  <c r="JS291" i="31" s="1"/>
  <c r="JT292" i="31" s="1"/>
  <c r="DQ291" i="31"/>
  <c r="DR291" i="31" s="1"/>
  <c r="DS291" i="31" s="1"/>
  <c r="AX291" i="31" s="1"/>
  <c r="AY292" i="31" s="1"/>
  <c r="GB291" i="31"/>
  <c r="GC291" i="31" s="1"/>
  <c r="HO291" i="31"/>
  <c r="IA291" i="31" s="1"/>
  <c r="IB291" i="31" s="1"/>
  <c r="KU291" i="31"/>
  <c r="FP291" i="31"/>
  <c r="FS291" i="31" s="1"/>
  <c r="DY291" i="31" s="1"/>
  <c r="KX291" i="31"/>
  <c r="OC291" i="31"/>
  <c r="OD292" i="31" s="1"/>
  <c r="OH292" i="31" s="1"/>
  <c r="OK292" i="31" s="1"/>
  <c r="PA291" i="31"/>
  <c r="OJ291" i="31"/>
  <c r="OY292" i="31" s="1"/>
  <c r="FG292" i="31"/>
  <c r="HW291" i="31"/>
  <c r="HX292" i="31" s="1"/>
  <c r="CT291" i="31" l="1"/>
  <c r="CS291" i="31"/>
  <c r="HU291" i="31"/>
  <c r="HV292" i="31" s="1"/>
  <c r="KL292" i="31"/>
  <c r="KN293" i="31" s="1"/>
  <c r="KQ292" i="31" s="1"/>
  <c r="GN291" i="31"/>
  <c r="GQ291" i="31" s="1"/>
  <c r="JU291" i="31"/>
  <c r="KC291" i="31"/>
  <c r="KE291" i="31"/>
  <c r="MT292" i="31"/>
  <c r="NQ292" i="31"/>
  <c r="NL292" i="31"/>
  <c r="NC293" i="31" s="1"/>
  <c r="PE292" i="31"/>
  <c r="NG293" i="31"/>
  <c r="NH293" i="31"/>
  <c r="NI293" i="31" s="1"/>
  <c r="NK292" i="31"/>
  <c r="NP292" i="31"/>
  <c r="MU292" i="31"/>
  <c r="MO292" i="31"/>
  <c r="HP291" i="31"/>
  <c r="HT291" i="31" s="1"/>
  <c r="IZ291" i="31"/>
  <c r="KV291" i="31"/>
  <c r="HY291" i="31"/>
  <c r="HA291" i="31"/>
  <c r="MW292" i="31"/>
  <c r="MX292" i="31" s="1"/>
  <c r="NA292" i="31" s="1"/>
  <c r="KR292" i="31"/>
  <c r="AZ291" i="31"/>
  <c r="EN291" i="31"/>
  <c r="EM291" i="31"/>
  <c r="EW291" i="31" s="1"/>
  <c r="OR293" i="31"/>
  <c r="KS292" i="31" l="1"/>
  <c r="KP293" i="31"/>
  <c r="KW292" i="31"/>
  <c r="HQ291" i="31"/>
  <c r="HR292" i="31" s="1"/>
  <c r="NR292" i="31"/>
  <c r="HS291" i="31"/>
  <c r="JG291" i="31" s="1"/>
  <c r="MQ293" i="31"/>
  <c r="NB292" i="31"/>
  <c r="IC291" i="31"/>
  <c r="ID291" i="31" s="1"/>
  <c r="IF291" i="31" s="1"/>
  <c r="KH291" i="31" s="1"/>
  <c r="JB291" i="31"/>
  <c r="BB292" i="31"/>
  <c r="DW291" i="31"/>
  <c r="DU292" i="31" s="1"/>
  <c r="IW291" i="31"/>
  <c r="EQ291" i="31"/>
  <c r="ER292" i="31"/>
  <c r="IU291" i="31"/>
  <c r="IV291" i="31" s="1"/>
  <c r="KB291" i="31" l="1"/>
  <c r="BC292" i="31"/>
  <c r="IX291" i="31"/>
  <c r="KK291" i="31"/>
  <c r="IM291" i="31"/>
  <c r="DB291" i="31"/>
  <c r="DC291" i="31" s="1"/>
  <c r="DD292" i="31" s="1"/>
  <c r="DE293" i="31" s="1"/>
  <c r="GM291" i="31"/>
  <c r="KI292" i="31"/>
  <c r="IN291" i="31"/>
  <c r="DF291" i="31"/>
  <c r="EU292" i="31"/>
  <c r="GT293" i="31" l="1"/>
  <c r="GU291" i="31"/>
  <c r="GV291" i="31"/>
  <c r="FD291" i="31"/>
  <c r="DT291" i="31"/>
  <c r="DZ291" i="31" s="1"/>
  <c r="GR291" i="31"/>
  <c r="BD292" i="31"/>
  <c r="BE292" i="31"/>
  <c r="KJ292" i="31"/>
  <c r="GS291" i="31" l="1"/>
  <c r="IS291" i="31"/>
  <c r="FL292" i="31"/>
  <c r="BG292" i="31"/>
  <c r="BF292" i="31"/>
  <c r="BI292" i="31" l="1"/>
  <c r="BK292" i="31" s="1"/>
  <c r="BH292" i="31"/>
  <c r="FM292" i="31"/>
  <c r="JH291" i="31"/>
  <c r="JI291" i="31" s="1"/>
  <c r="IT291" i="31"/>
  <c r="GY291" i="31"/>
  <c r="GW291" i="31"/>
  <c r="HC291" i="31" s="1"/>
  <c r="FA292" i="31" s="1"/>
  <c r="HB292" i="31" s="1"/>
  <c r="GX291" i="31"/>
  <c r="BJ292" i="31" l="1"/>
  <c r="EG291" i="31"/>
  <c r="EH292" i="31" s="1"/>
  <c r="EI292" i="31" s="1"/>
  <c r="FK292" i="31" s="1"/>
  <c r="EY291" i="31"/>
  <c r="HM291" i="31"/>
  <c r="HK292" i="31"/>
  <c r="JK291" i="31"/>
  <c r="JZ291" i="31" s="1"/>
  <c r="KF291" i="31" s="1"/>
  <c r="IQ292" i="31" s="1"/>
  <c r="BL292" i="31"/>
  <c r="BM292" i="31"/>
  <c r="JL291" i="31" l="1"/>
  <c r="JJ292" i="31" s="1"/>
  <c r="KA292" i="31"/>
  <c r="EJ291" i="31"/>
  <c r="EK292" i="31" s="1"/>
  <c r="EE291" i="31"/>
  <c r="EF292" i="31" s="1"/>
  <c r="ED291" i="31"/>
  <c r="EB292" i="31" s="1"/>
  <c r="BN292" i="31"/>
  <c r="BO292" i="31"/>
  <c r="EZ291" i="31"/>
  <c r="DG291" i="31"/>
  <c r="DH291" i="31" s="1"/>
  <c r="DI292" i="31" s="1"/>
  <c r="JM291" i="31"/>
  <c r="KD291" i="31" s="1"/>
  <c r="IL292" i="31" s="1"/>
  <c r="IR292" i="31" s="1"/>
  <c r="JN291" i="31"/>
  <c r="JV291" i="31" s="1"/>
  <c r="JF292" i="31" s="1"/>
  <c r="JE292" i="31" l="1"/>
  <c r="JW292" i="31"/>
  <c r="JY292" i="31"/>
  <c r="EP292" i="31"/>
  <c r="ET293" i="31" s="1"/>
  <c r="EO292" i="31"/>
  <c r="ES293" i="31" s="1"/>
  <c r="FC292" i="31"/>
  <c r="EL292" i="31"/>
  <c r="EV292" i="31"/>
  <c r="IP292" i="31"/>
  <c r="IO292" i="31"/>
  <c r="GZ292" i="31"/>
  <c r="IE292" i="31" s="1"/>
  <c r="DJ292" i="31"/>
  <c r="DK292" i="31" s="1"/>
  <c r="JC292" i="31"/>
  <c r="JD292" i="31"/>
  <c r="BP292" i="31"/>
  <c r="BQ292" i="31" s="1"/>
  <c r="DP292" i="31"/>
  <c r="JA292" i="31"/>
  <c r="HZ292" i="31"/>
  <c r="JO292" i="31"/>
  <c r="IY292" i="31"/>
  <c r="JX292" i="31" l="1"/>
  <c r="BS292" i="31"/>
  <c r="BU292" i="31" s="1"/>
  <c r="BR292" i="31"/>
  <c r="KG292" i="31"/>
  <c r="JP292" i="31"/>
  <c r="JQ292" i="31" s="1"/>
  <c r="DM292" i="31"/>
  <c r="FQ292" i="31"/>
  <c r="DX292" i="31"/>
  <c r="EC292" i="31"/>
  <c r="BT292" i="31" l="1"/>
  <c r="EX292" i="31"/>
  <c r="M292" i="31" s="1"/>
  <c r="FB292" i="31"/>
  <c r="DL292" i="31"/>
  <c r="L293" i="31"/>
  <c r="BV292" i="31"/>
  <c r="BW292" i="31" s="1"/>
  <c r="BY292" i="31" l="1"/>
  <c r="BX292" i="31"/>
  <c r="MB292" i="31"/>
  <c r="MJ292" i="31"/>
  <c r="NS292" i="31" s="1"/>
  <c r="BZ292" i="31" l="1"/>
  <c r="CA292" i="31"/>
  <c r="CB292" i="31" s="1"/>
  <c r="NM292" i="31"/>
  <c r="NN292" i="31" s="1"/>
  <c r="NT292" i="31"/>
  <c r="OU293" i="31"/>
  <c r="CC292" i="31" l="1"/>
  <c r="NW292" i="31"/>
  <c r="NX292" i="31" s="1"/>
  <c r="OV293" i="31"/>
  <c r="FR292" i="31"/>
  <c r="FV292" i="31"/>
  <c r="CX292" i="31"/>
  <c r="NU292" i="31"/>
  <c r="CD292" i="31" l="1"/>
  <c r="CE292" i="31"/>
  <c r="NZ292" i="31"/>
  <c r="MY292" i="31"/>
  <c r="CY293" i="31"/>
  <c r="NY292" i="31"/>
  <c r="OF292" i="31"/>
  <c r="OS293" i="31" s="1"/>
  <c r="NV292" i="31"/>
  <c r="CG292" i="31" l="1"/>
  <c r="CH292" i="31" s="1"/>
  <c r="CI292" i="31" s="1"/>
  <c r="CJ292" i="31" s="1"/>
  <c r="CO292" i="31" s="1"/>
  <c r="CF292" i="31"/>
  <c r="OB292" i="31"/>
  <c r="OT293" i="31" s="1"/>
  <c r="OA292" i="31"/>
  <c r="MV293" i="31" s="1"/>
  <c r="OG293" i="31" s="1"/>
  <c r="OI292" i="31"/>
  <c r="MZ293" i="31"/>
  <c r="OZ292" i="31"/>
  <c r="NF293" i="31"/>
  <c r="OM293" i="31"/>
  <c r="OO293" i="31"/>
  <c r="CK292" i="31" l="1"/>
  <c r="CM292" i="31" s="1"/>
  <c r="CN292" i="31" s="1"/>
  <c r="KT293" i="31"/>
  <c r="KL293" i="31" s="1"/>
  <c r="KN294" i="31" s="1"/>
  <c r="MR293" i="31"/>
  <c r="OW292" i="31"/>
  <c r="OX293" i="31"/>
  <c r="OJ292" i="31"/>
  <c r="PA292" i="31"/>
  <c r="OC292" i="31"/>
  <c r="OD293" i="31" s="1"/>
  <c r="OH293" i="31" s="1"/>
  <c r="OK293" i="31" s="1"/>
  <c r="KM293" i="31" l="1"/>
  <c r="KO294" i="31" s="1"/>
  <c r="KP294" i="31" s="1"/>
  <c r="CL292" i="31"/>
  <c r="CP292" i="31" s="1"/>
  <c r="MW293" i="31"/>
  <c r="OY293" i="31"/>
  <c r="KQ293" i="31"/>
  <c r="MS293" i="31"/>
  <c r="KR293" i="31" l="1"/>
  <c r="GO292" i="31"/>
  <c r="FH292" i="31"/>
  <c r="FI292" i="31" s="1"/>
  <c r="HU292" i="31" s="1"/>
  <c r="HV293" i="31" s="1"/>
  <c r="GB292" i="31"/>
  <c r="GC292" i="31" s="1"/>
  <c r="CQ292" i="31"/>
  <c r="CS292" i="31" s="1"/>
  <c r="DQ292" i="31"/>
  <c r="DR292" i="31" s="1"/>
  <c r="DS292" i="31" s="1"/>
  <c r="AX292" i="31" s="1"/>
  <c r="AY293" i="31" s="1"/>
  <c r="FZ292" i="31"/>
  <c r="GA292" i="31" s="1"/>
  <c r="JR292" i="31"/>
  <c r="JS292" i="31" s="1"/>
  <c r="KC292" i="31" s="1"/>
  <c r="FU292" i="31"/>
  <c r="FW292" i="31" s="1"/>
  <c r="FX292" i="31"/>
  <c r="FY292" i="31" s="1"/>
  <c r="KU292" i="31"/>
  <c r="KX292" i="31"/>
  <c r="GN292" i="31" s="1"/>
  <c r="FP292" i="31"/>
  <c r="FS292" i="31" s="1"/>
  <c r="HA292" i="31" s="1"/>
  <c r="FE292" i="31"/>
  <c r="FF292" i="31" s="1"/>
  <c r="HW292" i="31" s="1"/>
  <c r="HX293" i="31" s="1"/>
  <c r="HO292" i="31"/>
  <c r="IZ292" i="31" s="1"/>
  <c r="MX293" i="31"/>
  <c r="MT293" i="31"/>
  <c r="NP293" i="31"/>
  <c r="NQ293" i="31"/>
  <c r="NH294" i="31"/>
  <c r="NI294" i="31" s="1"/>
  <c r="MU293" i="31"/>
  <c r="NJ293" i="31"/>
  <c r="MO293" i="31"/>
  <c r="PE293" i="31"/>
  <c r="KS293" i="31"/>
  <c r="GQ292" i="31" l="1"/>
  <c r="CR292" i="31"/>
  <c r="FJ293" i="31"/>
  <c r="JT293" i="31"/>
  <c r="JU292" i="31"/>
  <c r="KE292" i="31"/>
  <c r="KV292" i="31"/>
  <c r="CT292" i="31"/>
  <c r="FG293" i="31"/>
  <c r="DY292" i="31"/>
  <c r="HY292" i="31"/>
  <c r="IA292" i="31"/>
  <c r="IB292" i="31" s="1"/>
  <c r="HP292" i="31"/>
  <c r="HT292" i="31" s="1"/>
  <c r="NR293" i="31"/>
  <c r="NB293" i="31"/>
  <c r="NA293" i="31"/>
  <c r="EN292" i="31"/>
  <c r="AZ292" i="31"/>
  <c r="EM292" i="31"/>
  <c r="EW292" i="31" s="1"/>
  <c r="NK293" i="31"/>
  <c r="NL293" i="31"/>
  <c r="NG294" i="31"/>
  <c r="OQ294" i="31"/>
  <c r="KW293" i="31" l="1"/>
  <c r="HQ292" i="31"/>
  <c r="HR293" i="31" s="1"/>
  <c r="HS292" i="31"/>
  <c r="JG292" i="31" s="1"/>
  <c r="NC294" i="31"/>
  <c r="MQ294" i="31"/>
  <c r="OR294" i="31"/>
  <c r="BB293" i="31"/>
  <c r="DW292" i="31"/>
  <c r="DU293" i="31" s="1"/>
  <c r="IW292" i="31"/>
  <c r="EQ292" i="31"/>
  <c r="ER293" i="31"/>
  <c r="IU292" i="31"/>
  <c r="IV292" i="31" s="1"/>
  <c r="IC292" i="31"/>
  <c r="ID292" i="31" s="1"/>
  <c r="IF292" i="31" s="1"/>
  <c r="KH292" i="31" s="1"/>
  <c r="JB292" i="31"/>
  <c r="EU293" i="31" l="1"/>
  <c r="KB292" i="31"/>
  <c r="IX292" i="31"/>
  <c r="KK292" i="31"/>
  <c r="IM292" i="31"/>
  <c r="DT292" i="31" s="1"/>
  <c r="DZ292" i="31" s="1"/>
  <c r="DB292" i="31"/>
  <c r="DC292" i="31" s="1"/>
  <c r="DD293" i="31" s="1"/>
  <c r="DE294" i="31" s="1"/>
  <c r="GM292" i="31"/>
  <c r="KI293" i="31"/>
  <c r="IN292" i="31"/>
  <c r="DF292" i="31"/>
  <c r="BC293" i="31"/>
  <c r="GT294" i="31" l="1"/>
  <c r="KJ293" i="31"/>
  <c r="BD293" i="31"/>
  <c r="BE293" i="31"/>
  <c r="FD292" i="31"/>
  <c r="GU292" i="31"/>
  <c r="GV292" i="31"/>
  <c r="GR292" i="31"/>
  <c r="IS292" i="31" l="1"/>
  <c r="FL293" i="31"/>
  <c r="BF293" i="31"/>
  <c r="BG293" i="31"/>
  <c r="GS292" i="31"/>
  <c r="GX292" i="31" l="1"/>
  <c r="GW292" i="31"/>
  <c r="HC292" i="31" s="1"/>
  <c r="FA293" i="31" s="1"/>
  <c r="HB293" i="31" s="1"/>
  <c r="GY292" i="31"/>
  <c r="BI293" i="31"/>
  <c r="BK293" i="31" s="1"/>
  <c r="BH293" i="31"/>
  <c r="FM293" i="31"/>
  <c r="JH292" i="31"/>
  <c r="JI292" i="31" s="1"/>
  <c r="IT292" i="31"/>
  <c r="JK292" i="31" l="1"/>
  <c r="JZ292" i="31" s="1"/>
  <c r="KF292" i="31" s="1"/>
  <c r="IQ293" i="31" s="1"/>
  <c r="BJ293" i="31"/>
  <c r="BL293" i="31"/>
  <c r="BM293" i="31"/>
  <c r="EY292" i="31"/>
  <c r="EG292" i="31"/>
  <c r="EH293" i="31" s="1"/>
  <c r="EI293" i="31" s="1"/>
  <c r="FK293" i="31" s="1"/>
  <c r="HM292" i="31"/>
  <c r="HK293" i="31"/>
  <c r="JM292" i="31" l="1"/>
  <c r="KD292" i="31" s="1"/>
  <c r="IL293" i="31" s="1"/>
  <c r="JE293" i="31" s="1"/>
  <c r="JN292" i="31"/>
  <c r="JV292" i="31" s="1"/>
  <c r="JF293" i="31" s="1"/>
  <c r="JY293" i="31" s="1"/>
  <c r="EE292" i="31"/>
  <c r="EF293" i="31" s="1"/>
  <c r="ED292" i="31"/>
  <c r="EB293" i="31" s="1"/>
  <c r="IY293" i="31" s="1"/>
  <c r="EJ292" i="31"/>
  <c r="EK293" i="31" s="1"/>
  <c r="EZ292" i="31"/>
  <c r="DG292" i="31"/>
  <c r="DH292" i="31" s="1"/>
  <c r="DI293" i="31" s="1"/>
  <c r="JL292" i="31"/>
  <c r="JJ293" i="31" s="1"/>
  <c r="KA293" i="31"/>
  <c r="BO293" i="31"/>
  <c r="BN293" i="31"/>
  <c r="IR293" i="31" l="1"/>
  <c r="IP293" i="31"/>
  <c r="IO293" i="31"/>
  <c r="JP293" i="31" s="1"/>
  <c r="JQ293" i="31" s="1"/>
  <c r="JA293" i="31"/>
  <c r="JW293" i="31"/>
  <c r="JO293" i="31"/>
  <c r="DP293" i="31"/>
  <c r="JC293" i="31"/>
  <c r="JD293" i="31"/>
  <c r="BP293" i="31"/>
  <c r="BQ293" i="31" s="1"/>
  <c r="EP293" i="31"/>
  <c r="ET294" i="31" s="1"/>
  <c r="EL293" i="31"/>
  <c r="EO293" i="31"/>
  <c r="ES294" i="31" s="1"/>
  <c r="FC293" i="31"/>
  <c r="EV293" i="31"/>
  <c r="HZ293" i="31"/>
  <c r="GZ293" i="31"/>
  <c r="IE293" i="31" s="1"/>
  <c r="DJ293" i="31"/>
  <c r="DK293" i="31" s="1"/>
  <c r="DM293" i="31" l="1"/>
  <c r="DX293" i="31"/>
  <c r="FQ293" i="31"/>
  <c r="BR293" i="31"/>
  <c r="BS293" i="31"/>
  <c r="EC293" i="31"/>
  <c r="KG293" i="31"/>
  <c r="JX293" i="31"/>
  <c r="FB293" i="31" l="1"/>
  <c r="EX293" i="31"/>
  <c r="M293" i="31" s="1"/>
  <c r="BT293" i="31"/>
  <c r="BU293" i="31"/>
  <c r="DL293" i="31"/>
  <c r="L294" i="31"/>
  <c r="BV293" i="31" l="1"/>
  <c r="BW293" i="31" s="1"/>
  <c r="MJ293" i="31"/>
  <c r="NS293" i="31" s="1"/>
  <c r="MB293" i="31"/>
  <c r="NM293" i="31" l="1"/>
  <c r="NN293" i="31" s="1"/>
  <c r="BY293" i="31"/>
  <c r="BX293" i="31"/>
  <c r="NT293" i="31"/>
  <c r="OU294" i="31"/>
  <c r="BZ293" i="31" l="1"/>
  <c r="NW293" i="31"/>
  <c r="NX293" i="31" s="1"/>
  <c r="OV294" i="31"/>
  <c r="CA293" i="31"/>
  <c r="CX293" i="31"/>
  <c r="FV293" i="31"/>
  <c r="FR293" i="31"/>
  <c r="NU293" i="31"/>
  <c r="CB293" i="31" l="1"/>
  <c r="CC293" i="31" s="1"/>
  <c r="NV293" i="31"/>
  <c r="NZ293" i="31"/>
  <c r="MY293" i="31"/>
  <c r="CY294" i="31"/>
  <c r="NY293" i="31"/>
  <c r="OF293" i="31"/>
  <c r="OS294" i="31" s="1"/>
  <c r="CD293" i="31" l="1"/>
  <c r="CE293" i="31"/>
  <c r="CF293" i="31" s="1"/>
  <c r="OB293" i="31"/>
  <c r="OT294" i="31" s="1"/>
  <c r="OA293" i="31"/>
  <c r="MV294" i="31" s="1"/>
  <c r="OI293" i="31"/>
  <c r="OM294" i="31"/>
  <c r="OO294" i="31"/>
  <c r="NF294" i="31"/>
  <c r="MZ294" i="31"/>
  <c r="OZ293" i="31"/>
  <c r="CG293" i="31" l="1"/>
  <c r="CH293" i="31" s="1"/>
  <c r="CI293" i="31" s="1"/>
  <c r="CJ293" i="31" s="1"/>
  <c r="CO293" i="31" s="1"/>
  <c r="OW293" i="31"/>
  <c r="OX294" i="31"/>
  <c r="MR294" i="31"/>
  <c r="OG294" i="31"/>
  <c r="KT294" i="31"/>
  <c r="OJ293" i="31"/>
  <c r="PA293" i="31"/>
  <c r="OC293" i="31"/>
  <c r="OD294" i="31" s="1"/>
  <c r="OH294" i="31" s="1"/>
  <c r="CK293" i="31" l="1"/>
  <c r="CL293" i="31" s="1"/>
  <c r="MW294" i="31"/>
  <c r="OY294" i="31"/>
  <c r="KL294" i="31"/>
  <c r="KN295" i="31" s="1"/>
  <c r="KM294" i="31"/>
  <c r="KO295" i="31" s="1"/>
  <c r="MS294" i="31"/>
  <c r="OK294" i="31"/>
  <c r="CM293" i="31" l="1"/>
  <c r="CN293" i="31" s="1"/>
  <c r="CP293" i="31" s="1"/>
  <c r="FP293" i="31" s="1"/>
  <c r="FS293" i="31" s="1"/>
  <c r="MU294" i="31"/>
  <c r="NP294" i="31"/>
  <c r="NJ294" i="31"/>
  <c r="NH295" i="31"/>
  <c r="NI295" i="31" s="1"/>
  <c r="MT294" i="31"/>
  <c r="MO294" i="31"/>
  <c r="NQ294" i="31"/>
  <c r="NR294" i="31" s="1"/>
  <c r="PE294" i="31"/>
  <c r="KQ294" i="31"/>
  <c r="KP295" i="31"/>
  <c r="KR294" i="31"/>
  <c r="MX294" i="31"/>
  <c r="GB293" i="31" l="1"/>
  <c r="GC293" i="31" s="1"/>
  <c r="KU293" i="31"/>
  <c r="KX293" i="31"/>
  <c r="FZ293" i="31"/>
  <c r="GA293" i="31" s="1"/>
  <c r="FX293" i="31"/>
  <c r="FY293" i="31" s="1"/>
  <c r="CQ293" i="31"/>
  <c r="CS293" i="31" s="1"/>
  <c r="HO293" i="31"/>
  <c r="IA293" i="31" s="1"/>
  <c r="IB293" i="31" s="1"/>
  <c r="DQ293" i="31"/>
  <c r="DR293" i="31" s="1"/>
  <c r="DS293" i="31" s="1"/>
  <c r="AX293" i="31" s="1"/>
  <c r="AY294" i="31" s="1"/>
  <c r="GO293" i="31"/>
  <c r="FE293" i="31"/>
  <c r="FF293" i="31" s="1"/>
  <c r="FG294" i="31" s="1"/>
  <c r="FH293" i="31"/>
  <c r="FI293" i="31" s="1"/>
  <c r="FJ294" i="31" s="1"/>
  <c r="FU293" i="31"/>
  <c r="FW293" i="31" s="1"/>
  <c r="GN293" i="31"/>
  <c r="JR293" i="31"/>
  <c r="JS293" i="31" s="1"/>
  <c r="KE293" i="31" s="1"/>
  <c r="HY293" i="31"/>
  <c r="DY293" i="31"/>
  <c r="HA293" i="31"/>
  <c r="NK294" i="31"/>
  <c r="NL294" i="31"/>
  <c r="NG295" i="31"/>
  <c r="OQ295" i="31"/>
  <c r="KS294" i="31"/>
  <c r="NB294" i="31"/>
  <c r="NA294" i="31"/>
  <c r="HU293" i="31" l="1"/>
  <c r="HV294" i="31" s="1"/>
  <c r="GQ293" i="31"/>
  <c r="HP293" i="31"/>
  <c r="IZ293" i="31"/>
  <c r="CT293" i="31"/>
  <c r="HW293" i="31"/>
  <c r="HX294" i="31" s="1"/>
  <c r="CR293" i="31"/>
  <c r="KV293" i="31"/>
  <c r="KW294" i="31" s="1"/>
  <c r="HQ293" i="31"/>
  <c r="HR294" i="31" s="1"/>
  <c r="JT294" i="31"/>
  <c r="JU293" i="31"/>
  <c r="KC293" i="31"/>
  <c r="OR295" i="31"/>
  <c r="AZ293" i="31"/>
  <c r="EN293" i="31"/>
  <c r="EM293" i="31"/>
  <c r="EW293" i="31" s="1"/>
  <c r="NC295" i="31"/>
  <c r="MQ295" i="31"/>
  <c r="HT293" i="31"/>
  <c r="HS293" i="31"/>
  <c r="JG293" i="31" s="1"/>
  <c r="IC293" i="31" l="1"/>
  <c r="ID293" i="31" s="1"/>
  <c r="IF293" i="31" s="1"/>
  <c r="KH293" i="31" s="1"/>
  <c r="JB293" i="31"/>
  <c r="BB294" i="31"/>
  <c r="EQ293" i="31"/>
  <c r="DW293" i="31"/>
  <c r="DU294" i="31" s="1"/>
  <c r="ER294" i="31"/>
  <c r="IU293" i="31"/>
  <c r="IV293" i="31" s="1"/>
  <c r="IW293" i="31" l="1"/>
  <c r="KB293" i="31" s="1"/>
  <c r="BC294" i="31"/>
  <c r="KK293" i="31"/>
  <c r="IX293" i="31"/>
  <c r="EU294" i="31"/>
  <c r="IM293" i="31"/>
  <c r="DB293" i="31"/>
  <c r="DC293" i="31" s="1"/>
  <c r="DD294" i="31" s="1"/>
  <c r="DE295" i="31" s="1"/>
  <c r="GM293" i="31"/>
  <c r="KI294" i="31"/>
  <c r="IN293" i="31"/>
  <c r="DF293" i="31"/>
  <c r="DT293" i="31" l="1"/>
  <c r="DZ293" i="31" s="1"/>
  <c r="GT295" i="31"/>
  <c r="KJ294" i="31"/>
  <c r="FD293" i="31"/>
  <c r="GU293" i="31"/>
  <c r="GV293" i="31"/>
  <c r="GR293" i="31"/>
  <c r="BD294" i="31"/>
  <c r="BE294" i="31"/>
  <c r="IS293" i="31" l="1"/>
  <c r="FL294" i="31"/>
  <c r="BF294" i="31"/>
  <c r="BG294" i="31"/>
  <c r="GS293" i="31"/>
  <c r="BH294" i="31" l="1"/>
  <c r="BI294" i="31"/>
  <c r="BK294" i="31" s="1"/>
  <c r="GY293" i="31"/>
  <c r="GW293" i="31"/>
  <c r="HC293" i="31" s="1"/>
  <c r="FA294" i="31" s="1"/>
  <c r="HB294" i="31" s="1"/>
  <c r="GX293" i="31"/>
  <c r="FM294" i="31"/>
  <c r="JH293" i="31"/>
  <c r="JI293" i="31" s="1"/>
  <c r="IT293" i="31"/>
  <c r="BL294" i="31" l="1"/>
  <c r="BM294" i="31"/>
  <c r="JK293" i="31"/>
  <c r="JZ293" i="31" s="1"/>
  <c r="KF293" i="31" s="1"/>
  <c r="IQ294" i="31" s="1"/>
  <c r="BJ294" i="31"/>
  <c r="EG293" i="31"/>
  <c r="EH294" i="31" s="1"/>
  <c r="EI294" i="31" s="1"/>
  <c r="FK294" i="31" s="1"/>
  <c r="EY293" i="31"/>
  <c r="HM293" i="31"/>
  <c r="HK294" i="31"/>
  <c r="JM293" i="31" l="1"/>
  <c r="KD293" i="31" s="1"/>
  <c r="IL294" i="31" s="1"/>
  <c r="IR294" i="31" s="1"/>
  <c r="JN293" i="31"/>
  <c r="JV293" i="31" s="1"/>
  <c r="JF294" i="31" s="1"/>
  <c r="ED293" i="31"/>
  <c r="EB294" i="31" s="1"/>
  <c r="EJ293" i="31"/>
  <c r="EK294" i="31" s="1"/>
  <c r="EE293" i="31"/>
  <c r="EF294" i="31" s="1"/>
  <c r="EZ293" i="31"/>
  <c r="DG293" i="31"/>
  <c r="DH293" i="31" s="1"/>
  <c r="DI294" i="31" s="1"/>
  <c r="JL293" i="31"/>
  <c r="JJ294" i="31" s="1"/>
  <c r="KA294" i="31"/>
  <c r="BN294" i="31"/>
  <c r="BO294" i="31"/>
  <c r="IP294" i="31" l="1"/>
  <c r="JE294" i="31"/>
  <c r="IO294" i="31"/>
  <c r="EO294" i="31"/>
  <c r="ES295" i="31" s="1"/>
  <c r="EL294" i="31"/>
  <c r="JX294" i="31" s="1"/>
  <c r="FC294" i="31"/>
  <c r="EP294" i="31"/>
  <c r="ET295" i="31" s="1"/>
  <c r="EV294" i="31"/>
  <c r="JY294" i="31"/>
  <c r="JW294" i="31"/>
  <c r="JO294" i="31"/>
  <c r="JA294" i="31"/>
  <c r="BP294" i="31"/>
  <c r="BQ294" i="31" s="1"/>
  <c r="GZ294" i="31"/>
  <c r="IE294" i="31" s="1"/>
  <c r="DJ294" i="31"/>
  <c r="DK294" i="31" s="1"/>
  <c r="IY294" i="31"/>
  <c r="JP294" i="31" s="1"/>
  <c r="JQ294" i="31" s="1"/>
  <c r="DP294" i="31"/>
  <c r="HZ294" i="31"/>
  <c r="JC294" i="31"/>
  <c r="JD294" i="31"/>
  <c r="KG294" i="31" l="1"/>
  <c r="DX294" i="31"/>
  <c r="FQ294" i="31"/>
  <c r="DM294" i="31"/>
  <c r="EC294" i="31"/>
  <c r="BR294" i="31"/>
  <c r="BS294" i="31"/>
  <c r="DL294" i="31" l="1"/>
  <c r="L295" i="31"/>
  <c r="EX294" i="31"/>
  <c r="M294" i="31" s="1"/>
  <c r="FB294" i="31"/>
  <c r="BT294" i="31"/>
  <c r="BU294" i="31"/>
  <c r="BV294" i="31" l="1"/>
  <c r="BW294" i="31" s="1"/>
  <c r="MB294" i="31"/>
  <c r="MJ294" i="31"/>
  <c r="NS294" i="31" s="1"/>
  <c r="NM294" i="31" l="1"/>
  <c r="NN294" i="31" s="1"/>
  <c r="BX294" i="31"/>
  <c r="BY294" i="31"/>
  <c r="NT294" i="31"/>
  <c r="OU295" i="31"/>
  <c r="BZ294" i="31" l="1"/>
  <c r="OV295" i="31"/>
  <c r="NW294" i="31"/>
  <c r="NX294" i="31" s="1"/>
  <c r="CA294" i="31"/>
  <c r="FV294" i="31"/>
  <c r="FR294" i="31"/>
  <c r="CX294" i="31"/>
  <c r="NU294" i="31"/>
  <c r="CB294" i="31" l="1"/>
  <c r="CC294" i="31" s="1"/>
  <c r="NY294" i="31"/>
  <c r="NZ294" i="31"/>
  <c r="MY294" i="31"/>
  <c r="CY295" i="31"/>
  <c r="OF294" i="31"/>
  <c r="OS295" i="31" s="1"/>
  <c r="NV294" i="31"/>
  <c r="CD294" i="31" l="1"/>
  <c r="CE294" i="31"/>
  <c r="CF294" i="31" s="1"/>
  <c r="MZ295" i="31"/>
  <c r="OZ294" i="31"/>
  <c r="OB294" i="31"/>
  <c r="OT295" i="31" s="1"/>
  <c r="OM295" i="31"/>
  <c r="NF295" i="31"/>
  <c r="OO295" i="31"/>
  <c r="OI294" i="31"/>
  <c r="OA294" i="31"/>
  <c r="MV295" i="31" s="1"/>
  <c r="CG294" i="31" l="1"/>
  <c r="CH294" i="31" s="1"/>
  <c r="CI294" i="31" s="1"/>
  <c r="CJ294" i="31" s="1"/>
  <c r="CO294" i="31" s="1"/>
  <c r="OW294" i="31"/>
  <c r="OX295" i="31"/>
  <c r="MR295" i="31"/>
  <c r="PA294" i="31"/>
  <c r="OJ294" i="31"/>
  <c r="OC294" i="31"/>
  <c r="OD295" i="31" s="1"/>
  <c r="OH295" i="31" s="1"/>
  <c r="KT295" i="31"/>
  <c r="OG295" i="31"/>
  <c r="CK294" i="31" l="1"/>
  <c r="CL294" i="31" s="1"/>
  <c r="KL295" i="31"/>
  <c r="KN296" i="31" s="1"/>
  <c r="KM295" i="31"/>
  <c r="KO296" i="31" s="1"/>
  <c r="OY295" i="31"/>
  <c r="MW295" i="31"/>
  <c r="MS295" i="31"/>
  <c r="OK295" i="31"/>
  <c r="CM294" i="31" l="1"/>
  <c r="CN294" i="31" s="1"/>
  <c r="CP294" i="31" s="1"/>
  <c r="JR294" i="31" s="1"/>
  <c r="JS294" i="31" s="1"/>
  <c r="NP295" i="31"/>
  <c r="NH296" i="31"/>
  <c r="NI296" i="31" s="1"/>
  <c r="NJ295" i="31"/>
  <c r="MU295" i="31"/>
  <c r="MT295" i="31"/>
  <c r="MO295" i="31"/>
  <c r="NQ295" i="31"/>
  <c r="PE295" i="31"/>
  <c r="KP296" i="31"/>
  <c r="KR295" i="31"/>
  <c r="MX295" i="31"/>
  <c r="KQ295" i="31"/>
  <c r="NR295" i="31" l="1"/>
  <c r="KX294" i="31"/>
  <c r="GN294" i="31" s="1"/>
  <c r="GO294" i="31"/>
  <c r="FE294" i="31"/>
  <c r="FF294" i="31" s="1"/>
  <c r="HW294" i="31" s="1"/>
  <c r="HX295" i="31" s="1"/>
  <c r="FZ294" i="31"/>
  <c r="GA294" i="31" s="1"/>
  <c r="FP294" i="31"/>
  <c r="FS294" i="31" s="1"/>
  <c r="DY294" i="31" s="1"/>
  <c r="FU294" i="31"/>
  <c r="FW294" i="31" s="1"/>
  <c r="FX294" i="31"/>
  <c r="FY294" i="31" s="1"/>
  <c r="KU294" i="31"/>
  <c r="GB294" i="31"/>
  <c r="GC294" i="31" s="1"/>
  <c r="CQ294" i="31"/>
  <c r="CS294" i="31" s="1"/>
  <c r="DQ294" i="31"/>
  <c r="DR294" i="31" s="1"/>
  <c r="DS294" i="31" s="1"/>
  <c r="AX294" i="31" s="1"/>
  <c r="AY295" i="31" s="1"/>
  <c r="HO294" i="31"/>
  <c r="IA294" i="31" s="1"/>
  <c r="IB294" i="31" s="1"/>
  <c r="FH294" i="31"/>
  <c r="FI294" i="31" s="1"/>
  <c r="HU294" i="31" s="1"/>
  <c r="HV295" i="31" s="1"/>
  <c r="KS295" i="31"/>
  <c r="NB295" i="31"/>
  <c r="NA295" i="31"/>
  <c r="NL295" i="31"/>
  <c r="NK295" i="31"/>
  <c r="NG296" i="31"/>
  <c r="OQ296" i="31"/>
  <c r="KE294" i="31"/>
  <c r="KC294" i="31"/>
  <c r="JT295" i="31"/>
  <c r="JU294" i="31"/>
  <c r="CR294" i="31" l="1"/>
  <c r="FG295" i="31"/>
  <c r="CT294" i="31"/>
  <c r="HA294" i="31"/>
  <c r="GQ294" i="31"/>
  <c r="HY294" i="31"/>
  <c r="KV294" i="31"/>
  <c r="IZ294" i="31"/>
  <c r="HP294" i="31"/>
  <c r="HS294" i="31" s="1"/>
  <c r="JG294" i="31" s="1"/>
  <c r="FJ295" i="31"/>
  <c r="AZ294" i="31"/>
  <c r="EM294" i="31"/>
  <c r="EW294" i="31" s="1"/>
  <c r="EN294" i="31"/>
  <c r="OR296" i="31"/>
  <c r="NC296" i="31"/>
  <c r="MQ296" i="31"/>
  <c r="KW295" i="31" l="1"/>
  <c r="HQ294" i="31"/>
  <c r="HR295" i="31" s="1"/>
  <c r="HT294" i="31"/>
  <c r="IC294" i="31" s="1"/>
  <c r="ID294" i="31" s="1"/>
  <c r="IF294" i="31" s="1"/>
  <c r="KH294" i="31" s="1"/>
  <c r="BB295" i="31"/>
  <c r="DW294" i="31"/>
  <c r="DU295" i="31" s="1"/>
  <c r="EQ294" i="31"/>
  <c r="ER295" i="31"/>
  <c r="IU294" i="31"/>
  <c r="IV294" i="31" s="1"/>
  <c r="JB294" i="31" l="1"/>
  <c r="IW294" i="31"/>
  <c r="KB294" i="31" s="1"/>
  <c r="EU295" i="31"/>
  <c r="DB294" i="31"/>
  <c r="DC294" i="31" s="1"/>
  <c r="DD295" i="31" s="1"/>
  <c r="DE296" i="31" s="1"/>
  <c r="IM294" i="31"/>
  <c r="GM294" i="31"/>
  <c r="KI295" i="31"/>
  <c r="IN294" i="31"/>
  <c r="DF294" i="31"/>
  <c r="BC295" i="31"/>
  <c r="IX294" i="31"/>
  <c r="KK294" i="31"/>
  <c r="GT296" i="31" l="1"/>
  <c r="DT294" i="31"/>
  <c r="DZ294" i="31" s="1"/>
  <c r="BE295" i="31"/>
  <c r="BD295" i="31"/>
  <c r="GV294" i="31"/>
  <c r="GU294" i="31"/>
  <c r="FD294" i="31"/>
  <c r="KJ295" i="31"/>
  <c r="GR294" i="31"/>
  <c r="IS294" i="31" l="1"/>
  <c r="FL295" i="31"/>
  <c r="GS294" i="31"/>
  <c r="BF295" i="31"/>
  <c r="BG295" i="31"/>
  <c r="BI295" i="31" l="1"/>
  <c r="BK295" i="31" s="1"/>
  <c r="BH295" i="31"/>
  <c r="GY294" i="31"/>
  <c r="GX294" i="31"/>
  <c r="GW294" i="31"/>
  <c r="HC294" i="31" s="1"/>
  <c r="FA295" i="31" s="1"/>
  <c r="HB295" i="31" s="1"/>
  <c r="FM295" i="31"/>
  <c r="JH294" i="31"/>
  <c r="JI294" i="31" s="1"/>
  <c r="IT294" i="31"/>
  <c r="BJ295" i="31" l="1"/>
  <c r="JK294" i="31"/>
  <c r="JZ294" i="31" s="1"/>
  <c r="KF294" i="31" s="1"/>
  <c r="IQ295" i="31" s="1"/>
  <c r="EG294" i="31"/>
  <c r="EH295" i="31" s="1"/>
  <c r="EI295" i="31" s="1"/>
  <c r="FK295" i="31" s="1"/>
  <c r="EY294" i="31"/>
  <c r="HM294" i="31"/>
  <c r="HK295" i="31"/>
  <c r="BL295" i="31"/>
  <c r="BM295" i="31"/>
  <c r="JN294" i="31" l="1"/>
  <c r="JV294" i="31" s="1"/>
  <c r="JF295" i="31" s="1"/>
  <c r="JW295" i="31" s="1"/>
  <c r="EZ294" i="31"/>
  <c r="DG294" i="31"/>
  <c r="DH294" i="31" s="1"/>
  <c r="DI295" i="31" s="1"/>
  <c r="BO295" i="31"/>
  <c r="BN295" i="31"/>
  <c r="EE294" i="31"/>
  <c r="EF295" i="31" s="1"/>
  <c r="ED294" i="31"/>
  <c r="EB295" i="31" s="1"/>
  <c r="JA295" i="31" s="1"/>
  <c r="EJ294" i="31"/>
  <c r="EK295" i="31" s="1"/>
  <c r="JM294" i="31"/>
  <c r="KD294" i="31" s="1"/>
  <c r="IL295" i="31" s="1"/>
  <c r="JL294" i="31"/>
  <c r="JJ295" i="31" s="1"/>
  <c r="KA295" i="31"/>
  <c r="IY295" i="31" l="1"/>
  <c r="JY295" i="31"/>
  <c r="JO295" i="31"/>
  <c r="IR295" i="31"/>
  <c r="HZ295" i="31"/>
  <c r="IP295" i="31"/>
  <c r="IO295" i="31"/>
  <c r="JE295" i="31"/>
  <c r="BP295" i="31"/>
  <c r="BQ295" i="31" s="1"/>
  <c r="DP295" i="31"/>
  <c r="JC295" i="31"/>
  <c r="JD295" i="31"/>
  <c r="EO295" i="31"/>
  <c r="ES296" i="31" s="1"/>
  <c r="EL295" i="31"/>
  <c r="FC295" i="31"/>
  <c r="EP295" i="31"/>
  <c r="ET296" i="31" s="1"/>
  <c r="EV295" i="31"/>
  <c r="GZ295" i="31"/>
  <c r="DJ295" i="31"/>
  <c r="DK295" i="31" s="1"/>
  <c r="JP295" i="31" l="1"/>
  <c r="JQ295" i="31" s="1"/>
  <c r="JX295" i="31"/>
  <c r="KG295" i="31"/>
  <c r="IE295" i="31"/>
  <c r="DM295" i="31"/>
  <c r="DX295" i="31"/>
  <c r="FQ295" i="31"/>
  <c r="EC295" i="31"/>
  <c r="BR295" i="31"/>
  <c r="BS295" i="31"/>
  <c r="BT295" i="31" l="1"/>
  <c r="BU295" i="31"/>
  <c r="EX295" i="31"/>
  <c r="M295" i="31" s="1"/>
  <c r="FB295" i="31"/>
  <c r="DL295" i="31"/>
  <c r="L296" i="31"/>
  <c r="BV295" i="31" l="1"/>
  <c r="BW295" i="31" s="1"/>
  <c r="MB295" i="31"/>
  <c r="MJ295" i="31"/>
  <c r="NS295" i="31" s="1"/>
  <c r="NM295" i="31" l="1"/>
  <c r="NN295" i="31" s="1"/>
  <c r="BX295" i="31"/>
  <c r="BY295" i="31"/>
  <c r="CA295" i="31" s="1"/>
  <c r="NT295" i="31"/>
  <c r="OU296" i="31"/>
  <c r="OV296" i="31" l="1"/>
  <c r="NW295" i="31"/>
  <c r="NX295" i="31" s="1"/>
  <c r="NY295" i="31" s="1"/>
  <c r="BZ295" i="31"/>
  <c r="CB295" i="31"/>
  <c r="CC295" i="31" s="1"/>
  <c r="CX295" i="31"/>
  <c r="FR295" i="31"/>
  <c r="FV295" i="31"/>
  <c r="NU295" i="31"/>
  <c r="OF295" i="31" l="1"/>
  <c r="OS296" i="31" s="1"/>
  <c r="CD295" i="31"/>
  <c r="CE295" i="31"/>
  <c r="CF295" i="31" s="1"/>
  <c r="NV295" i="31"/>
  <c r="NZ295" i="31"/>
  <c r="OA295" i="31" s="1"/>
  <c r="MV296" i="31" s="1"/>
  <c r="MY295" i="31"/>
  <c r="OI295" i="31" s="1"/>
  <c r="CY296" i="31"/>
  <c r="OB295" i="31"/>
  <c r="OT296" i="31" s="1"/>
  <c r="CG295" i="31" l="1"/>
  <c r="CH295" i="31" s="1"/>
  <c r="CI295" i="31" s="1"/>
  <c r="OX296" i="31"/>
  <c r="MR296" i="31"/>
  <c r="OW295" i="31"/>
  <c r="PA295" i="31"/>
  <c r="OJ295" i="31"/>
  <c r="OC295" i="31"/>
  <c r="OD296" i="31" s="1"/>
  <c r="OH296" i="31" s="1"/>
  <c r="OG296" i="31"/>
  <c r="OM296" i="31"/>
  <c r="OO296" i="31"/>
  <c r="KT296" i="31" s="1"/>
  <c r="NF296" i="31"/>
  <c r="MZ296" i="31"/>
  <c r="OZ295" i="31"/>
  <c r="OK296" i="31" l="1"/>
  <c r="CJ295" i="31"/>
  <c r="CO295" i="31" s="1"/>
  <c r="CK295" i="31"/>
  <c r="CM295" i="31" s="1"/>
  <c r="CN295" i="31" s="1"/>
  <c r="KL296" i="31"/>
  <c r="KN297" i="31" s="1"/>
  <c r="KM296" i="31"/>
  <c r="KO297" i="31" s="1"/>
  <c r="OY296" i="31"/>
  <c r="MW296" i="31"/>
  <c r="MS296" i="31"/>
  <c r="CL295" i="31" l="1"/>
  <c r="CP295" i="31" s="1"/>
  <c r="MT296" i="31"/>
  <c r="NJ296" i="31"/>
  <c r="NH297" i="31"/>
  <c r="NI297" i="31" s="1"/>
  <c r="MU296" i="31"/>
  <c r="NQ296" i="31"/>
  <c r="NP296" i="31"/>
  <c r="MO296" i="31"/>
  <c r="PE296" i="31"/>
  <c r="KP297" i="31"/>
  <c r="KR296" i="31"/>
  <c r="MX296" i="31"/>
  <c r="KQ296" i="31"/>
  <c r="NR296" i="31" l="1"/>
  <c r="NA296" i="31"/>
  <c r="NB296" i="31"/>
  <c r="NL296" i="31"/>
  <c r="NK296" i="31"/>
  <c r="NG297" i="31"/>
  <c r="OQ297" i="31"/>
  <c r="KS296" i="31"/>
  <c r="GO295" i="31"/>
  <c r="DQ295" i="31"/>
  <c r="DR295" i="31" s="1"/>
  <c r="FE295" i="31"/>
  <c r="FF295" i="31" s="1"/>
  <c r="FU295" i="31"/>
  <c r="FW295" i="31" s="1"/>
  <c r="GB295" i="31"/>
  <c r="GC295" i="31" s="1"/>
  <c r="HO295" i="31"/>
  <c r="JR295" i="31"/>
  <c r="JS295" i="31" s="1"/>
  <c r="FX295" i="31"/>
  <c r="FY295" i="31" s="1"/>
  <c r="CQ295" i="31"/>
  <c r="FH295" i="31"/>
  <c r="FI295" i="31" s="1"/>
  <c r="FZ295" i="31"/>
  <c r="GA295" i="31" s="1"/>
  <c r="FP295" i="31"/>
  <c r="FS295" i="31" s="1"/>
  <c r="KX295" i="31"/>
  <c r="KU295" i="31"/>
  <c r="GN295" i="31" l="1"/>
  <c r="GQ295" i="31" s="1"/>
  <c r="KE295" i="31"/>
  <c r="JU295" i="31"/>
  <c r="JT296" i="31"/>
  <c r="KC295" i="31"/>
  <c r="HY295" i="31"/>
  <c r="DY295" i="31"/>
  <c r="HA295" i="31"/>
  <c r="NC297" i="31"/>
  <c r="MQ297" i="31"/>
  <c r="HW295" i="31"/>
  <c r="HX296" i="31" s="1"/>
  <c r="FG296" i="31"/>
  <c r="HU295" i="31"/>
  <c r="HV296" i="31" s="1"/>
  <c r="FJ296" i="31"/>
  <c r="DS295" i="31"/>
  <c r="AX295" i="31" s="1"/>
  <c r="AY296" i="31" s="1"/>
  <c r="IA295" i="31"/>
  <c r="IB295" i="31" s="1"/>
  <c r="HP295" i="31"/>
  <c r="IZ295" i="31"/>
  <c r="CS295" i="31"/>
  <c r="CR295" i="31"/>
  <c r="CT295" i="31"/>
  <c r="OR297" i="31"/>
  <c r="KV295" i="31" l="1"/>
  <c r="KW296" i="31" s="1"/>
  <c r="HQ295" i="31"/>
  <c r="HR296" i="31" s="1"/>
  <c r="HT295" i="31"/>
  <c r="HS295" i="31"/>
  <c r="JG295" i="31" s="1"/>
  <c r="EM295" i="31"/>
  <c r="EW295" i="31" s="1"/>
  <c r="AZ295" i="31"/>
  <c r="EN295" i="31"/>
  <c r="IC295" i="31" l="1"/>
  <c r="ID295" i="31" s="1"/>
  <c r="IF295" i="31" s="1"/>
  <c r="KH295" i="31" s="1"/>
  <c r="JB295" i="31"/>
  <c r="BB296" i="31"/>
  <c r="EQ295" i="31"/>
  <c r="DW295" i="31"/>
  <c r="DU296" i="31" s="1"/>
  <c r="ER296" i="31"/>
  <c r="IU295" i="31"/>
  <c r="IV295" i="31" s="1"/>
  <c r="IW295" i="31" l="1"/>
  <c r="KB295" i="31" s="1"/>
  <c r="BC296" i="31"/>
  <c r="KK295" i="31"/>
  <c r="IX295" i="31"/>
  <c r="EU296" i="31"/>
  <c r="IM295" i="31"/>
  <c r="DB295" i="31"/>
  <c r="DC295" i="31" s="1"/>
  <c r="DD296" i="31" s="1"/>
  <c r="DE297" i="31" s="1"/>
  <c r="GM295" i="31"/>
  <c r="KI296" i="31"/>
  <c r="IN295" i="31"/>
  <c r="DF295" i="31"/>
  <c r="DT295" i="31" l="1"/>
  <c r="DZ295" i="31" s="1"/>
  <c r="GT297" i="31"/>
  <c r="KJ296" i="31"/>
  <c r="FD295" i="31"/>
  <c r="GV295" i="31"/>
  <c r="GU295" i="31"/>
  <c r="GR295" i="31"/>
  <c r="BE296" i="31"/>
  <c r="BD296" i="31"/>
  <c r="IS295" i="31" l="1"/>
  <c r="FL296" i="31"/>
  <c r="BF296" i="31"/>
  <c r="BG296" i="31"/>
  <c r="GS295" i="31"/>
  <c r="BI296" i="31" l="1"/>
  <c r="BK296" i="31" s="1"/>
  <c r="BH296" i="31"/>
  <c r="GY295" i="31"/>
  <c r="GX295" i="31"/>
  <c r="GW295" i="31"/>
  <c r="HC295" i="31" s="1"/>
  <c r="FA296" i="31" s="1"/>
  <c r="HB296" i="31" s="1"/>
  <c r="FM296" i="31"/>
  <c r="JH295" i="31"/>
  <c r="JI295" i="31" s="1"/>
  <c r="IT295" i="31"/>
  <c r="BJ296" i="31" l="1"/>
  <c r="HM295" i="31"/>
  <c r="EY295" i="31"/>
  <c r="EG295" i="31"/>
  <c r="EH296" i="31" s="1"/>
  <c r="EI296" i="31" s="1"/>
  <c r="FK296" i="31" s="1"/>
  <c r="HK296" i="31"/>
  <c r="JK295" i="31"/>
  <c r="BL296" i="31"/>
  <c r="BM296" i="31"/>
  <c r="JL295" i="31" l="1"/>
  <c r="JJ296" i="31" s="1"/>
  <c r="KA296" i="31"/>
  <c r="JZ295" i="31"/>
  <c r="KF295" i="31" s="1"/>
  <c r="IQ296" i="31" s="1"/>
  <c r="JM295" i="31"/>
  <c r="KD295" i="31" s="1"/>
  <c r="IL296" i="31" s="1"/>
  <c r="EE295" i="31"/>
  <c r="EF296" i="31" s="1"/>
  <c r="ED295" i="31"/>
  <c r="EB296" i="31" s="1"/>
  <c r="EJ295" i="31"/>
  <c r="EK296" i="31" s="1"/>
  <c r="BN296" i="31"/>
  <c r="BO296" i="31"/>
  <c r="EZ295" i="31"/>
  <c r="DG295" i="31"/>
  <c r="DH295" i="31" s="1"/>
  <c r="DI296" i="31" s="1"/>
  <c r="JN295" i="31"/>
  <c r="JV295" i="31" s="1"/>
  <c r="JF296" i="31" s="1"/>
  <c r="IO296" i="31" l="1"/>
  <c r="IP296" i="31"/>
  <c r="FC296" i="31"/>
  <c r="EL296" i="31"/>
  <c r="EO296" i="31"/>
  <c r="ES297" i="31" s="1"/>
  <c r="EP296" i="31"/>
  <c r="ET297" i="31" s="1"/>
  <c r="EV296" i="31"/>
  <c r="HZ296" i="31"/>
  <c r="GZ296" i="31"/>
  <c r="IE296" i="31" s="1"/>
  <c r="DJ296" i="31"/>
  <c r="DK296" i="31" s="1"/>
  <c r="JY296" i="31"/>
  <c r="JW296" i="31"/>
  <c r="JO296" i="31"/>
  <c r="IR296" i="31"/>
  <c r="IY296" i="31"/>
  <c r="JA296" i="31"/>
  <c r="JE296" i="31"/>
  <c r="BP296" i="31"/>
  <c r="BQ296" i="31" s="1"/>
  <c r="DP296" i="31"/>
  <c r="JC296" i="31"/>
  <c r="JD296" i="31"/>
  <c r="JP296" i="31" l="1"/>
  <c r="JQ296" i="31" s="1"/>
  <c r="BR296" i="31"/>
  <c r="BS296" i="31"/>
  <c r="EC296" i="31"/>
  <c r="JX296" i="31"/>
  <c r="DM296" i="31"/>
  <c r="DX296" i="31"/>
  <c r="FQ296" i="31"/>
  <c r="KG296" i="31"/>
  <c r="BT296" i="31" l="1"/>
  <c r="BU296" i="31"/>
  <c r="BV296" i="31" s="1"/>
  <c r="BW296" i="31" s="1"/>
  <c r="EX296" i="31"/>
  <c r="M296" i="31" s="1"/>
  <c r="FB296" i="31"/>
  <c r="DL296" i="31"/>
  <c r="L297" i="31"/>
  <c r="BY296" i="31" l="1"/>
  <c r="BX296" i="31"/>
  <c r="MJ296" i="31"/>
  <c r="NS296" i="31" s="1"/>
  <c r="MB296" i="31"/>
  <c r="BZ296" i="31" l="1"/>
  <c r="CA296" i="31"/>
  <c r="CC296" i="31" s="1"/>
  <c r="CD296" i="31" s="1"/>
  <c r="NM296" i="31"/>
  <c r="NN296" i="31" s="1"/>
  <c r="NT296" i="31"/>
  <c r="OU297" i="31"/>
  <c r="CB296" i="31" l="1"/>
  <c r="CE296" i="31"/>
  <c r="CF296" i="31" s="1"/>
  <c r="OV297" i="31"/>
  <c r="NW296" i="31"/>
  <c r="NX296" i="31" s="1"/>
  <c r="OF296" i="31" s="1"/>
  <c r="OS297" i="31" s="1"/>
  <c r="FV296" i="31"/>
  <c r="FR296" i="31"/>
  <c r="CX296" i="31"/>
  <c r="NU296" i="31"/>
  <c r="CG296" i="31" l="1"/>
  <c r="CH296" i="31" s="1"/>
  <c r="CI296" i="31" s="1"/>
  <c r="NV296" i="31"/>
  <c r="NZ296" i="31"/>
  <c r="MY296" i="31"/>
  <c r="CY297" i="31"/>
  <c r="NY296" i="31"/>
  <c r="CJ296" i="31" l="1"/>
  <c r="CO296" i="31" s="1"/>
  <c r="CK296" i="31"/>
  <c r="CL296" i="31" s="1"/>
  <c r="OA296" i="31"/>
  <c r="MV297" i="31" s="1"/>
  <c r="OG297" i="31" s="1"/>
  <c r="OM297" i="31"/>
  <c r="NF297" i="31"/>
  <c r="OO297" i="31"/>
  <c r="MZ297" i="31"/>
  <c r="OZ296" i="31"/>
  <c r="OI296" i="31"/>
  <c r="OB296" i="31"/>
  <c r="OT297" i="31" s="1"/>
  <c r="CM296" i="31" l="1"/>
  <c r="CN296" i="31" s="1"/>
  <c r="CP296" i="31" s="1"/>
  <c r="KT297" i="31"/>
  <c r="KL297" i="31"/>
  <c r="KN298" i="31" s="1"/>
  <c r="KM297" i="31"/>
  <c r="KO298" i="31" s="1"/>
  <c r="OJ296" i="31"/>
  <c r="PA296" i="31"/>
  <c r="OC296" i="31"/>
  <c r="OD297" i="31" s="1"/>
  <c r="OH297" i="31" s="1"/>
  <c r="OK297" i="31" s="1"/>
  <c r="OW296" i="31"/>
  <c r="OX297" i="31"/>
  <c r="MR297" i="31"/>
  <c r="FZ296" i="31" l="1"/>
  <c r="GA296" i="31" s="1"/>
  <c r="FU296" i="31"/>
  <c r="FW296" i="31" s="1"/>
  <c r="HO296" i="31"/>
  <c r="FE296" i="31"/>
  <c r="FF296" i="31" s="1"/>
  <c r="DQ296" i="31"/>
  <c r="DR296" i="31" s="1"/>
  <c r="FH296" i="31"/>
  <c r="FI296" i="31" s="1"/>
  <c r="JR296" i="31"/>
  <c r="JS296" i="31" s="1"/>
  <c r="GO296" i="31"/>
  <c r="GB296" i="31"/>
  <c r="GC296" i="31" s="1"/>
  <c r="CQ296" i="31"/>
  <c r="FX296" i="31"/>
  <c r="FY296" i="31" s="1"/>
  <c r="FP296" i="31"/>
  <c r="FS296" i="31" s="1"/>
  <c r="KX296" i="31"/>
  <c r="KU296" i="31"/>
  <c r="KP298" i="31"/>
  <c r="KR297" i="31"/>
  <c r="OY297" i="31"/>
  <c r="MW297" i="31"/>
  <c r="MS297" i="31"/>
  <c r="KQ297" i="31"/>
  <c r="GN296" i="31" l="1"/>
  <c r="KV296" i="31" s="1"/>
  <c r="DS296" i="31"/>
  <c r="AX296" i="31" s="1"/>
  <c r="AY297" i="31" s="1"/>
  <c r="NJ297" i="31"/>
  <c r="NH298" i="31"/>
  <c r="NI298" i="31" s="1"/>
  <c r="MU297" i="31"/>
  <c r="MO297" i="31"/>
  <c r="NP297" i="31"/>
  <c r="NQ297" i="31"/>
  <c r="MT297" i="31"/>
  <c r="PE297" i="31"/>
  <c r="FG297" i="31"/>
  <c r="HW296" i="31"/>
  <c r="HX297" i="31" s="1"/>
  <c r="HA296" i="31"/>
  <c r="DY296" i="31"/>
  <c r="HY296" i="31"/>
  <c r="IA296" i="31"/>
  <c r="IB296" i="31" s="1"/>
  <c r="HP296" i="31"/>
  <c r="IZ296" i="31"/>
  <c r="CT296" i="31"/>
  <c r="CS296" i="31"/>
  <c r="CR296" i="31"/>
  <c r="JU296" i="31"/>
  <c r="KE296" i="31"/>
  <c r="KC296" i="31"/>
  <c r="JT297" i="31"/>
  <c r="HU296" i="31"/>
  <c r="HV297" i="31" s="1"/>
  <c r="FJ297" i="31"/>
  <c r="MX297" i="31"/>
  <c r="KS297" i="31"/>
  <c r="GQ296" i="31" l="1"/>
  <c r="NR297" i="31"/>
  <c r="KW297" i="31"/>
  <c r="HQ296" i="31"/>
  <c r="HR297" i="31" s="1"/>
  <c r="NK297" i="31"/>
  <c r="NL297" i="31"/>
  <c r="NG298" i="31"/>
  <c r="OQ298" i="31"/>
  <c r="HS296" i="31"/>
  <c r="JG296" i="31" s="1"/>
  <c r="HT296" i="31"/>
  <c r="NB297" i="31"/>
  <c r="NA297" i="31"/>
  <c r="EM296" i="31"/>
  <c r="EW296" i="31" s="1"/>
  <c r="AZ296" i="31"/>
  <c r="EN296" i="31"/>
  <c r="BB297" i="31" l="1"/>
  <c r="DW296" i="31"/>
  <c r="DU297" i="31" s="1"/>
  <c r="EQ296" i="31"/>
  <c r="ER297" i="31"/>
  <c r="IU296" i="31"/>
  <c r="IV296" i="31" s="1"/>
  <c r="NC298" i="31"/>
  <c r="MQ298" i="31"/>
  <c r="IC296" i="31"/>
  <c r="ID296" i="31" s="1"/>
  <c r="IF296" i="31" s="1"/>
  <c r="KH296" i="31" s="1"/>
  <c r="JB296" i="31"/>
  <c r="OR298" i="31"/>
  <c r="IW296" i="31" l="1"/>
  <c r="KB296" i="31" s="1"/>
  <c r="EU297" i="31"/>
  <c r="IX296" i="31"/>
  <c r="KK296" i="31"/>
  <c r="DB296" i="31"/>
  <c r="DC296" i="31" s="1"/>
  <c r="DD297" i="31" s="1"/>
  <c r="DE298" i="31" s="1"/>
  <c r="GM296" i="31"/>
  <c r="IM296" i="31"/>
  <c r="KI297" i="31"/>
  <c r="IN296" i="31"/>
  <c r="DF296" i="31"/>
  <c r="BC297" i="31"/>
  <c r="DT296" i="31" l="1"/>
  <c r="DZ296" i="31" s="1"/>
  <c r="GT298" i="31"/>
  <c r="GR296" i="31"/>
  <c r="BE297" i="31"/>
  <c r="BD297" i="31"/>
  <c r="FD296" i="31"/>
  <c r="GU296" i="31"/>
  <c r="GV296" i="31"/>
  <c r="KJ297" i="31"/>
  <c r="BF297" i="31" l="1"/>
  <c r="BG297" i="31"/>
  <c r="IS296" i="31"/>
  <c r="FL297" i="31"/>
  <c r="GS296" i="31"/>
  <c r="BI297" i="31" l="1"/>
  <c r="BK297" i="31" s="1"/>
  <c r="BH297" i="31"/>
  <c r="GX296" i="31"/>
  <c r="GY296" i="31"/>
  <c r="GW296" i="31"/>
  <c r="HC296" i="31" s="1"/>
  <c r="FA297" i="31" s="1"/>
  <c r="HB297" i="31" s="1"/>
  <c r="FM297" i="31"/>
  <c r="JH296" i="31"/>
  <c r="JI296" i="31" s="1"/>
  <c r="IT296" i="31"/>
  <c r="BJ297" i="31" l="1"/>
  <c r="EY296" i="31"/>
  <c r="HM296" i="31"/>
  <c r="EG296" i="31"/>
  <c r="EH297" i="31" s="1"/>
  <c r="EI297" i="31" s="1"/>
  <c r="FK297" i="31" s="1"/>
  <c r="HK297" i="31"/>
  <c r="JK296" i="31"/>
  <c r="BL297" i="31"/>
  <c r="BM297" i="31"/>
  <c r="JN296" i="31" l="1"/>
  <c r="JV296" i="31" s="1"/>
  <c r="JF297" i="31" s="1"/>
  <c r="JL296" i="31"/>
  <c r="JJ297" i="31" s="1"/>
  <c r="KA297" i="31"/>
  <c r="BN297" i="31"/>
  <c r="BO297" i="31"/>
  <c r="JZ296" i="31"/>
  <c r="KF296" i="31" s="1"/>
  <c r="IQ297" i="31" s="1"/>
  <c r="EZ296" i="31"/>
  <c r="DG296" i="31"/>
  <c r="DH296" i="31" s="1"/>
  <c r="DI297" i="31" s="1"/>
  <c r="ED296" i="31"/>
  <c r="EB297" i="31" s="1"/>
  <c r="EJ296" i="31"/>
  <c r="EK297" i="31" s="1"/>
  <c r="EE296" i="31"/>
  <c r="EF297" i="31" s="1"/>
  <c r="JM296" i="31"/>
  <c r="KD296" i="31" s="1"/>
  <c r="IL297" i="31" s="1"/>
  <c r="GZ297" i="31" l="1"/>
  <c r="IE297" i="31" s="1"/>
  <c r="DJ297" i="31"/>
  <c r="DK297" i="31" s="1"/>
  <c r="JC297" i="31"/>
  <c r="JD297" i="31"/>
  <c r="BP297" i="31"/>
  <c r="BQ297" i="31" s="1"/>
  <c r="DP297" i="31"/>
  <c r="HZ297" i="31"/>
  <c r="IR297" i="31"/>
  <c r="JO297" i="31"/>
  <c r="JE297" i="31"/>
  <c r="JA297" i="31"/>
  <c r="IY297" i="31"/>
  <c r="FC297" i="31"/>
  <c r="EO297" i="31"/>
  <c r="ES298" i="31" s="1"/>
  <c r="EP297" i="31"/>
  <c r="ET298" i="31" s="1"/>
  <c r="EL297" i="31"/>
  <c r="EV297" i="31"/>
  <c r="IO297" i="31"/>
  <c r="IP297" i="31"/>
  <c r="JY297" i="31"/>
  <c r="JW297" i="31"/>
  <c r="KG297" i="31" l="1"/>
  <c r="JX297" i="31"/>
  <c r="BR297" i="31"/>
  <c r="BS297" i="31"/>
  <c r="DM297" i="31"/>
  <c r="FQ297" i="31"/>
  <c r="DX297" i="31"/>
  <c r="EC297" i="31"/>
  <c r="JP297" i="31"/>
  <c r="JQ297" i="31" s="1"/>
  <c r="DL297" i="31" l="1"/>
  <c r="L298" i="31"/>
  <c r="BT297" i="31"/>
  <c r="BU297" i="31"/>
  <c r="FB297" i="31"/>
  <c r="EX297" i="31"/>
  <c r="M297" i="31" s="1"/>
  <c r="BV297" i="31" l="1"/>
  <c r="BW297" i="31" s="1"/>
  <c r="MB297" i="31"/>
  <c r="NM297" i="31" s="1"/>
  <c r="NN297" i="31" s="1"/>
  <c r="MJ297" i="31"/>
  <c r="NS297" i="31" s="1"/>
  <c r="BY297" i="31" l="1"/>
  <c r="CA297" i="31" s="1"/>
  <c r="CC297" i="31" s="1"/>
  <c r="BX297" i="31"/>
  <c r="OV298" i="31"/>
  <c r="NW297" i="31"/>
  <c r="NX297" i="31" s="1"/>
  <c r="NT297" i="31"/>
  <c r="OU298" i="31"/>
  <c r="BZ297" i="31" l="1"/>
  <c r="CB297" i="31"/>
  <c r="CX297" i="31"/>
  <c r="FV297" i="31"/>
  <c r="FR297" i="31"/>
  <c r="NU297" i="31"/>
  <c r="OF297" i="31"/>
  <c r="OS298" i="31" s="1"/>
  <c r="NY297" i="31"/>
  <c r="CD297" i="31"/>
  <c r="CE297" i="31"/>
  <c r="NV297" i="31" l="1"/>
  <c r="OB297" i="31"/>
  <c r="OT298" i="31" s="1"/>
  <c r="CF297" i="31"/>
  <c r="CG297" i="31"/>
  <c r="MY297" i="31"/>
  <c r="NZ297" i="31"/>
  <c r="OA297" i="31" s="1"/>
  <c r="MV298" i="31" s="1"/>
  <c r="CY298" i="31"/>
  <c r="OG298" i="31" l="1"/>
  <c r="MZ298" i="31"/>
  <c r="OZ297" i="31"/>
  <c r="OJ297" i="31"/>
  <c r="CH297" i="31"/>
  <c r="CI297" i="31" s="1"/>
  <c r="OO298" i="31"/>
  <c r="KT298" i="31" s="1"/>
  <c r="NF298" i="31"/>
  <c r="OM298" i="31"/>
  <c r="PA297" i="31"/>
  <c r="OC297" i="31"/>
  <c r="OD298" i="31" s="1"/>
  <c r="OH298" i="31" s="1"/>
  <c r="OI297" i="31"/>
  <c r="OK298" i="31" l="1"/>
  <c r="CJ297" i="31"/>
  <c r="CO297" i="31" s="1"/>
  <c r="CK297" i="31"/>
  <c r="KM298" i="31"/>
  <c r="KO299" i="31" s="1"/>
  <c r="KL298" i="31"/>
  <c r="KN299" i="31" s="1"/>
  <c r="OW297" i="31"/>
  <c r="MR298" i="31"/>
  <c r="OX298" i="31"/>
  <c r="OY298" i="31"/>
  <c r="MW298" i="31"/>
  <c r="CL297" i="31" l="1"/>
  <c r="CM297" i="31"/>
  <c r="CN297" i="31" s="1"/>
  <c r="MS298" i="31"/>
  <c r="KQ298" i="31"/>
  <c r="MX298" i="31"/>
  <c r="KP299" i="31"/>
  <c r="KR298" i="31"/>
  <c r="CP297" i="31" l="1"/>
  <c r="FH297" i="31" s="1"/>
  <c r="FI297" i="31" s="1"/>
  <c r="KS298" i="31"/>
  <c r="NJ298" i="31"/>
  <c r="NH299" i="31"/>
  <c r="NI299" i="31" s="1"/>
  <c r="MT298" i="31"/>
  <c r="MU298" i="31"/>
  <c r="NQ298" i="31"/>
  <c r="MO298" i="31"/>
  <c r="NP298" i="31"/>
  <c r="PE298" i="31"/>
  <c r="NA298" i="31"/>
  <c r="NB298" i="31"/>
  <c r="FP297" i="31" l="1"/>
  <c r="FS297" i="31" s="1"/>
  <c r="HA297" i="31" s="1"/>
  <c r="GO297" i="31"/>
  <c r="KU297" i="31"/>
  <c r="KX297" i="31"/>
  <c r="HO297" i="31"/>
  <c r="HP297" i="31" s="1"/>
  <c r="DQ297" i="31"/>
  <c r="DR297" i="31" s="1"/>
  <c r="DS297" i="31" s="1"/>
  <c r="AX297" i="31" s="1"/>
  <c r="AY298" i="31" s="1"/>
  <c r="JR297" i="31"/>
  <c r="JS297" i="31" s="1"/>
  <c r="KC297" i="31" s="1"/>
  <c r="FE297" i="31"/>
  <c r="FF297" i="31" s="1"/>
  <c r="HW297" i="31" s="1"/>
  <c r="HX298" i="31" s="1"/>
  <c r="CQ297" i="31"/>
  <c r="CT297" i="31" s="1"/>
  <c r="FZ297" i="31"/>
  <c r="GA297" i="31" s="1"/>
  <c r="FU297" i="31"/>
  <c r="FW297" i="31" s="1"/>
  <c r="FX297" i="31"/>
  <c r="FY297" i="31" s="1"/>
  <c r="GB297" i="31"/>
  <c r="GC297" i="31" s="1"/>
  <c r="GN297" i="31"/>
  <c r="GQ297" i="31" s="1"/>
  <c r="HU297" i="31"/>
  <c r="HV298" i="31" s="1"/>
  <c r="FJ298" i="31"/>
  <c r="NR298" i="31"/>
  <c r="NK298" i="31"/>
  <c r="NL298" i="31"/>
  <c r="NG299" i="31"/>
  <c r="OQ299" i="31"/>
  <c r="DY297" i="31" l="1"/>
  <c r="HY297" i="31"/>
  <c r="JT298" i="31"/>
  <c r="IA297" i="31"/>
  <c r="IB297" i="31" s="1"/>
  <c r="CS297" i="31"/>
  <c r="IZ297" i="31"/>
  <c r="CR297" i="31"/>
  <c r="KE297" i="31"/>
  <c r="FG298" i="31"/>
  <c r="JU297" i="31"/>
  <c r="KV297" i="31"/>
  <c r="KW298" i="31" s="1"/>
  <c r="HQ297" i="31"/>
  <c r="HR298" i="31" s="1"/>
  <c r="OR299" i="31"/>
  <c r="HS297" i="31"/>
  <c r="JG297" i="31" s="1"/>
  <c r="HT297" i="31"/>
  <c r="NC299" i="31"/>
  <c r="MQ299" i="31"/>
  <c r="EN297" i="31"/>
  <c r="AZ297" i="31"/>
  <c r="EM297" i="31"/>
  <c r="EW297" i="31" s="1"/>
  <c r="IC297" i="31" l="1"/>
  <c r="ID297" i="31" s="1"/>
  <c r="IF297" i="31" s="1"/>
  <c r="KH297" i="31" s="1"/>
  <c r="JB297" i="31"/>
  <c r="BB298" i="31"/>
  <c r="DW297" i="31"/>
  <c r="DU298" i="31" s="1"/>
  <c r="EQ297" i="31"/>
  <c r="ER298" i="31"/>
  <c r="IU297" i="31"/>
  <c r="IV297" i="31" s="1"/>
  <c r="IW297" i="31" l="1"/>
  <c r="KB297" i="31" s="1"/>
  <c r="BC298" i="31"/>
  <c r="KK297" i="31"/>
  <c r="IX297" i="31"/>
  <c r="GM297" i="31"/>
  <c r="DB297" i="31"/>
  <c r="DC297" i="31" s="1"/>
  <c r="DD298" i="31" s="1"/>
  <c r="DE299" i="31" s="1"/>
  <c r="IM297" i="31"/>
  <c r="KI298" i="31"/>
  <c r="IN297" i="31"/>
  <c r="DF297" i="31"/>
  <c r="EU298" i="31"/>
  <c r="DT297" i="31" l="1"/>
  <c r="DZ297" i="31" s="1"/>
  <c r="GT299" i="31"/>
  <c r="KJ298" i="31"/>
  <c r="GR297" i="31"/>
  <c r="FD297" i="31"/>
  <c r="GV297" i="31"/>
  <c r="GU297" i="31"/>
  <c r="BE298" i="31"/>
  <c r="BD298" i="31"/>
  <c r="IS297" i="31" l="1"/>
  <c r="FL298" i="31"/>
  <c r="GS297" i="31"/>
  <c r="BF298" i="31"/>
  <c r="BG298" i="31"/>
  <c r="BI298" i="31" l="1"/>
  <c r="BK298" i="31" s="1"/>
  <c r="BH298" i="31"/>
  <c r="FM298" i="31"/>
  <c r="GY297" i="31"/>
  <c r="GX297" i="31"/>
  <c r="GW297" i="31"/>
  <c r="HC297" i="31" s="1"/>
  <c r="FA298" i="31" s="1"/>
  <c r="HB298" i="31" s="1"/>
  <c r="JH297" i="31"/>
  <c r="JI297" i="31" s="1"/>
  <c r="IT297" i="31"/>
  <c r="BJ298" i="31" l="1"/>
  <c r="JK297" i="31"/>
  <c r="JM297" i="31" s="1"/>
  <c r="KD297" i="31" s="1"/>
  <c r="IL298" i="31" s="1"/>
  <c r="EG297" i="31"/>
  <c r="EH298" i="31" s="1"/>
  <c r="EI298" i="31" s="1"/>
  <c r="FK298" i="31" s="1"/>
  <c r="EY297" i="31"/>
  <c r="HM297" i="31"/>
  <c r="HK298" i="31"/>
  <c r="BL298" i="31"/>
  <c r="BM298" i="31"/>
  <c r="ED297" i="31" l="1"/>
  <c r="EB298" i="31" s="1"/>
  <c r="EJ297" i="31"/>
  <c r="EK298" i="31" s="1"/>
  <c r="EE297" i="31"/>
  <c r="EF298" i="31" s="1"/>
  <c r="IP298" i="31" s="1"/>
  <c r="EZ297" i="31"/>
  <c r="DG297" i="31"/>
  <c r="DH297" i="31" s="1"/>
  <c r="DI298" i="31" s="1"/>
  <c r="BN298" i="31"/>
  <c r="BO298" i="31"/>
  <c r="JN297" i="31"/>
  <c r="JV297" i="31" s="1"/>
  <c r="JF298" i="31" s="1"/>
  <c r="JL297" i="31"/>
  <c r="JJ298" i="31" s="1"/>
  <c r="KA298" i="31"/>
  <c r="JZ297" i="31"/>
  <c r="KF297" i="31" s="1"/>
  <c r="IQ298" i="31" s="1"/>
  <c r="BP298" i="31" l="1"/>
  <c r="BQ298" i="31" s="1"/>
  <c r="HZ298" i="31"/>
  <c r="JW298" i="31"/>
  <c r="JY298" i="31"/>
  <c r="DJ298" i="31"/>
  <c r="DK298" i="31" s="1"/>
  <c r="GZ298" i="31"/>
  <c r="IE298" i="31" s="1"/>
  <c r="DP298" i="31"/>
  <c r="JC298" i="31"/>
  <c r="JD298" i="31"/>
  <c r="IY298" i="31"/>
  <c r="JA298" i="31"/>
  <c r="IR298" i="31"/>
  <c r="JO298" i="31"/>
  <c r="JE298" i="31"/>
  <c r="IO298" i="31"/>
  <c r="EO298" i="31"/>
  <c r="ES299" i="31" s="1"/>
  <c r="EP298" i="31"/>
  <c r="ET299" i="31" s="1"/>
  <c r="FC298" i="31"/>
  <c r="EL298" i="31"/>
  <c r="EV298" i="31"/>
  <c r="JX298" i="31" l="1"/>
  <c r="KG298" i="31"/>
  <c r="JP298" i="31"/>
  <c r="JQ298" i="31" s="1"/>
  <c r="EC298" i="31"/>
  <c r="FQ298" i="31"/>
  <c r="DX298" i="31"/>
  <c r="DM298" i="31"/>
  <c r="BR298" i="31"/>
  <c r="BS298" i="31"/>
  <c r="DL298" i="31" l="1"/>
  <c r="L299" i="31"/>
  <c r="EX298" i="31"/>
  <c r="M298" i="31" s="1"/>
  <c r="FB298" i="31"/>
  <c r="BT298" i="31"/>
  <c r="BU298" i="31"/>
  <c r="MJ298" i="31" l="1"/>
  <c r="NS298" i="31" s="1"/>
  <c r="MB298" i="31"/>
  <c r="NM298" i="31" s="1"/>
  <c r="NN298" i="31" s="1"/>
  <c r="BV298" i="31"/>
  <c r="BW298" i="31" s="1"/>
  <c r="BY298" i="31" l="1"/>
  <c r="BX298" i="31"/>
  <c r="OV299" i="31"/>
  <c r="NW298" i="31"/>
  <c r="NT298" i="31"/>
  <c r="OU299" i="31"/>
  <c r="BZ298" i="31" l="1"/>
  <c r="CA298" i="31"/>
  <c r="CC298" i="31" s="1"/>
  <c r="CD298" i="31" s="1"/>
  <c r="FV298" i="31"/>
  <c r="FR298" i="31"/>
  <c r="CX298" i="31"/>
  <c r="NU298" i="31"/>
  <c r="NX298" i="31"/>
  <c r="CE298" i="31" l="1"/>
  <c r="CF298" i="31" s="1"/>
  <c r="CB298" i="31"/>
  <c r="NV298" i="31"/>
  <c r="MY298" i="31"/>
  <c r="NZ298" i="31"/>
  <c r="CY299" i="31"/>
  <c r="NY298" i="31"/>
  <c r="OF298" i="31"/>
  <c r="OS299" i="31" s="1"/>
  <c r="CG298" i="31" l="1"/>
  <c r="CH298" i="31" s="1"/>
  <c r="CI298" i="31" s="1"/>
  <c r="OB298" i="31"/>
  <c r="OT299" i="31" s="1"/>
  <c r="OI298" i="31"/>
  <c r="NF299" i="31"/>
  <c r="OO299" i="31"/>
  <c r="OM299" i="31"/>
  <c r="OA298" i="31"/>
  <c r="MV299" i="31" s="1"/>
  <c r="MZ299" i="31"/>
  <c r="OZ298" i="31"/>
  <c r="CK298" i="31" l="1"/>
  <c r="CM298" i="31" s="1"/>
  <c r="CN298" i="31" s="1"/>
  <c r="CJ298" i="31"/>
  <c r="CO298" i="31" s="1"/>
  <c r="KT299" i="31"/>
  <c r="OG299" i="31"/>
  <c r="MR299" i="31"/>
  <c r="OW298" i="31"/>
  <c r="OX299" i="31"/>
  <c r="PA298" i="31"/>
  <c r="OC298" i="31"/>
  <c r="OD299" i="31" s="1"/>
  <c r="OH299" i="31" s="1"/>
  <c r="OJ298" i="31"/>
  <c r="CL298" i="31" l="1"/>
  <c r="CP298" i="31" s="1"/>
  <c r="OY299" i="31"/>
  <c r="MW299" i="31"/>
  <c r="MS299" i="31"/>
  <c r="OK299" i="31"/>
  <c r="KM299" i="31"/>
  <c r="KO300" i="31" s="1"/>
  <c r="KL299" i="31"/>
  <c r="KN300" i="31" s="1"/>
  <c r="MT299" i="31" l="1"/>
  <c r="NJ299" i="31"/>
  <c r="NP299" i="31"/>
  <c r="MU299" i="31"/>
  <c r="NH300" i="31"/>
  <c r="NI300" i="31" s="1"/>
  <c r="NQ299" i="31"/>
  <c r="MO299" i="31"/>
  <c r="PE299" i="31"/>
  <c r="KP300" i="31"/>
  <c r="KR299" i="31"/>
  <c r="KQ299" i="31"/>
  <c r="MX299" i="31"/>
  <c r="FU298" i="31"/>
  <c r="FW298" i="31" s="1"/>
  <c r="CQ298" i="31"/>
  <c r="DQ298" i="31"/>
  <c r="DR298" i="31" s="1"/>
  <c r="FX298" i="31"/>
  <c r="FY298" i="31" s="1"/>
  <c r="FE298" i="31"/>
  <c r="FF298" i="31" s="1"/>
  <c r="FH298" i="31"/>
  <c r="FI298" i="31" s="1"/>
  <c r="GO298" i="31"/>
  <c r="HO298" i="31"/>
  <c r="FP298" i="31"/>
  <c r="FS298" i="31" s="1"/>
  <c r="FZ298" i="31"/>
  <c r="GA298" i="31" s="1"/>
  <c r="JR298" i="31"/>
  <c r="JS298" i="31" s="1"/>
  <c r="GB298" i="31"/>
  <c r="GC298" i="31" s="1"/>
  <c r="KX298" i="31"/>
  <c r="KU298" i="31"/>
  <c r="NR299" i="31" l="1"/>
  <c r="GN298" i="31"/>
  <c r="GQ298" i="31" s="1"/>
  <c r="KS299" i="31"/>
  <c r="HU298" i="31"/>
  <c r="HV299" i="31" s="1"/>
  <c r="FJ299" i="31"/>
  <c r="HW298" i="31"/>
  <c r="HX299" i="31" s="1"/>
  <c r="FG299" i="31"/>
  <c r="DS298" i="31"/>
  <c r="AX298" i="31" s="1"/>
  <c r="AY299" i="31" s="1"/>
  <c r="CS298" i="31"/>
  <c r="CR298" i="31"/>
  <c r="CT298" i="31"/>
  <c r="NB299" i="31"/>
  <c r="NA299" i="31"/>
  <c r="NK299" i="31"/>
  <c r="NL299" i="31"/>
  <c r="NG300" i="31"/>
  <c r="OQ300" i="31"/>
  <c r="JU298" i="31"/>
  <c r="KE298" i="31"/>
  <c r="KC298" i="31"/>
  <c r="JT299" i="31"/>
  <c r="HA298" i="31"/>
  <c r="DY298" i="31"/>
  <c r="HY298" i="31"/>
  <c r="HP298" i="31"/>
  <c r="IA298" i="31"/>
  <c r="IB298" i="31" s="1"/>
  <c r="IZ298" i="31"/>
  <c r="KV298" i="31" l="1"/>
  <c r="KW299" i="31" s="1"/>
  <c r="HQ298" i="31"/>
  <c r="HR299" i="31" s="1"/>
  <c r="HT298" i="31"/>
  <c r="HS298" i="31"/>
  <c r="JG298" i="31" s="1"/>
  <c r="NC300" i="31"/>
  <c r="MQ300" i="31"/>
  <c r="OR300" i="31"/>
  <c r="EM298" i="31"/>
  <c r="EW298" i="31" s="1"/>
  <c r="AZ298" i="31"/>
  <c r="EN298" i="31"/>
  <c r="BB299" i="31" l="1"/>
  <c r="EQ298" i="31"/>
  <c r="DW298" i="31"/>
  <c r="DU299" i="31" s="1"/>
  <c r="IW298" i="31"/>
  <c r="ER299" i="31"/>
  <c r="IU298" i="31"/>
  <c r="IV298" i="31" s="1"/>
  <c r="IC298" i="31"/>
  <c r="ID298" i="31" s="1"/>
  <c r="IF298" i="31" s="1"/>
  <c r="KH298" i="31" s="1"/>
  <c r="JB298" i="31"/>
  <c r="KB298" i="31" l="1"/>
  <c r="IX298" i="31"/>
  <c r="KK298" i="31"/>
  <c r="EU299" i="31"/>
  <c r="GM298" i="31"/>
  <c r="DB298" i="31"/>
  <c r="DC298" i="31" s="1"/>
  <c r="DD299" i="31" s="1"/>
  <c r="DE300" i="31" s="1"/>
  <c r="IM298" i="31"/>
  <c r="DT298" i="31" s="1"/>
  <c r="DZ298" i="31" s="1"/>
  <c r="KI299" i="31"/>
  <c r="IN298" i="31"/>
  <c r="DF298" i="31"/>
  <c r="BC299" i="31"/>
  <c r="GT300" i="31" l="1"/>
  <c r="GR298" i="31"/>
  <c r="FD298" i="31"/>
  <c r="GU298" i="31"/>
  <c r="GV298" i="31"/>
  <c r="KJ299" i="31"/>
  <c r="BE299" i="31"/>
  <c r="BD299" i="31"/>
  <c r="GS298" i="31" l="1"/>
  <c r="IS298" i="31"/>
  <c r="FL299" i="31"/>
  <c r="BG299" i="31"/>
  <c r="BF299" i="31"/>
  <c r="BI299" i="31" l="1"/>
  <c r="BK299" i="31" s="1"/>
  <c r="BH299" i="31"/>
  <c r="FM299" i="31"/>
  <c r="JH298" i="31"/>
  <c r="JI298" i="31" s="1"/>
  <c r="IT298" i="31"/>
  <c r="GX298" i="31"/>
  <c r="GY298" i="31"/>
  <c r="GW298" i="31"/>
  <c r="HC298" i="31" s="1"/>
  <c r="FA299" i="31" s="1"/>
  <c r="HB299" i="31" s="1"/>
  <c r="BJ299" i="31" l="1"/>
  <c r="HM298" i="31"/>
  <c r="EG298" i="31"/>
  <c r="EH299" i="31" s="1"/>
  <c r="EI299" i="31" s="1"/>
  <c r="FK299" i="31" s="1"/>
  <c r="EY298" i="31"/>
  <c r="HK299" i="31"/>
  <c r="JK298" i="31"/>
  <c r="JZ298" i="31" s="1"/>
  <c r="KF298" i="31" s="1"/>
  <c r="IQ299" i="31" s="1"/>
  <c r="BL299" i="31"/>
  <c r="BM299" i="31"/>
  <c r="EZ298" i="31" l="1"/>
  <c r="DG298" i="31"/>
  <c r="DH298" i="31" s="1"/>
  <c r="DI299" i="31" s="1"/>
  <c r="JM298" i="31"/>
  <c r="KD298" i="31" s="1"/>
  <c r="IL299" i="31" s="1"/>
  <c r="JL298" i="31"/>
  <c r="JJ299" i="31" s="1"/>
  <c r="KA299" i="31"/>
  <c r="ED298" i="31"/>
  <c r="EB299" i="31" s="1"/>
  <c r="EJ298" i="31"/>
  <c r="EK299" i="31" s="1"/>
  <c r="EE298" i="31"/>
  <c r="EF299" i="31" s="1"/>
  <c r="BN299" i="31"/>
  <c r="BO299" i="31"/>
  <c r="JN298" i="31"/>
  <c r="JV298" i="31" s="1"/>
  <c r="JF299" i="31" s="1"/>
  <c r="IP299" i="31" l="1"/>
  <c r="IO299" i="31"/>
  <c r="JO299" i="31"/>
  <c r="JY299" i="31"/>
  <c r="JW299" i="31"/>
  <c r="EL299" i="31"/>
  <c r="FC299" i="31"/>
  <c r="EP299" i="31"/>
  <c r="ET300" i="31" s="1"/>
  <c r="EO299" i="31"/>
  <c r="ES300" i="31" s="1"/>
  <c r="EV299" i="31"/>
  <c r="IR299" i="31"/>
  <c r="GZ299" i="31"/>
  <c r="IE299" i="31" s="1"/>
  <c r="DJ299" i="31"/>
  <c r="DK299" i="31" s="1"/>
  <c r="JC299" i="31"/>
  <c r="JD299" i="31"/>
  <c r="BP299" i="31"/>
  <c r="BQ299" i="31" s="1"/>
  <c r="HZ299" i="31"/>
  <c r="JE299" i="31"/>
  <c r="DP299" i="31"/>
  <c r="IY299" i="31"/>
  <c r="JA299" i="31"/>
  <c r="JP299" i="31" l="1"/>
  <c r="JQ299" i="31" s="1"/>
  <c r="BR299" i="31"/>
  <c r="BS299" i="31"/>
  <c r="BT299" i="31" s="1"/>
  <c r="KG299" i="31"/>
  <c r="JX299" i="31"/>
  <c r="DM299" i="31"/>
  <c r="DX299" i="31"/>
  <c r="FQ299" i="31"/>
  <c r="EC299" i="31"/>
  <c r="BU299" i="31" l="1"/>
  <c r="BV299" i="31" s="1"/>
  <c r="FB299" i="31"/>
  <c r="EX299" i="31"/>
  <c r="M299" i="31" s="1"/>
  <c r="DL299" i="31"/>
  <c r="L300" i="31"/>
  <c r="BW299" i="31" l="1"/>
  <c r="MB299" i="31"/>
  <c r="NM299" i="31" s="1"/>
  <c r="NN299" i="31" s="1"/>
  <c r="MJ299" i="31"/>
  <c r="NS299" i="31" s="1"/>
  <c r="BX299" i="31" l="1"/>
  <c r="BY299" i="31"/>
  <c r="NT299" i="31"/>
  <c r="OU300" i="31"/>
  <c r="OV300" i="31"/>
  <c r="NW299" i="31"/>
  <c r="BZ299" i="31" l="1"/>
  <c r="CA299" i="31"/>
  <c r="CX299" i="31"/>
  <c r="FR299" i="31"/>
  <c r="FV299" i="31"/>
  <c r="NU299" i="31"/>
  <c r="NX299" i="31"/>
  <c r="CC299" i="31" l="1"/>
  <c r="CB299" i="31"/>
  <c r="NY299" i="31"/>
  <c r="MY299" i="31"/>
  <c r="NZ299" i="31"/>
  <c r="CY300" i="31"/>
  <c r="OF299" i="31"/>
  <c r="OS300" i="31" s="1"/>
  <c r="NV299" i="31"/>
  <c r="CE299" i="31" l="1"/>
  <c r="CD299" i="31"/>
  <c r="MZ300" i="31"/>
  <c r="OZ299" i="31"/>
  <c r="OB299" i="31"/>
  <c r="OT300" i="31" s="1"/>
  <c r="OA299" i="31"/>
  <c r="MV300" i="31" s="1"/>
  <c r="OI299" i="31"/>
  <c r="NF300" i="31"/>
  <c r="OM300" i="31"/>
  <c r="OO300" i="31"/>
  <c r="CF299" i="31" l="1"/>
  <c r="CG299" i="31"/>
  <c r="PA299" i="31"/>
  <c r="OC299" i="31"/>
  <c r="OD300" i="31" s="1"/>
  <c r="OH300" i="31" s="1"/>
  <c r="OJ299" i="31"/>
  <c r="MR300" i="31"/>
  <c r="OW299" i="31"/>
  <c r="OX300" i="31"/>
  <c r="OG300" i="31"/>
  <c r="KT300" i="31"/>
  <c r="OK300" i="31" l="1"/>
  <c r="CH299" i="31"/>
  <c r="CI299" i="31" s="1"/>
  <c r="MS300" i="31"/>
  <c r="OY300" i="31"/>
  <c r="MW300" i="31"/>
  <c r="KL300" i="31"/>
  <c r="KN301" i="31" s="1"/>
  <c r="KM300" i="31"/>
  <c r="KO301" i="31" s="1"/>
  <c r="CJ299" i="31" l="1"/>
  <c r="CO299" i="31" s="1"/>
  <c r="CK299" i="31"/>
  <c r="CL299" i="31" s="1"/>
  <c r="KQ300" i="31"/>
  <c r="MX300" i="31"/>
  <c r="MT300" i="31"/>
  <c r="MU300" i="31"/>
  <c r="NP300" i="31"/>
  <c r="MO300" i="31"/>
  <c r="NH301" i="31"/>
  <c r="NI301" i="31" s="1"/>
  <c r="NQ300" i="31"/>
  <c r="NJ300" i="31"/>
  <c r="PE300" i="31"/>
  <c r="KP301" i="31"/>
  <c r="KR300" i="31"/>
  <c r="CM299" i="31" l="1"/>
  <c r="CN299" i="31" s="1"/>
  <c r="CP299" i="31" s="1"/>
  <c r="NK300" i="31"/>
  <c r="NL300" i="31"/>
  <c r="NG301" i="31"/>
  <c r="OQ301" i="31"/>
  <c r="NR300" i="31"/>
  <c r="KS300" i="31"/>
  <c r="NB300" i="31"/>
  <c r="NA300" i="31"/>
  <c r="HO299" i="31" l="1"/>
  <c r="FZ299" i="31"/>
  <c r="GA299" i="31" s="1"/>
  <c r="FU299" i="31"/>
  <c r="FW299" i="31" s="1"/>
  <c r="KX299" i="31"/>
  <c r="FX299" i="31"/>
  <c r="FY299" i="31" s="1"/>
  <c r="DQ299" i="31"/>
  <c r="DR299" i="31" s="1"/>
  <c r="DS299" i="31" s="1"/>
  <c r="AX299" i="31" s="1"/>
  <c r="AY300" i="31" s="1"/>
  <c r="FH299" i="31"/>
  <c r="FI299" i="31" s="1"/>
  <c r="KU299" i="31"/>
  <c r="FE299" i="31"/>
  <c r="FF299" i="31" s="1"/>
  <c r="GB299" i="31"/>
  <c r="GC299" i="31" s="1"/>
  <c r="JR299" i="31"/>
  <c r="JS299" i="31" s="1"/>
  <c r="GO299" i="31"/>
  <c r="CQ299" i="31"/>
  <c r="FP299" i="31"/>
  <c r="FS299" i="31" s="1"/>
  <c r="OR301" i="31"/>
  <c r="NC301" i="31"/>
  <c r="MQ301" i="31"/>
  <c r="GN299" i="31" l="1"/>
  <c r="GQ299" i="31" s="1"/>
  <c r="EN299" i="31"/>
  <c r="EM299" i="31"/>
  <c r="EW299" i="31" s="1"/>
  <c r="AZ299" i="31"/>
  <c r="HU299" i="31"/>
  <c r="HV300" i="31" s="1"/>
  <c r="FJ300" i="31"/>
  <c r="KE299" i="31"/>
  <c r="KC299" i="31"/>
  <c r="JU299" i="31"/>
  <c r="JT300" i="31"/>
  <c r="HY299" i="31"/>
  <c r="HA299" i="31"/>
  <c r="DY299" i="31"/>
  <c r="CS299" i="31"/>
  <c r="CR299" i="31"/>
  <c r="CT299" i="31"/>
  <c r="HW299" i="31"/>
  <c r="HX300" i="31" s="1"/>
  <c r="FG300" i="31"/>
  <c r="IA299" i="31"/>
  <c r="IB299" i="31" s="1"/>
  <c r="IZ299" i="31"/>
  <c r="HP299" i="31"/>
  <c r="KV299" i="31" l="1"/>
  <c r="KW300" i="31" s="1"/>
  <c r="HQ299" i="31"/>
  <c r="HR300" i="31" s="1"/>
  <c r="HS299" i="31"/>
  <c r="JG299" i="31" s="1"/>
  <c r="HT299" i="31"/>
  <c r="ER300" i="31"/>
  <c r="EU300" i="31" s="1"/>
  <c r="BB300" i="31"/>
  <c r="BC300" i="31" s="1"/>
  <c r="BD300" i="31" s="1"/>
  <c r="DW299" i="31"/>
  <c r="DU300" i="31" s="1"/>
  <c r="IU299" i="31"/>
  <c r="IV299" i="31" s="1"/>
  <c r="EQ299" i="31"/>
  <c r="IW299" i="31" l="1"/>
  <c r="KB299" i="31" s="1"/>
  <c r="KK299" i="31"/>
  <c r="IX299" i="31"/>
  <c r="BE300" i="31"/>
  <c r="BG300" i="31" s="1"/>
  <c r="JB299" i="31"/>
  <c r="IC299" i="31"/>
  <c r="ID299" i="31" s="1"/>
  <c r="IF299" i="31" s="1"/>
  <c r="KH299" i="31" s="1"/>
  <c r="BF300" i="31" l="1"/>
  <c r="DB299" i="31"/>
  <c r="DC299" i="31" s="1"/>
  <c r="DD300" i="31" s="1"/>
  <c r="DE301" i="31" s="1"/>
  <c r="IM299" i="31"/>
  <c r="KI300" i="31"/>
  <c r="KJ300" i="31" s="1"/>
  <c r="IN299" i="31"/>
  <c r="DF299" i="31"/>
  <c r="GM299" i="31"/>
  <c r="BI300" i="31"/>
  <c r="BK300" i="31" s="1"/>
  <c r="BH300" i="31"/>
  <c r="GT301" i="31" l="1"/>
  <c r="GR299" i="31"/>
  <c r="FD299" i="31"/>
  <c r="GU299" i="31"/>
  <c r="GV299" i="31"/>
  <c r="DT299" i="31"/>
  <c r="DZ299" i="31" s="1"/>
  <c r="BJ300" i="31"/>
  <c r="BL300" i="31"/>
  <c r="BM300" i="31"/>
  <c r="IS299" i="31" l="1"/>
  <c r="FL300" i="31"/>
  <c r="FM300" i="31" s="1"/>
  <c r="GS299" i="31"/>
  <c r="BN300" i="31"/>
  <c r="BO300" i="31"/>
  <c r="GX299" i="31" l="1"/>
  <c r="GY299" i="31"/>
  <c r="GW299" i="31"/>
  <c r="HC299" i="31" s="1"/>
  <c r="FA300" i="31" s="1"/>
  <c r="HB300" i="31" s="1"/>
  <c r="IT299" i="31"/>
  <c r="JH299" i="31"/>
  <c r="JI299" i="31" s="1"/>
  <c r="BP300" i="31"/>
  <c r="BQ300" i="31" s="1"/>
  <c r="JK299" i="31" l="1"/>
  <c r="JM299" i="31" s="1"/>
  <c r="KD299" i="31" s="1"/>
  <c r="IL300" i="31" s="1"/>
  <c r="HM299" i="31"/>
  <c r="HK300" i="31"/>
  <c r="EG299" i="31"/>
  <c r="EH300" i="31" s="1"/>
  <c r="EI300" i="31" s="1"/>
  <c r="FK300" i="31" s="1"/>
  <c r="EY299" i="31"/>
  <c r="BR300" i="31"/>
  <c r="BS300" i="31"/>
  <c r="JN299" i="31" l="1"/>
  <c r="JV299" i="31" s="1"/>
  <c r="JF300" i="31" s="1"/>
  <c r="JY300" i="31" s="1"/>
  <c r="EZ299" i="31"/>
  <c r="DG299" i="31"/>
  <c r="DH299" i="31" s="1"/>
  <c r="DI300" i="31" s="1"/>
  <c r="EJ299" i="31"/>
  <c r="EK300" i="31" s="1"/>
  <c r="EE299" i="31"/>
  <c r="EF300" i="31" s="1"/>
  <c r="IP300" i="31" s="1"/>
  <c r="ED299" i="31"/>
  <c r="EB300" i="31" s="1"/>
  <c r="JZ299" i="31"/>
  <c r="KF299" i="31" s="1"/>
  <c r="IQ300" i="31" s="1"/>
  <c r="JL299" i="31"/>
  <c r="JJ300" i="31" s="1"/>
  <c r="KA300" i="31"/>
  <c r="HZ300" i="31" s="1"/>
  <c r="BT300" i="31"/>
  <c r="BU300" i="31"/>
  <c r="JW300" i="31" l="1"/>
  <c r="DJ300" i="31"/>
  <c r="DK300" i="31" s="1"/>
  <c r="GZ300" i="31"/>
  <c r="IE300" i="31" s="1"/>
  <c r="JC300" i="31"/>
  <c r="JD300" i="31"/>
  <c r="JO300" i="31"/>
  <c r="JE300" i="31"/>
  <c r="IY300" i="31"/>
  <c r="IR300" i="31"/>
  <c r="JA300" i="31"/>
  <c r="EP300" i="31"/>
  <c r="ET301" i="31" s="1"/>
  <c r="FC300" i="31"/>
  <c r="EO300" i="31"/>
  <c r="ES301" i="31" s="1"/>
  <c r="EV300" i="31"/>
  <c r="EL300" i="31"/>
  <c r="DP300" i="31"/>
  <c r="IO300" i="31"/>
  <c r="BV300" i="31"/>
  <c r="BW300" i="31" s="1"/>
  <c r="BY300" i="31" l="1"/>
  <c r="CA300" i="31" s="1"/>
  <c r="CC300" i="31" s="1"/>
  <c r="BX300" i="31"/>
  <c r="EC300" i="31"/>
  <c r="JX300" i="31"/>
  <c r="FQ300" i="31"/>
  <c r="DX300" i="31"/>
  <c r="DM300" i="31"/>
  <c r="JP300" i="31"/>
  <c r="JQ300" i="31" s="1"/>
  <c r="KG300" i="31"/>
  <c r="BZ300" i="31" l="1"/>
  <c r="DL300" i="31"/>
  <c r="L301" i="31"/>
  <c r="EX300" i="31"/>
  <c r="M300" i="31" s="1"/>
  <c r="FB300" i="31"/>
  <c r="CD300" i="31"/>
  <c r="CE300" i="31"/>
  <c r="CB300" i="31"/>
  <c r="MJ300" i="31" l="1"/>
  <c r="NS300" i="31" s="1"/>
  <c r="MB300" i="31"/>
  <c r="NM300" i="31" s="1"/>
  <c r="NN300" i="31" s="1"/>
  <c r="CF300" i="31"/>
  <c r="CG300" i="31"/>
  <c r="OV301" i="31" l="1"/>
  <c r="NW300" i="31"/>
  <c r="OU301" i="31"/>
  <c r="NT300" i="31"/>
  <c r="CH300" i="31"/>
  <c r="CI300" i="31" s="1"/>
  <c r="CJ300" i="31" l="1"/>
  <c r="CO300" i="31" s="1"/>
  <c r="CK300" i="31"/>
  <c r="CM300" i="31" s="1"/>
  <c r="CN300" i="31" s="1"/>
  <c r="FV300" i="31"/>
  <c r="FR300" i="31"/>
  <c r="NU300" i="31"/>
  <c r="NV300" i="31" s="1"/>
  <c r="CX300" i="31"/>
  <c r="NX300" i="31"/>
  <c r="OF300" i="31" s="1"/>
  <c r="OS301" i="31" s="1"/>
  <c r="CL300" i="31" l="1"/>
  <c r="CP300" i="31" s="1"/>
  <c r="CQ300" i="31" s="1"/>
  <c r="NY300" i="31"/>
  <c r="MY300" i="31"/>
  <c r="NZ300" i="31"/>
  <c r="CY301" i="31"/>
  <c r="OA300" i="31" l="1"/>
  <c r="MV301" i="31" s="1"/>
  <c r="OG301" i="31" s="1"/>
  <c r="FU300" i="31"/>
  <c r="FW300" i="31" s="1"/>
  <c r="JR300" i="31"/>
  <c r="JS300" i="31" s="1"/>
  <c r="JU300" i="31" s="1"/>
  <c r="FX300" i="31"/>
  <c r="FY300" i="31" s="1"/>
  <c r="GB300" i="31"/>
  <c r="GC300" i="31" s="1"/>
  <c r="OM301" i="31"/>
  <c r="NF301" i="31"/>
  <c r="OO301" i="31"/>
  <c r="KU300" i="31"/>
  <c r="FE300" i="31"/>
  <c r="FF300" i="31" s="1"/>
  <c r="HW300" i="31" s="1"/>
  <c r="HX301" i="31" s="1"/>
  <c r="KX300" i="31"/>
  <c r="GN300" i="31" s="1"/>
  <c r="MZ301" i="31"/>
  <c r="OZ300" i="31"/>
  <c r="OI300" i="31"/>
  <c r="GO300" i="31"/>
  <c r="HO300" i="31"/>
  <c r="IA300" i="31" s="1"/>
  <c r="IB300" i="31" s="1"/>
  <c r="FH300" i="31"/>
  <c r="FI300" i="31" s="1"/>
  <c r="HU300" i="31" s="1"/>
  <c r="HV301" i="31" s="1"/>
  <c r="FZ300" i="31"/>
  <c r="GA300" i="31" s="1"/>
  <c r="FP300" i="31"/>
  <c r="FS300" i="31" s="1"/>
  <c r="DY300" i="31" s="1"/>
  <c r="DQ300" i="31"/>
  <c r="DR300" i="31" s="1"/>
  <c r="DS300" i="31" s="1"/>
  <c r="AX300" i="31" s="1"/>
  <c r="AY301" i="31" s="1"/>
  <c r="OB300" i="31"/>
  <c r="OT301" i="31" s="1"/>
  <c r="CR300" i="31"/>
  <c r="CS300" i="31"/>
  <c r="CT300" i="31"/>
  <c r="KT301" i="31" l="1"/>
  <c r="KM301" i="31" s="1"/>
  <c r="KO302" i="31" s="1"/>
  <c r="JT301" i="31"/>
  <c r="KE300" i="31"/>
  <c r="KC300" i="31"/>
  <c r="GQ300" i="31"/>
  <c r="OC300" i="31"/>
  <c r="OD301" i="31" s="1"/>
  <c r="OH301" i="31" s="1"/>
  <c r="OK301" i="31" s="1"/>
  <c r="PA300" i="31"/>
  <c r="HY300" i="31"/>
  <c r="KV300" i="31"/>
  <c r="OJ300" i="31"/>
  <c r="OY301" i="31" s="1"/>
  <c r="HP300" i="31"/>
  <c r="HT300" i="31" s="1"/>
  <c r="HA300" i="31"/>
  <c r="FJ301" i="31"/>
  <c r="FG301" i="31"/>
  <c r="MR301" i="31"/>
  <c r="MS301" i="31" s="1"/>
  <c r="OW300" i="31"/>
  <c r="OX301" i="31"/>
  <c r="IZ300" i="31"/>
  <c r="EN300" i="31"/>
  <c r="EM300" i="31"/>
  <c r="EW300" i="31" s="1"/>
  <c r="AZ300" i="31"/>
  <c r="KL301" i="31" l="1"/>
  <c r="KN302" i="31" s="1"/>
  <c r="KQ301" i="31" s="1"/>
  <c r="KW301" i="31"/>
  <c r="HQ300" i="31"/>
  <c r="HR301" i="31" s="1"/>
  <c r="MW301" i="31"/>
  <c r="MX301" i="31" s="1"/>
  <c r="NA301" i="31" s="1"/>
  <c r="HS300" i="31"/>
  <c r="JG300" i="31" s="1"/>
  <c r="MO301" i="31"/>
  <c r="NJ301" i="31"/>
  <c r="NP301" i="31"/>
  <c r="MU301" i="31"/>
  <c r="MT301" i="31"/>
  <c r="NH302" i="31"/>
  <c r="NI302" i="31" s="1"/>
  <c r="PE301" i="31"/>
  <c r="NQ301" i="31"/>
  <c r="KR301" i="31"/>
  <c r="BB301" i="31"/>
  <c r="DW300" i="31"/>
  <c r="DU301" i="31" s="1"/>
  <c r="EQ300" i="31"/>
  <c r="ER301" i="31"/>
  <c r="IU300" i="31"/>
  <c r="IV300" i="31" s="1"/>
  <c r="IC300" i="31"/>
  <c r="ID300" i="31" s="1"/>
  <c r="IF300" i="31" s="1"/>
  <c r="KH300" i="31" s="1"/>
  <c r="JB300" i="31"/>
  <c r="KS301" i="31" l="1"/>
  <c r="KP302" i="31"/>
  <c r="NB301" i="31"/>
  <c r="NG302" i="31"/>
  <c r="NL301" i="31"/>
  <c r="NK301" i="31"/>
  <c r="OQ302" i="31"/>
  <c r="OR302" i="31" s="1"/>
  <c r="NR301" i="31"/>
  <c r="IW300" i="31"/>
  <c r="KB300" i="31" s="1"/>
  <c r="DB300" i="31"/>
  <c r="DC300" i="31" s="1"/>
  <c r="DD301" i="31" s="1"/>
  <c r="DE302" i="31" s="1"/>
  <c r="GM300" i="31"/>
  <c r="IM300" i="31"/>
  <c r="KI301" i="31"/>
  <c r="IN300" i="31"/>
  <c r="DF300" i="31"/>
  <c r="BC301" i="31"/>
  <c r="KK300" i="31"/>
  <c r="IX300" i="31"/>
  <c r="EU301" i="31"/>
  <c r="GT302" i="31" l="1"/>
  <c r="MQ302" i="31"/>
  <c r="NC302" i="31"/>
  <c r="GV300" i="31"/>
  <c r="FD300" i="31"/>
  <c r="GU300" i="31"/>
  <c r="DT300" i="31"/>
  <c r="DZ300" i="31" s="1"/>
  <c r="GR300" i="31"/>
  <c r="KJ301" i="31"/>
  <c r="BD301" i="31"/>
  <c r="BE301" i="31"/>
  <c r="GS300" i="31" l="1"/>
  <c r="BG301" i="31"/>
  <c r="BF301" i="31"/>
  <c r="IS300" i="31"/>
  <c r="FL301" i="31"/>
  <c r="JH300" i="31" l="1"/>
  <c r="JI300" i="31" s="1"/>
  <c r="IT300" i="31"/>
  <c r="FM301" i="31"/>
  <c r="BH301" i="31"/>
  <c r="BI301" i="31"/>
  <c r="BK301" i="31" s="1"/>
  <c r="GY300" i="31"/>
  <c r="GX300" i="31"/>
  <c r="GW300" i="31"/>
  <c r="HC300" i="31" s="1"/>
  <c r="FA301" i="31" s="1"/>
  <c r="HB301" i="31" s="1"/>
  <c r="BL301" i="31" l="1"/>
  <c r="BM301" i="31"/>
  <c r="HM300" i="31"/>
  <c r="EY300" i="31"/>
  <c r="EG300" i="31"/>
  <c r="EH301" i="31" s="1"/>
  <c r="EI301" i="31" s="1"/>
  <c r="FK301" i="31" s="1"/>
  <c r="HK301" i="31"/>
  <c r="BJ301" i="31"/>
  <c r="JK300" i="31"/>
  <c r="JM300" i="31" s="1"/>
  <c r="KD300" i="31" s="1"/>
  <c r="IL301" i="31" s="1"/>
  <c r="JN300" i="31" l="1"/>
  <c r="JV300" i="31" s="1"/>
  <c r="JF301" i="31" s="1"/>
  <c r="JL300" i="31"/>
  <c r="JJ301" i="31" s="1"/>
  <c r="KA301" i="31"/>
  <c r="EZ300" i="31"/>
  <c r="DG300" i="31"/>
  <c r="DH300" i="31" s="1"/>
  <c r="DI301" i="31" s="1"/>
  <c r="JZ300" i="31"/>
  <c r="KF300" i="31" s="1"/>
  <c r="IQ301" i="31" s="1"/>
  <c r="EE300" i="31"/>
  <c r="EF301" i="31" s="1"/>
  <c r="IO301" i="31" s="1"/>
  <c r="ED300" i="31"/>
  <c r="EB301" i="31" s="1"/>
  <c r="EJ300" i="31"/>
  <c r="EK301" i="31" s="1"/>
  <c r="BN301" i="31"/>
  <c r="BO301" i="31"/>
  <c r="IP301" i="31" l="1"/>
  <c r="DP301" i="31"/>
  <c r="JC301" i="31"/>
  <c r="JD301" i="31"/>
  <c r="BP301" i="31"/>
  <c r="BQ301" i="31" s="1"/>
  <c r="BR301" i="31" s="1"/>
  <c r="HZ301" i="31"/>
  <c r="EP301" i="31"/>
  <c r="ET302" i="31" s="1"/>
  <c r="FC301" i="31"/>
  <c r="EL301" i="31"/>
  <c r="EO301" i="31"/>
  <c r="ES302" i="31" s="1"/>
  <c r="EV301" i="31"/>
  <c r="JY301" i="31"/>
  <c r="JW301" i="31"/>
  <c r="DJ301" i="31"/>
  <c r="DK301" i="31" s="1"/>
  <c r="GZ301" i="31"/>
  <c r="IE301" i="31" s="1"/>
  <c r="JE301" i="31"/>
  <c r="IR301" i="31"/>
  <c r="IY301" i="31"/>
  <c r="JP301" i="31" s="1"/>
  <c r="JQ301" i="31" s="1"/>
  <c r="JO301" i="31"/>
  <c r="JA301" i="31"/>
  <c r="BS301" i="31" l="1"/>
  <c r="BU301" i="31" s="1"/>
  <c r="KG301" i="31"/>
  <c r="JX301" i="31"/>
  <c r="EC301" i="31"/>
  <c r="DM301" i="31"/>
  <c r="DX301" i="31"/>
  <c r="FQ301" i="31"/>
  <c r="BT301" i="31" l="1"/>
  <c r="DL301" i="31"/>
  <c r="L302" i="31"/>
  <c r="BV301" i="31"/>
  <c r="BW301" i="31" s="1"/>
  <c r="FB301" i="31"/>
  <c r="EX301" i="31"/>
  <c r="M301" i="31" s="1"/>
  <c r="BX301" i="31" l="1"/>
  <c r="BY301" i="31"/>
  <c r="MJ301" i="31"/>
  <c r="NS301" i="31" s="1"/>
  <c r="MB301" i="31"/>
  <c r="NM301" i="31" s="1"/>
  <c r="NN301" i="31" s="1"/>
  <c r="BZ301" i="31" l="1"/>
  <c r="CA301" i="31"/>
  <c r="CC301" i="31" s="1"/>
  <c r="CD301" i="31" s="1"/>
  <c r="OV302" i="31"/>
  <c r="NW301" i="31"/>
  <c r="NT301" i="31"/>
  <c r="OU302" i="31"/>
  <c r="CB301" i="31" l="1"/>
  <c r="CE301" i="31"/>
  <c r="CG301" i="31" s="1"/>
  <c r="FV301" i="31"/>
  <c r="CX301" i="31"/>
  <c r="FR301" i="31"/>
  <c r="NU301" i="31"/>
  <c r="NX301" i="31"/>
  <c r="OF301" i="31" s="1"/>
  <c r="OS302" i="31" s="1"/>
  <c r="CF301" i="31" l="1"/>
  <c r="CH301" i="31"/>
  <c r="CI301" i="31" s="1"/>
  <c r="MY301" i="31"/>
  <c r="NZ301" i="31"/>
  <c r="CY302" i="31"/>
  <c r="NV301" i="31"/>
  <c r="NY301" i="31"/>
  <c r="CK301" i="31" l="1"/>
  <c r="CJ301" i="31"/>
  <c r="CO301" i="31" s="1"/>
  <c r="OB301" i="31"/>
  <c r="OT302" i="31" s="1"/>
  <c r="OA301" i="31"/>
  <c r="MV302" i="31" s="1"/>
  <c r="NF302" i="31"/>
  <c r="OO302" i="31"/>
  <c r="OM302" i="31"/>
  <c r="OI301" i="31"/>
  <c r="MZ302" i="31"/>
  <c r="OZ301" i="31"/>
  <c r="CL301" i="31" l="1"/>
  <c r="CM301" i="31"/>
  <c r="CN301" i="31" s="1"/>
  <c r="KT302" i="31"/>
  <c r="OG302" i="31"/>
  <c r="OX302" i="31"/>
  <c r="OW301" i="31"/>
  <c r="MR302" i="31"/>
  <c r="PA301" i="31"/>
  <c r="OC301" i="31"/>
  <c r="OD302" i="31" s="1"/>
  <c r="OH302" i="31" s="1"/>
  <c r="OJ301" i="31"/>
  <c r="CP301" i="31" l="1"/>
  <c r="DQ301" i="31" s="1"/>
  <c r="DR301" i="31" s="1"/>
  <c r="MS302" i="31"/>
  <c r="OK302" i="31"/>
  <c r="MW302" i="31"/>
  <c r="OY302" i="31"/>
  <c r="KL302" i="31"/>
  <c r="KN303" i="31" s="1"/>
  <c r="KM302" i="31"/>
  <c r="KO303" i="31" s="1"/>
  <c r="KU301" i="31" l="1"/>
  <c r="FP301" i="31"/>
  <c r="FS301" i="31" s="1"/>
  <c r="DY301" i="31" s="1"/>
  <c r="CQ301" i="31"/>
  <c r="CT301" i="31" s="1"/>
  <c r="GB301" i="31"/>
  <c r="GC301" i="31" s="1"/>
  <c r="KX301" i="31"/>
  <c r="FU301" i="31"/>
  <c r="FW301" i="31" s="1"/>
  <c r="FX301" i="31"/>
  <c r="FY301" i="31" s="1"/>
  <c r="JR301" i="31"/>
  <c r="JS301" i="31" s="1"/>
  <c r="KE301" i="31" s="1"/>
  <c r="FH301" i="31"/>
  <c r="FI301" i="31" s="1"/>
  <c r="HU301" i="31" s="1"/>
  <c r="HV302" i="31" s="1"/>
  <c r="GO301" i="31"/>
  <c r="FZ301" i="31"/>
  <c r="GA301" i="31" s="1"/>
  <c r="FE301" i="31"/>
  <c r="FF301" i="31" s="1"/>
  <c r="FG302" i="31" s="1"/>
  <c r="HO301" i="31"/>
  <c r="IA301" i="31" s="1"/>
  <c r="IB301" i="31" s="1"/>
  <c r="GN301" i="31"/>
  <c r="GQ301" i="31" s="1"/>
  <c r="HA301" i="31"/>
  <c r="HY301" i="31"/>
  <c r="KP303" i="31"/>
  <c r="KR302" i="31"/>
  <c r="MX302" i="31"/>
  <c r="KQ302" i="31"/>
  <c r="CS301" i="31"/>
  <c r="DS301" i="31"/>
  <c r="AX301" i="31" s="1"/>
  <c r="AY302" i="31" s="1"/>
  <c r="NH303" i="31"/>
  <c r="NI303" i="31" s="1"/>
  <c r="MO302" i="31"/>
  <c r="MU302" i="31"/>
  <c r="MT302" i="31"/>
  <c r="NJ302" i="31"/>
  <c r="NP302" i="31"/>
  <c r="NQ302" i="31"/>
  <c r="PE302" i="31"/>
  <c r="IZ301" i="31" l="1"/>
  <c r="HP301" i="31"/>
  <c r="HW301" i="31"/>
  <c r="HX302" i="31" s="1"/>
  <c r="CR301" i="31"/>
  <c r="KC301" i="31"/>
  <c r="JT302" i="31"/>
  <c r="JU301" i="31"/>
  <c r="FJ302" i="31"/>
  <c r="KV301" i="31"/>
  <c r="KW302" i="31" s="1"/>
  <c r="HQ301" i="31"/>
  <c r="HR302" i="31" s="1"/>
  <c r="NR302" i="31"/>
  <c r="NB302" i="31"/>
  <c r="NA302" i="31"/>
  <c r="HS301" i="31"/>
  <c r="JG301" i="31" s="1"/>
  <c r="HT301" i="31"/>
  <c r="NL302" i="31"/>
  <c r="NK302" i="31"/>
  <c r="NG303" i="31"/>
  <c r="OQ303" i="31"/>
  <c r="KS302" i="31"/>
  <c r="AZ301" i="31"/>
  <c r="EM301" i="31"/>
  <c r="EW301" i="31" s="1"/>
  <c r="EN301" i="31"/>
  <c r="BB302" i="31" l="1"/>
  <c r="DW301" i="31"/>
  <c r="DU302" i="31" s="1"/>
  <c r="EQ301" i="31"/>
  <c r="ER302" i="31"/>
  <c r="IU301" i="31"/>
  <c r="IV301" i="31" s="1"/>
  <c r="OR303" i="31"/>
  <c r="NC303" i="31"/>
  <c r="MQ303" i="31"/>
  <c r="IC301" i="31"/>
  <c r="ID301" i="31" s="1"/>
  <c r="IF301" i="31" s="1"/>
  <c r="KH301" i="31" s="1"/>
  <c r="JB301" i="31"/>
  <c r="IW301" i="31" l="1"/>
  <c r="KB301" i="31" s="1"/>
  <c r="IX301" i="31"/>
  <c r="KK301" i="31"/>
  <c r="GM301" i="31"/>
  <c r="DB301" i="31"/>
  <c r="DC301" i="31" s="1"/>
  <c r="DD302" i="31" s="1"/>
  <c r="DE303" i="31" s="1"/>
  <c r="IM301" i="31"/>
  <c r="KI302" i="31"/>
  <c r="IN301" i="31"/>
  <c r="DF301" i="31"/>
  <c r="EU302" i="31"/>
  <c r="BC302" i="31"/>
  <c r="DT301" i="31" l="1"/>
  <c r="DZ301" i="31" s="1"/>
  <c r="GT303" i="31"/>
  <c r="GR301" i="31"/>
  <c r="FD301" i="31"/>
  <c r="GV301" i="31"/>
  <c r="GU301" i="31"/>
  <c r="BE302" i="31"/>
  <c r="BD302" i="31"/>
  <c r="KJ302" i="31"/>
  <c r="BG302" i="31" l="1"/>
  <c r="BF302" i="31"/>
  <c r="GS301" i="31"/>
  <c r="IS301" i="31"/>
  <c r="FL302" i="31"/>
  <c r="JH301" i="31" l="1"/>
  <c r="JI301" i="31" s="1"/>
  <c r="IT301" i="31"/>
  <c r="FM302" i="31"/>
  <c r="GW301" i="31"/>
  <c r="HC301" i="31" s="1"/>
  <c r="FA302" i="31" s="1"/>
  <c r="HB302" i="31" s="1"/>
  <c r="GX301" i="31"/>
  <c r="GY301" i="31"/>
  <c r="BH302" i="31"/>
  <c r="BI302" i="31"/>
  <c r="BK302" i="31" s="1"/>
  <c r="BJ302" i="31" l="1"/>
  <c r="HM301" i="31"/>
  <c r="EY301" i="31"/>
  <c r="EG301" i="31"/>
  <c r="EH302" i="31" s="1"/>
  <c r="EI302" i="31" s="1"/>
  <c r="FK302" i="31" s="1"/>
  <c r="HK302" i="31"/>
  <c r="BL302" i="31"/>
  <c r="BM302" i="31"/>
  <c r="JK301" i="31"/>
  <c r="JN301" i="31" s="1"/>
  <c r="JV301" i="31" s="1"/>
  <c r="JF302" i="31" s="1"/>
  <c r="JM301" i="31" l="1"/>
  <c r="KD301" i="31" s="1"/>
  <c r="IL302" i="31" s="1"/>
  <c r="BN302" i="31"/>
  <c r="BO302" i="31"/>
  <c r="JL301" i="31"/>
  <c r="JJ302" i="31" s="1"/>
  <c r="KA302" i="31"/>
  <c r="JW302" i="31"/>
  <c r="JY302" i="31"/>
  <c r="JZ301" i="31"/>
  <c r="KF301" i="31" s="1"/>
  <c r="IQ302" i="31" s="1"/>
  <c r="EZ301" i="31"/>
  <c r="DG301" i="31"/>
  <c r="DH301" i="31" s="1"/>
  <c r="DI302" i="31" s="1"/>
  <c r="EJ301" i="31"/>
  <c r="EK302" i="31" s="1"/>
  <c r="ED301" i="31"/>
  <c r="EB302" i="31" s="1"/>
  <c r="EE301" i="31"/>
  <c r="EF302" i="31" s="1"/>
  <c r="IO302" i="31" l="1"/>
  <c r="IP302" i="31"/>
  <c r="IR302" i="31"/>
  <c r="IY302" i="31"/>
  <c r="JE302" i="31"/>
  <c r="JA302" i="31"/>
  <c r="JO302" i="31"/>
  <c r="DJ302" i="31"/>
  <c r="DK302" i="31" s="1"/>
  <c r="GZ302" i="31"/>
  <c r="IE302" i="31" s="1"/>
  <c r="HZ302" i="31"/>
  <c r="EL302" i="31"/>
  <c r="EO302" i="31"/>
  <c r="ES303" i="31" s="1"/>
  <c r="EP302" i="31"/>
  <c r="ET303" i="31" s="1"/>
  <c r="FC302" i="31"/>
  <c r="EV302" i="31"/>
  <c r="JC302" i="31"/>
  <c r="JD302" i="31"/>
  <c r="DP302" i="31"/>
  <c r="BP302" i="31"/>
  <c r="BQ302" i="31" s="1"/>
  <c r="JP302" i="31" l="1"/>
  <c r="JQ302" i="31" s="1"/>
  <c r="BR302" i="31"/>
  <c r="BS302" i="31"/>
  <c r="BU302" i="31" s="1"/>
  <c r="JX302" i="31"/>
  <c r="FQ302" i="31"/>
  <c r="DX302" i="31"/>
  <c r="DM302" i="31"/>
  <c r="EC302" i="31"/>
  <c r="KG302" i="31"/>
  <c r="BT302" i="31" l="1"/>
  <c r="EX302" i="31"/>
  <c r="M302" i="31" s="1"/>
  <c r="FB302" i="31"/>
  <c r="DL302" i="31"/>
  <c r="L303" i="31"/>
  <c r="BV302" i="31"/>
  <c r="BW302" i="31" s="1"/>
  <c r="BX302" i="31" l="1"/>
  <c r="BY302" i="31"/>
  <c r="MB302" i="31"/>
  <c r="NM302" i="31" s="1"/>
  <c r="NN302" i="31" s="1"/>
  <c r="MJ302" i="31"/>
  <c r="NS302" i="31" s="1"/>
  <c r="BZ302" i="31" l="1"/>
  <c r="CA302" i="31"/>
  <c r="CC302" i="31" s="1"/>
  <c r="CD302" i="31" s="1"/>
  <c r="NT302" i="31"/>
  <c r="OU303" i="31"/>
  <c r="OV303" i="31"/>
  <c r="NW302" i="31"/>
  <c r="NX302" i="31" s="1"/>
  <c r="CB302" i="31" l="1"/>
  <c r="CE302" i="31"/>
  <c r="CF302" i="31" s="1"/>
  <c r="FV302" i="31"/>
  <c r="FR302" i="31"/>
  <c r="CX302" i="31"/>
  <c r="NU302" i="31"/>
  <c r="OF302" i="31"/>
  <c r="OS303" i="31" s="1"/>
  <c r="NY302" i="31"/>
  <c r="CG302" i="31" l="1"/>
  <c r="CH302" i="31" s="1"/>
  <c r="CI302" i="31" s="1"/>
  <c r="OB302" i="31"/>
  <c r="OT303" i="31" s="1"/>
  <c r="MY302" i="31"/>
  <c r="NZ302" i="31"/>
  <c r="OA302" i="31" s="1"/>
  <c r="MV303" i="31" s="1"/>
  <c r="CY303" i="31"/>
  <c r="NV302" i="31"/>
  <c r="CK302" i="31" l="1"/>
  <c r="CJ302" i="31"/>
  <c r="CO302" i="31" s="1"/>
  <c r="OG303" i="31"/>
  <c r="OO303" i="31"/>
  <c r="KT303" i="31" s="1"/>
  <c r="OM303" i="31"/>
  <c r="NF303" i="31"/>
  <c r="MZ303" i="31"/>
  <c r="OZ302" i="31"/>
  <c r="OI302" i="31"/>
  <c r="PA302" i="31"/>
  <c r="OC302" i="31"/>
  <c r="OD303" i="31" s="1"/>
  <c r="OH303" i="31" s="1"/>
  <c r="OJ302" i="31"/>
  <c r="CL302" i="31" l="1"/>
  <c r="OK303" i="31"/>
  <c r="CM302" i="31"/>
  <c r="CN302" i="31" s="1"/>
  <c r="KM303" i="31"/>
  <c r="KO304" i="31" s="1"/>
  <c r="KL303" i="31"/>
  <c r="KN304" i="31" s="1"/>
  <c r="MW303" i="31"/>
  <c r="OY303" i="31"/>
  <c r="OW302" i="31"/>
  <c r="OX303" i="31"/>
  <c r="MR303" i="31"/>
  <c r="CP302" i="31" l="1"/>
  <c r="GB302" i="31" s="1"/>
  <c r="GC302" i="31" s="1"/>
  <c r="MS303" i="31"/>
  <c r="KQ303" i="31"/>
  <c r="MX303" i="31"/>
  <c r="KP304" i="31"/>
  <c r="KR303" i="31"/>
  <c r="KX302" i="31" l="1"/>
  <c r="GN302" i="31" s="1"/>
  <c r="FP302" i="31"/>
  <c r="FS302" i="31" s="1"/>
  <c r="HY302" i="31" s="1"/>
  <c r="JR302" i="31"/>
  <c r="JS302" i="31" s="1"/>
  <c r="JT303" i="31" s="1"/>
  <c r="GO302" i="31"/>
  <c r="FX302" i="31"/>
  <c r="FY302" i="31" s="1"/>
  <c r="FE302" i="31"/>
  <c r="FF302" i="31" s="1"/>
  <c r="HW302" i="31" s="1"/>
  <c r="HX303" i="31" s="1"/>
  <c r="HO302" i="31"/>
  <c r="HP302" i="31" s="1"/>
  <c r="FU302" i="31"/>
  <c r="FW302" i="31" s="1"/>
  <c r="CQ302" i="31"/>
  <c r="CR302" i="31" s="1"/>
  <c r="FZ302" i="31"/>
  <c r="GA302" i="31" s="1"/>
  <c r="FH302" i="31"/>
  <c r="FI302" i="31" s="1"/>
  <c r="FJ303" i="31" s="1"/>
  <c r="DQ302" i="31"/>
  <c r="DR302" i="31" s="1"/>
  <c r="DS302" i="31" s="1"/>
  <c r="AX302" i="31" s="1"/>
  <c r="AY303" i="31" s="1"/>
  <c r="KU302" i="31"/>
  <c r="KS303" i="31"/>
  <c r="HA302" i="31"/>
  <c r="DY302" i="31"/>
  <c r="NQ303" i="31"/>
  <c r="NJ303" i="31"/>
  <c r="MO303" i="31"/>
  <c r="NH304" i="31"/>
  <c r="NI304" i="31" s="1"/>
  <c r="MT303" i="31"/>
  <c r="NP303" i="31"/>
  <c r="MU303" i="31"/>
  <c r="PE303" i="31"/>
  <c r="NB303" i="31"/>
  <c r="NA303" i="31"/>
  <c r="GQ302" i="31" l="1"/>
  <c r="KV302" i="31"/>
  <c r="KW303" i="31" s="1"/>
  <c r="FG303" i="31"/>
  <c r="KC302" i="31"/>
  <c r="KE302" i="31"/>
  <c r="JU302" i="31"/>
  <c r="HU302" i="31"/>
  <c r="HV303" i="31" s="1"/>
  <c r="IZ302" i="31"/>
  <c r="IA302" i="31"/>
  <c r="IB302" i="31" s="1"/>
  <c r="CT302" i="31"/>
  <c r="CS302" i="31"/>
  <c r="HQ302" i="31"/>
  <c r="HR303" i="31" s="1"/>
  <c r="NR303" i="31"/>
  <c r="AZ302" i="31"/>
  <c r="EM302" i="31"/>
  <c r="EW302" i="31" s="1"/>
  <c r="EN302" i="31"/>
  <c r="NK303" i="31"/>
  <c r="NL303" i="31"/>
  <c r="NG304" i="31"/>
  <c r="OQ304" i="31"/>
  <c r="HS302" i="31"/>
  <c r="JG302" i="31" s="1"/>
  <c r="HT302" i="31"/>
  <c r="NC304" i="31" l="1"/>
  <c r="MQ304" i="31"/>
  <c r="IC302" i="31"/>
  <c r="ID302" i="31" s="1"/>
  <c r="IF302" i="31" s="1"/>
  <c r="KH302" i="31" s="1"/>
  <c r="JB302" i="31"/>
  <c r="OR304" i="31"/>
  <c r="BB303" i="31"/>
  <c r="DW302" i="31"/>
  <c r="DU303" i="31" s="1"/>
  <c r="EQ302" i="31"/>
  <c r="IW302" i="31"/>
  <c r="ER303" i="31"/>
  <c r="IU302" i="31"/>
  <c r="IV302" i="31" s="1"/>
  <c r="KB302" i="31" l="1"/>
  <c r="IX302" i="31"/>
  <c r="KK302" i="31"/>
  <c r="IM302" i="31"/>
  <c r="DB302" i="31"/>
  <c r="DC302" i="31" s="1"/>
  <c r="DD303" i="31" s="1"/>
  <c r="DE304" i="31" s="1"/>
  <c r="GM302" i="31"/>
  <c r="KI303" i="31"/>
  <c r="IN302" i="31"/>
  <c r="DF302" i="31"/>
  <c r="EU303" i="31"/>
  <c r="BC303" i="31"/>
  <c r="DT302" i="31" l="1"/>
  <c r="DZ302" i="31" s="1"/>
  <c r="GT304" i="31"/>
  <c r="GV302" i="31"/>
  <c r="FD302" i="31"/>
  <c r="GU302" i="31"/>
  <c r="BD303" i="31"/>
  <c r="BE303" i="31"/>
  <c r="KJ303" i="31"/>
  <c r="GR302" i="31"/>
  <c r="BF303" i="31" l="1"/>
  <c r="BG303" i="31"/>
  <c r="GS302" i="31"/>
  <c r="IS302" i="31"/>
  <c r="FL303" i="31"/>
  <c r="FM303" i="31" l="1"/>
  <c r="BH303" i="31"/>
  <c r="BI303" i="31"/>
  <c r="BK303" i="31" s="1"/>
  <c r="JH302" i="31"/>
  <c r="JI302" i="31" s="1"/>
  <c r="IT302" i="31"/>
  <c r="GW302" i="31"/>
  <c r="HC302" i="31" s="1"/>
  <c r="FA303" i="31" s="1"/>
  <c r="HB303" i="31" s="1"/>
  <c r="GY302" i="31"/>
  <c r="GX302" i="31"/>
  <c r="BJ303" i="31" l="1"/>
  <c r="EY302" i="31"/>
  <c r="EG302" i="31"/>
  <c r="EH303" i="31" s="1"/>
  <c r="EI303" i="31" s="1"/>
  <c r="FK303" i="31" s="1"/>
  <c r="HM302" i="31"/>
  <c r="HK303" i="31"/>
  <c r="BL303" i="31"/>
  <c r="BM303" i="31"/>
  <c r="JK302" i="31"/>
  <c r="JZ302" i="31" s="1"/>
  <c r="KF302" i="31" s="1"/>
  <c r="IQ303" i="31" s="1"/>
  <c r="JM302" i="31" l="1"/>
  <c r="KD302" i="31" s="1"/>
  <c r="IL303" i="31" s="1"/>
  <c r="JE303" i="31" s="1"/>
  <c r="JN302" i="31"/>
  <c r="JV302" i="31" s="1"/>
  <c r="JF303" i="31" s="1"/>
  <c r="JY303" i="31" s="1"/>
  <c r="BN303" i="31"/>
  <c r="BO303" i="31"/>
  <c r="JL302" i="31"/>
  <c r="JJ303" i="31" s="1"/>
  <c r="KA303" i="31"/>
  <c r="EE302" i="31"/>
  <c r="EF303" i="31" s="1"/>
  <c r="ED302" i="31"/>
  <c r="EB303" i="31" s="1"/>
  <c r="JA303" i="31" s="1"/>
  <c r="EJ302" i="31"/>
  <c r="EK303" i="31" s="1"/>
  <c r="EZ302" i="31"/>
  <c r="DG302" i="31"/>
  <c r="DH302" i="31" s="1"/>
  <c r="DI303" i="31" s="1"/>
  <c r="JW303" i="31" l="1"/>
  <c r="IR303" i="31"/>
  <c r="JO303" i="31"/>
  <c r="BP303" i="31"/>
  <c r="BQ303" i="31" s="1"/>
  <c r="JC303" i="31"/>
  <c r="JD303" i="31"/>
  <c r="DJ303" i="31"/>
  <c r="DK303" i="31" s="1"/>
  <c r="GZ303" i="31"/>
  <c r="IE303" i="31" s="1"/>
  <c r="IP303" i="31"/>
  <c r="IY303" i="31"/>
  <c r="HZ303" i="31"/>
  <c r="FC303" i="31"/>
  <c r="EO303" i="31"/>
  <c r="ES304" i="31" s="1"/>
  <c r="EL303" i="31"/>
  <c r="EP303" i="31"/>
  <c r="ET304" i="31" s="1"/>
  <c r="EV303" i="31"/>
  <c r="DP303" i="31"/>
  <c r="IO303" i="31"/>
  <c r="BR303" i="31" l="1"/>
  <c r="BS303" i="31"/>
  <c r="FQ303" i="31"/>
  <c r="DX303" i="31"/>
  <c r="DM303" i="31"/>
  <c r="EC303" i="31"/>
  <c r="KG303" i="31"/>
  <c r="JP303" i="31"/>
  <c r="JQ303" i="31" s="1"/>
  <c r="JX303" i="31"/>
  <c r="BT303" i="31" l="1"/>
  <c r="BU303" i="31"/>
  <c r="BV303" i="31" s="1"/>
  <c r="BW303" i="31" s="1"/>
  <c r="DL303" i="31"/>
  <c r="L304" i="31"/>
  <c r="FB303" i="31"/>
  <c r="EX303" i="31"/>
  <c r="M303" i="31" s="1"/>
  <c r="BX303" i="31" l="1"/>
  <c r="BY303" i="31"/>
  <c r="MJ303" i="31"/>
  <c r="NS303" i="31" s="1"/>
  <c r="MB303" i="31"/>
  <c r="NM303" i="31" s="1"/>
  <c r="NN303" i="31" s="1"/>
  <c r="BZ303" i="31" l="1"/>
  <c r="CA303" i="31"/>
  <c r="CC303" i="31" s="1"/>
  <c r="CD303" i="31" s="1"/>
  <c r="OV304" i="31"/>
  <c r="NW303" i="31"/>
  <c r="NT303" i="31"/>
  <c r="OU304" i="31"/>
  <c r="CB303" i="31" l="1"/>
  <c r="CE303" i="31"/>
  <c r="CG303" i="31" s="1"/>
  <c r="FV303" i="31"/>
  <c r="CX303" i="31"/>
  <c r="FR303" i="31"/>
  <c r="NU303" i="31"/>
  <c r="NX303" i="31"/>
  <c r="OF303" i="31" s="1"/>
  <c r="OS304" i="31" s="1"/>
  <c r="CF303" i="31" l="1"/>
  <c r="NV303" i="31"/>
  <c r="MY303" i="31"/>
  <c r="NZ303" i="31"/>
  <c r="CY304" i="31"/>
  <c r="CH303" i="31"/>
  <c r="CI303" i="31" s="1"/>
  <c r="NY303" i="31"/>
  <c r="CK303" i="31" l="1"/>
  <c r="CM303" i="31" s="1"/>
  <c r="CN303" i="31" s="1"/>
  <c r="CJ303" i="31"/>
  <c r="CO303" i="31" s="1"/>
  <c r="OI303" i="31"/>
  <c r="OX304" i="31" s="1"/>
  <c r="OM304" i="31"/>
  <c r="OO304" i="31"/>
  <c r="NF304" i="31"/>
  <c r="OA303" i="31"/>
  <c r="MV304" i="31" s="1"/>
  <c r="OG304" i="31" s="1"/>
  <c r="OB303" i="31"/>
  <c r="OT304" i="31" s="1"/>
  <c r="MZ304" i="31"/>
  <c r="OZ303" i="31"/>
  <c r="OW303" i="31" l="1"/>
  <c r="MR304" i="31"/>
  <c r="CL303" i="31"/>
  <c r="CP303" i="31" s="1"/>
  <c r="OJ303" i="31"/>
  <c r="OC303" i="31"/>
  <c r="OD304" i="31" s="1"/>
  <c r="OH304" i="31" s="1"/>
  <c r="OK304" i="31" s="1"/>
  <c r="PA303" i="31"/>
  <c r="KT304" i="31"/>
  <c r="MS304" i="31"/>
  <c r="KM304" i="31" l="1"/>
  <c r="KO305" i="31" s="1"/>
  <c r="KL304" i="31"/>
  <c r="KN305" i="31" s="1"/>
  <c r="MU304" i="31"/>
  <c r="NH305" i="31"/>
  <c r="NI305" i="31" s="1"/>
  <c r="MT304" i="31"/>
  <c r="NJ304" i="31"/>
  <c r="NP304" i="31"/>
  <c r="MO304" i="31"/>
  <c r="NQ304" i="31"/>
  <c r="PE304" i="31"/>
  <c r="GB303" i="31"/>
  <c r="GC303" i="31" s="1"/>
  <c r="DQ303" i="31"/>
  <c r="DR303" i="31" s="1"/>
  <c r="FE303" i="31"/>
  <c r="FF303" i="31" s="1"/>
  <c r="HO303" i="31"/>
  <c r="GO303" i="31"/>
  <c r="FU303" i="31"/>
  <c r="FW303" i="31" s="1"/>
  <c r="CQ303" i="31"/>
  <c r="JR303" i="31"/>
  <c r="JS303" i="31" s="1"/>
  <c r="FH303" i="31"/>
  <c r="FI303" i="31" s="1"/>
  <c r="FX303" i="31"/>
  <c r="FY303" i="31" s="1"/>
  <c r="FZ303" i="31"/>
  <c r="GA303" i="31" s="1"/>
  <c r="FP303" i="31"/>
  <c r="FS303" i="31" s="1"/>
  <c r="KX303" i="31"/>
  <c r="KU303" i="31"/>
  <c r="OY304" i="31"/>
  <c r="MW304" i="31"/>
  <c r="GN303" i="31" l="1"/>
  <c r="GQ303" i="31" s="1"/>
  <c r="NK304" i="31"/>
  <c r="NL304" i="31"/>
  <c r="NG305" i="31"/>
  <c r="OQ305" i="31"/>
  <c r="HP303" i="31"/>
  <c r="IA303" i="31"/>
  <c r="IB303" i="31" s="1"/>
  <c r="IZ303" i="31"/>
  <c r="FG304" i="31"/>
  <c r="HW303" i="31"/>
  <c r="HX304" i="31" s="1"/>
  <c r="DS303" i="31"/>
  <c r="AX303" i="31" s="1"/>
  <c r="AY304" i="31" s="1"/>
  <c r="HU303" i="31"/>
  <c r="HV304" i="31" s="1"/>
  <c r="FJ304" i="31"/>
  <c r="HA303" i="31"/>
  <c r="DY303" i="31"/>
  <c r="HY303" i="31"/>
  <c r="MX304" i="31"/>
  <c r="JU303" i="31"/>
  <c r="KE303" i="31"/>
  <c r="KC303" i="31"/>
  <c r="JT304" i="31"/>
  <c r="KQ304" i="31"/>
  <c r="CR303" i="31"/>
  <c r="CS303" i="31"/>
  <c r="CT303" i="31"/>
  <c r="NR304" i="31"/>
  <c r="KP305" i="31"/>
  <c r="KR304" i="31"/>
  <c r="KV303" i="31" l="1"/>
  <c r="KW304" i="31" s="1"/>
  <c r="HQ303" i="31"/>
  <c r="HR304" i="31" s="1"/>
  <c r="NB304" i="31"/>
  <c r="NA304" i="31"/>
  <c r="OR305" i="31"/>
  <c r="KS304" i="31"/>
  <c r="NC305" i="31"/>
  <c r="MQ305" i="31"/>
  <c r="AZ303" i="31"/>
  <c r="EN303" i="31"/>
  <c r="EM303" i="31"/>
  <c r="EW303" i="31" s="1"/>
  <c r="HT303" i="31"/>
  <c r="HS303" i="31"/>
  <c r="JG303" i="31" s="1"/>
  <c r="BB304" i="31" l="1"/>
  <c r="EQ303" i="31"/>
  <c r="DW303" i="31"/>
  <c r="DU304" i="31" s="1"/>
  <c r="IW303" i="31"/>
  <c r="ER304" i="31"/>
  <c r="IU303" i="31"/>
  <c r="IV303" i="31" s="1"/>
  <c r="IC303" i="31"/>
  <c r="ID303" i="31" s="1"/>
  <c r="IF303" i="31" s="1"/>
  <c r="KH303" i="31" s="1"/>
  <c r="JB303" i="31"/>
  <c r="KK303" i="31" l="1"/>
  <c r="KB303" i="31"/>
  <c r="IX303" i="31"/>
  <c r="EU304" i="31"/>
  <c r="DB303" i="31"/>
  <c r="DC303" i="31" s="1"/>
  <c r="DD304" i="31" s="1"/>
  <c r="DE305" i="31" s="1"/>
  <c r="GM303" i="31"/>
  <c r="IM303" i="31"/>
  <c r="KI304" i="31"/>
  <c r="IN303" i="31"/>
  <c r="DF303" i="31"/>
  <c r="BC304" i="31"/>
  <c r="GT305" i="31" l="1"/>
  <c r="FD303" i="31"/>
  <c r="GU303" i="31"/>
  <c r="GV303" i="31"/>
  <c r="KJ304" i="31"/>
  <c r="DT303" i="31"/>
  <c r="DZ303" i="31" s="1"/>
  <c r="GR303" i="31"/>
  <c r="BE304" i="31"/>
  <c r="BD304" i="31"/>
  <c r="BG304" i="31" l="1"/>
  <c r="BF304" i="31"/>
  <c r="IS303" i="31"/>
  <c r="FL304" i="31"/>
  <c r="GS303" i="31"/>
  <c r="GW303" i="31" l="1"/>
  <c r="HC303" i="31" s="1"/>
  <c r="FA304" i="31" s="1"/>
  <c r="HB304" i="31" s="1"/>
  <c r="GY303" i="31"/>
  <c r="GX303" i="31"/>
  <c r="FM304" i="31"/>
  <c r="JH303" i="31"/>
  <c r="JI303" i="31" s="1"/>
  <c r="IT303" i="31"/>
  <c r="BI304" i="31"/>
  <c r="BK304" i="31" s="1"/>
  <c r="BH304" i="31"/>
  <c r="BJ304" i="31" l="1"/>
  <c r="EY303" i="31"/>
  <c r="EG303" i="31"/>
  <c r="EH304" i="31" s="1"/>
  <c r="EI304" i="31" s="1"/>
  <c r="FK304" i="31" s="1"/>
  <c r="HM303" i="31"/>
  <c r="HK304" i="31"/>
  <c r="JK303" i="31"/>
  <c r="JZ303" i="31" s="1"/>
  <c r="KF303" i="31" s="1"/>
  <c r="IQ304" i="31" s="1"/>
  <c r="BL304" i="31"/>
  <c r="BM304" i="31"/>
  <c r="JN303" i="31" l="1"/>
  <c r="JV303" i="31" s="1"/>
  <c r="JF304" i="31" s="1"/>
  <c r="BO304" i="31"/>
  <c r="BN304" i="31"/>
  <c r="ED303" i="31"/>
  <c r="EB304" i="31" s="1"/>
  <c r="JA304" i="31" s="1"/>
  <c r="EJ303" i="31"/>
  <c r="EK304" i="31" s="1"/>
  <c r="EE303" i="31"/>
  <c r="EF304" i="31" s="1"/>
  <c r="JL303" i="31"/>
  <c r="JJ304" i="31" s="1"/>
  <c r="KA304" i="31"/>
  <c r="JM303" i="31"/>
  <c r="KD303" i="31" s="1"/>
  <c r="IL304" i="31" s="1"/>
  <c r="EZ303" i="31"/>
  <c r="DG303" i="31"/>
  <c r="DH303" i="31" s="1"/>
  <c r="DI304" i="31" s="1"/>
  <c r="JO304" i="31" l="1"/>
  <c r="DJ304" i="31"/>
  <c r="DK304" i="31" s="1"/>
  <c r="GZ304" i="31"/>
  <c r="IE304" i="31" s="1"/>
  <c r="BP304" i="31"/>
  <c r="BQ304" i="31" s="1"/>
  <c r="JC304" i="31"/>
  <c r="JD304" i="31"/>
  <c r="DP304" i="31"/>
  <c r="JE304" i="31"/>
  <c r="JW304" i="31"/>
  <c r="JY304" i="31"/>
  <c r="IO304" i="31"/>
  <c r="IP304" i="31"/>
  <c r="EO304" i="31"/>
  <c r="ES305" i="31" s="1"/>
  <c r="EL304" i="31"/>
  <c r="FC304" i="31"/>
  <c r="EP304" i="31"/>
  <c r="ET305" i="31" s="1"/>
  <c r="EV304" i="31"/>
  <c r="IY304" i="31"/>
  <c r="HZ304" i="31"/>
  <c r="IR304" i="31"/>
  <c r="KG304" i="31" s="1"/>
  <c r="BR304" i="31" l="1"/>
  <c r="BS304" i="31"/>
  <c r="JP304" i="31"/>
  <c r="JQ304" i="31" s="1"/>
  <c r="EC304" i="31"/>
  <c r="JX304" i="31"/>
  <c r="DX304" i="31"/>
  <c r="DM304" i="31"/>
  <c r="FQ304" i="31"/>
  <c r="BT304" i="31" l="1"/>
  <c r="BU304" i="31"/>
  <c r="BV304" i="31" s="1"/>
  <c r="EX304" i="31"/>
  <c r="M304" i="31" s="1"/>
  <c r="FB304" i="31"/>
  <c r="DL304" i="31"/>
  <c r="L305" i="31"/>
  <c r="BW304" i="31" l="1"/>
  <c r="BY304" i="31" s="1"/>
  <c r="MB304" i="31"/>
  <c r="NM304" i="31" s="1"/>
  <c r="NN304" i="31" s="1"/>
  <c r="MJ304" i="31"/>
  <c r="NS304" i="31" s="1"/>
  <c r="BX304" i="31" l="1"/>
  <c r="BZ304" i="31" s="1"/>
  <c r="NT304" i="31"/>
  <c r="OU305" i="31"/>
  <c r="OV305" i="31"/>
  <c r="NW304" i="31"/>
  <c r="CA304" i="31"/>
  <c r="CC304" i="31" s="1"/>
  <c r="CB304" i="31" l="1"/>
  <c r="NX304" i="31"/>
  <c r="OF304" i="31" s="1"/>
  <c r="OS305" i="31" s="1"/>
  <c r="CD304" i="31"/>
  <c r="CE304" i="31"/>
  <c r="FR304" i="31"/>
  <c r="CX304" i="31"/>
  <c r="FV304" i="31"/>
  <c r="NU304" i="31"/>
  <c r="NV304" i="31" l="1"/>
  <c r="CF304" i="31"/>
  <c r="CG304" i="31"/>
  <c r="MY304" i="31"/>
  <c r="NZ304" i="31"/>
  <c r="CY305" i="31"/>
  <c r="NY304" i="31"/>
  <c r="OB304" i="31" l="1"/>
  <c r="OT305" i="31" s="1"/>
  <c r="OA304" i="31"/>
  <c r="MV305" i="31" s="1"/>
  <c r="MZ305" i="31"/>
  <c r="OZ304" i="31"/>
  <c r="OI304" i="31"/>
  <c r="OM305" i="31"/>
  <c r="NF305" i="31"/>
  <c r="OO305" i="31"/>
  <c r="CH304" i="31"/>
  <c r="CI304" i="31" s="1"/>
  <c r="CJ304" i="31" l="1"/>
  <c r="CO304" i="31" s="1"/>
  <c r="CK304" i="31"/>
  <c r="CL304" i="31" s="1"/>
  <c r="OG305" i="31"/>
  <c r="KT305" i="31"/>
  <c r="OJ304" i="31"/>
  <c r="MR305" i="31"/>
  <c r="OX305" i="31"/>
  <c r="OW304" i="31"/>
  <c r="OC304" i="31"/>
  <c r="OD305" i="31" s="1"/>
  <c r="OH305" i="31" s="1"/>
  <c r="PA304" i="31"/>
  <c r="CM304" i="31" l="1"/>
  <c r="CN304" i="31" s="1"/>
  <c r="CP304" i="31" s="1"/>
  <c r="OK305" i="31"/>
  <c r="OY305" i="31"/>
  <c r="MW305" i="31"/>
  <c r="KL305" i="31"/>
  <c r="KN306" i="31" s="1"/>
  <c r="KM305" i="31"/>
  <c r="KO306" i="31" s="1"/>
  <c r="MS305" i="31"/>
  <c r="NQ305" i="31" l="1"/>
  <c r="NJ305" i="31"/>
  <c r="NP305" i="31"/>
  <c r="NH306" i="31"/>
  <c r="NI306" i="31" s="1"/>
  <c r="MT305" i="31"/>
  <c r="MU305" i="31"/>
  <c r="MO305" i="31"/>
  <c r="PE305" i="31"/>
  <c r="KP306" i="31"/>
  <c r="KR305" i="31"/>
  <c r="MX305" i="31"/>
  <c r="KQ305" i="31"/>
  <c r="FP304" i="31"/>
  <c r="FS304" i="31" s="1"/>
  <c r="CQ304" i="31"/>
  <c r="FU304" i="31"/>
  <c r="FW304" i="31" s="1"/>
  <c r="HO304" i="31"/>
  <c r="GO304" i="31"/>
  <c r="FH304" i="31"/>
  <c r="FI304" i="31" s="1"/>
  <c r="FZ304" i="31"/>
  <c r="GA304" i="31" s="1"/>
  <c r="DQ304" i="31"/>
  <c r="DR304" i="31" s="1"/>
  <c r="JR304" i="31"/>
  <c r="JS304" i="31" s="1"/>
  <c r="FE304" i="31"/>
  <c r="FF304" i="31" s="1"/>
  <c r="FX304" i="31"/>
  <c r="FY304" i="31" s="1"/>
  <c r="GB304" i="31"/>
  <c r="GC304" i="31" s="1"/>
  <c r="KX304" i="31"/>
  <c r="KU304" i="31"/>
  <c r="GN304" i="31" l="1"/>
  <c r="GQ304" i="31" s="1"/>
  <c r="KS305" i="31"/>
  <c r="DS304" i="31"/>
  <c r="AX304" i="31" s="1"/>
  <c r="AY305" i="31" s="1"/>
  <c r="HU304" i="31"/>
  <c r="HV305" i="31" s="1"/>
  <c r="FJ305" i="31"/>
  <c r="NA305" i="31"/>
  <c r="NB305" i="31"/>
  <c r="HP304" i="31"/>
  <c r="IA304" i="31"/>
  <c r="IB304" i="31" s="1"/>
  <c r="IZ304" i="31"/>
  <c r="CS304" i="31"/>
  <c r="CT304" i="31"/>
  <c r="CR304" i="31"/>
  <c r="NK305" i="31"/>
  <c r="NL305" i="31"/>
  <c r="NG306" i="31"/>
  <c r="OQ306" i="31"/>
  <c r="HW304" i="31"/>
  <c r="HX305" i="31" s="1"/>
  <c r="FG305" i="31"/>
  <c r="JU304" i="31"/>
  <c r="KE304" i="31"/>
  <c r="KC304" i="31"/>
  <c r="JT305" i="31"/>
  <c r="HA304" i="31"/>
  <c r="HY304" i="31"/>
  <c r="DY304" i="31"/>
  <c r="NR305" i="31"/>
  <c r="KV304" i="31" l="1"/>
  <c r="KW305" i="31" s="1"/>
  <c r="HQ304" i="31"/>
  <c r="HR305" i="31" s="1"/>
  <c r="OR306" i="31"/>
  <c r="HT304" i="31"/>
  <c r="HS304" i="31"/>
  <c r="JG304" i="31" s="1"/>
  <c r="NC306" i="31"/>
  <c r="MQ306" i="31"/>
  <c r="EN304" i="31"/>
  <c r="EM304" i="31"/>
  <c r="EW304" i="31" s="1"/>
  <c r="AZ304" i="31"/>
  <c r="IC304" i="31" l="1"/>
  <c r="ID304" i="31" s="1"/>
  <c r="IF304" i="31" s="1"/>
  <c r="KH304" i="31" s="1"/>
  <c r="JB304" i="31"/>
  <c r="BB305" i="31"/>
  <c r="IW304" i="31"/>
  <c r="EQ304" i="31"/>
  <c r="DW304" i="31"/>
  <c r="DU305" i="31" s="1"/>
  <c r="ER305" i="31"/>
  <c r="IU304" i="31"/>
  <c r="IV304" i="31" s="1"/>
  <c r="BC305" i="31" l="1"/>
  <c r="KK304" i="31"/>
  <c r="KB304" i="31"/>
  <c r="IX304" i="31"/>
  <c r="EU305" i="31"/>
  <c r="GM304" i="31"/>
  <c r="DB304" i="31"/>
  <c r="DC304" i="31" s="1"/>
  <c r="DD305" i="31" s="1"/>
  <c r="DE306" i="31" s="1"/>
  <c r="IM304" i="31"/>
  <c r="KI305" i="31"/>
  <c r="IN304" i="31"/>
  <c r="DF304" i="31"/>
  <c r="GT306" i="31" l="1"/>
  <c r="FD304" i="31"/>
  <c r="GU304" i="31"/>
  <c r="GV304" i="31"/>
  <c r="GR304" i="31"/>
  <c r="KJ305" i="31"/>
  <c r="DT304" i="31"/>
  <c r="DZ304" i="31" s="1"/>
  <c r="BD305" i="31"/>
  <c r="BE305" i="31"/>
  <c r="GS304" i="31" l="1"/>
  <c r="BF305" i="31"/>
  <c r="BG305" i="31"/>
  <c r="IS304" i="31"/>
  <c r="FL305" i="31"/>
  <c r="FM305" i="31" l="1"/>
  <c r="BI305" i="31"/>
  <c r="BK305" i="31" s="1"/>
  <c r="BH305" i="31"/>
  <c r="JH304" i="31"/>
  <c r="JI304" i="31" s="1"/>
  <c r="IT304" i="31"/>
  <c r="GY304" i="31"/>
  <c r="GW304" i="31"/>
  <c r="HC304" i="31" s="1"/>
  <c r="FA305" i="31" s="1"/>
  <c r="HB305" i="31" s="1"/>
  <c r="GX304" i="31"/>
  <c r="EY304" i="31" l="1"/>
  <c r="EG304" i="31"/>
  <c r="EH305" i="31" s="1"/>
  <c r="EI305" i="31" s="1"/>
  <c r="FK305" i="31" s="1"/>
  <c r="HM304" i="31"/>
  <c r="HK305" i="31"/>
  <c r="BJ305" i="31"/>
  <c r="BL305" i="31"/>
  <c r="BM305" i="31"/>
  <c r="JK304" i="31"/>
  <c r="JM304" i="31" s="1"/>
  <c r="KD304" i="31" s="1"/>
  <c r="IL305" i="31" s="1"/>
  <c r="JZ304" i="31" l="1"/>
  <c r="KF304" i="31" s="1"/>
  <c r="IQ305" i="31" s="1"/>
  <c r="JL304" i="31"/>
  <c r="JJ305" i="31" s="1"/>
  <c r="KA305" i="31"/>
  <c r="JN304" i="31"/>
  <c r="JV304" i="31" s="1"/>
  <c r="JF305" i="31" s="1"/>
  <c r="ED304" i="31"/>
  <c r="EB305" i="31" s="1"/>
  <c r="EE304" i="31"/>
  <c r="EF305" i="31" s="1"/>
  <c r="IP305" i="31" s="1"/>
  <c r="EJ304" i="31"/>
  <c r="EK305" i="31" s="1"/>
  <c r="BN305" i="31"/>
  <c r="BO305" i="31"/>
  <c r="EZ304" i="31"/>
  <c r="DG304" i="31"/>
  <c r="DH304" i="31" s="1"/>
  <c r="DI305" i="31" s="1"/>
  <c r="EO305" i="31" l="1"/>
  <c r="ES306" i="31" s="1"/>
  <c r="EP305" i="31"/>
  <c r="ET306" i="31" s="1"/>
  <c r="EL305" i="31"/>
  <c r="FC305" i="31"/>
  <c r="EV305" i="31"/>
  <c r="JW305" i="31"/>
  <c r="JY305" i="31"/>
  <c r="HZ305" i="31"/>
  <c r="IY305" i="31"/>
  <c r="IR305" i="31"/>
  <c r="JE305" i="31"/>
  <c r="JX305" i="31" s="1"/>
  <c r="JA305" i="31"/>
  <c r="JO305" i="31"/>
  <c r="DP305" i="31"/>
  <c r="JC305" i="31"/>
  <c r="JD305" i="31"/>
  <c r="BP305" i="31"/>
  <c r="BQ305" i="31" s="1"/>
  <c r="DJ305" i="31"/>
  <c r="DK305" i="31" s="1"/>
  <c r="GZ305" i="31"/>
  <c r="IE305" i="31" s="1"/>
  <c r="IO305" i="31"/>
  <c r="BS305" i="31" l="1"/>
  <c r="BU305" i="31" s="1"/>
  <c r="BR305" i="31"/>
  <c r="KG305" i="31"/>
  <c r="JP305" i="31"/>
  <c r="JQ305" i="31" s="1"/>
  <c r="DM305" i="31"/>
  <c r="DX305" i="31"/>
  <c r="FQ305" i="31"/>
  <c r="EC305" i="31"/>
  <c r="BT305" i="31" l="1"/>
  <c r="BV305" i="31"/>
  <c r="BW305" i="31" s="1"/>
  <c r="FB305" i="31"/>
  <c r="EX305" i="31"/>
  <c r="M305" i="31" s="1"/>
  <c r="DL305" i="31"/>
  <c r="L306" i="31"/>
  <c r="BX305" i="31" l="1"/>
  <c r="BY305" i="31"/>
  <c r="MB305" i="31"/>
  <c r="MJ305" i="31"/>
  <c r="NS305" i="31" s="1"/>
  <c r="BZ305" i="31" l="1"/>
  <c r="CA305" i="31"/>
  <c r="CC305" i="31" s="1"/>
  <c r="CD305" i="31" s="1"/>
  <c r="NM305" i="31"/>
  <c r="NN305" i="31" s="1"/>
  <c r="NT305" i="31"/>
  <c r="OU306" i="31"/>
  <c r="CB305" i="31" l="1"/>
  <c r="CE305" i="31"/>
  <c r="CF305" i="31" s="1"/>
  <c r="OV306" i="31"/>
  <c r="NW305" i="31"/>
  <c r="NX305" i="31" s="1"/>
  <c r="OF305" i="31" s="1"/>
  <c r="OS306" i="31" s="1"/>
  <c r="FR305" i="31"/>
  <c r="FV305" i="31"/>
  <c r="CX305" i="31"/>
  <c r="NU305" i="31"/>
  <c r="CG305" i="31" l="1"/>
  <c r="CH305" i="31" s="1"/>
  <c r="CI305" i="31" s="1"/>
  <c r="NY305" i="31"/>
  <c r="OB305" i="31" s="1"/>
  <c r="OT306" i="31" s="1"/>
  <c r="NV305" i="31"/>
  <c r="NZ305" i="31"/>
  <c r="MY305" i="31"/>
  <c r="CY306" i="31"/>
  <c r="OA305" i="31" l="1"/>
  <c r="MV306" i="31" s="1"/>
  <c r="OG306" i="31" s="1"/>
  <c r="CJ305" i="31"/>
  <c r="CO305" i="31" s="1"/>
  <c r="CK305" i="31"/>
  <c r="CL305" i="31" s="1"/>
  <c r="OI305" i="31"/>
  <c r="MR306" i="31" s="1"/>
  <c r="OC305" i="31"/>
  <c r="OD306" i="31" s="1"/>
  <c r="OH306" i="31" s="1"/>
  <c r="MZ306" i="31"/>
  <c r="OZ305" i="31"/>
  <c r="OJ305" i="31"/>
  <c r="OO306" i="31"/>
  <c r="NF306" i="31"/>
  <c r="OM306" i="31"/>
  <c r="PA305" i="31"/>
  <c r="OW305" i="31" l="1"/>
  <c r="OK306" i="31"/>
  <c r="KT306" i="31"/>
  <c r="KL306" i="31" s="1"/>
  <c r="KN307" i="31" s="1"/>
  <c r="CM305" i="31"/>
  <c r="CN305" i="31" s="1"/>
  <c r="CP305" i="31" s="1"/>
  <c r="HO305" i="31" s="1"/>
  <c r="OX306" i="31"/>
  <c r="MS306" i="31"/>
  <c r="OY306" i="31"/>
  <c r="MW306" i="31"/>
  <c r="KM306" i="31" l="1"/>
  <c r="KO307" i="31" s="1"/>
  <c r="KP307" i="31" s="1"/>
  <c r="FU305" i="31"/>
  <c r="FW305" i="31" s="1"/>
  <c r="GB305" i="31"/>
  <c r="GC305" i="31" s="1"/>
  <c r="FZ305" i="31"/>
  <c r="GA305" i="31" s="1"/>
  <c r="FX305" i="31"/>
  <c r="FY305" i="31" s="1"/>
  <c r="FH305" i="31"/>
  <c r="FI305" i="31" s="1"/>
  <c r="HU305" i="31" s="1"/>
  <c r="HV306" i="31" s="1"/>
  <c r="GO305" i="31"/>
  <c r="FP305" i="31"/>
  <c r="FS305" i="31" s="1"/>
  <c r="HY305" i="31" s="1"/>
  <c r="CQ305" i="31"/>
  <c r="CT305" i="31" s="1"/>
  <c r="KU305" i="31"/>
  <c r="KX305" i="31"/>
  <c r="GN305" i="31" s="1"/>
  <c r="KV305" i="31" s="1"/>
  <c r="JR305" i="31"/>
  <c r="JS305" i="31" s="1"/>
  <c r="JU305" i="31" s="1"/>
  <c r="FE305" i="31"/>
  <c r="FF305" i="31" s="1"/>
  <c r="FG306" i="31" s="1"/>
  <c r="DQ305" i="31"/>
  <c r="DR305" i="31" s="1"/>
  <c r="DS305" i="31" s="1"/>
  <c r="AX305" i="31" s="1"/>
  <c r="AY306" i="31" s="1"/>
  <c r="MX306" i="31"/>
  <c r="IA305" i="31"/>
  <c r="IB305" i="31" s="1"/>
  <c r="HP305" i="31"/>
  <c r="IZ305" i="31"/>
  <c r="NP306" i="31"/>
  <c r="MU306" i="31"/>
  <c r="MT306" i="31"/>
  <c r="NJ306" i="31"/>
  <c r="NQ306" i="31"/>
  <c r="MO306" i="31"/>
  <c r="NH307" i="31"/>
  <c r="NI307" i="31" s="1"/>
  <c r="PE306" i="31"/>
  <c r="KQ306" i="31"/>
  <c r="KW306" i="31" l="1"/>
  <c r="HQ305" i="31"/>
  <c r="HR306" i="31" s="1"/>
  <c r="KR306" i="31"/>
  <c r="KS306" i="31" s="1"/>
  <c r="FJ306" i="31"/>
  <c r="DY305" i="31"/>
  <c r="HA305" i="31"/>
  <c r="CS305" i="31"/>
  <c r="CR305" i="31"/>
  <c r="GQ305" i="31"/>
  <c r="KC305" i="31"/>
  <c r="KE305" i="31"/>
  <c r="HW305" i="31"/>
  <c r="HX306" i="31" s="1"/>
  <c r="JT306" i="31"/>
  <c r="HS305" i="31"/>
  <c r="JG305" i="31" s="1"/>
  <c r="HT305" i="31"/>
  <c r="NB306" i="31"/>
  <c r="NA306" i="31"/>
  <c r="NL306" i="31"/>
  <c r="NK306" i="31"/>
  <c r="NG307" i="31"/>
  <c r="OQ307" i="31"/>
  <c r="NR306" i="31"/>
  <c r="AZ305" i="31"/>
  <c r="EM305" i="31"/>
  <c r="EW305" i="31" s="1"/>
  <c r="EN305" i="31"/>
  <c r="BB306" i="31" l="1"/>
  <c r="EQ305" i="31"/>
  <c r="DW305" i="31"/>
  <c r="DU306" i="31" s="1"/>
  <c r="IW305" i="31"/>
  <c r="ER306" i="31"/>
  <c r="IU305" i="31"/>
  <c r="IV305" i="31" s="1"/>
  <c r="NC307" i="31"/>
  <c r="MQ307" i="31"/>
  <c r="IC305" i="31"/>
  <c r="ID305" i="31" s="1"/>
  <c r="IF305" i="31" s="1"/>
  <c r="KH305" i="31" s="1"/>
  <c r="JB305" i="31"/>
  <c r="OR307" i="31"/>
  <c r="DB305" i="31" l="1"/>
  <c r="DC305" i="31" s="1"/>
  <c r="DD306" i="31" s="1"/>
  <c r="DE307" i="31" s="1"/>
  <c r="IM305" i="31"/>
  <c r="GM305" i="31"/>
  <c r="KI306" i="31"/>
  <c r="IN305" i="31"/>
  <c r="DF305" i="31"/>
  <c r="DT305" i="31" s="1"/>
  <c r="DZ305" i="31" s="1"/>
  <c r="EU306" i="31"/>
  <c r="KK305" i="31"/>
  <c r="KB305" i="31"/>
  <c r="IX305" i="31"/>
  <c r="BC306" i="31"/>
  <c r="GT307" i="31" l="1"/>
  <c r="KJ306" i="31"/>
  <c r="BD306" i="31"/>
  <c r="BE306" i="31"/>
  <c r="FD305" i="31"/>
  <c r="GU305" i="31"/>
  <c r="GV305" i="31"/>
  <c r="GR305" i="31"/>
  <c r="IS305" i="31" l="1"/>
  <c r="FL306" i="31"/>
  <c r="BF306" i="31"/>
  <c r="BG306" i="31"/>
  <c r="GS305" i="31"/>
  <c r="GY305" i="31" l="1"/>
  <c r="GW305" i="31"/>
  <c r="HC305" i="31" s="1"/>
  <c r="FA306" i="31" s="1"/>
  <c r="HB306" i="31" s="1"/>
  <c r="GX305" i="31"/>
  <c r="BI306" i="31"/>
  <c r="BK306" i="31" s="1"/>
  <c r="BH306" i="31"/>
  <c r="FM306" i="31"/>
  <c r="JH305" i="31"/>
  <c r="JI305" i="31" s="1"/>
  <c r="IT305" i="31"/>
  <c r="BJ306" i="31" l="1"/>
  <c r="BL306" i="31"/>
  <c r="BM306" i="31"/>
  <c r="EY305" i="31"/>
  <c r="HM305" i="31"/>
  <c r="EG305" i="31"/>
  <c r="EH306" i="31" s="1"/>
  <c r="EI306" i="31" s="1"/>
  <c r="FK306" i="31" s="1"/>
  <c r="HK306" i="31"/>
  <c r="JK305" i="31"/>
  <c r="JM305" i="31" s="1"/>
  <c r="KD305" i="31" s="1"/>
  <c r="IL306" i="31" s="1"/>
  <c r="EZ305" i="31" l="1"/>
  <c r="DG305" i="31"/>
  <c r="DH305" i="31" s="1"/>
  <c r="DI306" i="31" s="1"/>
  <c r="JZ305" i="31"/>
  <c r="KF305" i="31" s="1"/>
  <c r="IQ306" i="31" s="1"/>
  <c r="JL305" i="31"/>
  <c r="JJ306" i="31" s="1"/>
  <c r="KA306" i="31"/>
  <c r="BN306" i="31"/>
  <c r="BO306" i="31"/>
  <c r="JN305" i="31"/>
  <c r="JV305" i="31" s="1"/>
  <c r="JF306" i="31" s="1"/>
  <c r="ED305" i="31"/>
  <c r="EB306" i="31" s="1"/>
  <c r="EE305" i="31"/>
  <c r="EF306" i="31" s="1"/>
  <c r="IO306" i="31" s="1"/>
  <c r="EJ305" i="31"/>
  <c r="EK306" i="31" s="1"/>
  <c r="IP306" i="31" l="1"/>
  <c r="EO306" i="31"/>
  <c r="ES307" i="31" s="1"/>
  <c r="EL306" i="31"/>
  <c r="FC306" i="31"/>
  <c r="EP306" i="31"/>
  <c r="ET307" i="31" s="1"/>
  <c r="IE306" i="31"/>
  <c r="EV306" i="31"/>
  <c r="JW306" i="31"/>
  <c r="JY306" i="31"/>
  <c r="JE306" i="31"/>
  <c r="JO306" i="31"/>
  <c r="IY306" i="31"/>
  <c r="JP306" i="31" s="1"/>
  <c r="JQ306" i="31" s="1"/>
  <c r="IR306" i="31"/>
  <c r="JA306" i="31"/>
  <c r="JC306" i="31"/>
  <c r="JD306" i="31"/>
  <c r="DP306" i="31"/>
  <c r="HZ306" i="31"/>
  <c r="GZ306" i="31"/>
  <c r="DJ306" i="31"/>
  <c r="DK306" i="31" s="1"/>
  <c r="BP306" i="31"/>
  <c r="BQ306" i="31" s="1"/>
  <c r="JX306" i="31" l="1"/>
  <c r="BR306" i="31"/>
  <c r="BS306" i="31"/>
  <c r="EC306" i="31"/>
  <c r="DX306" i="31"/>
  <c r="FQ306" i="31"/>
  <c r="DM306" i="31"/>
  <c r="KG306" i="31"/>
  <c r="FB306" i="31" l="1"/>
  <c r="EX306" i="31"/>
  <c r="M306" i="31" s="1"/>
  <c r="BT306" i="31"/>
  <c r="BU306" i="31"/>
  <c r="DL306" i="31"/>
  <c r="L307" i="31"/>
  <c r="MB306" i="31" l="1"/>
  <c r="MJ306" i="31"/>
  <c r="NS306" i="31" s="1"/>
  <c r="BV306" i="31"/>
  <c r="BW306" i="31" s="1"/>
  <c r="NM306" i="31" l="1"/>
  <c r="NN306" i="31" s="1"/>
  <c r="BX306" i="31"/>
  <c r="BY306" i="31"/>
  <c r="CA306" i="31" s="1"/>
  <c r="CC306" i="31" s="1"/>
  <c r="NT306" i="31"/>
  <c r="OU307" i="31"/>
  <c r="OV307" i="31" l="1"/>
  <c r="NW306" i="31"/>
  <c r="BZ306" i="31"/>
  <c r="CD306" i="31"/>
  <c r="CE306" i="31"/>
  <c r="NX306" i="31"/>
  <c r="OF306" i="31" s="1"/>
  <c r="OS307" i="31" s="1"/>
  <c r="FR306" i="31"/>
  <c r="CX306" i="31"/>
  <c r="FV306" i="31"/>
  <c r="NU306" i="31"/>
  <c r="CB306" i="31"/>
  <c r="NZ306" i="31" l="1"/>
  <c r="MY306" i="31"/>
  <c r="CY307" i="31"/>
  <c r="NV306" i="31"/>
  <c r="NY306" i="31"/>
  <c r="CF306" i="31"/>
  <c r="CG306" i="31"/>
  <c r="OA306" i="31" l="1"/>
  <c r="MV307" i="31" s="1"/>
  <c r="OG307" i="31" s="1"/>
  <c r="OI306" i="31"/>
  <c r="MR307" i="31" s="1"/>
  <c r="CH306" i="31"/>
  <c r="CI306" i="31" s="1"/>
  <c r="NF307" i="31"/>
  <c r="OM307" i="31"/>
  <c r="OO307" i="31"/>
  <c r="MZ307" i="31"/>
  <c r="OZ306" i="31"/>
  <c r="OB306" i="31"/>
  <c r="OT307" i="31" s="1"/>
  <c r="OW306" i="31" l="1"/>
  <c r="CJ306" i="31"/>
  <c r="CO306" i="31" s="1"/>
  <c r="CK306" i="31"/>
  <c r="CM306" i="31" s="1"/>
  <c r="CN306" i="31" s="1"/>
  <c r="OX307" i="31"/>
  <c r="KT307" i="31"/>
  <c r="KM307" i="31" s="1"/>
  <c r="KO308" i="31" s="1"/>
  <c r="OC306" i="31"/>
  <c r="OD307" i="31" s="1"/>
  <c r="OH307" i="31" s="1"/>
  <c r="OK307" i="31" s="1"/>
  <c r="OJ306" i="31"/>
  <c r="MW307" i="31" s="1"/>
  <c r="PA306" i="31"/>
  <c r="MS307" i="31"/>
  <c r="CL306" i="31" l="1"/>
  <c r="CP306" i="31" s="1"/>
  <c r="KL307" i="31"/>
  <c r="KN308" i="31" s="1"/>
  <c r="KP308" i="31" s="1"/>
  <c r="OY307" i="31"/>
  <c r="NJ307" i="31"/>
  <c r="MT307" i="31"/>
  <c r="MU307" i="31"/>
  <c r="MO307" i="31"/>
  <c r="NQ307" i="31"/>
  <c r="NP307" i="31"/>
  <c r="NH308" i="31"/>
  <c r="NI308" i="31" s="1"/>
  <c r="PE307" i="31"/>
  <c r="KR307" i="31"/>
  <c r="MX307" i="31"/>
  <c r="KQ307" i="31" l="1"/>
  <c r="KS307" i="31" s="1"/>
  <c r="NR307" i="31"/>
  <c r="FE306" i="31"/>
  <c r="FF306" i="31" s="1"/>
  <c r="FU306" i="31"/>
  <c r="FW306" i="31" s="1"/>
  <c r="FZ306" i="31"/>
  <c r="GA306" i="31" s="1"/>
  <c r="GO306" i="31"/>
  <c r="FX306" i="31"/>
  <c r="FY306" i="31" s="1"/>
  <c r="GB306" i="31"/>
  <c r="GC306" i="31" s="1"/>
  <c r="FP306" i="31"/>
  <c r="FS306" i="31" s="1"/>
  <c r="CQ306" i="31"/>
  <c r="FH306" i="31"/>
  <c r="FI306" i="31" s="1"/>
  <c r="JR306" i="31"/>
  <c r="JS306" i="31" s="1"/>
  <c r="HO306" i="31"/>
  <c r="DQ306" i="31"/>
  <c r="DR306" i="31" s="1"/>
  <c r="KX306" i="31"/>
  <c r="KU306" i="31"/>
  <c r="NA307" i="31"/>
  <c r="NB307" i="31"/>
  <c r="NK307" i="31"/>
  <c r="NL307" i="31"/>
  <c r="NG308" i="31"/>
  <c r="OQ308" i="31"/>
  <c r="GN306" i="31" l="1"/>
  <c r="GQ306" i="31" s="1"/>
  <c r="HY306" i="31"/>
  <c r="HA306" i="31"/>
  <c r="DY306" i="31"/>
  <c r="DS306" i="31"/>
  <c r="AX306" i="31" s="1"/>
  <c r="AY307" i="31" s="1"/>
  <c r="OR308" i="31"/>
  <c r="NC308" i="31"/>
  <c r="MQ308" i="31"/>
  <c r="KE306" i="31"/>
  <c r="JU306" i="31"/>
  <c r="JT307" i="31"/>
  <c r="KC306" i="31"/>
  <c r="HU306" i="31"/>
  <c r="HV307" i="31" s="1"/>
  <c r="FJ307" i="31"/>
  <c r="HW306" i="31"/>
  <c r="HX307" i="31" s="1"/>
  <c r="FG307" i="31"/>
  <c r="HP306" i="31"/>
  <c r="IA306" i="31"/>
  <c r="IB306" i="31" s="1"/>
  <c r="IZ306" i="31"/>
  <c r="CR306" i="31"/>
  <c r="CT306" i="31"/>
  <c r="CS306" i="31"/>
  <c r="KV306" i="31" l="1"/>
  <c r="KW307" i="31" s="1"/>
  <c r="HQ306" i="31"/>
  <c r="HR307" i="31" s="1"/>
  <c r="AZ306" i="31"/>
  <c r="EM306" i="31"/>
  <c r="EW306" i="31" s="1"/>
  <c r="EN306" i="31"/>
  <c r="HS306" i="31"/>
  <c r="JG306" i="31" s="1"/>
  <c r="HT306" i="31"/>
  <c r="IC306" i="31" l="1"/>
  <c r="ID306" i="31" s="1"/>
  <c r="IF306" i="31" s="1"/>
  <c r="KH306" i="31" s="1"/>
  <c r="JB306" i="31"/>
  <c r="BB307" i="31"/>
  <c r="DW306" i="31"/>
  <c r="DU307" i="31" s="1"/>
  <c r="EQ306" i="31"/>
  <c r="ER307" i="31"/>
  <c r="IU306" i="31"/>
  <c r="IV306" i="31" s="1"/>
  <c r="IW306" i="31" l="1"/>
  <c r="KB306" i="31" s="1"/>
  <c r="EU307" i="31"/>
  <c r="BC307" i="31"/>
  <c r="KK306" i="31"/>
  <c r="IX306" i="31"/>
  <c r="DB306" i="31"/>
  <c r="DC306" i="31" s="1"/>
  <c r="DD307" i="31" s="1"/>
  <c r="DE308" i="31" s="1"/>
  <c r="GM306" i="31"/>
  <c r="IM306" i="31"/>
  <c r="KI307" i="31"/>
  <c r="IN306" i="31"/>
  <c r="DF306" i="31"/>
  <c r="GT308" i="31" l="1"/>
  <c r="BD307" i="31"/>
  <c r="BE307" i="31"/>
  <c r="FD306" i="31"/>
  <c r="GU306" i="31"/>
  <c r="GV306" i="31"/>
  <c r="KJ307" i="31"/>
  <c r="DT306" i="31"/>
  <c r="DZ306" i="31" s="1"/>
  <c r="GR306" i="31"/>
  <c r="IS306" i="31" l="1"/>
  <c r="FL307" i="31"/>
  <c r="GS306" i="31"/>
  <c r="BG307" i="31"/>
  <c r="BF307" i="31"/>
  <c r="BI307" i="31" l="1"/>
  <c r="BK307" i="31" s="1"/>
  <c r="BH307" i="31"/>
  <c r="GW306" i="31"/>
  <c r="HC306" i="31" s="1"/>
  <c r="FA307" i="31" s="1"/>
  <c r="HB307" i="31" s="1"/>
  <c r="GY306" i="31"/>
  <c r="GX306" i="31"/>
  <c r="FM307" i="31"/>
  <c r="JH306" i="31"/>
  <c r="JI306" i="31" s="1"/>
  <c r="IT306" i="31"/>
  <c r="BJ307" i="31" l="1"/>
  <c r="JK306" i="31"/>
  <c r="JZ306" i="31" s="1"/>
  <c r="KF306" i="31" s="1"/>
  <c r="IQ307" i="31" s="1"/>
  <c r="EG306" i="31"/>
  <c r="EH307" i="31" s="1"/>
  <c r="EI307" i="31" s="1"/>
  <c r="FK307" i="31" s="1"/>
  <c r="HM306" i="31"/>
  <c r="EY306" i="31"/>
  <c r="HK307" i="31"/>
  <c r="BL307" i="31"/>
  <c r="BM307" i="31"/>
  <c r="JM306" i="31" l="1"/>
  <c r="KD306" i="31" s="1"/>
  <c r="IL307" i="31" s="1"/>
  <c r="IR307" i="31" s="1"/>
  <c r="EE306" i="31"/>
  <c r="EF307" i="31" s="1"/>
  <c r="EJ306" i="31"/>
  <c r="EK307" i="31" s="1"/>
  <c r="ED306" i="31"/>
  <c r="EB307" i="31" s="1"/>
  <c r="BN307" i="31"/>
  <c r="BO307" i="31"/>
  <c r="JN306" i="31"/>
  <c r="JV306" i="31" s="1"/>
  <c r="JF307" i="31" s="1"/>
  <c r="JL306" i="31"/>
  <c r="JJ307" i="31" s="1"/>
  <c r="KA307" i="31"/>
  <c r="EZ306" i="31"/>
  <c r="DG306" i="31"/>
  <c r="DH306" i="31" s="1"/>
  <c r="DI307" i="31" s="1"/>
  <c r="JO307" i="31" l="1"/>
  <c r="JE307" i="31"/>
  <c r="IP307" i="31"/>
  <c r="IO307" i="31"/>
  <c r="BP307" i="31"/>
  <c r="BQ307" i="31" s="1"/>
  <c r="HZ307" i="31"/>
  <c r="FC307" i="31"/>
  <c r="EO307" i="31"/>
  <c r="ES308" i="31" s="1"/>
  <c r="EL307" i="31"/>
  <c r="EP307" i="31"/>
  <c r="ET308" i="31" s="1"/>
  <c r="EV307" i="31"/>
  <c r="DP307" i="31"/>
  <c r="JW307" i="31"/>
  <c r="JY307" i="31"/>
  <c r="JA307" i="31"/>
  <c r="JC307" i="31"/>
  <c r="JD307" i="31"/>
  <c r="IY307" i="31"/>
  <c r="GZ307" i="31"/>
  <c r="IE307" i="31" s="1"/>
  <c r="DJ307" i="31"/>
  <c r="DK307" i="31" s="1"/>
  <c r="JP307" i="31" l="1"/>
  <c r="JQ307" i="31" s="1"/>
  <c r="FQ307" i="31"/>
  <c r="DX307" i="31"/>
  <c r="DM307" i="31"/>
  <c r="BR307" i="31"/>
  <c r="BS307" i="31"/>
  <c r="EC307" i="31"/>
  <c r="KG307" i="31"/>
  <c r="JX307" i="31"/>
  <c r="BT307" i="31" l="1"/>
  <c r="BU307" i="31"/>
  <c r="DL307" i="31"/>
  <c r="L308" i="31"/>
  <c r="EX307" i="31"/>
  <c r="M307" i="31" s="1"/>
  <c r="FB307" i="31"/>
  <c r="BV307" i="31" l="1"/>
  <c r="BW307" i="31" s="1"/>
  <c r="MB307" i="31"/>
  <c r="NM307" i="31" s="1"/>
  <c r="NN307" i="31" s="1"/>
  <c r="MJ307" i="31"/>
  <c r="NS307" i="31" s="1"/>
  <c r="BY307" i="31" l="1"/>
  <c r="BX307" i="31"/>
  <c r="NT307" i="31"/>
  <c r="OU308" i="31"/>
  <c r="OV308" i="31"/>
  <c r="NW307" i="31"/>
  <c r="BZ307" i="31" l="1"/>
  <c r="CA307" i="31"/>
  <c r="CC307" i="31" s="1"/>
  <c r="CD307" i="31" s="1"/>
  <c r="FV307" i="31"/>
  <c r="FR307" i="31"/>
  <c r="CX307" i="31"/>
  <c r="NU307" i="31"/>
  <c r="NX307" i="31"/>
  <c r="CE307" i="31" l="1"/>
  <c r="CG307" i="31" s="1"/>
  <c r="CB307" i="31"/>
  <c r="NV307" i="31"/>
  <c r="NY307" i="31"/>
  <c r="NZ307" i="31"/>
  <c r="MY307" i="31"/>
  <c r="CY308" i="31"/>
  <c r="OF307" i="31"/>
  <c r="OS308" i="31" s="1"/>
  <c r="CF307" i="31" l="1"/>
  <c r="MZ308" i="31"/>
  <c r="OZ307" i="31"/>
  <c r="CH307" i="31"/>
  <c r="CI307" i="31" s="1"/>
  <c r="OB307" i="31"/>
  <c r="OT308" i="31" s="1"/>
  <c r="OA307" i="31"/>
  <c r="MV308" i="31" s="1"/>
  <c r="OI307" i="31"/>
  <c r="NF308" i="31"/>
  <c r="OM308" i="31"/>
  <c r="OO308" i="31"/>
  <c r="CJ307" i="31" l="1"/>
  <c r="CO307" i="31" s="1"/>
  <c r="CK307" i="31"/>
  <c r="CL307" i="31" s="1"/>
  <c r="PA307" i="31"/>
  <c r="OJ307" i="31"/>
  <c r="OW307" i="31"/>
  <c r="MR308" i="31"/>
  <c r="OX308" i="31"/>
  <c r="OC307" i="31"/>
  <c r="OD308" i="31" s="1"/>
  <c r="OH308" i="31" s="1"/>
  <c r="KT308" i="31"/>
  <c r="OG308" i="31"/>
  <c r="CM307" i="31" l="1"/>
  <c r="CN307" i="31" s="1"/>
  <c r="CP307" i="31" s="1"/>
  <c r="KL308" i="31"/>
  <c r="KN309" i="31" s="1"/>
  <c r="KM308" i="31"/>
  <c r="KO309" i="31" s="1"/>
  <c r="OK308" i="31"/>
  <c r="MS308" i="31"/>
  <c r="MW308" i="31"/>
  <c r="OY308" i="31"/>
  <c r="NH309" i="31" l="1"/>
  <c r="NI309" i="31" s="1"/>
  <c r="MO308" i="31"/>
  <c r="MT308" i="31"/>
  <c r="MU308" i="31"/>
  <c r="NQ308" i="31"/>
  <c r="NJ308" i="31"/>
  <c r="NP308" i="31"/>
  <c r="PE308" i="31"/>
  <c r="FZ307" i="31"/>
  <c r="GA307" i="31" s="1"/>
  <c r="FU307" i="31"/>
  <c r="FW307" i="31" s="1"/>
  <c r="GB307" i="31"/>
  <c r="GC307" i="31" s="1"/>
  <c r="FP307" i="31"/>
  <c r="FS307" i="31" s="1"/>
  <c r="CQ307" i="31"/>
  <c r="FX307" i="31"/>
  <c r="FY307" i="31" s="1"/>
  <c r="FH307" i="31"/>
  <c r="FI307" i="31" s="1"/>
  <c r="HO307" i="31"/>
  <c r="JR307" i="31"/>
  <c r="JS307" i="31" s="1"/>
  <c r="FE307" i="31"/>
  <c r="FF307" i="31" s="1"/>
  <c r="DQ307" i="31"/>
  <c r="DR307" i="31" s="1"/>
  <c r="GO307" i="31"/>
  <c r="KX307" i="31"/>
  <c r="KU307" i="31"/>
  <c r="KP309" i="31"/>
  <c r="KR308" i="31"/>
  <c r="MX308" i="31"/>
  <c r="KQ308" i="31"/>
  <c r="GN307" i="31" l="1"/>
  <c r="GQ307" i="31" s="1"/>
  <c r="KS308" i="31"/>
  <c r="IA307" i="31"/>
  <c r="IB307" i="31" s="1"/>
  <c r="HP307" i="31"/>
  <c r="IZ307" i="31"/>
  <c r="NK308" i="31"/>
  <c r="NL308" i="31"/>
  <c r="NG309" i="31"/>
  <c r="OQ309" i="31"/>
  <c r="CR307" i="31"/>
  <c r="CT307" i="31"/>
  <c r="CS307" i="31"/>
  <c r="NR308" i="31"/>
  <c r="HY307" i="31"/>
  <c r="HA307" i="31"/>
  <c r="DY307" i="31"/>
  <c r="HU307" i="31"/>
  <c r="HV308" i="31" s="1"/>
  <c r="FJ308" i="31"/>
  <c r="NB308" i="31"/>
  <c r="NA308" i="31"/>
  <c r="DS307" i="31"/>
  <c r="AX307" i="31" s="1"/>
  <c r="AY308" i="31" s="1"/>
  <c r="FG308" i="31"/>
  <c r="HW307" i="31"/>
  <c r="HX308" i="31" s="1"/>
  <c r="JU307" i="31"/>
  <c r="KE307" i="31"/>
  <c r="KC307" i="31"/>
  <c r="JT308" i="31"/>
  <c r="KV307" i="31" l="1"/>
  <c r="KW308" i="31" s="1"/>
  <c r="HQ307" i="31"/>
  <c r="HR308" i="31" s="1"/>
  <c r="NC309" i="31"/>
  <c r="MQ309" i="31"/>
  <c r="EM307" i="31"/>
  <c r="EW307" i="31" s="1"/>
  <c r="EN307" i="31"/>
  <c r="AZ307" i="31"/>
  <c r="HT307" i="31"/>
  <c r="HS307" i="31"/>
  <c r="JG307" i="31" s="1"/>
  <c r="OR309" i="31"/>
  <c r="IC307" i="31" l="1"/>
  <c r="ID307" i="31" s="1"/>
  <c r="IF307" i="31" s="1"/>
  <c r="KH307" i="31" s="1"/>
  <c r="JB307" i="31"/>
  <c r="BB308" i="31"/>
  <c r="IW307" i="31"/>
  <c r="EQ307" i="31"/>
  <c r="DW307" i="31"/>
  <c r="DU308" i="31" s="1"/>
  <c r="ER308" i="31"/>
  <c r="IU307" i="31"/>
  <c r="IV307" i="31" s="1"/>
  <c r="BC308" i="31" l="1"/>
  <c r="KK307" i="31"/>
  <c r="KB307" i="31"/>
  <c r="IX307" i="31"/>
  <c r="GM307" i="31"/>
  <c r="DB307" i="31"/>
  <c r="DC307" i="31" s="1"/>
  <c r="DD308" i="31" s="1"/>
  <c r="DE309" i="31" s="1"/>
  <c r="IM307" i="31"/>
  <c r="KI308" i="31"/>
  <c r="IN307" i="31"/>
  <c r="DF307" i="31"/>
  <c r="EU308" i="31"/>
  <c r="GT309" i="31" l="1"/>
  <c r="KJ308" i="31"/>
  <c r="FD307" i="31"/>
  <c r="GU307" i="31"/>
  <c r="GV307" i="31"/>
  <c r="DT307" i="31"/>
  <c r="DZ307" i="31" s="1"/>
  <c r="GR307" i="31"/>
  <c r="BD308" i="31"/>
  <c r="BE308" i="31"/>
  <c r="BG308" i="31" l="1"/>
  <c r="BF308" i="31"/>
  <c r="IS307" i="31"/>
  <c r="FL308" i="31"/>
  <c r="GS307" i="31"/>
  <c r="GX307" i="31" l="1"/>
  <c r="GY307" i="31"/>
  <c r="GW307" i="31"/>
  <c r="HC307" i="31" s="1"/>
  <c r="FA308" i="31" s="1"/>
  <c r="HB308" i="31" s="1"/>
  <c r="FM308" i="31"/>
  <c r="JH307" i="31"/>
  <c r="JI307" i="31" s="1"/>
  <c r="IT307" i="31"/>
  <c r="BI308" i="31"/>
  <c r="BK308" i="31" s="1"/>
  <c r="BH308" i="31"/>
  <c r="BJ308" i="31" l="1"/>
  <c r="JK307" i="31"/>
  <c r="JN307" i="31" s="1"/>
  <c r="JV307" i="31" s="1"/>
  <c r="JF308" i="31" s="1"/>
  <c r="BL308" i="31"/>
  <c r="BM308" i="31"/>
  <c r="EG307" i="31"/>
  <c r="EH308" i="31" s="1"/>
  <c r="EI308" i="31" s="1"/>
  <c r="FK308" i="31" s="1"/>
  <c r="HM307" i="31"/>
  <c r="EY307" i="31"/>
  <c r="HK308" i="31"/>
  <c r="JM307" i="31" l="1"/>
  <c r="KD307" i="31" s="1"/>
  <c r="IL308" i="31" s="1"/>
  <c r="JY308" i="31"/>
  <c r="JW308" i="31"/>
  <c r="EZ307" i="31"/>
  <c r="DG307" i="31"/>
  <c r="DH307" i="31" s="1"/>
  <c r="DI308" i="31" s="1"/>
  <c r="BO308" i="31"/>
  <c r="BN308" i="31"/>
  <c r="JZ307" i="31"/>
  <c r="KF307" i="31" s="1"/>
  <c r="IQ308" i="31" s="1"/>
  <c r="JL307" i="31"/>
  <c r="JJ308" i="31" s="1"/>
  <c r="KA308" i="31"/>
  <c r="EE307" i="31"/>
  <c r="EF308" i="31" s="1"/>
  <c r="ED307" i="31"/>
  <c r="EB308" i="31" s="1"/>
  <c r="EJ307" i="31"/>
  <c r="EK308" i="31" s="1"/>
  <c r="JO308" i="31" l="1"/>
  <c r="IP308" i="31"/>
  <c r="IO308" i="31"/>
  <c r="JC308" i="31"/>
  <c r="JD308" i="31"/>
  <c r="EP308" i="31"/>
  <c r="ET309" i="31" s="1"/>
  <c r="EL308" i="31"/>
  <c r="EO308" i="31"/>
  <c r="ES309" i="31" s="1"/>
  <c r="FC308" i="31"/>
  <c r="EV308" i="31"/>
  <c r="BP308" i="31"/>
  <c r="BQ308" i="31" s="1"/>
  <c r="GZ308" i="31"/>
  <c r="IE308" i="31" s="1"/>
  <c r="DJ308" i="31"/>
  <c r="DK308" i="31" s="1"/>
  <c r="DP308" i="31"/>
  <c r="HZ308" i="31"/>
  <c r="JA308" i="31"/>
  <c r="IY308" i="31"/>
  <c r="JE308" i="31"/>
  <c r="IR308" i="31"/>
  <c r="JP308" i="31" l="1"/>
  <c r="JQ308" i="31" s="1"/>
  <c r="KG308" i="31"/>
  <c r="BR308" i="31"/>
  <c r="BS308" i="31"/>
  <c r="JX308" i="31"/>
  <c r="DX308" i="31"/>
  <c r="DM308" i="31"/>
  <c r="FQ308" i="31"/>
  <c r="EC308" i="31"/>
  <c r="BT308" i="31" l="1"/>
  <c r="BU308" i="31"/>
  <c r="BV308" i="31" s="1"/>
  <c r="BW308" i="31" s="1"/>
  <c r="EX308" i="31"/>
  <c r="M308" i="31" s="1"/>
  <c r="FB308" i="31"/>
  <c r="DL308" i="31"/>
  <c r="L309" i="31"/>
  <c r="BX308" i="31" l="1"/>
  <c r="BY308" i="31"/>
  <c r="BZ308" i="31" s="1"/>
  <c r="MJ308" i="31"/>
  <c r="NS308" i="31" s="1"/>
  <c r="MB308" i="31"/>
  <c r="NM308" i="31" s="1"/>
  <c r="NN308" i="31" s="1"/>
  <c r="CA308" i="31" l="1"/>
  <c r="CC308" i="31" s="1"/>
  <c r="CD308" i="31" s="1"/>
  <c r="OV309" i="31"/>
  <c r="NW308" i="31"/>
  <c r="NT308" i="31"/>
  <c r="OU309" i="31"/>
  <c r="CE308" i="31" l="1"/>
  <c r="CG308" i="31" s="1"/>
  <c r="CB308" i="31"/>
  <c r="NX308" i="31"/>
  <c r="FV308" i="31"/>
  <c r="FR308" i="31"/>
  <c r="CX308" i="31"/>
  <c r="NU308" i="31"/>
  <c r="CF308" i="31" l="1"/>
  <c r="NY308" i="31"/>
  <c r="OF308" i="31"/>
  <c r="OS309" i="31" s="1"/>
  <c r="NZ308" i="31"/>
  <c r="MY308" i="31"/>
  <c r="CY309" i="31"/>
  <c r="NV308" i="31"/>
  <c r="CH308" i="31"/>
  <c r="CI308" i="31" s="1"/>
  <c r="CJ308" i="31" l="1"/>
  <c r="CO308" i="31" s="1"/>
  <c r="CK308" i="31"/>
  <c r="CL308" i="31" s="1"/>
  <c r="MZ309" i="31"/>
  <c r="OZ308" i="31"/>
  <c r="OB308" i="31"/>
  <c r="OT309" i="31" s="1"/>
  <c r="OA308" i="31"/>
  <c r="MV309" i="31" s="1"/>
  <c r="OM309" i="31"/>
  <c r="OO309" i="31"/>
  <c r="NF309" i="31"/>
  <c r="OI308" i="31"/>
  <c r="CM308" i="31" l="1"/>
  <c r="CN308" i="31" s="1"/>
  <c r="CP308" i="31" s="1"/>
  <c r="PA308" i="31"/>
  <c r="OJ308" i="31"/>
  <c r="MR309" i="31"/>
  <c r="OW308" i="31"/>
  <c r="OX309" i="31"/>
  <c r="OC308" i="31"/>
  <c r="OD309" i="31" s="1"/>
  <c r="OH309" i="31" s="1"/>
  <c r="OG309" i="31"/>
  <c r="KT309" i="31"/>
  <c r="OK309" i="31" l="1"/>
  <c r="FZ308" i="31"/>
  <c r="GA308" i="31" s="1"/>
  <c r="FX308" i="31"/>
  <c r="FY308" i="31" s="1"/>
  <c r="GB308" i="31"/>
  <c r="GC308" i="31" s="1"/>
  <c r="CQ308" i="31"/>
  <c r="FP308" i="31"/>
  <c r="FS308" i="31" s="1"/>
  <c r="FU308" i="31"/>
  <c r="FW308" i="31" s="1"/>
  <c r="FH308" i="31"/>
  <c r="FI308" i="31" s="1"/>
  <c r="DQ308" i="31"/>
  <c r="DR308" i="31" s="1"/>
  <c r="DS308" i="31" s="1"/>
  <c r="AX308" i="31" s="1"/>
  <c r="AY309" i="31" s="1"/>
  <c r="HO308" i="31"/>
  <c r="FE308" i="31"/>
  <c r="FF308" i="31" s="1"/>
  <c r="JR308" i="31"/>
  <c r="JS308" i="31" s="1"/>
  <c r="GO308" i="31"/>
  <c r="KX308" i="31"/>
  <c r="GN308" i="31" s="1"/>
  <c r="KU308" i="31"/>
  <c r="OY309" i="31"/>
  <c r="MW309" i="31"/>
  <c r="MS309" i="31"/>
  <c r="KL309" i="31"/>
  <c r="KN310" i="31" s="1"/>
  <c r="KM309" i="31"/>
  <c r="KO310" i="31" s="1"/>
  <c r="KP310" i="31" l="1"/>
  <c r="KR309" i="31"/>
  <c r="HA308" i="31"/>
  <c r="DY308" i="31"/>
  <c r="HY308" i="31"/>
  <c r="HU308" i="31"/>
  <c r="HV309" i="31" s="1"/>
  <c r="FJ309" i="31"/>
  <c r="CS308" i="31"/>
  <c r="CT308" i="31"/>
  <c r="CR308" i="31"/>
  <c r="KQ309" i="31"/>
  <c r="JU308" i="31"/>
  <c r="KC308" i="31"/>
  <c r="JT309" i="31"/>
  <c r="KE308" i="31"/>
  <c r="GQ308" i="31"/>
  <c r="KV308" i="31"/>
  <c r="FG309" i="31"/>
  <c r="HW308" i="31"/>
  <c r="HX309" i="31" s="1"/>
  <c r="AZ308" i="31"/>
  <c r="EM308" i="31"/>
  <c r="EW308" i="31" s="1"/>
  <c r="EN308" i="31"/>
  <c r="NP309" i="31"/>
  <c r="NJ309" i="31"/>
  <c r="MT309" i="31"/>
  <c r="NQ309" i="31"/>
  <c r="NH310" i="31"/>
  <c r="NI310" i="31" s="1"/>
  <c r="MU309" i="31"/>
  <c r="MO309" i="31"/>
  <c r="PE309" i="31"/>
  <c r="MX309" i="31"/>
  <c r="IA308" i="31"/>
  <c r="IB308" i="31" s="1"/>
  <c r="HP308" i="31"/>
  <c r="IZ308" i="31"/>
  <c r="KW309" i="31" l="1"/>
  <c r="HQ308" i="31"/>
  <c r="HR309" i="31" s="1"/>
  <c r="KS309" i="31"/>
  <c r="NR309" i="31"/>
  <c r="HT308" i="31"/>
  <c r="HS308" i="31"/>
  <c r="JG308" i="31" s="1"/>
  <c r="NB309" i="31"/>
  <c r="NA309" i="31"/>
  <c r="BB309" i="31"/>
  <c r="DW308" i="31"/>
  <c r="DU309" i="31" s="1"/>
  <c r="EQ308" i="31"/>
  <c r="IW308" i="31"/>
  <c r="ER309" i="31"/>
  <c r="IU308" i="31"/>
  <c r="IV308" i="31" s="1"/>
  <c r="NK309" i="31"/>
  <c r="NL309" i="31"/>
  <c r="NG310" i="31"/>
  <c r="OQ310" i="31"/>
  <c r="NC310" i="31" l="1"/>
  <c r="MQ310" i="31"/>
  <c r="BC309" i="31"/>
  <c r="EU309" i="31"/>
  <c r="OR310" i="31"/>
  <c r="IC308" i="31"/>
  <c r="ID308" i="31" s="1"/>
  <c r="IF308" i="31" s="1"/>
  <c r="KH308" i="31" s="1"/>
  <c r="JB308" i="31"/>
  <c r="KK308" i="31"/>
  <c r="KB308" i="31"/>
  <c r="IX308" i="31"/>
  <c r="BE309" i="31" l="1"/>
  <c r="BD309" i="31"/>
  <c r="DF308" i="31"/>
  <c r="GM308" i="31"/>
  <c r="DB308" i="31"/>
  <c r="DC308" i="31" s="1"/>
  <c r="DD309" i="31" s="1"/>
  <c r="DE310" i="31" s="1"/>
  <c r="IM308" i="31"/>
  <c r="KI309" i="31"/>
  <c r="IN308" i="31"/>
  <c r="GT310" i="31" l="1"/>
  <c r="GR308" i="31"/>
  <c r="KJ309" i="31"/>
  <c r="FD308" i="31"/>
  <c r="GU308" i="31"/>
  <c r="GV308" i="31"/>
  <c r="DT308" i="31"/>
  <c r="DZ308" i="31" s="1"/>
  <c r="BF309" i="31"/>
  <c r="BG309" i="31"/>
  <c r="IS308" i="31" l="1"/>
  <c r="FL309" i="31"/>
  <c r="GS308" i="31"/>
  <c r="BH309" i="31"/>
  <c r="BI309" i="31"/>
  <c r="BK309" i="31" s="1"/>
  <c r="BL309" i="31" l="1"/>
  <c r="BM309" i="31"/>
  <c r="FM309" i="31"/>
  <c r="GX308" i="31"/>
  <c r="GW308" i="31"/>
  <c r="HC308" i="31" s="1"/>
  <c r="FA309" i="31" s="1"/>
  <c r="HB309" i="31" s="1"/>
  <c r="GY308" i="31"/>
  <c r="BJ309" i="31"/>
  <c r="JH308" i="31"/>
  <c r="JI308" i="31" s="1"/>
  <c r="IT308" i="31"/>
  <c r="HM308" i="31" l="1"/>
  <c r="EG308" i="31"/>
  <c r="EH309" i="31" s="1"/>
  <c r="EI309" i="31" s="1"/>
  <c r="FK309" i="31" s="1"/>
  <c r="EY308" i="31"/>
  <c r="HK309" i="31"/>
  <c r="BN309" i="31"/>
  <c r="BO309" i="31"/>
  <c r="JK308" i="31"/>
  <c r="JN308" i="31" s="1"/>
  <c r="JV308" i="31" s="1"/>
  <c r="JF309" i="31" s="1"/>
  <c r="JM308" i="31" l="1"/>
  <c r="KD308" i="31" s="1"/>
  <c r="IL309" i="31" s="1"/>
  <c r="JZ308" i="31"/>
  <c r="KF308" i="31" s="1"/>
  <c r="IQ309" i="31" s="1"/>
  <c r="JL308" i="31"/>
  <c r="JJ309" i="31" s="1"/>
  <c r="KA309" i="31"/>
  <c r="JY309" i="31"/>
  <c r="JW309" i="31"/>
  <c r="BP309" i="31"/>
  <c r="BQ309" i="31" s="1"/>
  <c r="EZ308" i="31"/>
  <c r="DG308" i="31"/>
  <c r="DH308" i="31" s="1"/>
  <c r="DI309" i="31" s="1"/>
  <c r="EE308" i="31"/>
  <c r="EF309" i="31" s="1"/>
  <c r="ED308" i="31"/>
  <c r="EB309" i="31" s="1"/>
  <c r="EJ308" i="31"/>
  <c r="EK309" i="31" s="1"/>
  <c r="JC309" i="31" l="1"/>
  <c r="JD309" i="31"/>
  <c r="FC309" i="31"/>
  <c r="EL309" i="31"/>
  <c r="EO309" i="31"/>
  <c r="ES310" i="31" s="1"/>
  <c r="EP309" i="31"/>
  <c r="ET310" i="31" s="1"/>
  <c r="EV309" i="31"/>
  <c r="GZ309" i="31"/>
  <c r="IE309" i="31" s="1"/>
  <c r="DJ309" i="31"/>
  <c r="DK309" i="31" s="1"/>
  <c r="HZ309" i="31"/>
  <c r="DP309" i="31"/>
  <c r="BR309" i="31"/>
  <c r="BS309" i="31"/>
  <c r="IP309" i="31"/>
  <c r="IY309" i="31"/>
  <c r="IR309" i="31"/>
  <c r="JE309" i="31"/>
  <c r="JA309" i="31"/>
  <c r="JO309" i="31"/>
  <c r="IO309" i="31"/>
  <c r="KG309" i="31" l="1"/>
  <c r="DM309" i="31"/>
  <c r="FQ309" i="31"/>
  <c r="DX309" i="31"/>
  <c r="JX309" i="31"/>
  <c r="JP309" i="31"/>
  <c r="JQ309" i="31" s="1"/>
  <c r="EC309" i="31"/>
  <c r="BT309" i="31"/>
  <c r="BU309" i="31"/>
  <c r="BV309" i="31" l="1"/>
  <c r="BW309" i="31" s="1"/>
  <c r="EX309" i="31"/>
  <c r="M309" i="31" s="1"/>
  <c r="FB309" i="31"/>
  <c r="DL309" i="31"/>
  <c r="L310" i="31"/>
  <c r="BY309" i="31" l="1"/>
  <c r="BX309" i="31"/>
  <c r="MB309" i="31"/>
  <c r="NM309" i="31" s="1"/>
  <c r="NN309" i="31" s="1"/>
  <c r="MJ309" i="31"/>
  <c r="NS309" i="31" s="1"/>
  <c r="BZ309" i="31" l="1"/>
  <c r="CA309" i="31"/>
  <c r="CC309" i="31" s="1"/>
  <c r="CD309" i="31" s="1"/>
  <c r="NT309" i="31"/>
  <c r="OU310" i="31"/>
  <c r="OV310" i="31"/>
  <c r="NW309" i="31"/>
  <c r="CB309" i="31" l="1"/>
  <c r="CE309" i="31"/>
  <c r="CG309" i="31" s="1"/>
  <c r="NX309" i="31"/>
  <c r="FR309" i="31"/>
  <c r="CX309" i="31"/>
  <c r="FV309" i="31"/>
  <c r="NU309" i="31"/>
  <c r="CF309" i="31" l="1"/>
  <c r="MY309" i="31"/>
  <c r="NZ309" i="31"/>
  <c r="CY310" i="31"/>
  <c r="CH309" i="31"/>
  <c r="CI309" i="31" s="1"/>
  <c r="NV309" i="31"/>
  <c r="NY309" i="31"/>
  <c r="OF309" i="31"/>
  <c r="OS310" i="31" s="1"/>
  <c r="CJ309" i="31" l="1"/>
  <c r="CO309" i="31" s="1"/>
  <c r="CK309" i="31"/>
  <c r="CL309" i="31" s="1"/>
  <c r="OO310" i="31"/>
  <c r="OM310" i="31"/>
  <c r="NF310" i="31"/>
  <c r="OB309" i="31"/>
  <c r="OT310" i="31" s="1"/>
  <c r="MZ310" i="31"/>
  <c r="OZ309" i="31"/>
  <c r="OA309" i="31"/>
  <c r="MV310" i="31" s="1"/>
  <c r="OI309" i="31"/>
  <c r="CM309" i="31" l="1"/>
  <c r="CN309" i="31" s="1"/>
  <c r="CP309" i="31" s="1"/>
  <c r="PA309" i="31"/>
  <c r="OJ309" i="31"/>
  <c r="MW310" i="31" s="1"/>
  <c r="OC309" i="31"/>
  <c r="OD310" i="31" s="1"/>
  <c r="OH310" i="31" s="1"/>
  <c r="OW309" i="31"/>
  <c r="MR310" i="31"/>
  <c r="OX310" i="31"/>
  <c r="OG310" i="31"/>
  <c r="KT310" i="31"/>
  <c r="OY310" i="31" l="1"/>
  <c r="OK310" i="31"/>
  <c r="KL310" i="31"/>
  <c r="KN311" i="31" s="1"/>
  <c r="KM310" i="31"/>
  <c r="KO311" i="31" s="1"/>
  <c r="MX310" i="31"/>
  <c r="MS310" i="31"/>
  <c r="FX309" i="31"/>
  <c r="FY309" i="31" s="1"/>
  <c r="FH309" i="31"/>
  <c r="FI309" i="31" s="1"/>
  <c r="FU309" i="31"/>
  <c r="FW309" i="31" s="1"/>
  <c r="FZ309" i="31"/>
  <c r="GA309" i="31" s="1"/>
  <c r="GO309" i="31"/>
  <c r="DQ309" i="31"/>
  <c r="DR309" i="31" s="1"/>
  <c r="FE309" i="31"/>
  <c r="FF309" i="31" s="1"/>
  <c r="JR309" i="31"/>
  <c r="JS309" i="31" s="1"/>
  <c r="FP309" i="31"/>
  <c r="FS309" i="31" s="1"/>
  <c r="HO309" i="31"/>
  <c r="CQ309" i="31"/>
  <c r="GB309" i="31"/>
  <c r="GC309" i="31" s="1"/>
  <c r="KX309" i="31"/>
  <c r="KU309" i="31"/>
  <c r="GN309" i="31" l="1"/>
  <c r="KV309" i="31" s="1"/>
  <c r="DS309" i="31"/>
  <c r="AX309" i="31" s="1"/>
  <c r="AY310" i="31" s="1"/>
  <c r="CR309" i="31"/>
  <c r="CT309" i="31"/>
  <c r="CS309" i="31"/>
  <c r="NB310" i="31"/>
  <c r="NA310" i="31"/>
  <c r="DY309" i="31"/>
  <c r="HY309" i="31"/>
  <c r="HA309" i="31"/>
  <c r="JU309" i="31"/>
  <c r="KC309" i="31"/>
  <c r="KE309" i="31"/>
  <c r="JT310" i="31"/>
  <c r="KP311" i="31"/>
  <c r="KR310" i="31"/>
  <c r="NP310" i="31"/>
  <c r="MT310" i="31"/>
  <c r="NQ310" i="31"/>
  <c r="NJ310" i="31"/>
  <c r="NH311" i="31"/>
  <c r="NI311" i="31" s="1"/>
  <c r="MU310" i="31"/>
  <c r="MO310" i="31"/>
  <c r="PE310" i="31"/>
  <c r="IA309" i="31"/>
  <c r="IB309" i="31" s="1"/>
  <c r="HP309" i="31"/>
  <c r="IZ309" i="31"/>
  <c r="HU309" i="31"/>
  <c r="HV310" i="31" s="1"/>
  <c r="FJ310" i="31"/>
  <c r="HW309" i="31"/>
  <c r="HX310" i="31" s="1"/>
  <c r="FG310" i="31"/>
  <c r="KQ310" i="31"/>
  <c r="GQ309" i="31" l="1"/>
  <c r="KS310" i="31"/>
  <c r="KW310" i="31"/>
  <c r="HQ309" i="31"/>
  <c r="HR310" i="31" s="1"/>
  <c r="NR310" i="31"/>
  <c r="HT309" i="31"/>
  <c r="HS309" i="31"/>
  <c r="JG309" i="31" s="1"/>
  <c r="NL310" i="31"/>
  <c r="NK310" i="31"/>
  <c r="NG311" i="31"/>
  <c r="OQ311" i="31"/>
  <c r="AZ309" i="31"/>
  <c r="EN309" i="31"/>
  <c r="EM309" i="31"/>
  <c r="EW309" i="31" s="1"/>
  <c r="NC311" i="31" l="1"/>
  <c r="MQ311" i="31"/>
  <c r="BB310" i="31"/>
  <c r="DW309" i="31"/>
  <c r="DU310" i="31" s="1"/>
  <c r="IW309" i="31"/>
  <c r="EQ309" i="31"/>
  <c r="ER310" i="31"/>
  <c r="IU309" i="31"/>
  <c r="IV309" i="31" s="1"/>
  <c r="OR311" i="31"/>
  <c r="IC309" i="31"/>
  <c r="ID309" i="31" s="1"/>
  <c r="IF309" i="31" s="1"/>
  <c r="KH309" i="31" s="1"/>
  <c r="JB309" i="31"/>
  <c r="BC310" i="31" l="1"/>
  <c r="KB309" i="31"/>
  <c r="IX309" i="31"/>
  <c r="KK309" i="31"/>
  <c r="EU310" i="31"/>
  <c r="IM309" i="31"/>
  <c r="GM309" i="31"/>
  <c r="DB309" i="31"/>
  <c r="DC309" i="31" s="1"/>
  <c r="DD310" i="31" s="1"/>
  <c r="DE311" i="31" s="1"/>
  <c r="KI310" i="31"/>
  <c r="IN309" i="31"/>
  <c r="DF309" i="31"/>
  <c r="GT311" i="31" l="1"/>
  <c r="DT309" i="31"/>
  <c r="DZ309" i="31" s="1"/>
  <c r="GU309" i="31"/>
  <c r="FD309" i="31"/>
  <c r="GV309" i="31"/>
  <c r="KJ310" i="31"/>
  <c r="GR309" i="31"/>
  <c r="BE310" i="31"/>
  <c r="BD310" i="31"/>
  <c r="GS309" i="31" l="1"/>
  <c r="BF310" i="31"/>
  <c r="BG310" i="31"/>
  <c r="IS309" i="31"/>
  <c r="FL310" i="31"/>
  <c r="JH309" i="31" l="1"/>
  <c r="JI309" i="31" s="1"/>
  <c r="IT309" i="31"/>
  <c r="BH310" i="31"/>
  <c r="BI310" i="31"/>
  <c r="BK310" i="31" s="1"/>
  <c r="FM310" i="31"/>
  <c r="GW309" i="31"/>
  <c r="HC309" i="31" s="1"/>
  <c r="FA310" i="31" s="1"/>
  <c r="HB310" i="31" s="1"/>
  <c r="GY309" i="31"/>
  <c r="GX309" i="31"/>
  <c r="HM309" i="31" l="1"/>
  <c r="EY309" i="31"/>
  <c r="EG309" i="31"/>
  <c r="EH310" i="31" s="1"/>
  <c r="EI310" i="31" s="1"/>
  <c r="FK310" i="31" s="1"/>
  <c r="HK310" i="31"/>
  <c r="BL310" i="31"/>
  <c r="BM310" i="31"/>
  <c r="BJ310" i="31"/>
  <c r="JK309" i="31"/>
  <c r="JN309" i="31" s="1"/>
  <c r="JV309" i="31" s="1"/>
  <c r="JF310" i="31" s="1"/>
  <c r="JM309" i="31" l="1"/>
  <c r="KD309" i="31" s="1"/>
  <c r="IL310" i="31" s="1"/>
  <c r="JW310" i="31"/>
  <c r="JY310" i="31"/>
  <c r="BN310" i="31"/>
  <c r="BO310" i="31"/>
  <c r="JZ309" i="31"/>
  <c r="KF309" i="31" s="1"/>
  <c r="IQ310" i="31" s="1"/>
  <c r="JL309" i="31"/>
  <c r="JJ310" i="31" s="1"/>
  <c r="KA310" i="31"/>
  <c r="EZ309" i="31"/>
  <c r="DG309" i="31"/>
  <c r="DH309" i="31" s="1"/>
  <c r="DI310" i="31" s="1"/>
  <c r="EE309" i="31"/>
  <c r="EF310" i="31" s="1"/>
  <c r="ED309" i="31"/>
  <c r="EB310" i="31" s="1"/>
  <c r="EJ309" i="31"/>
  <c r="EK310" i="31" s="1"/>
  <c r="IO310" i="31" l="1"/>
  <c r="IP310" i="31"/>
  <c r="DP310" i="31"/>
  <c r="HZ310" i="31"/>
  <c r="IR310" i="31"/>
  <c r="JE310" i="31"/>
  <c r="JA310" i="31"/>
  <c r="IY310" i="31"/>
  <c r="JO310" i="31"/>
  <c r="JC310" i="31"/>
  <c r="JD310" i="31"/>
  <c r="EO310" i="31"/>
  <c r="ES311" i="31" s="1"/>
  <c r="FC310" i="31"/>
  <c r="EP310" i="31"/>
  <c r="ET311" i="31" s="1"/>
  <c r="EL310" i="31"/>
  <c r="EV310" i="31"/>
  <c r="BP310" i="31"/>
  <c r="BQ310" i="31" s="1"/>
  <c r="GZ310" i="31"/>
  <c r="IE310" i="31" s="1"/>
  <c r="DJ310" i="31"/>
  <c r="DK310" i="31" s="1"/>
  <c r="JP310" i="31" l="1"/>
  <c r="JQ310" i="31" s="1"/>
  <c r="KG310" i="31"/>
  <c r="FQ310" i="31"/>
  <c r="DX310" i="31"/>
  <c r="DM310" i="31"/>
  <c r="EC310" i="31"/>
  <c r="BR310" i="31"/>
  <c r="BS310" i="31"/>
  <c r="JX310" i="31"/>
  <c r="EX310" i="31" l="1"/>
  <c r="M310" i="31" s="1"/>
  <c r="FB310" i="31"/>
  <c r="DL310" i="31"/>
  <c r="L311" i="31"/>
  <c r="BT310" i="31"/>
  <c r="BU310" i="31"/>
  <c r="BV310" i="31" l="1"/>
  <c r="BW310" i="31" s="1"/>
  <c r="MB310" i="31"/>
  <c r="MJ310" i="31"/>
  <c r="NS310" i="31" s="1"/>
  <c r="NM310" i="31" l="1"/>
  <c r="NN310" i="31" s="1"/>
  <c r="BY310" i="31"/>
  <c r="CA310" i="31" s="1"/>
  <c r="CC310" i="31" s="1"/>
  <c r="BX310" i="31"/>
  <c r="NT310" i="31"/>
  <c r="OU311" i="31"/>
  <c r="BZ310" i="31" l="1"/>
  <c r="OV311" i="31"/>
  <c r="NW310" i="31"/>
  <c r="NX310" i="31" s="1"/>
  <c r="OF310" i="31" s="1"/>
  <c r="OS311" i="31" s="1"/>
  <c r="FR310" i="31"/>
  <c r="FV310" i="31"/>
  <c r="CX310" i="31"/>
  <c r="NU310" i="31"/>
  <c r="CD310" i="31"/>
  <c r="CE310" i="31"/>
  <c r="CB310" i="31"/>
  <c r="NZ310" i="31" l="1"/>
  <c r="MY310" i="31"/>
  <c r="CY311" i="31"/>
  <c r="NV310" i="31"/>
  <c r="NY310" i="31"/>
  <c r="CF310" i="31"/>
  <c r="CG310" i="31"/>
  <c r="OI310" i="31" l="1"/>
  <c r="OW310" i="31"/>
  <c r="OX311" i="31"/>
  <c r="MR311" i="31"/>
  <c r="NF311" i="31"/>
  <c r="OM311" i="31"/>
  <c r="OO311" i="31"/>
  <c r="OB310" i="31"/>
  <c r="OT311" i="31" s="1"/>
  <c r="OA310" i="31"/>
  <c r="MV311" i="31" s="1"/>
  <c r="OG311" i="31" s="1"/>
  <c r="CH310" i="31"/>
  <c r="CI310" i="31" s="1"/>
  <c r="MZ311" i="31"/>
  <c r="OZ310" i="31"/>
  <c r="CJ310" i="31" l="1"/>
  <c r="CO310" i="31" s="1"/>
  <c r="CK310" i="31"/>
  <c r="CM310" i="31" s="1"/>
  <c r="CN310" i="31" s="1"/>
  <c r="KT311" i="31"/>
  <c r="KL311" i="31" s="1"/>
  <c r="KN312" i="31" s="1"/>
  <c r="KM311" i="31"/>
  <c r="KO312" i="31" s="1"/>
  <c r="PA310" i="31"/>
  <c r="MS311" i="31"/>
  <c r="OJ310" i="31"/>
  <c r="OC310" i="31"/>
  <c r="OD311" i="31" s="1"/>
  <c r="OH311" i="31" s="1"/>
  <c r="OK311" i="31" s="1"/>
  <c r="CL310" i="31" l="1"/>
  <c r="CP310" i="31" s="1"/>
  <c r="GO310" i="31" s="1"/>
  <c r="MU311" i="31"/>
  <c r="NJ311" i="31"/>
  <c r="NH312" i="31"/>
  <c r="NI312" i="31" s="1"/>
  <c r="MO311" i="31"/>
  <c r="NQ311" i="31"/>
  <c r="MT311" i="31"/>
  <c r="NP311" i="31"/>
  <c r="PE311" i="31"/>
  <c r="KP312" i="31"/>
  <c r="KR311" i="31"/>
  <c r="KQ311" i="31"/>
  <c r="OY311" i="31"/>
  <c r="MW311" i="31"/>
  <c r="FU310" i="31" l="1"/>
  <c r="FW310" i="31" s="1"/>
  <c r="FX310" i="31"/>
  <c r="FY310" i="31" s="1"/>
  <c r="FH310" i="31"/>
  <c r="FI310" i="31" s="1"/>
  <c r="HU310" i="31" s="1"/>
  <c r="HV311" i="31" s="1"/>
  <c r="JR310" i="31"/>
  <c r="JS310" i="31" s="1"/>
  <c r="JU310" i="31" s="1"/>
  <c r="HO310" i="31"/>
  <c r="HP310" i="31" s="1"/>
  <c r="CQ310" i="31"/>
  <c r="CT310" i="31" s="1"/>
  <c r="FP310" i="31"/>
  <c r="FS310" i="31" s="1"/>
  <c r="HY310" i="31" s="1"/>
  <c r="KU310" i="31"/>
  <c r="FZ310" i="31"/>
  <c r="GA310" i="31" s="1"/>
  <c r="GB310" i="31"/>
  <c r="GC310" i="31" s="1"/>
  <c r="KX310" i="31"/>
  <c r="FE310" i="31"/>
  <c r="FF310" i="31" s="1"/>
  <c r="FG311" i="31" s="1"/>
  <c r="DQ310" i="31"/>
  <c r="DR310" i="31" s="1"/>
  <c r="DS310" i="31" s="1"/>
  <c r="AX310" i="31" s="1"/>
  <c r="AY311" i="31" s="1"/>
  <c r="NL311" i="31"/>
  <c r="NK311" i="31"/>
  <c r="NG312" i="31"/>
  <c r="OQ312" i="31"/>
  <c r="KS311" i="31"/>
  <c r="NR311" i="31"/>
  <c r="MX311" i="31"/>
  <c r="FJ311" i="31"/>
  <c r="GN310" i="31" l="1"/>
  <c r="GQ310" i="31" s="1"/>
  <c r="IZ310" i="31"/>
  <c r="IA310" i="31"/>
  <c r="IB310" i="31" s="1"/>
  <c r="KE310" i="31"/>
  <c r="JT311" i="31"/>
  <c r="CR310" i="31"/>
  <c r="CS310" i="31"/>
  <c r="HW310" i="31"/>
  <c r="HX311" i="31" s="1"/>
  <c r="DY310" i="31"/>
  <c r="HA310" i="31"/>
  <c r="KC310" i="31"/>
  <c r="NC312" i="31"/>
  <c r="MQ312" i="31"/>
  <c r="EN310" i="31"/>
  <c r="EM310" i="31"/>
  <c r="EW310" i="31" s="1"/>
  <c r="AZ310" i="31"/>
  <c r="OR312" i="31"/>
  <c r="NB311" i="31"/>
  <c r="NA311" i="31"/>
  <c r="HT310" i="31"/>
  <c r="HS310" i="31"/>
  <c r="JG310" i="31" s="1"/>
  <c r="KV310" i="31" l="1"/>
  <c r="KW311" i="31" s="1"/>
  <c r="HQ310" i="31"/>
  <c r="HR311" i="31" s="1"/>
  <c r="IC310" i="31"/>
  <c r="ID310" i="31" s="1"/>
  <c r="IF310" i="31" s="1"/>
  <c r="KH310" i="31" s="1"/>
  <c r="JB310" i="31"/>
  <c r="BB311" i="31"/>
  <c r="DW310" i="31"/>
  <c r="DU311" i="31" s="1"/>
  <c r="IW310" i="31"/>
  <c r="EQ310" i="31"/>
  <c r="ER311" i="31"/>
  <c r="IU310" i="31"/>
  <c r="IV310" i="31" s="1"/>
  <c r="EU311" i="31" l="1"/>
  <c r="BC311" i="31"/>
  <c r="KB310" i="31"/>
  <c r="IX310" i="31"/>
  <c r="KK310" i="31"/>
  <c r="DB310" i="31"/>
  <c r="DC310" i="31" s="1"/>
  <c r="DD311" i="31" s="1"/>
  <c r="DE312" i="31" s="1"/>
  <c r="GM310" i="31"/>
  <c r="IM310" i="31"/>
  <c r="DT310" i="31" s="1"/>
  <c r="DZ310" i="31" s="1"/>
  <c r="KI311" i="31"/>
  <c r="IN310" i="31"/>
  <c r="DF310" i="31"/>
  <c r="GT312" i="31" l="1"/>
  <c r="BD311" i="31"/>
  <c r="BE311" i="31"/>
  <c r="GV310" i="31"/>
  <c r="FD310" i="31"/>
  <c r="GU310" i="31"/>
  <c r="KJ311" i="31"/>
  <c r="GR310" i="31"/>
  <c r="IS310" i="31" l="1"/>
  <c r="FL311" i="31"/>
  <c r="GS310" i="31"/>
  <c r="BG311" i="31"/>
  <c r="BF311" i="31"/>
  <c r="BH311" i="31" l="1"/>
  <c r="BI311" i="31"/>
  <c r="BK311" i="31" s="1"/>
  <c r="GY310" i="31"/>
  <c r="GW310" i="31"/>
  <c r="HC310" i="31" s="1"/>
  <c r="FA311" i="31" s="1"/>
  <c r="HB311" i="31" s="1"/>
  <c r="GX310" i="31"/>
  <c r="FM311" i="31"/>
  <c r="JH310" i="31"/>
  <c r="JI310" i="31" s="1"/>
  <c r="IT310" i="31"/>
  <c r="BL311" i="31" l="1"/>
  <c r="BM311" i="31"/>
  <c r="JK310" i="31"/>
  <c r="JZ310" i="31" s="1"/>
  <c r="KF310" i="31" s="1"/>
  <c r="IQ311" i="31" s="1"/>
  <c r="HM310" i="31"/>
  <c r="EG310" i="31"/>
  <c r="EH311" i="31" s="1"/>
  <c r="EI311" i="31" s="1"/>
  <c r="FK311" i="31" s="1"/>
  <c r="EY310" i="31"/>
  <c r="HK311" i="31"/>
  <c r="BJ311" i="31"/>
  <c r="JM310" i="31" l="1"/>
  <c r="KD310" i="31" s="1"/>
  <c r="IL311" i="31" s="1"/>
  <c r="JE311" i="31" s="1"/>
  <c r="JN310" i="31"/>
  <c r="JV310" i="31" s="1"/>
  <c r="JF311" i="31" s="1"/>
  <c r="JY311" i="31" s="1"/>
  <c r="ED310" i="31"/>
  <c r="EB311" i="31" s="1"/>
  <c r="JA311" i="31" s="1"/>
  <c r="EJ310" i="31"/>
  <c r="EK311" i="31" s="1"/>
  <c r="EE310" i="31"/>
  <c r="EF311" i="31" s="1"/>
  <c r="EZ310" i="31"/>
  <c r="DG310" i="31"/>
  <c r="DH310" i="31" s="1"/>
  <c r="DI311" i="31" s="1"/>
  <c r="JL310" i="31"/>
  <c r="JJ311" i="31" s="1"/>
  <c r="KA311" i="31"/>
  <c r="BO311" i="31"/>
  <c r="BN311" i="31"/>
  <c r="IR311" i="31" l="1"/>
  <c r="JO311" i="31"/>
  <c r="JW311" i="31"/>
  <c r="DJ311" i="31"/>
  <c r="DK311" i="31" s="1"/>
  <c r="GZ311" i="31"/>
  <c r="IE311" i="31" s="1"/>
  <c r="IO311" i="31"/>
  <c r="HZ311" i="31"/>
  <c r="FC311" i="31"/>
  <c r="EL311" i="31"/>
  <c r="EO311" i="31"/>
  <c r="ES312" i="31" s="1"/>
  <c r="EP311" i="31"/>
  <c r="ET312" i="31" s="1"/>
  <c r="EV311" i="31"/>
  <c r="IP311" i="31"/>
  <c r="DP311" i="31"/>
  <c r="BP311" i="31"/>
  <c r="BQ311" i="31" s="1"/>
  <c r="JC311" i="31"/>
  <c r="JD311" i="31"/>
  <c r="IY311" i="31"/>
  <c r="BR311" i="31" l="1"/>
  <c r="BS311" i="31"/>
  <c r="JP311" i="31"/>
  <c r="JQ311" i="31" s="1"/>
  <c r="EC311" i="31"/>
  <c r="DX311" i="31"/>
  <c r="FQ311" i="31"/>
  <c r="DM311" i="31"/>
  <c r="JX311" i="31"/>
  <c r="KG311" i="31"/>
  <c r="BT311" i="31" l="1"/>
  <c r="BU311" i="31"/>
  <c r="BV311" i="31" s="1"/>
  <c r="BW311" i="31" s="1"/>
  <c r="EX311" i="31"/>
  <c r="M311" i="31" s="1"/>
  <c r="FB311" i="31"/>
  <c r="DL311" i="31"/>
  <c r="L312" i="31"/>
  <c r="BY311" i="31" l="1"/>
  <c r="BX311" i="31"/>
  <c r="MB311" i="31"/>
  <c r="MJ311" i="31"/>
  <c r="NS311" i="31" s="1"/>
  <c r="BZ311" i="31" l="1"/>
  <c r="CA311" i="31"/>
  <c r="CC311" i="31" s="1"/>
  <c r="CD311" i="31" s="1"/>
  <c r="NM311" i="31"/>
  <c r="NN311" i="31" s="1"/>
  <c r="NT311" i="31"/>
  <c r="OU312" i="31"/>
  <c r="CB311" i="31" l="1"/>
  <c r="CE311" i="31"/>
  <c r="CG311" i="31" s="1"/>
  <c r="NW311" i="31"/>
  <c r="NX311" i="31" s="1"/>
  <c r="OV312" i="31"/>
  <c r="FV311" i="31"/>
  <c r="FR311" i="31"/>
  <c r="CX311" i="31"/>
  <c r="NU311" i="31"/>
  <c r="CF311" i="31" l="1"/>
  <c r="NY311" i="31"/>
  <c r="OF311" i="31"/>
  <c r="OS312" i="31" s="1"/>
  <c r="CH311" i="31"/>
  <c r="CI311" i="31" s="1"/>
  <c r="NV311" i="31"/>
  <c r="MY311" i="31"/>
  <c r="NZ311" i="31"/>
  <c r="CY312" i="31"/>
  <c r="CJ311" i="31" l="1"/>
  <c r="CO311" i="31" s="1"/>
  <c r="CK311" i="31"/>
  <c r="CL311" i="31" s="1"/>
  <c r="OA311" i="31"/>
  <c r="MV312" i="31" s="1"/>
  <c r="OG312" i="31" s="1"/>
  <c r="OB311" i="31"/>
  <c r="OT312" i="31" s="1"/>
  <c r="NF312" i="31"/>
  <c r="OM312" i="31"/>
  <c r="OO312" i="31"/>
  <c r="MZ312" i="31"/>
  <c r="OZ311" i="31"/>
  <c r="OI311" i="31"/>
  <c r="CM311" i="31" l="1"/>
  <c r="CN311" i="31" s="1"/>
  <c r="CP311" i="31" s="1"/>
  <c r="OX312" i="31"/>
  <c r="MR312" i="31"/>
  <c r="OW311" i="31"/>
  <c r="OC311" i="31"/>
  <c r="OD312" i="31" s="1"/>
  <c r="OH312" i="31" s="1"/>
  <c r="OK312" i="31" s="1"/>
  <c r="OJ311" i="31"/>
  <c r="PA311" i="31"/>
  <c r="KT312" i="31"/>
  <c r="KM312" i="31" l="1"/>
  <c r="KO313" i="31" s="1"/>
  <c r="KL312" i="31"/>
  <c r="KN313" i="31" s="1"/>
  <c r="OY312" i="31"/>
  <c r="MW312" i="31"/>
  <c r="MS312" i="31"/>
  <c r="FE311" i="31"/>
  <c r="FF311" i="31" s="1"/>
  <c r="FH311" i="31"/>
  <c r="FI311" i="31" s="1"/>
  <c r="HO311" i="31"/>
  <c r="FX311" i="31"/>
  <c r="FY311" i="31" s="1"/>
  <c r="CQ311" i="31"/>
  <c r="DQ311" i="31"/>
  <c r="DR311" i="31" s="1"/>
  <c r="JR311" i="31"/>
  <c r="JS311" i="31" s="1"/>
  <c r="FU311" i="31"/>
  <c r="FW311" i="31" s="1"/>
  <c r="GB311" i="31"/>
  <c r="GC311" i="31" s="1"/>
  <c r="GO311" i="31"/>
  <c r="FP311" i="31"/>
  <c r="FS311" i="31" s="1"/>
  <c r="FZ311" i="31"/>
  <c r="GA311" i="31" s="1"/>
  <c r="KX311" i="31"/>
  <c r="GN311" i="31" s="1"/>
  <c r="KU311" i="31"/>
  <c r="DS311" i="31" l="1"/>
  <c r="AX311" i="31" s="1"/>
  <c r="AY312" i="31" s="1"/>
  <c r="JU311" i="31"/>
  <c r="KE311" i="31"/>
  <c r="JT312" i="31"/>
  <c r="KC311" i="31"/>
  <c r="MU312" i="31"/>
  <c r="NH313" i="31"/>
  <c r="NI313" i="31" s="1"/>
  <c r="NP312" i="31"/>
  <c r="NJ312" i="31"/>
  <c r="MT312" i="31"/>
  <c r="MO312" i="31"/>
  <c r="NQ312" i="31"/>
  <c r="PE312" i="31"/>
  <c r="MX312" i="31"/>
  <c r="HY311" i="31"/>
  <c r="HA311" i="31"/>
  <c r="DY311" i="31"/>
  <c r="HP311" i="31"/>
  <c r="IA311" i="31"/>
  <c r="IB311" i="31" s="1"/>
  <c r="IZ311" i="31"/>
  <c r="GQ311" i="31"/>
  <c r="KV311" i="31"/>
  <c r="HU311" i="31"/>
  <c r="HV312" i="31" s="1"/>
  <c r="FJ312" i="31"/>
  <c r="KQ312" i="31"/>
  <c r="CT311" i="31"/>
  <c r="CS311" i="31"/>
  <c r="CR311" i="31"/>
  <c r="FG312" i="31"/>
  <c r="HW311" i="31"/>
  <c r="HX312" i="31" s="1"/>
  <c r="KP313" i="31"/>
  <c r="KR312" i="31"/>
  <c r="KW312" i="31" l="1"/>
  <c r="HQ311" i="31"/>
  <c r="HR312" i="31" s="1"/>
  <c r="NR312" i="31"/>
  <c r="NB312" i="31"/>
  <c r="NA312" i="31"/>
  <c r="NK312" i="31"/>
  <c r="NL312" i="31"/>
  <c r="NG313" i="31"/>
  <c r="OQ313" i="31"/>
  <c r="KS312" i="31"/>
  <c r="HS311" i="31"/>
  <c r="JG311" i="31" s="1"/>
  <c r="HT311" i="31"/>
  <c r="EM311" i="31"/>
  <c r="EW311" i="31" s="1"/>
  <c r="AZ311" i="31"/>
  <c r="EN311" i="31"/>
  <c r="NC313" i="31" l="1"/>
  <c r="MQ313" i="31"/>
  <c r="OR313" i="31"/>
  <c r="IC311" i="31"/>
  <c r="ID311" i="31" s="1"/>
  <c r="IF311" i="31" s="1"/>
  <c r="KH311" i="31" s="1"/>
  <c r="JB311" i="31"/>
  <c r="BB312" i="31"/>
  <c r="IW311" i="31"/>
  <c r="EQ311" i="31"/>
  <c r="DW311" i="31"/>
  <c r="DU312" i="31" s="1"/>
  <c r="ER312" i="31"/>
  <c r="IU311" i="31"/>
  <c r="IV311" i="31" s="1"/>
  <c r="BC312" i="31" l="1"/>
  <c r="KK311" i="31"/>
  <c r="KB311" i="31"/>
  <c r="IX311" i="31"/>
  <c r="EU312" i="31"/>
  <c r="IM311" i="31"/>
  <c r="GM311" i="31"/>
  <c r="DB311" i="31"/>
  <c r="DC311" i="31" s="1"/>
  <c r="DD312" i="31" s="1"/>
  <c r="DE313" i="31" s="1"/>
  <c r="KI312" i="31"/>
  <c r="IN311" i="31"/>
  <c r="DF311" i="31"/>
  <c r="GT313" i="31" l="1"/>
  <c r="DT311" i="31"/>
  <c r="DZ311" i="31" s="1"/>
  <c r="FD311" i="31"/>
  <c r="GU311" i="31"/>
  <c r="GV311" i="31"/>
  <c r="KJ312" i="31"/>
  <c r="GR311" i="31"/>
  <c r="BD312" i="31"/>
  <c r="BE312" i="31"/>
  <c r="BF312" i="31" l="1"/>
  <c r="BG312" i="31"/>
  <c r="GS311" i="31"/>
  <c r="IS311" i="31"/>
  <c r="FL312" i="31"/>
  <c r="JH311" i="31" l="1"/>
  <c r="JI311" i="31" s="1"/>
  <c r="IT311" i="31"/>
  <c r="GW311" i="31"/>
  <c r="HC311" i="31" s="1"/>
  <c r="FA312" i="31" s="1"/>
  <c r="HB312" i="31" s="1"/>
  <c r="GX311" i="31"/>
  <c r="GY311" i="31"/>
  <c r="FM312" i="31"/>
  <c r="BI312" i="31"/>
  <c r="BK312" i="31" s="1"/>
  <c r="BH312" i="31"/>
  <c r="EG311" i="31" l="1"/>
  <c r="EH312" i="31" s="1"/>
  <c r="EI312" i="31" s="1"/>
  <c r="FK312" i="31" s="1"/>
  <c r="EY311" i="31"/>
  <c r="HM311" i="31"/>
  <c r="HK312" i="31"/>
  <c r="BL312" i="31"/>
  <c r="BM312" i="31"/>
  <c r="BJ312" i="31"/>
  <c r="JK311" i="31"/>
  <c r="JZ311" i="31" s="1"/>
  <c r="KF311" i="31" s="1"/>
  <c r="IQ312" i="31" s="1"/>
  <c r="JM311" i="31" l="1"/>
  <c r="KD311" i="31" s="1"/>
  <c r="IL312" i="31" s="1"/>
  <c r="JE312" i="31" s="1"/>
  <c r="JN311" i="31"/>
  <c r="JV311" i="31" s="1"/>
  <c r="JF312" i="31" s="1"/>
  <c r="JY312" i="31" s="1"/>
  <c r="BN312" i="31"/>
  <c r="BO312" i="31"/>
  <c r="JL311" i="31"/>
  <c r="JJ312" i="31" s="1"/>
  <c r="KA312" i="31"/>
  <c r="ED311" i="31"/>
  <c r="EB312" i="31" s="1"/>
  <c r="EE311" i="31"/>
  <c r="EF312" i="31" s="1"/>
  <c r="EJ311" i="31"/>
  <c r="EK312" i="31" s="1"/>
  <c r="EZ311" i="31"/>
  <c r="DG311" i="31"/>
  <c r="DH311" i="31" s="1"/>
  <c r="DI312" i="31" s="1"/>
  <c r="IR312" i="31" l="1"/>
  <c r="JO312" i="31"/>
  <c r="JW312" i="31"/>
  <c r="IP312" i="31"/>
  <c r="IO312" i="31"/>
  <c r="BP312" i="31"/>
  <c r="BQ312" i="31" s="1"/>
  <c r="FC312" i="31"/>
  <c r="EO312" i="31"/>
  <c r="ES313" i="31" s="1"/>
  <c r="EP312" i="31"/>
  <c r="ET313" i="31" s="1"/>
  <c r="EL312" i="31"/>
  <c r="EV312" i="31"/>
  <c r="HZ312" i="31"/>
  <c r="DP312" i="31"/>
  <c r="JA312" i="31"/>
  <c r="JC312" i="31"/>
  <c r="JD312" i="31"/>
  <c r="IY312" i="31"/>
  <c r="DJ312" i="31"/>
  <c r="DK312" i="31" s="1"/>
  <c r="GZ312" i="31"/>
  <c r="IE312" i="31" s="1"/>
  <c r="JP312" i="31" l="1"/>
  <c r="JQ312" i="31" s="1"/>
  <c r="KG312" i="31"/>
  <c r="BR312" i="31"/>
  <c r="BS312" i="31"/>
  <c r="EC312" i="31"/>
  <c r="JX312" i="31"/>
  <c r="FQ312" i="31"/>
  <c r="DM312" i="31"/>
  <c r="DX312" i="31"/>
  <c r="BT312" i="31" l="1"/>
  <c r="BU312" i="31"/>
  <c r="BV312" i="31" s="1"/>
  <c r="BW312" i="31" s="1"/>
  <c r="EX312" i="31"/>
  <c r="M312" i="31" s="1"/>
  <c r="FB312" i="31"/>
  <c r="DL312" i="31"/>
  <c r="L313" i="31"/>
  <c r="BX312" i="31" l="1"/>
  <c r="BY312" i="31"/>
  <c r="BZ312" i="31" s="1"/>
  <c r="MJ312" i="31"/>
  <c r="NS312" i="31" s="1"/>
  <c r="MB312" i="31"/>
  <c r="NM312" i="31" l="1"/>
  <c r="NN312" i="31" s="1"/>
  <c r="CA312" i="31"/>
  <c r="CC312" i="31" s="1"/>
  <c r="CD312" i="31" s="1"/>
  <c r="NT312" i="31"/>
  <c r="OU313" i="31"/>
  <c r="CE312" i="31" l="1"/>
  <c r="CG312" i="31" s="1"/>
  <c r="OV313" i="31"/>
  <c r="NW312" i="31"/>
  <c r="NX312" i="31" s="1"/>
  <c r="CB312" i="31"/>
  <c r="FV312" i="31"/>
  <c r="CX312" i="31"/>
  <c r="FR312" i="31"/>
  <c r="NU312" i="31"/>
  <c r="CF312" i="31" l="1"/>
  <c r="CH312" i="31"/>
  <c r="CI312" i="31" s="1"/>
  <c r="NY312" i="31"/>
  <c r="OF312" i="31"/>
  <c r="OS313" i="31" s="1"/>
  <c r="MY312" i="31"/>
  <c r="NZ312" i="31"/>
  <c r="CY313" i="31"/>
  <c r="NV312" i="31"/>
  <c r="CJ312" i="31" l="1"/>
  <c r="CO312" i="31" s="1"/>
  <c r="CK312" i="31"/>
  <c r="CL312" i="31" s="1"/>
  <c r="MZ313" i="31"/>
  <c r="OZ312" i="31"/>
  <c r="OB312" i="31"/>
  <c r="OT313" i="31" s="1"/>
  <c r="OI312" i="31"/>
  <c r="OO313" i="31"/>
  <c r="NF313" i="31"/>
  <c r="OM313" i="31"/>
  <c r="OA312" i="31"/>
  <c r="MV313" i="31" s="1"/>
  <c r="CM312" i="31" l="1"/>
  <c r="CN312" i="31" s="1"/>
  <c r="CP312" i="31" s="1"/>
  <c r="KT313" i="31"/>
  <c r="OG313" i="31"/>
  <c r="OJ312" i="31"/>
  <c r="OC312" i="31"/>
  <c r="OD313" i="31" s="1"/>
  <c r="OH313" i="31" s="1"/>
  <c r="PA312" i="31"/>
  <c r="OW312" i="31"/>
  <c r="MR313" i="31"/>
  <c r="OX313" i="31"/>
  <c r="OK313" i="31" l="1"/>
  <c r="GO312" i="31"/>
  <c r="FP312" i="31"/>
  <c r="FS312" i="31" s="1"/>
  <c r="DQ312" i="31"/>
  <c r="DR312" i="31" s="1"/>
  <c r="FZ312" i="31"/>
  <c r="GA312" i="31" s="1"/>
  <c r="FX312" i="31"/>
  <c r="FY312" i="31" s="1"/>
  <c r="JR312" i="31"/>
  <c r="JS312" i="31" s="1"/>
  <c r="FH312" i="31"/>
  <c r="FI312" i="31" s="1"/>
  <c r="HO312" i="31"/>
  <c r="GB312" i="31"/>
  <c r="GC312" i="31" s="1"/>
  <c r="CQ312" i="31"/>
  <c r="FE312" i="31"/>
  <c r="FF312" i="31" s="1"/>
  <c r="FU312" i="31"/>
  <c r="FW312" i="31" s="1"/>
  <c r="KX312" i="31"/>
  <c r="KU312" i="31"/>
  <c r="MS313" i="31"/>
  <c r="MW313" i="31"/>
  <c r="OY313" i="31"/>
  <c r="KL313" i="31"/>
  <c r="KN314" i="31" s="1"/>
  <c r="KM313" i="31"/>
  <c r="KO314" i="31" s="1"/>
  <c r="GN312" i="31" l="1"/>
  <c r="GQ312" i="31" s="1"/>
  <c r="KQ313" i="31"/>
  <c r="IA312" i="31"/>
  <c r="IB312" i="31" s="1"/>
  <c r="HP312" i="31"/>
  <c r="IZ312" i="31"/>
  <c r="MU313" i="31"/>
  <c r="NH314" i="31"/>
  <c r="NI314" i="31" s="1"/>
  <c r="NQ313" i="31"/>
  <c r="NJ313" i="31"/>
  <c r="MO313" i="31"/>
  <c r="NP313" i="31"/>
  <c r="MT313" i="31"/>
  <c r="PE313" i="31"/>
  <c r="KE312" i="31"/>
  <c r="KC312" i="31"/>
  <c r="JT313" i="31"/>
  <c r="JU312" i="31"/>
  <c r="MX313" i="31"/>
  <c r="HW312" i="31"/>
  <c r="HX313" i="31" s="1"/>
  <c r="FG313" i="31"/>
  <c r="DS312" i="31"/>
  <c r="AX312" i="31" s="1"/>
  <c r="AY313" i="31" s="1"/>
  <c r="KP314" i="31"/>
  <c r="KR313" i="31"/>
  <c r="CT312" i="31"/>
  <c r="CS312" i="31"/>
  <c r="CR312" i="31"/>
  <c r="HY312" i="31"/>
  <c r="DY312" i="31"/>
  <c r="HA312" i="31"/>
  <c r="HU312" i="31"/>
  <c r="HV313" i="31" s="1"/>
  <c r="FJ313" i="31"/>
  <c r="KV312" i="31" l="1"/>
  <c r="KW313" i="31" s="1"/>
  <c r="NR313" i="31"/>
  <c r="HQ312" i="31"/>
  <c r="HR313" i="31" s="1"/>
  <c r="HT312" i="31"/>
  <c r="HS312" i="31"/>
  <c r="JG312" i="31" s="1"/>
  <c r="NB313" i="31"/>
  <c r="NA313" i="31"/>
  <c r="EM312" i="31"/>
  <c r="EW312" i="31" s="1"/>
  <c r="AZ312" i="31"/>
  <c r="EN312" i="31"/>
  <c r="KS313" i="31"/>
  <c r="NK313" i="31"/>
  <c r="NL313" i="31"/>
  <c r="NG314" i="31"/>
  <c r="OQ314" i="31"/>
  <c r="IC312" i="31" l="1"/>
  <c r="ID312" i="31" s="1"/>
  <c r="IF312" i="31" s="1"/>
  <c r="KH312" i="31" s="1"/>
  <c r="JB312" i="31"/>
  <c r="BB313" i="31"/>
  <c r="DW312" i="31"/>
  <c r="DU313" i="31" s="1"/>
  <c r="IW312" i="31"/>
  <c r="EQ312" i="31"/>
  <c r="ER313" i="31"/>
  <c r="IU312" i="31"/>
  <c r="IV312" i="31" s="1"/>
  <c r="NC314" i="31"/>
  <c r="MQ314" i="31"/>
  <c r="OR314" i="31"/>
  <c r="EU313" i="31" l="1"/>
  <c r="BC313" i="31"/>
  <c r="KK312" i="31"/>
  <c r="KB312" i="31"/>
  <c r="IX312" i="31"/>
  <c r="IM312" i="31"/>
  <c r="DB312" i="31"/>
  <c r="DC312" i="31" s="1"/>
  <c r="DD313" i="31" s="1"/>
  <c r="DE314" i="31" s="1"/>
  <c r="GM312" i="31"/>
  <c r="KI313" i="31"/>
  <c r="IN312" i="31"/>
  <c r="DF312" i="31"/>
  <c r="DT312" i="31" l="1"/>
  <c r="DZ312" i="31" s="1"/>
  <c r="GT314" i="31"/>
  <c r="BD313" i="31"/>
  <c r="BE313" i="31"/>
  <c r="GV312" i="31"/>
  <c r="FD312" i="31"/>
  <c r="GU312" i="31"/>
  <c r="KJ313" i="31"/>
  <c r="GR312" i="31"/>
  <c r="IS312" i="31" l="1"/>
  <c r="FL313" i="31"/>
  <c r="GS312" i="31"/>
  <c r="BF313" i="31"/>
  <c r="BG313" i="31"/>
  <c r="BI313" i="31" l="1"/>
  <c r="BK313" i="31" s="1"/>
  <c r="BH313" i="31"/>
  <c r="GX312" i="31"/>
  <c r="GW312" i="31"/>
  <c r="HC312" i="31" s="1"/>
  <c r="FA313" i="31" s="1"/>
  <c r="HB313" i="31" s="1"/>
  <c r="GY312" i="31"/>
  <c r="FM313" i="31"/>
  <c r="JH312" i="31"/>
  <c r="JI312" i="31" s="1"/>
  <c r="IT312" i="31"/>
  <c r="BJ313" i="31" l="1"/>
  <c r="JK312" i="31"/>
  <c r="JZ312" i="31" s="1"/>
  <c r="KF312" i="31" s="1"/>
  <c r="IQ313" i="31" s="1"/>
  <c r="HM312" i="31"/>
  <c r="EG312" i="31"/>
  <c r="EH313" i="31" s="1"/>
  <c r="EI313" i="31" s="1"/>
  <c r="FK313" i="31" s="1"/>
  <c r="EY312" i="31"/>
  <c r="HK313" i="31"/>
  <c r="BL313" i="31"/>
  <c r="BM313" i="31"/>
  <c r="JM312" i="31" l="1"/>
  <c r="KD312" i="31" s="1"/>
  <c r="IL313" i="31" s="1"/>
  <c r="JE313" i="31" s="1"/>
  <c r="JN312" i="31"/>
  <c r="JV312" i="31" s="1"/>
  <c r="JF313" i="31" s="1"/>
  <c r="JY313" i="31" s="1"/>
  <c r="EZ312" i="31"/>
  <c r="DG312" i="31"/>
  <c r="DH312" i="31" s="1"/>
  <c r="DI313" i="31" s="1"/>
  <c r="EJ312" i="31"/>
  <c r="EK313" i="31" s="1"/>
  <c r="ED312" i="31"/>
  <c r="EB313" i="31" s="1"/>
  <c r="JA313" i="31" s="1"/>
  <c r="EE312" i="31"/>
  <c r="EF313" i="31" s="1"/>
  <c r="BN313" i="31"/>
  <c r="BO313" i="31"/>
  <c r="JL312" i="31"/>
  <c r="JJ313" i="31" s="1"/>
  <c r="KA313" i="31"/>
  <c r="IP313" i="31" l="1"/>
  <c r="IR313" i="31"/>
  <c r="JO313" i="31"/>
  <c r="JW313" i="31"/>
  <c r="IO313" i="31"/>
  <c r="JC313" i="31"/>
  <c r="JD313" i="31"/>
  <c r="DP313" i="31"/>
  <c r="HZ313" i="31"/>
  <c r="BP313" i="31"/>
  <c r="BQ313" i="31" s="1"/>
  <c r="DJ313" i="31"/>
  <c r="DK313" i="31" s="1"/>
  <c r="GZ313" i="31"/>
  <c r="IE313" i="31" s="1"/>
  <c r="EP313" i="31"/>
  <c r="ET314" i="31" s="1"/>
  <c r="EO313" i="31"/>
  <c r="ES314" i="31" s="1"/>
  <c r="EL313" i="31"/>
  <c r="FC313" i="31"/>
  <c r="EV313" i="31"/>
  <c r="IY313" i="31"/>
  <c r="JP313" i="31" l="1"/>
  <c r="JQ313" i="31" s="1"/>
  <c r="BR313" i="31"/>
  <c r="BS313" i="31"/>
  <c r="KG313" i="31"/>
  <c r="EC313" i="31"/>
  <c r="DX313" i="31"/>
  <c r="DM313" i="31"/>
  <c r="FQ313" i="31"/>
  <c r="JX313" i="31"/>
  <c r="BT313" i="31" l="1"/>
  <c r="BU313" i="31"/>
  <c r="BV313" i="31" s="1"/>
  <c r="BW313" i="31" s="1"/>
  <c r="DL313" i="31"/>
  <c r="L314" i="31"/>
  <c r="FB313" i="31"/>
  <c r="EX313" i="31"/>
  <c r="M313" i="31" s="1"/>
  <c r="BX313" i="31" l="1"/>
  <c r="BY313" i="31"/>
  <c r="BZ313" i="31" s="1"/>
  <c r="MB313" i="31"/>
  <c r="NM313" i="31" s="1"/>
  <c r="NN313" i="31" s="1"/>
  <c r="MJ313" i="31"/>
  <c r="NS313" i="31" s="1"/>
  <c r="CA313" i="31" l="1"/>
  <c r="NT313" i="31"/>
  <c r="OU314" i="31"/>
  <c r="OV314" i="31"/>
  <c r="NW313" i="31"/>
  <c r="CC313" i="31" l="1"/>
  <c r="CB313" i="31"/>
  <c r="NX313" i="31"/>
  <c r="CX313" i="31"/>
  <c r="FV313" i="31"/>
  <c r="FR313" i="31"/>
  <c r="NU313" i="31"/>
  <c r="CE313" i="31" l="1"/>
  <c r="CD313" i="31"/>
  <c r="NY313" i="31"/>
  <c r="NV313" i="31"/>
  <c r="OF313" i="31"/>
  <c r="OS314" i="31" s="1"/>
  <c r="NZ313" i="31"/>
  <c r="MY313" i="31"/>
  <c r="CY314" i="31"/>
  <c r="CF313" i="31" l="1"/>
  <c r="CG313" i="31"/>
  <c r="OO314" i="31"/>
  <c r="NF314" i="31"/>
  <c r="OM314" i="31"/>
  <c r="MZ314" i="31"/>
  <c r="OZ313" i="31"/>
  <c r="OB313" i="31"/>
  <c r="OT314" i="31" s="1"/>
  <c r="OI313" i="31"/>
  <c r="OA313" i="31"/>
  <c r="MV314" i="31" s="1"/>
  <c r="CH313" i="31" l="1"/>
  <c r="CI313" i="31" s="1"/>
  <c r="KT314" i="31"/>
  <c r="OG314" i="31"/>
  <c r="MR314" i="31"/>
  <c r="OX314" i="31"/>
  <c r="OW313" i="31"/>
  <c r="OJ313" i="31"/>
  <c r="PA313" i="31"/>
  <c r="OC313" i="31"/>
  <c r="OD314" i="31" s="1"/>
  <c r="OH314" i="31" s="1"/>
  <c r="CJ313" i="31" l="1"/>
  <c r="CO313" i="31" s="1"/>
  <c r="CK313" i="31"/>
  <c r="OK314" i="31"/>
  <c r="KM314" i="31"/>
  <c r="KO315" i="31" s="1"/>
  <c r="KL314" i="31"/>
  <c r="KN315" i="31" s="1"/>
  <c r="MW314" i="31"/>
  <c r="OY314" i="31"/>
  <c r="MS314" i="31"/>
  <c r="CM313" i="31" l="1"/>
  <c r="CN313" i="31" s="1"/>
  <c r="CL313" i="31"/>
  <c r="KP315" i="31"/>
  <c r="KR314" i="31"/>
  <c r="KQ314" i="31"/>
  <c r="MX314" i="31"/>
  <c r="NP314" i="31"/>
  <c r="MT314" i="31"/>
  <c r="NH315" i="31"/>
  <c r="NI315" i="31" s="1"/>
  <c r="MU314" i="31"/>
  <c r="MO314" i="31"/>
  <c r="NQ314" i="31"/>
  <c r="NJ314" i="31"/>
  <c r="PE314" i="31"/>
  <c r="CP313" i="31" l="1"/>
  <c r="FU313" i="31" s="1"/>
  <c r="FW313" i="31" s="1"/>
  <c r="NR314" i="31"/>
  <c r="NK314" i="31"/>
  <c r="NL314" i="31"/>
  <c r="NG315" i="31"/>
  <c r="OQ315" i="31"/>
  <c r="NB314" i="31"/>
  <c r="NA314" i="31"/>
  <c r="KS314" i="31"/>
  <c r="FP313" i="31" l="1"/>
  <c r="FS313" i="31" s="1"/>
  <c r="DY313" i="31" s="1"/>
  <c r="FH313" i="31"/>
  <c r="FI313" i="31" s="1"/>
  <c r="HU313" i="31" s="1"/>
  <c r="HV314" i="31" s="1"/>
  <c r="GB313" i="31"/>
  <c r="GC313" i="31" s="1"/>
  <c r="DQ313" i="31"/>
  <c r="DR313" i="31" s="1"/>
  <c r="DS313" i="31" s="1"/>
  <c r="AX313" i="31" s="1"/>
  <c r="AY314" i="31" s="1"/>
  <c r="KX313" i="31"/>
  <c r="FZ313" i="31"/>
  <c r="GA313" i="31" s="1"/>
  <c r="GO313" i="31"/>
  <c r="KU313" i="31"/>
  <c r="CQ313" i="31"/>
  <c r="CT313" i="31" s="1"/>
  <c r="FE313" i="31"/>
  <c r="FF313" i="31" s="1"/>
  <c r="HW313" i="31" s="1"/>
  <c r="HX314" i="31" s="1"/>
  <c r="HO313" i="31"/>
  <c r="IA313" i="31" s="1"/>
  <c r="IB313" i="31" s="1"/>
  <c r="JR313" i="31"/>
  <c r="JS313" i="31" s="1"/>
  <c r="JU313" i="31" s="1"/>
  <c r="FX313" i="31"/>
  <c r="FY313" i="31" s="1"/>
  <c r="NC315" i="31"/>
  <c r="MQ315" i="31"/>
  <c r="OR315" i="31"/>
  <c r="FG314" i="31" l="1"/>
  <c r="GN313" i="31"/>
  <c r="KV313" i="31" s="1"/>
  <c r="KW314" i="31" s="1"/>
  <c r="HQ313" i="31"/>
  <c r="HR314" i="31" s="1"/>
  <c r="FJ314" i="31"/>
  <c r="HA313" i="31"/>
  <c r="HY313" i="31"/>
  <c r="KE313" i="31"/>
  <c r="JT314" i="31"/>
  <c r="EN313" i="31"/>
  <c r="BB314" i="31" s="1"/>
  <c r="BC314" i="31" s="1"/>
  <c r="BE314" i="31" s="1"/>
  <c r="AZ313" i="31"/>
  <c r="CS313" i="31"/>
  <c r="CR313" i="31"/>
  <c r="IZ313" i="31"/>
  <c r="HP313" i="31"/>
  <c r="HT313" i="31" s="1"/>
  <c r="KC313" i="31"/>
  <c r="EM313" i="31"/>
  <c r="EW313" i="31" s="1"/>
  <c r="GQ313" i="31" l="1"/>
  <c r="IU313" i="31"/>
  <c r="IV313" i="31" s="1"/>
  <c r="KK313" i="31" s="1"/>
  <c r="EQ313" i="31"/>
  <c r="ER314" i="31"/>
  <c r="EU314" i="31" s="1"/>
  <c r="DW313" i="31"/>
  <c r="DU314" i="31" s="1"/>
  <c r="IW313" i="31"/>
  <c r="HS313" i="31"/>
  <c r="JG313" i="31" s="1"/>
  <c r="BD314" i="31"/>
  <c r="JB313" i="31"/>
  <c r="IC313" i="31"/>
  <c r="ID313" i="31" s="1"/>
  <c r="IF313" i="31" s="1"/>
  <c r="KH313" i="31" s="1"/>
  <c r="BF314" i="31"/>
  <c r="BG314" i="31"/>
  <c r="IX313" i="31" l="1"/>
  <c r="KB313" i="31"/>
  <c r="DF313" i="31"/>
  <c r="DB313" i="31"/>
  <c r="DC313" i="31" s="1"/>
  <c r="DD314" i="31" s="1"/>
  <c r="DE315" i="31" s="1"/>
  <c r="GM313" i="31"/>
  <c r="IM313" i="31"/>
  <c r="KI314" i="31"/>
  <c r="KJ314" i="31" s="1"/>
  <c r="IN313" i="31"/>
  <c r="BI314" i="31"/>
  <c r="BK314" i="31" s="1"/>
  <c r="BH314" i="31"/>
  <c r="DT313" i="31" l="1"/>
  <c r="DZ313" i="31" s="1"/>
  <c r="GT315" i="31"/>
  <c r="BJ314" i="31"/>
  <c r="GR313" i="31"/>
  <c r="FD313" i="31"/>
  <c r="GU313" i="31"/>
  <c r="GV313" i="31"/>
  <c r="BL314" i="31"/>
  <c r="BM314" i="31"/>
  <c r="GS313" i="31" l="1"/>
  <c r="IS313" i="31"/>
  <c r="FL314" i="31"/>
  <c r="FM314" i="31" s="1"/>
  <c r="BN314" i="31"/>
  <c r="BO314" i="31"/>
  <c r="GW313" i="31" l="1"/>
  <c r="HC313" i="31" s="1"/>
  <c r="FA314" i="31" s="1"/>
  <c r="HB314" i="31" s="1"/>
  <c r="GX313" i="31"/>
  <c r="GY313" i="31"/>
  <c r="IT313" i="31"/>
  <c r="JH313" i="31"/>
  <c r="JI313" i="31" s="1"/>
  <c r="BP314" i="31"/>
  <c r="BQ314" i="31" s="1"/>
  <c r="JK313" i="31" l="1"/>
  <c r="JN313" i="31" s="1"/>
  <c r="JV313" i="31" s="1"/>
  <c r="JF314" i="31" s="1"/>
  <c r="EY313" i="31"/>
  <c r="HK314" i="31"/>
  <c r="EG313" i="31"/>
  <c r="EH314" i="31" s="1"/>
  <c r="EI314" i="31" s="1"/>
  <c r="FK314" i="31" s="1"/>
  <c r="HM313" i="31"/>
  <c r="BR314" i="31"/>
  <c r="BS314" i="31"/>
  <c r="BT314" i="31" l="1"/>
  <c r="JY314" i="31"/>
  <c r="JW314" i="31"/>
  <c r="EZ313" i="31"/>
  <c r="DG313" i="31"/>
  <c r="DH313" i="31" s="1"/>
  <c r="DI314" i="31" s="1"/>
  <c r="JZ313" i="31"/>
  <c r="KF313" i="31" s="1"/>
  <c r="IQ314" i="31" s="1"/>
  <c r="JL313" i="31"/>
  <c r="JJ314" i="31" s="1"/>
  <c r="KA314" i="31"/>
  <c r="HZ314" i="31" s="1"/>
  <c r="ED313" i="31"/>
  <c r="EB314" i="31" s="1"/>
  <c r="EJ313" i="31"/>
  <c r="EK314" i="31" s="1"/>
  <c r="EE313" i="31"/>
  <c r="EF314" i="31" s="1"/>
  <c r="JM313" i="31"/>
  <c r="KD313" i="31" s="1"/>
  <c r="IL314" i="31" s="1"/>
  <c r="BU314" i="31"/>
  <c r="BV314" i="31" s="1"/>
  <c r="IP314" i="31" l="1"/>
  <c r="DP314" i="31"/>
  <c r="JA314" i="31"/>
  <c r="EO314" i="31"/>
  <c r="ES315" i="31" s="1"/>
  <c r="EL314" i="31"/>
  <c r="FC314" i="31"/>
  <c r="EP314" i="31"/>
  <c r="ET315" i="31" s="1"/>
  <c r="EV314" i="31"/>
  <c r="IY314" i="31"/>
  <c r="JE314" i="31"/>
  <c r="IR314" i="31"/>
  <c r="JO314" i="31"/>
  <c r="IO314" i="31"/>
  <c r="GZ314" i="31"/>
  <c r="DJ314" i="31"/>
  <c r="DK314" i="31" s="1"/>
  <c r="BW314" i="31"/>
  <c r="JD314" i="31"/>
  <c r="JC314" i="31"/>
  <c r="KG314" i="31" l="1"/>
  <c r="IE314" i="31"/>
  <c r="JP314" i="31"/>
  <c r="JQ314" i="31" s="1"/>
  <c r="DM314" i="31"/>
  <c r="FQ314" i="31"/>
  <c r="DX314" i="31"/>
  <c r="JX314" i="31"/>
  <c r="EC314" i="31"/>
  <c r="BY314" i="31"/>
  <c r="BX314" i="31"/>
  <c r="CA314" i="31" l="1"/>
  <c r="BZ314" i="31"/>
  <c r="FB314" i="31"/>
  <c r="EX314" i="31"/>
  <c r="M314" i="31" s="1"/>
  <c r="DL314" i="31"/>
  <c r="L315" i="31"/>
  <c r="MB314" i="31" l="1"/>
  <c r="MJ314" i="31"/>
  <c r="NS314" i="31" s="1"/>
  <c r="CC314" i="31"/>
  <c r="CB314" i="31"/>
  <c r="NM314" i="31" l="1"/>
  <c r="NN314" i="31" s="1"/>
  <c r="CE314" i="31"/>
  <c r="CD314" i="31"/>
  <c r="NT314" i="31"/>
  <c r="OU315" i="31"/>
  <c r="NW314" i="31" l="1"/>
  <c r="NX314" i="31" s="1"/>
  <c r="OF314" i="31" s="1"/>
  <c r="OS315" i="31" s="1"/>
  <c r="OV315" i="31"/>
  <c r="CX314" i="31"/>
  <c r="FV314" i="31"/>
  <c r="FR314" i="31"/>
  <c r="NU314" i="31"/>
  <c r="NV314" i="31" s="1"/>
  <c r="CF314" i="31"/>
  <c r="CG314" i="31"/>
  <c r="CH314" i="31" l="1"/>
  <c r="CI314" i="31" s="1"/>
  <c r="MY314" i="31"/>
  <c r="CY315" i="31"/>
  <c r="NZ314" i="31"/>
  <c r="NY314" i="31"/>
  <c r="OA314" i="31" l="1"/>
  <c r="MV315" i="31" s="1"/>
  <c r="OG315" i="31" s="1"/>
  <c r="CJ314" i="31"/>
  <c r="CO314" i="31" s="1"/>
  <c r="CK314" i="31"/>
  <c r="CM314" i="31" s="1"/>
  <c r="CN314" i="31" s="1"/>
  <c r="OM315" i="31"/>
  <c r="NF315" i="31"/>
  <c r="OO315" i="31"/>
  <c r="OB314" i="31"/>
  <c r="OT315" i="31" s="1"/>
  <c r="OZ314" i="31"/>
  <c r="MZ315" i="31"/>
  <c r="OI314" i="31"/>
  <c r="KT315" i="31" l="1"/>
  <c r="KM315" i="31" s="1"/>
  <c r="KO316" i="31" s="1"/>
  <c r="CL314" i="31"/>
  <c r="CP314" i="31" s="1"/>
  <c r="PA314" i="31"/>
  <c r="OJ314" i="31"/>
  <c r="MR315" i="31"/>
  <c r="MS315" i="31" s="1"/>
  <c r="OX315" i="31"/>
  <c r="OW314" i="31"/>
  <c r="OC314" i="31"/>
  <c r="OD315" i="31" s="1"/>
  <c r="OH315" i="31" s="1"/>
  <c r="OK315" i="31" s="1"/>
  <c r="KL315" i="31" l="1"/>
  <c r="KN316" i="31" s="1"/>
  <c r="KQ315" i="31" s="1"/>
  <c r="HO314" i="31"/>
  <c r="HP314" i="31" s="1"/>
  <c r="CQ314" i="31"/>
  <c r="CT314" i="31" s="1"/>
  <c r="FX314" i="31"/>
  <c r="FY314" i="31" s="1"/>
  <c r="FP314" i="31"/>
  <c r="FS314" i="31" s="1"/>
  <c r="HA314" i="31" s="1"/>
  <c r="GO314" i="31"/>
  <c r="KU314" i="31"/>
  <c r="GB314" i="31"/>
  <c r="GC314" i="31" s="1"/>
  <c r="DQ314" i="31"/>
  <c r="DR314" i="31" s="1"/>
  <c r="DS314" i="31" s="1"/>
  <c r="AX314" i="31" s="1"/>
  <c r="AY315" i="31" s="1"/>
  <c r="FZ314" i="31"/>
  <c r="GA314" i="31" s="1"/>
  <c r="JR314" i="31"/>
  <c r="JS314" i="31" s="1"/>
  <c r="KE314" i="31" s="1"/>
  <c r="FU314" i="31"/>
  <c r="FW314" i="31" s="1"/>
  <c r="FE314" i="31"/>
  <c r="FF314" i="31" s="1"/>
  <c r="HW314" i="31" s="1"/>
  <c r="HX315" i="31" s="1"/>
  <c r="FH314" i="31"/>
  <c r="FI314" i="31" s="1"/>
  <c r="FJ315" i="31" s="1"/>
  <c r="KX314" i="31"/>
  <c r="GN314" i="31" s="1"/>
  <c r="MU315" i="31"/>
  <c r="NJ315" i="31"/>
  <c r="MT315" i="31"/>
  <c r="NQ315" i="31"/>
  <c r="NP315" i="31"/>
  <c r="MO315" i="31"/>
  <c r="NH316" i="31"/>
  <c r="NI316" i="31" s="1"/>
  <c r="PE315" i="31"/>
  <c r="HY314" i="31"/>
  <c r="MW315" i="31"/>
  <c r="MX315" i="31" s="1"/>
  <c r="OY315" i="31"/>
  <c r="KR315" i="31"/>
  <c r="KP316" i="31" l="1"/>
  <c r="KS315" i="31"/>
  <c r="GQ314" i="31"/>
  <c r="IZ314" i="31"/>
  <c r="IA314" i="31"/>
  <c r="IB314" i="31" s="1"/>
  <c r="DY314" i="31"/>
  <c r="CR314" i="31"/>
  <c r="CS314" i="31"/>
  <c r="KC314" i="31"/>
  <c r="JT315" i="31"/>
  <c r="FG315" i="31"/>
  <c r="EM314" i="31"/>
  <c r="EW314" i="31" s="1"/>
  <c r="AZ314" i="31"/>
  <c r="JU314" i="31"/>
  <c r="HU314" i="31"/>
  <c r="HV315" i="31" s="1"/>
  <c r="EN314" i="31"/>
  <c r="BB315" i="31" s="1"/>
  <c r="BC315" i="31" s="1"/>
  <c r="KV314" i="31"/>
  <c r="NR315" i="31"/>
  <c r="NA315" i="31"/>
  <c r="NB315" i="31"/>
  <c r="NL315" i="31"/>
  <c r="NK315" i="31"/>
  <c r="NG316" i="31"/>
  <c r="OQ316" i="31"/>
  <c r="OR316" i="31" s="1"/>
  <c r="HT314" i="31"/>
  <c r="HS314" i="31"/>
  <c r="JG314" i="31" s="1"/>
  <c r="KW315" i="31" l="1"/>
  <c r="HQ314" i="31"/>
  <c r="HR315" i="31" s="1"/>
  <c r="ER315" i="31"/>
  <c r="EU315" i="31" s="1"/>
  <c r="IW314" i="31"/>
  <c r="DW314" i="31"/>
  <c r="DU315" i="31" s="1"/>
  <c r="EQ314" i="31"/>
  <c r="IU314" i="31"/>
  <c r="IV314" i="31" s="1"/>
  <c r="NC316" i="31"/>
  <c r="MQ316" i="31"/>
  <c r="JB314" i="31"/>
  <c r="IC314" i="31"/>
  <c r="ID314" i="31" s="1"/>
  <c r="IF314" i="31" s="1"/>
  <c r="KH314" i="31" s="1"/>
  <c r="BD315" i="31"/>
  <c r="BE315" i="31"/>
  <c r="KB314" i="31" l="1"/>
  <c r="IX314" i="31"/>
  <c r="KK314" i="31"/>
  <c r="KI315" i="31"/>
  <c r="KJ315" i="31" s="1"/>
  <c r="DF314" i="31"/>
  <c r="IN314" i="31"/>
  <c r="DB314" i="31"/>
  <c r="DC314" i="31" s="1"/>
  <c r="DD315" i="31" s="1"/>
  <c r="DE316" i="31" s="1"/>
  <c r="GM314" i="31"/>
  <c r="IM314" i="31"/>
  <c r="BF315" i="31"/>
  <c r="BG315" i="31"/>
  <c r="DT314" i="31" l="1"/>
  <c r="DZ314" i="31" s="1"/>
  <c r="GT316" i="31"/>
  <c r="GR314" i="31"/>
  <c r="GV314" i="31"/>
  <c r="FD314" i="31"/>
  <c r="GU314" i="31"/>
  <c r="BH315" i="31"/>
  <c r="BI315" i="31"/>
  <c r="BK315" i="31" s="1"/>
  <c r="GS314" i="31" l="1"/>
  <c r="IS314" i="31"/>
  <c r="FL315" i="31"/>
  <c r="FM315" i="31" s="1"/>
  <c r="BJ315" i="31"/>
  <c r="BL315" i="31"/>
  <c r="BM315" i="31"/>
  <c r="IT314" i="31" l="1"/>
  <c r="JH314" i="31"/>
  <c r="JI314" i="31" s="1"/>
  <c r="GY314" i="31"/>
  <c r="GX314" i="31"/>
  <c r="GW314" i="31"/>
  <c r="HC314" i="31" s="1"/>
  <c r="FA315" i="31" s="1"/>
  <c r="HB315" i="31" s="1"/>
  <c r="BN315" i="31"/>
  <c r="BO315" i="31"/>
  <c r="EY314" i="31" l="1"/>
  <c r="HM314" i="31"/>
  <c r="EG314" i="31"/>
  <c r="EH315" i="31" s="1"/>
  <c r="EI315" i="31" s="1"/>
  <c r="FK315" i="31" s="1"/>
  <c r="HK315" i="31"/>
  <c r="JK314" i="31"/>
  <c r="JN314" i="31" s="1"/>
  <c r="JV314" i="31" s="1"/>
  <c r="JF315" i="31" s="1"/>
  <c r="BP315" i="31"/>
  <c r="BQ315" i="31" s="1"/>
  <c r="JM314" i="31" l="1"/>
  <c r="KD314" i="31" s="1"/>
  <c r="IL315" i="31" s="1"/>
  <c r="JY315" i="31"/>
  <c r="JW315" i="31"/>
  <c r="KA315" i="31"/>
  <c r="HZ315" i="31" s="1"/>
  <c r="JZ314" i="31"/>
  <c r="KF314" i="31" s="1"/>
  <c r="IQ315" i="31" s="1"/>
  <c r="JL314" i="31"/>
  <c r="JJ315" i="31" s="1"/>
  <c r="ED314" i="31"/>
  <c r="EB315" i="31" s="1"/>
  <c r="EE314" i="31"/>
  <c r="EF315" i="31" s="1"/>
  <c r="EJ314" i="31"/>
  <c r="EK315" i="31" s="1"/>
  <c r="EZ314" i="31"/>
  <c r="DG314" i="31"/>
  <c r="DH314" i="31" s="1"/>
  <c r="DI315" i="31" s="1"/>
  <c r="BR315" i="31"/>
  <c r="BS315" i="31"/>
  <c r="IO315" i="31" l="1"/>
  <c r="JO315" i="31"/>
  <c r="IY315" i="31"/>
  <c r="JE315" i="31"/>
  <c r="JA315" i="31"/>
  <c r="IR315" i="31"/>
  <c r="EP315" i="31"/>
  <c r="ET316" i="31" s="1"/>
  <c r="EL315" i="31"/>
  <c r="EO315" i="31"/>
  <c r="ES316" i="31" s="1"/>
  <c r="FC315" i="31"/>
  <c r="EV315" i="31"/>
  <c r="DP315" i="31"/>
  <c r="JD315" i="31"/>
  <c r="JC315" i="31"/>
  <c r="DJ315" i="31"/>
  <c r="DK315" i="31" s="1"/>
  <c r="GZ315" i="31"/>
  <c r="IE315" i="31" s="1"/>
  <c r="IP315" i="31"/>
  <c r="BT315" i="31"/>
  <c r="BU315" i="31"/>
  <c r="JP315" i="31" l="1"/>
  <c r="JQ315" i="31" s="1"/>
  <c r="EC315" i="31"/>
  <c r="KG315" i="31"/>
  <c r="JX315" i="31"/>
  <c r="DX315" i="31"/>
  <c r="DM315" i="31"/>
  <c r="FQ315" i="31"/>
  <c r="BV315" i="31"/>
  <c r="BW315" i="31" s="1"/>
  <c r="BX315" i="31" l="1"/>
  <c r="BY315" i="31"/>
  <c r="BZ315" i="31" s="1"/>
  <c r="DL315" i="31"/>
  <c r="L316" i="31"/>
  <c r="EX315" i="31"/>
  <c r="M315" i="31" s="1"/>
  <c r="FB315" i="31"/>
  <c r="CA315" i="31" l="1"/>
  <c r="CC315" i="31" s="1"/>
  <c r="CD315" i="31" s="1"/>
  <c r="MJ315" i="31"/>
  <c r="NS315" i="31" s="1"/>
  <c r="MB315" i="31"/>
  <c r="CE315" i="31" l="1"/>
  <c r="CG315" i="31" s="1"/>
  <c r="NM315" i="31"/>
  <c r="NN315" i="31" s="1"/>
  <c r="CB315" i="31"/>
  <c r="NT315" i="31"/>
  <c r="OU316" i="31"/>
  <c r="CF315" i="31" l="1"/>
  <c r="NW315" i="31"/>
  <c r="NX315" i="31" s="1"/>
  <c r="NY315" i="31" s="1"/>
  <c r="OB315" i="31" s="1"/>
  <c r="OT316" i="31" s="1"/>
  <c r="OV316" i="31"/>
  <c r="FV315" i="31"/>
  <c r="FR315" i="31"/>
  <c r="CX315" i="31"/>
  <c r="NU315" i="31"/>
  <c r="NV315" i="31" s="1"/>
  <c r="CH315" i="31"/>
  <c r="CI315" i="31" s="1"/>
  <c r="CK315" i="31" l="1"/>
  <c r="CM315" i="31" s="1"/>
  <c r="CN315" i="31" s="1"/>
  <c r="CJ315" i="31"/>
  <c r="CO315" i="31" s="1"/>
  <c r="OF315" i="31"/>
  <c r="OS316" i="31" s="1"/>
  <c r="NZ315" i="31"/>
  <c r="OA315" i="31" s="1"/>
  <c r="MV316" i="31" s="1"/>
  <c r="OG316" i="31" s="1"/>
  <c r="CY316" i="31"/>
  <c r="MY315" i="31"/>
  <c r="PA315" i="31" s="1"/>
  <c r="CL315" i="31" l="1"/>
  <c r="CP315" i="31" s="1"/>
  <c r="OJ315" i="31"/>
  <c r="OY316" i="31" s="1"/>
  <c r="OC315" i="31"/>
  <c r="OD316" i="31" s="1"/>
  <c r="OH316" i="31" s="1"/>
  <c r="OK316" i="31" s="1"/>
  <c r="OI315" i="31"/>
  <c r="MZ316" i="31"/>
  <c r="OZ315" i="31"/>
  <c r="NF316" i="31"/>
  <c r="OM316" i="31"/>
  <c r="OO316" i="31"/>
  <c r="KT316" i="31" s="1"/>
  <c r="KL316" i="31" s="1"/>
  <c r="KN317" i="31" s="1"/>
  <c r="MW316" i="31" l="1"/>
  <c r="MX316" i="31" s="1"/>
  <c r="KM316" i="31"/>
  <c r="KO317" i="31" s="1"/>
  <c r="KR316" i="31" s="1"/>
  <c r="OW315" i="31"/>
  <c r="MR316" i="31"/>
  <c r="MS316" i="31" s="1"/>
  <c r="NJ316" i="31" s="1"/>
  <c r="OX316" i="31"/>
  <c r="GB315" i="31"/>
  <c r="GC315" i="31" s="1"/>
  <c r="FP315" i="31"/>
  <c r="FS315" i="31" s="1"/>
  <c r="FE315" i="31"/>
  <c r="FF315" i="31" s="1"/>
  <c r="FX315" i="31"/>
  <c r="FY315" i="31" s="1"/>
  <c r="DQ315" i="31"/>
  <c r="DR315" i="31" s="1"/>
  <c r="FU315" i="31"/>
  <c r="FW315" i="31" s="1"/>
  <c r="CQ315" i="31"/>
  <c r="JR315" i="31"/>
  <c r="JS315" i="31" s="1"/>
  <c r="GO315" i="31"/>
  <c r="FH315" i="31"/>
  <c r="FI315" i="31" s="1"/>
  <c r="HO315" i="31"/>
  <c r="FZ315" i="31"/>
  <c r="GA315" i="31" s="1"/>
  <c r="KX315" i="31"/>
  <c r="GN315" i="31" s="1"/>
  <c r="KU315" i="31"/>
  <c r="KQ316" i="31"/>
  <c r="MT316" i="31" l="1"/>
  <c r="MO316" i="31"/>
  <c r="NP316" i="31"/>
  <c r="NH317" i="31"/>
  <c r="NI317" i="31" s="1"/>
  <c r="NQ316" i="31"/>
  <c r="MU316" i="31"/>
  <c r="KP317" i="31"/>
  <c r="PE316" i="31"/>
  <c r="KS316" i="31"/>
  <c r="CT315" i="31"/>
  <c r="CS315" i="31"/>
  <c r="CR315" i="31"/>
  <c r="NK316" i="31"/>
  <c r="NL316" i="31"/>
  <c r="NG317" i="31"/>
  <c r="OQ317" i="31"/>
  <c r="DS315" i="31"/>
  <c r="AX315" i="31" s="1"/>
  <c r="AY316" i="31" s="1"/>
  <c r="GQ315" i="31"/>
  <c r="KV315" i="31"/>
  <c r="FG316" i="31"/>
  <c r="HW315" i="31"/>
  <c r="HX316" i="31" s="1"/>
  <c r="NB316" i="31"/>
  <c r="NA316" i="31"/>
  <c r="HU315" i="31"/>
  <c r="HV316" i="31" s="1"/>
  <c r="FJ316" i="31"/>
  <c r="HA315" i="31"/>
  <c r="DY315" i="31"/>
  <c r="HY315" i="31"/>
  <c r="HP315" i="31"/>
  <c r="IA315" i="31"/>
  <c r="IB315" i="31" s="1"/>
  <c r="IZ315" i="31"/>
  <c r="KC315" i="31"/>
  <c r="JU315" i="31"/>
  <c r="JT316" i="31"/>
  <c r="KE315" i="31"/>
  <c r="KW316" i="31" l="1"/>
  <c r="HQ315" i="31"/>
  <c r="HR316" i="31" s="1"/>
  <c r="NR316" i="31"/>
  <c r="AZ315" i="31"/>
  <c r="EN315" i="31"/>
  <c r="EM315" i="31"/>
  <c r="EW315" i="31" s="1"/>
  <c r="NC317" i="31"/>
  <c r="MQ317" i="31"/>
  <c r="OR317" i="31"/>
  <c r="HS315" i="31"/>
  <c r="JG315" i="31" s="1"/>
  <c r="HT315" i="31"/>
  <c r="IC315" i="31" l="1"/>
  <c r="ID315" i="31" s="1"/>
  <c r="IF315" i="31" s="1"/>
  <c r="KH315" i="31" s="1"/>
  <c r="JB315" i="31"/>
  <c r="BB316" i="31"/>
  <c r="EQ315" i="31"/>
  <c r="IW315" i="31"/>
  <c r="DW315" i="31"/>
  <c r="DU316" i="31" s="1"/>
  <c r="ER316" i="31"/>
  <c r="IU315" i="31"/>
  <c r="IV315" i="31" s="1"/>
  <c r="BC316" i="31" l="1"/>
  <c r="KB315" i="31"/>
  <c r="IX315" i="31"/>
  <c r="KK315" i="31"/>
  <c r="GM315" i="31"/>
  <c r="IM315" i="31"/>
  <c r="DT315" i="31" s="1"/>
  <c r="DZ315" i="31" s="1"/>
  <c r="DB315" i="31"/>
  <c r="DC315" i="31" s="1"/>
  <c r="DD316" i="31" s="1"/>
  <c r="DE317" i="31" s="1"/>
  <c r="KI316" i="31"/>
  <c r="IN315" i="31"/>
  <c r="DF315" i="31"/>
  <c r="EU316" i="31"/>
  <c r="GT317" i="31" l="1"/>
  <c r="GR315" i="31"/>
  <c r="KJ316" i="31"/>
  <c r="FD315" i="31"/>
  <c r="GV315" i="31"/>
  <c r="GU315" i="31"/>
  <c r="BD316" i="31"/>
  <c r="BE316" i="31"/>
  <c r="IS315" i="31" l="1"/>
  <c r="FL316" i="31"/>
  <c r="BF316" i="31"/>
  <c r="BG316" i="31"/>
  <c r="GS315" i="31"/>
  <c r="GX315" i="31" l="1"/>
  <c r="GY315" i="31"/>
  <c r="GW315" i="31"/>
  <c r="HC315" i="31" s="1"/>
  <c r="FA316" i="31" s="1"/>
  <c r="HB316" i="31" s="1"/>
  <c r="BI316" i="31"/>
  <c r="BK316" i="31" s="1"/>
  <c r="BH316" i="31"/>
  <c r="FM316" i="31"/>
  <c r="JH315" i="31"/>
  <c r="JI315" i="31" s="1"/>
  <c r="IT315" i="31"/>
  <c r="BL316" i="31" l="1"/>
  <c r="BM316" i="31"/>
  <c r="JK315" i="31"/>
  <c r="JN315" i="31" s="1"/>
  <c r="JV315" i="31" s="1"/>
  <c r="JF316" i="31" s="1"/>
  <c r="HM315" i="31"/>
  <c r="EY315" i="31"/>
  <c r="EG315" i="31"/>
  <c r="EH316" i="31" s="1"/>
  <c r="EI316" i="31" s="1"/>
  <c r="FK316" i="31" s="1"/>
  <c r="HK316" i="31"/>
  <c r="BJ316" i="31"/>
  <c r="JM315" i="31" l="1"/>
  <c r="KD315" i="31" s="1"/>
  <c r="IL316" i="31" s="1"/>
  <c r="JW316" i="31"/>
  <c r="JY316" i="31"/>
  <c r="ED315" i="31"/>
  <c r="EB316" i="31" s="1"/>
  <c r="EJ315" i="31"/>
  <c r="EK316" i="31" s="1"/>
  <c r="EE315" i="31"/>
  <c r="EF316" i="31" s="1"/>
  <c r="BN316" i="31"/>
  <c r="BO316" i="31"/>
  <c r="JZ315" i="31"/>
  <c r="KF315" i="31" s="1"/>
  <c r="IQ316" i="31" s="1"/>
  <c r="JL315" i="31"/>
  <c r="JJ316" i="31" s="1"/>
  <c r="KA316" i="31"/>
  <c r="EZ315" i="31"/>
  <c r="DG315" i="31"/>
  <c r="DH315" i="31" s="1"/>
  <c r="DI316" i="31" s="1"/>
  <c r="GZ316" i="31" l="1"/>
  <c r="IE316" i="31" s="1"/>
  <c r="DJ316" i="31"/>
  <c r="DK316" i="31" s="1"/>
  <c r="IO316" i="31"/>
  <c r="DP316" i="31"/>
  <c r="JC316" i="31"/>
  <c r="JD316" i="31"/>
  <c r="FC316" i="31"/>
  <c r="EL316" i="31"/>
  <c r="EO316" i="31"/>
  <c r="ES317" i="31" s="1"/>
  <c r="EP316" i="31"/>
  <c r="ET317" i="31" s="1"/>
  <c r="EV316" i="31"/>
  <c r="JA316" i="31"/>
  <c r="IY316" i="31"/>
  <c r="JO316" i="31"/>
  <c r="JE316" i="31"/>
  <c r="IR316" i="31"/>
  <c r="BP316" i="31"/>
  <c r="BQ316" i="31" s="1"/>
  <c r="HZ316" i="31"/>
  <c r="IP316" i="31"/>
  <c r="JP316" i="31" l="1"/>
  <c r="JQ316" i="31" s="1"/>
  <c r="KG316" i="31"/>
  <c r="JX316" i="31"/>
  <c r="FQ316" i="31"/>
  <c r="DM316" i="31"/>
  <c r="DX316" i="31"/>
  <c r="EC316" i="31"/>
  <c r="BR316" i="31"/>
  <c r="BS316" i="31"/>
  <c r="FB316" i="31" l="1"/>
  <c r="EX316" i="31"/>
  <c r="M316" i="31" s="1"/>
  <c r="DL316" i="31"/>
  <c r="L317" i="31"/>
  <c r="BT316" i="31"/>
  <c r="BU316" i="31"/>
  <c r="BV316" i="31" l="1"/>
  <c r="BW316" i="31" s="1"/>
  <c r="MB316" i="31"/>
  <c r="MJ316" i="31"/>
  <c r="NS316" i="31" s="1"/>
  <c r="NM316" i="31" l="1"/>
  <c r="NN316" i="31" s="1"/>
  <c r="BY316" i="31"/>
  <c r="BX316" i="31"/>
  <c r="NT316" i="31"/>
  <c r="OU317" i="31"/>
  <c r="BZ316" i="31" l="1"/>
  <c r="CA316" i="31"/>
  <c r="CC316" i="31" s="1"/>
  <c r="CD316" i="31" s="1"/>
  <c r="OV317" i="31"/>
  <c r="NW316" i="31"/>
  <c r="NX316" i="31" s="1"/>
  <c r="CX316" i="31"/>
  <c r="FR316" i="31"/>
  <c r="FV316" i="31"/>
  <c r="NU316" i="31"/>
  <c r="CB316" i="31" l="1"/>
  <c r="CE316" i="31"/>
  <c r="CF316" i="31" s="1"/>
  <c r="NV316" i="31"/>
  <c r="NY316" i="31"/>
  <c r="OF316" i="31"/>
  <c r="OS317" i="31" s="1"/>
  <c r="NZ316" i="31"/>
  <c r="MY316" i="31"/>
  <c r="CY317" i="31"/>
  <c r="CG316" i="31" l="1"/>
  <c r="CH316" i="31" s="1"/>
  <c r="CI316" i="31" s="1"/>
  <c r="OO317" i="31"/>
  <c r="NF317" i="31"/>
  <c r="OM317" i="31"/>
  <c r="OB316" i="31"/>
  <c r="OT317" i="31" s="1"/>
  <c r="MZ317" i="31"/>
  <c r="OZ316" i="31"/>
  <c r="OA316" i="31"/>
  <c r="MV317" i="31" s="1"/>
  <c r="OI316" i="31"/>
  <c r="CJ316" i="31" l="1"/>
  <c r="CO316" i="31" s="1"/>
  <c r="CK316" i="31"/>
  <c r="CL316" i="31" s="1"/>
  <c r="OJ316" i="31"/>
  <c r="OY317" i="31" s="1"/>
  <c r="OC316" i="31"/>
  <c r="OD317" i="31" s="1"/>
  <c r="OH317" i="31" s="1"/>
  <c r="OX317" i="31"/>
  <c r="MR317" i="31"/>
  <c r="OW316" i="31"/>
  <c r="KT317" i="31"/>
  <c r="OG317" i="31"/>
  <c r="PA316" i="31"/>
  <c r="MW317" i="31" l="1"/>
  <c r="MX317" i="31" s="1"/>
  <c r="CM316" i="31"/>
  <c r="CN316" i="31" s="1"/>
  <c r="CP316" i="31" s="1"/>
  <c r="OK317" i="31"/>
  <c r="KL317" i="31"/>
  <c r="KN318" i="31" s="1"/>
  <c r="KM317" i="31"/>
  <c r="KO318" i="31" s="1"/>
  <c r="MS317" i="31"/>
  <c r="NP317" i="31" l="1"/>
  <c r="MO317" i="31"/>
  <c r="MU317" i="31"/>
  <c r="NJ317" i="31"/>
  <c r="NH318" i="31"/>
  <c r="NI318" i="31" s="1"/>
  <c r="NQ317" i="31"/>
  <c r="MT317" i="31"/>
  <c r="PE317" i="31"/>
  <c r="NB317" i="31"/>
  <c r="NA317" i="31"/>
  <c r="KP318" i="31"/>
  <c r="KR317" i="31"/>
  <c r="GO316" i="31"/>
  <c r="FH316" i="31"/>
  <c r="FI316" i="31" s="1"/>
  <c r="JR316" i="31"/>
  <c r="JS316" i="31" s="1"/>
  <c r="FP316" i="31"/>
  <c r="FS316" i="31" s="1"/>
  <c r="FZ316" i="31"/>
  <c r="GA316" i="31" s="1"/>
  <c r="CQ316" i="31"/>
  <c r="HO316" i="31"/>
  <c r="FX316" i="31"/>
  <c r="FY316" i="31" s="1"/>
  <c r="GB316" i="31"/>
  <c r="GC316" i="31" s="1"/>
  <c r="FE316" i="31"/>
  <c r="FF316" i="31" s="1"/>
  <c r="DQ316" i="31"/>
  <c r="DR316" i="31" s="1"/>
  <c r="FU316" i="31"/>
  <c r="FW316" i="31" s="1"/>
  <c r="KX316" i="31"/>
  <c r="KU316" i="31"/>
  <c r="KQ317" i="31"/>
  <c r="NR317" i="31" l="1"/>
  <c r="GN316" i="31"/>
  <c r="KV316" i="31" s="1"/>
  <c r="KS317" i="31"/>
  <c r="JU316" i="31"/>
  <c r="KE316" i="31"/>
  <c r="KC316" i="31"/>
  <c r="JT317" i="31"/>
  <c r="FG317" i="31"/>
  <c r="HW316" i="31"/>
  <c r="HX317" i="31" s="1"/>
  <c r="NL317" i="31"/>
  <c r="NK317" i="31"/>
  <c r="NG318" i="31"/>
  <c r="OQ318" i="31"/>
  <c r="HU316" i="31"/>
  <c r="HV317" i="31" s="1"/>
  <c r="FJ317" i="31"/>
  <c r="IA316" i="31"/>
  <c r="IB316" i="31" s="1"/>
  <c r="HP316" i="31"/>
  <c r="IZ316" i="31"/>
  <c r="CT316" i="31"/>
  <c r="CR316" i="31"/>
  <c r="CS316" i="31"/>
  <c r="DS316" i="31"/>
  <c r="AX316" i="31" s="1"/>
  <c r="AY317" i="31" s="1"/>
  <c r="HY316" i="31"/>
  <c r="DY316" i="31"/>
  <c r="HA316" i="31"/>
  <c r="GQ316" i="31" l="1"/>
  <c r="KW317" i="31"/>
  <c r="HQ316" i="31"/>
  <c r="HR317" i="31" s="1"/>
  <c r="HT316" i="31"/>
  <c r="HS316" i="31"/>
  <c r="JG316" i="31" s="1"/>
  <c r="NC318" i="31"/>
  <c r="MQ318" i="31"/>
  <c r="OR318" i="31"/>
  <c r="EN316" i="31"/>
  <c r="AZ316" i="31"/>
  <c r="EM316" i="31"/>
  <c r="EW316" i="31" s="1"/>
  <c r="IC316" i="31" l="1"/>
  <c r="ID316" i="31" s="1"/>
  <c r="IF316" i="31" s="1"/>
  <c r="KH316" i="31" s="1"/>
  <c r="JB316" i="31"/>
  <c r="BB317" i="31"/>
  <c r="DW316" i="31"/>
  <c r="DU317" i="31" s="1"/>
  <c r="EQ316" i="31"/>
  <c r="IW316" i="31"/>
  <c r="ER317" i="31"/>
  <c r="IU316" i="31"/>
  <c r="IV316" i="31" s="1"/>
  <c r="KB316" i="31" l="1"/>
  <c r="IX316" i="31"/>
  <c r="KK316" i="31"/>
  <c r="IM316" i="31"/>
  <c r="GM316" i="31"/>
  <c r="DB316" i="31"/>
  <c r="DC316" i="31" s="1"/>
  <c r="DD317" i="31" s="1"/>
  <c r="DE318" i="31" s="1"/>
  <c r="KI317" i="31"/>
  <c r="IN316" i="31"/>
  <c r="DF316" i="31"/>
  <c r="BC317" i="31"/>
  <c r="EU317" i="31"/>
  <c r="DT316" i="31" l="1"/>
  <c r="DZ316" i="31" s="1"/>
  <c r="GT318" i="31"/>
  <c r="FD316" i="31"/>
  <c r="GU316" i="31"/>
  <c r="GV316" i="31"/>
  <c r="BD317" i="31"/>
  <c r="BE317" i="31"/>
  <c r="GR316" i="31"/>
  <c r="KJ317" i="31"/>
  <c r="BF317" i="31" l="1"/>
  <c r="BG317" i="31"/>
  <c r="GS316" i="31"/>
  <c r="IS316" i="31"/>
  <c r="FL317" i="31"/>
  <c r="FM317" i="31" l="1"/>
  <c r="BH317" i="31"/>
  <c r="BI317" i="31"/>
  <c r="BK317" i="31" s="1"/>
  <c r="JH316" i="31"/>
  <c r="JI316" i="31" s="1"/>
  <c r="IT316" i="31"/>
  <c r="GW316" i="31"/>
  <c r="HC316" i="31" s="1"/>
  <c r="FA317" i="31" s="1"/>
  <c r="HB317" i="31" s="1"/>
  <c r="GX316" i="31"/>
  <c r="GY316" i="31"/>
  <c r="BJ317" i="31" l="1"/>
  <c r="EG316" i="31"/>
  <c r="EH317" i="31" s="1"/>
  <c r="EI317" i="31" s="1"/>
  <c r="FK317" i="31" s="1"/>
  <c r="HM316" i="31"/>
  <c r="EY316" i="31"/>
  <c r="HK317" i="31"/>
  <c r="BL317" i="31"/>
  <c r="BM317" i="31"/>
  <c r="JK316" i="31"/>
  <c r="JN316" i="31" s="1"/>
  <c r="JV316" i="31" s="1"/>
  <c r="JF317" i="31" s="1"/>
  <c r="JY317" i="31" l="1"/>
  <c r="JW317" i="31"/>
  <c r="JM316" i="31"/>
  <c r="KD316" i="31" s="1"/>
  <c r="IL317" i="31" s="1"/>
  <c r="JL316" i="31"/>
  <c r="JJ317" i="31" s="1"/>
  <c r="KA317" i="31"/>
  <c r="EZ316" i="31"/>
  <c r="DG316" i="31"/>
  <c r="DH316" i="31" s="1"/>
  <c r="DI317" i="31" s="1"/>
  <c r="JZ316" i="31"/>
  <c r="KF316" i="31" s="1"/>
  <c r="IQ317" i="31" s="1"/>
  <c r="EE316" i="31"/>
  <c r="EF317" i="31" s="1"/>
  <c r="EJ316" i="31"/>
  <c r="EK317" i="31" s="1"/>
  <c r="ED316" i="31"/>
  <c r="EB317" i="31" s="1"/>
  <c r="BO317" i="31"/>
  <c r="BN317" i="31"/>
  <c r="HZ317" i="31" l="1"/>
  <c r="IO317" i="31"/>
  <c r="IP317" i="31"/>
  <c r="JC317" i="31"/>
  <c r="JD317" i="31"/>
  <c r="IR317" i="31"/>
  <c r="JO317" i="31"/>
  <c r="IY317" i="31"/>
  <c r="JE317" i="31"/>
  <c r="JA317" i="31"/>
  <c r="BP317" i="31"/>
  <c r="BQ317" i="31" s="1"/>
  <c r="FC317" i="31"/>
  <c r="EL317" i="31"/>
  <c r="EO317" i="31"/>
  <c r="ES318" i="31" s="1"/>
  <c r="EP317" i="31"/>
  <c r="ET318" i="31" s="1"/>
  <c r="EV317" i="31"/>
  <c r="DJ317" i="31"/>
  <c r="DK317" i="31" s="1"/>
  <c r="GZ317" i="31"/>
  <c r="IE317" i="31" s="1"/>
  <c r="DP317" i="31"/>
  <c r="BR317" i="31" l="1"/>
  <c r="BS317" i="31"/>
  <c r="JX317" i="31"/>
  <c r="JP317" i="31"/>
  <c r="JQ317" i="31" s="1"/>
  <c r="DM317" i="31"/>
  <c r="FQ317" i="31"/>
  <c r="DX317" i="31"/>
  <c r="EC317" i="31"/>
  <c r="KG317" i="31"/>
  <c r="BT317" i="31" l="1"/>
  <c r="BU317" i="31"/>
  <c r="BV317" i="31" s="1"/>
  <c r="BW317" i="31" s="1"/>
  <c r="DL317" i="31"/>
  <c r="L318" i="31"/>
  <c r="EX317" i="31"/>
  <c r="M317" i="31" s="1"/>
  <c r="FB317" i="31"/>
  <c r="BY317" i="31" l="1"/>
  <c r="CA317" i="31" s="1"/>
  <c r="CC317" i="31" s="1"/>
  <c r="BX317" i="31"/>
  <c r="MB317" i="31"/>
  <c r="MJ317" i="31"/>
  <c r="NS317" i="31" s="1"/>
  <c r="NM317" i="31" l="1"/>
  <c r="NN317" i="31" s="1"/>
  <c r="OV318" i="31" s="1"/>
  <c r="BZ317" i="31"/>
  <c r="CB317" i="31"/>
  <c r="NT317" i="31"/>
  <c r="OU318" i="31"/>
  <c r="CD317" i="31"/>
  <c r="CE317" i="31"/>
  <c r="NW317" i="31" l="1"/>
  <c r="NX317" i="31" s="1"/>
  <c r="FV317" i="31"/>
  <c r="CX317" i="31"/>
  <c r="FR317" i="31"/>
  <c r="NU317" i="31"/>
  <c r="CF317" i="31"/>
  <c r="CG317" i="31"/>
  <c r="NV317" i="31" l="1"/>
  <c r="NZ317" i="31"/>
  <c r="MY317" i="31"/>
  <c r="CY318" i="31"/>
  <c r="NY317" i="31"/>
  <c r="CH317" i="31"/>
  <c r="CI317" i="31" s="1"/>
  <c r="OF317" i="31"/>
  <c r="OS318" i="31" s="1"/>
  <c r="CK317" i="31" l="1"/>
  <c r="CJ317" i="31"/>
  <c r="CO317" i="31" s="1"/>
  <c r="OI317" i="31"/>
  <c r="OW317" i="31" s="1"/>
  <c r="MZ318" i="31"/>
  <c r="OZ317" i="31"/>
  <c r="NF318" i="31"/>
  <c r="OO318" i="31"/>
  <c r="OM318" i="31"/>
  <c r="OB317" i="31"/>
  <c r="OT318" i="31" s="1"/>
  <c r="OA317" i="31"/>
  <c r="MV318" i="31" s="1"/>
  <c r="CL317" i="31" l="1"/>
  <c r="OX318" i="31"/>
  <c r="CM317" i="31"/>
  <c r="CN317" i="31" s="1"/>
  <c r="MR318" i="31"/>
  <c r="OJ317" i="31"/>
  <c r="OC317" i="31"/>
  <c r="OD318" i="31" s="1"/>
  <c r="OH318" i="31" s="1"/>
  <c r="PA317" i="31"/>
  <c r="MS318" i="31"/>
  <c r="OG318" i="31"/>
  <c r="KT318" i="31"/>
  <c r="CP317" i="31" l="1"/>
  <c r="GO317" i="31" s="1"/>
  <c r="KL318" i="31"/>
  <c r="KN319" i="31" s="1"/>
  <c r="KM318" i="31"/>
  <c r="KO319" i="31" s="1"/>
  <c r="NJ318" i="31"/>
  <c r="NP318" i="31"/>
  <c r="NH319" i="31"/>
  <c r="NI319" i="31" s="1"/>
  <c r="MU318" i="31"/>
  <c r="MT318" i="31"/>
  <c r="NQ318" i="31"/>
  <c r="MO318" i="31"/>
  <c r="PE318" i="31"/>
  <c r="OK318" i="31"/>
  <c r="MW318" i="31"/>
  <c r="OY318" i="31"/>
  <c r="FX317" i="31" l="1"/>
  <c r="FY317" i="31" s="1"/>
  <c r="FH317" i="31"/>
  <c r="FI317" i="31" s="1"/>
  <c r="FJ318" i="31" s="1"/>
  <c r="KX317" i="31"/>
  <c r="KU317" i="31"/>
  <c r="JR317" i="31"/>
  <c r="JS317" i="31" s="1"/>
  <c r="KE317" i="31" s="1"/>
  <c r="CQ317" i="31"/>
  <c r="CT317" i="31" s="1"/>
  <c r="GB317" i="31"/>
  <c r="GC317" i="31" s="1"/>
  <c r="FU317" i="31"/>
  <c r="FW317" i="31" s="1"/>
  <c r="DQ317" i="31"/>
  <c r="DR317" i="31" s="1"/>
  <c r="DS317" i="31" s="1"/>
  <c r="AX317" i="31" s="1"/>
  <c r="AY318" i="31" s="1"/>
  <c r="FE317" i="31"/>
  <c r="FF317" i="31" s="1"/>
  <c r="HW317" i="31" s="1"/>
  <c r="HX318" i="31" s="1"/>
  <c r="FZ317" i="31"/>
  <c r="GA317" i="31" s="1"/>
  <c r="HO317" i="31"/>
  <c r="IA317" i="31" s="1"/>
  <c r="IB317" i="31" s="1"/>
  <c r="FP317" i="31"/>
  <c r="FS317" i="31" s="1"/>
  <c r="HY317" i="31" s="1"/>
  <c r="GN317" i="31"/>
  <c r="GQ317" i="31" s="1"/>
  <c r="NR318" i="31"/>
  <c r="KP319" i="31"/>
  <c r="KR318" i="31"/>
  <c r="KQ318" i="31"/>
  <c r="MX318" i="31"/>
  <c r="NK318" i="31"/>
  <c r="NL318" i="31"/>
  <c r="NG319" i="31"/>
  <c r="OQ319" i="31"/>
  <c r="KC317" i="31" l="1"/>
  <c r="JT318" i="31"/>
  <c r="HU317" i="31"/>
  <c r="HV318" i="31" s="1"/>
  <c r="FG318" i="31"/>
  <c r="JU317" i="31"/>
  <c r="IZ317" i="31"/>
  <c r="HA317" i="31"/>
  <c r="HP317" i="31"/>
  <c r="HT317" i="31" s="1"/>
  <c r="DY317" i="31"/>
  <c r="CR317" i="31"/>
  <c r="CS317" i="31"/>
  <c r="KV317" i="31"/>
  <c r="KW318" i="31" s="1"/>
  <c r="HQ317" i="31"/>
  <c r="HR318" i="31" s="1"/>
  <c r="KS318" i="31"/>
  <c r="NA318" i="31"/>
  <c r="NB318" i="31"/>
  <c r="OR319" i="31"/>
  <c r="NC319" i="31"/>
  <c r="MQ319" i="31"/>
  <c r="AZ317" i="31"/>
  <c r="EM317" i="31"/>
  <c r="EW317" i="31" s="1"/>
  <c r="EN317" i="31"/>
  <c r="HS317" i="31" l="1"/>
  <c r="JG317" i="31" s="1"/>
  <c r="BB318" i="31"/>
  <c r="EQ317" i="31"/>
  <c r="IW317" i="31"/>
  <c r="DW317" i="31"/>
  <c r="DU318" i="31" s="1"/>
  <c r="ER318" i="31"/>
  <c r="IU317" i="31"/>
  <c r="IV317" i="31" s="1"/>
  <c r="IC317" i="31"/>
  <c r="ID317" i="31" s="1"/>
  <c r="IF317" i="31" s="1"/>
  <c r="KH317" i="31" s="1"/>
  <c r="JB317" i="31"/>
  <c r="KK317" i="31" l="1"/>
  <c r="KB317" i="31"/>
  <c r="IX317" i="31"/>
  <c r="EU318" i="31"/>
  <c r="BC318" i="31"/>
  <c r="DB317" i="31"/>
  <c r="DC317" i="31" s="1"/>
  <c r="DD318" i="31" s="1"/>
  <c r="DE319" i="31" s="1"/>
  <c r="GM317" i="31"/>
  <c r="IM317" i="31"/>
  <c r="KI318" i="31"/>
  <c r="IN317" i="31"/>
  <c r="DF317" i="31"/>
  <c r="GT319" i="31" l="1"/>
  <c r="GV317" i="31"/>
  <c r="GU317" i="31"/>
  <c r="FD317" i="31"/>
  <c r="KJ318" i="31"/>
  <c r="BE318" i="31"/>
  <c r="BD318" i="31"/>
  <c r="DT317" i="31"/>
  <c r="DZ317" i="31" s="1"/>
  <c r="GR317" i="31"/>
  <c r="BG318" i="31" l="1"/>
  <c r="BF318" i="31"/>
  <c r="GS317" i="31"/>
  <c r="IS317" i="31"/>
  <c r="FL318" i="31"/>
  <c r="FM318" i="31" l="1"/>
  <c r="JH317" i="31"/>
  <c r="JI317" i="31" s="1"/>
  <c r="IT317" i="31"/>
  <c r="GW317" i="31"/>
  <c r="HC317" i="31" s="1"/>
  <c r="FA318" i="31" s="1"/>
  <c r="HB318" i="31" s="1"/>
  <c r="GX317" i="31"/>
  <c r="GY317" i="31"/>
  <c r="BI318" i="31"/>
  <c r="BK318" i="31" s="1"/>
  <c r="BH318" i="31"/>
  <c r="BJ318" i="31" l="1"/>
  <c r="HM317" i="31"/>
  <c r="EG317" i="31"/>
  <c r="EH318" i="31" s="1"/>
  <c r="EI318" i="31" s="1"/>
  <c r="FK318" i="31" s="1"/>
  <c r="EY317" i="31"/>
  <c r="HK318" i="31"/>
  <c r="JK317" i="31"/>
  <c r="JZ317" i="31" s="1"/>
  <c r="KF317" i="31" s="1"/>
  <c r="IQ318" i="31" s="1"/>
  <c r="BL318" i="31"/>
  <c r="BM318" i="31"/>
  <c r="JN317" i="31" l="1"/>
  <c r="JV317" i="31" s="1"/>
  <c r="JF318" i="31" s="1"/>
  <c r="BN318" i="31"/>
  <c r="BO318" i="31"/>
  <c r="EZ317" i="31"/>
  <c r="DG317" i="31"/>
  <c r="DH317" i="31" s="1"/>
  <c r="DI318" i="31" s="1"/>
  <c r="EJ317" i="31"/>
  <c r="EK318" i="31" s="1"/>
  <c r="EE317" i="31"/>
  <c r="EF318" i="31" s="1"/>
  <c r="ED317" i="31"/>
  <c r="EB318" i="31" s="1"/>
  <c r="JL317" i="31"/>
  <c r="JJ318" i="31" s="1"/>
  <c r="KA318" i="31"/>
  <c r="JM317" i="31"/>
  <c r="KD317" i="31" s="1"/>
  <c r="IL318" i="31" s="1"/>
  <c r="BP318" i="31" l="1"/>
  <c r="BQ318" i="31" s="1"/>
  <c r="IP318" i="31"/>
  <c r="IO318" i="31"/>
  <c r="DP318" i="31"/>
  <c r="JW318" i="31"/>
  <c r="JY318" i="31"/>
  <c r="HZ318" i="31"/>
  <c r="IR318" i="31"/>
  <c r="FC318" i="31"/>
  <c r="EL318" i="31"/>
  <c r="EP318" i="31"/>
  <c r="ET319" i="31" s="1"/>
  <c r="EO318" i="31"/>
  <c r="ES319" i="31" s="1"/>
  <c r="EV318" i="31"/>
  <c r="IY318" i="31"/>
  <c r="JP318" i="31" s="1"/>
  <c r="JQ318" i="31" s="1"/>
  <c r="JE318" i="31"/>
  <c r="GZ318" i="31"/>
  <c r="IE318" i="31" s="1"/>
  <c r="DJ318" i="31"/>
  <c r="DK318" i="31" s="1"/>
  <c r="JO318" i="31"/>
  <c r="JC318" i="31"/>
  <c r="JD318" i="31"/>
  <c r="JA318" i="31"/>
  <c r="BS318" i="31" l="1"/>
  <c r="BU318" i="31" s="1"/>
  <c r="BR318" i="31"/>
  <c r="KG318" i="31"/>
  <c r="DX318" i="31"/>
  <c r="DM318" i="31"/>
  <c r="FQ318" i="31"/>
  <c r="EC318" i="31"/>
  <c r="JX318" i="31"/>
  <c r="BT318" i="31" l="1"/>
  <c r="BV318" i="31"/>
  <c r="BW318" i="31" s="1"/>
  <c r="EX318" i="31"/>
  <c r="M318" i="31" s="1"/>
  <c r="FB318" i="31"/>
  <c r="DL318" i="31"/>
  <c r="L319" i="31"/>
  <c r="BX318" i="31" l="1"/>
  <c r="BY318" i="31"/>
  <c r="MB318" i="31"/>
  <c r="MJ318" i="31"/>
  <c r="NS318" i="31" s="1"/>
  <c r="BZ318" i="31" l="1"/>
  <c r="CA318" i="31"/>
  <c r="CC318" i="31" s="1"/>
  <c r="CD318" i="31" s="1"/>
  <c r="NM318" i="31"/>
  <c r="NN318" i="31" s="1"/>
  <c r="NT318" i="31"/>
  <c r="OU319" i="31"/>
  <c r="CB318" i="31" l="1"/>
  <c r="CE318" i="31"/>
  <c r="CF318" i="31" s="1"/>
  <c r="OV319" i="31"/>
  <c r="NW318" i="31"/>
  <c r="NX318" i="31" s="1"/>
  <c r="FR318" i="31"/>
  <c r="CX318" i="31"/>
  <c r="FV318" i="31"/>
  <c r="NU318" i="31"/>
  <c r="CG318" i="31" l="1"/>
  <c r="CH318" i="31" s="1"/>
  <c r="CI318" i="31" s="1"/>
  <c r="NZ318" i="31"/>
  <c r="MY318" i="31"/>
  <c r="CY319" i="31"/>
  <c r="NY318" i="31"/>
  <c r="NV318" i="31"/>
  <c r="OF318" i="31"/>
  <c r="OS319" i="31" s="1"/>
  <c r="CJ318" i="31" l="1"/>
  <c r="CO318" i="31" s="1"/>
  <c r="CK318" i="31"/>
  <c r="CL318" i="31" s="1"/>
  <c r="OI318" i="31"/>
  <c r="OB318" i="31"/>
  <c r="OT319" i="31" s="1"/>
  <c r="OA318" i="31"/>
  <c r="MV319" i="31" s="1"/>
  <c r="NF319" i="31"/>
  <c r="OO319" i="31"/>
  <c r="OM319" i="31"/>
  <c r="MZ319" i="31"/>
  <c r="OZ318" i="31"/>
  <c r="CM318" i="31" l="1"/>
  <c r="CN318" i="31" s="1"/>
  <c r="CP318" i="31" s="1"/>
  <c r="OJ318" i="31"/>
  <c r="OG319" i="31"/>
  <c r="KT319" i="31"/>
  <c r="PA318" i="31"/>
  <c r="OC318" i="31"/>
  <c r="OD319" i="31" s="1"/>
  <c r="OH319" i="31" s="1"/>
  <c r="OX319" i="31"/>
  <c r="OW318" i="31"/>
  <c r="MR319" i="31"/>
  <c r="KL319" i="31" l="1"/>
  <c r="KN320" i="31" s="1"/>
  <c r="KM319" i="31"/>
  <c r="KO320" i="31" s="1"/>
  <c r="OY319" i="31"/>
  <c r="MW319" i="31"/>
  <c r="GO318" i="31"/>
  <c r="FX318" i="31"/>
  <c r="FY318" i="31" s="1"/>
  <c r="FP318" i="31"/>
  <c r="FS318" i="31" s="1"/>
  <c r="JR318" i="31"/>
  <c r="JS318" i="31" s="1"/>
  <c r="FZ318" i="31"/>
  <c r="GA318" i="31" s="1"/>
  <c r="HO318" i="31"/>
  <c r="CQ318" i="31"/>
  <c r="GB318" i="31"/>
  <c r="GC318" i="31" s="1"/>
  <c r="FU318" i="31"/>
  <c r="FW318" i="31" s="1"/>
  <c r="FH318" i="31"/>
  <c r="FI318" i="31" s="1"/>
  <c r="DQ318" i="31"/>
  <c r="DR318" i="31" s="1"/>
  <c r="FE318" i="31"/>
  <c r="FF318" i="31" s="1"/>
  <c r="KX318" i="31"/>
  <c r="KU318" i="31"/>
  <c r="OK319" i="31"/>
  <c r="MS319" i="31"/>
  <c r="GN318" i="31" l="1"/>
  <c r="KV318" i="31" s="1"/>
  <c r="DS318" i="31"/>
  <c r="AX318" i="31" s="1"/>
  <c r="AY319" i="31" s="1"/>
  <c r="MO319" i="31"/>
  <c r="NQ319" i="31"/>
  <c r="MU319" i="31"/>
  <c r="MT319" i="31"/>
  <c r="NJ319" i="31"/>
  <c r="NP319" i="31"/>
  <c r="NH320" i="31"/>
  <c r="NI320" i="31" s="1"/>
  <c r="PE319" i="31"/>
  <c r="MX319" i="31"/>
  <c r="CT318" i="31"/>
  <c r="CR318" i="31"/>
  <c r="CS318" i="31"/>
  <c r="IA318" i="31"/>
  <c r="IB318" i="31" s="1"/>
  <c r="HP318" i="31"/>
  <c r="IZ318" i="31"/>
  <c r="HU318" i="31"/>
  <c r="HV319" i="31" s="1"/>
  <c r="FJ319" i="31"/>
  <c r="KP320" i="31"/>
  <c r="KR319" i="31"/>
  <c r="DY318" i="31"/>
  <c r="HA318" i="31"/>
  <c r="HY318" i="31"/>
  <c r="GQ318" i="31"/>
  <c r="HW318" i="31"/>
  <c r="HX319" i="31" s="1"/>
  <c r="FG319" i="31"/>
  <c r="KC318" i="31"/>
  <c r="JU318" i="31"/>
  <c r="JT319" i="31"/>
  <c r="KE318" i="31"/>
  <c r="KQ319" i="31"/>
  <c r="KW319" i="31" l="1"/>
  <c r="HQ318" i="31"/>
  <c r="HR319" i="31" s="1"/>
  <c r="KS319" i="31"/>
  <c r="NR319" i="31"/>
  <c r="NL319" i="31"/>
  <c r="NK319" i="31"/>
  <c r="NG320" i="31"/>
  <c r="OQ320" i="31"/>
  <c r="NA319" i="31"/>
  <c r="NB319" i="31"/>
  <c r="HS318" i="31"/>
  <c r="JG318" i="31" s="1"/>
  <c r="HT318" i="31"/>
  <c r="EM318" i="31"/>
  <c r="EW318" i="31" s="1"/>
  <c r="AZ318" i="31"/>
  <c r="EN318" i="31"/>
  <c r="IC318" i="31" l="1"/>
  <c r="ID318" i="31" s="1"/>
  <c r="IF318" i="31" s="1"/>
  <c r="KH318" i="31" s="1"/>
  <c r="JB318" i="31"/>
  <c r="BB319" i="31"/>
  <c r="EQ318" i="31"/>
  <c r="IW318" i="31"/>
  <c r="DW318" i="31"/>
  <c r="DU319" i="31" s="1"/>
  <c r="ER319" i="31"/>
  <c r="IU318" i="31"/>
  <c r="IV318" i="31" s="1"/>
  <c r="OR320" i="31"/>
  <c r="NC320" i="31"/>
  <c r="MQ320" i="31"/>
  <c r="KB318" i="31" l="1"/>
  <c r="BC319" i="31"/>
  <c r="IX318" i="31"/>
  <c r="KK318" i="31"/>
  <c r="EU319" i="31"/>
  <c r="IM318" i="31"/>
  <c r="GM318" i="31"/>
  <c r="DB318" i="31"/>
  <c r="DC318" i="31" s="1"/>
  <c r="DD319" i="31" s="1"/>
  <c r="DE320" i="31" s="1"/>
  <c r="KI319" i="31"/>
  <c r="IN318" i="31"/>
  <c r="DF318" i="31"/>
  <c r="DT318" i="31" l="1"/>
  <c r="DZ318" i="31" s="1"/>
  <c r="GT320" i="31"/>
  <c r="GU318" i="31"/>
  <c r="FD318" i="31"/>
  <c r="GV318" i="31"/>
  <c r="KJ319" i="31"/>
  <c r="GR318" i="31"/>
  <c r="BE319" i="31"/>
  <c r="BD319" i="31"/>
  <c r="IS318" i="31" l="1"/>
  <c r="FL319" i="31"/>
  <c r="BG319" i="31"/>
  <c r="BF319" i="31"/>
  <c r="GS318" i="31"/>
  <c r="GY318" i="31" l="1"/>
  <c r="GX318" i="31"/>
  <c r="GW318" i="31"/>
  <c r="HC318" i="31" s="1"/>
  <c r="FA319" i="31" s="1"/>
  <c r="HB319" i="31" s="1"/>
  <c r="FM319" i="31"/>
  <c r="BI319" i="31"/>
  <c r="BK319" i="31" s="1"/>
  <c r="BH319" i="31"/>
  <c r="JH318" i="31"/>
  <c r="JI318" i="31" s="1"/>
  <c r="IT318" i="31"/>
  <c r="BL319" i="31" l="1"/>
  <c r="BM319" i="31"/>
  <c r="BJ319" i="31"/>
  <c r="EY318" i="31"/>
  <c r="EG318" i="31"/>
  <c r="EH319" i="31" s="1"/>
  <c r="EI319" i="31" s="1"/>
  <c r="FK319" i="31" s="1"/>
  <c r="HM318" i="31"/>
  <c r="HK319" i="31"/>
  <c r="JK318" i="31"/>
  <c r="JN318" i="31" s="1"/>
  <c r="JV318" i="31" s="1"/>
  <c r="JF319" i="31" s="1"/>
  <c r="JM318" i="31" l="1"/>
  <c r="KD318" i="31" s="1"/>
  <c r="IL319" i="31" s="1"/>
  <c r="JL318" i="31"/>
  <c r="JJ319" i="31" s="1"/>
  <c r="KA319" i="31"/>
  <c r="EZ318" i="31"/>
  <c r="DG318" i="31"/>
  <c r="DH318" i="31" s="1"/>
  <c r="DI319" i="31" s="1"/>
  <c r="JY319" i="31"/>
  <c r="JW319" i="31"/>
  <c r="BN319" i="31"/>
  <c r="BO319" i="31"/>
  <c r="JZ318" i="31"/>
  <c r="KF318" i="31" s="1"/>
  <c r="IQ319" i="31" s="1"/>
  <c r="EJ318" i="31"/>
  <c r="EK319" i="31" s="1"/>
  <c r="ED318" i="31"/>
  <c r="EB319" i="31" s="1"/>
  <c r="EE318" i="31"/>
  <c r="EF319" i="31" s="1"/>
  <c r="DP319" i="31" l="1"/>
  <c r="GZ319" i="31"/>
  <c r="IE319" i="31" s="1"/>
  <c r="DJ319" i="31"/>
  <c r="DK319" i="31" s="1"/>
  <c r="IY319" i="31"/>
  <c r="JA319" i="31"/>
  <c r="JE319" i="31"/>
  <c r="IR319" i="31"/>
  <c r="JO319" i="31"/>
  <c r="BP319" i="31"/>
  <c r="BQ319" i="31" s="1"/>
  <c r="IO319" i="31"/>
  <c r="HZ319" i="31"/>
  <c r="EO319" i="31"/>
  <c r="ES320" i="31" s="1"/>
  <c r="FC319" i="31"/>
  <c r="EL319" i="31"/>
  <c r="EP319" i="31"/>
  <c r="ET320" i="31" s="1"/>
  <c r="EV319" i="31"/>
  <c r="JC319" i="31"/>
  <c r="JD319" i="31"/>
  <c r="IP319" i="31"/>
  <c r="EC319" i="31" l="1"/>
  <c r="FQ319" i="31"/>
  <c r="DM319" i="31"/>
  <c r="DX319" i="31"/>
  <c r="BR319" i="31"/>
  <c r="BS319" i="31"/>
  <c r="KG319" i="31"/>
  <c r="JP319" i="31"/>
  <c r="JQ319" i="31" s="1"/>
  <c r="JX319" i="31"/>
  <c r="BT319" i="31" l="1"/>
  <c r="BU319" i="31"/>
  <c r="DL319" i="31"/>
  <c r="L320" i="31"/>
  <c r="FB319" i="31"/>
  <c r="EX319" i="31"/>
  <c r="M319" i="31" s="1"/>
  <c r="MB319" i="31" l="1"/>
  <c r="MJ319" i="31"/>
  <c r="NS319" i="31" s="1"/>
  <c r="BV319" i="31"/>
  <c r="BW319" i="31" s="1"/>
  <c r="NM319" i="31" l="1"/>
  <c r="NN319" i="31" s="1"/>
  <c r="BY319" i="31"/>
  <c r="BX319" i="31"/>
  <c r="NT319" i="31"/>
  <c r="OU320" i="31"/>
  <c r="BZ319" i="31" l="1"/>
  <c r="OV320" i="31"/>
  <c r="NW319" i="31"/>
  <c r="CA319" i="31"/>
  <c r="CC319" i="31" s="1"/>
  <c r="CD319" i="31" s="1"/>
  <c r="NX319" i="31"/>
  <c r="CX319" i="31"/>
  <c r="FV319" i="31"/>
  <c r="FR319" i="31"/>
  <c r="NU319" i="31"/>
  <c r="CB319" i="31" l="1"/>
  <c r="CE319" i="31"/>
  <c r="CF319" i="31" s="1"/>
  <c r="MY319" i="31"/>
  <c r="NZ319" i="31"/>
  <c r="CY320" i="31"/>
  <c r="NY319" i="31"/>
  <c r="NV319" i="31"/>
  <c r="OF319" i="31"/>
  <c r="OS320" i="31" s="1"/>
  <c r="CG319" i="31" l="1"/>
  <c r="CH319" i="31" s="1"/>
  <c r="CI319" i="31" s="1"/>
  <c r="OI319" i="31"/>
  <c r="OB319" i="31"/>
  <c r="OT320" i="31" s="1"/>
  <c r="OA319" i="31"/>
  <c r="MV320" i="31" s="1"/>
  <c r="OO320" i="31"/>
  <c r="OM320" i="31"/>
  <c r="NF320" i="31"/>
  <c r="MZ320" i="31"/>
  <c r="OZ319" i="31"/>
  <c r="CJ319" i="31" l="1"/>
  <c r="CO319" i="31" s="1"/>
  <c r="CK319" i="31"/>
  <c r="CM319" i="31" s="1"/>
  <c r="CN319" i="31" s="1"/>
  <c r="OG320" i="31"/>
  <c r="KT320" i="31"/>
  <c r="PA319" i="31"/>
  <c r="OC319" i="31"/>
  <c r="OD320" i="31" s="1"/>
  <c r="OH320" i="31" s="1"/>
  <c r="OJ319" i="31"/>
  <c r="MR320" i="31"/>
  <c r="OW319" i="31"/>
  <c r="OX320" i="31"/>
  <c r="CL319" i="31" l="1"/>
  <c r="CP319" i="31" s="1"/>
  <c r="OK320" i="31"/>
  <c r="MW320" i="31"/>
  <c r="OY320" i="31"/>
  <c r="KL320" i="31"/>
  <c r="KN321" i="31" s="1"/>
  <c r="KM320" i="31"/>
  <c r="KO321" i="31" s="1"/>
  <c r="MS320" i="31"/>
  <c r="MU320" i="31" l="1"/>
  <c r="MT320" i="31"/>
  <c r="NQ320" i="31"/>
  <c r="NP320" i="31"/>
  <c r="MO320" i="31"/>
  <c r="NH321" i="31"/>
  <c r="NI321" i="31" s="1"/>
  <c r="NJ320" i="31"/>
  <c r="PE320" i="31"/>
  <c r="GB319" i="31"/>
  <c r="GC319" i="31" s="1"/>
  <c r="DQ319" i="31"/>
  <c r="DR319" i="31" s="1"/>
  <c r="JR319" i="31"/>
  <c r="JS319" i="31" s="1"/>
  <c r="FP319" i="31"/>
  <c r="FS319" i="31" s="1"/>
  <c r="GO319" i="31"/>
  <c r="FH319" i="31"/>
  <c r="FI319" i="31" s="1"/>
  <c r="CQ319" i="31"/>
  <c r="FU319" i="31"/>
  <c r="FW319" i="31" s="1"/>
  <c r="HO319" i="31"/>
  <c r="FZ319" i="31"/>
  <c r="GA319" i="31" s="1"/>
  <c r="FE319" i="31"/>
  <c r="FF319" i="31" s="1"/>
  <c r="FX319" i="31"/>
  <c r="FY319" i="31" s="1"/>
  <c r="KX319" i="31"/>
  <c r="KU319" i="31"/>
  <c r="KQ320" i="31"/>
  <c r="KP321" i="31"/>
  <c r="KR320" i="31"/>
  <c r="MX320" i="31"/>
  <c r="GN319" i="31" l="1"/>
  <c r="GQ319" i="31" s="1"/>
  <c r="KS320" i="31"/>
  <c r="NK320" i="31"/>
  <c r="NL320" i="31"/>
  <c r="NG321" i="31"/>
  <c r="OQ321" i="31"/>
  <c r="HU319" i="31"/>
  <c r="HV320" i="31" s="1"/>
  <c r="FJ320" i="31"/>
  <c r="HY319" i="31"/>
  <c r="DY319" i="31"/>
  <c r="HA319" i="31"/>
  <c r="HW319" i="31"/>
  <c r="HX320" i="31" s="1"/>
  <c r="FG320" i="31"/>
  <c r="KE319" i="31"/>
  <c r="JU319" i="31"/>
  <c r="JT320" i="31"/>
  <c r="KC319" i="31"/>
  <c r="NR320" i="31"/>
  <c r="DS319" i="31"/>
  <c r="AX319" i="31" s="1"/>
  <c r="AY320" i="31" s="1"/>
  <c r="CS319" i="31"/>
  <c r="CR319" i="31"/>
  <c r="CT319" i="31"/>
  <c r="NA320" i="31"/>
  <c r="NB320" i="31"/>
  <c r="HP319" i="31"/>
  <c r="IA319" i="31"/>
  <c r="IB319" i="31" s="1"/>
  <c r="IZ319" i="31"/>
  <c r="KV319" i="31" l="1"/>
  <c r="KW320" i="31" s="1"/>
  <c r="HQ319" i="31"/>
  <c r="HR320" i="31" s="1"/>
  <c r="HS319" i="31"/>
  <c r="JG319" i="31" s="1"/>
  <c r="HT319" i="31"/>
  <c r="OR321" i="31"/>
  <c r="NC321" i="31"/>
  <c r="MQ321" i="31"/>
  <c r="AZ319" i="31"/>
  <c r="EN319" i="31"/>
  <c r="EM319" i="31"/>
  <c r="EW319" i="31" s="1"/>
  <c r="BB320" i="31" l="1"/>
  <c r="IW319" i="31"/>
  <c r="EQ319" i="31"/>
  <c r="DW319" i="31"/>
  <c r="DU320" i="31" s="1"/>
  <c r="ER320" i="31"/>
  <c r="IU319" i="31"/>
  <c r="IV319" i="31" s="1"/>
  <c r="IC319" i="31"/>
  <c r="ID319" i="31" s="1"/>
  <c r="IF319" i="31" s="1"/>
  <c r="KH319" i="31" s="1"/>
  <c r="JB319" i="31"/>
  <c r="EU320" i="31" l="1"/>
  <c r="KK319" i="31"/>
  <c r="KB319" i="31"/>
  <c r="IX319" i="31"/>
  <c r="DB319" i="31"/>
  <c r="DC319" i="31" s="1"/>
  <c r="DD320" i="31" s="1"/>
  <c r="DE321" i="31" s="1"/>
  <c r="IM319" i="31"/>
  <c r="DT319" i="31" s="1"/>
  <c r="DZ319" i="31" s="1"/>
  <c r="GM319" i="31"/>
  <c r="KI320" i="31"/>
  <c r="IN319" i="31"/>
  <c r="DF319" i="31"/>
  <c r="BC320" i="31"/>
  <c r="GT321" i="31" l="1"/>
  <c r="KJ320" i="31"/>
  <c r="GR319" i="31"/>
  <c r="BE320" i="31"/>
  <c r="BD320" i="31"/>
  <c r="FD319" i="31"/>
  <c r="GU319" i="31"/>
  <c r="GV319" i="31"/>
  <c r="IS319" i="31" l="1"/>
  <c r="FL320" i="31"/>
  <c r="GS319" i="31"/>
  <c r="BF320" i="31"/>
  <c r="BG320" i="31"/>
  <c r="GY319" i="31" l="1"/>
  <c r="GW319" i="31"/>
  <c r="HC319" i="31" s="1"/>
  <c r="FA320" i="31" s="1"/>
  <c r="HB320" i="31" s="1"/>
  <c r="GX319" i="31"/>
  <c r="FM320" i="31"/>
  <c r="BI320" i="31"/>
  <c r="BK320" i="31" s="1"/>
  <c r="BH320" i="31"/>
  <c r="JH319" i="31"/>
  <c r="JI319" i="31" s="1"/>
  <c r="IT319" i="31"/>
  <c r="JK319" i="31" l="1"/>
  <c r="JZ319" i="31" s="1"/>
  <c r="KF319" i="31" s="1"/>
  <c r="IQ320" i="31" s="1"/>
  <c r="BL320" i="31"/>
  <c r="BM320" i="31"/>
  <c r="EY319" i="31"/>
  <c r="HM319" i="31"/>
  <c r="EG319" i="31"/>
  <c r="EH320" i="31" s="1"/>
  <c r="EI320" i="31" s="1"/>
  <c r="FK320" i="31" s="1"/>
  <c r="HK320" i="31"/>
  <c r="BJ320" i="31"/>
  <c r="JM319" i="31" l="1"/>
  <c r="KD319" i="31" s="1"/>
  <c r="IL320" i="31" s="1"/>
  <c r="JE320" i="31" s="1"/>
  <c r="JN319" i="31"/>
  <c r="JV319" i="31" s="1"/>
  <c r="JF320" i="31" s="1"/>
  <c r="JW320" i="31" s="1"/>
  <c r="BO320" i="31"/>
  <c r="BN320" i="31"/>
  <c r="ED319" i="31"/>
  <c r="EB320" i="31" s="1"/>
  <c r="EE319" i="31"/>
  <c r="EF320" i="31" s="1"/>
  <c r="EJ319" i="31"/>
  <c r="EK320" i="31" s="1"/>
  <c r="JL319" i="31"/>
  <c r="JJ320" i="31" s="1"/>
  <c r="KA320" i="31"/>
  <c r="EZ319" i="31"/>
  <c r="DG319" i="31"/>
  <c r="DH319" i="31" s="1"/>
  <c r="DI320" i="31" s="1"/>
  <c r="JO320" i="31" l="1"/>
  <c r="IR320" i="31"/>
  <c r="IP320" i="31"/>
  <c r="JY320" i="31"/>
  <c r="IO320" i="31"/>
  <c r="EL320" i="31"/>
  <c r="JX320" i="31" s="1"/>
  <c r="FC320" i="31"/>
  <c r="EP320" i="31"/>
  <c r="ET321" i="31" s="1"/>
  <c r="EO320" i="31"/>
  <c r="ES321" i="31" s="1"/>
  <c r="EV320" i="31"/>
  <c r="HZ320" i="31"/>
  <c r="JC320" i="31"/>
  <c r="JD320" i="31"/>
  <c r="DP320" i="31"/>
  <c r="IY320" i="31"/>
  <c r="GZ320" i="31"/>
  <c r="IE320" i="31" s="1"/>
  <c r="DJ320" i="31"/>
  <c r="DK320" i="31" s="1"/>
  <c r="JA320" i="31"/>
  <c r="BP320" i="31"/>
  <c r="BQ320" i="31" s="1"/>
  <c r="JP320" i="31" l="1"/>
  <c r="JQ320" i="31" s="1"/>
  <c r="BR320" i="31"/>
  <c r="BS320" i="31"/>
  <c r="EC320" i="31"/>
  <c r="KG320" i="31"/>
  <c r="DX320" i="31"/>
  <c r="FQ320" i="31"/>
  <c r="DM320" i="31"/>
  <c r="BT320" i="31" l="1"/>
  <c r="BU320" i="31"/>
  <c r="FB320" i="31"/>
  <c r="EX320" i="31"/>
  <c r="M320" i="31" s="1"/>
  <c r="DL320" i="31"/>
  <c r="L321" i="31"/>
  <c r="BV320" i="31" l="1"/>
  <c r="BW320" i="31" s="1"/>
  <c r="MB320" i="31"/>
  <c r="MJ320" i="31"/>
  <c r="NS320" i="31" s="1"/>
  <c r="NM320" i="31" l="1"/>
  <c r="NN320" i="31" s="1"/>
  <c r="BY320" i="31"/>
  <c r="BX320" i="31"/>
  <c r="NT320" i="31"/>
  <c r="OU321" i="31"/>
  <c r="BZ320" i="31" l="1"/>
  <c r="OV321" i="31"/>
  <c r="NW320" i="31"/>
  <c r="NX320" i="31" s="1"/>
  <c r="CA320" i="31"/>
  <c r="CC320" i="31" s="1"/>
  <c r="CD320" i="31" s="1"/>
  <c r="FR320" i="31"/>
  <c r="FV320" i="31"/>
  <c r="CX320" i="31"/>
  <c r="NU320" i="31"/>
  <c r="CB320" i="31" l="1"/>
  <c r="CE320" i="31"/>
  <c r="CF320" i="31" s="1"/>
  <c r="NV320" i="31"/>
  <c r="NY320" i="31"/>
  <c r="NZ320" i="31"/>
  <c r="MY320" i="31"/>
  <c r="CY321" i="31"/>
  <c r="OF320" i="31"/>
  <c r="OS321" i="31" s="1"/>
  <c r="CG320" i="31" l="1"/>
  <c r="CH320" i="31" s="1"/>
  <c r="CI320" i="31" s="1"/>
  <c r="OB320" i="31"/>
  <c r="OT321" i="31" s="1"/>
  <c r="OI320" i="31"/>
  <c r="OA320" i="31"/>
  <c r="MV321" i="31" s="1"/>
  <c r="OM321" i="31"/>
  <c r="NF321" i="31"/>
  <c r="OO321" i="31"/>
  <c r="MZ321" i="31"/>
  <c r="OZ320" i="31"/>
  <c r="CK320" i="31" l="1"/>
  <c r="CM320" i="31" s="1"/>
  <c r="CN320" i="31" s="1"/>
  <c r="CJ320" i="31"/>
  <c r="CO320" i="31" s="1"/>
  <c r="MR321" i="31"/>
  <c r="OX321" i="31"/>
  <c r="OW320" i="31"/>
  <c r="PA320" i="31"/>
  <c r="KT321" i="31"/>
  <c r="OG321" i="31"/>
  <c r="OJ320" i="31"/>
  <c r="OC320" i="31"/>
  <c r="OD321" i="31" s="1"/>
  <c r="OH321" i="31" s="1"/>
  <c r="CL320" i="31" l="1"/>
  <c r="CP320" i="31" s="1"/>
  <c r="CQ320" i="31" s="1"/>
  <c r="OK321" i="31"/>
  <c r="KM321" i="31"/>
  <c r="KO322" i="31" s="1"/>
  <c r="KL321" i="31"/>
  <c r="KN322" i="31" s="1"/>
  <c r="OY321" i="31"/>
  <c r="MW321" i="31"/>
  <c r="MS321" i="31"/>
  <c r="HO320" i="31" l="1"/>
  <c r="IA320" i="31" s="1"/>
  <c r="IB320" i="31" s="1"/>
  <c r="FX320" i="31"/>
  <c r="FY320" i="31" s="1"/>
  <c r="FP320" i="31"/>
  <c r="FS320" i="31" s="1"/>
  <c r="DY320" i="31" s="1"/>
  <c r="KU320" i="31"/>
  <c r="KX320" i="31"/>
  <c r="GN320" i="31" s="1"/>
  <c r="KV320" i="31" s="1"/>
  <c r="GO320" i="31"/>
  <c r="FH320" i="31"/>
  <c r="FI320" i="31" s="1"/>
  <c r="HU320" i="31" s="1"/>
  <c r="HV321" i="31" s="1"/>
  <c r="FZ320" i="31"/>
  <c r="GA320" i="31" s="1"/>
  <c r="GB320" i="31"/>
  <c r="GC320" i="31" s="1"/>
  <c r="DQ320" i="31"/>
  <c r="DR320" i="31" s="1"/>
  <c r="DS320" i="31" s="1"/>
  <c r="AX320" i="31" s="1"/>
  <c r="AY321" i="31" s="1"/>
  <c r="FE320" i="31"/>
  <c r="FF320" i="31" s="1"/>
  <c r="HW320" i="31" s="1"/>
  <c r="HX321" i="31" s="1"/>
  <c r="JR320" i="31"/>
  <c r="JS320" i="31" s="1"/>
  <c r="JT321" i="31" s="1"/>
  <c r="FU320" i="31"/>
  <c r="FW320" i="31" s="1"/>
  <c r="NP321" i="31"/>
  <c r="NJ321" i="31"/>
  <c r="MT321" i="31"/>
  <c r="MU321" i="31"/>
  <c r="NH322" i="31"/>
  <c r="NI322" i="31" s="1"/>
  <c r="MO321" i="31"/>
  <c r="NQ321" i="31"/>
  <c r="PE321" i="31"/>
  <c r="CR320" i="31"/>
  <c r="CT320" i="31"/>
  <c r="CS320" i="31"/>
  <c r="KQ321" i="31"/>
  <c r="MX321" i="31"/>
  <c r="KP322" i="31"/>
  <c r="KR321" i="31"/>
  <c r="IZ320" i="31" l="1"/>
  <c r="HP320" i="31"/>
  <c r="HT320" i="31" s="1"/>
  <c r="KW321" i="31"/>
  <c r="HQ320" i="31"/>
  <c r="HR321" i="31" s="1"/>
  <c r="KC320" i="31"/>
  <c r="JU320" i="31"/>
  <c r="HY320" i="31"/>
  <c r="GQ320" i="31"/>
  <c r="KE320" i="31"/>
  <c r="FG321" i="31"/>
  <c r="HA320" i="31"/>
  <c r="FJ321" i="31"/>
  <c r="NK321" i="31"/>
  <c r="NL321" i="31"/>
  <c r="NG322" i="31"/>
  <c r="OQ322" i="31"/>
  <c r="KS321" i="31"/>
  <c r="AZ320" i="31"/>
  <c r="EN320" i="31"/>
  <c r="EM320" i="31"/>
  <c r="EW320" i="31" s="1"/>
  <c r="NB321" i="31"/>
  <c r="NA321" i="31"/>
  <c r="NR321" i="31"/>
  <c r="HS320" i="31"/>
  <c r="JG320" i="31" s="1"/>
  <c r="OR322" i="31" l="1"/>
  <c r="BB321" i="31"/>
  <c r="DW320" i="31"/>
  <c r="DU321" i="31" s="1"/>
  <c r="IW320" i="31"/>
  <c r="EQ320" i="31"/>
  <c r="ER321" i="31"/>
  <c r="IU320" i="31"/>
  <c r="IV320" i="31" s="1"/>
  <c r="NC322" i="31"/>
  <c r="MQ322" i="31"/>
  <c r="IC320" i="31"/>
  <c r="ID320" i="31" s="1"/>
  <c r="IF320" i="31" s="1"/>
  <c r="KH320" i="31" s="1"/>
  <c r="JB320" i="31"/>
  <c r="IM320" i="31" l="1"/>
  <c r="GM320" i="31"/>
  <c r="DB320" i="31"/>
  <c r="DC320" i="31" s="1"/>
  <c r="DD321" i="31" s="1"/>
  <c r="DE322" i="31" s="1"/>
  <c r="KI321" i="31"/>
  <c r="IN320" i="31"/>
  <c r="DF320" i="31"/>
  <c r="EU321" i="31"/>
  <c r="BC321" i="31"/>
  <c r="KB320" i="31"/>
  <c r="IX320" i="31"/>
  <c r="KK320" i="31"/>
  <c r="DT320" i="31" l="1"/>
  <c r="DZ320" i="31" s="1"/>
  <c r="GT322" i="31"/>
  <c r="BD321" i="31"/>
  <c r="BE321" i="31"/>
  <c r="KJ321" i="31"/>
  <c r="GR320" i="31"/>
  <c r="FD320" i="31"/>
  <c r="GV320" i="31"/>
  <c r="GU320" i="31"/>
  <c r="IS320" i="31" l="1"/>
  <c r="FL321" i="31"/>
  <c r="GS320" i="31"/>
  <c r="BF321" i="31"/>
  <c r="BG321" i="31"/>
  <c r="BI321" i="31" l="1"/>
  <c r="BK321" i="31" s="1"/>
  <c r="BH321" i="31"/>
  <c r="GX320" i="31"/>
  <c r="GW320" i="31"/>
  <c r="HC320" i="31" s="1"/>
  <c r="FA321" i="31" s="1"/>
  <c r="HB321" i="31" s="1"/>
  <c r="GY320" i="31"/>
  <c r="FM321" i="31"/>
  <c r="JH320" i="31"/>
  <c r="JI320" i="31" s="1"/>
  <c r="IT320" i="31"/>
  <c r="BJ321" i="31" l="1"/>
  <c r="EY320" i="31"/>
  <c r="HM320" i="31"/>
  <c r="EG320" i="31"/>
  <c r="EH321" i="31" s="1"/>
  <c r="EI321" i="31" s="1"/>
  <c r="FK321" i="31" s="1"/>
  <c r="HK321" i="31"/>
  <c r="JK320" i="31"/>
  <c r="JZ320" i="31" s="1"/>
  <c r="KF320" i="31" s="1"/>
  <c r="IQ321" i="31" s="1"/>
  <c r="BL321" i="31"/>
  <c r="BM321" i="31"/>
  <c r="JN320" i="31" l="1"/>
  <c r="JV320" i="31" s="1"/>
  <c r="JF321" i="31" s="1"/>
  <c r="JL320" i="31"/>
  <c r="JJ321" i="31" s="1"/>
  <c r="KA321" i="31"/>
  <c r="ED320" i="31"/>
  <c r="EB321" i="31" s="1"/>
  <c r="JA321" i="31" s="1"/>
  <c r="EJ320" i="31"/>
  <c r="EK321" i="31" s="1"/>
  <c r="EE320" i="31"/>
  <c r="EF321" i="31" s="1"/>
  <c r="BN321" i="31"/>
  <c r="BO321" i="31"/>
  <c r="JM320" i="31"/>
  <c r="KD320" i="31" s="1"/>
  <c r="IL321" i="31" s="1"/>
  <c r="IR321" i="31" s="1"/>
  <c r="EZ320" i="31"/>
  <c r="DG320" i="31"/>
  <c r="DH320" i="31" s="1"/>
  <c r="DI321" i="31" s="1"/>
  <c r="JY321" i="31" l="1"/>
  <c r="JW321" i="31"/>
  <c r="BP321" i="31"/>
  <c r="BQ321" i="31" s="1"/>
  <c r="DP321" i="31"/>
  <c r="DJ321" i="31"/>
  <c r="DK321" i="31" s="1"/>
  <c r="GZ321" i="31"/>
  <c r="KG321" i="31" s="1"/>
  <c r="JC321" i="31"/>
  <c r="JD321" i="31"/>
  <c r="FC321" i="31"/>
  <c r="EO321" i="31"/>
  <c r="ES322" i="31" s="1"/>
  <c r="EP321" i="31"/>
  <c r="ET322" i="31" s="1"/>
  <c r="EL321" i="31"/>
  <c r="EV321" i="31"/>
  <c r="IY321" i="31"/>
  <c r="IP321" i="31"/>
  <c r="IO321" i="31"/>
  <c r="JE321" i="31"/>
  <c r="JO321" i="31"/>
  <c r="HZ321" i="31"/>
  <c r="EC321" i="31" l="1"/>
  <c r="FQ321" i="31"/>
  <c r="DX321" i="31"/>
  <c r="DM321" i="31"/>
  <c r="JX321" i="31"/>
  <c r="JP321" i="31"/>
  <c r="JQ321" i="31" s="1"/>
  <c r="BR321" i="31"/>
  <c r="BS321" i="31"/>
  <c r="IE321" i="31"/>
  <c r="DL321" i="31" l="1"/>
  <c r="L322" i="31"/>
  <c r="BT321" i="31"/>
  <c r="BU321" i="31"/>
  <c r="EX321" i="31"/>
  <c r="M321" i="31" s="1"/>
  <c r="FB321" i="31"/>
  <c r="BV321" i="31" l="1"/>
  <c r="BW321" i="31" s="1"/>
  <c r="MB321" i="31"/>
  <c r="MJ321" i="31"/>
  <c r="NS321" i="31" s="1"/>
  <c r="NM321" i="31" l="1"/>
  <c r="NN321" i="31" s="1"/>
  <c r="BX321" i="31"/>
  <c r="BY321" i="31"/>
  <c r="NT321" i="31"/>
  <c r="OU322" i="31"/>
  <c r="BZ321" i="31" l="1"/>
  <c r="OV322" i="31"/>
  <c r="NW321" i="31"/>
  <c r="NX321" i="31" s="1"/>
  <c r="CA321" i="31"/>
  <c r="CC321" i="31" s="1"/>
  <c r="CD321" i="31" s="1"/>
  <c r="FV321" i="31"/>
  <c r="CX321" i="31"/>
  <c r="FR321" i="31"/>
  <c r="NU321" i="31"/>
  <c r="CB321" i="31" l="1"/>
  <c r="CE321" i="31"/>
  <c r="CG321" i="31" s="1"/>
  <c r="NV321" i="31"/>
  <c r="NZ321" i="31"/>
  <c r="MY321" i="31"/>
  <c r="CY322" i="31"/>
  <c r="NY321" i="31"/>
  <c r="OF321" i="31"/>
  <c r="OS322" i="31" s="1"/>
  <c r="CF321" i="31" l="1"/>
  <c r="OI321" i="31"/>
  <c r="OX322" i="31" s="1"/>
  <c r="OA321" i="31"/>
  <c r="MV322" i="31" s="1"/>
  <c r="OG322" i="31" s="1"/>
  <c r="OB321" i="31"/>
  <c r="OT322" i="31" s="1"/>
  <c r="OM322" i="31"/>
  <c r="OO322" i="31"/>
  <c r="NF322" i="31"/>
  <c r="MZ322" i="31"/>
  <c r="OZ321" i="31"/>
  <c r="CH321" i="31"/>
  <c r="CI321" i="31" s="1"/>
  <c r="MR322" i="31" l="1"/>
  <c r="MS322" i="31" s="1"/>
  <c r="OW321" i="31"/>
  <c r="CJ321" i="31"/>
  <c r="CO321" i="31" s="1"/>
  <c r="CK321" i="31"/>
  <c r="CL321" i="31" s="1"/>
  <c r="OC321" i="31"/>
  <c r="OD322" i="31" s="1"/>
  <c r="OH322" i="31" s="1"/>
  <c r="OK322" i="31" s="1"/>
  <c r="OJ321" i="31"/>
  <c r="KT322" i="31"/>
  <c r="PA321" i="31"/>
  <c r="CM321" i="31" l="1"/>
  <c r="CN321" i="31" s="1"/>
  <c r="CP321" i="31" s="1"/>
  <c r="MW322" i="31"/>
  <c r="OY322" i="31"/>
  <c r="NJ322" i="31"/>
  <c r="MO322" i="31"/>
  <c r="MU322" i="31"/>
  <c r="MT322" i="31"/>
  <c r="NP322" i="31"/>
  <c r="NH323" i="31"/>
  <c r="NI323" i="31" s="1"/>
  <c r="NQ322" i="31"/>
  <c r="PE322" i="31"/>
  <c r="KM322" i="31"/>
  <c r="KO323" i="31" s="1"/>
  <c r="KL322" i="31"/>
  <c r="KN323" i="31" s="1"/>
  <c r="KQ322" i="31" l="1"/>
  <c r="NK322" i="31"/>
  <c r="NL322" i="31"/>
  <c r="NG323" i="31"/>
  <c r="OQ323" i="31"/>
  <c r="KP323" i="31"/>
  <c r="KR322" i="31"/>
  <c r="NR322" i="31"/>
  <c r="MX322" i="31"/>
  <c r="FU321" i="31"/>
  <c r="FW321" i="31" s="1"/>
  <c r="FE321" i="31"/>
  <c r="FF321" i="31" s="1"/>
  <c r="FP321" i="31"/>
  <c r="FS321" i="31" s="1"/>
  <c r="GO321" i="31"/>
  <c r="FZ321" i="31"/>
  <c r="GA321" i="31" s="1"/>
  <c r="CQ321" i="31"/>
  <c r="GB321" i="31"/>
  <c r="GC321" i="31" s="1"/>
  <c r="JR321" i="31"/>
  <c r="JS321" i="31" s="1"/>
  <c r="DQ321" i="31"/>
  <c r="DR321" i="31" s="1"/>
  <c r="FX321" i="31"/>
  <c r="FY321" i="31" s="1"/>
  <c r="HO321" i="31"/>
  <c r="FH321" i="31"/>
  <c r="FI321" i="31" s="1"/>
  <c r="KX321" i="31"/>
  <c r="KU321" i="31"/>
  <c r="GN321" i="31" l="1"/>
  <c r="GQ321" i="31" s="1"/>
  <c r="NB322" i="31"/>
  <c r="NA322" i="31"/>
  <c r="NC323" i="31"/>
  <c r="MQ323" i="31"/>
  <c r="HU321" i="31"/>
  <c r="HV322" i="31" s="1"/>
  <c r="FJ322" i="31"/>
  <c r="HA321" i="31"/>
  <c r="HY321" i="31"/>
  <c r="DY321" i="31"/>
  <c r="FG322" i="31"/>
  <c r="HW321" i="31"/>
  <c r="HX322" i="31" s="1"/>
  <c r="CR321" i="31"/>
  <c r="CT321" i="31"/>
  <c r="CS321" i="31"/>
  <c r="KS322" i="31"/>
  <c r="OR323" i="31"/>
  <c r="HP321" i="31"/>
  <c r="IA321" i="31"/>
  <c r="IB321" i="31" s="1"/>
  <c r="IZ321" i="31"/>
  <c r="DS321" i="31"/>
  <c r="AX321" i="31" s="1"/>
  <c r="AY322" i="31" s="1"/>
  <c r="JU321" i="31"/>
  <c r="KE321" i="31"/>
  <c r="KC321" i="31"/>
  <c r="JT322" i="31"/>
  <c r="KV321" i="31" l="1"/>
  <c r="KW322" i="31" s="1"/>
  <c r="HQ321" i="31"/>
  <c r="HR322" i="31" s="1"/>
  <c r="AZ321" i="31"/>
  <c r="EM321" i="31"/>
  <c r="EW321" i="31" s="1"/>
  <c r="EN321" i="31"/>
  <c r="HT321" i="31"/>
  <c r="HS321" i="31"/>
  <c r="JG321" i="31" s="1"/>
  <c r="IC321" i="31" l="1"/>
  <c r="ID321" i="31" s="1"/>
  <c r="IF321" i="31" s="1"/>
  <c r="KH321" i="31" s="1"/>
  <c r="JB321" i="31"/>
  <c r="BB322" i="31"/>
  <c r="DW321" i="31"/>
  <c r="DU322" i="31" s="1"/>
  <c r="EQ321" i="31"/>
  <c r="IW321" i="31"/>
  <c r="ER322" i="31"/>
  <c r="IU321" i="31"/>
  <c r="IV321" i="31" s="1"/>
  <c r="BC322" i="31" l="1"/>
  <c r="KK321" i="31"/>
  <c r="KB321" i="31"/>
  <c r="IX321" i="31"/>
  <c r="EU322" i="31"/>
  <c r="DB321" i="31"/>
  <c r="DC321" i="31" s="1"/>
  <c r="DD322" i="31" s="1"/>
  <c r="DE323" i="31" s="1"/>
  <c r="GM321" i="31"/>
  <c r="IM321" i="31"/>
  <c r="KI322" i="31"/>
  <c r="IN321" i="31"/>
  <c r="DF321" i="31"/>
  <c r="GT323" i="31" l="1"/>
  <c r="DT321" i="31"/>
  <c r="DZ321" i="31" s="1"/>
  <c r="GR321" i="31"/>
  <c r="GU321" i="31"/>
  <c r="GV321" i="31"/>
  <c r="FD321" i="31"/>
  <c r="KJ322" i="31"/>
  <c r="BD322" i="31"/>
  <c r="BE322" i="31"/>
  <c r="BF322" i="31" l="1"/>
  <c r="BG322" i="31"/>
  <c r="IS321" i="31"/>
  <c r="FL322" i="31"/>
  <c r="GS321" i="31"/>
  <c r="FM322" i="31" l="1"/>
  <c r="BI322" i="31"/>
  <c r="BK322" i="31" s="1"/>
  <c r="BH322" i="31"/>
  <c r="GX321" i="31"/>
  <c r="GW321" i="31"/>
  <c r="HC321" i="31" s="1"/>
  <c r="FA322" i="31" s="1"/>
  <c r="HB322" i="31" s="1"/>
  <c r="GY321" i="31"/>
  <c r="JH321" i="31"/>
  <c r="JI321" i="31" s="1"/>
  <c r="IT321" i="31"/>
  <c r="BJ322" i="31" l="1"/>
  <c r="JK321" i="31"/>
  <c r="JZ321" i="31" s="1"/>
  <c r="KF321" i="31" s="1"/>
  <c r="IQ322" i="31" s="1"/>
  <c r="BL322" i="31"/>
  <c r="BM322" i="31"/>
  <c r="HM321" i="31"/>
  <c r="EY321" i="31"/>
  <c r="EG321" i="31"/>
  <c r="EH322" i="31" s="1"/>
  <c r="EI322" i="31" s="1"/>
  <c r="FK322" i="31" s="1"/>
  <c r="HK322" i="31"/>
  <c r="JN321" i="31" l="1"/>
  <c r="JV321" i="31" s="1"/>
  <c r="JF322" i="31" s="1"/>
  <c r="JW322" i="31" s="1"/>
  <c r="BN322" i="31"/>
  <c r="BO322" i="31"/>
  <c r="JM321" i="31"/>
  <c r="KD321" i="31" s="1"/>
  <c r="IL322" i="31" s="1"/>
  <c r="JL321" i="31"/>
  <c r="JJ322" i="31" s="1"/>
  <c r="KA322" i="31"/>
  <c r="EZ321" i="31"/>
  <c r="DG321" i="31"/>
  <c r="DH321" i="31" s="1"/>
  <c r="DI322" i="31" s="1"/>
  <c r="EJ321" i="31"/>
  <c r="EK322" i="31" s="1"/>
  <c r="ED321" i="31"/>
  <c r="EB322" i="31" s="1"/>
  <c r="EE321" i="31"/>
  <c r="EF322" i="31" s="1"/>
  <c r="JO322" i="31" l="1"/>
  <c r="JY322" i="31"/>
  <c r="JE322" i="31"/>
  <c r="IR322" i="31"/>
  <c r="EP322" i="31"/>
  <c r="ET323" i="31" s="1"/>
  <c r="EO322" i="31"/>
  <c r="ES323" i="31" s="1"/>
  <c r="EL322" i="31"/>
  <c r="JX322" i="31" s="1"/>
  <c r="FC322" i="31"/>
  <c r="EV322" i="31"/>
  <c r="DP322" i="31"/>
  <c r="JA322" i="31"/>
  <c r="DJ322" i="31"/>
  <c r="DK322" i="31" s="1"/>
  <c r="GZ322" i="31"/>
  <c r="IE322" i="31" s="1"/>
  <c r="JC322" i="31"/>
  <c r="JD322" i="31"/>
  <c r="IY322" i="31"/>
  <c r="HZ322" i="31"/>
  <c r="IO322" i="31"/>
  <c r="IP322" i="31"/>
  <c r="BP322" i="31"/>
  <c r="BQ322" i="31" s="1"/>
  <c r="BR322" i="31" l="1"/>
  <c r="BS322" i="31"/>
  <c r="BU322" i="31" s="1"/>
  <c r="DX322" i="31"/>
  <c r="DM322" i="31"/>
  <c r="FQ322" i="31"/>
  <c r="KG322" i="31"/>
  <c r="EC322" i="31"/>
  <c r="JP322" i="31"/>
  <c r="JQ322" i="31" s="1"/>
  <c r="BT322" i="31" l="1"/>
  <c r="BV322" i="31"/>
  <c r="BW322" i="31" s="1"/>
  <c r="FB322" i="31"/>
  <c r="EX322" i="31"/>
  <c r="M322" i="31" s="1"/>
  <c r="DL322" i="31"/>
  <c r="L323" i="31"/>
  <c r="BY322" i="31" l="1"/>
  <c r="BX322" i="31"/>
  <c r="MJ322" i="31"/>
  <c r="NS322" i="31" s="1"/>
  <c r="MB322" i="31"/>
  <c r="BZ322" i="31" l="1"/>
  <c r="CA322" i="31"/>
  <c r="CC322" i="31" s="1"/>
  <c r="CD322" i="31" s="1"/>
  <c r="NM322" i="31"/>
  <c r="NN322" i="31" s="1"/>
  <c r="NT322" i="31"/>
  <c r="OU323" i="31"/>
  <c r="CB322" i="31" l="1"/>
  <c r="CE322" i="31"/>
  <c r="CG322" i="31" s="1"/>
  <c r="OV323" i="31"/>
  <c r="NW322" i="31"/>
  <c r="NX322" i="31" s="1"/>
  <c r="CX322" i="31"/>
  <c r="FV322" i="31"/>
  <c r="FR322" i="31"/>
  <c r="NU322" i="31"/>
  <c r="CF322" i="31" l="1"/>
  <c r="NV322" i="31"/>
  <c r="CH322" i="31"/>
  <c r="CI322" i="31" s="1"/>
  <c r="NY322" i="31"/>
  <c r="OF322" i="31"/>
  <c r="OS323" i="31" s="1"/>
  <c r="MY322" i="31"/>
  <c r="NZ322" i="31"/>
  <c r="CY323" i="31"/>
  <c r="CJ322" i="31" l="1"/>
  <c r="CO322" i="31" s="1"/>
  <c r="CK322" i="31"/>
  <c r="CM322" i="31" s="1"/>
  <c r="CN322" i="31" s="1"/>
  <c r="OI322" i="31"/>
  <c r="OX323" i="31" s="1"/>
  <c r="OA322" i="31"/>
  <c r="MV323" i="31" s="1"/>
  <c r="OG323" i="31" s="1"/>
  <c r="NF323" i="31"/>
  <c r="OM323" i="31"/>
  <c r="OO323" i="31"/>
  <c r="MZ323" i="31"/>
  <c r="OZ322" i="31"/>
  <c r="OB322" i="31"/>
  <c r="OT323" i="31" s="1"/>
  <c r="CL322" i="31" l="1"/>
  <c r="CP322" i="31" s="1"/>
  <c r="KT323" i="31"/>
  <c r="KM323" i="31" s="1"/>
  <c r="KO324" i="31" s="1"/>
  <c r="OW322" i="31"/>
  <c r="MR323" i="31"/>
  <c r="MS323" i="31" s="1"/>
  <c r="PA322" i="31"/>
  <c r="OJ322" i="31"/>
  <c r="OC322" i="31"/>
  <c r="OD323" i="31" s="1"/>
  <c r="OH323" i="31" s="1"/>
  <c r="OK323" i="31" s="1"/>
  <c r="KL323" i="31" l="1"/>
  <c r="KN324" i="31" s="1"/>
  <c r="KQ323" i="31" s="1"/>
  <c r="MO323" i="31"/>
  <c r="MT323" i="31"/>
  <c r="NP323" i="31"/>
  <c r="MU323" i="31"/>
  <c r="NJ323" i="31"/>
  <c r="NH324" i="31"/>
  <c r="NI324" i="31" s="1"/>
  <c r="NQ323" i="31"/>
  <c r="NR323" i="31" s="1"/>
  <c r="PE323" i="31"/>
  <c r="OY323" i="31"/>
  <c r="MW323" i="31"/>
  <c r="JR322" i="31"/>
  <c r="JS322" i="31" s="1"/>
  <c r="FP322" i="31"/>
  <c r="FS322" i="31" s="1"/>
  <c r="FE322" i="31"/>
  <c r="FF322" i="31" s="1"/>
  <c r="FH322" i="31"/>
  <c r="FI322" i="31" s="1"/>
  <c r="GO322" i="31"/>
  <c r="FX322" i="31"/>
  <c r="FY322" i="31" s="1"/>
  <c r="GB322" i="31"/>
  <c r="GC322" i="31" s="1"/>
  <c r="CQ322" i="31"/>
  <c r="DQ322" i="31"/>
  <c r="DR322" i="31" s="1"/>
  <c r="HO322" i="31"/>
  <c r="FZ322" i="31"/>
  <c r="GA322" i="31" s="1"/>
  <c r="FU322" i="31"/>
  <c r="FW322" i="31" s="1"/>
  <c r="KX322" i="31"/>
  <c r="GN322" i="31" s="1"/>
  <c r="KU322" i="31"/>
  <c r="KR323" i="31"/>
  <c r="KP324" i="31" l="1"/>
  <c r="NL323" i="31"/>
  <c r="NK323" i="31"/>
  <c r="NG324" i="31"/>
  <c r="OQ324" i="31"/>
  <c r="GQ322" i="31"/>
  <c r="KV322" i="31"/>
  <c r="DY322" i="31"/>
  <c r="HY322" i="31"/>
  <c r="HA322" i="31"/>
  <c r="DS322" i="31"/>
  <c r="AX322" i="31" s="1"/>
  <c r="AY323" i="31" s="1"/>
  <c r="JU322" i="31"/>
  <c r="KE322" i="31"/>
  <c r="JT323" i="31"/>
  <c r="KC322" i="31"/>
  <c r="HW322" i="31"/>
  <c r="HX323" i="31" s="1"/>
  <c r="FG323" i="31"/>
  <c r="KS323" i="31"/>
  <c r="CS322" i="31"/>
  <c r="CR322" i="31"/>
  <c r="CT322" i="31"/>
  <c r="MX323" i="31"/>
  <c r="HU322" i="31"/>
  <c r="HV323" i="31" s="1"/>
  <c r="FJ323" i="31"/>
  <c r="HP322" i="31"/>
  <c r="IA322" i="31"/>
  <c r="IB322" i="31" s="1"/>
  <c r="IZ322" i="31"/>
  <c r="KW323" i="31" l="1"/>
  <c r="HQ322" i="31"/>
  <c r="HR323" i="31" s="1"/>
  <c r="OR324" i="31"/>
  <c r="AZ322" i="31"/>
  <c r="EN322" i="31"/>
  <c r="EM322" i="31"/>
  <c r="EW322" i="31" s="1"/>
  <c r="NA323" i="31"/>
  <c r="NB323" i="31"/>
  <c r="NC324" i="31"/>
  <c r="MQ324" i="31"/>
  <c r="HT322" i="31"/>
  <c r="HS322" i="31"/>
  <c r="JG322" i="31" s="1"/>
  <c r="BB323" i="31" l="1"/>
  <c r="DW322" i="31"/>
  <c r="DU323" i="31" s="1"/>
  <c r="EQ322" i="31"/>
  <c r="IW322" i="31"/>
  <c r="ER323" i="31"/>
  <c r="IU322" i="31"/>
  <c r="IV322" i="31" s="1"/>
  <c r="IC322" i="31"/>
  <c r="ID322" i="31" s="1"/>
  <c r="IF322" i="31" s="1"/>
  <c r="KH322" i="31" s="1"/>
  <c r="JB322" i="31"/>
  <c r="KB322" i="31" l="1"/>
  <c r="IX322" i="31"/>
  <c r="KK322" i="31"/>
  <c r="EU323" i="31"/>
  <c r="DB322" i="31"/>
  <c r="DC322" i="31" s="1"/>
  <c r="DD323" i="31" s="1"/>
  <c r="DE324" i="31" s="1"/>
  <c r="GM322" i="31"/>
  <c r="IM322" i="31"/>
  <c r="DT322" i="31" s="1"/>
  <c r="DZ322" i="31" s="1"/>
  <c r="KI323" i="31"/>
  <c r="IN322" i="31"/>
  <c r="DF322" i="31"/>
  <c r="BC323" i="31"/>
  <c r="GT324" i="31" l="1"/>
  <c r="KJ323" i="31"/>
  <c r="GR322" i="31"/>
  <c r="BE323" i="31"/>
  <c r="BD323" i="31"/>
  <c r="GU322" i="31"/>
  <c r="GV322" i="31"/>
  <c r="FD322" i="31"/>
  <c r="BF323" i="31" l="1"/>
  <c r="BG323" i="31"/>
  <c r="IS322" i="31"/>
  <c r="FL323" i="31"/>
  <c r="GS322" i="31"/>
  <c r="GX322" i="31" l="1"/>
  <c r="GY322" i="31"/>
  <c r="GW322" i="31"/>
  <c r="HC322" i="31" s="1"/>
  <c r="FA323" i="31" s="1"/>
  <c r="HB323" i="31" s="1"/>
  <c r="FM323" i="31"/>
  <c r="BH323" i="31"/>
  <c r="BI323" i="31"/>
  <c r="BK323" i="31" s="1"/>
  <c r="JH322" i="31"/>
  <c r="JI322" i="31" s="1"/>
  <c r="IT322" i="31"/>
  <c r="BJ323" i="31" l="1"/>
  <c r="JK322" i="31"/>
  <c r="JN322" i="31" s="1"/>
  <c r="JV322" i="31" s="1"/>
  <c r="JF323" i="31" s="1"/>
  <c r="BL323" i="31"/>
  <c r="BM323" i="31"/>
  <c r="HM322" i="31"/>
  <c r="EG322" i="31"/>
  <c r="EH323" i="31" s="1"/>
  <c r="EI323" i="31" s="1"/>
  <c r="FK323" i="31" s="1"/>
  <c r="EY322" i="31"/>
  <c r="HK323" i="31"/>
  <c r="JW323" i="31" l="1"/>
  <c r="JY323" i="31"/>
  <c r="BO323" i="31"/>
  <c r="BN323" i="31"/>
  <c r="EZ322" i="31"/>
  <c r="DG322" i="31"/>
  <c r="DH322" i="31" s="1"/>
  <c r="DI323" i="31" s="1"/>
  <c r="JM322" i="31"/>
  <c r="KD322" i="31" s="1"/>
  <c r="IL323" i="31" s="1"/>
  <c r="JZ322" i="31"/>
  <c r="KF322" i="31" s="1"/>
  <c r="IQ323" i="31" s="1"/>
  <c r="JL322" i="31"/>
  <c r="JJ323" i="31" s="1"/>
  <c r="KA323" i="31"/>
  <c r="EJ322" i="31"/>
  <c r="EK323" i="31" s="1"/>
  <c r="ED322" i="31"/>
  <c r="EB323" i="31" s="1"/>
  <c r="EE322" i="31"/>
  <c r="EF323" i="31" s="1"/>
  <c r="JA323" i="31" l="1"/>
  <c r="IY323" i="31"/>
  <c r="JE323" i="31"/>
  <c r="IR323" i="31"/>
  <c r="JO323" i="31"/>
  <c r="IP323" i="31"/>
  <c r="IO323" i="31"/>
  <c r="GZ323" i="31"/>
  <c r="IE323" i="31" s="1"/>
  <c r="DJ323" i="31"/>
  <c r="DK323" i="31" s="1"/>
  <c r="EL323" i="31"/>
  <c r="FC323" i="31"/>
  <c r="EO323" i="31"/>
  <c r="ES324" i="31" s="1"/>
  <c r="EP323" i="31"/>
  <c r="ET324" i="31" s="1"/>
  <c r="EV323" i="31"/>
  <c r="HZ323" i="31"/>
  <c r="DP323" i="31"/>
  <c r="JC323" i="31"/>
  <c r="JD323" i="31"/>
  <c r="BP323" i="31"/>
  <c r="BQ323" i="31" s="1"/>
  <c r="KG323" i="31" l="1"/>
  <c r="BR323" i="31"/>
  <c r="BS323" i="31"/>
  <c r="JP323" i="31"/>
  <c r="JQ323" i="31" s="1"/>
  <c r="JX323" i="31"/>
  <c r="FQ323" i="31"/>
  <c r="DX323" i="31"/>
  <c r="DM323" i="31"/>
  <c r="EC323" i="31"/>
  <c r="BT323" i="31" l="1"/>
  <c r="BU323" i="31"/>
  <c r="BV323" i="31" s="1"/>
  <c r="BW323" i="31" s="1"/>
  <c r="EX323" i="31"/>
  <c r="M323" i="31" s="1"/>
  <c r="FB323" i="31"/>
  <c r="DL323" i="31"/>
  <c r="L324" i="31"/>
  <c r="BX323" i="31" l="1"/>
  <c r="BY323" i="31"/>
  <c r="MJ323" i="31"/>
  <c r="NS323" i="31" s="1"/>
  <c r="MB323" i="31"/>
  <c r="BZ323" i="31" l="1"/>
  <c r="NM323" i="31"/>
  <c r="NN323" i="31" s="1"/>
  <c r="CA323" i="31"/>
  <c r="CC323" i="31" s="1"/>
  <c r="CD323" i="31" s="1"/>
  <c r="NT323" i="31"/>
  <c r="OU324" i="31"/>
  <c r="CB323" i="31" l="1"/>
  <c r="OV324" i="31"/>
  <c r="NW323" i="31"/>
  <c r="NX323" i="31" s="1"/>
  <c r="OF323" i="31" s="1"/>
  <c r="OS324" i="31" s="1"/>
  <c r="CE323" i="31"/>
  <c r="CF323" i="31" s="1"/>
  <c r="FV323" i="31"/>
  <c r="FR323" i="31"/>
  <c r="CX323" i="31"/>
  <c r="NU323" i="31"/>
  <c r="NY323" i="31" l="1"/>
  <c r="OB323" i="31" s="1"/>
  <c r="OT324" i="31" s="1"/>
  <c r="CG323" i="31"/>
  <c r="NZ323" i="31"/>
  <c r="MY323" i="31"/>
  <c r="CY324" i="31"/>
  <c r="NV323" i="31"/>
  <c r="OA323" i="31" l="1"/>
  <c r="MV324" i="31" s="1"/>
  <c r="OG324" i="31" s="1"/>
  <c r="CH323" i="31"/>
  <c r="CI323" i="31" s="1"/>
  <c r="OM324" i="31"/>
  <c r="OO324" i="31"/>
  <c r="NF324" i="31"/>
  <c r="MZ324" i="31"/>
  <c r="OZ323" i="31"/>
  <c r="PA323" i="31"/>
  <c r="OJ323" i="31"/>
  <c r="OI323" i="31"/>
  <c r="OC323" i="31"/>
  <c r="OD324" i="31" s="1"/>
  <c r="OH324" i="31" s="1"/>
  <c r="KT324" i="31" l="1"/>
  <c r="KL324" i="31" s="1"/>
  <c r="KN325" i="31" s="1"/>
  <c r="CJ323" i="31"/>
  <c r="CO323" i="31" s="1"/>
  <c r="CK323" i="31"/>
  <c r="OK324" i="31"/>
  <c r="KM324" i="31"/>
  <c r="KO325" i="31" s="1"/>
  <c r="OW323" i="31"/>
  <c r="OX324" i="31"/>
  <c r="MR324" i="31"/>
  <c r="OY324" i="31"/>
  <c r="MW324" i="31"/>
  <c r="CL323" i="31" l="1"/>
  <c r="CM323" i="31"/>
  <c r="CN323" i="31" s="1"/>
  <c r="MS324" i="31"/>
  <c r="MX324" i="31"/>
  <c r="KP325" i="31"/>
  <c r="KR324" i="31"/>
  <c r="KQ324" i="31"/>
  <c r="CP323" i="31" l="1"/>
  <c r="KS324" i="31"/>
  <c r="NP324" i="31"/>
  <c r="NH325" i="31"/>
  <c r="NI325" i="31" s="1"/>
  <c r="MO324" i="31"/>
  <c r="MT324" i="31"/>
  <c r="NQ324" i="31"/>
  <c r="MU324" i="31"/>
  <c r="NJ324" i="31"/>
  <c r="PE324" i="31"/>
  <c r="NA324" i="31"/>
  <c r="NB324" i="31"/>
  <c r="FZ323" i="31" l="1"/>
  <c r="GA323" i="31" s="1"/>
  <c r="GB323" i="31"/>
  <c r="GC323" i="31" s="1"/>
  <c r="FX323" i="31"/>
  <c r="FY323" i="31" s="1"/>
  <c r="FU323" i="31"/>
  <c r="FW323" i="31" s="1"/>
  <c r="GO323" i="31"/>
  <c r="FP323" i="31"/>
  <c r="FS323" i="31" s="1"/>
  <c r="FH323" i="31"/>
  <c r="FI323" i="31" s="1"/>
  <c r="KX323" i="31"/>
  <c r="FE323" i="31"/>
  <c r="FF323" i="31" s="1"/>
  <c r="KU323" i="31"/>
  <c r="JR323" i="31"/>
  <c r="JS323" i="31" s="1"/>
  <c r="DQ323" i="31"/>
  <c r="DR323" i="31" s="1"/>
  <c r="DS323" i="31" s="1"/>
  <c r="AX323" i="31" s="1"/>
  <c r="AY324" i="31" s="1"/>
  <c r="CQ323" i="31"/>
  <c r="HO323" i="31"/>
  <c r="NR324" i="31"/>
  <c r="NK324" i="31"/>
  <c r="NL324" i="31"/>
  <c r="NG325" i="31"/>
  <c r="OQ325" i="31"/>
  <c r="GN323" i="31" l="1"/>
  <c r="GQ323" i="31" s="1"/>
  <c r="HW323" i="31"/>
  <c r="HX324" i="31" s="1"/>
  <c r="FG324" i="31"/>
  <c r="EM323" i="31"/>
  <c r="EW323" i="31" s="1"/>
  <c r="AZ323" i="31"/>
  <c r="HU323" i="31"/>
  <c r="HV324" i="31" s="1"/>
  <c r="FJ324" i="31"/>
  <c r="KE323" i="31"/>
  <c r="KC323" i="31"/>
  <c r="JT324" i="31"/>
  <c r="JU323" i="31"/>
  <c r="IZ323" i="31"/>
  <c r="IA323" i="31"/>
  <c r="IB323" i="31" s="1"/>
  <c r="HP323" i="31"/>
  <c r="HY323" i="31"/>
  <c r="DY323" i="31"/>
  <c r="HA323" i="31"/>
  <c r="EN323" i="31"/>
  <c r="BB324" i="31" s="1"/>
  <c r="CR323" i="31"/>
  <c r="CS323" i="31"/>
  <c r="CT323" i="31"/>
  <c r="OR325" i="31"/>
  <c r="NC325" i="31"/>
  <c r="MQ325" i="31"/>
  <c r="KV323" i="31" l="1"/>
  <c r="KW324" i="31" s="1"/>
  <c r="HQ323" i="31"/>
  <c r="HR324" i="31" s="1"/>
  <c r="IU323" i="31"/>
  <c r="IV323" i="31" s="1"/>
  <c r="IX323" i="31" s="1"/>
  <c r="ER324" i="31"/>
  <c r="EU324" i="31" s="1"/>
  <c r="EQ323" i="31"/>
  <c r="DW323" i="31"/>
  <c r="DU324" i="31" s="1"/>
  <c r="IW323" i="31"/>
  <c r="KB323" i="31" s="1"/>
  <c r="HS323" i="31"/>
  <c r="JG323" i="31" s="1"/>
  <c r="HT323" i="31"/>
  <c r="BC324" i="31"/>
  <c r="KK323" i="31" l="1"/>
  <c r="IC323" i="31"/>
  <c r="ID323" i="31" s="1"/>
  <c r="IF323" i="31" s="1"/>
  <c r="KH323" i="31" s="1"/>
  <c r="JB323" i="31"/>
  <c r="BD324" i="31"/>
  <c r="BE324" i="31"/>
  <c r="KI324" i="31" l="1"/>
  <c r="KJ324" i="31" s="1"/>
  <c r="DF323" i="31"/>
  <c r="IN323" i="31"/>
  <c r="DB323" i="31"/>
  <c r="DC323" i="31" s="1"/>
  <c r="DD324" i="31" s="1"/>
  <c r="DE325" i="31" s="1"/>
  <c r="IM323" i="31"/>
  <c r="GM323" i="31"/>
  <c r="BF324" i="31"/>
  <c r="BG324" i="31"/>
  <c r="DT323" i="31" l="1"/>
  <c r="DZ323" i="31" s="1"/>
  <c r="GR323" i="31"/>
  <c r="GT325" i="31"/>
  <c r="FD323" i="31"/>
  <c r="GU323" i="31"/>
  <c r="GV323" i="31"/>
  <c r="BI324" i="31"/>
  <c r="BK324" i="31" s="1"/>
  <c r="BH324" i="31"/>
  <c r="GS323" i="31" l="1"/>
  <c r="FL324" i="31"/>
  <c r="FM324" i="31" s="1"/>
  <c r="IS323" i="31"/>
  <c r="BJ324" i="31"/>
  <c r="BL324" i="31"/>
  <c r="BM324" i="31"/>
  <c r="IT323" i="31" l="1"/>
  <c r="JH323" i="31"/>
  <c r="JI323" i="31" s="1"/>
  <c r="JK323" i="31" s="1"/>
  <c r="JN323" i="31" s="1"/>
  <c r="JV323" i="31" s="1"/>
  <c r="JF324" i="31" s="1"/>
  <c r="JY324" i="31" s="1"/>
  <c r="GX323" i="31"/>
  <c r="GY323" i="31"/>
  <c r="GW323" i="31"/>
  <c r="HC323" i="31" s="1"/>
  <c r="FA324" i="31" s="1"/>
  <c r="HB324" i="31" s="1"/>
  <c r="BN324" i="31"/>
  <c r="BO324" i="31"/>
  <c r="JM323" i="31" l="1"/>
  <c r="KD323" i="31" s="1"/>
  <c r="IL324" i="31" s="1"/>
  <c r="KA324" i="31"/>
  <c r="HZ324" i="31" s="1"/>
  <c r="JL323" i="31"/>
  <c r="JJ324" i="31" s="1"/>
  <c r="JZ323" i="31"/>
  <c r="KF323" i="31" s="1"/>
  <c r="IQ324" i="31" s="1"/>
  <c r="EY323" i="31"/>
  <c r="HK324" i="31"/>
  <c r="EG323" i="31"/>
  <c r="EH324" i="31" s="1"/>
  <c r="EI324" i="31" s="1"/>
  <c r="FK324" i="31" s="1"/>
  <c r="HM323" i="31"/>
  <c r="BP324" i="31"/>
  <c r="BQ324" i="31" s="1"/>
  <c r="JO324" i="31" l="1"/>
  <c r="IR324" i="31"/>
  <c r="JE324" i="31"/>
  <c r="EE323" i="31"/>
  <c r="EF324" i="31" s="1"/>
  <c r="ED323" i="31"/>
  <c r="EB324" i="31" s="1"/>
  <c r="EJ323" i="31"/>
  <c r="EK324" i="31" s="1"/>
  <c r="EZ323" i="31"/>
  <c r="DG323" i="31"/>
  <c r="DH323" i="31" s="1"/>
  <c r="DI324" i="31" s="1"/>
  <c r="JW324" i="31"/>
  <c r="BS324" i="31"/>
  <c r="BU324" i="31" s="1"/>
  <c r="BR324" i="31"/>
  <c r="DP324" i="31" l="1"/>
  <c r="JC324" i="31"/>
  <c r="JD324" i="31"/>
  <c r="JA324" i="31"/>
  <c r="FC324" i="31"/>
  <c r="EL324" i="31"/>
  <c r="EO324" i="31"/>
  <c r="ES325" i="31" s="1"/>
  <c r="EP324" i="31"/>
  <c r="ET325" i="31" s="1"/>
  <c r="IY324" i="31"/>
  <c r="EV324" i="31"/>
  <c r="IO324" i="31"/>
  <c r="GZ324" i="31"/>
  <c r="IP324" i="31"/>
  <c r="DJ324" i="31"/>
  <c r="DK324" i="31" s="1"/>
  <c r="BT324" i="31"/>
  <c r="BV324" i="31"/>
  <c r="BW324" i="31" s="1"/>
  <c r="JP324" i="31" l="1"/>
  <c r="JQ324" i="31" s="1"/>
  <c r="EC324" i="31"/>
  <c r="JX324" i="31"/>
  <c r="FQ324" i="31"/>
  <c r="DX324" i="31"/>
  <c r="DM324" i="31"/>
  <c r="IE324" i="31"/>
  <c r="KG324" i="31"/>
  <c r="BY324" i="31"/>
  <c r="BX324" i="31"/>
  <c r="DL324" i="31" l="1"/>
  <c r="L325" i="31"/>
  <c r="EX324" i="31"/>
  <c r="M324" i="31" s="1"/>
  <c r="FB324" i="31"/>
  <c r="BZ324" i="31"/>
  <c r="CA324" i="31"/>
  <c r="CC324" i="31" s="1"/>
  <c r="CD324" i="31" s="1"/>
  <c r="MB324" i="31" l="1"/>
  <c r="NM324" i="31" s="1"/>
  <c r="NN324" i="31" s="1"/>
  <c r="MJ324" i="31"/>
  <c r="NS324" i="31" s="1"/>
  <c r="CE324" i="31"/>
  <c r="CF324" i="31" s="1"/>
  <c r="CB324" i="31"/>
  <c r="CG324" i="31" l="1"/>
  <c r="CH324" i="31" s="1"/>
  <c r="CI324" i="31" s="1"/>
  <c r="NT324" i="31"/>
  <c r="OU325" i="31"/>
  <c r="OV325" i="31"/>
  <c r="NW324" i="31"/>
  <c r="NX324" i="31" s="1"/>
  <c r="NY324" i="31" s="1"/>
  <c r="CK324" i="31" l="1"/>
  <c r="CM324" i="31" s="1"/>
  <c r="CN324" i="31" s="1"/>
  <c r="CJ324" i="31"/>
  <c r="CO324" i="31" s="1"/>
  <c r="OF324" i="31"/>
  <c r="OS325" i="31" s="1"/>
  <c r="FV324" i="31"/>
  <c r="FR324" i="31"/>
  <c r="NU324" i="31"/>
  <c r="NV324" i="31" s="1"/>
  <c r="CX324" i="31"/>
  <c r="OB324" i="31"/>
  <c r="OT325" i="31" s="1"/>
  <c r="CL324" i="31" l="1"/>
  <c r="CP324" i="31" s="1"/>
  <c r="MY324" i="31"/>
  <c r="PA324" i="31" s="1"/>
  <c r="NZ324" i="31"/>
  <c r="OA324" i="31" s="1"/>
  <c r="MV325" i="31" s="1"/>
  <c r="OG325" i="31" s="1"/>
  <c r="CY325" i="31"/>
  <c r="OJ324" i="31" l="1"/>
  <c r="OY325" i="31" s="1"/>
  <c r="OC324" i="31"/>
  <c r="OD325" i="31" s="1"/>
  <c r="OH325" i="31" s="1"/>
  <c r="OM325" i="31"/>
  <c r="OO325" i="31"/>
  <c r="KT325" i="31" s="1"/>
  <c r="KM325" i="31" s="1"/>
  <c r="KO326" i="31" s="1"/>
  <c r="NF325" i="31"/>
  <c r="OZ324" i="31"/>
  <c r="MZ325" i="31"/>
  <c r="OI324" i="31"/>
  <c r="FE324" i="31"/>
  <c r="FF324" i="31" s="1"/>
  <c r="FH324" i="31"/>
  <c r="FI324" i="31" s="1"/>
  <c r="FU324" i="31"/>
  <c r="FW324" i="31" s="1"/>
  <c r="JR324" i="31"/>
  <c r="JS324" i="31" s="1"/>
  <c r="FZ324" i="31"/>
  <c r="GA324" i="31" s="1"/>
  <c r="GB324" i="31"/>
  <c r="GC324" i="31" s="1"/>
  <c r="FX324" i="31"/>
  <c r="FY324" i="31" s="1"/>
  <c r="HO324" i="31"/>
  <c r="DQ324" i="31"/>
  <c r="DR324" i="31" s="1"/>
  <c r="CQ324" i="31"/>
  <c r="GO324" i="31"/>
  <c r="FP324" i="31"/>
  <c r="FS324" i="31" s="1"/>
  <c r="KX324" i="31"/>
  <c r="KU324" i="31"/>
  <c r="OK325" i="31"/>
  <c r="MW325" i="31"/>
  <c r="GN324" i="31" l="1"/>
  <c r="GQ324" i="31" s="1"/>
  <c r="KL325" i="31"/>
  <c r="KN326" i="31" s="1"/>
  <c r="KP326" i="31" s="1"/>
  <c r="OW324" i="31"/>
  <c r="MR325" i="31"/>
  <c r="MS325" i="31" s="1"/>
  <c r="NP325" i="31" s="1"/>
  <c r="OX325" i="31"/>
  <c r="KC324" i="31"/>
  <c r="JU324" i="31"/>
  <c r="KE324" i="31"/>
  <c r="JT325" i="31"/>
  <c r="HU324" i="31"/>
  <c r="HV325" i="31" s="1"/>
  <c r="FJ325" i="31"/>
  <c r="KR325" i="31"/>
  <c r="DS324" i="31"/>
  <c r="AX324" i="31" s="1"/>
  <c r="AY325" i="31" s="1"/>
  <c r="HA324" i="31"/>
  <c r="HY324" i="31"/>
  <c r="DY324" i="31"/>
  <c r="CT324" i="31"/>
  <c r="CR324" i="31"/>
  <c r="CS324" i="31"/>
  <c r="MX325" i="31"/>
  <c r="HW324" i="31"/>
  <c r="HX325" i="31" s="1"/>
  <c r="FG325" i="31"/>
  <c r="HP324" i="31"/>
  <c r="IA324" i="31"/>
  <c r="IB324" i="31" s="1"/>
  <c r="IZ324" i="31"/>
  <c r="KV324" i="31" l="1"/>
  <c r="KW325" i="31" s="1"/>
  <c r="HQ324" i="31"/>
  <c r="HR325" i="31" s="1"/>
  <c r="MO325" i="31"/>
  <c r="MU325" i="31"/>
  <c r="NQ325" i="31"/>
  <c r="NR325" i="31" s="1"/>
  <c r="KQ325" i="31"/>
  <c r="KS325" i="31" s="1"/>
  <c r="NJ325" i="31"/>
  <c r="NG326" i="31" s="1"/>
  <c r="NH326" i="31"/>
  <c r="NI326" i="31" s="1"/>
  <c r="PE325" i="31"/>
  <c r="MT325" i="31"/>
  <c r="HT324" i="31"/>
  <c r="HS324" i="31"/>
  <c r="JG324" i="31" s="1"/>
  <c r="NB325" i="31"/>
  <c r="NA325" i="31"/>
  <c r="AZ324" i="31"/>
  <c r="EM324" i="31"/>
  <c r="EW324" i="31" s="1"/>
  <c r="EN324" i="31"/>
  <c r="NK325" i="31" l="1"/>
  <c r="NL325" i="31"/>
  <c r="NC326" i="31" s="1"/>
  <c r="OQ326" i="31"/>
  <c r="OR326" i="31" s="1"/>
  <c r="BB325" i="31"/>
  <c r="EQ324" i="31"/>
  <c r="DW324" i="31"/>
  <c r="DU325" i="31" s="1"/>
  <c r="IW324" i="31"/>
  <c r="ER325" i="31"/>
  <c r="IU324" i="31"/>
  <c r="IV324" i="31" s="1"/>
  <c r="IC324" i="31"/>
  <c r="ID324" i="31" s="1"/>
  <c r="IF324" i="31" s="1"/>
  <c r="KH324" i="31" s="1"/>
  <c r="JB324" i="31"/>
  <c r="MQ326" i="31" l="1"/>
  <c r="EU325" i="31"/>
  <c r="GM324" i="31"/>
  <c r="IM324" i="31"/>
  <c r="DB324" i="31"/>
  <c r="DC324" i="31" s="1"/>
  <c r="DD325" i="31" s="1"/>
  <c r="DE326" i="31" s="1"/>
  <c r="KI325" i="31"/>
  <c r="IN324" i="31"/>
  <c r="DF324" i="31"/>
  <c r="KK324" i="31"/>
  <c r="KB324" i="31"/>
  <c r="IX324" i="31"/>
  <c r="BC325" i="31"/>
  <c r="GT326" i="31" l="1"/>
  <c r="DT324" i="31"/>
  <c r="DZ324" i="31" s="1"/>
  <c r="GR324" i="31"/>
  <c r="KJ325" i="31"/>
  <c r="BE325" i="31"/>
  <c r="BD325" i="31"/>
  <c r="FD324" i="31"/>
  <c r="GV324" i="31"/>
  <c r="GU324" i="31"/>
  <c r="IS324" i="31" l="1"/>
  <c r="FL325" i="31"/>
  <c r="BF325" i="31"/>
  <c r="BG325" i="31"/>
  <c r="GS324" i="31"/>
  <c r="BI325" i="31" l="1"/>
  <c r="BK325" i="31" s="1"/>
  <c r="BH325" i="31"/>
  <c r="FM325" i="31"/>
  <c r="GY324" i="31"/>
  <c r="GX324" i="31"/>
  <c r="GW324" i="31"/>
  <c r="HC324" i="31" s="1"/>
  <c r="FA325" i="31" s="1"/>
  <c r="HB325" i="31" s="1"/>
  <c r="JH324" i="31"/>
  <c r="JI324" i="31" s="1"/>
  <c r="IT324" i="31"/>
  <c r="BJ325" i="31" l="1"/>
  <c r="JK324" i="31"/>
  <c r="JZ324" i="31" s="1"/>
  <c r="KF324" i="31" s="1"/>
  <c r="IQ325" i="31" s="1"/>
  <c r="EY324" i="31"/>
  <c r="HM324" i="31"/>
  <c r="EG324" i="31"/>
  <c r="EH325" i="31" s="1"/>
  <c r="EI325" i="31" s="1"/>
  <c r="FK325" i="31" s="1"/>
  <c r="HK325" i="31"/>
  <c r="BL325" i="31"/>
  <c r="BM325" i="31"/>
  <c r="JM324" i="31" l="1"/>
  <c r="KD324" i="31" s="1"/>
  <c r="IL325" i="31" s="1"/>
  <c r="IR325" i="31" s="1"/>
  <c r="JN324" i="31"/>
  <c r="JV324" i="31" s="1"/>
  <c r="JF325" i="31" s="1"/>
  <c r="EE324" i="31"/>
  <c r="EF325" i="31" s="1"/>
  <c r="EJ324" i="31"/>
  <c r="EK325" i="31" s="1"/>
  <c r="ED324" i="31"/>
  <c r="EB325" i="31" s="1"/>
  <c r="JA325" i="31" s="1"/>
  <c r="EZ324" i="31"/>
  <c r="DG324" i="31"/>
  <c r="DH324" i="31" s="1"/>
  <c r="DI325" i="31" s="1"/>
  <c r="BN325" i="31"/>
  <c r="BO325" i="31"/>
  <c r="JL324" i="31"/>
  <c r="JJ325" i="31" s="1"/>
  <c r="KA325" i="31"/>
  <c r="JE325" i="31" l="1"/>
  <c r="IP325" i="31"/>
  <c r="IO325" i="31"/>
  <c r="JO325" i="31"/>
  <c r="JY325" i="31"/>
  <c r="JW325" i="31"/>
  <c r="HZ325" i="31"/>
  <c r="BP325" i="31"/>
  <c r="BQ325" i="31" s="1"/>
  <c r="EO325" i="31"/>
  <c r="ES326" i="31" s="1"/>
  <c r="EL325" i="31"/>
  <c r="FC325" i="31"/>
  <c r="EP325" i="31"/>
  <c r="ET326" i="31" s="1"/>
  <c r="EV325" i="31"/>
  <c r="DP325" i="31"/>
  <c r="IY325" i="31"/>
  <c r="JP325" i="31" s="1"/>
  <c r="JQ325" i="31" s="1"/>
  <c r="JC325" i="31"/>
  <c r="JD325" i="31"/>
  <c r="GZ325" i="31"/>
  <c r="IE325" i="31" s="1"/>
  <c r="DJ325" i="31"/>
  <c r="DK325" i="31" s="1"/>
  <c r="BR325" i="31" l="1"/>
  <c r="BS325" i="31"/>
  <c r="KG325" i="31"/>
  <c r="EC325" i="31"/>
  <c r="DM325" i="31"/>
  <c r="DX325" i="31"/>
  <c r="FQ325" i="31"/>
  <c r="JX325" i="31"/>
  <c r="BT325" i="31" l="1"/>
  <c r="BU325" i="31"/>
  <c r="BV325" i="31" s="1"/>
  <c r="DL325" i="31"/>
  <c r="L326" i="31"/>
  <c r="EX325" i="31"/>
  <c r="M325" i="31" s="1"/>
  <c r="FB325" i="31"/>
  <c r="BW325" i="31" l="1"/>
  <c r="MB325" i="31"/>
  <c r="NM325" i="31" s="1"/>
  <c r="NN325" i="31" s="1"/>
  <c r="MJ325" i="31"/>
  <c r="NS325" i="31" s="1"/>
  <c r="BX325" i="31" l="1"/>
  <c r="BY325" i="31"/>
  <c r="NT325" i="31"/>
  <c r="OU326" i="31"/>
  <c r="OV326" i="31"/>
  <c r="NW325" i="31"/>
  <c r="BZ325" i="31" l="1"/>
  <c r="CA325" i="31"/>
  <c r="CC325" i="31" s="1"/>
  <c r="NX325" i="31"/>
  <c r="FR325" i="31"/>
  <c r="FV325" i="31"/>
  <c r="CX325" i="31"/>
  <c r="NU325" i="31"/>
  <c r="CB325" i="31" l="1"/>
  <c r="CE325" i="31"/>
  <c r="CD325" i="31"/>
  <c r="NZ325" i="31"/>
  <c r="MY325" i="31"/>
  <c r="CY326" i="31"/>
  <c r="NY325" i="31"/>
  <c r="NV325" i="31"/>
  <c r="OF325" i="31"/>
  <c r="OS326" i="31" s="1"/>
  <c r="CF325" i="31" l="1"/>
  <c r="CG325" i="31"/>
  <c r="OI325" i="31"/>
  <c r="OB325" i="31"/>
  <c r="OT326" i="31" s="1"/>
  <c r="OA325" i="31"/>
  <c r="MV326" i="31" s="1"/>
  <c r="MZ326" i="31"/>
  <c r="OZ325" i="31"/>
  <c r="NF326" i="31"/>
  <c r="OO326" i="31"/>
  <c r="OM326" i="31"/>
  <c r="CH325" i="31" l="1"/>
  <c r="CI325" i="31" s="1"/>
  <c r="KT326" i="31"/>
  <c r="OG326" i="31"/>
  <c r="PA325" i="31"/>
  <c r="OW325" i="31"/>
  <c r="MR326" i="31"/>
  <c r="OX326" i="31"/>
  <c r="OJ325" i="31"/>
  <c r="OC325" i="31"/>
  <c r="OD326" i="31" s="1"/>
  <c r="OH326" i="31" s="1"/>
  <c r="CJ325" i="31" l="1"/>
  <c r="CO325" i="31" s="1"/>
  <c r="CK325" i="31"/>
  <c r="MS326" i="31"/>
  <c r="OY326" i="31"/>
  <c r="MW326" i="31"/>
  <c r="OK326" i="31"/>
  <c r="KM326" i="31"/>
  <c r="KO327" i="31" s="1"/>
  <c r="KL326" i="31"/>
  <c r="KN327" i="31" s="1"/>
  <c r="CM325" i="31" l="1"/>
  <c r="CN325" i="31" s="1"/>
  <c r="CL325" i="31"/>
  <c r="KQ326" i="31"/>
  <c r="MX326" i="31"/>
  <c r="KP327" i="31"/>
  <c r="KR326" i="31"/>
  <c r="MO326" i="31"/>
  <c r="NH327" i="31"/>
  <c r="NI327" i="31" s="1"/>
  <c r="NP326" i="31"/>
  <c r="MT326" i="31"/>
  <c r="MU326" i="31"/>
  <c r="NQ326" i="31"/>
  <c r="NJ326" i="31"/>
  <c r="PE326" i="31"/>
  <c r="NR326" i="31" l="1"/>
  <c r="CP325" i="31"/>
  <c r="DQ325" i="31" s="1"/>
  <c r="DR325" i="31" s="1"/>
  <c r="DS325" i="31" s="1"/>
  <c r="NA326" i="31"/>
  <c r="NB326" i="31"/>
  <c r="NL326" i="31"/>
  <c r="NK326" i="31"/>
  <c r="NG327" i="31"/>
  <c r="OQ327" i="31"/>
  <c r="KS326" i="31"/>
  <c r="FH325" i="31" l="1"/>
  <c r="FI325" i="31" s="1"/>
  <c r="HU325" i="31" s="1"/>
  <c r="HV326" i="31" s="1"/>
  <c r="FP325" i="31"/>
  <c r="FS325" i="31" s="1"/>
  <c r="DY325" i="31" s="1"/>
  <c r="GO325" i="31"/>
  <c r="FZ325" i="31"/>
  <c r="GA325" i="31" s="1"/>
  <c r="KU325" i="31"/>
  <c r="HO325" i="31"/>
  <c r="IA325" i="31" s="1"/>
  <c r="IB325" i="31" s="1"/>
  <c r="GB325" i="31"/>
  <c r="GC325" i="31" s="1"/>
  <c r="KX325" i="31"/>
  <c r="FU325" i="31"/>
  <c r="FW325" i="31" s="1"/>
  <c r="FX325" i="31"/>
  <c r="FY325" i="31" s="1"/>
  <c r="CQ325" i="31"/>
  <c r="CT325" i="31" s="1"/>
  <c r="JR325" i="31"/>
  <c r="JS325" i="31" s="1"/>
  <c r="JT326" i="31" s="1"/>
  <c r="FE325" i="31"/>
  <c r="FF325" i="31" s="1"/>
  <c r="HW325" i="31" s="1"/>
  <c r="HX326" i="31" s="1"/>
  <c r="EM325" i="31"/>
  <c r="EW325" i="31" s="1"/>
  <c r="AX325" i="31"/>
  <c r="AY326" i="31" s="1"/>
  <c r="AZ325" i="31"/>
  <c r="EN325" i="31"/>
  <c r="EQ325" i="31" s="1"/>
  <c r="NC327" i="31"/>
  <c r="MQ327" i="31"/>
  <c r="OR327" i="31"/>
  <c r="GN325" i="31" l="1"/>
  <c r="GQ325" i="31" s="1"/>
  <c r="HA325" i="31"/>
  <c r="FJ326" i="31"/>
  <c r="HY325" i="31"/>
  <c r="HP325" i="31"/>
  <c r="HS325" i="31" s="1"/>
  <c r="JG325" i="31" s="1"/>
  <c r="IZ325" i="31"/>
  <c r="KC325" i="31"/>
  <c r="JU325" i="31"/>
  <c r="KE325" i="31"/>
  <c r="CS325" i="31"/>
  <c r="CR325" i="31"/>
  <c r="FG326" i="31"/>
  <c r="ER326" i="31"/>
  <c r="EU326" i="31" s="1"/>
  <c r="IU325" i="31"/>
  <c r="IV325" i="31" s="1"/>
  <c r="KK325" i="31" s="1"/>
  <c r="IW325" i="31"/>
  <c r="DW325" i="31"/>
  <c r="DU326" i="31" s="1"/>
  <c r="BB326" i="31"/>
  <c r="BC326" i="31" s="1"/>
  <c r="KV325" i="31" l="1"/>
  <c r="KW326" i="31" s="1"/>
  <c r="HQ325" i="31"/>
  <c r="HR326" i="31" s="1"/>
  <c r="HT325" i="31"/>
  <c r="JB325" i="31" s="1"/>
  <c r="KB325" i="31"/>
  <c r="IX325" i="31"/>
  <c r="BE326" i="31"/>
  <c r="BD326" i="31"/>
  <c r="IC325" i="31" l="1"/>
  <c r="ID325" i="31" s="1"/>
  <c r="IF325" i="31" s="1"/>
  <c r="KH325" i="31" s="1"/>
  <c r="DF325" i="31" s="1"/>
  <c r="BF326" i="31"/>
  <c r="BG326" i="31"/>
  <c r="IN325" i="31" l="1"/>
  <c r="KI326" i="31"/>
  <c r="KJ326" i="31" s="1"/>
  <c r="DB325" i="31"/>
  <c r="DC325" i="31" s="1"/>
  <c r="DD326" i="31" s="1"/>
  <c r="DE327" i="31" s="1"/>
  <c r="IM325" i="31"/>
  <c r="FD325" i="31" s="1"/>
  <c r="GM325" i="31"/>
  <c r="GR325" i="31" s="1"/>
  <c r="GV325" i="31"/>
  <c r="GU325" i="31"/>
  <c r="BI326" i="31"/>
  <c r="BK326" i="31" s="1"/>
  <c r="BH326" i="31"/>
  <c r="GT327" i="31" l="1"/>
  <c r="DT325" i="31"/>
  <c r="DZ325" i="31" s="1"/>
  <c r="IS325" i="31"/>
  <c r="FL326" i="31"/>
  <c r="FM326" i="31" s="1"/>
  <c r="GS325" i="31"/>
  <c r="BJ326" i="31"/>
  <c r="BL326" i="31"/>
  <c r="BM326" i="31"/>
  <c r="GX325" i="31" l="1"/>
  <c r="GY325" i="31"/>
  <c r="GW325" i="31"/>
  <c r="HC325" i="31" s="1"/>
  <c r="FA326" i="31" s="1"/>
  <c r="HB326" i="31" s="1"/>
  <c r="JH325" i="31"/>
  <c r="JI325" i="31" s="1"/>
  <c r="JK325" i="31" s="1"/>
  <c r="JZ325" i="31" s="1"/>
  <c r="KF325" i="31" s="1"/>
  <c r="IQ326" i="31" s="1"/>
  <c r="IT325" i="31"/>
  <c r="BO326" i="31"/>
  <c r="BN326" i="31"/>
  <c r="JN325" i="31" l="1"/>
  <c r="JV325" i="31" s="1"/>
  <c r="JF326" i="31" s="1"/>
  <c r="KA326" i="31"/>
  <c r="HZ326" i="31" s="1"/>
  <c r="JM325" i="31"/>
  <c r="KD325" i="31" s="1"/>
  <c r="IL326" i="31" s="1"/>
  <c r="JE326" i="31" s="1"/>
  <c r="JL325" i="31"/>
  <c r="JJ326" i="31" s="1"/>
  <c r="EY325" i="31"/>
  <c r="HK326" i="31"/>
  <c r="EG325" i="31"/>
  <c r="EH326" i="31" s="1"/>
  <c r="EI326" i="31" s="1"/>
  <c r="FK326" i="31" s="1"/>
  <c r="HM325" i="31"/>
  <c r="BP326" i="31"/>
  <c r="BQ326" i="31" s="1"/>
  <c r="ED325" i="31" l="1"/>
  <c r="EB326" i="31" s="1"/>
  <c r="EE325" i="31"/>
  <c r="EF326" i="31" s="1"/>
  <c r="IO326" i="31" s="1"/>
  <c r="EJ325" i="31"/>
  <c r="EK326" i="31" s="1"/>
  <c r="IR326" i="31"/>
  <c r="JW326" i="31"/>
  <c r="JY326" i="31"/>
  <c r="EZ325" i="31"/>
  <c r="DG325" i="31"/>
  <c r="DH325" i="31" s="1"/>
  <c r="DI326" i="31" s="1"/>
  <c r="DP326" i="31" s="1"/>
  <c r="JO326" i="31"/>
  <c r="BR326" i="31"/>
  <c r="BS326" i="31"/>
  <c r="BT326" i="31" l="1"/>
  <c r="BU326" i="31"/>
  <c r="BV326" i="31" s="1"/>
  <c r="BW326" i="31" s="1"/>
  <c r="JC326" i="31"/>
  <c r="JD326" i="31"/>
  <c r="IP326" i="31"/>
  <c r="DJ326" i="31"/>
  <c r="DK326" i="31" s="1"/>
  <c r="GZ326" i="31"/>
  <c r="IE326" i="31" s="1"/>
  <c r="EO326" i="31"/>
  <c r="ES327" i="31" s="1"/>
  <c r="JA326" i="31"/>
  <c r="FC326" i="31"/>
  <c r="EV326" i="31"/>
  <c r="EL326" i="31"/>
  <c r="IY326" i="31"/>
  <c r="JP326" i="31" s="1"/>
  <c r="JQ326" i="31" s="1"/>
  <c r="EP326" i="31"/>
  <c r="ET327" i="31" s="1"/>
  <c r="FQ326" i="31" l="1"/>
  <c r="DX326" i="31"/>
  <c r="DM326" i="31"/>
  <c r="JX326" i="31"/>
  <c r="EC326" i="31"/>
  <c r="KG326" i="31"/>
  <c r="BY326" i="31"/>
  <c r="CA326" i="31" s="1"/>
  <c r="CC326" i="31" s="1"/>
  <c r="BX326" i="31"/>
  <c r="BZ326" i="31" l="1"/>
  <c r="DL326" i="31"/>
  <c r="L327" i="31"/>
  <c r="EX326" i="31"/>
  <c r="M326" i="31" s="1"/>
  <c r="FB326" i="31"/>
  <c r="CB326" i="31"/>
  <c r="CD326" i="31"/>
  <c r="CE326" i="31"/>
  <c r="MB326" i="31" l="1"/>
  <c r="NM326" i="31" s="1"/>
  <c r="NN326" i="31" s="1"/>
  <c r="MJ326" i="31"/>
  <c r="NS326" i="31" s="1"/>
  <c r="CF326" i="31"/>
  <c r="CG326" i="31"/>
  <c r="OU327" i="31" l="1"/>
  <c r="NT326" i="31"/>
  <c r="OV327" i="31"/>
  <c r="NW326" i="31"/>
  <c r="NX326" i="31" s="1"/>
  <c r="NY326" i="31" s="1"/>
  <c r="CH326" i="31"/>
  <c r="CI326" i="31" s="1"/>
  <c r="CJ326" i="31" l="1"/>
  <c r="CO326" i="31" s="1"/>
  <c r="CK326" i="31"/>
  <c r="CM326" i="31" s="1"/>
  <c r="CN326" i="31" s="1"/>
  <c r="OF326" i="31"/>
  <c r="OS327" i="31" s="1"/>
  <c r="FR326" i="31"/>
  <c r="FV326" i="31"/>
  <c r="CX326" i="31"/>
  <c r="NU326" i="31"/>
  <c r="NV326" i="31" s="1"/>
  <c r="OB326" i="31"/>
  <c r="OT327" i="31" s="1"/>
  <c r="CL326" i="31" l="1"/>
  <c r="CP326" i="31" s="1"/>
  <c r="NZ326" i="31"/>
  <c r="OA326" i="31" s="1"/>
  <c r="MV327" i="31" s="1"/>
  <c r="OG327" i="31" s="1"/>
  <c r="MY326" i="31"/>
  <c r="PA326" i="31" s="1"/>
  <c r="CY327" i="31"/>
  <c r="OC326" i="31" l="1"/>
  <c r="OD327" i="31" s="1"/>
  <c r="OH327" i="31" s="1"/>
  <c r="OK327" i="31" s="1"/>
  <c r="NF327" i="31"/>
  <c r="OM327" i="31"/>
  <c r="OO327" i="31"/>
  <c r="KT327" i="31" s="1"/>
  <c r="KL327" i="31" s="1"/>
  <c r="KN328" i="31" s="1"/>
  <c r="OI326" i="31"/>
  <c r="MZ327" i="31"/>
  <c r="OZ326" i="31"/>
  <c r="OJ326" i="31"/>
  <c r="OY327" i="31" s="1"/>
  <c r="GB326" i="31"/>
  <c r="GC326" i="31" s="1"/>
  <c r="HO326" i="31"/>
  <c r="GO326" i="31"/>
  <c r="DQ326" i="31"/>
  <c r="DR326" i="31" s="1"/>
  <c r="FZ326" i="31"/>
  <c r="GA326" i="31" s="1"/>
  <c r="FP326" i="31"/>
  <c r="FS326" i="31" s="1"/>
  <c r="FU326" i="31"/>
  <c r="FW326" i="31" s="1"/>
  <c r="JR326" i="31"/>
  <c r="JS326" i="31" s="1"/>
  <c r="FH326" i="31"/>
  <c r="FI326" i="31" s="1"/>
  <c r="FE326" i="31"/>
  <c r="FF326" i="31" s="1"/>
  <c r="FX326" i="31"/>
  <c r="FY326" i="31" s="1"/>
  <c r="CQ326" i="31"/>
  <c r="KX326" i="31"/>
  <c r="KU326" i="31"/>
  <c r="GN326" i="31" l="1"/>
  <c r="KV326" i="31" s="1"/>
  <c r="MW327" i="31"/>
  <c r="MX327" i="31" s="1"/>
  <c r="KM327" i="31"/>
  <c r="KO328" i="31" s="1"/>
  <c r="KP328" i="31" s="1"/>
  <c r="MR327" i="31"/>
  <c r="MS327" i="31" s="1"/>
  <c r="OW326" i="31"/>
  <c r="OX327" i="31"/>
  <c r="HY326" i="31"/>
  <c r="DY326" i="31"/>
  <c r="HA326" i="31"/>
  <c r="DS326" i="31"/>
  <c r="AX326" i="31" s="1"/>
  <c r="AY327" i="31" s="1"/>
  <c r="CS326" i="31"/>
  <c r="CT326" i="31"/>
  <c r="CR326" i="31"/>
  <c r="HW326" i="31"/>
  <c r="HX327" i="31" s="1"/>
  <c r="FG327" i="31"/>
  <c r="HP326" i="31"/>
  <c r="IA326" i="31"/>
  <c r="IB326" i="31" s="1"/>
  <c r="IZ326" i="31"/>
  <c r="HU326" i="31"/>
  <c r="HV327" i="31" s="1"/>
  <c r="FJ327" i="31"/>
  <c r="KC326" i="31"/>
  <c r="JU326" i="31"/>
  <c r="JT327" i="31"/>
  <c r="KE326" i="31"/>
  <c r="KQ327" i="31"/>
  <c r="GQ326" i="31" l="1"/>
  <c r="KW327" i="31"/>
  <c r="HQ326" i="31"/>
  <c r="HR327" i="31" s="1"/>
  <c r="KR327" i="31"/>
  <c r="KS327" i="31" s="1"/>
  <c r="NP327" i="31"/>
  <c r="MU327" i="31"/>
  <c r="NH328" i="31"/>
  <c r="NI328" i="31" s="1"/>
  <c r="NQ327" i="31"/>
  <c r="MT327" i="31"/>
  <c r="NJ327" i="31"/>
  <c r="MO327" i="31"/>
  <c r="PE327" i="31"/>
  <c r="NB327" i="31"/>
  <c r="NA327" i="31"/>
  <c r="HS326" i="31"/>
  <c r="JG326" i="31" s="1"/>
  <c r="HT326" i="31"/>
  <c r="EN326" i="31"/>
  <c r="EM326" i="31"/>
  <c r="EW326" i="31" s="1"/>
  <c r="AZ326" i="31"/>
  <c r="NR327" i="31" l="1"/>
  <c r="NK327" i="31"/>
  <c r="NL327" i="31"/>
  <c r="NG328" i="31"/>
  <c r="OQ328" i="31"/>
  <c r="OR328" i="31" s="1"/>
  <c r="IC326" i="31"/>
  <c r="ID326" i="31" s="1"/>
  <c r="IF326" i="31" s="1"/>
  <c r="KH326" i="31" s="1"/>
  <c r="JB326" i="31"/>
  <c r="BB327" i="31"/>
  <c r="IW326" i="31"/>
  <c r="EQ326" i="31"/>
  <c r="DW326" i="31"/>
  <c r="DU327" i="31" s="1"/>
  <c r="ER327" i="31"/>
  <c r="IU326" i="31"/>
  <c r="IV326" i="31" s="1"/>
  <c r="NC328" i="31" l="1"/>
  <c r="MQ328" i="31"/>
  <c r="BC327" i="31"/>
  <c r="KB326" i="31"/>
  <c r="IX326" i="31"/>
  <c r="KK326" i="31"/>
  <c r="EU327" i="31"/>
  <c r="DB326" i="31"/>
  <c r="DC326" i="31" s="1"/>
  <c r="DD327" i="31" s="1"/>
  <c r="DE328" i="31" s="1"/>
  <c r="IM326" i="31"/>
  <c r="GM326" i="31"/>
  <c r="KI327" i="31"/>
  <c r="IN326" i="31"/>
  <c r="DF326" i="31"/>
  <c r="GT328" i="31" l="1"/>
  <c r="DT326" i="31"/>
  <c r="DZ326" i="31" s="1"/>
  <c r="GR326" i="31"/>
  <c r="GU326" i="31"/>
  <c r="FD326" i="31"/>
  <c r="GV326" i="31"/>
  <c r="KJ327" i="31"/>
  <c r="BE327" i="31"/>
  <c r="BD327" i="31"/>
  <c r="BG327" i="31" l="1"/>
  <c r="BF327" i="31"/>
  <c r="IS326" i="31"/>
  <c r="FL327" i="31"/>
  <c r="GS326" i="31"/>
  <c r="FM327" i="31" l="1"/>
  <c r="GX326" i="31"/>
  <c r="GY326" i="31"/>
  <c r="GW326" i="31"/>
  <c r="HC326" i="31" s="1"/>
  <c r="FA327" i="31" s="1"/>
  <c r="HB327" i="31" s="1"/>
  <c r="JH326" i="31"/>
  <c r="JI326" i="31" s="1"/>
  <c r="IT326" i="31"/>
  <c r="BI327" i="31"/>
  <c r="BK327" i="31" s="1"/>
  <c r="BH327" i="31"/>
  <c r="BJ327" i="31" l="1"/>
  <c r="JK326" i="31"/>
  <c r="JN326" i="31" s="1"/>
  <c r="JV326" i="31" s="1"/>
  <c r="JF327" i="31" s="1"/>
  <c r="HM326" i="31"/>
  <c r="EG326" i="31"/>
  <c r="EH327" i="31" s="1"/>
  <c r="EI327" i="31" s="1"/>
  <c r="FK327" i="31" s="1"/>
  <c r="EY326" i="31"/>
  <c r="HK327" i="31"/>
  <c r="BL327" i="31"/>
  <c r="BM327" i="31"/>
  <c r="EZ326" i="31" l="1"/>
  <c r="DG326" i="31"/>
  <c r="DH326" i="31" s="1"/>
  <c r="DI327" i="31" s="1"/>
  <c r="EJ326" i="31"/>
  <c r="EK327" i="31" s="1"/>
  <c r="EE326" i="31"/>
  <c r="EF327" i="31" s="1"/>
  <c r="ED326" i="31"/>
  <c r="EB327" i="31" s="1"/>
  <c r="BN327" i="31"/>
  <c r="BO327" i="31"/>
  <c r="JM326" i="31"/>
  <c r="KD326" i="31" s="1"/>
  <c r="IL327" i="31" s="1"/>
  <c r="JL326" i="31"/>
  <c r="JJ327" i="31" s="1"/>
  <c r="KA327" i="31"/>
  <c r="JY327" i="31"/>
  <c r="JW327" i="31"/>
  <c r="JZ326" i="31"/>
  <c r="KF326" i="31" s="1"/>
  <c r="IQ327" i="31" s="1"/>
  <c r="BP327" i="31" l="1"/>
  <c r="BQ327" i="31" s="1"/>
  <c r="FC327" i="31"/>
  <c r="EP327" i="31"/>
  <c r="ET328" i="31" s="1"/>
  <c r="EL327" i="31"/>
  <c r="EO327" i="31"/>
  <c r="ES328" i="31" s="1"/>
  <c r="EV327" i="31"/>
  <c r="JC327" i="31"/>
  <c r="JD327" i="31"/>
  <c r="IP327" i="31"/>
  <c r="IO327" i="31"/>
  <c r="GZ327" i="31"/>
  <c r="IE327" i="31" s="1"/>
  <c r="DJ327" i="31"/>
  <c r="DK327" i="31" s="1"/>
  <c r="DP327" i="31"/>
  <c r="HZ327" i="31"/>
  <c r="JE327" i="31"/>
  <c r="JO327" i="31"/>
  <c r="IR327" i="31"/>
  <c r="JA327" i="31"/>
  <c r="IY327" i="31"/>
  <c r="JP327" i="31" l="1"/>
  <c r="JQ327" i="31" s="1"/>
  <c r="KG327" i="31"/>
  <c r="BR327" i="31"/>
  <c r="BS327" i="31"/>
  <c r="JX327" i="31"/>
  <c r="EC327" i="31"/>
  <c r="DM327" i="31"/>
  <c r="FQ327" i="31"/>
  <c r="DX327" i="31"/>
  <c r="BT327" i="31" l="1"/>
  <c r="BU327" i="31"/>
  <c r="BV327" i="31" s="1"/>
  <c r="BW327" i="31" s="1"/>
  <c r="DL327" i="31"/>
  <c r="L328" i="31"/>
  <c r="FB327" i="31"/>
  <c r="EX327" i="31"/>
  <c r="M327" i="31" s="1"/>
  <c r="BX327" i="31" l="1"/>
  <c r="BY327" i="31"/>
  <c r="MB327" i="31"/>
  <c r="MJ327" i="31"/>
  <c r="NS327" i="31" s="1"/>
  <c r="NM327" i="31" l="1"/>
  <c r="NN327" i="31" s="1"/>
  <c r="OV328" i="31" s="1"/>
  <c r="BZ327" i="31"/>
  <c r="CA327" i="31"/>
  <c r="CC327" i="31" s="1"/>
  <c r="CD327" i="31" s="1"/>
  <c r="NT327" i="31"/>
  <c r="OU328" i="31"/>
  <c r="CE327" i="31" l="1"/>
  <c r="CF327" i="31" s="1"/>
  <c r="NW327" i="31"/>
  <c r="NX327" i="31" s="1"/>
  <c r="CB327" i="31"/>
  <c r="FV327" i="31"/>
  <c r="CX327" i="31"/>
  <c r="FR327" i="31"/>
  <c r="NU327" i="31"/>
  <c r="CG327" i="31" l="1"/>
  <c r="CH327" i="31" s="1"/>
  <c r="CI327" i="31" s="1"/>
  <c r="NY327" i="31"/>
  <c r="NV327" i="31"/>
  <c r="OF327" i="31"/>
  <c r="OS328" i="31" s="1"/>
  <c r="NZ327" i="31"/>
  <c r="MY327" i="31"/>
  <c r="CY328" i="31"/>
  <c r="CJ327" i="31" l="1"/>
  <c r="CO327" i="31" s="1"/>
  <c r="CK327" i="31"/>
  <c r="CL327" i="31" s="1"/>
  <c r="OB327" i="31"/>
  <c r="OT328" i="31" s="1"/>
  <c r="OO328" i="31"/>
  <c r="OM328" i="31"/>
  <c r="NF328" i="31"/>
  <c r="OA327" i="31"/>
  <c r="MV328" i="31" s="1"/>
  <c r="MZ328" i="31"/>
  <c r="OZ327" i="31"/>
  <c r="OI327" i="31"/>
  <c r="CM327" i="31" l="1"/>
  <c r="CN327" i="31" s="1"/>
  <c r="CP327" i="31" s="1"/>
  <c r="OX328" i="31"/>
  <c r="OW327" i="31"/>
  <c r="MR328" i="31"/>
  <c r="OG328" i="31"/>
  <c r="KT328" i="31"/>
  <c r="PA327" i="31"/>
  <c r="OJ327" i="31"/>
  <c r="OC327" i="31"/>
  <c r="OD328" i="31" s="1"/>
  <c r="OH328" i="31" s="1"/>
  <c r="OK328" i="31" l="1"/>
  <c r="KM328" i="31"/>
  <c r="KO329" i="31" s="1"/>
  <c r="KL328" i="31"/>
  <c r="KN329" i="31" s="1"/>
  <c r="MS328" i="31"/>
  <c r="FZ327" i="31"/>
  <c r="GA327" i="31" s="1"/>
  <c r="FU327" i="31"/>
  <c r="FW327" i="31" s="1"/>
  <c r="CQ327" i="31"/>
  <c r="FX327" i="31"/>
  <c r="FY327" i="31" s="1"/>
  <c r="GO327" i="31"/>
  <c r="HO327" i="31"/>
  <c r="FH327" i="31"/>
  <c r="FI327" i="31" s="1"/>
  <c r="DQ327" i="31"/>
  <c r="DR327" i="31" s="1"/>
  <c r="JR327" i="31"/>
  <c r="JS327" i="31" s="1"/>
  <c r="FP327" i="31"/>
  <c r="FS327" i="31" s="1"/>
  <c r="FE327" i="31"/>
  <c r="FF327" i="31" s="1"/>
  <c r="GB327" i="31"/>
  <c r="GC327" i="31" s="1"/>
  <c r="KX327" i="31"/>
  <c r="KU327" i="31"/>
  <c r="OY328" i="31"/>
  <c r="MW328" i="31"/>
  <c r="GN327" i="31" l="1"/>
  <c r="KV327" i="31" s="1"/>
  <c r="DS327" i="31"/>
  <c r="AX327" i="31" s="1"/>
  <c r="AY328" i="31" s="1"/>
  <c r="HU327" i="31"/>
  <c r="HV328" i="31" s="1"/>
  <c r="FJ328" i="31"/>
  <c r="JU327" i="31"/>
  <c r="KC327" i="31"/>
  <c r="KE327" i="31"/>
  <c r="JT328" i="31"/>
  <c r="IA327" i="31"/>
  <c r="IB327" i="31" s="1"/>
  <c r="HP327" i="31"/>
  <c r="IZ327" i="31"/>
  <c r="NP328" i="31"/>
  <c r="MU328" i="31"/>
  <c r="MT328" i="31"/>
  <c r="NJ328" i="31"/>
  <c r="NQ328" i="31"/>
  <c r="NH329" i="31"/>
  <c r="NI329" i="31" s="1"/>
  <c r="MO328" i="31"/>
  <c r="PE328" i="31"/>
  <c r="MX328" i="31"/>
  <c r="KQ328" i="31"/>
  <c r="HA327" i="31"/>
  <c r="DY327" i="31"/>
  <c r="HY327" i="31"/>
  <c r="HW327" i="31"/>
  <c r="HX328" i="31" s="1"/>
  <c r="FG328" i="31"/>
  <c r="CT327" i="31"/>
  <c r="CR327" i="31"/>
  <c r="CS327" i="31"/>
  <c r="KP329" i="31"/>
  <c r="KR328" i="31"/>
  <c r="GQ327" i="31" l="1"/>
  <c r="KW328" i="31"/>
  <c r="HQ327" i="31"/>
  <c r="HR328" i="31" s="1"/>
  <c r="NR328" i="31"/>
  <c r="NL328" i="31"/>
  <c r="NK328" i="31"/>
  <c r="NG329" i="31"/>
  <c r="OQ329" i="31"/>
  <c r="HT327" i="31"/>
  <c r="HS327" i="31"/>
  <c r="JG327" i="31" s="1"/>
  <c r="KS328" i="31"/>
  <c r="NB328" i="31"/>
  <c r="NA328" i="31"/>
  <c r="EN327" i="31"/>
  <c r="AZ327" i="31"/>
  <c r="EM327" i="31"/>
  <c r="EW327" i="31" s="1"/>
  <c r="BB328" i="31" l="1"/>
  <c r="DW327" i="31"/>
  <c r="DU328" i="31" s="1"/>
  <c r="IW327" i="31"/>
  <c r="EQ327" i="31"/>
  <c r="ER328" i="31"/>
  <c r="IU327" i="31"/>
  <c r="IV327" i="31" s="1"/>
  <c r="IC327" i="31"/>
  <c r="ID327" i="31" s="1"/>
  <c r="IF327" i="31" s="1"/>
  <c r="KH327" i="31" s="1"/>
  <c r="JB327" i="31"/>
  <c r="OR329" i="31"/>
  <c r="NC329" i="31"/>
  <c r="MQ329" i="31"/>
  <c r="KB327" i="31" l="1"/>
  <c r="IX327" i="31"/>
  <c r="KK327" i="31"/>
  <c r="EU328" i="31"/>
  <c r="GM327" i="31"/>
  <c r="IM327" i="31"/>
  <c r="DB327" i="31"/>
  <c r="DC327" i="31" s="1"/>
  <c r="DD328" i="31" s="1"/>
  <c r="DE329" i="31" s="1"/>
  <c r="KI328" i="31"/>
  <c r="IN327" i="31"/>
  <c r="DF327" i="31"/>
  <c r="BC328" i="31"/>
  <c r="DT327" i="31" l="1"/>
  <c r="DZ327" i="31" s="1"/>
  <c r="GT329" i="31"/>
  <c r="GR327" i="31"/>
  <c r="BE328" i="31"/>
  <c r="BD328" i="31"/>
  <c r="KJ328" i="31"/>
  <c r="GU327" i="31"/>
  <c r="FD327" i="31"/>
  <c r="GV327" i="31"/>
  <c r="BG328" i="31" l="1"/>
  <c r="BF328" i="31"/>
  <c r="IS327" i="31"/>
  <c r="FL328" i="31"/>
  <c r="GS327" i="31"/>
  <c r="GW327" i="31" l="1"/>
  <c r="HC327" i="31" s="1"/>
  <c r="FA328" i="31" s="1"/>
  <c r="HB328" i="31" s="1"/>
  <c r="GY327" i="31"/>
  <c r="GX327" i="31"/>
  <c r="FM328" i="31"/>
  <c r="JH327" i="31"/>
  <c r="JI327" i="31" s="1"/>
  <c r="IT327" i="31"/>
  <c r="BH328" i="31"/>
  <c r="BI328" i="31"/>
  <c r="BK328" i="31" s="1"/>
  <c r="JK327" i="31" l="1"/>
  <c r="JZ327" i="31" s="1"/>
  <c r="KF327" i="31" s="1"/>
  <c r="IQ328" i="31" s="1"/>
  <c r="HM327" i="31"/>
  <c r="EY327" i="31"/>
  <c r="EG327" i="31"/>
  <c r="EH328" i="31" s="1"/>
  <c r="EI328" i="31" s="1"/>
  <c r="FK328" i="31" s="1"/>
  <c r="HK328" i="31"/>
  <c r="BL328" i="31"/>
  <c r="BM328" i="31"/>
  <c r="BJ328" i="31"/>
  <c r="JM327" i="31" l="1"/>
  <c r="KD327" i="31" s="1"/>
  <c r="IL328" i="31" s="1"/>
  <c r="JE328" i="31" s="1"/>
  <c r="EZ327" i="31"/>
  <c r="DG327" i="31"/>
  <c r="DH327" i="31" s="1"/>
  <c r="DI328" i="31" s="1"/>
  <c r="BN328" i="31"/>
  <c r="BO328" i="31"/>
  <c r="ED327" i="31"/>
  <c r="EB328" i="31" s="1"/>
  <c r="JA328" i="31" s="1"/>
  <c r="EE327" i="31"/>
  <c r="EF328" i="31" s="1"/>
  <c r="EJ327" i="31"/>
  <c r="EK328" i="31" s="1"/>
  <c r="JN327" i="31"/>
  <c r="JV327" i="31" s="1"/>
  <c r="JF328" i="31" s="1"/>
  <c r="JL327" i="31"/>
  <c r="JJ328" i="31" s="1"/>
  <c r="KA328" i="31"/>
  <c r="IR328" i="31" l="1"/>
  <c r="IO328" i="31"/>
  <c r="JO328" i="31"/>
  <c r="IY328" i="31"/>
  <c r="JY328" i="31"/>
  <c r="JW328" i="31"/>
  <c r="DP328" i="31"/>
  <c r="HZ328" i="31"/>
  <c r="BP328" i="31"/>
  <c r="BQ328" i="31" s="1"/>
  <c r="JC328" i="31"/>
  <c r="JD328" i="31"/>
  <c r="GZ328" i="31"/>
  <c r="IE328" i="31" s="1"/>
  <c r="DJ328" i="31"/>
  <c r="DK328" i="31" s="1"/>
  <c r="IP328" i="31"/>
  <c r="EP328" i="31"/>
  <c r="ET329" i="31" s="1"/>
  <c r="EL328" i="31"/>
  <c r="JX328" i="31" s="1"/>
  <c r="EO328" i="31"/>
  <c r="ES329" i="31" s="1"/>
  <c r="FC328" i="31"/>
  <c r="EV328" i="31"/>
  <c r="JP328" i="31" l="1"/>
  <c r="JQ328" i="31" s="1"/>
  <c r="KG328" i="31"/>
  <c r="BR328" i="31"/>
  <c r="BS328" i="31"/>
  <c r="DX328" i="31"/>
  <c r="FQ328" i="31"/>
  <c r="DM328" i="31"/>
  <c r="EC328" i="31"/>
  <c r="DL328" i="31" l="1"/>
  <c r="L329" i="31"/>
  <c r="BT328" i="31"/>
  <c r="BU328" i="31"/>
  <c r="EX328" i="31"/>
  <c r="M328" i="31" s="1"/>
  <c r="FB328" i="31"/>
  <c r="BV328" i="31" l="1"/>
  <c r="BW328" i="31" s="1"/>
  <c r="MB328" i="31"/>
  <c r="NM328" i="31" s="1"/>
  <c r="NN328" i="31" s="1"/>
  <c r="MJ328" i="31"/>
  <c r="NS328" i="31" s="1"/>
  <c r="BX328" i="31" l="1"/>
  <c r="BY328" i="31"/>
  <c r="OV329" i="31"/>
  <c r="NW328" i="31"/>
  <c r="NT328" i="31"/>
  <c r="OU329" i="31"/>
  <c r="BZ328" i="31" l="1"/>
  <c r="CA328" i="31"/>
  <c r="CC328" i="31" s="1"/>
  <c r="CD328" i="31" s="1"/>
  <c r="FR328" i="31"/>
  <c r="FV328" i="31"/>
  <c r="CX328" i="31"/>
  <c r="NU328" i="31"/>
  <c r="NX328" i="31"/>
  <c r="CB328" i="31" l="1"/>
  <c r="CE328" i="31"/>
  <c r="CF328" i="31" s="1"/>
  <c r="NY328" i="31"/>
  <c r="OF328" i="31"/>
  <c r="OS329" i="31" s="1"/>
  <c r="NV328" i="31"/>
  <c r="NZ328" i="31"/>
  <c r="MY328" i="31"/>
  <c r="CY329" i="31"/>
  <c r="CG328" i="31" l="1"/>
  <c r="CH328" i="31" s="1"/>
  <c r="OI328" i="31"/>
  <c r="OX329" i="31" s="1"/>
  <c r="OM329" i="31"/>
  <c r="OO329" i="31"/>
  <c r="NF329" i="31"/>
  <c r="MZ329" i="31"/>
  <c r="OZ328" i="31"/>
  <c r="OB328" i="31"/>
  <c r="OT329" i="31" s="1"/>
  <c r="OA328" i="31"/>
  <c r="MV329" i="31" s="1"/>
  <c r="CI328" i="31" l="1"/>
  <c r="OW328" i="31"/>
  <c r="MR329" i="31"/>
  <c r="MS329" i="31" s="1"/>
  <c r="KT329" i="31"/>
  <c r="OG329" i="31"/>
  <c r="PA328" i="31"/>
  <c r="OC328" i="31"/>
  <c r="OD329" i="31" s="1"/>
  <c r="OH329" i="31" s="1"/>
  <c r="OK329" i="31" s="1"/>
  <c r="OJ328" i="31"/>
  <c r="CJ328" i="31" l="1"/>
  <c r="CO328" i="31" s="1"/>
  <c r="CK328" i="31"/>
  <c r="MW329" i="31"/>
  <c r="OY329" i="31"/>
  <c r="MO329" i="31"/>
  <c r="MT329" i="31"/>
  <c r="MU329" i="31"/>
  <c r="NQ329" i="31"/>
  <c r="NP329" i="31"/>
  <c r="NJ329" i="31"/>
  <c r="NH330" i="31"/>
  <c r="NI330" i="31" s="1"/>
  <c r="PE329" i="31"/>
  <c r="KM329" i="31"/>
  <c r="KO330" i="31" s="1"/>
  <c r="KL329" i="31"/>
  <c r="KN330" i="31" s="1"/>
  <c r="CL328" i="31" l="1"/>
  <c r="CM328" i="31"/>
  <c r="CN328" i="31" s="1"/>
  <c r="NR329" i="31"/>
  <c r="KQ329" i="31"/>
  <c r="MX329" i="31"/>
  <c r="KP330" i="31"/>
  <c r="KR329" i="31"/>
  <c r="NL329" i="31"/>
  <c r="NK329" i="31"/>
  <c r="NG330" i="31"/>
  <c r="OQ330" i="31"/>
  <c r="CP328" i="31" l="1"/>
  <c r="NC330" i="31"/>
  <c r="MQ330" i="31"/>
  <c r="NA329" i="31"/>
  <c r="NB329" i="31"/>
  <c r="KS329" i="31"/>
  <c r="OR330" i="31"/>
  <c r="FZ328" i="31" l="1"/>
  <c r="GA328" i="31" s="1"/>
  <c r="FU328" i="31"/>
  <c r="FW328" i="31" s="1"/>
  <c r="FX328" i="31"/>
  <c r="FY328" i="31" s="1"/>
  <c r="GB328" i="31"/>
  <c r="GC328" i="31" s="1"/>
  <c r="CQ328" i="31"/>
  <c r="KU328" i="31"/>
  <c r="FP328" i="31"/>
  <c r="FS328" i="31" s="1"/>
  <c r="KX328" i="31"/>
  <c r="HO328" i="31"/>
  <c r="DQ328" i="31"/>
  <c r="DR328" i="31" s="1"/>
  <c r="DS328" i="31" s="1"/>
  <c r="AX328" i="31" s="1"/>
  <c r="AY329" i="31" s="1"/>
  <c r="FE328" i="31"/>
  <c r="FF328" i="31" s="1"/>
  <c r="FH328" i="31"/>
  <c r="FI328" i="31" s="1"/>
  <c r="JR328" i="31"/>
  <c r="JS328" i="31" s="1"/>
  <c r="GO328" i="31"/>
  <c r="GN328" i="31" l="1"/>
  <c r="GQ328" i="31" s="1"/>
  <c r="EN328" i="31"/>
  <c r="ER329" i="31" s="1"/>
  <c r="AZ328" i="31"/>
  <c r="DY328" i="31"/>
  <c r="HA328" i="31"/>
  <c r="HY328" i="31"/>
  <c r="FG329" i="31"/>
  <c r="HW328" i="31"/>
  <c r="HX329" i="31" s="1"/>
  <c r="HU328" i="31"/>
  <c r="HV329" i="31" s="1"/>
  <c r="FJ329" i="31"/>
  <c r="EM328" i="31"/>
  <c r="EW328" i="31" s="1"/>
  <c r="IA328" i="31"/>
  <c r="IB328" i="31" s="1"/>
  <c r="HP328" i="31"/>
  <c r="IZ328" i="31"/>
  <c r="JU328" i="31"/>
  <c r="KE328" i="31"/>
  <c r="KC328" i="31"/>
  <c r="JT329" i="31"/>
  <c r="CS328" i="31"/>
  <c r="CT328" i="31"/>
  <c r="CR328" i="31"/>
  <c r="KV328" i="31" l="1"/>
  <c r="KW329" i="31" s="1"/>
  <c r="HQ328" i="31"/>
  <c r="HR329" i="31" s="1"/>
  <c r="DW328" i="31"/>
  <c r="DU329" i="31" s="1"/>
  <c r="IW328" i="31"/>
  <c r="IU328" i="31"/>
  <c r="IV328" i="31" s="1"/>
  <c r="KK328" i="31" s="1"/>
  <c r="BB329" i="31"/>
  <c r="BC329" i="31" s="1"/>
  <c r="EQ328" i="31"/>
  <c r="HS328" i="31"/>
  <c r="JG328" i="31" s="1"/>
  <c r="HT328" i="31"/>
  <c r="EU329" i="31"/>
  <c r="KB328" i="31" l="1"/>
  <c r="IX328" i="31"/>
  <c r="IC328" i="31"/>
  <c r="ID328" i="31" s="1"/>
  <c r="IF328" i="31" s="1"/>
  <c r="KH328" i="31" s="1"/>
  <c r="JB328" i="31"/>
  <c r="BD329" i="31"/>
  <c r="BE329" i="31"/>
  <c r="GM328" i="31" l="1"/>
  <c r="IM328" i="31"/>
  <c r="DB328" i="31"/>
  <c r="DC328" i="31" s="1"/>
  <c r="DD329" i="31" s="1"/>
  <c r="DE330" i="31" s="1"/>
  <c r="KI329" i="31"/>
  <c r="KJ329" i="31" s="1"/>
  <c r="IN328" i="31"/>
  <c r="DF328" i="31"/>
  <c r="BG329" i="31"/>
  <c r="BF329" i="31"/>
  <c r="DT328" i="31" l="1"/>
  <c r="DZ328" i="31" s="1"/>
  <c r="GU328" i="31"/>
  <c r="GV328" i="31"/>
  <c r="FD328" i="31"/>
  <c r="GT330" i="31"/>
  <c r="GR328" i="31"/>
  <c r="BI329" i="31"/>
  <c r="BK329" i="31" s="1"/>
  <c r="BH329" i="31"/>
  <c r="GS328" i="31" l="1"/>
  <c r="IS328" i="31"/>
  <c r="FL329" i="31"/>
  <c r="FM329" i="31" s="1"/>
  <c r="BL329" i="31"/>
  <c r="BM329" i="31"/>
  <c r="BJ329" i="31"/>
  <c r="IT328" i="31" l="1"/>
  <c r="JH328" i="31"/>
  <c r="JI328" i="31" s="1"/>
  <c r="JK328" i="31" s="1"/>
  <c r="JZ328" i="31" s="1"/>
  <c r="KF328" i="31" s="1"/>
  <c r="IQ329" i="31" s="1"/>
  <c r="GX328" i="31"/>
  <c r="GW328" i="31"/>
  <c r="HC328" i="31" s="1"/>
  <c r="FA329" i="31" s="1"/>
  <c r="HB329" i="31" s="1"/>
  <c r="GY328" i="31"/>
  <c r="BO329" i="31"/>
  <c r="BN329" i="31"/>
  <c r="JN328" i="31" l="1"/>
  <c r="JV328" i="31" s="1"/>
  <c r="JF329" i="31" s="1"/>
  <c r="JY329" i="31" s="1"/>
  <c r="JM328" i="31"/>
  <c r="KD328" i="31" s="1"/>
  <c r="IL329" i="31" s="1"/>
  <c r="IR329" i="31" s="1"/>
  <c r="KA329" i="31"/>
  <c r="HZ329" i="31" s="1"/>
  <c r="JL328" i="31"/>
  <c r="JJ329" i="31" s="1"/>
  <c r="HK329" i="31"/>
  <c r="EY328" i="31"/>
  <c r="HM328" i="31"/>
  <c r="EG328" i="31"/>
  <c r="EH329" i="31" s="1"/>
  <c r="EI329" i="31" s="1"/>
  <c r="FK329" i="31" s="1"/>
  <c r="BP329" i="31"/>
  <c r="BQ329" i="31" s="1"/>
  <c r="JO329" i="31" l="1"/>
  <c r="JE329" i="31"/>
  <c r="JW329" i="31"/>
  <c r="DG328" i="31"/>
  <c r="DH328" i="31" s="1"/>
  <c r="DI329" i="31" s="1"/>
  <c r="EZ328" i="31"/>
  <c r="EE328" i="31"/>
  <c r="EF329" i="31" s="1"/>
  <c r="EJ328" i="31"/>
  <c r="EK329" i="31" s="1"/>
  <c r="ED328" i="31"/>
  <c r="EB329" i="31" s="1"/>
  <c r="BR329" i="31"/>
  <c r="BS329" i="31"/>
  <c r="IY329" i="31" l="1"/>
  <c r="EV329" i="31"/>
  <c r="JA329" i="31"/>
  <c r="EL329" i="31"/>
  <c r="FC329" i="31"/>
  <c r="EO329" i="31"/>
  <c r="ES330" i="31" s="1"/>
  <c r="EP329" i="31"/>
  <c r="ET330" i="31" s="1"/>
  <c r="JC329" i="31"/>
  <c r="JD329" i="31"/>
  <c r="DP329" i="31"/>
  <c r="IP329" i="31"/>
  <c r="IO329" i="31"/>
  <c r="GZ329" i="31"/>
  <c r="DJ329" i="31"/>
  <c r="DK329" i="31" s="1"/>
  <c r="BT329" i="31"/>
  <c r="BU329" i="31"/>
  <c r="JP329" i="31" l="1"/>
  <c r="JQ329" i="31" s="1"/>
  <c r="FQ329" i="31"/>
  <c r="DM329" i="31"/>
  <c r="DX329" i="31"/>
  <c r="IE329" i="31"/>
  <c r="KG329" i="31"/>
  <c r="EC329" i="31"/>
  <c r="JX329" i="31"/>
  <c r="BV329" i="31"/>
  <c r="BW329" i="31" s="1"/>
  <c r="EX329" i="31" l="1"/>
  <c r="M329" i="31" s="1"/>
  <c r="FB329" i="31"/>
  <c r="DL329" i="31"/>
  <c r="L330" i="31"/>
  <c r="BX329" i="31"/>
  <c r="BY329" i="31"/>
  <c r="MJ329" i="31" l="1"/>
  <c r="NS329" i="31" s="1"/>
  <c r="MB329" i="31"/>
  <c r="NM329" i="31" s="1"/>
  <c r="NN329" i="31" s="1"/>
  <c r="BZ329" i="31"/>
  <c r="CA329" i="31"/>
  <c r="CC329" i="31" s="1"/>
  <c r="CD329" i="31" s="1"/>
  <c r="OV330" i="31" l="1"/>
  <c r="NW329" i="31"/>
  <c r="NX329" i="31" s="1"/>
  <c r="NY329" i="31" s="1"/>
  <c r="NT329" i="31"/>
  <c r="OU330" i="31"/>
  <c r="CE329" i="31"/>
  <c r="CF329" i="31" s="1"/>
  <c r="CB329" i="31"/>
  <c r="OF329" i="31" l="1"/>
  <c r="OS330" i="31" s="1"/>
  <c r="CG329" i="31"/>
  <c r="CH329" i="31" s="1"/>
  <c r="FR329" i="31"/>
  <c r="FV329" i="31"/>
  <c r="NU329" i="31"/>
  <c r="NV329" i="31" s="1"/>
  <c r="CX329" i="31"/>
  <c r="OB329" i="31"/>
  <c r="OT330" i="31" s="1"/>
  <c r="NZ329" i="31" l="1"/>
  <c r="OA329" i="31" s="1"/>
  <c r="MV330" i="31" s="1"/>
  <c r="OG330" i="31" s="1"/>
  <c r="CY330" i="31"/>
  <c r="MY329" i="31"/>
  <c r="OJ329" i="31" s="1"/>
  <c r="CI329" i="31"/>
  <c r="OC329" i="31" l="1"/>
  <c r="OD330" i="31" s="1"/>
  <c r="OH330" i="31" s="1"/>
  <c r="OK330" i="31" s="1"/>
  <c r="MZ330" i="31"/>
  <c r="OZ329" i="31"/>
  <c r="OI329" i="31"/>
  <c r="CJ329" i="31"/>
  <c r="CO329" i="31" s="1"/>
  <c r="CK329" i="31"/>
  <c r="OO330" i="31"/>
  <c r="KT330" i="31" s="1"/>
  <c r="KL330" i="31" s="1"/>
  <c r="KN331" i="31" s="1"/>
  <c r="OM330" i="31"/>
  <c r="NF330" i="31"/>
  <c r="PA329" i="31"/>
  <c r="MW330" i="31"/>
  <c r="OY330" i="31"/>
  <c r="MR330" i="31" l="1"/>
  <c r="MS330" i="31" s="1"/>
  <c r="MU330" i="31" s="1"/>
  <c r="OW329" i="31"/>
  <c r="OX330" i="31"/>
  <c r="CM329" i="31"/>
  <c r="CN329" i="31" s="1"/>
  <c r="CL329" i="31"/>
  <c r="KM330" i="31"/>
  <c r="KO331" i="31" s="1"/>
  <c r="KR330" i="31" s="1"/>
  <c r="MX330" i="31"/>
  <c r="KQ330" i="31"/>
  <c r="MO330" i="31" l="1"/>
  <c r="NH331" i="31"/>
  <c r="NI331" i="31" s="1"/>
  <c r="MT330" i="31"/>
  <c r="NQ330" i="31"/>
  <c r="NJ330" i="31"/>
  <c r="NG331" i="31" s="1"/>
  <c r="NP330" i="31"/>
  <c r="PE330" i="31"/>
  <c r="CP329" i="31"/>
  <c r="HO329" i="31" s="1"/>
  <c r="IA329" i="31" s="1"/>
  <c r="IB329" i="31" s="1"/>
  <c r="KP331" i="31"/>
  <c r="KS330" i="31"/>
  <c r="NA330" i="31"/>
  <c r="NB330" i="31"/>
  <c r="NR330" i="31" l="1"/>
  <c r="NK330" i="31"/>
  <c r="NL330" i="31"/>
  <c r="NC331" i="31" s="1"/>
  <c r="KX329" i="31"/>
  <c r="OQ331" i="31"/>
  <c r="OR331" i="31" s="1"/>
  <c r="GO329" i="31"/>
  <c r="FP329" i="31"/>
  <c r="FS329" i="31" s="1"/>
  <c r="HA329" i="31" s="1"/>
  <c r="JR329" i="31"/>
  <c r="JS329" i="31" s="1"/>
  <c r="KE329" i="31" s="1"/>
  <c r="CQ329" i="31"/>
  <c r="CT329" i="31" s="1"/>
  <c r="FU329" i="31"/>
  <c r="FW329" i="31" s="1"/>
  <c r="FZ329" i="31"/>
  <c r="GA329" i="31" s="1"/>
  <c r="FX329" i="31"/>
  <c r="FY329" i="31" s="1"/>
  <c r="GB329" i="31"/>
  <c r="GC329" i="31" s="1"/>
  <c r="DQ329" i="31"/>
  <c r="DR329" i="31" s="1"/>
  <c r="DS329" i="31" s="1"/>
  <c r="AX329" i="31" s="1"/>
  <c r="AY330" i="31" s="1"/>
  <c r="KU329" i="31"/>
  <c r="IZ329" i="31"/>
  <c r="FH329" i="31"/>
  <c r="FI329" i="31" s="1"/>
  <c r="FE329" i="31"/>
  <c r="FF329" i="31" s="1"/>
  <c r="HP329" i="31"/>
  <c r="HS329" i="31" s="1"/>
  <c r="JG329" i="31" s="1"/>
  <c r="MQ331" i="31"/>
  <c r="GN329" i="31" l="1"/>
  <c r="KV329" i="31" s="1"/>
  <c r="HY329" i="31"/>
  <c r="DY329" i="31"/>
  <c r="CR329" i="31"/>
  <c r="JU329" i="31"/>
  <c r="JT330" i="31"/>
  <c r="KC329" i="31"/>
  <c r="EM329" i="31"/>
  <c r="EW329" i="31" s="1"/>
  <c r="EN329" i="31"/>
  <c r="IU329" i="31" s="1"/>
  <c r="IV329" i="31" s="1"/>
  <c r="AZ329" i="31"/>
  <c r="CS329" i="31"/>
  <c r="HT329" i="31"/>
  <c r="IC329" i="31" s="1"/>
  <c r="ID329" i="31" s="1"/>
  <c r="IF329" i="31" s="1"/>
  <c r="KH329" i="31" s="1"/>
  <c r="HW329" i="31"/>
  <c r="HX330" i="31" s="1"/>
  <c r="FG330" i="31"/>
  <c r="FJ330" i="31"/>
  <c r="HU329" i="31"/>
  <c r="HV330" i="31" s="1"/>
  <c r="GQ329" i="31" l="1"/>
  <c r="KW330" i="31"/>
  <c r="HQ329" i="31"/>
  <c r="HR330" i="31" s="1"/>
  <c r="ER330" i="31"/>
  <c r="EU330" i="31" s="1"/>
  <c r="IW329" i="31"/>
  <c r="KB329" i="31" s="1"/>
  <c r="DW329" i="31"/>
  <c r="DU330" i="31" s="1"/>
  <c r="EQ329" i="31"/>
  <c r="BB330" i="31"/>
  <c r="BC330" i="31" s="1"/>
  <c r="JB329" i="31"/>
  <c r="DB329" i="31"/>
  <c r="DC329" i="31" s="1"/>
  <c r="DD330" i="31" s="1"/>
  <c r="DE331" i="31" s="1"/>
  <c r="IM329" i="31"/>
  <c r="GM329" i="31"/>
  <c r="KI330" i="31"/>
  <c r="IN329" i="31"/>
  <c r="DF329" i="31"/>
  <c r="IX329" i="31"/>
  <c r="KK329" i="31"/>
  <c r="GT331" i="31" l="1"/>
  <c r="FD329" i="31"/>
  <c r="GV329" i="31"/>
  <c r="GU329" i="31"/>
  <c r="KJ330" i="31"/>
  <c r="DT329" i="31"/>
  <c r="DZ329" i="31" s="1"/>
  <c r="GR329" i="31"/>
  <c r="BD330" i="31"/>
  <c r="BE330" i="31"/>
  <c r="IS329" i="31" l="1"/>
  <c r="FL330" i="31"/>
  <c r="BF330" i="31"/>
  <c r="BG330" i="31"/>
  <c r="GS329" i="31"/>
  <c r="GX329" i="31" l="1"/>
  <c r="GW329" i="31"/>
  <c r="HC329" i="31" s="1"/>
  <c r="FA330" i="31" s="1"/>
  <c r="HB330" i="31" s="1"/>
  <c r="GY329" i="31"/>
  <c r="BI330" i="31"/>
  <c r="BK330" i="31" s="1"/>
  <c r="BH330" i="31"/>
  <c r="FM330" i="31"/>
  <c r="JH329" i="31"/>
  <c r="JI329" i="31" s="1"/>
  <c r="IT329" i="31"/>
  <c r="BJ330" i="31" l="1"/>
  <c r="JK329" i="31"/>
  <c r="JN329" i="31" s="1"/>
  <c r="JV329" i="31" s="1"/>
  <c r="JF330" i="31" s="1"/>
  <c r="BL330" i="31"/>
  <c r="BM330" i="31"/>
  <c r="HM329" i="31"/>
  <c r="EY329" i="31"/>
  <c r="EG329" i="31"/>
  <c r="EH330" i="31" s="1"/>
  <c r="EI330" i="31" s="1"/>
  <c r="FK330" i="31" s="1"/>
  <c r="HK330" i="31"/>
  <c r="BN330" i="31" l="1"/>
  <c r="BO330" i="31"/>
  <c r="JY330" i="31"/>
  <c r="JW330" i="31"/>
  <c r="JM329" i="31"/>
  <c r="KD329" i="31" s="1"/>
  <c r="IL330" i="31" s="1"/>
  <c r="JL329" i="31"/>
  <c r="JJ330" i="31" s="1"/>
  <c r="KA330" i="31"/>
  <c r="JZ329" i="31"/>
  <c r="KF329" i="31" s="1"/>
  <c r="IQ330" i="31" s="1"/>
  <c r="EZ329" i="31"/>
  <c r="DG329" i="31"/>
  <c r="DH329" i="31" s="1"/>
  <c r="DI330" i="31" s="1"/>
  <c r="EJ329" i="31"/>
  <c r="EK330" i="31" s="1"/>
  <c r="EE329" i="31"/>
  <c r="EF330" i="31" s="1"/>
  <c r="ED329" i="31"/>
  <c r="EB330" i="31" s="1"/>
  <c r="BP330" i="31" l="1"/>
  <c r="BQ330" i="31" s="1"/>
  <c r="DP330" i="31"/>
  <c r="JO330" i="31"/>
  <c r="IR330" i="31"/>
  <c r="IY330" i="31"/>
  <c r="JA330" i="31"/>
  <c r="JE330" i="31"/>
  <c r="FC330" i="31"/>
  <c r="EL330" i="31"/>
  <c r="EP330" i="31"/>
  <c r="ET331" i="31" s="1"/>
  <c r="EO330" i="31"/>
  <c r="ES331" i="31" s="1"/>
  <c r="EV330" i="31"/>
  <c r="HZ330" i="31"/>
  <c r="DJ330" i="31"/>
  <c r="DK330" i="31" s="1"/>
  <c r="GZ330" i="31"/>
  <c r="IE330" i="31" s="1"/>
  <c r="JC330" i="31"/>
  <c r="JD330" i="31"/>
  <c r="IO330" i="31"/>
  <c r="IP330" i="31"/>
  <c r="JX330" i="31" l="1"/>
  <c r="BS330" i="31"/>
  <c r="BU330" i="31" s="1"/>
  <c r="BR330" i="31"/>
  <c r="KG330" i="31"/>
  <c r="JP330" i="31"/>
  <c r="JQ330" i="31" s="1"/>
  <c r="DX330" i="31"/>
  <c r="FQ330" i="31"/>
  <c r="DM330" i="31"/>
  <c r="EC330" i="31"/>
  <c r="BT330" i="31" l="1"/>
  <c r="EX330" i="31"/>
  <c r="M330" i="31" s="1"/>
  <c r="FB330" i="31"/>
  <c r="BV330" i="31"/>
  <c r="BW330" i="31" s="1"/>
  <c r="DL330" i="31"/>
  <c r="L331" i="31"/>
  <c r="BX330" i="31" l="1"/>
  <c r="BY330" i="31"/>
  <c r="CA330" i="31" s="1"/>
  <c r="CC330" i="31" s="1"/>
  <c r="MB330" i="31"/>
  <c r="NM330" i="31" s="1"/>
  <c r="NN330" i="31" s="1"/>
  <c r="MJ330" i="31"/>
  <c r="NS330" i="31" s="1"/>
  <c r="BZ330" i="31" l="1"/>
  <c r="CD330" i="31"/>
  <c r="CE330" i="31"/>
  <c r="CB330" i="31"/>
  <c r="OV331" i="31"/>
  <c r="NW330" i="31"/>
  <c r="NT330" i="31"/>
  <c r="OU331" i="31"/>
  <c r="FR330" i="31" l="1"/>
  <c r="FV330" i="31"/>
  <c r="CX330" i="31"/>
  <c r="NU330" i="31"/>
  <c r="NX330" i="31"/>
  <c r="CF330" i="31"/>
  <c r="CG330" i="31"/>
  <c r="CH330" i="31" l="1"/>
  <c r="CI330" i="31" s="1"/>
  <c r="NV330" i="31"/>
  <c r="NZ330" i="31"/>
  <c r="MY330" i="31"/>
  <c r="CY331" i="31"/>
  <c r="NY330" i="31"/>
  <c r="OF330" i="31"/>
  <c r="OS331" i="31" s="1"/>
  <c r="CJ330" i="31" l="1"/>
  <c r="CO330" i="31" s="1"/>
  <c r="CK330" i="31"/>
  <c r="CL330" i="31" s="1"/>
  <c r="NF331" i="31"/>
  <c r="OO331" i="31"/>
  <c r="OM331" i="31"/>
  <c r="MZ331" i="31"/>
  <c r="OZ330" i="31"/>
  <c r="OB330" i="31"/>
  <c r="OT331" i="31" s="1"/>
  <c r="OA330" i="31"/>
  <c r="MV331" i="31" s="1"/>
  <c r="OI330" i="31"/>
  <c r="CM330" i="31" l="1"/>
  <c r="CN330" i="31" s="1"/>
  <c r="CP330" i="31" s="1"/>
  <c r="MR331" i="31"/>
  <c r="OW330" i="31"/>
  <c r="OX331" i="31"/>
  <c r="KT331" i="31"/>
  <c r="OG331" i="31"/>
  <c r="OJ330" i="31"/>
  <c r="OC330" i="31"/>
  <c r="OD331" i="31" s="1"/>
  <c r="OH331" i="31" s="1"/>
  <c r="PA330" i="31"/>
  <c r="OK331" i="31" l="1"/>
  <c r="OY331" i="31"/>
  <c r="MW331" i="31"/>
  <c r="KM331" i="31"/>
  <c r="KO332" i="31" s="1"/>
  <c r="KL331" i="31"/>
  <c r="KN332" i="31" s="1"/>
  <c r="MS331" i="31"/>
  <c r="CQ330" i="31"/>
  <c r="GB330" i="31"/>
  <c r="GC330" i="31" s="1"/>
  <c r="FZ330" i="31"/>
  <c r="GA330" i="31" s="1"/>
  <c r="HO330" i="31"/>
  <c r="FX330" i="31"/>
  <c r="FY330" i="31" s="1"/>
  <c r="FU330" i="31"/>
  <c r="FW330" i="31" s="1"/>
  <c r="GO330" i="31"/>
  <c r="DQ330" i="31"/>
  <c r="DR330" i="31" s="1"/>
  <c r="JR330" i="31"/>
  <c r="JS330" i="31" s="1"/>
  <c r="FP330" i="31"/>
  <c r="FS330" i="31" s="1"/>
  <c r="FH330" i="31"/>
  <c r="FI330" i="31" s="1"/>
  <c r="FE330" i="31"/>
  <c r="FF330" i="31" s="1"/>
  <c r="KX330" i="31"/>
  <c r="GN330" i="31" s="1"/>
  <c r="KU330" i="31"/>
  <c r="IA330" i="31" l="1"/>
  <c r="IB330" i="31" s="1"/>
  <c r="HP330" i="31"/>
  <c r="IZ330" i="31"/>
  <c r="KQ331" i="31"/>
  <c r="GQ330" i="31"/>
  <c r="KV330" i="31"/>
  <c r="HU330" i="31"/>
  <c r="HV331" i="31" s="1"/>
  <c r="FJ331" i="31"/>
  <c r="HA330" i="31"/>
  <c r="DY330" i="31"/>
  <c r="HY330" i="31"/>
  <c r="KP332" i="31"/>
  <c r="KR331" i="31"/>
  <c r="HW330" i="31"/>
  <c r="HX331" i="31" s="1"/>
  <c r="FG331" i="31"/>
  <c r="CS330" i="31"/>
  <c r="CT330" i="31"/>
  <c r="CR330" i="31"/>
  <c r="MX331" i="31"/>
  <c r="NP331" i="31"/>
  <c r="MO331" i="31"/>
  <c r="MT331" i="31"/>
  <c r="MU331" i="31"/>
  <c r="NQ331" i="31"/>
  <c r="NR331" i="31" s="1"/>
  <c r="NH332" i="31"/>
  <c r="NI332" i="31" s="1"/>
  <c r="NJ331" i="31"/>
  <c r="PE331" i="31"/>
  <c r="JU330" i="31"/>
  <c r="KE330" i="31"/>
  <c r="JT331" i="31"/>
  <c r="KC330" i="31"/>
  <c r="DS330" i="31"/>
  <c r="AX330" i="31" s="1"/>
  <c r="AY331" i="31" s="1"/>
  <c r="KW331" i="31" l="1"/>
  <c r="HQ330" i="31"/>
  <c r="HR331" i="31" s="1"/>
  <c r="EN330" i="31"/>
  <c r="AZ330" i="31"/>
  <c r="EM330" i="31"/>
  <c r="EW330" i="31" s="1"/>
  <c r="KS331" i="31"/>
  <c r="NB331" i="31"/>
  <c r="NA331" i="31"/>
  <c r="NL331" i="31"/>
  <c r="NK331" i="31"/>
  <c r="NG332" i="31"/>
  <c r="OQ332" i="31"/>
  <c r="HS330" i="31"/>
  <c r="JG330" i="31" s="1"/>
  <c r="HT330" i="31"/>
  <c r="OR332" i="31" l="1"/>
  <c r="IC330" i="31"/>
  <c r="ID330" i="31" s="1"/>
  <c r="IF330" i="31" s="1"/>
  <c r="KH330" i="31" s="1"/>
  <c r="JB330" i="31"/>
  <c r="NC332" i="31"/>
  <c r="MQ332" i="31"/>
  <c r="BB331" i="31"/>
  <c r="DW330" i="31"/>
  <c r="DU331" i="31" s="1"/>
  <c r="IW330" i="31"/>
  <c r="EQ330" i="31"/>
  <c r="ER331" i="31"/>
  <c r="IU330" i="31"/>
  <c r="IV330" i="31" s="1"/>
  <c r="KB330" i="31" l="1"/>
  <c r="IX330" i="31"/>
  <c r="KK330" i="31"/>
  <c r="EU331" i="31"/>
  <c r="IM330" i="31"/>
  <c r="GM330" i="31"/>
  <c r="DB330" i="31"/>
  <c r="DC330" i="31" s="1"/>
  <c r="DD331" i="31" s="1"/>
  <c r="DE332" i="31" s="1"/>
  <c r="KI331" i="31"/>
  <c r="IN330" i="31"/>
  <c r="DF330" i="31"/>
  <c r="BC331" i="31"/>
  <c r="DT330" i="31" l="1"/>
  <c r="DZ330" i="31" s="1"/>
  <c r="GT332" i="31"/>
  <c r="KJ331" i="31"/>
  <c r="BD331" i="31"/>
  <c r="BE331" i="31"/>
  <c r="GR330" i="31"/>
  <c r="FD330" i="31"/>
  <c r="GV330" i="31"/>
  <c r="GU330" i="31"/>
  <c r="GS330" i="31" l="1"/>
  <c r="BF331" i="31"/>
  <c r="BG331" i="31"/>
  <c r="IS330" i="31"/>
  <c r="FL331" i="31"/>
  <c r="FM331" i="31" l="1"/>
  <c r="BI331" i="31"/>
  <c r="BK331" i="31" s="1"/>
  <c r="BH331" i="31"/>
  <c r="JH330" i="31"/>
  <c r="JI330" i="31" s="1"/>
  <c r="IT330" i="31"/>
  <c r="GW330" i="31"/>
  <c r="HC330" i="31" s="1"/>
  <c r="FA331" i="31" s="1"/>
  <c r="HB331" i="31" s="1"/>
  <c r="GY330" i="31"/>
  <c r="GX330" i="31"/>
  <c r="BJ331" i="31" l="1"/>
  <c r="HM330" i="31"/>
  <c r="EG330" i="31"/>
  <c r="EH331" i="31" s="1"/>
  <c r="EI331" i="31" s="1"/>
  <c r="FK331" i="31" s="1"/>
  <c r="EY330" i="31"/>
  <c r="HK331" i="31"/>
  <c r="BL331" i="31"/>
  <c r="BM331" i="31"/>
  <c r="JK330" i="31"/>
  <c r="JN330" i="31" s="1"/>
  <c r="JV330" i="31" s="1"/>
  <c r="JF331" i="31" s="1"/>
  <c r="JM330" i="31" l="1"/>
  <c r="KD330" i="31" s="1"/>
  <c r="IL331" i="31" s="1"/>
  <c r="JW331" i="31"/>
  <c r="JY331" i="31"/>
  <c r="JL330" i="31"/>
  <c r="JJ331" i="31" s="1"/>
  <c r="KA331" i="31"/>
  <c r="EZ330" i="31"/>
  <c r="DG330" i="31"/>
  <c r="DH330" i="31" s="1"/>
  <c r="DI331" i="31" s="1"/>
  <c r="JZ330" i="31"/>
  <c r="KF330" i="31" s="1"/>
  <c r="IQ331" i="31" s="1"/>
  <c r="BN331" i="31"/>
  <c r="BO331" i="31"/>
  <c r="EE330" i="31"/>
  <c r="EF331" i="31" s="1"/>
  <c r="EJ330" i="31"/>
  <c r="EK331" i="31" s="1"/>
  <c r="ED330" i="31"/>
  <c r="EB331" i="31" s="1"/>
  <c r="IP331" i="31" l="1"/>
  <c r="BP331" i="31"/>
  <c r="BQ331" i="31" s="1"/>
  <c r="HZ331" i="31"/>
  <c r="EO331" i="31"/>
  <c r="ES332" i="31" s="1"/>
  <c r="EP331" i="31"/>
  <c r="ET332" i="31" s="1"/>
  <c r="FC331" i="31"/>
  <c r="EL331" i="31"/>
  <c r="EV331" i="31"/>
  <c r="IY331" i="31"/>
  <c r="JA331" i="31"/>
  <c r="JE331" i="31"/>
  <c r="JO331" i="31"/>
  <c r="GZ331" i="31"/>
  <c r="IE331" i="31" s="1"/>
  <c r="DJ331" i="31"/>
  <c r="DK331" i="31" s="1"/>
  <c r="IO331" i="31"/>
  <c r="JC331" i="31"/>
  <c r="JD331" i="31"/>
  <c r="DP331" i="31"/>
  <c r="IR331" i="31"/>
  <c r="JP331" i="31" l="1"/>
  <c r="JQ331" i="31" s="1"/>
  <c r="KG331" i="31"/>
  <c r="EC331" i="31"/>
  <c r="DM331" i="31"/>
  <c r="FQ331" i="31"/>
  <c r="DX331" i="31"/>
  <c r="BR331" i="31"/>
  <c r="BS331" i="31"/>
  <c r="JX331" i="31"/>
  <c r="DL331" i="31" l="1"/>
  <c r="L332" i="31"/>
  <c r="EX331" i="31"/>
  <c r="M331" i="31" s="1"/>
  <c r="FB331" i="31"/>
  <c r="BT331" i="31"/>
  <c r="BU331" i="31"/>
  <c r="MB331" i="31" l="1"/>
  <c r="NM331" i="31" s="1"/>
  <c r="NN331" i="31" s="1"/>
  <c r="MJ331" i="31"/>
  <c r="NS331" i="31" s="1"/>
  <c r="BV331" i="31"/>
  <c r="BW331" i="31" s="1"/>
  <c r="BX331" i="31" l="1"/>
  <c r="BY331" i="31"/>
  <c r="OV332" i="31"/>
  <c r="NW331" i="31"/>
  <c r="NX331" i="31" s="1"/>
  <c r="NT331" i="31"/>
  <c r="OU332" i="31"/>
  <c r="BZ331" i="31" l="1"/>
  <c r="CA331" i="31"/>
  <c r="CC331" i="31" s="1"/>
  <c r="CE331" i="31" s="1"/>
  <c r="CX331" i="31"/>
  <c r="FV331" i="31"/>
  <c r="FR331" i="31"/>
  <c r="NU331" i="31"/>
  <c r="CB331" i="31"/>
  <c r="OF331" i="31"/>
  <c r="OS332" i="31" s="1"/>
  <c r="NY331" i="31"/>
  <c r="CD331" i="31" l="1"/>
  <c r="CF331" i="31"/>
  <c r="CG331" i="31"/>
  <c r="NV331" i="31"/>
  <c r="OB331" i="31"/>
  <c r="OT332" i="31" s="1"/>
  <c r="NZ331" i="31"/>
  <c r="OA331" i="31" s="1"/>
  <c r="MV332" i="31" s="1"/>
  <c r="MY331" i="31"/>
  <c r="CY332" i="31"/>
  <c r="OJ331" i="31" l="1"/>
  <c r="MW332" i="31" s="1"/>
  <c r="CH331" i="31"/>
  <c r="CI331" i="31" s="1"/>
  <c r="OG332" i="31"/>
  <c r="OC331" i="31"/>
  <c r="OD332" i="31" s="1"/>
  <c r="OH332" i="31" s="1"/>
  <c r="OO332" i="31"/>
  <c r="KT332" i="31" s="1"/>
  <c r="NF332" i="31"/>
  <c r="OM332" i="31"/>
  <c r="MZ332" i="31"/>
  <c r="OZ331" i="31"/>
  <c r="OI331" i="31"/>
  <c r="PA331" i="31"/>
  <c r="CJ331" i="31" l="1"/>
  <c r="CO331" i="31" s="1"/>
  <c r="CK331" i="31"/>
  <c r="CL331" i="31" s="1"/>
  <c r="OK332" i="31"/>
  <c r="OY332" i="31"/>
  <c r="KM332" i="31"/>
  <c r="KO333" i="31" s="1"/>
  <c r="KL332" i="31"/>
  <c r="KN333" i="31" s="1"/>
  <c r="MR332" i="31"/>
  <c r="OX332" i="31"/>
  <c r="OW331" i="31"/>
  <c r="MX332" i="31"/>
  <c r="CM331" i="31" l="1"/>
  <c r="CN331" i="31" s="1"/>
  <c r="CP331" i="31" s="1"/>
  <c r="MS332" i="31"/>
  <c r="KQ332" i="31"/>
  <c r="NA332" i="31"/>
  <c r="NB332" i="31"/>
  <c r="KP333" i="31"/>
  <c r="KR332" i="31"/>
  <c r="KS332" i="31" l="1"/>
  <c r="MO332" i="31"/>
  <c r="NH333" i="31"/>
  <c r="NI333" i="31" s="1"/>
  <c r="NQ332" i="31"/>
  <c r="MU332" i="31"/>
  <c r="NP332" i="31"/>
  <c r="NJ332" i="31"/>
  <c r="MT332" i="31"/>
  <c r="PE332" i="31"/>
  <c r="CQ331" i="31"/>
  <c r="FU331" i="31"/>
  <c r="FW331" i="31" s="1"/>
  <c r="DQ331" i="31"/>
  <c r="DR331" i="31" s="1"/>
  <c r="FX331" i="31"/>
  <c r="FY331" i="31" s="1"/>
  <c r="GO331" i="31"/>
  <c r="FZ331" i="31"/>
  <c r="GA331" i="31" s="1"/>
  <c r="JR331" i="31"/>
  <c r="JS331" i="31" s="1"/>
  <c r="FH331" i="31"/>
  <c r="FI331" i="31" s="1"/>
  <c r="FP331" i="31"/>
  <c r="FS331" i="31" s="1"/>
  <c r="HO331" i="31"/>
  <c r="GB331" i="31"/>
  <c r="GC331" i="31" s="1"/>
  <c r="FE331" i="31"/>
  <c r="FF331" i="31" s="1"/>
  <c r="KX331" i="31"/>
  <c r="KU331" i="31"/>
  <c r="GN331" i="31" l="1"/>
  <c r="GQ331" i="31" s="1"/>
  <c r="HU331" i="31"/>
  <c r="HV332" i="31" s="1"/>
  <c r="FJ332" i="31"/>
  <c r="NK332" i="31"/>
  <c r="NL332" i="31"/>
  <c r="NG333" i="31"/>
  <c r="OQ333" i="31"/>
  <c r="FG332" i="31"/>
  <c r="HW331" i="31"/>
  <c r="HX332" i="31" s="1"/>
  <c r="DS331" i="31"/>
  <c r="AX331" i="31" s="1"/>
  <c r="AY332" i="31" s="1"/>
  <c r="NR332" i="31"/>
  <c r="JU331" i="31"/>
  <c r="KC331" i="31"/>
  <c r="JT332" i="31"/>
  <c r="KE331" i="31"/>
  <c r="HP331" i="31"/>
  <c r="IA331" i="31"/>
  <c r="IB331" i="31" s="1"/>
  <c r="IZ331" i="31"/>
  <c r="DY331" i="31"/>
  <c r="HY331" i="31"/>
  <c r="HA331" i="31"/>
  <c r="CR331" i="31"/>
  <c r="CS331" i="31"/>
  <c r="CT331" i="31"/>
  <c r="KV331" i="31" l="1"/>
  <c r="KW332" i="31" s="1"/>
  <c r="HQ331" i="31"/>
  <c r="HR332" i="31" s="1"/>
  <c r="NC333" i="31"/>
  <c r="MQ333" i="31"/>
  <c r="EN331" i="31"/>
  <c r="EM331" i="31"/>
  <c r="EW331" i="31" s="1"/>
  <c r="AZ331" i="31"/>
  <c r="HT331" i="31"/>
  <c r="HS331" i="31"/>
  <c r="JG331" i="31" s="1"/>
  <c r="OR333" i="31"/>
  <c r="BB332" i="31" l="1"/>
  <c r="DW331" i="31"/>
  <c r="DU332" i="31" s="1"/>
  <c r="EQ331" i="31"/>
  <c r="IW331" i="31"/>
  <c r="ER332" i="31"/>
  <c r="IU331" i="31"/>
  <c r="IV331" i="31" s="1"/>
  <c r="IC331" i="31"/>
  <c r="ID331" i="31" s="1"/>
  <c r="IF331" i="31" s="1"/>
  <c r="KH331" i="31" s="1"/>
  <c r="JB331" i="31"/>
  <c r="KK331" i="31" l="1"/>
  <c r="KB331" i="31"/>
  <c r="IX331" i="31"/>
  <c r="EU332" i="31"/>
  <c r="DB331" i="31"/>
  <c r="DC331" i="31" s="1"/>
  <c r="DD332" i="31" s="1"/>
  <c r="DE333" i="31" s="1"/>
  <c r="IM331" i="31"/>
  <c r="GM331" i="31"/>
  <c r="KI332" i="31"/>
  <c r="IN331" i="31"/>
  <c r="DF331" i="31"/>
  <c r="BC332" i="31"/>
  <c r="GT333" i="31" l="1"/>
  <c r="FD331" i="31"/>
  <c r="GV331" i="31"/>
  <c r="GU331" i="31"/>
  <c r="DT331" i="31"/>
  <c r="DZ331" i="31" s="1"/>
  <c r="GR331" i="31"/>
  <c r="KJ332" i="31"/>
  <c r="BD332" i="31"/>
  <c r="BE332" i="31"/>
  <c r="GS331" i="31" l="1"/>
  <c r="IS331" i="31"/>
  <c r="FL332" i="31"/>
  <c r="BF332" i="31"/>
  <c r="BG332" i="31"/>
  <c r="FM332" i="31" l="1"/>
  <c r="BI332" i="31"/>
  <c r="BK332" i="31" s="1"/>
  <c r="BH332" i="31"/>
  <c r="JH331" i="31"/>
  <c r="JI331" i="31" s="1"/>
  <c r="IT331" i="31"/>
  <c r="GX331" i="31"/>
  <c r="GY331" i="31"/>
  <c r="GW331" i="31"/>
  <c r="HC331" i="31" s="1"/>
  <c r="FA332" i="31" s="1"/>
  <c r="HB332" i="31" s="1"/>
  <c r="EY331" i="31" l="1"/>
  <c r="HM331" i="31"/>
  <c r="EG331" i="31"/>
  <c r="EH332" i="31" s="1"/>
  <c r="EI332" i="31" s="1"/>
  <c r="FK332" i="31" s="1"/>
  <c r="HK332" i="31"/>
  <c r="JK331" i="31"/>
  <c r="JZ331" i="31" s="1"/>
  <c r="KF331" i="31" s="1"/>
  <c r="IQ332" i="31" s="1"/>
  <c r="BL332" i="31"/>
  <c r="BM332" i="31"/>
  <c r="BJ332" i="31"/>
  <c r="JN331" i="31" l="1"/>
  <c r="JV331" i="31" s="1"/>
  <c r="JF332" i="31" s="1"/>
  <c r="JW332" i="31" s="1"/>
  <c r="JL331" i="31"/>
  <c r="JJ332" i="31" s="1"/>
  <c r="KA332" i="31"/>
  <c r="BO332" i="31"/>
  <c r="BN332" i="31"/>
  <c r="EJ331" i="31"/>
  <c r="EK332" i="31" s="1"/>
  <c r="EE331" i="31"/>
  <c r="EF332" i="31" s="1"/>
  <c r="ED331" i="31"/>
  <c r="EB332" i="31" s="1"/>
  <c r="IY332" i="31" s="1"/>
  <c r="JM331" i="31"/>
  <c r="KD331" i="31" s="1"/>
  <c r="IL332" i="31" s="1"/>
  <c r="EZ331" i="31"/>
  <c r="DG331" i="31"/>
  <c r="DH331" i="31" s="1"/>
  <c r="DI332" i="31" s="1"/>
  <c r="JY332" i="31" l="1"/>
  <c r="BP332" i="31"/>
  <c r="BQ332" i="31" s="1"/>
  <c r="JA332" i="31"/>
  <c r="DP332" i="31"/>
  <c r="IO332" i="31"/>
  <c r="JP332" i="31" s="1"/>
  <c r="JQ332" i="31" s="1"/>
  <c r="IP332" i="31"/>
  <c r="JE332" i="31"/>
  <c r="JO332" i="31"/>
  <c r="EO332" i="31"/>
  <c r="ES333" i="31" s="1"/>
  <c r="FC332" i="31"/>
  <c r="EL332" i="31"/>
  <c r="EP332" i="31"/>
  <c r="ET333" i="31" s="1"/>
  <c r="EV332" i="31"/>
  <c r="JC332" i="31"/>
  <c r="JD332" i="31"/>
  <c r="HZ332" i="31"/>
  <c r="IR332" i="31"/>
  <c r="GZ332" i="31"/>
  <c r="IE332" i="31" s="1"/>
  <c r="DJ332" i="31"/>
  <c r="DK332" i="31" s="1"/>
  <c r="BS332" i="31" l="1"/>
  <c r="BU332" i="31" s="1"/>
  <c r="BR332" i="31"/>
  <c r="DX332" i="31"/>
  <c r="FQ332" i="31"/>
  <c r="DM332" i="31"/>
  <c r="JX332" i="31"/>
  <c r="EC332" i="31"/>
  <c r="KG332" i="31"/>
  <c r="BT332" i="31" l="1"/>
  <c r="DL332" i="31"/>
  <c r="L333" i="31"/>
  <c r="EX332" i="31"/>
  <c r="M332" i="31" s="1"/>
  <c r="FB332" i="31"/>
  <c r="BV332" i="31"/>
  <c r="BW332" i="31" s="1"/>
  <c r="BX332" i="31" l="1"/>
  <c r="BY332" i="31"/>
  <c r="CA332" i="31" s="1"/>
  <c r="CC332" i="31" s="1"/>
  <c r="MB332" i="31"/>
  <c r="NM332" i="31" s="1"/>
  <c r="NN332" i="31" s="1"/>
  <c r="MJ332" i="31"/>
  <c r="NS332" i="31" s="1"/>
  <c r="BZ332" i="31" l="1"/>
  <c r="CD332" i="31"/>
  <c r="CE332" i="31"/>
  <c r="CB332" i="31"/>
  <c r="NT332" i="31"/>
  <c r="OU333" i="31"/>
  <c r="OV333" i="31"/>
  <c r="NW332" i="31"/>
  <c r="NX332" i="31" l="1"/>
  <c r="FR332" i="31"/>
  <c r="FV332" i="31"/>
  <c r="CX332" i="31"/>
  <c r="NU332" i="31"/>
  <c r="CF332" i="31"/>
  <c r="CG332" i="31"/>
  <c r="MY332" i="31" l="1"/>
  <c r="NZ332" i="31"/>
  <c r="CY333" i="31"/>
  <c r="CH332" i="31"/>
  <c r="CI332" i="31" s="1"/>
  <c r="NY332" i="31"/>
  <c r="OA332" i="31" s="1"/>
  <c r="MV333" i="31" s="1"/>
  <c r="NV332" i="31"/>
  <c r="OF332" i="31"/>
  <c r="OS333" i="31" s="1"/>
  <c r="CJ332" i="31" l="1"/>
  <c r="CO332" i="31" s="1"/>
  <c r="CK332" i="31"/>
  <c r="CL332" i="31" s="1"/>
  <c r="OG333" i="31"/>
  <c r="OO333" i="31"/>
  <c r="KT333" i="31" s="1"/>
  <c r="NF333" i="31"/>
  <c r="OM333" i="31"/>
  <c r="OB332" i="31"/>
  <c r="OT333" i="31" s="1"/>
  <c r="OI332" i="31"/>
  <c r="MZ333" i="31"/>
  <c r="OZ332" i="31"/>
  <c r="CM332" i="31" l="1"/>
  <c r="CN332" i="31" s="1"/>
  <c r="CP332" i="31" s="1"/>
  <c r="CQ332" i="31" s="1"/>
  <c r="KM333" i="31"/>
  <c r="KO334" i="31" s="1"/>
  <c r="KL333" i="31"/>
  <c r="KN334" i="31" s="1"/>
  <c r="OW332" i="31"/>
  <c r="OX333" i="31"/>
  <c r="MR333" i="31"/>
  <c r="PA332" i="31"/>
  <c r="OC332" i="31"/>
  <c r="OD333" i="31" s="1"/>
  <c r="OH333" i="31" s="1"/>
  <c r="OK333" i="31" s="1"/>
  <c r="OJ332" i="31"/>
  <c r="KU332" i="31" l="1"/>
  <c r="FZ332" i="31"/>
  <c r="GA332" i="31" s="1"/>
  <c r="GB332" i="31"/>
  <c r="GC332" i="31" s="1"/>
  <c r="FX332" i="31"/>
  <c r="FY332" i="31" s="1"/>
  <c r="FH332" i="31"/>
  <c r="FI332" i="31" s="1"/>
  <c r="FJ333" i="31" s="1"/>
  <c r="FE332" i="31"/>
  <c r="FF332" i="31" s="1"/>
  <c r="FG333" i="31" s="1"/>
  <c r="FU332" i="31"/>
  <c r="FW332" i="31" s="1"/>
  <c r="FP332" i="31"/>
  <c r="FS332" i="31" s="1"/>
  <c r="HY332" i="31" s="1"/>
  <c r="JR332" i="31"/>
  <c r="JS332" i="31" s="1"/>
  <c r="JT333" i="31" s="1"/>
  <c r="KX332" i="31"/>
  <c r="GN332" i="31" s="1"/>
  <c r="HO332" i="31"/>
  <c r="HP332" i="31" s="1"/>
  <c r="GO332" i="31"/>
  <c r="DQ332" i="31"/>
  <c r="DR332" i="31" s="1"/>
  <c r="DS332" i="31" s="1"/>
  <c r="AX332" i="31" s="1"/>
  <c r="AY333" i="31" s="1"/>
  <c r="MS333" i="31"/>
  <c r="KQ333" i="31"/>
  <c r="OY333" i="31"/>
  <c r="MW333" i="31"/>
  <c r="CS332" i="31"/>
  <c r="CT332" i="31"/>
  <c r="CR332" i="31"/>
  <c r="KP334" i="31"/>
  <c r="KR333" i="31"/>
  <c r="KE332" i="31" l="1"/>
  <c r="KC332" i="31"/>
  <c r="JU332" i="31"/>
  <c r="IZ332" i="31"/>
  <c r="IA332" i="31"/>
  <c r="IB332" i="31" s="1"/>
  <c r="HU332" i="31"/>
  <c r="HV333" i="31" s="1"/>
  <c r="GQ332" i="31"/>
  <c r="HA332" i="31"/>
  <c r="DY332" i="31"/>
  <c r="HW332" i="31"/>
  <c r="HX333" i="31" s="1"/>
  <c r="KV332" i="31"/>
  <c r="AZ332" i="31"/>
  <c r="EM332" i="31"/>
  <c r="EW332" i="31" s="1"/>
  <c r="EN332" i="31"/>
  <c r="MX333" i="31"/>
  <c r="NH334" i="31"/>
  <c r="NI334" i="31" s="1"/>
  <c r="MU333" i="31"/>
  <c r="MO333" i="31"/>
  <c r="MT333" i="31"/>
  <c r="NJ333" i="31"/>
  <c r="NP333" i="31"/>
  <c r="NQ333" i="31"/>
  <c r="PE333" i="31"/>
  <c r="KS333" i="31"/>
  <c r="HS332" i="31"/>
  <c r="JG332" i="31" s="1"/>
  <c r="HT332" i="31"/>
  <c r="KW333" i="31" l="1"/>
  <c r="HQ332" i="31"/>
  <c r="HR333" i="31" s="1"/>
  <c r="NR333" i="31"/>
  <c r="BB333" i="31"/>
  <c r="IW332" i="31"/>
  <c r="EQ332" i="31"/>
  <c r="DW332" i="31"/>
  <c r="DU333" i="31" s="1"/>
  <c r="ER333" i="31"/>
  <c r="IU332" i="31"/>
  <c r="IV332" i="31" s="1"/>
  <c r="NA333" i="31"/>
  <c r="NB333" i="31"/>
  <c r="IC332" i="31"/>
  <c r="ID332" i="31" s="1"/>
  <c r="IF332" i="31" s="1"/>
  <c r="KH332" i="31" s="1"/>
  <c r="JB332" i="31"/>
  <c r="NK333" i="31"/>
  <c r="NL333" i="31"/>
  <c r="NG334" i="31"/>
  <c r="OQ334" i="31"/>
  <c r="KK332" i="31" l="1"/>
  <c r="KB332" i="31"/>
  <c r="IX332" i="31"/>
  <c r="NC334" i="31"/>
  <c r="MQ334" i="31"/>
  <c r="OR334" i="31"/>
  <c r="BC333" i="31"/>
  <c r="DB332" i="31"/>
  <c r="DC332" i="31" s="1"/>
  <c r="DD333" i="31" s="1"/>
  <c r="DE334" i="31" s="1"/>
  <c r="GM332" i="31"/>
  <c r="IM332" i="31"/>
  <c r="KI333" i="31"/>
  <c r="IN332" i="31"/>
  <c r="DF332" i="31"/>
  <c r="EU333" i="31"/>
  <c r="GT334" i="31" l="1"/>
  <c r="GR332" i="31"/>
  <c r="KJ333" i="31"/>
  <c r="GV332" i="31"/>
  <c r="FD332" i="31"/>
  <c r="GU332" i="31"/>
  <c r="DT332" i="31"/>
  <c r="DZ332" i="31" s="1"/>
  <c r="BD333" i="31"/>
  <c r="BE333" i="31"/>
  <c r="IS332" i="31" l="1"/>
  <c r="FL333" i="31"/>
  <c r="BF333" i="31"/>
  <c r="BG333" i="31"/>
  <c r="GS332" i="31"/>
  <c r="GW332" i="31" l="1"/>
  <c r="HC332" i="31" s="1"/>
  <c r="FA333" i="31" s="1"/>
  <c r="HB333" i="31" s="1"/>
  <c r="GX332" i="31"/>
  <c r="GY332" i="31"/>
  <c r="BI333" i="31"/>
  <c r="BK333" i="31" s="1"/>
  <c r="BH333" i="31"/>
  <c r="FM333" i="31"/>
  <c r="JH332" i="31"/>
  <c r="JI332" i="31" s="1"/>
  <c r="IT332" i="31"/>
  <c r="BL333" i="31" l="1"/>
  <c r="BM333" i="31"/>
  <c r="JK332" i="31"/>
  <c r="JZ332" i="31" s="1"/>
  <c r="KF332" i="31" s="1"/>
  <c r="IQ333" i="31" s="1"/>
  <c r="BJ333" i="31"/>
  <c r="HM332" i="31"/>
  <c r="EG332" i="31"/>
  <c r="EH333" i="31" s="1"/>
  <c r="EI333" i="31" s="1"/>
  <c r="FK333" i="31" s="1"/>
  <c r="EY332" i="31"/>
  <c r="HK333" i="31"/>
  <c r="EE332" i="31" l="1"/>
  <c r="EF333" i="31" s="1"/>
  <c r="EJ332" i="31"/>
  <c r="EK333" i="31" s="1"/>
  <c r="ED332" i="31"/>
  <c r="EB333" i="31" s="1"/>
  <c r="IY333" i="31" s="1"/>
  <c r="JN332" i="31"/>
  <c r="JV332" i="31" s="1"/>
  <c r="JF333" i="31" s="1"/>
  <c r="EZ332" i="31"/>
  <c r="DG332" i="31"/>
  <c r="DH332" i="31" s="1"/>
  <c r="DI333" i="31" s="1"/>
  <c r="BN333" i="31"/>
  <c r="BO333" i="31"/>
  <c r="JM332" i="31"/>
  <c r="KD332" i="31" s="1"/>
  <c r="IL333" i="31" s="1"/>
  <c r="IR333" i="31" s="1"/>
  <c r="JL332" i="31"/>
  <c r="JJ333" i="31" s="1"/>
  <c r="KA333" i="31"/>
  <c r="JA333" i="31" l="1"/>
  <c r="BP333" i="31"/>
  <c r="BQ333" i="31" s="1"/>
  <c r="DJ333" i="31"/>
  <c r="DK333" i="31" s="1"/>
  <c r="GZ333" i="31"/>
  <c r="IE333" i="31" s="1"/>
  <c r="HZ333" i="31"/>
  <c r="JC333" i="31"/>
  <c r="JD333" i="31"/>
  <c r="IP333" i="31"/>
  <c r="IO333" i="31"/>
  <c r="JP333" i="31" s="1"/>
  <c r="JQ333" i="31" s="1"/>
  <c r="JW333" i="31"/>
  <c r="JY333" i="31"/>
  <c r="JO333" i="31"/>
  <c r="DP333" i="31"/>
  <c r="JE333" i="31"/>
  <c r="FC333" i="31"/>
  <c r="EO333" i="31"/>
  <c r="ES334" i="31" s="1"/>
  <c r="EP333" i="31"/>
  <c r="ET334" i="31" s="1"/>
  <c r="EL333" i="31"/>
  <c r="EV333" i="31"/>
  <c r="JX333" i="31" l="1"/>
  <c r="FQ333" i="31"/>
  <c r="DM333" i="31"/>
  <c r="DX333" i="31"/>
  <c r="BR333" i="31"/>
  <c r="BS333" i="31"/>
  <c r="EC333" i="31"/>
  <c r="KG333" i="31"/>
  <c r="BT333" i="31" l="1"/>
  <c r="BU333" i="31"/>
  <c r="DL333" i="31"/>
  <c r="L334" i="31"/>
  <c r="EX333" i="31"/>
  <c r="M333" i="31" s="1"/>
  <c r="FB333" i="31"/>
  <c r="MB333" i="31" l="1"/>
  <c r="MJ333" i="31"/>
  <c r="NS333" i="31" s="1"/>
  <c r="BV333" i="31"/>
  <c r="BW333" i="31" s="1"/>
  <c r="NM333" i="31" l="1"/>
  <c r="NN333" i="31" s="1"/>
  <c r="BX333" i="31"/>
  <c r="BY333" i="31"/>
  <c r="NT333" i="31"/>
  <c r="OU334" i="31"/>
  <c r="BZ333" i="31" l="1"/>
  <c r="OV334" i="31"/>
  <c r="NW333" i="31"/>
  <c r="CA333" i="31"/>
  <c r="CC333" i="31" s="1"/>
  <c r="CD333" i="31" s="1"/>
  <c r="NX333" i="31"/>
  <c r="FR333" i="31"/>
  <c r="CX333" i="31"/>
  <c r="FV333" i="31"/>
  <c r="NU333" i="31"/>
  <c r="CE333" i="31" l="1"/>
  <c r="CF333" i="31" s="1"/>
  <c r="CB333" i="31"/>
  <c r="NV333" i="31"/>
  <c r="NY333" i="31"/>
  <c r="NZ333" i="31"/>
  <c r="MY333" i="31"/>
  <c r="CY334" i="31"/>
  <c r="OF333" i="31"/>
  <c r="OS334" i="31" s="1"/>
  <c r="CG333" i="31" l="1"/>
  <c r="CH333" i="31" s="1"/>
  <c r="OI333" i="31"/>
  <c r="OX334" i="31" s="1"/>
  <c r="MZ334" i="31"/>
  <c r="OZ333" i="31"/>
  <c r="OO334" i="31"/>
  <c r="NF334" i="31"/>
  <c r="OM334" i="31"/>
  <c r="OA333" i="31"/>
  <c r="MV334" i="31" s="1"/>
  <c r="OB333" i="31"/>
  <c r="OT334" i="31" s="1"/>
  <c r="CI333" i="31" l="1"/>
  <c r="OW333" i="31"/>
  <c r="MR334" i="31"/>
  <c r="MS334" i="31" s="1"/>
  <c r="OJ333" i="31"/>
  <c r="OY334" i="31" s="1"/>
  <c r="PA333" i="31"/>
  <c r="OC333" i="31"/>
  <c r="OD334" i="31" s="1"/>
  <c r="OH334" i="31" s="1"/>
  <c r="OG334" i="31"/>
  <c r="KT334" i="31"/>
  <c r="MW334" i="31" l="1"/>
  <c r="MX334" i="31" s="1"/>
  <c r="CJ333" i="31"/>
  <c r="CO333" i="31" s="1"/>
  <c r="CK333" i="31"/>
  <c r="OK334" i="31"/>
  <c r="KL334" i="31"/>
  <c r="KN335" i="31" s="1"/>
  <c r="KM334" i="31"/>
  <c r="KO335" i="31" s="1"/>
  <c r="NH335" i="31"/>
  <c r="NI335" i="31" s="1"/>
  <c r="MO334" i="31"/>
  <c r="NJ334" i="31"/>
  <c r="NQ334" i="31"/>
  <c r="MU334" i="31"/>
  <c r="NP334" i="31"/>
  <c r="MT334" i="31"/>
  <c r="PE334" i="31"/>
  <c r="CL333" i="31" l="1"/>
  <c r="CM333" i="31"/>
  <c r="CN333" i="31" s="1"/>
  <c r="NR334" i="31"/>
  <c r="NB334" i="31"/>
  <c r="NA334" i="31"/>
  <c r="NK334" i="31"/>
  <c r="NL334" i="31"/>
  <c r="NG335" i="31"/>
  <c r="OQ335" i="31"/>
  <c r="KP335" i="31"/>
  <c r="KR334" i="31"/>
  <c r="KQ334" i="31"/>
  <c r="CP333" i="31" l="1"/>
  <c r="KS334" i="31"/>
  <c r="NC335" i="31"/>
  <c r="MQ335" i="31"/>
  <c r="OR335" i="31"/>
  <c r="FU333" i="31" l="1"/>
  <c r="FW333" i="31" s="1"/>
  <c r="FZ333" i="31"/>
  <c r="GA333" i="31" s="1"/>
  <c r="FX333" i="31"/>
  <c r="FY333" i="31" s="1"/>
  <c r="GB333" i="31"/>
  <c r="GC333" i="31" s="1"/>
  <c r="KU333" i="31"/>
  <c r="FP333" i="31"/>
  <c r="FS333" i="31" s="1"/>
  <c r="GO333" i="31"/>
  <c r="CQ333" i="31"/>
  <c r="JR333" i="31"/>
  <c r="JS333" i="31" s="1"/>
  <c r="DQ333" i="31"/>
  <c r="DR333" i="31" s="1"/>
  <c r="DS333" i="31" s="1"/>
  <c r="AX333" i="31" s="1"/>
  <c r="AY334" i="31" s="1"/>
  <c r="FE333" i="31"/>
  <c r="FF333" i="31" s="1"/>
  <c r="HO333" i="31"/>
  <c r="FH333" i="31"/>
  <c r="FI333" i="31" s="1"/>
  <c r="KX333" i="31"/>
  <c r="GN333" i="31" s="1"/>
  <c r="AZ333" i="31" l="1"/>
  <c r="EN333" i="31"/>
  <c r="IW333" i="31" s="1"/>
  <c r="EM333" i="31"/>
  <c r="EW333" i="31" s="1"/>
  <c r="CS333" i="31"/>
  <c r="CT333" i="31"/>
  <c r="CR333" i="31"/>
  <c r="KE333" i="31"/>
  <c r="JU333" i="31"/>
  <c r="JT334" i="31"/>
  <c r="KC333" i="31"/>
  <c r="HA333" i="31"/>
  <c r="DY333" i="31"/>
  <c r="HY333" i="31"/>
  <c r="HP333" i="31"/>
  <c r="IA333" i="31"/>
  <c r="IB333" i="31" s="1"/>
  <c r="IZ333" i="31"/>
  <c r="FG334" i="31"/>
  <c r="HW333" i="31"/>
  <c r="HX334" i="31" s="1"/>
  <c r="KV333" i="31"/>
  <c r="GQ333" i="31"/>
  <c r="FJ334" i="31"/>
  <c r="HU333" i="31"/>
  <c r="HV334" i="31" s="1"/>
  <c r="BB334" i="31"/>
  <c r="EQ333" i="31"/>
  <c r="KW334" i="31" l="1"/>
  <c r="HQ333" i="31"/>
  <c r="HR334" i="31" s="1"/>
  <c r="IU333" i="31"/>
  <c r="IV333" i="31" s="1"/>
  <c r="KB333" i="31" s="1"/>
  <c r="ER334" i="31"/>
  <c r="EU334" i="31" s="1"/>
  <c r="DW333" i="31"/>
  <c r="DU334" i="31" s="1"/>
  <c r="HT333" i="31"/>
  <c r="HS333" i="31"/>
  <c r="JG333" i="31" s="1"/>
  <c r="BC334" i="31"/>
  <c r="KK333" i="31" l="1"/>
  <c r="IX333" i="31"/>
  <c r="IC333" i="31"/>
  <c r="ID333" i="31" s="1"/>
  <c r="IF333" i="31" s="1"/>
  <c r="KH333" i="31" s="1"/>
  <c r="JB333" i="31"/>
  <c r="BD334" i="31"/>
  <c r="BE334" i="31"/>
  <c r="GM333" i="31" l="1"/>
  <c r="KI334" i="31"/>
  <c r="KJ334" i="31" s="1"/>
  <c r="IN333" i="31"/>
  <c r="DF333" i="31"/>
  <c r="DB333" i="31"/>
  <c r="DC333" i="31" s="1"/>
  <c r="DD334" i="31" s="1"/>
  <c r="DE335" i="31" s="1"/>
  <c r="IM333" i="31"/>
  <c r="BF334" i="31"/>
  <c r="BG334" i="31"/>
  <c r="DT333" i="31" l="1"/>
  <c r="DZ333" i="31" s="1"/>
  <c r="GT335" i="31"/>
  <c r="GU333" i="31"/>
  <c r="FD333" i="31"/>
  <c r="GV333" i="31"/>
  <c r="GR333" i="31"/>
  <c r="BI334" i="31"/>
  <c r="BK334" i="31" s="1"/>
  <c r="BH334" i="31"/>
  <c r="GS333" i="31" l="1"/>
  <c r="FL334" i="31"/>
  <c r="FM334" i="31" s="1"/>
  <c r="IS333" i="31"/>
  <c r="BJ334" i="31"/>
  <c r="BL334" i="31"/>
  <c r="BM334" i="31"/>
  <c r="GX333" i="31" l="1"/>
  <c r="GW333" i="31"/>
  <c r="HC333" i="31" s="1"/>
  <c r="FA334" i="31" s="1"/>
  <c r="HB334" i="31" s="1"/>
  <c r="GY333" i="31"/>
  <c r="JH333" i="31"/>
  <c r="JI333" i="31" s="1"/>
  <c r="JK333" i="31" s="1"/>
  <c r="JZ333" i="31" s="1"/>
  <c r="KF333" i="31" s="1"/>
  <c r="IQ334" i="31" s="1"/>
  <c r="IT333" i="31"/>
  <c r="BN334" i="31"/>
  <c r="BO334" i="31"/>
  <c r="JM333" i="31" l="1"/>
  <c r="KD333" i="31" s="1"/>
  <c r="IL334" i="31" s="1"/>
  <c r="IR334" i="31" s="1"/>
  <c r="JN333" i="31"/>
  <c r="JV333" i="31" s="1"/>
  <c r="JF334" i="31" s="1"/>
  <c r="KA334" i="31"/>
  <c r="HZ334" i="31" s="1"/>
  <c r="JL333" i="31"/>
  <c r="JJ334" i="31" s="1"/>
  <c r="EG333" i="31"/>
  <c r="EH334" i="31" s="1"/>
  <c r="EI334" i="31" s="1"/>
  <c r="FK334" i="31" s="1"/>
  <c r="EY333" i="31"/>
  <c r="HM333" i="31"/>
  <c r="HK334" i="31"/>
  <c r="BP334" i="31"/>
  <c r="BQ334" i="31" s="1"/>
  <c r="JE334" i="31" l="1"/>
  <c r="JO334" i="31"/>
  <c r="JY334" i="31"/>
  <c r="JW334" i="31"/>
  <c r="EJ333" i="31"/>
  <c r="EK334" i="31" s="1"/>
  <c r="ED333" i="31"/>
  <c r="EB334" i="31" s="1"/>
  <c r="EE333" i="31"/>
  <c r="EF334" i="31" s="1"/>
  <c r="EZ333" i="31"/>
  <c r="DG333" i="31"/>
  <c r="DH333" i="31" s="1"/>
  <c r="DI334" i="31" s="1"/>
  <c r="BR334" i="31"/>
  <c r="BS334" i="31"/>
  <c r="BT334" i="31" s="1"/>
  <c r="DP334" i="31" l="1"/>
  <c r="BU334" i="31"/>
  <c r="BV334" i="31" s="1"/>
  <c r="BW334" i="31" s="1"/>
  <c r="JD334" i="31"/>
  <c r="JC334" i="31"/>
  <c r="IO334" i="31"/>
  <c r="GZ334" i="31"/>
  <c r="KG334" i="31" s="1"/>
  <c r="DJ334" i="31"/>
  <c r="DK334" i="31" s="1"/>
  <c r="IP334" i="31"/>
  <c r="IY334" i="31"/>
  <c r="EV334" i="31"/>
  <c r="EL334" i="31"/>
  <c r="JA334" i="31"/>
  <c r="EO334" i="31"/>
  <c r="ES335" i="31" s="1"/>
  <c r="FC334" i="31"/>
  <c r="EP334" i="31"/>
  <c r="ET335" i="31" s="1"/>
  <c r="IE334" i="31" l="1"/>
  <c r="FQ334" i="31"/>
  <c r="DM334" i="31"/>
  <c r="DX334" i="31"/>
  <c r="JP334" i="31"/>
  <c r="JQ334" i="31" s="1"/>
  <c r="JX334" i="31"/>
  <c r="EC334" i="31"/>
  <c r="BY334" i="31"/>
  <c r="CA334" i="31" s="1"/>
  <c r="CC334" i="31" s="1"/>
  <c r="BX334" i="31"/>
  <c r="FB334" i="31" l="1"/>
  <c r="EX334" i="31"/>
  <c r="M334" i="31" s="1"/>
  <c r="DL334" i="31"/>
  <c r="L335" i="31"/>
  <c r="BZ334" i="31"/>
  <c r="CD334" i="31"/>
  <c r="CE334" i="31"/>
  <c r="CB334" i="31"/>
  <c r="MJ334" i="31" l="1"/>
  <c r="NS334" i="31" s="1"/>
  <c r="MB334" i="31"/>
  <c r="CF334" i="31"/>
  <c r="CG334" i="31"/>
  <c r="NM334" i="31" l="1"/>
  <c r="NN334" i="31" s="1"/>
  <c r="NT334" i="31"/>
  <c r="OU335" i="31"/>
  <c r="CH334" i="31"/>
  <c r="CI334" i="31" s="1"/>
  <c r="OV335" i="31" l="1"/>
  <c r="NW334" i="31"/>
  <c r="NX334" i="31" s="1"/>
  <c r="OF334" i="31" s="1"/>
  <c r="OS335" i="31" s="1"/>
  <c r="CJ334" i="31"/>
  <c r="CO334" i="31" s="1"/>
  <c r="CK334" i="31"/>
  <c r="CL334" i="31" s="1"/>
  <c r="CX334" i="31"/>
  <c r="NU334" i="31"/>
  <c r="NV334" i="31" s="1"/>
  <c r="FR334" i="31"/>
  <c r="FV334" i="31"/>
  <c r="NY334" i="31" l="1"/>
  <c r="OB334" i="31" s="1"/>
  <c r="OT335" i="31" s="1"/>
  <c r="CM334" i="31"/>
  <c r="CN334" i="31" s="1"/>
  <c r="CP334" i="31" s="1"/>
  <c r="MY334" i="31"/>
  <c r="CY335" i="31"/>
  <c r="NZ334" i="31"/>
  <c r="OA334" i="31" l="1"/>
  <c r="MV335" i="31" s="1"/>
  <c r="OG335" i="31" s="1"/>
  <c r="OJ334" i="31"/>
  <c r="OY335" i="31" s="1"/>
  <c r="PA334" i="31"/>
  <c r="OC334" i="31"/>
  <c r="OD335" i="31" s="1"/>
  <c r="OH335" i="31" s="1"/>
  <c r="OM335" i="31"/>
  <c r="NF335" i="31"/>
  <c r="OO335" i="31"/>
  <c r="MZ335" i="31"/>
  <c r="OZ334" i="31"/>
  <c r="OI334" i="31"/>
  <c r="JR334" i="31"/>
  <c r="JS334" i="31" s="1"/>
  <c r="DQ334" i="31"/>
  <c r="DR334" i="31" s="1"/>
  <c r="FE334" i="31"/>
  <c r="FF334" i="31" s="1"/>
  <c r="HO334" i="31"/>
  <c r="FX334" i="31"/>
  <c r="FY334" i="31" s="1"/>
  <c r="CQ334" i="31"/>
  <c r="FU334" i="31"/>
  <c r="FW334" i="31" s="1"/>
  <c r="FZ334" i="31"/>
  <c r="GA334" i="31" s="1"/>
  <c r="FH334" i="31"/>
  <c r="FI334" i="31" s="1"/>
  <c r="FP334" i="31"/>
  <c r="FS334" i="31" s="1"/>
  <c r="GB334" i="31"/>
  <c r="GC334" i="31" s="1"/>
  <c r="GO334" i="31"/>
  <c r="KX334" i="31"/>
  <c r="KU334" i="31"/>
  <c r="GN334" i="31" l="1"/>
  <c r="GQ334" i="31" s="1"/>
  <c r="KT335" i="31"/>
  <c r="KL335" i="31" s="1"/>
  <c r="KN336" i="31" s="1"/>
  <c r="KQ335" i="31" s="1"/>
  <c r="MW335" i="31"/>
  <c r="OK335" i="31"/>
  <c r="OX335" i="31"/>
  <c r="MR335" i="31"/>
  <c r="MS335" i="31" s="1"/>
  <c r="MU335" i="31" s="1"/>
  <c r="OW334" i="31"/>
  <c r="HP334" i="31"/>
  <c r="IA334" i="31"/>
  <c r="IB334" i="31" s="1"/>
  <c r="IZ334" i="31"/>
  <c r="CS334" i="31"/>
  <c r="CT334" i="31"/>
  <c r="CR334" i="31"/>
  <c r="HW334" i="31"/>
  <c r="HX335" i="31" s="1"/>
  <c r="FG335" i="31"/>
  <c r="MX335" i="31"/>
  <c r="DY334" i="31"/>
  <c r="HA334" i="31"/>
  <c r="HY334" i="31"/>
  <c r="DS334" i="31"/>
  <c r="AX334" i="31" s="1"/>
  <c r="AY335" i="31" s="1"/>
  <c r="KV334" i="31"/>
  <c r="HU334" i="31"/>
  <c r="HV335" i="31" s="1"/>
  <c r="FJ335" i="31"/>
  <c r="JU334" i="31"/>
  <c r="KC334" i="31"/>
  <c r="KE334" i="31"/>
  <c r="JT335" i="31"/>
  <c r="KM335" i="31" l="1"/>
  <c r="KO336" i="31" s="1"/>
  <c r="KP336" i="31" s="1"/>
  <c r="KW335" i="31"/>
  <c r="HQ334" i="31"/>
  <c r="HR335" i="31" s="1"/>
  <c r="NJ335" i="31"/>
  <c r="NG336" i="31" s="1"/>
  <c r="NP335" i="31"/>
  <c r="NQ335" i="31"/>
  <c r="PE335" i="31"/>
  <c r="NH336" i="31"/>
  <c r="NI336" i="31" s="1"/>
  <c r="MT335" i="31"/>
  <c r="MO335" i="31"/>
  <c r="NA335" i="31"/>
  <c r="NB335" i="31"/>
  <c r="EN334" i="31"/>
  <c r="EM334" i="31"/>
  <c r="EW334" i="31" s="1"/>
  <c r="AZ334" i="31"/>
  <c r="HS334" i="31"/>
  <c r="JG334" i="31" s="1"/>
  <c r="HT334" i="31"/>
  <c r="KR335" i="31" l="1"/>
  <c r="KS335" i="31" s="1"/>
  <c r="NR335" i="31"/>
  <c r="NK335" i="31"/>
  <c r="OQ336" i="31"/>
  <c r="OR336" i="31" s="1"/>
  <c r="NL335" i="31"/>
  <c r="NC336" i="31" s="1"/>
  <c r="BB335" i="31"/>
  <c r="EQ334" i="31"/>
  <c r="IW334" i="31"/>
  <c r="DW334" i="31"/>
  <c r="DU335" i="31" s="1"/>
  <c r="ER335" i="31"/>
  <c r="IU334" i="31"/>
  <c r="IV334" i="31" s="1"/>
  <c r="IC334" i="31"/>
  <c r="ID334" i="31" s="1"/>
  <c r="IF334" i="31" s="1"/>
  <c r="KH334" i="31" s="1"/>
  <c r="JB334" i="31"/>
  <c r="MQ336" i="31" l="1"/>
  <c r="BC335" i="31"/>
  <c r="IX334" i="31"/>
  <c r="KK334" i="31"/>
  <c r="EU335" i="31"/>
  <c r="KB334" i="31"/>
  <c r="DB334" i="31"/>
  <c r="DC334" i="31" s="1"/>
  <c r="DD335" i="31" s="1"/>
  <c r="DE336" i="31" s="1"/>
  <c r="GM334" i="31"/>
  <c r="IM334" i="31"/>
  <c r="KI335" i="31"/>
  <c r="IN334" i="31"/>
  <c r="DF334" i="31"/>
  <c r="GT336" i="31" l="1"/>
  <c r="DT334" i="31"/>
  <c r="DZ334" i="31" s="1"/>
  <c r="KJ335" i="31"/>
  <c r="GR334" i="31"/>
  <c r="GV334" i="31"/>
  <c r="FD334" i="31"/>
  <c r="GU334" i="31"/>
  <c r="BD335" i="31"/>
  <c r="BE335" i="31"/>
  <c r="IS334" i="31" l="1"/>
  <c r="FL335" i="31"/>
  <c r="BF335" i="31"/>
  <c r="BG335" i="31"/>
  <c r="GS334" i="31"/>
  <c r="BI335" i="31" l="1"/>
  <c r="BK335" i="31" s="1"/>
  <c r="BH335" i="31"/>
  <c r="FM335" i="31"/>
  <c r="GX334" i="31"/>
  <c r="GW334" i="31"/>
  <c r="HC334" i="31" s="1"/>
  <c r="FA335" i="31" s="1"/>
  <c r="HB335" i="31" s="1"/>
  <c r="GY334" i="31"/>
  <c r="JH334" i="31"/>
  <c r="JI334" i="31" s="1"/>
  <c r="IT334" i="31"/>
  <c r="BJ335" i="31" l="1"/>
  <c r="JK334" i="31"/>
  <c r="JZ334" i="31" s="1"/>
  <c r="KF334" i="31" s="1"/>
  <c r="IQ335" i="31" s="1"/>
  <c r="EY334" i="31"/>
  <c r="HM334" i="31"/>
  <c r="EG334" i="31"/>
  <c r="EH335" i="31" s="1"/>
  <c r="EI335" i="31" s="1"/>
  <c r="FK335" i="31" s="1"/>
  <c r="HK335" i="31"/>
  <c r="BL335" i="31"/>
  <c r="BM335" i="31"/>
  <c r="JM334" i="31" l="1"/>
  <c r="KD334" i="31" s="1"/>
  <c r="IL335" i="31" s="1"/>
  <c r="IR335" i="31" s="1"/>
  <c r="EJ334" i="31"/>
  <c r="EK335" i="31" s="1"/>
  <c r="ED334" i="31"/>
  <c r="EB335" i="31" s="1"/>
  <c r="JA335" i="31" s="1"/>
  <c r="EE334" i="31"/>
  <c r="EF335" i="31" s="1"/>
  <c r="EZ334" i="31"/>
  <c r="DG334" i="31"/>
  <c r="DH334" i="31" s="1"/>
  <c r="DI335" i="31" s="1"/>
  <c r="BN335" i="31"/>
  <c r="BO335" i="31"/>
  <c r="JN334" i="31"/>
  <c r="JV334" i="31" s="1"/>
  <c r="JF335" i="31" s="1"/>
  <c r="JL334" i="31"/>
  <c r="JJ335" i="31" s="1"/>
  <c r="KA335" i="31"/>
  <c r="IY335" i="31" l="1"/>
  <c r="JE335" i="31"/>
  <c r="IO335" i="31"/>
  <c r="IP335" i="31"/>
  <c r="DP335" i="31"/>
  <c r="JW335" i="31"/>
  <c r="JY335" i="31"/>
  <c r="GZ335" i="31"/>
  <c r="IE335" i="31" s="1"/>
  <c r="DJ335" i="31"/>
  <c r="DK335" i="31" s="1"/>
  <c r="JO335" i="31"/>
  <c r="EO335" i="31"/>
  <c r="ES336" i="31" s="1"/>
  <c r="EL335" i="31"/>
  <c r="FC335" i="31"/>
  <c r="EP335" i="31"/>
  <c r="ET336" i="31" s="1"/>
  <c r="EV335" i="31"/>
  <c r="HZ335" i="31"/>
  <c r="BP335" i="31"/>
  <c r="BQ335" i="31" s="1"/>
  <c r="JC335" i="31"/>
  <c r="JD335" i="31"/>
  <c r="JP335" i="31" l="1"/>
  <c r="JQ335" i="31" s="1"/>
  <c r="JX335" i="31"/>
  <c r="BS335" i="31"/>
  <c r="BR335" i="31"/>
  <c r="KG335" i="31"/>
  <c r="FQ335" i="31"/>
  <c r="DX335" i="31"/>
  <c r="DM335" i="31"/>
  <c r="EC335" i="31"/>
  <c r="BT335" i="31" l="1"/>
  <c r="BU335" i="31"/>
  <c r="BV335" i="31" s="1"/>
  <c r="BW335" i="31" s="1"/>
  <c r="EX335" i="31"/>
  <c r="M335" i="31" s="1"/>
  <c r="FB335" i="31"/>
  <c r="DL335" i="31"/>
  <c r="L336" i="31"/>
  <c r="BY335" i="31" l="1"/>
  <c r="CA335" i="31" s="1"/>
  <c r="CC335" i="31" s="1"/>
  <c r="BX335" i="31"/>
  <c r="MJ335" i="31"/>
  <c r="NS335" i="31" s="1"/>
  <c r="MB335" i="31"/>
  <c r="NM335" i="31" l="1"/>
  <c r="NN335" i="31" s="1"/>
  <c r="BZ335" i="31"/>
  <c r="CB335" i="31"/>
  <c r="CD335" i="31"/>
  <c r="CE335" i="31"/>
  <c r="NT335" i="31"/>
  <c r="OU336" i="31"/>
  <c r="OV336" i="31" l="1"/>
  <c r="NW335" i="31"/>
  <c r="NX335" i="31" s="1"/>
  <c r="OF335" i="31" s="1"/>
  <c r="OS336" i="31" s="1"/>
  <c r="CX335" i="31"/>
  <c r="FV335" i="31"/>
  <c r="FR335" i="31"/>
  <c r="NU335" i="31"/>
  <c r="CF335" i="31"/>
  <c r="CG335" i="31"/>
  <c r="NY335" i="31" l="1"/>
  <c r="OB335" i="31" s="1"/>
  <c r="OT336" i="31" s="1"/>
  <c r="NV335" i="31"/>
  <c r="MY335" i="31"/>
  <c r="NZ335" i="31"/>
  <c r="CY336" i="31"/>
  <c r="CH335" i="31"/>
  <c r="CI335" i="31" s="1"/>
  <c r="OA335" i="31" l="1"/>
  <c r="MV336" i="31" s="1"/>
  <c r="OG336" i="31" s="1"/>
  <c r="CJ335" i="31"/>
  <c r="CO335" i="31" s="1"/>
  <c r="CK335" i="31"/>
  <c r="PA335" i="31"/>
  <c r="OC335" i="31"/>
  <c r="OD336" i="31" s="1"/>
  <c r="OH336" i="31" s="1"/>
  <c r="OJ335" i="31"/>
  <c r="OY336" i="31" s="1"/>
  <c r="OM336" i="31"/>
  <c r="OO336" i="31"/>
  <c r="NF336" i="31"/>
  <c r="MZ336" i="31"/>
  <c r="OZ335" i="31"/>
  <c r="OI335" i="31"/>
  <c r="CL335" i="31" l="1"/>
  <c r="KT336" i="31"/>
  <c r="KL336" i="31" s="1"/>
  <c r="KN337" i="31" s="1"/>
  <c r="CM335" i="31"/>
  <c r="CN335" i="31" s="1"/>
  <c r="MW336" i="31"/>
  <c r="MX336" i="31" s="1"/>
  <c r="OK336" i="31"/>
  <c r="OW335" i="31"/>
  <c r="OX336" i="31"/>
  <c r="MR336" i="31"/>
  <c r="CP335" i="31" l="1"/>
  <c r="FE335" i="31" s="1"/>
  <c r="FF335" i="31" s="1"/>
  <c r="HW335" i="31" s="1"/>
  <c r="HX336" i="31" s="1"/>
  <c r="KM336" i="31"/>
  <c r="KO337" i="31" s="1"/>
  <c r="KP337" i="31" s="1"/>
  <c r="MS336" i="31"/>
  <c r="NB336" i="31"/>
  <c r="NA336" i="31"/>
  <c r="KQ336" i="31"/>
  <c r="FX335" i="31" l="1"/>
  <c r="FY335" i="31" s="1"/>
  <c r="FH335" i="31"/>
  <c r="FI335" i="31" s="1"/>
  <c r="HU335" i="31" s="1"/>
  <c r="HV336" i="31" s="1"/>
  <c r="FG336" i="31"/>
  <c r="FU335" i="31"/>
  <c r="FW335" i="31" s="1"/>
  <c r="FZ335" i="31"/>
  <c r="GA335" i="31" s="1"/>
  <c r="FP335" i="31"/>
  <c r="FS335" i="31" s="1"/>
  <c r="HA335" i="31" s="1"/>
  <c r="KX335" i="31"/>
  <c r="GN335" i="31" s="1"/>
  <c r="KV335" i="31" s="1"/>
  <c r="KW336" i="31" s="1"/>
  <c r="KU335" i="31"/>
  <c r="DQ335" i="31"/>
  <c r="DR335" i="31" s="1"/>
  <c r="DS335" i="31" s="1"/>
  <c r="AX335" i="31" s="1"/>
  <c r="AY336" i="31" s="1"/>
  <c r="GO335" i="31"/>
  <c r="GB335" i="31"/>
  <c r="GC335" i="31" s="1"/>
  <c r="CQ335" i="31"/>
  <c r="CR335" i="31" s="1"/>
  <c r="HO335" i="31"/>
  <c r="IZ335" i="31" s="1"/>
  <c r="JR335" i="31"/>
  <c r="JS335" i="31" s="1"/>
  <c r="JT336" i="31" s="1"/>
  <c r="HQ335" i="31"/>
  <c r="HR336" i="31" s="1"/>
  <c r="FJ336" i="31"/>
  <c r="KR336" i="31"/>
  <c r="KS336" i="31" s="1"/>
  <c r="MT336" i="31"/>
  <c r="NQ336" i="31"/>
  <c r="MO336" i="31"/>
  <c r="NJ336" i="31"/>
  <c r="NH337" i="31"/>
  <c r="NI337" i="31" s="1"/>
  <c r="MU336" i="31"/>
  <c r="NP336" i="31"/>
  <c r="PE336" i="31"/>
  <c r="EM335" i="31" l="1"/>
  <c r="EW335" i="31" s="1"/>
  <c r="AZ335" i="31"/>
  <c r="EN335" i="31"/>
  <c r="BB336" i="31" s="1"/>
  <c r="DY335" i="31"/>
  <c r="KE335" i="31"/>
  <c r="JU335" i="31"/>
  <c r="HP335" i="31"/>
  <c r="HT335" i="31" s="1"/>
  <c r="IC335" i="31" s="1"/>
  <c r="ID335" i="31" s="1"/>
  <c r="CS335" i="31"/>
  <c r="CT335" i="31"/>
  <c r="HY335" i="31"/>
  <c r="IA335" i="31"/>
  <c r="IB335" i="31" s="1"/>
  <c r="GQ335" i="31"/>
  <c r="KC335" i="31"/>
  <c r="NR336" i="31"/>
  <c r="NK336" i="31"/>
  <c r="NL336" i="31"/>
  <c r="NG337" i="31"/>
  <c r="OQ337" i="31"/>
  <c r="IU335" i="31" l="1"/>
  <c r="IV335" i="31" s="1"/>
  <c r="IX335" i="31" s="1"/>
  <c r="IW335" i="31"/>
  <c r="ER336" i="31"/>
  <c r="EU336" i="31" s="1"/>
  <c r="DW335" i="31"/>
  <c r="DU336" i="31" s="1"/>
  <c r="EQ335" i="31"/>
  <c r="JB335" i="31"/>
  <c r="IF335" i="31"/>
  <c r="KH335" i="31" s="1"/>
  <c r="IM335" i="31" s="1"/>
  <c r="HS335" i="31"/>
  <c r="JG335" i="31" s="1"/>
  <c r="BC336" i="31"/>
  <c r="OR337" i="31"/>
  <c r="NC337" i="31"/>
  <c r="MQ337" i="31"/>
  <c r="KK335" i="31" l="1"/>
  <c r="KB335" i="31"/>
  <c r="KI336" i="31"/>
  <c r="KJ336" i="31" s="1"/>
  <c r="IN335" i="31"/>
  <c r="DB335" i="31"/>
  <c r="DC335" i="31" s="1"/>
  <c r="DD336" i="31" s="1"/>
  <c r="DE337" i="31" s="1"/>
  <c r="GT337" i="31" s="1"/>
  <c r="DF335" i="31"/>
  <c r="FD335" i="31" s="1"/>
  <c r="GM335" i="31"/>
  <c r="GR335" i="31" s="1"/>
  <c r="BE336" i="31"/>
  <c r="BD336" i="31"/>
  <c r="DT335" i="31" l="1"/>
  <c r="DZ335" i="31" s="1"/>
  <c r="GU335" i="31"/>
  <c r="GV335" i="31"/>
  <c r="GS335" i="31"/>
  <c r="IS335" i="31"/>
  <c r="FL336" i="31"/>
  <c r="BG336" i="31"/>
  <c r="BF336" i="31"/>
  <c r="BH336" i="31" l="1"/>
  <c r="BI336" i="31"/>
  <c r="BK336" i="31" s="1"/>
  <c r="FM336" i="31"/>
  <c r="JH335" i="31"/>
  <c r="JI335" i="31" s="1"/>
  <c r="IT335" i="31"/>
  <c r="GW335" i="31"/>
  <c r="HC335" i="31" s="1"/>
  <c r="FA336" i="31" s="1"/>
  <c r="HB336" i="31" s="1"/>
  <c r="GX335" i="31"/>
  <c r="GY335" i="31"/>
  <c r="HM335" i="31" l="1"/>
  <c r="EY335" i="31"/>
  <c r="EG335" i="31"/>
  <c r="EH336" i="31" s="1"/>
  <c r="EI336" i="31" s="1"/>
  <c r="FK336" i="31" s="1"/>
  <c r="HK336" i="31"/>
  <c r="BL336" i="31"/>
  <c r="BM336" i="31"/>
  <c r="JK335" i="31"/>
  <c r="JZ335" i="31" s="1"/>
  <c r="KF335" i="31" s="1"/>
  <c r="IQ336" i="31" s="1"/>
  <c r="BJ336" i="31"/>
  <c r="JM335" i="31" l="1"/>
  <c r="KD335" i="31" s="1"/>
  <c r="IL336" i="31" s="1"/>
  <c r="JE336" i="31" s="1"/>
  <c r="BN336" i="31"/>
  <c r="BO336" i="31"/>
  <c r="JN335" i="31"/>
  <c r="JV335" i="31" s="1"/>
  <c r="JF336" i="31" s="1"/>
  <c r="JL335" i="31"/>
  <c r="JJ336" i="31" s="1"/>
  <c r="KA336" i="31"/>
  <c r="EZ335" i="31"/>
  <c r="DG335" i="31"/>
  <c r="DH335" i="31" s="1"/>
  <c r="DI336" i="31" s="1"/>
  <c r="EE335" i="31"/>
  <c r="EF336" i="31" s="1"/>
  <c r="EJ335" i="31"/>
  <c r="EK336" i="31" s="1"/>
  <c r="ED335" i="31"/>
  <c r="EB336" i="31" s="1"/>
  <c r="IP336" i="31" l="1"/>
  <c r="JO336" i="31"/>
  <c r="IO336" i="31"/>
  <c r="IR336" i="31"/>
  <c r="EP336" i="31"/>
  <c r="ET337" i="31" s="1"/>
  <c r="EL336" i="31"/>
  <c r="FC336" i="31"/>
  <c r="EO336" i="31"/>
  <c r="ES337" i="31" s="1"/>
  <c r="EV336" i="31"/>
  <c r="BP336" i="31"/>
  <c r="BQ336" i="31" s="1"/>
  <c r="JC336" i="31"/>
  <c r="JD336" i="31"/>
  <c r="GZ336" i="31"/>
  <c r="IE336" i="31" s="1"/>
  <c r="DJ336" i="31"/>
  <c r="DK336" i="31" s="1"/>
  <c r="DP336" i="31"/>
  <c r="HZ336" i="31"/>
  <c r="JA336" i="31"/>
  <c r="IY336" i="31"/>
  <c r="JY336" i="31"/>
  <c r="JW336" i="31"/>
  <c r="JP336" i="31" l="1"/>
  <c r="JQ336" i="31" s="1"/>
  <c r="BR336" i="31"/>
  <c r="BS336" i="31"/>
  <c r="KG336" i="31"/>
  <c r="FQ336" i="31"/>
  <c r="DX336" i="31"/>
  <c r="DM336" i="31"/>
  <c r="EC336" i="31"/>
  <c r="JX336" i="31"/>
  <c r="BT336" i="31" l="1"/>
  <c r="BU336" i="31"/>
  <c r="BV336" i="31" s="1"/>
  <c r="BW336" i="31" s="1"/>
  <c r="EX336" i="31"/>
  <c r="M336" i="31" s="1"/>
  <c r="FB336" i="31"/>
  <c r="DL336" i="31"/>
  <c r="L337" i="31"/>
  <c r="BY336" i="31" l="1"/>
  <c r="CA336" i="31" s="1"/>
  <c r="CC336" i="31" s="1"/>
  <c r="BX336" i="31"/>
  <c r="MJ336" i="31"/>
  <c r="NS336" i="31" s="1"/>
  <c r="MB336" i="31"/>
  <c r="NM336" i="31" s="1"/>
  <c r="NN336" i="31" s="1"/>
  <c r="BZ336" i="31" l="1"/>
  <c r="CD336" i="31"/>
  <c r="CE336" i="31"/>
  <c r="CB336" i="31"/>
  <c r="OV337" i="31"/>
  <c r="NW336" i="31"/>
  <c r="NX336" i="31" s="1"/>
  <c r="NT336" i="31"/>
  <c r="OU337" i="31"/>
  <c r="FR336" i="31" l="1"/>
  <c r="CX336" i="31"/>
  <c r="FV336" i="31"/>
  <c r="NU336" i="31"/>
  <c r="OF336" i="31"/>
  <c r="OS337" i="31" s="1"/>
  <c r="NY336" i="31"/>
  <c r="CF336" i="31"/>
  <c r="CG336" i="31"/>
  <c r="CH336" i="31" l="1"/>
  <c r="CI336" i="31" s="1"/>
  <c r="NV336" i="31"/>
  <c r="OB336" i="31"/>
  <c r="OT337" i="31" s="1"/>
  <c r="MY336" i="31"/>
  <c r="NZ336" i="31"/>
  <c r="OA336" i="31" s="1"/>
  <c r="MV337" i="31" s="1"/>
  <c r="OG337" i="31" s="1"/>
  <c r="CY337" i="31"/>
  <c r="CJ336" i="31" l="1"/>
  <c r="CO336" i="31" s="1"/>
  <c r="CK336" i="31"/>
  <c r="CL336" i="31" s="1"/>
  <c r="OO337" i="31"/>
  <c r="KT337" i="31" s="1"/>
  <c r="NF337" i="31"/>
  <c r="OM337" i="31"/>
  <c r="PA336" i="31"/>
  <c r="MZ337" i="31"/>
  <c r="OZ336" i="31"/>
  <c r="OJ336" i="31"/>
  <c r="OC336" i="31"/>
  <c r="OD337" i="31" s="1"/>
  <c r="OH337" i="31" s="1"/>
  <c r="OK337" i="31" s="1"/>
  <c r="OI336" i="31"/>
  <c r="CM336" i="31" l="1"/>
  <c r="CN336" i="31" s="1"/>
  <c r="CP336" i="31" s="1"/>
  <c r="MW337" i="31"/>
  <c r="OY337" i="31"/>
  <c r="MR337" i="31"/>
  <c r="OW336" i="31"/>
  <c r="OX337" i="31"/>
  <c r="KM337" i="31"/>
  <c r="KO338" i="31" s="1"/>
  <c r="KL337" i="31"/>
  <c r="KN338" i="31" s="1"/>
  <c r="MS337" i="31" l="1"/>
  <c r="KP338" i="31"/>
  <c r="KR337" i="31"/>
  <c r="MX337" i="31"/>
  <c r="KQ337" i="31"/>
  <c r="CQ336" i="31"/>
  <c r="FH336" i="31"/>
  <c r="FI336" i="31" s="1"/>
  <c r="FP336" i="31"/>
  <c r="FS336" i="31" s="1"/>
  <c r="FE336" i="31"/>
  <c r="FF336" i="31" s="1"/>
  <c r="FU336" i="31"/>
  <c r="FW336" i="31" s="1"/>
  <c r="JR336" i="31"/>
  <c r="JS336" i="31" s="1"/>
  <c r="HO336" i="31"/>
  <c r="FX336" i="31"/>
  <c r="FY336" i="31" s="1"/>
  <c r="GB336" i="31"/>
  <c r="GC336" i="31" s="1"/>
  <c r="FZ336" i="31"/>
  <c r="GA336" i="31" s="1"/>
  <c r="GO336" i="31"/>
  <c r="DQ336" i="31"/>
  <c r="DR336" i="31" s="1"/>
  <c r="KX336" i="31"/>
  <c r="GN336" i="31" s="1"/>
  <c r="KU336" i="31"/>
  <c r="CS336" i="31" l="1"/>
  <c r="CR336" i="31"/>
  <c r="CT336" i="31"/>
  <c r="IA336" i="31"/>
  <c r="IB336" i="31" s="1"/>
  <c r="HP336" i="31"/>
  <c r="IZ336" i="31"/>
  <c r="JU336" i="31"/>
  <c r="KE336" i="31"/>
  <c r="KC336" i="31"/>
  <c r="JT337" i="31"/>
  <c r="KS337" i="31"/>
  <c r="GQ336" i="31"/>
  <c r="KV336" i="31"/>
  <c r="DS336" i="31"/>
  <c r="AX336" i="31" s="1"/>
  <c r="AY337" i="31" s="1"/>
  <c r="FG337" i="31"/>
  <c r="HW336" i="31"/>
  <c r="HX337" i="31" s="1"/>
  <c r="HU336" i="31"/>
  <c r="HV337" i="31" s="1"/>
  <c r="FJ337" i="31"/>
  <c r="HY336" i="31"/>
  <c r="HA336" i="31"/>
  <c r="DY336" i="31"/>
  <c r="NA337" i="31"/>
  <c r="NB337" i="31"/>
  <c r="MO337" i="31"/>
  <c r="NP337" i="31"/>
  <c r="NQ337" i="31"/>
  <c r="MU337" i="31"/>
  <c r="NJ337" i="31"/>
  <c r="MT337" i="31"/>
  <c r="NH338" i="31"/>
  <c r="NI338" i="31" s="1"/>
  <c r="PE337" i="31"/>
  <c r="KW337" i="31" l="1"/>
  <c r="HQ336" i="31"/>
  <c r="HR337" i="31" s="1"/>
  <c r="NR337" i="31"/>
  <c r="NK337" i="31"/>
  <c r="NL337" i="31"/>
  <c r="NG338" i="31"/>
  <c r="OQ338" i="31"/>
  <c r="HT336" i="31"/>
  <c r="HS336" i="31"/>
  <c r="JG336" i="31" s="1"/>
  <c r="AZ336" i="31"/>
  <c r="EM336" i="31"/>
  <c r="EW336" i="31" s="1"/>
  <c r="EN336" i="31"/>
  <c r="IC336" i="31" l="1"/>
  <c r="ID336" i="31" s="1"/>
  <c r="IF336" i="31" s="1"/>
  <c r="KH336" i="31" s="1"/>
  <c r="JB336" i="31"/>
  <c r="OR338" i="31"/>
  <c r="BB337" i="31"/>
  <c r="EQ336" i="31"/>
  <c r="DW336" i="31"/>
  <c r="DU337" i="31" s="1"/>
  <c r="IW336" i="31"/>
  <c r="ER337" i="31"/>
  <c r="IU336" i="31"/>
  <c r="IV336" i="31" s="1"/>
  <c r="NC338" i="31"/>
  <c r="MQ338" i="31"/>
  <c r="KB336" i="31" l="1"/>
  <c r="IX336" i="31"/>
  <c r="KK336" i="31"/>
  <c r="EU337" i="31"/>
  <c r="DB336" i="31"/>
  <c r="DC336" i="31" s="1"/>
  <c r="DD337" i="31" s="1"/>
  <c r="DE338" i="31" s="1"/>
  <c r="IM336" i="31"/>
  <c r="DT336" i="31" s="1"/>
  <c r="DZ336" i="31" s="1"/>
  <c r="GM336" i="31"/>
  <c r="KI337" i="31"/>
  <c r="IN336" i="31"/>
  <c r="DF336" i="31"/>
  <c r="BC337" i="31"/>
  <c r="GT338" i="31" l="1"/>
  <c r="KJ337" i="31"/>
  <c r="GR336" i="31"/>
  <c r="BE337" i="31"/>
  <c r="BD337" i="31"/>
  <c r="FD336" i="31"/>
  <c r="GU336" i="31"/>
  <c r="GV336" i="31"/>
  <c r="BF337" i="31" l="1"/>
  <c r="BG337" i="31"/>
  <c r="GS336" i="31"/>
  <c r="IS336" i="31"/>
  <c r="FL337" i="31"/>
  <c r="FM337" i="31" l="1"/>
  <c r="BI337" i="31"/>
  <c r="BK337" i="31" s="1"/>
  <c r="BH337" i="31"/>
  <c r="JH336" i="31"/>
  <c r="JI336" i="31" s="1"/>
  <c r="IT336" i="31"/>
  <c r="GY336" i="31"/>
  <c r="GX336" i="31"/>
  <c r="GW336" i="31"/>
  <c r="HC336" i="31" s="1"/>
  <c r="FA337" i="31" s="1"/>
  <c r="HB337" i="31" s="1"/>
  <c r="BJ337" i="31" l="1"/>
  <c r="EY336" i="31"/>
  <c r="HM336" i="31"/>
  <c r="EG336" i="31"/>
  <c r="EH337" i="31" s="1"/>
  <c r="EI337" i="31" s="1"/>
  <c r="FK337" i="31" s="1"/>
  <c r="HK337" i="31"/>
  <c r="BL337" i="31"/>
  <c r="BM337" i="31"/>
  <c r="JK336" i="31"/>
  <c r="JN336" i="31" s="1"/>
  <c r="JV336" i="31" s="1"/>
  <c r="JF337" i="31" s="1"/>
  <c r="JM336" i="31" l="1"/>
  <c r="KD336" i="31" s="1"/>
  <c r="IL337" i="31" s="1"/>
  <c r="JY337" i="31"/>
  <c r="JW337" i="31"/>
  <c r="EZ336" i="31"/>
  <c r="DG336" i="31"/>
  <c r="DH336" i="31" s="1"/>
  <c r="DI337" i="31" s="1"/>
  <c r="JZ336" i="31"/>
  <c r="KF336" i="31" s="1"/>
  <c r="IQ337" i="31" s="1"/>
  <c r="JL336" i="31"/>
  <c r="JJ337" i="31" s="1"/>
  <c r="KA337" i="31"/>
  <c r="EE336" i="31"/>
  <c r="EF337" i="31" s="1"/>
  <c r="EJ336" i="31"/>
  <c r="EK337" i="31" s="1"/>
  <c r="ED336" i="31"/>
  <c r="EB337" i="31" s="1"/>
  <c r="BO337" i="31"/>
  <c r="BN337" i="31"/>
  <c r="IP337" i="31" l="1"/>
  <c r="EO337" i="31"/>
  <c r="ES338" i="31" s="1"/>
  <c r="EL337" i="31"/>
  <c r="EP337" i="31"/>
  <c r="ET338" i="31" s="1"/>
  <c r="FC337" i="31"/>
  <c r="EV337" i="31"/>
  <c r="IO337" i="31"/>
  <c r="JC337" i="31"/>
  <c r="JD337" i="31"/>
  <c r="HZ337" i="31"/>
  <c r="GZ337" i="31"/>
  <c r="IE337" i="31" s="1"/>
  <c r="DJ337" i="31"/>
  <c r="DK337" i="31" s="1"/>
  <c r="BP337" i="31"/>
  <c r="BQ337" i="31" s="1"/>
  <c r="DP337" i="31"/>
  <c r="IY337" i="31"/>
  <c r="IR337" i="31"/>
  <c r="JE337" i="31"/>
  <c r="JA337" i="31"/>
  <c r="JO337" i="31"/>
  <c r="BR337" i="31" l="1"/>
  <c r="BS337" i="31"/>
  <c r="BU337" i="31" s="1"/>
  <c r="KG337" i="31"/>
  <c r="EC337" i="31"/>
  <c r="JX337" i="31"/>
  <c r="JP337" i="31"/>
  <c r="JQ337" i="31" s="1"/>
  <c r="DX337" i="31"/>
  <c r="FQ337" i="31"/>
  <c r="DM337" i="31"/>
  <c r="BT337" i="31" l="1"/>
  <c r="BV337" i="31"/>
  <c r="BW337" i="31" s="1"/>
  <c r="DL337" i="31"/>
  <c r="L338" i="31"/>
  <c r="FB337" i="31"/>
  <c r="EX337" i="31"/>
  <c r="M337" i="31" s="1"/>
  <c r="BX337" i="31" l="1"/>
  <c r="BY337" i="31"/>
  <c r="MB337" i="31"/>
  <c r="MJ337" i="31"/>
  <c r="NS337" i="31" s="1"/>
  <c r="BZ337" i="31" l="1"/>
  <c r="NM337" i="31"/>
  <c r="NN337" i="31" s="1"/>
  <c r="CA337" i="31"/>
  <c r="CC337" i="31" s="1"/>
  <c r="CD337" i="31" s="1"/>
  <c r="NT337" i="31"/>
  <c r="OU338" i="31"/>
  <c r="CE337" i="31" l="1"/>
  <c r="CF337" i="31" s="1"/>
  <c r="NW337" i="31"/>
  <c r="OV338" i="31"/>
  <c r="CB337" i="31"/>
  <c r="NX337" i="31"/>
  <c r="CX337" i="31"/>
  <c r="FR337" i="31"/>
  <c r="FV337" i="31"/>
  <c r="NU337" i="31"/>
  <c r="CG337" i="31" l="1"/>
  <c r="CH337" i="31" s="1"/>
  <c r="CI337" i="31" s="1"/>
  <c r="MY337" i="31"/>
  <c r="NZ337" i="31"/>
  <c r="CY338" i="31"/>
  <c r="NV337" i="31"/>
  <c r="NY337" i="31"/>
  <c r="OF337" i="31"/>
  <c r="OS338" i="31" s="1"/>
  <c r="CK337" i="31" l="1"/>
  <c r="CM337" i="31" s="1"/>
  <c r="CN337" i="31" s="1"/>
  <c r="CJ337" i="31"/>
  <c r="CO337" i="31" s="1"/>
  <c r="OB337" i="31"/>
  <c r="OT338" i="31" s="1"/>
  <c r="OM338" i="31"/>
  <c r="OO338" i="31"/>
  <c r="NF338" i="31"/>
  <c r="OA337" i="31"/>
  <c r="MV338" i="31" s="1"/>
  <c r="OI337" i="31"/>
  <c r="MZ338" i="31"/>
  <c r="OZ337" i="31"/>
  <c r="CL337" i="31" l="1"/>
  <c r="CP337" i="31" s="1"/>
  <c r="PA337" i="31"/>
  <c r="OW337" i="31"/>
  <c r="MR338" i="31"/>
  <c r="OX338" i="31"/>
  <c r="KT338" i="31"/>
  <c r="OG338" i="31"/>
  <c r="OC337" i="31"/>
  <c r="OD338" i="31" s="1"/>
  <c r="OH338" i="31" s="1"/>
  <c r="OJ337" i="31"/>
  <c r="OK338" i="31" l="1"/>
  <c r="MS338" i="31"/>
  <c r="KM338" i="31"/>
  <c r="KO339" i="31" s="1"/>
  <c r="KL338" i="31"/>
  <c r="KN339" i="31" s="1"/>
  <c r="FE337" i="31"/>
  <c r="FF337" i="31" s="1"/>
  <c r="FP337" i="31"/>
  <c r="FS337" i="31" s="1"/>
  <c r="GO337" i="31"/>
  <c r="DQ337" i="31"/>
  <c r="DR337" i="31" s="1"/>
  <c r="GB337" i="31"/>
  <c r="GC337" i="31" s="1"/>
  <c r="JR337" i="31"/>
  <c r="JS337" i="31" s="1"/>
  <c r="HO337" i="31"/>
  <c r="CQ337" i="31"/>
  <c r="FU337" i="31"/>
  <c r="FW337" i="31" s="1"/>
  <c r="FX337" i="31"/>
  <c r="FY337" i="31" s="1"/>
  <c r="FH337" i="31"/>
  <c r="FI337" i="31" s="1"/>
  <c r="FZ337" i="31"/>
  <c r="GA337" i="31" s="1"/>
  <c r="KX337" i="31"/>
  <c r="KU337" i="31"/>
  <c r="MW338" i="31"/>
  <c r="OY338" i="31"/>
  <c r="GN337" i="31" l="1"/>
  <c r="GQ337" i="31" s="1"/>
  <c r="KQ338" i="31"/>
  <c r="CR337" i="31"/>
  <c r="CT337" i="31"/>
  <c r="CS337" i="31"/>
  <c r="MX338" i="31"/>
  <c r="KE337" i="31"/>
  <c r="JU337" i="31"/>
  <c r="KC337" i="31"/>
  <c r="JT338" i="31"/>
  <c r="IA337" i="31"/>
  <c r="IB337" i="31" s="1"/>
  <c r="HP337" i="31"/>
  <c r="IZ337" i="31"/>
  <c r="KP339" i="31"/>
  <c r="KR338" i="31"/>
  <c r="DS337" i="31"/>
  <c r="AX337" i="31" s="1"/>
  <c r="AY338" i="31" s="1"/>
  <c r="HU337" i="31"/>
  <c r="HV338" i="31" s="1"/>
  <c r="FJ338" i="31"/>
  <c r="HW337" i="31"/>
  <c r="HX338" i="31" s="1"/>
  <c r="FG338" i="31"/>
  <c r="HA337" i="31"/>
  <c r="HY337" i="31"/>
  <c r="DY337" i="31"/>
  <c r="MU338" i="31"/>
  <c r="NH339" i="31"/>
  <c r="NI339" i="31" s="1"/>
  <c r="MT338" i="31"/>
  <c r="NJ338" i="31"/>
  <c r="NQ338" i="31"/>
  <c r="MO338" i="31"/>
  <c r="NP338" i="31"/>
  <c r="PE338" i="31"/>
  <c r="KV337" i="31" l="1"/>
  <c r="KW338" i="31" s="1"/>
  <c r="HQ337" i="31"/>
  <c r="HR338" i="31" s="1"/>
  <c r="NR338" i="31"/>
  <c r="HT337" i="31"/>
  <c r="HS337" i="31"/>
  <c r="JG337" i="31" s="1"/>
  <c r="AZ337" i="31"/>
  <c r="EN337" i="31"/>
  <c r="EM337" i="31"/>
  <c r="EW337" i="31" s="1"/>
  <c r="NK338" i="31"/>
  <c r="NL338" i="31"/>
  <c r="NG339" i="31"/>
  <c r="OQ339" i="31"/>
  <c r="KS338" i="31"/>
  <c r="NB338" i="31"/>
  <c r="NA338" i="31"/>
  <c r="BB338" i="31" l="1"/>
  <c r="EQ337" i="31"/>
  <c r="DW337" i="31"/>
  <c r="DU338" i="31" s="1"/>
  <c r="IW337" i="31"/>
  <c r="ER338" i="31"/>
  <c r="IU337" i="31"/>
  <c r="IV337" i="31" s="1"/>
  <c r="OR339" i="31"/>
  <c r="NC339" i="31"/>
  <c r="MQ339" i="31"/>
  <c r="IC337" i="31"/>
  <c r="ID337" i="31" s="1"/>
  <c r="IF337" i="31" s="1"/>
  <c r="KH337" i="31" s="1"/>
  <c r="JB337" i="31"/>
  <c r="IM337" i="31" l="1"/>
  <c r="GM337" i="31"/>
  <c r="DB337" i="31"/>
  <c r="DC337" i="31" s="1"/>
  <c r="DD338" i="31" s="1"/>
  <c r="DE339" i="31" s="1"/>
  <c r="KI338" i="31"/>
  <c r="IN337" i="31"/>
  <c r="DF337" i="31"/>
  <c r="KB337" i="31"/>
  <c r="IX337" i="31"/>
  <c r="KK337" i="31"/>
  <c r="EU338" i="31"/>
  <c r="BC338" i="31"/>
  <c r="DT337" i="31" l="1"/>
  <c r="DZ337" i="31" s="1"/>
  <c r="GT339" i="31"/>
  <c r="FD337" i="31"/>
  <c r="GU337" i="31"/>
  <c r="GV337" i="31"/>
  <c r="GR337" i="31"/>
  <c r="KJ338" i="31"/>
  <c r="BE338" i="31"/>
  <c r="BD338" i="31"/>
  <c r="GS337" i="31" l="1"/>
  <c r="IS337" i="31"/>
  <c r="FL338" i="31"/>
  <c r="BG338" i="31"/>
  <c r="BF338" i="31"/>
  <c r="BH338" i="31" l="1"/>
  <c r="BI338" i="31"/>
  <c r="BK338" i="31" s="1"/>
  <c r="FM338" i="31"/>
  <c r="JH337" i="31"/>
  <c r="JI337" i="31" s="1"/>
  <c r="IT337" i="31"/>
  <c r="GY337" i="31"/>
  <c r="GW337" i="31"/>
  <c r="HC337" i="31" s="1"/>
  <c r="FA338" i="31" s="1"/>
  <c r="HB338" i="31" s="1"/>
  <c r="GX337" i="31"/>
  <c r="HM337" i="31" l="1"/>
  <c r="EG337" i="31"/>
  <c r="EH338" i="31" s="1"/>
  <c r="EI338" i="31" s="1"/>
  <c r="FK338" i="31" s="1"/>
  <c r="EY337" i="31"/>
  <c r="HK338" i="31"/>
  <c r="BL338" i="31"/>
  <c r="BM338" i="31"/>
  <c r="JK337" i="31"/>
  <c r="JZ337" i="31" s="1"/>
  <c r="KF337" i="31" s="1"/>
  <c r="IQ338" i="31" s="1"/>
  <c r="BJ338" i="31"/>
  <c r="JM337" i="31" l="1"/>
  <c r="KD337" i="31" s="1"/>
  <c r="IL338" i="31" s="1"/>
  <c r="IR338" i="31" s="1"/>
  <c r="JN337" i="31"/>
  <c r="JV337" i="31" s="1"/>
  <c r="JF338" i="31" s="1"/>
  <c r="BN338" i="31"/>
  <c r="BO338" i="31"/>
  <c r="EZ337" i="31"/>
  <c r="DG337" i="31"/>
  <c r="DH337" i="31" s="1"/>
  <c r="DI338" i="31" s="1"/>
  <c r="JL337" i="31"/>
  <c r="JJ338" i="31" s="1"/>
  <c r="KA338" i="31"/>
  <c r="EJ337" i="31"/>
  <c r="EK338" i="31" s="1"/>
  <c r="EE337" i="31"/>
  <c r="EF338" i="31" s="1"/>
  <c r="ED337" i="31"/>
  <c r="EB338" i="31" s="1"/>
  <c r="JA338" i="31" s="1"/>
  <c r="JE338" i="31" l="1"/>
  <c r="JO338" i="31"/>
  <c r="JY338" i="31"/>
  <c r="JW338" i="31"/>
  <c r="BP338" i="31"/>
  <c r="BQ338" i="31" s="1"/>
  <c r="JC338" i="31"/>
  <c r="JD338" i="31"/>
  <c r="GZ338" i="31"/>
  <c r="IE338" i="31" s="1"/>
  <c r="DJ338" i="31"/>
  <c r="DK338" i="31" s="1"/>
  <c r="IY338" i="31"/>
  <c r="IO338" i="31"/>
  <c r="DP338" i="31"/>
  <c r="FC338" i="31"/>
  <c r="EL338" i="31"/>
  <c r="EO338" i="31"/>
  <c r="ES339" i="31" s="1"/>
  <c r="EP338" i="31"/>
  <c r="ET339" i="31" s="1"/>
  <c r="EV338" i="31"/>
  <c r="HZ338" i="31"/>
  <c r="IP338" i="31"/>
  <c r="BR338" i="31" l="1"/>
  <c r="BS338" i="31"/>
  <c r="BT338" i="31" s="1"/>
  <c r="KG338" i="31"/>
  <c r="EC338" i="31"/>
  <c r="DX338" i="31"/>
  <c r="DM338" i="31"/>
  <c r="FQ338" i="31"/>
  <c r="JP338" i="31"/>
  <c r="JQ338" i="31" s="1"/>
  <c r="JX338" i="31"/>
  <c r="BU338" i="31" l="1"/>
  <c r="BV338" i="31" s="1"/>
  <c r="BW338" i="31" s="1"/>
  <c r="EX338" i="31"/>
  <c r="M338" i="31" s="1"/>
  <c r="FB338" i="31"/>
  <c r="DL338" i="31"/>
  <c r="L339" i="31"/>
  <c r="BY338" i="31" l="1"/>
  <c r="CA338" i="31" s="1"/>
  <c r="CC338" i="31" s="1"/>
  <c r="BX338" i="31"/>
  <c r="MB338" i="31"/>
  <c r="MJ338" i="31"/>
  <c r="NS338" i="31" s="1"/>
  <c r="NM338" i="31" l="1"/>
  <c r="NN338" i="31" s="1"/>
  <c r="BZ338" i="31"/>
  <c r="NT338" i="31"/>
  <c r="OU339" i="31"/>
  <c r="CD338" i="31"/>
  <c r="CE338" i="31"/>
  <c r="CB338" i="31"/>
  <c r="NW338" i="31" l="1"/>
  <c r="NX338" i="31" s="1"/>
  <c r="OV339" i="31"/>
  <c r="CF338" i="31"/>
  <c r="CG338" i="31"/>
  <c r="CX338" i="31"/>
  <c r="FR338" i="31"/>
  <c r="FV338" i="31"/>
  <c r="NU338" i="31"/>
  <c r="NV338" i="31" l="1"/>
  <c r="NY338" i="31"/>
  <c r="OF338" i="31"/>
  <c r="OS339" i="31" s="1"/>
  <c r="CH338" i="31"/>
  <c r="CI338" i="31" s="1"/>
  <c r="MY338" i="31"/>
  <c r="NZ338" i="31"/>
  <c r="CY339" i="31"/>
  <c r="CJ338" i="31" l="1"/>
  <c r="CO338" i="31" s="1"/>
  <c r="CK338" i="31"/>
  <c r="CL338" i="31" s="1"/>
  <c r="OA338" i="31"/>
  <c r="MV339" i="31" s="1"/>
  <c r="OG339" i="31" s="1"/>
  <c r="MZ339" i="31"/>
  <c r="OZ338" i="31"/>
  <c r="OI338" i="31"/>
  <c r="NF339" i="31"/>
  <c r="OM339" i="31"/>
  <c r="OO339" i="31"/>
  <c r="OB338" i="31"/>
  <c r="OT339" i="31" s="1"/>
  <c r="CM338" i="31" l="1"/>
  <c r="CN338" i="31" s="1"/>
  <c r="CP338" i="31" s="1"/>
  <c r="KT339" i="31"/>
  <c r="KM339" i="31" s="1"/>
  <c r="KO340" i="31" s="1"/>
  <c r="PA338" i="31"/>
  <c r="OW338" i="31"/>
  <c r="OX339" i="31"/>
  <c r="MR339" i="31"/>
  <c r="OJ338" i="31"/>
  <c r="OC338" i="31"/>
  <c r="OD339" i="31" s="1"/>
  <c r="OH339" i="31" s="1"/>
  <c r="OK339" i="31" s="1"/>
  <c r="KL339" i="31" l="1"/>
  <c r="KN340" i="31" s="1"/>
  <c r="KQ339" i="31" s="1"/>
  <c r="MW339" i="31"/>
  <c r="OY339" i="31"/>
  <c r="MS339" i="31"/>
  <c r="KR339" i="31"/>
  <c r="JR338" i="31"/>
  <c r="JS338" i="31" s="1"/>
  <c r="HO338" i="31"/>
  <c r="CQ338" i="31"/>
  <c r="FP338" i="31"/>
  <c r="FS338" i="31" s="1"/>
  <c r="FH338" i="31"/>
  <c r="FI338" i="31" s="1"/>
  <c r="FU338" i="31"/>
  <c r="FW338" i="31" s="1"/>
  <c r="FX338" i="31"/>
  <c r="FY338" i="31" s="1"/>
  <c r="FZ338" i="31"/>
  <c r="GA338" i="31" s="1"/>
  <c r="GB338" i="31"/>
  <c r="GC338" i="31" s="1"/>
  <c r="GO338" i="31"/>
  <c r="FE338" i="31"/>
  <c r="FF338" i="31" s="1"/>
  <c r="DQ338" i="31"/>
  <c r="DR338" i="31" s="1"/>
  <c r="KX338" i="31"/>
  <c r="KU338" i="31"/>
  <c r="KP340" i="31" l="1"/>
  <c r="GN338" i="31"/>
  <c r="GQ338" i="31" s="1"/>
  <c r="KS339" i="31"/>
  <c r="DS338" i="31"/>
  <c r="AX338" i="31" s="1"/>
  <c r="AY339" i="31" s="1"/>
  <c r="CT338" i="31"/>
  <c r="CR338" i="31"/>
  <c r="CS338" i="31"/>
  <c r="HU338" i="31"/>
  <c r="HV339" i="31" s="1"/>
  <c r="FJ339" i="31"/>
  <c r="HA338" i="31"/>
  <c r="DY338" i="31"/>
  <c r="HY338" i="31"/>
  <c r="KE338" i="31"/>
  <c r="KC338" i="31"/>
  <c r="JU338" i="31"/>
  <c r="JT339" i="31"/>
  <c r="NJ339" i="31"/>
  <c r="NP339" i="31"/>
  <c r="MT339" i="31"/>
  <c r="NQ339" i="31"/>
  <c r="MU339" i="31"/>
  <c r="MO339" i="31"/>
  <c r="NH340" i="31"/>
  <c r="NI340" i="31" s="1"/>
  <c r="PE339" i="31"/>
  <c r="HW338" i="31"/>
  <c r="HX339" i="31" s="1"/>
  <c r="FG339" i="31"/>
  <c r="HP338" i="31"/>
  <c r="IA338" i="31"/>
  <c r="IB338" i="31" s="1"/>
  <c r="IZ338" i="31"/>
  <c r="MX339" i="31"/>
  <c r="KV338" i="31" l="1"/>
  <c r="KW339" i="31" s="1"/>
  <c r="HQ338" i="31"/>
  <c r="HR339" i="31" s="1"/>
  <c r="NR339" i="31"/>
  <c r="HS338" i="31"/>
  <c r="JG338" i="31" s="1"/>
  <c r="HT338" i="31"/>
  <c r="NL339" i="31"/>
  <c r="NK339" i="31"/>
  <c r="NG340" i="31"/>
  <c r="OQ340" i="31"/>
  <c r="NB339" i="31"/>
  <c r="NA339" i="31"/>
  <c r="EN338" i="31"/>
  <c r="AZ338" i="31"/>
  <c r="EM338" i="31"/>
  <c r="EW338" i="31" s="1"/>
  <c r="OR340" i="31" l="1"/>
  <c r="BB339" i="31"/>
  <c r="EQ338" i="31"/>
  <c r="DW338" i="31"/>
  <c r="DU339" i="31" s="1"/>
  <c r="IW338" i="31"/>
  <c r="ER339" i="31"/>
  <c r="IU338" i="31"/>
  <c r="IV338" i="31" s="1"/>
  <c r="IC338" i="31"/>
  <c r="ID338" i="31" s="1"/>
  <c r="IF338" i="31" s="1"/>
  <c r="KH338" i="31" s="1"/>
  <c r="JB338" i="31"/>
  <c r="NC340" i="31"/>
  <c r="MQ340" i="31"/>
  <c r="IM338" i="31" l="1"/>
  <c r="DB338" i="31"/>
  <c r="DC338" i="31" s="1"/>
  <c r="DD339" i="31" s="1"/>
  <c r="DE340" i="31" s="1"/>
  <c r="GM338" i="31"/>
  <c r="KI339" i="31"/>
  <c r="IN338" i="31"/>
  <c r="DF338" i="31"/>
  <c r="KK338" i="31"/>
  <c r="KB338" i="31"/>
  <c r="IX338" i="31"/>
  <c r="BC339" i="31"/>
  <c r="EU339" i="31"/>
  <c r="GT340" i="31" l="1"/>
  <c r="DT338" i="31"/>
  <c r="DZ338" i="31" s="1"/>
  <c r="BD339" i="31"/>
  <c r="BE339" i="31"/>
  <c r="KJ339" i="31"/>
  <c r="GR338" i="31"/>
  <c r="GU338" i="31"/>
  <c r="GV338" i="31"/>
  <c r="FD338" i="31"/>
  <c r="GS338" i="31" l="1"/>
  <c r="IS338" i="31"/>
  <c r="FL339" i="31"/>
  <c r="BG339" i="31"/>
  <c r="BF339" i="31"/>
  <c r="BI339" i="31" l="1"/>
  <c r="BK339" i="31" s="1"/>
  <c r="BH339" i="31"/>
  <c r="FM339" i="31"/>
  <c r="JH338" i="31"/>
  <c r="JI338" i="31" s="1"/>
  <c r="IT338" i="31"/>
  <c r="GX338" i="31"/>
  <c r="GW338" i="31"/>
  <c r="HC338" i="31" s="1"/>
  <c r="FA339" i="31" s="1"/>
  <c r="HB339" i="31" s="1"/>
  <c r="GY338" i="31"/>
  <c r="BJ339" i="31" l="1"/>
  <c r="EG338" i="31"/>
  <c r="EH339" i="31" s="1"/>
  <c r="EI339" i="31" s="1"/>
  <c r="FK339" i="31" s="1"/>
  <c r="EY338" i="31"/>
  <c r="HM338" i="31"/>
  <c r="HK339" i="31"/>
  <c r="JK338" i="31"/>
  <c r="JZ338" i="31" s="1"/>
  <c r="KF338" i="31" s="1"/>
  <c r="IQ339" i="31" s="1"/>
  <c r="BL339" i="31"/>
  <c r="BM339" i="31"/>
  <c r="EE338" i="31" l="1"/>
  <c r="EF339" i="31" s="1"/>
  <c r="EJ338" i="31"/>
  <c r="EK339" i="31" s="1"/>
  <c r="ED338" i="31"/>
  <c r="EB339" i="31" s="1"/>
  <c r="IY339" i="31" s="1"/>
  <c r="JL338" i="31"/>
  <c r="JJ339" i="31" s="1"/>
  <c r="KA339" i="31"/>
  <c r="BN339" i="31"/>
  <c r="BO339" i="31"/>
  <c r="EZ338" i="31"/>
  <c r="DG338" i="31"/>
  <c r="DH338" i="31" s="1"/>
  <c r="DI339" i="31" s="1"/>
  <c r="JM338" i="31"/>
  <c r="KD338" i="31" s="1"/>
  <c r="IL339" i="31" s="1"/>
  <c r="JN338" i="31"/>
  <c r="JV338" i="31" s="1"/>
  <c r="JF339" i="31" s="1"/>
  <c r="JY339" i="31" l="1"/>
  <c r="JW339" i="31"/>
  <c r="DJ339" i="31"/>
  <c r="DK339" i="31" s="1"/>
  <c r="GZ339" i="31"/>
  <c r="IE339" i="31" s="1"/>
  <c r="IP339" i="31"/>
  <c r="IO339" i="31"/>
  <c r="JP339" i="31" s="1"/>
  <c r="JQ339" i="31" s="1"/>
  <c r="IR339" i="31"/>
  <c r="BP339" i="31"/>
  <c r="BQ339" i="31" s="1"/>
  <c r="JE339" i="31"/>
  <c r="HZ339" i="31"/>
  <c r="JO339" i="31"/>
  <c r="DP339" i="31"/>
  <c r="EP339" i="31"/>
  <c r="ET340" i="31" s="1"/>
  <c r="EL339" i="31"/>
  <c r="EO339" i="31"/>
  <c r="ES340" i="31" s="1"/>
  <c r="FC339" i="31"/>
  <c r="EV339" i="31"/>
  <c r="JA339" i="31"/>
  <c r="JC339" i="31"/>
  <c r="JD339" i="31"/>
  <c r="BR339" i="31" l="1"/>
  <c r="BS339" i="31"/>
  <c r="BT339" i="31" s="1"/>
  <c r="JX339" i="31"/>
  <c r="DM339" i="31"/>
  <c r="FQ339" i="31"/>
  <c r="DX339" i="31"/>
  <c r="EC339" i="31"/>
  <c r="KG339" i="31"/>
  <c r="BU339" i="31" l="1"/>
  <c r="BV339" i="31" s="1"/>
  <c r="BW339" i="31" s="1"/>
  <c r="DL339" i="31"/>
  <c r="L340" i="31"/>
  <c r="EX339" i="31"/>
  <c r="M339" i="31" s="1"/>
  <c r="FB339" i="31"/>
  <c r="BX339" i="31" l="1"/>
  <c r="BY339" i="31"/>
  <c r="MJ339" i="31"/>
  <c r="NS339" i="31" s="1"/>
  <c r="MB339" i="31"/>
  <c r="BZ339" i="31" l="1"/>
  <c r="NM339" i="31"/>
  <c r="NN339" i="31" s="1"/>
  <c r="CA339" i="31"/>
  <c r="NT339" i="31"/>
  <c r="OU340" i="31"/>
  <c r="OV340" i="31" l="1"/>
  <c r="NW339" i="31"/>
  <c r="NX339" i="31" s="1"/>
  <c r="OF339" i="31" s="1"/>
  <c r="OS340" i="31" s="1"/>
  <c r="CC339" i="31"/>
  <c r="CB339" i="31"/>
  <c r="FV339" i="31"/>
  <c r="FR339" i="31"/>
  <c r="CX339" i="31"/>
  <c r="NU339" i="31"/>
  <c r="NY339" i="31" l="1"/>
  <c r="OB339" i="31" s="1"/>
  <c r="OT340" i="31" s="1"/>
  <c r="CD339" i="31"/>
  <c r="CE339" i="31"/>
  <c r="MY339" i="31"/>
  <c r="NZ339" i="31"/>
  <c r="CY340" i="31"/>
  <c r="NV339" i="31"/>
  <c r="OA339" i="31" l="1"/>
  <c r="MV340" i="31" s="1"/>
  <c r="OG340" i="31" s="1"/>
  <c r="CG339" i="31"/>
  <c r="CF339" i="31"/>
  <c r="OC339" i="31"/>
  <c r="OD340" i="31" s="1"/>
  <c r="OH340" i="31" s="1"/>
  <c r="OJ339" i="31"/>
  <c r="PA339" i="31"/>
  <c r="OO340" i="31"/>
  <c r="OM340" i="31"/>
  <c r="NF340" i="31"/>
  <c r="MZ340" i="31"/>
  <c r="OZ339" i="31"/>
  <c r="OI339" i="31"/>
  <c r="KT340" i="31" l="1"/>
  <c r="KL340" i="31" s="1"/>
  <c r="KN341" i="31" s="1"/>
  <c r="OK340" i="31"/>
  <c r="CH339" i="31"/>
  <c r="CI339" i="31" s="1"/>
  <c r="OX340" i="31"/>
  <c r="MR340" i="31"/>
  <c r="OW339" i="31"/>
  <c r="OY340" i="31"/>
  <c r="MW340" i="31"/>
  <c r="KM340" i="31" l="1"/>
  <c r="KO341" i="31" s="1"/>
  <c r="KR340" i="31" s="1"/>
  <c r="CJ339" i="31"/>
  <c r="CO339" i="31" s="1"/>
  <c r="CK339" i="31"/>
  <c r="MX340" i="31"/>
  <c r="MS340" i="31"/>
  <c r="KQ340" i="31"/>
  <c r="KP341" i="31" l="1"/>
  <c r="CL339" i="31"/>
  <c r="CM339" i="31"/>
  <c r="CN339" i="31" s="1"/>
  <c r="KS340" i="31"/>
  <c r="NA340" i="31"/>
  <c r="NB340" i="31"/>
  <c r="NJ340" i="31"/>
  <c r="NP340" i="31"/>
  <c r="MT340" i="31"/>
  <c r="NQ340" i="31"/>
  <c r="MU340" i="31"/>
  <c r="MO340" i="31"/>
  <c r="NH341" i="31"/>
  <c r="NI341" i="31" s="1"/>
  <c r="PE340" i="31"/>
  <c r="NR340" i="31" l="1"/>
  <c r="CP339" i="31"/>
  <c r="NK340" i="31"/>
  <c r="NL340" i="31"/>
  <c r="NG341" i="31"/>
  <c r="OQ341" i="31"/>
  <c r="FZ339" i="31" l="1"/>
  <c r="GA339" i="31" s="1"/>
  <c r="FE339" i="31"/>
  <c r="FF339" i="31" s="1"/>
  <c r="FP339" i="31"/>
  <c r="FS339" i="31" s="1"/>
  <c r="GB339" i="31"/>
  <c r="GC339" i="31" s="1"/>
  <c r="GO339" i="31"/>
  <c r="HO339" i="31"/>
  <c r="DQ339" i="31"/>
  <c r="DR339" i="31" s="1"/>
  <c r="DS339" i="31" s="1"/>
  <c r="AX339" i="31" s="1"/>
  <c r="AY340" i="31" s="1"/>
  <c r="CQ339" i="31"/>
  <c r="KX339" i="31"/>
  <c r="FX339" i="31"/>
  <c r="FY339" i="31" s="1"/>
  <c r="FH339" i="31"/>
  <c r="FI339" i="31" s="1"/>
  <c r="KU339" i="31"/>
  <c r="JR339" i="31"/>
  <c r="JS339" i="31" s="1"/>
  <c r="FU339" i="31"/>
  <c r="FW339" i="31" s="1"/>
  <c r="OR341" i="31"/>
  <c r="NC341" i="31"/>
  <c r="MQ341" i="31"/>
  <c r="GN339" i="31" l="1"/>
  <c r="GQ339" i="31" s="1"/>
  <c r="CS339" i="31"/>
  <c r="CT339" i="31"/>
  <c r="CR339" i="31"/>
  <c r="IA339" i="31"/>
  <c r="IB339" i="31" s="1"/>
  <c r="HP339" i="31"/>
  <c r="IZ339" i="31"/>
  <c r="KE339" i="31"/>
  <c r="JT340" i="31"/>
  <c r="JU339" i="31"/>
  <c r="KC339" i="31"/>
  <c r="FJ340" i="31"/>
  <c r="HU339" i="31"/>
  <c r="HV340" i="31" s="1"/>
  <c r="HY339" i="31"/>
  <c r="HA339" i="31"/>
  <c r="DY339" i="31"/>
  <c r="AZ339" i="31"/>
  <c r="EM339" i="31"/>
  <c r="EW339" i="31" s="1"/>
  <c r="EN339" i="31"/>
  <c r="FG340" i="31"/>
  <c r="HW339" i="31"/>
  <c r="HX340" i="31" s="1"/>
  <c r="KV339" i="31" l="1"/>
  <c r="KW340" i="31" s="1"/>
  <c r="HQ339" i="31"/>
  <c r="HR340" i="31" s="1"/>
  <c r="HT339" i="31"/>
  <c r="HS339" i="31"/>
  <c r="JG339" i="31" s="1"/>
  <c r="ER340" i="31"/>
  <c r="EU340" i="31" s="1"/>
  <c r="IU339" i="31"/>
  <c r="IV339" i="31" s="1"/>
  <c r="BB340" i="31"/>
  <c r="BC340" i="31" s="1"/>
  <c r="BD340" i="31" s="1"/>
  <c r="IW339" i="31"/>
  <c r="DW339" i="31"/>
  <c r="DU340" i="31" s="1"/>
  <c r="EQ339" i="31"/>
  <c r="BE340" i="31" l="1"/>
  <c r="BF340" i="31" s="1"/>
  <c r="KB339" i="31"/>
  <c r="IX339" i="31"/>
  <c r="KK339" i="31"/>
  <c r="JB339" i="31"/>
  <c r="IC339" i="31"/>
  <c r="ID339" i="31" s="1"/>
  <c r="IF339" i="31" s="1"/>
  <c r="KH339" i="31" s="1"/>
  <c r="BG340" i="31" l="1"/>
  <c r="BI340" i="31" s="1"/>
  <c r="BK340" i="31" s="1"/>
  <c r="DF339" i="31"/>
  <c r="IN339" i="31"/>
  <c r="GM339" i="31"/>
  <c r="IM339" i="31"/>
  <c r="DB339" i="31"/>
  <c r="DC339" i="31" s="1"/>
  <c r="DD340" i="31" s="1"/>
  <c r="DE341" i="31" s="1"/>
  <c r="KI340" i="31"/>
  <c r="KJ340" i="31" s="1"/>
  <c r="BH340" i="31" l="1"/>
  <c r="DT339" i="31"/>
  <c r="DZ339" i="31" s="1"/>
  <c r="GT341" i="31"/>
  <c r="GR339" i="31"/>
  <c r="FD339" i="31"/>
  <c r="GV339" i="31"/>
  <c r="GU339" i="31"/>
  <c r="BL340" i="31"/>
  <c r="BM340" i="31"/>
  <c r="BJ340" i="31"/>
  <c r="GS339" i="31" l="1"/>
  <c r="FL340" i="31"/>
  <c r="FM340" i="31" s="1"/>
  <c r="IS339" i="31"/>
  <c r="BO340" i="31"/>
  <c r="BN340" i="31"/>
  <c r="JH339" i="31" l="1"/>
  <c r="JI339" i="31" s="1"/>
  <c r="IT339" i="31"/>
  <c r="GW339" i="31"/>
  <c r="HC339" i="31" s="1"/>
  <c r="FA340" i="31" s="1"/>
  <c r="HB340" i="31" s="1"/>
  <c r="GX339" i="31"/>
  <c r="GY339" i="31"/>
  <c r="BP340" i="31"/>
  <c r="BQ340" i="31" s="1"/>
  <c r="BS340" i="31" l="1"/>
  <c r="BU340" i="31" s="1"/>
  <c r="BR340" i="31"/>
  <c r="EY339" i="31"/>
  <c r="HK340" i="31"/>
  <c r="EG339" i="31"/>
  <c r="EH340" i="31" s="1"/>
  <c r="EI340" i="31" s="1"/>
  <c r="FK340" i="31" s="1"/>
  <c r="HM339" i="31"/>
  <c r="JK339" i="31"/>
  <c r="JM339" i="31" s="1"/>
  <c r="KD339" i="31" s="1"/>
  <c r="IL340" i="31" s="1"/>
  <c r="BT340" i="31" l="1"/>
  <c r="JN339" i="31"/>
  <c r="JV339" i="31" s="1"/>
  <c r="JF340" i="31" s="1"/>
  <c r="JW340" i="31" s="1"/>
  <c r="JZ339" i="31"/>
  <c r="KF339" i="31" s="1"/>
  <c r="IQ340" i="31" s="1"/>
  <c r="JL339" i="31"/>
  <c r="JJ340" i="31" s="1"/>
  <c r="KA340" i="31"/>
  <c r="HZ340" i="31" s="1"/>
  <c r="EJ339" i="31"/>
  <c r="EK340" i="31" s="1"/>
  <c r="ED339" i="31"/>
  <c r="EB340" i="31" s="1"/>
  <c r="EE339" i="31"/>
  <c r="EF340" i="31" s="1"/>
  <c r="IO340" i="31" s="1"/>
  <c r="DG339" i="31"/>
  <c r="DH339" i="31" s="1"/>
  <c r="DI340" i="31" s="1"/>
  <c r="EZ339" i="31"/>
  <c r="BV340" i="31"/>
  <c r="BW340" i="31" s="1"/>
  <c r="JY340" i="31" l="1"/>
  <c r="EO340" i="31"/>
  <c r="ES341" i="31" s="1"/>
  <c r="EL340" i="31"/>
  <c r="FC340" i="31"/>
  <c r="EP340" i="31"/>
  <c r="ET341" i="31" s="1"/>
  <c r="EV340" i="31"/>
  <c r="JD340" i="31"/>
  <c r="JC340" i="31"/>
  <c r="JA340" i="31"/>
  <c r="JO340" i="31"/>
  <c r="JE340" i="31"/>
  <c r="IR340" i="31"/>
  <c r="IY340" i="31"/>
  <c r="JP340" i="31" s="1"/>
  <c r="JQ340" i="31" s="1"/>
  <c r="GZ340" i="31"/>
  <c r="IE340" i="31" s="1"/>
  <c r="DJ340" i="31"/>
  <c r="DK340" i="31" s="1"/>
  <c r="DP340" i="31"/>
  <c r="IP340" i="31"/>
  <c r="BX340" i="31"/>
  <c r="BY340" i="31"/>
  <c r="JX340" i="31" l="1"/>
  <c r="BZ340" i="31"/>
  <c r="CA340" i="31"/>
  <c r="CC340" i="31" s="1"/>
  <c r="CD340" i="31" s="1"/>
  <c r="KG340" i="31"/>
  <c r="EC340" i="31"/>
  <c r="DX340" i="31"/>
  <c r="FQ340" i="31"/>
  <c r="DM340" i="31"/>
  <c r="CE340" i="31" l="1"/>
  <c r="CG340" i="31" s="1"/>
  <c r="CB340" i="31"/>
  <c r="DL340" i="31"/>
  <c r="L341" i="31"/>
  <c r="EX340" i="31"/>
  <c r="M340" i="31" s="1"/>
  <c r="FB340" i="31"/>
  <c r="CF340" i="31" l="1"/>
  <c r="MB340" i="31"/>
  <c r="MJ340" i="31"/>
  <c r="NS340" i="31" s="1"/>
  <c r="CH340" i="31"/>
  <c r="CI340" i="31" s="1"/>
  <c r="CJ340" i="31" l="1"/>
  <c r="CO340" i="31" s="1"/>
  <c r="CK340" i="31"/>
  <c r="CL340" i="31" s="1"/>
  <c r="NM340" i="31"/>
  <c r="NN340" i="31" s="1"/>
  <c r="OV341" i="31" s="1"/>
  <c r="NT340" i="31"/>
  <c r="OU341" i="31"/>
  <c r="CM340" i="31" l="1"/>
  <c r="CN340" i="31" s="1"/>
  <c r="CP340" i="31" s="1"/>
  <c r="NW340" i="31"/>
  <c r="NX340" i="31" s="1"/>
  <c r="OF340" i="31" s="1"/>
  <c r="OS341" i="31" s="1"/>
  <c r="FV340" i="31"/>
  <c r="NU340" i="31"/>
  <c r="NV340" i="31" s="1"/>
  <c r="FR340" i="31"/>
  <c r="CX340" i="31"/>
  <c r="NY340" i="31" l="1"/>
  <c r="OB340" i="31" s="1"/>
  <c r="NZ340" i="31"/>
  <c r="CY341" i="31"/>
  <c r="MY340" i="31"/>
  <c r="GB340" i="31"/>
  <c r="GC340" i="31" s="1"/>
  <c r="FZ340" i="31"/>
  <c r="GA340" i="31" s="1"/>
  <c r="FX340" i="31"/>
  <c r="FY340" i="31" s="1"/>
  <c r="JR340" i="31"/>
  <c r="JS340" i="31" s="1"/>
  <c r="FE340" i="31"/>
  <c r="FF340" i="31" s="1"/>
  <c r="FU340" i="31"/>
  <c r="FW340" i="31" s="1"/>
  <c r="FP340" i="31"/>
  <c r="FS340" i="31" s="1"/>
  <c r="FH340" i="31"/>
  <c r="FI340" i="31" s="1"/>
  <c r="CQ340" i="31"/>
  <c r="HO340" i="31"/>
  <c r="DQ340" i="31"/>
  <c r="DR340" i="31" s="1"/>
  <c r="GO340" i="31"/>
  <c r="KX340" i="31"/>
  <c r="KU340" i="31"/>
  <c r="OI340" i="31" l="1"/>
  <c r="MR341" i="31" s="1"/>
  <c r="MS341" i="31" s="1"/>
  <c r="GN340" i="31"/>
  <c r="GQ340" i="31" s="1"/>
  <c r="OA340" i="31"/>
  <c r="MV341" i="31" s="1"/>
  <c r="OG341" i="31" s="1"/>
  <c r="PA340" i="31"/>
  <c r="OT341" i="31"/>
  <c r="OJ340" i="31"/>
  <c r="OC340" i="31"/>
  <c r="OD341" i="31" s="1"/>
  <c r="OH341" i="31" s="1"/>
  <c r="MZ341" i="31"/>
  <c r="OZ340" i="31"/>
  <c r="NF341" i="31"/>
  <c r="OM341" i="31"/>
  <c r="OO341" i="31"/>
  <c r="KE340" i="31"/>
  <c r="JU340" i="31"/>
  <c r="JT341" i="31"/>
  <c r="KC340" i="31"/>
  <c r="HW340" i="31"/>
  <c r="HX341" i="31" s="1"/>
  <c r="FG341" i="31"/>
  <c r="DS340" i="31"/>
  <c r="AX340" i="31" s="1"/>
  <c r="AY341" i="31" s="1"/>
  <c r="CT340" i="31"/>
  <c r="CR340" i="31"/>
  <c r="CS340" i="31"/>
  <c r="HU340" i="31"/>
  <c r="HV341" i="31" s="1"/>
  <c r="FJ341" i="31"/>
  <c r="IA340" i="31"/>
  <c r="IB340" i="31" s="1"/>
  <c r="HP340" i="31"/>
  <c r="IZ340" i="31"/>
  <c r="DY340" i="31"/>
  <c r="HY340" i="31"/>
  <c r="HA340" i="31"/>
  <c r="KV340" i="31" l="1"/>
  <c r="OX341" i="31"/>
  <c r="OW340" i="31"/>
  <c r="KT341" i="31"/>
  <c r="KW341" i="31"/>
  <c r="HQ340" i="31"/>
  <c r="HR341" i="31" s="1"/>
  <c r="KL341" i="31"/>
  <c r="KN342" i="31" s="1"/>
  <c r="KQ341" i="31" s="1"/>
  <c r="KM341" i="31"/>
  <c r="KO342" i="31" s="1"/>
  <c r="OY341" i="31"/>
  <c r="MW341" i="31"/>
  <c r="MX341" i="31" s="1"/>
  <c r="NA341" i="31" s="1"/>
  <c r="NQ341" i="31"/>
  <c r="NJ341" i="31"/>
  <c r="MO341" i="31"/>
  <c r="NH342" i="31"/>
  <c r="NI342" i="31" s="1"/>
  <c r="NP341" i="31"/>
  <c r="MU341" i="31"/>
  <c r="MT341" i="31"/>
  <c r="PE341" i="31"/>
  <c r="OK341" i="31"/>
  <c r="HT340" i="31"/>
  <c r="HS340" i="31"/>
  <c r="JG340" i="31" s="1"/>
  <c r="AZ340" i="31"/>
  <c r="EM340" i="31"/>
  <c r="EW340" i="31" s="1"/>
  <c r="EN340" i="31"/>
  <c r="NR341" i="31" l="1"/>
  <c r="NB341" i="31"/>
  <c r="NG342" i="31"/>
  <c r="OQ342" i="31"/>
  <c r="OR342" i="31" s="1"/>
  <c r="NK341" i="31"/>
  <c r="NL341" i="31"/>
  <c r="KP342" i="31"/>
  <c r="KR341" i="31"/>
  <c r="KS341" i="31" s="1"/>
  <c r="BB341" i="31"/>
  <c r="IW340" i="31"/>
  <c r="DW340" i="31"/>
  <c r="DU341" i="31" s="1"/>
  <c r="EQ340" i="31"/>
  <c r="ER341" i="31"/>
  <c r="IU340" i="31"/>
  <c r="IV340" i="31" s="1"/>
  <c r="IC340" i="31"/>
  <c r="ID340" i="31" s="1"/>
  <c r="IF340" i="31" s="1"/>
  <c r="KH340" i="31" s="1"/>
  <c r="JB340" i="31"/>
  <c r="NC342" i="31" l="1"/>
  <c r="MQ342" i="31"/>
  <c r="KB340" i="31"/>
  <c r="IX340" i="31"/>
  <c r="KK340" i="31"/>
  <c r="EU341" i="31"/>
  <c r="DB340" i="31"/>
  <c r="DC340" i="31" s="1"/>
  <c r="DD341" i="31" s="1"/>
  <c r="DE342" i="31" s="1"/>
  <c r="IM340" i="31"/>
  <c r="GM340" i="31"/>
  <c r="KI341" i="31"/>
  <c r="IN340" i="31"/>
  <c r="DF340" i="31"/>
  <c r="BC341" i="31"/>
  <c r="GT342" i="31" l="1"/>
  <c r="DT340" i="31"/>
  <c r="DZ340" i="31" s="1"/>
  <c r="GR340" i="31"/>
  <c r="BE341" i="31"/>
  <c r="BD341" i="31"/>
  <c r="KJ341" i="31"/>
  <c r="FD340" i="31"/>
  <c r="GU340" i="31"/>
  <c r="GV340" i="31"/>
  <c r="BG341" i="31" l="1"/>
  <c r="BF341" i="31"/>
  <c r="GS340" i="31"/>
  <c r="IS340" i="31"/>
  <c r="FL341" i="31"/>
  <c r="GX340" i="31" l="1"/>
  <c r="GY340" i="31"/>
  <c r="GW340" i="31"/>
  <c r="HC340" i="31" s="1"/>
  <c r="FA341" i="31" s="1"/>
  <c r="HB341" i="31" s="1"/>
  <c r="FM341" i="31"/>
  <c r="JH340" i="31"/>
  <c r="JI340" i="31" s="1"/>
  <c r="IT340" i="31"/>
  <c r="BI341" i="31"/>
  <c r="BK341" i="31" s="1"/>
  <c r="BH341" i="31"/>
  <c r="BJ341" i="31" l="1"/>
  <c r="JK340" i="31"/>
  <c r="JZ340" i="31" s="1"/>
  <c r="KF340" i="31" s="1"/>
  <c r="IQ341" i="31" s="1"/>
  <c r="BL341" i="31"/>
  <c r="BM341" i="31"/>
  <c r="HM340" i="31"/>
  <c r="EG340" i="31"/>
  <c r="EH341" i="31" s="1"/>
  <c r="EI341" i="31" s="1"/>
  <c r="FK341" i="31" s="1"/>
  <c r="EY340" i="31"/>
  <c r="HK341" i="31"/>
  <c r="JM340" i="31" l="1"/>
  <c r="KD340" i="31" s="1"/>
  <c r="IL341" i="31" s="1"/>
  <c r="JE341" i="31" s="1"/>
  <c r="JN340" i="31"/>
  <c r="JV340" i="31" s="1"/>
  <c r="JF341" i="31" s="1"/>
  <c r="JW341" i="31" s="1"/>
  <c r="BN341" i="31"/>
  <c r="BO341" i="31"/>
  <c r="EZ340" i="31"/>
  <c r="DG340" i="31"/>
  <c r="DH340" i="31" s="1"/>
  <c r="DI341" i="31" s="1"/>
  <c r="EJ340" i="31"/>
  <c r="EK341" i="31" s="1"/>
  <c r="ED340" i="31"/>
  <c r="EB341" i="31" s="1"/>
  <c r="IY341" i="31" s="1"/>
  <c r="EE340" i="31"/>
  <c r="EF341" i="31" s="1"/>
  <c r="JL340" i="31"/>
  <c r="JJ341" i="31" s="1"/>
  <c r="KA341" i="31"/>
  <c r="JY341" i="31" l="1"/>
  <c r="JA341" i="31"/>
  <c r="IR341" i="31"/>
  <c r="IP341" i="31"/>
  <c r="JO341" i="31"/>
  <c r="BP341" i="31"/>
  <c r="BQ341" i="31" s="1"/>
  <c r="FC341" i="31"/>
  <c r="EL341" i="31"/>
  <c r="EP341" i="31"/>
  <c r="ET342" i="31" s="1"/>
  <c r="EO341" i="31"/>
  <c r="ES342" i="31" s="1"/>
  <c r="EV341" i="31"/>
  <c r="DJ341" i="31"/>
  <c r="DK341" i="31" s="1"/>
  <c r="GZ341" i="31"/>
  <c r="IE341" i="31" s="1"/>
  <c r="IO341" i="31"/>
  <c r="JP341" i="31" s="1"/>
  <c r="JQ341" i="31" s="1"/>
  <c r="JC341" i="31"/>
  <c r="JD341" i="31"/>
  <c r="DP341" i="31"/>
  <c r="HZ341" i="31"/>
  <c r="BS341" i="31" l="1"/>
  <c r="BU341" i="31" s="1"/>
  <c r="BR341" i="31"/>
  <c r="KG341" i="31"/>
  <c r="DM341" i="31"/>
  <c r="FQ341" i="31"/>
  <c r="DX341" i="31"/>
  <c r="EC341" i="31"/>
  <c r="JX341" i="31"/>
  <c r="BT341" i="31" l="1"/>
  <c r="BV341" i="31"/>
  <c r="BW341" i="31" s="1"/>
  <c r="FB341" i="31"/>
  <c r="EX341" i="31"/>
  <c r="M341" i="31" s="1"/>
  <c r="DL341" i="31"/>
  <c r="L342" i="31"/>
  <c r="BX341" i="31" l="1"/>
  <c r="BY341" i="31"/>
  <c r="MB341" i="31"/>
  <c r="MJ341" i="31"/>
  <c r="NS341" i="31" s="1"/>
  <c r="NM341" i="31" l="1"/>
  <c r="NN341" i="31" s="1"/>
  <c r="BZ341" i="31"/>
  <c r="CA341" i="31"/>
  <c r="CC341" i="31" s="1"/>
  <c r="CE341" i="31" s="1"/>
  <c r="NT341" i="31"/>
  <c r="OU342" i="31"/>
  <c r="OV342" i="31" l="1"/>
  <c r="NW341" i="31"/>
  <c r="CB341" i="31"/>
  <c r="CD341" i="31"/>
  <c r="CF341" i="31"/>
  <c r="CG341" i="31"/>
  <c r="NX341" i="31"/>
  <c r="CX341" i="31"/>
  <c r="FR341" i="31"/>
  <c r="FV341" i="31"/>
  <c r="NU341" i="31"/>
  <c r="CH341" i="31" l="1"/>
  <c r="CI341" i="31" s="1"/>
  <c r="NY341" i="31"/>
  <c r="OF341" i="31"/>
  <c r="OS342" i="31" s="1"/>
  <c r="NV341" i="31"/>
  <c r="NZ341" i="31"/>
  <c r="MY341" i="31"/>
  <c r="CY342" i="31"/>
  <c r="CJ341" i="31" l="1"/>
  <c r="CO341" i="31" s="1"/>
  <c r="CK341" i="31"/>
  <c r="CL341" i="31" s="1"/>
  <c r="NF342" i="31"/>
  <c r="OO342" i="31"/>
  <c r="OM342" i="31"/>
  <c r="MZ342" i="31"/>
  <c r="OZ341" i="31"/>
  <c r="OB341" i="31"/>
  <c r="OT342" i="31" s="1"/>
  <c r="OI341" i="31"/>
  <c r="OA341" i="31"/>
  <c r="MV342" i="31" s="1"/>
  <c r="CM341" i="31" l="1"/>
  <c r="CN341" i="31" s="1"/>
  <c r="CP341" i="31" s="1"/>
  <c r="OX342" i="31"/>
  <c r="OW341" i="31"/>
  <c r="MR342" i="31"/>
  <c r="OC341" i="31"/>
  <c r="OD342" i="31" s="1"/>
  <c r="OH342" i="31" s="1"/>
  <c r="KT342" i="31"/>
  <c r="OG342" i="31"/>
  <c r="PA341" i="31"/>
  <c r="OJ341" i="31"/>
  <c r="KM342" i="31" l="1"/>
  <c r="KO343" i="31" s="1"/>
  <c r="KL342" i="31"/>
  <c r="KN343" i="31" s="1"/>
  <c r="MS342" i="31"/>
  <c r="JR341" i="31"/>
  <c r="JS341" i="31" s="1"/>
  <c r="HO341" i="31"/>
  <c r="FE341" i="31"/>
  <c r="FF341" i="31" s="1"/>
  <c r="FP341" i="31"/>
  <c r="FS341" i="31" s="1"/>
  <c r="CQ341" i="31"/>
  <c r="FH341" i="31"/>
  <c r="FI341" i="31" s="1"/>
  <c r="GB341" i="31"/>
  <c r="GC341" i="31" s="1"/>
  <c r="FX341" i="31"/>
  <c r="FY341" i="31" s="1"/>
  <c r="FZ341" i="31"/>
  <c r="GA341" i="31" s="1"/>
  <c r="FU341" i="31"/>
  <c r="FW341" i="31" s="1"/>
  <c r="GO341" i="31"/>
  <c r="DQ341" i="31"/>
  <c r="DR341" i="31" s="1"/>
  <c r="KX341" i="31"/>
  <c r="GN341" i="31" s="1"/>
  <c r="KU341" i="31"/>
  <c r="OK342" i="31"/>
  <c r="MW342" i="31"/>
  <c r="OY342" i="31"/>
  <c r="HW341" i="31" l="1"/>
  <c r="HX342" i="31" s="1"/>
  <c r="FG342" i="31"/>
  <c r="JU341" i="31"/>
  <c r="KE341" i="31"/>
  <c r="KC341" i="31"/>
  <c r="JT342" i="31"/>
  <c r="HU341" i="31"/>
  <c r="HV342" i="31" s="1"/>
  <c r="FJ342" i="31"/>
  <c r="NJ342" i="31"/>
  <c r="NP342" i="31"/>
  <c r="MT342" i="31"/>
  <c r="NQ342" i="31"/>
  <c r="NH343" i="31"/>
  <c r="NI343" i="31" s="1"/>
  <c r="MO342" i="31"/>
  <c r="MU342" i="31"/>
  <c r="PE342" i="31"/>
  <c r="GQ341" i="31"/>
  <c r="KV341" i="31"/>
  <c r="CR341" i="31"/>
  <c r="CS341" i="31"/>
  <c r="CT341" i="31"/>
  <c r="KQ342" i="31"/>
  <c r="MX342" i="31"/>
  <c r="IA341" i="31"/>
  <c r="IB341" i="31" s="1"/>
  <c r="HP341" i="31"/>
  <c r="IZ341" i="31"/>
  <c r="DS341" i="31"/>
  <c r="AX341" i="31" s="1"/>
  <c r="AY342" i="31" s="1"/>
  <c r="DY341" i="31"/>
  <c r="HA341" i="31"/>
  <c r="HY341" i="31"/>
  <c r="KP343" i="31"/>
  <c r="KR342" i="31"/>
  <c r="KW342" i="31" l="1"/>
  <c r="HQ341" i="31"/>
  <c r="HR342" i="31" s="1"/>
  <c r="NR342" i="31"/>
  <c r="HT341" i="31"/>
  <c r="HS341" i="31"/>
  <c r="JG341" i="31" s="1"/>
  <c r="NB342" i="31"/>
  <c r="NA342" i="31"/>
  <c r="NK342" i="31"/>
  <c r="NL342" i="31"/>
  <c r="NG343" i="31"/>
  <c r="OQ343" i="31"/>
  <c r="EN341" i="31"/>
  <c r="EM341" i="31"/>
  <c r="EW341" i="31" s="1"/>
  <c r="AZ341" i="31"/>
  <c r="KS342" i="31"/>
  <c r="NC343" i="31" l="1"/>
  <c r="MQ343" i="31"/>
  <c r="BB342" i="31"/>
  <c r="IW341" i="31"/>
  <c r="DW341" i="31"/>
  <c r="DU342" i="31" s="1"/>
  <c r="EQ341" i="31"/>
  <c r="ER342" i="31"/>
  <c r="IU341" i="31"/>
  <c r="IV341" i="31" s="1"/>
  <c r="IC341" i="31"/>
  <c r="ID341" i="31" s="1"/>
  <c r="IF341" i="31" s="1"/>
  <c r="KH341" i="31" s="1"/>
  <c r="JB341" i="31"/>
  <c r="OR343" i="31"/>
  <c r="GM341" i="31" l="1"/>
  <c r="IM341" i="31"/>
  <c r="DB341" i="31"/>
  <c r="DC341" i="31" s="1"/>
  <c r="DD342" i="31" s="1"/>
  <c r="DE343" i="31" s="1"/>
  <c r="KI342" i="31"/>
  <c r="IN341" i="31"/>
  <c r="DF341" i="31"/>
  <c r="DT341" i="31" s="1"/>
  <c r="DZ341" i="31" s="1"/>
  <c r="KB341" i="31"/>
  <c r="IX341" i="31"/>
  <c r="KK341" i="31"/>
  <c r="BC342" i="31"/>
  <c r="EU342" i="31"/>
  <c r="GT343" i="31" l="1"/>
  <c r="BD342" i="31"/>
  <c r="BE342" i="31"/>
  <c r="GR341" i="31"/>
  <c r="KJ342" i="31"/>
  <c r="FD341" i="31"/>
  <c r="GU341" i="31"/>
  <c r="GV341" i="31"/>
  <c r="GS341" i="31" l="1"/>
  <c r="BF342" i="31"/>
  <c r="BG342" i="31"/>
  <c r="IS341" i="31"/>
  <c r="FL342" i="31"/>
  <c r="JH341" i="31" l="1"/>
  <c r="JI341" i="31" s="1"/>
  <c r="IT341" i="31"/>
  <c r="BH342" i="31"/>
  <c r="BI342" i="31"/>
  <c r="BK342" i="31" s="1"/>
  <c r="FM342" i="31"/>
  <c r="GX341" i="31"/>
  <c r="GY341" i="31"/>
  <c r="GW341" i="31"/>
  <c r="HC341" i="31" s="1"/>
  <c r="FA342" i="31" s="1"/>
  <c r="HB342" i="31" s="1"/>
  <c r="BL342" i="31" l="1"/>
  <c r="BM342" i="31"/>
  <c r="BJ342" i="31"/>
  <c r="EY341" i="31"/>
  <c r="EG341" i="31"/>
  <c r="EH342" i="31" s="1"/>
  <c r="EI342" i="31" s="1"/>
  <c r="FK342" i="31" s="1"/>
  <c r="HM341" i="31"/>
  <c r="HK342" i="31"/>
  <c r="JK341" i="31"/>
  <c r="JN341" i="31" s="1"/>
  <c r="JV341" i="31" s="1"/>
  <c r="JF342" i="31" s="1"/>
  <c r="JM341" i="31" l="1"/>
  <c r="KD341" i="31" s="1"/>
  <c r="IL342" i="31" s="1"/>
  <c r="EJ341" i="31"/>
  <c r="EK342" i="31" s="1"/>
  <c r="ED341" i="31"/>
  <c r="EB342" i="31" s="1"/>
  <c r="EE341" i="31"/>
  <c r="EF342" i="31" s="1"/>
  <c r="JY342" i="31"/>
  <c r="JW342" i="31"/>
  <c r="JL341" i="31"/>
  <c r="JJ342" i="31" s="1"/>
  <c r="KA342" i="31"/>
  <c r="EZ341" i="31"/>
  <c r="DG341" i="31"/>
  <c r="DH341" i="31" s="1"/>
  <c r="DI342" i="31" s="1"/>
  <c r="JZ341" i="31"/>
  <c r="KF341" i="31" s="1"/>
  <c r="IQ342" i="31" s="1"/>
  <c r="BN342" i="31"/>
  <c r="BO342" i="31"/>
  <c r="IO342" i="31" l="1"/>
  <c r="IP342" i="31"/>
  <c r="JO342" i="31"/>
  <c r="JA342" i="31"/>
  <c r="IR342" i="31"/>
  <c r="IY342" i="31"/>
  <c r="JE342" i="31"/>
  <c r="DJ342" i="31"/>
  <c r="DK342" i="31" s="1"/>
  <c r="GZ342" i="31"/>
  <c r="IE342" i="31" s="1"/>
  <c r="EP342" i="31"/>
  <c r="ET343" i="31" s="1"/>
  <c r="FC342" i="31"/>
  <c r="EL342" i="31"/>
  <c r="EO342" i="31"/>
  <c r="ES343" i="31" s="1"/>
  <c r="EV342" i="31"/>
  <c r="BP342" i="31"/>
  <c r="BQ342" i="31" s="1"/>
  <c r="DP342" i="31"/>
  <c r="HZ342" i="31"/>
  <c r="JC342" i="31"/>
  <c r="JD342" i="31"/>
  <c r="JP342" i="31" l="1"/>
  <c r="JQ342" i="31" s="1"/>
  <c r="KG342" i="31"/>
  <c r="EC342" i="31"/>
  <c r="BR342" i="31"/>
  <c r="BS342" i="31"/>
  <c r="JX342" i="31"/>
  <c r="FQ342" i="31"/>
  <c r="DM342" i="31"/>
  <c r="DX342" i="31"/>
  <c r="BT342" i="31" l="1"/>
  <c r="BU342" i="31"/>
  <c r="DL342" i="31"/>
  <c r="L343" i="31"/>
  <c r="EX342" i="31"/>
  <c r="M342" i="31" s="1"/>
  <c r="FB342" i="31"/>
  <c r="BV342" i="31" l="1"/>
  <c r="BW342" i="31" s="1"/>
  <c r="MB342" i="31"/>
  <c r="MJ342" i="31"/>
  <c r="NS342" i="31" s="1"/>
  <c r="NM342" i="31" l="1"/>
  <c r="NN342" i="31" s="1"/>
  <c r="BY342" i="31"/>
  <c r="BX342" i="31"/>
  <c r="NT342" i="31"/>
  <c r="OU343" i="31"/>
  <c r="OV343" i="31" l="1"/>
  <c r="NW342" i="31"/>
  <c r="NX342" i="31" s="1"/>
  <c r="BZ342" i="31"/>
  <c r="CA342" i="31"/>
  <c r="CC342" i="31" s="1"/>
  <c r="CD342" i="31" s="1"/>
  <c r="FR342" i="31"/>
  <c r="CX342" i="31"/>
  <c r="FV342" i="31"/>
  <c r="NU342" i="31"/>
  <c r="CE342" i="31" l="1"/>
  <c r="CG342" i="31" s="1"/>
  <c r="CB342" i="31"/>
  <c r="NV342" i="31"/>
  <c r="NY342" i="31"/>
  <c r="OF342" i="31"/>
  <c r="OS343" i="31" s="1"/>
  <c r="NZ342" i="31"/>
  <c r="MY342" i="31"/>
  <c r="CY343" i="31"/>
  <c r="CF342" i="31" l="1"/>
  <c r="OB342" i="31"/>
  <c r="OT343" i="31" s="1"/>
  <c r="MZ343" i="31"/>
  <c r="OZ342" i="31"/>
  <c r="OI342" i="31"/>
  <c r="OA342" i="31"/>
  <c r="MV343" i="31" s="1"/>
  <c r="OM343" i="31"/>
  <c r="NF343" i="31"/>
  <c r="OO343" i="31"/>
  <c r="CH342" i="31"/>
  <c r="CI342" i="31" s="1"/>
  <c r="CJ342" i="31" l="1"/>
  <c r="CO342" i="31" s="1"/>
  <c r="CK342" i="31"/>
  <c r="CL342" i="31" s="1"/>
  <c r="PA342" i="31"/>
  <c r="KT343" i="31"/>
  <c r="OG343" i="31"/>
  <c r="OJ342" i="31"/>
  <c r="OX343" i="31"/>
  <c r="OW342" i="31"/>
  <c r="MR343" i="31"/>
  <c r="OC342" i="31"/>
  <c r="OD343" i="31" s="1"/>
  <c r="OH343" i="31" s="1"/>
  <c r="CM342" i="31" l="1"/>
  <c r="CN342" i="31" s="1"/>
  <c r="CP342" i="31" s="1"/>
  <c r="OK343" i="31"/>
  <c r="MW343" i="31"/>
  <c r="OY343" i="31"/>
  <c r="KM343" i="31"/>
  <c r="KO344" i="31" s="1"/>
  <c r="KL343" i="31"/>
  <c r="KN344" i="31" s="1"/>
  <c r="MS343" i="31"/>
  <c r="NH344" i="31" l="1"/>
  <c r="NI344" i="31" s="1"/>
  <c r="NP343" i="31"/>
  <c r="NQ343" i="31"/>
  <c r="MT343" i="31"/>
  <c r="MO343" i="31"/>
  <c r="NJ343" i="31"/>
  <c r="MU343" i="31"/>
  <c r="PE343" i="31"/>
  <c r="KQ343" i="31"/>
  <c r="GB342" i="31"/>
  <c r="GC342" i="31" s="1"/>
  <c r="FU342" i="31"/>
  <c r="FW342" i="31" s="1"/>
  <c r="FP342" i="31"/>
  <c r="FS342" i="31" s="1"/>
  <c r="CQ342" i="31"/>
  <c r="FZ342" i="31"/>
  <c r="GA342" i="31" s="1"/>
  <c r="DQ342" i="31"/>
  <c r="DR342" i="31" s="1"/>
  <c r="FE342" i="31"/>
  <c r="FF342" i="31" s="1"/>
  <c r="FH342" i="31"/>
  <c r="FI342" i="31" s="1"/>
  <c r="GO342" i="31"/>
  <c r="FX342" i="31"/>
  <c r="FY342" i="31" s="1"/>
  <c r="HO342" i="31"/>
  <c r="JR342" i="31"/>
  <c r="JS342" i="31" s="1"/>
  <c r="KX342" i="31"/>
  <c r="KU342" i="31"/>
  <c r="KP344" i="31"/>
  <c r="KR343" i="31"/>
  <c r="MX343" i="31"/>
  <c r="GN342" i="31" l="1"/>
  <c r="GQ342" i="31" s="1"/>
  <c r="NR343" i="31"/>
  <c r="DS342" i="31"/>
  <c r="AX342" i="31" s="1"/>
  <c r="AY343" i="31" s="1"/>
  <c r="NK343" i="31"/>
  <c r="NL343" i="31"/>
  <c r="NG344" i="31"/>
  <c r="OQ344" i="31"/>
  <c r="JU342" i="31"/>
  <c r="KC342" i="31"/>
  <c r="KE342" i="31"/>
  <c r="JT343" i="31"/>
  <c r="IA342" i="31"/>
  <c r="IB342" i="31" s="1"/>
  <c r="HP342" i="31"/>
  <c r="IZ342" i="31"/>
  <c r="NA343" i="31"/>
  <c r="NB343" i="31"/>
  <c r="HU342" i="31"/>
  <c r="HV343" i="31" s="1"/>
  <c r="FJ343" i="31"/>
  <c r="KS343" i="31"/>
  <c r="CT342" i="31"/>
  <c r="CR342" i="31"/>
  <c r="CS342" i="31"/>
  <c r="DY342" i="31"/>
  <c r="HA342" i="31"/>
  <c r="HY342" i="31"/>
  <c r="FG343" i="31"/>
  <c r="HW342" i="31"/>
  <c r="HX343" i="31" s="1"/>
  <c r="KV342" i="31" l="1"/>
  <c r="KW343" i="31" s="1"/>
  <c r="HQ342" i="31"/>
  <c r="HR343" i="31" s="1"/>
  <c r="OR344" i="31"/>
  <c r="HT342" i="31"/>
  <c r="HS342" i="31"/>
  <c r="JG342" i="31" s="1"/>
  <c r="NC344" i="31"/>
  <c r="MQ344" i="31"/>
  <c r="EM342" i="31"/>
  <c r="EW342" i="31" s="1"/>
  <c r="AZ342" i="31"/>
  <c r="EN342" i="31"/>
  <c r="IC342" i="31" l="1"/>
  <c r="ID342" i="31" s="1"/>
  <c r="IF342" i="31" s="1"/>
  <c r="KH342" i="31" s="1"/>
  <c r="JB342" i="31"/>
  <c r="BB343" i="31"/>
  <c r="DW342" i="31"/>
  <c r="DU343" i="31" s="1"/>
  <c r="EQ342" i="31"/>
  <c r="IW342" i="31"/>
  <c r="ER343" i="31"/>
  <c r="IU342" i="31"/>
  <c r="IV342" i="31" s="1"/>
  <c r="DB342" i="31" l="1"/>
  <c r="DC342" i="31" s="1"/>
  <c r="DD343" i="31" s="1"/>
  <c r="DE344" i="31" s="1"/>
  <c r="IM342" i="31"/>
  <c r="GM342" i="31"/>
  <c r="KI343" i="31"/>
  <c r="IN342" i="31"/>
  <c r="DF342" i="31"/>
  <c r="BC343" i="31"/>
  <c r="KB342" i="31"/>
  <c r="IX342" i="31"/>
  <c r="KK342" i="31"/>
  <c r="EU343" i="31"/>
  <c r="GT344" i="31" l="1"/>
  <c r="KJ343" i="31"/>
  <c r="FD342" i="31"/>
  <c r="GU342" i="31"/>
  <c r="GV342" i="31"/>
  <c r="GR342" i="31"/>
  <c r="BD343" i="31"/>
  <c r="BE343" i="31"/>
  <c r="DT342" i="31"/>
  <c r="DZ342" i="31" s="1"/>
  <c r="GS342" i="31" l="1"/>
  <c r="IS342" i="31"/>
  <c r="FL343" i="31"/>
  <c r="BF343" i="31"/>
  <c r="BG343" i="31"/>
  <c r="BH343" i="31" l="1"/>
  <c r="BI343" i="31"/>
  <c r="BK343" i="31" s="1"/>
  <c r="FM343" i="31"/>
  <c r="JH342" i="31"/>
  <c r="JI342" i="31" s="1"/>
  <c r="IT342" i="31"/>
  <c r="GY342" i="31"/>
  <c r="GW342" i="31"/>
  <c r="HC342" i="31" s="1"/>
  <c r="FA343" i="31" s="1"/>
  <c r="HB343" i="31" s="1"/>
  <c r="GX342" i="31"/>
  <c r="EG342" i="31" l="1"/>
  <c r="EH343" i="31" s="1"/>
  <c r="EI343" i="31" s="1"/>
  <c r="FK343" i="31" s="1"/>
  <c r="EY342" i="31"/>
  <c r="HM342" i="31"/>
  <c r="HK343" i="31"/>
  <c r="JK342" i="31"/>
  <c r="JZ342" i="31" s="1"/>
  <c r="KF342" i="31" s="1"/>
  <c r="IQ343" i="31" s="1"/>
  <c r="BL343" i="31"/>
  <c r="BM343" i="31"/>
  <c r="BJ343" i="31"/>
  <c r="EJ342" i="31" l="1"/>
  <c r="EK343" i="31" s="1"/>
  <c r="EE342" i="31"/>
  <c r="EF343" i="31" s="1"/>
  <c r="ED342" i="31"/>
  <c r="EB343" i="31" s="1"/>
  <c r="JL342" i="31"/>
  <c r="JJ343" i="31" s="1"/>
  <c r="KA343" i="31"/>
  <c r="JM342" i="31"/>
  <c r="KD342" i="31" s="1"/>
  <c r="IL343" i="31" s="1"/>
  <c r="JE343" i="31" s="1"/>
  <c r="EZ342" i="31"/>
  <c r="DG342" i="31"/>
  <c r="DH342" i="31" s="1"/>
  <c r="DI343" i="31" s="1"/>
  <c r="BN343" i="31"/>
  <c r="BO343" i="31"/>
  <c r="JN342" i="31"/>
  <c r="JV342" i="31" s="1"/>
  <c r="JF343" i="31" s="1"/>
  <c r="BP343" i="31" l="1"/>
  <c r="BQ343" i="31" s="1"/>
  <c r="FC343" i="31"/>
  <c r="EL343" i="31"/>
  <c r="EO343" i="31"/>
  <c r="ES344" i="31" s="1"/>
  <c r="EP343" i="31"/>
  <c r="ET344" i="31" s="1"/>
  <c r="EV343" i="31"/>
  <c r="DJ343" i="31"/>
  <c r="DK343" i="31" s="1"/>
  <c r="GZ343" i="31"/>
  <c r="IE343" i="31" s="1"/>
  <c r="JY343" i="31"/>
  <c r="JW343" i="31"/>
  <c r="IR343" i="31"/>
  <c r="IY343" i="31"/>
  <c r="DP343" i="31"/>
  <c r="JC343" i="31"/>
  <c r="JD343" i="31"/>
  <c r="HZ343" i="31"/>
  <c r="JA343" i="31"/>
  <c r="IP343" i="31"/>
  <c r="IO343" i="31"/>
  <c r="JO343" i="31"/>
  <c r="DM343" i="31" l="1"/>
  <c r="FQ343" i="31"/>
  <c r="DX343" i="31"/>
  <c r="JP343" i="31"/>
  <c r="JQ343" i="31" s="1"/>
  <c r="KG343" i="31"/>
  <c r="BR343" i="31"/>
  <c r="BS343" i="31"/>
  <c r="EC343" i="31"/>
  <c r="JX343" i="31"/>
  <c r="BT343" i="31" l="1"/>
  <c r="BU343" i="31"/>
  <c r="FB343" i="31"/>
  <c r="EX343" i="31"/>
  <c r="M343" i="31" s="1"/>
  <c r="DL343" i="31"/>
  <c r="L344" i="31"/>
  <c r="BV343" i="31" l="1"/>
  <c r="BW343" i="31" s="1"/>
  <c r="MJ343" i="31"/>
  <c r="NS343" i="31" s="1"/>
  <c r="MB343" i="31"/>
  <c r="NM343" i="31" l="1"/>
  <c r="NN343" i="31" s="1"/>
  <c r="BY343" i="31"/>
  <c r="CA343" i="31" s="1"/>
  <c r="BX343" i="31"/>
  <c r="NT343" i="31"/>
  <c r="OU344" i="31"/>
  <c r="OV344" i="31" l="1"/>
  <c r="NW343" i="31"/>
  <c r="NX343" i="31" s="1"/>
  <c r="BZ343" i="31"/>
  <c r="FV343" i="31"/>
  <c r="CX343" i="31"/>
  <c r="FR343" i="31"/>
  <c r="NU343" i="31"/>
  <c r="CB343" i="31"/>
  <c r="CC343" i="31" s="1"/>
  <c r="CD343" i="31" l="1"/>
  <c r="CE343" i="31"/>
  <c r="CG343" i="31" s="1"/>
  <c r="NV343" i="31"/>
  <c r="NY343" i="31"/>
  <c r="MY343" i="31"/>
  <c r="NZ343" i="31"/>
  <c r="CY344" i="31"/>
  <c r="OF343" i="31"/>
  <c r="OS344" i="31" s="1"/>
  <c r="CF343" i="31" l="1"/>
  <c r="MZ344" i="31"/>
  <c r="OZ343" i="31"/>
  <c r="OB343" i="31"/>
  <c r="OT344" i="31" s="1"/>
  <c r="CH343" i="31"/>
  <c r="CI343" i="31" s="1"/>
  <c r="OA343" i="31"/>
  <c r="MV344" i="31" s="1"/>
  <c r="OI343" i="31"/>
  <c r="OO344" i="31"/>
  <c r="OM344" i="31"/>
  <c r="NF344" i="31"/>
  <c r="CJ343" i="31" l="1"/>
  <c r="CO343" i="31" s="1"/>
  <c r="CK343" i="31"/>
  <c r="CM343" i="31" s="1"/>
  <c r="CN343" i="31" s="1"/>
  <c r="OX344" i="31"/>
  <c r="OW343" i="31"/>
  <c r="MR344" i="31"/>
  <c r="OJ343" i="31"/>
  <c r="OC343" i="31"/>
  <c r="OD344" i="31" s="1"/>
  <c r="OH344" i="31" s="1"/>
  <c r="KT344" i="31"/>
  <c r="OG344" i="31"/>
  <c r="PA343" i="31"/>
  <c r="CL343" i="31" l="1"/>
  <c r="CP343" i="31" s="1"/>
  <c r="KL344" i="31"/>
  <c r="KN345" i="31" s="1"/>
  <c r="KM344" i="31"/>
  <c r="KO345" i="31" s="1"/>
  <c r="OY344" i="31"/>
  <c r="MW344" i="31"/>
  <c r="MS344" i="31"/>
  <c r="OK344" i="31"/>
  <c r="NP344" i="31" l="1"/>
  <c r="NQ344" i="31"/>
  <c r="MO344" i="31"/>
  <c r="NJ344" i="31"/>
  <c r="NH345" i="31"/>
  <c r="NI345" i="31" s="1"/>
  <c r="MT344" i="31"/>
  <c r="MU344" i="31"/>
  <c r="PE344" i="31"/>
  <c r="MX344" i="31"/>
  <c r="KQ344" i="31"/>
  <c r="KP345" i="31"/>
  <c r="KR344" i="31"/>
  <c r="FE343" i="31"/>
  <c r="FF343" i="31" s="1"/>
  <c r="FP343" i="31"/>
  <c r="FS343" i="31" s="1"/>
  <c r="FU343" i="31"/>
  <c r="FW343" i="31" s="1"/>
  <c r="FZ343" i="31"/>
  <c r="GA343" i="31" s="1"/>
  <c r="FH343" i="31"/>
  <c r="FI343" i="31" s="1"/>
  <c r="JR343" i="31"/>
  <c r="JS343" i="31" s="1"/>
  <c r="GO343" i="31"/>
  <c r="HO343" i="31"/>
  <c r="CQ343" i="31"/>
  <c r="DQ343" i="31"/>
  <c r="DR343" i="31" s="1"/>
  <c r="GB343" i="31"/>
  <c r="GC343" i="31" s="1"/>
  <c r="FX343" i="31"/>
  <c r="FY343" i="31" s="1"/>
  <c r="KX343" i="31"/>
  <c r="KU343" i="31"/>
  <c r="GN343" i="31" l="1"/>
  <c r="GQ343" i="31" s="1"/>
  <c r="NR344" i="31"/>
  <c r="KS344" i="31"/>
  <c r="JU343" i="31"/>
  <c r="KE343" i="31"/>
  <c r="JT344" i="31"/>
  <c r="KC343" i="31"/>
  <c r="NK344" i="31"/>
  <c r="NL344" i="31"/>
  <c r="NG345" i="31"/>
  <c r="OQ345" i="31"/>
  <c r="DS343" i="31"/>
  <c r="AX343" i="31" s="1"/>
  <c r="AY344" i="31" s="1"/>
  <c r="HA343" i="31"/>
  <c r="DY343" i="31"/>
  <c r="HY343" i="31"/>
  <c r="CR343" i="31"/>
  <c r="CS343" i="31"/>
  <c r="CT343" i="31"/>
  <c r="HW343" i="31"/>
  <c r="HX344" i="31" s="1"/>
  <c r="FG344" i="31"/>
  <c r="HU343" i="31"/>
  <c r="HV344" i="31" s="1"/>
  <c r="FJ344" i="31"/>
  <c r="NA344" i="31"/>
  <c r="NB344" i="31"/>
  <c r="HP343" i="31"/>
  <c r="IA343" i="31"/>
  <c r="IB343" i="31" s="1"/>
  <c r="IZ343" i="31"/>
  <c r="KV343" i="31" l="1"/>
  <c r="KW344" i="31" s="1"/>
  <c r="HQ343" i="31"/>
  <c r="HR344" i="31" s="1"/>
  <c r="HT343" i="31"/>
  <c r="HS343" i="31"/>
  <c r="JG343" i="31" s="1"/>
  <c r="EM343" i="31"/>
  <c r="EW343" i="31" s="1"/>
  <c r="AZ343" i="31"/>
  <c r="EN343" i="31"/>
  <c r="OR345" i="31"/>
  <c r="NC345" i="31"/>
  <c r="MQ345" i="31"/>
  <c r="IC343" i="31" l="1"/>
  <c r="ID343" i="31" s="1"/>
  <c r="IF343" i="31" s="1"/>
  <c r="KH343" i="31" s="1"/>
  <c r="JB343" i="31"/>
  <c r="BB344" i="31"/>
  <c r="DW343" i="31"/>
  <c r="DU344" i="31" s="1"/>
  <c r="IW343" i="31"/>
  <c r="EQ343" i="31"/>
  <c r="ER344" i="31"/>
  <c r="IU343" i="31"/>
  <c r="IV343" i="31" s="1"/>
  <c r="BC344" i="31" l="1"/>
  <c r="KB343" i="31"/>
  <c r="IX343" i="31"/>
  <c r="KK343" i="31"/>
  <c r="EU344" i="31"/>
  <c r="DB343" i="31"/>
  <c r="DC343" i="31" s="1"/>
  <c r="DD344" i="31" s="1"/>
  <c r="DE345" i="31" s="1"/>
  <c r="IM343" i="31"/>
  <c r="GM343" i="31"/>
  <c r="KI344" i="31"/>
  <c r="IN343" i="31"/>
  <c r="DF343" i="31"/>
  <c r="GT345" i="31" l="1"/>
  <c r="FD343" i="31"/>
  <c r="GU343" i="31"/>
  <c r="GV343" i="31"/>
  <c r="KJ344" i="31"/>
  <c r="GR343" i="31"/>
  <c r="DT343" i="31"/>
  <c r="DZ343" i="31" s="1"/>
  <c r="BD344" i="31"/>
  <c r="BE344" i="31"/>
  <c r="BG344" i="31" l="1"/>
  <c r="BF344" i="31"/>
  <c r="IS343" i="31"/>
  <c r="FL344" i="31"/>
  <c r="GS343" i="31"/>
  <c r="JH343" i="31" l="1"/>
  <c r="JI343" i="31" s="1"/>
  <c r="IT343" i="31"/>
  <c r="FM344" i="31"/>
  <c r="GW343" i="31"/>
  <c r="HC343" i="31" s="1"/>
  <c r="FA344" i="31" s="1"/>
  <c r="HB344" i="31" s="1"/>
  <c r="GY343" i="31"/>
  <c r="GX343" i="31"/>
  <c r="BI344" i="31"/>
  <c r="BK344" i="31" s="1"/>
  <c r="BH344" i="31"/>
  <c r="BJ344" i="31" l="1"/>
  <c r="EY343" i="31"/>
  <c r="HM343" i="31"/>
  <c r="EG343" i="31"/>
  <c r="EH344" i="31" s="1"/>
  <c r="EI344" i="31" s="1"/>
  <c r="FK344" i="31" s="1"/>
  <c r="HK344" i="31"/>
  <c r="BL344" i="31"/>
  <c r="BM344" i="31"/>
  <c r="JK343" i="31"/>
  <c r="JM343" i="31" s="1"/>
  <c r="KD343" i="31" s="1"/>
  <c r="IL344" i="31" s="1"/>
  <c r="EZ343" i="31" l="1"/>
  <c r="DG343" i="31"/>
  <c r="DH343" i="31" s="1"/>
  <c r="DI344" i="31" s="1"/>
  <c r="JL343" i="31"/>
  <c r="JJ344" i="31" s="1"/>
  <c r="KA344" i="31"/>
  <c r="EJ343" i="31"/>
  <c r="EK344" i="31" s="1"/>
  <c r="ED343" i="31"/>
  <c r="EB344" i="31" s="1"/>
  <c r="EE343" i="31"/>
  <c r="EF344" i="31" s="1"/>
  <c r="JZ343" i="31"/>
  <c r="KF343" i="31" s="1"/>
  <c r="IQ344" i="31" s="1"/>
  <c r="BN344" i="31"/>
  <c r="BO344" i="31"/>
  <c r="JN343" i="31"/>
  <c r="JV343" i="31" s="1"/>
  <c r="JF344" i="31" s="1"/>
  <c r="JE344" i="31" l="1"/>
  <c r="JO344" i="31"/>
  <c r="JA344" i="31"/>
  <c r="IY344" i="31"/>
  <c r="IR344" i="31"/>
  <c r="BP344" i="31"/>
  <c r="BQ344" i="31" s="1"/>
  <c r="DJ344" i="31"/>
  <c r="DK344" i="31" s="1"/>
  <c r="GZ344" i="31"/>
  <c r="IE344" i="31" s="1"/>
  <c r="IO344" i="31"/>
  <c r="JC344" i="31"/>
  <c r="JD344" i="31"/>
  <c r="HZ344" i="31"/>
  <c r="DP344" i="31"/>
  <c r="JW344" i="31"/>
  <c r="JY344" i="31"/>
  <c r="EP344" i="31"/>
  <c r="ET345" i="31" s="1"/>
  <c r="EO344" i="31"/>
  <c r="ES345" i="31" s="1"/>
  <c r="FC344" i="31"/>
  <c r="EL344" i="31"/>
  <c r="EV344" i="31"/>
  <c r="IP344" i="31"/>
  <c r="KG344" i="31" l="1"/>
  <c r="BR344" i="31"/>
  <c r="BS344" i="31"/>
  <c r="BT344" i="31" s="1"/>
  <c r="JP344" i="31"/>
  <c r="JQ344" i="31" s="1"/>
  <c r="DM344" i="31"/>
  <c r="FQ344" i="31"/>
  <c r="DX344" i="31"/>
  <c r="JX344" i="31"/>
  <c r="EC344" i="31"/>
  <c r="BU344" i="31" l="1"/>
  <c r="BV344" i="31" s="1"/>
  <c r="BW344" i="31" s="1"/>
  <c r="EX344" i="31"/>
  <c r="M344" i="31" s="1"/>
  <c r="FB344" i="31"/>
  <c r="DL344" i="31"/>
  <c r="L345" i="31"/>
  <c r="BY344" i="31" l="1"/>
  <c r="BX344" i="31"/>
  <c r="MB344" i="31"/>
  <c r="NM344" i="31" s="1"/>
  <c r="NN344" i="31" s="1"/>
  <c r="MJ344" i="31"/>
  <c r="NS344" i="31" s="1"/>
  <c r="BZ344" i="31" l="1"/>
  <c r="CA344" i="31"/>
  <c r="NT344" i="31"/>
  <c r="OU345" i="31"/>
  <c r="OV345" i="31"/>
  <c r="NW344" i="31"/>
  <c r="CB344" i="31" l="1"/>
  <c r="CC344" i="31" s="1"/>
  <c r="CX344" i="31"/>
  <c r="FV344" i="31"/>
  <c r="FR344" i="31"/>
  <c r="NU344" i="31"/>
  <c r="NX344" i="31"/>
  <c r="OF344" i="31" s="1"/>
  <c r="OS345" i="31" s="1"/>
  <c r="CD344" i="31" l="1"/>
  <c r="CE344" i="31"/>
  <c r="CF344" i="31" s="1"/>
  <c r="NZ344" i="31"/>
  <c r="MY344" i="31"/>
  <c r="CY345" i="31"/>
  <c r="NY344" i="31"/>
  <c r="NV344" i="31"/>
  <c r="CG344" i="31" l="1"/>
  <c r="CH344" i="31" s="1"/>
  <c r="CI344" i="31" s="1"/>
  <c r="CK344" i="31" s="1"/>
  <c r="OA344" i="31"/>
  <c r="MV345" i="31" s="1"/>
  <c r="OB344" i="31"/>
  <c r="OT345" i="31" s="1"/>
  <c r="OI344" i="31"/>
  <c r="NF345" i="31"/>
  <c r="OO345" i="31"/>
  <c r="OM345" i="31"/>
  <c r="MZ345" i="31"/>
  <c r="OZ344" i="31"/>
  <c r="CJ344" i="31" l="1"/>
  <c r="CO344" i="31" s="1"/>
  <c r="CL344" i="31"/>
  <c r="CM344" i="31"/>
  <c r="CN344" i="31" s="1"/>
  <c r="CP344" i="31" s="1"/>
  <c r="OW344" i="31"/>
  <c r="MR345" i="31"/>
  <c r="OX345" i="31"/>
  <c r="OC344" i="31"/>
  <c r="OD345" i="31" s="1"/>
  <c r="OH345" i="31" s="1"/>
  <c r="PA344" i="31"/>
  <c r="OJ344" i="31"/>
  <c r="KT345" i="31"/>
  <c r="OG345" i="31"/>
  <c r="OK345" i="31" l="1"/>
  <c r="OY345" i="31"/>
  <c r="MW345" i="31"/>
  <c r="MS345" i="31"/>
  <c r="KM345" i="31"/>
  <c r="KO346" i="31" s="1"/>
  <c r="KL345" i="31"/>
  <c r="KN346" i="31" s="1"/>
  <c r="FX344" i="31"/>
  <c r="FY344" i="31" s="1"/>
  <c r="DQ344" i="31"/>
  <c r="DR344" i="31" s="1"/>
  <c r="GO344" i="31"/>
  <c r="CQ344" i="31"/>
  <c r="FZ344" i="31"/>
  <c r="GA344" i="31" s="1"/>
  <c r="GB344" i="31"/>
  <c r="GC344" i="31" s="1"/>
  <c r="FP344" i="31"/>
  <c r="FS344" i="31" s="1"/>
  <c r="FH344" i="31"/>
  <c r="FI344" i="31" s="1"/>
  <c r="JR344" i="31"/>
  <c r="JS344" i="31" s="1"/>
  <c r="FU344" i="31"/>
  <c r="FW344" i="31" s="1"/>
  <c r="HO344" i="31"/>
  <c r="FE344" i="31"/>
  <c r="FF344" i="31" s="1"/>
  <c r="KX344" i="31"/>
  <c r="KU344" i="31"/>
  <c r="GN344" i="31" l="1"/>
  <c r="GQ344" i="31" s="1"/>
  <c r="HY344" i="31"/>
  <c r="HA344" i="31"/>
  <c r="DY344" i="31"/>
  <c r="CT344" i="31"/>
  <c r="CS344" i="31"/>
  <c r="CR344" i="31"/>
  <c r="KP346" i="31"/>
  <c r="KR345" i="31"/>
  <c r="NP345" i="31"/>
  <c r="MO345" i="31"/>
  <c r="MT345" i="31"/>
  <c r="NH346" i="31"/>
  <c r="NI346" i="31" s="1"/>
  <c r="NJ345" i="31"/>
  <c r="MU345" i="31"/>
  <c r="NQ345" i="31"/>
  <c r="PE345" i="31"/>
  <c r="FG345" i="31"/>
  <c r="HW344" i="31"/>
  <c r="HX345" i="31" s="1"/>
  <c r="IA344" i="31"/>
  <c r="IB344" i="31" s="1"/>
  <c r="HP344" i="31"/>
  <c r="IZ344" i="31"/>
  <c r="DS344" i="31"/>
  <c r="AX344" i="31" s="1"/>
  <c r="AY345" i="31" s="1"/>
  <c r="MX345" i="31"/>
  <c r="JU344" i="31"/>
  <c r="KC344" i="31"/>
  <c r="KE344" i="31"/>
  <c r="JT345" i="31"/>
  <c r="HU344" i="31"/>
  <c r="HV345" i="31" s="1"/>
  <c r="FJ345" i="31"/>
  <c r="KQ345" i="31"/>
  <c r="KS345" i="31" s="1"/>
  <c r="KV344" i="31" l="1"/>
  <c r="KW345" i="31" s="1"/>
  <c r="HQ344" i="31"/>
  <c r="HR345" i="31" s="1"/>
  <c r="NB345" i="31"/>
  <c r="NA345" i="31"/>
  <c r="NR345" i="31"/>
  <c r="EN344" i="31"/>
  <c r="EM344" i="31"/>
  <c r="EW344" i="31" s="1"/>
  <c r="AZ344" i="31"/>
  <c r="HT344" i="31"/>
  <c r="HS344" i="31"/>
  <c r="JG344" i="31" s="1"/>
  <c r="NK345" i="31"/>
  <c r="NL345" i="31"/>
  <c r="NG346" i="31"/>
  <c r="OQ346" i="31"/>
  <c r="NC346" i="31" l="1"/>
  <c r="MQ346" i="31"/>
  <c r="BB345" i="31"/>
  <c r="IW344" i="31"/>
  <c r="EQ344" i="31"/>
  <c r="DW344" i="31"/>
  <c r="DU345" i="31" s="1"/>
  <c r="ER345" i="31"/>
  <c r="IU344" i="31"/>
  <c r="IV344" i="31" s="1"/>
  <c r="IC344" i="31"/>
  <c r="ID344" i="31" s="1"/>
  <c r="IF344" i="31" s="1"/>
  <c r="KH344" i="31" s="1"/>
  <c r="JB344" i="31"/>
  <c r="OR346" i="31"/>
  <c r="BC345" i="31" l="1"/>
  <c r="KK344" i="31"/>
  <c r="KB344" i="31"/>
  <c r="IX344" i="31"/>
  <c r="EU345" i="31"/>
  <c r="DB344" i="31"/>
  <c r="DC344" i="31" s="1"/>
  <c r="DD345" i="31" s="1"/>
  <c r="DE346" i="31" s="1"/>
  <c r="GM344" i="31"/>
  <c r="IM344" i="31"/>
  <c r="KI345" i="31"/>
  <c r="IN344" i="31"/>
  <c r="DF344" i="31"/>
  <c r="GT346" i="31" l="1"/>
  <c r="GU344" i="31"/>
  <c r="GV344" i="31"/>
  <c r="FD344" i="31"/>
  <c r="KJ345" i="31"/>
  <c r="DT344" i="31"/>
  <c r="DZ344" i="31" s="1"/>
  <c r="BD345" i="31"/>
  <c r="BE345" i="31"/>
  <c r="GR344" i="31"/>
  <c r="IS344" i="31" l="1"/>
  <c r="FL345" i="31"/>
  <c r="GS344" i="31"/>
  <c r="BG345" i="31"/>
  <c r="BF345" i="31"/>
  <c r="BH345" i="31" l="1"/>
  <c r="BI345" i="31"/>
  <c r="BK345" i="31" s="1"/>
  <c r="GW344" i="31"/>
  <c r="HC344" i="31" s="1"/>
  <c r="FA345" i="31" s="1"/>
  <c r="HB345" i="31" s="1"/>
  <c r="GX344" i="31"/>
  <c r="GY344" i="31"/>
  <c r="FM345" i="31"/>
  <c r="JH344" i="31"/>
  <c r="JI344" i="31" s="1"/>
  <c r="IT344" i="31"/>
  <c r="JK344" i="31" l="1"/>
  <c r="JN344" i="31" s="1"/>
  <c r="JV344" i="31" s="1"/>
  <c r="JF345" i="31" s="1"/>
  <c r="BL345" i="31"/>
  <c r="BM345" i="31"/>
  <c r="EG344" i="31"/>
  <c r="EH345" i="31" s="1"/>
  <c r="EI345" i="31" s="1"/>
  <c r="FK345" i="31" s="1"/>
  <c r="HM344" i="31"/>
  <c r="EY344" i="31"/>
  <c r="HK345" i="31"/>
  <c r="BJ345" i="31"/>
  <c r="JM344" i="31" l="1"/>
  <c r="KD344" i="31" s="1"/>
  <c r="IL345" i="31" s="1"/>
  <c r="BO345" i="31"/>
  <c r="BN345" i="31"/>
  <c r="EZ344" i="31"/>
  <c r="DG344" i="31"/>
  <c r="DH344" i="31" s="1"/>
  <c r="DI345" i="31" s="1"/>
  <c r="JY345" i="31"/>
  <c r="JW345" i="31"/>
  <c r="JZ344" i="31"/>
  <c r="KF344" i="31" s="1"/>
  <c r="IQ345" i="31" s="1"/>
  <c r="JL344" i="31"/>
  <c r="JJ345" i="31" s="1"/>
  <c r="KA345" i="31"/>
  <c r="EE344" i="31"/>
  <c r="EF345" i="31" s="1"/>
  <c r="EJ344" i="31"/>
  <c r="EK345" i="31" s="1"/>
  <c r="ED344" i="31"/>
  <c r="EB345" i="31" s="1"/>
  <c r="IP345" i="31" l="1"/>
  <c r="BP345" i="31"/>
  <c r="BQ345" i="31" s="1"/>
  <c r="IO345" i="31"/>
  <c r="EL345" i="31"/>
  <c r="EO345" i="31"/>
  <c r="ES346" i="31" s="1"/>
  <c r="EP345" i="31"/>
  <c r="ET346" i="31" s="1"/>
  <c r="FC345" i="31"/>
  <c r="EV345" i="31"/>
  <c r="JC345" i="31"/>
  <c r="JD345" i="31"/>
  <c r="GZ345" i="31"/>
  <c r="IE345" i="31" s="1"/>
  <c r="DJ345" i="31"/>
  <c r="DK345" i="31" s="1"/>
  <c r="HZ345" i="31"/>
  <c r="DP345" i="31"/>
  <c r="JA345" i="31"/>
  <c r="IY345" i="31"/>
  <c r="IR345" i="31"/>
  <c r="JO345" i="31"/>
  <c r="JE345" i="31"/>
  <c r="JP345" i="31" l="1"/>
  <c r="JQ345" i="31" s="1"/>
  <c r="BS345" i="31"/>
  <c r="BU345" i="31" s="1"/>
  <c r="BR345" i="31"/>
  <c r="JX345" i="31"/>
  <c r="FQ345" i="31"/>
  <c r="DM345" i="31"/>
  <c r="DX345" i="31"/>
  <c r="KG345" i="31"/>
  <c r="EC345" i="31"/>
  <c r="BT345" i="31" l="1"/>
  <c r="FB345" i="31"/>
  <c r="EX345" i="31"/>
  <c r="M345" i="31" s="1"/>
  <c r="BV345" i="31"/>
  <c r="BW345" i="31" s="1"/>
  <c r="DL345" i="31"/>
  <c r="L346" i="31"/>
  <c r="BY345" i="31" l="1"/>
  <c r="CA345" i="31" s="1"/>
  <c r="BX345" i="31"/>
  <c r="MJ345" i="31"/>
  <c r="NS345" i="31" s="1"/>
  <c r="MB345" i="31"/>
  <c r="NM345" i="31" l="1"/>
  <c r="NN345" i="31" s="1"/>
  <c r="CB345" i="31"/>
  <c r="CC345" i="31" s="1"/>
  <c r="CD345" i="31" s="1"/>
  <c r="BZ345" i="31"/>
  <c r="NT345" i="31"/>
  <c r="OU346" i="31"/>
  <c r="OV346" i="31" l="1"/>
  <c r="NW345" i="31"/>
  <c r="NX345" i="31" s="1"/>
  <c r="CE345" i="31"/>
  <c r="CF345" i="31" s="1"/>
  <c r="FV345" i="31"/>
  <c r="FR345" i="31"/>
  <c r="CX345" i="31"/>
  <c r="NU345" i="31"/>
  <c r="CG345" i="31" l="1"/>
  <c r="CH345" i="31" s="1"/>
  <c r="NY345" i="31"/>
  <c r="NZ345" i="31"/>
  <c r="MY345" i="31"/>
  <c r="CY346" i="31"/>
  <c r="OF345" i="31"/>
  <c r="OS346" i="31" s="1"/>
  <c r="NV345" i="31"/>
  <c r="CI345" i="31" l="1"/>
  <c r="MZ346" i="31"/>
  <c r="OZ345" i="31"/>
  <c r="OB345" i="31"/>
  <c r="OT346" i="31" s="1"/>
  <c r="OI345" i="31"/>
  <c r="OA345" i="31"/>
  <c r="MV346" i="31" s="1"/>
  <c r="OO346" i="31"/>
  <c r="NF346" i="31"/>
  <c r="OM346" i="31"/>
  <c r="CJ345" i="31" l="1"/>
  <c r="CO345" i="31" s="1"/>
  <c r="CK345" i="31"/>
  <c r="KT346" i="31"/>
  <c r="OG346" i="31"/>
  <c r="OC345" i="31"/>
  <c r="OD346" i="31" s="1"/>
  <c r="OH346" i="31" s="1"/>
  <c r="MR346" i="31"/>
  <c r="OX346" i="31"/>
  <c r="OW345" i="31"/>
  <c r="PA345" i="31"/>
  <c r="OJ345" i="31"/>
  <c r="CL345" i="31" l="1"/>
  <c r="CM345" i="31"/>
  <c r="CN345" i="31" s="1"/>
  <c r="OY346" i="31"/>
  <c r="MW346" i="31"/>
  <c r="MS346" i="31"/>
  <c r="OK346" i="31"/>
  <c r="KL346" i="31"/>
  <c r="KN347" i="31" s="1"/>
  <c r="KM346" i="31"/>
  <c r="KO347" i="31" s="1"/>
  <c r="CP345" i="31" l="1"/>
  <c r="KQ346" i="31"/>
  <c r="NJ346" i="31"/>
  <c r="NP346" i="31"/>
  <c r="MU346" i="31"/>
  <c r="NH347" i="31"/>
  <c r="NI347" i="31" s="1"/>
  <c r="MT346" i="31"/>
  <c r="MO346" i="31"/>
  <c r="NQ346" i="31"/>
  <c r="PE346" i="31"/>
  <c r="KP347" i="31"/>
  <c r="KR346" i="31"/>
  <c r="MX346" i="31"/>
  <c r="FX345" i="31" l="1"/>
  <c r="FY345" i="31" s="1"/>
  <c r="FZ345" i="31"/>
  <c r="GA345" i="31" s="1"/>
  <c r="FU345" i="31"/>
  <c r="FW345" i="31" s="1"/>
  <c r="GB345" i="31"/>
  <c r="GC345" i="31" s="1"/>
  <c r="CQ345" i="31"/>
  <c r="FH345" i="31"/>
  <c r="FI345" i="31" s="1"/>
  <c r="DQ345" i="31"/>
  <c r="DR345" i="31" s="1"/>
  <c r="DS345" i="31" s="1"/>
  <c r="AX345" i="31" s="1"/>
  <c r="AY346" i="31" s="1"/>
  <c r="HO345" i="31"/>
  <c r="KX345" i="31"/>
  <c r="KU345" i="31"/>
  <c r="JR345" i="31"/>
  <c r="JS345" i="31" s="1"/>
  <c r="GO345" i="31"/>
  <c r="FE345" i="31"/>
  <c r="FF345" i="31" s="1"/>
  <c r="FP345" i="31"/>
  <c r="FS345" i="31" s="1"/>
  <c r="NB346" i="31"/>
  <c r="NA346" i="31"/>
  <c r="NK346" i="31"/>
  <c r="NL346" i="31"/>
  <c r="NG347" i="31"/>
  <c r="OQ347" i="31"/>
  <c r="KS346" i="31"/>
  <c r="NR346" i="31"/>
  <c r="GN345" i="31" l="1"/>
  <c r="KV345" i="31" s="1"/>
  <c r="EM345" i="31"/>
  <c r="EW345" i="31" s="1"/>
  <c r="EN345" i="31"/>
  <c r="BB346" i="31" s="1"/>
  <c r="AZ345" i="31"/>
  <c r="JT346" i="31"/>
  <c r="KC345" i="31"/>
  <c r="JU345" i="31"/>
  <c r="KE345" i="31"/>
  <c r="IA345" i="31"/>
  <c r="IB345" i="31" s="1"/>
  <c r="IZ345" i="31"/>
  <c r="HP345" i="31"/>
  <c r="HA345" i="31"/>
  <c r="HY345" i="31"/>
  <c r="DY345" i="31"/>
  <c r="HU345" i="31"/>
  <c r="HV346" i="31" s="1"/>
  <c r="FJ346" i="31"/>
  <c r="HW345" i="31"/>
  <c r="HX346" i="31" s="1"/>
  <c r="FG346" i="31"/>
  <c r="CR345" i="31"/>
  <c r="CT345" i="31"/>
  <c r="CS345" i="31"/>
  <c r="NC347" i="31"/>
  <c r="MQ347" i="31"/>
  <c r="OR347" i="31"/>
  <c r="GQ345" i="31" l="1"/>
  <c r="KW346" i="31"/>
  <c r="HQ345" i="31"/>
  <c r="HR346" i="31" s="1"/>
  <c r="IU345" i="31"/>
  <c r="IV345" i="31" s="1"/>
  <c r="KK345" i="31" s="1"/>
  <c r="ER346" i="31"/>
  <c r="EU346" i="31" s="1"/>
  <c r="EQ345" i="31"/>
  <c r="DW345" i="31"/>
  <c r="DU346" i="31" s="1"/>
  <c r="IW345" i="31"/>
  <c r="KB345" i="31" s="1"/>
  <c r="HT345" i="31"/>
  <c r="HS345" i="31"/>
  <c r="JG345" i="31" s="1"/>
  <c r="BC346" i="31"/>
  <c r="IX345" i="31" l="1"/>
  <c r="JB345" i="31"/>
  <c r="IC345" i="31"/>
  <c r="ID345" i="31" s="1"/>
  <c r="IF345" i="31" s="1"/>
  <c r="KH345" i="31" s="1"/>
  <c r="BD346" i="31"/>
  <c r="BE346" i="31"/>
  <c r="DF345" i="31" l="1"/>
  <c r="IM345" i="31"/>
  <c r="GM345" i="31"/>
  <c r="DB345" i="31"/>
  <c r="DC345" i="31" s="1"/>
  <c r="DD346" i="31" s="1"/>
  <c r="DE347" i="31" s="1"/>
  <c r="KI346" i="31"/>
  <c r="KJ346" i="31" s="1"/>
  <c r="IN345" i="31"/>
  <c r="BF346" i="31"/>
  <c r="BG346" i="31"/>
  <c r="DT345" i="31" l="1"/>
  <c r="DZ345" i="31" s="1"/>
  <c r="GR345" i="31"/>
  <c r="GT347" i="31"/>
  <c r="GV345" i="31"/>
  <c r="GU345" i="31"/>
  <c r="FD345" i="31"/>
  <c r="BH346" i="31"/>
  <c r="BI346" i="31"/>
  <c r="BK346" i="31" s="1"/>
  <c r="IS345" i="31" l="1"/>
  <c r="FL346" i="31"/>
  <c r="FM346" i="31" s="1"/>
  <c r="GS345" i="31"/>
  <c r="BJ346" i="31"/>
  <c r="BL346" i="31"/>
  <c r="BM346" i="31"/>
  <c r="GY345" i="31" l="1"/>
  <c r="GW345" i="31"/>
  <c r="HC345" i="31" s="1"/>
  <c r="FA346" i="31" s="1"/>
  <c r="HB346" i="31" s="1"/>
  <c r="GX345" i="31"/>
  <c r="IT345" i="31"/>
  <c r="JH345" i="31"/>
  <c r="JI345" i="31" s="1"/>
  <c r="JK345" i="31" s="1"/>
  <c r="JM345" i="31" s="1"/>
  <c r="KD345" i="31" s="1"/>
  <c r="IL346" i="31" s="1"/>
  <c r="BN346" i="31"/>
  <c r="BO346" i="31"/>
  <c r="KA346" i="31" l="1"/>
  <c r="HZ346" i="31" s="1"/>
  <c r="JZ345" i="31"/>
  <c r="KF345" i="31" s="1"/>
  <c r="IQ346" i="31" s="1"/>
  <c r="IR346" i="31" s="1"/>
  <c r="JN345" i="31"/>
  <c r="JV345" i="31" s="1"/>
  <c r="JF346" i="31" s="1"/>
  <c r="JY346" i="31" s="1"/>
  <c r="EG345" i="31"/>
  <c r="EH346" i="31" s="1"/>
  <c r="EI346" i="31" s="1"/>
  <c r="FK346" i="31" s="1"/>
  <c r="HK346" i="31"/>
  <c r="HM345" i="31"/>
  <c r="EY345" i="31"/>
  <c r="JL345" i="31"/>
  <c r="JJ346" i="31" s="1"/>
  <c r="BP346" i="31"/>
  <c r="BQ346" i="31" s="1"/>
  <c r="JO346" i="31" l="1"/>
  <c r="JE346" i="31"/>
  <c r="EE345" i="31"/>
  <c r="EF346" i="31" s="1"/>
  <c r="EJ345" i="31"/>
  <c r="EK346" i="31" s="1"/>
  <c r="ED345" i="31"/>
  <c r="EB346" i="31" s="1"/>
  <c r="JW346" i="31"/>
  <c r="EZ345" i="31"/>
  <c r="DG345" i="31"/>
  <c r="DH345" i="31" s="1"/>
  <c r="DI346" i="31" s="1"/>
  <c r="BS346" i="31"/>
  <c r="BU346" i="31" s="1"/>
  <c r="BR346" i="31"/>
  <c r="DP346" i="31" l="1"/>
  <c r="JD346" i="31"/>
  <c r="JC346" i="31"/>
  <c r="EP346" i="31"/>
  <c r="ET347" i="31" s="1"/>
  <c r="FC346" i="31"/>
  <c r="EO346" i="31"/>
  <c r="ES347" i="31" s="1"/>
  <c r="EV346" i="31"/>
  <c r="EL346" i="31"/>
  <c r="JA346" i="31"/>
  <c r="DJ346" i="31"/>
  <c r="DK346" i="31" s="1"/>
  <c r="IP346" i="31"/>
  <c r="IO346" i="31"/>
  <c r="GZ346" i="31"/>
  <c r="BT346" i="31"/>
  <c r="IY346" i="31"/>
  <c r="BV346" i="31"/>
  <c r="BW346" i="31" s="1"/>
  <c r="BX346" i="31" s="1"/>
  <c r="JP346" i="31" l="1"/>
  <c r="JQ346" i="31" s="1"/>
  <c r="EC346" i="31"/>
  <c r="JX346" i="31"/>
  <c r="IE346" i="31"/>
  <c r="KG346" i="31"/>
  <c r="DM346" i="31"/>
  <c r="DX346" i="31"/>
  <c r="FQ346" i="31"/>
  <c r="BY346" i="31"/>
  <c r="BZ346" i="31" s="1"/>
  <c r="DL346" i="31" l="1"/>
  <c r="L347" i="31"/>
  <c r="FB346" i="31"/>
  <c r="EX346" i="31"/>
  <c r="M346" i="31" s="1"/>
  <c r="CA346" i="31"/>
  <c r="MJ346" i="31" l="1"/>
  <c r="NS346" i="31" s="1"/>
  <c r="MB346" i="31"/>
  <c r="NM346" i="31" s="1"/>
  <c r="NN346" i="31" s="1"/>
  <c r="CB346" i="31"/>
  <c r="CC346" i="31" s="1"/>
  <c r="CD346" i="31" l="1"/>
  <c r="CE346" i="31"/>
  <c r="CF346" i="31" s="1"/>
  <c r="NW346" i="31"/>
  <c r="OV347" i="31"/>
  <c r="OU347" i="31"/>
  <c r="NT346" i="31"/>
  <c r="CG346" i="31" l="1"/>
  <c r="CH346" i="31" s="1"/>
  <c r="CI346" i="31" s="1"/>
  <c r="CX346" i="31"/>
  <c r="FR346" i="31"/>
  <c r="NU346" i="31"/>
  <c r="NV346" i="31" s="1"/>
  <c r="FV346" i="31"/>
  <c r="NX346" i="31"/>
  <c r="NY346" i="31" s="1"/>
  <c r="OB346" i="31" s="1"/>
  <c r="OT347" i="31" s="1"/>
  <c r="CJ346" i="31" l="1"/>
  <c r="CO346" i="31" s="1"/>
  <c r="CK346" i="31"/>
  <c r="OF346" i="31"/>
  <c r="OS347" i="31" s="1"/>
  <c r="NZ346" i="31"/>
  <c r="OA346" i="31" s="1"/>
  <c r="MV347" i="31" s="1"/>
  <c r="OG347" i="31" s="1"/>
  <c r="MY346" i="31"/>
  <c r="CY347" i="31"/>
  <c r="OZ346" i="31" l="1"/>
  <c r="MZ347" i="31"/>
  <c r="OC346" i="31"/>
  <c r="OD347" i="31" s="1"/>
  <c r="OH347" i="31" s="1"/>
  <c r="OK347" i="31" s="1"/>
  <c r="PA346" i="31"/>
  <c r="OI346" i="31"/>
  <c r="OJ346" i="31"/>
  <c r="CM346" i="31"/>
  <c r="CN346" i="31" s="1"/>
  <c r="CL346" i="31"/>
  <c r="NF347" i="31"/>
  <c r="OO347" i="31"/>
  <c r="KT347" i="31" s="1"/>
  <c r="OM347" i="31"/>
  <c r="CP346" i="31" l="1"/>
  <c r="GO346" i="31" s="1"/>
  <c r="MR347" i="31"/>
  <c r="MS347" i="31" s="1"/>
  <c r="PE347" i="31" s="1"/>
  <c r="OW346" i="31"/>
  <c r="OX347" i="31"/>
  <c r="KM347" i="31"/>
  <c r="KO348" i="31" s="1"/>
  <c r="KL347" i="31"/>
  <c r="KN348" i="31" s="1"/>
  <c r="KQ347" i="31" s="1"/>
  <c r="MW347" i="31"/>
  <c r="MX347" i="31" s="1"/>
  <c r="OY347" i="31"/>
  <c r="FH346" i="31" l="1"/>
  <c r="FI346" i="31" s="1"/>
  <c r="HU346" i="31" s="1"/>
  <c r="HV347" i="31" s="1"/>
  <c r="HO346" i="31"/>
  <c r="IA346" i="31" s="1"/>
  <c r="IB346" i="31" s="1"/>
  <c r="FP346" i="31"/>
  <c r="FS346" i="31" s="1"/>
  <c r="DY346" i="31" s="1"/>
  <c r="KX346" i="31"/>
  <c r="CQ346" i="31"/>
  <c r="CT346" i="31" s="1"/>
  <c r="KU346" i="31"/>
  <c r="DQ346" i="31"/>
  <c r="DR346" i="31" s="1"/>
  <c r="DS346" i="31" s="1"/>
  <c r="AX346" i="31" s="1"/>
  <c r="AY347" i="31" s="1"/>
  <c r="FE346" i="31"/>
  <c r="FF346" i="31" s="1"/>
  <c r="HW346" i="31" s="1"/>
  <c r="HX347" i="31" s="1"/>
  <c r="JR346" i="31"/>
  <c r="JS346" i="31" s="1"/>
  <c r="FU346" i="31"/>
  <c r="FW346" i="31" s="1"/>
  <c r="FX346" i="31"/>
  <c r="FY346" i="31" s="1"/>
  <c r="FZ346" i="31"/>
  <c r="GA346" i="31" s="1"/>
  <c r="GB346" i="31"/>
  <c r="GC346" i="31" s="1"/>
  <c r="NP347" i="31"/>
  <c r="NH348" i="31"/>
  <c r="NI348" i="31" s="1"/>
  <c r="MU347" i="31"/>
  <c r="NJ347" i="31"/>
  <c r="NL347" i="31" s="1"/>
  <c r="MO347" i="31"/>
  <c r="NB347" i="31"/>
  <c r="NA347" i="31"/>
  <c r="NQ347" i="31"/>
  <c r="MT347" i="31"/>
  <c r="KP348" i="31"/>
  <c r="KR347" i="31"/>
  <c r="KS347" i="31" s="1"/>
  <c r="GN346" i="31" l="1"/>
  <c r="KV346" i="31" s="1"/>
  <c r="HP346" i="31"/>
  <c r="HS346" i="31" s="1"/>
  <c r="JG346" i="31" s="1"/>
  <c r="FJ347" i="31"/>
  <c r="HA346" i="31"/>
  <c r="HY346" i="31"/>
  <c r="CS346" i="31"/>
  <c r="CR346" i="31"/>
  <c r="IZ346" i="31"/>
  <c r="EN346" i="31"/>
  <c r="ER347" i="31" s="1"/>
  <c r="EM346" i="31"/>
  <c r="EW346" i="31" s="1"/>
  <c r="AZ346" i="31"/>
  <c r="FG347" i="31"/>
  <c r="NG348" i="31"/>
  <c r="NR347" i="31"/>
  <c r="JU346" i="31"/>
  <c r="KE346" i="31"/>
  <c r="JT347" i="31"/>
  <c r="KC346" i="31"/>
  <c r="OQ348" i="31"/>
  <c r="OR348" i="31" s="1"/>
  <c r="NK347" i="31"/>
  <c r="NC348" i="31"/>
  <c r="MQ348" i="31"/>
  <c r="HT346" i="31" l="1"/>
  <c r="IC346" i="31" s="1"/>
  <c r="ID346" i="31" s="1"/>
  <c r="IF346" i="31" s="1"/>
  <c r="KH346" i="31" s="1"/>
  <c r="DF346" i="31" s="1"/>
  <c r="GQ346" i="31"/>
  <c r="KW347" i="31"/>
  <c r="HQ346" i="31"/>
  <c r="HR347" i="31" s="1"/>
  <c r="EQ346" i="31"/>
  <c r="BB347" i="31"/>
  <c r="BC347" i="31" s="1"/>
  <c r="IW346" i="31"/>
  <c r="DW346" i="31"/>
  <c r="DU347" i="31" s="1"/>
  <c r="IU346" i="31"/>
  <c r="IV346" i="31" s="1"/>
  <c r="IX346" i="31" s="1"/>
  <c r="EU347" i="31"/>
  <c r="JB346" i="31" l="1"/>
  <c r="KI347" i="31"/>
  <c r="KJ347" i="31" s="1"/>
  <c r="IM346" i="31"/>
  <c r="DT346" i="31" s="1"/>
  <c r="DZ346" i="31" s="1"/>
  <c r="IN346" i="31"/>
  <c r="DB346" i="31"/>
  <c r="DC346" i="31" s="1"/>
  <c r="DD347" i="31" s="1"/>
  <c r="DE348" i="31" s="1"/>
  <c r="GT348" i="31" s="1"/>
  <c r="GM346" i="31"/>
  <c r="KK346" i="31"/>
  <c r="KB346" i="31"/>
  <c r="BE347" i="31"/>
  <c r="BD347" i="31"/>
  <c r="GU346" i="31"/>
  <c r="GV346" i="31"/>
  <c r="FD346" i="31" l="1"/>
  <c r="FL347" i="31" s="1"/>
  <c r="GR346" i="31"/>
  <c r="GS346" i="31" s="1"/>
  <c r="BG347" i="31"/>
  <c r="BF347" i="31"/>
  <c r="IS346" i="31" l="1"/>
  <c r="JH346" i="31" s="1"/>
  <c r="JI346" i="31" s="1"/>
  <c r="FM347" i="31"/>
  <c r="BH347" i="31"/>
  <c r="BI347" i="31"/>
  <c r="BK347" i="31" s="1"/>
  <c r="GY346" i="31"/>
  <c r="GX346" i="31"/>
  <c r="GW346" i="31"/>
  <c r="HC346" i="31" s="1"/>
  <c r="FA347" i="31" s="1"/>
  <c r="HB347" i="31" s="1"/>
  <c r="IT346" i="31" l="1"/>
  <c r="BL347" i="31"/>
  <c r="BM347" i="31"/>
  <c r="HM346" i="31"/>
  <c r="EG346" i="31"/>
  <c r="EH347" i="31" s="1"/>
  <c r="EI347" i="31" s="1"/>
  <c r="FK347" i="31" s="1"/>
  <c r="EY346" i="31"/>
  <c r="HK347" i="31"/>
  <c r="BJ347" i="31"/>
  <c r="JK346" i="31"/>
  <c r="JN346" i="31" s="1"/>
  <c r="JV346" i="31" s="1"/>
  <c r="JF347" i="31" s="1"/>
  <c r="JM346" i="31" l="1"/>
  <c r="KD346" i="31" s="1"/>
  <c r="IL347" i="31" s="1"/>
  <c r="EZ346" i="31"/>
  <c r="DG346" i="31"/>
  <c r="DH346" i="31" s="1"/>
  <c r="DI347" i="31" s="1"/>
  <c r="JL346" i="31"/>
  <c r="JJ347" i="31" s="1"/>
  <c r="KA347" i="31"/>
  <c r="JW347" i="31"/>
  <c r="JY347" i="31"/>
  <c r="EJ346" i="31"/>
  <c r="EK347" i="31" s="1"/>
  <c r="EE346" i="31"/>
  <c r="EF347" i="31" s="1"/>
  <c r="ED346" i="31"/>
  <c r="EB347" i="31" s="1"/>
  <c r="JZ346" i="31"/>
  <c r="KF346" i="31" s="1"/>
  <c r="IQ347" i="31" s="1"/>
  <c r="BO347" i="31"/>
  <c r="BN347" i="31"/>
  <c r="IP347" i="31" l="1"/>
  <c r="IO347" i="31"/>
  <c r="HZ347" i="31"/>
  <c r="IY347" i="31"/>
  <c r="IR347" i="31"/>
  <c r="JO347" i="31"/>
  <c r="JA347" i="31"/>
  <c r="JE347" i="31"/>
  <c r="FC347" i="31"/>
  <c r="EO347" i="31"/>
  <c r="ES348" i="31" s="1"/>
  <c r="EL347" i="31"/>
  <c r="EP347" i="31"/>
  <c r="ET348" i="31" s="1"/>
  <c r="EV347" i="31"/>
  <c r="DP347" i="31"/>
  <c r="BP347" i="31"/>
  <c r="BQ347" i="31" s="1"/>
  <c r="GZ347" i="31"/>
  <c r="IE347" i="31" s="1"/>
  <c r="DJ347" i="31"/>
  <c r="DK347" i="31" s="1"/>
  <c r="JC347" i="31"/>
  <c r="JD347" i="31"/>
  <c r="JP347" i="31" l="1"/>
  <c r="JQ347" i="31" s="1"/>
  <c r="KG347" i="31"/>
  <c r="FQ347" i="31"/>
  <c r="DX347" i="31"/>
  <c r="DM347" i="31"/>
  <c r="JX347" i="31"/>
  <c r="EC347" i="31"/>
  <c r="BR347" i="31"/>
  <c r="BS347" i="31"/>
  <c r="DL347" i="31" l="1"/>
  <c r="L348" i="31"/>
  <c r="BT347" i="31"/>
  <c r="BU347" i="31"/>
  <c r="EX347" i="31"/>
  <c r="M347" i="31" s="1"/>
  <c r="FB347" i="31"/>
  <c r="BV347" i="31" l="1"/>
  <c r="BW347" i="31" s="1"/>
  <c r="MB347" i="31"/>
  <c r="MJ347" i="31"/>
  <c r="NS347" i="31" s="1"/>
  <c r="NM347" i="31" l="1"/>
  <c r="NN347" i="31" s="1"/>
  <c r="BX347" i="31"/>
  <c r="BY347" i="31"/>
  <c r="NT347" i="31"/>
  <c r="OU348" i="31"/>
  <c r="BZ347" i="31" l="1"/>
  <c r="OV348" i="31"/>
  <c r="NW347" i="31"/>
  <c r="CA347" i="31"/>
  <c r="NX347" i="31"/>
  <c r="FR347" i="31"/>
  <c r="CX347" i="31"/>
  <c r="FV347" i="31"/>
  <c r="NU347" i="31"/>
  <c r="CB347" i="31" l="1"/>
  <c r="CC347" i="31" s="1"/>
  <c r="NY347" i="31"/>
  <c r="OF347" i="31"/>
  <c r="OS348" i="31" s="1"/>
  <c r="NV347" i="31"/>
  <c r="NZ347" i="31"/>
  <c r="MY347" i="31"/>
  <c r="CY348" i="31"/>
  <c r="CD347" i="31" l="1"/>
  <c r="CE347" i="31"/>
  <c r="CF347" i="31" s="1"/>
  <c r="OO348" i="31"/>
  <c r="NF348" i="31"/>
  <c r="OM348" i="31"/>
  <c r="MZ348" i="31"/>
  <c r="OZ347" i="31"/>
  <c r="OI347" i="31"/>
  <c r="OB347" i="31"/>
  <c r="OT348" i="31" s="1"/>
  <c r="OA347" i="31"/>
  <c r="MV348" i="31" s="1"/>
  <c r="CG347" i="31" l="1"/>
  <c r="CH347" i="31" s="1"/>
  <c r="CI347" i="31" s="1"/>
  <c r="CJ347" i="31" s="1"/>
  <c r="CO347" i="31" s="1"/>
  <c r="KT348" i="31"/>
  <c r="OG348" i="31"/>
  <c r="PA347" i="31"/>
  <c r="OC347" i="31"/>
  <c r="OD348" i="31" s="1"/>
  <c r="OH348" i="31" s="1"/>
  <c r="OJ347" i="31"/>
  <c r="OX348" i="31"/>
  <c r="OW347" i="31"/>
  <c r="MR348" i="31"/>
  <c r="CK347" i="31" l="1"/>
  <c r="CL347" i="31" s="1"/>
  <c r="OK348" i="31"/>
  <c r="MW348" i="31"/>
  <c r="OY348" i="31"/>
  <c r="MS348" i="31"/>
  <c r="KM348" i="31"/>
  <c r="KO349" i="31" s="1"/>
  <c r="KL348" i="31"/>
  <c r="KN349" i="31" s="1"/>
  <c r="CM347" i="31" l="1"/>
  <c r="CN347" i="31" s="1"/>
  <c r="CP347" i="31" s="1"/>
  <c r="FU347" i="31" s="1"/>
  <c r="FW347" i="31" s="1"/>
  <c r="KQ348" i="31"/>
  <c r="MT348" i="31"/>
  <c r="MO348" i="31"/>
  <c r="NQ348" i="31"/>
  <c r="MU348" i="31"/>
  <c r="NJ348" i="31"/>
  <c r="NH349" i="31"/>
  <c r="NI349" i="31" s="1"/>
  <c r="NP348" i="31"/>
  <c r="PE348" i="31"/>
  <c r="KP349" i="31"/>
  <c r="KR348" i="31"/>
  <c r="MX348" i="31"/>
  <c r="GB347" i="31" l="1"/>
  <c r="GC347" i="31" s="1"/>
  <c r="KU347" i="31"/>
  <c r="KX347" i="31"/>
  <c r="GN347" i="31" s="1"/>
  <c r="KV347" i="31" s="1"/>
  <c r="FH347" i="31"/>
  <c r="FI347" i="31" s="1"/>
  <c r="FJ348" i="31" s="1"/>
  <c r="GO347" i="31"/>
  <c r="CQ347" i="31"/>
  <c r="CR347" i="31" s="1"/>
  <c r="FZ347" i="31"/>
  <c r="GA347" i="31" s="1"/>
  <c r="HO347" i="31"/>
  <c r="IZ347" i="31" s="1"/>
  <c r="FX347" i="31"/>
  <c r="FY347" i="31" s="1"/>
  <c r="FP347" i="31"/>
  <c r="FS347" i="31" s="1"/>
  <c r="DY347" i="31" s="1"/>
  <c r="FE347" i="31"/>
  <c r="FF347" i="31" s="1"/>
  <c r="HW347" i="31" s="1"/>
  <c r="HX348" i="31" s="1"/>
  <c r="DQ347" i="31"/>
  <c r="DR347" i="31" s="1"/>
  <c r="DS347" i="31" s="1"/>
  <c r="AX347" i="31" s="1"/>
  <c r="AY348" i="31" s="1"/>
  <c r="JR347" i="31"/>
  <c r="JS347" i="31" s="1"/>
  <c r="KE347" i="31" s="1"/>
  <c r="NR348" i="31"/>
  <c r="KS348" i="31"/>
  <c r="NL348" i="31"/>
  <c r="NK348" i="31"/>
  <c r="NG349" i="31"/>
  <c r="OQ349" i="31"/>
  <c r="NB348" i="31"/>
  <c r="NA348" i="31"/>
  <c r="HU347" i="31"/>
  <c r="HV348" i="31" s="1"/>
  <c r="CT347" i="31" l="1"/>
  <c r="CS347" i="31"/>
  <c r="GQ347" i="31"/>
  <c r="HY347" i="31"/>
  <c r="FG348" i="31"/>
  <c r="JU347" i="31"/>
  <c r="KC347" i="31"/>
  <c r="HP347" i="31"/>
  <c r="HT347" i="31" s="1"/>
  <c r="JT348" i="31"/>
  <c r="HA347" i="31"/>
  <c r="IA347" i="31"/>
  <c r="IB347" i="31" s="1"/>
  <c r="KW348" i="31"/>
  <c r="HQ347" i="31"/>
  <c r="HR348" i="31" s="1"/>
  <c r="OR349" i="31"/>
  <c r="NC349" i="31"/>
  <c r="MQ349" i="31"/>
  <c r="AZ347" i="31"/>
  <c r="EN347" i="31"/>
  <c r="EM347" i="31"/>
  <c r="EW347" i="31" s="1"/>
  <c r="HS347" i="31" l="1"/>
  <c r="JG347" i="31" s="1"/>
  <c r="BB348" i="31"/>
  <c r="EQ347" i="31"/>
  <c r="IW347" i="31"/>
  <c r="DW347" i="31"/>
  <c r="DU348" i="31" s="1"/>
  <c r="ER348" i="31"/>
  <c r="IU347" i="31"/>
  <c r="IV347" i="31" s="1"/>
  <c r="IC347" i="31"/>
  <c r="ID347" i="31" s="1"/>
  <c r="IF347" i="31" s="1"/>
  <c r="KH347" i="31" s="1"/>
  <c r="JB347" i="31"/>
  <c r="EU348" i="31" l="1"/>
  <c r="KK347" i="31"/>
  <c r="KB347" i="31"/>
  <c r="IX347" i="31"/>
  <c r="DB347" i="31"/>
  <c r="DC347" i="31" s="1"/>
  <c r="DD348" i="31" s="1"/>
  <c r="DE349" i="31" s="1"/>
  <c r="IM347" i="31"/>
  <c r="DT347" i="31" s="1"/>
  <c r="DZ347" i="31" s="1"/>
  <c r="GM347" i="31"/>
  <c r="KI348" i="31"/>
  <c r="IN347" i="31"/>
  <c r="DF347" i="31"/>
  <c r="BC348" i="31"/>
  <c r="GT349" i="31" l="1"/>
  <c r="BD348" i="31"/>
  <c r="BE348" i="31"/>
  <c r="KJ348" i="31"/>
  <c r="GR347" i="31"/>
  <c r="GV347" i="31"/>
  <c r="FD347" i="31"/>
  <c r="GU347" i="31"/>
  <c r="GS347" i="31" l="1"/>
  <c r="BF348" i="31"/>
  <c r="BG348" i="31"/>
  <c r="IS347" i="31"/>
  <c r="FL348" i="31"/>
  <c r="FM348" i="31" l="1"/>
  <c r="BI348" i="31"/>
  <c r="BK348" i="31" s="1"/>
  <c r="BH348" i="31"/>
  <c r="JH347" i="31"/>
  <c r="JI347" i="31" s="1"/>
  <c r="IT347" i="31"/>
  <c r="GW347" i="31"/>
  <c r="HC347" i="31" s="1"/>
  <c r="FA348" i="31" s="1"/>
  <c r="HB348" i="31" s="1"/>
  <c r="GX347" i="31"/>
  <c r="GY347" i="31"/>
  <c r="HM347" i="31" l="1"/>
  <c r="EG347" i="31"/>
  <c r="EH348" i="31" s="1"/>
  <c r="EI348" i="31" s="1"/>
  <c r="FK348" i="31" s="1"/>
  <c r="EY347" i="31"/>
  <c r="HK348" i="31"/>
  <c r="BJ348" i="31"/>
  <c r="BL348" i="31"/>
  <c r="BM348" i="31"/>
  <c r="JK347" i="31"/>
  <c r="JZ347" i="31" s="1"/>
  <c r="KF347" i="31" s="1"/>
  <c r="IQ348" i="31" s="1"/>
  <c r="JM347" i="31" l="1"/>
  <c r="KD347" i="31" s="1"/>
  <c r="IL348" i="31" s="1"/>
  <c r="IR348" i="31" s="1"/>
  <c r="JN347" i="31"/>
  <c r="JV347" i="31" s="1"/>
  <c r="JF348" i="31" s="1"/>
  <c r="JY348" i="31" s="1"/>
  <c r="EZ347" i="31"/>
  <c r="DG347" i="31"/>
  <c r="DH347" i="31" s="1"/>
  <c r="DI348" i="31" s="1"/>
  <c r="JL347" i="31"/>
  <c r="JJ348" i="31" s="1"/>
  <c r="KA348" i="31"/>
  <c r="EJ347" i="31"/>
  <c r="EK348" i="31" s="1"/>
  <c r="EE347" i="31"/>
  <c r="EF348" i="31" s="1"/>
  <c r="ED347" i="31"/>
  <c r="EB348" i="31" s="1"/>
  <c r="JA348" i="31" s="1"/>
  <c r="BN348" i="31"/>
  <c r="BO348" i="31"/>
  <c r="JE348" i="31" l="1"/>
  <c r="JO348" i="31"/>
  <c r="JW348" i="31"/>
  <c r="IY348" i="31"/>
  <c r="DP348" i="31"/>
  <c r="GZ348" i="31"/>
  <c r="IE348" i="31" s="1"/>
  <c r="DJ348" i="31"/>
  <c r="DK348" i="31" s="1"/>
  <c r="IO348" i="31"/>
  <c r="FC348" i="31"/>
  <c r="EL348" i="31"/>
  <c r="EP348" i="31"/>
  <c r="ET349" i="31" s="1"/>
  <c r="EO348" i="31"/>
  <c r="ES349" i="31" s="1"/>
  <c r="EV348" i="31"/>
  <c r="HZ348" i="31"/>
  <c r="IP348" i="31"/>
  <c r="JC348" i="31"/>
  <c r="JD348" i="31"/>
  <c r="BP348" i="31"/>
  <c r="BQ348" i="31" s="1"/>
  <c r="JX348" i="31" l="1"/>
  <c r="BR348" i="31"/>
  <c r="BS348" i="31"/>
  <c r="BT348" i="31" s="1"/>
  <c r="EC348" i="31"/>
  <c r="KG348" i="31"/>
  <c r="JP348" i="31"/>
  <c r="JQ348" i="31" s="1"/>
  <c r="FQ348" i="31"/>
  <c r="DM348" i="31"/>
  <c r="DX348" i="31"/>
  <c r="BU348" i="31" l="1"/>
  <c r="BV348" i="31" s="1"/>
  <c r="BW348" i="31" s="1"/>
  <c r="DL348" i="31"/>
  <c r="L349" i="31"/>
  <c r="EX348" i="31"/>
  <c r="M348" i="31" s="1"/>
  <c r="FB348" i="31"/>
  <c r="BY348" i="31" l="1"/>
  <c r="CA348" i="31" s="1"/>
  <c r="BX348" i="31"/>
  <c r="MB348" i="31"/>
  <c r="MJ348" i="31"/>
  <c r="NS348" i="31" s="1"/>
  <c r="NM348" i="31" l="1"/>
  <c r="NN348" i="31" s="1"/>
  <c r="BZ348" i="31"/>
  <c r="CB348" i="31"/>
  <c r="CC348" i="31" s="1"/>
  <c r="NT348" i="31"/>
  <c r="OU349" i="31"/>
  <c r="CD348" i="31" l="1"/>
  <c r="CE348" i="31"/>
  <c r="CF348" i="31" s="1"/>
  <c r="OV349" i="31"/>
  <c r="NW348" i="31"/>
  <c r="NX348" i="31" s="1"/>
  <c r="CX348" i="31"/>
  <c r="FR348" i="31"/>
  <c r="FV348" i="31"/>
  <c r="NU348" i="31"/>
  <c r="CG348" i="31" l="1"/>
  <c r="CH348" i="31" s="1"/>
  <c r="CI348" i="31" s="1"/>
  <c r="MY348" i="31"/>
  <c r="NZ348" i="31"/>
  <c r="CY349" i="31"/>
  <c r="NY348" i="31"/>
  <c r="OF348" i="31"/>
  <c r="OS349" i="31" s="1"/>
  <c r="NV348" i="31"/>
  <c r="CJ348" i="31" l="1"/>
  <c r="CO348" i="31" s="1"/>
  <c r="CK348" i="31"/>
  <c r="CL348" i="31" s="1"/>
  <c r="OA348" i="31"/>
  <c r="MV349" i="31" s="1"/>
  <c r="OG349" i="31" s="1"/>
  <c r="OM349" i="31"/>
  <c r="OO349" i="31"/>
  <c r="NF349" i="31"/>
  <c r="OB348" i="31"/>
  <c r="OT349" i="31" s="1"/>
  <c r="OI348" i="31"/>
  <c r="MZ349" i="31"/>
  <c r="OZ348" i="31"/>
  <c r="CM348" i="31" l="1"/>
  <c r="CN348" i="31" s="1"/>
  <c r="CP348" i="31" s="1"/>
  <c r="KT349" i="31"/>
  <c r="KL349" i="31" s="1"/>
  <c r="KN350" i="31" s="1"/>
  <c r="OX349" i="31"/>
  <c r="MR349" i="31"/>
  <c r="OW348" i="31"/>
  <c r="PA348" i="31"/>
  <c r="OC348" i="31"/>
  <c r="OD349" i="31" s="1"/>
  <c r="OH349" i="31" s="1"/>
  <c r="OK349" i="31" s="1"/>
  <c r="OJ348" i="31"/>
  <c r="KM349" i="31" l="1"/>
  <c r="KO350" i="31" s="1"/>
  <c r="KP350" i="31" s="1"/>
  <c r="MS349" i="31"/>
  <c r="OY349" i="31"/>
  <c r="MW349" i="31"/>
  <c r="FX348" i="31"/>
  <c r="FY348" i="31" s="1"/>
  <c r="CQ348" i="31"/>
  <c r="HO348" i="31"/>
  <c r="GB348" i="31"/>
  <c r="GC348" i="31" s="1"/>
  <c r="GO348" i="31"/>
  <c r="JR348" i="31"/>
  <c r="JS348" i="31" s="1"/>
  <c r="FZ348" i="31"/>
  <c r="GA348" i="31" s="1"/>
  <c r="FU348" i="31"/>
  <c r="FW348" i="31" s="1"/>
  <c r="FP348" i="31"/>
  <c r="FS348" i="31" s="1"/>
  <c r="DQ348" i="31"/>
  <c r="DR348" i="31" s="1"/>
  <c r="DS348" i="31" s="1"/>
  <c r="AX348" i="31" s="1"/>
  <c r="AY349" i="31" s="1"/>
  <c r="FE348" i="31"/>
  <c r="FF348" i="31" s="1"/>
  <c r="FH348" i="31"/>
  <c r="FI348" i="31" s="1"/>
  <c r="KX348" i="31"/>
  <c r="KU348" i="31"/>
  <c r="KQ349" i="31"/>
  <c r="GN348" i="31" l="1"/>
  <c r="GQ348" i="31" s="1"/>
  <c r="KR349" i="31"/>
  <c r="JU348" i="31"/>
  <c r="KC348" i="31"/>
  <c r="JT349" i="31"/>
  <c r="KE348" i="31"/>
  <c r="HU348" i="31"/>
  <c r="HV349" i="31" s="1"/>
  <c r="FJ349" i="31"/>
  <c r="HP348" i="31"/>
  <c r="IA348" i="31"/>
  <c r="IB348" i="31" s="1"/>
  <c r="IZ348" i="31"/>
  <c r="CR348" i="31"/>
  <c r="CT348" i="31"/>
  <c r="CS348" i="31"/>
  <c r="EM348" i="31"/>
  <c r="EW348" i="31" s="1"/>
  <c r="EN348" i="31"/>
  <c r="AZ348" i="31"/>
  <c r="HA348" i="31"/>
  <c r="HY348" i="31"/>
  <c r="DY348" i="31"/>
  <c r="HW348" i="31"/>
  <c r="HX349" i="31" s="1"/>
  <c r="FG349" i="31"/>
  <c r="MX349" i="31"/>
  <c r="KS349" i="31"/>
  <c r="NQ349" i="31"/>
  <c r="MO349" i="31"/>
  <c r="NP349" i="31"/>
  <c r="NJ349" i="31"/>
  <c r="NH350" i="31"/>
  <c r="NI350" i="31" s="1"/>
  <c r="MU349" i="31"/>
  <c r="MT349" i="31"/>
  <c r="PE349" i="31"/>
  <c r="KV348" i="31" l="1"/>
  <c r="KW349" i="31" s="1"/>
  <c r="HQ348" i="31"/>
  <c r="HR349" i="31" s="1"/>
  <c r="NR349" i="31"/>
  <c r="HT348" i="31"/>
  <c r="HS348" i="31"/>
  <c r="JG348" i="31" s="1"/>
  <c r="NK349" i="31"/>
  <c r="NL349" i="31"/>
  <c r="NG350" i="31"/>
  <c r="OQ350" i="31"/>
  <c r="NB349" i="31"/>
  <c r="NA349" i="31"/>
  <c r="BB349" i="31"/>
  <c r="DW348" i="31"/>
  <c r="DU349" i="31" s="1"/>
  <c r="IW348" i="31"/>
  <c r="EQ348" i="31"/>
  <c r="ER349" i="31"/>
  <c r="IU348" i="31"/>
  <c r="IV348" i="31" s="1"/>
  <c r="NC350" i="31" l="1"/>
  <c r="MQ350" i="31"/>
  <c r="BC349" i="31"/>
  <c r="KK348" i="31"/>
  <c r="KB348" i="31"/>
  <c r="IX348" i="31"/>
  <c r="OR350" i="31"/>
  <c r="IC348" i="31"/>
  <c r="ID348" i="31" s="1"/>
  <c r="IF348" i="31" s="1"/>
  <c r="KH348" i="31" s="1"/>
  <c r="JB348" i="31"/>
  <c r="EU349" i="31"/>
  <c r="BD349" i="31" l="1"/>
  <c r="BE349" i="31"/>
  <c r="DF348" i="31"/>
  <c r="IM348" i="31"/>
  <c r="GM348" i="31"/>
  <c r="DB348" i="31"/>
  <c r="DC348" i="31" s="1"/>
  <c r="DD349" i="31" s="1"/>
  <c r="DE350" i="31" s="1"/>
  <c r="KI349" i="31"/>
  <c r="IN348" i="31"/>
  <c r="GT350" i="31" l="1"/>
  <c r="DT348" i="31"/>
  <c r="DZ348" i="31" s="1"/>
  <c r="GR348" i="31"/>
  <c r="GV348" i="31"/>
  <c r="GU348" i="31"/>
  <c r="FD348" i="31"/>
  <c r="KJ349" i="31"/>
  <c r="BF349" i="31"/>
  <c r="BG349" i="31"/>
  <c r="IS348" i="31" l="1"/>
  <c r="FL349" i="31"/>
  <c r="GS348" i="31"/>
  <c r="BH349" i="31"/>
  <c r="BI349" i="31"/>
  <c r="BK349" i="31" s="1"/>
  <c r="GX348" i="31" l="1"/>
  <c r="GY348" i="31"/>
  <c r="GW348" i="31"/>
  <c r="HC348" i="31" s="1"/>
  <c r="FA349" i="31" s="1"/>
  <c r="HB349" i="31" s="1"/>
  <c r="FM349" i="31"/>
  <c r="BL349" i="31"/>
  <c r="BM349" i="31"/>
  <c r="BJ349" i="31"/>
  <c r="JH348" i="31"/>
  <c r="JI348" i="31" s="1"/>
  <c r="IT348" i="31"/>
  <c r="BO349" i="31" l="1"/>
  <c r="BN349" i="31"/>
  <c r="JK348" i="31"/>
  <c r="HM348" i="31"/>
  <c r="EY348" i="31"/>
  <c r="EG348" i="31"/>
  <c r="EH349" i="31" s="1"/>
  <c r="EI349" i="31" s="1"/>
  <c r="FK349" i="31" s="1"/>
  <c r="HK349" i="31"/>
  <c r="BP349" i="31" l="1"/>
  <c r="BQ349" i="31" s="1"/>
  <c r="JM348" i="31"/>
  <c r="KD348" i="31" s="1"/>
  <c r="IL349" i="31" s="1"/>
  <c r="JL348" i="31"/>
  <c r="JJ349" i="31" s="1"/>
  <c r="KA349" i="31"/>
  <c r="EZ348" i="31"/>
  <c r="DG348" i="31"/>
  <c r="DH348" i="31" s="1"/>
  <c r="DI349" i="31" s="1"/>
  <c r="EE348" i="31"/>
  <c r="EF349" i="31" s="1"/>
  <c r="EJ348" i="31"/>
  <c r="EK349" i="31" s="1"/>
  <c r="ED348" i="31"/>
  <c r="EB349" i="31" s="1"/>
  <c r="JN348" i="31"/>
  <c r="JV348" i="31" s="1"/>
  <c r="JF349" i="31" s="1"/>
  <c r="JZ348" i="31"/>
  <c r="KF348" i="31" s="1"/>
  <c r="IQ349" i="31" s="1"/>
  <c r="BR349" i="31" l="1"/>
  <c r="BS349" i="31"/>
  <c r="BU349" i="31" s="1"/>
  <c r="JC349" i="31"/>
  <c r="JD349" i="31"/>
  <c r="DP349" i="31"/>
  <c r="GZ349" i="31"/>
  <c r="IE349" i="31" s="1"/>
  <c r="DJ349" i="31"/>
  <c r="DK349" i="31" s="1"/>
  <c r="IR349" i="31"/>
  <c r="JE349" i="31"/>
  <c r="JO349" i="31"/>
  <c r="JA349" i="31"/>
  <c r="IY349" i="31"/>
  <c r="HZ349" i="31"/>
  <c r="IO349" i="31"/>
  <c r="IP349" i="31"/>
  <c r="BT349" i="31"/>
  <c r="JW349" i="31"/>
  <c r="JY349" i="31"/>
  <c r="EL349" i="31"/>
  <c r="EP349" i="31"/>
  <c r="ET350" i="31" s="1"/>
  <c r="FC349" i="31"/>
  <c r="EO349" i="31"/>
  <c r="ES350" i="31" s="1"/>
  <c r="EV349" i="31"/>
  <c r="JX349" i="31" l="1"/>
  <c r="JP349" i="31"/>
  <c r="JQ349" i="31" s="1"/>
  <c r="EC349" i="31"/>
  <c r="KG349" i="31"/>
  <c r="DM349" i="31"/>
  <c r="FQ349" i="31"/>
  <c r="DX349" i="31"/>
  <c r="BV349" i="31"/>
  <c r="BW349" i="31" s="1"/>
  <c r="BX349" i="31" l="1"/>
  <c r="BY349" i="31"/>
  <c r="DL349" i="31"/>
  <c r="L350" i="31"/>
  <c r="FB349" i="31"/>
  <c r="EX349" i="31"/>
  <c r="M349" i="31" s="1"/>
  <c r="BZ349" i="31" l="1"/>
  <c r="CA349" i="31"/>
  <c r="MB349" i="31"/>
  <c r="MJ349" i="31"/>
  <c r="NS349" i="31" s="1"/>
  <c r="NM349" i="31" l="1"/>
  <c r="NN349" i="31" s="1"/>
  <c r="CB349" i="31"/>
  <c r="CC349" i="31" s="1"/>
  <c r="NT349" i="31"/>
  <c r="OU350" i="31"/>
  <c r="CD349" i="31" l="1"/>
  <c r="CE349" i="31"/>
  <c r="CF349" i="31" s="1"/>
  <c r="OV350" i="31"/>
  <c r="NW349" i="31"/>
  <c r="NX349" i="31" s="1"/>
  <c r="FV349" i="31"/>
  <c r="FR349" i="31"/>
  <c r="CX349" i="31"/>
  <c r="NU349" i="31"/>
  <c r="CG349" i="31" l="1"/>
  <c r="CH349" i="31" s="1"/>
  <c r="CI349" i="31" s="1"/>
  <c r="NV349" i="31"/>
  <c r="NZ349" i="31"/>
  <c r="MY349" i="31"/>
  <c r="CY350" i="31"/>
  <c r="NY349" i="31"/>
  <c r="OF349" i="31"/>
  <c r="OS350" i="31" s="1"/>
  <c r="CJ349" i="31" l="1"/>
  <c r="CO349" i="31" s="1"/>
  <c r="CK349" i="31"/>
  <c r="CM349" i="31" s="1"/>
  <c r="CN349" i="31" s="1"/>
  <c r="OB349" i="31"/>
  <c r="OT350" i="31" s="1"/>
  <c r="OA349" i="31"/>
  <c r="MV350" i="31" s="1"/>
  <c r="OG350" i="31" s="1"/>
  <c r="OI349" i="31"/>
  <c r="OM350" i="31"/>
  <c r="NF350" i="31"/>
  <c r="OO350" i="31"/>
  <c r="MZ350" i="31"/>
  <c r="OZ349" i="31"/>
  <c r="CL349" i="31" l="1"/>
  <c r="CP349" i="31" s="1"/>
  <c r="FX349" i="31" s="1"/>
  <c r="FY349" i="31" s="1"/>
  <c r="OC349" i="31"/>
  <c r="OD350" i="31" s="1"/>
  <c r="OH350" i="31" s="1"/>
  <c r="OK350" i="31" s="1"/>
  <c r="MR350" i="31"/>
  <c r="OX350" i="31"/>
  <c r="OW349" i="31"/>
  <c r="PA349" i="31"/>
  <c r="KT350" i="31"/>
  <c r="OJ349" i="31"/>
  <c r="FP349" i="31" l="1"/>
  <c r="FS349" i="31" s="1"/>
  <c r="HY349" i="31" s="1"/>
  <c r="KU349" i="31"/>
  <c r="KX349" i="31"/>
  <c r="GN349" i="31" s="1"/>
  <c r="KV349" i="31" s="1"/>
  <c r="GO349" i="31"/>
  <c r="DQ349" i="31"/>
  <c r="DR349" i="31" s="1"/>
  <c r="DS349" i="31" s="1"/>
  <c r="AX349" i="31" s="1"/>
  <c r="AY350" i="31" s="1"/>
  <c r="HO349" i="31"/>
  <c r="IA349" i="31" s="1"/>
  <c r="IB349" i="31" s="1"/>
  <c r="CQ349" i="31"/>
  <c r="CR349" i="31" s="1"/>
  <c r="FH349" i="31"/>
  <c r="FI349" i="31" s="1"/>
  <c r="FJ350" i="31" s="1"/>
  <c r="FE349" i="31"/>
  <c r="FF349" i="31" s="1"/>
  <c r="FG350" i="31" s="1"/>
  <c r="JR349" i="31"/>
  <c r="JS349" i="31" s="1"/>
  <c r="JU349" i="31" s="1"/>
  <c r="FU349" i="31"/>
  <c r="FW349" i="31" s="1"/>
  <c r="FZ349" i="31"/>
  <c r="GA349" i="31" s="1"/>
  <c r="GB349" i="31"/>
  <c r="GC349" i="31" s="1"/>
  <c r="MS350" i="31"/>
  <c r="OY350" i="31"/>
  <c r="MW350" i="31"/>
  <c r="KM350" i="31"/>
  <c r="KO351" i="31" s="1"/>
  <c r="KL350" i="31"/>
  <c r="KN351" i="31" s="1"/>
  <c r="HA349" i="31" l="1"/>
  <c r="DY349" i="31"/>
  <c r="HW349" i="31"/>
  <c r="HX350" i="31" s="1"/>
  <c r="GQ349" i="31"/>
  <c r="JT350" i="31"/>
  <c r="KC349" i="31"/>
  <c r="CT349" i="31"/>
  <c r="CS349" i="31"/>
  <c r="KE349" i="31"/>
  <c r="HU349" i="31"/>
  <c r="HV350" i="31" s="1"/>
  <c r="IZ349" i="31"/>
  <c r="HP349" i="31"/>
  <c r="HT349" i="31" s="1"/>
  <c r="KW350" i="31"/>
  <c r="HQ349" i="31"/>
  <c r="HR350" i="31" s="1"/>
  <c r="MX350" i="31"/>
  <c r="EN349" i="31"/>
  <c r="AZ349" i="31"/>
  <c r="EM349" i="31"/>
  <c r="EW349" i="31" s="1"/>
  <c r="KQ350" i="31"/>
  <c r="KP351" i="31"/>
  <c r="KR350" i="31"/>
  <c r="MU350" i="31"/>
  <c r="MT350" i="31"/>
  <c r="MO350" i="31"/>
  <c r="NQ350" i="31"/>
  <c r="NP350" i="31"/>
  <c r="NJ350" i="31"/>
  <c r="NH351" i="31"/>
  <c r="NI351" i="31" s="1"/>
  <c r="PE350" i="31"/>
  <c r="HS349" i="31" l="1"/>
  <c r="JG349" i="31" s="1"/>
  <c r="NL350" i="31"/>
  <c r="NK350" i="31"/>
  <c r="NG351" i="31"/>
  <c r="OQ351" i="31"/>
  <c r="BB350" i="31"/>
  <c r="EQ349" i="31"/>
  <c r="DW349" i="31"/>
  <c r="DU350" i="31" s="1"/>
  <c r="IW349" i="31"/>
  <c r="ER350" i="31"/>
  <c r="IU349" i="31"/>
  <c r="IV349" i="31" s="1"/>
  <c r="IC349" i="31"/>
  <c r="ID349" i="31" s="1"/>
  <c r="IF349" i="31" s="1"/>
  <c r="KH349" i="31" s="1"/>
  <c r="JB349" i="31"/>
  <c r="NR350" i="31"/>
  <c r="KS350" i="31"/>
  <c r="NB350" i="31"/>
  <c r="NA350" i="31"/>
  <c r="OR351" i="31" l="1"/>
  <c r="DB349" i="31"/>
  <c r="DC349" i="31" s="1"/>
  <c r="DD350" i="31" s="1"/>
  <c r="DE351" i="31" s="1"/>
  <c r="GM349" i="31"/>
  <c r="IM349" i="31"/>
  <c r="KI350" i="31"/>
  <c r="IN349" i="31"/>
  <c r="DF349" i="31"/>
  <c r="KK349" i="31"/>
  <c r="KB349" i="31"/>
  <c r="IX349" i="31"/>
  <c r="NC351" i="31"/>
  <c r="MQ351" i="31"/>
  <c r="EU350" i="31"/>
  <c r="BC350" i="31"/>
  <c r="GT351" i="31" l="1"/>
  <c r="DT349" i="31"/>
  <c r="DZ349" i="31" s="1"/>
  <c r="GU349" i="31"/>
  <c r="FD349" i="31"/>
  <c r="GV349" i="31"/>
  <c r="GR349" i="31"/>
  <c r="BD350" i="31"/>
  <c r="BE350" i="31"/>
  <c r="KJ350" i="31"/>
  <c r="GS349" i="31" l="1"/>
  <c r="BG350" i="31"/>
  <c r="BF350" i="31"/>
  <c r="IS349" i="31"/>
  <c r="FL350" i="31"/>
  <c r="JH349" i="31" l="1"/>
  <c r="JI349" i="31" s="1"/>
  <c r="IT349" i="31"/>
  <c r="FM350" i="31"/>
  <c r="BH350" i="31"/>
  <c r="BI350" i="31"/>
  <c r="BK350" i="31" s="1"/>
  <c r="GY349" i="31"/>
  <c r="GX349" i="31"/>
  <c r="GW349" i="31"/>
  <c r="HC349" i="31" s="1"/>
  <c r="FA350" i="31" s="1"/>
  <c r="HB350" i="31" s="1"/>
  <c r="BL350" i="31" l="1"/>
  <c r="BM350" i="31"/>
  <c r="EY349" i="31"/>
  <c r="EG349" i="31"/>
  <c r="EH350" i="31" s="1"/>
  <c r="EI350" i="31" s="1"/>
  <c r="FK350" i="31" s="1"/>
  <c r="HM349" i="31"/>
  <c r="HK350" i="31"/>
  <c r="BJ350" i="31"/>
  <c r="JK349" i="31"/>
  <c r="JM349" i="31" s="1"/>
  <c r="KD349" i="31" s="1"/>
  <c r="IL350" i="31" s="1"/>
  <c r="JZ349" i="31" l="1"/>
  <c r="KF349" i="31" s="1"/>
  <c r="IQ350" i="31" s="1"/>
  <c r="JL349" i="31"/>
  <c r="JJ350" i="31" s="1"/>
  <c r="KA350" i="31"/>
  <c r="EZ349" i="31"/>
  <c r="DG349" i="31"/>
  <c r="DH349" i="31" s="1"/>
  <c r="DI350" i="31" s="1"/>
  <c r="JN349" i="31"/>
  <c r="JV349" i="31" s="1"/>
  <c r="JF350" i="31" s="1"/>
  <c r="BN350" i="31"/>
  <c r="BO350" i="31"/>
  <c r="ED349" i="31"/>
  <c r="EB350" i="31" s="1"/>
  <c r="EE349" i="31"/>
  <c r="EF350" i="31" s="1"/>
  <c r="IO350" i="31" s="1"/>
  <c r="EJ349" i="31"/>
  <c r="EK350" i="31" s="1"/>
  <c r="JW350" i="31" l="1"/>
  <c r="JY350" i="31"/>
  <c r="EL350" i="31"/>
  <c r="FC350" i="31"/>
  <c r="EP350" i="31"/>
  <c r="ET351" i="31" s="1"/>
  <c r="EO350" i="31"/>
  <c r="ES351" i="31" s="1"/>
  <c r="EV350" i="31"/>
  <c r="IP350" i="31"/>
  <c r="HZ350" i="31"/>
  <c r="DP350" i="31"/>
  <c r="BP350" i="31"/>
  <c r="BQ350" i="31" s="1"/>
  <c r="GZ350" i="31"/>
  <c r="IE350" i="31" s="1"/>
  <c r="DJ350" i="31"/>
  <c r="DK350" i="31" s="1"/>
  <c r="JC350" i="31"/>
  <c r="JD350" i="31"/>
  <c r="JA350" i="31"/>
  <c r="IY350" i="31"/>
  <c r="JP350" i="31" s="1"/>
  <c r="JQ350" i="31" s="1"/>
  <c r="IR350" i="31"/>
  <c r="JE350" i="31"/>
  <c r="JO350" i="31"/>
  <c r="JX350" i="31" l="1"/>
  <c r="KG350" i="31"/>
  <c r="DM350" i="31"/>
  <c r="FQ350" i="31"/>
  <c r="DX350" i="31"/>
  <c r="BR350" i="31"/>
  <c r="BS350" i="31"/>
  <c r="EC350" i="31"/>
  <c r="BT350" i="31" l="1"/>
  <c r="BU350" i="31"/>
  <c r="FB350" i="31"/>
  <c r="EX350" i="31"/>
  <c r="M350" i="31" s="1"/>
  <c r="DL350" i="31"/>
  <c r="L351" i="31"/>
  <c r="MB350" i="31" l="1"/>
  <c r="MJ350" i="31"/>
  <c r="NS350" i="31" s="1"/>
  <c r="BV350" i="31"/>
  <c r="BW350" i="31" s="1"/>
  <c r="NM350" i="31" l="1"/>
  <c r="NN350" i="31" s="1"/>
  <c r="BX350" i="31"/>
  <c r="BY350" i="31"/>
  <c r="NT350" i="31"/>
  <c r="OU351" i="31"/>
  <c r="OV351" i="31" l="1"/>
  <c r="NW350" i="31"/>
  <c r="BZ350" i="31"/>
  <c r="CA350" i="31"/>
  <c r="NX350" i="31"/>
  <c r="OF350" i="31" s="1"/>
  <c r="OS351" i="31" s="1"/>
  <c r="CX350" i="31"/>
  <c r="FV350" i="31"/>
  <c r="FR350" i="31"/>
  <c r="NU350" i="31"/>
  <c r="CB350" i="31" l="1"/>
  <c r="CC350" i="31" s="1"/>
  <c r="NV350" i="31"/>
  <c r="NY350" i="31"/>
  <c r="MY350" i="31"/>
  <c r="NZ350" i="31"/>
  <c r="CY351" i="31"/>
  <c r="CD350" i="31" l="1"/>
  <c r="CE350" i="31"/>
  <c r="CF350" i="31" s="1"/>
  <c r="OM351" i="31"/>
  <c r="OO351" i="31"/>
  <c r="NF351" i="31"/>
  <c r="MZ351" i="31"/>
  <c r="OZ350" i="31"/>
  <c r="OB350" i="31"/>
  <c r="OT351" i="31" s="1"/>
  <c r="OI350" i="31"/>
  <c r="OA350" i="31"/>
  <c r="MV351" i="31" s="1"/>
  <c r="CG350" i="31" l="1"/>
  <c r="CH350" i="31" s="1"/>
  <c r="CI350" i="31" s="1"/>
  <c r="CK350" i="31" s="1"/>
  <c r="CM350" i="31" s="1"/>
  <c r="CN350" i="31" s="1"/>
  <c r="OX351" i="31"/>
  <c r="MR351" i="31"/>
  <c r="OW350" i="31"/>
  <c r="PA350" i="31"/>
  <c r="OC350" i="31"/>
  <c r="OD351" i="31" s="1"/>
  <c r="OH351" i="31" s="1"/>
  <c r="OJ350" i="31"/>
  <c r="KT351" i="31"/>
  <c r="OG351" i="31"/>
  <c r="CJ350" i="31" l="1"/>
  <c r="CO350" i="31" s="1"/>
  <c r="CL350" i="31"/>
  <c r="CP350" i="31" s="1"/>
  <c r="OY351" i="31"/>
  <c r="MW351" i="31"/>
  <c r="KL351" i="31"/>
  <c r="KN352" i="31" s="1"/>
  <c r="KM351" i="31"/>
  <c r="KO352" i="31" s="1"/>
  <c r="MS351" i="31"/>
  <c r="OK351" i="31"/>
  <c r="FE350" i="31" l="1"/>
  <c r="FF350" i="31" s="1"/>
  <c r="HW350" i="31" s="1"/>
  <c r="HX351" i="31" s="1"/>
  <c r="GB350" i="31"/>
  <c r="GC350" i="31" s="1"/>
  <c r="FP350" i="31"/>
  <c r="FS350" i="31" s="1"/>
  <c r="HY350" i="31" s="1"/>
  <c r="FU350" i="31"/>
  <c r="FW350" i="31" s="1"/>
  <c r="FX350" i="31"/>
  <c r="FY350" i="31" s="1"/>
  <c r="JR350" i="31"/>
  <c r="JS350" i="31" s="1"/>
  <c r="KC350" i="31" s="1"/>
  <c r="KU350" i="31"/>
  <c r="KX350" i="31"/>
  <c r="GN350" i="31" s="1"/>
  <c r="KV350" i="31" s="1"/>
  <c r="HO350" i="31"/>
  <c r="HP350" i="31" s="1"/>
  <c r="CQ350" i="31"/>
  <c r="CS350" i="31" s="1"/>
  <c r="GO350" i="31"/>
  <c r="FZ350" i="31"/>
  <c r="GA350" i="31" s="1"/>
  <c r="FH350" i="31"/>
  <c r="FI350" i="31" s="1"/>
  <c r="FJ351" i="31" s="1"/>
  <c r="DQ350" i="31"/>
  <c r="DR350" i="31" s="1"/>
  <c r="DS350" i="31" s="1"/>
  <c r="AX350" i="31" s="1"/>
  <c r="AY351" i="31" s="1"/>
  <c r="MU351" i="31"/>
  <c r="NP351" i="31"/>
  <c r="MO351" i="31"/>
  <c r="MT351" i="31"/>
  <c r="NH352" i="31"/>
  <c r="NI352" i="31" s="1"/>
  <c r="NJ351" i="31"/>
  <c r="NQ351" i="31"/>
  <c r="PE351" i="31"/>
  <c r="MX351" i="31"/>
  <c r="KP352" i="31"/>
  <c r="KR351" i="31"/>
  <c r="KQ351" i="31"/>
  <c r="FG351" i="31" l="1"/>
  <c r="HA350" i="31"/>
  <c r="DY350" i="31"/>
  <c r="HU350" i="31"/>
  <c r="HV351" i="31" s="1"/>
  <c r="JT351" i="31"/>
  <c r="JU350" i="31"/>
  <c r="GQ350" i="31"/>
  <c r="KE350" i="31"/>
  <c r="KW351" i="31"/>
  <c r="HQ350" i="31"/>
  <c r="HR351" i="31" s="1"/>
  <c r="IA350" i="31"/>
  <c r="IB350" i="31" s="1"/>
  <c r="IZ350" i="31"/>
  <c r="CR350" i="31"/>
  <c r="CT350" i="31"/>
  <c r="NR351" i="31"/>
  <c r="NK351" i="31"/>
  <c r="NL351" i="31"/>
  <c r="NG352" i="31"/>
  <c r="OQ352" i="31"/>
  <c r="HS350" i="31"/>
  <c r="JG350" i="31" s="1"/>
  <c r="HT350" i="31"/>
  <c r="KS351" i="31"/>
  <c r="NA351" i="31"/>
  <c r="NB351" i="31"/>
  <c r="AZ350" i="31"/>
  <c r="EN350" i="31"/>
  <c r="EM350" i="31"/>
  <c r="EW350" i="31" s="1"/>
  <c r="BB351" i="31" l="1"/>
  <c r="DW350" i="31"/>
  <c r="DU351" i="31" s="1"/>
  <c r="EQ350" i="31"/>
  <c r="IW350" i="31"/>
  <c r="ER351" i="31"/>
  <c r="IU350" i="31"/>
  <c r="IV350" i="31" s="1"/>
  <c r="IC350" i="31"/>
  <c r="ID350" i="31" s="1"/>
  <c r="IF350" i="31" s="1"/>
  <c r="KH350" i="31" s="1"/>
  <c r="JB350" i="31"/>
  <c r="NC352" i="31"/>
  <c r="MQ352" i="31"/>
  <c r="OR352" i="31"/>
  <c r="EU351" i="31" l="1"/>
  <c r="IM350" i="31"/>
  <c r="DB350" i="31"/>
  <c r="DC350" i="31" s="1"/>
  <c r="DD351" i="31" s="1"/>
  <c r="DE352" i="31" s="1"/>
  <c r="GM350" i="31"/>
  <c r="KI351" i="31"/>
  <c r="IN350" i="31"/>
  <c r="DF350" i="31"/>
  <c r="BC351" i="31"/>
  <c r="KK350" i="31"/>
  <c r="KB350" i="31"/>
  <c r="IX350" i="31"/>
  <c r="GT352" i="31" l="1"/>
  <c r="DT350" i="31"/>
  <c r="DZ350" i="31" s="1"/>
  <c r="FD350" i="31"/>
  <c r="GV350" i="31"/>
  <c r="GU350" i="31"/>
  <c r="KJ351" i="31"/>
  <c r="BE351" i="31"/>
  <c r="BD351" i="31"/>
  <c r="GR350" i="31"/>
  <c r="BF351" i="31" l="1"/>
  <c r="BG351" i="31"/>
  <c r="GS350" i="31"/>
  <c r="IS350" i="31"/>
  <c r="FL351" i="31"/>
  <c r="FM351" i="31" l="1"/>
  <c r="BI351" i="31"/>
  <c r="BK351" i="31" s="1"/>
  <c r="BH351" i="31"/>
  <c r="JH350" i="31"/>
  <c r="JI350" i="31" s="1"/>
  <c r="IT350" i="31"/>
  <c r="GX350" i="31"/>
  <c r="GW350" i="31"/>
  <c r="HC350" i="31" s="1"/>
  <c r="FA351" i="31" s="1"/>
  <c r="HB351" i="31" s="1"/>
  <c r="GY350" i="31"/>
  <c r="BJ351" i="31" l="1"/>
  <c r="EY350" i="31"/>
  <c r="EG350" i="31"/>
  <c r="EH351" i="31" s="1"/>
  <c r="EI351" i="31" s="1"/>
  <c r="FK351" i="31" s="1"/>
  <c r="HM350" i="31"/>
  <c r="HK351" i="31"/>
  <c r="BL351" i="31"/>
  <c r="BM351" i="31"/>
  <c r="JK350" i="31"/>
  <c r="JZ350" i="31" s="1"/>
  <c r="KF350" i="31" s="1"/>
  <c r="IQ351" i="31" s="1"/>
  <c r="JN350" i="31" l="1"/>
  <c r="JV350" i="31" s="1"/>
  <c r="JF351" i="31" s="1"/>
  <c r="JW351" i="31" s="1"/>
  <c r="EJ350" i="31"/>
  <c r="EK351" i="31" s="1"/>
  <c r="ED350" i="31"/>
  <c r="EB351" i="31" s="1"/>
  <c r="JA351" i="31" s="1"/>
  <c r="EE350" i="31"/>
  <c r="EF351" i="31" s="1"/>
  <c r="JM350" i="31"/>
  <c r="KD350" i="31" s="1"/>
  <c r="IL351" i="31" s="1"/>
  <c r="IR351" i="31" s="1"/>
  <c r="JL350" i="31"/>
  <c r="JJ351" i="31" s="1"/>
  <c r="KA351" i="31"/>
  <c r="EZ350" i="31"/>
  <c r="DG350" i="31"/>
  <c r="DH350" i="31" s="1"/>
  <c r="DI351" i="31" s="1"/>
  <c r="BN351" i="31"/>
  <c r="BO351" i="31"/>
  <c r="JY351" i="31" l="1"/>
  <c r="JO351" i="31"/>
  <c r="JE351" i="31"/>
  <c r="HZ351" i="31"/>
  <c r="IO351" i="31"/>
  <c r="IP351" i="31"/>
  <c r="GZ351" i="31"/>
  <c r="KG351" i="31" s="1"/>
  <c r="DJ351" i="31"/>
  <c r="DK351" i="31" s="1"/>
  <c r="FC351" i="31"/>
  <c r="EP351" i="31"/>
  <c r="ET352" i="31" s="1"/>
  <c r="EO351" i="31"/>
  <c r="ES352" i="31" s="1"/>
  <c r="EL351" i="31"/>
  <c r="EV351" i="31"/>
  <c r="BP351" i="31"/>
  <c r="BQ351" i="31" s="1"/>
  <c r="JC351" i="31"/>
  <c r="JD351" i="31"/>
  <c r="DP351" i="31"/>
  <c r="IY351" i="31"/>
  <c r="IE351" i="31" l="1"/>
  <c r="JP351" i="31"/>
  <c r="JQ351" i="31" s="1"/>
  <c r="EC351" i="31"/>
  <c r="BR351" i="31"/>
  <c r="BS351" i="31"/>
  <c r="FQ351" i="31"/>
  <c r="DX351" i="31"/>
  <c r="DM351" i="31"/>
  <c r="JX351" i="31"/>
  <c r="BT351" i="31" l="1"/>
  <c r="BU351" i="31"/>
  <c r="DL351" i="31"/>
  <c r="L352" i="31"/>
  <c r="FB351" i="31"/>
  <c r="EX351" i="31"/>
  <c r="M351" i="31" s="1"/>
  <c r="BV351" i="31" l="1"/>
  <c r="BW351" i="31" s="1"/>
  <c r="MJ351" i="31"/>
  <c r="NS351" i="31" s="1"/>
  <c r="MB351" i="31"/>
  <c r="NM351" i="31" l="1"/>
  <c r="NN351" i="31" s="1"/>
  <c r="BY351" i="31"/>
  <c r="CA351" i="31" s="1"/>
  <c r="BX351" i="31"/>
  <c r="NT351" i="31"/>
  <c r="OU352" i="31"/>
  <c r="BZ351" i="31" l="1"/>
  <c r="OV352" i="31"/>
  <c r="NW351" i="31"/>
  <c r="NX351" i="31" s="1"/>
  <c r="FR351" i="31"/>
  <c r="CX351" i="31"/>
  <c r="FV351" i="31"/>
  <c r="NU351" i="31"/>
  <c r="CB351" i="31"/>
  <c r="CC351" i="31" s="1"/>
  <c r="CD351" i="31" l="1"/>
  <c r="CE351" i="31"/>
  <c r="CF351" i="31" s="1"/>
  <c r="NY351" i="31"/>
  <c r="NV351" i="31"/>
  <c r="NZ351" i="31"/>
  <c r="MY351" i="31"/>
  <c r="CY352" i="31"/>
  <c r="OF351" i="31"/>
  <c r="OS352" i="31" s="1"/>
  <c r="CG351" i="31" l="1"/>
  <c r="CH351" i="31" s="1"/>
  <c r="CI351" i="31" s="1"/>
  <c r="NF352" i="31"/>
  <c r="OM352" i="31"/>
  <c r="OO352" i="31"/>
  <c r="MZ352" i="31"/>
  <c r="OZ351" i="31"/>
  <c r="OI351" i="31"/>
  <c r="OB351" i="31"/>
  <c r="OT352" i="31" s="1"/>
  <c r="OA351" i="31"/>
  <c r="MV352" i="31" s="1"/>
  <c r="CJ351" i="31" l="1"/>
  <c r="CO351" i="31" s="1"/>
  <c r="CK351" i="31"/>
  <c r="CL351" i="31" s="1"/>
  <c r="OW351" i="31"/>
  <c r="MR352" i="31"/>
  <c r="OX352" i="31"/>
  <c r="PA351" i="31"/>
  <c r="OC351" i="31"/>
  <c r="OD352" i="31" s="1"/>
  <c r="OH352" i="31" s="1"/>
  <c r="OJ351" i="31"/>
  <c r="OG352" i="31"/>
  <c r="KT352" i="31"/>
  <c r="CM351" i="31" l="1"/>
  <c r="CN351" i="31" s="1"/>
  <c r="CP351" i="31" s="1"/>
  <c r="OK352" i="31"/>
  <c r="KM352" i="31"/>
  <c r="KO353" i="31" s="1"/>
  <c r="KL352" i="31"/>
  <c r="KN353" i="31" s="1"/>
  <c r="MS352" i="31"/>
  <c r="MW352" i="31"/>
  <c r="OY352" i="31"/>
  <c r="NH353" i="31" l="1"/>
  <c r="NI353" i="31" s="1"/>
  <c r="MO352" i="31"/>
  <c r="NJ352" i="31"/>
  <c r="MU352" i="31"/>
  <c r="MT352" i="31"/>
  <c r="NQ352" i="31"/>
  <c r="NP352" i="31"/>
  <c r="PE352" i="31"/>
  <c r="KQ352" i="31"/>
  <c r="KP353" i="31"/>
  <c r="KR352" i="31"/>
  <c r="GO351" i="31"/>
  <c r="FU351" i="31"/>
  <c r="FW351" i="31" s="1"/>
  <c r="JR351" i="31"/>
  <c r="JS351" i="31" s="1"/>
  <c r="HO351" i="31"/>
  <c r="FE351" i="31"/>
  <c r="FF351" i="31" s="1"/>
  <c r="DQ351" i="31"/>
  <c r="DR351" i="31" s="1"/>
  <c r="CQ351" i="31"/>
  <c r="FP351" i="31"/>
  <c r="FS351" i="31" s="1"/>
  <c r="FH351" i="31"/>
  <c r="FI351" i="31" s="1"/>
  <c r="FX351" i="31"/>
  <c r="FY351" i="31" s="1"/>
  <c r="FZ351" i="31"/>
  <c r="GA351" i="31" s="1"/>
  <c r="GB351" i="31"/>
  <c r="GC351" i="31" s="1"/>
  <c r="KX351" i="31"/>
  <c r="GN351" i="31" s="1"/>
  <c r="KU351" i="31"/>
  <c r="MX352" i="31"/>
  <c r="NR352" i="31" l="1"/>
  <c r="HY351" i="31"/>
  <c r="HA351" i="31"/>
  <c r="DY351" i="31"/>
  <c r="CT351" i="31"/>
  <c r="CR351" i="31"/>
  <c r="CS351" i="31"/>
  <c r="DS351" i="31"/>
  <c r="AX351" i="31" s="1"/>
  <c r="AY352" i="31" s="1"/>
  <c r="HU351" i="31"/>
  <c r="HV352" i="31" s="1"/>
  <c r="FJ352" i="31"/>
  <c r="GQ351" i="31"/>
  <c r="KV351" i="31"/>
  <c r="HW351" i="31"/>
  <c r="HX352" i="31" s="1"/>
  <c r="FG352" i="31"/>
  <c r="NL352" i="31"/>
  <c r="NK352" i="31"/>
  <c r="NG353" i="31"/>
  <c r="OQ353" i="31"/>
  <c r="NA352" i="31"/>
  <c r="NB352" i="31"/>
  <c r="HP351" i="31"/>
  <c r="IA351" i="31"/>
  <c r="IB351" i="31" s="1"/>
  <c r="IZ351" i="31"/>
  <c r="KS352" i="31"/>
  <c r="JU351" i="31"/>
  <c r="KE351" i="31"/>
  <c r="JT352" i="31"/>
  <c r="KC351" i="31"/>
  <c r="KW352" i="31" l="1"/>
  <c r="HQ351" i="31"/>
  <c r="HR352" i="31" s="1"/>
  <c r="NC353" i="31"/>
  <c r="MQ353" i="31"/>
  <c r="OR353" i="31"/>
  <c r="HT351" i="31"/>
  <c r="HS351" i="31"/>
  <c r="JG351" i="31" s="1"/>
  <c r="EM351" i="31"/>
  <c r="EW351" i="31" s="1"/>
  <c r="AZ351" i="31"/>
  <c r="EN351" i="31"/>
  <c r="IC351" i="31" l="1"/>
  <c r="ID351" i="31" s="1"/>
  <c r="IF351" i="31" s="1"/>
  <c r="KH351" i="31" s="1"/>
  <c r="JB351" i="31"/>
  <c r="BB352" i="31"/>
  <c r="EQ351" i="31"/>
  <c r="DW351" i="31"/>
  <c r="DU352" i="31" s="1"/>
  <c r="IW351" i="31"/>
  <c r="ER352" i="31"/>
  <c r="IU351" i="31"/>
  <c r="IV351" i="31" s="1"/>
  <c r="BC352" i="31" l="1"/>
  <c r="KB351" i="31"/>
  <c r="IX351" i="31"/>
  <c r="KK351" i="31"/>
  <c r="EU352" i="31"/>
  <c r="IM351" i="31"/>
  <c r="DB351" i="31"/>
  <c r="DC351" i="31" s="1"/>
  <c r="DD352" i="31" s="1"/>
  <c r="DE353" i="31" s="1"/>
  <c r="GM351" i="31"/>
  <c r="KI352" i="31"/>
  <c r="IN351" i="31"/>
  <c r="DF351" i="31"/>
  <c r="DT351" i="31" l="1"/>
  <c r="DZ351" i="31" s="1"/>
  <c r="GT353" i="31"/>
  <c r="KJ352" i="31"/>
  <c r="FD351" i="31"/>
  <c r="GU351" i="31"/>
  <c r="GV351" i="31"/>
  <c r="GR351" i="31"/>
  <c r="BD352" i="31"/>
  <c r="BE352" i="31"/>
  <c r="IS351" i="31" l="1"/>
  <c r="FL352" i="31"/>
  <c r="BF352" i="31"/>
  <c r="BG352" i="31"/>
  <c r="GS351" i="31"/>
  <c r="BH352" i="31" l="1"/>
  <c r="BI352" i="31"/>
  <c r="BK352" i="31" s="1"/>
  <c r="FM352" i="31"/>
  <c r="GX351" i="31"/>
  <c r="GY351" i="31"/>
  <c r="GW351" i="31"/>
  <c r="HC351" i="31" s="1"/>
  <c r="FA352" i="31" s="1"/>
  <c r="HB352" i="31" s="1"/>
  <c r="JH351" i="31"/>
  <c r="JI351" i="31" s="1"/>
  <c r="IT351" i="31"/>
  <c r="JK351" i="31" l="1"/>
  <c r="JM351" i="31" s="1"/>
  <c r="KD351" i="31" s="1"/>
  <c r="IL352" i="31" s="1"/>
  <c r="BL352" i="31"/>
  <c r="BM352" i="31"/>
  <c r="BJ352" i="31"/>
  <c r="EG351" i="31"/>
  <c r="EH352" i="31" s="1"/>
  <c r="EI352" i="31" s="1"/>
  <c r="FK352" i="31" s="1"/>
  <c r="HM351" i="31"/>
  <c r="EY351" i="31"/>
  <c r="HK352" i="31"/>
  <c r="BN352" i="31" l="1"/>
  <c r="BO352" i="31"/>
  <c r="BQ352" i="31" s="1"/>
  <c r="EZ351" i="31"/>
  <c r="DG351" i="31"/>
  <c r="DH351" i="31" s="1"/>
  <c r="DI352" i="31" s="1"/>
  <c r="JN351" i="31"/>
  <c r="JV351" i="31" s="1"/>
  <c r="JF352" i="31" s="1"/>
  <c r="JL351" i="31"/>
  <c r="JJ352" i="31" s="1"/>
  <c r="KA352" i="31"/>
  <c r="JZ351" i="31"/>
  <c r="KF351" i="31" s="1"/>
  <c r="IQ352" i="31" s="1"/>
  <c r="ED351" i="31"/>
  <c r="EB352" i="31" s="1"/>
  <c r="EJ351" i="31"/>
  <c r="EK352" i="31" s="1"/>
  <c r="EE351" i="31"/>
  <c r="EF352" i="31" s="1"/>
  <c r="IO352" i="31" s="1"/>
  <c r="BP352" i="31" l="1"/>
  <c r="HZ352" i="31"/>
  <c r="GZ352" i="31"/>
  <c r="IE352" i="31" s="1"/>
  <c r="DJ352" i="31"/>
  <c r="DK352" i="31" s="1"/>
  <c r="JC352" i="31"/>
  <c r="JD352" i="31"/>
  <c r="JY352" i="31"/>
  <c r="JW352" i="31"/>
  <c r="BR352" i="31"/>
  <c r="BS352" i="31"/>
  <c r="IP352" i="31"/>
  <c r="EP352" i="31"/>
  <c r="ET353" i="31" s="1"/>
  <c r="EO352" i="31"/>
  <c r="ES353" i="31" s="1"/>
  <c r="FC352" i="31"/>
  <c r="EL352" i="31"/>
  <c r="EV352" i="31"/>
  <c r="JA352" i="31"/>
  <c r="JO352" i="31"/>
  <c r="JE352" i="31"/>
  <c r="IR352" i="31"/>
  <c r="IY352" i="31"/>
  <c r="JP352" i="31" s="1"/>
  <c r="JQ352" i="31" s="1"/>
  <c r="DP352" i="31"/>
  <c r="DM352" i="31" l="1"/>
  <c r="FQ352" i="31"/>
  <c r="DX352" i="31"/>
  <c r="BT352" i="31"/>
  <c r="BU352" i="31"/>
  <c r="EC352" i="31"/>
  <c r="KG352" i="31"/>
  <c r="JX352" i="31"/>
  <c r="BV352" i="31" l="1"/>
  <c r="BW352" i="31" s="1"/>
  <c r="FB352" i="31"/>
  <c r="EX352" i="31"/>
  <c r="M352" i="31" s="1"/>
  <c r="DL352" i="31"/>
  <c r="L353" i="31"/>
  <c r="BX352" i="31" l="1"/>
  <c r="BY352" i="31"/>
  <c r="MJ352" i="31"/>
  <c r="NS352" i="31" s="1"/>
  <c r="MB352" i="31"/>
  <c r="NM352" i="31" s="1"/>
  <c r="NN352" i="31" s="1"/>
  <c r="BZ352" i="31" l="1"/>
  <c r="CA352" i="31"/>
  <c r="NT352" i="31"/>
  <c r="OU353" i="31"/>
  <c r="OV353" i="31"/>
  <c r="NW352" i="31"/>
  <c r="CB352" i="31" l="1"/>
  <c r="CC352" i="31" s="1"/>
  <c r="NX352" i="31"/>
  <c r="OF352" i="31" s="1"/>
  <c r="OS353" i="31" s="1"/>
  <c r="CX352" i="31"/>
  <c r="FV352" i="31"/>
  <c r="FR352" i="31"/>
  <c r="NU352" i="31"/>
  <c r="CD352" i="31" l="1"/>
  <c r="CE352" i="31"/>
  <c r="CF352" i="31" s="1"/>
  <c r="NV352" i="31"/>
  <c r="NY352" i="31"/>
  <c r="MY352" i="31"/>
  <c r="NZ352" i="31"/>
  <c r="CY353" i="31"/>
  <c r="CG352" i="31" l="1"/>
  <c r="CH352" i="31" s="1"/>
  <c r="CI352" i="31" s="1"/>
  <c r="CK352" i="31" s="1"/>
  <c r="NF353" i="31"/>
  <c r="OM353" i="31"/>
  <c r="OO353" i="31"/>
  <c r="OI352" i="31"/>
  <c r="OB352" i="31"/>
  <c r="OT353" i="31" s="1"/>
  <c r="OA352" i="31"/>
  <c r="MV353" i="31" s="1"/>
  <c r="MZ353" i="31"/>
  <c r="OZ352" i="31"/>
  <c r="CJ352" i="31" l="1"/>
  <c r="CO352" i="31" s="1"/>
  <c r="CL352" i="31"/>
  <c r="CM352" i="31"/>
  <c r="CN352" i="31" s="1"/>
  <c r="OC352" i="31"/>
  <c r="OD353" i="31" s="1"/>
  <c r="OH353" i="31" s="1"/>
  <c r="OJ352" i="31"/>
  <c r="OY353" i="31" s="1"/>
  <c r="OW352" i="31"/>
  <c r="OX353" i="31"/>
  <c r="MR353" i="31"/>
  <c r="OG353" i="31"/>
  <c r="KT353" i="31"/>
  <c r="PA352" i="31"/>
  <c r="CP352" i="31" l="1"/>
  <c r="MW353" i="31"/>
  <c r="OK353" i="31"/>
  <c r="KM353" i="31"/>
  <c r="KO354" i="31" s="1"/>
  <c r="KL353" i="31"/>
  <c r="KN354" i="31" s="1"/>
  <c r="MX353" i="31"/>
  <c r="MS353" i="31"/>
  <c r="GO352" i="31"/>
  <c r="FU352" i="31"/>
  <c r="FW352" i="31" s="1"/>
  <c r="FZ352" i="31"/>
  <c r="GA352" i="31" s="1"/>
  <c r="FX352" i="31"/>
  <c r="FY352" i="31" s="1"/>
  <c r="HO352" i="31"/>
  <c r="FE352" i="31"/>
  <c r="FF352" i="31" s="1"/>
  <c r="GB352" i="31"/>
  <c r="GC352" i="31" s="1"/>
  <c r="CQ352" i="31"/>
  <c r="FP352" i="31"/>
  <c r="FS352" i="31" s="1"/>
  <c r="DQ352" i="31"/>
  <c r="DR352" i="31" s="1"/>
  <c r="FH352" i="31"/>
  <c r="FI352" i="31" s="1"/>
  <c r="JR352" i="31"/>
  <c r="JS352" i="31" s="1"/>
  <c r="KX352" i="31"/>
  <c r="KU352" i="31"/>
  <c r="GN352" i="31" l="1"/>
  <c r="IA352" i="31"/>
  <c r="IB352" i="31" s="1"/>
  <c r="HP352" i="31"/>
  <c r="IZ352" i="31"/>
  <c r="HU352" i="31"/>
  <c r="HV353" i="31" s="1"/>
  <c r="FJ353" i="31"/>
  <c r="KE352" i="31"/>
  <c r="JU352" i="31"/>
  <c r="JT353" i="31"/>
  <c r="KC352" i="31"/>
  <c r="HY352" i="31"/>
  <c r="DY352" i="31"/>
  <c r="HA352" i="31"/>
  <c r="NA353" i="31"/>
  <c r="NB353" i="31"/>
  <c r="CR352" i="31"/>
  <c r="CT352" i="31"/>
  <c r="CS352" i="31"/>
  <c r="GQ352" i="31"/>
  <c r="KV352" i="31"/>
  <c r="KQ353" i="31"/>
  <c r="MU353" i="31"/>
  <c r="NJ353" i="31"/>
  <c r="NQ353" i="31"/>
  <c r="NH354" i="31"/>
  <c r="NI354" i="31" s="1"/>
  <c r="MO353" i="31"/>
  <c r="NP353" i="31"/>
  <c r="MT353" i="31"/>
  <c r="PE353" i="31"/>
  <c r="DS352" i="31"/>
  <c r="AX352" i="31" s="1"/>
  <c r="AY353" i="31" s="1"/>
  <c r="HW352" i="31"/>
  <c r="HX353" i="31" s="1"/>
  <c r="FG353" i="31"/>
  <c r="KP354" i="31"/>
  <c r="KR353" i="31"/>
  <c r="KW353" i="31" l="1"/>
  <c r="HQ352" i="31"/>
  <c r="HR353" i="31" s="1"/>
  <c r="KS353" i="31"/>
  <c r="AZ352" i="31"/>
  <c r="EM352" i="31"/>
  <c r="EW352" i="31" s="1"/>
  <c r="EN352" i="31"/>
  <c r="NR353" i="31"/>
  <c r="HS352" i="31"/>
  <c r="JG352" i="31" s="1"/>
  <c r="HT352" i="31"/>
  <c r="NK353" i="31"/>
  <c r="NL353" i="31"/>
  <c r="NG354" i="31"/>
  <c r="OQ354" i="31"/>
  <c r="OR354" i="31" l="1"/>
  <c r="IC352" i="31"/>
  <c r="ID352" i="31" s="1"/>
  <c r="IF352" i="31" s="1"/>
  <c r="KH352" i="31" s="1"/>
  <c r="JB352" i="31"/>
  <c r="BB353" i="31"/>
  <c r="EQ352" i="31"/>
  <c r="DW352" i="31"/>
  <c r="DU353" i="31" s="1"/>
  <c r="IW352" i="31"/>
  <c r="ER353" i="31"/>
  <c r="IU352" i="31"/>
  <c r="IV352" i="31" s="1"/>
  <c r="NC354" i="31"/>
  <c r="MQ354" i="31"/>
  <c r="BC353" i="31" l="1"/>
  <c r="KB352" i="31"/>
  <c r="IX352" i="31"/>
  <c r="KK352" i="31"/>
  <c r="EU353" i="31"/>
  <c r="IM352" i="31"/>
  <c r="DB352" i="31"/>
  <c r="DC352" i="31" s="1"/>
  <c r="DD353" i="31" s="1"/>
  <c r="DE354" i="31" s="1"/>
  <c r="GM352" i="31"/>
  <c r="KI353" i="31"/>
  <c r="IN352" i="31"/>
  <c r="DF352" i="31"/>
  <c r="GT354" i="31" l="1"/>
  <c r="KJ353" i="31"/>
  <c r="DT352" i="31"/>
  <c r="DZ352" i="31" s="1"/>
  <c r="FD352" i="31"/>
  <c r="GU352" i="31"/>
  <c r="GV352" i="31"/>
  <c r="GR352" i="31"/>
  <c r="BD353" i="31"/>
  <c r="BE353" i="31"/>
  <c r="IS352" i="31" l="1"/>
  <c r="FL353" i="31"/>
  <c r="BF353" i="31"/>
  <c r="BG353" i="31"/>
  <c r="GS352" i="31"/>
  <c r="GY352" i="31" l="1"/>
  <c r="GW352" i="31"/>
  <c r="HC352" i="31" s="1"/>
  <c r="FA353" i="31" s="1"/>
  <c r="HB353" i="31" s="1"/>
  <c r="GX352" i="31"/>
  <c r="BI353" i="31"/>
  <c r="BK353" i="31" s="1"/>
  <c r="BH353" i="31"/>
  <c r="FM353" i="31"/>
  <c r="JH352" i="31"/>
  <c r="JI352" i="31" s="1"/>
  <c r="IT352" i="31"/>
  <c r="JK352" i="31" l="1"/>
  <c r="JZ352" i="31" s="1"/>
  <c r="KF352" i="31" s="1"/>
  <c r="IQ353" i="31" s="1"/>
  <c r="BL353" i="31"/>
  <c r="BM353" i="31"/>
  <c r="BJ353" i="31"/>
  <c r="EG352" i="31"/>
  <c r="EH353" i="31" s="1"/>
  <c r="EI353" i="31" s="1"/>
  <c r="FK353" i="31" s="1"/>
  <c r="HM352" i="31"/>
  <c r="EY352" i="31"/>
  <c r="HK353" i="31"/>
  <c r="JM352" i="31" l="1"/>
  <c r="KD352" i="31" s="1"/>
  <c r="IL353" i="31" s="1"/>
  <c r="JE353" i="31" s="1"/>
  <c r="JN352" i="31"/>
  <c r="JV352" i="31" s="1"/>
  <c r="JF353" i="31" s="1"/>
  <c r="JW353" i="31" s="1"/>
  <c r="BO353" i="31"/>
  <c r="BQ353" i="31" s="1"/>
  <c r="BN353" i="31"/>
  <c r="EZ352" i="31"/>
  <c r="DG352" i="31"/>
  <c r="DH352" i="31" s="1"/>
  <c r="DI353" i="31" s="1"/>
  <c r="EE352" i="31"/>
  <c r="EF353" i="31" s="1"/>
  <c r="ED352" i="31"/>
  <c r="EB353" i="31" s="1"/>
  <c r="EJ352" i="31"/>
  <c r="EK353" i="31" s="1"/>
  <c r="JL352" i="31"/>
  <c r="JJ353" i="31" s="1"/>
  <c r="KA353" i="31"/>
  <c r="IR353" i="31" l="1"/>
  <c r="JY353" i="31"/>
  <c r="JO353" i="31"/>
  <c r="BP353" i="31"/>
  <c r="EL353" i="31"/>
  <c r="JX353" i="31" s="1"/>
  <c r="EP353" i="31"/>
  <c r="ET354" i="31" s="1"/>
  <c r="EO353" i="31"/>
  <c r="ES354" i="31" s="1"/>
  <c r="FC353" i="31"/>
  <c r="EV353" i="31"/>
  <c r="BR353" i="31"/>
  <c r="BS353" i="31"/>
  <c r="JA353" i="31"/>
  <c r="DJ353" i="31"/>
  <c r="DK353" i="31" s="1"/>
  <c r="GZ353" i="31"/>
  <c r="IE353" i="31" s="1"/>
  <c r="DP353" i="31"/>
  <c r="IP353" i="31"/>
  <c r="IY353" i="31"/>
  <c r="IO353" i="31"/>
  <c r="HZ353" i="31"/>
  <c r="JC353" i="31"/>
  <c r="JD353" i="31"/>
  <c r="KG353" i="31" l="1"/>
  <c r="JP353" i="31"/>
  <c r="JQ353" i="31" s="1"/>
  <c r="BT353" i="31"/>
  <c r="BU353" i="31"/>
  <c r="EC353" i="31"/>
  <c r="FQ353" i="31"/>
  <c r="DX353" i="31"/>
  <c r="DM353" i="31"/>
  <c r="BV353" i="31" l="1"/>
  <c r="BW353" i="31" s="1"/>
  <c r="DL353" i="31"/>
  <c r="L354" i="31"/>
  <c r="EX353" i="31"/>
  <c r="M353" i="31" s="1"/>
  <c r="FB353" i="31"/>
  <c r="BX353" i="31" l="1"/>
  <c r="BY353" i="31"/>
  <c r="CA353" i="31" s="1"/>
  <c r="MJ353" i="31"/>
  <c r="NS353" i="31" s="1"/>
  <c r="MB353" i="31"/>
  <c r="NM353" i="31" s="1"/>
  <c r="NN353" i="31" s="1"/>
  <c r="BZ353" i="31" l="1"/>
  <c r="CB353" i="31"/>
  <c r="CC353" i="31" s="1"/>
  <c r="OV354" i="31"/>
  <c r="NW353" i="31"/>
  <c r="NX353" i="31" s="1"/>
  <c r="NT353" i="31"/>
  <c r="OU354" i="31"/>
  <c r="CE353" i="31" l="1"/>
  <c r="CD353" i="31"/>
  <c r="FV353" i="31"/>
  <c r="CX353" i="31"/>
  <c r="FR353" i="31"/>
  <c r="NU353" i="31"/>
  <c r="OF353" i="31"/>
  <c r="OS354" i="31" s="1"/>
  <c r="NY353" i="31"/>
  <c r="CF353" i="31" l="1"/>
  <c r="CG353" i="31"/>
  <c r="CH353" i="31" s="1"/>
  <c r="CI353" i="31" s="1"/>
  <c r="OB353" i="31"/>
  <c r="OT354" i="31" s="1"/>
  <c r="NZ353" i="31"/>
  <c r="OA353" i="31" s="1"/>
  <c r="MV354" i="31" s="1"/>
  <c r="MY353" i="31"/>
  <c r="OI353" i="31" s="1"/>
  <c r="CY354" i="31"/>
  <c r="NV353" i="31"/>
  <c r="CJ353" i="31" l="1"/>
  <c r="CO353" i="31" s="1"/>
  <c r="CK353" i="31"/>
  <c r="CL353" i="31" s="1"/>
  <c r="OG354" i="31"/>
  <c r="PA353" i="31"/>
  <c r="OJ353" i="31"/>
  <c r="MR354" i="31"/>
  <c r="OX354" i="31"/>
  <c r="OW353" i="31"/>
  <c r="NF354" i="31"/>
  <c r="OM354" i="31"/>
  <c r="OO354" i="31"/>
  <c r="KT354" i="31" s="1"/>
  <c r="MZ354" i="31"/>
  <c r="OZ353" i="31"/>
  <c r="OC353" i="31"/>
  <c r="OD354" i="31" s="1"/>
  <c r="OH354" i="31" s="1"/>
  <c r="OK354" i="31" l="1"/>
  <c r="CM353" i="31"/>
  <c r="CN353" i="31" s="1"/>
  <c r="CP353" i="31" s="1"/>
  <c r="KM354" i="31"/>
  <c r="KO355" i="31" s="1"/>
  <c r="KL354" i="31"/>
  <c r="KN355" i="31" s="1"/>
  <c r="MS354" i="31"/>
  <c r="OY354" i="31"/>
  <c r="MW354" i="31"/>
  <c r="MO354" i="31" l="1"/>
  <c r="NJ354" i="31"/>
  <c r="NH355" i="31"/>
  <c r="NI355" i="31" s="1"/>
  <c r="MT354" i="31"/>
  <c r="NP354" i="31"/>
  <c r="NQ354" i="31"/>
  <c r="MU354" i="31"/>
  <c r="PE354" i="31"/>
  <c r="MX354" i="31"/>
  <c r="KQ354" i="31"/>
  <c r="CQ353" i="31"/>
  <c r="DQ353" i="31"/>
  <c r="DR353" i="31" s="1"/>
  <c r="GB353" i="31"/>
  <c r="GC353" i="31" s="1"/>
  <c r="FU353" i="31"/>
  <c r="FW353" i="31" s="1"/>
  <c r="JR353" i="31"/>
  <c r="JS353" i="31" s="1"/>
  <c r="HO353" i="31"/>
  <c r="GO353" i="31"/>
  <c r="FH353" i="31"/>
  <c r="FI353" i="31" s="1"/>
  <c r="FE353" i="31"/>
  <c r="FF353" i="31" s="1"/>
  <c r="FZ353" i="31"/>
  <c r="GA353" i="31" s="1"/>
  <c r="FX353" i="31"/>
  <c r="FY353" i="31" s="1"/>
  <c r="FP353" i="31"/>
  <c r="FS353" i="31" s="1"/>
  <c r="KX353" i="31"/>
  <c r="KU353" i="31"/>
  <c r="KP355" i="31"/>
  <c r="KR354" i="31"/>
  <c r="GN353" i="31" l="1"/>
  <c r="GQ353" i="31" s="1"/>
  <c r="NR354" i="31"/>
  <c r="CT353" i="31"/>
  <c r="CR353" i="31"/>
  <c r="CS353" i="31"/>
  <c r="KS354" i="31"/>
  <c r="FG354" i="31"/>
  <c r="HW353" i="31"/>
  <c r="HX354" i="31" s="1"/>
  <c r="IA353" i="31"/>
  <c r="IB353" i="31" s="1"/>
  <c r="HP353" i="31"/>
  <c r="IZ353" i="31"/>
  <c r="JU353" i="31"/>
  <c r="KC353" i="31"/>
  <c r="KE353" i="31"/>
  <c r="JT354" i="31"/>
  <c r="HU353" i="31"/>
  <c r="HV354" i="31" s="1"/>
  <c r="FJ354" i="31"/>
  <c r="NL354" i="31"/>
  <c r="NK354" i="31"/>
  <c r="NG355" i="31"/>
  <c r="OQ355" i="31"/>
  <c r="DS353" i="31"/>
  <c r="AX353" i="31" s="1"/>
  <c r="AY354" i="31" s="1"/>
  <c r="HY353" i="31"/>
  <c r="DY353" i="31"/>
  <c r="HA353" i="31"/>
  <c r="NB354" i="31"/>
  <c r="NA354" i="31"/>
  <c r="KV353" i="31" l="1"/>
  <c r="KW354" i="31" s="1"/>
  <c r="HQ353" i="31"/>
  <c r="HR354" i="31" s="1"/>
  <c r="EN353" i="31"/>
  <c r="EM353" i="31"/>
  <c r="EW353" i="31" s="1"/>
  <c r="AZ353" i="31"/>
  <c r="NC355" i="31"/>
  <c r="MQ355" i="31"/>
  <c r="OR355" i="31"/>
  <c r="HS353" i="31"/>
  <c r="JG353" i="31" s="1"/>
  <c r="HT353" i="31"/>
  <c r="IC353" i="31" l="1"/>
  <c r="ID353" i="31" s="1"/>
  <c r="IF353" i="31" s="1"/>
  <c r="KH353" i="31" s="1"/>
  <c r="JB353" i="31"/>
  <c r="BB354" i="31"/>
  <c r="DW353" i="31"/>
  <c r="DU354" i="31" s="1"/>
  <c r="EQ353" i="31"/>
  <c r="IW353" i="31"/>
  <c r="ER354" i="31"/>
  <c r="IU353" i="31"/>
  <c r="IV353" i="31" s="1"/>
  <c r="KK353" i="31" l="1"/>
  <c r="KB353" i="31"/>
  <c r="IX353" i="31"/>
  <c r="BC354" i="31"/>
  <c r="EU354" i="31"/>
  <c r="DB353" i="31"/>
  <c r="DC353" i="31" s="1"/>
  <c r="DD354" i="31" s="1"/>
  <c r="DE355" i="31" s="1"/>
  <c r="GM353" i="31"/>
  <c r="IM353" i="31"/>
  <c r="KI354" i="31"/>
  <c r="IN353" i="31"/>
  <c r="DF353" i="31"/>
  <c r="GT355" i="31" l="1"/>
  <c r="DT353" i="31"/>
  <c r="DZ353" i="31" s="1"/>
  <c r="GU353" i="31"/>
  <c r="GV353" i="31"/>
  <c r="FD353" i="31"/>
  <c r="BD354" i="31"/>
  <c r="BE354" i="31"/>
  <c r="KJ354" i="31"/>
  <c r="GR353" i="31"/>
  <c r="IS353" i="31" l="1"/>
  <c r="FL354" i="31"/>
  <c r="BF354" i="31"/>
  <c r="BG354" i="31"/>
  <c r="GS353" i="31"/>
  <c r="GY353" i="31" l="1"/>
  <c r="GX353" i="31"/>
  <c r="GW353" i="31"/>
  <c r="HC353" i="31" s="1"/>
  <c r="FA354" i="31" s="1"/>
  <c r="HB354" i="31" s="1"/>
  <c r="BH354" i="31"/>
  <c r="BI354" i="31"/>
  <c r="BK354" i="31" s="1"/>
  <c r="FM354" i="31"/>
  <c r="JH353" i="31"/>
  <c r="JI353" i="31" s="1"/>
  <c r="IT353" i="31"/>
  <c r="JK353" i="31" l="1"/>
  <c r="JZ353" i="31" s="1"/>
  <c r="KF353" i="31" s="1"/>
  <c r="IQ354" i="31" s="1"/>
  <c r="BJ354" i="31"/>
  <c r="BL354" i="31"/>
  <c r="BM354" i="31"/>
  <c r="EG353" i="31"/>
  <c r="EH354" i="31" s="1"/>
  <c r="EI354" i="31" s="1"/>
  <c r="FK354" i="31" s="1"/>
  <c r="HM353" i="31"/>
  <c r="EY353" i="31"/>
  <c r="HK354" i="31"/>
  <c r="JM353" i="31" l="1"/>
  <c r="KD353" i="31" s="1"/>
  <c r="IL354" i="31" s="1"/>
  <c r="IR354" i="31" s="1"/>
  <c r="JN353" i="31"/>
  <c r="JV353" i="31" s="1"/>
  <c r="JF354" i="31" s="1"/>
  <c r="JY354" i="31" s="1"/>
  <c r="EZ353" i="31"/>
  <c r="DG353" i="31"/>
  <c r="DH353" i="31" s="1"/>
  <c r="DI354" i="31" s="1"/>
  <c r="EE353" i="31"/>
  <c r="EF354" i="31" s="1"/>
  <c r="ED353" i="31"/>
  <c r="EB354" i="31" s="1"/>
  <c r="EJ353" i="31"/>
  <c r="EK354" i="31" s="1"/>
  <c r="BN354" i="31"/>
  <c r="BO354" i="31"/>
  <c r="JL353" i="31"/>
  <c r="JJ354" i="31" s="1"/>
  <c r="KA354" i="31"/>
  <c r="JE354" i="31" l="1"/>
  <c r="JO354" i="31"/>
  <c r="IO354" i="31"/>
  <c r="JW354" i="31"/>
  <c r="BP354" i="31"/>
  <c r="BQ354" i="31"/>
  <c r="JC354" i="31"/>
  <c r="JD354" i="31"/>
  <c r="HZ354" i="31"/>
  <c r="EO354" i="31"/>
  <c r="ES355" i="31" s="1"/>
  <c r="EL354" i="31"/>
  <c r="EP354" i="31"/>
  <c r="ET355" i="31" s="1"/>
  <c r="FC354" i="31"/>
  <c r="EV354" i="31"/>
  <c r="DP354" i="31"/>
  <c r="DJ354" i="31"/>
  <c r="DK354" i="31" s="1"/>
  <c r="GZ354" i="31"/>
  <c r="IE354" i="31" s="1"/>
  <c r="IY354" i="31"/>
  <c r="JA354" i="31"/>
  <c r="IP354" i="31"/>
  <c r="JP354" i="31" l="1"/>
  <c r="JQ354" i="31" s="1"/>
  <c r="EC354" i="31"/>
  <c r="JX354" i="31"/>
  <c r="BR354" i="31"/>
  <c r="BS354" i="31"/>
  <c r="DX354" i="31"/>
  <c r="FQ354" i="31"/>
  <c r="DM354" i="31"/>
  <c r="KG354" i="31"/>
  <c r="BT354" i="31" l="1"/>
  <c r="BU354" i="31"/>
  <c r="EX354" i="31"/>
  <c r="M354" i="31" s="1"/>
  <c r="FB354" i="31"/>
  <c r="DL354" i="31"/>
  <c r="L355" i="31"/>
  <c r="BV354" i="31" l="1"/>
  <c r="BW354" i="31" s="1"/>
  <c r="MB354" i="31"/>
  <c r="MJ354" i="31"/>
  <c r="NS354" i="31" s="1"/>
  <c r="NM354" i="31" l="1"/>
  <c r="NN354" i="31" s="1"/>
  <c r="BY354" i="31"/>
  <c r="BX354" i="31"/>
  <c r="NT354" i="31"/>
  <c r="OU355" i="31"/>
  <c r="BZ354" i="31" l="1"/>
  <c r="OV355" i="31"/>
  <c r="NW354" i="31"/>
  <c r="NX354" i="31" s="1"/>
  <c r="CA354" i="31"/>
  <c r="CX354" i="31"/>
  <c r="FV354" i="31"/>
  <c r="FR354" i="31"/>
  <c r="NU354" i="31"/>
  <c r="CB354" i="31" l="1"/>
  <c r="CC354" i="31" s="1"/>
  <c r="NY354" i="31"/>
  <c r="OF354" i="31"/>
  <c r="OS355" i="31" s="1"/>
  <c r="NV354" i="31"/>
  <c r="MY354" i="31"/>
  <c r="NZ354" i="31"/>
  <c r="CY355" i="31"/>
  <c r="CD354" i="31" l="1"/>
  <c r="CE354" i="31"/>
  <c r="CF354" i="31" s="1"/>
  <c r="MZ355" i="31"/>
  <c r="OZ354" i="31"/>
  <c r="OM355" i="31"/>
  <c r="NF355" i="31"/>
  <c r="OO355" i="31"/>
  <c r="OI354" i="31"/>
  <c r="OB354" i="31"/>
  <c r="OT355" i="31" s="1"/>
  <c r="OA354" i="31"/>
  <c r="MV355" i="31" s="1"/>
  <c r="CG354" i="31" l="1"/>
  <c r="CH354" i="31" s="1"/>
  <c r="OC354" i="31"/>
  <c r="OD355" i="31" s="1"/>
  <c r="OH355" i="31" s="1"/>
  <c r="OJ354" i="31"/>
  <c r="PA354" i="31"/>
  <c r="OX355" i="31"/>
  <c r="MR355" i="31"/>
  <c r="OW354" i="31"/>
  <c r="OG355" i="31"/>
  <c r="KT355" i="31"/>
  <c r="CI354" i="31" l="1"/>
  <c r="CJ354" i="31" s="1"/>
  <c r="CO354" i="31" s="1"/>
  <c r="MS355" i="31"/>
  <c r="MW355" i="31"/>
  <c r="OY355" i="31"/>
  <c r="KL355" i="31"/>
  <c r="KN356" i="31" s="1"/>
  <c r="KM355" i="31"/>
  <c r="KO356" i="31" s="1"/>
  <c r="OK355" i="31"/>
  <c r="CK354" i="31" l="1"/>
  <c r="CL354" i="31" s="1"/>
  <c r="KP356" i="31"/>
  <c r="KR355" i="31"/>
  <c r="KQ355" i="31"/>
  <c r="MX355" i="31"/>
  <c r="MO355" i="31"/>
  <c r="NH356" i="31"/>
  <c r="NI356" i="31" s="1"/>
  <c r="NQ355" i="31"/>
  <c r="MU355" i="31"/>
  <c r="MT355" i="31"/>
  <c r="NP355" i="31"/>
  <c r="NJ355" i="31"/>
  <c r="PE355" i="31"/>
  <c r="CM354" i="31" l="1"/>
  <c r="CN354" i="31" s="1"/>
  <c r="CP354" i="31" s="1"/>
  <c r="KS355" i="31"/>
  <c r="NK355" i="31"/>
  <c r="NL355" i="31"/>
  <c r="NG356" i="31"/>
  <c r="OQ356" i="31"/>
  <c r="NA355" i="31"/>
  <c r="NB355" i="31"/>
  <c r="NR355" i="31"/>
  <c r="FX354" i="31" l="1"/>
  <c r="FY354" i="31" s="1"/>
  <c r="FZ354" i="31"/>
  <c r="GA354" i="31" s="1"/>
  <c r="GB354" i="31"/>
  <c r="GC354" i="31" s="1"/>
  <c r="FU354" i="31"/>
  <c r="FW354" i="31" s="1"/>
  <c r="JR354" i="31"/>
  <c r="JS354" i="31" s="1"/>
  <c r="DQ354" i="31"/>
  <c r="DR354" i="31" s="1"/>
  <c r="DS354" i="31" s="1"/>
  <c r="AX354" i="31" s="1"/>
  <c r="AY355" i="31" s="1"/>
  <c r="FH354" i="31"/>
  <c r="FI354" i="31" s="1"/>
  <c r="FP354" i="31"/>
  <c r="FS354" i="31" s="1"/>
  <c r="GO354" i="31"/>
  <c r="KX354" i="31"/>
  <c r="GN354" i="31" s="1"/>
  <c r="KU354" i="31"/>
  <c r="FE354" i="31"/>
  <c r="FF354" i="31" s="1"/>
  <c r="HO354" i="31"/>
  <c r="CQ354" i="31"/>
  <c r="NC356" i="31"/>
  <c r="MQ356" i="31"/>
  <c r="OR356" i="31"/>
  <c r="EN354" i="31" l="1"/>
  <c r="EQ354" i="31" s="1"/>
  <c r="EM354" i="31"/>
  <c r="EW354" i="31" s="1"/>
  <c r="AZ354" i="31"/>
  <c r="GQ354" i="31"/>
  <c r="KV354" i="31"/>
  <c r="HW354" i="31"/>
  <c r="HX355" i="31" s="1"/>
  <c r="FG355" i="31"/>
  <c r="HY354" i="31"/>
  <c r="HA354" i="31"/>
  <c r="DY354" i="31"/>
  <c r="HU354" i="31"/>
  <c r="HV355" i="31" s="1"/>
  <c r="FJ355" i="31"/>
  <c r="CS354" i="31"/>
  <c r="CR354" i="31"/>
  <c r="CT354" i="31"/>
  <c r="IA354" i="31"/>
  <c r="IB354" i="31" s="1"/>
  <c r="HP354" i="31"/>
  <c r="IZ354" i="31"/>
  <c r="KE354" i="31"/>
  <c r="KC354" i="31"/>
  <c r="JT355" i="31"/>
  <c r="JU354" i="31"/>
  <c r="KW355" i="31" l="1"/>
  <c r="HQ354" i="31"/>
  <c r="HR355" i="31" s="1"/>
  <c r="DW354" i="31"/>
  <c r="DU355" i="31" s="1"/>
  <c r="BB355" i="31"/>
  <c r="BC355" i="31" s="1"/>
  <c r="IW354" i="31"/>
  <c r="IU354" i="31"/>
  <c r="IV354" i="31" s="1"/>
  <c r="IX354" i="31" s="1"/>
  <c r="ER355" i="31"/>
  <c r="EU355" i="31" s="1"/>
  <c r="HS354" i="31"/>
  <c r="JG354" i="31" s="1"/>
  <c r="HT354" i="31"/>
  <c r="KK354" i="31" l="1"/>
  <c r="KB354" i="31"/>
  <c r="IC354" i="31"/>
  <c r="ID354" i="31" s="1"/>
  <c r="IF354" i="31" s="1"/>
  <c r="KH354" i="31" s="1"/>
  <c r="JB354" i="31"/>
  <c r="BD355" i="31"/>
  <c r="BE355" i="31"/>
  <c r="GM354" i="31" l="1"/>
  <c r="KI355" i="31"/>
  <c r="KJ355" i="31" s="1"/>
  <c r="DF354" i="31"/>
  <c r="DB354" i="31"/>
  <c r="DC354" i="31" s="1"/>
  <c r="DD355" i="31" s="1"/>
  <c r="DE356" i="31" s="1"/>
  <c r="IN354" i="31"/>
  <c r="IM354" i="31"/>
  <c r="BG355" i="31"/>
  <c r="BF355" i="31"/>
  <c r="DT354" i="31" l="1"/>
  <c r="DZ354" i="31" s="1"/>
  <c r="FD354" i="31"/>
  <c r="GU354" i="31"/>
  <c r="GV354" i="31"/>
  <c r="GT356" i="31"/>
  <c r="GR354" i="31"/>
  <c r="BI355" i="31"/>
  <c r="BK355" i="31" s="1"/>
  <c r="BH355" i="31"/>
  <c r="GS354" i="31" l="1"/>
  <c r="FL355" i="31"/>
  <c r="FM355" i="31" s="1"/>
  <c r="IS354" i="31"/>
  <c r="BJ355" i="31"/>
  <c r="BL355" i="31"/>
  <c r="BM355" i="31"/>
  <c r="JH354" i="31" l="1"/>
  <c r="JI354" i="31" s="1"/>
  <c r="JK354" i="31" s="1"/>
  <c r="JZ354" i="31" s="1"/>
  <c r="KF354" i="31" s="1"/>
  <c r="IQ355" i="31" s="1"/>
  <c r="IT354" i="31"/>
  <c r="GX354" i="31"/>
  <c r="GW354" i="31"/>
  <c r="HC354" i="31" s="1"/>
  <c r="FA355" i="31" s="1"/>
  <c r="HB355" i="31" s="1"/>
  <c r="GY354" i="31"/>
  <c r="BN355" i="31"/>
  <c r="BO355" i="31"/>
  <c r="BQ355" i="31" s="1"/>
  <c r="JM354" i="31" l="1"/>
  <c r="KD354" i="31" s="1"/>
  <c r="IL355" i="31" s="1"/>
  <c r="JE355" i="31" s="1"/>
  <c r="JN354" i="31"/>
  <c r="JV354" i="31" s="1"/>
  <c r="JF355" i="31" s="1"/>
  <c r="JY355" i="31" s="1"/>
  <c r="JL354" i="31"/>
  <c r="JJ355" i="31" s="1"/>
  <c r="HM354" i="31"/>
  <c r="HK355" i="31"/>
  <c r="EG354" i="31"/>
  <c r="EH355" i="31" s="1"/>
  <c r="EI355" i="31" s="1"/>
  <c r="FK355" i="31" s="1"/>
  <c r="EY354" i="31"/>
  <c r="KA355" i="31"/>
  <c r="HZ355" i="31" s="1"/>
  <c r="BP355" i="31"/>
  <c r="BR355" i="31"/>
  <c r="BS355" i="31"/>
  <c r="IR355" i="31" l="1"/>
  <c r="JO355" i="31"/>
  <c r="EZ354" i="31"/>
  <c r="DG354" i="31"/>
  <c r="DH354" i="31" s="1"/>
  <c r="DI355" i="31" s="1"/>
  <c r="EJ354" i="31"/>
  <c r="EK355" i="31" s="1"/>
  <c r="EE354" i="31"/>
  <c r="EF355" i="31" s="1"/>
  <c r="ED354" i="31"/>
  <c r="EB355" i="31" s="1"/>
  <c r="JW355" i="31"/>
  <c r="BT355" i="31"/>
  <c r="BU355" i="31"/>
  <c r="BV355" i="31" s="1"/>
  <c r="JD355" i="31" l="1"/>
  <c r="JC355" i="31"/>
  <c r="IY355" i="31"/>
  <c r="EO355" i="31"/>
  <c r="ES356" i="31" s="1"/>
  <c r="JA355" i="31"/>
  <c r="EV355" i="31"/>
  <c r="EL355" i="31"/>
  <c r="FC355" i="31"/>
  <c r="EP355" i="31"/>
  <c r="ET356" i="31" s="1"/>
  <c r="DJ355" i="31"/>
  <c r="DK355" i="31" s="1"/>
  <c r="GZ355" i="31"/>
  <c r="IO355" i="31"/>
  <c r="IP355" i="31"/>
  <c r="DP355" i="31"/>
  <c r="BW355" i="31"/>
  <c r="BX355" i="31" s="1"/>
  <c r="JP355" i="31" l="1"/>
  <c r="JQ355" i="31" s="1"/>
  <c r="BY355" i="31"/>
  <c r="BZ355" i="31" s="1"/>
  <c r="IE355" i="31"/>
  <c r="KG355" i="31"/>
  <c r="DX355" i="31"/>
  <c r="DM355" i="31"/>
  <c r="FQ355" i="31"/>
  <c r="JX355" i="31"/>
  <c r="EC355" i="31"/>
  <c r="CA355" i="31" l="1"/>
  <c r="DL355" i="31"/>
  <c r="L356" i="31"/>
  <c r="EX355" i="31"/>
  <c r="M355" i="31" s="1"/>
  <c r="FB355" i="31"/>
  <c r="CB355" i="31" l="1"/>
  <c r="CC355" i="31" s="1"/>
  <c r="MJ355" i="31"/>
  <c r="NS355" i="31" s="1"/>
  <c r="MB355" i="31"/>
  <c r="NM355" i="31" s="1"/>
  <c r="NN355" i="31" s="1"/>
  <c r="OV356" i="31" s="1"/>
  <c r="CD355" i="31" l="1"/>
  <c r="CE355" i="31"/>
  <c r="CG355" i="31" s="1"/>
  <c r="NW355" i="31"/>
  <c r="NX355" i="31" s="1"/>
  <c r="NY355" i="31" s="1"/>
  <c r="NT355" i="31"/>
  <c r="OU356" i="31"/>
  <c r="CH355" i="31" l="1"/>
  <c r="CI355" i="31" s="1"/>
  <c r="CJ355" i="31" s="1"/>
  <c r="CO355" i="31" s="1"/>
  <c r="CF355" i="31"/>
  <c r="OF355" i="31"/>
  <c r="OS356" i="31" s="1"/>
  <c r="FR355" i="31"/>
  <c r="CX355" i="31"/>
  <c r="FV355" i="31"/>
  <c r="NU355" i="31"/>
  <c r="NV355" i="31" s="1"/>
  <c r="OB355" i="31"/>
  <c r="OT356" i="31" s="1"/>
  <c r="CK355" i="31" l="1"/>
  <c r="CM355" i="31" s="1"/>
  <c r="CN355" i="31" s="1"/>
  <c r="MY355" i="31"/>
  <c r="PA355" i="31" s="1"/>
  <c r="NZ355" i="31"/>
  <c r="OA355" i="31" s="1"/>
  <c r="MV356" i="31" s="1"/>
  <c r="OG356" i="31" s="1"/>
  <c r="CY356" i="31"/>
  <c r="CL355" i="31" l="1"/>
  <c r="CP355" i="31" s="1"/>
  <c r="GO355" i="31" s="1"/>
  <c r="OJ355" i="31"/>
  <c r="OY356" i="31" s="1"/>
  <c r="OC355" i="31"/>
  <c r="OD356" i="31" s="1"/>
  <c r="OH356" i="31" s="1"/>
  <c r="OK356" i="31" s="1"/>
  <c r="OO356" i="31"/>
  <c r="KT356" i="31" s="1"/>
  <c r="NF356" i="31"/>
  <c r="OM356" i="31"/>
  <c r="MZ356" i="31"/>
  <c r="OZ355" i="31"/>
  <c r="OI355" i="31"/>
  <c r="MW356" i="31"/>
  <c r="GB355" i="31" l="1"/>
  <c r="GC355" i="31" s="1"/>
  <c r="CQ355" i="31"/>
  <c r="CR355" i="31" s="1"/>
  <c r="HO355" i="31"/>
  <c r="IZ355" i="31" s="1"/>
  <c r="FZ355" i="31"/>
  <c r="GA355" i="31" s="1"/>
  <c r="KX355" i="31"/>
  <c r="FU355" i="31"/>
  <c r="FW355" i="31" s="1"/>
  <c r="KU355" i="31"/>
  <c r="FH355" i="31"/>
  <c r="FI355" i="31" s="1"/>
  <c r="FJ356" i="31" s="1"/>
  <c r="FX355" i="31"/>
  <c r="FY355" i="31" s="1"/>
  <c r="FE355" i="31"/>
  <c r="FF355" i="31" s="1"/>
  <c r="HW355" i="31" s="1"/>
  <c r="HX356" i="31" s="1"/>
  <c r="DQ355" i="31"/>
  <c r="DR355" i="31" s="1"/>
  <c r="DS355" i="31" s="1"/>
  <c r="AX355" i="31" s="1"/>
  <c r="AY356" i="31" s="1"/>
  <c r="FP355" i="31"/>
  <c r="FS355" i="31" s="1"/>
  <c r="HA355" i="31" s="1"/>
  <c r="JR355" i="31"/>
  <c r="JS355" i="31" s="1"/>
  <c r="KE355" i="31" s="1"/>
  <c r="GN355" i="31"/>
  <c r="KV355" i="31" s="1"/>
  <c r="KL356" i="31"/>
  <c r="KN357" i="31" s="1"/>
  <c r="KQ356" i="31" s="1"/>
  <c r="KM356" i="31"/>
  <c r="KO357" i="31" s="1"/>
  <c r="OW355" i="31"/>
  <c r="MR356" i="31"/>
  <c r="MS356" i="31" s="1"/>
  <c r="NP356" i="31" s="1"/>
  <c r="OX356" i="31"/>
  <c r="CT355" i="31"/>
  <c r="IA355" i="31"/>
  <c r="IB355" i="31" s="1"/>
  <c r="MX356" i="31"/>
  <c r="KC355" i="31" l="1"/>
  <c r="JU355" i="31"/>
  <c r="FG356" i="31"/>
  <c r="GQ355" i="31"/>
  <c r="HP355" i="31"/>
  <c r="HS355" i="31" s="1"/>
  <c r="JG355" i="31" s="1"/>
  <c r="CS355" i="31"/>
  <c r="JT356" i="31"/>
  <c r="DY355" i="31"/>
  <c r="HU355" i="31"/>
  <c r="HV356" i="31" s="1"/>
  <c r="HY355" i="31"/>
  <c r="KW356" i="31"/>
  <c r="HQ355" i="31"/>
  <c r="HR356" i="31" s="1"/>
  <c r="MT356" i="31"/>
  <c r="NJ356" i="31"/>
  <c r="OQ357" i="31" s="1"/>
  <c r="MU356" i="31"/>
  <c r="NQ356" i="31"/>
  <c r="NR356" i="31" s="1"/>
  <c r="MO356" i="31"/>
  <c r="NH357" i="31"/>
  <c r="NI357" i="31" s="1"/>
  <c r="PE356" i="31"/>
  <c r="KP357" i="31"/>
  <c r="KR356" i="31"/>
  <c r="KS356" i="31" s="1"/>
  <c r="NA356" i="31"/>
  <c r="NB356" i="31"/>
  <c r="HT355" i="31"/>
  <c r="EM355" i="31"/>
  <c r="EW355" i="31" s="1"/>
  <c r="AZ355" i="31"/>
  <c r="EN355" i="31"/>
  <c r="NG357" i="31" l="1"/>
  <c r="NL356" i="31"/>
  <c r="NC357" i="31" s="1"/>
  <c r="NK356" i="31"/>
  <c r="BB356" i="31"/>
  <c r="EQ355" i="31"/>
  <c r="IW355" i="31"/>
  <c r="DW355" i="31"/>
  <c r="DU356" i="31" s="1"/>
  <c r="ER356" i="31"/>
  <c r="IU355" i="31"/>
  <c r="IV355" i="31" s="1"/>
  <c r="IC355" i="31"/>
  <c r="ID355" i="31" s="1"/>
  <c r="IF355" i="31" s="1"/>
  <c r="KH355" i="31" s="1"/>
  <c r="JB355" i="31"/>
  <c r="OR357" i="31"/>
  <c r="MQ357" i="31" l="1"/>
  <c r="KK355" i="31"/>
  <c r="KB355" i="31"/>
  <c r="IX355" i="31"/>
  <c r="IM355" i="31"/>
  <c r="DT355" i="31" s="1"/>
  <c r="DZ355" i="31" s="1"/>
  <c r="DB355" i="31"/>
  <c r="DC355" i="31" s="1"/>
  <c r="DD356" i="31" s="1"/>
  <c r="DE357" i="31" s="1"/>
  <c r="GM355" i="31"/>
  <c r="KI356" i="31"/>
  <c r="IN355" i="31"/>
  <c r="DF355" i="31"/>
  <c r="EU356" i="31"/>
  <c r="BC356" i="31"/>
  <c r="GT357" i="31" l="1"/>
  <c r="BE356" i="31"/>
  <c r="BD356" i="31"/>
  <c r="GU355" i="31"/>
  <c r="GV355" i="31"/>
  <c r="FD355" i="31"/>
  <c r="KJ356" i="31"/>
  <c r="GR355" i="31"/>
  <c r="IS355" i="31" l="1"/>
  <c r="FL356" i="31"/>
  <c r="GS355" i="31"/>
  <c r="BF356" i="31"/>
  <c r="BG356" i="31"/>
  <c r="BI356" i="31" l="1"/>
  <c r="BK356" i="31" s="1"/>
  <c r="BH356" i="31"/>
  <c r="GX355" i="31"/>
  <c r="GY355" i="31"/>
  <c r="GW355" i="31"/>
  <c r="HC355" i="31" s="1"/>
  <c r="FA356" i="31" s="1"/>
  <c r="HB356" i="31" s="1"/>
  <c r="FM356" i="31"/>
  <c r="JH355" i="31"/>
  <c r="JI355" i="31" s="1"/>
  <c r="IT355" i="31"/>
  <c r="BJ356" i="31" l="1"/>
  <c r="JK355" i="31"/>
  <c r="JZ355" i="31" s="1"/>
  <c r="KF355" i="31" s="1"/>
  <c r="IQ356" i="31" s="1"/>
  <c r="HM355" i="31"/>
  <c r="EG355" i="31"/>
  <c r="EH356" i="31" s="1"/>
  <c r="EI356" i="31" s="1"/>
  <c r="FK356" i="31" s="1"/>
  <c r="EY355" i="31"/>
  <c r="HK356" i="31"/>
  <c r="BL356" i="31"/>
  <c r="BM356" i="31"/>
  <c r="JM355" i="31" l="1"/>
  <c r="KD355" i="31" s="1"/>
  <c r="IL356" i="31" s="1"/>
  <c r="IR356" i="31" s="1"/>
  <c r="EZ355" i="31"/>
  <c r="DG355" i="31"/>
  <c r="DH355" i="31" s="1"/>
  <c r="DI356" i="31" s="1"/>
  <c r="EJ355" i="31"/>
  <c r="EK356" i="31" s="1"/>
  <c r="EE355" i="31"/>
  <c r="EF356" i="31" s="1"/>
  <c r="ED355" i="31"/>
  <c r="EB356" i="31" s="1"/>
  <c r="JA356" i="31" s="1"/>
  <c r="BN356" i="31"/>
  <c r="BO356" i="31"/>
  <c r="BQ356" i="31" s="1"/>
  <c r="JN355" i="31"/>
  <c r="JV355" i="31" s="1"/>
  <c r="JF356" i="31" s="1"/>
  <c r="JL355" i="31"/>
  <c r="JJ356" i="31" s="1"/>
  <c r="KA356" i="31"/>
  <c r="IP356" i="31" l="1"/>
  <c r="JO356" i="31"/>
  <c r="IY356" i="31"/>
  <c r="JE356" i="31"/>
  <c r="IO356" i="31"/>
  <c r="DP356" i="31"/>
  <c r="JY356" i="31"/>
  <c r="JW356" i="31"/>
  <c r="HZ356" i="31"/>
  <c r="BP356" i="31"/>
  <c r="GZ356" i="31"/>
  <c r="IE356" i="31" s="1"/>
  <c r="DJ356" i="31"/>
  <c r="DK356" i="31" s="1"/>
  <c r="BR356" i="31"/>
  <c r="BS356" i="31"/>
  <c r="FC356" i="31"/>
  <c r="EL356" i="31"/>
  <c r="EP356" i="31"/>
  <c r="ET357" i="31" s="1"/>
  <c r="EO356" i="31"/>
  <c r="ES357" i="31" s="1"/>
  <c r="EV356" i="31"/>
  <c r="JC356" i="31"/>
  <c r="JD356" i="31"/>
  <c r="JP356" i="31" l="1"/>
  <c r="JQ356" i="31" s="1"/>
  <c r="JX356" i="31"/>
  <c r="DX356" i="31"/>
  <c r="FQ356" i="31"/>
  <c r="DM356" i="31"/>
  <c r="BT356" i="31"/>
  <c r="BU356" i="31"/>
  <c r="EC356" i="31"/>
  <c r="KG356" i="31"/>
  <c r="BV356" i="31" l="1"/>
  <c r="BW356" i="31" s="1"/>
  <c r="EX356" i="31"/>
  <c r="M356" i="31" s="1"/>
  <c r="FB356" i="31"/>
  <c r="DL356" i="31"/>
  <c r="L357" i="31"/>
  <c r="BX356" i="31" l="1"/>
  <c r="BY356" i="31"/>
  <c r="MJ356" i="31"/>
  <c r="NS356" i="31" s="1"/>
  <c r="MB356" i="31"/>
  <c r="BZ356" i="31" l="1"/>
  <c r="CA356" i="31"/>
  <c r="NM356" i="31"/>
  <c r="NN356" i="31" s="1"/>
  <c r="NT356" i="31"/>
  <c r="OU357" i="31"/>
  <c r="CB356" i="31" l="1"/>
  <c r="CC356" i="31" s="1"/>
  <c r="OV357" i="31"/>
  <c r="NW356" i="31"/>
  <c r="NX356" i="31" s="1"/>
  <c r="NY356" i="31" s="1"/>
  <c r="CX356" i="31"/>
  <c r="FR356" i="31"/>
  <c r="FV356" i="31"/>
  <c r="NU356" i="31"/>
  <c r="CD356" i="31" l="1"/>
  <c r="CE356" i="31"/>
  <c r="CG356" i="31" s="1"/>
  <c r="OF356" i="31"/>
  <c r="OS357" i="31" s="1"/>
  <c r="NV356" i="31"/>
  <c r="OB356" i="31"/>
  <c r="OT357" i="31" s="1"/>
  <c r="MY356" i="31"/>
  <c r="OI356" i="31" s="1"/>
  <c r="NZ356" i="31"/>
  <c r="OA356" i="31" s="1"/>
  <c r="MV357" i="31" s="1"/>
  <c r="CY357" i="31"/>
  <c r="CH356" i="31" l="1"/>
  <c r="CI356" i="31" s="1"/>
  <c r="CJ356" i="31" s="1"/>
  <c r="CO356" i="31" s="1"/>
  <c r="CF356" i="31"/>
  <c r="OJ356" i="31"/>
  <c r="MW357" i="31" s="1"/>
  <c r="PA356" i="31"/>
  <c r="OG357" i="31"/>
  <c r="OC356" i="31"/>
  <c r="OD357" i="31" s="1"/>
  <c r="OH357" i="31" s="1"/>
  <c r="OX357" i="31"/>
  <c r="OW356" i="31"/>
  <c r="MR357" i="31"/>
  <c r="MZ357" i="31"/>
  <c r="OZ356" i="31"/>
  <c r="OO357" i="31"/>
  <c r="KT357" i="31" s="1"/>
  <c r="NF357" i="31"/>
  <c r="OM357" i="31"/>
  <c r="CK356" i="31" l="1"/>
  <c r="CL356" i="31" s="1"/>
  <c r="OY357" i="31"/>
  <c r="OK357" i="31"/>
  <c r="KM357" i="31"/>
  <c r="KO358" i="31" s="1"/>
  <c r="KL357" i="31"/>
  <c r="KN358" i="31" s="1"/>
  <c r="MS357" i="31"/>
  <c r="MX357" i="31"/>
  <c r="CM356" i="31" l="1"/>
  <c r="CN356" i="31" s="1"/>
  <c r="CP356" i="31" s="1"/>
  <c r="FE356" i="31" s="1"/>
  <c r="FF356" i="31" s="1"/>
  <c r="NQ357" i="31"/>
  <c r="NJ357" i="31"/>
  <c r="MT357" i="31"/>
  <c r="NP357" i="31"/>
  <c r="NH358" i="31"/>
  <c r="NI358" i="31" s="1"/>
  <c r="MO357" i="31"/>
  <c r="MU357" i="31"/>
  <c r="PE357" i="31"/>
  <c r="KQ357" i="31"/>
  <c r="NA357" i="31"/>
  <c r="NB357" i="31"/>
  <c r="KP358" i="31"/>
  <c r="KR357" i="31"/>
  <c r="NR357" i="31" l="1"/>
  <c r="FZ356" i="31"/>
  <c r="GA356" i="31" s="1"/>
  <c r="KX356" i="31"/>
  <c r="GB356" i="31"/>
  <c r="GC356" i="31" s="1"/>
  <c r="GO356" i="31"/>
  <c r="KU356" i="31"/>
  <c r="JR356" i="31"/>
  <c r="JS356" i="31" s="1"/>
  <c r="KE356" i="31" s="1"/>
  <c r="FX356" i="31"/>
  <c r="FY356" i="31" s="1"/>
  <c r="CQ356" i="31"/>
  <c r="CT356" i="31" s="1"/>
  <c r="FH356" i="31"/>
  <c r="FI356" i="31" s="1"/>
  <c r="HU356" i="31" s="1"/>
  <c r="HV357" i="31" s="1"/>
  <c r="HO356" i="31"/>
  <c r="FP356" i="31"/>
  <c r="FS356" i="31" s="1"/>
  <c r="HA356" i="31" s="1"/>
  <c r="FU356" i="31"/>
  <c r="FW356" i="31" s="1"/>
  <c r="DQ356" i="31"/>
  <c r="DR356" i="31" s="1"/>
  <c r="DS356" i="31" s="1"/>
  <c r="AX356" i="31" s="1"/>
  <c r="AY357" i="31" s="1"/>
  <c r="GN356" i="31"/>
  <c r="GQ356" i="31" s="1"/>
  <c r="KS357" i="31"/>
  <c r="NK357" i="31"/>
  <c r="NL357" i="31"/>
  <c r="NG358" i="31"/>
  <c r="OQ358" i="31"/>
  <c r="IA356" i="31"/>
  <c r="IB356" i="31" s="1"/>
  <c r="HP356" i="31"/>
  <c r="IZ356" i="31"/>
  <c r="CR356" i="31"/>
  <c r="HW356" i="31"/>
  <c r="HX357" i="31" s="1"/>
  <c r="FG357" i="31"/>
  <c r="JT357" i="31" l="1"/>
  <c r="HY356" i="31"/>
  <c r="DY356" i="31"/>
  <c r="KC356" i="31"/>
  <c r="CS356" i="31"/>
  <c r="FJ357" i="31"/>
  <c r="KV356" i="31"/>
  <c r="KW357" i="31" s="1"/>
  <c r="JU356" i="31"/>
  <c r="HQ356" i="31"/>
  <c r="HR357" i="31" s="1"/>
  <c r="EN356" i="31"/>
  <c r="EM356" i="31"/>
  <c r="EW356" i="31" s="1"/>
  <c r="AZ356" i="31"/>
  <c r="OR358" i="31"/>
  <c r="HS356" i="31"/>
  <c r="JG356" i="31" s="1"/>
  <c r="HT356" i="31"/>
  <c r="NC358" i="31"/>
  <c r="MQ358" i="31"/>
  <c r="IC356" i="31" l="1"/>
  <c r="ID356" i="31" s="1"/>
  <c r="IF356" i="31" s="1"/>
  <c r="KH356" i="31" s="1"/>
  <c r="JB356" i="31"/>
  <c r="BB357" i="31"/>
  <c r="IW356" i="31"/>
  <c r="EQ356" i="31"/>
  <c r="DW356" i="31"/>
  <c r="DU357" i="31" s="1"/>
  <c r="ER357" i="31"/>
  <c r="IU356" i="31"/>
  <c r="IV356" i="31" s="1"/>
  <c r="BC357" i="31" l="1"/>
  <c r="KB356" i="31"/>
  <c r="IX356" i="31"/>
  <c r="KK356" i="31"/>
  <c r="EU357" i="31"/>
  <c r="IM356" i="31"/>
  <c r="DB356" i="31"/>
  <c r="DC356" i="31" s="1"/>
  <c r="DD357" i="31" s="1"/>
  <c r="DE358" i="31" s="1"/>
  <c r="GM356" i="31"/>
  <c r="KI357" i="31"/>
  <c r="IN356" i="31"/>
  <c r="DF356" i="31"/>
  <c r="DT356" i="31" l="1"/>
  <c r="DZ356" i="31" s="1"/>
  <c r="GT358" i="31"/>
  <c r="GU356" i="31"/>
  <c r="GV356" i="31"/>
  <c r="FD356" i="31"/>
  <c r="KJ357" i="31"/>
  <c r="GR356" i="31"/>
  <c r="BD357" i="31"/>
  <c r="BE357" i="31"/>
  <c r="IS356" i="31" l="1"/>
  <c r="FL357" i="31"/>
  <c r="BF357" i="31"/>
  <c r="BG357" i="31"/>
  <c r="GS356" i="31"/>
  <c r="GY356" i="31" l="1"/>
  <c r="GX356" i="31"/>
  <c r="GW356" i="31"/>
  <c r="HC356" i="31" s="1"/>
  <c r="FA357" i="31" s="1"/>
  <c r="HB357" i="31" s="1"/>
  <c r="BH357" i="31"/>
  <c r="BI357" i="31"/>
  <c r="BK357" i="31" s="1"/>
  <c r="FM357" i="31"/>
  <c r="JH356" i="31"/>
  <c r="JI356" i="31" s="1"/>
  <c r="IT356" i="31"/>
  <c r="BL357" i="31" l="1"/>
  <c r="BM357" i="31"/>
  <c r="HM356" i="31"/>
  <c r="EG356" i="31"/>
  <c r="EH357" i="31" s="1"/>
  <c r="EI357" i="31" s="1"/>
  <c r="FK357" i="31" s="1"/>
  <c r="EY356" i="31"/>
  <c r="HK357" i="31"/>
  <c r="JK356" i="31"/>
  <c r="JZ356" i="31" s="1"/>
  <c r="KF356" i="31" s="1"/>
  <c r="IQ357" i="31" s="1"/>
  <c r="BJ357" i="31"/>
  <c r="JN356" i="31" l="1"/>
  <c r="JV356" i="31" s="1"/>
  <c r="JF357" i="31" s="1"/>
  <c r="JW357" i="31" s="1"/>
  <c r="EZ356" i="31"/>
  <c r="DG356" i="31"/>
  <c r="DH356" i="31" s="1"/>
  <c r="DI357" i="31" s="1"/>
  <c r="EJ356" i="31"/>
  <c r="EK357" i="31" s="1"/>
  <c r="ED356" i="31"/>
  <c r="EB357" i="31" s="1"/>
  <c r="JA357" i="31" s="1"/>
  <c r="EE356" i="31"/>
  <c r="EF357" i="31" s="1"/>
  <c r="BO357" i="31"/>
  <c r="BQ357" i="31" s="1"/>
  <c r="BN357" i="31"/>
  <c r="JM356" i="31"/>
  <c r="KD356" i="31" s="1"/>
  <c r="IL357" i="31" s="1"/>
  <c r="IR357" i="31" s="1"/>
  <c r="JL356" i="31"/>
  <c r="JJ357" i="31" s="1"/>
  <c r="KA357" i="31"/>
  <c r="JY357" i="31" l="1"/>
  <c r="BP357" i="31"/>
  <c r="JC357" i="31"/>
  <c r="JD357" i="31"/>
  <c r="HZ357" i="31"/>
  <c r="IY357" i="31"/>
  <c r="IO357" i="31"/>
  <c r="IP357" i="31"/>
  <c r="JE357" i="31"/>
  <c r="DP357" i="31"/>
  <c r="FC357" i="31"/>
  <c r="EP357" i="31"/>
  <c r="ET358" i="31" s="1"/>
  <c r="EO357" i="31"/>
  <c r="ES358" i="31" s="1"/>
  <c r="EL357" i="31"/>
  <c r="EV357" i="31"/>
  <c r="BR357" i="31"/>
  <c r="BS357" i="31"/>
  <c r="JO357" i="31"/>
  <c r="DJ357" i="31"/>
  <c r="DK357" i="31" s="1"/>
  <c r="GZ357" i="31"/>
  <c r="IE357" i="31" s="1"/>
  <c r="JP357" i="31" l="1"/>
  <c r="JQ357" i="31" s="1"/>
  <c r="EC357" i="31"/>
  <c r="DM357" i="31"/>
  <c r="FQ357" i="31"/>
  <c r="DX357" i="31"/>
  <c r="JX357" i="31"/>
  <c r="BT357" i="31"/>
  <c r="BU357" i="31"/>
  <c r="KG357" i="31"/>
  <c r="BV357" i="31" l="1"/>
  <c r="BW357" i="31" s="1"/>
  <c r="DL357" i="31"/>
  <c r="L358" i="31"/>
  <c r="EX357" i="31"/>
  <c r="M357" i="31" s="1"/>
  <c r="FB357" i="31"/>
  <c r="BX357" i="31" l="1"/>
  <c r="BY357" i="31"/>
  <c r="MJ357" i="31"/>
  <c r="NS357" i="31" s="1"/>
  <c r="MB357" i="31"/>
  <c r="BZ357" i="31" l="1"/>
  <c r="CA357" i="31"/>
  <c r="NM357" i="31"/>
  <c r="NN357" i="31" s="1"/>
  <c r="NT357" i="31"/>
  <c r="OU358" i="31"/>
  <c r="CB357" i="31" l="1"/>
  <c r="CC357" i="31" s="1"/>
  <c r="OV358" i="31"/>
  <c r="NW357" i="31"/>
  <c r="NX357" i="31" s="1"/>
  <c r="CX357" i="31"/>
  <c r="FR357" i="31"/>
  <c r="FV357" i="31"/>
  <c r="NU357" i="31"/>
  <c r="CD357" i="31" l="1"/>
  <c r="CE357" i="31"/>
  <c r="CF357" i="31" s="1"/>
  <c r="NY357" i="31"/>
  <c r="OF357" i="31"/>
  <c r="OS358" i="31" s="1"/>
  <c r="NV357" i="31"/>
  <c r="NZ357" i="31"/>
  <c r="MY357" i="31"/>
  <c r="CY358" i="31"/>
  <c r="CG357" i="31" l="1"/>
  <c r="CH357" i="31" s="1"/>
  <c r="MZ358" i="31"/>
  <c r="OZ357" i="31"/>
  <c r="OM358" i="31"/>
  <c r="OO358" i="31"/>
  <c r="NF358" i="31"/>
  <c r="OA357" i="31"/>
  <c r="MV358" i="31" s="1"/>
  <c r="OB357" i="31"/>
  <c r="OT358" i="31" s="1"/>
  <c r="OI357" i="31"/>
  <c r="CI357" i="31" l="1"/>
  <c r="CJ357" i="31" s="1"/>
  <c r="CO357" i="31" s="1"/>
  <c r="OG358" i="31"/>
  <c r="KT358" i="31"/>
  <c r="MR358" i="31"/>
  <c r="OX358" i="31"/>
  <c r="OW357" i="31"/>
  <c r="PA357" i="31"/>
  <c r="OJ357" i="31"/>
  <c r="OC357" i="31"/>
  <c r="OD358" i="31" s="1"/>
  <c r="OH358" i="31" s="1"/>
  <c r="CK357" i="31" l="1"/>
  <c r="CL357" i="31" s="1"/>
  <c r="OK358" i="31"/>
  <c r="OY358" i="31"/>
  <c r="MW358" i="31"/>
  <c r="KM358" i="31"/>
  <c r="KO359" i="31" s="1"/>
  <c r="KL358" i="31"/>
  <c r="KN359" i="31" s="1"/>
  <c r="MS358" i="31"/>
  <c r="CM357" i="31" l="1"/>
  <c r="CN357" i="31" s="1"/>
  <c r="CP357" i="31" s="1"/>
  <c r="KQ358" i="31"/>
  <c r="KP359" i="31"/>
  <c r="KR358" i="31"/>
  <c r="NP358" i="31"/>
  <c r="NQ358" i="31"/>
  <c r="MU358" i="31"/>
  <c r="NH359" i="31"/>
  <c r="NI359" i="31" s="1"/>
  <c r="MO358" i="31"/>
  <c r="MT358" i="31"/>
  <c r="NJ358" i="31"/>
  <c r="PE358" i="31"/>
  <c r="MX358" i="31"/>
  <c r="FZ357" i="31" l="1"/>
  <c r="GA357" i="31" s="1"/>
  <c r="GB357" i="31"/>
  <c r="GC357" i="31" s="1"/>
  <c r="FX357" i="31"/>
  <c r="FY357" i="31" s="1"/>
  <c r="FU357" i="31"/>
  <c r="FW357" i="31" s="1"/>
  <c r="JR357" i="31"/>
  <c r="JS357" i="31" s="1"/>
  <c r="KX357" i="31"/>
  <c r="GN357" i="31" s="1"/>
  <c r="DQ357" i="31"/>
  <c r="DR357" i="31" s="1"/>
  <c r="DS357" i="31" s="1"/>
  <c r="AX357" i="31" s="1"/>
  <c r="AY358" i="31" s="1"/>
  <c r="FP357" i="31"/>
  <c r="FS357" i="31" s="1"/>
  <c r="KU357" i="31"/>
  <c r="GO357" i="31"/>
  <c r="CQ357" i="31"/>
  <c r="FE357" i="31"/>
  <c r="FF357" i="31" s="1"/>
  <c r="HO357" i="31"/>
  <c r="FH357" i="31"/>
  <c r="FI357" i="31" s="1"/>
  <c r="NR358" i="31"/>
  <c r="NK358" i="31"/>
  <c r="NL358" i="31"/>
  <c r="NG359" i="31"/>
  <c r="OQ359" i="31"/>
  <c r="KS358" i="31"/>
  <c r="NB358" i="31"/>
  <c r="NA358" i="31"/>
  <c r="AZ357" i="31" l="1"/>
  <c r="EN357" i="31"/>
  <c r="EQ357" i="31" s="1"/>
  <c r="EM357" i="31"/>
  <c r="EW357" i="31" s="1"/>
  <c r="HY357" i="31"/>
  <c r="HA357" i="31"/>
  <c r="DY357" i="31"/>
  <c r="HW357" i="31"/>
  <c r="HX358" i="31" s="1"/>
  <c r="FG358" i="31"/>
  <c r="FJ358" i="31"/>
  <c r="HU357" i="31"/>
  <c r="HV358" i="31" s="1"/>
  <c r="KV357" i="31"/>
  <c r="GQ357" i="31"/>
  <c r="CT357" i="31"/>
  <c r="CR357" i="31"/>
  <c r="CS357" i="31"/>
  <c r="HP357" i="31"/>
  <c r="IA357" i="31"/>
  <c r="IB357" i="31" s="1"/>
  <c r="IZ357" i="31"/>
  <c r="JT358" i="31"/>
  <c r="KE357" i="31"/>
  <c r="JU357" i="31"/>
  <c r="KC357" i="31"/>
  <c r="OR359" i="31"/>
  <c r="NC359" i="31"/>
  <c r="MQ359" i="31"/>
  <c r="KW358" i="31" l="1"/>
  <c r="HQ357" i="31"/>
  <c r="HR358" i="31" s="1"/>
  <c r="IW357" i="31"/>
  <c r="BB358" i="31"/>
  <c r="BC358" i="31" s="1"/>
  <c r="IU357" i="31"/>
  <c r="IV357" i="31" s="1"/>
  <c r="KK357" i="31" s="1"/>
  <c r="ER358" i="31"/>
  <c r="EU358" i="31" s="1"/>
  <c r="DW357" i="31"/>
  <c r="DU358" i="31" s="1"/>
  <c r="HT357" i="31"/>
  <c r="HS357" i="31"/>
  <c r="JG357" i="31" s="1"/>
  <c r="KB357" i="31" l="1"/>
  <c r="IX357" i="31"/>
  <c r="IC357" i="31"/>
  <c r="ID357" i="31" s="1"/>
  <c r="IF357" i="31" s="1"/>
  <c r="KH357" i="31" s="1"/>
  <c r="JB357" i="31"/>
  <c r="BE358" i="31"/>
  <c r="BD358" i="31"/>
  <c r="IM357" i="31" l="1"/>
  <c r="KI358" i="31"/>
  <c r="KJ358" i="31" s="1"/>
  <c r="IN357" i="31"/>
  <c r="DF357" i="31"/>
  <c r="GM357" i="31"/>
  <c r="DB357" i="31"/>
  <c r="DC357" i="31" s="1"/>
  <c r="DD358" i="31" s="1"/>
  <c r="DE359" i="31" s="1"/>
  <c r="BF358" i="31"/>
  <c r="BG358" i="31"/>
  <c r="DT357" i="31" l="1"/>
  <c r="DZ357" i="31" s="1"/>
  <c r="GT359" i="31"/>
  <c r="GV357" i="31"/>
  <c r="FD357" i="31"/>
  <c r="GU357" i="31"/>
  <c r="GR357" i="31"/>
  <c r="BI358" i="31"/>
  <c r="BK358" i="31" s="1"/>
  <c r="BH358" i="31"/>
  <c r="GS357" i="31" l="1"/>
  <c r="IS357" i="31"/>
  <c r="FL358" i="31"/>
  <c r="FM358" i="31" s="1"/>
  <c r="BJ358" i="31"/>
  <c r="BL358" i="31"/>
  <c r="BM358" i="31"/>
  <c r="JH357" i="31" l="1"/>
  <c r="JI357" i="31" s="1"/>
  <c r="JK357" i="31" s="1"/>
  <c r="JN357" i="31" s="1"/>
  <c r="JV357" i="31" s="1"/>
  <c r="JF358" i="31" s="1"/>
  <c r="JY358" i="31" s="1"/>
  <c r="IT357" i="31"/>
  <c r="GW357" i="31"/>
  <c r="HC357" i="31" s="1"/>
  <c r="FA358" i="31" s="1"/>
  <c r="HB358" i="31" s="1"/>
  <c r="GY357" i="31"/>
  <c r="GX357" i="31"/>
  <c r="BO358" i="31"/>
  <c r="BN358" i="31"/>
  <c r="JL357" i="31" l="1"/>
  <c r="JJ358" i="31" s="1"/>
  <c r="JZ357" i="31"/>
  <c r="KF357" i="31" s="1"/>
  <c r="IQ358" i="31" s="1"/>
  <c r="JM357" i="31"/>
  <c r="KD357" i="31" s="1"/>
  <c r="IL358" i="31" s="1"/>
  <c r="HM357" i="31"/>
  <c r="HK358" i="31"/>
  <c r="EG357" i="31"/>
  <c r="EH358" i="31" s="1"/>
  <c r="EI358" i="31" s="1"/>
  <c r="FK358" i="31" s="1"/>
  <c r="EY357" i="31"/>
  <c r="KA358" i="31"/>
  <c r="HZ358" i="31" s="1"/>
  <c r="BP358" i="31"/>
  <c r="BQ358" i="31"/>
  <c r="JO358" i="31" l="1"/>
  <c r="JE358" i="31"/>
  <c r="IR358" i="31"/>
  <c r="EJ357" i="31"/>
  <c r="EK358" i="31" s="1"/>
  <c r="ED357" i="31"/>
  <c r="EB358" i="31" s="1"/>
  <c r="EE357" i="31"/>
  <c r="EF358" i="31" s="1"/>
  <c r="EZ357" i="31"/>
  <c r="DG357" i="31"/>
  <c r="DH357" i="31" s="1"/>
  <c r="DI358" i="31" s="1"/>
  <c r="JW358" i="31"/>
  <c r="BR358" i="31"/>
  <c r="BS358" i="31"/>
  <c r="DP358" i="31" l="1"/>
  <c r="DJ358" i="31"/>
  <c r="DK358" i="31" s="1"/>
  <c r="GZ358" i="31"/>
  <c r="IO358" i="31"/>
  <c r="IP358" i="31"/>
  <c r="EV358" i="31"/>
  <c r="EL358" i="31"/>
  <c r="IY358" i="31"/>
  <c r="JP358" i="31" s="1"/>
  <c r="JQ358" i="31" s="1"/>
  <c r="FC358" i="31"/>
  <c r="EO358" i="31"/>
  <c r="ES359" i="31" s="1"/>
  <c r="JA358" i="31"/>
  <c r="EP358" i="31"/>
  <c r="ET359" i="31" s="1"/>
  <c r="JC358" i="31"/>
  <c r="JD358" i="31"/>
  <c r="BT358" i="31"/>
  <c r="BU358" i="31"/>
  <c r="JX358" i="31" l="1"/>
  <c r="EC358" i="31"/>
  <c r="IE358" i="31"/>
  <c r="KG358" i="31"/>
  <c r="DM358" i="31"/>
  <c r="DX358" i="31"/>
  <c r="FQ358" i="31"/>
  <c r="BV358" i="31"/>
  <c r="BW358" i="31" s="1"/>
  <c r="DL358" i="31" l="1"/>
  <c r="L359" i="31"/>
  <c r="FB358" i="31"/>
  <c r="EX358" i="31"/>
  <c r="M358" i="31" s="1"/>
  <c r="BY358" i="31"/>
  <c r="CA358" i="31" s="1"/>
  <c r="BX358" i="31"/>
  <c r="MJ358" i="31" l="1"/>
  <c r="NS358" i="31" s="1"/>
  <c r="MB358" i="31"/>
  <c r="BZ358" i="31"/>
  <c r="CB358" i="31"/>
  <c r="CC358" i="31" s="1"/>
  <c r="CD358" i="31" l="1"/>
  <c r="CE358" i="31"/>
  <c r="CF358" i="31" s="1"/>
  <c r="NM358" i="31"/>
  <c r="NN358" i="31" s="1"/>
  <c r="OU359" i="31"/>
  <c r="NT358" i="31"/>
  <c r="CG358" i="31" l="1"/>
  <c r="CH358" i="31" s="1"/>
  <c r="CI358" i="31" s="1"/>
  <c r="OV359" i="31"/>
  <c r="NW358" i="31"/>
  <c r="NX358" i="31" s="1"/>
  <c r="OF358" i="31" s="1"/>
  <c r="OS359" i="31" s="1"/>
  <c r="CX358" i="31"/>
  <c r="NU358" i="31"/>
  <c r="NV358" i="31" s="1"/>
  <c r="FV358" i="31"/>
  <c r="FR358" i="31"/>
  <c r="NY358" i="31" l="1"/>
  <c r="OB358" i="31" s="1"/>
  <c r="OT359" i="31" s="1"/>
  <c r="CJ358" i="31"/>
  <c r="CO358" i="31" s="1"/>
  <c r="CK358" i="31"/>
  <c r="CM358" i="31" s="1"/>
  <c r="CN358" i="31" s="1"/>
  <c r="CY359" i="31"/>
  <c r="MY358" i="31"/>
  <c r="NZ358" i="31"/>
  <c r="OA358" i="31" l="1"/>
  <c r="MV359" i="31" s="1"/>
  <c r="OG359" i="31" s="1"/>
  <c r="PA358" i="31"/>
  <c r="CL358" i="31"/>
  <c r="CP358" i="31" s="1"/>
  <c r="OC358" i="31"/>
  <c r="OD359" i="31" s="1"/>
  <c r="OH359" i="31" s="1"/>
  <c r="OJ358" i="31"/>
  <c r="MW359" i="31" s="1"/>
  <c r="OI358" i="31"/>
  <c r="MZ359" i="31"/>
  <c r="OZ358" i="31"/>
  <c r="OM359" i="31"/>
  <c r="OO359" i="31"/>
  <c r="NF359" i="31"/>
  <c r="OK359" i="31" l="1"/>
  <c r="KT359" i="31"/>
  <c r="KL359" i="31" s="1"/>
  <c r="KN360" i="31" s="1"/>
  <c r="OY359" i="31"/>
  <c r="KM359" i="31"/>
  <c r="KO360" i="31" s="1"/>
  <c r="KP360" i="31" s="1"/>
  <c r="OX359" i="31"/>
  <c r="MR359" i="31"/>
  <c r="MS359" i="31" s="1"/>
  <c r="MO359" i="31" s="1"/>
  <c r="OW358" i="31"/>
  <c r="GB358" i="31"/>
  <c r="GC358" i="31" s="1"/>
  <c r="FZ358" i="31"/>
  <c r="GA358" i="31" s="1"/>
  <c r="FX358" i="31"/>
  <c r="FY358" i="31" s="1"/>
  <c r="FE358" i="31"/>
  <c r="FF358" i="31" s="1"/>
  <c r="FU358" i="31"/>
  <c r="FW358" i="31" s="1"/>
  <c r="DQ358" i="31"/>
  <c r="DR358" i="31" s="1"/>
  <c r="FP358" i="31"/>
  <c r="FS358" i="31" s="1"/>
  <c r="HO358" i="31"/>
  <c r="JR358" i="31"/>
  <c r="JS358" i="31" s="1"/>
  <c r="GO358" i="31"/>
  <c r="CQ358" i="31"/>
  <c r="FH358" i="31"/>
  <c r="FI358" i="31" s="1"/>
  <c r="KX358" i="31"/>
  <c r="GN358" i="31" s="1"/>
  <c r="KU358" i="31"/>
  <c r="KQ359" i="31"/>
  <c r="MX359" i="31"/>
  <c r="KR359" i="31" l="1"/>
  <c r="NP359" i="31"/>
  <c r="NQ359" i="31"/>
  <c r="NJ359" i="31"/>
  <c r="NL359" i="31" s="1"/>
  <c r="PE359" i="31"/>
  <c r="MT359" i="31"/>
  <c r="MU359" i="31"/>
  <c r="NH360" i="31"/>
  <c r="NI360" i="31" s="1"/>
  <c r="KS359" i="31"/>
  <c r="IA358" i="31"/>
  <c r="IB358" i="31" s="1"/>
  <c r="HP358" i="31"/>
  <c r="IZ358" i="31"/>
  <c r="DS358" i="31"/>
  <c r="AX358" i="31" s="1"/>
  <c r="AY359" i="31" s="1"/>
  <c r="NB359" i="31"/>
  <c r="NA359" i="31"/>
  <c r="HU358" i="31"/>
  <c r="HV359" i="31" s="1"/>
  <c r="FJ359" i="31"/>
  <c r="HW358" i="31"/>
  <c r="HX359" i="31" s="1"/>
  <c r="FG359" i="31"/>
  <c r="CT358" i="31"/>
  <c r="CS358" i="31"/>
  <c r="CR358" i="31"/>
  <c r="DY358" i="31"/>
  <c r="HA358" i="31"/>
  <c r="HY358" i="31"/>
  <c r="GQ358" i="31"/>
  <c r="KV358" i="31"/>
  <c r="KE358" i="31"/>
  <c r="JU358" i="31"/>
  <c r="JT359" i="31"/>
  <c r="KC358" i="31"/>
  <c r="KW359" i="31" l="1"/>
  <c r="HQ358" i="31"/>
  <c r="HR359" i="31" s="1"/>
  <c r="NR359" i="31"/>
  <c r="OQ360" i="31"/>
  <c r="OR360" i="31" s="1"/>
  <c r="NG360" i="31"/>
  <c r="NK359" i="31"/>
  <c r="EN358" i="31"/>
  <c r="AZ358" i="31"/>
  <c r="EM358" i="31"/>
  <c r="EW358" i="31" s="1"/>
  <c r="NC360" i="31"/>
  <c r="MQ360" i="31"/>
  <c r="HT358" i="31"/>
  <c r="HS358" i="31"/>
  <c r="JG358" i="31" s="1"/>
  <c r="IC358" i="31" l="1"/>
  <c r="ID358" i="31" s="1"/>
  <c r="IF358" i="31" s="1"/>
  <c r="KH358" i="31" s="1"/>
  <c r="JB358" i="31"/>
  <c r="BB359" i="31"/>
  <c r="IW358" i="31"/>
  <c r="EQ358" i="31"/>
  <c r="DW358" i="31"/>
  <c r="DU359" i="31" s="1"/>
  <c r="ER359" i="31"/>
  <c r="IU358" i="31"/>
  <c r="IV358" i="31" s="1"/>
  <c r="BC359" i="31" l="1"/>
  <c r="KB358" i="31"/>
  <c r="IX358" i="31"/>
  <c r="KK358" i="31"/>
  <c r="EU359" i="31"/>
  <c r="DB358" i="31"/>
  <c r="DC358" i="31" s="1"/>
  <c r="DD359" i="31" s="1"/>
  <c r="DE360" i="31" s="1"/>
  <c r="IM358" i="31"/>
  <c r="DT358" i="31" s="1"/>
  <c r="DZ358" i="31" s="1"/>
  <c r="GM358" i="31"/>
  <c r="KI359" i="31"/>
  <c r="IN358" i="31"/>
  <c r="DF358" i="31"/>
  <c r="GT360" i="31" l="1"/>
  <c r="FD358" i="31"/>
  <c r="GU358" i="31"/>
  <c r="GV358" i="31"/>
  <c r="KJ359" i="31"/>
  <c r="GR358" i="31"/>
  <c r="BD359" i="31"/>
  <c r="BE359" i="31"/>
  <c r="GS358" i="31" l="1"/>
  <c r="BG359" i="31"/>
  <c r="BF359" i="31"/>
  <c r="IS358" i="31"/>
  <c r="FL359" i="31"/>
  <c r="JH358" i="31" l="1"/>
  <c r="JI358" i="31" s="1"/>
  <c r="IT358" i="31"/>
  <c r="FM359" i="31"/>
  <c r="BI359" i="31"/>
  <c r="BK359" i="31" s="1"/>
  <c r="BH359" i="31"/>
  <c r="GY358" i="31"/>
  <c r="GX358" i="31"/>
  <c r="GW358" i="31"/>
  <c r="HC358" i="31" s="1"/>
  <c r="FA359" i="31" s="1"/>
  <c r="HB359" i="31" s="1"/>
  <c r="BL359" i="31" l="1"/>
  <c r="BM359" i="31"/>
  <c r="EY358" i="31"/>
  <c r="EG358" i="31"/>
  <c r="EH359" i="31" s="1"/>
  <c r="EI359" i="31" s="1"/>
  <c r="FK359" i="31" s="1"/>
  <c r="HM358" i="31"/>
  <c r="HK359" i="31"/>
  <c r="BJ359" i="31"/>
  <c r="JK358" i="31"/>
  <c r="JN358" i="31" s="1"/>
  <c r="JV358" i="31" s="1"/>
  <c r="JF359" i="31" s="1"/>
  <c r="ED358" i="31" l="1"/>
  <c r="EB359" i="31" s="1"/>
  <c r="EJ358" i="31"/>
  <c r="EK359" i="31" s="1"/>
  <c r="EE358" i="31"/>
  <c r="EF359" i="31" s="1"/>
  <c r="JM358" i="31"/>
  <c r="KD358" i="31" s="1"/>
  <c r="IL359" i="31" s="1"/>
  <c r="JL358" i="31"/>
  <c r="JJ359" i="31" s="1"/>
  <c r="KA359" i="31"/>
  <c r="JY359" i="31"/>
  <c r="JW359" i="31"/>
  <c r="JZ358" i="31"/>
  <c r="KF358" i="31" s="1"/>
  <c r="IQ359" i="31" s="1"/>
  <c r="BN359" i="31"/>
  <c r="BO359" i="31"/>
  <c r="BQ359" i="31" s="1"/>
  <c r="EZ358" i="31"/>
  <c r="DG358" i="31"/>
  <c r="DH358" i="31" s="1"/>
  <c r="DI359" i="31" s="1"/>
  <c r="HZ359" i="31" l="1"/>
  <c r="IP359" i="31"/>
  <c r="IO359" i="31"/>
  <c r="DJ359" i="31"/>
  <c r="DK359" i="31" s="1"/>
  <c r="GZ359" i="31"/>
  <c r="IE359" i="31" s="1"/>
  <c r="JC359" i="31"/>
  <c r="JD359" i="31"/>
  <c r="BR359" i="31"/>
  <c r="BS359" i="31"/>
  <c r="BP359" i="31"/>
  <c r="DP359" i="31"/>
  <c r="EP359" i="31"/>
  <c r="ET360" i="31" s="1"/>
  <c r="EO359" i="31"/>
  <c r="ES360" i="31" s="1"/>
  <c r="EL359" i="31"/>
  <c r="FC359" i="31"/>
  <c r="EV359" i="31"/>
  <c r="JE359" i="31"/>
  <c r="IY359" i="31"/>
  <c r="JA359" i="31"/>
  <c r="IR359" i="31"/>
  <c r="JO359" i="31"/>
  <c r="JP359" i="31" l="1"/>
  <c r="JQ359" i="31" s="1"/>
  <c r="KG359" i="31"/>
  <c r="FQ359" i="31"/>
  <c r="DX359" i="31"/>
  <c r="DM359" i="31"/>
  <c r="EC359" i="31"/>
  <c r="BT359" i="31"/>
  <c r="BU359" i="31"/>
  <c r="JX359" i="31"/>
  <c r="BV359" i="31" l="1"/>
  <c r="BW359" i="31" s="1"/>
  <c r="FB359" i="31"/>
  <c r="EX359" i="31"/>
  <c r="M359" i="31" s="1"/>
  <c r="DL359" i="31"/>
  <c r="L360" i="31"/>
  <c r="BX359" i="31" l="1"/>
  <c r="BY359" i="31"/>
  <c r="MB359" i="31"/>
  <c r="MJ359" i="31"/>
  <c r="NS359" i="31" s="1"/>
  <c r="BZ359" i="31" l="1"/>
  <c r="NM359" i="31"/>
  <c r="NN359" i="31" s="1"/>
  <c r="CA359" i="31"/>
  <c r="NT359" i="31"/>
  <c r="OU360" i="31"/>
  <c r="OV360" i="31" l="1"/>
  <c r="NW359" i="31"/>
  <c r="CB359" i="31"/>
  <c r="CC359" i="31" s="1"/>
  <c r="NX359" i="31"/>
  <c r="FV359" i="31"/>
  <c r="CX359" i="31"/>
  <c r="FR359" i="31"/>
  <c r="NU359" i="31"/>
  <c r="CD359" i="31" l="1"/>
  <c r="CE359" i="31"/>
  <c r="CF359" i="31" s="1"/>
  <c r="NY359" i="31"/>
  <c r="NV359" i="31"/>
  <c r="OF359" i="31"/>
  <c r="OS360" i="31" s="1"/>
  <c r="MY359" i="31"/>
  <c r="NZ359" i="31"/>
  <c r="CY360" i="31"/>
  <c r="CG359" i="31" l="1"/>
  <c r="CH359" i="31" s="1"/>
  <c r="CI359" i="31" s="1"/>
  <c r="OA359" i="31"/>
  <c r="MV360" i="31" s="1"/>
  <c r="OG360" i="31" s="1"/>
  <c r="NF360" i="31"/>
  <c r="OM360" i="31"/>
  <c r="OO360" i="31"/>
  <c r="OB359" i="31"/>
  <c r="OT360" i="31" s="1"/>
  <c r="MZ360" i="31"/>
  <c r="OZ359" i="31"/>
  <c r="OI359" i="31"/>
  <c r="CJ359" i="31" l="1"/>
  <c r="CO359" i="31" s="1"/>
  <c r="CK359" i="31"/>
  <c r="CM359" i="31" s="1"/>
  <c r="CN359" i="31" s="1"/>
  <c r="KT360" i="31"/>
  <c r="KL360" i="31" s="1"/>
  <c r="KN361" i="31" s="1"/>
  <c r="OC359" i="31"/>
  <c r="OD360" i="31" s="1"/>
  <c r="OH360" i="31" s="1"/>
  <c r="OK360" i="31" s="1"/>
  <c r="MR360" i="31"/>
  <c r="OX360" i="31"/>
  <c r="OW359" i="31"/>
  <c r="PA359" i="31"/>
  <c r="OJ359" i="31"/>
  <c r="KM360" i="31" l="1"/>
  <c r="KO361" i="31" s="1"/>
  <c r="KP361" i="31" s="1"/>
  <c r="CL359" i="31"/>
  <c r="CP359" i="31" s="1"/>
  <c r="JR359" i="31" s="1"/>
  <c r="JS359" i="31" s="1"/>
  <c r="KQ360" i="31"/>
  <c r="MS360" i="31"/>
  <c r="OY360" i="31"/>
  <c r="MW360" i="31"/>
  <c r="FE359" i="31" l="1"/>
  <c r="FF359" i="31" s="1"/>
  <c r="HW359" i="31" s="1"/>
  <c r="HX360" i="31" s="1"/>
  <c r="HO359" i="31"/>
  <c r="IZ359" i="31" s="1"/>
  <c r="KU359" i="31"/>
  <c r="GO359" i="31"/>
  <c r="FX359" i="31"/>
  <c r="FY359" i="31" s="1"/>
  <c r="FU359" i="31"/>
  <c r="FW359" i="31" s="1"/>
  <c r="GB359" i="31"/>
  <c r="GC359" i="31" s="1"/>
  <c r="CQ359" i="31"/>
  <c r="CS359" i="31" s="1"/>
  <c r="DQ359" i="31"/>
  <c r="DR359" i="31" s="1"/>
  <c r="DS359" i="31" s="1"/>
  <c r="AX359" i="31" s="1"/>
  <c r="AY360" i="31" s="1"/>
  <c r="FP359" i="31"/>
  <c r="FS359" i="31" s="1"/>
  <c r="HA359" i="31" s="1"/>
  <c r="KX359" i="31"/>
  <c r="GN359" i="31" s="1"/>
  <c r="KV359" i="31" s="1"/>
  <c r="FZ359" i="31"/>
  <c r="GA359" i="31" s="1"/>
  <c r="KR360" i="31"/>
  <c r="KS360" i="31" s="1"/>
  <c r="FH359" i="31"/>
  <c r="FI359" i="31" s="1"/>
  <c r="FJ360" i="31" s="1"/>
  <c r="HP359" i="31"/>
  <c r="IA359" i="31"/>
  <c r="IB359" i="31" s="1"/>
  <c r="JU359" i="31"/>
  <c r="KE359" i="31"/>
  <c r="JT360" i="31"/>
  <c r="KC359" i="31"/>
  <c r="MX360" i="31"/>
  <c r="NH361" i="31"/>
  <c r="NI361" i="31" s="1"/>
  <c r="MU360" i="31"/>
  <c r="NQ360" i="31"/>
  <c r="NP360" i="31"/>
  <c r="MO360" i="31"/>
  <c r="MT360" i="31"/>
  <c r="NJ360" i="31"/>
  <c r="PE360" i="31"/>
  <c r="FG360" i="31" l="1"/>
  <c r="KW360" i="31"/>
  <c r="HQ359" i="31"/>
  <c r="HR360" i="31" s="1"/>
  <c r="CR359" i="31"/>
  <c r="CT359" i="31"/>
  <c r="HY359" i="31"/>
  <c r="DY359" i="31"/>
  <c r="GQ359" i="31"/>
  <c r="HU359" i="31"/>
  <c r="HV360" i="31" s="1"/>
  <c r="NR360" i="31"/>
  <c r="AZ359" i="31"/>
  <c r="EN359" i="31"/>
  <c r="EM359" i="31"/>
  <c r="EW359" i="31" s="1"/>
  <c r="HS359" i="31"/>
  <c r="JG359" i="31" s="1"/>
  <c r="HT359" i="31"/>
  <c r="NK360" i="31"/>
  <c r="NL360" i="31"/>
  <c r="NG361" i="31"/>
  <c r="OQ361" i="31"/>
  <c r="NB360" i="31"/>
  <c r="NA360" i="31"/>
  <c r="OR361" i="31" l="1"/>
  <c r="NC361" i="31"/>
  <c r="MQ361" i="31"/>
  <c r="BB360" i="31"/>
  <c r="DW359" i="31"/>
  <c r="DU360" i="31" s="1"/>
  <c r="EQ359" i="31"/>
  <c r="IW359" i="31"/>
  <c r="ER360" i="31"/>
  <c r="IU359" i="31"/>
  <c r="IV359" i="31" s="1"/>
  <c r="IC359" i="31"/>
  <c r="ID359" i="31" s="1"/>
  <c r="IF359" i="31" s="1"/>
  <c r="KH359" i="31" s="1"/>
  <c r="JB359" i="31"/>
  <c r="KB359" i="31" l="1"/>
  <c r="IX359" i="31"/>
  <c r="KK359" i="31"/>
  <c r="EU360" i="31"/>
  <c r="GM359" i="31"/>
  <c r="IM359" i="31"/>
  <c r="DB359" i="31"/>
  <c r="DC359" i="31" s="1"/>
  <c r="DD360" i="31" s="1"/>
  <c r="DE361" i="31" s="1"/>
  <c r="KI360" i="31"/>
  <c r="IN359" i="31"/>
  <c r="DF359" i="31"/>
  <c r="BC360" i="31"/>
  <c r="GT361" i="31" l="1"/>
  <c r="KJ360" i="31"/>
  <c r="GR359" i="31"/>
  <c r="BD360" i="31"/>
  <c r="BE360" i="31"/>
  <c r="DT359" i="31"/>
  <c r="DZ359" i="31" s="1"/>
  <c r="FD359" i="31"/>
  <c r="GV359" i="31"/>
  <c r="GU359" i="31"/>
  <c r="BG360" i="31" l="1"/>
  <c r="BF360" i="31"/>
  <c r="GS359" i="31"/>
  <c r="IS359" i="31"/>
  <c r="FL360" i="31"/>
  <c r="JH359" i="31" l="1"/>
  <c r="JI359" i="31" s="1"/>
  <c r="IT359" i="31"/>
  <c r="FM360" i="31"/>
  <c r="GX359" i="31"/>
  <c r="GY359" i="31"/>
  <c r="GW359" i="31"/>
  <c r="HC359" i="31" s="1"/>
  <c r="FA360" i="31" s="1"/>
  <c r="HB360" i="31" s="1"/>
  <c r="BI360" i="31"/>
  <c r="BK360" i="31" s="1"/>
  <c r="BH360" i="31"/>
  <c r="BJ360" i="31" l="1"/>
  <c r="HM359" i="31"/>
  <c r="EY359" i="31"/>
  <c r="EG359" i="31"/>
  <c r="EH360" i="31" s="1"/>
  <c r="EI360" i="31" s="1"/>
  <c r="FK360" i="31" s="1"/>
  <c r="HK360" i="31"/>
  <c r="BL360" i="31"/>
  <c r="BM360" i="31"/>
  <c r="JK359" i="31"/>
  <c r="JN359" i="31" s="1"/>
  <c r="JV359" i="31" s="1"/>
  <c r="JF360" i="31" s="1"/>
  <c r="JW360" i="31" l="1"/>
  <c r="JY360" i="31"/>
  <c r="JM359" i="31"/>
  <c r="KD359" i="31" s="1"/>
  <c r="IL360" i="31" s="1"/>
  <c r="EZ359" i="31"/>
  <c r="DG359" i="31"/>
  <c r="DH359" i="31" s="1"/>
  <c r="DI360" i="31" s="1"/>
  <c r="JZ359" i="31"/>
  <c r="KF359" i="31" s="1"/>
  <c r="IQ360" i="31" s="1"/>
  <c r="JL359" i="31"/>
  <c r="JJ360" i="31" s="1"/>
  <c r="KA360" i="31"/>
  <c r="BO360" i="31"/>
  <c r="BQ360" i="31" s="1"/>
  <c r="BN360" i="31"/>
  <c r="ED359" i="31"/>
  <c r="EB360" i="31" s="1"/>
  <c r="EJ359" i="31"/>
  <c r="EK360" i="31" s="1"/>
  <c r="EE359" i="31"/>
  <c r="EF360" i="31" s="1"/>
  <c r="DP360" i="31" l="1"/>
  <c r="JO360" i="31"/>
  <c r="IP360" i="31"/>
  <c r="IO360" i="31"/>
  <c r="BP360" i="31"/>
  <c r="HZ360" i="31"/>
  <c r="GZ360" i="31"/>
  <c r="IE360" i="31" s="1"/>
  <c r="DJ360" i="31"/>
  <c r="DK360" i="31" s="1"/>
  <c r="BR360" i="31"/>
  <c r="BS360" i="31"/>
  <c r="JC360" i="31"/>
  <c r="JD360" i="31"/>
  <c r="EO360" i="31"/>
  <c r="ES361" i="31" s="1"/>
  <c r="EL360" i="31"/>
  <c r="EP360" i="31"/>
  <c r="ET361" i="31" s="1"/>
  <c r="FC360" i="31"/>
  <c r="EV360" i="31"/>
  <c r="JA360" i="31"/>
  <c r="IY360" i="31"/>
  <c r="IR360" i="31"/>
  <c r="JE360" i="31"/>
  <c r="JX360" i="31" l="1"/>
  <c r="JP360" i="31"/>
  <c r="JQ360" i="31" s="1"/>
  <c r="KG360" i="31"/>
  <c r="DX360" i="31"/>
  <c r="FQ360" i="31"/>
  <c r="DM360" i="31"/>
  <c r="EC360" i="31"/>
  <c r="BT360" i="31"/>
  <c r="BU360" i="31"/>
  <c r="EX360" i="31" l="1"/>
  <c r="M360" i="31" s="1"/>
  <c r="FB360" i="31"/>
  <c r="DL360" i="31"/>
  <c r="L361" i="31"/>
  <c r="BV360" i="31"/>
  <c r="BW360" i="31" s="1"/>
  <c r="BX360" i="31" l="1"/>
  <c r="BY360" i="31"/>
  <c r="CA360" i="31" s="1"/>
  <c r="MJ360" i="31"/>
  <c r="NS360" i="31" s="1"/>
  <c r="MB360" i="31"/>
  <c r="NM360" i="31" l="1"/>
  <c r="NN360" i="31" s="1"/>
  <c r="BZ360" i="31"/>
  <c r="NT360" i="31"/>
  <c r="OU361" i="31"/>
  <c r="CB360" i="31"/>
  <c r="CC360" i="31" s="1"/>
  <c r="CD360" i="31" l="1"/>
  <c r="CE360" i="31"/>
  <c r="CF360" i="31" s="1"/>
  <c r="OV361" i="31"/>
  <c r="NW360" i="31"/>
  <c r="NX360" i="31" s="1"/>
  <c r="OF360" i="31" s="1"/>
  <c r="OS361" i="31" s="1"/>
  <c r="CX360" i="31"/>
  <c r="FV360" i="31"/>
  <c r="FR360" i="31"/>
  <c r="NU360" i="31"/>
  <c r="CG360" i="31" l="1"/>
  <c r="CH360" i="31" s="1"/>
  <c r="CI360" i="31" s="1"/>
  <c r="NY360" i="31"/>
  <c r="NV360" i="31"/>
  <c r="MY360" i="31"/>
  <c r="NZ360" i="31"/>
  <c r="CY361" i="31"/>
  <c r="CJ360" i="31" l="1"/>
  <c r="CO360" i="31" s="1"/>
  <c r="CK360" i="31"/>
  <c r="CL360" i="31" s="1"/>
  <c r="NF361" i="31"/>
  <c r="OM361" i="31"/>
  <c r="OO361" i="31"/>
  <c r="MZ361" i="31"/>
  <c r="OZ360" i="31"/>
  <c r="OB360" i="31"/>
  <c r="OT361" i="31" s="1"/>
  <c r="OI360" i="31"/>
  <c r="OA360" i="31"/>
  <c r="MV361" i="31" s="1"/>
  <c r="CM360" i="31" l="1"/>
  <c r="CN360" i="31" s="1"/>
  <c r="CP360" i="31" s="1"/>
  <c r="OG361" i="31"/>
  <c r="KT361" i="31"/>
  <c r="MR361" i="31"/>
  <c r="OX361" i="31"/>
  <c r="OW360" i="31"/>
  <c r="PA360" i="31"/>
  <c r="OJ360" i="31"/>
  <c r="OC360" i="31"/>
  <c r="OD361" i="31" s="1"/>
  <c r="OH361" i="31" s="1"/>
  <c r="OK361" i="31" l="1"/>
  <c r="MS361" i="31"/>
  <c r="FE360" i="31"/>
  <c r="FF360" i="31" s="1"/>
  <c r="FP360" i="31"/>
  <c r="FS360" i="31" s="1"/>
  <c r="FH360" i="31"/>
  <c r="FI360" i="31" s="1"/>
  <c r="DQ360" i="31"/>
  <c r="DR360" i="31" s="1"/>
  <c r="JR360" i="31"/>
  <c r="JS360" i="31" s="1"/>
  <c r="FU360" i="31"/>
  <c r="FW360" i="31" s="1"/>
  <c r="GO360" i="31"/>
  <c r="HO360" i="31"/>
  <c r="CQ360" i="31"/>
  <c r="FZ360" i="31"/>
  <c r="GA360" i="31" s="1"/>
  <c r="FX360" i="31"/>
  <c r="FY360" i="31" s="1"/>
  <c r="GB360" i="31"/>
  <c r="GC360" i="31" s="1"/>
  <c r="KX360" i="31"/>
  <c r="KU360" i="31"/>
  <c r="OY361" i="31"/>
  <c r="MW361" i="31"/>
  <c r="KM361" i="31"/>
  <c r="KO362" i="31" s="1"/>
  <c r="KL361" i="31"/>
  <c r="KN362" i="31" s="1"/>
  <c r="GN360" i="31" l="1"/>
  <c r="KV360" i="31" s="1"/>
  <c r="KP362" i="31"/>
  <c r="KR361" i="31"/>
  <c r="FG361" i="31"/>
  <c r="HW360" i="31"/>
  <c r="HX361" i="31" s="1"/>
  <c r="MX361" i="31"/>
  <c r="KQ361" i="31"/>
  <c r="CT360" i="31"/>
  <c r="CR360" i="31"/>
  <c r="CS360" i="31"/>
  <c r="HP360" i="31"/>
  <c r="IA360" i="31"/>
  <c r="IB360" i="31" s="1"/>
  <c r="IZ360" i="31"/>
  <c r="HU360" i="31"/>
  <c r="HV361" i="31" s="1"/>
  <c r="FJ361" i="31"/>
  <c r="NP361" i="31"/>
  <c r="MT361" i="31"/>
  <c r="NQ361" i="31"/>
  <c r="MO361" i="31"/>
  <c r="NH362" i="31"/>
  <c r="NI362" i="31" s="1"/>
  <c r="MU361" i="31"/>
  <c r="NJ361" i="31"/>
  <c r="PE361" i="31"/>
  <c r="DS360" i="31"/>
  <c r="AX360" i="31" s="1"/>
  <c r="AY361" i="31" s="1"/>
  <c r="DY360" i="31"/>
  <c r="HY360" i="31"/>
  <c r="HA360" i="31"/>
  <c r="KC360" i="31"/>
  <c r="KE360" i="31"/>
  <c r="JU360" i="31"/>
  <c r="JT361" i="31"/>
  <c r="GQ360" i="31" l="1"/>
  <c r="KW361" i="31"/>
  <c r="HQ360" i="31"/>
  <c r="HR361" i="31" s="1"/>
  <c r="NR361" i="31"/>
  <c r="NA361" i="31"/>
  <c r="NB361" i="31"/>
  <c r="AZ360" i="31"/>
  <c r="EN360" i="31"/>
  <c r="EM360" i="31"/>
  <c r="EW360" i="31" s="1"/>
  <c r="HT360" i="31"/>
  <c r="HS360" i="31"/>
  <c r="JG360" i="31" s="1"/>
  <c r="NL361" i="31"/>
  <c r="NK361" i="31"/>
  <c r="NG362" i="31"/>
  <c r="OQ362" i="31"/>
  <c r="KS361" i="31"/>
  <c r="OR362" i="31" l="1"/>
  <c r="NC362" i="31"/>
  <c r="MQ362" i="31"/>
  <c r="BB361" i="31"/>
  <c r="EQ360" i="31"/>
  <c r="DW360" i="31"/>
  <c r="DU361" i="31" s="1"/>
  <c r="IW360" i="31"/>
  <c r="ER361" i="31"/>
  <c r="IU360" i="31"/>
  <c r="IV360" i="31" s="1"/>
  <c r="IC360" i="31"/>
  <c r="ID360" i="31" s="1"/>
  <c r="IF360" i="31" s="1"/>
  <c r="KH360" i="31" s="1"/>
  <c r="JB360" i="31"/>
  <c r="KB360" i="31" l="1"/>
  <c r="IX360" i="31"/>
  <c r="KK360" i="31"/>
  <c r="EU361" i="31"/>
  <c r="IM360" i="31"/>
  <c r="GM360" i="31"/>
  <c r="DB360" i="31"/>
  <c r="DC360" i="31" s="1"/>
  <c r="DD361" i="31" s="1"/>
  <c r="DE362" i="31" s="1"/>
  <c r="KI361" i="31"/>
  <c r="IN360" i="31"/>
  <c r="DF360" i="31"/>
  <c r="BC361" i="31"/>
  <c r="DT360" i="31" l="1"/>
  <c r="DZ360" i="31" s="1"/>
  <c r="GT362" i="31"/>
  <c r="KJ361" i="31"/>
  <c r="BD361" i="31"/>
  <c r="BE361" i="31"/>
  <c r="GR360" i="31"/>
  <c r="GV360" i="31"/>
  <c r="FD360" i="31"/>
  <c r="GU360" i="31"/>
  <c r="GS360" i="31" l="1"/>
  <c r="BF361" i="31"/>
  <c r="BG361" i="31"/>
  <c r="IS360" i="31"/>
  <c r="FL361" i="31"/>
  <c r="JH360" i="31" l="1"/>
  <c r="JI360" i="31" s="1"/>
  <c r="IT360" i="31"/>
  <c r="BH361" i="31"/>
  <c r="BI361" i="31"/>
  <c r="BK361" i="31" s="1"/>
  <c r="FM361" i="31"/>
  <c r="GW360" i="31"/>
  <c r="HC360" i="31" s="1"/>
  <c r="FA361" i="31" s="1"/>
  <c r="HB361" i="31" s="1"/>
  <c r="GX360" i="31"/>
  <c r="GY360" i="31"/>
  <c r="EG360" i="31" l="1"/>
  <c r="EH361" i="31" s="1"/>
  <c r="EI361" i="31" s="1"/>
  <c r="FK361" i="31" s="1"/>
  <c r="HM360" i="31"/>
  <c r="EY360" i="31"/>
  <c r="HK361" i="31"/>
  <c r="BJ361" i="31"/>
  <c r="BL361" i="31"/>
  <c r="BM361" i="31"/>
  <c r="JK360" i="31"/>
  <c r="JZ360" i="31" s="1"/>
  <c r="KF360" i="31" s="1"/>
  <c r="IQ361" i="31" s="1"/>
  <c r="BO361" i="31" l="1"/>
  <c r="BQ361" i="31" s="1"/>
  <c r="BN361" i="31"/>
  <c r="EZ360" i="31"/>
  <c r="DG360" i="31"/>
  <c r="DH360" i="31" s="1"/>
  <c r="DI361" i="31" s="1"/>
  <c r="JM360" i="31"/>
  <c r="KD360" i="31" s="1"/>
  <c r="IL361" i="31" s="1"/>
  <c r="JN360" i="31"/>
  <c r="JV360" i="31" s="1"/>
  <c r="JF361" i="31" s="1"/>
  <c r="JL360" i="31"/>
  <c r="JJ361" i="31" s="1"/>
  <c r="KA361" i="31"/>
  <c r="EE360" i="31"/>
  <c r="EF361" i="31" s="1"/>
  <c r="EJ360" i="31"/>
  <c r="EK361" i="31" s="1"/>
  <c r="ED360" i="31"/>
  <c r="EB361" i="31" s="1"/>
  <c r="JO361" i="31" l="1"/>
  <c r="JE361" i="31"/>
  <c r="IR361" i="31"/>
  <c r="DP361" i="31"/>
  <c r="BR361" i="31"/>
  <c r="BS361" i="31"/>
  <c r="BP361" i="31"/>
  <c r="EP361" i="31"/>
  <c r="ET362" i="31" s="1"/>
  <c r="FC361" i="31"/>
  <c r="EO361" i="31"/>
  <c r="ES362" i="31" s="1"/>
  <c r="EL361" i="31"/>
  <c r="EV361" i="31"/>
  <c r="JC361" i="31"/>
  <c r="JD361" i="31"/>
  <c r="JA361" i="31"/>
  <c r="HZ361" i="31"/>
  <c r="IY361" i="31"/>
  <c r="DJ361" i="31"/>
  <c r="DK361" i="31" s="1"/>
  <c r="GZ361" i="31"/>
  <c r="IE361" i="31" s="1"/>
  <c r="JW361" i="31"/>
  <c r="JY361" i="31"/>
  <c r="IP361" i="31"/>
  <c r="IO361" i="31"/>
  <c r="JP361" i="31" l="1"/>
  <c r="JQ361" i="31" s="1"/>
  <c r="FQ361" i="31"/>
  <c r="DM361" i="31"/>
  <c r="DX361" i="31"/>
  <c r="EC361" i="31"/>
  <c r="JX361" i="31"/>
  <c r="BT361" i="31"/>
  <c r="BU361" i="31"/>
  <c r="KG361" i="31"/>
  <c r="BV361" i="31" l="1"/>
  <c r="BW361" i="31" s="1"/>
  <c r="DL361" i="31"/>
  <c r="L362" i="31"/>
  <c r="FB361" i="31"/>
  <c r="EX361" i="31"/>
  <c r="M361" i="31" s="1"/>
  <c r="BY361" i="31" l="1"/>
  <c r="CA361" i="31" s="1"/>
  <c r="BX361" i="31"/>
  <c r="MB361" i="31"/>
  <c r="MJ361" i="31"/>
  <c r="NS361" i="31" s="1"/>
  <c r="BZ361" i="31" l="1"/>
  <c r="NM361" i="31"/>
  <c r="NN361" i="31" s="1"/>
  <c r="NT361" i="31"/>
  <c r="OU362" i="31"/>
  <c r="CB361" i="31"/>
  <c r="CC361" i="31" s="1"/>
  <c r="CD361" i="31" l="1"/>
  <c r="CE361" i="31"/>
  <c r="NW361" i="31"/>
  <c r="NX361" i="31" s="1"/>
  <c r="OV362" i="31"/>
  <c r="FV361" i="31"/>
  <c r="CX361" i="31"/>
  <c r="FR361" i="31"/>
  <c r="NU361" i="31"/>
  <c r="CF361" i="31" l="1"/>
  <c r="CG361" i="31"/>
  <c r="CH361" i="31" s="1"/>
  <c r="CI361" i="31" s="1"/>
  <c r="NV361" i="31"/>
  <c r="NY361" i="31"/>
  <c r="OF361" i="31"/>
  <c r="OS362" i="31" s="1"/>
  <c r="NZ361" i="31"/>
  <c r="MY361" i="31"/>
  <c r="CY362" i="31"/>
  <c r="CJ361" i="31" l="1"/>
  <c r="CO361" i="31" s="1"/>
  <c r="CK361" i="31"/>
  <c r="CL361" i="31" s="1"/>
  <c r="OB361" i="31"/>
  <c r="OT362" i="31" s="1"/>
  <c r="OI361" i="31"/>
  <c r="OA361" i="31"/>
  <c r="MV362" i="31" s="1"/>
  <c r="OO362" i="31"/>
  <c r="NF362" i="31"/>
  <c r="OM362" i="31"/>
  <c r="MZ362" i="31"/>
  <c r="OZ361" i="31"/>
  <c r="CM361" i="31" l="1"/>
  <c r="CN361" i="31" s="1"/>
  <c r="CP361" i="31" s="1"/>
  <c r="OG362" i="31"/>
  <c r="KT362" i="31"/>
  <c r="OW361" i="31"/>
  <c r="MR362" i="31"/>
  <c r="OX362" i="31"/>
  <c r="PA361" i="31"/>
  <c r="OJ361" i="31"/>
  <c r="OC361" i="31"/>
  <c r="OD362" i="31" s="1"/>
  <c r="OH362" i="31" s="1"/>
  <c r="OK362" i="31" l="1"/>
  <c r="KM362" i="31"/>
  <c r="KO363" i="31" s="1"/>
  <c r="KL362" i="31"/>
  <c r="KN363" i="31" s="1"/>
  <c r="MS362" i="31"/>
  <c r="OY362" i="31"/>
  <c r="MW362" i="31"/>
  <c r="CQ361" i="31"/>
  <c r="HO361" i="31"/>
  <c r="DQ361" i="31"/>
  <c r="DR361" i="31" s="1"/>
  <c r="FX361" i="31"/>
  <c r="FY361" i="31" s="1"/>
  <c r="FP361" i="31"/>
  <c r="FS361" i="31" s="1"/>
  <c r="FZ361" i="31"/>
  <c r="GA361" i="31" s="1"/>
  <c r="GB361" i="31"/>
  <c r="GC361" i="31" s="1"/>
  <c r="JR361" i="31"/>
  <c r="JS361" i="31" s="1"/>
  <c r="FE361" i="31"/>
  <c r="FF361" i="31" s="1"/>
  <c r="GO361" i="31"/>
  <c r="FU361" i="31"/>
  <c r="FW361" i="31" s="1"/>
  <c r="FH361" i="31"/>
  <c r="FI361" i="31" s="1"/>
  <c r="KX361" i="31"/>
  <c r="KU361" i="31"/>
  <c r="GN361" i="31" l="1"/>
  <c r="GQ361" i="31" s="1"/>
  <c r="HY361" i="31"/>
  <c r="DY361" i="31"/>
  <c r="HA361" i="31"/>
  <c r="MU362" i="31"/>
  <c r="MO362" i="31"/>
  <c r="NP362" i="31"/>
  <c r="MT362" i="31"/>
  <c r="NH363" i="31"/>
  <c r="NI363" i="31" s="1"/>
  <c r="NJ362" i="31"/>
  <c r="NQ362" i="31"/>
  <c r="PE362" i="31"/>
  <c r="DS361" i="31"/>
  <c r="AX361" i="31" s="1"/>
  <c r="AY362" i="31" s="1"/>
  <c r="KP363" i="31"/>
  <c r="KR362" i="31"/>
  <c r="IA361" i="31"/>
  <c r="IB361" i="31" s="1"/>
  <c r="HP361" i="31"/>
  <c r="IZ361" i="31"/>
  <c r="CR361" i="31"/>
  <c r="CS361" i="31"/>
  <c r="CT361" i="31"/>
  <c r="HU361" i="31"/>
  <c r="HV362" i="31" s="1"/>
  <c r="FJ362" i="31"/>
  <c r="KQ362" i="31"/>
  <c r="FG362" i="31"/>
  <c r="HW361" i="31"/>
  <c r="HX362" i="31" s="1"/>
  <c r="KE361" i="31"/>
  <c r="JU361" i="31"/>
  <c r="JT362" i="31"/>
  <c r="KC361" i="31"/>
  <c r="MX362" i="31"/>
  <c r="KV361" i="31" l="1"/>
  <c r="KW362" i="31" s="1"/>
  <c r="HQ361" i="31"/>
  <c r="HR362" i="31" s="1"/>
  <c r="NR362" i="31"/>
  <c r="KS362" i="31"/>
  <c r="EM361" i="31"/>
  <c r="EW361" i="31" s="1"/>
  <c r="AZ361" i="31"/>
  <c r="EN361" i="31"/>
  <c r="NB362" i="31"/>
  <c r="NA362" i="31"/>
  <c r="NK362" i="31"/>
  <c r="NL362" i="31"/>
  <c r="NG363" i="31"/>
  <c r="OQ363" i="31"/>
  <c r="HS361" i="31"/>
  <c r="JG361" i="31" s="1"/>
  <c r="HT361" i="31"/>
  <c r="OR363" i="31" l="1"/>
  <c r="BB362" i="31"/>
  <c r="DW361" i="31"/>
  <c r="DU362" i="31" s="1"/>
  <c r="IW361" i="31"/>
  <c r="EQ361" i="31"/>
  <c r="ER362" i="31"/>
  <c r="IU361" i="31"/>
  <c r="IV361" i="31" s="1"/>
  <c r="NC363" i="31"/>
  <c r="MQ363" i="31"/>
  <c r="IC361" i="31"/>
  <c r="ID361" i="31" s="1"/>
  <c r="IF361" i="31" s="1"/>
  <c r="KH361" i="31" s="1"/>
  <c r="JB361" i="31"/>
  <c r="BC362" i="31" l="1"/>
  <c r="KB361" i="31"/>
  <c r="IX361" i="31"/>
  <c r="KK361" i="31"/>
  <c r="EU362" i="31"/>
  <c r="IM361" i="31"/>
  <c r="DB361" i="31"/>
  <c r="DC361" i="31" s="1"/>
  <c r="DD362" i="31" s="1"/>
  <c r="DE363" i="31" s="1"/>
  <c r="GM361" i="31"/>
  <c r="KI362" i="31"/>
  <c r="IN361" i="31"/>
  <c r="DF361" i="31"/>
  <c r="DT361" i="31" l="1"/>
  <c r="DZ361" i="31" s="1"/>
  <c r="GT363" i="31"/>
  <c r="KJ362" i="31"/>
  <c r="GR361" i="31"/>
  <c r="FD361" i="31"/>
  <c r="GU361" i="31"/>
  <c r="GV361" i="31"/>
  <c r="BD362" i="31"/>
  <c r="BE362" i="31"/>
  <c r="GS361" i="31" l="1"/>
  <c r="IS361" i="31"/>
  <c r="FL362" i="31"/>
  <c r="BG362" i="31"/>
  <c r="BF362" i="31"/>
  <c r="BI362" i="31" l="1"/>
  <c r="BK362" i="31" s="1"/>
  <c r="BH362" i="31"/>
  <c r="FM362" i="31"/>
  <c r="JH361" i="31"/>
  <c r="JI361" i="31" s="1"/>
  <c r="IT361" i="31"/>
  <c r="GW361" i="31"/>
  <c r="HC361" i="31" s="1"/>
  <c r="FA362" i="31" s="1"/>
  <c r="HB362" i="31" s="1"/>
  <c r="GY361" i="31"/>
  <c r="GX361" i="31"/>
  <c r="BJ362" i="31" l="1"/>
  <c r="EG361" i="31"/>
  <c r="EH362" i="31" s="1"/>
  <c r="EI362" i="31" s="1"/>
  <c r="FK362" i="31" s="1"/>
  <c r="HM361" i="31"/>
  <c r="EY361" i="31"/>
  <c r="HK362" i="31"/>
  <c r="JK361" i="31"/>
  <c r="JZ361" i="31" s="1"/>
  <c r="KF361" i="31" s="1"/>
  <c r="IQ362" i="31" s="1"/>
  <c r="BL362" i="31"/>
  <c r="BM362" i="31"/>
  <c r="JN361" i="31" l="1"/>
  <c r="JV361" i="31" s="1"/>
  <c r="JF362" i="31" s="1"/>
  <c r="JL361" i="31"/>
  <c r="JJ362" i="31" s="1"/>
  <c r="KA362" i="31"/>
  <c r="EJ361" i="31"/>
  <c r="EK362" i="31" s="1"/>
  <c r="EE361" i="31"/>
  <c r="EF362" i="31" s="1"/>
  <c r="ED361" i="31"/>
  <c r="EB362" i="31" s="1"/>
  <c r="BO362" i="31"/>
  <c r="BN362" i="31"/>
  <c r="EZ361" i="31"/>
  <c r="DG361" i="31"/>
  <c r="DH361" i="31" s="1"/>
  <c r="DI362" i="31" s="1"/>
  <c r="JM361" i="31"/>
  <c r="KD361" i="31" s="1"/>
  <c r="IL362" i="31" s="1"/>
  <c r="JE362" i="31" s="1"/>
  <c r="FC362" i="31" l="1"/>
  <c r="EP362" i="31"/>
  <c r="ET363" i="31" s="1"/>
  <c r="EO362" i="31"/>
  <c r="ES363" i="31" s="1"/>
  <c r="EL362" i="31"/>
  <c r="EV362" i="31"/>
  <c r="IO362" i="31"/>
  <c r="IP362" i="31"/>
  <c r="DP362" i="31"/>
  <c r="IR362" i="31"/>
  <c r="HZ362" i="31"/>
  <c r="BP362" i="31"/>
  <c r="BQ362" i="31"/>
  <c r="JC362" i="31"/>
  <c r="JD362" i="31"/>
  <c r="IY362" i="31"/>
  <c r="GZ362" i="31"/>
  <c r="IE362" i="31" s="1"/>
  <c r="DJ362" i="31"/>
  <c r="DK362" i="31" s="1"/>
  <c r="JA362" i="31"/>
  <c r="JO362" i="31"/>
  <c r="JY362" i="31"/>
  <c r="JW362" i="31"/>
  <c r="JP362" i="31" l="1"/>
  <c r="JQ362" i="31" s="1"/>
  <c r="KG362" i="31"/>
  <c r="BR362" i="31"/>
  <c r="BS362" i="31"/>
  <c r="DM362" i="31"/>
  <c r="DX362" i="31"/>
  <c r="FQ362" i="31"/>
  <c r="EC362" i="31"/>
  <c r="JX362" i="31"/>
  <c r="BT362" i="31" l="1"/>
  <c r="BU362" i="31"/>
  <c r="DL362" i="31"/>
  <c r="L363" i="31"/>
  <c r="EX362" i="31"/>
  <c r="M362" i="31" s="1"/>
  <c r="FB362" i="31"/>
  <c r="BV362" i="31" l="1"/>
  <c r="BW362" i="31" s="1"/>
  <c r="MB362" i="31"/>
  <c r="MJ362" i="31"/>
  <c r="NS362" i="31" s="1"/>
  <c r="NM362" i="31" l="1"/>
  <c r="NN362" i="31" s="1"/>
  <c r="BX362" i="31"/>
  <c r="BY362" i="31"/>
  <c r="CA362" i="31" s="1"/>
  <c r="NT362" i="31"/>
  <c r="OU363" i="31"/>
  <c r="OV363" i="31" l="1"/>
  <c r="NW362" i="31"/>
  <c r="NX362" i="31" s="1"/>
  <c r="BZ362" i="31"/>
  <c r="CB362" i="31"/>
  <c r="CC362" i="31" s="1"/>
  <c r="FV362" i="31"/>
  <c r="CX362" i="31"/>
  <c r="FR362" i="31"/>
  <c r="NU362" i="31"/>
  <c r="CD362" i="31" l="1"/>
  <c r="CE362" i="31"/>
  <c r="CG362" i="31" s="1"/>
  <c r="MY362" i="31"/>
  <c r="NZ362" i="31"/>
  <c r="CY363" i="31"/>
  <c r="NY362" i="31"/>
  <c r="OF362" i="31"/>
  <c r="OS363" i="31" s="1"/>
  <c r="NV362" i="31"/>
  <c r="CF362" i="31" l="1"/>
  <c r="CH362" i="31"/>
  <c r="CI362" i="31" s="1"/>
  <c r="OB362" i="31"/>
  <c r="OT363" i="31" s="1"/>
  <c r="OA362" i="31"/>
  <c r="MV363" i="31" s="1"/>
  <c r="OI362" i="31"/>
  <c r="OO363" i="31"/>
  <c r="NF363" i="31"/>
  <c r="OM363" i="31"/>
  <c r="MZ363" i="31"/>
  <c r="OZ362" i="31"/>
  <c r="CJ362" i="31" l="1"/>
  <c r="CO362" i="31" s="1"/>
  <c r="CK362" i="31"/>
  <c r="CL362" i="31" s="1"/>
  <c r="OG363" i="31"/>
  <c r="KT363" i="31"/>
  <c r="OX363" i="31"/>
  <c r="OW362" i="31"/>
  <c r="MR363" i="31"/>
  <c r="PA362" i="31"/>
  <c r="OC362" i="31"/>
  <c r="OD363" i="31" s="1"/>
  <c r="OH363" i="31" s="1"/>
  <c r="OJ362" i="31"/>
  <c r="CM362" i="31" l="1"/>
  <c r="CN362" i="31" s="1"/>
  <c r="CP362" i="31" s="1"/>
  <c r="OK363" i="31"/>
  <c r="MS363" i="31"/>
  <c r="OY363" i="31"/>
  <c r="MW363" i="31"/>
  <c r="KM363" i="31"/>
  <c r="KO364" i="31" s="1"/>
  <c r="KL363" i="31"/>
  <c r="KN364" i="31" s="1"/>
  <c r="MX363" i="31" l="1"/>
  <c r="KP364" i="31"/>
  <c r="KR363" i="31"/>
  <c r="GO362" i="31"/>
  <c r="FX362" i="31"/>
  <c r="FY362" i="31" s="1"/>
  <c r="FE362" i="31"/>
  <c r="FF362" i="31" s="1"/>
  <c r="FH362" i="31"/>
  <c r="FI362" i="31" s="1"/>
  <c r="FP362" i="31"/>
  <c r="FS362" i="31" s="1"/>
  <c r="HO362" i="31"/>
  <c r="JR362" i="31"/>
  <c r="JS362" i="31" s="1"/>
  <c r="FU362" i="31"/>
  <c r="FW362" i="31" s="1"/>
  <c r="CQ362" i="31"/>
  <c r="DQ362" i="31"/>
  <c r="DR362" i="31" s="1"/>
  <c r="GB362" i="31"/>
  <c r="GC362" i="31" s="1"/>
  <c r="FZ362" i="31"/>
  <c r="GA362" i="31" s="1"/>
  <c r="KX362" i="31"/>
  <c r="GN362" i="31" s="1"/>
  <c r="KU362" i="31"/>
  <c r="KQ363" i="31"/>
  <c r="MO363" i="31"/>
  <c r="MU363" i="31"/>
  <c r="NH364" i="31"/>
  <c r="NI364" i="31" s="1"/>
  <c r="NJ363" i="31"/>
  <c r="MT363" i="31"/>
  <c r="NP363" i="31"/>
  <c r="NQ363" i="31"/>
  <c r="PE363" i="31"/>
  <c r="KS363" i="31" l="1"/>
  <c r="NR363" i="31"/>
  <c r="KE362" i="31"/>
  <c r="JU362" i="31"/>
  <c r="JT363" i="31"/>
  <c r="KC362" i="31"/>
  <c r="HP362" i="31"/>
  <c r="IA362" i="31"/>
  <c r="IB362" i="31" s="1"/>
  <c r="IZ362" i="31"/>
  <c r="GQ362" i="31"/>
  <c r="KV362" i="31"/>
  <c r="HA362" i="31"/>
  <c r="DY362" i="31"/>
  <c r="HY362" i="31"/>
  <c r="NL363" i="31"/>
  <c r="NK363" i="31"/>
  <c r="NG364" i="31"/>
  <c r="OQ364" i="31"/>
  <c r="HU362" i="31"/>
  <c r="HV363" i="31" s="1"/>
  <c r="FJ363" i="31"/>
  <c r="HW362" i="31"/>
  <c r="HX363" i="31" s="1"/>
  <c r="FG363" i="31"/>
  <c r="CT362" i="31"/>
  <c r="CS362" i="31"/>
  <c r="CR362" i="31"/>
  <c r="DS362" i="31"/>
  <c r="AX362" i="31" s="1"/>
  <c r="AY363" i="31" s="1"/>
  <c r="NB363" i="31"/>
  <c r="NA363" i="31"/>
  <c r="KW363" i="31" l="1"/>
  <c r="HQ362" i="31"/>
  <c r="HR363" i="31" s="1"/>
  <c r="HT362" i="31"/>
  <c r="HS362" i="31"/>
  <c r="JG362" i="31" s="1"/>
  <c r="EN362" i="31"/>
  <c r="EM362" i="31"/>
  <c r="EW362" i="31" s="1"/>
  <c r="AZ362" i="31"/>
  <c r="OR364" i="31"/>
  <c r="NC364" i="31"/>
  <c r="MQ364" i="31"/>
  <c r="BB363" i="31" l="1"/>
  <c r="DW362" i="31"/>
  <c r="DU363" i="31" s="1"/>
  <c r="EQ362" i="31"/>
  <c r="IW362" i="31"/>
  <c r="ER363" i="31"/>
  <c r="IU362" i="31"/>
  <c r="IV362" i="31" s="1"/>
  <c r="IC362" i="31"/>
  <c r="ID362" i="31" s="1"/>
  <c r="IF362" i="31" s="1"/>
  <c r="KH362" i="31" s="1"/>
  <c r="JB362" i="31"/>
  <c r="EU363" i="31" l="1"/>
  <c r="KK362" i="31"/>
  <c r="KB362" i="31"/>
  <c r="IX362" i="31"/>
  <c r="IM362" i="31"/>
  <c r="DB362" i="31"/>
  <c r="DC362" i="31" s="1"/>
  <c r="DD363" i="31" s="1"/>
  <c r="DE364" i="31" s="1"/>
  <c r="GM362" i="31"/>
  <c r="KI363" i="31"/>
  <c r="IN362" i="31"/>
  <c r="DF362" i="31"/>
  <c r="BC363" i="31"/>
  <c r="GT364" i="31" l="1"/>
  <c r="FD362" i="31"/>
  <c r="GU362" i="31"/>
  <c r="GV362" i="31"/>
  <c r="KJ363" i="31"/>
  <c r="GR362" i="31"/>
  <c r="BD363" i="31"/>
  <c r="BE363" i="31"/>
  <c r="DT362" i="31"/>
  <c r="DZ362" i="31" s="1"/>
  <c r="GS362" i="31" l="1"/>
  <c r="BF363" i="31"/>
  <c r="BG363" i="31"/>
  <c r="IS362" i="31"/>
  <c r="FL363" i="31"/>
  <c r="FM363" i="31" l="1"/>
  <c r="BI363" i="31"/>
  <c r="BK363" i="31" s="1"/>
  <c r="BH363" i="31"/>
  <c r="JH362" i="31"/>
  <c r="JI362" i="31" s="1"/>
  <c r="IT362" i="31"/>
  <c r="GX362" i="31"/>
  <c r="GW362" i="31"/>
  <c r="HC362" i="31" s="1"/>
  <c r="FA363" i="31" s="1"/>
  <c r="HB363" i="31" s="1"/>
  <c r="GY362" i="31"/>
  <c r="HM362" i="31" l="1"/>
  <c r="EY362" i="31"/>
  <c r="EG362" i="31"/>
  <c r="EH363" i="31" s="1"/>
  <c r="EI363" i="31" s="1"/>
  <c r="FK363" i="31" s="1"/>
  <c r="HK363" i="31"/>
  <c r="BJ363" i="31"/>
  <c r="BL363" i="31"/>
  <c r="BM363" i="31"/>
  <c r="JK362" i="31"/>
  <c r="JZ362" i="31" s="1"/>
  <c r="KF362" i="31" s="1"/>
  <c r="IQ363" i="31" s="1"/>
  <c r="JM362" i="31" l="1"/>
  <c r="KD362" i="31" s="1"/>
  <c r="IL363" i="31" s="1"/>
  <c r="JE363" i="31" s="1"/>
  <c r="BN363" i="31"/>
  <c r="BO363" i="31"/>
  <c r="JN362" i="31"/>
  <c r="JV362" i="31" s="1"/>
  <c r="JF363" i="31" s="1"/>
  <c r="JL362" i="31"/>
  <c r="JJ363" i="31" s="1"/>
  <c r="KA363" i="31"/>
  <c r="EZ362" i="31"/>
  <c r="DG362" i="31"/>
  <c r="DH362" i="31" s="1"/>
  <c r="DI363" i="31" s="1"/>
  <c r="ED362" i="31"/>
  <c r="EB363" i="31" s="1"/>
  <c r="IY363" i="31" s="1"/>
  <c r="EJ362" i="31"/>
  <c r="EK363" i="31" s="1"/>
  <c r="EE362" i="31"/>
  <c r="EF363" i="31" s="1"/>
  <c r="GZ363" i="31" l="1"/>
  <c r="IE363" i="31" s="1"/>
  <c r="DJ363" i="31"/>
  <c r="DK363" i="31" s="1"/>
  <c r="JW363" i="31"/>
  <c r="JY363" i="31"/>
  <c r="EL363" i="31"/>
  <c r="FC363" i="31"/>
  <c r="EP363" i="31"/>
  <c r="ET364" i="31" s="1"/>
  <c r="EO363" i="31"/>
  <c r="ES364" i="31" s="1"/>
  <c r="EV363" i="31"/>
  <c r="JA363" i="31"/>
  <c r="JC363" i="31"/>
  <c r="JD363" i="31"/>
  <c r="JO363" i="31"/>
  <c r="BP363" i="31"/>
  <c r="BQ363" i="31"/>
  <c r="IO363" i="31"/>
  <c r="JP363" i="31" s="1"/>
  <c r="JQ363" i="31" s="1"/>
  <c r="IP363" i="31"/>
  <c r="DP363" i="31"/>
  <c r="IR363" i="31"/>
  <c r="HZ363" i="31"/>
  <c r="KG363" i="31" l="1"/>
  <c r="DM363" i="31"/>
  <c r="FQ363" i="31"/>
  <c r="DX363" i="31"/>
  <c r="EC363" i="31"/>
  <c r="BR363" i="31"/>
  <c r="BS363" i="31"/>
  <c r="JX363" i="31"/>
  <c r="FB363" i="31" l="1"/>
  <c r="EX363" i="31"/>
  <c r="M363" i="31" s="1"/>
  <c r="BT363" i="31"/>
  <c r="BU363" i="31"/>
  <c r="DL363" i="31"/>
  <c r="L364" i="31"/>
  <c r="BV363" i="31" l="1"/>
  <c r="BW363" i="31" s="1"/>
  <c r="MJ363" i="31"/>
  <c r="NS363" i="31" s="1"/>
  <c r="MB363" i="31"/>
  <c r="NM363" i="31" l="1"/>
  <c r="NN363" i="31" s="1"/>
  <c r="BY363" i="31"/>
  <c r="CA363" i="31" s="1"/>
  <c r="BX363" i="31"/>
  <c r="NT363" i="31"/>
  <c r="OU364" i="31"/>
  <c r="NW363" i="31" l="1"/>
  <c r="NX363" i="31" s="1"/>
  <c r="OV364" i="31"/>
  <c r="BZ363" i="31"/>
  <c r="FV363" i="31"/>
  <c r="FR363" i="31"/>
  <c r="CX363" i="31"/>
  <c r="NU363" i="31"/>
  <c r="CB363" i="31"/>
  <c r="CC363" i="31" s="1"/>
  <c r="CD363" i="31" l="1"/>
  <c r="CE363" i="31"/>
  <c r="CG363" i="31" s="1"/>
  <c r="NZ363" i="31"/>
  <c r="MY363" i="31"/>
  <c r="CY364" i="31"/>
  <c r="NY363" i="31"/>
  <c r="OF363" i="31"/>
  <c r="OS364" i="31" s="1"/>
  <c r="NV363" i="31"/>
  <c r="CF363" i="31" l="1"/>
  <c r="OA363" i="31"/>
  <c r="MV364" i="31" s="1"/>
  <c r="OG364" i="31" s="1"/>
  <c r="OI363" i="31"/>
  <c r="OM364" i="31"/>
  <c r="NF364" i="31"/>
  <c r="OO364" i="31"/>
  <c r="OB363" i="31"/>
  <c r="OT364" i="31" s="1"/>
  <c r="CH363" i="31"/>
  <c r="CI363" i="31" s="1"/>
  <c r="MZ364" i="31"/>
  <c r="OZ363" i="31"/>
  <c r="CJ363" i="31" l="1"/>
  <c r="CO363" i="31" s="1"/>
  <c r="CK363" i="31"/>
  <c r="CL363" i="31" s="1"/>
  <c r="KT364" i="31"/>
  <c r="KL364" i="31" s="1"/>
  <c r="KN365" i="31" s="1"/>
  <c r="PA363" i="31"/>
  <c r="MR364" i="31"/>
  <c r="OW363" i="31"/>
  <c r="OX364" i="31"/>
  <c r="OJ363" i="31"/>
  <c r="OC363" i="31"/>
  <c r="OD364" i="31" s="1"/>
  <c r="OH364" i="31" s="1"/>
  <c r="OK364" i="31" s="1"/>
  <c r="KM364" i="31" l="1"/>
  <c r="KO365" i="31" s="1"/>
  <c r="KP365" i="31" s="1"/>
  <c r="CM363" i="31"/>
  <c r="CN363" i="31" s="1"/>
  <c r="CP363" i="31" s="1"/>
  <c r="OY364" i="31"/>
  <c r="MW364" i="31"/>
  <c r="MS364" i="31"/>
  <c r="KQ364" i="31"/>
  <c r="KR364" i="31" l="1"/>
  <c r="KS364" i="31" s="1"/>
  <c r="FX363" i="31"/>
  <c r="FY363" i="31" s="1"/>
  <c r="FH363" i="31"/>
  <c r="FI363" i="31" s="1"/>
  <c r="GO363" i="31"/>
  <c r="FU363" i="31"/>
  <c r="FW363" i="31" s="1"/>
  <c r="JR363" i="31"/>
  <c r="JS363" i="31" s="1"/>
  <c r="HO363" i="31"/>
  <c r="CQ363" i="31"/>
  <c r="FP363" i="31"/>
  <c r="FS363" i="31" s="1"/>
  <c r="FE363" i="31"/>
  <c r="FF363" i="31" s="1"/>
  <c r="DQ363" i="31"/>
  <c r="DR363" i="31" s="1"/>
  <c r="GB363" i="31"/>
  <c r="GC363" i="31" s="1"/>
  <c r="FZ363" i="31"/>
  <c r="GA363" i="31" s="1"/>
  <c r="KX363" i="31"/>
  <c r="KU363" i="31"/>
  <c r="NH365" i="31"/>
  <c r="NI365" i="31" s="1"/>
  <c r="MT364" i="31"/>
  <c r="NJ364" i="31"/>
  <c r="MU364" i="31"/>
  <c r="NP364" i="31"/>
  <c r="NQ364" i="31"/>
  <c r="MO364" i="31"/>
  <c r="PE364" i="31"/>
  <c r="MX364" i="31"/>
  <c r="GN363" i="31" l="1"/>
  <c r="KV363" i="31" s="1"/>
  <c r="NR364" i="31"/>
  <c r="DY363" i="31"/>
  <c r="HA363" i="31"/>
  <c r="HY363" i="31"/>
  <c r="HP363" i="31"/>
  <c r="IA363" i="31"/>
  <c r="IB363" i="31" s="1"/>
  <c r="IZ363" i="31"/>
  <c r="JU363" i="31"/>
  <c r="KE363" i="31"/>
  <c r="KC363" i="31"/>
  <c r="JT364" i="31"/>
  <c r="CR363" i="31"/>
  <c r="CT363" i="31"/>
  <c r="CS363" i="31"/>
  <c r="DS363" i="31"/>
  <c r="AX363" i="31" s="1"/>
  <c r="AY364" i="31" s="1"/>
  <c r="HU363" i="31"/>
  <c r="HV364" i="31" s="1"/>
  <c r="FJ364" i="31"/>
  <c r="NA364" i="31"/>
  <c r="NB364" i="31"/>
  <c r="NK364" i="31"/>
  <c r="NL364" i="31"/>
  <c r="NG365" i="31"/>
  <c r="OQ365" i="31"/>
  <c r="FG364" i="31"/>
  <c r="HW363" i="31"/>
  <c r="HX364" i="31" s="1"/>
  <c r="GQ363" i="31" l="1"/>
  <c r="KW364" i="31"/>
  <c r="HQ363" i="31"/>
  <c r="HR364" i="31" s="1"/>
  <c r="OR365" i="31"/>
  <c r="HS363" i="31"/>
  <c r="JG363" i="31" s="1"/>
  <c r="HT363" i="31"/>
  <c r="NC365" i="31"/>
  <c r="MQ365" i="31"/>
  <c r="AZ363" i="31"/>
  <c r="EN363" i="31"/>
  <c r="EM363" i="31"/>
  <c r="EW363" i="31" s="1"/>
  <c r="BB364" i="31" l="1"/>
  <c r="EQ363" i="31"/>
  <c r="DW363" i="31"/>
  <c r="DU364" i="31" s="1"/>
  <c r="ER364" i="31"/>
  <c r="IU363" i="31"/>
  <c r="IV363" i="31" s="1"/>
  <c r="IC363" i="31"/>
  <c r="ID363" i="31" s="1"/>
  <c r="IF363" i="31" s="1"/>
  <c r="KH363" i="31" s="1"/>
  <c r="JB363" i="31"/>
  <c r="IW363" i="31" l="1"/>
  <c r="KB363" i="31" s="1"/>
  <c r="EU364" i="31"/>
  <c r="IX363" i="31"/>
  <c r="KK363" i="31"/>
  <c r="DB363" i="31"/>
  <c r="DC363" i="31" s="1"/>
  <c r="DD364" i="31" s="1"/>
  <c r="DE365" i="31" s="1"/>
  <c r="IM363" i="31"/>
  <c r="GM363" i="31"/>
  <c r="KI364" i="31"/>
  <c r="IN363" i="31"/>
  <c r="DF363" i="31"/>
  <c r="BC364" i="31"/>
  <c r="GT365" i="31" l="1"/>
  <c r="GV363" i="31"/>
  <c r="GU363" i="31"/>
  <c r="FD363" i="31"/>
  <c r="KJ364" i="31"/>
  <c r="DT363" i="31"/>
  <c r="DZ363" i="31" s="1"/>
  <c r="GR363" i="31"/>
  <c r="BD364" i="31"/>
  <c r="BE364" i="31"/>
  <c r="IS363" i="31" l="1"/>
  <c r="FL364" i="31"/>
  <c r="BG364" i="31"/>
  <c r="BF364" i="31"/>
  <c r="GS363" i="31"/>
  <c r="GX363" i="31" l="1"/>
  <c r="GY363" i="31"/>
  <c r="GW363" i="31"/>
  <c r="HC363" i="31" s="1"/>
  <c r="FA364" i="31" s="1"/>
  <c r="HB364" i="31" s="1"/>
  <c r="FM364" i="31"/>
  <c r="BI364" i="31"/>
  <c r="BK364" i="31" s="1"/>
  <c r="BH364" i="31"/>
  <c r="JH363" i="31"/>
  <c r="JI363" i="31" s="1"/>
  <c r="IT363" i="31"/>
  <c r="JK363" i="31" l="1"/>
  <c r="JZ363" i="31" s="1"/>
  <c r="KF363" i="31" s="1"/>
  <c r="IQ364" i="31" s="1"/>
  <c r="BL364" i="31"/>
  <c r="BM364" i="31"/>
  <c r="BJ364" i="31"/>
  <c r="HM363" i="31"/>
  <c r="EY363" i="31"/>
  <c r="EG363" i="31"/>
  <c r="EH364" i="31" s="1"/>
  <c r="EI364" i="31" s="1"/>
  <c r="FK364" i="31" s="1"/>
  <c r="HK364" i="31"/>
  <c r="JN363" i="31" l="1"/>
  <c r="JV363" i="31" s="1"/>
  <c r="JF364" i="31" s="1"/>
  <c r="JY364" i="31" s="1"/>
  <c r="BN364" i="31"/>
  <c r="BO364" i="31"/>
  <c r="EZ363" i="31"/>
  <c r="DG363" i="31"/>
  <c r="DH363" i="31" s="1"/>
  <c r="DI364" i="31" s="1"/>
  <c r="JM363" i="31"/>
  <c r="KD363" i="31" s="1"/>
  <c r="IL364" i="31" s="1"/>
  <c r="JE364" i="31" s="1"/>
  <c r="JL363" i="31"/>
  <c r="JJ364" i="31" s="1"/>
  <c r="KA364" i="31"/>
  <c r="EE363" i="31"/>
  <c r="EF364" i="31" s="1"/>
  <c r="ED363" i="31"/>
  <c r="EB364" i="31" s="1"/>
  <c r="JA364" i="31" s="1"/>
  <c r="EJ363" i="31"/>
  <c r="EK364" i="31" s="1"/>
  <c r="JW364" i="31" l="1"/>
  <c r="IR364" i="31"/>
  <c r="DP364" i="31"/>
  <c r="HZ364" i="31"/>
  <c r="DJ364" i="31"/>
  <c r="DK364" i="31" s="1"/>
  <c r="GZ364" i="31"/>
  <c r="IE364" i="31" s="1"/>
  <c r="IY364" i="31"/>
  <c r="JC364" i="31"/>
  <c r="JD364" i="31"/>
  <c r="EO364" i="31"/>
  <c r="ES365" i="31" s="1"/>
  <c r="EP364" i="31"/>
  <c r="ET365" i="31" s="1"/>
  <c r="FC364" i="31"/>
  <c r="EL364" i="31"/>
  <c r="JX364" i="31" s="1"/>
  <c r="EV364" i="31"/>
  <c r="BP364" i="31"/>
  <c r="BQ364" i="31" s="1"/>
  <c r="BR364" i="31" s="1"/>
  <c r="IO364" i="31"/>
  <c r="IP364" i="31"/>
  <c r="JO364" i="31"/>
  <c r="BS364" i="31" l="1"/>
  <c r="BT364" i="31" s="1"/>
  <c r="KG364" i="31"/>
  <c r="DM364" i="31"/>
  <c r="FQ364" i="31"/>
  <c r="DX364" i="31"/>
  <c r="EC364" i="31"/>
  <c r="JP364" i="31"/>
  <c r="JQ364" i="31" s="1"/>
  <c r="BU364" i="31" l="1"/>
  <c r="BV364" i="31" s="1"/>
  <c r="BW364" i="31" s="1"/>
  <c r="EX364" i="31"/>
  <c r="M364" i="31" s="1"/>
  <c r="FB364" i="31"/>
  <c r="DL364" i="31"/>
  <c r="L365" i="31"/>
  <c r="BX364" i="31" l="1"/>
  <c r="BY364" i="31"/>
  <c r="MB364" i="31"/>
  <c r="MJ364" i="31"/>
  <c r="NS364" i="31" s="1"/>
  <c r="BZ364" i="31" l="1"/>
  <c r="NM364" i="31"/>
  <c r="NN364" i="31" s="1"/>
  <c r="CA364" i="31"/>
  <c r="NT364" i="31"/>
  <c r="OU365" i="31"/>
  <c r="OV365" i="31" l="1"/>
  <c r="NW364" i="31"/>
  <c r="CB364" i="31"/>
  <c r="CC364" i="31" s="1"/>
  <c r="NX364" i="31"/>
  <c r="OF364" i="31" s="1"/>
  <c r="OS365" i="31" s="1"/>
  <c r="FR364" i="31"/>
  <c r="CX364" i="31"/>
  <c r="FV364" i="31"/>
  <c r="NU364" i="31"/>
  <c r="CE364" i="31" l="1"/>
  <c r="CD364" i="31"/>
  <c r="NV364" i="31"/>
  <c r="NZ364" i="31"/>
  <c r="MY364" i="31"/>
  <c r="CY365" i="31"/>
  <c r="NY364" i="31"/>
  <c r="OA364" i="31" l="1"/>
  <c r="MV365" i="31" s="1"/>
  <c r="OG365" i="31" s="1"/>
  <c r="CF364" i="31"/>
  <c r="CG364" i="31"/>
  <c r="OI364" i="31"/>
  <c r="OX365" i="31" s="1"/>
  <c r="NF365" i="31"/>
  <c r="OM365" i="31"/>
  <c r="OO365" i="31"/>
  <c r="MZ365" i="31"/>
  <c r="OZ364" i="31"/>
  <c r="OB364" i="31"/>
  <c r="OT365" i="31" s="1"/>
  <c r="KT365" i="31" l="1"/>
  <c r="KM365" i="31" s="1"/>
  <c r="KO366" i="31" s="1"/>
  <c r="MR365" i="31"/>
  <c r="MS365" i="31" s="1"/>
  <c r="OW364" i="31"/>
  <c r="CH364" i="31"/>
  <c r="CI364" i="31" s="1"/>
  <c r="OJ364" i="31"/>
  <c r="OY365" i="31" s="1"/>
  <c r="OC364" i="31"/>
  <c r="OD365" i="31" s="1"/>
  <c r="OH365" i="31" s="1"/>
  <c r="OK365" i="31" s="1"/>
  <c r="KL365" i="31"/>
  <c r="KN366" i="31" s="1"/>
  <c r="PA364" i="31"/>
  <c r="CK364" i="31" l="1"/>
  <c r="CJ364" i="31"/>
  <c r="CO364" i="31" s="1"/>
  <c r="MW365" i="31"/>
  <c r="MX365" i="31" s="1"/>
  <c r="NJ365" i="31"/>
  <c r="NQ365" i="31"/>
  <c r="MU365" i="31"/>
  <c r="MO365" i="31"/>
  <c r="MT365" i="31"/>
  <c r="NH366" i="31"/>
  <c r="NI366" i="31" s="1"/>
  <c r="NP365" i="31"/>
  <c r="PE365" i="31"/>
  <c r="KQ365" i="31"/>
  <c r="KP366" i="31"/>
  <c r="KR365" i="31"/>
  <c r="CL364" i="31" l="1"/>
  <c r="CM364" i="31"/>
  <c r="CN364" i="31" s="1"/>
  <c r="NB365" i="31"/>
  <c r="NA365" i="31"/>
  <c r="NR365" i="31"/>
  <c r="NK365" i="31"/>
  <c r="NL365" i="31"/>
  <c r="NG366" i="31"/>
  <c r="OQ366" i="31"/>
  <c r="KS365" i="31"/>
  <c r="CP364" i="31" l="1"/>
  <c r="FP364" i="31" s="1"/>
  <c r="FS364" i="31" s="1"/>
  <c r="OR366" i="31"/>
  <c r="NC366" i="31"/>
  <c r="MQ366" i="31"/>
  <c r="GB364" i="31" l="1"/>
  <c r="GC364" i="31" s="1"/>
  <c r="DQ364" i="31"/>
  <c r="DR364" i="31" s="1"/>
  <c r="DS364" i="31" s="1"/>
  <c r="AX364" i="31" s="1"/>
  <c r="AY365" i="31" s="1"/>
  <c r="FZ364" i="31"/>
  <c r="GA364" i="31" s="1"/>
  <c r="KU364" i="31"/>
  <c r="GO364" i="31"/>
  <c r="FH364" i="31"/>
  <c r="FI364" i="31" s="1"/>
  <c r="HU364" i="31" s="1"/>
  <c r="HV365" i="31" s="1"/>
  <c r="HO364" i="31"/>
  <c r="HP364" i="31" s="1"/>
  <c r="FE364" i="31"/>
  <c r="FF364" i="31" s="1"/>
  <c r="FG365" i="31" s="1"/>
  <c r="FU364" i="31"/>
  <c r="FW364" i="31" s="1"/>
  <c r="FX364" i="31"/>
  <c r="FY364" i="31" s="1"/>
  <c r="KX364" i="31"/>
  <c r="JR364" i="31"/>
  <c r="JS364" i="31" s="1"/>
  <c r="KC364" i="31" s="1"/>
  <c r="CQ364" i="31"/>
  <c r="CR364" i="31" s="1"/>
  <c r="GN364" i="31"/>
  <c r="EN364" i="31"/>
  <c r="DW364" i="31" s="1"/>
  <c r="DU365" i="31" s="1"/>
  <c r="AZ364" i="31"/>
  <c r="HA364" i="31"/>
  <c r="DY364" i="31"/>
  <c r="HY364" i="31"/>
  <c r="GQ364" i="31" l="1"/>
  <c r="EM364" i="31"/>
  <c r="EW364" i="31" s="1"/>
  <c r="IZ364" i="31"/>
  <c r="CS364" i="31"/>
  <c r="JT365" i="31"/>
  <c r="HW364" i="31"/>
  <c r="HX365" i="31" s="1"/>
  <c r="JU364" i="31"/>
  <c r="KE364" i="31"/>
  <c r="CT364" i="31"/>
  <c r="IA364" i="31"/>
  <c r="IB364" i="31" s="1"/>
  <c r="FJ365" i="31"/>
  <c r="KV364" i="31"/>
  <c r="KW365" i="31" s="1"/>
  <c r="HQ364" i="31"/>
  <c r="HR365" i="31" s="1"/>
  <c r="EQ364" i="31"/>
  <c r="BB365" i="31"/>
  <c r="BC365" i="31" s="1"/>
  <c r="IW364" i="31"/>
  <c r="IU364" i="31"/>
  <c r="IV364" i="31" s="1"/>
  <c r="IX364" i="31" s="1"/>
  <c r="ER365" i="31"/>
  <c r="EU365" i="31" s="1"/>
  <c r="HS364" i="31"/>
  <c r="JG364" i="31" s="1"/>
  <c r="HT364" i="31"/>
  <c r="KB364" i="31" l="1"/>
  <c r="KK364" i="31"/>
  <c r="IC364" i="31"/>
  <c r="ID364" i="31" s="1"/>
  <c r="IF364" i="31" s="1"/>
  <c r="KH364" i="31" s="1"/>
  <c r="JB364" i="31"/>
  <c r="BE365" i="31"/>
  <c r="BD365" i="31"/>
  <c r="IN364" i="31" l="1"/>
  <c r="DF364" i="31"/>
  <c r="DB364" i="31"/>
  <c r="DC364" i="31" s="1"/>
  <c r="DD365" i="31" s="1"/>
  <c r="DE366" i="31" s="1"/>
  <c r="KI365" i="31"/>
  <c r="KJ365" i="31" s="1"/>
  <c r="GM364" i="31"/>
  <c r="IM364" i="31"/>
  <c r="DT364" i="31" s="1"/>
  <c r="DZ364" i="31" s="1"/>
  <c r="BF365" i="31"/>
  <c r="BG365" i="31"/>
  <c r="GT366" i="31" l="1"/>
  <c r="GR364" i="31"/>
  <c r="GV364" i="31"/>
  <c r="FD364" i="31"/>
  <c r="GU364" i="31"/>
  <c r="BH365" i="31"/>
  <c r="BI365" i="31"/>
  <c r="BK365" i="31" s="1"/>
  <c r="FL365" i="31" l="1"/>
  <c r="FM365" i="31" s="1"/>
  <c r="IS364" i="31"/>
  <c r="GS364" i="31"/>
  <c r="BL365" i="31"/>
  <c r="BM365" i="31"/>
  <c r="BJ365" i="31"/>
  <c r="GY364" i="31" l="1"/>
  <c r="GW364" i="31"/>
  <c r="HC364" i="31" s="1"/>
  <c r="FA365" i="31" s="1"/>
  <c r="HB365" i="31" s="1"/>
  <c r="GX364" i="31"/>
  <c r="JH364" i="31"/>
  <c r="JI364" i="31" s="1"/>
  <c r="JK364" i="31" s="1"/>
  <c r="JZ364" i="31" s="1"/>
  <c r="KF364" i="31" s="1"/>
  <c r="IQ365" i="31" s="1"/>
  <c r="IT364" i="31"/>
  <c r="BN365" i="31"/>
  <c r="BO365" i="31"/>
  <c r="JM364" i="31" l="1"/>
  <c r="KD364" i="31" s="1"/>
  <c r="IL365" i="31" s="1"/>
  <c r="IR365" i="31" s="1"/>
  <c r="KA365" i="31"/>
  <c r="HZ365" i="31" s="1"/>
  <c r="HK365" i="31"/>
  <c r="EG364" i="31"/>
  <c r="EH365" i="31" s="1"/>
  <c r="EI365" i="31" s="1"/>
  <c r="FK365" i="31" s="1"/>
  <c r="HM364" i="31"/>
  <c r="EY364" i="31"/>
  <c r="JL364" i="31"/>
  <c r="JJ365" i="31" s="1"/>
  <c r="JN364" i="31"/>
  <c r="JV364" i="31" s="1"/>
  <c r="JF365" i="31" s="1"/>
  <c r="BP365" i="31"/>
  <c r="BQ365" i="31" s="1"/>
  <c r="JO365" i="31" l="1"/>
  <c r="BR365" i="31"/>
  <c r="BS365" i="31"/>
  <c r="BT365" i="31" s="1"/>
  <c r="EE364" i="31"/>
  <c r="EF365" i="31" s="1"/>
  <c r="IP365" i="31" s="1"/>
  <c r="EJ364" i="31"/>
  <c r="EK365" i="31" s="1"/>
  <c r="ED364" i="31"/>
  <c r="EB365" i="31" s="1"/>
  <c r="JW365" i="31"/>
  <c r="JY365" i="31"/>
  <c r="DG364" i="31"/>
  <c r="DH364" i="31" s="1"/>
  <c r="DI365" i="31" s="1"/>
  <c r="EZ364" i="31"/>
  <c r="JE365" i="31"/>
  <c r="BU365" i="31" l="1"/>
  <c r="BV365" i="31" s="1"/>
  <c r="BW365" i="31" s="1"/>
  <c r="DP365" i="31"/>
  <c r="JA365" i="31"/>
  <c r="EP365" i="31"/>
  <c r="ET366" i="31" s="1"/>
  <c r="EV365" i="31"/>
  <c r="EL365" i="31"/>
  <c r="EO365" i="31"/>
  <c r="ES366" i="31" s="1"/>
  <c r="IY365" i="31"/>
  <c r="FC365" i="31"/>
  <c r="JC365" i="31"/>
  <c r="JD365" i="31"/>
  <c r="IO365" i="31"/>
  <c r="GZ365" i="31"/>
  <c r="DJ365" i="31"/>
  <c r="DK365" i="31" s="1"/>
  <c r="JP365" i="31" l="1"/>
  <c r="JQ365" i="31" s="1"/>
  <c r="DM365" i="31"/>
  <c r="DX365" i="31"/>
  <c r="FQ365" i="31"/>
  <c r="JX365" i="31"/>
  <c r="EC365" i="31"/>
  <c r="IE365" i="31"/>
  <c r="KG365" i="31"/>
  <c r="BX365" i="31"/>
  <c r="BY365" i="31"/>
  <c r="BZ365" i="31" l="1"/>
  <c r="FB365" i="31"/>
  <c r="EX365" i="31"/>
  <c r="M365" i="31" s="1"/>
  <c r="DL365" i="31"/>
  <c r="L366" i="31"/>
  <c r="CA365" i="31"/>
  <c r="MJ365" i="31" l="1"/>
  <c r="NS365" i="31" s="1"/>
  <c r="MB365" i="31"/>
  <c r="NM365" i="31" s="1"/>
  <c r="NN365" i="31" s="1"/>
  <c r="CB365" i="31"/>
  <c r="CC365" i="31" s="1"/>
  <c r="NW365" i="31" l="1"/>
  <c r="NX365" i="31" s="1"/>
  <c r="NY365" i="31" s="1"/>
  <c r="OV366" i="31"/>
  <c r="NT365" i="31"/>
  <c r="OU366" i="31"/>
  <c r="CE365" i="31"/>
  <c r="CD365" i="31"/>
  <c r="OF365" i="31" l="1"/>
  <c r="OS366" i="31" s="1"/>
  <c r="CX365" i="31"/>
  <c r="FV365" i="31"/>
  <c r="FR365" i="31"/>
  <c r="NU365" i="31"/>
  <c r="NV365" i="31" s="1"/>
  <c r="CG365" i="31"/>
  <c r="CF365" i="31"/>
  <c r="OB365" i="31"/>
  <c r="OT366" i="31" s="1"/>
  <c r="MY365" i="31" l="1"/>
  <c r="PA365" i="31" s="1"/>
  <c r="CY366" i="31"/>
  <c r="NZ365" i="31"/>
  <c r="OA365" i="31" s="1"/>
  <c r="MV366" i="31" s="1"/>
  <c r="OG366" i="31" s="1"/>
  <c r="CH365" i="31"/>
  <c r="CI365" i="31" s="1"/>
  <c r="OC365" i="31" l="1"/>
  <c r="OD366" i="31" s="1"/>
  <c r="OH366" i="31" s="1"/>
  <c r="OK366" i="31" s="1"/>
  <c r="OJ365" i="31"/>
  <c r="MW366" i="31" s="1"/>
  <c r="MX366" i="31" s="1"/>
  <c r="OM366" i="31"/>
  <c r="OO366" i="31"/>
  <c r="KT366" i="31" s="1"/>
  <c r="KM366" i="31" s="1"/>
  <c r="KO367" i="31" s="1"/>
  <c r="NF366" i="31"/>
  <c r="OZ365" i="31"/>
  <c r="MZ366" i="31"/>
  <c r="OI365" i="31"/>
  <c r="CK365" i="31"/>
  <c r="CJ365" i="31"/>
  <c r="CO365" i="31" s="1"/>
  <c r="KL366" i="31" l="1"/>
  <c r="KN367" i="31" s="1"/>
  <c r="KP367" i="31" s="1"/>
  <c r="OY366" i="31"/>
  <c r="OX366" i="31"/>
  <c r="OW365" i="31"/>
  <c r="MR366" i="31"/>
  <c r="MS366" i="31" s="1"/>
  <c r="CL365" i="31"/>
  <c r="CM365" i="31"/>
  <c r="CN365" i="31" s="1"/>
  <c r="NA366" i="31"/>
  <c r="NB366" i="31"/>
  <c r="KR366" i="31"/>
  <c r="KQ366" i="31" l="1"/>
  <c r="KS366" i="31" s="1"/>
  <c r="MO366" i="31"/>
  <c r="MU366" i="31"/>
  <c r="NJ366" i="31"/>
  <c r="PE366" i="31"/>
  <c r="NQ366" i="31"/>
  <c r="NP366" i="31"/>
  <c r="NH367" i="31"/>
  <c r="NI367" i="31" s="1"/>
  <c r="MT366" i="31"/>
  <c r="CP365" i="31"/>
  <c r="NR366" i="31" l="1"/>
  <c r="NL366" i="31"/>
  <c r="NG367" i="31"/>
  <c r="NK366" i="31"/>
  <c r="OQ367" i="31"/>
  <c r="OR367" i="31" s="1"/>
  <c r="JR365" i="31"/>
  <c r="JS365" i="31" s="1"/>
  <c r="HO365" i="31"/>
  <c r="FX365" i="31"/>
  <c r="FY365" i="31" s="1"/>
  <c r="FU365" i="31"/>
  <c r="FW365" i="31" s="1"/>
  <c r="DQ365" i="31"/>
  <c r="DR365" i="31" s="1"/>
  <c r="DS365" i="31" s="1"/>
  <c r="AX365" i="31" s="1"/>
  <c r="AY366" i="31" s="1"/>
  <c r="CQ365" i="31"/>
  <c r="FZ365" i="31"/>
  <c r="GA365" i="31" s="1"/>
  <c r="KX365" i="31"/>
  <c r="FP365" i="31"/>
  <c r="FS365" i="31" s="1"/>
  <c r="KU365" i="31"/>
  <c r="GO365" i="31"/>
  <c r="GB365" i="31"/>
  <c r="GC365" i="31" s="1"/>
  <c r="FH365" i="31"/>
  <c r="FI365" i="31" s="1"/>
  <c r="FE365" i="31"/>
  <c r="FF365" i="31" s="1"/>
  <c r="GN365" i="31" l="1"/>
  <c r="GQ365" i="31" s="1"/>
  <c r="NC367" i="31"/>
  <c r="MQ367" i="31"/>
  <c r="EN365" i="31"/>
  <c r="EM365" i="31"/>
  <c r="EW365" i="31" s="1"/>
  <c r="AZ365" i="31"/>
  <c r="HW365" i="31"/>
  <c r="HX366" i="31" s="1"/>
  <c r="FG366" i="31"/>
  <c r="CR365" i="31"/>
  <c r="CS365" i="31"/>
  <c r="CT365" i="31"/>
  <c r="HP365" i="31"/>
  <c r="IZ365" i="31"/>
  <c r="IA365" i="31"/>
  <c r="IB365" i="31" s="1"/>
  <c r="HU365" i="31"/>
  <c r="HV366" i="31" s="1"/>
  <c r="FJ366" i="31"/>
  <c r="DY365" i="31"/>
  <c r="HA365" i="31"/>
  <c r="HY365" i="31"/>
  <c r="KE365" i="31"/>
  <c r="JT366" i="31"/>
  <c r="KC365" i="31"/>
  <c r="JU365" i="31"/>
  <c r="KV365" i="31" l="1"/>
  <c r="KW366" i="31" s="1"/>
  <c r="HQ365" i="31"/>
  <c r="HR366" i="31" s="1"/>
  <c r="HT365" i="31"/>
  <c r="HS365" i="31"/>
  <c r="JG365" i="31" s="1"/>
  <c r="BB366" i="31"/>
  <c r="BC366" i="31" s="1"/>
  <c r="BD366" i="31" s="1"/>
  <c r="IW365" i="31"/>
  <c r="EQ365" i="31"/>
  <c r="ER366" i="31"/>
  <c r="EU366" i="31" s="1"/>
  <c r="DW365" i="31"/>
  <c r="DU366" i="31" s="1"/>
  <c r="IU365" i="31"/>
  <c r="IV365" i="31" s="1"/>
  <c r="BE366" i="31" l="1"/>
  <c r="BF366" i="31" s="1"/>
  <c r="IX365" i="31"/>
  <c r="KB365" i="31"/>
  <c r="KK365" i="31"/>
  <c r="IC365" i="31"/>
  <c r="ID365" i="31" s="1"/>
  <c r="IF365" i="31" s="1"/>
  <c r="KH365" i="31" s="1"/>
  <c r="JB365" i="31"/>
  <c r="BG366" i="31" l="1"/>
  <c r="BI366" i="31" s="1"/>
  <c r="BK366" i="31" s="1"/>
  <c r="GM365" i="31"/>
  <c r="IM365" i="31"/>
  <c r="DB365" i="31"/>
  <c r="DC365" i="31" s="1"/>
  <c r="DD366" i="31" s="1"/>
  <c r="DE367" i="31" s="1"/>
  <c r="IN365" i="31"/>
  <c r="DF365" i="31"/>
  <c r="KI366" i="31"/>
  <c r="KJ366" i="31" s="1"/>
  <c r="DT365" i="31" l="1"/>
  <c r="DZ365" i="31" s="1"/>
  <c r="BH366" i="31"/>
  <c r="GT367" i="31"/>
  <c r="FD365" i="31"/>
  <c r="GV365" i="31"/>
  <c r="GU365" i="31"/>
  <c r="GR365" i="31"/>
  <c r="BL366" i="31"/>
  <c r="BM366" i="31"/>
  <c r="BJ366" i="31"/>
  <c r="GS365" i="31" l="1"/>
  <c r="FL366" i="31"/>
  <c r="FM366" i="31" s="1"/>
  <c r="IS365" i="31"/>
  <c r="BN366" i="31"/>
  <c r="BO366" i="31"/>
  <c r="GY365" i="31" l="1"/>
  <c r="GX365" i="31"/>
  <c r="GW365" i="31"/>
  <c r="HC365" i="31" s="1"/>
  <c r="FA366" i="31" s="1"/>
  <c r="HB366" i="31" s="1"/>
  <c r="JH365" i="31"/>
  <c r="JI365" i="31" s="1"/>
  <c r="IT365" i="31"/>
  <c r="BP366" i="31"/>
  <c r="BQ366" i="31" s="1"/>
  <c r="JK365" i="31" l="1"/>
  <c r="JZ365" i="31" s="1"/>
  <c r="KF365" i="31" s="1"/>
  <c r="IQ366" i="31" s="1"/>
  <c r="EY365" i="31"/>
  <c r="HK366" i="31"/>
  <c r="HM365" i="31"/>
  <c r="EG365" i="31"/>
  <c r="EH366" i="31" s="1"/>
  <c r="EI366" i="31" s="1"/>
  <c r="FK366" i="31" s="1"/>
  <c r="BR366" i="31"/>
  <c r="BS366" i="31"/>
  <c r="JN365" i="31" l="1"/>
  <c r="JV365" i="31" s="1"/>
  <c r="JF366" i="31" s="1"/>
  <c r="JW366" i="31" s="1"/>
  <c r="JM365" i="31"/>
  <c r="KD365" i="31" s="1"/>
  <c r="IL366" i="31" s="1"/>
  <c r="EE365" i="31"/>
  <c r="EF366" i="31" s="1"/>
  <c r="ED365" i="31"/>
  <c r="EB366" i="31" s="1"/>
  <c r="IY366" i="31" s="1"/>
  <c r="EJ365" i="31"/>
  <c r="EK366" i="31" s="1"/>
  <c r="EZ365" i="31"/>
  <c r="DG365" i="31"/>
  <c r="DH365" i="31" s="1"/>
  <c r="DI366" i="31" s="1"/>
  <c r="JL365" i="31"/>
  <c r="JJ366" i="31" s="1"/>
  <c r="KA366" i="31"/>
  <c r="HZ366" i="31" s="1"/>
  <c r="BT366" i="31"/>
  <c r="BU366" i="31"/>
  <c r="JY366" i="31" l="1"/>
  <c r="IP366" i="31"/>
  <c r="IO366" i="31"/>
  <c r="JP366" i="31" s="1"/>
  <c r="JQ366" i="31" s="1"/>
  <c r="JO366" i="31"/>
  <c r="DP366" i="31"/>
  <c r="IR366" i="31"/>
  <c r="JE366" i="31"/>
  <c r="JD366" i="31"/>
  <c r="JC366" i="31"/>
  <c r="EL366" i="31"/>
  <c r="FC366" i="31"/>
  <c r="EP366" i="31"/>
  <c r="ET367" i="31" s="1"/>
  <c r="EV366" i="31"/>
  <c r="EO366" i="31"/>
  <c r="ES367" i="31" s="1"/>
  <c r="JA366" i="31"/>
  <c r="DJ366" i="31"/>
  <c r="DK366" i="31" s="1"/>
  <c r="GZ366" i="31"/>
  <c r="IE366" i="31" s="1"/>
  <c r="BV366" i="31"/>
  <c r="BW366" i="31" s="1"/>
  <c r="KG366" i="31" l="1"/>
  <c r="DM366" i="31"/>
  <c r="FQ366" i="31"/>
  <c r="DX366" i="31"/>
  <c r="EC366" i="31"/>
  <c r="JX366" i="31"/>
  <c r="BX366" i="31"/>
  <c r="BY366" i="31"/>
  <c r="BZ366" i="31" l="1"/>
  <c r="CA366" i="31"/>
  <c r="CB366" i="31" s="1"/>
  <c r="EX366" i="31"/>
  <c r="M366" i="31" s="1"/>
  <c r="FB366" i="31"/>
  <c r="DL366" i="31"/>
  <c r="L367" i="31"/>
  <c r="CC366" i="31" l="1"/>
  <c r="CE366" i="31" s="1"/>
  <c r="CG366" i="31" s="1"/>
  <c r="MJ366" i="31"/>
  <c r="NS366" i="31" s="1"/>
  <c r="MB366" i="31"/>
  <c r="NM366" i="31" s="1"/>
  <c r="NN366" i="31" s="1"/>
  <c r="CD366" i="31" l="1"/>
  <c r="CH366" i="31" s="1"/>
  <c r="CI366" i="31" s="1"/>
  <c r="CF366" i="31"/>
  <c r="NT366" i="31"/>
  <c r="OU367" i="31"/>
  <c r="OV367" i="31"/>
  <c r="NW366" i="31"/>
  <c r="CJ366" i="31" l="1"/>
  <c r="CO366" i="31" s="1"/>
  <c r="CK366" i="31"/>
  <c r="CM366" i="31" s="1"/>
  <c r="CN366" i="31" s="1"/>
  <c r="NX366" i="31"/>
  <c r="OF366" i="31" s="1"/>
  <c r="OS367" i="31" s="1"/>
  <c r="FR366" i="31"/>
  <c r="CX366" i="31"/>
  <c r="FV366" i="31"/>
  <c r="NU366" i="31"/>
  <c r="NV366" i="31" s="1"/>
  <c r="CL366" i="31" l="1"/>
  <c r="CP366" i="31" s="1"/>
  <c r="NZ366" i="31"/>
  <c r="CY367" i="31"/>
  <c r="MY366" i="31"/>
  <c r="NY366" i="31"/>
  <c r="OI366" i="31" l="1"/>
  <c r="MR367" i="31" s="1"/>
  <c r="MS367" i="31" s="1"/>
  <c r="MZ367" i="31"/>
  <c r="OZ366" i="31"/>
  <c r="OB366" i="31"/>
  <c r="OT367" i="31" s="1"/>
  <c r="OO367" i="31"/>
  <c r="NF367" i="31"/>
  <c r="OM367" i="31"/>
  <c r="OA366" i="31"/>
  <c r="MV367" i="31" s="1"/>
  <c r="OG367" i="31" s="1"/>
  <c r="FH366" i="31"/>
  <c r="FI366" i="31" s="1"/>
  <c r="FZ366" i="31"/>
  <c r="GA366" i="31" s="1"/>
  <c r="FP366" i="31"/>
  <c r="FS366" i="31" s="1"/>
  <c r="GB366" i="31"/>
  <c r="GC366" i="31" s="1"/>
  <c r="FE366" i="31"/>
  <c r="FF366" i="31" s="1"/>
  <c r="FU366" i="31"/>
  <c r="FW366" i="31" s="1"/>
  <c r="JR366" i="31"/>
  <c r="JS366" i="31" s="1"/>
  <c r="DQ366" i="31"/>
  <c r="DR366" i="31" s="1"/>
  <c r="CQ366" i="31"/>
  <c r="HO366" i="31"/>
  <c r="GO366" i="31"/>
  <c r="FX366" i="31"/>
  <c r="FY366" i="31" s="1"/>
  <c r="KX366" i="31"/>
  <c r="GN366" i="31" s="1"/>
  <c r="KU366" i="31"/>
  <c r="OX367" i="31" l="1"/>
  <c r="OW366" i="31"/>
  <c r="PA366" i="31"/>
  <c r="OC366" i="31"/>
  <c r="OD367" i="31" s="1"/>
  <c r="OH367" i="31" s="1"/>
  <c r="OK367" i="31" s="1"/>
  <c r="KT367" i="31"/>
  <c r="OJ366" i="31"/>
  <c r="NP367" i="31"/>
  <c r="MO367" i="31"/>
  <c r="NQ367" i="31"/>
  <c r="MU367" i="31"/>
  <c r="NH368" i="31"/>
  <c r="NI368" i="31" s="1"/>
  <c r="NJ367" i="31"/>
  <c r="MT367" i="31"/>
  <c r="PE367" i="31"/>
  <c r="GQ366" i="31"/>
  <c r="KV366" i="31"/>
  <c r="IA366" i="31"/>
  <c r="IB366" i="31" s="1"/>
  <c r="HP366" i="31"/>
  <c r="IZ366" i="31"/>
  <c r="FG367" i="31"/>
  <c r="HW366" i="31"/>
  <c r="HX367" i="31" s="1"/>
  <c r="HA366" i="31"/>
  <c r="DY366" i="31"/>
  <c r="HY366" i="31"/>
  <c r="CS366" i="31"/>
  <c r="CT366" i="31"/>
  <c r="CR366" i="31"/>
  <c r="HU366" i="31"/>
  <c r="HV367" i="31" s="1"/>
  <c r="FJ367" i="31"/>
  <c r="DS366" i="31"/>
  <c r="AX366" i="31" s="1"/>
  <c r="AY367" i="31" s="1"/>
  <c r="JU366" i="31"/>
  <c r="KE366" i="31"/>
  <c r="KC366" i="31"/>
  <c r="JT367" i="31"/>
  <c r="KW367" i="31" l="1"/>
  <c r="HQ366" i="31"/>
  <c r="HR367" i="31" s="1"/>
  <c r="NR367" i="31"/>
  <c r="OY367" i="31"/>
  <c r="MW367" i="31"/>
  <c r="MX367" i="31" s="1"/>
  <c r="KL367" i="31"/>
  <c r="KN368" i="31" s="1"/>
  <c r="KQ367" i="31" s="1"/>
  <c r="KM367" i="31"/>
  <c r="KO368" i="31" s="1"/>
  <c r="NG368" i="31"/>
  <c r="OQ368" i="31"/>
  <c r="OR368" i="31" s="1"/>
  <c r="NL367" i="31"/>
  <c r="NK367" i="31"/>
  <c r="EM366" i="31"/>
  <c r="EW366" i="31" s="1"/>
  <c r="AZ366" i="31"/>
  <c r="EN366" i="31"/>
  <c r="HS366" i="31"/>
  <c r="JG366" i="31" s="1"/>
  <c r="HT366" i="31"/>
  <c r="KP368" i="31" l="1"/>
  <c r="KR367" i="31"/>
  <c r="KS367" i="31" s="1"/>
  <c r="NA367" i="31"/>
  <c r="NB367" i="31"/>
  <c r="NC368" i="31"/>
  <c r="MQ368" i="31"/>
  <c r="BB367" i="31"/>
  <c r="EQ366" i="31"/>
  <c r="IW366" i="31"/>
  <c r="DW366" i="31"/>
  <c r="DU367" i="31" s="1"/>
  <c r="ER367" i="31"/>
  <c r="IU366" i="31"/>
  <c r="IV366" i="31" s="1"/>
  <c r="IC366" i="31"/>
  <c r="ID366" i="31" s="1"/>
  <c r="IF366" i="31" s="1"/>
  <c r="KH366" i="31" s="1"/>
  <c r="JB366" i="31"/>
  <c r="EU367" i="31" l="1"/>
  <c r="IM366" i="31"/>
  <c r="GM366" i="31"/>
  <c r="DB366" i="31"/>
  <c r="DC366" i="31" s="1"/>
  <c r="DD367" i="31" s="1"/>
  <c r="DE368" i="31" s="1"/>
  <c r="KI367" i="31"/>
  <c r="IN366" i="31"/>
  <c r="DF366" i="31"/>
  <c r="BC367" i="31"/>
  <c r="KB366" i="31"/>
  <c r="IX366" i="31"/>
  <c r="KK366" i="31"/>
  <c r="GT368" i="31" l="1"/>
  <c r="DT366" i="31"/>
  <c r="DZ366" i="31" s="1"/>
  <c r="FD366" i="31"/>
  <c r="GV366" i="31"/>
  <c r="GU366" i="31"/>
  <c r="BE367" i="31"/>
  <c r="BD367" i="31"/>
  <c r="KJ367" i="31"/>
  <c r="GR366" i="31"/>
  <c r="GS366" i="31" l="1"/>
  <c r="BF367" i="31"/>
  <c r="BG367" i="31"/>
  <c r="IS366" i="31"/>
  <c r="FL367" i="31"/>
  <c r="JH366" i="31" l="1"/>
  <c r="JI366" i="31" s="1"/>
  <c r="IT366" i="31"/>
  <c r="BH367" i="31"/>
  <c r="BI367" i="31"/>
  <c r="BK367" i="31" s="1"/>
  <c r="FM367" i="31"/>
  <c r="GX366" i="31"/>
  <c r="GY366" i="31"/>
  <c r="GW366" i="31"/>
  <c r="HC366" i="31" s="1"/>
  <c r="FA367" i="31" s="1"/>
  <c r="HB367" i="31" s="1"/>
  <c r="BJ367" i="31" l="1"/>
  <c r="BL367" i="31"/>
  <c r="BM367" i="31"/>
  <c r="HM366" i="31"/>
  <c r="EY366" i="31"/>
  <c r="EG366" i="31"/>
  <c r="EH367" i="31" s="1"/>
  <c r="EI367" i="31" s="1"/>
  <c r="FK367" i="31" s="1"/>
  <c r="HK367" i="31"/>
  <c r="JK366" i="31"/>
  <c r="JZ366" i="31" s="1"/>
  <c r="KF366" i="31" s="1"/>
  <c r="IQ367" i="31" s="1"/>
  <c r="JM366" i="31" l="1"/>
  <c r="KD366" i="31" s="1"/>
  <c r="IL367" i="31" s="1"/>
  <c r="JE367" i="31" s="1"/>
  <c r="ED366" i="31"/>
  <c r="EB367" i="31" s="1"/>
  <c r="JA367" i="31" s="1"/>
  <c r="EE366" i="31"/>
  <c r="EF367" i="31" s="1"/>
  <c r="EJ366" i="31"/>
  <c r="EK367" i="31" s="1"/>
  <c r="BO367" i="31"/>
  <c r="BN367" i="31"/>
  <c r="EZ366" i="31"/>
  <c r="DG366" i="31"/>
  <c r="DH366" i="31" s="1"/>
  <c r="DI367" i="31" s="1"/>
  <c r="JN366" i="31"/>
  <c r="JV366" i="31" s="1"/>
  <c r="JF367" i="31" s="1"/>
  <c r="JL366" i="31"/>
  <c r="JJ367" i="31" s="1"/>
  <c r="KA367" i="31"/>
  <c r="IY367" i="31" l="1"/>
  <c r="IR367" i="31"/>
  <c r="IP367" i="31"/>
  <c r="BP367" i="31"/>
  <c r="BQ367" i="31" s="1"/>
  <c r="HZ367" i="31"/>
  <c r="JY367" i="31"/>
  <c r="JW367" i="31"/>
  <c r="DP367" i="31"/>
  <c r="JC367" i="31"/>
  <c r="JD367" i="31"/>
  <c r="FC367" i="31"/>
  <c r="EP367" i="31"/>
  <c r="ET368" i="31" s="1"/>
  <c r="EO367" i="31"/>
  <c r="ES368" i="31" s="1"/>
  <c r="EL367" i="31"/>
  <c r="JX367" i="31" s="1"/>
  <c r="EV367" i="31"/>
  <c r="DJ367" i="31"/>
  <c r="DK367" i="31" s="1"/>
  <c r="GZ367" i="31"/>
  <c r="IE367" i="31" s="1"/>
  <c r="JO367" i="31"/>
  <c r="IO367" i="31"/>
  <c r="JP367" i="31" l="1"/>
  <c r="JQ367" i="31" s="1"/>
  <c r="KG367" i="31"/>
  <c r="BR367" i="31"/>
  <c r="BS367" i="31"/>
  <c r="EC367" i="31"/>
  <c r="FQ367" i="31"/>
  <c r="DM367" i="31"/>
  <c r="DX367" i="31"/>
  <c r="DL367" i="31" l="1"/>
  <c r="L368" i="31"/>
  <c r="EX367" i="31"/>
  <c r="M367" i="31" s="1"/>
  <c r="FB367" i="31"/>
  <c r="BT367" i="31"/>
  <c r="BU367" i="31"/>
  <c r="BV367" i="31" l="1"/>
  <c r="BW367" i="31" s="1"/>
  <c r="MJ367" i="31"/>
  <c r="NS367" i="31" s="1"/>
  <c r="MB367" i="31"/>
  <c r="NM367" i="31" s="1"/>
  <c r="NN367" i="31" s="1"/>
  <c r="BX367" i="31" l="1"/>
  <c r="BY367" i="31"/>
  <c r="OV368" i="31"/>
  <c r="NW367" i="31"/>
  <c r="NT367" i="31"/>
  <c r="OU368" i="31"/>
  <c r="BZ367" i="31" l="1"/>
  <c r="CA367" i="31"/>
  <c r="CB367" i="31" s="1"/>
  <c r="CC367" i="31" s="1"/>
  <c r="FV367" i="31"/>
  <c r="FR367" i="31"/>
  <c r="CX367" i="31"/>
  <c r="NU367" i="31"/>
  <c r="NX367" i="31"/>
  <c r="CD367" i="31" l="1"/>
  <c r="CE367" i="31"/>
  <c r="NV367" i="31"/>
  <c r="NZ367" i="31"/>
  <c r="MY367" i="31"/>
  <c r="CY368" i="31"/>
  <c r="NY367" i="31"/>
  <c r="OF367" i="31"/>
  <c r="OS368" i="31" s="1"/>
  <c r="CF367" i="31" l="1"/>
  <c r="CG367" i="31"/>
  <c r="OI367" i="31"/>
  <c r="OB367" i="31"/>
  <c r="OT368" i="31" s="1"/>
  <c r="OA367" i="31"/>
  <c r="MV368" i="31" s="1"/>
  <c r="OO368" i="31"/>
  <c r="NF368" i="31"/>
  <c r="OM368" i="31"/>
  <c r="MZ368" i="31"/>
  <c r="OZ367" i="31"/>
  <c r="CH367" i="31" l="1"/>
  <c r="CI367" i="31" s="1"/>
  <c r="OG368" i="31"/>
  <c r="KT368" i="31"/>
  <c r="PA367" i="31"/>
  <c r="OJ367" i="31"/>
  <c r="OC367" i="31"/>
  <c r="OD368" i="31" s="1"/>
  <c r="OH368" i="31" s="1"/>
  <c r="OX368" i="31"/>
  <c r="MR368" i="31"/>
  <c r="OW367" i="31"/>
  <c r="CJ367" i="31" l="1"/>
  <c r="CO367" i="31" s="1"/>
  <c r="CK367" i="31"/>
  <c r="CL367" i="31" s="1"/>
  <c r="MW368" i="31"/>
  <c r="OY368" i="31"/>
  <c r="KM368" i="31"/>
  <c r="KO369" i="31" s="1"/>
  <c r="KL368" i="31"/>
  <c r="KN369" i="31" s="1"/>
  <c r="KQ368" i="31" s="1"/>
  <c r="OK368" i="31"/>
  <c r="MS368" i="31"/>
  <c r="CM367" i="31" l="1"/>
  <c r="CN367" i="31" s="1"/>
  <c r="CP367" i="31" s="1"/>
  <c r="FH367" i="31" s="1"/>
  <c r="FI367" i="31" s="1"/>
  <c r="NJ368" i="31"/>
  <c r="NP368" i="31"/>
  <c r="MO368" i="31"/>
  <c r="MU368" i="31"/>
  <c r="NQ368" i="31"/>
  <c r="MT368" i="31"/>
  <c r="NH369" i="31"/>
  <c r="NI369" i="31" s="1"/>
  <c r="PE368" i="31"/>
  <c r="KP369" i="31"/>
  <c r="KR368" i="31"/>
  <c r="KS368" i="31" s="1"/>
  <c r="MX368" i="31"/>
  <c r="FU367" i="31" l="1"/>
  <c r="FW367" i="31" s="1"/>
  <c r="KU367" i="31"/>
  <c r="GO367" i="31"/>
  <c r="JR367" i="31"/>
  <c r="JS367" i="31" s="1"/>
  <c r="JU367" i="31" s="1"/>
  <c r="DQ367" i="31"/>
  <c r="DR367" i="31" s="1"/>
  <c r="DS367" i="31" s="1"/>
  <c r="AX367" i="31" s="1"/>
  <c r="AY368" i="31" s="1"/>
  <c r="HO367" i="31"/>
  <c r="HP367" i="31" s="1"/>
  <c r="FX367" i="31"/>
  <c r="FY367" i="31" s="1"/>
  <c r="FZ367" i="31"/>
  <c r="GA367" i="31" s="1"/>
  <c r="CQ367" i="31"/>
  <c r="CT367" i="31" s="1"/>
  <c r="KX367" i="31"/>
  <c r="GN367" i="31" s="1"/>
  <c r="KV367" i="31" s="1"/>
  <c r="GB367" i="31"/>
  <c r="GC367" i="31" s="1"/>
  <c r="FE367" i="31"/>
  <c r="FF367" i="31" s="1"/>
  <c r="FG368" i="31" s="1"/>
  <c r="FP367" i="31"/>
  <c r="FS367" i="31" s="1"/>
  <c r="HY367" i="31" s="1"/>
  <c r="NR368" i="31"/>
  <c r="NB368" i="31"/>
  <c r="NA368" i="31"/>
  <c r="HU367" i="31"/>
  <c r="HV368" i="31" s="1"/>
  <c r="FJ368" i="31"/>
  <c r="NL368" i="31"/>
  <c r="NK368" i="31"/>
  <c r="NG369" i="31"/>
  <c r="OQ369" i="31"/>
  <c r="KE367" i="31" l="1"/>
  <c r="JT368" i="31"/>
  <c r="KW368" i="31"/>
  <c r="HQ367" i="31"/>
  <c r="HR368" i="31" s="1"/>
  <c r="KC367" i="31"/>
  <c r="HA367" i="31"/>
  <c r="HW367" i="31"/>
  <c r="HX368" i="31" s="1"/>
  <c r="DY367" i="31"/>
  <c r="IZ367" i="31"/>
  <c r="IA367" i="31"/>
  <c r="IB367" i="31" s="1"/>
  <c r="GQ367" i="31"/>
  <c r="CR367" i="31"/>
  <c r="CS367" i="31"/>
  <c r="OR369" i="31"/>
  <c r="AZ367" i="31"/>
  <c r="EN367" i="31"/>
  <c r="EM367" i="31"/>
  <c r="EW367" i="31" s="1"/>
  <c r="NC369" i="31"/>
  <c r="MQ369" i="31"/>
  <c r="HT367" i="31"/>
  <c r="HS367" i="31"/>
  <c r="JG367" i="31" s="1"/>
  <c r="BB368" i="31" l="1"/>
  <c r="DW367" i="31"/>
  <c r="DU368" i="31" s="1"/>
  <c r="IW367" i="31"/>
  <c r="EQ367" i="31"/>
  <c r="ER368" i="31"/>
  <c r="IU367" i="31"/>
  <c r="IV367" i="31" s="1"/>
  <c r="IC367" i="31"/>
  <c r="ID367" i="31" s="1"/>
  <c r="IF367" i="31" s="1"/>
  <c r="KH367" i="31" s="1"/>
  <c r="JB367" i="31"/>
  <c r="KK367" i="31" l="1"/>
  <c r="KB367" i="31"/>
  <c r="IX367" i="31"/>
  <c r="EU368" i="31"/>
  <c r="IM367" i="31"/>
  <c r="DB367" i="31"/>
  <c r="DC367" i="31" s="1"/>
  <c r="DD368" i="31" s="1"/>
  <c r="DE369" i="31" s="1"/>
  <c r="GM367" i="31"/>
  <c r="KI368" i="31"/>
  <c r="IN367" i="31"/>
  <c r="DF367" i="31"/>
  <c r="BC368" i="31"/>
  <c r="GT369" i="31" l="1"/>
  <c r="KJ368" i="31"/>
  <c r="GR367" i="31"/>
  <c r="GV367" i="31"/>
  <c r="FD367" i="31"/>
  <c r="GU367" i="31"/>
  <c r="BD368" i="31"/>
  <c r="BE368" i="31"/>
  <c r="DT367" i="31"/>
  <c r="DZ367" i="31" s="1"/>
  <c r="IS367" i="31" l="1"/>
  <c r="FL368" i="31"/>
  <c r="GS367" i="31"/>
  <c r="BF368" i="31"/>
  <c r="BG368" i="31"/>
  <c r="BI368" i="31" l="1"/>
  <c r="BK368" i="31" s="1"/>
  <c r="BH368" i="31"/>
  <c r="FM368" i="31"/>
  <c r="GX367" i="31"/>
  <c r="GY367" i="31"/>
  <c r="GW367" i="31"/>
  <c r="HC367" i="31" s="1"/>
  <c r="FA368" i="31" s="1"/>
  <c r="HB368" i="31" s="1"/>
  <c r="JH367" i="31"/>
  <c r="JI367" i="31" s="1"/>
  <c r="IT367" i="31"/>
  <c r="BJ368" i="31" l="1"/>
  <c r="JK367" i="31"/>
  <c r="JM367" i="31" s="1"/>
  <c r="KD367" i="31" s="1"/>
  <c r="IL368" i="31" s="1"/>
  <c r="EY367" i="31"/>
  <c r="HM367" i="31"/>
  <c r="EG367" i="31"/>
  <c r="EH368" i="31" s="1"/>
  <c r="EI368" i="31" s="1"/>
  <c r="FK368" i="31" s="1"/>
  <c r="HK368" i="31"/>
  <c r="BL368" i="31"/>
  <c r="BM368" i="31"/>
  <c r="ED367" i="31" l="1"/>
  <c r="EB368" i="31" s="1"/>
  <c r="EE367" i="31"/>
  <c r="EF368" i="31" s="1"/>
  <c r="IP368" i="31" s="1"/>
  <c r="EJ367" i="31"/>
  <c r="EK368" i="31" s="1"/>
  <c r="EZ367" i="31"/>
  <c r="DG367" i="31"/>
  <c r="DH367" i="31" s="1"/>
  <c r="DI368" i="31" s="1"/>
  <c r="BO368" i="31"/>
  <c r="BN368" i="31"/>
  <c r="JZ367" i="31"/>
  <c r="KF367" i="31" s="1"/>
  <c r="IQ368" i="31" s="1"/>
  <c r="JL367" i="31"/>
  <c r="JJ368" i="31" s="1"/>
  <c r="KA368" i="31"/>
  <c r="JN367" i="31"/>
  <c r="JV367" i="31" s="1"/>
  <c r="JF368" i="31" s="1"/>
  <c r="IO368" i="31" l="1"/>
  <c r="HZ368" i="31"/>
  <c r="DP368" i="31"/>
  <c r="JC368" i="31"/>
  <c r="JD368" i="31"/>
  <c r="IR368" i="31"/>
  <c r="IY368" i="31"/>
  <c r="JE368" i="31"/>
  <c r="JX368" i="31" s="1"/>
  <c r="JA368" i="31"/>
  <c r="JO368" i="31"/>
  <c r="DJ368" i="31"/>
  <c r="DK368" i="31" s="1"/>
  <c r="GZ368" i="31"/>
  <c r="IE368" i="31" s="1"/>
  <c r="BP368" i="31"/>
  <c r="BQ368" i="31" s="1"/>
  <c r="JW368" i="31"/>
  <c r="JY368" i="31"/>
  <c r="EP368" i="31"/>
  <c r="ET369" i="31" s="1"/>
  <c r="EO368" i="31"/>
  <c r="ES369" i="31" s="1"/>
  <c r="FC368" i="31"/>
  <c r="EL368" i="31"/>
  <c r="EV368" i="31"/>
  <c r="JP368" i="31" l="1"/>
  <c r="JQ368" i="31" s="1"/>
  <c r="KG368" i="31"/>
  <c r="DM368" i="31"/>
  <c r="DX368" i="31"/>
  <c r="FQ368" i="31"/>
  <c r="BR368" i="31"/>
  <c r="BS368" i="31"/>
  <c r="EC368" i="31"/>
  <c r="BT368" i="31" l="1"/>
  <c r="BU368" i="31"/>
  <c r="BV368" i="31" s="1"/>
  <c r="EX368" i="31"/>
  <c r="M368" i="31" s="1"/>
  <c r="FB368" i="31"/>
  <c r="DL368" i="31"/>
  <c r="L369" i="31"/>
  <c r="BW368" i="31" l="1"/>
  <c r="BY368" i="31" s="1"/>
  <c r="MJ368" i="31"/>
  <c r="NS368" i="31" s="1"/>
  <c r="MB368" i="31"/>
  <c r="NM368" i="31" s="1"/>
  <c r="NN368" i="31" s="1"/>
  <c r="BX368" i="31" l="1"/>
  <c r="BZ368" i="31" s="1"/>
  <c r="OV369" i="31"/>
  <c r="NW368" i="31"/>
  <c r="NT368" i="31"/>
  <c r="OU369" i="31"/>
  <c r="CA368" i="31"/>
  <c r="FV368" i="31" l="1"/>
  <c r="FR368" i="31"/>
  <c r="CX368" i="31"/>
  <c r="NU368" i="31"/>
  <c r="CB368" i="31"/>
  <c r="CC368" i="31" s="1"/>
  <c r="NX368" i="31"/>
  <c r="CE368" i="31" l="1"/>
  <c r="CG368" i="31" s="1"/>
  <c r="CD368" i="31"/>
  <c r="NV368" i="31"/>
  <c r="NZ368" i="31"/>
  <c r="MY368" i="31"/>
  <c r="CY369" i="31"/>
  <c r="NY368" i="31"/>
  <c r="OF368" i="31"/>
  <c r="OS369" i="31" s="1"/>
  <c r="CF368" i="31" l="1"/>
  <c r="OI368" i="31"/>
  <c r="CH368" i="31"/>
  <c r="CI368" i="31" s="1"/>
  <c r="MR369" i="31"/>
  <c r="OW368" i="31"/>
  <c r="OX369" i="31"/>
  <c r="NF369" i="31"/>
  <c r="OO369" i="31"/>
  <c r="OM369" i="31"/>
  <c r="MZ369" i="31"/>
  <c r="OZ368" i="31"/>
  <c r="OB368" i="31"/>
  <c r="OT369" i="31" s="1"/>
  <c r="OA368" i="31"/>
  <c r="MV369" i="31" s="1"/>
  <c r="OG369" i="31" s="1"/>
  <c r="CJ368" i="31" l="1"/>
  <c r="CO368" i="31" s="1"/>
  <c r="CK368" i="31"/>
  <c r="CL368" i="31" s="1"/>
  <c r="KT369" i="31"/>
  <c r="PA368" i="31"/>
  <c r="OJ368" i="31"/>
  <c r="KM369" i="31"/>
  <c r="KO370" i="31" s="1"/>
  <c r="KL369" i="31"/>
  <c r="KN370" i="31" s="1"/>
  <c r="KQ369" i="31" s="1"/>
  <c r="OC368" i="31"/>
  <c r="OD369" i="31" s="1"/>
  <c r="OH369" i="31" s="1"/>
  <c r="OK369" i="31" s="1"/>
  <c r="MS369" i="31"/>
  <c r="CM368" i="31" l="1"/>
  <c r="CN368" i="31" s="1"/>
  <c r="CP368" i="31" s="1"/>
  <c r="MU369" i="31"/>
  <c r="NP369" i="31"/>
  <c r="NH370" i="31"/>
  <c r="NI370" i="31" s="1"/>
  <c r="MT369" i="31"/>
  <c r="MO369" i="31"/>
  <c r="NJ369" i="31"/>
  <c r="NQ369" i="31"/>
  <c r="NR369" i="31" s="1"/>
  <c r="PE369" i="31"/>
  <c r="KQ370" i="31"/>
  <c r="MW369" i="31"/>
  <c r="OY369" i="31"/>
  <c r="KP370" i="31"/>
  <c r="KR369" i="31"/>
  <c r="KR370" i="31" s="1"/>
  <c r="FZ368" i="31" l="1"/>
  <c r="GA368" i="31" s="1"/>
  <c r="FX368" i="31"/>
  <c r="FY368" i="31" s="1"/>
  <c r="JR368" i="31"/>
  <c r="JS368" i="31" s="1"/>
  <c r="FP368" i="31"/>
  <c r="FS368" i="31" s="1"/>
  <c r="DQ368" i="31"/>
  <c r="DR368" i="31" s="1"/>
  <c r="FU368" i="31"/>
  <c r="FW368" i="31" s="1"/>
  <c r="GB368" i="31"/>
  <c r="GC368" i="31" s="1"/>
  <c r="FH368" i="31"/>
  <c r="FI368" i="31" s="1"/>
  <c r="GO368" i="31"/>
  <c r="HO368" i="31"/>
  <c r="FE368" i="31"/>
  <c r="FF368" i="31" s="1"/>
  <c r="CQ368" i="31"/>
  <c r="KX368" i="31"/>
  <c r="KU368" i="31"/>
  <c r="NL369" i="31"/>
  <c r="NK369" i="31"/>
  <c r="NG370" i="31"/>
  <c r="OQ370" i="31"/>
  <c r="OR370" i="31" s="1"/>
  <c r="KS369" i="31"/>
  <c r="MX369" i="31"/>
  <c r="KS370" i="31"/>
  <c r="GN368" i="31" l="1"/>
  <c r="GQ368" i="31" s="1"/>
  <c r="HU368" i="31"/>
  <c r="HV369" i="31" s="1"/>
  <c r="FJ369" i="31"/>
  <c r="DS368" i="31"/>
  <c r="AX368" i="31" s="1"/>
  <c r="AY369" i="31" s="1"/>
  <c r="HY368" i="31"/>
  <c r="HA368" i="31"/>
  <c r="DY368" i="31"/>
  <c r="NC370" i="31"/>
  <c r="MQ370" i="31"/>
  <c r="CR368" i="31"/>
  <c r="CT368" i="31"/>
  <c r="CS368" i="31"/>
  <c r="HW368" i="31"/>
  <c r="HX369" i="31" s="1"/>
  <c r="FG369" i="31"/>
  <c r="JU368" i="31"/>
  <c r="KC368" i="31"/>
  <c r="JT369" i="31"/>
  <c r="KE368" i="31"/>
  <c r="NB369" i="31"/>
  <c r="NA369" i="31"/>
  <c r="IA368" i="31"/>
  <c r="IB368" i="31" s="1"/>
  <c r="HP368" i="31"/>
  <c r="IZ368" i="31"/>
  <c r="KV368" i="31" l="1"/>
  <c r="KW369" i="31" s="1"/>
  <c r="HQ368" i="31"/>
  <c r="HR369" i="31" s="1"/>
  <c r="EM368" i="31"/>
  <c r="EW368" i="31" s="1"/>
  <c r="EN368" i="31"/>
  <c r="AZ368" i="31"/>
  <c r="HS368" i="31"/>
  <c r="JG368" i="31" s="1"/>
  <c r="HT368" i="31"/>
  <c r="BB369" i="31" l="1"/>
  <c r="EQ368" i="31"/>
  <c r="IW368" i="31"/>
  <c r="DW368" i="31"/>
  <c r="DU369" i="31" s="1"/>
  <c r="ER369" i="31"/>
  <c r="IU368" i="31"/>
  <c r="IV368" i="31" s="1"/>
  <c r="IC368" i="31"/>
  <c r="ID368" i="31" s="1"/>
  <c r="IF368" i="31" s="1"/>
  <c r="KH368" i="31" s="1"/>
  <c r="JB368" i="31"/>
  <c r="KK368" i="31" l="1"/>
  <c r="KB368" i="31"/>
  <c r="IX368" i="31"/>
  <c r="EU369" i="31"/>
  <c r="BC369" i="31"/>
  <c r="GM368" i="31"/>
  <c r="DB368" i="31"/>
  <c r="DC368" i="31" s="1"/>
  <c r="DD369" i="31" s="1"/>
  <c r="DE370" i="31" s="1"/>
  <c r="IM368" i="31"/>
  <c r="KI369" i="31"/>
  <c r="IN368" i="31"/>
  <c r="DF368" i="31"/>
  <c r="GT370" i="31" l="1"/>
  <c r="DT368" i="31"/>
  <c r="DZ368" i="31" s="1"/>
  <c r="FD368" i="31"/>
  <c r="GV368" i="31"/>
  <c r="GU368" i="31"/>
  <c r="KJ369" i="31"/>
  <c r="GR368" i="31"/>
  <c r="BD369" i="31"/>
  <c r="BE369" i="31"/>
  <c r="IS368" i="31" l="1"/>
  <c r="FL369" i="31"/>
  <c r="BF369" i="31"/>
  <c r="BG369" i="31"/>
  <c r="GS368" i="31"/>
  <c r="GY368" i="31" l="1"/>
  <c r="GX368" i="31"/>
  <c r="GW368" i="31"/>
  <c r="HC368" i="31" s="1"/>
  <c r="FA369" i="31" s="1"/>
  <c r="HB369" i="31" s="1"/>
  <c r="BI369" i="31"/>
  <c r="BK369" i="31" s="1"/>
  <c r="BH369" i="31"/>
  <c r="FM369" i="31"/>
  <c r="JH368" i="31"/>
  <c r="JI368" i="31" s="1"/>
  <c r="IT368" i="31"/>
  <c r="BL369" i="31" l="1"/>
  <c r="BM369" i="31"/>
  <c r="BJ369" i="31"/>
  <c r="JK368" i="31"/>
  <c r="JZ368" i="31" s="1"/>
  <c r="KF368" i="31" s="1"/>
  <c r="IQ369" i="31" s="1"/>
  <c r="HM368" i="31"/>
  <c r="EG368" i="31"/>
  <c r="EH369" i="31" s="1"/>
  <c r="EI369" i="31" s="1"/>
  <c r="FK369" i="31" s="1"/>
  <c r="EY368" i="31"/>
  <c r="HK369" i="31"/>
  <c r="JN368" i="31" l="1"/>
  <c r="JV368" i="31" s="1"/>
  <c r="JF369" i="31" s="1"/>
  <c r="JY369" i="31" s="1"/>
  <c r="BN369" i="31"/>
  <c r="BO369" i="31"/>
  <c r="JM368" i="31"/>
  <c r="KD368" i="31" s="1"/>
  <c r="IL369" i="31" s="1"/>
  <c r="JL368" i="31"/>
  <c r="JJ369" i="31" s="1"/>
  <c r="KA369" i="31"/>
  <c r="EZ368" i="31"/>
  <c r="DG368" i="31"/>
  <c r="DH368" i="31" s="1"/>
  <c r="DI369" i="31" s="1"/>
  <c r="EE368" i="31"/>
  <c r="EF369" i="31" s="1"/>
  <c r="ED368" i="31"/>
  <c r="EB369" i="31" s="1"/>
  <c r="EJ368" i="31"/>
  <c r="EK369" i="31" s="1"/>
  <c r="JW369" i="31" l="1"/>
  <c r="EL369" i="31"/>
  <c r="EO369" i="31"/>
  <c r="ES370" i="31" s="1"/>
  <c r="B43" i="1" s="1"/>
  <c r="D43" i="1" s="1"/>
  <c r="FC369" i="31"/>
  <c r="EP369" i="31"/>
  <c r="ET370" i="31" s="1"/>
  <c r="B44" i="1" s="1"/>
  <c r="D44" i="1" s="1"/>
  <c r="EV369" i="31"/>
  <c r="JC369" i="31"/>
  <c r="JD369" i="31"/>
  <c r="BP369" i="31"/>
  <c r="BQ369" i="31" s="1"/>
  <c r="IO369" i="31"/>
  <c r="IP369" i="31"/>
  <c r="DJ369" i="31"/>
  <c r="DK369" i="31" s="1"/>
  <c r="GZ369" i="31"/>
  <c r="IE369" i="31" s="1"/>
  <c r="DP369" i="31"/>
  <c r="JE369" i="31"/>
  <c r="JX369" i="31" s="1"/>
  <c r="IY369" i="31"/>
  <c r="JO369" i="31"/>
  <c r="HZ369" i="31"/>
  <c r="JA369" i="31"/>
  <c r="IR369" i="31"/>
  <c r="BR369" i="31" l="1"/>
  <c r="BS369" i="31"/>
  <c r="BT369" i="31" s="1"/>
  <c r="JP369" i="31"/>
  <c r="JQ369" i="31" s="1"/>
  <c r="KG369" i="31"/>
  <c r="FQ369" i="31"/>
  <c r="DM369" i="31"/>
  <c r="DX369" i="31"/>
  <c r="EC369" i="31"/>
  <c r="BU369" i="31" l="1"/>
  <c r="BV369" i="31" s="1"/>
  <c r="BW369" i="31" s="1"/>
  <c r="EX369" i="31"/>
  <c r="M369" i="31" s="1"/>
  <c r="FB369" i="31"/>
  <c r="DL369" i="31"/>
  <c r="L370" i="31"/>
  <c r="BX369" i="31" l="1"/>
  <c r="BY369" i="31"/>
  <c r="CA369" i="31" s="1"/>
  <c r="MJ369" i="31"/>
  <c r="NS369" i="31" s="1"/>
  <c r="MB369" i="31"/>
  <c r="NM369" i="31" s="1"/>
  <c r="NN369" i="31" s="1"/>
  <c r="BZ369" i="31" l="1"/>
  <c r="CB369" i="31"/>
  <c r="CC369" i="31" s="1"/>
  <c r="OV370" i="31"/>
  <c r="NW369" i="31"/>
  <c r="NT369" i="31"/>
  <c r="OU370" i="31"/>
  <c r="B51" i="1" s="1"/>
  <c r="CD369" i="31" l="1"/>
  <c r="CE369" i="31"/>
  <c r="FV369" i="31"/>
  <c r="CX369" i="31"/>
  <c r="FR369" i="31"/>
  <c r="NU369" i="31"/>
  <c r="NX369" i="31"/>
  <c r="CF369" i="31" l="1"/>
  <c r="CG369" i="31"/>
  <c r="CH369" i="31" s="1"/>
  <c r="NV369" i="31"/>
  <c r="NY369" i="31"/>
  <c r="OF369" i="31"/>
  <c r="OS370" i="31" s="1"/>
  <c r="MY369" i="31"/>
  <c r="NZ369" i="31"/>
  <c r="CY370" i="31"/>
  <c r="CI369" i="31" l="1"/>
  <c r="OB369" i="31"/>
  <c r="OT370" i="31" s="1"/>
  <c r="OA369" i="31"/>
  <c r="MV370" i="31" s="1"/>
  <c r="OI369" i="31"/>
  <c r="NF370" i="31"/>
  <c r="OM370" i="31"/>
  <c r="OO370" i="31"/>
  <c r="MZ370" i="31"/>
  <c r="OZ369" i="31"/>
  <c r="CJ369" i="31" l="1"/>
  <c r="CO369" i="31" s="1"/>
  <c r="CK369" i="31"/>
  <c r="OX370" i="31"/>
  <c r="MR370" i="31"/>
  <c r="OW369" i="31"/>
  <c r="KT370" i="31"/>
  <c r="OG370" i="31"/>
  <c r="OC369" i="31"/>
  <c r="OD370" i="31" s="1"/>
  <c r="OH370" i="31" s="1"/>
  <c r="PA369" i="31"/>
  <c r="OJ369" i="31"/>
  <c r="CM369" i="31" l="1"/>
  <c r="CN369" i="31" s="1"/>
  <c r="CL369" i="31"/>
  <c r="OK370" i="31"/>
  <c r="KM370" i="31"/>
  <c r="KL370" i="31"/>
  <c r="MS370" i="31"/>
  <c r="OY370" i="31"/>
  <c r="MW370" i="31"/>
  <c r="CP369" i="31" l="1"/>
  <c r="FP369" i="31" s="1"/>
  <c r="FS369" i="31" s="1"/>
  <c r="HY369" i="31" s="1"/>
  <c r="MX370" i="31"/>
  <c r="NJ370" i="31"/>
  <c r="MT370" i="31"/>
  <c r="NQ370" i="31"/>
  <c r="MO370" i="31"/>
  <c r="MU370" i="31"/>
  <c r="NP370" i="31"/>
  <c r="PE370" i="31"/>
  <c r="KU369" i="31" l="1"/>
  <c r="DY369" i="31"/>
  <c r="HA369" i="31"/>
  <c r="FX369" i="31"/>
  <c r="FY369" i="31" s="1"/>
  <c r="FU369" i="31"/>
  <c r="FW369" i="31" s="1"/>
  <c r="FZ369" i="31"/>
  <c r="GA369" i="31" s="1"/>
  <c r="GB369" i="31"/>
  <c r="GC369" i="31" s="1"/>
  <c r="FH369" i="31"/>
  <c r="FI369" i="31" s="1"/>
  <c r="JR369" i="31"/>
  <c r="JS369" i="31" s="1"/>
  <c r="DQ369" i="31"/>
  <c r="DR369" i="31" s="1"/>
  <c r="DS369" i="31" s="1"/>
  <c r="AX369" i="31" s="1"/>
  <c r="AY370" i="31" s="1"/>
  <c r="HO369" i="31"/>
  <c r="CQ369" i="31"/>
  <c r="FE369" i="31"/>
  <c r="FF369" i="31" s="1"/>
  <c r="GO369" i="31"/>
  <c r="KX369" i="31"/>
  <c r="GN369" i="31" s="1"/>
  <c r="NR370" i="31"/>
  <c r="NA370" i="31"/>
  <c r="NB370" i="31"/>
  <c r="NK370" i="31"/>
  <c r="NL370" i="31"/>
  <c r="B12" i="1"/>
  <c r="C32" i="1" s="1"/>
  <c r="EN369" i="31" l="1"/>
  <c r="BB370" i="31" s="1"/>
  <c r="AZ369" i="31"/>
  <c r="EM369" i="31"/>
  <c r="EW369" i="31" s="1"/>
  <c r="GQ369" i="31"/>
  <c r="KV369" i="31"/>
  <c r="CR369" i="31"/>
  <c r="CT369" i="31"/>
  <c r="CS369" i="31"/>
  <c r="IA369" i="31"/>
  <c r="IB369" i="31" s="1"/>
  <c r="HP369" i="31"/>
  <c r="IZ369" i="31"/>
  <c r="JU369" i="31"/>
  <c r="KC369" i="31"/>
  <c r="JT370" i="31"/>
  <c r="KE369" i="31"/>
  <c r="FG370" i="31"/>
  <c r="HW369" i="31"/>
  <c r="HX370" i="31" s="1"/>
  <c r="HU369" i="31"/>
  <c r="HV370" i="31" s="1"/>
  <c r="FJ370" i="31"/>
  <c r="KW370" i="31" l="1"/>
  <c r="HQ369" i="31"/>
  <c r="HR370" i="31" s="1"/>
  <c r="IU369" i="31"/>
  <c r="IV369" i="31" s="1"/>
  <c r="KK369" i="31" s="1"/>
  <c r="ER370" i="31"/>
  <c r="EU370" i="31" s="1"/>
  <c r="EQ369" i="31"/>
  <c r="IW369" i="31"/>
  <c r="DW369" i="31"/>
  <c r="DU370" i="31" s="1"/>
  <c r="HS369" i="31"/>
  <c r="JG369" i="31" s="1"/>
  <c r="HT369" i="31"/>
  <c r="B42" i="1"/>
  <c r="BC370" i="31"/>
  <c r="IX369" i="31" l="1"/>
  <c r="KB369" i="31"/>
  <c r="JB369" i="31"/>
  <c r="IC369" i="31"/>
  <c r="ID369" i="31" s="1"/>
  <c r="IF369" i="31" s="1"/>
  <c r="KH369" i="31" s="1"/>
  <c r="B45" i="1"/>
  <c r="D45" i="1" s="1"/>
  <c r="D42" i="1"/>
  <c r="BD370" i="31"/>
  <c r="BE370" i="31"/>
  <c r="DB369" i="31" l="1"/>
  <c r="DC369" i="31" s="1"/>
  <c r="DD370" i="31" s="1"/>
  <c r="IM369" i="31"/>
  <c r="KI370" i="31"/>
  <c r="KJ370" i="31" s="1"/>
  <c r="DF369" i="31"/>
  <c r="IN369" i="31"/>
  <c r="GM369" i="31"/>
  <c r="B54" i="1"/>
  <c r="BG370" i="31"/>
  <c r="BF370" i="31"/>
  <c r="DT369" i="31" l="1"/>
  <c r="DZ369" i="31" s="1"/>
  <c r="GR369" i="31"/>
  <c r="GV369" i="31"/>
  <c r="FD369" i="31"/>
  <c r="GU369" i="31"/>
  <c r="BI370" i="31"/>
  <c r="BK370" i="31" s="1"/>
  <c r="BH370" i="31"/>
  <c r="FL370" i="31" l="1"/>
  <c r="FM370" i="31" s="1"/>
  <c r="IS369" i="31"/>
  <c r="GS369" i="31"/>
  <c r="BL370" i="31"/>
  <c r="BM370" i="31"/>
  <c r="BJ370" i="31"/>
  <c r="GW369" i="31" l="1"/>
  <c r="HC369" i="31" s="1"/>
  <c r="FA370" i="31" s="1"/>
  <c r="HB370" i="31" s="1"/>
  <c r="GX369" i="31"/>
  <c r="GY369" i="31"/>
  <c r="JH369" i="31"/>
  <c r="JI369" i="31" s="1"/>
  <c r="JK369" i="31" s="1"/>
  <c r="JZ369" i="31" s="1"/>
  <c r="KF369" i="31" s="1"/>
  <c r="IQ370" i="31" s="1"/>
  <c r="IT369" i="31"/>
  <c r="BO370" i="31"/>
  <c r="BN370" i="31"/>
  <c r="KA370" i="31" l="1"/>
  <c r="HZ370" i="31" s="1"/>
  <c r="JM369" i="31"/>
  <c r="KD369" i="31" s="1"/>
  <c r="IL370" i="31" s="1"/>
  <c r="IR370" i="31" s="1"/>
  <c r="JL369" i="31"/>
  <c r="JJ370" i="31" s="1"/>
  <c r="JN369" i="31"/>
  <c r="JV369" i="31" s="1"/>
  <c r="JF370" i="31" s="1"/>
  <c r="EG369" i="31"/>
  <c r="EH370" i="31" s="1"/>
  <c r="EI370" i="31" s="1"/>
  <c r="FK370" i="31" s="1"/>
  <c r="EY369" i="31"/>
  <c r="HK370" i="31"/>
  <c r="B46" i="1" s="1"/>
  <c r="B53" i="1" s="1"/>
  <c r="HM369" i="31"/>
  <c r="BP370" i="31"/>
  <c r="BQ370" i="31"/>
  <c r="JE370" i="31" l="1"/>
  <c r="JO370" i="31"/>
  <c r="JY370" i="31"/>
  <c r="ED369" i="31"/>
  <c r="EB370" i="31" s="1"/>
  <c r="EE369" i="31"/>
  <c r="EF370" i="31" s="1"/>
  <c r="EJ369" i="31"/>
  <c r="EK370" i="31" s="1"/>
  <c r="JW370" i="31"/>
  <c r="EZ369" i="31"/>
  <c r="DG369" i="31"/>
  <c r="DH369" i="31" s="1"/>
  <c r="DI370" i="31" s="1"/>
  <c r="BR370" i="31"/>
  <c r="BS370" i="31"/>
  <c r="DP370" i="31" l="1"/>
  <c r="GZ370" i="31"/>
  <c r="DJ370" i="31"/>
  <c r="DK370" i="31" s="1"/>
  <c r="IO370" i="31"/>
  <c r="IP370" i="31"/>
  <c r="JC370" i="31"/>
  <c r="JD370" i="31"/>
  <c r="IY370" i="31"/>
  <c r="FC370" i="31"/>
  <c r="EV370" i="31"/>
  <c r="JA370" i="31"/>
  <c r="EO370" i="31"/>
  <c r="EL370" i="31"/>
  <c r="EP370" i="31"/>
  <c r="BT370" i="31"/>
  <c r="BU370" i="31"/>
  <c r="JX370" i="31" l="1"/>
  <c r="EC370" i="31"/>
  <c r="DX370" i="31"/>
  <c r="FQ370" i="31"/>
  <c r="B47" i="1"/>
  <c r="DM370" i="31"/>
  <c r="DL370" i="31" s="1"/>
  <c r="JP370" i="31"/>
  <c r="JQ370" i="31" s="1"/>
  <c r="IE370" i="31"/>
  <c r="KG370" i="31"/>
  <c r="BV370" i="31"/>
  <c r="BW370" i="31" s="1"/>
  <c r="MB370" i="31" l="1"/>
  <c r="NM370" i="31" s="1"/>
  <c r="NN370" i="31" s="1"/>
  <c r="MJ370" i="31"/>
  <c r="FB370" i="31"/>
  <c r="EX370" i="31"/>
  <c r="M370" i="31" s="1"/>
  <c r="BX370" i="31"/>
  <c r="BY370" i="31"/>
  <c r="NS370" i="31" l="1"/>
  <c r="NT370" i="31" s="1"/>
  <c r="BZ370" i="31"/>
  <c r="CA370" i="31"/>
  <c r="CB370" i="31" s="1"/>
  <c r="CC370" i="31" s="1"/>
  <c r="NW370" i="31" l="1"/>
  <c r="NX370" i="31" s="1"/>
  <c r="NY370" i="31" s="1"/>
  <c r="OB370" i="31" s="1"/>
  <c r="CX370" i="31"/>
  <c r="FR370" i="31"/>
  <c r="FV370" i="31"/>
  <c r="NU370" i="31"/>
  <c r="NV370" i="31" s="1"/>
  <c r="CD370" i="31"/>
  <c r="CE370" i="31"/>
  <c r="OF370" i="31" l="1"/>
  <c r="MY370" i="31"/>
  <c r="NZ370" i="31"/>
  <c r="CF370" i="31"/>
  <c r="CG370" i="31"/>
  <c r="CH370" i="31" s="1"/>
  <c r="OA370" i="31" l="1"/>
  <c r="OC370" i="31"/>
  <c r="OJ370" i="31"/>
  <c r="OI370" i="31"/>
  <c r="OW370" i="31" s="1"/>
  <c r="PA370" i="31"/>
  <c r="OZ370" i="31"/>
  <c r="CI370" i="31"/>
  <c r="CJ370" i="31" l="1"/>
  <c r="CO370" i="31" s="1"/>
  <c r="CK370" i="31"/>
  <c r="CL370" i="31" l="1"/>
  <c r="CM370" i="31"/>
  <c r="CN370" i="31" s="1"/>
  <c r="CP370" i="31" l="1"/>
  <c r="FU370" i="31" l="1"/>
  <c r="FZ370" i="31"/>
  <c r="FX370" i="31"/>
  <c r="GB370" i="31"/>
  <c r="DQ370" i="31"/>
  <c r="DR370" i="31" s="1"/>
  <c r="DS370" i="31" s="1"/>
  <c r="AX370" i="31" s="1"/>
  <c r="FP370" i="31"/>
  <c r="FS370" i="31" s="1"/>
  <c r="HO370" i="31"/>
  <c r="KX370" i="31"/>
  <c r="GN370" i="31" s="1"/>
  <c r="JR370" i="31"/>
  <c r="JS370" i="31" s="1"/>
  <c r="CQ370" i="31"/>
  <c r="GO370" i="31"/>
  <c r="FH370" i="31"/>
  <c r="FI370" i="31" s="1"/>
  <c r="HU370" i="31" s="1"/>
  <c r="FE370" i="31"/>
  <c r="FF370" i="31" s="1"/>
  <c r="HW370" i="31" s="1"/>
  <c r="KU370" i="31"/>
  <c r="EN370" i="31" l="1"/>
  <c r="IW370" i="31" s="1"/>
  <c r="EM370" i="31"/>
  <c r="EW370" i="31" s="1"/>
  <c r="GC370" i="31"/>
  <c r="C38" i="1"/>
  <c r="C36" i="1"/>
  <c r="FY370" i="31"/>
  <c r="C37" i="1"/>
  <c r="GA370" i="31"/>
  <c r="AZ370" i="31"/>
  <c r="C35" i="1"/>
  <c r="FW370" i="31"/>
  <c r="CT370" i="31"/>
  <c r="CR370" i="31"/>
  <c r="CS370" i="31"/>
  <c r="JU370" i="31"/>
  <c r="KC370" i="31"/>
  <c r="KE370" i="31"/>
  <c r="IA370" i="31"/>
  <c r="IB370" i="31" s="1"/>
  <c r="HP370" i="31"/>
  <c r="IZ370" i="31"/>
  <c r="GQ370" i="31"/>
  <c r="KV370" i="31"/>
  <c r="HQ370" i="31" s="1"/>
  <c r="HA370" i="31"/>
  <c r="DY370" i="31"/>
  <c r="HY370" i="31"/>
  <c r="DW370" i="31"/>
  <c r="C20" i="1"/>
  <c r="D20" i="1" s="1"/>
  <c r="IU370" i="31" l="1"/>
  <c r="IV370" i="31" s="1"/>
  <c r="KK370" i="31" s="1"/>
  <c r="EQ370" i="31"/>
  <c r="HT370" i="31"/>
  <c r="HS370" i="31"/>
  <c r="JG370" i="31" s="1"/>
  <c r="KB370" i="31" l="1"/>
  <c r="IX370" i="31"/>
  <c r="JB370" i="31"/>
  <c r="IC370" i="31"/>
  <c r="ID370" i="31" s="1"/>
  <c r="IF370" i="31" s="1"/>
  <c r="KH370" i="31" s="1"/>
  <c r="IM370" i="31" l="1"/>
  <c r="IN370" i="31"/>
  <c r="DF370" i="31"/>
  <c r="DB370" i="31"/>
  <c r="DC370" i="31" s="1"/>
  <c r="GM370" i="31"/>
  <c r="DT370" i="31" l="1"/>
  <c r="DZ370" i="31" s="1"/>
  <c r="FD370" i="31"/>
  <c r="GV370" i="31"/>
  <c r="GU370" i="31"/>
  <c r="GR370" i="31"/>
  <c r="GS370" i="31" l="1"/>
  <c r="IS370" i="31"/>
  <c r="FD371" i="31"/>
  <c r="IT370" i="31" l="1"/>
  <c r="JH370" i="31"/>
  <c r="JI370" i="31" s="1"/>
  <c r="JK370" i="31" s="1"/>
  <c r="JN370" i="31" s="1"/>
  <c r="JV370" i="31" s="1"/>
  <c r="GW370" i="31"/>
  <c r="HC370" i="31" s="1"/>
  <c r="GY370" i="31"/>
  <c r="GX370" i="31"/>
  <c r="B50" i="1"/>
  <c r="B49" i="1"/>
  <c r="JM370" i="31" l="1"/>
  <c r="KD370" i="31" s="1"/>
  <c r="JZ370" i="31"/>
  <c r="KF370" i="31" s="1"/>
  <c r="C25" i="1"/>
  <c r="B52" i="1" s="1"/>
  <c r="EG370" i="31"/>
  <c r="EY370" i="31"/>
  <c r="HM370" i="31"/>
  <c r="JL370" i="31"/>
  <c r="EE370" i="31" l="1"/>
  <c r="EJ370" i="31"/>
  <c r="ED370" i="31"/>
  <c r="DG370" i="31"/>
  <c r="DH370" i="31" s="1"/>
  <c r="EZ370"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Giannitsopoulos, Michail</author>
  </authors>
  <commentList>
    <comment ref="B16" authorId="0" shapeId="0" xr:uid="{00000000-0006-0000-0200-000001000000}">
      <text>
        <r>
          <rPr>
            <b/>
            <sz val="9"/>
            <color indexed="81"/>
            <rFont val="Tahoma"/>
            <family val="2"/>
          </rPr>
          <t>Michail:</t>
        </r>
        <r>
          <rPr>
            <sz val="9"/>
            <color indexed="81"/>
            <rFont val="Tahoma"/>
            <family val="2"/>
          </rPr>
          <t xml:space="preserve">
=VLOOKUP(Weather_Data!$B$4,'CO2-data'!A2:B63,2)</t>
        </r>
      </text>
    </comment>
    <comment ref="B36" authorId="0" shapeId="0" xr:uid="{00000000-0006-0000-0200-000002000000}">
      <text>
        <r>
          <rPr>
            <b/>
            <sz val="9"/>
            <color indexed="81"/>
            <rFont val="Tahoma"/>
            <family val="2"/>
          </rPr>
          <t>Michail:</t>
        </r>
        <r>
          <rPr>
            <sz val="9"/>
            <color indexed="81"/>
            <rFont val="Tahoma"/>
            <family val="2"/>
          </rPr>
          <t xml:space="preserve">
Default LINGRA-N values
FLTB: 1
FRTB: 0.165
FSTB: 0
FOTB: 0</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Giannitsopoulos, Michail</author>
  </authors>
  <commentList>
    <comment ref="X4" authorId="0" shapeId="0" xr:uid="{00000000-0006-0000-0300-000001000000}">
      <text>
        <r>
          <rPr>
            <b/>
            <sz val="9"/>
            <color indexed="81"/>
            <rFont val="Tahoma"/>
            <family val="2"/>
          </rPr>
          <t>Giannitsopoulos, Michail:</t>
        </r>
        <r>
          <rPr>
            <sz val="9"/>
            <color indexed="81"/>
            <rFont val="Tahoma"/>
            <family val="2"/>
          </rPr>
          <t xml:space="preserve">
Another equation used compared to BEgraS</t>
        </r>
      </text>
    </comment>
  </commentList>
</comments>
</file>

<file path=xl/sharedStrings.xml><?xml version="1.0" encoding="utf-8"?>
<sst xmlns="http://schemas.openxmlformats.org/spreadsheetml/2006/main" count="1241" uniqueCount="885">
  <si>
    <t>m-2</t>
  </si>
  <si>
    <t>(°C)</t>
  </si>
  <si>
    <t>Day</t>
  </si>
  <si>
    <t>Month</t>
  </si>
  <si>
    <t>Year</t>
  </si>
  <si>
    <t>Max air temp</t>
  </si>
  <si>
    <t>Min air temp</t>
  </si>
  <si>
    <t>Julian day</t>
  </si>
  <si>
    <t>Solar declination</t>
  </si>
  <si>
    <t>equator</t>
  </si>
  <si>
    <t>MJ m-2</t>
  </si>
  <si>
    <t>(radians)</t>
  </si>
  <si>
    <t>(mm)</t>
  </si>
  <si>
    <t>Nitrogen</t>
  </si>
  <si>
    <t>Initial leaf area index</t>
  </si>
  <si>
    <t>Initial conditions and run control</t>
  </si>
  <si>
    <t xml:space="preserve">LAII   </t>
  </si>
  <si>
    <t xml:space="preserve">TILLI </t>
  </si>
  <si>
    <t xml:space="preserve">WREI </t>
  </si>
  <si>
    <t xml:space="preserve">KDIF </t>
  </si>
  <si>
    <t>LAICR</t>
  </si>
  <si>
    <t>Specific leaf area</t>
  </si>
  <si>
    <t>(%)</t>
  </si>
  <si>
    <t>TMBAS1</t>
  </si>
  <si>
    <t>DRATE</t>
  </si>
  <si>
    <t xml:space="preserve">WCAD </t>
  </si>
  <si>
    <t>WCWET</t>
  </si>
  <si>
    <t>Initial root depth</t>
  </si>
  <si>
    <t>Initial weight of storage carbohydrates</t>
  </si>
  <si>
    <t>PI</t>
  </si>
  <si>
    <t>RAD</t>
  </si>
  <si>
    <t>Number of harvests</t>
  </si>
  <si>
    <t>Specified dates?</t>
  </si>
  <si>
    <t>Specified interval</t>
  </si>
  <si>
    <t>Start date</t>
  </si>
  <si>
    <t>End date</t>
  </si>
  <si>
    <t>Interval (d)</t>
  </si>
  <si>
    <t>DATE</t>
  </si>
  <si>
    <t>TASK</t>
  </si>
  <si>
    <t>Started to translate each LINGRA parameter as a single column in the Calculations-LINGRA sheet</t>
  </si>
  <si>
    <t>Mike downloaded the LINGRA-new-JRC-orig.R version of the model and started to include its parameters along with the input values, in the Summary sheet. At present, weather data are from Weir et al AFRC model</t>
  </si>
  <si>
    <t>Maximum site filling new buds (FSMAX)</t>
  </si>
  <si>
    <t>Initial soil temperature</t>
  </si>
  <si>
    <t>Effective temperature (daily temperature above 0 degrees Celcius; TMEFF)</t>
  </si>
  <si>
    <t>Days after harvest (DAHA)</t>
  </si>
  <si>
    <t>d</t>
  </si>
  <si>
    <t>kg ha-1</t>
  </si>
  <si>
    <t>Dry weight of storage carbonhydrates (WRE)</t>
  </si>
  <si>
    <t>Length of leaves (LENGTH)</t>
  </si>
  <si>
    <t>(cm)</t>
  </si>
  <si>
    <t>ha kg-1</t>
  </si>
  <si>
    <t>Rainfall</t>
  </si>
  <si>
    <t>LHVAP</t>
  </si>
  <si>
    <t>mm</t>
  </si>
  <si>
    <t>12 Dec 18</t>
  </si>
  <si>
    <t>11 Dec 18</t>
  </si>
  <si>
    <t>7 Dec 18</t>
  </si>
  <si>
    <t>Mike inlcuded all the parameters shown in the R version of LINGRA into this Excel. However, Penman equation is not used. Barrett Eq.2 is now inlcuded instead and calculated in this excel file. Eq.2 considers only PAR and temperature for calculating ET. Drainage, Ruoff, Irrigation, SOILTMP (i+1) along with RSOITM were also calculated.</t>
  </si>
  <si>
    <t>Total intercepted photosynthetically active radiation (PARINT)</t>
  </si>
  <si>
    <t>13 Dec 18</t>
  </si>
  <si>
    <t>Calculated the Reduction in light use effficiency due to temperature and solar radiation. These are the LUERD1 and LUERD2 equations from the R version (into the rate variables section). PARINT and LUE1</t>
  </si>
  <si>
    <t>Reduction factor for transpiration and crop growth due to drought/wetness (TRANRF)</t>
  </si>
  <si>
    <t>Number of tillers (TILLER)</t>
  </si>
  <si>
    <t>Relative death rate of tillers due to self shading (DTILD)</t>
  </si>
  <si>
    <t>ha ha-1 d-1</t>
  </si>
  <si>
    <t>Rate of change of dry weight of green leaves due to growth and senescence of leaves or periodical harvest (GLV)</t>
  </si>
  <si>
    <t>Change in green leaf weight (RLV)</t>
  </si>
  <si>
    <t>Source limited crop growth rate plus available reserves (GTWSO2)</t>
  </si>
  <si>
    <t>Relative death rate of leaf area due to shading (RDRSH)</t>
  </si>
  <si>
    <t>The FRT (Fraction assimilates to root) uses TRANRF which is the reduction factor for transpiration and crop growth due to drought/wetness. Equation in line 437 used and instead of transpiration, ET was used.</t>
  </si>
  <si>
    <t>20 min catch up with Paul about LINGRA. We went through the death rate of leaves due to self-shading and drought stress plus the RDRS &amp; the RDR</t>
  </si>
  <si>
    <t>Harvest date</t>
  </si>
  <si>
    <t>Conversion to total sink limited carbon demand (GTWSI)</t>
  </si>
  <si>
    <t>(g m-2)</t>
  </si>
  <si>
    <t xml:space="preserve">Mike managed to inlcude every parameter from R into spreadsheet format. Issues: harvest is not yet working properly, LAI gets negative at some point. </t>
  </si>
  <si>
    <t>DAYL</t>
  </si>
  <si>
    <t>DEC</t>
  </si>
  <si>
    <t>INCUT</t>
  </si>
  <si>
    <t>Corrected LAI negative values. There was an issue with LERA</t>
  </si>
  <si>
    <t>Mowing at observation dates and at specific dates is now working. LAI and Yields are the same with the R outcome. Cross-checked every single parameter with the R version. There were still some that did not correspond to the R version. Everything is now corrected and working apart from the water parameters (ET, runoff, drain, irrig)</t>
  </si>
  <si>
    <t>Daily photosynthetically active radiation; (PAR)</t>
  </si>
  <si>
    <t>Cuttings (INCUT)</t>
  </si>
  <si>
    <t>Rate of days after harvest (RDAHA)</t>
  </si>
  <si>
    <t>0:No, Number:Yes</t>
  </si>
  <si>
    <t>Dry weight of harvested green leaves (HARV)</t>
  </si>
  <si>
    <t>Sum of temperatures above base temperature, (TSUM)</t>
  </si>
  <si>
    <t>Solar radiation (RDD)</t>
  </si>
  <si>
    <t>Vapour pressure (VP)</t>
  </si>
  <si>
    <t>kPa</t>
  </si>
  <si>
    <t>Rate of sink limited leaf growth (DLAIS)</t>
  </si>
  <si>
    <t>ha leaf ha ground-1</t>
  </si>
  <si>
    <t>Decrease in reserves (DRE)</t>
  </si>
  <si>
    <t xml:space="preserve">Water parameters are now working. Initial improvement of the layout of the spreadsheet started. </t>
  </si>
  <si>
    <t>Continue to improve the layout of the spreadsheet (On Monday start transferring some of the results into the "Summary" sheet). Soil water balance and fraction graphs are now included as seperate sheets. Paul suggested to include annual grass yields as a seperate graph. .</t>
  </si>
  <si>
    <t>Initial tiller density</t>
  </si>
  <si>
    <t>Extinction coefficinet for diffuse light (KDIF)</t>
  </si>
  <si>
    <t>Unit</t>
  </si>
  <si>
    <t>Value</t>
  </si>
  <si>
    <t>Abbreviation</t>
  </si>
  <si>
    <t>-</t>
  </si>
  <si>
    <t>Volumetric latent heat of vaporization</t>
  </si>
  <si>
    <t>Stefan-Boltzmann constant</t>
  </si>
  <si>
    <t>Critical leaf area index above which shading reduces growth</t>
  </si>
  <si>
    <t>Drainage rate</t>
  </si>
  <si>
    <t>Soil and water characteristics</t>
  </si>
  <si>
    <t>Crop parameters</t>
  </si>
  <si>
    <t>Physical constants</t>
  </si>
  <si>
    <t>Final improvemetns. Paul suggested some changes on graphs and on the "Parameters_Output" sheet</t>
  </si>
  <si>
    <t>Location and meteorological parameters and irrigation</t>
  </si>
  <si>
    <t>MINTMP</t>
  </si>
  <si>
    <t>MAXTMP</t>
  </si>
  <si>
    <t>VP</t>
  </si>
  <si>
    <t>RAIN</t>
  </si>
  <si>
    <t>Country</t>
  </si>
  <si>
    <t>Site</t>
  </si>
  <si>
    <t>WND</t>
  </si>
  <si>
    <t>DOY</t>
  </si>
  <si>
    <t>Weather data were included as a separate sheet. Now the user can select which weather data to input in the simulations. Initial try of UK weather data gave "DIV/0" for most days. That heppened because both the EVAP1 and the TRAN were simultaneously null. To fix that an "IF" formula was included, saying that if the "result" of the formulas is null, then print 0.000001 otherwise print the "result". Filured also out that daylength not taken into account in  LINGRA. Hence, latitude does not affect yield.</t>
  </si>
  <si>
    <t>cm d-1 tiller-1</t>
  </si>
  <si>
    <t>Critical soil air content for aeration</t>
  </si>
  <si>
    <t>CRAIRC</t>
  </si>
  <si>
    <t>Soil moisture content in initial root zone at planting or emergence</t>
  </si>
  <si>
    <t>SMI</t>
  </si>
  <si>
    <t>Initial soil moisture content in lower zone at planting or emergence</t>
  </si>
  <si>
    <t>SMLOWI</t>
  </si>
  <si>
    <t>RDMSO</t>
  </si>
  <si>
    <t>Surface runoff factor</t>
  </si>
  <si>
    <t>RUNFR</t>
  </si>
  <si>
    <t>Correction factor of time course of soil evaporation (value btw 1 and 4)</t>
  </si>
  <si>
    <t>CFEV</t>
  </si>
  <si>
    <t>KSUB</t>
  </si>
  <si>
    <t>Number of applications</t>
  </si>
  <si>
    <t>First application</t>
  </si>
  <si>
    <t>Second application</t>
  </si>
  <si>
    <t>Third application</t>
  </si>
  <si>
    <t>Fourth application</t>
  </si>
  <si>
    <t>Fifth application</t>
  </si>
  <si>
    <t>Sixth application</t>
  </si>
  <si>
    <t>Dates</t>
  </si>
  <si>
    <t>Initial recovery fraction of applied fertiliser N</t>
  </si>
  <si>
    <t>NRFTAB</t>
  </si>
  <si>
    <t>RTMINS</t>
  </si>
  <si>
    <t>Seveth application</t>
  </si>
  <si>
    <t>Eightth application</t>
  </si>
  <si>
    <t>Nineth application</t>
  </si>
  <si>
    <t>Tenth application</t>
  </si>
  <si>
    <t>Eleventh application</t>
  </si>
  <si>
    <t>Lower threshold temp. for emergence</t>
  </si>
  <si>
    <t>TBASEM</t>
  </si>
  <si>
    <t>Max eff. Temp. for emergence</t>
  </si>
  <si>
    <t>TEFFMX</t>
  </si>
  <si>
    <t>Temperature sum for sowing/planting to emergence</t>
  </si>
  <si>
    <t>TSUMEM</t>
  </si>
  <si>
    <t>IDSL</t>
  </si>
  <si>
    <t>Indicates whether pre-anthesis development depends on temp (=0) or both temp and daylength (=1)</t>
  </si>
  <si>
    <t>Temp. Sum (for death rate of tillers) taken from TILSUB</t>
  </si>
  <si>
    <t>TSUM1</t>
  </si>
  <si>
    <t>Initial total crop dry weight</t>
  </si>
  <si>
    <t>TDWI</t>
  </si>
  <si>
    <t>SSATB</t>
  </si>
  <si>
    <t>RUETB</t>
  </si>
  <si>
    <t>Daily increase in temp. sum as a function of av. Temp; DTSMTB</t>
  </si>
  <si>
    <t>Reduction factor of RUE as a function of min. temp.; TMNFTB</t>
  </si>
  <si>
    <t>Reduction factor of RUE as a function of solar radiation per day; RDDTB</t>
  </si>
  <si>
    <t>Correction of radiation use efficiency as a function of atmospheric CO2; COTB</t>
  </si>
  <si>
    <t>Correction factor of DM fraction to roots as a function of the transpiration coefficient (TRANRF); FRTRB</t>
  </si>
  <si>
    <t>Max relative death rate of leaves due to water stress</t>
  </si>
  <si>
    <t>RDRL</t>
  </si>
  <si>
    <t>Relative death rate of leaves due to shading (above LAICR)</t>
  </si>
  <si>
    <t>RDRSHM</t>
  </si>
  <si>
    <t>Base temperature for leaf elongation</t>
  </si>
  <si>
    <t>Correction factor transpiration rate</t>
  </si>
  <si>
    <t>CFET</t>
  </si>
  <si>
    <t>Air ducts in roots present (=1) or not (=0)</t>
  </si>
  <si>
    <t>IAIRDU</t>
  </si>
  <si>
    <t>RDI</t>
  </si>
  <si>
    <t>Maximum daily increase in rooting depth</t>
  </si>
  <si>
    <t>Development stage above which death of leaves starts in dependence of mean daily temperature (600 C.d per unit DVS); DVSDLT</t>
  </si>
  <si>
    <t>Nitrogen use</t>
  </si>
  <si>
    <t>Max relative death rate of leaves due to N stress</t>
  </si>
  <si>
    <t>RDRNS</t>
  </si>
  <si>
    <t>DVSNLT</t>
  </si>
  <si>
    <t>DVSNT</t>
  </si>
  <si>
    <t>Nitrogen translocation from roots as a fraction of total N amount translocated from leaves and stems</t>
  </si>
  <si>
    <t>FNTRT</t>
  </si>
  <si>
    <t>FRNX</t>
  </si>
  <si>
    <t>LSNR</t>
  </si>
  <si>
    <t>LRNR</t>
  </si>
  <si>
    <t>NLUE</t>
  </si>
  <si>
    <t>NMAXSO</t>
  </si>
  <si>
    <t>Coefficient for the effect of N stress on SLA reduction</t>
  </si>
  <si>
    <t>NSLA</t>
  </si>
  <si>
    <t>Residual N fraction in leaves</t>
  </si>
  <si>
    <t>RNFLV</t>
  </si>
  <si>
    <t>Residual N fraction in stems</t>
  </si>
  <si>
    <t>RNFST</t>
  </si>
  <si>
    <t>Residual N fraction in roots</t>
  </si>
  <si>
    <t>RNFRT</t>
  </si>
  <si>
    <t>TCNT</t>
  </si>
  <si>
    <t>NFIXF</t>
  </si>
  <si>
    <t>EMERG</t>
  </si>
  <si>
    <t>Nitrogen reduction factor; NREF</t>
  </si>
  <si>
    <t>Number of soil type</t>
  </si>
  <si>
    <t>ISOIL</t>
  </si>
  <si>
    <t>IDEM</t>
  </si>
  <si>
    <t>Date of emergence (1 for permanent grass) ;IDEMERG</t>
  </si>
  <si>
    <t>IDPL</t>
  </si>
  <si>
    <t>Root growth rate; RR</t>
  </si>
  <si>
    <t>Temperature sum from sowing/planting; TSULP</t>
  </si>
  <si>
    <t>Total intercepted radiation; TPARINT</t>
  </si>
  <si>
    <t>Temperature sum form emergence incl. DAYL effect; TSUML</t>
  </si>
  <si>
    <t>(C.d)</t>
  </si>
  <si>
    <t>Total N uptake by crop from soil; NUPTT</t>
  </si>
  <si>
    <t>Amount of N in living crop organs; NLIVT</t>
  </si>
  <si>
    <t>Amount of N in dead crop organs incl. harvests; NLOSST</t>
  </si>
  <si>
    <t>Total above ground living biomass; TAGBG</t>
  </si>
  <si>
    <t>Specific leaf area as a function of DVS; SLATB</t>
  </si>
  <si>
    <t>Day number of flowering; IDFLOW</t>
  </si>
  <si>
    <t>Change in living stem biomass; RWST</t>
  </si>
  <si>
    <t>Change in living root biomass; RWRT</t>
  </si>
  <si>
    <t>Weight of storage organs; WSO</t>
  </si>
  <si>
    <t>Weight of dead stems; WSTD</t>
  </si>
  <si>
    <t>Weight of dead roots; WRTD</t>
  </si>
  <si>
    <t>Change in total directly available mineral N in soil; RNMINT</t>
  </si>
  <si>
    <t>Total N uptake by crop from soil at the end of growth period; NUPTT1</t>
  </si>
  <si>
    <t>Amount of N in living leaves; ANLV</t>
  </si>
  <si>
    <t>Amount of N in living stems; ANST</t>
  </si>
  <si>
    <t>Rate of change of N amount in the stems; RNST</t>
  </si>
  <si>
    <t>Amount of N in living roots; ANRT</t>
  </si>
  <si>
    <t>Amount of N in storage organs; ANSO</t>
  </si>
  <si>
    <t>Rate of change of N amount in the roots; RNRT</t>
  </si>
  <si>
    <t>N loss via death of roots; NLOSSR</t>
  </si>
  <si>
    <t>Total N in living and dead roots; NROOT</t>
  </si>
  <si>
    <t>Total above ground living and dead dry weight plus harvest; TADRW</t>
  </si>
  <si>
    <t>YCH</t>
  </si>
  <si>
    <t>Year change (logical)</t>
  </si>
  <si>
    <t>PL</t>
  </si>
  <si>
    <t>PUSHPL</t>
  </si>
  <si>
    <t>(Not used for permanent grassland)</t>
  </si>
  <si>
    <t>Day of emergence; DAYEM</t>
  </si>
  <si>
    <t>Increase of temperature sum from planting or sowing; DTSULP</t>
  </si>
  <si>
    <t>SLAI</t>
  </si>
  <si>
    <t>Actual increase in temperature sum from emergence without reduction °C; DTSUM</t>
  </si>
  <si>
    <t>Actual increase in temperature sum from emergence with reduction °C; DTSUML</t>
  </si>
  <si>
    <t>Reduction factor of RUE for sub-optimal soil temperatures and low minimal temperatures; RTMP</t>
  </si>
  <si>
    <t>Correction of radiation use efficiency for change in atmospheric CO2 concentration; RCO</t>
  </si>
  <si>
    <t>Reduction factor of RUE for high radiation levels; RRDD</t>
  </si>
  <si>
    <t>Solar constant; SC</t>
  </si>
  <si>
    <t>Daily extraterrestial radiation; ANGOT</t>
  </si>
  <si>
    <t>SINLD</t>
  </si>
  <si>
    <t>COSLD</t>
  </si>
  <si>
    <t>DAYLP</t>
  </si>
  <si>
    <t>DSINB</t>
  </si>
  <si>
    <t>AOB</t>
  </si>
  <si>
    <t>Mean air temp (TMPA)</t>
  </si>
  <si>
    <t>Atmospheric transmission; ATMTR</t>
  </si>
  <si>
    <t>Barometric pressure; PBAR</t>
  </si>
  <si>
    <t>Elevation</t>
  </si>
  <si>
    <t>ALTI</t>
  </si>
  <si>
    <t>STBC</t>
  </si>
  <si>
    <t>Psychrometric instrument constant</t>
  </si>
  <si>
    <t>REFCFW</t>
  </si>
  <si>
    <t>REFCFS</t>
  </si>
  <si>
    <t>REFCFC</t>
  </si>
  <si>
    <t>Temperature difference; TDIF</t>
  </si>
  <si>
    <t>Psychrometric constant; GAMMA</t>
  </si>
  <si>
    <t>PSYCON</t>
  </si>
  <si>
    <t>Coefficient Bu in wind function, dependent on temperature difference; BU</t>
  </si>
  <si>
    <t>Derivative of SVAP with respect to temperature, i.e. slope of the SVAP-temperature curve; DELTA</t>
  </si>
  <si>
    <t>Relative sunshine duration; RELSSD</t>
  </si>
  <si>
    <t>Net outgoing long-wave radiation according to Brunt (1932); RB</t>
  </si>
  <si>
    <t>Net absorbed radiation by water surface; RNW</t>
  </si>
  <si>
    <t>Net absorbed radiation by soil surface; RNS</t>
  </si>
  <si>
    <t>Net absorbed radiation by canopy; RNC</t>
  </si>
  <si>
    <t>Evaporative demand of atmosphere from water and soil surface; EA</t>
  </si>
  <si>
    <t>Evaporative demand of atmosphere from crop canopy; EAC</t>
  </si>
  <si>
    <t>Potential evaporation of a closed canopy; ET0</t>
  </si>
  <si>
    <t>Relative death rate due to water stress; RDRDRY</t>
  </si>
  <si>
    <t>Decrease in LAI by senecence; DLAI</t>
  </si>
  <si>
    <t>Relative death rate of leaves due to TMPA; RDRDV</t>
  </si>
  <si>
    <t>Actual relative death rate of leaves (RDR)</t>
  </si>
  <si>
    <t>Leaf death rate due to N shortage; DLVNS</t>
  </si>
  <si>
    <t>LAI decrease due to senecence, shadowing and water stress; DLAIS</t>
  </si>
  <si>
    <t>Leaf death rate due to ageing, shading and water stress; DLVS</t>
  </si>
  <si>
    <t>Specific LAI; SLA</t>
  </si>
  <si>
    <t>Decrease in leaf mass by senecence; DLV</t>
  </si>
  <si>
    <t>Mean reduction factor for crop growth due to drought/wetness over the wholegrowth period; TRANRF1</t>
  </si>
  <si>
    <t>Cumulative value for TRANRF over growth period; CTRAN</t>
  </si>
  <si>
    <t>kg N kg-1 DM</t>
  </si>
  <si>
    <t>Day of emergence; IDEM1</t>
  </si>
  <si>
    <t>Day of planting; IDPL1</t>
  </si>
  <si>
    <t>Total vegetative living above-ground biomass; TBGMR</t>
  </si>
  <si>
    <t>N concetration in roots; NFRT</t>
  </si>
  <si>
    <t>Total N in vegetative living above-ground biomass; NUPGMR</t>
  </si>
  <si>
    <t>kg N ha-1</t>
  </si>
  <si>
    <t>Fertilizer N application; FERTN</t>
  </si>
  <si>
    <t>Effective fertilizer N application; FERTNS</t>
  </si>
  <si>
    <t>Recovery fraction of applied fertilizer N; NRFTAB=NRF</t>
  </si>
  <si>
    <t>Daily N uptake rate by the crop; NUPTR</t>
  </si>
  <si>
    <t>Total leaf weight of both green and dead leaves; WLV</t>
  </si>
  <si>
    <t>Total N in living above-ground crop organs; NTAG</t>
  </si>
  <si>
    <t>Relative death rate of leaves as a function of daily mean temperature; RDRLTB=RDRTMP</t>
  </si>
  <si>
    <t>N supply to the storage organs; NSUPSO</t>
  </si>
  <si>
    <t>Amount of transloc. N from leaves to storage organs; ATNLV</t>
  </si>
  <si>
    <t>Amount of transloc. N from roots to storage organs; ATNRT</t>
  </si>
  <si>
    <t>Amount of transloc. N from stems to storage organs; ATNST</t>
  </si>
  <si>
    <t>Weight of living roots; WRT</t>
  </si>
  <si>
    <t>Total amount of transloc. N to storage organs; ATN</t>
  </si>
  <si>
    <t>Rate of N transl. from leaves to storage organs; RNTLV</t>
  </si>
  <si>
    <t>kg N ha-1 d-1</t>
  </si>
  <si>
    <t>Actual N transloc. to storage organs; RNSO</t>
  </si>
  <si>
    <t>N demand of storage organs; NDEMSO</t>
  </si>
  <si>
    <t>F</t>
  </si>
  <si>
    <t>Indicates that flowering has occurred (logical)</t>
  </si>
  <si>
    <t>FLOW</t>
  </si>
  <si>
    <t>Increase in temp. sum from emergence; DTSU</t>
  </si>
  <si>
    <t>PUSHEM</t>
  </si>
  <si>
    <t>Reduction of development rate as based on day length; DVRED</t>
  </si>
  <si>
    <t>Reduction of development rate as based on day length; RDAYL</t>
  </si>
  <si>
    <t>mm d-1</t>
  </si>
  <si>
    <t>Mean N nutrition index for the whole growth period; NNI1</t>
  </si>
  <si>
    <t>Cumulative for NNI over growth period; CNNI</t>
  </si>
  <si>
    <t>Nitrogen Nutrition Index; NNI</t>
  </si>
  <si>
    <t>Total above ground living and dead dry weight plus harvests; TADRW</t>
  </si>
  <si>
    <t>N uptake partitioned to leaves; RNULV</t>
  </si>
  <si>
    <t>N uptake partitioned to roots; RNURT</t>
  </si>
  <si>
    <t>N uptake partitioned to stems; RNUST</t>
  </si>
  <si>
    <t>N demand of leaves; NDEML</t>
  </si>
  <si>
    <t>N demand of roots; NDEMR</t>
  </si>
  <si>
    <t>N demand of stems; NDEMS</t>
  </si>
  <si>
    <t>Total N demand; NDEMTO</t>
  </si>
  <si>
    <t>Factor that stops the N uptake when DVS is higher than DVSNLT or transpiration in nil; NLIMIT</t>
  </si>
  <si>
    <t>Effective temperature; DTEFF</t>
  </si>
  <si>
    <t>°C</t>
  </si>
  <si>
    <t>Senecence of roots; DRRT</t>
  </si>
  <si>
    <t>kg DM ha-1 d-1</t>
  </si>
  <si>
    <t>Relative death rate of roots as a function of DVS; RDRRTB=RDRRT</t>
  </si>
  <si>
    <t>Relative death rate of stems as a function of DVS; RDRSTB=RDRST</t>
  </si>
  <si>
    <t>Senecence of stems; DRST</t>
  </si>
  <si>
    <t>DELT</t>
  </si>
  <si>
    <t>Time step of integration</t>
  </si>
  <si>
    <t>Coefficient for the reduction of RUE due to N stress of the LAI increase (during juvenile phase; NOT USED]</t>
  </si>
  <si>
    <t>Rate of N transl. from stems to storage organs; RNTST</t>
  </si>
  <si>
    <t>Rate of N transl. from roots to storage organs; RNTRT</t>
  </si>
  <si>
    <t>Actual soil moisture content  in rooted zone; SMACT</t>
  </si>
  <si>
    <t>SMW</t>
  </si>
  <si>
    <t>SMFC</t>
  </si>
  <si>
    <t>Actual soil moisture content in lower zone; SMACTL</t>
  </si>
  <si>
    <t xml:space="preserve">Soil-related maximum rooting depth </t>
  </si>
  <si>
    <t>Total available water in lower zone (below rooted zone); WAVTL=WAVTLI</t>
  </si>
  <si>
    <t>Percolation from lower zone to deeper soil layers; PERC3</t>
  </si>
  <si>
    <t>Infiltration of water from rainfall and irrigation into the topsoil; PERC</t>
  </si>
  <si>
    <t>Percolation from rooted zone to lower zone; PERC2</t>
  </si>
  <si>
    <t>Effective percolation (= PERC – EVA – TRA); PERC1P</t>
  </si>
  <si>
    <t>Irrigation water available from previous day; DIRRO</t>
  </si>
  <si>
    <t>Effective application of irrigation water; DIRR=RIRR</t>
  </si>
  <si>
    <t>Amount of available water in root zone at field capacity; WAVFC</t>
  </si>
  <si>
    <t>Critical soil moisture content below which the transpiration is reduced by water stress; SMCR</t>
  </si>
  <si>
    <t>Runoff (RUNOF)</t>
  </si>
  <si>
    <t>Runoff fraction times precipitation; RUNOFP</t>
  </si>
  <si>
    <t>Change in total water in the rooted zone by root growth; WDR</t>
  </si>
  <si>
    <t>RRI</t>
  </si>
  <si>
    <t>RDM</t>
  </si>
  <si>
    <t>Change in available water in the rooted zone by root growth; WDRA</t>
  </si>
  <si>
    <t>Easily available soil water fraction as calculated with SWEAF funct; SWDEP</t>
  </si>
  <si>
    <t>Correction for CGNR less than 3; SWEAF</t>
  </si>
  <si>
    <t>Corrected for CGNR less than 3; Easily available soil water fraction as calculated with SWEAF funct; SWDEP</t>
  </si>
  <si>
    <t>Reduction factor of the transpiration rate due to drought; RDRY</t>
  </si>
  <si>
    <t>Critical soil moisture content for aeration; SMAIR</t>
  </si>
  <si>
    <t>SM0</t>
  </si>
  <si>
    <t>Soil moisture content at saturation</t>
  </si>
  <si>
    <t>Count days since start oxygen shortage (up to 4 days); DSOS</t>
  </si>
  <si>
    <t>Maximum reduction reached after 4 days, RWETMX</t>
  </si>
  <si>
    <t>Reduction factor of the transpiration rate due to oxygen shortage/wetness; RWET</t>
  </si>
  <si>
    <t>Actual transpiration rate; TRA</t>
  </si>
  <si>
    <t>Maximal transpiration rate; TRMAX</t>
  </si>
  <si>
    <t>Maximal soil evaporation; EVMAX</t>
  </si>
  <si>
    <t>DIRRN</t>
  </si>
  <si>
    <t>Irrigation read from table in Control Sheet</t>
  </si>
  <si>
    <t>Actual soil evaporation; EVA</t>
  </si>
  <si>
    <t>SMDRY</t>
  </si>
  <si>
    <t>Maximal soil evaporation that decreases in dependence of the days since last rain; EVMAXT</t>
  </si>
  <si>
    <t>Counter of the days since last rain; DSLR</t>
  </si>
  <si>
    <t>Water capacity in rooted zone upto field capacity; CAP</t>
  </si>
  <si>
    <t>Water capacity in rooted zone upto soil saturation; CAP0</t>
  </si>
  <si>
    <t>Water capacity in lower zone upto field capacity; CAPL</t>
  </si>
  <si>
    <t>Water capacity in lower zone upto soil saturation; CAPL0</t>
  </si>
  <si>
    <t>Actual percolation (lowest of PERC1P or KSUB + CAP0); PERC1</t>
  </si>
  <si>
    <t>Change in storage organ biomass ; RWSO</t>
  </si>
  <si>
    <t>Total above-ground growth rate; AGTW</t>
  </si>
  <si>
    <t>Radiation use efficiency for biomass production as a function of DVS; RUETB=RUE</t>
  </si>
  <si>
    <t>Correction of RUE for both non-optimal temperatures, atmospheric CO2 and high radiation level; RTMCO</t>
  </si>
  <si>
    <t>Check on N balance; NBALAN</t>
  </si>
  <si>
    <t>Rate of sink limited leaf growth; GLAISI</t>
  </si>
  <si>
    <t>Growth rate calculated from PARINT and RUE (Source limited crop growth rate); GTWSO1</t>
  </si>
  <si>
    <t>Reduction factor of RUE as a function of soil temp; TMPFTB=REDTMP</t>
  </si>
  <si>
    <t>Soil / crop related maximal rooting depth</t>
  </si>
  <si>
    <t>SOITMI</t>
  </si>
  <si>
    <t>Critical leaf area index; LAICR</t>
  </si>
  <si>
    <t>Irrigation water application on previous day; DIRROLD</t>
  </si>
  <si>
    <t>IRRI</t>
  </si>
  <si>
    <t>Cumulative water added to the rooted zone by root growth; TWDR</t>
  </si>
  <si>
    <t>Correction factor of development rate in dependence of daylength; PHOTTB=DVRED</t>
  </si>
  <si>
    <t>Change in available water in rooted zone; DWAT</t>
  </si>
  <si>
    <t>Change in available water in lower zone; DWATL</t>
  </si>
  <si>
    <t>Change in the amount of available water in the rooted zone between start and end of the growth period of grass; DWAVT</t>
  </si>
  <si>
    <t>Change in the amount of available water in the lower zone between start and end of the growth period of grass; DWAVTL</t>
  </si>
  <si>
    <t>Change in total water in rooted zone; DWOT</t>
  </si>
  <si>
    <t>Change in available water in both rooted and lower zone between start and end of the growth period of grass; DWAVT2</t>
  </si>
  <si>
    <t>Change in total water in lower zone; DWOTL</t>
  </si>
  <si>
    <t>Amount of total water in rooted zone; WTOT</t>
  </si>
  <si>
    <t>Amount of total water in lower zone (below rooted zone); WTOTL</t>
  </si>
  <si>
    <t>Rooting depth; RD</t>
  </si>
  <si>
    <t>Radiation use efficiency calculated at end of growth period; RUEC</t>
  </si>
  <si>
    <t>kg DM ha-1</t>
  </si>
  <si>
    <t>Indicates planting at start of simulation (logical); F: Permanent grassland</t>
  </si>
  <si>
    <t>Residual N concentration in total living above-gr. Biomass; NRMR</t>
  </si>
  <si>
    <t>Optimal N concentration in total vegetative living above-ground biomass; NOPTMR</t>
  </si>
  <si>
    <t>N concentration in total vegetative living above ground biomass; NFGMR</t>
  </si>
  <si>
    <t>Cumulative N application</t>
  </si>
  <si>
    <t>Cumulative change of soil water in rooting zone</t>
  </si>
  <si>
    <t>mm3 mm-3</t>
  </si>
  <si>
    <t>Total above ground living and dead biomass; TAGB</t>
  </si>
  <si>
    <r>
      <t>(mm</t>
    </r>
    <r>
      <rPr>
        <vertAlign val="superscript"/>
        <sz val="10"/>
        <rFont val="Arial"/>
        <family val="2"/>
      </rPr>
      <t>3</t>
    </r>
    <r>
      <rPr>
        <sz val="10"/>
        <rFont val="Arial"/>
        <family val="2"/>
      </rPr>
      <t>/mm</t>
    </r>
    <r>
      <rPr>
        <vertAlign val="superscript"/>
        <sz val="10"/>
        <rFont val="Arial"/>
        <family val="2"/>
      </rPr>
      <t>3</t>
    </r>
    <r>
      <rPr>
        <sz val="10"/>
        <rFont val="Arial"/>
        <family val="2"/>
      </rPr>
      <t>)</t>
    </r>
  </si>
  <si>
    <t>Optimal amount of N in leaves; NOPTL</t>
  </si>
  <si>
    <t>Soil temperature changes; RSOITM</t>
  </si>
  <si>
    <t>Soil temperature; SOITMP</t>
  </si>
  <si>
    <t>Temperature dependend leaf appearance; LEAFN</t>
  </si>
  <si>
    <t>Relative rate of tiller formation; REFTIL</t>
  </si>
  <si>
    <t>Leaf area index; LAI</t>
  </si>
  <si>
    <t>Change in LAI; RLAI</t>
  </si>
  <si>
    <t>Harvestable leaf weight; HRVBL</t>
  </si>
  <si>
    <t>Leaf elongation rate affected by temperature; LERA</t>
  </si>
  <si>
    <t>Leaf elongation rate affected by temperature; LERA2</t>
  </si>
  <si>
    <t>Rate of tiller formation; DTIL</t>
  </si>
  <si>
    <t>Actual growth rate of leaf area; GLAI</t>
  </si>
  <si>
    <t>Actual growth switches between sink- and source limitation; GRE (more or less dry matter formed than can be stored)</t>
  </si>
  <si>
    <t>Change in reserves; RRE</t>
  </si>
  <si>
    <t>Total growth rate; GTW</t>
  </si>
  <si>
    <t>Optimal amount of N in stems; NOPTS</t>
  </si>
  <si>
    <t>Water-Nitrogen stress factor ;RNW</t>
  </si>
  <si>
    <t>Reduction of radiation use efficiency for non-optimal day-time temperatures; DTEMP</t>
  </si>
  <si>
    <t>Wind</t>
  </si>
  <si>
    <t>Running SLA in model; SLAINT</t>
  </si>
  <si>
    <t>Initial SLA; SLAI</t>
  </si>
  <si>
    <r>
      <t>kJ m</t>
    </r>
    <r>
      <rPr>
        <vertAlign val="superscript"/>
        <sz val="7"/>
        <rFont val="Arial"/>
        <family val="2"/>
      </rPr>
      <t>-2</t>
    </r>
  </si>
  <si>
    <r>
      <t>g DM MJ</t>
    </r>
    <r>
      <rPr>
        <vertAlign val="superscript"/>
        <sz val="7"/>
        <rFont val="Times New Roman"/>
        <family val="1"/>
      </rPr>
      <t>-1</t>
    </r>
    <r>
      <rPr>
        <sz val="7"/>
        <rFont val="Times New Roman"/>
        <family val="1"/>
      </rPr>
      <t xml:space="preserve"> PAR</t>
    </r>
  </si>
  <si>
    <r>
      <t>(MJ m</t>
    </r>
    <r>
      <rPr>
        <vertAlign val="superscript"/>
        <sz val="7"/>
        <rFont val="Arial"/>
        <family val="2"/>
      </rPr>
      <t>-2</t>
    </r>
    <r>
      <rPr>
        <sz val="7"/>
        <rFont val="Arial"/>
        <family val="2"/>
      </rPr>
      <t>)</t>
    </r>
  </si>
  <si>
    <r>
      <t>(kg DM ha</t>
    </r>
    <r>
      <rPr>
        <vertAlign val="superscript"/>
        <sz val="7"/>
        <rFont val="Arial"/>
        <family val="2"/>
      </rPr>
      <t>-1</t>
    </r>
    <r>
      <rPr>
        <sz val="7"/>
        <rFont val="Arial"/>
        <family val="2"/>
      </rPr>
      <t>)</t>
    </r>
  </si>
  <si>
    <r>
      <t>(m</t>
    </r>
    <r>
      <rPr>
        <vertAlign val="superscript"/>
        <sz val="7"/>
        <rFont val="Arial"/>
        <family val="2"/>
      </rPr>
      <t>2</t>
    </r>
    <r>
      <rPr>
        <sz val="7"/>
        <rFont val="Arial"/>
        <family val="2"/>
      </rPr>
      <t xml:space="preserve"> d</t>
    </r>
    <r>
      <rPr>
        <vertAlign val="superscript"/>
        <sz val="7"/>
        <rFont val="Arial"/>
        <family val="2"/>
      </rPr>
      <t>-1</t>
    </r>
    <r>
      <rPr>
        <sz val="7"/>
        <rFont val="Arial"/>
        <family val="2"/>
      </rPr>
      <t>)</t>
    </r>
  </si>
  <si>
    <r>
      <t>ha leaf ha</t>
    </r>
    <r>
      <rPr>
        <vertAlign val="superscript"/>
        <sz val="7"/>
        <rFont val="Times New Roman"/>
        <family val="1"/>
      </rPr>
      <t>-1</t>
    </r>
    <r>
      <rPr>
        <sz val="7"/>
        <rFont val="Times New Roman"/>
        <family val="1"/>
      </rPr>
      <t xml:space="preserve"> ground</t>
    </r>
  </si>
  <si>
    <r>
      <t>(mm d</t>
    </r>
    <r>
      <rPr>
        <vertAlign val="superscript"/>
        <sz val="7"/>
        <rFont val="Arial"/>
        <family val="2"/>
      </rPr>
      <t>-1</t>
    </r>
    <r>
      <rPr>
        <sz val="7"/>
        <rFont val="Arial"/>
        <family val="2"/>
      </rPr>
      <t>)</t>
    </r>
  </si>
  <si>
    <r>
      <t>(kg N ha</t>
    </r>
    <r>
      <rPr>
        <vertAlign val="superscript"/>
        <sz val="7"/>
        <rFont val="Arial"/>
        <family val="2"/>
      </rPr>
      <t>-1</t>
    </r>
    <r>
      <rPr>
        <sz val="7"/>
        <rFont val="Arial"/>
        <family val="2"/>
      </rPr>
      <t>)</t>
    </r>
  </si>
  <si>
    <r>
      <t>(kg N ha</t>
    </r>
    <r>
      <rPr>
        <vertAlign val="superscript"/>
        <sz val="7"/>
        <rFont val="Arial"/>
        <family val="2"/>
      </rPr>
      <t xml:space="preserve">-1 </t>
    </r>
    <r>
      <rPr>
        <sz val="7"/>
        <rFont val="Arial"/>
        <family val="2"/>
      </rPr>
      <t>d</t>
    </r>
    <r>
      <rPr>
        <vertAlign val="superscript"/>
        <sz val="7"/>
        <rFont val="Arial"/>
        <family val="2"/>
      </rPr>
      <t>-1</t>
    </r>
    <r>
      <rPr>
        <sz val="7"/>
        <rFont val="Arial"/>
        <family val="2"/>
      </rPr>
      <t>)</t>
    </r>
  </si>
  <si>
    <t>Crop group number, from 1 (drought sensitive) to 5 (drought resistent)</t>
  </si>
  <si>
    <t>CGNR / DEPNR</t>
  </si>
  <si>
    <t>Fraction of above gr. biomass to leaves under stressed conditions; FLV</t>
  </si>
  <si>
    <t>Fraction of total biomass to roots under stressed conditions; FRT</t>
  </si>
  <si>
    <t>Fraction of above gr. DM to leaves under non-stressed conditions; FLVT</t>
  </si>
  <si>
    <t>Fraction of total dry matter to roots under non-stressed conditions; FRTWET</t>
  </si>
  <si>
    <t>Fraction of above gr. DM to stems as a function of DVS; FST</t>
  </si>
  <si>
    <t>Fraction of above gr. DM to stems as a function of DVS; FSTT</t>
  </si>
  <si>
    <t>Reflection by crop canopy</t>
  </si>
  <si>
    <t>Reflection by soil surface</t>
  </si>
  <si>
    <t>Reflection by water surface</t>
  </si>
  <si>
    <t>Relative humidity; RH</t>
  </si>
  <si>
    <t>SVAP1</t>
  </si>
  <si>
    <t>Change of N losses due to death of leaves; RNLDLV</t>
  </si>
  <si>
    <t>Change of N losses due to death of roots; RNLDRT</t>
  </si>
  <si>
    <t>Cumulative drainage to the sub-soil; TDRAIN</t>
  </si>
  <si>
    <t>Cumulative soil evaporation; TESOIL</t>
  </si>
  <si>
    <t>Cumulative irrigation; TIRR</t>
  </si>
  <si>
    <t>Cumulative rainfall; TRAIN</t>
  </si>
  <si>
    <t>Cumulative crop transpiration; TTRANS</t>
  </si>
  <si>
    <t>Cumulative surface runoff; TRUNOF</t>
  </si>
  <si>
    <t>Checking soil water balance in rooted zone; WBAL</t>
  </si>
  <si>
    <t>New amount of total water in rooted zone; WTOTN</t>
  </si>
  <si>
    <t>New amount of total water in lower zone (below rooted zone); WTOTLN</t>
  </si>
  <si>
    <t>Checking soil water balance in lower zone; WBALL</t>
  </si>
  <si>
    <t>Harvestable leaf weight in the field plus cutted amounts of grass; (YIELD)</t>
  </si>
  <si>
    <t>Weight of living leaves; WLVG</t>
  </si>
  <si>
    <t>Potential grass weight remaining after cutting (CWLVG)</t>
  </si>
  <si>
    <t>kg ha-1 d-1</t>
  </si>
  <si>
    <t>kg leaf ha-1 d-1</t>
  </si>
  <si>
    <t>g /MJ PAR</t>
  </si>
  <si>
    <r>
      <t>(kg DM ha</t>
    </r>
    <r>
      <rPr>
        <vertAlign val="superscript"/>
        <sz val="7"/>
        <rFont val="Arial"/>
        <family val="2"/>
      </rPr>
      <t xml:space="preserve">-1 </t>
    </r>
    <r>
      <rPr>
        <sz val="7"/>
        <rFont val="Arial"/>
        <family val="2"/>
      </rPr>
      <t>d</t>
    </r>
    <r>
      <rPr>
        <vertAlign val="superscript"/>
        <sz val="7"/>
        <rFont val="Arial"/>
        <family val="2"/>
      </rPr>
      <t>-1</t>
    </r>
    <r>
      <rPr>
        <sz val="7"/>
        <rFont val="Arial"/>
        <family val="2"/>
      </rPr>
      <t>)</t>
    </r>
  </si>
  <si>
    <t>Weight of living roots for plotting</t>
  </si>
  <si>
    <t>Weight of dead roots for plotting</t>
  </si>
  <si>
    <t>Dry weight of harvested and unharvested leaves</t>
  </si>
  <si>
    <t>Fraction light intercepted (FINT)</t>
  </si>
  <si>
    <t>Cumulative photosynthetically active radiation (TPAR)</t>
  </si>
  <si>
    <r>
      <t>MJ m</t>
    </r>
    <r>
      <rPr>
        <vertAlign val="superscript"/>
        <sz val="7"/>
        <rFont val="Arial"/>
        <family val="2"/>
      </rPr>
      <t>-2</t>
    </r>
  </si>
  <si>
    <t>LAI decrease due to N shortage; DLAINS</t>
  </si>
  <si>
    <t>Tiller death rate</t>
  </si>
  <si>
    <t>Max N conc in leaves as a function of DVS; NMXLV=NMAXLV</t>
  </si>
  <si>
    <t>Maximal N conc in roots; NMAXRT</t>
  </si>
  <si>
    <t>Maximal N conc in stems; NMAXST</t>
  </si>
  <si>
    <t>Optimal N conc in leaves; NOPTLV</t>
  </si>
  <si>
    <t>Optimal N conc in stems; NOPTST</t>
  </si>
  <si>
    <t>N conc in above-ground living biomass incl. possibly seeds; NTAC</t>
  </si>
  <si>
    <r>
      <t>kg N ha</t>
    </r>
    <r>
      <rPr>
        <vertAlign val="superscript"/>
        <sz val="7"/>
        <rFont val="Arial"/>
        <family val="2"/>
      </rPr>
      <t>-1</t>
    </r>
  </si>
  <si>
    <r>
      <t>mm mm</t>
    </r>
    <r>
      <rPr>
        <vertAlign val="superscript"/>
        <sz val="7"/>
        <rFont val="Arial"/>
        <family val="2"/>
      </rPr>
      <t>-1</t>
    </r>
  </si>
  <si>
    <t>Cumulative rainfall and irrigation (mm)</t>
  </si>
  <si>
    <t xml:space="preserve">Soil moisture content at air dry </t>
  </si>
  <si>
    <t xml:space="preserve">Total transpiration </t>
  </si>
  <si>
    <t>Nitrogen use efficiency (Nitrogen uptake/application)</t>
  </si>
  <si>
    <r>
      <t>kg/m</t>
    </r>
    <r>
      <rPr>
        <vertAlign val="superscript"/>
        <sz val="10"/>
        <rFont val="Arial"/>
        <family val="2"/>
      </rPr>
      <t>3</t>
    </r>
  </si>
  <si>
    <t>Soil moisture content at wilting point (pF=4.2; Medium fine=0.20 or 0.15)</t>
  </si>
  <si>
    <t>Soil moisture content at field capacity (pF=2.3; Medium fine=0.35)</t>
  </si>
  <si>
    <t>Date of planting/sowing (0: permanent grassland)</t>
  </si>
  <si>
    <t>Time coefficient for N translocation to storage organs</t>
  </si>
  <si>
    <t>Cumulative infiltration</t>
  </si>
  <si>
    <t>DAYEM</t>
  </si>
  <si>
    <t>Emergence [0: no emergence, 1: emergence)</t>
  </si>
  <si>
    <t xml:space="preserve">       Nitrogen stress included? (0 = no nitrogen effects; 1 = nitrogen effects included)</t>
  </si>
  <si>
    <t>Irrigation</t>
  </si>
  <si>
    <t xml:space="preserve">       Is drought stress included? (0 = no drought effects; 1 = drought effects included)</t>
  </si>
  <si>
    <t>ppm</t>
  </si>
  <si>
    <r>
      <t>Contact:</t>
    </r>
    <r>
      <rPr>
        <u/>
        <sz val="11"/>
        <color rgb="FF0070C0"/>
        <rFont val="Calibri"/>
        <family val="2"/>
      </rPr>
      <t xml:space="preserve"> P.Burgess@cranfield.ac.uk</t>
    </r>
    <r>
      <rPr>
        <sz val="11"/>
        <color theme="1"/>
        <rFont val="Calibri"/>
        <family val="2"/>
      </rPr>
      <t xml:space="preserve">; </t>
    </r>
    <r>
      <rPr>
        <u/>
        <sz val="11"/>
        <color rgb="FF0070C0"/>
        <rFont val="Calibri"/>
        <family val="2"/>
      </rPr>
      <t>M.Giannitsopoulos@cranfield.ac.uk</t>
    </r>
  </si>
  <si>
    <r>
      <t>MJ m</t>
    </r>
    <r>
      <rPr>
        <vertAlign val="superscript"/>
        <sz val="10"/>
        <rFont val="Arial"/>
        <family val="2"/>
      </rPr>
      <t>-2</t>
    </r>
  </si>
  <si>
    <r>
      <t>Transpiration efficiency (Dry matter production/m</t>
    </r>
    <r>
      <rPr>
        <vertAlign val="superscript"/>
        <sz val="10"/>
        <rFont val="Arial"/>
        <family val="2"/>
      </rPr>
      <t>3</t>
    </r>
    <r>
      <rPr>
        <sz val="10"/>
        <rFont val="Arial"/>
        <family val="2"/>
      </rPr>
      <t xml:space="preserve"> transpiration)</t>
    </r>
  </si>
  <si>
    <t>Fraction of soil mineral N coming available per day</t>
  </si>
  <si>
    <t>Altitude</t>
  </si>
  <si>
    <r>
      <t>(ha kg</t>
    </r>
    <r>
      <rPr>
        <vertAlign val="superscript"/>
        <sz val="7"/>
        <rFont val="Arial"/>
        <family val="2"/>
      </rPr>
      <t>-1</t>
    </r>
    <r>
      <rPr>
        <sz val="7"/>
        <rFont val="Arial"/>
        <family val="2"/>
      </rPr>
      <t>)</t>
    </r>
  </si>
  <si>
    <r>
      <t>(kg ha ground</t>
    </r>
    <r>
      <rPr>
        <vertAlign val="superscript"/>
        <sz val="7"/>
        <rFont val="Arial"/>
        <family val="2"/>
      </rPr>
      <t>-1</t>
    </r>
    <r>
      <rPr>
        <sz val="7"/>
        <rFont val="Arial"/>
        <family val="2"/>
      </rPr>
      <t xml:space="preserve"> d</t>
    </r>
    <r>
      <rPr>
        <vertAlign val="superscript"/>
        <sz val="7"/>
        <rFont val="Arial"/>
        <family val="2"/>
      </rPr>
      <t>-1</t>
    </r>
    <r>
      <rPr>
        <sz val="7"/>
        <rFont val="Arial"/>
        <family val="2"/>
      </rPr>
      <t>)</t>
    </r>
  </si>
  <si>
    <t>Change in living leaf biomass; RWLVG</t>
  </si>
  <si>
    <t>Dry weight of total above-ground biomass incl. dead crop organs and harvests; WLVD</t>
  </si>
  <si>
    <t>Dry weight of dead leaves; WLVDD</t>
  </si>
  <si>
    <t>Date of emergence (always 1 for permanent grass)</t>
  </si>
  <si>
    <r>
      <t>(m s</t>
    </r>
    <r>
      <rPr>
        <vertAlign val="superscript"/>
        <sz val="7"/>
        <rFont val="Arial"/>
        <family val="2"/>
      </rPr>
      <t>-1</t>
    </r>
    <r>
      <rPr>
        <sz val="7"/>
        <rFont val="Arial"/>
        <family val="2"/>
      </rPr>
      <t>)</t>
    </r>
  </si>
  <si>
    <t>Fixed interval harvest</t>
  </si>
  <si>
    <t>Fixed interval: duration of possible cutting</t>
  </si>
  <si>
    <t>Selected harvest date</t>
  </si>
  <si>
    <t>Fixed interval</t>
  </si>
  <si>
    <t>Data for graphs</t>
  </si>
  <si>
    <t>Maximum soil depth</t>
  </si>
  <si>
    <t>Soil water deficint in the rooting zone</t>
  </si>
  <si>
    <t>MJ m-2 d-1</t>
  </si>
  <si>
    <t>W m-2</t>
  </si>
  <si>
    <r>
      <t>kPa K</t>
    </r>
    <r>
      <rPr>
        <vertAlign val="superscript"/>
        <sz val="7"/>
        <rFont val="Arial"/>
        <family val="2"/>
      </rPr>
      <t>-1</t>
    </r>
  </si>
  <si>
    <t>1. Meteorological data</t>
  </si>
  <si>
    <t>2. Harvest dates</t>
  </si>
  <si>
    <t>iii) Irrigation</t>
  </si>
  <si>
    <t>Available water in rooted zone; WAVTI=WAVT</t>
  </si>
  <si>
    <t>Incoming radiation; AVRAD</t>
  </si>
  <si>
    <t>i) Radiation values</t>
  </si>
  <si>
    <t>Fraction of available water at which transpiration can occur at maximum rate; SWEAF</t>
  </si>
  <si>
    <t>ii) Evaporation and transpiration rates</t>
  </si>
  <si>
    <r>
      <t>MJ m</t>
    </r>
    <r>
      <rPr>
        <vertAlign val="superscript"/>
        <sz val="7"/>
        <rFont val="Arial"/>
        <family val="2"/>
      </rPr>
      <t xml:space="preserve">-2 </t>
    </r>
    <r>
      <rPr>
        <sz val="7"/>
        <rFont val="Arial"/>
        <family val="2"/>
      </rPr>
      <t>d</t>
    </r>
    <r>
      <rPr>
        <vertAlign val="superscript"/>
        <sz val="7"/>
        <rFont val="Arial"/>
        <family val="2"/>
      </rPr>
      <t>-1</t>
    </r>
  </si>
  <si>
    <t>iii) Infiltration</t>
  </si>
  <si>
    <t>iv) Actual evaporation and transpiration</t>
  </si>
  <si>
    <t>v) Percolation and runoff</t>
  </si>
  <si>
    <t>vi) Graphs for water balance</t>
  </si>
  <si>
    <t>Sutton Bonnington 1984</t>
  </si>
  <si>
    <t>Incoming radiation (LINGRA)</t>
  </si>
  <si>
    <t>Incoming radiation (LINGRA-N)</t>
  </si>
  <si>
    <r>
      <t>(MJ m</t>
    </r>
    <r>
      <rPr>
        <vertAlign val="superscript"/>
        <sz val="10"/>
        <rFont val="Arial"/>
        <family val="2"/>
      </rPr>
      <t>-2</t>
    </r>
    <r>
      <rPr>
        <sz val="10"/>
        <rFont val="Arial"/>
        <family val="2"/>
      </rPr>
      <t xml:space="preserve"> d</t>
    </r>
    <r>
      <rPr>
        <vertAlign val="superscript"/>
        <sz val="10"/>
        <rFont val="Arial"/>
        <family val="2"/>
      </rPr>
      <t>-1</t>
    </r>
    <r>
      <rPr>
        <sz val="10"/>
        <rFont val="Arial"/>
        <family val="2"/>
      </rPr>
      <t>)</t>
    </r>
  </si>
  <si>
    <t>Net outgoing longwave radiation LINGRA-N</t>
  </si>
  <si>
    <t>Net outgoing longwave radiation LINGRA</t>
  </si>
  <si>
    <t>Cumulative</t>
  </si>
  <si>
    <t>FAO24</t>
  </si>
  <si>
    <t>Net longwave radiation according to FAO 56</t>
  </si>
  <si>
    <t>Daily extraterrestrial radiation FAO56</t>
  </si>
  <si>
    <t>Inverse relative earth distance FAO56</t>
  </si>
  <si>
    <t>Solar delination FAO56</t>
  </si>
  <si>
    <t>Sunset hour angle</t>
  </si>
  <si>
    <t>FAO56 using FAO Rs</t>
  </si>
  <si>
    <t>Reference crop evapotranspiration (FAO56)</t>
  </si>
  <si>
    <t>(Net radiation of canopy FAO56)</t>
  </si>
  <si>
    <t>Mean saturation vapour pressure for a day (FAO56)</t>
  </si>
  <si>
    <t>kPa C-1</t>
  </si>
  <si>
    <t>Vapour pressure (VP) (cannot go above SVAP)</t>
  </si>
  <si>
    <t>Vapour pressure deficit FAO56</t>
  </si>
  <si>
    <r>
      <t>(kg N ha</t>
    </r>
    <r>
      <rPr>
        <vertAlign val="superscript"/>
        <sz val="7"/>
        <rFont val="Arial"/>
        <family val="2"/>
      </rPr>
      <t>-1</t>
    </r>
    <r>
      <rPr>
        <sz val="7"/>
        <rFont val="Arial"/>
        <family val="2"/>
      </rPr>
      <t xml:space="preserve"> d</t>
    </r>
    <r>
      <rPr>
        <vertAlign val="superscript"/>
        <sz val="7"/>
        <rFont val="Arial"/>
        <family val="2"/>
      </rPr>
      <t>-1</t>
    </r>
    <r>
      <rPr>
        <sz val="7"/>
        <rFont val="Arial"/>
        <family val="2"/>
      </rPr>
      <t>)</t>
    </r>
  </si>
  <si>
    <t>Excess amount of irrigation; DIRR1</t>
  </si>
  <si>
    <t>Irrigation (automatic irrigation=1, actual irrigation from table=2)</t>
  </si>
  <si>
    <t>krpm</t>
  </si>
  <si>
    <t>kdpm</t>
  </si>
  <si>
    <t>Nrpm</t>
  </si>
  <si>
    <t>Ndpm</t>
  </si>
  <si>
    <t>(kg N kg-1 DM)</t>
  </si>
  <si>
    <t>NPOT</t>
  </si>
  <si>
    <t>Fast and easily decomposable organic compounds</t>
  </si>
  <si>
    <t>Slowly decomposable compounds</t>
  </si>
  <si>
    <t>Moisture factor (from Addiscot et al.1987)</t>
  </si>
  <si>
    <r>
      <t>CO</t>
    </r>
    <r>
      <rPr>
        <b/>
        <vertAlign val="subscript"/>
        <sz val="10"/>
        <rFont val="Arial"/>
        <family val="2"/>
      </rPr>
      <t xml:space="preserve">2 </t>
    </r>
    <r>
      <rPr>
        <b/>
        <sz val="10"/>
        <rFont val="Arial"/>
        <family val="2"/>
      </rPr>
      <t>(ppm)</t>
    </r>
  </si>
  <si>
    <t xml:space="preserve"> Atmospheric CO2 concentrations (ppm) derived from in situ air measurements                </t>
  </si>
  <si>
    <t xml:space="preserve"> at Mauna Loa, Observatory, Hawaii: Latitude 19.5Â°N Longitude 155.6Â°W Elevation 3397m      </t>
  </si>
  <si>
    <t xml:space="preserve">                                                                                           </t>
  </si>
  <si>
    <t xml:space="preserve"> Source: R. F. Keeling, S. J. Walker, S. C. Piper and A. F. Bollenbacher                   </t>
  </si>
  <si>
    <t xml:space="preserve"> Scripps CO2 Program ( http://scrippsco2.ucsd.edu )                                        </t>
  </si>
  <si>
    <t xml:space="preserve"> Scripps Institution of Oceanography (SIO)                                                 </t>
  </si>
  <si>
    <t xml:space="preserve"> University of California                                                                  </t>
  </si>
  <si>
    <t xml:space="preserve"> La Jolla, California USA 92093-0244                                                       </t>
  </si>
  <si>
    <t xml:space="preserve"> Status of data and correspondence:                                                        </t>
  </si>
  <si>
    <t xml:space="preserve"> These data are subject to revision based on recalibration of standard gases. Questions    </t>
  </si>
  <si>
    <t xml:space="preserve"> about the data should be directed to Dr. Ralph Keeling (rkeeling@ucsd.edu), Stephen Walker</t>
  </si>
  <si>
    <t xml:space="preserve"> (sjwalker@ucsd.edu) and Stephen Piper (scpiper@ucsd.edu), Scripps CO2 Program.            </t>
  </si>
  <si>
    <t xml:space="preserve"> Baseline data in this file through  last updated                                          </t>
  </si>
  <si>
    <t>-------------------------------------------------------------------------------------------</t>
  </si>
  <si>
    <t xml:space="preserve"> Please cite as:                                                                           </t>
  </si>
  <si>
    <t xml:space="preserve"> C. D. Keeling, S. C. Piper, R. B. Bacastow, M. Wahlen, T. P. Whorf, M. Heimann, and       </t>
  </si>
  <si>
    <t xml:space="preserve"> H. A. Meijer, Exchanges of atmospheric CO2 and 13CO2 with the terrestrial biosphere and   </t>
  </si>
  <si>
    <t xml:space="preserve"> oceans from 1978 to 2000.  I. Global aspects, SIO Reference Series, No. 01-06, Scripps    </t>
  </si>
  <si>
    <t xml:space="preserve"> Institution of Oceanography, San Diego, 88 pages, 2001.                                   </t>
  </si>
  <si>
    <t xml:space="preserve"> If it is necessary to cite a peer-reviewed article, please cite as:                       </t>
  </si>
  <si>
    <t xml:space="preserve"> H. A. Meijer, Atmospheric CO2 and 13CO2 exchange with the terrestrial biosphere and       </t>
  </si>
  <si>
    <t xml:space="preserve"> oceans from 1978 to 2000: observations and carbon cycle implications, pages 83-113,       </t>
  </si>
  <si>
    <t xml:space="preserve"> in A History of Atmospheric CO2 and its effects on Plants</t>
  </si>
  <si>
    <t xml:space="preserve"> editors, Ehleringer, J.R., T. E. Cerling, M. D. Dearing, Springer Verlag,                 </t>
  </si>
  <si>
    <t xml:space="preserve"> New York, 2005.                                                                           </t>
  </si>
  <si>
    <t xml:space="preserve">       Nitrogen mineralisation based on</t>
  </si>
  <si>
    <t>Default LINGRA-N; NLIMIT</t>
  </si>
  <si>
    <t>WOFOST; NLIMIT</t>
  </si>
  <si>
    <t>Default LINGRA-N; RNMINS</t>
  </si>
  <si>
    <t>Nmins</t>
  </si>
  <si>
    <t>Default LINGRA-N; NMIN</t>
  </si>
  <si>
    <t>Additional N mineralization parameters</t>
  </si>
  <si>
    <t>Ratio of nitrogen taken up and yield biomass</t>
  </si>
  <si>
    <t>Weight of living stems; WST</t>
  </si>
  <si>
    <t>Percolation (flux) to deeper soil layers</t>
  </si>
  <si>
    <t>1st Harvest</t>
  </si>
  <si>
    <t>2nd Harvest</t>
  </si>
  <si>
    <t>3rd Harvest</t>
  </si>
  <si>
    <t>4th Harvest</t>
  </si>
  <si>
    <t>5th Harvest</t>
  </si>
  <si>
    <t>6th Harvest</t>
  </si>
  <si>
    <t>7th Harvest</t>
  </si>
  <si>
    <t>8th Harvest</t>
  </si>
  <si>
    <t>9th Harvest</t>
  </si>
  <si>
    <t>10th Harvest</t>
  </si>
  <si>
    <t>N loss via death or harvest of stems; NLOSSS</t>
  </si>
  <si>
    <t>Change of N losses due to death or harvest of stems; RNLDST</t>
  </si>
  <si>
    <t>N loss via death of leaves; NLOSSL</t>
  </si>
  <si>
    <t>Dry weight of harvested stems (HARVST)</t>
  </si>
  <si>
    <t>Total weight of cut stems (GRASS-ST)</t>
  </si>
  <si>
    <t>Total harvested weight (CUMHARV)</t>
  </si>
  <si>
    <t>Total harvested weight (THARV)</t>
  </si>
  <si>
    <t>Total weight of cut green leaf mass (GRASS)</t>
  </si>
  <si>
    <t>Total N loss via cut grass; TNLOSSL</t>
  </si>
  <si>
    <t>Amount of N in living leaves after harvest; NLVAHR</t>
  </si>
  <si>
    <t>N loss via cut grass; C_NLOSSL</t>
  </si>
  <si>
    <t>Cumulative N uptake, plus initial N content</t>
  </si>
  <si>
    <t>Total produced amount of biomass plus starting weight; GTSUM</t>
  </si>
  <si>
    <t>Optimal N concentration as fraction of maximum N concentration</t>
  </si>
  <si>
    <t>Max N concentration in roots as a fraction of max N concentration in leaves</t>
  </si>
  <si>
    <t>Max N concentration in stems as a fraction of max N concentration in leaves</t>
  </si>
  <si>
    <t>Max N concentration (=1.6*min N conc.) in storage organs</t>
  </si>
  <si>
    <t>Max N concentration in living leaves</t>
  </si>
  <si>
    <t>N recirculation from dead leaves</t>
  </si>
  <si>
    <t>Rate of change of N amount in the living leaves; RNLV</t>
  </si>
  <si>
    <t>Mineralization of the available amount of soil organic N; RNMINS</t>
  </si>
  <si>
    <r>
      <t>kg ha</t>
    </r>
    <r>
      <rPr>
        <vertAlign val="superscript"/>
        <sz val="10"/>
        <rFont val="Arial"/>
        <family val="2"/>
      </rPr>
      <t>-1</t>
    </r>
  </si>
  <si>
    <t>Mean leaf area index</t>
  </si>
  <si>
    <t>Important outputs</t>
  </si>
  <si>
    <t xml:space="preserve">       Latitude</t>
  </si>
  <si>
    <t>Partitioning of dry matter</t>
  </si>
  <si>
    <t xml:space="preserve">       Fraction of above-gr. DM to leaves</t>
  </si>
  <si>
    <t xml:space="preserve">       Fraction of above-gr. DM to stems</t>
  </si>
  <si>
    <t>Total weight of harvested green leaves</t>
  </si>
  <si>
    <t>Total produced biomass - above and below ground</t>
  </si>
  <si>
    <r>
      <t>kg N (kg DM)</t>
    </r>
    <r>
      <rPr>
        <vertAlign val="superscript"/>
        <sz val="10"/>
        <rFont val="Arial"/>
        <family val="2"/>
      </rPr>
      <t>-1</t>
    </r>
  </si>
  <si>
    <t>°N</t>
  </si>
  <si>
    <r>
      <t>mm d</t>
    </r>
    <r>
      <rPr>
        <vertAlign val="superscript"/>
        <sz val="10"/>
        <rFont val="Arial"/>
        <family val="2"/>
      </rPr>
      <t>-1</t>
    </r>
  </si>
  <si>
    <r>
      <t>m</t>
    </r>
    <r>
      <rPr>
        <vertAlign val="superscript"/>
        <sz val="10"/>
        <rFont val="Arial"/>
        <family val="2"/>
      </rPr>
      <t>2</t>
    </r>
    <r>
      <rPr>
        <sz val="10"/>
        <rFont val="Arial"/>
        <family val="2"/>
      </rPr>
      <t xml:space="preserve"> m</t>
    </r>
    <r>
      <rPr>
        <vertAlign val="superscript"/>
        <sz val="10"/>
        <rFont val="Arial"/>
        <family val="2"/>
      </rPr>
      <t>-2</t>
    </r>
  </si>
  <si>
    <r>
      <t>no. m</t>
    </r>
    <r>
      <rPr>
        <vertAlign val="superscript"/>
        <sz val="10"/>
        <rFont val="Arial"/>
        <family val="2"/>
      </rPr>
      <t>-2</t>
    </r>
  </si>
  <si>
    <r>
      <t>kg DM ha</t>
    </r>
    <r>
      <rPr>
        <vertAlign val="superscript"/>
        <sz val="10"/>
        <rFont val="Arial"/>
        <family val="2"/>
      </rPr>
      <t>-1</t>
    </r>
  </si>
  <si>
    <r>
      <rPr>
        <vertAlign val="superscript"/>
        <sz val="10"/>
        <rFont val="Arial"/>
        <family val="2"/>
      </rPr>
      <t>o</t>
    </r>
    <r>
      <rPr>
        <sz val="10"/>
        <rFont val="Arial"/>
        <family val="2"/>
      </rPr>
      <t>C</t>
    </r>
  </si>
  <si>
    <t>Amount of nitrogen taken up by crop</t>
  </si>
  <si>
    <r>
      <t>kg N ha</t>
    </r>
    <r>
      <rPr>
        <vertAlign val="superscript"/>
        <sz val="10"/>
        <rFont val="Arial"/>
        <family val="2"/>
      </rPr>
      <t>-1</t>
    </r>
  </si>
  <si>
    <t>°C d</t>
  </si>
  <si>
    <r>
      <t>g (MJ PAR)</t>
    </r>
    <r>
      <rPr>
        <vertAlign val="superscript"/>
        <sz val="10"/>
        <rFont val="Arial"/>
        <family val="2"/>
      </rPr>
      <t>-1</t>
    </r>
  </si>
  <si>
    <r>
      <t>m</t>
    </r>
    <r>
      <rPr>
        <vertAlign val="superscript"/>
        <sz val="10"/>
        <rFont val="Arial"/>
        <family val="2"/>
      </rPr>
      <t>2</t>
    </r>
    <r>
      <rPr>
        <sz val="10"/>
        <rFont val="Arial"/>
        <family val="2"/>
      </rPr>
      <t xml:space="preserve"> leaf g</t>
    </r>
    <r>
      <rPr>
        <vertAlign val="superscript"/>
        <sz val="10"/>
        <rFont val="Arial"/>
        <family val="2"/>
      </rPr>
      <t>-1</t>
    </r>
    <r>
      <rPr>
        <sz val="10"/>
        <rFont val="Arial"/>
        <family val="2"/>
      </rPr>
      <t xml:space="preserve"> leaf DM</t>
    </r>
  </si>
  <si>
    <r>
      <t>mm</t>
    </r>
    <r>
      <rPr>
        <vertAlign val="superscript"/>
        <sz val="10"/>
        <rFont val="Arial"/>
        <family val="2"/>
      </rPr>
      <t xml:space="preserve">3 </t>
    </r>
    <r>
      <rPr>
        <sz val="10"/>
        <rFont val="Arial"/>
        <family val="2"/>
      </rPr>
      <t>mm</t>
    </r>
    <r>
      <rPr>
        <vertAlign val="superscript"/>
        <sz val="10"/>
        <rFont val="Arial"/>
        <family val="2"/>
      </rPr>
      <t>-3</t>
    </r>
  </si>
  <si>
    <r>
      <t>kg N uptake (kg N applied)</t>
    </r>
    <r>
      <rPr>
        <vertAlign val="superscript"/>
        <sz val="10"/>
        <rFont val="Arial"/>
        <family val="2"/>
      </rPr>
      <t>-1</t>
    </r>
  </si>
  <si>
    <r>
      <t>d</t>
    </r>
    <r>
      <rPr>
        <vertAlign val="superscript"/>
        <sz val="10"/>
        <rFont val="Arial"/>
        <family val="2"/>
      </rPr>
      <t>-1</t>
    </r>
  </si>
  <si>
    <r>
      <t>MJ m</t>
    </r>
    <r>
      <rPr>
        <vertAlign val="superscript"/>
        <sz val="10"/>
        <rFont val="Arial"/>
        <family val="2"/>
      </rPr>
      <t>-2</t>
    </r>
    <r>
      <rPr>
        <sz val="10"/>
        <rFont val="Arial"/>
        <family val="2"/>
      </rPr>
      <t xml:space="preserve"> d</t>
    </r>
    <r>
      <rPr>
        <vertAlign val="superscript"/>
        <sz val="10"/>
        <rFont val="Arial"/>
        <family val="2"/>
      </rPr>
      <t>-1</t>
    </r>
    <r>
      <rPr>
        <sz val="10"/>
        <rFont val="Arial"/>
        <family val="2"/>
      </rPr>
      <t xml:space="preserve"> K</t>
    </r>
    <r>
      <rPr>
        <vertAlign val="superscript"/>
        <sz val="10"/>
        <rFont val="Arial"/>
        <family val="2"/>
      </rPr>
      <t>-4</t>
    </r>
  </si>
  <si>
    <r>
      <t>MJ mm</t>
    </r>
    <r>
      <rPr>
        <vertAlign val="superscript"/>
        <sz val="10"/>
        <rFont val="Arial"/>
        <family val="2"/>
      </rPr>
      <t>-1</t>
    </r>
    <r>
      <rPr>
        <sz val="10"/>
        <rFont val="Arial"/>
        <family val="2"/>
      </rPr>
      <t xml:space="preserve"> m</t>
    </r>
    <r>
      <rPr>
        <vertAlign val="superscript"/>
        <sz val="10"/>
        <rFont val="Arial"/>
        <family val="2"/>
      </rPr>
      <t>-2</t>
    </r>
  </si>
  <si>
    <r>
      <t>K</t>
    </r>
    <r>
      <rPr>
        <vertAlign val="superscript"/>
        <sz val="10"/>
        <rFont val="Arial"/>
        <family val="2"/>
      </rPr>
      <t>-1</t>
    </r>
  </si>
  <si>
    <r>
      <t>kg N (kg dry biomass)</t>
    </r>
    <r>
      <rPr>
        <vertAlign val="superscript"/>
        <sz val="10"/>
        <rFont val="Arial"/>
        <family val="2"/>
      </rPr>
      <t>-1</t>
    </r>
  </si>
  <si>
    <t>N concentration in storage organs; NFSO</t>
  </si>
  <si>
    <t>Clearing cut</t>
  </si>
  <si>
    <t>Cumulative canopy evaporation</t>
  </si>
  <si>
    <t>Stem area index</t>
  </si>
  <si>
    <t>Leaf and stem area index; LAI</t>
  </si>
  <si>
    <t xml:space="preserve">       Total mineral soil N available at start of growth period</t>
  </si>
  <si>
    <t>Harvested leaves as a proportion of total harvest</t>
  </si>
  <si>
    <t>N concentration in stems; NFST</t>
  </si>
  <si>
    <t>N concentration in the lving leaves; NFLV</t>
  </si>
  <si>
    <t>Maximal N concemtration in leaves; NMAXLV</t>
  </si>
  <si>
    <t>Total mineral N directly available from soil and fertiliser; NMINT</t>
  </si>
  <si>
    <t>Amount of organic N potentially available by mineralization from the soil; NMIN</t>
  </si>
  <si>
    <r>
      <t>kg N ha</t>
    </r>
    <r>
      <rPr>
        <b/>
        <vertAlign val="superscript"/>
        <sz val="10"/>
        <rFont val="Arial"/>
        <family val="2"/>
      </rPr>
      <t>-1</t>
    </r>
  </si>
  <si>
    <t>0 kg N/ha</t>
  </si>
  <si>
    <t>Pt1: 150 kg N/ha</t>
  </si>
  <si>
    <t>Pt1: 300 kg N/ha</t>
  </si>
  <si>
    <t>Pt1: 450 kg N/ha</t>
  </si>
  <si>
    <t>Pt1: 600 kg N/ha</t>
  </si>
  <si>
    <t>Pt1: 750 kg N/ha</t>
  </si>
  <si>
    <t>Pt2: 150 kg N/ha</t>
  </si>
  <si>
    <t>Pt2: 300 kg N/ha</t>
  </si>
  <si>
    <t>Pt3: 300 kg N/ha</t>
  </si>
  <si>
    <t>Pt2: 450 kg N/ha</t>
  </si>
  <si>
    <t>Pt2: 600 kg N/ha</t>
  </si>
  <si>
    <t>Pt3: 600 kg N/ha</t>
  </si>
  <si>
    <t>Pt2:750 kg N/ha</t>
  </si>
  <si>
    <t>Critical soil temperature</t>
  </si>
  <si>
    <t>Selected weather</t>
  </si>
  <si>
    <t>3 weeks (26.2)</t>
  </si>
  <si>
    <t>4 weeks (32.8)</t>
  </si>
  <si>
    <t>5 weeks (43.7)</t>
  </si>
  <si>
    <t>6 weeks (105)</t>
  </si>
  <si>
    <t>8 weeks (65.5)</t>
  </si>
  <si>
    <t>10 weeks (87.5)</t>
  </si>
  <si>
    <t>3 weeks (52.5)</t>
  </si>
  <si>
    <t>4 weeks (65.6)</t>
  </si>
  <si>
    <t>5 weeks (87.5)</t>
  </si>
  <si>
    <t>8 weeks (131.2)</t>
  </si>
  <si>
    <t>10 weeks (175)</t>
  </si>
  <si>
    <t>Thermal time: Sowing to emergence (BBCH: 0 to 9)</t>
  </si>
  <si>
    <t>Thermal time: Emergence to tillering (BBCH: 9 to 21)</t>
  </si>
  <si>
    <t>Thermal time: Tillering to stem elongation (BBCH: 21 to 30)</t>
  </si>
  <si>
    <t>Thermal time: Stem elongation to flowering (BBCH: 30 to 60)</t>
  </si>
  <si>
    <t>Thermal time: Flowering to grain filling (BBCH:60 to 65)</t>
  </si>
  <si>
    <t>Thermal time: Grain filling to maturity (BBCH: 65 to 90)</t>
  </si>
  <si>
    <t>Minimum Optimum temperature for grass development</t>
  </si>
  <si>
    <t>Base temperature for grass development</t>
  </si>
  <si>
    <t>Maximum Optimum temperature for grass development</t>
  </si>
  <si>
    <t>Critical temperature for grass development</t>
  </si>
  <si>
    <t>3 Crop development</t>
  </si>
  <si>
    <t>Crop sown</t>
  </si>
  <si>
    <t>Initial growth stage (if used)</t>
  </si>
  <si>
    <t>GDD; Sowing to emergence</t>
  </si>
  <si>
    <t>GDDSum Sowing to emergence</t>
  </si>
  <si>
    <t>Sowing to emergence-switch factor</t>
  </si>
  <si>
    <t>BBCH (Sowing to emergence)</t>
  </si>
  <si>
    <t>°Cd</t>
  </si>
  <si>
    <t>Is the crop already sown? (0 = already sown; 1 = sown on specified date)</t>
  </si>
  <si>
    <t>Julian date of sowing (if sown)</t>
  </si>
  <si>
    <t>Initial BBCH (9, 20, 30)</t>
  </si>
  <si>
    <t>Development stage of crop after cutting</t>
  </si>
  <si>
    <t>Sowing to emergence (0 to 9) started</t>
  </si>
  <si>
    <t>Emergence to tillering on (1) or off (0) (9 to 21)</t>
  </si>
  <si>
    <t>GDD</t>
  </si>
  <si>
    <t>GDDSum Emergence to Tillering</t>
  </si>
  <si>
    <t>Emergence to tillering-switch factor</t>
  </si>
  <si>
    <t>BBCH (Emergence to tillering)</t>
  </si>
  <si>
    <t>Tillering to stem elongation (21 to 30)</t>
  </si>
  <si>
    <t>GDD; Tillering to stem elongation</t>
  </si>
  <si>
    <t>GDDSum Tillering to stem elongation</t>
  </si>
  <si>
    <t>Tillering to stem elongation-switch factor</t>
  </si>
  <si>
    <t>BBCH (Tillering to stem elongation)</t>
  </si>
  <si>
    <t>Stem elongation to flowering (30 to 60)</t>
  </si>
  <si>
    <t>GDD; Stem elongation to flowering</t>
  </si>
  <si>
    <t>GDDSum Stem elongation to flowering</t>
  </si>
  <si>
    <t>Stem elongation to flowering-switch factor</t>
  </si>
  <si>
    <t>BBCH (Stem elongation to flowering)</t>
  </si>
  <si>
    <t>Flower to begin grain filling (60 to 65)</t>
  </si>
  <si>
    <t>GDD; Flower to begin grain filling</t>
  </si>
  <si>
    <t>GDDSum Fowering to begin grain filling</t>
  </si>
  <si>
    <t>Flowering to grain filling switch factor</t>
  </si>
  <si>
    <t>BBCH (Flowering to start of grain filling)</t>
  </si>
  <si>
    <t>Grain filling to maturity (65 to 90)</t>
  </si>
  <si>
    <t>GDD; Begin grain filling to maturity</t>
  </si>
  <si>
    <t>GDDSum Begin grain filling to maturity</t>
  </si>
  <si>
    <t>Begin grain filling to maturity</t>
  </si>
  <si>
    <t>BBCH (Start of grain filling to maturity)</t>
  </si>
  <si>
    <t>Maturing switch factor</t>
  </si>
  <si>
    <t>BBCH (Harvest)</t>
  </si>
  <si>
    <t>GDDStage; GDDSum per development stage</t>
  </si>
  <si>
    <t>pStage; BBCH</t>
  </si>
  <si>
    <t>Potential partitioning to roots</t>
  </si>
  <si>
    <t>Potential partitioning to leaves</t>
  </si>
  <si>
    <t>Potential partitioning to stem</t>
  </si>
  <si>
    <t>Potential partitioning to seed</t>
  </si>
  <si>
    <t>4. Leaf area-elongation &amp; tillers</t>
  </si>
  <si>
    <t>5. Biomass production</t>
  </si>
  <si>
    <t>6. Senescene</t>
  </si>
  <si>
    <t>7. Partitioning-growth rates</t>
  </si>
  <si>
    <t>8. Nitrogen</t>
  </si>
  <si>
    <t>9. Evapotranspiration rates and soil water balance</t>
  </si>
  <si>
    <r>
      <t>Calculated varied</t>
    </r>
    <r>
      <rPr>
        <vertAlign val="superscript"/>
        <sz val="10"/>
        <rFont val="Arial"/>
        <family val="2"/>
      </rPr>
      <t>a</t>
    </r>
  </si>
  <si>
    <r>
      <rPr>
        <vertAlign val="superscript"/>
        <sz val="10"/>
        <rFont val="Arial"/>
        <family val="2"/>
      </rPr>
      <t>a</t>
    </r>
    <r>
      <rPr>
        <sz val="10"/>
        <rFont val="Arial"/>
        <family val="2"/>
      </rPr>
      <t>assuming no stress</t>
    </r>
  </si>
  <si>
    <t>Partitioning</t>
  </si>
  <si>
    <t>Thermal time (°Cd)</t>
  </si>
  <si>
    <t>BBCH</t>
  </si>
  <si>
    <t>Above ground to leaf</t>
  </si>
  <si>
    <t>Above ground to stem</t>
  </si>
  <si>
    <t>Above ground to seed</t>
  </si>
  <si>
    <t>Total DM to roots</t>
  </si>
  <si>
    <t>Root depth</t>
  </si>
  <si>
    <t xml:space="preserve">       Root depth </t>
  </si>
  <si>
    <t xml:space="preserve">       Fraction of total DM to roots</t>
  </si>
  <si>
    <t>Fraction of above gr. DM to stor. org. under non-stressed conditions; FSO</t>
  </si>
  <si>
    <t>Fraction of above gr. DM to stor. org. under stressed conditions; FSOT</t>
  </si>
  <si>
    <t>Dry weight of harvested storage organs</t>
  </si>
  <si>
    <t>Total weight of cut storage organs</t>
  </si>
  <si>
    <t>Total weight of harvested stems</t>
  </si>
  <si>
    <t>Total mineral soil N available at start of growth period</t>
  </si>
  <si>
    <t>Harvest</t>
  </si>
  <si>
    <t xml:space="preserve">      Annual rainfall </t>
  </si>
  <si>
    <t xml:space="preserve">      Assumed annual irrigation </t>
  </si>
  <si>
    <t xml:space="preserve">      Annual solar radiation</t>
  </si>
  <si>
    <t xml:space="preserve">      Mean temperature</t>
  </si>
  <si>
    <t>Air dry water content (fraction) (currently not used)</t>
  </si>
  <si>
    <t>Minimum water content at water logging (fraction) (currently not used)</t>
  </si>
  <si>
    <t>Fraction of crop N uptake by biological fixation (not used)</t>
  </si>
  <si>
    <t xml:space="preserve">Morrison et al </t>
  </si>
  <si>
    <t>Meteorological</t>
  </si>
  <si>
    <t>Carbon dioxide</t>
  </si>
  <si>
    <t xml:space="preserve">     Assumed carbon dioxide concentration</t>
  </si>
  <si>
    <t>Total weight of harvested green leaves, stems, and seeds</t>
  </si>
  <si>
    <t>Total weight of harvested storage organ (seeds)</t>
  </si>
  <si>
    <t xml:space="preserve">       Fraction of above-gr. DM to storage organs (seeds)</t>
  </si>
  <si>
    <t>m</t>
  </si>
  <si>
    <t>Based on LINGRA-N model written in Fortran by Joost Wolf and Ad Schapendonk (March 2012)</t>
  </si>
  <si>
    <t>An Excel version of the LINGRA-N grass growth model, incorporating changes in partitioning with development stage and nitrogen mineralisation</t>
  </si>
  <si>
    <t>Important inputs (cells in yellow can be modified)</t>
  </si>
  <si>
    <t xml:space="preserve">     Increase in carbon dioxide from default</t>
  </si>
  <si>
    <t>Conversion to green leaf sink limited carbon demand</t>
  </si>
  <si>
    <t>Total growth rate of leaves; GTW</t>
  </si>
  <si>
    <t>Temperature sums (degree days) after planting for leaf &amp; tuber development</t>
  </si>
  <si>
    <t xml:space="preserve">       Temperature change from default</t>
  </si>
  <si>
    <t xml:space="preserve">       Selected weather data (1-21)</t>
  </si>
  <si>
    <t xml:space="preserve">       Is partitioning fixed or varied (0 = fixed; 1 = automatic (See B85:G91)</t>
  </si>
  <si>
    <t>Harvest routine (Altered by changing Cell B20)</t>
  </si>
  <si>
    <t>Fertiliser N application (Altered by changing Cell B25)</t>
  </si>
  <si>
    <t>Irrigation water applied (Altered by changing Cell B32)</t>
  </si>
  <si>
    <t xml:space="preserve">       Leaf area index after cutting (CLAI)</t>
  </si>
  <si>
    <t>BBCH development stage above which no crop N uptake does occur</t>
  </si>
  <si>
    <t>Radiation use efficiency for biomass (vegetative stage)</t>
  </si>
  <si>
    <t>Radiation use efficiency for biomass (maturity)</t>
  </si>
  <si>
    <t>BBCH development stage at which death of leaves start (about 600°Cd)</t>
  </si>
  <si>
    <t>BBCH development stage above which N translocation to storage organs does occur</t>
  </si>
  <si>
    <t>Specific stem area</t>
  </si>
  <si>
    <t>Fixed interval: days (only when Control!B20=8)</t>
  </si>
  <si>
    <r>
      <t xml:space="preserve">       Dry weight of green leaves if cutting determined by crop weight (</t>
    </r>
    <r>
      <rPr>
        <b/>
        <sz val="10"/>
        <color theme="8"/>
        <rFont val="Arial"/>
        <family val="2"/>
      </rPr>
      <t>only applicable if B18=1</t>
    </r>
    <r>
      <rPr>
        <sz val="10"/>
        <rFont val="Arial"/>
        <family val="2"/>
      </rPr>
      <t>)</t>
    </r>
  </si>
  <si>
    <t>Number of swards harvested (cuttings); If '1' then cuts sets by B18; if '0' then no cuts</t>
  </si>
  <si>
    <t xml:space="preserve">       Grass cut at specific weight (1); Grass cut at specific dates (2)</t>
  </si>
  <si>
    <r>
      <t xml:space="preserve">       Selected irrigation routine (1-4) (</t>
    </r>
    <r>
      <rPr>
        <b/>
        <sz val="10"/>
        <color theme="8"/>
        <rFont val="Arial"/>
        <family val="2"/>
      </rPr>
      <t>only applicable if B31=1</t>
    </r>
    <r>
      <rPr>
        <sz val="10"/>
        <rFont val="Arial"/>
        <family val="2"/>
      </rPr>
      <t>)</t>
    </r>
  </si>
  <si>
    <r>
      <t xml:space="preserve">       Selected nitrogen routine (1-14) (</t>
    </r>
    <r>
      <rPr>
        <b/>
        <sz val="10"/>
        <color theme="8"/>
        <rFont val="Arial"/>
        <family val="2"/>
      </rPr>
      <t>only applicable if B24=1</t>
    </r>
    <r>
      <rPr>
        <sz val="10"/>
        <rFont val="Arial"/>
        <family val="2"/>
      </rPr>
      <t>)</t>
    </r>
  </si>
  <si>
    <r>
      <t xml:space="preserve">       Selected interval if based on interval (</t>
    </r>
    <r>
      <rPr>
        <b/>
        <sz val="10"/>
        <color theme="8"/>
        <rFont val="Arial"/>
        <family val="2"/>
      </rPr>
      <t>only applicable if B20=8</t>
    </r>
    <r>
      <rPr>
        <sz val="10"/>
        <color theme="1"/>
        <rFont val="Arial"/>
        <family val="2"/>
      </rPr>
      <t>)</t>
    </r>
  </si>
  <si>
    <t>Selected harvest routine (1-7),  (by typing 8, activates B21 - set up interval)</t>
  </si>
  <si>
    <t>Corrected RUE</t>
  </si>
  <si>
    <t>For Wilman et al. 1976 - Excluding clearing cut</t>
  </si>
  <si>
    <t>developed by Michail Giannitsopoulos and Paul Burgess, Cranfield University (February 2020)</t>
  </si>
  <si>
    <t>Wilman et al. 1976</t>
  </si>
  <si>
    <t>Saturated vapour pressure at Tmean; SVAP</t>
  </si>
  <si>
    <t>Slope of saturation vapour pressure deficit ( D ) FAO56</t>
  </si>
  <si>
    <t>Date...33</t>
  </si>
  <si>
    <t>...36</t>
  </si>
  <si>
    <t>...37</t>
  </si>
  <si>
    <t>...38</t>
  </si>
  <si>
    <t>...39</t>
  </si>
  <si>
    <t>...41</t>
  </si>
  <si>
    <t>...42</t>
  </si>
  <si>
    <t>&lt;U+0394&gt;GDD; Sowing to emergence (0 to 9)</t>
  </si>
  <si>
    <t>&lt;U+0394&gt;GDD Emergence to tillering</t>
  </si>
  <si>
    <t>&lt;U+0394&gt;GDD; Tillering to stem elongation</t>
  </si>
  <si>
    <t>&lt;U+0394&gt;GDD; Stem elongation to flowering</t>
  </si>
  <si>
    <t>&lt;U+0394&gt;GDD; Flower to begin grain filling</t>
  </si>
  <si>
    <t>&lt;U+0394&gt;GDD; Begin grain filling to maturity</t>
  </si>
  <si>
    <t>Date...101</t>
  </si>
  <si>
    <t>Date...131</t>
  </si>
  <si>
    <t>Date...176</t>
  </si>
  <si>
    <t>Date...222</t>
  </si>
  <si>
    <t>Fertilizer N application; (0=NO, 1=YES)</t>
  </si>
  <si>
    <t>&lt;U+0394&gt;Nrpm reduction</t>
  </si>
  <si>
    <t>&lt;U+0394&gt;Ndpm reduction</t>
  </si>
  <si>
    <t>&lt;U+0394&gt;nmin - sourced from NPOT</t>
  </si>
  <si>
    <t>Date...311</t>
  </si>
  <si>
    <t>Potential evaporation from open water; E0...336</t>
  </si>
  <si>
    <t>Potential evaporation from soil surface; ES0...337</t>
  </si>
  <si>
    <t>Potential evaporation from open water; E0...338</t>
  </si>
  <si>
    <t>Potential evaporation from soil surface; ES0...339</t>
  </si>
  <si>
    <t>Potential evaporation of a closed canopy; ET0...343</t>
  </si>
  <si>
    <t>Correction factor for Penman evapo-transpiration rate as a function of atmospheric CO2 concetration for C3 crops; FPENMTB</t>
  </si>
  <si>
    <t>Potential evaporation of a closed canopy; ET0...345</t>
  </si>
  <si>
    <t>Correction of potential evapo-transpiration for atmospheric CO2 concentration</t>
  </si>
  <si>
    <t>Potential transpiration of crop (with CO2 correction for C3 crop); ETC</t>
  </si>
  <si>
    <t>Irrigation (only used when reading from table in the Control sheet; (2= irrigation on the day defined in the Control sheet)</t>
  </si>
  <si>
    <t>Permanent wilting point...402</t>
  </si>
  <si>
    <t>Permanent wilting point...403</t>
  </si>
  <si>
    <t>Field capacity...404</t>
  </si>
  <si>
    <t>Field capacity...405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</si>
</sst>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_(* #,##0.00_);_(* \(#,##0.00\);_(* &quot;-&quot;??_);_(@_)"/>
    <numFmt numFmtId="165" formatCode="0.00000"/>
    <numFmt numFmtId="166" formatCode="0.0000"/>
    <numFmt numFmtId="167" formatCode="0.000"/>
    <numFmt numFmtId="168" formatCode="0.0"/>
    <numFmt numFmtId="169" formatCode="#,##0.0"/>
    <numFmt numFmtId="170" formatCode="[$-409]d\-mmm;@"/>
    <numFmt numFmtId="171" formatCode="[$-409]d/mmm/yyyy;@"/>
    <numFmt numFmtId="172" formatCode="#,##0.000"/>
    <numFmt numFmtId="173" formatCode="_(* #,##0_);_(* \(#,##0\);_(* &quot;-&quot;??_);_(@_)"/>
    <numFmt numFmtId="174" formatCode="_(* #,##0.000_);_(* \(#,##0.000\);_(* &quot;-&quot;??_);_(@_)"/>
    <numFmt numFmtId="175" formatCode="_(* #,##0.00000_);_(* \(#,##0.00000\);_(* &quot;-&quot;??_);_(@_)"/>
    <numFmt numFmtId="176" formatCode="_(* #,##0.0000_);_(* \(#,##0.0000\);_(* &quot;-&quot;??_);_(@_)"/>
  </numFmts>
  <fonts count="33" x14ac:knownFonts="1">
    <font>
      <sz val="10"/>
      <name val="Arial"/>
    </font>
    <font>
      <b/>
      <sz val="10"/>
      <name val="Arial"/>
      <family val="2"/>
    </font>
    <font>
      <sz val="10"/>
      <name val="Arial"/>
      <family val="2"/>
    </font>
    <font>
      <sz val="10"/>
      <name val="Arial"/>
      <family val="2"/>
    </font>
    <font>
      <sz val="10"/>
      <color indexed="8"/>
      <name val="MS Sans Serif"/>
    </font>
    <font>
      <vertAlign val="superscript"/>
      <sz val="10"/>
      <name val="Arial"/>
      <family val="2"/>
    </font>
    <font>
      <b/>
      <sz val="10"/>
      <name val="Arial"/>
      <family val="2"/>
    </font>
    <font>
      <i/>
      <sz val="10"/>
      <name val="Arial"/>
      <family val="2"/>
    </font>
    <font>
      <sz val="10"/>
      <color indexed="8"/>
      <name val="Arial"/>
      <family val="2"/>
    </font>
    <font>
      <sz val="12"/>
      <name val="Calibri"/>
      <family val="2"/>
    </font>
    <font>
      <sz val="9"/>
      <color indexed="81"/>
      <name val="Tahoma"/>
      <family val="2"/>
    </font>
    <font>
      <b/>
      <sz val="9"/>
      <color indexed="81"/>
      <name val="Tahoma"/>
      <family val="2"/>
    </font>
    <font>
      <sz val="11"/>
      <name val="Calibri"/>
      <family val="2"/>
    </font>
    <font>
      <b/>
      <sz val="12"/>
      <color rgb="FFFF0000"/>
      <name val="Arial"/>
      <family val="2"/>
    </font>
    <font>
      <sz val="7"/>
      <name val="Arial"/>
      <family val="2"/>
    </font>
    <font>
      <vertAlign val="superscript"/>
      <sz val="7"/>
      <name val="Arial"/>
      <family val="2"/>
    </font>
    <font>
      <vertAlign val="superscript"/>
      <sz val="7"/>
      <name val="Times New Roman"/>
      <family val="1"/>
    </font>
    <font>
      <sz val="7"/>
      <name val="Times New Roman"/>
      <family val="1"/>
    </font>
    <font>
      <b/>
      <sz val="11"/>
      <name val="Arial"/>
      <family val="2"/>
    </font>
    <font>
      <b/>
      <u/>
      <sz val="11"/>
      <name val="Arial"/>
      <family val="2"/>
    </font>
    <font>
      <u/>
      <sz val="10"/>
      <name val="Arial"/>
      <family val="2"/>
    </font>
    <font>
      <u/>
      <sz val="11"/>
      <color rgb="FF0070C0"/>
      <name val="Calibri"/>
      <family val="2"/>
    </font>
    <font>
      <sz val="11"/>
      <color theme="1"/>
      <name val="Calibri"/>
      <family val="2"/>
    </font>
    <font>
      <sz val="10"/>
      <color rgb="FFFF0000"/>
      <name val="Arial"/>
      <family val="2"/>
    </font>
    <font>
      <i/>
      <sz val="7"/>
      <name val="Arial"/>
      <family val="2"/>
    </font>
    <font>
      <b/>
      <vertAlign val="subscript"/>
      <sz val="10"/>
      <name val="Arial"/>
      <family val="2"/>
    </font>
    <font>
      <sz val="10"/>
      <color theme="1"/>
      <name val="Arial"/>
      <family val="2"/>
    </font>
    <font>
      <b/>
      <sz val="10"/>
      <color theme="1"/>
      <name val="Arial"/>
      <family val="2"/>
    </font>
    <font>
      <b/>
      <vertAlign val="superscript"/>
      <sz val="10"/>
      <name val="Arial"/>
      <family val="2"/>
    </font>
    <font>
      <sz val="10"/>
      <name val="Arial"/>
      <family val="2"/>
    </font>
    <font>
      <sz val="8"/>
      <name val="Arial"/>
      <family val="2"/>
    </font>
    <font>
      <b/>
      <sz val="10"/>
      <color rgb="FFFF0000"/>
      <name val="Arial"/>
      <family val="2"/>
    </font>
    <font>
      <b/>
      <sz val="10"/>
      <color theme="8"/>
      <name val="Arial"/>
      <family val="2"/>
    </font>
  </fonts>
  <fills count="19">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rgb="FFFFFFCC"/>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0"/>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rgb="FF25B555"/>
        <bgColor indexed="64"/>
      </patternFill>
    </fill>
    <fill>
      <patternFill patternType="solid">
        <fgColor theme="0" tint="-0.249977111117893"/>
        <bgColor indexed="64"/>
      </patternFill>
    </fill>
    <fill>
      <patternFill patternType="solid">
        <fgColor rgb="FFFFC000"/>
        <bgColor indexed="64"/>
      </patternFill>
    </fill>
    <fill>
      <patternFill patternType="solid">
        <fgColor rgb="FFFFFF99"/>
        <bgColor indexed="64"/>
      </patternFill>
    </fill>
    <fill>
      <patternFill patternType="solid">
        <fgColor theme="6" tint="0.79998168889431442"/>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theme="8" tint="0.79998168889431442"/>
        <bgColor indexed="64"/>
      </patternFill>
    </fill>
  </fills>
  <borders count="49">
    <border>
      <left/>
      <right/>
      <top/>
      <bottom/>
      <diagonal/>
    </border>
    <border>
      <left style="medium">
        <color indexed="64"/>
      </left>
      <right/>
      <top/>
      <bottom/>
      <diagonal/>
    </border>
    <border>
      <left/>
      <right/>
      <top style="medium">
        <color indexed="64"/>
      </top>
      <bottom/>
      <diagonal/>
    </border>
    <border>
      <left style="medium">
        <color indexed="64"/>
      </left>
      <right/>
      <top style="medium">
        <color indexed="64"/>
      </top>
      <bottom/>
      <diagonal/>
    </border>
    <border>
      <left/>
      <right style="medium">
        <color indexed="64"/>
      </right>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style="thin">
        <color indexed="64"/>
      </left>
      <right/>
      <top/>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medium">
        <color indexed="64"/>
      </right>
      <top/>
      <bottom/>
      <diagonal/>
    </border>
    <border>
      <left style="thin">
        <color indexed="64"/>
      </left>
      <right style="thin">
        <color indexed="64"/>
      </right>
      <top/>
      <bottom style="medium">
        <color indexed="64"/>
      </bottom>
      <diagonal/>
    </border>
    <border>
      <left style="medium">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bottom/>
      <diagonal/>
    </border>
    <border>
      <left/>
      <right style="thin">
        <color indexed="64"/>
      </right>
      <top/>
      <bottom style="thin">
        <color indexed="64"/>
      </bottom>
      <diagonal/>
    </border>
    <border>
      <left/>
      <right style="thick">
        <color indexed="64"/>
      </right>
      <top/>
      <bottom style="medium">
        <color indexed="64"/>
      </bottom>
      <diagonal/>
    </border>
    <border>
      <left/>
      <right style="thick">
        <color indexed="64"/>
      </right>
      <top/>
      <bottom/>
      <diagonal/>
    </border>
    <border>
      <left/>
      <right style="thick">
        <color indexed="64"/>
      </right>
      <top style="medium">
        <color indexed="64"/>
      </top>
      <bottom style="medium">
        <color indexed="64"/>
      </bottom>
      <diagonal/>
    </border>
    <border>
      <left style="thin">
        <color indexed="64"/>
      </left>
      <right/>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medium">
        <color indexed="64"/>
      </right>
      <top/>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indexed="64"/>
      </bottom>
      <diagonal/>
    </border>
    <border>
      <left/>
      <right style="mediumDashDotDot">
        <color indexed="64"/>
      </right>
      <top/>
      <bottom/>
      <diagonal/>
    </border>
    <border>
      <left/>
      <right style="mediumDashDotDot">
        <color indexed="64"/>
      </right>
      <top style="medium">
        <color indexed="64"/>
      </top>
      <bottom style="medium">
        <color indexed="64"/>
      </bottom>
      <diagonal/>
    </border>
    <border>
      <left/>
      <right style="mediumDashDotDot">
        <color indexed="64"/>
      </right>
      <top style="medium">
        <color indexed="64"/>
      </top>
      <bottom/>
      <diagonal/>
    </border>
    <border>
      <left/>
      <right style="medium">
        <color indexed="64"/>
      </right>
      <top/>
      <bottom style="thin">
        <color indexed="64"/>
      </bottom>
      <diagonal/>
    </border>
    <border>
      <left/>
      <right style="mediumDashDotDot">
        <color indexed="64"/>
      </right>
      <top/>
      <bottom style="medium">
        <color indexed="64"/>
      </bottom>
      <diagonal/>
    </border>
    <border>
      <left style="medium">
        <color indexed="64"/>
      </left>
      <right style="thin">
        <color indexed="64"/>
      </right>
      <top style="medium">
        <color indexed="64"/>
      </top>
      <bottom style="thin">
        <color indexed="64"/>
      </bottom>
      <diagonal/>
    </border>
  </borders>
  <cellStyleXfs count="5">
    <xf numFmtId="0" fontId="0" fillId="0" borderId="0"/>
    <xf numFmtId="0" fontId="4" fillId="0" borderId="0"/>
    <xf numFmtId="164" fontId="29" fillId="0" borderId="0" applyFont="0" applyFill="0" applyBorder="0" applyAlignment="0" applyProtection="0"/>
    <xf numFmtId="0" fontId="2" fillId="0" borderId="0"/>
    <xf numFmtId="164" fontId="2" fillId="0" borderId="0" applyFont="0" applyFill="0" applyBorder="0" applyAlignment="0" applyProtection="0"/>
  </cellStyleXfs>
  <cellXfs count="648">
    <xf numFmtId="0" fontId="0" fillId="0" borderId="0" xfId="0"/>
    <xf numFmtId="0" fontId="0" fillId="0" borderId="0" xfId="0" applyAlignment="1">
      <alignment horizontal="left"/>
    </xf>
    <xf numFmtId="0" fontId="0" fillId="0" borderId="0" xfId="0" applyBorder="1" applyAlignment="1">
      <alignment horizontal="right"/>
    </xf>
    <xf numFmtId="0" fontId="6" fillId="0" borderId="0" xfId="0" applyFont="1"/>
    <xf numFmtId="168" fontId="8" fillId="0" borderId="0" xfId="1" applyNumberFormat="1" applyFont="1" applyFill="1" applyBorder="1" applyAlignment="1">
      <alignment horizontal="right" wrapText="1"/>
    </xf>
    <xf numFmtId="0" fontId="3" fillId="5" borderId="0" xfId="0" applyFont="1" applyFill="1" applyBorder="1" applyAlignment="1">
      <alignment horizontal="left"/>
    </xf>
    <xf numFmtId="0" fontId="13" fillId="0" borderId="11" xfId="0" applyFont="1" applyBorder="1" applyAlignment="1">
      <alignment horizontal="left"/>
    </xf>
    <xf numFmtId="0" fontId="13" fillId="0" borderId="11" xfId="0" applyFont="1" applyBorder="1" applyAlignment="1">
      <alignment horizontal="center"/>
    </xf>
    <xf numFmtId="0" fontId="0" fillId="0" borderId="11" xfId="0" applyBorder="1" applyAlignment="1">
      <alignment horizontal="left" vertical="center"/>
    </xf>
    <xf numFmtId="0" fontId="3" fillId="0" borderId="11" xfId="0" applyFont="1" applyBorder="1" applyAlignment="1">
      <alignment horizontal="left" vertical="center"/>
    </xf>
    <xf numFmtId="15" fontId="3" fillId="0" borderId="11" xfId="0" applyNumberFormat="1" applyFont="1" applyBorder="1" applyAlignment="1">
      <alignment horizontal="left" vertical="center"/>
    </xf>
    <xf numFmtId="0" fontId="0" fillId="0" borderId="0" xfId="0" applyFill="1"/>
    <xf numFmtId="15" fontId="0" fillId="0" borderId="11" xfId="0" applyNumberFormat="1" applyBorder="1" applyAlignment="1">
      <alignment horizontal="left" vertical="center"/>
    </xf>
    <xf numFmtId="0" fontId="2" fillId="5" borderId="0" xfId="0" applyFont="1" applyFill="1" applyBorder="1" applyAlignment="1">
      <alignment horizontal="left"/>
    </xf>
    <xf numFmtId="0" fontId="0" fillId="0" borderId="11" xfId="0" applyBorder="1" applyAlignment="1">
      <alignment horizontal="left" vertical="center" wrapText="1"/>
    </xf>
    <xf numFmtId="0" fontId="3" fillId="0" borderId="11" xfId="0" applyFont="1" applyBorder="1" applyAlignment="1">
      <alignment horizontal="left" vertical="center" wrapText="1"/>
    </xf>
    <xf numFmtId="0" fontId="2" fillId="0" borderId="11" xfId="0" applyFont="1" applyBorder="1" applyAlignment="1">
      <alignment horizontal="left" vertical="center" wrapText="1"/>
    </xf>
    <xf numFmtId="0" fontId="0" fillId="0" borderId="0" xfId="0" applyAlignment="1">
      <alignment horizontal="left" vertical="center"/>
    </xf>
    <xf numFmtId="0" fontId="0" fillId="0" borderId="0" xfId="0" applyAlignment="1">
      <alignment horizontal="left" vertical="center" wrapText="1"/>
    </xf>
    <xf numFmtId="168" fontId="0" fillId="0" borderId="0" xfId="0" applyNumberFormat="1" applyFill="1" applyBorder="1" applyAlignment="1">
      <alignment horizontal="right"/>
    </xf>
    <xf numFmtId="0" fontId="2" fillId="0" borderId="0" xfId="0" quotePrefix="1" applyFont="1" applyAlignment="1">
      <alignment horizontal="left"/>
    </xf>
    <xf numFmtId="0" fontId="0" fillId="4" borderId="1" xfId="0" applyFill="1" applyBorder="1"/>
    <xf numFmtId="0" fontId="3" fillId="4" borderId="1" xfId="0" applyFont="1" applyFill="1" applyBorder="1"/>
    <xf numFmtId="0" fontId="3" fillId="5" borderId="1" xfId="0" applyFont="1" applyFill="1" applyBorder="1" applyAlignment="1">
      <alignment horizontal="left"/>
    </xf>
    <xf numFmtId="0" fontId="2" fillId="5" borderId="1" xfId="0" applyFont="1" applyFill="1" applyBorder="1" applyAlignment="1">
      <alignment horizontal="left"/>
    </xf>
    <xf numFmtId="0" fontId="9" fillId="0" borderId="0" xfId="0" applyFont="1" applyAlignment="1">
      <alignment vertical="top"/>
    </xf>
    <xf numFmtId="0" fontId="12" fillId="0" borderId="0" xfId="0" applyFont="1" applyAlignment="1">
      <alignment vertical="center"/>
    </xf>
    <xf numFmtId="0" fontId="2" fillId="6" borderId="1" xfId="0" applyFont="1" applyFill="1" applyBorder="1" applyAlignment="1">
      <alignment horizontal="left"/>
    </xf>
    <xf numFmtId="0" fontId="2" fillId="6" borderId="0" xfId="0" applyFont="1" applyFill="1" applyBorder="1" applyAlignment="1">
      <alignment horizontal="left"/>
    </xf>
    <xf numFmtId="0" fontId="2" fillId="7" borderId="1" xfId="0" applyFont="1" applyFill="1" applyBorder="1" applyAlignment="1">
      <alignment horizontal="left"/>
    </xf>
    <xf numFmtId="0" fontId="3" fillId="7" borderId="0" xfId="0" applyFont="1" applyFill="1" applyBorder="1" applyAlignment="1">
      <alignment horizontal="left"/>
    </xf>
    <xf numFmtId="0" fontId="2" fillId="7" borderId="0" xfId="0" applyFont="1" applyFill="1" applyBorder="1" applyAlignment="1">
      <alignment horizontal="left"/>
    </xf>
    <xf numFmtId="0" fontId="6" fillId="7" borderId="3" xfId="0" applyFont="1" applyFill="1" applyBorder="1" applyAlignment="1">
      <alignment horizontal="left"/>
    </xf>
    <xf numFmtId="0" fontId="3" fillId="7" borderId="2" xfId="0" applyFont="1" applyFill="1" applyBorder="1" applyAlignment="1">
      <alignment horizontal="left"/>
    </xf>
    <xf numFmtId="0" fontId="3" fillId="7" borderId="5" xfId="0" applyFont="1" applyFill="1" applyBorder="1" applyAlignment="1">
      <alignment horizontal="left"/>
    </xf>
    <xf numFmtId="0" fontId="6" fillId="8" borderId="3" xfId="0" applyFont="1" applyFill="1" applyBorder="1" applyAlignment="1">
      <alignment horizontal="left"/>
    </xf>
    <xf numFmtId="0" fontId="3" fillId="8" borderId="2" xfId="0" applyFont="1" applyFill="1" applyBorder="1" applyAlignment="1">
      <alignment horizontal="left"/>
    </xf>
    <xf numFmtId="0" fontId="3" fillId="8" borderId="1" xfId="0" applyFont="1" applyFill="1" applyBorder="1" applyAlignment="1">
      <alignment horizontal="left"/>
    </xf>
    <xf numFmtId="0" fontId="3" fillId="8" borderId="0" xfId="0" applyFont="1" applyFill="1" applyBorder="1" applyAlignment="1">
      <alignment horizontal="left"/>
    </xf>
    <xf numFmtId="0" fontId="2" fillId="8" borderId="0" xfId="0" applyFont="1" applyFill="1" applyBorder="1" applyAlignment="1">
      <alignment horizontal="left"/>
    </xf>
    <xf numFmtId="0" fontId="2" fillId="8" borderId="1" xfId="0" applyFont="1" applyFill="1" applyBorder="1" applyAlignment="1">
      <alignment horizontal="left"/>
    </xf>
    <xf numFmtId="0" fontId="3" fillId="9" borderId="1" xfId="0" applyFont="1" applyFill="1" applyBorder="1" applyAlignment="1">
      <alignment horizontal="left"/>
    </xf>
    <xf numFmtId="0" fontId="3" fillId="9" borderId="0" xfId="0" applyFont="1" applyFill="1" applyBorder="1" applyAlignment="1">
      <alignment horizontal="left"/>
    </xf>
    <xf numFmtId="0" fontId="2" fillId="9" borderId="0" xfId="0" applyFont="1" applyFill="1" applyBorder="1" applyAlignment="1">
      <alignment horizontal="left"/>
    </xf>
    <xf numFmtId="0" fontId="2" fillId="9" borderId="1" xfId="0" applyFont="1" applyFill="1" applyBorder="1" applyAlignment="1">
      <alignment horizontal="left"/>
    </xf>
    <xf numFmtId="0" fontId="6" fillId="9" borderId="3" xfId="0" applyFont="1" applyFill="1" applyBorder="1" applyAlignment="1">
      <alignment horizontal="left"/>
    </xf>
    <xf numFmtId="0" fontId="3" fillId="9" borderId="2" xfId="0" applyFont="1" applyFill="1" applyBorder="1" applyAlignment="1">
      <alignment horizontal="left"/>
    </xf>
    <xf numFmtId="0" fontId="3" fillId="9" borderId="5" xfId="0" applyFont="1" applyFill="1" applyBorder="1" applyAlignment="1">
      <alignment horizontal="left"/>
    </xf>
    <xf numFmtId="0" fontId="6" fillId="5" borderId="3" xfId="0" applyFont="1" applyFill="1" applyBorder="1" applyAlignment="1">
      <alignment horizontal="left"/>
    </xf>
    <xf numFmtId="0" fontId="3" fillId="5" borderId="2" xfId="0" applyFont="1" applyFill="1" applyBorder="1" applyAlignment="1">
      <alignment horizontal="left"/>
    </xf>
    <xf numFmtId="0" fontId="6" fillId="3" borderId="3" xfId="0" applyFont="1" applyFill="1" applyBorder="1" applyAlignment="1">
      <alignment horizontal="left"/>
    </xf>
    <xf numFmtId="0" fontId="2" fillId="3" borderId="1" xfId="0" applyFont="1" applyFill="1" applyBorder="1" applyAlignment="1">
      <alignment horizontal="left"/>
    </xf>
    <xf numFmtId="0" fontId="2" fillId="3" borderId="0" xfId="0" applyFont="1" applyFill="1" applyBorder="1" applyAlignment="1">
      <alignment horizontal="left"/>
    </xf>
    <xf numFmtId="0" fontId="6" fillId="3" borderId="2" xfId="0" applyFont="1" applyFill="1" applyBorder="1" applyAlignment="1">
      <alignment horizontal="left"/>
    </xf>
    <xf numFmtId="0" fontId="2" fillId="3" borderId="0" xfId="0" applyFont="1" applyFill="1" applyBorder="1" applyAlignment="1">
      <alignment horizontal="center"/>
    </xf>
    <xf numFmtId="0" fontId="2" fillId="9" borderId="0" xfId="0" applyFont="1" applyFill="1" applyBorder="1" applyAlignment="1">
      <alignment horizontal="center"/>
    </xf>
    <xf numFmtId="0" fontId="2" fillId="5" borderId="2" xfId="0" applyFont="1" applyFill="1" applyBorder="1" applyAlignment="1">
      <alignment horizontal="center"/>
    </xf>
    <xf numFmtId="0" fontId="2" fillId="5" borderId="0" xfId="0" applyFont="1" applyFill="1" applyBorder="1" applyAlignment="1">
      <alignment horizontal="center"/>
    </xf>
    <xf numFmtId="0" fontId="2" fillId="8" borderId="2" xfId="0" applyFont="1" applyFill="1" applyBorder="1" applyAlignment="1">
      <alignment horizontal="center"/>
    </xf>
    <xf numFmtId="0" fontId="2" fillId="8" borderId="0" xfId="0" applyFont="1" applyFill="1" applyBorder="1" applyAlignment="1">
      <alignment horizontal="center"/>
    </xf>
    <xf numFmtId="0" fontId="0" fillId="0" borderId="0" xfId="0" applyAlignment="1">
      <alignment horizontal="center"/>
    </xf>
    <xf numFmtId="0" fontId="2" fillId="0" borderId="0" xfId="0" applyFont="1" applyAlignment="1">
      <alignment horizontal="center"/>
    </xf>
    <xf numFmtId="0" fontId="2" fillId="4" borderId="1" xfId="0" applyFont="1" applyFill="1" applyBorder="1"/>
    <xf numFmtId="0" fontId="2" fillId="0" borderId="0" xfId="0" applyFont="1"/>
    <xf numFmtId="0" fontId="2" fillId="4" borderId="0" xfId="0" applyFont="1" applyFill="1" applyBorder="1"/>
    <xf numFmtId="0" fontId="2" fillId="3" borderId="4" xfId="0" applyFont="1" applyFill="1" applyBorder="1" applyAlignment="1">
      <alignment horizontal="left"/>
    </xf>
    <xf numFmtId="0" fontId="2" fillId="0" borderId="0" xfId="0" applyFont="1" applyAlignment="1">
      <alignment horizontal="right"/>
    </xf>
    <xf numFmtId="0" fontId="0" fillId="0" borderId="0" xfId="0" applyFill="1" applyBorder="1" applyAlignment="1">
      <alignment horizontal="right"/>
    </xf>
    <xf numFmtId="1" fontId="0" fillId="0" borderId="0" xfId="0" applyNumberFormat="1" applyFill="1" applyBorder="1" applyAlignment="1">
      <alignment horizontal="right"/>
    </xf>
    <xf numFmtId="14" fontId="0" fillId="0" borderId="0" xfId="0" applyNumberFormat="1" applyFill="1" applyBorder="1" applyAlignment="1">
      <alignment horizontal="right"/>
    </xf>
    <xf numFmtId="0" fontId="0" fillId="13" borderId="0" xfId="0" applyFill="1"/>
    <xf numFmtId="2" fontId="0" fillId="0" borderId="0" xfId="0" applyNumberFormat="1" applyFill="1" applyBorder="1" applyAlignment="1">
      <alignment horizontal="right"/>
    </xf>
    <xf numFmtId="166" fontId="0" fillId="0" borderId="0" xfId="0" applyNumberFormat="1" applyFill="1" applyBorder="1" applyAlignment="1">
      <alignment horizontal="right"/>
    </xf>
    <xf numFmtId="0" fontId="2" fillId="10" borderId="0" xfId="0" applyFont="1" applyFill="1" applyBorder="1" applyAlignment="1">
      <alignment horizontal="right" textRotation="90" wrapText="1"/>
    </xf>
    <xf numFmtId="0" fontId="2" fillId="13" borderId="0" xfId="0" applyFont="1" applyFill="1" applyBorder="1" applyAlignment="1">
      <alignment horizontal="right" textRotation="90" wrapText="1"/>
    </xf>
    <xf numFmtId="0" fontId="0" fillId="11" borderId="0" xfId="0" applyFill="1" applyBorder="1" applyAlignment="1"/>
    <xf numFmtId="0" fontId="0" fillId="12" borderId="0" xfId="0" applyFill="1" applyBorder="1" applyAlignment="1"/>
    <xf numFmtId="0" fontId="0" fillId="13" borderId="0" xfId="0" applyFill="1" applyBorder="1" applyAlignment="1"/>
    <xf numFmtId="0" fontId="1" fillId="0" borderId="0" xfId="0" applyFont="1" applyFill="1" applyBorder="1" applyAlignment="1">
      <alignment horizontal="right"/>
    </xf>
    <xf numFmtId="167" fontId="0" fillId="0" borderId="0" xfId="0" applyNumberFormat="1" applyFill="1" applyBorder="1" applyAlignment="1">
      <alignment horizontal="right"/>
    </xf>
    <xf numFmtId="0" fontId="18" fillId="10" borderId="0" xfId="0" applyFont="1" applyFill="1" applyBorder="1" applyAlignment="1"/>
    <xf numFmtId="0" fontId="0" fillId="10" borderId="0" xfId="0" applyFill="1" applyBorder="1" applyAlignment="1"/>
    <xf numFmtId="0" fontId="6" fillId="10" borderId="0" xfId="0" applyFont="1" applyFill="1" applyBorder="1" applyAlignment="1"/>
    <xf numFmtId="0" fontId="18" fillId="12" borderId="0" xfId="0" applyFont="1" applyFill="1" applyBorder="1" applyAlignment="1"/>
    <xf numFmtId="0" fontId="6" fillId="11" borderId="0" xfId="0" applyFont="1" applyFill="1" applyBorder="1" applyAlignment="1"/>
    <xf numFmtId="0" fontId="0" fillId="3" borderId="0" xfId="0" applyFill="1" applyBorder="1" applyAlignment="1"/>
    <xf numFmtId="0" fontId="6" fillId="12" borderId="0" xfId="0" applyFont="1" applyFill="1" applyBorder="1" applyAlignment="1"/>
    <xf numFmtId="0" fontId="18" fillId="13" borderId="0" xfId="0" applyFont="1" applyFill="1" applyBorder="1" applyAlignment="1"/>
    <xf numFmtId="0" fontId="0" fillId="0" borderId="0" xfId="0" applyBorder="1" applyAlignment="1"/>
    <xf numFmtId="0" fontId="14" fillId="0" borderId="0" xfId="0" applyFont="1" applyBorder="1" applyAlignment="1">
      <alignment horizontal="right" vertical="center" wrapText="1"/>
    </xf>
    <xf numFmtId="0" fontId="6" fillId="6" borderId="3" xfId="0" applyFont="1" applyFill="1" applyBorder="1" applyAlignment="1">
      <alignment horizontal="left"/>
    </xf>
    <xf numFmtId="0" fontId="2" fillId="6" borderId="0" xfId="0" applyFont="1" applyFill="1" applyBorder="1" applyAlignment="1">
      <alignment horizontal="center"/>
    </xf>
    <xf numFmtId="0" fontId="3" fillId="6" borderId="2" xfId="0" applyFont="1" applyFill="1" applyBorder="1" applyAlignment="1">
      <alignment horizontal="left"/>
    </xf>
    <xf numFmtId="0" fontId="2" fillId="6" borderId="2" xfId="0" applyFont="1" applyFill="1" applyBorder="1" applyAlignment="1">
      <alignment horizontal="center"/>
    </xf>
    <xf numFmtId="0" fontId="2" fillId="0" borderId="0" xfId="0" applyFont="1" applyBorder="1" applyAlignment="1">
      <alignment horizontal="right"/>
    </xf>
    <xf numFmtId="0" fontId="2" fillId="0" borderId="0" xfId="0" applyFont="1" applyBorder="1" applyAlignment="1"/>
    <xf numFmtId="0" fontId="2" fillId="0" borderId="0" xfId="0" applyFont="1" applyFill="1" applyBorder="1" applyAlignment="1">
      <alignment horizontal="right"/>
    </xf>
    <xf numFmtId="2" fontId="0" fillId="0" borderId="0" xfId="0" applyNumberFormat="1"/>
    <xf numFmtId="0" fontId="6" fillId="5" borderId="2" xfId="0" applyFont="1" applyFill="1" applyBorder="1" applyAlignment="1">
      <alignment horizontal="right"/>
    </xf>
    <xf numFmtId="0" fontId="6" fillId="5" borderId="5" xfId="0" applyFont="1" applyFill="1" applyBorder="1" applyAlignment="1">
      <alignment horizontal="right"/>
    </xf>
    <xf numFmtId="3" fontId="2" fillId="5" borderId="0" xfId="0" applyNumberFormat="1" applyFont="1" applyFill="1" applyBorder="1" applyAlignment="1">
      <alignment horizontal="left"/>
    </xf>
    <xf numFmtId="0" fontId="1" fillId="5" borderId="1" xfId="0" applyFont="1" applyFill="1" applyBorder="1" applyAlignment="1">
      <alignment horizontal="left"/>
    </xf>
    <xf numFmtId="169" fontId="2" fillId="5" borderId="0" xfId="0" applyNumberFormat="1" applyFont="1" applyFill="1" applyBorder="1" applyAlignment="1">
      <alignment horizontal="right"/>
    </xf>
    <xf numFmtId="3" fontId="2" fillId="5" borderId="0" xfId="0" applyNumberFormat="1" applyFont="1" applyFill="1" applyBorder="1" applyAlignment="1">
      <alignment horizontal="center"/>
    </xf>
    <xf numFmtId="0" fontId="0" fillId="14" borderId="0" xfId="0" applyFill="1" applyBorder="1" applyAlignment="1"/>
    <xf numFmtId="3" fontId="2" fillId="2" borderId="22" xfId="0" applyNumberFormat="1" applyFont="1" applyFill="1" applyBorder="1" applyAlignment="1">
      <alignment horizontal="center"/>
    </xf>
    <xf numFmtId="0" fontId="1" fillId="0" borderId="0" xfId="0" applyFont="1" applyAlignment="1">
      <alignment horizontal="center"/>
    </xf>
    <xf numFmtId="1" fontId="0" fillId="0" borderId="0" xfId="0" applyNumberFormat="1" applyAlignment="1">
      <alignment horizontal="center"/>
    </xf>
    <xf numFmtId="0" fontId="1" fillId="5" borderId="0" xfId="0" applyFont="1" applyFill="1" applyBorder="1" applyAlignment="1">
      <alignment horizontal="left"/>
    </xf>
    <xf numFmtId="0" fontId="1" fillId="0" borderId="0" xfId="0" applyFont="1"/>
    <xf numFmtId="1" fontId="0" fillId="0" borderId="0" xfId="0" applyNumberFormat="1"/>
    <xf numFmtId="3" fontId="0" fillId="0" borderId="0" xfId="0" applyNumberFormat="1"/>
    <xf numFmtId="14" fontId="0" fillId="0" borderId="0" xfId="0" applyNumberFormat="1"/>
    <xf numFmtId="168" fontId="0" fillId="0" borderId="0" xfId="0" applyNumberFormat="1"/>
    <xf numFmtId="0" fontId="2" fillId="12" borderId="0" xfId="0" applyFont="1" applyFill="1" applyBorder="1" applyAlignment="1"/>
    <xf numFmtId="0" fontId="0" fillId="9" borderId="0" xfId="0" applyFill="1" applyBorder="1" applyAlignment="1"/>
    <xf numFmtId="0" fontId="2" fillId="9" borderId="0" xfId="0" applyFont="1" applyFill="1" applyBorder="1" applyAlignment="1"/>
    <xf numFmtId="0" fontId="2" fillId="3" borderId="0" xfId="0" applyFont="1" applyFill="1" applyBorder="1" applyAlignment="1"/>
    <xf numFmtId="0" fontId="2" fillId="3" borderId="7" xfId="0" applyFont="1" applyFill="1" applyBorder="1" applyAlignment="1"/>
    <xf numFmtId="0" fontId="2" fillId="0" borderId="0" xfId="0" applyFont="1" applyAlignment="1">
      <alignment wrapText="1"/>
    </xf>
    <xf numFmtId="168" fontId="2" fillId="0" borderId="0" xfId="0" applyNumberFormat="1" applyFont="1" applyFill="1" applyBorder="1" applyAlignment="1">
      <alignment horizontal="right"/>
    </xf>
    <xf numFmtId="0" fontId="6" fillId="3" borderId="0" xfId="0" applyFont="1" applyFill="1" applyBorder="1" applyAlignment="1"/>
    <xf numFmtId="0" fontId="2" fillId="0" borderId="0" xfId="0" applyFont="1" applyFill="1" applyAlignment="1">
      <alignment vertical="center"/>
    </xf>
    <xf numFmtId="1" fontId="2" fillId="0" borderId="0" xfId="0" applyNumberFormat="1" applyFont="1" applyFill="1" applyAlignment="1">
      <alignment vertical="center"/>
    </xf>
    <xf numFmtId="0" fontId="14" fillId="9" borderId="15" xfId="0" applyFont="1" applyFill="1" applyBorder="1" applyAlignment="1">
      <alignment horizontal="center" vertical="center" wrapText="1"/>
    </xf>
    <xf numFmtId="0" fontId="14" fillId="14" borderId="15" xfId="0" applyFont="1" applyFill="1" applyBorder="1" applyAlignment="1">
      <alignment horizontal="center" vertical="center" wrapText="1"/>
    </xf>
    <xf numFmtId="0" fontId="14" fillId="10" borderId="15" xfId="0" applyFont="1" applyFill="1" applyBorder="1" applyAlignment="1">
      <alignment horizontal="center" vertical="center" wrapText="1"/>
    </xf>
    <xf numFmtId="0" fontId="14" fillId="12" borderId="15" xfId="0" applyFont="1" applyFill="1" applyBorder="1" applyAlignment="1">
      <alignment horizontal="center" vertical="center" wrapText="1"/>
    </xf>
    <xf numFmtId="0" fontId="14" fillId="11" borderId="15" xfId="0" applyFont="1" applyFill="1" applyBorder="1" applyAlignment="1">
      <alignment horizontal="center" vertical="center" wrapText="1"/>
    </xf>
    <xf numFmtId="0" fontId="14" fillId="12" borderId="15" xfId="0" applyFont="1" applyFill="1" applyBorder="1" applyAlignment="1">
      <alignment horizontal="center" wrapText="1"/>
    </xf>
    <xf numFmtId="0" fontId="14" fillId="13" borderId="15" xfId="0" applyFont="1" applyFill="1" applyBorder="1" applyAlignment="1">
      <alignment horizontal="center" vertical="center" wrapText="1"/>
    </xf>
    <xf numFmtId="0" fontId="17" fillId="13" borderId="15" xfId="0" applyFont="1" applyFill="1" applyBorder="1" applyAlignment="1">
      <alignment horizontal="center" wrapText="1"/>
    </xf>
    <xf numFmtId="0" fontId="14" fillId="3" borderId="15" xfId="0" applyFont="1" applyFill="1" applyBorder="1" applyAlignment="1">
      <alignment horizontal="center" vertical="center" wrapText="1"/>
    </xf>
    <xf numFmtId="0" fontId="24" fillId="3" borderId="15" xfId="0" applyFont="1" applyFill="1" applyBorder="1" applyAlignment="1">
      <alignment horizontal="center" vertical="center" wrapText="1"/>
    </xf>
    <xf numFmtId="0" fontId="14" fillId="3" borderId="23" xfId="0" applyFont="1" applyFill="1" applyBorder="1" applyAlignment="1">
      <alignment horizontal="center" vertical="center" wrapText="1"/>
    </xf>
    <xf numFmtId="14" fontId="14" fillId="3" borderId="15" xfId="0" applyNumberFormat="1" applyFont="1" applyFill="1" applyBorder="1" applyAlignment="1">
      <alignment horizontal="center" vertical="top" wrapText="1"/>
    </xf>
    <xf numFmtId="0" fontId="14" fillId="9" borderId="2" xfId="0" applyFont="1" applyFill="1" applyBorder="1" applyAlignment="1">
      <alignment horizontal="center" vertical="center" wrapText="1"/>
    </xf>
    <xf numFmtId="168" fontId="2" fillId="9" borderId="0" xfId="0" applyNumberFormat="1" applyFont="1" applyFill="1" applyBorder="1" applyAlignment="1">
      <alignment horizontal="center"/>
    </xf>
    <xf numFmtId="1" fontId="2" fillId="9" borderId="0" xfId="0" applyNumberFormat="1" applyFont="1" applyFill="1" applyBorder="1" applyAlignment="1">
      <alignment horizontal="center"/>
    </xf>
    <xf numFmtId="2" fontId="2" fillId="9" borderId="0" xfId="0" applyNumberFormat="1" applyFont="1" applyFill="1" applyBorder="1" applyAlignment="1">
      <alignment horizontal="center"/>
    </xf>
    <xf numFmtId="1" fontId="2" fillId="14" borderId="0" xfId="0" applyNumberFormat="1" applyFont="1" applyFill="1" applyBorder="1" applyAlignment="1">
      <alignment horizontal="center"/>
    </xf>
    <xf numFmtId="168" fontId="2" fillId="14" borderId="0" xfId="0" applyNumberFormat="1" applyFont="1" applyFill="1" applyBorder="1" applyAlignment="1">
      <alignment horizontal="center"/>
    </xf>
    <xf numFmtId="14" fontId="2" fillId="10" borderId="0" xfId="0" applyNumberFormat="1" applyFont="1" applyFill="1" applyBorder="1" applyAlignment="1">
      <alignment horizontal="center"/>
    </xf>
    <xf numFmtId="1" fontId="2" fillId="10" borderId="0" xfId="0" applyNumberFormat="1" applyFont="1" applyFill="1" applyBorder="1" applyAlignment="1">
      <alignment horizontal="center"/>
    </xf>
    <xf numFmtId="168" fontId="2" fillId="10" borderId="0" xfId="0" applyNumberFormat="1" applyFont="1" applyFill="1" applyBorder="1" applyAlignment="1">
      <alignment horizontal="center"/>
    </xf>
    <xf numFmtId="166" fontId="2" fillId="10" borderId="0" xfId="0" applyNumberFormat="1" applyFont="1" applyFill="1" applyBorder="1" applyAlignment="1">
      <alignment horizontal="center"/>
    </xf>
    <xf numFmtId="165" fontId="2" fillId="10" borderId="0" xfId="0" applyNumberFormat="1" applyFont="1" applyFill="1" applyBorder="1" applyAlignment="1">
      <alignment horizontal="center"/>
    </xf>
    <xf numFmtId="2" fontId="2" fillId="10" borderId="0" xfId="0" applyNumberFormat="1" applyFont="1" applyFill="1" applyBorder="1" applyAlignment="1">
      <alignment horizontal="center"/>
    </xf>
    <xf numFmtId="0" fontId="2" fillId="10" borderId="0" xfId="0" applyFont="1" applyFill="1" applyBorder="1" applyAlignment="1">
      <alignment horizontal="center"/>
    </xf>
    <xf numFmtId="167" fontId="2" fillId="10" borderId="0" xfId="0" quotePrefix="1" applyNumberFormat="1" applyFont="1" applyFill="1" applyBorder="1" applyAlignment="1">
      <alignment horizontal="center"/>
    </xf>
    <xf numFmtId="167" fontId="2" fillId="12" borderId="0" xfId="0" applyNumberFormat="1" applyFont="1" applyFill="1" applyBorder="1" applyAlignment="1">
      <alignment horizontal="center"/>
    </xf>
    <xf numFmtId="0" fontId="2" fillId="12" borderId="0" xfId="0" quotePrefix="1" applyFont="1" applyFill="1" applyBorder="1" applyAlignment="1">
      <alignment horizontal="center"/>
    </xf>
    <xf numFmtId="14" fontId="2" fillId="11" borderId="0" xfId="0" quotePrefix="1" applyNumberFormat="1" applyFont="1" applyFill="1" applyBorder="1" applyAlignment="1">
      <alignment horizontal="center"/>
    </xf>
    <xf numFmtId="1" fontId="2" fillId="11" borderId="0" xfId="0" applyNumberFormat="1" applyFont="1" applyFill="1" applyBorder="1" applyAlignment="1">
      <alignment horizontal="center"/>
    </xf>
    <xf numFmtId="168" fontId="2" fillId="11" borderId="0" xfId="0" applyNumberFormat="1" applyFont="1" applyFill="1" applyBorder="1" applyAlignment="1">
      <alignment horizontal="center"/>
    </xf>
    <xf numFmtId="0" fontId="2" fillId="11" borderId="0" xfId="0" applyFont="1" applyFill="1" applyBorder="1" applyAlignment="1">
      <alignment horizontal="center"/>
    </xf>
    <xf numFmtId="1" fontId="7" fillId="11" borderId="0" xfId="0" applyNumberFormat="1" applyFont="1" applyFill="1" applyBorder="1" applyAlignment="1">
      <alignment horizontal="center"/>
    </xf>
    <xf numFmtId="2" fontId="2" fillId="11" borderId="0" xfId="0" applyNumberFormat="1" applyFont="1" applyFill="1" applyBorder="1" applyAlignment="1">
      <alignment horizontal="center"/>
    </xf>
    <xf numFmtId="168" fontId="2" fillId="12" borderId="0" xfId="0" applyNumberFormat="1" applyFont="1" applyFill="1" applyBorder="1" applyAlignment="1">
      <alignment horizontal="center"/>
    </xf>
    <xf numFmtId="2" fontId="2" fillId="12" borderId="0" xfId="0" applyNumberFormat="1" applyFont="1" applyFill="1" applyBorder="1" applyAlignment="1">
      <alignment horizontal="center"/>
    </xf>
    <xf numFmtId="1" fontId="2" fillId="12" borderId="0" xfId="0" applyNumberFormat="1" applyFont="1" applyFill="1" applyBorder="1" applyAlignment="1">
      <alignment horizontal="center"/>
    </xf>
    <xf numFmtId="14" fontId="2" fillId="13" borderId="0" xfId="0" applyNumberFormat="1" applyFont="1" applyFill="1" applyBorder="1" applyAlignment="1">
      <alignment horizontal="center"/>
    </xf>
    <xf numFmtId="168" fontId="2" fillId="13" borderId="0" xfId="0" applyNumberFormat="1" applyFont="1" applyFill="1" applyBorder="1" applyAlignment="1">
      <alignment horizontal="center"/>
    </xf>
    <xf numFmtId="2" fontId="2" fillId="13" borderId="0" xfId="0" quotePrefix="1" applyNumberFormat="1" applyFont="1" applyFill="1" applyBorder="1" applyAlignment="1">
      <alignment horizontal="center"/>
    </xf>
    <xf numFmtId="2" fontId="2" fillId="13" borderId="0" xfId="0" applyNumberFormat="1" applyFont="1" applyFill="1" applyBorder="1" applyAlignment="1">
      <alignment horizontal="center"/>
    </xf>
    <xf numFmtId="1" fontId="2" fillId="13" borderId="0" xfId="0" applyNumberFormat="1" applyFont="1" applyFill="1" applyBorder="1" applyAlignment="1">
      <alignment horizontal="center"/>
    </xf>
    <xf numFmtId="0" fontId="2" fillId="13" borderId="0" xfId="0" applyFont="1" applyFill="1" applyBorder="1" applyAlignment="1">
      <alignment horizontal="center"/>
    </xf>
    <xf numFmtId="14" fontId="2" fillId="3" borderId="0" xfId="0" applyNumberFormat="1" applyFont="1" applyFill="1" applyBorder="1" applyAlignment="1">
      <alignment horizontal="center"/>
    </xf>
    <xf numFmtId="1" fontId="2" fillId="3" borderId="0" xfId="0" applyNumberFormat="1" applyFont="1" applyFill="1" applyBorder="1" applyAlignment="1">
      <alignment horizontal="center"/>
    </xf>
    <xf numFmtId="168" fontId="7" fillId="3" borderId="0" xfId="0" applyNumberFormat="1" applyFont="1" applyFill="1" applyBorder="1" applyAlignment="1">
      <alignment horizontal="center"/>
    </xf>
    <xf numFmtId="168" fontId="2" fillId="3" borderId="0" xfId="0" applyNumberFormat="1" applyFont="1" applyFill="1" applyBorder="1" applyAlignment="1">
      <alignment horizontal="center"/>
    </xf>
    <xf numFmtId="167" fontId="2" fillId="3" borderId="0" xfId="0" applyNumberFormat="1" applyFont="1" applyFill="1" applyBorder="1" applyAlignment="1">
      <alignment horizontal="center"/>
    </xf>
    <xf numFmtId="168" fontId="2" fillId="3" borderId="7" xfId="0" applyNumberFormat="1" applyFont="1" applyFill="1" applyBorder="1" applyAlignment="1">
      <alignment horizontal="center"/>
    </xf>
    <xf numFmtId="2" fontId="2" fillId="3" borderId="0" xfId="0" applyNumberFormat="1" applyFont="1" applyFill="1" applyBorder="1" applyAlignment="1">
      <alignment horizontal="center"/>
    </xf>
    <xf numFmtId="1" fontId="2" fillId="3" borderId="7" xfId="0" applyNumberFormat="1" applyFont="1" applyFill="1" applyBorder="1" applyAlignment="1">
      <alignment horizontal="center"/>
    </xf>
    <xf numFmtId="2" fontId="2" fillId="3" borderId="7" xfId="0" applyNumberFormat="1" applyFont="1" applyFill="1" applyBorder="1" applyAlignment="1">
      <alignment horizontal="center"/>
    </xf>
    <xf numFmtId="168" fontId="2" fillId="3" borderId="0" xfId="0" quotePrefix="1" applyNumberFormat="1" applyFont="1" applyFill="1" applyBorder="1" applyAlignment="1">
      <alignment horizontal="center"/>
    </xf>
    <xf numFmtId="2" fontId="2" fillId="9" borderId="0" xfId="0" quotePrefix="1" applyNumberFormat="1" applyFont="1" applyFill="1" applyBorder="1" applyAlignment="1">
      <alignment horizontal="center"/>
    </xf>
    <xf numFmtId="0" fontId="0" fillId="0" borderId="0" xfId="0" applyFill="1" applyBorder="1" applyAlignment="1"/>
    <xf numFmtId="0" fontId="0" fillId="16" borderId="0" xfId="0" applyFill="1" applyBorder="1" applyAlignment="1"/>
    <xf numFmtId="1" fontId="2" fillId="16" borderId="0" xfId="0" applyNumberFormat="1" applyFont="1" applyFill="1" applyBorder="1" applyAlignment="1">
      <alignment horizontal="center" vertical="center"/>
    </xf>
    <xf numFmtId="0" fontId="14" fillId="16" borderId="15" xfId="0" applyFont="1" applyFill="1" applyBorder="1" applyAlignment="1">
      <alignment horizontal="center" vertical="center" wrapText="1"/>
    </xf>
    <xf numFmtId="1" fontId="2" fillId="9" borderId="0" xfId="0" quotePrefix="1" applyNumberFormat="1" applyFont="1" applyFill="1" applyBorder="1" applyAlignment="1">
      <alignment horizontal="center"/>
    </xf>
    <xf numFmtId="0" fontId="2" fillId="0" borderId="0" xfId="0" applyFont="1" applyFill="1" applyBorder="1" applyAlignment="1">
      <alignment horizontal="center" textRotation="90" wrapText="1"/>
    </xf>
    <xf numFmtId="0" fontId="0" fillId="0" borderId="0" xfId="0" applyAlignment="1">
      <alignment horizontal="center"/>
    </xf>
    <xf numFmtId="0" fontId="0" fillId="0" borderId="0" xfId="0" applyBorder="1"/>
    <xf numFmtId="168" fontId="2" fillId="0" borderId="0" xfId="0" applyNumberFormat="1" applyFont="1" applyBorder="1" applyAlignment="1">
      <alignment horizontal="right"/>
    </xf>
    <xf numFmtId="0" fontId="2" fillId="0" borderId="0" xfId="0" applyFont="1" applyFill="1" applyBorder="1" applyAlignment="1">
      <alignment horizontal="right" textRotation="90" wrapText="1"/>
    </xf>
    <xf numFmtId="0" fontId="2" fillId="7" borderId="0" xfId="0" applyFont="1" applyFill="1" applyBorder="1" applyAlignment="1">
      <alignment horizontal="right"/>
    </xf>
    <xf numFmtId="2" fontId="2" fillId="0" borderId="0" xfId="0" applyNumberFormat="1" applyFont="1" applyFill="1" applyBorder="1" applyAlignment="1">
      <alignment horizontal="right"/>
    </xf>
    <xf numFmtId="0" fontId="2" fillId="0" borderId="0" xfId="0" applyFont="1" applyAlignment="1">
      <alignment horizontal="center"/>
    </xf>
    <xf numFmtId="0" fontId="0" fillId="11" borderId="27" xfId="0" applyFill="1" applyBorder="1" applyAlignment="1"/>
    <xf numFmtId="0" fontId="14" fillId="11" borderId="28" xfId="0" applyFont="1" applyFill="1" applyBorder="1" applyAlignment="1">
      <alignment horizontal="center" vertical="center" wrapText="1"/>
    </xf>
    <xf numFmtId="1" fontId="2" fillId="11" borderId="27" xfId="0" applyNumberFormat="1" applyFont="1" applyFill="1" applyBorder="1" applyAlignment="1">
      <alignment horizontal="center"/>
    </xf>
    <xf numFmtId="0" fontId="0" fillId="12" borderId="27" xfId="0" applyFill="1" applyBorder="1" applyAlignment="1"/>
    <xf numFmtId="0" fontId="14" fillId="12" borderId="28" xfId="0" applyFont="1" applyFill="1" applyBorder="1" applyAlignment="1">
      <alignment horizontal="center" vertical="center" wrapText="1"/>
    </xf>
    <xf numFmtId="168" fontId="2" fillId="12" borderId="27" xfId="0" quotePrefix="1" applyNumberFormat="1" applyFont="1" applyFill="1" applyBorder="1" applyAlignment="1">
      <alignment horizontal="center"/>
    </xf>
    <xf numFmtId="0" fontId="6" fillId="12" borderId="27" xfId="0" applyFont="1" applyFill="1" applyBorder="1" applyAlignment="1"/>
    <xf numFmtId="167" fontId="2" fillId="12" borderId="27" xfId="0" applyNumberFormat="1" applyFont="1" applyFill="1" applyBorder="1" applyAlignment="1">
      <alignment horizontal="center"/>
    </xf>
    <xf numFmtId="0" fontId="0" fillId="13" borderId="27" xfId="0" applyFill="1" applyBorder="1" applyAlignment="1"/>
    <xf numFmtId="0" fontId="14" fillId="13" borderId="28" xfId="0" applyFont="1" applyFill="1" applyBorder="1" applyAlignment="1">
      <alignment horizontal="center" vertical="center" wrapText="1"/>
    </xf>
    <xf numFmtId="168" fontId="2" fillId="13" borderId="27" xfId="0" applyNumberFormat="1" applyFont="1" applyFill="1" applyBorder="1" applyAlignment="1">
      <alignment horizontal="center"/>
    </xf>
    <xf numFmtId="0" fontId="0" fillId="3" borderId="27" xfId="0" applyFill="1" applyBorder="1" applyAlignment="1"/>
    <xf numFmtId="0" fontId="14" fillId="3" borderId="28" xfId="0" applyFont="1" applyFill="1" applyBorder="1" applyAlignment="1">
      <alignment horizontal="center" vertical="center" wrapText="1"/>
    </xf>
    <xf numFmtId="1" fontId="2" fillId="3" borderId="27" xfId="0" applyNumberFormat="1" applyFont="1" applyFill="1" applyBorder="1" applyAlignment="1">
      <alignment horizontal="center"/>
    </xf>
    <xf numFmtId="0" fontId="2" fillId="6" borderId="0" xfId="0" applyFont="1" applyFill="1" applyBorder="1" applyAlignment="1">
      <alignment horizontal="right" textRotation="90" wrapText="1"/>
    </xf>
    <xf numFmtId="167" fontId="0" fillId="6" borderId="0" xfId="0" applyNumberFormat="1" applyFill="1" applyBorder="1" applyAlignment="1"/>
    <xf numFmtId="2" fontId="18" fillId="6" borderId="0" xfId="0" applyNumberFormat="1" applyFont="1" applyFill="1" applyBorder="1" applyAlignment="1"/>
    <xf numFmtId="0" fontId="0" fillId="6" borderId="0" xfId="0" applyFill="1" applyBorder="1" applyAlignment="1"/>
    <xf numFmtId="2" fontId="0" fillId="6" borderId="0" xfId="0" applyNumberFormat="1" applyFill="1" applyBorder="1" applyAlignment="1"/>
    <xf numFmtId="166" fontId="0" fillId="6" borderId="0" xfId="0" applyNumberFormat="1" applyFill="1" applyBorder="1" applyAlignment="1"/>
    <xf numFmtId="0" fontId="14" fillId="6" borderId="15" xfId="0" applyFont="1" applyFill="1" applyBorder="1" applyAlignment="1">
      <alignment horizontal="center" vertical="center" wrapText="1"/>
    </xf>
    <xf numFmtId="167" fontId="14" fillId="6" borderId="15" xfId="0" applyNumberFormat="1" applyFont="1" applyFill="1" applyBorder="1" applyAlignment="1">
      <alignment horizontal="center" vertical="center" wrapText="1"/>
    </xf>
    <xf numFmtId="2" fontId="14" fillId="6" borderId="15" xfId="0" applyNumberFormat="1" applyFont="1" applyFill="1" applyBorder="1" applyAlignment="1">
      <alignment horizontal="center" vertical="center" wrapText="1"/>
    </xf>
    <xf numFmtId="166" fontId="14" fillId="6" borderId="15" xfId="0" applyNumberFormat="1" applyFont="1" applyFill="1" applyBorder="1" applyAlignment="1">
      <alignment horizontal="center" vertical="center" wrapText="1"/>
    </xf>
    <xf numFmtId="14" fontId="2" fillId="6" borderId="0" xfId="0" applyNumberFormat="1" applyFont="1" applyFill="1" applyBorder="1" applyAlignment="1">
      <alignment horizontal="center"/>
    </xf>
    <xf numFmtId="167" fontId="2" fillId="6" borderId="0" xfId="0" applyNumberFormat="1" applyFont="1" applyFill="1" applyBorder="1" applyAlignment="1">
      <alignment horizontal="center"/>
    </xf>
    <xf numFmtId="2" fontId="2" fillId="6" borderId="0" xfId="0" applyNumberFormat="1" applyFont="1" applyFill="1" applyBorder="1" applyAlignment="1">
      <alignment horizontal="center"/>
    </xf>
    <xf numFmtId="168" fontId="2" fillId="6" borderId="0" xfId="0" applyNumberFormat="1" applyFont="1" applyFill="1" applyBorder="1" applyAlignment="1">
      <alignment horizontal="center"/>
    </xf>
    <xf numFmtId="0" fontId="2" fillId="6" borderId="0" xfId="0" quotePrefix="1" applyFont="1" applyFill="1" applyBorder="1" applyAlignment="1">
      <alignment horizontal="center"/>
    </xf>
    <xf numFmtId="166" fontId="2" fillId="6" borderId="0" xfId="0" applyNumberFormat="1" applyFont="1" applyFill="1" applyBorder="1" applyAlignment="1">
      <alignment horizontal="center"/>
    </xf>
    <xf numFmtId="167" fontId="2" fillId="6" borderId="0" xfId="0" quotePrefix="1" applyNumberFormat="1" applyFont="1" applyFill="1" applyBorder="1" applyAlignment="1">
      <alignment horizontal="center"/>
    </xf>
    <xf numFmtId="1" fontId="2" fillId="6" borderId="0" xfId="0" applyNumberFormat="1" applyFont="1" applyFill="1" applyBorder="1" applyAlignment="1">
      <alignment horizontal="center"/>
    </xf>
    <xf numFmtId="168" fontId="2" fillId="6" borderId="0" xfId="0" quotePrefix="1" applyNumberFormat="1" applyFont="1" applyFill="1" applyBorder="1" applyAlignment="1">
      <alignment horizontal="center"/>
    </xf>
    <xf numFmtId="0" fontId="1" fillId="5" borderId="3" xfId="0" applyFont="1" applyFill="1" applyBorder="1" applyAlignment="1">
      <alignment horizontal="left"/>
    </xf>
    <xf numFmtId="169" fontId="2" fillId="17" borderId="0" xfId="0" applyNumberFormat="1" applyFont="1" applyFill="1" applyBorder="1" applyAlignment="1">
      <alignment horizontal="right"/>
    </xf>
    <xf numFmtId="171" fontId="2" fillId="17" borderId="4" xfId="0" applyNumberFormat="1" applyFont="1" applyFill="1" applyBorder="1" applyAlignment="1">
      <alignment horizontal="left"/>
    </xf>
    <xf numFmtId="0" fontId="1" fillId="17" borderId="0" xfId="0" applyFont="1" applyFill="1" applyBorder="1"/>
    <xf numFmtId="3" fontId="2" fillId="17" borderId="0" xfId="0" applyNumberFormat="1" applyFont="1" applyFill="1" applyBorder="1" applyAlignment="1">
      <alignment horizontal="left"/>
    </xf>
    <xf numFmtId="0" fontId="2" fillId="17" borderId="1" xfId="0" applyFont="1" applyFill="1" applyBorder="1" applyAlignment="1">
      <alignment horizontal="left"/>
    </xf>
    <xf numFmtId="2" fontId="23" fillId="17" borderId="8" xfId="0" applyNumberFormat="1" applyFont="1" applyFill="1" applyBorder="1"/>
    <xf numFmtId="0" fontId="2" fillId="0" borderId="1" xfId="0" applyFont="1" applyFill="1" applyBorder="1" applyAlignment="1">
      <alignment horizontal="left"/>
    </xf>
    <xf numFmtId="3" fontId="2" fillId="0" borderId="0" xfId="0" applyNumberFormat="1" applyFont="1" applyFill="1" applyBorder="1" applyAlignment="1">
      <alignment horizontal="right"/>
    </xf>
    <xf numFmtId="3" fontId="1" fillId="17" borderId="11" xfId="0" applyNumberFormat="1" applyFont="1" applyFill="1" applyBorder="1" applyAlignment="1">
      <alignment horizontal="right"/>
    </xf>
    <xf numFmtId="3" fontId="2" fillId="17" borderId="11" xfId="0" applyNumberFormat="1" applyFont="1" applyFill="1" applyBorder="1" applyAlignment="1">
      <alignment horizontal="right"/>
    </xf>
    <xf numFmtId="4" fontId="1" fillId="17" borderId="11" xfId="0" applyNumberFormat="1" applyFont="1" applyFill="1" applyBorder="1" applyAlignment="1">
      <alignment horizontal="right"/>
    </xf>
    <xf numFmtId="4" fontId="2" fillId="17" borderId="11" xfId="0" applyNumberFormat="1" applyFont="1" applyFill="1" applyBorder="1" applyAlignment="1">
      <alignment horizontal="right"/>
    </xf>
    <xf numFmtId="0" fontId="2" fillId="17" borderId="0" xfId="0" applyFont="1" applyFill="1" applyBorder="1"/>
    <xf numFmtId="171" fontId="2" fillId="17" borderId="7" xfId="0" applyNumberFormat="1" applyFont="1" applyFill="1" applyBorder="1" applyAlignment="1">
      <alignment horizontal="left"/>
    </xf>
    <xf numFmtId="171" fontId="2" fillId="17" borderId="10" xfId="0" applyNumberFormat="1" applyFont="1" applyFill="1" applyBorder="1" applyAlignment="1">
      <alignment horizontal="left"/>
    </xf>
    <xf numFmtId="0" fontId="1" fillId="17" borderId="3" xfId="0" applyFont="1" applyFill="1" applyBorder="1" applyAlignment="1">
      <alignment horizontal="left"/>
    </xf>
    <xf numFmtId="169" fontId="2" fillId="17" borderId="2" xfId="0" applyNumberFormat="1" applyFont="1" applyFill="1" applyBorder="1" applyAlignment="1">
      <alignment horizontal="right"/>
    </xf>
    <xf numFmtId="4" fontId="2" fillId="17" borderId="2" xfId="0" applyNumberFormat="1" applyFont="1" applyFill="1" applyBorder="1" applyAlignment="1">
      <alignment horizontal="right"/>
    </xf>
    <xf numFmtId="3" fontId="2" fillId="5" borderId="8" xfId="0" applyNumberFormat="1" applyFont="1" applyFill="1" applyBorder="1" applyAlignment="1">
      <alignment horizontal="right"/>
    </xf>
    <xf numFmtId="171" fontId="2" fillId="5" borderId="10" xfId="0" applyNumberFormat="1" applyFont="1" applyFill="1" applyBorder="1" applyAlignment="1">
      <alignment horizontal="right"/>
    </xf>
    <xf numFmtId="171" fontId="2" fillId="0" borderId="15" xfId="0" applyNumberFormat="1" applyFont="1" applyFill="1" applyBorder="1" applyAlignment="1">
      <alignment horizontal="right"/>
    </xf>
    <xf numFmtId="0" fontId="0" fillId="17" borderId="8" xfId="0" applyFill="1" applyBorder="1"/>
    <xf numFmtId="0" fontId="2" fillId="17" borderId="31" xfId="0" applyFont="1" applyFill="1" applyBorder="1"/>
    <xf numFmtId="0" fontId="6" fillId="3" borderId="5" xfId="0" applyFont="1" applyFill="1" applyBorder="1" applyAlignment="1">
      <alignment horizontal="left"/>
    </xf>
    <xf numFmtId="0" fontId="2" fillId="9" borderId="4" xfId="0" applyFont="1" applyFill="1" applyBorder="1" applyAlignment="1">
      <alignment horizontal="left"/>
    </xf>
    <xf numFmtId="0" fontId="2" fillId="5" borderId="4" xfId="0" applyFont="1" applyFill="1" applyBorder="1" applyAlignment="1">
      <alignment horizontal="left"/>
    </xf>
    <xf numFmtId="0" fontId="2" fillId="7" borderId="4" xfId="0" applyFont="1" applyFill="1" applyBorder="1" applyAlignment="1">
      <alignment horizontal="left"/>
    </xf>
    <xf numFmtId="0" fontId="2" fillId="8" borderId="5" xfId="0" applyFont="1" applyFill="1" applyBorder="1" applyAlignment="1">
      <alignment horizontal="left"/>
    </xf>
    <xf numFmtId="0" fontId="2" fillId="8" borderId="4" xfId="0" applyFont="1" applyFill="1" applyBorder="1" applyAlignment="1">
      <alignment horizontal="left"/>
    </xf>
    <xf numFmtId="0" fontId="2" fillId="6" borderId="5" xfId="0" applyFont="1" applyFill="1" applyBorder="1" applyAlignment="1">
      <alignment horizontal="left"/>
    </xf>
    <xf numFmtId="0" fontId="2" fillId="6" borderId="4" xfId="0" applyFont="1" applyFill="1" applyBorder="1" applyAlignment="1">
      <alignment horizontal="left"/>
    </xf>
    <xf numFmtId="0" fontId="2" fillId="17" borderId="0" xfId="0" applyFont="1" applyFill="1" applyBorder="1" applyAlignment="1">
      <alignment horizontal="left"/>
    </xf>
    <xf numFmtId="172" fontId="26" fillId="17" borderId="11" xfId="0" applyNumberFormat="1" applyFont="1" applyFill="1" applyBorder="1" applyAlignment="1">
      <alignment horizontal="right"/>
    </xf>
    <xf numFmtId="171" fontId="2" fillId="17" borderId="0" xfId="0" quotePrefix="1" applyNumberFormat="1" applyFont="1" applyFill="1" applyBorder="1" applyAlignment="1">
      <alignment horizontal="left"/>
    </xf>
    <xf numFmtId="2" fontId="26" fillId="17" borderId="11" xfId="0" applyNumberFormat="1" applyFont="1" applyFill="1" applyBorder="1"/>
    <xf numFmtId="0" fontId="2" fillId="6" borderId="10" xfId="0" applyFont="1" applyFill="1" applyBorder="1" applyAlignment="1">
      <alignment horizontal="left"/>
    </xf>
    <xf numFmtId="0" fontId="2" fillId="5" borderId="0" xfId="0" applyFont="1" applyFill="1" applyBorder="1" applyAlignment="1">
      <alignment horizontal="right"/>
    </xf>
    <xf numFmtId="0" fontId="3" fillId="3" borderId="0" xfId="0" applyFont="1" applyFill="1" applyBorder="1" applyAlignment="1">
      <alignment horizontal="right"/>
    </xf>
    <xf numFmtId="0" fontId="2" fillId="3" borderId="0" xfId="0" applyFont="1" applyFill="1" applyBorder="1" applyAlignment="1">
      <alignment horizontal="right"/>
    </xf>
    <xf numFmtId="0" fontId="2" fillId="9" borderId="2" xfId="0" applyFont="1" applyFill="1" applyBorder="1" applyAlignment="1">
      <alignment horizontal="right"/>
    </xf>
    <xf numFmtId="0" fontId="2" fillId="9" borderId="0" xfId="0" applyFont="1" applyFill="1" applyBorder="1" applyAlignment="1">
      <alignment horizontal="right"/>
    </xf>
    <xf numFmtId="0" fontId="3" fillId="9" borderId="0" xfId="0" applyFont="1" applyFill="1" applyBorder="1" applyAlignment="1">
      <alignment horizontal="right"/>
    </xf>
    <xf numFmtId="0" fontId="6" fillId="3" borderId="2" xfId="0" applyFont="1" applyFill="1" applyBorder="1" applyAlignment="1">
      <alignment horizontal="right"/>
    </xf>
    <xf numFmtId="0" fontId="2" fillId="7" borderId="2" xfId="0" applyFont="1" applyFill="1" applyBorder="1" applyAlignment="1">
      <alignment horizontal="right"/>
    </xf>
    <xf numFmtId="0" fontId="3" fillId="7" borderId="0" xfId="0" applyFont="1" applyFill="1" applyBorder="1" applyAlignment="1">
      <alignment horizontal="right"/>
    </xf>
    <xf numFmtId="0" fontId="2" fillId="8" borderId="0" xfId="0" applyFont="1" applyFill="1" applyBorder="1" applyAlignment="1">
      <alignment horizontal="right"/>
    </xf>
    <xf numFmtId="165" fontId="2" fillId="8" borderId="0" xfId="0" applyNumberFormat="1" applyFont="1" applyFill="1" applyBorder="1" applyAlignment="1">
      <alignment horizontal="right"/>
    </xf>
    <xf numFmtId="11" fontId="2" fillId="8" borderId="0" xfId="0" applyNumberFormat="1" applyFont="1" applyFill="1" applyBorder="1" applyAlignment="1">
      <alignment horizontal="right"/>
    </xf>
    <xf numFmtId="2" fontId="2" fillId="8" borderId="0" xfId="0" applyNumberFormat="1" applyFont="1" applyFill="1" applyBorder="1" applyAlignment="1">
      <alignment horizontal="right"/>
    </xf>
    <xf numFmtId="0" fontId="2" fillId="6" borderId="0" xfId="0" applyFont="1" applyFill="1" applyBorder="1" applyAlignment="1">
      <alignment horizontal="right"/>
    </xf>
    <xf numFmtId="0" fontId="2" fillId="6" borderId="8" xfId="0" applyFont="1" applyFill="1" applyBorder="1" applyAlignment="1">
      <alignment horizontal="left"/>
    </xf>
    <xf numFmtId="0" fontId="2" fillId="4" borderId="8" xfId="0" applyFont="1" applyFill="1" applyBorder="1"/>
    <xf numFmtId="0" fontId="0" fillId="6" borderId="15" xfId="0" applyFill="1" applyBorder="1"/>
    <xf numFmtId="0" fontId="0" fillId="6" borderId="2" xfId="0" applyFill="1" applyBorder="1"/>
    <xf numFmtId="0" fontId="0" fillId="6" borderId="13" xfId="0" applyFill="1" applyBorder="1"/>
    <xf numFmtId="0" fontId="0" fillId="6" borderId="30" xfId="0" applyFill="1" applyBorder="1"/>
    <xf numFmtId="0" fontId="2" fillId="6" borderId="1" xfId="0" applyFont="1" applyFill="1" applyBorder="1"/>
    <xf numFmtId="0" fontId="3" fillId="6" borderId="7" xfId="0" applyFont="1" applyFill="1" applyBorder="1"/>
    <xf numFmtId="0" fontId="0" fillId="6" borderId="7" xfId="0" applyFill="1" applyBorder="1"/>
    <xf numFmtId="0" fontId="0" fillId="6" borderId="1" xfId="0" applyFill="1" applyBorder="1"/>
    <xf numFmtId="0" fontId="3" fillId="6" borderId="1" xfId="0" applyFont="1" applyFill="1" applyBorder="1"/>
    <xf numFmtId="0" fontId="2" fillId="6" borderId="7" xfId="0" applyFont="1" applyFill="1" applyBorder="1" applyAlignment="1">
      <alignment horizontal="right"/>
    </xf>
    <xf numFmtId="0" fontId="2" fillId="6" borderId="9" xfId="0" applyFont="1" applyFill="1" applyBorder="1"/>
    <xf numFmtId="0" fontId="0" fillId="6" borderId="29" xfId="0" applyFill="1" applyBorder="1"/>
    <xf numFmtId="0" fontId="26" fillId="6" borderId="13" xfId="0" applyFont="1" applyFill="1" applyBorder="1"/>
    <xf numFmtId="0" fontId="26" fillId="6" borderId="7" xfId="0" applyFont="1" applyFill="1" applyBorder="1"/>
    <xf numFmtId="0" fontId="26" fillId="6" borderId="7" xfId="0" applyFont="1" applyFill="1" applyBorder="1" applyAlignment="1">
      <alignment horizontal="right"/>
    </xf>
    <xf numFmtId="16" fontId="26" fillId="6" borderId="12" xfId="0" applyNumberFormat="1" applyFont="1" applyFill="1" applyBorder="1"/>
    <xf numFmtId="16" fontId="26" fillId="6" borderId="18" xfId="0" applyNumberFormat="1" applyFont="1" applyFill="1" applyBorder="1"/>
    <xf numFmtId="0" fontId="0" fillId="3" borderId="16" xfId="0" applyFill="1" applyBorder="1"/>
    <xf numFmtId="0" fontId="0" fillId="3" borderId="19" xfId="0" applyFill="1" applyBorder="1"/>
    <xf numFmtId="0" fontId="0" fillId="3" borderId="20" xfId="0" applyFill="1" applyBorder="1"/>
    <xf numFmtId="0" fontId="2" fillId="3" borderId="1" xfId="0" applyFont="1" applyFill="1" applyBorder="1"/>
    <xf numFmtId="0" fontId="0" fillId="3" borderId="1" xfId="0" applyFill="1" applyBorder="1"/>
    <xf numFmtId="0" fontId="3" fillId="3" borderId="1" xfId="0" applyFont="1" applyFill="1" applyBorder="1"/>
    <xf numFmtId="0" fontId="2" fillId="3" borderId="17" xfId="0" applyFont="1" applyFill="1" applyBorder="1" applyAlignment="1">
      <alignment horizontal="right"/>
    </xf>
    <xf numFmtId="0" fontId="0" fillId="8" borderId="13" xfId="0" applyFill="1" applyBorder="1"/>
    <xf numFmtId="16" fontId="2" fillId="8" borderId="12" xfId="0" applyNumberFormat="1" applyFont="1" applyFill="1" applyBorder="1"/>
    <xf numFmtId="170" fontId="3" fillId="8" borderId="18" xfId="0" applyNumberFormat="1" applyFont="1" applyFill="1" applyBorder="1"/>
    <xf numFmtId="0" fontId="1" fillId="3" borderId="3" xfId="0" applyFont="1" applyFill="1" applyBorder="1"/>
    <xf numFmtId="0" fontId="1" fillId="6" borderId="37" xfId="0" applyFont="1" applyFill="1" applyBorder="1"/>
    <xf numFmtId="0" fontId="6" fillId="6" borderId="31" xfId="0" applyFont="1" applyFill="1" applyBorder="1"/>
    <xf numFmtId="0" fontId="2" fillId="3" borderId="29" xfId="0" applyFont="1" applyFill="1" applyBorder="1"/>
    <xf numFmtId="0" fontId="0" fillId="8" borderId="30" xfId="0" applyFill="1" applyBorder="1"/>
    <xf numFmtId="0" fontId="0" fillId="8" borderId="35" xfId="0" applyFill="1" applyBorder="1"/>
    <xf numFmtId="0" fontId="0" fillId="8" borderId="34" xfId="0" applyFill="1" applyBorder="1"/>
    <xf numFmtId="0" fontId="2" fillId="8" borderId="12" xfId="0" applyFont="1" applyFill="1" applyBorder="1"/>
    <xf numFmtId="0" fontId="2" fillId="8" borderId="17" xfId="0" applyFont="1" applyFill="1" applyBorder="1"/>
    <xf numFmtId="0" fontId="0" fillId="8" borderId="12" xfId="0" applyFill="1" applyBorder="1"/>
    <xf numFmtId="0" fontId="0" fillId="8" borderId="17" xfId="0" applyFill="1" applyBorder="1"/>
    <xf numFmtId="0" fontId="0" fillId="8" borderId="24" xfId="0" applyFill="1" applyBorder="1"/>
    <xf numFmtId="3" fontId="0" fillId="8" borderId="17" xfId="0" applyNumberFormat="1" applyFill="1" applyBorder="1"/>
    <xf numFmtId="16" fontId="2" fillId="8" borderId="24" xfId="0" applyNumberFormat="1" applyFont="1" applyFill="1" applyBorder="1"/>
    <xf numFmtId="0" fontId="2" fillId="8" borderId="4" xfId="0" applyFont="1" applyFill="1" applyBorder="1"/>
    <xf numFmtId="0" fontId="0" fillId="8" borderId="18" xfId="0" applyFill="1" applyBorder="1"/>
    <xf numFmtId="0" fontId="2" fillId="8" borderId="10" xfId="0" applyFont="1" applyFill="1" applyBorder="1"/>
    <xf numFmtId="0" fontId="0" fillId="8" borderId="15" xfId="0" applyFill="1" applyBorder="1"/>
    <xf numFmtId="0" fontId="0" fillId="8" borderId="3" xfId="0" applyFill="1" applyBorder="1"/>
    <xf numFmtId="0" fontId="0" fillId="8" borderId="2" xfId="0" applyFill="1" applyBorder="1"/>
    <xf numFmtId="0" fontId="0" fillId="8" borderId="5" xfId="0" applyFill="1" applyBorder="1"/>
    <xf numFmtId="0" fontId="0" fillId="8" borderId="20" xfId="0" applyFill="1" applyBorder="1"/>
    <xf numFmtId="0" fontId="0" fillId="8" borderId="31" xfId="0" applyFill="1" applyBorder="1"/>
    <xf numFmtId="0" fontId="0" fillId="8" borderId="7" xfId="0" applyFill="1" applyBorder="1"/>
    <xf numFmtId="16" fontId="2" fillId="8" borderId="31" xfId="0" applyNumberFormat="1" applyFont="1" applyFill="1" applyBorder="1"/>
    <xf numFmtId="170" fontId="3" fillId="8" borderId="32" xfId="0" applyNumberFormat="1" applyFont="1" applyFill="1" applyBorder="1"/>
    <xf numFmtId="0" fontId="0" fillId="8" borderId="29" xfId="0" applyFill="1" applyBorder="1"/>
    <xf numFmtId="16" fontId="2" fillId="8" borderId="32" xfId="0" applyNumberFormat="1" applyFont="1" applyFill="1" applyBorder="1"/>
    <xf numFmtId="0" fontId="0" fillId="8" borderId="21" xfId="0" applyFill="1" applyBorder="1"/>
    <xf numFmtId="0" fontId="3" fillId="3" borderId="17" xfId="0" applyFont="1" applyFill="1" applyBorder="1"/>
    <xf numFmtId="0" fontId="2" fillId="3" borderId="1" xfId="0" applyFont="1" applyFill="1" applyBorder="1" applyAlignment="1">
      <alignment horizontal="right"/>
    </xf>
    <xf numFmtId="170" fontId="3" fillId="3" borderId="1" xfId="0" applyNumberFormat="1" applyFont="1" applyFill="1" applyBorder="1"/>
    <xf numFmtId="0" fontId="3" fillId="3" borderId="17" xfId="0" applyNumberFormat="1" applyFont="1" applyFill="1" applyBorder="1"/>
    <xf numFmtId="16" fontId="2" fillId="3" borderId="31" xfId="0" applyNumberFormat="1" applyFont="1" applyFill="1" applyBorder="1"/>
    <xf numFmtId="0" fontId="2" fillId="3" borderId="4" xfId="0" applyFont="1" applyFill="1" applyBorder="1"/>
    <xf numFmtId="170" fontId="3" fillId="3" borderId="32" xfId="0" applyNumberFormat="1" applyFont="1" applyFill="1" applyBorder="1"/>
    <xf numFmtId="0" fontId="3" fillId="3" borderId="21" xfId="0" applyNumberFormat="1" applyFont="1" applyFill="1" applyBorder="1"/>
    <xf numFmtId="0" fontId="0" fillId="8" borderId="16" xfId="0" applyFill="1" applyBorder="1"/>
    <xf numFmtId="0" fontId="0" fillId="8" borderId="25" xfId="0" applyFill="1" applyBorder="1"/>
    <xf numFmtId="0" fontId="0" fillId="8" borderId="14" xfId="0" applyFill="1" applyBorder="1"/>
    <xf numFmtId="170" fontId="3" fillId="8" borderId="38" xfId="0" applyNumberFormat="1" applyFont="1" applyFill="1" applyBorder="1"/>
    <xf numFmtId="0" fontId="26" fillId="5" borderId="0" xfId="0" applyFont="1" applyFill="1" applyBorder="1" applyAlignment="1">
      <alignment horizontal="right"/>
    </xf>
    <xf numFmtId="3" fontId="2" fillId="7" borderId="0" xfId="0" applyNumberFormat="1" applyFont="1" applyFill="1" applyBorder="1" applyAlignment="1">
      <alignment horizontal="right"/>
    </xf>
    <xf numFmtId="0" fontId="1" fillId="8" borderId="31" xfId="0" applyFont="1" applyFill="1" applyBorder="1" applyAlignment="1">
      <alignment horizontal="right"/>
    </xf>
    <xf numFmtId="0" fontId="1" fillId="8" borderId="7" xfId="0" applyFont="1" applyFill="1" applyBorder="1" applyAlignment="1">
      <alignment horizontal="right"/>
    </xf>
    <xf numFmtId="0" fontId="1" fillId="8" borderId="17" xfId="0" applyFont="1" applyFill="1" applyBorder="1" applyAlignment="1">
      <alignment horizontal="right"/>
    </xf>
    <xf numFmtId="0" fontId="1" fillId="8" borderId="0" xfId="0" applyFont="1" applyFill="1" applyBorder="1" applyAlignment="1">
      <alignment horizontal="right"/>
    </xf>
    <xf numFmtId="173" fontId="0" fillId="0" borderId="0" xfId="2" applyNumberFormat="1" applyFont="1"/>
    <xf numFmtId="0" fontId="3" fillId="6" borderId="17" xfId="0" applyFont="1" applyFill="1" applyBorder="1"/>
    <xf numFmtId="0" fontId="0" fillId="6" borderId="17" xfId="0" applyFill="1" applyBorder="1"/>
    <xf numFmtId="0" fontId="0" fillId="0" borderId="1" xfId="0" applyBorder="1"/>
    <xf numFmtId="168" fontId="2" fillId="0" borderId="0" xfId="0" applyNumberFormat="1" applyFont="1" applyFill="1" applyBorder="1" applyAlignment="1">
      <alignment horizontal="center" vertical="center"/>
    </xf>
    <xf numFmtId="168" fontId="2" fillId="0" borderId="0" xfId="0" applyNumberFormat="1" applyFont="1" applyFill="1" applyBorder="1" applyAlignment="1">
      <alignment horizontal="center"/>
    </xf>
    <xf numFmtId="2" fontId="2" fillId="0" borderId="0" xfId="0" applyNumberFormat="1" applyFont="1" applyFill="1" applyBorder="1" applyAlignment="1">
      <alignment horizontal="center"/>
    </xf>
    <xf numFmtId="1" fontId="2" fillId="0" borderId="0" xfId="0" applyNumberFormat="1" applyFont="1" applyFill="1" applyBorder="1" applyAlignment="1">
      <alignment horizontal="center"/>
    </xf>
    <xf numFmtId="167" fontId="0" fillId="0" borderId="0" xfId="0" applyNumberFormat="1" applyFill="1" applyBorder="1" applyAlignment="1"/>
    <xf numFmtId="0" fontId="1" fillId="4" borderId="3" xfId="0" applyFont="1" applyFill="1" applyBorder="1"/>
    <xf numFmtId="3" fontId="31" fillId="2" borderId="16" xfId="0" applyNumberFormat="1" applyFont="1" applyFill="1" applyBorder="1"/>
    <xf numFmtId="0" fontId="1" fillId="0" borderId="6" xfId="0" applyFont="1" applyBorder="1"/>
    <xf numFmtId="0" fontId="0" fillId="3" borderId="1" xfId="0" applyFill="1" applyBorder="1" applyAlignment="1">
      <alignment horizontal="center"/>
    </xf>
    <xf numFmtId="0" fontId="0" fillId="3" borderId="0" xfId="0" applyFill="1" applyBorder="1" applyAlignment="1">
      <alignment horizontal="center"/>
    </xf>
    <xf numFmtId="168" fontId="0" fillId="3" borderId="0" xfId="0" applyNumberFormat="1" applyFill="1" applyBorder="1" applyAlignment="1">
      <alignment horizontal="center"/>
    </xf>
    <xf numFmtId="0" fontId="0" fillId="3" borderId="4" xfId="0" applyFill="1" applyBorder="1" applyAlignment="1">
      <alignment horizontal="center"/>
    </xf>
    <xf numFmtId="0" fontId="0" fillId="3" borderId="9" xfId="0" applyFill="1" applyBorder="1" applyAlignment="1">
      <alignment horizontal="center"/>
    </xf>
    <xf numFmtId="0" fontId="0" fillId="3" borderId="8" xfId="0" applyFill="1" applyBorder="1" applyAlignment="1">
      <alignment horizontal="center"/>
    </xf>
    <xf numFmtId="168" fontId="0" fillId="3" borderId="8" xfId="0" applyNumberFormat="1" applyFill="1" applyBorder="1" applyAlignment="1">
      <alignment horizontal="center"/>
    </xf>
    <xf numFmtId="0" fontId="0" fillId="3" borderId="10" xfId="0" applyFill="1" applyBorder="1" applyAlignment="1">
      <alignment horizontal="center"/>
    </xf>
    <xf numFmtId="0" fontId="6" fillId="3" borderId="3" xfId="0" applyFont="1" applyFill="1" applyBorder="1" applyAlignment="1">
      <alignment horizontal="center"/>
    </xf>
    <xf numFmtId="0" fontId="6" fillId="3" borderId="2" xfId="0" applyFont="1" applyFill="1" applyBorder="1" applyAlignment="1">
      <alignment horizontal="center"/>
    </xf>
    <xf numFmtId="0" fontId="1" fillId="2" borderId="22" xfId="0" applyFont="1" applyFill="1" applyBorder="1"/>
    <xf numFmtId="0" fontId="1" fillId="2" borderId="6" xfId="0" applyFont="1" applyFill="1" applyBorder="1"/>
    <xf numFmtId="0" fontId="0" fillId="8" borderId="1" xfId="0" applyFill="1" applyBorder="1" applyAlignment="1"/>
    <xf numFmtId="0" fontId="0" fillId="8" borderId="0" xfId="0" applyFill="1" applyBorder="1" applyAlignment="1"/>
    <xf numFmtId="0" fontId="1" fillId="8" borderId="0" xfId="0" applyFont="1" applyFill="1" applyBorder="1" applyAlignment="1"/>
    <xf numFmtId="0" fontId="2" fillId="8" borderId="0" xfId="0" applyFont="1" applyFill="1" applyBorder="1" applyAlignment="1">
      <alignment horizontal="right" textRotation="90" wrapText="1"/>
    </xf>
    <xf numFmtId="0" fontId="2" fillId="8" borderId="0" xfId="0" applyFont="1" applyFill="1" applyBorder="1" applyAlignment="1"/>
    <xf numFmtId="0" fontId="1" fillId="8" borderId="27" xfId="0" applyFont="1" applyFill="1" applyBorder="1" applyAlignment="1"/>
    <xf numFmtId="0" fontId="14" fillId="8" borderId="6" xfId="0" applyFont="1" applyFill="1" applyBorder="1" applyAlignment="1">
      <alignment horizontal="center" vertical="center" wrapText="1"/>
    </xf>
    <xf numFmtId="0" fontId="14" fillId="8" borderId="15" xfId="0" applyFont="1" applyFill="1" applyBorder="1" applyAlignment="1">
      <alignment horizontal="center" vertical="center" wrapText="1"/>
    </xf>
    <xf numFmtId="14" fontId="0" fillId="8" borderId="15" xfId="0" applyNumberFormat="1" applyFill="1" applyBorder="1" applyAlignment="1">
      <alignment horizontal="center"/>
    </xf>
    <xf numFmtId="1" fontId="2" fillId="8" borderId="15" xfId="0" applyNumberFormat="1" applyFont="1" applyFill="1" applyBorder="1" applyAlignment="1">
      <alignment horizontal="center"/>
    </xf>
    <xf numFmtId="0" fontId="14" fillId="8" borderId="28" xfId="0" applyFont="1" applyFill="1" applyBorder="1" applyAlignment="1">
      <alignment horizontal="center" vertical="center" wrapText="1"/>
    </xf>
    <xf numFmtId="1" fontId="6" fillId="8" borderId="1" xfId="0" applyNumberFormat="1" applyFont="1" applyFill="1" applyBorder="1" applyAlignment="1">
      <alignment horizontal="center"/>
    </xf>
    <xf numFmtId="1" fontId="6" fillId="8" borderId="0" xfId="0" applyNumberFormat="1" applyFont="1" applyFill="1" applyBorder="1" applyAlignment="1">
      <alignment horizontal="center"/>
    </xf>
    <xf numFmtId="168" fontId="2" fillId="8" borderId="0" xfId="0" applyNumberFormat="1" applyFont="1" applyFill="1" applyBorder="1" applyAlignment="1">
      <alignment horizontal="center"/>
    </xf>
    <xf numFmtId="1" fontId="2" fillId="8" borderId="0" xfId="0" applyNumberFormat="1" applyFont="1" applyFill="1" applyBorder="1" applyAlignment="1">
      <alignment horizontal="center"/>
    </xf>
    <xf numFmtId="168" fontId="2" fillId="8" borderId="0" xfId="0" applyNumberFormat="1" applyFont="1" applyFill="1" applyBorder="1" applyAlignment="1">
      <alignment horizontal="center" vertical="center"/>
    </xf>
    <xf numFmtId="2" fontId="2" fillId="8" borderId="0" xfId="0" applyNumberFormat="1" applyFont="1" applyFill="1" applyBorder="1" applyAlignment="1">
      <alignment horizontal="center"/>
    </xf>
    <xf numFmtId="167" fontId="2" fillId="8" borderId="0" xfId="0" applyNumberFormat="1" applyFont="1" applyFill="1" applyBorder="1" applyAlignment="1">
      <alignment horizontal="center"/>
    </xf>
    <xf numFmtId="14" fontId="2" fillId="8" borderId="0" xfId="0" applyNumberFormat="1" applyFont="1" applyFill="1" applyBorder="1" applyAlignment="1">
      <alignment horizontal="center"/>
    </xf>
    <xf numFmtId="168" fontId="2" fillId="8" borderId="27" xfId="0" applyNumberFormat="1" applyFont="1" applyFill="1" applyBorder="1" applyAlignment="1">
      <alignment horizontal="center"/>
    </xf>
    <xf numFmtId="0" fontId="6" fillId="8" borderId="1" xfId="0" applyFont="1" applyFill="1" applyBorder="1" applyAlignment="1">
      <alignment horizontal="center"/>
    </xf>
    <xf numFmtId="0" fontId="6" fillId="8" borderId="0" xfId="0" applyFont="1" applyFill="1" applyBorder="1" applyAlignment="1">
      <alignment horizontal="center"/>
    </xf>
    <xf numFmtId="0" fontId="2" fillId="0" borderId="0" xfId="0" applyFont="1" applyFill="1" applyBorder="1"/>
    <xf numFmtId="0" fontId="2" fillId="0" borderId="15" xfId="0" applyFont="1" applyFill="1" applyBorder="1"/>
    <xf numFmtId="0" fontId="0" fillId="0" borderId="15" xfId="0" applyFill="1" applyBorder="1"/>
    <xf numFmtId="3" fontId="27" fillId="2" borderId="36" xfId="0" applyNumberFormat="1" applyFont="1" applyFill="1" applyBorder="1"/>
    <xf numFmtId="173" fontId="2" fillId="17" borderId="4" xfId="2" applyNumberFormat="1" applyFont="1" applyFill="1" applyBorder="1" applyAlignment="1">
      <alignment horizontal="right"/>
    </xf>
    <xf numFmtId="0" fontId="0" fillId="14" borderId="43" xfId="0" applyFill="1" applyBorder="1" applyAlignment="1"/>
    <xf numFmtId="0" fontId="14" fillId="14" borderId="44" xfId="0" applyFont="1" applyFill="1" applyBorder="1" applyAlignment="1">
      <alignment horizontal="center" vertical="center" wrapText="1"/>
    </xf>
    <xf numFmtId="1" fontId="2" fillId="14" borderId="43" xfId="0" applyNumberFormat="1" applyFont="1" applyFill="1" applyBorder="1" applyAlignment="1">
      <alignment horizontal="center"/>
    </xf>
    <xf numFmtId="0" fontId="0" fillId="14" borderId="45" xfId="0" applyFill="1" applyBorder="1" applyAlignment="1"/>
    <xf numFmtId="0" fontId="2" fillId="5" borderId="40" xfId="0" applyFont="1" applyFill="1" applyBorder="1" applyAlignment="1">
      <alignment horizontal="center" wrapText="1"/>
    </xf>
    <xf numFmtId="0" fontId="0" fillId="5" borderId="0" xfId="0" applyFill="1" applyBorder="1"/>
    <xf numFmtId="0" fontId="2" fillId="5" borderId="41" xfId="0" applyFont="1" applyFill="1" applyBorder="1" applyAlignment="1">
      <alignment horizontal="center" wrapText="1"/>
    </xf>
    <xf numFmtId="0" fontId="0" fillId="5" borderId="24" xfId="0" applyFill="1" applyBorder="1"/>
    <xf numFmtId="0" fontId="0" fillId="5" borderId="7" xfId="0" applyFill="1" applyBorder="1"/>
    <xf numFmtId="0" fontId="0" fillId="5" borderId="13" xfId="0" applyFill="1" applyBorder="1"/>
    <xf numFmtId="0" fontId="2" fillId="5" borderId="42" xfId="0" applyFont="1" applyFill="1" applyBorder="1" applyAlignment="1">
      <alignment horizontal="right"/>
    </xf>
    <xf numFmtId="0" fontId="0" fillId="5" borderId="42" xfId="0" applyFill="1" applyBorder="1"/>
    <xf numFmtId="0" fontId="0" fillId="5" borderId="25" xfId="0" applyFill="1" applyBorder="1"/>
    <xf numFmtId="0" fontId="0" fillId="5" borderId="39" xfId="0" applyFill="1" applyBorder="1" applyAlignment="1">
      <alignment horizontal="right"/>
    </xf>
    <xf numFmtId="0" fontId="2" fillId="5" borderId="40" xfId="0" applyFont="1" applyFill="1" applyBorder="1" applyAlignment="1">
      <alignment horizontal="right"/>
    </xf>
    <xf numFmtId="3" fontId="2" fillId="9" borderId="0" xfId="0" applyNumberFormat="1" applyFont="1" applyFill="1" applyBorder="1" applyAlignment="1">
      <alignment horizontal="right"/>
    </xf>
    <xf numFmtId="0" fontId="26" fillId="17" borderId="0" xfId="0" applyFont="1" applyFill="1" applyBorder="1"/>
    <xf numFmtId="172" fontId="2" fillId="2" borderId="22" xfId="0" applyNumberFormat="1" applyFont="1" applyFill="1" applyBorder="1" applyAlignment="1">
      <alignment horizontal="center"/>
    </xf>
    <xf numFmtId="0" fontId="2" fillId="5" borderId="0" xfId="0" applyFont="1" applyFill="1" applyBorder="1" applyAlignment="1">
      <alignment horizontal="center" wrapText="1"/>
    </xf>
    <xf numFmtId="0" fontId="3" fillId="5" borderId="4" xfId="0" applyFont="1" applyFill="1" applyBorder="1" applyAlignment="1">
      <alignment horizontal="left"/>
    </xf>
    <xf numFmtId="0" fontId="2" fillId="9" borderId="10" xfId="0" applyFont="1" applyFill="1" applyBorder="1" applyAlignment="1">
      <alignment horizontal="left"/>
    </xf>
    <xf numFmtId="0" fontId="3" fillId="5" borderId="46" xfId="0" applyFont="1" applyFill="1" applyBorder="1" applyAlignment="1">
      <alignment horizontal="left"/>
    </xf>
    <xf numFmtId="174" fontId="0" fillId="0" borderId="0" xfId="0" applyNumberFormat="1"/>
    <xf numFmtId="0" fontId="6" fillId="5" borderId="0" xfId="0" applyFont="1" applyFill="1" applyBorder="1" applyAlignment="1">
      <alignment horizontal="right"/>
    </xf>
    <xf numFmtId="0" fontId="6" fillId="5" borderId="4" xfId="0" applyFont="1" applyFill="1" applyBorder="1" applyAlignment="1">
      <alignment horizontal="right"/>
    </xf>
    <xf numFmtId="169" fontId="2" fillId="5" borderId="0" xfId="0" applyNumberFormat="1" applyFont="1" applyFill="1" applyBorder="1" applyAlignment="1">
      <alignment horizontal="center"/>
    </xf>
    <xf numFmtId="0" fontId="26" fillId="9" borderId="0" xfId="0" applyFont="1" applyFill="1" applyBorder="1" applyAlignment="1">
      <alignment horizontal="right"/>
    </xf>
    <xf numFmtId="0" fontId="26" fillId="2" borderId="22" xfId="0" applyFont="1" applyFill="1" applyBorder="1" applyAlignment="1">
      <alignment horizontal="center"/>
    </xf>
    <xf numFmtId="3" fontId="2" fillId="5" borderId="2" xfId="0" applyNumberFormat="1" applyFont="1" applyFill="1" applyBorder="1" applyAlignment="1">
      <alignment horizontal="center"/>
    </xf>
    <xf numFmtId="0" fontId="0" fillId="18" borderId="0" xfId="0" applyFill="1" applyBorder="1" applyAlignment="1"/>
    <xf numFmtId="0" fontId="6" fillId="18" borderId="0" xfId="0" applyFont="1" applyFill="1" applyBorder="1" applyAlignment="1"/>
    <xf numFmtId="0" fontId="1" fillId="18" borderId="0" xfId="0" applyFont="1" applyFill="1" applyBorder="1" applyAlignment="1"/>
    <xf numFmtId="168" fontId="14" fillId="18" borderId="15" xfId="0" applyNumberFormat="1" applyFont="1" applyFill="1" applyBorder="1" applyAlignment="1">
      <alignment horizontal="center"/>
    </xf>
    <xf numFmtId="0" fontId="14" fillId="18" borderId="15" xfId="0" applyFont="1" applyFill="1" applyBorder="1" applyAlignment="1">
      <alignment horizontal="center" vertical="center" wrapText="1"/>
    </xf>
    <xf numFmtId="1" fontId="2" fillId="18" borderId="0" xfId="0" applyNumberFormat="1" applyFont="1" applyFill="1" applyBorder="1" applyAlignment="1">
      <alignment horizontal="center"/>
    </xf>
    <xf numFmtId="0" fontId="1" fillId="16" borderId="6" xfId="0" applyFont="1" applyFill="1" applyBorder="1" applyAlignment="1">
      <alignment horizontal="left"/>
    </xf>
    <xf numFmtId="0" fontId="0" fillId="16" borderId="15" xfId="0" applyFill="1" applyBorder="1" applyAlignment="1">
      <alignment horizontal="right"/>
    </xf>
    <xf numFmtId="0" fontId="2" fillId="16" borderId="16" xfId="0" applyFont="1" applyFill="1" applyBorder="1" applyAlignment="1">
      <alignment horizontal="right"/>
    </xf>
    <xf numFmtId="0" fontId="0" fillId="16" borderId="1" xfId="0" applyFill="1" applyBorder="1" applyAlignment="1"/>
    <xf numFmtId="0" fontId="2" fillId="16" borderId="4" xfId="0" applyFont="1" applyFill="1" applyBorder="1" applyAlignment="1"/>
    <xf numFmtId="0" fontId="14" fillId="16" borderId="6" xfId="0" applyFont="1" applyFill="1" applyBorder="1" applyAlignment="1">
      <alignment horizontal="center" vertical="center" wrapText="1"/>
    </xf>
    <xf numFmtId="0" fontId="14" fillId="16" borderId="16" xfId="0" applyFont="1" applyFill="1" applyBorder="1" applyAlignment="1">
      <alignment horizontal="center" vertical="center" wrapText="1"/>
    </xf>
    <xf numFmtId="0" fontId="2" fillId="16" borderId="1" xfId="0" applyFont="1" applyFill="1" applyBorder="1" applyAlignment="1">
      <alignment horizontal="center" vertical="center"/>
    </xf>
    <xf numFmtId="1" fontId="2" fillId="16" borderId="4" xfId="0" applyNumberFormat="1" applyFont="1" applyFill="1" applyBorder="1" applyAlignment="1">
      <alignment horizontal="center" vertical="center"/>
    </xf>
    <xf numFmtId="0" fontId="2" fillId="16" borderId="9" xfId="0" applyFont="1" applyFill="1" applyBorder="1" applyAlignment="1">
      <alignment horizontal="center" vertical="center"/>
    </xf>
    <xf numFmtId="1" fontId="2" fillId="16" borderId="8" xfId="0" applyNumberFormat="1" applyFont="1" applyFill="1" applyBorder="1" applyAlignment="1">
      <alignment horizontal="center" vertical="center"/>
    </xf>
    <xf numFmtId="1" fontId="2" fillId="16" borderId="10" xfId="0" applyNumberFormat="1" applyFont="1" applyFill="1" applyBorder="1" applyAlignment="1">
      <alignment horizontal="center" vertical="center"/>
    </xf>
    <xf numFmtId="0" fontId="2" fillId="6" borderId="8" xfId="0" applyFont="1" applyFill="1" applyBorder="1" applyAlignment="1">
      <alignment horizontal="right"/>
    </xf>
    <xf numFmtId="0" fontId="2" fillId="6" borderId="0" xfId="0" applyFont="1" applyFill="1" applyBorder="1" applyAlignment="1"/>
    <xf numFmtId="0" fontId="2" fillId="6" borderId="27" xfId="0" applyFont="1" applyFill="1" applyBorder="1" applyAlignment="1"/>
    <xf numFmtId="0" fontId="14" fillId="6" borderId="15" xfId="0" applyFont="1" applyFill="1" applyBorder="1" applyAlignment="1">
      <alignment horizontal="right" vertical="center" wrapText="1"/>
    </xf>
    <xf numFmtId="0" fontId="14" fillId="6" borderId="28" xfId="0" applyFont="1" applyFill="1" applyBorder="1" applyAlignment="1">
      <alignment horizontal="right" vertical="center" wrapText="1"/>
    </xf>
    <xf numFmtId="2" fontId="2" fillId="6" borderId="0" xfId="0" applyNumberFormat="1" applyFont="1" applyFill="1" applyBorder="1" applyAlignment="1">
      <alignment horizontal="right"/>
    </xf>
    <xf numFmtId="166" fontId="2" fillId="6" borderId="0" xfId="0" applyNumberFormat="1" applyFont="1" applyFill="1" applyBorder="1" applyAlignment="1">
      <alignment horizontal="right"/>
    </xf>
    <xf numFmtId="168" fontId="2" fillId="6" borderId="0" xfId="0" applyNumberFormat="1" applyFont="1" applyFill="1" applyBorder="1" applyAlignment="1">
      <alignment horizontal="right"/>
    </xf>
    <xf numFmtId="168" fontId="2" fillId="6" borderId="27" xfId="0" applyNumberFormat="1" applyFont="1" applyFill="1" applyBorder="1" applyAlignment="1">
      <alignment horizontal="right"/>
    </xf>
    <xf numFmtId="173" fontId="0" fillId="0" borderId="0" xfId="0" applyNumberFormat="1"/>
    <xf numFmtId="164" fontId="0" fillId="0" borderId="0" xfId="0" applyNumberFormat="1"/>
    <xf numFmtId="175" fontId="0" fillId="0" borderId="0" xfId="0" applyNumberFormat="1"/>
    <xf numFmtId="0" fontId="2" fillId="0" borderId="0" xfId="0" applyFont="1" applyFill="1" applyBorder="1" applyAlignment="1"/>
    <xf numFmtId="1" fontId="0" fillId="0" borderId="0" xfId="0" applyNumberFormat="1" applyFill="1" applyBorder="1" applyAlignment="1"/>
    <xf numFmtId="2" fontId="0" fillId="0" borderId="0" xfId="0" applyNumberFormat="1" applyFill="1" applyBorder="1" applyAlignment="1"/>
    <xf numFmtId="166" fontId="0" fillId="0" borderId="0" xfId="0" applyNumberFormat="1" applyFill="1" applyBorder="1" applyAlignment="1"/>
    <xf numFmtId="0" fontId="19" fillId="8" borderId="6" xfId="0" applyFont="1" applyFill="1" applyBorder="1" applyAlignment="1"/>
    <xf numFmtId="0" fontId="20" fillId="8" borderId="15" xfId="0" applyFont="1" applyFill="1" applyBorder="1" applyAlignment="1">
      <alignment horizontal="right"/>
    </xf>
    <xf numFmtId="0" fontId="0" fillId="8" borderId="15" xfId="0" applyFill="1" applyBorder="1" applyAlignment="1">
      <alignment horizontal="right"/>
    </xf>
    <xf numFmtId="0" fontId="2" fillId="8" borderId="15" xfId="0" applyFont="1" applyFill="1" applyBorder="1" applyAlignment="1">
      <alignment horizontal="right" textRotation="90" wrapText="1"/>
    </xf>
    <xf numFmtId="0" fontId="2" fillId="8" borderId="15" xfId="0" applyFont="1" applyFill="1" applyBorder="1" applyAlignment="1">
      <alignment horizontal="right"/>
    </xf>
    <xf numFmtId="0" fontId="0" fillId="8" borderId="28" xfId="0" applyFill="1" applyBorder="1" applyAlignment="1">
      <alignment horizontal="right"/>
    </xf>
    <xf numFmtId="0" fontId="18" fillId="18" borderId="15" xfId="0" applyFont="1" applyFill="1" applyBorder="1" applyAlignment="1"/>
    <xf numFmtId="0" fontId="19" fillId="18" borderId="15" xfId="0" applyFont="1" applyFill="1" applyBorder="1" applyAlignment="1"/>
    <xf numFmtId="0" fontId="0" fillId="18" borderId="15" xfId="0" applyFill="1" applyBorder="1" applyAlignment="1">
      <alignment horizontal="right"/>
    </xf>
    <xf numFmtId="0" fontId="0" fillId="14" borderId="15" xfId="0" applyFill="1" applyBorder="1" applyAlignment="1">
      <alignment horizontal="right"/>
    </xf>
    <xf numFmtId="0" fontId="18" fillId="10" borderId="15" xfId="0" applyFont="1" applyFill="1" applyBorder="1" applyAlignment="1"/>
    <xf numFmtId="0" fontId="2" fillId="10" borderId="15" xfId="0" applyFont="1" applyFill="1" applyBorder="1" applyAlignment="1">
      <alignment horizontal="right" textRotation="90" wrapText="1"/>
    </xf>
    <xf numFmtId="0" fontId="0" fillId="10" borderId="15" xfId="0" applyFill="1" applyBorder="1" applyAlignment="1">
      <alignment horizontal="right"/>
    </xf>
    <xf numFmtId="0" fontId="18" fillId="12" borderId="15" xfId="0" applyFont="1" applyFill="1" applyBorder="1" applyAlignment="1"/>
    <xf numFmtId="0" fontId="0" fillId="12" borderId="15" xfId="0" applyFill="1" applyBorder="1" applyAlignment="1">
      <alignment horizontal="right"/>
    </xf>
    <xf numFmtId="0" fontId="0" fillId="12" borderId="28" xfId="0" applyFill="1" applyBorder="1" applyAlignment="1">
      <alignment horizontal="right"/>
    </xf>
    <xf numFmtId="0" fontId="18" fillId="11" borderId="15" xfId="0" applyFont="1" applyFill="1" applyBorder="1" applyAlignment="1"/>
    <xf numFmtId="0" fontId="0" fillId="11" borderId="15" xfId="0" applyFill="1" applyBorder="1" applyAlignment="1">
      <alignment horizontal="right"/>
    </xf>
    <xf numFmtId="0" fontId="0" fillId="11" borderId="28" xfId="0" applyFill="1" applyBorder="1" applyAlignment="1">
      <alignment horizontal="right"/>
    </xf>
    <xf numFmtId="0" fontId="18" fillId="13" borderId="15" xfId="0" applyFont="1" applyFill="1" applyBorder="1" applyAlignment="1"/>
    <xf numFmtId="0" fontId="0" fillId="13" borderId="15" xfId="0" applyFill="1" applyBorder="1" applyAlignment="1">
      <alignment horizontal="right"/>
    </xf>
    <xf numFmtId="0" fontId="19" fillId="13" borderId="15" xfId="0" applyFont="1" applyFill="1" applyBorder="1" applyAlignment="1"/>
    <xf numFmtId="0" fontId="0" fillId="13" borderId="15" xfId="0" applyFill="1" applyBorder="1" applyAlignment="1">
      <alignment horizontal="left"/>
    </xf>
    <xf numFmtId="1" fontId="2" fillId="13" borderId="15" xfId="0" applyNumberFormat="1" applyFont="1" applyFill="1" applyBorder="1" applyAlignment="1">
      <alignment horizontal="right" textRotation="90" wrapText="1"/>
    </xf>
    <xf numFmtId="0" fontId="0" fillId="13" borderId="28" xfId="0" applyFill="1" applyBorder="1" applyAlignment="1">
      <alignment horizontal="right"/>
    </xf>
    <xf numFmtId="0" fontId="18" fillId="6" borderId="15" xfId="0" applyFont="1" applyFill="1" applyBorder="1" applyAlignment="1"/>
    <xf numFmtId="167" fontId="0" fillId="6" borderId="15" xfId="0" applyNumberFormat="1" applyFill="1" applyBorder="1" applyAlignment="1">
      <alignment horizontal="right"/>
    </xf>
    <xf numFmtId="2" fontId="20" fillId="6" borderId="15" xfId="0" applyNumberFormat="1" applyFont="1" applyFill="1" applyBorder="1" applyAlignment="1"/>
    <xf numFmtId="0" fontId="0" fillId="6" borderId="15" xfId="0" applyFill="1" applyBorder="1" applyAlignment="1">
      <alignment horizontal="right"/>
    </xf>
    <xf numFmtId="2" fontId="0" fillId="6" borderId="15" xfId="0" applyNumberFormat="1" applyFill="1" applyBorder="1" applyAlignment="1">
      <alignment horizontal="right"/>
    </xf>
    <xf numFmtId="166" fontId="0" fillId="6" borderId="15" xfId="0" applyNumberFormat="1" applyFill="1" applyBorder="1" applyAlignment="1">
      <alignment horizontal="right"/>
    </xf>
    <xf numFmtId="0" fontId="0" fillId="6" borderId="15" xfId="0" applyFill="1" applyBorder="1" applyAlignment="1">
      <alignment horizontal="left"/>
    </xf>
    <xf numFmtId="0" fontId="1" fillId="6" borderId="15" xfId="0" applyFont="1" applyFill="1" applyBorder="1" applyAlignment="1">
      <alignment horizontal="left"/>
    </xf>
    <xf numFmtId="0" fontId="2" fillId="6" borderId="15" xfId="0" applyFont="1" applyFill="1" applyBorder="1" applyAlignment="1">
      <alignment horizontal="left"/>
    </xf>
    <xf numFmtId="0" fontId="2" fillId="6" borderId="15" xfId="0" applyFont="1" applyFill="1" applyBorder="1" applyAlignment="1">
      <alignment horizontal="right"/>
    </xf>
    <xf numFmtId="0" fontId="2" fillId="6" borderId="28" xfId="0" applyFont="1" applyFill="1" applyBorder="1" applyAlignment="1">
      <alignment horizontal="right"/>
    </xf>
    <xf numFmtId="0" fontId="18" fillId="3" borderId="15" xfId="0" applyFont="1" applyFill="1" applyBorder="1" applyAlignment="1"/>
    <xf numFmtId="0" fontId="0" fillId="3" borderId="15" xfId="0" applyFill="1" applyBorder="1" applyAlignment="1">
      <alignment horizontal="right"/>
    </xf>
    <xf numFmtId="0" fontId="0" fillId="3" borderId="15" xfId="0" applyFill="1" applyBorder="1" applyAlignment="1">
      <alignment horizontal="left"/>
    </xf>
    <xf numFmtId="0" fontId="19" fillId="3" borderId="15" xfId="0" applyFont="1" applyFill="1" applyBorder="1" applyAlignment="1"/>
    <xf numFmtId="0" fontId="0" fillId="3" borderId="28" xfId="0" applyFill="1" applyBorder="1" applyAlignment="1">
      <alignment horizontal="right"/>
    </xf>
    <xf numFmtId="0" fontId="0" fillId="9" borderId="15" xfId="0" applyFill="1" applyBorder="1" applyAlignment="1">
      <alignment horizontal="left"/>
    </xf>
    <xf numFmtId="0" fontId="0" fillId="9" borderId="15" xfId="0" applyFill="1" applyBorder="1" applyAlignment="1">
      <alignment horizontal="right"/>
    </xf>
    <xf numFmtId="0" fontId="6" fillId="8" borderId="9" xfId="0" applyFont="1" applyFill="1" applyBorder="1" applyAlignment="1">
      <alignment horizontal="center"/>
    </xf>
    <xf numFmtId="0" fontId="6" fillId="8" borderId="8" xfId="0" applyFont="1" applyFill="1" applyBorder="1" applyAlignment="1">
      <alignment horizontal="center"/>
    </xf>
    <xf numFmtId="1" fontId="6" fillId="8" borderId="8" xfId="0" applyNumberFormat="1" applyFont="1" applyFill="1" applyBorder="1" applyAlignment="1">
      <alignment horizontal="center"/>
    </xf>
    <xf numFmtId="168" fontId="2" fillId="8" borderId="8" xfId="0" applyNumberFormat="1" applyFont="1" applyFill="1" applyBorder="1" applyAlignment="1">
      <alignment horizontal="center"/>
    </xf>
    <xf numFmtId="1" fontId="2" fillId="8" borderId="8" xfId="0" applyNumberFormat="1" applyFont="1" applyFill="1" applyBorder="1" applyAlignment="1">
      <alignment horizontal="center"/>
    </xf>
    <xf numFmtId="168" fontId="2" fillId="8" borderId="8" xfId="0" applyNumberFormat="1" applyFont="1" applyFill="1" applyBorder="1" applyAlignment="1">
      <alignment horizontal="center" vertical="center"/>
    </xf>
    <xf numFmtId="0" fontId="2" fillId="8" borderId="8" xfId="0" applyFont="1" applyFill="1" applyBorder="1" applyAlignment="1">
      <alignment horizontal="center"/>
    </xf>
    <xf numFmtId="2" fontId="2" fillId="8" borderId="8" xfId="0" applyNumberFormat="1" applyFont="1" applyFill="1" applyBorder="1" applyAlignment="1">
      <alignment horizontal="center"/>
    </xf>
    <xf numFmtId="167" fontId="2" fillId="8" borderId="8" xfId="0" applyNumberFormat="1" applyFont="1" applyFill="1" applyBorder="1" applyAlignment="1">
      <alignment horizontal="center"/>
    </xf>
    <xf numFmtId="14" fontId="2" fillId="8" borderId="8" xfId="0" applyNumberFormat="1" applyFont="1" applyFill="1" applyBorder="1" applyAlignment="1">
      <alignment horizontal="center"/>
    </xf>
    <xf numFmtId="168" fontId="2" fillId="8" borderId="26" xfId="0" applyNumberFormat="1" applyFont="1" applyFill="1" applyBorder="1" applyAlignment="1">
      <alignment horizontal="center"/>
    </xf>
    <xf numFmtId="1" fontId="2" fillId="18" borderId="8" xfId="0" applyNumberFormat="1" applyFont="1" applyFill="1" applyBorder="1" applyAlignment="1">
      <alignment horizontal="center"/>
    </xf>
    <xf numFmtId="1" fontId="2" fillId="14" borderId="8" xfId="0" applyNumberFormat="1" applyFont="1" applyFill="1" applyBorder="1" applyAlignment="1">
      <alignment horizontal="center"/>
    </xf>
    <xf numFmtId="1" fontId="2" fillId="14" borderId="47" xfId="0" applyNumberFormat="1" applyFont="1" applyFill="1" applyBorder="1" applyAlignment="1">
      <alignment horizontal="center"/>
    </xf>
    <xf numFmtId="168" fontId="2" fillId="14" borderId="8" xfId="0" applyNumberFormat="1" applyFont="1" applyFill="1" applyBorder="1" applyAlignment="1">
      <alignment horizontal="center"/>
    </xf>
    <xf numFmtId="14" fontId="2" fillId="10" borderId="8" xfId="0" applyNumberFormat="1" applyFont="1" applyFill="1" applyBorder="1" applyAlignment="1">
      <alignment horizontal="center"/>
    </xf>
    <xf numFmtId="1" fontId="2" fillId="10" borderId="8" xfId="0" applyNumberFormat="1" applyFont="1" applyFill="1" applyBorder="1" applyAlignment="1">
      <alignment horizontal="center"/>
    </xf>
    <xf numFmtId="168" fontId="2" fillId="10" borderId="8" xfId="0" applyNumberFormat="1" applyFont="1" applyFill="1" applyBorder="1" applyAlignment="1">
      <alignment horizontal="center"/>
    </xf>
    <xf numFmtId="166" fontId="2" fillId="10" borderId="8" xfId="0" applyNumberFormat="1" applyFont="1" applyFill="1" applyBorder="1" applyAlignment="1">
      <alignment horizontal="center"/>
    </xf>
    <xf numFmtId="165" fontId="2" fillId="10" borderId="8" xfId="0" applyNumberFormat="1" applyFont="1" applyFill="1" applyBorder="1" applyAlignment="1">
      <alignment horizontal="center"/>
    </xf>
    <xf numFmtId="2" fontId="2" fillId="10" borderId="8" xfId="0" applyNumberFormat="1" applyFont="1" applyFill="1" applyBorder="1" applyAlignment="1">
      <alignment horizontal="center"/>
    </xf>
    <xf numFmtId="0" fontId="2" fillId="10" borderId="8" xfId="0" applyFont="1" applyFill="1" applyBorder="1" applyAlignment="1">
      <alignment horizontal="center"/>
    </xf>
    <xf numFmtId="167" fontId="2" fillId="10" borderId="8" xfId="0" quotePrefix="1" applyNumberFormat="1" applyFont="1" applyFill="1" applyBorder="1" applyAlignment="1">
      <alignment horizontal="center"/>
    </xf>
    <xf numFmtId="167" fontId="2" fillId="12" borderId="8" xfId="0" applyNumberFormat="1" applyFont="1" applyFill="1" applyBorder="1" applyAlignment="1">
      <alignment horizontal="center"/>
    </xf>
    <xf numFmtId="0" fontId="2" fillId="12" borderId="8" xfId="0" quotePrefix="1" applyFont="1" applyFill="1" applyBorder="1" applyAlignment="1">
      <alignment horizontal="center"/>
    </xf>
    <xf numFmtId="168" fontId="2" fillId="12" borderId="26" xfId="0" quotePrefix="1" applyNumberFormat="1" applyFont="1" applyFill="1" applyBorder="1" applyAlignment="1">
      <alignment horizontal="center"/>
    </xf>
    <xf numFmtId="14" fontId="2" fillId="11" borderId="8" xfId="0" quotePrefix="1" applyNumberFormat="1" applyFont="1" applyFill="1" applyBorder="1" applyAlignment="1">
      <alignment horizontal="center"/>
    </xf>
    <xf numFmtId="1" fontId="2" fillId="11" borderId="8" xfId="0" applyNumberFormat="1" applyFont="1" applyFill="1" applyBorder="1" applyAlignment="1">
      <alignment horizontal="center"/>
    </xf>
    <xf numFmtId="168" fontId="2" fillId="11" borderId="8" xfId="0" applyNumberFormat="1" applyFont="1" applyFill="1" applyBorder="1" applyAlignment="1">
      <alignment horizontal="center"/>
    </xf>
    <xf numFmtId="0" fontId="2" fillId="11" borderId="8" xfId="0" applyFont="1" applyFill="1" applyBorder="1" applyAlignment="1">
      <alignment horizontal="center"/>
    </xf>
    <xf numFmtId="1" fontId="7" fillId="11" borderId="8" xfId="0" applyNumberFormat="1" applyFont="1" applyFill="1" applyBorder="1" applyAlignment="1">
      <alignment horizontal="center"/>
    </xf>
    <xf numFmtId="2" fontId="2" fillId="11" borderId="8" xfId="0" applyNumberFormat="1" applyFont="1" applyFill="1" applyBorder="1" applyAlignment="1">
      <alignment horizontal="center"/>
    </xf>
    <xf numFmtId="1" fontId="2" fillId="11" borderId="26" xfId="0" applyNumberFormat="1" applyFont="1" applyFill="1" applyBorder="1" applyAlignment="1">
      <alignment horizontal="center"/>
    </xf>
    <xf numFmtId="168" fontId="2" fillId="12" borderId="8" xfId="0" applyNumberFormat="1" applyFont="1" applyFill="1" applyBorder="1" applyAlignment="1">
      <alignment horizontal="center"/>
    </xf>
    <xf numFmtId="2" fontId="2" fillId="12" borderId="8" xfId="0" applyNumberFormat="1" applyFont="1" applyFill="1" applyBorder="1" applyAlignment="1">
      <alignment horizontal="center"/>
    </xf>
    <xf numFmtId="1" fontId="2" fillId="12" borderId="8" xfId="0" applyNumberFormat="1" applyFont="1" applyFill="1" applyBorder="1" applyAlignment="1">
      <alignment horizontal="center"/>
    </xf>
    <xf numFmtId="167" fontId="2" fillId="12" borderId="26" xfId="0" applyNumberFormat="1" applyFont="1" applyFill="1" applyBorder="1" applyAlignment="1">
      <alignment horizontal="center"/>
    </xf>
    <xf numFmtId="14" fontId="2" fillId="13" borderId="8" xfId="0" applyNumberFormat="1" applyFont="1" applyFill="1" applyBorder="1" applyAlignment="1">
      <alignment horizontal="center"/>
    </xf>
    <xf numFmtId="168" fontId="2" fillId="13" borderId="8" xfId="0" applyNumberFormat="1" applyFont="1" applyFill="1" applyBorder="1" applyAlignment="1">
      <alignment horizontal="center"/>
    </xf>
    <xf numFmtId="2" fontId="2" fillId="13" borderId="8" xfId="0" quotePrefix="1" applyNumberFormat="1" applyFont="1" applyFill="1" applyBorder="1" applyAlignment="1">
      <alignment horizontal="center"/>
    </xf>
    <xf numFmtId="2" fontId="2" fillId="13" borderId="8" xfId="0" applyNumberFormat="1" applyFont="1" applyFill="1" applyBorder="1" applyAlignment="1">
      <alignment horizontal="center"/>
    </xf>
    <xf numFmtId="1" fontId="2" fillId="13" borderId="8" xfId="0" applyNumberFormat="1" applyFont="1" applyFill="1" applyBorder="1" applyAlignment="1">
      <alignment horizontal="center"/>
    </xf>
    <xf numFmtId="0" fontId="2" fillId="13" borderId="8" xfId="0" applyFont="1" applyFill="1" applyBorder="1" applyAlignment="1">
      <alignment horizontal="center"/>
    </xf>
    <xf numFmtId="168" fontId="2" fillId="13" borderId="26" xfId="0" applyNumberFormat="1" applyFont="1" applyFill="1" applyBorder="1" applyAlignment="1">
      <alignment horizontal="center"/>
    </xf>
    <xf numFmtId="14" fontId="2" fillId="6" borderId="8" xfId="0" applyNumberFormat="1" applyFont="1" applyFill="1" applyBorder="1" applyAlignment="1">
      <alignment horizontal="center"/>
    </xf>
    <xf numFmtId="167" fontId="2" fillId="6" borderId="8" xfId="0" applyNumberFormat="1" applyFont="1" applyFill="1" applyBorder="1" applyAlignment="1">
      <alignment horizontal="center"/>
    </xf>
    <xf numFmtId="2" fontId="2" fillId="6" borderId="8" xfId="0" applyNumberFormat="1" applyFont="1" applyFill="1" applyBorder="1" applyAlignment="1">
      <alignment horizontal="center"/>
    </xf>
    <xf numFmtId="168" fontId="2" fillId="6" borderId="8" xfId="0" applyNumberFormat="1" applyFont="1" applyFill="1" applyBorder="1" applyAlignment="1">
      <alignment horizontal="center"/>
    </xf>
    <xf numFmtId="0" fontId="2" fillId="6" borderId="8" xfId="0" quotePrefix="1" applyFont="1" applyFill="1" applyBorder="1" applyAlignment="1">
      <alignment horizontal="center"/>
    </xf>
    <xf numFmtId="0" fontId="2" fillId="6" borderId="8" xfId="0" applyFont="1" applyFill="1" applyBorder="1" applyAlignment="1">
      <alignment horizontal="center"/>
    </xf>
    <xf numFmtId="166" fontId="2" fillId="6" borderId="8" xfId="0" applyNumberFormat="1" applyFont="1" applyFill="1" applyBorder="1" applyAlignment="1">
      <alignment horizontal="center"/>
    </xf>
    <xf numFmtId="167" fontId="2" fillId="6" borderId="8" xfId="0" quotePrefix="1" applyNumberFormat="1" applyFont="1" applyFill="1" applyBorder="1" applyAlignment="1">
      <alignment horizontal="center"/>
    </xf>
    <xf numFmtId="1" fontId="2" fillId="6" borderId="8" xfId="0" applyNumberFormat="1" applyFont="1" applyFill="1" applyBorder="1" applyAlignment="1">
      <alignment horizontal="center"/>
    </xf>
    <xf numFmtId="168" fontId="2" fillId="6" borderId="8" xfId="0" quotePrefix="1" applyNumberFormat="1" applyFont="1" applyFill="1" applyBorder="1" applyAlignment="1">
      <alignment horizontal="center"/>
    </xf>
    <xf numFmtId="2" fontId="2" fillId="6" borderId="8" xfId="0" applyNumberFormat="1" applyFont="1" applyFill="1" applyBorder="1" applyAlignment="1">
      <alignment horizontal="right"/>
    </xf>
    <xf numFmtId="166" fontId="2" fillId="6" borderId="8" xfId="0" applyNumberFormat="1" applyFont="1" applyFill="1" applyBorder="1" applyAlignment="1">
      <alignment horizontal="right"/>
    </xf>
    <xf numFmtId="168" fontId="2" fillId="6" borderId="8" xfId="0" applyNumberFormat="1" applyFont="1" applyFill="1" applyBorder="1" applyAlignment="1">
      <alignment horizontal="right"/>
    </xf>
    <xf numFmtId="14" fontId="2" fillId="3" borderId="8" xfId="0" applyNumberFormat="1" applyFont="1" applyFill="1" applyBorder="1" applyAlignment="1">
      <alignment horizontal="center"/>
    </xf>
    <xf numFmtId="1" fontId="2" fillId="3" borderId="8" xfId="0" applyNumberFormat="1" applyFont="1" applyFill="1" applyBorder="1" applyAlignment="1">
      <alignment horizontal="center"/>
    </xf>
    <xf numFmtId="168" fontId="7" fillId="3" borderId="8" xfId="0" applyNumberFormat="1" applyFont="1" applyFill="1" applyBorder="1" applyAlignment="1">
      <alignment horizontal="center"/>
    </xf>
    <xf numFmtId="168" fontId="2" fillId="3" borderId="8" xfId="0" applyNumberFormat="1" applyFont="1" applyFill="1" applyBorder="1" applyAlignment="1">
      <alignment horizontal="center"/>
    </xf>
    <xf numFmtId="167" fontId="2" fillId="3" borderId="8" xfId="0" applyNumberFormat="1" applyFont="1" applyFill="1" applyBorder="1" applyAlignment="1">
      <alignment horizontal="center"/>
    </xf>
    <xf numFmtId="168" fontId="2" fillId="3" borderId="29" xfId="0" applyNumberFormat="1" applyFont="1" applyFill="1" applyBorder="1" applyAlignment="1">
      <alignment horizontal="center"/>
    </xf>
    <xf numFmtId="2" fontId="2" fillId="3" borderId="8" xfId="0" applyNumberFormat="1" applyFont="1" applyFill="1" applyBorder="1" applyAlignment="1">
      <alignment horizontal="center"/>
    </xf>
    <xf numFmtId="0" fontId="2" fillId="3" borderId="8" xfId="0" applyFont="1" applyFill="1" applyBorder="1" applyAlignment="1">
      <alignment horizontal="center"/>
    </xf>
    <xf numFmtId="1" fontId="2" fillId="3" borderId="29" xfId="0" applyNumberFormat="1" applyFont="1" applyFill="1" applyBorder="1" applyAlignment="1">
      <alignment horizontal="center"/>
    </xf>
    <xf numFmtId="2" fontId="2" fillId="3" borderId="29" xfId="0" applyNumberFormat="1" applyFont="1" applyFill="1" applyBorder="1" applyAlignment="1">
      <alignment horizontal="center"/>
    </xf>
    <xf numFmtId="168" fontId="2" fillId="3" borderId="8" xfId="0" quotePrefix="1" applyNumberFormat="1" applyFont="1" applyFill="1" applyBorder="1" applyAlignment="1">
      <alignment horizontal="center"/>
    </xf>
    <xf numFmtId="1" fontId="2" fillId="3" borderId="26" xfId="0" applyNumberFormat="1" applyFont="1" applyFill="1" applyBorder="1" applyAlignment="1">
      <alignment horizontal="center"/>
    </xf>
    <xf numFmtId="2" fontId="2" fillId="9" borderId="8" xfId="0" quotePrefix="1" applyNumberFormat="1" applyFont="1" applyFill="1" applyBorder="1" applyAlignment="1">
      <alignment horizontal="center"/>
    </xf>
    <xf numFmtId="1" fontId="2" fillId="9" borderId="8" xfId="0" quotePrefix="1" applyNumberFormat="1" applyFont="1" applyFill="1" applyBorder="1" applyAlignment="1">
      <alignment horizontal="center"/>
    </xf>
    <xf numFmtId="1" fontId="2" fillId="9" borderId="8" xfId="0" applyNumberFormat="1" applyFont="1" applyFill="1" applyBorder="1" applyAlignment="1">
      <alignment horizontal="center"/>
    </xf>
    <xf numFmtId="168" fontId="2" fillId="9" borderId="8" xfId="0" applyNumberFormat="1" applyFont="1" applyFill="1" applyBorder="1" applyAlignment="1">
      <alignment horizontal="center"/>
    </xf>
    <xf numFmtId="2" fontId="2" fillId="9" borderId="8" xfId="0" applyNumberFormat="1" applyFont="1" applyFill="1" applyBorder="1" applyAlignment="1">
      <alignment horizontal="center"/>
    </xf>
    <xf numFmtId="0" fontId="2" fillId="9" borderId="8" xfId="0" applyFont="1" applyFill="1" applyBorder="1" applyAlignment="1">
      <alignment horizontal="center"/>
    </xf>
    <xf numFmtId="168" fontId="2" fillId="14" borderId="43" xfId="0" applyNumberFormat="1" applyFont="1" applyFill="1" applyBorder="1" applyAlignment="1">
      <alignment horizontal="center"/>
    </xf>
    <xf numFmtId="0" fontId="18" fillId="14" borderId="6" xfId="0" applyFont="1" applyFill="1" applyBorder="1" applyAlignment="1">
      <alignment horizontal="left"/>
    </xf>
    <xf numFmtId="0" fontId="0" fillId="14" borderId="1" xfId="0" applyFill="1" applyBorder="1" applyAlignment="1"/>
    <xf numFmtId="0" fontId="14" fillId="14" borderId="6" xfId="0" applyFont="1" applyFill="1" applyBorder="1" applyAlignment="1">
      <alignment horizontal="center" vertical="center" wrapText="1"/>
    </xf>
    <xf numFmtId="1" fontId="2" fillId="14" borderId="1" xfId="0" applyNumberFormat="1" applyFont="1" applyFill="1" applyBorder="1" applyAlignment="1">
      <alignment horizontal="right"/>
    </xf>
    <xf numFmtId="1" fontId="2" fillId="14" borderId="9" xfId="0" applyNumberFormat="1" applyFont="1" applyFill="1" applyBorder="1" applyAlignment="1">
      <alignment horizontal="right"/>
    </xf>
    <xf numFmtId="0" fontId="0" fillId="14" borderId="2" xfId="0" applyFill="1" applyBorder="1" applyAlignment="1"/>
    <xf numFmtId="0" fontId="1" fillId="3" borderId="5" xfId="0" applyFont="1" applyFill="1" applyBorder="1" applyAlignment="1">
      <alignment horizontal="center"/>
    </xf>
    <xf numFmtId="0" fontId="1" fillId="5" borderId="1" xfId="0" applyFont="1" applyFill="1" applyBorder="1" applyAlignment="1">
      <alignment horizontal="left" vertical="center"/>
    </xf>
    <xf numFmtId="0" fontId="2" fillId="15" borderId="1" xfId="0" applyFont="1" applyFill="1" applyBorder="1" applyAlignment="1">
      <alignment horizontal="left" vertical="center"/>
    </xf>
    <xf numFmtId="0" fontId="2" fillId="5" borderId="1" xfId="0" applyFont="1" applyFill="1" applyBorder="1" applyAlignment="1">
      <alignment horizontal="left" vertical="center"/>
    </xf>
    <xf numFmtId="0" fontId="1" fillId="5" borderId="0" xfId="0" applyFont="1" applyFill="1" applyBorder="1" applyAlignment="1">
      <alignment horizontal="left" vertical="center"/>
    </xf>
    <xf numFmtId="0" fontId="2" fillId="15" borderId="0" xfId="0" applyFont="1" applyFill="1" applyBorder="1" applyAlignment="1">
      <alignment horizontal="left" vertical="center"/>
    </xf>
    <xf numFmtId="3" fontId="1" fillId="5" borderId="0" xfId="0" applyNumberFormat="1" applyFont="1" applyFill="1" applyBorder="1" applyAlignment="1">
      <alignment horizontal="left" vertical="center"/>
    </xf>
    <xf numFmtId="0" fontId="26" fillId="15" borderId="1" xfId="0" applyFont="1" applyFill="1" applyBorder="1" applyAlignment="1">
      <alignment horizontal="left" vertical="center"/>
    </xf>
    <xf numFmtId="0" fontId="2" fillId="15" borderId="33" xfId="0" applyFont="1" applyFill="1" applyBorder="1" applyAlignment="1">
      <alignment horizontal="left" vertical="center"/>
    </xf>
    <xf numFmtId="0" fontId="2" fillId="5" borderId="9" xfId="0" applyFont="1" applyFill="1" applyBorder="1" applyAlignment="1">
      <alignment horizontal="left" vertical="center"/>
    </xf>
    <xf numFmtId="3" fontId="2" fillId="5" borderId="0" xfId="0" applyNumberFormat="1" applyFont="1" applyFill="1" applyBorder="1" applyAlignment="1">
      <alignment horizontal="left" vertical="center"/>
    </xf>
    <xf numFmtId="171" fontId="2" fillId="5" borderId="4" xfId="0" applyNumberFormat="1" applyFont="1" applyFill="1" applyBorder="1" applyAlignment="1">
      <alignment horizontal="right" vertical="center"/>
    </xf>
    <xf numFmtId="171" fontId="2" fillId="5" borderId="4" xfId="0" applyNumberFormat="1" applyFont="1" applyFill="1" applyBorder="1" applyAlignment="1">
      <alignment horizontal="left" vertical="center"/>
    </xf>
    <xf numFmtId="2" fontId="2" fillId="5" borderId="4" xfId="0" applyNumberFormat="1" applyFont="1" applyFill="1" applyBorder="1" applyAlignment="1">
      <alignment horizontal="left" vertical="center"/>
    </xf>
    <xf numFmtId="3" fontId="2" fillId="5" borderId="0" xfId="0" applyNumberFormat="1" applyFont="1" applyFill="1" applyBorder="1" applyAlignment="1">
      <alignment horizontal="right" vertical="center"/>
    </xf>
    <xf numFmtId="171" fontId="2" fillId="5" borderId="1" xfId="0" applyNumberFormat="1" applyFont="1" applyFill="1" applyBorder="1" applyAlignment="1">
      <alignment horizontal="left" vertical="center"/>
    </xf>
    <xf numFmtId="171" fontId="2" fillId="5" borderId="0" xfId="0" applyNumberFormat="1" applyFont="1" applyFill="1" applyBorder="1" applyAlignment="1">
      <alignment horizontal="left" vertical="center"/>
    </xf>
    <xf numFmtId="172" fontId="2" fillId="5" borderId="0" xfId="0" applyNumberFormat="1" applyFont="1" applyFill="1" applyBorder="1" applyAlignment="1">
      <alignment horizontal="right" vertical="center"/>
    </xf>
    <xf numFmtId="168" fontId="2" fillId="14" borderId="47" xfId="0" applyNumberFormat="1" applyFont="1" applyFill="1" applyBorder="1" applyAlignment="1">
      <alignment horizontal="center"/>
    </xf>
    <xf numFmtId="168" fontId="2" fillId="6" borderId="26" xfId="0" applyNumberFormat="1" applyFont="1" applyFill="1" applyBorder="1" applyAlignment="1">
      <alignment horizontal="right"/>
    </xf>
    <xf numFmtId="176" fontId="0" fillId="0" borderId="0" xfId="0" applyNumberFormat="1"/>
    <xf numFmtId="171" fontId="30" fillId="17" borderId="5" xfId="0" applyNumberFormat="1" applyFont="1" applyFill="1" applyBorder="1" applyAlignment="1">
      <alignment horizontal="right"/>
    </xf>
    <xf numFmtId="2" fontId="2" fillId="10" borderId="0" xfId="0" quotePrefix="1" applyNumberFormat="1" applyFont="1" applyFill="1" applyBorder="1" applyAlignment="1">
      <alignment horizontal="center"/>
    </xf>
    <xf numFmtId="2" fontId="2" fillId="10" borderId="8" xfId="0" quotePrefix="1" applyNumberFormat="1" applyFont="1" applyFill="1" applyBorder="1" applyAlignment="1">
      <alignment horizontal="center"/>
    </xf>
    <xf numFmtId="3" fontId="26" fillId="6" borderId="7" xfId="0" applyNumberFormat="1" applyFont="1" applyFill="1" applyBorder="1"/>
    <xf numFmtId="0" fontId="2" fillId="0" borderId="2" xfId="0" applyFont="1" applyBorder="1"/>
    <xf numFmtId="0" fontId="0" fillId="0" borderId="2" xfId="0" applyBorder="1"/>
    <xf numFmtId="16" fontId="2" fillId="8" borderId="0" xfId="0" applyNumberFormat="1" applyFont="1" applyFill="1" applyBorder="1"/>
    <xf numFmtId="0" fontId="2" fillId="8" borderId="0" xfId="0" applyFont="1" applyFill="1" applyBorder="1"/>
    <xf numFmtId="0" fontId="0" fillId="4" borderId="19" xfId="0" applyFill="1" applyBorder="1"/>
    <xf numFmtId="0" fontId="0" fillId="4" borderId="48" xfId="0" applyFill="1" applyBorder="1"/>
    <xf numFmtId="16" fontId="0" fillId="4" borderId="31" xfId="0" applyNumberFormat="1" applyFill="1" applyBorder="1"/>
    <xf numFmtId="16" fontId="2" fillId="8" borderId="17" xfId="0" applyNumberFormat="1" applyFont="1" applyFill="1" applyBorder="1"/>
    <xf numFmtId="170" fontId="3" fillId="4" borderId="1" xfId="0" applyNumberFormat="1" applyFont="1" applyFill="1" applyBorder="1"/>
    <xf numFmtId="170" fontId="3" fillId="4" borderId="31" xfId="0" applyNumberFormat="1" applyFont="1" applyFill="1" applyBorder="1"/>
    <xf numFmtId="170" fontId="3" fillId="4" borderId="32" xfId="0" applyNumberFormat="1" applyFont="1" applyFill="1" applyBorder="1"/>
    <xf numFmtId="16" fontId="2" fillId="8" borderId="18" xfId="0" applyNumberFormat="1" applyFont="1" applyFill="1" applyBorder="1"/>
    <xf numFmtId="0" fontId="0" fillId="8" borderId="42" xfId="0" applyFill="1" applyBorder="1"/>
    <xf numFmtId="0" fontId="1" fillId="8" borderId="24" xfId="0" applyFont="1" applyFill="1" applyBorder="1" applyAlignment="1">
      <alignment horizontal="right"/>
    </xf>
    <xf numFmtId="16" fontId="2" fillId="8" borderId="38" xfId="0" applyNumberFormat="1" applyFont="1" applyFill="1" applyBorder="1"/>
    <xf numFmtId="0" fontId="0" fillId="8" borderId="19" xfId="0" applyFill="1" applyBorder="1"/>
    <xf numFmtId="0" fontId="2" fillId="8" borderId="21" xfId="0" applyFont="1" applyFill="1" applyBorder="1"/>
    <xf numFmtId="0" fontId="0" fillId="0" borderId="4" xfId="0" applyBorder="1"/>
    <xf numFmtId="0" fontId="0" fillId="0" borderId="0" xfId="0" applyAlignment="1">
      <alignment textRotation="90"/>
    </xf>
    <xf numFmtId="0" fontId="0" fillId="0" borderId="0" xfId="0" applyBorder="1" applyAlignment="1">
      <alignment horizontal="right" textRotation="90"/>
    </xf>
    <xf numFmtId="0" fontId="2" fillId="0" borderId="0" xfId="0" applyFont="1" applyBorder="1" applyAlignment="1">
      <alignment horizontal="right" textRotation="90"/>
    </xf>
    <xf numFmtId="0" fontId="2" fillId="8" borderId="15" xfId="0" applyFont="1" applyFill="1" applyBorder="1" applyAlignment="1">
      <alignment horizontal="center"/>
    </xf>
    <xf numFmtId="0" fontId="2" fillId="8" borderId="16" xfId="0" applyFont="1" applyFill="1" applyBorder="1" applyAlignment="1">
      <alignment horizontal="center"/>
    </xf>
    <xf numFmtId="0" fontId="0" fillId="8" borderId="15" xfId="0" applyFill="1" applyBorder="1" applyAlignment="1">
      <alignment horizontal="center"/>
    </xf>
    <xf numFmtId="0" fontId="2" fillId="0" borderId="6" xfId="0" applyFont="1" applyBorder="1" applyAlignment="1">
      <alignment horizontal="left"/>
    </xf>
    <xf numFmtId="0" fontId="2" fillId="0" borderId="15" xfId="0" applyFont="1" applyBorder="1" applyAlignment="1">
      <alignment horizontal="left"/>
    </xf>
    <xf numFmtId="0" fontId="2" fillId="0" borderId="16" xfId="0" applyFont="1" applyBorder="1" applyAlignment="1">
      <alignment horizontal="left"/>
    </xf>
    <xf numFmtId="0" fontId="1" fillId="3" borderId="6" xfId="0" applyFont="1" applyFill="1" applyBorder="1" applyAlignment="1">
      <alignment horizontal="center"/>
    </xf>
    <xf numFmtId="0" fontId="1" fillId="3" borderId="15" xfId="0" applyFont="1" applyFill="1" applyBorder="1" applyAlignment="1">
      <alignment horizontal="center"/>
    </xf>
    <xf numFmtId="0" fontId="1" fillId="3" borderId="16" xfId="0" applyFont="1" applyFill="1" applyBorder="1" applyAlignment="1">
      <alignment horizontal="center"/>
    </xf>
    <xf numFmtId="0" fontId="1" fillId="0" borderId="6" xfId="0" applyFont="1" applyFill="1" applyBorder="1" applyAlignment="1">
      <alignment horizontal="center"/>
    </xf>
    <xf numFmtId="0" fontId="1" fillId="0" borderId="15" xfId="0" applyFont="1" applyFill="1" applyBorder="1" applyAlignment="1">
      <alignment horizontal="center"/>
    </xf>
    <xf numFmtId="0" fontId="1" fillId="0" borderId="16" xfId="0" applyFont="1" applyFill="1" applyBorder="1" applyAlignment="1">
      <alignment horizontal="center"/>
    </xf>
  </cellXfs>
  <cellStyles count="5">
    <cellStyle name="Comma" xfId="2" builtinId="3"/>
    <cellStyle name="Comma 2" xfId="4" xr:uid="{00000000-0005-0000-0000-000001000000}"/>
    <cellStyle name="Normal" xfId="0" builtinId="0"/>
    <cellStyle name="Normal 2" xfId="3" xr:uid="{00000000-0005-0000-0000-000003000000}"/>
    <cellStyle name="Normal_Sheet1" xfId="1" xr:uid="{00000000-0005-0000-0000-000004000000}"/>
  </cellStyles>
  <dxfs count="0"/>
  <tableStyles count="0" defaultTableStyle="TableStyleMedium2" defaultPivotStyle="PivotStyleLight16"/>
  <colors>
    <mruColors>
      <color rgb="FF00FF00"/>
      <color rgb="FF25B555"/>
      <color rgb="FFA1F9A5"/>
      <color rgb="FFFFFF00"/>
      <color rgb="FFFFFFCC"/>
      <color rgb="FFD735B4"/>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4.xml"/><Relationship Id="rId13" Type="http://schemas.openxmlformats.org/officeDocument/2006/relationships/styles" Target="styles.xml"/><Relationship Id="rId3" Type="http://schemas.openxmlformats.org/officeDocument/2006/relationships/worksheet" Target="worksheets/sheet2.xml"/><Relationship Id="rId7" Type="http://schemas.openxmlformats.org/officeDocument/2006/relationships/chartsheet" Target="chartsheets/sheet4.xml"/><Relationship Id="rId12" Type="http://schemas.openxmlformats.org/officeDocument/2006/relationships/theme" Target="theme/theme1.xml"/><Relationship Id="rId2" Type="http://schemas.openxmlformats.org/officeDocument/2006/relationships/chartsheet" Target="chartsheets/sheet1.xml"/><Relationship Id="rId1" Type="http://schemas.openxmlformats.org/officeDocument/2006/relationships/worksheet" Target="worksheets/sheet1.xml"/><Relationship Id="rId6" Type="http://schemas.openxmlformats.org/officeDocument/2006/relationships/chartsheet" Target="chartsheets/sheet3.xml"/><Relationship Id="rId11" Type="http://schemas.openxmlformats.org/officeDocument/2006/relationships/externalLink" Target="externalLinks/externalLink1.xml"/><Relationship Id="rId5" Type="http://schemas.openxmlformats.org/officeDocument/2006/relationships/chartsheet" Target="chartsheets/sheet2.xml"/><Relationship Id="rId15" Type="http://schemas.openxmlformats.org/officeDocument/2006/relationships/calcChain" Target="calcChain.xml"/><Relationship Id="rId10" Type="http://schemas.openxmlformats.org/officeDocument/2006/relationships/worksheet" Target="worksheets/sheet6.xml"/><Relationship Id="rId4" Type="http://schemas.openxmlformats.org/officeDocument/2006/relationships/worksheet" Target="worksheets/sheet3.xml"/><Relationship Id="rId9" Type="http://schemas.openxmlformats.org/officeDocument/2006/relationships/worksheet" Target="worksheets/sheet5.xml"/><Relationship Id="rId14" Type="http://schemas.openxmlformats.org/officeDocument/2006/relationships/sharedStrings" Target="sharedStrings.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011629459637286"/>
          <c:y val="2.2950818056198783E-2"/>
          <c:w val="0.85600763166712912"/>
          <c:h val="0.87417390702018838"/>
        </c:manualLayout>
      </c:layout>
      <c:lineChart>
        <c:grouping val="standard"/>
        <c:varyColors val="0"/>
        <c:ser>
          <c:idx val="0"/>
          <c:order val="0"/>
          <c:tx>
            <c:v>Field capacity</c:v>
          </c:tx>
          <c:marker>
            <c:symbol val="none"/>
          </c:marker>
          <c:val>
            <c:numRef>
              <c:f>Calculations!$OO$6:$OO$370</c:f>
              <c:numCache>
                <c:formatCode>0</c:formatCode>
                <c:ptCount val="365"/>
                <c:pt idx="0">
                  <c:v>140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numCache>
            </c:numRef>
          </c:val>
          <c:smooth val="0"/>
          <c:extLst>
            <c:ext xmlns:c16="http://schemas.microsoft.com/office/drawing/2014/chart" uri="{C3380CC4-5D6E-409C-BE32-E72D297353CC}">
              <c16:uniqueId val="{00000000-1A85-424C-BBDE-F2DAE6D54A9D}"/>
            </c:ext>
          </c:extLst>
        </c:ser>
        <c:ser>
          <c:idx val="7"/>
          <c:order val="1"/>
          <c:tx>
            <c:v>Permanent wilting point</c:v>
          </c:tx>
          <c:spPr>
            <a:ln>
              <a:solidFill>
                <a:srgbClr val="FF0000"/>
              </a:solidFill>
            </a:ln>
          </c:spPr>
          <c:marker>
            <c:symbol val="none"/>
          </c:marker>
          <c:val>
            <c:numRef>
              <c:f>Calculations!$OM$6:$OM$370</c:f>
              <c:numCache>
                <c:formatCode>0</c:formatCode>
                <c:ptCount val="365"/>
                <c:pt idx="0">
                  <c:v>60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numCache>
            </c:numRef>
          </c:val>
          <c:smooth val="0"/>
          <c:extLst>
            <c:ext xmlns:c16="http://schemas.microsoft.com/office/drawing/2014/chart" uri="{C3380CC4-5D6E-409C-BE32-E72D297353CC}">
              <c16:uniqueId val="{00000001-1A85-424C-BBDE-F2DAE6D54A9D}"/>
            </c:ext>
          </c:extLst>
        </c:ser>
        <c:ser>
          <c:idx val="1"/>
          <c:order val="2"/>
          <c:tx>
            <c:v>Soil water content in rooted zone</c:v>
          </c:tx>
          <c:spPr>
            <a:ln>
              <a:solidFill>
                <a:srgbClr val="0070C0"/>
              </a:solidFill>
            </a:ln>
          </c:spPr>
          <c:marker>
            <c:symbol val="none"/>
          </c:marker>
          <c:val>
            <c:numRef>
              <c:f>Calculations!$MR$6:$MR$370</c:f>
              <c:numCache>
                <c:formatCode>0</c:formatCode>
                <c:ptCount val="365"/>
                <c:pt idx="0">
                  <c:v>120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numCache>
            </c:numRef>
          </c:val>
          <c:smooth val="0"/>
          <c:extLst>
            <c:ext xmlns:c16="http://schemas.microsoft.com/office/drawing/2014/chart" uri="{C3380CC4-5D6E-409C-BE32-E72D297353CC}">
              <c16:uniqueId val="{00000002-1A85-424C-BBDE-F2DAE6D54A9D}"/>
            </c:ext>
          </c:extLst>
        </c:ser>
        <c:ser>
          <c:idx val="2"/>
          <c:order val="3"/>
          <c:tx>
            <c:v>Soil water content in lower zone</c:v>
          </c:tx>
          <c:spPr>
            <a:ln>
              <a:solidFill>
                <a:schemeClr val="accent6">
                  <a:lumMod val="75000"/>
                </a:schemeClr>
              </a:solidFill>
              <a:prstDash val="dashDot"/>
            </a:ln>
          </c:spPr>
          <c:marker>
            <c:symbol val="none"/>
          </c:marker>
          <c:val>
            <c:numRef>
              <c:f>Calculations!$MX$6:$MX$370</c:f>
              <c:numCache>
                <c:formatCode>0.000</c:formatCode>
                <c:ptCount val="365"/>
                <c:pt idx="0">
                  <c:v>0.3</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numCache>
            </c:numRef>
          </c:val>
          <c:smooth val="0"/>
          <c:extLst>
            <c:ext xmlns:c16="http://schemas.microsoft.com/office/drawing/2014/chart" uri="{C3380CC4-5D6E-409C-BE32-E72D297353CC}">
              <c16:uniqueId val="{00000000-9E28-498E-8AD6-935014AA40CD}"/>
            </c:ext>
          </c:extLst>
        </c:ser>
        <c:dLbls>
          <c:showLegendKey val="0"/>
          <c:showVal val="0"/>
          <c:showCatName val="0"/>
          <c:showSerName val="0"/>
          <c:showPercent val="0"/>
          <c:showBubbleSize val="0"/>
        </c:dLbls>
        <c:smooth val="0"/>
        <c:axId val="339649480"/>
        <c:axId val="339651048"/>
      </c:lineChart>
      <c:catAx>
        <c:axId val="339649480"/>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r>
                  <a:rPr lang="en-GB" sz="1400">
                    <a:solidFill>
                      <a:schemeClr val="tx1"/>
                    </a:solidFill>
                  </a:rPr>
                  <a:t>Date</a:t>
                </a:r>
              </a:p>
            </c:rich>
          </c:tx>
          <c:layout>
            <c:manualLayout>
              <c:xMode val="edge"/>
              <c:yMode val="edge"/>
              <c:x val="0.50750068279840121"/>
              <c:y val="0.95021008227077408"/>
            </c:manualLayout>
          </c:layout>
          <c:overlay val="0"/>
          <c:spPr>
            <a:noFill/>
            <a:ln w="25400">
              <a:noFill/>
            </a:ln>
          </c:spPr>
        </c:title>
        <c:numFmt formatCode="[$-409]d\-mmm;@" sourceLinked="0"/>
        <c:majorTickMark val="out"/>
        <c:minorTickMark val="none"/>
        <c:tickLblPos val="nextTo"/>
        <c:spPr>
          <a:noFill/>
          <a:ln w="19050" cap="flat" cmpd="sng" algn="ctr">
            <a:solidFill>
              <a:schemeClr val="tx1"/>
            </a:solidFill>
            <a:round/>
          </a:ln>
          <a:effectLst/>
        </c:spPr>
        <c:txPr>
          <a:bodyPr rot="0" vert="horz"/>
          <a:lstStyle/>
          <a:p>
            <a:pPr>
              <a:defRPr sz="1400" b="0" i="0" u="none" strike="noStrike" baseline="0">
                <a:solidFill>
                  <a:schemeClr val="tx1"/>
                </a:solidFill>
                <a:latin typeface="Calibri"/>
                <a:ea typeface="Calibri"/>
                <a:cs typeface="Calibri"/>
              </a:defRPr>
            </a:pPr>
            <a:endParaRPr lang="en-US"/>
          </a:p>
        </c:txPr>
        <c:crossAx val="339651048"/>
        <c:crossesAt val="0"/>
        <c:auto val="1"/>
        <c:lblAlgn val="ctr"/>
        <c:lblOffset val="100"/>
        <c:tickMarkSkip val="30"/>
        <c:noMultiLvlLbl val="1"/>
      </c:catAx>
      <c:valAx>
        <c:axId val="339651048"/>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GB" sz="1600">
                    <a:solidFill>
                      <a:schemeClr val="tx1"/>
                    </a:solidFill>
                  </a:rPr>
                  <a:t>Soil water balance (mm)</a:t>
                </a:r>
              </a:p>
            </c:rich>
          </c:tx>
          <c:layout>
            <c:manualLayout>
              <c:xMode val="edge"/>
              <c:yMode val="edge"/>
              <c:x val="3.648217106469061E-3"/>
              <c:y val="0.21536110507371267"/>
            </c:manualLayout>
          </c:layout>
          <c:overlay val="0"/>
          <c:spPr>
            <a:noFill/>
            <a:ln w="25400">
              <a:noFill/>
            </a:ln>
          </c:spPr>
        </c:title>
        <c:numFmt formatCode="0.00" sourceLinked="0"/>
        <c:majorTickMark val="out"/>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339649480"/>
        <c:crosses val="autoZero"/>
        <c:crossBetween val="midCat"/>
      </c:valAx>
      <c:spPr>
        <a:noFill/>
        <a:ln w="25400">
          <a:noFill/>
        </a:ln>
      </c:spPr>
    </c:plotArea>
    <c:legend>
      <c:legendPos val="r"/>
      <c:layout>
        <c:manualLayout>
          <c:xMode val="edge"/>
          <c:yMode val="edge"/>
          <c:x val="0.1230340402132265"/>
          <c:y val="0.70646775664514649"/>
          <c:w val="0.28339174277012652"/>
          <c:h val="0.12749230526483266"/>
        </c:manualLayout>
      </c:layout>
      <c:overlay val="0"/>
      <c:spPr>
        <a:noFill/>
        <a:ln w="25400">
          <a:noFill/>
        </a:ln>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059324920282884"/>
          <c:y val="6.0694481568620243E-2"/>
          <c:w val="0.85878676125349529"/>
          <c:h val="0.83872869225187285"/>
        </c:manualLayout>
      </c:layout>
      <c:lineChart>
        <c:grouping val="standard"/>
        <c:varyColors val="0"/>
        <c:ser>
          <c:idx val="0"/>
          <c:order val="0"/>
          <c:tx>
            <c:v>Harvestable part of total ab.gr. dry weight and previous harvests</c:v>
          </c:tx>
          <c:spPr>
            <a:ln w="19050" cap="rnd">
              <a:solidFill>
                <a:schemeClr val="accent1"/>
              </a:solidFill>
              <a:round/>
            </a:ln>
            <a:effectLst/>
          </c:spPr>
          <c:marker>
            <c:symbol val="none"/>
          </c:marker>
          <c:cat>
            <c:numRef>
              <c:f>Calculations!$AG$6:$AG$370</c:f>
              <c:numCache>
                <c:formatCode>m/d/yyyy</c:formatCode>
                <c:ptCount val="36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61</c:v>
                </c:pt>
                <c:pt idx="60">
                  <c:v>62</c:v>
                </c:pt>
                <c:pt idx="61">
                  <c:v>63</c:v>
                </c:pt>
                <c:pt idx="62">
                  <c:v>64</c:v>
                </c:pt>
                <c:pt idx="63">
                  <c:v>65</c:v>
                </c:pt>
                <c:pt idx="64">
                  <c:v>66</c:v>
                </c:pt>
                <c:pt idx="65">
                  <c:v>67</c:v>
                </c:pt>
                <c:pt idx="66">
                  <c:v>68</c:v>
                </c:pt>
                <c:pt idx="67">
                  <c:v>69</c:v>
                </c:pt>
                <c:pt idx="68">
                  <c:v>70</c:v>
                </c:pt>
                <c:pt idx="69">
                  <c:v>71</c:v>
                </c:pt>
                <c:pt idx="70">
                  <c:v>72</c:v>
                </c:pt>
                <c:pt idx="71">
                  <c:v>73</c:v>
                </c:pt>
                <c:pt idx="72">
                  <c:v>74</c:v>
                </c:pt>
                <c:pt idx="73">
                  <c:v>75</c:v>
                </c:pt>
                <c:pt idx="74">
                  <c:v>76</c:v>
                </c:pt>
                <c:pt idx="75">
                  <c:v>77</c:v>
                </c:pt>
                <c:pt idx="76">
                  <c:v>78</c:v>
                </c:pt>
                <c:pt idx="77">
                  <c:v>79</c:v>
                </c:pt>
                <c:pt idx="78">
                  <c:v>80</c:v>
                </c:pt>
                <c:pt idx="79">
                  <c:v>81</c:v>
                </c:pt>
                <c:pt idx="80">
                  <c:v>82</c:v>
                </c:pt>
                <c:pt idx="81">
                  <c:v>83</c:v>
                </c:pt>
                <c:pt idx="82">
                  <c:v>84</c:v>
                </c:pt>
                <c:pt idx="83">
                  <c:v>85</c:v>
                </c:pt>
                <c:pt idx="84">
                  <c:v>86</c:v>
                </c:pt>
                <c:pt idx="85">
                  <c:v>87</c:v>
                </c:pt>
                <c:pt idx="86">
                  <c:v>88</c:v>
                </c:pt>
                <c:pt idx="87">
                  <c:v>89</c:v>
                </c:pt>
                <c:pt idx="88">
                  <c:v>90</c:v>
                </c:pt>
                <c:pt idx="89">
                  <c:v>91</c:v>
                </c:pt>
                <c:pt idx="90">
                  <c:v>92</c:v>
                </c:pt>
                <c:pt idx="91">
                  <c:v>93</c:v>
                </c:pt>
                <c:pt idx="92">
                  <c:v>94</c:v>
                </c:pt>
                <c:pt idx="93">
                  <c:v>95</c:v>
                </c:pt>
                <c:pt idx="94">
                  <c:v>96</c:v>
                </c:pt>
                <c:pt idx="95">
                  <c:v>97</c:v>
                </c:pt>
                <c:pt idx="96">
                  <c:v>98</c:v>
                </c:pt>
                <c:pt idx="97">
                  <c:v>99</c:v>
                </c:pt>
                <c:pt idx="98">
                  <c:v>100</c:v>
                </c:pt>
                <c:pt idx="99">
                  <c:v>101</c:v>
                </c:pt>
                <c:pt idx="100">
                  <c:v>102</c:v>
                </c:pt>
                <c:pt idx="101">
                  <c:v>103</c:v>
                </c:pt>
                <c:pt idx="102">
                  <c:v>104</c:v>
                </c:pt>
                <c:pt idx="103">
                  <c:v>105</c:v>
                </c:pt>
                <c:pt idx="104">
                  <c:v>106</c:v>
                </c:pt>
                <c:pt idx="105">
                  <c:v>107</c:v>
                </c:pt>
                <c:pt idx="106">
                  <c:v>108</c:v>
                </c:pt>
                <c:pt idx="107">
                  <c:v>109</c:v>
                </c:pt>
                <c:pt idx="108">
                  <c:v>110</c:v>
                </c:pt>
                <c:pt idx="109">
                  <c:v>111</c:v>
                </c:pt>
                <c:pt idx="110">
                  <c:v>112</c:v>
                </c:pt>
                <c:pt idx="111">
                  <c:v>113</c:v>
                </c:pt>
                <c:pt idx="112">
                  <c:v>114</c:v>
                </c:pt>
                <c:pt idx="113">
                  <c:v>115</c:v>
                </c:pt>
                <c:pt idx="114">
                  <c:v>116</c:v>
                </c:pt>
                <c:pt idx="115">
                  <c:v>117</c:v>
                </c:pt>
                <c:pt idx="116">
                  <c:v>118</c:v>
                </c:pt>
                <c:pt idx="117">
                  <c:v>119</c:v>
                </c:pt>
                <c:pt idx="118">
                  <c:v>120</c:v>
                </c:pt>
                <c:pt idx="119">
                  <c:v>121</c:v>
                </c:pt>
                <c:pt idx="120">
                  <c:v>122</c:v>
                </c:pt>
                <c:pt idx="121">
                  <c:v>123</c:v>
                </c:pt>
                <c:pt idx="122">
                  <c:v>124</c:v>
                </c:pt>
                <c:pt idx="123">
                  <c:v>125</c:v>
                </c:pt>
                <c:pt idx="124">
                  <c:v>126</c:v>
                </c:pt>
                <c:pt idx="125">
                  <c:v>127</c:v>
                </c:pt>
                <c:pt idx="126">
                  <c:v>128</c:v>
                </c:pt>
                <c:pt idx="127">
                  <c:v>129</c:v>
                </c:pt>
                <c:pt idx="128">
                  <c:v>130</c:v>
                </c:pt>
                <c:pt idx="129">
                  <c:v>131</c:v>
                </c:pt>
                <c:pt idx="130">
                  <c:v>132</c:v>
                </c:pt>
                <c:pt idx="131">
                  <c:v>133</c:v>
                </c:pt>
                <c:pt idx="132">
                  <c:v>134</c:v>
                </c:pt>
                <c:pt idx="133">
                  <c:v>135</c:v>
                </c:pt>
                <c:pt idx="134">
                  <c:v>136</c:v>
                </c:pt>
                <c:pt idx="135">
                  <c:v>137</c:v>
                </c:pt>
                <c:pt idx="136">
                  <c:v>138</c:v>
                </c:pt>
                <c:pt idx="137">
                  <c:v>139</c:v>
                </c:pt>
                <c:pt idx="138">
                  <c:v>140</c:v>
                </c:pt>
                <c:pt idx="139">
                  <c:v>141</c:v>
                </c:pt>
                <c:pt idx="140">
                  <c:v>142</c:v>
                </c:pt>
                <c:pt idx="141">
                  <c:v>143</c:v>
                </c:pt>
                <c:pt idx="142">
                  <c:v>144</c:v>
                </c:pt>
                <c:pt idx="143">
                  <c:v>145</c:v>
                </c:pt>
                <c:pt idx="144">
                  <c:v>146</c:v>
                </c:pt>
                <c:pt idx="145">
                  <c:v>147</c:v>
                </c:pt>
                <c:pt idx="146">
                  <c:v>148</c:v>
                </c:pt>
                <c:pt idx="147">
                  <c:v>149</c:v>
                </c:pt>
                <c:pt idx="148">
                  <c:v>150</c:v>
                </c:pt>
                <c:pt idx="149">
                  <c:v>151</c:v>
                </c:pt>
                <c:pt idx="150">
                  <c:v>152</c:v>
                </c:pt>
                <c:pt idx="151">
                  <c:v>153</c:v>
                </c:pt>
                <c:pt idx="152">
                  <c:v>154</c:v>
                </c:pt>
                <c:pt idx="153">
                  <c:v>155</c:v>
                </c:pt>
                <c:pt idx="154">
                  <c:v>156</c:v>
                </c:pt>
                <c:pt idx="155">
                  <c:v>157</c:v>
                </c:pt>
                <c:pt idx="156">
                  <c:v>158</c:v>
                </c:pt>
                <c:pt idx="157">
                  <c:v>159</c:v>
                </c:pt>
                <c:pt idx="158">
                  <c:v>160</c:v>
                </c:pt>
                <c:pt idx="159">
                  <c:v>161</c:v>
                </c:pt>
                <c:pt idx="160">
                  <c:v>162</c:v>
                </c:pt>
                <c:pt idx="161">
                  <c:v>163</c:v>
                </c:pt>
                <c:pt idx="162">
                  <c:v>164</c:v>
                </c:pt>
                <c:pt idx="163">
                  <c:v>165</c:v>
                </c:pt>
                <c:pt idx="164">
                  <c:v>166</c:v>
                </c:pt>
                <c:pt idx="165">
                  <c:v>167</c:v>
                </c:pt>
                <c:pt idx="166">
                  <c:v>168</c:v>
                </c:pt>
                <c:pt idx="167">
                  <c:v>169</c:v>
                </c:pt>
                <c:pt idx="168">
                  <c:v>170</c:v>
                </c:pt>
                <c:pt idx="169">
                  <c:v>171</c:v>
                </c:pt>
                <c:pt idx="170">
                  <c:v>172</c:v>
                </c:pt>
                <c:pt idx="171">
                  <c:v>173</c:v>
                </c:pt>
                <c:pt idx="172">
                  <c:v>174</c:v>
                </c:pt>
                <c:pt idx="173">
                  <c:v>175</c:v>
                </c:pt>
                <c:pt idx="174">
                  <c:v>176</c:v>
                </c:pt>
                <c:pt idx="175">
                  <c:v>177</c:v>
                </c:pt>
                <c:pt idx="176">
                  <c:v>178</c:v>
                </c:pt>
                <c:pt idx="177">
                  <c:v>179</c:v>
                </c:pt>
                <c:pt idx="178">
                  <c:v>180</c:v>
                </c:pt>
                <c:pt idx="179">
                  <c:v>181</c:v>
                </c:pt>
                <c:pt idx="180">
                  <c:v>182</c:v>
                </c:pt>
                <c:pt idx="181">
                  <c:v>183</c:v>
                </c:pt>
                <c:pt idx="182">
                  <c:v>184</c:v>
                </c:pt>
                <c:pt idx="183">
                  <c:v>185</c:v>
                </c:pt>
                <c:pt idx="184">
                  <c:v>186</c:v>
                </c:pt>
                <c:pt idx="185">
                  <c:v>187</c:v>
                </c:pt>
                <c:pt idx="186">
                  <c:v>188</c:v>
                </c:pt>
                <c:pt idx="187">
                  <c:v>189</c:v>
                </c:pt>
                <c:pt idx="188">
                  <c:v>190</c:v>
                </c:pt>
                <c:pt idx="189">
                  <c:v>191</c:v>
                </c:pt>
                <c:pt idx="190">
                  <c:v>192</c:v>
                </c:pt>
                <c:pt idx="191">
                  <c:v>193</c:v>
                </c:pt>
                <c:pt idx="192">
                  <c:v>194</c:v>
                </c:pt>
                <c:pt idx="193">
                  <c:v>195</c:v>
                </c:pt>
                <c:pt idx="194">
                  <c:v>196</c:v>
                </c:pt>
                <c:pt idx="195">
                  <c:v>197</c:v>
                </c:pt>
                <c:pt idx="196">
                  <c:v>198</c:v>
                </c:pt>
                <c:pt idx="197">
                  <c:v>199</c:v>
                </c:pt>
                <c:pt idx="198">
                  <c:v>200</c:v>
                </c:pt>
                <c:pt idx="199">
                  <c:v>201</c:v>
                </c:pt>
                <c:pt idx="200">
                  <c:v>202</c:v>
                </c:pt>
                <c:pt idx="201">
                  <c:v>203</c:v>
                </c:pt>
                <c:pt idx="202">
                  <c:v>204</c:v>
                </c:pt>
                <c:pt idx="203">
                  <c:v>205</c:v>
                </c:pt>
                <c:pt idx="204">
                  <c:v>206</c:v>
                </c:pt>
                <c:pt idx="205">
                  <c:v>207</c:v>
                </c:pt>
                <c:pt idx="206">
                  <c:v>208</c:v>
                </c:pt>
                <c:pt idx="207">
                  <c:v>209</c:v>
                </c:pt>
                <c:pt idx="208">
                  <c:v>210</c:v>
                </c:pt>
                <c:pt idx="209">
                  <c:v>211</c:v>
                </c:pt>
                <c:pt idx="210">
                  <c:v>212</c:v>
                </c:pt>
                <c:pt idx="211">
                  <c:v>213</c:v>
                </c:pt>
                <c:pt idx="212">
                  <c:v>214</c:v>
                </c:pt>
                <c:pt idx="213">
                  <c:v>215</c:v>
                </c:pt>
                <c:pt idx="214">
                  <c:v>216</c:v>
                </c:pt>
                <c:pt idx="215">
                  <c:v>217</c:v>
                </c:pt>
                <c:pt idx="216">
                  <c:v>218</c:v>
                </c:pt>
                <c:pt idx="217">
                  <c:v>219</c:v>
                </c:pt>
                <c:pt idx="218">
                  <c:v>220</c:v>
                </c:pt>
                <c:pt idx="219">
                  <c:v>221</c:v>
                </c:pt>
                <c:pt idx="220">
                  <c:v>222</c:v>
                </c:pt>
                <c:pt idx="221">
                  <c:v>223</c:v>
                </c:pt>
                <c:pt idx="222">
                  <c:v>224</c:v>
                </c:pt>
                <c:pt idx="223">
                  <c:v>225</c:v>
                </c:pt>
                <c:pt idx="224">
                  <c:v>226</c:v>
                </c:pt>
                <c:pt idx="225">
                  <c:v>227</c:v>
                </c:pt>
                <c:pt idx="226">
                  <c:v>228</c:v>
                </c:pt>
                <c:pt idx="227">
                  <c:v>229</c:v>
                </c:pt>
                <c:pt idx="228">
                  <c:v>230</c:v>
                </c:pt>
                <c:pt idx="229">
                  <c:v>231</c:v>
                </c:pt>
                <c:pt idx="230">
                  <c:v>232</c:v>
                </c:pt>
                <c:pt idx="231">
                  <c:v>233</c:v>
                </c:pt>
                <c:pt idx="232">
                  <c:v>234</c:v>
                </c:pt>
                <c:pt idx="233">
                  <c:v>235</c:v>
                </c:pt>
                <c:pt idx="234">
                  <c:v>236</c:v>
                </c:pt>
                <c:pt idx="235">
                  <c:v>237</c:v>
                </c:pt>
                <c:pt idx="236">
                  <c:v>238</c:v>
                </c:pt>
                <c:pt idx="237">
                  <c:v>239</c:v>
                </c:pt>
                <c:pt idx="238">
                  <c:v>240</c:v>
                </c:pt>
                <c:pt idx="239">
                  <c:v>241</c:v>
                </c:pt>
                <c:pt idx="240">
                  <c:v>242</c:v>
                </c:pt>
                <c:pt idx="241">
                  <c:v>243</c:v>
                </c:pt>
                <c:pt idx="242">
                  <c:v>244</c:v>
                </c:pt>
                <c:pt idx="243">
                  <c:v>245</c:v>
                </c:pt>
                <c:pt idx="244">
                  <c:v>246</c:v>
                </c:pt>
                <c:pt idx="245">
                  <c:v>247</c:v>
                </c:pt>
                <c:pt idx="246">
                  <c:v>248</c:v>
                </c:pt>
                <c:pt idx="247">
                  <c:v>249</c:v>
                </c:pt>
                <c:pt idx="248">
                  <c:v>250</c:v>
                </c:pt>
                <c:pt idx="249">
                  <c:v>251</c:v>
                </c:pt>
                <c:pt idx="250">
                  <c:v>252</c:v>
                </c:pt>
                <c:pt idx="251">
                  <c:v>253</c:v>
                </c:pt>
                <c:pt idx="252">
                  <c:v>254</c:v>
                </c:pt>
                <c:pt idx="253">
                  <c:v>255</c:v>
                </c:pt>
                <c:pt idx="254">
                  <c:v>256</c:v>
                </c:pt>
                <c:pt idx="255">
                  <c:v>257</c:v>
                </c:pt>
                <c:pt idx="256">
                  <c:v>258</c:v>
                </c:pt>
                <c:pt idx="257">
                  <c:v>259</c:v>
                </c:pt>
                <c:pt idx="258">
                  <c:v>260</c:v>
                </c:pt>
                <c:pt idx="259">
                  <c:v>261</c:v>
                </c:pt>
                <c:pt idx="260">
                  <c:v>262</c:v>
                </c:pt>
                <c:pt idx="261">
                  <c:v>263</c:v>
                </c:pt>
                <c:pt idx="262">
                  <c:v>264</c:v>
                </c:pt>
                <c:pt idx="263">
                  <c:v>265</c:v>
                </c:pt>
                <c:pt idx="264">
                  <c:v>266</c:v>
                </c:pt>
                <c:pt idx="265">
                  <c:v>267</c:v>
                </c:pt>
                <c:pt idx="266">
                  <c:v>268</c:v>
                </c:pt>
                <c:pt idx="267">
                  <c:v>269</c:v>
                </c:pt>
                <c:pt idx="268">
                  <c:v>270</c:v>
                </c:pt>
                <c:pt idx="269">
                  <c:v>271</c:v>
                </c:pt>
                <c:pt idx="270">
                  <c:v>272</c:v>
                </c:pt>
                <c:pt idx="271">
                  <c:v>273</c:v>
                </c:pt>
                <c:pt idx="272">
                  <c:v>274</c:v>
                </c:pt>
                <c:pt idx="273">
                  <c:v>275</c:v>
                </c:pt>
                <c:pt idx="274">
                  <c:v>276</c:v>
                </c:pt>
                <c:pt idx="275">
                  <c:v>277</c:v>
                </c:pt>
                <c:pt idx="276">
                  <c:v>278</c:v>
                </c:pt>
                <c:pt idx="277">
                  <c:v>279</c:v>
                </c:pt>
                <c:pt idx="278">
                  <c:v>280</c:v>
                </c:pt>
                <c:pt idx="279">
                  <c:v>281</c:v>
                </c:pt>
                <c:pt idx="280">
                  <c:v>282</c:v>
                </c:pt>
                <c:pt idx="281">
                  <c:v>283</c:v>
                </c:pt>
                <c:pt idx="282">
                  <c:v>284</c:v>
                </c:pt>
                <c:pt idx="283">
                  <c:v>285</c:v>
                </c:pt>
                <c:pt idx="284">
                  <c:v>286</c:v>
                </c:pt>
                <c:pt idx="285">
                  <c:v>287</c:v>
                </c:pt>
                <c:pt idx="286">
                  <c:v>288</c:v>
                </c:pt>
                <c:pt idx="287">
                  <c:v>289</c:v>
                </c:pt>
                <c:pt idx="288">
                  <c:v>290</c:v>
                </c:pt>
                <c:pt idx="289">
                  <c:v>291</c:v>
                </c:pt>
                <c:pt idx="290">
                  <c:v>292</c:v>
                </c:pt>
                <c:pt idx="291">
                  <c:v>293</c:v>
                </c:pt>
                <c:pt idx="292">
                  <c:v>294</c:v>
                </c:pt>
                <c:pt idx="293">
                  <c:v>295</c:v>
                </c:pt>
                <c:pt idx="294">
                  <c:v>296</c:v>
                </c:pt>
                <c:pt idx="295">
                  <c:v>297</c:v>
                </c:pt>
                <c:pt idx="296">
                  <c:v>298</c:v>
                </c:pt>
                <c:pt idx="297">
                  <c:v>299</c:v>
                </c:pt>
                <c:pt idx="298">
                  <c:v>300</c:v>
                </c:pt>
                <c:pt idx="299">
                  <c:v>301</c:v>
                </c:pt>
                <c:pt idx="300">
                  <c:v>302</c:v>
                </c:pt>
                <c:pt idx="301">
                  <c:v>303</c:v>
                </c:pt>
                <c:pt idx="302">
                  <c:v>304</c:v>
                </c:pt>
                <c:pt idx="303">
                  <c:v>305</c:v>
                </c:pt>
                <c:pt idx="304">
                  <c:v>306</c:v>
                </c:pt>
                <c:pt idx="305">
                  <c:v>307</c:v>
                </c:pt>
                <c:pt idx="306">
                  <c:v>308</c:v>
                </c:pt>
                <c:pt idx="307">
                  <c:v>309</c:v>
                </c:pt>
                <c:pt idx="308">
                  <c:v>310</c:v>
                </c:pt>
                <c:pt idx="309">
                  <c:v>311</c:v>
                </c:pt>
                <c:pt idx="310">
                  <c:v>312</c:v>
                </c:pt>
                <c:pt idx="311">
                  <c:v>313</c:v>
                </c:pt>
                <c:pt idx="312">
                  <c:v>314</c:v>
                </c:pt>
                <c:pt idx="313">
                  <c:v>315</c:v>
                </c:pt>
                <c:pt idx="314">
                  <c:v>316</c:v>
                </c:pt>
                <c:pt idx="315">
                  <c:v>317</c:v>
                </c:pt>
                <c:pt idx="316">
                  <c:v>318</c:v>
                </c:pt>
                <c:pt idx="317">
                  <c:v>319</c:v>
                </c:pt>
                <c:pt idx="318">
                  <c:v>320</c:v>
                </c:pt>
                <c:pt idx="319">
                  <c:v>321</c:v>
                </c:pt>
                <c:pt idx="320">
                  <c:v>322</c:v>
                </c:pt>
                <c:pt idx="321">
                  <c:v>323</c:v>
                </c:pt>
                <c:pt idx="322">
                  <c:v>324</c:v>
                </c:pt>
                <c:pt idx="323">
                  <c:v>325</c:v>
                </c:pt>
                <c:pt idx="324">
                  <c:v>326</c:v>
                </c:pt>
                <c:pt idx="325">
                  <c:v>327</c:v>
                </c:pt>
                <c:pt idx="326">
                  <c:v>328</c:v>
                </c:pt>
                <c:pt idx="327">
                  <c:v>329</c:v>
                </c:pt>
                <c:pt idx="328">
                  <c:v>330</c:v>
                </c:pt>
                <c:pt idx="329">
                  <c:v>331</c:v>
                </c:pt>
                <c:pt idx="330">
                  <c:v>332</c:v>
                </c:pt>
                <c:pt idx="331">
                  <c:v>333</c:v>
                </c:pt>
                <c:pt idx="332">
                  <c:v>334</c:v>
                </c:pt>
                <c:pt idx="333">
                  <c:v>335</c:v>
                </c:pt>
                <c:pt idx="334">
                  <c:v>336</c:v>
                </c:pt>
                <c:pt idx="335">
                  <c:v>337</c:v>
                </c:pt>
                <c:pt idx="336">
                  <c:v>338</c:v>
                </c:pt>
                <c:pt idx="337">
                  <c:v>339</c:v>
                </c:pt>
                <c:pt idx="338">
                  <c:v>340</c:v>
                </c:pt>
                <c:pt idx="339">
                  <c:v>341</c:v>
                </c:pt>
                <c:pt idx="340">
                  <c:v>342</c:v>
                </c:pt>
                <c:pt idx="341">
                  <c:v>343</c:v>
                </c:pt>
                <c:pt idx="342">
                  <c:v>344</c:v>
                </c:pt>
                <c:pt idx="343">
                  <c:v>345</c:v>
                </c:pt>
                <c:pt idx="344">
                  <c:v>346</c:v>
                </c:pt>
                <c:pt idx="345">
                  <c:v>347</c:v>
                </c:pt>
                <c:pt idx="346">
                  <c:v>348</c:v>
                </c:pt>
                <c:pt idx="347">
                  <c:v>349</c:v>
                </c:pt>
                <c:pt idx="348">
                  <c:v>350</c:v>
                </c:pt>
                <c:pt idx="349">
                  <c:v>351</c:v>
                </c:pt>
                <c:pt idx="350">
                  <c:v>352</c:v>
                </c:pt>
                <c:pt idx="351">
                  <c:v>353</c:v>
                </c:pt>
                <c:pt idx="352">
                  <c:v>354</c:v>
                </c:pt>
                <c:pt idx="353">
                  <c:v>355</c:v>
                </c:pt>
                <c:pt idx="354">
                  <c:v>356</c:v>
                </c:pt>
                <c:pt idx="355">
                  <c:v>357</c:v>
                </c:pt>
                <c:pt idx="356">
                  <c:v>358</c:v>
                </c:pt>
                <c:pt idx="357">
                  <c:v>359</c:v>
                </c:pt>
                <c:pt idx="358">
                  <c:v>360</c:v>
                </c:pt>
                <c:pt idx="359">
                  <c:v>361</c:v>
                </c:pt>
                <c:pt idx="360">
                  <c:v>362</c:v>
                </c:pt>
                <c:pt idx="361">
                  <c:v>363</c:v>
                </c:pt>
                <c:pt idx="362">
                  <c:v>364</c:v>
                </c:pt>
                <c:pt idx="363">
                  <c:v>365</c:v>
                </c:pt>
                <c:pt idx="364">
                  <c:v>366</c:v>
                </c:pt>
              </c:numCache>
            </c:numRef>
          </c:cat>
          <c:val>
            <c:numRef>
              <c:f>Calculations!$EW$6:$EW$370</c:f>
              <c:numCache>
                <c:formatCode>0</c:formatCode>
                <c:ptCount val="365"/>
                <c:pt idx="0">
                  <c:v>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numCache>
            </c:numRef>
          </c:val>
          <c:smooth val="1"/>
          <c:extLst>
            <c:ext xmlns:c16="http://schemas.microsoft.com/office/drawing/2014/chart" uri="{C3380CC4-5D6E-409C-BE32-E72D297353CC}">
              <c16:uniqueId val="{00000000-B6EE-4AD0-BDE5-79361A30547D}"/>
            </c:ext>
          </c:extLst>
        </c:ser>
        <c:ser>
          <c:idx val="1"/>
          <c:order val="1"/>
          <c:tx>
            <c:v>Total weight of cutted green leaf mass</c:v>
          </c:tx>
          <c:spPr>
            <a:ln w="19050" cap="rnd">
              <a:solidFill>
                <a:schemeClr val="accent2"/>
              </a:solidFill>
              <a:round/>
            </a:ln>
            <a:effectLst/>
          </c:spPr>
          <c:marker>
            <c:symbol val="none"/>
          </c:marker>
          <c:cat>
            <c:numRef>
              <c:f>Calculations!$AG$6:$AG$370</c:f>
              <c:numCache>
                <c:formatCode>m/d/yyyy</c:formatCode>
                <c:ptCount val="36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61</c:v>
                </c:pt>
                <c:pt idx="60">
                  <c:v>62</c:v>
                </c:pt>
                <c:pt idx="61">
                  <c:v>63</c:v>
                </c:pt>
                <c:pt idx="62">
                  <c:v>64</c:v>
                </c:pt>
                <c:pt idx="63">
                  <c:v>65</c:v>
                </c:pt>
                <c:pt idx="64">
                  <c:v>66</c:v>
                </c:pt>
                <c:pt idx="65">
                  <c:v>67</c:v>
                </c:pt>
                <c:pt idx="66">
                  <c:v>68</c:v>
                </c:pt>
                <c:pt idx="67">
                  <c:v>69</c:v>
                </c:pt>
                <c:pt idx="68">
                  <c:v>70</c:v>
                </c:pt>
                <c:pt idx="69">
                  <c:v>71</c:v>
                </c:pt>
                <c:pt idx="70">
                  <c:v>72</c:v>
                </c:pt>
                <c:pt idx="71">
                  <c:v>73</c:v>
                </c:pt>
                <c:pt idx="72">
                  <c:v>74</c:v>
                </c:pt>
                <c:pt idx="73">
                  <c:v>75</c:v>
                </c:pt>
                <c:pt idx="74">
                  <c:v>76</c:v>
                </c:pt>
                <c:pt idx="75">
                  <c:v>77</c:v>
                </c:pt>
                <c:pt idx="76">
                  <c:v>78</c:v>
                </c:pt>
                <c:pt idx="77">
                  <c:v>79</c:v>
                </c:pt>
                <c:pt idx="78">
                  <c:v>80</c:v>
                </c:pt>
                <c:pt idx="79">
                  <c:v>81</c:v>
                </c:pt>
                <c:pt idx="80">
                  <c:v>82</c:v>
                </c:pt>
                <c:pt idx="81">
                  <c:v>83</c:v>
                </c:pt>
                <c:pt idx="82">
                  <c:v>84</c:v>
                </c:pt>
                <c:pt idx="83">
                  <c:v>85</c:v>
                </c:pt>
                <c:pt idx="84">
                  <c:v>86</c:v>
                </c:pt>
                <c:pt idx="85">
                  <c:v>87</c:v>
                </c:pt>
                <c:pt idx="86">
                  <c:v>88</c:v>
                </c:pt>
                <c:pt idx="87">
                  <c:v>89</c:v>
                </c:pt>
                <c:pt idx="88">
                  <c:v>90</c:v>
                </c:pt>
                <c:pt idx="89">
                  <c:v>91</c:v>
                </c:pt>
                <c:pt idx="90">
                  <c:v>92</c:v>
                </c:pt>
                <c:pt idx="91">
                  <c:v>93</c:v>
                </c:pt>
                <c:pt idx="92">
                  <c:v>94</c:v>
                </c:pt>
                <c:pt idx="93">
                  <c:v>95</c:v>
                </c:pt>
                <c:pt idx="94">
                  <c:v>96</c:v>
                </c:pt>
                <c:pt idx="95">
                  <c:v>97</c:v>
                </c:pt>
                <c:pt idx="96">
                  <c:v>98</c:v>
                </c:pt>
                <c:pt idx="97">
                  <c:v>99</c:v>
                </c:pt>
                <c:pt idx="98">
                  <c:v>100</c:v>
                </c:pt>
                <c:pt idx="99">
                  <c:v>101</c:v>
                </c:pt>
                <c:pt idx="100">
                  <c:v>102</c:v>
                </c:pt>
                <c:pt idx="101">
                  <c:v>103</c:v>
                </c:pt>
                <c:pt idx="102">
                  <c:v>104</c:v>
                </c:pt>
                <c:pt idx="103">
                  <c:v>105</c:v>
                </c:pt>
                <c:pt idx="104">
                  <c:v>106</c:v>
                </c:pt>
                <c:pt idx="105">
                  <c:v>107</c:v>
                </c:pt>
                <c:pt idx="106">
                  <c:v>108</c:v>
                </c:pt>
                <c:pt idx="107">
                  <c:v>109</c:v>
                </c:pt>
                <c:pt idx="108">
                  <c:v>110</c:v>
                </c:pt>
                <c:pt idx="109">
                  <c:v>111</c:v>
                </c:pt>
                <c:pt idx="110">
                  <c:v>112</c:v>
                </c:pt>
                <c:pt idx="111">
                  <c:v>113</c:v>
                </c:pt>
                <c:pt idx="112">
                  <c:v>114</c:v>
                </c:pt>
                <c:pt idx="113">
                  <c:v>115</c:v>
                </c:pt>
                <c:pt idx="114">
                  <c:v>116</c:v>
                </c:pt>
                <c:pt idx="115">
                  <c:v>117</c:v>
                </c:pt>
                <c:pt idx="116">
                  <c:v>118</c:v>
                </c:pt>
                <c:pt idx="117">
                  <c:v>119</c:v>
                </c:pt>
                <c:pt idx="118">
                  <c:v>120</c:v>
                </c:pt>
                <c:pt idx="119">
                  <c:v>121</c:v>
                </c:pt>
                <c:pt idx="120">
                  <c:v>122</c:v>
                </c:pt>
                <c:pt idx="121">
                  <c:v>123</c:v>
                </c:pt>
                <c:pt idx="122">
                  <c:v>124</c:v>
                </c:pt>
                <c:pt idx="123">
                  <c:v>125</c:v>
                </c:pt>
                <c:pt idx="124">
                  <c:v>126</c:v>
                </c:pt>
                <c:pt idx="125">
                  <c:v>127</c:v>
                </c:pt>
                <c:pt idx="126">
                  <c:v>128</c:v>
                </c:pt>
                <c:pt idx="127">
                  <c:v>129</c:v>
                </c:pt>
                <c:pt idx="128">
                  <c:v>130</c:v>
                </c:pt>
                <c:pt idx="129">
                  <c:v>131</c:v>
                </c:pt>
                <c:pt idx="130">
                  <c:v>132</c:v>
                </c:pt>
                <c:pt idx="131">
                  <c:v>133</c:v>
                </c:pt>
                <c:pt idx="132">
                  <c:v>134</c:v>
                </c:pt>
                <c:pt idx="133">
                  <c:v>135</c:v>
                </c:pt>
                <c:pt idx="134">
                  <c:v>136</c:v>
                </c:pt>
                <c:pt idx="135">
                  <c:v>137</c:v>
                </c:pt>
                <c:pt idx="136">
                  <c:v>138</c:v>
                </c:pt>
                <c:pt idx="137">
                  <c:v>139</c:v>
                </c:pt>
                <c:pt idx="138">
                  <c:v>140</c:v>
                </c:pt>
                <c:pt idx="139">
                  <c:v>141</c:v>
                </c:pt>
                <c:pt idx="140">
                  <c:v>142</c:v>
                </c:pt>
                <c:pt idx="141">
                  <c:v>143</c:v>
                </c:pt>
                <c:pt idx="142">
                  <c:v>144</c:v>
                </c:pt>
                <c:pt idx="143">
                  <c:v>145</c:v>
                </c:pt>
                <c:pt idx="144">
                  <c:v>146</c:v>
                </c:pt>
                <c:pt idx="145">
                  <c:v>147</c:v>
                </c:pt>
                <c:pt idx="146">
                  <c:v>148</c:v>
                </c:pt>
                <c:pt idx="147">
                  <c:v>149</c:v>
                </c:pt>
                <c:pt idx="148">
                  <c:v>150</c:v>
                </c:pt>
                <c:pt idx="149">
                  <c:v>151</c:v>
                </c:pt>
                <c:pt idx="150">
                  <c:v>152</c:v>
                </c:pt>
                <c:pt idx="151">
                  <c:v>153</c:v>
                </c:pt>
                <c:pt idx="152">
                  <c:v>154</c:v>
                </c:pt>
                <c:pt idx="153">
                  <c:v>155</c:v>
                </c:pt>
                <c:pt idx="154">
                  <c:v>156</c:v>
                </c:pt>
                <c:pt idx="155">
                  <c:v>157</c:v>
                </c:pt>
                <c:pt idx="156">
                  <c:v>158</c:v>
                </c:pt>
                <c:pt idx="157">
                  <c:v>159</c:v>
                </c:pt>
                <c:pt idx="158">
                  <c:v>160</c:v>
                </c:pt>
                <c:pt idx="159">
                  <c:v>161</c:v>
                </c:pt>
                <c:pt idx="160">
                  <c:v>162</c:v>
                </c:pt>
                <c:pt idx="161">
                  <c:v>163</c:v>
                </c:pt>
                <c:pt idx="162">
                  <c:v>164</c:v>
                </c:pt>
                <c:pt idx="163">
                  <c:v>165</c:v>
                </c:pt>
                <c:pt idx="164">
                  <c:v>166</c:v>
                </c:pt>
                <c:pt idx="165">
                  <c:v>167</c:v>
                </c:pt>
                <c:pt idx="166">
                  <c:v>168</c:v>
                </c:pt>
                <c:pt idx="167">
                  <c:v>169</c:v>
                </c:pt>
                <c:pt idx="168">
                  <c:v>170</c:v>
                </c:pt>
                <c:pt idx="169">
                  <c:v>171</c:v>
                </c:pt>
                <c:pt idx="170">
                  <c:v>172</c:v>
                </c:pt>
                <c:pt idx="171">
                  <c:v>173</c:v>
                </c:pt>
                <c:pt idx="172">
                  <c:v>174</c:v>
                </c:pt>
                <c:pt idx="173">
                  <c:v>175</c:v>
                </c:pt>
                <c:pt idx="174">
                  <c:v>176</c:v>
                </c:pt>
                <c:pt idx="175">
                  <c:v>177</c:v>
                </c:pt>
                <c:pt idx="176">
                  <c:v>178</c:v>
                </c:pt>
                <c:pt idx="177">
                  <c:v>179</c:v>
                </c:pt>
                <c:pt idx="178">
                  <c:v>180</c:v>
                </c:pt>
                <c:pt idx="179">
                  <c:v>181</c:v>
                </c:pt>
                <c:pt idx="180">
                  <c:v>182</c:v>
                </c:pt>
                <c:pt idx="181">
                  <c:v>183</c:v>
                </c:pt>
                <c:pt idx="182">
                  <c:v>184</c:v>
                </c:pt>
                <c:pt idx="183">
                  <c:v>185</c:v>
                </c:pt>
                <c:pt idx="184">
                  <c:v>186</c:v>
                </c:pt>
                <c:pt idx="185">
                  <c:v>187</c:v>
                </c:pt>
                <c:pt idx="186">
                  <c:v>188</c:v>
                </c:pt>
                <c:pt idx="187">
                  <c:v>189</c:v>
                </c:pt>
                <c:pt idx="188">
                  <c:v>190</c:v>
                </c:pt>
                <c:pt idx="189">
                  <c:v>191</c:v>
                </c:pt>
                <c:pt idx="190">
                  <c:v>192</c:v>
                </c:pt>
                <c:pt idx="191">
                  <c:v>193</c:v>
                </c:pt>
                <c:pt idx="192">
                  <c:v>194</c:v>
                </c:pt>
                <c:pt idx="193">
                  <c:v>195</c:v>
                </c:pt>
                <c:pt idx="194">
                  <c:v>196</c:v>
                </c:pt>
                <c:pt idx="195">
                  <c:v>197</c:v>
                </c:pt>
                <c:pt idx="196">
                  <c:v>198</c:v>
                </c:pt>
                <c:pt idx="197">
                  <c:v>199</c:v>
                </c:pt>
                <c:pt idx="198">
                  <c:v>200</c:v>
                </c:pt>
                <c:pt idx="199">
                  <c:v>201</c:v>
                </c:pt>
                <c:pt idx="200">
                  <c:v>202</c:v>
                </c:pt>
                <c:pt idx="201">
                  <c:v>203</c:v>
                </c:pt>
                <c:pt idx="202">
                  <c:v>204</c:v>
                </c:pt>
                <c:pt idx="203">
                  <c:v>205</c:v>
                </c:pt>
                <c:pt idx="204">
                  <c:v>206</c:v>
                </c:pt>
                <c:pt idx="205">
                  <c:v>207</c:v>
                </c:pt>
                <c:pt idx="206">
                  <c:v>208</c:v>
                </c:pt>
                <c:pt idx="207">
                  <c:v>209</c:v>
                </c:pt>
                <c:pt idx="208">
                  <c:v>210</c:v>
                </c:pt>
                <c:pt idx="209">
                  <c:v>211</c:v>
                </c:pt>
                <c:pt idx="210">
                  <c:v>212</c:v>
                </c:pt>
                <c:pt idx="211">
                  <c:v>213</c:v>
                </c:pt>
                <c:pt idx="212">
                  <c:v>214</c:v>
                </c:pt>
                <c:pt idx="213">
                  <c:v>215</c:v>
                </c:pt>
                <c:pt idx="214">
                  <c:v>216</c:v>
                </c:pt>
                <c:pt idx="215">
                  <c:v>217</c:v>
                </c:pt>
                <c:pt idx="216">
                  <c:v>218</c:v>
                </c:pt>
                <c:pt idx="217">
                  <c:v>219</c:v>
                </c:pt>
                <c:pt idx="218">
                  <c:v>220</c:v>
                </c:pt>
                <c:pt idx="219">
                  <c:v>221</c:v>
                </c:pt>
                <c:pt idx="220">
                  <c:v>222</c:v>
                </c:pt>
                <c:pt idx="221">
                  <c:v>223</c:v>
                </c:pt>
                <c:pt idx="222">
                  <c:v>224</c:v>
                </c:pt>
                <c:pt idx="223">
                  <c:v>225</c:v>
                </c:pt>
                <c:pt idx="224">
                  <c:v>226</c:v>
                </c:pt>
                <c:pt idx="225">
                  <c:v>227</c:v>
                </c:pt>
                <c:pt idx="226">
                  <c:v>228</c:v>
                </c:pt>
                <c:pt idx="227">
                  <c:v>229</c:v>
                </c:pt>
                <c:pt idx="228">
                  <c:v>230</c:v>
                </c:pt>
                <c:pt idx="229">
                  <c:v>231</c:v>
                </c:pt>
                <c:pt idx="230">
                  <c:v>232</c:v>
                </c:pt>
                <c:pt idx="231">
                  <c:v>233</c:v>
                </c:pt>
                <c:pt idx="232">
                  <c:v>234</c:v>
                </c:pt>
                <c:pt idx="233">
                  <c:v>235</c:v>
                </c:pt>
                <c:pt idx="234">
                  <c:v>236</c:v>
                </c:pt>
                <c:pt idx="235">
                  <c:v>237</c:v>
                </c:pt>
                <c:pt idx="236">
                  <c:v>238</c:v>
                </c:pt>
                <c:pt idx="237">
                  <c:v>239</c:v>
                </c:pt>
                <c:pt idx="238">
                  <c:v>240</c:v>
                </c:pt>
                <c:pt idx="239">
                  <c:v>241</c:v>
                </c:pt>
                <c:pt idx="240">
                  <c:v>242</c:v>
                </c:pt>
                <c:pt idx="241">
                  <c:v>243</c:v>
                </c:pt>
                <c:pt idx="242">
                  <c:v>244</c:v>
                </c:pt>
                <c:pt idx="243">
                  <c:v>245</c:v>
                </c:pt>
                <c:pt idx="244">
                  <c:v>246</c:v>
                </c:pt>
                <c:pt idx="245">
                  <c:v>247</c:v>
                </c:pt>
                <c:pt idx="246">
                  <c:v>248</c:v>
                </c:pt>
                <c:pt idx="247">
                  <c:v>249</c:v>
                </c:pt>
                <c:pt idx="248">
                  <c:v>250</c:v>
                </c:pt>
                <c:pt idx="249">
                  <c:v>251</c:v>
                </c:pt>
                <c:pt idx="250">
                  <c:v>252</c:v>
                </c:pt>
                <c:pt idx="251">
                  <c:v>253</c:v>
                </c:pt>
                <c:pt idx="252">
                  <c:v>254</c:v>
                </c:pt>
                <c:pt idx="253">
                  <c:v>255</c:v>
                </c:pt>
                <c:pt idx="254">
                  <c:v>256</c:v>
                </c:pt>
                <c:pt idx="255">
                  <c:v>257</c:v>
                </c:pt>
                <c:pt idx="256">
                  <c:v>258</c:v>
                </c:pt>
                <c:pt idx="257">
                  <c:v>259</c:v>
                </c:pt>
                <c:pt idx="258">
                  <c:v>260</c:v>
                </c:pt>
                <c:pt idx="259">
                  <c:v>261</c:v>
                </c:pt>
                <c:pt idx="260">
                  <c:v>262</c:v>
                </c:pt>
                <c:pt idx="261">
                  <c:v>263</c:v>
                </c:pt>
                <c:pt idx="262">
                  <c:v>264</c:v>
                </c:pt>
                <c:pt idx="263">
                  <c:v>265</c:v>
                </c:pt>
                <c:pt idx="264">
                  <c:v>266</c:v>
                </c:pt>
                <c:pt idx="265">
                  <c:v>267</c:v>
                </c:pt>
                <c:pt idx="266">
                  <c:v>268</c:v>
                </c:pt>
                <c:pt idx="267">
                  <c:v>269</c:v>
                </c:pt>
                <c:pt idx="268">
                  <c:v>270</c:v>
                </c:pt>
                <c:pt idx="269">
                  <c:v>271</c:v>
                </c:pt>
                <c:pt idx="270">
                  <c:v>272</c:v>
                </c:pt>
                <c:pt idx="271">
                  <c:v>273</c:v>
                </c:pt>
                <c:pt idx="272">
                  <c:v>274</c:v>
                </c:pt>
                <c:pt idx="273">
                  <c:v>275</c:v>
                </c:pt>
                <c:pt idx="274">
                  <c:v>276</c:v>
                </c:pt>
                <c:pt idx="275">
                  <c:v>277</c:v>
                </c:pt>
                <c:pt idx="276">
                  <c:v>278</c:v>
                </c:pt>
                <c:pt idx="277">
                  <c:v>279</c:v>
                </c:pt>
                <c:pt idx="278">
                  <c:v>280</c:v>
                </c:pt>
                <c:pt idx="279">
                  <c:v>281</c:v>
                </c:pt>
                <c:pt idx="280">
                  <c:v>282</c:v>
                </c:pt>
                <c:pt idx="281">
                  <c:v>283</c:v>
                </c:pt>
                <c:pt idx="282">
                  <c:v>284</c:v>
                </c:pt>
                <c:pt idx="283">
                  <c:v>285</c:v>
                </c:pt>
                <c:pt idx="284">
                  <c:v>286</c:v>
                </c:pt>
                <c:pt idx="285">
                  <c:v>287</c:v>
                </c:pt>
                <c:pt idx="286">
                  <c:v>288</c:v>
                </c:pt>
                <c:pt idx="287">
                  <c:v>289</c:v>
                </c:pt>
                <c:pt idx="288">
                  <c:v>290</c:v>
                </c:pt>
                <c:pt idx="289">
                  <c:v>291</c:v>
                </c:pt>
                <c:pt idx="290">
                  <c:v>292</c:v>
                </c:pt>
                <c:pt idx="291">
                  <c:v>293</c:v>
                </c:pt>
                <c:pt idx="292">
                  <c:v>294</c:v>
                </c:pt>
                <c:pt idx="293">
                  <c:v>295</c:v>
                </c:pt>
                <c:pt idx="294">
                  <c:v>296</c:v>
                </c:pt>
                <c:pt idx="295">
                  <c:v>297</c:v>
                </c:pt>
                <c:pt idx="296">
                  <c:v>298</c:v>
                </c:pt>
                <c:pt idx="297">
                  <c:v>299</c:v>
                </c:pt>
                <c:pt idx="298">
                  <c:v>300</c:v>
                </c:pt>
                <c:pt idx="299">
                  <c:v>301</c:v>
                </c:pt>
                <c:pt idx="300">
                  <c:v>302</c:v>
                </c:pt>
                <c:pt idx="301">
                  <c:v>303</c:v>
                </c:pt>
                <c:pt idx="302">
                  <c:v>304</c:v>
                </c:pt>
                <c:pt idx="303">
                  <c:v>305</c:v>
                </c:pt>
                <c:pt idx="304">
                  <c:v>306</c:v>
                </c:pt>
                <c:pt idx="305">
                  <c:v>307</c:v>
                </c:pt>
                <c:pt idx="306">
                  <c:v>308</c:v>
                </c:pt>
                <c:pt idx="307">
                  <c:v>309</c:v>
                </c:pt>
                <c:pt idx="308">
                  <c:v>310</c:v>
                </c:pt>
                <c:pt idx="309">
                  <c:v>311</c:v>
                </c:pt>
                <c:pt idx="310">
                  <c:v>312</c:v>
                </c:pt>
                <c:pt idx="311">
                  <c:v>313</c:v>
                </c:pt>
                <c:pt idx="312">
                  <c:v>314</c:v>
                </c:pt>
                <c:pt idx="313">
                  <c:v>315</c:v>
                </c:pt>
                <c:pt idx="314">
                  <c:v>316</c:v>
                </c:pt>
                <c:pt idx="315">
                  <c:v>317</c:v>
                </c:pt>
                <c:pt idx="316">
                  <c:v>318</c:v>
                </c:pt>
                <c:pt idx="317">
                  <c:v>319</c:v>
                </c:pt>
                <c:pt idx="318">
                  <c:v>320</c:v>
                </c:pt>
                <c:pt idx="319">
                  <c:v>321</c:v>
                </c:pt>
                <c:pt idx="320">
                  <c:v>322</c:v>
                </c:pt>
                <c:pt idx="321">
                  <c:v>323</c:v>
                </c:pt>
                <c:pt idx="322">
                  <c:v>324</c:v>
                </c:pt>
                <c:pt idx="323">
                  <c:v>325</c:v>
                </c:pt>
                <c:pt idx="324">
                  <c:v>326</c:v>
                </c:pt>
                <c:pt idx="325">
                  <c:v>327</c:v>
                </c:pt>
                <c:pt idx="326">
                  <c:v>328</c:v>
                </c:pt>
                <c:pt idx="327">
                  <c:v>329</c:v>
                </c:pt>
                <c:pt idx="328">
                  <c:v>330</c:v>
                </c:pt>
                <c:pt idx="329">
                  <c:v>331</c:v>
                </c:pt>
                <c:pt idx="330">
                  <c:v>332</c:v>
                </c:pt>
                <c:pt idx="331">
                  <c:v>333</c:v>
                </c:pt>
                <c:pt idx="332">
                  <c:v>334</c:v>
                </c:pt>
                <c:pt idx="333">
                  <c:v>335</c:v>
                </c:pt>
                <c:pt idx="334">
                  <c:v>336</c:v>
                </c:pt>
                <c:pt idx="335">
                  <c:v>337</c:v>
                </c:pt>
                <c:pt idx="336">
                  <c:v>338</c:v>
                </c:pt>
                <c:pt idx="337">
                  <c:v>339</c:v>
                </c:pt>
                <c:pt idx="338">
                  <c:v>340</c:v>
                </c:pt>
                <c:pt idx="339">
                  <c:v>341</c:v>
                </c:pt>
                <c:pt idx="340">
                  <c:v>342</c:v>
                </c:pt>
                <c:pt idx="341">
                  <c:v>343</c:v>
                </c:pt>
                <c:pt idx="342">
                  <c:v>344</c:v>
                </c:pt>
                <c:pt idx="343">
                  <c:v>345</c:v>
                </c:pt>
                <c:pt idx="344">
                  <c:v>346</c:v>
                </c:pt>
                <c:pt idx="345">
                  <c:v>347</c:v>
                </c:pt>
                <c:pt idx="346">
                  <c:v>348</c:v>
                </c:pt>
                <c:pt idx="347">
                  <c:v>349</c:v>
                </c:pt>
                <c:pt idx="348">
                  <c:v>350</c:v>
                </c:pt>
                <c:pt idx="349">
                  <c:v>351</c:v>
                </c:pt>
                <c:pt idx="350">
                  <c:v>352</c:v>
                </c:pt>
                <c:pt idx="351">
                  <c:v>353</c:v>
                </c:pt>
                <c:pt idx="352">
                  <c:v>354</c:v>
                </c:pt>
                <c:pt idx="353">
                  <c:v>355</c:v>
                </c:pt>
                <c:pt idx="354">
                  <c:v>356</c:v>
                </c:pt>
                <c:pt idx="355">
                  <c:v>357</c:v>
                </c:pt>
                <c:pt idx="356">
                  <c:v>358</c:v>
                </c:pt>
                <c:pt idx="357">
                  <c:v>359</c:v>
                </c:pt>
                <c:pt idx="358">
                  <c:v>360</c:v>
                </c:pt>
                <c:pt idx="359">
                  <c:v>361</c:v>
                </c:pt>
                <c:pt idx="360">
                  <c:v>362</c:v>
                </c:pt>
                <c:pt idx="361">
                  <c:v>363</c:v>
                </c:pt>
                <c:pt idx="362">
                  <c:v>364</c:v>
                </c:pt>
                <c:pt idx="363">
                  <c:v>365</c:v>
                </c:pt>
                <c:pt idx="364">
                  <c:v>366</c:v>
                </c:pt>
              </c:numCache>
            </c:numRef>
          </c:cat>
          <c:val>
            <c:numRef>
              <c:f>Calculations!$ER$6:$ER$370</c:f>
              <c:numCache>
                <c:formatCode>0</c:formatCode>
                <c:ptCount val="365"/>
                <c:pt idx="0">
                  <c:v>0</c:v>
                </c:pt>
                <c:pt idx="1">
                  <c:v>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numCache>
            </c:numRef>
          </c:val>
          <c:smooth val="1"/>
          <c:extLst>
            <c:ext xmlns:c16="http://schemas.microsoft.com/office/drawing/2014/chart" uri="{C3380CC4-5D6E-409C-BE32-E72D297353CC}">
              <c16:uniqueId val="{00000001-B6EE-4AD0-BDE5-79361A30547D}"/>
            </c:ext>
          </c:extLst>
        </c:ser>
        <c:dLbls>
          <c:showLegendKey val="0"/>
          <c:showVal val="0"/>
          <c:showCatName val="0"/>
          <c:showSerName val="0"/>
          <c:showPercent val="0"/>
          <c:showBubbleSize val="0"/>
        </c:dLbls>
        <c:smooth val="0"/>
        <c:axId val="396767800"/>
        <c:axId val="396770544"/>
      </c:lineChart>
      <c:dateAx>
        <c:axId val="396767800"/>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GB" sz="1600">
                    <a:solidFill>
                      <a:schemeClr val="tx1"/>
                    </a:solidFill>
                  </a:rPr>
                  <a:t>Date</a:t>
                </a:r>
              </a:p>
            </c:rich>
          </c:tx>
          <c:layout>
            <c:manualLayout>
              <c:xMode val="edge"/>
              <c:yMode val="edge"/>
              <c:x val="0.50143210383778902"/>
              <c:y val="0.86178006491432757"/>
            </c:manualLayout>
          </c:layout>
          <c:overlay val="0"/>
          <c:spPr>
            <a:noFill/>
            <a:ln w="25400">
              <a:noFill/>
            </a:ln>
          </c:spPr>
        </c:title>
        <c:numFmt formatCode="[$-409]d\-mmm;@" sourceLinked="0"/>
        <c:majorTickMark val="out"/>
        <c:minorTickMark val="none"/>
        <c:tickLblPos val="nextTo"/>
        <c:spPr>
          <a:noFill/>
          <a:ln w="15875" cap="flat" cmpd="sng" algn="ctr">
            <a:solidFill>
              <a:schemeClr val="tx1"/>
            </a:solidFill>
            <a:round/>
          </a:ln>
          <a:effectLst/>
        </c:spPr>
        <c:txPr>
          <a:bodyPr rot="0" vert="horz"/>
          <a:lstStyle/>
          <a:p>
            <a:pPr>
              <a:defRPr sz="1200" b="0" i="0" u="none" strike="noStrike" baseline="0">
                <a:solidFill>
                  <a:schemeClr val="tx1"/>
                </a:solidFill>
                <a:latin typeface="Calibri"/>
                <a:ea typeface="Calibri"/>
                <a:cs typeface="Calibri"/>
              </a:defRPr>
            </a:pPr>
            <a:endParaRPr lang="en-US"/>
          </a:p>
        </c:txPr>
        <c:crossAx val="396770544"/>
        <c:crosses val="autoZero"/>
        <c:auto val="0"/>
        <c:lblOffset val="100"/>
        <c:baseTimeUnit val="days"/>
        <c:majorUnit val="1"/>
        <c:majorTimeUnit val="months"/>
      </c:dateAx>
      <c:valAx>
        <c:axId val="39677054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GB" sz="1600">
                    <a:solidFill>
                      <a:schemeClr val="tx1"/>
                    </a:solidFill>
                  </a:rPr>
                  <a:t>Cumulative yield (kg</a:t>
                </a:r>
                <a:r>
                  <a:rPr lang="en-GB" sz="1600" baseline="0">
                    <a:solidFill>
                      <a:schemeClr val="tx1"/>
                    </a:solidFill>
                  </a:rPr>
                  <a:t> DM grass ha</a:t>
                </a:r>
                <a:r>
                  <a:rPr lang="en-GB" sz="1600" baseline="30000">
                    <a:solidFill>
                      <a:schemeClr val="tx1"/>
                    </a:solidFill>
                  </a:rPr>
                  <a:t>-1</a:t>
                </a:r>
                <a:r>
                  <a:rPr lang="en-GB" sz="1600" baseline="0">
                    <a:solidFill>
                      <a:schemeClr val="tx1"/>
                    </a:solidFill>
                  </a:rPr>
                  <a:t>)</a:t>
                </a:r>
                <a:endParaRPr lang="en-GB" sz="1600">
                  <a:solidFill>
                    <a:schemeClr val="tx1"/>
                  </a:solidFill>
                </a:endParaRPr>
              </a:p>
            </c:rich>
          </c:tx>
          <c:layout>
            <c:manualLayout>
              <c:xMode val="edge"/>
              <c:yMode val="edge"/>
              <c:x val="5.3352824872900653E-3"/>
              <c:y val="0.1728972892912749"/>
            </c:manualLayout>
          </c:layout>
          <c:overlay val="0"/>
          <c:spPr>
            <a:noFill/>
            <a:ln w="25400">
              <a:noFill/>
            </a:ln>
          </c:spPr>
        </c:title>
        <c:numFmt formatCode="0" sourceLinked="0"/>
        <c:majorTickMark val="out"/>
        <c:minorTickMark val="none"/>
        <c:tickLblPos val="nextTo"/>
        <c:spPr>
          <a:noFill/>
          <a:ln w="15875"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396767800"/>
        <c:crosses val="autoZero"/>
        <c:crossBetween val="midCat"/>
      </c:valAx>
      <c:spPr>
        <a:noFill/>
        <a:ln w="25400">
          <a:noFill/>
        </a:ln>
      </c:spPr>
    </c:plotArea>
    <c:legend>
      <c:legendPos val="r"/>
      <c:layout>
        <c:manualLayout>
          <c:xMode val="edge"/>
          <c:yMode val="edge"/>
          <c:x val="0.11824531877498982"/>
          <c:y val="5.1720367886246739E-2"/>
          <c:w val="0.55177932643307614"/>
          <c:h val="6.8616619311708052E-2"/>
        </c:manualLayout>
      </c:layout>
      <c:overlay val="0"/>
      <c:spPr>
        <a:noFill/>
        <a:ln w="25400">
          <a:noFill/>
        </a:ln>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632236988800145"/>
          <c:y val="2.2950822369774311E-2"/>
          <c:w val="0.79301864134946287"/>
          <c:h val="0.82045664354651593"/>
        </c:manualLayout>
      </c:layout>
      <c:lineChart>
        <c:grouping val="standard"/>
        <c:varyColors val="0"/>
        <c:ser>
          <c:idx val="0"/>
          <c:order val="0"/>
          <c:tx>
            <c:v>Effective irrigation</c:v>
          </c:tx>
          <c:spPr>
            <a:ln w="15875">
              <a:solidFill>
                <a:schemeClr val="tx1"/>
              </a:solidFill>
            </a:ln>
          </c:spPr>
          <c:marker>
            <c:symbol val="none"/>
          </c:marker>
          <c:val>
            <c:numRef>
              <c:f>Calculations!$NJ$6:$NJ$370</c:f>
              <c:numCache>
                <c:formatCode>General</c:formatCode>
                <c:ptCount val="36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numCache>
            </c:numRef>
          </c:val>
          <c:smooth val="0"/>
          <c:extLst>
            <c:ext xmlns:c16="http://schemas.microsoft.com/office/drawing/2014/chart" uri="{C3380CC4-5D6E-409C-BE32-E72D297353CC}">
              <c16:uniqueId val="{00000002-7EEE-4084-BAC7-7AB7E8D0BC60}"/>
            </c:ext>
          </c:extLst>
        </c:ser>
        <c:dLbls>
          <c:showLegendKey val="0"/>
          <c:showVal val="0"/>
          <c:showCatName val="0"/>
          <c:showSerName val="0"/>
          <c:showPercent val="0"/>
          <c:showBubbleSize val="0"/>
        </c:dLbls>
        <c:marker val="1"/>
        <c:smooth val="0"/>
        <c:axId val="399215528"/>
        <c:axId val="399221800"/>
      </c:lineChart>
      <c:lineChart>
        <c:grouping val="standard"/>
        <c:varyColors val="0"/>
        <c:ser>
          <c:idx val="4"/>
          <c:order val="1"/>
          <c:tx>
            <c:v>Irrigation available from previous day</c:v>
          </c:tx>
          <c:marker>
            <c:symbol val="none"/>
          </c:marker>
          <c:val>
            <c:numRef>
              <c:f>Calculations!$NH$6:$NH$370</c:f>
              <c:numCache>
                <c:formatCode>General</c:formatCode>
                <c:ptCount val="36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numCache>
            </c:numRef>
          </c:val>
          <c:smooth val="0"/>
          <c:extLst>
            <c:ext xmlns:c16="http://schemas.microsoft.com/office/drawing/2014/chart" uri="{C3380CC4-5D6E-409C-BE32-E72D297353CC}">
              <c16:uniqueId val="{00000003-7EEE-4084-BAC7-7AB7E8D0BC60}"/>
            </c:ext>
          </c:extLst>
        </c:ser>
        <c:ser>
          <c:idx val="1"/>
          <c:order val="2"/>
          <c:tx>
            <c:v>Actual growth rate</c:v>
          </c:tx>
          <c:marker>
            <c:symbol val="none"/>
          </c:marker>
          <c:val>
            <c:numRef>
              <c:f>Calculations!$GX$6:$GX$370</c:f>
              <c:numCache>
                <c:formatCode>0.0</c:formatCode>
                <c:ptCount val="365"/>
                <c:pt idx="0">
                  <c:v>#N/A</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numCache>
            </c:numRef>
          </c:val>
          <c:smooth val="0"/>
          <c:extLst>
            <c:ext xmlns:c16="http://schemas.microsoft.com/office/drawing/2014/chart" uri="{C3380CC4-5D6E-409C-BE32-E72D297353CC}">
              <c16:uniqueId val="{00000004-7EEE-4084-BAC7-7AB7E8D0BC60}"/>
            </c:ext>
          </c:extLst>
        </c:ser>
        <c:dLbls>
          <c:showLegendKey val="0"/>
          <c:showVal val="0"/>
          <c:showCatName val="0"/>
          <c:showSerName val="0"/>
          <c:showPercent val="0"/>
          <c:showBubbleSize val="0"/>
        </c:dLbls>
        <c:marker val="1"/>
        <c:smooth val="0"/>
        <c:axId val="399216312"/>
        <c:axId val="399215920"/>
      </c:lineChart>
      <c:dateAx>
        <c:axId val="399215528"/>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GB" sz="1600">
                    <a:solidFill>
                      <a:schemeClr val="tx1"/>
                    </a:solidFill>
                  </a:rPr>
                  <a:t>Date</a:t>
                </a:r>
              </a:p>
            </c:rich>
          </c:tx>
          <c:layout>
            <c:manualLayout>
              <c:xMode val="edge"/>
              <c:yMode val="edge"/>
              <c:x val="0.46704739184981603"/>
              <c:y val="0.89997778490854785"/>
            </c:manualLayout>
          </c:layout>
          <c:overlay val="0"/>
          <c:spPr>
            <a:noFill/>
            <a:ln w="25400">
              <a:noFill/>
            </a:ln>
          </c:spPr>
        </c:title>
        <c:numFmt formatCode="[$-409]d\-mmm;@" sourceLinked="0"/>
        <c:majorTickMark val="out"/>
        <c:minorTickMark val="out"/>
        <c:tickLblPos val="nextTo"/>
        <c:spPr>
          <a:noFill/>
          <a:ln w="25400" cap="flat" cmpd="sng" algn="ctr">
            <a:solidFill>
              <a:schemeClr val="tx1"/>
            </a:solidFill>
            <a:round/>
          </a:ln>
          <a:effectLst/>
        </c:spPr>
        <c:txPr>
          <a:bodyPr rot="0" vert="horz"/>
          <a:lstStyle/>
          <a:p>
            <a:pPr>
              <a:defRPr sz="1400" b="0" i="0" u="none" strike="noStrike" baseline="0">
                <a:solidFill>
                  <a:schemeClr val="tx1"/>
                </a:solidFill>
                <a:latin typeface="Calibri"/>
                <a:ea typeface="Calibri"/>
                <a:cs typeface="Calibri"/>
              </a:defRPr>
            </a:pPr>
            <a:endParaRPr lang="en-US"/>
          </a:p>
        </c:txPr>
        <c:crossAx val="399221800"/>
        <c:crosses val="autoZero"/>
        <c:auto val="0"/>
        <c:lblOffset val="100"/>
        <c:baseTimeUnit val="days"/>
        <c:minorUnit val="30"/>
      </c:dateAx>
      <c:valAx>
        <c:axId val="399221800"/>
        <c:scaling>
          <c:orientation val="minMax"/>
        </c:scaling>
        <c:delete val="0"/>
        <c:axPos val="l"/>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0" i="0" u="none" strike="noStrike" kern="1200" baseline="0">
                    <a:solidFill>
                      <a:sysClr val="windowText" lastClr="000000"/>
                    </a:solidFill>
                    <a:latin typeface="+mn-lt"/>
                    <a:ea typeface="+mn-ea"/>
                    <a:cs typeface="+mn-cs"/>
                  </a:defRPr>
                </a:pPr>
                <a:r>
                  <a:rPr lang="en-GB" sz="1800" b="0" i="0" u="none" strike="noStrike" kern="1200" baseline="0">
                    <a:solidFill>
                      <a:sysClr val="windowText" lastClr="000000"/>
                    </a:solidFill>
                    <a:effectLst/>
                    <a:latin typeface="+mn-lt"/>
                    <a:ea typeface="+mn-ea"/>
                    <a:cs typeface="+mn-cs"/>
                  </a:rPr>
                  <a:t>Actual growth rate </a:t>
                </a:r>
                <a:r>
                  <a:rPr lang="en-GB" sz="1800" b="0" i="0" baseline="0">
                    <a:effectLst/>
                  </a:rPr>
                  <a:t>(kg ha</a:t>
                </a:r>
                <a:r>
                  <a:rPr lang="en-GB" sz="1800" b="0" i="0" baseline="30000">
                    <a:effectLst/>
                  </a:rPr>
                  <a:t>-1</a:t>
                </a:r>
                <a:r>
                  <a:rPr lang="en-GB" sz="1800" b="0" i="0" baseline="0">
                    <a:effectLst/>
                  </a:rPr>
                  <a:t> d</a:t>
                </a:r>
                <a:r>
                  <a:rPr lang="en-GB" sz="1800" b="0" i="0" baseline="30000">
                    <a:effectLst/>
                  </a:rPr>
                  <a:t>-1</a:t>
                </a:r>
                <a:r>
                  <a:rPr lang="en-GB" sz="1800" b="0" i="0" baseline="0">
                    <a:effectLst/>
                  </a:rPr>
                  <a:t>) </a:t>
                </a:r>
                <a:endParaRPr lang="en-GB" sz="16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600" b="0" i="0" u="none" strike="noStrike" kern="1200" baseline="0">
                    <a:solidFill>
                      <a:sysClr val="windowText" lastClr="000000"/>
                    </a:solidFill>
                    <a:latin typeface="+mn-lt"/>
                    <a:ea typeface="+mn-ea"/>
                    <a:cs typeface="+mn-cs"/>
                  </a:defRPr>
                </a:pPr>
                <a:endParaRPr lang="en-GB" sz="1600">
                  <a:solidFill>
                    <a:schemeClr val="tx1"/>
                  </a:solidFill>
                </a:endParaRPr>
              </a:p>
            </c:rich>
          </c:tx>
          <c:layout>
            <c:manualLayout>
              <c:xMode val="edge"/>
              <c:yMode val="edge"/>
              <c:x val="9.2696195217381299E-3"/>
              <c:y val="0.16807996634340031"/>
            </c:manualLayout>
          </c:layout>
          <c:overlay val="0"/>
          <c:spPr>
            <a:noFill/>
            <a:ln w="25400">
              <a:noFill/>
            </a:ln>
          </c:spPr>
        </c:title>
        <c:numFmt formatCode="0" sourceLinked="0"/>
        <c:majorTickMark val="out"/>
        <c:minorTickMark val="none"/>
        <c:tickLblPos val="nextTo"/>
        <c:spPr>
          <a:noFill/>
          <a:ln w="1587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99215528"/>
        <c:crosses val="autoZero"/>
        <c:crossBetween val="between"/>
      </c:valAx>
      <c:valAx>
        <c:axId val="399215920"/>
        <c:scaling>
          <c:orientation val="minMax"/>
        </c:scaling>
        <c:delete val="0"/>
        <c:axPos val="r"/>
        <c:title>
          <c:tx>
            <c:rich>
              <a:bodyPr/>
              <a:lstStyle/>
              <a:p>
                <a:pPr>
                  <a:defRPr b="0"/>
                </a:pPr>
                <a:r>
                  <a:rPr lang="en-GB" sz="1600" b="0"/>
                  <a:t>Irrigation</a:t>
                </a:r>
                <a:r>
                  <a:rPr lang="en-GB" sz="1600" b="0" baseline="0"/>
                  <a:t> water available from previous day (mm)</a:t>
                </a:r>
                <a:endParaRPr lang="en-GB" sz="1600" b="0"/>
              </a:p>
            </c:rich>
          </c:tx>
          <c:layout>
            <c:manualLayout>
              <c:xMode val="edge"/>
              <c:yMode val="edge"/>
              <c:x val="0.96167925273414523"/>
              <c:y val="9.262524786282593E-2"/>
            </c:manualLayout>
          </c:layout>
          <c:overlay val="0"/>
        </c:title>
        <c:numFmt formatCode="General" sourceLinked="1"/>
        <c:majorTickMark val="out"/>
        <c:minorTickMark val="none"/>
        <c:tickLblPos val="nextTo"/>
        <c:spPr>
          <a:ln w="15875">
            <a:solidFill>
              <a:schemeClr val="tx1"/>
            </a:solidFill>
          </a:ln>
        </c:spPr>
        <c:txPr>
          <a:bodyPr/>
          <a:lstStyle/>
          <a:p>
            <a:pPr>
              <a:defRPr sz="1400">
                <a:solidFill>
                  <a:sysClr val="windowText" lastClr="000000"/>
                </a:solidFill>
              </a:defRPr>
            </a:pPr>
            <a:endParaRPr lang="en-US"/>
          </a:p>
        </c:txPr>
        <c:crossAx val="399216312"/>
        <c:crosses val="max"/>
        <c:crossBetween val="between"/>
      </c:valAx>
      <c:dateAx>
        <c:axId val="399216312"/>
        <c:scaling>
          <c:orientation val="minMax"/>
        </c:scaling>
        <c:delete val="1"/>
        <c:axPos val="b"/>
        <c:majorTickMark val="out"/>
        <c:minorTickMark val="none"/>
        <c:tickLblPos val="nextTo"/>
        <c:crossAx val="399215920"/>
        <c:crosses val="autoZero"/>
        <c:auto val="0"/>
        <c:lblOffset val="100"/>
        <c:baseTimeUnit val="days"/>
      </c:dateAx>
      <c:spPr>
        <a:noFill/>
        <a:ln w="25400">
          <a:noFill/>
        </a:ln>
      </c:spPr>
    </c:plotArea>
    <c:legend>
      <c:legendPos val="r"/>
      <c:layout>
        <c:manualLayout>
          <c:xMode val="edge"/>
          <c:yMode val="edge"/>
          <c:x val="0.11523593839408763"/>
          <c:y val="2.2098421082944568E-2"/>
          <c:w val="0.33104908969285696"/>
          <c:h val="0.11443454364442689"/>
        </c:manualLayout>
      </c:layout>
      <c:overlay val="0"/>
      <c:spPr>
        <a:noFill/>
        <a:ln w="25400">
          <a:noFill/>
        </a:ln>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5785420153630178E-2"/>
          <c:y val="7.7385985609492072E-2"/>
          <c:w val="0.92468556354666653"/>
          <c:h val="0.89966319633430913"/>
        </c:manualLayout>
      </c:layout>
      <c:lineChart>
        <c:grouping val="standard"/>
        <c:varyColors val="0"/>
        <c:ser>
          <c:idx val="1"/>
          <c:order val="0"/>
          <c:tx>
            <c:v>Mean air temp (C)</c:v>
          </c:tx>
          <c:spPr>
            <a:ln w="19050" cap="rnd">
              <a:solidFill>
                <a:srgbClr val="00B050"/>
              </a:solidFill>
              <a:round/>
            </a:ln>
            <a:effectLst/>
          </c:spPr>
          <c:marker>
            <c:symbol val="none"/>
          </c:marker>
          <c:cat>
            <c:numRef>
              <c:f>Calculations!$AG$6:$AG$370</c:f>
              <c:numCache>
                <c:formatCode>m/d/yyyy</c:formatCode>
                <c:ptCount val="36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61</c:v>
                </c:pt>
                <c:pt idx="60">
                  <c:v>62</c:v>
                </c:pt>
                <c:pt idx="61">
                  <c:v>63</c:v>
                </c:pt>
                <c:pt idx="62">
                  <c:v>64</c:v>
                </c:pt>
                <c:pt idx="63">
                  <c:v>65</c:v>
                </c:pt>
                <c:pt idx="64">
                  <c:v>66</c:v>
                </c:pt>
                <c:pt idx="65">
                  <c:v>67</c:v>
                </c:pt>
                <c:pt idx="66">
                  <c:v>68</c:v>
                </c:pt>
                <c:pt idx="67">
                  <c:v>69</c:v>
                </c:pt>
                <c:pt idx="68">
                  <c:v>70</c:v>
                </c:pt>
                <c:pt idx="69">
                  <c:v>71</c:v>
                </c:pt>
                <c:pt idx="70">
                  <c:v>72</c:v>
                </c:pt>
                <c:pt idx="71">
                  <c:v>73</c:v>
                </c:pt>
                <c:pt idx="72">
                  <c:v>74</c:v>
                </c:pt>
                <c:pt idx="73">
                  <c:v>75</c:v>
                </c:pt>
                <c:pt idx="74">
                  <c:v>76</c:v>
                </c:pt>
                <c:pt idx="75">
                  <c:v>77</c:v>
                </c:pt>
                <c:pt idx="76">
                  <c:v>78</c:v>
                </c:pt>
                <c:pt idx="77">
                  <c:v>79</c:v>
                </c:pt>
                <c:pt idx="78">
                  <c:v>80</c:v>
                </c:pt>
                <c:pt idx="79">
                  <c:v>81</c:v>
                </c:pt>
                <c:pt idx="80">
                  <c:v>82</c:v>
                </c:pt>
                <c:pt idx="81">
                  <c:v>83</c:v>
                </c:pt>
                <c:pt idx="82">
                  <c:v>84</c:v>
                </c:pt>
                <c:pt idx="83">
                  <c:v>85</c:v>
                </c:pt>
                <c:pt idx="84">
                  <c:v>86</c:v>
                </c:pt>
                <c:pt idx="85">
                  <c:v>87</c:v>
                </c:pt>
                <c:pt idx="86">
                  <c:v>88</c:v>
                </c:pt>
                <c:pt idx="87">
                  <c:v>89</c:v>
                </c:pt>
                <c:pt idx="88">
                  <c:v>90</c:v>
                </c:pt>
                <c:pt idx="89">
                  <c:v>91</c:v>
                </c:pt>
                <c:pt idx="90">
                  <c:v>92</c:v>
                </c:pt>
                <c:pt idx="91">
                  <c:v>93</c:v>
                </c:pt>
                <c:pt idx="92">
                  <c:v>94</c:v>
                </c:pt>
                <c:pt idx="93">
                  <c:v>95</c:v>
                </c:pt>
                <c:pt idx="94">
                  <c:v>96</c:v>
                </c:pt>
                <c:pt idx="95">
                  <c:v>97</c:v>
                </c:pt>
                <c:pt idx="96">
                  <c:v>98</c:v>
                </c:pt>
                <c:pt idx="97">
                  <c:v>99</c:v>
                </c:pt>
                <c:pt idx="98">
                  <c:v>100</c:v>
                </c:pt>
                <c:pt idx="99">
                  <c:v>101</c:v>
                </c:pt>
                <c:pt idx="100">
                  <c:v>102</c:v>
                </c:pt>
                <c:pt idx="101">
                  <c:v>103</c:v>
                </c:pt>
                <c:pt idx="102">
                  <c:v>104</c:v>
                </c:pt>
                <c:pt idx="103">
                  <c:v>105</c:v>
                </c:pt>
                <c:pt idx="104">
                  <c:v>106</c:v>
                </c:pt>
                <c:pt idx="105">
                  <c:v>107</c:v>
                </c:pt>
                <c:pt idx="106">
                  <c:v>108</c:v>
                </c:pt>
                <c:pt idx="107">
                  <c:v>109</c:v>
                </c:pt>
                <c:pt idx="108">
                  <c:v>110</c:v>
                </c:pt>
                <c:pt idx="109">
                  <c:v>111</c:v>
                </c:pt>
                <c:pt idx="110">
                  <c:v>112</c:v>
                </c:pt>
                <c:pt idx="111">
                  <c:v>113</c:v>
                </c:pt>
                <c:pt idx="112">
                  <c:v>114</c:v>
                </c:pt>
                <c:pt idx="113">
                  <c:v>115</c:v>
                </c:pt>
                <c:pt idx="114">
                  <c:v>116</c:v>
                </c:pt>
                <c:pt idx="115">
                  <c:v>117</c:v>
                </c:pt>
                <c:pt idx="116">
                  <c:v>118</c:v>
                </c:pt>
                <c:pt idx="117">
                  <c:v>119</c:v>
                </c:pt>
                <c:pt idx="118">
                  <c:v>120</c:v>
                </c:pt>
                <c:pt idx="119">
                  <c:v>121</c:v>
                </c:pt>
                <c:pt idx="120">
                  <c:v>122</c:v>
                </c:pt>
                <c:pt idx="121">
                  <c:v>123</c:v>
                </c:pt>
                <c:pt idx="122">
                  <c:v>124</c:v>
                </c:pt>
                <c:pt idx="123">
                  <c:v>125</c:v>
                </c:pt>
                <c:pt idx="124">
                  <c:v>126</c:v>
                </c:pt>
                <c:pt idx="125">
                  <c:v>127</c:v>
                </c:pt>
                <c:pt idx="126">
                  <c:v>128</c:v>
                </c:pt>
                <c:pt idx="127">
                  <c:v>129</c:v>
                </c:pt>
                <c:pt idx="128">
                  <c:v>130</c:v>
                </c:pt>
                <c:pt idx="129">
                  <c:v>131</c:v>
                </c:pt>
                <c:pt idx="130">
                  <c:v>132</c:v>
                </c:pt>
                <c:pt idx="131">
                  <c:v>133</c:v>
                </c:pt>
                <c:pt idx="132">
                  <c:v>134</c:v>
                </c:pt>
                <c:pt idx="133">
                  <c:v>135</c:v>
                </c:pt>
                <c:pt idx="134">
                  <c:v>136</c:v>
                </c:pt>
                <c:pt idx="135">
                  <c:v>137</c:v>
                </c:pt>
                <c:pt idx="136">
                  <c:v>138</c:v>
                </c:pt>
                <c:pt idx="137">
                  <c:v>139</c:v>
                </c:pt>
                <c:pt idx="138">
                  <c:v>140</c:v>
                </c:pt>
                <c:pt idx="139">
                  <c:v>141</c:v>
                </c:pt>
                <c:pt idx="140">
                  <c:v>142</c:v>
                </c:pt>
                <c:pt idx="141">
                  <c:v>143</c:v>
                </c:pt>
                <c:pt idx="142">
                  <c:v>144</c:v>
                </c:pt>
                <c:pt idx="143">
                  <c:v>145</c:v>
                </c:pt>
                <c:pt idx="144">
                  <c:v>146</c:v>
                </c:pt>
                <c:pt idx="145">
                  <c:v>147</c:v>
                </c:pt>
                <c:pt idx="146">
                  <c:v>148</c:v>
                </c:pt>
                <c:pt idx="147">
                  <c:v>149</c:v>
                </c:pt>
                <c:pt idx="148">
                  <c:v>150</c:v>
                </c:pt>
                <c:pt idx="149">
                  <c:v>151</c:v>
                </c:pt>
                <c:pt idx="150">
                  <c:v>152</c:v>
                </c:pt>
                <c:pt idx="151">
                  <c:v>153</c:v>
                </c:pt>
                <c:pt idx="152">
                  <c:v>154</c:v>
                </c:pt>
                <c:pt idx="153">
                  <c:v>155</c:v>
                </c:pt>
                <c:pt idx="154">
                  <c:v>156</c:v>
                </c:pt>
                <c:pt idx="155">
                  <c:v>157</c:v>
                </c:pt>
                <c:pt idx="156">
                  <c:v>158</c:v>
                </c:pt>
                <c:pt idx="157">
                  <c:v>159</c:v>
                </c:pt>
                <c:pt idx="158">
                  <c:v>160</c:v>
                </c:pt>
                <c:pt idx="159">
                  <c:v>161</c:v>
                </c:pt>
                <c:pt idx="160">
                  <c:v>162</c:v>
                </c:pt>
                <c:pt idx="161">
                  <c:v>163</c:v>
                </c:pt>
                <c:pt idx="162">
                  <c:v>164</c:v>
                </c:pt>
                <c:pt idx="163">
                  <c:v>165</c:v>
                </c:pt>
                <c:pt idx="164">
                  <c:v>166</c:v>
                </c:pt>
                <c:pt idx="165">
                  <c:v>167</c:v>
                </c:pt>
                <c:pt idx="166">
                  <c:v>168</c:v>
                </c:pt>
                <c:pt idx="167">
                  <c:v>169</c:v>
                </c:pt>
                <c:pt idx="168">
                  <c:v>170</c:v>
                </c:pt>
                <c:pt idx="169">
                  <c:v>171</c:v>
                </c:pt>
                <c:pt idx="170">
                  <c:v>172</c:v>
                </c:pt>
                <c:pt idx="171">
                  <c:v>173</c:v>
                </c:pt>
                <c:pt idx="172">
                  <c:v>174</c:v>
                </c:pt>
                <c:pt idx="173">
                  <c:v>175</c:v>
                </c:pt>
                <c:pt idx="174">
                  <c:v>176</c:v>
                </c:pt>
                <c:pt idx="175">
                  <c:v>177</c:v>
                </c:pt>
                <c:pt idx="176">
                  <c:v>178</c:v>
                </c:pt>
                <c:pt idx="177">
                  <c:v>179</c:v>
                </c:pt>
                <c:pt idx="178">
                  <c:v>180</c:v>
                </c:pt>
                <c:pt idx="179">
                  <c:v>181</c:v>
                </c:pt>
                <c:pt idx="180">
                  <c:v>182</c:v>
                </c:pt>
                <c:pt idx="181">
                  <c:v>183</c:v>
                </c:pt>
                <c:pt idx="182">
                  <c:v>184</c:v>
                </c:pt>
                <c:pt idx="183">
                  <c:v>185</c:v>
                </c:pt>
                <c:pt idx="184">
                  <c:v>186</c:v>
                </c:pt>
                <c:pt idx="185">
                  <c:v>187</c:v>
                </c:pt>
                <c:pt idx="186">
                  <c:v>188</c:v>
                </c:pt>
                <c:pt idx="187">
                  <c:v>189</c:v>
                </c:pt>
                <c:pt idx="188">
                  <c:v>190</c:v>
                </c:pt>
                <c:pt idx="189">
                  <c:v>191</c:v>
                </c:pt>
                <c:pt idx="190">
                  <c:v>192</c:v>
                </c:pt>
                <c:pt idx="191">
                  <c:v>193</c:v>
                </c:pt>
                <c:pt idx="192">
                  <c:v>194</c:v>
                </c:pt>
                <c:pt idx="193">
                  <c:v>195</c:v>
                </c:pt>
                <c:pt idx="194">
                  <c:v>196</c:v>
                </c:pt>
                <c:pt idx="195">
                  <c:v>197</c:v>
                </c:pt>
                <c:pt idx="196">
                  <c:v>198</c:v>
                </c:pt>
                <c:pt idx="197">
                  <c:v>199</c:v>
                </c:pt>
                <c:pt idx="198">
                  <c:v>200</c:v>
                </c:pt>
                <c:pt idx="199">
                  <c:v>201</c:v>
                </c:pt>
                <c:pt idx="200">
                  <c:v>202</c:v>
                </c:pt>
                <c:pt idx="201">
                  <c:v>203</c:v>
                </c:pt>
                <c:pt idx="202">
                  <c:v>204</c:v>
                </c:pt>
                <c:pt idx="203">
                  <c:v>205</c:v>
                </c:pt>
                <c:pt idx="204">
                  <c:v>206</c:v>
                </c:pt>
                <c:pt idx="205">
                  <c:v>207</c:v>
                </c:pt>
                <c:pt idx="206">
                  <c:v>208</c:v>
                </c:pt>
                <c:pt idx="207">
                  <c:v>209</c:v>
                </c:pt>
                <c:pt idx="208">
                  <c:v>210</c:v>
                </c:pt>
                <c:pt idx="209">
                  <c:v>211</c:v>
                </c:pt>
                <c:pt idx="210">
                  <c:v>212</c:v>
                </c:pt>
                <c:pt idx="211">
                  <c:v>213</c:v>
                </c:pt>
                <c:pt idx="212">
                  <c:v>214</c:v>
                </c:pt>
                <c:pt idx="213">
                  <c:v>215</c:v>
                </c:pt>
                <c:pt idx="214">
                  <c:v>216</c:v>
                </c:pt>
                <c:pt idx="215">
                  <c:v>217</c:v>
                </c:pt>
                <c:pt idx="216">
                  <c:v>218</c:v>
                </c:pt>
                <c:pt idx="217">
                  <c:v>219</c:v>
                </c:pt>
                <c:pt idx="218">
                  <c:v>220</c:v>
                </c:pt>
                <c:pt idx="219">
                  <c:v>221</c:v>
                </c:pt>
                <c:pt idx="220">
                  <c:v>222</c:v>
                </c:pt>
                <c:pt idx="221">
                  <c:v>223</c:v>
                </c:pt>
                <c:pt idx="222">
                  <c:v>224</c:v>
                </c:pt>
                <c:pt idx="223">
                  <c:v>225</c:v>
                </c:pt>
                <c:pt idx="224">
                  <c:v>226</c:v>
                </c:pt>
                <c:pt idx="225">
                  <c:v>227</c:v>
                </c:pt>
                <c:pt idx="226">
                  <c:v>228</c:v>
                </c:pt>
                <c:pt idx="227">
                  <c:v>229</c:v>
                </c:pt>
                <c:pt idx="228">
                  <c:v>230</c:v>
                </c:pt>
                <c:pt idx="229">
                  <c:v>231</c:v>
                </c:pt>
                <c:pt idx="230">
                  <c:v>232</c:v>
                </c:pt>
                <c:pt idx="231">
                  <c:v>233</c:v>
                </c:pt>
                <c:pt idx="232">
                  <c:v>234</c:v>
                </c:pt>
                <c:pt idx="233">
                  <c:v>235</c:v>
                </c:pt>
                <c:pt idx="234">
                  <c:v>236</c:v>
                </c:pt>
                <c:pt idx="235">
                  <c:v>237</c:v>
                </c:pt>
                <c:pt idx="236">
                  <c:v>238</c:v>
                </c:pt>
                <c:pt idx="237">
                  <c:v>239</c:v>
                </c:pt>
                <c:pt idx="238">
                  <c:v>240</c:v>
                </c:pt>
                <c:pt idx="239">
                  <c:v>241</c:v>
                </c:pt>
                <c:pt idx="240">
                  <c:v>242</c:v>
                </c:pt>
                <c:pt idx="241">
                  <c:v>243</c:v>
                </c:pt>
                <c:pt idx="242">
                  <c:v>244</c:v>
                </c:pt>
                <c:pt idx="243">
                  <c:v>245</c:v>
                </c:pt>
                <c:pt idx="244">
                  <c:v>246</c:v>
                </c:pt>
                <c:pt idx="245">
                  <c:v>247</c:v>
                </c:pt>
                <c:pt idx="246">
                  <c:v>248</c:v>
                </c:pt>
                <c:pt idx="247">
                  <c:v>249</c:v>
                </c:pt>
                <c:pt idx="248">
                  <c:v>250</c:v>
                </c:pt>
                <c:pt idx="249">
                  <c:v>251</c:v>
                </c:pt>
                <c:pt idx="250">
                  <c:v>252</c:v>
                </c:pt>
                <c:pt idx="251">
                  <c:v>253</c:v>
                </c:pt>
                <c:pt idx="252">
                  <c:v>254</c:v>
                </c:pt>
                <c:pt idx="253">
                  <c:v>255</c:v>
                </c:pt>
                <c:pt idx="254">
                  <c:v>256</c:v>
                </c:pt>
                <c:pt idx="255">
                  <c:v>257</c:v>
                </c:pt>
                <c:pt idx="256">
                  <c:v>258</c:v>
                </c:pt>
                <c:pt idx="257">
                  <c:v>259</c:v>
                </c:pt>
                <c:pt idx="258">
                  <c:v>260</c:v>
                </c:pt>
                <c:pt idx="259">
                  <c:v>261</c:v>
                </c:pt>
                <c:pt idx="260">
                  <c:v>262</c:v>
                </c:pt>
                <c:pt idx="261">
                  <c:v>263</c:v>
                </c:pt>
                <c:pt idx="262">
                  <c:v>264</c:v>
                </c:pt>
                <c:pt idx="263">
                  <c:v>265</c:v>
                </c:pt>
                <c:pt idx="264">
                  <c:v>266</c:v>
                </c:pt>
                <c:pt idx="265">
                  <c:v>267</c:v>
                </c:pt>
                <c:pt idx="266">
                  <c:v>268</c:v>
                </c:pt>
                <c:pt idx="267">
                  <c:v>269</c:v>
                </c:pt>
                <c:pt idx="268">
                  <c:v>270</c:v>
                </c:pt>
                <c:pt idx="269">
                  <c:v>271</c:v>
                </c:pt>
                <c:pt idx="270">
                  <c:v>272</c:v>
                </c:pt>
                <c:pt idx="271">
                  <c:v>273</c:v>
                </c:pt>
                <c:pt idx="272">
                  <c:v>274</c:v>
                </c:pt>
                <c:pt idx="273">
                  <c:v>275</c:v>
                </c:pt>
                <c:pt idx="274">
                  <c:v>276</c:v>
                </c:pt>
                <c:pt idx="275">
                  <c:v>277</c:v>
                </c:pt>
                <c:pt idx="276">
                  <c:v>278</c:v>
                </c:pt>
                <c:pt idx="277">
                  <c:v>279</c:v>
                </c:pt>
                <c:pt idx="278">
                  <c:v>280</c:v>
                </c:pt>
                <c:pt idx="279">
                  <c:v>281</c:v>
                </c:pt>
                <c:pt idx="280">
                  <c:v>282</c:v>
                </c:pt>
                <c:pt idx="281">
                  <c:v>283</c:v>
                </c:pt>
                <c:pt idx="282">
                  <c:v>284</c:v>
                </c:pt>
                <c:pt idx="283">
                  <c:v>285</c:v>
                </c:pt>
                <c:pt idx="284">
                  <c:v>286</c:v>
                </c:pt>
                <c:pt idx="285">
                  <c:v>287</c:v>
                </c:pt>
                <c:pt idx="286">
                  <c:v>288</c:v>
                </c:pt>
                <c:pt idx="287">
                  <c:v>289</c:v>
                </c:pt>
                <c:pt idx="288">
                  <c:v>290</c:v>
                </c:pt>
                <c:pt idx="289">
                  <c:v>291</c:v>
                </c:pt>
                <c:pt idx="290">
                  <c:v>292</c:v>
                </c:pt>
                <c:pt idx="291">
                  <c:v>293</c:v>
                </c:pt>
                <c:pt idx="292">
                  <c:v>294</c:v>
                </c:pt>
                <c:pt idx="293">
                  <c:v>295</c:v>
                </c:pt>
                <c:pt idx="294">
                  <c:v>296</c:v>
                </c:pt>
                <c:pt idx="295">
                  <c:v>297</c:v>
                </c:pt>
                <c:pt idx="296">
                  <c:v>298</c:v>
                </c:pt>
                <c:pt idx="297">
                  <c:v>299</c:v>
                </c:pt>
                <c:pt idx="298">
                  <c:v>300</c:v>
                </c:pt>
                <c:pt idx="299">
                  <c:v>301</c:v>
                </c:pt>
                <c:pt idx="300">
                  <c:v>302</c:v>
                </c:pt>
                <c:pt idx="301">
                  <c:v>303</c:v>
                </c:pt>
                <c:pt idx="302">
                  <c:v>304</c:v>
                </c:pt>
                <c:pt idx="303">
                  <c:v>305</c:v>
                </c:pt>
                <c:pt idx="304">
                  <c:v>306</c:v>
                </c:pt>
                <c:pt idx="305">
                  <c:v>307</c:v>
                </c:pt>
                <c:pt idx="306">
                  <c:v>308</c:v>
                </c:pt>
                <c:pt idx="307">
                  <c:v>309</c:v>
                </c:pt>
                <c:pt idx="308">
                  <c:v>310</c:v>
                </c:pt>
                <c:pt idx="309">
                  <c:v>311</c:v>
                </c:pt>
                <c:pt idx="310">
                  <c:v>312</c:v>
                </c:pt>
                <c:pt idx="311">
                  <c:v>313</c:v>
                </c:pt>
                <c:pt idx="312">
                  <c:v>314</c:v>
                </c:pt>
                <c:pt idx="313">
                  <c:v>315</c:v>
                </c:pt>
                <c:pt idx="314">
                  <c:v>316</c:v>
                </c:pt>
                <c:pt idx="315">
                  <c:v>317</c:v>
                </c:pt>
                <c:pt idx="316">
                  <c:v>318</c:v>
                </c:pt>
                <c:pt idx="317">
                  <c:v>319</c:v>
                </c:pt>
                <c:pt idx="318">
                  <c:v>320</c:v>
                </c:pt>
                <c:pt idx="319">
                  <c:v>321</c:v>
                </c:pt>
                <c:pt idx="320">
                  <c:v>322</c:v>
                </c:pt>
                <c:pt idx="321">
                  <c:v>323</c:v>
                </c:pt>
                <c:pt idx="322">
                  <c:v>324</c:v>
                </c:pt>
                <c:pt idx="323">
                  <c:v>325</c:v>
                </c:pt>
                <c:pt idx="324">
                  <c:v>326</c:v>
                </c:pt>
                <c:pt idx="325">
                  <c:v>327</c:v>
                </c:pt>
                <c:pt idx="326">
                  <c:v>328</c:v>
                </c:pt>
                <c:pt idx="327">
                  <c:v>329</c:v>
                </c:pt>
                <c:pt idx="328">
                  <c:v>330</c:v>
                </c:pt>
                <c:pt idx="329">
                  <c:v>331</c:v>
                </c:pt>
                <c:pt idx="330">
                  <c:v>332</c:v>
                </c:pt>
                <c:pt idx="331">
                  <c:v>333</c:v>
                </c:pt>
                <c:pt idx="332">
                  <c:v>334</c:v>
                </c:pt>
                <c:pt idx="333">
                  <c:v>335</c:v>
                </c:pt>
                <c:pt idx="334">
                  <c:v>336</c:v>
                </c:pt>
                <c:pt idx="335">
                  <c:v>337</c:v>
                </c:pt>
                <c:pt idx="336">
                  <c:v>338</c:v>
                </c:pt>
                <c:pt idx="337">
                  <c:v>339</c:v>
                </c:pt>
                <c:pt idx="338">
                  <c:v>340</c:v>
                </c:pt>
                <c:pt idx="339">
                  <c:v>341</c:v>
                </c:pt>
                <c:pt idx="340">
                  <c:v>342</c:v>
                </c:pt>
                <c:pt idx="341">
                  <c:v>343</c:v>
                </c:pt>
                <c:pt idx="342">
                  <c:v>344</c:v>
                </c:pt>
                <c:pt idx="343">
                  <c:v>345</c:v>
                </c:pt>
                <c:pt idx="344">
                  <c:v>346</c:v>
                </c:pt>
                <c:pt idx="345">
                  <c:v>347</c:v>
                </c:pt>
                <c:pt idx="346">
                  <c:v>348</c:v>
                </c:pt>
                <c:pt idx="347">
                  <c:v>349</c:v>
                </c:pt>
                <c:pt idx="348">
                  <c:v>350</c:v>
                </c:pt>
                <c:pt idx="349">
                  <c:v>351</c:v>
                </c:pt>
                <c:pt idx="350">
                  <c:v>352</c:v>
                </c:pt>
                <c:pt idx="351">
                  <c:v>353</c:v>
                </c:pt>
                <c:pt idx="352">
                  <c:v>354</c:v>
                </c:pt>
                <c:pt idx="353">
                  <c:v>355</c:v>
                </c:pt>
                <c:pt idx="354">
                  <c:v>356</c:v>
                </c:pt>
                <c:pt idx="355">
                  <c:v>357</c:v>
                </c:pt>
                <c:pt idx="356">
                  <c:v>358</c:v>
                </c:pt>
                <c:pt idx="357">
                  <c:v>359</c:v>
                </c:pt>
                <c:pt idx="358">
                  <c:v>360</c:v>
                </c:pt>
                <c:pt idx="359">
                  <c:v>361</c:v>
                </c:pt>
                <c:pt idx="360">
                  <c:v>362</c:v>
                </c:pt>
                <c:pt idx="361">
                  <c:v>363</c:v>
                </c:pt>
                <c:pt idx="362">
                  <c:v>364</c:v>
                </c:pt>
                <c:pt idx="363">
                  <c:v>365</c:v>
                </c:pt>
                <c:pt idx="364">
                  <c:v>366</c:v>
                </c:pt>
              </c:numCache>
            </c:numRef>
          </c:cat>
          <c:val>
            <c:numRef>
              <c:f>Calculations!$G$6:$G$370</c:f>
              <c:numCache>
                <c:formatCode>0.0</c:formatCode>
                <c:ptCount val="36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numCache>
            </c:numRef>
          </c:val>
          <c:smooth val="1"/>
          <c:extLst>
            <c:ext xmlns:c16="http://schemas.microsoft.com/office/drawing/2014/chart" uri="{C3380CC4-5D6E-409C-BE32-E72D297353CC}">
              <c16:uniqueId val="{00000001-6A38-4FB8-919A-7EC7BA0A6774}"/>
            </c:ext>
          </c:extLst>
        </c:ser>
        <c:ser>
          <c:idx val="3"/>
          <c:order val="1"/>
          <c:tx>
            <c:v>Day length (h)</c:v>
          </c:tx>
          <c:spPr>
            <a:ln w="19050" cap="rnd">
              <a:solidFill>
                <a:schemeClr val="accent6">
                  <a:lumMod val="75000"/>
                </a:schemeClr>
              </a:solidFill>
              <a:round/>
            </a:ln>
            <a:effectLst/>
          </c:spPr>
          <c:marker>
            <c:symbol val="none"/>
          </c:marker>
          <c:cat>
            <c:numRef>
              <c:f>Calculations!$AG$6:$AG$370</c:f>
              <c:numCache>
                <c:formatCode>m/d/yyyy</c:formatCode>
                <c:ptCount val="36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61</c:v>
                </c:pt>
                <c:pt idx="60">
                  <c:v>62</c:v>
                </c:pt>
                <c:pt idx="61">
                  <c:v>63</c:v>
                </c:pt>
                <c:pt idx="62">
                  <c:v>64</c:v>
                </c:pt>
                <c:pt idx="63">
                  <c:v>65</c:v>
                </c:pt>
                <c:pt idx="64">
                  <c:v>66</c:v>
                </c:pt>
                <c:pt idx="65">
                  <c:v>67</c:v>
                </c:pt>
                <c:pt idx="66">
                  <c:v>68</c:v>
                </c:pt>
                <c:pt idx="67">
                  <c:v>69</c:v>
                </c:pt>
                <c:pt idx="68">
                  <c:v>70</c:v>
                </c:pt>
                <c:pt idx="69">
                  <c:v>71</c:v>
                </c:pt>
                <c:pt idx="70">
                  <c:v>72</c:v>
                </c:pt>
                <c:pt idx="71">
                  <c:v>73</c:v>
                </c:pt>
                <c:pt idx="72">
                  <c:v>74</c:v>
                </c:pt>
                <c:pt idx="73">
                  <c:v>75</c:v>
                </c:pt>
                <c:pt idx="74">
                  <c:v>76</c:v>
                </c:pt>
                <c:pt idx="75">
                  <c:v>77</c:v>
                </c:pt>
                <c:pt idx="76">
                  <c:v>78</c:v>
                </c:pt>
                <c:pt idx="77">
                  <c:v>79</c:v>
                </c:pt>
                <c:pt idx="78">
                  <c:v>80</c:v>
                </c:pt>
                <c:pt idx="79">
                  <c:v>81</c:v>
                </c:pt>
                <c:pt idx="80">
                  <c:v>82</c:v>
                </c:pt>
                <c:pt idx="81">
                  <c:v>83</c:v>
                </c:pt>
                <c:pt idx="82">
                  <c:v>84</c:v>
                </c:pt>
                <c:pt idx="83">
                  <c:v>85</c:v>
                </c:pt>
                <c:pt idx="84">
                  <c:v>86</c:v>
                </c:pt>
                <c:pt idx="85">
                  <c:v>87</c:v>
                </c:pt>
                <c:pt idx="86">
                  <c:v>88</c:v>
                </c:pt>
                <c:pt idx="87">
                  <c:v>89</c:v>
                </c:pt>
                <c:pt idx="88">
                  <c:v>90</c:v>
                </c:pt>
                <c:pt idx="89">
                  <c:v>91</c:v>
                </c:pt>
                <c:pt idx="90">
                  <c:v>92</c:v>
                </c:pt>
                <c:pt idx="91">
                  <c:v>93</c:v>
                </c:pt>
                <c:pt idx="92">
                  <c:v>94</c:v>
                </c:pt>
                <c:pt idx="93">
                  <c:v>95</c:v>
                </c:pt>
                <c:pt idx="94">
                  <c:v>96</c:v>
                </c:pt>
                <c:pt idx="95">
                  <c:v>97</c:v>
                </c:pt>
                <c:pt idx="96">
                  <c:v>98</c:v>
                </c:pt>
                <c:pt idx="97">
                  <c:v>99</c:v>
                </c:pt>
                <c:pt idx="98">
                  <c:v>100</c:v>
                </c:pt>
                <c:pt idx="99">
                  <c:v>101</c:v>
                </c:pt>
                <c:pt idx="100">
                  <c:v>102</c:v>
                </c:pt>
                <c:pt idx="101">
                  <c:v>103</c:v>
                </c:pt>
                <c:pt idx="102">
                  <c:v>104</c:v>
                </c:pt>
                <c:pt idx="103">
                  <c:v>105</c:v>
                </c:pt>
                <c:pt idx="104">
                  <c:v>106</c:v>
                </c:pt>
                <c:pt idx="105">
                  <c:v>107</c:v>
                </c:pt>
                <c:pt idx="106">
                  <c:v>108</c:v>
                </c:pt>
                <c:pt idx="107">
                  <c:v>109</c:v>
                </c:pt>
                <c:pt idx="108">
                  <c:v>110</c:v>
                </c:pt>
                <c:pt idx="109">
                  <c:v>111</c:v>
                </c:pt>
                <c:pt idx="110">
                  <c:v>112</c:v>
                </c:pt>
                <c:pt idx="111">
                  <c:v>113</c:v>
                </c:pt>
                <c:pt idx="112">
                  <c:v>114</c:v>
                </c:pt>
                <c:pt idx="113">
                  <c:v>115</c:v>
                </c:pt>
                <c:pt idx="114">
                  <c:v>116</c:v>
                </c:pt>
                <c:pt idx="115">
                  <c:v>117</c:v>
                </c:pt>
                <c:pt idx="116">
                  <c:v>118</c:v>
                </c:pt>
                <c:pt idx="117">
                  <c:v>119</c:v>
                </c:pt>
                <c:pt idx="118">
                  <c:v>120</c:v>
                </c:pt>
                <c:pt idx="119">
                  <c:v>121</c:v>
                </c:pt>
                <c:pt idx="120">
                  <c:v>122</c:v>
                </c:pt>
                <c:pt idx="121">
                  <c:v>123</c:v>
                </c:pt>
                <c:pt idx="122">
                  <c:v>124</c:v>
                </c:pt>
                <c:pt idx="123">
                  <c:v>125</c:v>
                </c:pt>
                <c:pt idx="124">
                  <c:v>126</c:v>
                </c:pt>
                <c:pt idx="125">
                  <c:v>127</c:v>
                </c:pt>
                <c:pt idx="126">
                  <c:v>128</c:v>
                </c:pt>
                <c:pt idx="127">
                  <c:v>129</c:v>
                </c:pt>
                <c:pt idx="128">
                  <c:v>130</c:v>
                </c:pt>
                <c:pt idx="129">
                  <c:v>131</c:v>
                </c:pt>
                <c:pt idx="130">
                  <c:v>132</c:v>
                </c:pt>
                <c:pt idx="131">
                  <c:v>133</c:v>
                </c:pt>
                <c:pt idx="132">
                  <c:v>134</c:v>
                </c:pt>
                <c:pt idx="133">
                  <c:v>135</c:v>
                </c:pt>
                <c:pt idx="134">
                  <c:v>136</c:v>
                </c:pt>
                <c:pt idx="135">
                  <c:v>137</c:v>
                </c:pt>
                <c:pt idx="136">
                  <c:v>138</c:v>
                </c:pt>
                <c:pt idx="137">
                  <c:v>139</c:v>
                </c:pt>
                <c:pt idx="138">
                  <c:v>140</c:v>
                </c:pt>
                <c:pt idx="139">
                  <c:v>141</c:v>
                </c:pt>
                <c:pt idx="140">
                  <c:v>142</c:v>
                </c:pt>
                <c:pt idx="141">
                  <c:v>143</c:v>
                </c:pt>
                <c:pt idx="142">
                  <c:v>144</c:v>
                </c:pt>
                <c:pt idx="143">
                  <c:v>145</c:v>
                </c:pt>
                <c:pt idx="144">
                  <c:v>146</c:v>
                </c:pt>
                <c:pt idx="145">
                  <c:v>147</c:v>
                </c:pt>
                <c:pt idx="146">
                  <c:v>148</c:v>
                </c:pt>
                <c:pt idx="147">
                  <c:v>149</c:v>
                </c:pt>
                <c:pt idx="148">
                  <c:v>150</c:v>
                </c:pt>
                <c:pt idx="149">
                  <c:v>151</c:v>
                </c:pt>
                <c:pt idx="150">
                  <c:v>152</c:v>
                </c:pt>
                <c:pt idx="151">
                  <c:v>153</c:v>
                </c:pt>
                <c:pt idx="152">
                  <c:v>154</c:v>
                </c:pt>
                <c:pt idx="153">
                  <c:v>155</c:v>
                </c:pt>
                <c:pt idx="154">
                  <c:v>156</c:v>
                </c:pt>
                <c:pt idx="155">
                  <c:v>157</c:v>
                </c:pt>
                <c:pt idx="156">
                  <c:v>158</c:v>
                </c:pt>
                <c:pt idx="157">
                  <c:v>159</c:v>
                </c:pt>
                <c:pt idx="158">
                  <c:v>160</c:v>
                </c:pt>
                <c:pt idx="159">
                  <c:v>161</c:v>
                </c:pt>
                <c:pt idx="160">
                  <c:v>162</c:v>
                </c:pt>
                <c:pt idx="161">
                  <c:v>163</c:v>
                </c:pt>
                <c:pt idx="162">
                  <c:v>164</c:v>
                </c:pt>
                <c:pt idx="163">
                  <c:v>165</c:v>
                </c:pt>
                <c:pt idx="164">
                  <c:v>166</c:v>
                </c:pt>
                <c:pt idx="165">
                  <c:v>167</c:v>
                </c:pt>
                <c:pt idx="166">
                  <c:v>168</c:v>
                </c:pt>
                <c:pt idx="167">
                  <c:v>169</c:v>
                </c:pt>
                <c:pt idx="168">
                  <c:v>170</c:v>
                </c:pt>
                <c:pt idx="169">
                  <c:v>171</c:v>
                </c:pt>
                <c:pt idx="170">
                  <c:v>172</c:v>
                </c:pt>
                <c:pt idx="171">
                  <c:v>173</c:v>
                </c:pt>
                <c:pt idx="172">
                  <c:v>174</c:v>
                </c:pt>
                <c:pt idx="173">
                  <c:v>175</c:v>
                </c:pt>
                <c:pt idx="174">
                  <c:v>176</c:v>
                </c:pt>
                <c:pt idx="175">
                  <c:v>177</c:v>
                </c:pt>
                <c:pt idx="176">
                  <c:v>178</c:v>
                </c:pt>
                <c:pt idx="177">
                  <c:v>179</c:v>
                </c:pt>
                <c:pt idx="178">
                  <c:v>180</c:v>
                </c:pt>
                <c:pt idx="179">
                  <c:v>181</c:v>
                </c:pt>
                <c:pt idx="180">
                  <c:v>182</c:v>
                </c:pt>
                <c:pt idx="181">
                  <c:v>183</c:v>
                </c:pt>
                <c:pt idx="182">
                  <c:v>184</c:v>
                </c:pt>
                <c:pt idx="183">
                  <c:v>185</c:v>
                </c:pt>
                <c:pt idx="184">
                  <c:v>186</c:v>
                </c:pt>
                <c:pt idx="185">
                  <c:v>187</c:v>
                </c:pt>
                <c:pt idx="186">
                  <c:v>188</c:v>
                </c:pt>
                <c:pt idx="187">
                  <c:v>189</c:v>
                </c:pt>
                <c:pt idx="188">
                  <c:v>190</c:v>
                </c:pt>
                <c:pt idx="189">
                  <c:v>191</c:v>
                </c:pt>
                <c:pt idx="190">
                  <c:v>192</c:v>
                </c:pt>
                <c:pt idx="191">
                  <c:v>193</c:v>
                </c:pt>
                <c:pt idx="192">
                  <c:v>194</c:v>
                </c:pt>
                <c:pt idx="193">
                  <c:v>195</c:v>
                </c:pt>
                <c:pt idx="194">
                  <c:v>196</c:v>
                </c:pt>
                <c:pt idx="195">
                  <c:v>197</c:v>
                </c:pt>
                <c:pt idx="196">
                  <c:v>198</c:v>
                </c:pt>
                <c:pt idx="197">
                  <c:v>199</c:v>
                </c:pt>
                <c:pt idx="198">
                  <c:v>200</c:v>
                </c:pt>
                <c:pt idx="199">
                  <c:v>201</c:v>
                </c:pt>
                <c:pt idx="200">
                  <c:v>202</c:v>
                </c:pt>
                <c:pt idx="201">
                  <c:v>203</c:v>
                </c:pt>
                <c:pt idx="202">
                  <c:v>204</c:v>
                </c:pt>
                <c:pt idx="203">
                  <c:v>205</c:v>
                </c:pt>
                <c:pt idx="204">
                  <c:v>206</c:v>
                </c:pt>
                <c:pt idx="205">
                  <c:v>207</c:v>
                </c:pt>
                <c:pt idx="206">
                  <c:v>208</c:v>
                </c:pt>
                <c:pt idx="207">
                  <c:v>209</c:v>
                </c:pt>
                <c:pt idx="208">
                  <c:v>210</c:v>
                </c:pt>
                <c:pt idx="209">
                  <c:v>211</c:v>
                </c:pt>
                <c:pt idx="210">
                  <c:v>212</c:v>
                </c:pt>
                <c:pt idx="211">
                  <c:v>213</c:v>
                </c:pt>
                <c:pt idx="212">
                  <c:v>214</c:v>
                </c:pt>
                <c:pt idx="213">
                  <c:v>215</c:v>
                </c:pt>
                <c:pt idx="214">
                  <c:v>216</c:v>
                </c:pt>
                <c:pt idx="215">
                  <c:v>217</c:v>
                </c:pt>
                <c:pt idx="216">
                  <c:v>218</c:v>
                </c:pt>
                <c:pt idx="217">
                  <c:v>219</c:v>
                </c:pt>
                <c:pt idx="218">
                  <c:v>220</c:v>
                </c:pt>
                <c:pt idx="219">
                  <c:v>221</c:v>
                </c:pt>
                <c:pt idx="220">
                  <c:v>222</c:v>
                </c:pt>
                <c:pt idx="221">
                  <c:v>223</c:v>
                </c:pt>
                <c:pt idx="222">
                  <c:v>224</c:v>
                </c:pt>
                <c:pt idx="223">
                  <c:v>225</c:v>
                </c:pt>
                <c:pt idx="224">
                  <c:v>226</c:v>
                </c:pt>
                <c:pt idx="225">
                  <c:v>227</c:v>
                </c:pt>
                <c:pt idx="226">
                  <c:v>228</c:v>
                </c:pt>
                <c:pt idx="227">
                  <c:v>229</c:v>
                </c:pt>
                <c:pt idx="228">
                  <c:v>230</c:v>
                </c:pt>
                <c:pt idx="229">
                  <c:v>231</c:v>
                </c:pt>
                <c:pt idx="230">
                  <c:v>232</c:v>
                </c:pt>
                <c:pt idx="231">
                  <c:v>233</c:v>
                </c:pt>
                <c:pt idx="232">
                  <c:v>234</c:v>
                </c:pt>
                <c:pt idx="233">
                  <c:v>235</c:v>
                </c:pt>
                <c:pt idx="234">
                  <c:v>236</c:v>
                </c:pt>
                <c:pt idx="235">
                  <c:v>237</c:v>
                </c:pt>
                <c:pt idx="236">
                  <c:v>238</c:v>
                </c:pt>
                <c:pt idx="237">
                  <c:v>239</c:v>
                </c:pt>
                <c:pt idx="238">
                  <c:v>240</c:v>
                </c:pt>
                <c:pt idx="239">
                  <c:v>241</c:v>
                </c:pt>
                <c:pt idx="240">
                  <c:v>242</c:v>
                </c:pt>
                <c:pt idx="241">
                  <c:v>243</c:v>
                </c:pt>
                <c:pt idx="242">
                  <c:v>244</c:v>
                </c:pt>
                <c:pt idx="243">
                  <c:v>245</c:v>
                </c:pt>
                <c:pt idx="244">
                  <c:v>246</c:v>
                </c:pt>
                <c:pt idx="245">
                  <c:v>247</c:v>
                </c:pt>
                <c:pt idx="246">
                  <c:v>248</c:v>
                </c:pt>
                <c:pt idx="247">
                  <c:v>249</c:v>
                </c:pt>
                <c:pt idx="248">
                  <c:v>250</c:v>
                </c:pt>
                <c:pt idx="249">
                  <c:v>251</c:v>
                </c:pt>
                <c:pt idx="250">
                  <c:v>252</c:v>
                </c:pt>
                <c:pt idx="251">
                  <c:v>253</c:v>
                </c:pt>
                <c:pt idx="252">
                  <c:v>254</c:v>
                </c:pt>
                <c:pt idx="253">
                  <c:v>255</c:v>
                </c:pt>
                <c:pt idx="254">
                  <c:v>256</c:v>
                </c:pt>
                <c:pt idx="255">
                  <c:v>257</c:v>
                </c:pt>
                <c:pt idx="256">
                  <c:v>258</c:v>
                </c:pt>
                <c:pt idx="257">
                  <c:v>259</c:v>
                </c:pt>
                <c:pt idx="258">
                  <c:v>260</c:v>
                </c:pt>
                <c:pt idx="259">
                  <c:v>261</c:v>
                </c:pt>
                <c:pt idx="260">
                  <c:v>262</c:v>
                </c:pt>
                <c:pt idx="261">
                  <c:v>263</c:v>
                </c:pt>
                <c:pt idx="262">
                  <c:v>264</c:v>
                </c:pt>
                <c:pt idx="263">
                  <c:v>265</c:v>
                </c:pt>
                <c:pt idx="264">
                  <c:v>266</c:v>
                </c:pt>
                <c:pt idx="265">
                  <c:v>267</c:v>
                </c:pt>
                <c:pt idx="266">
                  <c:v>268</c:v>
                </c:pt>
                <c:pt idx="267">
                  <c:v>269</c:v>
                </c:pt>
                <c:pt idx="268">
                  <c:v>270</c:v>
                </c:pt>
                <c:pt idx="269">
                  <c:v>271</c:v>
                </c:pt>
                <c:pt idx="270">
                  <c:v>272</c:v>
                </c:pt>
                <c:pt idx="271">
                  <c:v>273</c:v>
                </c:pt>
                <c:pt idx="272">
                  <c:v>274</c:v>
                </c:pt>
                <c:pt idx="273">
                  <c:v>275</c:v>
                </c:pt>
                <c:pt idx="274">
                  <c:v>276</c:v>
                </c:pt>
                <c:pt idx="275">
                  <c:v>277</c:v>
                </c:pt>
                <c:pt idx="276">
                  <c:v>278</c:v>
                </c:pt>
                <c:pt idx="277">
                  <c:v>279</c:v>
                </c:pt>
                <c:pt idx="278">
                  <c:v>280</c:v>
                </c:pt>
                <c:pt idx="279">
                  <c:v>281</c:v>
                </c:pt>
                <c:pt idx="280">
                  <c:v>282</c:v>
                </c:pt>
                <c:pt idx="281">
                  <c:v>283</c:v>
                </c:pt>
                <c:pt idx="282">
                  <c:v>284</c:v>
                </c:pt>
                <c:pt idx="283">
                  <c:v>285</c:v>
                </c:pt>
                <c:pt idx="284">
                  <c:v>286</c:v>
                </c:pt>
                <c:pt idx="285">
                  <c:v>287</c:v>
                </c:pt>
                <c:pt idx="286">
                  <c:v>288</c:v>
                </c:pt>
                <c:pt idx="287">
                  <c:v>289</c:v>
                </c:pt>
                <c:pt idx="288">
                  <c:v>290</c:v>
                </c:pt>
                <c:pt idx="289">
                  <c:v>291</c:v>
                </c:pt>
                <c:pt idx="290">
                  <c:v>292</c:v>
                </c:pt>
                <c:pt idx="291">
                  <c:v>293</c:v>
                </c:pt>
                <c:pt idx="292">
                  <c:v>294</c:v>
                </c:pt>
                <c:pt idx="293">
                  <c:v>295</c:v>
                </c:pt>
                <c:pt idx="294">
                  <c:v>296</c:v>
                </c:pt>
                <c:pt idx="295">
                  <c:v>297</c:v>
                </c:pt>
                <c:pt idx="296">
                  <c:v>298</c:v>
                </c:pt>
                <c:pt idx="297">
                  <c:v>299</c:v>
                </c:pt>
                <c:pt idx="298">
                  <c:v>300</c:v>
                </c:pt>
                <c:pt idx="299">
                  <c:v>301</c:v>
                </c:pt>
                <c:pt idx="300">
                  <c:v>302</c:v>
                </c:pt>
                <c:pt idx="301">
                  <c:v>303</c:v>
                </c:pt>
                <c:pt idx="302">
                  <c:v>304</c:v>
                </c:pt>
                <c:pt idx="303">
                  <c:v>305</c:v>
                </c:pt>
                <c:pt idx="304">
                  <c:v>306</c:v>
                </c:pt>
                <c:pt idx="305">
                  <c:v>307</c:v>
                </c:pt>
                <c:pt idx="306">
                  <c:v>308</c:v>
                </c:pt>
                <c:pt idx="307">
                  <c:v>309</c:v>
                </c:pt>
                <c:pt idx="308">
                  <c:v>310</c:v>
                </c:pt>
                <c:pt idx="309">
                  <c:v>311</c:v>
                </c:pt>
                <c:pt idx="310">
                  <c:v>312</c:v>
                </c:pt>
                <c:pt idx="311">
                  <c:v>313</c:v>
                </c:pt>
                <c:pt idx="312">
                  <c:v>314</c:v>
                </c:pt>
                <c:pt idx="313">
                  <c:v>315</c:v>
                </c:pt>
                <c:pt idx="314">
                  <c:v>316</c:v>
                </c:pt>
                <c:pt idx="315">
                  <c:v>317</c:v>
                </c:pt>
                <c:pt idx="316">
                  <c:v>318</c:v>
                </c:pt>
                <c:pt idx="317">
                  <c:v>319</c:v>
                </c:pt>
                <c:pt idx="318">
                  <c:v>320</c:v>
                </c:pt>
                <c:pt idx="319">
                  <c:v>321</c:v>
                </c:pt>
                <c:pt idx="320">
                  <c:v>322</c:v>
                </c:pt>
                <c:pt idx="321">
                  <c:v>323</c:v>
                </c:pt>
                <c:pt idx="322">
                  <c:v>324</c:v>
                </c:pt>
                <c:pt idx="323">
                  <c:v>325</c:v>
                </c:pt>
                <c:pt idx="324">
                  <c:v>326</c:v>
                </c:pt>
                <c:pt idx="325">
                  <c:v>327</c:v>
                </c:pt>
                <c:pt idx="326">
                  <c:v>328</c:v>
                </c:pt>
                <c:pt idx="327">
                  <c:v>329</c:v>
                </c:pt>
                <c:pt idx="328">
                  <c:v>330</c:v>
                </c:pt>
                <c:pt idx="329">
                  <c:v>331</c:v>
                </c:pt>
                <c:pt idx="330">
                  <c:v>332</c:v>
                </c:pt>
                <c:pt idx="331">
                  <c:v>333</c:v>
                </c:pt>
                <c:pt idx="332">
                  <c:v>334</c:v>
                </c:pt>
                <c:pt idx="333">
                  <c:v>335</c:v>
                </c:pt>
                <c:pt idx="334">
                  <c:v>336</c:v>
                </c:pt>
                <c:pt idx="335">
                  <c:v>337</c:v>
                </c:pt>
                <c:pt idx="336">
                  <c:v>338</c:v>
                </c:pt>
                <c:pt idx="337">
                  <c:v>339</c:v>
                </c:pt>
                <c:pt idx="338">
                  <c:v>340</c:v>
                </c:pt>
                <c:pt idx="339">
                  <c:v>341</c:v>
                </c:pt>
                <c:pt idx="340">
                  <c:v>342</c:v>
                </c:pt>
                <c:pt idx="341">
                  <c:v>343</c:v>
                </c:pt>
                <c:pt idx="342">
                  <c:v>344</c:v>
                </c:pt>
                <c:pt idx="343">
                  <c:v>345</c:v>
                </c:pt>
                <c:pt idx="344">
                  <c:v>346</c:v>
                </c:pt>
                <c:pt idx="345">
                  <c:v>347</c:v>
                </c:pt>
                <c:pt idx="346">
                  <c:v>348</c:v>
                </c:pt>
                <c:pt idx="347">
                  <c:v>349</c:v>
                </c:pt>
                <c:pt idx="348">
                  <c:v>350</c:v>
                </c:pt>
                <c:pt idx="349">
                  <c:v>351</c:v>
                </c:pt>
                <c:pt idx="350">
                  <c:v>352</c:v>
                </c:pt>
                <c:pt idx="351">
                  <c:v>353</c:v>
                </c:pt>
                <c:pt idx="352">
                  <c:v>354</c:v>
                </c:pt>
                <c:pt idx="353">
                  <c:v>355</c:v>
                </c:pt>
                <c:pt idx="354">
                  <c:v>356</c:v>
                </c:pt>
                <c:pt idx="355">
                  <c:v>357</c:v>
                </c:pt>
                <c:pt idx="356">
                  <c:v>358</c:v>
                </c:pt>
                <c:pt idx="357">
                  <c:v>359</c:v>
                </c:pt>
                <c:pt idx="358">
                  <c:v>360</c:v>
                </c:pt>
                <c:pt idx="359">
                  <c:v>361</c:v>
                </c:pt>
                <c:pt idx="360">
                  <c:v>362</c:v>
                </c:pt>
                <c:pt idx="361">
                  <c:v>363</c:v>
                </c:pt>
                <c:pt idx="362">
                  <c:v>364</c:v>
                </c:pt>
                <c:pt idx="363">
                  <c:v>365</c:v>
                </c:pt>
                <c:pt idx="364">
                  <c:v>366</c:v>
                </c:pt>
              </c:numCache>
            </c:numRef>
          </c:cat>
          <c:val>
            <c:numRef>
              <c:f>Calculations!$LH$6:$LH$370</c:f>
              <c:numCache>
                <c:formatCode>0.0</c:formatCode>
                <c:ptCount val="365"/>
                <c:pt idx="0">
                  <c:v>7.8271503124576887</c:v>
                </c:pt>
                <c:pt idx="1">
                  <c:v>7.8442843594609508</c:v>
                </c:pt>
                <c:pt idx="2">
                  <c:v>7.8628478243168853</c:v>
                </c:pt>
                <c:pt idx="3">
                  <c:v>7.8828260958772205</c:v>
                </c:pt>
                <c:pt idx="4">
                  <c:v>7.9042035925587957</c:v>
                </c:pt>
                <c:pt idx="5">
                  <c:v>7.926963804500657</c:v>
                </c:pt>
                <c:pt idx="6">
                  <c:v>7.9510893375819052</c:v>
                </c:pt>
                <c:pt idx="7">
                  <c:v>7.9765619590703878</c:v>
                </c:pt>
                <c:pt idx="8">
                  <c:v>8.003362644669016</c:v>
                </c:pt>
                <c:pt idx="9">
                  <c:v>8.0314716267249153</c:v>
                </c:pt>
                <c:pt idx="10">
                  <c:v>8.0608684433668607</c:v>
                </c:pt>
                <c:pt idx="11">
                  <c:v>8.0915319883384598</c:v>
                </c:pt>
                <c:pt idx="12">
                  <c:v>8.123440561298132</c:v>
                </c:pt>
                <c:pt idx="13">
                  <c:v>8.156571918362129</c:v>
                </c:pt>
                <c:pt idx="14">
                  <c:v>8.1909033226733214</c:v>
                </c:pt>
                <c:pt idx="15">
                  <c:v>8.2264115947864376</c:v>
                </c:pt>
                <c:pt idx="16">
                  <c:v>8.2630731626693521</c:v>
                </c:pt>
                <c:pt idx="17">
                  <c:v>8.3008641111301298</c:v>
                </c:pt>
                <c:pt idx="18">
                  <c:v>8.3397602304903433</c:v>
                </c:pt>
                <c:pt idx="19">
                  <c:v>8.3797370643368794</c:v>
                </c:pt>
                <c:pt idx="20">
                  <c:v>8.4207699561966116</c:v>
                </c:pt>
                <c:pt idx="21">
                  <c:v>8.4628340949909209</c:v>
                </c:pt>
                <c:pt idx="22">
                  <c:v>8.5059045591401059</c:v>
                </c:pt>
                <c:pt idx="23">
                  <c:v>8.5499563592006709</c:v>
                </c:pt>
                <c:pt idx="24">
                  <c:v>8.5949644789317752</c:v>
                </c:pt>
                <c:pt idx="25">
                  <c:v>8.6409039147001643</c:v>
                </c:pt>
                <c:pt idx="26">
                  <c:v>8.6877497131457471</c:v>
                </c:pt>
                <c:pt idx="27">
                  <c:v>8.7354770070427037</c:v>
                </c:pt>
                <c:pt idx="28">
                  <c:v>8.7840610493032187</c:v>
                </c:pt>
                <c:pt idx="29">
                  <c:v>8.8334772450827401</c:v>
                </c:pt>
                <c:pt idx="30">
                  <c:v>8.8837011819570044</c:v>
                </c:pt>
                <c:pt idx="31">
                  <c:v>8.9347086581517807</c:v>
                </c:pt>
                <c:pt idx="32">
                  <c:v>8.9864757088164353</c:v>
                </c:pt>
                <c:pt idx="33">
                  <c:v>9.0389786303418997</c:v>
                </c:pt>
                <c:pt idx="34">
                  <c:v>9.0921940027323647</c:v>
                </c:pt>
                <c:pt idx="35">
                  <c:v>9.1460987100482782</c:v>
                </c:pt>
                <c:pt idx="36">
                  <c:v>9.2006699589454684</c:v>
                </c:pt>
                <c:pt idx="37">
                  <c:v>9.2558852953419972</c:v>
                </c:pt>
                <c:pt idx="38">
                  <c:v>9.3117226192504035</c:v>
                </c:pt>
                <c:pt idx="39">
                  <c:v>9.3681601978181774</c:v>
                </c:pt>
                <c:pt idx="40">
                  <c:v>9.425176676624087</c:v>
                </c:pt>
                <c:pt idx="41">
                  <c:v>9.4827510892818463</c:v>
                </c:pt>
                <c:pt idx="42">
                  <c:v>9.5408628654061172</c:v>
                </c:pt>
                <c:pt idx="43">
                  <c:v>9.5994918369984443</c:v>
                </c:pt>
                <c:pt idx="44">
                  <c:v>9.6586182433130876</c:v>
                </c:pt>
                <c:pt idx="45">
                  <c:v>9.7182227342642715</c:v>
                </c:pt>
                <c:pt idx="46">
                  <c:v>9.7782863724376075</c:v>
                </c:pt>
                <c:pt idx="47">
                  <c:v>9.8387906337691433</c:v>
                </c:pt>
                <c:pt idx="48">
                  <c:v>9.8997174069558049</c:v>
                </c:pt>
                <c:pt idx="49">
                  <c:v>9.9610489916608476</c:v>
                </c:pt>
                <c:pt idx="50">
                  <c:v>10.022768095577588</c:v>
                </c:pt>
                <c:pt idx="51">
                  <c:v>10.084857830413835</c:v>
                </c:pt>
                <c:pt idx="52">
                  <c:v>10.147301706858443</c:v>
                </c:pt>
                <c:pt idx="53">
                  <c:v>10.210083628590159</c:v>
                </c:pt>
                <c:pt idx="54">
                  <c:v>10.273187885387369</c:v>
                </c:pt>
                <c:pt idx="55">
                  <c:v>10.336599145395738</c:v>
                </c:pt>
                <c:pt idx="56">
                  <c:v>10.400302446608906</c:v>
                </c:pt>
                <c:pt idx="57">
                  <c:v>10.464283187615393</c:v>
                </c:pt>
                <c:pt idx="58">
                  <c:v>10.528527117662907</c:v>
                </c:pt>
                <c:pt idx="59">
                  <c:v>10.657749231165344</c:v>
                </c:pt>
                <c:pt idx="60">
                  <c:v>10.722700568399073</c:v>
                </c:pt>
                <c:pt idx="61">
                  <c:v>10.787861378335684</c:v>
                </c:pt>
                <c:pt idx="62">
                  <c:v>10.853218993901699</c:v>
                </c:pt>
                <c:pt idx="63">
                  <c:v>10.918761027326397</c:v>
                </c:pt>
                <c:pt idx="64">
                  <c:v>10.984475356678153</c:v>
                </c:pt>
                <c:pt idx="65">
                  <c:v>11.050350112049307</c:v>
                </c:pt>
                <c:pt idx="66">
                  <c:v>11.116373661421349</c:v>
                </c:pt>
                <c:pt idx="67">
                  <c:v>11.182534596240394</c:v>
                </c:pt>
                <c:pt idx="68">
                  <c:v>11.248821716730895</c:v>
                </c:pt>
                <c:pt idx="69">
                  <c:v>11.315224016973884</c:v>
                </c:pt>
                <c:pt idx="70">
                  <c:v>11.381730669774345</c:v>
                </c:pt>
                <c:pt idx="71">
                  <c:v>11.448331011340684</c:v>
                </c:pt>
                <c:pt idx="72">
                  <c:v>11.515014525797927</c:v>
                </c:pt>
                <c:pt idx="73">
                  <c:v>11.581770829554822</c:v>
                </c:pt>
                <c:pt idx="74">
                  <c:v>11.648589655543883</c:v>
                </c:pt>
                <c:pt idx="75">
                  <c:v>11.715460837352294</c:v>
                </c:pt>
                <c:pt idx="76">
                  <c:v>11.782374293260595</c:v>
                </c:pt>
                <c:pt idx="77">
                  <c:v>11.849320010205304</c:v>
                </c:pt>
                <c:pt idx="78">
                  <c:v>11.916288027680839</c:v>
                </c:pt>
                <c:pt idx="79">
                  <c:v>11.983268421595591</c:v>
                </c:pt>
                <c:pt idx="80">
                  <c:v>12.050251288096542</c:v>
                </c:pt>
                <c:pt idx="81">
                  <c:v>12.117226727376487</c:v>
                </c:pt>
                <c:pt idx="82">
                  <c:v>12.184184827477814</c:v>
                </c:pt>
                <c:pt idx="83">
                  <c:v>12.251115648106676</c:v>
                </c:pt>
                <c:pt idx="84">
                  <c:v>12.318009204471572</c:v>
                </c:pt>
                <c:pt idx="85">
                  <c:v>12.384855451160551</c:v>
                </c:pt>
                <c:pt idx="86">
                  <c:v>12.451644266071614</c:v>
                </c:pt>
                <c:pt idx="87">
                  <c:v>12.518365434411439</c:v>
                </c:pt>
                <c:pt idx="88">
                  <c:v>12.585008632778152</c:v>
                </c:pt>
                <c:pt idx="89">
                  <c:v>12.651563413344665</c:v>
                </c:pt>
                <c:pt idx="90">
                  <c:v>12.718019188160007</c:v>
                </c:pt>
                <c:pt idx="91">
                  <c:v>12.784365213587076</c:v>
                </c:pt>
                <c:pt idx="92">
                  <c:v>12.850590574896453</c:v>
                </c:pt>
                <c:pt idx="93">
                  <c:v>12.916684171037097</c:v>
                </c:pt>
                <c:pt idx="94">
                  <c:v>12.982634699606287</c:v>
                </c:pt>
                <c:pt idx="95">
                  <c:v>13.048430642042515</c:v>
                </c:pt>
                <c:pt idx="96">
                  <c:v>13.114060249066807</c:v>
                </c:pt>
                <c:pt idx="97">
                  <c:v>13.179511526399548</c:v>
                </c:pt>
                <c:pt idx="98">
                  <c:v>13.244772220781801</c:v>
                </c:pt>
                <c:pt idx="99">
                  <c:v>13.309829806331962</c:v>
                </c:pt>
                <c:pt idx="100">
                  <c:v>13.374671471270542</c:v>
                </c:pt>
                <c:pt idx="101">
                  <c:v>13.43928410504807</c:v>
                </c:pt>
                <c:pt idx="102">
                  <c:v>13.503654285913015</c:v>
                </c:pt>
                <c:pt idx="103">
                  <c:v>13.567768268958938</c:v>
                </c:pt>
                <c:pt idx="104">
                  <c:v>13.63161197469225</c:v>
                </c:pt>
                <c:pt idx="105">
                  <c:v>13.695170978164095</c:v>
                </c:pt>
                <c:pt idx="106">
                  <c:v>13.758430498712119</c:v>
                </c:pt>
                <c:pt idx="107">
                  <c:v>13.821375390360128</c:v>
                </c:pt>
                <c:pt idx="108">
                  <c:v>13.883990132925653</c:v>
                </c:pt>
                <c:pt idx="109">
                  <c:v>13.946258823887703</c:v>
                </c:pt>
                <c:pt idx="110">
                  <c:v>14.008165171068788</c:v>
                </c:pt>
                <c:pt idx="111">
                  <c:v>14.069692486187387</c:v>
                </c:pt>
                <c:pt idx="112">
                  <c:v>14.130823679338611</c:v>
                </c:pt>
                <c:pt idx="113">
                  <c:v>14.191541254462543</c:v>
                </c:pt>
                <c:pt idx="114">
                  <c:v>14.25182730586101</c:v>
                </c:pt>
                <c:pt idx="115">
                  <c:v>14.311663515824828</c:v>
                </c:pt>
                <c:pt idx="116">
                  <c:v>14.371031153434298</c:v>
                </c:pt>
                <c:pt idx="117">
                  <c:v>14.429911074596539</c:v>
                </c:pt>
                <c:pt idx="118">
                  <c:v>14.488283723383333</c:v>
                </c:pt>
                <c:pt idx="119">
                  <c:v>14.546129134733143</c:v>
                </c:pt>
                <c:pt idx="120">
                  <c:v>14.603426938580515</c:v>
                </c:pt>
                <c:pt idx="121">
                  <c:v>14.660156365474995</c:v>
                </c:pt>
                <c:pt idx="122">
                  <c:v>14.716296253750414</c:v>
                </c:pt>
                <c:pt idx="123">
                  <c:v>14.771825058303371</c:v>
                </c:pt>
                <c:pt idx="124">
                  <c:v>14.826720861037284</c:v>
                </c:pt>
                <c:pt idx="125">
                  <c:v>14.880961383025333</c:v>
                </c:pt>
                <c:pt idx="126">
                  <c:v>14.934523998441897</c:v>
                </c:pt>
                <c:pt idx="127">
                  <c:v>14.987385750307848</c:v>
                </c:pt>
                <c:pt idx="128">
                  <c:v>15.039523368090006</c:v>
                </c:pt>
                <c:pt idx="129">
                  <c:v>15.090913287189435</c:v>
                </c:pt>
                <c:pt idx="130">
                  <c:v>15.141531670346977</c:v>
                </c:pt>
                <c:pt idx="131">
                  <c:v>15.191354430987218</c:v>
                </c:pt>
                <c:pt idx="132">
                  <c:v>15.240357258514415</c:v>
                </c:pt>
                <c:pt idx="133">
                  <c:v>15.288515645565546</c:v>
                </c:pt>
                <c:pt idx="134">
                  <c:v>15.335804917216196</c:v>
                </c:pt>
                <c:pt idx="135">
                  <c:v>15.382200262125618</c:v>
                </c:pt>
                <c:pt idx="136">
                  <c:v>15.427676765596413</c:v>
                </c:pt>
                <c:pt idx="137">
                  <c:v>15.472209444513622</c:v>
                </c:pt>
                <c:pt idx="138">
                  <c:v>15.515773284116213</c:v>
                </c:pt>
                <c:pt idx="139">
                  <c:v>15.558343276541992</c:v>
                </c:pt>
                <c:pt idx="140">
                  <c:v>15.599894461074538</c:v>
                </c:pt>
                <c:pt idx="141">
                  <c:v>15.640401966007881</c:v>
                </c:pt>
                <c:pt idx="142">
                  <c:v>15.679841052031783</c:v>
                </c:pt>
                <c:pt idx="143">
                  <c:v>15.718187157027208</c:v>
                </c:pt>
                <c:pt idx="144">
                  <c:v>15.755415942148513</c:v>
                </c:pt>
                <c:pt idx="145">
                  <c:v>15.791503339055822</c:v>
                </c:pt>
                <c:pt idx="146">
                  <c:v>15.826425598148191</c:v>
                </c:pt>
                <c:pt idx="147">
                  <c:v>15.860159337635855</c:v>
                </c:pt>
                <c:pt idx="148">
                  <c:v>15.892681593277747</c:v>
                </c:pt>
                <c:pt idx="149">
                  <c:v>15.923969868599382</c:v>
                </c:pt>
                <c:pt idx="150">
                  <c:v>15.95400218539557</c:v>
                </c:pt>
                <c:pt idx="151">
                  <c:v>15.982757134313006</c:v>
                </c:pt>
                <c:pt idx="152">
                  <c:v>16.010213925299261</c:v>
                </c:pt>
                <c:pt idx="153">
                  <c:v>16.036352437697481</c:v>
                </c:pt>
                <c:pt idx="154">
                  <c:v>16.061153269760311</c:v>
                </c:pt>
                <c:pt idx="155">
                  <c:v>16.084597787351981</c:v>
                </c:pt>
                <c:pt idx="156">
                  <c:v>16.106668171604955</c:v>
                </c:pt>
                <c:pt idx="157">
                  <c:v>16.127347465296111</c:v>
                </c:pt>
                <c:pt idx="158">
                  <c:v>16.146619617708325</c:v>
                </c:pt>
                <c:pt idx="159">
                  <c:v>16.164469527745563</c:v>
                </c:pt>
                <c:pt idx="160">
                  <c:v>16.180883085074129</c:v>
                </c:pt>
                <c:pt idx="161">
                  <c:v>16.195847209068727</c:v>
                </c:pt>
                <c:pt idx="162">
                  <c:v>16.209349885350271</c:v>
                </c:pt>
                <c:pt idx="163">
                  <c:v>16.2213801997122</c:v>
                </c:pt>
                <c:pt idx="164">
                  <c:v>16.231928369243967</c:v>
                </c:pt>
                <c:pt idx="165">
                  <c:v>16.240985770473817</c:v>
                </c:pt>
                <c:pt idx="166">
                  <c:v>16.248544964368165</c:v>
                </c:pt>
                <c:pt idx="167">
                  <c:v>16.254599718041622</c:v>
                </c:pt>
                <c:pt idx="168">
                  <c:v>16.259145023049786</c:v>
                </c:pt>
                <c:pt idx="169">
                  <c:v>16.262177110156294</c:v>
                </c:pt>
                <c:pt idx="170">
                  <c:v>16.263693460485946</c:v>
                </c:pt>
                <c:pt idx="171">
                  <c:v>16.263692812997142</c:v>
                </c:pt>
                <c:pt idx="172">
                  <c:v>16.262175168228552</c:v>
                </c:pt>
                <c:pt idx="173">
                  <c:v>16.259141788297498</c:v>
                </c:pt>
                <c:pt idx="174">
                  <c:v>16.254595193150095</c:v>
                </c:pt>
                <c:pt idx="175">
                  <c:v>16.248539153085694</c:v>
                </c:pt>
                <c:pt idx="176">
                  <c:v>16.240978677600587</c:v>
                </c:pt>
                <c:pt idx="177">
                  <c:v>16.231920000617947</c:v>
                </c:pt>
                <c:pt idx="178">
                  <c:v>16.221370562192028</c:v>
                </c:pt>
                <c:pt idx="179">
                  <c:v>16.209338986795334</c:v>
                </c:pt>
                <c:pt idx="180">
                  <c:v>16.195835058316426</c:v>
                </c:pt>
                <c:pt idx="181">
                  <c:v>16.180869691914573</c:v>
                </c:pt>
                <c:pt idx="182">
                  <c:v>16.164454902893794</c:v>
                </c:pt>
                <c:pt idx="183">
                  <c:v>16.146603772774196</c:v>
                </c:pt>
                <c:pt idx="184">
                  <c:v>16.127330412752055</c:v>
                </c:pt>
                <c:pt idx="185">
                  <c:v>16.106649924751764</c:v>
                </c:pt>
                <c:pt idx="186">
                  <c:v>16.084578360282837</c:v>
                </c:pt>
                <c:pt idx="187">
                  <c:v>16.061132677323183</c:v>
                </c:pt>
                <c:pt idx="188">
                  <c:v>16.036330695456172</c:v>
                </c:pt>
                <c:pt idx="189">
                  <c:v>16.01019104949323</c:v>
                </c:pt>
                <c:pt idx="190">
                  <c:v>15.982733141816226</c:v>
                </c:pt>
                <c:pt idx="191">
                  <c:v>15.953977093674565</c:v>
                </c:pt>
                <c:pt idx="192">
                  <c:v>15.923943695670699</c:v>
                </c:pt>
                <c:pt idx="193">
                  <c:v>15.892654357665009</c:v>
                </c:pt>
                <c:pt idx="194">
                  <c:v>15.860131058326608</c:v>
                </c:pt>
                <c:pt idx="195">
                  <c:v>15.826396294550745</c:v>
                </c:pt>
                <c:pt idx="196">
                  <c:v>15.791473030956231</c:v>
                </c:pt>
                <c:pt idx="197">
                  <c:v>15.755384649667903</c:v>
                </c:pt>
                <c:pt idx="198">
                  <c:v>15.71815490057956</c:v>
                </c:pt>
                <c:pt idx="199">
                  <c:v>15.679807852282407</c:v>
                </c:pt>
                <c:pt idx="200">
                  <c:v>15.640367843832642</c:v>
                </c:pt>
                <c:pt idx="201">
                  <c:v>15.599859437520012</c:v>
                </c:pt>
                <c:pt idx="202">
                  <c:v>15.558307372786672</c:v>
                </c:pt>
                <c:pt idx="203">
                  <c:v>15.515736521432846</c:v>
                </c:pt>
                <c:pt idx="204">
                  <c:v>15.472171844232832</c:v>
                </c:pt>
                <c:pt idx="205">
                  <c:v>15.427638349071632</c:v>
                </c:pt>
                <c:pt idx="206">
                  <c:v>15.382161050699455</c:v>
                </c:pt>
                <c:pt idx="207">
                  <c:v>15.335764932188289</c:v>
                </c:pt>
                <c:pt idx="208">
                  <c:v>15.288474908161941</c:v>
                </c:pt>
                <c:pt idx="209">
                  <c:v>15.240315789858567</c:v>
                </c:pt>
                <c:pt idx="210">
                  <c:v>15.191312252072549</c:v>
                </c:pt>
                <c:pt idx="211">
                  <c:v>15.141488802011157</c:v>
                </c:pt>
                <c:pt idx="212">
                  <c:v>15.090869750090253</c:v>
                </c:pt>
                <c:pt idx="213">
                  <c:v>15.039479182682973</c:v>
                </c:pt>
                <c:pt idx="214">
                  <c:v>14.987340936825429</c:v>
                </c:pt>
                <c:pt idx="215">
                  <c:v>14.934478576874406</c:v>
                </c:pt>
                <c:pt idx="216">
                  <c:v>14.880915373103505</c:v>
                </c:pt>
                <c:pt idx="217">
                  <c:v>14.826674282216441</c:v>
                </c:pt>
                <c:pt idx="218">
                  <c:v>14.771777929749197</c:v>
                </c:pt>
                <c:pt idx="219">
                  <c:v>14.716248594326307</c:v>
                </c:pt>
                <c:pt idx="220">
                  <c:v>14.660108193730929</c:v>
                </c:pt>
                <c:pt idx="221">
                  <c:v>14.603378272743401</c:v>
                </c:pt>
                <c:pt idx="222">
                  <c:v>14.546079992698635</c:v>
                </c:pt>
                <c:pt idx="223">
                  <c:v>14.488234122709034</c:v>
                </c:pt>
                <c:pt idx="224">
                  <c:v>14.429861032496547</c:v>
                </c:pt>
                <c:pt idx="225">
                  <c:v>14.370980686775059</c:v>
                </c:pt>
                <c:pt idx="226">
                  <c:v>14.311612641122233</c:v>
                </c:pt>
                <c:pt idx="227">
                  <c:v>14.251776039278671</c:v>
                </c:pt>
                <c:pt idx="228">
                  <c:v>14.191489611811225</c:v>
                </c:pt>
                <c:pt idx="229">
                  <c:v>14.130771676076732</c:v>
                </c:pt>
                <c:pt idx="230">
                  <c:v>14.069640137422549</c:v>
                </c:pt>
                <c:pt idx="231">
                  <c:v>14.008112491560299</c:v>
                </c:pt>
                <c:pt idx="232">
                  <c:v>13.946205828049992</c:v>
                </c:pt>
                <c:pt idx="233">
                  <c:v>13.883936834832578</c:v>
                </c:pt>
                <c:pt idx="234">
                  <c:v>13.821321803750081</c:v>
                </c:pt>
                <c:pt idx="235">
                  <c:v>13.758376636993924</c:v>
                </c:pt>
                <c:pt idx="236">
                  <c:v>13.695116854423592</c:v>
                </c:pt>
                <c:pt idx="237">
                  <c:v>13.631557601699587</c:v>
                </c:pt>
                <c:pt idx="238">
                  <c:v>13.567713659176455</c:v>
                </c:pt>
                <c:pt idx="239">
                  <c:v>13.503599451503735</c:v>
                </c:pt>
                <c:pt idx="240">
                  <c:v>13.43922905788472</c:v>
                </c:pt>
                <c:pt idx="241">
                  <c:v>13.374616222945072</c:v>
                </c:pt>
                <c:pt idx="242">
                  <c:v>13.309774368165534</c:v>
                </c:pt>
                <c:pt idx="243">
                  <c:v>13.244716603835217</c:v>
                </c:pt>
                <c:pt idx="244">
                  <c:v>13.17945574148402</c:v>
                </c:pt>
                <c:pt idx="245">
                  <c:v>13.114004306755156</c:v>
                </c:pt>
                <c:pt idx="246">
                  <c:v>13.048374552680643</c:v>
                </c:pt>
                <c:pt idx="247">
                  <c:v>12.982578473324971</c:v>
                </c:pt>
                <c:pt idx="248">
                  <c:v>12.916627817764065</c:v>
                </c:pt>
                <c:pt idx="249">
                  <c:v>12.850534104368688</c:v>
                </c:pt>
                <c:pt idx="250">
                  <c:v>12.784308635363356</c:v>
                </c:pt>
                <c:pt idx="251">
                  <c:v>12.71796251163364</c:v>
                </c:pt>
                <c:pt idx="252">
                  <c:v>12.65150664775641</c:v>
                </c:pt>
                <c:pt idx="253">
                  <c:v>12.58495178722929</c:v>
                </c:pt>
                <c:pt idx="254">
                  <c:v>12.518308517876992</c:v>
                </c:pt>
                <c:pt idx="255">
                  <c:v>12.451587287413695</c:v>
                </c:pt>
                <c:pt idx="256">
                  <c:v>12.384798419141813</c:v>
                </c:pt>
                <c:pt idx="257">
                  <c:v>12.317952127768752</c:v>
                </c:pt>
                <c:pt idx="258">
                  <c:v>12.251058535324219</c:v>
                </c:pt>
                <c:pt idx="259">
                  <c:v>12.18412768716157</c:v>
                </c:pt>
                <c:pt idx="260">
                  <c:v>12.117169568027437</c:v>
                </c:pt>
                <c:pt idx="261">
                  <c:v>12.05019411818459</c:v>
                </c:pt>
                <c:pt idx="262">
                  <c:v>11.983211249573364</c:v>
                </c:pt>
                <c:pt idx="263">
                  <c:v>11.916230861997512</c:v>
                </c:pt>
                <c:pt idx="264">
                  <c:v>11.849262859320422</c:v>
                </c:pt>
                <c:pt idx="265">
                  <c:v>11.782317165657888</c:v>
                </c:pt>
                <c:pt idx="266">
                  <c:v>11.71540374155348</c:v>
                </c:pt>
                <c:pt idx="267">
                  <c:v>11.648532600122419</c:v>
                </c:pt>
                <c:pt idx="268">
                  <c:v>11.581713823149618</c:v>
                </c:pt>
                <c:pt idx="269">
                  <c:v>11.514957577127024</c:v>
                </c:pt>
                <c:pt idx="270">
                  <c:v>11.448274129214813</c:v>
                </c:pt>
                <c:pt idx="271">
                  <c:v>11.38167386311045</c:v>
                </c:pt>
                <c:pt idx="272">
                  <c:v>11.315167294808514</c:v>
                </c:pt>
                <c:pt idx="273">
                  <c:v>11.248765088233476</c:v>
                </c:pt>
                <c:pt idx="274">
                  <c:v>11.182478070726406</c:v>
                </c:pt>
                <c:pt idx="275">
                  <c:v>11.116317248365299</c:v>
                </c:pt>
                <c:pt idx="276">
                  <c:v>11.050293821097572</c:v>
                </c:pt>
                <c:pt idx="277">
                  <c:v>10.984419197661618</c:v>
                </c:pt>
                <c:pt idx="278">
                  <c:v>10.918705010272873</c:v>
                </c:pt>
                <c:pt idx="279">
                  <c:v>10.853163129048133</c:v>
                </c:pt>
                <c:pt idx="280">
                  <c:v>10.787805676140072</c:v>
                </c:pt>
                <c:pt idx="281">
                  <c:v>10.72264503955212</c:v>
                </c:pt>
                <c:pt idx="282">
                  <c:v>10.657693886601788</c:v>
                </c:pt>
                <c:pt idx="283">
                  <c:v>10.592965176998662</c:v>
                </c:pt>
                <c:pt idx="284">
                  <c:v>10.52847217550107</c:v>
                </c:pt>
                <c:pt idx="285">
                  <c:v>10.464228464113351</c:v>
                </c:pt>
                <c:pt idx="286">
                  <c:v>10.4002479537835</c:v>
                </c:pt>
                <c:pt idx="287">
                  <c:v>10.336544895558685</c:v>
                </c:pt>
                <c:pt idx="288">
                  <c:v>10.273133891154011</c:v>
                </c:pt>
                <c:pt idx="289">
                  <c:v>10.210029902887687</c:v>
                </c:pt>
                <c:pt idx="290">
                  <c:v>10.147248262933452</c:v>
                </c:pt>
                <c:pt idx="291">
                  <c:v>10.084804681839289</c:v>
                </c:pt>
                <c:pt idx="292">
                  <c:v>10.022715256259076</c:v>
                </c:pt>
                <c:pt idx="293">
                  <c:v>9.9609964758420588</c:v>
                </c:pt>
                <c:pt idx="294">
                  <c:v>9.8996652292232756</c:v>
                </c:pt>
                <c:pt idx="295">
                  <c:v>9.8387388090561068</c:v>
                </c:pt>
                <c:pt idx="296">
                  <c:v>9.7782349160269639</c:v>
                </c:pt>
                <c:pt idx="297">
                  <c:v>9.7181716617906382</c:v>
                </c:pt>
                <c:pt idx="298">
                  <c:v>9.6585675707638075</c:v>
                </c:pt>
                <c:pt idx="299">
                  <c:v>9.5994415807135614</c:v>
                </c:pt>
                <c:pt idx="300">
                  <c:v>9.5408130420772341</c:v>
                </c:pt>
                <c:pt idx="301">
                  <c:v>9.4827017159498261</c:v>
                </c:pt>
                <c:pt idx="302">
                  <c:v>9.4251277706755232</c:v>
                </c:pt>
                <c:pt idx="303">
                  <c:v>9.3681117769806086</c:v>
                </c:pt>
                <c:pt idx="304">
                  <c:v>9.3116747015861883</c:v>
                </c:pt>
                <c:pt idx="305">
                  <c:v>9.2558378992408326</c:v>
                </c:pt>
                <c:pt idx="306">
                  <c:v>9.2006231031154666</c:v>
                </c:pt>
                <c:pt idx="307">
                  <c:v>9.1460524135056005</c:v>
                </c:pt>
                <c:pt idx="308">
                  <c:v>9.0921482847893103</c:v>
                </c:pt>
                <c:pt idx="309">
                  <c:v>9.0389335105934947</c:v>
                </c:pt>
                <c:pt idx="310">
                  <c:v>8.9864312071253973</c:v>
                </c:pt>
                <c:pt idx="311">
                  <c:v>8.9346647946318836</c:v>
                </c:pt>
                <c:pt idx="312">
                  <c:v>8.8836579769548187</c:v>
                </c:pt>
                <c:pt idx="313">
                  <c:v>8.8334347191577063</c:v>
                </c:pt>
                <c:pt idx="314">
                  <c:v>8.7840192232060463</c:v>
                </c:pt>
                <c:pt idx="315">
                  <c:v>8.7354359016921208</c:v>
                </c:pt>
                <c:pt idx="316">
                  <c:v>8.6877093496035727</c:v>
                </c:pt>
                <c:pt idx="317">
                  <c:v>8.6408643141447197</c:v>
                </c:pt>
                <c:pt idx="318">
                  <c:v>8.5949256626296613</c:v>
                </c:pt>
                <c:pt idx="319">
                  <c:v>8.5499183484769503</c:v>
                </c:pt>
                <c:pt idx="320">
                  <c:v>8.5058673753469272</c:v>
                </c:pt>
                <c:pt idx="321">
                  <c:v>8.46279775947459</c:v>
                </c:pt>
                <c:pt idx="322">
                  <c:v>8.420734490263257</c:v>
                </c:pt>
                <c:pt idx="323">
                  <c:v>8.3797024892167187</c:v>
                </c:pt>
                <c:pt idx="324">
                  <c:v>8.3397265673006249</c:v>
                </c:pt>
                <c:pt idx="325">
                  <c:v>8.3008313808369216</c:v>
                </c:pt>
                <c:pt idx="326">
                  <c:v>8.2630413860481937</c:v>
                </c:pt>
                <c:pt idx="327">
                  <c:v>8.2263807923820131</c:v>
                </c:pt>
                <c:pt idx="328">
                  <c:v>8.1908735147583034</c:v>
                </c:pt>
                <c:pt idx="329">
                  <c:v>8.1565431248952649</c:v>
                </c:pt>
                <c:pt idx="330">
                  <c:v>8.1234128018818055</c:v>
                </c:pt>
                <c:pt idx="331">
                  <c:v>8.0915052821758113</c:v>
                </c:pt>
                <c:pt idx="332">
                  <c:v>8.060842809218677</c:v>
                </c:pt>
                <c:pt idx="333">
                  <c:v>8.0314470828664462</c:v>
                </c:pt>
                <c:pt idx="334">
                  <c:v>8.0033392088469135</c:v>
                </c:pt>
                <c:pt idx="335">
                  <c:v>7.97653964845993</c:v>
                </c:pt>
                <c:pt idx="336">
                  <c:v>7.951068168744734</c:v>
                </c:pt>
                <c:pt idx="337">
                  <c:v>7.9269437933432076</c:v>
                </c:pt>
                <c:pt idx="338">
                  <c:v>7.9041847542915971</c:v>
                </c:pt>
                <c:pt idx="339">
                  <c:v>7.8828084449753142</c:v>
                </c:pt>
                <c:pt idx="340">
                  <c:v>7.8628313744815195</c:v>
                </c:pt>
                <c:pt idx="341">
                  <c:v>7.8442691235827811</c:v>
                </c:pt>
                <c:pt idx="342">
                  <c:v>7.8271363025816507</c:v>
                </c:pt>
                <c:pt idx="343">
                  <c:v>7.8114465112407672</c:v>
                </c:pt>
                <c:pt idx="344">
                  <c:v>7.7972123010158771</c:v>
                </c:pt>
                <c:pt idx="345">
                  <c:v>7.7844451398001917</c:v>
                </c:pt>
                <c:pt idx="346">
                  <c:v>7.7731553793775472</c:v>
                </c:pt>
                <c:pt idx="347">
                  <c:v>7.7633522257692409</c:v>
                </c:pt>
                <c:pt idx="348">
                  <c:v>7.7550437126449623</c:v>
                </c:pt>
                <c:pt idx="349">
                  <c:v>7.7482366779523453</c:v>
                </c:pt>
                <c:pt idx="350">
                  <c:v>7.7429367439022254</c:v>
                </c:pt>
                <c:pt idx="351">
                  <c:v>7.7391483004279049</c:v>
                </c:pt>
                <c:pt idx="352">
                  <c:v>7.7368744922168968</c:v>
                </c:pt>
                <c:pt idx="353">
                  <c:v>7.7361172093927228</c:v>
                </c:pt>
                <c:pt idx="354">
                  <c:v>7.7368770819027199</c:v>
                </c:pt>
                <c:pt idx="355">
                  <c:v>7.7391534776456981</c:v>
                </c:pt>
                <c:pt idx="356">
                  <c:v>7.7429445043506906</c:v>
                </c:pt>
                <c:pt idx="357">
                  <c:v>7.7482470151954947</c:v>
                </c:pt>
                <c:pt idx="358">
                  <c:v>7.755056618131162</c:v>
                </c:pt>
                <c:pt idx="359">
                  <c:v>7.7633676888564356</c:v>
                </c:pt>
                <c:pt idx="360">
                  <c:v>7.7731733873644879</c:v>
                </c:pt>
                <c:pt idx="361">
                  <c:v>7.7844656779635191</c:v>
                </c:pt>
                <c:pt idx="362">
                  <c:v>7.7972353526527991</c:v>
                </c:pt>
                <c:pt idx="363">
                  <c:v>7.8114720577171219</c:v>
                </c:pt>
                <c:pt idx="364">
                  <c:v>7.8271643233850456</c:v>
                </c:pt>
              </c:numCache>
            </c:numRef>
          </c:val>
          <c:smooth val="1"/>
          <c:extLst>
            <c:ext xmlns:c16="http://schemas.microsoft.com/office/drawing/2014/chart" uri="{C3380CC4-5D6E-409C-BE32-E72D297353CC}">
              <c16:uniqueId val="{00000003-6A38-4FB8-919A-7EC7BA0A6774}"/>
            </c:ext>
          </c:extLst>
        </c:ser>
        <c:ser>
          <c:idx val="2"/>
          <c:order val="3"/>
          <c:tx>
            <c:v>Net radiation (MJ m-2)</c:v>
          </c:tx>
          <c:spPr>
            <a:ln w="19050" cap="rnd">
              <a:solidFill>
                <a:srgbClr val="FF0000"/>
              </a:solidFill>
              <a:round/>
            </a:ln>
            <a:effectLst/>
          </c:spPr>
          <c:marker>
            <c:symbol val="none"/>
          </c:marker>
          <c:cat>
            <c:numRef>
              <c:f>Calculations!$AG$6:$AG$370</c:f>
              <c:numCache>
                <c:formatCode>m/d/yyyy</c:formatCode>
                <c:ptCount val="36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61</c:v>
                </c:pt>
                <c:pt idx="60">
                  <c:v>62</c:v>
                </c:pt>
                <c:pt idx="61">
                  <c:v>63</c:v>
                </c:pt>
                <c:pt idx="62">
                  <c:v>64</c:v>
                </c:pt>
                <c:pt idx="63">
                  <c:v>65</c:v>
                </c:pt>
                <c:pt idx="64">
                  <c:v>66</c:v>
                </c:pt>
                <c:pt idx="65">
                  <c:v>67</c:v>
                </c:pt>
                <c:pt idx="66">
                  <c:v>68</c:v>
                </c:pt>
                <c:pt idx="67">
                  <c:v>69</c:v>
                </c:pt>
                <c:pt idx="68">
                  <c:v>70</c:v>
                </c:pt>
                <c:pt idx="69">
                  <c:v>71</c:v>
                </c:pt>
                <c:pt idx="70">
                  <c:v>72</c:v>
                </c:pt>
                <c:pt idx="71">
                  <c:v>73</c:v>
                </c:pt>
                <c:pt idx="72">
                  <c:v>74</c:v>
                </c:pt>
                <c:pt idx="73">
                  <c:v>75</c:v>
                </c:pt>
                <c:pt idx="74">
                  <c:v>76</c:v>
                </c:pt>
                <c:pt idx="75">
                  <c:v>77</c:v>
                </c:pt>
                <c:pt idx="76">
                  <c:v>78</c:v>
                </c:pt>
                <c:pt idx="77">
                  <c:v>79</c:v>
                </c:pt>
                <c:pt idx="78">
                  <c:v>80</c:v>
                </c:pt>
                <c:pt idx="79">
                  <c:v>81</c:v>
                </c:pt>
                <c:pt idx="80">
                  <c:v>82</c:v>
                </c:pt>
                <c:pt idx="81">
                  <c:v>83</c:v>
                </c:pt>
                <c:pt idx="82">
                  <c:v>84</c:v>
                </c:pt>
                <c:pt idx="83">
                  <c:v>85</c:v>
                </c:pt>
                <c:pt idx="84">
                  <c:v>86</c:v>
                </c:pt>
                <c:pt idx="85">
                  <c:v>87</c:v>
                </c:pt>
                <c:pt idx="86">
                  <c:v>88</c:v>
                </c:pt>
                <c:pt idx="87">
                  <c:v>89</c:v>
                </c:pt>
                <c:pt idx="88">
                  <c:v>90</c:v>
                </c:pt>
                <c:pt idx="89">
                  <c:v>91</c:v>
                </c:pt>
                <c:pt idx="90">
                  <c:v>92</c:v>
                </c:pt>
                <c:pt idx="91">
                  <c:v>93</c:v>
                </c:pt>
                <c:pt idx="92">
                  <c:v>94</c:v>
                </c:pt>
                <c:pt idx="93">
                  <c:v>95</c:v>
                </c:pt>
                <c:pt idx="94">
                  <c:v>96</c:v>
                </c:pt>
                <c:pt idx="95">
                  <c:v>97</c:v>
                </c:pt>
                <c:pt idx="96">
                  <c:v>98</c:v>
                </c:pt>
                <c:pt idx="97">
                  <c:v>99</c:v>
                </c:pt>
                <c:pt idx="98">
                  <c:v>100</c:v>
                </c:pt>
                <c:pt idx="99">
                  <c:v>101</c:v>
                </c:pt>
                <c:pt idx="100">
                  <c:v>102</c:v>
                </c:pt>
                <c:pt idx="101">
                  <c:v>103</c:v>
                </c:pt>
                <c:pt idx="102">
                  <c:v>104</c:v>
                </c:pt>
                <c:pt idx="103">
                  <c:v>105</c:v>
                </c:pt>
                <c:pt idx="104">
                  <c:v>106</c:v>
                </c:pt>
                <c:pt idx="105">
                  <c:v>107</c:v>
                </c:pt>
                <c:pt idx="106">
                  <c:v>108</c:v>
                </c:pt>
                <c:pt idx="107">
                  <c:v>109</c:v>
                </c:pt>
                <c:pt idx="108">
                  <c:v>110</c:v>
                </c:pt>
                <c:pt idx="109">
                  <c:v>111</c:v>
                </c:pt>
                <c:pt idx="110">
                  <c:v>112</c:v>
                </c:pt>
                <c:pt idx="111">
                  <c:v>113</c:v>
                </c:pt>
                <c:pt idx="112">
                  <c:v>114</c:v>
                </c:pt>
                <c:pt idx="113">
                  <c:v>115</c:v>
                </c:pt>
                <c:pt idx="114">
                  <c:v>116</c:v>
                </c:pt>
                <c:pt idx="115">
                  <c:v>117</c:v>
                </c:pt>
                <c:pt idx="116">
                  <c:v>118</c:v>
                </c:pt>
                <c:pt idx="117">
                  <c:v>119</c:v>
                </c:pt>
                <c:pt idx="118">
                  <c:v>120</c:v>
                </c:pt>
                <c:pt idx="119">
                  <c:v>121</c:v>
                </c:pt>
                <c:pt idx="120">
                  <c:v>122</c:v>
                </c:pt>
                <c:pt idx="121">
                  <c:v>123</c:v>
                </c:pt>
                <c:pt idx="122">
                  <c:v>124</c:v>
                </c:pt>
                <c:pt idx="123">
                  <c:v>125</c:v>
                </c:pt>
                <c:pt idx="124">
                  <c:v>126</c:v>
                </c:pt>
                <c:pt idx="125">
                  <c:v>127</c:v>
                </c:pt>
                <c:pt idx="126">
                  <c:v>128</c:v>
                </c:pt>
                <c:pt idx="127">
                  <c:v>129</c:v>
                </c:pt>
                <c:pt idx="128">
                  <c:v>130</c:v>
                </c:pt>
                <c:pt idx="129">
                  <c:v>131</c:v>
                </c:pt>
                <c:pt idx="130">
                  <c:v>132</c:v>
                </c:pt>
                <c:pt idx="131">
                  <c:v>133</c:v>
                </c:pt>
                <c:pt idx="132">
                  <c:v>134</c:v>
                </c:pt>
                <c:pt idx="133">
                  <c:v>135</c:v>
                </c:pt>
                <c:pt idx="134">
                  <c:v>136</c:v>
                </c:pt>
                <c:pt idx="135">
                  <c:v>137</c:v>
                </c:pt>
                <c:pt idx="136">
                  <c:v>138</c:v>
                </c:pt>
                <c:pt idx="137">
                  <c:v>139</c:v>
                </c:pt>
                <c:pt idx="138">
                  <c:v>140</c:v>
                </c:pt>
                <c:pt idx="139">
                  <c:v>141</c:v>
                </c:pt>
                <c:pt idx="140">
                  <c:v>142</c:v>
                </c:pt>
                <c:pt idx="141">
                  <c:v>143</c:v>
                </c:pt>
                <c:pt idx="142">
                  <c:v>144</c:v>
                </c:pt>
                <c:pt idx="143">
                  <c:v>145</c:v>
                </c:pt>
                <c:pt idx="144">
                  <c:v>146</c:v>
                </c:pt>
                <c:pt idx="145">
                  <c:v>147</c:v>
                </c:pt>
                <c:pt idx="146">
                  <c:v>148</c:v>
                </c:pt>
                <c:pt idx="147">
                  <c:v>149</c:v>
                </c:pt>
                <c:pt idx="148">
                  <c:v>150</c:v>
                </c:pt>
                <c:pt idx="149">
                  <c:v>151</c:v>
                </c:pt>
                <c:pt idx="150">
                  <c:v>152</c:v>
                </c:pt>
                <c:pt idx="151">
                  <c:v>153</c:v>
                </c:pt>
                <c:pt idx="152">
                  <c:v>154</c:v>
                </c:pt>
                <c:pt idx="153">
                  <c:v>155</c:v>
                </c:pt>
                <c:pt idx="154">
                  <c:v>156</c:v>
                </c:pt>
                <c:pt idx="155">
                  <c:v>157</c:v>
                </c:pt>
                <c:pt idx="156">
                  <c:v>158</c:v>
                </c:pt>
                <c:pt idx="157">
                  <c:v>159</c:v>
                </c:pt>
                <c:pt idx="158">
                  <c:v>160</c:v>
                </c:pt>
                <c:pt idx="159">
                  <c:v>161</c:v>
                </c:pt>
                <c:pt idx="160">
                  <c:v>162</c:v>
                </c:pt>
                <c:pt idx="161">
                  <c:v>163</c:v>
                </c:pt>
                <c:pt idx="162">
                  <c:v>164</c:v>
                </c:pt>
                <c:pt idx="163">
                  <c:v>165</c:v>
                </c:pt>
                <c:pt idx="164">
                  <c:v>166</c:v>
                </c:pt>
                <c:pt idx="165">
                  <c:v>167</c:v>
                </c:pt>
                <c:pt idx="166">
                  <c:v>168</c:v>
                </c:pt>
                <c:pt idx="167">
                  <c:v>169</c:v>
                </c:pt>
                <c:pt idx="168">
                  <c:v>170</c:v>
                </c:pt>
                <c:pt idx="169">
                  <c:v>171</c:v>
                </c:pt>
                <c:pt idx="170">
                  <c:v>172</c:v>
                </c:pt>
                <c:pt idx="171">
                  <c:v>173</c:v>
                </c:pt>
                <c:pt idx="172">
                  <c:v>174</c:v>
                </c:pt>
                <c:pt idx="173">
                  <c:v>175</c:v>
                </c:pt>
                <c:pt idx="174">
                  <c:v>176</c:v>
                </c:pt>
                <c:pt idx="175">
                  <c:v>177</c:v>
                </c:pt>
                <c:pt idx="176">
                  <c:v>178</c:v>
                </c:pt>
                <c:pt idx="177">
                  <c:v>179</c:v>
                </c:pt>
                <c:pt idx="178">
                  <c:v>180</c:v>
                </c:pt>
                <c:pt idx="179">
                  <c:v>181</c:v>
                </c:pt>
                <c:pt idx="180">
                  <c:v>182</c:v>
                </c:pt>
                <c:pt idx="181">
                  <c:v>183</c:v>
                </c:pt>
                <c:pt idx="182">
                  <c:v>184</c:v>
                </c:pt>
                <c:pt idx="183">
                  <c:v>185</c:v>
                </c:pt>
                <c:pt idx="184">
                  <c:v>186</c:v>
                </c:pt>
                <c:pt idx="185">
                  <c:v>187</c:v>
                </c:pt>
                <c:pt idx="186">
                  <c:v>188</c:v>
                </c:pt>
                <c:pt idx="187">
                  <c:v>189</c:v>
                </c:pt>
                <c:pt idx="188">
                  <c:v>190</c:v>
                </c:pt>
                <c:pt idx="189">
                  <c:v>191</c:v>
                </c:pt>
                <c:pt idx="190">
                  <c:v>192</c:v>
                </c:pt>
                <c:pt idx="191">
                  <c:v>193</c:v>
                </c:pt>
                <c:pt idx="192">
                  <c:v>194</c:v>
                </c:pt>
                <c:pt idx="193">
                  <c:v>195</c:v>
                </c:pt>
                <c:pt idx="194">
                  <c:v>196</c:v>
                </c:pt>
                <c:pt idx="195">
                  <c:v>197</c:v>
                </c:pt>
                <c:pt idx="196">
                  <c:v>198</c:v>
                </c:pt>
                <c:pt idx="197">
                  <c:v>199</c:v>
                </c:pt>
                <c:pt idx="198">
                  <c:v>200</c:v>
                </c:pt>
                <c:pt idx="199">
                  <c:v>201</c:v>
                </c:pt>
                <c:pt idx="200">
                  <c:v>202</c:v>
                </c:pt>
                <c:pt idx="201">
                  <c:v>203</c:v>
                </c:pt>
                <c:pt idx="202">
                  <c:v>204</c:v>
                </c:pt>
                <c:pt idx="203">
                  <c:v>205</c:v>
                </c:pt>
                <c:pt idx="204">
                  <c:v>206</c:v>
                </c:pt>
                <c:pt idx="205">
                  <c:v>207</c:v>
                </c:pt>
                <c:pt idx="206">
                  <c:v>208</c:v>
                </c:pt>
                <c:pt idx="207">
                  <c:v>209</c:v>
                </c:pt>
                <c:pt idx="208">
                  <c:v>210</c:v>
                </c:pt>
                <c:pt idx="209">
                  <c:v>211</c:v>
                </c:pt>
                <c:pt idx="210">
                  <c:v>212</c:v>
                </c:pt>
                <c:pt idx="211">
                  <c:v>213</c:v>
                </c:pt>
                <c:pt idx="212">
                  <c:v>214</c:v>
                </c:pt>
                <c:pt idx="213">
                  <c:v>215</c:v>
                </c:pt>
                <c:pt idx="214">
                  <c:v>216</c:v>
                </c:pt>
                <c:pt idx="215">
                  <c:v>217</c:v>
                </c:pt>
                <c:pt idx="216">
                  <c:v>218</c:v>
                </c:pt>
                <c:pt idx="217">
                  <c:v>219</c:v>
                </c:pt>
                <c:pt idx="218">
                  <c:v>220</c:v>
                </c:pt>
                <c:pt idx="219">
                  <c:v>221</c:v>
                </c:pt>
                <c:pt idx="220">
                  <c:v>222</c:v>
                </c:pt>
                <c:pt idx="221">
                  <c:v>223</c:v>
                </c:pt>
                <c:pt idx="222">
                  <c:v>224</c:v>
                </c:pt>
                <c:pt idx="223">
                  <c:v>225</c:v>
                </c:pt>
                <c:pt idx="224">
                  <c:v>226</c:v>
                </c:pt>
                <c:pt idx="225">
                  <c:v>227</c:v>
                </c:pt>
                <c:pt idx="226">
                  <c:v>228</c:v>
                </c:pt>
                <c:pt idx="227">
                  <c:v>229</c:v>
                </c:pt>
                <c:pt idx="228">
                  <c:v>230</c:v>
                </c:pt>
                <c:pt idx="229">
                  <c:v>231</c:v>
                </c:pt>
                <c:pt idx="230">
                  <c:v>232</c:v>
                </c:pt>
                <c:pt idx="231">
                  <c:v>233</c:v>
                </c:pt>
                <c:pt idx="232">
                  <c:v>234</c:v>
                </c:pt>
                <c:pt idx="233">
                  <c:v>235</c:v>
                </c:pt>
                <c:pt idx="234">
                  <c:v>236</c:v>
                </c:pt>
                <c:pt idx="235">
                  <c:v>237</c:v>
                </c:pt>
                <c:pt idx="236">
                  <c:v>238</c:v>
                </c:pt>
                <c:pt idx="237">
                  <c:v>239</c:v>
                </c:pt>
                <c:pt idx="238">
                  <c:v>240</c:v>
                </c:pt>
                <c:pt idx="239">
                  <c:v>241</c:v>
                </c:pt>
                <c:pt idx="240">
                  <c:v>242</c:v>
                </c:pt>
                <c:pt idx="241">
                  <c:v>243</c:v>
                </c:pt>
                <c:pt idx="242">
                  <c:v>244</c:v>
                </c:pt>
                <c:pt idx="243">
                  <c:v>245</c:v>
                </c:pt>
                <c:pt idx="244">
                  <c:v>246</c:v>
                </c:pt>
                <c:pt idx="245">
                  <c:v>247</c:v>
                </c:pt>
                <c:pt idx="246">
                  <c:v>248</c:v>
                </c:pt>
                <c:pt idx="247">
                  <c:v>249</c:v>
                </c:pt>
                <c:pt idx="248">
                  <c:v>250</c:v>
                </c:pt>
                <c:pt idx="249">
                  <c:v>251</c:v>
                </c:pt>
                <c:pt idx="250">
                  <c:v>252</c:v>
                </c:pt>
                <c:pt idx="251">
                  <c:v>253</c:v>
                </c:pt>
                <c:pt idx="252">
                  <c:v>254</c:v>
                </c:pt>
                <c:pt idx="253">
                  <c:v>255</c:v>
                </c:pt>
                <c:pt idx="254">
                  <c:v>256</c:v>
                </c:pt>
                <c:pt idx="255">
                  <c:v>257</c:v>
                </c:pt>
                <c:pt idx="256">
                  <c:v>258</c:v>
                </c:pt>
                <c:pt idx="257">
                  <c:v>259</c:v>
                </c:pt>
                <c:pt idx="258">
                  <c:v>260</c:v>
                </c:pt>
                <c:pt idx="259">
                  <c:v>261</c:v>
                </c:pt>
                <c:pt idx="260">
                  <c:v>262</c:v>
                </c:pt>
                <c:pt idx="261">
                  <c:v>263</c:v>
                </c:pt>
                <c:pt idx="262">
                  <c:v>264</c:v>
                </c:pt>
                <c:pt idx="263">
                  <c:v>265</c:v>
                </c:pt>
                <c:pt idx="264">
                  <c:v>266</c:v>
                </c:pt>
                <c:pt idx="265">
                  <c:v>267</c:v>
                </c:pt>
                <c:pt idx="266">
                  <c:v>268</c:v>
                </c:pt>
                <c:pt idx="267">
                  <c:v>269</c:v>
                </c:pt>
                <c:pt idx="268">
                  <c:v>270</c:v>
                </c:pt>
                <c:pt idx="269">
                  <c:v>271</c:v>
                </c:pt>
                <c:pt idx="270">
                  <c:v>272</c:v>
                </c:pt>
                <c:pt idx="271">
                  <c:v>273</c:v>
                </c:pt>
                <c:pt idx="272">
                  <c:v>274</c:v>
                </c:pt>
                <c:pt idx="273">
                  <c:v>275</c:v>
                </c:pt>
                <c:pt idx="274">
                  <c:v>276</c:v>
                </c:pt>
                <c:pt idx="275">
                  <c:v>277</c:v>
                </c:pt>
                <c:pt idx="276">
                  <c:v>278</c:v>
                </c:pt>
                <c:pt idx="277">
                  <c:v>279</c:v>
                </c:pt>
                <c:pt idx="278">
                  <c:v>280</c:v>
                </c:pt>
                <c:pt idx="279">
                  <c:v>281</c:v>
                </c:pt>
                <c:pt idx="280">
                  <c:v>282</c:v>
                </c:pt>
                <c:pt idx="281">
                  <c:v>283</c:v>
                </c:pt>
                <c:pt idx="282">
                  <c:v>284</c:v>
                </c:pt>
                <c:pt idx="283">
                  <c:v>285</c:v>
                </c:pt>
                <c:pt idx="284">
                  <c:v>286</c:v>
                </c:pt>
                <c:pt idx="285">
                  <c:v>287</c:v>
                </c:pt>
                <c:pt idx="286">
                  <c:v>288</c:v>
                </c:pt>
                <c:pt idx="287">
                  <c:v>289</c:v>
                </c:pt>
                <c:pt idx="288">
                  <c:v>290</c:v>
                </c:pt>
                <c:pt idx="289">
                  <c:v>291</c:v>
                </c:pt>
                <c:pt idx="290">
                  <c:v>292</c:v>
                </c:pt>
                <c:pt idx="291">
                  <c:v>293</c:v>
                </c:pt>
                <c:pt idx="292">
                  <c:v>294</c:v>
                </c:pt>
                <c:pt idx="293">
                  <c:v>295</c:v>
                </c:pt>
                <c:pt idx="294">
                  <c:v>296</c:v>
                </c:pt>
                <c:pt idx="295">
                  <c:v>297</c:v>
                </c:pt>
                <c:pt idx="296">
                  <c:v>298</c:v>
                </c:pt>
                <c:pt idx="297">
                  <c:v>299</c:v>
                </c:pt>
                <c:pt idx="298">
                  <c:v>300</c:v>
                </c:pt>
                <c:pt idx="299">
                  <c:v>301</c:v>
                </c:pt>
                <c:pt idx="300">
                  <c:v>302</c:v>
                </c:pt>
                <c:pt idx="301">
                  <c:v>303</c:v>
                </c:pt>
                <c:pt idx="302">
                  <c:v>304</c:v>
                </c:pt>
                <c:pt idx="303">
                  <c:v>305</c:v>
                </c:pt>
                <c:pt idx="304">
                  <c:v>306</c:v>
                </c:pt>
                <c:pt idx="305">
                  <c:v>307</c:v>
                </c:pt>
                <c:pt idx="306">
                  <c:v>308</c:v>
                </c:pt>
                <c:pt idx="307">
                  <c:v>309</c:v>
                </c:pt>
                <c:pt idx="308">
                  <c:v>310</c:v>
                </c:pt>
                <c:pt idx="309">
                  <c:v>311</c:v>
                </c:pt>
                <c:pt idx="310">
                  <c:v>312</c:v>
                </c:pt>
                <c:pt idx="311">
                  <c:v>313</c:v>
                </c:pt>
                <c:pt idx="312">
                  <c:v>314</c:v>
                </c:pt>
                <c:pt idx="313">
                  <c:v>315</c:v>
                </c:pt>
                <c:pt idx="314">
                  <c:v>316</c:v>
                </c:pt>
                <c:pt idx="315">
                  <c:v>317</c:v>
                </c:pt>
                <c:pt idx="316">
                  <c:v>318</c:v>
                </c:pt>
                <c:pt idx="317">
                  <c:v>319</c:v>
                </c:pt>
                <c:pt idx="318">
                  <c:v>320</c:v>
                </c:pt>
                <c:pt idx="319">
                  <c:v>321</c:v>
                </c:pt>
                <c:pt idx="320">
                  <c:v>322</c:v>
                </c:pt>
                <c:pt idx="321">
                  <c:v>323</c:v>
                </c:pt>
                <c:pt idx="322">
                  <c:v>324</c:v>
                </c:pt>
                <c:pt idx="323">
                  <c:v>325</c:v>
                </c:pt>
                <c:pt idx="324">
                  <c:v>326</c:v>
                </c:pt>
                <c:pt idx="325">
                  <c:v>327</c:v>
                </c:pt>
                <c:pt idx="326">
                  <c:v>328</c:v>
                </c:pt>
                <c:pt idx="327">
                  <c:v>329</c:v>
                </c:pt>
                <c:pt idx="328">
                  <c:v>330</c:v>
                </c:pt>
                <c:pt idx="329">
                  <c:v>331</c:v>
                </c:pt>
                <c:pt idx="330">
                  <c:v>332</c:v>
                </c:pt>
                <c:pt idx="331">
                  <c:v>333</c:v>
                </c:pt>
                <c:pt idx="332">
                  <c:v>334</c:v>
                </c:pt>
                <c:pt idx="333">
                  <c:v>335</c:v>
                </c:pt>
                <c:pt idx="334">
                  <c:v>336</c:v>
                </c:pt>
                <c:pt idx="335">
                  <c:v>337</c:v>
                </c:pt>
                <c:pt idx="336">
                  <c:v>338</c:v>
                </c:pt>
                <c:pt idx="337">
                  <c:v>339</c:v>
                </c:pt>
                <c:pt idx="338">
                  <c:v>340</c:v>
                </c:pt>
                <c:pt idx="339">
                  <c:v>341</c:v>
                </c:pt>
                <c:pt idx="340">
                  <c:v>342</c:v>
                </c:pt>
                <c:pt idx="341">
                  <c:v>343</c:v>
                </c:pt>
                <c:pt idx="342">
                  <c:v>344</c:v>
                </c:pt>
                <c:pt idx="343">
                  <c:v>345</c:v>
                </c:pt>
                <c:pt idx="344">
                  <c:v>346</c:v>
                </c:pt>
                <c:pt idx="345">
                  <c:v>347</c:v>
                </c:pt>
                <c:pt idx="346">
                  <c:v>348</c:v>
                </c:pt>
                <c:pt idx="347">
                  <c:v>349</c:v>
                </c:pt>
                <c:pt idx="348">
                  <c:v>350</c:v>
                </c:pt>
                <c:pt idx="349">
                  <c:v>351</c:v>
                </c:pt>
                <c:pt idx="350">
                  <c:v>352</c:v>
                </c:pt>
                <c:pt idx="351">
                  <c:v>353</c:v>
                </c:pt>
                <c:pt idx="352">
                  <c:v>354</c:v>
                </c:pt>
                <c:pt idx="353">
                  <c:v>355</c:v>
                </c:pt>
                <c:pt idx="354">
                  <c:v>356</c:v>
                </c:pt>
                <c:pt idx="355">
                  <c:v>357</c:v>
                </c:pt>
                <c:pt idx="356">
                  <c:v>358</c:v>
                </c:pt>
                <c:pt idx="357">
                  <c:v>359</c:v>
                </c:pt>
                <c:pt idx="358">
                  <c:v>360</c:v>
                </c:pt>
                <c:pt idx="359">
                  <c:v>361</c:v>
                </c:pt>
                <c:pt idx="360">
                  <c:v>362</c:v>
                </c:pt>
                <c:pt idx="361">
                  <c:v>363</c:v>
                </c:pt>
                <c:pt idx="362">
                  <c:v>364</c:v>
                </c:pt>
                <c:pt idx="363">
                  <c:v>365</c:v>
                </c:pt>
                <c:pt idx="364">
                  <c:v>366</c:v>
                </c:pt>
              </c:numCache>
            </c:numRef>
          </c:cat>
          <c:val>
            <c:numRef>
              <c:f>Calculations!$LS$6:$LS$370</c:f>
              <c:numCache>
                <c:formatCode>0.0</c:formatCode>
                <c:ptCount val="365"/>
                <c:pt idx="0">
                  <c:v>-1.5241745131704001</c:v>
                </c:pt>
                <c:pt idx="1">
                  <c:v>-1.5241745131704001</c:v>
                </c:pt>
                <c:pt idx="2">
                  <c:v>-1.5241745131704001</c:v>
                </c:pt>
                <c:pt idx="3">
                  <c:v>-1.5241745131704001</c:v>
                </c:pt>
                <c:pt idx="4">
                  <c:v>-1.5241745131704001</c:v>
                </c:pt>
                <c:pt idx="5">
                  <c:v>-1.5241745131704001</c:v>
                </c:pt>
                <c:pt idx="6">
                  <c:v>-1.5241745131704001</c:v>
                </c:pt>
                <c:pt idx="7">
                  <c:v>-1.5241745131704001</c:v>
                </c:pt>
                <c:pt idx="8">
                  <c:v>-1.5241745131704001</c:v>
                </c:pt>
                <c:pt idx="9">
                  <c:v>-1.5241745131704001</c:v>
                </c:pt>
                <c:pt idx="10">
                  <c:v>-1.5241745131704001</c:v>
                </c:pt>
                <c:pt idx="11">
                  <c:v>-1.5241745131704001</c:v>
                </c:pt>
                <c:pt idx="12">
                  <c:v>-1.5241745131704001</c:v>
                </c:pt>
                <c:pt idx="13">
                  <c:v>-1.5241745131704001</c:v>
                </c:pt>
                <c:pt idx="14">
                  <c:v>-1.5241745131704001</c:v>
                </c:pt>
                <c:pt idx="15">
                  <c:v>-1.5241745131704001</c:v>
                </c:pt>
                <c:pt idx="16">
                  <c:v>-1.5241745131704001</c:v>
                </c:pt>
                <c:pt idx="17">
                  <c:v>-1.5241745131704001</c:v>
                </c:pt>
                <c:pt idx="18">
                  <c:v>-1.5241745131704001</c:v>
                </c:pt>
                <c:pt idx="19">
                  <c:v>-1.5241745131704001</c:v>
                </c:pt>
                <c:pt idx="20">
                  <c:v>-1.5241745131704001</c:v>
                </c:pt>
                <c:pt idx="21">
                  <c:v>-1.5241745131704001</c:v>
                </c:pt>
                <c:pt idx="22">
                  <c:v>-1.5241745131704001</c:v>
                </c:pt>
                <c:pt idx="23">
                  <c:v>-1.5241745131704001</c:v>
                </c:pt>
                <c:pt idx="24">
                  <c:v>-1.5241745131704001</c:v>
                </c:pt>
                <c:pt idx="25">
                  <c:v>-1.5241745131704001</c:v>
                </c:pt>
                <c:pt idx="26">
                  <c:v>-1.5241745131704001</c:v>
                </c:pt>
                <c:pt idx="27">
                  <c:v>-1.5241745131704001</c:v>
                </c:pt>
                <c:pt idx="28">
                  <c:v>-1.5241745131704001</c:v>
                </c:pt>
                <c:pt idx="29">
                  <c:v>-1.5241745131704001</c:v>
                </c:pt>
                <c:pt idx="30">
                  <c:v>-1.5241745131704001</c:v>
                </c:pt>
                <c:pt idx="31">
                  <c:v>-1.5241745131704001</c:v>
                </c:pt>
                <c:pt idx="32">
                  <c:v>-1.5241745131704001</c:v>
                </c:pt>
                <c:pt idx="33">
                  <c:v>-1.5241745131704001</c:v>
                </c:pt>
                <c:pt idx="34">
                  <c:v>-1.5241745131704001</c:v>
                </c:pt>
                <c:pt idx="35">
                  <c:v>-1.5241745131704001</c:v>
                </c:pt>
                <c:pt idx="36">
                  <c:v>-1.5241745131704001</c:v>
                </c:pt>
                <c:pt idx="37">
                  <c:v>-1.5241745131704001</c:v>
                </c:pt>
                <c:pt idx="38">
                  <c:v>-1.5241745131704001</c:v>
                </c:pt>
                <c:pt idx="39">
                  <c:v>-1.5241745131704001</c:v>
                </c:pt>
                <c:pt idx="40">
                  <c:v>-1.5241745131704001</c:v>
                </c:pt>
                <c:pt idx="41">
                  <c:v>-1.5241745131704001</c:v>
                </c:pt>
                <c:pt idx="42">
                  <c:v>-1.5241745131704001</c:v>
                </c:pt>
                <c:pt idx="43">
                  <c:v>-1.5241745131704001</c:v>
                </c:pt>
                <c:pt idx="44">
                  <c:v>-1.5241745131704001</c:v>
                </c:pt>
                <c:pt idx="45">
                  <c:v>-1.5241745131704001</c:v>
                </c:pt>
                <c:pt idx="46">
                  <c:v>-1.5241745131704001</c:v>
                </c:pt>
                <c:pt idx="47">
                  <c:v>-1.5241745131704001</c:v>
                </c:pt>
                <c:pt idx="48">
                  <c:v>-1.5241745131704001</c:v>
                </c:pt>
                <c:pt idx="49">
                  <c:v>-1.5241745131704001</c:v>
                </c:pt>
                <c:pt idx="50">
                  <c:v>-1.5241745131704001</c:v>
                </c:pt>
                <c:pt idx="51">
                  <c:v>-1.5241745131704001</c:v>
                </c:pt>
                <c:pt idx="52">
                  <c:v>-1.5241745131704001</c:v>
                </c:pt>
                <c:pt idx="53">
                  <c:v>-1.5241745131704001</c:v>
                </c:pt>
                <c:pt idx="54">
                  <c:v>-1.5241745131704001</c:v>
                </c:pt>
                <c:pt idx="55">
                  <c:v>-1.5241745131704001</c:v>
                </c:pt>
                <c:pt idx="56">
                  <c:v>-1.5241745131704001</c:v>
                </c:pt>
                <c:pt idx="57">
                  <c:v>-1.5241745131704001</c:v>
                </c:pt>
                <c:pt idx="58">
                  <c:v>-1.5241745131704001</c:v>
                </c:pt>
                <c:pt idx="59">
                  <c:v>-1.5241745131704001</c:v>
                </c:pt>
                <c:pt idx="60">
                  <c:v>-1.5241745131704001</c:v>
                </c:pt>
                <c:pt idx="61">
                  <c:v>-1.5241745131704001</c:v>
                </c:pt>
                <c:pt idx="62">
                  <c:v>-1.5241745131704001</c:v>
                </c:pt>
                <c:pt idx="63">
                  <c:v>-1.5241745131704001</c:v>
                </c:pt>
                <c:pt idx="64">
                  <c:v>-1.5241745131704001</c:v>
                </c:pt>
                <c:pt idx="65">
                  <c:v>-1.5241745131704001</c:v>
                </c:pt>
                <c:pt idx="66">
                  <c:v>-1.5241745131704001</c:v>
                </c:pt>
                <c:pt idx="67">
                  <c:v>-1.5241745131704001</c:v>
                </c:pt>
                <c:pt idx="68">
                  <c:v>-1.5241745131704001</c:v>
                </c:pt>
                <c:pt idx="69">
                  <c:v>-1.5241745131704001</c:v>
                </c:pt>
                <c:pt idx="70">
                  <c:v>-1.5241745131704001</c:v>
                </c:pt>
                <c:pt idx="71">
                  <c:v>-1.5241745131704001</c:v>
                </c:pt>
                <c:pt idx="72">
                  <c:v>-1.5241745131704001</c:v>
                </c:pt>
                <c:pt idx="73">
                  <c:v>-1.5241745131704001</c:v>
                </c:pt>
                <c:pt idx="74">
                  <c:v>-1.5241745131704001</c:v>
                </c:pt>
                <c:pt idx="75">
                  <c:v>-1.5241745131704001</c:v>
                </c:pt>
                <c:pt idx="76">
                  <c:v>-1.5241745131704001</c:v>
                </c:pt>
                <c:pt idx="77">
                  <c:v>-1.5241745131704001</c:v>
                </c:pt>
                <c:pt idx="78">
                  <c:v>-1.5241745131704001</c:v>
                </c:pt>
                <c:pt idx="79">
                  <c:v>-1.5241745131704001</c:v>
                </c:pt>
                <c:pt idx="80">
                  <c:v>-1.5241745131704001</c:v>
                </c:pt>
                <c:pt idx="81">
                  <c:v>-1.5241745131704001</c:v>
                </c:pt>
                <c:pt idx="82">
                  <c:v>-1.5241745131704001</c:v>
                </c:pt>
                <c:pt idx="83">
                  <c:v>-1.5241745131704001</c:v>
                </c:pt>
                <c:pt idx="84">
                  <c:v>-1.5241745131704001</c:v>
                </c:pt>
                <c:pt idx="85">
                  <c:v>-1.5241745131704001</c:v>
                </c:pt>
                <c:pt idx="86">
                  <c:v>-1.5241745131704001</c:v>
                </c:pt>
                <c:pt idx="87">
                  <c:v>-1.5241745131704001</c:v>
                </c:pt>
                <c:pt idx="88">
                  <c:v>-1.5241745131704001</c:v>
                </c:pt>
                <c:pt idx="89">
                  <c:v>-1.5241745131704001</c:v>
                </c:pt>
                <c:pt idx="90">
                  <c:v>-1.5241745131704001</c:v>
                </c:pt>
                <c:pt idx="91">
                  <c:v>-1.5241745131704001</c:v>
                </c:pt>
                <c:pt idx="92">
                  <c:v>-1.5241745131704001</c:v>
                </c:pt>
                <c:pt idx="93">
                  <c:v>-1.5241745131704001</c:v>
                </c:pt>
                <c:pt idx="94">
                  <c:v>-1.5241745131704001</c:v>
                </c:pt>
                <c:pt idx="95">
                  <c:v>-1.5241745131704001</c:v>
                </c:pt>
                <c:pt idx="96">
                  <c:v>-1.5241745131704001</c:v>
                </c:pt>
                <c:pt idx="97">
                  <c:v>-1.5241745131704001</c:v>
                </c:pt>
                <c:pt idx="98">
                  <c:v>-1.5241745131704001</c:v>
                </c:pt>
                <c:pt idx="99">
                  <c:v>-1.5241745131704001</c:v>
                </c:pt>
                <c:pt idx="100">
                  <c:v>-1.5241745131704001</c:v>
                </c:pt>
                <c:pt idx="101">
                  <c:v>-1.5241745131704001</c:v>
                </c:pt>
                <c:pt idx="102">
                  <c:v>-1.5241745131704001</c:v>
                </c:pt>
                <c:pt idx="103">
                  <c:v>-1.5241745131704001</c:v>
                </c:pt>
                <c:pt idx="104">
                  <c:v>-1.5241745131704001</c:v>
                </c:pt>
                <c:pt idx="105">
                  <c:v>-1.5241745131704001</c:v>
                </c:pt>
                <c:pt idx="106">
                  <c:v>-1.5241745131704001</c:v>
                </c:pt>
                <c:pt idx="107">
                  <c:v>-1.5241745131704001</c:v>
                </c:pt>
                <c:pt idx="108">
                  <c:v>-1.5241745131704001</c:v>
                </c:pt>
                <c:pt idx="109">
                  <c:v>-1.5241745131704001</c:v>
                </c:pt>
                <c:pt idx="110">
                  <c:v>-1.5241745131704001</c:v>
                </c:pt>
                <c:pt idx="111">
                  <c:v>-1.5241745131704001</c:v>
                </c:pt>
                <c:pt idx="112">
                  <c:v>-1.5241745131704001</c:v>
                </c:pt>
                <c:pt idx="113">
                  <c:v>-1.5241745131704001</c:v>
                </c:pt>
                <c:pt idx="114">
                  <c:v>-1.5241745131704001</c:v>
                </c:pt>
                <c:pt idx="115">
                  <c:v>-1.5241745131704001</c:v>
                </c:pt>
                <c:pt idx="116">
                  <c:v>-1.5241745131704001</c:v>
                </c:pt>
                <c:pt idx="117">
                  <c:v>-1.5241745131704001</c:v>
                </c:pt>
                <c:pt idx="118">
                  <c:v>-1.5241745131704001</c:v>
                </c:pt>
                <c:pt idx="119">
                  <c:v>-1.5241745131704001</c:v>
                </c:pt>
                <c:pt idx="120">
                  <c:v>-1.5241745131704001</c:v>
                </c:pt>
                <c:pt idx="121">
                  <c:v>-1.5241745131704001</c:v>
                </c:pt>
                <c:pt idx="122">
                  <c:v>-1.5241745131704001</c:v>
                </c:pt>
                <c:pt idx="123">
                  <c:v>-1.5241745131704001</c:v>
                </c:pt>
                <c:pt idx="124">
                  <c:v>-1.5241745131704001</c:v>
                </c:pt>
                <c:pt idx="125">
                  <c:v>-1.5241745131704001</c:v>
                </c:pt>
                <c:pt idx="126">
                  <c:v>-1.5241745131704001</c:v>
                </c:pt>
                <c:pt idx="127">
                  <c:v>-1.5241745131704001</c:v>
                </c:pt>
                <c:pt idx="128">
                  <c:v>-1.5241745131704001</c:v>
                </c:pt>
                <c:pt idx="129">
                  <c:v>-1.5241745131704001</c:v>
                </c:pt>
                <c:pt idx="130">
                  <c:v>-1.5241745131704001</c:v>
                </c:pt>
                <c:pt idx="131">
                  <c:v>-1.5241745131704001</c:v>
                </c:pt>
                <c:pt idx="132">
                  <c:v>-1.5241745131704001</c:v>
                </c:pt>
                <c:pt idx="133">
                  <c:v>-1.5241745131704001</c:v>
                </c:pt>
                <c:pt idx="134">
                  <c:v>-1.5241745131704001</c:v>
                </c:pt>
                <c:pt idx="135">
                  <c:v>-1.5241745131704001</c:v>
                </c:pt>
                <c:pt idx="136">
                  <c:v>-1.5241745131704001</c:v>
                </c:pt>
                <c:pt idx="137">
                  <c:v>-1.5241745131704001</c:v>
                </c:pt>
                <c:pt idx="138">
                  <c:v>-1.5241745131704001</c:v>
                </c:pt>
                <c:pt idx="139">
                  <c:v>-1.5241745131704001</c:v>
                </c:pt>
                <c:pt idx="140">
                  <c:v>-1.5241745131704001</c:v>
                </c:pt>
                <c:pt idx="141">
                  <c:v>-1.5241745131704001</c:v>
                </c:pt>
                <c:pt idx="142">
                  <c:v>-1.5241745131704001</c:v>
                </c:pt>
                <c:pt idx="143">
                  <c:v>-1.5241745131704001</c:v>
                </c:pt>
                <c:pt idx="144">
                  <c:v>-1.5241745131704001</c:v>
                </c:pt>
                <c:pt idx="145">
                  <c:v>-1.5241745131704001</c:v>
                </c:pt>
                <c:pt idx="146">
                  <c:v>-1.5241745131704001</c:v>
                </c:pt>
                <c:pt idx="147">
                  <c:v>-1.5241745131704001</c:v>
                </c:pt>
                <c:pt idx="148">
                  <c:v>-1.5241745131704001</c:v>
                </c:pt>
                <c:pt idx="149">
                  <c:v>-1.5241745131704001</c:v>
                </c:pt>
                <c:pt idx="150">
                  <c:v>-1.5241745131704001</c:v>
                </c:pt>
                <c:pt idx="151">
                  <c:v>-1.5241745131704001</c:v>
                </c:pt>
                <c:pt idx="152">
                  <c:v>-1.5241745131704001</c:v>
                </c:pt>
                <c:pt idx="153">
                  <c:v>-1.5241745131704001</c:v>
                </c:pt>
                <c:pt idx="154">
                  <c:v>-1.5241745131704001</c:v>
                </c:pt>
                <c:pt idx="155">
                  <c:v>-1.5241745131704001</c:v>
                </c:pt>
                <c:pt idx="156">
                  <c:v>-1.5241745131704001</c:v>
                </c:pt>
                <c:pt idx="157">
                  <c:v>-1.5241745131704001</c:v>
                </c:pt>
                <c:pt idx="158">
                  <c:v>-1.5241745131704001</c:v>
                </c:pt>
                <c:pt idx="159">
                  <c:v>-1.5241745131704001</c:v>
                </c:pt>
                <c:pt idx="160">
                  <c:v>-1.5241745131704001</c:v>
                </c:pt>
                <c:pt idx="161">
                  <c:v>-1.5241745131704001</c:v>
                </c:pt>
                <c:pt idx="162">
                  <c:v>-1.5241745131704001</c:v>
                </c:pt>
                <c:pt idx="163">
                  <c:v>-1.5241745131704001</c:v>
                </c:pt>
                <c:pt idx="164">
                  <c:v>-1.5241745131704001</c:v>
                </c:pt>
                <c:pt idx="165">
                  <c:v>-1.5241745131704001</c:v>
                </c:pt>
                <c:pt idx="166">
                  <c:v>-1.5241745131704001</c:v>
                </c:pt>
                <c:pt idx="167">
                  <c:v>-1.5241745131704001</c:v>
                </c:pt>
                <c:pt idx="168">
                  <c:v>-1.5241745131704001</c:v>
                </c:pt>
                <c:pt idx="169">
                  <c:v>-1.5241745131704001</c:v>
                </c:pt>
                <c:pt idx="170">
                  <c:v>-1.5241745131704001</c:v>
                </c:pt>
                <c:pt idx="171">
                  <c:v>-1.5241745131704001</c:v>
                </c:pt>
                <c:pt idx="172">
                  <c:v>-1.5241745131704001</c:v>
                </c:pt>
                <c:pt idx="173">
                  <c:v>-1.5241745131704001</c:v>
                </c:pt>
                <c:pt idx="174">
                  <c:v>-1.5241745131704001</c:v>
                </c:pt>
                <c:pt idx="175">
                  <c:v>-1.5241745131704001</c:v>
                </c:pt>
                <c:pt idx="176">
                  <c:v>-1.5241745131704001</c:v>
                </c:pt>
                <c:pt idx="177">
                  <c:v>-1.5241745131704001</c:v>
                </c:pt>
                <c:pt idx="178">
                  <c:v>-1.5241745131704001</c:v>
                </c:pt>
                <c:pt idx="179">
                  <c:v>-1.5241745131704001</c:v>
                </c:pt>
                <c:pt idx="180">
                  <c:v>-1.5241745131704001</c:v>
                </c:pt>
                <c:pt idx="181">
                  <c:v>-1.5241745131704001</c:v>
                </c:pt>
                <c:pt idx="182">
                  <c:v>-1.5241745131704001</c:v>
                </c:pt>
                <c:pt idx="183">
                  <c:v>-1.5241745131704001</c:v>
                </c:pt>
                <c:pt idx="184">
                  <c:v>-1.5241745131704001</c:v>
                </c:pt>
                <c:pt idx="185">
                  <c:v>-1.5241745131704001</c:v>
                </c:pt>
                <c:pt idx="186">
                  <c:v>-1.5241745131704001</c:v>
                </c:pt>
                <c:pt idx="187">
                  <c:v>-1.5241745131704001</c:v>
                </c:pt>
                <c:pt idx="188">
                  <c:v>-1.5241745131704001</c:v>
                </c:pt>
                <c:pt idx="189">
                  <c:v>-1.5241745131704001</c:v>
                </c:pt>
                <c:pt idx="190">
                  <c:v>-1.5241745131704001</c:v>
                </c:pt>
                <c:pt idx="191">
                  <c:v>-1.5241745131704001</c:v>
                </c:pt>
                <c:pt idx="192">
                  <c:v>-1.5241745131704001</c:v>
                </c:pt>
                <c:pt idx="193">
                  <c:v>-1.5241745131704001</c:v>
                </c:pt>
                <c:pt idx="194">
                  <c:v>-1.5241745131704001</c:v>
                </c:pt>
                <c:pt idx="195">
                  <c:v>-1.5241745131704001</c:v>
                </c:pt>
                <c:pt idx="196">
                  <c:v>-1.5241745131704001</c:v>
                </c:pt>
                <c:pt idx="197">
                  <c:v>-1.5241745131704001</c:v>
                </c:pt>
                <c:pt idx="198">
                  <c:v>-1.5241745131704001</c:v>
                </c:pt>
                <c:pt idx="199">
                  <c:v>-1.5241745131704001</c:v>
                </c:pt>
                <c:pt idx="200">
                  <c:v>-1.5241745131704001</c:v>
                </c:pt>
                <c:pt idx="201">
                  <c:v>-1.5241745131704001</c:v>
                </c:pt>
                <c:pt idx="202">
                  <c:v>-1.5241745131704001</c:v>
                </c:pt>
                <c:pt idx="203">
                  <c:v>-1.5241745131704001</c:v>
                </c:pt>
                <c:pt idx="204">
                  <c:v>-1.5241745131704001</c:v>
                </c:pt>
                <c:pt idx="205">
                  <c:v>-1.5241745131704001</c:v>
                </c:pt>
                <c:pt idx="206">
                  <c:v>-1.5241745131704001</c:v>
                </c:pt>
                <c:pt idx="207">
                  <c:v>-1.5241745131704001</c:v>
                </c:pt>
                <c:pt idx="208">
                  <c:v>-1.5241745131704001</c:v>
                </c:pt>
                <c:pt idx="209">
                  <c:v>-1.5241745131704001</c:v>
                </c:pt>
                <c:pt idx="210">
                  <c:v>-1.5241745131704001</c:v>
                </c:pt>
                <c:pt idx="211">
                  <c:v>-1.5241745131704001</c:v>
                </c:pt>
                <c:pt idx="212">
                  <c:v>-1.5241745131704001</c:v>
                </c:pt>
                <c:pt idx="213">
                  <c:v>-1.5241745131704001</c:v>
                </c:pt>
                <c:pt idx="214">
                  <c:v>-1.5241745131704001</c:v>
                </c:pt>
                <c:pt idx="215">
                  <c:v>-1.5241745131704001</c:v>
                </c:pt>
                <c:pt idx="216">
                  <c:v>-1.5241745131704001</c:v>
                </c:pt>
                <c:pt idx="217">
                  <c:v>-1.5241745131704001</c:v>
                </c:pt>
                <c:pt idx="218">
                  <c:v>-1.5241745131704001</c:v>
                </c:pt>
                <c:pt idx="219">
                  <c:v>-1.5241745131704001</c:v>
                </c:pt>
                <c:pt idx="220">
                  <c:v>-1.5241745131704001</c:v>
                </c:pt>
                <c:pt idx="221">
                  <c:v>-1.5241745131704001</c:v>
                </c:pt>
                <c:pt idx="222">
                  <c:v>-1.5241745131704001</c:v>
                </c:pt>
                <c:pt idx="223">
                  <c:v>-1.5241745131704001</c:v>
                </c:pt>
                <c:pt idx="224">
                  <c:v>-1.5241745131704001</c:v>
                </c:pt>
                <c:pt idx="225">
                  <c:v>-1.5241745131704001</c:v>
                </c:pt>
                <c:pt idx="226">
                  <c:v>-1.5241745131704001</c:v>
                </c:pt>
                <c:pt idx="227">
                  <c:v>-1.5241745131704001</c:v>
                </c:pt>
                <c:pt idx="228">
                  <c:v>-1.5241745131704001</c:v>
                </c:pt>
                <c:pt idx="229">
                  <c:v>-1.5241745131704001</c:v>
                </c:pt>
                <c:pt idx="230">
                  <c:v>-1.5241745131704001</c:v>
                </c:pt>
                <c:pt idx="231">
                  <c:v>-1.5241745131704001</c:v>
                </c:pt>
                <c:pt idx="232">
                  <c:v>-1.5241745131704001</c:v>
                </c:pt>
                <c:pt idx="233">
                  <c:v>-1.5241745131704001</c:v>
                </c:pt>
                <c:pt idx="234">
                  <c:v>-1.5241745131704001</c:v>
                </c:pt>
                <c:pt idx="235">
                  <c:v>-1.5241745131704001</c:v>
                </c:pt>
                <c:pt idx="236">
                  <c:v>-1.5241745131704001</c:v>
                </c:pt>
                <c:pt idx="237">
                  <c:v>-1.5241745131704001</c:v>
                </c:pt>
                <c:pt idx="238">
                  <c:v>-1.5241745131704001</c:v>
                </c:pt>
                <c:pt idx="239">
                  <c:v>-1.5241745131704001</c:v>
                </c:pt>
                <c:pt idx="240">
                  <c:v>-1.5241745131704001</c:v>
                </c:pt>
                <c:pt idx="241">
                  <c:v>-1.5241745131704001</c:v>
                </c:pt>
                <c:pt idx="242">
                  <c:v>-1.5241745131704001</c:v>
                </c:pt>
                <c:pt idx="243">
                  <c:v>-1.5241745131704001</c:v>
                </c:pt>
                <c:pt idx="244">
                  <c:v>-1.5241745131704001</c:v>
                </c:pt>
                <c:pt idx="245">
                  <c:v>-1.5241745131704001</c:v>
                </c:pt>
                <c:pt idx="246">
                  <c:v>-1.5241745131704001</c:v>
                </c:pt>
                <c:pt idx="247">
                  <c:v>-1.5241745131704001</c:v>
                </c:pt>
                <c:pt idx="248">
                  <c:v>-1.5241745131704001</c:v>
                </c:pt>
                <c:pt idx="249">
                  <c:v>-1.5241745131704001</c:v>
                </c:pt>
                <c:pt idx="250">
                  <c:v>-1.5241745131704001</c:v>
                </c:pt>
                <c:pt idx="251">
                  <c:v>-1.5241745131704001</c:v>
                </c:pt>
                <c:pt idx="252">
                  <c:v>-1.5241745131704001</c:v>
                </c:pt>
                <c:pt idx="253">
                  <c:v>-1.5241745131704001</c:v>
                </c:pt>
                <c:pt idx="254">
                  <c:v>-1.5241745131704001</c:v>
                </c:pt>
                <c:pt idx="255">
                  <c:v>-1.5241745131704001</c:v>
                </c:pt>
                <c:pt idx="256">
                  <c:v>-1.5241745131704001</c:v>
                </c:pt>
                <c:pt idx="257">
                  <c:v>-1.5241745131704001</c:v>
                </c:pt>
                <c:pt idx="258">
                  <c:v>-1.5241745131704001</c:v>
                </c:pt>
                <c:pt idx="259">
                  <c:v>-1.5241745131704001</c:v>
                </c:pt>
                <c:pt idx="260">
                  <c:v>-1.5241745131704001</c:v>
                </c:pt>
                <c:pt idx="261">
                  <c:v>-1.5241745131704001</c:v>
                </c:pt>
                <c:pt idx="262">
                  <c:v>-1.5241745131704001</c:v>
                </c:pt>
                <c:pt idx="263">
                  <c:v>-1.5241745131704001</c:v>
                </c:pt>
                <c:pt idx="264">
                  <c:v>-1.5241745131704001</c:v>
                </c:pt>
                <c:pt idx="265">
                  <c:v>-1.5241745131704001</c:v>
                </c:pt>
                <c:pt idx="266">
                  <c:v>-1.5241745131704001</c:v>
                </c:pt>
                <c:pt idx="267">
                  <c:v>-1.5241745131704001</c:v>
                </c:pt>
                <c:pt idx="268">
                  <c:v>-1.5241745131704001</c:v>
                </c:pt>
                <c:pt idx="269">
                  <c:v>-1.5241745131704001</c:v>
                </c:pt>
                <c:pt idx="270">
                  <c:v>-1.5241745131704001</c:v>
                </c:pt>
                <c:pt idx="271">
                  <c:v>-1.5241745131704001</c:v>
                </c:pt>
                <c:pt idx="272">
                  <c:v>-1.5241745131704001</c:v>
                </c:pt>
                <c:pt idx="273">
                  <c:v>-1.5241745131704001</c:v>
                </c:pt>
                <c:pt idx="274">
                  <c:v>-1.5241745131704001</c:v>
                </c:pt>
                <c:pt idx="275">
                  <c:v>-1.5241745131704001</c:v>
                </c:pt>
                <c:pt idx="276">
                  <c:v>-1.5241745131704001</c:v>
                </c:pt>
                <c:pt idx="277">
                  <c:v>-1.5241745131704001</c:v>
                </c:pt>
                <c:pt idx="278">
                  <c:v>-1.5241745131704001</c:v>
                </c:pt>
                <c:pt idx="279">
                  <c:v>-1.5241745131704001</c:v>
                </c:pt>
                <c:pt idx="280">
                  <c:v>-1.5241745131704001</c:v>
                </c:pt>
                <c:pt idx="281">
                  <c:v>-1.5241745131704001</c:v>
                </c:pt>
                <c:pt idx="282">
                  <c:v>-1.5241745131704001</c:v>
                </c:pt>
                <c:pt idx="283">
                  <c:v>-1.5241745131704001</c:v>
                </c:pt>
                <c:pt idx="284">
                  <c:v>-1.5241745131704001</c:v>
                </c:pt>
                <c:pt idx="285">
                  <c:v>-1.5241745131704001</c:v>
                </c:pt>
                <c:pt idx="286">
                  <c:v>-1.5241745131704001</c:v>
                </c:pt>
                <c:pt idx="287">
                  <c:v>-1.5241745131704001</c:v>
                </c:pt>
                <c:pt idx="288">
                  <c:v>-1.5241745131704001</c:v>
                </c:pt>
                <c:pt idx="289">
                  <c:v>-1.5241745131704001</c:v>
                </c:pt>
                <c:pt idx="290">
                  <c:v>-1.5241745131704001</c:v>
                </c:pt>
                <c:pt idx="291">
                  <c:v>-1.5241745131704001</c:v>
                </c:pt>
                <c:pt idx="292">
                  <c:v>-1.5241745131704001</c:v>
                </c:pt>
                <c:pt idx="293">
                  <c:v>-1.5241745131704001</c:v>
                </c:pt>
                <c:pt idx="294">
                  <c:v>-1.5241745131704001</c:v>
                </c:pt>
                <c:pt idx="295">
                  <c:v>-1.5241745131704001</c:v>
                </c:pt>
                <c:pt idx="296">
                  <c:v>-1.5241745131704001</c:v>
                </c:pt>
                <c:pt idx="297">
                  <c:v>-1.5241745131704001</c:v>
                </c:pt>
                <c:pt idx="298">
                  <c:v>-1.5241745131704001</c:v>
                </c:pt>
                <c:pt idx="299">
                  <c:v>-1.5241745131704001</c:v>
                </c:pt>
                <c:pt idx="300">
                  <c:v>-1.5241745131704001</c:v>
                </c:pt>
                <c:pt idx="301">
                  <c:v>-1.5241745131704001</c:v>
                </c:pt>
                <c:pt idx="302">
                  <c:v>-1.5241745131704001</c:v>
                </c:pt>
                <c:pt idx="303">
                  <c:v>-1.5241745131704001</c:v>
                </c:pt>
                <c:pt idx="304">
                  <c:v>-1.5241745131704001</c:v>
                </c:pt>
                <c:pt idx="305">
                  <c:v>-1.5241745131704001</c:v>
                </c:pt>
                <c:pt idx="306">
                  <c:v>-1.5241745131704001</c:v>
                </c:pt>
                <c:pt idx="307">
                  <c:v>-1.5241745131704001</c:v>
                </c:pt>
                <c:pt idx="308">
                  <c:v>-1.5241745131704001</c:v>
                </c:pt>
                <c:pt idx="309">
                  <c:v>-1.5241745131704001</c:v>
                </c:pt>
                <c:pt idx="310">
                  <c:v>-1.5241745131704001</c:v>
                </c:pt>
                <c:pt idx="311">
                  <c:v>-1.5241745131704001</c:v>
                </c:pt>
                <c:pt idx="312">
                  <c:v>-1.5241745131704001</c:v>
                </c:pt>
                <c:pt idx="313">
                  <c:v>-1.5241745131704001</c:v>
                </c:pt>
                <c:pt idx="314">
                  <c:v>-1.5241745131704001</c:v>
                </c:pt>
                <c:pt idx="315">
                  <c:v>-1.5241745131704001</c:v>
                </c:pt>
                <c:pt idx="316">
                  <c:v>-1.5241745131704001</c:v>
                </c:pt>
                <c:pt idx="317">
                  <c:v>-1.5241745131704001</c:v>
                </c:pt>
                <c:pt idx="318">
                  <c:v>-1.5241745131704001</c:v>
                </c:pt>
                <c:pt idx="319">
                  <c:v>-1.5241745131704001</c:v>
                </c:pt>
                <c:pt idx="320">
                  <c:v>-1.5241745131704001</c:v>
                </c:pt>
                <c:pt idx="321">
                  <c:v>-1.5241745131704001</c:v>
                </c:pt>
                <c:pt idx="322">
                  <c:v>-1.5241745131704001</c:v>
                </c:pt>
                <c:pt idx="323">
                  <c:v>-1.5241745131704001</c:v>
                </c:pt>
                <c:pt idx="324">
                  <c:v>-1.5241745131704001</c:v>
                </c:pt>
                <c:pt idx="325">
                  <c:v>-1.5241745131704001</c:v>
                </c:pt>
                <c:pt idx="326">
                  <c:v>-1.5241745131704001</c:v>
                </c:pt>
                <c:pt idx="327">
                  <c:v>-1.5241745131704001</c:v>
                </c:pt>
                <c:pt idx="328">
                  <c:v>-1.5241745131704001</c:v>
                </c:pt>
                <c:pt idx="329">
                  <c:v>-1.5241745131704001</c:v>
                </c:pt>
                <c:pt idx="330">
                  <c:v>-1.5241745131704001</c:v>
                </c:pt>
                <c:pt idx="331">
                  <c:v>-1.5241745131704001</c:v>
                </c:pt>
                <c:pt idx="332">
                  <c:v>-1.5241745131704001</c:v>
                </c:pt>
                <c:pt idx="333">
                  <c:v>-1.5241745131704001</c:v>
                </c:pt>
                <c:pt idx="334">
                  <c:v>-1.5241745131704001</c:v>
                </c:pt>
                <c:pt idx="335">
                  <c:v>-1.5241745131704001</c:v>
                </c:pt>
                <c:pt idx="336">
                  <c:v>-1.5241745131704001</c:v>
                </c:pt>
                <c:pt idx="337">
                  <c:v>-1.5241745131704001</c:v>
                </c:pt>
                <c:pt idx="338">
                  <c:v>-1.5241745131704001</c:v>
                </c:pt>
                <c:pt idx="339">
                  <c:v>-1.5241745131704001</c:v>
                </c:pt>
                <c:pt idx="340">
                  <c:v>-1.5241745131704001</c:v>
                </c:pt>
                <c:pt idx="341">
                  <c:v>-1.5241745131704001</c:v>
                </c:pt>
                <c:pt idx="342">
                  <c:v>-1.5241745131704001</c:v>
                </c:pt>
                <c:pt idx="343">
                  <c:v>-1.5241745131704001</c:v>
                </c:pt>
                <c:pt idx="344">
                  <c:v>-1.5241745131704001</c:v>
                </c:pt>
                <c:pt idx="345">
                  <c:v>-1.5241745131704001</c:v>
                </c:pt>
                <c:pt idx="346">
                  <c:v>-1.5241745131704001</c:v>
                </c:pt>
                <c:pt idx="347">
                  <c:v>-1.5241745131704001</c:v>
                </c:pt>
                <c:pt idx="348">
                  <c:v>-1.5241745131704001</c:v>
                </c:pt>
                <c:pt idx="349">
                  <c:v>-1.5241745131704001</c:v>
                </c:pt>
                <c:pt idx="350">
                  <c:v>-1.5241745131704001</c:v>
                </c:pt>
                <c:pt idx="351">
                  <c:v>-1.5241745131704001</c:v>
                </c:pt>
                <c:pt idx="352">
                  <c:v>-1.5241745131704001</c:v>
                </c:pt>
                <c:pt idx="353">
                  <c:v>-1.5241745131704001</c:v>
                </c:pt>
                <c:pt idx="354">
                  <c:v>-1.5241745131704001</c:v>
                </c:pt>
                <c:pt idx="355">
                  <c:v>-1.5241745131704001</c:v>
                </c:pt>
                <c:pt idx="356">
                  <c:v>-1.5241745131704001</c:v>
                </c:pt>
                <c:pt idx="357">
                  <c:v>-1.5241745131704001</c:v>
                </c:pt>
                <c:pt idx="358">
                  <c:v>-1.5241745131704001</c:v>
                </c:pt>
                <c:pt idx="359">
                  <c:v>-1.5241745131704001</c:v>
                </c:pt>
                <c:pt idx="360">
                  <c:v>-1.5241745131704001</c:v>
                </c:pt>
                <c:pt idx="361">
                  <c:v>-1.5241745131704001</c:v>
                </c:pt>
                <c:pt idx="362">
                  <c:v>-1.5241745131704001</c:v>
                </c:pt>
                <c:pt idx="363">
                  <c:v>-1.5241745131704001</c:v>
                </c:pt>
                <c:pt idx="364">
                  <c:v>-1.5241745131704001</c:v>
                </c:pt>
              </c:numCache>
            </c:numRef>
          </c:val>
          <c:smooth val="1"/>
          <c:extLst>
            <c:ext xmlns:c16="http://schemas.microsoft.com/office/drawing/2014/chart" uri="{C3380CC4-5D6E-409C-BE32-E72D297353CC}">
              <c16:uniqueId val="{00000002-6A38-4FB8-919A-7EC7BA0A6774}"/>
            </c:ext>
          </c:extLst>
        </c:ser>
        <c:dLbls>
          <c:showLegendKey val="0"/>
          <c:showVal val="0"/>
          <c:showCatName val="0"/>
          <c:showSerName val="0"/>
          <c:showPercent val="0"/>
          <c:showBubbleSize val="0"/>
        </c:dLbls>
        <c:smooth val="0"/>
        <c:axId val="399222192"/>
        <c:axId val="399217096"/>
        <c:extLst>
          <c:ext xmlns:c15="http://schemas.microsoft.com/office/drawing/2012/chart" uri="{02D57815-91ED-43cb-92C2-25804820EDAC}">
            <c15:filteredLineSeries>
              <c15:ser>
                <c:idx val="0"/>
                <c:order val="2"/>
                <c:tx>
                  <c:v>Shortwave radiation (MJ m-2)</c:v>
                </c:tx>
                <c:spPr>
                  <a:ln w="19050" cap="rnd">
                    <a:solidFill>
                      <a:schemeClr val="accent1"/>
                    </a:solidFill>
                    <a:round/>
                  </a:ln>
                  <a:effectLst/>
                </c:spPr>
                <c:marker>
                  <c:symbol val="none"/>
                </c:marker>
                <c:cat>
                  <c:numRef>
                    <c:extLst>
                      <c:ext uri="{02D57815-91ED-43cb-92C2-25804820EDAC}">
                        <c15:formulaRef>
                          <c15:sqref>Calculations!$AG$6:$AG$370</c15:sqref>
                        </c15:formulaRef>
                      </c:ext>
                    </c:extLst>
                    <c:numCache>
                      <c:formatCode>m/d/yyyy</c:formatCode>
                      <c:ptCount val="36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61</c:v>
                      </c:pt>
                      <c:pt idx="60">
                        <c:v>62</c:v>
                      </c:pt>
                      <c:pt idx="61">
                        <c:v>63</c:v>
                      </c:pt>
                      <c:pt idx="62">
                        <c:v>64</c:v>
                      </c:pt>
                      <c:pt idx="63">
                        <c:v>65</c:v>
                      </c:pt>
                      <c:pt idx="64">
                        <c:v>66</c:v>
                      </c:pt>
                      <c:pt idx="65">
                        <c:v>67</c:v>
                      </c:pt>
                      <c:pt idx="66">
                        <c:v>68</c:v>
                      </c:pt>
                      <c:pt idx="67">
                        <c:v>69</c:v>
                      </c:pt>
                      <c:pt idx="68">
                        <c:v>70</c:v>
                      </c:pt>
                      <c:pt idx="69">
                        <c:v>71</c:v>
                      </c:pt>
                      <c:pt idx="70">
                        <c:v>72</c:v>
                      </c:pt>
                      <c:pt idx="71">
                        <c:v>73</c:v>
                      </c:pt>
                      <c:pt idx="72">
                        <c:v>74</c:v>
                      </c:pt>
                      <c:pt idx="73">
                        <c:v>75</c:v>
                      </c:pt>
                      <c:pt idx="74">
                        <c:v>76</c:v>
                      </c:pt>
                      <c:pt idx="75">
                        <c:v>77</c:v>
                      </c:pt>
                      <c:pt idx="76">
                        <c:v>78</c:v>
                      </c:pt>
                      <c:pt idx="77">
                        <c:v>79</c:v>
                      </c:pt>
                      <c:pt idx="78">
                        <c:v>80</c:v>
                      </c:pt>
                      <c:pt idx="79">
                        <c:v>81</c:v>
                      </c:pt>
                      <c:pt idx="80">
                        <c:v>82</c:v>
                      </c:pt>
                      <c:pt idx="81">
                        <c:v>83</c:v>
                      </c:pt>
                      <c:pt idx="82">
                        <c:v>84</c:v>
                      </c:pt>
                      <c:pt idx="83">
                        <c:v>85</c:v>
                      </c:pt>
                      <c:pt idx="84">
                        <c:v>86</c:v>
                      </c:pt>
                      <c:pt idx="85">
                        <c:v>87</c:v>
                      </c:pt>
                      <c:pt idx="86">
                        <c:v>88</c:v>
                      </c:pt>
                      <c:pt idx="87">
                        <c:v>89</c:v>
                      </c:pt>
                      <c:pt idx="88">
                        <c:v>90</c:v>
                      </c:pt>
                      <c:pt idx="89">
                        <c:v>91</c:v>
                      </c:pt>
                      <c:pt idx="90">
                        <c:v>92</c:v>
                      </c:pt>
                      <c:pt idx="91">
                        <c:v>93</c:v>
                      </c:pt>
                      <c:pt idx="92">
                        <c:v>94</c:v>
                      </c:pt>
                      <c:pt idx="93">
                        <c:v>95</c:v>
                      </c:pt>
                      <c:pt idx="94">
                        <c:v>96</c:v>
                      </c:pt>
                      <c:pt idx="95">
                        <c:v>97</c:v>
                      </c:pt>
                      <c:pt idx="96">
                        <c:v>98</c:v>
                      </c:pt>
                      <c:pt idx="97">
                        <c:v>99</c:v>
                      </c:pt>
                      <c:pt idx="98">
                        <c:v>100</c:v>
                      </c:pt>
                      <c:pt idx="99">
                        <c:v>101</c:v>
                      </c:pt>
                      <c:pt idx="100">
                        <c:v>102</c:v>
                      </c:pt>
                      <c:pt idx="101">
                        <c:v>103</c:v>
                      </c:pt>
                      <c:pt idx="102">
                        <c:v>104</c:v>
                      </c:pt>
                      <c:pt idx="103">
                        <c:v>105</c:v>
                      </c:pt>
                      <c:pt idx="104">
                        <c:v>106</c:v>
                      </c:pt>
                      <c:pt idx="105">
                        <c:v>107</c:v>
                      </c:pt>
                      <c:pt idx="106">
                        <c:v>108</c:v>
                      </c:pt>
                      <c:pt idx="107">
                        <c:v>109</c:v>
                      </c:pt>
                      <c:pt idx="108">
                        <c:v>110</c:v>
                      </c:pt>
                      <c:pt idx="109">
                        <c:v>111</c:v>
                      </c:pt>
                      <c:pt idx="110">
                        <c:v>112</c:v>
                      </c:pt>
                      <c:pt idx="111">
                        <c:v>113</c:v>
                      </c:pt>
                      <c:pt idx="112">
                        <c:v>114</c:v>
                      </c:pt>
                      <c:pt idx="113">
                        <c:v>115</c:v>
                      </c:pt>
                      <c:pt idx="114">
                        <c:v>116</c:v>
                      </c:pt>
                      <c:pt idx="115">
                        <c:v>117</c:v>
                      </c:pt>
                      <c:pt idx="116">
                        <c:v>118</c:v>
                      </c:pt>
                      <c:pt idx="117">
                        <c:v>119</c:v>
                      </c:pt>
                      <c:pt idx="118">
                        <c:v>120</c:v>
                      </c:pt>
                      <c:pt idx="119">
                        <c:v>121</c:v>
                      </c:pt>
                      <c:pt idx="120">
                        <c:v>122</c:v>
                      </c:pt>
                      <c:pt idx="121">
                        <c:v>123</c:v>
                      </c:pt>
                      <c:pt idx="122">
                        <c:v>124</c:v>
                      </c:pt>
                      <c:pt idx="123">
                        <c:v>125</c:v>
                      </c:pt>
                      <c:pt idx="124">
                        <c:v>126</c:v>
                      </c:pt>
                      <c:pt idx="125">
                        <c:v>127</c:v>
                      </c:pt>
                      <c:pt idx="126">
                        <c:v>128</c:v>
                      </c:pt>
                      <c:pt idx="127">
                        <c:v>129</c:v>
                      </c:pt>
                      <c:pt idx="128">
                        <c:v>130</c:v>
                      </c:pt>
                      <c:pt idx="129">
                        <c:v>131</c:v>
                      </c:pt>
                      <c:pt idx="130">
                        <c:v>132</c:v>
                      </c:pt>
                      <c:pt idx="131">
                        <c:v>133</c:v>
                      </c:pt>
                      <c:pt idx="132">
                        <c:v>134</c:v>
                      </c:pt>
                      <c:pt idx="133">
                        <c:v>135</c:v>
                      </c:pt>
                      <c:pt idx="134">
                        <c:v>136</c:v>
                      </c:pt>
                      <c:pt idx="135">
                        <c:v>137</c:v>
                      </c:pt>
                      <c:pt idx="136">
                        <c:v>138</c:v>
                      </c:pt>
                      <c:pt idx="137">
                        <c:v>139</c:v>
                      </c:pt>
                      <c:pt idx="138">
                        <c:v>140</c:v>
                      </c:pt>
                      <c:pt idx="139">
                        <c:v>141</c:v>
                      </c:pt>
                      <c:pt idx="140">
                        <c:v>142</c:v>
                      </c:pt>
                      <c:pt idx="141">
                        <c:v>143</c:v>
                      </c:pt>
                      <c:pt idx="142">
                        <c:v>144</c:v>
                      </c:pt>
                      <c:pt idx="143">
                        <c:v>145</c:v>
                      </c:pt>
                      <c:pt idx="144">
                        <c:v>146</c:v>
                      </c:pt>
                      <c:pt idx="145">
                        <c:v>147</c:v>
                      </c:pt>
                      <c:pt idx="146">
                        <c:v>148</c:v>
                      </c:pt>
                      <c:pt idx="147">
                        <c:v>149</c:v>
                      </c:pt>
                      <c:pt idx="148">
                        <c:v>150</c:v>
                      </c:pt>
                      <c:pt idx="149">
                        <c:v>151</c:v>
                      </c:pt>
                      <c:pt idx="150">
                        <c:v>152</c:v>
                      </c:pt>
                      <c:pt idx="151">
                        <c:v>153</c:v>
                      </c:pt>
                      <c:pt idx="152">
                        <c:v>154</c:v>
                      </c:pt>
                      <c:pt idx="153">
                        <c:v>155</c:v>
                      </c:pt>
                      <c:pt idx="154">
                        <c:v>156</c:v>
                      </c:pt>
                      <c:pt idx="155">
                        <c:v>157</c:v>
                      </c:pt>
                      <c:pt idx="156">
                        <c:v>158</c:v>
                      </c:pt>
                      <c:pt idx="157">
                        <c:v>159</c:v>
                      </c:pt>
                      <c:pt idx="158">
                        <c:v>160</c:v>
                      </c:pt>
                      <c:pt idx="159">
                        <c:v>161</c:v>
                      </c:pt>
                      <c:pt idx="160">
                        <c:v>162</c:v>
                      </c:pt>
                      <c:pt idx="161">
                        <c:v>163</c:v>
                      </c:pt>
                      <c:pt idx="162">
                        <c:v>164</c:v>
                      </c:pt>
                      <c:pt idx="163">
                        <c:v>165</c:v>
                      </c:pt>
                      <c:pt idx="164">
                        <c:v>166</c:v>
                      </c:pt>
                      <c:pt idx="165">
                        <c:v>167</c:v>
                      </c:pt>
                      <c:pt idx="166">
                        <c:v>168</c:v>
                      </c:pt>
                      <c:pt idx="167">
                        <c:v>169</c:v>
                      </c:pt>
                      <c:pt idx="168">
                        <c:v>170</c:v>
                      </c:pt>
                      <c:pt idx="169">
                        <c:v>171</c:v>
                      </c:pt>
                      <c:pt idx="170">
                        <c:v>172</c:v>
                      </c:pt>
                      <c:pt idx="171">
                        <c:v>173</c:v>
                      </c:pt>
                      <c:pt idx="172">
                        <c:v>174</c:v>
                      </c:pt>
                      <c:pt idx="173">
                        <c:v>175</c:v>
                      </c:pt>
                      <c:pt idx="174">
                        <c:v>176</c:v>
                      </c:pt>
                      <c:pt idx="175">
                        <c:v>177</c:v>
                      </c:pt>
                      <c:pt idx="176">
                        <c:v>178</c:v>
                      </c:pt>
                      <c:pt idx="177">
                        <c:v>179</c:v>
                      </c:pt>
                      <c:pt idx="178">
                        <c:v>180</c:v>
                      </c:pt>
                      <c:pt idx="179">
                        <c:v>181</c:v>
                      </c:pt>
                      <c:pt idx="180">
                        <c:v>182</c:v>
                      </c:pt>
                      <c:pt idx="181">
                        <c:v>183</c:v>
                      </c:pt>
                      <c:pt idx="182">
                        <c:v>184</c:v>
                      </c:pt>
                      <c:pt idx="183">
                        <c:v>185</c:v>
                      </c:pt>
                      <c:pt idx="184">
                        <c:v>186</c:v>
                      </c:pt>
                      <c:pt idx="185">
                        <c:v>187</c:v>
                      </c:pt>
                      <c:pt idx="186">
                        <c:v>188</c:v>
                      </c:pt>
                      <c:pt idx="187">
                        <c:v>189</c:v>
                      </c:pt>
                      <c:pt idx="188">
                        <c:v>190</c:v>
                      </c:pt>
                      <c:pt idx="189">
                        <c:v>191</c:v>
                      </c:pt>
                      <c:pt idx="190">
                        <c:v>192</c:v>
                      </c:pt>
                      <c:pt idx="191">
                        <c:v>193</c:v>
                      </c:pt>
                      <c:pt idx="192">
                        <c:v>194</c:v>
                      </c:pt>
                      <c:pt idx="193">
                        <c:v>195</c:v>
                      </c:pt>
                      <c:pt idx="194">
                        <c:v>196</c:v>
                      </c:pt>
                      <c:pt idx="195">
                        <c:v>197</c:v>
                      </c:pt>
                      <c:pt idx="196">
                        <c:v>198</c:v>
                      </c:pt>
                      <c:pt idx="197">
                        <c:v>199</c:v>
                      </c:pt>
                      <c:pt idx="198">
                        <c:v>200</c:v>
                      </c:pt>
                      <c:pt idx="199">
                        <c:v>201</c:v>
                      </c:pt>
                      <c:pt idx="200">
                        <c:v>202</c:v>
                      </c:pt>
                      <c:pt idx="201">
                        <c:v>203</c:v>
                      </c:pt>
                      <c:pt idx="202">
                        <c:v>204</c:v>
                      </c:pt>
                      <c:pt idx="203">
                        <c:v>205</c:v>
                      </c:pt>
                      <c:pt idx="204">
                        <c:v>206</c:v>
                      </c:pt>
                      <c:pt idx="205">
                        <c:v>207</c:v>
                      </c:pt>
                      <c:pt idx="206">
                        <c:v>208</c:v>
                      </c:pt>
                      <c:pt idx="207">
                        <c:v>209</c:v>
                      </c:pt>
                      <c:pt idx="208">
                        <c:v>210</c:v>
                      </c:pt>
                      <c:pt idx="209">
                        <c:v>211</c:v>
                      </c:pt>
                      <c:pt idx="210">
                        <c:v>212</c:v>
                      </c:pt>
                      <c:pt idx="211">
                        <c:v>213</c:v>
                      </c:pt>
                      <c:pt idx="212">
                        <c:v>214</c:v>
                      </c:pt>
                      <c:pt idx="213">
                        <c:v>215</c:v>
                      </c:pt>
                      <c:pt idx="214">
                        <c:v>216</c:v>
                      </c:pt>
                      <c:pt idx="215">
                        <c:v>217</c:v>
                      </c:pt>
                      <c:pt idx="216">
                        <c:v>218</c:v>
                      </c:pt>
                      <c:pt idx="217">
                        <c:v>219</c:v>
                      </c:pt>
                      <c:pt idx="218">
                        <c:v>220</c:v>
                      </c:pt>
                      <c:pt idx="219">
                        <c:v>221</c:v>
                      </c:pt>
                      <c:pt idx="220">
                        <c:v>222</c:v>
                      </c:pt>
                      <c:pt idx="221">
                        <c:v>223</c:v>
                      </c:pt>
                      <c:pt idx="222">
                        <c:v>224</c:v>
                      </c:pt>
                      <c:pt idx="223">
                        <c:v>225</c:v>
                      </c:pt>
                      <c:pt idx="224">
                        <c:v>226</c:v>
                      </c:pt>
                      <c:pt idx="225">
                        <c:v>227</c:v>
                      </c:pt>
                      <c:pt idx="226">
                        <c:v>228</c:v>
                      </c:pt>
                      <c:pt idx="227">
                        <c:v>229</c:v>
                      </c:pt>
                      <c:pt idx="228">
                        <c:v>230</c:v>
                      </c:pt>
                      <c:pt idx="229">
                        <c:v>231</c:v>
                      </c:pt>
                      <c:pt idx="230">
                        <c:v>232</c:v>
                      </c:pt>
                      <c:pt idx="231">
                        <c:v>233</c:v>
                      </c:pt>
                      <c:pt idx="232">
                        <c:v>234</c:v>
                      </c:pt>
                      <c:pt idx="233">
                        <c:v>235</c:v>
                      </c:pt>
                      <c:pt idx="234">
                        <c:v>236</c:v>
                      </c:pt>
                      <c:pt idx="235">
                        <c:v>237</c:v>
                      </c:pt>
                      <c:pt idx="236">
                        <c:v>238</c:v>
                      </c:pt>
                      <c:pt idx="237">
                        <c:v>239</c:v>
                      </c:pt>
                      <c:pt idx="238">
                        <c:v>240</c:v>
                      </c:pt>
                      <c:pt idx="239">
                        <c:v>241</c:v>
                      </c:pt>
                      <c:pt idx="240">
                        <c:v>242</c:v>
                      </c:pt>
                      <c:pt idx="241">
                        <c:v>243</c:v>
                      </c:pt>
                      <c:pt idx="242">
                        <c:v>244</c:v>
                      </c:pt>
                      <c:pt idx="243">
                        <c:v>245</c:v>
                      </c:pt>
                      <c:pt idx="244">
                        <c:v>246</c:v>
                      </c:pt>
                      <c:pt idx="245">
                        <c:v>247</c:v>
                      </c:pt>
                      <c:pt idx="246">
                        <c:v>248</c:v>
                      </c:pt>
                      <c:pt idx="247">
                        <c:v>249</c:v>
                      </c:pt>
                      <c:pt idx="248">
                        <c:v>250</c:v>
                      </c:pt>
                      <c:pt idx="249">
                        <c:v>251</c:v>
                      </c:pt>
                      <c:pt idx="250">
                        <c:v>252</c:v>
                      </c:pt>
                      <c:pt idx="251">
                        <c:v>253</c:v>
                      </c:pt>
                      <c:pt idx="252">
                        <c:v>254</c:v>
                      </c:pt>
                      <c:pt idx="253">
                        <c:v>255</c:v>
                      </c:pt>
                      <c:pt idx="254">
                        <c:v>256</c:v>
                      </c:pt>
                      <c:pt idx="255">
                        <c:v>257</c:v>
                      </c:pt>
                      <c:pt idx="256">
                        <c:v>258</c:v>
                      </c:pt>
                      <c:pt idx="257">
                        <c:v>259</c:v>
                      </c:pt>
                      <c:pt idx="258">
                        <c:v>260</c:v>
                      </c:pt>
                      <c:pt idx="259">
                        <c:v>261</c:v>
                      </c:pt>
                      <c:pt idx="260">
                        <c:v>262</c:v>
                      </c:pt>
                      <c:pt idx="261">
                        <c:v>263</c:v>
                      </c:pt>
                      <c:pt idx="262">
                        <c:v>264</c:v>
                      </c:pt>
                      <c:pt idx="263">
                        <c:v>265</c:v>
                      </c:pt>
                      <c:pt idx="264">
                        <c:v>266</c:v>
                      </c:pt>
                      <c:pt idx="265">
                        <c:v>267</c:v>
                      </c:pt>
                      <c:pt idx="266">
                        <c:v>268</c:v>
                      </c:pt>
                      <c:pt idx="267">
                        <c:v>269</c:v>
                      </c:pt>
                      <c:pt idx="268">
                        <c:v>270</c:v>
                      </c:pt>
                      <c:pt idx="269">
                        <c:v>271</c:v>
                      </c:pt>
                      <c:pt idx="270">
                        <c:v>272</c:v>
                      </c:pt>
                      <c:pt idx="271">
                        <c:v>273</c:v>
                      </c:pt>
                      <c:pt idx="272">
                        <c:v>274</c:v>
                      </c:pt>
                      <c:pt idx="273">
                        <c:v>275</c:v>
                      </c:pt>
                      <c:pt idx="274">
                        <c:v>276</c:v>
                      </c:pt>
                      <c:pt idx="275">
                        <c:v>277</c:v>
                      </c:pt>
                      <c:pt idx="276">
                        <c:v>278</c:v>
                      </c:pt>
                      <c:pt idx="277">
                        <c:v>279</c:v>
                      </c:pt>
                      <c:pt idx="278">
                        <c:v>280</c:v>
                      </c:pt>
                      <c:pt idx="279">
                        <c:v>281</c:v>
                      </c:pt>
                      <c:pt idx="280">
                        <c:v>282</c:v>
                      </c:pt>
                      <c:pt idx="281">
                        <c:v>283</c:v>
                      </c:pt>
                      <c:pt idx="282">
                        <c:v>284</c:v>
                      </c:pt>
                      <c:pt idx="283">
                        <c:v>285</c:v>
                      </c:pt>
                      <c:pt idx="284">
                        <c:v>286</c:v>
                      </c:pt>
                      <c:pt idx="285">
                        <c:v>287</c:v>
                      </c:pt>
                      <c:pt idx="286">
                        <c:v>288</c:v>
                      </c:pt>
                      <c:pt idx="287">
                        <c:v>289</c:v>
                      </c:pt>
                      <c:pt idx="288">
                        <c:v>290</c:v>
                      </c:pt>
                      <c:pt idx="289">
                        <c:v>291</c:v>
                      </c:pt>
                      <c:pt idx="290">
                        <c:v>292</c:v>
                      </c:pt>
                      <c:pt idx="291">
                        <c:v>293</c:v>
                      </c:pt>
                      <c:pt idx="292">
                        <c:v>294</c:v>
                      </c:pt>
                      <c:pt idx="293">
                        <c:v>295</c:v>
                      </c:pt>
                      <c:pt idx="294">
                        <c:v>296</c:v>
                      </c:pt>
                      <c:pt idx="295">
                        <c:v>297</c:v>
                      </c:pt>
                      <c:pt idx="296">
                        <c:v>298</c:v>
                      </c:pt>
                      <c:pt idx="297">
                        <c:v>299</c:v>
                      </c:pt>
                      <c:pt idx="298">
                        <c:v>300</c:v>
                      </c:pt>
                      <c:pt idx="299">
                        <c:v>301</c:v>
                      </c:pt>
                      <c:pt idx="300">
                        <c:v>302</c:v>
                      </c:pt>
                      <c:pt idx="301">
                        <c:v>303</c:v>
                      </c:pt>
                      <c:pt idx="302">
                        <c:v>304</c:v>
                      </c:pt>
                      <c:pt idx="303">
                        <c:v>305</c:v>
                      </c:pt>
                      <c:pt idx="304">
                        <c:v>306</c:v>
                      </c:pt>
                      <c:pt idx="305">
                        <c:v>307</c:v>
                      </c:pt>
                      <c:pt idx="306">
                        <c:v>308</c:v>
                      </c:pt>
                      <c:pt idx="307">
                        <c:v>309</c:v>
                      </c:pt>
                      <c:pt idx="308">
                        <c:v>310</c:v>
                      </c:pt>
                      <c:pt idx="309">
                        <c:v>311</c:v>
                      </c:pt>
                      <c:pt idx="310">
                        <c:v>312</c:v>
                      </c:pt>
                      <c:pt idx="311">
                        <c:v>313</c:v>
                      </c:pt>
                      <c:pt idx="312">
                        <c:v>314</c:v>
                      </c:pt>
                      <c:pt idx="313">
                        <c:v>315</c:v>
                      </c:pt>
                      <c:pt idx="314">
                        <c:v>316</c:v>
                      </c:pt>
                      <c:pt idx="315">
                        <c:v>317</c:v>
                      </c:pt>
                      <c:pt idx="316">
                        <c:v>318</c:v>
                      </c:pt>
                      <c:pt idx="317">
                        <c:v>319</c:v>
                      </c:pt>
                      <c:pt idx="318">
                        <c:v>320</c:v>
                      </c:pt>
                      <c:pt idx="319">
                        <c:v>321</c:v>
                      </c:pt>
                      <c:pt idx="320">
                        <c:v>322</c:v>
                      </c:pt>
                      <c:pt idx="321">
                        <c:v>323</c:v>
                      </c:pt>
                      <c:pt idx="322">
                        <c:v>324</c:v>
                      </c:pt>
                      <c:pt idx="323">
                        <c:v>325</c:v>
                      </c:pt>
                      <c:pt idx="324">
                        <c:v>326</c:v>
                      </c:pt>
                      <c:pt idx="325">
                        <c:v>327</c:v>
                      </c:pt>
                      <c:pt idx="326">
                        <c:v>328</c:v>
                      </c:pt>
                      <c:pt idx="327">
                        <c:v>329</c:v>
                      </c:pt>
                      <c:pt idx="328">
                        <c:v>330</c:v>
                      </c:pt>
                      <c:pt idx="329">
                        <c:v>331</c:v>
                      </c:pt>
                      <c:pt idx="330">
                        <c:v>332</c:v>
                      </c:pt>
                      <c:pt idx="331">
                        <c:v>333</c:v>
                      </c:pt>
                      <c:pt idx="332">
                        <c:v>334</c:v>
                      </c:pt>
                      <c:pt idx="333">
                        <c:v>335</c:v>
                      </c:pt>
                      <c:pt idx="334">
                        <c:v>336</c:v>
                      </c:pt>
                      <c:pt idx="335">
                        <c:v>337</c:v>
                      </c:pt>
                      <c:pt idx="336">
                        <c:v>338</c:v>
                      </c:pt>
                      <c:pt idx="337">
                        <c:v>339</c:v>
                      </c:pt>
                      <c:pt idx="338">
                        <c:v>340</c:v>
                      </c:pt>
                      <c:pt idx="339">
                        <c:v>341</c:v>
                      </c:pt>
                      <c:pt idx="340">
                        <c:v>342</c:v>
                      </c:pt>
                      <c:pt idx="341">
                        <c:v>343</c:v>
                      </c:pt>
                      <c:pt idx="342">
                        <c:v>344</c:v>
                      </c:pt>
                      <c:pt idx="343">
                        <c:v>345</c:v>
                      </c:pt>
                      <c:pt idx="344">
                        <c:v>346</c:v>
                      </c:pt>
                      <c:pt idx="345">
                        <c:v>347</c:v>
                      </c:pt>
                      <c:pt idx="346">
                        <c:v>348</c:v>
                      </c:pt>
                      <c:pt idx="347">
                        <c:v>349</c:v>
                      </c:pt>
                      <c:pt idx="348">
                        <c:v>350</c:v>
                      </c:pt>
                      <c:pt idx="349">
                        <c:v>351</c:v>
                      </c:pt>
                      <c:pt idx="350">
                        <c:v>352</c:v>
                      </c:pt>
                      <c:pt idx="351">
                        <c:v>353</c:v>
                      </c:pt>
                      <c:pt idx="352">
                        <c:v>354</c:v>
                      </c:pt>
                      <c:pt idx="353">
                        <c:v>355</c:v>
                      </c:pt>
                      <c:pt idx="354">
                        <c:v>356</c:v>
                      </c:pt>
                      <c:pt idx="355">
                        <c:v>357</c:v>
                      </c:pt>
                      <c:pt idx="356">
                        <c:v>358</c:v>
                      </c:pt>
                      <c:pt idx="357">
                        <c:v>359</c:v>
                      </c:pt>
                      <c:pt idx="358">
                        <c:v>360</c:v>
                      </c:pt>
                      <c:pt idx="359">
                        <c:v>361</c:v>
                      </c:pt>
                      <c:pt idx="360">
                        <c:v>362</c:v>
                      </c:pt>
                      <c:pt idx="361">
                        <c:v>363</c:v>
                      </c:pt>
                      <c:pt idx="362">
                        <c:v>364</c:v>
                      </c:pt>
                      <c:pt idx="363">
                        <c:v>365</c:v>
                      </c:pt>
                      <c:pt idx="364">
                        <c:v>366</c:v>
                      </c:pt>
                    </c:numCache>
                  </c:numRef>
                </c:cat>
                <c:val>
                  <c:numRef>
                    <c:extLst>
                      <c:ext uri="{02D57815-91ED-43cb-92C2-25804820EDAC}">
                        <c15:formulaRef>
                          <c15:sqref>Calculations!#REF!</c15:sqref>
                        </c15:formulaRef>
                      </c:ext>
                    </c:extLst>
                    <c:numCache>
                      <c:formatCode>General</c:formatCode>
                      <c:ptCount val="1"/>
                      <c:pt idx="0">
                        <c:v>1</c:v>
                      </c:pt>
                    </c:numCache>
                  </c:numRef>
                </c:val>
                <c:smooth val="1"/>
                <c:extLst>
                  <c:ext xmlns:c16="http://schemas.microsoft.com/office/drawing/2014/chart" uri="{C3380CC4-5D6E-409C-BE32-E72D297353CC}">
                    <c16:uniqueId val="{00000000-6A38-4FB8-919A-7EC7BA0A6774}"/>
                  </c:ext>
                </c:extLst>
              </c15:ser>
            </c15:filteredLineSeries>
          </c:ext>
        </c:extLst>
      </c:lineChart>
      <c:dateAx>
        <c:axId val="399222192"/>
        <c:scaling>
          <c:orientation val="minMax"/>
        </c:scaling>
        <c:delete val="0"/>
        <c:axPos val="b"/>
        <c:numFmt formatCode="[$-409]d\-mmm;@" sourceLinked="0"/>
        <c:majorTickMark val="out"/>
        <c:minorTickMark val="none"/>
        <c:tickLblPos val="nextTo"/>
        <c:spPr>
          <a:noFill/>
          <a:ln w="19050" cap="flat" cmpd="sng" algn="ctr">
            <a:solidFill>
              <a:schemeClr val="tx1"/>
            </a:solidFill>
            <a:round/>
          </a:ln>
          <a:effectLst/>
        </c:spPr>
        <c:txPr>
          <a:bodyPr rot="0" spcFirstLastPara="1" vertOverflow="ellipsis" wrap="square" anchor="ctr" anchorCtr="1"/>
          <a:lstStyle/>
          <a:p>
            <a:pPr>
              <a:defRPr sz="1600" b="0" i="0" u="none" strike="noStrike" kern="1200" baseline="0">
                <a:solidFill>
                  <a:sysClr val="windowText" lastClr="000000"/>
                </a:solidFill>
                <a:latin typeface="+mn-lt"/>
                <a:ea typeface="+mn-ea"/>
                <a:cs typeface="+mn-cs"/>
              </a:defRPr>
            </a:pPr>
            <a:endParaRPr lang="en-US"/>
          </a:p>
        </c:txPr>
        <c:crossAx val="399217096"/>
        <c:crosses val="autoZero"/>
        <c:auto val="1"/>
        <c:lblOffset val="100"/>
        <c:baseTimeUnit val="days"/>
        <c:minorUnit val="10"/>
      </c:dateAx>
      <c:valAx>
        <c:axId val="399217096"/>
        <c:scaling>
          <c:orientation val="minMax"/>
        </c:scaling>
        <c:delete val="0"/>
        <c:axPos val="l"/>
        <c:numFmt formatCode="0.0" sourceLinked="1"/>
        <c:majorTickMark val="out"/>
        <c:minorTickMark val="none"/>
        <c:tickLblPos val="nextTo"/>
        <c:spPr>
          <a:noFill/>
          <a:ln w="19050"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399222192"/>
        <c:crosses val="autoZero"/>
        <c:crossBetween val="midCat"/>
      </c:valAx>
      <c:spPr>
        <a:noFill/>
        <a:ln>
          <a:noFill/>
        </a:ln>
        <a:effectLst/>
      </c:spPr>
    </c:plotArea>
    <c:legend>
      <c:legendPos val="r"/>
      <c:layout>
        <c:manualLayout>
          <c:xMode val="edge"/>
          <c:yMode val="edge"/>
          <c:x val="7.7855698886637931E-2"/>
          <c:y val="8.7230943757908339E-2"/>
          <c:w val="0.38859394297098437"/>
          <c:h val="0.15699737020929264"/>
        </c:manualLayout>
      </c:layou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chart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100-000000000000}">
  <sheetPr codeName="Chart2"/>
  <sheetViews>
    <sheetView zoomScale="105" workbookViewId="0"/>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C00-000000000000}">
  <sheetPr codeName="Chart13"/>
  <sheetViews>
    <sheetView zoomScale="105" workbookViewId="0"/>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700-000000000000}">
  <sheetPr codeName="Chart24"/>
  <sheetViews>
    <sheetView zoomScale="105" workbookViewId="0"/>
  </sheetViews>
  <pageMargins left="0.7" right="0.7" top="0.75" bottom="0.75" header="0.3" footer="0.3"/>
  <drawing r:id="rId1"/>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codeName="Chart25"/>
  <sheetViews>
    <sheetView zoomScale="102"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absoluteAnchor>
    <xdr:pos x="0" y="0"/>
    <xdr:ext cx="9307286" cy="6077857"/>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absoluteAnchor>
    <xdr:pos x="0" y="0"/>
    <xdr:ext cx="9307286" cy="6077857"/>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0" y="0"/>
    <xdr:ext cx="9307286" cy="6077857"/>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0" y="0"/>
    <xdr:ext cx="9300882" cy="6079191"/>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cranfield-my.sharepoint.com/SARIC_Grassland/LINGRA%20model%20(Wolf)/LINGRA-N%20in%20Excel/LINGRA-N%20in%20Excel-9%20Set%20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oil water balance"/>
      <sheetName val="Control"/>
      <sheetName val="Calculations"/>
      <sheetName val="ParkGrass data - Miner.4"/>
      <sheetName val="Data for N graphs"/>
      <sheetName val="Total dry mass"/>
      <sheetName val="Cum dry mass"/>
      <sheetName val="Cumulative grass production"/>
      <sheetName val="Grass yield"/>
      <sheetName val="LAI"/>
      <sheetName val="Length of leaves"/>
      <sheetName val="Nuptake"/>
      <sheetName val="Growth and death rate"/>
      <sheetName val="Wateruptake"/>
      <sheetName val="Evaporation"/>
      <sheetName val="Soil water bal."/>
      <sheetName val="Daily-Wateruptake"/>
      <sheetName val="Wateruptake-Growth rate"/>
      <sheetName val="Daily N uptake rate by the crop"/>
      <sheetName val="Leaf elongation rate"/>
      <sheetName val="Tillers"/>
      <sheetName val="Growth rate"/>
      <sheetName val="Reduction factors"/>
      <sheetName val="Long wave radiation"/>
      <sheetName val="Compare Pen v PenMon"/>
      <sheetName val="Incoming radiation"/>
      <sheetName val="Net radiation"/>
      <sheetName val="Rooting depth"/>
      <sheetName val="CO2-data"/>
      <sheetName val="Weather_Data"/>
      <sheetName val="Task_diary"/>
    </sheetNames>
    <sheetDataSet>
      <sheetData sheetId="0"/>
      <sheetData sheetId="1" refreshError="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R369"/>
  <sheetViews>
    <sheetView workbookViewId="0"/>
  </sheetViews>
  <sheetFormatPr defaultRowHeight="12.75" x14ac:dyDescent="0.2"/>
  <cols>
    <col min="4" max="4" width="10.140625" bestFit="1" customWidth="1"/>
    <col min="5" max="5" width="10.140625" customWidth="1"/>
    <col min="6" max="6" width="11.140625" customWidth="1"/>
    <col min="9" max="9" width="11.85546875" customWidth="1"/>
    <col min="15" max="15" width="9.28515625" bestFit="1" customWidth="1"/>
    <col min="16" max="16" width="9.5703125" bestFit="1" customWidth="1"/>
    <col min="17" max="17" width="9.28515625" bestFit="1" customWidth="1"/>
    <col min="18" max="18" width="9.5703125" bestFit="1" customWidth="1"/>
  </cols>
  <sheetData>
    <row r="1" spans="1:18" x14ac:dyDescent="0.2">
      <c r="A1" t="s">
        <v>540</v>
      </c>
      <c r="C1" s="63"/>
      <c r="D1" s="63"/>
      <c r="E1" s="63" t="s">
        <v>553</v>
      </c>
    </row>
    <row r="2" spans="1:18" x14ac:dyDescent="0.2">
      <c r="A2" s="109"/>
    </row>
    <row r="3" spans="1:18" ht="63.75" x14ac:dyDescent="0.2">
      <c r="A3" t="s">
        <v>2</v>
      </c>
      <c r="B3" t="s">
        <v>3</v>
      </c>
      <c r="C3" t="s">
        <v>4</v>
      </c>
      <c r="E3" s="119" t="s">
        <v>554</v>
      </c>
      <c r="F3" s="119" t="s">
        <v>555</v>
      </c>
      <c r="G3" s="119" t="s">
        <v>558</v>
      </c>
      <c r="H3" s="119" t="s">
        <v>559</v>
      </c>
      <c r="I3" s="119" t="s">
        <v>557</v>
      </c>
      <c r="K3" s="119" t="s">
        <v>560</v>
      </c>
      <c r="N3" s="63" t="s">
        <v>566</v>
      </c>
      <c r="O3" t="s">
        <v>567</v>
      </c>
      <c r="Q3" t="s">
        <v>276</v>
      </c>
    </row>
    <row r="4" spans="1:18" ht="14.25" x14ac:dyDescent="0.2">
      <c r="E4" s="63" t="s">
        <v>556</v>
      </c>
      <c r="F4" s="63" t="s">
        <v>556</v>
      </c>
      <c r="G4" s="63" t="s">
        <v>556</v>
      </c>
      <c r="H4" s="63"/>
      <c r="I4" s="63" t="s">
        <v>556</v>
      </c>
      <c r="O4" t="s">
        <v>319</v>
      </c>
      <c r="Q4" t="s">
        <v>319</v>
      </c>
    </row>
    <row r="5" spans="1:18" x14ac:dyDescent="0.2">
      <c r="A5">
        <v>1</v>
      </c>
      <c r="B5">
        <v>1</v>
      </c>
      <c r="C5">
        <v>1984</v>
      </c>
      <c r="D5" s="112">
        <f>DATE(C5,B5,A5)</f>
        <v>30682</v>
      </c>
      <c r="E5">
        <v>1</v>
      </c>
      <c r="F5">
        <v>1</v>
      </c>
      <c r="G5" s="113">
        <v>0.6506649446304249</v>
      </c>
      <c r="H5" s="113">
        <f>G5</f>
        <v>0.6506649446304249</v>
      </c>
      <c r="I5" s="113">
        <v>0.92155561432790023</v>
      </c>
      <c r="J5" s="113">
        <f>I5</f>
        <v>0.92155561432790023</v>
      </c>
      <c r="K5" s="113">
        <v>-0.36671273434346052</v>
      </c>
      <c r="L5" s="113">
        <f>K5</f>
        <v>-0.36671273434346052</v>
      </c>
      <c r="M5" s="97">
        <v>0.25710114014818958</v>
      </c>
      <c r="N5" s="97">
        <f>M5</f>
        <v>0.25710114014818958</v>
      </c>
      <c r="O5" s="113">
        <v>0.21943182931234415</v>
      </c>
      <c r="P5" s="113">
        <f>O5</f>
        <v>0.21943182931234415</v>
      </c>
      <c r="Q5" s="113">
        <v>0.16304441098846953</v>
      </c>
      <c r="R5" s="113">
        <f>Q5</f>
        <v>0.16304441098846953</v>
      </c>
    </row>
    <row r="6" spans="1:18" x14ac:dyDescent="0.2">
      <c r="A6">
        <v>2</v>
      </c>
      <c r="B6">
        <v>1</v>
      </c>
      <c r="C6">
        <v>1984</v>
      </c>
      <c r="D6" s="112">
        <f t="shared" ref="D6:D69" si="0">DATE(C6,B6,A6)</f>
        <v>30683</v>
      </c>
      <c r="E6">
        <v>0.7</v>
      </c>
      <c r="F6">
        <v>0.7</v>
      </c>
      <c r="G6" s="113">
        <v>5.3120608320885756</v>
      </c>
      <c r="H6" s="113">
        <f>H5+G6</f>
        <v>5.9627257767190009</v>
      </c>
      <c r="I6" s="113">
        <v>1.0628511265572484</v>
      </c>
      <c r="J6" s="113">
        <f>J5+I6</f>
        <v>1.9844067408851487</v>
      </c>
      <c r="K6" s="113">
        <v>-1.0137896998727856</v>
      </c>
      <c r="L6" s="113">
        <f>L5+K6</f>
        <v>-1.380502434216246</v>
      </c>
      <c r="M6" s="97">
        <v>-0.53458786882552312</v>
      </c>
      <c r="N6" s="97">
        <f>N5+M6</f>
        <v>-0.27748672867733354</v>
      </c>
      <c r="O6" s="113">
        <v>1.8335477158292308</v>
      </c>
      <c r="P6" s="113">
        <f>P5+O6</f>
        <v>2.0529795451415751</v>
      </c>
      <c r="Q6" s="113">
        <v>1.894521161811523</v>
      </c>
      <c r="R6" s="113">
        <f>R5+Q6</f>
        <v>2.0575655727999926</v>
      </c>
    </row>
    <row r="7" spans="1:18" x14ac:dyDescent="0.2">
      <c r="A7">
        <v>3</v>
      </c>
      <c r="B7">
        <v>1</v>
      </c>
      <c r="C7">
        <v>1984</v>
      </c>
      <c r="D7" s="112">
        <f t="shared" si="0"/>
        <v>30684</v>
      </c>
      <c r="E7">
        <v>1.9</v>
      </c>
      <c r="F7">
        <v>1.9</v>
      </c>
      <c r="G7" s="113">
        <v>4.6199954048185417</v>
      </c>
      <c r="H7" s="113">
        <f t="shared" ref="H7:H70" si="1">H6+G7</f>
        <v>10.582721181537543</v>
      </c>
      <c r="I7" s="113">
        <v>2.7807077601827088</v>
      </c>
      <c r="J7" s="113">
        <f t="shared" ref="J7:J70" si="2">J6+I7</f>
        <v>4.7651145010678579</v>
      </c>
      <c r="K7" s="113">
        <v>1.2751253863869618</v>
      </c>
      <c r="L7" s="113">
        <f t="shared" ref="L7:L70" si="3">L6+K7</f>
        <v>-0.10537704782928414</v>
      </c>
      <c r="M7" s="97">
        <v>2.536382499286951</v>
      </c>
      <c r="N7" s="97">
        <f t="shared" ref="N7:N70" si="4">N6+M7</f>
        <v>2.2588957706096173</v>
      </c>
      <c r="O7" s="113">
        <v>0.8687191789740234</v>
      </c>
      <c r="P7" s="113">
        <f t="shared" ref="P7:P70" si="5">P6+O7</f>
        <v>2.9216987241155987</v>
      </c>
      <c r="Q7" s="113">
        <v>0.90824783908990947</v>
      </c>
      <c r="R7" s="113">
        <f t="shared" ref="R7:R70" si="6">R6+Q7</f>
        <v>2.965813411889902</v>
      </c>
    </row>
    <row r="8" spans="1:18" x14ac:dyDescent="0.2">
      <c r="A8">
        <v>4</v>
      </c>
      <c r="B8">
        <v>1</v>
      </c>
      <c r="C8">
        <v>1984</v>
      </c>
      <c r="D8" s="112">
        <f t="shared" si="0"/>
        <v>30685</v>
      </c>
      <c r="E8">
        <v>3.5</v>
      </c>
      <c r="F8">
        <v>3.5</v>
      </c>
      <c r="G8" s="113">
        <v>3.5110954738256202</v>
      </c>
      <c r="H8" s="113">
        <f t="shared" si="1"/>
        <v>14.093816655363163</v>
      </c>
      <c r="I8" s="113">
        <v>6.8538553901542212</v>
      </c>
      <c r="J8" s="113">
        <f t="shared" si="2"/>
        <v>11.618969891222079</v>
      </c>
      <c r="K8" s="113">
        <v>4.1849565517325944</v>
      </c>
      <c r="L8" s="113">
        <f t="shared" si="3"/>
        <v>4.07957950390331</v>
      </c>
      <c r="M8" s="97">
        <v>6.3849067139705378</v>
      </c>
      <c r="N8" s="97">
        <f t="shared" si="4"/>
        <v>8.6438024845801547</v>
      </c>
      <c r="O8" s="113">
        <v>0.11562952909515697</v>
      </c>
      <c r="P8" s="113">
        <f t="shared" si="5"/>
        <v>3.0373282532107555</v>
      </c>
      <c r="Q8" s="113">
        <v>-0.13988458637318207</v>
      </c>
      <c r="R8" s="113">
        <f t="shared" si="6"/>
        <v>2.8259288255167201</v>
      </c>
    </row>
    <row r="9" spans="1:18" x14ac:dyDescent="0.2">
      <c r="A9">
        <v>5</v>
      </c>
      <c r="B9">
        <v>1</v>
      </c>
      <c r="C9">
        <v>1984</v>
      </c>
      <c r="D9" s="112">
        <f t="shared" si="0"/>
        <v>30686</v>
      </c>
      <c r="E9">
        <v>1.9</v>
      </c>
      <c r="F9">
        <v>1.9</v>
      </c>
      <c r="G9" s="113">
        <v>0.56973550215170543</v>
      </c>
      <c r="H9" s="113">
        <f t="shared" si="1"/>
        <v>14.663552157514868</v>
      </c>
      <c r="I9" s="113">
        <v>2.4106619098134989</v>
      </c>
      <c r="J9" s="113">
        <f t="shared" si="2"/>
        <v>14.029631801035578</v>
      </c>
      <c r="K9" s="113">
        <v>1.09760055365364</v>
      </c>
      <c r="L9" s="113">
        <f t="shared" si="3"/>
        <v>5.1771800575569502</v>
      </c>
      <c r="M9" s="97">
        <v>2.1784612965244885</v>
      </c>
      <c r="N9" s="97">
        <f t="shared" si="4"/>
        <v>10.822263781104644</v>
      </c>
      <c r="O9" s="113">
        <v>6.2650412328357774E-2</v>
      </c>
      <c r="P9" s="113">
        <f t="shared" si="5"/>
        <v>3.0999786655391133</v>
      </c>
      <c r="Q9" s="113">
        <v>-7.5857330467875184E-2</v>
      </c>
      <c r="R9" s="113">
        <f t="shared" si="6"/>
        <v>2.7500714950488447</v>
      </c>
    </row>
    <row r="10" spans="1:18" x14ac:dyDescent="0.2">
      <c r="A10">
        <v>6</v>
      </c>
      <c r="B10">
        <v>1</v>
      </c>
      <c r="C10">
        <v>1984</v>
      </c>
      <c r="D10" s="112">
        <f t="shared" si="0"/>
        <v>30687</v>
      </c>
      <c r="E10">
        <v>1.7</v>
      </c>
      <c r="F10">
        <v>1.7</v>
      </c>
      <c r="G10" s="113">
        <v>2.9413887231389793</v>
      </c>
      <c r="H10" s="113">
        <f t="shared" si="1"/>
        <v>17.604940880653846</v>
      </c>
      <c r="I10" s="113">
        <v>1.9670294140714211</v>
      </c>
      <c r="J10" s="113">
        <f t="shared" si="2"/>
        <v>15.996661215106998</v>
      </c>
      <c r="K10" s="113">
        <v>0.7471389687205251</v>
      </c>
      <c r="L10" s="113">
        <f t="shared" si="3"/>
        <v>5.924319026277475</v>
      </c>
      <c r="M10" s="97">
        <v>1.716569707173714</v>
      </c>
      <c r="N10" s="97">
        <f t="shared" si="4"/>
        <v>12.538833488278357</v>
      </c>
      <c r="O10" s="113">
        <v>0.48258574291321904</v>
      </c>
      <c r="P10" s="113">
        <f t="shared" si="5"/>
        <v>3.5825644084523325</v>
      </c>
      <c r="Q10" s="113">
        <v>0.47577932270955431</v>
      </c>
      <c r="R10" s="113">
        <f t="shared" si="6"/>
        <v>3.2258508177583991</v>
      </c>
    </row>
    <row r="11" spans="1:18" x14ac:dyDescent="0.2">
      <c r="A11">
        <v>7</v>
      </c>
      <c r="B11">
        <v>1</v>
      </c>
      <c r="C11">
        <v>1984</v>
      </c>
      <c r="D11" s="112">
        <f t="shared" si="0"/>
        <v>30688</v>
      </c>
      <c r="E11">
        <v>2.5</v>
      </c>
      <c r="F11">
        <v>2.5</v>
      </c>
      <c r="G11" s="113">
        <v>3.5629974876535129</v>
      </c>
      <c r="H11" s="113">
        <f t="shared" si="1"/>
        <v>21.167938368307357</v>
      </c>
      <c r="I11" s="113">
        <v>3.9668100954579248</v>
      </c>
      <c r="J11" s="113">
        <f t="shared" si="2"/>
        <v>19.963471310564923</v>
      </c>
      <c r="K11" s="113">
        <v>2.1502384020506313</v>
      </c>
      <c r="L11" s="113">
        <f t="shared" si="3"/>
        <v>8.0745574283281059</v>
      </c>
      <c r="M11" s="97">
        <v>3.5480270150897697</v>
      </c>
      <c r="N11" s="97">
        <f t="shared" si="4"/>
        <v>16.086860503368126</v>
      </c>
      <c r="O11" s="113">
        <v>0.50843559769087376</v>
      </c>
      <c r="P11" s="113">
        <f t="shared" si="5"/>
        <v>4.0910000061432061</v>
      </c>
      <c r="Q11" s="113">
        <v>0.41940270935132667</v>
      </c>
      <c r="R11" s="113">
        <f t="shared" si="6"/>
        <v>3.6452535271097259</v>
      </c>
    </row>
    <row r="12" spans="1:18" x14ac:dyDescent="0.2">
      <c r="A12">
        <v>8</v>
      </c>
      <c r="B12">
        <v>1</v>
      </c>
      <c r="C12">
        <v>1984</v>
      </c>
      <c r="D12" s="112">
        <f t="shared" si="0"/>
        <v>30689</v>
      </c>
      <c r="E12">
        <v>2.7</v>
      </c>
      <c r="F12">
        <v>2.7</v>
      </c>
      <c r="G12" s="113">
        <v>3.473416165972508</v>
      </c>
      <c r="H12" s="113">
        <f t="shared" si="1"/>
        <v>24.641354534279866</v>
      </c>
      <c r="I12" s="113">
        <v>4.4204110695461196</v>
      </c>
      <c r="J12" s="113">
        <f t="shared" si="2"/>
        <v>24.383882380111043</v>
      </c>
      <c r="K12" s="113">
        <v>2.4572567403247132</v>
      </c>
      <c r="L12" s="113">
        <f t="shared" si="3"/>
        <v>10.531814168652819</v>
      </c>
      <c r="M12" s="97">
        <v>3.9144149015114289</v>
      </c>
      <c r="N12" s="97">
        <f t="shared" si="4"/>
        <v>20.001275404879554</v>
      </c>
      <c r="O12" s="113">
        <v>0.24936818679309616</v>
      </c>
      <c r="P12" s="113">
        <f t="shared" si="5"/>
        <v>4.3403681929363023</v>
      </c>
      <c r="Q12" s="113">
        <v>0.1308472669028751</v>
      </c>
      <c r="R12" s="113">
        <f t="shared" si="6"/>
        <v>3.776100794012601</v>
      </c>
    </row>
    <row r="13" spans="1:18" x14ac:dyDescent="0.2">
      <c r="A13">
        <v>9</v>
      </c>
      <c r="B13">
        <v>1</v>
      </c>
      <c r="C13">
        <v>1984</v>
      </c>
      <c r="D13" s="112">
        <f t="shared" si="0"/>
        <v>30690</v>
      </c>
      <c r="E13">
        <v>2.2999999999999998</v>
      </c>
      <c r="F13">
        <v>2.2999999999999998</v>
      </c>
      <c r="G13" s="113">
        <v>5.9509398871053909</v>
      </c>
      <c r="H13" s="113">
        <f t="shared" si="1"/>
        <v>30.592294421385258</v>
      </c>
      <c r="I13" s="113">
        <v>3.5269723461562332</v>
      </c>
      <c r="J13" s="113">
        <f t="shared" si="2"/>
        <v>27.910854726267274</v>
      </c>
      <c r="K13" s="113">
        <v>1.7801867351516465</v>
      </c>
      <c r="L13" s="113">
        <f t="shared" si="3"/>
        <v>12.312000903804465</v>
      </c>
      <c r="M13" s="97">
        <v>3.0303738590197518</v>
      </c>
      <c r="N13" s="97">
        <f t="shared" si="4"/>
        <v>23.031649263899304</v>
      </c>
      <c r="O13" s="113">
        <v>0.92060246838296256</v>
      </c>
      <c r="P13" s="113">
        <f t="shared" si="5"/>
        <v>5.2609706613192646</v>
      </c>
      <c r="Q13" s="113">
        <v>0.75603556234862701</v>
      </c>
      <c r="R13" s="113">
        <f t="shared" si="6"/>
        <v>4.532136356361228</v>
      </c>
    </row>
    <row r="14" spans="1:18" x14ac:dyDescent="0.2">
      <c r="A14">
        <v>10</v>
      </c>
      <c r="B14">
        <v>1</v>
      </c>
      <c r="C14">
        <v>1984</v>
      </c>
      <c r="D14" s="112">
        <f t="shared" si="0"/>
        <v>30691</v>
      </c>
      <c r="E14">
        <v>1.5</v>
      </c>
      <c r="F14">
        <v>1.5</v>
      </c>
      <c r="G14" s="113">
        <v>0</v>
      </c>
      <c r="H14" s="113">
        <f t="shared" si="1"/>
        <v>30.592294421385258</v>
      </c>
      <c r="I14" s="113">
        <v>1.2071759325046973</v>
      </c>
      <c r="J14" s="113">
        <f t="shared" si="2"/>
        <v>29.118030658771971</v>
      </c>
      <c r="K14" s="113">
        <v>0.24228544457634693</v>
      </c>
      <c r="L14" s="113">
        <f t="shared" si="3"/>
        <v>12.554286348380812</v>
      </c>
      <c r="M14" s="97">
        <v>0.93164463663964336</v>
      </c>
      <c r="N14" s="97">
        <f t="shared" si="4"/>
        <v>23.963293900538947</v>
      </c>
      <c r="O14" s="113">
        <v>0.21953272633528984</v>
      </c>
      <c r="P14" s="113">
        <f t="shared" si="5"/>
        <v>5.4805033876545544</v>
      </c>
      <c r="Q14" s="113">
        <v>-1.580055000936461E-2</v>
      </c>
      <c r="R14" s="113">
        <f t="shared" si="6"/>
        <v>4.5163358063518633</v>
      </c>
    </row>
    <row r="15" spans="1:18" x14ac:dyDescent="0.2">
      <c r="A15">
        <v>11</v>
      </c>
      <c r="B15">
        <v>1</v>
      </c>
      <c r="C15">
        <v>1984</v>
      </c>
      <c r="D15" s="112">
        <f t="shared" si="0"/>
        <v>30692</v>
      </c>
      <c r="E15">
        <v>1.9</v>
      </c>
      <c r="F15">
        <v>1.9</v>
      </c>
      <c r="G15" s="113">
        <v>1.1726201025599241</v>
      </c>
      <c r="H15" s="113">
        <f t="shared" si="1"/>
        <v>31.764914523945183</v>
      </c>
      <c r="I15" s="113">
        <v>1.9613735227115219</v>
      </c>
      <c r="J15" s="113">
        <f t="shared" si="2"/>
        <v>31.079404181483493</v>
      </c>
      <c r="K15" s="113">
        <v>0.8172279182012524</v>
      </c>
      <c r="L15" s="113">
        <f t="shared" si="3"/>
        <v>13.371514266582064</v>
      </c>
      <c r="M15" s="97">
        <v>1.6316524589602923</v>
      </c>
      <c r="N15" s="97">
        <f t="shared" si="4"/>
        <v>25.594946359499239</v>
      </c>
      <c r="O15" s="113">
        <v>0.29599375589442711</v>
      </c>
      <c r="P15" s="113">
        <f t="shared" si="5"/>
        <v>5.7764971435489816</v>
      </c>
      <c r="Q15" s="113">
        <v>0.29563377428319931</v>
      </c>
      <c r="R15" s="113">
        <f t="shared" si="6"/>
        <v>4.8119695806350622</v>
      </c>
    </row>
    <row r="16" spans="1:18" x14ac:dyDescent="0.2">
      <c r="A16">
        <v>12</v>
      </c>
      <c r="B16">
        <v>1</v>
      </c>
      <c r="C16">
        <v>1984</v>
      </c>
      <c r="D16" s="112">
        <f t="shared" si="0"/>
        <v>30693</v>
      </c>
      <c r="E16">
        <v>3.3</v>
      </c>
      <c r="F16">
        <v>3.3</v>
      </c>
      <c r="G16" s="113">
        <v>6.8772688820855148</v>
      </c>
      <c r="H16" s="113">
        <f t="shared" si="1"/>
        <v>38.642183406030696</v>
      </c>
      <c r="I16" s="113">
        <v>5.7816276714818571</v>
      </c>
      <c r="J16" s="113">
        <f t="shared" si="2"/>
        <v>36.861031852965354</v>
      </c>
      <c r="K16" s="113">
        <v>3.3907295713166188</v>
      </c>
      <c r="L16" s="113">
        <f t="shared" si="3"/>
        <v>16.762243837898684</v>
      </c>
      <c r="M16" s="97">
        <v>4.9728984229414479</v>
      </c>
      <c r="N16" s="97">
        <f t="shared" si="4"/>
        <v>30.567844782440687</v>
      </c>
      <c r="O16" s="113">
        <v>2.1419065503086245</v>
      </c>
      <c r="P16" s="113">
        <f t="shared" si="5"/>
        <v>7.9184036938576057</v>
      </c>
      <c r="Q16" s="113">
        <v>1.9036614909134051</v>
      </c>
      <c r="R16" s="113">
        <f t="shared" si="6"/>
        <v>6.7156310715484668</v>
      </c>
    </row>
    <row r="17" spans="1:18" x14ac:dyDescent="0.2">
      <c r="A17">
        <v>13</v>
      </c>
      <c r="B17">
        <v>1</v>
      </c>
      <c r="C17">
        <v>1984</v>
      </c>
      <c r="D17" s="112">
        <f t="shared" si="0"/>
        <v>30694</v>
      </c>
      <c r="E17">
        <v>2.6</v>
      </c>
      <c r="F17">
        <v>2.6</v>
      </c>
      <c r="G17" s="113">
        <v>2.0549998932614582</v>
      </c>
      <c r="H17" s="113">
        <f t="shared" si="1"/>
        <v>40.697183299292156</v>
      </c>
      <c r="I17" s="113">
        <v>3.5205330454778716</v>
      </c>
      <c r="J17" s="113">
        <f t="shared" si="2"/>
        <v>40.381564898443223</v>
      </c>
      <c r="K17" s="113">
        <v>1.8787955686670321</v>
      </c>
      <c r="L17" s="113">
        <f t="shared" si="3"/>
        <v>18.641039406565717</v>
      </c>
      <c r="M17" s="97">
        <v>2.9528106676025865</v>
      </c>
      <c r="N17" s="97">
        <f t="shared" si="4"/>
        <v>33.520655450043272</v>
      </c>
      <c r="O17" s="113">
        <v>0.58085444302755584</v>
      </c>
      <c r="P17" s="113">
        <f t="shared" si="5"/>
        <v>8.4992581368851621</v>
      </c>
      <c r="Q17" s="113">
        <v>0.31076508372144451</v>
      </c>
      <c r="R17" s="113">
        <f t="shared" si="6"/>
        <v>7.0263961552699117</v>
      </c>
    </row>
    <row r="18" spans="1:18" x14ac:dyDescent="0.2">
      <c r="A18">
        <v>14</v>
      </c>
      <c r="B18">
        <v>1</v>
      </c>
      <c r="C18">
        <v>1984</v>
      </c>
      <c r="D18" s="112">
        <f t="shared" si="0"/>
        <v>30695</v>
      </c>
      <c r="E18">
        <v>2.8</v>
      </c>
      <c r="F18">
        <v>2.8</v>
      </c>
      <c r="G18" s="113">
        <v>3.2086784557728412</v>
      </c>
      <c r="H18" s="113">
        <f t="shared" si="1"/>
        <v>43.905861755064997</v>
      </c>
      <c r="I18" s="113">
        <v>4.0271892813782335</v>
      </c>
      <c r="J18" s="113">
        <f t="shared" si="2"/>
        <v>44.408754179821457</v>
      </c>
      <c r="K18" s="113">
        <v>2.1934842236803385</v>
      </c>
      <c r="L18" s="113">
        <f t="shared" si="3"/>
        <v>20.834523630246057</v>
      </c>
      <c r="M18" s="97">
        <v>3.3295999177804378</v>
      </c>
      <c r="N18" s="97">
        <f t="shared" si="4"/>
        <v>36.850255367823706</v>
      </c>
      <c r="O18" s="113">
        <v>0.67756862097124237</v>
      </c>
      <c r="P18" s="113">
        <f t="shared" si="5"/>
        <v>9.1768267578564036</v>
      </c>
      <c r="Q18" s="113">
        <v>0.65260829813031362</v>
      </c>
      <c r="R18" s="113">
        <f t="shared" si="6"/>
        <v>7.6790044534002249</v>
      </c>
    </row>
    <row r="19" spans="1:18" x14ac:dyDescent="0.2">
      <c r="A19">
        <v>15</v>
      </c>
      <c r="B19">
        <v>1</v>
      </c>
      <c r="C19">
        <v>1984</v>
      </c>
      <c r="D19" s="112">
        <f t="shared" si="0"/>
        <v>30696</v>
      </c>
      <c r="E19">
        <v>3.8</v>
      </c>
      <c r="F19">
        <v>3.8</v>
      </c>
      <c r="G19" s="113">
        <v>3.9924936840163148</v>
      </c>
      <c r="H19" s="113">
        <f t="shared" si="1"/>
        <v>47.898355439081314</v>
      </c>
      <c r="I19" s="113">
        <v>6.3095101015419104</v>
      </c>
      <c r="J19" s="113">
        <f t="shared" si="2"/>
        <v>50.718264281363368</v>
      </c>
      <c r="K19" s="113">
        <v>3.7767216399723358</v>
      </c>
      <c r="L19" s="113">
        <f t="shared" si="3"/>
        <v>24.611245270218394</v>
      </c>
      <c r="M19" s="97">
        <v>5.2725206252845558</v>
      </c>
      <c r="N19" s="97">
        <f t="shared" si="4"/>
        <v>42.122775993108263</v>
      </c>
      <c r="O19" s="113">
        <v>0.65161397834295809</v>
      </c>
      <c r="P19" s="113">
        <f t="shared" si="5"/>
        <v>9.8284407361993615</v>
      </c>
      <c r="Q19" s="113">
        <v>0.44116418835635107</v>
      </c>
      <c r="R19" s="113">
        <f t="shared" si="6"/>
        <v>8.1201686417565764</v>
      </c>
    </row>
    <row r="20" spans="1:18" x14ac:dyDescent="0.2">
      <c r="A20">
        <v>16</v>
      </c>
      <c r="B20">
        <v>1</v>
      </c>
      <c r="C20">
        <v>1984</v>
      </c>
      <c r="D20" s="112">
        <f t="shared" si="0"/>
        <v>30697</v>
      </c>
      <c r="E20">
        <v>0.6</v>
      </c>
      <c r="F20">
        <v>0.6</v>
      </c>
      <c r="G20" s="113">
        <v>4.5646422906986901</v>
      </c>
      <c r="H20" s="113">
        <f t="shared" si="1"/>
        <v>52.462997729780007</v>
      </c>
      <c r="I20" s="113">
        <v>1.0529705286249302</v>
      </c>
      <c r="J20" s="113">
        <f t="shared" si="2"/>
        <v>51.7712348099883</v>
      </c>
      <c r="K20" s="113">
        <v>-1.3967329828552386</v>
      </c>
      <c r="L20" s="113">
        <f t="shared" si="3"/>
        <v>23.214512287363156</v>
      </c>
      <c r="M20" s="97">
        <v>-1.1724659930139065</v>
      </c>
      <c r="N20" s="97">
        <f t="shared" si="4"/>
        <v>40.950310000094355</v>
      </c>
      <c r="O20" s="113">
        <v>1.7497153773043586</v>
      </c>
      <c r="P20" s="113">
        <f t="shared" si="5"/>
        <v>11.57815611350372</v>
      </c>
      <c r="Q20" s="113">
        <v>1.6084927572892955</v>
      </c>
      <c r="R20" s="113">
        <f t="shared" si="6"/>
        <v>9.7286613990458726</v>
      </c>
    </row>
    <row r="21" spans="1:18" x14ac:dyDescent="0.2">
      <c r="A21">
        <v>17</v>
      </c>
      <c r="B21">
        <v>1</v>
      </c>
      <c r="C21">
        <v>1984</v>
      </c>
      <c r="D21" s="112">
        <f t="shared" si="0"/>
        <v>30698</v>
      </c>
      <c r="E21">
        <v>4.2</v>
      </c>
      <c r="F21">
        <v>4.2</v>
      </c>
      <c r="G21" s="113">
        <v>4.4984184396951052</v>
      </c>
      <c r="H21" s="113">
        <f t="shared" si="1"/>
        <v>56.961416169475115</v>
      </c>
      <c r="I21" s="113">
        <v>6.9421638304795854</v>
      </c>
      <c r="J21" s="113">
        <f t="shared" si="2"/>
        <v>58.713398640467886</v>
      </c>
      <c r="K21" s="113">
        <v>4.2267302827789317</v>
      </c>
      <c r="L21" s="113">
        <f t="shared" si="3"/>
        <v>27.441242570142087</v>
      </c>
      <c r="M21" s="97">
        <v>5.7246000735789719</v>
      </c>
      <c r="N21" s="97">
        <f t="shared" si="4"/>
        <v>46.674910073673324</v>
      </c>
      <c r="O21" s="113">
        <v>0.73888839808056939</v>
      </c>
      <c r="P21" s="113">
        <f t="shared" si="5"/>
        <v>12.317044511584289</v>
      </c>
      <c r="Q21" s="113">
        <v>0.47826272081233684</v>
      </c>
      <c r="R21" s="113">
        <f t="shared" si="6"/>
        <v>10.206924119858209</v>
      </c>
    </row>
    <row r="22" spans="1:18" x14ac:dyDescent="0.2">
      <c r="A22">
        <v>18</v>
      </c>
      <c r="B22">
        <v>1</v>
      </c>
      <c r="C22">
        <v>1984</v>
      </c>
      <c r="D22" s="112">
        <f t="shared" si="0"/>
        <v>30699</v>
      </c>
      <c r="E22">
        <v>4.2</v>
      </c>
      <c r="F22">
        <v>4.2</v>
      </c>
      <c r="G22" s="113">
        <v>3.9365782374480394</v>
      </c>
      <c r="H22" s="113">
        <f t="shared" si="1"/>
        <v>60.897994406923154</v>
      </c>
      <c r="I22" s="113">
        <v>6.7179097729959931</v>
      </c>
      <c r="J22" s="113">
        <f t="shared" si="2"/>
        <v>65.431308413463881</v>
      </c>
      <c r="K22" s="113">
        <v>4.0759911049892352</v>
      </c>
      <c r="L22" s="113">
        <f t="shared" si="3"/>
        <v>31.517233675131322</v>
      </c>
      <c r="M22" s="97">
        <v>5.4812427826475139</v>
      </c>
      <c r="N22" s="97">
        <f t="shared" si="4"/>
        <v>52.156152856320837</v>
      </c>
      <c r="O22" s="113">
        <v>0.15803935870477082</v>
      </c>
      <c r="P22" s="113">
        <f t="shared" si="5"/>
        <v>12.47508387028906</v>
      </c>
      <c r="Q22" s="113">
        <v>-7.9684161018781258E-2</v>
      </c>
      <c r="R22" s="113">
        <f t="shared" si="6"/>
        <v>10.127239958839429</v>
      </c>
    </row>
    <row r="23" spans="1:18" x14ac:dyDescent="0.2">
      <c r="A23">
        <v>19</v>
      </c>
      <c r="B23">
        <v>1</v>
      </c>
      <c r="C23">
        <v>1984</v>
      </c>
      <c r="D23" s="112">
        <f t="shared" si="0"/>
        <v>30700</v>
      </c>
      <c r="E23">
        <v>2.7</v>
      </c>
      <c r="F23">
        <v>2.7</v>
      </c>
      <c r="G23" s="113">
        <v>2.0393355501753132</v>
      </c>
      <c r="H23" s="113">
        <f t="shared" si="1"/>
        <v>62.93732995709847</v>
      </c>
      <c r="I23" s="113">
        <v>3.297871849655595</v>
      </c>
      <c r="J23" s="113">
        <f t="shared" si="2"/>
        <v>68.729180263119474</v>
      </c>
      <c r="K23" s="113">
        <v>1.6671214069989777</v>
      </c>
      <c r="L23" s="113">
        <f t="shared" si="3"/>
        <v>33.184355082130303</v>
      </c>
      <c r="M23" s="97">
        <v>2.4988430868816796</v>
      </c>
      <c r="N23" s="97">
        <f t="shared" si="4"/>
        <v>54.654995943202515</v>
      </c>
      <c r="O23" s="113">
        <v>0.15036889802070061</v>
      </c>
      <c r="P23" s="113">
        <f t="shared" si="5"/>
        <v>12.62545276830976</v>
      </c>
      <c r="Q23" s="113">
        <v>3.92914875392271E-2</v>
      </c>
      <c r="R23" s="113">
        <f t="shared" si="6"/>
        <v>10.166531446378656</v>
      </c>
    </row>
    <row r="24" spans="1:18" x14ac:dyDescent="0.2">
      <c r="A24">
        <v>20</v>
      </c>
      <c r="B24">
        <v>1</v>
      </c>
      <c r="C24">
        <v>1984</v>
      </c>
      <c r="D24" s="112">
        <f t="shared" si="0"/>
        <v>30701</v>
      </c>
      <c r="E24">
        <v>4.8</v>
      </c>
      <c r="F24">
        <v>4.8</v>
      </c>
      <c r="G24" s="113">
        <v>0.35807946722053313</v>
      </c>
      <c r="H24" s="113">
        <f t="shared" si="1"/>
        <v>63.295409424319004</v>
      </c>
      <c r="I24" s="113">
        <v>7.2724054936736833</v>
      </c>
      <c r="J24" s="113">
        <f t="shared" si="2"/>
        <v>76.001585756793162</v>
      </c>
      <c r="K24" s="113">
        <v>4.4988606505110784</v>
      </c>
      <c r="L24" s="113">
        <f t="shared" si="3"/>
        <v>37.683215732641379</v>
      </c>
      <c r="M24" s="97">
        <v>5.8616269197111652</v>
      </c>
      <c r="N24" s="97">
        <f t="shared" si="4"/>
        <v>60.516622862913678</v>
      </c>
      <c r="O24" s="113">
        <v>-0.27978646843355504</v>
      </c>
      <c r="P24" s="113">
        <f t="shared" si="5"/>
        <v>12.345666299876205</v>
      </c>
      <c r="Q24" s="113">
        <v>-0.52805598993598557</v>
      </c>
      <c r="R24" s="113">
        <f t="shared" si="6"/>
        <v>9.63847545644267</v>
      </c>
    </row>
    <row r="25" spans="1:18" x14ac:dyDescent="0.2">
      <c r="A25">
        <v>21</v>
      </c>
      <c r="B25">
        <v>1</v>
      </c>
      <c r="C25">
        <v>1984</v>
      </c>
      <c r="D25" s="112">
        <f t="shared" si="0"/>
        <v>30702</v>
      </c>
      <c r="E25">
        <v>4.8</v>
      </c>
      <c r="F25">
        <v>4.8</v>
      </c>
      <c r="G25" s="113">
        <v>1.7991907303501546</v>
      </c>
      <c r="H25" s="113">
        <f t="shared" si="1"/>
        <v>65.094600154669152</v>
      </c>
      <c r="I25" s="113">
        <v>7.2771047862636813</v>
      </c>
      <c r="J25" s="113">
        <f t="shared" si="2"/>
        <v>83.27869054305684</v>
      </c>
      <c r="K25" s="113">
        <v>4.4794739435412865</v>
      </c>
      <c r="L25" s="113">
        <f t="shared" si="3"/>
        <v>42.162689676182666</v>
      </c>
      <c r="M25" s="97">
        <v>5.7952744676769532</v>
      </c>
      <c r="N25" s="97">
        <f t="shared" si="4"/>
        <v>66.311897330590625</v>
      </c>
      <c r="O25" s="113">
        <v>0.20920274248585005</v>
      </c>
      <c r="P25" s="113">
        <f t="shared" si="5"/>
        <v>12.554869042362055</v>
      </c>
      <c r="Q25" s="113">
        <v>-0.19618539002908</v>
      </c>
      <c r="R25" s="113">
        <f t="shared" si="6"/>
        <v>9.4422900664135891</v>
      </c>
    </row>
    <row r="26" spans="1:18" x14ac:dyDescent="0.2">
      <c r="A26">
        <v>22</v>
      </c>
      <c r="B26">
        <v>1</v>
      </c>
      <c r="C26">
        <v>1984</v>
      </c>
      <c r="D26" s="112">
        <f t="shared" si="0"/>
        <v>30703</v>
      </c>
      <c r="E26">
        <v>2.6</v>
      </c>
      <c r="F26">
        <v>2.6</v>
      </c>
      <c r="G26" s="113">
        <v>0</v>
      </c>
      <c r="H26" s="113">
        <f t="shared" si="1"/>
        <v>65.094600154669152</v>
      </c>
      <c r="I26" s="113">
        <v>2.7048102141113151</v>
      </c>
      <c r="J26" s="113">
        <f t="shared" si="2"/>
        <v>85.983500757168159</v>
      </c>
      <c r="K26" s="113">
        <v>1.2783481182407033</v>
      </c>
      <c r="L26" s="113">
        <f t="shared" si="3"/>
        <v>43.441037794423366</v>
      </c>
      <c r="M26" s="97">
        <v>1.9296868876391184</v>
      </c>
      <c r="N26" s="97">
        <f t="shared" si="4"/>
        <v>68.241584218229747</v>
      </c>
      <c r="O26" s="113">
        <v>-1.0868780623712286E-2</v>
      </c>
      <c r="P26" s="113">
        <f t="shared" si="5"/>
        <v>12.544000261738343</v>
      </c>
      <c r="Q26" s="113">
        <v>-0.12158868129354226</v>
      </c>
      <c r="R26" s="113">
        <f t="shared" si="6"/>
        <v>9.3207013851200475</v>
      </c>
    </row>
    <row r="27" spans="1:18" x14ac:dyDescent="0.2">
      <c r="A27">
        <v>23</v>
      </c>
      <c r="B27">
        <v>1</v>
      </c>
      <c r="C27">
        <v>1984</v>
      </c>
      <c r="D27" s="112">
        <f t="shared" si="0"/>
        <v>30704</v>
      </c>
      <c r="E27">
        <v>1.2</v>
      </c>
      <c r="F27">
        <v>1.2</v>
      </c>
      <c r="G27" s="113">
        <v>0</v>
      </c>
      <c r="H27" s="113">
        <f t="shared" si="1"/>
        <v>65.094600154669152</v>
      </c>
      <c r="I27" s="113">
        <v>0.9933950899981655</v>
      </c>
      <c r="J27" s="113">
        <f t="shared" si="2"/>
        <v>86.976895847166318</v>
      </c>
      <c r="K27" s="113">
        <v>-0.625266046707596</v>
      </c>
      <c r="L27" s="113">
        <f t="shared" si="3"/>
        <v>42.815771747715772</v>
      </c>
      <c r="M27" s="97">
        <v>-0.34186162936389669</v>
      </c>
      <c r="N27" s="97">
        <f t="shared" si="4"/>
        <v>67.899722588865856</v>
      </c>
      <c r="O27" s="113">
        <v>0.12026832138317972</v>
      </c>
      <c r="P27" s="113">
        <f t="shared" si="5"/>
        <v>12.664268583121522</v>
      </c>
      <c r="Q27" s="113">
        <v>-1.4956596500239358E-2</v>
      </c>
      <c r="R27" s="113">
        <f t="shared" si="6"/>
        <v>9.3057447886198084</v>
      </c>
    </row>
    <row r="28" spans="1:18" x14ac:dyDescent="0.2">
      <c r="A28">
        <v>24</v>
      </c>
      <c r="B28">
        <v>1</v>
      </c>
      <c r="C28">
        <v>1984</v>
      </c>
      <c r="D28" s="112">
        <f t="shared" si="0"/>
        <v>30705</v>
      </c>
      <c r="E28">
        <v>3.2</v>
      </c>
      <c r="F28">
        <v>3.2</v>
      </c>
      <c r="G28" s="113">
        <v>2.1272440410369344</v>
      </c>
      <c r="H28" s="113">
        <f t="shared" si="1"/>
        <v>67.221844195706083</v>
      </c>
      <c r="I28" s="113">
        <v>3.7469248645920694</v>
      </c>
      <c r="J28" s="113">
        <f t="shared" si="2"/>
        <v>90.723820711758393</v>
      </c>
      <c r="K28" s="113">
        <v>1.990566892946058</v>
      </c>
      <c r="L28" s="113">
        <f t="shared" si="3"/>
        <v>44.806338640661828</v>
      </c>
      <c r="M28" s="97">
        <v>2.7248716161092785</v>
      </c>
      <c r="N28" s="97">
        <f t="shared" si="4"/>
        <v>70.624594204975139</v>
      </c>
      <c r="O28" s="113">
        <v>0.1320803375495434</v>
      </c>
      <c r="P28" s="113">
        <f t="shared" si="5"/>
        <v>12.796348920671067</v>
      </c>
      <c r="Q28" s="113">
        <v>2.2448384517875251E-2</v>
      </c>
      <c r="R28" s="113">
        <f t="shared" si="6"/>
        <v>9.3281931731376844</v>
      </c>
    </row>
    <row r="29" spans="1:18" x14ac:dyDescent="0.2">
      <c r="A29">
        <v>25</v>
      </c>
      <c r="B29">
        <v>1</v>
      </c>
      <c r="C29">
        <v>1984</v>
      </c>
      <c r="D29" s="112">
        <f t="shared" si="0"/>
        <v>30706</v>
      </c>
      <c r="E29">
        <v>5</v>
      </c>
      <c r="F29">
        <v>5</v>
      </c>
      <c r="G29" s="113">
        <v>1.6658089574116384</v>
      </c>
      <c r="H29" s="113">
        <f t="shared" si="1"/>
        <v>68.887653153117725</v>
      </c>
      <c r="I29" s="113">
        <v>6.9405016502339443</v>
      </c>
      <c r="J29" s="113">
        <f t="shared" si="2"/>
        <v>97.664322361992333</v>
      </c>
      <c r="K29" s="113">
        <v>4.24807463493286</v>
      </c>
      <c r="L29" s="113">
        <f t="shared" si="3"/>
        <v>49.05441327559469</v>
      </c>
      <c r="M29" s="97">
        <v>5.3222111257931406</v>
      </c>
      <c r="N29" s="97">
        <f t="shared" si="4"/>
        <v>75.946805330768285</v>
      </c>
      <c r="O29" s="113">
        <v>0.15470575865039654</v>
      </c>
      <c r="P29" s="113">
        <f t="shared" si="5"/>
        <v>12.951054679321462</v>
      </c>
      <c r="Q29" s="113">
        <v>-0.18296617991478034</v>
      </c>
      <c r="R29" s="113">
        <f t="shared" si="6"/>
        <v>9.145226993222904</v>
      </c>
    </row>
    <row r="30" spans="1:18" x14ac:dyDescent="0.2">
      <c r="A30">
        <v>26</v>
      </c>
      <c r="B30">
        <v>1</v>
      </c>
      <c r="C30">
        <v>1984</v>
      </c>
      <c r="D30" s="112">
        <f t="shared" si="0"/>
        <v>30707</v>
      </c>
      <c r="E30">
        <v>4.2</v>
      </c>
      <c r="F30">
        <v>4.2</v>
      </c>
      <c r="G30" s="113">
        <v>0</v>
      </c>
      <c r="H30" s="113">
        <f t="shared" si="1"/>
        <v>68.887653153117725</v>
      </c>
      <c r="I30" s="113">
        <v>5.1342591186714426</v>
      </c>
      <c r="J30" s="113">
        <f t="shared" si="2"/>
        <v>102.79858148066377</v>
      </c>
      <c r="K30" s="113">
        <v>3.0130249259284247</v>
      </c>
      <c r="L30" s="113">
        <f t="shared" si="3"/>
        <v>52.067438201523117</v>
      </c>
      <c r="M30" s="97">
        <v>3.8356913857394921</v>
      </c>
      <c r="N30" s="97">
        <f t="shared" si="4"/>
        <v>79.782496716507779</v>
      </c>
      <c r="O30" s="113">
        <v>-6.7185040421099865E-2</v>
      </c>
      <c r="P30" s="113">
        <f t="shared" si="5"/>
        <v>12.883869638900363</v>
      </c>
      <c r="Q30" s="113">
        <v>-0.33024666533431751</v>
      </c>
      <c r="R30" s="113">
        <f t="shared" si="6"/>
        <v>8.8149803278885859</v>
      </c>
    </row>
    <row r="31" spans="1:18" x14ac:dyDescent="0.2">
      <c r="A31">
        <v>27</v>
      </c>
      <c r="B31">
        <v>1</v>
      </c>
      <c r="C31">
        <v>1984</v>
      </c>
      <c r="D31" s="112">
        <f t="shared" si="0"/>
        <v>30708</v>
      </c>
      <c r="E31">
        <v>1.4</v>
      </c>
      <c r="F31">
        <v>1.4</v>
      </c>
      <c r="G31" s="113">
        <v>0.58517664912711642</v>
      </c>
      <c r="H31" s="113">
        <f t="shared" si="1"/>
        <v>69.472829802244846</v>
      </c>
      <c r="I31" s="113">
        <v>0.98908438290913248</v>
      </c>
      <c r="J31" s="113">
        <f t="shared" si="2"/>
        <v>103.7876658635729</v>
      </c>
      <c r="K31" s="113">
        <v>-0.49446440399738023</v>
      </c>
      <c r="L31" s="113">
        <f t="shared" si="3"/>
        <v>51.572973797525734</v>
      </c>
      <c r="M31" s="97">
        <v>-0.23632375875280925</v>
      </c>
      <c r="N31" s="97">
        <f t="shared" si="4"/>
        <v>79.546172957754976</v>
      </c>
      <c r="O31" s="113">
        <v>0.22081669992726685</v>
      </c>
      <c r="P31" s="113">
        <f t="shared" si="5"/>
        <v>13.10468633882763</v>
      </c>
      <c r="Q31" s="113">
        <v>7.3380864576637464E-2</v>
      </c>
      <c r="R31" s="113">
        <f t="shared" si="6"/>
        <v>8.8883611924652239</v>
      </c>
    </row>
    <row r="32" spans="1:18" x14ac:dyDescent="0.2">
      <c r="A32">
        <v>28</v>
      </c>
      <c r="B32">
        <v>1</v>
      </c>
      <c r="C32">
        <v>1984</v>
      </c>
      <c r="D32" s="112">
        <f t="shared" si="0"/>
        <v>30709</v>
      </c>
      <c r="E32">
        <v>2.7</v>
      </c>
      <c r="F32">
        <v>2.7</v>
      </c>
      <c r="G32" s="113">
        <v>1.6570900267228079</v>
      </c>
      <c r="H32" s="113">
        <f t="shared" si="1"/>
        <v>71.129919828967658</v>
      </c>
      <c r="I32" s="113">
        <v>2.3790203536289414</v>
      </c>
      <c r="J32" s="113">
        <f t="shared" si="2"/>
        <v>106.16668621720184</v>
      </c>
      <c r="K32" s="113">
        <v>1.045928689098151</v>
      </c>
      <c r="L32" s="113">
        <f t="shared" si="3"/>
        <v>52.618902486623881</v>
      </c>
      <c r="M32" s="97">
        <v>1.5195171310022868</v>
      </c>
      <c r="N32" s="97">
        <f t="shared" si="4"/>
        <v>81.065690088757265</v>
      </c>
      <c r="O32" s="113">
        <v>0.28181134005369318</v>
      </c>
      <c r="P32" s="113">
        <f t="shared" si="5"/>
        <v>13.386497678881323</v>
      </c>
      <c r="Q32" s="113">
        <v>0.19544196799236777</v>
      </c>
      <c r="R32" s="113">
        <f t="shared" si="6"/>
        <v>9.0838031604575917</v>
      </c>
    </row>
    <row r="33" spans="1:18" x14ac:dyDescent="0.2">
      <c r="A33">
        <v>29</v>
      </c>
      <c r="B33">
        <v>1</v>
      </c>
      <c r="C33">
        <v>1984</v>
      </c>
      <c r="D33" s="112">
        <f t="shared" si="0"/>
        <v>30710</v>
      </c>
      <c r="E33">
        <v>5.0999999999999996</v>
      </c>
      <c r="F33">
        <v>5.0999999999999996</v>
      </c>
      <c r="G33" s="113">
        <v>1.3882271404603528</v>
      </c>
      <c r="H33" s="113">
        <f t="shared" si="1"/>
        <v>72.518146969428017</v>
      </c>
      <c r="I33" s="113">
        <v>6.1912058015403044</v>
      </c>
      <c r="J33" s="113">
        <f t="shared" si="2"/>
        <v>112.35789201874215</v>
      </c>
      <c r="K33" s="113">
        <v>3.7968422995303852</v>
      </c>
      <c r="L33" s="113">
        <f t="shared" si="3"/>
        <v>56.415744786154264</v>
      </c>
      <c r="M33" s="97">
        <v>4.6242738303203321</v>
      </c>
      <c r="N33" s="97">
        <f t="shared" si="4"/>
        <v>85.689963919077599</v>
      </c>
      <c r="O33" s="113">
        <v>0.17479237646563076</v>
      </c>
      <c r="P33" s="113">
        <f t="shared" si="5"/>
        <v>13.561290055346953</v>
      </c>
      <c r="Q33" s="113">
        <v>-0.17469140005429498</v>
      </c>
      <c r="R33" s="113">
        <f t="shared" si="6"/>
        <v>8.909111760403297</v>
      </c>
    </row>
    <row r="34" spans="1:18" x14ac:dyDescent="0.2">
      <c r="A34">
        <v>30</v>
      </c>
      <c r="B34">
        <v>1</v>
      </c>
      <c r="C34">
        <v>1984</v>
      </c>
      <c r="D34" s="112">
        <f t="shared" si="0"/>
        <v>30711</v>
      </c>
      <c r="E34">
        <v>2.2000000000000002</v>
      </c>
      <c r="F34">
        <v>2.2000000000000002</v>
      </c>
      <c r="G34" s="113">
        <v>2.8514251581721992</v>
      </c>
      <c r="H34" s="113">
        <f t="shared" si="1"/>
        <v>75.369572127600222</v>
      </c>
      <c r="I34" s="113">
        <v>1.4225976515691692</v>
      </c>
      <c r="J34" s="113">
        <f t="shared" si="2"/>
        <v>113.78048967031131</v>
      </c>
      <c r="K34" s="113">
        <v>0.34626173570852015</v>
      </c>
      <c r="L34" s="113">
        <f t="shared" si="3"/>
        <v>56.762006521862787</v>
      </c>
      <c r="M34" s="97">
        <v>0.6923596931814413</v>
      </c>
      <c r="N34" s="97">
        <f t="shared" si="4"/>
        <v>86.382323612259043</v>
      </c>
      <c r="O34" s="113">
        <v>0.58960157161765092</v>
      </c>
      <c r="P34" s="113">
        <f t="shared" si="5"/>
        <v>14.150891626964604</v>
      </c>
      <c r="Q34" s="113">
        <v>0.58163315988837672</v>
      </c>
      <c r="R34" s="113">
        <f t="shared" si="6"/>
        <v>9.4907449202916734</v>
      </c>
    </row>
    <row r="35" spans="1:18" x14ac:dyDescent="0.2">
      <c r="A35">
        <v>31</v>
      </c>
      <c r="B35">
        <v>1</v>
      </c>
      <c r="C35">
        <v>1984</v>
      </c>
      <c r="D35" s="112">
        <f t="shared" si="0"/>
        <v>30712</v>
      </c>
      <c r="E35">
        <v>5</v>
      </c>
      <c r="F35">
        <v>5</v>
      </c>
      <c r="G35" s="113">
        <v>3.0835638760140638</v>
      </c>
      <c r="H35" s="113">
        <f t="shared" si="1"/>
        <v>78.45313600361429</v>
      </c>
      <c r="I35" s="113">
        <v>6.0346394668920622</v>
      </c>
      <c r="J35" s="113">
        <f t="shared" si="2"/>
        <v>119.81512913720337</v>
      </c>
      <c r="K35" s="113">
        <v>3.6124054882141063</v>
      </c>
      <c r="L35" s="113">
        <f t="shared" si="3"/>
        <v>60.374412010076895</v>
      </c>
      <c r="M35" s="97">
        <v>4.354193701904185</v>
      </c>
      <c r="N35" s="97">
        <f t="shared" si="4"/>
        <v>90.736517314163223</v>
      </c>
      <c r="O35" s="113">
        <v>0.23461512468311221</v>
      </c>
      <c r="P35" s="113">
        <f t="shared" si="5"/>
        <v>14.385506751647716</v>
      </c>
      <c r="Q35" s="113">
        <v>-1.7484321383168796E-2</v>
      </c>
      <c r="R35" s="113">
        <f t="shared" si="6"/>
        <v>9.4732605989085048</v>
      </c>
    </row>
    <row r="36" spans="1:18" x14ac:dyDescent="0.2">
      <c r="A36">
        <v>1</v>
      </c>
      <c r="B36">
        <v>2</v>
      </c>
      <c r="C36">
        <v>1984</v>
      </c>
      <c r="D36" s="112">
        <f t="shared" si="0"/>
        <v>30713</v>
      </c>
      <c r="E36">
        <v>1.1000000000000001</v>
      </c>
      <c r="F36">
        <v>1.1000000000000001</v>
      </c>
      <c r="G36" s="113">
        <v>3.7192753180166682</v>
      </c>
      <c r="H36" s="113">
        <f t="shared" si="1"/>
        <v>82.17241132163096</v>
      </c>
      <c r="I36" s="113">
        <v>1.0385650384708733</v>
      </c>
      <c r="J36" s="113">
        <f t="shared" si="2"/>
        <v>120.85369417567425</v>
      </c>
      <c r="K36" s="113">
        <v>-1.03131145702771</v>
      </c>
      <c r="L36" s="113">
        <f t="shared" si="3"/>
        <v>59.343100553049183</v>
      </c>
      <c r="M36" s="97">
        <v>-0.87820050870645061</v>
      </c>
      <c r="N36" s="97">
        <f t="shared" si="4"/>
        <v>89.858316805456766</v>
      </c>
      <c r="O36" s="113">
        <v>1.0854354454020458</v>
      </c>
      <c r="P36" s="113">
        <f t="shared" si="5"/>
        <v>15.470942197049762</v>
      </c>
      <c r="Q36" s="113">
        <v>0.91397507271460554</v>
      </c>
      <c r="R36" s="113">
        <f t="shared" si="6"/>
        <v>10.38723567162311</v>
      </c>
    </row>
    <row r="37" spans="1:18" x14ac:dyDescent="0.2">
      <c r="A37">
        <v>2</v>
      </c>
      <c r="B37">
        <v>2</v>
      </c>
      <c r="C37">
        <v>1984</v>
      </c>
      <c r="D37" s="112">
        <f t="shared" si="0"/>
        <v>30714</v>
      </c>
      <c r="E37">
        <v>2.8</v>
      </c>
      <c r="F37">
        <v>2.8</v>
      </c>
      <c r="G37" s="113">
        <v>1.702322776087523</v>
      </c>
      <c r="H37" s="113">
        <f t="shared" si="1"/>
        <v>83.874734097718488</v>
      </c>
      <c r="I37" s="113">
        <v>2.0741652976471845</v>
      </c>
      <c r="J37" s="113">
        <f t="shared" si="2"/>
        <v>122.92785947332143</v>
      </c>
      <c r="K37" s="113">
        <v>0.84745634859175756</v>
      </c>
      <c r="L37" s="113">
        <f t="shared" si="3"/>
        <v>60.190556901640939</v>
      </c>
      <c r="M37" s="97">
        <v>1.1945666186549135</v>
      </c>
      <c r="N37" s="97">
        <f t="shared" si="4"/>
        <v>91.052883424111684</v>
      </c>
      <c r="O37" s="113">
        <v>0.54759535682628924</v>
      </c>
      <c r="P37" s="113">
        <f t="shared" si="5"/>
        <v>16.018537553876051</v>
      </c>
      <c r="Q37" s="113">
        <v>0.45966597512232499</v>
      </c>
      <c r="R37" s="113">
        <f t="shared" si="6"/>
        <v>10.846901646745435</v>
      </c>
    </row>
    <row r="38" spans="1:18" x14ac:dyDescent="0.2">
      <c r="A38">
        <v>3</v>
      </c>
      <c r="B38">
        <v>2</v>
      </c>
      <c r="C38">
        <v>1984</v>
      </c>
      <c r="D38" s="112">
        <f t="shared" si="0"/>
        <v>30715</v>
      </c>
      <c r="E38">
        <v>4</v>
      </c>
      <c r="F38">
        <v>4</v>
      </c>
      <c r="G38" s="113">
        <v>1.2835068043956652</v>
      </c>
      <c r="H38" s="113">
        <f t="shared" si="1"/>
        <v>85.158240902114159</v>
      </c>
      <c r="I38" s="113">
        <v>3.6610532496098598</v>
      </c>
      <c r="J38" s="113">
        <f t="shared" si="2"/>
        <v>126.5889127229313</v>
      </c>
      <c r="K38" s="113">
        <v>2.0229078772802866</v>
      </c>
      <c r="L38" s="113">
        <f t="shared" si="3"/>
        <v>62.213464778921228</v>
      </c>
      <c r="M38" s="97">
        <v>2.474107300819695</v>
      </c>
      <c r="N38" s="97">
        <f t="shared" si="4"/>
        <v>93.52699072493138</v>
      </c>
      <c r="O38" s="113">
        <v>0.39816718225501224</v>
      </c>
      <c r="P38" s="113">
        <f t="shared" si="5"/>
        <v>16.416704736131063</v>
      </c>
      <c r="Q38" s="113">
        <v>0.19661561451627699</v>
      </c>
      <c r="R38" s="113">
        <f t="shared" si="6"/>
        <v>11.043517261261712</v>
      </c>
    </row>
    <row r="39" spans="1:18" x14ac:dyDescent="0.2">
      <c r="A39">
        <v>4</v>
      </c>
      <c r="B39">
        <v>2</v>
      </c>
      <c r="C39">
        <v>1984</v>
      </c>
      <c r="D39" s="112">
        <f t="shared" si="0"/>
        <v>30716</v>
      </c>
      <c r="E39">
        <v>3.4</v>
      </c>
      <c r="F39">
        <v>3.4</v>
      </c>
      <c r="G39" s="113">
        <v>1.8553323465027303</v>
      </c>
      <c r="H39" s="113">
        <f t="shared" si="1"/>
        <v>87.013573248616893</v>
      </c>
      <c r="I39" s="113">
        <v>2.7585554750938499</v>
      </c>
      <c r="J39" s="113">
        <f t="shared" si="2"/>
        <v>129.34746819802515</v>
      </c>
      <c r="K39" s="113">
        <v>1.3535280939492471</v>
      </c>
      <c r="L39" s="113">
        <f t="shared" si="3"/>
        <v>63.566992872870472</v>
      </c>
      <c r="M39" s="97">
        <v>1.717420523885415</v>
      </c>
      <c r="N39" s="97">
        <f t="shared" si="4"/>
        <v>95.244411248816789</v>
      </c>
      <c r="O39" s="113">
        <v>0.75432795805707631</v>
      </c>
      <c r="P39" s="113">
        <f t="shared" si="5"/>
        <v>17.171032694188138</v>
      </c>
      <c r="Q39" s="113">
        <v>0.52465934382528057</v>
      </c>
      <c r="R39" s="113">
        <f t="shared" si="6"/>
        <v>11.568176605086993</v>
      </c>
    </row>
    <row r="40" spans="1:18" x14ac:dyDescent="0.2">
      <c r="A40">
        <v>5</v>
      </c>
      <c r="B40">
        <v>2</v>
      </c>
      <c r="C40">
        <v>1984</v>
      </c>
      <c r="D40" s="112">
        <f t="shared" si="0"/>
        <v>30717</v>
      </c>
      <c r="E40">
        <v>4.2</v>
      </c>
      <c r="F40">
        <v>4.2</v>
      </c>
      <c r="G40" s="113">
        <v>5.9117593946447453</v>
      </c>
      <c r="H40" s="113">
        <f t="shared" si="1"/>
        <v>92.92533264326164</v>
      </c>
      <c r="I40" s="113">
        <v>4.2949187695604856</v>
      </c>
      <c r="J40" s="113">
        <f t="shared" si="2"/>
        <v>133.64238696758565</v>
      </c>
      <c r="K40" s="113">
        <v>2.3319398603160866</v>
      </c>
      <c r="L40" s="113">
        <f t="shared" si="3"/>
        <v>65.898932733186555</v>
      </c>
      <c r="M40" s="97">
        <v>2.7956088177937</v>
      </c>
      <c r="N40" s="97">
        <f t="shared" si="4"/>
        <v>98.040020066610495</v>
      </c>
      <c r="O40" s="113">
        <v>1.6116327802157306</v>
      </c>
      <c r="P40" s="113">
        <f t="shared" si="5"/>
        <v>18.782665474403871</v>
      </c>
      <c r="Q40" s="113">
        <v>1.5828678183514981</v>
      </c>
      <c r="R40" s="113">
        <f t="shared" si="6"/>
        <v>13.151044423438492</v>
      </c>
    </row>
    <row r="41" spans="1:18" x14ac:dyDescent="0.2">
      <c r="A41">
        <v>6</v>
      </c>
      <c r="B41">
        <v>2</v>
      </c>
      <c r="C41">
        <v>1984</v>
      </c>
      <c r="D41" s="112">
        <f t="shared" si="0"/>
        <v>30718</v>
      </c>
      <c r="E41">
        <v>2.2000000000000002</v>
      </c>
      <c r="F41">
        <v>2.2000000000000002</v>
      </c>
      <c r="G41" s="113">
        <v>1.0350975107428544</v>
      </c>
      <c r="H41" s="113">
        <f t="shared" si="1"/>
        <v>93.960430154004499</v>
      </c>
      <c r="I41" s="113">
        <v>0.9739222055420802</v>
      </c>
      <c r="J41" s="113">
        <f t="shared" si="2"/>
        <v>134.61630917312772</v>
      </c>
      <c r="K41" s="113">
        <v>1.6506975759404061E-2</v>
      </c>
      <c r="L41" s="113">
        <f t="shared" si="3"/>
        <v>65.915439708945954</v>
      </c>
      <c r="M41" s="97">
        <v>0.21997679279751431</v>
      </c>
      <c r="N41" s="97">
        <f t="shared" si="4"/>
        <v>98.259996859408005</v>
      </c>
      <c r="O41" s="113">
        <v>0.44085392385189071</v>
      </c>
      <c r="P41" s="113">
        <f t="shared" si="5"/>
        <v>19.22351939825576</v>
      </c>
      <c r="Q41" s="113">
        <v>0.47556904492514557</v>
      </c>
      <c r="R41" s="113">
        <f t="shared" si="6"/>
        <v>13.626613468363638</v>
      </c>
    </row>
    <row r="42" spans="1:18" x14ac:dyDescent="0.2">
      <c r="A42">
        <v>7</v>
      </c>
      <c r="B42">
        <v>2</v>
      </c>
      <c r="C42">
        <v>1984</v>
      </c>
      <c r="D42" s="112">
        <f t="shared" si="0"/>
        <v>30719</v>
      </c>
      <c r="E42">
        <v>4.0999999999999996</v>
      </c>
      <c r="F42">
        <v>4.0999999999999996</v>
      </c>
      <c r="G42" s="113">
        <v>4.7320339052482385</v>
      </c>
      <c r="H42" s="113">
        <f t="shared" si="1"/>
        <v>98.692464059252742</v>
      </c>
      <c r="I42" s="113">
        <v>3.7992141946983953</v>
      </c>
      <c r="J42" s="113">
        <f t="shared" si="2"/>
        <v>138.41552336782613</v>
      </c>
      <c r="K42" s="113">
        <v>1.9986621141235192</v>
      </c>
      <c r="L42" s="113">
        <f t="shared" si="3"/>
        <v>67.914101823069473</v>
      </c>
      <c r="M42" s="97">
        <v>2.3809867952497461</v>
      </c>
      <c r="N42" s="97">
        <f t="shared" si="4"/>
        <v>100.64098365465775</v>
      </c>
      <c r="O42" s="113">
        <v>1.1806072722997831</v>
      </c>
      <c r="P42" s="113">
        <f t="shared" si="5"/>
        <v>20.404126670555545</v>
      </c>
      <c r="Q42" s="113">
        <v>1.2006387408652746</v>
      </c>
      <c r="R42" s="113">
        <f t="shared" si="6"/>
        <v>14.827252209228913</v>
      </c>
    </row>
    <row r="43" spans="1:18" x14ac:dyDescent="0.2">
      <c r="A43">
        <v>8</v>
      </c>
      <c r="B43">
        <v>2</v>
      </c>
      <c r="C43">
        <v>1984</v>
      </c>
      <c r="D43" s="112">
        <f t="shared" si="0"/>
        <v>30720</v>
      </c>
      <c r="E43">
        <v>5.4</v>
      </c>
      <c r="F43">
        <v>5.4</v>
      </c>
      <c r="G43" s="113">
        <v>2.8340660112479203</v>
      </c>
      <c r="H43" s="113">
        <f t="shared" si="1"/>
        <v>101.52653007050067</v>
      </c>
      <c r="I43" s="113">
        <v>5.3354872171845162</v>
      </c>
      <c r="J43" s="113">
        <f t="shared" si="2"/>
        <v>143.75101058501065</v>
      </c>
      <c r="K43" s="113">
        <v>3.1425239010523232</v>
      </c>
      <c r="L43" s="113">
        <f t="shared" si="3"/>
        <v>71.056625724121801</v>
      </c>
      <c r="M43" s="97">
        <v>3.5908120125652587</v>
      </c>
      <c r="N43" s="97">
        <f t="shared" si="4"/>
        <v>104.231795667223</v>
      </c>
      <c r="O43" s="113">
        <v>0.62821725692313068</v>
      </c>
      <c r="P43" s="113">
        <f t="shared" si="5"/>
        <v>21.032343927478674</v>
      </c>
      <c r="Q43" s="113">
        <v>0.4058773087763497</v>
      </c>
      <c r="R43" s="113">
        <f t="shared" si="6"/>
        <v>15.233129518005263</v>
      </c>
    </row>
    <row r="44" spans="1:18" x14ac:dyDescent="0.2">
      <c r="A44">
        <v>9</v>
      </c>
      <c r="B44">
        <v>2</v>
      </c>
      <c r="C44">
        <v>1984</v>
      </c>
      <c r="D44" s="112">
        <f t="shared" si="0"/>
        <v>30721</v>
      </c>
      <c r="E44">
        <v>7.1</v>
      </c>
      <c r="F44">
        <v>7.1</v>
      </c>
      <c r="G44" s="113">
        <v>4.2295607893328633</v>
      </c>
      <c r="H44" s="113">
        <f t="shared" si="1"/>
        <v>105.75609085983353</v>
      </c>
      <c r="I44" s="113">
        <v>7.8087974922321388</v>
      </c>
      <c r="J44" s="113">
        <f t="shared" si="2"/>
        <v>151.55980807724279</v>
      </c>
      <c r="K44" s="113">
        <v>4.8631397958915086</v>
      </c>
      <c r="L44" s="113">
        <f t="shared" si="3"/>
        <v>75.919765520013314</v>
      </c>
      <c r="M44" s="97">
        <v>5.4268456073006943</v>
      </c>
      <c r="N44" s="97">
        <f t="shared" si="4"/>
        <v>109.65864127452369</v>
      </c>
      <c r="O44" s="113">
        <v>0.43722235608199433</v>
      </c>
      <c r="P44" s="113">
        <f t="shared" si="5"/>
        <v>21.469566283560667</v>
      </c>
      <c r="Q44" s="113">
        <v>7.5616230588434155E-2</v>
      </c>
      <c r="R44" s="113">
        <f t="shared" si="6"/>
        <v>15.308745748593697</v>
      </c>
    </row>
    <row r="45" spans="1:18" x14ac:dyDescent="0.2">
      <c r="A45">
        <v>10</v>
      </c>
      <c r="B45">
        <v>2</v>
      </c>
      <c r="C45">
        <v>1984</v>
      </c>
      <c r="D45" s="112">
        <f t="shared" si="0"/>
        <v>30722</v>
      </c>
      <c r="E45">
        <v>4.5</v>
      </c>
      <c r="F45">
        <v>4.5</v>
      </c>
      <c r="G45" s="113">
        <v>1.5819948327045623</v>
      </c>
      <c r="H45" s="113">
        <f t="shared" si="1"/>
        <v>107.3380856925381</v>
      </c>
      <c r="I45" s="113">
        <v>3.6900909351788282</v>
      </c>
      <c r="J45" s="113">
        <f t="shared" si="2"/>
        <v>155.24989901242162</v>
      </c>
      <c r="K45" s="113">
        <v>2.0095080529799767</v>
      </c>
      <c r="L45" s="113">
        <f t="shared" si="3"/>
        <v>77.929273572993296</v>
      </c>
      <c r="M45" s="97">
        <v>2.3206007073857364</v>
      </c>
      <c r="N45" s="97">
        <f t="shared" si="4"/>
        <v>111.97924198190942</v>
      </c>
      <c r="O45" s="113">
        <v>0.38461401248116506</v>
      </c>
      <c r="P45" s="113">
        <f t="shared" si="5"/>
        <v>21.854180296041832</v>
      </c>
      <c r="Q45" s="113">
        <v>0.14919425693279026</v>
      </c>
      <c r="R45" s="113">
        <f t="shared" si="6"/>
        <v>15.457940005526488</v>
      </c>
    </row>
    <row r="46" spans="1:18" x14ac:dyDescent="0.2">
      <c r="A46">
        <v>11</v>
      </c>
      <c r="B46">
        <v>2</v>
      </c>
      <c r="C46">
        <v>1984</v>
      </c>
      <c r="D46" s="112">
        <f t="shared" si="0"/>
        <v>30723</v>
      </c>
      <c r="E46">
        <v>1.8</v>
      </c>
      <c r="F46">
        <v>1.8</v>
      </c>
      <c r="G46" s="113">
        <v>0.78984022427119771</v>
      </c>
      <c r="H46" s="113">
        <f t="shared" si="1"/>
        <v>108.1279259168093</v>
      </c>
      <c r="I46" s="113">
        <v>0.95727617992892589</v>
      </c>
      <c r="J46" s="113">
        <f t="shared" si="2"/>
        <v>156.20717519235055</v>
      </c>
      <c r="K46" s="113">
        <v>-0.53920617194307974</v>
      </c>
      <c r="L46" s="113">
        <f t="shared" si="3"/>
        <v>77.390067401050217</v>
      </c>
      <c r="M46" s="97">
        <v>-0.4266891760736245</v>
      </c>
      <c r="N46" s="97">
        <f t="shared" si="4"/>
        <v>111.5525528058358</v>
      </c>
      <c r="O46" s="113">
        <v>0.36310157511790564</v>
      </c>
      <c r="P46" s="113">
        <f t="shared" si="5"/>
        <v>22.217281871159738</v>
      </c>
      <c r="Q46" s="113">
        <v>0.15695011188617172</v>
      </c>
      <c r="R46" s="113">
        <f t="shared" si="6"/>
        <v>15.61489011741266</v>
      </c>
    </row>
    <row r="47" spans="1:18" x14ac:dyDescent="0.2">
      <c r="A47">
        <v>12</v>
      </c>
      <c r="B47">
        <v>2</v>
      </c>
      <c r="C47">
        <v>1984</v>
      </c>
      <c r="D47" s="112">
        <f t="shared" si="0"/>
        <v>30724</v>
      </c>
      <c r="E47">
        <v>3.7</v>
      </c>
      <c r="F47">
        <v>3.7</v>
      </c>
      <c r="G47" s="113">
        <v>1.4564038461177577</v>
      </c>
      <c r="H47" s="113">
        <f t="shared" si="1"/>
        <v>109.58432976292706</v>
      </c>
      <c r="I47" s="113">
        <v>2.47732670499366</v>
      </c>
      <c r="J47" s="113">
        <f t="shared" si="2"/>
        <v>158.68450189734421</v>
      </c>
      <c r="K47" s="113">
        <v>1.1325558758484189</v>
      </c>
      <c r="L47" s="113">
        <f t="shared" si="3"/>
        <v>78.522623276898642</v>
      </c>
      <c r="M47" s="97">
        <v>1.3511730489873499</v>
      </c>
      <c r="N47" s="97">
        <f t="shared" si="4"/>
        <v>112.90372585482315</v>
      </c>
      <c r="O47" s="113">
        <v>0.37648245007817238</v>
      </c>
      <c r="P47" s="113">
        <f t="shared" si="5"/>
        <v>22.593764321237909</v>
      </c>
      <c r="Q47" s="113">
        <v>0.27905832333701308</v>
      </c>
      <c r="R47" s="113">
        <f t="shared" si="6"/>
        <v>15.893948440749673</v>
      </c>
    </row>
    <row r="48" spans="1:18" x14ac:dyDescent="0.2">
      <c r="A48">
        <v>13</v>
      </c>
      <c r="B48">
        <v>2</v>
      </c>
      <c r="C48">
        <v>1984</v>
      </c>
      <c r="D48" s="112">
        <f t="shared" si="0"/>
        <v>30725</v>
      </c>
      <c r="E48">
        <v>4.2</v>
      </c>
      <c r="F48">
        <v>4.2</v>
      </c>
      <c r="G48" s="113">
        <v>2.2506353772726033</v>
      </c>
      <c r="H48" s="113">
        <f t="shared" si="1"/>
        <v>111.83496514019966</v>
      </c>
      <c r="I48" s="113">
        <v>3.1709889380663516</v>
      </c>
      <c r="J48" s="113">
        <f t="shared" si="2"/>
        <v>161.85549083541056</v>
      </c>
      <c r="K48" s="113">
        <v>1.5688735693226477</v>
      </c>
      <c r="L48" s="113">
        <f t="shared" si="3"/>
        <v>80.09149684622129</v>
      </c>
      <c r="M48" s="97">
        <v>1.8061408715595604</v>
      </c>
      <c r="N48" s="97">
        <f t="shared" si="4"/>
        <v>114.70986672638271</v>
      </c>
      <c r="O48" s="113">
        <v>0.26686500313741662</v>
      </c>
      <c r="P48" s="113">
        <f t="shared" si="5"/>
        <v>22.860629324375324</v>
      </c>
      <c r="Q48" s="113">
        <v>0.17177370210244419</v>
      </c>
      <c r="R48" s="113">
        <f t="shared" si="6"/>
        <v>16.065722142852117</v>
      </c>
    </row>
    <row r="49" spans="1:18" x14ac:dyDescent="0.2">
      <c r="A49">
        <v>14</v>
      </c>
      <c r="B49">
        <v>2</v>
      </c>
      <c r="C49">
        <v>1984</v>
      </c>
      <c r="D49" s="112">
        <f t="shared" si="0"/>
        <v>30726</v>
      </c>
      <c r="E49">
        <v>3.6</v>
      </c>
      <c r="F49">
        <v>3.6</v>
      </c>
      <c r="G49" s="113">
        <v>2.0221932974705097</v>
      </c>
      <c r="H49" s="113">
        <f t="shared" si="1"/>
        <v>113.85715843767017</v>
      </c>
      <c r="I49" s="113">
        <v>2.2935775236660256</v>
      </c>
      <c r="J49" s="113">
        <f t="shared" si="2"/>
        <v>164.14906835907658</v>
      </c>
      <c r="K49" s="113">
        <v>0.95388375493425981</v>
      </c>
      <c r="L49" s="113">
        <f t="shared" si="3"/>
        <v>81.045380601155543</v>
      </c>
      <c r="M49" s="97">
        <v>1.1405698624019145</v>
      </c>
      <c r="N49" s="97">
        <f t="shared" si="4"/>
        <v>115.85043658878463</v>
      </c>
      <c r="O49" s="113">
        <v>0.32296224403680568</v>
      </c>
      <c r="P49" s="113">
        <f t="shared" si="5"/>
        <v>23.18359156841213</v>
      </c>
      <c r="Q49" s="113">
        <v>0.24706057697899783</v>
      </c>
      <c r="R49" s="113">
        <f t="shared" si="6"/>
        <v>16.312782719831116</v>
      </c>
    </row>
    <row r="50" spans="1:18" x14ac:dyDescent="0.2">
      <c r="A50">
        <v>15</v>
      </c>
      <c r="B50">
        <v>2</v>
      </c>
      <c r="C50">
        <v>1984</v>
      </c>
      <c r="D50" s="112">
        <f t="shared" si="0"/>
        <v>30727</v>
      </c>
      <c r="E50">
        <v>1.7</v>
      </c>
      <c r="F50">
        <v>1.7</v>
      </c>
      <c r="G50" s="113">
        <v>0.9926580317274275</v>
      </c>
      <c r="H50" s="113">
        <f t="shared" si="1"/>
        <v>114.8498164693976</v>
      </c>
      <c r="I50" s="113">
        <v>1.0188337244714034</v>
      </c>
      <c r="J50" s="113">
        <f t="shared" si="2"/>
        <v>165.16790208354797</v>
      </c>
      <c r="K50" s="113">
        <v>-0.76788398229124399</v>
      </c>
      <c r="L50" s="113">
        <f t="shared" si="3"/>
        <v>80.277496618864305</v>
      </c>
      <c r="M50" s="97">
        <v>-0.688049624926521</v>
      </c>
      <c r="N50" s="97">
        <f t="shared" si="4"/>
        <v>115.16238696385811</v>
      </c>
      <c r="O50" s="113">
        <v>0.28593781043611094</v>
      </c>
      <c r="P50" s="113">
        <f t="shared" si="5"/>
        <v>23.46952937884824</v>
      </c>
      <c r="Q50" s="113">
        <v>0.13199027275154535</v>
      </c>
      <c r="R50" s="113">
        <f t="shared" si="6"/>
        <v>16.44477299258266</v>
      </c>
    </row>
    <row r="51" spans="1:18" x14ac:dyDescent="0.2">
      <c r="A51">
        <v>16</v>
      </c>
      <c r="B51">
        <v>2</v>
      </c>
      <c r="C51">
        <v>1984</v>
      </c>
      <c r="D51" s="112">
        <f t="shared" si="0"/>
        <v>30728</v>
      </c>
      <c r="E51">
        <v>1.7</v>
      </c>
      <c r="F51">
        <v>1.7</v>
      </c>
      <c r="G51" s="113">
        <v>2.5060759082725927</v>
      </c>
      <c r="H51" s="113">
        <f t="shared" si="1"/>
        <v>117.35589237767019</v>
      </c>
      <c r="I51" s="113">
        <v>1.0417040660107839</v>
      </c>
      <c r="J51" s="113">
        <f t="shared" si="2"/>
        <v>166.20960614955877</v>
      </c>
      <c r="K51" s="113">
        <v>-0.81343891315262395</v>
      </c>
      <c r="L51" s="113">
        <f t="shared" si="3"/>
        <v>79.464057705711681</v>
      </c>
      <c r="M51" s="97">
        <v>-0.73838293672671018</v>
      </c>
      <c r="N51" s="97">
        <f t="shared" si="4"/>
        <v>114.4240040271314</v>
      </c>
      <c r="O51" s="113">
        <v>0.47128935411927714</v>
      </c>
      <c r="P51" s="113">
        <f t="shared" si="5"/>
        <v>23.940818732967518</v>
      </c>
      <c r="Q51" s="113">
        <v>0.31921161712391155</v>
      </c>
      <c r="R51" s="113">
        <f t="shared" si="6"/>
        <v>16.763984609706572</v>
      </c>
    </row>
    <row r="52" spans="1:18" x14ac:dyDescent="0.2">
      <c r="A52">
        <v>17</v>
      </c>
      <c r="B52">
        <v>2</v>
      </c>
      <c r="C52">
        <v>1984</v>
      </c>
      <c r="D52" s="112">
        <f t="shared" si="0"/>
        <v>30729</v>
      </c>
      <c r="E52">
        <v>4.8</v>
      </c>
      <c r="F52">
        <v>4.8</v>
      </c>
      <c r="G52" s="113">
        <v>1.992069984762842</v>
      </c>
      <c r="H52" s="113">
        <f t="shared" si="1"/>
        <v>119.34796236243302</v>
      </c>
      <c r="I52" s="113">
        <v>3.4648129441099167</v>
      </c>
      <c r="J52" s="113">
        <f t="shared" si="2"/>
        <v>169.67441909366869</v>
      </c>
      <c r="K52" s="113">
        <v>1.7962949724747765</v>
      </c>
      <c r="L52" s="113">
        <f t="shared" si="3"/>
        <v>81.260352678186464</v>
      </c>
      <c r="M52" s="97">
        <v>1.9886269105920555</v>
      </c>
      <c r="N52" s="97">
        <f t="shared" si="4"/>
        <v>116.41263093772346</v>
      </c>
      <c r="O52" s="113">
        <v>0.45155965110951685</v>
      </c>
      <c r="P52" s="113">
        <f t="shared" si="5"/>
        <v>24.392378384077034</v>
      </c>
      <c r="Q52" s="113">
        <v>0.26277944901547073</v>
      </c>
      <c r="R52" s="113">
        <f t="shared" si="6"/>
        <v>17.026764058722044</v>
      </c>
    </row>
    <row r="53" spans="1:18" x14ac:dyDescent="0.2">
      <c r="A53">
        <v>18</v>
      </c>
      <c r="B53">
        <v>2</v>
      </c>
      <c r="C53">
        <v>1984</v>
      </c>
      <c r="D53" s="112">
        <f t="shared" si="0"/>
        <v>30730</v>
      </c>
      <c r="E53">
        <v>7.3</v>
      </c>
      <c r="F53">
        <v>7.3</v>
      </c>
      <c r="G53" s="113">
        <v>2.4408164582374301</v>
      </c>
      <c r="H53" s="113">
        <f t="shared" si="1"/>
        <v>121.78877882067046</v>
      </c>
      <c r="I53" s="113">
        <v>6.2938916265512885</v>
      </c>
      <c r="J53" s="113">
        <f t="shared" si="2"/>
        <v>175.96831072021999</v>
      </c>
      <c r="K53" s="113">
        <v>3.8125027830609435</v>
      </c>
      <c r="L53" s="113">
        <f t="shared" si="3"/>
        <v>85.072855461247414</v>
      </c>
      <c r="M53" s="97">
        <v>4.0807460156711413</v>
      </c>
      <c r="N53" s="97">
        <f t="shared" si="4"/>
        <v>120.4933769533946</v>
      </c>
      <c r="O53" s="113">
        <v>0.56130643766427402</v>
      </c>
      <c r="P53" s="113">
        <f t="shared" si="5"/>
        <v>24.953684821741309</v>
      </c>
      <c r="Q53" s="113">
        <v>0.25630020719449886</v>
      </c>
      <c r="R53" s="113">
        <f t="shared" si="6"/>
        <v>17.283064265916543</v>
      </c>
    </row>
    <row r="54" spans="1:18" x14ac:dyDescent="0.2">
      <c r="A54">
        <v>19</v>
      </c>
      <c r="B54">
        <v>2</v>
      </c>
      <c r="C54">
        <v>1984</v>
      </c>
      <c r="D54" s="112">
        <f t="shared" si="0"/>
        <v>30731</v>
      </c>
      <c r="E54">
        <v>6</v>
      </c>
      <c r="F54">
        <v>6</v>
      </c>
      <c r="G54" s="113">
        <v>2.6890806027017797</v>
      </c>
      <c r="H54" s="113">
        <f t="shared" si="1"/>
        <v>124.47785942337224</v>
      </c>
      <c r="I54" s="113">
        <v>4.7298625973384105</v>
      </c>
      <c r="J54" s="113">
        <f t="shared" si="2"/>
        <v>180.6981733175584</v>
      </c>
      <c r="K54" s="113">
        <v>2.6670967266696408</v>
      </c>
      <c r="L54" s="113">
        <f t="shared" si="3"/>
        <v>87.739952187917055</v>
      </c>
      <c r="M54" s="97">
        <v>2.8706225263540146</v>
      </c>
      <c r="N54" s="97">
        <f t="shared" si="4"/>
        <v>123.36399947974861</v>
      </c>
      <c r="O54" s="113">
        <v>0.52826889180667569</v>
      </c>
      <c r="P54" s="113">
        <f t="shared" si="5"/>
        <v>25.481953713547984</v>
      </c>
      <c r="Q54" s="113">
        <v>0.36500890754500553</v>
      </c>
      <c r="R54" s="113">
        <f t="shared" si="6"/>
        <v>17.648073173461547</v>
      </c>
    </row>
    <row r="55" spans="1:18" x14ac:dyDescent="0.2">
      <c r="A55">
        <v>20</v>
      </c>
      <c r="B55">
        <v>2</v>
      </c>
      <c r="C55">
        <v>1984</v>
      </c>
      <c r="D55" s="112">
        <f t="shared" si="0"/>
        <v>30732</v>
      </c>
      <c r="E55">
        <v>5.6</v>
      </c>
      <c r="F55">
        <v>5.6</v>
      </c>
      <c r="G55" s="113">
        <v>2.9637869445355127</v>
      </c>
      <c r="H55" s="113">
        <f t="shared" si="1"/>
        <v>127.44164636790775</v>
      </c>
      <c r="I55" s="113">
        <v>4.1555501696346191</v>
      </c>
      <c r="J55" s="113">
        <f t="shared" si="2"/>
        <v>184.85372348719301</v>
      </c>
      <c r="K55" s="113">
        <v>2.2638642311592583</v>
      </c>
      <c r="L55" s="113">
        <f t="shared" si="3"/>
        <v>90.003816419076315</v>
      </c>
      <c r="M55" s="97">
        <v>2.4377581819246363</v>
      </c>
      <c r="N55" s="97">
        <f t="shared" si="4"/>
        <v>125.80175766167325</v>
      </c>
      <c r="O55" s="113">
        <v>0.77906160639824418</v>
      </c>
      <c r="P55" s="113">
        <f t="shared" si="5"/>
        <v>26.261015319946228</v>
      </c>
      <c r="Q55" s="113">
        <v>0.66094699319324668</v>
      </c>
      <c r="R55" s="113">
        <f t="shared" si="6"/>
        <v>18.309020166654793</v>
      </c>
    </row>
    <row r="56" spans="1:18" x14ac:dyDescent="0.2">
      <c r="A56">
        <v>21</v>
      </c>
      <c r="B56">
        <v>2</v>
      </c>
      <c r="C56">
        <v>1984</v>
      </c>
      <c r="D56" s="112">
        <f t="shared" si="0"/>
        <v>30733</v>
      </c>
      <c r="E56">
        <v>4.3</v>
      </c>
      <c r="F56">
        <v>4.3</v>
      </c>
      <c r="G56" s="113">
        <v>1.4832961964404714</v>
      </c>
      <c r="H56" s="113">
        <f t="shared" si="1"/>
        <v>128.92494256434821</v>
      </c>
      <c r="I56" s="113">
        <v>2.450931760204154</v>
      </c>
      <c r="J56" s="113">
        <f t="shared" si="2"/>
        <v>187.30465524739716</v>
      </c>
      <c r="K56" s="113">
        <v>1.1002242810695113</v>
      </c>
      <c r="L56" s="113">
        <f t="shared" si="3"/>
        <v>91.104040700145831</v>
      </c>
      <c r="M56" s="97">
        <v>1.2174137701212642</v>
      </c>
      <c r="N56" s="97">
        <f t="shared" si="4"/>
        <v>127.01917143179452</v>
      </c>
      <c r="O56" s="113">
        <v>0.59708159149587547</v>
      </c>
      <c r="P56" s="113">
        <f t="shared" si="5"/>
        <v>26.858096911442104</v>
      </c>
      <c r="Q56" s="113">
        <v>0.48340241940371509</v>
      </c>
      <c r="R56" s="113">
        <f t="shared" si="6"/>
        <v>18.792422586058507</v>
      </c>
    </row>
    <row r="57" spans="1:18" x14ac:dyDescent="0.2">
      <c r="A57">
        <v>22</v>
      </c>
      <c r="B57">
        <v>2</v>
      </c>
      <c r="C57">
        <v>1984</v>
      </c>
      <c r="D57" s="112">
        <f t="shared" si="0"/>
        <v>30734</v>
      </c>
      <c r="E57">
        <v>2.7</v>
      </c>
      <c r="F57">
        <v>2.7</v>
      </c>
      <c r="G57" s="113">
        <v>1.4885390706833657</v>
      </c>
      <c r="H57" s="113">
        <f t="shared" si="1"/>
        <v>130.41348163503159</v>
      </c>
      <c r="I57" s="113">
        <v>0.98826465430563237</v>
      </c>
      <c r="J57" s="113">
        <f t="shared" si="2"/>
        <v>188.29291990170279</v>
      </c>
      <c r="K57" s="113">
        <v>-0.1747077686832578</v>
      </c>
      <c r="L57" s="113">
        <f t="shared" si="3"/>
        <v>90.929332931462568</v>
      </c>
      <c r="M57" s="97">
        <v>-0.10859040047894285</v>
      </c>
      <c r="N57" s="97">
        <f t="shared" si="4"/>
        <v>126.91058103131557</v>
      </c>
      <c r="O57" s="113">
        <v>0.53303779348221303</v>
      </c>
      <c r="P57" s="113">
        <f t="shared" si="5"/>
        <v>27.391134704924315</v>
      </c>
      <c r="Q57" s="113">
        <v>0.58601303613574218</v>
      </c>
      <c r="R57" s="113">
        <f t="shared" si="6"/>
        <v>19.37843562219425</v>
      </c>
    </row>
    <row r="58" spans="1:18" x14ac:dyDescent="0.2">
      <c r="A58">
        <v>23</v>
      </c>
      <c r="B58">
        <v>2</v>
      </c>
      <c r="C58">
        <v>1984</v>
      </c>
      <c r="D58" s="112">
        <f t="shared" si="0"/>
        <v>30735</v>
      </c>
      <c r="E58">
        <v>2.5</v>
      </c>
      <c r="F58">
        <v>2.5</v>
      </c>
      <c r="G58" s="113">
        <v>2.663379191249073</v>
      </c>
      <c r="H58" s="113">
        <f t="shared" si="1"/>
        <v>133.07686082628067</v>
      </c>
      <c r="I58" s="113">
        <v>1.0271439333156507</v>
      </c>
      <c r="J58" s="113">
        <f t="shared" si="2"/>
        <v>189.32006383501843</v>
      </c>
      <c r="K58" s="113">
        <v>-0.36960591656674596</v>
      </c>
      <c r="L58" s="113">
        <f t="shared" si="3"/>
        <v>90.559727014895827</v>
      </c>
      <c r="M58" s="97">
        <v>-0.31250578175508947</v>
      </c>
      <c r="N58" s="97">
        <f t="shared" si="4"/>
        <v>126.59807524956048</v>
      </c>
      <c r="O58" s="113">
        <v>0.60756134208065882</v>
      </c>
      <c r="P58" s="113">
        <f t="shared" si="5"/>
        <v>27.998696047004973</v>
      </c>
      <c r="Q58" s="113">
        <v>0.54812383147172572</v>
      </c>
      <c r="R58" s="113">
        <f t="shared" si="6"/>
        <v>19.926559453665977</v>
      </c>
    </row>
    <row r="59" spans="1:18" x14ac:dyDescent="0.2">
      <c r="A59">
        <v>24</v>
      </c>
      <c r="B59">
        <v>2</v>
      </c>
      <c r="C59">
        <v>1984</v>
      </c>
      <c r="D59" s="112">
        <f t="shared" si="0"/>
        <v>30736</v>
      </c>
      <c r="E59">
        <v>3.4</v>
      </c>
      <c r="F59">
        <v>3.4</v>
      </c>
      <c r="G59" s="113">
        <v>2.4502793924462365</v>
      </c>
      <c r="H59" s="113">
        <f t="shared" si="1"/>
        <v>135.52714021872691</v>
      </c>
      <c r="I59" s="113">
        <v>1.3224660680014328</v>
      </c>
      <c r="J59" s="113">
        <f t="shared" si="2"/>
        <v>190.64252990301986</v>
      </c>
      <c r="K59" s="113">
        <v>0.27390044390352436</v>
      </c>
      <c r="L59" s="113">
        <f t="shared" si="3"/>
        <v>90.833627458799356</v>
      </c>
      <c r="M59" s="97">
        <v>0.34387032339097401</v>
      </c>
      <c r="N59" s="97">
        <f t="shared" si="4"/>
        <v>126.94194557295145</v>
      </c>
      <c r="O59" s="113">
        <v>0.54640075193560445</v>
      </c>
      <c r="P59" s="113">
        <f t="shared" si="5"/>
        <v>28.545096798940577</v>
      </c>
      <c r="Q59" s="113">
        <v>0.53097090507164224</v>
      </c>
      <c r="R59" s="113">
        <f t="shared" si="6"/>
        <v>20.457530358737618</v>
      </c>
    </row>
    <row r="60" spans="1:18" x14ac:dyDescent="0.2">
      <c r="A60">
        <v>25</v>
      </c>
      <c r="B60">
        <v>2</v>
      </c>
      <c r="C60">
        <v>1984</v>
      </c>
      <c r="D60" s="112">
        <f t="shared" si="0"/>
        <v>30737</v>
      </c>
      <c r="E60">
        <v>3.2</v>
      </c>
      <c r="F60">
        <v>3.2</v>
      </c>
      <c r="G60" s="113">
        <v>2.4909237800711352</v>
      </c>
      <c r="H60" s="113">
        <f t="shared" si="1"/>
        <v>138.01806399879806</v>
      </c>
      <c r="I60" s="113">
        <v>1.0606517064438432</v>
      </c>
      <c r="J60" s="113">
        <f t="shared" si="2"/>
        <v>191.70318160946371</v>
      </c>
      <c r="K60" s="113">
        <v>8.2935175313231274E-2</v>
      </c>
      <c r="L60" s="113">
        <f t="shared" si="3"/>
        <v>90.91656263411258</v>
      </c>
      <c r="M60" s="97">
        <v>0.14233745771421555</v>
      </c>
      <c r="N60" s="97">
        <f t="shared" si="4"/>
        <v>127.08428303066567</v>
      </c>
      <c r="O60" s="113">
        <v>0.67148835048769717</v>
      </c>
      <c r="P60" s="113">
        <f t="shared" si="5"/>
        <v>29.216585149428273</v>
      </c>
      <c r="Q60" s="113">
        <v>0.7695429919958291</v>
      </c>
      <c r="R60" s="113">
        <f t="shared" si="6"/>
        <v>21.227073350733448</v>
      </c>
    </row>
    <row r="61" spans="1:18" x14ac:dyDescent="0.2">
      <c r="A61">
        <v>26</v>
      </c>
      <c r="B61">
        <v>2</v>
      </c>
      <c r="C61">
        <v>1984</v>
      </c>
      <c r="D61" s="112">
        <f t="shared" si="0"/>
        <v>30738</v>
      </c>
      <c r="E61">
        <v>1.7</v>
      </c>
      <c r="F61">
        <v>1.7</v>
      </c>
      <c r="G61" s="113">
        <v>1.5677117430361807</v>
      </c>
      <c r="H61" s="113">
        <f t="shared" si="1"/>
        <v>139.58577574183423</v>
      </c>
      <c r="I61" s="113">
        <v>1.013792920674949</v>
      </c>
      <c r="J61" s="113">
        <f t="shared" si="2"/>
        <v>192.71697453013866</v>
      </c>
      <c r="K61" s="113">
        <v>-1.0321045837311629</v>
      </c>
      <c r="L61" s="113">
        <f t="shared" si="3"/>
        <v>89.884458050381411</v>
      </c>
      <c r="M61" s="97">
        <v>-1.0043799138230165</v>
      </c>
      <c r="N61" s="97">
        <f t="shared" si="4"/>
        <v>126.07990311684266</v>
      </c>
      <c r="O61" s="113">
        <v>0.47649484278520482</v>
      </c>
      <c r="P61" s="113">
        <f t="shared" si="5"/>
        <v>29.693079992213477</v>
      </c>
      <c r="Q61" s="113">
        <v>0.34015773397742599</v>
      </c>
      <c r="R61" s="113">
        <f t="shared" si="6"/>
        <v>21.567231084710876</v>
      </c>
    </row>
    <row r="62" spans="1:18" x14ac:dyDescent="0.2">
      <c r="A62">
        <v>27</v>
      </c>
      <c r="B62">
        <v>2</v>
      </c>
      <c r="C62">
        <v>1984</v>
      </c>
      <c r="D62" s="112">
        <f t="shared" si="0"/>
        <v>30739</v>
      </c>
      <c r="E62">
        <v>0.8</v>
      </c>
      <c r="F62">
        <v>0.8</v>
      </c>
      <c r="G62" s="113">
        <v>0</v>
      </c>
      <c r="H62" s="113">
        <f t="shared" si="1"/>
        <v>139.58577574183423</v>
      </c>
      <c r="I62" s="113">
        <v>0.97939588197556482</v>
      </c>
      <c r="J62" s="113">
        <f t="shared" si="2"/>
        <v>193.69637041211422</v>
      </c>
      <c r="K62" s="113">
        <v>-1.6374387086413702</v>
      </c>
      <c r="L62" s="113">
        <f t="shared" si="3"/>
        <v>88.247019341740042</v>
      </c>
      <c r="M62" s="97">
        <v>-1.6261539297141141</v>
      </c>
      <c r="N62" s="97">
        <f t="shared" si="4"/>
        <v>124.45374918712855</v>
      </c>
      <c r="O62" s="113">
        <v>0.24066029023159699</v>
      </c>
      <c r="P62" s="113">
        <f t="shared" si="5"/>
        <v>29.933740282445072</v>
      </c>
      <c r="Q62" s="113">
        <v>-6.6495625482636475E-2</v>
      </c>
      <c r="R62" s="113">
        <f t="shared" si="6"/>
        <v>21.500735459228238</v>
      </c>
    </row>
    <row r="63" spans="1:18" x14ac:dyDescent="0.2">
      <c r="A63">
        <v>28</v>
      </c>
      <c r="B63">
        <v>2</v>
      </c>
      <c r="C63">
        <v>1984</v>
      </c>
      <c r="D63" s="112">
        <f t="shared" si="0"/>
        <v>30740</v>
      </c>
      <c r="E63">
        <v>1.3</v>
      </c>
      <c r="F63">
        <v>1.3</v>
      </c>
      <c r="G63" s="113">
        <v>0.74364246119136201</v>
      </c>
      <c r="H63" s="113">
        <f t="shared" si="1"/>
        <v>140.3294182030256</v>
      </c>
      <c r="I63" s="113">
        <v>0.98569175632647255</v>
      </c>
      <c r="J63" s="113">
        <f t="shared" si="2"/>
        <v>194.68206216844069</v>
      </c>
      <c r="K63" s="113">
        <v>-1.3200719697298753</v>
      </c>
      <c r="L63" s="113">
        <f t="shared" si="3"/>
        <v>86.926947372010162</v>
      </c>
      <c r="M63" s="97">
        <v>-1.3037011025696463</v>
      </c>
      <c r="N63" s="97">
        <f t="shared" si="4"/>
        <v>123.1500480845589</v>
      </c>
      <c r="O63" s="113">
        <v>0.38513621016851962</v>
      </c>
      <c r="P63" s="113">
        <f t="shared" si="5"/>
        <v>30.31887649261359</v>
      </c>
      <c r="Q63" s="113">
        <v>9.1162622128108162E-2</v>
      </c>
      <c r="R63" s="113">
        <f t="shared" si="6"/>
        <v>21.591898081356348</v>
      </c>
    </row>
    <row r="64" spans="1:18" x14ac:dyDescent="0.2">
      <c r="A64">
        <v>1</v>
      </c>
      <c r="B64">
        <v>3</v>
      </c>
      <c r="C64">
        <v>1984</v>
      </c>
      <c r="D64" s="112">
        <f t="shared" si="0"/>
        <v>30742</v>
      </c>
      <c r="E64">
        <v>3.6</v>
      </c>
      <c r="F64">
        <v>3.6</v>
      </c>
      <c r="G64" s="113">
        <v>0.2935486369872316</v>
      </c>
      <c r="H64" s="113">
        <f t="shared" si="1"/>
        <v>140.62296684001282</v>
      </c>
      <c r="I64" s="113">
        <v>1.0798105797201283</v>
      </c>
      <c r="J64" s="113">
        <f t="shared" si="2"/>
        <v>195.76187274816081</v>
      </c>
      <c r="K64" s="113">
        <v>0.15408029691582675</v>
      </c>
      <c r="L64" s="113">
        <f t="shared" si="3"/>
        <v>87.081027668925984</v>
      </c>
      <c r="M64" s="97">
        <v>0.18814020429354497</v>
      </c>
      <c r="N64" s="97">
        <f t="shared" si="4"/>
        <v>123.33818828885245</v>
      </c>
      <c r="O64" s="113">
        <v>0.37057252317203693</v>
      </c>
      <c r="P64" s="113">
        <f t="shared" si="5"/>
        <v>30.689449015785627</v>
      </c>
      <c r="Q64" s="113">
        <v>0.3936634404837222</v>
      </c>
      <c r="R64" s="113">
        <f t="shared" si="6"/>
        <v>21.985561521840069</v>
      </c>
    </row>
    <row r="65" spans="1:18" x14ac:dyDescent="0.2">
      <c r="A65">
        <v>2</v>
      </c>
      <c r="B65">
        <v>3</v>
      </c>
      <c r="C65">
        <v>1984</v>
      </c>
      <c r="D65" s="112">
        <f t="shared" si="0"/>
        <v>30743</v>
      </c>
      <c r="E65">
        <v>5.5</v>
      </c>
      <c r="F65">
        <v>5.5</v>
      </c>
      <c r="G65" s="113">
        <v>2.7489418423088896</v>
      </c>
      <c r="H65" s="113">
        <f t="shared" si="1"/>
        <v>143.3719086823217</v>
      </c>
      <c r="I65" s="113">
        <v>2.9119244767458294</v>
      </c>
      <c r="J65" s="113">
        <f t="shared" si="2"/>
        <v>198.67379722490665</v>
      </c>
      <c r="K65" s="113">
        <v>1.3996120994291597</v>
      </c>
      <c r="L65" s="113">
        <f t="shared" si="3"/>
        <v>88.480639768355147</v>
      </c>
      <c r="M65" s="97">
        <v>1.4478857424809537</v>
      </c>
      <c r="N65" s="97">
        <f t="shared" si="4"/>
        <v>124.7860740313334</v>
      </c>
      <c r="O65" s="113">
        <v>0.89440485554848459</v>
      </c>
      <c r="P65" s="113">
        <f t="shared" si="5"/>
        <v>31.58385387133411</v>
      </c>
      <c r="Q65" s="113">
        <v>1.1135749856012016</v>
      </c>
      <c r="R65" s="113">
        <f t="shared" si="6"/>
        <v>23.099136507441269</v>
      </c>
    </row>
    <row r="66" spans="1:18" x14ac:dyDescent="0.2">
      <c r="A66">
        <v>3</v>
      </c>
      <c r="B66">
        <v>3</v>
      </c>
      <c r="C66">
        <v>1984</v>
      </c>
      <c r="D66" s="112">
        <f t="shared" si="0"/>
        <v>30744</v>
      </c>
      <c r="E66">
        <v>11.1</v>
      </c>
      <c r="F66">
        <v>11.1</v>
      </c>
      <c r="G66" s="113">
        <v>2.8172589978929903</v>
      </c>
      <c r="H66" s="113">
        <f t="shared" si="1"/>
        <v>146.18916768021469</v>
      </c>
      <c r="I66" s="113">
        <v>8.1137757325741102</v>
      </c>
      <c r="J66" s="113">
        <f t="shared" si="2"/>
        <v>206.78757295748076</v>
      </c>
      <c r="K66" s="113">
        <v>5.0795097437923618</v>
      </c>
      <c r="L66" s="113">
        <f t="shared" si="3"/>
        <v>93.560149512147504</v>
      </c>
      <c r="M66" s="97">
        <v>5.1640157343383866</v>
      </c>
      <c r="N66" s="97">
        <f t="shared" si="4"/>
        <v>129.95008976567178</v>
      </c>
      <c r="O66" s="113">
        <v>0.87975184568464504</v>
      </c>
      <c r="P66" s="113">
        <f t="shared" si="5"/>
        <v>32.463605717018758</v>
      </c>
      <c r="Q66" s="113">
        <v>0.47113183678056103</v>
      </c>
      <c r="R66" s="113">
        <f t="shared" si="6"/>
        <v>23.57026834422183</v>
      </c>
    </row>
    <row r="67" spans="1:18" x14ac:dyDescent="0.2">
      <c r="A67">
        <v>4</v>
      </c>
      <c r="B67">
        <v>3</v>
      </c>
      <c r="C67">
        <v>1984</v>
      </c>
      <c r="D67" s="112">
        <f t="shared" si="0"/>
        <v>30745</v>
      </c>
      <c r="E67">
        <v>3.2</v>
      </c>
      <c r="F67">
        <v>3.2</v>
      </c>
      <c r="G67" s="113">
        <v>11.713680563729323</v>
      </c>
      <c r="H67" s="113">
        <f t="shared" si="1"/>
        <v>157.90284824394402</v>
      </c>
      <c r="I67" s="113">
        <v>1.2808037876969303</v>
      </c>
      <c r="J67" s="113">
        <f t="shared" si="2"/>
        <v>208.06837674517769</v>
      </c>
      <c r="K67" s="113">
        <v>-0.25828024655652393</v>
      </c>
      <c r="L67" s="113">
        <f t="shared" si="3"/>
        <v>93.30186926559098</v>
      </c>
      <c r="M67" s="97">
        <v>-0.23321371403434654</v>
      </c>
      <c r="N67" s="97">
        <f t="shared" si="4"/>
        <v>129.71687605163743</v>
      </c>
      <c r="O67" s="113">
        <v>1.9569231515876577</v>
      </c>
      <c r="P67" s="113">
        <f t="shared" si="5"/>
        <v>34.420528868606418</v>
      </c>
      <c r="Q67" s="113">
        <v>2.0062564671086212</v>
      </c>
      <c r="R67" s="113">
        <f t="shared" si="6"/>
        <v>25.576524811330451</v>
      </c>
    </row>
    <row r="68" spans="1:18" x14ac:dyDescent="0.2">
      <c r="A68">
        <v>5</v>
      </c>
      <c r="B68">
        <v>3</v>
      </c>
      <c r="C68">
        <v>1984</v>
      </c>
      <c r="D68" s="112">
        <f t="shared" si="0"/>
        <v>30746</v>
      </c>
      <c r="E68">
        <v>3</v>
      </c>
      <c r="F68">
        <v>3</v>
      </c>
      <c r="G68" s="113">
        <v>1.2730496216100944</v>
      </c>
      <c r="H68" s="113">
        <f t="shared" si="1"/>
        <v>159.17589786555411</v>
      </c>
      <c r="I68" s="113">
        <v>0.9493541308401966</v>
      </c>
      <c r="J68" s="113">
        <f t="shared" si="2"/>
        <v>209.01773087601788</v>
      </c>
      <c r="K68" s="113">
        <v>-0.34932154635773299</v>
      </c>
      <c r="L68" s="113">
        <f t="shared" si="3"/>
        <v>92.952547719233252</v>
      </c>
      <c r="M68" s="97">
        <v>-0.33417062736618264</v>
      </c>
      <c r="N68" s="97">
        <f t="shared" si="4"/>
        <v>129.38270542427125</v>
      </c>
      <c r="O68" s="113">
        <v>0.58383428831473272</v>
      </c>
      <c r="P68" s="113">
        <f t="shared" si="5"/>
        <v>35.004363156921151</v>
      </c>
      <c r="Q68" s="113">
        <v>0.42203398244450874</v>
      </c>
      <c r="R68" s="113">
        <f t="shared" si="6"/>
        <v>25.998558793774961</v>
      </c>
    </row>
    <row r="69" spans="1:18" x14ac:dyDescent="0.2">
      <c r="A69">
        <v>6</v>
      </c>
      <c r="B69">
        <v>3</v>
      </c>
      <c r="C69">
        <v>1984</v>
      </c>
      <c r="D69" s="112">
        <f t="shared" si="0"/>
        <v>30747</v>
      </c>
      <c r="E69">
        <v>6.3</v>
      </c>
      <c r="F69">
        <v>6.3</v>
      </c>
      <c r="G69" s="113">
        <v>2.1930069769209091</v>
      </c>
      <c r="H69" s="113">
        <f t="shared" si="1"/>
        <v>161.36890484247502</v>
      </c>
      <c r="I69" s="113">
        <v>3.0891657707655371</v>
      </c>
      <c r="J69" s="113">
        <f t="shared" si="2"/>
        <v>212.10689664678341</v>
      </c>
      <c r="K69" s="113">
        <v>1.5974111985399622</v>
      </c>
      <c r="L69" s="113">
        <f t="shared" si="3"/>
        <v>94.54995891777321</v>
      </c>
      <c r="M69" s="97">
        <v>1.6240474927490982</v>
      </c>
      <c r="N69" s="97">
        <f t="shared" si="4"/>
        <v>131.00675291702035</v>
      </c>
      <c r="O69" s="113">
        <v>0.80538360239395668</v>
      </c>
      <c r="P69" s="113">
        <f t="shared" si="5"/>
        <v>35.809746759315111</v>
      </c>
      <c r="Q69" s="113">
        <v>0.66368396253814455</v>
      </c>
      <c r="R69" s="113">
        <f t="shared" si="6"/>
        <v>26.662242756313105</v>
      </c>
    </row>
    <row r="70" spans="1:18" x14ac:dyDescent="0.2">
      <c r="A70">
        <v>7</v>
      </c>
      <c r="B70">
        <v>3</v>
      </c>
      <c r="C70">
        <v>1984</v>
      </c>
      <c r="D70" s="112">
        <f t="shared" ref="D70:D133" si="7">DATE(C70,B70,A70)</f>
        <v>30748</v>
      </c>
      <c r="E70">
        <v>3.1</v>
      </c>
      <c r="F70">
        <v>3.1</v>
      </c>
      <c r="G70" s="113">
        <v>2.8668840966380582</v>
      </c>
      <c r="H70" s="113">
        <f t="shared" si="1"/>
        <v>164.23578893911306</v>
      </c>
      <c r="I70" s="113">
        <v>0.99686589064551667</v>
      </c>
      <c r="J70" s="113">
        <f t="shared" si="2"/>
        <v>213.10376253742893</v>
      </c>
      <c r="K70" s="113">
        <v>-0.3610971014003479</v>
      </c>
      <c r="L70" s="113">
        <f t="shared" si="3"/>
        <v>94.188861816372864</v>
      </c>
      <c r="M70" s="97">
        <v>-0.35030118482624995</v>
      </c>
      <c r="N70" s="97">
        <f t="shared" si="4"/>
        <v>130.65645173219411</v>
      </c>
      <c r="O70" s="113">
        <v>0.79037656476376805</v>
      </c>
      <c r="P70" s="113">
        <f t="shared" si="5"/>
        <v>36.600123324078879</v>
      </c>
      <c r="Q70" s="113">
        <v>0.72370149426336772</v>
      </c>
      <c r="R70" s="113">
        <f t="shared" si="6"/>
        <v>27.385944250576472</v>
      </c>
    </row>
    <row r="71" spans="1:18" x14ac:dyDescent="0.2">
      <c r="A71">
        <v>8</v>
      </c>
      <c r="B71">
        <v>3</v>
      </c>
      <c r="C71">
        <v>1984</v>
      </c>
      <c r="D71" s="112">
        <f t="shared" si="7"/>
        <v>30749</v>
      </c>
      <c r="E71">
        <v>5.8</v>
      </c>
      <c r="F71">
        <v>5.8</v>
      </c>
      <c r="G71" s="113">
        <v>3.4933853093882292</v>
      </c>
      <c r="H71" s="113">
        <f t="shared" ref="H71:H134" si="8">H70+G71</f>
        <v>167.72917424850129</v>
      </c>
      <c r="I71" s="113">
        <v>2.7258877537429491</v>
      </c>
      <c r="J71" s="113">
        <f t="shared" ref="J71:J134" si="9">J70+I71</f>
        <v>215.82965029117187</v>
      </c>
      <c r="K71" s="113">
        <v>1.2623817844540914</v>
      </c>
      <c r="L71" s="113">
        <f t="shared" ref="L71:L134" si="10">L70+K71</f>
        <v>95.451243600826956</v>
      </c>
      <c r="M71" s="97">
        <v>1.278634112632282</v>
      </c>
      <c r="N71" s="97">
        <f t="shared" ref="N71:N134" si="11">N70+M71</f>
        <v>131.9350858448264</v>
      </c>
      <c r="O71" s="113">
        <v>0.85211772623381088</v>
      </c>
      <c r="P71" s="113">
        <f t="shared" ref="P71:P134" si="12">P70+O71</f>
        <v>37.452241050312693</v>
      </c>
      <c r="Q71" s="113">
        <v>0.78371218413884891</v>
      </c>
      <c r="R71" s="113">
        <f t="shared" ref="R71:R134" si="13">R70+Q71</f>
        <v>28.169656434715321</v>
      </c>
    </row>
    <row r="72" spans="1:18" x14ac:dyDescent="0.2">
      <c r="A72">
        <v>9</v>
      </c>
      <c r="B72">
        <v>3</v>
      </c>
      <c r="C72">
        <v>1984</v>
      </c>
      <c r="D72" s="112">
        <f t="shared" si="7"/>
        <v>30750</v>
      </c>
      <c r="E72">
        <v>8.1999999999999993</v>
      </c>
      <c r="F72">
        <v>8.1999999999999993</v>
      </c>
      <c r="G72" s="113">
        <v>3.2091417836398293</v>
      </c>
      <c r="H72" s="113">
        <f t="shared" si="8"/>
        <v>170.93831603214113</v>
      </c>
      <c r="I72" s="113">
        <v>4.6817460431991647</v>
      </c>
      <c r="J72" s="113">
        <f t="shared" si="9"/>
        <v>220.51139633437103</v>
      </c>
      <c r="K72" s="113">
        <v>2.6554454127954217</v>
      </c>
      <c r="L72" s="113">
        <f t="shared" si="10"/>
        <v>98.106689013622372</v>
      </c>
      <c r="M72" s="97">
        <v>2.6723829780854547</v>
      </c>
      <c r="N72" s="97">
        <f t="shared" si="11"/>
        <v>134.60746882291187</v>
      </c>
      <c r="O72" s="113">
        <v>0.84280361932974313</v>
      </c>
      <c r="P72" s="113">
        <f t="shared" si="12"/>
        <v>38.295044669642436</v>
      </c>
      <c r="Q72" s="113">
        <v>0.67085487901032514</v>
      </c>
      <c r="R72" s="113">
        <f t="shared" si="13"/>
        <v>28.840511313725646</v>
      </c>
    </row>
    <row r="73" spans="1:18" x14ac:dyDescent="0.2">
      <c r="A73">
        <v>10</v>
      </c>
      <c r="B73">
        <v>3</v>
      </c>
      <c r="C73">
        <v>1984</v>
      </c>
      <c r="D73" s="112">
        <f t="shared" si="7"/>
        <v>30751</v>
      </c>
      <c r="E73">
        <v>3.6</v>
      </c>
      <c r="F73">
        <v>3.6</v>
      </c>
      <c r="G73" s="113">
        <v>2.8128365745776498</v>
      </c>
      <c r="H73" s="113">
        <f t="shared" si="8"/>
        <v>173.75115260671879</v>
      </c>
      <c r="I73" s="113">
        <v>1.0130648976406567</v>
      </c>
      <c r="J73" s="113">
        <f t="shared" si="9"/>
        <v>221.52446123201167</v>
      </c>
      <c r="K73" s="113">
        <v>-0.15772295662206634</v>
      </c>
      <c r="L73" s="113">
        <f t="shared" si="10"/>
        <v>97.948966057000305</v>
      </c>
      <c r="M73" s="97">
        <v>-0.15274377592701072</v>
      </c>
      <c r="N73" s="97">
        <f t="shared" si="11"/>
        <v>134.45472504698486</v>
      </c>
      <c r="O73" s="113">
        <v>0.79676211389365847</v>
      </c>
      <c r="P73" s="113">
        <f t="shared" si="12"/>
        <v>39.091806783536093</v>
      </c>
      <c r="Q73" s="113">
        <v>0.75201832274723257</v>
      </c>
      <c r="R73" s="113">
        <f t="shared" si="13"/>
        <v>29.592529636472879</v>
      </c>
    </row>
    <row r="74" spans="1:18" x14ac:dyDescent="0.2">
      <c r="A74">
        <v>11</v>
      </c>
      <c r="B74">
        <v>3</v>
      </c>
      <c r="C74">
        <v>1984</v>
      </c>
      <c r="D74" s="112">
        <f t="shared" si="7"/>
        <v>30752</v>
      </c>
      <c r="E74">
        <v>7.2</v>
      </c>
      <c r="F74">
        <v>7.2</v>
      </c>
      <c r="G74" s="113">
        <v>2.3537944993881355</v>
      </c>
      <c r="H74" s="113">
        <f t="shared" si="8"/>
        <v>176.10494710610692</v>
      </c>
      <c r="I74" s="113">
        <v>3.4731551848172368</v>
      </c>
      <c r="J74" s="113">
        <f t="shared" si="9"/>
        <v>224.99761641682892</v>
      </c>
      <c r="K74" s="113">
        <v>1.8500014608394577</v>
      </c>
      <c r="L74" s="113">
        <f t="shared" si="10"/>
        <v>99.798967517839756</v>
      </c>
      <c r="M74" s="97">
        <v>1.8556588206567732</v>
      </c>
      <c r="N74" s="97">
        <f t="shared" si="11"/>
        <v>136.31038386764163</v>
      </c>
      <c r="O74" s="113">
        <v>0.90059698916454733</v>
      </c>
      <c r="P74" s="113">
        <f t="shared" si="12"/>
        <v>39.992403772700641</v>
      </c>
      <c r="Q74" s="113">
        <v>0.81960199409755108</v>
      </c>
      <c r="R74" s="113">
        <f t="shared" si="13"/>
        <v>30.412131630570428</v>
      </c>
    </row>
    <row r="75" spans="1:18" x14ac:dyDescent="0.2">
      <c r="A75">
        <v>12</v>
      </c>
      <c r="B75">
        <v>3</v>
      </c>
      <c r="C75">
        <v>1984</v>
      </c>
      <c r="D75" s="112">
        <f t="shared" si="7"/>
        <v>30753</v>
      </c>
      <c r="E75">
        <v>3.2</v>
      </c>
      <c r="F75">
        <v>3.2</v>
      </c>
      <c r="G75" s="113">
        <v>0.86518077642392932</v>
      </c>
      <c r="H75" s="113">
        <f t="shared" si="8"/>
        <v>176.97012788253085</v>
      </c>
      <c r="I75" s="113">
        <v>0.97545790157277767</v>
      </c>
      <c r="J75" s="113">
        <f t="shared" si="9"/>
        <v>225.9730743184017</v>
      </c>
      <c r="K75" s="113">
        <v>-0.43131580656779656</v>
      </c>
      <c r="L75" s="113">
        <f t="shared" si="10"/>
        <v>99.367651711271961</v>
      </c>
      <c r="M75" s="97">
        <v>-0.43045520700131246</v>
      </c>
      <c r="N75" s="97">
        <f t="shared" si="11"/>
        <v>135.87992866064033</v>
      </c>
      <c r="O75" s="113">
        <v>0.47208592276847067</v>
      </c>
      <c r="P75" s="113">
        <f t="shared" si="12"/>
        <v>40.464489695469112</v>
      </c>
      <c r="Q75" s="113">
        <v>0.49395191798495985</v>
      </c>
      <c r="R75" s="113">
        <f t="shared" si="13"/>
        <v>30.906083548555387</v>
      </c>
    </row>
    <row r="76" spans="1:18" x14ac:dyDescent="0.2">
      <c r="A76">
        <v>13</v>
      </c>
      <c r="B76">
        <v>3</v>
      </c>
      <c r="C76">
        <v>1984</v>
      </c>
      <c r="D76" s="112">
        <f t="shared" si="7"/>
        <v>30754</v>
      </c>
      <c r="E76">
        <v>2.6</v>
      </c>
      <c r="F76">
        <v>2.6</v>
      </c>
      <c r="G76" s="113">
        <v>3.765610172504811</v>
      </c>
      <c r="H76" s="113">
        <f t="shared" si="8"/>
        <v>180.73573805503565</v>
      </c>
      <c r="I76" s="113">
        <v>1.0526666514912146</v>
      </c>
      <c r="J76" s="113">
        <f t="shared" si="9"/>
        <v>227.02574096989292</v>
      </c>
      <c r="K76" s="113">
        <v>-0.83284605718465532</v>
      </c>
      <c r="L76" s="113">
        <f t="shared" si="10"/>
        <v>98.534805654087307</v>
      </c>
      <c r="M76" s="97">
        <v>-0.83335088083424669</v>
      </c>
      <c r="N76" s="97">
        <f t="shared" si="11"/>
        <v>135.04657777980609</v>
      </c>
      <c r="O76" s="113">
        <v>1.052514540971071</v>
      </c>
      <c r="P76" s="113">
        <f t="shared" si="12"/>
        <v>41.517004236440187</v>
      </c>
      <c r="Q76" s="113">
        <v>1.1056169283398127</v>
      </c>
      <c r="R76" s="113">
        <f t="shared" si="13"/>
        <v>32.0117004768952</v>
      </c>
    </row>
    <row r="77" spans="1:18" x14ac:dyDescent="0.2">
      <c r="A77">
        <v>14</v>
      </c>
      <c r="B77">
        <v>3</v>
      </c>
      <c r="C77">
        <v>1984</v>
      </c>
      <c r="D77" s="112">
        <f t="shared" si="7"/>
        <v>30755</v>
      </c>
      <c r="E77">
        <v>5.0999999999999996</v>
      </c>
      <c r="F77">
        <v>5.0999999999999996</v>
      </c>
      <c r="G77" s="113">
        <v>1.4101751665471187</v>
      </c>
      <c r="H77" s="113">
        <f t="shared" si="8"/>
        <v>182.14591322158276</v>
      </c>
      <c r="I77" s="113">
        <v>1.6580688695185137</v>
      </c>
      <c r="J77" s="113">
        <f t="shared" si="9"/>
        <v>228.68380983941142</v>
      </c>
      <c r="K77" s="113">
        <v>0.53870150494027857</v>
      </c>
      <c r="L77" s="113">
        <f t="shared" si="10"/>
        <v>99.073507159027585</v>
      </c>
      <c r="M77" s="97">
        <v>0.53568452518435616</v>
      </c>
      <c r="N77" s="97">
        <f t="shared" si="11"/>
        <v>135.58226230499045</v>
      </c>
      <c r="O77" s="113">
        <v>0.65283422284773773</v>
      </c>
      <c r="P77" s="113">
        <f t="shared" si="12"/>
        <v>42.169838459287924</v>
      </c>
      <c r="Q77" s="113">
        <v>0.72580112369959471</v>
      </c>
      <c r="R77" s="113">
        <f t="shared" si="13"/>
        <v>32.737501600594797</v>
      </c>
    </row>
    <row r="78" spans="1:18" x14ac:dyDescent="0.2">
      <c r="A78">
        <v>15</v>
      </c>
      <c r="B78">
        <v>3</v>
      </c>
      <c r="C78">
        <v>1984</v>
      </c>
      <c r="D78" s="112">
        <f t="shared" si="7"/>
        <v>30756</v>
      </c>
      <c r="E78">
        <v>2.9</v>
      </c>
      <c r="F78">
        <v>2.9</v>
      </c>
      <c r="G78" s="113">
        <v>2.2957231308202251</v>
      </c>
      <c r="H78" s="113">
        <f t="shared" si="8"/>
        <v>184.44163635240298</v>
      </c>
      <c r="I78" s="113">
        <v>1.0184754486501031</v>
      </c>
      <c r="J78" s="113">
        <f t="shared" si="9"/>
        <v>229.70228528806152</v>
      </c>
      <c r="K78" s="113">
        <v>-0.68724979287288179</v>
      </c>
      <c r="L78" s="113">
        <f t="shared" si="10"/>
        <v>98.386257366154709</v>
      </c>
      <c r="M78" s="97">
        <v>-0.69006152770815476</v>
      </c>
      <c r="N78" s="97">
        <f t="shared" si="11"/>
        <v>134.89220077728228</v>
      </c>
      <c r="O78" s="113">
        <v>0.73295175694287762</v>
      </c>
      <c r="P78" s="113">
        <f t="shared" si="12"/>
        <v>42.902790216230798</v>
      </c>
      <c r="Q78" s="113">
        <v>0.7460645224217527</v>
      </c>
      <c r="R78" s="113">
        <f t="shared" si="13"/>
        <v>33.483566123016551</v>
      </c>
    </row>
    <row r="79" spans="1:18" x14ac:dyDescent="0.2">
      <c r="A79">
        <v>16</v>
      </c>
      <c r="B79">
        <v>3</v>
      </c>
      <c r="C79">
        <v>1984</v>
      </c>
      <c r="D79" s="112">
        <f t="shared" si="7"/>
        <v>30757</v>
      </c>
      <c r="E79">
        <v>3.6</v>
      </c>
      <c r="F79">
        <v>3.6</v>
      </c>
      <c r="G79" s="113">
        <v>4.1664239905911016</v>
      </c>
      <c r="H79" s="113">
        <f t="shared" si="8"/>
        <v>188.60806034299409</v>
      </c>
      <c r="I79" s="113">
        <v>1.0626239910998574</v>
      </c>
      <c r="J79" s="113">
        <f t="shared" si="9"/>
        <v>230.76490927916137</v>
      </c>
      <c r="K79" s="113">
        <v>-0.34649173543232786</v>
      </c>
      <c r="L79" s="113">
        <f t="shared" si="10"/>
        <v>98.039765630722385</v>
      </c>
      <c r="M79" s="97">
        <v>-0.35130861462605278</v>
      </c>
      <c r="N79" s="97">
        <f t="shared" si="11"/>
        <v>134.54089216265623</v>
      </c>
      <c r="O79" s="113">
        <v>1.077425701419948</v>
      </c>
      <c r="P79" s="113">
        <f t="shared" si="12"/>
        <v>43.980215917650746</v>
      </c>
      <c r="Q79" s="113">
        <v>1.1594189122585301</v>
      </c>
      <c r="R79" s="113">
        <f t="shared" si="13"/>
        <v>34.642985035275082</v>
      </c>
    </row>
    <row r="80" spans="1:18" x14ac:dyDescent="0.2">
      <c r="A80">
        <v>17</v>
      </c>
      <c r="B80">
        <v>3</v>
      </c>
      <c r="C80">
        <v>1984</v>
      </c>
      <c r="D80" s="112">
        <f t="shared" si="7"/>
        <v>30758</v>
      </c>
      <c r="E80">
        <v>2.2000000000000002</v>
      </c>
      <c r="F80">
        <v>2.2000000000000002</v>
      </c>
      <c r="G80" s="113">
        <v>2.345541190429921</v>
      </c>
      <c r="H80" s="113">
        <f t="shared" si="8"/>
        <v>190.95360153342401</v>
      </c>
      <c r="I80" s="113">
        <v>1.0250575001249367</v>
      </c>
      <c r="J80" s="113">
        <f t="shared" si="9"/>
        <v>231.78996677928632</v>
      </c>
      <c r="K80" s="113">
        <v>-1.1059161030899651</v>
      </c>
      <c r="L80" s="113">
        <f t="shared" si="10"/>
        <v>96.933849527632418</v>
      </c>
      <c r="M80" s="97">
        <v>-1.1093759871639157</v>
      </c>
      <c r="N80" s="97">
        <f t="shared" si="11"/>
        <v>133.43151617549231</v>
      </c>
      <c r="O80" s="113">
        <v>0.6797589809457264</v>
      </c>
      <c r="P80" s="113">
        <f t="shared" si="12"/>
        <v>44.659974898596474</v>
      </c>
      <c r="Q80" s="113">
        <v>0.57265758452222615</v>
      </c>
      <c r="R80" s="113">
        <f t="shared" si="13"/>
        <v>35.215642619797308</v>
      </c>
    </row>
    <row r="81" spans="1:18" x14ac:dyDescent="0.2">
      <c r="A81">
        <v>18</v>
      </c>
      <c r="B81">
        <v>3</v>
      </c>
      <c r="C81">
        <v>1984</v>
      </c>
      <c r="D81" s="112">
        <f t="shared" si="7"/>
        <v>30759</v>
      </c>
      <c r="E81">
        <v>2.6</v>
      </c>
      <c r="F81">
        <v>2.6</v>
      </c>
      <c r="G81" s="113">
        <v>2.2632026892642254</v>
      </c>
      <c r="H81" s="113">
        <f t="shared" si="8"/>
        <v>193.21680422268824</v>
      </c>
      <c r="I81" s="113">
        <v>1.0241679099658458</v>
      </c>
      <c r="J81" s="113">
        <f t="shared" si="9"/>
        <v>232.81413468925217</v>
      </c>
      <c r="K81" s="113">
        <v>-0.91146531476661252</v>
      </c>
      <c r="L81" s="113">
        <f t="shared" si="10"/>
        <v>96.022384212865802</v>
      </c>
      <c r="M81" s="97">
        <v>-0.91616596953358631</v>
      </c>
      <c r="N81" s="97">
        <f t="shared" si="11"/>
        <v>132.51535020595873</v>
      </c>
      <c r="O81" s="113">
        <v>0.59711780207149623</v>
      </c>
      <c r="P81" s="113">
        <f t="shared" si="12"/>
        <v>45.257092700667968</v>
      </c>
      <c r="Q81" s="113">
        <v>0.43773324212876408</v>
      </c>
      <c r="R81" s="113">
        <f t="shared" si="13"/>
        <v>35.653375861926072</v>
      </c>
    </row>
    <row r="82" spans="1:18" x14ac:dyDescent="0.2">
      <c r="A82">
        <v>19</v>
      </c>
      <c r="B82">
        <v>3</v>
      </c>
      <c r="C82">
        <v>1984</v>
      </c>
      <c r="D82" s="112">
        <f t="shared" si="7"/>
        <v>30760</v>
      </c>
      <c r="E82">
        <v>6.2</v>
      </c>
      <c r="F82">
        <v>6.2</v>
      </c>
      <c r="G82" s="113">
        <v>3.5981713479693833</v>
      </c>
      <c r="H82" s="113">
        <f t="shared" si="8"/>
        <v>196.81497557065762</v>
      </c>
      <c r="I82" s="113">
        <v>2.2981960674499282</v>
      </c>
      <c r="J82" s="113">
        <f t="shared" si="9"/>
        <v>235.11233075670211</v>
      </c>
      <c r="K82" s="113">
        <v>0.95077041416127295</v>
      </c>
      <c r="L82" s="113">
        <f t="shared" si="10"/>
        <v>96.973154627027071</v>
      </c>
      <c r="M82" s="97">
        <v>0.93803236769504406</v>
      </c>
      <c r="N82" s="97">
        <f t="shared" si="11"/>
        <v>133.45338257365378</v>
      </c>
      <c r="O82" s="113">
        <v>0.9760164076005422</v>
      </c>
      <c r="P82" s="113">
        <f t="shared" si="12"/>
        <v>46.233109108268508</v>
      </c>
      <c r="Q82" s="113">
        <v>1.0146046491800409</v>
      </c>
      <c r="R82" s="113">
        <f t="shared" si="13"/>
        <v>36.667980511106116</v>
      </c>
    </row>
    <row r="83" spans="1:18" x14ac:dyDescent="0.2">
      <c r="A83">
        <v>20</v>
      </c>
      <c r="B83">
        <v>3</v>
      </c>
      <c r="C83">
        <v>1984</v>
      </c>
      <c r="D83" s="112">
        <f t="shared" si="7"/>
        <v>30761</v>
      </c>
      <c r="E83">
        <v>10</v>
      </c>
      <c r="F83">
        <v>10</v>
      </c>
      <c r="G83" s="113">
        <v>2.3631188698933427</v>
      </c>
      <c r="H83" s="113">
        <f t="shared" si="8"/>
        <v>199.17809444055098</v>
      </c>
      <c r="I83" s="113">
        <v>4.9291092412565334</v>
      </c>
      <c r="J83" s="113">
        <f t="shared" si="9"/>
        <v>240.04143999795863</v>
      </c>
      <c r="K83" s="113">
        <v>2.8329550852873484</v>
      </c>
      <c r="L83" s="113">
        <f t="shared" si="10"/>
        <v>99.806109712314424</v>
      </c>
      <c r="M83" s="97">
        <v>2.811168048577354</v>
      </c>
      <c r="N83" s="97">
        <f t="shared" si="11"/>
        <v>136.26455062223113</v>
      </c>
      <c r="O83" s="113">
        <v>0.91539617485526847</v>
      </c>
      <c r="P83" s="113">
        <f t="shared" si="12"/>
        <v>47.148505283123775</v>
      </c>
      <c r="Q83" s="113">
        <v>0.82248604638085632</v>
      </c>
      <c r="R83" s="113">
        <f t="shared" si="13"/>
        <v>37.490466557486975</v>
      </c>
    </row>
    <row r="84" spans="1:18" x14ac:dyDescent="0.2">
      <c r="A84">
        <v>21</v>
      </c>
      <c r="B84">
        <v>3</v>
      </c>
      <c r="C84">
        <v>1984</v>
      </c>
      <c r="D84" s="112">
        <f t="shared" si="7"/>
        <v>30762</v>
      </c>
      <c r="E84">
        <v>6.1</v>
      </c>
      <c r="F84">
        <v>6.1</v>
      </c>
      <c r="G84" s="113">
        <v>3.6207893911698967</v>
      </c>
      <c r="H84" s="113">
        <f t="shared" si="8"/>
        <v>202.79888383172087</v>
      </c>
      <c r="I84" s="113">
        <v>2.1071057204699888</v>
      </c>
      <c r="J84" s="113">
        <f t="shared" si="9"/>
        <v>242.14854571842864</v>
      </c>
      <c r="K84" s="113">
        <v>0.81418207725862135</v>
      </c>
      <c r="L84" s="113">
        <f t="shared" si="10"/>
        <v>100.62029178957305</v>
      </c>
      <c r="M84" s="97">
        <v>0.79979357487203662</v>
      </c>
      <c r="N84" s="97">
        <f t="shared" si="11"/>
        <v>137.06434419710317</v>
      </c>
      <c r="O84" s="113">
        <v>0.83690331004239937</v>
      </c>
      <c r="P84" s="113">
        <f t="shared" si="12"/>
        <v>47.985408593166177</v>
      </c>
      <c r="Q84" s="113">
        <v>0.81157200648162664</v>
      </c>
      <c r="R84" s="113">
        <f t="shared" si="13"/>
        <v>38.302038563968601</v>
      </c>
    </row>
    <row r="85" spans="1:18" x14ac:dyDescent="0.2">
      <c r="A85">
        <v>22</v>
      </c>
      <c r="B85">
        <v>3</v>
      </c>
      <c r="C85">
        <v>1984</v>
      </c>
      <c r="D85" s="112">
        <f t="shared" si="7"/>
        <v>30763</v>
      </c>
      <c r="E85">
        <v>8.1</v>
      </c>
      <c r="F85">
        <v>8.1</v>
      </c>
      <c r="G85" s="113">
        <v>2.2177140387347918</v>
      </c>
      <c r="H85" s="113">
        <f t="shared" si="8"/>
        <v>205.01659787045566</v>
      </c>
      <c r="I85" s="113">
        <v>3.3378299573815298</v>
      </c>
      <c r="J85" s="113">
        <f t="shared" si="9"/>
        <v>245.48637567581017</v>
      </c>
      <c r="K85" s="113">
        <v>1.7289417677112153</v>
      </c>
      <c r="L85" s="113">
        <f t="shared" si="10"/>
        <v>102.34923355728426</v>
      </c>
      <c r="M85" s="97">
        <v>1.7097079343404389</v>
      </c>
      <c r="N85" s="97">
        <f t="shared" si="11"/>
        <v>138.7740521314436</v>
      </c>
      <c r="O85" s="113">
        <v>0.89478625510618859</v>
      </c>
      <c r="P85" s="113">
        <f t="shared" si="12"/>
        <v>48.880194848272367</v>
      </c>
      <c r="Q85" s="113">
        <v>0.78084301260317945</v>
      </c>
      <c r="R85" s="113">
        <f t="shared" si="13"/>
        <v>39.082881576571779</v>
      </c>
    </row>
    <row r="86" spans="1:18" x14ac:dyDescent="0.2">
      <c r="A86">
        <v>23</v>
      </c>
      <c r="B86">
        <v>3</v>
      </c>
      <c r="C86">
        <v>1984</v>
      </c>
      <c r="D86" s="112">
        <f t="shared" si="7"/>
        <v>30764</v>
      </c>
      <c r="E86">
        <v>6.2</v>
      </c>
      <c r="F86">
        <v>6.2</v>
      </c>
      <c r="G86" s="113">
        <v>1.275355529574087</v>
      </c>
      <c r="H86" s="113">
        <f t="shared" si="8"/>
        <v>206.29195340002974</v>
      </c>
      <c r="I86" s="113">
        <v>1.9352170613063402</v>
      </c>
      <c r="J86" s="113">
        <f t="shared" si="9"/>
        <v>247.4215927371165</v>
      </c>
      <c r="K86" s="113">
        <v>0.74347330328275407</v>
      </c>
      <c r="L86" s="113">
        <f t="shared" si="10"/>
        <v>103.09270686056702</v>
      </c>
      <c r="M86" s="97">
        <v>0.72858114830309806</v>
      </c>
      <c r="N86" s="97">
        <f t="shared" si="11"/>
        <v>139.5026332797467</v>
      </c>
      <c r="O86" s="113">
        <v>0.90159701456724139</v>
      </c>
      <c r="P86" s="113">
        <f t="shared" si="12"/>
        <v>49.781791862839611</v>
      </c>
      <c r="Q86" s="113">
        <v>0.86384168651754367</v>
      </c>
      <c r="R86" s="113">
        <f t="shared" si="13"/>
        <v>39.946723263089325</v>
      </c>
    </row>
    <row r="87" spans="1:18" x14ac:dyDescent="0.2">
      <c r="A87">
        <v>24</v>
      </c>
      <c r="B87">
        <v>3</v>
      </c>
      <c r="C87">
        <v>1984</v>
      </c>
      <c r="D87" s="112">
        <f t="shared" si="7"/>
        <v>30765</v>
      </c>
      <c r="E87">
        <v>3.3</v>
      </c>
      <c r="F87">
        <v>3.3</v>
      </c>
      <c r="G87" s="113">
        <v>1.1241792369341692</v>
      </c>
      <c r="H87" s="113">
        <f t="shared" si="8"/>
        <v>207.41613263696391</v>
      </c>
      <c r="I87" s="113">
        <v>0.97241423303580099</v>
      </c>
      <c r="J87" s="113">
        <f t="shared" si="9"/>
        <v>248.3940069701523</v>
      </c>
      <c r="K87" s="113">
        <v>-0.65085729125535596</v>
      </c>
      <c r="L87" s="113">
        <f t="shared" si="10"/>
        <v>102.44184956931167</v>
      </c>
      <c r="M87" s="97">
        <v>-0.65881020204697305</v>
      </c>
      <c r="N87" s="97">
        <f t="shared" si="11"/>
        <v>138.84382307769974</v>
      </c>
      <c r="O87" s="113">
        <v>0.58910048552232142</v>
      </c>
      <c r="P87" s="113">
        <f t="shared" si="12"/>
        <v>50.370892348361934</v>
      </c>
      <c r="Q87" s="113">
        <v>0.52091605588682477</v>
      </c>
      <c r="R87" s="113">
        <f t="shared" si="13"/>
        <v>40.467639318976147</v>
      </c>
    </row>
    <row r="88" spans="1:18" x14ac:dyDescent="0.2">
      <c r="A88">
        <v>25</v>
      </c>
      <c r="B88">
        <v>3</v>
      </c>
      <c r="C88">
        <v>1984</v>
      </c>
      <c r="D88" s="112">
        <f t="shared" si="7"/>
        <v>30766</v>
      </c>
      <c r="E88">
        <v>5.5</v>
      </c>
      <c r="F88">
        <v>5.5</v>
      </c>
      <c r="G88" s="113">
        <v>0.68976197486698698</v>
      </c>
      <c r="H88" s="113">
        <f t="shared" si="8"/>
        <v>208.10589461183091</v>
      </c>
      <c r="I88" s="113">
        <v>1.3638390508169762</v>
      </c>
      <c r="J88" s="113">
        <f t="shared" si="9"/>
        <v>249.75784602096928</v>
      </c>
      <c r="K88" s="113">
        <v>0.33988039350433857</v>
      </c>
      <c r="L88" s="113">
        <f t="shared" si="10"/>
        <v>102.78172996281602</v>
      </c>
      <c r="M88" s="97">
        <v>0.32650762676266487</v>
      </c>
      <c r="N88" s="97">
        <f t="shared" si="11"/>
        <v>139.1703307044624</v>
      </c>
      <c r="O88" s="113">
        <v>0.63629363002899741</v>
      </c>
      <c r="P88" s="113">
        <f t="shared" si="12"/>
        <v>51.007185978390929</v>
      </c>
      <c r="Q88" s="113">
        <v>0.66265582016827196</v>
      </c>
      <c r="R88" s="113">
        <f t="shared" si="13"/>
        <v>41.130295139144422</v>
      </c>
    </row>
    <row r="89" spans="1:18" x14ac:dyDescent="0.2">
      <c r="A89">
        <v>26</v>
      </c>
      <c r="B89">
        <v>3</v>
      </c>
      <c r="C89">
        <v>1984</v>
      </c>
      <c r="D89" s="112">
        <f t="shared" si="7"/>
        <v>30767</v>
      </c>
      <c r="E89">
        <v>5</v>
      </c>
      <c r="F89">
        <v>5</v>
      </c>
      <c r="G89" s="113">
        <v>0.84499599043816687</v>
      </c>
      <c r="H89" s="113">
        <f t="shared" si="8"/>
        <v>208.95089060226908</v>
      </c>
      <c r="I89" s="113">
        <v>0.97881001247558541</v>
      </c>
      <c r="J89" s="113">
        <f t="shared" si="9"/>
        <v>250.73665603344486</v>
      </c>
      <c r="K89" s="113">
        <v>7.9851992036518216E-2</v>
      </c>
      <c r="L89" s="113">
        <f t="shared" si="10"/>
        <v>102.86158195485254</v>
      </c>
      <c r="M89" s="97">
        <v>6.7948082307811519E-2</v>
      </c>
      <c r="N89" s="97">
        <f t="shared" si="11"/>
        <v>139.23827878677022</v>
      </c>
      <c r="O89" s="113">
        <v>0.68093279512393678</v>
      </c>
      <c r="P89" s="113">
        <f t="shared" si="12"/>
        <v>51.688118773514866</v>
      </c>
      <c r="Q89" s="113">
        <v>0.70133243799243439</v>
      </c>
      <c r="R89" s="113">
        <f t="shared" si="13"/>
        <v>41.831627577136857</v>
      </c>
    </row>
    <row r="90" spans="1:18" x14ac:dyDescent="0.2">
      <c r="A90">
        <v>27</v>
      </c>
      <c r="B90">
        <v>3</v>
      </c>
      <c r="C90">
        <v>1984</v>
      </c>
      <c r="D90" s="112">
        <f t="shared" si="7"/>
        <v>30768</v>
      </c>
      <c r="E90">
        <v>9.3000000000000007</v>
      </c>
      <c r="F90">
        <v>9.3000000000000007</v>
      </c>
      <c r="G90" s="113">
        <v>1.2668681747238819</v>
      </c>
      <c r="H90" s="113">
        <f t="shared" si="8"/>
        <v>210.21775877699295</v>
      </c>
      <c r="I90" s="113">
        <v>3.6411589829829945</v>
      </c>
      <c r="J90" s="113">
        <f t="shared" si="9"/>
        <v>254.37781501642786</v>
      </c>
      <c r="K90" s="113">
        <v>1.9818285259609614</v>
      </c>
      <c r="L90" s="113">
        <f t="shared" si="10"/>
        <v>104.8434104808135</v>
      </c>
      <c r="M90" s="97">
        <v>1.9595741393735886</v>
      </c>
      <c r="N90" s="97">
        <f t="shared" si="11"/>
        <v>141.19785292614381</v>
      </c>
      <c r="O90" s="113">
        <v>0.96957970806941074</v>
      </c>
      <c r="P90" s="113">
        <f t="shared" si="12"/>
        <v>52.657698481584276</v>
      </c>
      <c r="Q90" s="113">
        <v>0.83819017556925834</v>
      </c>
      <c r="R90" s="113">
        <f t="shared" si="13"/>
        <v>42.669817752706116</v>
      </c>
    </row>
    <row r="91" spans="1:18" x14ac:dyDescent="0.2">
      <c r="A91">
        <v>28</v>
      </c>
      <c r="B91">
        <v>3</v>
      </c>
      <c r="C91">
        <v>1984</v>
      </c>
      <c r="D91" s="112">
        <f t="shared" si="7"/>
        <v>30769</v>
      </c>
      <c r="E91">
        <v>7.3</v>
      </c>
      <c r="F91">
        <v>7.3</v>
      </c>
      <c r="G91" s="113">
        <v>0.21064962152213434</v>
      </c>
      <c r="H91" s="113">
        <f t="shared" si="8"/>
        <v>210.42840839851507</v>
      </c>
      <c r="I91" s="113">
        <v>2.331060699949882</v>
      </c>
      <c r="J91" s="113">
        <f t="shared" si="9"/>
        <v>256.70887571637775</v>
      </c>
      <c r="K91" s="113">
        <v>1.0383927206767005</v>
      </c>
      <c r="L91" s="113">
        <f t="shared" si="10"/>
        <v>105.8818032014902</v>
      </c>
      <c r="M91" s="97">
        <v>1.0213979998897564</v>
      </c>
      <c r="N91" s="97">
        <f t="shared" si="11"/>
        <v>142.21925092603357</v>
      </c>
      <c r="O91" s="113">
        <v>0.76587263186925691</v>
      </c>
      <c r="P91" s="113">
        <f t="shared" si="12"/>
        <v>53.423571113453534</v>
      </c>
      <c r="Q91" s="113">
        <v>0.60659138935552426</v>
      </c>
      <c r="R91" s="113">
        <f t="shared" si="13"/>
        <v>43.276409142061638</v>
      </c>
    </row>
    <row r="92" spans="1:18" x14ac:dyDescent="0.2">
      <c r="A92">
        <v>29</v>
      </c>
      <c r="B92">
        <v>3</v>
      </c>
      <c r="C92">
        <v>1984</v>
      </c>
      <c r="D92" s="112">
        <f t="shared" si="7"/>
        <v>30770</v>
      </c>
      <c r="E92">
        <v>8</v>
      </c>
      <c r="F92">
        <v>8</v>
      </c>
      <c r="G92" s="113">
        <v>2.3149359551927868</v>
      </c>
      <c r="H92" s="113">
        <f t="shared" si="8"/>
        <v>212.74334435370787</v>
      </c>
      <c r="I92" s="113">
        <v>2.788386383182436</v>
      </c>
      <c r="J92" s="113">
        <f t="shared" si="9"/>
        <v>259.4972620995602</v>
      </c>
      <c r="K92" s="113">
        <v>1.344265323292942</v>
      </c>
      <c r="L92" s="113">
        <f t="shared" si="10"/>
        <v>107.22606852478314</v>
      </c>
      <c r="M92" s="97">
        <v>1.3256326075219445</v>
      </c>
      <c r="N92" s="97">
        <f t="shared" si="11"/>
        <v>143.54488353355552</v>
      </c>
      <c r="O92" s="113">
        <v>0.98840177164875609</v>
      </c>
      <c r="P92" s="113">
        <f t="shared" si="12"/>
        <v>54.411972885102287</v>
      </c>
      <c r="Q92" s="113">
        <v>0.91116765838867453</v>
      </c>
      <c r="R92" s="113">
        <f t="shared" si="13"/>
        <v>44.187576800450316</v>
      </c>
    </row>
    <row r="93" spans="1:18" x14ac:dyDescent="0.2">
      <c r="A93">
        <v>30</v>
      </c>
      <c r="B93">
        <v>3</v>
      </c>
      <c r="C93">
        <v>1984</v>
      </c>
      <c r="D93" s="112">
        <f t="shared" si="7"/>
        <v>30771</v>
      </c>
      <c r="E93">
        <v>12.3</v>
      </c>
      <c r="F93">
        <v>12.3</v>
      </c>
      <c r="G93" s="113">
        <v>2.041525661487408</v>
      </c>
      <c r="H93" s="113">
        <f t="shared" si="8"/>
        <v>214.78487001519528</v>
      </c>
      <c r="I93" s="113">
        <v>5.3848072077866691</v>
      </c>
      <c r="J93" s="113">
        <f t="shared" si="9"/>
        <v>264.88206930734685</v>
      </c>
      <c r="K93" s="113">
        <v>3.2034542044867944</v>
      </c>
      <c r="L93" s="113">
        <f t="shared" si="10"/>
        <v>110.42952272926993</v>
      </c>
      <c r="M93" s="97">
        <v>3.1759157908634306</v>
      </c>
      <c r="N93" s="97">
        <f t="shared" si="11"/>
        <v>146.72079932441895</v>
      </c>
      <c r="O93" s="113">
        <v>1.2070090547303165</v>
      </c>
      <c r="P93" s="113">
        <f t="shared" si="12"/>
        <v>55.618981939832601</v>
      </c>
      <c r="Q93" s="113">
        <v>1.1052042995870279</v>
      </c>
      <c r="R93" s="113">
        <f t="shared" si="13"/>
        <v>45.292781100037345</v>
      </c>
    </row>
    <row r="94" spans="1:18" x14ac:dyDescent="0.2">
      <c r="A94">
        <v>31</v>
      </c>
      <c r="B94">
        <v>3</v>
      </c>
      <c r="C94">
        <v>1984</v>
      </c>
      <c r="D94" s="112">
        <f t="shared" si="7"/>
        <v>30772</v>
      </c>
      <c r="E94">
        <v>12.9</v>
      </c>
      <c r="F94">
        <v>12.9</v>
      </c>
      <c r="G94" s="113">
        <v>2.5426332949284483</v>
      </c>
      <c r="H94" s="113">
        <f t="shared" si="8"/>
        <v>217.32750331012372</v>
      </c>
      <c r="I94" s="113">
        <v>5.7881302267169241</v>
      </c>
      <c r="J94" s="113">
        <f t="shared" si="9"/>
        <v>270.67019953406378</v>
      </c>
      <c r="K94" s="113">
        <v>3.4600292407492121</v>
      </c>
      <c r="L94" s="113">
        <f t="shared" si="10"/>
        <v>113.88955197001914</v>
      </c>
      <c r="M94" s="97">
        <v>3.4320308135181179</v>
      </c>
      <c r="N94" s="97">
        <f t="shared" si="11"/>
        <v>150.15283013793706</v>
      </c>
      <c r="O94" s="113">
        <v>1.2697532947009058</v>
      </c>
      <c r="P94" s="113">
        <f t="shared" si="12"/>
        <v>56.888735234533506</v>
      </c>
      <c r="Q94" s="113">
        <v>1.3474818106111535</v>
      </c>
      <c r="R94" s="113">
        <f t="shared" si="13"/>
        <v>46.640262910648502</v>
      </c>
    </row>
    <row r="95" spans="1:18" x14ac:dyDescent="0.2">
      <c r="A95">
        <v>1</v>
      </c>
      <c r="B95">
        <v>4</v>
      </c>
      <c r="C95">
        <v>1984</v>
      </c>
      <c r="D95" s="112">
        <f t="shared" si="7"/>
        <v>30773</v>
      </c>
      <c r="E95">
        <v>11.7</v>
      </c>
      <c r="F95">
        <v>11.7</v>
      </c>
      <c r="G95" s="113">
        <v>2.7546618051506284</v>
      </c>
      <c r="H95" s="113">
        <f t="shared" si="8"/>
        <v>220.08216511527434</v>
      </c>
      <c r="I95" s="113">
        <v>5.0010261698644394</v>
      </c>
      <c r="J95" s="113">
        <f t="shared" si="9"/>
        <v>275.6712257039282</v>
      </c>
      <c r="K95" s="113">
        <v>2.8851609793915585</v>
      </c>
      <c r="L95" s="113">
        <f t="shared" si="10"/>
        <v>116.7747129494107</v>
      </c>
      <c r="M95" s="97">
        <v>2.86103928046388</v>
      </c>
      <c r="N95" s="97">
        <f t="shared" si="11"/>
        <v>153.01386941840093</v>
      </c>
      <c r="O95" s="113">
        <v>1.1984441658441289</v>
      </c>
      <c r="P95" s="113">
        <f t="shared" si="12"/>
        <v>58.087179400377636</v>
      </c>
      <c r="Q95" s="113">
        <v>1.2929832446600991</v>
      </c>
      <c r="R95" s="113">
        <f t="shared" si="13"/>
        <v>47.933246155308602</v>
      </c>
    </row>
    <row r="96" spans="1:18" x14ac:dyDescent="0.2">
      <c r="A96">
        <v>2</v>
      </c>
      <c r="B96">
        <v>4</v>
      </c>
      <c r="C96">
        <v>1984</v>
      </c>
      <c r="D96" s="112">
        <f t="shared" si="7"/>
        <v>30774</v>
      </c>
      <c r="E96">
        <v>12</v>
      </c>
      <c r="F96">
        <v>12</v>
      </c>
      <c r="G96" s="113">
        <v>2.7031750248632713</v>
      </c>
      <c r="H96" s="113">
        <f t="shared" si="8"/>
        <v>222.78534014013761</v>
      </c>
      <c r="I96" s="113">
        <v>5.0621434649978045</v>
      </c>
      <c r="J96" s="113">
        <f t="shared" si="9"/>
        <v>280.733369168926</v>
      </c>
      <c r="K96" s="113">
        <v>2.9449094569873129</v>
      </c>
      <c r="L96" s="113">
        <f t="shared" si="10"/>
        <v>119.71962240639802</v>
      </c>
      <c r="M96" s="97">
        <v>2.9219194437478393</v>
      </c>
      <c r="N96" s="97">
        <f t="shared" si="11"/>
        <v>155.93578886214877</v>
      </c>
      <c r="O96" s="113">
        <v>1.2448497264941387</v>
      </c>
      <c r="P96" s="113">
        <f t="shared" si="12"/>
        <v>59.332029126871774</v>
      </c>
      <c r="Q96" s="113">
        <v>1.0849791840798202</v>
      </c>
      <c r="R96" s="113">
        <f t="shared" si="13"/>
        <v>49.018225339388422</v>
      </c>
    </row>
    <row r="97" spans="1:18" x14ac:dyDescent="0.2">
      <c r="A97">
        <v>3</v>
      </c>
      <c r="B97">
        <v>4</v>
      </c>
      <c r="C97">
        <v>1984</v>
      </c>
      <c r="D97" s="112">
        <f t="shared" si="7"/>
        <v>30775</v>
      </c>
      <c r="E97">
        <v>11.7</v>
      </c>
      <c r="F97">
        <v>11.7</v>
      </c>
      <c r="G97" s="113">
        <v>2.2133203652311892</v>
      </c>
      <c r="H97" s="113">
        <f t="shared" si="8"/>
        <v>224.9986605053688</v>
      </c>
      <c r="I97" s="113">
        <v>4.8115579257003516</v>
      </c>
      <c r="J97" s="113">
        <f t="shared" si="9"/>
        <v>285.54492709462636</v>
      </c>
      <c r="K97" s="113">
        <v>2.7560111160303675</v>
      </c>
      <c r="L97" s="113">
        <f t="shared" si="10"/>
        <v>122.47563352242838</v>
      </c>
      <c r="M97" s="97">
        <v>2.7353653013571413</v>
      </c>
      <c r="N97" s="97">
        <f t="shared" si="11"/>
        <v>158.67115416350592</v>
      </c>
      <c r="O97" s="113">
        <v>1.1491539153113097</v>
      </c>
      <c r="P97" s="113">
        <f t="shared" si="12"/>
        <v>60.481183042183083</v>
      </c>
      <c r="Q97" s="113">
        <v>0.99404801104325569</v>
      </c>
      <c r="R97" s="113">
        <f t="shared" si="13"/>
        <v>50.012273350431677</v>
      </c>
    </row>
    <row r="98" spans="1:18" x14ac:dyDescent="0.2">
      <c r="A98">
        <v>4</v>
      </c>
      <c r="B98">
        <v>4</v>
      </c>
      <c r="C98">
        <v>1984</v>
      </c>
      <c r="D98" s="112">
        <f t="shared" si="7"/>
        <v>30776</v>
      </c>
      <c r="E98">
        <v>15.4</v>
      </c>
      <c r="F98">
        <v>15.4</v>
      </c>
      <c r="G98" s="113">
        <v>4.0021521884379458</v>
      </c>
      <c r="H98" s="113">
        <f t="shared" si="8"/>
        <v>229.00081269380675</v>
      </c>
      <c r="I98" s="113">
        <v>7.1314276388019122</v>
      </c>
      <c r="J98" s="113">
        <f t="shared" si="9"/>
        <v>292.6763547334283</v>
      </c>
      <c r="K98" s="113">
        <v>4.3878987599481869</v>
      </c>
      <c r="L98" s="113">
        <f t="shared" si="10"/>
        <v>126.86353228237657</v>
      </c>
      <c r="M98" s="97">
        <v>4.3625861074441747</v>
      </c>
      <c r="N98" s="97">
        <f t="shared" si="11"/>
        <v>163.03374027095009</v>
      </c>
      <c r="O98" s="113">
        <v>1.5737555991665721</v>
      </c>
      <c r="P98" s="113">
        <f t="shared" si="12"/>
        <v>62.054938641349658</v>
      </c>
      <c r="Q98" s="113">
        <v>1.3776722743110392</v>
      </c>
      <c r="R98" s="113">
        <f t="shared" si="13"/>
        <v>51.389945624742715</v>
      </c>
    </row>
    <row r="99" spans="1:18" x14ac:dyDescent="0.2">
      <c r="A99">
        <v>5</v>
      </c>
      <c r="B99">
        <v>4</v>
      </c>
      <c r="C99">
        <v>1984</v>
      </c>
      <c r="D99" s="112">
        <f t="shared" si="7"/>
        <v>30777</v>
      </c>
      <c r="E99">
        <v>12.2</v>
      </c>
      <c r="F99">
        <v>12.2</v>
      </c>
      <c r="G99" s="113">
        <v>5.2184430319634059</v>
      </c>
      <c r="H99" s="113">
        <f t="shared" si="8"/>
        <v>234.21925572577015</v>
      </c>
      <c r="I99" s="113">
        <v>5.2472772523025375</v>
      </c>
      <c r="J99" s="113">
        <f t="shared" si="9"/>
        <v>297.92363198573082</v>
      </c>
      <c r="K99" s="113">
        <v>3.0144712052680842</v>
      </c>
      <c r="L99" s="113">
        <f t="shared" si="10"/>
        <v>129.87800348764466</v>
      </c>
      <c r="M99" s="97">
        <v>2.9960973608156558</v>
      </c>
      <c r="N99" s="97">
        <f t="shared" si="11"/>
        <v>166.02983763176576</v>
      </c>
      <c r="O99" s="113">
        <v>1.6637573424068046</v>
      </c>
      <c r="P99" s="113">
        <f t="shared" si="12"/>
        <v>63.718695983756461</v>
      </c>
      <c r="Q99" s="113">
        <v>1.5686555056803504</v>
      </c>
      <c r="R99" s="113">
        <f t="shared" si="13"/>
        <v>52.958601130423062</v>
      </c>
    </row>
    <row r="100" spans="1:18" x14ac:dyDescent="0.2">
      <c r="A100">
        <v>6</v>
      </c>
      <c r="B100">
        <v>4</v>
      </c>
      <c r="C100">
        <v>1984</v>
      </c>
      <c r="D100" s="112">
        <f t="shared" si="7"/>
        <v>30778</v>
      </c>
      <c r="E100">
        <v>1.4</v>
      </c>
      <c r="F100">
        <v>1.4</v>
      </c>
      <c r="G100" s="113">
        <v>1.6691147735653213</v>
      </c>
      <c r="H100" s="113">
        <f t="shared" si="8"/>
        <v>235.88837049933548</v>
      </c>
      <c r="I100" s="113">
        <v>0.98913535326883195</v>
      </c>
      <c r="J100" s="113">
        <f t="shared" si="9"/>
        <v>298.91276733899963</v>
      </c>
      <c r="K100" s="113">
        <v>-1.6486538693789701</v>
      </c>
      <c r="L100" s="113">
        <f t="shared" si="10"/>
        <v>128.2293496182657</v>
      </c>
      <c r="M100" s="97">
        <v>-1.6503425508798513</v>
      </c>
      <c r="N100" s="97">
        <f t="shared" si="11"/>
        <v>164.3794950808859</v>
      </c>
      <c r="O100" s="113">
        <v>0.60499505633794348</v>
      </c>
      <c r="P100" s="113">
        <f t="shared" si="12"/>
        <v>64.323691040094403</v>
      </c>
      <c r="Q100" s="113">
        <v>0.29320047082638129</v>
      </c>
      <c r="R100" s="113">
        <f t="shared" si="13"/>
        <v>53.251801601249447</v>
      </c>
    </row>
    <row r="101" spans="1:18" x14ac:dyDescent="0.2">
      <c r="A101">
        <v>7</v>
      </c>
      <c r="B101">
        <v>4</v>
      </c>
      <c r="C101">
        <v>1984</v>
      </c>
      <c r="D101" s="112">
        <f t="shared" si="7"/>
        <v>30779</v>
      </c>
      <c r="E101">
        <v>8.9</v>
      </c>
      <c r="F101">
        <v>8.9</v>
      </c>
      <c r="G101" s="113">
        <v>4.1275074449330091</v>
      </c>
      <c r="H101" s="113">
        <f t="shared" si="8"/>
        <v>240.01587794426848</v>
      </c>
      <c r="I101" s="113">
        <v>2.9311910314466267</v>
      </c>
      <c r="J101" s="113">
        <f t="shared" si="9"/>
        <v>301.84395837044627</v>
      </c>
      <c r="K101" s="113">
        <v>1.4135766926880868</v>
      </c>
      <c r="L101" s="113">
        <f t="shared" si="10"/>
        <v>129.64292631095378</v>
      </c>
      <c r="M101" s="97">
        <v>1.4040796049106143</v>
      </c>
      <c r="N101" s="97">
        <f t="shared" si="11"/>
        <v>165.78357468579651</v>
      </c>
      <c r="O101" s="113">
        <v>1.284330267830651</v>
      </c>
      <c r="P101" s="113">
        <f t="shared" si="12"/>
        <v>65.608021307925057</v>
      </c>
      <c r="Q101" s="113">
        <v>1.2814337913937026</v>
      </c>
      <c r="R101" s="113">
        <f t="shared" si="13"/>
        <v>54.533235392643149</v>
      </c>
    </row>
    <row r="102" spans="1:18" x14ac:dyDescent="0.2">
      <c r="A102">
        <v>8</v>
      </c>
      <c r="B102">
        <v>4</v>
      </c>
      <c r="C102">
        <v>1984</v>
      </c>
      <c r="D102" s="112">
        <f t="shared" si="7"/>
        <v>30780</v>
      </c>
      <c r="E102">
        <v>6.2</v>
      </c>
      <c r="F102">
        <v>6.2</v>
      </c>
      <c r="G102" s="113">
        <v>3.5607759875784648</v>
      </c>
      <c r="H102" s="113">
        <f t="shared" si="8"/>
        <v>243.57665393184695</v>
      </c>
      <c r="I102" s="113">
        <v>1.2750753671910589</v>
      </c>
      <c r="J102" s="113">
        <f t="shared" si="9"/>
        <v>303.11903373763732</v>
      </c>
      <c r="K102" s="113">
        <v>0.24817657194718215</v>
      </c>
      <c r="L102" s="113">
        <f t="shared" si="10"/>
        <v>129.89110288290095</v>
      </c>
      <c r="M102" s="97">
        <v>0.24294139120462432</v>
      </c>
      <c r="N102" s="97">
        <f t="shared" si="11"/>
        <v>166.02651607700113</v>
      </c>
      <c r="O102" s="113">
        <v>1.0936824105057759</v>
      </c>
      <c r="P102" s="113">
        <f t="shared" si="12"/>
        <v>66.701703718430835</v>
      </c>
      <c r="Q102" s="113">
        <v>1.1351225192012764</v>
      </c>
      <c r="R102" s="113">
        <f t="shared" si="13"/>
        <v>55.668357911844424</v>
      </c>
    </row>
    <row r="103" spans="1:18" x14ac:dyDescent="0.2">
      <c r="A103">
        <v>9</v>
      </c>
      <c r="B103">
        <v>4</v>
      </c>
      <c r="C103">
        <v>1984</v>
      </c>
      <c r="D103" s="112">
        <f t="shared" si="7"/>
        <v>30781</v>
      </c>
      <c r="E103">
        <v>7.2</v>
      </c>
      <c r="F103">
        <v>7.2</v>
      </c>
      <c r="G103" s="113">
        <v>2.8063828853874355</v>
      </c>
      <c r="H103" s="113">
        <f t="shared" si="8"/>
        <v>246.38303681723437</v>
      </c>
      <c r="I103" s="113">
        <v>1.7568986003107787</v>
      </c>
      <c r="J103" s="113">
        <f t="shared" si="9"/>
        <v>304.87593233794809</v>
      </c>
      <c r="K103" s="113">
        <v>0.61296587669462377</v>
      </c>
      <c r="L103" s="113">
        <f t="shared" si="10"/>
        <v>130.50406875959558</v>
      </c>
      <c r="M103" s="97">
        <v>0.60850874972312408</v>
      </c>
      <c r="N103" s="97">
        <f t="shared" si="11"/>
        <v>166.63502482672425</v>
      </c>
      <c r="O103" s="113">
        <v>1.1586025769570996</v>
      </c>
      <c r="P103" s="113">
        <f t="shared" si="12"/>
        <v>67.860306295387929</v>
      </c>
      <c r="Q103" s="113">
        <v>1.1761730198367011</v>
      </c>
      <c r="R103" s="113">
        <f t="shared" si="13"/>
        <v>56.844530931681128</v>
      </c>
    </row>
    <row r="104" spans="1:18" x14ac:dyDescent="0.2">
      <c r="A104">
        <v>10</v>
      </c>
      <c r="B104">
        <v>4</v>
      </c>
      <c r="C104">
        <v>1984</v>
      </c>
      <c r="D104" s="112">
        <f t="shared" si="7"/>
        <v>30782</v>
      </c>
      <c r="E104">
        <v>11.7</v>
      </c>
      <c r="F104">
        <v>11.7</v>
      </c>
      <c r="G104" s="113">
        <v>3.010212656433719</v>
      </c>
      <c r="H104" s="113">
        <f t="shared" si="8"/>
        <v>249.39324947366808</v>
      </c>
      <c r="I104" s="113">
        <v>4.2439194307233388</v>
      </c>
      <c r="J104" s="113">
        <f t="shared" si="9"/>
        <v>309.11985176867142</v>
      </c>
      <c r="K104" s="113">
        <v>2.3794310643286876</v>
      </c>
      <c r="L104" s="113">
        <f t="shared" si="10"/>
        <v>132.88349982392427</v>
      </c>
      <c r="M104" s="97">
        <v>2.3746320709504465</v>
      </c>
      <c r="N104" s="97">
        <f t="shared" si="11"/>
        <v>169.00965689767469</v>
      </c>
      <c r="O104" s="113">
        <v>1.4383658994952151</v>
      </c>
      <c r="P104" s="113">
        <f t="shared" si="12"/>
        <v>69.298672194883139</v>
      </c>
      <c r="Q104" s="113">
        <v>1.4521658360952787</v>
      </c>
      <c r="R104" s="113">
        <f t="shared" si="13"/>
        <v>58.296696767776403</v>
      </c>
    </row>
    <row r="105" spans="1:18" x14ac:dyDescent="0.2">
      <c r="A105">
        <v>11</v>
      </c>
      <c r="B105">
        <v>4</v>
      </c>
      <c r="C105">
        <v>1984</v>
      </c>
      <c r="D105" s="112">
        <f t="shared" si="7"/>
        <v>30783</v>
      </c>
      <c r="E105">
        <v>8.4</v>
      </c>
      <c r="F105">
        <v>8.4</v>
      </c>
      <c r="G105" s="113">
        <v>3.0130234715916009</v>
      </c>
      <c r="H105" s="113">
        <f t="shared" si="8"/>
        <v>252.40627294525967</v>
      </c>
      <c r="I105" s="113">
        <v>2.3011753919000895</v>
      </c>
      <c r="J105" s="113">
        <f t="shared" si="9"/>
        <v>311.4210271605715</v>
      </c>
      <c r="K105" s="113">
        <v>1.0142813208175159</v>
      </c>
      <c r="L105" s="113">
        <f t="shared" si="10"/>
        <v>133.89778114474177</v>
      </c>
      <c r="M105" s="97">
        <v>1.0127535619117687</v>
      </c>
      <c r="N105" s="97">
        <f t="shared" si="11"/>
        <v>170.02241045958647</v>
      </c>
      <c r="O105" s="113">
        <v>1.3217912578073152</v>
      </c>
      <c r="P105" s="113">
        <f t="shared" si="12"/>
        <v>70.620463452690458</v>
      </c>
      <c r="Q105" s="113">
        <v>1.3793112844196631</v>
      </c>
      <c r="R105" s="113">
        <f t="shared" si="13"/>
        <v>59.676008052196067</v>
      </c>
    </row>
    <row r="106" spans="1:18" x14ac:dyDescent="0.2">
      <c r="A106">
        <v>12</v>
      </c>
      <c r="B106">
        <v>4</v>
      </c>
      <c r="C106">
        <v>1984</v>
      </c>
      <c r="D106" s="112">
        <f t="shared" si="7"/>
        <v>30784</v>
      </c>
      <c r="E106">
        <v>18.2</v>
      </c>
      <c r="F106">
        <v>18.2</v>
      </c>
      <c r="G106" s="113">
        <v>3.0973637551419424</v>
      </c>
      <c r="H106" s="113">
        <f t="shared" si="8"/>
        <v>255.50363670040161</v>
      </c>
      <c r="I106" s="113">
        <v>7.7240238194134827</v>
      </c>
      <c r="J106" s="113">
        <f t="shared" si="9"/>
        <v>319.145050979985</v>
      </c>
      <c r="K106" s="113">
        <v>4.8613618257814419</v>
      </c>
      <c r="L106" s="113">
        <f t="shared" si="10"/>
        <v>138.75914297052321</v>
      </c>
      <c r="M106" s="97">
        <v>4.8621816046754169</v>
      </c>
      <c r="N106" s="97">
        <f t="shared" si="11"/>
        <v>174.88459206426188</v>
      </c>
      <c r="O106" s="113">
        <v>1.8461583458431992</v>
      </c>
      <c r="P106" s="113">
        <f t="shared" si="12"/>
        <v>72.466621798533652</v>
      </c>
      <c r="Q106" s="113">
        <v>1.6554966125697381</v>
      </c>
      <c r="R106" s="113">
        <f t="shared" si="13"/>
        <v>61.331504664765802</v>
      </c>
    </row>
    <row r="107" spans="1:18" x14ac:dyDescent="0.2">
      <c r="A107">
        <v>13</v>
      </c>
      <c r="B107">
        <v>4</v>
      </c>
      <c r="C107">
        <v>1984</v>
      </c>
      <c r="D107" s="112">
        <f t="shared" si="7"/>
        <v>30785</v>
      </c>
      <c r="E107">
        <v>6</v>
      </c>
      <c r="F107">
        <v>6</v>
      </c>
      <c r="G107" s="113">
        <v>3.5732247143444393</v>
      </c>
      <c r="H107" s="113">
        <f t="shared" si="8"/>
        <v>259.07686141474608</v>
      </c>
      <c r="I107" s="113">
        <v>1.0129707163676531</v>
      </c>
      <c r="J107" s="113">
        <f t="shared" si="9"/>
        <v>320.15802169635265</v>
      </c>
      <c r="K107" s="113">
        <v>4.6998944573138968E-2</v>
      </c>
      <c r="L107" s="113">
        <f t="shared" si="10"/>
        <v>138.80614191509636</v>
      </c>
      <c r="M107" s="97">
        <v>4.8687408521576735E-2</v>
      </c>
      <c r="N107" s="97">
        <f t="shared" si="11"/>
        <v>174.93327947278345</v>
      </c>
      <c r="O107" s="113">
        <v>1.3311378319852609</v>
      </c>
      <c r="P107" s="113">
        <f t="shared" si="12"/>
        <v>73.797759630518911</v>
      </c>
      <c r="Q107" s="113">
        <v>1.3509758551413309</v>
      </c>
      <c r="R107" s="113">
        <f t="shared" si="13"/>
        <v>62.682480519907131</v>
      </c>
    </row>
    <row r="108" spans="1:18" x14ac:dyDescent="0.2">
      <c r="A108">
        <v>14</v>
      </c>
      <c r="B108">
        <v>4</v>
      </c>
      <c r="C108">
        <v>1984</v>
      </c>
      <c r="D108" s="112">
        <f t="shared" si="7"/>
        <v>30786</v>
      </c>
      <c r="E108">
        <v>20.6</v>
      </c>
      <c r="F108">
        <v>20.6</v>
      </c>
      <c r="G108" s="113">
        <v>4.8006706064213329</v>
      </c>
      <c r="H108" s="113">
        <f t="shared" si="8"/>
        <v>263.87753202116738</v>
      </c>
      <c r="I108" s="113">
        <v>8.9832936268739001</v>
      </c>
      <c r="J108" s="113">
        <f t="shared" si="9"/>
        <v>329.14131532322654</v>
      </c>
      <c r="K108" s="113">
        <v>5.7740451021693939</v>
      </c>
      <c r="L108" s="113">
        <f t="shared" si="10"/>
        <v>144.58018701726576</v>
      </c>
      <c r="M108" s="97">
        <v>5.7851096186198303</v>
      </c>
      <c r="N108" s="97">
        <f t="shared" si="11"/>
        <v>180.71838909140328</v>
      </c>
      <c r="O108" s="113">
        <v>2.66799412347028</v>
      </c>
      <c r="P108" s="113">
        <f t="shared" si="12"/>
        <v>76.46575375398919</v>
      </c>
      <c r="Q108" s="113">
        <v>2.4885668187202654</v>
      </c>
      <c r="R108" s="113">
        <f t="shared" si="13"/>
        <v>65.171047338627403</v>
      </c>
    </row>
    <row r="109" spans="1:18" x14ac:dyDescent="0.2">
      <c r="A109">
        <v>15</v>
      </c>
      <c r="B109">
        <v>4</v>
      </c>
      <c r="C109">
        <v>1984</v>
      </c>
      <c r="D109" s="112">
        <f t="shared" si="7"/>
        <v>30787</v>
      </c>
      <c r="E109">
        <v>9.1999999999999993</v>
      </c>
      <c r="F109">
        <v>9.1999999999999993</v>
      </c>
      <c r="G109" s="113">
        <v>2.7727415460741951</v>
      </c>
      <c r="H109" s="113">
        <f t="shared" si="8"/>
        <v>266.65027356724158</v>
      </c>
      <c r="I109" s="113">
        <v>2.542361842078865</v>
      </c>
      <c r="J109" s="113">
        <f t="shared" si="9"/>
        <v>331.68367716530543</v>
      </c>
      <c r="K109" s="113">
        <v>1.1873392390582529</v>
      </c>
      <c r="L109" s="113">
        <f t="shared" si="10"/>
        <v>145.767526256324</v>
      </c>
      <c r="M109" s="97">
        <v>1.1942281021901511</v>
      </c>
      <c r="N109" s="97">
        <f t="shared" si="11"/>
        <v>181.91261719359343</v>
      </c>
      <c r="O109" s="113">
        <v>1.330652468593448</v>
      </c>
      <c r="P109" s="113">
        <f t="shared" si="12"/>
        <v>77.796406222582632</v>
      </c>
      <c r="Q109" s="113">
        <v>1.4098482924345699</v>
      </c>
      <c r="R109" s="113">
        <f t="shared" si="13"/>
        <v>66.580895631061978</v>
      </c>
    </row>
    <row r="110" spans="1:18" x14ac:dyDescent="0.2">
      <c r="A110">
        <v>16</v>
      </c>
      <c r="B110">
        <v>4</v>
      </c>
      <c r="C110">
        <v>1984</v>
      </c>
      <c r="D110" s="112">
        <f t="shared" si="7"/>
        <v>30788</v>
      </c>
      <c r="E110">
        <v>16.2</v>
      </c>
      <c r="F110">
        <v>16.2</v>
      </c>
      <c r="G110" s="113">
        <v>2.0552260152845983</v>
      </c>
      <c r="H110" s="113">
        <f t="shared" si="8"/>
        <v>268.70549958252616</v>
      </c>
      <c r="I110" s="113">
        <v>6.1623945761053847</v>
      </c>
      <c r="J110" s="113">
        <f t="shared" si="9"/>
        <v>337.84607174141081</v>
      </c>
      <c r="K110" s="113">
        <v>3.7643961295745267</v>
      </c>
      <c r="L110" s="113">
        <f t="shared" si="10"/>
        <v>149.53192238589853</v>
      </c>
      <c r="M110" s="97">
        <v>3.7806441775218467</v>
      </c>
      <c r="N110" s="97">
        <f t="shared" si="11"/>
        <v>185.69326137111528</v>
      </c>
      <c r="O110" s="113">
        <v>1.5951489308237414</v>
      </c>
      <c r="P110" s="113">
        <f t="shared" si="12"/>
        <v>79.391555153406372</v>
      </c>
      <c r="Q110" s="113">
        <v>1.4987549575255243</v>
      </c>
      <c r="R110" s="113">
        <f t="shared" si="13"/>
        <v>68.079650588587498</v>
      </c>
    </row>
    <row r="111" spans="1:18" x14ac:dyDescent="0.2">
      <c r="A111">
        <v>17</v>
      </c>
      <c r="B111">
        <v>4</v>
      </c>
      <c r="C111">
        <v>1984</v>
      </c>
      <c r="D111" s="112">
        <f t="shared" si="7"/>
        <v>30789</v>
      </c>
      <c r="E111">
        <v>16</v>
      </c>
      <c r="F111">
        <v>16</v>
      </c>
      <c r="G111" s="113">
        <v>3.8400983585878787</v>
      </c>
      <c r="H111" s="113">
        <f t="shared" si="8"/>
        <v>272.54559794111401</v>
      </c>
      <c r="I111" s="113">
        <v>6.2013943760637256</v>
      </c>
      <c r="J111" s="113">
        <f t="shared" si="9"/>
        <v>344.04746611747453</v>
      </c>
      <c r="K111" s="113">
        <v>3.7576139193141409</v>
      </c>
      <c r="L111" s="113">
        <f t="shared" si="10"/>
        <v>153.28953630521266</v>
      </c>
      <c r="M111" s="97">
        <v>3.7783076683272365</v>
      </c>
      <c r="N111" s="97">
        <f t="shared" si="11"/>
        <v>189.47156903944253</v>
      </c>
      <c r="O111" s="113">
        <v>1.8713291489958901</v>
      </c>
      <c r="P111" s="113">
        <f t="shared" si="12"/>
        <v>81.262884302402256</v>
      </c>
      <c r="Q111" s="113">
        <v>1.753267315186982</v>
      </c>
      <c r="R111" s="113">
        <f t="shared" si="13"/>
        <v>69.832917903774486</v>
      </c>
    </row>
    <row r="112" spans="1:18" x14ac:dyDescent="0.2">
      <c r="A112">
        <v>18</v>
      </c>
      <c r="B112">
        <v>4</v>
      </c>
      <c r="C112">
        <v>1984</v>
      </c>
      <c r="D112" s="112">
        <f t="shared" si="7"/>
        <v>30790</v>
      </c>
      <c r="E112">
        <v>13.4</v>
      </c>
      <c r="F112">
        <v>13.4</v>
      </c>
      <c r="G112" s="113">
        <v>9.3090479458816375</v>
      </c>
      <c r="H112" s="113">
        <f t="shared" si="8"/>
        <v>281.85464588699563</v>
      </c>
      <c r="I112" s="113">
        <v>5.3726211659751053</v>
      </c>
      <c r="J112" s="113">
        <f t="shared" si="9"/>
        <v>349.42008728344962</v>
      </c>
      <c r="K112" s="113">
        <v>3.0516317935142836</v>
      </c>
      <c r="L112" s="113">
        <f t="shared" si="10"/>
        <v>156.34116809872694</v>
      </c>
      <c r="M112" s="97">
        <v>3.0749339629788235</v>
      </c>
      <c r="N112" s="97">
        <f t="shared" si="11"/>
        <v>192.54650300242136</v>
      </c>
      <c r="O112" s="113">
        <v>3.1422376535959966</v>
      </c>
      <c r="P112" s="113">
        <f t="shared" si="12"/>
        <v>84.405121955998254</v>
      </c>
      <c r="Q112" s="113">
        <v>3.1537038259143078</v>
      </c>
      <c r="R112" s="113">
        <f t="shared" si="13"/>
        <v>72.986621729688792</v>
      </c>
    </row>
    <row r="113" spans="1:18" x14ac:dyDescent="0.2">
      <c r="A113">
        <v>19</v>
      </c>
      <c r="B113">
        <v>4</v>
      </c>
      <c r="C113">
        <v>1984</v>
      </c>
      <c r="D113" s="112">
        <f t="shared" si="7"/>
        <v>30791</v>
      </c>
      <c r="E113">
        <v>13</v>
      </c>
      <c r="F113">
        <v>13</v>
      </c>
      <c r="G113" s="113">
        <v>8.1140331092152973</v>
      </c>
      <c r="H113" s="113">
        <f t="shared" si="8"/>
        <v>289.96867899621094</v>
      </c>
      <c r="I113" s="113">
        <v>4.7552981860108954</v>
      </c>
      <c r="J113" s="113">
        <f t="shared" si="9"/>
        <v>354.17538546946054</v>
      </c>
      <c r="K113" s="113">
        <v>2.693602757239284</v>
      </c>
      <c r="L113" s="113">
        <f t="shared" si="10"/>
        <v>159.03477085596623</v>
      </c>
      <c r="M113" s="97">
        <v>2.7187020230991408</v>
      </c>
      <c r="N113" s="97">
        <f t="shared" si="11"/>
        <v>195.26520502552052</v>
      </c>
      <c r="O113" s="113">
        <v>2.902393120977</v>
      </c>
      <c r="P113" s="113">
        <f t="shared" si="12"/>
        <v>87.30751507697525</v>
      </c>
      <c r="Q113" s="113">
        <v>2.8262777048849572</v>
      </c>
      <c r="R113" s="113">
        <f t="shared" si="13"/>
        <v>75.812899434573751</v>
      </c>
    </row>
    <row r="114" spans="1:18" x14ac:dyDescent="0.2">
      <c r="A114">
        <v>20</v>
      </c>
      <c r="B114">
        <v>4</v>
      </c>
      <c r="C114">
        <v>1984</v>
      </c>
      <c r="D114" s="112">
        <f t="shared" si="7"/>
        <v>30792</v>
      </c>
      <c r="E114">
        <v>16.8</v>
      </c>
      <c r="F114">
        <v>16.8</v>
      </c>
      <c r="G114" s="113">
        <v>4.2669342034404796</v>
      </c>
      <c r="H114" s="113">
        <f t="shared" si="8"/>
        <v>294.23561319965143</v>
      </c>
      <c r="I114" s="113">
        <v>6.0254621747486761</v>
      </c>
      <c r="J114" s="113">
        <f t="shared" si="9"/>
        <v>360.2008476442092</v>
      </c>
      <c r="K114" s="113">
        <v>3.7393436783566845</v>
      </c>
      <c r="L114" s="113">
        <f t="shared" si="10"/>
        <v>162.77411453432291</v>
      </c>
      <c r="M114" s="97">
        <v>3.7728662691795707</v>
      </c>
      <c r="N114" s="97">
        <f t="shared" si="11"/>
        <v>199.03807129470007</v>
      </c>
      <c r="O114" s="113">
        <v>2.5239588629534673</v>
      </c>
      <c r="P114" s="113">
        <f t="shared" si="12"/>
        <v>89.831473939928713</v>
      </c>
      <c r="Q114" s="113">
        <v>2.3961279707982683</v>
      </c>
      <c r="R114" s="113">
        <f t="shared" si="13"/>
        <v>78.209027405372012</v>
      </c>
    </row>
    <row r="115" spans="1:18" x14ac:dyDescent="0.2">
      <c r="A115">
        <v>21</v>
      </c>
      <c r="B115">
        <v>4</v>
      </c>
      <c r="C115">
        <v>1984</v>
      </c>
      <c r="D115" s="112">
        <f t="shared" si="7"/>
        <v>30793</v>
      </c>
      <c r="E115">
        <v>18.600000000000001</v>
      </c>
      <c r="F115">
        <v>18.600000000000001</v>
      </c>
      <c r="G115" s="113">
        <v>6.201400143869658</v>
      </c>
      <c r="H115" s="113">
        <f t="shared" si="8"/>
        <v>300.43701334352107</v>
      </c>
      <c r="I115" s="113">
        <v>7.1206734373958351</v>
      </c>
      <c r="J115" s="113">
        <f t="shared" si="9"/>
        <v>367.32152108160506</v>
      </c>
      <c r="K115" s="113">
        <v>4.5026479389871188</v>
      </c>
      <c r="L115" s="113">
        <f t="shared" si="10"/>
        <v>167.27676247331001</v>
      </c>
      <c r="M115" s="97">
        <v>4.5462390812302909</v>
      </c>
      <c r="N115" s="97">
        <f t="shared" si="11"/>
        <v>203.58431037593036</v>
      </c>
      <c r="O115" s="113">
        <v>3.2246857474630661</v>
      </c>
      <c r="P115" s="113">
        <f t="shared" si="12"/>
        <v>93.056159687391784</v>
      </c>
      <c r="Q115" s="113">
        <v>3.0070408516801006</v>
      </c>
      <c r="R115" s="113">
        <f t="shared" si="13"/>
        <v>81.216068257052115</v>
      </c>
    </row>
    <row r="116" spans="1:18" x14ac:dyDescent="0.2">
      <c r="A116">
        <v>22</v>
      </c>
      <c r="B116">
        <v>4</v>
      </c>
      <c r="C116">
        <v>1984</v>
      </c>
      <c r="D116" s="112">
        <f t="shared" si="7"/>
        <v>30794</v>
      </c>
      <c r="E116">
        <v>9.5</v>
      </c>
      <c r="F116">
        <v>9.5</v>
      </c>
      <c r="G116" s="113">
        <v>5.4551356117787888</v>
      </c>
      <c r="H116" s="113">
        <f t="shared" si="8"/>
        <v>305.89214895529989</v>
      </c>
      <c r="I116" s="113">
        <v>2.490692950166054</v>
      </c>
      <c r="J116" s="113">
        <f t="shared" si="9"/>
        <v>369.81221403177113</v>
      </c>
      <c r="K116" s="113">
        <v>1.1294243734766998</v>
      </c>
      <c r="L116" s="113">
        <f t="shared" si="10"/>
        <v>168.40618684678671</v>
      </c>
      <c r="M116" s="97">
        <v>1.1540288110909231</v>
      </c>
      <c r="N116" s="97">
        <f t="shared" si="11"/>
        <v>204.73833918702127</v>
      </c>
      <c r="O116" s="113">
        <v>2.2479911045800955</v>
      </c>
      <c r="P116" s="113">
        <f t="shared" si="12"/>
        <v>95.304150791971878</v>
      </c>
      <c r="Q116" s="113">
        <v>2.4469661501483242</v>
      </c>
      <c r="R116" s="113">
        <f t="shared" si="13"/>
        <v>83.663034407200442</v>
      </c>
    </row>
    <row r="117" spans="1:18" x14ac:dyDescent="0.2">
      <c r="A117">
        <v>23</v>
      </c>
      <c r="B117">
        <v>4</v>
      </c>
      <c r="C117">
        <v>1984</v>
      </c>
      <c r="D117" s="112">
        <f t="shared" si="7"/>
        <v>30795</v>
      </c>
      <c r="E117">
        <v>22.9</v>
      </c>
      <c r="F117">
        <v>22.9</v>
      </c>
      <c r="G117" s="113">
        <v>5.5401545999087727</v>
      </c>
      <c r="H117" s="113">
        <f t="shared" si="8"/>
        <v>311.43230355520865</v>
      </c>
      <c r="I117" s="113">
        <v>9.3997553849548758</v>
      </c>
      <c r="J117" s="113">
        <f t="shared" si="9"/>
        <v>379.21196941672599</v>
      </c>
      <c r="K117" s="113">
        <v>6.061016148790686</v>
      </c>
      <c r="L117" s="113">
        <f t="shared" si="10"/>
        <v>174.4672029955774</v>
      </c>
      <c r="M117" s="97">
        <v>6.1282027026286965</v>
      </c>
      <c r="N117" s="97">
        <f t="shared" si="11"/>
        <v>210.86654188964997</v>
      </c>
      <c r="O117" s="113">
        <v>2.9706791229229492</v>
      </c>
      <c r="P117" s="113">
        <f t="shared" si="12"/>
        <v>98.274829914894823</v>
      </c>
      <c r="Q117" s="113">
        <v>2.8923643258571174</v>
      </c>
      <c r="R117" s="113">
        <f t="shared" si="13"/>
        <v>86.555398733057558</v>
      </c>
    </row>
    <row r="118" spans="1:18" x14ac:dyDescent="0.2">
      <c r="A118">
        <v>24</v>
      </c>
      <c r="B118">
        <v>4</v>
      </c>
      <c r="C118">
        <v>1984</v>
      </c>
      <c r="D118" s="112">
        <f t="shared" si="7"/>
        <v>30796</v>
      </c>
      <c r="E118">
        <v>21.1</v>
      </c>
      <c r="F118">
        <v>21.1</v>
      </c>
      <c r="G118" s="113">
        <v>5.9174427931100704</v>
      </c>
      <c r="H118" s="113">
        <f t="shared" si="8"/>
        <v>317.34974634831872</v>
      </c>
      <c r="I118" s="113">
        <v>8.4133399325130291</v>
      </c>
      <c r="J118" s="113">
        <f t="shared" si="9"/>
        <v>387.62530934923905</v>
      </c>
      <c r="K118" s="113">
        <v>5.3646598732379926</v>
      </c>
      <c r="L118" s="113">
        <f t="shared" si="10"/>
        <v>179.83186286881539</v>
      </c>
      <c r="M118" s="97">
        <v>5.4326568259318551</v>
      </c>
      <c r="N118" s="97">
        <f t="shared" si="11"/>
        <v>216.29919871558181</v>
      </c>
      <c r="O118" s="113">
        <v>3.1660465079045093</v>
      </c>
      <c r="P118" s="113">
        <f t="shared" si="12"/>
        <v>101.44087642279933</v>
      </c>
      <c r="Q118" s="113">
        <v>2.9833028348213375</v>
      </c>
      <c r="R118" s="113">
        <f t="shared" si="13"/>
        <v>89.538701567878888</v>
      </c>
    </row>
    <row r="119" spans="1:18" x14ac:dyDescent="0.2">
      <c r="A119">
        <v>25</v>
      </c>
      <c r="B119">
        <v>4</v>
      </c>
      <c r="C119">
        <v>1984</v>
      </c>
      <c r="D119" s="112">
        <f t="shared" si="7"/>
        <v>30797</v>
      </c>
      <c r="E119">
        <v>21.9</v>
      </c>
      <c r="F119">
        <v>21.9</v>
      </c>
      <c r="G119" s="113">
        <v>3.7526439260575954</v>
      </c>
      <c r="H119" s="113">
        <f t="shared" si="8"/>
        <v>321.10239027437632</v>
      </c>
      <c r="I119" s="113">
        <v>8.1000270798236915</v>
      </c>
      <c r="J119" s="113">
        <f t="shared" si="9"/>
        <v>395.72533642906274</v>
      </c>
      <c r="K119" s="113">
        <v>5.256084965364054</v>
      </c>
      <c r="L119" s="113">
        <f t="shared" si="10"/>
        <v>185.08794783417946</v>
      </c>
      <c r="M119" s="97">
        <v>5.32800548788674</v>
      </c>
      <c r="N119" s="97">
        <f t="shared" si="11"/>
        <v>221.62720420346855</v>
      </c>
      <c r="O119" s="113">
        <v>3.1079539942616288</v>
      </c>
      <c r="P119" s="113">
        <f t="shared" si="12"/>
        <v>104.54883041706097</v>
      </c>
      <c r="Q119" s="113">
        <v>2.7792364823108073</v>
      </c>
      <c r="R119" s="113">
        <f t="shared" si="13"/>
        <v>92.317938050189696</v>
      </c>
    </row>
    <row r="120" spans="1:18" x14ac:dyDescent="0.2">
      <c r="A120">
        <v>26</v>
      </c>
      <c r="B120">
        <v>4</v>
      </c>
      <c r="C120">
        <v>1984</v>
      </c>
      <c r="D120" s="112">
        <f t="shared" si="7"/>
        <v>30798</v>
      </c>
      <c r="E120">
        <v>23.3</v>
      </c>
      <c r="F120">
        <v>23.3</v>
      </c>
      <c r="G120" s="113">
        <v>6.9941518195812389</v>
      </c>
      <c r="H120" s="113">
        <f t="shared" si="8"/>
        <v>328.09654209395757</v>
      </c>
      <c r="I120" s="113">
        <v>9.6761116861158705</v>
      </c>
      <c r="J120" s="113">
        <f t="shared" si="9"/>
        <v>405.4014481151786</v>
      </c>
      <c r="K120" s="113">
        <v>6.2315123614322543</v>
      </c>
      <c r="L120" s="113">
        <f t="shared" si="10"/>
        <v>191.31946019561173</v>
      </c>
      <c r="M120" s="97">
        <v>6.3221143607818133</v>
      </c>
      <c r="N120" s="97">
        <f t="shared" si="11"/>
        <v>227.94931856425038</v>
      </c>
      <c r="O120" s="113">
        <v>3.82690698659141</v>
      </c>
      <c r="P120" s="113">
        <f t="shared" si="12"/>
        <v>108.37573740365238</v>
      </c>
      <c r="Q120" s="113">
        <v>3.5841347773754086</v>
      </c>
      <c r="R120" s="113">
        <f t="shared" si="13"/>
        <v>95.902072827565107</v>
      </c>
    </row>
    <row r="121" spans="1:18" x14ac:dyDescent="0.2">
      <c r="A121">
        <v>27</v>
      </c>
      <c r="B121">
        <v>4</v>
      </c>
      <c r="C121">
        <v>1984</v>
      </c>
      <c r="D121" s="112">
        <f t="shared" si="7"/>
        <v>30799</v>
      </c>
      <c r="E121">
        <v>21.1</v>
      </c>
      <c r="F121">
        <v>21.1</v>
      </c>
      <c r="G121" s="113">
        <v>5.1260305417025922</v>
      </c>
      <c r="H121" s="113">
        <f t="shared" si="8"/>
        <v>333.22257263566019</v>
      </c>
      <c r="I121" s="113">
        <v>7.8520213141568656</v>
      </c>
      <c r="J121" s="113">
        <f t="shared" si="9"/>
        <v>413.25346942933544</v>
      </c>
      <c r="K121" s="113">
        <v>5.0119444236047093</v>
      </c>
      <c r="L121" s="113">
        <f t="shared" si="10"/>
        <v>196.33140461921644</v>
      </c>
      <c r="M121" s="97">
        <v>5.0943129102197311</v>
      </c>
      <c r="N121" s="97">
        <f t="shared" si="11"/>
        <v>233.04363147447012</v>
      </c>
      <c r="O121" s="113">
        <v>2.885708577914821</v>
      </c>
      <c r="P121" s="113">
        <f t="shared" si="12"/>
        <v>111.26144598156721</v>
      </c>
      <c r="Q121" s="113">
        <v>2.7517738603313266</v>
      </c>
      <c r="R121" s="113">
        <f t="shared" si="13"/>
        <v>98.653846687896433</v>
      </c>
    </row>
    <row r="122" spans="1:18" x14ac:dyDescent="0.2">
      <c r="A122">
        <v>28</v>
      </c>
      <c r="B122">
        <v>4</v>
      </c>
      <c r="C122">
        <v>1984</v>
      </c>
      <c r="D122" s="112">
        <f t="shared" si="7"/>
        <v>30800</v>
      </c>
      <c r="E122">
        <v>24.1</v>
      </c>
      <c r="F122">
        <v>24.1</v>
      </c>
      <c r="G122" s="113">
        <v>5.6388831061863725</v>
      </c>
      <c r="H122" s="113">
        <f t="shared" si="8"/>
        <v>338.86145574184656</v>
      </c>
      <c r="I122" s="113">
        <v>9.6843761533915522</v>
      </c>
      <c r="J122" s="113">
        <f t="shared" si="9"/>
        <v>422.93784558272699</v>
      </c>
      <c r="K122" s="113">
        <v>6.2443242522194824</v>
      </c>
      <c r="L122" s="113">
        <f t="shared" si="10"/>
        <v>202.57572887143593</v>
      </c>
      <c r="M122" s="97">
        <v>6.3489861980190412</v>
      </c>
      <c r="N122" s="97">
        <f t="shared" si="11"/>
        <v>239.39261767248917</v>
      </c>
      <c r="O122" s="113">
        <v>3.1306714791266095</v>
      </c>
      <c r="P122" s="113">
        <f t="shared" si="12"/>
        <v>114.39211746069381</v>
      </c>
      <c r="Q122" s="113">
        <v>2.9503971506575808</v>
      </c>
      <c r="R122" s="113">
        <f t="shared" si="13"/>
        <v>101.60424383855401</v>
      </c>
    </row>
    <row r="123" spans="1:18" x14ac:dyDescent="0.2">
      <c r="A123">
        <v>29</v>
      </c>
      <c r="B123">
        <v>4</v>
      </c>
      <c r="C123">
        <v>1984</v>
      </c>
      <c r="D123" s="112">
        <f t="shared" si="7"/>
        <v>30801</v>
      </c>
      <c r="E123">
        <v>23.2</v>
      </c>
      <c r="F123">
        <v>23.2</v>
      </c>
      <c r="G123" s="113">
        <v>3.1815008316182096</v>
      </c>
      <c r="H123" s="113">
        <f t="shared" si="8"/>
        <v>342.04295657346478</v>
      </c>
      <c r="I123" s="113">
        <v>8.5656139616380749</v>
      </c>
      <c r="J123" s="113">
        <f t="shared" si="9"/>
        <v>431.50345954436506</v>
      </c>
      <c r="K123" s="113">
        <v>5.5202953929787961</v>
      </c>
      <c r="L123" s="113">
        <f t="shared" si="10"/>
        <v>208.09602426441472</v>
      </c>
      <c r="M123" s="97">
        <v>5.621107111194104</v>
      </c>
      <c r="N123" s="97">
        <f t="shared" si="11"/>
        <v>245.01372478368327</v>
      </c>
      <c r="O123" s="113">
        <v>2.5362919427437474</v>
      </c>
      <c r="P123" s="113">
        <f t="shared" si="12"/>
        <v>116.92840940343756</v>
      </c>
      <c r="Q123" s="113">
        <v>2.496464662928803</v>
      </c>
      <c r="R123" s="113">
        <f t="shared" si="13"/>
        <v>104.10070850148281</v>
      </c>
    </row>
    <row r="124" spans="1:18" x14ac:dyDescent="0.2">
      <c r="A124">
        <v>30</v>
      </c>
      <c r="B124">
        <v>4</v>
      </c>
      <c r="C124">
        <v>1984</v>
      </c>
      <c r="D124" s="112">
        <f t="shared" si="7"/>
        <v>30802</v>
      </c>
      <c r="E124">
        <v>19.8</v>
      </c>
      <c r="F124">
        <v>19.8</v>
      </c>
      <c r="G124" s="113">
        <v>4.2125831764857979</v>
      </c>
      <c r="H124" s="113">
        <f t="shared" si="8"/>
        <v>346.25553974995057</v>
      </c>
      <c r="I124" s="113">
        <v>7.0928056800641643</v>
      </c>
      <c r="J124" s="113">
        <f t="shared" si="9"/>
        <v>438.5962652244292</v>
      </c>
      <c r="K124" s="113">
        <v>4.4373514980166435</v>
      </c>
      <c r="L124" s="113">
        <f t="shared" si="10"/>
        <v>212.53337576243138</v>
      </c>
      <c r="M124" s="97">
        <v>4.530580772015802</v>
      </c>
      <c r="N124" s="97">
        <f t="shared" si="11"/>
        <v>249.54430555569908</v>
      </c>
      <c r="O124" s="113">
        <v>2.7090453668276933</v>
      </c>
      <c r="P124" s="113">
        <f t="shared" si="12"/>
        <v>119.63745477026525</v>
      </c>
      <c r="Q124" s="113">
        <v>2.6474139410630606</v>
      </c>
      <c r="R124" s="113">
        <f t="shared" si="13"/>
        <v>106.74812244254588</v>
      </c>
    </row>
    <row r="125" spans="1:18" x14ac:dyDescent="0.2">
      <c r="A125">
        <v>1</v>
      </c>
      <c r="B125">
        <v>5</v>
      </c>
      <c r="C125">
        <v>1984</v>
      </c>
      <c r="D125" s="112">
        <f t="shared" si="7"/>
        <v>30803</v>
      </c>
      <c r="E125">
        <v>17.899999999999999</v>
      </c>
      <c r="F125">
        <v>17.899999999999999</v>
      </c>
      <c r="G125" s="113">
        <v>3.0820497234388537</v>
      </c>
      <c r="H125" s="113">
        <f t="shared" si="8"/>
        <v>349.33758947338941</v>
      </c>
      <c r="I125" s="113">
        <v>5.778605953069234</v>
      </c>
      <c r="J125" s="113">
        <f t="shared" si="9"/>
        <v>444.37487117749845</v>
      </c>
      <c r="K125" s="113">
        <v>3.5655603580714827</v>
      </c>
      <c r="L125" s="113">
        <f t="shared" si="10"/>
        <v>216.09893612050286</v>
      </c>
      <c r="M125" s="97">
        <v>3.6501318503850051</v>
      </c>
      <c r="N125" s="97">
        <f t="shared" si="11"/>
        <v>253.19443740608409</v>
      </c>
      <c r="O125" s="113">
        <v>2.4573618388350864</v>
      </c>
      <c r="P125" s="113">
        <f t="shared" si="12"/>
        <v>122.09481660910033</v>
      </c>
      <c r="Q125" s="113">
        <v>2.5849378462822288</v>
      </c>
      <c r="R125" s="113">
        <f t="shared" si="13"/>
        <v>109.33306028882811</v>
      </c>
    </row>
    <row r="126" spans="1:18" x14ac:dyDescent="0.2">
      <c r="A126">
        <v>2</v>
      </c>
      <c r="B126">
        <v>5</v>
      </c>
      <c r="C126">
        <v>1984</v>
      </c>
      <c r="D126" s="112">
        <f t="shared" si="7"/>
        <v>30804</v>
      </c>
      <c r="E126">
        <v>19.7</v>
      </c>
      <c r="F126">
        <v>19.7</v>
      </c>
      <c r="G126" s="113">
        <v>5.7578035102794596</v>
      </c>
      <c r="H126" s="113">
        <f t="shared" si="8"/>
        <v>355.09539298366889</v>
      </c>
      <c r="I126" s="113">
        <v>6.9602926334649569</v>
      </c>
      <c r="J126" s="113">
        <f t="shared" si="9"/>
        <v>451.33516381096342</v>
      </c>
      <c r="K126" s="113">
        <v>4.3511331799900121</v>
      </c>
      <c r="L126" s="113">
        <f t="shared" si="10"/>
        <v>220.45006930049286</v>
      </c>
      <c r="M126" s="97">
        <v>4.4549521796397524</v>
      </c>
      <c r="N126" s="97">
        <f t="shared" si="11"/>
        <v>257.64938958572384</v>
      </c>
      <c r="O126" s="113">
        <v>3.128572444417387</v>
      </c>
      <c r="P126" s="113">
        <f t="shared" si="12"/>
        <v>125.22338905351772</v>
      </c>
      <c r="Q126" s="113">
        <v>3.1144283080488488</v>
      </c>
      <c r="R126" s="113">
        <f t="shared" si="13"/>
        <v>112.44748859687695</v>
      </c>
    </row>
    <row r="127" spans="1:18" x14ac:dyDescent="0.2">
      <c r="A127">
        <v>3</v>
      </c>
      <c r="B127">
        <v>5</v>
      </c>
      <c r="C127">
        <v>1984</v>
      </c>
      <c r="D127" s="112">
        <f t="shared" si="7"/>
        <v>30805</v>
      </c>
      <c r="E127">
        <v>8.8000000000000007</v>
      </c>
      <c r="F127">
        <v>8.8000000000000007</v>
      </c>
      <c r="G127" s="113">
        <v>3.508433590794469</v>
      </c>
      <c r="H127" s="113">
        <f t="shared" si="8"/>
        <v>358.60382657446337</v>
      </c>
      <c r="I127" s="113">
        <v>1.7590619355967723</v>
      </c>
      <c r="J127" s="113">
        <f t="shared" si="9"/>
        <v>453.0942257465602</v>
      </c>
      <c r="K127" s="113">
        <v>0.61367709553767191</v>
      </c>
      <c r="L127" s="113">
        <f t="shared" si="10"/>
        <v>221.06374639603052</v>
      </c>
      <c r="M127" s="97">
        <v>0.6605742458449817</v>
      </c>
      <c r="N127" s="97">
        <f t="shared" si="11"/>
        <v>258.30996383156884</v>
      </c>
      <c r="O127" s="113">
        <v>1.4306081916198241</v>
      </c>
      <c r="P127" s="113">
        <f t="shared" si="12"/>
        <v>126.65399724513755</v>
      </c>
      <c r="Q127" s="113">
        <v>1.5085358836471223</v>
      </c>
      <c r="R127" s="113">
        <f t="shared" si="13"/>
        <v>113.95602448052408</v>
      </c>
    </row>
    <row r="128" spans="1:18" x14ac:dyDescent="0.2">
      <c r="A128">
        <v>4</v>
      </c>
      <c r="B128">
        <v>5</v>
      </c>
      <c r="C128">
        <v>1984</v>
      </c>
      <c r="D128" s="112">
        <f t="shared" si="7"/>
        <v>30806</v>
      </c>
      <c r="E128">
        <v>15.7</v>
      </c>
      <c r="F128">
        <v>15.7</v>
      </c>
      <c r="G128" s="113">
        <v>0.69470387840733938</v>
      </c>
      <c r="H128" s="113">
        <f t="shared" si="8"/>
        <v>359.29853045287069</v>
      </c>
      <c r="I128" s="113">
        <v>4.499543608885916</v>
      </c>
      <c r="J128" s="113">
        <f t="shared" si="9"/>
        <v>457.59376935544611</v>
      </c>
      <c r="K128" s="113">
        <v>2.6605041060598031</v>
      </c>
      <c r="L128" s="113">
        <f t="shared" si="10"/>
        <v>223.72425050209031</v>
      </c>
      <c r="M128" s="97">
        <v>2.7430065000928936</v>
      </c>
      <c r="N128" s="97">
        <f t="shared" si="11"/>
        <v>261.05297033166175</v>
      </c>
      <c r="O128" s="113">
        <v>1.7265689325590934</v>
      </c>
      <c r="P128" s="113">
        <f t="shared" si="12"/>
        <v>128.38056617769664</v>
      </c>
      <c r="Q128" s="113">
        <v>1.6810854774892157</v>
      </c>
      <c r="R128" s="113">
        <f t="shared" si="13"/>
        <v>115.6371099580133</v>
      </c>
    </row>
    <row r="129" spans="1:18" x14ac:dyDescent="0.2">
      <c r="A129">
        <v>5</v>
      </c>
      <c r="B129">
        <v>5</v>
      </c>
      <c r="C129">
        <v>1984</v>
      </c>
      <c r="D129" s="112">
        <f t="shared" si="7"/>
        <v>30807</v>
      </c>
      <c r="E129">
        <v>15.8</v>
      </c>
      <c r="F129">
        <v>15.8</v>
      </c>
      <c r="G129" s="113">
        <v>3.3567847748107118</v>
      </c>
      <c r="H129" s="113">
        <f t="shared" si="8"/>
        <v>362.6553152276814</v>
      </c>
      <c r="I129" s="113">
        <v>4.7842456899902475</v>
      </c>
      <c r="J129" s="113">
        <f t="shared" si="9"/>
        <v>462.37801504543637</v>
      </c>
      <c r="K129" s="113">
        <v>2.8082125606168908</v>
      </c>
      <c r="L129" s="113">
        <f t="shared" si="10"/>
        <v>226.53246306270719</v>
      </c>
      <c r="M129" s="97">
        <v>2.8996427405001817</v>
      </c>
      <c r="N129" s="97">
        <f t="shared" si="11"/>
        <v>263.95261307216191</v>
      </c>
      <c r="O129" s="113">
        <v>2.1810184806609567</v>
      </c>
      <c r="P129" s="113">
        <f t="shared" si="12"/>
        <v>130.56158465835759</v>
      </c>
      <c r="Q129" s="113">
        <v>2.2860635119207178</v>
      </c>
      <c r="R129" s="113">
        <f t="shared" si="13"/>
        <v>117.92317346993401</v>
      </c>
    </row>
    <row r="130" spans="1:18" x14ac:dyDescent="0.2">
      <c r="A130">
        <v>6</v>
      </c>
      <c r="B130">
        <v>5</v>
      </c>
      <c r="C130">
        <v>1984</v>
      </c>
      <c r="D130" s="112">
        <f t="shared" si="7"/>
        <v>30808</v>
      </c>
      <c r="E130">
        <v>9.9</v>
      </c>
      <c r="F130">
        <v>9.9</v>
      </c>
      <c r="G130" s="113">
        <v>5.0177880326805173</v>
      </c>
      <c r="H130" s="113">
        <f t="shared" si="8"/>
        <v>367.67310326036193</v>
      </c>
      <c r="I130" s="113">
        <v>2.2454269886614817</v>
      </c>
      <c r="J130" s="113">
        <f t="shared" si="9"/>
        <v>464.62344203409788</v>
      </c>
      <c r="K130" s="113">
        <v>0.93901724110230556</v>
      </c>
      <c r="L130" s="113">
        <f t="shared" si="10"/>
        <v>227.4714803038095</v>
      </c>
      <c r="M130" s="97">
        <v>1.0008380911679113</v>
      </c>
      <c r="N130" s="97">
        <f t="shared" si="11"/>
        <v>264.95345116332982</v>
      </c>
      <c r="O130" s="113">
        <v>2.2815021474775086</v>
      </c>
      <c r="P130" s="113">
        <f t="shared" si="12"/>
        <v>132.8430868058351</v>
      </c>
      <c r="Q130" s="113">
        <v>2.7347003024458547</v>
      </c>
      <c r="R130" s="113">
        <f t="shared" si="13"/>
        <v>120.65787377237987</v>
      </c>
    </row>
    <row r="131" spans="1:18" x14ac:dyDescent="0.2">
      <c r="A131">
        <v>7</v>
      </c>
      <c r="B131">
        <v>5</v>
      </c>
      <c r="C131">
        <v>1984</v>
      </c>
      <c r="D131" s="112">
        <f t="shared" si="7"/>
        <v>30809</v>
      </c>
      <c r="E131">
        <v>9.1999999999999993</v>
      </c>
      <c r="F131">
        <v>9.1999999999999993</v>
      </c>
      <c r="G131" s="113">
        <v>4.2109135933819504</v>
      </c>
      <c r="H131" s="113">
        <f t="shared" si="8"/>
        <v>371.8840168537439</v>
      </c>
      <c r="I131" s="113">
        <v>1.8976064406481326</v>
      </c>
      <c r="J131" s="113">
        <f t="shared" si="9"/>
        <v>466.52104847474601</v>
      </c>
      <c r="K131" s="113">
        <v>0.68732135656342808</v>
      </c>
      <c r="L131" s="113">
        <f t="shared" si="10"/>
        <v>228.15880166037292</v>
      </c>
      <c r="M131" s="97">
        <v>0.74672129078870808</v>
      </c>
      <c r="N131" s="97">
        <f t="shared" si="11"/>
        <v>265.7001724541185</v>
      </c>
      <c r="O131" s="113">
        <v>1.7259728225828954</v>
      </c>
      <c r="P131" s="113">
        <f t="shared" si="12"/>
        <v>134.56905962841799</v>
      </c>
      <c r="Q131" s="113">
        <v>1.9958597078521856</v>
      </c>
      <c r="R131" s="113">
        <f t="shared" si="13"/>
        <v>122.65373348023206</v>
      </c>
    </row>
    <row r="132" spans="1:18" x14ac:dyDescent="0.2">
      <c r="A132">
        <v>8</v>
      </c>
      <c r="B132">
        <v>5</v>
      </c>
      <c r="C132">
        <v>1984</v>
      </c>
      <c r="D132" s="112">
        <f t="shared" si="7"/>
        <v>30810</v>
      </c>
      <c r="E132">
        <v>11.3</v>
      </c>
      <c r="F132">
        <v>11.3</v>
      </c>
      <c r="G132" s="113">
        <v>4.9719309169388852</v>
      </c>
      <c r="H132" s="113">
        <f t="shared" si="8"/>
        <v>376.8559477706828</v>
      </c>
      <c r="I132" s="113">
        <v>2.9123037335940727</v>
      </c>
      <c r="J132" s="113">
        <f t="shared" si="9"/>
        <v>469.43335220834007</v>
      </c>
      <c r="K132" s="113">
        <v>1.3849725650602376</v>
      </c>
      <c r="L132" s="113">
        <f t="shared" si="10"/>
        <v>229.54377422543314</v>
      </c>
      <c r="M132" s="97">
        <v>1.4626536051788626</v>
      </c>
      <c r="N132" s="97">
        <f t="shared" si="11"/>
        <v>267.16282605929734</v>
      </c>
      <c r="O132" s="113">
        <v>1.7840401112919124</v>
      </c>
      <c r="P132" s="113">
        <f t="shared" si="12"/>
        <v>136.3530997397099</v>
      </c>
      <c r="Q132" s="113">
        <v>1.8636074769002484</v>
      </c>
      <c r="R132" s="113">
        <f t="shared" si="13"/>
        <v>124.5173409571323</v>
      </c>
    </row>
    <row r="133" spans="1:18" x14ac:dyDescent="0.2">
      <c r="A133">
        <v>9</v>
      </c>
      <c r="B133">
        <v>5</v>
      </c>
      <c r="C133">
        <v>1984</v>
      </c>
      <c r="D133" s="112">
        <f t="shared" si="7"/>
        <v>30811</v>
      </c>
      <c r="E133">
        <v>15.2</v>
      </c>
      <c r="F133">
        <v>15.2</v>
      </c>
      <c r="G133" s="113">
        <v>3.2000334579518359</v>
      </c>
      <c r="H133" s="113">
        <f t="shared" si="8"/>
        <v>380.05598122863466</v>
      </c>
      <c r="I133" s="113">
        <v>4.5012575940146364</v>
      </c>
      <c r="J133" s="113">
        <f t="shared" si="9"/>
        <v>473.93460980235471</v>
      </c>
      <c r="K133" s="113">
        <v>2.5627671006568584</v>
      </c>
      <c r="L133" s="113">
        <f t="shared" si="10"/>
        <v>232.10654132609</v>
      </c>
      <c r="M133" s="97">
        <v>2.6673152022332682</v>
      </c>
      <c r="N133" s="97">
        <f t="shared" si="11"/>
        <v>269.83014126153063</v>
      </c>
      <c r="O133" s="113">
        <v>1.9128730134532081</v>
      </c>
      <c r="P133" s="113">
        <f t="shared" si="12"/>
        <v>138.26597275316311</v>
      </c>
      <c r="Q133" s="113">
        <v>1.8077898339153922</v>
      </c>
      <c r="R133" s="113">
        <f t="shared" si="13"/>
        <v>126.3251307910477</v>
      </c>
    </row>
    <row r="134" spans="1:18" x14ac:dyDescent="0.2">
      <c r="A134">
        <v>10</v>
      </c>
      <c r="B134">
        <v>5</v>
      </c>
      <c r="C134">
        <v>1984</v>
      </c>
      <c r="D134" s="112">
        <f t="shared" ref="D134:D197" si="14">DATE(C134,B134,A134)</f>
        <v>30812</v>
      </c>
      <c r="E134">
        <v>10.8</v>
      </c>
      <c r="F134">
        <v>10.8</v>
      </c>
      <c r="G134" s="113">
        <v>4.0943121487798946</v>
      </c>
      <c r="H134" s="113">
        <f t="shared" si="8"/>
        <v>384.15029337741458</v>
      </c>
      <c r="I134" s="113">
        <v>2.4685633999291992</v>
      </c>
      <c r="J134" s="113">
        <f t="shared" si="9"/>
        <v>476.40317320228394</v>
      </c>
      <c r="K134" s="113">
        <v>1.1238491036321789</v>
      </c>
      <c r="L134" s="113">
        <f t="shared" si="10"/>
        <v>233.23039042972218</v>
      </c>
      <c r="M134" s="97">
        <v>1.1995777037090782</v>
      </c>
      <c r="N134" s="97">
        <f t="shared" si="11"/>
        <v>271.02971896523968</v>
      </c>
      <c r="O134" s="113">
        <v>1.8877956778661638</v>
      </c>
      <c r="P134" s="113">
        <f t="shared" si="12"/>
        <v>140.15376843102928</v>
      </c>
      <c r="Q134" s="113">
        <v>2.0399334946708989</v>
      </c>
      <c r="R134" s="113">
        <f t="shared" si="13"/>
        <v>128.3650642857186</v>
      </c>
    </row>
    <row r="135" spans="1:18" x14ac:dyDescent="0.2">
      <c r="A135">
        <v>11</v>
      </c>
      <c r="B135">
        <v>5</v>
      </c>
      <c r="C135">
        <v>1984</v>
      </c>
      <c r="D135" s="112">
        <f t="shared" si="14"/>
        <v>30813</v>
      </c>
      <c r="E135">
        <v>18.8</v>
      </c>
      <c r="F135">
        <v>18.8</v>
      </c>
      <c r="G135" s="113">
        <v>1.6714182171655056</v>
      </c>
      <c r="H135" s="113">
        <f t="shared" ref="H135:H198" si="15">H134+G135</f>
        <v>385.82171159458011</v>
      </c>
      <c r="I135" s="113">
        <v>5.6841491161130309</v>
      </c>
      <c r="J135" s="113">
        <f t="shared" ref="J135:J198" si="16">J134+I135</f>
        <v>482.08732231839696</v>
      </c>
      <c r="K135" s="113">
        <v>3.473592530530873</v>
      </c>
      <c r="L135" s="113">
        <f t="shared" ref="L135:L198" si="17">L134+K135</f>
        <v>236.70398296025306</v>
      </c>
      <c r="M135" s="97">
        <v>3.6049227874734591</v>
      </c>
      <c r="N135" s="97">
        <f t="shared" ref="N135:N198" si="18">N134+M135</f>
        <v>274.63464175271315</v>
      </c>
      <c r="O135" s="113">
        <v>1.8600955942282753</v>
      </c>
      <c r="P135" s="113">
        <f t="shared" ref="P135:P198" si="19">P134+O135</f>
        <v>142.01386402525756</v>
      </c>
      <c r="Q135" s="113">
        <v>2.1836536609374364</v>
      </c>
      <c r="R135" s="113">
        <f t="shared" ref="R135:R198" si="20">R134+Q135</f>
        <v>130.54871794665604</v>
      </c>
    </row>
    <row r="136" spans="1:18" x14ac:dyDescent="0.2">
      <c r="A136">
        <v>12</v>
      </c>
      <c r="B136">
        <v>5</v>
      </c>
      <c r="C136">
        <v>1984</v>
      </c>
      <c r="D136" s="112">
        <f t="shared" si="14"/>
        <v>30814</v>
      </c>
      <c r="E136">
        <v>22.8</v>
      </c>
      <c r="F136">
        <v>22.8</v>
      </c>
      <c r="G136" s="113">
        <v>2.4791845854082473</v>
      </c>
      <c r="H136" s="113">
        <f t="shared" si="15"/>
        <v>388.30089617998834</v>
      </c>
      <c r="I136" s="113">
        <v>7.4142318882562614</v>
      </c>
      <c r="J136" s="113">
        <f t="shared" si="16"/>
        <v>489.50155420665322</v>
      </c>
      <c r="K136" s="113">
        <v>4.709100655962648</v>
      </c>
      <c r="L136" s="113">
        <f t="shared" si="17"/>
        <v>241.41308361621572</v>
      </c>
      <c r="M136" s="97">
        <v>4.8756015089302922</v>
      </c>
      <c r="N136" s="97">
        <f t="shared" si="18"/>
        <v>279.51024326164344</v>
      </c>
      <c r="O136" s="113">
        <v>2.3336453036993978</v>
      </c>
      <c r="P136" s="113">
        <f t="shared" si="19"/>
        <v>144.34750932895696</v>
      </c>
      <c r="Q136" s="113">
        <v>2.6739451016559532</v>
      </c>
      <c r="R136" s="113">
        <f t="shared" si="20"/>
        <v>133.222663048312</v>
      </c>
    </row>
    <row r="137" spans="1:18" x14ac:dyDescent="0.2">
      <c r="A137">
        <v>13</v>
      </c>
      <c r="B137">
        <v>5</v>
      </c>
      <c r="C137">
        <v>1984</v>
      </c>
      <c r="D137" s="112">
        <f t="shared" si="14"/>
        <v>30815</v>
      </c>
      <c r="E137">
        <v>26.6</v>
      </c>
      <c r="F137">
        <v>26.6</v>
      </c>
      <c r="G137" s="113">
        <v>3.3264996922166961</v>
      </c>
      <c r="H137" s="113">
        <f t="shared" si="15"/>
        <v>391.62739587220506</v>
      </c>
      <c r="I137" s="113">
        <v>9.1071932283278443</v>
      </c>
      <c r="J137" s="113">
        <f t="shared" si="16"/>
        <v>498.60874743498107</v>
      </c>
      <c r="K137" s="113">
        <v>5.9164149217650923</v>
      </c>
      <c r="L137" s="113">
        <f t="shared" si="17"/>
        <v>247.32949853798081</v>
      </c>
      <c r="M137" s="97">
        <v>6.1195038172219016</v>
      </c>
      <c r="N137" s="97">
        <f t="shared" si="18"/>
        <v>285.62974707886536</v>
      </c>
      <c r="O137" s="113">
        <v>2.8873342258707084</v>
      </c>
      <c r="P137" s="113">
        <f t="shared" si="19"/>
        <v>147.23484355482768</v>
      </c>
      <c r="Q137" s="113">
        <v>2.988622201151085</v>
      </c>
      <c r="R137" s="113">
        <f t="shared" si="20"/>
        <v>136.21128524946309</v>
      </c>
    </row>
    <row r="138" spans="1:18" x14ac:dyDescent="0.2">
      <c r="A138">
        <v>14</v>
      </c>
      <c r="B138">
        <v>5</v>
      </c>
      <c r="C138">
        <v>1984</v>
      </c>
      <c r="D138" s="112">
        <f t="shared" si="14"/>
        <v>30816</v>
      </c>
      <c r="E138">
        <v>25.4</v>
      </c>
      <c r="F138">
        <v>25.4</v>
      </c>
      <c r="G138" s="113">
        <v>3.3338631902915732</v>
      </c>
      <c r="H138" s="113">
        <f t="shared" si="15"/>
        <v>394.96125906249665</v>
      </c>
      <c r="I138" s="113">
        <v>8.6292506596000997</v>
      </c>
      <c r="J138" s="113">
        <f t="shared" si="16"/>
        <v>507.23799809458114</v>
      </c>
      <c r="K138" s="113">
        <v>5.5637241863692637</v>
      </c>
      <c r="L138" s="113">
        <f t="shared" si="17"/>
        <v>252.89322272435007</v>
      </c>
      <c r="M138" s="97">
        <v>5.7649297973567872</v>
      </c>
      <c r="N138" s="97">
        <f t="shared" si="18"/>
        <v>291.39467687622215</v>
      </c>
      <c r="O138" s="113">
        <v>2.9009832313325803</v>
      </c>
      <c r="P138" s="113">
        <f t="shared" si="19"/>
        <v>150.13582678616027</v>
      </c>
      <c r="Q138" s="113">
        <v>2.7355848174334279</v>
      </c>
      <c r="R138" s="113">
        <f t="shared" si="20"/>
        <v>138.94687006689651</v>
      </c>
    </row>
    <row r="139" spans="1:18" x14ac:dyDescent="0.2">
      <c r="A139">
        <v>15</v>
      </c>
      <c r="B139">
        <v>5</v>
      </c>
      <c r="C139">
        <v>1984</v>
      </c>
      <c r="D139" s="112">
        <f t="shared" si="14"/>
        <v>30817</v>
      </c>
      <c r="E139">
        <v>17.7</v>
      </c>
      <c r="F139">
        <v>17.7</v>
      </c>
      <c r="G139" s="113">
        <v>5.3100107276071915</v>
      </c>
      <c r="H139" s="113">
        <f t="shared" si="15"/>
        <v>400.27126979010382</v>
      </c>
      <c r="I139" s="113">
        <v>5.3764633900399295</v>
      </c>
      <c r="J139" s="113">
        <f t="shared" si="16"/>
        <v>512.61446148462107</v>
      </c>
      <c r="K139" s="113">
        <v>3.2109974491658053</v>
      </c>
      <c r="L139" s="113">
        <f t="shared" si="17"/>
        <v>256.1042201735159</v>
      </c>
      <c r="M139" s="97">
        <v>3.3571036974259991</v>
      </c>
      <c r="N139" s="97">
        <f t="shared" si="18"/>
        <v>294.75178057364815</v>
      </c>
      <c r="O139" s="113">
        <v>2.8006925605120094</v>
      </c>
      <c r="P139" s="113">
        <f t="shared" si="19"/>
        <v>152.93651934667227</v>
      </c>
      <c r="Q139" s="113">
        <v>2.855869732309682</v>
      </c>
      <c r="R139" s="113">
        <f t="shared" si="20"/>
        <v>141.80273979920619</v>
      </c>
    </row>
    <row r="140" spans="1:18" x14ac:dyDescent="0.2">
      <c r="A140">
        <v>16</v>
      </c>
      <c r="B140">
        <v>5</v>
      </c>
      <c r="C140">
        <v>1984</v>
      </c>
      <c r="D140" s="112">
        <f t="shared" si="14"/>
        <v>30818</v>
      </c>
      <c r="E140">
        <v>11.4</v>
      </c>
      <c r="F140">
        <v>11.4</v>
      </c>
      <c r="G140" s="113">
        <v>4.396965940402386</v>
      </c>
      <c r="H140" s="113">
        <f t="shared" si="15"/>
        <v>404.66823573050618</v>
      </c>
      <c r="I140" s="113">
        <v>2.5406896482851891</v>
      </c>
      <c r="J140" s="113">
        <f t="shared" si="16"/>
        <v>515.15515113290621</v>
      </c>
      <c r="K140" s="113">
        <v>1.191652727230224</v>
      </c>
      <c r="L140" s="113">
        <f t="shared" si="17"/>
        <v>257.29587290074613</v>
      </c>
      <c r="M140" s="97">
        <v>1.2851000905544943</v>
      </c>
      <c r="N140" s="97">
        <f t="shared" si="18"/>
        <v>296.03688066420267</v>
      </c>
      <c r="O140" s="113">
        <v>2.0478730601629902</v>
      </c>
      <c r="P140" s="113">
        <f t="shared" si="19"/>
        <v>154.98439240683527</v>
      </c>
      <c r="Q140" s="113">
        <v>2.1687972522923489</v>
      </c>
      <c r="R140" s="113">
        <f t="shared" si="20"/>
        <v>143.97153705149853</v>
      </c>
    </row>
    <row r="141" spans="1:18" x14ac:dyDescent="0.2">
      <c r="A141">
        <v>17</v>
      </c>
      <c r="B141">
        <v>5</v>
      </c>
      <c r="C141">
        <v>1984</v>
      </c>
      <c r="D141" s="112">
        <f t="shared" si="14"/>
        <v>30819</v>
      </c>
      <c r="E141">
        <v>6.6</v>
      </c>
      <c r="F141">
        <v>6.6</v>
      </c>
      <c r="G141" s="113">
        <v>2.7569730559913972</v>
      </c>
      <c r="H141" s="113">
        <f t="shared" si="15"/>
        <v>407.42520878649759</v>
      </c>
      <c r="I141" s="113">
        <v>0.97240481237819132</v>
      </c>
      <c r="J141" s="113">
        <f t="shared" si="16"/>
        <v>516.12755594528437</v>
      </c>
      <c r="K141" s="113">
        <v>-0.25645041706818844</v>
      </c>
      <c r="L141" s="113">
        <f t="shared" si="17"/>
        <v>257.03942248367792</v>
      </c>
      <c r="M141" s="97">
        <v>-0.20202683061516302</v>
      </c>
      <c r="N141" s="97">
        <f t="shared" si="18"/>
        <v>295.83485383358749</v>
      </c>
      <c r="O141" s="113">
        <v>1.2498094332646792</v>
      </c>
      <c r="P141" s="113">
        <f t="shared" si="19"/>
        <v>156.23420184009996</v>
      </c>
      <c r="Q141" s="113">
        <v>1.2940096571298703</v>
      </c>
      <c r="R141" s="113">
        <f t="shared" si="20"/>
        <v>145.26554670862839</v>
      </c>
    </row>
    <row r="142" spans="1:18" x14ac:dyDescent="0.2">
      <c r="A142">
        <v>18</v>
      </c>
      <c r="B142">
        <v>5</v>
      </c>
      <c r="C142">
        <v>1984</v>
      </c>
      <c r="D142" s="112">
        <f t="shared" si="14"/>
        <v>30820</v>
      </c>
      <c r="E142">
        <v>3.8</v>
      </c>
      <c r="F142">
        <v>3.8</v>
      </c>
      <c r="G142" s="113">
        <v>1.6657146762331938</v>
      </c>
      <c r="H142" s="113">
        <f t="shared" si="15"/>
        <v>409.09092346273081</v>
      </c>
      <c r="I142" s="113">
        <v>0.96032097018981188</v>
      </c>
      <c r="J142" s="113">
        <f t="shared" si="16"/>
        <v>517.08787691547423</v>
      </c>
      <c r="K142" s="113">
        <v>-1.0718472352529433</v>
      </c>
      <c r="L142" s="113">
        <f t="shared" si="17"/>
        <v>255.96757524842499</v>
      </c>
      <c r="M142" s="97">
        <v>-1.0401998089074249</v>
      </c>
      <c r="N142" s="97">
        <f t="shared" si="18"/>
        <v>294.79465402468009</v>
      </c>
      <c r="O142" s="113">
        <v>0.88193611302121788</v>
      </c>
      <c r="P142" s="113">
        <f t="shared" si="19"/>
        <v>157.11613795312118</v>
      </c>
      <c r="Q142" s="113">
        <v>0.61204771393979818</v>
      </c>
      <c r="R142" s="113">
        <f t="shared" si="20"/>
        <v>145.87759442256819</v>
      </c>
    </row>
    <row r="143" spans="1:18" x14ac:dyDescent="0.2">
      <c r="A143">
        <v>19</v>
      </c>
      <c r="B143">
        <v>5</v>
      </c>
      <c r="C143">
        <v>1984</v>
      </c>
      <c r="D143" s="112">
        <f t="shared" si="14"/>
        <v>30821</v>
      </c>
      <c r="E143">
        <v>13.5</v>
      </c>
      <c r="F143">
        <v>13.5</v>
      </c>
      <c r="G143" s="113">
        <v>1.8686276393528769</v>
      </c>
      <c r="H143" s="113">
        <f t="shared" si="15"/>
        <v>410.95955110208371</v>
      </c>
      <c r="I143" s="113">
        <v>3.1726432966227112</v>
      </c>
      <c r="J143" s="113">
        <f t="shared" si="16"/>
        <v>520.26052021209694</v>
      </c>
      <c r="K143" s="113">
        <v>1.691317646766934</v>
      </c>
      <c r="L143" s="113">
        <f t="shared" si="17"/>
        <v>257.65889289519191</v>
      </c>
      <c r="M143" s="97">
        <v>1.8044451222408913</v>
      </c>
      <c r="N143" s="97">
        <f t="shared" si="18"/>
        <v>296.59909914692099</v>
      </c>
      <c r="O143" s="113">
        <v>1.8790390287525625</v>
      </c>
      <c r="P143" s="113">
        <f t="shared" si="19"/>
        <v>158.99517698187375</v>
      </c>
      <c r="Q143" s="113">
        <v>1.8049384014664021</v>
      </c>
      <c r="R143" s="113">
        <f t="shared" si="20"/>
        <v>147.68253282403461</v>
      </c>
    </row>
    <row r="144" spans="1:18" x14ac:dyDescent="0.2">
      <c r="A144">
        <v>20</v>
      </c>
      <c r="B144">
        <v>5</v>
      </c>
      <c r="C144">
        <v>1984</v>
      </c>
      <c r="D144" s="112">
        <f t="shared" si="14"/>
        <v>30822</v>
      </c>
      <c r="E144">
        <v>13.9</v>
      </c>
      <c r="F144">
        <v>13.9</v>
      </c>
      <c r="G144" s="113">
        <v>1.9822695510938748</v>
      </c>
      <c r="H144" s="113">
        <f t="shared" si="15"/>
        <v>412.94182065317756</v>
      </c>
      <c r="I144" s="113">
        <v>3.3055219386128276</v>
      </c>
      <c r="J144" s="113">
        <f t="shared" si="16"/>
        <v>523.56604215070979</v>
      </c>
      <c r="K144" s="113">
        <v>1.786892649012114</v>
      </c>
      <c r="L144" s="113">
        <f t="shared" si="17"/>
        <v>259.445785544204</v>
      </c>
      <c r="M144" s="97">
        <v>1.9056661928631566</v>
      </c>
      <c r="N144" s="97">
        <f t="shared" si="18"/>
        <v>298.50476533978417</v>
      </c>
      <c r="O144" s="113">
        <v>1.8679423478752917</v>
      </c>
      <c r="P144" s="113">
        <f t="shared" si="19"/>
        <v>160.86311932974905</v>
      </c>
      <c r="Q144" s="113">
        <v>1.9360227108734598</v>
      </c>
      <c r="R144" s="113">
        <f t="shared" si="20"/>
        <v>149.61855553490807</v>
      </c>
    </row>
    <row r="145" spans="1:18" x14ac:dyDescent="0.2">
      <c r="A145">
        <v>21</v>
      </c>
      <c r="B145">
        <v>5</v>
      </c>
      <c r="C145">
        <v>1984</v>
      </c>
      <c r="D145" s="112">
        <f t="shared" si="14"/>
        <v>30823</v>
      </c>
      <c r="E145">
        <v>9.1</v>
      </c>
      <c r="F145">
        <v>9.1</v>
      </c>
      <c r="G145" s="113">
        <v>5.2568616880668504</v>
      </c>
      <c r="H145" s="113">
        <f t="shared" si="15"/>
        <v>418.19868234124442</v>
      </c>
      <c r="I145" s="113">
        <v>1.5616290372242405</v>
      </c>
      <c r="J145" s="113">
        <f t="shared" si="16"/>
        <v>525.12767118793408</v>
      </c>
      <c r="K145" s="113">
        <v>0.45461846218064217</v>
      </c>
      <c r="L145" s="113">
        <f t="shared" si="17"/>
        <v>259.90040400638463</v>
      </c>
      <c r="M145" s="97">
        <v>0.54014040665598828</v>
      </c>
      <c r="N145" s="97">
        <f t="shared" si="18"/>
        <v>299.04490574644018</v>
      </c>
      <c r="O145" s="113">
        <v>2.2008397985375558</v>
      </c>
      <c r="P145" s="113">
        <f t="shared" si="19"/>
        <v>163.0639591282866</v>
      </c>
      <c r="Q145" s="113">
        <v>2.4024510480518084</v>
      </c>
      <c r="R145" s="113">
        <f t="shared" si="20"/>
        <v>152.02100658295987</v>
      </c>
    </row>
    <row r="146" spans="1:18" x14ac:dyDescent="0.2">
      <c r="A146">
        <v>22</v>
      </c>
      <c r="B146">
        <v>5</v>
      </c>
      <c r="C146">
        <v>1984</v>
      </c>
      <c r="D146" s="112">
        <f t="shared" si="14"/>
        <v>30824</v>
      </c>
      <c r="E146">
        <v>3.2</v>
      </c>
      <c r="F146">
        <v>3.2</v>
      </c>
      <c r="G146" s="113">
        <v>1.0437073344010512</v>
      </c>
      <c r="H146" s="113">
        <f t="shared" si="15"/>
        <v>419.24238967564548</v>
      </c>
      <c r="I146" s="113">
        <v>0.9033084196939859</v>
      </c>
      <c r="J146" s="113">
        <f t="shared" si="16"/>
        <v>526.03097960762807</v>
      </c>
      <c r="K146" s="113">
        <v>-1.2020217586777249</v>
      </c>
      <c r="L146" s="113">
        <f t="shared" si="17"/>
        <v>258.69838224770689</v>
      </c>
      <c r="M146" s="97">
        <v>-1.17451809326732</v>
      </c>
      <c r="N146" s="97">
        <f t="shared" si="18"/>
        <v>297.87038765317288</v>
      </c>
      <c r="O146" s="113">
        <v>0.85732309587010402</v>
      </c>
      <c r="P146" s="113">
        <f t="shared" si="19"/>
        <v>163.9212822241567</v>
      </c>
      <c r="Q146" s="113">
        <v>0.66047491113397738</v>
      </c>
      <c r="R146" s="113">
        <f t="shared" si="20"/>
        <v>152.68148149409384</v>
      </c>
    </row>
    <row r="147" spans="1:18" x14ac:dyDescent="0.2">
      <c r="A147">
        <v>23</v>
      </c>
      <c r="B147">
        <v>5</v>
      </c>
      <c r="C147">
        <v>1984</v>
      </c>
      <c r="D147" s="112">
        <f t="shared" si="14"/>
        <v>30825</v>
      </c>
      <c r="E147">
        <v>22.7</v>
      </c>
      <c r="F147">
        <v>22.7</v>
      </c>
      <c r="G147" s="113">
        <v>4.5084275188987153</v>
      </c>
      <c r="H147" s="113">
        <f t="shared" si="15"/>
        <v>423.7508171945442</v>
      </c>
      <c r="I147" s="113">
        <v>6.8643337504291528</v>
      </c>
      <c r="J147" s="113">
        <f t="shared" si="16"/>
        <v>532.89531335805725</v>
      </c>
      <c r="K147" s="113">
        <v>4.3603326071201138</v>
      </c>
      <c r="L147" s="113">
        <f t="shared" si="17"/>
        <v>263.05871485482703</v>
      </c>
      <c r="M147" s="97">
        <v>4.5733489628272226</v>
      </c>
      <c r="N147" s="97">
        <f t="shared" si="18"/>
        <v>302.44373661600008</v>
      </c>
      <c r="O147" s="113">
        <v>3.1916156568379708</v>
      </c>
      <c r="P147" s="113">
        <f t="shared" si="19"/>
        <v>167.11289788099467</v>
      </c>
      <c r="Q147" s="113">
        <v>3.1498223568725394</v>
      </c>
      <c r="R147" s="113">
        <f t="shared" si="20"/>
        <v>155.83130385096638</v>
      </c>
    </row>
    <row r="148" spans="1:18" x14ac:dyDescent="0.2">
      <c r="A148">
        <v>24</v>
      </c>
      <c r="B148">
        <v>5</v>
      </c>
      <c r="C148">
        <v>1984</v>
      </c>
      <c r="D148" s="112">
        <f t="shared" si="14"/>
        <v>30826</v>
      </c>
      <c r="E148">
        <v>24.9</v>
      </c>
      <c r="F148">
        <v>24.9</v>
      </c>
      <c r="G148" s="113">
        <v>5.0901573543144236</v>
      </c>
      <c r="H148" s="113">
        <f t="shared" si="15"/>
        <v>428.84097454885864</v>
      </c>
      <c r="I148" s="113">
        <v>7.628310867889617</v>
      </c>
      <c r="J148" s="113">
        <f t="shared" si="16"/>
        <v>540.52362422594683</v>
      </c>
      <c r="K148" s="113">
        <v>4.9509370130291135</v>
      </c>
      <c r="L148" s="113">
        <f t="shared" si="17"/>
        <v>268.00965186785612</v>
      </c>
      <c r="M148" s="97">
        <v>5.187538017949116</v>
      </c>
      <c r="N148" s="97">
        <f t="shared" si="18"/>
        <v>307.6312746339492</v>
      </c>
      <c r="O148" s="113">
        <v>3.8416984911348546</v>
      </c>
      <c r="P148" s="113">
        <f t="shared" si="19"/>
        <v>170.95459637212952</v>
      </c>
      <c r="Q148" s="113">
        <v>3.8641602048751622</v>
      </c>
      <c r="R148" s="113">
        <f t="shared" si="20"/>
        <v>159.69546405584154</v>
      </c>
    </row>
    <row r="149" spans="1:18" x14ac:dyDescent="0.2">
      <c r="A149">
        <v>25</v>
      </c>
      <c r="B149">
        <v>5</v>
      </c>
      <c r="C149">
        <v>1984</v>
      </c>
      <c r="D149" s="112">
        <f t="shared" si="14"/>
        <v>30827</v>
      </c>
      <c r="E149">
        <v>7.7</v>
      </c>
      <c r="F149">
        <v>7.7</v>
      </c>
      <c r="G149" s="113">
        <v>3.0411138225772829</v>
      </c>
      <c r="H149" s="113">
        <f t="shared" si="15"/>
        <v>431.88208837143594</v>
      </c>
      <c r="I149" s="113">
        <v>0.97204181268520351</v>
      </c>
      <c r="J149" s="113">
        <f t="shared" si="16"/>
        <v>541.49566603863207</v>
      </c>
      <c r="K149" s="113">
        <v>-4.3942335866165973E-3</v>
      </c>
      <c r="L149" s="113">
        <f t="shared" si="17"/>
        <v>268.00525763426953</v>
      </c>
      <c r="M149" s="97">
        <v>6.9605404783006003E-2</v>
      </c>
      <c r="N149" s="97">
        <f t="shared" si="18"/>
        <v>307.70088003873224</v>
      </c>
      <c r="O149" s="113">
        <v>1.5567704402247087</v>
      </c>
      <c r="P149" s="113">
        <f t="shared" si="19"/>
        <v>172.51136681235423</v>
      </c>
      <c r="Q149" s="113">
        <v>1.7198168303085428</v>
      </c>
      <c r="R149" s="113">
        <f t="shared" si="20"/>
        <v>161.41528088615007</v>
      </c>
    </row>
    <row r="150" spans="1:18" x14ac:dyDescent="0.2">
      <c r="A150">
        <v>26</v>
      </c>
      <c r="B150">
        <v>5</v>
      </c>
      <c r="C150">
        <v>1984</v>
      </c>
      <c r="D150" s="112">
        <f t="shared" si="14"/>
        <v>30828</v>
      </c>
      <c r="E150">
        <v>5.3</v>
      </c>
      <c r="F150">
        <v>5.3</v>
      </c>
      <c r="G150" s="113">
        <v>1.287630694806454</v>
      </c>
      <c r="H150" s="113">
        <f t="shared" si="15"/>
        <v>433.16971906624241</v>
      </c>
      <c r="I150" s="113">
        <v>0.94577185049840018</v>
      </c>
      <c r="J150" s="113">
        <f t="shared" si="16"/>
        <v>542.4414378891305</v>
      </c>
      <c r="K150" s="113">
        <v>-0.67537655021964182</v>
      </c>
      <c r="L150" s="113">
        <f t="shared" si="17"/>
        <v>267.32988108404987</v>
      </c>
      <c r="M150" s="97">
        <v>-0.62507308438221598</v>
      </c>
      <c r="N150" s="97">
        <f t="shared" si="18"/>
        <v>307.07580695435001</v>
      </c>
      <c r="O150" s="113">
        <v>0.87600192784560782</v>
      </c>
      <c r="P150" s="113">
        <f t="shared" si="19"/>
        <v>173.38736874019983</v>
      </c>
      <c r="Q150" s="113">
        <v>0.92582674675380328</v>
      </c>
      <c r="R150" s="113">
        <f t="shared" si="20"/>
        <v>162.34110763290388</v>
      </c>
    </row>
    <row r="151" spans="1:18" x14ac:dyDescent="0.2">
      <c r="A151">
        <v>27</v>
      </c>
      <c r="B151">
        <v>5</v>
      </c>
      <c r="C151">
        <v>1984</v>
      </c>
      <c r="D151" s="112">
        <f t="shared" si="14"/>
        <v>30829</v>
      </c>
      <c r="E151">
        <v>6</v>
      </c>
      <c r="F151">
        <v>6</v>
      </c>
      <c r="G151" s="113">
        <v>1.4444783706547941</v>
      </c>
      <c r="H151" s="113">
        <f t="shared" si="15"/>
        <v>434.6141974368972</v>
      </c>
      <c r="I151" s="113">
        <v>0.96689229806997234</v>
      </c>
      <c r="J151" s="113">
        <f t="shared" si="16"/>
        <v>543.40833018720048</v>
      </c>
      <c r="K151" s="113">
        <v>-0.49548197539576361</v>
      </c>
      <c r="L151" s="113">
        <f t="shared" si="17"/>
        <v>266.83439910865411</v>
      </c>
      <c r="M151" s="97">
        <v>-0.43671604138886888</v>
      </c>
      <c r="N151" s="97">
        <f t="shared" si="18"/>
        <v>306.63909091296114</v>
      </c>
      <c r="O151" s="113">
        <v>0.93961922778319507</v>
      </c>
      <c r="P151" s="113">
        <f t="shared" si="19"/>
        <v>174.32698796798303</v>
      </c>
      <c r="Q151" s="113">
        <v>1.0331784392202201</v>
      </c>
      <c r="R151" s="113">
        <f t="shared" si="20"/>
        <v>163.37428607212411</v>
      </c>
    </row>
    <row r="152" spans="1:18" x14ac:dyDescent="0.2">
      <c r="A152">
        <v>28</v>
      </c>
      <c r="B152">
        <v>5</v>
      </c>
      <c r="C152">
        <v>1984</v>
      </c>
      <c r="D152" s="112">
        <f t="shared" si="14"/>
        <v>30830</v>
      </c>
      <c r="E152">
        <v>5.0999999999999996</v>
      </c>
      <c r="F152">
        <v>5.0999999999999996</v>
      </c>
      <c r="G152" s="113">
        <v>0.88388538904723724</v>
      </c>
      <c r="H152" s="113">
        <f t="shared" si="15"/>
        <v>435.49808282594444</v>
      </c>
      <c r="I152" s="113">
        <v>0.92664322997758919</v>
      </c>
      <c r="J152" s="113">
        <f t="shared" si="16"/>
        <v>544.33497341717805</v>
      </c>
      <c r="K152" s="113">
        <v>-0.72766180592610685</v>
      </c>
      <c r="L152" s="113">
        <f t="shared" si="17"/>
        <v>266.10673730272799</v>
      </c>
      <c r="M152" s="97">
        <v>-0.67868217805810505</v>
      </c>
      <c r="N152" s="97">
        <f t="shared" si="18"/>
        <v>305.96040873490301</v>
      </c>
      <c r="O152" s="113">
        <v>0.82951159118995199</v>
      </c>
      <c r="P152" s="113">
        <f t="shared" si="19"/>
        <v>175.15649955917297</v>
      </c>
      <c r="Q152" s="113">
        <v>0.80901183604223814</v>
      </c>
      <c r="R152" s="113">
        <f t="shared" si="20"/>
        <v>164.18329790816634</v>
      </c>
    </row>
    <row r="153" spans="1:18" x14ac:dyDescent="0.2">
      <c r="A153">
        <v>29</v>
      </c>
      <c r="B153">
        <v>5</v>
      </c>
      <c r="C153">
        <v>1984</v>
      </c>
      <c r="D153" s="112">
        <f t="shared" si="14"/>
        <v>30831</v>
      </c>
      <c r="E153">
        <v>21.5</v>
      </c>
      <c r="F153">
        <v>21.5</v>
      </c>
      <c r="G153" s="113">
        <v>6.233621460169835</v>
      </c>
      <c r="H153" s="113">
        <f t="shared" si="15"/>
        <v>441.73170428611428</v>
      </c>
      <c r="I153" s="113">
        <v>6.5948164297832026</v>
      </c>
      <c r="J153" s="113">
        <f t="shared" si="16"/>
        <v>550.92978984696128</v>
      </c>
      <c r="K153" s="113">
        <v>4.0872407385939358</v>
      </c>
      <c r="L153" s="113">
        <f t="shared" si="17"/>
        <v>270.19397804132194</v>
      </c>
      <c r="M153" s="97">
        <v>4.3189462661158169</v>
      </c>
      <c r="N153" s="97">
        <f t="shared" si="18"/>
        <v>310.27935500101881</v>
      </c>
      <c r="O153" s="113">
        <v>3.220600669100945</v>
      </c>
      <c r="P153" s="113">
        <f t="shared" si="19"/>
        <v>178.37710022827392</v>
      </c>
      <c r="Q153" s="113">
        <v>3.2558556468688424</v>
      </c>
      <c r="R153" s="113">
        <f t="shared" si="20"/>
        <v>167.43915355503518</v>
      </c>
    </row>
    <row r="154" spans="1:18" x14ac:dyDescent="0.2">
      <c r="A154">
        <v>30</v>
      </c>
      <c r="B154">
        <v>5</v>
      </c>
      <c r="C154">
        <v>1984</v>
      </c>
      <c r="D154" s="112">
        <f t="shared" si="14"/>
        <v>30832</v>
      </c>
      <c r="E154">
        <v>19.7</v>
      </c>
      <c r="F154">
        <v>19.7</v>
      </c>
      <c r="G154" s="113">
        <v>3.7387964801927014</v>
      </c>
      <c r="H154" s="113">
        <f t="shared" si="15"/>
        <v>445.470500766307</v>
      </c>
      <c r="I154" s="113">
        <v>5.3310955560557511</v>
      </c>
      <c r="J154" s="113">
        <f t="shared" si="16"/>
        <v>556.26088540301703</v>
      </c>
      <c r="K154" s="113">
        <v>3.2774409924531565</v>
      </c>
      <c r="L154" s="113">
        <f t="shared" si="17"/>
        <v>273.47141903377508</v>
      </c>
      <c r="M154" s="97">
        <v>3.4768356321404599</v>
      </c>
      <c r="N154" s="97">
        <f t="shared" si="18"/>
        <v>313.75619063315929</v>
      </c>
      <c r="O154" s="113">
        <v>2.8885014586809183</v>
      </c>
      <c r="P154" s="113">
        <f t="shared" si="19"/>
        <v>181.26560168695482</v>
      </c>
      <c r="Q154" s="113">
        <v>2.8697017308491195</v>
      </c>
      <c r="R154" s="113">
        <f t="shared" si="20"/>
        <v>170.30885528588431</v>
      </c>
    </row>
    <row r="155" spans="1:18" x14ac:dyDescent="0.2">
      <c r="A155">
        <v>31</v>
      </c>
      <c r="B155">
        <v>5</v>
      </c>
      <c r="C155">
        <v>1984</v>
      </c>
      <c r="D155" s="112">
        <f t="shared" si="14"/>
        <v>30833</v>
      </c>
      <c r="E155">
        <v>18.2</v>
      </c>
      <c r="F155">
        <v>18.2</v>
      </c>
      <c r="G155" s="113">
        <v>1.245353035592625</v>
      </c>
      <c r="H155" s="113">
        <f t="shared" si="15"/>
        <v>446.71585380189964</v>
      </c>
      <c r="I155" s="113">
        <v>4.3677909366562941</v>
      </c>
      <c r="J155" s="113">
        <f t="shared" si="16"/>
        <v>560.62867633967335</v>
      </c>
      <c r="K155" s="113">
        <v>2.6528252617498231</v>
      </c>
      <c r="L155" s="113">
        <f t="shared" si="17"/>
        <v>276.12424429552487</v>
      </c>
      <c r="M155" s="97">
        <v>2.8263415172908277</v>
      </c>
      <c r="N155" s="97">
        <f t="shared" si="18"/>
        <v>316.58253215045011</v>
      </c>
      <c r="O155" s="113">
        <v>2.4433739405382728</v>
      </c>
      <c r="P155" s="113">
        <f t="shared" si="19"/>
        <v>183.70897562749309</v>
      </c>
      <c r="Q155" s="113">
        <v>2.4552406968098071</v>
      </c>
      <c r="R155" s="113">
        <f t="shared" si="20"/>
        <v>172.7640959826941</v>
      </c>
    </row>
    <row r="156" spans="1:18" x14ac:dyDescent="0.2">
      <c r="A156">
        <v>1</v>
      </c>
      <c r="B156">
        <v>6</v>
      </c>
      <c r="C156">
        <v>1984</v>
      </c>
      <c r="D156" s="112">
        <f t="shared" si="14"/>
        <v>30834</v>
      </c>
      <c r="E156">
        <v>7.9</v>
      </c>
      <c r="F156">
        <v>7.9</v>
      </c>
      <c r="G156" s="113">
        <v>0.52276826992780745</v>
      </c>
      <c r="H156" s="113">
        <f t="shared" si="15"/>
        <v>447.23862207182742</v>
      </c>
      <c r="I156" s="113">
        <v>0.89882782004754669</v>
      </c>
      <c r="J156" s="113">
        <f t="shared" si="16"/>
        <v>561.52750415972093</v>
      </c>
      <c r="K156" s="113">
        <v>5.9034086091479601E-3</v>
      </c>
      <c r="L156" s="113">
        <f t="shared" si="17"/>
        <v>276.130147704134</v>
      </c>
      <c r="M156" s="97">
        <v>8.3676548071944884E-2</v>
      </c>
      <c r="N156" s="97">
        <f t="shared" si="18"/>
        <v>316.66620869852204</v>
      </c>
      <c r="O156" s="113">
        <v>1.135316351715433</v>
      </c>
      <c r="P156" s="113">
        <f t="shared" si="19"/>
        <v>184.84429197920852</v>
      </c>
      <c r="Q156" s="113">
        <v>1.2142211101900677</v>
      </c>
      <c r="R156" s="113">
        <f t="shared" si="20"/>
        <v>173.97831709288417</v>
      </c>
    </row>
    <row r="157" spans="1:18" x14ac:dyDescent="0.2">
      <c r="A157">
        <v>2</v>
      </c>
      <c r="B157">
        <v>6</v>
      </c>
      <c r="C157">
        <v>1984</v>
      </c>
      <c r="D157" s="112">
        <f t="shared" si="14"/>
        <v>30835</v>
      </c>
      <c r="E157">
        <v>19.2</v>
      </c>
      <c r="F157">
        <v>19.2</v>
      </c>
      <c r="G157" s="113">
        <v>4.3663547176734587</v>
      </c>
      <c r="H157" s="113">
        <f t="shared" si="15"/>
        <v>451.60497678950088</v>
      </c>
      <c r="I157" s="113">
        <v>5.3714292387474689</v>
      </c>
      <c r="J157" s="113">
        <f t="shared" si="16"/>
        <v>566.89893339846844</v>
      </c>
      <c r="K157" s="113">
        <v>3.2305620840530573</v>
      </c>
      <c r="L157" s="113">
        <f t="shared" si="17"/>
        <v>279.36070978818708</v>
      </c>
      <c r="M157" s="97">
        <v>3.440021054866131</v>
      </c>
      <c r="N157" s="97">
        <f t="shared" si="18"/>
        <v>320.10622975338816</v>
      </c>
      <c r="O157" s="113">
        <v>2.7500545519808295</v>
      </c>
      <c r="P157" s="113">
        <f t="shared" si="19"/>
        <v>187.59434653118936</v>
      </c>
      <c r="Q157" s="113">
        <v>2.9289106156632547</v>
      </c>
      <c r="R157" s="113">
        <f t="shared" si="20"/>
        <v>176.90722770854742</v>
      </c>
    </row>
    <row r="158" spans="1:18" x14ac:dyDescent="0.2">
      <c r="A158">
        <v>3</v>
      </c>
      <c r="B158">
        <v>6</v>
      </c>
      <c r="C158">
        <v>1984</v>
      </c>
      <c r="D158" s="112">
        <f t="shared" si="14"/>
        <v>30836</v>
      </c>
      <c r="E158">
        <v>13.7</v>
      </c>
      <c r="F158">
        <v>13.7</v>
      </c>
      <c r="G158" s="113">
        <v>2.9760085051083092</v>
      </c>
      <c r="H158" s="113">
        <f t="shared" si="15"/>
        <v>454.58098529460921</v>
      </c>
      <c r="I158" s="113">
        <v>2.9809401986421267</v>
      </c>
      <c r="J158" s="113">
        <f t="shared" si="16"/>
        <v>569.87987359711053</v>
      </c>
      <c r="K158" s="113">
        <v>1.5599479660174302</v>
      </c>
      <c r="L158" s="113">
        <f t="shared" si="17"/>
        <v>280.92065775420451</v>
      </c>
      <c r="M158" s="97">
        <v>1.7026814499829868</v>
      </c>
      <c r="N158" s="97">
        <f t="shared" si="18"/>
        <v>321.80891120337117</v>
      </c>
      <c r="O158" s="113">
        <v>2.1032224772839454</v>
      </c>
      <c r="P158" s="113">
        <f t="shared" si="19"/>
        <v>189.69756900847329</v>
      </c>
      <c r="Q158" s="113">
        <v>2.2386251136830304</v>
      </c>
      <c r="R158" s="113">
        <f t="shared" si="20"/>
        <v>179.14585282223047</v>
      </c>
    </row>
    <row r="159" spans="1:18" x14ac:dyDescent="0.2">
      <c r="A159">
        <v>4</v>
      </c>
      <c r="B159">
        <v>6</v>
      </c>
      <c r="C159">
        <v>1984</v>
      </c>
      <c r="D159" s="112">
        <f t="shared" si="14"/>
        <v>30837</v>
      </c>
      <c r="E159">
        <v>16.600000000000001</v>
      </c>
      <c r="F159">
        <v>16.600000000000001</v>
      </c>
      <c r="G159" s="113">
        <v>1.7741562633720094</v>
      </c>
      <c r="H159" s="113">
        <f t="shared" si="15"/>
        <v>456.3551415579812</v>
      </c>
      <c r="I159" s="113">
        <v>4.0069020199576819</v>
      </c>
      <c r="J159" s="113">
        <f t="shared" si="16"/>
        <v>573.88677561706822</v>
      </c>
      <c r="K159" s="113">
        <v>2.316468487747831</v>
      </c>
      <c r="L159" s="113">
        <f t="shared" si="17"/>
        <v>283.23712624195235</v>
      </c>
      <c r="M159" s="97">
        <v>2.4898573805841329</v>
      </c>
      <c r="N159" s="97">
        <f t="shared" si="18"/>
        <v>324.29876858395528</v>
      </c>
      <c r="O159" s="113">
        <v>2.2507991632482462</v>
      </c>
      <c r="P159" s="113">
        <f t="shared" si="19"/>
        <v>191.94836817172154</v>
      </c>
      <c r="Q159" s="113">
        <v>2.2829609616351947</v>
      </c>
      <c r="R159" s="113">
        <f t="shared" si="20"/>
        <v>181.42881378386565</v>
      </c>
    </row>
    <row r="160" spans="1:18" x14ac:dyDescent="0.2">
      <c r="A160">
        <v>5</v>
      </c>
      <c r="B160">
        <v>6</v>
      </c>
      <c r="C160">
        <v>1984</v>
      </c>
      <c r="D160" s="112">
        <f t="shared" si="14"/>
        <v>30838</v>
      </c>
      <c r="E160">
        <v>4.8</v>
      </c>
      <c r="F160">
        <v>4.8</v>
      </c>
      <c r="G160" s="113">
        <v>1.3152942993408447</v>
      </c>
      <c r="H160" s="113">
        <f t="shared" si="15"/>
        <v>457.67043585732205</v>
      </c>
      <c r="I160" s="113">
        <v>0.90891443899853519</v>
      </c>
      <c r="J160" s="113">
        <f t="shared" si="16"/>
        <v>574.79569005606675</v>
      </c>
      <c r="K160" s="113">
        <v>-0.82357283142148363</v>
      </c>
      <c r="L160" s="113">
        <f t="shared" si="17"/>
        <v>282.41355341053088</v>
      </c>
      <c r="M160" s="97">
        <v>-0.77394976645402536</v>
      </c>
      <c r="N160" s="97">
        <f t="shared" si="18"/>
        <v>323.52481881750123</v>
      </c>
      <c r="O160" s="113">
        <v>0.95968053199533132</v>
      </c>
      <c r="P160" s="113">
        <f t="shared" si="19"/>
        <v>192.90804870371687</v>
      </c>
      <c r="Q160" s="113">
        <v>0.84863546698246184</v>
      </c>
      <c r="R160" s="113">
        <f t="shared" si="20"/>
        <v>182.27744925084812</v>
      </c>
    </row>
    <row r="161" spans="1:18" x14ac:dyDescent="0.2">
      <c r="A161">
        <v>6</v>
      </c>
      <c r="B161">
        <v>6</v>
      </c>
      <c r="C161">
        <v>1984</v>
      </c>
      <c r="D161" s="112">
        <f t="shared" si="14"/>
        <v>30839</v>
      </c>
      <c r="E161">
        <v>10.9</v>
      </c>
      <c r="F161">
        <v>10.9</v>
      </c>
      <c r="G161" s="113">
        <v>2.861021236710211</v>
      </c>
      <c r="H161" s="113">
        <f t="shared" si="15"/>
        <v>460.53145709403225</v>
      </c>
      <c r="I161" s="113">
        <v>1.8748998872882485</v>
      </c>
      <c r="J161" s="113">
        <f t="shared" si="16"/>
        <v>576.67058994335503</v>
      </c>
      <c r="K161" s="113">
        <v>0.77124696516028524</v>
      </c>
      <c r="L161" s="113">
        <f t="shared" si="17"/>
        <v>283.18480037569117</v>
      </c>
      <c r="M161" s="97">
        <v>0.88547891664863076</v>
      </c>
      <c r="N161" s="97">
        <f t="shared" si="18"/>
        <v>324.41029773414988</v>
      </c>
      <c r="O161" s="113">
        <v>1.9185152895442816</v>
      </c>
      <c r="P161" s="113">
        <f t="shared" si="19"/>
        <v>194.82656399326115</v>
      </c>
      <c r="Q161" s="113">
        <v>2.1041752725362395</v>
      </c>
      <c r="R161" s="113">
        <f t="shared" si="20"/>
        <v>184.38162452338437</v>
      </c>
    </row>
    <row r="162" spans="1:18" x14ac:dyDescent="0.2">
      <c r="A162">
        <v>7</v>
      </c>
      <c r="B162">
        <v>6</v>
      </c>
      <c r="C162">
        <v>1984</v>
      </c>
      <c r="D162" s="112">
        <f t="shared" si="14"/>
        <v>30840</v>
      </c>
      <c r="E162">
        <v>25.7</v>
      </c>
      <c r="F162">
        <v>25.7</v>
      </c>
      <c r="G162" s="113">
        <v>4.6610719699883605</v>
      </c>
      <c r="H162" s="113">
        <f t="shared" si="15"/>
        <v>465.19252906402062</v>
      </c>
      <c r="I162" s="113">
        <v>7.1617802963335979</v>
      </c>
      <c r="J162" s="113">
        <f t="shared" si="16"/>
        <v>583.83237023968866</v>
      </c>
      <c r="K162" s="113">
        <v>4.689022775114041</v>
      </c>
      <c r="L162" s="113">
        <f t="shared" si="17"/>
        <v>287.87382315080521</v>
      </c>
      <c r="M162" s="97">
        <v>4.9630060609262099</v>
      </c>
      <c r="N162" s="97">
        <f t="shared" si="18"/>
        <v>329.37330379507608</v>
      </c>
      <c r="O162" s="113">
        <v>3.9138090024682137</v>
      </c>
      <c r="P162" s="113">
        <f t="shared" si="19"/>
        <v>198.74037299572936</v>
      </c>
      <c r="Q162" s="113">
        <v>4.1251917720227862</v>
      </c>
      <c r="R162" s="113">
        <f t="shared" si="20"/>
        <v>188.50681629540716</v>
      </c>
    </row>
    <row r="163" spans="1:18" x14ac:dyDescent="0.2">
      <c r="A163">
        <v>8</v>
      </c>
      <c r="B163">
        <v>6</v>
      </c>
      <c r="C163">
        <v>1984</v>
      </c>
      <c r="D163" s="112">
        <f t="shared" si="14"/>
        <v>30841</v>
      </c>
      <c r="E163">
        <v>28.6</v>
      </c>
      <c r="F163">
        <v>28.6</v>
      </c>
      <c r="G163" s="113">
        <v>4.317952402246453</v>
      </c>
      <c r="H163" s="113">
        <f t="shared" si="15"/>
        <v>469.51048146626709</v>
      </c>
      <c r="I163" s="113">
        <v>8.6109559727381235</v>
      </c>
      <c r="J163" s="113">
        <f t="shared" si="16"/>
        <v>592.44332621242677</v>
      </c>
      <c r="K163" s="113">
        <v>5.6544889358120782</v>
      </c>
      <c r="L163" s="113">
        <f t="shared" si="17"/>
        <v>293.52831208661729</v>
      </c>
      <c r="M163" s="97">
        <v>5.9734775155104138</v>
      </c>
      <c r="N163" s="97">
        <f t="shared" si="18"/>
        <v>335.34678131058649</v>
      </c>
      <c r="O163" s="113">
        <v>3.7609369600341838</v>
      </c>
      <c r="P163" s="113">
        <f t="shared" si="19"/>
        <v>202.50130995576353</v>
      </c>
      <c r="Q163" s="113">
        <v>3.8968044502024268</v>
      </c>
      <c r="R163" s="113">
        <f t="shared" si="20"/>
        <v>192.4036207456096</v>
      </c>
    </row>
    <row r="164" spans="1:18" x14ac:dyDescent="0.2">
      <c r="A164">
        <v>9</v>
      </c>
      <c r="B164">
        <v>6</v>
      </c>
      <c r="C164">
        <v>1984</v>
      </c>
      <c r="D164" s="112">
        <f t="shared" si="14"/>
        <v>30842</v>
      </c>
      <c r="E164">
        <v>27</v>
      </c>
      <c r="F164">
        <v>27</v>
      </c>
      <c r="G164" s="113">
        <v>4.3963778251675443</v>
      </c>
      <c r="H164" s="113">
        <f t="shared" si="15"/>
        <v>473.90685929143461</v>
      </c>
      <c r="I164" s="113">
        <v>7.8588767656848821</v>
      </c>
      <c r="J164" s="113">
        <f t="shared" si="16"/>
        <v>600.30220297811161</v>
      </c>
      <c r="K164" s="113">
        <v>5.1561257420824376</v>
      </c>
      <c r="L164" s="113">
        <f t="shared" si="17"/>
        <v>298.68443782869974</v>
      </c>
      <c r="M164" s="97">
        <v>5.4564881664258147</v>
      </c>
      <c r="N164" s="97">
        <f t="shared" si="18"/>
        <v>340.80326947701229</v>
      </c>
      <c r="O164" s="113">
        <v>3.890387058849635</v>
      </c>
      <c r="P164" s="113">
        <f t="shared" si="19"/>
        <v>206.39169701461316</v>
      </c>
      <c r="Q164" s="113">
        <v>3.7358116227879612</v>
      </c>
      <c r="R164" s="113">
        <f t="shared" si="20"/>
        <v>196.13943236839756</v>
      </c>
    </row>
    <row r="165" spans="1:18" x14ac:dyDescent="0.2">
      <c r="A165">
        <v>10</v>
      </c>
      <c r="B165">
        <v>6</v>
      </c>
      <c r="C165">
        <v>1984</v>
      </c>
      <c r="D165" s="112">
        <f t="shared" si="14"/>
        <v>30843</v>
      </c>
      <c r="E165">
        <v>24.5</v>
      </c>
      <c r="F165">
        <v>24.5</v>
      </c>
      <c r="G165" s="113">
        <v>3.4531989481024206</v>
      </c>
      <c r="H165" s="113">
        <f t="shared" si="15"/>
        <v>477.36005823953701</v>
      </c>
      <c r="I165" s="113">
        <v>6.3687961705172107</v>
      </c>
      <c r="J165" s="113">
        <f t="shared" si="16"/>
        <v>606.67099914862877</v>
      </c>
      <c r="K165" s="113">
        <v>4.1668392107605365</v>
      </c>
      <c r="L165" s="113">
        <f t="shared" si="17"/>
        <v>302.85127703946029</v>
      </c>
      <c r="M165" s="97">
        <v>4.4225801644663338</v>
      </c>
      <c r="N165" s="97">
        <f t="shared" si="18"/>
        <v>345.22584964147865</v>
      </c>
      <c r="O165" s="113">
        <v>3.6648370322894035</v>
      </c>
      <c r="P165" s="113">
        <f t="shared" si="19"/>
        <v>210.05653404690256</v>
      </c>
      <c r="Q165" s="113">
        <v>3.7939804276373956</v>
      </c>
      <c r="R165" s="113">
        <f t="shared" si="20"/>
        <v>199.93341279603496</v>
      </c>
    </row>
    <row r="166" spans="1:18" x14ac:dyDescent="0.2">
      <c r="A166">
        <v>11</v>
      </c>
      <c r="B166">
        <v>6</v>
      </c>
      <c r="C166">
        <v>1984</v>
      </c>
      <c r="D166" s="112">
        <f t="shared" si="14"/>
        <v>30844</v>
      </c>
      <c r="E166">
        <v>13.1</v>
      </c>
      <c r="F166">
        <v>13.1</v>
      </c>
      <c r="G166" s="113">
        <v>6.1583319387208286</v>
      </c>
      <c r="H166" s="113">
        <f t="shared" si="15"/>
        <v>483.51839017825785</v>
      </c>
      <c r="I166" s="113">
        <v>2.8319315305876915</v>
      </c>
      <c r="J166" s="113">
        <f t="shared" si="16"/>
        <v>609.50293067921643</v>
      </c>
      <c r="K166" s="113">
        <v>1.4213938636042953</v>
      </c>
      <c r="L166" s="113">
        <f t="shared" si="17"/>
        <v>304.27267090306458</v>
      </c>
      <c r="M166" s="97">
        <v>1.5739106474662456</v>
      </c>
      <c r="N166" s="97">
        <f t="shared" si="18"/>
        <v>346.79976028894487</v>
      </c>
      <c r="O166" s="113">
        <v>2.8561634962933158</v>
      </c>
      <c r="P166" s="113">
        <f t="shared" si="19"/>
        <v>212.91269754319586</v>
      </c>
      <c r="Q166" s="113">
        <v>2.9540482547650986</v>
      </c>
      <c r="R166" s="113">
        <f t="shared" si="20"/>
        <v>202.88746105080006</v>
      </c>
    </row>
    <row r="167" spans="1:18" x14ac:dyDescent="0.2">
      <c r="A167">
        <v>12</v>
      </c>
      <c r="B167">
        <v>6</v>
      </c>
      <c r="C167">
        <v>1984</v>
      </c>
      <c r="D167" s="112">
        <f t="shared" si="14"/>
        <v>30845</v>
      </c>
      <c r="E167">
        <v>17.5</v>
      </c>
      <c r="F167">
        <v>17.5</v>
      </c>
      <c r="G167" s="113">
        <v>4.0675901579618507</v>
      </c>
      <c r="H167" s="113">
        <f t="shared" si="15"/>
        <v>487.58598033621968</v>
      </c>
      <c r="I167" s="113">
        <v>4.3370074493445863</v>
      </c>
      <c r="J167" s="113">
        <f t="shared" si="16"/>
        <v>613.83993812856102</v>
      </c>
      <c r="K167" s="113">
        <v>2.5492748026061371</v>
      </c>
      <c r="L167" s="113">
        <f t="shared" si="17"/>
        <v>306.82194570567071</v>
      </c>
      <c r="M167" s="97">
        <v>2.7465002210371545</v>
      </c>
      <c r="N167" s="97">
        <f t="shared" si="18"/>
        <v>349.54626050998201</v>
      </c>
      <c r="O167" s="113">
        <v>2.9277077858473342</v>
      </c>
      <c r="P167" s="113">
        <f t="shared" si="19"/>
        <v>215.84040532904319</v>
      </c>
      <c r="Q167" s="113">
        <v>3.3730606535619434</v>
      </c>
      <c r="R167" s="113">
        <f t="shared" si="20"/>
        <v>206.26052170436199</v>
      </c>
    </row>
    <row r="168" spans="1:18" x14ac:dyDescent="0.2">
      <c r="A168">
        <v>13</v>
      </c>
      <c r="B168">
        <v>6</v>
      </c>
      <c r="C168">
        <v>1984</v>
      </c>
      <c r="D168" s="112">
        <f t="shared" si="14"/>
        <v>30846</v>
      </c>
      <c r="E168">
        <v>16.2</v>
      </c>
      <c r="F168">
        <v>16.2</v>
      </c>
      <c r="G168" s="113">
        <v>3.9722584458881083</v>
      </c>
      <c r="H168" s="113">
        <f t="shared" si="15"/>
        <v>491.55823878210776</v>
      </c>
      <c r="I168" s="113">
        <v>3.5343997649761261</v>
      </c>
      <c r="J168" s="113">
        <f t="shared" si="16"/>
        <v>617.37433789353713</v>
      </c>
      <c r="K168" s="113">
        <v>2.0525994130736769</v>
      </c>
      <c r="L168" s="113">
        <f t="shared" si="17"/>
        <v>308.87454511874438</v>
      </c>
      <c r="M168" s="97">
        <v>2.2241549855488119</v>
      </c>
      <c r="N168" s="97">
        <f t="shared" si="18"/>
        <v>351.77041549553081</v>
      </c>
      <c r="O168" s="113">
        <v>2.9947345381485135</v>
      </c>
      <c r="P168" s="113">
        <f t="shared" si="19"/>
        <v>218.83513986719171</v>
      </c>
      <c r="Q168" s="113">
        <v>3.4539964957712774</v>
      </c>
      <c r="R168" s="113">
        <f t="shared" si="20"/>
        <v>209.71451820013326</v>
      </c>
    </row>
    <row r="169" spans="1:18" x14ac:dyDescent="0.2">
      <c r="A169">
        <v>14</v>
      </c>
      <c r="B169">
        <v>6</v>
      </c>
      <c r="C169">
        <v>1984</v>
      </c>
      <c r="D169" s="112">
        <f t="shared" si="14"/>
        <v>30847</v>
      </c>
      <c r="E169">
        <v>23.9</v>
      </c>
      <c r="F169">
        <v>23.9</v>
      </c>
      <c r="G169" s="113">
        <v>5.4006272323049513</v>
      </c>
      <c r="H169" s="113">
        <f t="shared" si="15"/>
        <v>496.95886601441271</v>
      </c>
      <c r="I169" s="113">
        <v>6.5818480347367929</v>
      </c>
      <c r="J169" s="113">
        <f t="shared" si="16"/>
        <v>623.95618592827395</v>
      </c>
      <c r="K169" s="113">
        <v>4.2317685566561112</v>
      </c>
      <c r="L169" s="113">
        <f t="shared" si="17"/>
        <v>313.10631367540049</v>
      </c>
      <c r="M169" s="97">
        <v>4.5017992897889663</v>
      </c>
      <c r="N169" s="97">
        <f t="shared" si="18"/>
        <v>356.27221478531976</v>
      </c>
      <c r="O169" s="113">
        <v>3.7517289752702889</v>
      </c>
      <c r="P169" s="113">
        <f t="shared" si="19"/>
        <v>222.586868842462</v>
      </c>
      <c r="Q169" s="113">
        <v>3.9476532517829348</v>
      </c>
      <c r="R169" s="113">
        <f t="shared" si="20"/>
        <v>213.66217145191618</v>
      </c>
    </row>
    <row r="170" spans="1:18" x14ac:dyDescent="0.2">
      <c r="A170">
        <v>15</v>
      </c>
      <c r="B170">
        <v>6</v>
      </c>
      <c r="C170">
        <v>1984</v>
      </c>
      <c r="D170" s="112">
        <f t="shared" si="14"/>
        <v>30848</v>
      </c>
      <c r="E170">
        <v>24</v>
      </c>
      <c r="F170">
        <v>24</v>
      </c>
      <c r="G170" s="113">
        <v>3.5956429442332478</v>
      </c>
      <c r="H170" s="113">
        <f t="shared" si="15"/>
        <v>500.55450895864595</v>
      </c>
      <c r="I170" s="113">
        <v>6.4788153921149032</v>
      </c>
      <c r="J170" s="113">
        <f t="shared" si="16"/>
        <v>630.43500132038889</v>
      </c>
      <c r="K170" s="113">
        <v>4.1775732152610132</v>
      </c>
      <c r="L170" s="113">
        <f t="shared" si="17"/>
        <v>317.28388689066151</v>
      </c>
      <c r="M170" s="97">
        <v>4.4449319371211065</v>
      </c>
      <c r="N170" s="97">
        <f t="shared" si="18"/>
        <v>360.71714672244087</v>
      </c>
      <c r="O170" s="113">
        <v>3.4664719407160769</v>
      </c>
      <c r="P170" s="113">
        <f t="shared" si="19"/>
        <v>226.05334078317807</v>
      </c>
      <c r="Q170" s="113">
        <v>3.3345312268208693</v>
      </c>
      <c r="R170" s="113">
        <f t="shared" si="20"/>
        <v>216.99670267873705</v>
      </c>
    </row>
    <row r="171" spans="1:18" x14ac:dyDescent="0.2">
      <c r="A171">
        <v>16</v>
      </c>
      <c r="B171">
        <v>6</v>
      </c>
      <c r="C171">
        <v>1984</v>
      </c>
      <c r="D171" s="112">
        <f t="shared" si="14"/>
        <v>30849</v>
      </c>
      <c r="E171">
        <v>21.3</v>
      </c>
      <c r="F171">
        <v>21.3</v>
      </c>
      <c r="G171" s="113">
        <v>2.8442092890001862</v>
      </c>
      <c r="H171" s="113">
        <f t="shared" si="15"/>
        <v>503.39871824764612</v>
      </c>
      <c r="I171" s="113">
        <v>4.9577537079565168</v>
      </c>
      <c r="J171" s="113">
        <f t="shared" si="16"/>
        <v>635.39275502834539</v>
      </c>
      <c r="K171" s="113">
        <v>3.183711885937428</v>
      </c>
      <c r="L171" s="113">
        <f t="shared" si="17"/>
        <v>320.46759877659895</v>
      </c>
      <c r="M171" s="97">
        <v>3.4023712855355392</v>
      </c>
      <c r="N171" s="97">
        <f t="shared" si="18"/>
        <v>364.11951800797641</v>
      </c>
      <c r="O171" s="113">
        <v>3.396964309223633</v>
      </c>
      <c r="P171" s="113">
        <f t="shared" si="19"/>
        <v>229.45030509240169</v>
      </c>
      <c r="Q171" s="113">
        <v>3.4823061277876923</v>
      </c>
      <c r="R171" s="113">
        <f t="shared" si="20"/>
        <v>220.47900880652475</v>
      </c>
    </row>
    <row r="172" spans="1:18" x14ac:dyDescent="0.2">
      <c r="A172">
        <v>17</v>
      </c>
      <c r="B172">
        <v>6</v>
      </c>
      <c r="C172">
        <v>1984</v>
      </c>
      <c r="D172" s="112">
        <f t="shared" si="14"/>
        <v>30850</v>
      </c>
      <c r="E172">
        <v>25.8</v>
      </c>
      <c r="F172">
        <v>25.8</v>
      </c>
      <c r="G172" s="113">
        <v>3.4483031433952198</v>
      </c>
      <c r="H172" s="113">
        <f t="shared" si="15"/>
        <v>506.84702139104132</v>
      </c>
      <c r="I172" s="113">
        <v>6.1283083628837929</v>
      </c>
      <c r="J172" s="113">
        <f t="shared" si="16"/>
        <v>641.52106339122918</v>
      </c>
      <c r="K172" s="113">
        <v>4.1323387158202491</v>
      </c>
      <c r="L172" s="113">
        <f t="shared" si="17"/>
        <v>324.5999374924192</v>
      </c>
      <c r="M172" s="97">
        <v>4.3899093891429679</v>
      </c>
      <c r="N172" s="97">
        <f t="shared" si="18"/>
        <v>368.5094273971194</v>
      </c>
      <c r="O172" s="113">
        <v>4.071933070973957</v>
      </c>
      <c r="P172" s="113">
        <f t="shared" si="19"/>
        <v>233.52223816337565</v>
      </c>
      <c r="Q172" s="113">
        <v>4.2910264986490381</v>
      </c>
      <c r="R172" s="113">
        <f t="shared" si="20"/>
        <v>224.77003530517379</v>
      </c>
    </row>
    <row r="173" spans="1:18" x14ac:dyDescent="0.2">
      <c r="A173">
        <v>18</v>
      </c>
      <c r="B173">
        <v>6</v>
      </c>
      <c r="C173">
        <v>1984</v>
      </c>
      <c r="D173" s="112">
        <f t="shared" si="14"/>
        <v>30851</v>
      </c>
      <c r="E173">
        <v>23</v>
      </c>
      <c r="F173">
        <v>23</v>
      </c>
      <c r="G173" s="113">
        <v>3.7608616507042272</v>
      </c>
      <c r="H173" s="113">
        <f t="shared" si="15"/>
        <v>510.60788304174554</v>
      </c>
      <c r="I173" s="113">
        <v>5.6415939358820335</v>
      </c>
      <c r="J173" s="113">
        <f t="shared" si="16"/>
        <v>647.16265732711122</v>
      </c>
      <c r="K173" s="113">
        <v>3.6746316727888684</v>
      </c>
      <c r="L173" s="113">
        <f t="shared" si="17"/>
        <v>328.27456916520805</v>
      </c>
      <c r="M173" s="97">
        <v>3.9178585690980841</v>
      </c>
      <c r="N173" s="97">
        <f t="shared" si="18"/>
        <v>372.42728596621748</v>
      </c>
      <c r="O173" s="113">
        <v>3.6940436412695488</v>
      </c>
      <c r="P173" s="113">
        <f t="shared" si="19"/>
        <v>237.21628180464521</v>
      </c>
      <c r="Q173" s="113">
        <v>3.6546617185959063</v>
      </c>
      <c r="R173" s="113">
        <f t="shared" si="20"/>
        <v>228.42469702376971</v>
      </c>
    </row>
    <row r="174" spans="1:18" x14ac:dyDescent="0.2">
      <c r="A174">
        <v>19</v>
      </c>
      <c r="B174">
        <v>6</v>
      </c>
      <c r="C174">
        <v>1984</v>
      </c>
      <c r="D174" s="112">
        <f t="shared" si="14"/>
        <v>30852</v>
      </c>
      <c r="E174">
        <v>24.1</v>
      </c>
      <c r="F174">
        <v>24.1</v>
      </c>
      <c r="G174" s="113">
        <v>4.0484577349331499</v>
      </c>
      <c r="H174" s="113">
        <f t="shared" si="15"/>
        <v>514.65634077667869</v>
      </c>
      <c r="I174" s="113">
        <v>5.8084871431621226</v>
      </c>
      <c r="J174" s="113">
        <f t="shared" si="16"/>
        <v>652.97114447027332</v>
      </c>
      <c r="K174" s="113">
        <v>3.8538116651877297</v>
      </c>
      <c r="L174" s="113">
        <f t="shared" si="17"/>
        <v>332.12838083039577</v>
      </c>
      <c r="M174" s="97">
        <v>4.1034144158367321</v>
      </c>
      <c r="N174" s="97">
        <f t="shared" si="18"/>
        <v>376.53070038205419</v>
      </c>
      <c r="O174" s="113">
        <v>4.0138548131042899</v>
      </c>
      <c r="P174" s="113">
        <f t="shared" si="19"/>
        <v>241.23013661774951</v>
      </c>
      <c r="Q174" s="113">
        <v>3.9700186525280903</v>
      </c>
      <c r="R174" s="113">
        <f t="shared" si="20"/>
        <v>232.39471567629781</v>
      </c>
    </row>
    <row r="175" spans="1:18" x14ac:dyDescent="0.2">
      <c r="A175">
        <v>20</v>
      </c>
      <c r="B175">
        <v>6</v>
      </c>
      <c r="C175">
        <v>1984</v>
      </c>
      <c r="D175" s="112">
        <f t="shared" si="14"/>
        <v>30853</v>
      </c>
      <c r="E175">
        <v>11.7</v>
      </c>
      <c r="F175">
        <v>11.7</v>
      </c>
      <c r="G175" s="113">
        <v>4.6264896338892365</v>
      </c>
      <c r="H175" s="113">
        <f t="shared" si="15"/>
        <v>519.28283041056795</v>
      </c>
      <c r="I175" s="113">
        <v>1.8739679326962329</v>
      </c>
      <c r="J175" s="113">
        <f t="shared" si="16"/>
        <v>654.84511240296956</v>
      </c>
      <c r="K175" s="113">
        <v>0.86694463022588619</v>
      </c>
      <c r="L175" s="113">
        <f t="shared" si="17"/>
        <v>332.99532546062164</v>
      </c>
      <c r="M175" s="97">
        <v>0.98735638835872264</v>
      </c>
      <c r="N175" s="97">
        <f t="shared" si="18"/>
        <v>377.5180567704129</v>
      </c>
      <c r="O175" s="113">
        <v>2.5524222526303504</v>
      </c>
      <c r="P175" s="113">
        <f t="shared" si="19"/>
        <v>243.78255887037986</v>
      </c>
      <c r="Q175" s="113">
        <v>2.7213322182016904</v>
      </c>
      <c r="R175" s="113">
        <f t="shared" si="20"/>
        <v>235.1160478944995</v>
      </c>
    </row>
    <row r="176" spans="1:18" x14ac:dyDescent="0.2">
      <c r="A176">
        <v>21</v>
      </c>
      <c r="B176">
        <v>6</v>
      </c>
      <c r="C176">
        <v>1984</v>
      </c>
      <c r="D176" s="112">
        <f t="shared" si="14"/>
        <v>30854</v>
      </c>
      <c r="E176">
        <v>19.5</v>
      </c>
      <c r="F176">
        <v>19.5</v>
      </c>
      <c r="G176" s="113">
        <v>5.563688891957554</v>
      </c>
      <c r="H176" s="113">
        <f t="shared" si="15"/>
        <v>524.84651930252551</v>
      </c>
      <c r="I176" s="113">
        <v>5.2440412654686845</v>
      </c>
      <c r="J176" s="113">
        <f t="shared" si="16"/>
        <v>660.08915366843826</v>
      </c>
      <c r="K176" s="113">
        <v>3.172736696724523</v>
      </c>
      <c r="L176" s="113">
        <f t="shared" si="17"/>
        <v>336.16806215734618</v>
      </c>
      <c r="M176" s="97">
        <v>3.4066581082324405</v>
      </c>
      <c r="N176" s="97">
        <f t="shared" si="18"/>
        <v>380.92471487864532</v>
      </c>
      <c r="O176" s="113">
        <v>3.308703848323939</v>
      </c>
      <c r="P176" s="113">
        <f t="shared" si="19"/>
        <v>247.0912627187038</v>
      </c>
      <c r="Q176" s="113">
        <v>3.7269779682470223</v>
      </c>
      <c r="R176" s="113">
        <f t="shared" si="20"/>
        <v>238.84302586274652</v>
      </c>
    </row>
    <row r="177" spans="1:18" x14ac:dyDescent="0.2">
      <c r="A177">
        <v>22</v>
      </c>
      <c r="B177">
        <v>6</v>
      </c>
      <c r="C177">
        <v>1984</v>
      </c>
      <c r="D177" s="112">
        <f t="shared" si="14"/>
        <v>30855</v>
      </c>
      <c r="E177">
        <v>8.1</v>
      </c>
      <c r="F177">
        <v>8.1</v>
      </c>
      <c r="G177" s="113">
        <v>1.1157830951522496</v>
      </c>
      <c r="H177" s="113">
        <f t="shared" si="15"/>
        <v>525.96230239767772</v>
      </c>
      <c r="I177" s="113">
        <v>0.85538493553003725</v>
      </c>
      <c r="J177" s="113">
        <f t="shared" si="16"/>
        <v>660.94453860396834</v>
      </c>
      <c r="K177" s="113">
        <v>1.0027273092165466E-2</v>
      </c>
      <c r="L177" s="113">
        <f t="shared" si="17"/>
        <v>336.17808943043838</v>
      </c>
      <c r="M177" s="97">
        <v>9.6412234997836119E-2</v>
      </c>
      <c r="N177" s="97">
        <f t="shared" si="18"/>
        <v>381.02112711364316</v>
      </c>
      <c r="O177" s="113">
        <v>1.3017522938957771</v>
      </c>
      <c r="P177" s="113">
        <f t="shared" si="19"/>
        <v>248.39301501259959</v>
      </c>
      <c r="Q177" s="113">
        <v>1.5152723908488792</v>
      </c>
      <c r="R177" s="113">
        <f t="shared" si="20"/>
        <v>240.35829825359539</v>
      </c>
    </row>
    <row r="178" spans="1:18" x14ac:dyDescent="0.2">
      <c r="A178">
        <v>23</v>
      </c>
      <c r="B178">
        <v>6</v>
      </c>
      <c r="C178">
        <v>1984</v>
      </c>
      <c r="D178" s="112">
        <f t="shared" si="14"/>
        <v>30856</v>
      </c>
      <c r="E178">
        <v>15.7</v>
      </c>
      <c r="F178">
        <v>15.7</v>
      </c>
      <c r="G178" s="113">
        <v>3.9553890679969386</v>
      </c>
      <c r="H178" s="113">
        <f t="shared" si="15"/>
        <v>529.91769146567469</v>
      </c>
      <c r="I178" s="113">
        <v>3.7883388457015017</v>
      </c>
      <c r="J178" s="113">
        <f t="shared" si="16"/>
        <v>664.73287744966979</v>
      </c>
      <c r="K178" s="113">
        <v>2.1045915531312747</v>
      </c>
      <c r="L178" s="113">
        <f t="shared" si="17"/>
        <v>338.28268098356966</v>
      </c>
      <c r="M178" s="97">
        <v>2.2917939772858587</v>
      </c>
      <c r="N178" s="97">
        <f t="shared" si="18"/>
        <v>383.31292109092902</v>
      </c>
      <c r="O178" s="113">
        <v>2.3688961381290223</v>
      </c>
      <c r="P178" s="113">
        <f t="shared" si="19"/>
        <v>250.76191115072862</v>
      </c>
      <c r="Q178" s="113">
        <v>2.496955598958901</v>
      </c>
      <c r="R178" s="113">
        <f t="shared" si="20"/>
        <v>242.85525385255428</v>
      </c>
    </row>
    <row r="179" spans="1:18" x14ac:dyDescent="0.2">
      <c r="A179">
        <v>24</v>
      </c>
      <c r="B179">
        <v>6</v>
      </c>
      <c r="C179">
        <v>1984</v>
      </c>
      <c r="D179" s="112">
        <f t="shared" si="14"/>
        <v>30857</v>
      </c>
      <c r="E179">
        <v>16.600000000000001</v>
      </c>
      <c r="F179">
        <v>16.600000000000001</v>
      </c>
      <c r="G179" s="113">
        <v>2.4634687082743536</v>
      </c>
      <c r="H179" s="113">
        <f t="shared" si="15"/>
        <v>532.38116017394907</v>
      </c>
      <c r="I179" s="113">
        <v>3.9661804286627635</v>
      </c>
      <c r="J179" s="113">
        <f t="shared" si="16"/>
        <v>668.6990578783325</v>
      </c>
      <c r="K179" s="113">
        <v>2.2725780099346666</v>
      </c>
      <c r="L179" s="113">
        <f t="shared" si="17"/>
        <v>340.55525899350431</v>
      </c>
      <c r="M179" s="97">
        <v>2.4636783803936417</v>
      </c>
      <c r="N179" s="97">
        <f t="shared" si="18"/>
        <v>385.77659947132264</v>
      </c>
      <c r="O179" s="113">
        <v>2.2455892239175368</v>
      </c>
      <c r="P179" s="113">
        <f t="shared" si="19"/>
        <v>253.00750037464616</v>
      </c>
      <c r="Q179" s="113">
        <v>2.5448583546740022</v>
      </c>
      <c r="R179" s="113">
        <f t="shared" si="20"/>
        <v>245.40011220722829</v>
      </c>
    </row>
    <row r="180" spans="1:18" x14ac:dyDescent="0.2">
      <c r="A180">
        <v>25</v>
      </c>
      <c r="B180">
        <v>6</v>
      </c>
      <c r="C180">
        <v>1984</v>
      </c>
      <c r="D180" s="112">
        <f t="shared" si="14"/>
        <v>30858</v>
      </c>
      <c r="E180">
        <v>12</v>
      </c>
      <c r="F180">
        <v>12</v>
      </c>
      <c r="G180" s="113">
        <v>3.3206057795145485</v>
      </c>
      <c r="H180" s="113">
        <f t="shared" si="15"/>
        <v>535.70176595346356</v>
      </c>
      <c r="I180" s="113">
        <v>2.1440390765322803</v>
      </c>
      <c r="J180" s="113">
        <f t="shared" si="16"/>
        <v>670.84309695486479</v>
      </c>
      <c r="K180" s="113">
        <v>1.0003239792486947</v>
      </c>
      <c r="L180" s="113">
        <f t="shared" si="17"/>
        <v>341.55558297275303</v>
      </c>
      <c r="M180" s="97">
        <v>1.1317318414826951</v>
      </c>
      <c r="N180" s="97">
        <f t="shared" si="18"/>
        <v>386.90833131280533</v>
      </c>
      <c r="O180" s="113">
        <v>2.2649066812453631</v>
      </c>
      <c r="P180" s="113">
        <f t="shared" si="19"/>
        <v>255.27240705589151</v>
      </c>
      <c r="Q180" s="113">
        <v>2.6235185231485656</v>
      </c>
      <c r="R180" s="113">
        <f t="shared" si="20"/>
        <v>248.02363073037685</v>
      </c>
    </row>
    <row r="181" spans="1:18" x14ac:dyDescent="0.2">
      <c r="A181">
        <v>26</v>
      </c>
      <c r="B181">
        <v>6</v>
      </c>
      <c r="C181">
        <v>1984</v>
      </c>
      <c r="D181" s="112">
        <f t="shared" si="14"/>
        <v>30859</v>
      </c>
      <c r="E181">
        <v>24.5</v>
      </c>
      <c r="F181">
        <v>24.5</v>
      </c>
      <c r="G181" s="113">
        <v>1.8486840036728649</v>
      </c>
      <c r="H181" s="113">
        <f t="shared" si="15"/>
        <v>537.55044995713638</v>
      </c>
      <c r="I181" s="113">
        <v>6.0281986397470284</v>
      </c>
      <c r="J181" s="113">
        <f t="shared" si="16"/>
        <v>676.87129559461187</v>
      </c>
      <c r="K181" s="113">
        <v>3.9647096005429132</v>
      </c>
      <c r="L181" s="113">
        <f t="shared" si="17"/>
        <v>345.52029257329593</v>
      </c>
      <c r="M181" s="97">
        <v>4.2197701026915029</v>
      </c>
      <c r="N181" s="97">
        <f t="shared" si="18"/>
        <v>391.12810141549681</v>
      </c>
      <c r="O181" s="113">
        <v>3.151232203628159</v>
      </c>
      <c r="P181" s="113">
        <f t="shared" si="19"/>
        <v>258.42363925951969</v>
      </c>
      <c r="Q181" s="113">
        <v>3.6227333111799567</v>
      </c>
      <c r="R181" s="113">
        <f t="shared" si="20"/>
        <v>251.64636404155681</v>
      </c>
    </row>
    <row r="182" spans="1:18" x14ac:dyDescent="0.2">
      <c r="A182">
        <v>27</v>
      </c>
      <c r="B182">
        <v>6</v>
      </c>
      <c r="C182">
        <v>1984</v>
      </c>
      <c r="D182" s="112">
        <f t="shared" si="14"/>
        <v>30860</v>
      </c>
      <c r="E182">
        <v>19.5</v>
      </c>
      <c r="F182">
        <v>19.5</v>
      </c>
      <c r="G182" s="113">
        <v>2.2008599792996351</v>
      </c>
      <c r="H182" s="113">
        <f t="shared" si="15"/>
        <v>539.75130993643597</v>
      </c>
      <c r="I182" s="113">
        <v>4.5357765248588908</v>
      </c>
      <c r="J182" s="113">
        <f t="shared" si="16"/>
        <v>681.40707211947074</v>
      </c>
      <c r="K182" s="113">
        <v>2.8176779253667088</v>
      </c>
      <c r="L182" s="113">
        <f t="shared" si="17"/>
        <v>348.33797049866263</v>
      </c>
      <c r="M182" s="97">
        <v>3.0244198802397078</v>
      </c>
      <c r="N182" s="97">
        <f t="shared" si="18"/>
        <v>394.15252129573651</v>
      </c>
      <c r="O182" s="113">
        <v>2.7682225739655446</v>
      </c>
      <c r="P182" s="113">
        <f t="shared" si="19"/>
        <v>261.19186183348523</v>
      </c>
      <c r="Q182" s="113">
        <v>3.0768508658637415</v>
      </c>
      <c r="R182" s="113">
        <f t="shared" si="20"/>
        <v>254.72321490742056</v>
      </c>
    </row>
    <row r="183" spans="1:18" x14ac:dyDescent="0.2">
      <c r="A183">
        <v>28</v>
      </c>
      <c r="B183">
        <v>6</v>
      </c>
      <c r="C183">
        <v>1984</v>
      </c>
      <c r="D183" s="112">
        <f t="shared" si="14"/>
        <v>30861</v>
      </c>
      <c r="E183">
        <v>6.9</v>
      </c>
      <c r="F183">
        <v>6.9</v>
      </c>
      <c r="G183" s="113">
        <v>4.1255524375242807</v>
      </c>
      <c r="H183" s="113">
        <f t="shared" si="15"/>
        <v>543.87686237396031</v>
      </c>
      <c r="I183" s="113">
        <v>0.97807666744865829</v>
      </c>
      <c r="J183" s="113">
        <f t="shared" si="16"/>
        <v>682.38514878691944</v>
      </c>
      <c r="K183" s="113">
        <v>-0.3113922464017701</v>
      </c>
      <c r="L183" s="113">
        <f t="shared" si="17"/>
        <v>348.02657825226083</v>
      </c>
      <c r="M183" s="97">
        <v>-0.22925468907833926</v>
      </c>
      <c r="N183" s="97">
        <f t="shared" si="18"/>
        <v>393.92326660665816</v>
      </c>
      <c r="O183" s="113">
        <v>1.5450270937128352</v>
      </c>
      <c r="P183" s="113">
        <f t="shared" si="19"/>
        <v>262.73688892719809</v>
      </c>
      <c r="Q183" s="113">
        <v>1.5838790046941964</v>
      </c>
      <c r="R183" s="113">
        <f t="shared" si="20"/>
        <v>256.30709391211474</v>
      </c>
    </row>
    <row r="184" spans="1:18" x14ac:dyDescent="0.2">
      <c r="A184">
        <v>29</v>
      </c>
      <c r="B184">
        <v>6</v>
      </c>
      <c r="C184">
        <v>1984</v>
      </c>
      <c r="D184" s="112">
        <f t="shared" si="14"/>
        <v>30862</v>
      </c>
      <c r="E184">
        <v>16</v>
      </c>
      <c r="F184">
        <v>16</v>
      </c>
      <c r="G184" s="113">
        <v>5.1598934239300203</v>
      </c>
      <c r="H184" s="113">
        <f t="shared" si="15"/>
        <v>549.03675579789035</v>
      </c>
      <c r="I184" s="113">
        <v>4.051640105242555</v>
      </c>
      <c r="J184" s="113">
        <f t="shared" si="16"/>
        <v>686.43678889216199</v>
      </c>
      <c r="K184" s="113">
        <v>2.2704773711627264</v>
      </c>
      <c r="L184" s="113">
        <f t="shared" si="17"/>
        <v>350.29705562342355</v>
      </c>
      <c r="M184" s="97">
        <v>2.4658069860020619</v>
      </c>
      <c r="N184" s="97">
        <f t="shared" si="18"/>
        <v>396.38907359266022</v>
      </c>
      <c r="O184" s="113">
        <v>2.6359382659260207</v>
      </c>
      <c r="P184" s="113">
        <f t="shared" si="19"/>
        <v>265.37282719312412</v>
      </c>
      <c r="Q184" s="113">
        <v>2.7421964290049221</v>
      </c>
      <c r="R184" s="113">
        <f t="shared" si="20"/>
        <v>259.04929034111967</v>
      </c>
    </row>
    <row r="185" spans="1:18" x14ac:dyDescent="0.2">
      <c r="A185">
        <v>30</v>
      </c>
      <c r="B185">
        <v>6</v>
      </c>
      <c r="C185">
        <v>1984</v>
      </c>
      <c r="D185" s="112">
        <f t="shared" si="14"/>
        <v>30863</v>
      </c>
      <c r="E185">
        <v>20</v>
      </c>
      <c r="F185">
        <v>20</v>
      </c>
      <c r="G185" s="113">
        <v>4.8274595809679663</v>
      </c>
      <c r="H185" s="113">
        <f t="shared" si="15"/>
        <v>553.86421537885826</v>
      </c>
      <c r="I185" s="113">
        <v>5.5044625719571174</v>
      </c>
      <c r="J185" s="113">
        <f t="shared" si="16"/>
        <v>691.94125146411909</v>
      </c>
      <c r="K185" s="113">
        <v>3.3522737824863098</v>
      </c>
      <c r="L185" s="113">
        <f t="shared" si="17"/>
        <v>353.64932940590984</v>
      </c>
      <c r="M185" s="97">
        <v>3.5914319588753245</v>
      </c>
      <c r="N185" s="97">
        <f t="shared" si="18"/>
        <v>399.98050555153554</v>
      </c>
      <c r="O185" s="113">
        <v>2.9319872426131295</v>
      </c>
      <c r="P185" s="113">
        <f t="shared" si="19"/>
        <v>268.30481443573723</v>
      </c>
      <c r="Q185" s="113">
        <v>2.9883828800230492</v>
      </c>
      <c r="R185" s="113">
        <f t="shared" si="20"/>
        <v>262.03767322114271</v>
      </c>
    </row>
    <row r="186" spans="1:18" x14ac:dyDescent="0.2">
      <c r="A186">
        <v>1</v>
      </c>
      <c r="B186">
        <v>7</v>
      </c>
      <c r="C186">
        <v>1984</v>
      </c>
      <c r="D186" s="112">
        <f t="shared" si="14"/>
        <v>30864</v>
      </c>
      <c r="E186">
        <v>23.6</v>
      </c>
      <c r="F186">
        <v>23.6</v>
      </c>
      <c r="G186" s="113">
        <v>2.3218658686732381</v>
      </c>
      <c r="H186" s="113">
        <f t="shared" si="15"/>
        <v>556.18608124753155</v>
      </c>
      <c r="I186" s="113">
        <v>6.4546116691171322</v>
      </c>
      <c r="J186" s="113">
        <f t="shared" si="16"/>
        <v>698.39586313323628</v>
      </c>
      <c r="K186" s="113">
        <v>4.1180921863874467</v>
      </c>
      <c r="L186" s="113">
        <f t="shared" si="17"/>
        <v>357.7674215922973</v>
      </c>
      <c r="M186" s="97">
        <v>4.3835095208171815</v>
      </c>
      <c r="N186" s="97">
        <f t="shared" si="18"/>
        <v>404.36401507235274</v>
      </c>
      <c r="O186" s="113">
        <v>2.8776599057597982</v>
      </c>
      <c r="P186" s="113">
        <f t="shared" si="19"/>
        <v>271.18247434149703</v>
      </c>
      <c r="Q186" s="113">
        <v>3.0857069729165123</v>
      </c>
      <c r="R186" s="113">
        <f t="shared" si="20"/>
        <v>265.12338019405922</v>
      </c>
    </row>
    <row r="187" spans="1:18" x14ac:dyDescent="0.2">
      <c r="A187">
        <v>2</v>
      </c>
      <c r="B187">
        <v>7</v>
      </c>
      <c r="C187">
        <v>1984</v>
      </c>
      <c r="D187" s="112">
        <f t="shared" si="14"/>
        <v>30865</v>
      </c>
      <c r="E187">
        <v>13.4</v>
      </c>
      <c r="F187">
        <v>13.4</v>
      </c>
      <c r="G187" s="113">
        <v>4.8364986592958568</v>
      </c>
      <c r="H187" s="113">
        <f t="shared" si="15"/>
        <v>561.02257990682745</v>
      </c>
      <c r="I187" s="113">
        <v>2.9675634413428469</v>
      </c>
      <c r="J187" s="113">
        <f t="shared" si="16"/>
        <v>701.36342657457908</v>
      </c>
      <c r="K187" s="113">
        <v>1.5112837812187081</v>
      </c>
      <c r="L187" s="113">
        <f t="shared" si="17"/>
        <v>359.278705373516</v>
      </c>
      <c r="M187" s="97">
        <v>1.6698983826543938</v>
      </c>
      <c r="N187" s="97">
        <f t="shared" si="18"/>
        <v>406.03391345500711</v>
      </c>
      <c r="O187" s="113">
        <v>2.3962307473711566</v>
      </c>
      <c r="P187" s="113">
        <f t="shared" si="19"/>
        <v>273.57870508886816</v>
      </c>
      <c r="Q187" s="113">
        <v>2.5717494800520626</v>
      </c>
      <c r="R187" s="113">
        <f t="shared" si="20"/>
        <v>267.69512967411129</v>
      </c>
    </row>
    <row r="188" spans="1:18" x14ac:dyDescent="0.2">
      <c r="A188">
        <v>3</v>
      </c>
      <c r="B188">
        <v>7</v>
      </c>
      <c r="C188">
        <v>1984</v>
      </c>
      <c r="D188" s="112">
        <f t="shared" si="14"/>
        <v>30866</v>
      </c>
      <c r="E188">
        <v>20.8</v>
      </c>
      <c r="F188">
        <v>20.8</v>
      </c>
      <c r="G188" s="113">
        <v>5.0373503991931212</v>
      </c>
      <c r="H188" s="113">
        <f t="shared" si="15"/>
        <v>566.05993030602053</v>
      </c>
      <c r="I188" s="113">
        <v>5.7647758590522056</v>
      </c>
      <c r="J188" s="113">
        <f t="shared" si="16"/>
        <v>707.12820243363126</v>
      </c>
      <c r="K188" s="113">
        <v>3.5683401354752777</v>
      </c>
      <c r="L188" s="113">
        <f t="shared" si="17"/>
        <v>362.8470455089913</v>
      </c>
      <c r="M188" s="97">
        <v>3.8125659781747805</v>
      </c>
      <c r="N188" s="97">
        <f t="shared" si="18"/>
        <v>409.84647943318191</v>
      </c>
      <c r="O188" s="113">
        <v>3.2099158126255212</v>
      </c>
      <c r="P188" s="113">
        <f t="shared" si="19"/>
        <v>276.78862090149369</v>
      </c>
      <c r="Q188" s="113">
        <v>3.2603946539884436</v>
      </c>
      <c r="R188" s="113">
        <f t="shared" si="20"/>
        <v>270.95552432809973</v>
      </c>
    </row>
    <row r="189" spans="1:18" x14ac:dyDescent="0.2">
      <c r="A189">
        <v>4</v>
      </c>
      <c r="B189">
        <v>7</v>
      </c>
      <c r="C189">
        <v>1984</v>
      </c>
      <c r="D189" s="112">
        <f t="shared" si="14"/>
        <v>30867</v>
      </c>
      <c r="E189">
        <v>20.6</v>
      </c>
      <c r="F189">
        <v>20.6</v>
      </c>
      <c r="G189" s="113">
        <v>1.0886923204646271</v>
      </c>
      <c r="H189" s="113">
        <f t="shared" si="15"/>
        <v>567.14862262648512</v>
      </c>
      <c r="I189" s="113">
        <v>5.0835849523623162</v>
      </c>
      <c r="J189" s="113">
        <f t="shared" si="16"/>
        <v>712.2117873859936</v>
      </c>
      <c r="K189" s="113">
        <v>3.1963946191958739</v>
      </c>
      <c r="L189" s="113">
        <f t="shared" si="17"/>
        <v>366.04344012818717</v>
      </c>
      <c r="M189" s="97">
        <v>3.415030873218766</v>
      </c>
      <c r="N189" s="97">
        <f t="shared" si="18"/>
        <v>413.26151030640068</v>
      </c>
      <c r="O189" s="113">
        <v>2.8648570022927435</v>
      </c>
      <c r="P189" s="113">
        <f t="shared" si="19"/>
        <v>279.65347790378644</v>
      </c>
      <c r="Q189" s="113">
        <v>2.6380497542178958</v>
      </c>
      <c r="R189" s="113">
        <f t="shared" si="20"/>
        <v>273.59357408231762</v>
      </c>
    </row>
    <row r="190" spans="1:18" x14ac:dyDescent="0.2">
      <c r="A190">
        <v>5</v>
      </c>
      <c r="B190">
        <v>7</v>
      </c>
      <c r="C190">
        <v>1984</v>
      </c>
      <c r="D190" s="112">
        <f t="shared" si="14"/>
        <v>30868</v>
      </c>
      <c r="E190">
        <v>27.1</v>
      </c>
      <c r="F190">
        <v>27.1</v>
      </c>
      <c r="G190" s="113">
        <v>4.1071965068951197</v>
      </c>
      <c r="H190" s="113">
        <f t="shared" si="15"/>
        <v>571.25581913338021</v>
      </c>
      <c r="I190" s="113">
        <v>7.6622054816108829</v>
      </c>
      <c r="J190" s="113">
        <f t="shared" si="16"/>
        <v>719.87399286760444</v>
      </c>
      <c r="K190" s="113">
        <v>5.0827801907946286</v>
      </c>
      <c r="L190" s="113">
        <f t="shared" si="17"/>
        <v>371.12622031898178</v>
      </c>
      <c r="M190" s="97">
        <v>5.3827931373316771</v>
      </c>
      <c r="N190" s="97">
        <f t="shared" si="18"/>
        <v>418.64430344373238</v>
      </c>
      <c r="O190" s="113">
        <v>4.0618558217837437</v>
      </c>
      <c r="P190" s="113">
        <f t="shared" si="19"/>
        <v>283.71533372557019</v>
      </c>
      <c r="Q190" s="113">
        <v>3.8659170727315404</v>
      </c>
      <c r="R190" s="113">
        <f t="shared" si="20"/>
        <v>277.45949115504914</v>
      </c>
    </row>
    <row r="191" spans="1:18" x14ac:dyDescent="0.2">
      <c r="A191">
        <v>6</v>
      </c>
      <c r="B191">
        <v>7</v>
      </c>
      <c r="C191">
        <v>1984</v>
      </c>
      <c r="D191" s="112">
        <f t="shared" si="14"/>
        <v>30869</v>
      </c>
      <c r="E191">
        <v>26.1</v>
      </c>
      <c r="F191">
        <v>26.1</v>
      </c>
      <c r="G191" s="113">
        <v>2.3180000872149922</v>
      </c>
      <c r="H191" s="113">
        <f t="shared" si="15"/>
        <v>573.57381922059517</v>
      </c>
      <c r="I191" s="113">
        <v>6.5904098412870686</v>
      </c>
      <c r="J191" s="113">
        <f t="shared" si="16"/>
        <v>726.4644027088915</v>
      </c>
      <c r="K191" s="113">
        <v>4.4340996465408935</v>
      </c>
      <c r="L191" s="113">
        <f t="shared" si="17"/>
        <v>375.56031996552269</v>
      </c>
      <c r="M191" s="97">
        <v>4.6980478518314017</v>
      </c>
      <c r="N191" s="97">
        <f t="shared" si="18"/>
        <v>423.34235129556379</v>
      </c>
      <c r="O191" s="113">
        <v>3.9951151362678643</v>
      </c>
      <c r="P191" s="113">
        <f t="shared" si="19"/>
        <v>287.71044886183807</v>
      </c>
      <c r="Q191" s="113">
        <v>3.7650691108066083</v>
      </c>
      <c r="R191" s="113">
        <f t="shared" si="20"/>
        <v>281.22456026585576</v>
      </c>
    </row>
    <row r="192" spans="1:18" x14ac:dyDescent="0.2">
      <c r="A192">
        <v>7</v>
      </c>
      <c r="B192">
        <v>7</v>
      </c>
      <c r="C192">
        <v>1984</v>
      </c>
      <c r="D192" s="112">
        <f t="shared" si="14"/>
        <v>30870</v>
      </c>
      <c r="E192">
        <v>23.4</v>
      </c>
      <c r="F192">
        <v>23.4</v>
      </c>
      <c r="G192" s="113">
        <v>3.6441331351852631</v>
      </c>
      <c r="H192" s="113">
        <f t="shared" si="15"/>
        <v>577.21795235578043</v>
      </c>
      <c r="I192" s="113">
        <v>5.8278229232464014</v>
      </c>
      <c r="J192" s="113">
        <f t="shared" si="16"/>
        <v>732.29222563213784</v>
      </c>
      <c r="K192" s="113">
        <v>3.84638743730383</v>
      </c>
      <c r="L192" s="113">
        <f t="shared" si="17"/>
        <v>379.4067074028265</v>
      </c>
      <c r="M192" s="97">
        <v>4.0854753712181733</v>
      </c>
      <c r="N192" s="97">
        <f t="shared" si="18"/>
        <v>427.42782666678198</v>
      </c>
      <c r="O192" s="113">
        <v>4.0048138114730429</v>
      </c>
      <c r="P192" s="113">
        <f t="shared" si="19"/>
        <v>291.71526267331114</v>
      </c>
      <c r="Q192" s="113">
        <v>3.8662764192137677</v>
      </c>
      <c r="R192" s="113">
        <f t="shared" si="20"/>
        <v>285.09083668506952</v>
      </c>
    </row>
    <row r="193" spans="1:18" x14ac:dyDescent="0.2">
      <c r="A193">
        <v>8</v>
      </c>
      <c r="B193">
        <v>7</v>
      </c>
      <c r="C193">
        <v>1984</v>
      </c>
      <c r="D193" s="112">
        <f t="shared" si="14"/>
        <v>30871</v>
      </c>
      <c r="E193">
        <v>24.8</v>
      </c>
      <c r="F193">
        <v>24.8</v>
      </c>
      <c r="G193" s="113">
        <v>0</v>
      </c>
      <c r="H193" s="113">
        <f t="shared" si="15"/>
        <v>577.21795235578043</v>
      </c>
      <c r="I193" s="113">
        <v>4.884495428706729</v>
      </c>
      <c r="J193" s="113">
        <f t="shared" si="16"/>
        <v>737.17672106084456</v>
      </c>
      <c r="K193" s="113">
        <v>3.4322475463298026</v>
      </c>
      <c r="L193" s="113">
        <f t="shared" si="17"/>
        <v>382.83895494915629</v>
      </c>
      <c r="M193" s="97">
        <v>3.6377869640156129</v>
      </c>
      <c r="N193" s="97">
        <f t="shared" si="18"/>
        <v>431.0656136307976</v>
      </c>
      <c r="O193" s="113">
        <v>3.735563451085619</v>
      </c>
      <c r="P193" s="113">
        <f t="shared" si="19"/>
        <v>295.45082612439677</v>
      </c>
      <c r="Q193" s="113">
        <v>3.8079075790193779</v>
      </c>
      <c r="R193" s="113">
        <f t="shared" si="20"/>
        <v>288.89874426408892</v>
      </c>
    </row>
    <row r="194" spans="1:18" x14ac:dyDescent="0.2">
      <c r="A194">
        <v>9</v>
      </c>
      <c r="B194">
        <v>7</v>
      </c>
      <c r="C194">
        <v>1984</v>
      </c>
      <c r="D194" s="112">
        <f t="shared" si="14"/>
        <v>30872</v>
      </c>
      <c r="E194">
        <v>12.3</v>
      </c>
      <c r="F194">
        <v>12.3</v>
      </c>
      <c r="G194" s="113">
        <v>3.1446445399882443</v>
      </c>
      <c r="H194" s="113">
        <f t="shared" si="15"/>
        <v>580.36259689576866</v>
      </c>
      <c r="I194" s="113">
        <v>2.1788344390044285</v>
      </c>
      <c r="J194" s="113">
        <f t="shared" si="16"/>
        <v>739.35555549984895</v>
      </c>
      <c r="K194" s="113">
        <v>1.085880433340314</v>
      </c>
      <c r="L194" s="113">
        <f t="shared" si="17"/>
        <v>383.92483538249661</v>
      </c>
      <c r="M194" s="97">
        <v>1.2079208773499626</v>
      </c>
      <c r="N194" s="97">
        <f t="shared" si="18"/>
        <v>432.27353450814758</v>
      </c>
      <c r="O194" s="113">
        <v>2.407022538959958</v>
      </c>
      <c r="P194" s="113">
        <f t="shared" si="19"/>
        <v>297.85784866335672</v>
      </c>
      <c r="Q194" s="113">
        <v>2.6218586269564708</v>
      </c>
      <c r="R194" s="113">
        <f t="shared" si="20"/>
        <v>291.52060289104537</v>
      </c>
    </row>
    <row r="195" spans="1:18" x14ac:dyDescent="0.2">
      <c r="A195">
        <v>10</v>
      </c>
      <c r="B195">
        <v>7</v>
      </c>
      <c r="C195">
        <v>1984</v>
      </c>
      <c r="D195" s="112">
        <f t="shared" si="14"/>
        <v>30873</v>
      </c>
      <c r="E195">
        <v>19.3</v>
      </c>
      <c r="F195">
        <v>19.3</v>
      </c>
      <c r="G195" s="113">
        <v>1.0908341486262212</v>
      </c>
      <c r="H195" s="113">
        <f t="shared" si="15"/>
        <v>581.45343104439485</v>
      </c>
      <c r="I195" s="113">
        <v>3.9624801772567055</v>
      </c>
      <c r="J195" s="113">
        <f t="shared" si="16"/>
        <v>743.31803567710563</v>
      </c>
      <c r="K195" s="113">
        <v>2.5561813747032716</v>
      </c>
      <c r="L195" s="113">
        <f t="shared" si="17"/>
        <v>386.48101675719988</v>
      </c>
      <c r="M195" s="97">
        <v>2.7290800567017888</v>
      </c>
      <c r="N195" s="97">
        <f t="shared" si="18"/>
        <v>435.00261456484935</v>
      </c>
      <c r="O195" s="113">
        <v>2.7530933783966289</v>
      </c>
      <c r="P195" s="113">
        <f t="shared" si="19"/>
        <v>300.61094204175333</v>
      </c>
      <c r="Q195" s="113">
        <v>3.1277467351395027</v>
      </c>
      <c r="R195" s="113">
        <f t="shared" si="20"/>
        <v>294.64834962618488</v>
      </c>
    </row>
    <row r="196" spans="1:18" x14ac:dyDescent="0.2">
      <c r="A196">
        <v>11</v>
      </c>
      <c r="B196">
        <v>7</v>
      </c>
      <c r="C196">
        <v>1984</v>
      </c>
      <c r="D196" s="112">
        <f t="shared" si="14"/>
        <v>30874</v>
      </c>
      <c r="E196">
        <v>19.3</v>
      </c>
      <c r="F196">
        <v>19.3</v>
      </c>
      <c r="G196" s="113">
        <v>2.4318971371889995</v>
      </c>
      <c r="H196" s="113">
        <f t="shared" si="15"/>
        <v>583.88532818158387</v>
      </c>
      <c r="I196" s="113">
        <v>4.4942719095953532</v>
      </c>
      <c r="J196" s="113">
        <f t="shared" si="16"/>
        <v>747.81230758670097</v>
      </c>
      <c r="K196" s="113">
        <v>2.8315315829925378</v>
      </c>
      <c r="L196" s="113">
        <f t="shared" si="17"/>
        <v>389.31254834019239</v>
      </c>
      <c r="M196" s="97">
        <v>3.0208770118366175</v>
      </c>
      <c r="N196" s="97">
        <f t="shared" si="18"/>
        <v>438.02349157668596</v>
      </c>
      <c r="O196" s="113">
        <v>3.0463078675457158</v>
      </c>
      <c r="P196" s="113">
        <f t="shared" si="19"/>
        <v>303.65724990929903</v>
      </c>
      <c r="Q196" s="113">
        <v>3.2186037195469761</v>
      </c>
      <c r="R196" s="113">
        <f t="shared" si="20"/>
        <v>297.86695334573187</v>
      </c>
    </row>
    <row r="197" spans="1:18" x14ac:dyDescent="0.2">
      <c r="A197">
        <v>12</v>
      </c>
      <c r="B197">
        <v>7</v>
      </c>
      <c r="C197">
        <v>1984</v>
      </c>
      <c r="D197" s="112">
        <f t="shared" si="14"/>
        <v>30875</v>
      </c>
      <c r="E197">
        <v>14.9</v>
      </c>
      <c r="F197">
        <v>14.9</v>
      </c>
      <c r="G197" s="113">
        <v>3.1096544044749015</v>
      </c>
      <c r="H197" s="113">
        <f t="shared" si="15"/>
        <v>586.99498258605877</v>
      </c>
      <c r="I197" s="113">
        <v>3.0957796942065618</v>
      </c>
      <c r="J197" s="113">
        <f t="shared" si="16"/>
        <v>750.90808728090758</v>
      </c>
      <c r="K197" s="113">
        <v>1.7679856655834496</v>
      </c>
      <c r="L197" s="113">
        <f t="shared" si="17"/>
        <v>391.08053400577586</v>
      </c>
      <c r="M197" s="97">
        <v>1.9140646124521223</v>
      </c>
      <c r="N197" s="97">
        <f t="shared" si="18"/>
        <v>439.93755618913809</v>
      </c>
      <c r="O197" s="113">
        <v>2.656948167529491</v>
      </c>
      <c r="P197" s="113">
        <f t="shared" si="19"/>
        <v>306.31419807682852</v>
      </c>
      <c r="Q197" s="113">
        <v>2.9810544612107597</v>
      </c>
      <c r="R197" s="113">
        <f t="shared" si="20"/>
        <v>300.84800780694263</v>
      </c>
    </row>
    <row r="198" spans="1:18" x14ac:dyDescent="0.2">
      <c r="A198">
        <v>13</v>
      </c>
      <c r="B198">
        <v>7</v>
      </c>
      <c r="C198">
        <v>1984</v>
      </c>
      <c r="D198" s="112">
        <f t="shared" ref="D198:D261" si="21">DATE(C198,B198,A198)</f>
        <v>30876</v>
      </c>
      <c r="E198">
        <v>15</v>
      </c>
      <c r="F198">
        <v>15</v>
      </c>
      <c r="G198" s="113">
        <v>1.7080620331809599</v>
      </c>
      <c r="H198" s="113">
        <f t="shared" si="15"/>
        <v>588.70304461923968</v>
      </c>
      <c r="I198" s="113">
        <v>3.1678860526075283</v>
      </c>
      <c r="J198" s="113">
        <f t="shared" si="16"/>
        <v>754.07597333351509</v>
      </c>
      <c r="K198" s="113">
        <v>1.8073337642718421</v>
      </c>
      <c r="L198" s="113">
        <f t="shared" si="17"/>
        <v>392.88786777004771</v>
      </c>
      <c r="M198" s="97">
        <v>1.9535098148387544</v>
      </c>
      <c r="N198" s="97">
        <f t="shared" si="18"/>
        <v>441.89106600397685</v>
      </c>
      <c r="O198" s="113">
        <v>2.2484808903797213</v>
      </c>
      <c r="P198" s="113">
        <f t="shared" si="19"/>
        <v>308.56267896720823</v>
      </c>
      <c r="Q198" s="113">
        <v>2.3619915012329384</v>
      </c>
      <c r="R198" s="113">
        <f t="shared" si="20"/>
        <v>303.20999930817555</v>
      </c>
    </row>
    <row r="199" spans="1:18" x14ac:dyDescent="0.2">
      <c r="A199">
        <v>14</v>
      </c>
      <c r="B199">
        <v>7</v>
      </c>
      <c r="C199">
        <v>1984</v>
      </c>
      <c r="D199" s="112">
        <f t="shared" si="21"/>
        <v>30877</v>
      </c>
      <c r="E199">
        <v>12</v>
      </c>
      <c r="F199">
        <v>12</v>
      </c>
      <c r="G199" s="113">
        <v>1.486991980287746</v>
      </c>
      <c r="H199" s="113">
        <f t="shared" ref="H199:H262" si="22">H198+G199</f>
        <v>590.19003659952739</v>
      </c>
      <c r="I199" s="113">
        <v>2.157529932943179</v>
      </c>
      <c r="J199" s="113">
        <f t="shared" ref="J199:J262" si="23">J198+I199</f>
        <v>756.23350326645823</v>
      </c>
      <c r="K199" s="113">
        <v>1.0568237251436658</v>
      </c>
      <c r="L199" s="113">
        <f t="shared" ref="L199:L262" si="24">L198+K199</f>
        <v>393.94469149519136</v>
      </c>
      <c r="M199" s="97">
        <v>1.1718171189246105</v>
      </c>
      <c r="N199" s="97">
        <f t="shared" ref="N199:N262" si="25">N198+M199</f>
        <v>443.06288312290144</v>
      </c>
      <c r="O199" s="113">
        <v>1.8590751944321373</v>
      </c>
      <c r="P199" s="113">
        <f t="shared" ref="P199:P262" si="26">P198+O199</f>
        <v>310.42175416164037</v>
      </c>
      <c r="Q199" s="113">
        <v>2.0388385554701314</v>
      </c>
      <c r="R199" s="113">
        <f t="shared" ref="R199:R262" si="27">R198+Q199</f>
        <v>305.24883786364569</v>
      </c>
    </row>
    <row r="200" spans="1:18" x14ac:dyDescent="0.2">
      <c r="A200">
        <v>15</v>
      </c>
      <c r="B200">
        <v>7</v>
      </c>
      <c r="C200">
        <v>1984</v>
      </c>
      <c r="D200" s="112">
        <f t="shared" si="21"/>
        <v>30878</v>
      </c>
      <c r="E200">
        <v>14.8</v>
      </c>
      <c r="F200">
        <v>14.8</v>
      </c>
      <c r="G200" s="113">
        <v>4.6395376817617127</v>
      </c>
      <c r="H200" s="113">
        <f t="shared" si="22"/>
        <v>594.82957428128907</v>
      </c>
      <c r="I200" s="113">
        <v>3.5964791921390522</v>
      </c>
      <c r="J200" s="113">
        <f t="shared" si="23"/>
        <v>759.82998245859733</v>
      </c>
      <c r="K200" s="113">
        <v>1.9966996211302404</v>
      </c>
      <c r="L200" s="113">
        <f t="shared" si="24"/>
        <v>395.9413911163216</v>
      </c>
      <c r="M200" s="97">
        <v>2.1556479303384908</v>
      </c>
      <c r="N200" s="97">
        <f t="shared" si="25"/>
        <v>445.21853105323993</v>
      </c>
      <c r="O200" s="113">
        <v>2.5206604439716536</v>
      </c>
      <c r="P200" s="113">
        <f t="shared" si="26"/>
        <v>312.94241460561204</v>
      </c>
      <c r="Q200" s="113">
        <v>2.6518815743605781</v>
      </c>
      <c r="R200" s="113">
        <f t="shared" si="27"/>
        <v>307.90071943800626</v>
      </c>
    </row>
    <row r="201" spans="1:18" x14ac:dyDescent="0.2">
      <c r="A201">
        <v>16</v>
      </c>
      <c r="B201">
        <v>7</v>
      </c>
      <c r="C201">
        <v>1984</v>
      </c>
      <c r="D201" s="112">
        <f t="shared" si="21"/>
        <v>30879</v>
      </c>
      <c r="E201">
        <v>17.5</v>
      </c>
      <c r="F201">
        <v>17.5</v>
      </c>
      <c r="G201" s="113">
        <v>4.192643167705377</v>
      </c>
      <c r="H201" s="113">
        <f t="shared" si="22"/>
        <v>599.02221744899441</v>
      </c>
      <c r="I201" s="113">
        <v>4.4581599241968037</v>
      </c>
      <c r="J201" s="113">
        <f t="shared" si="23"/>
        <v>764.28814238279415</v>
      </c>
      <c r="K201" s="113">
        <v>2.6812652169384363</v>
      </c>
      <c r="L201" s="113">
        <f t="shared" si="24"/>
        <v>398.62265633326001</v>
      </c>
      <c r="M201" s="97">
        <v>2.8611129534406041</v>
      </c>
      <c r="N201" s="97">
        <f t="shared" si="25"/>
        <v>448.07964400668055</v>
      </c>
      <c r="O201" s="113">
        <v>2.8639647879166636</v>
      </c>
      <c r="P201" s="113">
        <f t="shared" si="26"/>
        <v>315.80637939352869</v>
      </c>
      <c r="Q201" s="113">
        <v>2.9412618668202222</v>
      </c>
      <c r="R201" s="113">
        <f t="shared" si="27"/>
        <v>310.8419813048265</v>
      </c>
    </row>
    <row r="202" spans="1:18" x14ac:dyDescent="0.2">
      <c r="A202">
        <v>17</v>
      </c>
      <c r="B202">
        <v>7</v>
      </c>
      <c r="C202">
        <v>1984</v>
      </c>
      <c r="D202" s="112">
        <f t="shared" si="21"/>
        <v>30880</v>
      </c>
      <c r="E202">
        <v>19.7</v>
      </c>
      <c r="F202">
        <v>19.7</v>
      </c>
      <c r="G202" s="113">
        <v>3.3557681928094492</v>
      </c>
      <c r="H202" s="113">
        <f t="shared" si="22"/>
        <v>602.37798564180389</v>
      </c>
      <c r="I202" s="113">
        <v>4.9899546801917669</v>
      </c>
      <c r="J202" s="113">
        <f t="shared" si="23"/>
        <v>769.27809706298592</v>
      </c>
      <c r="K202" s="113">
        <v>3.148362817785149</v>
      </c>
      <c r="L202" s="113">
        <f t="shared" si="24"/>
        <v>401.77101915104515</v>
      </c>
      <c r="M202" s="97">
        <v>3.3394847666300342</v>
      </c>
      <c r="N202" s="97">
        <f t="shared" si="25"/>
        <v>451.4191287733106</v>
      </c>
      <c r="O202" s="113">
        <v>3.1174979988449096</v>
      </c>
      <c r="P202" s="113">
        <f t="shared" si="26"/>
        <v>318.92387739237358</v>
      </c>
      <c r="Q202" s="113">
        <v>3.144415162624866</v>
      </c>
      <c r="R202" s="113">
        <f t="shared" si="27"/>
        <v>313.98639646745136</v>
      </c>
    </row>
    <row r="203" spans="1:18" x14ac:dyDescent="0.2">
      <c r="A203">
        <v>18</v>
      </c>
      <c r="B203">
        <v>7</v>
      </c>
      <c r="C203">
        <v>1984</v>
      </c>
      <c r="D203" s="112">
        <f t="shared" si="21"/>
        <v>30881</v>
      </c>
      <c r="E203">
        <v>6</v>
      </c>
      <c r="F203">
        <v>6</v>
      </c>
      <c r="G203" s="113">
        <v>3.5829356783143065</v>
      </c>
      <c r="H203" s="113">
        <f t="shared" si="22"/>
        <v>605.96092132011825</v>
      </c>
      <c r="I203" s="113">
        <v>0.84039562259593681</v>
      </c>
      <c r="J203" s="113">
        <f t="shared" si="23"/>
        <v>770.11849268558183</v>
      </c>
      <c r="K203" s="113">
        <v>-0.42512330165861928</v>
      </c>
      <c r="L203" s="113">
        <f t="shared" si="24"/>
        <v>401.34589584938652</v>
      </c>
      <c r="M203" s="97">
        <v>-0.36855776294799125</v>
      </c>
      <c r="N203" s="97">
        <f t="shared" si="25"/>
        <v>451.0505710103626</v>
      </c>
      <c r="O203" s="113">
        <v>1.5454277998847477</v>
      </c>
      <c r="P203" s="113">
        <f t="shared" si="26"/>
        <v>320.46930519225833</v>
      </c>
      <c r="Q203" s="113">
        <v>1.5332560259060986</v>
      </c>
      <c r="R203" s="113">
        <f t="shared" si="27"/>
        <v>315.51965249335746</v>
      </c>
    </row>
    <row r="204" spans="1:18" x14ac:dyDescent="0.2">
      <c r="A204">
        <v>19</v>
      </c>
      <c r="B204">
        <v>7</v>
      </c>
      <c r="C204">
        <v>1984</v>
      </c>
      <c r="D204" s="112">
        <f t="shared" si="21"/>
        <v>30882</v>
      </c>
      <c r="E204">
        <v>12.1</v>
      </c>
      <c r="F204">
        <v>12.1</v>
      </c>
      <c r="G204" s="113">
        <v>3.7388632921552389</v>
      </c>
      <c r="H204" s="113">
        <f t="shared" si="22"/>
        <v>609.69978461227345</v>
      </c>
      <c r="I204" s="113">
        <v>2.4457871718674404</v>
      </c>
      <c r="J204" s="113">
        <f t="shared" si="23"/>
        <v>772.56427985744926</v>
      </c>
      <c r="K204" s="113">
        <v>1.2142277033321491</v>
      </c>
      <c r="L204" s="113">
        <f t="shared" si="24"/>
        <v>402.56012355271866</v>
      </c>
      <c r="M204" s="97">
        <v>1.3322573458464921</v>
      </c>
      <c r="N204" s="97">
        <f t="shared" si="25"/>
        <v>452.38282835620907</v>
      </c>
      <c r="O204" s="113">
        <v>2.2227217055997932</v>
      </c>
      <c r="P204" s="113">
        <f t="shared" si="26"/>
        <v>322.69202689785811</v>
      </c>
      <c r="Q204" s="113">
        <v>2.303708600487727</v>
      </c>
      <c r="R204" s="113">
        <f t="shared" si="27"/>
        <v>317.82336109384516</v>
      </c>
    </row>
    <row r="205" spans="1:18" x14ac:dyDescent="0.2">
      <c r="A205">
        <v>20</v>
      </c>
      <c r="B205">
        <v>7</v>
      </c>
      <c r="C205">
        <v>1984</v>
      </c>
      <c r="D205" s="112">
        <f t="shared" si="21"/>
        <v>30883</v>
      </c>
      <c r="E205">
        <v>27.8</v>
      </c>
      <c r="F205">
        <v>27.8</v>
      </c>
      <c r="G205" s="113">
        <v>3.0324621231977056</v>
      </c>
      <c r="H205" s="113">
        <f t="shared" si="22"/>
        <v>612.73224673547111</v>
      </c>
      <c r="I205" s="113">
        <v>7.6402635171536986</v>
      </c>
      <c r="J205" s="113">
        <f t="shared" si="23"/>
        <v>780.20454337460296</v>
      </c>
      <c r="K205" s="113">
        <v>5.1986661451995513</v>
      </c>
      <c r="L205" s="113">
        <f t="shared" si="24"/>
        <v>407.75878969791819</v>
      </c>
      <c r="M205" s="97">
        <v>5.4521806248260871</v>
      </c>
      <c r="N205" s="97">
        <f t="shared" si="25"/>
        <v>457.83500898103517</v>
      </c>
      <c r="O205" s="113">
        <v>4.0714018816310045</v>
      </c>
      <c r="P205" s="113">
        <f t="shared" si="26"/>
        <v>326.76342877948912</v>
      </c>
      <c r="Q205" s="113">
        <v>3.975405790808261</v>
      </c>
      <c r="R205" s="113">
        <f t="shared" si="27"/>
        <v>321.79876688465345</v>
      </c>
    </row>
    <row r="206" spans="1:18" x14ac:dyDescent="0.2">
      <c r="A206">
        <v>21</v>
      </c>
      <c r="B206">
        <v>7</v>
      </c>
      <c r="C206">
        <v>1984</v>
      </c>
      <c r="D206" s="112">
        <f t="shared" si="21"/>
        <v>30884</v>
      </c>
      <c r="E206">
        <v>15.4</v>
      </c>
      <c r="F206">
        <v>15.4</v>
      </c>
      <c r="G206" s="113">
        <v>3.8511937672600998</v>
      </c>
      <c r="H206" s="113">
        <f t="shared" si="22"/>
        <v>616.58344050273126</v>
      </c>
      <c r="I206" s="113">
        <v>3.665215492361618</v>
      </c>
      <c r="J206" s="113">
        <f t="shared" si="23"/>
        <v>783.86975886696462</v>
      </c>
      <c r="K206" s="113">
        <v>2.1302302209147697</v>
      </c>
      <c r="L206" s="113">
        <f t="shared" si="24"/>
        <v>409.88901991883296</v>
      </c>
      <c r="M206" s="97">
        <v>2.2761641120940723</v>
      </c>
      <c r="N206" s="97">
        <f t="shared" si="25"/>
        <v>460.11117309312925</v>
      </c>
      <c r="O206" s="113">
        <v>2.626842262738498</v>
      </c>
      <c r="P206" s="113">
        <f t="shared" si="26"/>
        <v>329.3902710422276</v>
      </c>
      <c r="Q206" s="113">
        <v>2.6687646395084332</v>
      </c>
      <c r="R206" s="113">
        <f t="shared" si="27"/>
        <v>324.46753152416187</v>
      </c>
    </row>
    <row r="207" spans="1:18" x14ac:dyDescent="0.2">
      <c r="A207">
        <v>22</v>
      </c>
      <c r="B207">
        <v>7</v>
      </c>
      <c r="C207">
        <v>1984</v>
      </c>
      <c r="D207" s="112">
        <f t="shared" si="21"/>
        <v>30885</v>
      </c>
      <c r="E207">
        <v>21.2</v>
      </c>
      <c r="F207">
        <v>21.2</v>
      </c>
      <c r="G207" s="113">
        <v>4.9530213889819894</v>
      </c>
      <c r="H207" s="113">
        <f t="shared" si="22"/>
        <v>621.5364618917132</v>
      </c>
      <c r="I207" s="113">
        <v>5.9680011314728496</v>
      </c>
      <c r="J207" s="113">
        <f t="shared" si="23"/>
        <v>789.83775999843749</v>
      </c>
      <c r="K207" s="113">
        <v>3.8292846459238268</v>
      </c>
      <c r="L207" s="113">
        <f t="shared" si="24"/>
        <v>413.71830456475681</v>
      </c>
      <c r="M207" s="97">
        <v>4.0329560791500594</v>
      </c>
      <c r="N207" s="97">
        <f t="shared" si="25"/>
        <v>464.14412917227929</v>
      </c>
      <c r="O207" s="113">
        <v>3.6221537839346385</v>
      </c>
      <c r="P207" s="113">
        <f t="shared" si="26"/>
        <v>333.01242482616226</v>
      </c>
      <c r="Q207" s="113">
        <v>3.5390053876671397</v>
      </c>
      <c r="R207" s="113">
        <f t="shared" si="27"/>
        <v>328.00653691182902</v>
      </c>
    </row>
    <row r="208" spans="1:18" x14ac:dyDescent="0.2">
      <c r="A208">
        <v>23</v>
      </c>
      <c r="B208">
        <v>7</v>
      </c>
      <c r="C208">
        <v>1984</v>
      </c>
      <c r="D208" s="112">
        <f t="shared" si="21"/>
        <v>30886</v>
      </c>
      <c r="E208">
        <v>20.3</v>
      </c>
      <c r="F208">
        <v>20.3</v>
      </c>
      <c r="G208" s="113">
        <v>1.625267800287254</v>
      </c>
      <c r="H208" s="113">
        <f t="shared" si="22"/>
        <v>623.16172969200045</v>
      </c>
      <c r="I208" s="113">
        <v>5.1741861019861437</v>
      </c>
      <c r="J208" s="113">
        <f t="shared" si="23"/>
        <v>795.01194610042364</v>
      </c>
      <c r="K208" s="113">
        <v>3.3220158626325378</v>
      </c>
      <c r="L208" s="113">
        <f t="shared" si="24"/>
        <v>417.04032042738936</v>
      </c>
      <c r="M208" s="97">
        <v>3.499525358374298</v>
      </c>
      <c r="N208" s="97">
        <f t="shared" si="25"/>
        <v>467.64365453065358</v>
      </c>
      <c r="O208" s="113">
        <v>2.826729877077427</v>
      </c>
      <c r="P208" s="113">
        <f t="shared" si="26"/>
        <v>335.83915470323967</v>
      </c>
      <c r="Q208" s="113">
        <v>2.9107729761069612</v>
      </c>
      <c r="R208" s="113">
        <f t="shared" si="27"/>
        <v>330.91730988793597</v>
      </c>
    </row>
    <row r="209" spans="1:18" x14ac:dyDescent="0.2">
      <c r="A209">
        <v>24</v>
      </c>
      <c r="B209">
        <v>7</v>
      </c>
      <c r="C209">
        <v>1984</v>
      </c>
      <c r="D209" s="112">
        <f t="shared" si="21"/>
        <v>30887</v>
      </c>
      <c r="E209">
        <v>30</v>
      </c>
      <c r="F209">
        <v>30</v>
      </c>
      <c r="G209" s="113">
        <v>0.15269056933031316</v>
      </c>
      <c r="H209" s="113">
        <f t="shared" si="22"/>
        <v>623.31442026133072</v>
      </c>
      <c r="I209" s="113">
        <v>8.276995665266746</v>
      </c>
      <c r="J209" s="113">
        <f t="shared" si="23"/>
        <v>803.28894176569042</v>
      </c>
      <c r="K209" s="113">
        <v>5.8563802734748744</v>
      </c>
      <c r="L209" s="113">
        <f t="shared" si="24"/>
        <v>422.89670070086424</v>
      </c>
      <c r="M209" s="97">
        <v>6.1143976733081988</v>
      </c>
      <c r="N209" s="97">
        <f t="shared" si="25"/>
        <v>473.75805220396177</v>
      </c>
      <c r="O209" s="113">
        <v>3.3996645630338773</v>
      </c>
      <c r="P209" s="113">
        <f t="shared" si="26"/>
        <v>339.23881926627354</v>
      </c>
      <c r="Q209" s="113">
        <v>3.4933768681905746</v>
      </c>
      <c r="R209" s="113">
        <f t="shared" si="27"/>
        <v>334.41068675612655</v>
      </c>
    </row>
    <row r="210" spans="1:18" x14ac:dyDescent="0.2">
      <c r="A210">
        <v>25</v>
      </c>
      <c r="B210">
        <v>7</v>
      </c>
      <c r="C210">
        <v>1984</v>
      </c>
      <c r="D210" s="112">
        <f t="shared" si="21"/>
        <v>30888</v>
      </c>
      <c r="E210">
        <v>9.6999999999999993</v>
      </c>
      <c r="F210">
        <v>9.6999999999999993</v>
      </c>
      <c r="G210" s="113">
        <v>0</v>
      </c>
      <c r="H210" s="113">
        <f t="shared" si="22"/>
        <v>623.31442026133072</v>
      </c>
      <c r="I210" s="113">
        <v>1.5746259566583864</v>
      </c>
      <c r="J210" s="113">
        <f t="shared" si="23"/>
        <v>804.86356772234876</v>
      </c>
      <c r="K210" s="113">
        <v>0.60080502161276461</v>
      </c>
      <c r="L210" s="113">
        <f t="shared" si="24"/>
        <v>423.497505722477</v>
      </c>
      <c r="M210" s="97">
        <v>0.68395409510606797</v>
      </c>
      <c r="N210" s="97">
        <f t="shared" si="25"/>
        <v>474.44200629906783</v>
      </c>
      <c r="O210" s="113">
        <v>1.4216178760445777</v>
      </c>
      <c r="P210" s="113">
        <f t="shared" si="26"/>
        <v>340.66043714231813</v>
      </c>
      <c r="Q210" s="113">
        <v>1.3579299447082365</v>
      </c>
      <c r="R210" s="113">
        <f t="shared" si="27"/>
        <v>335.7686167008348</v>
      </c>
    </row>
    <row r="211" spans="1:18" x14ac:dyDescent="0.2">
      <c r="A211">
        <v>26</v>
      </c>
      <c r="B211">
        <v>7</v>
      </c>
      <c r="C211">
        <v>1984</v>
      </c>
      <c r="D211" s="112">
        <f t="shared" si="21"/>
        <v>30889</v>
      </c>
      <c r="E211">
        <v>13.1</v>
      </c>
      <c r="F211">
        <v>13.1</v>
      </c>
      <c r="G211" s="113">
        <v>3.0898495064719387</v>
      </c>
      <c r="H211" s="113">
        <f t="shared" si="22"/>
        <v>626.4042697678027</v>
      </c>
      <c r="I211" s="113">
        <v>2.9875493195278855</v>
      </c>
      <c r="J211" s="113">
        <f t="shared" si="23"/>
        <v>807.85111704187659</v>
      </c>
      <c r="K211" s="113">
        <v>1.6077422567114887</v>
      </c>
      <c r="L211" s="113">
        <f t="shared" si="24"/>
        <v>425.1052479791885</v>
      </c>
      <c r="M211" s="97">
        <v>1.7251666390137439</v>
      </c>
      <c r="N211" s="97">
        <f t="shared" si="25"/>
        <v>476.16717293808159</v>
      </c>
      <c r="O211" s="113">
        <v>2.281993852475146</v>
      </c>
      <c r="P211" s="113">
        <f t="shared" si="26"/>
        <v>342.94243099479326</v>
      </c>
      <c r="Q211" s="113">
        <v>2.2225302089277412</v>
      </c>
      <c r="R211" s="113">
        <f t="shared" si="27"/>
        <v>337.99114690976256</v>
      </c>
    </row>
    <row r="212" spans="1:18" x14ac:dyDescent="0.2">
      <c r="A212">
        <v>27</v>
      </c>
      <c r="B212">
        <v>7</v>
      </c>
      <c r="C212">
        <v>1984</v>
      </c>
      <c r="D212" s="112">
        <f t="shared" si="21"/>
        <v>30890</v>
      </c>
      <c r="E212">
        <v>-9.9000000000000005E-2</v>
      </c>
      <c r="F212">
        <v>15.8</v>
      </c>
      <c r="G212" s="113">
        <v>1.0136340106825692</v>
      </c>
      <c r="H212" s="113">
        <f t="shared" si="22"/>
        <v>627.41790377848531</v>
      </c>
      <c r="I212" s="113">
        <v>3.4546219173571791</v>
      </c>
      <c r="J212" s="113">
        <f t="shared" si="23"/>
        <v>811.30573895923374</v>
      </c>
      <c r="K212" s="113">
        <v>2.1040632326366162</v>
      </c>
      <c r="L212" s="113">
        <f t="shared" si="24"/>
        <v>427.20931121182514</v>
      </c>
      <c r="M212" s="97">
        <v>2.2268351352156541</v>
      </c>
      <c r="N212" s="97">
        <f t="shared" si="25"/>
        <v>478.39400807329724</v>
      </c>
      <c r="O212" s="113">
        <v>2.3164573168504488</v>
      </c>
      <c r="P212" s="113">
        <f t="shared" si="26"/>
        <v>345.25888831164372</v>
      </c>
      <c r="Q212" s="113">
        <v>2.4501942905304332</v>
      </c>
      <c r="R212" s="113">
        <f t="shared" si="27"/>
        <v>340.44134120029298</v>
      </c>
    </row>
    <row r="213" spans="1:18" x14ac:dyDescent="0.2">
      <c r="A213">
        <v>28</v>
      </c>
      <c r="B213">
        <v>7</v>
      </c>
      <c r="C213">
        <v>1984</v>
      </c>
      <c r="D213" s="112">
        <f t="shared" si="21"/>
        <v>30891</v>
      </c>
      <c r="E213">
        <v>-9.9000000000000005E-2</v>
      </c>
      <c r="F213">
        <v>15.8</v>
      </c>
      <c r="G213" s="113">
        <v>7.3341715640109379</v>
      </c>
      <c r="H213" s="113">
        <f t="shared" si="22"/>
        <v>634.75207534249625</v>
      </c>
      <c r="I213" s="113">
        <v>4.0354338202829068</v>
      </c>
      <c r="J213" s="113">
        <f t="shared" si="23"/>
        <v>815.34117277951668</v>
      </c>
      <c r="K213" s="113">
        <v>2.4261290260622057</v>
      </c>
      <c r="L213" s="113">
        <f t="shared" si="24"/>
        <v>429.63544023788734</v>
      </c>
      <c r="M213" s="97">
        <v>2.5641029343028769</v>
      </c>
      <c r="N213" s="97">
        <f t="shared" si="25"/>
        <v>480.95811100760011</v>
      </c>
      <c r="O213" s="113">
        <v>3.7536174435681606</v>
      </c>
      <c r="P213" s="113">
        <f t="shared" si="26"/>
        <v>349.01250575521186</v>
      </c>
      <c r="Q213" s="113">
        <v>3.7381187390597761</v>
      </c>
      <c r="R213" s="113">
        <f t="shared" si="27"/>
        <v>344.17945993935274</v>
      </c>
    </row>
    <row r="214" spans="1:18" x14ac:dyDescent="0.2">
      <c r="A214">
        <v>29</v>
      </c>
      <c r="B214">
        <v>7</v>
      </c>
      <c r="C214">
        <v>1984</v>
      </c>
      <c r="D214" s="112">
        <f t="shared" si="21"/>
        <v>30892</v>
      </c>
      <c r="E214">
        <v>-9.9000000000000005E-2</v>
      </c>
      <c r="F214">
        <v>15.8</v>
      </c>
      <c r="G214" s="113">
        <v>5.4924498020209693</v>
      </c>
      <c r="H214" s="113">
        <f t="shared" si="22"/>
        <v>640.24452514451718</v>
      </c>
      <c r="I214" s="113">
        <v>4.0242833479698827</v>
      </c>
      <c r="J214" s="113">
        <f t="shared" si="23"/>
        <v>819.3654561274866</v>
      </c>
      <c r="K214" s="113">
        <v>2.4190538046064685</v>
      </c>
      <c r="L214" s="113">
        <f t="shared" si="24"/>
        <v>432.05449404249379</v>
      </c>
      <c r="M214" s="97">
        <v>2.5530191437081426</v>
      </c>
      <c r="N214" s="97">
        <f t="shared" si="25"/>
        <v>483.51113015130824</v>
      </c>
      <c r="O214" s="113">
        <v>3.5524630258026102</v>
      </c>
      <c r="P214" s="113">
        <f t="shared" si="26"/>
        <v>352.5649687810145</v>
      </c>
      <c r="Q214" s="113">
        <v>3.4910448299700594</v>
      </c>
      <c r="R214" s="113">
        <f t="shared" si="27"/>
        <v>347.6705047693228</v>
      </c>
    </row>
    <row r="215" spans="1:18" x14ac:dyDescent="0.2">
      <c r="A215">
        <v>30</v>
      </c>
      <c r="B215">
        <v>7</v>
      </c>
      <c r="C215">
        <v>1984</v>
      </c>
      <c r="D215" s="112">
        <f t="shared" si="21"/>
        <v>30893</v>
      </c>
      <c r="E215">
        <v>18.5</v>
      </c>
      <c r="F215">
        <v>18.5</v>
      </c>
      <c r="G215" s="113">
        <v>6.0961723620418393</v>
      </c>
      <c r="H215" s="113">
        <f t="shared" si="22"/>
        <v>646.34069750655897</v>
      </c>
      <c r="I215" s="113">
        <v>5.1486685460929067</v>
      </c>
      <c r="J215" s="113">
        <f t="shared" si="23"/>
        <v>824.51412467357954</v>
      </c>
      <c r="K215" s="113">
        <v>3.2468695209531866</v>
      </c>
      <c r="L215" s="113">
        <f t="shared" si="24"/>
        <v>435.30136356344696</v>
      </c>
      <c r="M215" s="97">
        <v>3.4026023553972342</v>
      </c>
      <c r="N215" s="97">
        <f t="shared" si="25"/>
        <v>486.91373250670546</v>
      </c>
      <c r="O215" s="113">
        <v>3.6584170820615665</v>
      </c>
      <c r="P215" s="113">
        <f t="shared" si="26"/>
        <v>356.22338586307609</v>
      </c>
      <c r="Q215" s="113">
        <v>3.6266983581418115</v>
      </c>
      <c r="R215" s="113">
        <f t="shared" si="27"/>
        <v>351.29720312746463</v>
      </c>
    </row>
    <row r="216" spans="1:18" x14ac:dyDescent="0.2">
      <c r="A216">
        <v>31</v>
      </c>
      <c r="B216">
        <v>7</v>
      </c>
      <c r="C216">
        <v>1984</v>
      </c>
      <c r="D216" s="112">
        <f t="shared" si="21"/>
        <v>30894</v>
      </c>
      <c r="E216">
        <v>23</v>
      </c>
      <c r="F216">
        <v>23</v>
      </c>
      <c r="G216" s="113">
        <v>4.7542611151648684</v>
      </c>
      <c r="H216" s="113">
        <f t="shared" si="22"/>
        <v>651.09495862172389</v>
      </c>
      <c r="I216" s="113">
        <v>6.6886787319667507</v>
      </c>
      <c r="J216" s="113">
        <f t="shared" si="23"/>
        <v>831.20280340554632</v>
      </c>
      <c r="K216" s="113">
        <v>4.4317500883929579</v>
      </c>
      <c r="L216" s="113">
        <f t="shared" si="24"/>
        <v>439.73311365183991</v>
      </c>
      <c r="M216" s="97">
        <v>4.6156891942217433</v>
      </c>
      <c r="N216" s="97">
        <f t="shared" si="25"/>
        <v>491.52942170092717</v>
      </c>
      <c r="O216" s="113">
        <v>3.6703163976351174</v>
      </c>
      <c r="P216" s="113">
        <f t="shared" si="26"/>
        <v>359.89370226071122</v>
      </c>
      <c r="Q216" s="113">
        <v>3.7295871147145458</v>
      </c>
      <c r="R216" s="113">
        <f t="shared" si="27"/>
        <v>355.02679024217917</v>
      </c>
    </row>
    <row r="217" spans="1:18" x14ac:dyDescent="0.2">
      <c r="A217">
        <v>1</v>
      </c>
      <c r="B217">
        <v>8</v>
      </c>
      <c r="C217">
        <v>1984</v>
      </c>
      <c r="D217" s="112">
        <f t="shared" si="21"/>
        <v>30895</v>
      </c>
      <c r="E217">
        <v>19.899999999999999</v>
      </c>
      <c r="F217">
        <v>19.899999999999999</v>
      </c>
      <c r="G217" s="113">
        <v>6.8702203808889362</v>
      </c>
      <c r="H217" s="113">
        <f t="shared" si="22"/>
        <v>657.96517900261279</v>
      </c>
      <c r="I217" s="113">
        <v>6.5016358741463645</v>
      </c>
      <c r="J217" s="113">
        <f t="shared" si="23"/>
        <v>837.70443927969268</v>
      </c>
      <c r="K217" s="113">
        <v>4.0890933137148462</v>
      </c>
      <c r="L217" s="113">
        <f t="shared" si="24"/>
        <v>443.82220696555476</v>
      </c>
      <c r="M217" s="97">
        <v>4.2667756382853383</v>
      </c>
      <c r="N217" s="97">
        <f t="shared" si="25"/>
        <v>495.79619733921254</v>
      </c>
      <c r="O217" s="113">
        <v>3.3290629976832515</v>
      </c>
      <c r="P217" s="113">
        <f t="shared" si="26"/>
        <v>363.22276525839447</v>
      </c>
      <c r="Q217" s="113">
        <v>3.2241356933752465</v>
      </c>
      <c r="R217" s="113">
        <f t="shared" si="27"/>
        <v>358.25092593555445</v>
      </c>
    </row>
    <row r="218" spans="1:18" x14ac:dyDescent="0.2">
      <c r="A218">
        <v>2</v>
      </c>
      <c r="B218">
        <v>8</v>
      </c>
      <c r="C218">
        <v>1984</v>
      </c>
      <c r="D218" s="112">
        <f t="shared" si="21"/>
        <v>30896</v>
      </c>
      <c r="E218">
        <v>-9.9000000000000005E-2</v>
      </c>
      <c r="F218">
        <v>15</v>
      </c>
      <c r="G218" s="113">
        <v>3.2103081398490536</v>
      </c>
      <c r="H218" s="113">
        <f t="shared" si="22"/>
        <v>661.17548714246186</v>
      </c>
      <c r="I218" s="113">
        <v>3.6177993176164338</v>
      </c>
      <c r="J218" s="113">
        <f t="shared" si="23"/>
        <v>841.32223859730914</v>
      </c>
      <c r="K218" s="113">
        <v>2.1594207958926601</v>
      </c>
      <c r="L218" s="113">
        <f t="shared" si="24"/>
        <v>445.98162776144744</v>
      </c>
      <c r="M218" s="97">
        <v>2.2708672251005755</v>
      </c>
      <c r="N218" s="97">
        <f t="shared" si="25"/>
        <v>498.06706456431311</v>
      </c>
      <c r="O218" s="113">
        <v>2.6001303455938283</v>
      </c>
      <c r="P218" s="113">
        <f t="shared" si="26"/>
        <v>365.82289560398829</v>
      </c>
      <c r="Q218" s="113">
        <v>2.776731287824008</v>
      </c>
      <c r="R218" s="113">
        <f t="shared" si="27"/>
        <v>361.02765722337847</v>
      </c>
    </row>
    <row r="219" spans="1:18" x14ac:dyDescent="0.2">
      <c r="A219">
        <v>3</v>
      </c>
      <c r="B219">
        <v>8</v>
      </c>
      <c r="C219">
        <v>1984</v>
      </c>
      <c r="D219" s="112">
        <f t="shared" si="21"/>
        <v>30897</v>
      </c>
      <c r="E219">
        <v>-9.9000000000000005E-2</v>
      </c>
      <c r="F219">
        <v>15</v>
      </c>
      <c r="G219" s="113">
        <v>4.4154362909103737</v>
      </c>
      <c r="H219" s="113">
        <f t="shared" si="22"/>
        <v>665.59092343337227</v>
      </c>
      <c r="I219" s="113">
        <v>3.7977056410793759</v>
      </c>
      <c r="J219" s="113">
        <f t="shared" si="23"/>
        <v>845.11994423838848</v>
      </c>
      <c r="K219" s="113">
        <v>2.2599284348761035</v>
      </c>
      <c r="L219" s="113">
        <f t="shared" si="24"/>
        <v>448.24155619632353</v>
      </c>
      <c r="M219" s="97">
        <v>2.3729380192442693</v>
      </c>
      <c r="N219" s="97">
        <f t="shared" si="25"/>
        <v>500.44000258355737</v>
      </c>
      <c r="O219" s="113">
        <v>2.8567663401671091</v>
      </c>
      <c r="P219" s="113">
        <f t="shared" si="26"/>
        <v>368.67966194415538</v>
      </c>
      <c r="Q219" s="113">
        <v>2.9631493889031475</v>
      </c>
      <c r="R219" s="113">
        <f t="shared" si="27"/>
        <v>363.99080661228163</v>
      </c>
    </row>
    <row r="220" spans="1:18" x14ac:dyDescent="0.2">
      <c r="A220">
        <v>4</v>
      </c>
      <c r="B220">
        <v>8</v>
      </c>
      <c r="C220">
        <v>1984</v>
      </c>
      <c r="D220" s="112">
        <f t="shared" si="21"/>
        <v>30898</v>
      </c>
      <c r="E220">
        <v>-9.9000000000000005E-2</v>
      </c>
      <c r="F220">
        <v>15</v>
      </c>
      <c r="G220" s="113">
        <v>0.67358985667860594</v>
      </c>
      <c r="H220" s="113">
        <f t="shared" si="22"/>
        <v>666.2645132900509</v>
      </c>
      <c r="I220" s="113">
        <v>3.6640169862885568</v>
      </c>
      <c r="J220" s="113">
        <f t="shared" si="23"/>
        <v>848.783961224677</v>
      </c>
      <c r="K220" s="113">
        <v>2.1818917334471037</v>
      </c>
      <c r="L220" s="113">
        <f t="shared" si="24"/>
        <v>450.42344792977065</v>
      </c>
      <c r="M220" s="97">
        <v>2.2875101548290089</v>
      </c>
      <c r="N220" s="97">
        <f t="shared" si="25"/>
        <v>502.72751273838639</v>
      </c>
      <c r="O220" s="113">
        <v>1.7062434215895903</v>
      </c>
      <c r="P220" s="113">
        <f t="shared" si="26"/>
        <v>370.38590536574497</v>
      </c>
      <c r="Q220" s="113">
        <v>2.0507642923047467</v>
      </c>
      <c r="R220" s="113">
        <f t="shared" si="27"/>
        <v>366.04157090458637</v>
      </c>
    </row>
    <row r="221" spans="1:18" x14ac:dyDescent="0.2">
      <c r="A221">
        <v>5</v>
      </c>
      <c r="B221">
        <v>8</v>
      </c>
      <c r="C221">
        <v>1984</v>
      </c>
      <c r="D221" s="112">
        <f t="shared" si="21"/>
        <v>30899</v>
      </c>
      <c r="E221">
        <v>-9.9000000000000005E-2</v>
      </c>
      <c r="F221">
        <v>15</v>
      </c>
      <c r="G221" s="113">
        <v>4.8716683327294703</v>
      </c>
      <c r="H221" s="113">
        <f t="shared" si="22"/>
        <v>671.13618162278033</v>
      </c>
      <c r="I221" s="113">
        <v>4.2212082994332087</v>
      </c>
      <c r="J221" s="113">
        <f t="shared" si="23"/>
        <v>853.00516952411022</v>
      </c>
      <c r="K221" s="113">
        <v>2.4746284556200426</v>
      </c>
      <c r="L221" s="113">
        <f t="shared" si="24"/>
        <v>452.89807638539071</v>
      </c>
      <c r="M221" s="97">
        <v>2.5904776403380638</v>
      </c>
      <c r="N221" s="97">
        <f t="shared" si="25"/>
        <v>505.31799037872446</v>
      </c>
      <c r="O221" s="113">
        <v>2.49710534904874</v>
      </c>
      <c r="P221" s="113">
        <f t="shared" si="26"/>
        <v>372.88301071479373</v>
      </c>
      <c r="Q221" s="113">
        <v>2.565258175659701</v>
      </c>
      <c r="R221" s="113">
        <f t="shared" si="27"/>
        <v>368.60682908024609</v>
      </c>
    </row>
    <row r="222" spans="1:18" x14ac:dyDescent="0.2">
      <c r="A222">
        <v>6</v>
      </c>
      <c r="B222">
        <v>8</v>
      </c>
      <c r="C222">
        <v>1984</v>
      </c>
      <c r="D222" s="112">
        <f t="shared" si="21"/>
        <v>30900</v>
      </c>
      <c r="E222">
        <v>10.1</v>
      </c>
      <c r="F222">
        <v>10.1</v>
      </c>
      <c r="G222" s="113">
        <v>2.9186870071245017</v>
      </c>
      <c r="H222" s="113">
        <f t="shared" si="22"/>
        <v>674.05486862990483</v>
      </c>
      <c r="I222" s="113">
        <v>2.1297212734808424</v>
      </c>
      <c r="J222" s="113">
        <f t="shared" si="23"/>
        <v>855.13489079759108</v>
      </c>
      <c r="K222" s="113">
        <v>0.95657765422680363</v>
      </c>
      <c r="L222" s="113">
        <f t="shared" si="24"/>
        <v>453.85465403961751</v>
      </c>
      <c r="M222" s="97">
        <v>1.0309198476874701</v>
      </c>
      <c r="N222" s="97">
        <f t="shared" si="25"/>
        <v>506.34891022641193</v>
      </c>
      <c r="O222" s="113">
        <v>1.919277934919557</v>
      </c>
      <c r="P222" s="113">
        <f t="shared" si="26"/>
        <v>374.80228864971326</v>
      </c>
      <c r="Q222" s="113">
        <v>1.8880906023143353</v>
      </c>
      <c r="R222" s="113">
        <f t="shared" si="27"/>
        <v>370.49491968256041</v>
      </c>
    </row>
    <row r="223" spans="1:18" x14ac:dyDescent="0.2">
      <c r="A223">
        <v>7</v>
      </c>
      <c r="B223">
        <v>8</v>
      </c>
      <c r="C223">
        <v>1984</v>
      </c>
      <c r="D223" s="112">
        <f t="shared" si="21"/>
        <v>30901</v>
      </c>
      <c r="E223">
        <v>10.8</v>
      </c>
      <c r="F223">
        <v>10.8</v>
      </c>
      <c r="G223" s="113">
        <v>9.0748199955948934</v>
      </c>
      <c r="H223" s="113">
        <f t="shared" si="22"/>
        <v>683.12968862549974</v>
      </c>
      <c r="I223" s="113">
        <v>2.7594432670001035</v>
      </c>
      <c r="J223" s="113">
        <f t="shared" si="23"/>
        <v>857.89433406459113</v>
      </c>
      <c r="K223" s="113">
        <v>1.3362000397671621</v>
      </c>
      <c r="L223" s="113">
        <f t="shared" si="24"/>
        <v>455.19085407938468</v>
      </c>
      <c r="M223" s="97">
        <v>1.4234088157009359</v>
      </c>
      <c r="N223" s="97">
        <f t="shared" si="25"/>
        <v>507.77231904211288</v>
      </c>
      <c r="O223" s="113">
        <v>3.1343470128316255</v>
      </c>
      <c r="P223" s="113">
        <f t="shared" si="26"/>
        <v>377.93663566254486</v>
      </c>
      <c r="Q223" s="113">
        <v>3.1596442869561354</v>
      </c>
      <c r="R223" s="113">
        <f t="shared" si="27"/>
        <v>373.65456396951652</v>
      </c>
    </row>
    <row r="224" spans="1:18" x14ac:dyDescent="0.2">
      <c r="A224">
        <v>8</v>
      </c>
      <c r="B224">
        <v>8</v>
      </c>
      <c r="C224">
        <v>1984</v>
      </c>
      <c r="D224" s="112">
        <f t="shared" si="21"/>
        <v>30902</v>
      </c>
      <c r="E224">
        <v>13.5</v>
      </c>
      <c r="F224">
        <v>13.5</v>
      </c>
      <c r="G224" s="113">
        <v>4.4071096047550711</v>
      </c>
      <c r="H224" s="113">
        <f t="shared" si="22"/>
        <v>687.53679823025482</v>
      </c>
      <c r="I224" s="113">
        <v>3.5815904323491061</v>
      </c>
      <c r="J224" s="113">
        <f t="shared" si="23"/>
        <v>861.47592449694025</v>
      </c>
      <c r="K224" s="113">
        <v>2.040096962986214</v>
      </c>
      <c r="L224" s="113">
        <f t="shared" si="24"/>
        <v>457.23095104237092</v>
      </c>
      <c r="M224" s="97">
        <v>2.1348456337988102</v>
      </c>
      <c r="N224" s="97">
        <f t="shared" si="25"/>
        <v>509.9071646759117</v>
      </c>
      <c r="O224" s="113">
        <v>2.4574415404217471</v>
      </c>
      <c r="P224" s="113">
        <f t="shared" si="26"/>
        <v>380.39407720296663</v>
      </c>
      <c r="Q224" s="113">
        <v>2.4660611377243877</v>
      </c>
      <c r="R224" s="113">
        <f t="shared" si="27"/>
        <v>376.12062510724093</v>
      </c>
    </row>
    <row r="225" spans="1:18" x14ac:dyDescent="0.2">
      <c r="A225">
        <v>9</v>
      </c>
      <c r="B225">
        <v>8</v>
      </c>
      <c r="C225">
        <v>1984</v>
      </c>
      <c r="D225" s="112">
        <f t="shared" si="21"/>
        <v>30903</v>
      </c>
      <c r="E225">
        <v>15.7</v>
      </c>
      <c r="F225">
        <v>15.7</v>
      </c>
      <c r="G225" s="113">
        <v>3.2892111127342938</v>
      </c>
      <c r="H225" s="113">
        <f t="shared" si="22"/>
        <v>690.8260093429891</v>
      </c>
      <c r="I225" s="113">
        <v>4.3113321981858208</v>
      </c>
      <c r="J225" s="113">
        <f t="shared" si="23"/>
        <v>865.78725669512608</v>
      </c>
      <c r="K225" s="113">
        <v>2.6354720130755642</v>
      </c>
      <c r="L225" s="113">
        <f t="shared" si="24"/>
        <v>459.86642305544649</v>
      </c>
      <c r="M225" s="97">
        <v>2.7385595140076937</v>
      </c>
      <c r="N225" s="97">
        <f t="shared" si="25"/>
        <v>512.64572418991941</v>
      </c>
      <c r="O225" s="113">
        <v>2.6417904217120869</v>
      </c>
      <c r="P225" s="113">
        <f t="shared" si="26"/>
        <v>383.0358676246787</v>
      </c>
      <c r="Q225" s="113">
        <v>2.6004896043414574</v>
      </c>
      <c r="R225" s="113">
        <f t="shared" si="27"/>
        <v>378.7211147115824</v>
      </c>
    </row>
    <row r="226" spans="1:18" x14ac:dyDescent="0.2">
      <c r="A226">
        <v>10</v>
      </c>
      <c r="B226">
        <v>8</v>
      </c>
      <c r="C226">
        <v>1984</v>
      </c>
      <c r="D226" s="112">
        <f t="shared" si="21"/>
        <v>30904</v>
      </c>
      <c r="E226">
        <v>17.8</v>
      </c>
      <c r="F226">
        <v>17.8</v>
      </c>
      <c r="G226" s="113">
        <v>5.9563080432148503</v>
      </c>
      <c r="H226" s="113">
        <f t="shared" si="22"/>
        <v>696.782317386204</v>
      </c>
      <c r="I226" s="113">
        <v>5.7939598494198776</v>
      </c>
      <c r="J226" s="113">
        <f t="shared" si="23"/>
        <v>871.5812165445459</v>
      </c>
      <c r="K226" s="113">
        <v>3.6102800435411662</v>
      </c>
      <c r="L226" s="113">
        <f t="shared" si="24"/>
        <v>463.47670309898763</v>
      </c>
      <c r="M226" s="97">
        <v>3.7351278794293998</v>
      </c>
      <c r="N226" s="97">
        <f t="shared" si="25"/>
        <v>516.38085206934886</v>
      </c>
      <c r="O226" s="113">
        <v>2.9450553026515625</v>
      </c>
      <c r="P226" s="113">
        <f t="shared" si="26"/>
        <v>385.98092292733025</v>
      </c>
      <c r="Q226" s="113">
        <v>2.9153565350975503</v>
      </c>
      <c r="R226" s="113">
        <f t="shared" si="27"/>
        <v>381.63647124667995</v>
      </c>
    </row>
    <row r="227" spans="1:18" x14ac:dyDescent="0.2">
      <c r="A227">
        <v>11</v>
      </c>
      <c r="B227">
        <v>8</v>
      </c>
      <c r="C227">
        <v>1984</v>
      </c>
      <c r="D227" s="112">
        <f t="shared" si="21"/>
        <v>30905</v>
      </c>
      <c r="E227">
        <v>19.600000000000001</v>
      </c>
      <c r="F227">
        <v>19.600000000000001</v>
      </c>
      <c r="G227" s="113">
        <v>2.4438913928628438</v>
      </c>
      <c r="H227" s="113">
        <f t="shared" si="22"/>
        <v>699.22620877906684</v>
      </c>
      <c r="I227" s="113">
        <v>6.1245759925368448</v>
      </c>
      <c r="J227" s="113">
        <f t="shared" si="23"/>
        <v>877.70579253708274</v>
      </c>
      <c r="K227" s="113">
        <v>3.9499109808460062</v>
      </c>
      <c r="L227" s="113">
        <f t="shared" si="24"/>
        <v>467.42661407983366</v>
      </c>
      <c r="M227" s="97">
        <v>4.0745185537213207</v>
      </c>
      <c r="N227" s="97">
        <f t="shared" si="25"/>
        <v>520.45537062307017</v>
      </c>
      <c r="O227" s="113">
        <v>2.7213994123366536</v>
      </c>
      <c r="P227" s="113">
        <f t="shared" si="26"/>
        <v>388.70232233966692</v>
      </c>
      <c r="Q227" s="113">
        <v>2.4389567059562061</v>
      </c>
      <c r="R227" s="113">
        <f t="shared" si="27"/>
        <v>384.07542795263618</v>
      </c>
    </row>
    <row r="228" spans="1:18" x14ac:dyDescent="0.2">
      <c r="A228">
        <v>12</v>
      </c>
      <c r="B228">
        <v>8</v>
      </c>
      <c r="C228">
        <v>1984</v>
      </c>
      <c r="D228" s="112">
        <f t="shared" si="21"/>
        <v>30906</v>
      </c>
      <c r="E228">
        <v>17.8</v>
      </c>
      <c r="F228">
        <v>17.8</v>
      </c>
      <c r="G228" s="113">
        <v>2.1813207659351903</v>
      </c>
      <c r="H228" s="113">
        <f t="shared" si="22"/>
        <v>701.40752954500203</v>
      </c>
      <c r="I228" s="113">
        <v>5.3410350673855094</v>
      </c>
      <c r="J228" s="113">
        <f t="shared" si="23"/>
        <v>883.04682760446826</v>
      </c>
      <c r="K228" s="113">
        <v>3.3860399208996097</v>
      </c>
      <c r="L228" s="113">
        <f t="shared" si="24"/>
        <v>470.81265400073329</v>
      </c>
      <c r="M228" s="97">
        <v>3.4945131680430057</v>
      </c>
      <c r="N228" s="97">
        <f t="shared" si="25"/>
        <v>523.94988379111317</v>
      </c>
      <c r="O228" s="113">
        <v>2.5524443873290381</v>
      </c>
      <c r="P228" s="113">
        <f t="shared" si="26"/>
        <v>391.25476672699597</v>
      </c>
      <c r="Q228" s="113">
        <v>2.380680286939687</v>
      </c>
      <c r="R228" s="113">
        <f t="shared" si="27"/>
        <v>386.45610823957588</v>
      </c>
    </row>
    <row r="229" spans="1:18" x14ac:dyDescent="0.2">
      <c r="A229">
        <v>13</v>
      </c>
      <c r="B229">
        <v>8</v>
      </c>
      <c r="C229">
        <v>1984</v>
      </c>
      <c r="D229" s="112">
        <f t="shared" si="21"/>
        <v>30907</v>
      </c>
      <c r="E229">
        <v>8.8000000000000007</v>
      </c>
      <c r="F229">
        <v>8.8000000000000007</v>
      </c>
      <c r="G229" s="113">
        <v>2.4510754105515105</v>
      </c>
      <c r="H229" s="113">
        <f t="shared" si="22"/>
        <v>703.85860495555357</v>
      </c>
      <c r="I229" s="113">
        <v>1.6326765013123972</v>
      </c>
      <c r="J229" s="113">
        <f t="shared" si="23"/>
        <v>884.67950410578067</v>
      </c>
      <c r="K229" s="113">
        <v>0.65168967068918715</v>
      </c>
      <c r="L229" s="113">
        <f t="shared" si="24"/>
        <v>471.46434367142245</v>
      </c>
      <c r="M229" s="97">
        <v>0.70243215025674377</v>
      </c>
      <c r="N229" s="97">
        <f t="shared" si="25"/>
        <v>524.65231594136992</v>
      </c>
      <c r="O229" s="113">
        <v>1.6586191360066265</v>
      </c>
      <c r="P229" s="113">
        <f t="shared" si="26"/>
        <v>392.91338586300259</v>
      </c>
      <c r="Q229" s="113">
        <v>1.606621937362553</v>
      </c>
      <c r="R229" s="113">
        <f t="shared" si="27"/>
        <v>388.06273017693843</v>
      </c>
    </row>
    <row r="230" spans="1:18" x14ac:dyDescent="0.2">
      <c r="A230">
        <v>14</v>
      </c>
      <c r="B230">
        <v>8</v>
      </c>
      <c r="C230">
        <v>1984</v>
      </c>
      <c r="D230" s="112">
        <f t="shared" si="21"/>
        <v>30908</v>
      </c>
      <c r="E230">
        <v>9.1999999999999993</v>
      </c>
      <c r="F230">
        <v>9.1999999999999993</v>
      </c>
      <c r="G230" s="113">
        <v>2.4034959829237321</v>
      </c>
      <c r="H230" s="113">
        <f t="shared" si="22"/>
        <v>706.26210093847726</v>
      </c>
      <c r="I230" s="113">
        <v>1.7591358302913749</v>
      </c>
      <c r="J230" s="113">
        <f t="shared" si="23"/>
        <v>886.43863993607204</v>
      </c>
      <c r="K230" s="113">
        <v>0.77114949487255846</v>
      </c>
      <c r="L230" s="113">
        <f t="shared" si="24"/>
        <v>472.23549316629499</v>
      </c>
      <c r="M230" s="97">
        <v>0.82136817287384101</v>
      </c>
      <c r="N230" s="97">
        <f t="shared" si="25"/>
        <v>525.47368411424372</v>
      </c>
      <c r="O230" s="113">
        <v>1.78927539598179</v>
      </c>
      <c r="P230" s="113">
        <f t="shared" si="26"/>
        <v>394.70266125898439</v>
      </c>
      <c r="Q230" s="113">
        <v>1.72562990931895</v>
      </c>
      <c r="R230" s="113">
        <f t="shared" si="27"/>
        <v>389.7883600862574</v>
      </c>
    </row>
    <row r="231" spans="1:18" x14ac:dyDescent="0.2">
      <c r="A231">
        <v>15</v>
      </c>
      <c r="B231">
        <v>8</v>
      </c>
      <c r="C231">
        <v>1984</v>
      </c>
      <c r="D231" s="112">
        <f t="shared" si="21"/>
        <v>30909</v>
      </c>
      <c r="E231">
        <v>14.4</v>
      </c>
      <c r="F231">
        <v>14.4</v>
      </c>
      <c r="G231" s="113">
        <v>2.7187653106489051</v>
      </c>
      <c r="H231" s="113">
        <f t="shared" si="22"/>
        <v>708.98086624912617</v>
      </c>
      <c r="I231" s="113">
        <v>3.8269689608523079</v>
      </c>
      <c r="J231" s="113">
        <f t="shared" si="23"/>
        <v>890.26560889692439</v>
      </c>
      <c r="K231" s="113">
        <v>2.3325480181389722</v>
      </c>
      <c r="L231" s="113">
        <f t="shared" si="24"/>
        <v>474.56804118443398</v>
      </c>
      <c r="M231" s="97">
        <v>2.4091359155503782</v>
      </c>
      <c r="N231" s="97">
        <f t="shared" si="25"/>
        <v>527.88282002979406</v>
      </c>
      <c r="O231" s="113">
        <v>2.3854553323375938</v>
      </c>
      <c r="P231" s="113">
        <f t="shared" si="26"/>
        <v>397.08811659132198</v>
      </c>
      <c r="Q231" s="113">
        <v>2.3107067029136683</v>
      </c>
      <c r="R231" s="113">
        <f t="shared" si="27"/>
        <v>392.09906678917105</v>
      </c>
    </row>
    <row r="232" spans="1:18" x14ac:dyDescent="0.2">
      <c r="A232">
        <v>16</v>
      </c>
      <c r="B232">
        <v>8</v>
      </c>
      <c r="C232">
        <v>1984</v>
      </c>
      <c r="D232" s="112">
        <f t="shared" si="21"/>
        <v>30910</v>
      </c>
      <c r="E232">
        <v>13.7</v>
      </c>
      <c r="F232">
        <v>13.7</v>
      </c>
      <c r="G232" s="113">
        <v>3.0319920780704481</v>
      </c>
      <c r="H232" s="113">
        <f t="shared" si="22"/>
        <v>712.01285832719657</v>
      </c>
      <c r="I232" s="113">
        <v>3.704192158297769</v>
      </c>
      <c r="J232" s="113">
        <f t="shared" si="23"/>
        <v>893.96980105522221</v>
      </c>
      <c r="K232" s="113">
        <v>2.2071922896077192</v>
      </c>
      <c r="L232" s="113">
        <f t="shared" si="24"/>
        <v>476.77523347404173</v>
      </c>
      <c r="M232" s="97">
        <v>2.2795265519356191</v>
      </c>
      <c r="N232" s="97">
        <f t="shared" si="25"/>
        <v>530.16234658172971</v>
      </c>
      <c r="O232" s="113">
        <v>2.2193940923522582</v>
      </c>
      <c r="P232" s="113">
        <f t="shared" si="26"/>
        <v>399.30751068367425</v>
      </c>
      <c r="Q232" s="113">
        <v>2.1737452782373117</v>
      </c>
      <c r="R232" s="113">
        <f t="shared" si="27"/>
        <v>394.27281206740838</v>
      </c>
    </row>
    <row r="233" spans="1:18" x14ac:dyDescent="0.2">
      <c r="A233">
        <v>17</v>
      </c>
      <c r="B233">
        <v>8</v>
      </c>
      <c r="C233">
        <v>1984</v>
      </c>
      <c r="D233" s="112">
        <f t="shared" si="21"/>
        <v>30911</v>
      </c>
      <c r="E233">
        <v>15.8</v>
      </c>
      <c r="F233">
        <v>15.8</v>
      </c>
      <c r="G233" s="113">
        <v>3.0950972457027541</v>
      </c>
      <c r="H233" s="113">
        <f t="shared" si="22"/>
        <v>715.1079555728993</v>
      </c>
      <c r="I233" s="113">
        <v>4.5445436078240427</v>
      </c>
      <c r="J233" s="113">
        <f t="shared" si="23"/>
        <v>898.51434466304624</v>
      </c>
      <c r="K233" s="113">
        <v>2.8613627515695543</v>
      </c>
      <c r="L233" s="113">
        <f t="shared" si="24"/>
        <v>479.6365962256113</v>
      </c>
      <c r="M233" s="97">
        <v>2.9415531524284342</v>
      </c>
      <c r="N233" s="97">
        <f t="shared" si="25"/>
        <v>533.10389973415818</v>
      </c>
      <c r="O233" s="113">
        <v>2.6195999828404384</v>
      </c>
      <c r="P233" s="113">
        <f t="shared" si="26"/>
        <v>401.92711066651469</v>
      </c>
      <c r="Q233" s="113">
        <v>2.5017947184987763</v>
      </c>
      <c r="R233" s="113">
        <f t="shared" si="27"/>
        <v>396.77460678590717</v>
      </c>
    </row>
    <row r="234" spans="1:18" x14ac:dyDescent="0.2">
      <c r="A234">
        <v>18</v>
      </c>
      <c r="B234">
        <v>8</v>
      </c>
      <c r="C234">
        <v>1984</v>
      </c>
      <c r="D234" s="112">
        <f t="shared" si="21"/>
        <v>30912</v>
      </c>
      <c r="E234">
        <v>-9.9000000000000005E-2</v>
      </c>
      <c r="F234">
        <v>17.850000000000001</v>
      </c>
      <c r="G234" s="113">
        <v>4.4798726604155066</v>
      </c>
      <c r="H234" s="113">
        <f t="shared" si="22"/>
        <v>719.58782823331478</v>
      </c>
      <c r="I234" s="113">
        <v>5.6912245370207506</v>
      </c>
      <c r="J234" s="113">
        <f t="shared" si="23"/>
        <v>904.20556920006698</v>
      </c>
      <c r="K234" s="113">
        <v>3.673426532406693</v>
      </c>
      <c r="L234" s="113">
        <f t="shared" si="24"/>
        <v>483.31002275801796</v>
      </c>
      <c r="M234" s="97">
        <v>3.7647618965064056</v>
      </c>
      <c r="N234" s="97">
        <f t="shared" si="25"/>
        <v>536.86866163066463</v>
      </c>
      <c r="O234" s="113">
        <v>2.8313811756424361</v>
      </c>
      <c r="P234" s="113">
        <f t="shared" si="26"/>
        <v>404.75849184215713</v>
      </c>
      <c r="Q234" s="113">
        <v>2.6960104790869885</v>
      </c>
      <c r="R234" s="113">
        <f t="shared" si="27"/>
        <v>399.47061726499413</v>
      </c>
    </row>
    <row r="235" spans="1:18" x14ac:dyDescent="0.2">
      <c r="A235">
        <v>19</v>
      </c>
      <c r="B235">
        <v>8</v>
      </c>
      <c r="C235">
        <v>1984</v>
      </c>
      <c r="D235" s="112">
        <f t="shared" si="21"/>
        <v>30913</v>
      </c>
      <c r="E235">
        <v>19.899999999999999</v>
      </c>
      <c r="F235">
        <v>19.899999999999999</v>
      </c>
      <c r="G235" s="113">
        <v>3.6432658555214159</v>
      </c>
      <c r="H235" s="113">
        <f t="shared" si="22"/>
        <v>723.23109408883624</v>
      </c>
      <c r="I235" s="113">
        <v>6.1987879907862435</v>
      </c>
      <c r="J235" s="113">
        <f t="shared" si="23"/>
        <v>910.40435719085326</v>
      </c>
      <c r="K235" s="113">
        <v>4.1569822110965076</v>
      </c>
      <c r="L235" s="113">
        <f t="shared" si="24"/>
        <v>487.4670049691145</v>
      </c>
      <c r="M235" s="97">
        <v>4.2505269194379469</v>
      </c>
      <c r="N235" s="97">
        <f t="shared" si="25"/>
        <v>541.11918855010254</v>
      </c>
      <c r="O235" s="113">
        <v>3.1652915669923471</v>
      </c>
      <c r="P235" s="113">
        <f t="shared" si="26"/>
        <v>407.92378340914945</v>
      </c>
      <c r="Q235" s="113">
        <v>2.9201882759870532</v>
      </c>
      <c r="R235" s="113">
        <f t="shared" si="27"/>
        <v>402.39080554098121</v>
      </c>
    </row>
    <row r="236" spans="1:18" x14ac:dyDescent="0.2">
      <c r="A236">
        <v>20</v>
      </c>
      <c r="B236">
        <v>8</v>
      </c>
      <c r="C236">
        <v>1984</v>
      </c>
      <c r="D236" s="112">
        <f t="shared" si="21"/>
        <v>30914</v>
      </c>
      <c r="E236">
        <v>18.3</v>
      </c>
      <c r="F236">
        <v>18.3</v>
      </c>
      <c r="G236" s="113">
        <v>5.6043869612235948</v>
      </c>
      <c r="H236" s="113">
        <f t="shared" si="22"/>
        <v>728.8354810500598</v>
      </c>
      <c r="I236" s="113">
        <v>5.8503001647659758</v>
      </c>
      <c r="J236" s="113">
        <f t="shared" si="23"/>
        <v>916.2546573556192</v>
      </c>
      <c r="K236" s="113">
        <v>3.8532984394066339</v>
      </c>
      <c r="L236" s="113">
        <f t="shared" si="24"/>
        <v>491.32030340852111</v>
      </c>
      <c r="M236" s="97">
        <v>3.9396487369800237</v>
      </c>
      <c r="N236" s="97">
        <f t="shared" si="25"/>
        <v>545.05883728708261</v>
      </c>
      <c r="O236" s="113">
        <v>3.8424030573053516</v>
      </c>
      <c r="P236" s="113">
        <f t="shared" si="26"/>
        <v>411.76618646645483</v>
      </c>
      <c r="Q236" s="113">
        <v>3.6492206957488724</v>
      </c>
      <c r="R236" s="113">
        <f t="shared" si="27"/>
        <v>406.04002623673006</v>
      </c>
    </row>
    <row r="237" spans="1:18" x14ac:dyDescent="0.2">
      <c r="A237">
        <v>21</v>
      </c>
      <c r="B237">
        <v>8</v>
      </c>
      <c r="C237">
        <v>1984</v>
      </c>
      <c r="D237" s="112">
        <f t="shared" si="21"/>
        <v>30915</v>
      </c>
      <c r="E237">
        <v>-9.9000000000000005E-2</v>
      </c>
      <c r="F237">
        <v>12.25</v>
      </c>
      <c r="G237" s="113">
        <v>4.4560245744272597</v>
      </c>
      <c r="H237" s="113">
        <f t="shared" si="22"/>
        <v>733.29150562448706</v>
      </c>
      <c r="I237" s="113">
        <v>3.1042499067817428</v>
      </c>
      <c r="J237" s="113">
        <f t="shared" si="23"/>
        <v>919.35890726240098</v>
      </c>
      <c r="K237" s="113">
        <v>1.8377934085889387</v>
      </c>
      <c r="L237" s="113">
        <f t="shared" si="24"/>
        <v>493.15809681711005</v>
      </c>
      <c r="M237" s="97">
        <v>1.8904428671558211</v>
      </c>
      <c r="N237" s="97">
        <f t="shared" si="25"/>
        <v>546.94928015423841</v>
      </c>
      <c r="O237" s="113">
        <v>3.3117907311365342</v>
      </c>
      <c r="P237" s="113">
        <f t="shared" si="26"/>
        <v>415.07797719759134</v>
      </c>
      <c r="Q237" s="113">
        <v>3.1195054308301242</v>
      </c>
      <c r="R237" s="113">
        <f t="shared" si="27"/>
        <v>409.1595316675602</v>
      </c>
    </row>
    <row r="238" spans="1:18" x14ac:dyDescent="0.2">
      <c r="A238">
        <v>22</v>
      </c>
      <c r="B238">
        <v>8</v>
      </c>
      <c r="C238">
        <v>1984</v>
      </c>
      <c r="D238" s="112">
        <f t="shared" si="21"/>
        <v>30916</v>
      </c>
      <c r="E238">
        <v>-9.9000000000000005E-2</v>
      </c>
      <c r="F238">
        <v>12.25</v>
      </c>
      <c r="G238" s="113">
        <v>4.5163549037593649</v>
      </c>
      <c r="H238" s="113">
        <f t="shared" si="22"/>
        <v>737.80786052824647</v>
      </c>
      <c r="I238" s="113">
        <v>3.174593090565903</v>
      </c>
      <c r="J238" s="113">
        <f t="shared" si="23"/>
        <v>922.53350035296683</v>
      </c>
      <c r="K238" s="113">
        <v>1.8793085708270785</v>
      </c>
      <c r="L238" s="113">
        <f t="shared" si="24"/>
        <v>495.03740538793716</v>
      </c>
      <c r="M238" s="97">
        <v>1.930455786203497</v>
      </c>
      <c r="N238" s="97">
        <f t="shared" si="25"/>
        <v>548.87973594044195</v>
      </c>
      <c r="O238" s="113">
        <v>2.3251957765166833</v>
      </c>
      <c r="P238" s="113">
        <f t="shared" si="26"/>
        <v>417.40317297410803</v>
      </c>
      <c r="Q238" s="113">
        <v>2.3253184639638516</v>
      </c>
      <c r="R238" s="113">
        <f t="shared" si="27"/>
        <v>411.48485013152407</v>
      </c>
    </row>
    <row r="239" spans="1:18" x14ac:dyDescent="0.2">
      <c r="A239">
        <v>23</v>
      </c>
      <c r="B239">
        <v>8</v>
      </c>
      <c r="C239">
        <v>1984</v>
      </c>
      <c r="D239" s="112">
        <f t="shared" si="21"/>
        <v>30917</v>
      </c>
      <c r="E239">
        <v>-9.9000000000000005E-2</v>
      </c>
      <c r="F239">
        <v>12.25</v>
      </c>
      <c r="G239" s="113">
        <v>4.3229596510150525</v>
      </c>
      <c r="H239" s="113">
        <f t="shared" si="22"/>
        <v>742.13082017926149</v>
      </c>
      <c r="I239" s="113">
        <v>3.2476716246839383</v>
      </c>
      <c r="J239" s="113">
        <f t="shared" si="23"/>
        <v>925.78117197765073</v>
      </c>
      <c r="K239" s="113">
        <v>1.9254902589289189</v>
      </c>
      <c r="L239" s="113">
        <f t="shared" si="24"/>
        <v>496.96289564686606</v>
      </c>
      <c r="M239" s="97">
        <v>1.9752505755538239</v>
      </c>
      <c r="N239" s="97">
        <f t="shared" si="25"/>
        <v>550.85498651599573</v>
      </c>
      <c r="O239" s="113">
        <v>2.6979897103620925</v>
      </c>
      <c r="P239" s="113">
        <f t="shared" si="26"/>
        <v>420.10116268447013</v>
      </c>
      <c r="Q239" s="113">
        <v>2.6037730603105289</v>
      </c>
      <c r="R239" s="113">
        <f t="shared" si="27"/>
        <v>414.08862319183459</v>
      </c>
    </row>
    <row r="240" spans="1:18" x14ac:dyDescent="0.2">
      <c r="A240">
        <v>24</v>
      </c>
      <c r="B240">
        <v>8</v>
      </c>
      <c r="C240">
        <v>1984</v>
      </c>
      <c r="D240" s="112">
        <f t="shared" si="21"/>
        <v>30918</v>
      </c>
      <c r="E240">
        <v>6.2</v>
      </c>
      <c r="F240">
        <v>6.2</v>
      </c>
      <c r="G240" s="113">
        <v>3.7378314293565147</v>
      </c>
      <c r="H240" s="113">
        <f t="shared" si="22"/>
        <v>745.86865160861805</v>
      </c>
      <c r="I240" s="113">
        <v>0.80033434797189507</v>
      </c>
      <c r="J240" s="113">
        <f t="shared" si="23"/>
        <v>926.58150632562263</v>
      </c>
      <c r="K240" s="113">
        <v>5.077780009977844E-2</v>
      </c>
      <c r="L240" s="113">
        <f t="shared" si="24"/>
        <v>497.01367344696581</v>
      </c>
      <c r="M240" s="97">
        <v>7.5072927186454377E-2</v>
      </c>
      <c r="N240" s="97">
        <f t="shared" si="25"/>
        <v>550.93005944318224</v>
      </c>
      <c r="O240" s="113">
        <v>1.9280209576986067</v>
      </c>
      <c r="P240" s="113">
        <f t="shared" si="26"/>
        <v>422.02918364216873</v>
      </c>
      <c r="Q240" s="113">
        <v>2.0462262728622993</v>
      </c>
      <c r="R240" s="113">
        <f t="shared" si="27"/>
        <v>416.13484946469691</v>
      </c>
    </row>
    <row r="241" spans="1:18" x14ac:dyDescent="0.2">
      <c r="A241">
        <v>25</v>
      </c>
      <c r="B241">
        <v>8</v>
      </c>
      <c r="C241">
        <v>1984</v>
      </c>
      <c r="D241" s="112">
        <f t="shared" si="21"/>
        <v>30919</v>
      </c>
      <c r="E241">
        <v>12.6</v>
      </c>
      <c r="F241">
        <v>12.6</v>
      </c>
      <c r="G241" s="113">
        <v>6.5728549815509361</v>
      </c>
      <c r="H241" s="113">
        <f t="shared" si="22"/>
        <v>752.44150659016896</v>
      </c>
      <c r="I241" s="113">
        <v>3.9678245248634969</v>
      </c>
      <c r="J241" s="113">
        <f t="shared" si="23"/>
        <v>930.54933085048617</v>
      </c>
      <c r="K241" s="113">
        <v>2.3409636408899459</v>
      </c>
      <c r="L241" s="113">
        <f t="shared" si="24"/>
        <v>499.35463708785574</v>
      </c>
      <c r="M241" s="97">
        <v>2.3940520138828516</v>
      </c>
      <c r="N241" s="97">
        <f t="shared" si="25"/>
        <v>553.3241114570651</v>
      </c>
      <c r="O241" s="113">
        <v>2.8087855763041341</v>
      </c>
      <c r="P241" s="113">
        <f t="shared" si="26"/>
        <v>424.83796921847289</v>
      </c>
      <c r="Q241" s="113">
        <v>2.8032208065694757</v>
      </c>
      <c r="R241" s="113">
        <f t="shared" si="27"/>
        <v>418.93807027126638</v>
      </c>
    </row>
    <row r="242" spans="1:18" x14ac:dyDescent="0.2">
      <c r="A242">
        <v>26</v>
      </c>
      <c r="B242">
        <v>8</v>
      </c>
      <c r="C242">
        <v>1984</v>
      </c>
      <c r="D242" s="112">
        <f t="shared" si="21"/>
        <v>30920</v>
      </c>
      <c r="E242">
        <v>16.899999999999999</v>
      </c>
      <c r="F242">
        <v>16.899999999999999</v>
      </c>
      <c r="G242" s="113">
        <v>3.2354484169021624</v>
      </c>
      <c r="H242" s="113">
        <f t="shared" si="22"/>
        <v>755.67695500707111</v>
      </c>
      <c r="I242" s="113">
        <v>5.7962319790789962</v>
      </c>
      <c r="J242" s="113">
        <f t="shared" si="23"/>
        <v>936.34556282956521</v>
      </c>
      <c r="K242" s="113">
        <v>3.745477293583336</v>
      </c>
      <c r="L242" s="113">
        <f t="shared" si="24"/>
        <v>503.10011438143908</v>
      </c>
      <c r="M242" s="97">
        <v>3.8112493182454736</v>
      </c>
      <c r="N242" s="97">
        <f t="shared" si="25"/>
        <v>557.13536077531057</v>
      </c>
      <c r="O242" s="113">
        <v>2.565024476286359</v>
      </c>
      <c r="P242" s="113">
        <f t="shared" si="26"/>
        <v>427.40299369475923</v>
      </c>
      <c r="Q242" s="113">
        <v>2.3169882536397068</v>
      </c>
      <c r="R242" s="113">
        <f t="shared" si="27"/>
        <v>421.25505852490608</v>
      </c>
    </row>
    <row r="243" spans="1:18" x14ac:dyDescent="0.2">
      <c r="A243">
        <v>27</v>
      </c>
      <c r="B243">
        <v>8</v>
      </c>
      <c r="C243">
        <v>1984</v>
      </c>
      <c r="D243" s="112">
        <f t="shared" si="21"/>
        <v>30921</v>
      </c>
      <c r="E243">
        <v>14.8</v>
      </c>
      <c r="F243">
        <v>14.8</v>
      </c>
      <c r="G243" s="113">
        <v>3.8549577495470402</v>
      </c>
      <c r="H243" s="113">
        <f t="shared" si="22"/>
        <v>759.53191275661811</v>
      </c>
      <c r="I243" s="113">
        <v>4.6190952638310341</v>
      </c>
      <c r="J243" s="113">
        <f t="shared" si="23"/>
        <v>940.96465809339622</v>
      </c>
      <c r="K243" s="113">
        <v>2.9413357398359654</v>
      </c>
      <c r="L243" s="113">
        <f t="shared" si="24"/>
        <v>506.04145012127503</v>
      </c>
      <c r="M243" s="97">
        <v>2.9945635396598438</v>
      </c>
      <c r="N243" s="97">
        <f t="shared" si="25"/>
        <v>560.12992431497037</v>
      </c>
      <c r="O243" s="113">
        <v>2.4707618972882379</v>
      </c>
      <c r="P243" s="113">
        <f t="shared" si="26"/>
        <v>429.87375559204747</v>
      </c>
      <c r="Q243" s="113">
        <v>2.337292306883108</v>
      </c>
      <c r="R243" s="113">
        <f t="shared" si="27"/>
        <v>423.59235083178919</v>
      </c>
    </row>
    <row r="244" spans="1:18" x14ac:dyDescent="0.2">
      <c r="A244">
        <v>28</v>
      </c>
      <c r="B244">
        <v>8</v>
      </c>
      <c r="C244">
        <v>1984</v>
      </c>
      <c r="D244" s="112">
        <f t="shared" si="21"/>
        <v>30922</v>
      </c>
      <c r="E244">
        <v>17.7</v>
      </c>
      <c r="F244">
        <v>17.7</v>
      </c>
      <c r="G244" s="113">
        <v>3.3652842759978245</v>
      </c>
      <c r="H244" s="113">
        <f t="shared" si="22"/>
        <v>762.89719703261596</v>
      </c>
      <c r="I244" s="113">
        <v>6.1114485820182782</v>
      </c>
      <c r="J244" s="113">
        <f t="shared" si="23"/>
        <v>947.07610667541451</v>
      </c>
      <c r="K244" s="113">
        <v>4.0260934293931392</v>
      </c>
      <c r="L244" s="113">
        <f t="shared" si="24"/>
        <v>510.06754355066818</v>
      </c>
      <c r="M244" s="97">
        <v>4.0887935049818447</v>
      </c>
      <c r="N244" s="97">
        <f t="shared" si="25"/>
        <v>564.21871781995219</v>
      </c>
      <c r="O244" s="113">
        <v>2.8219922028612818</v>
      </c>
      <c r="P244" s="113">
        <f t="shared" si="26"/>
        <v>432.69574779490875</v>
      </c>
      <c r="Q244" s="113">
        <v>2.7653079611397624</v>
      </c>
      <c r="R244" s="113">
        <f t="shared" si="27"/>
        <v>426.35765879292893</v>
      </c>
    </row>
    <row r="245" spans="1:18" x14ac:dyDescent="0.2">
      <c r="A245">
        <v>29</v>
      </c>
      <c r="B245">
        <v>8</v>
      </c>
      <c r="C245">
        <v>1984</v>
      </c>
      <c r="D245" s="112">
        <f t="shared" si="21"/>
        <v>30923</v>
      </c>
      <c r="E245">
        <v>-9.9000000000000005E-2</v>
      </c>
      <c r="F245">
        <v>9.75</v>
      </c>
      <c r="G245" s="113">
        <v>7.5485171104073361</v>
      </c>
      <c r="H245" s="113">
        <f t="shared" si="22"/>
        <v>770.44571414302334</v>
      </c>
      <c r="I245" s="113">
        <v>2.9773502673741037</v>
      </c>
      <c r="J245" s="113">
        <f t="shared" si="23"/>
        <v>950.05345694278856</v>
      </c>
      <c r="K245" s="113">
        <v>1.5449656800410312</v>
      </c>
      <c r="L245" s="113">
        <f t="shared" si="24"/>
        <v>511.61250923070924</v>
      </c>
      <c r="M245" s="97">
        <v>1.5828010458954742</v>
      </c>
      <c r="N245" s="97">
        <f t="shared" si="25"/>
        <v>565.8015188658477</v>
      </c>
      <c r="O245" s="113">
        <v>2.9414224507552782</v>
      </c>
      <c r="P245" s="113">
        <f t="shared" si="26"/>
        <v>435.63717024566404</v>
      </c>
      <c r="Q245" s="113">
        <v>2.9264092524423959</v>
      </c>
      <c r="R245" s="113">
        <f t="shared" si="27"/>
        <v>429.28406804537133</v>
      </c>
    </row>
    <row r="246" spans="1:18" x14ac:dyDescent="0.2">
      <c r="A246">
        <v>30</v>
      </c>
      <c r="B246">
        <v>8</v>
      </c>
      <c r="C246">
        <v>1984</v>
      </c>
      <c r="D246" s="112">
        <f t="shared" si="21"/>
        <v>30924</v>
      </c>
      <c r="E246">
        <v>-9.9000000000000005E-2</v>
      </c>
      <c r="F246">
        <v>9.75</v>
      </c>
      <c r="G246" s="113">
        <v>4.1059331868667321</v>
      </c>
      <c r="H246" s="113">
        <f t="shared" si="22"/>
        <v>774.5516473298901</v>
      </c>
      <c r="I246" s="113">
        <v>2.5816833843471021</v>
      </c>
      <c r="J246" s="113">
        <f t="shared" si="23"/>
        <v>952.63514032713567</v>
      </c>
      <c r="K246" s="113">
        <v>1.3856948379031686</v>
      </c>
      <c r="L246" s="113">
        <f t="shared" si="24"/>
        <v>512.99820406861238</v>
      </c>
      <c r="M246" s="97">
        <v>1.4177945029622483</v>
      </c>
      <c r="N246" s="97">
        <f t="shared" si="25"/>
        <v>567.21931336880994</v>
      </c>
      <c r="O246" s="113">
        <v>2.7015335924646533</v>
      </c>
      <c r="P246" s="113">
        <f t="shared" si="26"/>
        <v>438.33870383812871</v>
      </c>
      <c r="Q246" s="113">
        <v>2.6495420150148661</v>
      </c>
      <c r="R246" s="113">
        <f t="shared" si="27"/>
        <v>431.93361006038617</v>
      </c>
    </row>
    <row r="247" spans="1:18" x14ac:dyDescent="0.2">
      <c r="A247">
        <v>31</v>
      </c>
      <c r="B247">
        <v>8</v>
      </c>
      <c r="C247">
        <v>1984</v>
      </c>
      <c r="D247" s="112">
        <f t="shared" si="21"/>
        <v>30925</v>
      </c>
      <c r="E247">
        <v>-9.9000000000000005E-2</v>
      </c>
      <c r="F247">
        <v>9.75</v>
      </c>
      <c r="G247" s="113">
        <v>4.4359938418124392</v>
      </c>
      <c r="H247" s="113">
        <f t="shared" si="22"/>
        <v>778.98764117170253</v>
      </c>
      <c r="I247" s="113">
        <v>2.4826946561233756</v>
      </c>
      <c r="J247" s="113">
        <f t="shared" si="23"/>
        <v>955.11783498325906</v>
      </c>
      <c r="K247" s="113">
        <v>1.3593388618318811</v>
      </c>
      <c r="L247" s="113">
        <f t="shared" si="24"/>
        <v>514.35754293044431</v>
      </c>
      <c r="M247" s="97">
        <v>1.3891670963340115</v>
      </c>
      <c r="N247" s="97">
        <f t="shared" si="25"/>
        <v>568.608480465144</v>
      </c>
      <c r="O247" s="113">
        <v>2.6195809263463663</v>
      </c>
      <c r="P247" s="113">
        <f t="shared" si="26"/>
        <v>440.95828476447508</v>
      </c>
      <c r="Q247" s="113">
        <v>2.7485623531295067</v>
      </c>
      <c r="R247" s="113">
        <f t="shared" si="27"/>
        <v>434.68217241351567</v>
      </c>
    </row>
    <row r="248" spans="1:18" x14ac:dyDescent="0.2">
      <c r="A248">
        <v>1</v>
      </c>
      <c r="B248">
        <v>9</v>
      </c>
      <c r="C248">
        <v>1984</v>
      </c>
      <c r="D248" s="112">
        <f t="shared" si="21"/>
        <v>30926</v>
      </c>
      <c r="E248">
        <v>1.8</v>
      </c>
      <c r="F248">
        <v>1.8</v>
      </c>
      <c r="G248" s="113">
        <v>7.1221978087177975</v>
      </c>
      <c r="H248" s="113">
        <f t="shared" si="22"/>
        <v>786.10983898042036</v>
      </c>
      <c r="I248" s="113">
        <v>0.90624369702976759</v>
      </c>
      <c r="J248" s="113">
        <f t="shared" si="23"/>
        <v>956.02407868028888</v>
      </c>
      <c r="K248" s="113">
        <v>-1.4352796345697849</v>
      </c>
      <c r="L248" s="113">
        <f t="shared" si="24"/>
        <v>512.92226329587447</v>
      </c>
      <c r="M248" s="97">
        <v>-1.4292203525818092</v>
      </c>
      <c r="N248" s="97">
        <f t="shared" si="25"/>
        <v>567.17926011256213</v>
      </c>
      <c r="O248" s="113">
        <v>2.1818909120528391</v>
      </c>
      <c r="P248" s="113">
        <f t="shared" si="26"/>
        <v>443.14017567652792</v>
      </c>
      <c r="Q248" s="113">
        <v>1.6974871512759175</v>
      </c>
      <c r="R248" s="113">
        <f t="shared" si="27"/>
        <v>436.37965956479161</v>
      </c>
    </row>
    <row r="249" spans="1:18" x14ac:dyDescent="0.2">
      <c r="A249">
        <v>2</v>
      </c>
      <c r="B249">
        <v>9</v>
      </c>
      <c r="C249">
        <v>1984</v>
      </c>
      <c r="D249" s="112">
        <f t="shared" si="21"/>
        <v>30927</v>
      </c>
      <c r="E249">
        <v>8.6999999999999993</v>
      </c>
      <c r="F249">
        <v>8.6999999999999993</v>
      </c>
      <c r="G249" s="113">
        <v>4.9533579966761749</v>
      </c>
      <c r="H249" s="113">
        <f t="shared" si="22"/>
        <v>791.0631969770966</v>
      </c>
      <c r="I249" s="113">
        <v>2.2988767099298828</v>
      </c>
      <c r="J249" s="113">
        <f t="shared" si="23"/>
        <v>958.32295539021879</v>
      </c>
      <c r="K249" s="113">
        <v>1.1480657845855664</v>
      </c>
      <c r="L249" s="113">
        <f t="shared" si="24"/>
        <v>514.07032908046006</v>
      </c>
      <c r="M249" s="97">
        <v>1.1750767038055214</v>
      </c>
      <c r="N249" s="97">
        <f t="shared" si="25"/>
        <v>568.35433681636766</v>
      </c>
      <c r="O249" s="113">
        <v>2.4191426319171438</v>
      </c>
      <c r="P249" s="113">
        <f t="shared" si="26"/>
        <v>445.55931830844509</v>
      </c>
      <c r="Q249" s="113">
        <v>2.3364854484633431</v>
      </c>
      <c r="R249" s="113">
        <f t="shared" si="27"/>
        <v>438.71614501325496</v>
      </c>
    </row>
    <row r="250" spans="1:18" x14ac:dyDescent="0.2">
      <c r="A250">
        <v>3</v>
      </c>
      <c r="B250">
        <v>9</v>
      </c>
      <c r="C250">
        <v>1984</v>
      </c>
      <c r="D250" s="112">
        <f t="shared" si="21"/>
        <v>30928</v>
      </c>
      <c r="E250">
        <v>8.4</v>
      </c>
      <c r="F250">
        <v>8.4</v>
      </c>
      <c r="G250" s="113">
        <v>4.6003688556578659</v>
      </c>
      <c r="H250" s="113">
        <f t="shared" si="22"/>
        <v>795.66356583275444</v>
      </c>
      <c r="I250" s="113">
        <v>2.1723417986833904</v>
      </c>
      <c r="J250" s="113">
        <f t="shared" si="23"/>
        <v>960.49529718890221</v>
      </c>
      <c r="K250" s="113">
        <v>1.0599698211766961</v>
      </c>
      <c r="L250" s="113">
        <f t="shared" si="24"/>
        <v>515.13029890163671</v>
      </c>
      <c r="M250" s="97">
        <v>1.0851720099918767</v>
      </c>
      <c r="N250" s="97">
        <f t="shared" si="25"/>
        <v>569.43950882635954</v>
      </c>
      <c r="O250" s="113">
        <v>2.4649844286311988</v>
      </c>
      <c r="P250" s="113">
        <f t="shared" si="26"/>
        <v>448.02430273707631</v>
      </c>
      <c r="Q250" s="113">
        <v>2.5572370801321958</v>
      </c>
      <c r="R250" s="113">
        <f t="shared" si="27"/>
        <v>441.27338209338717</v>
      </c>
    </row>
    <row r="251" spans="1:18" x14ac:dyDescent="0.2">
      <c r="A251">
        <v>4</v>
      </c>
      <c r="B251">
        <v>9</v>
      </c>
      <c r="C251">
        <v>1984</v>
      </c>
      <c r="D251" s="112">
        <f t="shared" si="21"/>
        <v>30929</v>
      </c>
      <c r="E251">
        <v>9.1</v>
      </c>
      <c r="F251">
        <v>9.1</v>
      </c>
      <c r="G251" s="113">
        <v>3.4882664632362395</v>
      </c>
      <c r="H251" s="113">
        <f t="shared" si="22"/>
        <v>799.15183229599063</v>
      </c>
      <c r="I251" s="113">
        <v>2.8267701823971061</v>
      </c>
      <c r="J251" s="113">
        <f t="shared" si="23"/>
        <v>963.32206737129934</v>
      </c>
      <c r="K251" s="113">
        <v>1.4506398468670194</v>
      </c>
      <c r="L251" s="113">
        <f t="shared" si="24"/>
        <v>516.58093874850374</v>
      </c>
      <c r="M251" s="97">
        <v>1.4794154100638428</v>
      </c>
      <c r="N251" s="97">
        <f t="shared" si="25"/>
        <v>570.91892423642344</v>
      </c>
      <c r="O251" s="113">
        <v>1.7957192726586371</v>
      </c>
      <c r="P251" s="113">
        <f t="shared" si="26"/>
        <v>449.82002200973494</v>
      </c>
      <c r="Q251" s="113">
        <v>2.084676180383283</v>
      </c>
      <c r="R251" s="113">
        <f t="shared" si="27"/>
        <v>443.35805827377044</v>
      </c>
    </row>
    <row r="252" spans="1:18" x14ac:dyDescent="0.2">
      <c r="A252">
        <v>5</v>
      </c>
      <c r="B252">
        <v>9</v>
      </c>
      <c r="C252">
        <v>1984</v>
      </c>
      <c r="D252" s="112">
        <f t="shared" si="21"/>
        <v>30930</v>
      </c>
      <c r="E252">
        <v>9.8000000000000007</v>
      </c>
      <c r="F252">
        <v>9.8000000000000007</v>
      </c>
      <c r="G252" s="113">
        <v>4.8798396981979115</v>
      </c>
      <c r="H252" s="113">
        <f t="shared" si="22"/>
        <v>804.03167199418851</v>
      </c>
      <c r="I252" s="113">
        <v>3.5483035672688441</v>
      </c>
      <c r="J252" s="113">
        <f t="shared" si="23"/>
        <v>966.87037093856816</v>
      </c>
      <c r="K252" s="113">
        <v>1.8954453341271631</v>
      </c>
      <c r="L252" s="113">
        <f t="shared" si="24"/>
        <v>518.47638408263094</v>
      </c>
      <c r="M252" s="97">
        <v>1.9281199539839713</v>
      </c>
      <c r="N252" s="97">
        <f t="shared" si="25"/>
        <v>572.84704419040736</v>
      </c>
      <c r="O252" s="113">
        <v>1.7193584277692127</v>
      </c>
      <c r="P252" s="113">
        <f t="shared" si="26"/>
        <v>451.53938043750418</v>
      </c>
      <c r="Q252" s="113">
        <v>1.6842594061159237</v>
      </c>
      <c r="R252" s="113">
        <f t="shared" si="27"/>
        <v>445.04231767988637</v>
      </c>
    </row>
    <row r="253" spans="1:18" x14ac:dyDescent="0.2">
      <c r="A253">
        <v>6</v>
      </c>
      <c r="B253">
        <v>9</v>
      </c>
      <c r="C253">
        <v>1984</v>
      </c>
      <c r="D253" s="112">
        <f t="shared" si="21"/>
        <v>30931</v>
      </c>
      <c r="E253">
        <v>13.6</v>
      </c>
      <c r="F253">
        <v>13.6</v>
      </c>
      <c r="G253" s="113">
        <v>4.0690739394750901</v>
      </c>
      <c r="H253" s="113">
        <f t="shared" si="22"/>
        <v>808.10074593366357</v>
      </c>
      <c r="I253" s="113">
        <v>5.7417253068831382</v>
      </c>
      <c r="J253" s="113">
        <f t="shared" si="23"/>
        <v>972.61209624545131</v>
      </c>
      <c r="K253" s="113">
        <v>3.5112601508549579</v>
      </c>
      <c r="L253" s="113">
        <f t="shared" si="24"/>
        <v>521.98764423348587</v>
      </c>
      <c r="M253" s="97">
        <v>3.5551798473107361</v>
      </c>
      <c r="N253" s="97">
        <f t="shared" si="25"/>
        <v>576.40222403771804</v>
      </c>
      <c r="O253" s="113">
        <v>1.727814914519741</v>
      </c>
      <c r="P253" s="113">
        <f t="shared" si="26"/>
        <v>453.26719535202392</v>
      </c>
      <c r="Q253" s="113">
        <v>1.5109318659041944</v>
      </c>
      <c r="R253" s="113">
        <f t="shared" si="27"/>
        <v>446.55324954579055</v>
      </c>
    </row>
    <row r="254" spans="1:18" x14ac:dyDescent="0.2">
      <c r="A254">
        <v>7</v>
      </c>
      <c r="B254">
        <v>9</v>
      </c>
      <c r="C254">
        <v>1984</v>
      </c>
      <c r="D254" s="112">
        <f t="shared" si="21"/>
        <v>30932</v>
      </c>
      <c r="E254">
        <v>7.4</v>
      </c>
      <c r="F254">
        <v>7.4</v>
      </c>
      <c r="G254" s="113">
        <v>2.3325689280022668</v>
      </c>
      <c r="H254" s="113">
        <f t="shared" si="22"/>
        <v>810.43331486166585</v>
      </c>
      <c r="I254" s="113">
        <v>2.0702223271748976</v>
      </c>
      <c r="J254" s="113">
        <f t="shared" si="23"/>
        <v>974.68231857262617</v>
      </c>
      <c r="K254" s="113">
        <v>0.88451950598161833</v>
      </c>
      <c r="L254" s="113">
        <f t="shared" si="24"/>
        <v>522.87216373946751</v>
      </c>
      <c r="M254" s="97">
        <v>0.90722519276379709</v>
      </c>
      <c r="N254" s="97">
        <f t="shared" si="25"/>
        <v>577.30944923048185</v>
      </c>
      <c r="O254" s="113">
        <v>1.1832062690706806</v>
      </c>
      <c r="P254" s="113">
        <f t="shared" si="26"/>
        <v>454.45040162109461</v>
      </c>
      <c r="Q254" s="113">
        <v>1.0940203349383963</v>
      </c>
      <c r="R254" s="113">
        <f t="shared" si="27"/>
        <v>447.64726988072897</v>
      </c>
    </row>
    <row r="255" spans="1:18" x14ac:dyDescent="0.2">
      <c r="A255">
        <v>8</v>
      </c>
      <c r="B255">
        <v>9</v>
      </c>
      <c r="C255">
        <v>1984</v>
      </c>
      <c r="D255" s="112">
        <f t="shared" si="21"/>
        <v>30933</v>
      </c>
      <c r="E255">
        <v>5.3</v>
      </c>
      <c r="F255">
        <v>5.3</v>
      </c>
      <c r="G255" s="113">
        <v>1.4674772298344765</v>
      </c>
      <c r="H255" s="113">
        <f t="shared" si="22"/>
        <v>811.90079209150031</v>
      </c>
      <c r="I255" s="113">
        <v>0.87178161287429923</v>
      </c>
      <c r="J255" s="113">
        <f t="shared" si="23"/>
        <v>975.55410018550049</v>
      </c>
      <c r="K255" s="113">
        <v>4.6229988734284848E-2</v>
      </c>
      <c r="L255" s="113">
        <f t="shared" si="24"/>
        <v>522.91839372820175</v>
      </c>
      <c r="M255" s="97">
        <v>6.1481371364481188E-2</v>
      </c>
      <c r="N255" s="97">
        <f t="shared" si="25"/>
        <v>577.37093060184634</v>
      </c>
      <c r="O255" s="113">
        <v>1.0751488049905999</v>
      </c>
      <c r="P255" s="113">
        <f t="shared" si="26"/>
        <v>455.5255504260852</v>
      </c>
      <c r="Q255" s="113">
        <v>1.1340762996974831</v>
      </c>
      <c r="R255" s="113">
        <f t="shared" si="27"/>
        <v>448.78134618042645</v>
      </c>
    </row>
    <row r="256" spans="1:18" x14ac:dyDescent="0.2">
      <c r="A256">
        <v>9</v>
      </c>
      <c r="B256">
        <v>9</v>
      </c>
      <c r="C256">
        <v>1984</v>
      </c>
      <c r="D256" s="112">
        <f t="shared" si="21"/>
        <v>30934</v>
      </c>
      <c r="E256">
        <v>12.8</v>
      </c>
      <c r="F256">
        <v>12.8</v>
      </c>
      <c r="G256" s="113">
        <v>7.3009121243999271</v>
      </c>
      <c r="H256" s="113">
        <f t="shared" si="22"/>
        <v>819.20170421590024</v>
      </c>
      <c r="I256" s="113">
        <v>5.6946636317197941</v>
      </c>
      <c r="J256" s="113">
        <f t="shared" si="23"/>
        <v>981.24876381722027</v>
      </c>
      <c r="K256" s="113">
        <v>3.4694475697696205</v>
      </c>
      <c r="L256" s="113">
        <f t="shared" si="24"/>
        <v>526.38784129797136</v>
      </c>
      <c r="M256" s="97">
        <v>3.5118289138608723</v>
      </c>
      <c r="N256" s="97">
        <f t="shared" si="25"/>
        <v>580.88275951570722</v>
      </c>
      <c r="O256" s="113">
        <v>3.2356282536743106</v>
      </c>
      <c r="P256" s="113">
        <f t="shared" si="26"/>
        <v>458.7611786797595</v>
      </c>
      <c r="Q256" s="113">
        <v>3.249389063381741</v>
      </c>
      <c r="R256" s="113">
        <f t="shared" si="27"/>
        <v>452.03073524380818</v>
      </c>
    </row>
    <row r="257" spans="1:18" x14ac:dyDescent="0.2">
      <c r="A257">
        <v>10</v>
      </c>
      <c r="B257">
        <v>9</v>
      </c>
      <c r="C257">
        <v>1984</v>
      </c>
      <c r="D257" s="112">
        <f t="shared" si="21"/>
        <v>30935</v>
      </c>
      <c r="E257">
        <v>10.7</v>
      </c>
      <c r="F257">
        <v>10.7</v>
      </c>
      <c r="G257" s="113">
        <v>4.8222441797582061</v>
      </c>
      <c r="H257" s="113">
        <f t="shared" si="22"/>
        <v>824.02394839565841</v>
      </c>
      <c r="I257" s="113">
        <v>4.2153423918977113</v>
      </c>
      <c r="J257" s="113">
        <f t="shared" si="23"/>
        <v>985.46410620911797</v>
      </c>
      <c r="K257" s="113">
        <v>2.4446157089176785</v>
      </c>
      <c r="L257" s="113">
        <f t="shared" si="24"/>
        <v>528.83245700688906</v>
      </c>
      <c r="M257" s="97">
        <v>2.4785229195470118</v>
      </c>
      <c r="N257" s="97">
        <f t="shared" si="25"/>
        <v>583.36128243525422</v>
      </c>
      <c r="O257" s="113">
        <v>2.2440235127068768</v>
      </c>
      <c r="P257" s="113">
        <f t="shared" si="26"/>
        <v>461.00520219246636</v>
      </c>
      <c r="Q257" s="113">
        <v>2.1727320115612576</v>
      </c>
      <c r="R257" s="113">
        <f t="shared" si="27"/>
        <v>454.20346725536945</v>
      </c>
    </row>
    <row r="258" spans="1:18" x14ac:dyDescent="0.2">
      <c r="A258">
        <v>11</v>
      </c>
      <c r="B258">
        <v>9</v>
      </c>
      <c r="C258">
        <v>1984</v>
      </c>
      <c r="D258" s="112">
        <f t="shared" si="21"/>
        <v>30936</v>
      </c>
      <c r="E258">
        <v>7.4</v>
      </c>
      <c r="F258">
        <v>7.4</v>
      </c>
      <c r="G258" s="113">
        <v>2.7602307084714282</v>
      </c>
      <c r="H258" s="113">
        <f t="shared" si="22"/>
        <v>826.78417910412986</v>
      </c>
      <c r="I258" s="113">
        <v>2.1533994946500146</v>
      </c>
      <c r="J258" s="113">
        <f t="shared" si="23"/>
        <v>987.61750570376796</v>
      </c>
      <c r="K258" s="113">
        <v>0.98938871905059733</v>
      </c>
      <c r="L258" s="113">
        <f t="shared" si="24"/>
        <v>529.82184572593962</v>
      </c>
      <c r="M258" s="97">
        <v>1.0117877486199987</v>
      </c>
      <c r="N258" s="97">
        <f t="shared" si="25"/>
        <v>584.37307018387423</v>
      </c>
      <c r="O258" s="113">
        <v>1.4532956490115576</v>
      </c>
      <c r="P258" s="113">
        <f t="shared" si="26"/>
        <v>462.45849784147794</v>
      </c>
      <c r="Q258" s="113">
        <v>1.4073764131717497</v>
      </c>
      <c r="R258" s="113">
        <f t="shared" si="27"/>
        <v>455.61084366854118</v>
      </c>
    </row>
    <row r="259" spans="1:18" x14ac:dyDescent="0.2">
      <c r="A259">
        <v>12</v>
      </c>
      <c r="B259">
        <v>9</v>
      </c>
      <c r="C259">
        <v>1984</v>
      </c>
      <c r="D259" s="112">
        <f t="shared" si="21"/>
        <v>30937</v>
      </c>
      <c r="E259">
        <v>9.3000000000000007</v>
      </c>
      <c r="F259">
        <v>9.3000000000000007</v>
      </c>
      <c r="G259" s="113">
        <v>3.5147946971651329</v>
      </c>
      <c r="H259" s="113">
        <f t="shared" si="22"/>
        <v>830.29897380129501</v>
      </c>
      <c r="I259" s="113">
        <v>3.1243061473177089</v>
      </c>
      <c r="J259" s="113">
        <f t="shared" si="23"/>
        <v>990.74181185108569</v>
      </c>
      <c r="K259" s="113">
        <v>1.7586826948558216</v>
      </c>
      <c r="L259" s="113">
        <f t="shared" si="24"/>
        <v>531.58052842079542</v>
      </c>
      <c r="M259" s="97">
        <v>1.7864655026842313</v>
      </c>
      <c r="N259" s="97">
        <f t="shared" si="25"/>
        <v>586.15953568655846</v>
      </c>
      <c r="O259" s="113">
        <v>1.6516858044800657</v>
      </c>
      <c r="P259" s="113">
        <f t="shared" si="26"/>
        <v>464.11018364595799</v>
      </c>
      <c r="Q259" s="113">
        <v>1.5747430094819359</v>
      </c>
      <c r="R259" s="113">
        <f t="shared" si="27"/>
        <v>457.18558667802313</v>
      </c>
    </row>
    <row r="260" spans="1:18" x14ac:dyDescent="0.2">
      <c r="A260">
        <v>13</v>
      </c>
      <c r="B260">
        <v>9</v>
      </c>
      <c r="C260">
        <v>1984</v>
      </c>
      <c r="D260" s="112">
        <f t="shared" si="21"/>
        <v>30938</v>
      </c>
      <c r="E260">
        <v>8.9</v>
      </c>
      <c r="F260">
        <v>8.9</v>
      </c>
      <c r="G260" s="113">
        <v>2.5255471356038184</v>
      </c>
      <c r="H260" s="113">
        <f t="shared" si="22"/>
        <v>832.82452093689881</v>
      </c>
      <c r="I260" s="113">
        <v>2.9255344331729587</v>
      </c>
      <c r="J260" s="113">
        <f t="shared" si="23"/>
        <v>993.66734628425866</v>
      </c>
      <c r="K260" s="113">
        <v>1.6186142600666384</v>
      </c>
      <c r="L260" s="113">
        <f t="shared" si="24"/>
        <v>533.19914268086211</v>
      </c>
      <c r="M260" s="97">
        <v>1.6455717389535656</v>
      </c>
      <c r="N260" s="97">
        <f t="shared" si="25"/>
        <v>587.80510742551201</v>
      </c>
      <c r="O260" s="113">
        <v>1.6239144528113056</v>
      </c>
      <c r="P260" s="113">
        <f t="shared" si="26"/>
        <v>465.73409809876927</v>
      </c>
      <c r="Q260" s="113">
        <v>1.5696056130345557</v>
      </c>
      <c r="R260" s="113">
        <f t="shared" si="27"/>
        <v>458.75519229105771</v>
      </c>
    </row>
    <row r="261" spans="1:18" x14ac:dyDescent="0.2">
      <c r="A261">
        <v>14</v>
      </c>
      <c r="B261">
        <v>9</v>
      </c>
      <c r="C261">
        <v>1984</v>
      </c>
      <c r="D261" s="112">
        <f t="shared" si="21"/>
        <v>30939</v>
      </c>
      <c r="E261">
        <v>7.7</v>
      </c>
      <c r="F261">
        <v>7.7</v>
      </c>
      <c r="G261" s="113">
        <v>3.0387576980648006</v>
      </c>
      <c r="H261" s="113">
        <f t="shared" si="22"/>
        <v>835.86327863496365</v>
      </c>
      <c r="I261" s="113">
        <v>2.3317974286513636</v>
      </c>
      <c r="J261" s="113">
        <f t="shared" si="23"/>
        <v>995.99914371291004</v>
      </c>
      <c r="K261" s="113">
        <v>1.1741622485938277</v>
      </c>
      <c r="L261" s="113">
        <f t="shared" si="24"/>
        <v>534.37330492945591</v>
      </c>
      <c r="M261" s="97">
        <v>1.1983065211344759</v>
      </c>
      <c r="N261" s="97">
        <f t="shared" si="25"/>
        <v>589.00341394664645</v>
      </c>
      <c r="O261" s="113">
        <v>1.4731853515131106</v>
      </c>
      <c r="P261" s="113">
        <f t="shared" si="26"/>
        <v>467.20728345028238</v>
      </c>
      <c r="Q261" s="113">
        <v>1.4636307964946977</v>
      </c>
      <c r="R261" s="113">
        <f t="shared" si="27"/>
        <v>460.21882308755238</v>
      </c>
    </row>
    <row r="262" spans="1:18" x14ac:dyDescent="0.2">
      <c r="A262">
        <v>15</v>
      </c>
      <c r="B262">
        <v>9</v>
      </c>
      <c r="C262">
        <v>1984</v>
      </c>
      <c r="D262" s="112">
        <f t="shared" ref="D262:D325" si="28">DATE(C262,B262,A262)</f>
        <v>30940</v>
      </c>
      <c r="E262">
        <v>2.7</v>
      </c>
      <c r="F262">
        <v>2.7</v>
      </c>
      <c r="G262" s="113">
        <v>2.2067126869848299</v>
      </c>
      <c r="H262" s="113">
        <f t="shared" si="22"/>
        <v>838.06999132194846</v>
      </c>
      <c r="I262" s="113">
        <v>0.89164684711433384</v>
      </c>
      <c r="J262" s="113">
        <f t="shared" si="23"/>
        <v>996.89079056002436</v>
      </c>
      <c r="K262" s="113">
        <v>-0.8912602530196303</v>
      </c>
      <c r="L262" s="113">
        <f t="shared" si="24"/>
        <v>533.48204467643632</v>
      </c>
      <c r="M262" s="97">
        <v>-0.88207859555715395</v>
      </c>
      <c r="N262" s="97">
        <f t="shared" si="25"/>
        <v>588.12133535108933</v>
      </c>
      <c r="O262" s="113">
        <v>0.82843738430070624</v>
      </c>
      <c r="P262" s="113">
        <f t="shared" si="26"/>
        <v>468.03572083458306</v>
      </c>
      <c r="Q262" s="113">
        <v>0.58787792534886241</v>
      </c>
      <c r="R262" s="113">
        <f t="shared" si="27"/>
        <v>460.80670101290121</v>
      </c>
    </row>
    <row r="263" spans="1:18" x14ac:dyDescent="0.2">
      <c r="A263">
        <v>16</v>
      </c>
      <c r="B263">
        <v>9</v>
      </c>
      <c r="C263">
        <v>1984</v>
      </c>
      <c r="D263" s="112">
        <f t="shared" si="28"/>
        <v>30941</v>
      </c>
      <c r="E263">
        <v>5.9</v>
      </c>
      <c r="F263">
        <v>5.9</v>
      </c>
      <c r="G263" s="113">
        <v>2.5679919277467804</v>
      </c>
      <c r="H263" s="113">
        <f t="shared" ref="H263:H326" si="29">H262+G263</f>
        <v>840.63798324969525</v>
      </c>
      <c r="I263" s="113">
        <v>1.4441942165565724</v>
      </c>
      <c r="J263" s="113">
        <f t="shared" ref="J263:J326" si="30">J262+I263</f>
        <v>998.33498477658088</v>
      </c>
      <c r="K263" s="113">
        <v>0.50194022133909322</v>
      </c>
      <c r="L263" s="113">
        <f t="shared" ref="L263:L326" si="31">L262+K263</f>
        <v>533.98398489777537</v>
      </c>
      <c r="M263" s="97">
        <v>0.52217523857215908</v>
      </c>
      <c r="N263" s="97">
        <f t="shared" ref="N263:N326" si="32">N262+M263</f>
        <v>588.64351058966145</v>
      </c>
      <c r="O263" s="113">
        <v>1.1669610252789828</v>
      </c>
      <c r="P263" s="113">
        <f t="shared" ref="P263:P326" si="33">P262+O263</f>
        <v>469.20268185986203</v>
      </c>
      <c r="Q263" s="113">
        <v>1.1695476201023354</v>
      </c>
      <c r="R263" s="113">
        <f t="shared" ref="R263:R326" si="34">R262+Q263</f>
        <v>461.97624863300354</v>
      </c>
    </row>
    <row r="264" spans="1:18" x14ac:dyDescent="0.2">
      <c r="A264">
        <v>17</v>
      </c>
      <c r="B264">
        <v>9</v>
      </c>
      <c r="C264">
        <v>1984</v>
      </c>
      <c r="D264" s="112">
        <f t="shared" si="28"/>
        <v>30942</v>
      </c>
      <c r="E264">
        <v>5</v>
      </c>
      <c r="F264">
        <v>5</v>
      </c>
      <c r="G264" s="113">
        <v>1.5830709676719428</v>
      </c>
      <c r="H264" s="113">
        <f t="shared" si="29"/>
        <v>842.22105421736717</v>
      </c>
      <c r="I264" s="113">
        <v>0.9864089133072943</v>
      </c>
      <c r="J264" s="113">
        <f t="shared" si="30"/>
        <v>999.32139368988817</v>
      </c>
      <c r="K264" s="113">
        <v>0.15106466515999645</v>
      </c>
      <c r="L264" s="113">
        <f t="shared" si="31"/>
        <v>534.13504956293536</v>
      </c>
      <c r="M264" s="97">
        <v>0.1692283086682092</v>
      </c>
      <c r="N264" s="97">
        <f t="shared" si="32"/>
        <v>588.8127388983296</v>
      </c>
      <c r="O264" s="113">
        <v>0.91389917763260742</v>
      </c>
      <c r="P264" s="113">
        <f t="shared" si="33"/>
        <v>470.11658103749465</v>
      </c>
      <c r="Q264" s="113">
        <v>0.91445000836475643</v>
      </c>
      <c r="R264" s="113">
        <f t="shared" si="34"/>
        <v>462.89069864136832</v>
      </c>
    </row>
    <row r="265" spans="1:18" x14ac:dyDescent="0.2">
      <c r="A265">
        <v>18</v>
      </c>
      <c r="B265">
        <v>9</v>
      </c>
      <c r="C265">
        <v>1984</v>
      </c>
      <c r="D265" s="112">
        <f t="shared" si="28"/>
        <v>30943</v>
      </c>
      <c r="E265">
        <v>11</v>
      </c>
      <c r="F265">
        <v>11</v>
      </c>
      <c r="G265" s="113">
        <v>5.2051062074614194</v>
      </c>
      <c r="H265" s="113">
        <f t="shared" si="29"/>
        <v>847.42616042482859</v>
      </c>
      <c r="I265" s="113">
        <v>5.2210278136185693</v>
      </c>
      <c r="J265" s="113">
        <f t="shared" si="30"/>
        <v>1004.5424215035067</v>
      </c>
      <c r="K265" s="113">
        <v>3.1419468717045094</v>
      </c>
      <c r="L265" s="113">
        <f t="shared" si="31"/>
        <v>537.27699643463984</v>
      </c>
      <c r="M265" s="97">
        <v>3.1895585244735769</v>
      </c>
      <c r="N265" s="97">
        <f t="shared" si="32"/>
        <v>592.00229742280317</v>
      </c>
      <c r="O265" s="113">
        <v>1.9669965869420627</v>
      </c>
      <c r="P265" s="113">
        <f t="shared" si="33"/>
        <v>472.08357762443671</v>
      </c>
      <c r="Q265" s="113">
        <v>1.7912098101760565</v>
      </c>
      <c r="R265" s="113">
        <f t="shared" si="34"/>
        <v>464.68190845154436</v>
      </c>
    </row>
    <row r="266" spans="1:18" x14ac:dyDescent="0.2">
      <c r="A266">
        <v>19</v>
      </c>
      <c r="B266">
        <v>9</v>
      </c>
      <c r="C266">
        <v>1984</v>
      </c>
      <c r="D266" s="112">
        <f t="shared" si="28"/>
        <v>30944</v>
      </c>
      <c r="E266">
        <v>10.5</v>
      </c>
      <c r="F266">
        <v>10.5</v>
      </c>
      <c r="G266" s="113">
        <v>5.898650699295656</v>
      </c>
      <c r="H266" s="113">
        <f t="shared" si="29"/>
        <v>853.32481112412427</v>
      </c>
      <c r="I266" s="113">
        <v>5.024125408824557</v>
      </c>
      <c r="J266" s="113">
        <f t="shared" si="30"/>
        <v>1009.5665469123313</v>
      </c>
      <c r="K266" s="113">
        <v>2.9918638492468808</v>
      </c>
      <c r="L266" s="113">
        <f t="shared" si="31"/>
        <v>540.26886028388674</v>
      </c>
      <c r="M266" s="97">
        <v>3.0405674577286619</v>
      </c>
      <c r="N266" s="97">
        <f t="shared" si="32"/>
        <v>595.04286488053185</v>
      </c>
      <c r="O266" s="113">
        <v>2.1604718006350674</v>
      </c>
      <c r="P266" s="113">
        <f t="shared" si="33"/>
        <v>474.24404942507181</v>
      </c>
      <c r="Q266" s="113">
        <v>2.0356662944498392</v>
      </c>
      <c r="R266" s="113">
        <f t="shared" si="34"/>
        <v>466.71757474599417</v>
      </c>
    </row>
    <row r="267" spans="1:18" x14ac:dyDescent="0.2">
      <c r="A267">
        <v>20</v>
      </c>
      <c r="B267">
        <v>9</v>
      </c>
      <c r="C267">
        <v>1984</v>
      </c>
      <c r="D267" s="112">
        <f t="shared" si="28"/>
        <v>30945</v>
      </c>
      <c r="E267">
        <v>3.6</v>
      </c>
      <c r="F267">
        <v>3.6</v>
      </c>
      <c r="G267" s="113">
        <v>1.8297378553342174</v>
      </c>
      <c r="H267" s="113">
        <f t="shared" si="29"/>
        <v>855.15454897945847</v>
      </c>
      <c r="I267" s="113">
        <v>0.91541963246492575</v>
      </c>
      <c r="J267" s="113">
        <f t="shared" si="30"/>
        <v>1010.4819665447963</v>
      </c>
      <c r="K267" s="113">
        <v>-0.40760704104674383</v>
      </c>
      <c r="L267" s="113">
        <f t="shared" si="31"/>
        <v>539.86125324284001</v>
      </c>
      <c r="M267" s="97">
        <v>-0.39118421750643989</v>
      </c>
      <c r="N267" s="97">
        <f t="shared" si="32"/>
        <v>594.65168066302545</v>
      </c>
      <c r="O267" s="113">
        <v>0.8390492160168409</v>
      </c>
      <c r="P267" s="113">
        <f t="shared" si="33"/>
        <v>475.08309864108867</v>
      </c>
      <c r="Q267" s="113">
        <v>0.78273942493612225</v>
      </c>
      <c r="R267" s="113">
        <f t="shared" si="34"/>
        <v>467.50031417093027</v>
      </c>
    </row>
    <row r="268" spans="1:18" x14ac:dyDescent="0.2">
      <c r="A268">
        <v>21</v>
      </c>
      <c r="B268">
        <v>9</v>
      </c>
      <c r="C268">
        <v>1984</v>
      </c>
      <c r="D268" s="112">
        <f t="shared" si="28"/>
        <v>30946</v>
      </c>
      <c r="E268">
        <v>7.4</v>
      </c>
      <c r="F268">
        <v>7.4</v>
      </c>
      <c r="G268" s="113">
        <v>3.5169261976869617</v>
      </c>
      <c r="H268" s="113">
        <f t="shared" si="29"/>
        <v>858.67147517714545</v>
      </c>
      <c r="I268" s="113">
        <v>2.9858715517820764</v>
      </c>
      <c r="J268" s="113">
        <f t="shared" si="30"/>
        <v>1013.4678380965784</v>
      </c>
      <c r="K268" s="113">
        <v>1.5089719298613107</v>
      </c>
      <c r="L268" s="113">
        <f t="shared" si="31"/>
        <v>541.37022517270134</v>
      </c>
      <c r="M268" s="97">
        <v>1.5473695802841905</v>
      </c>
      <c r="N268" s="97">
        <f t="shared" si="32"/>
        <v>596.19905024330967</v>
      </c>
      <c r="O268" s="113">
        <v>1.3292448614429253</v>
      </c>
      <c r="P268" s="113">
        <f t="shared" si="33"/>
        <v>476.4123435025316</v>
      </c>
      <c r="Q268" s="113">
        <v>1.3539991343411357</v>
      </c>
      <c r="R268" s="113">
        <f t="shared" si="34"/>
        <v>468.85431330527138</v>
      </c>
    </row>
    <row r="269" spans="1:18" x14ac:dyDescent="0.2">
      <c r="A269">
        <v>22</v>
      </c>
      <c r="B269">
        <v>9</v>
      </c>
      <c r="C269">
        <v>1984</v>
      </c>
      <c r="D269" s="112">
        <f t="shared" si="28"/>
        <v>30947</v>
      </c>
      <c r="E269">
        <v>12.3</v>
      </c>
      <c r="F269">
        <v>12.3</v>
      </c>
      <c r="G269" s="113">
        <v>4.2332543498865398</v>
      </c>
      <c r="H269" s="113">
        <f t="shared" si="29"/>
        <v>862.90472952703203</v>
      </c>
      <c r="I269" s="113">
        <v>6.4997924063226593</v>
      </c>
      <c r="J269" s="113">
        <f t="shared" si="30"/>
        <v>1019.967630502901</v>
      </c>
      <c r="K269" s="113">
        <v>4.068212814711746</v>
      </c>
      <c r="L269" s="113">
        <f t="shared" si="31"/>
        <v>545.43843798741307</v>
      </c>
      <c r="M269" s="97">
        <v>4.1367055034144382</v>
      </c>
      <c r="N269" s="97">
        <f t="shared" si="32"/>
        <v>600.33575574672409</v>
      </c>
      <c r="O269" s="113">
        <v>1.8497385234960557</v>
      </c>
      <c r="P269" s="113">
        <f t="shared" si="33"/>
        <v>478.26208202602766</v>
      </c>
      <c r="Q269" s="113">
        <v>1.7100046780983067</v>
      </c>
      <c r="R269" s="113">
        <f t="shared" si="34"/>
        <v>470.56431798336968</v>
      </c>
    </row>
    <row r="270" spans="1:18" x14ac:dyDescent="0.2">
      <c r="A270">
        <v>23</v>
      </c>
      <c r="B270">
        <v>9</v>
      </c>
      <c r="C270">
        <v>1984</v>
      </c>
      <c r="D270" s="112">
        <f t="shared" si="28"/>
        <v>30948</v>
      </c>
      <c r="E270">
        <v>5</v>
      </c>
      <c r="F270">
        <v>5</v>
      </c>
      <c r="G270" s="113">
        <v>4.3104623084501732</v>
      </c>
      <c r="H270" s="113">
        <f t="shared" si="29"/>
        <v>867.21519183548219</v>
      </c>
      <c r="I270" s="113">
        <v>1.4349714212492375</v>
      </c>
      <c r="J270" s="113">
        <f t="shared" si="30"/>
        <v>1021.4026019241502</v>
      </c>
      <c r="K270" s="113">
        <v>0.37370117397935848</v>
      </c>
      <c r="L270" s="113">
        <f t="shared" si="31"/>
        <v>545.81213916139245</v>
      </c>
      <c r="M270" s="97">
        <v>0.40419942116862784</v>
      </c>
      <c r="N270" s="97">
        <f t="shared" si="32"/>
        <v>600.73995516789273</v>
      </c>
      <c r="O270" s="113">
        <v>1.2620486543875455</v>
      </c>
      <c r="P270" s="113">
        <f t="shared" si="33"/>
        <v>479.52413068041523</v>
      </c>
      <c r="Q270" s="113">
        <v>1.2859846821538974</v>
      </c>
      <c r="R270" s="113">
        <f t="shared" si="34"/>
        <v>471.8503026655236</v>
      </c>
    </row>
    <row r="271" spans="1:18" x14ac:dyDescent="0.2">
      <c r="A271">
        <v>24</v>
      </c>
      <c r="B271">
        <v>9</v>
      </c>
      <c r="C271">
        <v>1984</v>
      </c>
      <c r="D271" s="112">
        <f t="shared" si="28"/>
        <v>30949</v>
      </c>
      <c r="E271">
        <v>5</v>
      </c>
      <c r="F271">
        <v>5</v>
      </c>
      <c r="G271" s="113">
        <v>3.3797431275029237</v>
      </c>
      <c r="H271" s="113">
        <f t="shared" si="29"/>
        <v>870.59493496298512</v>
      </c>
      <c r="I271" s="113">
        <v>1.4446870689755564</v>
      </c>
      <c r="J271" s="113">
        <f t="shared" si="30"/>
        <v>1022.8472889931257</v>
      </c>
      <c r="K271" s="113">
        <v>0.40055020232182831</v>
      </c>
      <c r="L271" s="113">
        <f t="shared" si="31"/>
        <v>546.21268936371428</v>
      </c>
      <c r="M271" s="97">
        <v>0.43262875069952872</v>
      </c>
      <c r="N271" s="97">
        <f t="shared" si="32"/>
        <v>601.1725839185923</v>
      </c>
      <c r="O271" s="113">
        <v>1.0945586208055087</v>
      </c>
      <c r="P271" s="113">
        <f t="shared" si="33"/>
        <v>480.61868930122074</v>
      </c>
      <c r="Q271" s="113">
        <v>1.1049337157554973</v>
      </c>
      <c r="R271" s="113">
        <f t="shared" si="34"/>
        <v>472.95523638127912</v>
      </c>
    </row>
    <row r="272" spans="1:18" x14ac:dyDescent="0.2">
      <c r="A272">
        <v>25</v>
      </c>
      <c r="B272">
        <v>9</v>
      </c>
      <c r="C272">
        <v>1984</v>
      </c>
      <c r="D272" s="112">
        <f t="shared" si="28"/>
        <v>30950</v>
      </c>
      <c r="E272">
        <v>6.5</v>
      </c>
      <c r="F272">
        <v>6.5</v>
      </c>
      <c r="G272" s="113">
        <v>2.2396281364372177</v>
      </c>
      <c r="H272" s="113">
        <f t="shared" si="29"/>
        <v>872.83456309942233</v>
      </c>
      <c r="I272" s="113">
        <v>2.4435171154416384</v>
      </c>
      <c r="J272" s="113">
        <f t="shared" si="30"/>
        <v>1025.2908061085675</v>
      </c>
      <c r="K272" s="113">
        <v>1.1746089147590122</v>
      </c>
      <c r="L272" s="113">
        <f t="shared" si="31"/>
        <v>547.38729827847328</v>
      </c>
      <c r="M272" s="97">
        <v>1.2175078356880169</v>
      </c>
      <c r="N272" s="97">
        <f t="shared" si="32"/>
        <v>602.39009175428032</v>
      </c>
      <c r="O272" s="113">
        <v>1.0486295423071064</v>
      </c>
      <c r="P272" s="113">
        <f t="shared" si="33"/>
        <v>481.66731884352782</v>
      </c>
      <c r="Q272" s="113">
        <v>0.95929130252453398</v>
      </c>
      <c r="R272" s="113">
        <f t="shared" si="34"/>
        <v>473.91452768380367</v>
      </c>
    </row>
    <row r="273" spans="1:18" x14ac:dyDescent="0.2">
      <c r="A273">
        <v>26</v>
      </c>
      <c r="B273">
        <v>9</v>
      </c>
      <c r="C273">
        <v>1984</v>
      </c>
      <c r="D273" s="112">
        <f t="shared" si="28"/>
        <v>30951</v>
      </c>
      <c r="E273">
        <v>7</v>
      </c>
      <c r="F273">
        <v>7</v>
      </c>
      <c r="G273" s="113">
        <v>3.0380614092860059</v>
      </c>
      <c r="H273" s="113">
        <f t="shared" si="29"/>
        <v>875.87262450870833</v>
      </c>
      <c r="I273" s="113">
        <v>3.0312619363256355</v>
      </c>
      <c r="J273" s="113">
        <f t="shared" si="30"/>
        <v>1028.3220680448931</v>
      </c>
      <c r="K273" s="113">
        <v>1.5501249662626615</v>
      </c>
      <c r="L273" s="113">
        <f t="shared" si="31"/>
        <v>548.9374232447359</v>
      </c>
      <c r="M273" s="97">
        <v>1.6025196304539158</v>
      </c>
      <c r="N273" s="97">
        <f t="shared" si="32"/>
        <v>603.99261138473423</v>
      </c>
      <c r="O273" s="113">
        <v>1.0382131886524766</v>
      </c>
      <c r="P273" s="113">
        <f t="shared" si="33"/>
        <v>482.70553203218032</v>
      </c>
      <c r="Q273" s="113">
        <v>0.88803729548940613</v>
      </c>
      <c r="R273" s="113">
        <f t="shared" si="34"/>
        <v>474.80256497929309</v>
      </c>
    </row>
    <row r="274" spans="1:18" x14ac:dyDescent="0.2">
      <c r="A274">
        <v>27</v>
      </c>
      <c r="B274">
        <v>9</v>
      </c>
      <c r="C274">
        <v>1984</v>
      </c>
      <c r="D274" s="112">
        <f t="shared" si="28"/>
        <v>30952</v>
      </c>
      <c r="E274">
        <v>5.7</v>
      </c>
      <c r="F274">
        <v>5.7</v>
      </c>
      <c r="G274" s="113">
        <v>1.247476810935183</v>
      </c>
      <c r="H274" s="113">
        <f t="shared" si="29"/>
        <v>877.12010131964348</v>
      </c>
      <c r="I274" s="113">
        <v>1.8972471349286073</v>
      </c>
      <c r="J274" s="113">
        <f t="shared" si="30"/>
        <v>1030.2193151798217</v>
      </c>
      <c r="K274" s="113">
        <v>0.81627149088060325</v>
      </c>
      <c r="L274" s="113">
        <f t="shared" si="31"/>
        <v>549.75369473561648</v>
      </c>
      <c r="M274" s="97">
        <v>0.85836449014183014</v>
      </c>
      <c r="N274" s="97">
        <f t="shared" si="32"/>
        <v>604.8509758748761</v>
      </c>
      <c r="O274" s="113">
        <v>0.95772815928777555</v>
      </c>
      <c r="P274" s="113">
        <f t="shared" si="33"/>
        <v>483.66326019146811</v>
      </c>
      <c r="Q274" s="113">
        <v>0.88848731806041625</v>
      </c>
      <c r="R274" s="113">
        <f t="shared" si="34"/>
        <v>475.69105229735351</v>
      </c>
    </row>
    <row r="275" spans="1:18" x14ac:dyDescent="0.2">
      <c r="A275">
        <v>28</v>
      </c>
      <c r="B275">
        <v>9</v>
      </c>
      <c r="C275">
        <v>1984</v>
      </c>
      <c r="D275" s="112">
        <f t="shared" si="28"/>
        <v>30953</v>
      </c>
      <c r="E275">
        <v>6</v>
      </c>
      <c r="F275">
        <v>6</v>
      </c>
      <c r="G275" s="113">
        <v>4.4443686952440888</v>
      </c>
      <c r="H275" s="113">
        <f t="shared" si="29"/>
        <v>881.56447001488755</v>
      </c>
      <c r="I275" s="113">
        <v>2.2166172718957458</v>
      </c>
      <c r="J275" s="113">
        <f t="shared" si="30"/>
        <v>1032.4359324517175</v>
      </c>
      <c r="K275" s="113">
        <v>1.0394095529834804</v>
      </c>
      <c r="L275" s="113">
        <f t="shared" si="31"/>
        <v>550.79310428859992</v>
      </c>
      <c r="M275" s="97">
        <v>1.088845902154207</v>
      </c>
      <c r="N275" s="97">
        <f t="shared" si="32"/>
        <v>605.93982177703026</v>
      </c>
      <c r="O275" s="113">
        <v>1.4258017317093035</v>
      </c>
      <c r="P275" s="113">
        <f t="shared" si="33"/>
        <v>485.08906192317744</v>
      </c>
      <c r="Q275" s="113">
        <v>1.3930308129648474</v>
      </c>
      <c r="R275" s="113">
        <f t="shared" si="34"/>
        <v>477.08408311031837</v>
      </c>
    </row>
    <row r="276" spans="1:18" x14ac:dyDescent="0.2">
      <c r="A276">
        <v>29</v>
      </c>
      <c r="B276">
        <v>9</v>
      </c>
      <c r="C276">
        <v>1984</v>
      </c>
      <c r="D276" s="112">
        <f t="shared" si="28"/>
        <v>30954</v>
      </c>
      <c r="E276">
        <v>9.6999999999999993</v>
      </c>
      <c r="F276">
        <v>9.6999999999999993</v>
      </c>
      <c r="G276" s="113">
        <v>2.0976903615805287</v>
      </c>
      <c r="H276" s="113">
        <f t="shared" si="29"/>
        <v>883.66216037646802</v>
      </c>
      <c r="I276" s="113">
        <v>4.6682996955907026</v>
      </c>
      <c r="J276" s="113">
        <f t="shared" si="30"/>
        <v>1037.1042321473083</v>
      </c>
      <c r="K276" s="113">
        <v>2.9010824573411149</v>
      </c>
      <c r="L276" s="113">
        <f t="shared" si="31"/>
        <v>553.69418674594101</v>
      </c>
      <c r="M276" s="97">
        <v>2.9838077339362399</v>
      </c>
      <c r="N276" s="97">
        <f t="shared" si="32"/>
        <v>608.92362951096652</v>
      </c>
      <c r="O276" s="113">
        <v>1.2604647969496308</v>
      </c>
      <c r="P276" s="113">
        <f t="shared" si="33"/>
        <v>486.34952672012707</v>
      </c>
      <c r="Q276" s="113">
        <v>1.1699284631658655</v>
      </c>
      <c r="R276" s="113">
        <f t="shared" si="34"/>
        <v>478.25401157348426</v>
      </c>
    </row>
    <row r="277" spans="1:18" x14ac:dyDescent="0.2">
      <c r="A277">
        <v>30</v>
      </c>
      <c r="B277">
        <v>9</v>
      </c>
      <c r="C277">
        <v>1984</v>
      </c>
      <c r="D277" s="112">
        <f t="shared" si="28"/>
        <v>30955</v>
      </c>
      <c r="E277">
        <v>10.8</v>
      </c>
      <c r="F277">
        <v>10.8</v>
      </c>
      <c r="G277" s="113">
        <v>4.9329052532207758</v>
      </c>
      <c r="H277" s="113">
        <f t="shared" si="29"/>
        <v>888.59506562968875</v>
      </c>
      <c r="I277" s="113">
        <v>6.3581731392867704</v>
      </c>
      <c r="J277" s="113">
        <f t="shared" si="30"/>
        <v>1043.462405286595</v>
      </c>
      <c r="K277" s="113">
        <v>3.9731188269603428</v>
      </c>
      <c r="L277" s="113">
        <f t="shared" si="31"/>
        <v>557.66730557290134</v>
      </c>
      <c r="M277" s="97">
        <v>4.0852729135730987</v>
      </c>
      <c r="N277" s="97">
        <f t="shared" si="32"/>
        <v>613.00890242453966</v>
      </c>
      <c r="O277" s="113">
        <v>1.5242895105988583</v>
      </c>
      <c r="P277" s="113">
        <f t="shared" si="33"/>
        <v>487.87381623072594</v>
      </c>
      <c r="Q277" s="113">
        <v>1.3046406698529349</v>
      </c>
      <c r="R277" s="113">
        <f t="shared" si="34"/>
        <v>479.55865224333718</v>
      </c>
    </row>
    <row r="278" spans="1:18" x14ac:dyDescent="0.2">
      <c r="A278">
        <v>1</v>
      </c>
      <c r="B278">
        <v>10</v>
      </c>
      <c r="C278">
        <v>1984</v>
      </c>
      <c r="D278" s="112">
        <f t="shared" si="28"/>
        <v>30956</v>
      </c>
      <c r="E278">
        <v>7.7</v>
      </c>
      <c r="F278">
        <v>7.7</v>
      </c>
      <c r="G278" s="113">
        <v>2.0828547248976279</v>
      </c>
      <c r="H278" s="113">
        <f t="shared" si="29"/>
        <v>890.67792035458638</v>
      </c>
      <c r="I278" s="113">
        <v>3.8351546198108415</v>
      </c>
      <c r="J278" s="113">
        <f t="shared" si="30"/>
        <v>1047.2975599064057</v>
      </c>
      <c r="K278" s="113">
        <v>2.1690268473857199</v>
      </c>
      <c r="L278" s="113">
        <f t="shared" si="31"/>
        <v>559.83633242028702</v>
      </c>
      <c r="M278" s="97">
        <v>2.2522603903421281</v>
      </c>
      <c r="N278" s="97">
        <f t="shared" si="32"/>
        <v>615.2611628148818</v>
      </c>
      <c r="O278" s="113">
        <v>0.89066393535932209</v>
      </c>
      <c r="P278" s="113">
        <f t="shared" si="33"/>
        <v>488.76448016608526</v>
      </c>
      <c r="Q278" s="113">
        <v>0.68551190379224314</v>
      </c>
      <c r="R278" s="113">
        <f t="shared" si="34"/>
        <v>480.24416414712942</v>
      </c>
    </row>
    <row r="279" spans="1:18" x14ac:dyDescent="0.2">
      <c r="A279">
        <v>2</v>
      </c>
      <c r="B279">
        <v>10</v>
      </c>
      <c r="C279">
        <v>1984</v>
      </c>
      <c r="D279" s="112">
        <f t="shared" si="28"/>
        <v>30957</v>
      </c>
      <c r="E279">
        <v>10.1</v>
      </c>
      <c r="F279">
        <v>10.1</v>
      </c>
      <c r="G279" s="113">
        <v>2.2745785493118906</v>
      </c>
      <c r="H279" s="113">
        <f t="shared" si="29"/>
        <v>892.95249890389823</v>
      </c>
      <c r="I279" s="113">
        <v>5.9339566941029673</v>
      </c>
      <c r="J279" s="113">
        <f t="shared" si="30"/>
        <v>1053.2315166005087</v>
      </c>
      <c r="K279" s="113">
        <v>3.6642467172155078</v>
      </c>
      <c r="L279" s="113">
        <f t="shared" si="31"/>
        <v>563.50057913750254</v>
      </c>
      <c r="M279" s="97">
        <v>3.7847209822536048</v>
      </c>
      <c r="N279" s="97">
        <f t="shared" si="32"/>
        <v>619.04588379713539</v>
      </c>
      <c r="O279" s="113">
        <v>1.1196471720838794</v>
      </c>
      <c r="P279" s="113">
        <f t="shared" si="33"/>
        <v>489.88412733816915</v>
      </c>
      <c r="Q279" s="113">
        <v>0.84428144549383755</v>
      </c>
      <c r="R279" s="113">
        <f t="shared" si="34"/>
        <v>481.08844559262326</v>
      </c>
    </row>
    <row r="280" spans="1:18" x14ac:dyDescent="0.2">
      <c r="A280">
        <v>3</v>
      </c>
      <c r="B280">
        <v>10</v>
      </c>
      <c r="C280">
        <v>1984</v>
      </c>
      <c r="D280" s="112">
        <f t="shared" si="28"/>
        <v>30958</v>
      </c>
      <c r="E280">
        <v>9.6999999999999993</v>
      </c>
      <c r="F280">
        <v>9.6999999999999993</v>
      </c>
      <c r="G280" s="113">
        <v>3.5760369639765601</v>
      </c>
      <c r="H280" s="113">
        <f t="shared" si="29"/>
        <v>896.52853586787478</v>
      </c>
      <c r="I280" s="113">
        <v>5.8562319137588785</v>
      </c>
      <c r="J280" s="113">
        <f t="shared" si="30"/>
        <v>1059.0877485142676</v>
      </c>
      <c r="K280" s="113">
        <v>3.5906082035164828</v>
      </c>
      <c r="L280" s="113">
        <f t="shared" si="31"/>
        <v>567.09118734101901</v>
      </c>
      <c r="M280" s="97">
        <v>3.7185483916265483</v>
      </c>
      <c r="N280" s="97">
        <f t="shared" si="32"/>
        <v>622.76443218876193</v>
      </c>
      <c r="O280" s="113">
        <v>1.3007245202320439</v>
      </c>
      <c r="P280" s="113">
        <f t="shared" si="33"/>
        <v>491.1848518584012</v>
      </c>
      <c r="Q280" s="113">
        <v>1.0219106209336823</v>
      </c>
      <c r="R280" s="113">
        <f t="shared" si="34"/>
        <v>482.11035621355694</v>
      </c>
    </row>
    <row r="281" spans="1:18" x14ac:dyDescent="0.2">
      <c r="A281">
        <v>4</v>
      </c>
      <c r="B281">
        <v>10</v>
      </c>
      <c r="C281">
        <v>1984</v>
      </c>
      <c r="D281" s="112">
        <f t="shared" si="28"/>
        <v>30959</v>
      </c>
      <c r="E281">
        <v>11.2</v>
      </c>
      <c r="F281">
        <v>11.2</v>
      </c>
      <c r="G281" s="113">
        <v>2.1198293371938055</v>
      </c>
      <c r="H281" s="113">
        <f t="shared" si="29"/>
        <v>898.64836520506856</v>
      </c>
      <c r="I281" s="113">
        <v>6.9843148207582963</v>
      </c>
      <c r="J281" s="113">
        <f t="shared" si="30"/>
        <v>1066.0720633350259</v>
      </c>
      <c r="K281" s="113">
        <v>4.451417153628257</v>
      </c>
      <c r="L281" s="113">
        <f t="shared" si="31"/>
        <v>571.54260449464732</v>
      </c>
      <c r="M281" s="97">
        <v>4.6064812431981048</v>
      </c>
      <c r="N281" s="97">
        <f t="shared" si="32"/>
        <v>627.37091343196005</v>
      </c>
      <c r="O281" s="113">
        <v>1.1522721901758048</v>
      </c>
      <c r="P281" s="113">
        <f t="shared" si="33"/>
        <v>492.33712404857698</v>
      </c>
      <c r="Q281" s="113">
        <v>0.78544934570132918</v>
      </c>
      <c r="R281" s="113">
        <f t="shared" si="34"/>
        <v>482.89580555925829</v>
      </c>
    </row>
    <row r="282" spans="1:18" x14ac:dyDescent="0.2">
      <c r="A282">
        <v>5</v>
      </c>
      <c r="B282">
        <v>10</v>
      </c>
      <c r="C282">
        <v>1984</v>
      </c>
      <c r="D282" s="112">
        <f t="shared" si="28"/>
        <v>30960</v>
      </c>
      <c r="E282">
        <v>5.0999999999999996</v>
      </c>
      <c r="F282">
        <v>5.0999999999999996</v>
      </c>
      <c r="G282" s="113">
        <v>4.0187275034165522</v>
      </c>
      <c r="H282" s="113">
        <f t="shared" si="29"/>
        <v>902.66709270848514</v>
      </c>
      <c r="I282" s="113">
        <v>2.1398485528444393</v>
      </c>
      <c r="J282" s="113">
        <f t="shared" si="30"/>
        <v>1068.2119118878702</v>
      </c>
      <c r="K282" s="113">
        <v>0.91645965045473099</v>
      </c>
      <c r="L282" s="113">
        <f t="shared" si="31"/>
        <v>572.45906414510205</v>
      </c>
      <c r="M282" s="97">
        <v>0.99441239705416706</v>
      </c>
      <c r="N282" s="97">
        <f t="shared" si="32"/>
        <v>628.36532582901418</v>
      </c>
      <c r="O282" s="113">
        <v>1.3002576215966961</v>
      </c>
      <c r="P282" s="113">
        <f t="shared" si="33"/>
        <v>493.63738167017368</v>
      </c>
      <c r="Q282" s="113">
        <v>1.2592017164353602</v>
      </c>
      <c r="R282" s="113">
        <f t="shared" si="34"/>
        <v>484.15500727569366</v>
      </c>
    </row>
    <row r="283" spans="1:18" x14ac:dyDescent="0.2">
      <c r="A283">
        <v>6</v>
      </c>
      <c r="B283">
        <v>10</v>
      </c>
      <c r="C283">
        <v>1984</v>
      </c>
      <c r="D283" s="112">
        <f t="shared" si="28"/>
        <v>30961</v>
      </c>
      <c r="E283">
        <v>9</v>
      </c>
      <c r="F283">
        <v>9</v>
      </c>
      <c r="G283" s="113">
        <v>3.0360691728663576</v>
      </c>
      <c r="H283" s="113">
        <f t="shared" si="29"/>
        <v>905.70316188135155</v>
      </c>
      <c r="I283" s="113">
        <v>5.5881931349293437</v>
      </c>
      <c r="J283" s="113">
        <f t="shared" si="30"/>
        <v>1073.8001050227995</v>
      </c>
      <c r="K283" s="113">
        <v>3.4024175100509</v>
      </c>
      <c r="L283" s="113">
        <f t="shared" si="31"/>
        <v>575.86148165515294</v>
      </c>
      <c r="M283" s="97">
        <v>3.5520550488401854</v>
      </c>
      <c r="N283" s="97">
        <f t="shared" si="32"/>
        <v>631.91738087785438</v>
      </c>
      <c r="O283" s="113">
        <v>1.2245890805079274</v>
      </c>
      <c r="P283" s="113">
        <f t="shared" si="33"/>
        <v>494.86197075068162</v>
      </c>
      <c r="Q283" s="113">
        <v>0.94252407653792714</v>
      </c>
      <c r="R283" s="113">
        <f t="shared" si="34"/>
        <v>485.09753135223161</v>
      </c>
    </row>
    <row r="284" spans="1:18" x14ac:dyDescent="0.2">
      <c r="A284">
        <v>7</v>
      </c>
      <c r="B284">
        <v>10</v>
      </c>
      <c r="C284">
        <v>1984</v>
      </c>
      <c r="D284" s="112">
        <f t="shared" si="28"/>
        <v>30962</v>
      </c>
      <c r="E284">
        <v>4.9000000000000004</v>
      </c>
      <c r="F284">
        <v>4.9000000000000004</v>
      </c>
      <c r="G284" s="113">
        <v>1.0337537715747069</v>
      </c>
      <c r="H284" s="113">
        <f t="shared" si="29"/>
        <v>906.7369156529262</v>
      </c>
      <c r="I284" s="113">
        <v>1.9608287862962197</v>
      </c>
      <c r="J284" s="113">
        <f t="shared" si="30"/>
        <v>1075.7609338090956</v>
      </c>
      <c r="K284" s="113">
        <v>0.83665265464730199</v>
      </c>
      <c r="L284" s="113">
        <f t="shared" si="31"/>
        <v>576.69813430980025</v>
      </c>
      <c r="M284" s="97">
        <v>0.91911113681786938</v>
      </c>
      <c r="N284" s="97">
        <f t="shared" si="32"/>
        <v>632.83649201467222</v>
      </c>
      <c r="O284" s="113">
        <v>0.73766732396901424</v>
      </c>
      <c r="P284" s="113">
        <f t="shared" si="33"/>
        <v>495.59963807465061</v>
      </c>
      <c r="Q284" s="113">
        <v>0.60390060999604112</v>
      </c>
      <c r="R284" s="113">
        <f t="shared" si="34"/>
        <v>485.70143196222767</v>
      </c>
    </row>
    <row r="285" spans="1:18" x14ac:dyDescent="0.2">
      <c r="A285">
        <v>8</v>
      </c>
      <c r="B285">
        <v>10</v>
      </c>
      <c r="C285">
        <v>1984</v>
      </c>
      <c r="D285" s="112">
        <f t="shared" si="28"/>
        <v>30963</v>
      </c>
      <c r="E285">
        <v>6.4</v>
      </c>
      <c r="F285">
        <v>6.4</v>
      </c>
      <c r="G285" s="113">
        <v>1.7039117770040282</v>
      </c>
      <c r="H285" s="113">
        <f t="shared" si="29"/>
        <v>908.44082742993021</v>
      </c>
      <c r="I285" s="113">
        <v>3.0100751523935605</v>
      </c>
      <c r="J285" s="113">
        <f t="shared" si="30"/>
        <v>1078.7710089614891</v>
      </c>
      <c r="K285" s="113">
        <v>1.6874204828252852</v>
      </c>
      <c r="L285" s="113">
        <f t="shared" si="31"/>
        <v>578.3855547926255</v>
      </c>
      <c r="M285" s="97">
        <v>1.7974215134689224</v>
      </c>
      <c r="N285" s="97">
        <f t="shared" si="32"/>
        <v>634.63391352814119</v>
      </c>
      <c r="O285" s="113">
        <v>1.1242094090366535</v>
      </c>
      <c r="P285" s="113">
        <f t="shared" si="33"/>
        <v>496.72384748368728</v>
      </c>
      <c r="Q285" s="113">
        <v>0.91513457061341286</v>
      </c>
      <c r="R285" s="113">
        <f t="shared" si="34"/>
        <v>486.61656653284109</v>
      </c>
    </row>
    <row r="286" spans="1:18" x14ac:dyDescent="0.2">
      <c r="A286">
        <v>9</v>
      </c>
      <c r="B286">
        <v>10</v>
      </c>
      <c r="C286">
        <v>1984</v>
      </c>
      <c r="D286" s="112">
        <f t="shared" si="28"/>
        <v>30964</v>
      </c>
      <c r="E286">
        <v>9.1999999999999993</v>
      </c>
      <c r="F286">
        <v>9.1999999999999993</v>
      </c>
      <c r="G286" s="113">
        <v>3.7424576651709911</v>
      </c>
      <c r="H286" s="113">
        <f t="shared" si="29"/>
        <v>912.18328509510116</v>
      </c>
      <c r="I286" s="113">
        <v>5.9337781247135757</v>
      </c>
      <c r="J286" s="113">
        <f t="shared" si="30"/>
        <v>1084.7047870862027</v>
      </c>
      <c r="K286" s="113">
        <v>3.713447857471869</v>
      </c>
      <c r="L286" s="113">
        <f t="shared" si="31"/>
        <v>582.09900265009742</v>
      </c>
      <c r="M286" s="97">
        <v>3.902063192875306</v>
      </c>
      <c r="N286" s="97">
        <f t="shared" si="32"/>
        <v>638.53597672101648</v>
      </c>
      <c r="O286" s="113">
        <v>1.0023093120254583</v>
      </c>
      <c r="P286" s="113">
        <f t="shared" si="33"/>
        <v>497.72615679571271</v>
      </c>
      <c r="Q286" s="113">
        <v>0.76254923363901106</v>
      </c>
      <c r="R286" s="113">
        <f t="shared" si="34"/>
        <v>487.37911576648008</v>
      </c>
    </row>
    <row r="287" spans="1:18" x14ac:dyDescent="0.2">
      <c r="A287">
        <v>10</v>
      </c>
      <c r="B287">
        <v>10</v>
      </c>
      <c r="C287">
        <v>1984</v>
      </c>
      <c r="D287" s="112">
        <f t="shared" si="28"/>
        <v>30965</v>
      </c>
      <c r="E287">
        <v>10.7</v>
      </c>
      <c r="F287">
        <v>10.7</v>
      </c>
      <c r="G287" s="113">
        <v>0.89011934416656435</v>
      </c>
      <c r="H287" s="113">
        <f t="shared" si="29"/>
        <v>913.07340443926773</v>
      </c>
      <c r="I287" s="113">
        <v>7.2317638915530109</v>
      </c>
      <c r="J287" s="113">
        <f t="shared" si="30"/>
        <v>1091.9365509777558</v>
      </c>
      <c r="K287" s="113">
        <v>4.6711969671117695</v>
      </c>
      <c r="L287" s="113">
        <f t="shared" si="31"/>
        <v>586.77019961720919</v>
      </c>
      <c r="M287" s="97">
        <v>4.9026661196280346</v>
      </c>
      <c r="N287" s="97">
        <f t="shared" si="32"/>
        <v>643.43864284064455</v>
      </c>
      <c r="O287" s="113">
        <v>0.83726434930304972</v>
      </c>
      <c r="P287" s="113">
        <f t="shared" si="33"/>
        <v>498.56342114501575</v>
      </c>
      <c r="Q287" s="113">
        <v>0.33568906437551344</v>
      </c>
      <c r="R287" s="113">
        <f t="shared" si="34"/>
        <v>487.7148048308556</v>
      </c>
    </row>
    <row r="288" spans="1:18" x14ac:dyDescent="0.2">
      <c r="A288">
        <v>11</v>
      </c>
      <c r="B288">
        <v>10</v>
      </c>
      <c r="C288">
        <v>1984</v>
      </c>
      <c r="D288" s="112">
        <f t="shared" si="28"/>
        <v>30966</v>
      </c>
      <c r="E288">
        <v>6</v>
      </c>
      <c r="F288">
        <v>6</v>
      </c>
      <c r="G288" s="113">
        <v>3.1784509786805684</v>
      </c>
      <c r="H288" s="113">
        <f t="shared" si="29"/>
        <v>916.25185541794826</v>
      </c>
      <c r="I288" s="113">
        <v>3.3581883693100179</v>
      </c>
      <c r="J288" s="113">
        <f t="shared" si="30"/>
        <v>1095.2947393470658</v>
      </c>
      <c r="K288" s="113">
        <v>1.8137399559045737</v>
      </c>
      <c r="L288" s="113">
        <f t="shared" si="31"/>
        <v>588.58393957311375</v>
      </c>
      <c r="M288" s="97">
        <v>1.958323551838989</v>
      </c>
      <c r="N288" s="97">
        <f t="shared" si="32"/>
        <v>645.39696639248359</v>
      </c>
      <c r="O288" s="113">
        <v>0.90196704735294775</v>
      </c>
      <c r="P288" s="113">
        <f t="shared" si="33"/>
        <v>499.46538819236872</v>
      </c>
      <c r="Q288" s="113">
        <v>0.74436010259327046</v>
      </c>
      <c r="R288" s="113">
        <f t="shared" si="34"/>
        <v>488.45916493344885</v>
      </c>
    </row>
    <row r="289" spans="1:18" x14ac:dyDescent="0.2">
      <c r="A289">
        <v>12</v>
      </c>
      <c r="B289">
        <v>10</v>
      </c>
      <c r="C289">
        <v>1984</v>
      </c>
      <c r="D289" s="112">
        <f t="shared" si="28"/>
        <v>30967</v>
      </c>
      <c r="E289">
        <v>5.0999999999999996</v>
      </c>
      <c r="F289">
        <v>5.0999999999999996</v>
      </c>
      <c r="G289" s="113">
        <v>1.8668403936705475</v>
      </c>
      <c r="H289" s="113">
        <f t="shared" si="29"/>
        <v>918.11869581161886</v>
      </c>
      <c r="I289" s="113">
        <v>2.4412202837599133</v>
      </c>
      <c r="J289" s="113">
        <f t="shared" si="30"/>
        <v>1097.7359596308258</v>
      </c>
      <c r="K289" s="113">
        <v>1.2019140145283611</v>
      </c>
      <c r="L289" s="113">
        <f t="shared" si="31"/>
        <v>589.78585358764212</v>
      </c>
      <c r="M289" s="97">
        <v>1.3271521144523069</v>
      </c>
      <c r="N289" s="97">
        <f t="shared" si="32"/>
        <v>646.72411850693595</v>
      </c>
      <c r="O289" s="113">
        <v>0.79363597157673094</v>
      </c>
      <c r="P289" s="113">
        <f t="shared" si="33"/>
        <v>500.25902416394547</v>
      </c>
      <c r="Q289" s="113">
        <v>0.72830573378323515</v>
      </c>
      <c r="R289" s="113">
        <f t="shared" si="34"/>
        <v>489.18747066723211</v>
      </c>
    </row>
    <row r="290" spans="1:18" x14ac:dyDescent="0.2">
      <c r="A290">
        <v>13</v>
      </c>
      <c r="B290">
        <v>10</v>
      </c>
      <c r="C290">
        <v>1984</v>
      </c>
      <c r="D290" s="112">
        <f t="shared" si="28"/>
        <v>30968</v>
      </c>
      <c r="E290">
        <v>3.3</v>
      </c>
      <c r="F290">
        <v>3.3</v>
      </c>
      <c r="G290" s="113">
        <v>3.610500958025487</v>
      </c>
      <c r="H290" s="113">
        <f t="shared" si="29"/>
        <v>921.72919676964432</v>
      </c>
      <c r="I290" s="113">
        <v>0.96964692711459</v>
      </c>
      <c r="J290" s="113">
        <f t="shared" si="30"/>
        <v>1098.7056065579404</v>
      </c>
      <c r="K290" s="113">
        <v>9.2541918671707454E-2</v>
      </c>
      <c r="L290" s="113">
        <f t="shared" si="31"/>
        <v>589.87839550631384</v>
      </c>
      <c r="M290" s="97">
        <v>0.18308800642191311</v>
      </c>
      <c r="N290" s="97">
        <f t="shared" si="32"/>
        <v>646.90720651335789</v>
      </c>
      <c r="O290" s="113">
        <v>1.1829665586844851</v>
      </c>
      <c r="P290" s="113">
        <f t="shared" si="33"/>
        <v>501.44199072262995</v>
      </c>
      <c r="Q290" s="113">
        <v>1.2176802376775737</v>
      </c>
      <c r="R290" s="113">
        <f t="shared" si="34"/>
        <v>490.4051509049097</v>
      </c>
    </row>
    <row r="291" spans="1:18" x14ac:dyDescent="0.2">
      <c r="A291">
        <v>14</v>
      </c>
      <c r="B291">
        <v>10</v>
      </c>
      <c r="C291">
        <v>1984</v>
      </c>
      <c r="D291" s="112">
        <f t="shared" si="28"/>
        <v>30969</v>
      </c>
      <c r="E291">
        <v>8.9</v>
      </c>
      <c r="F291">
        <v>8.9</v>
      </c>
      <c r="G291" s="113">
        <v>3.1340950956359594</v>
      </c>
      <c r="H291" s="113">
        <f t="shared" si="29"/>
        <v>924.8632918652803</v>
      </c>
      <c r="I291" s="113">
        <v>5.9690767444773067</v>
      </c>
      <c r="J291" s="113">
        <f t="shared" si="30"/>
        <v>1104.6746833024176</v>
      </c>
      <c r="K291" s="113">
        <v>3.8271938717186487</v>
      </c>
      <c r="L291" s="113">
        <f t="shared" si="31"/>
        <v>593.70558937803253</v>
      </c>
      <c r="M291" s="97">
        <v>4.0816658304042273</v>
      </c>
      <c r="N291" s="97">
        <f t="shared" si="32"/>
        <v>650.98887234376207</v>
      </c>
      <c r="O291" s="113">
        <v>0.9558900565723899</v>
      </c>
      <c r="P291" s="113">
        <f t="shared" si="33"/>
        <v>502.39788077920235</v>
      </c>
      <c r="Q291" s="113">
        <v>0.65032831922787504</v>
      </c>
      <c r="R291" s="113">
        <f t="shared" si="34"/>
        <v>491.05547922413757</v>
      </c>
    </row>
    <row r="292" spans="1:18" x14ac:dyDescent="0.2">
      <c r="A292">
        <v>15</v>
      </c>
      <c r="B292">
        <v>10</v>
      </c>
      <c r="C292">
        <v>1984</v>
      </c>
      <c r="D292" s="112">
        <f t="shared" si="28"/>
        <v>30970</v>
      </c>
      <c r="E292">
        <v>4.8</v>
      </c>
      <c r="F292">
        <v>4.8</v>
      </c>
      <c r="G292" s="113">
        <v>1.6616643221356628</v>
      </c>
      <c r="H292" s="113">
        <f t="shared" si="29"/>
        <v>926.52495618741591</v>
      </c>
      <c r="I292" s="113">
        <v>2.3704534577727454</v>
      </c>
      <c r="J292" s="113">
        <f t="shared" si="30"/>
        <v>1107.0451367601904</v>
      </c>
      <c r="K292" s="113">
        <v>1.1594738564965148</v>
      </c>
      <c r="L292" s="113">
        <f t="shared" si="31"/>
        <v>594.86506323452909</v>
      </c>
      <c r="M292" s="97">
        <v>1.3057349262229483</v>
      </c>
      <c r="N292" s="97">
        <f t="shared" si="32"/>
        <v>652.29460726998502</v>
      </c>
      <c r="O292" s="113">
        <v>0.69237594718778073</v>
      </c>
      <c r="P292" s="113">
        <f t="shared" si="33"/>
        <v>503.09025672639012</v>
      </c>
      <c r="Q292" s="113">
        <v>0.5548826040187016</v>
      </c>
      <c r="R292" s="113">
        <f t="shared" si="34"/>
        <v>491.61036182815627</v>
      </c>
    </row>
    <row r="293" spans="1:18" x14ac:dyDescent="0.2">
      <c r="A293">
        <v>16</v>
      </c>
      <c r="B293">
        <v>10</v>
      </c>
      <c r="C293">
        <v>1984</v>
      </c>
      <c r="D293" s="112">
        <f t="shared" si="28"/>
        <v>30971</v>
      </c>
      <c r="E293">
        <v>7.2</v>
      </c>
      <c r="F293">
        <v>7.2</v>
      </c>
      <c r="G293" s="113">
        <v>3.236392230425384</v>
      </c>
      <c r="H293" s="113">
        <f t="shared" si="29"/>
        <v>929.7613484178413</v>
      </c>
      <c r="I293" s="113">
        <v>5.0786402498591272</v>
      </c>
      <c r="J293" s="113">
        <f t="shared" si="30"/>
        <v>1112.1237770100495</v>
      </c>
      <c r="K293" s="113">
        <v>3.054794095072781</v>
      </c>
      <c r="L293" s="113">
        <f t="shared" si="31"/>
        <v>597.91985732960188</v>
      </c>
      <c r="M293" s="97">
        <v>3.3088913132520048</v>
      </c>
      <c r="N293" s="97">
        <f t="shared" si="32"/>
        <v>655.60349858323707</v>
      </c>
      <c r="O293" s="113">
        <v>0.97203641789371553</v>
      </c>
      <c r="P293" s="113">
        <f t="shared" si="33"/>
        <v>504.06229314428384</v>
      </c>
      <c r="Q293" s="113">
        <v>0.67682917257772679</v>
      </c>
      <c r="R293" s="113">
        <f t="shared" si="34"/>
        <v>492.28719100073403</v>
      </c>
    </row>
    <row r="294" spans="1:18" x14ac:dyDescent="0.2">
      <c r="A294">
        <v>17</v>
      </c>
      <c r="B294">
        <v>10</v>
      </c>
      <c r="C294">
        <v>1984</v>
      </c>
      <c r="D294" s="112">
        <f t="shared" si="28"/>
        <v>30972</v>
      </c>
      <c r="E294">
        <v>3.4</v>
      </c>
      <c r="F294">
        <v>3.4</v>
      </c>
      <c r="G294" s="113">
        <v>1.4201340111952043</v>
      </c>
      <c r="H294" s="113">
        <f t="shared" si="29"/>
        <v>931.18148242903646</v>
      </c>
      <c r="I294" s="113">
        <v>1.2329467731382568</v>
      </c>
      <c r="J294" s="113">
        <f t="shared" si="30"/>
        <v>1113.3567237831878</v>
      </c>
      <c r="K294" s="113">
        <v>0.30982339115472046</v>
      </c>
      <c r="L294" s="113">
        <f t="shared" si="31"/>
        <v>598.22968072075662</v>
      </c>
      <c r="M294" s="97">
        <v>0.4307586967015794</v>
      </c>
      <c r="N294" s="97">
        <f t="shared" si="32"/>
        <v>656.03425727993863</v>
      </c>
      <c r="O294" s="113">
        <v>0.67444530236324785</v>
      </c>
      <c r="P294" s="113">
        <f t="shared" si="33"/>
        <v>504.73673844664711</v>
      </c>
      <c r="Q294" s="113">
        <v>0.70126319506613599</v>
      </c>
      <c r="R294" s="113">
        <f t="shared" si="34"/>
        <v>492.98845419580016</v>
      </c>
    </row>
    <row r="295" spans="1:18" x14ac:dyDescent="0.2">
      <c r="A295">
        <v>18</v>
      </c>
      <c r="B295">
        <v>10</v>
      </c>
      <c r="C295">
        <v>1984</v>
      </c>
      <c r="D295" s="112">
        <f t="shared" si="28"/>
        <v>30973</v>
      </c>
      <c r="E295">
        <v>8</v>
      </c>
      <c r="F295">
        <v>8</v>
      </c>
      <c r="G295" s="113">
        <v>4.8791867009269545</v>
      </c>
      <c r="H295" s="113">
        <f t="shared" si="29"/>
        <v>936.06066912996346</v>
      </c>
      <c r="I295" s="113">
        <v>6.3489077489980232</v>
      </c>
      <c r="J295" s="113">
        <f t="shared" si="30"/>
        <v>1119.7056315321859</v>
      </c>
      <c r="K295" s="113">
        <v>3.9488744951052688</v>
      </c>
      <c r="L295" s="113">
        <f t="shared" si="31"/>
        <v>602.17855521586193</v>
      </c>
      <c r="M295" s="97">
        <v>4.2843465763810462</v>
      </c>
      <c r="N295" s="97">
        <f t="shared" si="32"/>
        <v>660.31860385631967</v>
      </c>
      <c r="O295" s="113">
        <v>1.8438457763570286</v>
      </c>
      <c r="P295" s="113">
        <f t="shared" si="33"/>
        <v>506.58058422300417</v>
      </c>
      <c r="Q295" s="113">
        <v>1.7725637761063822</v>
      </c>
      <c r="R295" s="113">
        <f t="shared" si="34"/>
        <v>494.76101797190654</v>
      </c>
    </row>
    <row r="296" spans="1:18" x14ac:dyDescent="0.2">
      <c r="A296">
        <v>19</v>
      </c>
      <c r="B296">
        <v>10</v>
      </c>
      <c r="C296">
        <v>1984</v>
      </c>
      <c r="D296" s="112">
        <f t="shared" si="28"/>
        <v>30974</v>
      </c>
      <c r="E296">
        <v>3.1</v>
      </c>
      <c r="F296">
        <v>3.1</v>
      </c>
      <c r="G296" s="113">
        <v>2.0222527938790371</v>
      </c>
      <c r="H296" s="113">
        <f t="shared" si="29"/>
        <v>938.08292192384249</v>
      </c>
      <c r="I296" s="113">
        <v>1.0813339680646854</v>
      </c>
      <c r="J296" s="113">
        <f t="shared" si="30"/>
        <v>1120.7869655002505</v>
      </c>
      <c r="K296" s="113">
        <v>0.18181600474866227</v>
      </c>
      <c r="L296" s="113">
        <f t="shared" si="31"/>
        <v>602.36037122061055</v>
      </c>
      <c r="M296" s="97">
        <v>0.31187761434991951</v>
      </c>
      <c r="N296" s="97">
        <f t="shared" si="32"/>
        <v>660.63048147066957</v>
      </c>
      <c r="O296" s="113">
        <v>0.8394051363244166</v>
      </c>
      <c r="P296" s="113">
        <f t="shared" si="33"/>
        <v>507.41998935932861</v>
      </c>
      <c r="Q296" s="113">
        <v>0.97618489119093266</v>
      </c>
      <c r="R296" s="113">
        <f t="shared" si="34"/>
        <v>495.73720286309748</v>
      </c>
    </row>
    <row r="297" spans="1:18" x14ac:dyDescent="0.2">
      <c r="A297">
        <v>20</v>
      </c>
      <c r="B297">
        <v>10</v>
      </c>
      <c r="C297">
        <v>1984</v>
      </c>
      <c r="D297" s="112">
        <f t="shared" si="28"/>
        <v>30975</v>
      </c>
      <c r="E297">
        <v>7.6</v>
      </c>
      <c r="F297">
        <v>7.6</v>
      </c>
      <c r="G297" s="113">
        <v>5.7192726076881</v>
      </c>
      <c r="H297" s="113">
        <f t="shared" si="29"/>
        <v>943.80219453153063</v>
      </c>
      <c r="I297" s="113">
        <v>6.5831402476312029</v>
      </c>
      <c r="J297" s="113">
        <f t="shared" si="30"/>
        <v>1127.3701057478818</v>
      </c>
      <c r="K297" s="113">
        <v>4.0320913519868125</v>
      </c>
      <c r="L297" s="113">
        <f t="shared" si="31"/>
        <v>606.39246257259731</v>
      </c>
      <c r="M297" s="97">
        <v>4.4171424150890086</v>
      </c>
      <c r="N297" s="97">
        <f t="shared" si="32"/>
        <v>665.04762388575853</v>
      </c>
      <c r="O297" s="113">
        <v>1.6707029681800312</v>
      </c>
      <c r="P297" s="113">
        <f t="shared" si="33"/>
        <v>509.09069232750863</v>
      </c>
      <c r="Q297" s="113">
        <v>1.4374421084661653</v>
      </c>
      <c r="R297" s="113">
        <f t="shared" si="34"/>
        <v>497.17464497156362</v>
      </c>
    </row>
    <row r="298" spans="1:18" x14ac:dyDescent="0.2">
      <c r="A298">
        <v>21</v>
      </c>
      <c r="B298">
        <v>10</v>
      </c>
      <c r="C298">
        <v>1984</v>
      </c>
      <c r="D298" s="112">
        <f t="shared" si="28"/>
        <v>30976</v>
      </c>
      <c r="E298">
        <v>6.3</v>
      </c>
      <c r="F298">
        <v>6.3</v>
      </c>
      <c r="G298" s="113">
        <v>6.214217938236998</v>
      </c>
      <c r="H298" s="113">
        <f t="shared" si="29"/>
        <v>950.0164124697676</v>
      </c>
      <c r="I298" s="113">
        <v>5.2164541446724639</v>
      </c>
      <c r="J298" s="113">
        <f t="shared" si="30"/>
        <v>1132.5865598925543</v>
      </c>
      <c r="K298" s="113">
        <v>3.0572263106461128</v>
      </c>
      <c r="L298" s="113">
        <f t="shared" si="31"/>
        <v>609.44968888324343</v>
      </c>
      <c r="M298" s="97">
        <v>3.402319520913279</v>
      </c>
      <c r="N298" s="97">
        <f t="shared" si="32"/>
        <v>668.44994340667176</v>
      </c>
      <c r="O298" s="113">
        <v>2.0682232146968236</v>
      </c>
      <c r="P298" s="113">
        <f t="shared" si="33"/>
        <v>511.15891554220548</v>
      </c>
      <c r="Q298" s="113">
        <v>1.6959161823733144</v>
      </c>
      <c r="R298" s="113">
        <f t="shared" si="34"/>
        <v>498.87056115393693</v>
      </c>
    </row>
    <row r="299" spans="1:18" x14ac:dyDescent="0.2">
      <c r="A299">
        <v>22</v>
      </c>
      <c r="B299">
        <v>10</v>
      </c>
      <c r="C299">
        <v>1984</v>
      </c>
      <c r="D299" s="112">
        <f t="shared" si="28"/>
        <v>30977</v>
      </c>
      <c r="E299">
        <v>2.9</v>
      </c>
      <c r="F299">
        <v>2.9</v>
      </c>
      <c r="G299" s="113">
        <v>0</v>
      </c>
      <c r="H299" s="113">
        <f t="shared" si="29"/>
        <v>950.0164124697676</v>
      </c>
      <c r="I299" s="113">
        <v>0.94342672819916029</v>
      </c>
      <c r="J299" s="113">
        <f t="shared" si="30"/>
        <v>1133.5299866207536</v>
      </c>
      <c r="K299" s="113">
        <v>0.14004780912051445</v>
      </c>
      <c r="L299" s="113">
        <f t="shared" si="31"/>
        <v>609.58973669236389</v>
      </c>
      <c r="M299" s="97">
        <v>0.27900589097212225</v>
      </c>
      <c r="N299" s="97">
        <f t="shared" si="32"/>
        <v>668.72894929764391</v>
      </c>
      <c r="O299" s="113">
        <v>0.38252275946673459</v>
      </c>
      <c r="P299" s="113">
        <f t="shared" si="33"/>
        <v>511.5414383016722</v>
      </c>
      <c r="Q299" s="113">
        <v>0.29759180924606016</v>
      </c>
      <c r="R299" s="113">
        <f t="shared" si="34"/>
        <v>499.16815296318299</v>
      </c>
    </row>
    <row r="300" spans="1:18" x14ac:dyDescent="0.2">
      <c r="A300">
        <v>23</v>
      </c>
      <c r="B300">
        <v>10</v>
      </c>
      <c r="C300">
        <v>1984</v>
      </c>
      <c r="D300" s="112">
        <f t="shared" si="28"/>
        <v>30978</v>
      </c>
      <c r="E300">
        <v>5.9</v>
      </c>
      <c r="F300">
        <v>5.9</v>
      </c>
      <c r="G300" s="113">
        <v>3.5266183138706806</v>
      </c>
      <c r="H300" s="113">
        <f t="shared" si="29"/>
        <v>953.5430307836383</v>
      </c>
      <c r="I300" s="113">
        <v>4.6300317661335839</v>
      </c>
      <c r="J300" s="113">
        <f t="shared" si="30"/>
        <v>1138.1600183868873</v>
      </c>
      <c r="K300" s="113">
        <v>2.7060940664307087</v>
      </c>
      <c r="L300" s="113">
        <f t="shared" si="31"/>
        <v>612.29583075879464</v>
      </c>
      <c r="M300" s="97">
        <v>3.0529833137630873</v>
      </c>
      <c r="N300" s="97">
        <f t="shared" si="32"/>
        <v>671.781932611407</v>
      </c>
      <c r="O300" s="113">
        <v>0.81651296915962512</v>
      </c>
      <c r="P300" s="113">
        <f t="shared" si="33"/>
        <v>512.35795127083179</v>
      </c>
      <c r="Q300" s="113">
        <v>0.62026147410228105</v>
      </c>
      <c r="R300" s="113">
        <f t="shared" si="34"/>
        <v>499.78841443728527</v>
      </c>
    </row>
    <row r="301" spans="1:18" x14ac:dyDescent="0.2">
      <c r="A301">
        <v>24</v>
      </c>
      <c r="B301">
        <v>10</v>
      </c>
      <c r="C301">
        <v>1984</v>
      </c>
      <c r="D301" s="112">
        <f t="shared" si="28"/>
        <v>30979</v>
      </c>
      <c r="E301">
        <v>1.5</v>
      </c>
      <c r="F301">
        <v>1.5</v>
      </c>
      <c r="G301" s="113">
        <v>2.2804995031748736</v>
      </c>
      <c r="H301" s="113">
        <f t="shared" si="29"/>
        <v>955.82353028681314</v>
      </c>
      <c r="I301" s="113">
        <v>0.94085604049336424</v>
      </c>
      <c r="J301" s="113">
        <f t="shared" si="30"/>
        <v>1139.1008744273806</v>
      </c>
      <c r="K301" s="113">
        <v>-0.91077330069796192</v>
      </c>
      <c r="L301" s="113">
        <f t="shared" si="31"/>
        <v>611.38505745809664</v>
      </c>
      <c r="M301" s="97">
        <v>-0.8193846000333036</v>
      </c>
      <c r="N301" s="97">
        <f t="shared" si="32"/>
        <v>670.96254801137366</v>
      </c>
      <c r="O301" s="113">
        <v>0.97071851860290381</v>
      </c>
      <c r="P301" s="113">
        <f t="shared" si="33"/>
        <v>513.32866978943468</v>
      </c>
      <c r="Q301" s="113">
        <v>0.68347619738929721</v>
      </c>
      <c r="R301" s="113">
        <f t="shared" si="34"/>
        <v>500.47189063467459</v>
      </c>
    </row>
    <row r="302" spans="1:18" x14ac:dyDescent="0.2">
      <c r="A302">
        <v>25</v>
      </c>
      <c r="B302">
        <v>10</v>
      </c>
      <c r="C302">
        <v>1984</v>
      </c>
      <c r="D302" s="112">
        <f t="shared" si="28"/>
        <v>30980</v>
      </c>
      <c r="E302">
        <v>5.3</v>
      </c>
      <c r="F302">
        <v>5.3</v>
      </c>
      <c r="G302" s="113">
        <v>4.3184417593156459</v>
      </c>
      <c r="H302" s="113">
        <f t="shared" si="29"/>
        <v>960.14197204612879</v>
      </c>
      <c r="I302" s="113">
        <v>4.0733885465869459</v>
      </c>
      <c r="J302" s="113">
        <f t="shared" si="30"/>
        <v>1143.1742629739676</v>
      </c>
      <c r="K302" s="113">
        <v>2.3365450112802946</v>
      </c>
      <c r="L302" s="113">
        <f t="shared" si="31"/>
        <v>613.72160246937699</v>
      </c>
      <c r="M302" s="97">
        <v>2.6890554962628026</v>
      </c>
      <c r="N302" s="97">
        <f t="shared" si="32"/>
        <v>673.65160350763642</v>
      </c>
      <c r="O302" s="113">
        <v>1.3570841037817594</v>
      </c>
      <c r="P302" s="113">
        <f t="shared" si="33"/>
        <v>514.68575389321643</v>
      </c>
      <c r="Q302" s="113">
        <v>1.2324224862678641</v>
      </c>
      <c r="R302" s="113">
        <f t="shared" si="34"/>
        <v>501.70431312094246</v>
      </c>
    </row>
    <row r="303" spans="1:18" x14ac:dyDescent="0.2">
      <c r="A303">
        <v>26</v>
      </c>
      <c r="B303">
        <v>10</v>
      </c>
      <c r="C303">
        <v>1984</v>
      </c>
      <c r="D303" s="112">
        <f t="shared" si="28"/>
        <v>30981</v>
      </c>
      <c r="E303">
        <v>7.6</v>
      </c>
      <c r="F303">
        <v>7.6</v>
      </c>
      <c r="G303" s="113">
        <v>3.996456053311253</v>
      </c>
      <c r="H303" s="113">
        <f t="shared" si="29"/>
        <v>964.13842809944003</v>
      </c>
      <c r="I303" s="113">
        <v>7.3547893104962547</v>
      </c>
      <c r="J303" s="113">
        <f t="shared" si="30"/>
        <v>1150.5290522844639</v>
      </c>
      <c r="K303" s="113">
        <v>4.6158872693689919</v>
      </c>
      <c r="L303" s="113">
        <f t="shared" si="31"/>
        <v>618.33748973874594</v>
      </c>
      <c r="M303" s="97">
        <v>5.1809528701214544</v>
      </c>
      <c r="N303" s="97">
        <f t="shared" si="32"/>
        <v>678.8325563777579</v>
      </c>
      <c r="O303" s="113">
        <v>0.45901758447463414</v>
      </c>
      <c r="P303" s="113">
        <f t="shared" si="33"/>
        <v>515.14477147769105</v>
      </c>
      <c r="Q303" s="113">
        <v>0.16188894886932631</v>
      </c>
      <c r="R303" s="113">
        <f t="shared" si="34"/>
        <v>501.86620206981178</v>
      </c>
    </row>
    <row r="304" spans="1:18" x14ac:dyDescent="0.2">
      <c r="A304">
        <v>27</v>
      </c>
      <c r="B304">
        <v>10</v>
      </c>
      <c r="C304">
        <v>1984</v>
      </c>
      <c r="D304" s="112">
        <f t="shared" si="28"/>
        <v>30982</v>
      </c>
      <c r="E304">
        <v>8.6</v>
      </c>
      <c r="F304">
        <v>8.6</v>
      </c>
      <c r="G304" s="113">
        <v>1.796476367727621</v>
      </c>
      <c r="H304" s="113">
        <f t="shared" si="29"/>
        <v>965.9349044671676</v>
      </c>
      <c r="I304" s="113">
        <v>8.6398363669105169</v>
      </c>
      <c r="J304" s="113">
        <f t="shared" si="30"/>
        <v>1159.1688886513743</v>
      </c>
      <c r="K304" s="113">
        <v>5.549820660782097</v>
      </c>
      <c r="L304" s="113">
        <f t="shared" si="31"/>
        <v>623.88731039952802</v>
      </c>
      <c r="M304" s="97">
        <v>6.2193628784374377</v>
      </c>
      <c r="N304" s="97">
        <f t="shared" si="32"/>
        <v>685.05191925619533</v>
      </c>
      <c r="O304" s="113">
        <v>0.58620755188630946</v>
      </c>
      <c r="P304" s="113">
        <f t="shared" si="33"/>
        <v>515.73097902957738</v>
      </c>
      <c r="Q304" s="113">
        <v>-3.5438702594318174E-2</v>
      </c>
      <c r="R304" s="113">
        <f t="shared" si="34"/>
        <v>501.83076336721746</v>
      </c>
    </row>
    <row r="305" spans="1:18" x14ac:dyDescent="0.2">
      <c r="A305">
        <v>28</v>
      </c>
      <c r="B305">
        <v>10</v>
      </c>
      <c r="C305">
        <v>1984</v>
      </c>
      <c r="D305" s="112">
        <f t="shared" si="28"/>
        <v>30983</v>
      </c>
      <c r="E305">
        <v>2.5</v>
      </c>
      <c r="F305">
        <v>2.5</v>
      </c>
      <c r="G305" s="113">
        <v>1.1067850300334081</v>
      </c>
      <c r="H305" s="113">
        <f t="shared" si="29"/>
        <v>967.04168949720099</v>
      </c>
      <c r="I305" s="113">
        <v>0.91645738572748847</v>
      </c>
      <c r="J305" s="113">
        <f t="shared" si="30"/>
        <v>1160.0853460371018</v>
      </c>
      <c r="K305" s="113">
        <v>6.5461481833994306E-2</v>
      </c>
      <c r="L305" s="113">
        <f t="shared" si="31"/>
        <v>623.95277188136197</v>
      </c>
      <c r="M305" s="97">
        <v>0.25931257714779227</v>
      </c>
      <c r="N305" s="97">
        <f t="shared" si="32"/>
        <v>685.31123183334307</v>
      </c>
      <c r="O305" s="113">
        <v>0.71353550310078906</v>
      </c>
      <c r="P305" s="113">
        <f t="shared" si="33"/>
        <v>516.44451453267823</v>
      </c>
      <c r="Q305" s="113">
        <v>0.47873532360618459</v>
      </c>
      <c r="R305" s="113">
        <f t="shared" si="34"/>
        <v>502.30949869082366</v>
      </c>
    </row>
    <row r="306" spans="1:18" x14ac:dyDescent="0.2">
      <c r="A306">
        <v>29</v>
      </c>
      <c r="B306">
        <v>10</v>
      </c>
      <c r="C306">
        <v>1984</v>
      </c>
      <c r="D306" s="112">
        <f t="shared" si="28"/>
        <v>30984</v>
      </c>
      <c r="E306">
        <v>4.7</v>
      </c>
      <c r="F306">
        <v>4.7</v>
      </c>
      <c r="G306" s="113">
        <v>0.94485948409441012</v>
      </c>
      <c r="H306" s="113">
        <f t="shared" si="29"/>
        <v>967.98654898129541</v>
      </c>
      <c r="I306" s="113">
        <v>3.2530160615035921</v>
      </c>
      <c r="J306" s="113">
        <f t="shared" si="30"/>
        <v>1163.3383620986053</v>
      </c>
      <c r="K306" s="113">
        <v>1.8779659315174755</v>
      </c>
      <c r="L306" s="113">
        <f t="shared" si="31"/>
        <v>625.83073781287942</v>
      </c>
      <c r="M306" s="97">
        <v>2.2379393223800124</v>
      </c>
      <c r="N306" s="97">
        <f t="shared" si="32"/>
        <v>687.54917115572312</v>
      </c>
      <c r="O306" s="113">
        <v>0.49457059077140181</v>
      </c>
      <c r="P306" s="113">
        <f t="shared" si="33"/>
        <v>516.93908512344967</v>
      </c>
      <c r="Q306" s="113">
        <v>0.32221621386478738</v>
      </c>
      <c r="R306" s="113">
        <f t="shared" si="34"/>
        <v>502.63171490468847</v>
      </c>
    </row>
    <row r="307" spans="1:18" x14ac:dyDescent="0.2">
      <c r="A307">
        <v>30</v>
      </c>
      <c r="B307">
        <v>10</v>
      </c>
      <c r="C307">
        <v>1984</v>
      </c>
      <c r="D307" s="112">
        <f t="shared" si="28"/>
        <v>30985</v>
      </c>
      <c r="E307">
        <v>0.3</v>
      </c>
      <c r="F307">
        <v>0.3</v>
      </c>
      <c r="G307" s="113">
        <v>0.77624841545669587</v>
      </c>
      <c r="H307" s="113">
        <f t="shared" si="29"/>
        <v>968.76279739675215</v>
      </c>
      <c r="I307" s="113">
        <v>0.87365017318412663</v>
      </c>
      <c r="J307" s="113">
        <f t="shared" si="30"/>
        <v>1164.2120122717895</v>
      </c>
      <c r="K307" s="113">
        <v>-1.7556898184581891</v>
      </c>
      <c r="L307" s="113">
        <f t="shared" si="31"/>
        <v>624.0750479944212</v>
      </c>
      <c r="M307" s="97">
        <v>-1.7300169506980243</v>
      </c>
      <c r="N307" s="97">
        <f t="shared" si="32"/>
        <v>685.81915420502514</v>
      </c>
      <c r="O307" s="113">
        <v>0.45124753513035742</v>
      </c>
      <c r="P307" s="113">
        <f t="shared" si="33"/>
        <v>517.39033265858006</v>
      </c>
      <c r="Q307" s="113">
        <v>-4.476171575899849E-2</v>
      </c>
      <c r="R307" s="113">
        <f t="shared" si="34"/>
        <v>502.58695318892944</v>
      </c>
    </row>
    <row r="308" spans="1:18" x14ac:dyDescent="0.2">
      <c r="A308">
        <v>31</v>
      </c>
      <c r="B308">
        <v>10</v>
      </c>
      <c r="C308">
        <v>1984</v>
      </c>
      <c r="D308" s="112">
        <f t="shared" si="28"/>
        <v>30986</v>
      </c>
      <c r="E308">
        <v>3.8</v>
      </c>
      <c r="F308">
        <v>3.8</v>
      </c>
      <c r="G308" s="113">
        <v>1.0957183771011612</v>
      </c>
      <c r="H308" s="113">
        <f t="shared" si="29"/>
        <v>969.85851577385336</v>
      </c>
      <c r="I308" s="113">
        <v>2.6689666864483139</v>
      </c>
      <c r="J308" s="113">
        <f t="shared" si="30"/>
        <v>1166.8809789582378</v>
      </c>
      <c r="K308" s="113">
        <v>1.3578874466716615</v>
      </c>
      <c r="L308" s="113">
        <f t="shared" si="31"/>
        <v>625.43293544109281</v>
      </c>
      <c r="M308" s="97">
        <v>1.7134350201639117</v>
      </c>
      <c r="N308" s="97">
        <f t="shared" si="32"/>
        <v>687.5325892251891</v>
      </c>
      <c r="O308" s="113">
        <v>0.44927715314607342</v>
      </c>
      <c r="P308" s="113">
        <f t="shared" si="33"/>
        <v>517.83960981172618</v>
      </c>
      <c r="Q308" s="113">
        <v>0.27224781926858321</v>
      </c>
      <c r="R308" s="113">
        <f t="shared" si="34"/>
        <v>502.859201008198</v>
      </c>
    </row>
    <row r="309" spans="1:18" x14ac:dyDescent="0.2">
      <c r="A309">
        <v>1</v>
      </c>
      <c r="B309">
        <v>11</v>
      </c>
      <c r="C309">
        <v>1984</v>
      </c>
      <c r="D309" s="112">
        <f t="shared" si="28"/>
        <v>30987</v>
      </c>
      <c r="E309">
        <v>4.5</v>
      </c>
      <c r="F309">
        <v>4.5</v>
      </c>
      <c r="G309" s="113">
        <v>2.4097414197823608</v>
      </c>
      <c r="H309" s="113">
        <f t="shared" si="29"/>
        <v>972.26825719363569</v>
      </c>
      <c r="I309" s="113">
        <v>3.6325306710364025</v>
      </c>
      <c r="J309" s="113">
        <f t="shared" si="30"/>
        <v>1170.5135096292743</v>
      </c>
      <c r="K309" s="113">
        <v>2.072704931777011</v>
      </c>
      <c r="L309" s="113">
        <f t="shared" si="31"/>
        <v>627.50564037286983</v>
      </c>
      <c r="M309" s="97">
        <v>2.5235114409711192</v>
      </c>
      <c r="N309" s="97">
        <f t="shared" si="32"/>
        <v>690.05610066616021</v>
      </c>
      <c r="O309" s="113">
        <v>0.6997059709469331</v>
      </c>
      <c r="P309" s="113">
        <f t="shared" si="33"/>
        <v>518.53931578267316</v>
      </c>
      <c r="Q309" s="113">
        <v>0.51084764283987161</v>
      </c>
      <c r="R309" s="113">
        <f t="shared" si="34"/>
        <v>503.37004865103785</v>
      </c>
    </row>
    <row r="310" spans="1:18" x14ac:dyDescent="0.2">
      <c r="A310">
        <v>2</v>
      </c>
      <c r="B310">
        <v>11</v>
      </c>
      <c r="C310">
        <v>1984</v>
      </c>
      <c r="D310" s="112">
        <f t="shared" si="28"/>
        <v>30988</v>
      </c>
      <c r="E310">
        <v>1.5</v>
      </c>
      <c r="F310">
        <v>1.5</v>
      </c>
      <c r="G310" s="113">
        <v>1.7403076113799938</v>
      </c>
      <c r="H310" s="113">
        <f t="shared" si="29"/>
        <v>974.00856480501568</v>
      </c>
      <c r="I310" s="113">
        <v>0.88174683816382959</v>
      </c>
      <c r="J310" s="113">
        <f t="shared" si="30"/>
        <v>1171.395256467438</v>
      </c>
      <c r="K310" s="113">
        <v>-0.65199412640911292</v>
      </c>
      <c r="L310" s="113">
        <f t="shared" si="31"/>
        <v>626.8536462464607</v>
      </c>
      <c r="M310" s="97">
        <v>-0.49463553144177008</v>
      </c>
      <c r="N310" s="97">
        <f t="shared" si="32"/>
        <v>689.56146513471845</v>
      </c>
      <c r="O310" s="113">
        <v>0.5936277941121838</v>
      </c>
      <c r="P310" s="113">
        <f t="shared" si="33"/>
        <v>519.13294357678535</v>
      </c>
      <c r="Q310" s="113">
        <v>0.43841883424454114</v>
      </c>
      <c r="R310" s="113">
        <f t="shared" si="34"/>
        <v>503.80846748528239</v>
      </c>
    </row>
    <row r="311" spans="1:18" x14ac:dyDescent="0.2">
      <c r="A311">
        <v>3</v>
      </c>
      <c r="B311">
        <v>11</v>
      </c>
      <c r="C311">
        <v>1984</v>
      </c>
      <c r="D311" s="112">
        <f t="shared" si="28"/>
        <v>30989</v>
      </c>
      <c r="E311">
        <v>3</v>
      </c>
      <c r="F311">
        <v>3</v>
      </c>
      <c r="G311" s="113">
        <v>2.9846499193017024</v>
      </c>
      <c r="H311" s="113">
        <f t="shared" si="29"/>
        <v>976.99321472431734</v>
      </c>
      <c r="I311" s="113">
        <v>2.1077785006280698</v>
      </c>
      <c r="J311" s="113">
        <f t="shared" si="30"/>
        <v>1173.503034968066</v>
      </c>
      <c r="K311" s="113">
        <v>0.86243455335533536</v>
      </c>
      <c r="L311" s="113">
        <f t="shared" si="31"/>
        <v>627.71608079981604</v>
      </c>
      <c r="M311" s="97">
        <v>1.2316696394958542</v>
      </c>
      <c r="N311" s="97">
        <f t="shared" si="32"/>
        <v>690.79313477421431</v>
      </c>
      <c r="O311" s="113">
        <v>0.89719813674751892</v>
      </c>
      <c r="P311" s="113">
        <f t="shared" si="33"/>
        <v>520.03014171353288</v>
      </c>
      <c r="Q311" s="113">
        <v>0.94788729041747122</v>
      </c>
      <c r="R311" s="113">
        <f t="shared" si="34"/>
        <v>504.75635477569989</v>
      </c>
    </row>
    <row r="312" spans="1:18" x14ac:dyDescent="0.2">
      <c r="A312">
        <v>4</v>
      </c>
      <c r="B312">
        <v>11</v>
      </c>
      <c r="C312">
        <v>1984</v>
      </c>
      <c r="D312" s="112">
        <f t="shared" si="28"/>
        <v>30990</v>
      </c>
      <c r="E312">
        <v>3.6</v>
      </c>
      <c r="F312">
        <v>3.6</v>
      </c>
      <c r="G312" s="113">
        <v>2.9954251046924161</v>
      </c>
      <c r="H312" s="113">
        <f t="shared" si="29"/>
        <v>979.9886398290098</v>
      </c>
      <c r="I312" s="113">
        <v>3.0603092163103294</v>
      </c>
      <c r="J312" s="113">
        <f t="shared" si="30"/>
        <v>1176.5633441843763</v>
      </c>
      <c r="K312" s="113">
        <v>1.5507866400132682</v>
      </c>
      <c r="L312" s="113">
        <f t="shared" si="31"/>
        <v>629.2668674398293</v>
      </c>
      <c r="M312" s="97">
        <v>2.0216889006047012</v>
      </c>
      <c r="N312" s="97">
        <f t="shared" si="32"/>
        <v>692.81482367481897</v>
      </c>
      <c r="O312" s="113">
        <v>0.5047803191734731</v>
      </c>
      <c r="P312" s="113">
        <f t="shared" si="33"/>
        <v>520.53492203270639</v>
      </c>
      <c r="Q312" s="113">
        <v>0.39766046580860809</v>
      </c>
      <c r="R312" s="113">
        <f t="shared" si="34"/>
        <v>505.15401524150849</v>
      </c>
    </row>
    <row r="313" spans="1:18" x14ac:dyDescent="0.2">
      <c r="A313">
        <v>5</v>
      </c>
      <c r="B313">
        <v>11</v>
      </c>
      <c r="C313">
        <v>1984</v>
      </c>
      <c r="D313" s="112">
        <f t="shared" si="28"/>
        <v>30991</v>
      </c>
      <c r="E313">
        <v>2</v>
      </c>
      <c r="F313">
        <v>2</v>
      </c>
      <c r="G313" s="113">
        <v>3.0133040309469568</v>
      </c>
      <c r="H313" s="113">
        <f t="shared" si="29"/>
        <v>983.00194385995678</v>
      </c>
      <c r="I313" s="113">
        <v>1.0207894411298661</v>
      </c>
      <c r="J313" s="113">
        <f t="shared" si="30"/>
        <v>1177.5841336255062</v>
      </c>
      <c r="K313" s="113">
        <v>-9.3480453386031781E-2</v>
      </c>
      <c r="L313" s="113">
        <f t="shared" si="31"/>
        <v>629.17338698644323</v>
      </c>
      <c r="M313" s="97">
        <v>0.19014042542198359</v>
      </c>
      <c r="N313" s="97">
        <f t="shared" si="32"/>
        <v>693.00496410024095</v>
      </c>
      <c r="O313" s="113">
        <v>0.59509354567593786</v>
      </c>
      <c r="P313" s="113">
        <f t="shared" si="33"/>
        <v>521.13001557838231</v>
      </c>
      <c r="Q313" s="113">
        <v>0.58823561589495543</v>
      </c>
      <c r="R313" s="113">
        <f t="shared" si="34"/>
        <v>505.74225085740346</v>
      </c>
    </row>
    <row r="314" spans="1:18" x14ac:dyDescent="0.2">
      <c r="A314">
        <v>6</v>
      </c>
      <c r="B314">
        <v>11</v>
      </c>
      <c r="C314">
        <v>1984</v>
      </c>
      <c r="D314" s="112">
        <f t="shared" si="28"/>
        <v>30992</v>
      </c>
      <c r="E314">
        <v>0.7</v>
      </c>
      <c r="F314">
        <v>0.7</v>
      </c>
      <c r="G314" s="113">
        <v>1.8971482629960159</v>
      </c>
      <c r="H314" s="113">
        <f t="shared" si="29"/>
        <v>984.89909212295277</v>
      </c>
      <c r="I314" s="113">
        <v>0.9891654495425084</v>
      </c>
      <c r="J314" s="113">
        <f t="shared" si="30"/>
        <v>1178.5732990750487</v>
      </c>
      <c r="K314" s="113">
        <v>-1.4595108872903035</v>
      </c>
      <c r="L314" s="113">
        <f t="shared" si="31"/>
        <v>627.71387609915291</v>
      </c>
      <c r="M314" s="97">
        <v>-1.3566208972795202</v>
      </c>
      <c r="N314" s="97">
        <f t="shared" si="32"/>
        <v>691.64834320296143</v>
      </c>
      <c r="O314" s="113">
        <v>0.55548844290478938</v>
      </c>
      <c r="P314" s="113">
        <f t="shared" si="33"/>
        <v>521.6855040212871</v>
      </c>
      <c r="Q314" s="113">
        <v>0.21669269479204908</v>
      </c>
      <c r="R314" s="113">
        <f t="shared" si="34"/>
        <v>505.95894355219554</v>
      </c>
    </row>
    <row r="315" spans="1:18" x14ac:dyDescent="0.2">
      <c r="A315">
        <v>7</v>
      </c>
      <c r="B315">
        <v>11</v>
      </c>
      <c r="C315">
        <v>1984</v>
      </c>
      <c r="D315" s="112">
        <f t="shared" si="28"/>
        <v>30993</v>
      </c>
      <c r="E315">
        <v>2.1</v>
      </c>
      <c r="F315">
        <v>2.1</v>
      </c>
      <c r="G315" s="113">
        <v>0</v>
      </c>
      <c r="H315" s="113">
        <f t="shared" si="29"/>
        <v>984.89909212295277</v>
      </c>
      <c r="I315" s="113">
        <v>0.96813675327013338</v>
      </c>
      <c r="J315" s="113">
        <f t="shared" si="30"/>
        <v>1179.5414358283188</v>
      </c>
      <c r="K315" s="113">
        <v>9.5642886632374538E-2</v>
      </c>
      <c r="L315" s="113">
        <f t="shared" si="31"/>
        <v>627.8095189857853</v>
      </c>
      <c r="M315" s="97">
        <v>0.40463339024112477</v>
      </c>
      <c r="N315" s="97">
        <f t="shared" si="32"/>
        <v>692.05297659320252</v>
      </c>
      <c r="O315" s="113">
        <v>0.19704034331652998</v>
      </c>
      <c r="P315" s="113">
        <f t="shared" si="33"/>
        <v>521.88254436460363</v>
      </c>
      <c r="Q315" s="113">
        <v>0.12853963221296016</v>
      </c>
      <c r="R315" s="113">
        <f t="shared" si="34"/>
        <v>506.08748318440848</v>
      </c>
    </row>
    <row r="316" spans="1:18" x14ac:dyDescent="0.2">
      <c r="A316">
        <v>8</v>
      </c>
      <c r="B316">
        <v>11</v>
      </c>
      <c r="C316">
        <v>1984</v>
      </c>
      <c r="D316" s="112">
        <f t="shared" si="28"/>
        <v>30994</v>
      </c>
      <c r="E316">
        <v>0.9</v>
      </c>
      <c r="F316">
        <v>0.9</v>
      </c>
      <c r="G316" s="113">
        <v>0.20176160057249454</v>
      </c>
      <c r="H316" s="113">
        <f t="shared" si="29"/>
        <v>985.10085372352523</v>
      </c>
      <c r="I316" s="113">
        <v>0.89142508582410862</v>
      </c>
      <c r="J316" s="113">
        <f t="shared" si="30"/>
        <v>1180.4328609141428</v>
      </c>
      <c r="K316" s="113">
        <v>-1.1098562160984733</v>
      </c>
      <c r="L316" s="113">
        <f t="shared" si="31"/>
        <v>626.69966276968682</v>
      </c>
      <c r="M316" s="97">
        <v>-0.97219176328929613</v>
      </c>
      <c r="N316" s="97">
        <f t="shared" si="32"/>
        <v>691.08078482991323</v>
      </c>
      <c r="O316" s="113">
        <v>0.31056015002163362</v>
      </c>
      <c r="P316" s="113">
        <f t="shared" si="33"/>
        <v>522.19310451462525</v>
      </c>
      <c r="Q316" s="113">
        <v>-8.7030361136908284E-3</v>
      </c>
      <c r="R316" s="113">
        <f t="shared" si="34"/>
        <v>506.07878014829481</v>
      </c>
    </row>
    <row r="317" spans="1:18" x14ac:dyDescent="0.2">
      <c r="A317">
        <v>9</v>
      </c>
      <c r="B317">
        <v>11</v>
      </c>
      <c r="C317">
        <v>1984</v>
      </c>
      <c r="D317" s="112">
        <f t="shared" si="28"/>
        <v>30995</v>
      </c>
      <c r="E317">
        <v>1.1000000000000001</v>
      </c>
      <c r="F317">
        <v>1.1000000000000001</v>
      </c>
      <c r="G317" s="113">
        <v>0.89587085514948239</v>
      </c>
      <c r="H317" s="113">
        <f t="shared" si="29"/>
        <v>985.99672457867473</v>
      </c>
      <c r="I317" s="113">
        <v>0.92326765149602719</v>
      </c>
      <c r="J317" s="113">
        <f t="shared" si="30"/>
        <v>1181.3561285656388</v>
      </c>
      <c r="K317" s="113">
        <v>-0.90606114330674237</v>
      </c>
      <c r="L317" s="113">
        <f t="shared" si="31"/>
        <v>625.79360162638011</v>
      </c>
      <c r="M317" s="97">
        <v>-0.72221341971249842</v>
      </c>
      <c r="N317" s="97">
        <f t="shared" si="32"/>
        <v>690.35857141020074</v>
      </c>
      <c r="O317" s="113">
        <v>0.40174277965601007</v>
      </c>
      <c r="P317" s="113">
        <f t="shared" si="33"/>
        <v>522.59484729428129</v>
      </c>
      <c r="Q317" s="113">
        <v>0.14026974914467272</v>
      </c>
      <c r="R317" s="113">
        <f t="shared" si="34"/>
        <v>506.2190498974395</v>
      </c>
    </row>
    <row r="318" spans="1:18" x14ac:dyDescent="0.2">
      <c r="A318">
        <v>10</v>
      </c>
      <c r="B318">
        <v>11</v>
      </c>
      <c r="C318">
        <v>1984</v>
      </c>
      <c r="D318" s="112">
        <f t="shared" si="28"/>
        <v>30996</v>
      </c>
      <c r="E318">
        <v>5.6</v>
      </c>
      <c r="F318">
        <v>5.6</v>
      </c>
      <c r="G318" s="113">
        <v>2.4754637500635108</v>
      </c>
      <c r="H318" s="113">
        <f t="shared" si="29"/>
        <v>988.47218832873818</v>
      </c>
      <c r="I318" s="113">
        <v>6.5727832782292044</v>
      </c>
      <c r="J318" s="113">
        <f t="shared" si="30"/>
        <v>1187.928911843868</v>
      </c>
      <c r="K318" s="113">
        <v>4.1715184406258858</v>
      </c>
      <c r="L318" s="113">
        <f t="shared" si="31"/>
        <v>629.96512006700596</v>
      </c>
      <c r="M318" s="97">
        <v>5.1816431601103154</v>
      </c>
      <c r="N318" s="97">
        <f t="shared" si="32"/>
        <v>695.54021457031104</v>
      </c>
      <c r="O318" s="113">
        <v>9.9929197084031571E-2</v>
      </c>
      <c r="P318" s="113">
        <f t="shared" si="33"/>
        <v>522.69477649136536</v>
      </c>
      <c r="Q318" s="113">
        <v>-0.17302228969137423</v>
      </c>
      <c r="R318" s="113">
        <f t="shared" si="34"/>
        <v>506.04602760774816</v>
      </c>
    </row>
    <row r="319" spans="1:18" x14ac:dyDescent="0.2">
      <c r="A319">
        <v>11</v>
      </c>
      <c r="B319">
        <v>11</v>
      </c>
      <c r="C319">
        <v>1984</v>
      </c>
      <c r="D319" s="112">
        <f t="shared" si="28"/>
        <v>30997</v>
      </c>
      <c r="E319">
        <v>1.5</v>
      </c>
      <c r="F319">
        <v>1.5</v>
      </c>
      <c r="G319" s="113">
        <v>1.4901321588319054</v>
      </c>
      <c r="H319" s="113">
        <f t="shared" si="29"/>
        <v>989.96232048757008</v>
      </c>
      <c r="I319" s="113">
        <v>0.94197889574572979</v>
      </c>
      <c r="J319" s="113">
        <f t="shared" si="30"/>
        <v>1188.8708907396137</v>
      </c>
      <c r="K319" s="113">
        <v>-0.41577149030357385</v>
      </c>
      <c r="L319" s="113">
        <f t="shared" si="31"/>
        <v>629.54934857670241</v>
      </c>
      <c r="M319" s="97">
        <v>-0.12842141235435106</v>
      </c>
      <c r="N319" s="97">
        <f t="shared" si="32"/>
        <v>695.41179315795671</v>
      </c>
      <c r="O319" s="113">
        <v>0.54227295586069946</v>
      </c>
      <c r="P319" s="113">
        <f t="shared" si="33"/>
        <v>523.23704944722601</v>
      </c>
      <c r="Q319" s="113">
        <v>0.32732294059958017</v>
      </c>
      <c r="R319" s="113">
        <f t="shared" si="34"/>
        <v>506.37335054834773</v>
      </c>
    </row>
    <row r="320" spans="1:18" x14ac:dyDescent="0.2">
      <c r="A320">
        <v>12</v>
      </c>
      <c r="B320">
        <v>11</v>
      </c>
      <c r="C320">
        <v>1984</v>
      </c>
      <c r="D320" s="112">
        <f t="shared" si="28"/>
        <v>30998</v>
      </c>
      <c r="E320">
        <v>0.5</v>
      </c>
      <c r="F320">
        <v>0.5</v>
      </c>
      <c r="G320" s="113">
        <v>0</v>
      </c>
      <c r="H320" s="113">
        <f t="shared" si="29"/>
        <v>989.96232048757008</v>
      </c>
      <c r="I320" s="113">
        <v>0.88028751275742878</v>
      </c>
      <c r="J320" s="113">
        <f t="shared" si="30"/>
        <v>1189.7511782523711</v>
      </c>
      <c r="K320" s="113">
        <v>-1.4690545008882923</v>
      </c>
      <c r="L320" s="113">
        <f t="shared" si="31"/>
        <v>628.08029407581409</v>
      </c>
      <c r="M320" s="97">
        <v>-1.3730819446687725</v>
      </c>
      <c r="N320" s="97">
        <f t="shared" si="32"/>
        <v>694.03871121328791</v>
      </c>
      <c r="O320" s="113">
        <v>0.3391061009623888</v>
      </c>
      <c r="P320" s="113">
        <f t="shared" si="33"/>
        <v>523.57615554818835</v>
      </c>
      <c r="Q320" s="113">
        <v>-0.11447961449776528</v>
      </c>
      <c r="R320" s="113">
        <f t="shared" si="34"/>
        <v>506.25887093384995</v>
      </c>
    </row>
    <row r="321" spans="1:18" x14ac:dyDescent="0.2">
      <c r="A321">
        <v>13</v>
      </c>
      <c r="B321">
        <v>11</v>
      </c>
      <c r="C321">
        <v>1984</v>
      </c>
      <c r="D321" s="112">
        <f t="shared" si="28"/>
        <v>30999</v>
      </c>
      <c r="E321">
        <v>3.7</v>
      </c>
      <c r="F321">
        <v>3.7</v>
      </c>
      <c r="G321" s="113">
        <v>1.2703712538348018</v>
      </c>
      <c r="H321" s="113">
        <f t="shared" si="29"/>
        <v>991.23269174140489</v>
      </c>
      <c r="I321" s="113">
        <v>4.0326847506799099</v>
      </c>
      <c r="J321" s="113">
        <f t="shared" si="30"/>
        <v>1193.783863003051</v>
      </c>
      <c r="K321" s="113">
        <v>2.2891327366947101</v>
      </c>
      <c r="L321" s="113">
        <f t="shared" si="31"/>
        <v>630.36942681250878</v>
      </c>
      <c r="M321" s="97">
        <v>3.0899036429406954</v>
      </c>
      <c r="N321" s="97">
        <f t="shared" si="32"/>
        <v>697.12861485622864</v>
      </c>
      <c r="O321" s="113">
        <v>0.13682282901779486</v>
      </c>
      <c r="P321" s="113">
        <f t="shared" si="33"/>
        <v>523.71297837720613</v>
      </c>
      <c r="Q321" s="113">
        <v>-2.5852316069303955E-2</v>
      </c>
      <c r="R321" s="113">
        <f t="shared" si="34"/>
        <v>506.23301861778066</v>
      </c>
    </row>
    <row r="322" spans="1:18" x14ac:dyDescent="0.2">
      <c r="A322">
        <v>14</v>
      </c>
      <c r="B322">
        <v>11</v>
      </c>
      <c r="C322">
        <v>1984</v>
      </c>
      <c r="D322" s="112">
        <f t="shared" si="28"/>
        <v>31000</v>
      </c>
      <c r="E322">
        <v>1.9</v>
      </c>
      <c r="F322">
        <v>1.9</v>
      </c>
      <c r="G322" s="113">
        <v>1.1804577467768222</v>
      </c>
      <c r="H322" s="113">
        <f t="shared" si="29"/>
        <v>992.41314948818172</v>
      </c>
      <c r="I322" s="113">
        <v>1.0932789047605957</v>
      </c>
      <c r="J322" s="113">
        <f t="shared" si="30"/>
        <v>1194.8771419078116</v>
      </c>
      <c r="K322" s="113">
        <v>0.16991361235308522</v>
      </c>
      <c r="L322" s="113">
        <f t="shared" si="31"/>
        <v>630.53934042486185</v>
      </c>
      <c r="M322" s="97">
        <v>0.6020195408964939</v>
      </c>
      <c r="N322" s="97">
        <f t="shared" si="32"/>
        <v>697.73063439712519</v>
      </c>
      <c r="O322" s="113">
        <v>0.26571739947507345</v>
      </c>
      <c r="P322" s="113">
        <f t="shared" si="33"/>
        <v>523.97869577668121</v>
      </c>
      <c r="Q322" s="113">
        <v>0.24379151774926436</v>
      </c>
      <c r="R322" s="113">
        <f t="shared" si="34"/>
        <v>506.47681013552995</v>
      </c>
    </row>
    <row r="323" spans="1:18" x14ac:dyDescent="0.2">
      <c r="A323">
        <v>15</v>
      </c>
      <c r="B323">
        <v>11</v>
      </c>
      <c r="C323">
        <v>1984</v>
      </c>
      <c r="D323" s="112">
        <f t="shared" si="28"/>
        <v>31001</v>
      </c>
      <c r="E323">
        <v>1.5</v>
      </c>
      <c r="F323">
        <v>1.5</v>
      </c>
      <c r="G323" s="113">
        <v>0</v>
      </c>
      <c r="H323" s="113">
        <f t="shared" si="29"/>
        <v>992.41314948818172</v>
      </c>
      <c r="I323" s="113">
        <v>0.96933290285212659</v>
      </c>
      <c r="J323" s="113">
        <f t="shared" si="30"/>
        <v>1195.8464748106637</v>
      </c>
      <c r="K323" s="113">
        <v>-0.28601341820178294</v>
      </c>
      <c r="L323" s="113">
        <f t="shared" si="31"/>
        <v>630.25332700666002</v>
      </c>
      <c r="M323" s="97">
        <v>8.0516624694303915E-2</v>
      </c>
      <c r="N323" s="97">
        <f t="shared" si="32"/>
        <v>697.81115102181946</v>
      </c>
      <c r="O323" s="113">
        <v>0.16116793178797864</v>
      </c>
      <c r="P323" s="113">
        <f t="shared" si="33"/>
        <v>524.13986370846919</v>
      </c>
      <c r="Q323" s="113">
        <v>2.8560507739646895E-2</v>
      </c>
      <c r="R323" s="113">
        <f t="shared" si="34"/>
        <v>506.5053706432696</v>
      </c>
    </row>
    <row r="324" spans="1:18" x14ac:dyDescent="0.2">
      <c r="A324">
        <v>16</v>
      </c>
      <c r="B324">
        <v>11</v>
      </c>
      <c r="C324">
        <v>1984</v>
      </c>
      <c r="D324" s="112">
        <f t="shared" si="28"/>
        <v>31002</v>
      </c>
      <c r="E324">
        <v>2.1</v>
      </c>
      <c r="F324">
        <v>2.1</v>
      </c>
      <c r="G324" s="113">
        <v>2.5665179192825902</v>
      </c>
      <c r="H324" s="113">
        <f t="shared" si="29"/>
        <v>994.97966740746426</v>
      </c>
      <c r="I324" s="113">
        <v>1.6859645135240988</v>
      </c>
      <c r="J324" s="113">
        <f t="shared" si="30"/>
        <v>1197.5324393241879</v>
      </c>
      <c r="K324" s="113">
        <v>0.5404709022630414</v>
      </c>
      <c r="L324" s="113">
        <f t="shared" si="31"/>
        <v>630.79379790892301</v>
      </c>
      <c r="M324" s="97">
        <v>1.1079983942215819</v>
      </c>
      <c r="N324" s="97">
        <f t="shared" si="32"/>
        <v>698.91914941604102</v>
      </c>
      <c r="O324" s="113">
        <v>0.46547286213875139</v>
      </c>
      <c r="P324" s="113">
        <f t="shared" si="33"/>
        <v>524.60533657060796</v>
      </c>
      <c r="Q324" s="113">
        <v>0.41894800084251316</v>
      </c>
      <c r="R324" s="113">
        <f t="shared" si="34"/>
        <v>506.92431864411213</v>
      </c>
    </row>
    <row r="325" spans="1:18" x14ac:dyDescent="0.2">
      <c r="A325">
        <v>17</v>
      </c>
      <c r="B325">
        <v>11</v>
      </c>
      <c r="C325">
        <v>1984</v>
      </c>
      <c r="D325" s="112">
        <f t="shared" si="28"/>
        <v>31003</v>
      </c>
      <c r="E325">
        <v>0.5</v>
      </c>
      <c r="F325">
        <v>0.5</v>
      </c>
      <c r="G325" s="113">
        <v>0</v>
      </c>
      <c r="H325" s="113">
        <f t="shared" si="29"/>
        <v>994.97966740746426</v>
      </c>
      <c r="I325" s="113">
        <v>0.9658650374103408</v>
      </c>
      <c r="J325" s="113">
        <f t="shared" si="30"/>
        <v>1198.4983043615982</v>
      </c>
      <c r="K325" s="113">
        <v>-1.5144184738036202</v>
      </c>
      <c r="L325" s="113">
        <f t="shared" si="31"/>
        <v>629.27937943511938</v>
      </c>
      <c r="M325" s="97">
        <v>-1.3783540474173193</v>
      </c>
      <c r="N325" s="97">
        <f t="shared" si="32"/>
        <v>697.54079536862366</v>
      </c>
      <c r="O325" s="113">
        <v>0.25480984131726664</v>
      </c>
      <c r="P325" s="113">
        <f t="shared" si="33"/>
        <v>524.86014641192526</v>
      </c>
      <c r="Q325" s="113">
        <v>-0.10989624235903915</v>
      </c>
      <c r="R325" s="113">
        <f t="shared" si="34"/>
        <v>506.81442240175312</v>
      </c>
    </row>
    <row r="326" spans="1:18" x14ac:dyDescent="0.2">
      <c r="A326">
        <v>18</v>
      </c>
      <c r="B326">
        <v>11</v>
      </c>
      <c r="C326">
        <v>1984</v>
      </c>
      <c r="D326" s="112">
        <f t="shared" ref="D326:D369" si="35">DATE(C326,B326,A326)</f>
        <v>31004</v>
      </c>
      <c r="E326">
        <v>0.9</v>
      </c>
      <c r="F326">
        <v>0.9</v>
      </c>
      <c r="G326" s="113">
        <v>0</v>
      </c>
      <c r="H326" s="113">
        <f t="shared" si="29"/>
        <v>994.97966740746426</v>
      </c>
      <c r="I326" s="113">
        <v>0.95069862060066423</v>
      </c>
      <c r="J326" s="113">
        <f t="shared" si="30"/>
        <v>1199.4490029821989</v>
      </c>
      <c r="K326" s="113">
        <v>-0.96238387572749451</v>
      </c>
      <c r="L326" s="113">
        <f t="shared" si="31"/>
        <v>628.3169955593919</v>
      </c>
      <c r="M326" s="97">
        <v>-0.70677261181520079</v>
      </c>
      <c r="N326" s="97">
        <f t="shared" si="32"/>
        <v>696.83402275680851</v>
      </c>
      <c r="O326" s="113">
        <v>0.21640728980710708</v>
      </c>
      <c r="P326" s="113">
        <f t="shared" si="33"/>
        <v>525.07655370173234</v>
      </c>
      <c r="Q326" s="113">
        <v>-5.3959943418327466E-2</v>
      </c>
      <c r="R326" s="113">
        <f t="shared" si="34"/>
        <v>506.76046245833481</v>
      </c>
    </row>
    <row r="327" spans="1:18" x14ac:dyDescent="0.2">
      <c r="A327">
        <v>19</v>
      </c>
      <c r="B327">
        <v>11</v>
      </c>
      <c r="C327">
        <v>1984</v>
      </c>
      <c r="D327" s="112">
        <f t="shared" si="35"/>
        <v>31005</v>
      </c>
      <c r="E327">
        <v>2.2000000000000002</v>
      </c>
      <c r="F327">
        <v>2.2000000000000002</v>
      </c>
      <c r="G327" s="113">
        <v>0.24483772533370632</v>
      </c>
      <c r="H327" s="113">
        <f t="shared" ref="H327:H369" si="36">H326+G327</f>
        <v>995.22450513279796</v>
      </c>
      <c r="I327" s="113">
        <v>1.9967003641939924</v>
      </c>
      <c r="J327" s="113">
        <f t="shared" ref="J327:J369" si="37">J326+I327</f>
        <v>1201.4457033463927</v>
      </c>
      <c r="K327" s="113">
        <v>0.80082770639896583</v>
      </c>
      <c r="L327" s="113">
        <f t="shared" ref="L327:L369" si="38">L326+K327</f>
        <v>629.11782326579089</v>
      </c>
      <c r="M327" s="97">
        <v>1.4683827740540458</v>
      </c>
      <c r="N327" s="97">
        <f t="shared" ref="N327:N369" si="39">N326+M327</f>
        <v>698.30240553086253</v>
      </c>
      <c r="O327" s="113">
        <v>4.0994811078183646E-2</v>
      </c>
      <c r="P327" s="113">
        <f t="shared" ref="P327:P369" si="40">P326+O327</f>
        <v>525.11754851281057</v>
      </c>
      <c r="Q327" s="113">
        <v>-3.2007631610877954E-2</v>
      </c>
      <c r="R327" s="113">
        <f t="shared" ref="R327:R369" si="41">R326+Q327</f>
        <v>506.72845482672392</v>
      </c>
    </row>
    <row r="328" spans="1:18" x14ac:dyDescent="0.2">
      <c r="A328">
        <v>20</v>
      </c>
      <c r="B328">
        <v>11</v>
      </c>
      <c r="C328">
        <v>1984</v>
      </c>
      <c r="D328" s="112">
        <f t="shared" si="35"/>
        <v>31006</v>
      </c>
      <c r="E328">
        <v>2.2999999999999998</v>
      </c>
      <c r="F328">
        <v>2.2999999999999998</v>
      </c>
      <c r="G328" s="113">
        <v>2.8624536171799346</v>
      </c>
      <c r="H328" s="113">
        <f t="shared" si="36"/>
        <v>998.08695874997784</v>
      </c>
      <c r="I328" s="113">
        <v>2.3559672780130674</v>
      </c>
      <c r="J328" s="113">
        <f t="shared" si="37"/>
        <v>1203.8016706244059</v>
      </c>
      <c r="K328" s="113">
        <v>1.0317903859037096</v>
      </c>
      <c r="L328" s="113">
        <f t="shared" si="38"/>
        <v>630.14961365169461</v>
      </c>
      <c r="M328" s="97">
        <v>1.797199486493638</v>
      </c>
      <c r="N328" s="97">
        <f t="shared" si="39"/>
        <v>700.09960501735611</v>
      </c>
      <c r="O328" s="113">
        <v>0.62087419847965497</v>
      </c>
      <c r="P328" s="113">
        <f t="shared" si="40"/>
        <v>525.73842271129024</v>
      </c>
      <c r="Q328" s="113">
        <v>0.50032235807185188</v>
      </c>
      <c r="R328" s="113">
        <f t="shared" si="41"/>
        <v>507.22877718479577</v>
      </c>
    </row>
    <row r="329" spans="1:18" x14ac:dyDescent="0.2">
      <c r="A329">
        <v>21</v>
      </c>
      <c r="B329">
        <v>11</v>
      </c>
      <c r="C329">
        <v>1984</v>
      </c>
      <c r="D329" s="112">
        <f t="shared" si="35"/>
        <v>31007</v>
      </c>
      <c r="E329">
        <v>3.9</v>
      </c>
      <c r="F329">
        <v>3.9</v>
      </c>
      <c r="G329" s="113">
        <v>4.8550669421012067</v>
      </c>
      <c r="H329" s="113">
        <f t="shared" si="36"/>
        <v>1002.942025692079</v>
      </c>
      <c r="I329" s="113">
        <v>5.7613528092540189</v>
      </c>
      <c r="J329" s="113">
        <f t="shared" si="37"/>
        <v>1209.56302343366</v>
      </c>
      <c r="K329" s="113">
        <v>3.4778859124904424</v>
      </c>
      <c r="L329" s="113">
        <f t="shared" si="38"/>
        <v>633.62749956418509</v>
      </c>
      <c r="M329" s="97">
        <v>4.8682272395643187</v>
      </c>
      <c r="N329" s="97">
        <f t="shared" si="39"/>
        <v>704.96783225692047</v>
      </c>
      <c r="O329" s="113">
        <v>1.0440612817653703</v>
      </c>
      <c r="P329" s="113">
        <f t="shared" si="40"/>
        <v>526.78248399305562</v>
      </c>
      <c r="Q329" s="113">
        <v>0.80683747959956487</v>
      </c>
      <c r="R329" s="113">
        <f t="shared" si="41"/>
        <v>508.03561466439533</v>
      </c>
    </row>
    <row r="330" spans="1:18" x14ac:dyDescent="0.2">
      <c r="A330">
        <v>22</v>
      </c>
      <c r="B330">
        <v>11</v>
      </c>
      <c r="C330">
        <v>1984</v>
      </c>
      <c r="D330" s="112">
        <f t="shared" si="35"/>
        <v>31008</v>
      </c>
      <c r="E330">
        <v>0.8</v>
      </c>
      <c r="F330">
        <v>0.8</v>
      </c>
      <c r="G330" s="113">
        <v>2.9375040069457645</v>
      </c>
      <c r="H330" s="113">
        <f t="shared" si="36"/>
        <v>1005.8795296990248</v>
      </c>
      <c r="I330" s="113">
        <v>0.9538618221044225</v>
      </c>
      <c r="J330" s="113">
        <f t="shared" si="37"/>
        <v>1210.5168852557645</v>
      </c>
      <c r="K330" s="113">
        <v>-1.0299207123144589</v>
      </c>
      <c r="L330" s="113">
        <f t="shared" si="38"/>
        <v>632.59757885187059</v>
      </c>
      <c r="M330" s="97">
        <v>-0.74679088773819258</v>
      </c>
      <c r="N330" s="97">
        <f t="shared" si="39"/>
        <v>704.22104136918233</v>
      </c>
      <c r="O330" s="113">
        <v>0.98923439905441879</v>
      </c>
      <c r="P330" s="113">
        <f t="shared" si="40"/>
        <v>527.77171839211007</v>
      </c>
      <c r="Q330" s="113">
        <v>0.88682314742952062</v>
      </c>
      <c r="R330" s="113">
        <f t="shared" si="41"/>
        <v>508.92243781182486</v>
      </c>
    </row>
    <row r="331" spans="1:18" x14ac:dyDescent="0.2">
      <c r="A331">
        <v>23</v>
      </c>
      <c r="B331">
        <v>11</v>
      </c>
      <c r="C331">
        <v>1984</v>
      </c>
      <c r="D331" s="112">
        <f t="shared" si="35"/>
        <v>31009</v>
      </c>
      <c r="E331">
        <v>1.3</v>
      </c>
      <c r="F331">
        <v>1.3</v>
      </c>
      <c r="G331" s="113">
        <v>4.4436411967264204</v>
      </c>
      <c r="H331" s="113">
        <f t="shared" si="36"/>
        <v>1010.3231708957512</v>
      </c>
      <c r="I331" s="113">
        <v>1.0020167922398049</v>
      </c>
      <c r="J331" s="113">
        <f t="shared" si="37"/>
        <v>1211.5189020480043</v>
      </c>
      <c r="K331" s="113">
        <v>-0.29971275472405617</v>
      </c>
      <c r="L331" s="113">
        <f t="shared" si="38"/>
        <v>632.29786609714654</v>
      </c>
      <c r="M331" s="97">
        <v>0.20455562142736339</v>
      </c>
      <c r="N331" s="97">
        <f t="shared" si="39"/>
        <v>704.42559699060973</v>
      </c>
      <c r="O331" s="113">
        <v>1.2820663028059793</v>
      </c>
      <c r="P331" s="113">
        <f t="shared" si="40"/>
        <v>529.05378469491609</v>
      </c>
      <c r="Q331" s="113">
        <v>1.3066527015064076</v>
      </c>
      <c r="R331" s="113">
        <f t="shared" si="41"/>
        <v>510.22909051333124</v>
      </c>
    </row>
    <row r="332" spans="1:18" x14ac:dyDescent="0.2">
      <c r="A332">
        <v>24</v>
      </c>
      <c r="B332">
        <v>11</v>
      </c>
      <c r="C332">
        <v>1984</v>
      </c>
      <c r="D332" s="112">
        <f t="shared" si="35"/>
        <v>31010</v>
      </c>
      <c r="E332">
        <v>3.8</v>
      </c>
      <c r="F332">
        <v>3.8</v>
      </c>
      <c r="G332" s="113">
        <v>5.3312025858495886</v>
      </c>
      <c r="H332" s="113">
        <f t="shared" si="36"/>
        <v>1015.6543734816008</v>
      </c>
      <c r="I332" s="113">
        <v>6.092215522823377</v>
      </c>
      <c r="J332" s="113">
        <f t="shared" si="37"/>
        <v>1217.6111175708277</v>
      </c>
      <c r="K332" s="113">
        <v>3.6874949763534652</v>
      </c>
      <c r="L332" s="113">
        <f t="shared" si="38"/>
        <v>635.98536107350003</v>
      </c>
      <c r="M332" s="97">
        <v>5.2859633700495472</v>
      </c>
      <c r="N332" s="97">
        <f t="shared" si="39"/>
        <v>709.71156036065929</v>
      </c>
      <c r="O332" s="113">
        <v>1.1790043549306259</v>
      </c>
      <c r="P332" s="113">
        <f t="shared" si="40"/>
        <v>530.2327890498467</v>
      </c>
      <c r="Q332" s="113">
        <v>0.96783111931512589</v>
      </c>
      <c r="R332" s="113">
        <f t="shared" si="41"/>
        <v>511.19692163264637</v>
      </c>
    </row>
    <row r="333" spans="1:18" x14ac:dyDescent="0.2">
      <c r="A333">
        <v>25</v>
      </c>
      <c r="B333">
        <v>11</v>
      </c>
      <c r="C333">
        <v>1984</v>
      </c>
      <c r="D333" s="112">
        <f t="shared" si="35"/>
        <v>31011</v>
      </c>
      <c r="E333">
        <v>3.2</v>
      </c>
      <c r="F333">
        <v>3.2</v>
      </c>
      <c r="G333" s="113">
        <v>3.4020210226789254</v>
      </c>
      <c r="H333" s="113">
        <f t="shared" si="36"/>
        <v>1019.0563945042798</v>
      </c>
      <c r="I333" s="113">
        <v>4.7421109814324618</v>
      </c>
      <c r="J333" s="113">
        <f t="shared" si="37"/>
        <v>1222.3532285522601</v>
      </c>
      <c r="K333" s="113">
        <v>2.7389264815762924</v>
      </c>
      <c r="L333" s="113">
        <f t="shared" si="38"/>
        <v>638.72428755507633</v>
      </c>
      <c r="M333" s="97">
        <v>4.1093968890395649</v>
      </c>
      <c r="N333" s="97">
        <f t="shared" si="39"/>
        <v>713.82095724969884</v>
      </c>
      <c r="O333" s="113">
        <v>0.32586159983603535</v>
      </c>
      <c r="P333" s="113">
        <f t="shared" si="40"/>
        <v>530.5586506496827</v>
      </c>
      <c r="Q333" s="113">
        <v>0.1607218180520073</v>
      </c>
      <c r="R333" s="113">
        <f t="shared" si="41"/>
        <v>511.35764345069839</v>
      </c>
    </row>
    <row r="334" spans="1:18" x14ac:dyDescent="0.2">
      <c r="A334">
        <v>26</v>
      </c>
      <c r="B334">
        <v>11</v>
      </c>
      <c r="C334">
        <v>1984</v>
      </c>
      <c r="D334" s="112">
        <f t="shared" si="35"/>
        <v>31012</v>
      </c>
      <c r="E334">
        <v>3.7</v>
      </c>
      <c r="F334">
        <v>3.7</v>
      </c>
      <c r="G334" s="113">
        <v>3.5282817757389604</v>
      </c>
      <c r="H334" s="113">
        <f t="shared" si="36"/>
        <v>1022.5846762800187</v>
      </c>
      <c r="I334" s="113">
        <v>6.0564342994518521</v>
      </c>
      <c r="J334" s="113">
        <f t="shared" si="37"/>
        <v>1228.409662851712</v>
      </c>
      <c r="K334" s="113">
        <v>3.657520481111685</v>
      </c>
      <c r="L334" s="113">
        <f t="shared" si="38"/>
        <v>642.38180803618798</v>
      </c>
      <c r="M334" s="97">
        <v>5.3362280531148665</v>
      </c>
      <c r="N334" s="97">
        <f t="shared" si="39"/>
        <v>719.15718530281367</v>
      </c>
      <c r="O334" s="113">
        <v>0.3867780512903341</v>
      </c>
      <c r="P334" s="113">
        <f t="shared" si="40"/>
        <v>530.94542870097303</v>
      </c>
      <c r="Q334" s="113">
        <v>9.8004901006887704E-2</v>
      </c>
      <c r="R334" s="113">
        <f t="shared" si="41"/>
        <v>511.45564835170529</v>
      </c>
    </row>
    <row r="335" spans="1:18" x14ac:dyDescent="0.2">
      <c r="A335">
        <v>27</v>
      </c>
      <c r="B335">
        <v>11</v>
      </c>
      <c r="C335">
        <v>1984</v>
      </c>
      <c r="D335" s="112">
        <f t="shared" si="35"/>
        <v>31013</v>
      </c>
      <c r="E335">
        <v>0.9</v>
      </c>
      <c r="F335">
        <v>0.9</v>
      </c>
      <c r="G335" s="113">
        <v>2.3267715087228611</v>
      </c>
      <c r="H335" s="113">
        <f t="shared" si="36"/>
        <v>1024.9114477887415</v>
      </c>
      <c r="I335" s="113">
        <v>0.98550768537513334</v>
      </c>
      <c r="J335" s="113">
        <f t="shared" si="37"/>
        <v>1229.3951705370871</v>
      </c>
      <c r="K335" s="113">
        <v>-0.79683439302727133</v>
      </c>
      <c r="L335" s="113">
        <f t="shared" si="38"/>
        <v>641.58497364316065</v>
      </c>
      <c r="M335" s="97">
        <v>-0.38421179326976168</v>
      </c>
      <c r="N335" s="97">
        <f t="shared" si="39"/>
        <v>718.77297350954393</v>
      </c>
      <c r="O335" s="113">
        <v>0.854187328179421</v>
      </c>
      <c r="P335" s="113">
        <f t="shared" si="40"/>
        <v>531.7996160291525</v>
      </c>
      <c r="Q335" s="113">
        <v>0.64407741582619371</v>
      </c>
      <c r="R335" s="113">
        <f t="shared" si="41"/>
        <v>512.09972576753148</v>
      </c>
    </row>
    <row r="336" spans="1:18" x14ac:dyDescent="0.2">
      <c r="A336">
        <v>28</v>
      </c>
      <c r="B336">
        <v>11</v>
      </c>
      <c r="C336">
        <v>1984</v>
      </c>
      <c r="D336" s="112">
        <f t="shared" si="35"/>
        <v>31014</v>
      </c>
      <c r="E336">
        <v>2.5</v>
      </c>
      <c r="F336">
        <v>2.5</v>
      </c>
      <c r="G336" s="113">
        <v>1.9463956413395966</v>
      </c>
      <c r="H336" s="113">
        <f t="shared" si="36"/>
        <v>1026.8578434300812</v>
      </c>
      <c r="I336" s="113">
        <v>3.2628169264461158</v>
      </c>
      <c r="J336" s="113">
        <f t="shared" si="37"/>
        <v>1232.6579874635331</v>
      </c>
      <c r="K336" s="113">
        <v>1.7390797540591834</v>
      </c>
      <c r="L336" s="113">
        <f t="shared" si="38"/>
        <v>643.32405339721981</v>
      </c>
      <c r="M336" s="97">
        <v>2.9016606229975062</v>
      </c>
      <c r="N336" s="97">
        <f t="shared" si="39"/>
        <v>721.67463413254143</v>
      </c>
      <c r="O336" s="113">
        <v>0.29109860699755707</v>
      </c>
      <c r="P336" s="113">
        <f t="shared" si="40"/>
        <v>532.0907146361501</v>
      </c>
      <c r="Q336" s="113">
        <v>0.20363191330843664</v>
      </c>
      <c r="R336" s="113">
        <f t="shared" si="41"/>
        <v>512.30335768083989</v>
      </c>
    </row>
    <row r="337" spans="1:18" x14ac:dyDescent="0.2">
      <c r="A337">
        <v>29</v>
      </c>
      <c r="B337">
        <v>11</v>
      </c>
      <c r="C337">
        <v>1984</v>
      </c>
      <c r="D337" s="112">
        <f t="shared" si="35"/>
        <v>31015</v>
      </c>
      <c r="E337">
        <v>1.7</v>
      </c>
      <c r="F337">
        <v>1.7</v>
      </c>
      <c r="G337" s="113">
        <v>2.8226118602462531</v>
      </c>
      <c r="H337" s="113">
        <f t="shared" si="36"/>
        <v>1029.6804552903275</v>
      </c>
      <c r="I337" s="113">
        <v>1.5966837856535405</v>
      </c>
      <c r="J337" s="113">
        <f t="shared" si="37"/>
        <v>1234.2546712491867</v>
      </c>
      <c r="K337" s="113">
        <v>0.53363528276386141</v>
      </c>
      <c r="L337" s="113">
        <f t="shared" si="38"/>
        <v>643.85768867998365</v>
      </c>
      <c r="M337" s="97">
        <v>1.3593374527853355</v>
      </c>
      <c r="N337" s="97">
        <f t="shared" si="39"/>
        <v>723.03397158532675</v>
      </c>
      <c r="O337" s="113">
        <v>0.5984825373821715</v>
      </c>
      <c r="P337" s="113">
        <f t="shared" si="40"/>
        <v>532.68919717353231</v>
      </c>
      <c r="Q337" s="113">
        <v>0.62406256386473902</v>
      </c>
      <c r="R337" s="113">
        <f t="shared" si="41"/>
        <v>512.92742024470465</v>
      </c>
    </row>
    <row r="338" spans="1:18" x14ac:dyDescent="0.2">
      <c r="A338">
        <v>30</v>
      </c>
      <c r="B338">
        <v>11</v>
      </c>
      <c r="C338">
        <v>1984</v>
      </c>
      <c r="D338" s="112">
        <f t="shared" si="35"/>
        <v>31016</v>
      </c>
      <c r="E338">
        <v>1.2</v>
      </c>
      <c r="F338">
        <v>1.2</v>
      </c>
      <c r="G338" s="113">
        <v>3.4224171291044123</v>
      </c>
      <c r="H338" s="113">
        <f t="shared" si="36"/>
        <v>1033.1028724194318</v>
      </c>
      <c r="I338" s="113">
        <v>0.98596173875232251</v>
      </c>
      <c r="J338" s="113">
        <f t="shared" si="37"/>
        <v>1235.2406329879391</v>
      </c>
      <c r="K338" s="113">
        <v>-0.23755418317279514</v>
      </c>
      <c r="L338" s="113">
        <f t="shared" si="38"/>
        <v>643.62013449681081</v>
      </c>
      <c r="M338" s="97">
        <v>0.3889613075946009</v>
      </c>
      <c r="N338" s="97">
        <f t="shared" si="39"/>
        <v>723.42293289292138</v>
      </c>
      <c r="O338" s="113">
        <v>0.83006753117547083</v>
      </c>
      <c r="P338" s="113">
        <f t="shared" si="40"/>
        <v>533.51926470470778</v>
      </c>
      <c r="Q338" s="113">
        <v>0.78730291245339956</v>
      </c>
      <c r="R338" s="113">
        <f t="shared" si="41"/>
        <v>513.71472315715801</v>
      </c>
    </row>
    <row r="339" spans="1:18" x14ac:dyDescent="0.2">
      <c r="A339">
        <v>1</v>
      </c>
      <c r="B339">
        <v>12</v>
      </c>
      <c r="C339">
        <v>1984</v>
      </c>
      <c r="D339" s="112">
        <f t="shared" si="35"/>
        <v>31017</v>
      </c>
      <c r="E339">
        <v>0.9</v>
      </c>
      <c r="F339">
        <v>0.9</v>
      </c>
      <c r="G339" s="113">
        <v>0.32470470709635479</v>
      </c>
      <c r="H339" s="113">
        <f t="shared" si="36"/>
        <v>1033.4275771265281</v>
      </c>
      <c r="I339" s="113">
        <v>0.91719202505121555</v>
      </c>
      <c r="J339" s="113">
        <f t="shared" si="37"/>
        <v>1236.1578250129903</v>
      </c>
      <c r="K339" s="113">
        <v>-0.66916576269750327</v>
      </c>
      <c r="L339" s="113">
        <f t="shared" si="38"/>
        <v>642.9509687341133</v>
      </c>
      <c r="M339" s="97">
        <v>-0.21104430872533247</v>
      </c>
      <c r="N339" s="97">
        <f t="shared" si="39"/>
        <v>723.211888584196</v>
      </c>
      <c r="O339" s="113">
        <v>0.17880035601989391</v>
      </c>
      <c r="P339" s="113">
        <f t="shared" si="40"/>
        <v>533.69806506072769</v>
      </c>
      <c r="Q339" s="113">
        <v>-8.6115043813191697E-3</v>
      </c>
      <c r="R339" s="113">
        <f t="shared" si="41"/>
        <v>513.70611165277671</v>
      </c>
    </row>
    <row r="340" spans="1:18" x14ac:dyDescent="0.2">
      <c r="A340">
        <v>2</v>
      </c>
      <c r="B340">
        <v>12</v>
      </c>
      <c r="C340">
        <v>1984</v>
      </c>
      <c r="D340" s="112">
        <f t="shared" si="35"/>
        <v>31018</v>
      </c>
      <c r="E340">
        <v>1.3</v>
      </c>
      <c r="F340">
        <v>1.3</v>
      </c>
      <c r="G340" s="113">
        <v>0</v>
      </c>
      <c r="H340" s="113">
        <f t="shared" si="36"/>
        <v>1033.4275771265281</v>
      </c>
      <c r="I340" s="113">
        <v>0.94463326979386553</v>
      </c>
      <c r="J340" s="113">
        <f t="shared" si="37"/>
        <v>1237.1024582827843</v>
      </c>
      <c r="K340" s="113">
        <v>-1.1509495218902564E-2</v>
      </c>
      <c r="L340" s="113">
        <f t="shared" si="38"/>
        <v>642.93945923889441</v>
      </c>
      <c r="M340" s="97">
        <v>0.68993792510820151</v>
      </c>
      <c r="N340" s="97">
        <f t="shared" si="39"/>
        <v>723.90182650930421</v>
      </c>
      <c r="O340" s="113">
        <v>3.294855974281026E-2</v>
      </c>
      <c r="P340" s="113">
        <f t="shared" si="40"/>
        <v>533.73101362047055</v>
      </c>
      <c r="Q340" s="113">
        <v>6.0476156063577593E-3</v>
      </c>
      <c r="R340" s="113">
        <f t="shared" si="41"/>
        <v>513.71215926838306</v>
      </c>
    </row>
    <row r="341" spans="1:18" x14ac:dyDescent="0.2">
      <c r="A341">
        <v>3</v>
      </c>
      <c r="B341">
        <v>12</v>
      </c>
      <c r="C341">
        <v>1984</v>
      </c>
      <c r="D341" s="112">
        <f t="shared" si="35"/>
        <v>31019</v>
      </c>
      <c r="E341">
        <v>0.7</v>
      </c>
      <c r="F341">
        <v>0.7</v>
      </c>
      <c r="G341" s="113">
        <v>1.0707300555326718</v>
      </c>
      <c r="H341" s="113">
        <f t="shared" si="36"/>
        <v>1034.4983071820609</v>
      </c>
      <c r="I341" s="113">
        <v>0.9620668936434309</v>
      </c>
      <c r="J341" s="113">
        <f t="shared" si="37"/>
        <v>1238.0645251764277</v>
      </c>
      <c r="K341" s="113">
        <v>-0.99176755154668828</v>
      </c>
      <c r="L341" s="113">
        <f t="shared" si="38"/>
        <v>641.94769168734774</v>
      </c>
      <c r="M341" s="97">
        <v>-0.59338382653744659</v>
      </c>
      <c r="N341" s="97">
        <f t="shared" si="39"/>
        <v>723.30844268276678</v>
      </c>
      <c r="O341" s="113">
        <v>0.3502939995953237</v>
      </c>
      <c r="P341" s="113">
        <f t="shared" si="40"/>
        <v>534.0813076200659</v>
      </c>
      <c r="Q341" s="113">
        <v>0.11578197355909337</v>
      </c>
      <c r="R341" s="113">
        <f t="shared" si="41"/>
        <v>513.8279412419422</v>
      </c>
    </row>
    <row r="342" spans="1:18" x14ac:dyDescent="0.2">
      <c r="A342">
        <v>4</v>
      </c>
      <c r="B342">
        <v>12</v>
      </c>
      <c r="C342">
        <v>1984</v>
      </c>
      <c r="D342" s="112">
        <f t="shared" si="35"/>
        <v>31020</v>
      </c>
      <c r="E342">
        <v>0.9</v>
      </c>
      <c r="F342">
        <v>0.9</v>
      </c>
      <c r="G342" s="113">
        <v>0.4919945964029811</v>
      </c>
      <c r="H342" s="113">
        <f t="shared" si="36"/>
        <v>1034.9903017784638</v>
      </c>
      <c r="I342" s="113">
        <v>0.92414681304344681</v>
      </c>
      <c r="J342" s="113">
        <f t="shared" si="37"/>
        <v>1238.9886719894712</v>
      </c>
      <c r="K342" s="113">
        <v>-0.61710912969863319</v>
      </c>
      <c r="L342" s="113">
        <f t="shared" si="38"/>
        <v>641.33058255764911</v>
      </c>
      <c r="M342" s="97">
        <v>-0.10355529690647093</v>
      </c>
      <c r="N342" s="97">
        <f t="shared" si="39"/>
        <v>723.20488738586027</v>
      </c>
      <c r="O342" s="113">
        <v>0.19517809533565803</v>
      </c>
      <c r="P342" s="113">
        <f t="shared" si="40"/>
        <v>534.27648571540158</v>
      </c>
      <c r="Q342" s="113">
        <v>5.3375809295716593E-2</v>
      </c>
      <c r="R342" s="113">
        <f t="shared" si="41"/>
        <v>513.88131705123794</v>
      </c>
    </row>
    <row r="343" spans="1:18" x14ac:dyDescent="0.2">
      <c r="A343">
        <v>5</v>
      </c>
      <c r="B343">
        <v>12</v>
      </c>
      <c r="C343">
        <v>1984</v>
      </c>
      <c r="D343" s="112">
        <f t="shared" si="35"/>
        <v>31021</v>
      </c>
      <c r="E343">
        <v>1.8</v>
      </c>
      <c r="F343">
        <v>1.8</v>
      </c>
      <c r="G343" s="113">
        <v>1.0362231734482794</v>
      </c>
      <c r="H343" s="113">
        <f t="shared" si="36"/>
        <v>1036.0265249519121</v>
      </c>
      <c r="I343" s="113">
        <v>2.0483096597970865</v>
      </c>
      <c r="J343" s="113">
        <f t="shared" si="37"/>
        <v>1241.0369816492682</v>
      </c>
      <c r="K343" s="113">
        <v>0.89226801532606748</v>
      </c>
      <c r="L343" s="113">
        <f t="shared" si="38"/>
        <v>642.22285057297518</v>
      </c>
      <c r="M343" s="97">
        <v>1.9428749796316827</v>
      </c>
      <c r="N343" s="97">
        <f t="shared" si="39"/>
        <v>725.14776236549199</v>
      </c>
      <c r="O343" s="113">
        <v>0.11273009658967792</v>
      </c>
      <c r="P343" s="113">
        <f t="shared" si="40"/>
        <v>534.38921581199122</v>
      </c>
      <c r="Q343" s="113">
        <v>7.1698295069955287E-2</v>
      </c>
      <c r="R343" s="113">
        <f t="shared" si="41"/>
        <v>513.95301534630789</v>
      </c>
    </row>
    <row r="344" spans="1:18" x14ac:dyDescent="0.2">
      <c r="A344">
        <v>6</v>
      </c>
      <c r="B344">
        <v>12</v>
      </c>
      <c r="C344">
        <v>1984</v>
      </c>
      <c r="D344" s="112">
        <f t="shared" si="35"/>
        <v>31022</v>
      </c>
      <c r="E344">
        <v>3.2</v>
      </c>
      <c r="F344">
        <v>3.2</v>
      </c>
      <c r="G344" s="113">
        <v>3.6798119370063507</v>
      </c>
      <c r="H344" s="113">
        <f t="shared" si="36"/>
        <v>1039.7063368889185</v>
      </c>
      <c r="I344" s="113">
        <v>5.9623455189043861</v>
      </c>
      <c r="J344" s="113">
        <f t="shared" si="37"/>
        <v>1246.9993271681726</v>
      </c>
      <c r="K344" s="113">
        <v>3.5960785790633261</v>
      </c>
      <c r="L344" s="113">
        <f t="shared" si="38"/>
        <v>645.81892915203855</v>
      </c>
      <c r="M344" s="97">
        <v>5.7186251287122465</v>
      </c>
      <c r="N344" s="97">
        <f t="shared" si="39"/>
        <v>730.86638749420422</v>
      </c>
      <c r="O344" s="113">
        <v>0.35130762727959053</v>
      </c>
      <c r="P344" s="113">
        <f t="shared" si="40"/>
        <v>534.74052343927076</v>
      </c>
      <c r="Q344" s="113">
        <v>0.13429014106977277</v>
      </c>
      <c r="R344" s="113">
        <f t="shared" si="41"/>
        <v>514.08730548737765</v>
      </c>
    </row>
    <row r="345" spans="1:18" x14ac:dyDescent="0.2">
      <c r="A345">
        <v>7</v>
      </c>
      <c r="B345">
        <v>12</v>
      </c>
      <c r="C345">
        <v>1984</v>
      </c>
      <c r="D345" s="112">
        <f t="shared" si="35"/>
        <v>31023</v>
      </c>
      <c r="E345">
        <v>3.6</v>
      </c>
      <c r="F345">
        <v>3.6</v>
      </c>
      <c r="G345" s="113">
        <v>2.6485758397400434</v>
      </c>
      <c r="H345" s="113">
        <f t="shared" si="36"/>
        <v>1042.3549127286585</v>
      </c>
      <c r="I345" s="113">
        <v>6.8375575919657221</v>
      </c>
      <c r="J345" s="113">
        <f t="shared" si="37"/>
        <v>1253.8368847601384</v>
      </c>
      <c r="K345" s="113">
        <v>4.2738253426889115</v>
      </c>
      <c r="L345" s="113">
        <f t="shared" si="38"/>
        <v>650.0927544947275</v>
      </c>
      <c r="M345" s="97">
        <v>6.6597640123602355</v>
      </c>
      <c r="N345" s="97">
        <f t="shared" si="39"/>
        <v>737.52615150656447</v>
      </c>
      <c r="O345" s="113">
        <v>-0.1274160965716582</v>
      </c>
      <c r="P345" s="113">
        <f t="shared" si="40"/>
        <v>534.6131073426991</v>
      </c>
      <c r="Q345" s="113">
        <v>-0.3697832612585078</v>
      </c>
      <c r="R345" s="113">
        <f t="shared" si="41"/>
        <v>513.71752222611917</v>
      </c>
    </row>
    <row r="346" spans="1:18" x14ac:dyDescent="0.2">
      <c r="A346">
        <v>8</v>
      </c>
      <c r="B346">
        <v>12</v>
      </c>
      <c r="C346">
        <v>1984</v>
      </c>
      <c r="D346" s="112">
        <f t="shared" si="35"/>
        <v>31024</v>
      </c>
      <c r="E346">
        <v>3.2</v>
      </c>
      <c r="F346">
        <v>3.2</v>
      </c>
      <c r="G346" s="113">
        <v>3.1147467160516533</v>
      </c>
      <c r="H346" s="113">
        <f t="shared" si="36"/>
        <v>1045.4696594447103</v>
      </c>
      <c r="I346" s="113">
        <v>6.1785679276439289</v>
      </c>
      <c r="J346" s="113">
        <f t="shared" si="37"/>
        <v>1260.0154526877823</v>
      </c>
      <c r="K346" s="113">
        <v>3.7274203589680974</v>
      </c>
      <c r="L346" s="113">
        <f t="shared" si="38"/>
        <v>653.82017485369556</v>
      </c>
      <c r="M346" s="97">
        <v>5.9773673690590705</v>
      </c>
      <c r="N346" s="97">
        <f t="shared" si="39"/>
        <v>743.50351887562351</v>
      </c>
      <c r="O346" s="113">
        <v>-0.13033511967707817</v>
      </c>
      <c r="P346" s="113">
        <f t="shared" si="40"/>
        <v>534.48277222302204</v>
      </c>
      <c r="Q346" s="113">
        <v>-0.26959048736631475</v>
      </c>
      <c r="R346" s="113">
        <f t="shared" si="41"/>
        <v>513.44793173875291</v>
      </c>
    </row>
    <row r="347" spans="1:18" x14ac:dyDescent="0.2">
      <c r="A347">
        <v>9</v>
      </c>
      <c r="B347">
        <v>12</v>
      </c>
      <c r="C347">
        <v>1984</v>
      </c>
      <c r="D347" s="112">
        <f t="shared" si="35"/>
        <v>31025</v>
      </c>
      <c r="E347">
        <v>3</v>
      </c>
      <c r="F347">
        <v>3</v>
      </c>
      <c r="G347" s="113">
        <v>1.9915479965362233</v>
      </c>
      <c r="H347" s="113">
        <f t="shared" si="36"/>
        <v>1047.4612074412464</v>
      </c>
      <c r="I347" s="113">
        <v>5.5534747546083336</v>
      </c>
      <c r="J347" s="113">
        <f t="shared" si="37"/>
        <v>1265.5689274423905</v>
      </c>
      <c r="K347" s="113">
        <v>3.3168262423727679</v>
      </c>
      <c r="L347" s="113">
        <f t="shared" si="38"/>
        <v>657.13700109606827</v>
      </c>
      <c r="M347" s="97">
        <v>5.4243463833791532</v>
      </c>
      <c r="N347" s="97">
        <f t="shared" si="39"/>
        <v>748.92786525900271</v>
      </c>
      <c r="O347" s="113">
        <v>-4.8249285751293919E-2</v>
      </c>
      <c r="P347" s="113">
        <f t="shared" si="40"/>
        <v>534.4345229372708</v>
      </c>
      <c r="Q347" s="113">
        <v>-0.25125497390310497</v>
      </c>
      <c r="R347" s="113">
        <f t="shared" si="41"/>
        <v>513.19667676484983</v>
      </c>
    </row>
    <row r="348" spans="1:18" x14ac:dyDescent="0.2">
      <c r="A348">
        <v>10</v>
      </c>
      <c r="B348">
        <v>12</v>
      </c>
      <c r="C348">
        <v>1984</v>
      </c>
      <c r="D348" s="112">
        <f t="shared" si="35"/>
        <v>31026</v>
      </c>
      <c r="E348">
        <v>3.1</v>
      </c>
      <c r="F348">
        <v>3.1</v>
      </c>
      <c r="G348" s="113">
        <v>1.8424846132415715</v>
      </c>
      <c r="H348" s="113">
        <f t="shared" si="36"/>
        <v>1049.303692054488</v>
      </c>
      <c r="I348" s="113">
        <v>5.7867231608450922</v>
      </c>
      <c r="J348" s="113">
        <f t="shared" si="37"/>
        <v>1271.3556506032355</v>
      </c>
      <c r="K348" s="113">
        <v>3.5092922695910906</v>
      </c>
      <c r="L348" s="113">
        <f t="shared" si="38"/>
        <v>660.6462933656594</v>
      </c>
      <c r="M348" s="97">
        <v>5.7108551852083265</v>
      </c>
      <c r="N348" s="97">
        <f t="shared" si="39"/>
        <v>754.638720444211</v>
      </c>
      <c r="O348" s="113">
        <v>-0.22780508875233815</v>
      </c>
      <c r="P348" s="113">
        <f t="shared" si="40"/>
        <v>534.20671784851845</v>
      </c>
      <c r="Q348" s="113">
        <v>-0.38777169148333418</v>
      </c>
      <c r="R348" s="113">
        <f t="shared" si="41"/>
        <v>512.80890507336653</v>
      </c>
    </row>
    <row r="349" spans="1:18" x14ac:dyDescent="0.2">
      <c r="A349">
        <v>11</v>
      </c>
      <c r="B349">
        <v>12</v>
      </c>
      <c r="C349">
        <v>1984</v>
      </c>
      <c r="D349" s="112">
        <f t="shared" si="35"/>
        <v>31027</v>
      </c>
      <c r="E349">
        <v>2.6</v>
      </c>
      <c r="F349">
        <v>2.6</v>
      </c>
      <c r="G349" s="113">
        <v>2.2779172890506572</v>
      </c>
      <c r="H349" s="113">
        <f t="shared" si="36"/>
        <v>1051.5816093435387</v>
      </c>
      <c r="I349" s="113">
        <v>4.732049371007891</v>
      </c>
      <c r="J349" s="113">
        <f t="shared" si="37"/>
        <v>1276.0876999742434</v>
      </c>
      <c r="K349" s="113">
        <v>2.695878409331177</v>
      </c>
      <c r="L349" s="113">
        <f t="shared" si="38"/>
        <v>663.34217177499056</v>
      </c>
      <c r="M349" s="97">
        <v>4.632631880674678</v>
      </c>
      <c r="N349" s="97">
        <f t="shared" si="39"/>
        <v>759.2713523248857</v>
      </c>
      <c r="O349" s="113">
        <v>-0.36773943022065908</v>
      </c>
      <c r="P349" s="113">
        <f t="shared" si="40"/>
        <v>533.83897841829776</v>
      </c>
      <c r="Q349" s="113">
        <v>-0.29480286277959039</v>
      </c>
      <c r="R349" s="113">
        <f t="shared" si="41"/>
        <v>512.514102210587</v>
      </c>
    </row>
    <row r="350" spans="1:18" x14ac:dyDescent="0.2">
      <c r="A350">
        <v>12</v>
      </c>
      <c r="B350">
        <v>12</v>
      </c>
      <c r="C350">
        <v>1984</v>
      </c>
      <c r="D350" s="112">
        <f t="shared" si="35"/>
        <v>31028</v>
      </c>
      <c r="E350">
        <v>0.6</v>
      </c>
      <c r="F350">
        <v>0.6</v>
      </c>
      <c r="G350" s="113">
        <v>2.3847699045885578</v>
      </c>
      <c r="H350" s="113">
        <f t="shared" si="36"/>
        <v>1053.9663792481274</v>
      </c>
      <c r="I350" s="113">
        <v>1.0325671695240535</v>
      </c>
      <c r="J350" s="113">
        <f t="shared" si="37"/>
        <v>1277.1202671437675</v>
      </c>
      <c r="K350" s="113">
        <v>-1.1253056139583182</v>
      </c>
      <c r="L350" s="113">
        <f t="shared" si="38"/>
        <v>662.21686616103227</v>
      </c>
      <c r="M350" s="97">
        <v>-0.66815362227931052</v>
      </c>
      <c r="N350" s="97">
        <f t="shared" si="39"/>
        <v>758.60319870260639</v>
      </c>
      <c r="O350" s="113">
        <v>0.38191951732214097</v>
      </c>
      <c r="P350" s="113">
        <f t="shared" si="40"/>
        <v>534.22089793561986</v>
      </c>
      <c r="Q350" s="113">
        <v>0.18978077509732891</v>
      </c>
      <c r="R350" s="113">
        <f t="shared" si="41"/>
        <v>512.70388298568434</v>
      </c>
    </row>
    <row r="351" spans="1:18" x14ac:dyDescent="0.2">
      <c r="A351">
        <v>13</v>
      </c>
      <c r="B351">
        <v>12</v>
      </c>
      <c r="C351">
        <v>1984</v>
      </c>
      <c r="D351" s="112">
        <f t="shared" si="35"/>
        <v>31029</v>
      </c>
      <c r="E351">
        <v>0.5</v>
      </c>
      <c r="F351">
        <v>0.5</v>
      </c>
      <c r="G351" s="113">
        <v>1.3059878739219428</v>
      </c>
      <c r="H351" s="113">
        <f t="shared" si="36"/>
        <v>1055.2723671220494</v>
      </c>
      <c r="I351" s="113">
        <v>0.99195859827210053</v>
      </c>
      <c r="J351" s="113">
        <f t="shared" si="37"/>
        <v>1278.1122257420395</v>
      </c>
      <c r="K351" s="113">
        <v>-1.2732765243302224</v>
      </c>
      <c r="L351" s="113">
        <f t="shared" si="38"/>
        <v>660.94358963670209</v>
      </c>
      <c r="M351" s="97">
        <v>-0.8978532277040403</v>
      </c>
      <c r="N351" s="97">
        <f t="shared" si="39"/>
        <v>757.7053454749024</v>
      </c>
      <c r="O351" s="113">
        <v>0.33430488314048634</v>
      </c>
      <c r="P351" s="113">
        <f t="shared" si="40"/>
        <v>534.55520281876034</v>
      </c>
      <c r="Q351" s="113">
        <v>5.6550388075577392E-2</v>
      </c>
      <c r="R351" s="113">
        <f t="shared" si="41"/>
        <v>512.76043337375995</v>
      </c>
    </row>
    <row r="352" spans="1:18" x14ac:dyDescent="0.2">
      <c r="A352">
        <v>14</v>
      </c>
      <c r="B352">
        <v>12</v>
      </c>
      <c r="C352">
        <v>1984</v>
      </c>
      <c r="D352" s="112">
        <f t="shared" si="35"/>
        <v>31030</v>
      </c>
      <c r="E352">
        <v>1.3</v>
      </c>
      <c r="F352">
        <v>1.3</v>
      </c>
      <c r="G352" s="113">
        <v>0</v>
      </c>
      <c r="H352" s="113">
        <f t="shared" si="36"/>
        <v>1055.2723671220494</v>
      </c>
      <c r="I352" s="113">
        <v>1.2071243529617712</v>
      </c>
      <c r="J352" s="113">
        <f t="shared" si="37"/>
        <v>1279.3193500950013</v>
      </c>
      <c r="K352" s="113">
        <v>0.24210799692650595</v>
      </c>
      <c r="L352" s="113">
        <f t="shared" si="38"/>
        <v>661.18569763362859</v>
      </c>
      <c r="M352" s="97">
        <v>1.201076744768363</v>
      </c>
      <c r="N352" s="97">
        <f t="shared" si="39"/>
        <v>758.90642221967073</v>
      </c>
      <c r="O352" s="113">
        <v>-4.3111263797450693E-2</v>
      </c>
      <c r="P352" s="113">
        <f t="shared" si="40"/>
        <v>534.51209155496292</v>
      </c>
      <c r="Q352" s="113">
        <v>-4.470496726294728E-2</v>
      </c>
      <c r="R352" s="113">
        <f t="shared" si="41"/>
        <v>512.71572840649696</v>
      </c>
    </row>
    <row r="353" spans="1:18" x14ac:dyDescent="0.2">
      <c r="A353">
        <v>15</v>
      </c>
      <c r="B353">
        <v>12</v>
      </c>
      <c r="C353">
        <v>1984</v>
      </c>
      <c r="D353" s="112">
        <f t="shared" si="35"/>
        <v>31031</v>
      </c>
      <c r="E353">
        <v>1.1000000000000001</v>
      </c>
      <c r="F353">
        <v>1.1000000000000001</v>
      </c>
      <c r="G353" s="113">
        <v>1.3883237497705894</v>
      </c>
      <c r="H353" s="113">
        <f t="shared" si="36"/>
        <v>1056.66069087182</v>
      </c>
      <c r="I353" s="113">
        <v>1.0076698997278224</v>
      </c>
      <c r="J353" s="113">
        <f t="shared" si="37"/>
        <v>1280.327019994729</v>
      </c>
      <c r="K353" s="113">
        <v>-0.12141269267596685</v>
      </c>
      <c r="L353" s="113">
        <f t="shared" si="38"/>
        <v>661.06428494095258</v>
      </c>
      <c r="M353" s="97">
        <v>0.73368548896451891</v>
      </c>
      <c r="N353" s="97">
        <f t="shared" si="39"/>
        <v>759.64010770863524</v>
      </c>
      <c r="O353" s="113">
        <v>0.15533576036126245</v>
      </c>
      <c r="P353" s="113">
        <f t="shared" si="40"/>
        <v>534.66742731532418</v>
      </c>
      <c r="Q353" s="113">
        <v>0.1561121444669725</v>
      </c>
      <c r="R353" s="113">
        <f t="shared" si="41"/>
        <v>512.87184055096395</v>
      </c>
    </row>
    <row r="354" spans="1:18" x14ac:dyDescent="0.2">
      <c r="A354">
        <v>16</v>
      </c>
      <c r="B354">
        <v>12</v>
      </c>
      <c r="C354">
        <v>1984</v>
      </c>
      <c r="D354" s="112">
        <f t="shared" si="35"/>
        <v>31032</v>
      </c>
      <c r="E354">
        <v>0.5</v>
      </c>
      <c r="F354">
        <v>0.5</v>
      </c>
      <c r="G354" s="113">
        <v>0</v>
      </c>
      <c r="H354" s="113">
        <f t="shared" si="36"/>
        <v>1056.66069087182</v>
      </c>
      <c r="I354" s="113">
        <v>0.97868590774852793</v>
      </c>
      <c r="J354" s="113">
        <f t="shared" si="37"/>
        <v>1281.3057059024775</v>
      </c>
      <c r="K354" s="113">
        <v>-1.2411310874803927</v>
      </c>
      <c r="L354" s="113">
        <f t="shared" si="38"/>
        <v>659.82315385347215</v>
      </c>
      <c r="M354" s="97">
        <v>-0.8588605161779953</v>
      </c>
      <c r="N354" s="97">
        <f t="shared" si="39"/>
        <v>758.78124719245727</v>
      </c>
      <c r="O354" s="113">
        <v>0.14129734650384501</v>
      </c>
      <c r="P354" s="113">
        <f t="shared" si="40"/>
        <v>534.80872466182802</v>
      </c>
      <c r="Q354" s="113">
        <v>-0.10618748628464435</v>
      </c>
      <c r="R354" s="113">
        <f t="shared" si="41"/>
        <v>512.76565306467933</v>
      </c>
    </row>
    <row r="355" spans="1:18" x14ac:dyDescent="0.2">
      <c r="A355">
        <v>17</v>
      </c>
      <c r="B355">
        <v>12</v>
      </c>
      <c r="C355">
        <v>1984</v>
      </c>
      <c r="D355" s="112">
        <f t="shared" si="35"/>
        <v>31033</v>
      </c>
      <c r="E355">
        <v>0.7</v>
      </c>
      <c r="F355">
        <v>0.7</v>
      </c>
      <c r="G355" s="113">
        <v>1.4363223452285871</v>
      </c>
      <c r="H355" s="113">
        <f t="shared" si="36"/>
        <v>1058.0970132170485</v>
      </c>
      <c r="I355" s="113">
        <v>0.98975733738295224</v>
      </c>
      <c r="J355" s="113">
        <f t="shared" si="37"/>
        <v>1282.2954632398605</v>
      </c>
      <c r="K355" s="113">
        <v>-0.87283138959238704</v>
      </c>
      <c r="L355" s="113">
        <f t="shared" si="38"/>
        <v>658.95032246387973</v>
      </c>
      <c r="M355" s="97">
        <v>-0.32656223598467354</v>
      </c>
      <c r="N355" s="97">
        <f t="shared" si="39"/>
        <v>758.45468495647265</v>
      </c>
      <c r="O355" s="113">
        <v>0.37653407995681404</v>
      </c>
      <c r="P355" s="113">
        <f t="shared" si="40"/>
        <v>535.18525874178488</v>
      </c>
      <c r="Q355" s="113">
        <v>0.21814802289902541</v>
      </c>
      <c r="R355" s="113">
        <f t="shared" si="41"/>
        <v>512.9838010875784</v>
      </c>
    </row>
    <row r="356" spans="1:18" x14ac:dyDescent="0.2">
      <c r="A356">
        <v>18</v>
      </c>
      <c r="B356">
        <v>12</v>
      </c>
      <c r="C356">
        <v>1984</v>
      </c>
      <c r="D356" s="112">
        <f t="shared" si="35"/>
        <v>31034</v>
      </c>
      <c r="E356">
        <v>2.4</v>
      </c>
      <c r="F356">
        <v>2.4</v>
      </c>
      <c r="G356" s="113">
        <v>5.2920448142959016</v>
      </c>
      <c r="H356" s="113">
        <f t="shared" si="36"/>
        <v>1063.3890580313443</v>
      </c>
      <c r="I356" s="113">
        <v>4.6553222217456485</v>
      </c>
      <c r="J356" s="113">
        <f t="shared" si="37"/>
        <v>1286.9507854616061</v>
      </c>
      <c r="K356" s="113">
        <v>2.5965526020001399</v>
      </c>
      <c r="L356" s="113">
        <f t="shared" si="38"/>
        <v>661.54687506587982</v>
      </c>
      <c r="M356" s="97">
        <v>4.6350599001346104</v>
      </c>
      <c r="N356" s="97">
        <f t="shared" si="39"/>
        <v>763.08974485660724</v>
      </c>
      <c r="O356" s="113">
        <v>0.96585860370585974</v>
      </c>
      <c r="P356" s="113">
        <f t="shared" si="40"/>
        <v>536.15111734549077</v>
      </c>
      <c r="Q356" s="113">
        <v>0.80404891689416336</v>
      </c>
      <c r="R356" s="113">
        <f t="shared" si="41"/>
        <v>513.7878500044726</v>
      </c>
    </row>
    <row r="357" spans="1:18" x14ac:dyDescent="0.2">
      <c r="A357">
        <v>19</v>
      </c>
      <c r="B357">
        <v>12</v>
      </c>
      <c r="C357">
        <v>1984</v>
      </c>
      <c r="D357" s="112">
        <f t="shared" si="35"/>
        <v>31035</v>
      </c>
      <c r="E357">
        <v>2.9</v>
      </c>
      <c r="F357">
        <v>2.9</v>
      </c>
      <c r="G357" s="113">
        <v>0</v>
      </c>
      <c r="H357" s="113">
        <f t="shared" si="36"/>
        <v>1063.3890580313443</v>
      </c>
      <c r="I357" s="113">
        <v>5.3666800265134809</v>
      </c>
      <c r="J357" s="113">
        <f t="shared" si="37"/>
        <v>1292.3174654881195</v>
      </c>
      <c r="K357" s="113">
        <v>3.2495802062799273</v>
      </c>
      <c r="L357" s="113">
        <f t="shared" si="38"/>
        <v>664.79645527215973</v>
      </c>
      <c r="M357" s="97">
        <v>5.4485427842839673</v>
      </c>
      <c r="N357" s="97">
        <f t="shared" si="39"/>
        <v>768.53828764089121</v>
      </c>
      <c r="O357" s="113">
        <v>-0.28727474387878699</v>
      </c>
      <c r="P357" s="113">
        <f t="shared" si="40"/>
        <v>535.86384260161196</v>
      </c>
      <c r="Q357" s="113">
        <v>-0.6276693512075523</v>
      </c>
      <c r="R357" s="113">
        <f t="shared" si="41"/>
        <v>513.160180653265</v>
      </c>
    </row>
    <row r="358" spans="1:18" x14ac:dyDescent="0.2">
      <c r="A358">
        <v>20</v>
      </c>
      <c r="B358">
        <v>12</v>
      </c>
      <c r="C358">
        <v>1984</v>
      </c>
      <c r="D358" s="112">
        <f t="shared" si="35"/>
        <v>31036</v>
      </c>
      <c r="E358">
        <v>1.7</v>
      </c>
      <c r="F358">
        <v>1.7</v>
      </c>
      <c r="G358" s="113">
        <v>1.5040804830161358</v>
      </c>
      <c r="H358" s="113">
        <f t="shared" si="36"/>
        <v>1064.8931385143605</v>
      </c>
      <c r="I358" s="113">
        <v>2.2514102309288044</v>
      </c>
      <c r="J358" s="113">
        <f t="shared" si="37"/>
        <v>1294.5688757190483</v>
      </c>
      <c r="K358" s="113">
        <v>1.0153379419103385</v>
      </c>
      <c r="L358" s="113">
        <f t="shared" si="38"/>
        <v>665.81179321407012</v>
      </c>
      <c r="M358" s="97">
        <v>2.2967411490293488</v>
      </c>
      <c r="N358" s="97">
        <f t="shared" si="39"/>
        <v>770.83502878992056</v>
      </c>
      <c r="O358" s="113">
        <v>8.3609099758276101E-2</v>
      </c>
      <c r="P358" s="113">
        <f t="shared" si="40"/>
        <v>535.94745170137026</v>
      </c>
      <c r="Q358" s="113">
        <v>8.4561813575506753E-2</v>
      </c>
      <c r="R358" s="113">
        <f t="shared" si="41"/>
        <v>513.24474246684053</v>
      </c>
    </row>
    <row r="359" spans="1:18" x14ac:dyDescent="0.2">
      <c r="A359">
        <v>21</v>
      </c>
      <c r="B359">
        <v>12</v>
      </c>
      <c r="C359">
        <v>1984</v>
      </c>
      <c r="D359" s="112">
        <f t="shared" si="35"/>
        <v>31037</v>
      </c>
      <c r="E359">
        <v>3</v>
      </c>
      <c r="F359">
        <v>3</v>
      </c>
      <c r="G359" s="113">
        <v>4.1024310570561964</v>
      </c>
      <c r="H359" s="113">
        <f t="shared" si="36"/>
        <v>1068.9955695714168</v>
      </c>
      <c r="I359" s="113">
        <v>6.2329269859306766</v>
      </c>
      <c r="J359" s="113">
        <f t="shared" si="37"/>
        <v>1300.8018027049789</v>
      </c>
      <c r="K359" s="113">
        <v>3.7484467633089098</v>
      </c>
      <c r="L359" s="113">
        <f t="shared" si="38"/>
        <v>669.56023997737907</v>
      </c>
      <c r="M359" s="97">
        <v>6.2192584917577367</v>
      </c>
      <c r="N359" s="97">
        <f t="shared" si="39"/>
        <v>777.05428728167828</v>
      </c>
      <c r="O359" s="113">
        <v>0.29880981021688224</v>
      </c>
      <c r="P359" s="113">
        <f t="shared" si="40"/>
        <v>536.24626151158714</v>
      </c>
      <c r="Q359" s="113">
        <v>0.10047899079873489</v>
      </c>
      <c r="R359" s="113">
        <f t="shared" si="41"/>
        <v>513.34522145763924</v>
      </c>
    </row>
    <row r="360" spans="1:18" x14ac:dyDescent="0.2">
      <c r="A360">
        <v>22</v>
      </c>
      <c r="B360">
        <v>12</v>
      </c>
      <c r="C360">
        <v>1984</v>
      </c>
      <c r="D360" s="112">
        <f t="shared" si="35"/>
        <v>31038</v>
      </c>
      <c r="E360">
        <v>0.7</v>
      </c>
      <c r="F360">
        <v>0.7</v>
      </c>
      <c r="G360" s="113">
        <v>4.1158477245825962</v>
      </c>
      <c r="H360" s="113">
        <f t="shared" si="36"/>
        <v>1073.1114172959994</v>
      </c>
      <c r="I360" s="113">
        <v>1.030783683690095</v>
      </c>
      <c r="J360" s="113">
        <f t="shared" si="37"/>
        <v>1301.8325863886689</v>
      </c>
      <c r="K360" s="113">
        <v>-0.90708593545901328</v>
      </c>
      <c r="L360" s="113">
        <f t="shared" si="38"/>
        <v>668.65315404192006</v>
      </c>
      <c r="M360" s="97">
        <v>-0.34125464446726855</v>
      </c>
      <c r="N360" s="97">
        <f t="shared" si="39"/>
        <v>776.71303263721097</v>
      </c>
      <c r="O360" s="113">
        <v>1.1423738184038181</v>
      </c>
      <c r="P360" s="113">
        <f t="shared" si="40"/>
        <v>537.38863532999096</v>
      </c>
      <c r="Q360" s="113">
        <v>0.92163481709851014</v>
      </c>
      <c r="R360" s="113">
        <f t="shared" si="41"/>
        <v>514.26685627473773</v>
      </c>
    </row>
    <row r="361" spans="1:18" x14ac:dyDescent="0.2">
      <c r="A361">
        <v>23</v>
      </c>
      <c r="B361">
        <v>12</v>
      </c>
      <c r="C361">
        <v>1984</v>
      </c>
      <c r="D361" s="112">
        <f t="shared" si="35"/>
        <v>31039</v>
      </c>
      <c r="E361">
        <v>1.9</v>
      </c>
      <c r="F361">
        <v>1.9</v>
      </c>
      <c r="G361" s="113">
        <v>0</v>
      </c>
      <c r="H361" s="113">
        <f t="shared" si="36"/>
        <v>1073.1114172959994</v>
      </c>
      <c r="I361" s="113">
        <v>2.6545287238165316</v>
      </c>
      <c r="J361" s="113">
        <f t="shared" si="37"/>
        <v>1304.4871151124855</v>
      </c>
      <c r="K361" s="113">
        <v>1.3331834187439906</v>
      </c>
      <c r="L361" s="113">
        <f t="shared" si="38"/>
        <v>669.986337460664</v>
      </c>
      <c r="M361" s="97">
        <v>2.7003827559616784</v>
      </c>
      <c r="N361" s="97">
        <f t="shared" si="39"/>
        <v>779.41341539317261</v>
      </c>
      <c r="O361" s="113">
        <v>-0.13145339081569493</v>
      </c>
      <c r="P361" s="113">
        <f t="shared" si="40"/>
        <v>537.25718193917521</v>
      </c>
      <c r="Q361" s="113">
        <v>-0.26566687535021205</v>
      </c>
      <c r="R361" s="113">
        <f t="shared" si="41"/>
        <v>514.0011893993875</v>
      </c>
    </row>
    <row r="362" spans="1:18" x14ac:dyDescent="0.2">
      <c r="A362">
        <v>24</v>
      </c>
      <c r="B362">
        <v>12</v>
      </c>
      <c r="C362">
        <v>1984</v>
      </c>
      <c r="D362" s="112">
        <f t="shared" si="35"/>
        <v>31040</v>
      </c>
      <c r="E362">
        <v>1.5</v>
      </c>
      <c r="F362">
        <v>1.5</v>
      </c>
      <c r="G362" s="113">
        <v>2.5526821515702105</v>
      </c>
      <c r="H362" s="113">
        <f t="shared" si="36"/>
        <v>1075.6640994475697</v>
      </c>
      <c r="I362" s="113">
        <v>1.838087178658899</v>
      </c>
      <c r="J362" s="113">
        <f t="shared" si="37"/>
        <v>1306.3252022911445</v>
      </c>
      <c r="K362" s="113">
        <v>0.66005650718625242</v>
      </c>
      <c r="L362" s="113">
        <f t="shared" si="38"/>
        <v>670.64639396785026</v>
      </c>
      <c r="M362" s="97">
        <v>1.8186847491005382</v>
      </c>
      <c r="N362" s="97">
        <f t="shared" si="39"/>
        <v>781.23210014227311</v>
      </c>
      <c r="O362" s="113">
        <v>0.28223378127432541</v>
      </c>
      <c r="P362" s="113">
        <f t="shared" si="40"/>
        <v>537.53941572044948</v>
      </c>
      <c r="Q362" s="113">
        <v>0.31534744387644931</v>
      </c>
      <c r="R362" s="113">
        <f t="shared" si="41"/>
        <v>514.31653684326398</v>
      </c>
    </row>
    <row r="363" spans="1:18" x14ac:dyDescent="0.2">
      <c r="A363">
        <v>25</v>
      </c>
      <c r="B363">
        <v>12</v>
      </c>
      <c r="C363">
        <v>1984</v>
      </c>
      <c r="D363" s="112">
        <f t="shared" si="35"/>
        <v>31041</v>
      </c>
      <c r="E363">
        <v>1.1000000000000001</v>
      </c>
      <c r="F363">
        <v>1.1000000000000001</v>
      </c>
      <c r="G363" s="113">
        <v>2.3561938062603107</v>
      </c>
      <c r="H363" s="113">
        <f t="shared" si="36"/>
        <v>1078.02029325383</v>
      </c>
      <c r="I363" s="113">
        <v>1.0197901265705347</v>
      </c>
      <c r="J363" s="113">
        <f t="shared" si="37"/>
        <v>1307.344992417715</v>
      </c>
      <c r="K363" s="113">
        <v>-0.12510903570869367</v>
      </c>
      <c r="L363" s="113">
        <f t="shared" si="38"/>
        <v>670.52128493214161</v>
      </c>
      <c r="M363" s="97">
        <v>0.72100352954725611</v>
      </c>
      <c r="N363" s="97">
        <f t="shared" si="39"/>
        <v>781.95310367182037</v>
      </c>
      <c r="O363" s="113">
        <v>0.44328124539719016</v>
      </c>
      <c r="P363" s="113">
        <f t="shared" si="40"/>
        <v>537.98269696584669</v>
      </c>
      <c r="Q363" s="113">
        <v>0.3955622467380206</v>
      </c>
      <c r="R363" s="113">
        <f t="shared" si="41"/>
        <v>514.71209909000197</v>
      </c>
    </row>
    <row r="364" spans="1:18" x14ac:dyDescent="0.2">
      <c r="A364">
        <v>26</v>
      </c>
      <c r="B364">
        <v>12</v>
      </c>
      <c r="C364">
        <v>1984</v>
      </c>
      <c r="D364" s="112">
        <f t="shared" si="35"/>
        <v>31042</v>
      </c>
      <c r="E364">
        <v>3.4</v>
      </c>
      <c r="F364">
        <v>3.4</v>
      </c>
      <c r="G364" s="113">
        <v>3.4845402546889677</v>
      </c>
      <c r="H364" s="113">
        <f t="shared" si="36"/>
        <v>1081.5048335085189</v>
      </c>
      <c r="I364" s="113">
        <v>7.2317538627271096</v>
      </c>
      <c r="J364" s="113">
        <f t="shared" si="37"/>
        <v>1314.5767462804422</v>
      </c>
      <c r="K364" s="113">
        <v>4.4372101925627483</v>
      </c>
      <c r="L364" s="113">
        <f t="shared" si="38"/>
        <v>674.95849512470431</v>
      </c>
      <c r="M364" s="97">
        <v>7.0759318229681689</v>
      </c>
      <c r="N364" s="97">
        <f t="shared" si="39"/>
        <v>789.02903549478856</v>
      </c>
      <c r="O364" s="113">
        <v>-0.17607644902875905</v>
      </c>
      <c r="P364" s="113">
        <f t="shared" si="40"/>
        <v>537.80662051681793</v>
      </c>
      <c r="Q364" s="113">
        <v>-0.32696061853351249</v>
      </c>
      <c r="R364" s="113">
        <f t="shared" si="41"/>
        <v>514.38513847146851</v>
      </c>
    </row>
    <row r="365" spans="1:18" x14ac:dyDescent="0.2">
      <c r="A365">
        <v>27</v>
      </c>
      <c r="B365">
        <v>12</v>
      </c>
      <c r="C365">
        <v>1984</v>
      </c>
      <c r="D365" s="112">
        <f t="shared" si="35"/>
        <v>31043</v>
      </c>
      <c r="E365">
        <v>3.4</v>
      </c>
      <c r="F365">
        <v>3.4</v>
      </c>
      <c r="G365" s="113">
        <v>0.54268559564490126</v>
      </c>
      <c r="H365" s="113">
        <f t="shared" si="36"/>
        <v>1082.0475191041637</v>
      </c>
      <c r="I365" s="113">
        <v>6.8340559532914664</v>
      </c>
      <c r="J365" s="113">
        <f t="shared" si="37"/>
        <v>1321.4108022337336</v>
      </c>
      <c r="K365" s="113">
        <v>4.1995510312948845</v>
      </c>
      <c r="L365" s="113">
        <f t="shared" si="38"/>
        <v>679.15804615599916</v>
      </c>
      <c r="M365" s="97">
        <v>6.6724489681123345</v>
      </c>
      <c r="N365" s="97">
        <f t="shared" si="39"/>
        <v>795.70148446290091</v>
      </c>
      <c r="O365" s="113">
        <v>-0.59487721668445181</v>
      </c>
      <c r="P365" s="113">
        <f t="shared" si="40"/>
        <v>537.21174330013343</v>
      </c>
      <c r="Q365" s="113">
        <v>-0.64707002544887726</v>
      </c>
      <c r="R365" s="113">
        <f t="shared" si="41"/>
        <v>513.73806844601961</v>
      </c>
    </row>
    <row r="366" spans="1:18" x14ac:dyDescent="0.2">
      <c r="A366">
        <v>28</v>
      </c>
      <c r="B366">
        <v>12</v>
      </c>
      <c r="C366">
        <v>1984</v>
      </c>
      <c r="D366" s="112">
        <f t="shared" si="35"/>
        <v>31044</v>
      </c>
      <c r="E366">
        <v>2</v>
      </c>
      <c r="F366">
        <v>2</v>
      </c>
      <c r="G366" s="113">
        <v>0.21559832000615214</v>
      </c>
      <c r="H366" s="113">
        <f t="shared" si="36"/>
        <v>1082.2631174241699</v>
      </c>
      <c r="I366" s="113">
        <v>3.0559725309749899</v>
      </c>
      <c r="J366" s="113">
        <f t="shared" si="37"/>
        <v>1324.4667747647086</v>
      </c>
      <c r="K366" s="113">
        <v>1.5254494886427641</v>
      </c>
      <c r="L366" s="113">
        <f t="shared" si="38"/>
        <v>680.68349564464188</v>
      </c>
      <c r="M366" s="97">
        <v>2.9444193711941149</v>
      </c>
      <c r="N366" s="97">
        <f t="shared" si="39"/>
        <v>798.64590383409507</v>
      </c>
      <c r="O366" s="113">
        <v>-0.1695034842906365</v>
      </c>
      <c r="P366" s="113">
        <f t="shared" si="40"/>
        <v>537.04223981584278</v>
      </c>
      <c r="Q366" s="113">
        <v>-0.2295959763375488</v>
      </c>
      <c r="R366" s="113">
        <f t="shared" si="41"/>
        <v>513.50847246968203</v>
      </c>
    </row>
    <row r="367" spans="1:18" x14ac:dyDescent="0.2">
      <c r="A367">
        <v>29</v>
      </c>
      <c r="B367">
        <v>12</v>
      </c>
      <c r="C367">
        <v>1984</v>
      </c>
      <c r="D367" s="112">
        <f t="shared" si="35"/>
        <v>31045</v>
      </c>
      <c r="E367">
        <v>1.5</v>
      </c>
      <c r="F367">
        <v>1.5</v>
      </c>
      <c r="G367" s="113">
        <v>2.1148370476762275</v>
      </c>
      <c r="H367" s="113">
        <f t="shared" si="36"/>
        <v>1084.3779544718461</v>
      </c>
      <c r="I367" s="113">
        <v>1.7572668997392789</v>
      </c>
      <c r="J367" s="113">
        <f t="shared" si="37"/>
        <v>1326.2240416644479</v>
      </c>
      <c r="K367" s="113">
        <v>0.58630598407663248</v>
      </c>
      <c r="L367" s="113">
        <f t="shared" si="38"/>
        <v>681.26980162871848</v>
      </c>
      <c r="M367" s="97">
        <v>1.6538645717393508</v>
      </c>
      <c r="N367" s="97">
        <f t="shared" si="39"/>
        <v>800.29976840583447</v>
      </c>
      <c r="O367" s="113">
        <v>0.15965145885628795</v>
      </c>
      <c r="P367" s="113">
        <f t="shared" si="40"/>
        <v>537.20189127469905</v>
      </c>
      <c r="Q367" s="113">
        <v>0.16000225432321638</v>
      </c>
      <c r="R367" s="113">
        <f t="shared" si="41"/>
        <v>513.66847472400525</v>
      </c>
    </row>
    <row r="368" spans="1:18" x14ac:dyDescent="0.2">
      <c r="A368">
        <v>30</v>
      </c>
      <c r="B368">
        <v>12</v>
      </c>
      <c r="C368">
        <v>1984</v>
      </c>
      <c r="D368" s="112">
        <f t="shared" si="35"/>
        <v>31046</v>
      </c>
      <c r="E368">
        <v>1</v>
      </c>
      <c r="F368">
        <v>1</v>
      </c>
      <c r="G368" s="113">
        <v>0</v>
      </c>
      <c r="H368" s="113">
        <f t="shared" si="36"/>
        <v>1084.3779544718461</v>
      </c>
      <c r="I368" s="113">
        <v>0.96174829781027327</v>
      </c>
      <c r="J368" s="113">
        <f t="shared" si="37"/>
        <v>1327.1857899622582</v>
      </c>
      <c r="K368" s="113">
        <v>-0.36234318720049558</v>
      </c>
      <c r="L368" s="113">
        <f t="shared" si="38"/>
        <v>680.90745844151797</v>
      </c>
      <c r="M368" s="97">
        <v>0.29803689557680935</v>
      </c>
      <c r="N368" s="97">
        <f t="shared" si="39"/>
        <v>800.59780530141131</v>
      </c>
      <c r="O368" s="113">
        <v>0.10427543401612983</v>
      </c>
      <c r="P368" s="113">
        <f t="shared" si="40"/>
        <v>537.30616670871518</v>
      </c>
      <c r="Q368" s="113">
        <v>-3.9983080894261003E-2</v>
      </c>
      <c r="R368" s="113">
        <f t="shared" si="41"/>
        <v>513.62849164311103</v>
      </c>
    </row>
    <row r="369" spans="1:18" x14ac:dyDescent="0.2">
      <c r="A369">
        <v>31</v>
      </c>
      <c r="B369">
        <v>12</v>
      </c>
      <c r="C369">
        <v>1984</v>
      </c>
      <c r="D369" s="112">
        <f t="shared" si="35"/>
        <v>31047</v>
      </c>
      <c r="E369">
        <v>3.1</v>
      </c>
      <c r="F369">
        <v>3.1</v>
      </c>
      <c r="G369" s="113">
        <v>2.2504102136335948</v>
      </c>
      <c r="H369" s="113">
        <f t="shared" si="36"/>
        <v>1086.6283646854797</v>
      </c>
      <c r="I369" s="113">
        <v>5.7362009733932471</v>
      </c>
      <c r="J369" s="113">
        <f t="shared" si="37"/>
        <v>1332.9219909356516</v>
      </c>
      <c r="K369" s="113">
        <v>3.4676538122897145</v>
      </c>
      <c r="L369" s="113">
        <f t="shared" si="38"/>
        <v>684.37511225380774</v>
      </c>
      <c r="M369" s="97">
        <v>5.520368753338369</v>
      </c>
      <c r="N369" s="97">
        <f t="shared" si="39"/>
        <v>806.11817405474972</v>
      </c>
      <c r="O369" s="113">
        <v>-5.3981413476126783E-2</v>
      </c>
      <c r="P369" s="113">
        <f t="shared" si="40"/>
        <v>537.25218529523909</v>
      </c>
      <c r="Q369" s="113">
        <v>-0.24092811543478068</v>
      </c>
      <c r="R369" s="113">
        <f t="shared" si="41"/>
        <v>513.38756352767621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MB237"/>
  <sheetViews>
    <sheetView tabSelected="1" topLeftCell="A12" workbookViewId="0">
      <selection activeCell="C22" sqref="C22"/>
    </sheetView>
  </sheetViews>
  <sheetFormatPr defaultRowHeight="12.75" x14ac:dyDescent="0.2"/>
  <cols>
    <col min="1" max="1" width="87.5703125" customWidth="1"/>
    <col min="2" max="2" width="14.140625" customWidth="1"/>
    <col min="3" max="3" width="17.42578125" customWidth="1"/>
    <col min="4" max="4" width="27.140625" customWidth="1"/>
    <col min="5" max="5" width="19.85546875" customWidth="1"/>
    <col min="6" max="6" width="23.140625" customWidth="1"/>
    <col min="7" max="7" width="20" customWidth="1"/>
    <col min="8" max="8" width="16.7109375" customWidth="1"/>
    <col min="9" max="9" width="11.5703125" customWidth="1"/>
    <col min="10" max="10" width="12" customWidth="1"/>
  </cols>
  <sheetData>
    <row r="1" spans="1:5" x14ac:dyDescent="0.2">
      <c r="A1" s="109" t="s">
        <v>816</v>
      </c>
    </row>
    <row r="2" spans="1:5" ht="15" x14ac:dyDescent="0.2">
      <c r="A2" s="26" t="s">
        <v>845</v>
      </c>
    </row>
    <row r="3" spans="1:5" ht="15" x14ac:dyDescent="0.2">
      <c r="A3" s="26" t="s">
        <v>518</v>
      </c>
    </row>
    <row r="4" spans="1:5" ht="16.5" thickBot="1" x14ac:dyDescent="0.25">
      <c r="A4" s="25" t="s">
        <v>815</v>
      </c>
    </row>
    <row r="5" spans="1:5" x14ac:dyDescent="0.2">
      <c r="A5" s="224" t="s">
        <v>817</v>
      </c>
      <c r="B5" s="98"/>
      <c r="C5" s="98"/>
      <c r="D5" s="99"/>
    </row>
    <row r="6" spans="1:5" ht="13.5" thickBot="1" x14ac:dyDescent="0.25">
      <c r="A6" s="591" t="s">
        <v>808</v>
      </c>
      <c r="B6" s="425"/>
      <c r="C6" s="425"/>
      <c r="D6" s="426"/>
    </row>
    <row r="7" spans="1:5" ht="13.5" thickBot="1" x14ac:dyDescent="0.25">
      <c r="A7" s="592" t="s">
        <v>823</v>
      </c>
      <c r="B7" s="105">
        <v>1</v>
      </c>
      <c r="C7" s="600" t="str">
        <f ca="1">Weather_data!B3</f>
        <v>0-0 0</v>
      </c>
      <c r="D7" s="601"/>
      <c r="E7" s="354"/>
    </row>
    <row r="8" spans="1:5" ht="13.5" thickBot="1" x14ac:dyDescent="0.25">
      <c r="A8" s="592" t="s">
        <v>655</v>
      </c>
      <c r="B8" s="105">
        <v>52</v>
      </c>
      <c r="C8" s="600" t="s">
        <v>662</v>
      </c>
      <c r="D8" s="602"/>
    </row>
    <row r="9" spans="1:5" ht="13.5" thickBot="1" x14ac:dyDescent="0.25">
      <c r="A9" s="592" t="s">
        <v>822</v>
      </c>
      <c r="B9" s="105">
        <v>0</v>
      </c>
      <c r="C9" s="600" t="s">
        <v>333</v>
      </c>
      <c r="D9" s="602"/>
    </row>
    <row r="10" spans="1:5" x14ac:dyDescent="0.2">
      <c r="A10" s="593" t="s">
        <v>803</v>
      </c>
      <c r="B10" s="427">
        <f ca="1">AVERAGE(Calculations!G6:G370)</f>
        <v>0</v>
      </c>
      <c r="C10" s="600" t="s">
        <v>333</v>
      </c>
      <c r="D10" s="602"/>
    </row>
    <row r="11" spans="1:5" x14ac:dyDescent="0.2">
      <c r="A11" s="593" t="s">
        <v>800</v>
      </c>
      <c r="B11" s="103">
        <f ca="1">SUM(Calculations!I6:I370)</f>
        <v>0</v>
      </c>
      <c r="C11" s="600" t="s">
        <v>53</v>
      </c>
      <c r="D11" s="602"/>
    </row>
    <row r="12" spans="1:5" x14ac:dyDescent="0.2">
      <c r="A12" s="593" t="s">
        <v>801</v>
      </c>
      <c r="B12" s="103" t="e">
        <f ca="1">SUM(Calculations!$NJ6:$NJ370)</f>
        <v>#DIV/0!</v>
      </c>
      <c r="C12" s="600" t="s">
        <v>53</v>
      </c>
      <c r="D12" s="602"/>
    </row>
    <row r="13" spans="1:5" ht="14.25" x14ac:dyDescent="0.2">
      <c r="A13" s="593" t="s">
        <v>802</v>
      </c>
      <c r="B13" s="103">
        <f ca="1">SUM(Calculations!K6:K370)/1000</f>
        <v>0</v>
      </c>
      <c r="C13" s="600" t="s">
        <v>519</v>
      </c>
      <c r="D13" s="602"/>
    </row>
    <row r="14" spans="1:5" ht="13.5" thickBot="1" x14ac:dyDescent="0.25">
      <c r="A14" s="594" t="s">
        <v>809</v>
      </c>
      <c r="B14" s="103"/>
      <c r="C14" s="600"/>
      <c r="D14" s="602"/>
    </row>
    <row r="15" spans="1:5" ht="13.5" thickBot="1" x14ac:dyDescent="0.25">
      <c r="A15" s="595" t="s">
        <v>818</v>
      </c>
      <c r="B15" s="105">
        <v>0</v>
      </c>
      <c r="C15" s="600" t="s">
        <v>517</v>
      </c>
      <c r="D15" s="602"/>
    </row>
    <row r="16" spans="1:5" x14ac:dyDescent="0.2">
      <c r="A16" s="595" t="s">
        <v>810</v>
      </c>
      <c r="B16" s="430" t="e">
        <f ca="1">VLOOKUP(Weather_data!$B$5,CO2_data!A2:B63,2)+$B$15</f>
        <v>#N/A</v>
      </c>
      <c r="C16" s="600" t="s">
        <v>517</v>
      </c>
      <c r="D16" s="603"/>
    </row>
    <row r="17" spans="1:5" ht="13.5" thickBot="1" x14ac:dyDescent="0.25">
      <c r="A17" s="596" t="s">
        <v>799</v>
      </c>
      <c r="B17" s="100"/>
      <c r="C17" s="600"/>
      <c r="D17" s="602"/>
    </row>
    <row r="18" spans="1:5" ht="13.5" thickBot="1" x14ac:dyDescent="0.25">
      <c r="A18" s="592" t="s">
        <v>838</v>
      </c>
      <c r="B18" s="105">
        <v>2</v>
      </c>
      <c r="C18" s="600"/>
      <c r="D18" s="602"/>
    </row>
    <row r="19" spans="1:5" ht="15" thickBot="1" x14ac:dyDescent="0.25">
      <c r="A19" s="592" t="s">
        <v>836</v>
      </c>
      <c r="B19" s="105">
        <v>800</v>
      </c>
      <c r="C19" s="600" t="s">
        <v>652</v>
      </c>
      <c r="D19" s="602"/>
    </row>
    <row r="20" spans="1:5" ht="13.5" thickBot="1" x14ac:dyDescent="0.25">
      <c r="A20" s="592" t="s">
        <v>842</v>
      </c>
      <c r="B20" s="105">
        <v>1</v>
      </c>
      <c r="C20" s="604">
        <f>IF($B$18=1,COUNTIF(Calculations!$EN$6:$EN$370,"&lt;&gt;0"),IF(OR($B$20=8,$B$18=1)," ",$B$169))</f>
        <v>0</v>
      </c>
      <c r="D20" s="602" t="str">
        <f>IF($C$20&lt;&gt; " ","harvests", IF($B$20&lt;&gt;8, "harvests", ""))</f>
        <v>harvests</v>
      </c>
    </row>
    <row r="21" spans="1:5" ht="13.5" thickBot="1" x14ac:dyDescent="0.25">
      <c r="A21" s="597" t="s">
        <v>841</v>
      </c>
      <c r="B21" s="105">
        <v>45</v>
      </c>
      <c r="C21" s="604" t="str">
        <f>IF(AND($B$20=8, $B$18=2),SUM(Calculations!AW6:AW370), " ")</f>
        <v xml:space="preserve"> </v>
      </c>
      <c r="D21" s="602" t="str">
        <f>IF(AND(B20=8,$B$18=2),"harvests", " ")</f>
        <v xml:space="preserve"> </v>
      </c>
      <c r="E21" s="63"/>
    </row>
    <row r="22" spans="1:5" ht="13.5" thickBot="1" x14ac:dyDescent="0.25">
      <c r="A22" s="597" t="s">
        <v>828</v>
      </c>
      <c r="B22" s="429">
        <v>2</v>
      </c>
      <c r="C22" s="604"/>
      <c r="D22" s="602"/>
      <c r="E22" s="63"/>
    </row>
    <row r="23" spans="1:5" ht="13.5" thickBot="1" x14ac:dyDescent="0.25">
      <c r="A23" s="591" t="s">
        <v>13</v>
      </c>
      <c r="B23" s="102"/>
      <c r="C23" s="604"/>
      <c r="D23" s="602"/>
    </row>
    <row r="24" spans="1:5" ht="13.5" thickBot="1" x14ac:dyDescent="0.25">
      <c r="A24" s="592" t="s">
        <v>514</v>
      </c>
      <c r="B24" s="105">
        <v>1</v>
      </c>
      <c r="C24" s="605" t="str">
        <f>IF($B$24=1, CONCATENATE("N effects included"), "no N effects - optimal")</f>
        <v>N effects included</v>
      </c>
      <c r="D24" s="602"/>
    </row>
    <row r="25" spans="1:5" ht="13.5" thickBot="1" x14ac:dyDescent="0.25">
      <c r="A25" s="592" t="s">
        <v>840</v>
      </c>
      <c r="B25" s="105">
        <v>1</v>
      </c>
      <c r="C25" s="604" t="str">
        <f>IF($B$24=0,SUM(Calculations!$JK$6:$JK$370),IF(AND($B$24=1,$B$25&lt;&gt;1),SUM($C$198:$C$207),IF(B25=1,CONCATENATE(SUM($C$198:$C$207),""))))</f>
        <v>0</v>
      </c>
      <c r="D25" s="602" t="str">
        <f>IF($B$24=0, "kg N ha taken up by crop","kg N ha applied")</f>
        <v>kg N ha applied</v>
      </c>
      <c r="E25" s="97"/>
    </row>
    <row r="26" spans="1:5" ht="13.5" thickBot="1" x14ac:dyDescent="0.25">
      <c r="A26" s="592" t="s">
        <v>611</v>
      </c>
      <c r="B26" s="105">
        <v>4</v>
      </c>
      <c r="C26" s="605" t="str">
        <f>IF($B$26=1,"Default LINGRA-N (based on transp. factor)",IF($B$26=2,"Moisture dependent",IF($B$26=3,"Temperature dependend","Moisture &amp; temp dependent")))</f>
        <v>Moisture &amp; temp dependent</v>
      </c>
      <c r="D26" s="602"/>
      <c r="E26" s="66"/>
    </row>
    <row r="27" spans="1:5" ht="15" thickBot="1" x14ac:dyDescent="0.25">
      <c r="A27" s="592" t="s">
        <v>685</v>
      </c>
      <c r="B27" s="105">
        <v>75</v>
      </c>
      <c r="C27" s="606" t="s">
        <v>652</v>
      </c>
      <c r="D27" s="602"/>
      <c r="E27" s="110"/>
    </row>
    <row r="28" spans="1:5" ht="13.5" thickBot="1" x14ac:dyDescent="0.25">
      <c r="A28" s="591" t="s">
        <v>790</v>
      </c>
      <c r="B28" s="102"/>
      <c r="C28" s="604"/>
      <c r="D28" s="602"/>
    </row>
    <row r="29" spans="1:5" ht="13.5" thickBot="1" x14ac:dyDescent="0.25">
      <c r="A29" s="592" t="s">
        <v>791</v>
      </c>
      <c r="B29" s="105">
        <v>400</v>
      </c>
      <c r="C29" s="606" t="s">
        <v>53</v>
      </c>
      <c r="D29" s="602"/>
    </row>
    <row r="30" spans="1:5" ht="13.5" thickBot="1" x14ac:dyDescent="0.25">
      <c r="A30" s="591" t="s">
        <v>515</v>
      </c>
      <c r="B30" s="102"/>
      <c r="C30" s="604"/>
      <c r="D30" s="602"/>
    </row>
    <row r="31" spans="1:5" ht="13.5" thickBot="1" x14ac:dyDescent="0.25">
      <c r="A31" s="592" t="s">
        <v>516</v>
      </c>
      <c r="B31" s="105">
        <v>1</v>
      </c>
      <c r="C31" s="605" t="str">
        <f>IF(B31=0, "No drought effects", "Drought effects included")</f>
        <v>Drought effects included</v>
      </c>
      <c r="D31" s="602"/>
      <c r="E31" s="71"/>
    </row>
    <row r="32" spans="1:5" ht="13.5" thickBot="1" x14ac:dyDescent="0.25">
      <c r="A32" s="592" t="s">
        <v>839</v>
      </c>
      <c r="B32" s="105">
        <v>1</v>
      </c>
      <c r="C32" s="604">
        <f>IF($B$31=0,$B$12,SUM($C218:$C228))</f>
        <v>0</v>
      </c>
      <c r="D32" s="602" t="str">
        <f>IF(B31=0,"mm - assumed annual irrigation","mm applied irrigation")</f>
        <v>mm applied irrigation</v>
      </c>
    </row>
    <row r="33" spans="1:9" ht="13.5" thickBot="1" x14ac:dyDescent="0.25">
      <c r="A33" s="591" t="s">
        <v>656</v>
      </c>
      <c r="B33" s="108"/>
      <c r="C33" s="604"/>
      <c r="D33" s="602"/>
    </row>
    <row r="34" spans="1:9" ht="15" thickBot="1" x14ac:dyDescent="0.25">
      <c r="A34" s="592" t="s">
        <v>824</v>
      </c>
      <c r="B34" s="105">
        <v>1</v>
      </c>
      <c r="C34" s="604" t="s">
        <v>781</v>
      </c>
      <c r="D34" s="601" t="s">
        <v>782</v>
      </c>
      <c r="E34" s="63"/>
    </row>
    <row r="35" spans="1:9" ht="13.5" thickBot="1" x14ac:dyDescent="0.25">
      <c r="A35" s="592" t="s">
        <v>792</v>
      </c>
      <c r="B35" s="419">
        <v>0.16500000000000001</v>
      </c>
      <c r="C35" s="607" t="e">
        <f ca="1">AVERAGE(Calculations!FU6:FU370)</f>
        <v>#N/A</v>
      </c>
      <c r="D35" s="602"/>
    </row>
    <row r="36" spans="1:9" ht="13.5" thickBot="1" x14ac:dyDescent="0.25">
      <c r="A36" s="592" t="s">
        <v>657</v>
      </c>
      <c r="B36" s="419">
        <v>1</v>
      </c>
      <c r="C36" s="607" t="e">
        <f ca="1">AVERAGE(Calculations!FX6:FX370)</f>
        <v>#N/A</v>
      </c>
      <c r="D36" s="602"/>
    </row>
    <row r="37" spans="1:9" ht="13.5" thickBot="1" x14ac:dyDescent="0.25">
      <c r="A37" s="592" t="s">
        <v>658</v>
      </c>
      <c r="B37" s="419">
        <v>0</v>
      </c>
      <c r="C37" s="607" t="e">
        <f ca="1">AVERAGE(Calculations!FZ6:FZ370)</f>
        <v>#N/A</v>
      </c>
      <c r="D37" s="602"/>
      <c r="F37" s="460"/>
      <c r="G37" s="459"/>
    </row>
    <row r="38" spans="1:9" ht="13.5" thickBot="1" x14ac:dyDescent="0.25">
      <c r="A38" s="598" t="s">
        <v>813</v>
      </c>
      <c r="B38" s="419">
        <v>0</v>
      </c>
      <c r="C38" s="607" t="e">
        <f ca="1">AVERAGE(Calculations!GB6:GB370)</f>
        <v>#N/A</v>
      </c>
      <c r="D38" s="602"/>
    </row>
    <row r="39" spans="1:9" ht="13.5" thickBot="1" x14ac:dyDescent="0.25">
      <c r="A39" s="599"/>
      <c r="B39" s="243"/>
      <c r="C39" s="243"/>
      <c r="D39" s="244"/>
    </row>
    <row r="40" spans="1:9" ht="13.5" thickBot="1" x14ac:dyDescent="0.25">
      <c r="A40" s="231"/>
      <c r="B40" s="232"/>
      <c r="C40" s="232"/>
      <c r="D40" s="245"/>
    </row>
    <row r="41" spans="1:9" x14ac:dyDescent="0.2">
      <c r="A41" s="240" t="s">
        <v>654</v>
      </c>
      <c r="B41" s="241"/>
      <c r="C41" s="242"/>
      <c r="D41" s="611" t="s">
        <v>844</v>
      </c>
      <c r="H41" s="610"/>
      <c r="I41" s="610"/>
    </row>
    <row r="42" spans="1:9" ht="14.25" x14ac:dyDescent="0.2">
      <c r="A42" s="256" t="s">
        <v>659</v>
      </c>
      <c r="B42" s="233" t="e">
        <f ca="1">MAX(Calculations!$ER$6:$ER$370)</f>
        <v>#N/A</v>
      </c>
      <c r="C42" s="228" t="s">
        <v>652</v>
      </c>
      <c r="D42" s="401" t="e">
        <f ca="1">B42-Calculations!EN91</f>
        <v>#N/A</v>
      </c>
      <c r="E42" s="424"/>
      <c r="F42" s="458"/>
    </row>
    <row r="43" spans="1:9" x14ac:dyDescent="0.2">
      <c r="A43" s="256" t="s">
        <v>797</v>
      </c>
      <c r="B43" s="234" t="e">
        <f ca="1">MAX(Calculations!$ES$6:$ES$370)</f>
        <v>#N/A</v>
      </c>
      <c r="C43" s="228"/>
      <c r="D43" s="401" t="e">
        <f ca="1">B43-Calculations!EO89</f>
        <v>#N/A</v>
      </c>
    </row>
    <row r="44" spans="1:9" x14ac:dyDescent="0.2">
      <c r="A44" s="256" t="s">
        <v>812</v>
      </c>
      <c r="B44" s="234" t="e">
        <f ca="1">MAX(Calculations!$ET$6:$ET$370)</f>
        <v>#N/A</v>
      </c>
      <c r="C44" s="228"/>
      <c r="D44" s="401" t="e">
        <f ca="1">B44-Calculations!EP90</f>
        <v>#N/A</v>
      </c>
      <c r="E44" s="458"/>
    </row>
    <row r="45" spans="1:9" ht="14.25" x14ac:dyDescent="0.2">
      <c r="A45" s="418" t="s">
        <v>811</v>
      </c>
      <c r="B45" s="233" t="e">
        <f ca="1">MAX(Calculations!$EU$6:$EU$370)</f>
        <v>#N/A</v>
      </c>
      <c r="C45" s="228" t="s">
        <v>652</v>
      </c>
      <c r="D45" s="401" t="e">
        <f ca="1">B45-Calculations!EQ91</f>
        <v>#N/A</v>
      </c>
      <c r="E45" s="458"/>
      <c r="F45" s="458"/>
    </row>
    <row r="46" spans="1:9" ht="14.25" x14ac:dyDescent="0.2">
      <c r="A46" s="229" t="s">
        <v>660</v>
      </c>
      <c r="B46" s="234" t="e">
        <f ca="1">MAX(Calculations!$HK$6:$HK$370)</f>
        <v>#N/A</v>
      </c>
      <c r="C46" s="228" t="s">
        <v>652</v>
      </c>
      <c r="D46" s="226"/>
    </row>
    <row r="47" spans="1:9" x14ac:dyDescent="0.2">
      <c r="A47" s="237" t="s">
        <v>653</v>
      </c>
      <c r="B47" s="235" t="e">
        <f ca="1">AVERAGE(Calculations!$DK$6:$DK$370)</f>
        <v>#N/A</v>
      </c>
      <c r="C47" s="228"/>
      <c r="D47" s="226"/>
    </row>
    <row r="48" spans="1:9" x14ac:dyDescent="0.2">
      <c r="A48" s="227"/>
      <c r="B48" s="225"/>
      <c r="C48" s="225"/>
      <c r="D48" s="226"/>
    </row>
    <row r="49" spans="1:9" ht="14.25" x14ac:dyDescent="0.2">
      <c r="A49" s="237" t="s">
        <v>668</v>
      </c>
      <c r="B49" s="234" t="e">
        <f ca="1">SUM(Calculations!$JK6:$JK370)</f>
        <v>#N/A</v>
      </c>
      <c r="C49" s="228" t="s">
        <v>669</v>
      </c>
      <c r="D49" s="226"/>
    </row>
    <row r="50" spans="1:9" ht="14.25" x14ac:dyDescent="0.2">
      <c r="A50" s="229" t="s">
        <v>618</v>
      </c>
      <c r="B50" s="257" t="e">
        <f ca="1">SUM(Calculations!$JK$6:$JK$370)/$B$45</f>
        <v>#N/A</v>
      </c>
      <c r="C50" s="238" t="s">
        <v>661</v>
      </c>
      <c r="D50" s="226"/>
    </row>
    <row r="51" spans="1:9" x14ac:dyDescent="0.2">
      <c r="A51" s="229" t="s">
        <v>504</v>
      </c>
      <c r="B51" s="234" t="e">
        <f ca="1">MAX(Calculations!$OU6:$OU370)</f>
        <v>#N/A</v>
      </c>
      <c r="C51" s="238" t="s">
        <v>53</v>
      </c>
      <c r="D51" s="226"/>
    </row>
    <row r="52" spans="1:9" x14ac:dyDescent="0.2">
      <c r="A52" s="229" t="s">
        <v>505</v>
      </c>
      <c r="B52" s="236" t="e">
        <f ca="1">IF($B$24=1, $B$49/$C$25, "na")</f>
        <v>#N/A</v>
      </c>
      <c r="C52" s="238"/>
      <c r="D52" s="226"/>
    </row>
    <row r="53" spans="1:9" ht="14.25" x14ac:dyDescent="0.2">
      <c r="A53" s="229" t="s">
        <v>520</v>
      </c>
      <c r="B53" s="236" t="e">
        <f ca="1">$B$46/($B$51/1000*100*100)</f>
        <v>#N/A</v>
      </c>
      <c r="C53" s="238" t="s">
        <v>506</v>
      </c>
      <c r="D53" s="226"/>
    </row>
    <row r="54" spans="1:9" x14ac:dyDescent="0.2">
      <c r="A54" s="247" t="s">
        <v>686</v>
      </c>
      <c r="B54" s="259" t="e">
        <f ca="1">B42/B45</f>
        <v>#N/A</v>
      </c>
      <c r="C54" s="258"/>
      <c r="D54" s="226"/>
    </row>
    <row r="55" spans="1:9" ht="13.5" thickBot="1" x14ac:dyDescent="0.25">
      <c r="A55" s="246"/>
      <c r="B55" s="246"/>
      <c r="C55" s="230"/>
      <c r="D55" s="239"/>
    </row>
    <row r="56" spans="1:9" ht="13.5" thickBot="1" x14ac:dyDescent="0.25">
      <c r="A56" s="20"/>
    </row>
    <row r="57" spans="1:9" x14ac:dyDescent="0.2">
      <c r="A57" s="50" t="s">
        <v>108</v>
      </c>
      <c r="B57" s="53" t="s">
        <v>98</v>
      </c>
      <c r="C57" s="267" t="s">
        <v>97</v>
      </c>
      <c r="D57" s="248" t="s">
        <v>96</v>
      </c>
    </row>
    <row r="58" spans="1:9" x14ac:dyDescent="0.2">
      <c r="A58" s="51" t="s">
        <v>575</v>
      </c>
      <c r="B58" s="52" t="s">
        <v>400</v>
      </c>
      <c r="C58" s="262">
        <f>IF($B$31=0,1,IF($B$31=1,2))</f>
        <v>2</v>
      </c>
      <c r="D58" s="65"/>
      <c r="I58" s="1"/>
    </row>
    <row r="59" spans="1:9" x14ac:dyDescent="0.2">
      <c r="A59" s="52" t="s">
        <v>528</v>
      </c>
      <c r="B59" s="52" t="s">
        <v>204</v>
      </c>
      <c r="C59" s="263">
        <v>1</v>
      </c>
      <c r="D59" s="65"/>
      <c r="I59" s="1"/>
    </row>
    <row r="60" spans="1:9" x14ac:dyDescent="0.2">
      <c r="A60" s="52" t="s">
        <v>509</v>
      </c>
      <c r="B60" s="52" t="s">
        <v>206</v>
      </c>
      <c r="C60" s="263">
        <v>0</v>
      </c>
      <c r="D60" s="65"/>
      <c r="I60" s="1"/>
    </row>
    <row r="61" spans="1:9" x14ac:dyDescent="0.2">
      <c r="A61" s="52" t="s">
        <v>415</v>
      </c>
      <c r="B61" s="52" t="s">
        <v>236</v>
      </c>
      <c r="C61" s="263" t="str">
        <f>IF($C$60&lt;=0, "F", "T")</f>
        <v>F</v>
      </c>
      <c r="D61" s="65"/>
      <c r="I61" s="1"/>
    </row>
    <row r="62" spans="1:9" x14ac:dyDescent="0.2">
      <c r="A62" s="52" t="s">
        <v>313</v>
      </c>
      <c r="B62" s="52" t="s">
        <v>314</v>
      </c>
      <c r="C62" s="263" t="str">
        <f>IF($C$60&lt;=0, "F", "T")</f>
        <v>F</v>
      </c>
      <c r="D62" s="65"/>
      <c r="I62" s="1"/>
    </row>
    <row r="63" spans="1:9" x14ac:dyDescent="0.2">
      <c r="A63" s="52" t="s">
        <v>821</v>
      </c>
      <c r="B63" s="52" t="s">
        <v>237</v>
      </c>
      <c r="C63" s="263">
        <f>IF($C$61="T", IF($C$65="F", IF(Calculations!$AH$6-$C$60&lt;0,0,1), IF(365+Calculations!$AH$6-$C$60&lt;0,0,1)),0)</f>
        <v>0</v>
      </c>
      <c r="D63" s="65" t="s">
        <v>238</v>
      </c>
      <c r="I63" s="1"/>
    </row>
    <row r="64" spans="1:9" x14ac:dyDescent="0.2">
      <c r="A64" s="52" t="s">
        <v>340</v>
      </c>
      <c r="B64" s="52" t="s">
        <v>339</v>
      </c>
      <c r="C64" s="263">
        <v>1</v>
      </c>
      <c r="D64" s="65"/>
      <c r="I64" s="1"/>
    </row>
    <row r="65" spans="1:9" x14ac:dyDescent="0.2">
      <c r="A65" s="52" t="s">
        <v>235</v>
      </c>
      <c r="B65" s="52" t="s">
        <v>234</v>
      </c>
      <c r="C65" s="263" t="s">
        <v>312</v>
      </c>
      <c r="D65" s="65"/>
      <c r="I65" s="1"/>
    </row>
    <row r="66" spans="1:9" x14ac:dyDescent="0.2">
      <c r="A66" s="52" t="s">
        <v>257</v>
      </c>
      <c r="B66" s="52" t="s">
        <v>258</v>
      </c>
      <c r="C66" s="263">
        <f ca="1">Weather_data!$E$2</f>
        <v>48</v>
      </c>
      <c r="D66" s="65" t="s">
        <v>814</v>
      </c>
      <c r="I66" s="1"/>
    </row>
    <row r="67" spans="1:9" ht="13.5" thickBot="1" x14ac:dyDescent="0.25">
      <c r="A67" s="52"/>
      <c r="B67" s="52"/>
      <c r="C67" s="263"/>
      <c r="D67" s="65"/>
      <c r="I67" s="1"/>
    </row>
    <row r="68" spans="1:9" x14ac:dyDescent="0.2">
      <c r="A68" s="45" t="s">
        <v>15</v>
      </c>
      <c r="B68" s="46"/>
      <c r="C68" s="264"/>
      <c r="D68" s="47"/>
    </row>
    <row r="69" spans="1:9" ht="14.25" x14ac:dyDescent="0.2">
      <c r="A69" s="44" t="s">
        <v>121</v>
      </c>
      <c r="B69" s="43" t="s">
        <v>122</v>
      </c>
      <c r="C69" s="266">
        <v>0.3</v>
      </c>
      <c r="D69" s="249" t="s">
        <v>673</v>
      </c>
    </row>
    <row r="70" spans="1:9" ht="14.25" x14ac:dyDescent="0.2">
      <c r="A70" s="44" t="s">
        <v>123</v>
      </c>
      <c r="B70" s="43" t="s">
        <v>124</v>
      </c>
      <c r="C70" s="266">
        <v>0.3</v>
      </c>
      <c r="D70" s="249" t="s">
        <v>673</v>
      </c>
    </row>
    <row r="71" spans="1:9" x14ac:dyDescent="0.2">
      <c r="A71" s="44" t="s">
        <v>128</v>
      </c>
      <c r="B71" s="43" t="s">
        <v>129</v>
      </c>
      <c r="C71" s="266">
        <v>2</v>
      </c>
      <c r="D71" s="249"/>
    </row>
    <row r="72" spans="1:9" ht="14.25" x14ac:dyDescent="0.2">
      <c r="A72" s="44" t="s">
        <v>620</v>
      </c>
      <c r="B72" s="43" t="s">
        <v>130</v>
      </c>
      <c r="C72" s="266">
        <v>100</v>
      </c>
      <c r="D72" s="249" t="s">
        <v>663</v>
      </c>
    </row>
    <row r="73" spans="1:9" x14ac:dyDescent="0.2">
      <c r="A73" s="44" t="s">
        <v>126</v>
      </c>
      <c r="B73" s="43" t="s">
        <v>127</v>
      </c>
      <c r="C73" s="265">
        <v>0</v>
      </c>
      <c r="D73" s="249" t="s">
        <v>99</v>
      </c>
    </row>
    <row r="74" spans="1:9" x14ac:dyDescent="0.2">
      <c r="A74" s="41" t="s">
        <v>27</v>
      </c>
      <c r="B74" s="43" t="s">
        <v>175</v>
      </c>
      <c r="C74" s="417">
        <f>B29</f>
        <v>400</v>
      </c>
      <c r="D74" s="249" t="s">
        <v>53</v>
      </c>
    </row>
    <row r="75" spans="1:9" ht="14.25" x14ac:dyDescent="0.2">
      <c r="A75" s="41" t="s">
        <v>14</v>
      </c>
      <c r="B75" s="42" t="s">
        <v>16</v>
      </c>
      <c r="C75" s="428">
        <v>0.1</v>
      </c>
      <c r="D75" s="249" t="s">
        <v>664</v>
      </c>
    </row>
    <row r="76" spans="1:9" ht="14.25" x14ac:dyDescent="0.2">
      <c r="A76" s="44" t="s">
        <v>94</v>
      </c>
      <c r="B76" s="42" t="s">
        <v>17</v>
      </c>
      <c r="C76" s="265">
        <v>7000</v>
      </c>
      <c r="D76" s="249" t="s">
        <v>665</v>
      </c>
    </row>
    <row r="77" spans="1:9" ht="14.25" x14ac:dyDescent="0.2">
      <c r="A77" s="41" t="s">
        <v>28</v>
      </c>
      <c r="B77" s="42" t="s">
        <v>18</v>
      </c>
      <c r="C77" s="265">
        <v>200</v>
      </c>
      <c r="D77" s="249" t="s">
        <v>666</v>
      </c>
    </row>
    <row r="78" spans="1:9" ht="14.25" x14ac:dyDescent="0.2">
      <c r="A78" s="41" t="s">
        <v>42</v>
      </c>
      <c r="B78" s="43" t="s">
        <v>397</v>
      </c>
      <c r="C78" s="265">
        <v>5</v>
      </c>
      <c r="D78" s="249" t="s">
        <v>667</v>
      </c>
    </row>
    <row r="79" spans="1:9" ht="13.5" thickBot="1" x14ac:dyDescent="0.25">
      <c r="A79" s="41"/>
      <c r="B79" s="43"/>
      <c r="C79" s="55"/>
      <c r="D79" s="422"/>
    </row>
    <row r="80" spans="1:9" x14ac:dyDescent="0.2">
      <c r="A80" s="48" t="s">
        <v>105</v>
      </c>
      <c r="B80" s="49"/>
      <c r="C80" s="56"/>
      <c r="D80" s="421"/>
    </row>
    <row r="81" spans="1:8" x14ac:dyDescent="0.2">
      <c r="A81" s="24" t="s">
        <v>737</v>
      </c>
      <c r="B81" s="5"/>
      <c r="C81" s="261">
        <v>0</v>
      </c>
      <c r="D81" s="421"/>
    </row>
    <row r="82" spans="1:8" x14ac:dyDescent="0.2">
      <c r="A82" s="24" t="s">
        <v>738</v>
      </c>
      <c r="B82" s="5"/>
      <c r="C82" s="261">
        <v>5</v>
      </c>
      <c r="D82" s="421"/>
    </row>
    <row r="83" spans="1:8" x14ac:dyDescent="0.2">
      <c r="A83" s="24" t="s">
        <v>739</v>
      </c>
      <c r="B83" s="5"/>
      <c r="C83" s="261">
        <v>21</v>
      </c>
      <c r="D83" s="421"/>
    </row>
    <row r="84" spans="1:8" x14ac:dyDescent="0.2">
      <c r="A84" s="24" t="s">
        <v>740</v>
      </c>
      <c r="B84" s="5"/>
      <c r="C84" s="261">
        <v>21</v>
      </c>
      <c r="D84" s="423"/>
    </row>
    <row r="85" spans="1:8" ht="12.75" customHeight="1" x14ac:dyDescent="0.2">
      <c r="A85" s="101" t="s">
        <v>783</v>
      </c>
      <c r="B85" s="415" t="s">
        <v>785</v>
      </c>
      <c r="C85" s="416" t="s">
        <v>784</v>
      </c>
      <c r="D85" s="420" t="s">
        <v>786</v>
      </c>
      <c r="E85" s="406" t="s">
        <v>787</v>
      </c>
      <c r="F85" s="406" t="s">
        <v>788</v>
      </c>
      <c r="G85" s="408" t="s">
        <v>789</v>
      </c>
      <c r="H85" s="397"/>
    </row>
    <row r="86" spans="1:8" x14ac:dyDescent="0.2">
      <c r="A86" s="24" t="s">
        <v>719</v>
      </c>
      <c r="B86" s="410">
        <v>0</v>
      </c>
      <c r="C86" s="261">
        <v>60</v>
      </c>
      <c r="D86" s="407">
        <v>1</v>
      </c>
      <c r="E86" s="407">
        <v>0</v>
      </c>
      <c r="F86" s="407">
        <v>0</v>
      </c>
      <c r="G86" s="409">
        <v>0.5</v>
      </c>
    </row>
    <row r="87" spans="1:8" x14ac:dyDescent="0.2">
      <c r="A87" s="24" t="s">
        <v>720</v>
      </c>
      <c r="B87" s="410">
        <v>9</v>
      </c>
      <c r="C87" s="261">
        <v>155</v>
      </c>
      <c r="D87" s="407">
        <v>0.9</v>
      </c>
      <c r="E87" s="407">
        <v>0.1</v>
      </c>
      <c r="F87" s="407">
        <v>0</v>
      </c>
      <c r="G87" s="409">
        <v>0.4</v>
      </c>
    </row>
    <row r="88" spans="1:8" x14ac:dyDescent="0.2">
      <c r="A88" s="24" t="s">
        <v>721</v>
      </c>
      <c r="B88" s="410">
        <v>21</v>
      </c>
      <c r="C88" s="261">
        <v>150</v>
      </c>
      <c r="D88" s="407">
        <v>0.9</v>
      </c>
      <c r="E88" s="407">
        <v>0.1</v>
      </c>
      <c r="F88" s="407">
        <v>0</v>
      </c>
      <c r="G88" s="409">
        <v>0.15</v>
      </c>
    </row>
    <row r="89" spans="1:8" x14ac:dyDescent="0.2">
      <c r="A89" s="24" t="s">
        <v>722</v>
      </c>
      <c r="B89" s="410">
        <v>30</v>
      </c>
      <c r="C89" s="261">
        <v>400</v>
      </c>
      <c r="D89" s="407">
        <v>0.5</v>
      </c>
      <c r="E89" s="407">
        <v>0.5</v>
      </c>
      <c r="F89" s="407">
        <v>0</v>
      </c>
      <c r="G89" s="409">
        <v>0.15</v>
      </c>
    </row>
    <row r="90" spans="1:8" x14ac:dyDescent="0.2">
      <c r="A90" s="24" t="s">
        <v>723</v>
      </c>
      <c r="B90" s="410">
        <v>60</v>
      </c>
      <c r="C90" s="261">
        <v>100</v>
      </c>
      <c r="D90" s="407">
        <v>0.2</v>
      </c>
      <c r="E90" s="407">
        <v>0.75</v>
      </c>
      <c r="F90" s="407">
        <v>0.05</v>
      </c>
      <c r="G90" s="409">
        <v>0.02</v>
      </c>
    </row>
    <row r="91" spans="1:8" x14ac:dyDescent="0.2">
      <c r="A91" s="24" t="s">
        <v>724</v>
      </c>
      <c r="B91" s="411">
        <v>65</v>
      </c>
      <c r="C91" s="412">
        <v>800</v>
      </c>
      <c r="D91" s="413">
        <v>0.05</v>
      </c>
      <c r="E91" s="413">
        <v>0.8</v>
      </c>
      <c r="F91" s="413">
        <v>0.15</v>
      </c>
      <c r="G91" s="414">
        <v>0</v>
      </c>
    </row>
    <row r="92" spans="1:8" x14ac:dyDescent="0.2">
      <c r="A92" s="24" t="s">
        <v>726</v>
      </c>
      <c r="B92" s="5"/>
      <c r="C92" s="261">
        <v>3</v>
      </c>
      <c r="D92" s="250" t="s">
        <v>333</v>
      </c>
    </row>
    <row r="93" spans="1:8" x14ac:dyDescent="0.2">
      <c r="A93" s="24" t="s">
        <v>725</v>
      </c>
      <c r="B93" s="5"/>
      <c r="C93" s="261">
        <v>20</v>
      </c>
      <c r="D93" s="250" t="s">
        <v>333</v>
      </c>
    </row>
    <row r="94" spans="1:8" x14ac:dyDescent="0.2">
      <c r="A94" s="24" t="s">
        <v>727</v>
      </c>
      <c r="B94" s="5"/>
      <c r="C94" s="261">
        <v>25</v>
      </c>
      <c r="D94" s="250" t="s">
        <v>333</v>
      </c>
    </row>
    <row r="95" spans="1:8" x14ac:dyDescent="0.2">
      <c r="A95" s="24" t="s">
        <v>728</v>
      </c>
      <c r="B95" s="5"/>
      <c r="C95" s="261">
        <v>40</v>
      </c>
      <c r="D95" s="250" t="s">
        <v>333</v>
      </c>
    </row>
    <row r="96" spans="1:8" x14ac:dyDescent="0.2">
      <c r="A96" s="24" t="s">
        <v>95</v>
      </c>
      <c r="B96" s="5" t="s">
        <v>19</v>
      </c>
      <c r="C96" s="261">
        <v>0.6</v>
      </c>
      <c r="D96" s="250" t="s">
        <v>99</v>
      </c>
    </row>
    <row r="97" spans="1:4" ht="14.25" x14ac:dyDescent="0.2">
      <c r="A97" s="24" t="s">
        <v>102</v>
      </c>
      <c r="B97" s="5" t="s">
        <v>20</v>
      </c>
      <c r="C97" s="261">
        <v>4</v>
      </c>
      <c r="D97" s="250" t="s">
        <v>664</v>
      </c>
    </row>
    <row r="98" spans="1:4" ht="14.25" x14ac:dyDescent="0.2">
      <c r="A98" s="24" t="s">
        <v>157</v>
      </c>
      <c r="B98" s="13" t="s">
        <v>158</v>
      </c>
      <c r="C98" s="261">
        <v>1000</v>
      </c>
      <c r="D98" s="250" t="s">
        <v>652</v>
      </c>
    </row>
    <row r="99" spans="1:4" x14ac:dyDescent="0.2">
      <c r="A99" s="24" t="s">
        <v>147</v>
      </c>
      <c r="B99" s="13" t="s">
        <v>148</v>
      </c>
      <c r="C99" s="261">
        <v>0</v>
      </c>
      <c r="D99" s="250" t="s">
        <v>333</v>
      </c>
    </row>
    <row r="100" spans="1:4" x14ac:dyDescent="0.2">
      <c r="A100" s="24" t="s">
        <v>149</v>
      </c>
      <c r="B100" s="13" t="s">
        <v>150</v>
      </c>
      <c r="C100" s="261">
        <v>30</v>
      </c>
      <c r="D100" s="250" t="s">
        <v>333</v>
      </c>
    </row>
    <row r="101" spans="1:4" x14ac:dyDescent="0.2">
      <c r="A101" s="24" t="s">
        <v>832</v>
      </c>
      <c r="B101" s="13"/>
      <c r="C101" s="261">
        <v>50</v>
      </c>
      <c r="D101" s="250"/>
    </row>
    <row r="102" spans="1:4" x14ac:dyDescent="0.2">
      <c r="A102" s="24" t="s">
        <v>155</v>
      </c>
      <c r="B102" s="13" t="s">
        <v>156</v>
      </c>
      <c r="C102" s="261">
        <v>600</v>
      </c>
      <c r="D102" s="250" t="s">
        <v>670</v>
      </c>
    </row>
    <row r="103" spans="1:4" x14ac:dyDescent="0.2">
      <c r="A103" s="24" t="s">
        <v>151</v>
      </c>
      <c r="B103" s="13" t="s">
        <v>152</v>
      </c>
      <c r="C103" s="261">
        <v>60</v>
      </c>
      <c r="D103" s="250" t="s">
        <v>670</v>
      </c>
    </row>
    <row r="104" spans="1:4" x14ac:dyDescent="0.2">
      <c r="A104" s="24" t="s">
        <v>154</v>
      </c>
      <c r="B104" s="13" t="s">
        <v>153</v>
      </c>
      <c r="C104" s="261">
        <v>1</v>
      </c>
      <c r="D104" s="250"/>
    </row>
    <row r="105" spans="1:4" ht="14.25" x14ac:dyDescent="0.2">
      <c r="A105" s="24" t="s">
        <v>830</v>
      </c>
      <c r="B105" s="13" t="s">
        <v>160</v>
      </c>
      <c r="C105" s="345">
        <v>3</v>
      </c>
      <c r="D105" s="250" t="s">
        <v>671</v>
      </c>
    </row>
    <row r="106" spans="1:4" ht="14.25" x14ac:dyDescent="0.2">
      <c r="A106" s="24" t="s">
        <v>831</v>
      </c>
      <c r="B106" s="13"/>
      <c r="C106" s="345">
        <v>1.5</v>
      </c>
      <c r="D106" s="250" t="s">
        <v>671</v>
      </c>
    </row>
    <row r="107" spans="1:4" x14ac:dyDescent="0.2">
      <c r="A107" s="24" t="s">
        <v>170</v>
      </c>
      <c r="B107" s="5" t="s">
        <v>23</v>
      </c>
      <c r="C107" s="261">
        <v>4</v>
      </c>
      <c r="D107" s="250" t="s">
        <v>333</v>
      </c>
    </row>
    <row r="108" spans="1:4" x14ac:dyDescent="0.2">
      <c r="A108" s="24" t="s">
        <v>837</v>
      </c>
      <c r="B108" s="13" t="s">
        <v>77</v>
      </c>
      <c r="C108" s="261">
        <v>1</v>
      </c>
      <c r="D108" s="250" t="s">
        <v>99</v>
      </c>
    </row>
    <row r="109" spans="1:4" ht="14.25" x14ac:dyDescent="0.2">
      <c r="A109" s="24" t="s">
        <v>834</v>
      </c>
      <c r="B109" s="13" t="s">
        <v>159</v>
      </c>
      <c r="C109" s="261">
        <v>1.25E-3</v>
      </c>
      <c r="D109" s="250" t="s">
        <v>672</v>
      </c>
    </row>
    <row r="110" spans="1:4" x14ac:dyDescent="0.2">
      <c r="A110" s="24" t="s">
        <v>454</v>
      </c>
      <c r="B110" s="13" t="s">
        <v>455</v>
      </c>
      <c r="C110" s="261">
        <v>3.5</v>
      </c>
      <c r="D110" s="250"/>
    </row>
    <row r="111" spans="1:4" ht="14.25" x14ac:dyDescent="0.2">
      <c r="A111" s="23" t="s">
        <v>21</v>
      </c>
      <c r="B111" s="13" t="s">
        <v>241</v>
      </c>
      <c r="C111" s="261">
        <v>2.5000000000000001E-3</v>
      </c>
      <c r="D111" s="250" t="s">
        <v>672</v>
      </c>
    </row>
    <row r="112" spans="1:4" x14ac:dyDescent="0.2">
      <c r="A112" s="24" t="s">
        <v>168</v>
      </c>
      <c r="B112" s="13" t="s">
        <v>169</v>
      </c>
      <c r="C112" s="261">
        <v>0.03</v>
      </c>
      <c r="D112" s="250"/>
    </row>
    <row r="113" spans="1:4" x14ac:dyDescent="0.2">
      <c r="A113" s="24" t="s">
        <v>166</v>
      </c>
      <c r="B113" s="13" t="s">
        <v>167</v>
      </c>
      <c r="C113" s="261">
        <v>0.05</v>
      </c>
      <c r="D113" s="250"/>
    </row>
    <row r="114" spans="1:4" x14ac:dyDescent="0.2">
      <c r="A114" s="24" t="s">
        <v>513</v>
      </c>
      <c r="B114" s="13" t="s">
        <v>200</v>
      </c>
      <c r="C114" s="261">
        <v>1</v>
      </c>
      <c r="D114" s="250"/>
    </row>
    <row r="115" spans="1:4" ht="13.5" thickBot="1" x14ac:dyDescent="0.25">
      <c r="A115" s="24"/>
      <c r="B115" s="5"/>
      <c r="C115" s="57"/>
      <c r="D115" s="250"/>
    </row>
    <row r="116" spans="1:4" x14ac:dyDescent="0.2">
      <c r="A116" s="32" t="s">
        <v>104</v>
      </c>
      <c r="B116" s="33"/>
      <c r="C116" s="268"/>
      <c r="D116" s="34"/>
    </row>
    <row r="117" spans="1:4" ht="14.25" x14ac:dyDescent="0.2">
      <c r="A117" s="29" t="s">
        <v>103</v>
      </c>
      <c r="B117" s="30" t="s">
        <v>24</v>
      </c>
      <c r="C117" s="188">
        <v>50</v>
      </c>
      <c r="D117" s="251" t="s">
        <v>663</v>
      </c>
    </row>
    <row r="118" spans="1:4" x14ac:dyDescent="0.2">
      <c r="A118" s="29" t="s">
        <v>348</v>
      </c>
      <c r="B118" s="31" t="s">
        <v>125</v>
      </c>
      <c r="C118" s="188">
        <v>1500</v>
      </c>
      <c r="D118" s="251" t="s">
        <v>53</v>
      </c>
    </row>
    <row r="119" spans="1:4" x14ac:dyDescent="0.2">
      <c r="A119" s="29" t="s">
        <v>396</v>
      </c>
      <c r="B119" s="31" t="s">
        <v>362</v>
      </c>
      <c r="C119" s="346">
        <f>B29</f>
        <v>400</v>
      </c>
      <c r="D119" s="251" t="s">
        <v>53</v>
      </c>
    </row>
    <row r="120" spans="1:4" ht="14.25" x14ac:dyDescent="0.2">
      <c r="A120" s="29" t="s">
        <v>176</v>
      </c>
      <c r="B120" s="31" t="s">
        <v>361</v>
      </c>
      <c r="C120" s="188">
        <v>12</v>
      </c>
      <c r="D120" s="251" t="s">
        <v>663</v>
      </c>
    </row>
    <row r="121" spans="1:4" ht="14.25" x14ac:dyDescent="0.2">
      <c r="A121" s="29" t="s">
        <v>139</v>
      </c>
      <c r="B121" s="31" t="s">
        <v>140</v>
      </c>
      <c r="C121" s="188">
        <v>0.7</v>
      </c>
      <c r="D121" s="251" t="s">
        <v>674</v>
      </c>
    </row>
    <row r="122" spans="1:4" ht="14.25" x14ac:dyDescent="0.2">
      <c r="A122" s="29" t="s">
        <v>583</v>
      </c>
      <c r="B122" s="31" t="s">
        <v>578</v>
      </c>
      <c r="C122" s="188">
        <v>150</v>
      </c>
      <c r="D122" s="251" t="s">
        <v>669</v>
      </c>
    </row>
    <row r="123" spans="1:4" ht="14.25" x14ac:dyDescent="0.2">
      <c r="A123" s="29" t="s">
        <v>582</v>
      </c>
      <c r="B123" s="31" t="s">
        <v>579</v>
      </c>
      <c r="C123" s="188">
        <v>50</v>
      </c>
      <c r="D123" s="251" t="s">
        <v>669</v>
      </c>
    </row>
    <row r="124" spans="1:4" ht="14.25" x14ac:dyDescent="0.2">
      <c r="A124" s="29" t="s">
        <v>798</v>
      </c>
      <c r="B124" s="31" t="s">
        <v>615</v>
      </c>
      <c r="C124" s="346">
        <f>B27</f>
        <v>75</v>
      </c>
      <c r="D124" s="251" t="s">
        <v>669</v>
      </c>
    </row>
    <row r="125" spans="1:4" ht="14.25" x14ac:dyDescent="0.2">
      <c r="A125" s="29" t="s">
        <v>521</v>
      </c>
      <c r="B125" s="31" t="s">
        <v>141</v>
      </c>
      <c r="C125" s="188">
        <v>2.5000000000000001E-2</v>
      </c>
      <c r="D125" s="251" t="s">
        <v>675</v>
      </c>
    </row>
    <row r="126" spans="1:4" ht="14.25" x14ac:dyDescent="0.2">
      <c r="A126" s="29" t="s">
        <v>804</v>
      </c>
      <c r="B126" s="30" t="s">
        <v>25</v>
      </c>
      <c r="C126" s="188">
        <v>0.1</v>
      </c>
      <c r="D126" s="251" t="s">
        <v>673</v>
      </c>
    </row>
    <row r="127" spans="1:4" ht="14.25" x14ac:dyDescent="0.2">
      <c r="A127" s="29" t="s">
        <v>507</v>
      </c>
      <c r="B127" s="31" t="s">
        <v>345</v>
      </c>
      <c r="C127" s="188">
        <v>0.15</v>
      </c>
      <c r="D127" s="251" t="s">
        <v>673</v>
      </c>
    </row>
    <row r="128" spans="1:4" ht="14.25" x14ac:dyDescent="0.2">
      <c r="A128" s="29" t="s">
        <v>508</v>
      </c>
      <c r="B128" s="31" t="s">
        <v>346</v>
      </c>
      <c r="C128" s="188">
        <v>0.35</v>
      </c>
      <c r="D128" s="251" t="s">
        <v>673</v>
      </c>
    </row>
    <row r="129" spans="1:4" ht="14.25" x14ac:dyDescent="0.2">
      <c r="A129" s="29" t="s">
        <v>503</v>
      </c>
      <c r="B129" s="31" t="s">
        <v>380</v>
      </c>
      <c r="C129" s="188">
        <v>0.01</v>
      </c>
      <c r="D129" s="251" t="s">
        <v>673</v>
      </c>
    </row>
    <row r="130" spans="1:4" ht="14.25" x14ac:dyDescent="0.2">
      <c r="A130" s="29" t="s">
        <v>805</v>
      </c>
      <c r="B130" s="30" t="s">
        <v>26</v>
      </c>
      <c r="C130" s="188">
        <v>0.37</v>
      </c>
      <c r="D130" s="251" t="s">
        <v>673</v>
      </c>
    </row>
    <row r="131" spans="1:4" ht="14.25" x14ac:dyDescent="0.2">
      <c r="A131" s="29" t="s">
        <v>119</v>
      </c>
      <c r="B131" s="31" t="s">
        <v>120</v>
      </c>
      <c r="C131" s="188">
        <v>7.0000000000000007E-2</v>
      </c>
      <c r="D131" s="251" t="s">
        <v>673</v>
      </c>
    </row>
    <row r="132" spans="1:4" x14ac:dyDescent="0.2">
      <c r="A132" s="29" t="s">
        <v>171</v>
      </c>
      <c r="B132" s="31" t="s">
        <v>172</v>
      </c>
      <c r="C132" s="188">
        <v>1</v>
      </c>
      <c r="D132" s="251"/>
    </row>
    <row r="133" spans="1:4" x14ac:dyDescent="0.2">
      <c r="A133" s="29" t="s">
        <v>173</v>
      </c>
      <c r="B133" s="31" t="s">
        <v>174</v>
      </c>
      <c r="C133" s="188">
        <v>0</v>
      </c>
      <c r="D133" s="251"/>
    </row>
    <row r="134" spans="1:4" x14ac:dyDescent="0.2">
      <c r="A134" s="29" t="s">
        <v>202</v>
      </c>
      <c r="B134" s="31" t="s">
        <v>203</v>
      </c>
      <c r="C134" s="188">
        <v>1</v>
      </c>
      <c r="D134" s="251" t="str">
        <f>IF(C134=1, "Medium fine", IF(C127=0.2, "Medium", " "))</f>
        <v>Medium fine</v>
      </c>
    </row>
    <row r="135" spans="1:4" ht="14.25" x14ac:dyDescent="0.2">
      <c r="A135" s="29" t="s">
        <v>370</v>
      </c>
      <c r="B135" s="30" t="s">
        <v>369</v>
      </c>
      <c r="C135" s="188">
        <v>0.45</v>
      </c>
      <c r="D135" s="251" t="s">
        <v>423</v>
      </c>
    </row>
    <row r="136" spans="1:4" ht="13.5" thickBot="1" x14ac:dyDescent="0.25">
      <c r="A136" s="29"/>
      <c r="B136" s="30"/>
      <c r="C136" s="269"/>
      <c r="D136" s="251"/>
    </row>
    <row r="137" spans="1:4" x14ac:dyDescent="0.2">
      <c r="A137" s="35" t="s">
        <v>106</v>
      </c>
      <c r="B137" s="36"/>
      <c r="C137" s="58"/>
      <c r="D137" s="252"/>
    </row>
    <row r="138" spans="1:4" x14ac:dyDescent="0.2">
      <c r="A138" s="37" t="s">
        <v>29</v>
      </c>
      <c r="B138" s="38" t="s">
        <v>29</v>
      </c>
      <c r="C138" s="270">
        <v>3.1415999999999999</v>
      </c>
      <c r="D138" s="253"/>
    </row>
    <row r="139" spans="1:4" x14ac:dyDescent="0.2">
      <c r="A139" s="40" t="s">
        <v>30</v>
      </c>
      <c r="B139" s="38" t="s">
        <v>30</v>
      </c>
      <c r="C139" s="271">
        <f>$C$138/180</f>
        <v>1.7453333333333335E-2</v>
      </c>
      <c r="D139" s="253"/>
    </row>
    <row r="140" spans="1:4" ht="14.25" x14ac:dyDescent="0.2">
      <c r="A140" s="37" t="s">
        <v>101</v>
      </c>
      <c r="B140" s="39" t="s">
        <v>259</v>
      </c>
      <c r="C140" s="272">
        <f>0.0049/1000000</f>
        <v>4.9E-9</v>
      </c>
      <c r="D140" s="253" t="s">
        <v>676</v>
      </c>
    </row>
    <row r="141" spans="1:4" ht="14.25" x14ac:dyDescent="0.2">
      <c r="A141" s="37" t="s">
        <v>100</v>
      </c>
      <c r="B141" s="39" t="s">
        <v>52</v>
      </c>
      <c r="C141" s="273">
        <v>2.4500000000000002</v>
      </c>
      <c r="D141" s="253" t="s">
        <v>677</v>
      </c>
    </row>
    <row r="142" spans="1:4" x14ac:dyDescent="0.2">
      <c r="A142" s="40" t="s">
        <v>464</v>
      </c>
      <c r="B142" s="39" t="s">
        <v>261</v>
      </c>
      <c r="C142" s="270">
        <v>0.05</v>
      </c>
      <c r="D142" s="253"/>
    </row>
    <row r="143" spans="1:4" x14ac:dyDescent="0.2">
      <c r="A143" s="40" t="s">
        <v>463</v>
      </c>
      <c r="B143" s="39" t="s">
        <v>262</v>
      </c>
      <c r="C143" s="270">
        <v>0.15</v>
      </c>
      <c r="D143" s="253"/>
    </row>
    <row r="144" spans="1:4" x14ac:dyDescent="0.2">
      <c r="A144" s="40" t="s">
        <v>462</v>
      </c>
      <c r="B144" s="39" t="s">
        <v>263</v>
      </c>
      <c r="C144" s="270">
        <v>0.25</v>
      </c>
      <c r="D144" s="253"/>
    </row>
    <row r="145" spans="1:3044" ht="14.25" x14ac:dyDescent="0.2">
      <c r="A145" s="40" t="s">
        <v>260</v>
      </c>
      <c r="B145" s="39" t="s">
        <v>266</v>
      </c>
      <c r="C145" s="270">
        <v>6.6200000000000005E-4</v>
      </c>
      <c r="D145" s="253" t="s">
        <v>678</v>
      </c>
    </row>
    <row r="146" spans="1:3044" ht="13.5" thickBot="1" x14ac:dyDescent="0.25">
      <c r="A146" s="40"/>
      <c r="B146" s="39"/>
      <c r="C146" s="59"/>
      <c r="D146" s="253"/>
    </row>
    <row r="147" spans="1:3044" x14ac:dyDescent="0.2">
      <c r="A147" s="90" t="s">
        <v>178</v>
      </c>
      <c r="B147" s="92"/>
      <c r="C147" s="93"/>
      <c r="D147" s="254"/>
    </row>
    <row r="148" spans="1:3044" x14ac:dyDescent="0.2">
      <c r="A148" s="27" t="s">
        <v>179</v>
      </c>
      <c r="B148" s="28" t="s">
        <v>180</v>
      </c>
      <c r="C148" s="274">
        <v>0.05</v>
      </c>
      <c r="D148" s="255"/>
    </row>
    <row r="149" spans="1:3044" x14ac:dyDescent="0.2">
      <c r="A149" s="27" t="s">
        <v>829</v>
      </c>
      <c r="B149" s="28" t="s">
        <v>181</v>
      </c>
      <c r="C149" s="274">
        <v>100</v>
      </c>
      <c r="D149" s="255"/>
    </row>
    <row r="150" spans="1:3044" x14ac:dyDescent="0.2">
      <c r="A150" s="27" t="s">
        <v>833</v>
      </c>
      <c r="B150" s="28" t="s">
        <v>182</v>
      </c>
      <c r="C150" s="274">
        <v>100</v>
      </c>
      <c r="D150" s="255"/>
    </row>
    <row r="151" spans="1:3044" x14ac:dyDescent="0.2">
      <c r="A151" s="27" t="s">
        <v>183</v>
      </c>
      <c r="B151" s="28" t="s">
        <v>184</v>
      </c>
      <c r="C151" s="274">
        <v>0.15</v>
      </c>
      <c r="D151" s="255"/>
    </row>
    <row r="152" spans="1:3044" ht="14.25" x14ac:dyDescent="0.2">
      <c r="A152" s="27" t="s">
        <v>648</v>
      </c>
      <c r="B152" s="28"/>
      <c r="C152" s="274">
        <v>3.5000000000000003E-2</v>
      </c>
      <c r="D152" s="255" t="s">
        <v>679</v>
      </c>
    </row>
    <row r="153" spans="1:3044" x14ac:dyDescent="0.2">
      <c r="A153" s="27" t="s">
        <v>644</v>
      </c>
      <c r="B153" s="28" t="s">
        <v>185</v>
      </c>
      <c r="C153" s="274">
        <v>1</v>
      </c>
      <c r="D153" s="255"/>
    </row>
    <row r="154" spans="1:3044" x14ac:dyDescent="0.2">
      <c r="A154" s="27" t="s">
        <v>645</v>
      </c>
      <c r="B154" s="28" t="s">
        <v>187</v>
      </c>
      <c r="C154" s="274">
        <v>0.5</v>
      </c>
      <c r="D154" s="255"/>
    </row>
    <row r="155" spans="1:3044" x14ac:dyDescent="0.2">
      <c r="A155" s="27" t="s">
        <v>646</v>
      </c>
      <c r="B155" s="28" t="s">
        <v>186</v>
      </c>
      <c r="C155" s="274">
        <v>0.5</v>
      </c>
      <c r="D155" s="255"/>
    </row>
    <row r="156" spans="1:3044" x14ac:dyDescent="0.2">
      <c r="A156" s="27" t="s">
        <v>341</v>
      </c>
      <c r="B156" s="28" t="s">
        <v>188</v>
      </c>
      <c r="C156" s="274">
        <v>1.1000000000000001</v>
      </c>
      <c r="D156" s="255"/>
    </row>
    <row r="157" spans="1:3044" ht="14.25" x14ac:dyDescent="0.2">
      <c r="A157" s="27" t="s">
        <v>647</v>
      </c>
      <c r="B157" s="28" t="s">
        <v>189</v>
      </c>
      <c r="C157" s="274">
        <v>0</v>
      </c>
      <c r="D157" s="255" t="s">
        <v>679</v>
      </c>
    </row>
    <row r="158" spans="1:3044" s="11" customFormat="1" x14ac:dyDescent="0.2">
      <c r="A158" s="27" t="s">
        <v>190</v>
      </c>
      <c r="B158" s="28" t="s">
        <v>191</v>
      </c>
      <c r="C158" s="274">
        <v>0.5</v>
      </c>
      <c r="D158" s="255"/>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c r="AMJ158"/>
      <c r="AMK158"/>
      <c r="AML158"/>
      <c r="AMM158"/>
      <c r="AMN158"/>
      <c r="AMO158"/>
      <c r="AMP158"/>
      <c r="AMQ158"/>
      <c r="AMR158"/>
      <c r="AMS158"/>
      <c r="AMT158"/>
      <c r="AMU158"/>
      <c r="AMV158"/>
      <c r="AMW158"/>
      <c r="AMX158"/>
      <c r="AMY158"/>
      <c r="AMZ158"/>
      <c r="ANA158"/>
      <c r="ANB158"/>
      <c r="ANC158"/>
      <c r="AND158"/>
      <c r="ANE158"/>
      <c r="ANF158"/>
      <c r="ANG158"/>
      <c r="ANH158"/>
      <c r="ANI158"/>
      <c r="ANJ158"/>
      <c r="ANK158"/>
      <c r="ANL158"/>
      <c r="ANM158"/>
      <c r="ANN158"/>
      <c r="ANO158"/>
      <c r="ANP158"/>
      <c r="ANQ158"/>
      <c r="ANR158"/>
      <c r="ANS158"/>
      <c r="ANT158"/>
      <c r="ANU158"/>
      <c r="ANV158"/>
      <c r="ANW158"/>
      <c r="ANX158"/>
      <c r="ANY158"/>
      <c r="ANZ158"/>
      <c r="AOA158"/>
      <c r="AOB158"/>
      <c r="AOC158"/>
      <c r="AOD158"/>
      <c r="AOE158"/>
      <c r="AOF158"/>
      <c r="AOG158"/>
      <c r="AOH158"/>
      <c r="AOI158"/>
      <c r="AOJ158"/>
      <c r="AOK158"/>
      <c r="AOL158"/>
      <c r="AOM158"/>
      <c r="AON158"/>
      <c r="AOO158"/>
      <c r="AOP158"/>
      <c r="AOQ158"/>
      <c r="AOR158"/>
      <c r="AOS158"/>
      <c r="AOT158"/>
      <c r="AOU158"/>
      <c r="AOV158"/>
      <c r="AOW158"/>
      <c r="AOX158"/>
      <c r="AOY158"/>
      <c r="AOZ158"/>
      <c r="APA158"/>
      <c r="APB158"/>
      <c r="APC158"/>
      <c r="APD158"/>
      <c r="APE158"/>
      <c r="APF158"/>
      <c r="APG158"/>
      <c r="APH158"/>
      <c r="API158"/>
      <c r="APJ158"/>
      <c r="APK158"/>
      <c r="APL158"/>
      <c r="APM158"/>
      <c r="APN158"/>
      <c r="APO158"/>
      <c r="APP158"/>
      <c r="APQ158"/>
      <c r="APR158"/>
      <c r="APS158"/>
      <c r="APT158"/>
      <c r="APU158"/>
      <c r="APV158"/>
      <c r="APW158"/>
      <c r="APX158"/>
      <c r="APY158"/>
      <c r="APZ158"/>
      <c r="AQA158"/>
      <c r="AQB158"/>
      <c r="AQC158"/>
      <c r="AQD158"/>
      <c r="AQE158"/>
      <c r="AQF158"/>
      <c r="AQG158"/>
      <c r="AQH158"/>
      <c r="AQI158"/>
      <c r="AQJ158"/>
      <c r="AQK158"/>
      <c r="AQL158"/>
      <c r="AQM158"/>
      <c r="AQN158"/>
      <c r="AQO158"/>
      <c r="AQP158"/>
      <c r="AQQ158"/>
      <c r="AQR158"/>
      <c r="AQS158"/>
      <c r="AQT158"/>
      <c r="AQU158"/>
      <c r="AQV158"/>
      <c r="AQW158"/>
      <c r="AQX158"/>
      <c r="AQY158"/>
      <c r="AQZ158"/>
      <c r="ARA158"/>
      <c r="ARB158"/>
      <c r="ARC158"/>
      <c r="ARD158"/>
      <c r="ARE158"/>
      <c r="ARF158"/>
      <c r="ARG158"/>
      <c r="ARH158"/>
      <c r="ARI158"/>
      <c r="ARJ158"/>
      <c r="ARK158"/>
      <c r="ARL158"/>
      <c r="ARM158"/>
      <c r="ARN158"/>
      <c r="ARO158"/>
      <c r="ARP158"/>
      <c r="ARQ158"/>
      <c r="ARR158"/>
      <c r="ARS158"/>
      <c r="ART158"/>
      <c r="ARU158"/>
      <c r="ARV158"/>
      <c r="ARW158"/>
      <c r="ARX158"/>
      <c r="ARY158"/>
      <c r="ARZ158"/>
      <c r="ASA158"/>
      <c r="ASB158"/>
      <c r="ASC158"/>
      <c r="ASD158"/>
      <c r="ASE158"/>
      <c r="ASF158"/>
      <c r="ASG158"/>
      <c r="ASH158"/>
      <c r="ASI158"/>
      <c r="ASJ158"/>
      <c r="ASK158"/>
      <c r="ASL158"/>
      <c r="ASM158"/>
      <c r="ASN158"/>
      <c r="ASO158"/>
      <c r="ASP158"/>
      <c r="ASQ158"/>
      <c r="ASR158"/>
      <c r="ASS158"/>
      <c r="AST158"/>
      <c r="ASU158"/>
      <c r="ASV158"/>
      <c r="ASW158"/>
      <c r="ASX158"/>
      <c r="ASY158"/>
      <c r="ASZ158"/>
      <c r="ATA158"/>
      <c r="ATB158"/>
      <c r="ATC158"/>
      <c r="ATD158"/>
      <c r="ATE158"/>
      <c r="ATF158"/>
      <c r="ATG158"/>
      <c r="ATH158"/>
      <c r="ATI158"/>
      <c r="ATJ158"/>
      <c r="ATK158"/>
      <c r="ATL158"/>
      <c r="ATM158"/>
      <c r="ATN158"/>
      <c r="ATO158"/>
      <c r="ATP158"/>
      <c r="ATQ158"/>
      <c r="ATR158"/>
      <c r="ATS158"/>
      <c r="ATT158"/>
      <c r="ATU158"/>
      <c r="ATV158"/>
      <c r="ATW158"/>
      <c r="ATX158"/>
      <c r="ATY158"/>
      <c r="ATZ158"/>
      <c r="AUA158"/>
      <c r="AUB158"/>
      <c r="AUC158"/>
      <c r="AUD158"/>
      <c r="AUE158"/>
      <c r="AUF158"/>
      <c r="AUG158"/>
      <c r="AUH158"/>
      <c r="AUI158"/>
      <c r="AUJ158"/>
      <c r="AUK158"/>
      <c r="AUL158"/>
      <c r="AUM158"/>
      <c r="AUN158"/>
      <c r="AUO158"/>
      <c r="AUP158"/>
      <c r="AUQ158"/>
      <c r="AUR158"/>
      <c r="AUS158"/>
      <c r="AUT158"/>
      <c r="AUU158"/>
      <c r="AUV158"/>
      <c r="AUW158"/>
      <c r="AUX158"/>
      <c r="AUY158"/>
      <c r="AUZ158"/>
      <c r="AVA158"/>
      <c r="AVB158"/>
      <c r="AVC158"/>
      <c r="AVD158"/>
      <c r="AVE158"/>
      <c r="AVF158"/>
      <c r="AVG158"/>
      <c r="AVH158"/>
      <c r="AVI158"/>
      <c r="AVJ158"/>
      <c r="AVK158"/>
      <c r="AVL158"/>
      <c r="AVM158"/>
      <c r="AVN158"/>
      <c r="AVO158"/>
      <c r="AVP158"/>
      <c r="AVQ158"/>
      <c r="AVR158"/>
      <c r="AVS158"/>
      <c r="AVT158"/>
      <c r="AVU158"/>
      <c r="AVV158"/>
      <c r="AVW158"/>
      <c r="AVX158"/>
      <c r="AVY158"/>
      <c r="AVZ158"/>
      <c r="AWA158"/>
      <c r="AWB158"/>
      <c r="AWC158"/>
      <c r="AWD158"/>
      <c r="AWE158"/>
      <c r="AWF158"/>
      <c r="AWG158"/>
      <c r="AWH158"/>
      <c r="AWI158"/>
      <c r="AWJ158"/>
      <c r="AWK158"/>
      <c r="AWL158"/>
      <c r="AWM158"/>
      <c r="AWN158"/>
      <c r="AWO158"/>
      <c r="AWP158"/>
      <c r="AWQ158"/>
      <c r="AWR158"/>
      <c r="AWS158"/>
      <c r="AWT158"/>
      <c r="AWU158"/>
      <c r="AWV158"/>
      <c r="AWW158"/>
      <c r="AWX158"/>
      <c r="AWY158"/>
      <c r="AWZ158"/>
      <c r="AXA158"/>
      <c r="AXB158"/>
      <c r="AXC158"/>
      <c r="AXD158"/>
      <c r="AXE158"/>
      <c r="AXF158"/>
      <c r="AXG158"/>
      <c r="AXH158"/>
      <c r="AXI158"/>
      <c r="AXJ158"/>
      <c r="AXK158"/>
      <c r="AXL158"/>
      <c r="AXM158"/>
      <c r="AXN158"/>
      <c r="AXO158"/>
      <c r="AXP158"/>
      <c r="AXQ158"/>
      <c r="AXR158"/>
      <c r="AXS158"/>
      <c r="AXT158"/>
      <c r="AXU158"/>
      <c r="AXV158"/>
      <c r="AXW158"/>
      <c r="AXX158"/>
      <c r="AXY158"/>
      <c r="AXZ158"/>
      <c r="AYA158"/>
      <c r="AYB158"/>
      <c r="AYC158"/>
      <c r="AYD158"/>
      <c r="AYE158"/>
      <c r="AYF158"/>
      <c r="AYG158"/>
      <c r="AYH158"/>
      <c r="AYI158"/>
      <c r="AYJ158"/>
      <c r="AYK158"/>
      <c r="AYL158"/>
      <c r="AYM158"/>
      <c r="AYN158"/>
      <c r="AYO158"/>
      <c r="AYP158"/>
      <c r="AYQ158"/>
      <c r="AYR158"/>
      <c r="AYS158"/>
      <c r="AYT158"/>
      <c r="AYU158"/>
      <c r="AYV158"/>
      <c r="AYW158"/>
      <c r="AYX158"/>
      <c r="AYY158"/>
      <c r="AYZ158"/>
      <c r="AZA158"/>
      <c r="AZB158"/>
      <c r="AZC158"/>
      <c r="AZD158"/>
      <c r="AZE158"/>
      <c r="AZF158"/>
      <c r="AZG158"/>
      <c r="AZH158"/>
      <c r="AZI158"/>
      <c r="AZJ158"/>
      <c r="AZK158"/>
      <c r="AZL158"/>
      <c r="AZM158"/>
      <c r="AZN158"/>
      <c r="AZO158"/>
      <c r="AZP158"/>
      <c r="AZQ158"/>
      <c r="AZR158"/>
      <c r="AZS158"/>
      <c r="AZT158"/>
      <c r="AZU158"/>
      <c r="AZV158"/>
      <c r="AZW158"/>
      <c r="AZX158"/>
      <c r="AZY158"/>
      <c r="AZZ158"/>
      <c r="BAA158"/>
      <c r="BAB158"/>
      <c r="BAC158"/>
      <c r="BAD158"/>
      <c r="BAE158"/>
      <c r="BAF158"/>
      <c r="BAG158"/>
      <c r="BAH158"/>
      <c r="BAI158"/>
      <c r="BAJ158"/>
      <c r="BAK158"/>
      <c r="BAL158"/>
      <c r="BAM158"/>
      <c r="BAN158"/>
      <c r="BAO158"/>
      <c r="BAP158"/>
      <c r="BAQ158"/>
      <c r="BAR158"/>
      <c r="BAS158"/>
      <c r="BAT158"/>
      <c r="BAU158"/>
      <c r="BAV158"/>
      <c r="BAW158"/>
      <c r="BAX158"/>
      <c r="BAY158"/>
      <c r="BAZ158"/>
      <c r="BBA158"/>
      <c r="BBB158"/>
      <c r="BBC158"/>
      <c r="BBD158"/>
      <c r="BBE158"/>
      <c r="BBF158"/>
      <c r="BBG158"/>
      <c r="BBH158"/>
      <c r="BBI158"/>
      <c r="BBJ158"/>
      <c r="BBK158"/>
      <c r="BBL158"/>
      <c r="BBM158"/>
      <c r="BBN158"/>
      <c r="BBO158"/>
      <c r="BBP158"/>
      <c r="BBQ158"/>
      <c r="BBR158"/>
      <c r="BBS158"/>
      <c r="BBT158"/>
      <c r="BBU158"/>
      <c r="BBV158"/>
      <c r="BBW158"/>
      <c r="BBX158"/>
      <c r="BBY158"/>
      <c r="BBZ158"/>
      <c r="BCA158"/>
      <c r="BCB158"/>
      <c r="BCC158"/>
      <c r="BCD158"/>
      <c r="BCE158"/>
      <c r="BCF158"/>
      <c r="BCG158"/>
      <c r="BCH158"/>
      <c r="BCI158"/>
      <c r="BCJ158"/>
      <c r="BCK158"/>
      <c r="BCL158"/>
      <c r="BCM158"/>
      <c r="BCN158"/>
      <c r="BCO158"/>
      <c r="BCP158"/>
      <c r="BCQ158"/>
      <c r="BCR158"/>
      <c r="BCS158"/>
      <c r="BCT158"/>
      <c r="BCU158"/>
      <c r="BCV158"/>
      <c r="BCW158"/>
      <c r="BCX158"/>
      <c r="BCY158"/>
      <c r="BCZ158"/>
      <c r="BDA158"/>
      <c r="BDB158"/>
      <c r="BDC158"/>
      <c r="BDD158"/>
      <c r="BDE158"/>
      <c r="BDF158"/>
      <c r="BDG158"/>
      <c r="BDH158"/>
      <c r="BDI158"/>
      <c r="BDJ158"/>
      <c r="BDK158"/>
      <c r="BDL158"/>
      <c r="BDM158"/>
      <c r="BDN158"/>
      <c r="BDO158"/>
      <c r="BDP158"/>
      <c r="BDQ158"/>
      <c r="BDR158"/>
      <c r="BDS158"/>
      <c r="BDT158"/>
      <c r="BDU158"/>
      <c r="BDV158"/>
      <c r="BDW158"/>
      <c r="BDX158"/>
      <c r="BDY158"/>
      <c r="BDZ158"/>
      <c r="BEA158"/>
      <c r="BEB158"/>
      <c r="BEC158"/>
      <c r="BED158"/>
      <c r="BEE158"/>
      <c r="BEF158"/>
      <c r="BEG158"/>
      <c r="BEH158"/>
      <c r="BEI158"/>
      <c r="BEJ158"/>
      <c r="BEK158"/>
      <c r="BEL158"/>
      <c r="BEM158"/>
      <c r="BEN158"/>
      <c r="BEO158"/>
      <c r="BEP158"/>
      <c r="BEQ158"/>
      <c r="BER158"/>
      <c r="BES158"/>
      <c r="BET158"/>
      <c r="BEU158"/>
      <c r="BEV158"/>
      <c r="BEW158"/>
      <c r="BEX158"/>
      <c r="BEY158"/>
      <c r="BEZ158"/>
      <c r="BFA158"/>
      <c r="BFB158"/>
      <c r="BFC158"/>
      <c r="BFD158"/>
      <c r="BFE158"/>
      <c r="BFF158"/>
      <c r="BFG158"/>
      <c r="BFH158"/>
      <c r="BFI158"/>
      <c r="BFJ158"/>
      <c r="BFK158"/>
      <c r="BFL158"/>
      <c r="BFM158"/>
      <c r="BFN158"/>
      <c r="BFO158"/>
      <c r="BFP158"/>
      <c r="BFQ158"/>
      <c r="BFR158"/>
      <c r="BFS158"/>
      <c r="BFT158"/>
      <c r="BFU158"/>
      <c r="BFV158"/>
      <c r="BFW158"/>
      <c r="BFX158"/>
      <c r="BFY158"/>
      <c r="BFZ158"/>
      <c r="BGA158"/>
      <c r="BGB158"/>
      <c r="BGC158"/>
      <c r="BGD158"/>
      <c r="BGE158"/>
      <c r="BGF158"/>
      <c r="BGG158"/>
      <c r="BGH158"/>
      <c r="BGI158"/>
      <c r="BGJ158"/>
      <c r="BGK158"/>
      <c r="BGL158"/>
      <c r="BGM158"/>
      <c r="BGN158"/>
      <c r="BGO158"/>
      <c r="BGP158"/>
      <c r="BGQ158"/>
      <c r="BGR158"/>
      <c r="BGS158"/>
      <c r="BGT158"/>
      <c r="BGU158"/>
      <c r="BGV158"/>
      <c r="BGW158"/>
      <c r="BGX158"/>
      <c r="BGY158"/>
      <c r="BGZ158"/>
      <c r="BHA158"/>
      <c r="BHB158"/>
      <c r="BHC158"/>
      <c r="BHD158"/>
      <c r="BHE158"/>
      <c r="BHF158"/>
      <c r="BHG158"/>
      <c r="BHH158"/>
      <c r="BHI158"/>
      <c r="BHJ158"/>
      <c r="BHK158"/>
      <c r="BHL158"/>
      <c r="BHM158"/>
      <c r="BHN158"/>
      <c r="BHO158"/>
      <c r="BHP158"/>
      <c r="BHQ158"/>
      <c r="BHR158"/>
      <c r="BHS158"/>
      <c r="BHT158"/>
      <c r="BHU158"/>
      <c r="BHV158"/>
      <c r="BHW158"/>
      <c r="BHX158"/>
      <c r="BHY158"/>
      <c r="BHZ158"/>
      <c r="BIA158"/>
      <c r="BIB158"/>
      <c r="BIC158"/>
      <c r="BID158"/>
      <c r="BIE158"/>
      <c r="BIF158"/>
      <c r="BIG158"/>
      <c r="BIH158"/>
      <c r="BII158"/>
      <c r="BIJ158"/>
      <c r="BIK158"/>
      <c r="BIL158"/>
      <c r="BIM158"/>
      <c r="BIN158"/>
      <c r="BIO158"/>
      <c r="BIP158"/>
      <c r="BIQ158"/>
      <c r="BIR158"/>
      <c r="BIS158"/>
      <c r="BIT158"/>
      <c r="BIU158"/>
      <c r="BIV158"/>
      <c r="BIW158"/>
      <c r="BIX158"/>
      <c r="BIY158"/>
      <c r="BIZ158"/>
      <c r="BJA158"/>
      <c r="BJB158"/>
      <c r="BJC158"/>
      <c r="BJD158"/>
      <c r="BJE158"/>
      <c r="BJF158"/>
      <c r="BJG158"/>
      <c r="BJH158"/>
      <c r="BJI158"/>
      <c r="BJJ158"/>
      <c r="BJK158"/>
      <c r="BJL158"/>
      <c r="BJM158"/>
      <c r="BJN158"/>
      <c r="BJO158"/>
      <c r="BJP158"/>
      <c r="BJQ158"/>
      <c r="BJR158"/>
      <c r="BJS158"/>
      <c r="BJT158"/>
      <c r="BJU158"/>
      <c r="BJV158"/>
      <c r="BJW158"/>
      <c r="BJX158"/>
      <c r="BJY158"/>
      <c r="BJZ158"/>
      <c r="BKA158"/>
      <c r="BKB158"/>
      <c r="BKC158"/>
      <c r="BKD158"/>
      <c r="BKE158"/>
      <c r="BKF158"/>
      <c r="BKG158"/>
      <c r="BKH158"/>
      <c r="BKI158"/>
      <c r="BKJ158"/>
      <c r="BKK158"/>
      <c r="BKL158"/>
      <c r="BKM158"/>
      <c r="BKN158"/>
      <c r="BKO158"/>
      <c r="BKP158"/>
      <c r="BKQ158"/>
      <c r="BKR158"/>
      <c r="BKS158"/>
      <c r="BKT158"/>
      <c r="BKU158"/>
      <c r="BKV158"/>
      <c r="BKW158"/>
      <c r="BKX158"/>
      <c r="BKY158"/>
      <c r="BKZ158"/>
      <c r="BLA158"/>
      <c r="BLB158"/>
      <c r="BLC158"/>
      <c r="BLD158"/>
      <c r="BLE158"/>
      <c r="BLF158"/>
      <c r="BLG158"/>
      <c r="BLH158"/>
      <c r="BLI158"/>
      <c r="BLJ158"/>
      <c r="BLK158"/>
      <c r="BLL158"/>
      <c r="BLM158"/>
      <c r="BLN158"/>
      <c r="BLO158"/>
      <c r="BLP158"/>
      <c r="BLQ158"/>
      <c r="BLR158"/>
      <c r="BLS158"/>
      <c r="BLT158"/>
      <c r="BLU158"/>
      <c r="BLV158"/>
      <c r="BLW158"/>
      <c r="BLX158"/>
      <c r="BLY158"/>
      <c r="BLZ158"/>
      <c r="BMA158"/>
      <c r="BMB158"/>
      <c r="BMC158"/>
      <c r="BMD158"/>
      <c r="BME158"/>
      <c r="BMF158"/>
      <c r="BMG158"/>
      <c r="BMH158"/>
      <c r="BMI158"/>
      <c r="BMJ158"/>
      <c r="BMK158"/>
      <c r="BML158"/>
      <c r="BMM158"/>
      <c r="BMN158"/>
      <c r="BMO158"/>
      <c r="BMP158"/>
      <c r="BMQ158"/>
      <c r="BMR158"/>
      <c r="BMS158"/>
      <c r="BMT158"/>
      <c r="BMU158"/>
      <c r="BMV158"/>
      <c r="BMW158"/>
      <c r="BMX158"/>
      <c r="BMY158"/>
      <c r="BMZ158"/>
      <c r="BNA158"/>
      <c r="BNB158"/>
      <c r="BNC158"/>
      <c r="BND158"/>
      <c r="BNE158"/>
      <c r="BNF158"/>
      <c r="BNG158"/>
      <c r="BNH158"/>
      <c r="BNI158"/>
      <c r="BNJ158"/>
      <c r="BNK158"/>
      <c r="BNL158"/>
      <c r="BNM158"/>
      <c r="BNN158"/>
      <c r="BNO158"/>
      <c r="BNP158"/>
      <c r="BNQ158"/>
      <c r="BNR158"/>
      <c r="BNS158"/>
      <c r="BNT158"/>
      <c r="BNU158"/>
      <c r="BNV158"/>
      <c r="BNW158"/>
      <c r="BNX158"/>
      <c r="BNY158"/>
      <c r="BNZ158"/>
      <c r="BOA158"/>
      <c r="BOB158"/>
      <c r="BOC158"/>
      <c r="BOD158"/>
      <c r="BOE158"/>
      <c r="BOF158"/>
      <c r="BOG158"/>
      <c r="BOH158"/>
      <c r="BOI158"/>
      <c r="BOJ158"/>
      <c r="BOK158"/>
      <c r="BOL158"/>
      <c r="BOM158"/>
      <c r="BON158"/>
      <c r="BOO158"/>
      <c r="BOP158"/>
      <c r="BOQ158"/>
      <c r="BOR158"/>
      <c r="BOS158"/>
      <c r="BOT158"/>
      <c r="BOU158"/>
      <c r="BOV158"/>
      <c r="BOW158"/>
      <c r="BOX158"/>
      <c r="BOY158"/>
      <c r="BOZ158"/>
      <c r="BPA158"/>
      <c r="BPB158"/>
      <c r="BPC158"/>
      <c r="BPD158"/>
      <c r="BPE158"/>
      <c r="BPF158"/>
      <c r="BPG158"/>
      <c r="BPH158"/>
      <c r="BPI158"/>
      <c r="BPJ158"/>
      <c r="BPK158"/>
      <c r="BPL158"/>
      <c r="BPM158"/>
      <c r="BPN158"/>
      <c r="BPO158"/>
      <c r="BPP158"/>
      <c r="BPQ158"/>
      <c r="BPR158"/>
      <c r="BPS158"/>
      <c r="BPT158"/>
      <c r="BPU158"/>
      <c r="BPV158"/>
      <c r="BPW158"/>
      <c r="BPX158"/>
      <c r="BPY158"/>
      <c r="BPZ158"/>
      <c r="BQA158"/>
      <c r="BQB158"/>
      <c r="BQC158"/>
      <c r="BQD158"/>
      <c r="BQE158"/>
      <c r="BQF158"/>
      <c r="BQG158"/>
      <c r="BQH158"/>
      <c r="BQI158"/>
      <c r="BQJ158"/>
      <c r="BQK158"/>
      <c r="BQL158"/>
      <c r="BQM158"/>
      <c r="BQN158"/>
      <c r="BQO158"/>
      <c r="BQP158"/>
      <c r="BQQ158"/>
      <c r="BQR158"/>
      <c r="BQS158"/>
      <c r="BQT158"/>
      <c r="BQU158"/>
      <c r="BQV158"/>
      <c r="BQW158"/>
      <c r="BQX158"/>
      <c r="BQY158"/>
      <c r="BQZ158"/>
      <c r="BRA158"/>
      <c r="BRB158"/>
      <c r="BRC158"/>
      <c r="BRD158"/>
      <c r="BRE158"/>
      <c r="BRF158"/>
      <c r="BRG158"/>
      <c r="BRH158"/>
      <c r="BRI158"/>
      <c r="BRJ158"/>
      <c r="BRK158"/>
      <c r="BRL158"/>
      <c r="BRM158"/>
      <c r="BRN158"/>
      <c r="BRO158"/>
      <c r="BRP158"/>
      <c r="BRQ158"/>
      <c r="BRR158"/>
      <c r="BRS158"/>
      <c r="BRT158"/>
      <c r="BRU158"/>
      <c r="BRV158"/>
      <c r="BRW158"/>
      <c r="BRX158"/>
      <c r="BRY158"/>
      <c r="BRZ158"/>
      <c r="BSA158"/>
      <c r="BSB158"/>
      <c r="BSC158"/>
      <c r="BSD158"/>
      <c r="BSE158"/>
      <c r="BSF158"/>
      <c r="BSG158"/>
      <c r="BSH158"/>
      <c r="BSI158"/>
      <c r="BSJ158"/>
      <c r="BSK158"/>
      <c r="BSL158"/>
      <c r="BSM158"/>
      <c r="BSN158"/>
      <c r="BSO158"/>
      <c r="BSP158"/>
      <c r="BSQ158"/>
      <c r="BSR158"/>
      <c r="BSS158"/>
      <c r="BST158"/>
      <c r="BSU158"/>
      <c r="BSV158"/>
      <c r="BSW158"/>
      <c r="BSX158"/>
      <c r="BSY158"/>
      <c r="BSZ158"/>
      <c r="BTA158"/>
      <c r="BTB158"/>
      <c r="BTC158"/>
      <c r="BTD158"/>
      <c r="BTE158"/>
      <c r="BTF158"/>
      <c r="BTG158"/>
      <c r="BTH158"/>
      <c r="BTI158"/>
      <c r="BTJ158"/>
      <c r="BTK158"/>
      <c r="BTL158"/>
      <c r="BTM158"/>
      <c r="BTN158"/>
      <c r="BTO158"/>
      <c r="BTP158"/>
      <c r="BTQ158"/>
      <c r="BTR158"/>
      <c r="BTS158"/>
      <c r="BTT158"/>
      <c r="BTU158"/>
      <c r="BTV158"/>
      <c r="BTW158"/>
      <c r="BTX158"/>
      <c r="BTY158"/>
      <c r="BTZ158"/>
      <c r="BUA158"/>
      <c r="BUB158"/>
      <c r="BUC158"/>
      <c r="BUD158"/>
      <c r="BUE158"/>
      <c r="BUF158"/>
      <c r="BUG158"/>
      <c r="BUH158"/>
      <c r="BUI158"/>
      <c r="BUJ158"/>
      <c r="BUK158"/>
      <c r="BUL158"/>
      <c r="BUM158"/>
      <c r="BUN158"/>
      <c r="BUO158"/>
      <c r="BUP158"/>
      <c r="BUQ158"/>
      <c r="BUR158"/>
      <c r="BUS158"/>
      <c r="BUT158"/>
      <c r="BUU158"/>
      <c r="BUV158"/>
      <c r="BUW158"/>
      <c r="BUX158"/>
      <c r="BUY158"/>
      <c r="BUZ158"/>
      <c r="BVA158"/>
      <c r="BVB158"/>
      <c r="BVC158"/>
      <c r="BVD158"/>
      <c r="BVE158"/>
      <c r="BVF158"/>
      <c r="BVG158"/>
      <c r="BVH158"/>
      <c r="BVI158"/>
      <c r="BVJ158"/>
      <c r="BVK158"/>
      <c r="BVL158"/>
      <c r="BVM158"/>
      <c r="BVN158"/>
      <c r="BVO158"/>
      <c r="BVP158"/>
      <c r="BVQ158"/>
      <c r="BVR158"/>
      <c r="BVS158"/>
      <c r="BVT158"/>
      <c r="BVU158"/>
      <c r="BVV158"/>
      <c r="BVW158"/>
      <c r="BVX158"/>
      <c r="BVY158"/>
      <c r="BVZ158"/>
      <c r="BWA158"/>
      <c r="BWB158"/>
      <c r="BWC158"/>
      <c r="BWD158"/>
      <c r="BWE158"/>
      <c r="BWF158"/>
      <c r="BWG158"/>
      <c r="BWH158"/>
      <c r="BWI158"/>
      <c r="BWJ158"/>
      <c r="BWK158"/>
      <c r="BWL158"/>
      <c r="BWM158"/>
      <c r="BWN158"/>
      <c r="BWO158"/>
      <c r="BWP158"/>
      <c r="BWQ158"/>
      <c r="BWR158"/>
      <c r="BWS158"/>
      <c r="BWT158"/>
      <c r="BWU158"/>
      <c r="BWV158"/>
      <c r="BWW158"/>
      <c r="BWX158"/>
      <c r="BWY158"/>
      <c r="BWZ158"/>
      <c r="BXA158"/>
      <c r="BXB158"/>
      <c r="BXC158"/>
      <c r="BXD158"/>
      <c r="BXE158"/>
      <c r="BXF158"/>
      <c r="BXG158"/>
      <c r="BXH158"/>
      <c r="BXI158"/>
      <c r="BXJ158"/>
      <c r="BXK158"/>
      <c r="BXL158"/>
      <c r="BXM158"/>
      <c r="BXN158"/>
      <c r="BXO158"/>
      <c r="BXP158"/>
      <c r="BXQ158"/>
      <c r="BXR158"/>
      <c r="BXS158"/>
      <c r="BXT158"/>
      <c r="BXU158"/>
      <c r="BXV158"/>
      <c r="BXW158"/>
      <c r="BXX158"/>
      <c r="BXY158"/>
      <c r="BXZ158"/>
      <c r="BYA158"/>
      <c r="BYB158"/>
      <c r="BYC158"/>
      <c r="BYD158"/>
      <c r="BYE158"/>
      <c r="BYF158"/>
      <c r="BYG158"/>
      <c r="BYH158"/>
      <c r="BYI158"/>
      <c r="BYJ158"/>
      <c r="BYK158"/>
      <c r="BYL158"/>
      <c r="BYM158"/>
      <c r="BYN158"/>
      <c r="BYO158"/>
      <c r="BYP158"/>
      <c r="BYQ158"/>
      <c r="BYR158"/>
      <c r="BYS158"/>
      <c r="BYT158"/>
      <c r="BYU158"/>
      <c r="BYV158"/>
      <c r="BYW158"/>
      <c r="BYX158"/>
      <c r="BYY158"/>
      <c r="BYZ158"/>
      <c r="BZA158"/>
      <c r="BZB158"/>
      <c r="BZC158"/>
      <c r="BZD158"/>
      <c r="BZE158"/>
      <c r="BZF158"/>
      <c r="BZG158"/>
      <c r="BZH158"/>
      <c r="BZI158"/>
      <c r="BZJ158"/>
      <c r="BZK158"/>
      <c r="BZL158"/>
      <c r="BZM158"/>
      <c r="BZN158"/>
      <c r="BZO158"/>
      <c r="BZP158"/>
      <c r="BZQ158"/>
      <c r="BZR158"/>
      <c r="BZS158"/>
      <c r="BZT158"/>
      <c r="BZU158"/>
      <c r="BZV158"/>
      <c r="BZW158"/>
      <c r="BZX158"/>
      <c r="BZY158"/>
      <c r="BZZ158"/>
      <c r="CAA158"/>
      <c r="CAB158"/>
      <c r="CAC158"/>
      <c r="CAD158"/>
      <c r="CAE158"/>
      <c r="CAF158"/>
      <c r="CAG158"/>
      <c r="CAH158"/>
      <c r="CAI158"/>
      <c r="CAJ158"/>
      <c r="CAK158"/>
      <c r="CAL158"/>
      <c r="CAM158"/>
      <c r="CAN158"/>
      <c r="CAO158"/>
      <c r="CAP158"/>
      <c r="CAQ158"/>
      <c r="CAR158"/>
      <c r="CAS158"/>
      <c r="CAT158"/>
      <c r="CAU158"/>
      <c r="CAV158"/>
      <c r="CAW158"/>
      <c r="CAX158"/>
      <c r="CAY158"/>
      <c r="CAZ158"/>
      <c r="CBA158"/>
      <c r="CBB158"/>
      <c r="CBC158"/>
      <c r="CBD158"/>
      <c r="CBE158"/>
      <c r="CBF158"/>
      <c r="CBG158"/>
      <c r="CBH158"/>
      <c r="CBI158"/>
      <c r="CBJ158"/>
      <c r="CBK158"/>
      <c r="CBL158"/>
      <c r="CBM158"/>
      <c r="CBN158"/>
      <c r="CBO158"/>
      <c r="CBP158"/>
      <c r="CBQ158"/>
      <c r="CBR158"/>
      <c r="CBS158"/>
      <c r="CBT158"/>
      <c r="CBU158"/>
      <c r="CBV158"/>
      <c r="CBW158"/>
      <c r="CBX158"/>
      <c r="CBY158"/>
      <c r="CBZ158"/>
      <c r="CCA158"/>
      <c r="CCB158"/>
      <c r="CCC158"/>
      <c r="CCD158"/>
      <c r="CCE158"/>
      <c r="CCF158"/>
      <c r="CCG158"/>
      <c r="CCH158"/>
      <c r="CCI158"/>
      <c r="CCJ158"/>
      <c r="CCK158"/>
      <c r="CCL158"/>
      <c r="CCM158"/>
      <c r="CCN158"/>
      <c r="CCO158"/>
      <c r="CCP158"/>
      <c r="CCQ158"/>
      <c r="CCR158"/>
      <c r="CCS158"/>
      <c r="CCT158"/>
      <c r="CCU158"/>
      <c r="CCV158"/>
      <c r="CCW158"/>
      <c r="CCX158"/>
      <c r="CCY158"/>
      <c r="CCZ158"/>
      <c r="CDA158"/>
      <c r="CDB158"/>
      <c r="CDC158"/>
      <c r="CDD158"/>
      <c r="CDE158"/>
      <c r="CDF158"/>
      <c r="CDG158"/>
      <c r="CDH158"/>
      <c r="CDI158"/>
      <c r="CDJ158"/>
      <c r="CDK158"/>
      <c r="CDL158"/>
      <c r="CDM158"/>
      <c r="CDN158"/>
      <c r="CDO158"/>
      <c r="CDP158"/>
      <c r="CDQ158"/>
      <c r="CDR158"/>
      <c r="CDS158"/>
      <c r="CDT158"/>
      <c r="CDU158"/>
      <c r="CDV158"/>
      <c r="CDW158"/>
      <c r="CDX158"/>
      <c r="CDY158"/>
      <c r="CDZ158"/>
      <c r="CEA158"/>
      <c r="CEB158"/>
      <c r="CEC158"/>
      <c r="CED158"/>
      <c r="CEE158"/>
      <c r="CEF158"/>
      <c r="CEG158"/>
      <c r="CEH158"/>
      <c r="CEI158"/>
      <c r="CEJ158"/>
      <c r="CEK158"/>
      <c r="CEL158"/>
      <c r="CEM158"/>
      <c r="CEN158"/>
      <c r="CEO158"/>
      <c r="CEP158"/>
      <c r="CEQ158"/>
      <c r="CER158"/>
      <c r="CES158"/>
      <c r="CET158"/>
      <c r="CEU158"/>
      <c r="CEV158"/>
      <c r="CEW158"/>
      <c r="CEX158"/>
      <c r="CEY158"/>
      <c r="CEZ158"/>
      <c r="CFA158"/>
      <c r="CFB158"/>
      <c r="CFC158"/>
      <c r="CFD158"/>
      <c r="CFE158"/>
      <c r="CFF158"/>
      <c r="CFG158"/>
      <c r="CFH158"/>
      <c r="CFI158"/>
      <c r="CFJ158"/>
      <c r="CFK158"/>
      <c r="CFL158"/>
      <c r="CFM158"/>
      <c r="CFN158"/>
      <c r="CFO158"/>
      <c r="CFP158"/>
      <c r="CFQ158"/>
      <c r="CFR158"/>
      <c r="CFS158"/>
      <c r="CFT158"/>
      <c r="CFU158"/>
      <c r="CFV158"/>
      <c r="CFW158"/>
      <c r="CFX158"/>
      <c r="CFY158"/>
      <c r="CFZ158"/>
      <c r="CGA158"/>
      <c r="CGB158"/>
      <c r="CGC158"/>
      <c r="CGD158"/>
      <c r="CGE158"/>
      <c r="CGF158"/>
      <c r="CGG158"/>
      <c r="CGH158"/>
      <c r="CGI158"/>
      <c r="CGJ158"/>
      <c r="CGK158"/>
      <c r="CGL158"/>
      <c r="CGM158"/>
      <c r="CGN158"/>
      <c r="CGO158"/>
      <c r="CGP158"/>
      <c r="CGQ158"/>
      <c r="CGR158"/>
      <c r="CGS158"/>
      <c r="CGT158"/>
      <c r="CGU158"/>
      <c r="CGV158"/>
      <c r="CGW158"/>
      <c r="CGX158"/>
      <c r="CGY158"/>
      <c r="CGZ158"/>
      <c r="CHA158"/>
      <c r="CHB158"/>
      <c r="CHC158"/>
      <c r="CHD158"/>
      <c r="CHE158"/>
      <c r="CHF158"/>
      <c r="CHG158"/>
      <c r="CHH158"/>
      <c r="CHI158"/>
      <c r="CHJ158"/>
      <c r="CHK158"/>
      <c r="CHL158"/>
      <c r="CHM158"/>
      <c r="CHN158"/>
      <c r="CHO158"/>
      <c r="CHP158"/>
      <c r="CHQ158"/>
      <c r="CHR158"/>
      <c r="CHS158"/>
      <c r="CHT158"/>
      <c r="CHU158"/>
      <c r="CHV158"/>
      <c r="CHW158"/>
      <c r="CHX158"/>
      <c r="CHY158"/>
      <c r="CHZ158"/>
      <c r="CIA158"/>
      <c r="CIB158"/>
      <c r="CIC158"/>
      <c r="CID158"/>
      <c r="CIE158"/>
      <c r="CIF158"/>
      <c r="CIG158"/>
      <c r="CIH158"/>
      <c r="CII158"/>
      <c r="CIJ158"/>
      <c r="CIK158"/>
      <c r="CIL158"/>
      <c r="CIM158"/>
      <c r="CIN158"/>
      <c r="CIO158"/>
      <c r="CIP158"/>
      <c r="CIQ158"/>
      <c r="CIR158"/>
      <c r="CIS158"/>
      <c r="CIT158"/>
      <c r="CIU158"/>
      <c r="CIV158"/>
      <c r="CIW158"/>
      <c r="CIX158"/>
      <c r="CIY158"/>
      <c r="CIZ158"/>
      <c r="CJA158"/>
      <c r="CJB158"/>
      <c r="CJC158"/>
      <c r="CJD158"/>
      <c r="CJE158"/>
      <c r="CJF158"/>
      <c r="CJG158"/>
      <c r="CJH158"/>
      <c r="CJI158"/>
      <c r="CJJ158"/>
      <c r="CJK158"/>
      <c r="CJL158"/>
      <c r="CJM158"/>
      <c r="CJN158"/>
      <c r="CJO158"/>
      <c r="CJP158"/>
      <c r="CJQ158"/>
      <c r="CJR158"/>
      <c r="CJS158"/>
      <c r="CJT158"/>
      <c r="CJU158"/>
      <c r="CJV158"/>
      <c r="CJW158"/>
      <c r="CJX158"/>
      <c r="CJY158"/>
      <c r="CJZ158"/>
      <c r="CKA158"/>
      <c r="CKB158"/>
      <c r="CKC158"/>
      <c r="CKD158"/>
      <c r="CKE158"/>
      <c r="CKF158"/>
      <c r="CKG158"/>
      <c r="CKH158"/>
      <c r="CKI158"/>
      <c r="CKJ158"/>
      <c r="CKK158"/>
      <c r="CKL158"/>
      <c r="CKM158"/>
      <c r="CKN158"/>
      <c r="CKO158"/>
      <c r="CKP158"/>
      <c r="CKQ158"/>
      <c r="CKR158"/>
      <c r="CKS158"/>
      <c r="CKT158"/>
      <c r="CKU158"/>
      <c r="CKV158"/>
      <c r="CKW158"/>
      <c r="CKX158"/>
      <c r="CKY158"/>
      <c r="CKZ158"/>
      <c r="CLA158"/>
      <c r="CLB158"/>
      <c r="CLC158"/>
      <c r="CLD158"/>
      <c r="CLE158"/>
      <c r="CLF158"/>
      <c r="CLG158"/>
      <c r="CLH158"/>
      <c r="CLI158"/>
      <c r="CLJ158"/>
      <c r="CLK158"/>
      <c r="CLL158"/>
      <c r="CLM158"/>
      <c r="CLN158"/>
      <c r="CLO158"/>
      <c r="CLP158"/>
      <c r="CLQ158"/>
      <c r="CLR158"/>
      <c r="CLS158"/>
      <c r="CLT158"/>
      <c r="CLU158"/>
      <c r="CLV158"/>
      <c r="CLW158"/>
      <c r="CLX158"/>
      <c r="CLY158"/>
      <c r="CLZ158"/>
      <c r="CMA158"/>
      <c r="CMB158"/>
      <c r="CMC158"/>
      <c r="CMD158"/>
      <c r="CME158"/>
      <c r="CMF158"/>
      <c r="CMG158"/>
      <c r="CMH158"/>
      <c r="CMI158"/>
      <c r="CMJ158"/>
      <c r="CMK158"/>
      <c r="CML158"/>
      <c r="CMM158"/>
      <c r="CMN158"/>
      <c r="CMO158"/>
      <c r="CMP158"/>
      <c r="CMQ158"/>
      <c r="CMR158"/>
      <c r="CMS158"/>
      <c r="CMT158"/>
      <c r="CMU158"/>
      <c r="CMV158"/>
      <c r="CMW158"/>
      <c r="CMX158"/>
      <c r="CMY158"/>
      <c r="CMZ158"/>
      <c r="CNA158"/>
      <c r="CNB158"/>
      <c r="CNC158"/>
      <c r="CND158"/>
      <c r="CNE158"/>
      <c r="CNF158"/>
      <c r="CNG158"/>
      <c r="CNH158"/>
      <c r="CNI158"/>
      <c r="CNJ158"/>
      <c r="CNK158"/>
      <c r="CNL158"/>
      <c r="CNM158"/>
      <c r="CNN158"/>
      <c r="CNO158"/>
      <c r="CNP158"/>
      <c r="CNQ158"/>
      <c r="CNR158"/>
      <c r="CNS158"/>
      <c r="CNT158"/>
      <c r="CNU158"/>
      <c r="CNV158"/>
      <c r="CNW158"/>
      <c r="CNX158"/>
      <c r="CNY158"/>
      <c r="CNZ158"/>
      <c r="COA158"/>
      <c r="COB158"/>
      <c r="COC158"/>
      <c r="COD158"/>
      <c r="COE158"/>
      <c r="COF158"/>
      <c r="COG158"/>
      <c r="COH158"/>
      <c r="COI158"/>
      <c r="COJ158"/>
      <c r="COK158"/>
      <c r="COL158"/>
      <c r="COM158"/>
      <c r="CON158"/>
      <c r="COO158"/>
      <c r="COP158"/>
      <c r="COQ158"/>
      <c r="COR158"/>
      <c r="COS158"/>
      <c r="COT158"/>
      <c r="COU158"/>
      <c r="COV158"/>
      <c r="COW158"/>
      <c r="COX158"/>
      <c r="COY158"/>
      <c r="COZ158"/>
      <c r="CPA158"/>
      <c r="CPB158"/>
      <c r="CPC158"/>
      <c r="CPD158"/>
      <c r="CPE158"/>
      <c r="CPF158"/>
      <c r="CPG158"/>
      <c r="CPH158"/>
      <c r="CPI158"/>
      <c r="CPJ158"/>
      <c r="CPK158"/>
      <c r="CPL158"/>
      <c r="CPM158"/>
      <c r="CPN158"/>
      <c r="CPO158"/>
      <c r="CPP158"/>
      <c r="CPQ158"/>
      <c r="CPR158"/>
      <c r="CPS158"/>
      <c r="CPT158"/>
      <c r="CPU158"/>
      <c r="CPV158"/>
      <c r="CPW158"/>
      <c r="CPX158"/>
      <c r="CPY158"/>
      <c r="CPZ158"/>
      <c r="CQA158"/>
      <c r="CQB158"/>
      <c r="CQC158"/>
      <c r="CQD158"/>
      <c r="CQE158"/>
      <c r="CQF158"/>
      <c r="CQG158"/>
      <c r="CQH158"/>
      <c r="CQI158"/>
      <c r="CQJ158"/>
      <c r="CQK158"/>
      <c r="CQL158"/>
      <c r="CQM158"/>
      <c r="CQN158"/>
      <c r="CQO158"/>
      <c r="CQP158"/>
      <c r="CQQ158"/>
      <c r="CQR158"/>
      <c r="CQS158"/>
      <c r="CQT158"/>
      <c r="CQU158"/>
      <c r="CQV158"/>
      <c r="CQW158"/>
      <c r="CQX158"/>
      <c r="CQY158"/>
      <c r="CQZ158"/>
      <c r="CRA158"/>
      <c r="CRB158"/>
      <c r="CRC158"/>
      <c r="CRD158"/>
      <c r="CRE158"/>
      <c r="CRF158"/>
      <c r="CRG158"/>
      <c r="CRH158"/>
      <c r="CRI158"/>
      <c r="CRJ158"/>
      <c r="CRK158"/>
      <c r="CRL158"/>
      <c r="CRM158"/>
      <c r="CRN158"/>
      <c r="CRO158"/>
      <c r="CRP158"/>
      <c r="CRQ158"/>
      <c r="CRR158"/>
      <c r="CRS158"/>
      <c r="CRT158"/>
      <c r="CRU158"/>
      <c r="CRV158"/>
      <c r="CRW158"/>
      <c r="CRX158"/>
      <c r="CRY158"/>
      <c r="CRZ158"/>
      <c r="CSA158"/>
      <c r="CSB158"/>
      <c r="CSC158"/>
      <c r="CSD158"/>
      <c r="CSE158"/>
      <c r="CSF158"/>
      <c r="CSG158"/>
      <c r="CSH158"/>
      <c r="CSI158"/>
      <c r="CSJ158"/>
      <c r="CSK158"/>
      <c r="CSL158"/>
      <c r="CSM158"/>
      <c r="CSN158"/>
      <c r="CSO158"/>
      <c r="CSP158"/>
      <c r="CSQ158"/>
      <c r="CSR158"/>
      <c r="CSS158"/>
      <c r="CST158"/>
      <c r="CSU158"/>
      <c r="CSV158"/>
      <c r="CSW158"/>
      <c r="CSX158"/>
      <c r="CSY158"/>
      <c r="CSZ158"/>
      <c r="CTA158"/>
      <c r="CTB158"/>
      <c r="CTC158"/>
      <c r="CTD158"/>
      <c r="CTE158"/>
      <c r="CTF158"/>
      <c r="CTG158"/>
      <c r="CTH158"/>
      <c r="CTI158"/>
      <c r="CTJ158"/>
      <c r="CTK158"/>
      <c r="CTL158"/>
      <c r="CTM158"/>
      <c r="CTN158"/>
      <c r="CTO158"/>
      <c r="CTP158"/>
      <c r="CTQ158"/>
      <c r="CTR158"/>
      <c r="CTS158"/>
      <c r="CTT158"/>
      <c r="CTU158"/>
      <c r="CTV158"/>
      <c r="CTW158"/>
      <c r="CTX158"/>
      <c r="CTY158"/>
      <c r="CTZ158"/>
      <c r="CUA158"/>
      <c r="CUB158"/>
      <c r="CUC158"/>
      <c r="CUD158"/>
      <c r="CUE158"/>
      <c r="CUF158"/>
      <c r="CUG158"/>
      <c r="CUH158"/>
      <c r="CUI158"/>
      <c r="CUJ158"/>
      <c r="CUK158"/>
      <c r="CUL158"/>
      <c r="CUM158"/>
      <c r="CUN158"/>
      <c r="CUO158"/>
      <c r="CUP158"/>
      <c r="CUQ158"/>
      <c r="CUR158"/>
      <c r="CUS158"/>
      <c r="CUT158"/>
      <c r="CUU158"/>
      <c r="CUV158"/>
      <c r="CUW158"/>
      <c r="CUX158"/>
      <c r="CUY158"/>
      <c r="CUZ158"/>
      <c r="CVA158"/>
      <c r="CVB158"/>
      <c r="CVC158"/>
      <c r="CVD158"/>
      <c r="CVE158"/>
      <c r="CVF158"/>
      <c r="CVG158"/>
      <c r="CVH158"/>
      <c r="CVI158"/>
      <c r="CVJ158"/>
      <c r="CVK158"/>
      <c r="CVL158"/>
      <c r="CVM158"/>
      <c r="CVN158"/>
      <c r="CVO158"/>
      <c r="CVP158"/>
      <c r="CVQ158"/>
      <c r="CVR158"/>
      <c r="CVS158"/>
      <c r="CVT158"/>
      <c r="CVU158"/>
      <c r="CVV158"/>
      <c r="CVW158"/>
      <c r="CVX158"/>
      <c r="CVY158"/>
      <c r="CVZ158"/>
      <c r="CWA158"/>
      <c r="CWB158"/>
      <c r="CWC158"/>
      <c r="CWD158"/>
      <c r="CWE158"/>
      <c r="CWF158"/>
      <c r="CWG158"/>
      <c r="CWH158"/>
      <c r="CWI158"/>
      <c r="CWJ158"/>
      <c r="CWK158"/>
      <c r="CWL158"/>
      <c r="CWM158"/>
      <c r="CWN158"/>
      <c r="CWO158"/>
      <c r="CWP158"/>
      <c r="CWQ158"/>
      <c r="CWR158"/>
      <c r="CWS158"/>
      <c r="CWT158"/>
      <c r="CWU158"/>
      <c r="CWV158"/>
      <c r="CWW158"/>
      <c r="CWX158"/>
      <c r="CWY158"/>
      <c r="CWZ158"/>
      <c r="CXA158"/>
      <c r="CXB158"/>
      <c r="CXC158"/>
      <c r="CXD158"/>
      <c r="CXE158"/>
      <c r="CXF158"/>
      <c r="CXG158"/>
      <c r="CXH158"/>
      <c r="CXI158"/>
      <c r="CXJ158"/>
      <c r="CXK158"/>
      <c r="CXL158"/>
      <c r="CXM158"/>
      <c r="CXN158"/>
      <c r="CXO158"/>
      <c r="CXP158"/>
      <c r="CXQ158"/>
      <c r="CXR158"/>
      <c r="CXS158"/>
      <c r="CXT158"/>
      <c r="CXU158"/>
      <c r="CXV158"/>
      <c r="CXW158"/>
      <c r="CXX158"/>
      <c r="CXY158"/>
      <c r="CXZ158"/>
      <c r="CYA158"/>
      <c r="CYB158"/>
      <c r="CYC158"/>
      <c r="CYD158"/>
      <c r="CYE158"/>
      <c r="CYF158"/>
      <c r="CYG158"/>
      <c r="CYH158"/>
      <c r="CYI158"/>
      <c r="CYJ158"/>
      <c r="CYK158"/>
      <c r="CYL158"/>
      <c r="CYM158"/>
      <c r="CYN158"/>
      <c r="CYO158"/>
      <c r="CYP158"/>
      <c r="CYQ158"/>
      <c r="CYR158"/>
      <c r="CYS158"/>
      <c r="CYT158"/>
      <c r="CYU158"/>
      <c r="CYV158"/>
      <c r="CYW158"/>
      <c r="CYX158"/>
      <c r="CYY158"/>
      <c r="CYZ158"/>
      <c r="CZA158"/>
      <c r="CZB158"/>
      <c r="CZC158"/>
      <c r="CZD158"/>
      <c r="CZE158"/>
      <c r="CZF158"/>
      <c r="CZG158"/>
      <c r="CZH158"/>
      <c r="CZI158"/>
      <c r="CZJ158"/>
      <c r="CZK158"/>
      <c r="CZL158"/>
      <c r="CZM158"/>
      <c r="CZN158"/>
      <c r="CZO158"/>
      <c r="CZP158"/>
      <c r="CZQ158"/>
      <c r="CZR158"/>
      <c r="CZS158"/>
      <c r="CZT158"/>
      <c r="CZU158"/>
      <c r="CZV158"/>
      <c r="CZW158"/>
      <c r="CZX158"/>
      <c r="CZY158"/>
      <c r="CZZ158"/>
      <c r="DAA158"/>
      <c r="DAB158"/>
      <c r="DAC158"/>
      <c r="DAD158"/>
      <c r="DAE158"/>
      <c r="DAF158"/>
      <c r="DAG158"/>
      <c r="DAH158"/>
      <c r="DAI158"/>
      <c r="DAJ158"/>
      <c r="DAK158"/>
      <c r="DAL158"/>
      <c r="DAM158"/>
      <c r="DAN158"/>
      <c r="DAO158"/>
      <c r="DAP158"/>
      <c r="DAQ158"/>
      <c r="DAR158"/>
      <c r="DAS158"/>
      <c r="DAT158"/>
      <c r="DAU158"/>
      <c r="DAV158"/>
      <c r="DAW158"/>
      <c r="DAX158"/>
      <c r="DAY158"/>
      <c r="DAZ158"/>
      <c r="DBA158"/>
      <c r="DBB158"/>
      <c r="DBC158"/>
      <c r="DBD158"/>
      <c r="DBE158"/>
      <c r="DBF158"/>
      <c r="DBG158"/>
      <c r="DBH158"/>
      <c r="DBI158"/>
      <c r="DBJ158"/>
      <c r="DBK158"/>
      <c r="DBL158"/>
      <c r="DBM158"/>
      <c r="DBN158"/>
      <c r="DBO158"/>
      <c r="DBP158"/>
      <c r="DBQ158"/>
      <c r="DBR158"/>
      <c r="DBS158"/>
      <c r="DBT158"/>
      <c r="DBU158"/>
      <c r="DBV158"/>
      <c r="DBW158"/>
      <c r="DBX158"/>
      <c r="DBY158"/>
      <c r="DBZ158"/>
      <c r="DCA158"/>
      <c r="DCB158"/>
      <c r="DCC158"/>
      <c r="DCD158"/>
      <c r="DCE158"/>
      <c r="DCF158"/>
      <c r="DCG158"/>
      <c r="DCH158"/>
      <c r="DCI158"/>
      <c r="DCJ158"/>
      <c r="DCK158"/>
      <c r="DCL158"/>
      <c r="DCM158"/>
      <c r="DCN158"/>
      <c r="DCO158"/>
      <c r="DCP158"/>
      <c r="DCQ158"/>
      <c r="DCR158"/>
      <c r="DCS158"/>
      <c r="DCT158"/>
      <c r="DCU158"/>
      <c r="DCV158"/>
      <c r="DCW158"/>
      <c r="DCX158"/>
      <c r="DCY158"/>
      <c r="DCZ158"/>
      <c r="DDA158"/>
      <c r="DDB158"/>
      <c r="DDC158"/>
      <c r="DDD158"/>
      <c r="DDE158"/>
      <c r="DDF158"/>
      <c r="DDG158"/>
      <c r="DDH158"/>
      <c r="DDI158"/>
      <c r="DDJ158"/>
      <c r="DDK158"/>
      <c r="DDL158"/>
      <c r="DDM158"/>
      <c r="DDN158"/>
      <c r="DDO158"/>
      <c r="DDP158"/>
      <c r="DDQ158"/>
      <c r="DDR158"/>
      <c r="DDS158"/>
      <c r="DDT158"/>
      <c r="DDU158"/>
      <c r="DDV158"/>
      <c r="DDW158"/>
      <c r="DDX158"/>
      <c r="DDY158"/>
      <c r="DDZ158"/>
      <c r="DEA158"/>
      <c r="DEB158"/>
      <c r="DEC158"/>
      <c r="DED158"/>
      <c r="DEE158"/>
      <c r="DEF158"/>
      <c r="DEG158"/>
      <c r="DEH158"/>
      <c r="DEI158"/>
      <c r="DEJ158"/>
      <c r="DEK158"/>
      <c r="DEL158"/>
      <c r="DEM158"/>
      <c r="DEN158"/>
      <c r="DEO158"/>
      <c r="DEP158"/>
      <c r="DEQ158"/>
      <c r="DER158"/>
      <c r="DES158"/>
      <c r="DET158"/>
      <c r="DEU158"/>
      <c r="DEV158"/>
      <c r="DEW158"/>
      <c r="DEX158"/>
      <c r="DEY158"/>
      <c r="DEZ158"/>
      <c r="DFA158"/>
      <c r="DFB158"/>
      <c r="DFC158"/>
      <c r="DFD158"/>
      <c r="DFE158"/>
      <c r="DFF158"/>
      <c r="DFG158"/>
      <c r="DFH158"/>
      <c r="DFI158"/>
      <c r="DFJ158"/>
      <c r="DFK158"/>
      <c r="DFL158"/>
      <c r="DFM158"/>
      <c r="DFN158"/>
      <c r="DFO158"/>
      <c r="DFP158"/>
      <c r="DFQ158"/>
      <c r="DFR158"/>
      <c r="DFS158"/>
      <c r="DFT158"/>
      <c r="DFU158"/>
      <c r="DFV158"/>
      <c r="DFW158"/>
      <c r="DFX158"/>
      <c r="DFY158"/>
      <c r="DFZ158"/>
      <c r="DGA158"/>
      <c r="DGB158"/>
      <c r="DGC158"/>
      <c r="DGD158"/>
      <c r="DGE158"/>
      <c r="DGF158"/>
      <c r="DGG158"/>
      <c r="DGH158"/>
      <c r="DGI158"/>
      <c r="DGJ158"/>
      <c r="DGK158"/>
      <c r="DGL158"/>
      <c r="DGM158"/>
      <c r="DGN158"/>
      <c r="DGO158"/>
      <c r="DGP158"/>
      <c r="DGQ158"/>
      <c r="DGR158"/>
      <c r="DGS158"/>
      <c r="DGT158"/>
      <c r="DGU158"/>
      <c r="DGV158"/>
      <c r="DGW158"/>
      <c r="DGX158"/>
      <c r="DGY158"/>
      <c r="DGZ158"/>
      <c r="DHA158"/>
      <c r="DHB158"/>
      <c r="DHC158"/>
      <c r="DHD158"/>
      <c r="DHE158"/>
      <c r="DHF158"/>
      <c r="DHG158"/>
      <c r="DHH158"/>
      <c r="DHI158"/>
      <c r="DHJ158"/>
      <c r="DHK158"/>
      <c r="DHL158"/>
      <c r="DHM158"/>
      <c r="DHN158"/>
      <c r="DHO158"/>
      <c r="DHP158"/>
      <c r="DHQ158"/>
      <c r="DHR158"/>
      <c r="DHS158"/>
      <c r="DHT158"/>
      <c r="DHU158"/>
      <c r="DHV158"/>
      <c r="DHW158"/>
      <c r="DHX158"/>
      <c r="DHY158"/>
      <c r="DHZ158"/>
      <c r="DIA158"/>
      <c r="DIB158"/>
      <c r="DIC158"/>
      <c r="DID158"/>
      <c r="DIE158"/>
      <c r="DIF158"/>
      <c r="DIG158"/>
      <c r="DIH158"/>
      <c r="DII158"/>
      <c r="DIJ158"/>
      <c r="DIK158"/>
      <c r="DIL158"/>
      <c r="DIM158"/>
      <c r="DIN158"/>
      <c r="DIO158"/>
      <c r="DIP158"/>
      <c r="DIQ158"/>
      <c r="DIR158"/>
      <c r="DIS158"/>
      <c r="DIT158"/>
      <c r="DIU158"/>
      <c r="DIV158"/>
      <c r="DIW158"/>
      <c r="DIX158"/>
      <c r="DIY158"/>
      <c r="DIZ158"/>
      <c r="DJA158"/>
      <c r="DJB158"/>
      <c r="DJC158"/>
      <c r="DJD158"/>
      <c r="DJE158"/>
      <c r="DJF158"/>
      <c r="DJG158"/>
      <c r="DJH158"/>
      <c r="DJI158"/>
      <c r="DJJ158"/>
      <c r="DJK158"/>
      <c r="DJL158"/>
      <c r="DJM158"/>
      <c r="DJN158"/>
      <c r="DJO158"/>
      <c r="DJP158"/>
      <c r="DJQ158"/>
      <c r="DJR158"/>
      <c r="DJS158"/>
      <c r="DJT158"/>
      <c r="DJU158"/>
      <c r="DJV158"/>
      <c r="DJW158"/>
      <c r="DJX158"/>
      <c r="DJY158"/>
      <c r="DJZ158"/>
      <c r="DKA158"/>
      <c r="DKB158"/>
      <c r="DKC158"/>
      <c r="DKD158"/>
      <c r="DKE158"/>
      <c r="DKF158"/>
      <c r="DKG158"/>
      <c r="DKH158"/>
      <c r="DKI158"/>
      <c r="DKJ158"/>
      <c r="DKK158"/>
      <c r="DKL158"/>
      <c r="DKM158"/>
      <c r="DKN158"/>
      <c r="DKO158"/>
      <c r="DKP158"/>
      <c r="DKQ158"/>
      <c r="DKR158"/>
      <c r="DKS158"/>
      <c r="DKT158"/>
      <c r="DKU158"/>
      <c r="DKV158"/>
      <c r="DKW158"/>
      <c r="DKX158"/>
      <c r="DKY158"/>
      <c r="DKZ158"/>
      <c r="DLA158"/>
      <c r="DLB158"/>
      <c r="DLC158"/>
      <c r="DLD158"/>
      <c r="DLE158"/>
      <c r="DLF158"/>
      <c r="DLG158"/>
      <c r="DLH158"/>
      <c r="DLI158"/>
      <c r="DLJ158"/>
      <c r="DLK158"/>
      <c r="DLL158"/>
      <c r="DLM158"/>
      <c r="DLN158"/>
      <c r="DLO158"/>
      <c r="DLP158"/>
      <c r="DLQ158"/>
      <c r="DLR158"/>
      <c r="DLS158"/>
      <c r="DLT158"/>
      <c r="DLU158"/>
      <c r="DLV158"/>
      <c r="DLW158"/>
      <c r="DLX158"/>
      <c r="DLY158"/>
      <c r="DLZ158"/>
      <c r="DMA158"/>
      <c r="DMB158"/>
    </row>
    <row r="159" spans="1:3044" ht="14.25" x14ac:dyDescent="0.2">
      <c r="A159" s="27" t="s">
        <v>192</v>
      </c>
      <c r="B159" s="28" t="s">
        <v>193</v>
      </c>
      <c r="C159" s="274">
        <v>0.01</v>
      </c>
      <c r="D159" s="255" t="s">
        <v>679</v>
      </c>
    </row>
    <row r="160" spans="1:3044" ht="14.25" x14ac:dyDescent="0.2">
      <c r="A160" s="27" t="s">
        <v>194</v>
      </c>
      <c r="B160" s="28" t="s">
        <v>195</v>
      </c>
      <c r="C160" s="274">
        <v>5.0000000000000001E-3</v>
      </c>
      <c r="D160" s="255" t="s">
        <v>679</v>
      </c>
    </row>
    <row r="161" spans="1:3044" ht="14.25" x14ac:dyDescent="0.2">
      <c r="A161" s="27" t="s">
        <v>196</v>
      </c>
      <c r="B161" s="28" t="s">
        <v>197</v>
      </c>
      <c r="C161" s="274">
        <v>5.0000000000000001E-3</v>
      </c>
      <c r="D161" s="255" t="s">
        <v>679</v>
      </c>
    </row>
    <row r="162" spans="1:3044" s="70" customFormat="1" x14ac:dyDescent="0.2">
      <c r="A162" s="27" t="s">
        <v>510</v>
      </c>
      <c r="B162" s="28" t="s">
        <v>198</v>
      </c>
      <c r="C162" s="274">
        <v>10</v>
      </c>
      <c r="D162" s="255" t="s">
        <v>45</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c r="AMK162"/>
      <c r="AML162"/>
      <c r="AMM162"/>
      <c r="AMN162"/>
      <c r="AMO162"/>
      <c r="AMP162"/>
      <c r="AMQ162"/>
      <c r="AMR162"/>
      <c r="AMS162"/>
      <c r="AMT162"/>
      <c r="AMU162"/>
      <c r="AMV162"/>
      <c r="AMW162"/>
      <c r="AMX162"/>
      <c r="AMY162"/>
      <c r="AMZ162"/>
      <c r="ANA162"/>
      <c r="ANB162"/>
      <c r="ANC162"/>
      <c r="AND162"/>
      <c r="ANE162"/>
      <c r="ANF162"/>
      <c r="ANG162"/>
      <c r="ANH162"/>
      <c r="ANI162"/>
      <c r="ANJ162"/>
      <c r="ANK162"/>
      <c r="ANL162"/>
      <c r="ANM162"/>
      <c r="ANN162"/>
      <c r="ANO162"/>
      <c r="ANP162"/>
      <c r="ANQ162"/>
      <c r="ANR162"/>
      <c r="ANS162"/>
      <c r="ANT162"/>
      <c r="ANU162"/>
      <c r="ANV162"/>
      <c r="ANW162"/>
      <c r="ANX162"/>
      <c r="ANY162"/>
      <c r="ANZ162"/>
      <c r="AOA162"/>
      <c r="AOB162"/>
      <c r="AOC162"/>
      <c r="AOD162"/>
      <c r="AOE162"/>
      <c r="AOF162"/>
      <c r="AOG162"/>
      <c r="AOH162"/>
      <c r="AOI162"/>
      <c r="AOJ162"/>
      <c r="AOK162"/>
      <c r="AOL162"/>
      <c r="AOM162"/>
      <c r="AON162"/>
      <c r="AOO162"/>
      <c r="AOP162"/>
      <c r="AOQ162"/>
      <c r="AOR162"/>
      <c r="AOS162"/>
      <c r="AOT162"/>
      <c r="AOU162"/>
      <c r="AOV162"/>
      <c r="AOW162"/>
      <c r="AOX162"/>
      <c r="AOY162"/>
      <c r="AOZ162"/>
      <c r="APA162"/>
      <c r="APB162"/>
      <c r="APC162"/>
      <c r="APD162"/>
      <c r="APE162"/>
      <c r="APF162"/>
      <c r="APG162"/>
      <c r="APH162"/>
      <c r="API162"/>
      <c r="APJ162"/>
      <c r="APK162"/>
      <c r="APL162"/>
      <c r="APM162"/>
      <c r="APN162"/>
      <c r="APO162"/>
      <c r="APP162"/>
      <c r="APQ162"/>
      <c r="APR162"/>
      <c r="APS162"/>
      <c r="APT162"/>
      <c r="APU162"/>
      <c r="APV162"/>
      <c r="APW162"/>
      <c r="APX162"/>
      <c r="APY162"/>
      <c r="APZ162"/>
      <c r="AQA162"/>
      <c r="AQB162"/>
      <c r="AQC162"/>
      <c r="AQD162"/>
      <c r="AQE162"/>
      <c r="AQF162"/>
      <c r="AQG162"/>
      <c r="AQH162"/>
      <c r="AQI162"/>
      <c r="AQJ162"/>
      <c r="AQK162"/>
      <c r="AQL162"/>
      <c r="AQM162"/>
      <c r="AQN162"/>
      <c r="AQO162"/>
      <c r="AQP162"/>
      <c r="AQQ162"/>
      <c r="AQR162"/>
      <c r="AQS162"/>
      <c r="AQT162"/>
      <c r="AQU162"/>
      <c r="AQV162"/>
      <c r="AQW162"/>
      <c r="AQX162"/>
      <c r="AQY162"/>
      <c r="AQZ162"/>
      <c r="ARA162"/>
      <c r="ARB162"/>
      <c r="ARC162"/>
      <c r="ARD162"/>
      <c r="ARE162"/>
      <c r="ARF162"/>
      <c r="ARG162"/>
      <c r="ARH162"/>
      <c r="ARI162"/>
      <c r="ARJ162"/>
      <c r="ARK162"/>
      <c r="ARL162"/>
      <c r="ARM162"/>
      <c r="ARN162"/>
      <c r="ARO162"/>
      <c r="ARP162"/>
      <c r="ARQ162"/>
      <c r="ARR162"/>
      <c r="ARS162"/>
      <c r="ART162"/>
      <c r="ARU162"/>
      <c r="ARV162"/>
      <c r="ARW162"/>
      <c r="ARX162"/>
      <c r="ARY162"/>
      <c r="ARZ162"/>
      <c r="ASA162"/>
      <c r="ASB162"/>
      <c r="ASC162"/>
      <c r="ASD162"/>
      <c r="ASE162"/>
      <c r="ASF162"/>
      <c r="ASG162"/>
      <c r="ASH162"/>
      <c r="ASI162"/>
      <c r="ASJ162"/>
      <c r="ASK162"/>
      <c r="ASL162"/>
      <c r="ASM162"/>
      <c r="ASN162"/>
      <c r="ASO162"/>
      <c r="ASP162"/>
      <c r="ASQ162"/>
      <c r="ASR162"/>
      <c r="ASS162"/>
      <c r="AST162"/>
      <c r="ASU162"/>
      <c r="ASV162"/>
      <c r="ASW162"/>
      <c r="ASX162"/>
      <c r="ASY162"/>
      <c r="ASZ162"/>
      <c r="ATA162"/>
      <c r="ATB162"/>
      <c r="ATC162"/>
      <c r="ATD162"/>
      <c r="ATE162"/>
      <c r="ATF162"/>
      <c r="ATG162"/>
      <c r="ATH162"/>
      <c r="ATI162"/>
      <c r="ATJ162"/>
      <c r="ATK162"/>
      <c r="ATL162"/>
      <c r="ATM162"/>
      <c r="ATN162"/>
      <c r="ATO162"/>
      <c r="ATP162"/>
      <c r="ATQ162"/>
      <c r="ATR162"/>
      <c r="ATS162"/>
      <c r="ATT162"/>
      <c r="ATU162"/>
      <c r="ATV162"/>
      <c r="ATW162"/>
      <c r="ATX162"/>
      <c r="ATY162"/>
      <c r="ATZ162"/>
      <c r="AUA162"/>
      <c r="AUB162"/>
      <c r="AUC162"/>
      <c r="AUD162"/>
      <c r="AUE162"/>
      <c r="AUF162"/>
      <c r="AUG162"/>
      <c r="AUH162"/>
      <c r="AUI162"/>
      <c r="AUJ162"/>
      <c r="AUK162"/>
      <c r="AUL162"/>
      <c r="AUM162"/>
      <c r="AUN162"/>
      <c r="AUO162"/>
      <c r="AUP162"/>
      <c r="AUQ162"/>
      <c r="AUR162"/>
      <c r="AUS162"/>
      <c r="AUT162"/>
      <c r="AUU162"/>
      <c r="AUV162"/>
      <c r="AUW162"/>
      <c r="AUX162"/>
      <c r="AUY162"/>
      <c r="AUZ162"/>
      <c r="AVA162"/>
      <c r="AVB162"/>
      <c r="AVC162"/>
      <c r="AVD162"/>
      <c r="AVE162"/>
      <c r="AVF162"/>
      <c r="AVG162"/>
      <c r="AVH162"/>
      <c r="AVI162"/>
      <c r="AVJ162"/>
      <c r="AVK162"/>
      <c r="AVL162"/>
      <c r="AVM162"/>
      <c r="AVN162"/>
      <c r="AVO162"/>
      <c r="AVP162"/>
      <c r="AVQ162"/>
      <c r="AVR162"/>
      <c r="AVS162"/>
      <c r="AVT162"/>
      <c r="AVU162"/>
      <c r="AVV162"/>
      <c r="AVW162"/>
      <c r="AVX162"/>
      <c r="AVY162"/>
      <c r="AVZ162"/>
      <c r="AWA162"/>
      <c r="AWB162"/>
      <c r="AWC162"/>
      <c r="AWD162"/>
      <c r="AWE162"/>
      <c r="AWF162"/>
      <c r="AWG162"/>
      <c r="AWH162"/>
      <c r="AWI162"/>
      <c r="AWJ162"/>
      <c r="AWK162"/>
      <c r="AWL162"/>
      <c r="AWM162"/>
      <c r="AWN162"/>
      <c r="AWO162"/>
      <c r="AWP162"/>
      <c r="AWQ162"/>
      <c r="AWR162"/>
      <c r="AWS162"/>
      <c r="AWT162"/>
      <c r="AWU162"/>
      <c r="AWV162"/>
      <c r="AWW162"/>
      <c r="AWX162"/>
      <c r="AWY162"/>
      <c r="AWZ162"/>
      <c r="AXA162"/>
      <c r="AXB162"/>
      <c r="AXC162"/>
      <c r="AXD162"/>
      <c r="AXE162"/>
      <c r="AXF162"/>
      <c r="AXG162"/>
      <c r="AXH162"/>
      <c r="AXI162"/>
      <c r="AXJ162"/>
      <c r="AXK162"/>
      <c r="AXL162"/>
      <c r="AXM162"/>
      <c r="AXN162"/>
      <c r="AXO162"/>
      <c r="AXP162"/>
      <c r="AXQ162"/>
      <c r="AXR162"/>
      <c r="AXS162"/>
      <c r="AXT162"/>
      <c r="AXU162"/>
      <c r="AXV162"/>
      <c r="AXW162"/>
      <c r="AXX162"/>
      <c r="AXY162"/>
      <c r="AXZ162"/>
      <c r="AYA162"/>
      <c r="AYB162"/>
      <c r="AYC162"/>
      <c r="AYD162"/>
      <c r="AYE162"/>
      <c r="AYF162"/>
      <c r="AYG162"/>
      <c r="AYH162"/>
      <c r="AYI162"/>
      <c r="AYJ162"/>
      <c r="AYK162"/>
      <c r="AYL162"/>
      <c r="AYM162"/>
      <c r="AYN162"/>
      <c r="AYO162"/>
      <c r="AYP162"/>
      <c r="AYQ162"/>
      <c r="AYR162"/>
      <c r="AYS162"/>
      <c r="AYT162"/>
      <c r="AYU162"/>
      <c r="AYV162"/>
      <c r="AYW162"/>
      <c r="AYX162"/>
      <c r="AYY162"/>
      <c r="AYZ162"/>
      <c r="AZA162"/>
      <c r="AZB162"/>
      <c r="AZC162"/>
      <c r="AZD162"/>
      <c r="AZE162"/>
      <c r="AZF162"/>
      <c r="AZG162"/>
      <c r="AZH162"/>
      <c r="AZI162"/>
      <c r="AZJ162"/>
      <c r="AZK162"/>
      <c r="AZL162"/>
      <c r="AZM162"/>
      <c r="AZN162"/>
      <c r="AZO162"/>
      <c r="AZP162"/>
      <c r="AZQ162"/>
      <c r="AZR162"/>
      <c r="AZS162"/>
      <c r="AZT162"/>
      <c r="AZU162"/>
      <c r="AZV162"/>
      <c r="AZW162"/>
      <c r="AZX162"/>
      <c r="AZY162"/>
      <c r="AZZ162"/>
      <c r="BAA162"/>
      <c r="BAB162"/>
      <c r="BAC162"/>
      <c r="BAD162"/>
      <c r="BAE162"/>
      <c r="BAF162"/>
      <c r="BAG162"/>
      <c r="BAH162"/>
      <c r="BAI162"/>
      <c r="BAJ162"/>
      <c r="BAK162"/>
      <c r="BAL162"/>
      <c r="BAM162"/>
      <c r="BAN162"/>
      <c r="BAO162"/>
      <c r="BAP162"/>
      <c r="BAQ162"/>
      <c r="BAR162"/>
      <c r="BAS162"/>
      <c r="BAT162"/>
      <c r="BAU162"/>
      <c r="BAV162"/>
      <c r="BAW162"/>
      <c r="BAX162"/>
      <c r="BAY162"/>
      <c r="BAZ162"/>
      <c r="BBA162"/>
      <c r="BBB162"/>
      <c r="BBC162"/>
      <c r="BBD162"/>
      <c r="BBE162"/>
      <c r="BBF162"/>
      <c r="BBG162"/>
      <c r="BBH162"/>
      <c r="BBI162"/>
      <c r="BBJ162"/>
      <c r="BBK162"/>
      <c r="BBL162"/>
      <c r="BBM162"/>
      <c r="BBN162"/>
      <c r="BBO162"/>
      <c r="BBP162"/>
      <c r="BBQ162"/>
      <c r="BBR162"/>
      <c r="BBS162"/>
      <c r="BBT162"/>
      <c r="BBU162"/>
      <c r="BBV162"/>
      <c r="BBW162"/>
      <c r="BBX162"/>
      <c r="BBY162"/>
      <c r="BBZ162"/>
      <c r="BCA162"/>
      <c r="BCB162"/>
      <c r="BCC162"/>
      <c r="BCD162"/>
      <c r="BCE162"/>
      <c r="BCF162"/>
      <c r="BCG162"/>
      <c r="BCH162"/>
      <c r="BCI162"/>
      <c r="BCJ162"/>
      <c r="BCK162"/>
      <c r="BCL162"/>
      <c r="BCM162"/>
      <c r="BCN162"/>
      <c r="BCO162"/>
      <c r="BCP162"/>
      <c r="BCQ162"/>
      <c r="BCR162"/>
      <c r="BCS162"/>
      <c r="BCT162"/>
      <c r="BCU162"/>
      <c r="BCV162"/>
      <c r="BCW162"/>
      <c r="BCX162"/>
      <c r="BCY162"/>
      <c r="BCZ162"/>
      <c r="BDA162"/>
      <c r="BDB162"/>
      <c r="BDC162"/>
      <c r="BDD162"/>
      <c r="BDE162"/>
      <c r="BDF162"/>
      <c r="BDG162"/>
      <c r="BDH162"/>
      <c r="BDI162"/>
      <c r="BDJ162"/>
      <c r="BDK162"/>
      <c r="BDL162"/>
      <c r="BDM162"/>
      <c r="BDN162"/>
      <c r="BDO162"/>
      <c r="BDP162"/>
      <c r="BDQ162"/>
      <c r="BDR162"/>
      <c r="BDS162"/>
      <c r="BDT162"/>
      <c r="BDU162"/>
      <c r="BDV162"/>
      <c r="BDW162"/>
      <c r="BDX162"/>
      <c r="BDY162"/>
      <c r="BDZ162"/>
      <c r="BEA162"/>
      <c r="BEB162"/>
      <c r="BEC162"/>
      <c r="BED162"/>
      <c r="BEE162"/>
      <c r="BEF162"/>
      <c r="BEG162"/>
      <c r="BEH162"/>
      <c r="BEI162"/>
      <c r="BEJ162"/>
      <c r="BEK162"/>
      <c r="BEL162"/>
      <c r="BEM162"/>
      <c r="BEN162"/>
      <c r="BEO162"/>
      <c r="BEP162"/>
      <c r="BEQ162"/>
      <c r="BER162"/>
      <c r="BES162"/>
      <c r="BET162"/>
      <c r="BEU162"/>
      <c r="BEV162"/>
      <c r="BEW162"/>
      <c r="BEX162"/>
      <c r="BEY162"/>
      <c r="BEZ162"/>
      <c r="BFA162"/>
      <c r="BFB162"/>
      <c r="BFC162"/>
      <c r="BFD162"/>
      <c r="BFE162"/>
      <c r="BFF162"/>
      <c r="BFG162"/>
      <c r="BFH162"/>
      <c r="BFI162"/>
      <c r="BFJ162"/>
      <c r="BFK162"/>
      <c r="BFL162"/>
      <c r="BFM162"/>
      <c r="BFN162"/>
      <c r="BFO162"/>
      <c r="BFP162"/>
      <c r="BFQ162"/>
      <c r="BFR162"/>
      <c r="BFS162"/>
      <c r="BFT162"/>
      <c r="BFU162"/>
      <c r="BFV162"/>
      <c r="BFW162"/>
      <c r="BFX162"/>
      <c r="BFY162"/>
      <c r="BFZ162"/>
      <c r="BGA162"/>
      <c r="BGB162"/>
      <c r="BGC162"/>
      <c r="BGD162"/>
      <c r="BGE162"/>
      <c r="BGF162"/>
      <c r="BGG162"/>
      <c r="BGH162"/>
      <c r="BGI162"/>
      <c r="BGJ162"/>
      <c r="BGK162"/>
      <c r="BGL162"/>
      <c r="BGM162"/>
      <c r="BGN162"/>
      <c r="BGO162"/>
      <c r="BGP162"/>
      <c r="BGQ162"/>
      <c r="BGR162"/>
      <c r="BGS162"/>
      <c r="BGT162"/>
      <c r="BGU162"/>
      <c r="BGV162"/>
      <c r="BGW162"/>
      <c r="BGX162"/>
      <c r="BGY162"/>
      <c r="BGZ162"/>
      <c r="BHA162"/>
      <c r="BHB162"/>
      <c r="BHC162"/>
      <c r="BHD162"/>
      <c r="BHE162"/>
      <c r="BHF162"/>
      <c r="BHG162"/>
      <c r="BHH162"/>
      <c r="BHI162"/>
      <c r="BHJ162"/>
      <c r="BHK162"/>
      <c r="BHL162"/>
      <c r="BHM162"/>
      <c r="BHN162"/>
      <c r="BHO162"/>
      <c r="BHP162"/>
      <c r="BHQ162"/>
      <c r="BHR162"/>
      <c r="BHS162"/>
      <c r="BHT162"/>
      <c r="BHU162"/>
      <c r="BHV162"/>
      <c r="BHW162"/>
      <c r="BHX162"/>
      <c r="BHY162"/>
      <c r="BHZ162"/>
      <c r="BIA162"/>
      <c r="BIB162"/>
      <c r="BIC162"/>
      <c r="BID162"/>
      <c r="BIE162"/>
      <c r="BIF162"/>
      <c r="BIG162"/>
      <c r="BIH162"/>
      <c r="BII162"/>
      <c r="BIJ162"/>
      <c r="BIK162"/>
      <c r="BIL162"/>
      <c r="BIM162"/>
      <c r="BIN162"/>
      <c r="BIO162"/>
      <c r="BIP162"/>
      <c r="BIQ162"/>
      <c r="BIR162"/>
      <c r="BIS162"/>
      <c r="BIT162"/>
      <c r="BIU162"/>
      <c r="BIV162"/>
      <c r="BIW162"/>
      <c r="BIX162"/>
      <c r="BIY162"/>
      <c r="BIZ162"/>
      <c r="BJA162"/>
      <c r="BJB162"/>
      <c r="BJC162"/>
      <c r="BJD162"/>
      <c r="BJE162"/>
      <c r="BJF162"/>
      <c r="BJG162"/>
      <c r="BJH162"/>
      <c r="BJI162"/>
      <c r="BJJ162"/>
      <c r="BJK162"/>
      <c r="BJL162"/>
      <c r="BJM162"/>
      <c r="BJN162"/>
      <c r="BJO162"/>
      <c r="BJP162"/>
      <c r="BJQ162"/>
      <c r="BJR162"/>
      <c r="BJS162"/>
      <c r="BJT162"/>
      <c r="BJU162"/>
      <c r="BJV162"/>
      <c r="BJW162"/>
      <c r="BJX162"/>
      <c r="BJY162"/>
      <c r="BJZ162"/>
      <c r="BKA162"/>
      <c r="BKB162"/>
      <c r="BKC162"/>
      <c r="BKD162"/>
      <c r="BKE162"/>
      <c r="BKF162"/>
      <c r="BKG162"/>
      <c r="BKH162"/>
      <c r="BKI162"/>
      <c r="BKJ162"/>
      <c r="BKK162"/>
      <c r="BKL162"/>
      <c r="BKM162"/>
      <c r="BKN162"/>
      <c r="BKO162"/>
      <c r="BKP162"/>
      <c r="BKQ162"/>
      <c r="BKR162"/>
      <c r="BKS162"/>
      <c r="BKT162"/>
      <c r="BKU162"/>
      <c r="BKV162"/>
      <c r="BKW162"/>
      <c r="BKX162"/>
      <c r="BKY162"/>
      <c r="BKZ162"/>
      <c r="BLA162"/>
      <c r="BLB162"/>
      <c r="BLC162"/>
      <c r="BLD162"/>
      <c r="BLE162"/>
      <c r="BLF162"/>
      <c r="BLG162"/>
      <c r="BLH162"/>
      <c r="BLI162"/>
      <c r="BLJ162"/>
      <c r="BLK162"/>
      <c r="BLL162"/>
      <c r="BLM162"/>
      <c r="BLN162"/>
      <c r="BLO162"/>
      <c r="BLP162"/>
      <c r="BLQ162"/>
      <c r="BLR162"/>
      <c r="BLS162"/>
      <c r="BLT162"/>
      <c r="BLU162"/>
      <c r="BLV162"/>
      <c r="BLW162"/>
      <c r="BLX162"/>
      <c r="BLY162"/>
      <c r="BLZ162"/>
      <c r="BMA162"/>
      <c r="BMB162"/>
      <c r="BMC162"/>
      <c r="BMD162"/>
      <c r="BME162"/>
      <c r="BMF162"/>
      <c r="BMG162"/>
      <c r="BMH162"/>
      <c r="BMI162"/>
      <c r="BMJ162"/>
      <c r="BMK162"/>
      <c r="BML162"/>
      <c r="BMM162"/>
      <c r="BMN162"/>
      <c r="BMO162"/>
      <c r="BMP162"/>
      <c r="BMQ162"/>
      <c r="BMR162"/>
      <c r="BMS162"/>
      <c r="BMT162"/>
      <c r="BMU162"/>
      <c r="BMV162"/>
      <c r="BMW162"/>
      <c r="BMX162"/>
      <c r="BMY162"/>
      <c r="BMZ162"/>
      <c r="BNA162"/>
      <c r="BNB162"/>
      <c r="BNC162"/>
      <c r="BND162"/>
      <c r="BNE162"/>
      <c r="BNF162"/>
      <c r="BNG162"/>
      <c r="BNH162"/>
      <c r="BNI162"/>
      <c r="BNJ162"/>
      <c r="BNK162"/>
      <c r="BNL162"/>
      <c r="BNM162"/>
      <c r="BNN162"/>
      <c r="BNO162"/>
      <c r="BNP162"/>
      <c r="BNQ162"/>
      <c r="BNR162"/>
      <c r="BNS162"/>
      <c r="BNT162"/>
      <c r="BNU162"/>
      <c r="BNV162"/>
      <c r="BNW162"/>
      <c r="BNX162"/>
      <c r="BNY162"/>
      <c r="BNZ162"/>
      <c r="BOA162"/>
      <c r="BOB162"/>
      <c r="BOC162"/>
      <c r="BOD162"/>
      <c r="BOE162"/>
      <c r="BOF162"/>
      <c r="BOG162"/>
      <c r="BOH162"/>
      <c r="BOI162"/>
      <c r="BOJ162"/>
      <c r="BOK162"/>
      <c r="BOL162"/>
      <c r="BOM162"/>
      <c r="BON162"/>
      <c r="BOO162"/>
      <c r="BOP162"/>
      <c r="BOQ162"/>
      <c r="BOR162"/>
      <c r="BOS162"/>
      <c r="BOT162"/>
      <c r="BOU162"/>
      <c r="BOV162"/>
      <c r="BOW162"/>
      <c r="BOX162"/>
      <c r="BOY162"/>
      <c r="BOZ162"/>
      <c r="BPA162"/>
      <c r="BPB162"/>
      <c r="BPC162"/>
      <c r="BPD162"/>
      <c r="BPE162"/>
      <c r="BPF162"/>
      <c r="BPG162"/>
      <c r="BPH162"/>
      <c r="BPI162"/>
      <c r="BPJ162"/>
      <c r="BPK162"/>
      <c r="BPL162"/>
      <c r="BPM162"/>
      <c r="BPN162"/>
      <c r="BPO162"/>
      <c r="BPP162"/>
      <c r="BPQ162"/>
      <c r="BPR162"/>
      <c r="BPS162"/>
      <c r="BPT162"/>
      <c r="BPU162"/>
      <c r="BPV162"/>
      <c r="BPW162"/>
      <c r="BPX162"/>
      <c r="BPY162"/>
      <c r="BPZ162"/>
      <c r="BQA162"/>
      <c r="BQB162"/>
      <c r="BQC162"/>
      <c r="BQD162"/>
      <c r="BQE162"/>
      <c r="BQF162"/>
      <c r="BQG162"/>
      <c r="BQH162"/>
      <c r="BQI162"/>
      <c r="BQJ162"/>
      <c r="BQK162"/>
      <c r="BQL162"/>
      <c r="BQM162"/>
      <c r="BQN162"/>
      <c r="BQO162"/>
      <c r="BQP162"/>
      <c r="BQQ162"/>
      <c r="BQR162"/>
      <c r="BQS162"/>
      <c r="BQT162"/>
      <c r="BQU162"/>
      <c r="BQV162"/>
      <c r="BQW162"/>
      <c r="BQX162"/>
      <c r="BQY162"/>
      <c r="BQZ162"/>
      <c r="BRA162"/>
      <c r="BRB162"/>
      <c r="BRC162"/>
      <c r="BRD162"/>
      <c r="BRE162"/>
      <c r="BRF162"/>
      <c r="BRG162"/>
      <c r="BRH162"/>
      <c r="BRI162"/>
      <c r="BRJ162"/>
      <c r="BRK162"/>
      <c r="BRL162"/>
      <c r="BRM162"/>
      <c r="BRN162"/>
      <c r="BRO162"/>
      <c r="BRP162"/>
      <c r="BRQ162"/>
      <c r="BRR162"/>
      <c r="BRS162"/>
      <c r="BRT162"/>
      <c r="BRU162"/>
      <c r="BRV162"/>
      <c r="BRW162"/>
      <c r="BRX162"/>
      <c r="BRY162"/>
      <c r="BRZ162"/>
      <c r="BSA162"/>
      <c r="BSB162"/>
      <c r="BSC162"/>
      <c r="BSD162"/>
      <c r="BSE162"/>
      <c r="BSF162"/>
      <c r="BSG162"/>
      <c r="BSH162"/>
      <c r="BSI162"/>
      <c r="BSJ162"/>
      <c r="BSK162"/>
      <c r="BSL162"/>
      <c r="BSM162"/>
      <c r="BSN162"/>
      <c r="BSO162"/>
      <c r="BSP162"/>
      <c r="BSQ162"/>
      <c r="BSR162"/>
      <c r="BSS162"/>
      <c r="BST162"/>
      <c r="BSU162"/>
      <c r="BSV162"/>
      <c r="BSW162"/>
      <c r="BSX162"/>
      <c r="BSY162"/>
      <c r="BSZ162"/>
      <c r="BTA162"/>
      <c r="BTB162"/>
      <c r="BTC162"/>
      <c r="BTD162"/>
      <c r="BTE162"/>
      <c r="BTF162"/>
      <c r="BTG162"/>
      <c r="BTH162"/>
      <c r="BTI162"/>
      <c r="BTJ162"/>
      <c r="BTK162"/>
      <c r="BTL162"/>
      <c r="BTM162"/>
      <c r="BTN162"/>
      <c r="BTO162"/>
      <c r="BTP162"/>
      <c r="BTQ162"/>
      <c r="BTR162"/>
      <c r="BTS162"/>
      <c r="BTT162"/>
      <c r="BTU162"/>
      <c r="BTV162"/>
      <c r="BTW162"/>
      <c r="BTX162"/>
      <c r="BTY162"/>
      <c r="BTZ162"/>
      <c r="BUA162"/>
      <c r="BUB162"/>
      <c r="BUC162"/>
      <c r="BUD162"/>
      <c r="BUE162"/>
      <c r="BUF162"/>
      <c r="BUG162"/>
      <c r="BUH162"/>
      <c r="BUI162"/>
      <c r="BUJ162"/>
      <c r="BUK162"/>
      <c r="BUL162"/>
      <c r="BUM162"/>
      <c r="BUN162"/>
      <c r="BUO162"/>
      <c r="BUP162"/>
      <c r="BUQ162"/>
      <c r="BUR162"/>
      <c r="BUS162"/>
      <c r="BUT162"/>
      <c r="BUU162"/>
      <c r="BUV162"/>
      <c r="BUW162"/>
      <c r="BUX162"/>
      <c r="BUY162"/>
      <c r="BUZ162"/>
      <c r="BVA162"/>
      <c r="BVB162"/>
      <c r="BVC162"/>
      <c r="BVD162"/>
      <c r="BVE162"/>
      <c r="BVF162"/>
      <c r="BVG162"/>
      <c r="BVH162"/>
      <c r="BVI162"/>
      <c r="BVJ162"/>
      <c r="BVK162"/>
      <c r="BVL162"/>
      <c r="BVM162"/>
      <c r="BVN162"/>
      <c r="BVO162"/>
      <c r="BVP162"/>
      <c r="BVQ162"/>
      <c r="BVR162"/>
      <c r="BVS162"/>
      <c r="BVT162"/>
      <c r="BVU162"/>
      <c r="BVV162"/>
      <c r="BVW162"/>
      <c r="BVX162"/>
      <c r="BVY162"/>
      <c r="BVZ162"/>
      <c r="BWA162"/>
      <c r="BWB162"/>
      <c r="BWC162"/>
      <c r="BWD162"/>
      <c r="BWE162"/>
      <c r="BWF162"/>
      <c r="BWG162"/>
      <c r="BWH162"/>
      <c r="BWI162"/>
      <c r="BWJ162"/>
      <c r="BWK162"/>
      <c r="BWL162"/>
      <c r="BWM162"/>
      <c r="BWN162"/>
      <c r="BWO162"/>
      <c r="BWP162"/>
      <c r="BWQ162"/>
      <c r="BWR162"/>
      <c r="BWS162"/>
      <c r="BWT162"/>
      <c r="BWU162"/>
      <c r="BWV162"/>
      <c r="BWW162"/>
      <c r="BWX162"/>
      <c r="BWY162"/>
      <c r="BWZ162"/>
      <c r="BXA162"/>
      <c r="BXB162"/>
      <c r="BXC162"/>
      <c r="BXD162"/>
      <c r="BXE162"/>
      <c r="BXF162"/>
      <c r="BXG162"/>
      <c r="BXH162"/>
      <c r="BXI162"/>
      <c r="BXJ162"/>
      <c r="BXK162"/>
      <c r="BXL162"/>
      <c r="BXM162"/>
      <c r="BXN162"/>
      <c r="BXO162"/>
      <c r="BXP162"/>
      <c r="BXQ162"/>
      <c r="BXR162"/>
      <c r="BXS162"/>
      <c r="BXT162"/>
      <c r="BXU162"/>
      <c r="BXV162"/>
      <c r="BXW162"/>
      <c r="BXX162"/>
      <c r="BXY162"/>
      <c r="BXZ162"/>
      <c r="BYA162"/>
      <c r="BYB162"/>
      <c r="BYC162"/>
      <c r="BYD162"/>
      <c r="BYE162"/>
      <c r="BYF162"/>
      <c r="BYG162"/>
      <c r="BYH162"/>
      <c r="BYI162"/>
      <c r="BYJ162"/>
      <c r="BYK162"/>
      <c r="BYL162"/>
      <c r="BYM162"/>
      <c r="BYN162"/>
      <c r="BYO162"/>
      <c r="BYP162"/>
      <c r="BYQ162"/>
      <c r="BYR162"/>
      <c r="BYS162"/>
      <c r="BYT162"/>
      <c r="BYU162"/>
      <c r="BYV162"/>
      <c r="BYW162"/>
      <c r="BYX162"/>
      <c r="BYY162"/>
      <c r="BYZ162"/>
      <c r="BZA162"/>
      <c r="BZB162"/>
      <c r="BZC162"/>
      <c r="BZD162"/>
      <c r="BZE162"/>
      <c r="BZF162"/>
      <c r="BZG162"/>
      <c r="BZH162"/>
      <c r="BZI162"/>
      <c r="BZJ162"/>
      <c r="BZK162"/>
      <c r="BZL162"/>
      <c r="BZM162"/>
      <c r="BZN162"/>
      <c r="BZO162"/>
      <c r="BZP162"/>
      <c r="BZQ162"/>
      <c r="BZR162"/>
      <c r="BZS162"/>
      <c r="BZT162"/>
      <c r="BZU162"/>
      <c r="BZV162"/>
      <c r="BZW162"/>
      <c r="BZX162"/>
      <c r="BZY162"/>
      <c r="BZZ162"/>
      <c r="CAA162"/>
      <c r="CAB162"/>
      <c r="CAC162"/>
      <c r="CAD162"/>
      <c r="CAE162"/>
      <c r="CAF162"/>
      <c r="CAG162"/>
      <c r="CAH162"/>
      <c r="CAI162"/>
      <c r="CAJ162"/>
      <c r="CAK162"/>
      <c r="CAL162"/>
      <c r="CAM162"/>
      <c r="CAN162"/>
      <c r="CAO162"/>
      <c r="CAP162"/>
      <c r="CAQ162"/>
      <c r="CAR162"/>
      <c r="CAS162"/>
      <c r="CAT162"/>
      <c r="CAU162"/>
      <c r="CAV162"/>
      <c r="CAW162"/>
      <c r="CAX162"/>
      <c r="CAY162"/>
      <c r="CAZ162"/>
      <c r="CBA162"/>
      <c r="CBB162"/>
      <c r="CBC162"/>
      <c r="CBD162"/>
      <c r="CBE162"/>
      <c r="CBF162"/>
      <c r="CBG162"/>
      <c r="CBH162"/>
      <c r="CBI162"/>
      <c r="CBJ162"/>
      <c r="CBK162"/>
      <c r="CBL162"/>
      <c r="CBM162"/>
      <c r="CBN162"/>
      <c r="CBO162"/>
      <c r="CBP162"/>
      <c r="CBQ162"/>
      <c r="CBR162"/>
      <c r="CBS162"/>
      <c r="CBT162"/>
      <c r="CBU162"/>
      <c r="CBV162"/>
      <c r="CBW162"/>
      <c r="CBX162"/>
      <c r="CBY162"/>
      <c r="CBZ162"/>
      <c r="CCA162"/>
      <c r="CCB162"/>
      <c r="CCC162"/>
      <c r="CCD162"/>
      <c r="CCE162"/>
      <c r="CCF162"/>
      <c r="CCG162"/>
      <c r="CCH162"/>
      <c r="CCI162"/>
      <c r="CCJ162"/>
      <c r="CCK162"/>
      <c r="CCL162"/>
      <c r="CCM162"/>
      <c r="CCN162"/>
      <c r="CCO162"/>
      <c r="CCP162"/>
      <c r="CCQ162"/>
      <c r="CCR162"/>
      <c r="CCS162"/>
      <c r="CCT162"/>
      <c r="CCU162"/>
      <c r="CCV162"/>
      <c r="CCW162"/>
      <c r="CCX162"/>
      <c r="CCY162"/>
      <c r="CCZ162"/>
      <c r="CDA162"/>
      <c r="CDB162"/>
      <c r="CDC162"/>
      <c r="CDD162"/>
      <c r="CDE162"/>
      <c r="CDF162"/>
      <c r="CDG162"/>
      <c r="CDH162"/>
      <c r="CDI162"/>
      <c r="CDJ162"/>
      <c r="CDK162"/>
      <c r="CDL162"/>
      <c r="CDM162"/>
      <c r="CDN162"/>
      <c r="CDO162"/>
      <c r="CDP162"/>
      <c r="CDQ162"/>
      <c r="CDR162"/>
      <c r="CDS162"/>
      <c r="CDT162"/>
      <c r="CDU162"/>
      <c r="CDV162"/>
      <c r="CDW162"/>
      <c r="CDX162"/>
      <c r="CDY162"/>
      <c r="CDZ162"/>
      <c r="CEA162"/>
      <c r="CEB162"/>
      <c r="CEC162"/>
      <c r="CED162"/>
      <c r="CEE162"/>
      <c r="CEF162"/>
      <c r="CEG162"/>
      <c r="CEH162"/>
      <c r="CEI162"/>
      <c r="CEJ162"/>
      <c r="CEK162"/>
      <c r="CEL162"/>
      <c r="CEM162"/>
      <c r="CEN162"/>
      <c r="CEO162"/>
      <c r="CEP162"/>
      <c r="CEQ162"/>
      <c r="CER162"/>
      <c r="CES162"/>
      <c r="CET162"/>
      <c r="CEU162"/>
      <c r="CEV162"/>
      <c r="CEW162"/>
      <c r="CEX162"/>
      <c r="CEY162"/>
      <c r="CEZ162"/>
      <c r="CFA162"/>
      <c r="CFB162"/>
      <c r="CFC162"/>
      <c r="CFD162"/>
      <c r="CFE162"/>
      <c r="CFF162"/>
      <c r="CFG162"/>
      <c r="CFH162"/>
      <c r="CFI162"/>
      <c r="CFJ162"/>
      <c r="CFK162"/>
      <c r="CFL162"/>
      <c r="CFM162"/>
      <c r="CFN162"/>
      <c r="CFO162"/>
      <c r="CFP162"/>
      <c r="CFQ162"/>
      <c r="CFR162"/>
      <c r="CFS162"/>
      <c r="CFT162"/>
      <c r="CFU162"/>
      <c r="CFV162"/>
      <c r="CFW162"/>
      <c r="CFX162"/>
      <c r="CFY162"/>
      <c r="CFZ162"/>
      <c r="CGA162"/>
      <c r="CGB162"/>
      <c r="CGC162"/>
      <c r="CGD162"/>
      <c r="CGE162"/>
      <c r="CGF162"/>
      <c r="CGG162"/>
      <c r="CGH162"/>
      <c r="CGI162"/>
      <c r="CGJ162"/>
      <c r="CGK162"/>
      <c r="CGL162"/>
      <c r="CGM162"/>
      <c r="CGN162"/>
      <c r="CGO162"/>
      <c r="CGP162"/>
      <c r="CGQ162"/>
      <c r="CGR162"/>
      <c r="CGS162"/>
      <c r="CGT162"/>
      <c r="CGU162"/>
      <c r="CGV162"/>
      <c r="CGW162"/>
      <c r="CGX162"/>
      <c r="CGY162"/>
      <c r="CGZ162"/>
      <c r="CHA162"/>
      <c r="CHB162"/>
      <c r="CHC162"/>
      <c r="CHD162"/>
      <c r="CHE162"/>
      <c r="CHF162"/>
      <c r="CHG162"/>
      <c r="CHH162"/>
      <c r="CHI162"/>
      <c r="CHJ162"/>
      <c r="CHK162"/>
      <c r="CHL162"/>
      <c r="CHM162"/>
      <c r="CHN162"/>
      <c r="CHO162"/>
      <c r="CHP162"/>
      <c r="CHQ162"/>
      <c r="CHR162"/>
      <c r="CHS162"/>
      <c r="CHT162"/>
      <c r="CHU162"/>
      <c r="CHV162"/>
      <c r="CHW162"/>
      <c r="CHX162"/>
      <c r="CHY162"/>
      <c r="CHZ162"/>
      <c r="CIA162"/>
      <c r="CIB162"/>
      <c r="CIC162"/>
      <c r="CID162"/>
      <c r="CIE162"/>
      <c r="CIF162"/>
      <c r="CIG162"/>
      <c r="CIH162"/>
      <c r="CII162"/>
      <c r="CIJ162"/>
      <c r="CIK162"/>
      <c r="CIL162"/>
      <c r="CIM162"/>
      <c r="CIN162"/>
      <c r="CIO162"/>
      <c r="CIP162"/>
      <c r="CIQ162"/>
      <c r="CIR162"/>
      <c r="CIS162"/>
      <c r="CIT162"/>
      <c r="CIU162"/>
      <c r="CIV162"/>
      <c r="CIW162"/>
      <c r="CIX162"/>
      <c r="CIY162"/>
      <c r="CIZ162"/>
      <c r="CJA162"/>
      <c r="CJB162"/>
      <c r="CJC162"/>
      <c r="CJD162"/>
      <c r="CJE162"/>
      <c r="CJF162"/>
      <c r="CJG162"/>
      <c r="CJH162"/>
      <c r="CJI162"/>
      <c r="CJJ162"/>
      <c r="CJK162"/>
      <c r="CJL162"/>
      <c r="CJM162"/>
      <c r="CJN162"/>
      <c r="CJO162"/>
      <c r="CJP162"/>
      <c r="CJQ162"/>
      <c r="CJR162"/>
      <c r="CJS162"/>
      <c r="CJT162"/>
      <c r="CJU162"/>
      <c r="CJV162"/>
      <c r="CJW162"/>
      <c r="CJX162"/>
      <c r="CJY162"/>
      <c r="CJZ162"/>
      <c r="CKA162"/>
      <c r="CKB162"/>
      <c r="CKC162"/>
      <c r="CKD162"/>
      <c r="CKE162"/>
      <c r="CKF162"/>
      <c r="CKG162"/>
      <c r="CKH162"/>
      <c r="CKI162"/>
      <c r="CKJ162"/>
      <c r="CKK162"/>
      <c r="CKL162"/>
      <c r="CKM162"/>
      <c r="CKN162"/>
      <c r="CKO162"/>
      <c r="CKP162"/>
      <c r="CKQ162"/>
      <c r="CKR162"/>
      <c r="CKS162"/>
      <c r="CKT162"/>
      <c r="CKU162"/>
      <c r="CKV162"/>
      <c r="CKW162"/>
      <c r="CKX162"/>
      <c r="CKY162"/>
      <c r="CKZ162"/>
      <c r="CLA162"/>
      <c r="CLB162"/>
      <c r="CLC162"/>
      <c r="CLD162"/>
      <c r="CLE162"/>
      <c r="CLF162"/>
      <c r="CLG162"/>
      <c r="CLH162"/>
      <c r="CLI162"/>
      <c r="CLJ162"/>
      <c r="CLK162"/>
      <c r="CLL162"/>
      <c r="CLM162"/>
      <c r="CLN162"/>
      <c r="CLO162"/>
      <c r="CLP162"/>
      <c r="CLQ162"/>
      <c r="CLR162"/>
      <c r="CLS162"/>
      <c r="CLT162"/>
      <c r="CLU162"/>
      <c r="CLV162"/>
      <c r="CLW162"/>
      <c r="CLX162"/>
      <c r="CLY162"/>
      <c r="CLZ162"/>
      <c r="CMA162"/>
      <c r="CMB162"/>
      <c r="CMC162"/>
      <c r="CMD162"/>
      <c r="CME162"/>
      <c r="CMF162"/>
      <c r="CMG162"/>
      <c r="CMH162"/>
      <c r="CMI162"/>
      <c r="CMJ162"/>
      <c r="CMK162"/>
      <c r="CML162"/>
      <c r="CMM162"/>
      <c r="CMN162"/>
      <c r="CMO162"/>
      <c r="CMP162"/>
      <c r="CMQ162"/>
      <c r="CMR162"/>
      <c r="CMS162"/>
      <c r="CMT162"/>
      <c r="CMU162"/>
      <c r="CMV162"/>
      <c r="CMW162"/>
      <c r="CMX162"/>
      <c r="CMY162"/>
      <c r="CMZ162"/>
      <c r="CNA162"/>
      <c r="CNB162"/>
      <c r="CNC162"/>
      <c r="CND162"/>
      <c r="CNE162"/>
      <c r="CNF162"/>
      <c r="CNG162"/>
      <c r="CNH162"/>
      <c r="CNI162"/>
      <c r="CNJ162"/>
      <c r="CNK162"/>
      <c r="CNL162"/>
      <c r="CNM162"/>
      <c r="CNN162"/>
      <c r="CNO162"/>
      <c r="CNP162"/>
      <c r="CNQ162"/>
      <c r="CNR162"/>
      <c r="CNS162"/>
      <c r="CNT162"/>
      <c r="CNU162"/>
      <c r="CNV162"/>
      <c r="CNW162"/>
      <c r="CNX162"/>
      <c r="CNY162"/>
      <c r="CNZ162"/>
      <c r="COA162"/>
      <c r="COB162"/>
      <c r="COC162"/>
      <c r="COD162"/>
      <c r="COE162"/>
      <c r="COF162"/>
      <c r="COG162"/>
      <c r="COH162"/>
      <c r="COI162"/>
      <c r="COJ162"/>
      <c r="COK162"/>
      <c r="COL162"/>
      <c r="COM162"/>
      <c r="CON162"/>
      <c r="COO162"/>
      <c r="COP162"/>
      <c r="COQ162"/>
      <c r="COR162"/>
      <c r="COS162"/>
      <c r="COT162"/>
      <c r="COU162"/>
      <c r="COV162"/>
      <c r="COW162"/>
      <c r="COX162"/>
      <c r="COY162"/>
      <c r="COZ162"/>
      <c r="CPA162"/>
      <c r="CPB162"/>
      <c r="CPC162"/>
      <c r="CPD162"/>
      <c r="CPE162"/>
      <c r="CPF162"/>
      <c r="CPG162"/>
      <c r="CPH162"/>
      <c r="CPI162"/>
      <c r="CPJ162"/>
      <c r="CPK162"/>
      <c r="CPL162"/>
      <c r="CPM162"/>
      <c r="CPN162"/>
      <c r="CPO162"/>
      <c r="CPP162"/>
      <c r="CPQ162"/>
      <c r="CPR162"/>
      <c r="CPS162"/>
      <c r="CPT162"/>
      <c r="CPU162"/>
      <c r="CPV162"/>
      <c r="CPW162"/>
      <c r="CPX162"/>
      <c r="CPY162"/>
      <c r="CPZ162"/>
      <c r="CQA162"/>
      <c r="CQB162"/>
      <c r="CQC162"/>
      <c r="CQD162"/>
      <c r="CQE162"/>
      <c r="CQF162"/>
      <c r="CQG162"/>
      <c r="CQH162"/>
      <c r="CQI162"/>
      <c r="CQJ162"/>
      <c r="CQK162"/>
      <c r="CQL162"/>
      <c r="CQM162"/>
      <c r="CQN162"/>
      <c r="CQO162"/>
      <c r="CQP162"/>
      <c r="CQQ162"/>
      <c r="CQR162"/>
      <c r="CQS162"/>
      <c r="CQT162"/>
      <c r="CQU162"/>
      <c r="CQV162"/>
      <c r="CQW162"/>
      <c r="CQX162"/>
      <c r="CQY162"/>
      <c r="CQZ162"/>
      <c r="CRA162"/>
      <c r="CRB162"/>
      <c r="CRC162"/>
      <c r="CRD162"/>
      <c r="CRE162"/>
      <c r="CRF162"/>
      <c r="CRG162"/>
      <c r="CRH162"/>
      <c r="CRI162"/>
      <c r="CRJ162"/>
      <c r="CRK162"/>
      <c r="CRL162"/>
      <c r="CRM162"/>
      <c r="CRN162"/>
      <c r="CRO162"/>
      <c r="CRP162"/>
      <c r="CRQ162"/>
      <c r="CRR162"/>
      <c r="CRS162"/>
      <c r="CRT162"/>
      <c r="CRU162"/>
      <c r="CRV162"/>
      <c r="CRW162"/>
      <c r="CRX162"/>
      <c r="CRY162"/>
      <c r="CRZ162"/>
      <c r="CSA162"/>
      <c r="CSB162"/>
      <c r="CSC162"/>
      <c r="CSD162"/>
      <c r="CSE162"/>
      <c r="CSF162"/>
      <c r="CSG162"/>
      <c r="CSH162"/>
      <c r="CSI162"/>
      <c r="CSJ162"/>
      <c r="CSK162"/>
      <c r="CSL162"/>
      <c r="CSM162"/>
      <c r="CSN162"/>
      <c r="CSO162"/>
      <c r="CSP162"/>
      <c r="CSQ162"/>
      <c r="CSR162"/>
      <c r="CSS162"/>
      <c r="CST162"/>
      <c r="CSU162"/>
      <c r="CSV162"/>
      <c r="CSW162"/>
      <c r="CSX162"/>
      <c r="CSY162"/>
      <c r="CSZ162"/>
      <c r="CTA162"/>
      <c r="CTB162"/>
      <c r="CTC162"/>
      <c r="CTD162"/>
      <c r="CTE162"/>
      <c r="CTF162"/>
      <c r="CTG162"/>
      <c r="CTH162"/>
      <c r="CTI162"/>
      <c r="CTJ162"/>
      <c r="CTK162"/>
      <c r="CTL162"/>
      <c r="CTM162"/>
      <c r="CTN162"/>
      <c r="CTO162"/>
      <c r="CTP162"/>
      <c r="CTQ162"/>
      <c r="CTR162"/>
      <c r="CTS162"/>
      <c r="CTT162"/>
      <c r="CTU162"/>
      <c r="CTV162"/>
      <c r="CTW162"/>
      <c r="CTX162"/>
      <c r="CTY162"/>
      <c r="CTZ162"/>
      <c r="CUA162"/>
      <c r="CUB162"/>
      <c r="CUC162"/>
      <c r="CUD162"/>
      <c r="CUE162"/>
      <c r="CUF162"/>
      <c r="CUG162"/>
      <c r="CUH162"/>
      <c r="CUI162"/>
      <c r="CUJ162"/>
      <c r="CUK162"/>
      <c r="CUL162"/>
      <c r="CUM162"/>
      <c r="CUN162"/>
      <c r="CUO162"/>
      <c r="CUP162"/>
      <c r="CUQ162"/>
      <c r="CUR162"/>
      <c r="CUS162"/>
      <c r="CUT162"/>
      <c r="CUU162"/>
      <c r="CUV162"/>
      <c r="CUW162"/>
      <c r="CUX162"/>
      <c r="CUY162"/>
      <c r="CUZ162"/>
      <c r="CVA162"/>
      <c r="CVB162"/>
      <c r="CVC162"/>
      <c r="CVD162"/>
      <c r="CVE162"/>
      <c r="CVF162"/>
      <c r="CVG162"/>
      <c r="CVH162"/>
      <c r="CVI162"/>
      <c r="CVJ162"/>
      <c r="CVK162"/>
      <c r="CVL162"/>
      <c r="CVM162"/>
      <c r="CVN162"/>
      <c r="CVO162"/>
      <c r="CVP162"/>
      <c r="CVQ162"/>
      <c r="CVR162"/>
      <c r="CVS162"/>
      <c r="CVT162"/>
      <c r="CVU162"/>
      <c r="CVV162"/>
      <c r="CVW162"/>
      <c r="CVX162"/>
      <c r="CVY162"/>
      <c r="CVZ162"/>
      <c r="CWA162"/>
      <c r="CWB162"/>
      <c r="CWC162"/>
      <c r="CWD162"/>
      <c r="CWE162"/>
      <c r="CWF162"/>
      <c r="CWG162"/>
      <c r="CWH162"/>
      <c r="CWI162"/>
      <c r="CWJ162"/>
      <c r="CWK162"/>
      <c r="CWL162"/>
      <c r="CWM162"/>
      <c r="CWN162"/>
      <c r="CWO162"/>
      <c r="CWP162"/>
      <c r="CWQ162"/>
      <c r="CWR162"/>
      <c r="CWS162"/>
      <c r="CWT162"/>
      <c r="CWU162"/>
      <c r="CWV162"/>
      <c r="CWW162"/>
      <c r="CWX162"/>
      <c r="CWY162"/>
      <c r="CWZ162"/>
      <c r="CXA162"/>
      <c r="CXB162"/>
      <c r="CXC162"/>
      <c r="CXD162"/>
      <c r="CXE162"/>
      <c r="CXF162"/>
      <c r="CXG162"/>
      <c r="CXH162"/>
      <c r="CXI162"/>
      <c r="CXJ162"/>
      <c r="CXK162"/>
      <c r="CXL162"/>
      <c r="CXM162"/>
      <c r="CXN162"/>
      <c r="CXO162"/>
      <c r="CXP162"/>
      <c r="CXQ162"/>
      <c r="CXR162"/>
      <c r="CXS162"/>
      <c r="CXT162"/>
      <c r="CXU162"/>
      <c r="CXV162"/>
      <c r="CXW162"/>
      <c r="CXX162"/>
      <c r="CXY162"/>
      <c r="CXZ162"/>
      <c r="CYA162"/>
      <c r="CYB162"/>
      <c r="CYC162"/>
      <c r="CYD162"/>
      <c r="CYE162"/>
      <c r="CYF162"/>
      <c r="CYG162"/>
      <c r="CYH162"/>
      <c r="CYI162"/>
      <c r="CYJ162"/>
      <c r="CYK162"/>
      <c r="CYL162"/>
      <c r="CYM162"/>
      <c r="CYN162"/>
      <c r="CYO162"/>
      <c r="CYP162"/>
      <c r="CYQ162"/>
      <c r="CYR162"/>
      <c r="CYS162"/>
      <c r="CYT162"/>
      <c r="CYU162"/>
      <c r="CYV162"/>
      <c r="CYW162"/>
      <c r="CYX162"/>
      <c r="CYY162"/>
      <c r="CYZ162"/>
      <c r="CZA162"/>
      <c r="CZB162"/>
      <c r="CZC162"/>
      <c r="CZD162"/>
      <c r="CZE162"/>
      <c r="CZF162"/>
      <c r="CZG162"/>
      <c r="CZH162"/>
      <c r="CZI162"/>
      <c r="CZJ162"/>
      <c r="CZK162"/>
      <c r="CZL162"/>
      <c r="CZM162"/>
      <c r="CZN162"/>
      <c r="CZO162"/>
      <c r="CZP162"/>
      <c r="CZQ162"/>
      <c r="CZR162"/>
      <c r="CZS162"/>
      <c r="CZT162"/>
      <c r="CZU162"/>
      <c r="CZV162"/>
      <c r="CZW162"/>
      <c r="CZX162"/>
      <c r="CZY162"/>
      <c r="CZZ162"/>
      <c r="DAA162"/>
      <c r="DAB162"/>
      <c r="DAC162"/>
      <c r="DAD162"/>
      <c r="DAE162"/>
      <c r="DAF162"/>
      <c r="DAG162"/>
      <c r="DAH162"/>
      <c r="DAI162"/>
      <c r="DAJ162"/>
      <c r="DAK162"/>
      <c r="DAL162"/>
      <c r="DAM162"/>
      <c r="DAN162"/>
      <c r="DAO162"/>
      <c r="DAP162"/>
      <c r="DAQ162"/>
      <c r="DAR162"/>
      <c r="DAS162"/>
      <c r="DAT162"/>
      <c r="DAU162"/>
      <c r="DAV162"/>
      <c r="DAW162"/>
      <c r="DAX162"/>
      <c r="DAY162"/>
      <c r="DAZ162"/>
      <c r="DBA162"/>
      <c r="DBB162"/>
      <c r="DBC162"/>
      <c r="DBD162"/>
      <c r="DBE162"/>
      <c r="DBF162"/>
      <c r="DBG162"/>
      <c r="DBH162"/>
      <c r="DBI162"/>
      <c r="DBJ162"/>
      <c r="DBK162"/>
      <c r="DBL162"/>
      <c r="DBM162"/>
      <c r="DBN162"/>
      <c r="DBO162"/>
      <c r="DBP162"/>
      <c r="DBQ162"/>
      <c r="DBR162"/>
      <c r="DBS162"/>
      <c r="DBT162"/>
      <c r="DBU162"/>
      <c r="DBV162"/>
      <c r="DBW162"/>
      <c r="DBX162"/>
      <c r="DBY162"/>
      <c r="DBZ162"/>
      <c r="DCA162"/>
      <c r="DCB162"/>
      <c r="DCC162"/>
      <c r="DCD162"/>
      <c r="DCE162"/>
      <c r="DCF162"/>
      <c r="DCG162"/>
      <c r="DCH162"/>
      <c r="DCI162"/>
      <c r="DCJ162"/>
      <c r="DCK162"/>
      <c r="DCL162"/>
      <c r="DCM162"/>
      <c r="DCN162"/>
      <c r="DCO162"/>
      <c r="DCP162"/>
      <c r="DCQ162"/>
      <c r="DCR162"/>
      <c r="DCS162"/>
      <c r="DCT162"/>
      <c r="DCU162"/>
      <c r="DCV162"/>
      <c r="DCW162"/>
      <c r="DCX162"/>
      <c r="DCY162"/>
      <c r="DCZ162"/>
      <c r="DDA162"/>
      <c r="DDB162"/>
      <c r="DDC162"/>
      <c r="DDD162"/>
      <c r="DDE162"/>
      <c r="DDF162"/>
      <c r="DDG162"/>
      <c r="DDH162"/>
      <c r="DDI162"/>
      <c r="DDJ162"/>
      <c r="DDK162"/>
      <c r="DDL162"/>
      <c r="DDM162"/>
      <c r="DDN162"/>
      <c r="DDO162"/>
      <c r="DDP162"/>
      <c r="DDQ162"/>
      <c r="DDR162"/>
      <c r="DDS162"/>
      <c r="DDT162"/>
      <c r="DDU162"/>
      <c r="DDV162"/>
      <c r="DDW162"/>
      <c r="DDX162"/>
      <c r="DDY162"/>
      <c r="DDZ162"/>
      <c r="DEA162"/>
      <c r="DEB162"/>
      <c r="DEC162"/>
      <c r="DED162"/>
      <c r="DEE162"/>
      <c r="DEF162"/>
      <c r="DEG162"/>
      <c r="DEH162"/>
      <c r="DEI162"/>
      <c r="DEJ162"/>
      <c r="DEK162"/>
      <c r="DEL162"/>
      <c r="DEM162"/>
      <c r="DEN162"/>
      <c r="DEO162"/>
      <c r="DEP162"/>
      <c r="DEQ162"/>
      <c r="DER162"/>
      <c r="DES162"/>
      <c r="DET162"/>
      <c r="DEU162"/>
      <c r="DEV162"/>
      <c r="DEW162"/>
      <c r="DEX162"/>
      <c r="DEY162"/>
      <c r="DEZ162"/>
      <c r="DFA162"/>
      <c r="DFB162"/>
      <c r="DFC162"/>
      <c r="DFD162"/>
      <c r="DFE162"/>
      <c r="DFF162"/>
      <c r="DFG162"/>
      <c r="DFH162"/>
      <c r="DFI162"/>
      <c r="DFJ162"/>
      <c r="DFK162"/>
      <c r="DFL162"/>
      <c r="DFM162"/>
      <c r="DFN162"/>
      <c r="DFO162"/>
      <c r="DFP162"/>
      <c r="DFQ162"/>
      <c r="DFR162"/>
      <c r="DFS162"/>
      <c r="DFT162"/>
      <c r="DFU162"/>
      <c r="DFV162"/>
      <c r="DFW162"/>
      <c r="DFX162"/>
      <c r="DFY162"/>
      <c r="DFZ162"/>
      <c r="DGA162"/>
      <c r="DGB162"/>
      <c r="DGC162"/>
      <c r="DGD162"/>
      <c r="DGE162"/>
      <c r="DGF162"/>
      <c r="DGG162"/>
      <c r="DGH162"/>
      <c r="DGI162"/>
      <c r="DGJ162"/>
      <c r="DGK162"/>
      <c r="DGL162"/>
      <c r="DGM162"/>
      <c r="DGN162"/>
      <c r="DGO162"/>
      <c r="DGP162"/>
      <c r="DGQ162"/>
      <c r="DGR162"/>
      <c r="DGS162"/>
      <c r="DGT162"/>
      <c r="DGU162"/>
      <c r="DGV162"/>
      <c r="DGW162"/>
      <c r="DGX162"/>
      <c r="DGY162"/>
      <c r="DGZ162"/>
      <c r="DHA162"/>
      <c r="DHB162"/>
      <c r="DHC162"/>
      <c r="DHD162"/>
      <c r="DHE162"/>
      <c r="DHF162"/>
      <c r="DHG162"/>
      <c r="DHH162"/>
      <c r="DHI162"/>
      <c r="DHJ162"/>
      <c r="DHK162"/>
      <c r="DHL162"/>
      <c r="DHM162"/>
      <c r="DHN162"/>
      <c r="DHO162"/>
      <c r="DHP162"/>
      <c r="DHQ162"/>
      <c r="DHR162"/>
      <c r="DHS162"/>
      <c r="DHT162"/>
      <c r="DHU162"/>
      <c r="DHV162"/>
      <c r="DHW162"/>
      <c r="DHX162"/>
      <c r="DHY162"/>
      <c r="DHZ162"/>
      <c r="DIA162"/>
      <c r="DIB162"/>
      <c r="DIC162"/>
      <c r="DID162"/>
      <c r="DIE162"/>
      <c r="DIF162"/>
      <c r="DIG162"/>
      <c r="DIH162"/>
      <c r="DII162"/>
      <c r="DIJ162"/>
      <c r="DIK162"/>
      <c r="DIL162"/>
      <c r="DIM162"/>
      <c r="DIN162"/>
      <c r="DIO162"/>
      <c r="DIP162"/>
      <c r="DIQ162"/>
      <c r="DIR162"/>
      <c r="DIS162"/>
      <c r="DIT162"/>
      <c r="DIU162"/>
      <c r="DIV162"/>
      <c r="DIW162"/>
      <c r="DIX162"/>
      <c r="DIY162"/>
      <c r="DIZ162"/>
      <c r="DJA162"/>
      <c r="DJB162"/>
      <c r="DJC162"/>
      <c r="DJD162"/>
      <c r="DJE162"/>
      <c r="DJF162"/>
      <c r="DJG162"/>
      <c r="DJH162"/>
      <c r="DJI162"/>
      <c r="DJJ162"/>
      <c r="DJK162"/>
      <c r="DJL162"/>
      <c r="DJM162"/>
      <c r="DJN162"/>
      <c r="DJO162"/>
      <c r="DJP162"/>
      <c r="DJQ162"/>
      <c r="DJR162"/>
      <c r="DJS162"/>
      <c r="DJT162"/>
      <c r="DJU162"/>
      <c r="DJV162"/>
      <c r="DJW162"/>
      <c r="DJX162"/>
      <c r="DJY162"/>
      <c r="DJZ162"/>
      <c r="DKA162"/>
      <c r="DKB162"/>
      <c r="DKC162"/>
      <c r="DKD162"/>
      <c r="DKE162"/>
      <c r="DKF162"/>
      <c r="DKG162"/>
      <c r="DKH162"/>
      <c r="DKI162"/>
      <c r="DKJ162"/>
      <c r="DKK162"/>
      <c r="DKL162"/>
      <c r="DKM162"/>
      <c r="DKN162"/>
      <c r="DKO162"/>
      <c r="DKP162"/>
      <c r="DKQ162"/>
      <c r="DKR162"/>
      <c r="DKS162"/>
      <c r="DKT162"/>
      <c r="DKU162"/>
      <c r="DKV162"/>
      <c r="DKW162"/>
      <c r="DKX162"/>
      <c r="DKY162"/>
      <c r="DKZ162"/>
      <c r="DLA162"/>
      <c r="DLB162"/>
      <c r="DLC162"/>
      <c r="DLD162"/>
      <c r="DLE162"/>
      <c r="DLF162"/>
      <c r="DLG162"/>
      <c r="DLH162"/>
      <c r="DLI162"/>
      <c r="DLJ162"/>
      <c r="DLK162"/>
      <c r="DLL162"/>
      <c r="DLM162"/>
      <c r="DLN162"/>
      <c r="DLO162"/>
      <c r="DLP162"/>
      <c r="DLQ162"/>
      <c r="DLR162"/>
      <c r="DLS162"/>
      <c r="DLT162"/>
      <c r="DLU162"/>
      <c r="DLV162"/>
      <c r="DLW162"/>
      <c r="DLX162"/>
      <c r="DLY162"/>
      <c r="DLZ162"/>
      <c r="DMA162"/>
      <c r="DMB162"/>
    </row>
    <row r="163" spans="1:3044" x14ac:dyDescent="0.2">
      <c r="A163" s="27" t="s">
        <v>806</v>
      </c>
      <c r="B163" s="28" t="s">
        <v>199</v>
      </c>
      <c r="C163" s="274">
        <v>0</v>
      </c>
      <c r="D163" s="255"/>
    </row>
    <row r="164" spans="1:3044" ht="13.5" thickBot="1" x14ac:dyDescent="0.25">
      <c r="A164" s="275"/>
      <c r="B164" s="275"/>
      <c r="C164" s="275"/>
      <c r="D164" s="260"/>
    </row>
    <row r="166" spans="1:3044" ht="13.5" thickBot="1" x14ac:dyDescent="0.25">
      <c r="A166" s="39"/>
      <c r="B166" s="185"/>
    </row>
    <row r="167" spans="1:3044" ht="13.5" thickBot="1" x14ac:dyDescent="0.25">
      <c r="A167" s="360" t="s">
        <v>825</v>
      </c>
      <c r="B167" s="373">
        <f>B20</f>
        <v>1</v>
      </c>
    </row>
    <row r="168" spans="1:3044" x14ac:dyDescent="0.2">
      <c r="A168" s="619"/>
      <c r="B168" s="620">
        <f>HLOOKUP($B$167,$C$168:$J$185,1)</f>
        <v>1</v>
      </c>
      <c r="C168" s="309">
        <v>1</v>
      </c>
      <c r="D168" s="309">
        <v>2</v>
      </c>
      <c r="E168" s="309">
        <v>3</v>
      </c>
      <c r="F168" s="309">
        <v>4</v>
      </c>
      <c r="G168" s="309">
        <v>5</v>
      </c>
      <c r="H168" s="309">
        <v>6</v>
      </c>
      <c r="I168" s="309">
        <v>7</v>
      </c>
      <c r="J168" s="310">
        <v>8</v>
      </c>
    </row>
    <row r="169" spans="1:3044" x14ac:dyDescent="0.2">
      <c r="A169" s="22" t="s">
        <v>31</v>
      </c>
      <c r="B169" s="22">
        <f>HLOOKUP($B$167,$C$168:$J$185,2)</f>
        <v>0</v>
      </c>
      <c r="C169" s="311">
        <f>COUNT(C175:C185)</f>
        <v>0</v>
      </c>
      <c r="D169" s="311">
        <f t="shared" ref="D169:I169" si="0">COUNT(D175:D185)</f>
        <v>9</v>
      </c>
      <c r="E169" s="311">
        <f t="shared" si="0"/>
        <v>7</v>
      </c>
      <c r="F169" s="311">
        <f t="shared" si="0"/>
        <v>6</v>
      </c>
      <c r="G169" s="311">
        <f t="shared" si="0"/>
        <v>5</v>
      </c>
      <c r="H169" s="311">
        <f t="shared" si="0"/>
        <v>4</v>
      </c>
      <c r="I169" s="311">
        <f t="shared" si="0"/>
        <v>6</v>
      </c>
      <c r="J169" s="312" t="s">
        <v>533</v>
      </c>
    </row>
    <row r="170" spans="1:3044" x14ac:dyDescent="0.2">
      <c r="A170" s="21" t="s">
        <v>32</v>
      </c>
      <c r="B170" s="22">
        <f>HLOOKUP($B$167,$C$168:$J$185,3)</f>
        <v>1</v>
      </c>
      <c r="C170" s="313">
        <v>1</v>
      </c>
      <c r="D170" s="313">
        <v>1</v>
      </c>
      <c r="E170" s="313">
        <v>1</v>
      </c>
      <c r="F170" s="313">
        <v>1</v>
      </c>
      <c r="G170" s="313">
        <v>1</v>
      </c>
      <c r="H170" s="313">
        <v>1</v>
      </c>
      <c r="I170" s="313">
        <v>1</v>
      </c>
      <c r="J170" s="314">
        <v>0</v>
      </c>
    </row>
    <row r="171" spans="1:3044" x14ac:dyDescent="0.2">
      <c r="A171" s="21" t="s">
        <v>33</v>
      </c>
      <c r="B171" s="22">
        <f>HLOOKUP($B$167,$C$168:$J$185,4)</f>
        <v>0</v>
      </c>
      <c r="C171" s="313">
        <v>0</v>
      </c>
      <c r="D171" s="313">
        <v>0</v>
      </c>
      <c r="E171" s="313">
        <v>0</v>
      </c>
      <c r="F171" s="313">
        <v>0</v>
      </c>
      <c r="G171" s="313">
        <v>0</v>
      </c>
      <c r="H171" s="313">
        <v>0</v>
      </c>
      <c r="I171" s="313">
        <v>0</v>
      </c>
      <c r="J171" s="314">
        <v>1</v>
      </c>
    </row>
    <row r="172" spans="1:3044" x14ac:dyDescent="0.2">
      <c r="A172" s="21" t="s">
        <v>34</v>
      </c>
      <c r="B172" s="621">
        <f>HLOOKUP($B$167,$C$168:$J$185,5)</f>
        <v>0</v>
      </c>
      <c r="C172" s="315"/>
      <c r="D172" s="313"/>
      <c r="E172" s="313"/>
      <c r="F172" s="313"/>
      <c r="G172" s="313"/>
      <c r="H172" s="313"/>
      <c r="I172" s="313"/>
      <c r="J172" s="622">
        <f>DATE(2000,3,26)-DATE(2000,1,0)</f>
        <v>86</v>
      </c>
    </row>
    <row r="173" spans="1:3044" x14ac:dyDescent="0.2">
      <c r="A173" s="22" t="s">
        <v>35</v>
      </c>
      <c r="B173" s="621">
        <f>HLOOKUP($B$167,$C$168:$J$185,6)</f>
        <v>0</v>
      </c>
      <c r="C173" s="315"/>
      <c r="D173" s="313"/>
      <c r="E173" s="313"/>
      <c r="F173" s="313"/>
      <c r="G173" s="311"/>
      <c r="H173" s="313"/>
      <c r="I173" s="313"/>
      <c r="J173" s="622">
        <f>DATE(2000,10,22)-DATE(2000,1,0)</f>
        <v>296</v>
      </c>
    </row>
    <row r="174" spans="1:3044" x14ac:dyDescent="0.2">
      <c r="A174" s="22" t="s">
        <v>36</v>
      </c>
      <c r="B174" s="22">
        <f>HLOOKUP($B$167,$C$168:$J$185,7)</f>
        <v>0</v>
      </c>
      <c r="C174" s="313"/>
      <c r="D174" s="313"/>
      <c r="E174" s="313"/>
      <c r="F174" s="313"/>
      <c r="G174" s="311"/>
      <c r="H174" s="313"/>
      <c r="I174" s="313"/>
      <c r="J174" s="316">
        <f>$B$21</f>
        <v>45</v>
      </c>
    </row>
    <row r="175" spans="1:3044" x14ac:dyDescent="0.2">
      <c r="A175" s="62" t="s">
        <v>681</v>
      </c>
      <c r="B175" s="623" t="str">
        <f>IF(HLOOKUP(Control!$B$167,$C$168:$J$185,8)&gt;1,HLOOKUP(Control!$B$167,$C$168:$J$185,8)," ")</f>
        <v xml:space="preserve"> </v>
      </c>
      <c r="C175" s="302"/>
      <c r="D175" s="302">
        <f t="shared" ref="D175:H175" si="1">DATE(2000,3,26)-DATE(2000,1,0)</f>
        <v>86</v>
      </c>
      <c r="E175" s="302">
        <f t="shared" si="1"/>
        <v>86</v>
      </c>
      <c r="F175" s="302">
        <f t="shared" si="1"/>
        <v>86</v>
      </c>
      <c r="G175" s="302">
        <f t="shared" si="1"/>
        <v>86</v>
      </c>
      <c r="H175" s="302">
        <f t="shared" si="1"/>
        <v>86</v>
      </c>
      <c r="I175" s="302">
        <f>DATE(2000,5,10)-DATE(2000,1,0)</f>
        <v>131</v>
      </c>
      <c r="J175" s="316"/>
    </row>
    <row r="176" spans="1:3044" x14ac:dyDescent="0.2">
      <c r="A176" s="62" t="s">
        <v>621</v>
      </c>
      <c r="B176" s="623" t="str">
        <f>IF(HLOOKUP(Control!$B$167,$C$168:$J$185,9)&gt;1,HLOOKUP(Control!$B$167,$C$168:$J$185,9)," ")</f>
        <v xml:space="preserve"> </v>
      </c>
      <c r="C176" s="302"/>
      <c r="D176" s="302">
        <f>DATE(2000,4,23)-DATE(2000,1,0)</f>
        <v>114</v>
      </c>
      <c r="E176" s="302">
        <f>DATE(2000,4,30)-DATE(2000,1,0)</f>
        <v>121</v>
      </c>
      <c r="F176" s="302">
        <f>DATE(2000,5,7)-DATE(2000,1,0)</f>
        <v>128</v>
      </c>
      <c r="G176" s="302">
        <f>DATE(2000,5,21)-DATE(2000,1,0)</f>
        <v>142</v>
      </c>
      <c r="H176" s="302">
        <f>DATE(2000,6,4)-DATE(2000,1,0)</f>
        <v>156</v>
      </c>
      <c r="I176" s="302">
        <f>DATE(2000,6,7)-DATE(2000,1,0)</f>
        <v>159</v>
      </c>
      <c r="J176" s="312"/>
    </row>
    <row r="177" spans="1:59" x14ac:dyDescent="0.2">
      <c r="A177" s="62" t="s">
        <v>622</v>
      </c>
      <c r="B177" s="623" t="str">
        <f>IF(HLOOKUP(Control!$B$167,$C$168:$J$185,10)=0," ",HLOOKUP(Control!$B$167,$C$168:$J$185,10))</f>
        <v xml:space="preserve"> </v>
      </c>
      <c r="C177" s="302"/>
      <c r="D177" s="302">
        <f>DATE(2000,5,21)-DATE(2000,1,0)</f>
        <v>142</v>
      </c>
      <c r="E177" s="302">
        <f>DATE(2000,6,4)-DATE(2000,1,0)</f>
        <v>156</v>
      </c>
      <c r="F177" s="302">
        <f>DATE(2000,6,18)-DATE(2000,1,0)</f>
        <v>170</v>
      </c>
      <c r="G177" s="302">
        <f>DATE(2000,7,16)-DATE(2000,1,0)</f>
        <v>198</v>
      </c>
      <c r="H177" s="302">
        <f>DATE(2000,8,13)-DATE(2000,1,0)</f>
        <v>226</v>
      </c>
      <c r="I177" s="302">
        <f>DATE(2000,7,5)-DATE(2000,1,0)</f>
        <v>187</v>
      </c>
      <c r="J177" s="312"/>
    </row>
    <row r="178" spans="1:59" x14ac:dyDescent="0.2">
      <c r="A178" s="62" t="s">
        <v>623</v>
      </c>
      <c r="B178" s="623" t="str">
        <f>IF(HLOOKUP(Control!$B$167,$C$168:$J$185,11)=0," ",HLOOKUP(Control!$B$167,$C$168:$J$185,11))</f>
        <v xml:space="preserve"> </v>
      </c>
      <c r="C178" s="302"/>
      <c r="D178" s="302">
        <f>DATE(2000,6,18)-DATE(2000,1,0)</f>
        <v>170</v>
      </c>
      <c r="E178" s="302">
        <f>DATE(2000,7,9)-DATE(2000,1,0)</f>
        <v>191</v>
      </c>
      <c r="F178" s="302">
        <f>DATE(2000,7,30)-DATE(2000,1,0)</f>
        <v>212</v>
      </c>
      <c r="G178" s="302">
        <f>DATE(2000,9,10)-DATE(2000,1,0)</f>
        <v>254</v>
      </c>
      <c r="H178" s="302">
        <f>DATE(2000,10,22)-DATE(2000,1,0)</f>
        <v>296</v>
      </c>
      <c r="I178" s="302">
        <f>DATE(2000,8,2)-DATE(2000,1,0)</f>
        <v>215</v>
      </c>
      <c r="J178" s="312"/>
    </row>
    <row r="179" spans="1:59" x14ac:dyDescent="0.2">
      <c r="A179" s="62" t="s">
        <v>624</v>
      </c>
      <c r="B179" s="623" t="str">
        <f>IF(HLOOKUP(Control!$B$167,$C$168:$J$185,12)=0," ",HLOOKUP(Control!$B$167,$C$168:$J$185,12))</f>
        <v xml:space="preserve"> </v>
      </c>
      <c r="C179" s="302"/>
      <c r="D179" s="302">
        <f>DATE(2000,7,16)-DATE(2000,1,0)</f>
        <v>198</v>
      </c>
      <c r="E179" s="302">
        <f>DATE(2000,8,13)-DATE(2000,1,0)</f>
        <v>226</v>
      </c>
      <c r="F179" s="302">
        <f>DATE(2000,9,10)-DATE(2000,1,0)</f>
        <v>254</v>
      </c>
      <c r="G179" s="302">
        <f>DATE(2000,10,22)-DATE(2000,1,0)</f>
        <v>296</v>
      </c>
      <c r="H179" s="302"/>
      <c r="I179" s="302">
        <f>DATE(2000,8,30)-DATE(2000,1,0)</f>
        <v>243</v>
      </c>
      <c r="J179" s="312"/>
    </row>
    <row r="180" spans="1:59" x14ac:dyDescent="0.2">
      <c r="A180" s="62" t="s">
        <v>625</v>
      </c>
      <c r="B180" s="623" t="str">
        <f>IF(HLOOKUP(Control!$B$167,$C$168:$J$185,13)=0," ",HLOOKUP(Control!$B$167,$C$168:$J$185,13))</f>
        <v xml:space="preserve"> </v>
      </c>
      <c r="C180" s="302"/>
      <c r="D180" s="302">
        <f>DATE(2000,8,13)-DATE(2000,1,0)</f>
        <v>226</v>
      </c>
      <c r="E180" s="302">
        <f>DATE(2000,9,17)-DATE(2000,1,0)</f>
        <v>261</v>
      </c>
      <c r="F180" s="302">
        <f>DATE(2000,10,22)-DATE(2000,1,0)</f>
        <v>296</v>
      </c>
      <c r="G180" s="302"/>
      <c r="H180" s="302"/>
      <c r="I180" s="302">
        <f>DATE(2000,9,27)-DATE(2000,1,0)</f>
        <v>271</v>
      </c>
      <c r="J180" s="318"/>
    </row>
    <row r="181" spans="1:59" x14ac:dyDescent="0.2">
      <c r="A181" s="62" t="s">
        <v>626</v>
      </c>
      <c r="B181" s="624" t="str">
        <f>IF(HLOOKUP(Control!$B$167,$C$168:$J$185,14)=0," ",HLOOKUP(Control!$B$167,$C$168:$J$185,14))</f>
        <v xml:space="preserve"> </v>
      </c>
      <c r="C181" s="302"/>
      <c r="D181" s="302">
        <f>DATE(2000,9,10)-DATE(2000,1,0)</f>
        <v>254</v>
      </c>
      <c r="E181" s="302">
        <f>DATE(2000,10,22)-DATE(2000,1,0)</f>
        <v>296</v>
      </c>
      <c r="F181" s="302"/>
      <c r="G181" s="302"/>
      <c r="H181" s="302"/>
      <c r="I181" s="302"/>
      <c r="J181" s="318"/>
    </row>
    <row r="182" spans="1:59" x14ac:dyDescent="0.2">
      <c r="A182" s="64" t="s">
        <v>627</v>
      </c>
      <c r="B182" s="624" t="str">
        <f>IF(HLOOKUP(Control!$B$167,$C$168:$J$185,15)=0," ",HLOOKUP(Control!$B$167,$C$168:$J$185,15))</f>
        <v xml:space="preserve"> </v>
      </c>
      <c r="C182" s="302"/>
      <c r="D182" s="302">
        <f>DATE(2000,10,8)-DATE(2000,1,0)</f>
        <v>282</v>
      </c>
      <c r="E182" s="302"/>
      <c r="F182" s="302"/>
      <c r="G182" s="302"/>
      <c r="H182" s="302"/>
      <c r="I182" s="302"/>
      <c r="J182" s="318"/>
    </row>
    <row r="183" spans="1:59" x14ac:dyDescent="0.2">
      <c r="A183" s="64" t="s">
        <v>628</v>
      </c>
      <c r="B183" s="624" t="str">
        <f>IF(HLOOKUP(Control!$B$167,$C$168:$J$185,16)=0," ",HLOOKUP(Control!$B$167,$C$168:$J$185,16))</f>
        <v xml:space="preserve"> </v>
      </c>
      <c r="C183" s="302"/>
      <c r="D183" s="302">
        <f>DATE(2000,10,22)-DATE(2000,1,0)</f>
        <v>296</v>
      </c>
      <c r="E183" s="302"/>
      <c r="F183" s="302"/>
      <c r="G183" s="302"/>
      <c r="H183" s="302"/>
      <c r="I183" s="302"/>
      <c r="J183" s="318"/>
    </row>
    <row r="184" spans="1:59" x14ac:dyDescent="0.2">
      <c r="A184" s="64" t="s">
        <v>629</v>
      </c>
      <c r="B184" s="624" t="str">
        <f>IF(HLOOKUP(Control!$B$167,$C$168:$J$185,17)=0," ",HLOOKUP(Control!$B$167,$C$168:$J$185,17))</f>
        <v xml:space="preserve"> </v>
      </c>
      <c r="C184" s="302"/>
      <c r="D184" s="302"/>
      <c r="E184" s="302"/>
      <c r="F184" s="302"/>
      <c r="G184" s="302"/>
      <c r="H184" s="302"/>
      <c r="I184" s="302"/>
      <c r="J184" s="318"/>
    </row>
    <row r="185" spans="1:59" ht="13.5" thickBot="1" x14ac:dyDescent="0.25">
      <c r="A185" s="276" t="s">
        <v>630</v>
      </c>
      <c r="B185" s="625" t="str">
        <f>IF(HLOOKUP(Control!$B$167,$C$168:$J$185,18)=0," ",HLOOKUP(Control!$B$167,$C$168:$J$185,18))</f>
        <v xml:space="preserve"> </v>
      </c>
      <c r="C185" s="626"/>
      <c r="D185" s="626"/>
      <c r="E185" s="626"/>
      <c r="F185" s="626"/>
      <c r="G185" s="626"/>
      <c r="H185" s="626"/>
      <c r="I185" s="626"/>
      <c r="J185" s="320"/>
    </row>
    <row r="186" spans="1:59" ht="13.5" thickBot="1" x14ac:dyDescent="0.25">
      <c r="C186" s="617"/>
      <c r="D186" s="617"/>
      <c r="E186" s="617"/>
      <c r="F186" s="617"/>
      <c r="G186" s="617"/>
      <c r="H186" s="617"/>
      <c r="I186" s="617"/>
      <c r="J186" s="618"/>
    </row>
    <row r="187" spans="1:59" ht="13.5" thickBot="1" x14ac:dyDescent="0.25">
      <c r="B187" s="66"/>
      <c r="C187" s="66"/>
      <c r="D187" s="639" t="s">
        <v>846</v>
      </c>
      <c r="E187" s="640"/>
      <c r="F187" s="640"/>
      <c r="G187" s="640"/>
      <c r="H187" s="640"/>
      <c r="I187" s="640"/>
      <c r="J187" s="640"/>
      <c r="K187" s="640"/>
      <c r="L187" s="640"/>
      <c r="M187" s="640"/>
      <c r="N187" s="640"/>
      <c r="O187" s="640"/>
      <c r="P187" s="640"/>
      <c r="Q187" s="640"/>
      <c r="R187" s="640"/>
      <c r="S187" s="640"/>
      <c r="T187" s="640"/>
      <c r="U187" s="640"/>
      <c r="V187" s="640"/>
      <c r="W187" s="640"/>
      <c r="X187" s="640"/>
      <c r="Y187" s="640"/>
      <c r="Z187" s="640"/>
      <c r="AA187" s="640"/>
      <c r="AB187" s="640"/>
      <c r="AC187" s="640"/>
      <c r="AD187" s="640"/>
      <c r="AE187" s="641"/>
      <c r="AF187" s="639" t="s">
        <v>807</v>
      </c>
      <c r="AG187" s="640"/>
      <c r="AH187" s="640"/>
      <c r="AI187" s="640"/>
      <c r="AJ187" s="640"/>
      <c r="AK187" s="640"/>
      <c r="AL187" s="640"/>
      <c r="AM187" s="640"/>
      <c r="AN187" s="640"/>
      <c r="AO187" s="640"/>
      <c r="AP187" s="640"/>
      <c r="AQ187" s="640"/>
      <c r="AR187" s="640"/>
      <c r="AS187" s="640"/>
      <c r="AT187" s="640"/>
      <c r="AU187" s="640"/>
      <c r="AV187" s="640"/>
      <c r="AW187" s="640"/>
      <c r="AX187" s="640"/>
      <c r="AY187" s="640"/>
      <c r="AZ187" s="640"/>
      <c r="BA187" s="640"/>
      <c r="BB187" s="640"/>
      <c r="BC187" s="640"/>
      <c r="BD187" s="640"/>
      <c r="BE187" s="641"/>
    </row>
    <row r="188" spans="1:59" ht="13.5" thickBot="1" x14ac:dyDescent="0.25">
      <c r="A188" s="305" t="s">
        <v>826</v>
      </c>
      <c r="B188" s="400">
        <f>$B$25</f>
        <v>1</v>
      </c>
      <c r="C188" s="277"/>
      <c r="D188" s="636" t="s">
        <v>693</v>
      </c>
      <c r="E188" s="638"/>
      <c r="F188" s="398" t="s">
        <v>708</v>
      </c>
      <c r="G188" s="399"/>
      <c r="H188" s="615" t="s">
        <v>709</v>
      </c>
      <c r="I188" s="616"/>
      <c r="J188" s="615" t="s">
        <v>710</v>
      </c>
      <c r="K188" s="616"/>
      <c r="L188" s="615" t="s">
        <v>711</v>
      </c>
      <c r="M188" s="616"/>
      <c r="N188" s="615" t="s">
        <v>712</v>
      </c>
      <c r="O188" s="616"/>
      <c r="P188" s="615" t="s">
        <v>713</v>
      </c>
      <c r="Q188" s="616"/>
      <c r="R188" s="615" t="s">
        <v>714</v>
      </c>
      <c r="S188" s="616"/>
      <c r="T188" s="615" t="s">
        <v>715</v>
      </c>
      <c r="U188" s="616"/>
      <c r="V188" s="615" t="s">
        <v>716</v>
      </c>
      <c r="W188" s="616"/>
      <c r="X188" s="615" t="s">
        <v>711</v>
      </c>
      <c r="Y188" s="616"/>
      <c r="Z188" s="615" t="s">
        <v>717</v>
      </c>
      <c r="AA188" s="616"/>
      <c r="AB188" s="615" t="s">
        <v>718</v>
      </c>
      <c r="AC188" s="616"/>
      <c r="AD188" s="636"/>
      <c r="AE188" s="637"/>
      <c r="AF188" s="636" t="s">
        <v>693</v>
      </c>
      <c r="AG188" s="638"/>
      <c r="AH188" s="636" t="s">
        <v>694</v>
      </c>
      <c r="AI188" s="638"/>
      <c r="AJ188" s="636" t="s">
        <v>699</v>
      </c>
      <c r="AK188" s="638"/>
      <c r="AL188" s="636" t="s">
        <v>695</v>
      </c>
      <c r="AM188" s="638"/>
      <c r="AN188" s="636" t="s">
        <v>700</v>
      </c>
      <c r="AO188" s="638"/>
      <c r="AP188" s="636" t="s">
        <v>701</v>
      </c>
      <c r="AQ188" s="638"/>
      <c r="AR188" s="636" t="s">
        <v>696</v>
      </c>
      <c r="AS188" s="638"/>
      <c r="AT188" s="636" t="s">
        <v>702</v>
      </c>
      <c r="AU188" s="638"/>
      <c r="AV188" s="636" t="s">
        <v>697</v>
      </c>
      <c r="AW188" s="638"/>
      <c r="AX188" s="636" t="s">
        <v>703</v>
      </c>
      <c r="AY188" s="638"/>
      <c r="AZ188" s="636" t="s">
        <v>704</v>
      </c>
      <c r="BA188" s="638"/>
      <c r="BB188" s="636" t="s">
        <v>698</v>
      </c>
      <c r="BC188" s="638"/>
      <c r="BD188" s="636" t="s">
        <v>705</v>
      </c>
      <c r="BE188" s="638"/>
      <c r="BF188" s="636"/>
      <c r="BG188" s="637"/>
    </row>
    <row r="189" spans="1:59" x14ac:dyDescent="0.2">
      <c r="A189" s="306"/>
      <c r="B189" s="614">
        <f>$B$188</f>
        <v>1</v>
      </c>
      <c r="C189" s="278"/>
      <c r="D189" s="322">
        <v>1</v>
      </c>
      <c r="E189" s="324"/>
      <c r="F189" s="322">
        <f>D$189+1</f>
        <v>2</v>
      </c>
      <c r="G189" s="324"/>
      <c r="H189" s="322">
        <f>F$189+1</f>
        <v>3</v>
      </c>
      <c r="I189" s="324"/>
      <c r="J189" s="322">
        <f>H$189+1</f>
        <v>4</v>
      </c>
      <c r="K189" s="324"/>
      <c r="L189" s="323">
        <f>J$189+1</f>
        <v>5</v>
      </c>
      <c r="M189" s="323"/>
      <c r="N189" s="322">
        <f>L$189+1</f>
        <v>6</v>
      </c>
      <c r="O189" s="324"/>
      <c r="P189" s="322">
        <f>N$189+1</f>
        <v>7</v>
      </c>
      <c r="Q189" s="324"/>
      <c r="R189" s="322">
        <f>P$189+1</f>
        <v>8</v>
      </c>
      <c r="S189" s="324"/>
      <c r="T189" s="322">
        <f>R$189+1</f>
        <v>9</v>
      </c>
      <c r="U189" s="324"/>
      <c r="V189" s="322">
        <f>T$189+1</f>
        <v>10</v>
      </c>
      <c r="W189" s="324"/>
      <c r="X189" s="322">
        <f>V$189+1</f>
        <v>11</v>
      </c>
      <c r="Y189" s="324"/>
      <c r="Z189" s="322">
        <f>X$189+1</f>
        <v>12</v>
      </c>
      <c r="AA189" s="324"/>
      <c r="AB189" s="322">
        <f>Z$189+1</f>
        <v>13</v>
      </c>
      <c r="AC189" s="324"/>
      <c r="AD189" s="322">
        <f>AB$189+1</f>
        <v>14</v>
      </c>
      <c r="AE189" s="324"/>
      <c r="AF189" s="322">
        <f>AD$189+1</f>
        <v>15</v>
      </c>
      <c r="AG189" s="324"/>
      <c r="AH189" s="322">
        <f>AF$189+1</f>
        <v>16</v>
      </c>
      <c r="AI189" s="324"/>
      <c r="AJ189" s="322">
        <f>AH$189+1</f>
        <v>17</v>
      </c>
      <c r="AK189" s="324"/>
      <c r="AL189" s="322">
        <f>AJ$189+1</f>
        <v>18</v>
      </c>
      <c r="AM189" s="324"/>
      <c r="AN189" s="322">
        <f>AL$189+1</f>
        <v>19</v>
      </c>
      <c r="AO189" s="324"/>
      <c r="AP189" s="322">
        <f>AN$189+1</f>
        <v>20</v>
      </c>
      <c r="AQ189" s="324"/>
      <c r="AR189" s="322">
        <f>AP$189+1</f>
        <v>21</v>
      </c>
      <c r="AS189" s="324"/>
      <c r="AT189" s="322">
        <f>AR$189+1</f>
        <v>22</v>
      </c>
      <c r="AU189" s="324"/>
      <c r="AV189" s="322">
        <f>AT$189+1</f>
        <v>23</v>
      </c>
      <c r="AW189" s="324"/>
      <c r="AX189" s="322">
        <f>AV$189+1</f>
        <v>24</v>
      </c>
      <c r="AY189" s="324"/>
      <c r="AZ189" s="322">
        <f>AX$189+1</f>
        <v>25</v>
      </c>
      <c r="BA189" s="324"/>
      <c r="BB189" s="322">
        <f>AZ$189+1</f>
        <v>26</v>
      </c>
      <c r="BC189" s="324"/>
      <c r="BD189" s="322">
        <f>BB$189+1</f>
        <v>27</v>
      </c>
      <c r="BE189" s="324"/>
      <c r="BF189" s="323">
        <f>BD$189+1</f>
        <v>28</v>
      </c>
      <c r="BG189" s="324"/>
    </row>
    <row r="190" spans="1:59" x14ac:dyDescent="0.2">
      <c r="A190" s="280"/>
      <c r="B190" s="289">
        <f>($B$188*2)-1</f>
        <v>1</v>
      </c>
      <c r="C190" s="279">
        <f>$B$190+1</f>
        <v>2</v>
      </c>
      <c r="D190" s="308">
        <v>1</v>
      </c>
      <c r="E190" s="325">
        <f>D$190+1</f>
        <v>2</v>
      </c>
      <c r="F190" s="630">
        <f t="shared" ref="F190:BG190" si="2">E$190+1</f>
        <v>3</v>
      </c>
      <c r="G190" s="325">
        <f t="shared" si="2"/>
        <v>4</v>
      </c>
      <c r="H190" s="630">
        <f t="shared" si="2"/>
        <v>5</v>
      </c>
      <c r="I190" s="325">
        <f t="shared" si="2"/>
        <v>6</v>
      </c>
      <c r="J190" s="630">
        <f t="shared" si="2"/>
        <v>7</v>
      </c>
      <c r="K190" s="325">
        <f t="shared" si="2"/>
        <v>8</v>
      </c>
      <c r="L190" s="627">
        <f t="shared" si="2"/>
        <v>9</v>
      </c>
      <c r="M190" s="301">
        <f t="shared" si="2"/>
        <v>10</v>
      </c>
      <c r="N190" s="630">
        <f t="shared" si="2"/>
        <v>11</v>
      </c>
      <c r="O190" s="325">
        <f t="shared" si="2"/>
        <v>12</v>
      </c>
      <c r="P190" s="630">
        <f t="shared" si="2"/>
        <v>13</v>
      </c>
      <c r="Q190" s="325">
        <f t="shared" si="2"/>
        <v>14</v>
      </c>
      <c r="R190" s="630">
        <f t="shared" si="2"/>
        <v>15</v>
      </c>
      <c r="S190" s="325">
        <f t="shared" si="2"/>
        <v>16</v>
      </c>
      <c r="T190" s="630">
        <f t="shared" si="2"/>
        <v>17</v>
      </c>
      <c r="U190" s="325">
        <f t="shared" si="2"/>
        <v>18</v>
      </c>
      <c r="V190" s="630">
        <f t="shared" si="2"/>
        <v>19</v>
      </c>
      <c r="W190" s="325">
        <f t="shared" si="2"/>
        <v>20</v>
      </c>
      <c r="X190" s="630">
        <f t="shared" si="2"/>
        <v>21</v>
      </c>
      <c r="Y190" s="325">
        <f t="shared" si="2"/>
        <v>22</v>
      </c>
      <c r="Z190" s="630">
        <f t="shared" si="2"/>
        <v>23</v>
      </c>
      <c r="AA190" s="325">
        <f t="shared" si="2"/>
        <v>24</v>
      </c>
      <c r="AB190" s="630">
        <f t="shared" si="2"/>
        <v>25</v>
      </c>
      <c r="AC190" s="325">
        <f t="shared" si="2"/>
        <v>26</v>
      </c>
      <c r="AD190" s="630">
        <f t="shared" si="2"/>
        <v>27</v>
      </c>
      <c r="AE190" s="325">
        <f t="shared" si="2"/>
        <v>28</v>
      </c>
      <c r="AF190" s="630">
        <f t="shared" si="2"/>
        <v>29</v>
      </c>
      <c r="AG190" s="325">
        <f t="shared" si="2"/>
        <v>30</v>
      </c>
      <c r="AH190" s="630">
        <f t="shared" si="2"/>
        <v>31</v>
      </c>
      <c r="AI190" s="325">
        <f t="shared" si="2"/>
        <v>32</v>
      </c>
      <c r="AJ190" s="630">
        <f t="shared" si="2"/>
        <v>33</v>
      </c>
      <c r="AK190" s="325">
        <f t="shared" si="2"/>
        <v>34</v>
      </c>
      <c r="AL190" s="630">
        <f t="shared" si="2"/>
        <v>35</v>
      </c>
      <c r="AM190" s="325">
        <f t="shared" si="2"/>
        <v>36</v>
      </c>
      <c r="AN190" s="630">
        <f t="shared" si="2"/>
        <v>37</v>
      </c>
      <c r="AO190" s="325">
        <f t="shared" si="2"/>
        <v>38</v>
      </c>
      <c r="AP190" s="630">
        <f t="shared" si="2"/>
        <v>39</v>
      </c>
      <c r="AQ190" s="325">
        <f t="shared" si="2"/>
        <v>40</v>
      </c>
      <c r="AR190" s="630">
        <f t="shared" si="2"/>
        <v>41</v>
      </c>
      <c r="AS190" s="325">
        <f t="shared" si="2"/>
        <v>42</v>
      </c>
      <c r="AT190" s="630">
        <f t="shared" si="2"/>
        <v>43</v>
      </c>
      <c r="AU190" s="325">
        <f t="shared" si="2"/>
        <v>44</v>
      </c>
      <c r="AV190" s="630">
        <f t="shared" si="2"/>
        <v>45</v>
      </c>
      <c r="AW190" s="325">
        <f t="shared" si="2"/>
        <v>46</v>
      </c>
      <c r="AX190" s="630">
        <f t="shared" si="2"/>
        <v>47</v>
      </c>
      <c r="AY190" s="325">
        <f t="shared" si="2"/>
        <v>48</v>
      </c>
      <c r="AZ190" s="630">
        <f t="shared" si="2"/>
        <v>49</v>
      </c>
      <c r="BA190" s="325">
        <f t="shared" si="2"/>
        <v>50</v>
      </c>
      <c r="BB190" s="630">
        <f t="shared" si="2"/>
        <v>51</v>
      </c>
      <c r="BC190" s="325">
        <f t="shared" si="2"/>
        <v>52</v>
      </c>
      <c r="BD190" s="630">
        <f t="shared" si="2"/>
        <v>53</v>
      </c>
      <c r="BE190" s="325">
        <f t="shared" si="2"/>
        <v>54</v>
      </c>
      <c r="BF190" s="627">
        <f t="shared" si="2"/>
        <v>55</v>
      </c>
      <c r="BG190" s="325">
        <f t="shared" si="2"/>
        <v>56</v>
      </c>
    </row>
    <row r="191" spans="1:59" x14ac:dyDescent="0.2">
      <c r="A191" s="281" t="s">
        <v>131</v>
      </c>
      <c r="B191" s="290"/>
      <c r="C191" s="282">
        <f>HLOOKUP($C$190,$D$190:$AE$207,2)</f>
        <v>0</v>
      </c>
      <c r="D191" s="326"/>
      <c r="E191" s="314">
        <f>COUNT(E198:E207)</f>
        <v>0</v>
      </c>
      <c r="F191" s="326">
        <v>2</v>
      </c>
      <c r="G191" s="314">
        <f>COUNT(G198:G207)</f>
        <v>10</v>
      </c>
      <c r="H191" s="326">
        <v>2</v>
      </c>
      <c r="I191" s="314">
        <f>COUNT(I198:I207)</f>
        <v>8</v>
      </c>
      <c r="J191" s="326"/>
      <c r="K191" s="314"/>
      <c r="L191" s="315"/>
      <c r="M191" s="327"/>
      <c r="N191" s="326"/>
      <c r="O191" s="314"/>
      <c r="P191" s="326"/>
      <c r="Q191" s="314"/>
      <c r="R191" s="326"/>
      <c r="S191" s="314"/>
      <c r="T191" s="326">
        <v>2</v>
      </c>
      <c r="U191" s="314">
        <f>COUNT(U198:U207)</f>
        <v>8</v>
      </c>
      <c r="V191" s="326">
        <v>2</v>
      </c>
      <c r="W191" s="314">
        <f>COUNT(W198:W207)</f>
        <v>6</v>
      </c>
      <c r="X191" s="326">
        <v>2</v>
      </c>
      <c r="Y191" s="314">
        <f>COUNT(Y198:Y207)</f>
        <v>5</v>
      </c>
      <c r="Z191" s="326">
        <v>2</v>
      </c>
      <c r="AA191" s="314">
        <f>COUNT(AA198:AA207)</f>
        <v>4</v>
      </c>
      <c r="AB191" s="326">
        <v>2</v>
      </c>
      <c r="AC191" s="314">
        <f>COUNT(AC198:AC207)</f>
        <v>3</v>
      </c>
      <c r="AD191" s="326">
        <v>2</v>
      </c>
      <c r="AE191" s="314">
        <f>COUNT(AE198:AE207)</f>
        <v>0</v>
      </c>
      <c r="AF191" s="326"/>
      <c r="AG191" s="314">
        <f>COUNT(AG198:AG207)</f>
        <v>1</v>
      </c>
      <c r="AH191" s="326">
        <v>2</v>
      </c>
      <c r="AI191" s="314">
        <f>COUNT(AI198:AI207)</f>
        <v>6</v>
      </c>
      <c r="AJ191" s="326">
        <v>2</v>
      </c>
      <c r="AK191" s="314">
        <f>COUNT(AK198:AK207)</f>
        <v>6</v>
      </c>
      <c r="AL191" s="326"/>
      <c r="AM191" s="314"/>
      <c r="AN191" s="326"/>
      <c r="AO191" s="314"/>
      <c r="AP191" s="326"/>
      <c r="AQ191" s="314"/>
      <c r="AR191" s="326"/>
      <c r="AS191" s="314"/>
      <c r="AT191" s="326"/>
      <c r="AU191" s="314"/>
      <c r="AV191" s="326">
        <v>2</v>
      </c>
      <c r="AW191" s="314">
        <f>COUNT(AW198:AW207)</f>
        <v>6</v>
      </c>
      <c r="AX191" s="326">
        <v>2</v>
      </c>
      <c r="AY191" s="314">
        <f>COUNT(AY198:AY207)</f>
        <v>6</v>
      </c>
      <c r="AZ191" s="326">
        <v>2</v>
      </c>
      <c r="BA191" s="314">
        <f>COUNT(BA198:BA207)</f>
        <v>6</v>
      </c>
      <c r="BB191" s="326">
        <v>2</v>
      </c>
      <c r="BC191" s="314">
        <f>COUNT(BC198:BC207)</f>
        <v>6</v>
      </c>
      <c r="BD191" s="326">
        <v>2</v>
      </c>
      <c r="BE191" s="314">
        <f>COUNT(BE198:BE207)</f>
        <v>6</v>
      </c>
      <c r="BF191" s="315">
        <v>2</v>
      </c>
      <c r="BG191" s="314">
        <f>COUNT(BG198:BG207)</f>
        <v>0</v>
      </c>
    </row>
    <row r="192" spans="1:59" x14ac:dyDescent="0.2">
      <c r="A192" s="284" t="s">
        <v>32</v>
      </c>
      <c r="B192" s="290"/>
      <c r="C192" s="282"/>
      <c r="D192" s="326">
        <v>1</v>
      </c>
      <c r="E192" s="314">
        <v>1</v>
      </c>
      <c r="F192" s="326">
        <v>0</v>
      </c>
      <c r="G192" s="314">
        <v>1</v>
      </c>
      <c r="H192" s="326">
        <v>0</v>
      </c>
      <c r="I192" s="314">
        <v>1</v>
      </c>
      <c r="J192" s="326"/>
      <c r="K192" s="314"/>
      <c r="L192" s="315"/>
      <c r="M192" s="327"/>
      <c r="N192" s="326"/>
      <c r="O192" s="314"/>
      <c r="P192" s="326"/>
      <c r="Q192" s="314"/>
      <c r="R192" s="326"/>
      <c r="S192" s="314"/>
      <c r="T192" s="326">
        <v>0</v>
      </c>
      <c r="U192" s="314">
        <v>1</v>
      </c>
      <c r="V192" s="326">
        <v>0</v>
      </c>
      <c r="W192" s="314">
        <v>1</v>
      </c>
      <c r="X192" s="326">
        <v>0</v>
      </c>
      <c r="Y192" s="314">
        <v>1</v>
      </c>
      <c r="Z192" s="326">
        <v>0</v>
      </c>
      <c r="AA192" s="314">
        <v>1</v>
      </c>
      <c r="AB192" s="326">
        <v>0</v>
      </c>
      <c r="AC192" s="314">
        <v>1</v>
      </c>
      <c r="AD192" s="326">
        <v>0</v>
      </c>
      <c r="AE192" s="314">
        <v>1</v>
      </c>
      <c r="AF192" s="326">
        <v>0</v>
      </c>
      <c r="AG192" s="314">
        <v>1</v>
      </c>
      <c r="AH192" s="326">
        <v>0</v>
      </c>
      <c r="AI192" s="314">
        <v>1</v>
      </c>
      <c r="AJ192" s="326">
        <v>0</v>
      </c>
      <c r="AK192" s="314">
        <v>1</v>
      </c>
      <c r="AL192" s="326"/>
      <c r="AM192" s="314"/>
      <c r="AN192" s="326"/>
      <c r="AO192" s="314"/>
      <c r="AP192" s="326"/>
      <c r="AQ192" s="314"/>
      <c r="AR192" s="326"/>
      <c r="AS192" s="314"/>
      <c r="AT192" s="326"/>
      <c r="AU192" s="314"/>
      <c r="AV192" s="326">
        <v>0</v>
      </c>
      <c r="AW192" s="314">
        <v>1</v>
      </c>
      <c r="AX192" s="326">
        <v>0</v>
      </c>
      <c r="AY192" s="314">
        <v>1</v>
      </c>
      <c r="AZ192" s="326">
        <v>0</v>
      </c>
      <c r="BA192" s="314">
        <v>1</v>
      </c>
      <c r="BB192" s="326">
        <v>0</v>
      </c>
      <c r="BC192" s="314">
        <v>1</v>
      </c>
      <c r="BD192" s="326">
        <v>0</v>
      </c>
      <c r="BE192" s="314">
        <v>1</v>
      </c>
      <c r="BF192" s="315">
        <v>0</v>
      </c>
      <c r="BG192" s="314">
        <v>1</v>
      </c>
    </row>
    <row r="193" spans="1:59" x14ac:dyDescent="0.2">
      <c r="A193" s="284" t="s">
        <v>33</v>
      </c>
      <c r="B193" s="290"/>
      <c r="C193" s="282"/>
      <c r="D193" s="326"/>
      <c r="E193" s="314"/>
      <c r="F193" s="326"/>
      <c r="G193" s="314"/>
      <c r="H193" s="326"/>
      <c r="I193" s="314"/>
      <c r="J193" s="326"/>
      <c r="K193" s="314"/>
      <c r="L193" s="315"/>
      <c r="M193" s="327"/>
      <c r="N193" s="326"/>
      <c r="O193" s="314"/>
      <c r="P193" s="326"/>
      <c r="Q193" s="314"/>
      <c r="R193" s="326"/>
      <c r="S193" s="314"/>
      <c r="T193" s="326"/>
      <c r="U193" s="314"/>
      <c r="V193" s="326"/>
      <c r="W193" s="314"/>
      <c r="X193" s="326"/>
      <c r="Y193" s="314"/>
      <c r="Z193" s="326"/>
      <c r="AA193" s="314"/>
      <c r="AB193" s="326"/>
      <c r="AC193" s="314"/>
      <c r="AD193" s="326"/>
      <c r="AE193" s="314"/>
      <c r="AF193" s="326"/>
      <c r="AG193" s="314"/>
      <c r="AH193" s="326"/>
      <c r="AI193" s="314"/>
      <c r="AJ193" s="326"/>
      <c r="AK193" s="314"/>
      <c r="AL193" s="326"/>
      <c r="AM193" s="314"/>
      <c r="AN193" s="326"/>
      <c r="AO193" s="314"/>
      <c r="AP193" s="326"/>
      <c r="AQ193" s="314"/>
      <c r="AR193" s="326"/>
      <c r="AS193" s="314"/>
      <c r="AT193" s="326"/>
      <c r="AU193" s="314"/>
      <c r="AV193" s="326"/>
      <c r="AW193" s="314"/>
      <c r="AX193" s="326"/>
      <c r="AY193" s="314"/>
      <c r="AZ193" s="326"/>
      <c r="BA193" s="314"/>
      <c r="BB193" s="326"/>
      <c r="BC193" s="314"/>
      <c r="BD193" s="326"/>
      <c r="BE193" s="314"/>
      <c r="BF193" s="315"/>
      <c r="BG193" s="314"/>
    </row>
    <row r="194" spans="1:59" x14ac:dyDescent="0.2">
      <c r="A194" s="284" t="s">
        <v>34</v>
      </c>
      <c r="B194" s="290"/>
      <c r="C194" s="282"/>
      <c r="D194" s="326"/>
      <c r="E194" s="314"/>
      <c r="F194" s="326"/>
      <c r="G194" s="314"/>
      <c r="H194" s="326"/>
      <c r="I194" s="314"/>
      <c r="J194" s="326"/>
      <c r="K194" s="314"/>
      <c r="L194" s="315"/>
      <c r="M194" s="327"/>
      <c r="N194" s="326"/>
      <c r="O194" s="314"/>
      <c r="P194" s="326"/>
      <c r="Q194" s="314"/>
      <c r="R194" s="326"/>
      <c r="S194" s="314"/>
      <c r="T194" s="326"/>
      <c r="U194" s="314"/>
      <c r="V194" s="326"/>
      <c r="W194" s="314"/>
      <c r="X194" s="326"/>
      <c r="Y194" s="314"/>
      <c r="Z194" s="326"/>
      <c r="AA194" s="314"/>
      <c r="AB194" s="326"/>
      <c r="AC194" s="314"/>
      <c r="AD194" s="326"/>
      <c r="AE194" s="314"/>
      <c r="AF194" s="326"/>
      <c r="AG194" s="314"/>
      <c r="AH194" s="326"/>
      <c r="AI194" s="314"/>
      <c r="AJ194" s="326"/>
      <c r="AK194" s="314"/>
      <c r="AL194" s="326"/>
      <c r="AM194" s="314"/>
      <c r="AN194" s="326"/>
      <c r="AO194" s="314"/>
      <c r="AP194" s="326"/>
      <c r="AQ194" s="314"/>
      <c r="AR194" s="326"/>
      <c r="AS194" s="314"/>
      <c r="AT194" s="326"/>
      <c r="AU194" s="314"/>
      <c r="AV194" s="326"/>
      <c r="AW194" s="314"/>
      <c r="AX194" s="326"/>
      <c r="AY194" s="314"/>
      <c r="AZ194" s="326"/>
      <c r="BA194" s="314"/>
      <c r="BB194" s="326"/>
      <c r="BC194" s="314"/>
      <c r="BD194" s="326"/>
      <c r="BE194" s="314"/>
      <c r="BF194" s="315"/>
      <c r="BG194" s="314"/>
    </row>
    <row r="195" spans="1:59" x14ac:dyDescent="0.2">
      <c r="A195" s="285" t="s">
        <v>35</v>
      </c>
      <c r="B195" s="290"/>
      <c r="C195" s="282"/>
      <c r="D195" s="326"/>
      <c r="E195" s="314"/>
      <c r="F195" s="326"/>
      <c r="G195" s="314"/>
      <c r="H195" s="326"/>
      <c r="I195" s="314"/>
      <c r="J195" s="326"/>
      <c r="K195" s="314"/>
      <c r="L195" s="315"/>
      <c r="M195" s="327"/>
      <c r="N195" s="326"/>
      <c r="O195" s="314"/>
      <c r="P195" s="326"/>
      <c r="Q195" s="314"/>
      <c r="R195" s="326"/>
      <c r="S195" s="314"/>
      <c r="T195" s="326"/>
      <c r="U195" s="314"/>
      <c r="V195" s="326"/>
      <c r="W195" s="314"/>
      <c r="X195" s="326"/>
      <c r="Y195" s="314"/>
      <c r="Z195" s="326"/>
      <c r="AA195" s="314"/>
      <c r="AB195" s="326"/>
      <c r="AC195" s="314"/>
      <c r="AD195" s="326"/>
      <c r="AE195" s="314"/>
      <c r="AF195" s="326"/>
      <c r="AG195" s="314"/>
      <c r="AH195" s="326"/>
      <c r="AI195" s="314"/>
      <c r="AJ195" s="326"/>
      <c r="AK195" s="314"/>
      <c r="AL195" s="326"/>
      <c r="AM195" s="314"/>
      <c r="AN195" s="326"/>
      <c r="AO195" s="314"/>
      <c r="AP195" s="326"/>
      <c r="AQ195" s="314"/>
      <c r="AR195" s="326"/>
      <c r="AS195" s="314"/>
      <c r="AT195" s="326"/>
      <c r="AU195" s="314"/>
      <c r="AV195" s="326"/>
      <c r="AW195" s="314"/>
      <c r="AX195" s="326"/>
      <c r="AY195" s="314"/>
      <c r="AZ195" s="326"/>
      <c r="BA195" s="314"/>
      <c r="BB195" s="326"/>
      <c r="BC195" s="314"/>
      <c r="BD195" s="326"/>
      <c r="BE195" s="314"/>
      <c r="BF195" s="315"/>
      <c r="BG195" s="314"/>
    </row>
    <row r="196" spans="1:59" x14ac:dyDescent="0.2">
      <c r="A196" s="285" t="s">
        <v>36</v>
      </c>
      <c r="B196" s="290"/>
      <c r="C196" s="282"/>
      <c r="D196" s="326"/>
      <c r="E196" s="314"/>
      <c r="F196" s="326"/>
      <c r="G196" s="314"/>
      <c r="H196" s="326"/>
      <c r="I196" s="314"/>
      <c r="J196" s="326"/>
      <c r="K196" s="314"/>
      <c r="L196" s="315"/>
      <c r="M196" s="327"/>
      <c r="N196" s="326"/>
      <c r="O196" s="314"/>
      <c r="P196" s="326"/>
      <c r="Q196" s="314"/>
      <c r="R196" s="326"/>
      <c r="S196" s="314"/>
      <c r="T196" s="326"/>
      <c r="U196" s="314"/>
      <c r="V196" s="326"/>
      <c r="W196" s="314"/>
      <c r="X196" s="326"/>
      <c r="Y196" s="314"/>
      <c r="Z196" s="326"/>
      <c r="AA196" s="314"/>
      <c r="AB196" s="326"/>
      <c r="AC196" s="314"/>
      <c r="AD196" s="326"/>
      <c r="AE196" s="314"/>
      <c r="AF196" s="326"/>
      <c r="AG196" s="314"/>
      <c r="AH196" s="326"/>
      <c r="AI196" s="314"/>
      <c r="AJ196" s="326"/>
      <c r="AK196" s="314"/>
      <c r="AL196" s="326"/>
      <c r="AM196" s="314"/>
      <c r="AN196" s="326"/>
      <c r="AO196" s="314"/>
      <c r="AP196" s="326"/>
      <c r="AQ196" s="314"/>
      <c r="AR196" s="326"/>
      <c r="AS196" s="314"/>
      <c r="AT196" s="326"/>
      <c r="AU196" s="314"/>
      <c r="AV196" s="326"/>
      <c r="AW196" s="314"/>
      <c r="AX196" s="326"/>
      <c r="AY196" s="314"/>
      <c r="AZ196" s="326"/>
      <c r="BA196" s="314"/>
      <c r="BB196" s="326"/>
      <c r="BC196" s="314"/>
      <c r="BD196" s="326"/>
      <c r="BE196" s="314"/>
      <c r="BF196" s="315"/>
      <c r="BG196" s="314"/>
    </row>
    <row r="197" spans="1:59" ht="14.25" x14ac:dyDescent="0.2">
      <c r="A197" s="285"/>
      <c r="B197" s="291" t="s">
        <v>138</v>
      </c>
      <c r="C197" s="286" t="s">
        <v>669</v>
      </c>
      <c r="D197" s="347" t="s">
        <v>138</v>
      </c>
      <c r="E197" s="349" t="s">
        <v>692</v>
      </c>
      <c r="F197" s="347" t="s">
        <v>138</v>
      </c>
      <c r="G197" s="349" t="s">
        <v>692</v>
      </c>
      <c r="H197" s="347" t="s">
        <v>138</v>
      </c>
      <c r="I197" s="349" t="s">
        <v>692</v>
      </c>
      <c r="J197" s="347" t="s">
        <v>138</v>
      </c>
      <c r="K197" s="349" t="s">
        <v>692</v>
      </c>
      <c r="L197" s="628" t="s">
        <v>138</v>
      </c>
      <c r="M197" s="348" t="s">
        <v>692</v>
      </c>
      <c r="N197" s="347" t="s">
        <v>138</v>
      </c>
      <c r="O197" s="349" t="s">
        <v>692</v>
      </c>
      <c r="P197" s="347" t="s">
        <v>138</v>
      </c>
      <c r="Q197" s="349" t="s">
        <v>692</v>
      </c>
      <c r="R197" s="347" t="s">
        <v>138</v>
      </c>
      <c r="S197" s="349" t="s">
        <v>692</v>
      </c>
      <c r="T197" s="347" t="s">
        <v>138</v>
      </c>
      <c r="U197" s="349" t="s">
        <v>692</v>
      </c>
      <c r="V197" s="347" t="s">
        <v>138</v>
      </c>
      <c r="W197" s="349" t="s">
        <v>692</v>
      </c>
      <c r="X197" s="347" t="s">
        <v>138</v>
      </c>
      <c r="Y197" s="349" t="s">
        <v>692</v>
      </c>
      <c r="Z197" s="347" t="s">
        <v>138</v>
      </c>
      <c r="AA197" s="349" t="s">
        <v>692</v>
      </c>
      <c r="AB197" s="347" t="s">
        <v>138</v>
      </c>
      <c r="AC197" s="349" t="s">
        <v>692</v>
      </c>
      <c r="AD197" s="347" t="s">
        <v>138</v>
      </c>
      <c r="AE197" s="349" t="s">
        <v>692</v>
      </c>
      <c r="AF197" s="347" t="s">
        <v>138</v>
      </c>
      <c r="AG197" s="349" t="s">
        <v>692</v>
      </c>
      <c r="AH197" s="347" t="s">
        <v>138</v>
      </c>
      <c r="AI197" s="349" t="s">
        <v>692</v>
      </c>
      <c r="AJ197" s="347" t="s">
        <v>138</v>
      </c>
      <c r="AK197" s="349" t="s">
        <v>692</v>
      </c>
      <c r="AL197" s="347" t="s">
        <v>138</v>
      </c>
      <c r="AM197" s="349" t="s">
        <v>692</v>
      </c>
      <c r="AN197" s="347" t="s">
        <v>138</v>
      </c>
      <c r="AO197" s="349" t="s">
        <v>692</v>
      </c>
      <c r="AP197" s="347" t="s">
        <v>138</v>
      </c>
      <c r="AQ197" s="349" t="s">
        <v>692</v>
      </c>
      <c r="AR197" s="347" t="s">
        <v>138</v>
      </c>
      <c r="AS197" s="349" t="s">
        <v>692</v>
      </c>
      <c r="AT197" s="347" t="s">
        <v>138</v>
      </c>
      <c r="AU197" s="349" t="s">
        <v>692</v>
      </c>
      <c r="AV197" s="347" t="s">
        <v>138</v>
      </c>
      <c r="AW197" s="349" t="s">
        <v>692</v>
      </c>
      <c r="AX197" s="347" t="s">
        <v>138</v>
      </c>
      <c r="AY197" s="349" t="s">
        <v>692</v>
      </c>
      <c r="AZ197" s="347" t="s">
        <v>138</v>
      </c>
      <c r="BA197" s="349" t="s">
        <v>692</v>
      </c>
      <c r="BB197" s="347" t="s">
        <v>138</v>
      </c>
      <c r="BC197" s="349" t="s">
        <v>692</v>
      </c>
      <c r="BD197" s="347" t="s">
        <v>138</v>
      </c>
      <c r="BE197" s="349" t="s">
        <v>692</v>
      </c>
      <c r="BF197" s="628" t="s">
        <v>138</v>
      </c>
      <c r="BG197" s="349" t="s">
        <v>692</v>
      </c>
    </row>
    <row r="198" spans="1:59" x14ac:dyDescent="0.2">
      <c r="A198" s="281" t="s">
        <v>132</v>
      </c>
      <c r="B198" s="292">
        <f>HLOOKUP(Control!$B$190,$D$190:$BG$207,9)</f>
        <v>0</v>
      </c>
      <c r="C198" s="352">
        <f>HLOOKUP($C$190,$D$190:$BG$207,9)</f>
        <v>0</v>
      </c>
      <c r="D198" s="328"/>
      <c r="E198" s="314"/>
      <c r="F198" s="328">
        <v>86</v>
      </c>
      <c r="G198" s="314">
        <v>26.2</v>
      </c>
      <c r="H198" s="328">
        <v>86</v>
      </c>
      <c r="I198" s="314">
        <v>32.799999999999997</v>
      </c>
      <c r="J198" s="328">
        <v>86</v>
      </c>
      <c r="K198" s="314">
        <v>43.7</v>
      </c>
      <c r="L198" s="317">
        <v>86</v>
      </c>
      <c r="M198" s="327">
        <v>52.4</v>
      </c>
      <c r="N198" s="328">
        <v>86</v>
      </c>
      <c r="O198" s="314">
        <v>65.5</v>
      </c>
      <c r="P198" s="328">
        <v>86</v>
      </c>
      <c r="Q198" s="314">
        <v>87.5</v>
      </c>
      <c r="R198" s="328">
        <v>86</v>
      </c>
      <c r="S198" s="314">
        <v>52.5</v>
      </c>
      <c r="T198" s="328">
        <v>86</v>
      </c>
      <c r="U198" s="314">
        <v>65.599999999999994</v>
      </c>
      <c r="V198" s="328">
        <v>86</v>
      </c>
      <c r="W198" s="314">
        <v>87.5</v>
      </c>
      <c r="X198" s="328">
        <v>86</v>
      </c>
      <c r="Y198" s="314">
        <v>105</v>
      </c>
      <c r="Z198" s="328">
        <v>86</v>
      </c>
      <c r="AA198" s="314">
        <v>131.19999999999999</v>
      </c>
      <c r="AB198" s="328">
        <v>86</v>
      </c>
      <c r="AC198" s="314">
        <v>175</v>
      </c>
      <c r="AD198" s="328">
        <v>82</v>
      </c>
      <c r="AE198" s="314"/>
      <c r="AF198" s="328">
        <f>DATE(2000,3,20)-DATE(2000,1,0)</f>
        <v>80</v>
      </c>
      <c r="AG198" s="314">
        <v>0</v>
      </c>
      <c r="AH198" s="328">
        <f>DATE(2000,3,20)-DATE(2000,1,0)</f>
        <v>80</v>
      </c>
      <c r="AI198" s="314">
        <v>25</v>
      </c>
      <c r="AJ198" s="328">
        <f>DATE(2000,3,20)-DATE(2000,1,0)</f>
        <v>80</v>
      </c>
      <c r="AK198" s="314">
        <v>37.5</v>
      </c>
      <c r="AL198" s="328">
        <f>DATE(2000,3,20)-DATE(2000,1,0)</f>
        <v>80</v>
      </c>
      <c r="AM198" s="314">
        <v>50</v>
      </c>
      <c r="AN198" s="328">
        <f>DATE(2000,3,20)-DATE(2000,1,0)</f>
        <v>80</v>
      </c>
      <c r="AO198" s="314">
        <v>75</v>
      </c>
      <c r="AP198" s="328">
        <f>DATE(2000,3,20)-DATE(2000,1,0)</f>
        <v>80</v>
      </c>
      <c r="AQ198" s="314">
        <v>37.5</v>
      </c>
      <c r="AR198" s="328">
        <f>DATE(2000,3,20)-DATE(2000,1,0)</f>
        <v>80</v>
      </c>
      <c r="AS198" s="314">
        <v>75</v>
      </c>
      <c r="AT198" s="328">
        <f>DATE(2000,3,20)-DATE(2000,1,0)</f>
        <v>80</v>
      </c>
      <c r="AU198" s="314">
        <v>112.5</v>
      </c>
      <c r="AV198" s="328">
        <f>DATE(2000,3,20)-DATE(2000,1,0)</f>
        <v>80</v>
      </c>
      <c r="AW198" s="314">
        <v>100</v>
      </c>
      <c r="AX198" s="328">
        <f>DATE(2000,3,20)-DATE(2000,1,0)</f>
        <v>80</v>
      </c>
      <c r="AY198" s="314">
        <v>150</v>
      </c>
      <c r="AZ198" s="328">
        <f>DATE(2000,3,20)-DATE(2000,1,0)</f>
        <v>80</v>
      </c>
      <c r="BA198" s="314">
        <v>75</v>
      </c>
      <c r="BB198" s="328">
        <f>DATE(2000,3,20)-DATE(2000,1,0)</f>
        <v>80</v>
      </c>
      <c r="BC198" s="314">
        <v>125</v>
      </c>
      <c r="BD198" s="328">
        <f>DATE(2000,3,20)-DATE(2000,1,0)</f>
        <v>80</v>
      </c>
      <c r="BE198" s="314">
        <v>187.5</v>
      </c>
      <c r="BF198" s="317">
        <f>DATE(2000,3,20)-DATE(2000,1,0)</f>
        <v>80</v>
      </c>
      <c r="BG198" s="314"/>
    </row>
    <row r="199" spans="1:59" x14ac:dyDescent="0.2">
      <c r="A199" s="281" t="s">
        <v>133</v>
      </c>
      <c r="B199" s="292" t="str">
        <f>IF(HLOOKUP(Control!$B$190,$D$190:$BG$207,10)&gt;1,HLOOKUP(Control!$B$190,$D$190:$BG$207,10),"")</f>
        <v/>
      </c>
      <c r="C199" s="353">
        <f>IF(HLOOKUP(Control!$C$190,$D$190:$BG$207,10)&gt;0,HLOOKUP(Control!$C$190,$D$190:$BG$207,10),0)</f>
        <v>0</v>
      </c>
      <c r="D199" s="328"/>
      <c r="E199" s="314"/>
      <c r="F199" s="328">
        <v>108</v>
      </c>
      <c r="G199" s="314">
        <v>26.2</v>
      </c>
      <c r="H199" s="328">
        <v>115</v>
      </c>
      <c r="I199" s="314">
        <v>32.799999999999997</v>
      </c>
      <c r="J199" s="328">
        <v>122</v>
      </c>
      <c r="K199" s="314">
        <v>43.7</v>
      </c>
      <c r="L199" s="317">
        <v>129</v>
      </c>
      <c r="M199" s="327">
        <v>52.4</v>
      </c>
      <c r="N199" s="328">
        <v>143</v>
      </c>
      <c r="O199" s="314">
        <v>65.5</v>
      </c>
      <c r="P199" s="328">
        <v>157</v>
      </c>
      <c r="Q199" s="314">
        <v>87.5</v>
      </c>
      <c r="R199" s="328">
        <v>108</v>
      </c>
      <c r="S199" s="314">
        <v>52.5</v>
      </c>
      <c r="T199" s="328">
        <v>115</v>
      </c>
      <c r="U199" s="314">
        <v>65.599999999999994</v>
      </c>
      <c r="V199" s="328">
        <v>122</v>
      </c>
      <c r="W199" s="314">
        <v>87.5</v>
      </c>
      <c r="X199" s="328">
        <v>129</v>
      </c>
      <c r="Y199" s="314">
        <v>105</v>
      </c>
      <c r="Z199" s="328">
        <v>143</v>
      </c>
      <c r="AA199" s="314">
        <v>131.19999999999999</v>
      </c>
      <c r="AB199" s="328">
        <v>157</v>
      </c>
      <c r="AC199" s="314">
        <v>175</v>
      </c>
      <c r="AD199" s="328">
        <f>DATE(2000,3,20)-DATE(2000,1,0)</f>
        <v>80</v>
      </c>
      <c r="AE199" s="314"/>
      <c r="AF199" s="328">
        <f>DATE(2000,5,11)-DATE(2000,1,0)</f>
        <v>132</v>
      </c>
      <c r="AG199" s="314"/>
      <c r="AH199" s="328">
        <f>DATE(2000,5,11)-DATE(2000,1,0)</f>
        <v>132</v>
      </c>
      <c r="AI199" s="314">
        <v>25</v>
      </c>
      <c r="AJ199" s="328">
        <f>DATE(2000,5,11)-DATE(2000,1,0)</f>
        <v>132</v>
      </c>
      <c r="AK199" s="314">
        <v>37.5</v>
      </c>
      <c r="AL199" s="328">
        <f>DATE(2000,5,11)-DATE(2000,1,0)</f>
        <v>132</v>
      </c>
      <c r="AM199" s="314">
        <v>50</v>
      </c>
      <c r="AN199" s="328">
        <f>DATE(2000,5,11)-DATE(2000,1,0)</f>
        <v>132</v>
      </c>
      <c r="AO199" s="314">
        <v>75</v>
      </c>
      <c r="AP199" s="328">
        <f>DATE(2000,5,11)-DATE(2000,1,0)</f>
        <v>132</v>
      </c>
      <c r="AQ199" s="314">
        <v>37.5</v>
      </c>
      <c r="AR199" s="328">
        <f>DATE(2000,5,11)-DATE(2000,1,0)</f>
        <v>132</v>
      </c>
      <c r="AS199" s="314">
        <v>75</v>
      </c>
      <c r="AT199" s="328">
        <f>DATE(2000,5,11)-DATE(2000,1,0)</f>
        <v>132</v>
      </c>
      <c r="AU199" s="314">
        <v>112.5</v>
      </c>
      <c r="AV199" s="328">
        <f>DATE(2000,5,11)-DATE(2000,1,0)</f>
        <v>132</v>
      </c>
      <c r="AW199" s="314">
        <v>100</v>
      </c>
      <c r="AX199" s="328">
        <f>DATE(2000,5,11)-DATE(2000,1,0)</f>
        <v>132</v>
      </c>
      <c r="AY199" s="314">
        <v>150</v>
      </c>
      <c r="AZ199" s="328">
        <f>DATE(2000,5,11)-DATE(2000,1,0)</f>
        <v>132</v>
      </c>
      <c r="BA199" s="314">
        <v>75</v>
      </c>
      <c r="BB199" s="328">
        <f>DATE(2000,5,11)-DATE(2000,1,0)</f>
        <v>132</v>
      </c>
      <c r="BC199" s="314">
        <v>125</v>
      </c>
      <c r="BD199" s="328">
        <f>DATE(2000,5,11)-DATE(2000,1,0)</f>
        <v>132</v>
      </c>
      <c r="BE199" s="314">
        <v>187.5</v>
      </c>
      <c r="BF199" s="317">
        <f>DATE(2000,5,11)-DATE(2000,1,0)</f>
        <v>132</v>
      </c>
      <c r="BG199" s="314"/>
    </row>
    <row r="200" spans="1:59" x14ac:dyDescent="0.2">
      <c r="A200" s="281" t="s">
        <v>134</v>
      </c>
      <c r="B200" s="292" t="str">
        <f>IF(HLOOKUP(Control!$B$190,$D$190:$BG$207,11)&gt;1,HLOOKUP(Control!$B$190,$D$190:$BG$207,11),"")</f>
        <v/>
      </c>
      <c r="C200" s="353">
        <f>IF(HLOOKUP(Control!$C$190,$D$190:$BG$207,11)&gt;0,HLOOKUP(Control!$C$190,$D$190:$BG$207,11),0)</f>
        <v>0</v>
      </c>
      <c r="D200" s="328"/>
      <c r="E200" s="314"/>
      <c r="F200" s="328">
        <v>129</v>
      </c>
      <c r="G200" s="314">
        <v>26.2</v>
      </c>
      <c r="H200" s="328"/>
      <c r="I200" s="314"/>
      <c r="J200" s="328"/>
      <c r="K200" s="314"/>
      <c r="L200" s="317"/>
      <c r="M200" s="327"/>
      <c r="N200" s="328"/>
      <c r="O200" s="314"/>
      <c r="P200" s="328"/>
      <c r="Q200" s="314"/>
      <c r="R200" s="328">
        <v>129</v>
      </c>
      <c r="S200" s="314">
        <v>52.5</v>
      </c>
      <c r="T200" s="328"/>
      <c r="U200" s="632"/>
      <c r="V200" s="328"/>
      <c r="W200" s="314"/>
      <c r="X200" s="328"/>
      <c r="Y200" s="314"/>
      <c r="Z200" s="328"/>
      <c r="AA200" s="314"/>
      <c r="AB200" s="328"/>
      <c r="AC200" s="314"/>
      <c r="AD200" s="328">
        <f>DATE(2000,5,11)-DATE(2000,1,0)</f>
        <v>132</v>
      </c>
      <c r="AE200" s="314"/>
      <c r="AF200" s="328">
        <f>DATE(2000,6,8)-DATE(2000,1,0)</f>
        <v>160</v>
      </c>
      <c r="AG200" s="314"/>
      <c r="AH200" s="328">
        <f>DATE(2000,6,8)-DATE(2000,1,0)</f>
        <v>160</v>
      </c>
      <c r="AI200" s="314">
        <v>25</v>
      </c>
      <c r="AJ200" s="328">
        <f>DATE(2000,6,8)-DATE(2000,1,0)</f>
        <v>160</v>
      </c>
      <c r="AK200" s="314">
        <v>18.8</v>
      </c>
      <c r="AL200" s="328">
        <f>DATE(2000,6,8)-DATE(2000,1,0)</f>
        <v>160</v>
      </c>
      <c r="AM200" s="314">
        <v>50</v>
      </c>
      <c r="AN200" s="328">
        <f>DATE(2000,6,8)-DATE(2000,1,0)</f>
        <v>160</v>
      </c>
      <c r="AO200" s="314">
        <v>37.5</v>
      </c>
      <c r="AP200" s="328">
        <f>DATE(2000,6,8)-DATE(2000,1,0)</f>
        <v>160</v>
      </c>
      <c r="AQ200" s="314">
        <v>75</v>
      </c>
      <c r="AR200" s="328">
        <f>DATE(2000,6,8)-DATE(2000,1,0)</f>
        <v>160</v>
      </c>
      <c r="AS200" s="314">
        <v>75</v>
      </c>
      <c r="AT200" s="328">
        <f>DATE(2000,6,8)-DATE(2000,1,0)</f>
        <v>160</v>
      </c>
      <c r="AU200" s="314">
        <v>56.3</v>
      </c>
      <c r="AV200" s="328">
        <f>DATE(2000,6,8)-DATE(2000,1,0)</f>
        <v>160</v>
      </c>
      <c r="AW200" s="314">
        <v>100</v>
      </c>
      <c r="AX200" s="328">
        <f>DATE(2000,6,8)-DATE(2000,1,0)</f>
        <v>160</v>
      </c>
      <c r="AY200" s="314">
        <v>75</v>
      </c>
      <c r="AZ200" s="328">
        <f>DATE(2000,6,8)-DATE(2000,1,0)</f>
        <v>160</v>
      </c>
      <c r="BA200" s="314">
        <v>150</v>
      </c>
      <c r="BB200" s="328">
        <f>DATE(2000,6,8)-DATE(2000,1,0)</f>
        <v>160</v>
      </c>
      <c r="BC200" s="314">
        <v>125</v>
      </c>
      <c r="BD200" s="328">
        <f>DATE(2000,6,8)-DATE(2000,1,0)</f>
        <v>160</v>
      </c>
      <c r="BE200" s="314">
        <v>93.8</v>
      </c>
      <c r="BF200" s="317">
        <f>DATE(2000,6,8)-DATE(2000,1,0)</f>
        <v>160</v>
      </c>
      <c r="BG200" s="314"/>
    </row>
    <row r="201" spans="1:59" x14ac:dyDescent="0.2">
      <c r="A201" s="281" t="s">
        <v>135</v>
      </c>
      <c r="B201" s="292" t="str">
        <f>IF(HLOOKUP(Control!$B$190,$D$190:$BG$207,12)&gt;1,HLOOKUP(Control!$B$190,$D$190:$BG$207,12),"")</f>
        <v/>
      </c>
      <c r="C201" s="353">
        <f>IF(HLOOKUP(Control!$C$190,$D$190:$BG$207,12)&gt;0,HLOOKUP(Control!$C$190,$D$190:$BG$207,12),0)</f>
        <v>0</v>
      </c>
      <c r="D201" s="328"/>
      <c r="E201" s="314"/>
      <c r="F201" s="328">
        <v>150</v>
      </c>
      <c r="G201" s="314">
        <v>26.2</v>
      </c>
      <c r="H201" s="328">
        <v>143</v>
      </c>
      <c r="I201" s="314">
        <v>32.799999999999997</v>
      </c>
      <c r="J201" s="328"/>
      <c r="K201" s="632"/>
      <c r="L201" s="317"/>
      <c r="M201" s="327"/>
      <c r="N201" s="328"/>
      <c r="O201" s="314"/>
      <c r="P201" s="328"/>
      <c r="Q201" s="314"/>
      <c r="R201" s="328">
        <v>150</v>
      </c>
      <c r="S201" s="314">
        <v>52.5</v>
      </c>
      <c r="T201" s="328">
        <v>143</v>
      </c>
      <c r="U201" s="314">
        <v>65.599999999999994</v>
      </c>
      <c r="V201" s="328"/>
      <c r="W201" s="314"/>
      <c r="X201" s="328"/>
      <c r="Y201" s="314"/>
      <c r="Z201" s="328"/>
      <c r="AA201" s="314"/>
      <c r="AB201" s="328"/>
      <c r="AC201" s="314"/>
      <c r="AD201" s="328">
        <f>DATE(2000,6,8)-DATE(2000,1,0)</f>
        <v>160</v>
      </c>
      <c r="AE201" s="314"/>
      <c r="AF201" s="328">
        <f>DATE(2000,7,6)-DATE(2000,1,0)</f>
        <v>188</v>
      </c>
      <c r="AG201" s="314"/>
      <c r="AH201" s="328">
        <f>DATE(2000,7,6)-DATE(2000,1,0)</f>
        <v>188</v>
      </c>
      <c r="AI201" s="314">
        <v>25</v>
      </c>
      <c r="AJ201" s="328">
        <f>DATE(2000,7,6)-DATE(2000,1,0)</f>
        <v>188</v>
      </c>
      <c r="AK201" s="314">
        <v>18.8</v>
      </c>
      <c r="AL201" s="328">
        <f>DATE(2000,7,6)-DATE(2000,1,0)</f>
        <v>188</v>
      </c>
      <c r="AM201" s="314">
        <v>50</v>
      </c>
      <c r="AN201" s="328">
        <f>DATE(2000,7,6)-DATE(2000,1,0)</f>
        <v>188</v>
      </c>
      <c r="AO201" s="314">
        <v>37.5</v>
      </c>
      <c r="AP201" s="328">
        <f>DATE(2000,7,6)-DATE(2000,1,0)</f>
        <v>188</v>
      </c>
      <c r="AQ201" s="314">
        <v>75</v>
      </c>
      <c r="AR201" s="328">
        <f>DATE(2000,7,6)-DATE(2000,1,0)</f>
        <v>188</v>
      </c>
      <c r="AS201" s="314">
        <v>75</v>
      </c>
      <c r="AT201" s="328">
        <f>DATE(2000,7,6)-DATE(2000,1,0)</f>
        <v>188</v>
      </c>
      <c r="AU201" s="314">
        <v>56.3</v>
      </c>
      <c r="AV201" s="328">
        <f>DATE(2000,7,6)-DATE(2000,1,0)</f>
        <v>188</v>
      </c>
      <c r="AW201" s="314">
        <v>100</v>
      </c>
      <c r="AX201" s="328">
        <f>DATE(2000,7,6)-DATE(2000,1,0)</f>
        <v>188</v>
      </c>
      <c r="AY201" s="314">
        <v>75</v>
      </c>
      <c r="AZ201" s="328">
        <f>DATE(2000,7,6)-DATE(2000,1,0)</f>
        <v>188</v>
      </c>
      <c r="BA201" s="314">
        <v>150</v>
      </c>
      <c r="BB201" s="328">
        <f>DATE(2000,7,6)-DATE(2000,1,0)</f>
        <v>188</v>
      </c>
      <c r="BC201" s="314">
        <v>125</v>
      </c>
      <c r="BD201" s="328">
        <f>DATE(2000,7,6)-DATE(2000,1,0)</f>
        <v>188</v>
      </c>
      <c r="BE201" s="314">
        <v>93.8</v>
      </c>
      <c r="BF201" s="317">
        <f>DATE(2000,7,6)-DATE(2000,1,0)</f>
        <v>188</v>
      </c>
      <c r="BG201" s="314"/>
    </row>
    <row r="202" spans="1:59" x14ac:dyDescent="0.2">
      <c r="A202" s="281" t="s">
        <v>136</v>
      </c>
      <c r="B202" s="292" t="str">
        <f>IF(HLOOKUP(Control!$B$190,$D$190:$BG$207,13)&gt;1,HLOOKUP(Control!$B$190,$D$190:$BG$207,13),"")</f>
        <v/>
      </c>
      <c r="C202" s="353">
        <f>IF(HLOOKUP(Control!$C$190,$D$190:$BG$207,13)&gt;0,HLOOKUP(Control!$C$190,$D$190:$BG$207,13),0)</f>
        <v>0</v>
      </c>
      <c r="D202" s="328"/>
      <c r="E202" s="314"/>
      <c r="F202" s="328">
        <v>171</v>
      </c>
      <c r="G202" s="314">
        <v>26.2</v>
      </c>
      <c r="H202" s="328">
        <v>171</v>
      </c>
      <c r="I202" s="314">
        <v>32.799999999999997</v>
      </c>
      <c r="J202" s="328">
        <v>157</v>
      </c>
      <c r="K202" s="314">
        <v>43.7</v>
      </c>
      <c r="L202" s="317">
        <v>171</v>
      </c>
      <c r="M202" s="327">
        <v>52.4</v>
      </c>
      <c r="N202" s="328"/>
      <c r="O202" s="314"/>
      <c r="P202" s="328"/>
      <c r="Q202" s="314"/>
      <c r="R202" s="328">
        <v>171</v>
      </c>
      <c r="S202" s="314">
        <v>52.5</v>
      </c>
      <c r="T202" s="328">
        <v>171</v>
      </c>
      <c r="U202" s="314">
        <v>65.599999999999994</v>
      </c>
      <c r="V202" s="328">
        <v>157</v>
      </c>
      <c r="W202" s="314">
        <v>87.5</v>
      </c>
      <c r="X202" s="328">
        <v>171</v>
      </c>
      <c r="Y202" s="314">
        <v>105</v>
      </c>
      <c r="Z202" s="328"/>
      <c r="AA202" s="314"/>
      <c r="AB202" s="328"/>
      <c r="AC202" s="314"/>
      <c r="AD202" s="328">
        <f>DATE(2000,7,6)-DATE(2000,1,0)</f>
        <v>188</v>
      </c>
      <c r="AE202" s="314"/>
      <c r="AF202" s="328">
        <f>DATE(2000,8,3)-DATE(2000,1,0)</f>
        <v>216</v>
      </c>
      <c r="AG202" s="314"/>
      <c r="AH202" s="328">
        <f>DATE(2000,8,3)-DATE(2000,1,0)</f>
        <v>216</v>
      </c>
      <c r="AI202" s="314">
        <v>25</v>
      </c>
      <c r="AJ202" s="328">
        <f>DATE(2000,8,3)-DATE(2000,1,0)</f>
        <v>216</v>
      </c>
      <c r="AK202" s="314">
        <v>18.8</v>
      </c>
      <c r="AL202" s="328">
        <f>DATE(2000,8,3)-DATE(2000,1,0)</f>
        <v>216</v>
      </c>
      <c r="AM202" s="314">
        <v>50</v>
      </c>
      <c r="AN202" s="328">
        <f>DATE(2000,8,3)-DATE(2000,1,0)</f>
        <v>216</v>
      </c>
      <c r="AO202" s="314">
        <v>37.5</v>
      </c>
      <c r="AP202" s="328">
        <f>DATE(2000,8,3)-DATE(2000,1,0)</f>
        <v>216</v>
      </c>
      <c r="AQ202" s="314">
        <v>37.5</v>
      </c>
      <c r="AR202" s="328">
        <f>DATE(2000,8,3)-DATE(2000,1,0)</f>
        <v>216</v>
      </c>
      <c r="AS202" s="314">
        <v>75</v>
      </c>
      <c r="AT202" s="328">
        <f>DATE(2000,8,3)-DATE(2000,1,0)</f>
        <v>216</v>
      </c>
      <c r="AU202" s="314">
        <v>56.3</v>
      </c>
      <c r="AV202" s="328">
        <f>DATE(2000,8,3)-DATE(2000,1,0)</f>
        <v>216</v>
      </c>
      <c r="AW202" s="314">
        <v>100</v>
      </c>
      <c r="AX202" s="328">
        <f>DATE(2000,8,3)-DATE(2000,1,0)</f>
        <v>216</v>
      </c>
      <c r="AY202" s="314">
        <v>75</v>
      </c>
      <c r="AZ202" s="328">
        <f>DATE(2000,8,3)-DATE(2000,1,0)</f>
        <v>216</v>
      </c>
      <c r="BA202" s="314">
        <v>75</v>
      </c>
      <c r="BB202" s="328">
        <f>DATE(2000,8,3)-DATE(2000,1,0)</f>
        <v>216</v>
      </c>
      <c r="BC202" s="314">
        <v>125</v>
      </c>
      <c r="BD202" s="328">
        <f>DATE(2000,8,3)-DATE(2000,1,0)</f>
        <v>216</v>
      </c>
      <c r="BE202" s="314">
        <v>93.8</v>
      </c>
      <c r="BF202" s="317">
        <f>DATE(2000,8,3)-DATE(2000,1,0)</f>
        <v>216</v>
      </c>
      <c r="BG202" s="314"/>
    </row>
    <row r="203" spans="1:59" x14ac:dyDescent="0.2">
      <c r="A203" s="281" t="s">
        <v>137</v>
      </c>
      <c r="B203" s="292" t="str">
        <f>IF(HLOOKUP(Control!$B$190,$D$190:$BG$207,14)&gt;1,HLOOKUP(Control!$B$190,$D$190:$BG$207,14),"")</f>
        <v/>
      </c>
      <c r="C203" s="353">
        <f>IF(HLOOKUP(Control!$C$190,$D$190:$BG$207,14)&gt;0,HLOOKUP(Control!$C$190,$D$190:$BG$207,14),0)</f>
        <v>0</v>
      </c>
      <c r="D203" s="328"/>
      <c r="E203" s="314"/>
      <c r="F203" s="328">
        <v>192</v>
      </c>
      <c r="G203" s="314">
        <v>26.2</v>
      </c>
      <c r="H203" s="328">
        <v>199</v>
      </c>
      <c r="I203" s="314">
        <v>32.799999999999997</v>
      </c>
      <c r="J203" s="328">
        <v>192</v>
      </c>
      <c r="K203" s="314">
        <v>43.7</v>
      </c>
      <c r="L203" s="317">
        <v>213</v>
      </c>
      <c r="M203" s="327">
        <v>52.4</v>
      </c>
      <c r="N203" s="328">
        <v>199</v>
      </c>
      <c r="O203" s="314">
        <v>65.5</v>
      </c>
      <c r="P203" s="328"/>
      <c r="Q203" s="314"/>
      <c r="R203" s="328">
        <v>192</v>
      </c>
      <c r="S203" s="314">
        <v>52.5</v>
      </c>
      <c r="T203" s="328"/>
      <c r="U203" s="314"/>
      <c r="V203" s="328">
        <v>192</v>
      </c>
      <c r="W203" s="314">
        <v>87.5</v>
      </c>
      <c r="X203" s="328">
        <v>213</v>
      </c>
      <c r="Y203" s="314">
        <v>105</v>
      </c>
      <c r="Z203" s="328">
        <v>199</v>
      </c>
      <c r="AA203" s="314">
        <v>131.19999999999999</v>
      </c>
      <c r="AB203" s="328"/>
      <c r="AC203" s="314"/>
      <c r="AD203" s="328">
        <f>DATE(2000,8,3)-DATE(2000,1,0)</f>
        <v>216</v>
      </c>
      <c r="AE203" s="314"/>
      <c r="AF203" s="328">
        <f>DATE(2000,8,31)-DATE(2000,1,0)</f>
        <v>244</v>
      </c>
      <c r="AG203" s="314"/>
      <c r="AH203" s="328">
        <f>DATE(2000,8,31)-DATE(2000,1,0)</f>
        <v>244</v>
      </c>
      <c r="AI203" s="314">
        <v>25</v>
      </c>
      <c r="AJ203" s="328">
        <f>DATE(2000,8,31)-DATE(2000,1,0)</f>
        <v>244</v>
      </c>
      <c r="AK203" s="314">
        <v>18.8</v>
      </c>
      <c r="AL203" s="328">
        <f>DATE(2000,8,31)-DATE(2000,1,0)</f>
        <v>244</v>
      </c>
      <c r="AM203" s="314">
        <v>50</v>
      </c>
      <c r="AN203" s="328">
        <f>DATE(2000,8,31)-DATE(2000,1,0)</f>
        <v>244</v>
      </c>
      <c r="AO203" s="314">
        <v>37.5</v>
      </c>
      <c r="AP203" s="328">
        <f>DATE(2000,8,31)-DATE(2000,1,0)</f>
        <v>244</v>
      </c>
      <c r="AQ203" s="314">
        <v>37.5</v>
      </c>
      <c r="AR203" s="328">
        <f>DATE(2000,8,31)-DATE(2000,1,0)</f>
        <v>244</v>
      </c>
      <c r="AS203" s="314">
        <v>75</v>
      </c>
      <c r="AT203" s="328">
        <f>DATE(2000,8,31)-DATE(2000,1,0)</f>
        <v>244</v>
      </c>
      <c r="AU203" s="314">
        <v>56.3</v>
      </c>
      <c r="AV203" s="328">
        <f>DATE(2000,8,31)-DATE(2000,1,0)</f>
        <v>244</v>
      </c>
      <c r="AW203" s="314">
        <v>100</v>
      </c>
      <c r="AX203" s="328">
        <f>DATE(2000,8,31)-DATE(2000,1,0)</f>
        <v>244</v>
      </c>
      <c r="AY203" s="314">
        <v>75</v>
      </c>
      <c r="AZ203" s="328">
        <f>DATE(2000,8,31)-DATE(2000,1,0)</f>
        <v>244</v>
      </c>
      <c r="BA203" s="314">
        <v>75</v>
      </c>
      <c r="BB203" s="328">
        <f>DATE(2000,8,31)-DATE(2000,1,0)</f>
        <v>244</v>
      </c>
      <c r="BC203" s="314">
        <v>125</v>
      </c>
      <c r="BD203" s="328">
        <f>DATE(2000,8,31)-DATE(2000,1,0)</f>
        <v>244</v>
      </c>
      <c r="BE203" s="314">
        <v>93.8</v>
      </c>
      <c r="BF203" s="317">
        <f>DATE(2000,8,31)-DATE(2000,1,0)</f>
        <v>244</v>
      </c>
      <c r="BG203" s="314"/>
    </row>
    <row r="204" spans="1:59" x14ac:dyDescent="0.2">
      <c r="A204" s="281" t="s">
        <v>142</v>
      </c>
      <c r="B204" s="292" t="str">
        <f>IF(HLOOKUP(Control!$B$190,$D$190:$BG$207,15)&gt;1,HLOOKUP(Control!$B$190,$D$190:$BG$207,15),"")</f>
        <v/>
      </c>
      <c r="C204" s="353">
        <f>IF(HLOOKUP(Control!$C$190,$D$190:$BG$207,15)&gt;0,HLOOKUP(Control!$C$190,$D$190:$BG$207,15),0)</f>
        <v>0</v>
      </c>
      <c r="D204" s="328"/>
      <c r="E204" s="314"/>
      <c r="F204" s="328">
        <v>213</v>
      </c>
      <c r="G204" s="314">
        <v>26.2</v>
      </c>
      <c r="H204" s="328"/>
      <c r="I204" s="314"/>
      <c r="J204" s="328"/>
      <c r="K204" s="314"/>
      <c r="L204" s="317"/>
      <c r="M204" s="327"/>
      <c r="N204" s="328"/>
      <c r="O204" s="314"/>
      <c r="P204" s="328"/>
      <c r="Q204" s="314"/>
      <c r="R204" s="328">
        <v>213</v>
      </c>
      <c r="S204" s="314">
        <v>52.5</v>
      </c>
      <c r="T204" s="328">
        <v>199</v>
      </c>
      <c r="U204" s="314">
        <v>65.599999999999994</v>
      </c>
      <c r="V204" s="328"/>
      <c r="W204" s="314"/>
      <c r="X204" s="328"/>
      <c r="Y204" s="314"/>
      <c r="Z204" s="328"/>
      <c r="AA204" s="314"/>
      <c r="AB204" s="328"/>
      <c r="AC204" s="314"/>
      <c r="AD204" s="328">
        <f>DATE(2000,8,31)-DATE(2000,1,0)</f>
        <v>244</v>
      </c>
      <c r="AE204" s="314"/>
      <c r="AF204" s="328">
        <f>DATE(2000,9,28)-DATE(2000,1,0)</f>
        <v>272</v>
      </c>
      <c r="AG204" s="314"/>
      <c r="AH204" s="328">
        <f>DATE(2000,9,28)-DATE(2000,1,0)</f>
        <v>272</v>
      </c>
      <c r="AI204" s="314"/>
      <c r="AJ204" s="328">
        <f>DATE(2000,9,28)-DATE(2000,1,0)</f>
        <v>272</v>
      </c>
      <c r="AK204" s="314"/>
      <c r="AL204" s="328">
        <f>DATE(2000,9,28)-DATE(2000,1,0)</f>
        <v>272</v>
      </c>
      <c r="AM204" s="314"/>
      <c r="AN204" s="328">
        <f>DATE(2000,9,28)-DATE(2000,1,0)</f>
        <v>272</v>
      </c>
      <c r="AO204" s="314"/>
      <c r="AP204" s="328">
        <f>DATE(2000,9,28)-DATE(2000,1,0)</f>
        <v>272</v>
      </c>
      <c r="AQ204" s="314"/>
      <c r="AR204" s="328">
        <f>DATE(2000,9,28)-DATE(2000,1,0)</f>
        <v>272</v>
      </c>
      <c r="AS204" s="314"/>
      <c r="AT204" s="328">
        <f>DATE(2000,9,28)-DATE(2000,1,0)</f>
        <v>272</v>
      </c>
      <c r="AU204" s="314"/>
      <c r="AV204" s="328">
        <f>DATE(2000,9,28)-DATE(2000,1,0)</f>
        <v>272</v>
      </c>
      <c r="AW204" s="314"/>
      <c r="AX204" s="328">
        <f>DATE(2000,9,28)-DATE(2000,1,0)</f>
        <v>272</v>
      </c>
      <c r="AY204" s="314"/>
      <c r="AZ204" s="328">
        <f>DATE(2000,9,28)-DATE(2000,1,0)</f>
        <v>272</v>
      </c>
      <c r="BA204" s="314"/>
      <c r="BB204" s="328">
        <f>DATE(2000,9,28)-DATE(2000,1,0)</f>
        <v>272</v>
      </c>
      <c r="BC204" s="314"/>
      <c r="BD204" s="328">
        <f>DATE(2000,9,28)-DATE(2000,1,0)</f>
        <v>272</v>
      </c>
      <c r="BE204" s="314"/>
      <c r="BF204" s="317">
        <f>DATE(2000,9,28)-DATE(2000,1,0)</f>
        <v>272</v>
      </c>
      <c r="BG204" s="314"/>
    </row>
    <row r="205" spans="1:59" x14ac:dyDescent="0.2">
      <c r="A205" s="281" t="s">
        <v>143</v>
      </c>
      <c r="B205" s="292" t="str">
        <f>IF(HLOOKUP(Control!$B$190,$D$190:$BG$207,16)&gt;1,HLOOKUP(Control!$B$190,$D$190:$BG$207,16),"")</f>
        <v/>
      </c>
      <c r="C205" s="283">
        <f>IF(HLOOKUP(Control!$C$190,$D$190:$BG$207,16)&gt;0,HLOOKUP(Control!$C$190,$D$190:$BG$207,16),0)</f>
        <v>0</v>
      </c>
      <c r="D205" s="328"/>
      <c r="E205" s="314"/>
      <c r="F205" s="328">
        <v>234</v>
      </c>
      <c r="G205" s="314">
        <v>26.2</v>
      </c>
      <c r="H205" s="328">
        <v>227</v>
      </c>
      <c r="I205" s="314">
        <v>32.799999999999997</v>
      </c>
      <c r="J205" s="328">
        <v>227</v>
      </c>
      <c r="K205" s="314">
        <v>43.7</v>
      </c>
      <c r="L205" s="317"/>
      <c r="M205" s="327"/>
      <c r="N205" s="328"/>
      <c r="O205" s="314"/>
      <c r="P205" s="328">
        <v>227</v>
      </c>
      <c r="Q205" s="314">
        <v>87.5</v>
      </c>
      <c r="R205" s="328">
        <v>234</v>
      </c>
      <c r="S205" s="314">
        <v>52.5</v>
      </c>
      <c r="T205" s="328">
        <v>227</v>
      </c>
      <c r="U205" s="314">
        <v>65.599999999999994</v>
      </c>
      <c r="V205" s="328">
        <v>227</v>
      </c>
      <c r="W205" s="314">
        <v>87.5</v>
      </c>
      <c r="X205" s="328"/>
      <c r="Y205" s="314"/>
      <c r="Z205" s="328"/>
      <c r="AA205" s="314"/>
      <c r="AB205" s="328">
        <v>227</v>
      </c>
      <c r="AC205" s="314">
        <v>175</v>
      </c>
      <c r="AD205" s="328">
        <f>DATE(2000,9,28)-DATE(2000,1,0)</f>
        <v>272</v>
      </c>
      <c r="AE205" s="314"/>
      <c r="AF205" s="328"/>
      <c r="AG205" s="314"/>
      <c r="AH205" s="328"/>
      <c r="AI205" s="314"/>
      <c r="AJ205" s="328"/>
      <c r="AK205" s="314"/>
      <c r="AL205" s="328"/>
      <c r="AM205" s="314"/>
      <c r="AN205" s="328"/>
      <c r="AO205" s="314"/>
      <c r="AP205" s="328"/>
      <c r="AQ205" s="314"/>
      <c r="AR205" s="328"/>
      <c r="AS205" s="314"/>
      <c r="AT205" s="328"/>
      <c r="AU205" s="314"/>
      <c r="AV205" s="328"/>
      <c r="AW205" s="314"/>
      <c r="AX205" s="328"/>
      <c r="AY205" s="314"/>
      <c r="AZ205" s="328"/>
      <c r="BA205" s="314"/>
      <c r="BB205" s="328"/>
      <c r="BC205" s="314"/>
      <c r="BD205" s="328"/>
      <c r="BE205" s="314"/>
      <c r="BF205" s="317"/>
      <c r="BG205" s="314"/>
    </row>
    <row r="206" spans="1:59" x14ac:dyDescent="0.2">
      <c r="A206" s="281" t="s">
        <v>144</v>
      </c>
      <c r="B206" s="292" t="str">
        <f>IF(HLOOKUP(Control!$B$190,$D$190:$BG$207,17)&gt;1,HLOOKUP(Control!$B$190,$D$190:$BG$207,17),"")</f>
        <v/>
      </c>
      <c r="C206" s="283">
        <f>IF(HLOOKUP(Control!$C$190,$D$190:$BG$207,17)&gt;0,HLOOKUP(Control!$C$190,$D$190:$BG$207,17),0)</f>
        <v>0</v>
      </c>
      <c r="D206" s="328"/>
      <c r="E206" s="314"/>
      <c r="F206" s="328">
        <v>255</v>
      </c>
      <c r="G206" s="314">
        <v>26.2</v>
      </c>
      <c r="H206" s="328">
        <v>255</v>
      </c>
      <c r="I206" s="314">
        <v>32.799999999999997</v>
      </c>
      <c r="J206" s="328">
        <v>262</v>
      </c>
      <c r="K206" s="314">
        <v>43.7</v>
      </c>
      <c r="L206" s="317">
        <v>255</v>
      </c>
      <c r="M206" s="327">
        <v>52.4</v>
      </c>
      <c r="N206" s="328">
        <v>255</v>
      </c>
      <c r="O206" s="314">
        <v>65.5</v>
      </c>
      <c r="P206" s="328"/>
      <c r="Q206" s="314"/>
      <c r="R206" s="328">
        <v>255</v>
      </c>
      <c r="S206" s="314">
        <v>52.5</v>
      </c>
      <c r="T206" s="328">
        <v>255</v>
      </c>
      <c r="U206" s="314">
        <v>65.599999999999994</v>
      </c>
      <c r="V206" s="328">
        <v>262</v>
      </c>
      <c r="W206" s="314">
        <v>87.5</v>
      </c>
      <c r="X206" s="328">
        <v>255</v>
      </c>
      <c r="Y206" s="314">
        <v>105</v>
      </c>
      <c r="Z206" s="328">
        <v>255</v>
      </c>
      <c r="AA206" s="314">
        <v>131.19999999999999</v>
      </c>
      <c r="AB206" s="328"/>
      <c r="AC206" s="314"/>
      <c r="AD206" s="328"/>
      <c r="AE206" s="314"/>
      <c r="AF206" s="328"/>
      <c r="AG206" s="314"/>
      <c r="AH206" s="328"/>
      <c r="AI206" s="314"/>
      <c r="AJ206" s="328"/>
      <c r="AK206" s="314"/>
      <c r="AL206" s="328"/>
      <c r="AM206" s="314"/>
      <c r="AN206" s="328"/>
      <c r="AO206" s="314"/>
      <c r="AP206" s="328"/>
      <c r="AQ206" s="314"/>
      <c r="AR206" s="328"/>
      <c r="AS206" s="314"/>
      <c r="AT206" s="328"/>
      <c r="AU206" s="314"/>
      <c r="AV206" s="328"/>
      <c r="AW206" s="314"/>
      <c r="AX206" s="328"/>
      <c r="AY206" s="314"/>
      <c r="AZ206" s="328"/>
      <c r="BA206" s="314"/>
      <c r="BB206" s="328"/>
      <c r="BC206" s="314"/>
      <c r="BD206" s="328"/>
      <c r="BE206" s="314"/>
      <c r="BF206" s="317"/>
      <c r="BG206" s="314"/>
    </row>
    <row r="207" spans="1:59" ht="13.5" thickBot="1" x14ac:dyDescent="0.25">
      <c r="A207" s="287" t="s">
        <v>145</v>
      </c>
      <c r="B207" s="293" t="str">
        <f>IF(HLOOKUP(Control!$B$190,$D$190:$BG$207,18)&gt;1,HLOOKUP(Control!$B$190,$D$190:$BG$207,18),"")</f>
        <v/>
      </c>
      <c r="C207" s="288">
        <f>IF(HLOOKUP(Control!$C$190,$D$190:$BG$207,18)&gt;0,HLOOKUP(Control!$C$190,$D$190:$BG$207,18),0)</f>
        <v>0</v>
      </c>
      <c r="D207" s="329"/>
      <c r="E207" s="332"/>
      <c r="F207" s="331">
        <v>276</v>
      </c>
      <c r="G207" s="631">
        <v>26.2</v>
      </c>
      <c r="H207" s="331">
        <v>283</v>
      </c>
      <c r="I207" s="631">
        <v>32.799999999999997</v>
      </c>
      <c r="J207" s="331"/>
      <c r="K207" s="332"/>
      <c r="L207" s="629"/>
      <c r="M207" s="330"/>
      <c r="N207" s="331"/>
      <c r="O207" s="332"/>
      <c r="P207" s="331"/>
      <c r="Q207" s="332"/>
      <c r="R207" s="331">
        <v>276</v>
      </c>
      <c r="S207" s="332">
        <v>52.5</v>
      </c>
      <c r="T207" s="331">
        <v>283</v>
      </c>
      <c r="U207" s="332">
        <v>65.599999999999994</v>
      </c>
      <c r="V207" s="331"/>
      <c r="W207" s="332"/>
      <c r="X207" s="331"/>
      <c r="Y207" s="332"/>
      <c r="Z207" s="331"/>
      <c r="AA207" s="332"/>
      <c r="AB207" s="331"/>
      <c r="AC207" s="332"/>
      <c r="AD207" s="331"/>
      <c r="AE207" s="332"/>
      <c r="AF207" s="329"/>
      <c r="AG207" s="332"/>
      <c r="AH207" s="331"/>
      <c r="AI207" s="631"/>
      <c r="AJ207" s="331"/>
      <c r="AK207" s="631"/>
      <c r="AL207" s="331"/>
      <c r="AM207" s="332"/>
      <c r="AN207" s="331"/>
      <c r="AO207" s="332"/>
      <c r="AP207" s="331"/>
      <c r="AQ207" s="332"/>
      <c r="AR207" s="331"/>
      <c r="AS207" s="332"/>
      <c r="AT207" s="331"/>
      <c r="AU207" s="332"/>
      <c r="AV207" s="331"/>
      <c r="AW207" s="332"/>
      <c r="AX207" s="331"/>
      <c r="AY207" s="332"/>
      <c r="AZ207" s="331"/>
      <c r="BA207" s="332"/>
      <c r="BB207" s="331"/>
      <c r="BC207" s="332"/>
      <c r="BD207" s="331"/>
      <c r="BE207" s="332"/>
      <c r="BF207" s="629"/>
      <c r="BG207" s="332"/>
    </row>
    <row r="208" spans="1:59" ht="13.5" thickBot="1" x14ac:dyDescent="0.25">
      <c r="B208" s="63"/>
      <c r="C208" s="63"/>
      <c r="G208">
        <f>SUM(G198:G207)</f>
        <v>261.99999999999994</v>
      </c>
      <c r="I208">
        <f>SUM(I198:I207)</f>
        <v>262.40000000000003</v>
      </c>
      <c r="K208">
        <f>SUM(K198:K207)</f>
        <v>262.2</v>
      </c>
      <c r="M208">
        <f>SUM(M198:M207)</f>
        <v>262</v>
      </c>
      <c r="O208">
        <f>SUM(O198:O207)</f>
        <v>262</v>
      </c>
      <c r="Q208">
        <f>SUM(Q198:Q207)</f>
        <v>262.5</v>
      </c>
      <c r="S208">
        <f>SUM(S198:S207)</f>
        <v>525</v>
      </c>
      <c r="U208">
        <f>SUM(U198:U207)</f>
        <v>524.80000000000007</v>
      </c>
      <c r="W208">
        <f>SUM(W198:W207)</f>
        <v>525</v>
      </c>
      <c r="Y208">
        <f>SUM(Y198:Y207)</f>
        <v>525</v>
      </c>
      <c r="AA208">
        <f>SUM(AA198:AA207)</f>
        <v>524.79999999999995</v>
      </c>
      <c r="AC208">
        <f>SUM(AC198:AC207)</f>
        <v>525</v>
      </c>
      <c r="AI208" s="110">
        <f>SUM(AI198:AI207)</f>
        <v>150</v>
      </c>
      <c r="AJ208" s="110"/>
      <c r="AK208" s="110">
        <f>SUM(AK198:AK207)</f>
        <v>150.20000000000002</v>
      </c>
      <c r="AL208" s="110"/>
      <c r="AM208" s="110">
        <f>SUM(AM198:AM207)</f>
        <v>300</v>
      </c>
      <c r="AN208" s="110"/>
      <c r="AO208" s="110">
        <f>SUM(AO198:AO207)</f>
        <v>300</v>
      </c>
      <c r="AP208" s="110"/>
      <c r="AQ208" s="110">
        <f>SUM(AQ198:AQ207)</f>
        <v>300</v>
      </c>
      <c r="AR208" s="110"/>
      <c r="AS208" s="110">
        <f>SUM(AS198:AS207)</f>
        <v>450</v>
      </c>
      <c r="AT208" s="110"/>
      <c r="AU208" s="110">
        <f>SUM(AU198:AU207)</f>
        <v>450.20000000000005</v>
      </c>
      <c r="AV208" s="110"/>
      <c r="AW208" s="110">
        <f>SUM(AW198:AW207)</f>
        <v>600</v>
      </c>
      <c r="AX208" s="110"/>
      <c r="AY208" s="110">
        <f>SUM(AY198:AY207)</f>
        <v>600</v>
      </c>
      <c r="AZ208" s="110"/>
      <c r="BA208" s="110">
        <f>SUM(BA198:BA207)</f>
        <v>600</v>
      </c>
      <c r="BB208" s="110"/>
      <c r="BC208" s="110">
        <f>SUM(BC198:BC207)</f>
        <v>750</v>
      </c>
      <c r="BD208" s="110"/>
      <c r="BE208" s="110">
        <f>SUM(BE198:BE207)</f>
        <v>750.19999999999993</v>
      </c>
      <c r="BF208" s="110"/>
      <c r="BG208" s="110"/>
    </row>
    <row r="209" spans="1:11" ht="13.5" thickBot="1" x14ac:dyDescent="0.25">
      <c r="A209" s="304" t="s">
        <v>827</v>
      </c>
      <c r="B209" s="374">
        <f>$B$32</f>
        <v>1</v>
      </c>
      <c r="C209" s="294"/>
      <c r="D209" s="321">
        <v>1</v>
      </c>
      <c r="E209" s="321"/>
      <c r="F209" s="321">
        <v>2</v>
      </c>
      <c r="G209" s="321"/>
      <c r="H209" s="321">
        <v>3</v>
      </c>
      <c r="I209" s="321"/>
      <c r="J209" s="321">
        <v>4</v>
      </c>
      <c r="K209" s="341"/>
    </row>
    <row r="210" spans="1:11" x14ac:dyDescent="0.2">
      <c r="A210" s="295"/>
      <c r="B210" s="295">
        <f>(B209*2)-1</f>
        <v>1</v>
      </c>
      <c r="C210" s="296">
        <f>B210+1</f>
        <v>2</v>
      </c>
      <c r="D210" s="342">
        <v>1</v>
      </c>
      <c r="E210" s="343">
        <v>2</v>
      </c>
      <c r="F210" s="343">
        <v>3</v>
      </c>
      <c r="G210" s="343">
        <v>4</v>
      </c>
      <c r="H210" s="343">
        <v>5</v>
      </c>
      <c r="I210" s="343">
        <v>6</v>
      </c>
      <c r="J210" s="343">
        <v>7</v>
      </c>
      <c r="K210" s="325">
        <v>8</v>
      </c>
    </row>
    <row r="211" spans="1:11" x14ac:dyDescent="0.2">
      <c r="A211" s="297" t="s">
        <v>131</v>
      </c>
      <c r="B211" s="299"/>
      <c r="C211" s="333">
        <f>HLOOKUP($C$210,$D$210:$K$228,2)</f>
        <v>1</v>
      </c>
      <c r="D211" s="315">
        <v>5</v>
      </c>
      <c r="E211" s="313">
        <v>1</v>
      </c>
      <c r="F211" s="313"/>
      <c r="G211" s="313"/>
      <c r="H211" s="313"/>
      <c r="I211" s="313"/>
      <c r="J211" s="313"/>
      <c r="K211" s="314"/>
    </row>
    <row r="212" spans="1:11" x14ac:dyDescent="0.2">
      <c r="A212" s="298" t="s">
        <v>32</v>
      </c>
      <c r="B212" s="299"/>
      <c r="C212" s="333"/>
      <c r="D212" s="315">
        <v>0</v>
      </c>
      <c r="E212" s="313">
        <v>1</v>
      </c>
      <c r="F212" s="313"/>
      <c r="G212" s="313"/>
      <c r="H212" s="313"/>
      <c r="I212" s="313"/>
      <c r="J212" s="313"/>
      <c r="K212" s="314"/>
    </row>
    <row r="213" spans="1:11" x14ac:dyDescent="0.2">
      <c r="A213" s="298" t="s">
        <v>33</v>
      </c>
      <c r="B213" s="299"/>
      <c r="C213" s="333"/>
      <c r="D213" s="315">
        <v>0</v>
      </c>
      <c r="E213" s="313">
        <v>0</v>
      </c>
      <c r="F213" s="313"/>
      <c r="G213" s="313"/>
      <c r="H213" s="313"/>
      <c r="I213" s="313"/>
      <c r="J213" s="313"/>
      <c r="K213" s="314"/>
    </row>
    <row r="214" spans="1:11" x14ac:dyDescent="0.2">
      <c r="A214" s="298" t="s">
        <v>34</v>
      </c>
      <c r="B214" s="299"/>
      <c r="C214" s="333"/>
      <c r="D214" s="315"/>
      <c r="E214" s="313"/>
      <c r="F214" s="313"/>
      <c r="G214" s="313"/>
      <c r="H214" s="313"/>
      <c r="I214" s="313"/>
      <c r="J214" s="313"/>
      <c r="K214" s="314"/>
    </row>
    <row r="215" spans="1:11" x14ac:dyDescent="0.2">
      <c r="A215" s="299" t="s">
        <v>35</v>
      </c>
      <c r="B215" s="299"/>
      <c r="C215" s="333"/>
      <c r="D215" s="315"/>
      <c r="E215" s="313"/>
      <c r="F215" s="313"/>
      <c r="G215" s="313"/>
      <c r="H215" s="313"/>
      <c r="I215" s="313"/>
      <c r="J215" s="313"/>
      <c r="K215" s="314"/>
    </row>
    <row r="216" spans="1:11" x14ac:dyDescent="0.2">
      <c r="A216" s="299" t="s">
        <v>36</v>
      </c>
      <c r="B216" s="299"/>
      <c r="C216" s="333"/>
      <c r="D216" s="315"/>
      <c r="E216" s="313"/>
      <c r="F216" s="313"/>
      <c r="G216" s="313"/>
      <c r="H216" s="313"/>
      <c r="I216" s="313"/>
      <c r="J216" s="313"/>
      <c r="K216" s="314"/>
    </row>
    <row r="217" spans="1:11" x14ac:dyDescent="0.2">
      <c r="A217" s="299"/>
      <c r="B217" s="334" t="s">
        <v>138</v>
      </c>
      <c r="C217" s="300" t="s">
        <v>53</v>
      </c>
      <c r="D217" s="350" t="s">
        <v>138</v>
      </c>
      <c r="E217" s="348" t="s">
        <v>53</v>
      </c>
      <c r="F217" s="348" t="s">
        <v>138</v>
      </c>
      <c r="G217" s="348" t="s">
        <v>53</v>
      </c>
      <c r="H217" s="348" t="s">
        <v>138</v>
      </c>
      <c r="I217" s="348" t="s">
        <v>53</v>
      </c>
      <c r="J217" s="348" t="s">
        <v>138</v>
      </c>
      <c r="K217" s="349" t="s">
        <v>53</v>
      </c>
    </row>
    <row r="218" spans="1:11" x14ac:dyDescent="0.2">
      <c r="A218" s="297" t="s">
        <v>132</v>
      </c>
      <c r="B218" s="335">
        <f>IF(HLOOKUP(Control!$B$210,$D$210:$K$228,9)&gt;1,HLOOKUP(Control!$B$210,$D$210:$K$228,9),"")</f>
        <v>15</v>
      </c>
      <c r="C218" s="336">
        <f>IF(HLOOKUP(Control!$C$210,$D$210:$K$228,9)&gt;1,HLOOKUP(Control!$C$210,$D$210:$K$228,9),0)</f>
        <v>0</v>
      </c>
      <c r="D218" s="317">
        <f>DATE(2000,1,15)-DATE(2000,1,0)</f>
        <v>15</v>
      </c>
      <c r="E218" s="313">
        <v>0</v>
      </c>
      <c r="F218" s="302">
        <f>DATE(2000,1,15)-DATE(2000,1,0)</f>
        <v>15</v>
      </c>
      <c r="G218" s="313">
        <v>0</v>
      </c>
      <c r="H218" s="302">
        <v>15</v>
      </c>
      <c r="I218" s="313">
        <v>0</v>
      </c>
      <c r="J218" s="302">
        <f>DATE(2000,1,15)-DATE(2000,1,0)</f>
        <v>15</v>
      </c>
      <c r="K218" s="314">
        <v>0</v>
      </c>
    </row>
    <row r="219" spans="1:11" x14ac:dyDescent="0.2">
      <c r="A219" s="297" t="s">
        <v>133</v>
      </c>
      <c r="B219" s="335">
        <f>IF(HLOOKUP(Control!$B$210,$D$210:$K$228,10)&gt;1,HLOOKUP(Control!$B$210,$D$210:$K$228,10),"")</f>
        <v>73</v>
      </c>
      <c r="C219" s="336">
        <f>IF(HLOOKUP(Control!$C$210,$D$210:$K$228,10)&gt;1,HLOOKUP(Control!$C$210,$D$210:$K$228,10),0)</f>
        <v>0</v>
      </c>
      <c r="D219" s="317">
        <f>DATE(2000,3,13)-DATE(2000,1,0)</f>
        <v>73</v>
      </c>
      <c r="E219" s="313">
        <v>0</v>
      </c>
      <c r="F219" s="302">
        <f>DATE(2000,3,13)-DATE(2000,1,0)</f>
        <v>73</v>
      </c>
      <c r="G219" s="313">
        <v>10</v>
      </c>
      <c r="H219" s="302">
        <v>73</v>
      </c>
      <c r="I219" s="313">
        <v>20</v>
      </c>
      <c r="J219" s="302">
        <f>DATE(2000,3,13)-DATE(2000,1,0)</f>
        <v>73</v>
      </c>
      <c r="K219" s="314">
        <v>40</v>
      </c>
    </row>
    <row r="220" spans="1:11" x14ac:dyDescent="0.2">
      <c r="A220" s="297" t="s">
        <v>134</v>
      </c>
      <c r="B220" s="335">
        <f>IF(HLOOKUP(Control!$B$210,$D$210:$K$227,11)&gt;1,HLOOKUP(Control!$B$210,$D$210:$K$228,11),"")</f>
        <v>104</v>
      </c>
      <c r="C220" s="336">
        <f>IF(HLOOKUP(Control!$C$210,$D$210:$K$228,11)&gt;1,HLOOKUP(Control!$C$210,$D$210:$K$228,11),0)</f>
        <v>0</v>
      </c>
      <c r="D220" s="317">
        <f>DATE(2000,4,13)-DATE(2000,1,0)</f>
        <v>104</v>
      </c>
      <c r="E220" s="313">
        <v>0</v>
      </c>
      <c r="F220" s="302">
        <f>DATE(2000,4,13)-DATE(2000,1,0)</f>
        <v>104</v>
      </c>
      <c r="G220" s="313">
        <v>10</v>
      </c>
      <c r="H220" s="302">
        <v>104</v>
      </c>
      <c r="I220" s="313">
        <v>20</v>
      </c>
      <c r="J220" s="302">
        <f>DATE(2000,4,13)-DATE(2000,1,0)</f>
        <v>104</v>
      </c>
      <c r="K220" s="314">
        <v>40</v>
      </c>
    </row>
    <row r="221" spans="1:11" x14ac:dyDescent="0.2">
      <c r="A221" s="297" t="s">
        <v>135</v>
      </c>
      <c r="B221" s="335">
        <f>IF(HLOOKUP(Control!$B$210,$D$210:$K$227,12)&gt;1,HLOOKUP(Control!$B$210,$D$210:$K$228,12),"")</f>
        <v>134</v>
      </c>
      <c r="C221" s="336">
        <f>IF(HLOOKUP(Control!$C$210,$D$210:$K$228,12)&gt;1,HLOOKUP(Control!$C$210,$D$210:$K$228,12),0)</f>
        <v>0</v>
      </c>
      <c r="D221" s="317">
        <f>DATE(2000,5,13)-DATE(2000,1,0)</f>
        <v>134</v>
      </c>
      <c r="E221" s="313">
        <v>0</v>
      </c>
      <c r="F221" s="302">
        <f>DATE(2000,5,13)-DATE(2000,1,0)</f>
        <v>134</v>
      </c>
      <c r="G221" s="313">
        <v>10</v>
      </c>
      <c r="H221" s="302">
        <v>134</v>
      </c>
      <c r="I221" s="313">
        <v>20</v>
      </c>
      <c r="J221" s="302">
        <f>DATE(2000,5,13)-DATE(2000,1,0)</f>
        <v>134</v>
      </c>
      <c r="K221" s="314">
        <v>40</v>
      </c>
    </row>
    <row r="222" spans="1:11" x14ac:dyDescent="0.2">
      <c r="A222" s="297" t="s">
        <v>136</v>
      </c>
      <c r="B222" s="335">
        <f>IF(HLOOKUP(Control!$B$210,$D$210:$K$227,13)&gt;1,HLOOKUP(Control!$B$210,$D$210:$K$228,13),"")</f>
        <v>151</v>
      </c>
      <c r="C222" s="336">
        <f>IF(HLOOKUP(Control!$C$210,$D$210:$K$228,13)&gt;1,HLOOKUP(Control!$C$210,$D$210:$K$228,13),0)</f>
        <v>0</v>
      </c>
      <c r="D222" s="317">
        <f>DATE(2000,5,30)-DATE(2000,1,0)</f>
        <v>151</v>
      </c>
      <c r="E222" s="313">
        <v>0</v>
      </c>
      <c r="F222" s="302">
        <f>DATE(2000,5,30)-DATE(2000,1,0)</f>
        <v>151</v>
      </c>
      <c r="G222" s="313">
        <v>10</v>
      </c>
      <c r="H222" s="302">
        <v>151</v>
      </c>
      <c r="I222" s="313">
        <v>20</v>
      </c>
      <c r="J222" s="302">
        <f>DATE(2000,5,30)-DATE(2000,1,0)</f>
        <v>151</v>
      </c>
      <c r="K222" s="314">
        <v>40</v>
      </c>
    </row>
    <row r="223" spans="1:11" x14ac:dyDescent="0.2">
      <c r="A223" s="297" t="s">
        <v>137</v>
      </c>
      <c r="B223" s="335">
        <f>IF(HLOOKUP(Control!$B$210,$D$210:$K$227,14)&gt;1,HLOOKUP(Control!$B$210,$D$210:$K$228,14),"")</f>
        <v>162</v>
      </c>
      <c r="C223" s="336">
        <f>IF(HLOOKUP(Control!$C$210,$D$210:$K$228,14)&gt;1,HLOOKUP(Control!$C$210,$D$210:$K$228,14),0)</f>
        <v>0</v>
      </c>
      <c r="D223" s="317">
        <f>DATE(2000,6,10)-DATE(2000,1,0)</f>
        <v>162</v>
      </c>
      <c r="E223" s="313">
        <v>0</v>
      </c>
      <c r="F223" s="302">
        <f>DATE(2000,6,10)-DATE(2000,1,0)</f>
        <v>162</v>
      </c>
      <c r="G223" s="313">
        <v>10</v>
      </c>
      <c r="H223" s="302">
        <v>162</v>
      </c>
      <c r="I223" s="313">
        <v>20</v>
      </c>
      <c r="J223" s="302">
        <f>DATE(2000,6,10)-DATE(2000,1,0)</f>
        <v>162</v>
      </c>
      <c r="K223" s="314">
        <v>40</v>
      </c>
    </row>
    <row r="224" spans="1:11" x14ac:dyDescent="0.2">
      <c r="A224" s="297" t="s">
        <v>142</v>
      </c>
      <c r="B224" s="335">
        <f>IF(HLOOKUP(Control!$B$210,$D$210:$K$227,15)&gt;1,HLOOKUP(Control!$B$210,$D$210:$K$228,15),"")</f>
        <v>177</v>
      </c>
      <c r="C224" s="336">
        <f>IF(HLOOKUP(Control!$C$210,$D$210:$K$228,15)&gt;1,HLOOKUP(Control!$C$210,$D$210:$K$228,15),0)</f>
        <v>0</v>
      </c>
      <c r="D224" s="317">
        <f>DATE(2000,6,25)-DATE(2000,1,0)</f>
        <v>177</v>
      </c>
      <c r="E224" s="313">
        <v>0</v>
      </c>
      <c r="F224" s="302">
        <f>DATE(2000,6,25)-DATE(2000,1,0)</f>
        <v>177</v>
      </c>
      <c r="G224" s="313">
        <v>10</v>
      </c>
      <c r="H224" s="302">
        <v>177</v>
      </c>
      <c r="I224" s="313">
        <v>20</v>
      </c>
      <c r="J224" s="302">
        <f>DATE(2000,6,25)-DATE(2000,1,0)</f>
        <v>177</v>
      </c>
      <c r="K224" s="314">
        <v>40</v>
      </c>
    </row>
    <row r="225" spans="1:11" x14ac:dyDescent="0.2">
      <c r="A225" s="297" t="s">
        <v>143</v>
      </c>
      <c r="B225" s="335">
        <f>IF(HLOOKUP(Control!$B$210,$D$210:$K$227,16)&gt;1,HLOOKUP(Control!$B$210,$D$210:$K$228,16),"")</f>
        <v>197</v>
      </c>
      <c r="C225" s="336">
        <f>IF(HLOOKUP(Control!$C$210,$D$210:$K$228,16)&gt;1,HLOOKUP(Control!$C$210,$D$210:$K$228,16),0)</f>
        <v>0</v>
      </c>
      <c r="D225" s="317">
        <f>DATE(2000,7,15)-DATE(2000,1,0)</f>
        <v>197</v>
      </c>
      <c r="E225" s="313">
        <v>0</v>
      </c>
      <c r="F225" s="302">
        <f>DATE(2000,7,15)-DATE(2000,1,0)</f>
        <v>197</v>
      </c>
      <c r="G225" s="313">
        <v>10</v>
      </c>
      <c r="H225" s="302">
        <v>197</v>
      </c>
      <c r="I225" s="313">
        <v>20</v>
      </c>
      <c r="J225" s="302">
        <f>DATE(2000,7,15)-DATE(2000,1,0)</f>
        <v>197</v>
      </c>
      <c r="K225" s="314">
        <v>40</v>
      </c>
    </row>
    <row r="226" spans="1:11" x14ac:dyDescent="0.2">
      <c r="A226" s="297" t="s">
        <v>144</v>
      </c>
      <c r="B226" s="335">
        <f>IF(HLOOKUP(Control!$B$210,$D$210:$K$227,17)&gt;1,HLOOKUP(Control!$B$210,$D$210:$K$228,17),"")</f>
        <v>211</v>
      </c>
      <c r="C226" s="336">
        <f>IF(HLOOKUP(Control!$C$210,$D$210:$K$228,17)&gt;1,HLOOKUP(Control!$C$210,$D$210:$K$228,17),0)</f>
        <v>0</v>
      </c>
      <c r="D226" s="317">
        <f>DATE(2000,7,29)-DATE(2000,1,0)</f>
        <v>211</v>
      </c>
      <c r="E226" s="313">
        <v>0</v>
      </c>
      <c r="F226" s="302">
        <f>DATE(2000,7,29)-DATE(2000,1,0)</f>
        <v>211</v>
      </c>
      <c r="G226" s="313">
        <v>10</v>
      </c>
      <c r="H226" s="302">
        <v>211</v>
      </c>
      <c r="I226" s="313">
        <v>20</v>
      </c>
      <c r="J226" s="302">
        <f>DATE(2000,7,29)-DATE(2000,1,0)</f>
        <v>211</v>
      </c>
      <c r="K226" s="314">
        <v>40</v>
      </c>
    </row>
    <row r="227" spans="1:11" x14ac:dyDescent="0.2">
      <c r="A227" s="297" t="s">
        <v>145</v>
      </c>
      <c r="B227" s="337">
        <f>IF(HLOOKUP(Control!$B$210,$D$210:$K$227,18)&gt;1,HLOOKUP(Control!$B$210,$D$210:$K$228,18),"")</f>
        <v>225</v>
      </c>
      <c r="C227" s="338">
        <f>IF(HLOOKUP(Control!$C$210,$D$210:$K$228,18)&gt;1,HLOOKUP(Control!$C$210,$D$210:$K$228,18),0)</f>
        <v>0</v>
      </c>
      <c r="D227" s="317">
        <f>DATE(2000,8,12)-DATE(2000,1,0)</f>
        <v>225</v>
      </c>
      <c r="E227" s="313">
        <v>0</v>
      </c>
      <c r="F227" s="302">
        <f>DATE(2000,8,12)-DATE(2000,1,0)</f>
        <v>225</v>
      </c>
      <c r="G227" s="313">
        <v>10</v>
      </c>
      <c r="H227" s="302">
        <v>225</v>
      </c>
      <c r="I227" s="313">
        <v>20</v>
      </c>
      <c r="J227" s="302">
        <f>DATE(2000,8,12)-DATE(2000,1,0)</f>
        <v>225</v>
      </c>
      <c r="K227" s="314">
        <v>40</v>
      </c>
    </row>
    <row r="228" spans="1:11" ht="13.5" thickBot="1" x14ac:dyDescent="0.25">
      <c r="A228" s="307" t="s">
        <v>146</v>
      </c>
      <c r="B228" s="339">
        <f>IF(HLOOKUP(Control!$B$210,$D$210:$K$228,19)&gt;1,HLOOKUP(Control!$B$210,$D$210:$K$228,19),"")</f>
        <v>259</v>
      </c>
      <c r="C228" s="340">
        <f>IF(HLOOKUP(Control!$C$210,$D$210:$K$228,19)&gt;1,HLOOKUP(Control!$C$210,$D$210:$K$228,19),0)</f>
        <v>0</v>
      </c>
      <c r="D228" s="344">
        <f>DATE(2000,9,15)-DATE(2000,1,0)</f>
        <v>259</v>
      </c>
      <c r="E228" s="319">
        <v>0</v>
      </c>
      <c r="F228" s="303">
        <f>DATE(2000,9,15)-DATE(2000,1,0)</f>
        <v>259</v>
      </c>
      <c r="G228" s="319">
        <v>10</v>
      </c>
      <c r="H228" s="303">
        <v>259</v>
      </c>
      <c r="I228" s="319">
        <v>20</v>
      </c>
      <c r="J228" s="303">
        <f>DATE(2000,9,15)-DATE(2000,1,0)</f>
        <v>259</v>
      </c>
      <c r="K228" s="332">
        <v>40</v>
      </c>
    </row>
    <row r="230" spans="1:11" x14ac:dyDescent="0.2">
      <c r="B230" s="63"/>
      <c r="C230" s="63"/>
    </row>
    <row r="231" spans="1:11" x14ac:dyDescent="0.2">
      <c r="C231" s="351"/>
    </row>
    <row r="232" spans="1:11" x14ac:dyDescent="0.2">
      <c r="C232" s="351"/>
    </row>
    <row r="233" spans="1:11" x14ac:dyDescent="0.2">
      <c r="C233" s="351"/>
    </row>
    <row r="234" spans="1:11" x14ac:dyDescent="0.2">
      <c r="C234" s="351"/>
    </row>
    <row r="235" spans="1:11" x14ac:dyDescent="0.2">
      <c r="C235" s="351"/>
    </row>
    <row r="236" spans="1:11" x14ac:dyDescent="0.2">
      <c r="C236" s="351"/>
    </row>
    <row r="237" spans="1:11" x14ac:dyDescent="0.2">
      <c r="C237" s="351"/>
    </row>
  </sheetData>
  <mergeCells count="18">
    <mergeCell ref="D187:AE187"/>
    <mergeCell ref="AF187:BE187"/>
    <mergeCell ref="D188:E188"/>
    <mergeCell ref="AD188:AE188"/>
    <mergeCell ref="AF188:AG188"/>
    <mergeCell ref="AH188:AI188"/>
    <mergeCell ref="AJ188:AK188"/>
    <mergeCell ref="AL188:AM188"/>
    <mergeCell ref="AN188:AO188"/>
    <mergeCell ref="AZ188:BA188"/>
    <mergeCell ref="BB188:BC188"/>
    <mergeCell ref="BD188:BE188"/>
    <mergeCell ref="BF188:BG188"/>
    <mergeCell ref="AP188:AQ188"/>
    <mergeCell ref="AR188:AS188"/>
    <mergeCell ref="AT188:AU188"/>
    <mergeCell ref="AV188:AW188"/>
    <mergeCell ref="AX188:AY188"/>
  </mergeCells>
  <pageMargins left="0.75" right="0.75" top="1" bottom="1" header="0.5" footer="0.5"/>
  <pageSetup paperSize="9" orientation="portrait" horizontalDpi="4294967292" r:id="rId1"/>
  <headerFooter alignWithMargins="0">
    <oddHeader>&amp;A</oddHeader>
    <oddFooter>Page &amp;P</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QP376"/>
  <sheetViews>
    <sheetView workbookViewId="0">
      <selection activeCell="O13" sqref="O13"/>
    </sheetView>
  </sheetViews>
  <sheetFormatPr defaultColWidth="4.7109375" defaultRowHeight="12.75" x14ac:dyDescent="0.2"/>
  <cols>
    <col min="1" max="2" width="3.5703125" style="67" bestFit="1" customWidth="1"/>
    <col min="3" max="3" width="5.7109375" style="67" bestFit="1" customWidth="1"/>
    <col min="4" max="4" width="5" style="67" bestFit="1" customWidth="1"/>
    <col min="5" max="5" width="5.7109375" style="67" customWidth="1"/>
    <col min="6" max="7" width="5" style="67" bestFit="1" customWidth="1"/>
    <col min="8" max="8" width="5.28515625" style="67" customWidth="1"/>
    <col min="9" max="9" width="5.85546875" style="67" bestFit="1" customWidth="1"/>
    <col min="10" max="10" width="4.85546875" style="67" customWidth="1"/>
    <col min="11" max="11" width="7.140625" style="67" customWidth="1"/>
    <col min="12" max="12" width="7.28515625" style="67" customWidth="1"/>
    <col min="13" max="13" width="8.140625" style="67" customWidth="1"/>
    <col min="14" max="14" width="4.5703125" style="67" bestFit="1" customWidth="1"/>
    <col min="15" max="16" width="4.85546875" style="67" customWidth="1"/>
    <col min="17" max="17" width="6.28515625" style="67" bestFit="1" customWidth="1"/>
    <col min="18" max="18" width="6.85546875" style="67" customWidth="1"/>
    <col min="19" max="19" width="5.42578125" style="67" customWidth="1"/>
    <col min="20" max="20" width="5.5703125" style="67" customWidth="1"/>
    <col min="21" max="21" width="5.42578125" style="67" customWidth="1"/>
    <col min="22" max="22" width="5.7109375" style="67" customWidth="1"/>
    <col min="23" max="23" width="5" style="67" customWidth="1"/>
    <col min="24" max="24" width="6.7109375" style="67" customWidth="1"/>
    <col min="25" max="25" width="4.85546875" style="67" customWidth="1"/>
    <col min="26" max="28" width="6.7109375" style="67" customWidth="1"/>
    <col min="29" max="29" width="8.28515625" style="67" bestFit="1" customWidth="1"/>
    <col min="30" max="30" width="8.28515625" style="67" customWidth="1"/>
    <col min="31" max="31" width="3.85546875" style="67" bestFit="1" customWidth="1"/>
    <col min="32" max="32" width="6.7109375" style="67" customWidth="1"/>
    <col min="33" max="33" width="10.5703125" style="67" customWidth="1"/>
    <col min="34" max="34" width="5.7109375" style="67" customWidth="1"/>
    <col min="35" max="42" width="5.7109375" style="67" hidden="1" customWidth="1"/>
    <col min="43" max="43" width="7.28515625" style="67" customWidth="1"/>
    <col min="44" max="44" width="6.42578125" style="67" customWidth="1"/>
    <col min="45" max="45" width="6.7109375" style="67" customWidth="1"/>
    <col min="46" max="46" width="7" style="67" customWidth="1"/>
    <col min="47" max="49" width="5.7109375" style="67" customWidth="1"/>
    <col min="50" max="50" width="10.28515625" style="67" customWidth="1"/>
    <col min="51" max="51" width="6.85546875" style="67" customWidth="1"/>
    <col min="52" max="52" width="4.28515625" style="67" customWidth="1"/>
    <col min="53" max="53" width="6.85546875" style="67" customWidth="1"/>
    <col min="54" max="54" width="5.28515625" style="67" customWidth="1"/>
    <col min="55" max="55" width="5.140625" style="67" customWidth="1"/>
    <col min="56" max="56" width="4.85546875" style="67" customWidth="1"/>
    <col min="57" max="57" width="5" style="67" customWidth="1"/>
    <col min="58" max="58" width="4.5703125" style="67" customWidth="1"/>
    <col min="59" max="59" width="5.5703125" style="67" customWidth="1"/>
    <col min="60" max="60" width="4.7109375" style="67" customWidth="1"/>
    <col min="61" max="61" width="5.28515625" style="67" customWidth="1"/>
    <col min="62" max="62" width="4.7109375" style="67" customWidth="1"/>
    <col min="63" max="63" width="4.5703125" style="67" customWidth="1"/>
    <col min="64" max="64" width="4.85546875" style="67" customWidth="1"/>
    <col min="65" max="65" width="4.7109375" style="67" customWidth="1"/>
    <col min="66" max="66" width="4.85546875" style="67" customWidth="1"/>
    <col min="67" max="67" width="4.7109375" style="67" customWidth="1"/>
    <col min="68" max="68" width="4.5703125" style="67" customWidth="1"/>
    <col min="69" max="69" width="5.42578125" style="67" customWidth="1"/>
    <col min="70" max="70" width="5.5703125" style="67" customWidth="1"/>
    <col min="71" max="71" width="5.42578125" style="67" customWidth="1"/>
    <col min="72" max="72" width="4.42578125" style="67" customWidth="1"/>
    <col min="73" max="73" width="5.5703125" style="67" customWidth="1"/>
    <col min="74" max="74" width="5" style="67" customWidth="1"/>
    <col min="75" max="76" width="4.140625" style="67" customWidth="1"/>
    <col min="77" max="77" width="5.28515625" style="67" customWidth="1"/>
    <col min="78" max="78" width="4.5703125" style="67" customWidth="1"/>
    <col min="79" max="80" width="4.42578125" style="67" customWidth="1"/>
    <col min="81" max="81" width="4.140625" style="67" customWidth="1"/>
    <col min="82" max="82" width="4.7109375" style="67" customWidth="1"/>
    <col min="83" max="83" width="4.42578125" style="67" customWidth="1"/>
    <col min="84" max="84" width="4.85546875" style="67" customWidth="1"/>
    <col min="85" max="85" width="4.42578125" style="67" customWidth="1"/>
    <col min="86" max="86" width="4.5703125" style="67" customWidth="1"/>
    <col min="87" max="87" width="4.140625" style="67" customWidth="1"/>
    <col min="88" max="88" width="4.28515625" style="67" customWidth="1"/>
    <col min="89" max="98" width="4.42578125" style="67" customWidth="1"/>
    <col min="99" max="99" width="6.7109375" style="67" customWidth="1"/>
    <col min="100" max="100" width="6.85546875" style="67" customWidth="1"/>
    <col min="101" max="101" width="10.85546875" style="67" customWidth="1"/>
    <col min="102" max="102" width="7.28515625" style="67" customWidth="1"/>
    <col min="103" max="103" width="6.7109375" style="67" customWidth="1"/>
    <col min="104" max="104" width="5.42578125" style="67" customWidth="1"/>
    <col min="105" max="109" width="6.7109375" style="67" customWidth="1"/>
    <col min="110" max="110" width="7.28515625" style="67" bestFit="1" customWidth="1"/>
    <col min="111" max="111" width="8.5703125" style="67" customWidth="1"/>
    <col min="112" max="119" width="6.7109375" style="67" customWidth="1"/>
    <col min="120" max="120" width="7.7109375" style="67" customWidth="1"/>
    <col min="121" max="121" width="7.5703125" style="67" customWidth="1"/>
    <col min="122" max="122" width="7.28515625" style="67" bestFit="1" customWidth="1"/>
    <col min="123" max="123" width="8.42578125" style="67" customWidth="1"/>
    <col min="124" max="124" width="8" style="67" customWidth="1"/>
    <col min="125" max="130" width="6.7109375" style="67" customWidth="1"/>
    <col min="131" max="131" width="11" style="67" customWidth="1"/>
    <col min="132" max="132" width="8.42578125" style="67" bestFit="1" customWidth="1"/>
    <col min="133" max="133" width="9.42578125" style="67" customWidth="1"/>
    <col min="134" max="134" width="8.7109375" style="67" bestFit="1" customWidth="1"/>
    <col min="135" max="135" width="6.42578125" style="67" customWidth="1"/>
    <col min="136" max="136" width="6.28515625" style="67" bestFit="1" customWidth="1"/>
    <col min="137" max="137" width="4.85546875" style="67" bestFit="1" customWidth="1"/>
    <col min="138" max="139" width="6.7109375" style="67" customWidth="1"/>
    <col min="140" max="140" width="5.5703125" style="67" customWidth="1"/>
    <col min="141" max="141" width="7.7109375" style="67" bestFit="1" customWidth="1"/>
    <col min="142" max="142" width="6.7109375" style="67" customWidth="1"/>
    <col min="143" max="147" width="6.5703125" style="67" customWidth="1"/>
    <col min="148" max="151" width="6.85546875" style="67" customWidth="1"/>
    <col min="152" max="152" width="9.5703125" style="67" customWidth="1"/>
    <col min="153" max="153" width="7.42578125" style="67" customWidth="1"/>
    <col min="154" max="154" width="9.28515625" style="67" bestFit="1" customWidth="1"/>
    <col min="155" max="155" width="8.42578125" style="67" bestFit="1" customWidth="1"/>
    <col min="156" max="156" width="8" style="67" customWidth="1"/>
    <col min="157" max="157" width="6.7109375" style="67" bestFit="1" customWidth="1"/>
    <col min="158" max="159" width="6.7109375" style="67" customWidth="1"/>
    <col min="160" max="160" width="7.42578125" style="67" customWidth="1"/>
    <col min="161" max="161" width="5.85546875" style="67" bestFit="1" customWidth="1"/>
    <col min="162" max="162" width="6.7109375" style="67" customWidth="1"/>
    <col min="163" max="163" width="5" style="67" bestFit="1" customWidth="1"/>
    <col min="164" max="164" width="5.85546875" style="67" bestFit="1" customWidth="1"/>
    <col min="165" max="165" width="6.7109375" style="67" customWidth="1"/>
    <col min="166" max="166" width="5" style="67" bestFit="1" customWidth="1"/>
    <col min="167" max="167" width="7.28515625" style="67" bestFit="1" customWidth="1"/>
    <col min="168" max="168" width="7.7109375" style="67" bestFit="1" customWidth="1"/>
    <col min="169" max="169" width="7.5703125" style="67" customWidth="1"/>
    <col min="170" max="170" width="5.85546875" style="67" bestFit="1" customWidth="1"/>
    <col min="171" max="171" width="7.7109375" style="67" customWidth="1"/>
    <col min="172" max="172" width="8.5703125" style="67" customWidth="1"/>
    <col min="173" max="173" width="6.85546875" style="67" customWidth="1"/>
    <col min="174" max="174" width="8.42578125" style="67" customWidth="1"/>
    <col min="175" max="175" width="7.28515625" style="67" customWidth="1"/>
    <col min="176" max="176" width="11.85546875" style="67" customWidth="1"/>
    <col min="177" max="177" width="7.140625" style="67" customWidth="1"/>
    <col min="178" max="178" width="7.7109375" style="67" customWidth="1"/>
    <col min="179" max="179" width="6.7109375" style="67" customWidth="1"/>
    <col min="180" max="180" width="5.5703125" style="67" customWidth="1"/>
    <col min="181" max="181" width="5.85546875" style="67" bestFit="1" customWidth="1"/>
    <col min="182" max="195" width="5.42578125" style="67" customWidth="1"/>
    <col min="196" max="197" width="7.5703125" style="67" customWidth="1"/>
    <col min="198" max="199" width="5.42578125" style="67" customWidth="1"/>
    <col min="200" max="200" width="8.28515625" style="67" customWidth="1"/>
    <col min="201" max="201" width="7.5703125" style="67" bestFit="1" customWidth="1"/>
    <col min="202" max="203" width="8.28515625" style="67" customWidth="1"/>
    <col min="204" max="204" width="10.85546875" style="67" customWidth="1"/>
    <col min="205" max="205" width="8.85546875" style="67" bestFit="1" customWidth="1"/>
    <col min="206" max="207" width="7.42578125" style="67" customWidth="1"/>
    <col min="208" max="208" width="8.85546875" style="67" customWidth="1"/>
    <col min="209" max="209" width="6.85546875" style="67" customWidth="1"/>
    <col min="210" max="211" width="6.5703125" style="67" customWidth="1"/>
    <col min="212" max="212" width="4.42578125" style="67" customWidth="1"/>
    <col min="213" max="213" width="7.42578125" style="67" customWidth="1"/>
    <col min="214" max="214" width="5.85546875" style="67" bestFit="1" customWidth="1"/>
    <col min="215" max="215" width="5.7109375" style="67" customWidth="1"/>
    <col min="216" max="216" width="3.5703125" style="67" customWidth="1"/>
    <col min="217" max="217" width="3.7109375" style="67" customWidth="1"/>
    <col min="218" max="219" width="6.7109375" style="67" customWidth="1"/>
    <col min="220" max="220" width="4.85546875" style="67" customWidth="1"/>
    <col min="221" max="221" width="6.85546875" style="67" customWidth="1"/>
    <col min="222" max="222" width="10.5703125" style="67" customWidth="1"/>
    <col min="223" max="223" width="7.7109375" style="79" customWidth="1"/>
    <col min="224" max="224" width="5.7109375" style="79" bestFit="1" customWidth="1"/>
    <col min="225" max="225" width="9.140625" style="71" customWidth="1"/>
    <col min="226" max="226" width="6.28515625" style="67" customWidth="1"/>
    <col min="227" max="227" width="7.140625" style="79" customWidth="1"/>
    <col min="228" max="228" width="5.7109375" style="67" bestFit="1" customWidth="1"/>
    <col min="229" max="229" width="6.7109375" style="71" customWidth="1"/>
    <col min="230" max="230" width="4.85546875" style="67" bestFit="1" customWidth="1"/>
    <col min="231" max="231" width="5.7109375" style="67" bestFit="1" customWidth="1"/>
    <col min="232" max="232" width="4.85546875" style="67" bestFit="1" customWidth="1"/>
    <col min="233" max="233" width="7.28515625" style="67" customWidth="1"/>
    <col min="234" max="234" width="6.42578125" style="67" hidden="1" customWidth="1"/>
    <col min="235" max="235" width="8.28515625" style="72" customWidth="1"/>
    <col min="236" max="236" width="6.140625" style="67" bestFit="1" customWidth="1"/>
    <col min="237" max="237" width="9.140625" style="72" customWidth="1"/>
    <col min="238" max="238" width="6.28515625" style="67" bestFit="1" customWidth="1"/>
    <col min="239" max="239" width="9.5703125" style="67" customWidth="1"/>
    <col min="240" max="240" width="7.28515625" style="67" customWidth="1"/>
    <col min="241" max="241" width="3.28515625" style="67" customWidth="1"/>
    <col min="242" max="242" width="4.85546875" style="67" bestFit="1" customWidth="1"/>
    <col min="243" max="243" width="6.7109375" style="67" bestFit="1" customWidth="1"/>
    <col min="244" max="244" width="5.85546875" style="67" bestFit="1" customWidth="1"/>
    <col min="245" max="245" width="6.5703125" style="67" bestFit="1" customWidth="1"/>
    <col min="246" max="246" width="7.7109375" style="67" bestFit="1" customWidth="1"/>
    <col min="247" max="247" width="6.85546875" style="67" customWidth="1"/>
    <col min="248" max="248" width="5.7109375" style="67" customWidth="1"/>
    <col min="249" max="249" width="6.5703125" style="67" customWidth="1"/>
    <col min="250" max="250" width="6.7109375" style="72" customWidth="1"/>
    <col min="251" max="251" width="6.42578125" style="67" customWidth="1"/>
    <col min="252" max="252" width="8.140625" style="67" customWidth="1"/>
    <col min="253" max="253" width="7.7109375" style="71" bestFit="1" customWidth="1"/>
    <col min="254" max="255" width="7.7109375" style="71" customWidth="1"/>
    <col min="256" max="256" width="6.7109375" style="67" bestFit="1" customWidth="1"/>
    <col min="257" max="257" width="6.7109375" style="67" customWidth="1"/>
    <col min="258" max="258" width="5.85546875" style="67" bestFit="1" customWidth="1"/>
    <col min="259" max="259" width="5.85546875" style="67" customWidth="1"/>
    <col min="260" max="260" width="7.7109375" style="67" bestFit="1" customWidth="1"/>
    <col min="261" max="261" width="6.85546875" style="79" customWidth="1"/>
    <col min="262" max="262" width="6.140625" style="67" customWidth="1"/>
    <col min="263" max="263" width="5.28515625" style="67" customWidth="1"/>
    <col min="264" max="264" width="5.42578125" style="67" customWidth="1"/>
    <col min="265" max="265" width="7.7109375" style="67" bestFit="1" customWidth="1"/>
    <col min="266" max="266" width="7" style="67" customWidth="1"/>
    <col min="267" max="267" width="5.7109375" style="67" customWidth="1"/>
    <col min="268" max="268" width="5.140625" style="67" customWidth="1"/>
    <col min="269" max="269" width="7.7109375" style="71" customWidth="1"/>
    <col min="270" max="270" width="6.85546875" style="67" customWidth="1"/>
    <col min="271" max="271" width="8.42578125" style="67" customWidth="1"/>
    <col min="272" max="272" width="9.28515625" style="67" customWidth="1"/>
    <col min="273" max="273" width="6.5703125" style="67" customWidth="1"/>
    <col min="274" max="274" width="5.5703125" style="67" bestFit="1" customWidth="1"/>
    <col min="275" max="275" width="6.7109375" style="67" bestFit="1" customWidth="1"/>
    <col min="276" max="276" width="7.28515625" style="67" bestFit="1" customWidth="1"/>
    <col min="277" max="277" width="7.28515625" style="67" customWidth="1"/>
    <col min="278" max="278" width="6.5703125" style="67" customWidth="1"/>
    <col min="279" max="280" width="4.85546875" style="67" bestFit="1" customWidth="1"/>
    <col min="281" max="281" width="5.5703125" style="67" customWidth="1"/>
    <col min="282" max="282" width="4.85546875" style="67" bestFit="1" customWidth="1"/>
    <col min="283" max="284" width="6.85546875" style="67" customWidth="1"/>
    <col min="285" max="285" width="5.42578125" style="67" customWidth="1"/>
    <col min="286" max="286" width="5.7109375" style="67" bestFit="1" customWidth="1"/>
    <col min="287" max="288" width="6.42578125" style="67" customWidth="1"/>
    <col min="289" max="289" width="5.5703125" style="67" customWidth="1"/>
    <col min="290" max="290" width="5.85546875" style="67" bestFit="1" customWidth="1"/>
    <col min="291" max="291" width="5.7109375" style="67" bestFit="1" customWidth="1"/>
    <col min="292" max="292" width="9" style="67" customWidth="1"/>
    <col min="293" max="293" width="8" style="67" customWidth="1"/>
    <col min="294" max="294" width="7.85546875" style="79" customWidth="1"/>
    <col min="295" max="295" width="5.7109375" style="67" bestFit="1" customWidth="1"/>
    <col min="296" max="296" width="6.5703125" style="67" bestFit="1" customWidth="1"/>
    <col min="297" max="297" width="6.140625" style="67" bestFit="1" customWidth="1"/>
    <col min="298" max="299" width="6.140625" style="67" customWidth="1"/>
    <col min="300" max="300" width="7" style="67" customWidth="1"/>
    <col min="301" max="301" width="6.140625" style="67" customWidth="1"/>
    <col min="302" max="302" width="7" style="67" customWidth="1"/>
    <col min="303" max="305" width="6.140625" style="67" customWidth="1"/>
    <col min="306" max="306" width="7.42578125" style="67" customWidth="1"/>
    <col min="307" max="310" width="6.140625" style="67" customWidth="1"/>
    <col min="311" max="311" width="10.7109375" style="67" customWidth="1"/>
    <col min="312" max="316" width="6.5703125" style="67" customWidth="1"/>
    <col min="317" max="317" width="7.7109375" style="67" customWidth="1"/>
    <col min="318" max="318" width="5.42578125" style="67" customWidth="1"/>
    <col min="319" max="319" width="4.85546875" style="67" customWidth="1"/>
    <col min="320" max="320" width="4.5703125" style="67" customWidth="1"/>
    <col min="321" max="321" width="5.140625" style="67" customWidth="1"/>
    <col min="322" max="324" width="6.5703125" style="67" customWidth="1"/>
    <col min="325" max="325" width="7.140625" style="67" customWidth="1"/>
    <col min="326" max="328" width="6.5703125" style="67" customWidth="1"/>
    <col min="329" max="329" width="7.42578125" style="67" customWidth="1"/>
    <col min="330" max="330" width="9.140625" style="67" customWidth="1"/>
    <col min="331" max="331" width="7.42578125" style="67" customWidth="1"/>
    <col min="332" max="333" width="7.5703125" style="67" customWidth="1"/>
    <col min="334" max="343" width="6.42578125" style="67" customWidth="1"/>
    <col min="344" max="344" width="7.85546875" style="67" customWidth="1"/>
    <col min="345" max="348" width="6.42578125" style="67" customWidth="1"/>
    <col min="349" max="350" width="8.140625" style="67" customWidth="1"/>
    <col min="351" max="351" width="8.85546875" style="67" customWidth="1"/>
    <col min="352" max="353" width="8.5703125" style="67" customWidth="1"/>
    <col min="354" max="367" width="6.42578125" style="67" customWidth="1"/>
    <col min="368" max="368" width="7.5703125" style="67" customWidth="1"/>
    <col min="369" max="369" width="6" style="67" customWidth="1"/>
    <col min="370" max="377" width="7.85546875" style="67" customWidth="1"/>
    <col min="378" max="378" width="6.42578125" style="67" customWidth="1"/>
    <col min="379" max="380" width="5.85546875" style="67" bestFit="1" customWidth="1"/>
    <col min="381" max="383" width="5.85546875" style="67" customWidth="1"/>
    <col min="384" max="384" width="6.42578125" style="67" customWidth="1"/>
    <col min="385" max="393" width="5.85546875" style="67" customWidth="1"/>
    <col min="394" max="394" width="7" style="67" customWidth="1"/>
    <col min="395" max="395" width="5.7109375" style="67" bestFit="1" customWidth="1"/>
    <col min="396" max="396" width="5.7109375" style="67" customWidth="1"/>
    <col min="397" max="397" width="8.42578125" style="67" bestFit="1" customWidth="1"/>
    <col min="398" max="398" width="7.85546875" style="67" customWidth="1"/>
    <col min="399" max="399" width="7" style="67" customWidth="1"/>
    <col min="400" max="400" width="6.42578125" style="67" bestFit="1" customWidth="1"/>
    <col min="401" max="401" width="7.28515625" style="67" customWidth="1"/>
    <col min="402" max="409" width="6.7109375" style="67" customWidth="1"/>
    <col min="410" max="410" width="7.140625" style="67" customWidth="1"/>
    <col min="411" max="411" width="5.7109375" style="67" bestFit="1" customWidth="1"/>
    <col min="412" max="412" width="5" style="67" bestFit="1" customWidth="1"/>
    <col min="413" max="413" width="4.85546875" style="67" bestFit="1" customWidth="1"/>
    <col min="414" max="415" width="5.7109375" style="67" customWidth="1"/>
    <col min="416" max="416" width="5.85546875" style="67" bestFit="1" customWidth="1"/>
    <col min="417" max="417" width="6.7109375" style="67" customWidth="1"/>
    <col min="418" max="418" width="7.28515625" style="67" hidden="1" customWidth="1"/>
    <col min="419" max="419" width="6.28515625" style="67" hidden="1" customWidth="1"/>
    <col min="420" max="420" width="7.5703125" style="67" bestFit="1" customWidth="1"/>
    <col min="421" max="421" width="6.140625" style="67" customWidth="1"/>
    <col min="422" max="422" width="8.85546875" style="96" customWidth="1"/>
    <col min="423" max="424" width="13.42578125" style="96" bestFit="1" customWidth="1"/>
    <col min="425" max="428" width="6.85546875" style="96" customWidth="1"/>
    <col min="429" max="430" width="4.7109375" style="96"/>
    <col min="431" max="431" width="8.28515625" style="96" bestFit="1" customWidth="1"/>
    <col min="432" max="432" width="8.5703125" style="96" bestFit="1" customWidth="1"/>
    <col min="433" max="434" width="8.5703125" style="96" customWidth="1"/>
    <col min="435" max="435" width="6.5703125" style="96" bestFit="1" customWidth="1"/>
    <col min="436" max="436" width="6.5703125" style="96" customWidth="1"/>
    <col min="437" max="437" width="7.85546875" style="96" customWidth="1"/>
    <col min="438" max="438" width="4.5703125" style="96" customWidth="1"/>
    <col min="439" max="439" width="5.28515625" style="96" customWidth="1"/>
    <col min="440" max="458" width="4.7109375" style="96"/>
    <col min="459" max="16384" width="4.7109375" style="67"/>
  </cols>
  <sheetData>
    <row r="1" spans="1:458" s="178" customFormat="1" ht="13.5" thickBot="1" x14ac:dyDescent="0.25">
      <c r="GN1" s="461"/>
      <c r="GO1" s="461"/>
      <c r="HK1" s="462"/>
      <c r="HO1" s="359"/>
      <c r="HP1" s="359"/>
      <c r="HQ1" s="463"/>
      <c r="HS1" s="359"/>
      <c r="HU1" s="463"/>
      <c r="IA1" s="464"/>
      <c r="IC1" s="464"/>
      <c r="IP1" s="464"/>
      <c r="IS1" s="463"/>
      <c r="IT1" s="463"/>
      <c r="IU1" s="463"/>
      <c r="JA1" s="359"/>
      <c r="JG1" s="463"/>
      <c r="JI1" s="463"/>
      <c r="JN1" s="463"/>
      <c r="KH1" s="359"/>
      <c r="PG1" s="2"/>
      <c r="PH1" s="2"/>
      <c r="PI1" s="2"/>
      <c r="PJ1" s="2"/>
      <c r="PK1" s="2"/>
      <c r="PL1" s="2"/>
      <c r="PM1" s="2"/>
      <c r="PN1" s="2"/>
      <c r="PO1" s="2"/>
      <c r="PP1" s="2"/>
      <c r="PQ1" s="2"/>
      <c r="PR1" s="2"/>
      <c r="PS1" s="2"/>
    </row>
    <row r="2" spans="1:458" s="2" customFormat="1" ht="24" customHeight="1" thickBot="1" x14ac:dyDescent="0.3">
      <c r="A2" s="465" t="s">
        <v>540</v>
      </c>
      <c r="B2" s="466"/>
      <c r="C2" s="467"/>
      <c r="D2" s="467"/>
      <c r="E2" s="467"/>
      <c r="F2" s="467"/>
      <c r="G2" s="467"/>
      <c r="H2" s="467"/>
      <c r="I2" s="467"/>
      <c r="J2" s="467"/>
      <c r="K2" s="467"/>
      <c r="L2" s="468"/>
      <c r="M2" s="468"/>
      <c r="N2" s="468"/>
      <c r="O2" s="468"/>
      <c r="P2" s="468"/>
      <c r="Q2" s="468"/>
      <c r="R2" s="468"/>
      <c r="S2" s="467"/>
      <c r="T2" s="467"/>
      <c r="U2" s="467"/>
      <c r="V2" s="467"/>
      <c r="W2" s="467"/>
      <c r="X2" s="467"/>
      <c r="Y2" s="467"/>
      <c r="Z2" s="467"/>
      <c r="AA2" s="467"/>
      <c r="AB2" s="467"/>
      <c r="AC2" s="467"/>
      <c r="AD2" s="467"/>
      <c r="AE2" s="467"/>
      <c r="AF2" s="467"/>
      <c r="AG2" s="467"/>
      <c r="AH2" s="469"/>
      <c r="AI2" s="467"/>
      <c r="AJ2" s="467"/>
      <c r="AK2" s="467"/>
      <c r="AL2" s="467"/>
      <c r="AM2" s="467"/>
      <c r="AN2" s="467"/>
      <c r="AO2" s="467"/>
      <c r="AP2" s="467"/>
      <c r="AQ2" s="467"/>
      <c r="AR2" s="470"/>
      <c r="AS2" s="471" t="s">
        <v>541</v>
      </c>
      <c r="AT2" s="472"/>
      <c r="AU2" s="472"/>
      <c r="AV2" s="472"/>
      <c r="AW2" s="472"/>
      <c r="AX2" s="473"/>
      <c r="AY2" s="473"/>
      <c r="AZ2" s="473"/>
      <c r="BA2" s="584" t="s">
        <v>729</v>
      </c>
      <c r="BB2" s="474"/>
      <c r="BC2" s="474"/>
      <c r="BD2" s="474"/>
      <c r="BE2" s="474"/>
      <c r="BF2" s="474"/>
      <c r="BG2" s="474"/>
      <c r="BH2" s="474"/>
      <c r="BI2" s="474"/>
      <c r="BJ2" s="474"/>
      <c r="BK2" s="474"/>
      <c r="BL2" s="474"/>
      <c r="BM2" s="474"/>
      <c r="BN2" s="474"/>
      <c r="BO2" s="474"/>
      <c r="BP2" s="474"/>
      <c r="BQ2" s="474"/>
      <c r="BR2" s="474"/>
      <c r="BS2" s="474"/>
      <c r="BT2" s="474"/>
      <c r="BU2" s="474"/>
      <c r="BV2" s="474"/>
      <c r="BW2" s="474"/>
      <c r="BX2" s="474"/>
      <c r="BY2" s="474"/>
      <c r="BZ2" s="474"/>
      <c r="CA2" s="474"/>
      <c r="CB2" s="474"/>
      <c r="CC2" s="474"/>
      <c r="CD2" s="474"/>
      <c r="CE2" s="474"/>
      <c r="CF2" s="474"/>
      <c r="CG2" s="474"/>
      <c r="CH2" s="474"/>
      <c r="CI2" s="474"/>
      <c r="CJ2" s="474"/>
      <c r="CK2" s="474"/>
      <c r="CL2" s="474"/>
      <c r="CM2" s="474"/>
      <c r="CN2" s="474"/>
      <c r="CO2" s="474"/>
      <c r="CP2" s="474"/>
      <c r="CQ2" s="474"/>
      <c r="CR2" s="474"/>
      <c r="CS2" s="474"/>
      <c r="CT2" s="474"/>
      <c r="CU2" s="474"/>
      <c r="CV2" s="474"/>
      <c r="CW2" s="475" t="s">
        <v>775</v>
      </c>
      <c r="CX2" s="476"/>
      <c r="CY2" s="477"/>
      <c r="CZ2" s="477"/>
      <c r="DA2" s="477"/>
      <c r="DB2" s="477"/>
      <c r="DC2" s="477"/>
      <c r="DD2" s="477"/>
      <c r="DE2" s="477"/>
      <c r="DF2" s="477"/>
      <c r="DG2" s="477"/>
      <c r="DH2" s="477"/>
      <c r="DI2" s="477"/>
      <c r="DJ2" s="477"/>
      <c r="DK2" s="477"/>
      <c r="DL2" s="477"/>
      <c r="DM2" s="477"/>
      <c r="DN2" s="477"/>
      <c r="DO2" s="477"/>
      <c r="DP2" s="477"/>
      <c r="DQ2" s="477"/>
      <c r="DR2" s="477"/>
      <c r="DS2" s="477"/>
      <c r="DT2" s="477"/>
      <c r="DU2" s="477"/>
      <c r="DV2" s="477"/>
      <c r="DW2" s="477"/>
      <c r="DX2" s="478" t="s">
        <v>493</v>
      </c>
      <c r="DY2" s="479"/>
      <c r="DZ2" s="480"/>
      <c r="EA2" s="481" t="s">
        <v>776</v>
      </c>
      <c r="EB2" s="482"/>
      <c r="EC2" s="482"/>
      <c r="ED2" s="482"/>
      <c r="EE2" s="482"/>
      <c r="EF2" s="482"/>
      <c r="EG2" s="482"/>
      <c r="EH2" s="482"/>
      <c r="EI2" s="482"/>
      <c r="EJ2" s="482"/>
      <c r="EK2" s="482"/>
      <c r="EL2" s="482"/>
      <c r="EM2" s="482"/>
      <c r="EN2" s="482"/>
      <c r="EO2" s="482"/>
      <c r="EP2" s="482"/>
      <c r="EQ2" s="482"/>
      <c r="ER2" s="482"/>
      <c r="ES2" s="482"/>
      <c r="ET2" s="482"/>
      <c r="EU2" s="482"/>
      <c r="EV2" s="482"/>
      <c r="EW2" s="482"/>
      <c r="EX2" s="482"/>
      <c r="EY2" s="482"/>
      <c r="EZ2" s="482"/>
      <c r="FA2" s="482"/>
      <c r="FB2" s="482"/>
      <c r="FC2" s="483"/>
      <c r="FD2" s="478" t="s">
        <v>777</v>
      </c>
      <c r="FE2" s="479"/>
      <c r="FF2" s="479"/>
      <c r="FG2" s="479"/>
      <c r="FH2" s="479"/>
      <c r="FI2" s="479"/>
      <c r="FJ2" s="479"/>
      <c r="FK2" s="479"/>
      <c r="FL2" s="479"/>
      <c r="FM2" s="479"/>
      <c r="FN2" s="479"/>
      <c r="FO2" s="479"/>
      <c r="FP2" s="479"/>
      <c r="FQ2" s="479"/>
      <c r="FR2" s="479"/>
      <c r="FS2" s="480"/>
      <c r="FT2" s="484" t="s">
        <v>778</v>
      </c>
      <c r="FU2" s="485"/>
      <c r="FV2" s="485"/>
      <c r="FW2" s="486"/>
      <c r="FX2" s="485"/>
      <c r="FY2" s="485"/>
      <c r="FZ2" s="485"/>
      <c r="GA2" s="485"/>
      <c r="GB2" s="485"/>
      <c r="GC2" s="485"/>
      <c r="GD2" s="485"/>
      <c r="GE2" s="485"/>
      <c r="GF2" s="485"/>
      <c r="GG2" s="485"/>
      <c r="GH2" s="485"/>
      <c r="GI2" s="485"/>
      <c r="GJ2" s="486"/>
      <c r="GK2" s="485"/>
      <c r="GL2" s="485"/>
      <c r="GM2" s="487"/>
      <c r="GN2" s="487"/>
      <c r="GO2" s="487"/>
      <c r="GP2" s="485"/>
      <c r="GQ2" s="485"/>
      <c r="GR2" s="485"/>
      <c r="GS2" s="485"/>
      <c r="GT2" s="485"/>
      <c r="GU2" s="485"/>
      <c r="GV2" s="485"/>
      <c r="GW2" s="485"/>
      <c r="GX2" s="485"/>
      <c r="GY2" s="485"/>
      <c r="GZ2" s="485"/>
      <c r="HA2" s="485"/>
      <c r="HB2" s="485"/>
      <c r="HC2" s="485"/>
      <c r="HD2" s="485"/>
      <c r="HE2" s="485"/>
      <c r="HF2" s="485"/>
      <c r="HG2" s="485"/>
      <c r="HH2" s="485"/>
      <c r="HI2" s="485"/>
      <c r="HJ2" s="485"/>
      <c r="HK2" s="488"/>
      <c r="HL2" s="485"/>
      <c r="HM2" s="489"/>
      <c r="HN2" s="490" t="s">
        <v>779</v>
      </c>
      <c r="HO2" s="491"/>
      <c r="HP2" s="491"/>
      <c r="HQ2" s="492"/>
      <c r="HR2" s="493"/>
      <c r="HS2" s="491"/>
      <c r="HT2" s="493"/>
      <c r="HU2" s="494"/>
      <c r="HV2" s="493"/>
      <c r="HW2" s="493"/>
      <c r="HX2" s="493"/>
      <c r="HY2" s="493"/>
      <c r="HZ2" s="493"/>
      <c r="IA2" s="495"/>
      <c r="IB2" s="493"/>
      <c r="IC2" s="495"/>
      <c r="ID2" s="493"/>
      <c r="IE2" s="493"/>
      <c r="IF2" s="493"/>
      <c r="IG2" s="493"/>
      <c r="IH2" s="493"/>
      <c r="II2" s="493"/>
      <c r="IJ2" s="493"/>
      <c r="IK2" s="493"/>
      <c r="IL2" s="493"/>
      <c r="IM2" s="493"/>
      <c r="IN2" s="493"/>
      <c r="IO2" s="493"/>
      <c r="IP2" s="495"/>
      <c r="IQ2" s="493"/>
      <c r="IR2" s="493"/>
      <c r="IS2" s="494"/>
      <c r="IT2" s="494"/>
      <c r="IU2" s="494"/>
      <c r="IV2" s="493"/>
      <c r="IW2" s="493"/>
      <c r="IX2" s="493"/>
      <c r="IY2" s="493"/>
      <c r="IZ2" s="493"/>
      <c r="JA2" s="491"/>
      <c r="JB2" s="493"/>
      <c r="JC2" s="493"/>
      <c r="JD2" s="493"/>
      <c r="JE2" s="493"/>
      <c r="JF2" s="493"/>
      <c r="JG2" s="493"/>
      <c r="JH2" s="493"/>
      <c r="JI2" s="494"/>
      <c r="JJ2" s="493"/>
      <c r="JK2" s="496"/>
      <c r="JL2" s="496"/>
      <c r="JM2" s="493"/>
      <c r="JN2" s="493"/>
      <c r="JO2" s="493"/>
      <c r="JP2" s="493"/>
      <c r="JQ2" s="493"/>
      <c r="JR2" s="493"/>
      <c r="JS2" s="493"/>
      <c r="JT2" s="493"/>
      <c r="JU2" s="493"/>
      <c r="JV2" s="493"/>
      <c r="JW2" s="493"/>
      <c r="JX2" s="493"/>
      <c r="JY2" s="493"/>
      <c r="JZ2" s="493"/>
      <c r="KA2" s="493"/>
      <c r="KB2" s="493"/>
      <c r="KC2" s="493"/>
      <c r="KD2" s="493"/>
      <c r="KE2" s="493"/>
      <c r="KF2" s="493"/>
      <c r="KG2" s="493"/>
      <c r="KH2" s="491"/>
      <c r="KI2" s="493"/>
      <c r="KJ2" s="493"/>
      <c r="KK2" s="493"/>
      <c r="KL2" s="497" t="s">
        <v>617</v>
      </c>
      <c r="KM2" s="498"/>
      <c r="KN2" s="499"/>
      <c r="KO2" s="499"/>
      <c r="KP2" s="499"/>
      <c r="KQ2" s="499"/>
      <c r="KR2" s="499"/>
      <c r="KS2" s="499"/>
      <c r="KT2" s="499"/>
      <c r="KU2" s="499"/>
      <c r="KV2" s="499"/>
      <c r="KW2" s="499"/>
      <c r="KX2" s="500"/>
      <c r="KY2" s="501" t="s">
        <v>780</v>
      </c>
      <c r="KZ2" s="502"/>
      <c r="LA2" s="502"/>
      <c r="LB2" s="502"/>
      <c r="LC2" s="502"/>
      <c r="LD2" s="502"/>
      <c r="LE2" s="502"/>
      <c r="LF2" s="502"/>
      <c r="LG2" s="502"/>
      <c r="LH2" s="502"/>
      <c r="LI2" s="502"/>
      <c r="LJ2" s="502"/>
      <c r="LK2" s="502"/>
      <c r="LL2" s="502"/>
      <c r="LM2" s="502"/>
      <c r="LN2" s="502"/>
      <c r="LO2" s="502"/>
      <c r="LP2" s="502"/>
      <c r="LQ2" s="502"/>
      <c r="LR2" s="502"/>
      <c r="LS2" s="502"/>
      <c r="LT2" s="502"/>
      <c r="LU2" s="502"/>
      <c r="LV2" s="503"/>
      <c r="LW2" s="502"/>
      <c r="LX2" s="503"/>
      <c r="LY2" s="502"/>
      <c r="LZ2" s="502"/>
      <c r="MA2" s="502"/>
      <c r="MB2" s="502"/>
      <c r="MC2" s="502"/>
      <c r="MD2" s="502"/>
      <c r="ME2" s="503"/>
      <c r="MF2" s="502"/>
      <c r="MG2" s="502"/>
      <c r="MH2" s="502"/>
      <c r="MI2" s="502"/>
      <c r="MJ2" s="502"/>
      <c r="MK2" s="502"/>
      <c r="ML2" s="502"/>
      <c r="MM2" s="503"/>
      <c r="MN2" s="502"/>
      <c r="MO2" s="502"/>
      <c r="MP2" s="503"/>
      <c r="MQ2" s="502"/>
      <c r="MR2" s="502"/>
      <c r="MS2" s="504"/>
      <c r="MT2" s="502"/>
      <c r="MU2" s="502"/>
      <c r="MV2" s="502"/>
      <c r="MW2" s="502"/>
      <c r="MX2" s="502"/>
      <c r="MY2" s="502"/>
      <c r="MZ2" s="502"/>
      <c r="NA2" s="502"/>
      <c r="NB2" s="502"/>
      <c r="NC2" s="502"/>
      <c r="ND2" s="503"/>
      <c r="NE2" s="502"/>
      <c r="NF2" s="502"/>
      <c r="NG2" s="502"/>
      <c r="NH2" s="502"/>
      <c r="NI2" s="502"/>
      <c r="NJ2" s="502"/>
      <c r="NK2" s="502"/>
      <c r="NL2" s="502"/>
      <c r="NM2" s="502"/>
      <c r="NN2" s="502"/>
      <c r="NO2" s="502"/>
      <c r="NP2" s="502"/>
      <c r="NQ2" s="502"/>
      <c r="NR2" s="502"/>
      <c r="NS2" s="502"/>
      <c r="NT2" s="502"/>
      <c r="NU2" s="502"/>
      <c r="NV2" s="502"/>
      <c r="NW2" s="502"/>
      <c r="NX2" s="502"/>
      <c r="NY2" s="502"/>
      <c r="NZ2" s="502"/>
      <c r="OA2" s="502"/>
      <c r="OB2" s="502"/>
      <c r="OC2" s="502"/>
      <c r="OD2" s="503"/>
      <c r="OE2" s="503"/>
      <c r="OF2" s="503"/>
      <c r="OG2" s="502"/>
      <c r="OH2" s="502"/>
      <c r="OI2" s="502"/>
      <c r="OJ2" s="502"/>
      <c r="OK2" s="505"/>
      <c r="OL2" s="506"/>
      <c r="OM2" s="506"/>
      <c r="ON2" s="507"/>
      <c r="OO2" s="507"/>
      <c r="OP2" s="506"/>
      <c r="OQ2" s="507"/>
      <c r="OR2" s="507"/>
      <c r="OS2" s="507"/>
      <c r="OT2" s="507"/>
      <c r="OU2" s="507"/>
      <c r="OV2" s="507"/>
      <c r="OW2" s="507"/>
      <c r="OX2" s="507"/>
      <c r="OY2" s="507"/>
      <c r="OZ2" s="507"/>
      <c r="PA2" s="507"/>
      <c r="PB2" s="507"/>
      <c r="PC2" s="507"/>
      <c r="PD2" s="437" t="s">
        <v>534</v>
      </c>
      <c r="PE2" s="438"/>
      <c r="PF2" s="439"/>
      <c r="PT2" s="94"/>
      <c r="PU2" s="94"/>
      <c r="PV2" s="94"/>
      <c r="PW2" s="94"/>
      <c r="PX2" s="94"/>
      <c r="PY2" s="94"/>
      <c r="PZ2" s="94"/>
      <c r="QA2" s="94"/>
      <c r="QB2" s="94"/>
      <c r="QC2" s="94"/>
      <c r="QD2" s="94"/>
      <c r="QE2" s="94"/>
      <c r="QF2" s="94"/>
      <c r="QG2" s="94"/>
      <c r="QH2" s="94"/>
      <c r="QI2" s="94"/>
      <c r="QJ2" s="94"/>
      <c r="QK2" s="94"/>
      <c r="QL2" s="94"/>
      <c r="QM2" s="94"/>
      <c r="QN2" s="94"/>
      <c r="QO2" s="94"/>
      <c r="QP2" s="94"/>
    </row>
    <row r="3" spans="1:458" s="88" customFormat="1" ht="15" x14ac:dyDescent="0.25">
      <c r="A3" s="375"/>
      <c r="B3" s="376"/>
      <c r="C3" s="376"/>
      <c r="D3" s="376"/>
      <c r="E3" s="376"/>
      <c r="F3" s="376"/>
      <c r="G3" s="377"/>
      <c r="H3" s="377"/>
      <c r="I3" s="376"/>
      <c r="J3" s="376"/>
      <c r="K3" s="376"/>
      <c r="L3" s="378"/>
      <c r="M3" s="378"/>
      <c r="N3" s="378"/>
      <c r="O3" s="378"/>
      <c r="P3" s="378"/>
      <c r="Q3" s="378"/>
      <c r="R3" s="378"/>
      <c r="S3" s="376"/>
      <c r="T3" s="376"/>
      <c r="U3" s="376"/>
      <c r="V3" s="376"/>
      <c r="W3" s="376"/>
      <c r="X3" s="376"/>
      <c r="Y3" s="376"/>
      <c r="Z3" s="376"/>
      <c r="AA3" s="376"/>
      <c r="AB3" s="376"/>
      <c r="AC3" s="376"/>
      <c r="AD3" s="376"/>
      <c r="AE3" s="376"/>
      <c r="AF3" s="376"/>
      <c r="AG3" s="377"/>
      <c r="AH3" s="376"/>
      <c r="AI3" s="377"/>
      <c r="AJ3" s="377"/>
      <c r="AK3" s="377"/>
      <c r="AL3" s="377"/>
      <c r="AM3" s="377"/>
      <c r="AN3" s="377"/>
      <c r="AO3" s="377"/>
      <c r="AP3" s="377"/>
      <c r="AQ3" s="379"/>
      <c r="AR3" s="380"/>
      <c r="AS3" s="431"/>
      <c r="AT3" s="431"/>
      <c r="AU3" s="431"/>
      <c r="AV3" s="431"/>
      <c r="AW3" s="431"/>
      <c r="AX3" s="432"/>
      <c r="AY3" s="433"/>
      <c r="AZ3" s="431"/>
      <c r="BA3" s="585"/>
      <c r="BB3" s="104"/>
      <c r="BC3" s="104"/>
      <c r="BD3" s="104"/>
      <c r="BE3" s="104"/>
      <c r="BF3" s="104"/>
      <c r="BG3" s="104"/>
      <c r="BH3" s="402"/>
      <c r="BI3" s="104"/>
      <c r="BJ3" s="104"/>
      <c r="BK3" s="104"/>
      <c r="BL3" s="104"/>
      <c r="BM3" s="104"/>
      <c r="BN3" s="405"/>
      <c r="BO3" s="104"/>
      <c r="BP3" s="104"/>
      <c r="BQ3" s="104"/>
      <c r="BR3" s="104"/>
      <c r="BS3" s="104"/>
      <c r="BT3" s="405"/>
      <c r="BU3" s="104"/>
      <c r="BV3" s="104"/>
      <c r="BW3" s="104"/>
      <c r="BX3" s="104"/>
      <c r="BY3" s="104"/>
      <c r="BZ3" s="405"/>
      <c r="CA3" s="104"/>
      <c r="CB3" s="104"/>
      <c r="CC3" s="104"/>
      <c r="CD3" s="104"/>
      <c r="CE3" s="104"/>
      <c r="CF3" s="405"/>
      <c r="CG3" s="104"/>
      <c r="CH3" s="104"/>
      <c r="CI3" s="104"/>
      <c r="CJ3" s="104"/>
      <c r="CK3" s="104"/>
      <c r="CL3" s="405"/>
      <c r="CM3" s="104"/>
      <c r="CN3" s="104"/>
      <c r="CO3" s="104"/>
      <c r="CP3" s="104"/>
      <c r="CQ3" s="104"/>
      <c r="CR3" s="104"/>
      <c r="CS3" s="104"/>
      <c r="CT3" s="589"/>
      <c r="CU3" s="589"/>
      <c r="CV3" s="405"/>
      <c r="CW3" s="81"/>
      <c r="CX3" s="73"/>
      <c r="CY3" s="80"/>
      <c r="CZ3" s="81"/>
      <c r="DA3" s="81"/>
      <c r="DB3" s="81"/>
      <c r="DC3" s="81"/>
      <c r="DD3" s="81"/>
      <c r="DE3" s="82"/>
      <c r="DF3" s="81"/>
      <c r="DG3" s="81"/>
      <c r="DH3" s="81"/>
      <c r="DI3" s="81"/>
      <c r="DJ3" s="81"/>
      <c r="DK3" s="82"/>
      <c r="DL3" s="81"/>
      <c r="DM3" s="81"/>
      <c r="DN3" s="81"/>
      <c r="DO3" s="81"/>
      <c r="DP3" s="81"/>
      <c r="DQ3" s="81"/>
      <c r="DR3" s="81"/>
      <c r="DS3" s="81"/>
      <c r="DT3" s="81"/>
      <c r="DU3" s="81"/>
      <c r="DV3" s="81"/>
      <c r="DW3" s="81"/>
      <c r="DX3" s="83"/>
      <c r="DY3" s="76"/>
      <c r="DZ3" s="194"/>
      <c r="EA3" s="75"/>
      <c r="EB3" s="75"/>
      <c r="EC3" s="75"/>
      <c r="ED3" s="75"/>
      <c r="EE3" s="75"/>
      <c r="EF3" s="75"/>
      <c r="EG3" s="75"/>
      <c r="EH3" s="75"/>
      <c r="EI3" s="75"/>
      <c r="EJ3" s="75"/>
      <c r="EK3" s="75"/>
      <c r="EL3" s="75"/>
      <c r="EM3" s="75"/>
      <c r="EN3" s="75"/>
      <c r="EO3" s="75"/>
      <c r="EP3" s="75"/>
      <c r="EQ3" s="75"/>
      <c r="ER3" s="75"/>
      <c r="ES3" s="75"/>
      <c r="ET3" s="75"/>
      <c r="EU3" s="75"/>
      <c r="EV3" s="75"/>
      <c r="EW3" s="75"/>
      <c r="EX3" s="75"/>
      <c r="EY3" s="75"/>
      <c r="EZ3" s="75"/>
      <c r="FA3" s="84"/>
      <c r="FB3" s="75"/>
      <c r="FC3" s="191"/>
      <c r="FD3" s="114"/>
      <c r="FE3" s="76"/>
      <c r="FF3" s="76"/>
      <c r="FG3" s="76"/>
      <c r="FH3" s="76"/>
      <c r="FI3" s="76"/>
      <c r="FJ3" s="76"/>
      <c r="FK3" s="76"/>
      <c r="FL3" s="76"/>
      <c r="FM3" s="76"/>
      <c r="FN3" s="76"/>
      <c r="FO3" s="76"/>
      <c r="FP3" s="76"/>
      <c r="FQ3" s="86"/>
      <c r="FR3" s="76"/>
      <c r="FS3" s="197"/>
      <c r="FT3" s="77"/>
      <c r="FU3" s="77"/>
      <c r="FV3" s="77"/>
      <c r="FW3" s="87"/>
      <c r="FX3" s="77"/>
      <c r="FY3" s="77"/>
      <c r="FZ3" s="77"/>
      <c r="GA3" s="77"/>
      <c r="GB3" s="77"/>
      <c r="GC3" s="77"/>
      <c r="GD3" s="77"/>
      <c r="GE3" s="77"/>
      <c r="GF3" s="77"/>
      <c r="GG3" s="77"/>
      <c r="GH3" s="77"/>
      <c r="GI3" s="77"/>
      <c r="GJ3" s="87"/>
      <c r="GK3" s="77"/>
      <c r="GL3" s="77"/>
      <c r="GM3" s="77"/>
      <c r="GN3" s="77"/>
      <c r="GO3" s="77"/>
      <c r="GP3" s="77"/>
      <c r="GQ3" s="77"/>
      <c r="GR3" s="77"/>
      <c r="GS3" s="77"/>
      <c r="GT3" s="77"/>
      <c r="GU3" s="77"/>
      <c r="GV3" s="77"/>
      <c r="GW3" s="77"/>
      <c r="GX3" s="77"/>
      <c r="GY3" s="77"/>
      <c r="GZ3" s="77"/>
      <c r="HA3" s="77"/>
      <c r="HB3" s="77"/>
      <c r="HC3" s="77"/>
      <c r="HD3" s="77"/>
      <c r="HE3" s="77"/>
      <c r="HF3" s="77"/>
      <c r="HG3" s="77"/>
      <c r="HH3" s="77"/>
      <c r="HI3" s="77"/>
      <c r="HJ3" s="77"/>
      <c r="HK3" s="74"/>
      <c r="HL3" s="77"/>
      <c r="HM3" s="199"/>
      <c r="HN3" s="205"/>
      <c r="HO3" s="206"/>
      <c r="HP3" s="206"/>
      <c r="HQ3" s="207"/>
      <c r="HR3" s="208"/>
      <c r="HS3" s="206"/>
      <c r="HT3" s="208"/>
      <c r="HU3" s="209"/>
      <c r="HV3" s="208"/>
      <c r="HW3" s="208"/>
      <c r="HX3" s="210"/>
      <c r="HY3" s="208"/>
      <c r="HZ3" s="208"/>
      <c r="IA3" s="210"/>
      <c r="IB3" s="208"/>
      <c r="IC3" s="210"/>
      <c r="ID3" s="208"/>
      <c r="IE3" s="208"/>
      <c r="IF3" s="208"/>
      <c r="IG3" s="208"/>
      <c r="IH3" s="208"/>
      <c r="II3" s="208"/>
      <c r="IJ3" s="208"/>
      <c r="IK3" s="208"/>
      <c r="IL3" s="208"/>
      <c r="IM3" s="208"/>
      <c r="IN3" s="208"/>
      <c r="IO3" s="208"/>
      <c r="IP3" s="210"/>
      <c r="IQ3" s="208"/>
      <c r="IR3" s="208"/>
      <c r="IS3" s="208"/>
      <c r="IT3" s="208"/>
      <c r="IU3" s="208"/>
      <c r="IV3" s="208"/>
      <c r="IW3" s="208"/>
      <c r="IX3" s="208"/>
      <c r="IY3" s="208"/>
      <c r="IZ3" s="208"/>
      <c r="JA3" s="206"/>
      <c r="JB3" s="208"/>
      <c r="JC3" s="208"/>
      <c r="JD3" s="208"/>
      <c r="JE3" s="208"/>
      <c r="JF3" s="208"/>
      <c r="JG3" s="208"/>
      <c r="JH3" s="208"/>
      <c r="JI3" s="209"/>
      <c r="JJ3" s="208"/>
      <c r="JK3" s="208"/>
      <c r="JL3" s="208"/>
      <c r="JM3" s="208"/>
      <c r="JN3" s="208"/>
      <c r="JO3" s="208"/>
      <c r="JP3" s="208"/>
      <c r="JQ3" s="208"/>
      <c r="JR3" s="208"/>
      <c r="JS3" s="208"/>
      <c r="JT3" s="208"/>
      <c r="JU3" s="208"/>
      <c r="JV3" s="208"/>
      <c r="JW3" s="208"/>
      <c r="JX3" s="208"/>
      <c r="JY3" s="208"/>
      <c r="JZ3" s="208"/>
      <c r="KA3" s="208"/>
      <c r="KB3" s="208"/>
      <c r="KC3" s="208"/>
      <c r="KD3" s="208"/>
      <c r="KE3" s="208"/>
      <c r="KF3" s="208"/>
      <c r="KG3" s="208"/>
      <c r="KH3" s="206"/>
      <c r="KI3" s="208"/>
      <c r="KJ3" s="208"/>
      <c r="KK3" s="208"/>
      <c r="KL3" s="450"/>
      <c r="KM3" s="450"/>
      <c r="KN3" s="450"/>
      <c r="KO3" s="450"/>
      <c r="KP3" s="450"/>
      <c r="KQ3" s="450"/>
      <c r="KR3" s="450"/>
      <c r="KS3" s="450"/>
      <c r="KT3" s="450"/>
      <c r="KU3" s="450"/>
      <c r="KV3" s="450"/>
      <c r="KW3" s="450"/>
      <c r="KX3" s="451"/>
      <c r="KY3" s="85"/>
      <c r="KZ3" s="117" t="s">
        <v>545</v>
      </c>
      <c r="LA3" s="85"/>
      <c r="LB3" s="85"/>
      <c r="LC3" s="85"/>
      <c r="LD3" s="85"/>
      <c r="LE3" s="85"/>
      <c r="LF3" s="85"/>
      <c r="LG3" s="85"/>
      <c r="LH3" s="85"/>
      <c r="LI3" s="85"/>
      <c r="LJ3" s="85"/>
      <c r="LK3" s="85"/>
      <c r="LL3" s="85"/>
      <c r="LM3" s="85"/>
      <c r="LN3" s="85"/>
      <c r="LO3" s="85"/>
      <c r="LP3" s="85"/>
      <c r="LQ3" s="85"/>
      <c r="LR3" s="85"/>
      <c r="LS3" s="85"/>
      <c r="LT3" s="85"/>
      <c r="LU3" s="85"/>
      <c r="LV3" s="118" t="s">
        <v>547</v>
      </c>
      <c r="LW3" s="85"/>
      <c r="LX3" s="85"/>
      <c r="LY3" s="85"/>
      <c r="LZ3" s="85"/>
      <c r="MA3" s="85"/>
      <c r="MB3" s="85"/>
      <c r="MC3" s="85"/>
      <c r="MD3" s="85"/>
      <c r="ME3" s="85"/>
      <c r="MF3" s="85"/>
      <c r="MG3" s="85"/>
      <c r="MH3" s="85"/>
      <c r="MI3" s="85"/>
      <c r="MJ3" s="85"/>
      <c r="MK3" s="85"/>
      <c r="ML3" s="85"/>
      <c r="MM3" s="85"/>
      <c r="MN3" s="85"/>
      <c r="MO3" s="85"/>
      <c r="MP3" s="85"/>
      <c r="MQ3" s="118" t="s">
        <v>549</v>
      </c>
      <c r="MR3" s="85"/>
      <c r="MS3" s="85"/>
      <c r="MT3" s="85"/>
      <c r="MU3" s="85"/>
      <c r="MV3" s="85"/>
      <c r="MW3" s="85"/>
      <c r="MX3" s="85"/>
      <c r="MY3" s="85"/>
      <c r="MZ3" s="85"/>
      <c r="NA3" s="85"/>
      <c r="NB3" s="85"/>
      <c r="NC3" s="118" t="s">
        <v>542</v>
      </c>
      <c r="ND3" s="85"/>
      <c r="NE3" s="85"/>
      <c r="NF3" s="85"/>
      <c r="NG3" s="85"/>
      <c r="NH3" s="85"/>
      <c r="NI3" s="85"/>
      <c r="NJ3" s="85"/>
      <c r="NK3" s="85"/>
      <c r="NL3" s="85"/>
      <c r="NM3" s="118" t="s">
        <v>550</v>
      </c>
      <c r="NN3" s="85"/>
      <c r="NO3" s="85"/>
      <c r="NP3" s="85"/>
      <c r="NQ3" s="85"/>
      <c r="NR3" s="85"/>
      <c r="NS3" s="85"/>
      <c r="NT3" s="85"/>
      <c r="NU3" s="85"/>
      <c r="NV3" s="121"/>
      <c r="NW3" s="118" t="s">
        <v>551</v>
      </c>
      <c r="NX3" s="85"/>
      <c r="NY3" s="85"/>
      <c r="NZ3" s="85"/>
      <c r="OA3" s="85"/>
      <c r="OB3" s="85"/>
      <c r="OC3" s="85"/>
      <c r="OD3" s="85"/>
      <c r="OE3" s="85"/>
      <c r="OF3" s="85"/>
      <c r="OG3" s="85"/>
      <c r="OH3" s="85"/>
      <c r="OI3" s="85"/>
      <c r="OJ3" s="85"/>
      <c r="OK3" s="202"/>
      <c r="OL3" s="116" t="s">
        <v>552</v>
      </c>
      <c r="OM3" s="116"/>
      <c r="ON3" s="115"/>
      <c r="OO3" s="115"/>
      <c r="OP3" s="115"/>
      <c r="OQ3" s="115"/>
      <c r="OR3" s="115"/>
      <c r="OS3" s="115"/>
      <c r="OT3" s="115"/>
      <c r="OU3" s="115"/>
      <c r="OV3" s="115"/>
      <c r="OW3" s="115"/>
      <c r="OX3" s="115"/>
      <c r="OY3" s="115"/>
      <c r="OZ3" s="115"/>
      <c r="PA3" s="115"/>
      <c r="PB3" s="115"/>
      <c r="PC3" s="115"/>
      <c r="PD3" s="440"/>
      <c r="PE3" s="179"/>
      <c r="PF3" s="441"/>
      <c r="PT3" s="95"/>
      <c r="PU3" s="95"/>
      <c r="PV3" s="95"/>
      <c r="PW3" s="95"/>
      <c r="PX3" s="95"/>
      <c r="PY3" s="95"/>
      <c r="PZ3" s="95"/>
      <c r="QA3" s="95"/>
      <c r="QB3" s="95"/>
      <c r="QC3" s="95"/>
      <c r="QD3" s="95"/>
      <c r="QE3" s="95"/>
      <c r="QF3" s="95"/>
      <c r="QG3" s="95"/>
      <c r="QH3" s="95"/>
      <c r="QI3" s="95"/>
      <c r="QJ3" s="95"/>
      <c r="QK3" s="95"/>
      <c r="QL3" s="95"/>
      <c r="QM3" s="95"/>
      <c r="QN3" s="95"/>
      <c r="QO3" s="95"/>
      <c r="QP3" s="95"/>
    </row>
    <row r="4" spans="1:458" s="634" customFormat="1" ht="207" customHeight="1" thickBot="1" x14ac:dyDescent="0.25">
      <c r="A4" s="633" t="s">
        <v>2</v>
      </c>
      <c r="B4" s="633" t="s">
        <v>3</v>
      </c>
      <c r="C4" s="633" t="s">
        <v>4</v>
      </c>
      <c r="D4" s="633" t="s">
        <v>5</v>
      </c>
      <c r="E4" s="633" t="s">
        <v>6</v>
      </c>
      <c r="F4" s="633" t="s">
        <v>264</v>
      </c>
      <c r="G4" s="633" t="s">
        <v>254</v>
      </c>
      <c r="H4" s="633" t="s">
        <v>87</v>
      </c>
      <c r="I4" s="633" t="s">
        <v>51</v>
      </c>
      <c r="J4" s="633" t="s">
        <v>442</v>
      </c>
      <c r="K4" s="633" t="s">
        <v>86</v>
      </c>
      <c r="L4" s="633" t="s">
        <v>209</v>
      </c>
      <c r="M4" s="633" t="s">
        <v>413</v>
      </c>
      <c r="N4" s="633" t="s">
        <v>425</v>
      </c>
      <c r="O4" s="633" t="s">
        <v>426</v>
      </c>
      <c r="P4" s="633" t="s">
        <v>706</v>
      </c>
      <c r="Q4" s="633" t="s">
        <v>43</v>
      </c>
      <c r="R4" s="633" t="s">
        <v>161</v>
      </c>
      <c r="S4" s="633" t="s">
        <v>315</v>
      </c>
      <c r="T4" s="633" t="s">
        <v>242</v>
      </c>
      <c r="U4" s="633" t="s">
        <v>243</v>
      </c>
      <c r="V4" s="633" t="s">
        <v>240</v>
      </c>
      <c r="W4" s="633" t="s">
        <v>441</v>
      </c>
      <c r="X4" s="633" t="s">
        <v>847</v>
      </c>
      <c r="Y4" s="633" t="s">
        <v>571</v>
      </c>
      <c r="Z4" s="633" t="s">
        <v>466</v>
      </c>
      <c r="AA4" s="633" t="s">
        <v>569</v>
      </c>
      <c r="AB4" s="633" t="s">
        <v>256</v>
      </c>
      <c r="AC4" s="633" t="s">
        <v>268</v>
      </c>
      <c r="AD4" s="633" t="s">
        <v>848</v>
      </c>
      <c r="AE4" s="633" t="s">
        <v>465</v>
      </c>
      <c r="AF4" s="633" t="s">
        <v>332</v>
      </c>
      <c r="AG4" s="633" t="s">
        <v>849</v>
      </c>
      <c r="AH4" s="633" t="s">
        <v>7</v>
      </c>
      <c r="AI4" s="633" t="s">
        <v>8</v>
      </c>
      <c r="AJ4" s="633" t="s">
        <v>850</v>
      </c>
      <c r="AK4" s="633" t="s">
        <v>851</v>
      </c>
      <c r="AL4" s="633" t="s">
        <v>852</v>
      </c>
      <c r="AM4" s="633" t="s">
        <v>853</v>
      </c>
      <c r="AN4" s="633" t="s">
        <v>9</v>
      </c>
      <c r="AO4" s="633" t="s">
        <v>854</v>
      </c>
      <c r="AP4" s="633" t="s">
        <v>855</v>
      </c>
      <c r="AQ4" s="633" t="s">
        <v>544</v>
      </c>
      <c r="AR4" s="633" t="s">
        <v>80</v>
      </c>
      <c r="AS4" s="633" t="s">
        <v>71</v>
      </c>
      <c r="AT4" s="633" t="s">
        <v>531</v>
      </c>
      <c r="AU4" s="633" t="s">
        <v>835</v>
      </c>
      <c r="AV4" s="633" t="s">
        <v>530</v>
      </c>
      <c r="AW4" s="633" t="s">
        <v>532</v>
      </c>
      <c r="AX4" s="633" t="s">
        <v>82</v>
      </c>
      <c r="AY4" s="633" t="s">
        <v>44</v>
      </c>
      <c r="AZ4" s="633" t="s">
        <v>81</v>
      </c>
      <c r="BA4" s="633" t="s">
        <v>730</v>
      </c>
      <c r="BB4" s="633" t="s">
        <v>731</v>
      </c>
      <c r="BC4" s="633" t="s">
        <v>741</v>
      </c>
      <c r="BD4" s="633" t="s">
        <v>856</v>
      </c>
      <c r="BE4" s="633" t="s">
        <v>732</v>
      </c>
      <c r="BF4" s="633" t="s">
        <v>733</v>
      </c>
      <c r="BG4" s="633" t="s">
        <v>734</v>
      </c>
      <c r="BH4" s="633" t="s">
        <v>735</v>
      </c>
      <c r="BI4" s="633" t="s">
        <v>742</v>
      </c>
      <c r="BJ4" s="633" t="s">
        <v>857</v>
      </c>
      <c r="BK4" s="633" t="s">
        <v>743</v>
      </c>
      <c r="BL4" s="633" t="s">
        <v>744</v>
      </c>
      <c r="BM4" s="633" t="s">
        <v>745</v>
      </c>
      <c r="BN4" s="633" t="s">
        <v>746</v>
      </c>
      <c r="BO4" s="633" t="s">
        <v>747</v>
      </c>
      <c r="BP4" s="633" t="s">
        <v>858</v>
      </c>
      <c r="BQ4" s="633" t="s">
        <v>748</v>
      </c>
      <c r="BR4" s="633" t="s">
        <v>749</v>
      </c>
      <c r="BS4" s="633" t="s">
        <v>750</v>
      </c>
      <c r="BT4" s="633" t="s">
        <v>751</v>
      </c>
      <c r="BU4" s="633" t="s">
        <v>752</v>
      </c>
      <c r="BV4" s="633" t="s">
        <v>859</v>
      </c>
      <c r="BW4" s="633" t="s">
        <v>753</v>
      </c>
      <c r="BX4" s="633" t="s">
        <v>754</v>
      </c>
      <c r="BY4" s="633" t="s">
        <v>755</v>
      </c>
      <c r="BZ4" s="633" t="s">
        <v>756</v>
      </c>
      <c r="CA4" s="633" t="s">
        <v>757</v>
      </c>
      <c r="CB4" s="633" t="s">
        <v>860</v>
      </c>
      <c r="CC4" s="633" t="s">
        <v>758</v>
      </c>
      <c r="CD4" s="633" t="s">
        <v>759</v>
      </c>
      <c r="CE4" s="633" t="s">
        <v>760</v>
      </c>
      <c r="CF4" s="633" t="s">
        <v>761</v>
      </c>
      <c r="CG4" s="633" t="s">
        <v>762</v>
      </c>
      <c r="CH4" s="633" t="s">
        <v>861</v>
      </c>
      <c r="CI4" s="633" t="s">
        <v>763</v>
      </c>
      <c r="CJ4" s="633" t="s">
        <v>764</v>
      </c>
      <c r="CK4" s="633" t="s">
        <v>765</v>
      </c>
      <c r="CL4" s="633" t="s">
        <v>766</v>
      </c>
      <c r="CM4" s="633" t="s">
        <v>767</v>
      </c>
      <c r="CN4" s="633" t="s">
        <v>768</v>
      </c>
      <c r="CO4" s="633" t="s">
        <v>769</v>
      </c>
      <c r="CP4" s="633" t="s">
        <v>770</v>
      </c>
      <c r="CQ4" s="633" t="s">
        <v>771</v>
      </c>
      <c r="CR4" s="633" t="s">
        <v>772</v>
      </c>
      <c r="CS4" s="633" t="s">
        <v>773</v>
      </c>
      <c r="CT4" s="633" t="s">
        <v>774</v>
      </c>
      <c r="CU4" s="633" t="s">
        <v>85</v>
      </c>
      <c r="CV4" s="633" t="s">
        <v>210</v>
      </c>
      <c r="CW4" s="633" t="s">
        <v>862</v>
      </c>
      <c r="CX4" s="633" t="s">
        <v>207</v>
      </c>
      <c r="CY4" s="633" t="s">
        <v>412</v>
      </c>
      <c r="CZ4" s="633" t="s">
        <v>395</v>
      </c>
      <c r="DA4" s="633" t="s">
        <v>427</v>
      </c>
      <c r="DB4" s="633" t="s">
        <v>41</v>
      </c>
      <c r="DC4" s="633" t="s">
        <v>428</v>
      </c>
      <c r="DD4" s="633" t="s">
        <v>434</v>
      </c>
      <c r="DE4" s="633" t="s">
        <v>62</v>
      </c>
      <c r="DF4" s="633" t="s">
        <v>284</v>
      </c>
      <c r="DG4" s="633" t="s">
        <v>435</v>
      </c>
      <c r="DH4" s="633" t="s">
        <v>430</v>
      </c>
      <c r="DI4" s="633" t="s">
        <v>429</v>
      </c>
      <c r="DJ4" s="633" t="s">
        <v>683</v>
      </c>
      <c r="DK4" s="633" t="s">
        <v>684</v>
      </c>
      <c r="DL4" s="633" t="s">
        <v>489</v>
      </c>
      <c r="DM4" s="633" t="s">
        <v>58</v>
      </c>
      <c r="DN4" s="633" t="s">
        <v>490</v>
      </c>
      <c r="DO4" s="633" t="s">
        <v>398</v>
      </c>
      <c r="DP4" s="633" t="s">
        <v>443</v>
      </c>
      <c r="DQ4" s="633" t="s">
        <v>216</v>
      </c>
      <c r="DR4" s="633" t="s">
        <v>444</v>
      </c>
      <c r="DS4" s="633" t="s">
        <v>481</v>
      </c>
      <c r="DT4" s="633" t="s">
        <v>492</v>
      </c>
      <c r="DU4" s="633" t="s">
        <v>48</v>
      </c>
      <c r="DV4" s="633" t="s">
        <v>432</v>
      </c>
      <c r="DW4" s="633" t="s">
        <v>433</v>
      </c>
      <c r="DX4" s="633" t="s">
        <v>63</v>
      </c>
      <c r="DY4" s="633" t="s">
        <v>282</v>
      </c>
      <c r="DZ4" s="633" t="s">
        <v>278</v>
      </c>
      <c r="EA4" s="633" t="s">
        <v>863</v>
      </c>
      <c r="EB4" s="633" t="s">
        <v>480</v>
      </c>
      <c r="EC4" s="633" t="s">
        <v>422</v>
      </c>
      <c r="ED4" s="633" t="s">
        <v>525</v>
      </c>
      <c r="EE4" s="633" t="s">
        <v>218</v>
      </c>
      <c r="EF4" s="633" t="s">
        <v>619</v>
      </c>
      <c r="EG4" s="633" t="s">
        <v>219</v>
      </c>
      <c r="EH4" s="633" t="s">
        <v>306</v>
      </c>
      <c r="EI4" s="633" t="s">
        <v>486</v>
      </c>
      <c r="EJ4" s="633" t="s">
        <v>388</v>
      </c>
      <c r="EK4" s="633" t="s">
        <v>220</v>
      </c>
      <c r="EL4" s="633" t="s">
        <v>215</v>
      </c>
      <c r="EM4" s="633" t="s">
        <v>431</v>
      </c>
      <c r="EN4" s="633" t="s">
        <v>84</v>
      </c>
      <c r="EO4" s="633" t="s">
        <v>634</v>
      </c>
      <c r="EP4" s="633" t="s">
        <v>795</v>
      </c>
      <c r="EQ4" s="633" t="s">
        <v>637</v>
      </c>
      <c r="ER4" s="633" t="s">
        <v>638</v>
      </c>
      <c r="ES4" s="633" t="s">
        <v>635</v>
      </c>
      <c r="ET4" s="633" t="s">
        <v>796</v>
      </c>
      <c r="EU4" s="633" t="s">
        <v>636</v>
      </c>
      <c r="EV4" s="633" t="s">
        <v>488</v>
      </c>
      <c r="EW4" s="633" t="s">
        <v>479</v>
      </c>
      <c r="EX4" s="633" t="s">
        <v>323</v>
      </c>
      <c r="EY4" s="633" t="s">
        <v>65</v>
      </c>
      <c r="EZ4" s="633" t="s">
        <v>66</v>
      </c>
      <c r="FA4" s="633" t="s">
        <v>47</v>
      </c>
      <c r="FB4" s="633" t="s">
        <v>233</v>
      </c>
      <c r="FC4" s="633" t="s">
        <v>299</v>
      </c>
      <c r="FD4" s="633" t="s">
        <v>285</v>
      </c>
      <c r="FE4" s="633" t="s">
        <v>337</v>
      </c>
      <c r="FF4" s="633" t="s">
        <v>338</v>
      </c>
      <c r="FG4" s="633" t="s">
        <v>221</v>
      </c>
      <c r="FH4" s="633" t="s">
        <v>336</v>
      </c>
      <c r="FI4" s="633" t="s">
        <v>334</v>
      </c>
      <c r="FJ4" s="633" t="s">
        <v>222</v>
      </c>
      <c r="FK4" s="633" t="s">
        <v>487</v>
      </c>
      <c r="FL4" s="633" t="s">
        <v>526</v>
      </c>
      <c r="FM4" s="633" t="s">
        <v>527</v>
      </c>
      <c r="FN4" s="633" t="s">
        <v>301</v>
      </c>
      <c r="FO4" s="633" t="s">
        <v>177</v>
      </c>
      <c r="FP4" s="633" t="s">
        <v>279</v>
      </c>
      <c r="FQ4" s="633" t="s">
        <v>68</v>
      </c>
      <c r="FR4" s="633" t="s">
        <v>277</v>
      </c>
      <c r="FS4" s="633" t="s">
        <v>280</v>
      </c>
      <c r="FT4" s="633" t="s">
        <v>864</v>
      </c>
      <c r="FU4" s="633" t="s">
        <v>459</v>
      </c>
      <c r="FV4" s="633" t="s">
        <v>165</v>
      </c>
      <c r="FW4" s="633" t="s">
        <v>457</v>
      </c>
      <c r="FX4" s="633" t="s">
        <v>458</v>
      </c>
      <c r="FY4" s="633" t="s">
        <v>456</v>
      </c>
      <c r="FZ4" s="633" t="s">
        <v>460</v>
      </c>
      <c r="GA4" s="633" t="s">
        <v>461</v>
      </c>
      <c r="GB4" s="633" t="s">
        <v>793</v>
      </c>
      <c r="GC4" s="633" t="s">
        <v>794</v>
      </c>
      <c r="GD4" s="633" t="s">
        <v>402</v>
      </c>
      <c r="GE4" s="633" t="s">
        <v>317</v>
      </c>
      <c r="GF4" s="633" t="s">
        <v>318</v>
      </c>
      <c r="GG4" s="633" t="s">
        <v>164</v>
      </c>
      <c r="GH4" s="633" t="s">
        <v>245</v>
      </c>
      <c r="GI4" s="633" t="s">
        <v>162</v>
      </c>
      <c r="GJ4" s="633" t="s">
        <v>244</v>
      </c>
      <c r="GK4" s="633" t="s">
        <v>163</v>
      </c>
      <c r="GL4" s="633" t="s">
        <v>246</v>
      </c>
      <c r="GM4" s="633" t="s">
        <v>201</v>
      </c>
      <c r="GN4" s="633" t="s">
        <v>331</v>
      </c>
      <c r="GO4" s="633" t="s">
        <v>390</v>
      </c>
      <c r="GP4" s="633" t="s">
        <v>391</v>
      </c>
      <c r="GQ4" s="633" t="s">
        <v>843</v>
      </c>
      <c r="GR4" s="633" t="s">
        <v>394</v>
      </c>
      <c r="GS4" s="633" t="s">
        <v>67</v>
      </c>
      <c r="GT4" s="633" t="s">
        <v>393</v>
      </c>
      <c r="GU4" s="633" t="s">
        <v>819</v>
      </c>
      <c r="GV4" s="633" t="s">
        <v>72</v>
      </c>
      <c r="GW4" s="633" t="s">
        <v>436</v>
      </c>
      <c r="GX4" s="633" t="s">
        <v>438</v>
      </c>
      <c r="GY4" s="633" t="s">
        <v>820</v>
      </c>
      <c r="GZ4" s="633" t="s">
        <v>291</v>
      </c>
      <c r="HA4" s="633" t="s">
        <v>89</v>
      </c>
      <c r="HB4" s="633" t="s">
        <v>91</v>
      </c>
      <c r="HC4" s="633" t="s">
        <v>437</v>
      </c>
      <c r="HD4" s="633" t="s">
        <v>76</v>
      </c>
      <c r="HE4" s="633" t="s">
        <v>208</v>
      </c>
      <c r="HF4" s="633" t="s">
        <v>205</v>
      </c>
      <c r="HG4" s="633" t="s">
        <v>512</v>
      </c>
      <c r="HH4" s="633" t="s">
        <v>289</v>
      </c>
      <c r="HI4" s="633" t="s">
        <v>290</v>
      </c>
      <c r="HJ4" s="633" t="s">
        <v>217</v>
      </c>
      <c r="HK4" s="633" t="s">
        <v>643</v>
      </c>
      <c r="HL4" s="633" t="s">
        <v>239</v>
      </c>
      <c r="HM4" s="633" t="s">
        <v>389</v>
      </c>
      <c r="HN4" s="633" t="s">
        <v>865</v>
      </c>
      <c r="HO4" s="633" t="s">
        <v>494</v>
      </c>
      <c r="HP4" s="633" t="s">
        <v>689</v>
      </c>
      <c r="HQ4" s="633" t="s">
        <v>651</v>
      </c>
      <c r="HR4" s="633" t="s">
        <v>691</v>
      </c>
      <c r="HS4" s="633" t="s">
        <v>495</v>
      </c>
      <c r="HT4" s="633" t="s">
        <v>496</v>
      </c>
      <c r="HU4" s="633" t="s">
        <v>468</v>
      </c>
      <c r="HV4" s="633" t="s">
        <v>231</v>
      </c>
      <c r="HW4" s="633" t="s">
        <v>632</v>
      </c>
      <c r="HX4" s="633" t="s">
        <v>631</v>
      </c>
      <c r="HY4" s="633" t="s">
        <v>283</v>
      </c>
      <c r="HZ4" s="633" t="s">
        <v>224</v>
      </c>
      <c r="IA4" s="633" t="s">
        <v>497</v>
      </c>
      <c r="IB4" s="633" t="s">
        <v>424</v>
      </c>
      <c r="IC4" s="633" t="s">
        <v>498</v>
      </c>
      <c r="ID4" s="633" t="s">
        <v>439</v>
      </c>
      <c r="IE4" s="633" t="s">
        <v>416</v>
      </c>
      <c r="IF4" s="633" t="s">
        <v>417</v>
      </c>
      <c r="IG4" s="633" t="s">
        <v>866</v>
      </c>
      <c r="IH4" s="633" t="s">
        <v>295</v>
      </c>
      <c r="II4" s="633" t="s">
        <v>419</v>
      </c>
      <c r="IJ4" s="633" t="s">
        <v>297</v>
      </c>
      <c r="IK4" s="633" t="s">
        <v>296</v>
      </c>
      <c r="IL4" s="633" t="s">
        <v>226</v>
      </c>
      <c r="IM4" s="633" t="s">
        <v>281</v>
      </c>
      <c r="IN4" s="633" t="s">
        <v>440</v>
      </c>
      <c r="IO4" s="633" t="s">
        <v>305</v>
      </c>
      <c r="IP4" s="633" t="s">
        <v>687</v>
      </c>
      <c r="IQ4" s="633" t="s">
        <v>225</v>
      </c>
      <c r="IR4" s="633" t="s">
        <v>293</v>
      </c>
      <c r="IS4" s="633" t="s">
        <v>467</v>
      </c>
      <c r="IT4" s="633" t="s">
        <v>633</v>
      </c>
      <c r="IU4" s="633" t="s">
        <v>641</v>
      </c>
      <c r="IV4" s="633" t="s">
        <v>639</v>
      </c>
      <c r="IW4" s="633" t="s">
        <v>640</v>
      </c>
      <c r="IX4" s="633" t="s">
        <v>214</v>
      </c>
      <c r="IY4" s="633" t="s">
        <v>303</v>
      </c>
      <c r="IZ4" s="633" t="s">
        <v>327</v>
      </c>
      <c r="JA4" s="633" t="s">
        <v>688</v>
      </c>
      <c r="JB4" s="633" t="s">
        <v>329</v>
      </c>
      <c r="JC4" s="633" t="s">
        <v>311</v>
      </c>
      <c r="JD4" s="633" t="s">
        <v>680</v>
      </c>
      <c r="JE4" s="633" t="s">
        <v>300</v>
      </c>
      <c r="JF4" s="633" t="s">
        <v>228</v>
      </c>
      <c r="JG4" s="633" t="s">
        <v>328</v>
      </c>
      <c r="JH4" s="633" t="s">
        <v>649</v>
      </c>
      <c r="JI4" s="633" t="s">
        <v>330</v>
      </c>
      <c r="JJ4" s="633" t="s">
        <v>690</v>
      </c>
      <c r="JK4" s="633" t="s">
        <v>298</v>
      </c>
      <c r="JL4" s="633" t="s">
        <v>223</v>
      </c>
      <c r="JM4" s="633" t="s">
        <v>326</v>
      </c>
      <c r="JN4" s="633" t="s">
        <v>325</v>
      </c>
      <c r="JO4" s="633" t="s">
        <v>213</v>
      </c>
      <c r="JP4" s="633" t="s">
        <v>304</v>
      </c>
      <c r="JQ4" s="633" t="s">
        <v>307</v>
      </c>
      <c r="JR4" s="633" t="s">
        <v>302</v>
      </c>
      <c r="JS4" s="633" t="s">
        <v>310</v>
      </c>
      <c r="JT4" s="633" t="s">
        <v>229</v>
      </c>
      <c r="JU4" s="633" t="s">
        <v>343</v>
      </c>
      <c r="JV4" s="633" t="s">
        <v>230</v>
      </c>
      <c r="JW4" s="633" t="s">
        <v>292</v>
      </c>
      <c r="JX4" s="633" t="s">
        <v>499</v>
      </c>
      <c r="JY4" s="633" t="s">
        <v>232</v>
      </c>
      <c r="JZ4" s="633" t="s">
        <v>324</v>
      </c>
      <c r="KA4" s="633" t="s">
        <v>212</v>
      </c>
      <c r="KB4" s="633" t="s">
        <v>642</v>
      </c>
      <c r="KC4" s="633" t="s">
        <v>342</v>
      </c>
      <c r="KD4" s="633" t="s">
        <v>227</v>
      </c>
      <c r="KE4" s="633" t="s">
        <v>308</v>
      </c>
      <c r="KF4" s="633" t="s">
        <v>650</v>
      </c>
      <c r="KG4" s="633" t="s">
        <v>418</v>
      </c>
      <c r="KH4" s="633" t="s">
        <v>322</v>
      </c>
      <c r="KI4" s="633" t="s">
        <v>321</v>
      </c>
      <c r="KJ4" s="633" t="s">
        <v>320</v>
      </c>
      <c r="KK4" s="633" t="s">
        <v>392</v>
      </c>
      <c r="KL4" s="633" t="s">
        <v>576</v>
      </c>
      <c r="KM4" s="633" t="s">
        <v>577</v>
      </c>
      <c r="KN4" s="633" t="s">
        <v>578</v>
      </c>
      <c r="KO4" s="633" t="s">
        <v>579</v>
      </c>
      <c r="KP4" s="633" t="s">
        <v>581</v>
      </c>
      <c r="KQ4" s="633" t="s">
        <v>867</v>
      </c>
      <c r="KR4" s="633" t="s">
        <v>868</v>
      </c>
      <c r="KS4" s="633" t="s">
        <v>869</v>
      </c>
      <c r="KT4" s="633" t="s">
        <v>584</v>
      </c>
      <c r="KU4" s="633" t="s">
        <v>612</v>
      </c>
      <c r="KV4" s="633" t="s">
        <v>614</v>
      </c>
      <c r="KW4" s="633" t="s">
        <v>616</v>
      </c>
      <c r="KX4" s="633" t="s">
        <v>613</v>
      </c>
      <c r="KY4" s="633" t="s">
        <v>870</v>
      </c>
      <c r="KZ4" s="633" t="s">
        <v>247</v>
      </c>
      <c r="LA4" s="633" t="s">
        <v>563</v>
      </c>
      <c r="LB4" s="633" t="s">
        <v>564</v>
      </c>
      <c r="LC4" s="633" t="s">
        <v>565</v>
      </c>
      <c r="LD4" s="633" t="s">
        <v>562</v>
      </c>
      <c r="LE4" s="633" t="s">
        <v>248</v>
      </c>
      <c r="LF4" s="633" t="s">
        <v>249</v>
      </c>
      <c r="LG4" s="633" t="s">
        <v>250</v>
      </c>
      <c r="LH4" s="633" t="s">
        <v>75</v>
      </c>
      <c r="LI4" s="633" t="s">
        <v>251</v>
      </c>
      <c r="LJ4" s="633" t="s">
        <v>252</v>
      </c>
      <c r="LK4" s="633" t="s">
        <v>253</v>
      </c>
      <c r="LL4" s="633" t="s">
        <v>255</v>
      </c>
      <c r="LM4" s="633" t="s">
        <v>265</v>
      </c>
      <c r="LN4" s="633" t="s">
        <v>267</v>
      </c>
      <c r="LO4" s="633" t="s">
        <v>269</v>
      </c>
      <c r="LP4" s="633" t="s">
        <v>561</v>
      </c>
      <c r="LQ4" s="633" t="s">
        <v>270</v>
      </c>
      <c r="LR4" s="633" t="s">
        <v>271</v>
      </c>
      <c r="LS4" s="633" t="s">
        <v>272</v>
      </c>
      <c r="LT4" s="633" t="s">
        <v>273</v>
      </c>
      <c r="LU4" s="633" t="s">
        <v>568</v>
      </c>
      <c r="LV4" s="633" t="s">
        <v>274</v>
      </c>
      <c r="LW4" s="633" t="s">
        <v>275</v>
      </c>
      <c r="LX4" s="633" t="s">
        <v>871</v>
      </c>
      <c r="LY4" s="633" t="s">
        <v>872</v>
      </c>
      <c r="LZ4" s="633" t="s">
        <v>873</v>
      </c>
      <c r="MA4" s="633" t="s">
        <v>874</v>
      </c>
      <c r="MB4" s="633" t="s">
        <v>376</v>
      </c>
      <c r="MC4" s="633" t="s">
        <v>572</v>
      </c>
      <c r="MD4" s="633" t="s">
        <v>567</v>
      </c>
      <c r="ME4" s="633" t="s">
        <v>875</v>
      </c>
      <c r="MF4" s="633" t="s">
        <v>876</v>
      </c>
      <c r="MG4" s="633" t="s">
        <v>877</v>
      </c>
      <c r="MH4" s="633" t="s">
        <v>878</v>
      </c>
      <c r="MI4" s="633" t="s">
        <v>879</v>
      </c>
      <c r="MJ4" s="633" t="s">
        <v>375</v>
      </c>
      <c r="MK4" s="633" t="s">
        <v>546</v>
      </c>
      <c r="ML4" s="633" t="s">
        <v>365</v>
      </c>
      <c r="MM4" s="633" t="s">
        <v>366</v>
      </c>
      <c r="MN4" s="633" t="s">
        <v>357</v>
      </c>
      <c r="MO4" s="633" t="s">
        <v>367</v>
      </c>
      <c r="MP4" s="633" t="s">
        <v>364</v>
      </c>
      <c r="MQ4" s="633" t="s">
        <v>511</v>
      </c>
      <c r="MR4" s="633" t="s">
        <v>410</v>
      </c>
      <c r="MS4" s="633" t="s">
        <v>344</v>
      </c>
      <c r="MT4" s="633" t="s">
        <v>383</v>
      </c>
      <c r="MU4" s="633" t="s">
        <v>384</v>
      </c>
      <c r="MV4" s="633" t="s">
        <v>543</v>
      </c>
      <c r="MW4" s="633" t="s">
        <v>411</v>
      </c>
      <c r="MX4" s="633" t="s">
        <v>347</v>
      </c>
      <c r="MY4" s="633" t="s">
        <v>360</v>
      </c>
      <c r="MZ4" s="633" t="s">
        <v>401</v>
      </c>
      <c r="NA4" s="633" t="s">
        <v>385</v>
      </c>
      <c r="NB4" s="633" t="s">
        <v>386</v>
      </c>
      <c r="NC4" s="633" t="s">
        <v>382</v>
      </c>
      <c r="ND4" s="633" t="s">
        <v>880</v>
      </c>
      <c r="NE4" s="633" t="s">
        <v>378</v>
      </c>
      <c r="NF4" s="633" t="s">
        <v>356</v>
      </c>
      <c r="NG4" s="633" t="s">
        <v>377</v>
      </c>
      <c r="NH4" s="633" t="s">
        <v>354</v>
      </c>
      <c r="NI4" s="633" t="s">
        <v>574</v>
      </c>
      <c r="NJ4" s="633" t="s">
        <v>355</v>
      </c>
      <c r="NK4" s="633" t="s">
        <v>399</v>
      </c>
      <c r="NL4" s="633" t="s">
        <v>351</v>
      </c>
      <c r="NM4" s="633" t="s">
        <v>381</v>
      </c>
      <c r="NN4" s="633" t="s">
        <v>379</v>
      </c>
      <c r="NO4" s="633" t="s">
        <v>368</v>
      </c>
      <c r="NP4" s="633" t="s">
        <v>371</v>
      </c>
      <c r="NQ4" s="633" t="s">
        <v>372</v>
      </c>
      <c r="NR4" s="633" t="s">
        <v>373</v>
      </c>
      <c r="NS4" s="633" t="s">
        <v>374</v>
      </c>
      <c r="NT4" s="633" t="s">
        <v>61</v>
      </c>
      <c r="NU4" s="633" t="s">
        <v>287</v>
      </c>
      <c r="NV4" s="633" t="s">
        <v>286</v>
      </c>
      <c r="NW4" s="633" t="s">
        <v>353</v>
      </c>
      <c r="NX4" s="633" t="s">
        <v>387</v>
      </c>
      <c r="NY4" s="633" t="s">
        <v>352</v>
      </c>
      <c r="NZ4" s="633" t="s">
        <v>363</v>
      </c>
      <c r="OA4" s="633" t="s">
        <v>403</v>
      </c>
      <c r="OB4" s="633" t="s">
        <v>350</v>
      </c>
      <c r="OC4" s="633" t="s">
        <v>404</v>
      </c>
      <c r="OD4" s="633" t="s">
        <v>349</v>
      </c>
      <c r="OE4" s="633" t="s">
        <v>359</v>
      </c>
      <c r="OF4" s="633" t="s">
        <v>358</v>
      </c>
      <c r="OG4" s="633" t="s">
        <v>405</v>
      </c>
      <c r="OH4" s="633" t="s">
        <v>406</v>
      </c>
      <c r="OI4" s="633" t="s">
        <v>407</v>
      </c>
      <c r="OJ4" s="633" t="s">
        <v>409</v>
      </c>
      <c r="OK4" s="633" t="s">
        <v>408</v>
      </c>
      <c r="OL4" s="633" t="s">
        <v>881</v>
      </c>
      <c r="OM4" s="633" t="s">
        <v>882</v>
      </c>
      <c r="ON4" s="633" t="s">
        <v>883</v>
      </c>
      <c r="OO4" s="633" t="s">
        <v>884</v>
      </c>
      <c r="OP4" s="633" t="s">
        <v>472</v>
      </c>
      <c r="OQ4" s="633" t="s">
        <v>471</v>
      </c>
      <c r="OR4" s="633" t="s">
        <v>502</v>
      </c>
      <c r="OS4" s="633" t="s">
        <v>474</v>
      </c>
      <c r="OT4" s="633" t="s">
        <v>469</v>
      </c>
      <c r="OU4" s="633" t="s">
        <v>473</v>
      </c>
      <c r="OV4" s="633" t="s">
        <v>470</v>
      </c>
      <c r="OW4" s="633" t="s">
        <v>420</v>
      </c>
      <c r="OX4" s="633" t="s">
        <v>476</v>
      </c>
      <c r="OY4" s="633" t="s">
        <v>477</v>
      </c>
      <c r="OZ4" s="633" t="s">
        <v>475</v>
      </c>
      <c r="PA4" s="633" t="s">
        <v>478</v>
      </c>
      <c r="PB4" s="633" t="s">
        <v>237</v>
      </c>
      <c r="PC4" s="633" t="s">
        <v>316</v>
      </c>
      <c r="PD4" s="633" t="s">
        <v>535</v>
      </c>
      <c r="PE4" s="633" t="s">
        <v>536</v>
      </c>
      <c r="PF4" s="633" t="s">
        <v>682</v>
      </c>
      <c r="PG4" s="633"/>
      <c r="PT4" s="187"/>
      <c r="PU4" s="187"/>
      <c r="PV4" s="187"/>
      <c r="PW4" s="187"/>
      <c r="PX4" s="183"/>
      <c r="PY4" s="183"/>
      <c r="PZ4" s="183"/>
      <c r="QA4" s="183"/>
      <c r="QB4" s="183"/>
      <c r="QC4" s="635"/>
      <c r="QD4" s="635"/>
      <c r="QE4" s="635"/>
      <c r="QF4" s="635"/>
      <c r="QG4" s="635"/>
      <c r="QH4" s="635"/>
      <c r="QI4" s="635"/>
      <c r="QJ4" s="635"/>
      <c r="QK4" s="635"/>
      <c r="QL4" s="635"/>
      <c r="QM4" s="635"/>
      <c r="QN4" s="635"/>
      <c r="QO4" s="635"/>
      <c r="QP4" s="635"/>
    </row>
    <row r="5" spans="1:458" s="89" customFormat="1" ht="19.5" customHeight="1" thickBot="1" x14ac:dyDescent="0.25">
      <c r="A5" s="381"/>
      <c r="B5" s="382"/>
      <c r="C5" s="382"/>
      <c r="D5" s="382" t="s">
        <v>1</v>
      </c>
      <c r="E5" s="382" t="s">
        <v>1</v>
      </c>
      <c r="F5" s="382" t="s">
        <v>1</v>
      </c>
      <c r="G5" s="382" t="s">
        <v>1</v>
      </c>
      <c r="H5" s="382" t="s">
        <v>88</v>
      </c>
      <c r="I5" s="382" t="s">
        <v>12</v>
      </c>
      <c r="J5" s="382" t="s">
        <v>529</v>
      </c>
      <c r="K5" s="382" t="s">
        <v>445</v>
      </c>
      <c r="L5" s="382" t="s">
        <v>447</v>
      </c>
      <c r="M5" s="382" t="s">
        <v>446</v>
      </c>
      <c r="N5" s="382" t="s">
        <v>1</v>
      </c>
      <c r="O5" s="382" t="s">
        <v>1</v>
      </c>
      <c r="P5" s="382" t="s">
        <v>1</v>
      </c>
      <c r="Q5" s="382" t="s">
        <v>1</v>
      </c>
      <c r="R5" s="382"/>
      <c r="S5" s="382"/>
      <c r="T5" s="382"/>
      <c r="U5" s="382"/>
      <c r="V5" s="382"/>
      <c r="W5" s="382"/>
      <c r="X5" s="382" t="s">
        <v>88</v>
      </c>
      <c r="Y5" s="382" t="s">
        <v>88</v>
      </c>
      <c r="Z5" s="382" t="s">
        <v>88</v>
      </c>
      <c r="AA5" s="382" t="s">
        <v>88</v>
      </c>
      <c r="AB5" s="382" t="s">
        <v>88</v>
      </c>
      <c r="AC5" s="382" t="s">
        <v>539</v>
      </c>
      <c r="AD5" s="382" t="s">
        <v>570</v>
      </c>
      <c r="AE5" s="382"/>
      <c r="AF5" s="382" t="s">
        <v>333</v>
      </c>
      <c r="AG5" s="383"/>
      <c r="AH5" s="384"/>
      <c r="AI5" s="382"/>
      <c r="AJ5" s="382"/>
      <c r="AK5" s="382"/>
      <c r="AL5" s="382"/>
      <c r="AM5" s="382"/>
      <c r="AN5" s="382" t="s">
        <v>11</v>
      </c>
      <c r="AO5" s="382"/>
      <c r="AP5" s="382"/>
      <c r="AQ5" s="382" t="s">
        <v>537</v>
      </c>
      <c r="AR5" s="385" t="s">
        <v>10</v>
      </c>
      <c r="AS5" s="434"/>
      <c r="AT5" s="434"/>
      <c r="AU5" s="434"/>
      <c r="AV5" s="434"/>
      <c r="AW5" s="434"/>
      <c r="AX5" s="435"/>
      <c r="AY5" s="435" t="s">
        <v>45</v>
      </c>
      <c r="AZ5" s="435" t="s">
        <v>83</v>
      </c>
      <c r="BA5" s="586"/>
      <c r="BB5" s="125"/>
      <c r="BC5" s="125"/>
      <c r="BD5" s="125" t="s">
        <v>736</v>
      </c>
      <c r="BE5" s="125" t="s">
        <v>736</v>
      </c>
      <c r="BF5" s="125"/>
      <c r="BG5" s="125">
        <v>0</v>
      </c>
      <c r="BH5" s="403"/>
      <c r="BI5" s="125">
        <v>0</v>
      </c>
      <c r="BJ5" s="125" t="s">
        <v>736</v>
      </c>
      <c r="BK5" s="125" t="s">
        <v>736</v>
      </c>
      <c r="BL5" s="125"/>
      <c r="BM5" s="125"/>
      <c r="BN5" s="403"/>
      <c r="BO5" s="125"/>
      <c r="BP5" s="125" t="s">
        <v>736</v>
      </c>
      <c r="BQ5" s="125"/>
      <c r="BR5" s="125" t="s">
        <v>736</v>
      </c>
      <c r="BS5" s="125"/>
      <c r="BT5" s="403"/>
      <c r="BU5" s="125"/>
      <c r="BV5" s="125" t="s">
        <v>736</v>
      </c>
      <c r="BW5" s="125"/>
      <c r="BX5" s="125"/>
      <c r="BY5" s="125"/>
      <c r="BZ5" s="403"/>
      <c r="CA5" s="125"/>
      <c r="CB5" s="125" t="s">
        <v>736</v>
      </c>
      <c r="CC5" s="125" t="s">
        <v>736</v>
      </c>
      <c r="CD5" s="125"/>
      <c r="CE5" s="125"/>
      <c r="CF5" s="403"/>
      <c r="CG5" s="125"/>
      <c r="CH5" s="125" t="s">
        <v>736</v>
      </c>
      <c r="CI5" s="125" t="s">
        <v>736</v>
      </c>
      <c r="CJ5" s="125" t="s">
        <v>736</v>
      </c>
      <c r="CK5" s="125"/>
      <c r="CL5" s="403"/>
      <c r="CM5" s="125"/>
      <c r="CN5" s="125"/>
      <c r="CO5" s="125"/>
      <c r="CP5" s="125"/>
      <c r="CQ5" s="125"/>
      <c r="CR5" s="125"/>
      <c r="CS5" s="125"/>
      <c r="CT5" s="125"/>
      <c r="CU5" s="125"/>
      <c r="CV5" s="403" t="s">
        <v>211</v>
      </c>
      <c r="CW5" s="126"/>
      <c r="CX5" s="126" t="s">
        <v>451</v>
      </c>
      <c r="CY5" s="126" t="s">
        <v>53</v>
      </c>
      <c r="CZ5" s="126"/>
      <c r="DA5" s="126"/>
      <c r="DB5" s="126" t="s">
        <v>22</v>
      </c>
      <c r="DC5" s="126"/>
      <c r="DD5" s="126"/>
      <c r="DE5" s="126" t="s">
        <v>0</v>
      </c>
      <c r="DF5" s="126" t="s">
        <v>523</v>
      </c>
      <c r="DG5" s="126"/>
      <c r="DH5" s="126"/>
      <c r="DI5" s="126"/>
      <c r="DJ5" s="126"/>
      <c r="DK5" s="126"/>
      <c r="DL5" s="126"/>
      <c r="DM5" s="126" t="s">
        <v>491</v>
      </c>
      <c r="DN5" s="126" t="s">
        <v>447</v>
      </c>
      <c r="DO5" s="126"/>
      <c r="DP5" s="126" t="s">
        <v>50</v>
      </c>
      <c r="DQ5" s="126"/>
      <c r="DR5" s="126" t="s">
        <v>523</v>
      </c>
      <c r="DS5" s="126" t="s">
        <v>46</v>
      </c>
      <c r="DT5" s="126"/>
      <c r="DU5" s="126" t="s">
        <v>49</v>
      </c>
      <c r="DV5" s="126" t="s">
        <v>118</v>
      </c>
      <c r="DW5" s="126"/>
      <c r="DX5" s="127"/>
      <c r="DY5" s="127"/>
      <c r="DZ5" s="195" t="s">
        <v>64</v>
      </c>
      <c r="EA5" s="128"/>
      <c r="EB5" s="128" t="s">
        <v>448</v>
      </c>
      <c r="EC5" s="128" t="s">
        <v>448</v>
      </c>
      <c r="ED5" s="128"/>
      <c r="EE5" s="128"/>
      <c r="EF5" s="128" t="s">
        <v>448</v>
      </c>
      <c r="EG5" s="128" t="s">
        <v>448</v>
      </c>
      <c r="EH5" s="128" t="s">
        <v>448</v>
      </c>
      <c r="EI5" s="128"/>
      <c r="EJ5" s="128" t="s">
        <v>448</v>
      </c>
      <c r="EK5" s="128" t="s">
        <v>448</v>
      </c>
      <c r="EL5" s="128" t="s">
        <v>448</v>
      </c>
      <c r="EM5" s="128" t="s">
        <v>46</v>
      </c>
      <c r="EN5" s="128" t="s">
        <v>73</v>
      </c>
      <c r="EO5" s="128" t="s">
        <v>46</v>
      </c>
      <c r="EP5" s="128"/>
      <c r="EQ5" s="128" t="s">
        <v>46</v>
      </c>
      <c r="ER5" s="128" t="s">
        <v>46</v>
      </c>
      <c r="ES5" s="128" t="s">
        <v>46</v>
      </c>
      <c r="ET5" s="128" t="s">
        <v>46</v>
      </c>
      <c r="EU5" s="128" t="s">
        <v>46</v>
      </c>
      <c r="EV5" s="128" t="s">
        <v>46</v>
      </c>
      <c r="EW5" s="128" t="s">
        <v>414</v>
      </c>
      <c r="EX5" s="128" t="s">
        <v>46</v>
      </c>
      <c r="EY5" s="128" t="s">
        <v>482</v>
      </c>
      <c r="EZ5" s="128"/>
      <c r="FA5" s="128" t="s">
        <v>46</v>
      </c>
      <c r="FB5" s="128" t="s">
        <v>414</v>
      </c>
      <c r="FC5" s="192" t="s">
        <v>448</v>
      </c>
      <c r="FD5" s="127" t="s">
        <v>485</v>
      </c>
      <c r="FE5" s="127"/>
      <c r="FF5" s="127" t="s">
        <v>335</v>
      </c>
      <c r="FG5" s="127"/>
      <c r="FH5" s="129"/>
      <c r="FI5" s="127" t="s">
        <v>335</v>
      </c>
      <c r="FJ5" s="127"/>
      <c r="FK5" s="127" t="s">
        <v>46</v>
      </c>
      <c r="FL5" s="127" t="s">
        <v>46</v>
      </c>
      <c r="FM5" s="127" t="s">
        <v>46</v>
      </c>
      <c r="FN5" s="127"/>
      <c r="FO5" s="127"/>
      <c r="FP5" s="127" t="s">
        <v>449</v>
      </c>
      <c r="FQ5" s="127" t="s">
        <v>449</v>
      </c>
      <c r="FR5" s="127" t="s">
        <v>449</v>
      </c>
      <c r="FS5" s="195" t="s">
        <v>449</v>
      </c>
      <c r="FT5" s="130"/>
      <c r="FU5" s="130"/>
      <c r="FV5" s="130"/>
      <c r="FW5" s="130"/>
      <c r="FX5" s="130"/>
      <c r="FY5" s="130"/>
      <c r="FZ5" s="130"/>
      <c r="GA5" s="130"/>
      <c r="GB5" s="130"/>
      <c r="GC5" s="130"/>
      <c r="GD5" s="130"/>
      <c r="GE5" s="130" t="s">
        <v>99</v>
      </c>
      <c r="GF5" s="130" t="s">
        <v>99</v>
      </c>
      <c r="GG5" s="130"/>
      <c r="GH5" s="130"/>
      <c r="GI5" s="130"/>
      <c r="GJ5" s="130"/>
      <c r="GK5" s="130"/>
      <c r="GL5" s="130"/>
      <c r="GM5" s="130"/>
      <c r="GN5" s="130" t="s">
        <v>99</v>
      </c>
      <c r="GO5" s="130" t="s">
        <v>484</v>
      </c>
      <c r="GP5" s="130" t="s">
        <v>99</v>
      </c>
      <c r="GQ5" s="130"/>
      <c r="GR5" s="130" t="s">
        <v>448</v>
      </c>
      <c r="GS5" s="130" t="s">
        <v>483</v>
      </c>
      <c r="GT5" s="131" t="s">
        <v>450</v>
      </c>
      <c r="GU5" s="130" t="s">
        <v>524</v>
      </c>
      <c r="GV5" s="130" t="s">
        <v>524</v>
      </c>
      <c r="GW5" s="130"/>
      <c r="GX5" s="130"/>
      <c r="GY5" s="130"/>
      <c r="GZ5" s="130" t="s">
        <v>448</v>
      </c>
      <c r="HA5" s="130" t="s">
        <v>90</v>
      </c>
      <c r="HB5" s="130"/>
      <c r="HC5" s="130"/>
      <c r="HD5" s="130"/>
      <c r="HE5" s="130" t="s">
        <v>211</v>
      </c>
      <c r="HF5" s="130"/>
      <c r="HG5" s="130"/>
      <c r="HH5" s="130"/>
      <c r="HI5" s="130"/>
      <c r="HJ5" s="130"/>
      <c r="HK5" s="130" t="s">
        <v>448</v>
      </c>
      <c r="HL5" s="130"/>
      <c r="HM5" s="200" t="s">
        <v>448</v>
      </c>
      <c r="HN5" s="211"/>
      <c r="HO5" s="213" t="s">
        <v>580</v>
      </c>
      <c r="HP5" s="212"/>
      <c r="HQ5" s="213" t="s">
        <v>452</v>
      </c>
      <c r="HR5" s="211" t="s">
        <v>452</v>
      </c>
      <c r="HS5" s="212"/>
      <c r="HT5" s="211"/>
      <c r="HU5" s="213" t="s">
        <v>288</v>
      </c>
      <c r="HV5" s="211"/>
      <c r="HW5" s="211" t="s">
        <v>288</v>
      </c>
      <c r="HX5" s="211"/>
      <c r="HY5" s="211" t="s">
        <v>448</v>
      </c>
      <c r="HZ5" s="211" t="s">
        <v>452</v>
      </c>
      <c r="IA5" s="214"/>
      <c r="IB5" s="211"/>
      <c r="IC5" s="214"/>
      <c r="ID5" s="211"/>
      <c r="IE5" s="211" t="s">
        <v>288</v>
      </c>
      <c r="IF5" s="211" t="s">
        <v>288</v>
      </c>
      <c r="IG5" s="211"/>
      <c r="IH5" s="211" t="s">
        <v>294</v>
      </c>
      <c r="II5" s="211" t="s">
        <v>294</v>
      </c>
      <c r="IJ5" s="211"/>
      <c r="IK5" s="211"/>
      <c r="IL5" s="211" t="s">
        <v>452</v>
      </c>
      <c r="IM5" s="211"/>
      <c r="IN5" s="211"/>
      <c r="IO5" s="211" t="s">
        <v>500</v>
      </c>
      <c r="IP5" s="214" t="s">
        <v>288</v>
      </c>
      <c r="IQ5" s="211" t="s">
        <v>452</v>
      </c>
      <c r="IR5" s="211" t="s">
        <v>294</v>
      </c>
      <c r="IS5" s="213" t="s">
        <v>288</v>
      </c>
      <c r="IT5" s="214" t="s">
        <v>288</v>
      </c>
      <c r="IU5" s="214" t="s">
        <v>288</v>
      </c>
      <c r="IV5" s="214" t="s">
        <v>288</v>
      </c>
      <c r="IW5" s="214" t="s">
        <v>288</v>
      </c>
      <c r="IX5" s="211" t="s">
        <v>452</v>
      </c>
      <c r="IY5" s="211" t="s">
        <v>500</v>
      </c>
      <c r="IZ5" s="211" t="s">
        <v>294</v>
      </c>
      <c r="JA5" s="212" t="s">
        <v>288</v>
      </c>
      <c r="JB5" s="211" t="s">
        <v>294</v>
      </c>
      <c r="JC5" s="211" t="s">
        <v>294</v>
      </c>
      <c r="JD5" s="211" t="s">
        <v>288</v>
      </c>
      <c r="JE5" s="211" t="s">
        <v>448</v>
      </c>
      <c r="JF5" s="211" t="s">
        <v>452</v>
      </c>
      <c r="JG5" s="211" t="s">
        <v>294</v>
      </c>
      <c r="JH5" s="211"/>
      <c r="JI5" s="213" t="s">
        <v>294</v>
      </c>
      <c r="JJ5" s="211" t="s">
        <v>452</v>
      </c>
      <c r="JK5" s="211" t="s">
        <v>452</v>
      </c>
      <c r="JL5" s="211" t="s">
        <v>573</v>
      </c>
      <c r="JM5" s="211" t="s">
        <v>309</v>
      </c>
      <c r="JN5" s="211" t="s">
        <v>309</v>
      </c>
      <c r="JO5" s="211" t="s">
        <v>500</v>
      </c>
      <c r="JP5" s="211" t="s">
        <v>500</v>
      </c>
      <c r="JQ5" s="211" t="s">
        <v>500</v>
      </c>
      <c r="JR5" s="211" t="s">
        <v>500</v>
      </c>
      <c r="JS5" s="211" t="s">
        <v>453</v>
      </c>
      <c r="JT5" s="211" t="s">
        <v>500</v>
      </c>
      <c r="JU5" s="211" t="s">
        <v>309</v>
      </c>
      <c r="JV5" s="211" t="s">
        <v>309</v>
      </c>
      <c r="JW5" s="211" t="s">
        <v>288</v>
      </c>
      <c r="JX5" s="211" t="s">
        <v>500</v>
      </c>
      <c r="JY5" s="211"/>
      <c r="JZ5" s="211" t="s">
        <v>309</v>
      </c>
      <c r="KA5" s="211" t="s">
        <v>452</v>
      </c>
      <c r="KB5" s="211" t="s">
        <v>294</v>
      </c>
      <c r="KC5" s="211" t="s">
        <v>309</v>
      </c>
      <c r="KD5" s="211" t="s">
        <v>452</v>
      </c>
      <c r="KE5" s="211" t="s">
        <v>309</v>
      </c>
      <c r="KF5" s="211" t="s">
        <v>452</v>
      </c>
      <c r="KG5" s="211" t="s">
        <v>288</v>
      </c>
      <c r="KH5" s="212"/>
      <c r="KI5" s="211"/>
      <c r="KJ5" s="211"/>
      <c r="KK5" s="211"/>
      <c r="KL5" s="452"/>
      <c r="KM5" s="452"/>
      <c r="KN5" s="452"/>
      <c r="KO5" s="452"/>
      <c r="KP5" s="452"/>
      <c r="KQ5" s="452"/>
      <c r="KR5" s="452"/>
      <c r="KS5" s="452"/>
      <c r="KT5" s="452"/>
      <c r="KU5" s="452"/>
      <c r="KV5" s="452"/>
      <c r="KW5" s="452"/>
      <c r="KX5" s="453"/>
      <c r="KY5" s="132"/>
      <c r="KZ5" s="132" t="s">
        <v>538</v>
      </c>
      <c r="LA5" s="133"/>
      <c r="LB5" s="133"/>
      <c r="LC5" s="133"/>
      <c r="LD5" s="133"/>
      <c r="LE5" s="132" t="s">
        <v>537</v>
      </c>
      <c r="LF5" s="132"/>
      <c r="LG5" s="132"/>
      <c r="LH5" s="132"/>
      <c r="LI5" s="132"/>
      <c r="LJ5" s="132"/>
      <c r="LK5" s="132"/>
      <c r="LL5" s="132"/>
      <c r="LM5" s="132" t="s">
        <v>539</v>
      </c>
      <c r="LN5" s="132"/>
      <c r="LO5" s="132"/>
      <c r="LP5" s="132" t="s">
        <v>548</v>
      </c>
      <c r="LQ5" s="132" t="s">
        <v>548</v>
      </c>
      <c r="LR5" s="132" t="s">
        <v>548</v>
      </c>
      <c r="LS5" s="132" t="s">
        <v>548</v>
      </c>
      <c r="LT5" s="132" t="s">
        <v>548</v>
      </c>
      <c r="LU5" s="133"/>
      <c r="LV5" s="134" t="s">
        <v>319</v>
      </c>
      <c r="LW5" s="132" t="s">
        <v>319</v>
      </c>
      <c r="LX5" s="132" t="s">
        <v>319</v>
      </c>
      <c r="LY5" s="132" t="s">
        <v>319</v>
      </c>
      <c r="LZ5" s="132" t="s">
        <v>319</v>
      </c>
      <c r="MA5" s="132" t="s">
        <v>319</v>
      </c>
      <c r="MB5" s="132" t="s">
        <v>319</v>
      </c>
      <c r="MC5" s="132" t="s">
        <v>88</v>
      </c>
      <c r="MD5" s="132" t="s">
        <v>319</v>
      </c>
      <c r="ME5" s="132" t="s">
        <v>319</v>
      </c>
      <c r="MF5" s="132"/>
      <c r="MG5" s="132" t="s">
        <v>319</v>
      </c>
      <c r="MH5" s="132" t="s">
        <v>319</v>
      </c>
      <c r="MI5" s="132" t="s">
        <v>319</v>
      </c>
      <c r="MJ5" s="132" t="s">
        <v>319</v>
      </c>
      <c r="MK5" s="132"/>
      <c r="ML5" s="132"/>
      <c r="MM5" s="132"/>
      <c r="MN5" s="132" t="s">
        <v>421</v>
      </c>
      <c r="MO5" s="132" t="s">
        <v>99</v>
      </c>
      <c r="MP5" s="132"/>
      <c r="MQ5" s="134" t="s">
        <v>319</v>
      </c>
      <c r="MR5" s="132" t="s">
        <v>53</v>
      </c>
      <c r="MS5" s="132" t="s">
        <v>501</v>
      </c>
      <c r="MT5" s="132" t="s">
        <v>53</v>
      </c>
      <c r="MU5" s="132" t="s">
        <v>53</v>
      </c>
      <c r="MV5" s="132" t="s">
        <v>53</v>
      </c>
      <c r="MW5" s="132" t="s">
        <v>53</v>
      </c>
      <c r="MX5" s="132" t="s">
        <v>501</v>
      </c>
      <c r="MY5" s="132" t="s">
        <v>319</v>
      </c>
      <c r="MZ5" s="132"/>
      <c r="NA5" s="132" t="s">
        <v>53</v>
      </c>
      <c r="NB5" s="132" t="s">
        <v>53</v>
      </c>
      <c r="NC5" s="134" t="s">
        <v>99</v>
      </c>
      <c r="ND5" s="132"/>
      <c r="NE5" s="132" t="s">
        <v>319</v>
      </c>
      <c r="NF5" s="132" t="s">
        <v>53</v>
      </c>
      <c r="NG5" s="132" t="s">
        <v>319</v>
      </c>
      <c r="NH5" s="132" t="s">
        <v>319</v>
      </c>
      <c r="NI5" s="132" t="s">
        <v>319</v>
      </c>
      <c r="NJ5" s="132" t="s">
        <v>319</v>
      </c>
      <c r="NK5" s="132"/>
      <c r="NL5" s="132" t="s">
        <v>319</v>
      </c>
      <c r="NM5" s="134" t="s">
        <v>319</v>
      </c>
      <c r="NN5" s="132" t="s">
        <v>319</v>
      </c>
      <c r="NO5" s="132" t="s">
        <v>421</v>
      </c>
      <c r="NP5" s="132"/>
      <c r="NQ5" s="132"/>
      <c r="NR5" s="132" t="s">
        <v>99</v>
      </c>
      <c r="NS5" s="132" t="s">
        <v>319</v>
      </c>
      <c r="NT5" s="135"/>
      <c r="NU5" s="135"/>
      <c r="NV5" s="132"/>
      <c r="NW5" s="134" t="s">
        <v>319</v>
      </c>
      <c r="NX5" s="132" t="s">
        <v>319</v>
      </c>
      <c r="NY5" s="132" t="s">
        <v>319</v>
      </c>
      <c r="NZ5" s="132" t="s">
        <v>319</v>
      </c>
      <c r="OA5" s="132" t="s">
        <v>319</v>
      </c>
      <c r="OB5" s="132" t="s">
        <v>319</v>
      </c>
      <c r="OC5" s="132" t="s">
        <v>319</v>
      </c>
      <c r="OD5" s="132" t="s">
        <v>53</v>
      </c>
      <c r="OE5" s="132" t="s">
        <v>319</v>
      </c>
      <c r="OF5" s="132"/>
      <c r="OG5" s="132" t="s">
        <v>53</v>
      </c>
      <c r="OH5" s="132" t="s">
        <v>53</v>
      </c>
      <c r="OI5" s="132" t="s">
        <v>319</v>
      </c>
      <c r="OJ5" s="132" t="s">
        <v>319</v>
      </c>
      <c r="OK5" s="203" t="s">
        <v>53</v>
      </c>
      <c r="OL5" s="124" t="s">
        <v>501</v>
      </c>
      <c r="OM5" s="124" t="s">
        <v>53</v>
      </c>
      <c r="ON5" s="124" t="s">
        <v>501</v>
      </c>
      <c r="OO5" s="124" t="s">
        <v>53</v>
      </c>
      <c r="OP5" s="124" t="s">
        <v>53</v>
      </c>
      <c r="OQ5" s="124" t="s">
        <v>53</v>
      </c>
      <c r="OR5" s="124" t="s">
        <v>53</v>
      </c>
      <c r="OS5" s="124" t="s">
        <v>53</v>
      </c>
      <c r="OT5" s="124" t="s">
        <v>53</v>
      </c>
      <c r="OU5" s="124" t="s">
        <v>53</v>
      </c>
      <c r="OV5" s="124" t="s">
        <v>53</v>
      </c>
      <c r="OW5" s="124" t="s">
        <v>53</v>
      </c>
      <c r="OX5" s="124" t="s">
        <v>53</v>
      </c>
      <c r="OY5" s="124" t="s">
        <v>53</v>
      </c>
      <c r="OZ5" s="124" t="s">
        <v>53</v>
      </c>
      <c r="PA5" s="124" t="s">
        <v>53</v>
      </c>
      <c r="PB5" s="136"/>
      <c r="PC5" s="136"/>
      <c r="PD5" s="442" t="s">
        <v>53</v>
      </c>
      <c r="PE5" s="181" t="s">
        <v>53</v>
      </c>
      <c r="PF5" s="443" t="s">
        <v>53</v>
      </c>
      <c r="PX5" s="186"/>
    </row>
    <row r="6" spans="1:458" s="2" customFormat="1" x14ac:dyDescent="0.2">
      <c r="A6" s="386">
        <v>1</v>
      </c>
      <c r="B6" s="387">
        <v>1</v>
      </c>
      <c r="C6" s="387">
        <f ca="1">Weather_data!$B5</f>
        <v>0</v>
      </c>
      <c r="D6" s="388">
        <f ca="1">Weather_data!$F5</f>
        <v>0</v>
      </c>
      <c r="E6" s="388">
        <f ca="1">Weather_data!$E5</f>
        <v>0</v>
      </c>
      <c r="F6" s="388">
        <f ca="1">$D6-$E6</f>
        <v>0</v>
      </c>
      <c r="G6" s="388">
        <f ca="1">AVERAGE($D6:$E6)+Control!$B$9</f>
        <v>0</v>
      </c>
      <c r="H6" s="388">
        <f ca="1">Weather_data!$G5</f>
        <v>0</v>
      </c>
      <c r="I6" s="388">
        <f ca="1">Weather_data!$I5</f>
        <v>0</v>
      </c>
      <c r="J6" s="388">
        <f ca="1">Weather_data!$H5</f>
        <v>0</v>
      </c>
      <c r="K6" s="389">
        <f ca="1">Weather_data!$D5</f>
        <v>0</v>
      </c>
      <c r="L6" s="59">
        <v>0</v>
      </c>
      <c r="M6" s="388">
        <f t="shared" ref="M6:M69" ca="1" si="0">($EX6/10)/IF($L6&lt;&gt;0, $L6, 1)</f>
        <v>85</v>
      </c>
      <c r="N6" s="388">
        <f t="shared" ref="N6:N69" ca="1" si="1">($G6-$O6)/10</f>
        <v>-0.5</v>
      </c>
      <c r="O6" s="390">
        <f>Control!$C$78</f>
        <v>5</v>
      </c>
      <c r="P6" s="390">
        <v>3</v>
      </c>
      <c r="Q6" s="388">
        <f ca="1">MAX($G6-Control!$C$107,0)</f>
        <v>0</v>
      </c>
      <c r="R6" s="388">
        <f ca="1">IF($G6&lt;=3,0,IF(33&gt;=$G6&gt;3,0+($G6-3)*((30-0)/(33-3)),IF($G6&gt;33,30)))</f>
        <v>0</v>
      </c>
      <c r="S6" s="388">
        <f t="shared" ref="S6:S69" ca="1" si="2">MAX(0, $R6)</f>
        <v>0</v>
      </c>
      <c r="T6" s="388">
        <f t="shared" ref="T6:T69" ca="1" si="3">$S6*$PC6</f>
        <v>0</v>
      </c>
      <c r="U6" s="59">
        <f t="shared" ref="U6:U69" ca="1" si="4">$S6*$PC6*$GF6</f>
        <v>0</v>
      </c>
      <c r="V6" s="391">
        <f ca="1">MAX(0,MIN(Control!$C$100-Control!$C$99,$G6-Control!$C$99)*Control!$C$63)</f>
        <v>0</v>
      </c>
      <c r="W6" s="388">
        <f ca="1">$D6-0.25*($D6-$E6)</f>
        <v>0</v>
      </c>
      <c r="X6" s="388">
        <f ca="1">6.11*0.1*EXP(17.4*$G6/($G6+239))</f>
        <v>0.6110000000000001</v>
      </c>
      <c r="Y6" s="388">
        <f ca="1">MIN($H6,$X6)</f>
        <v>0</v>
      </c>
      <c r="Z6" s="388">
        <f ca="1">6.10588*0.1*EXP((17.32491*$G6)/($G6+238.102))</f>
        <v>0.61058800000000002</v>
      </c>
      <c r="AA6" s="388">
        <f t="shared" ref="AA6:AA69" ca="1" si="5">(0.6018*EXP((17.27*D6)/(D6+237.3))+0.6018*EXP((17.27*E6)/(E6+237.3)))/2</f>
        <v>0.6018</v>
      </c>
      <c r="AB6" s="388">
        <f ca="1">101.3*EXP(-0.034*Control!$C$66/($G6+273))</f>
        <v>100.69623283836242</v>
      </c>
      <c r="AC6" s="392">
        <f t="shared" ref="AC6:AC69" ca="1" si="6">(239*17*$X6/($G6+239)^2)</f>
        <v>4.3460251046025113E-2</v>
      </c>
      <c r="AD6" s="392">
        <f t="shared" ref="AD6:AD69" ca="1" si="7">4098*(0.6108*EXP((17.27*G6)/(G6+237.3)))/(G6+237.3)^2</f>
        <v>4.4450382862832649E-2</v>
      </c>
      <c r="AE6" s="388">
        <f t="shared" ref="AE6:AE69" ca="1" si="8">$Y6/$Z6</f>
        <v>0</v>
      </c>
      <c r="AF6" s="388">
        <f ca="1">MAX(0,$G6-Control!$C$92)</f>
        <v>0</v>
      </c>
      <c r="AG6" s="393">
        <f ca="1">DATE($C6,$B6,$A6)</f>
        <v>1</v>
      </c>
      <c r="AH6" s="389">
        <f t="shared" ref="AH6:AH69" ca="1" si="9">$AG6+1-DATE($C6,1,1)</f>
        <v>1</v>
      </c>
      <c r="AI6" s="388">
        <f ca="1">$HD6</f>
        <v>-0.40154006071503617</v>
      </c>
      <c r="AJ6" s="388">
        <f ca="1">IF(Control!$C$60&lt;=0,$HH6,$HI6)</f>
        <v>1</v>
      </c>
      <c r="AK6" s="388">
        <f t="shared" ref="AK6:AK69" ca="1" si="10">(2*PI()*(AH6-80)/365)</f>
        <v>-1.3599222993621571</v>
      </c>
      <c r="AL6" s="388">
        <f t="shared" ref="AL6:AL69" ca="1" si="11">0.03358*(SIN(2*PI()*AH6)-SIN(2*PI()*80))/365</f>
        <v>1.78087579405517E-18</v>
      </c>
      <c r="AM6" s="388">
        <f t="shared" ref="AM6:AM69" ca="1" si="12">AK6+AL6</f>
        <v>-1.3599222993621571</v>
      </c>
      <c r="AN6" s="388">
        <f t="shared" ref="AN6:AN69" ca="1" si="13">ASIN(0.3978*SIN(AM6))</f>
        <v>-0.39953289782800933</v>
      </c>
      <c r="AO6" s="388">
        <f ca="1">-0.10453/COS(Control!$B$8*PI()/180)*COS(AN6)</f>
        <v>-0.15641308230670622</v>
      </c>
      <c r="AP6" s="388">
        <f ca="1">ACOS(AO6-TAN(Control!$B$8*PI()/180)*TAN(AN6))</f>
        <v>1.176636078600183</v>
      </c>
      <c r="AQ6" s="388">
        <f ca="1">$K6/1000</f>
        <v>0</v>
      </c>
      <c r="AR6" s="394">
        <f t="shared" ref="AR6:AR69" ca="1" si="14">$AQ6*0.5</f>
        <v>0</v>
      </c>
      <c r="AS6" s="436">
        <f ca="1">IF(Control!$B$18=2,(IF(OR($AH6=Control!$B$175,$AH6=Control!$B$176,$AH6=Control!$B$177,$AH6=Control!$B$178,$AH6=Control!$B$179,$AH6=Control!$B$180,$AH6=Control!$B$181,$AH6=Control!$B$182,$AH6=Control!$B$183,$AH6=Control!$B$184,$AH6=Control!$B$185),1,0)),0)</f>
        <v>0</v>
      </c>
      <c r="AT6" s="436">
        <f>IF(Control!$B$20=8,IF(AND($AH6&gt;=Control!$B$172,$AH6&lt;=Control!$B$173),1,0),0)</f>
        <v>0</v>
      </c>
      <c r="AU6" s="436">
        <f>IF(Control!$B$20=8,IF($AV5=1,1*$AT6,IF($AT6=1,$AU5+1,$AU5)),0)</f>
        <v>0</v>
      </c>
      <c r="AV6" s="436">
        <f>IF(Control!$B$20=8,IF($AU6&gt;=Control!$B$174,1,0),0)</f>
        <v>0</v>
      </c>
      <c r="AW6" s="436">
        <f ca="1">IF(AND(Control!$B$18=2,Control!$B$171=1), $AV6, $AS6)</f>
        <v>0</v>
      </c>
      <c r="AX6" s="436">
        <f ca="1">IF(AND(Control!$B$18=1,$EU6&gt;=Control!$B$19),-$AY6,IF(AND(Control!$B$18=2,$AW6=1,$EU6&gt;$DS6),-$AY6, IF(Control!$C$108=0,0, IF(Control!$C$108&lt;&gt;0,1))))</f>
        <v>1</v>
      </c>
      <c r="AY6" s="436">
        <v>0</v>
      </c>
      <c r="AZ6" s="436">
        <v>0</v>
      </c>
      <c r="BA6" s="587">
        <f>IF(Control!$C$81=0,1,IF($AH6&gt;=Control!$C$82,1,0))</f>
        <v>1</v>
      </c>
      <c r="BB6" s="140">
        <f>IF($BA6&gt;$BA5,Control!$C$83,IF($AW6&gt;0,$AW6*Control!$C$84,IF(AND(Control!$B$18=1,EN5&lt;&gt;0),Control!$C$84,0)))</f>
        <v>21</v>
      </c>
      <c r="BC6" s="140">
        <f>IF($BA6=0,0,IF(AND($BB6&gt;=0,$BB6&lt;9),1,$BG5))</f>
        <v>0</v>
      </c>
      <c r="BD6" s="140">
        <f ca="1">BC6*IF(OR($G6&lt;Control!$C$92,$G6&gt;Control!$C$95),0,IF(AND($G6&gt;=Control!$C$92,$G6&lt;=Control!$C$93),$G6-Control!$C$92,IF(AND($G6&gt;Control!$C$93,$G6&lt;=Control!$C$94),Control!$C$93-Control!$C$92,IF(AND($G6&gt;Control!$C$94,$G6&lt;=Control!$C$95),(Control!$C$93-Control!$C$92)*(Control!$C$94-$G6)/(Control!$C$95-Control!$C$94)))))</f>
        <v>0</v>
      </c>
      <c r="BE6" s="140">
        <f>IF($BC6=0,0,$BF5+$BD6)</f>
        <v>0</v>
      </c>
      <c r="BF6" s="140">
        <f>IF($BE6&lt;=Control!$C$86,$BE6,Control!$C$86-$BE6)</f>
        <v>0</v>
      </c>
      <c r="BG6" s="140">
        <f ca="1">IF(AND($AW6=1,Control!$C$84&lt;9),1,IF($BE6&gt;=Control!$C$86,0,$BC6))</f>
        <v>0</v>
      </c>
      <c r="BH6" s="404">
        <f ca="1">IF($BG6=0,0,IF($BE6&lt;=Control!$C$86,$BC6*9*($BF6/Control!$C$86),0))</f>
        <v>0</v>
      </c>
      <c r="BI6" s="140">
        <f ca="1">IF($BG6=1,0,IF($BE6&gt;=Control!$C$86,1,IF(AND($BB6&lt;21,$BB6&gt;=9),1,$BM5)))</f>
        <v>0</v>
      </c>
      <c r="BJ6" s="140">
        <f ca="1">IF($BF6&lt;0,-$BF6,$BI6*IF(OR($G6&lt;Control!$C$92,$G6&gt;Control!$C$95),0,IF(AND($G6&gt;=Control!$C$92,$G6&lt;=Control!$C$93),$G6-Control!$C$92,IF(AND($G6&gt;Control!$C$93,$G6&lt;=Control!$C$94),Control!$C$93-Control!$C$92,IF(AND($G6&gt;Control!$C$94,$G6&lt;=Control!$C$95),(Control!$C$93-Control!$C$92)*(Control!$C$94-$G6)/(Control!$C$95-Control!$C$94))))))</f>
        <v>0</v>
      </c>
      <c r="BK6" s="140">
        <f ca="1">IF($BI6=0,0,IF($BF6&lt;0,$BL5+$BJ6-$BF6,$BL5+$BJ6))</f>
        <v>0</v>
      </c>
      <c r="BL6" s="140">
        <f ca="1">IF($BK6&lt;=Control!$C$87,$BK6,Control!$C$87-$BK6)</f>
        <v>0</v>
      </c>
      <c r="BM6" s="140">
        <f ca="1">IF(AND($BB6&gt;=9,$BB6&lt;21),1,IF($BK6&gt;=Control!$C$87,0,$BI6))</f>
        <v>0</v>
      </c>
      <c r="BN6" s="404">
        <f ca="1">IF($BM6=0,0,IF($BK6&lt;=Control!$C$87,$BI6*(9+(21-9)*($BL6/Control!$C$87)),0))</f>
        <v>0</v>
      </c>
      <c r="BO6" s="140">
        <f ca="1">IF($BM6=1,0,IF($BK6&gt;=Control!$C$87,1,IF(AND($BB6&lt;30,$BB6&gt;=21),1,$BS5)))</f>
        <v>1</v>
      </c>
      <c r="BP6" s="140">
        <f ca="1">IF($BL6&lt;0,-$BL6,$BO6*IF(OR($G6&lt;Control!$C$92,$G6&gt;Control!$C$95),0,IF(AND($G6&gt;=Control!$C$92,$G6&lt;=Control!$C$93),$G6-Control!$C$92,IF(AND($G6&gt;Control!$C$93,$G6&lt;=Control!$C$94),Control!$C$93-Control!$C$92,IF(AND($G6&gt;Control!$C$94,$G6&lt;=Control!$C$95),(Control!$C$93-Control!$C$92)*(Control!$C$94-$G6)/(Control!$C$95-Control!$C$94))))))</f>
        <v>0</v>
      </c>
      <c r="BQ6" s="140">
        <f t="shared" ref="BQ6:BQ69" ca="1" si="15">IF(AND($BO6*$BB6&gt;=21,$BO6*$BB6&lt;30),$BP6,IF($BO6=1,$BQ5+$BP6,0))</f>
        <v>0</v>
      </c>
      <c r="BR6" s="140">
        <f ca="1">IF($BQ6&lt;=Control!$C$88,$BQ6,Control!$C$88-$BQ6)</f>
        <v>0</v>
      </c>
      <c r="BS6" s="140">
        <f>IF(AND($BB6&gt;=21,$BB6&lt;30),1,IF($BQ6&gt;=Control!$C$88,0,$BO6))</f>
        <v>1</v>
      </c>
      <c r="BT6" s="404">
        <f ca="1">IF($BS6=0,0,IF($BQ6&lt;=Control!$C$88,$BO6*(21+(30-21)*(BR6/Control!$C$88)),0))</f>
        <v>21</v>
      </c>
      <c r="BU6" s="140">
        <f ca="1">IF(BG6+BM6+BS6=1,0,IF(OR(AND($BB6&lt;60,$BB6&gt;=30),$BQ6&gt;=Control!$C$88),1*$BA6,$BY5))</f>
        <v>0</v>
      </c>
      <c r="BV6" s="140">
        <f ca="1">IF($BR6&lt;0,-$BR6,$BU6*IF(OR($G6&lt;Control!$C$92,$G6&gt;Control!$C$95),0,IF(AND($G6&gt;=Control!$C$92,$G6&lt;=Control!$C$93),$G6-Control!$C$92,IF(AND($G6&gt;Control!$C$93,$G6&lt;=Control!$C$94),Control!$C$93-Control!$C$92,IF(AND($G6&gt;Control!$C$94,$G6&lt;=Control!$C$95),(Control!$C$93-Control!$C$92)*(Control!$C$94-$G6)/(Control!$C$95-Control!$C$94))))))</f>
        <v>0</v>
      </c>
      <c r="BW6" s="140">
        <f t="shared" ref="BW6:BW69" ca="1" si="16">IF(AND($BO6*$BB6&gt;=30,$BO6*$BB6&lt;60),$BV6,IF($BU6=1,$BW5+$BV6,0))</f>
        <v>0</v>
      </c>
      <c r="BX6" s="140">
        <f ca="1">IF($BW6&lt;=Control!$C$89,$BW6,Control!$C$89-$BW6)</f>
        <v>0</v>
      </c>
      <c r="BY6" s="140">
        <f ca="1">IF(AND($AJ6&gt;=30,$AJ6&lt;60),1,IF($BW6&gt;=Control!$C$89,0,$BU6))</f>
        <v>0</v>
      </c>
      <c r="BZ6" s="404">
        <f ca="1">IF($BY6=0,0,IF($BW6&lt;=Control!$C$89,$BU6*(30+(60-30)*(BX6/Control!$C$89)),0))</f>
        <v>0</v>
      </c>
      <c r="CA6" s="140">
        <f ca="1">IF($BG6+$BM6+$BS6+$BY6=1,0,IF(OR(AND($BB6&lt;65,$BB6&gt;=60),$BW6&gt;=Control!$C$89),1*$BA6,$CE5))</f>
        <v>0</v>
      </c>
      <c r="CB6" s="140">
        <f ca="1">IF($BX6&lt;0,-$BX6,$CA6*IF(OR($G6&lt;Control!$C$92,$G6&gt;Control!$C$95),0,IF(AND($G6&gt;=Control!$C$92,$G6&lt;=Control!$C$93),$G6-Control!$C$92,IF(AND($G6&gt;Control!$C$93,$G6&lt;=Control!$C$94),Control!$C$93-Control!$C$92,IF(AND($G6&gt;Control!$C$94,$G6&lt;=Control!$C$95),(Control!$C$93-Control!$C$92)*(Control!$C$94-$G6)/(Control!$C$95-Control!$C$94))))))</f>
        <v>0</v>
      </c>
      <c r="CC6" s="140">
        <f ca="1">IF($CA6=1,$CC5+$CB6,0)</f>
        <v>0</v>
      </c>
      <c r="CD6" s="140">
        <f ca="1">IF($CC6&lt;=Control!$C$90,$CC6,Control!$C$90-$CC6)</f>
        <v>0</v>
      </c>
      <c r="CE6" s="140">
        <f ca="1">IF(AND($BB6&gt;=60,$BB6&lt;65),1,IF($CC6&gt;=Control!$C$90,0,$CA6))</f>
        <v>0</v>
      </c>
      <c r="CF6" s="404">
        <f ca="1">IF($CE6=0,0,IF($CC6&lt;=Control!$C$90,$CA6*(60+(65-60)*(CD6/Control!$C$90)),0))</f>
        <v>0</v>
      </c>
      <c r="CG6" s="140">
        <f ca="1">IF($BG6+$BM6+$BS6+$BY6+$CE6=1,0,IF(OR(AND($BB6&lt;90,$BB6&gt;=65),$CC6&gt;=Control!$C$90),$BA6,$CK5))</f>
        <v>0</v>
      </c>
      <c r="CH6" s="140">
        <f ca="1">IF($CD6&lt;0,-$CD6,$CG6*IF(OR($G6&lt;Control!$C$92,$G6&gt;Control!$C$95),0,IF(AND($G6&gt;=Control!$C$92,$G6&lt;=Control!$C$93),$G6-Control!$C$92,IF(AND($G6&gt;Control!$C$93,$G6&lt;=Control!$C$94),Control!$C$93-Control!$C$92,IF(AND($G6&gt;Control!$C$94,$G6&lt;=Control!$C$95),(Control!$C$93-Control!$C$92)*(Control!$C$94-$G6)/(Control!$C$95-Control!$C$94))))))</f>
        <v>0</v>
      </c>
      <c r="CI6" s="140">
        <f ca="1">IF($CG6=1,$CI5+$CH6,0)</f>
        <v>0</v>
      </c>
      <c r="CJ6" s="140">
        <f ca="1">IF($CI6&lt;=Control!$C$91,$CI6,Control!$C$91-$CI6)</f>
        <v>0</v>
      </c>
      <c r="CK6" s="140">
        <f ca="1">IF(AND($BB6&gt;=65,$BB6&lt;90),1,IF($CI6&gt;=Control!$C$91,0,$CG6))</f>
        <v>0</v>
      </c>
      <c r="CL6" s="404">
        <f ca="1">IF($CK6=0,0,IF($CI6&lt;=Control!$C$91,$CG6*(65+(90-65)*($CJ6/Control!$C$91)),0))</f>
        <v>0</v>
      </c>
      <c r="CM6" s="140">
        <f ca="1">IF($BG6+$BM6+$BS6+$BY6+$CE6+$CK6=1,0,IF(OR($BB6&gt;=90,$CI6&gt;=Control!$C$91),$BA6,$CM5))</f>
        <v>0</v>
      </c>
      <c r="CN6" s="140">
        <f ca="1">CM6*90</f>
        <v>0</v>
      </c>
      <c r="CO6" s="140">
        <f ca="1">MAX(0.0001,$BF6+$BL6+$BR6+$BX6+$CD6+$CJ6)</f>
        <v>1E-4</v>
      </c>
      <c r="CP6" s="140">
        <f ca="1">BH6+BN6+BT6+BZ6+CF6+CL6+CN6</f>
        <v>21</v>
      </c>
      <c r="CQ6" s="141">
        <f ca="1">VLOOKUP($CP6,Control!$B$86:$G$91,6)</f>
        <v>0.15</v>
      </c>
      <c r="CR6" s="141">
        <f ca="1">(1-$CQ6)*VLOOKUP($CP6,Control!$B$86:$D$91,3)</f>
        <v>0.76500000000000001</v>
      </c>
      <c r="CS6" s="141">
        <f ca="1">(1-$CQ6)*VLOOKUP($CP6,Control!$B$86:$E$91,4)</f>
        <v>8.5000000000000006E-2</v>
      </c>
      <c r="CT6" s="141">
        <f ca="1">(1-$CQ6)*VLOOKUP($CP6,Control!$B$86:$F$91,5)</f>
        <v>0</v>
      </c>
      <c r="CU6" s="141">
        <v>0</v>
      </c>
      <c r="CV6" s="583">
        <v>0</v>
      </c>
      <c r="CW6" s="142">
        <f ca="1">$AG6</f>
        <v>1</v>
      </c>
      <c r="CX6" s="612" t="e">
        <f ca="1">IF(Control!$C$114=1,(MIN(Control!$C$120*(IF($NT6-0.01&lt;0,0,1)),Control!$C$119-$CY6)))</f>
        <v>#N/A</v>
      </c>
      <c r="CY6" s="143">
        <f>Control!$C$74</f>
        <v>400</v>
      </c>
      <c r="CZ6" s="144">
        <f t="shared" ref="CZ6:CZ69" si="17">IF($O6&lt;=3,0,IF(AND($O6&gt;3,$O6&lt;=8),($O6-3)*((1-0)/(8-3)),IF(AND($O6&gt;8,$O6&lt;=30),1,IF(AND($O6&gt;30,$O6&lt;=35),(1+($O6-30)*((0-1)/(35-30))),IF(AND($O6&gt;35,$O6&lt;=40),0)))))</f>
        <v>0.4</v>
      </c>
      <c r="DA6" s="144">
        <f t="shared" ref="DA6:DA69" si="18">IF($CZ6&lt;=0, 0, $O6*0.01)</f>
        <v>0.05</v>
      </c>
      <c r="DB6" s="144">
        <f t="shared" ref="DB6:DB69" ca="1" si="19">$KH6*0.693</f>
        <v>0.69299999999999995</v>
      </c>
      <c r="DC6" s="144">
        <f t="shared" ref="DC6:DC69" ca="1" si="20">IF($AY6&lt;8,MAX(0,0.335-0.067*$DK6)*$CZ6,MAX(0,MIN($DB6,0.867-0.183*$DK6))*$CZ6)</f>
        <v>0.12847250000000002</v>
      </c>
      <c r="DD6" s="144">
        <v>0</v>
      </c>
      <c r="DE6" s="143">
        <f>Control!$C$76+$DD6</f>
        <v>7000</v>
      </c>
      <c r="DF6" s="145">
        <f ca="1">$DR6*EXP(-Control!$C$158*(1-$KH6))</f>
        <v>2.5000000000000001E-3</v>
      </c>
      <c r="DG6" s="146" t="e">
        <f ca="1">IF(Control!$C$114=1, $DF6*$EY6, 0)</f>
        <v>#N/A</v>
      </c>
      <c r="DH6" s="147">
        <v>0</v>
      </c>
      <c r="DI6" s="144">
        <f>Control!$C$75</f>
        <v>0.1</v>
      </c>
      <c r="DJ6" s="147">
        <f ca="1">$EF6*Control!$C$109</f>
        <v>0.10625</v>
      </c>
      <c r="DK6" s="144">
        <f ca="1">$DI6+$DJ6</f>
        <v>0.20624999999999999</v>
      </c>
      <c r="DL6" s="144" t="e">
        <f t="shared" ref="DL6:DL69" ca="1" si="21">$DM6/$AR6</f>
        <v>#DIV/0!</v>
      </c>
      <c r="DM6" s="144">
        <f ca="1">IF(Control!$C$114=1, (1-EXP(-Control!$C$96*$DK6))*$AR6, 0)</f>
        <v>0</v>
      </c>
      <c r="DN6" s="148">
        <v>0</v>
      </c>
      <c r="DO6" s="148">
        <f>Control!$C$97</f>
        <v>4</v>
      </c>
      <c r="DP6" s="145">
        <f ca="1">$DI6/MAX(0.1,$EB6)</f>
        <v>1.3071895424836603E-4</v>
      </c>
      <c r="DQ6" s="145">
        <f ca="1">IF(AND($CP6&gt;=0,$CP6&lt;=90),Control!$C$111,Control!$C$111)</f>
        <v>2.5000000000000001E-3</v>
      </c>
      <c r="DR6" s="145">
        <f t="shared" ref="DR6:DR69" ca="1" si="22">$DQ6</f>
        <v>2.5000000000000001E-3</v>
      </c>
      <c r="DS6" s="143">
        <f ca="1">Control!$B$22/$DR6</f>
        <v>800</v>
      </c>
      <c r="DT6" s="149">
        <f ca="1">IF(AND(Control!$C$114=1,$KH6&lt;1),$IM6*$DF6, 0)</f>
        <v>0</v>
      </c>
      <c r="DU6" s="144">
        <v>0</v>
      </c>
      <c r="DV6" s="144">
        <f ca="1">IF($G6-Control!$C$107&lt;=0, 0, 0.83*LN(MAX($G6, 3))-0.8924)</f>
        <v>0</v>
      </c>
      <c r="DW6" s="144">
        <f t="shared" ref="DW6:DW69" ca="1" si="23">IF(($EN6-0.1)&lt;0,$DV6,(-$DU6))</f>
        <v>0</v>
      </c>
      <c r="DX6" s="150">
        <f ca="1">MAX(0.01*(1+$CU6/Control!$C$102),0.05*($DK6-Control!$C$97)/Control!$C$97)</f>
        <v>0.01</v>
      </c>
      <c r="DY6" s="151" t="e">
        <f ca="1">IF(Control!$C$114=1, $DI6*$FS6, 0)</f>
        <v>#N/A</v>
      </c>
      <c r="DZ6" s="196" t="e">
        <f ca="1">IF($EN6&lt;=0, MIN(($DI6-0.08), $DY6+$DT6), $EN6*$DP6)</f>
        <v>#N/A</v>
      </c>
      <c r="EA6" s="152">
        <f ca="1">$AG6</f>
        <v>1</v>
      </c>
      <c r="EB6" s="153">
        <f ca="1">$FX6*$EC6</f>
        <v>765</v>
      </c>
      <c r="EC6" s="153">
        <f ca="1">Control!$C$98-$EH6</f>
        <v>850</v>
      </c>
      <c r="ED6" s="154" t="e">
        <f ca="1">IF(Control!$C$114=1, $HM6*$FY6-$FD6, 0)</f>
        <v>#N/A</v>
      </c>
      <c r="EE6" s="155" t="e">
        <f ca="1">IF(Control!$C$114=1, $HM6*$FZ6-$FF6, 0)</f>
        <v>#N/A</v>
      </c>
      <c r="EF6" s="153">
        <f ca="1">$FZ6*$EC6</f>
        <v>85</v>
      </c>
      <c r="EG6" s="155" t="e">
        <f ca="1">IF(Control!$C$114=1, $GX6*$FW6-$FI6, 0)</f>
        <v>#N/A</v>
      </c>
      <c r="EH6" s="153">
        <f ca="1">$FU6*Control!$C$98</f>
        <v>150</v>
      </c>
      <c r="EI6" s="156">
        <f ca="1">-$EH6</f>
        <v>-150</v>
      </c>
      <c r="EJ6" s="155" t="e">
        <f ca="1">IF(Control!$C$114=1, $HM6*$GB6, 0)</f>
        <v>#N/A</v>
      </c>
      <c r="EK6" s="153">
        <f ca="1">$GB6*$EC6</f>
        <v>0</v>
      </c>
      <c r="EL6" s="153">
        <f t="shared" ref="EL6:EL69" ca="1" si="24">$EB6+$EF6+$EK6</f>
        <v>850</v>
      </c>
      <c r="EM6" s="153">
        <f t="shared" ref="EM6:EM69" ca="1" si="25">MAX(0,$EB6-$DS6)</f>
        <v>0</v>
      </c>
      <c r="EN6" s="153">
        <f ca="1">IF(Control!$C$108=1,IF(AND(Control!$B$18=1,$EB6&gt;=Control!$B$19),$EB6-$DS6,IF(AND(Control!$B$18=2,$AW6=1,$EB6&gt;$DS6),$EB6-$DS6,0)))</f>
        <v>0</v>
      </c>
      <c r="EO6" s="153">
        <f ca="1">IF(Control!$C$108=1,IF(AND(Control!$B$18=1,$EB6&gt;=Control!$B$19),$EF6,IF(AND(Control!$B$18=2,$AW6=1),$EF6,0)))</f>
        <v>0</v>
      </c>
      <c r="EP6" s="153">
        <f ca="1">IF(Control!$C$108=1,IF(AND(Control!$B$18=1,$EB6&gt;=Control!$B$19),$EK6,IF(AND(Control!$B$18=2,$AW6=1),$EK6,0)))</f>
        <v>0</v>
      </c>
      <c r="EQ6" s="153">
        <f ca="1">$EN6+$EO6+$EP6</f>
        <v>0</v>
      </c>
      <c r="ER6" s="153">
        <v>0</v>
      </c>
      <c r="ES6" s="153">
        <v>0</v>
      </c>
      <c r="ET6" s="153">
        <v>0</v>
      </c>
      <c r="EU6" s="153">
        <f>ER6+ES6+ET6</f>
        <v>0</v>
      </c>
      <c r="EV6" s="153">
        <f ca="1">ER6+EB6</f>
        <v>765</v>
      </c>
      <c r="EW6" s="153">
        <f ca="1">$ER6+MAX(0,$EM6)</f>
        <v>0</v>
      </c>
      <c r="EX6" s="153">
        <f t="shared" ref="EX6:EX69" ca="1" si="26">$ER6+$EC6</f>
        <v>850</v>
      </c>
      <c r="EY6" s="157" t="e">
        <f ca="1">$GX6*$FY6*(1-$FW6)</f>
        <v>#N/A</v>
      </c>
      <c r="EZ6" s="154" t="e">
        <f t="shared" ref="EZ6:EZ69" ca="1" si="27">$EY6-$FD6</f>
        <v>#N/A</v>
      </c>
      <c r="FA6" s="153">
        <f>Control!$C$77</f>
        <v>200</v>
      </c>
      <c r="FB6" s="153">
        <f t="shared" ref="FB6:FB69" ca="1" si="28">$ER6+$EC6</f>
        <v>850</v>
      </c>
      <c r="FC6" s="193">
        <f t="shared" ref="FC6:FC69" ca="1" si="29">$EB6+$FM6</f>
        <v>765</v>
      </c>
      <c r="FD6" s="158" t="e">
        <f ca="1">IF($EN6&lt;=0, MIN(($DI6-0.08)/$DF6, $HY6+$IM6), $EN6)</f>
        <v>#N/A</v>
      </c>
      <c r="FE6" s="158">
        <f ca="1">IF(AND($CP6&gt;=0, $CP6&lt;=90),0,0)</f>
        <v>0</v>
      </c>
      <c r="FF6" s="159">
        <f t="shared" ref="FF6:FF69" ca="1" si="30">$EF6*$FE6</f>
        <v>0</v>
      </c>
      <c r="FG6" s="160">
        <v>0</v>
      </c>
      <c r="FH6" s="158">
        <f ca="1">IF(AND($CP6&gt;=0, $CP6&lt;=90), 0,0)</f>
        <v>0</v>
      </c>
      <c r="FI6" s="159">
        <f t="shared" ref="FI6:FI69" ca="1" si="31">$FH6*$EH6</f>
        <v>0</v>
      </c>
      <c r="FJ6" s="160">
        <v>0</v>
      </c>
      <c r="FK6" s="160">
        <f t="shared" ref="FK6:FK69" ca="1" si="32">$EI6-$FG6</f>
        <v>-150</v>
      </c>
      <c r="FL6" s="160">
        <v>0</v>
      </c>
      <c r="FM6" s="160">
        <f t="shared" ref="FM6:FM69" si="33">$FL6-$ER6</f>
        <v>0</v>
      </c>
      <c r="FN6" s="158">
        <f ca="1">IF(AND($G6&lt;=50,$G6&gt;=30),(0.05+($G6-30)*((0.09-0.05)/(50-30))),IF(AND($G6&lt;30,$G6&gt;=15),(0.02+($G6-15)*((0.05-0.02)/(30-15))),IF(AND($G6&lt;15,$G6&gt;=10),(0.01+($G6-10)*((0.02-0.01)/(15-10))),IF(AND($G6&lt;10,$G6&gt;=-10),($G6+10)*((0.02-0)/(10+10)),IF($G6=-10,0)))))</f>
        <v>0.01</v>
      </c>
      <c r="FO6" s="160">
        <f>Control!$C$101</f>
        <v>50</v>
      </c>
      <c r="FP6" s="150">
        <f t="shared" ref="FP6:FP69" ca="1" si="34">IF($CP6&lt;$FO6, 0, $FN6)</f>
        <v>0</v>
      </c>
      <c r="FQ6" s="150">
        <f ca="1">MAX(0,(Control!$C$112*(($DK6-Control!$C$97)/Control!$C$97)))</f>
        <v>0</v>
      </c>
      <c r="FR6" s="150" t="e">
        <f ca="1">(1-$NT6)*Control!$C$113</f>
        <v>#N/A</v>
      </c>
      <c r="FS6" s="198" t="e">
        <f t="shared" ref="FS6:FS69" ca="1" si="35">MAX($FP6,$FQ6,$FR6)</f>
        <v>#N/A</v>
      </c>
      <c r="FT6" s="161">
        <f ca="1">$AG6</f>
        <v>1</v>
      </c>
      <c r="FU6" s="162">
        <f ca="1">IF(Control!$B$34=1,VLOOKUP($CP6,Control!$B$86:$G$91,6),Control!$B$35)</f>
        <v>0.15</v>
      </c>
      <c r="FV6" s="162" t="e">
        <f t="shared" ref="FV6:FV69" ca="1" si="36">IF(AND($NT6&lt;=0,$NT6&gt;=-1),1.6,IF(AND($NT6&lt;1,$NT6&gt;=1.2),1,(1.6+($NT6)*((1-1.6)/(1-0)))))</f>
        <v>#N/A</v>
      </c>
      <c r="FW6" s="162" t="e">
        <f ca="1">IF(Control!$B$31=1,$FU6*$FV6,  $FU6)</f>
        <v>#N/A</v>
      </c>
      <c r="FX6" s="162">
        <f ca="1">IF(Control!$B$34=1,VLOOKUP($CP6,Control!$B$86:$G$91,3),Control!$B$36)</f>
        <v>0.9</v>
      </c>
      <c r="FY6" s="162">
        <f t="shared" ref="FY6:FY69" ca="1" si="37">$FX6</f>
        <v>0.9</v>
      </c>
      <c r="FZ6" s="162">
        <f ca="1">IF(Control!$B$34=1,VLOOKUP($CP6,Control!$B$86:$G$91,4),Control!$B$37)</f>
        <v>0.1</v>
      </c>
      <c r="GA6" s="162">
        <f t="shared" ref="GA6:GA69" ca="1" si="38">$FZ6</f>
        <v>0.1</v>
      </c>
      <c r="GB6" s="162">
        <f ca="1">IF(Control!$B$34=1,VLOOKUP($CP6,Control!$B$86:$G$91,5),Control!$B$38)</f>
        <v>0</v>
      </c>
      <c r="GC6" s="162">
        <f ca="1">$GB6</f>
        <v>0</v>
      </c>
      <c r="GD6" s="162">
        <f t="shared" ref="GD6:GD69" ca="1" si="39">IF(AND(0&lt;=$LI6, $LI6&lt;=18), 1, 0.5)</f>
        <v>1</v>
      </c>
      <c r="GE6" s="162">
        <f t="shared" ref="GE6:GE69" ca="1" si="40">$GD6</f>
        <v>1</v>
      </c>
      <c r="GF6" s="162">
        <f ca="1">IF(AND(Control!$C$104=1, Control!$C$62="F"),$GE6,1)</f>
        <v>1</v>
      </c>
      <c r="GG6" s="162" t="e">
        <f ca="1">IF(Control!$B$16=40,0,IF(AND(Control!$B$16&gt;40,Control!$B$16&lt;=360),(Control!$B$16-40)*((1-0)/(360-40)),IF(AND(Control!$B$16&gt;360,Control!$B$16&lt;=720),(1+(Control!$B$16-360)*((1.25-1)/(720-360))),IF(AND(Control!$B$16&gt;720,Control!$B$16&lt;=1000),(1.25+(Control!$B$16-720)*((1.35-1.25)/(1000-720))),IF(AND(Control!$B$16&gt;1000,Control!$B$16&lt;=2000),(1.35+(Control!$B$16-1000)*0))))))</f>
        <v>#N/A</v>
      </c>
      <c r="GH6" s="162" t="e">
        <f t="shared" ref="GH6:GH69" ca="1" si="41">$GG6</f>
        <v>#N/A</v>
      </c>
      <c r="GI6" s="162">
        <f ca="1">IF($E6&lt;=0,0,IF(AND($E6&gt;=3,$E6&lt;=30),1,(($E6-0)*((1-0)/(3-0)))))</f>
        <v>0</v>
      </c>
      <c r="GJ6" s="162">
        <f t="shared" ref="GJ6:GJ69" ca="1" si="42">$CZ6*$GI6</f>
        <v>0</v>
      </c>
      <c r="GK6" s="162">
        <f ca="1">IF(AND($AR6&gt;=0,$AR6&lt;=10),1,IF(AND($AR6&gt;=40,$AR6&lt;=42),0.33,((1+($AR6-10)*((0.33-1)/(40-10))))))</f>
        <v>1</v>
      </c>
      <c r="GL6" s="162">
        <f t="shared" ref="GL6:GL69" ca="1" si="43">$GK6</f>
        <v>1</v>
      </c>
      <c r="GM6" s="162">
        <f ca="1">MAX(0,MIN(1,1-Control!$C$156*(1.0001-$KH6)^2))</f>
        <v>0.99999998899999998</v>
      </c>
      <c r="GN6" s="162">
        <f ca="1">IF(Control!$B$26=1,$KU6,$KX6)</f>
        <v>1</v>
      </c>
      <c r="GO6" s="162">
        <f ca="1">IF($CP6&lt;=60,Control!$C$105,IF($CP6&gt;=90,Control!$C$106,Control!$C$105+($CP6-60)*((Control!$C$106-Control!$C$105)/(90-60))))</f>
        <v>3</v>
      </c>
      <c r="GP6" s="162" t="e">
        <f ca="1">$GJ6*$GH6*$GL6</f>
        <v>#N/A</v>
      </c>
      <c r="GQ6" s="162" t="e">
        <f ca="1">GN6*GO6*GP6</f>
        <v>#N/A</v>
      </c>
      <c r="GR6" s="163" t="e">
        <f t="shared" ref="GR6:GR69" ca="1" si="44">IF(AND($NT6&lt;=$GM6,$EN6=0),10*$GP6*$GO6*$DM6*$NT6,IF(AND($NT6&gt;$GM6,$EN6=0),10*$GP6*$GO6*$DM6*$GM6,0))</f>
        <v>#N/A</v>
      </c>
      <c r="GS6" s="162" t="e">
        <f t="shared" ref="GS6:GS69" ca="1" si="45">$GR6+$FA6</f>
        <v>#N/A</v>
      </c>
      <c r="GT6" s="164">
        <f ca="1">($DE6*10000*($DV6*0.31))*0.00000001</f>
        <v>0</v>
      </c>
      <c r="GU6" s="162">
        <f ca="1">IF($EN6&lt;=0,$GT6*(1/$DF6),0)</f>
        <v>0</v>
      </c>
      <c r="GV6" s="162" t="e">
        <f t="shared" ref="GV6:GV69" ca="1" si="46">IF($EN6&lt;=0,$GT6*(1/$DF6)*(1/$FY6)*(1/(1-$FW6)),0)</f>
        <v>#N/A</v>
      </c>
      <c r="GW6" s="162" t="e">
        <f ca="1">IF($GS6-$GU6&lt;=0,0,$GS6-$GV6)</f>
        <v>#N/A</v>
      </c>
      <c r="GX6" s="162" t="e">
        <f ca="1">IF($GS6-$GV6&lt;=0, $GS6, $GV6)</f>
        <v>#N/A</v>
      </c>
      <c r="GY6" s="162" t="e">
        <f ca="1">IF($GS6-$GU6&lt;=0, $GS6, $GU6)</f>
        <v>#N/A</v>
      </c>
      <c r="GZ6" s="165">
        <f ca="1">$EF6+$EB6</f>
        <v>850</v>
      </c>
      <c r="HA6" s="162" t="e">
        <f ca="1">IF(Control!$C$114=1, $DI6*$FS6, 0)</f>
        <v>#N/A</v>
      </c>
      <c r="HB6" s="162">
        <f>$FA6/Control!$C$64</f>
        <v>200</v>
      </c>
      <c r="HC6" s="162" t="e">
        <f ca="1">$GW6-$HB6</f>
        <v>#N/A</v>
      </c>
      <c r="HD6" s="162">
        <f ca="1">-ASIN(SIN(23.45*Control!$C$139)*COS(2*Control!$C$138*($AH6+10)/365))</f>
        <v>-0.40154006071503617</v>
      </c>
      <c r="HE6" s="165">
        <f ca="1">$V6</f>
        <v>0</v>
      </c>
      <c r="HF6" s="166">
        <f ca="1">IF(AND(Control!$C$61="T",$HE6&gt;=Control!$C$103,Control!$C$114=0),$AH6,Control!$C$59)</f>
        <v>1</v>
      </c>
      <c r="HG6" s="166">
        <f ca="1">IF(AND(Control!$C$61="T",$HE6&gt;=Control!$C$103,Control!$C$114=0),$HF6,Control!$C$59)</f>
        <v>1</v>
      </c>
      <c r="HH6" s="165">
        <f ca="1">IF(AND(OR(Control!$C$60&lt;=0, $AH6= Control!$C$59, Control!$C$60 &gt;0, $AH6 = Control!$C$60)), Control!$C$59, IF(Control!$C$60&gt;0, 0))</f>
        <v>1</v>
      </c>
      <c r="HI6" s="165">
        <f ca="1">IF(AND(OR(Control!$C$60&lt;=0, $AH6= Control!$C$59, Control!$C$60 &gt;0, $AH6 = Control!$C$60)), Control!$C$60, IF(Control!$C$60&lt;=0, 0))</f>
        <v>0</v>
      </c>
      <c r="HJ6" s="166">
        <f>IF(AND(Control!$C$62="F",$CV6&gt;=Control!$C$102),$AH6,0)</f>
        <v>0</v>
      </c>
      <c r="HK6" s="165">
        <f ca="1">$ER6+$EB6+$FM6+$ES6+$EF6+$EK6+$EH6</f>
        <v>1000</v>
      </c>
      <c r="HL6" s="166">
        <f ca="1">IF(AND(Control!$C$61="T",$HE6&gt;=Control!$C$103,Control!$C$114=0),$HF6,0)</f>
        <v>0</v>
      </c>
      <c r="HM6" s="201" t="e">
        <f t="shared" ref="HM6:HM69" ca="1" si="47">$GX6*(1-$FW6)</f>
        <v>#N/A</v>
      </c>
      <c r="HN6" s="215">
        <f ca="1">$CW6</f>
        <v>1</v>
      </c>
      <c r="HO6" s="216">
        <f ca="1">IF(AND($CP6&gt;=0, $CP6&lt;=90), Control!$C$152, Control!$C$152)</f>
        <v>3.5000000000000003E-2</v>
      </c>
      <c r="HP6" s="216">
        <f t="shared" ref="HP6:HP69" ca="1" si="48">$HO6</f>
        <v>3.5000000000000003E-2</v>
      </c>
      <c r="HQ6" s="217">
        <f ca="1">IF(OR(Control!$B$26=1,Control!$B$26=2),$KV6,$KS6)</f>
        <v>4.1980489912795349E-2</v>
      </c>
      <c r="HR6" s="218">
        <f>IF(OR(Control!$B$26=1,Control!$B$26=2),$KW6,$KP6)</f>
        <v>200</v>
      </c>
      <c r="HS6" s="216">
        <f ca="1">Control!$C$154*$HP6</f>
        <v>1.7500000000000002E-2</v>
      </c>
      <c r="HT6" s="216">
        <f ca="1">Control!$C$155*$HP6</f>
        <v>1.7500000000000002E-2</v>
      </c>
      <c r="HU6" s="217">
        <f ca="1">Control!$C$161*$FI6</f>
        <v>0</v>
      </c>
      <c r="HV6" s="218">
        <v>0</v>
      </c>
      <c r="HW6" s="218">
        <f ca="1">Control!$C$160*$FF6+$IP6*$EO6</f>
        <v>0</v>
      </c>
      <c r="HX6" s="218">
        <v>0</v>
      </c>
      <c r="HY6" s="219" t="e">
        <f ca="1">IF(Control!$C$114=1, $EB6*$FS6, 0)</f>
        <v>#N/A</v>
      </c>
      <c r="HZ6" s="91">
        <f t="shared" ref="HZ6:HZ69" si="49">$KA6</f>
        <v>0</v>
      </c>
      <c r="IA6" s="220">
        <f ca="1">Control!$C$153*$HO6</f>
        <v>3.5000000000000003E-2</v>
      </c>
      <c r="IB6" s="218">
        <f t="shared" ref="IB6:IB69" ca="1" si="50">$IA6*$EB6</f>
        <v>26.775000000000002</v>
      </c>
      <c r="IC6" s="220">
        <f ca="1">Control!$C$153*$HT6</f>
        <v>1.7500000000000002E-2</v>
      </c>
      <c r="ID6" s="218">
        <f t="shared" ref="ID6:ID69" ca="1" si="51">$IC6*$EF6</f>
        <v>1.4875</v>
      </c>
      <c r="IE6" s="221">
        <f ca="1">($EB6*Control!$C$159+$EF6*Control!$C$160)/(IF($GZ6&lt;&gt;0,$GZ6,1))</f>
        <v>9.5000000000000015E-3</v>
      </c>
      <c r="IF6" s="216">
        <f t="shared" ref="IF6:IF69" ca="1" si="52">($IB6+$ID6)/IF($GZ6&lt;&gt;0, $GZ6,1)</f>
        <v>3.3250000000000002E-2</v>
      </c>
      <c r="IG6" s="91">
        <f ca="1">IF(OR(Control!$B$198=$AH6,Control!$B$199=$AH6, Control!$B$200=$AH6, Control!$B$201=$AH6, Control!$B$202=$AH6, Control!$B$203=$AH6, Control!$B$204=$AH6, Control!$B$205=$AH6, Control!$B$206=$AH6, Control!$B$207=$AH6), 1, 0)</f>
        <v>0</v>
      </c>
      <c r="IH6" s="91">
        <f ca="1">IF($IG6=0,0, VLOOKUP($AH6,Control!$B$198:$C$207,2))</f>
        <v>0</v>
      </c>
      <c r="II6" s="222">
        <f ca="1">$IH6</f>
        <v>0</v>
      </c>
      <c r="IJ6" s="91">
        <f>Control!$C$121</f>
        <v>0.7</v>
      </c>
      <c r="IK6" s="218">
        <f t="shared" ref="IK6:IK69" ca="1" si="53">$IH6*$IJ6</f>
        <v>0</v>
      </c>
      <c r="IL6" s="217">
        <f ca="1">$HT6*$EF6</f>
        <v>1.4875</v>
      </c>
      <c r="IM6" s="223">
        <f ca="1">IF(AND(Control!$C$114=1,$KH6&lt;1),$EB6*Control!$C$148*(1-$KH6), 0)</f>
        <v>0</v>
      </c>
      <c r="IN6" s="217" t="e">
        <f t="shared" ref="IN6:IN69" ca="1" si="54">MIN($NT6, $KH6)</f>
        <v>#N/A</v>
      </c>
      <c r="IO6" s="91">
        <f ca="1">MAX(0,$IL6-$EF6*Control!$C$160)</f>
        <v>1.0625</v>
      </c>
      <c r="IP6" s="220">
        <f t="shared" ref="IP6:IP69" ca="1" si="55">$IL6/IF($EF6&lt;&gt;0, $EF6, 1)</f>
        <v>1.7500000000000002E-2</v>
      </c>
      <c r="IQ6" s="217">
        <f ca="1">$HP6*$EB6</f>
        <v>26.775000000000002</v>
      </c>
      <c r="IR6" s="218">
        <f t="shared" ref="IR6:IR69" ca="1" si="56">$IQ6+$IL6</f>
        <v>28.262500000000003</v>
      </c>
      <c r="IS6" s="217" t="e">
        <f ca="1">Control!$C$159*MAX(0,$FD6-$EN6)</f>
        <v>#N/A</v>
      </c>
      <c r="IT6" s="217">
        <v>0</v>
      </c>
      <c r="IU6" s="217">
        <f ca="1">$KG6*$EN6</f>
        <v>0</v>
      </c>
      <c r="IV6" s="217">
        <v>0</v>
      </c>
      <c r="IW6" s="217">
        <f ca="1">IF(OR($AW6=1,AND($AW6=0, Control!$B$18=1,$EN6&lt;&gt;0)), $IQ6-$IU6, $IQ6)</f>
        <v>26.775000000000002</v>
      </c>
      <c r="IX6" s="218">
        <f t="shared" ref="IX6:IX69" si="57">$HX6+$HV6+$IV6</f>
        <v>0</v>
      </c>
      <c r="IY6" s="218">
        <f ca="1">MAX(0,$IQ6-$EB6*Control!$C$159)</f>
        <v>19.125</v>
      </c>
      <c r="IZ6" s="218">
        <f t="shared" ref="IZ6:IZ69" ca="1" si="58">MAX($HO6*$EB6-$IQ6,0)</f>
        <v>0</v>
      </c>
      <c r="JA6" s="216">
        <f t="shared" ref="JA6:JA69" ca="1" si="59">$IQ6/IF($EB6&lt;&gt;0, $EB6, 1)</f>
        <v>3.5000000000000003E-2</v>
      </c>
      <c r="JB6" s="217">
        <f t="shared" ref="JB6:JB69" ca="1" si="60">MAX($HT6*$EF6-$IL6, 0)</f>
        <v>0</v>
      </c>
      <c r="JC6" s="222">
        <f ca="1">MAX(Control!$C$157*$EK6-$JT6, 0)/Control!$C$162</f>
        <v>0</v>
      </c>
      <c r="JD6" s="218">
        <f t="shared" ref="JD6:JD69" ca="1" si="61">$JT6/IF($EK6&lt;&gt;0, $EK6, 1)</f>
        <v>0</v>
      </c>
      <c r="JE6" s="218">
        <f t="shared" ref="JE6:JE69" ca="1" si="62">$IQ6+$IL6+$JT6</f>
        <v>28.262500000000003</v>
      </c>
      <c r="JF6" s="218">
        <f ca="1">$HS6*$EH6</f>
        <v>2.6250000000000004</v>
      </c>
      <c r="JG6" s="218">
        <f t="shared" ref="JG6:JG69" ca="1" si="63">MAX($HS6*$EH6-$JF6, 0)</f>
        <v>0</v>
      </c>
      <c r="JH6" s="217" t="e">
        <f ca="1">$IS6</f>
        <v>#N/A</v>
      </c>
      <c r="JI6" s="217" t="e">
        <f ca="1">MAX(0, $IZ6+$JB6+$JG6-JH6)</f>
        <v>#N/A</v>
      </c>
      <c r="JJ6" s="217">
        <f>IF(OR(Control!$B$26=1,2),Control!$C$124,Control!$C$124+$KS6)</f>
        <v>75</v>
      </c>
      <c r="JK6" s="217" t="e">
        <f ca="1">IF(Control!$C$114=1,IF(Control!$B$24=0,MAX(0,$JI6)*$GN6/Control!$C$64,(MAX(0,MIN($JI6,$JJ6*$GN6/Control!$C$64),0))))</f>
        <v>#N/A</v>
      </c>
      <c r="JL6" s="217" t="e">
        <f ca="1">$IK6/Control!$C$64-$JK6+$HQ6</f>
        <v>#N/A</v>
      </c>
      <c r="JM6" s="217" t="e">
        <f ca="1">IF(Control!$C$114=1,($JB6/(IF($JI6&lt;&gt;0,$JI6,1)))*$JK6,0)</f>
        <v>#N/A</v>
      </c>
      <c r="JN6" s="217" t="e">
        <f ca="1">IF(Control!$C$114=1,($JG6/(IF($JI6&lt;&gt;0,$JI6,1)))*$JK6, 0)</f>
        <v>#N/A</v>
      </c>
      <c r="JO6" s="218">
        <f t="shared" ref="JO6:JO69" ca="1" si="64">$IQ6+$IL6+$JF6+$JT6</f>
        <v>30.887500000000003</v>
      </c>
      <c r="JP6" s="218">
        <f ca="1">MIN(($IY6+$IO6)*Control!$C$151, $JF6-$EH6*Control!$C$161)</f>
        <v>1.8750000000000004</v>
      </c>
      <c r="JQ6" s="218">
        <f t="shared" ref="JQ6:JQ69" ca="1" si="65">$JP6+$IO6+$IY6</f>
        <v>22.0625</v>
      </c>
      <c r="JR6" s="217">
        <f ca="1">IF($CP6-Control!$C$150&lt;0, 0, $JQ6/Control!$C$162)</f>
        <v>0</v>
      </c>
      <c r="JS6" s="218">
        <f t="shared" ref="JS6:JS69" ca="1" si="66">MIN($JC6,$JR6)</f>
        <v>0</v>
      </c>
      <c r="JT6" s="218">
        <f ca="1">Control!$C$157*$EK6</f>
        <v>0</v>
      </c>
      <c r="JU6" s="218">
        <f t="shared" ref="JU6:JU69" ca="1" si="67">$JS6*$JP6/(IF($JQ6&lt;&gt;0,$JQ6,1))</f>
        <v>0</v>
      </c>
      <c r="JV6" s="218" t="e">
        <f t="shared" ref="JV6:JV69" ca="1" si="68">$JN6-$JU6-$HU6</f>
        <v>#N/A</v>
      </c>
      <c r="JW6" s="216">
        <f t="shared" ref="JW6:JW69" ca="1" si="69">$JF6/IF($EH6&lt;&gt;0, $EH6, 1)</f>
        <v>1.7500000000000002E-2</v>
      </c>
      <c r="JX6" s="91">
        <f t="shared" ref="JX6:JX69" ca="1" si="70">$JE6/(IF($EL6&lt;&gt;0,$EL6,1))</f>
        <v>3.3250000000000002E-2</v>
      </c>
      <c r="JY6" s="218">
        <f t="shared" ref="JY6:JY69" ca="1" si="71">$JF6+$HV6</f>
        <v>2.6250000000000004</v>
      </c>
      <c r="JZ6" s="217" t="e">
        <f ca="1">IF(Control!$C$114=1,($IZ6/(IF($JI6&lt;&gt;0,$JI6,1)))*$JK6, 0)</f>
        <v>#N/A</v>
      </c>
      <c r="KA6" s="91">
        <v>0</v>
      </c>
      <c r="KB6" s="218">
        <f ca="1">$IV6+$IW6+$HX6+$IL6+$JF6</f>
        <v>30.887500000000003</v>
      </c>
      <c r="KC6" s="218">
        <f t="shared" ref="KC6:KC69" ca="1" si="72">$JS6*$IO6/(IF($JQ6&lt;&gt;0,$JQ6,1))</f>
        <v>0</v>
      </c>
      <c r="KD6" s="218" t="e">
        <f t="shared" ref="KD6:KD69" ca="1" si="73">$JM6-$KC6-$HW6</f>
        <v>#N/A</v>
      </c>
      <c r="KE6" s="218">
        <f t="shared" ref="KE6:KE69" ca="1" si="74">$JS6*$IY6/(IF($JQ6&lt;&gt;0,$JQ6,1))</f>
        <v>0</v>
      </c>
      <c r="KF6" s="218" t="e">
        <f t="shared" ref="KF6:KF69" ca="1" si="75">$JZ6-$KE6-$IU6</f>
        <v>#N/A</v>
      </c>
      <c r="KG6" s="216">
        <f t="shared" ref="KG6:KG69" ca="1" si="76">$IR6/IF($GZ6&lt;&gt;0, $GZ6, 1)</f>
        <v>3.3250000000000002E-2</v>
      </c>
      <c r="KH6" s="221">
        <f ca="1">IF(Control!$B$24=0,1,MAX(0.001,MIN(1,IF(($IF6-$IE6)&lt;&gt;0,($KG6-$IE6)/($IF6-$IE6),1))))</f>
        <v>1</v>
      </c>
      <c r="KI6" s="218">
        <v>0</v>
      </c>
      <c r="KJ6" s="217">
        <f t="shared" ref="KJ6:KJ69" ca="1" si="77">IF($AH6&gt;$HF6, $KI6/($AH6-$HF6), $KI6/($AH6+365-$HF6))</f>
        <v>0</v>
      </c>
      <c r="KK6" s="218">
        <f t="shared" ref="KK6:KK69" ca="1" si="78">$KA6+ ($IQ6+$IL6+$JF6+$JT6)-($IQ6+$IL6+$JF6+$JT6+$IV6+$HV6+$HX6)</f>
        <v>0</v>
      </c>
      <c r="KL6" s="274">
        <f ca="1">IF(Control!$B$26=3,4000000000*EXP(-8400/($G6+273)),IF(Control!$B$26=4,4000000000*EXP(-8400/($G6+273))*($KT6),0))</f>
        <v>7.4332043186993579E-5</v>
      </c>
      <c r="KM6" s="274">
        <f ca="1">IF(Control!$B$26=3,5600000000000*EXP(-9800/($G6+273)),IF(Control!$B$26=4,5600000000000*EXP(-9800/($G6+273))*$KT6,0))</f>
        <v>6.1681214587484465E-4</v>
      </c>
      <c r="KN6" s="454">
        <f>Control!$C$122</f>
        <v>150</v>
      </c>
      <c r="KO6" s="274">
        <f>Control!$C$123</f>
        <v>50</v>
      </c>
      <c r="KP6" s="454">
        <f t="shared" ref="KP6:KP69" si="79">$KO6+$KN6</f>
        <v>200</v>
      </c>
      <c r="KQ6" s="454">
        <f t="shared" ref="KQ6:KQ69" ca="1" si="80">$KN6-$KN7</f>
        <v>1.1149392094353061E-2</v>
      </c>
      <c r="KR6" s="454">
        <f t="shared" ref="KR6:KR69" ca="1" si="81">$KO6-$KO7</f>
        <v>3.0831097818442288E-2</v>
      </c>
      <c r="KS6" s="454">
        <f t="shared" ref="KS6:KS69" ca="1" si="82">$KQ6+$KR6</f>
        <v>4.1980489912795349E-2</v>
      </c>
      <c r="KT6" s="455">
        <f t="shared" ref="KT6:KT69" si="83">$MV6/$OO6</f>
        <v>0.42857142857142855</v>
      </c>
      <c r="KU6" s="456" t="e">
        <f ca="1">IF($CP6-Control!$C$149&lt;0, IF($NT6-0.01&lt;0,0,1),0)</f>
        <v>#N/A</v>
      </c>
      <c r="KV6" s="456">
        <f ca="1">IF(Control!$C$114=1,MAX(0,MIN(Control!$C$125*$KW6*$GN6,$KW6)))</f>
        <v>1.875</v>
      </c>
      <c r="KW6" s="456">
        <f>Control!$C$124</f>
        <v>75</v>
      </c>
      <c r="KX6" s="457">
        <f ca="1">IF($CP6-Control!$C$149&lt;0, IF($MR6-$OM6&lt;0,0,1),0)</f>
        <v>1</v>
      </c>
      <c r="KY6" s="167">
        <f ca="1">$AG6</f>
        <v>1</v>
      </c>
      <c r="KZ6" s="168">
        <f ca="1">1370*(1+0.033*COS(2*Control!$C$138*$AH6/365))</f>
        <v>1415.2033016193175</v>
      </c>
      <c r="LA6" s="169">
        <f ca="1">1+0.033*COS((2*PI()/365)*$AH6)</f>
        <v>1.0329951106939008</v>
      </c>
      <c r="LB6" s="169">
        <f ca="1">0.409*SIN((2*PI()*$AH6/365)-1.39)</f>
        <v>-0.40100809259462372</v>
      </c>
      <c r="LC6" s="169">
        <f ca="1">ACOS(-TAN((2*Control!$B$8/360))*TAN(Calculations!$LB6))</f>
        <v>1.4444516718890457</v>
      </c>
      <c r="LD6" s="169">
        <f ca="1">((24*60)/PI())*0.082*$LA6*(($LC6*SIN(Control!$B$8*2*PI()/360))*SIN($LB6)+COS(Control!$B$8*2*PI()/360)*COS($LB6)*SIN($LC6))</f>
        <v>4.5811877567022963</v>
      </c>
      <c r="LE6" s="170">
        <f t="shared" ref="LE6:LE69" ca="1" si="84">(MAX(0.0001,$KZ6*$LJ6))/1000000</f>
        <v>6.2328125082526835</v>
      </c>
      <c r="LF6" s="170">
        <f ca="1">SIN(Control!$C$139*Control!$B$8)*SIN($HD6)</f>
        <v>-0.30798377296936907</v>
      </c>
      <c r="LG6" s="170">
        <f ca="1">COS(Control!$C$139*Control!$B$8)*COS($HD6)</f>
        <v>0.56669032937419084</v>
      </c>
      <c r="LH6" s="170">
        <f ca="1">12*(1+2*ASIN(MAX(-1,MIN(1,$LF6/$LG6))/Control!$C$138))</f>
        <v>7.8271503124576887</v>
      </c>
      <c r="LI6" s="170">
        <f ca="1">12*(1+2*ASIN(MAX(-1,MIN(1,(-SIN(-4*Control!$C$139)+$LF6)/$LG6))/Control!$C$138))</f>
        <v>8.7788538690294757</v>
      </c>
      <c r="LJ6" s="168">
        <f ca="1">3600*($LH6*$LF6+24*$LG6*SQRT(1-$LK6*$LK6)/Control!$C$138)</f>
        <v>4404.1817180054022</v>
      </c>
      <c r="LK6" s="170">
        <f t="shared" ref="LK6:LK69" ca="1" si="85">MAX(-1,MIN(1,$LF6/$LG6))</f>
        <v>-0.54347808142320453</v>
      </c>
      <c r="LL6" s="170">
        <f t="shared" ref="LL6:LL69" ca="1" si="86">$AQ6/$LE6</f>
        <v>0</v>
      </c>
      <c r="LM6" s="171">
        <f ca="1">Control!$C$145*$AB6</f>
        <v>6.6660906138995932E-2</v>
      </c>
      <c r="LN6" s="170">
        <f ca="1">0.54+0.35*MAX(0,MIN(1,$F6-12)/4)</f>
        <v>0.54</v>
      </c>
      <c r="LO6" s="170">
        <f t="shared" ref="LO6:LO69" ca="1" si="87">MAX(0,MIN(1,($LL6-0.2)/0.56))</f>
        <v>0</v>
      </c>
      <c r="LP6" s="170">
        <f ca="1">Control!$C$140*((($D6+273.16)^4+($E6+273.16)^4)/2)*(0.34-0.14*SQRT($Y6))*(1.35*$AQ6/(0.75*$LD6)-0.35)</f>
        <v>-3.2464704755046001</v>
      </c>
      <c r="LQ6" s="170">
        <f ca="1">Control!$C$140*($G6+273)^4*(0.56-0.079*SQRT($Y6*10))*(0.1+0.9*$LO6)</f>
        <v>1.5241745131704001</v>
      </c>
      <c r="LR6" s="170">
        <f ca="1">$AQ6*(1-Control!$C$142)-$LQ6</f>
        <v>-1.5241745131704001</v>
      </c>
      <c r="LS6" s="170">
        <f ca="1">$AQ6*(1-Control!$C$143)-$LQ6</f>
        <v>-1.5241745131704001</v>
      </c>
      <c r="LT6" s="170">
        <f ca="1">$AQ6*(1-Control!$C$144)-$LQ6</f>
        <v>-1.5241745131704001</v>
      </c>
      <c r="LU6" s="169">
        <f ca="1">(1-Control!$C$144)*AQ6-LP6</f>
        <v>3.2464704755046001</v>
      </c>
      <c r="LV6" s="172">
        <f t="shared" ref="LV6:LV69" ca="1" si="88">10*0.26*($X6-$Y6)*(0.5+$LN6*$J6)</f>
        <v>0.79430000000000012</v>
      </c>
      <c r="LW6" s="170">
        <f t="shared" ref="LW6:LW69" ca="1" si="89">10*0.26*($X6-$Y6)*(1+$LN6*$J6)</f>
        <v>1.5886000000000002</v>
      </c>
      <c r="LX6" s="170">
        <f ca="1">($AC6*($LR6/Control!$C$141)+$LM6*$LV6)/($AC6+$LM6)</f>
        <v>0.23530094218323697</v>
      </c>
      <c r="LY6" s="170">
        <f ca="1">($AC6*($LS6/Control!$C$141)+$LM6*$LV6)/($AC6+$LM6)</f>
        <v>0.23530094218323697</v>
      </c>
      <c r="LZ6" s="170">
        <f t="shared" ref="LZ6:LZ69" ca="1" si="90">MAX(0,$LX6)</f>
        <v>0.23530094218323697</v>
      </c>
      <c r="MA6" s="170">
        <f t="shared" ref="MA6:MA69" ca="1" si="91">MAX(0,$LY6)</f>
        <v>0.23530094218323697</v>
      </c>
      <c r="MB6" s="170" t="e">
        <f t="shared" ref="MB6:MB69" ca="1" si="92" xml:space="preserve"> $MA6*(1-$DL6)</f>
        <v>#DIV/0!</v>
      </c>
      <c r="MC6" s="170">
        <f ca="1">$AA6-$Y6</f>
        <v>0.6018</v>
      </c>
      <c r="MD6" s="170">
        <f t="shared" ref="MD6:MD69" ca="1" si="93">(0.408*AD6*$LU6+$LM6*(900/($G6+273)*$J6*$MC6))/($AD6+$LM6*(1+0.34*$J6))</f>
        <v>0.52989392535414004</v>
      </c>
      <c r="ME6" s="170">
        <f ca="1">($AC6*($LT6/Control!$C$141)+$LM6*$LW6)/($AC6+$LM6)</f>
        <v>0.71612369323045078</v>
      </c>
      <c r="MF6" s="170" t="e">
        <f ca="1">IF(Control!$B$16&gt;=1000,0.92,IF(AND(720&lt;=Control!$B$16,1000&gt;Control!$B$16),(0.95+(Control!$B$16-720)*((0.92-0.95)/(1000-720))),IF(AND(360&lt;=Control!$B$16,720&gt;Control!$B$16),(1+(Control!$B$16-360)*((0.95-1)/(720-360))),IF(AND(40&lt;=Control!$B$16,360&gt;Control!$B$16),(1.05+(Control!$B$16-40)*((1.05-1)/(360-40)))))))</f>
        <v>#N/A</v>
      </c>
      <c r="MG6" s="170">
        <f t="shared" ref="MG6:MG69" ca="1" si="94">MAX(0,$ME6)</f>
        <v>0.71612369323045078</v>
      </c>
      <c r="MH6" s="170" t="e">
        <f t="shared" ref="MH6:MI25" ca="1" si="95">$MG6*$MF6</f>
        <v>#N/A</v>
      </c>
      <c r="MI6" s="170" t="e">
        <f t="shared" ca="1" si="95"/>
        <v>#N/A</v>
      </c>
      <c r="MJ6" s="170" t="e">
        <f ca="1">MAX(0.0001, Control!$C$132*$MI6*$DL6)</f>
        <v>#N/A</v>
      </c>
      <c r="MK6" s="170">
        <f ca="1">1/(0.76+1.5*($MG6/10))-(5-Control!$C$110)*0.1</f>
        <v>1.002845988140797</v>
      </c>
      <c r="ML6" s="173">
        <f ca="1">IF(Control!$C$110&lt;3,$MK6+($MG6-0.6)/(Control!$C$110*(Control!$C$110+3)), MAX(0.1, MIN(0.95,$MK6)))</f>
        <v>0.95</v>
      </c>
      <c r="MM6" s="173">
        <f ca="1">IF(Control!$C$110&lt;3,$MK6+(($MI6/10)-0.6)/(Control!$C$110*(Control!$C$110+3)), MAX(0.1, MIN(0.95,$MK6)))</f>
        <v>0.95</v>
      </c>
      <c r="MN6" s="173">
        <f ca="1">(1-$MM6)*(Control!$C$128-Control!$C$127)+Control!$C$127</f>
        <v>0.16</v>
      </c>
      <c r="MO6" s="170">
        <f ca="1">MAX(0,MIN(1,($MS6-Control!$C$127)/($MN6-Control!$C$127)))</f>
        <v>1</v>
      </c>
      <c r="MP6" s="173" t="e">
        <f ca="1">1/(0.76+1.5*$MI6)-(5-Control!$C$110)*0.1</f>
        <v>#N/A</v>
      </c>
      <c r="MQ6" s="172">
        <v>0</v>
      </c>
      <c r="MR6" s="168">
        <f>$MS6*$CY6</f>
        <v>120</v>
      </c>
      <c r="MS6" s="173">
        <f>MAX(Control!$C$127,MIN(Control!$C$69,Control!$C$128))</f>
        <v>0.3</v>
      </c>
      <c r="MT6" s="168">
        <f>(Control!$C$128-$MS6)*Control!$C$74</f>
        <v>19.999999999999996</v>
      </c>
      <c r="MU6" s="168">
        <f>(Control!$C$135-$MS6)*Control!$C$74</f>
        <v>60.000000000000007</v>
      </c>
      <c r="MV6" s="168">
        <f>Control!$C$74*($MS6-Control!$C$127)</f>
        <v>60</v>
      </c>
      <c r="MW6" s="168">
        <f>$MX6*(Control!$C$119-$CY6)</f>
        <v>0</v>
      </c>
      <c r="MX6" s="171">
        <f>MAX(Control!$C$127, MIN(Control!$C$70,Control!$C$128))</f>
        <v>0.3</v>
      </c>
      <c r="MY6" s="54" t="e">
        <f ca="1">IF(Control!$C$114=1, $CX6*$MX6, 0)</f>
        <v>#N/A</v>
      </c>
      <c r="MZ6" s="54">
        <v>0</v>
      </c>
      <c r="NA6" s="168">
        <f>(Control!$C$128-$MX6)*(Control!$C$119-Control!$C$74)</f>
        <v>0</v>
      </c>
      <c r="NB6" s="168">
        <f>(Control!$C$135-$MX6)*(Control!$C$119-Control!$C$74)</f>
        <v>0</v>
      </c>
      <c r="NC6" s="174">
        <v>1</v>
      </c>
      <c r="ND6" s="54">
        <f ca="1">IF(Control!$C$58=2, IF(OR(Control!$B$218=$AH6,Control!$B$219=$AH6, Control!$B$220=$AH6, Control!$B$221=$AH6, Control!$B$222=$AH6, Control!$B$223=$AH6, Control!$B$224=$AH6, Control!$B$225=$AH6, Control!$B$226=$AH6, Control!$B$227=$AH6, Control!$B$228=$AH6), 1, 0), 0)</f>
        <v>0</v>
      </c>
      <c r="NE6" s="54">
        <f ca="1">IF($ND6=0,0, VLOOKUP($AH6,Control!$B$218:$C$228,2))</f>
        <v>0</v>
      </c>
      <c r="NF6" s="168">
        <f>$CY6*(Control!$C$128-Control!$C$127)</f>
        <v>80</v>
      </c>
      <c r="NG6" s="54">
        <v>0</v>
      </c>
      <c r="NH6" s="54">
        <v>0</v>
      </c>
      <c r="NI6" s="54">
        <f ca="1">IF(Control!$C$58=2, $NE6+$NH6,0)</f>
        <v>0</v>
      </c>
      <c r="NJ6" s="54">
        <f ca="1">IF(AND(Control!$C$58=1, $MS6&lt;= ($MN6+0.02), $I6&lt;10), MAX(0, MIN(10, 0.7*($NF6-$MV6))), IF(Control!$C$58=2, MIN(10,$NI6),0))</f>
        <v>0</v>
      </c>
      <c r="NK6" s="54">
        <f t="shared" ref="NK6:NK69" ca="1" si="96">$NJ6+$NH6</f>
        <v>0</v>
      </c>
      <c r="NL6" s="173">
        <f ca="1">(1-Control!$C$73)*$I6+$NJ6</f>
        <v>0</v>
      </c>
      <c r="NM6" s="172" t="e">
        <f ca="1">IF($NL6&lt;0.5, $MB6* MAX(0, MIN(1, (SQRT($NC6)-SQRT($NC6-1))*Control!$C$71)),0)</f>
        <v>#DIV/0!</v>
      </c>
      <c r="NN6" s="170" t="e">
        <f ca="1">IF($NL6&gt;=5, $MB6, MAX(0,MIN($MB6, $NM6+$NL6,($MS6-Control!$C$129))))</f>
        <v>#DIV/0!</v>
      </c>
      <c r="NO6" s="54">
        <f>IF(Control!$C$133&lt;&gt;1, Control!$C$135-Control!$C$131, 0)</f>
        <v>0.38</v>
      </c>
      <c r="NP6" s="54">
        <f t="shared" ref="NP6:NP69" si="97">IF($MS6&gt;=$NO6,MIN($AH5+1,4),0)</f>
        <v>0</v>
      </c>
      <c r="NQ6" s="173">
        <f>MAX(0,MIN(1,(Control!$C$135-$MS6)/(Control!$C$135-$NO6)))</f>
        <v>1</v>
      </c>
      <c r="NR6" s="170">
        <f>IF(Control!$C$133&lt;&gt;1, $NQ6+((1-$NP6/4)*(1-$NQ6)),1)</f>
        <v>1</v>
      </c>
      <c r="NS6" s="170" t="e">
        <f ca="1">IF(Control!$B$31=0,$MJ6,MAX(0,MIN($MV6,$MO6*$NR6*$MJ6)))</f>
        <v>#N/A</v>
      </c>
      <c r="NT6" s="170" t="e">
        <f ca="1">$NS6/$MJ6</f>
        <v>#N/A</v>
      </c>
      <c r="NU6" s="170" t="e">
        <f ca="1">$NT6</f>
        <v>#N/A</v>
      </c>
      <c r="NV6" s="170" t="e">
        <f t="shared" ref="NV6:NV69" ca="1" si="98">IF($AH6&gt;$HF6, $NU6/($AH6-$HF6), $NU6/($AH6+365-$HF6))</f>
        <v>#N/A</v>
      </c>
      <c r="NW6" s="175" t="e">
        <f t="shared" ref="NW6:NW69" ca="1" si="99">$NL6-$NN6-$NS6</f>
        <v>#DIV/0!</v>
      </c>
      <c r="NX6" s="170" t="e">
        <f ca="1">MIN(Control!$C$72+$MU6, $NW6)</f>
        <v>#DIV/0!</v>
      </c>
      <c r="NY6" s="170" t="e">
        <f ca="1">IF($MT6&lt;=$NX6,MIN(Control!$C$72+$NB6,$NX6-$MT6),0)</f>
        <v>#DIV/0!</v>
      </c>
      <c r="NZ6" s="54" t="e">
        <f ca="1">IF(Control!$C$114=1,  $CX6*($MX6-Control!$C$127), 0)</f>
        <v>#N/A</v>
      </c>
      <c r="OA6" s="170" t="e">
        <f ca="1">$NX6-$NY6+$NZ6</f>
        <v>#DIV/0!</v>
      </c>
      <c r="OB6" s="170" t="e">
        <f ca="1">IF($NA6 &lt;=$NY6, MIN(Control!$C$72, $NY6-$NA6), 0)</f>
        <v>#DIV/0!</v>
      </c>
      <c r="OC6" s="168" t="e">
        <f t="shared" ref="OC6:OC69" ca="1" si="100">$NY6-$OB6-$NZ6</f>
        <v>#DIV/0!</v>
      </c>
      <c r="OD6" s="168">
        <f>(Control!$C$119-Control!$C$74)*($MX6-Control!$C$127)</f>
        <v>0</v>
      </c>
      <c r="OE6" s="170">
        <f ca="1">Control!$C$73*$I6</f>
        <v>0</v>
      </c>
      <c r="OF6" s="176" t="e">
        <f t="shared" ref="OF6:OF69" ca="1" si="101">$OE6+MAX(0,$NW6-$NX6)</f>
        <v>#DIV/0!</v>
      </c>
      <c r="OG6" s="168">
        <f t="shared" ref="OG6:OG69" si="102">$MV$6-$MV6</f>
        <v>0</v>
      </c>
      <c r="OH6" s="168">
        <f t="shared" ref="OH6:OH69" si="103">$OD$6-$OD6</f>
        <v>0</v>
      </c>
      <c r="OI6" s="168" t="e">
        <f t="shared" ref="OI6:OI69" ca="1" si="104">$NX6-$NY6+$MY6</f>
        <v>#DIV/0!</v>
      </c>
      <c r="OJ6" s="168" t="e">
        <f t="shared" ref="OJ6:OJ69" ca="1" si="105">$NY6-$OB6-$MY6</f>
        <v>#DIV/0!</v>
      </c>
      <c r="OK6" s="204">
        <f>$OG6+$OH6</f>
        <v>0</v>
      </c>
      <c r="OL6" s="177">
        <f>Control!$C$127</f>
        <v>0.15</v>
      </c>
      <c r="OM6" s="182">
        <f t="shared" ref="OM6:OM69" si="106">$OL6*$CY6</f>
        <v>60</v>
      </c>
      <c r="ON6" s="177">
        <f>Control!$C$128</f>
        <v>0.35</v>
      </c>
      <c r="OO6" s="182">
        <f t="shared" ref="OO6:OO69" si="107">$ON6*$CY6</f>
        <v>140</v>
      </c>
      <c r="OP6" s="138">
        <f ca="1">$I6</f>
        <v>0</v>
      </c>
      <c r="OQ6" s="138">
        <v>0</v>
      </c>
      <c r="OR6" s="138">
        <f ca="1">$OP6+$OQ6</f>
        <v>0</v>
      </c>
      <c r="OS6" s="137">
        <v>0</v>
      </c>
      <c r="OT6" s="139" t="e">
        <f ca="1">$OB6</f>
        <v>#DIV/0!</v>
      </c>
      <c r="OU6" s="138">
        <v>0</v>
      </c>
      <c r="OV6" s="139">
        <v>0</v>
      </c>
      <c r="OW6" s="138" t="e">
        <f ca="1">$OI6</f>
        <v>#DIV/0!</v>
      </c>
      <c r="OX6" s="138">
        <v>0</v>
      </c>
      <c r="OY6" s="138">
        <v>0</v>
      </c>
      <c r="OZ6" s="138" t="e">
        <f t="shared" ref="OZ6:OZ69" ca="1" si="108">ABS($MR6-$NS6-$NN6+$I6+$MY6+$NK6-$OF6-$NY6-$OX6)</f>
        <v>#N/A</v>
      </c>
      <c r="PA6" s="138" t="e">
        <f t="shared" ref="PA6:PA69" ca="1" si="109">ABS($MW6+$NY6-$OB6-$MY6-$OY6)</f>
        <v>#DIV/0!</v>
      </c>
      <c r="PB6" s="55">
        <f>IF(Control!$C$61="T", IF(Control!$C$65="F", IF($AH$6-Control!$C$60&lt;0,0,1), IF(365+$AH$6-Control!$C$60&lt;0,0,1)),0)</f>
        <v>0</v>
      </c>
      <c r="PC6" s="55">
        <f ca="1">IF(Control!$C$65="F", IF($AH$6-$HF6&lt;0,0,1), IF(365+$AH$6-$HF6&lt;0,0,1))</f>
        <v>1</v>
      </c>
      <c r="PD6" s="444">
        <f>Control!$C$118</f>
        <v>1500</v>
      </c>
      <c r="PE6" s="180">
        <f t="shared" ref="PE6:PE69" si="110">$CY6*($ON6-$MS6)</f>
        <v>19.999999999999996</v>
      </c>
      <c r="PF6" s="445">
        <f ca="1">$ME6</f>
        <v>0.71612369323045078</v>
      </c>
      <c r="PT6" s="186"/>
      <c r="PU6" s="186"/>
      <c r="PV6" s="94"/>
      <c r="PW6" s="94"/>
      <c r="PX6" s="94"/>
      <c r="PY6" s="94"/>
      <c r="PZ6" s="94"/>
      <c r="QA6" s="94"/>
      <c r="QB6" s="94"/>
      <c r="QC6" s="94"/>
      <c r="QD6" s="94"/>
      <c r="QE6" s="94"/>
      <c r="QF6" s="94"/>
      <c r="QG6" s="94"/>
      <c r="QH6" s="94"/>
      <c r="QI6" s="94"/>
      <c r="QJ6" s="94"/>
      <c r="QK6" s="94"/>
      <c r="QL6" s="94"/>
      <c r="QM6" s="94"/>
      <c r="QN6" s="94"/>
      <c r="QO6" s="94"/>
      <c r="QP6" s="94"/>
    </row>
    <row r="7" spans="1:458" s="2" customFormat="1" x14ac:dyDescent="0.2">
      <c r="A7" s="386">
        <v>2</v>
      </c>
      <c r="B7" s="387">
        <v>1</v>
      </c>
      <c r="C7" s="387">
        <f ca="1">Weather_data!$B6</f>
        <v>0</v>
      </c>
      <c r="D7" s="388">
        <f ca="1">Weather_data!$F6</f>
        <v>0</v>
      </c>
      <c r="E7" s="388">
        <f ca="1">Weather_data!$E6</f>
        <v>0</v>
      </c>
      <c r="F7" s="388">
        <f t="shared" ref="F7:F70" ca="1" si="111">$D7-$E7</f>
        <v>0</v>
      </c>
      <c r="G7" s="388">
        <f ca="1">AVERAGE($D7:$E7)+Control!$B$9</f>
        <v>0</v>
      </c>
      <c r="H7" s="388">
        <f ca="1">Weather_data!$G6</f>
        <v>0</v>
      </c>
      <c r="I7" s="388">
        <f ca="1">Weather_data!$I6</f>
        <v>0</v>
      </c>
      <c r="J7" s="388">
        <f ca="1">Weather_data!$H6</f>
        <v>0</v>
      </c>
      <c r="K7" s="389">
        <f ca="1">Weather_data!$D6</f>
        <v>0</v>
      </c>
      <c r="L7" s="388">
        <f t="shared" ref="L7:L70" ca="1" si="112">$L6+$DM6</f>
        <v>0</v>
      </c>
      <c r="M7" s="388" t="e">
        <f t="shared" ca="1" si="0"/>
        <v>#N/A</v>
      </c>
      <c r="N7" s="388">
        <f t="shared" ca="1" si="1"/>
        <v>-0.45</v>
      </c>
      <c r="O7" s="388">
        <f t="shared" ref="O7:O70" ca="1" si="113">$O6+$N6</f>
        <v>4.5</v>
      </c>
      <c r="P7" s="390">
        <v>3</v>
      </c>
      <c r="Q7" s="388">
        <f ca="1">MAX($G7-Control!$C$107,0)</f>
        <v>0</v>
      </c>
      <c r="R7" s="388">
        <f t="shared" ref="R7:R70" ca="1" si="114">IF($G7&lt;=3,0,IF(33&gt;=$G7&gt;3,0+($G7-3)*((30-0)/(33-3)),IF($G7&gt;33,30)))</f>
        <v>0</v>
      </c>
      <c r="S7" s="388">
        <f ca="1">MAX(0, $R7)</f>
        <v>0</v>
      </c>
      <c r="T7" s="388">
        <f t="shared" ca="1" si="3"/>
        <v>0</v>
      </c>
      <c r="U7" s="59">
        <f t="shared" ca="1" si="4"/>
        <v>0</v>
      </c>
      <c r="V7" s="391">
        <f ca="1">MAX(0,MIN(Control!$C$100-Control!$C$99,$G7-Control!$C$99)*Control!$C$63)</f>
        <v>0</v>
      </c>
      <c r="W7" s="388">
        <f ca="1">$D7-0.25*($D7-$E7)</f>
        <v>0</v>
      </c>
      <c r="X7" s="388">
        <f t="shared" ref="X7:X70" ca="1" si="115">6.11*0.1*EXP(17.4*$G7/($G7+239))</f>
        <v>0.6110000000000001</v>
      </c>
      <c r="Y7" s="388">
        <f t="shared" ref="Y7:Y69" ca="1" si="116">MIN($H7,$X7)</f>
        <v>0</v>
      </c>
      <c r="Z7" s="388">
        <f t="shared" ref="Z7:Z70" ca="1" si="117">6.10588*0.1*EXP((17.32491*$G7)/($G7+238.102))</f>
        <v>0.61058800000000002</v>
      </c>
      <c r="AA7" s="388">
        <f t="shared" ca="1" si="5"/>
        <v>0.6018</v>
      </c>
      <c r="AB7" s="388">
        <f ca="1">101.3*EXP(-0.034*Control!$C$66/($G7+273))</f>
        <v>100.69623283836242</v>
      </c>
      <c r="AC7" s="392">
        <f t="shared" ca="1" si="6"/>
        <v>4.3460251046025113E-2</v>
      </c>
      <c r="AD7" s="392">
        <f t="shared" ca="1" si="7"/>
        <v>4.4450382862832649E-2</v>
      </c>
      <c r="AE7" s="388">
        <f t="shared" ca="1" si="8"/>
        <v>0</v>
      </c>
      <c r="AF7" s="388">
        <f ca="1">MAX(0,$G7-Control!$C$92)</f>
        <v>0</v>
      </c>
      <c r="AG7" s="393">
        <f t="shared" ref="AG7:AG69" ca="1" si="118">DATE($C7,$B7,$A7)</f>
        <v>2</v>
      </c>
      <c r="AH7" s="389">
        <f t="shared" ca="1" si="9"/>
        <v>2</v>
      </c>
      <c r="AI7" s="388">
        <f t="shared" ref="AI7:AI70" ca="1" si="119">$HD7</f>
        <v>-0.40007681793319483</v>
      </c>
      <c r="AJ7" s="388">
        <f ca="1">IF(Control!$C$60&lt;=0,$HH7,$HI7)</f>
        <v>1</v>
      </c>
      <c r="AK7" s="388">
        <f t="shared" ca="1" si="10"/>
        <v>-1.342708093041117</v>
      </c>
      <c r="AL7" s="388">
        <f t="shared" ca="1" si="11"/>
        <v>1.7583330624848513E-18</v>
      </c>
      <c r="AM7" s="388">
        <f t="shared" ca="1" si="12"/>
        <v>-1.342708093041117</v>
      </c>
      <c r="AN7" s="388">
        <f t="shared" ca="1" si="13"/>
        <v>-0.39791508242400636</v>
      </c>
      <c r="AO7" s="388">
        <f ca="1">-0.10453/COS(Control!$B$8*PI()/180)*COS(AN7)</f>
        <v>-0.15651972503243614</v>
      </c>
      <c r="AP7" s="388">
        <f ca="1">ACOS(AO7-TAN(Control!$B$8*PI()/180)*TAN(AN7))</f>
        <v>1.1793907259267959</v>
      </c>
      <c r="AQ7" s="388">
        <f t="shared" ref="AQ7:AQ70" ca="1" si="120">$K7/1000</f>
        <v>0</v>
      </c>
      <c r="AR7" s="394">
        <f ca="1">$AQ7*0.5</f>
        <v>0</v>
      </c>
      <c r="AS7" s="436">
        <f ca="1">IF(Control!$B$18=2,(IF(OR($AH7=Control!$B$175,$AH7=Control!$B$176,$AH7=Control!$B$177,$AH7=Control!$B$178,$AH7=Control!$B$179,$AH7=Control!$B$180,$AH7=Control!$B$181,$AH7=Control!$B$182,$AH7=Control!$B$183,$AH7=Control!$B$184,$AH7=Control!$B$185),1,0)),0)</f>
        <v>0</v>
      </c>
      <c r="AT7" s="436">
        <f>IF(Control!$B$20=8,IF(AND($AH7&gt;=Control!$B$172,$AH7&lt;=Control!$B$173),1,0),0)</f>
        <v>0</v>
      </c>
      <c r="AU7" s="436">
        <f>IF(Control!$B$20=8,IF($AV6=1,1*$AT7,IF($AT7=1,$AU6+1,$AU6)),0)</f>
        <v>0</v>
      </c>
      <c r="AV7" s="436">
        <f>IF(Control!$B$20=8,IF($AU7&gt;=Control!$B$174,1,0),0)</f>
        <v>0</v>
      </c>
      <c r="AW7" s="436">
        <f ca="1">IF(AND(Control!$B$18=2,Control!$B$171=1), $AV7, $AS7)</f>
        <v>0</v>
      </c>
      <c r="AX7" s="436">
        <f ca="1">IF(AND(Control!$B$18=1,$EU7&gt;=Control!$B$19),-$AY7,IF(AND(Control!$B$18=2,$AW7=1,$EU7&gt;$DS7),-$AY7, IF(Control!$C$108=0,0, IF(Control!$C$108&lt;&gt;0,1))))</f>
        <v>1</v>
      </c>
      <c r="AY7" s="436">
        <f t="shared" ref="AY7:AY70" ca="1" si="121">$AY6+$AX6</f>
        <v>1</v>
      </c>
      <c r="AZ7" s="436" t="e">
        <f ca="1">IF(AND(Control!$B$18=1,$EB7&gt;Control!$B$19),$AZ6+1, IF(AND(Control!$B$18=2, $AW7=1, $EB7&gt;$DS7), $AZ6+1,$AZ6))</f>
        <v>#N/A</v>
      </c>
      <c r="BA7" s="587">
        <f>IF(Control!$C$81=0,1,IF($AH7&gt;=Control!$C$82,1,0))</f>
        <v>1</v>
      </c>
      <c r="BB7" s="140">
        <f ca="1">IF($BA7&gt;$BA6,Control!$C$83,IF($AW7&gt;0,$AW7*Control!$C$84,IF(AND(Control!$B$18=1,EN6&lt;&gt;0),Control!$C$84,0)))</f>
        <v>0</v>
      </c>
      <c r="BC7" s="140">
        <f t="shared" ref="BC7:BC70" ca="1" si="122">IF($BA7=0,0,IF(AND($BB7&gt;0,$BB7&lt;9),1,$BG6))</f>
        <v>0</v>
      </c>
      <c r="BD7" s="140">
        <f ca="1">BC7*IF(OR($G7&lt;Control!$C$92,$G7&gt;Control!$C$95),0,IF(AND($G7&gt;=Control!$C$92,$G7&lt;=Control!$C$93),$G7-Control!$C$92,IF(AND($G7&gt;Control!$C$93,$G7&lt;=Control!$C$94),Control!$C$93-Control!$C$92,IF(AND($G7&gt;Control!$C$94,$G7&lt;=Control!$C$95),(Control!$C$93-Control!$C$92)*(Control!$C$94-$G7)/(Control!$C$95-Control!$C$94)))))</f>
        <v>0</v>
      </c>
      <c r="BE7" s="140">
        <f t="shared" ref="BE7:BE70" ca="1" si="123">IF($BC7=0,0,$BF6+$BD7)</f>
        <v>0</v>
      </c>
      <c r="BF7" s="140">
        <f ca="1">IF($BE7&lt;=Control!$C$86,$BE7,Control!$C$86-$BE7)</f>
        <v>0</v>
      </c>
      <c r="BG7" s="140">
        <f ca="1">IF(AND($AW7=1,Control!$C$84&lt;9),1,IF($BE7&gt;=Control!$C$86,0,$BC7))</f>
        <v>0</v>
      </c>
      <c r="BH7" s="404">
        <f ca="1">IF($BG7=0,0,IF($BE7&lt;=Control!$C$86,$BC7*9*($BF7/Control!$C$86),0))</f>
        <v>0</v>
      </c>
      <c r="BI7" s="140">
        <f ca="1">IF($BG7=1,0,IF($BE7&gt;=Control!$C$86,1,IF(AND($BB7&lt;21,$BB7&gt;=9),1,$BM6)))</f>
        <v>0</v>
      </c>
      <c r="BJ7" s="140">
        <f ca="1">IF($BF7&lt;0,-$BF7,$BI7*IF(OR($G7&lt;Control!$C$92,$G7&gt;Control!$C$95),0,IF(AND($G7&gt;=Control!$C$92,$G7&lt;=Control!$C$93),$G7-Control!$C$92,IF(AND($G7&gt;Control!$C$93,$G7&lt;=Control!$C$94),Control!$C$93-Control!$C$92,IF(AND($G7&gt;Control!$C$94,$G7&lt;=Control!$C$95),(Control!$C$93-Control!$C$92)*(Control!$C$94-$G7)/(Control!$C$95-Control!$C$94))))))</f>
        <v>0</v>
      </c>
      <c r="BK7" s="140">
        <f t="shared" ref="BK7:BK70" ca="1" si="124">IF($BI7=0,0,IF($BF7&lt;0,$BL6+$BJ7-$BF7,$BL6+$BJ7))</f>
        <v>0</v>
      </c>
      <c r="BL7" s="140">
        <f ca="1">IF($BK7&lt;=Control!$C$87,$BK7,Control!$C$87-$BK7)</f>
        <v>0</v>
      </c>
      <c r="BM7" s="140">
        <f ca="1">IF(AND($BB7&gt;=9,$BB7&lt;21),1,IF($BK7&gt;=Control!$C$87,0,$BI7))</f>
        <v>0</v>
      </c>
      <c r="BN7" s="404">
        <f ca="1">IF($BM7=0,0,IF($BK7&lt;=Control!$C$87,$BI7*(9+(21-9)*($BL7/Control!$C$87)),0))</f>
        <v>0</v>
      </c>
      <c r="BO7" s="140">
        <f ca="1">IF($BM7=1,0,IF($BK7&gt;=Control!$C$87,1,IF(AND($BB7&lt;30,$BB7&gt;=21),1,$BS6)))</f>
        <v>1</v>
      </c>
      <c r="BP7" s="140">
        <f ca="1">IF($BL7&lt;0,-$BL7,$BO7*IF(OR($G7&lt;Control!$C$92,$G7&gt;Control!$C$95),0,IF(AND($G7&gt;=Control!$C$92,$G7&lt;=Control!$C$93),$G7-Control!$C$92,IF(AND($G7&gt;Control!$C$93,$G7&lt;=Control!$C$94),Control!$C$93-Control!$C$92,IF(AND($G7&gt;Control!$C$94,$G7&lt;=Control!$C$95),(Control!$C$93-Control!$C$92)*(Control!$C$94-$G7)/(Control!$C$95-Control!$C$94))))))</f>
        <v>0</v>
      </c>
      <c r="BQ7" s="140">
        <f t="shared" ca="1" si="15"/>
        <v>0</v>
      </c>
      <c r="BR7" s="140">
        <f ca="1">IF($BQ7&lt;=Control!$C$88,$BQ7,Control!$C$88-$BQ7)</f>
        <v>0</v>
      </c>
      <c r="BS7" s="140">
        <f ca="1">IF(AND($BB7&gt;=21,$BB7&lt;30),1,IF($BQ7&gt;=Control!$C$88,0,$BO7))</f>
        <v>1</v>
      </c>
      <c r="BT7" s="404">
        <f ca="1">IF($BS7=0,0,IF($BQ7&lt;=Control!$C$88,$BO7*(21+(30-21)*(BR7/Control!$C$88)),0))</f>
        <v>21</v>
      </c>
      <c r="BU7" s="140">
        <f ca="1">IF(BG7+BM7+BS7=1,0,IF(OR(AND($BB7&lt;60,$BB7&gt;=30),$BQ7&gt;=Control!$C$88),1*$BA7,$BY6))</f>
        <v>0</v>
      </c>
      <c r="BV7" s="140">
        <f ca="1">IF($BR7&lt;0,-$BR7,$BU7*IF(OR($G7&lt;Control!$C$92,$G7&gt;Control!$C$95),0,IF(AND($G7&gt;=Control!$C$92,$G7&lt;=Control!$C$93),$G7-Control!$C$92,IF(AND($G7&gt;Control!$C$93,$G7&lt;=Control!$C$94),Control!$C$93-Control!$C$92,IF(AND($G7&gt;Control!$C$94,$G7&lt;=Control!$C$95),(Control!$C$93-Control!$C$92)*(Control!$C$94-$G7)/(Control!$C$95-Control!$C$94))))))</f>
        <v>0</v>
      </c>
      <c r="BW7" s="140">
        <f t="shared" ca="1" si="16"/>
        <v>0</v>
      </c>
      <c r="BX7" s="140">
        <f ca="1">IF($BW7&lt;=Control!$C$89,$BW7,Control!$C$89-$BW7)</f>
        <v>0</v>
      </c>
      <c r="BY7" s="140">
        <f ca="1">IF(AND($AJ7&gt;=30,$AJ7&lt;60),1,IF($BW7&gt;=Control!$C$89,0,$BU7))</f>
        <v>0</v>
      </c>
      <c r="BZ7" s="404">
        <f ca="1">IF($BY7=0,0,IF($BW7&lt;=Control!$C$89,$BU7*(30+(60-30)*(BX7/Control!$C$89)),0))</f>
        <v>0</v>
      </c>
      <c r="CA7" s="140">
        <f ca="1">IF($BG7+$BM7+$BS7+$BY7=1,0,IF(OR(AND($BB7&lt;65,$BB7&gt;=60),$BW7&gt;=Control!$C$89),1*$BA7,$CE6))</f>
        <v>0</v>
      </c>
      <c r="CB7" s="140">
        <f ca="1">IF($BX7&lt;0,-$BX7,$CA7*IF(OR($G7&lt;Control!$C$92,$G7&gt;Control!$C$95),0,IF(AND($G7&gt;=Control!$C$92,$G7&lt;=Control!$C$93),$G7-Control!$C$92,IF(AND($G7&gt;Control!$C$93,$G7&lt;=Control!$C$94),Control!$C$93-Control!$C$92,IF(AND($G7&gt;Control!$C$94,$G7&lt;=Control!$C$95),(Control!$C$93-Control!$C$92)*(Control!$C$94-$G7)/(Control!$C$95-Control!$C$94))))))</f>
        <v>0</v>
      </c>
      <c r="CC7" s="140">
        <f t="shared" ref="CC7:CC70" ca="1" si="125">IF($CA7=1,$CC6+$CB7,0)</f>
        <v>0</v>
      </c>
      <c r="CD7" s="140">
        <f ca="1">IF($CC7&lt;=Control!$C$90,$CC7,Control!$C$90-$CC7)</f>
        <v>0</v>
      </c>
      <c r="CE7" s="140">
        <f ca="1">IF(AND($BB7&gt;=60,$BB7&lt;65),1,IF($CC7&gt;=Control!$C$90,0,$CA7))</f>
        <v>0</v>
      </c>
      <c r="CF7" s="404">
        <f ca="1">IF($CE7=0,0,IF($CC7&lt;=Control!$C$90,$CA7*(60+(65-60)*(CD7/Control!$C$90)),0))</f>
        <v>0</v>
      </c>
      <c r="CG7" s="140">
        <f ca="1">IF($BG7+$BM7+$BS7+$BY7+$CE7=1,0,IF(OR(AND($BB7&lt;90,$BB7&gt;=65),$CC7&gt;=Control!$C$90),$BA7,$CK6))</f>
        <v>0</v>
      </c>
      <c r="CH7" s="140">
        <f ca="1">IF($CD7&lt;0,-$CD7,$CG7*IF(OR($G7&lt;Control!$C$92,$G7&gt;Control!$C$95),0,IF(AND($G7&gt;=Control!$C$92,$G7&lt;=Control!$C$93),$G7-Control!$C$92,IF(AND($G7&gt;Control!$C$93,$G7&lt;=Control!$C$94),Control!$C$93-Control!$C$92,IF(AND($G7&gt;Control!$C$94,$G7&lt;=Control!$C$95),(Control!$C$93-Control!$C$92)*(Control!$C$94-$G7)/(Control!$C$95-Control!$C$94))))))</f>
        <v>0</v>
      </c>
      <c r="CI7" s="140">
        <f t="shared" ref="CI7:CI70" ca="1" si="126">IF($CG7=1,$CI6+$CH7,0)</f>
        <v>0</v>
      </c>
      <c r="CJ7" s="140">
        <f ca="1">IF($CI7&lt;=Control!$C$91,$CI7,Control!$C$91-$CI7)</f>
        <v>0</v>
      </c>
      <c r="CK7" s="140">
        <f ca="1">IF(AND($BB7&gt;=65,$BB7&lt;90),1,IF($CI7&gt;=Control!$C$91,0,$CG7))</f>
        <v>0</v>
      </c>
      <c r="CL7" s="404">
        <f ca="1">IF($CK7=0,0,IF($CI7&lt;=Control!$C$91,$CG7*(65+(90-65)*($CJ7/Control!$C$91)),0))</f>
        <v>0</v>
      </c>
      <c r="CM7" s="140">
        <f ca="1">IF($BG7+$BM7+$BS7+$BY7+$CE7+$CK7=1,0,IF(OR($BB7&gt;=90,$CI7&gt;=Control!$C$91),$BA7,$CM6))</f>
        <v>0</v>
      </c>
      <c r="CN7" s="140">
        <f t="shared" ref="CN7:CN70" ca="1" si="127">CM7*90</f>
        <v>0</v>
      </c>
      <c r="CO7" s="140">
        <f t="shared" ref="CO7:CO70" ca="1" si="128">MAX(0.0001,$BF7+$BL7+$BR7+$BX7+$CD7+$CJ7)</f>
        <v>1E-4</v>
      </c>
      <c r="CP7" s="140">
        <f t="shared" ref="CP7:CP70" ca="1" si="129">BH7+BN7+BT7+BZ7+CF7+CL7+CN7</f>
        <v>21</v>
      </c>
      <c r="CQ7" s="141">
        <f ca="1">VLOOKUP($CP7,Control!$B$86:$G$91,6)</f>
        <v>0.15</v>
      </c>
      <c r="CR7" s="141">
        <f ca="1">(1-$CQ7)*VLOOKUP($CP7,Control!$B$86:$D$91,3)</f>
        <v>0.76500000000000001</v>
      </c>
      <c r="CS7" s="141">
        <f ca="1">(1-$CQ7)*VLOOKUP($CP7,Control!$B$86:$E$91,4)</f>
        <v>8.5000000000000006E-2</v>
      </c>
      <c r="CT7" s="141">
        <f ca="1">(1-$CQ7)*VLOOKUP($CP7,Control!$B$86:$F$91,5)</f>
        <v>0</v>
      </c>
      <c r="CU7" s="141">
        <f t="shared" ref="CU7:CU70" ca="1" si="130">$CU6+$T6</f>
        <v>0</v>
      </c>
      <c r="CV7" s="583">
        <f t="shared" ref="CV7:CV70" ca="1" si="131">$CV6+$U6</f>
        <v>0</v>
      </c>
      <c r="CW7" s="142">
        <f t="shared" ref="CW7:CW70" ca="1" si="132">$AG7</f>
        <v>2</v>
      </c>
      <c r="CX7" s="612" t="e">
        <f ca="1">IF(Control!$C$114=1,(MIN(Control!$C$120*(IF($NT7-0.01&lt;0,0,1)),Control!$C$119-$CY7)))</f>
        <v>#DIV/0!</v>
      </c>
      <c r="CY7" s="143" t="e">
        <f t="shared" ref="CY7:CY70" ca="1" si="133">$CY6+$CX6</f>
        <v>#N/A</v>
      </c>
      <c r="CZ7" s="144">
        <f t="shared" ca="1" si="17"/>
        <v>0.30000000000000004</v>
      </c>
      <c r="DA7" s="144">
        <f t="shared" ca="1" si="18"/>
        <v>4.4999999999999998E-2</v>
      </c>
      <c r="DB7" s="144" t="e">
        <f t="shared" ca="1" si="19"/>
        <v>#N/A</v>
      </c>
      <c r="DC7" s="144" t="e">
        <f t="shared" ca="1" si="20"/>
        <v>#N/A</v>
      </c>
      <c r="DD7" s="144">
        <f t="shared" ref="DD7" ca="1" si="134">IF($DE6&lt;14000,(($DC6-$DX6)*$DA6*$DE6),(-$DX6*$DA6*$DE6))</f>
        <v>41.465375000000016</v>
      </c>
      <c r="DE7" s="143">
        <f t="shared" ref="DE7:DE70" si="135">$DE6+$DD6</f>
        <v>7000</v>
      </c>
      <c r="DF7" s="145" t="e">
        <f ca="1">$DR7*EXP(-Control!$C$158*(1-$KH7))</f>
        <v>#N/A</v>
      </c>
      <c r="DG7" s="146" t="e">
        <f ca="1">IF(Control!$C$114=1, $DF7*$EY7, 0)</f>
        <v>#N/A</v>
      </c>
      <c r="DH7" s="147" t="e">
        <f t="shared" ref="DH7:DH70" ca="1" si="136">$DG7-$DZ7</f>
        <v>#N/A</v>
      </c>
      <c r="DI7" s="144">
        <f>IF($DI6+$DH6&lt;0,0,$DI6+$DH6)</f>
        <v>0.1</v>
      </c>
      <c r="DJ7" s="147" t="e">
        <f ca="1">$EF7*Control!$C$109</f>
        <v>#N/A</v>
      </c>
      <c r="DK7" s="144" t="e">
        <f t="shared" ref="DK7:DK70" ca="1" si="137">$DI7+$DJ7</f>
        <v>#N/A</v>
      </c>
      <c r="DL7" s="144" t="e">
        <f t="shared" ca="1" si="21"/>
        <v>#N/A</v>
      </c>
      <c r="DM7" s="144" t="e">
        <f ca="1">IF(Control!$C$114=1, (1-EXP(-Control!$C$96*$DK7))*$AR7, 0)</f>
        <v>#N/A</v>
      </c>
      <c r="DN7" s="144">
        <f t="shared" ref="DN7:DN70" ca="1" si="138">$DN6+$AR6</f>
        <v>0</v>
      </c>
      <c r="DO7" s="148">
        <f>Control!$C$97</f>
        <v>4</v>
      </c>
      <c r="DP7" s="145" t="e">
        <f t="shared" ref="DP7:DP70" ca="1" si="139">$DI7/MAX(0.1,$EB7)</f>
        <v>#N/A</v>
      </c>
      <c r="DQ7" s="145">
        <f ca="1">IF(AND($CP7&gt;=0,$CP7&lt;=90),Control!$C$111,Control!$C$111)</f>
        <v>2.5000000000000001E-3</v>
      </c>
      <c r="DR7" s="145">
        <f t="shared" ca="1" si="22"/>
        <v>2.5000000000000001E-3</v>
      </c>
      <c r="DS7" s="143">
        <f ca="1">Control!$B$22/$DR7</f>
        <v>800</v>
      </c>
      <c r="DT7" s="149" t="e">
        <f ca="1">IF(AND(Control!$C$114=1,$KH7&lt;1),$IM7*$DF7, 0)</f>
        <v>#N/A</v>
      </c>
      <c r="DU7" s="144">
        <f ca="1">$DU6+$DW6</f>
        <v>0</v>
      </c>
      <c r="DV7" s="144">
        <f ca="1">IF($G7-Control!$C$107&lt;=0, 0, 0.83*LN(MAX($G7, 3))-0.8924)</f>
        <v>0</v>
      </c>
      <c r="DW7" s="144" t="e">
        <f t="shared" ca="1" si="23"/>
        <v>#N/A</v>
      </c>
      <c r="DX7" s="150" t="e">
        <f ca="1">MAX(0.01*(1+$CU7/Control!$C$102),0.05*($DK7-Control!$C$97)/Control!$C$97)</f>
        <v>#N/A</v>
      </c>
      <c r="DY7" s="151" t="e">
        <f ca="1">IF(Control!$C$114=1, $DI7*$FS7, 0)</f>
        <v>#N/A</v>
      </c>
      <c r="DZ7" s="196" t="e">
        <f t="shared" ref="DZ7:DZ70" ca="1" si="140">IF($EN7&lt;=0, MIN(($DI7-0.08), $DY7+$DT7), $EN7*$DP7)</f>
        <v>#N/A</v>
      </c>
      <c r="EA7" s="152">
        <f t="shared" ref="EA7:EA70" ca="1" si="141">$AG7</f>
        <v>2</v>
      </c>
      <c r="EB7" s="153" t="e">
        <f ca="1">$EB6+$ED6</f>
        <v>#N/A</v>
      </c>
      <c r="EC7" s="153" t="e">
        <f t="shared" ref="EC7:EC70" ca="1" si="142">$EL7+$FM7+$FG7</f>
        <v>#N/A</v>
      </c>
      <c r="ED7" s="154" t="e">
        <f ca="1">IF(Control!$C$114=1, $HM7*$FY7-$FD7, 0)</f>
        <v>#DIV/0!</v>
      </c>
      <c r="EE7" s="155" t="e">
        <f ca="1">IF(Control!$C$114=1, $HM7*$FZ7-$FF7, 0)</f>
        <v>#DIV/0!</v>
      </c>
      <c r="EF7" s="153" t="e">
        <f ca="1">$EF6+$EE6-$EO6</f>
        <v>#N/A</v>
      </c>
      <c r="EG7" s="155" t="e">
        <f ca="1">IF(Control!$C$114=1, $GX7*$FW7-$FI7, 0)</f>
        <v>#DIV/0!</v>
      </c>
      <c r="EH7" s="153" t="e">
        <f t="shared" ref="EH7:EH70" ca="1" si="143">$EH6+$EG6</f>
        <v>#N/A</v>
      </c>
      <c r="EI7" s="156" t="e">
        <f t="shared" ref="EI7:EI70" ca="1" si="144">-$EH7</f>
        <v>#N/A</v>
      </c>
      <c r="EJ7" s="155" t="e">
        <f ca="1">IF(Control!$C$114=1, $HM7*$GB7, 0)</f>
        <v>#DIV/0!</v>
      </c>
      <c r="EK7" s="153" t="e">
        <f ca="1">$EK6+$EJ6-$EP6</f>
        <v>#N/A</v>
      </c>
      <c r="EL7" s="153" t="e">
        <f ca="1">$EB7+$EF7+$EK7</f>
        <v>#N/A</v>
      </c>
      <c r="EM7" s="153" t="e">
        <f t="shared" ca="1" si="25"/>
        <v>#N/A</v>
      </c>
      <c r="EN7" s="153" t="e">
        <f ca="1">IF(Control!$C$108=1,IF(AND(Control!$B$18=1,$EB7&gt;=Control!$B$19),$EB7-$DS7,IF(AND(Control!$B$18=2,$AW7=1,$EB7&gt;$DS7),$EB7-$DS7,0)))</f>
        <v>#N/A</v>
      </c>
      <c r="EO7" s="153" t="e">
        <f ca="1">IF(Control!$C$108=1,IF(AND(Control!$B$18=1,$EB7&gt;=Control!$B$19),$EF7,IF(AND(Control!$B$18=2,$AW7=1),$EF7,0)))</f>
        <v>#N/A</v>
      </c>
      <c r="EP7" s="153" t="e">
        <f ca="1">IF(Control!$C$108=1,IF(AND(Control!$B$18=1,$EB7&gt;=Control!$B$19),$EK7,IF(AND(Control!$B$18=2,$AW7=1),$EK7,0)))</f>
        <v>#N/A</v>
      </c>
      <c r="EQ7" s="153" t="e">
        <f t="shared" ref="EQ7:EQ70" ca="1" si="145">$EN7+$EO7+$EP7</f>
        <v>#N/A</v>
      </c>
      <c r="ER7" s="153">
        <f ca="1">$ER6+$EN6</f>
        <v>0</v>
      </c>
      <c r="ES7" s="153">
        <f ca="1">$ES6+$EO6</f>
        <v>0</v>
      </c>
      <c r="ET7" s="153">
        <f ca="1">$ET6+$EP6</f>
        <v>0</v>
      </c>
      <c r="EU7" s="153">
        <f ca="1">ER7+ES7+ET7</f>
        <v>0</v>
      </c>
      <c r="EV7" s="153" t="e">
        <f t="shared" ref="EV7:EV69" ca="1" si="146">ER7+EB7</f>
        <v>#N/A</v>
      </c>
      <c r="EW7" s="153" t="e">
        <f ca="1">$ER7+MAX(0,$EM7)</f>
        <v>#N/A</v>
      </c>
      <c r="EX7" s="153" t="e">
        <f ca="1">$ER7+$EC7</f>
        <v>#N/A</v>
      </c>
      <c r="EY7" s="157" t="e">
        <f t="shared" ref="EY7:EY69" ca="1" si="147">$GX7*$FY7*(1-$FW7)</f>
        <v>#DIV/0!</v>
      </c>
      <c r="EZ7" s="154" t="e">
        <f t="shared" ca="1" si="27"/>
        <v>#DIV/0!</v>
      </c>
      <c r="FA7" s="153" t="e">
        <f ca="1">$FA6+$HC6</f>
        <v>#N/A</v>
      </c>
      <c r="FB7" s="153" t="e">
        <f t="shared" ca="1" si="28"/>
        <v>#N/A</v>
      </c>
      <c r="FC7" s="193" t="e">
        <f t="shared" ca="1" si="29"/>
        <v>#N/A</v>
      </c>
      <c r="FD7" s="158" t="e">
        <f ca="1">IF($EN7&lt;=0, MIN(($DI7-0.08)/$DF7, $HY7+$IM7), $EN7)</f>
        <v>#N/A</v>
      </c>
      <c r="FE7" s="158">
        <f t="shared" ref="FE7:FE70" ca="1" si="148">IF(AND($CP7&gt;=0, $CP7&lt;=90),0,0)</f>
        <v>0</v>
      </c>
      <c r="FF7" s="159" t="e">
        <f ca="1">$EF7*$FE7</f>
        <v>#N/A</v>
      </c>
      <c r="FG7" s="160">
        <f t="shared" ref="FG7:FG70" ca="1" si="149">$FG6+$FF6</f>
        <v>0</v>
      </c>
      <c r="FH7" s="158">
        <f t="shared" ref="FH7:FH70" ca="1" si="150">IF(AND($CP7&gt;=0, $CP7&lt;=90), 0,0)</f>
        <v>0</v>
      </c>
      <c r="FI7" s="159" t="e">
        <f ca="1">$FH7*$EH7</f>
        <v>#N/A</v>
      </c>
      <c r="FJ7" s="160">
        <f t="shared" ref="FJ7:FJ70" ca="1" si="151">$FJ6+$FI6</f>
        <v>0</v>
      </c>
      <c r="FK7" s="160" t="e">
        <f t="shared" ca="1" si="32"/>
        <v>#N/A</v>
      </c>
      <c r="FL7" s="160" t="e">
        <f ca="1">$FL6+$FD6</f>
        <v>#N/A</v>
      </c>
      <c r="FM7" s="160" t="e">
        <f t="shared" ca="1" si="33"/>
        <v>#N/A</v>
      </c>
      <c r="FN7" s="158">
        <f ca="1">IF(AND($G7&lt;=50,$G7&gt;=30),(0.05+($G7-30)*((0.09-0.05)/(50-30))),IF(AND($G7&lt;30,$G7&gt;=15),(0.02+($G7-15)*((0.05-0.02)/(30-15))),IF(AND($G7&lt;15,$G7&gt;=10),(0.01+($G7-10)*((0.02-0.01)/(15-10))),IF(AND($G7&lt;10,$G7&gt;=-10),($G7+10)*((0.02-0)/(10+10)),IF($G7=-10,0)))))</f>
        <v>0.01</v>
      </c>
      <c r="FO7" s="160">
        <f>Control!$C$101</f>
        <v>50</v>
      </c>
      <c r="FP7" s="150">
        <f t="shared" ca="1" si="34"/>
        <v>0</v>
      </c>
      <c r="FQ7" s="150" t="e">
        <f ca="1">MAX(0,(Control!$C$112*(($DK7-Control!$C$97)/Control!$C$97)))</f>
        <v>#N/A</v>
      </c>
      <c r="FR7" s="150" t="e">
        <f ca="1">(1-$NT7)*Control!$C$113</f>
        <v>#DIV/0!</v>
      </c>
      <c r="FS7" s="198" t="e">
        <f t="shared" ca="1" si="35"/>
        <v>#N/A</v>
      </c>
      <c r="FT7" s="161">
        <f t="shared" ref="FT7:FT70" ca="1" si="152">$AG7</f>
        <v>2</v>
      </c>
      <c r="FU7" s="162">
        <f ca="1">IF(Control!$B$34=1,VLOOKUP($CP7,Control!$B$86:$G$91,6),Control!$B$35)</f>
        <v>0.15</v>
      </c>
      <c r="FV7" s="162" t="e">
        <f t="shared" ca="1" si="36"/>
        <v>#DIV/0!</v>
      </c>
      <c r="FW7" s="162" t="e">
        <f ca="1">IF(Control!$B$31=1,$FU7*$FV7,  $FU7)</f>
        <v>#DIV/0!</v>
      </c>
      <c r="FX7" s="162">
        <f ca="1">IF(Control!$B$34=1,VLOOKUP($CP7,Control!$B$86:$G$91,3),Control!$B$36)</f>
        <v>0.9</v>
      </c>
      <c r="FY7" s="162">
        <f t="shared" ca="1" si="37"/>
        <v>0.9</v>
      </c>
      <c r="FZ7" s="162">
        <f ca="1">IF(Control!$B$34=1,VLOOKUP($CP7,Control!$B$86:$G$91,4),Control!$B$37)</f>
        <v>0.1</v>
      </c>
      <c r="GA7" s="162">
        <f t="shared" ca="1" si="38"/>
        <v>0.1</v>
      </c>
      <c r="GB7" s="162">
        <f ca="1">IF(Control!$B$34=1,VLOOKUP($CP7,Control!$B$86:$G$91,5),Control!$B$38)</f>
        <v>0</v>
      </c>
      <c r="GC7" s="162">
        <f t="shared" ref="GC7:GC70" ca="1" si="153">$GB7</f>
        <v>0</v>
      </c>
      <c r="GD7" s="162">
        <f t="shared" ca="1" si="39"/>
        <v>1</v>
      </c>
      <c r="GE7" s="162">
        <f t="shared" ca="1" si="40"/>
        <v>1</v>
      </c>
      <c r="GF7" s="162">
        <f ca="1">IF(AND(Control!$C$104=1, Control!$C$62="F"),$GE7,1)</f>
        <v>1</v>
      </c>
      <c r="GG7" s="162" t="e">
        <f ca="1">IF(Control!$B$16=40,0,IF(AND(Control!$B$16&gt;40,Control!$B$16&lt;=360),(Control!$B$16-40)*((1-0)/(360-40)),IF(AND(Control!$B$16&gt;360,Control!$B$16&lt;=720),(1+(Control!$B$16-360)*((1.25-1)/(720-360))),IF(AND(Control!$B$16&gt;720,Control!$B$16&lt;=1000),(1.25+(Control!$B$16-720)*((1.35-1.25)/(1000-720))),IF(AND(Control!$B$16&gt;1000,Control!$B$16&lt;=2000),(1.35+(Control!$B$16-1000)*0))))))</f>
        <v>#N/A</v>
      </c>
      <c r="GH7" s="162" t="e">
        <f t="shared" ca="1" si="41"/>
        <v>#N/A</v>
      </c>
      <c r="GI7" s="162">
        <f ca="1">IF($E7&lt;=0,0,IF(AND($E7&gt;=3,$E7&lt;=30),1,(($E7-0)*((1-0)/(3-0)))))</f>
        <v>0</v>
      </c>
      <c r="GJ7" s="162">
        <f t="shared" ca="1" si="42"/>
        <v>0</v>
      </c>
      <c r="GK7" s="162">
        <f ca="1">IF(AND($AR7&gt;=0,$AR7&lt;=10),1,IF(AND($AR7&gt;=40,$AR7&lt;=42),0.33,((1+($AR7-10)*((0.33-1)/(40-10))))))</f>
        <v>1</v>
      </c>
      <c r="GL7" s="162">
        <f t="shared" ca="1" si="43"/>
        <v>1</v>
      </c>
      <c r="GM7" s="162" t="e">
        <f ca="1">MAX(0,MIN(1,1-Control!$C$156*(1.0001-$KH7)^2))</f>
        <v>#N/A</v>
      </c>
      <c r="GN7" s="162" t="e">
        <f ca="1">IF(Control!$B$26=1,$KU7,$KX7)</f>
        <v>#DIV/0!</v>
      </c>
      <c r="GO7" s="162">
        <f ca="1">IF($CP7&lt;=60,Control!$C$105,IF($CP7&gt;=90,Control!$C$106,Control!$C$105+($CP7-60)*((Control!$C$106-Control!$C$105)/(90-60))))</f>
        <v>3</v>
      </c>
      <c r="GP7" s="162" t="e">
        <f t="shared" ref="GP7:GP69" ca="1" si="154">$GJ7*$GH7*$GL7</f>
        <v>#N/A</v>
      </c>
      <c r="GQ7" s="162" t="e">
        <f t="shared" ref="GQ7:GQ70" ca="1" si="155">GN7*GO7*GP7</f>
        <v>#DIV/0!</v>
      </c>
      <c r="GR7" s="163" t="e">
        <f t="shared" ca="1" si="44"/>
        <v>#DIV/0!</v>
      </c>
      <c r="GS7" s="162" t="e">
        <f t="shared" ca="1" si="45"/>
        <v>#DIV/0!</v>
      </c>
      <c r="GT7" s="164">
        <f t="shared" ref="GT7:GT70" ca="1" si="156">($DE7*10000*($DV7*0.31))*0.00000001</f>
        <v>0</v>
      </c>
      <c r="GU7" s="162" t="e">
        <f t="shared" ref="GU7:GU70" ca="1" si="157">IF($EN7&lt;=0,$GT7*(1/$DF7),0)</f>
        <v>#N/A</v>
      </c>
      <c r="GV7" s="162" t="e">
        <f t="shared" ca="1" si="46"/>
        <v>#N/A</v>
      </c>
      <c r="GW7" s="162" t="e">
        <f ca="1">IF($GS7-$GV7&lt;=0,0,$GS7-$GV7)</f>
        <v>#DIV/0!</v>
      </c>
      <c r="GX7" s="162" t="e">
        <f ca="1">IF($GS7-$GV7&lt;=0, $GS7, $GV7)</f>
        <v>#DIV/0!</v>
      </c>
      <c r="GY7" s="162" t="e">
        <f t="shared" ref="GY7:GY70" ca="1" si="158">IF($GS7-$GU7&lt;=0, $GS7, $GU7)</f>
        <v>#DIV/0!</v>
      </c>
      <c r="GZ7" s="165" t="e">
        <f t="shared" ref="GZ7:GZ69" ca="1" si="159">$EF7+$EB7</f>
        <v>#N/A</v>
      </c>
      <c r="HA7" s="162" t="e">
        <f ca="1">IF(Control!$C$114=1, $DI7*$FS7, 0)</f>
        <v>#N/A</v>
      </c>
      <c r="HB7" s="162" t="e">
        <f ca="1">$FA7/Control!$C$64</f>
        <v>#N/A</v>
      </c>
      <c r="HC7" s="162" t="e">
        <f ca="1">$GW7-$HB7</f>
        <v>#DIV/0!</v>
      </c>
      <c r="HD7" s="162">
        <f ca="1">-ASIN(SIN(23.45*Control!$C$139)*COS(2*Control!$C$138*($AH7+10)/365))</f>
        <v>-0.40007681793319483</v>
      </c>
      <c r="HE7" s="165">
        <f t="shared" ref="HE7:HE70" ca="1" si="160">$HE6+$V7</f>
        <v>0</v>
      </c>
      <c r="HF7" s="166">
        <f ca="1">IF(AND(Control!$C$61="T",$HE7&gt;=Control!$C$103,Control!$C$114=0),$AH7,Control!$C$59)</f>
        <v>1</v>
      </c>
      <c r="HG7" s="166">
        <f ca="1">IF(AND(Control!$C$61="T",$HE7&gt;=Control!$C$103,Control!$C$114=0),$HF7,Control!$C$59)</f>
        <v>1</v>
      </c>
      <c r="HH7" s="165">
        <f ca="1">IF(AND(OR(Control!$C$60&lt;=0, $AH7= Control!$C$59, Control!$C$60 &gt;0, $AH7 = Control!$C$60)), Control!$C$59, IF(Control!$C$60&gt;0, 0))</f>
        <v>1</v>
      </c>
      <c r="HI7" s="165">
        <f ca="1">IF(AND(OR(Control!$C$60&lt;=0, $AH7= Control!$C$59, Control!$C$60 &gt;0, $AH7 = Control!$C$60)), Control!$C$60, IF(Control!$C$60&lt;=0, 0))</f>
        <v>0</v>
      </c>
      <c r="HJ7" s="166">
        <f ca="1">IF(AND(Control!$C$62="F",$CV7&gt;=Control!$C$102),$AH7,0)</f>
        <v>0</v>
      </c>
      <c r="HK7" s="165" t="e">
        <f ca="1">$HK6+$GX6</f>
        <v>#N/A</v>
      </c>
      <c r="HL7" s="166">
        <f ca="1">IF(AND(Control!$C$61="T",$HE7&gt;=Control!$C$103,Control!$C$114=0),$HF7,0)</f>
        <v>0</v>
      </c>
      <c r="HM7" s="201" t="e">
        <f t="shared" ca="1" si="47"/>
        <v>#DIV/0!</v>
      </c>
      <c r="HN7" s="215">
        <f t="shared" ref="HN7:HN70" ca="1" si="161">$CW7</f>
        <v>2</v>
      </c>
      <c r="HO7" s="216">
        <f ca="1">IF(AND($CP7&gt;=0, $CP7&lt;=90), Control!$C$152, Control!$C$152)</f>
        <v>3.5000000000000003E-2</v>
      </c>
      <c r="HP7" s="216">
        <f t="shared" ca="1" si="48"/>
        <v>3.5000000000000003E-2</v>
      </c>
      <c r="HQ7" s="217" t="e">
        <f ca="1">IF(OR(Control!$B$26=1,Control!$B$26=2),$KV7,$KS7)</f>
        <v>#DIV/0!</v>
      </c>
      <c r="HR7" s="218">
        <f ca="1">$HR6-$HQ6</f>
        <v>199.95801951008721</v>
      </c>
      <c r="HS7" s="216">
        <f ca="1">Control!$C$154*$HP7</f>
        <v>1.7500000000000002E-2</v>
      </c>
      <c r="HT7" s="216">
        <f ca="1">Control!$C$155*$HP7</f>
        <v>1.7500000000000002E-2</v>
      </c>
      <c r="HU7" s="217" t="e">
        <f ca="1">Control!$C$161*$FI7</f>
        <v>#N/A</v>
      </c>
      <c r="HV7" s="218">
        <f t="shared" ref="HV7:HV70" ca="1" si="162">$HV6+$HU6</f>
        <v>0</v>
      </c>
      <c r="HW7" s="218" t="e">
        <f ca="1">Control!$C$160*$FF7+$IP7*$EO7</f>
        <v>#N/A</v>
      </c>
      <c r="HX7" s="218">
        <f ca="1">$HX6+$HW6</f>
        <v>0</v>
      </c>
      <c r="HY7" s="219" t="e">
        <f ca="1">IF(Control!$C$114=1, $EB7*$FS7, 0)</f>
        <v>#N/A</v>
      </c>
      <c r="HZ7" s="91" t="e">
        <f t="shared" ca="1" si="49"/>
        <v>#N/A</v>
      </c>
      <c r="IA7" s="220">
        <f ca="1">Control!$C$153*$HO7</f>
        <v>3.5000000000000003E-2</v>
      </c>
      <c r="IB7" s="218" t="e">
        <f t="shared" ca="1" si="50"/>
        <v>#N/A</v>
      </c>
      <c r="IC7" s="220">
        <f ca="1">Control!$C$153*$HT7</f>
        <v>1.7500000000000002E-2</v>
      </c>
      <c r="ID7" s="218" t="e">
        <f t="shared" ca="1" si="51"/>
        <v>#N/A</v>
      </c>
      <c r="IE7" s="221" t="e">
        <f ca="1">($EB7*Control!$C$159+$EF7*Control!$C$160)/(IF($GZ7&lt;&gt;0,$GZ7,1))</f>
        <v>#N/A</v>
      </c>
      <c r="IF7" s="216" t="e">
        <f t="shared" ca="1" si="52"/>
        <v>#N/A</v>
      </c>
      <c r="IG7" s="91">
        <f ca="1">IF(OR(Control!$B$198=$AH7,Control!$B$199=$AH7, Control!$B$200=$AH7, Control!$B$201=$AH7, Control!$B$202=$AH7, Control!$B$203=$AH7, Control!$B$204=$AH7, Control!$B$205=$AH7, Control!$B$206=$AH7, Control!$B$207=$AH7), 1, 0)</f>
        <v>0</v>
      </c>
      <c r="IH7" s="91">
        <f ca="1">IF($IG7=0,0, VLOOKUP($AH7,Control!$B$198:$C$207,2))</f>
        <v>0</v>
      </c>
      <c r="II7" s="222">
        <f t="shared" ref="II7:II70" ca="1" si="163">$II6+$IH7</f>
        <v>0</v>
      </c>
      <c r="IJ7" s="91">
        <f>Control!$C$121</f>
        <v>0.7</v>
      </c>
      <c r="IK7" s="218">
        <f ca="1">$IH7*$IJ7</f>
        <v>0</v>
      </c>
      <c r="IL7" s="217" t="e">
        <f ca="1">$IL6+$KD6</f>
        <v>#N/A</v>
      </c>
      <c r="IM7" s="223" t="e">
        <f ca="1">IF(AND(Control!$C$114=1,$KH7&lt;1),$EB7*Control!$C$148*(1-$KH7), 0)</f>
        <v>#N/A</v>
      </c>
      <c r="IN7" s="217" t="e">
        <f t="shared" ca="1" si="54"/>
        <v>#DIV/0!</v>
      </c>
      <c r="IO7" s="91" t="e">
        <f ca="1">MAX(0,$IL7-$EF7*Control!$C$160)</f>
        <v>#N/A</v>
      </c>
      <c r="IP7" s="220" t="e">
        <f t="shared" ca="1" si="55"/>
        <v>#N/A</v>
      </c>
      <c r="IQ7" s="217" t="e">
        <f t="shared" ref="IQ7:IQ70" ca="1" si="164">$IQ6+$KF6</f>
        <v>#N/A</v>
      </c>
      <c r="IR7" s="218" t="e">
        <f ca="1">$IQ7+$IL7</f>
        <v>#N/A</v>
      </c>
      <c r="IS7" s="217" t="e">
        <f ca="1">Control!$C$159*MAX(0,$FD7-$EN7)</f>
        <v>#N/A</v>
      </c>
      <c r="IT7" s="217" t="e">
        <f ca="1">$IT6+$IS7</f>
        <v>#N/A</v>
      </c>
      <c r="IU7" s="217" t="e">
        <f t="shared" ref="IU7:IU70" ca="1" si="165">$KG7*$EN7</f>
        <v>#N/A</v>
      </c>
      <c r="IV7" s="217" t="e">
        <f ca="1">$IV6+$IU7</f>
        <v>#N/A</v>
      </c>
      <c r="IW7" s="217" t="e">
        <f ca="1">IF(OR($AW7=1,AND($AW7=0, Control!$B$18=1,$EN7&lt;&gt;0)), $IQ7-$IU7, $IQ7)</f>
        <v>#N/A</v>
      </c>
      <c r="IX7" s="218" t="e">
        <f t="shared" ca="1" si="57"/>
        <v>#N/A</v>
      </c>
      <c r="IY7" s="218" t="e">
        <f ca="1">MAX(0,$IQ7-$EB7*Control!$C$159)</f>
        <v>#N/A</v>
      </c>
      <c r="IZ7" s="218" t="e">
        <f t="shared" ca="1" si="58"/>
        <v>#N/A</v>
      </c>
      <c r="JA7" s="216" t="e">
        <f t="shared" ca="1" si="59"/>
        <v>#N/A</v>
      </c>
      <c r="JB7" s="217" t="e">
        <f t="shared" ca="1" si="60"/>
        <v>#N/A</v>
      </c>
      <c r="JC7" s="222" t="e">
        <f ca="1">MAX(Control!$C$157*$EK7-$JT7, 0)/Control!$C$162</f>
        <v>#N/A</v>
      </c>
      <c r="JD7" s="218" t="e">
        <f t="shared" ca="1" si="61"/>
        <v>#N/A</v>
      </c>
      <c r="JE7" s="218" t="e">
        <f t="shared" ca="1" si="62"/>
        <v>#N/A</v>
      </c>
      <c r="JF7" s="218" t="e">
        <f ca="1">$JF6+$JV6</f>
        <v>#N/A</v>
      </c>
      <c r="JG7" s="218" t="e">
        <f t="shared" ca="1" si="63"/>
        <v>#N/A</v>
      </c>
      <c r="JH7" s="217" t="e">
        <f t="shared" ref="JH7:JH70" ca="1" si="166">$IS7</f>
        <v>#N/A</v>
      </c>
      <c r="JI7" s="217" t="e">
        <f t="shared" ref="JI7:JI70" ca="1" si="167">MAX(0, $IZ7+$JB7+$JG7-JH7)</f>
        <v>#N/A</v>
      </c>
      <c r="JJ7" s="217" t="e">
        <f ca="1">$JJ6+$JL6</f>
        <v>#N/A</v>
      </c>
      <c r="JK7" s="217" t="e">
        <f ca="1">IF(Control!$C$114=1,IF(Control!$B$24=0,MAX(0,$JI7)*$GN7/Control!$C$64,(MAX(0,MIN($JI7,$JJ7*$GN7/Control!$C$64),0))))</f>
        <v>#N/A</v>
      </c>
      <c r="JL7" s="217" t="e">
        <f ca="1">$IK7/Control!$C$64-$JK7+$HQ7</f>
        <v>#N/A</v>
      </c>
      <c r="JM7" s="217" t="e">
        <f ca="1">IF(Control!$C$114=1,($JB7/(IF($JI7&lt;&gt;0,$JI7,1)))*$JK7,0)</f>
        <v>#N/A</v>
      </c>
      <c r="JN7" s="217" t="e">
        <f ca="1">IF(Control!$C$114=1,($JG7/(IF($JI7&lt;&gt;0,$JI7,1)))*$JK7, 0)</f>
        <v>#N/A</v>
      </c>
      <c r="JO7" s="218" t="e">
        <f t="shared" ca="1" si="64"/>
        <v>#N/A</v>
      </c>
      <c r="JP7" s="218" t="e">
        <f ca="1">MIN(($IY7+$IO7)*Control!$C$151, $JF7-$EH7*Control!$C$161)</f>
        <v>#N/A</v>
      </c>
      <c r="JQ7" s="218" t="e">
        <f t="shared" ca="1" si="65"/>
        <v>#N/A</v>
      </c>
      <c r="JR7" s="217">
        <f ca="1">IF($CP7-Control!$C$150&lt;0, 0, $JQ7/Control!$C$162)</f>
        <v>0</v>
      </c>
      <c r="JS7" s="218" t="e">
        <f t="shared" ca="1" si="66"/>
        <v>#N/A</v>
      </c>
      <c r="JT7" s="218">
        <f t="shared" ref="JT7:JT70" ca="1" si="168">$JT6+$JS6</f>
        <v>0</v>
      </c>
      <c r="JU7" s="218" t="e">
        <f t="shared" ca="1" si="67"/>
        <v>#N/A</v>
      </c>
      <c r="JV7" s="218" t="e">
        <f t="shared" ca="1" si="68"/>
        <v>#N/A</v>
      </c>
      <c r="JW7" s="216" t="e">
        <f t="shared" ca="1" si="69"/>
        <v>#N/A</v>
      </c>
      <c r="JX7" s="91" t="e">
        <f t="shared" ca="1" si="70"/>
        <v>#N/A</v>
      </c>
      <c r="JY7" s="218" t="e">
        <f t="shared" ca="1" si="71"/>
        <v>#N/A</v>
      </c>
      <c r="JZ7" s="217" t="e">
        <f ca="1">IF(Control!$C$114=1,($IZ7/(IF($JI7&lt;&gt;0,$JI7,1)))*$JK7, 0)</f>
        <v>#N/A</v>
      </c>
      <c r="KA7" s="218" t="e">
        <f ca="1">KA6+JK6</f>
        <v>#N/A</v>
      </c>
      <c r="KB7" s="218" t="e">
        <f t="shared" ref="KB7:KB70" ca="1" si="169">$IV7+$IW7+$HX7+$IL7+$JF7</f>
        <v>#N/A</v>
      </c>
      <c r="KC7" s="218" t="e">
        <f t="shared" ca="1" si="72"/>
        <v>#N/A</v>
      </c>
      <c r="KD7" s="218" t="e">
        <f t="shared" ca="1" si="73"/>
        <v>#N/A</v>
      </c>
      <c r="KE7" s="218" t="e">
        <f t="shared" ca="1" si="74"/>
        <v>#N/A</v>
      </c>
      <c r="KF7" s="218" t="e">
        <f t="shared" ca="1" si="75"/>
        <v>#N/A</v>
      </c>
      <c r="KG7" s="216" t="e">
        <f t="shared" ca="1" si="76"/>
        <v>#N/A</v>
      </c>
      <c r="KH7" s="221" t="e">
        <f ca="1">IF(Control!$B$24=0,1,MAX(0.001,MIN(1,IF(($IF7-$IE7)&lt;&gt;0,($KG7-$IE7)/($IF7-$IE7),1))))</f>
        <v>#N/A</v>
      </c>
      <c r="KI7" s="218">
        <f ca="1">IF(Control!$C$114=1, $KI6+ $KH6, 0)</f>
        <v>1</v>
      </c>
      <c r="KJ7" s="217">
        <f t="shared" ca="1" si="77"/>
        <v>1</v>
      </c>
      <c r="KK7" s="218" t="e">
        <f t="shared" ca="1" si="78"/>
        <v>#N/A</v>
      </c>
      <c r="KL7" s="274" t="e">
        <f ca="1">IF(Control!$B$26=3,4000000000*EXP(-8400/($G7+273)),IF(Control!$B$26=4,4000000000*EXP(-8400/($G7+273))*($KT7),0))</f>
        <v>#DIV/0!</v>
      </c>
      <c r="KM7" s="274" t="e">
        <f ca="1">IF(Control!$B$26=3,5600000000000*EXP(-9800/($G7+273)),IF(Control!$B$26=4,5600000000000*EXP(-9800/($G7+273))*$KT7,0))</f>
        <v>#DIV/0!</v>
      </c>
      <c r="KN7" s="454">
        <f t="shared" ref="KN7:KN70" ca="1" si="170">$KN6-$KN6*(1-EXP(-$KL6))</f>
        <v>149.98885060790565</v>
      </c>
      <c r="KO7" s="274">
        <f t="shared" ref="KO7:KO70" ca="1" si="171">$KO6-$KO6*(1-EXP(-$KM6))</f>
        <v>49.969168902181558</v>
      </c>
      <c r="KP7" s="454">
        <f t="shared" ca="1" si="79"/>
        <v>199.95801951008721</v>
      </c>
      <c r="KQ7" s="454" t="e">
        <f t="shared" ca="1" si="80"/>
        <v>#DIV/0!</v>
      </c>
      <c r="KR7" s="454" t="e">
        <f t="shared" ca="1" si="81"/>
        <v>#DIV/0!</v>
      </c>
      <c r="KS7" s="454" t="e">
        <f t="shared" ca="1" si="82"/>
        <v>#DIV/0!</v>
      </c>
      <c r="KT7" s="455" t="e">
        <f t="shared" ca="1" si="83"/>
        <v>#DIV/0!</v>
      </c>
      <c r="KU7" s="456" t="e">
        <f ca="1">IF($CP7-Control!$C$149&lt;0, IF($NT7-0.01&lt;0,0,1),0)</f>
        <v>#DIV/0!</v>
      </c>
      <c r="KV7" s="456" t="e">
        <f ca="1">IF(Control!$C$114=1,MAX(0,MIN(Control!$C$125*$KW7*$GN7,$KW7)))</f>
        <v>#DIV/0!</v>
      </c>
      <c r="KW7" s="456">
        <f ca="1">KW6-KV6</f>
        <v>73.125</v>
      </c>
      <c r="KX7" s="457" t="e">
        <f ca="1">IF($CP7-Control!$C$149&lt;0, IF($MR7-$OM7&lt;0,0,1),0)</f>
        <v>#DIV/0!</v>
      </c>
      <c r="KY7" s="167">
        <f t="shared" ref="KY7:KY70" ca="1" si="172">$AG7</f>
        <v>2</v>
      </c>
      <c r="KZ7" s="168">
        <f ca="1">1370*(1+0.033*COS(2*Control!$C$138*$AH7/365))</f>
        <v>1415.1832084621542</v>
      </c>
      <c r="LA7" s="169">
        <f t="shared" ref="LA7:LA70" ca="1" si="173">1+0.033*COS((2*PI()/365)*$AH7)</f>
        <v>1.0329804442244102</v>
      </c>
      <c r="LB7" s="169">
        <f t="shared" ref="LB7:LB70" ca="1" si="174">0.409*SIN((2*PI()*$AH7/365)-1.39)</f>
        <v>-0.39956372457913614</v>
      </c>
      <c r="LC7" s="169">
        <f ca="1">ACOS(-TAN((2*Control!$B$8/360))*TAN(Calculations!$LB7))</f>
        <v>1.4449618491987064</v>
      </c>
      <c r="LD7" s="169">
        <f ca="1">((24*60)/PI())*0.082*$LA7*(($LC7*SIN(Control!$B$8*2*PI()/360))*SIN($LB7)+COS(Control!$B$8*2*PI()/360)*COS($LB7)*SIN($LC7))</f>
        <v>4.6485951789618731</v>
      </c>
      <c r="LE7" s="170">
        <f t="shared" ca="1" si="84"/>
        <v>6.2912262292125529</v>
      </c>
      <c r="LF7" s="170">
        <f ca="1">SIN(Control!$C$139*Control!$B$8)*SIN($HD7)</f>
        <v>-0.30692210431183647</v>
      </c>
      <c r="LG7" s="170">
        <f ca="1">COS(Control!$C$139*Control!$B$8)*COS($HD7)</f>
        <v>0.56704181134350096</v>
      </c>
      <c r="LH7" s="170">
        <f ca="1">12*(1+2*ASIN(MAX(-1,MIN(1,$LF7/$LG7))/Control!$C$138))</f>
        <v>7.8442843594609508</v>
      </c>
      <c r="LI7" s="170">
        <f ca="1">12*(1+2*ASIN(MAX(-1,MIN(1,(-SIN(-4*Control!$C$139)+$LF7)/$LG7))/Control!$C$138))</f>
        <v>8.7952948539847391</v>
      </c>
      <c r="LJ7" s="168">
        <f ca="1">3600*($LH7*$LF7+24*$LG7*SQRT(1-$LK7*$LK7)/Control!$C$138)</f>
        <v>4445.5206870699649</v>
      </c>
      <c r="LK7" s="170">
        <f t="shared" ca="1" si="85"/>
        <v>-0.54126891204837468</v>
      </c>
      <c r="LL7" s="170">
        <f t="shared" ca="1" si="86"/>
        <v>0</v>
      </c>
      <c r="LM7" s="171">
        <f ca="1">Control!$C$145*$AB7</f>
        <v>6.6660906138995932E-2</v>
      </c>
      <c r="LN7" s="170">
        <f t="shared" ref="LN7:LN70" ca="1" si="175">0.54+0.35*MAX(0,MIN(1,$F7-12)/4)</f>
        <v>0.54</v>
      </c>
      <c r="LO7" s="170">
        <f t="shared" ca="1" si="87"/>
        <v>0</v>
      </c>
      <c r="LP7" s="170">
        <f ca="1">Control!$C$140*((($D7+273.16)^4+($E7+273.16)^4)/2)*(0.34-0.14*SQRT($Y7))*(1.35*$AQ7/(0.75*$LD7)-0.35)</f>
        <v>-3.2464704755046001</v>
      </c>
      <c r="LQ7" s="170">
        <f ca="1">Control!$C$140*($G7+273)^4*(0.56-0.079*SQRT($Y7*10))*(0.1+0.9*$LO7)</f>
        <v>1.5241745131704001</v>
      </c>
      <c r="LR7" s="170">
        <f ca="1">$AQ7*(1-Control!$C$142)-$LQ7</f>
        <v>-1.5241745131704001</v>
      </c>
      <c r="LS7" s="170">
        <f ca="1">$AQ7*(1-Control!$C$143)-$LQ7</f>
        <v>-1.5241745131704001</v>
      </c>
      <c r="LT7" s="170">
        <f ca="1">$AQ7*(1-Control!$C$144)-$LQ7</f>
        <v>-1.5241745131704001</v>
      </c>
      <c r="LU7" s="169">
        <f ca="1">(1-Control!$C$144)*AQ7-LP7</f>
        <v>3.2464704755046001</v>
      </c>
      <c r="LV7" s="172">
        <f t="shared" ca="1" si="88"/>
        <v>0.79430000000000012</v>
      </c>
      <c r="LW7" s="170">
        <f t="shared" ca="1" si="89"/>
        <v>1.5886000000000002</v>
      </c>
      <c r="LX7" s="170">
        <f ca="1">($AC7*($LR7/Control!$C$141)+$LM7*$LV7)/($AC7+$LM7)</f>
        <v>0.23530094218323697</v>
      </c>
      <c r="LY7" s="170">
        <f ca="1">($AC7*($LS7/Control!$C$141)+$LM7*$LV7)/($AC7+$LM7)</f>
        <v>0.23530094218323697</v>
      </c>
      <c r="LZ7" s="170">
        <f t="shared" ca="1" si="90"/>
        <v>0.23530094218323697</v>
      </c>
      <c r="MA7" s="170">
        <f t="shared" ca="1" si="91"/>
        <v>0.23530094218323697</v>
      </c>
      <c r="MB7" s="170" t="e">
        <f t="shared" ca="1" si="92"/>
        <v>#N/A</v>
      </c>
      <c r="MC7" s="170">
        <f t="shared" ref="MC7:MC70" ca="1" si="176">$AA7-$Y7</f>
        <v>0.6018</v>
      </c>
      <c r="MD7" s="170">
        <f t="shared" ca="1" si="93"/>
        <v>0.52989392535414004</v>
      </c>
      <c r="ME7" s="170">
        <f ca="1">($AC7*($LT7/Control!$C$141)+$LM7*$LW7)/($AC7+$LM7)</f>
        <v>0.71612369323045078</v>
      </c>
      <c r="MF7" s="170" t="e">
        <f ca="1">IF(Control!$B$16&gt;=1000,0.92,IF(AND(720&lt;=Control!$B$16,1000&gt;Control!$B$16),(0.95+(Control!$B$16-720)*((0.92-0.95)/(1000-720))),IF(AND(360&lt;=Control!$B$16,720&gt;Control!$B$16),(1+(Control!$B$16-360)*((0.95-1)/(720-360))),IF(AND(40&lt;=Control!$B$16,360&gt;Control!$B$16),(1.05+(Control!$B$16-40)*((1.05-1)/(360-40)))))))</f>
        <v>#N/A</v>
      </c>
      <c r="MG7" s="170">
        <f t="shared" ca="1" si="94"/>
        <v>0.71612369323045078</v>
      </c>
      <c r="MH7" s="170" t="e">
        <f t="shared" ca="1" si="95"/>
        <v>#N/A</v>
      </c>
      <c r="MI7" s="170" t="e">
        <f t="shared" ca="1" si="95"/>
        <v>#N/A</v>
      </c>
      <c r="MJ7" s="170" t="e">
        <f ca="1">MAX(0.0001, Control!$C$132*$MI7*$DL7)</f>
        <v>#N/A</v>
      </c>
      <c r="MK7" s="170">
        <f ca="1">1/(0.76+1.5*($MG7/10))-(5-Control!$C$110)*0.1</f>
        <v>1.002845988140797</v>
      </c>
      <c r="ML7" s="173">
        <f ca="1">IF(Control!$C$110&lt;3,$MK7+($MG7-0.6)/(Control!$C$110*(Control!$C$110+3)), MAX(0.1, MIN(0.95,$MK7)))</f>
        <v>0.95</v>
      </c>
      <c r="MM7" s="173">
        <f ca="1">IF(Control!$C$110&lt;3,$MK7+(($MI7/10)-0.6)/(Control!$C$110*(Control!$C$110+3)), MAX(0.1, MIN(0.95,$MK7)))</f>
        <v>0.95</v>
      </c>
      <c r="MN7" s="173">
        <f ca="1">(1-$MM7)*(Control!$C$128-Control!$C$127)+Control!$C$127</f>
        <v>0.16</v>
      </c>
      <c r="MO7" s="170" t="e">
        <f ca="1">MAX(0,MIN(1,($MS7-Control!$C$127)/($MN7-Control!$C$127)))</f>
        <v>#DIV/0!</v>
      </c>
      <c r="MP7" s="173" t="e">
        <f ca="1">1/(0.76+1.5*$MI7)-(5-Control!$C$110)*0.1</f>
        <v>#N/A</v>
      </c>
      <c r="MQ7" s="172">
        <f ca="1">$MQ6+$NL6</f>
        <v>0</v>
      </c>
      <c r="MR7" s="168" t="e">
        <f ca="1">$MR6+$OI6</f>
        <v>#DIV/0!</v>
      </c>
      <c r="MS7" s="173" t="e">
        <f ca="1">MAX(Control!$C$127, MIN(Control!$C$135, $MR7/MAX(0.0001,$CY7)))</f>
        <v>#DIV/0!</v>
      </c>
      <c r="MT7" s="168" t="e">
        <f ca="1">(Control!$C$128-$MS7)*Control!$C$74</f>
        <v>#DIV/0!</v>
      </c>
      <c r="MU7" s="168" t="e">
        <f ca="1">(Control!$C$135-$MS7)*Control!$C$74</f>
        <v>#DIV/0!</v>
      </c>
      <c r="MV7" s="168" t="e">
        <f ca="1">$MV6+$OA6</f>
        <v>#DIV/0!</v>
      </c>
      <c r="MW7" s="168" t="e">
        <f t="shared" ref="MW7:MW70" ca="1" si="177">$MW6+$OJ6</f>
        <v>#DIV/0!</v>
      </c>
      <c r="MX7" s="171" t="e">
        <f ca="1">MAX(Control!$C$127, MIN(Control!$C$135, $MW7/MAX(0.0001,Control!$C$119-$CY7)))</f>
        <v>#DIV/0!</v>
      </c>
      <c r="MY7" s="54" t="e">
        <f ca="1">IF(Control!$C$114=1, $CX7*$MX7, 0)</f>
        <v>#DIV/0!</v>
      </c>
      <c r="MZ7" s="54" t="e">
        <f t="shared" ref="MZ7:MZ70" ca="1" si="178">$MZ6+$MY6</f>
        <v>#N/A</v>
      </c>
      <c r="NA7" s="168" t="e">
        <f ca="1">(Control!$C$128-$MX7)*(Control!$C$119-Control!$C$74)</f>
        <v>#DIV/0!</v>
      </c>
      <c r="NB7" s="168" t="e">
        <f ca="1">(Control!$C$135-$MX7)*(Control!$C$119-Control!$C$74)</f>
        <v>#DIV/0!</v>
      </c>
      <c r="NC7" s="174">
        <f t="shared" ref="NC7:NC70" ca="1" si="179">IF($NL6&gt;=5, 1, $NC6+1)</f>
        <v>2</v>
      </c>
      <c r="ND7" s="54">
        <f ca="1">IF(Control!$C$58=2, IF(OR(Control!$B$218=$AH7,Control!$B$219=$AH7, Control!$B$220=$AH7, Control!$B$221=$AH7, Control!$B$222=$AH7, Control!$B$223=$AH7, Control!$B$224=$AH7, Control!$B$225=$AH7, Control!$B$226=$AH7, Control!$B$227=$AH7, Control!$B$228=$AH7), 1, 0), 0)</f>
        <v>0</v>
      </c>
      <c r="NE7" s="54">
        <f ca="1">IF($ND7=0,0, VLOOKUP($AH7,Control!$B$218:$C$228,2))</f>
        <v>0</v>
      </c>
      <c r="NF7" s="168" t="e">
        <f ca="1">$CY7*(Control!$C$128-Control!$C$127)</f>
        <v>#N/A</v>
      </c>
      <c r="NG7" s="54">
        <f ca="1">IF(Control!$C$58=2, $NI6-$NJ6, 0)</f>
        <v>0</v>
      </c>
      <c r="NH7" s="54">
        <f ca="1">IF(AND(Control!$C$58=1, $MS6&lt;= ($MN6+0.02), $I6&lt;10), 0, IF(Control!$C$58=2, $NG6, 0))</f>
        <v>0</v>
      </c>
      <c r="NI7" s="54">
        <f ca="1">IF(Control!$C$58=2, $NE7+$NH7,0)</f>
        <v>0</v>
      </c>
      <c r="NJ7" s="54" t="e">
        <f ca="1">IF(AND(Control!$C$58=1, $MS7&lt;= ($MN7+0.02), $I7&lt;10), MAX(0, MIN(10, 0.7*($NF7-$MV7))), IF(Control!$C$58=2, MIN(10,$NI7),0))</f>
        <v>#DIV/0!</v>
      </c>
      <c r="NK7" s="54" t="e">
        <f t="shared" ca="1" si="96"/>
        <v>#DIV/0!</v>
      </c>
      <c r="NL7" s="173" t="e">
        <f ca="1">(1-Control!$C$73)*$I7+$NJ7</f>
        <v>#DIV/0!</v>
      </c>
      <c r="NM7" s="172" t="e">
        <f ca="1">IF($NL7&lt;0.5, $MB7* MAX(0, MIN(1, (SQRT($NC7)-SQRT($NC7-1))*Control!$C$71)),0)</f>
        <v>#DIV/0!</v>
      </c>
      <c r="NN7" s="170" t="e">
        <f ca="1">IF($NL7&gt;=5, $MB7, MAX(0,MIN($MB7, $NM7+$NL7,($MS7-Control!$C$129))))</f>
        <v>#DIV/0!</v>
      </c>
      <c r="NO7" s="54">
        <f>IF(Control!$C$133&lt;&gt;1, Control!$C$135-Control!$C$131, 0)</f>
        <v>0.38</v>
      </c>
      <c r="NP7" s="54" t="e">
        <f t="shared" ca="1" si="97"/>
        <v>#DIV/0!</v>
      </c>
      <c r="NQ7" s="173" t="e">
        <f ca="1">MAX(0,MIN(1,(Control!$C$135-$MS7)/(Control!$C$135-$NO7)))</f>
        <v>#DIV/0!</v>
      </c>
      <c r="NR7" s="170" t="e">
        <f ca="1">IF(Control!$C$133&lt;&gt;1, $NQ7+((1-$NP7/4)*(1-$NQ7)),1)</f>
        <v>#DIV/0!</v>
      </c>
      <c r="NS7" s="170" t="e">
        <f ca="1">IF(Control!$B$31=0,$MJ7,MAX(0,MIN($MV7,$MO7*$NR7*$MJ7)))</f>
        <v>#DIV/0!</v>
      </c>
      <c r="NT7" s="170" t="e">
        <f ca="1">$NS7/$MJ7</f>
        <v>#DIV/0!</v>
      </c>
      <c r="NU7" s="170" t="e">
        <f t="shared" ref="NU7:NU70" ca="1" si="180">$NU6+$NT7</f>
        <v>#N/A</v>
      </c>
      <c r="NV7" s="170" t="e">
        <f t="shared" ca="1" si="98"/>
        <v>#N/A</v>
      </c>
      <c r="NW7" s="175" t="e">
        <f ca="1">$NL7-$NN7-$NS7</f>
        <v>#DIV/0!</v>
      </c>
      <c r="NX7" s="170" t="e">
        <f ca="1">MIN(Control!$C$72+$MU7, $NW7)</f>
        <v>#DIV/0!</v>
      </c>
      <c r="NY7" s="170" t="e">
        <f ca="1">IF($MT7&lt;=$NX7,MIN(Control!$C$72+$NB7,$NX7-$MT7),0)</f>
        <v>#DIV/0!</v>
      </c>
      <c r="NZ7" s="54" t="e">
        <f ca="1">IF(Control!$C$114=1,  $CX7*($MX7-Control!$C$127), 0)</f>
        <v>#DIV/0!</v>
      </c>
      <c r="OA7" s="170" t="e">
        <f t="shared" ref="OA7:OA69" ca="1" si="181">$NX7-$NY7+$NZ7</f>
        <v>#DIV/0!</v>
      </c>
      <c r="OB7" s="170" t="e">
        <f ca="1">IF($NA7 &lt;=$NY7, MIN(Control!$C$72, $NY7-$NA7), 0)</f>
        <v>#DIV/0!</v>
      </c>
      <c r="OC7" s="168" t="e">
        <f t="shared" ca="1" si="100"/>
        <v>#DIV/0!</v>
      </c>
      <c r="OD7" s="168" t="e">
        <f t="shared" ref="OD7:OD70" ca="1" si="182">$OD6+$OC6</f>
        <v>#DIV/0!</v>
      </c>
      <c r="OE7" s="170">
        <f ca="1">Control!$C$73*$I7</f>
        <v>0</v>
      </c>
      <c r="OF7" s="176" t="e">
        <f ca="1">$OE7+MAX(0,$NW7-$NX7)</f>
        <v>#DIV/0!</v>
      </c>
      <c r="OG7" s="168" t="e">
        <f t="shared" ca="1" si="102"/>
        <v>#DIV/0!</v>
      </c>
      <c r="OH7" s="168" t="e">
        <f t="shared" ca="1" si="103"/>
        <v>#DIV/0!</v>
      </c>
      <c r="OI7" s="168" t="e">
        <f ca="1">$NX7-$NY7+$MY7</f>
        <v>#DIV/0!</v>
      </c>
      <c r="OJ7" s="168" t="e">
        <f t="shared" ca="1" si="105"/>
        <v>#DIV/0!</v>
      </c>
      <c r="OK7" s="204" t="e">
        <f t="shared" ref="OK7:OK69" ca="1" si="183">$OG7+$OH7</f>
        <v>#DIV/0!</v>
      </c>
      <c r="OL7" s="177">
        <f>Control!$C$127</f>
        <v>0.15</v>
      </c>
      <c r="OM7" s="182" t="e">
        <f t="shared" ca="1" si="106"/>
        <v>#N/A</v>
      </c>
      <c r="ON7" s="177">
        <f>Control!$C$128</f>
        <v>0.35</v>
      </c>
      <c r="OO7" s="182" t="e">
        <f t="shared" ca="1" si="107"/>
        <v>#N/A</v>
      </c>
      <c r="OP7" s="138">
        <f t="shared" ref="OP7:OP70" ca="1" si="184">$OP6+$I6</f>
        <v>0</v>
      </c>
      <c r="OQ7" s="138">
        <f ca="1">$OQ6+$NJ6</f>
        <v>0</v>
      </c>
      <c r="OR7" s="138">
        <f t="shared" ref="OR7:OR70" ca="1" si="185">$OP7+$OQ7</f>
        <v>0</v>
      </c>
      <c r="OS7" s="137" t="e">
        <f ca="1">$OS6+$OF6</f>
        <v>#DIV/0!</v>
      </c>
      <c r="OT7" s="139" t="e">
        <f ca="1">$OT6+$OB6</f>
        <v>#DIV/0!</v>
      </c>
      <c r="OU7" s="138" t="e">
        <f ca="1">$OU6+$NS6</f>
        <v>#N/A</v>
      </c>
      <c r="OV7" s="138" t="e">
        <f ca="1">$OV6+$NN6</f>
        <v>#DIV/0!</v>
      </c>
      <c r="OW7" s="138" t="e">
        <f t="shared" ref="OW7:OW70" ca="1" si="186">$OW6+$OI7</f>
        <v>#DIV/0!</v>
      </c>
      <c r="OX7" s="138" t="e">
        <f t="shared" ref="OX7:OX70" ca="1" si="187">$OX6+$OI6</f>
        <v>#DIV/0!</v>
      </c>
      <c r="OY7" s="138" t="e">
        <f t="shared" ref="OY7:OY70" ca="1" si="188">$OY6+$OJ6</f>
        <v>#DIV/0!</v>
      </c>
      <c r="OZ7" s="138" t="e">
        <f t="shared" ca="1" si="108"/>
        <v>#DIV/0!</v>
      </c>
      <c r="PA7" s="138" t="e">
        <f t="shared" ca="1" si="109"/>
        <v>#DIV/0!</v>
      </c>
      <c r="PB7" s="55">
        <f>IF(Control!$C$61="T", IF(Control!$C$65="F", IF($AH$6-Control!$C$60&lt;0,0,1), IF(365+$AH$6-Control!$C$60&lt;0,0,1)),0)</f>
        <v>0</v>
      </c>
      <c r="PC7" s="55">
        <f ca="1">IF(Control!$C$65="F", IF($AH$6-$HF7&lt;0,0,1), IF(365+$AH$6-$HF7&lt;0,0,1))</f>
        <v>1</v>
      </c>
      <c r="PD7" s="444">
        <f>Control!$C$118</f>
        <v>1500</v>
      </c>
      <c r="PE7" s="180" t="e">
        <f t="shared" ca="1" si="110"/>
        <v>#N/A</v>
      </c>
      <c r="PF7" s="445">
        <f t="shared" ref="PF7:PF70" ca="1" si="189">$ME7</f>
        <v>0.71612369323045078</v>
      </c>
      <c r="PT7" s="186"/>
      <c r="PU7" s="186"/>
      <c r="PV7" s="94"/>
      <c r="PW7" s="94"/>
      <c r="PX7" s="94"/>
      <c r="PY7" s="94"/>
      <c r="PZ7" s="94"/>
      <c r="QA7" s="94"/>
      <c r="QB7" s="94"/>
      <c r="QC7" s="94"/>
      <c r="QD7" s="94"/>
      <c r="QE7" s="94"/>
      <c r="QF7" s="94"/>
      <c r="QG7" s="94"/>
      <c r="QH7" s="94"/>
      <c r="QI7" s="94"/>
      <c r="QJ7" s="94"/>
      <c r="QK7" s="94"/>
      <c r="QL7" s="94"/>
      <c r="QM7" s="94"/>
      <c r="QN7" s="94"/>
      <c r="QO7" s="94"/>
      <c r="QP7" s="94"/>
    </row>
    <row r="8" spans="1:458" s="2" customFormat="1" x14ac:dyDescent="0.2">
      <c r="A8" s="386">
        <v>3</v>
      </c>
      <c r="B8" s="387">
        <v>1</v>
      </c>
      <c r="C8" s="387">
        <f ca="1">Weather_data!$B7</f>
        <v>0</v>
      </c>
      <c r="D8" s="388">
        <f ca="1">Weather_data!$F7</f>
        <v>0</v>
      </c>
      <c r="E8" s="388">
        <f ca="1">Weather_data!$E7</f>
        <v>0</v>
      </c>
      <c r="F8" s="388">
        <f t="shared" ca="1" si="111"/>
        <v>0</v>
      </c>
      <c r="G8" s="388">
        <f ca="1">AVERAGE($D8:$E8)+Control!$B$9</f>
        <v>0</v>
      </c>
      <c r="H8" s="388">
        <f ca="1">Weather_data!$G7</f>
        <v>0</v>
      </c>
      <c r="I8" s="388">
        <f ca="1">Weather_data!$I7</f>
        <v>0</v>
      </c>
      <c r="J8" s="388">
        <f ca="1">Weather_data!$H7</f>
        <v>0</v>
      </c>
      <c r="K8" s="389">
        <f ca="1">Weather_data!$D7</f>
        <v>0</v>
      </c>
      <c r="L8" s="388" t="e">
        <f t="shared" ca="1" si="112"/>
        <v>#N/A</v>
      </c>
      <c r="M8" s="388" t="e">
        <f t="shared" ca="1" si="0"/>
        <v>#N/A</v>
      </c>
      <c r="N8" s="388">
        <f t="shared" ca="1" si="1"/>
        <v>-0.40499999999999997</v>
      </c>
      <c r="O8" s="388">
        <f t="shared" ca="1" si="113"/>
        <v>4.05</v>
      </c>
      <c r="P8" s="390">
        <v>3</v>
      </c>
      <c r="Q8" s="388">
        <f ca="1">MAX($G8-Control!$C$107,0)</f>
        <v>0</v>
      </c>
      <c r="R8" s="388">
        <f t="shared" ca="1" si="114"/>
        <v>0</v>
      </c>
      <c r="S8" s="388">
        <f t="shared" ca="1" si="2"/>
        <v>0</v>
      </c>
      <c r="T8" s="388">
        <f t="shared" ca="1" si="3"/>
        <v>0</v>
      </c>
      <c r="U8" s="59">
        <f t="shared" ca="1" si="4"/>
        <v>0</v>
      </c>
      <c r="V8" s="391">
        <f ca="1">MAX(0,MIN(Control!$C$100-Control!$C$99,$G8-Control!$C$99)*Control!$C$63)</f>
        <v>0</v>
      </c>
      <c r="W8" s="388">
        <f t="shared" ref="W8:W70" ca="1" si="190">$D8-0.25*($D8-$E8)</f>
        <v>0</v>
      </c>
      <c r="X8" s="388">
        <f t="shared" ca="1" si="115"/>
        <v>0.6110000000000001</v>
      </c>
      <c r="Y8" s="388">
        <f t="shared" ca="1" si="116"/>
        <v>0</v>
      </c>
      <c r="Z8" s="388">
        <f t="shared" ca="1" si="117"/>
        <v>0.61058800000000002</v>
      </c>
      <c r="AA8" s="388">
        <f t="shared" ca="1" si="5"/>
        <v>0.6018</v>
      </c>
      <c r="AB8" s="388">
        <f ca="1">101.3*EXP(-0.034*Control!$C$66/($G8+273))</f>
        <v>100.69623283836242</v>
      </c>
      <c r="AC8" s="392">
        <f ca="1">(239*17*$X8/($G8+239)^2)</f>
        <v>4.3460251046025113E-2</v>
      </c>
      <c r="AD8" s="392">
        <f t="shared" ca="1" si="7"/>
        <v>4.4450382862832649E-2</v>
      </c>
      <c r="AE8" s="388">
        <f t="shared" ca="1" si="8"/>
        <v>0</v>
      </c>
      <c r="AF8" s="388">
        <f ca="1">MAX(0,$G8-Control!$C$92)</f>
        <v>0</v>
      </c>
      <c r="AG8" s="393">
        <f t="shared" ca="1" si="118"/>
        <v>3</v>
      </c>
      <c r="AH8" s="389">
        <f t="shared" ca="1" si="9"/>
        <v>3</v>
      </c>
      <c r="AI8" s="388">
        <f t="shared" ca="1" si="119"/>
        <v>-0.39848925045819056</v>
      </c>
      <c r="AJ8" s="388">
        <f ca="1">IF(Control!$C$60&lt;=0,$HH8,$HI8)</f>
        <v>1</v>
      </c>
      <c r="AK8" s="388">
        <f t="shared" ca="1" si="10"/>
        <v>-1.3254938867200772</v>
      </c>
      <c r="AL8" s="388">
        <f t="shared" ca="1" si="11"/>
        <v>1.7357903309145329E-18</v>
      </c>
      <c r="AM8" s="388">
        <f t="shared" ca="1" si="12"/>
        <v>-1.3254938867200772</v>
      </c>
      <c r="AN8" s="388">
        <f t="shared" ca="1" si="13"/>
        <v>-0.39617389894527738</v>
      </c>
      <c r="AO8" s="388">
        <f ca="1">-0.10453/COS(Control!$B$8*PI()/180)*COS(AN8)</f>
        <v>-0.15663404218107393</v>
      </c>
      <c r="AP8" s="388">
        <f ca="1">ACOS(AO8-TAN(Control!$B$8*PI()/180)*TAN(AN8))</f>
        <v>1.1823474428985685</v>
      </c>
      <c r="AQ8" s="388">
        <f t="shared" ca="1" si="120"/>
        <v>0</v>
      </c>
      <c r="AR8" s="394">
        <f t="shared" ca="1" si="14"/>
        <v>0</v>
      </c>
      <c r="AS8" s="436">
        <f ca="1">IF(Control!$B$18=2,(IF(OR($AH8=Control!$B$175,$AH8=Control!$B$176,$AH8=Control!$B$177,$AH8=Control!$B$178,$AH8=Control!$B$179,$AH8=Control!$B$180,$AH8=Control!$B$181,$AH8=Control!$B$182,$AH8=Control!$B$183,$AH8=Control!$B$184,$AH8=Control!$B$185),1,0)),0)</f>
        <v>0</v>
      </c>
      <c r="AT8" s="436">
        <f>IF(Control!$B$20=8,IF(AND($AH8&gt;=Control!$B$172,$AH8&lt;=Control!$B$173),1,0),0)</f>
        <v>0</v>
      </c>
      <c r="AU8" s="436">
        <f>IF(Control!$B$20=8,IF($AV7=1,1*$AT8,IF($AT8=1,$AU7+1,$AU7)),0)</f>
        <v>0</v>
      </c>
      <c r="AV8" s="436">
        <f>IF(Control!$B$20=8,IF($AU8&gt;=Control!$B$174,1,0),0)</f>
        <v>0</v>
      </c>
      <c r="AW8" s="436">
        <f ca="1">IF(AND(Control!$B$18=2,Control!$B$171=1), $AV8, $AS8)</f>
        <v>0</v>
      </c>
      <c r="AX8" s="436" t="e">
        <f ca="1">IF(AND(Control!$B$18=1,$EU8&gt;=Control!$B$19),-$AY8,IF(AND(Control!$B$18=2,$AW8=1,$EU8&gt;$DS8),-$AY8, IF(Control!$C$108=0,0, IF(Control!$C$108&lt;&gt;0,1))))</f>
        <v>#N/A</v>
      </c>
      <c r="AY8" s="436">
        <f t="shared" ca="1" si="121"/>
        <v>2</v>
      </c>
      <c r="AZ8" s="436" t="e">
        <f ca="1">IF(AND(Control!$B$18=1,$EB8&gt;Control!$B$19),$AZ7+1, IF(AND(Control!$B$18=2, $AW8=1, $EB8&gt;$DS8), $AZ7+1,$AZ7))</f>
        <v>#N/A</v>
      </c>
      <c r="BA8" s="587">
        <f>IF(Control!$C$81=0,1,IF($AH8&gt;=Control!$C$82,1,0))</f>
        <v>1</v>
      </c>
      <c r="BB8" s="140" t="e">
        <f ca="1">IF($BA8&gt;$BA7,Control!$C$83,IF($AW8&gt;0,$AW8*Control!$C$84,IF(AND(Control!$B$18=1,EN7&lt;&gt;0),Control!$C$84,0)))</f>
        <v>#N/A</v>
      </c>
      <c r="BC8" s="140" t="e">
        <f t="shared" ca="1" si="122"/>
        <v>#N/A</v>
      </c>
      <c r="BD8" s="140" t="e">
        <f ca="1">BC8*IF(OR($G8&lt;Control!$C$92,$G8&gt;Control!$C$95),0,IF(AND($G8&gt;=Control!$C$92,$G8&lt;=Control!$C$93),$G8-Control!$C$92,IF(AND($G8&gt;Control!$C$93,$G8&lt;=Control!$C$94),Control!$C$93-Control!$C$92,IF(AND($G8&gt;Control!$C$94,$G8&lt;=Control!$C$95),(Control!$C$93-Control!$C$92)*(Control!$C$94-$G8)/(Control!$C$95-Control!$C$94)))))</f>
        <v>#N/A</v>
      </c>
      <c r="BE8" s="140" t="e">
        <f t="shared" ca="1" si="123"/>
        <v>#N/A</v>
      </c>
      <c r="BF8" s="140" t="e">
        <f ca="1">IF($BE8&lt;=Control!$C$86,$BE8,Control!$C$86-$BE8)</f>
        <v>#N/A</v>
      </c>
      <c r="BG8" s="140" t="e">
        <f ca="1">IF(AND($AW8=1,Control!$C$84&lt;9),1,IF($BE8&gt;=Control!$C$86,0,$BC8))</f>
        <v>#N/A</v>
      </c>
      <c r="BH8" s="404" t="e">
        <f ca="1">IF($BG8=0,0,IF($BE8&lt;=Control!$C$86,$BC8*9*($BF8/Control!$C$86),0))</f>
        <v>#N/A</v>
      </c>
      <c r="BI8" s="140" t="e">
        <f ca="1">IF($BG8=1,0,IF($BE8&gt;=Control!$C$86,1,IF(AND($BB8&lt;21,$BB8&gt;=9),1,$BM7)))</f>
        <v>#N/A</v>
      </c>
      <c r="BJ8" s="140" t="e">
        <f ca="1">IF($BF8&lt;0,-$BF8,$BI8*IF(OR($G8&lt;Control!$C$92,$G8&gt;Control!$C$95),0,IF(AND($G8&gt;=Control!$C$92,$G8&lt;=Control!$C$93),$G8-Control!$C$92,IF(AND($G8&gt;Control!$C$93,$G8&lt;=Control!$C$94),Control!$C$93-Control!$C$92,IF(AND($G8&gt;Control!$C$94,$G8&lt;=Control!$C$95),(Control!$C$93-Control!$C$92)*(Control!$C$94-$G8)/(Control!$C$95-Control!$C$94))))))</f>
        <v>#N/A</v>
      </c>
      <c r="BK8" s="140" t="e">
        <f t="shared" ca="1" si="124"/>
        <v>#N/A</v>
      </c>
      <c r="BL8" s="140" t="e">
        <f ca="1">IF($BK8&lt;=Control!$C$87,$BK8,Control!$C$87-$BK8)</f>
        <v>#N/A</v>
      </c>
      <c r="BM8" s="140" t="e">
        <f ca="1">IF(AND($BB8&gt;=9,$BB8&lt;21),1,IF($BK8&gt;=Control!$C$87,0,$BI8))</f>
        <v>#N/A</v>
      </c>
      <c r="BN8" s="404" t="e">
        <f ca="1">IF($BM8=0,0,IF($BK8&lt;=Control!$C$87,$BI8*(9+(21-9)*($BL8/Control!$C$87)),0))</f>
        <v>#N/A</v>
      </c>
      <c r="BO8" s="140" t="e">
        <f ca="1">IF($BM8=1,0,IF($BK8&gt;=Control!$C$87,1,IF(AND($BB8&lt;30,$BB8&gt;=21),1,$BS7)))</f>
        <v>#N/A</v>
      </c>
      <c r="BP8" s="140" t="e">
        <f ca="1">IF($BL8&lt;0,-$BL8,$BO8*IF(OR($G8&lt;Control!$C$92,$G8&gt;Control!$C$95),0,IF(AND($G8&gt;=Control!$C$92,$G8&lt;=Control!$C$93),$G8-Control!$C$92,IF(AND($G8&gt;Control!$C$93,$G8&lt;=Control!$C$94),Control!$C$93-Control!$C$92,IF(AND($G8&gt;Control!$C$94,$G8&lt;=Control!$C$95),(Control!$C$93-Control!$C$92)*(Control!$C$94-$G8)/(Control!$C$95-Control!$C$94))))))</f>
        <v>#N/A</v>
      </c>
      <c r="BQ8" s="140" t="e">
        <f t="shared" ca="1" si="15"/>
        <v>#N/A</v>
      </c>
      <c r="BR8" s="140" t="e">
        <f ca="1">IF($BQ8&lt;=Control!$C$88,$BQ8,Control!$C$88-$BQ8)</f>
        <v>#N/A</v>
      </c>
      <c r="BS8" s="140" t="e">
        <f ca="1">IF(AND($BB8&gt;=21,$BB8&lt;30),1,IF($BQ8&gt;=Control!$C$88,0,$BO8))</f>
        <v>#N/A</v>
      </c>
      <c r="BT8" s="404" t="e">
        <f ca="1">IF($BS8=0,0,IF($BQ8&lt;=Control!$C$88,$BO8*(21+(30-21)*(BR8/Control!$C$88)),0))</f>
        <v>#N/A</v>
      </c>
      <c r="BU8" s="140" t="e">
        <f ca="1">IF(BG8+BM8+BS8=1,0,IF(OR(AND($BB8&lt;60,$BB8&gt;=30),$BQ8&gt;=Control!$C$88),1*$BA8,$BY7))</f>
        <v>#N/A</v>
      </c>
      <c r="BV8" s="140" t="e">
        <f ca="1">IF($BR8&lt;0,-$BR8,$BU8*IF(OR($G8&lt;Control!$C$92,$G8&gt;Control!$C$95),0,IF(AND($G8&gt;=Control!$C$92,$G8&lt;=Control!$C$93),$G8-Control!$C$92,IF(AND($G8&gt;Control!$C$93,$G8&lt;=Control!$C$94),Control!$C$93-Control!$C$92,IF(AND($G8&gt;Control!$C$94,$G8&lt;=Control!$C$95),(Control!$C$93-Control!$C$92)*(Control!$C$94-$G8)/(Control!$C$95-Control!$C$94))))))</f>
        <v>#N/A</v>
      </c>
      <c r="BW8" s="140" t="e">
        <f t="shared" ca="1" si="16"/>
        <v>#N/A</v>
      </c>
      <c r="BX8" s="140" t="e">
        <f ca="1">IF($BW8&lt;=Control!$C$89,$BW8,Control!$C$89-$BW8)</f>
        <v>#N/A</v>
      </c>
      <c r="BY8" s="140" t="e">
        <f ca="1">IF(AND($AJ8&gt;=30,$AJ8&lt;60),1,IF($BW8&gt;=Control!$C$89,0,$BU8))</f>
        <v>#N/A</v>
      </c>
      <c r="BZ8" s="404" t="e">
        <f ca="1">IF($BY8=0,0,IF($BW8&lt;=Control!$C$89,$BU8*(30+(60-30)*(BX8/Control!$C$89)),0))</f>
        <v>#N/A</v>
      </c>
      <c r="CA8" s="140" t="e">
        <f ca="1">IF($BG8+$BM8+$BS8+$BY8=1,0,IF(OR(AND($BB8&lt;65,$BB8&gt;=60),$BW8&gt;=Control!$C$89),1*$BA8,$CE7))</f>
        <v>#N/A</v>
      </c>
      <c r="CB8" s="140" t="e">
        <f ca="1">IF($BX8&lt;0,-$BX8,$CA8*IF(OR($G8&lt;Control!$C$92,$G8&gt;Control!$C$95),0,IF(AND($G8&gt;=Control!$C$92,$G8&lt;=Control!$C$93),$G8-Control!$C$92,IF(AND($G8&gt;Control!$C$93,$G8&lt;=Control!$C$94),Control!$C$93-Control!$C$92,IF(AND($G8&gt;Control!$C$94,$G8&lt;=Control!$C$95),(Control!$C$93-Control!$C$92)*(Control!$C$94-$G8)/(Control!$C$95-Control!$C$94))))))</f>
        <v>#N/A</v>
      </c>
      <c r="CC8" s="140" t="e">
        <f t="shared" ca="1" si="125"/>
        <v>#N/A</v>
      </c>
      <c r="CD8" s="140" t="e">
        <f ca="1">IF($CC8&lt;=Control!$C$90,$CC8,Control!$C$90-$CC8)</f>
        <v>#N/A</v>
      </c>
      <c r="CE8" s="140" t="e">
        <f ca="1">IF(AND($BB8&gt;=60,$BB8&lt;65),1,IF($CC8&gt;=Control!$C$90,0,$CA8))</f>
        <v>#N/A</v>
      </c>
      <c r="CF8" s="404" t="e">
        <f ca="1">IF($CE8=0,0,IF($CC8&lt;=Control!$C$90,$CA8*(60+(65-60)*(CD8/Control!$C$90)),0))</f>
        <v>#N/A</v>
      </c>
      <c r="CG8" s="140" t="e">
        <f ca="1">IF($BG8+$BM8+$BS8+$BY8+$CE8=1,0,IF(OR(AND($BB8&lt;90,$BB8&gt;=65),$CC8&gt;=Control!$C$90),$BA8,$CK7))</f>
        <v>#N/A</v>
      </c>
      <c r="CH8" s="140" t="e">
        <f ca="1">IF($CD8&lt;0,-$CD8,$CG8*IF(OR($G8&lt;Control!$C$92,$G8&gt;Control!$C$95),0,IF(AND($G8&gt;=Control!$C$92,$G8&lt;=Control!$C$93),$G8-Control!$C$92,IF(AND($G8&gt;Control!$C$93,$G8&lt;=Control!$C$94),Control!$C$93-Control!$C$92,IF(AND($G8&gt;Control!$C$94,$G8&lt;=Control!$C$95),(Control!$C$93-Control!$C$92)*(Control!$C$94-$G8)/(Control!$C$95-Control!$C$94))))))</f>
        <v>#N/A</v>
      </c>
      <c r="CI8" s="140" t="e">
        <f t="shared" ca="1" si="126"/>
        <v>#N/A</v>
      </c>
      <c r="CJ8" s="140" t="e">
        <f ca="1">IF($CI8&lt;=Control!$C$91,$CI8,Control!$C$91-$CI8)</f>
        <v>#N/A</v>
      </c>
      <c r="CK8" s="140" t="e">
        <f ca="1">IF(AND($BB8&gt;=65,$BB8&lt;90),1,IF($CI8&gt;=Control!$C$91,0,$CG8))</f>
        <v>#N/A</v>
      </c>
      <c r="CL8" s="404" t="e">
        <f ca="1">IF($CK8=0,0,IF($CI8&lt;=Control!$C$91,$CG8*(65+(90-65)*($CJ8/Control!$C$91)),0))</f>
        <v>#N/A</v>
      </c>
      <c r="CM8" s="140" t="e">
        <f ca="1">IF($BG8+$BM8+$BS8+$BY8+$CE8+$CK8=1,0,IF(OR($BB8&gt;=90,$CI8&gt;=Control!$C$91),$BA8,$CM7))</f>
        <v>#N/A</v>
      </c>
      <c r="CN8" s="140" t="e">
        <f t="shared" ca="1" si="127"/>
        <v>#N/A</v>
      </c>
      <c r="CO8" s="140" t="e">
        <f t="shared" ca="1" si="128"/>
        <v>#N/A</v>
      </c>
      <c r="CP8" s="140" t="e">
        <f t="shared" ca="1" si="129"/>
        <v>#N/A</v>
      </c>
      <c r="CQ8" s="141" t="e">
        <f ca="1">VLOOKUP($CP8,Control!$B$86:$G$91,6)</f>
        <v>#N/A</v>
      </c>
      <c r="CR8" s="141" t="e">
        <f ca="1">(1-$CQ8)*VLOOKUP($CP8,Control!$B$86:$D$91,3)</f>
        <v>#N/A</v>
      </c>
      <c r="CS8" s="141" t="e">
        <f ca="1">(1-$CQ8)*VLOOKUP($CP8,Control!$B$86:$E$91,4)</f>
        <v>#N/A</v>
      </c>
      <c r="CT8" s="141" t="e">
        <f ca="1">(1-$CQ8)*VLOOKUP($CP8,Control!$B$86:$F$91,5)</f>
        <v>#N/A</v>
      </c>
      <c r="CU8" s="141">
        <f t="shared" ca="1" si="130"/>
        <v>0</v>
      </c>
      <c r="CV8" s="583">
        <f t="shared" ca="1" si="131"/>
        <v>0</v>
      </c>
      <c r="CW8" s="142">
        <f t="shared" ca="1" si="132"/>
        <v>3</v>
      </c>
      <c r="CX8" s="612" t="e">
        <f ca="1">IF(Control!$C$114=1,(MIN(Control!$C$120*(IF($NT8-0.01&lt;0,0,1)),Control!$C$119-$CY8)))</f>
        <v>#DIV/0!</v>
      </c>
      <c r="CY8" s="143" t="e">
        <f ca="1">$CY7+$CX7</f>
        <v>#N/A</v>
      </c>
      <c r="CZ8" s="144">
        <f t="shared" ca="1" si="17"/>
        <v>0.20999999999999996</v>
      </c>
      <c r="DA8" s="144">
        <f t="shared" ca="1" si="18"/>
        <v>4.0500000000000001E-2</v>
      </c>
      <c r="DB8" s="144" t="e">
        <f t="shared" ca="1" si="19"/>
        <v>#N/A</v>
      </c>
      <c r="DC8" s="144" t="e">
        <f t="shared" ca="1" si="20"/>
        <v>#N/A</v>
      </c>
      <c r="DD8" s="144" t="e">
        <f ca="1">IF($DE7&lt;14000,(($DC7-$DX7)*$DA7*$DE7),(-$DX7*$DA7*$DE7))</f>
        <v>#N/A</v>
      </c>
      <c r="DE8" s="143">
        <f t="shared" ca="1" si="135"/>
        <v>7041.4653749999998</v>
      </c>
      <c r="DF8" s="145" t="e">
        <f ca="1">$DR8*EXP(-Control!$C$158*(1-$KH8))</f>
        <v>#N/A</v>
      </c>
      <c r="DG8" s="146" t="e">
        <f ca="1">IF(Control!$C$114=1, $DF8*$EY8, 0)</f>
        <v>#N/A</v>
      </c>
      <c r="DH8" s="147" t="e">
        <f t="shared" ca="1" si="136"/>
        <v>#N/A</v>
      </c>
      <c r="DI8" s="144" t="e">
        <f t="shared" ref="DI8:DI71" ca="1" si="191">IF($DI7+$DH7&lt;0,0,$DI7+$DH7)</f>
        <v>#N/A</v>
      </c>
      <c r="DJ8" s="147" t="e">
        <f ca="1">$EF8*Control!$C$109</f>
        <v>#N/A</v>
      </c>
      <c r="DK8" s="144" t="e">
        <f t="shared" ca="1" si="137"/>
        <v>#N/A</v>
      </c>
      <c r="DL8" s="144" t="e">
        <f t="shared" ca="1" si="21"/>
        <v>#N/A</v>
      </c>
      <c r="DM8" s="144" t="e">
        <f ca="1">IF(Control!$C$114=1, (1-EXP(-Control!$C$96*$DK8))*$AR8, 0)</f>
        <v>#N/A</v>
      </c>
      <c r="DN8" s="144">
        <f t="shared" ca="1" si="138"/>
        <v>0</v>
      </c>
      <c r="DO8" s="148">
        <f>Control!$C$97</f>
        <v>4</v>
      </c>
      <c r="DP8" s="145" t="e">
        <f t="shared" ca="1" si="139"/>
        <v>#N/A</v>
      </c>
      <c r="DQ8" s="145" t="e">
        <f ca="1">IF(AND($CP8&gt;=0,$CP8&lt;=90),Control!$C$111,Control!$C$111)</f>
        <v>#N/A</v>
      </c>
      <c r="DR8" s="145" t="e">
        <f t="shared" ca="1" si="22"/>
        <v>#N/A</v>
      </c>
      <c r="DS8" s="143" t="e">
        <f ca="1">Control!$B$22/$DR8</f>
        <v>#N/A</v>
      </c>
      <c r="DT8" s="149" t="e">
        <f ca="1">IF(AND(Control!$C$114=1,$KH8&lt;1),$IM8*$DF8, 0)</f>
        <v>#N/A</v>
      </c>
      <c r="DU8" s="144" t="e">
        <f t="shared" ref="DU8:DU70" ca="1" si="192">$DU7+$DW7</f>
        <v>#N/A</v>
      </c>
      <c r="DV8" s="144">
        <f ca="1">IF($G8-Control!$C$107&lt;=0, 0, 0.83*LN(MAX($G8, 3))-0.8924)</f>
        <v>0</v>
      </c>
      <c r="DW8" s="144" t="e">
        <f t="shared" ca="1" si="23"/>
        <v>#N/A</v>
      </c>
      <c r="DX8" s="150" t="e">
        <f ca="1">MAX(0.01*(1+$CU8/Control!$C$102),0.05*($DK8-Control!$C$97)/Control!$C$97)</f>
        <v>#N/A</v>
      </c>
      <c r="DY8" s="151" t="e">
        <f ca="1">IF(Control!$C$114=1, $DI8*$FS8, 0)</f>
        <v>#N/A</v>
      </c>
      <c r="DZ8" s="196" t="e">
        <f t="shared" ca="1" si="140"/>
        <v>#N/A</v>
      </c>
      <c r="EA8" s="152">
        <f t="shared" ca="1" si="141"/>
        <v>3</v>
      </c>
      <c r="EB8" s="153" t="e">
        <f ca="1">$EB7+$ED7</f>
        <v>#N/A</v>
      </c>
      <c r="EC8" s="153" t="e">
        <f t="shared" ca="1" si="142"/>
        <v>#N/A</v>
      </c>
      <c r="ED8" s="154" t="e">
        <f ca="1">IF(Control!$C$114=1, $HM8*$FY8-$FD8, 0)</f>
        <v>#DIV/0!</v>
      </c>
      <c r="EE8" s="155" t="e">
        <f ca="1">IF(Control!$C$114=1, $HM8*$FZ8-$FF8, 0)</f>
        <v>#DIV/0!</v>
      </c>
      <c r="EF8" s="153" t="e">
        <f t="shared" ref="EF8:EF71" ca="1" si="193">$EF7+$EE7-$EO7</f>
        <v>#N/A</v>
      </c>
      <c r="EG8" s="155" t="e">
        <f ca="1">IF(Control!$C$114=1, $GX8*$FW8-$FI8, 0)</f>
        <v>#DIV/0!</v>
      </c>
      <c r="EH8" s="153" t="e">
        <f t="shared" ca="1" si="143"/>
        <v>#N/A</v>
      </c>
      <c r="EI8" s="156" t="e">
        <f t="shared" ca="1" si="144"/>
        <v>#N/A</v>
      </c>
      <c r="EJ8" s="155" t="e">
        <f ca="1">IF(Control!$C$114=1, $HM8*$GB8, 0)</f>
        <v>#DIV/0!</v>
      </c>
      <c r="EK8" s="153" t="e">
        <f t="shared" ref="EK8:EK71" ca="1" si="194">$EK7+$EJ7-$EP7</f>
        <v>#N/A</v>
      </c>
      <c r="EL8" s="153" t="e">
        <f t="shared" ca="1" si="24"/>
        <v>#N/A</v>
      </c>
      <c r="EM8" s="153" t="e">
        <f t="shared" ca="1" si="25"/>
        <v>#N/A</v>
      </c>
      <c r="EN8" s="153" t="e">
        <f ca="1">IF(Control!$C$108=1,IF(AND(Control!$B$18=1,$EB8&gt;=Control!$B$19),$EB8-$DS8,IF(AND(Control!$B$18=2,$AW8=1,$EB8&gt;$DS8),$EB8-$DS8,0)))</f>
        <v>#N/A</v>
      </c>
      <c r="EO8" s="153" t="e">
        <f ca="1">IF(Control!$C$108=1,IF(AND(Control!$B$18=1,$EB8&gt;=Control!$B$19),$EF8,IF(AND(Control!$B$18=2,$AW8=1),$EF8,0)))</f>
        <v>#N/A</v>
      </c>
      <c r="EP8" s="153" t="e">
        <f ca="1">IF(Control!$C$108=1,IF(AND(Control!$B$18=1,$EB8&gt;=Control!$B$19),$EK8,IF(AND(Control!$B$18=2,$AW8=1),$EK8,0)))</f>
        <v>#N/A</v>
      </c>
      <c r="EQ8" s="153" t="e">
        <f t="shared" ca="1" si="145"/>
        <v>#N/A</v>
      </c>
      <c r="ER8" s="153" t="e">
        <f t="shared" ref="ER8:ER38" ca="1" si="195">$ER7+$EN7</f>
        <v>#N/A</v>
      </c>
      <c r="ES8" s="153" t="e">
        <f t="shared" ref="ES8:ES71" ca="1" si="196">$ES7+$EO7</f>
        <v>#N/A</v>
      </c>
      <c r="ET8" s="153" t="e">
        <f t="shared" ref="ET8:ET71" ca="1" si="197">$ET7+$EP7</f>
        <v>#N/A</v>
      </c>
      <c r="EU8" s="153" t="e">
        <f t="shared" ref="EU8:EU70" ca="1" si="198">ER8+ES8+ET8</f>
        <v>#N/A</v>
      </c>
      <c r="EV8" s="153" t="e">
        <f t="shared" ca="1" si="146"/>
        <v>#N/A</v>
      </c>
      <c r="EW8" s="153" t="e">
        <f ca="1">$ER8+MAX(0,$EM8)</f>
        <v>#N/A</v>
      </c>
      <c r="EX8" s="153" t="e">
        <f t="shared" ca="1" si="26"/>
        <v>#N/A</v>
      </c>
      <c r="EY8" s="157" t="e">
        <f t="shared" ca="1" si="147"/>
        <v>#DIV/0!</v>
      </c>
      <c r="EZ8" s="154" t="e">
        <f t="shared" ca="1" si="27"/>
        <v>#DIV/0!</v>
      </c>
      <c r="FA8" s="153" t="e">
        <f t="shared" ref="FA8:FA70" ca="1" si="199">$FA7+$HC7</f>
        <v>#N/A</v>
      </c>
      <c r="FB8" s="153" t="e">
        <f t="shared" ca="1" si="28"/>
        <v>#N/A</v>
      </c>
      <c r="FC8" s="193" t="e">
        <f t="shared" ca="1" si="29"/>
        <v>#N/A</v>
      </c>
      <c r="FD8" s="158" t="e">
        <f t="shared" ref="FD8:FD70" ca="1" si="200">IF($EN8&lt;=0, MIN(($DI8-0.08)/$DF8, $HY8+$IM8), $EN8)</f>
        <v>#N/A</v>
      </c>
      <c r="FE8" s="158" t="e">
        <f t="shared" ca="1" si="148"/>
        <v>#N/A</v>
      </c>
      <c r="FF8" s="159" t="e">
        <f t="shared" ca="1" si="30"/>
        <v>#N/A</v>
      </c>
      <c r="FG8" s="160" t="e">
        <f t="shared" ca="1" si="149"/>
        <v>#N/A</v>
      </c>
      <c r="FH8" s="158" t="e">
        <f t="shared" ca="1" si="150"/>
        <v>#N/A</v>
      </c>
      <c r="FI8" s="159" t="e">
        <f t="shared" ca="1" si="31"/>
        <v>#N/A</v>
      </c>
      <c r="FJ8" s="160" t="e">
        <f t="shared" ca="1" si="151"/>
        <v>#N/A</v>
      </c>
      <c r="FK8" s="160" t="e">
        <f t="shared" ca="1" si="32"/>
        <v>#N/A</v>
      </c>
      <c r="FL8" s="160" t="e">
        <f ca="1">$FL7+$FD7</f>
        <v>#N/A</v>
      </c>
      <c r="FM8" s="160" t="e">
        <f t="shared" ca="1" si="33"/>
        <v>#N/A</v>
      </c>
      <c r="FN8" s="158">
        <f ca="1">IF(AND($G8&lt;=50,$G8&gt;=30),(0.05+($G8-30)*((0.09-0.05)/(50-30))),IF(AND($G8&lt;30,$G8&gt;=15),(0.02+($G8-15)*((0.05-0.02)/(30-15))),IF(AND($G8&lt;15,$G8&gt;=10),(0.01+($G8-10)*((0.02-0.01)/(15-10))),IF(AND($G8&lt;10,$G8&gt;=-10),($G8+10)*((0.02-0)/(10+10)),IF($G8=-10,0)))))</f>
        <v>0.01</v>
      </c>
      <c r="FO8" s="160">
        <f>Control!$C$101</f>
        <v>50</v>
      </c>
      <c r="FP8" s="150" t="e">
        <f t="shared" ca="1" si="34"/>
        <v>#N/A</v>
      </c>
      <c r="FQ8" s="150" t="e">
        <f ca="1">MAX(0,(Control!$C$112*(($DK8-Control!$C$97)/Control!$C$97)))</f>
        <v>#N/A</v>
      </c>
      <c r="FR8" s="150" t="e">
        <f ca="1">(1-$NT8)*Control!$C$113</f>
        <v>#DIV/0!</v>
      </c>
      <c r="FS8" s="198" t="e">
        <f t="shared" ca="1" si="35"/>
        <v>#N/A</v>
      </c>
      <c r="FT8" s="161">
        <f t="shared" ca="1" si="152"/>
        <v>3</v>
      </c>
      <c r="FU8" s="162" t="e">
        <f ca="1">IF(Control!$B$34=1,VLOOKUP($CP8,Control!$B$86:$G$91,6),Control!$B$35)</f>
        <v>#N/A</v>
      </c>
      <c r="FV8" s="162" t="e">
        <f t="shared" ca="1" si="36"/>
        <v>#DIV/0!</v>
      </c>
      <c r="FW8" s="162" t="e">
        <f ca="1">IF(Control!$B$31=1,$FU8*$FV8,  $FU8)</f>
        <v>#N/A</v>
      </c>
      <c r="FX8" s="162" t="e">
        <f ca="1">IF(Control!$B$34=1,VLOOKUP($CP8,Control!$B$86:$G$91,3),Control!$B$36)</f>
        <v>#N/A</v>
      </c>
      <c r="FY8" s="162" t="e">
        <f t="shared" ca="1" si="37"/>
        <v>#N/A</v>
      </c>
      <c r="FZ8" s="162" t="e">
        <f ca="1">IF(Control!$B$34=1,VLOOKUP($CP8,Control!$B$86:$G$91,4),Control!$B$37)</f>
        <v>#N/A</v>
      </c>
      <c r="GA8" s="162" t="e">
        <f t="shared" ca="1" si="38"/>
        <v>#N/A</v>
      </c>
      <c r="GB8" s="162" t="e">
        <f ca="1">IF(Control!$B$34=1,VLOOKUP($CP8,Control!$B$86:$G$91,5),Control!$B$38)</f>
        <v>#N/A</v>
      </c>
      <c r="GC8" s="162" t="e">
        <f t="shared" ca="1" si="153"/>
        <v>#N/A</v>
      </c>
      <c r="GD8" s="162">
        <f t="shared" ca="1" si="39"/>
        <v>1</v>
      </c>
      <c r="GE8" s="162">
        <f t="shared" ca="1" si="40"/>
        <v>1</v>
      </c>
      <c r="GF8" s="162">
        <f ca="1">IF(AND(Control!$C$104=1, Control!$C$62="F"),$GE8,1)</f>
        <v>1</v>
      </c>
      <c r="GG8" s="162" t="e">
        <f ca="1">IF(Control!$B$16=40,0,IF(AND(Control!$B$16&gt;40,Control!$B$16&lt;=360),(Control!$B$16-40)*((1-0)/(360-40)),IF(AND(Control!$B$16&gt;360,Control!$B$16&lt;=720),(1+(Control!$B$16-360)*((1.25-1)/(720-360))),IF(AND(Control!$B$16&gt;720,Control!$B$16&lt;=1000),(1.25+(Control!$B$16-720)*((1.35-1.25)/(1000-720))),IF(AND(Control!$B$16&gt;1000,Control!$B$16&lt;=2000),(1.35+(Control!$B$16-1000)*0))))))</f>
        <v>#N/A</v>
      </c>
      <c r="GH8" s="162" t="e">
        <f t="shared" ca="1" si="41"/>
        <v>#N/A</v>
      </c>
      <c r="GI8" s="162">
        <f t="shared" ref="GI8:GI70" ca="1" si="201">IF($E8&lt;=0,0,IF(AND($E8&gt;=3,$E8&lt;=30),1,(($E8-0)*((1-0)/(3-0)))))</f>
        <v>0</v>
      </c>
      <c r="GJ8" s="162">
        <f t="shared" ca="1" si="42"/>
        <v>0</v>
      </c>
      <c r="GK8" s="162">
        <f ca="1">IF(AND($AR8&gt;=0,$AR8&lt;=10),1,IF(AND($AR8&gt;=40,$AR8&lt;=42),0.33,((1+($AR8-10)*((0.33-1)/(40-10))))))</f>
        <v>1</v>
      </c>
      <c r="GL8" s="162">
        <f t="shared" ca="1" si="43"/>
        <v>1</v>
      </c>
      <c r="GM8" s="162" t="e">
        <f ca="1">MAX(0,MIN(1,1-Control!$C$156*(1.0001-$KH8)^2))</f>
        <v>#N/A</v>
      </c>
      <c r="GN8" s="162" t="e">
        <f ca="1">IF(Control!$B$26=1,$KU8,$KX8)</f>
        <v>#N/A</v>
      </c>
      <c r="GO8" s="162" t="e">
        <f ca="1">IF($CP8&lt;=60,Control!$C$105,IF($CP8&gt;=90,Control!$C$106,Control!$C$105+($CP8-60)*((Control!$C$106-Control!$C$105)/(90-60))))</f>
        <v>#N/A</v>
      </c>
      <c r="GP8" s="162" t="e">
        <f t="shared" ca="1" si="154"/>
        <v>#N/A</v>
      </c>
      <c r="GQ8" s="162" t="e">
        <f t="shared" ca="1" si="155"/>
        <v>#N/A</v>
      </c>
      <c r="GR8" s="163" t="e">
        <f t="shared" ca="1" si="44"/>
        <v>#DIV/0!</v>
      </c>
      <c r="GS8" s="162" t="e">
        <f t="shared" ca="1" si="45"/>
        <v>#DIV/0!</v>
      </c>
      <c r="GT8" s="164">
        <f t="shared" ca="1" si="156"/>
        <v>0</v>
      </c>
      <c r="GU8" s="162" t="e">
        <f t="shared" ca="1" si="157"/>
        <v>#N/A</v>
      </c>
      <c r="GV8" s="162" t="e">
        <f t="shared" ca="1" si="46"/>
        <v>#N/A</v>
      </c>
      <c r="GW8" s="162" t="e">
        <f ca="1">IF($GS8-$GV8&lt;=0,0,$GS8-$GV8)</f>
        <v>#DIV/0!</v>
      </c>
      <c r="GX8" s="162" t="e">
        <f ca="1">IF($GS8-$GV8&lt;=0, $GS8, $GV8)</f>
        <v>#DIV/0!</v>
      </c>
      <c r="GY8" s="162" t="e">
        <f t="shared" ca="1" si="158"/>
        <v>#DIV/0!</v>
      </c>
      <c r="GZ8" s="165" t="e">
        <f ca="1">$EF8+$EB8</f>
        <v>#N/A</v>
      </c>
      <c r="HA8" s="162" t="e">
        <f ca="1">IF(Control!$C$114=1, $DI8*$FS8, 0)</f>
        <v>#N/A</v>
      </c>
      <c r="HB8" s="162" t="e">
        <f ca="1">$FA8/Control!$C$64</f>
        <v>#N/A</v>
      </c>
      <c r="HC8" s="162" t="e">
        <f ca="1">$GW8-$HB8</f>
        <v>#DIV/0!</v>
      </c>
      <c r="HD8" s="162">
        <f ca="1">-ASIN(SIN(23.45*Control!$C$139)*COS(2*Control!$C$138*($AH8+10)/365))</f>
        <v>-0.39848925045819056</v>
      </c>
      <c r="HE8" s="165">
        <f t="shared" ca="1" si="160"/>
        <v>0</v>
      </c>
      <c r="HF8" s="166">
        <f ca="1">IF(AND(Control!$C$61="T",$HE8&gt;=Control!$C$103,Control!$C$114=0),$AH8,Control!$C$59)</f>
        <v>1</v>
      </c>
      <c r="HG8" s="166">
        <f ca="1">IF(AND(Control!$C$61="T",$HE8&gt;=Control!$C$103,Control!$C$114=0),$HF8,Control!$C$59)</f>
        <v>1</v>
      </c>
      <c r="HH8" s="165">
        <f ca="1">IF(AND(OR(Control!$C$60&lt;=0, $AH8= Control!$C$59, Control!$C$60 &gt;0, $AH8 = Control!$C$60)), Control!$C$59, IF(Control!$C$60&gt;0, 0))</f>
        <v>1</v>
      </c>
      <c r="HI8" s="165">
        <f ca="1">IF(AND(OR(Control!$C$60&lt;=0, $AH8= Control!$C$59, Control!$C$60 &gt;0, $AH8 = Control!$C$60)), Control!$C$60, IF(Control!$C$60&lt;=0, 0))</f>
        <v>0</v>
      </c>
      <c r="HJ8" s="166">
        <f ca="1">IF(AND(Control!$C$62="F",$CV8&gt;=Control!$C$102),$AH8,0)</f>
        <v>0</v>
      </c>
      <c r="HK8" s="165" t="e">
        <f t="shared" ref="HK8:HK71" ca="1" si="202">$HK7+$GX7</f>
        <v>#N/A</v>
      </c>
      <c r="HL8" s="166">
        <f ca="1">IF(AND(Control!$C$61="T",$HE8&gt;=Control!$C$103,Control!$C$114=0),$HF8,0)</f>
        <v>0</v>
      </c>
      <c r="HM8" s="201" t="e">
        <f t="shared" ca="1" si="47"/>
        <v>#DIV/0!</v>
      </c>
      <c r="HN8" s="215">
        <f t="shared" ca="1" si="161"/>
        <v>3</v>
      </c>
      <c r="HO8" s="216" t="e">
        <f ca="1">IF(AND($CP8&gt;=0, $CP8&lt;=90), Control!$C$152, Control!$C$152)</f>
        <v>#N/A</v>
      </c>
      <c r="HP8" s="216" t="e">
        <f t="shared" ca="1" si="48"/>
        <v>#N/A</v>
      </c>
      <c r="HQ8" s="217" t="e">
        <f ca="1">IF(OR(Control!$B$26=1,Control!$B$26=2),$KV8,$KS8)</f>
        <v>#DIV/0!</v>
      </c>
      <c r="HR8" s="218" t="e">
        <f ca="1">$HR7-$HQ7</f>
        <v>#DIV/0!</v>
      </c>
      <c r="HS8" s="216" t="e">
        <f ca="1">Control!$C$154*$HP8</f>
        <v>#N/A</v>
      </c>
      <c r="HT8" s="216" t="e">
        <f ca="1">Control!$C$155*$HP8</f>
        <v>#N/A</v>
      </c>
      <c r="HU8" s="217" t="e">
        <f ca="1">Control!$C$161*$FI8</f>
        <v>#N/A</v>
      </c>
      <c r="HV8" s="218" t="e">
        <f t="shared" ca="1" si="162"/>
        <v>#N/A</v>
      </c>
      <c r="HW8" s="218" t="e">
        <f ca="1">Control!$C$160*$FF8+$IP8*$EO8</f>
        <v>#N/A</v>
      </c>
      <c r="HX8" s="218" t="e">
        <f t="shared" ref="HX8:HX71" ca="1" si="203">$HX7+$HW7</f>
        <v>#N/A</v>
      </c>
      <c r="HY8" s="219" t="e">
        <f ca="1">IF(Control!$C$114=1, $EB8*$FS8, 0)</f>
        <v>#N/A</v>
      </c>
      <c r="HZ8" s="91" t="e">
        <f t="shared" ca="1" si="49"/>
        <v>#N/A</v>
      </c>
      <c r="IA8" s="220" t="e">
        <f ca="1">Control!$C$153*$HO8</f>
        <v>#N/A</v>
      </c>
      <c r="IB8" s="218" t="e">
        <f t="shared" ca="1" si="50"/>
        <v>#N/A</v>
      </c>
      <c r="IC8" s="220" t="e">
        <f ca="1">Control!$C$153*$HT8</f>
        <v>#N/A</v>
      </c>
      <c r="ID8" s="218" t="e">
        <f t="shared" ca="1" si="51"/>
        <v>#N/A</v>
      </c>
      <c r="IE8" s="221" t="e">
        <f ca="1">($EB8*Control!$C$159+$EF8*Control!$C$160)/(IF($GZ8&lt;&gt;0,$GZ8,1))</f>
        <v>#N/A</v>
      </c>
      <c r="IF8" s="216" t="e">
        <f t="shared" ca="1" si="52"/>
        <v>#N/A</v>
      </c>
      <c r="IG8" s="91">
        <f ca="1">IF(OR(Control!$B$198=$AH8,Control!$B$199=$AH8, Control!$B$200=$AH8, Control!$B$201=$AH8, Control!$B$202=$AH8, Control!$B$203=$AH8, Control!$B$204=$AH8, Control!$B$205=$AH8, Control!$B$206=$AH8, Control!$B$207=$AH8), 1, 0)</f>
        <v>0</v>
      </c>
      <c r="IH8" s="91">
        <f ca="1">IF($IG8=0,0, VLOOKUP($AH8,Control!$B$198:$C$207,2))</f>
        <v>0</v>
      </c>
      <c r="II8" s="222">
        <f t="shared" ca="1" si="163"/>
        <v>0</v>
      </c>
      <c r="IJ8" s="91">
        <f>Control!$C$121</f>
        <v>0.7</v>
      </c>
      <c r="IK8" s="218">
        <f ca="1">$IH8*$IJ8</f>
        <v>0</v>
      </c>
      <c r="IL8" s="217" t="e">
        <f t="shared" ref="IL8:IL71" ca="1" si="204">$IL7+$KD7</f>
        <v>#N/A</v>
      </c>
      <c r="IM8" s="223" t="e">
        <f ca="1">IF(AND(Control!$C$114=1,$KH8&lt;1),$EB8*Control!$C$148*(1-$KH8), 0)</f>
        <v>#N/A</v>
      </c>
      <c r="IN8" s="217" t="e">
        <f t="shared" ca="1" si="54"/>
        <v>#DIV/0!</v>
      </c>
      <c r="IO8" s="91" t="e">
        <f ca="1">MAX(0,$IL8-$EF8*Control!$C$160)</f>
        <v>#N/A</v>
      </c>
      <c r="IP8" s="220" t="e">
        <f t="shared" ca="1" si="55"/>
        <v>#N/A</v>
      </c>
      <c r="IQ8" s="217" t="e">
        <f t="shared" ca="1" si="164"/>
        <v>#N/A</v>
      </c>
      <c r="IR8" s="218" t="e">
        <f ca="1">$IQ8+$IL8</f>
        <v>#N/A</v>
      </c>
      <c r="IS8" s="217" t="e">
        <f ca="1">Control!$C$159*MAX(0,$FD8-$EN8)</f>
        <v>#N/A</v>
      </c>
      <c r="IT8" s="217" t="e">
        <f t="shared" ref="IT8:IT71" ca="1" si="205">$IT7+$IS8</f>
        <v>#N/A</v>
      </c>
      <c r="IU8" s="217" t="e">
        <f t="shared" ca="1" si="165"/>
        <v>#N/A</v>
      </c>
      <c r="IV8" s="217" t="e">
        <f t="shared" ref="IV8:IV71" ca="1" si="206">$IV7+$IU8</f>
        <v>#N/A</v>
      </c>
      <c r="IW8" s="217" t="e">
        <f ca="1">IF(OR($AW8=1,AND($AW8=0, Control!$B$18=1,$EN8&lt;&gt;0)), $IQ8-$IU8, $IQ8)</f>
        <v>#N/A</v>
      </c>
      <c r="IX8" s="218" t="e">
        <f t="shared" ca="1" si="57"/>
        <v>#N/A</v>
      </c>
      <c r="IY8" s="218" t="e">
        <f ca="1">MAX(0,$IQ8-$EB8*Control!$C$159)</f>
        <v>#N/A</v>
      </c>
      <c r="IZ8" s="218" t="e">
        <f t="shared" ca="1" si="58"/>
        <v>#N/A</v>
      </c>
      <c r="JA8" s="216" t="e">
        <f t="shared" ca="1" si="59"/>
        <v>#N/A</v>
      </c>
      <c r="JB8" s="217" t="e">
        <f t="shared" ca="1" si="60"/>
        <v>#N/A</v>
      </c>
      <c r="JC8" s="222" t="e">
        <f ca="1">MAX(Control!$C$157*$EK8-$JT8, 0)/Control!$C$162</f>
        <v>#N/A</v>
      </c>
      <c r="JD8" s="218" t="e">
        <f t="shared" ca="1" si="61"/>
        <v>#N/A</v>
      </c>
      <c r="JE8" s="218" t="e">
        <f t="shared" ca="1" si="62"/>
        <v>#N/A</v>
      </c>
      <c r="JF8" s="218" t="e">
        <f t="shared" ref="JF8:JF70" ca="1" si="207">$JF7+$JV7</f>
        <v>#N/A</v>
      </c>
      <c r="JG8" s="218" t="e">
        <f t="shared" ca="1" si="63"/>
        <v>#N/A</v>
      </c>
      <c r="JH8" s="217" t="e">
        <f t="shared" ca="1" si="166"/>
        <v>#N/A</v>
      </c>
      <c r="JI8" s="217" t="e">
        <f ca="1">MAX(0, $IZ8+$JB8+$JG8-JH8)</f>
        <v>#N/A</v>
      </c>
      <c r="JJ8" s="217" t="e">
        <f ca="1">$JJ7+$JL7</f>
        <v>#N/A</v>
      </c>
      <c r="JK8" s="217" t="e">
        <f ca="1">IF(Control!$C$114=1,IF(Control!$B$24=0,MAX(0,$JI8)*$GN8/Control!$C$64,(MAX(0,MIN($JI8,$JJ8*$GN8/Control!$C$64),0))))</f>
        <v>#N/A</v>
      </c>
      <c r="JL8" s="217" t="e">
        <f ca="1">$IK8/Control!$C$64-$JK8+$HQ8</f>
        <v>#N/A</v>
      </c>
      <c r="JM8" s="217" t="e">
        <f ca="1">IF(Control!$C$114=1,($JB8/(IF($JI8&lt;&gt;0,$JI8,1)))*$JK8,0)</f>
        <v>#N/A</v>
      </c>
      <c r="JN8" s="217" t="e">
        <f ca="1">IF(Control!$C$114=1,($JG8/(IF($JI8&lt;&gt;0,$JI8,1)))*$JK8, 0)</f>
        <v>#N/A</v>
      </c>
      <c r="JO8" s="218" t="e">
        <f t="shared" ca="1" si="64"/>
        <v>#N/A</v>
      </c>
      <c r="JP8" s="218" t="e">
        <f ca="1">MIN(($IY8+$IO8)*Control!$C$151, $JF8-$EH8*Control!$C$161)</f>
        <v>#N/A</v>
      </c>
      <c r="JQ8" s="218" t="e">
        <f t="shared" ca="1" si="65"/>
        <v>#N/A</v>
      </c>
      <c r="JR8" s="217" t="e">
        <f ca="1">IF($CP8-Control!$C$150&lt;0, 0, $JQ8/Control!$C$162)</f>
        <v>#N/A</v>
      </c>
      <c r="JS8" s="218" t="e">
        <f t="shared" ca="1" si="66"/>
        <v>#N/A</v>
      </c>
      <c r="JT8" s="218" t="e">
        <f t="shared" ca="1" si="168"/>
        <v>#N/A</v>
      </c>
      <c r="JU8" s="218" t="e">
        <f t="shared" ca="1" si="67"/>
        <v>#N/A</v>
      </c>
      <c r="JV8" s="218" t="e">
        <f t="shared" ca="1" si="68"/>
        <v>#N/A</v>
      </c>
      <c r="JW8" s="216" t="e">
        <f t="shared" ca="1" si="69"/>
        <v>#N/A</v>
      </c>
      <c r="JX8" s="91" t="e">
        <f t="shared" ca="1" si="70"/>
        <v>#N/A</v>
      </c>
      <c r="JY8" s="218" t="e">
        <f t="shared" ca="1" si="71"/>
        <v>#N/A</v>
      </c>
      <c r="JZ8" s="217" t="e">
        <f ca="1">IF(Control!$C$114=1,($IZ8/(IF($JI8&lt;&gt;0,$JI8,1)))*$JK8, 0)</f>
        <v>#N/A</v>
      </c>
      <c r="KA8" s="218" t="e">
        <f ca="1">KA7+JK7</f>
        <v>#N/A</v>
      </c>
      <c r="KB8" s="218" t="e">
        <f t="shared" ca="1" si="169"/>
        <v>#N/A</v>
      </c>
      <c r="KC8" s="218" t="e">
        <f t="shared" ca="1" si="72"/>
        <v>#N/A</v>
      </c>
      <c r="KD8" s="218" t="e">
        <f t="shared" ca="1" si="73"/>
        <v>#N/A</v>
      </c>
      <c r="KE8" s="218" t="e">
        <f t="shared" ca="1" si="74"/>
        <v>#N/A</v>
      </c>
      <c r="KF8" s="218" t="e">
        <f t="shared" ca="1" si="75"/>
        <v>#N/A</v>
      </c>
      <c r="KG8" s="216" t="e">
        <f ca="1">$IR8/IF($GZ8&lt;&gt;0, $GZ8, 1)</f>
        <v>#N/A</v>
      </c>
      <c r="KH8" s="221" t="e">
        <f ca="1">IF(Control!$B$24=0,1,MAX(0.001,MIN(1,IF(($IF8-$IE8)&lt;&gt;0,($KG8-$IE8)/($IF8-$IE8),1))))</f>
        <v>#N/A</v>
      </c>
      <c r="KI8" s="218" t="e">
        <f ca="1">IF(Control!$C$114=1, $KI7+ $KH7, 0)</f>
        <v>#N/A</v>
      </c>
      <c r="KJ8" s="217" t="e">
        <f t="shared" ca="1" si="77"/>
        <v>#N/A</v>
      </c>
      <c r="KK8" s="218" t="e">
        <f t="shared" ca="1" si="78"/>
        <v>#N/A</v>
      </c>
      <c r="KL8" s="274" t="e">
        <f ca="1">IF(Control!$B$26=3,4000000000*EXP(-8400/($G8+273)),IF(Control!$B$26=4,4000000000*EXP(-8400/($G8+273))*($KT8),0))</f>
        <v>#DIV/0!</v>
      </c>
      <c r="KM8" s="274" t="e">
        <f ca="1">IF(Control!$B$26=3,5600000000000*EXP(-9800/($G8+273)),IF(Control!$B$26=4,5600000000000*EXP(-9800/($G8+273))*$KT8,0))</f>
        <v>#DIV/0!</v>
      </c>
      <c r="KN8" s="454" t="e">
        <f t="shared" ca="1" si="170"/>
        <v>#DIV/0!</v>
      </c>
      <c r="KO8" s="274" t="e">
        <f t="shared" ca="1" si="171"/>
        <v>#DIV/0!</v>
      </c>
      <c r="KP8" s="454" t="e">
        <f t="shared" ca="1" si="79"/>
        <v>#DIV/0!</v>
      </c>
      <c r="KQ8" s="454" t="e">
        <f t="shared" ca="1" si="80"/>
        <v>#DIV/0!</v>
      </c>
      <c r="KR8" s="454" t="e">
        <f t="shared" ca="1" si="81"/>
        <v>#DIV/0!</v>
      </c>
      <c r="KS8" s="454" t="e">
        <f t="shared" ca="1" si="82"/>
        <v>#DIV/0!</v>
      </c>
      <c r="KT8" s="455" t="e">
        <f t="shared" ca="1" si="83"/>
        <v>#DIV/0!</v>
      </c>
      <c r="KU8" s="456" t="e">
        <f ca="1">IF($CP8-Control!$C$149&lt;0, IF($NT8-0.01&lt;0,0,1),0)</f>
        <v>#N/A</v>
      </c>
      <c r="KV8" s="456" t="e">
        <f ca="1">IF(Control!$C$114=1,MAX(0,MIN(Control!$C$125*$KW8*$GN8,$KW8)))</f>
        <v>#DIV/0!</v>
      </c>
      <c r="KW8" s="456" t="e">
        <f t="shared" ref="KW8:KW71" ca="1" si="208">KW7-KV7</f>
        <v>#DIV/0!</v>
      </c>
      <c r="KX8" s="457" t="e">
        <f ca="1">IF($CP8-Control!$C$149&lt;0, IF($MR8-$OM8&lt;0,0,1),0)</f>
        <v>#N/A</v>
      </c>
      <c r="KY8" s="167">
        <f t="shared" ca="1" si="172"/>
        <v>3</v>
      </c>
      <c r="KZ8" s="168">
        <f ca="1">1370*(1+0.033*COS(2*Control!$C$138*$AH8/365))</f>
        <v>1415.1497264825744</v>
      </c>
      <c r="LA8" s="169">
        <f t="shared" ca="1" si="173"/>
        <v>1.0329560049375197</v>
      </c>
      <c r="LB8" s="169">
        <f t="shared" ca="1" si="174"/>
        <v>-0.39800095720876433</v>
      </c>
      <c r="LC8" s="169">
        <f ca="1">ACOS(-TAN((2*Control!$B$8/360))*TAN(Calculations!$LB8))</f>
        <v>1.445513109899718</v>
      </c>
      <c r="LD8" s="169">
        <f ca="1">((24*60)/PI())*0.082*$LA8*(($LC8*SIN(Control!$B$8*2*PI()/360))*SIN($LB8)+COS(Control!$B$8*2*PI()/360)*COS($LB8)*SIN($LC8))</f>
        <v>4.7215249693893444</v>
      </c>
      <c r="LE8" s="170">
        <f t="shared" ca="1" si="84"/>
        <v>6.354579688603553</v>
      </c>
      <c r="LF8" s="170">
        <f ca="1">SIN(Control!$C$139*Control!$B$8)*SIN($HD8)</f>
        <v>-0.30576948758553457</v>
      </c>
      <c r="LG8" s="170">
        <f ca="1">COS(Control!$C$139*Control!$B$8)*COS($HD8)</f>
        <v>0.56742178382360386</v>
      </c>
      <c r="LH8" s="170">
        <f ca="1">12*(1+2*ASIN(MAX(-1,MIN(1,$LF8/$LG8))/Control!$C$138))</f>
        <v>7.8628478243168853</v>
      </c>
      <c r="LI8" s="170">
        <f ca="1">12*(1+2*ASIN(MAX(-1,MIN(1,(-SIN(-4*Control!$C$139)+$LF8)/$LG8))/Control!$C$138))</f>
        <v>8.8131103417118517</v>
      </c>
      <c r="LJ8" s="168">
        <f ca="1">3600*($LH8*$LF8+24*$LG8*SQRT(1-$LK8*$LK8)/Control!$C$138)</f>
        <v>4490.3938923821015</v>
      </c>
      <c r="LK8" s="170">
        <f t="shared" ca="1" si="85"/>
        <v>-0.53887513011060229</v>
      </c>
      <c r="LL8" s="170">
        <f t="shared" ca="1" si="86"/>
        <v>0</v>
      </c>
      <c r="LM8" s="171">
        <f ca="1">Control!$C$145*$AB8</f>
        <v>6.6660906138995932E-2</v>
      </c>
      <c r="LN8" s="170">
        <f t="shared" ca="1" si="175"/>
        <v>0.54</v>
      </c>
      <c r="LO8" s="170">
        <f t="shared" ca="1" si="87"/>
        <v>0</v>
      </c>
      <c r="LP8" s="170">
        <f ca="1">Control!$C$140*((($D8+273.16)^4+($E8+273.16)^4)/2)*(0.34-0.14*SQRT($Y8))*(1.35*$AQ8/(0.75*$LD8)-0.35)</f>
        <v>-3.2464704755046001</v>
      </c>
      <c r="LQ8" s="170">
        <f ca="1">Control!$C$140*($G8+273)^4*(0.56-0.079*SQRT($Y8*10))*(0.1+0.9*$LO8)</f>
        <v>1.5241745131704001</v>
      </c>
      <c r="LR8" s="170">
        <f ca="1">$AQ8*(1-Control!$C$142)-$LQ8</f>
        <v>-1.5241745131704001</v>
      </c>
      <c r="LS8" s="170">
        <f ca="1">$AQ8*(1-Control!$C$143)-$LQ8</f>
        <v>-1.5241745131704001</v>
      </c>
      <c r="LT8" s="170">
        <f ca="1">$AQ8*(1-Control!$C$144)-$LQ8</f>
        <v>-1.5241745131704001</v>
      </c>
      <c r="LU8" s="169">
        <f ca="1">(1-Control!$C$144)*AQ8-LP8</f>
        <v>3.2464704755046001</v>
      </c>
      <c r="LV8" s="172">
        <f t="shared" ca="1" si="88"/>
        <v>0.79430000000000012</v>
      </c>
      <c r="LW8" s="170">
        <f t="shared" ca="1" si="89"/>
        <v>1.5886000000000002</v>
      </c>
      <c r="LX8" s="170">
        <f ca="1">($AC8*($LR8/Control!$C$141)+$LM8*$LV8)/($AC8+$LM8)</f>
        <v>0.23530094218323697</v>
      </c>
      <c r="LY8" s="170">
        <f ca="1">($AC8*($LS8/Control!$C$141)+$LM8*$LV8)/($AC8+$LM8)</f>
        <v>0.23530094218323697</v>
      </c>
      <c r="LZ8" s="170">
        <f t="shared" ca="1" si="90"/>
        <v>0.23530094218323697</v>
      </c>
      <c r="MA8" s="170">
        <f t="shared" ca="1" si="91"/>
        <v>0.23530094218323697</v>
      </c>
      <c r="MB8" s="170" t="e">
        <f t="shared" ca="1" si="92"/>
        <v>#N/A</v>
      </c>
      <c r="MC8" s="170">
        <f t="shared" ca="1" si="176"/>
        <v>0.6018</v>
      </c>
      <c r="MD8" s="170">
        <f t="shared" ca="1" si="93"/>
        <v>0.52989392535414004</v>
      </c>
      <c r="ME8" s="170">
        <f ca="1">($AC8*($LT8/Control!$C$141)+$LM8*$LW8)/($AC8+$LM8)</f>
        <v>0.71612369323045078</v>
      </c>
      <c r="MF8" s="170" t="e">
        <f ca="1">IF(Control!$B$16&gt;=1000,0.92,IF(AND(720&lt;=Control!$B$16,1000&gt;Control!$B$16),(0.95+(Control!$B$16-720)*((0.92-0.95)/(1000-720))),IF(AND(360&lt;=Control!$B$16,720&gt;Control!$B$16),(1+(Control!$B$16-360)*((0.95-1)/(720-360))),IF(AND(40&lt;=Control!$B$16,360&gt;Control!$B$16),(1.05+(Control!$B$16-40)*((1.05-1)/(360-40)))))))</f>
        <v>#N/A</v>
      </c>
      <c r="MG8" s="170">
        <f t="shared" ca="1" si="94"/>
        <v>0.71612369323045078</v>
      </c>
      <c r="MH8" s="170" t="e">
        <f t="shared" ca="1" si="95"/>
        <v>#N/A</v>
      </c>
      <c r="MI8" s="170" t="e">
        <f t="shared" ca="1" si="95"/>
        <v>#N/A</v>
      </c>
      <c r="MJ8" s="170" t="e">
        <f ca="1">MAX(0.0001, Control!$C$132*$MI8*$DL8)</f>
        <v>#N/A</v>
      </c>
      <c r="MK8" s="170">
        <f ca="1">1/(0.76+1.5*($MG8/10))-(5-Control!$C$110)*0.1</f>
        <v>1.002845988140797</v>
      </c>
      <c r="ML8" s="173">
        <f ca="1">IF(Control!$C$110&lt;3,$MK8+($MG8-0.6)/(Control!$C$110*(Control!$C$110+3)), MAX(0.1, MIN(0.95,$MK8)))</f>
        <v>0.95</v>
      </c>
      <c r="MM8" s="173">
        <f ca="1">IF(Control!$C$110&lt;3,$MK8+(($MI8/10)-0.6)/(Control!$C$110*(Control!$C$110+3)), MAX(0.1, MIN(0.95,$MK8)))</f>
        <v>0.95</v>
      </c>
      <c r="MN8" s="173">
        <f ca="1">(1-$MM8)*(Control!$C$128-Control!$C$127)+Control!$C$127</f>
        <v>0.16</v>
      </c>
      <c r="MO8" s="170" t="e">
        <f ca="1">MAX(0,MIN(1,($MS8-Control!$C$127)/($MN8-Control!$C$127)))</f>
        <v>#DIV/0!</v>
      </c>
      <c r="MP8" s="173" t="e">
        <f ca="1">1/(0.76+1.5*$MI8)-(5-Control!$C$110)*0.1</f>
        <v>#N/A</v>
      </c>
      <c r="MQ8" s="172" t="e">
        <f t="shared" ref="MQ8:MQ71" ca="1" si="209">$MQ7+$NL7</f>
        <v>#DIV/0!</v>
      </c>
      <c r="MR8" s="168" t="e">
        <f ca="1">$MR7+$OI7</f>
        <v>#DIV/0!</v>
      </c>
      <c r="MS8" s="173" t="e">
        <f ca="1">MAX(Control!$C$127, MIN(Control!$C$135, $MR8/MAX(0.0001,$CY8)))</f>
        <v>#DIV/0!</v>
      </c>
      <c r="MT8" s="168" t="e">
        <f ca="1">(Control!$C$128-$MS8)*Control!$C$74</f>
        <v>#DIV/0!</v>
      </c>
      <c r="MU8" s="168" t="e">
        <f ca="1">(Control!$C$135-$MS8)*Control!$C$74</f>
        <v>#DIV/0!</v>
      </c>
      <c r="MV8" s="168" t="e">
        <f t="shared" ref="MV8:MV70" ca="1" si="210">$MV7+$OA7</f>
        <v>#DIV/0!</v>
      </c>
      <c r="MW8" s="168" t="e">
        <f t="shared" ca="1" si="177"/>
        <v>#DIV/0!</v>
      </c>
      <c r="MX8" s="171" t="e">
        <f ca="1">MAX(Control!$C$127, MIN(Control!$C$135, $MW8/MAX(0.0001,Control!$C$119-$CY8)))</f>
        <v>#DIV/0!</v>
      </c>
      <c r="MY8" s="54" t="e">
        <f ca="1">IF(Control!$C$114=1, $CX8*$MX8, 0)</f>
        <v>#DIV/0!</v>
      </c>
      <c r="MZ8" s="54" t="e">
        <f t="shared" ca="1" si="178"/>
        <v>#N/A</v>
      </c>
      <c r="NA8" s="168" t="e">
        <f ca="1">(Control!$C$128-$MX8)*(Control!$C$119-Control!$C$74)</f>
        <v>#DIV/0!</v>
      </c>
      <c r="NB8" s="168" t="e">
        <f ca="1">(Control!$C$135-$MX8)*(Control!$C$119-Control!$C$74)</f>
        <v>#DIV/0!</v>
      </c>
      <c r="NC8" s="174" t="e">
        <f t="shared" ca="1" si="179"/>
        <v>#DIV/0!</v>
      </c>
      <c r="ND8" s="54">
        <f ca="1">IF(Control!$C$58=2, IF(OR(Control!$B$218=$AH8,Control!$B$219=$AH8, Control!$B$220=$AH8, Control!$B$221=$AH8, Control!$B$222=$AH8, Control!$B$223=$AH8, Control!$B$224=$AH8, Control!$B$225=$AH8, Control!$B$226=$AH8, Control!$B$227=$AH8, Control!$B$228=$AH8), 1, 0), 0)</f>
        <v>0</v>
      </c>
      <c r="NE8" s="54">
        <f ca="1">IF($ND8=0,0, VLOOKUP($AH8,Control!$B$218:$C$228,2))</f>
        <v>0</v>
      </c>
      <c r="NF8" s="168" t="e">
        <f ca="1">$CY8*(Control!$C$128-Control!$C$127)</f>
        <v>#N/A</v>
      </c>
      <c r="NG8" s="54" t="e">
        <f ca="1">IF(Control!$C$58=2, $NI7-$NJ7, 0)</f>
        <v>#DIV/0!</v>
      </c>
      <c r="NH8" s="54" t="e">
        <f ca="1">IF(AND(Control!$C$58=1, $MS7&lt;= ($MN7+0.02), $I7&lt;10), 0, IF(Control!$C$58=2, $NG7, 0))</f>
        <v>#DIV/0!</v>
      </c>
      <c r="NI8" s="54" t="e">
        <f ca="1">IF(Control!$C$58=2, $NE8+$NH8,0)</f>
        <v>#DIV/0!</v>
      </c>
      <c r="NJ8" s="54" t="e">
        <f ca="1">IF(AND(Control!$C$58=1, $MS8&lt;= ($MN8+0.02), $I8&lt;10), MAX(0, MIN(10, 0.7*($NF8-$MV8))), IF(Control!$C$58=2, MIN(10,$NI8),0))</f>
        <v>#DIV/0!</v>
      </c>
      <c r="NK8" s="54" t="e">
        <f t="shared" ca="1" si="96"/>
        <v>#DIV/0!</v>
      </c>
      <c r="NL8" s="173" t="e">
        <f ca="1">(1-Control!$C$73)*$I8+$NJ8</f>
        <v>#DIV/0!</v>
      </c>
      <c r="NM8" s="172" t="e">
        <f ca="1">IF($NL8&lt;0.5, $MB8* MAX(0, MIN(1, (SQRT($NC8)-SQRT($NC8-1))*Control!$C$71)),0)</f>
        <v>#DIV/0!</v>
      </c>
      <c r="NN8" s="170" t="e">
        <f ca="1">IF($NL8&gt;=5, $MB8, MAX(0,MIN($MB8, $NM8+$NL8,($MS8-Control!$C$129))))</f>
        <v>#DIV/0!</v>
      </c>
      <c r="NO8" s="54">
        <f>IF(Control!$C$133&lt;&gt;1, Control!$C$135-Control!$C$131, 0)</f>
        <v>0.38</v>
      </c>
      <c r="NP8" s="54" t="e">
        <f t="shared" ca="1" si="97"/>
        <v>#DIV/0!</v>
      </c>
      <c r="NQ8" s="173" t="e">
        <f ca="1">MAX(0,MIN(1,(Control!$C$135-$MS8)/(Control!$C$135-$NO8)))</f>
        <v>#DIV/0!</v>
      </c>
      <c r="NR8" s="170" t="e">
        <f ca="1">IF(Control!$C$133&lt;&gt;1, $NQ8+((1-$NP8/4)*(1-$NQ8)),1)</f>
        <v>#DIV/0!</v>
      </c>
      <c r="NS8" s="170" t="e">
        <f ca="1">IF(Control!$B$31=0,$MJ8,MAX(0,MIN($MV8,$MO8*$NR8*$MJ8)))</f>
        <v>#DIV/0!</v>
      </c>
      <c r="NT8" s="170" t="e">
        <f ca="1">$NS8/$MJ8</f>
        <v>#DIV/0!</v>
      </c>
      <c r="NU8" s="170" t="e">
        <f t="shared" ca="1" si="180"/>
        <v>#N/A</v>
      </c>
      <c r="NV8" s="170" t="e">
        <f t="shared" ca="1" si="98"/>
        <v>#N/A</v>
      </c>
      <c r="NW8" s="175" t="e">
        <f t="shared" ca="1" si="99"/>
        <v>#DIV/0!</v>
      </c>
      <c r="NX8" s="170" t="e">
        <f ca="1">MIN(Control!$C$72+$MU8, $NW8)</f>
        <v>#DIV/0!</v>
      </c>
      <c r="NY8" s="170" t="e">
        <f ca="1">IF($MT8&lt;=$NX8,MIN(Control!$C$72+$NB8,$NX8-$MT8),0)</f>
        <v>#DIV/0!</v>
      </c>
      <c r="NZ8" s="54" t="e">
        <f ca="1">IF(Control!$C$114=1,  $CX8*($MX8-Control!$C$127), 0)</f>
        <v>#DIV/0!</v>
      </c>
      <c r="OA8" s="170" t="e">
        <f t="shared" ca="1" si="181"/>
        <v>#DIV/0!</v>
      </c>
      <c r="OB8" s="170" t="e">
        <f ca="1">IF($NA8 &lt;=$NY8, MIN(Control!$C$72, $NY8-$NA8), 0)</f>
        <v>#DIV/0!</v>
      </c>
      <c r="OC8" s="168" t="e">
        <f t="shared" ca="1" si="100"/>
        <v>#DIV/0!</v>
      </c>
      <c r="OD8" s="168" t="e">
        <f t="shared" ca="1" si="182"/>
        <v>#DIV/0!</v>
      </c>
      <c r="OE8" s="170">
        <f ca="1">Control!$C$73*$I8</f>
        <v>0</v>
      </c>
      <c r="OF8" s="176" t="e">
        <f t="shared" ca="1" si="101"/>
        <v>#DIV/0!</v>
      </c>
      <c r="OG8" s="168" t="e">
        <f t="shared" ca="1" si="102"/>
        <v>#DIV/0!</v>
      </c>
      <c r="OH8" s="168" t="e">
        <f t="shared" ca="1" si="103"/>
        <v>#DIV/0!</v>
      </c>
      <c r="OI8" s="168" t="e">
        <f ca="1">$NX8-$NY8+$MY8</f>
        <v>#DIV/0!</v>
      </c>
      <c r="OJ8" s="168" t="e">
        <f t="shared" ca="1" si="105"/>
        <v>#DIV/0!</v>
      </c>
      <c r="OK8" s="204" t="e">
        <f t="shared" ca="1" si="183"/>
        <v>#DIV/0!</v>
      </c>
      <c r="OL8" s="177">
        <f>Control!$C$127</f>
        <v>0.15</v>
      </c>
      <c r="OM8" s="182" t="e">
        <f t="shared" ca="1" si="106"/>
        <v>#N/A</v>
      </c>
      <c r="ON8" s="177">
        <f>Control!$C$128</f>
        <v>0.35</v>
      </c>
      <c r="OO8" s="182" t="e">
        <f t="shared" ca="1" si="107"/>
        <v>#N/A</v>
      </c>
      <c r="OP8" s="138">
        <f t="shared" ca="1" si="184"/>
        <v>0</v>
      </c>
      <c r="OQ8" s="138" t="e">
        <f t="shared" ref="OQ8:OQ71" ca="1" si="211">$OQ7+$NJ7</f>
        <v>#DIV/0!</v>
      </c>
      <c r="OR8" s="138" t="e">
        <f t="shared" ca="1" si="185"/>
        <v>#DIV/0!</v>
      </c>
      <c r="OS8" s="137" t="e">
        <f t="shared" ref="OS8:OS71" ca="1" si="212">$OS7+$OF7</f>
        <v>#DIV/0!</v>
      </c>
      <c r="OT8" s="139" t="e">
        <f t="shared" ref="OT8:OT71" ca="1" si="213">$OT7+$OB7</f>
        <v>#DIV/0!</v>
      </c>
      <c r="OU8" s="138" t="e">
        <f t="shared" ref="OU8:OU71" ca="1" si="214">$OU7+$NS7</f>
        <v>#N/A</v>
      </c>
      <c r="OV8" s="138" t="e">
        <f t="shared" ref="OV8:OV71" ca="1" si="215">$OV7+$NN7</f>
        <v>#DIV/0!</v>
      </c>
      <c r="OW8" s="138" t="e">
        <f t="shared" ca="1" si="186"/>
        <v>#DIV/0!</v>
      </c>
      <c r="OX8" s="138" t="e">
        <f t="shared" ca="1" si="187"/>
        <v>#DIV/0!</v>
      </c>
      <c r="OY8" s="138" t="e">
        <f t="shared" ca="1" si="188"/>
        <v>#DIV/0!</v>
      </c>
      <c r="OZ8" s="138" t="e">
        <f t="shared" ca="1" si="108"/>
        <v>#DIV/0!</v>
      </c>
      <c r="PA8" s="138" t="e">
        <f t="shared" ca="1" si="109"/>
        <v>#DIV/0!</v>
      </c>
      <c r="PB8" s="55">
        <f>IF(Control!$C$61="T", IF(Control!$C$65="F", IF($AH$6-Control!$C$60&lt;0,0,1), IF(365+$AH$6-Control!$C$60&lt;0,0,1)),0)</f>
        <v>0</v>
      </c>
      <c r="PC8" s="55">
        <f ca="1">IF(Control!$C$65="F", IF($AH$6-$HF8&lt;0,0,1), IF(365+$AH$6-$HF8&lt;0,0,1))</f>
        <v>1</v>
      </c>
      <c r="PD8" s="444">
        <f>Control!$C$118</f>
        <v>1500</v>
      </c>
      <c r="PE8" s="180" t="e">
        <f t="shared" ca="1" si="110"/>
        <v>#N/A</v>
      </c>
      <c r="PF8" s="445">
        <f t="shared" ca="1" si="189"/>
        <v>0.71612369323045078</v>
      </c>
      <c r="PT8" s="186"/>
      <c r="PU8" s="186"/>
      <c r="PV8" s="94"/>
      <c r="PW8" s="94"/>
      <c r="PX8" s="94"/>
      <c r="PY8" s="94"/>
      <c r="PZ8" s="94"/>
      <c r="QA8" s="94"/>
      <c r="QB8" s="94"/>
      <c r="QC8" s="94"/>
      <c r="QD8" s="94"/>
      <c r="QE8" s="94"/>
      <c r="QF8" s="94"/>
      <c r="QG8" s="94"/>
      <c r="QH8" s="94"/>
      <c r="QI8" s="94"/>
      <c r="QJ8" s="94"/>
      <c r="QK8" s="94"/>
      <c r="QL8" s="94"/>
      <c r="QM8" s="94"/>
      <c r="QN8" s="94"/>
      <c r="QO8" s="94"/>
      <c r="QP8" s="94"/>
    </row>
    <row r="9" spans="1:458" s="2" customFormat="1" x14ac:dyDescent="0.2">
      <c r="A9" s="386">
        <v>4</v>
      </c>
      <c r="B9" s="387">
        <v>1</v>
      </c>
      <c r="C9" s="387">
        <f ca="1">Weather_data!$B8</f>
        <v>0</v>
      </c>
      <c r="D9" s="388">
        <f ca="1">Weather_data!$F8</f>
        <v>0</v>
      </c>
      <c r="E9" s="388">
        <f ca="1">Weather_data!$E8</f>
        <v>0</v>
      </c>
      <c r="F9" s="388">
        <f t="shared" ca="1" si="111"/>
        <v>0</v>
      </c>
      <c r="G9" s="388">
        <f ca="1">AVERAGE($D9:$E9)+Control!$B$9</f>
        <v>0</v>
      </c>
      <c r="H9" s="388">
        <f ca="1">Weather_data!$G8</f>
        <v>0</v>
      </c>
      <c r="I9" s="388">
        <f ca="1">Weather_data!$I8</f>
        <v>0</v>
      </c>
      <c r="J9" s="388">
        <f ca="1">Weather_data!$H8</f>
        <v>0</v>
      </c>
      <c r="K9" s="389">
        <f ca="1">Weather_data!$D8</f>
        <v>0</v>
      </c>
      <c r="L9" s="388" t="e">
        <f t="shared" ca="1" si="112"/>
        <v>#N/A</v>
      </c>
      <c r="M9" s="388" t="e">
        <f t="shared" ca="1" si="0"/>
        <v>#N/A</v>
      </c>
      <c r="N9" s="388">
        <f ca="1">($G9-$O9)/10</f>
        <v>-0.36449999999999999</v>
      </c>
      <c r="O9" s="388">
        <f ca="1">$O8+$N8</f>
        <v>3.645</v>
      </c>
      <c r="P9" s="390">
        <v>3</v>
      </c>
      <c r="Q9" s="388">
        <f ca="1">MAX($G9-Control!$C$107,0)</f>
        <v>0</v>
      </c>
      <c r="R9" s="388">
        <f t="shared" ca="1" si="114"/>
        <v>0</v>
      </c>
      <c r="S9" s="388">
        <f t="shared" ca="1" si="2"/>
        <v>0</v>
      </c>
      <c r="T9" s="388">
        <f t="shared" ca="1" si="3"/>
        <v>0</v>
      </c>
      <c r="U9" s="59">
        <f t="shared" ca="1" si="4"/>
        <v>0</v>
      </c>
      <c r="V9" s="391">
        <f ca="1">MAX(0,MIN(Control!$C$100-Control!$C$99,$G9-Control!$C$99)*Control!$C$63)</f>
        <v>0</v>
      </c>
      <c r="W9" s="388">
        <f ca="1">$D9-0.25*($D9-$E9)</f>
        <v>0</v>
      </c>
      <c r="X9" s="388">
        <f t="shared" ca="1" si="115"/>
        <v>0.6110000000000001</v>
      </c>
      <c r="Y9" s="388">
        <f t="shared" ca="1" si="116"/>
        <v>0</v>
      </c>
      <c r="Z9" s="388">
        <f t="shared" ca="1" si="117"/>
        <v>0.61058800000000002</v>
      </c>
      <c r="AA9" s="388">
        <f t="shared" ca="1" si="5"/>
        <v>0.6018</v>
      </c>
      <c r="AB9" s="388">
        <f ca="1">101.3*EXP(-0.034*Control!$C$66/($G9+273))</f>
        <v>100.69623283836242</v>
      </c>
      <c r="AC9" s="392">
        <f t="shared" ca="1" si="6"/>
        <v>4.3460251046025113E-2</v>
      </c>
      <c r="AD9" s="392">
        <f t="shared" ca="1" si="7"/>
        <v>4.4450382862832649E-2</v>
      </c>
      <c r="AE9" s="388">
        <f t="shared" ca="1" si="8"/>
        <v>0</v>
      </c>
      <c r="AF9" s="388">
        <f ca="1">MAX(0,$G9-Control!$C$92)</f>
        <v>0</v>
      </c>
      <c r="AG9" s="393">
        <f ca="1">DATE($C9,$B9,$A9)</f>
        <v>4</v>
      </c>
      <c r="AH9" s="389">
        <f t="shared" ca="1" si="9"/>
        <v>4</v>
      </c>
      <c r="AI9" s="388">
        <f t="shared" ca="1" si="119"/>
        <v>-0.39677807377497082</v>
      </c>
      <c r="AJ9" s="388">
        <f ca="1">IF(Control!$C$60&lt;=0,$HH9,$HI9)</f>
        <v>1</v>
      </c>
      <c r="AK9" s="388">
        <f t="shared" ca="1" si="10"/>
        <v>-1.3082796803990371</v>
      </c>
      <c r="AL9" s="388">
        <f t="shared" ca="1" si="11"/>
        <v>1.7132475993442141E-18</v>
      </c>
      <c r="AM9" s="388">
        <f t="shared" ca="1" si="12"/>
        <v>-1.3082796803990371</v>
      </c>
      <c r="AN9" s="388">
        <f t="shared" ca="1" si="13"/>
        <v>-0.39431012734558313</v>
      </c>
      <c r="AO9" s="388">
        <f ca="1">-0.10453/COS(Control!$B$8*PI()/180)*COS(AN9)</f>
        <v>-0.15675588162874321</v>
      </c>
      <c r="AP9" s="388">
        <f ca="1">ACOS(AO9-TAN(Control!$B$8*PI()/180)*TAN(AN9))</f>
        <v>1.185503241021064</v>
      </c>
      <c r="AQ9" s="388">
        <f t="shared" ca="1" si="120"/>
        <v>0</v>
      </c>
      <c r="AR9" s="394">
        <f t="shared" ca="1" si="14"/>
        <v>0</v>
      </c>
      <c r="AS9" s="436">
        <f ca="1">IF(Control!$B$18=2,(IF(OR($AH9=Control!$B$175,$AH9=Control!$B$176,$AH9=Control!$B$177,$AH9=Control!$B$178,$AH9=Control!$B$179,$AH9=Control!$B$180,$AH9=Control!$B$181,$AH9=Control!$B$182,$AH9=Control!$B$183,$AH9=Control!$B$184,$AH9=Control!$B$185),1,0)),0)</f>
        <v>0</v>
      </c>
      <c r="AT9" s="436">
        <f>IF(Control!$B$20=8,IF(AND($AH9&gt;=Control!$B$172,$AH9&lt;=Control!$B$173),1,0),0)</f>
        <v>0</v>
      </c>
      <c r="AU9" s="436">
        <f>IF(Control!$B$20=8,IF($AV8=1,1*$AT9,IF($AT9=1,$AU8+1,$AU8)),0)</f>
        <v>0</v>
      </c>
      <c r="AV9" s="436">
        <f>IF(Control!$B$20=8,IF($AU9&gt;=Control!$B$174,1,0),0)</f>
        <v>0</v>
      </c>
      <c r="AW9" s="436">
        <f ca="1">IF(AND(Control!$B$18=2,Control!$B$171=1), $AV9, $AS9)</f>
        <v>0</v>
      </c>
      <c r="AX9" s="436" t="e">
        <f ca="1">IF(AND(Control!$B$18=1,$EU9&gt;=Control!$B$19),-$AY9,IF(AND(Control!$B$18=2,$AW9=1,$EU9&gt;$DS9),-$AY9, IF(Control!$C$108=0,0, IF(Control!$C$108&lt;&gt;0,1))))</f>
        <v>#N/A</v>
      </c>
      <c r="AY9" s="436" t="e">
        <f t="shared" ca="1" si="121"/>
        <v>#N/A</v>
      </c>
      <c r="AZ9" s="436" t="e">
        <f ca="1">IF(AND(Control!$B$18=1,$EB9&gt;Control!$B$19),$AZ8+1, IF(AND(Control!$B$18=2, $AW9=1, $EB9&gt;$DS9), $AZ8+1,$AZ8))</f>
        <v>#N/A</v>
      </c>
      <c r="BA9" s="587">
        <f>IF(Control!$C$81=0,1,IF($AH9&gt;=Control!$C$82,1,0))</f>
        <v>1</v>
      </c>
      <c r="BB9" s="140" t="e">
        <f ca="1">IF($BA9&gt;$BA8,Control!$C$83,IF($AW9&gt;0,$AW9*Control!$C$84,IF(AND(Control!$B$18=1,EN8&lt;&gt;0),Control!$C$84,0)))</f>
        <v>#N/A</v>
      </c>
      <c r="BC9" s="140" t="e">
        <f t="shared" ca="1" si="122"/>
        <v>#N/A</v>
      </c>
      <c r="BD9" s="140" t="e">
        <f ca="1">BC9*IF(OR($G9&lt;Control!$C$92,$G9&gt;Control!$C$95),0,IF(AND($G9&gt;=Control!$C$92,$G9&lt;=Control!$C$93),$G9-Control!$C$92,IF(AND($G9&gt;Control!$C$93,$G9&lt;=Control!$C$94),Control!$C$93-Control!$C$92,IF(AND($G9&gt;Control!$C$94,$G9&lt;=Control!$C$95),(Control!$C$93-Control!$C$92)*(Control!$C$94-$G9)/(Control!$C$95-Control!$C$94)))))</f>
        <v>#N/A</v>
      </c>
      <c r="BE9" s="140" t="e">
        <f t="shared" ca="1" si="123"/>
        <v>#N/A</v>
      </c>
      <c r="BF9" s="140" t="e">
        <f ca="1">IF($BE9&lt;=Control!$C$86,$BE9,Control!$C$86-$BE9)</f>
        <v>#N/A</v>
      </c>
      <c r="BG9" s="140" t="e">
        <f ca="1">IF(AND($AW9=1,Control!$C$84&lt;9),1,IF($BE9&gt;=Control!$C$86,0,$BC9))</f>
        <v>#N/A</v>
      </c>
      <c r="BH9" s="404" t="e">
        <f ca="1">IF($BG9=0,0,IF($BE9&lt;=Control!$C$86,$BC9*9*($BF9/Control!$C$86),0))</f>
        <v>#N/A</v>
      </c>
      <c r="BI9" s="140" t="e">
        <f ca="1">IF($BG9=1,0,IF($BE9&gt;=Control!$C$86,1,IF(AND($BB9&lt;21,$BB9&gt;=9),1,$BM8)))</f>
        <v>#N/A</v>
      </c>
      <c r="BJ9" s="140" t="e">
        <f ca="1">IF($BF9&lt;0,-$BF9,$BI9*IF(OR($G9&lt;Control!$C$92,$G9&gt;Control!$C$95),0,IF(AND($G9&gt;=Control!$C$92,$G9&lt;=Control!$C$93),$G9-Control!$C$92,IF(AND($G9&gt;Control!$C$93,$G9&lt;=Control!$C$94),Control!$C$93-Control!$C$92,IF(AND($G9&gt;Control!$C$94,$G9&lt;=Control!$C$95),(Control!$C$93-Control!$C$92)*(Control!$C$94-$G9)/(Control!$C$95-Control!$C$94))))))</f>
        <v>#N/A</v>
      </c>
      <c r="BK9" s="140" t="e">
        <f t="shared" ca="1" si="124"/>
        <v>#N/A</v>
      </c>
      <c r="BL9" s="140" t="e">
        <f ca="1">IF($BK9&lt;=Control!$C$87,$BK9,Control!$C$87-$BK9)</f>
        <v>#N/A</v>
      </c>
      <c r="BM9" s="140" t="e">
        <f ca="1">IF(AND($BB9&gt;=9,$BB9&lt;21),1,IF($BK9&gt;=Control!$C$87,0,$BI9))</f>
        <v>#N/A</v>
      </c>
      <c r="BN9" s="404" t="e">
        <f ca="1">IF($BM9=0,0,IF($BK9&lt;=Control!$C$87,$BI9*(9+(21-9)*($BL9/Control!$C$87)),0))</f>
        <v>#N/A</v>
      </c>
      <c r="BO9" s="140" t="e">
        <f ca="1">IF($BM9=1,0,IF($BK9&gt;=Control!$C$87,1,IF(AND($BB9&lt;30,$BB9&gt;=21),1,$BS8)))</f>
        <v>#N/A</v>
      </c>
      <c r="BP9" s="140" t="e">
        <f ca="1">IF($BL9&lt;0,-$BL9,$BO9*IF(OR($G9&lt;Control!$C$92,$G9&gt;Control!$C$95),0,IF(AND($G9&gt;=Control!$C$92,$G9&lt;=Control!$C$93),$G9-Control!$C$92,IF(AND($G9&gt;Control!$C$93,$G9&lt;=Control!$C$94),Control!$C$93-Control!$C$92,IF(AND($G9&gt;Control!$C$94,$G9&lt;=Control!$C$95),(Control!$C$93-Control!$C$92)*(Control!$C$94-$G9)/(Control!$C$95-Control!$C$94))))))</f>
        <v>#N/A</v>
      </c>
      <c r="BQ9" s="140" t="e">
        <f t="shared" ca="1" si="15"/>
        <v>#N/A</v>
      </c>
      <c r="BR9" s="140" t="e">
        <f ca="1">IF($BQ9&lt;=Control!$C$88,$BQ9,Control!$C$88-$BQ9)</f>
        <v>#N/A</v>
      </c>
      <c r="BS9" s="140" t="e">
        <f ca="1">IF(AND($BB9&gt;=21,$BB9&lt;30),1,IF($BQ9&gt;=Control!$C$88,0,$BO9))</f>
        <v>#N/A</v>
      </c>
      <c r="BT9" s="404" t="e">
        <f ca="1">IF($BS9=0,0,IF($BQ9&lt;=Control!$C$88,$BO9*(21+(30-21)*(BR9/Control!$C$88)),0))</f>
        <v>#N/A</v>
      </c>
      <c r="BU9" s="140" t="e">
        <f ca="1">IF(BG9+BM9+BS9=1,0,IF(OR(AND($BB9&lt;60,$BB9&gt;=30),$BQ9&gt;=Control!$C$88),1*$BA9,$BY8))</f>
        <v>#N/A</v>
      </c>
      <c r="BV9" s="140" t="e">
        <f ca="1">IF($BR9&lt;0,-$BR9,$BU9*IF(OR($G9&lt;Control!$C$92,$G9&gt;Control!$C$95),0,IF(AND($G9&gt;=Control!$C$92,$G9&lt;=Control!$C$93),$G9-Control!$C$92,IF(AND($G9&gt;Control!$C$93,$G9&lt;=Control!$C$94),Control!$C$93-Control!$C$92,IF(AND($G9&gt;Control!$C$94,$G9&lt;=Control!$C$95),(Control!$C$93-Control!$C$92)*(Control!$C$94-$G9)/(Control!$C$95-Control!$C$94))))))</f>
        <v>#N/A</v>
      </c>
      <c r="BW9" s="140" t="e">
        <f t="shared" ca="1" si="16"/>
        <v>#N/A</v>
      </c>
      <c r="BX9" s="140" t="e">
        <f ca="1">IF($BW9&lt;=Control!$C$89,$BW9,Control!$C$89-$BW9)</f>
        <v>#N/A</v>
      </c>
      <c r="BY9" s="140" t="e">
        <f ca="1">IF(AND($AJ9&gt;=30,$AJ9&lt;60),1,IF($BW9&gt;=Control!$C$89,0,$BU9))</f>
        <v>#N/A</v>
      </c>
      <c r="BZ9" s="404" t="e">
        <f ca="1">IF($BY9=0,0,IF($BW9&lt;=Control!$C$89,$BU9*(30+(60-30)*(BX9/Control!$C$89)),0))</f>
        <v>#N/A</v>
      </c>
      <c r="CA9" s="140" t="e">
        <f ca="1">IF($BG9+$BM9+$BS9+$BY9=1,0,IF(OR(AND($BB9&lt;65,$BB9&gt;=60),$BW9&gt;=Control!$C$89),1*$BA9,$CE8))</f>
        <v>#N/A</v>
      </c>
      <c r="CB9" s="140" t="e">
        <f ca="1">IF($BX9&lt;0,-$BX9,$CA9*IF(OR($G9&lt;Control!$C$92,$G9&gt;Control!$C$95),0,IF(AND($G9&gt;=Control!$C$92,$G9&lt;=Control!$C$93),$G9-Control!$C$92,IF(AND($G9&gt;Control!$C$93,$G9&lt;=Control!$C$94),Control!$C$93-Control!$C$92,IF(AND($G9&gt;Control!$C$94,$G9&lt;=Control!$C$95),(Control!$C$93-Control!$C$92)*(Control!$C$94-$G9)/(Control!$C$95-Control!$C$94))))))</f>
        <v>#N/A</v>
      </c>
      <c r="CC9" s="140" t="e">
        <f t="shared" ca="1" si="125"/>
        <v>#N/A</v>
      </c>
      <c r="CD9" s="140" t="e">
        <f ca="1">IF($CC9&lt;=Control!$C$90,$CC9,Control!$C$90-$CC9)</f>
        <v>#N/A</v>
      </c>
      <c r="CE9" s="140" t="e">
        <f ca="1">IF(AND($BB9&gt;=60,$BB9&lt;65),1,IF($CC9&gt;=Control!$C$90,0,$CA9))</f>
        <v>#N/A</v>
      </c>
      <c r="CF9" s="404" t="e">
        <f ca="1">IF($CE9=0,0,IF($CC9&lt;=Control!$C$90,$CA9*(60+(65-60)*(CD9/Control!$C$90)),0))</f>
        <v>#N/A</v>
      </c>
      <c r="CG9" s="140" t="e">
        <f ca="1">IF($BG9+$BM9+$BS9+$BY9+$CE9=1,0,IF(OR(AND($BB9&lt;90,$BB9&gt;=65),$CC9&gt;=Control!$C$90),$BA9,$CK8))</f>
        <v>#N/A</v>
      </c>
      <c r="CH9" s="140" t="e">
        <f ca="1">IF($CD9&lt;0,-$CD9,$CG9*IF(OR($G9&lt;Control!$C$92,$G9&gt;Control!$C$95),0,IF(AND($G9&gt;=Control!$C$92,$G9&lt;=Control!$C$93),$G9-Control!$C$92,IF(AND($G9&gt;Control!$C$93,$G9&lt;=Control!$C$94),Control!$C$93-Control!$C$92,IF(AND($G9&gt;Control!$C$94,$G9&lt;=Control!$C$95),(Control!$C$93-Control!$C$92)*(Control!$C$94-$G9)/(Control!$C$95-Control!$C$94))))))</f>
        <v>#N/A</v>
      </c>
      <c r="CI9" s="140" t="e">
        <f t="shared" ca="1" si="126"/>
        <v>#N/A</v>
      </c>
      <c r="CJ9" s="140" t="e">
        <f ca="1">IF($CI9&lt;=Control!$C$91,$CI9,Control!$C$91-$CI9)</f>
        <v>#N/A</v>
      </c>
      <c r="CK9" s="140" t="e">
        <f ca="1">IF(AND($BB9&gt;=65,$BB9&lt;90),1,IF($CI9&gt;=Control!$C$91,0,$CG9))</f>
        <v>#N/A</v>
      </c>
      <c r="CL9" s="404" t="e">
        <f ca="1">IF($CK9=0,0,IF($CI9&lt;=Control!$C$91,$CG9*(65+(90-65)*($CJ9/Control!$C$91)),0))</f>
        <v>#N/A</v>
      </c>
      <c r="CM9" s="140" t="e">
        <f ca="1">IF($BG9+$BM9+$BS9+$BY9+$CE9+$CK9=1,0,IF(OR($BB9&gt;=90,$CI9&gt;=Control!$C$91),$BA9,$CM8))</f>
        <v>#N/A</v>
      </c>
      <c r="CN9" s="140" t="e">
        <f t="shared" ca="1" si="127"/>
        <v>#N/A</v>
      </c>
      <c r="CO9" s="140" t="e">
        <f t="shared" ca="1" si="128"/>
        <v>#N/A</v>
      </c>
      <c r="CP9" s="140" t="e">
        <f t="shared" ca="1" si="129"/>
        <v>#N/A</v>
      </c>
      <c r="CQ9" s="141" t="e">
        <f ca="1">VLOOKUP($CP9,Control!$B$86:$G$91,6)</f>
        <v>#N/A</v>
      </c>
      <c r="CR9" s="141" t="e">
        <f ca="1">(1-$CQ9)*VLOOKUP($CP9,Control!$B$86:$D$91,3)</f>
        <v>#N/A</v>
      </c>
      <c r="CS9" s="141" t="e">
        <f ca="1">(1-$CQ9)*VLOOKUP($CP9,Control!$B$86:$E$91,4)</f>
        <v>#N/A</v>
      </c>
      <c r="CT9" s="141" t="e">
        <f ca="1">(1-$CQ9)*VLOOKUP($CP9,Control!$B$86:$F$91,5)</f>
        <v>#N/A</v>
      </c>
      <c r="CU9" s="141">
        <f t="shared" ca="1" si="130"/>
        <v>0</v>
      </c>
      <c r="CV9" s="583">
        <f t="shared" ca="1" si="131"/>
        <v>0</v>
      </c>
      <c r="CW9" s="142">
        <f t="shared" ca="1" si="132"/>
        <v>4</v>
      </c>
      <c r="CX9" s="612" t="e">
        <f ca="1">IF(Control!$C$114=1,(MIN(Control!$C$120*(IF($NT9-0.01&lt;0,0,1)),Control!$C$119-$CY9)))</f>
        <v>#DIV/0!</v>
      </c>
      <c r="CY9" s="143" t="e">
        <f t="shared" ca="1" si="133"/>
        <v>#N/A</v>
      </c>
      <c r="CZ9" s="144">
        <f t="shared" ca="1" si="17"/>
        <v>0.129</v>
      </c>
      <c r="DA9" s="144">
        <f t="shared" ca="1" si="18"/>
        <v>3.6450000000000003E-2</v>
      </c>
      <c r="DB9" s="144" t="e">
        <f t="shared" ca="1" si="19"/>
        <v>#N/A</v>
      </c>
      <c r="DC9" s="144" t="e">
        <f t="shared" ca="1" si="20"/>
        <v>#N/A</v>
      </c>
      <c r="DD9" s="144" t="e">
        <f t="shared" ref="DD9:DD72" ca="1" si="216">IF($DE8&lt;14000,(($DC8-$DX8)*$DA8*$DE8),(-$DX8*$DA8*$DE8))</f>
        <v>#N/A</v>
      </c>
      <c r="DE9" s="143" t="e">
        <f t="shared" ca="1" si="135"/>
        <v>#N/A</v>
      </c>
      <c r="DF9" s="145" t="e">
        <f ca="1">$DR9*EXP(-Control!$C$158*(1-$KH9))</f>
        <v>#N/A</v>
      </c>
      <c r="DG9" s="146" t="e">
        <f ca="1">IF(Control!$C$114=1, $DF9*$EY9, 0)</f>
        <v>#N/A</v>
      </c>
      <c r="DH9" s="147" t="e">
        <f t="shared" ca="1" si="136"/>
        <v>#N/A</v>
      </c>
      <c r="DI9" s="144" t="e">
        <f t="shared" ca="1" si="191"/>
        <v>#N/A</v>
      </c>
      <c r="DJ9" s="147" t="e">
        <f ca="1">$EF9*Control!$C$109</f>
        <v>#N/A</v>
      </c>
      <c r="DK9" s="144" t="e">
        <f t="shared" ca="1" si="137"/>
        <v>#N/A</v>
      </c>
      <c r="DL9" s="144" t="e">
        <f t="shared" ca="1" si="21"/>
        <v>#N/A</v>
      </c>
      <c r="DM9" s="144" t="e">
        <f ca="1">IF(Control!$C$114=1, (1-EXP(-Control!$C$96*$DK9))*$AR9, 0)</f>
        <v>#N/A</v>
      </c>
      <c r="DN9" s="144">
        <f t="shared" ca="1" si="138"/>
        <v>0</v>
      </c>
      <c r="DO9" s="148">
        <f>Control!$C$97</f>
        <v>4</v>
      </c>
      <c r="DP9" s="145" t="e">
        <f t="shared" ca="1" si="139"/>
        <v>#N/A</v>
      </c>
      <c r="DQ9" s="145" t="e">
        <f ca="1">IF(AND($CP9&gt;=0,$CP9&lt;=90),Control!$C$111,Control!$C$111)</f>
        <v>#N/A</v>
      </c>
      <c r="DR9" s="145" t="e">
        <f t="shared" ca="1" si="22"/>
        <v>#N/A</v>
      </c>
      <c r="DS9" s="143" t="e">
        <f ca="1">Control!$B$22/$DR9</f>
        <v>#N/A</v>
      </c>
      <c r="DT9" s="149" t="e">
        <f ca="1">IF(AND(Control!$C$114=1,$KH9&lt;1),$IM9*$DF9, 0)</f>
        <v>#N/A</v>
      </c>
      <c r="DU9" s="144" t="e">
        <f t="shared" ca="1" si="192"/>
        <v>#N/A</v>
      </c>
      <c r="DV9" s="144">
        <f ca="1">IF($G9-Control!$C$107&lt;=0, 0, 0.83*LN(MAX($G9, 3))-0.8924)</f>
        <v>0</v>
      </c>
      <c r="DW9" s="144" t="e">
        <f t="shared" ca="1" si="23"/>
        <v>#N/A</v>
      </c>
      <c r="DX9" s="150" t="e">
        <f ca="1">MAX(0.01*(1+$CU9/Control!$C$102),0.05*($DK9-Control!$C$97)/Control!$C$97)</f>
        <v>#N/A</v>
      </c>
      <c r="DY9" s="151" t="e">
        <f ca="1">IF(Control!$C$114=1, $DI9*$FS9, 0)</f>
        <v>#N/A</v>
      </c>
      <c r="DZ9" s="196" t="e">
        <f t="shared" ca="1" si="140"/>
        <v>#N/A</v>
      </c>
      <c r="EA9" s="152">
        <f t="shared" ca="1" si="141"/>
        <v>4</v>
      </c>
      <c r="EB9" s="153" t="e">
        <f t="shared" ref="EB9:EB70" ca="1" si="217">$EB8+$ED8</f>
        <v>#N/A</v>
      </c>
      <c r="EC9" s="153" t="e">
        <f t="shared" ca="1" si="142"/>
        <v>#N/A</v>
      </c>
      <c r="ED9" s="154" t="e">
        <f ca="1">IF(Control!$C$114=1, $HM9*$FY9-$FD9, 0)</f>
        <v>#DIV/0!</v>
      </c>
      <c r="EE9" s="155" t="e">
        <f ca="1">IF(Control!$C$114=1, $HM9*$FZ9-$FF9, 0)</f>
        <v>#DIV/0!</v>
      </c>
      <c r="EF9" s="153" t="e">
        <f t="shared" ca="1" si="193"/>
        <v>#N/A</v>
      </c>
      <c r="EG9" s="155" t="e">
        <f ca="1">IF(Control!$C$114=1, $GX9*$FW9-$FI9, 0)</f>
        <v>#DIV/0!</v>
      </c>
      <c r="EH9" s="153" t="e">
        <f t="shared" ca="1" si="143"/>
        <v>#N/A</v>
      </c>
      <c r="EI9" s="156" t="e">
        <f t="shared" ca="1" si="144"/>
        <v>#N/A</v>
      </c>
      <c r="EJ9" s="155" t="e">
        <f ca="1">IF(Control!$C$114=1, $HM9*$GB9, 0)</f>
        <v>#DIV/0!</v>
      </c>
      <c r="EK9" s="153" t="e">
        <f t="shared" ca="1" si="194"/>
        <v>#N/A</v>
      </c>
      <c r="EL9" s="153" t="e">
        <f t="shared" ca="1" si="24"/>
        <v>#N/A</v>
      </c>
      <c r="EM9" s="153" t="e">
        <f t="shared" ca="1" si="25"/>
        <v>#N/A</v>
      </c>
      <c r="EN9" s="153" t="e">
        <f ca="1">IF(Control!$C$108=1,IF(AND(Control!$B$18=1,$EB9&gt;=Control!$B$19),$EB9-$DS9,IF(AND(Control!$B$18=2,$AW9=1,$EB9&gt;$DS9),$EB9-$DS9,0)))</f>
        <v>#N/A</v>
      </c>
      <c r="EO9" s="153" t="e">
        <f ca="1">IF(Control!$C$108=1,IF(AND(Control!$B$18=1,$EB9&gt;=Control!$B$19),$EF9,IF(AND(Control!$B$18=2,$AW9=1),$EF9,0)))</f>
        <v>#N/A</v>
      </c>
      <c r="EP9" s="153" t="e">
        <f ca="1">IF(Control!$C$108=1,IF(AND(Control!$B$18=1,$EB9&gt;=Control!$B$19),$EK9,IF(AND(Control!$B$18=2,$AW9=1),$EK9,0)))</f>
        <v>#N/A</v>
      </c>
      <c r="EQ9" s="153" t="e">
        <f t="shared" ca="1" si="145"/>
        <v>#N/A</v>
      </c>
      <c r="ER9" s="153" t="e">
        <f ca="1">$ER8+$EN8</f>
        <v>#N/A</v>
      </c>
      <c r="ES9" s="153" t="e">
        <f t="shared" ca="1" si="196"/>
        <v>#N/A</v>
      </c>
      <c r="ET9" s="153" t="e">
        <f t="shared" ca="1" si="197"/>
        <v>#N/A</v>
      </c>
      <c r="EU9" s="153" t="e">
        <f t="shared" ca="1" si="198"/>
        <v>#N/A</v>
      </c>
      <c r="EV9" s="153" t="e">
        <f t="shared" ca="1" si="146"/>
        <v>#N/A</v>
      </c>
      <c r="EW9" s="153" t="e">
        <f t="shared" ref="EW9:EW69" ca="1" si="218">$ER9+MAX(0,$EM9)</f>
        <v>#N/A</v>
      </c>
      <c r="EX9" s="153" t="e">
        <f t="shared" ca="1" si="26"/>
        <v>#N/A</v>
      </c>
      <c r="EY9" s="157" t="e">
        <f t="shared" ca="1" si="147"/>
        <v>#DIV/0!</v>
      </c>
      <c r="EZ9" s="154" t="e">
        <f t="shared" ca="1" si="27"/>
        <v>#DIV/0!</v>
      </c>
      <c r="FA9" s="153" t="e">
        <f t="shared" ca="1" si="199"/>
        <v>#N/A</v>
      </c>
      <c r="FB9" s="153" t="e">
        <f t="shared" ca="1" si="28"/>
        <v>#N/A</v>
      </c>
      <c r="FC9" s="193" t="e">
        <f t="shared" ca="1" si="29"/>
        <v>#N/A</v>
      </c>
      <c r="FD9" s="158" t="e">
        <f t="shared" ca="1" si="200"/>
        <v>#N/A</v>
      </c>
      <c r="FE9" s="158" t="e">
        <f t="shared" ca="1" si="148"/>
        <v>#N/A</v>
      </c>
      <c r="FF9" s="159" t="e">
        <f t="shared" ca="1" si="30"/>
        <v>#N/A</v>
      </c>
      <c r="FG9" s="160" t="e">
        <f t="shared" ca="1" si="149"/>
        <v>#N/A</v>
      </c>
      <c r="FH9" s="158" t="e">
        <f t="shared" ca="1" si="150"/>
        <v>#N/A</v>
      </c>
      <c r="FI9" s="159" t="e">
        <f t="shared" ca="1" si="31"/>
        <v>#N/A</v>
      </c>
      <c r="FJ9" s="160" t="e">
        <f t="shared" ca="1" si="151"/>
        <v>#N/A</v>
      </c>
      <c r="FK9" s="160" t="e">
        <f t="shared" ca="1" si="32"/>
        <v>#N/A</v>
      </c>
      <c r="FL9" s="160" t="e">
        <f ca="1">$FL8+$FD8</f>
        <v>#N/A</v>
      </c>
      <c r="FM9" s="160" t="e">
        <f t="shared" ca="1" si="33"/>
        <v>#N/A</v>
      </c>
      <c r="FN9" s="158">
        <f t="shared" ref="FN9:FN70" ca="1" si="219">IF(AND($G9&lt;=50,$G9&gt;=30),(0.05+($G9-30)*((0.09-0.05)/(50-30))),IF(AND($G9&lt;30,$G9&gt;=15),(0.02+($G9-15)*((0.05-0.02)/(30-15))),IF(AND($G9&lt;15,$G9&gt;=10),(0.01+($G9-10)*((0.02-0.01)/(15-10))),IF(AND($G9&lt;10,$G9&gt;=-10),($G9+10)*((0.02-0)/(10+10)),IF($G9=-10,0)))))</f>
        <v>0.01</v>
      </c>
      <c r="FO9" s="160">
        <f>Control!$C$101</f>
        <v>50</v>
      </c>
      <c r="FP9" s="150" t="e">
        <f t="shared" ca="1" si="34"/>
        <v>#N/A</v>
      </c>
      <c r="FQ9" s="150" t="e">
        <f ca="1">MAX(0,(Control!$C$112*(($DK9-Control!$C$97)/Control!$C$97)))</f>
        <v>#N/A</v>
      </c>
      <c r="FR9" s="150" t="e">
        <f ca="1">(1-$NT9)*Control!$C$113</f>
        <v>#DIV/0!</v>
      </c>
      <c r="FS9" s="198" t="e">
        <f t="shared" ca="1" si="35"/>
        <v>#N/A</v>
      </c>
      <c r="FT9" s="161">
        <f t="shared" ca="1" si="152"/>
        <v>4</v>
      </c>
      <c r="FU9" s="162" t="e">
        <f ca="1">IF(Control!$B$34=1,VLOOKUP($CP9,Control!$B$86:$G$91,6),Control!$B$35)</f>
        <v>#N/A</v>
      </c>
      <c r="FV9" s="162" t="e">
        <f t="shared" ca="1" si="36"/>
        <v>#DIV/0!</v>
      </c>
      <c r="FW9" s="162" t="e">
        <f ca="1">IF(Control!$B$31=1,$FU9*$FV9,  $FU9)</f>
        <v>#N/A</v>
      </c>
      <c r="FX9" s="162" t="e">
        <f ca="1">IF(Control!$B$34=1,VLOOKUP($CP9,Control!$B$86:$G$91,3),Control!$B$36)</f>
        <v>#N/A</v>
      </c>
      <c r="FY9" s="162" t="e">
        <f t="shared" ca="1" si="37"/>
        <v>#N/A</v>
      </c>
      <c r="FZ9" s="162" t="e">
        <f ca="1">IF(Control!$B$34=1,VLOOKUP($CP9,Control!$B$86:$G$91,4),Control!$B$37)</f>
        <v>#N/A</v>
      </c>
      <c r="GA9" s="162" t="e">
        <f t="shared" ca="1" si="38"/>
        <v>#N/A</v>
      </c>
      <c r="GB9" s="162" t="e">
        <f ca="1">IF(Control!$B$34=1,VLOOKUP($CP9,Control!$B$86:$G$91,5),Control!$B$38)</f>
        <v>#N/A</v>
      </c>
      <c r="GC9" s="162" t="e">
        <f t="shared" ca="1" si="153"/>
        <v>#N/A</v>
      </c>
      <c r="GD9" s="162">
        <f t="shared" ca="1" si="39"/>
        <v>1</v>
      </c>
      <c r="GE9" s="162">
        <f t="shared" ca="1" si="40"/>
        <v>1</v>
      </c>
      <c r="GF9" s="162">
        <f ca="1">IF(AND(Control!$C$104=1, Control!$C$62="F"),$GE9,1)</f>
        <v>1</v>
      </c>
      <c r="GG9" s="162" t="e">
        <f ca="1">IF(Control!$B$16=40,0,IF(AND(Control!$B$16&gt;40,Control!$B$16&lt;=360),(Control!$B$16-40)*((1-0)/(360-40)),IF(AND(Control!$B$16&gt;360,Control!$B$16&lt;=720),(1+(Control!$B$16-360)*((1.25-1)/(720-360))),IF(AND(Control!$B$16&gt;720,Control!$B$16&lt;=1000),(1.25+(Control!$B$16-720)*((1.35-1.25)/(1000-720))),IF(AND(Control!$B$16&gt;1000,Control!$B$16&lt;=2000),(1.35+(Control!$B$16-1000)*0))))))</f>
        <v>#N/A</v>
      </c>
      <c r="GH9" s="162" t="e">
        <f t="shared" ca="1" si="41"/>
        <v>#N/A</v>
      </c>
      <c r="GI9" s="162">
        <f t="shared" ca="1" si="201"/>
        <v>0</v>
      </c>
      <c r="GJ9" s="162">
        <f t="shared" ca="1" si="42"/>
        <v>0</v>
      </c>
      <c r="GK9" s="162">
        <f t="shared" ref="GK9:GK70" ca="1" si="220">IF(AND($AR9&gt;=0,$AR9&lt;=10),1,IF(AND($AR9&gt;=40,$AR9&lt;=42),0.33,((1+($AR9-10)*((0.33-1)/(40-10))))))</f>
        <v>1</v>
      </c>
      <c r="GL9" s="162">
        <f t="shared" ca="1" si="43"/>
        <v>1</v>
      </c>
      <c r="GM9" s="162" t="e">
        <f ca="1">MAX(0,MIN(1,1-Control!$C$156*(1.0001-$KH9)^2))</f>
        <v>#N/A</v>
      </c>
      <c r="GN9" s="162" t="e">
        <f ca="1">IF(Control!$B$26=1,$KU9,$KX9)</f>
        <v>#N/A</v>
      </c>
      <c r="GO9" s="162" t="e">
        <f ca="1">IF($CP9&lt;=60,Control!$C$105,IF($CP9&gt;=90,Control!$C$106,Control!$C$105+($CP9-60)*((Control!$C$106-Control!$C$105)/(90-60))))</f>
        <v>#N/A</v>
      </c>
      <c r="GP9" s="162" t="e">
        <f t="shared" ca="1" si="154"/>
        <v>#N/A</v>
      </c>
      <c r="GQ9" s="162" t="e">
        <f t="shared" ca="1" si="155"/>
        <v>#N/A</v>
      </c>
      <c r="GR9" s="163" t="e">
        <f t="shared" ca="1" si="44"/>
        <v>#DIV/0!</v>
      </c>
      <c r="GS9" s="162" t="e">
        <f t="shared" ca="1" si="45"/>
        <v>#DIV/0!</v>
      </c>
      <c r="GT9" s="164" t="e">
        <f t="shared" ca="1" si="156"/>
        <v>#N/A</v>
      </c>
      <c r="GU9" s="162" t="e">
        <f t="shared" ca="1" si="157"/>
        <v>#N/A</v>
      </c>
      <c r="GV9" s="162" t="e">
        <f ca="1">IF($EN9&lt;=0,$GT9*(1/$DF9)*(1/$FY9)*(1/(1-$FW9)),0)</f>
        <v>#N/A</v>
      </c>
      <c r="GW9" s="162" t="e">
        <f t="shared" ref="GW9:GW69" ca="1" si="221">IF($GS9-$GV9&lt;=0,0,$GS9-$GV9)</f>
        <v>#DIV/0!</v>
      </c>
      <c r="GX9" s="162" t="e">
        <f ca="1">IF($GS9-$GV9&lt;=0, $GS9, $GV9)</f>
        <v>#DIV/0!</v>
      </c>
      <c r="GY9" s="162" t="e">
        <f t="shared" ca="1" si="158"/>
        <v>#DIV/0!</v>
      </c>
      <c r="GZ9" s="165" t="e">
        <f t="shared" ca="1" si="159"/>
        <v>#N/A</v>
      </c>
      <c r="HA9" s="162" t="e">
        <f ca="1">IF(Control!$C$114=1, $DI9*$FS9, 0)</f>
        <v>#N/A</v>
      </c>
      <c r="HB9" s="162" t="e">
        <f ca="1">$FA9/Control!$C$64</f>
        <v>#N/A</v>
      </c>
      <c r="HC9" s="162" t="e">
        <f t="shared" ref="HC9:HC69" ca="1" si="222">$GW9-$HB9</f>
        <v>#DIV/0!</v>
      </c>
      <c r="HD9" s="162">
        <f ca="1">-ASIN(SIN(23.45*Control!$C$139)*COS(2*Control!$C$138*($AH9+10)/365))</f>
        <v>-0.39677807377497082</v>
      </c>
      <c r="HE9" s="165">
        <f t="shared" ca="1" si="160"/>
        <v>0</v>
      </c>
      <c r="HF9" s="166">
        <f ca="1">IF(AND(Control!$C$61="T",$HE9&gt;=Control!$C$103,Control!$C$114=0),$AH9,Control!$C$59)</f>
        <v>1</v>
      </c>
      <c r="HG9" s="166">
        <f ca="1">IF(AND(Control!$C$61="T",$HE9&gt;=Control!$C$103,Control!$C$114=0),$HF9,Control!$C$59)</f>
        <v>1</v>
      </c>
      <c r="HH9" s="165">
        <f ca="1">IF(AND(OR(Control!$C$60&lt;=0, $AH9= Control!$C$59, Control!$C$60 &gt;0, $AH9 = Control!$C$60)), Control!$C$59, IF(Control!$C$60&gt;0, 0))</f>
        <v>1</v>
      </c>
      <c r="HI9" s="165">
        <f ca="1">IF(AND(OR(Control!$C$60&lt;=0, $AH9= Control!$C$59, Control!$C$60 &gt;0, $AH9 = Control!$C$60)), Control!$C$60, IF(Control!$C$60&lt;=0, 0))</f>
        <v>0</v>
      </c>
      <c r="HJ9" s="166">
        <f ca="1">IF(AND(Control!$C$62="F",$CV9&gt;=Control!$C$102),$AH9,0)</f>
        <v>0</v>
      </c>
      <c r="HK9" s="165" t="e">
        <f t="shared" ca="1" si="202"/>
        <v>#N/A</v>
      </c>
      <c r="HL9" s="166">
        <f ca="1">IF(AND(Control!$C$61="T",$HE9&gt;=Control!$C$103,Control!$C$114=0),$HF9,0)</f>
        <v>0</v>
      </c>
      <c r="HM9" s="201" t="e">
        <f t="shared" ca="1" si="47"/>
        <v>#DIV/0!</v>
      </c>
      <c r="HN9" s="215">
        <f t="shared" ca="1" si="161"/>
        <v>4</v>
      </c>
      <c r="HO9" s="216" t="e">
        <f ca="1">IF(AND($CP9&gt;=0, $CP9&lt;=90), Control!$C$152, Control!$C$152)</f>
        <v>#N/A</v>
      </c>
      <c r="HP9" s="216" t="e">
        <f t="shared" ca="1" si="48"/>
        <v>#N/A</v>
      </c>
      <c r="HQ9" s="217" t="e">
        <f ca="1">IF(OR(Control!$B$26=1,Control!$B$26=2),$KV9,$KS9)</f>
        <v>#DIV/0!</v>
      </c>
      <c r="HR9" s="218" t="e">
        <f t="shared" ref="HR9:HR71" ca="1" si="223">$HR8-$HQ8</f>
        <v>#DIV/0!</v>
      </c>
      <c r="HS9" s="216" t="e">
        <f ca="1">Control!$C$154*$HP9</f>
        <v>#N/A</v>
      </c>
      <c r="HT9" s="216" t="e">
        <f ca="1">Control!$C$155*$HP9</f>
        <v>#N/A</v>
      </c>
      <c r="HU9" s="217" t="e">
        <f ca="1">Control!$C$161*$FI9</f>
        <v>#N/A</v>
      </c>
      <c r="HV9" s="218" t="e">
        <f t="shared" ca="1" si="162"/>
        <v>#N/A</v>
      </c>
      <c r="HW9" s="218" t="e">
        <f ca="1">Control!$C$160*$FF9+$IP9*$EO9</f>
        <v>#N/A</v>
      </c>
      <c r="HX9" s="218" t="e">
        <f t="shared" ca="1" si="203"/>
        <v>#N/A</v>
      </c>
      <c r="HY9" s="219" t="e">
        <f ca="1">IF(Control!$C$114=1, $EB9*$FS9, 0)</f>
        <v>#N/A</v>
      </c>
      <c r="HZ9" s="91" t="e">
        <f t="shared" ca="1" si="49"/>
        <v>#N/A</v>
      </c>
      <c r="IA9" s="220" t="e">
        <f ca="1">Control!$C$153*$HO9</f>
        <v>#N/A</v>
      </c>
      <c r="IB9" s="218" t="e">
        <f t="shared" ca="1" si="50"/>
        <v>#N/A</v>
      </c>
      <c r="IC9" s="220" t="e">
        <f ca="1">Control!$C$153*$HT9</f>
        <v>#N/A</v>
      </c>
      <c r="ID9" s="218" t="e">
        <f t="shared" ca="1" si="51"/>
        <v>#N/A</v>
      </c>
      <c r="IE9" s="221" t="e">
        <f ca="1">($EB9*Control!$C$159+$EF9*Control!$C$160)/(IF($GZ9&lt;&gt;0,$GZ9,1))</f>
        <v>#N/A</v>
      </c>
      <c r="IF9" s="216" t="e">
        <f ca="1">($IB9+$ID9)/IF($GZ9&lt;&gt;0, $GZ9,1)</f>
        <v>#N/A</v>
      </c>
      <c r="IG9" s="91">
        <f ca="1">IF(OR(Control!$B$198=$AH9,Control!$B$199=$AH9, Control!$B$200=$AH9, Control!$B$201=$AH9, Control!$B$202=$AH9, Control!$B$203=$AH9, Control!$B$204=$AH9, Control!$B$205=$AH9, Control!$B$206=$AH9, Control!$B$207=$AH9), 1, 0)</f>
        <v>0</v>
      </c>
      <c r="IH9" s="91">
        <f ca="1">IF($IG9=0,0, VLOOKUP($AH9,Control!$B$198:$C$207,2))</f>
        <v>0</v>
      </c>
      <c r="II9" s="222">
        <f ca="1">$II8+$IH9</f>
        <v>0</v>
      </c>
      <c r="IJ9" s="91">
        <f>Control!$C$121</f>
        <v>0.7</v>
      </c>
      <c r="IK9" s="218">
        <f t="shared" ca="1" si="53"/>
        <v>0</v>
      </c>
      <c r="IL9" s="217" t="e">
        <f t="shared" ca="1" si="204"/>
        <v>#N/A</v>
      </c>
      <c r="IM9" s="223" t="e">
        <f ca="1">IF(AND(Control!$C$114=1,$KH9&lt;1),$EB9*Control!$C$148*(1-$KH9), 0)</f>
        <v>#N/A</v>
      </c>
      <c r="IN9" s="217" t="e">
        <f t="shared" ca="1" si="54"/>
        <v>#DIV/0!</v>
      </c>
      <c r="IO9" s="91" t="e">
        <f ca="1">MAX(0,$IL9-$EF9*Control!$C$160)</f>
        <v>#N/A</v>
      </c>
      <c r="IP9" s="220" t="e">
        <f t="shared" ca="1" si="55"/>
        <v>#N/A</v>
      </c>
      <c r="IQ9" s="217" t="e">
        <f t="shared" ca="1" si="164"/>
        <v>#N/A</v>
      </c>
      <c r="IR9" s="218" t="e">
        <f t="shared" ca="1" si="56"/>
        <v>#N/A</v>
      </c>
      <c r="IS9" s="217" t="e">
        <f ca="1">Control!$C$159*MAX(0,$FD9-$EN9)</f>
        <v>#N/A</v>
      </c>
      <c r="IT9" s="217" t="e">
        <f t="shared" ca="1" si="205"/>
        <v>#N/A</v>
      </c>
      <c r="IU9" s="217" t="e">
        <f ca="1">$KG9*$EN9</f>
        <v>#N/A</v>
      </c>
      <c r="IV9" s="217" t="e">
        <f t="shared" ca="1" si="206"/>
        <v>#N/A</v>
      </c>
      <c r="IW9" s="217" t="e">
        <f ca="1">IF(OR($AW9=1,AND($AW9=0, Control!$B$18=1,$EN9&lt;&gt;0)), $IQ9-$IU9, $IQ9)</f>
        <v>#N/A</v>
      </c>
      <c r="IX9" s="218" t="e">
        <f t="shared" ca="1" si="57"/>
        <v>#N/A</v>
      </c>
      <c r="IY9" s="218" t="e">
        <f ca="1">MAX(0,$IQ9-$EB9*Control!$C$159)</f>
        <v>#N/A</v>
      </c>
      <c r="IZ9" s="218" t="e">
        <f t="shared" ca="1" si="58"/>
        <v>#N/A</v>
      </c>
      <c r="JA9" s="216" t="e">
        <f t="shared" ca="1" si="59"/>
        <v>#N/A</v>
      </c>
      <c r="JB9" s="217" t="e">
        <f t="shared" ca="1" si="60"/>
        <v>#N/A</v>
      </c>
      <c r="JC9" s="222" t="e">
        <f ca="1">MAX(Control!$C$157*$EK9-$JT9, 0)/Control!$C$162</f>
        <v>#N/A</v>
      </c>
      <c r="JD9" s="218" t="e">
        <f t="shared" ca="1" si="61"/>
        <v>#N/A</v>
      </c>
      <c r="JE9" s="218" t="e">
        <f t="shared" ca="1" si="62"/>
        <v>#N/A</v>
      </c>
      <c r="JF9" s="218" t="e">
        <f t="shared" ca="1" si="207"/>
        <v>#N/A</v>
      </c>
      <c r="JG9" s="218" t="e">
        <f t="shared" ca="1" si="63"/>
        <v>#N/A</v>
      </c>
      <c r="JH9" s="217" t="e">
        <f t="shared" ca="1" si="166"/>
        <v>#N/A</v>
      </c>
      <c r="JI9" s="217" t="e">
        <f t="shared" ca="1" si="167"/>
        <v>#N/A</v>
      </c>
      <c r="JJ9" s="217" t="e">
        <f t="shared" ref="JJ9:JJ71" ca="1" si="224">$JJ8+$JL8</f>
        <v>#N/A</v>
      </c>
      <c r="JK9" s="217" t="e">
        <f ca="1">IF(Control!$C$114=1,IF(Control!$B$24=0,MAX(0,$JI9)*$GN9/Control!$C$64,(MAX(0,MIN($JI9,$JJ9*$GN9/Control!$C$64),0))))</f>
        <v>#N/A</v>
      </c>
      <c r="JL9" s="217" t="e">
        <f ca="1">$IK9/Control!$C$64-$JK9+$HQ9</f>
        <v>#N/A</v>
      </c>
      <c r="JM9" s="217" t="e">
        <f ca="1">IF(Control!$C$114=1,($JB9/(IF($JI9&lt;&gt;0,$JI9,1)))*$JK9,0)</f>
        <v>#N/A</v>
      </c>
      <c r="JN9" s="217" t="e">
        <f ca="1">IF(Control!$C$114=1,($JG9/(IF($JI9&lt;&gt;0,$JI9,1)))*$JK9, 0)</f>
        <v>#N/A</v>
      </c>
      <c r="JO9" s="218" t="e">
        <f t="shared" ca="1" si="64"/>
        <v>#N/A</v>
      </c>
      <c r="JP9" s="218" t="e">
        <f ca="1">MIN(($IY9+$IO9)*Control!$C$151, $JF9-$EH9*Control!$C$161)</f>
        <v>#N/A</v>
      </c>
      <c r="JQ9" s="218" t="e">
        <f t="shared" ca="1" si="65"/>
        <v>#N/A</v>
      </c>
      <c r="JR9" s="217" t="e">
        <f ca="1">IF($CP9-Control!$C$150&lt;0, 0, $JQ9/Control!$C$162)</f>
        <v>#N/A</v>
      </c>
      <c r="JS9" s="218" t="e">
        <f t="shared" ca="1" si="66"/>
        <v>#N/A</v>
      </c>
      <c r="JT9" s="218" t="e">
        <f t="shared" ca="1" si="168"/>
        <v>#N/A</v>
      </c>
      <c r="JU9" s="218" t="e">
        <f t="shared" ca="1" si="67"/>
        <v>#N/A</v>
      </c>
      <c r="JV9" s="218" t="e">
        <f t="shared" ca="1" si="68"/>
        <v>#N/A</v>
      </c>
      <c r="JW9" s="216" t="e">
        <f ca="1">$JF9/IF($EH9&lt;&gt;0, $EH9, 1)</f>
        <v>#N/A</v>
      </c>
      <c r="JX9" s="91" t="e">
        <f t="shared" ca="1" si="70"/>
        <v>#N/A</v>
      </c>
      <c r="JY9" s="218" t="e">
        <f t="shared" ca="1" si="71"/>
        <v>#N/A</v>
      </c>
      <c r="JZ9" s="217" t="e">
        <f ca="1">IF(Control!$C$114=1,($IZ9/(IF($JI9&lt;&gt;0,$JI9,1)))*$JK9, 0)</f>
        <v>#N/A</v>
      </c>
      <c r="KA9" s="218" t="e">
        <f t="shared" ref="KA9:KA71" ca="1" si="225">KA8+JK8</f>
        <v>#N/A</v>
      </c>
      <c r="KB9" s="218" t="e">
        <f t="shared" ca="1" si="169"/>
        <v>#N/A</v>
      </c>
      <c r="KC9" s="218" t="e">
        <f t="shared" ca="1" si="72"/>
        <v>#N/A</v>
      </c>
      <c r="KD9" s="218" t="e">
        <f t="shared" ca="1" si="73"/>
        <v>#N/A</v>
      </c>
      <c r="KE9" s="218" t="e">
        <f t="shared" ca="1" si="74"/>
        <v>#N/A</v>
      </c>
      <c r="KF9" s="218" t="e">
        <f t="shared" ca="1" si="75"/>
        <v>#N/A</v>
      </c>
      <c r="KG9" s="216" t="e">
        <f ca="1">$IR9/IF($GZ9&lt;&gt;0, $GZ9, 1)</f>
        <v>#N/A</v>
      </c>
      <c r="KH9" s="221" t="e">
        <f ca="1">IF(Control!$B$24=0,1,MAX(0.001,MIN(1,IF(($IF9-$IE9)&lt;&gt;0,($KG9-$IE9)/($IF9-$IE9),1))))</f>
        <v>#N/A</v>
      </c>
      <c r="KI9" s="218" t="e">
        <f ca="1">IF(Control!$C$114=1, $KI8+ $KH8, 0)</f>
        <v>#N/A</v>
      </c>
      <c r="KJ9" s="217" t="e">
        <f t="shared" ca="1" si="77"/>
        <v>#N/A</v>
      </c>
      <c r="KK9" s="218" t="e">
        <f t="shared" ca="1" si="78"/>
        <v>#N/A</v>
      </c>
      <c r="KL9" s="274" t="e">
        <f ca="1">IF(Control!$B$26=3,4000000000*EXP(-8400/($G9+273)),IF(Control!$B$26=4,4000000000*EXP(-8400/($G9+273))*($KT9),0))</f>
        <v>#DIV/0!</v>
      </c>
      <c r="KM9" s="274" t="e">
        <f ca="1">IF(Control!$B$26=3,5600000000000*EXP(-9800/($G9+273)),IF(Control!$B$26=4,5600000000000*EXP(-9800/($G9+273))*$KT9,0))</f>
        <v>#DIV/0!</v>
      </c>
      <c r="KN9" s="454" t="e">
        <f t="shared" ca="1" si="170"/>
        <v>#DIV/0!</v>
      </c>
      <c r="KO9" s="274" t="e">
        <f t="shared" ca="1" si="171"/>
        <v>#DIV/0!</v>
      </c>
      <c r="KP9" s="454" t="e">
        <f t="shared" ca="1" si="79"/>
        <v>#DIV/0!</v>
      </c>
      <c r="KQ9" s="454" t="e">
        <f t="shared" ca="1" si="80"/>
        <v>#DIV/0!</v>
      </c>
      <c r="KR9" s="454" t="e">
        <f t="shared" ca="1" si="81"/>
        <v>#DIV/0!</v>
      </c>
      <c r="KS9" s="454" t="e">
        <f t="shared" ca="1" si="82"/>
        <v>#DIV/0!</v>
      </c>
      <c r="KT9" s="455" t="e">
        <f t="shared" ca="1" si="83"/>
        <v>#DIV/0!</v>
      </c>
      <c r="KU9" s="456" t="e">
        <f ca="1">IF($CP9-Control!$C$149&lt;0, IF($NT9-0.01&lt;0,0,1),0)</f>
        <v>#N/A</v>
      </c>
      <c r="KV9" s="456" t="e">
        <f ca="1">IF(Control!$C$114=1,MAX(0,MIN(Control!$C$125*$KW9*$GN9,$KW9)))</f>
        <v>#DIV/0!</v>
      </c>
      <c r="KW9" s="456" t="e">
        <f ca="1">KW8-KV8</f>
        <v>#DIV/0!</v>
      </c>
      <c r="KX9" s="457" t="e">
        <f ca="1">IF($CP9-Control!$C$149&lt;0, IF($MR9-$OM9&lt;0,0,1),0)</f>
        <v>#N/A</v>
      </c>
      <c r="KY9" s="167">
        <f t="shared" ca="1" si="172"/>
        <v>4</v>
      </c>
      <c r="KZ9" s="168">
        <f ca="1">1370*(1+0.033*COS(2*Control!$C$138*$AH9/365))</f>
        <v>1415.1028656020569</v>
      </c>
      <c r="LA9" s="169">
        <f t="shared" ca="1" si="173"/>
        <v>1.0329218000751172</v>
      </c>
      <c r="LB9" s="169">
        <f t="shared" ca="1" si="174"/>
        <v>-0.39632025356520739</v>
      </c>
      <c r="LC9" s="169">
        <f ca="1">ACOS(-TAN((2*Control!$B$8/360))*TAN(Calculations!$LB9))</f>
        <v>1.446105121759508</v>
      </c>
      <c r="LD9" s="169">
        <f ca="1">((24*60)/PI())*0.082*$LA9*(($LC9*SIN(Control!$B$8*2*PI()/360))*SIN($LB9)+COS(Control!$B$8*2*PI()/360)*COS($LB9)*SIN($LC9))</f>
        <v>4.7999617148562344</v>
      </c>
      <c r="LE9" s="170">
        <f t="shared" ca="1" si="84"/>
        <v>6.4228506298819559</v>
      </c>
      <c r="LF9" s="170">
        <f ca="1">SIN(Control!$C$139*Control!$B$8)*SIN($HD9)</f>
        <v>-0.30452626433727209</v>
      </c>
      <c r="LG9" s="170">
        <f ca="1">COS(Control!$C$139*Control!$B$8)*COS($HD9)</f>
        <v>0.56782973974936357</v>
      </c>
      <c r="LH9" s="170">
        <f ca="1">12*(1+2*ASIN(MAX(-1,MIN(1,$LF9/$LG9))/Control!$C$138))</f>
        <v>7.8828260958772205</v>
      </c>
      <c r="LI9" s="170">
        <f ca="1">12*(1+2*ASIN(MAX(-1,MIN(1,(-SIN(-4*Control!$C$139)+$LF9)/$LG9))/Control!$C$138))</f>
        <v>8.8322870082434015</v>
      </c>
      <c r="LJ9" s="168">
        <f ca="1">3600*($LH9*$LF9+24*$LG9*SQRT(1-$LK9*$LK9)/Control!$C$138)</f>
        <v>4538.7870988087834</v>
      </c>
      <c r="LK9" s="170">
        <f t="shared" ca="1" si="85"/>
        <v>-0.53629854694065171</v>
      </c>
      <c r="LL9" s="170">
        <f t="shared" ca="1" si="86"/>
        <v>0</v>
      </c>
      <c r="LM9" s="171">
        <f ca="1">Control!$C$145*$AB9</f>
        <v>6.6660906138995932E-2</v>
      </c>
      <c r="LN9" s="170">
        <f t="shared" ca="1" si="175"/>
        <v>0.54</v>
      </c>
      <c r="LO9" s="170">
        <f t="shared" ca="1" si="87"/>
        <v>0</v>
      </c>
      <c r="LP9" s="170">
        <f ca="1">Control!$C$140*((($D9+273.16)^4+($E9+273.16)^4)/2)*(0.34-0.14*SQRT($Y9))*(1.35*$AQ9/(0.75*$LD9)-0.35)</f>
        <v>-3.2464704755046001</v>
      </c>
      <c r="LQ9" s="170">
        <f ca="1">Control!$C$140*($G9+273)^4*(0.56-0.079*SQRT($Y9*10))*(0.1+0.9*$LO9)</f>
        <v>1.5241745131704001</v>
      </c>
      <c r="LR9" s="170">
        <f ca="1">$AQ9*(1-Control!$C$142)-$LQ9</f>
        <v>-1.5241745131704001</v>
      </c>
      <c r="LS9" s="170">
        <f ca="1">$AQ9*(1-Control!$C$143)-$LQ9</f>
        <v>-1.5241745131704001</v>
      </c>
      <c r="LT9" s="170">
        <f ca="1">$AQ9*(1-Control!$C$144)-$LQ9</f>
        <v>-1.5241745131704001</v>
      </c>
      <c r="LU9" s="169">
        <f ca="1">(1-Control!$C$144)*AQ9-LP9</f>
        <v>3.2464704755046001</v>
      </c>
      <c r="LV9" s="172">
        <f t="shared" ca="1" si="88"/>
        <v>0.79430000000000012</v>
      </c>
      <c r="LW9" s="170">
        <f t="shared" ca="1" si="89"/>
        <v>1.5886000000000002</v>
      </c>
      <c r="LX9" s="170">
        <f ca="1">($AC9*($LR9/Control!$C$141)+$LM9*$LV9)/($AC9+$LM9)</f>
        <v>0.23530094218323697</v>
      </c>
      <c r="LY9" s="170">
        <f ca="1">($AC9*($LS9/Control!$C$141)+$LM9*$LV9)/($AC9+$LM9)</f>
        <v>0.23530094218323697</v>
      </c>
      <c r="LZ9" s="170">
        <f t="shared" ca="1" si="90"/>
        <v>0.23530094218323697</v>
      </c>
      <c r="MA9" s="170">
        <f t="shared" ca="1" si="91"/>
        <v>0.23530094218323697</v>
      </c>
      <c r="MB9" s="170" t="e">
        <f t="shared" ca="1" si="92"/>
        <v>#N/A</v>
      </c>
      <c r="MC9" s="170">
        <f t="shared" ca="1" si="176"/>
        <v>0.6018</v>
      </c>
      <c r="MD9" s="170">
        <f t="shared" ca="1" si="93"/>
        <v>0.52989392535414004</v>
      </c>
      <c r="ME9" s="170">
        <f ca="1">($AC9*($LT9/Control!$C$141)+$LM9*$LW9)/($AC9+$LM9)</f>
        <v>0.71612369323045078</v>
      </c>
      <c r="MF9" s="170" t="e">
        <f ca="1">IF(Control!$B$16&gt;=1000,0.92,IF(AND(720&lt;=Control!$B$16,1000&gt;Control!$B$16),(0.95+(Control!$B$16-720)*((0.92-0.95)/(1000-720))),IF(AND(360&lt;=Control!$B$16,720&gt;Control!$B$16),(1+(Control!$B$16-360)*((0.95-1)/(720-360))),IF(AND(40&lt;=Control!$B$16,360&gt;Control!$B$16),(1.05+(Control!$B$16-40)*((1.05-1)/(360-40)))))))</f>
        <v>#N/A</v>
      </c>
      <c r="MG9" s="170">
        <f t="shared" ca="1" si="94"/>
        <v>0.71612369323045078</v>
      </c>
      <c r="MH9" s="170" t="e">
        <f t="shared" ca="1" si="95"/>
        <v>#N/A</v>
      </c>
      <c r="MI9" s="170" t="e">
        <f t="shared" ca="1" si="95"/>
        <v>#N/A</v>
      </c>
      <c r="MJ9" s="170" t="e">
        <f ca="1">MAX(0.0001, Control!$C$132*$MI9*$DL9)</f>
        <v>#N/A</v>
      </c>
      <c r="MK9" s="170">
        <f ca="1">1/(0.76+1.5*($MG9/10))-(5-Control!$C$110)*0.1</f>
        <v>1.002845988140797</v>
      </c>
      <c r="ML9" s="173">
        <f ca="1">IF(Control!$C$110&lt;3,$MK9+($MG9-0.6)/(Control!$C$110*(Control!$C$110+3)), MAX(0.1, MIN(0.95,$MK9)))</f>
        <v>0.95</v>
      </c>
      <c r="MM9" s="173">
        <f ca="1">IF(Control!$C$110&lt;3,$MK9+(($MI9/10)-0.6)/(Control!$C$110*(Control!$C$110+3)), MAX(0.1, MIN(0.95,$MK9)))</f>
        <v>0.95</v>
      </c>
      <c r="MN9" s="173">
        <f ca="1">(1-$MM9)*(Control!$C$128-Control!$C$127)+Control!$C$127</f>
        <v>0.16</v>
      </c>
      <c r="MO9" s="170" t="e">
        <f ca="1">MAX(0,MIN(1,($MS9-Control!$C$127)/($MN9-Control!$C$127)))</f>
        <v>#DIV/0!</v>
      </c>
      <c r="MP9" s="173" t="e">
        <f ca="1">1/(0.76+1.5*$MI9)-(5-Control!$C$110)*0.1</f>
        <v>#N/A</v>
      </c>
      <c r="MQ9" s="172" t="e">
        <f t="shared" ca="1" si="209"/>
        <v>#DIV/0!</v>
      </c>
      <c r="MR9" s="168" t="e">
        <f t="shared" ref="MR9:MR70" ca="1" si="226">$MR8+$OI8</f>
        <v>#DIV/0!</v>
      </c>
      <c r="MS9" s="173" t="e">
        <f ca="1">MAX(Control!$C$127, MIN(Control!$C$135, $MR9/MAX(0.0001,$CY9)))</f>
        <v>#DIV/0!</v>
      </c>
      <c r="MT9" s="168" t="e">
        <f ca="1">(Control!$C$128-$MS9)*Control!$C$74</f>
        <v>#DIV/0!</v>
      </c>
      <c r="MU9" s="168" t="e">
        <f ca="1">(Control!$C$135-$MS9)*Control!$C$74</f>
        <v>#DIV/0!</v>
      </c>
      <c r="MV9" s="168" t="e">
        <f t="shared" ca="1" si="210"/>
        <v>#DIV/0!</v>
      </c>
      <c r="MW9" s="168" t="e">
        <f t="shared" ca="1" si="177"/>
        <v>#DIV/0!</v>
      </c>
      <c r="MX9" s="171" t="e">
        <f ca="1">MAX(Control!$C$127, MIN(Control!$C$135, $MW9/MAX(0.0001,Control!$C$119-$CY9)))</f>
        <v>#DIV/0!</v>
      </c>
      <c r="MY9" s="54" t="e">
        <f ca="1">IF(Control!$C$114=1, $CX9*$MX9, 0)</f>
        <v>#DIV/0!</v>
      </c>
      <c r="MZ9" s="54" t="e">
        <f t="shared" ca="1" si="178"/>
        <v>#N/A</v>
      </c>
      <c r="NA9" s="168" t="e">
        <f ca="1">(Control!$C$128-$MX9)*(Control!$C$119-Control!$C$74)</f>
        <v>#DIV/0!</v>
      </c>
      <c r="NB9" s="168" t="e">
        <f ca="1">(Control!$C$135-$MX9)*(Control!$C$119-Control!$C$74)</f>
        <v>#DIV/0!</v>
      </c>
      <c r="NC9" s="174" t="e">
        <f t="shared" ca="1" si="179"/>
        <v>#DIV/0!</v>
      </c>
      <c r="ND9" s="54">
        <f ca="1">IF(Control!$C$58=2, IF(OR(Control!$B$218=$AH9,Control!$B$219=$AH9, Control!$B$220=$AH9, Control!$B$221=$AH9, Control!$B$222=$AH9, Control!$B$223=$AH9, Control!$B$224=$AH9, Control!$B$225=$AH9, Control!$B$226=$AH9, Control!$B$227=$AH9, Control!$B$228=$AH9), 1, 0), 0)</f>
        <v>0</v>
      </c>
      <c r="NE9" s="54">
        <f ca="1">IF($ND9=0,0, VLOOKUP($AH9,Control!$B$218:$C$228,2))</f>
        <v>0</v>
      </c>
      <c r="NF9" s="168" t="e">
        <f ca="1">$CY9*(Control!$C$128-Control!$C$127)</f>
        <v>#N/A</v>
      </c>
      <c r="NG9" s="54" t="e">
        <f ca="1">IF(Control!$C$58=2, $NI8-$NJ8, 0)</f>
        <v>#DIV/0!</v>
      </c>
      <c r="NH9" s="54" t="e">
        <f ca="1">IF(AND(Control!$C$58=1, $MS8&lt;= ($MN8+0.02), $I8&lt;10), 0, IF(Control!$C$58=2, $NG8, 0))</f>
        <v>#DIV/0!</v>
      </c>
      <c r="NI9" s="54" t="e">
        <f ca="1">IF(Control!$C$58=2, $NE9+$NH9,0)</f>
        <v>#DIV/0!</v>
      </c>
      <c r="NJ9" s="54" t="e">
        <f ca="1">IF(AND(Control!$C$58=1, $MS9&lt;= ($MN9+0.02), $I9&lt;10), MAX(0, MIN(10, 0.7*($NF9-$MV9))), IF(Control!$C$58=2, MIN(10,$NI9),0))</f>
        <v>#DIV/0!</v>
      </c>
      <c r="NK9" s="54" t="e">
        <f t="shared" ca="1" si="96"/>
        <v>#DIV/0!</v>
      </c>
      <c r="NL9" s="173" t="e">
        <f ca="1">(1-Control!$C$73)*$I9+$NJ9</f>
        <v>#DIV/0!</v>
      </c>
      <c r="NM9" s="172" t="e">
        <f ca="1">IF($NL9&lt;0.5, $MB9* MAX(0, MIN(1, (SQRT($NC9)-SQRT($NC9-1))*Control!$C$71)),0)</f>
        <v>#DIV/0!</v>
      </c>
      <c r="NN9" s="170" t="e">
        <f ca="1">IF($NL9&gt;=5, $MB9, MAX(0,MIN($MB9, $NM9+$NL9,($MS9-Control!$C$129))))</f>
        <v>#DIV/0!</v>
      </c>
      <c r="NO9" s="54">
        <f>IF(Control!$C$133&lt;&gt;1, Control!$C$135-Control!$C$131, 0)</f>
        <v>0.38</v>
      </c>
      <c r="NP9" s="54" t="e">
        <f t="shared" ca="1" si="97"/>
        <v>#DIV/0!</v>
      </c>
      <c r="NQ9" s="173" t="e">
        <f ca="1">MAX(0,MIN(1,(Control!$C$135-$MS9)/(Control!$C$135-$NO9)))</f>
        <v>#DIV/0!</v>
      </c>
      <c r="NR9" s="170" t="e">
        <f ca="1">IF(Control!$C$133&lt;&gt;1, $NQ9+((1-$NP9/4)*(1-$NQ9)),1)</f>
        <v>#DIV/0!</v>
      </c>
      <c r="NS9" s="170" t="e">
        <f ca="1">IF(Control!$B$31=0,$MJ9,MAX(0,MIN($MV9,$MO9*$NR9*$MJ9)))</f>
        <v>#DIV/0!</v>
      </c>
      <c r="NT9" s="170" t="e">
        <f t="shared" ref="NT9:NT71" ca="1" si="227">$NS9/$MJ9</f>
        <v>#DIV/0!</v>
      </c>
      <c r="NU9" s="170" t="e">
        <f t="shared" ca="1" si="180"/>
        <v>#N/A</v>
      </c>
      <c r="NV9" s="170" t="e">
        <f t="shared" ca="1" si="98"/>
        <v>#N/A</v>
      </c>
      <c r="NW9" s="175" t="e">
        <f t="shared" ca="1" si="99"/>
        <v>#DIV/0!</v>
      </c>
      <c r="NX9" s="170" t="e">
        <f ca="1">MIN(Control!$C$72+$MU9, $NW9)</f>
        <v>#DIV/0!</v>
      </c>
      <c r="NY9" s="170" t="e">
        <f ca="1">IF($MT9&lt;=$NX9,MIN(Control!$C$72+$NB9,$NX9-$MT9),0)</f>
        <v>#DIV/0!</v>
      </c>
      <c r="NZ9" s="54" t="e">
        <f ca="1">IF(Control!$C$114=1,  $CX9*($MX9-Control!$C$127), 0)</f>
        <v>#DIV/0!</v>
      </c>
      <c r="OA9" s="170" t="e">
        <f t="shared" ca="1" si="181"/>
        <v>#DIV/0!</v>
      </c>
      <c r="OB9" s="170" t="e">
        <f ca="1">IF($NA9 &lt;=$NY9, MIN(Control!$C$72, $NY9-$NA9), 0)</f>
        <v>#DIV/0!</v>
      </c>
      <c r="OC9" s="168" t="e">
        <f t="shared" ca="1" si="100"/>
        <v>#DIV/0!</v>
      </c>
      <c r="OD9" s="168" t="e">
        <f t="shared" ca="1" si="182"/>
        <v>#DIV/0!</v>
      </c>
      <c r="OE9" s="170">
        <f ca="1">Control!$C$73*$I9</f>
        <v>0</v>
      </c>
      <c r="OF9" s="176" t="e">
        <f ca="1">$OE9+MAX(0,$NW9-$NX9)</f>
        <v>#DIV/0!</v>
      </c>
      <c r="OG9" s="168" t="e">
        <f t="shared" ca="1" si="102"/>
        <v>#DIV/0!</v>
      </c>
      <c r="OH9" s="168" t="e">
        <f t="shared" ca="1" si="103"/>
        <v>#DIV/0!</v>
      </c>
      <c r="OI9" s="168" t="e">
        <f t="shared" ca="1" si="104"/>
        <v>#DIV/0!</v>
      </c>
      <c r="OJ9" s="168" t="e">
        <f t="shared" ca="1" si="105"/>
        <v>#DIV/0!</v>
      </c>
      <c r="OK9" s="204" t="e">
        <f t="shared" ca="1" si="183"/>
        <v>#DIV/0!</v>
      </c>
      <c r="OL9" s="177">
        <f>Control!$C$127</f>
        <v>0.15</v>
      </c>
      <c r="OM9" s="182" t="e">
        <f t="shared" ca="1" si="106"/>
        <v>#N/A</v>
      </c>
      <c r="ON9" s="177">
        <f>Control!$C$128</f>
        <v>0.35</v>
      </c>
      <c r="OO9" s="182" t="e">
        <f t="shared" ca="1" si="107"/>
        <v>#N/A</v>
      </c>
      <c r="OP9" s="138">
        <f t="shared" ca="1" si="184"/>
        <v>0</v>
      </c>
      <c r="OQ9" s="138" t="e">
        <f t="shared" ca="1" si="211"/>
        <v>#DIV/0!</v>
      </c>
      <c r="OR9" s="138" t="e">
        <f t="shared" ca="1" si="185"/>
        <v>#DIV/0!</v>
      </c>
      <c r="OS9" s="137" t="e">
        <f t="shared" ca="1" si="212"/>
        <v>#DIV/0!</v>
      </c>
      <c r="OT9" s="139" t="e">
        <f t="shared" ca="1" si="213"/>
        <v>#DIV/0!</v>
      </c>
      <c r="OU9" s="138" t="e">
        <f t="shared" ca="1" si="214"/>
        <v>#N/A</v>
      </c>
      <c r="OV9" s="138" t="e">
        <f t="shared" ca="1" si="215"/>
        <v>#DIV/0!</v>
      </c>
      <c r="OW9" s="138" t="e">
        <f t="shared" ca="1" si="186"/>
        <v>#DIV/0!</v>
      </c>
      <c r="OX9" s="138" t="e">
        <f t="shared" ca="1" si="187"/>
        <v>#DIV/0!</v>
      </c>
      <c r="OY9" s="138" t="e">
        <f t="shared" ca="1" si="188"/>
        <v>#DIV/0!</v>
      </c>
      <c r="OZ9" s="138" t="e">
        <f t="shared" ca="1" si="108"/>
        <v>#DIV/0!</v>
      </c>
      <c r="PA9" s="138" t="e">
        <f t="shared" ca="1" si="109"/>
        <v>#DIV/0!</v>
      </c>
      <c r="PB9" s="55">
        <f>IF(Control!$C$61="T", IF(Control!$C$65="F", IF($AH$6-Control!$C$60&lt;0,0,1), IF(365+$AH$6-Control!$C$60&lt;0,0,1)),0)</f>
        <v>0</v>
      </c>
      <c r="PC9" s="55">
        <f ca="1">IF(Control!$C$65="F", IF($AH$6-$HF9&lt;0,0,1), IF(365+$AH$6-$HF9&lt;0,0,1))</f>
        <v>1</v>
      </c>
      <c r="PD9" s="444">
        <f>Control!$C$118</f>
        <v>1500</v>
      </c>
      <c r="PE9" s="180" t="e">
        <f t="shared" ca="1" si="110"/>
        <v>#N/A</v>
      </c>
      <c r="PF9" s="445">
        <f t="shared" ca="1" si="189"/>
        <v>0.71612369323045078</v>
      </c>
      <c r="PT9" s="186"/>
      <c r="PU9" s="186"/>
      <c r="PV9" s="94"/>
      <c r="PW9" s="94"/>
      <c r="PX9" s="94"/>
      <c r="PY9" s="94"/>
      <c r="PZ9" s="94"/>
      <c r="QA9" s="94"/>
      <c r="QB9" s="94"/>
      <c r="QC9" s="94"/>
      <c r="QD9" s="94"/>
      <c r="QE9" s="94"/>
      <c r="QF9" s="94"/>
      <c r="QG9" s="94"/>
      <c r="QH9" s="94"/>
      <c r="QI9" s="94"/>
      <c r="QJ9" s="94"/>
      <c r="QK9" s="94"/>
      <c r="QL9" s="94"/>
      <c r="QM9" s="94"/>
      <c r="QN9" s="94"/>
      <c r="QO9" s="94"/>
      <c r="QP9" s="94"/>
    </row>
    <row r="10" spans="1:458" s="2" customFormat="1" x14ac:dyDescent="0.2">
      <c r="A10" s="386">
        <v>5</v>
      </c>
      <c r="B10" s="387">
        <v>1</v>
      </c>
      <c r="C10" s="387">
        <f ca="1">Weather_data!$B9</f>
        <v>0</v>
      </c>
      <c r="D10" s="388">
        <f ca="1">Weather_data!$F9</f>
        <v>0</v>
      </c>
      <c r="E10" s="388">
        <f ca="1">Weather_data!$E9</f>
        <v>0</v>
      </c>
      <c r="F10" s="388">
        <f t="shared" ca="1" si="111"/>
        <v>0</v>
      </c>
      <c r="G10" s="388">
        <f ca="1">AVERAGE($D10:$E10)+Control!$B$9</f>
        <v>0</v>
      </c>
      <c r="H10" s="388">
        <f ca="1">Weather_data!$G9</f>
        <v>0</v>
      </c>
      <c r="I10" s="388">
        <f ca="1">Weather_data!$I9</f>
        <v>0</v>
      </c>
      <c r="J10" s="388">
        <f ca="1">Weather_data!$H9</f>
        <v>0</v>
      </c>
      <c r="K10" s="389">
        <f ca="1">Weather_data!$D9</f>
        <v>0</v>
      </c>
      <c r="L10" s="388" t="e">
        <f t="shared" ca="1" si="112"/>
        <v>#N/A</v>
      </c>
      <c r="M10" s="388" t="e">
        <f t="shared" ca="1" si="0"/>
        <v>#N/A</v>
      </c>
      <c r="N10" s="388">
        <f t="shared" ca="1" si="1"/>
        <v>-0.32805000000000001</v>
      </c>
      <c r="O10" s="388">
        <f t="shared" ca="1" si="113"/>
        <v>3.2805</v>
      </c>
      <c r="P10" s="390">
        <v>3</v>
      </c>
      <c r="Q10" s="388">
        <f ca="1">MAX($G10-Control!$C$107,0)</f>
        <v>0</v>
      </c>
      <c r="R10" s="388">
        <f t="shared" ca="1" si="114"/>
        <v>0</v>
      </c>
      <c r="S10" s="388">
        <f t="shared" ca="1" si="2"/>
        <v>0</v>
      </c>
      <c r="T10" s="388">
        <f t="shared" ca="1" si="3"/>
        <v>0</v>
      </c>
      <c r="U10" s="59">
        <f t="shared" ca="1" si="4"/>
        <v>0</v>
      </c>
      <c r="V10" s="391">
        <f ca="1">MAX(0,MIN(Control!$C$100-Control!$C$99,$G10-Control!$C$99)*Control!$C$63)</f>
        <v>0</v>
      </c>
      <c r="W10" s="388">
        <f t="shared" ca="1" si="190"/>
        <v>0</v>
      </c>
      <c r="X10" s="388">
        <f t="shared" ca="1" si="115"/>
        <v>0.6110000000000001</v>
      </c>
      <c r="Y10" s="388">
        <f t="shared" ca="1" si="116"/>
        <v>0</v>
      </c>
      <c r="Z10" s="388">
        <f t="shared" ca="1" si="117"/>
        <v>0.61058800000000002</v>
      </c>
      <c r="AA10" s="388">
        <f t="shared" ca="1" si="5"/>
        <v>0.6018</v>
      </c>
      <c r="AB10" s="388">
        <f ca="1">101.3*EXP(-0.034*Control!$C$66/($G10+273))</f>
        <v>100.69623283836242</v>
      </c>
      <c r="AC10" s="392">
        <f t="shared" ca="1" si="6"/>
        <v>4.3460251046025113E-2</v>
      </c>
      <c r="AD10" s="392">
        <f t="shared" ca="1" si="7"/>
        <v>4.4450382862832649E-2</v>
      </c>
      <c r="AE10" s="388">
        <f t="shared" ca="1" si="8"/>
        <v>0</v>
      </c>
      <c r="AF10" s="388">
        <f ca="1">MAX(0,$G10-Control!$C$92)</f>
        <v>0</v>
      </c>
      <c r="AG10" s="393">
        <f t="shared" ca="1" si="118"/>
        <v>5</v>
      </c>
      <c r="AH10" s="389">
        <f t="shared" ca="1" si="9"/>
        <v>5</v>
      </c>
      <c r="AI10" s="388">
        <f t="shared" ca="1" si="119"/>
        <v>-0.3949440555457383</v>
      </c>
      <c r="AJ10" s="388">
        <f ca="1">IF(Control!$C$60&lt;=0,$HH10,$HI10)</f>
        <v>1</v>
      </c>
      <c r="AK10" s="388">
        <f t="shared" ca="1" si="10"/>
        <v>-1.2910654740779972</v>
      </c>
      <c r="AL10" s="388">
        <f t="shared" ca="1" si="11"/>
        <v>1.6907048677738956E-18</v>
      </c>
      <c r="AM10" s="388">
        <f t="shared" ca="1" si="12"/>
        <v>-1.2910654740779972</v>
      </c>
      <c r="AN10" s="388">
        <f t="shared" ca="1" si="13"/>
        <v>-0.39232459833453975</v>
      </c>
      <c r="AO10" s="388">
        <f ca="1">-0.10453/COS(Control!$B$8*PI()/180)*COS(AN10)</f>
        <v>-0.1568850816207778</v>
      </c>
      <c r="AP10" s="388">
        <f ca="1">ACOS(AO10-TAN(Control!$B$8*PI()/180)*TAN(AN10))</f>
        <v>1.1888549751497233</v>
      </c>
      <c r="AQ10" s="388">
        <f t="shared" ca="1" si="120"/>
        <v>0</v>
      </c>
      <c r="AR10" s="394">
        <f t="shared" ca="1" si="14"/>
        <v>0</v>
      </c>
      <c r="AS10" s="436">
        <f ca="1">IF(Control!$B$18=2,(IF(OR($AH10=Control!$B$175,$AH10=Control!$B$176,$AH10=Control!$B$177,$AH10=Control!$B$178,$AH10=Control!$B$179,$AH10=Control!$B$180,$AH10=Control!$B$181,$AH10=Control!$B$182,$AH10=Control!$B$183,$AH10=Control!$B$184,$AH10=Control!$B$185),1,0)),0)</f>
        <v>0</v>
      </c>
      <c r="AT10" s="436">
        <f>IF(Control!$B$20=8,IF(AND($AH10&gt;=Control!$B$172,$AH10&lt;=Control!$B$173),1,0),0)</f>
        <v>0</v>
      </c>
      <c r="AU10" s="436">
        <f>IF(Control!$B$20=8,IF($AV9=1,1*$AT10,IF($AT10=1,$AU9+1,$AU9)),0)</f>
        <v>0</v>
      </c>
      <c r="AV10" s="436">
        <f>IF(Control!$B$20=8,IF($AU10&gt;=Control!$B$174,1,0),0)</f>
        <v>0</v>
      </c>
      <c r="AW10" s="436">
        <f ca="1">IF(AND(Control!$B$18=2,Control!$B$171=1), $AV10, $AS10)</f>
        <v>0</v>
      </c>
      <c r="AX10" s="436" t="e">
        <f ca="1">IF(AND(Control!$B$18=1,$EU10&gt;=Control!$B$19),-$AY10,IF(AND(Control!$B$18=2,$AW10=1,$EU10&gt;$DS10),-$AY10, IF(Control!$C$108=0,0, IF(Control!$C$108&lt;&gt;0,1))))</f>
        <v>#N/A</v>
      </c>
      <c r="AY10" s="436" t="e">
        <f t="shared" ca="1" si="121"/>
        <v>#N/A</v>
      </c>
      <c r="AZ10" s="436" t="e">
        <f ca="1">IF(AND(Control!$B$18=1,$EB10&gt;Control!$B$19),$AZ9+1, IF(AND(Control!$B$18=2, $AW10=1, $EB10&gt;$DS10), $AZ9+1,$AZ9))</f>
        <v>#N/A</v>
      </c>
      <c r="BA10" s="587">
        <f>IF(Control!$C$81=0,1,IF($AH10&gt;=Control!$C$82,1,0))</f>
        <v>1</v>
      </c>
      <c r="BB10" s="140" t="e">
        <f ca="1">IF($BA10&gt;$BA9,Control!$C$83,IF($AW10&gt;0,$AW10*Control!$C$84,IF(AND(Control!$B$18=1,EN9&lt;&gt;0),Control!$C$84,0)))</f>
        <v>#N/A</v>
      </c>
      <c r="BC10" s="140" t="e">
        <f t="shared" ca="1" si="122"/>
        <v>#N/A</v>
      </c>
      <c r="BD10" s="140" t="e">
        <f ca="1">BC10*IF(OR($G10&lt;Control!$C$92,$G10&gt;Control!$C$95),0,IF(AND($G10&gt;=Control!$C$92,$G10&lt;=Control!$C$93),$G10-Control!$C$92,IF(AND($G10&gt;Control!$C$93,$G10&lt;=Control!$C$94),Control!$C$93-Control!$C$92,IF(AND($G10&gt;Control!$C$94,$G10&lt;=Control!$C$95),(Control!$C$93-Control!$C$92)*(Control!$C$94-$G10)/(Control!$C$95-Control!$C$94)))))</f>
        <v>#N/A</v>
      </c>
      <c r="BE10" s="140" t="e">
        <f t="shared" ca="1" si="123"/>
        <v>#N/A</v>
      </c>
      <c r="BF10" s="140" t="e">
        <f ca="1">IF($BE10&lt;=Control!$C$86,$BE10,Control!$C$86-$BE10)</f>
        <v>#N/A</v>
      </c>
      <c r="BG10" s="140" t="e">
        <f ca="1">IF(AND($AW10=1,Control!$C$84&lt;9),1,IF($BE10&gt;=Control!$C$86,0,$BC10))</f>
        <v>#N/A</v>
      </c>
      <c r="BH10" s="404" t="e">
        <f ca="1">IF($BG10=0,0,IF($BE10&lt;=Control!$C$86,$BC10*9*($BF10/Control!$C$86),0))</f>
        <v>#N/A</v>
      </c>
      <c r="BI10" s="140" t="e">
        <f ca="1">IF($BG10=1,0,IF($BE10&gt;=Control!$C$86,1,IF(AND($BB10&lt;21,$BB10&gt;=9),1,$BM9)))</f>
        <v>#N/A</v>
      </c>
      <c r="BJ10" s="140" t="e">
        <f ca="1">IF($BF10&lt;0,-$BF10,$BI10*IF(OR($G10&lt;Control!$C$92,$G10&gt;Control!$C$95),0,IF(AND($G10&gt;=Control!$C$92,$G10&lt;=Control!$C$93),$G10-Control!$C$92,IF(AND($G10&gt;Control!$C$93,$G10&lt;=Control!$C$94),Control!$C$93-Control!$C$92,IF(AND($G10&gt;Control!$C$94,$G10&lt;=Control!$C$95),(Control!$C$93-Control!$C$92)*(Control!$C$94-$G10)/(Control!$C$95-Control!$C$94))))))</f>
        <v>#N/A</v>
      </c>
      <c r="BK10" s="140" t="e">
        <f t="shared" ca="1" si="124"/>
        <v>#N/A</v>
      </c>
      <c r="BL10" s="140" t="e">
        <f ca="1">IF($BK10&lt;=Control!$C$87,$BK10,Control!$C$87-$BK10)</f>
        <v>#N/A</v>
      </c>
      <c r="BM10" s="140" t="e">
        <f ca="1">IF(AND($BB10&gt;=9,$BB10&lt;21),1,IF($BK10&gt;=Control!$C$87,0,$BI10))</f>
        <v>#N/A</v>
      </c>
      <c r="BN10" s="404" t="e">
        <f ca="1">IF($BM10=0,0,IF($BK10&lt;=Control!$C$87,$BI10*(9+(21-9)*($BL10/Control!$C$87)),0))</f>
        <v>#N/A</v>
      </c>
      <c r="BO10" s="140" t="e">
        <f ca="1">IF($BM10=1,0,IF($BK10&gt;=Control!$C$87,1,IF(AND($BB10&lt;30,$BB10&gt;=21),1,$BS9)))</f>
        <v>#N/A</v>
      </c>
      <c r="BP10" s="140" t="e">
        <f ca="1">IF($BL10&lt;0,-$BL10,$BO10*IF(OR($G10&lt;Control!$C$92,$G10&gt;Control!$C$95),0,IF(AND($G10&gt;=Control!$C$92,$G10&lt;=Control!$C$93),$G10-Control!$C$92,IF(AND($G10&gt;Control!$C$93,$G10&lt;=Control!$C$94),Control!$C$93-Control!$C$92,IF(AND($G10&gt;Control!$C$94,$G10&lt;=Control!$C$95),(Control!$C$93-Control!$C$92)*(Control!$C$94-$G10)/(Control!$C$95-Control!$C$94))))))</f>
        <v>#N/A</v>
      </c>
      <c r="BQ10" s="140" t="e">
        <f t="shared" ca="1" si="15"/>
        <v>#N/A</v>
      </c>
      <c r="BR10" s="140" t="e">
        <f ca="1">IF($BQ10&lt;=Control!$C$88,$BQ10,Control!$C$88-$BQ10)</f>
        <v>#N/A</v>
      </c>
      <c r="BS10" s="140" t="e">
        <f ca="1">IF(AND($BB10&gt;=21,$BB10&lt;30),1,IF($BQ10&gt;=Control!$C$88,0,$BO10))</f>
        <v>#N/A</v>
      </c>
      <c r="BT10" s="404" t="e">
        <f ca="1">IF($BS10=0,0,IF($BQ10&lt;=Control!$C$88,$BO10*(21+(30-21)*(BR10/Control!$C$88)),0))</f>
        <v>#N/A</v>
      </c>
      <c r="BU10" s="140" t="e">
        <f ca="1">IF(BG10+BM10+BS10=1,0,IF(OR(AND($BB10&lt;60,$BB10&gt;=30),$BQ10&gt;=Control!$C$88),1*$BA10,$BY9))</f>
        <v>#N/A</v>
      </c>
      <c r="BV10" s="140" t="e">
        <f ca="1">IF($BR10&lt;0,-$BR10,$BU10*IF(OR($G10&lt;Control!$C$92,$G10&gt;Control!$C$95),0,IF(AND($G10&gt;=Control!$C$92,$G10&lt;=Control!$C$93),$G10-Control!$C$92,IF(AND($G10&gt;Control!$C$93,$G10&lt;=Control!$C$94),Control!$C$93-Control!$C$92,IF(AND($G10&gt;Control!$C$94,$G10&lt;=Control!$C$95),(Control!$C$93-Control!$C$92)*(Control!$C$94-$G10)/(Control!$C$95-Control!$C$94))))))</f>
        <v>#N/A</v>
      </c>
      <c r="BW10" s="140" t="e">
        <f t="shared" ca="1" si="16"/>
        <v>#N/A</v>
      </c>
      <c r="BX10" s="140" t="e">
        <f ca="1">IF($BW10&lt;=Control!$C$89,$BW10,Control!$C$89-$BW10)</f>
        <v>#N/A</v>
      </c>
      <c r="BY10" s="140" t="e">
        <f ca="1">IF(AND($AJ10&gt;=30,$AJ10&lt;60),1,IF($BW10&gt;=Control!$C$89,0,$BU10))</f>
        <v>#N/A</v>
      </c>
      <c r="BZ10" s="404" t="e">
        <f ca="1">IF($BY10=0,0,IF($BW10&lt;=Control!$C$89,$BU10*(30+(60-30)*(BX10/Control!$C$89)),0))</f>
        <v>#N/A</v>
      </c>
      <c r="CA10" s="140" t="e">
        <f ca="1">IF($BG10+$BM10+$BS10+$BY10=1,0,IF(OR(AND($BB10&lt;65,$BB10&gt;=60),$BW10&gt;=Control!$C$89),1*$BA10,$CE9))</f>
        <v>#N/A</v>
      </c>
      <c r="CB10" s="140" t="e">
        <f ca="1">IF($BX10&lt;0,-$BX10,$CA10*IF(OR($G10&lt;Control!$C$92,$G10&gt;Control!$C$95),0,IF(AND($G10&gt;=Control!$C$92,$G10&lt;=Control!$C$93),$G10-Control!$C$92,IF(AND($G10&gt;Control!$C$93,$G10&lt;=Control!$C$94),Control!$C$93-Control!$C$92,IF(AND($G10&gt;Control!$C$94,$G10&lt;=Control!$C$95),(Control!$C$93-Control!$C$92)*(Control!$C$94-$G10)/(Control!$C$95-Control!$C$94))))))</f>
        <v>#N/A</v>
      </c>
      <c r="CC10" s="140" t="e">
        <f t="shared" ca="1" si="125"/>
        <v>#N/A</v>
      </c>
      <c r="CD10" s="140" t="e">
        <f ca="1">IF($CC10&lt;=Control!$C$90,$CC10,Control!$C$90-$CC10)</f>
        <v>#N/A</v>
      </c>
      <c r="CE10" s="140" t="e">
        <f ca="1">IF(AND($BB10&gt;=60,$BB10&lt;65),1,IF($CC10&gt;=Control!$C$90,0,$CA10))</f>
        <v>#N/A</v>
      </c>
      <c r="CF10" s="404" t="e">
        <f ca="1">IF($CE10=0,0,IF($CC10&lt;=Control!$C$90,$CA10*(60+(65-60)*(CD10/Control!$C$90)),0))</f>
        <v>#N/A</v>
      </c>
      <c r="CG10" s="140" t="e">
        <f ca="1">IF($BG10+$BM10+$BS10+$BY10+$CE10=1,0,IF(OR(AND($BB10&lt;90,$BB10&gt;=65),$CC10&gt;=Control!$C$90),$BA10,$CK9))</f>
        <v>#N/A</v>
      </c>
      <c r="CH10" s="140" t="e">
        <f ca="1">IF($CD10&lt;0,-$CD10,$CG10*IF(OR($G10&lt;Control!$C$92,$G10&gt;Control!$C$95),0,IF(AND($G10&gt;=Control!$C$92,$G10&lt;=Control!$C$93),$G10-Control!$C$92,IF(AND($G10&gt;Control!$C$93,$G10&lt;=Control!$C$94),Control!$C$93-Control!$C$92,IF(AND($G10&gt;Control!$C$94,$G10&lt;=Control!$C$95),(Control!$C$93-Control!$C$92)*(Control!$C$94-$G10)/(Control!$C$95-Control!$C$94))))))</f>
        <v>#N/A</v>
      </c>
      <c r="CI10" s="140" t="e">
        <f t="shared" ca="1" si="126"/>
        <v>#N/A</v>
      </c>
      <c r="CJ10" s="140" t="e">
        <f ca="1">IF($CI10&lt;=Control!$C$91,$CI10,Control!$C$91-$CI10)</f>
        <v>#N/A</v>
      </c>
      <c r="CK10" s="140" t="e">
        <f ca="1">IF(AND($BB10&gt;=65,$BB10&lt;90),1,IF($CI10&gt;=Control!$C$91,0,$CG10))</f>
        <v>#N/A</v>
      </c>
      <c r="CL10" s="404" t="e">
        <f ca="1">IF($CK10=0,0,IF($CI10&lt;=Control!$C$91,$CG10*(65+(90-65)*($CJ10/Control!$C$91)),0))</f>
        <v>#N/A</v>
      </c>
      <c r="CM10" s="140" t="e">
        <f ca="1">IF($BG10+$BM10+$BS10+$BY10+$CE10+$CK10=1,0,IF(OR($BB10&gt;=90,$CI10&gt;=Control!$C$91),$BA10,$CM9))</f>
        <v>#N/A</v>
      </c>
      <c r="CN10" s="140" t="e">
        <f t="shared" ca="1" si="127"/>
        <v>#N/A</v>
      </c>
      <c r="CO10" s="140" t="e">
        <f t="shared" ca="1" si="128"/>
        <v>#N/A</v>
      </c>
      <c r="CP10" s="140" t="e">
        <f t="shared" ca="1" si="129"/>
        <v>#N/A</v>
      </c>
      <c r="CQ10" s="141" t="e">
        <f ca="1">VLOOKUP($CP10,Control!$B$86:$G$91,6)</f>
        <v>#N/A</v>
      </c>
      <c r="CR10" s="141" t="e">
        <f ca="1">(1-$CQ10)*VLOOKUP($CP10,Control!$B$86:$D$91,3)</f>
        <v>#N/A</v>
      </c>
      <c r="CS10" s="141" t="e">
        <f ca="1">(1-$CQ10)*VLOOKUP($CP10,Control!$B$86:$E$91,4)</f>
        <v>#N/A</v>
      </c>
      <c r="CT10" s="141" t="e">
        <f ca="1">(1-$CQ10)*VLOOKUP($CP10,Control!$B$86:$F$91,5)</f>
        <v>#N/A</v>
      </c>
      <c r="CU10" s="141">
        <f t="shared" ca="1" si="130"/>
        <v>0</v>
      </c>
      <c r="CV10" s="583">
        <f t="shared" ca="1" si="131"/>
        <v>0</v>
      </c>
      <c r="CW10" s="142">
        <f t="shared" ca="1" si="132"/>
        <v>5</v>
      </c>
      <c r="CX10" s="612" t="e">
        <f ca="1">IF(Control!$C$114=1,(MIN(Control!$C$120*(IF($NT10-0.01&lt;0,0,1)),Control!$C$119-$CY10)))</f>
        <v>#DIV/0!</v>
      </c>
      <c r="CY10" s="143" t="e">
        <f t="shared" ca="1" si="133"/>
        <v>#N/A</v>
      </c>
      <c r="CZ10" s="144">
        <f t="shared" ca="1" si="17"/>
        <v>5.6099999999999997E-2</v>
      </c>
      <c r="DA10" s="144">
        <f t="shared" ca="1" si="18"/>
        <v>3.2805000000000001E-2</v>
      </c>
      <c r="DB10" s="144" t="e">
        <f t="shared" ca="1" si="19"/>
        <v>#N/A</v>
      </c>
      <c r="DC10" s="144" t="e">
        <f t="shared" ca="1" si="20"/>
        <v>#N/A</v>
      </c>
      <c r="DD10" s="144" t="e">
        <f t="shared" ca="1" si="216"/>
        <v>#N/A</v>
      </c>
      <c r="DE10" s="143" t="e">
        <f t="shared" ca="1" si="135"/>
        <v>#N/A</v>
      </c>
      <c r="DF10" s="145" t="e">
        <f ca="1">$DR10*EXP(-Control!$C$158*(1-$KH10))</f>
        <v>#N/A</v>
      </c>
      <c r="DG10" s="146" t="e">
        <f ca="1">IF(Control!$C$114=1, $DF10*$EY10, 0)</f>
        <v>#N/A</v>
      </c>
      <c r="DH10" s="147" t="e">
        <f t="shared" ca="1" si="136"/>
        <v>#N/A</v>
      </c>
      <c r="DI10" s="144" t="e">
        <f t="shared" ca="1" si="191"/>
        <v>#N/A</v>
      </c>
      <c r="DJ10" s="147" t="e">
        <f ca="1">$EF10*Control!$C$109</f>
        <v>#N/A</v>
      </c>
      <c r="DK10" s="144" t="e">
        <f t="shared" ca="1" si="137"/>
        <v>#N/A</v>
      </c>
      <c r="DL10" s="144" t="e">
        <f t="shared" ca="1" si="21"/>
        <v>#N/A</v>
      </c>
      <c r="DM10" s="144" t="e">
        <f ca="1">IF(Control!$C$114=1, (1-EXP(-Control!$C$96*$DK10))*$AR10, 0)</f>
        <v>#N/A</v>
      </c>
      <c r="DN10" s="144">
        <f t="shared" ca="1" si="138"/>
        <v>0</v>
      </c>
      <c r="DO10" s="148">
        <f>Control!$C$97</f>
        <v>4</v>
      </c>
      <c r="DP10" s="145" t="e">
        <f t="shared" ca="1" si="139"/>
        <v>#N/A</v>
      </c>
      <c r="DQ10" s="145" t="e">
        <f ca="1">IF(AND($CP10&gt;=0,$CP10&lt;=90),Control!$C$111,Control!$C$111)</f>
        <v>#N/A</v>
      </c>
      <c r="DR10" s="145" t="e">
        <f t="shared" ca="1" si="22"/>
        <v>#N/A</v>
      </c>
      <c r="DS10" s="143" t="e">
        <f ca="1">Control!$B$22/$DR10</f>
        <v>#N/A</v>
      </c>
      <c r="DT10" s="149" t="e">
        <f ca="1">IF(AND(Control!$C$114=1,$KH10&lt;1),$IM10*$DF10, 0)</f>
        <v>#N/A</v>
      </c>
      <c r="DU10" s="144" t="e">
        <f t="shared" ca="1" si="192"/>
        <v>#N/A</v>
      </c>
      <c r="DV10" s="144">
        <f ca="1">IF($G10-Control!$C$107&lt;=0, 0, 0.83*LN(MAX($G10, 3))-0.8924)</f>
        <v>0</v>
      </c>
      <c r="DW10" s="144" t="e">
        <f t="shared" ca="1" si="23"/>
        <v>#N/A</v>
      </c>
      <c r="DX10" s="150" t="e">
        <f ca="1">MAX(0.01*(1+$CU10/Control!$C$102),0.05*($DK10-Control!$C$97)/Control!$C$97)</f>
        <v>#N/A</v>
      </c>
      <c r="DY10" s="151" t="e">
        <f ca="1">IF(Control!$C$114=1, $DI10*$FS10, 0)</f>
        <v>#N/A</v>
      </c>
      <c r="DZ10" s="196" t="e">
        <f t="shared" ca="1" si="140"/>
        <v>#N/A</v>
      </c>
      <c r="EA10" s="152">
        <f t="shared" ca="1" si="141"/>
        <v>5</v>
      </c>
      <c r="EB10" s="153" t="e">
        <f t="shared" ca="1" si="217"/>
        <v>#N/A</v>
      </c>
      <c r="EC10" s="153" t="e">
        <f t="shared" ca="1" si="142"/>
        <v>#N/A</v>
      </c>
      <c r="ED10" s="154" t="e">
        <f ca="1">IF(Control!$C$114=1, $HM10*$FY10-$FD10, 0)</f>
        <v>#DIV/0!</v>
      </c>
      <c r="EE10" s="155" t="e">
        <f ca="1">IF(Control!$C$114=1, $HM10*$FZ10-$FF10, 0)</f>
        <v>#DIV/0!</v>
      </c>
      <c r="EF10" s="153" t="e">
        <f t="shared" ca="1" si="193"/>
        <v>#N/A</v>
      </c>
      <c r="EG10" s="155" t="e">
        <f ca="1">IF(Control!$C$114=1, $GX10*$FW10-$FI10, 0)</f>
        <v>#DIV/0!</v>
      </c>
      <c r="EH10" s="153" t="e">
        <f t="shared" ca="1" si="143"/>
        <v>#N/A</v>
      </c>
      <c r="EI10" s="156" t="e">
        <f t="shared" ca="1" si="144"/>
        <v>#N/A</v>
      </c>
      <c r="EJ10" s="155" t="e">
        <f ca="1">IF(Control!$C$114=1, $HM10*$GB10, 0)</f>
        <v>#DIV/0!</v>
      </c>
      <c r="EK10" s="153" t="e">
        <f t="shared" ca="1" si="194"/>
        <v>#N/A</v>
      </c>
      <c r="EL10" s="153" t="e">
        <f t="shared" ca="1" si="24"/>
        <v>#N/A</v>
      </c>
      <c r="EM10" s="153" t="e">
        <f t="shared" ca="1" si="25"/>
        <v>#N/A</v>
      </c>
      <c r="EN10" s="153" t="e">
        <f ca="1">IF(Control!$C$108=1,IF(AND(Control!$B$18=1,$EB10&gt;=Control!$B$19),$EB10-$DS10,IF(AND(Control!$B$18=2,$AW10=1,$EB10&gt;$DS10),$EB10-$DS10,0)))</f>
        <v>#N/A</v>
      </c>
      <c r="EO10" s="153" t="e">
        <f ca="1">IF(Control!$C$108=1,IF(AND(Control!$B$18=1,$EB10&gt;=Control!$B$19),$EF10,IF(AND(Control!$B$18=2,$AW10=1),$EF10,0)))</f>
        <v>#N/A</v>
      </c>
      <c r="EP10" s="153" t="e">
        <f ca="1">IF(Control!$C$108=1,IF(AND(Control!$B$18=1,$EB10&gt;=Control!$B$19),$EK10,IF(AND(Control!$B$18=2,$AW10=1),$EK10,0)))</f>
        <v>#N/A</v>
      </c>
      <c r="EQ10" s="153" t="e">
        <f t="shared" ca="1" si="145"/>
        <v>#N/A</v>
      </c>
      <c r="ER10" s="153" t="e">
        <f t="shared" ca="1" si="195"/>
        <v>#N/A</v>
      </c>
      <c r="ES10" s="153" t="e">
        <f t="shared" ca="1" si="196"/>
        <v>#N/A</v>
      </c>
      <c r="ET10" s="153" t="e">
        <f t="shared" ca="1" si="197"/>
        <v>#N/A</v>
      </c>
      <c r="EU10" s="153" t="e">
        <f t="shared" ca="1" si="198"/>
        <v>#N/A</v>
      </c>
      <c r="EV10" s="153" t="e">
        <f t="shared" ca="1" si="146"/>
        <v>#N/A</v>
      </c>
      <c r="EW10" s="153" t="e">
        <f ca="1">$ER10+MAX(0,$EM10)</f>
        <v>#N/A</v>
      </c>
      <c r="EX10" s="153" t="e">
        <f t="shared" ca="1" si="26"/>
        <v>#N/A</v>
      </c>
      <c r="EY10" s="157" t="e">
        <f t="shared" ca="1" si="147"/>
        <v>#DIV/0!</v>
      </c>
      <c r="EZ10" s="154" t="e">
        <f t="shared" ca="1" si="27"/>
        <v>#DIV/0!</v>
      </c>
      <c r="FA10" s="153" t="e">
        <f t="shared" ca="1" si="199"/>
        <v>#N/A</v>
      </c>
      <c r="FB10" s="153" t="e">
        <f t="shared" ca="1" si="28"/>
        <v>#N/A</v>
      </c>
      <c r="FC10" s="193" t="e">
        <f t="shared" ca="1" si="29"/>
        <v>#N/A</v>
      </c>
      <c r="FD10" s="158" t="e">
        <f t="shared" ca="1" si="200"/>
        <v>#N/A</v>
      </c>
      <c r="FE10" s="158" t="e">
        <f t="shared" ca="1" si="148"/>
        <v>#N/A</v>
      </c>
      <c r="FF10" s="159" t="e">
        <f t="shared" ca="1" si="30"/>
        <v>#N/A</v>
      </c>
      <c r="FG10" s="160" t="e">
        <f t="shared" ca="1" si="149"/>
        <v>#N/A</v>
      </c>
      <c r="FH10" s="158" t="e">
        <f t="shared" ca="1" si="150"/>
        <v>#N/A</v>
      </c>
      <c r="FI10" s="159" t="e">
        <f t="shared" ca="1" si="31"/>
        <v>#N/A</v>
      </c>
      <c r="FJ10" s="160" t="e">
        <f t="shared" ca="1" si="151"/>
        <v>#N/A</v>
      </c>
      <c r="FK10" s="160" t="e">
        <f t="shared" ca="1" si="32"/>
        <v>#N/A</v>
      </c>
      <c r="FL10" s="160" t="e">
        <f ca="1">$FL9+$FD9</f>
        <v>#N/A</v>
      </c>
      <c r="FM10" s="160" t="e">
        <f t="shared" ca="1" si="33"/>
        <v>#N/A</v>
      </c>
      <c r="FN10" s="158">
        <f t="shared" ca="1" si="219"/>
        <v>0.01</v>
      </c>
      <c r="FO10" s="160">
        <f>Control!$C$101</f>
        <v>50</v>
      </c>
      <c r="FP10" s="150" t="e">
        <f t="shared" ca="1" si="34"/>
        <v>#N/A</v>
      </c>
      <c r="FQ10" s="150" t="e">
        <f ca="1">MAX(0,(Control!$C$112*(($DK10-Control!$C$97)/Control!$C$97)))</f>
        <v>#N/A</v>
      </c>
      <c r="FR10" s="150" t="e">
        <f ca="1">(1-$NT10)*Control!$C$113</f>
        <v>#DIV/0!</v>
      </c>
      <c r="FS10" s="198" t="e">
        <f t="shared" ca="1" si="35"/>
        <v>#N/A</v>
      </c>
      <c r="FT10" s="161">
        <f t="shared" ca="1" si="152"/>
        <v>5</v>
      </c>
      <c r="FU10" s="162" t="e">
        <f ca="1">IF(Control!$B$34=1,VLOOKUP($CP10,Control!$B$86:$G$91,6),Control!$B$35)</f>
        <v>#N/A</v>
      </c>
      <c r="FV10" s="162" t="e">
        <f t="shared" ca="1" si="36"/>
        <v>#DIV/0!</v>
      </c>
      <c r="FW10" s="162" t="e">
        <f ca="1">IF(Control!$B$31=1,$FU10*$FV10,  $FU10)</f>
        <v>#N/A</v>
      </c>
      <c r="FX10" s="162" t="e">
        <f ca="1">IF(Control!$B$34=1,VLOOKUP($CP10,Control!$B$86:$G$91,3),Control!$B$36)</f>
        <v>#N/A</v>
      </c>
      <c r="FY10" s="162" t="e">
        <f t="shared" ca="1" si="37"/>
        <v>#N/A</v>
      </c>
      <c r="FZ10" s="162" t="e">
        <f ca="1">IF(Control!$B$34=1,VLOOKUP($CP10,Control!$B$86:$G$91,4),Control!$B$37)</f>
        <v>#N/A</v>
      </c>
      <c r="GA10" s="162" t="e">
        <f t="shared" ca="1" si="38"/>
        <v>#N/A</v>
      </c>
      <c r="GB10" s="162" t="e">
        <f ca="1">IF(Control!$B$34=1,VLOOKUP($CP10,Control!$B$86:$G$91,5),Control!$B$38)</f>
        <v>#N/A</v>
      </c>
      <c r="GC10" s="162" t="e">
        <f t="shared" ca="1" si="153"/>
        <v>#N/A</v>
      </c>
      <c r="GD10" s="162">
        <f t="shared" ca="1" si="39"/>
        <v>1</v>
      </c>
      <c r="GE10" s="162">
        <f t="shared" ca="1" si="40"/>
        <v>1</v>
      </c>
      <c r="GF10" s="162">
        <f ca="1">IF(AND(Control!$C$104=1, Control!$C$62="F"),$GE10,1)</f>
        <v>1</v>
      </c>
      <c r="GG10" s="162" t="e">
        <f ca="1">IF(Control!$B$16=40,0,IF(AND(Control!$B$16&gt;40,Control!$B$16&lt;=360),(Control!$B$16-40)*((1-0)/(360-40)),IF(AND(Control!$B$16&gt;360,Control!$B$16&lt;=720),(1+(Control!$B$16-360)*((1.25-1)/(720-360))),IF(AND(Control!$B$16&gt;720,Control!$B$16&lt;=1000),(1.25+(Control!$B$16-720)*((1.35-1.25)/(1000-720))),IF(AND(Control!$B$16&gt;1000,Control!$B$16&lt;=2000),(1.35+(Control!$B$16-1000)*0))))))</f>
        <v>#N/A</v>
      </c>
      <c r="GH10" s="162" t="e">
        <f t="shared" ca="1" si="41"/>
        <v>#N/A</v>
      </c>
      <c r="GI10" s="162">
        <f t="shared" ca="1" si="201"/>
        <v>0</v>
      </c>
      <c r="GJ10" s="162">
        <f t="shared" ca="1" si="42"/>
        <v>0</v>
      </c>
      <c r="GK10" s="162">
        <f t="shared" ca="1" si="220"/>
        <v>1</v>
      </c>
      <c r="GL10" s="162">
        <f t="shared" ca="1" si="43"/>
        <v>1</v>
      </c>
      <c r="GM10" s="162" t="e">
        <f ca="1">MAX(0,MIN(1,1-Control!$C$156*(1.0001-$KH10)^2))</f>
        <v>#N/A</v>
      </c>
      <c r="GN10" s="162" t="e">
        <f ca="1">IF(Control!$B$26=1,$KU10,$KX10)</f>
        <v>#N/A</v>
      </c>
      <c r="GO10" s="162" t="e">
        <f ca="1">IF($CP10&lt;=60,Control!$C$105,IF($CP10&gt;=90,Control!$C$106,Control!$C$105+($CP10-60)*((Control!$C$106-Control!$C$105)/(90-60))))</f>
        <v>#N/A</v>
      </c>
      <c r="GP10" s="162" t="e">
        <f t="shared" ca="1" si="154"/>
        <v>#N/A</v>
      </c>
      <c r="GQ10" s="162" t="e">
        <f t="shared" ca="1" si="155"/>
        <v>#N/A</v>
      </c>
      <c r="GR10" s="163" t="e">
        <f t="shared" ca="1" si="44"/>
        <v>#DIV/0!</v>
      </c>
      <c r="GS10" s="162" t="e">
        <f t="shared" ca="1" si="45"/>
        <v>#DIV/0!</v>
      </c>
      <c r="GT10" s="164" t="e">
        <f ca="1">($DE10*10000*($DV10*0.31))*0.00000001</f>
        <v>#N/A</v>
      </c>
      <c r="GU10" s="162" t="e">
        <f t="shared" ca="1" si="157"/>
        <v>#N/A</v>
      </c>
      <c r="GV10" s="162" t="e">
        <f t="shared" ca="1" si="46"/>
        <v>#N/A</v>
      </c>
      <c r="GW10" s="162" t="e">
        <f t="shared" ca="1" si="221"/>
        <v>#DIV/0!</v>
      </c>
      <c r="GX10" s="162" t="e">
        <f t="shared" ref="GX10:GX70" ca="1" si="228">IF($GS10-$GV10&lt;=0, $GS10, $GV10)</f>
        <v>#DIV/0!</v>
      </c>
      <c r="GY10" s="162" t="e">
        <f t="shared" ca="1" si="158"/>
        <v>#DIV/0!</v>
      </c>
      <c r="GZ10" s="165" t="e">
        <f t="shared" ca="1" si="159"/>
        <v>#N/A</v>
      </c>
      <c r="HA10" s="162" t="e">
        <f ca="1">IF(Control!$C$114=1, $DI10*$FS10, 0)</f>
        <v>#N/A</v>
      </c>
      <c r="HB10" s="162" t="e">
        <f ca="1">$FA10/Control!$C$64</f>
        <v>#N/A</v>
      </c>
      <c r="HC10" s="162" t="e">
        <f t="shared" ca="1" si="222"/>
        <v>#DIV/0!</v>
      </c>
      <c r="HD10" s="162">
        <f ca="1">-ASIN(SIN(23.45*Control!$C$139)*COS(2*Control!$C$138*($AH10+10)/365))</f>
        <v>-0.3949440555457383</v>
      </c>
      <c r="HE10" s="165">
        <f t="shared" ca="1" si="160"/>
        <v>0</v>
      </c>
      <c r="HF10" s="166">
        <f ca="1">IF(AND(Control!$C$61="T",$HE10&gt;=Control!$C$103,Control!$C$114=0),$AH10,Control!$C$59)</f>
        <v>1</v>
      </c>
      <c r="HG10" s="166">
        <f ca="1">IF(AND(Control!$C$61="T",$HE10&gt;=Control!$C$103,Control!$C$114=0),$HF10,Control!$C$59)</f>
        <v>1</v>
      </c>
      <c r="HH10" s="165">
        <f ca="1">IF(AND(OR(Control!$C$60&lt;=0, $AH10= Control!$C$59, Control!$C$60 &gt;0, $AH10 = Control!$C$60)), Control!$C$59, IF(Control!$C$60&gt;0, 0))</f>
        <v>1</v>
      </c>
      <c r="HI10" s="165">
        <f ca="1">IF(AND(OR(Control!$C$60&lt;=0, $AH10= Control!$C$59, Control!$C$60 &gt;0, $AH10 = Control!$C$60)), Control!$C$60, IF(Control!$C$60&lt;=0, 0))</f>
        <v>0</v>
      </c>
      <c r="HJ10" s="166">
        <f ca="1">IF(AND(Control!$C$62="F",$CV10&gt;=Control!$C$102),$AH10,0)</f>
        <v>0</v>
      </c>
      <c r="HK10" s="165" t="e">
        <f t="shared" ca="1" si="202"/>
        <v>#N/A</v>
      </c>
      <c r="HL10" s="166">
        <f ca="1">IF(AND(Control!$C$61="T",$HE10&gt;=Control!$C$103,Control!$C$114=0),$HF10,0)</f>
        <v>0</v>
      </c>
      <c r="HM10" s="201" t="e">
        <f t="shared" ca="1" si="47"/>
        <v>#DIV/0!</v>
      </c>
      <c r="HN10" s="215">
        <f t="shared" ca="1" si="161"/>
        <v>5</v>
      </c>
      <c r="HO10" s="216" t="e">
        <f ca="1">IF(AND($CP10&gt;=0, $CP10&lt;=90), Control!$C$152, Control!$C$152)</f>
        <v>#N/A</v>
      </c>
      <c r="HP10" s="216" t="e">
        <f t="shared" ca="1" si="48"/>
        <v>#N/A</v>
      </c>
      <c r="HQ10" s="217" t="e">
        <f ca="1">IF(OR(Control!$B$26=1,Control!$B$26=2),$KV10,$KS10)</f>
        <v>#DIV/0!</v>
      </c>
      <c r="HR10" s="218" t="e">
        <f ca="1">$HR9-$HQ9</f>
        <v>#DIV/0!</v>
      </c>
      <c r="HS10" s="216" t="e">
        <f ca="1">Control!$C$154*$HP10</f>
        <v>#N/A</v>
      </c>
      <c r="HT10" s="216" t="e">
        <f ca="1">Control!$C$155*$HP10</f>
        <v>#N/A</v>
      </c>
      <c r="HU10" s="217" t="e">
        <f ca="1">Control!$C$161*$FI10</f>
        <v>#N/A</v>
      </c>
      <c r="HV10" s="218" t="e">
        <f t="shared" ca="1" si="162"/>
        <v>#N/A</v>
      </c>
      <c r="HW10" s="218" t="e">
        <f ca="1">Control!$C$160*$FF10+$IP10*$EO10</f>
        <v>#N/A</v>
      </c>
      <c r="HX10" s="218" t="e">
        <f t="shared" ca="1" si="203"/>
        <v>#N/A</v>
      </c>
      <c r="HY10" s="219" t="e">
        <f ca="1">IF(Control!$C$114=1, $EB10*$FS10, 0)</f>
        <v>#N/A</v>
      </c>
      <c r="HZ10" s="91" t="e">
        <f t="shared" ca="1" si="49"/>
        <v>#N/A</v>
      </c>
      <c r="IA10" s="220" t="e">
        <f ca="1">Control!$C$153*$HO10</f>
        <v>#N/A</v>
      </c>
      <c r="IB10" s="218" t="e">
        <f t="shared" ca="1" si="50"/>
        <v>#N/A</v>
      </c>
      <c r="IC10" s="220" t="e">
        <f ca="1">Control!$C$153*$HT10</f>
        <v>#N/A</v>
      </c>
      <c r="ID10" s="218" t="e">
        <f t="shared" ca="1" si="51"/>
        <v>#N/A</v>
      </c>
      <c r="IE10" s="221" t="e">
        <f ca="1">($EB10*Control!$C$159+$EF10*Control!$C$160)/(IF($GZ10&lt;&gt;0,$GZ10,1))</f>
        <v>#N/A</v>
      </c>
      <c r="IF10" s="216" t="e">
        <f t="shared" ca="1" si="52"/>
        <v>#N/A</v>
      </c>
      <c r="IG10" s="91">
        <f ca="1">IF(OR(Control!$B$198=$AH10,Control!$B$199=$AH10, Control!$B$200=$AH10, Control!$B$201=$AH10, Control!$B$202=$AH10, Control!$B$203=$AH10, Control!$B$204=$AH10, Control!$B$205=$AH10, Control!$B$206=$AH10, Control!$B$207=$AH10), 1, 0)</f>
        <v>0</v>
      </c>
      <c r="IH10" s="91">
        <f ca="1">IF($IG10=0,0, VLOOKUP($AH10,Control!$B$198:$C$207,2))</f>
        <v>0</v>
      </c>
      <c r="II10" s="222">
        <f t="shared" ca="1" si="163"/>
        <v>0</v>
      </c>
      <c r="IJ10" s="91">
        <f>Control!$C$121</f>
        <v>0.7</v>
      </c>
      <c r="IK10" s="218">
        <f t="shared" ca="1" si="53"/>
        <v>0</v>
      </c>
      <c r="IL10" s="217" t="e">
        <f t="shared" ca="1" si="204"/>
        <v>#N/A</v>
      </c>
      <c r="IM10" s="223" t="e">
        <f ca="1">IF(AND(Control!$C$114=1,$KH10&lt;1),$EB10*Control!$C$148*(1-$KH10), 0)</f>
        <v>#N/A</v>
      </c>
      <c r="IN10" s="217" t="e">
        <f t="shared" ca="1" si="54"/>
        <v>#DIV/0!</v>
      </c>
      <c r="IO10" s="91" t="e">
        <f ca="1">MAX(0,$IL10-$EF10*Control!$C$160)</f>
        <v>#N/A</v>
      </c>
      <c r="IP10" s="220" t="e">
        <f t="shared" ca="1" si="55"/>
        <v>#N/A</v>
      </c>
      <c r="IQ10" s="217" t="e">
        <f t="shared" ca="1" si="164"/>
        <v>#N/A</v>
      </c>
      <c r="IR10" s="218" t="e">
        <f ca="1">$IQ10+$IL10</f>
        <v>#N/A</v>
      </c>
      <c r="IS10" s="217" t="e">
        <f ca="1">Control!$C$159*MAX(0,$FD10-$EN10)</f>
        <v>#N/A</v>
      </c>
      <c r="IT10" s="217" t="e">
        <f t="shared" ca="1" si="205"/>
        <v>#N/A</v>
      </c>
      <c r="IU10" s="217" t="e">
        <f t="shared" ca="1" si="165"/>
        <v>#N/A</v>
      </c>
      <c r="IV10" s="217" t="e">
        <f t="shared" ca="1" si="206"/>
        <v>#N/A</v>
      </c>
      <c r="IW10" s="217" t="e">
        <f ca="1">IF(OR($AW10=1,AND($AW10=0, Control!$B$18=1,$EN10&lt;&gt;0)), $IQ10-$IU10, $IQ10)</f>
        <v>#N/A</v>
      </c>
      <c r="IX10" s="218" t="e">
        <f t="shared" ca="1" si="57"/>
        <v>#N/A</v>
      </c>
      <c r="IY10" s="218" t="e">
        <f ca="1">MAX(0,$IQ10-$EB10*Control!$C$159)</f>
        <v>#N/A</v>
      </c>
      <c r="IZ10" s="218" t="e">
        <f t="shared" ca="1" si="58"/>
        <v>#N/A</v>
      </c>
      <c r="JA10" s="216" t="e">
        <f t="shared" ca="1" si="59"/>
        <v>#N/A</v>
      </c>
      <c r="JB10" s="217" t="e">
        <f t="shared" ca="1" si="60"/>
        <v>#N/A</v>
      </c>
      <c r="JC10" s="222" t="e">
        <f ca="1">MAX(Control!$C$157*$EK10-$JT10, 0)/Control!$C$162</f>
        <v>#N/A</v>
      </c>
      <c r="JD10" s="218" t="e">
        <f t="shared" ca="1" si="61"/>
        <v>#N/A</v>
      </c>
      <c r="JE10" s="218" t="e">
        <f t="shared" ca="1" si="62"/>
        <v>#N/A</v>
      </c>
      <c r="JF10" s="218" t="e">
        <f t="shared" ca="1" si="207"/>
        <v>#N/A</v>
      </c>
      <c r="JG10" s="218" t="e">
        <f t="shared" ca="1" si="63"/>
        <v>#N/A</v>
      </c>
      <c r="JH10" s="217" t="e">
        <f t="shared" ca="1" si="166"/>
        <v>#N/A</v>
      </c>
      <c r="JI10" s="217" t="e">
        <f t="shared" ca="1" si="167"/>
        <v>#N/A</v>
      </c>
      <c r="JJ10" s="217" t="e">
        <f t="shared" ca="1" si="224"/>
        <v>#N/A</v>
      </c>
      <c r="JK10" s="217" t="e">
        <f ca="1">IF(Control!$C$114=1,IF(Control!$B$24=0,MAX(0,$JI10)*$GN10/Control!$C$64,(MAX(0,MIN($JI10,$JJ10*$GN10/Control!$C$64),0))))</f>
        <v>#N/A</v>
      </c>
      <c r="JL10" s="217" t="e">
        <f ca="1">$IK10/Control!$C$64-$JK10+$HQ10</f>
        <v>#N/A</v>
      </c>
      <c r="JM10" s="217" t="e">
        <f ca="1">IF(Control!$C$114=1,($JB10/(IF($JI10&lt;&gt;0,$JI10,1)))*$JK10,0)</f>
        <v>#N/A</v>
      </c>
      <c r="JN10" s="217" t="e">
        <f ca="1">IF(Control!$C$114=1,($JG10/(IF($JI10&lt;&gt;0,$JI10,1)))*$JK10, 0)</f>
        <v>#N/A</v>
      </c>
      <c r="JO10" s="218" t="e">
        <f t="shared" ca="1" si="64"/>
        <v>#N/A</v>
      </c>
      <c r="JP10" s="218" t="e">
        <f ca="1">MIN(($IY10+$IO10)*Control!$C$151, $JF10-$EH10*Control!$C$161)</f>
        <v>#N/A</v>
      </c>
      <c r="JQ10" s="218" t="e">
        <f t="shared" ca="1" si="65"/>
        <v>#N/A</v>
      </c>
      <c r="JR10" s="217" t="e">
        <f ca="1">IF($CP10-Control!$C$150&lt;0, 0, $JQ10/Control!$C$162)</f>
        <v>#N/A</v>
      </c>
      <c r="JS10" s="218" t="e">
        <f t="shared" ca="1" si="66"/>
        <v>#N/A</v>
      </c>
      <c r="JT10" s="218" t="e">
        <f t="shared" ca="1" si="168"/>
        <v>#N/A</v>
      </c>
      <c r="JU10" s="218" t="e">
        <f t="shared" ca="1" si="67"/>
        <v>#N/A</v>
      </c>
      <c r="JV10" s="218" t="e">
        <f t="shared" ca="1" si="68"/>
        <v>#N/A</v>
      </c>
      <c r="JW10" s="216" t="e">
        <f ca="1">$JF10/IF($EH10&lt;&gt;0, $EH10, 1)</f>
        <v>#N/A</v>
      </c>
      <c r="JX10" s="91" t="e">
        <f t="shared" ca="1" si="70"/>
        <v>#N/A</v>
      </c>
      <c r="JY10" s="218" t="e">
        <f t="shared" ca="1" si="71"/>
        <v>#N/A</v>
      </c>
      <c r="JZ10" s="217" t="e">
        <f ca="1">IF(Control!$C$114=1,($IZ10/(IF($JI10&lt;&gt;0,$JI10,1)))*$JK10, 0)</f>
        <v>#N/A</v>
      </c>
      <c r="KA10" s="218" t="e">
        <f t="shared" ca="1" si="225"/>
        <v>#N/A</v>
      </c>
      <c r="KB10" s="218" t="e">
        <f t="shared" ca="1" si="169"/>
        <v>#N/A</v>
      </c>
      <c r="KC10" s="218" t="e">
        <f t="shared" ca="1" si="72"/>
        <v>#N/A</v>
      </c>
      <c r="KD10" s="218" t="e">
        <f t="shared" ca="1" si="73"/>
        <v>#N/A</v>
      </c>
      <c r="KE10" s="218" t="e">
        <f t="shared" ca="1" si="74"/>
        <v>#N/A</v>
      </c>
      <c r="KF10" s="218" t="e">
        <f t="shared" ca="1" si="75"/>
        <v>#N/A</v>
      </c>
      <c r="KG10" s="216" t="e">
        <f t="shared" ca="1" si="76"/>
        <v>#N/A</v>
      </c>
      <c r="KH10" s="221" t="e">
        <f ca="1">IF(Control!$B$24=0,1,MAX(0.001,MIN(1,IF(($IF10-$IE10)&lt;&gt;0,($KG10-$IE10)/($IF10-$IE10),1))))</f>
        <v>#N/A</v>
      </c>
      <c r="KI10" s="218" t="e">
        <f ca="1">IF(Control!$C$114=1, $KI9+ $KH9, 0)</f>
        <v>#N/A</v>
      </c>
      <c r="KJ10" s="217" t="e">
        <f t="shared" ca="1" si="77"/>
        <v>#N/A</v>
      </c>
      <c r="KK10" s="218" t="e">
        <f t="shared" ca="1" si="78"/>
        <v>#N/A</v>
      </c>
      <c r="KL10" s="274" t="e">
        <f ca="1">IF(Control!$B$26=3,4000000000*EXP(-8400/($G10+273)),IF(Control!$B$26=4,4000000000*EXP(-8400/($G10+273))*($KT10),0))</f>
        <v>#DIV/0!</v>
      </c>
      <c r="KM10" s="274" t="e">
        <f ca="1">IF(Control!$B$26=3,5600000000000*EXP(-9800/($G10+273)),IF(Control!$B$26=4,5600000000000*EXP(-9800/($G10+273))*$KT10,0))</f>
        <v>#DIV/0!</v>
      </c>
      <c r="KN10" s="454" t="e">
        <f t="shared" ca="1" si="170"/>
        <v>#DIV/0!</v>
      </c>
      <c r="KO10" s="274" t="e">
        <f t="shared" ca="1" si="171"/>
        <v>#DIV/0!</v>
      </c>
      <c r="KP10" s="454" t="e">
        <f t="shared" ca="1" si="79"/>
        <v>#DIV/0!</v>
      </c>
      <c r="KQ10" s="454" t="e">
        <f t="shared" ca="1" si="80"/>
        <v>#DIV/0!</v>
      </c>
      <c r="KR10" s="454" t="e">
        <f t="shared" ca="1" si="81"/>
        <v>#DIV/0!</v>
      </c>
      <c r="KS10" s="454" t="e">
        <f t="shared" ca="1" si="82"/>
        <v>#DIV/0!</v>
      </c>
      <c r="KT10" s="455" t="e">
        <f t="shared" ca="1" si="83"/>
        <v>#DIV/0!</v>
      </c>
      <c r="KU10" s="456" t="e">
        <f ca="1">IF($CP10-Control!$C$149&lt;0, IF($NT10-0.01&lt;0,0,1),0)</f>
        <v>#N/A</v>
      </c>
      <c r="KV10" s="456" t="e">
        <f ca="1">IF(Control!$C$114=1,MAX(0,MIN(Control!$C$125*$KW10*$GN10,$KW10)))</f>
        <v>#DIV/0!</v>
      </c>
      <c r="KW10" s="456" t="e">
        <f t="shared" ca="1" si="208"/>
        <v>#DIV/0!</v>
      </c>
      <c r="KX10" s="457" t="e">
        <f ca="1">IF($CP10-Control!$C$149&lt;0, IF($MR10-$OM10&lt;0,0,1),0)</f>
        <v>#N/A</v>
      </c>
      <c r="KY10" s="167">
        <f t="shared" ca="1" si="172"/>
        <v>5</v>
      </c>
      <c r="KZ10" s="168">
        <f ca="1">1370*(1+0.033*COS(2*Control!$C$138*$AH10/365))</f>
        <v>1415.0426397065573</v>
      </c>
      <c r="LA10" s="169">
        <f t="shared" ca="1" si="173"/>
        <v>1.032877839772842</v>
      </c>
      <c r="LB10" s="169">
        <f t="shared" ca="1" si="174"/>
        <v>-0.3945221116772275</v>
      </c>
      <c r="LC10" s="169">
        <f ca="1">ACOS(-TAN((2*Control!$B$8/360))*TAN(Calculations!$LB10))</f>
        <v>1.4467375303260424</v>
      </c>
      <c r="LD10" s="169">
        <f ca="1">((24*60)/PI())*0.082*$LA10*(($LC10*SIN(Control!$B$8*2*PI()/360))*SIN($LB10)+COS(Control!$B$8*2*PI()/360)*COS($LB10)*SIN($LC10))</f>
        <v>4.8838885536260488</v>
      </c>
      <c r="LE10" s="170">
        <f t="shared" ca="1" si="84"/>
        <v>6.4960153759363877</v>
      </c>
      <c r="LF10" s="170">
        <f ca="1">SIN(Control!$C$139*Control!$B$8)*SIN($HD10)</f>
        <v>-0.30319280296265133</v>
      </c>
      <c r="LG10" s="170">
        <f ca="1">COS(Control!$C$139*Control!$B$8)*COS($HD10)</f>
        <v>0.56826513588632532</v>
      </c>
      <c r="LH10" s="170">
        <f ca="1">12*(1+2*ASIN(MAX(-1,MIN(1,$LF10/$LG10))/Control!$C$138))</f>
        <v>7.9042035925587957</v>
      </c>
      <c r="LI10" s="170">
        <f ca="1">12*(1+2*ASIN(MAX(-1,MIN(1,(-SIN(-4*Control!$C$139)+$LF10)/$LG10))/Control!$C$138))</f>
        <v>8.8528106426520967</v>
      </c>
      <c r="LJ10" s="168">
        <f ca="1">3600*($LH10*$LF10+24*$LG10*SQRT(1-$LK10*$LK10)/Control!$C$138)</f>
        <v>4590.6852512115756</v>
      </c>
      <c r="LK10" s="170">
        <f t="shared" ca="1" si="85"/>
        <v>-0.53354109519627724</v>
      </c>
      <c r="LL10" s="170">
        <f t="shared" ca="1" si="86"/>
        <v>0</v>
      </c>
      <c r="LM10" s="171">
        <f ca="1">Control!$C$145*$AB10</f>
        <v>6.6660906138995932E-2</v>
      </c>
      <c r="LN10" s="170">
        <f t="shared" ca="1" si="175"/>
        <v>0.54</v>
      </c>
      <c r="LO10" s="170">
        <f t="shared" ca="1" si="87"/>
        <v>0</v>
      </c>
      <c r="LP10" s="170">
        <f ca="1">Control!$C$140*((($D10+273.16)^4+($E10+273.16)^4)/2)*(0.34-0.14*SQRT($Y10))*(1.35*$AQ10/(0.75*$LD10)-0.35)</f>
        <v>-3.2464704755046001</v>
      </c>
      <c r="LQ10" s="170">
        <f ca="1">Control!$C$140*($G10+273)^4*(0.56-0.079*SQRT($Y10*10))*(0.1+0.9*$LO10)</f>
        <v>1.5241745131704001</v>
      </c>
      <c r="LR10" s="170">
        <f ca="1">$AQ10*(1-Control!$C$142)-$LQ10</f>
        <v>-1.5241745131704001</v>
      </c>
      <c r="LS10" s="170">
        <f ca="1">$AQ10*(1-Control!$C$143)-$LQ10</f>
        <v>-1.5241745131704001</v>
      </c>
      <c r="LT10" s="170">
        <f ca="1">$AQ10*(1-Control!$C$144)-$LQ10</f>
        <v>-1.5241745131704001</v>
      </c>
      <c r="LU10" s="169">
        <f ca="1">(1-Control!$C$144)*AQ10-LP10</f>
        <v>3.2464704755046001</v>
      </c>
      <c r="LV10" s="172">
        <f t="shared" ca="1" si="88"/>
        <v>0.79430000000000012</v>
      </c>
      <c r="LW10" s="170">
        <f t="shared" ca="1" si="89"/>
        <v>1.5886000000000002</v>
      </c>
      <c r="LX10" s="170">
        <f ca="1">($AC10*($LR10/Control!$C$141)+$LM10*$LV10)/($AC10+$LM10)</f>
        <v>0.23530094218323697</v>
      </c>
      <c r="LY10" s="170">
        <f ca="1">($AC10*($LS10/Control!$C$141)+$LM10*$LV10)/($AC10+$LM10)</f>
        <v>0.23530094218323697</v>
      </c>
      <c r="LZ10" s="170">
        <f t="shared" ca="1" si="90"/>
        <v>0.23530094218323697</v>
      </c>
      <c r="MA10" s="170">
        <f t="shared" ca="1" si="91"/>
        <v>0.23530094218323697</v>
      </c>
      <c r="MB10" s="170" t="e">
        <f t="shared" ca="1" si="92"/>
        <v>#N/A</v>
      </c>
      <c r="MC10" s="170">
        <f t="shared" ca="1" si="176"/>
        <v>0.6018</v>
      </c>
      <c r="MD10" s="170">
        <f t="shared" ca="1" si="93"/>
        <v>0.52989392535414004</v>
      </c>
      <c r="ME10" s="170">
        <f ca="1">($AC10*($LT10/Control!$C$141)+$LM10*$LW10)/($AC10+$LM10)</f>
        <v>0.71612369323045078</v>
      </c>
      <c r="MF10" s="170" t="e">
        <f ca="1">IF(Control!$B$16&gt;=1000,0.92,IF(AND(720&lt;=Control!$B$16,1000&gt;Control!$B$16),(0.95+(Control!$B$16-720)*((0.92-0.95)/(1000-720))),IF(AND(360&lt;=Control!$B$16,720&gt;Control!$B$16),(1+(Control!$B$16-360)*((0.95-1)/(720-360))),IF(AND(40&lt;=Control!$B$16,360&gt;Control!$B$16),(1.05+(Control!$B$16-40)*((1.05-1)/(360-40)))))))</f>
        <v>#N/A</v>
      </c>
      <c r="MG10" s="170">
        <f t="shared" ca="1" si="94"/>
        <v>0.71612369323045078</v>
      </c>
      <c r="MH10" s="170" t="e">
        <f t="shared" ca="1" si="95"/>
        <v>#N/A</v>
      </c>
      <c r="MI10" s="170" t="e">
        <f t="shared" ca="1" si="95"/>
        <v>#N/A</v>
      </c>
      <c r="MJ10" s="170" t="e">
        <f ca="1">MAX(0.0001, Control!$C$132*$MI10*$DL10)</f>
        <v>#N/A</v>
      </c>
      <c r="MK10" s="170">
        <f ca="1">1/(0.76+1.5*($MG10/10))-(5-Control!$C$110)*0.1</f>
        <v>1.002845988140797</v>
      </c>
      <c r="ML10" s="173">
        <f ca="1">IF(Control!$C$110&lt;3,$MK10+($MG10-0.6)/(Control!$C$110*(Control!$C$110+3)), MAX(0.1, MIN(0.95,$MK10)))</f>
        <v>0.95</v>
      </c>
      <c r="MM10" s="173">
        <f ca="1">IF(Control!$C$110&lt;3,$MK10+(($MI10/10)-0.6)/(Control!$C$110*(Control!$C$110+3)), MAX(0.1, MIN(0.95,$MK10)))</f>
        <v>0.95</v>
      </c>
      <c r="MN10" s="173">
        <f ca="1">(1-$MM10)*(Control!$C$128-Control!$C$127)+Control!$C$127</f>
        <v>0.16</v>
      </c>
      <c r="MO10" s="170" t="e">
        <f ca="1">MAX(0,MIN(1,($MS10-Control!$C$127)/($MN10-Control!$C$127)))</f>
        <v>#DIV/0!</v>
      </c>
      <c r="MP10" s="173" t="e">
        <f ca="1">1/(0.76+1.5*$MI10)-(5-Control!$C$110)*0.1</f>
        <v>#N/A</v>
      </c>
      <c r="MQ10" s="172" t="e">
        <f t="shared" ca="1" si="209"/>
        <v>#DIV/0!</v>
      </c>
      <c r="MR10" s="168" t="e">
        <f ca="1">$MR9+$OI9</f>
        <v>#DIV/0!</v>
      </c>
      <c r="MS10" s="173" t="e">
        <f ca="1">MAX(Control!$C$127, MIN(Control!$C$135, $MR10/MAX(0.0001,$CY10)))</f>
        <v>#DIV/0!</v>
      </c>
      <c r="MT10" s="168" t="e">
        <f ca="1">(Control!$C$128-$MS10)*Control!$C$74</f>
        <v>#DIV/0!</v>
      </c>
      <c r="MU10" s="168" t="e">
        <f ca="1">(Control!$C$135-$MS10)*Control!$C$74</f>
        <v>#DIV/0!</v>
      </c>
      <c r="MV10" s="168" t="e">
        <f t="shared" ca="1" si="210"/>
        <v>#DIV/0!</v>
      </c>
      <c r="MW10" s="168" t="e">
        <f t="shared" ca="1" si="177"/>
        <v>#DIV/0!</v>
      </c>
      <c r="MX10" s="171" t="e">
        <f ca="1">MAX(Control!$C$127, MIN(Control!$C$135, $MW10/MAX(0.0001,Control!$C$119-$CY10)))</f>
        <v>#DIV/0!</v>
      </c>
      <c r="MY10" s="54" t="e">
        <f ca="1">IF(Control!$C$114=1, $CX10*$MX10, 0)</f>
        <v>#DIV/0!</v>
      </c>
      <c r="MZ10" s="54" t="e">
        <f t="shared" ca="1" si="178"/>
        <v>#N/A</v>
      </c>
      <c r="NA10" s="168" t="e">
        <f ca="1">(Control!$C$128-$MX10)*(Control!$C$119-Control!$C$74)</f>
        <v>#DIV/0!</v>
      </c>
      <c r="NB10" s="168" t="e">
        <f ca="1">(Control!$C$135-$MX10)*(Control!$C$119-Control!$C$74)</f>
        <v>#DIV/0!</v>
      </c>
      <c r="NC10" s="174" t="e">
        <f t="shared" ca="1" si="179"/>
        <v>#DIV/0!</v>
      </c>
      <c r="ND10" s="54">
        <f ca="1">IF(Control!$C$58=2, IF(OR(Control!$B$218=$AH10,Control!$B$219=$AH10, Control!$B$220=$AH10, Control!$B$221=$AH10, Control!$B$222=$AH10, Control!$B$223=$AH10, Control!$B$224=$AH10, Control!$B$225=$AH10, Control!$B$226=$AH10, Control!$B$227=$AH10, Control!$B$228=$AH10), 1, 0), 0)</f>
        <v>0</v>
      </c>
      <c r="NE10" s="54">
        <f ca="1">IF($ND10=0,0, VLOOKUP($AH10,Control!$B$218:$C$228,2))</f>
        <v>0</v>
      </c>
      <c r="NF10" s="168" t="e">
        <f ca="1">$CY10*(Control!$C$128-Control!$C$127)</f>
        <v>#N/A</v>
      </c>
      <c r="NG10" s="54" t="e">
        <f ca="1">IF(Control!$C$58=2, $NI9-$NJ9, 0)</f>
        <v>#DIV/0!</v>
      </c>
      <c r="NH10" s="54" t="e">
        <f ca="1">IF(AND(Control!$C$58=1, $MS9&lt;= ($MN9+0.02), $I9&lt;10), 0, IF(Control!$C$58=2, $NG9, 0))</f>
        <v>#DIV/0!</v>
      </c>
      <c r="NI10" s="54" t="e">
        <f ca="1">IF(Control!$C$58=2, $NE10+$NH10,0)</f>
        <v>#DIV/0!</v>
      </c>
      <c r="NJ10" s="54" t="e">
        <f ca="1">IF(AND(Control!$C$58=1, $MS10&lt;= ($MN10+0.02), $I10&lt;10), MAX(0, MIN(10, 0.7*($NF10-$MV10))), IF(Control!$C$58=2, MIN(10,$NI10),0))</f>
        <v>#DIV/0!</v>
      </c>
      <c r="NK10" s="54" t="e">
        <f t="shared" ca="1" si="96"/>
        <v>#DIV/0!</v>
      </c>
      <c r="NL10" s="173" t="e">
        <f ca="1">(1-Control!$C$73)*$I10+$NJ10</f>
        <v>#DIV/0!</v>
      </c>
      <c r="NM10" s="172" t="e">
        <f ca="1">IF($NL10&lt;0.5, $MB10* MAX(0, MIN(1, (SQRT($NC10)-SQRT($NC10-1))*Control!$C$71)),0)</f>
        <v>#DIV/0!</v>
      </c>
      <c r="NN10" s="170" t="e">
        <f ca="1">IF($NL10&gt;=5, $MB10, MAX(0,MIN($MB10, $NM10+$NL10,($MS10-Control!$C$129))))</f>
        <v>#DIV/0!</v>
      </c>
      <c r="NO10" s="54">
        <f>IF(Control!$C$133&lt;&gt;1, Control!$C$135-Control!$C$131, 0)</f>
        <v>0.38</v>
      </c>
      <c r="NP10" s="54" t="e">
        <f t="shared" ca="1" si="97"/>
        <v>#DIV/0!</v>
      </c>
      <c r="NQ10" s="173" t="e">
        <f ca="1">MAX(0,MIN(1,(Control!$C$135-$MS10)/(Control!$C$135-$NO10)))</f>
        <v>#DIV/0!</v>
      </c>
      <c r="NR10" s="170" t="e">
        <f ca="1">IF(Control!$C$133&lt;&gt;1, $NQ10+((1-$NP10/4)*(1-$NQ10)),1)</f>
        <v>#DIV/0!</v>
      </c>
      <c r="NS10" s="170" t="e">
        <f ca="1">IF(Control!$B$31=0,$MJ10,MAX(0,MIN($MV10,$MO10*$NR10*$MJ10)))</f>
        <v>#DIV/0!</v>
      </c>
      <c r="NT10" s="170" t="e">
        <f t="shared" ca="1" si="227"/>
        <v>#DIV/0!</v>
      </c>
      <c r="NU10" s="170" t="e">
        <f t="shared" ca="1" si="180"/>
        <v>#N/A</v>
      </c>
      <c r="NV10" s="170" t="e">
        <f t="shared" ca="1" si="98"/>
        <v>#N/A</v>
      </c>
      <c r="NW10" s="175" t="e">
        <f t="shared" ca="1" si="99"/>
        <v>#DIV/0!</v>
      </c>
      <c r="NX10" s="170" t="e">
        <f ca="1">MIN(Control!$C$72+$MU10, $NW10)</f>
        <v>#DIV/0!</v>
      </c>
      <c r="NY10" s="170" t="e">
        <f ca="1">IF($MT10&lt;=$NX10,MIN(Control!$C$72+$NB10,$NX10-$MT10),0)</f>
        <v>#DIV/0!</v>
      </c>
      <c r="NZ10" s="54" t="e">
        <f ca="1">IF(Control!$C$114=1,  $CX10*($MX10-Control!$C$127), 0)</f>
        <v>#DIV/0!</v>
      </c>
      <c r="OA10" s="170" t="e">
        <f t="shared" ca="1" si="181"/>
        <v>#DIV/0!</v>
      </c>
      <c r="OB10" s="170" t="e">
        <f ca="1">IF($NA10 &lt;=$NY10, MIN(Control!$C$72, $NY10-$NA10), 0)</f>
        <v>#DIV/0!</v>
      </c>
      <c r="OC10" s="168" t="e">
        <f t="shared" ca="1" si="100"/>
        <v>#DIV/0!</v>
      </c>
      <c r="OD10" s="168" t="e">
        <f t="shared" ca="1" si="182"/>
        <v>#DIV/0!</v>
      </c>
      <c r="OE10" s="170">
        <f ca="1">Control!$C$73*$I10</f>
        <v>0</v>
      </c>
      <c r="OF10" s="176" t="e">
        <f ca="1">$OE10+MAX(0,$NW10-$NX10)</f>
        <v>#DIV/0!</v>
      </c>
      <c r="OG10" s="168" t="e">
        <f t="shared" ca="1" si="102"/>
        <v>#DIV/0!</v>
      </c>
      <c r="OH10" s="168" t="e">
        <f t="shared" ca="1" si="103"/>
        <v>#DIV/0!</v>
      </c>
      <c r="OI10" s="168" t="e">
        <f t="shared" ca="1" si="104"/>
        <v>#DIV/0!</v>
      </c>
      <c r="OJ10" s="168" t="e">
        <f t="shared" ca="1" si="105"/>
        <v>#DIV/0!</v>
      </c>
      <c r="OK10" s="204" t="e">
        <f t="shared" ca="1" si="183"/>
        <v>#DIV/0!</v>
      </c>
      <c r="OL10" s="177">
        <f>Control!$C$127</f>
        <v>0.15</v>
      </c>
      <c r="OM10" s="182" t="e">
        <f t="shared" ca="1" si="106"/>
        <v>#N/A</v>
      </c>
      <c r="ON10" s="177">
        <f>Control!$C$128</f>
        <v>0.35</v>
      </c>
      <c r="OO10" s="182" t="e">
        <f t="shared" ca="1" si="107"/>
        <v>#N/A</v>
      </c>
      <c r="OP10" s="138">
        <f t="shared" ca="1" si="184"/>
        <v>0</v>
      </c>
      <c r="OQ10" s="138" t="e">
        <f t="shared" ca="1" si="211"/>
        <v>#DIV/0!</v>
      </c>
      <c r="OR10" s="138" t="e">
        <f t="shared" ca="1" si="185"/>
        <v>#DIV/0!</v>
      </c>
      <c r="OS10" s="137" t="e">
        <f t="shared" ca="1" si="212"/>
        <v>#DIV/0!</v>
      </c>
      <c r="OT10" s="139" t="e">
        <f t="shared" ca="1" si="213"/>
        <v>#DIV/0!</v>
      </c>
      <c r="OU10" s="138" t="e">
        <f t="shared" ca="1" si="214"/>
        <v>#N/A</v>
      </c>
      <c r="OV10" s="138" t="e">
        <f t="shared" ca="1" si="215"/>
        <v>#DIV/0!</v>
      </c>
      <c r="OW10" s="138" t="e">
        <f t="shared" ca="1" si="186"/>
        <v>#DIV/0!</v>
      </c>
      <c r="OX10" s="138" t="e">
        <f t="shared" ca="1" si="187"/>
        <v>#DIV/0!</v>
      </c>
      <c r="OY10" s="138" t="e">
        <f t="shared" ca="1" si="188"/>
        <v>#DIV/0!</v>
      </c>
      <c r="OZ10" s="138" t="e">
        <f t="shared" ca="1" si="108"/>
        <v>#DIV/0!</v>
      </c>
      <c r="PA10" s="138" t="e">
        <f t="shared" ca="1" si="109"/>
        <v>#DIV/0!</v>
      </c>
      <c r="PB10" s="55">
        <f>IF(Control!$C$61="T", IF(Control!$C$65="F", IF($AH$6-Control!$C$60&lt;0,0,1), IF(365+$AH$6-Control!$C$60&lt;0,0,1)),0)</f>
        <v>0</v>
      </c>
      <c r="PC10" s="55">
        <f ca="1">IF(Control!$C$65="F", IF($AH$6-$HF10&lt;0,0,1), IF(365+$AH$6-$HF10&lt;0,0,1))</f>
        <v>1</v>
      </c>
      <c r="PD10" s="444">
        <f>Control!$C$118</f>
        <v>1500</v>
      </c>
      <c r="PE10" s="180" t="e">
        <f t="shared" ca="1" si="110"/>
        <v>#N/A</v>
      </c>
      <c r="PF10" s="445">
        <f t="shared" ca="1" si="189"/>
        <v>0.71612369323045078</v>
      </c>
      <c r="PT10" s="186"/>
      <c r="PU10" s="186"/>
      <c r="PV10" s="94"/>
      <c r="PW10" s="94"/>
      <c r="PX10" s="94"/>
      <c r="PY10" s="94"/>
      <c r="PZ10" s="94"/>
      <c r="QA10" s="94"/>
      <c r="QB10" s="94"/>
      <c r="QC10" s="94"/>
      <c r="QD10" s="94"/>
      <c r="QE10" s="94"/>
      <c r="QF10" s="94"/>
      <c r="QG10" s="94"/>
      <c r="QH10" s="94"/>
      <c r="QI10" s="94"/>
      <c r="QJ10" s="94"/>
      <c r="QK10" s="94"/>
      <c r="QL10" s="94"/>
      <c r="QM10" s="94"/>
      <c r="QN10" s="94"/>
      <c r="QO10" s="94"/>
      <c r="QP10" s="94"/>
    </row>
    <row r="11" spans="1:458" s="2" customFormat="1" x14ac:dyDescent="0.2">
      <c r="A11" s="386">
        <v>6</v>
      </c>
      <c r="B11" s="387">
        <v>1</v>
      </c>
      <c r="C11" s="387">
        <f ca="1">Weather_data!$B10</f>
        <v>0</v>
      </c>
      <c r="D11" s="388">
        <f ca="1">Weather_data!$F10</f>
        <v>0</v>
      </c>
      <c r="E11" s="388">
        <f ca="1">Weather_data!$E10</f>
        <v>0</v>
      </c>
      <c r="F11" s="388">
        <f t="shared" ca="1" si="111"/>
        <v>0</v>
      </c>
      <c r="G11" s="388">
        <f ca="1">AVERAGE($D11:$E11)+Control!$B$9</f>
        <v>0</v>
      </c>
      <c r="H11" s="388">
        <f ca="1">Weather_data!$G10</f>
        <v>0</v>
      </c>
      <c r="I11" s="388">
        <f ca="1">Weather_data!$I10</f>
        <v>0</v>
      </c>
      <c r="J11" s="388">
        <f ca="1">Weather_data!$H10</f>
        <v>0</v>
      </c>
      <c r="K11" s="389">
        <f ca="1">Weather_data!$D10</f>
        <v>0</v>
      </c>
      <c r="L11" s="388" t="e">
        <f t="shared" ca="1" si="112"/>
        <v>#N/A</v>
      </c>
      <c r="M11" s="388" t="e">
        <f t="shared" ca="1" si="0"/>
        <v>#N/A</v>
      </c>
      <c r="N11" s="388">
        <f t="shared" ca="1" si="1"/>
        <v>-0.29524499999999998</v>
      </c>
      <c r="O11" s="388">
        <f t="shared" ca="1" si="113"/>
        <v>2.9524499999999998</v>
      </c>
      <c r="P11" s="390">
        <v>3</v>
      </c>
      <c r="Q11" s="388">
        <f ca="1">MAX($G11-Control!$C$107,0)</f>
        <v>0</v>
      </c>
      <c r="R11" s="388">
        <f t="shared" ca="1" si="114"/>
        <v>0</v>
      </c>
      <c r="S11" s="388">
        <f t="shared" ca="1" si="2"/>
        <v>0</v>
      </c>
      <c r="T11" s="388">
        <f t="shared" ca="1" si="3"/>
        <v>0</v>
      </c>
      <c r="U11" s="59">
        <f t="shared" ca="1" si="4"/>
        <v>0</v>
      </c>
      <c r="V11" s="391">
        <f ca="1">MAX(0,MIN(Control!$C$100-Control!$C$99,$G11-Control!$C$99)*Control!$C$63)</f>
        <v>0</v>
      </c>
      <c r="W11" s="388">
        <f t="shared" ca="1" si="190"/>
        <v>0</v>
      </c>
      <c r="X11" s="388">
        <f t="shared" ca="1" si="115"/>
        <v>0.6110000000000001</v>
      </c>
      <c r="Y11" s="388">
        <f t="shared" ca="1" si="116"/>
        <v>0</v>
      </c>
      <c r="Z11" s="388">
        <f t="shared" ca="1" si="117"/>
        <v>0.61058800000000002</v>
      </c>
      <c r="AA11" s="388">
        <f t="shared" ca="1" si="5"/>
        <v>0.6018</v>
      </c>
      <c r="AB11" s="388">
        <f ca="1">101.3*EXP(-0.034*Control!$C$66/($G11+273))</f>
        <v>100.69623283836242</v>
      </c>
      <c r="AC11" s="392">
        <f t="shared" ca="1" si="6"/>
        <v>4.3460251046025113E-2</v>
      </c>
      <c r="AD11" s="392">
        <f t="shared" ca="1" si="7"/>
        <v>4.4450382862832649E-2</v>
      </c>
      <c r="AE11" s="388">
        <f t="shared" ca="1" si="8"/>
        <v>0</v>
      </c>
      <c r="AF11" s="388">
        <f ca="1">MAX(0,$G11-Control!$C$92)</f>
        <v>0</v>
      </c>
      <c r="AG11" s="393">
        <f t="shared" ca="1" si="118"/>
        <v>6</v>
      </c>
      <c r="AH11" s="389">
        <f t="shared" ca="1" si="9"/>
        <v>6</v>
      </c>
      <c r="AI11" s="388">
        <f t="shared" ca="1" si="119"/>
        <v>-0.39298801450762588</v>
      </c>
      <c r="AJ11" s="388">
        <f ca="1">IF(Control!$C$60&lt;=0,$HH11,$HI11)</f>
        <v>1</v>
      </c>
      <c r="AK11" s="388">
        <f t="shared" ca="1" si="10"/>
        <v>-1.2738512677569573</v>
      </c>
      <c r="AL11" s="388">
        <f t="shared" ca="1" si="11"/>
        <v>1.6681621362035768E-18</v>
      </c>
      <c r="AM11" s="388">
        <f t="shared" ca="1" si="12"/>
        <v>-1.2738512677569573</v>
      </c>
      <c r="AN11" s="388">
        <f t="shared" ca="1" si="13"/>
        <v>-0.3902181922044371</v>
      </c>
      <c r="AO11" s="388">
        <f ca="1">-0.10453/COS(Control!$B$8*PI()/180)*COS(AN11)</f>
        <v>-0.15702147105648578</v>
      </c>
      <c r="AP11" s="388">
        <f ca="1">ACOS(AO11-TAN(Control!$B$8*PI()/180)*TAN(AN11))</f>
        <v>1.1923993545707547</v>
      </c>
      <c r="AQ11" s="388">
        <f t="shared" ca="1" si="120"/>
        <v>0</v>
      </c>
      <c r="AR11" s="394">
        <f t="shared" ca="1" si="14"/>
        <v>0</v>
      </c>
      <c r="AS11" s="436">
        <f ca="1">IF(Control!$B$18=2,(IF(OR($AH11=Control!$B$175,$AH11=Control!$B$176,$AH11=Control!$B$177,$AH11=Control!$B$178,$AH11=Control!$B$179,$AH11=Control!$B$180,$AH11=Control!$B$181,$AH11=Control!$B$182,$AH11=Control!$B$183,$AH11=Control!$B$184,$AH11=Control!$B$185),1,0)),0)</f>
        <v>0</v>
      </c>
      <c r="AT11" s="436">
        <f>IF(Control!$B$20=8,IF(AND($AH11&gt;=Control!$B$172,$AH11&lt;=Control!$B$173),1,0),0)</f>
        <v>0</v>
      </c>
      <c r="AU11" s="436">
        <f>IF(Control!$B$20=8,IF($AV10=1,1*$AT11,IF($AT11=1,$AU10+1,$AU10)),0)</f>
        <v>0</v>
      </c>
      <c r="AV11" s="436">
        <f>IF(Control!$B$20=8,IF($AU11&gt;=Control!$B$174,1,0),0)</f>
        <v>0</v>
      </c>
      <c r="AW11" s="436">
        <f ca="1">IF(AND(Control!$B$18=2,Control!$B$171=1), $AV11, $AS11)</f>
        <v>0</v>
      </c>
      <c r="AX11" s="436" t="e">
        <f ca="1">IF(AND(Control!$B$18=1,$EU11&gt;=Control!$B$19),-$AY11,IF(AND(Control!$B$18=2,$AW11=1,$EU11&gt;$DS11),-$AY11, IF(Control!$C$108=0,0, IF(Control!$C$108&lt;&gt;0,1))))</f>
        <v>#N/A</v>
      </c>
      <c r="AY11" s="436" t="e">
        <f t="shared" ca="1" si="121"/>
        <v>#N/A</v>
      </c>
      <c r="AZ11" s="436" t="e">
        <f ca="1">IF(AND(Control!$B$18=1,$EB11&gt;Control!$B$19),$AZ10+1, IF(AND(Control!$B$18=2, $AW11=1, $EB11&gt;$DS11), $AZ10+1,$AZ10))</f>
        <v>#N/A</v>
      </c>
      <c r="BA11" s="587">
        <f>IF(Control!$C$81=0,1,IF($AH11&gt;=Control!$C$82,1,0))</f>
        <v>1</v>
      </c>
      <c r="BB11" s="140" t="e">
        <f ca="1">IF($BA11&gt;$BA10,Control!$C$83,IF($AW11&gt;0,$AW11*Control!$C$84,IF(AND(Control!$B$18=1,EN10&lt;&gt;0),Control!$C$84,0)))</f>
        <v>#N/A</v>
      </c>
      <c r="BC11" s="140" t="e">
        <f t="shared" ca="1" si="122"/>
        <v>#N/A</v>
      </c>
      <c r="BD11" s="140" t="e">
        <f ca="1">BC11*IF(OR($G11&lt;Control!$C$92,$G11&gt;Control!$C$95),0,IF(AND($G11&gt;=Control!$C$92,$G11&lt;=Control!$C$93),$G11-Control!$C$92,IF(AND($G11&gt;Control!$C$93,$G11&lt;=Control!$C$94),Control!$C$93-Control!$C$92,IF(AND($G11&gt;Control!$C$94,$G11&lt;=Control!$C$95),(Control!$C$93-Control!$C$92)*(Control!$C$94-$G11)/(Control!$C$95-Control!$C$94)))))</f>
        <v>#N/A</v>
      </c>
      <c r="BE11" s="140" t="e">
        <f t="shared" ca="1" si="123"/>
        <v>#N/A</v>
      </c>
      <c r="BF11" s="140" t="e">
        <f ca="1">IF($BE11&lt;=Control!$C$86,$BE11,Control!$C$86-$BE11)</f>
        <v>#N/A</v>
      </c>
      <c r="BG11" s="140" t="e">
        <f ca="1">IF(AND($AW11=1,Control!$C$84&lt;9),1,IF($BE11&gt;=Control!$C$86,0,$BC11))</f>
        <v>#N/A</v>
      </c>
      <c r="BH11" s="404" t="e">
        <f ca="1">IF($BG11=0,0,IF($BE11&lt;=Control!$C$86,$BC11*9*($BF11/Control!$C$86),0))</f>
        <v>#N/A</v>
      </c>
      <c r="BI11" s="140" t="e">
        <f ca="1">IF($BG11=1,0,IF($BE11&gt;=Control!$C$86,1,IF(AND($BB11&lt;21,$BB11&gt;=9),1,$BM10)))</f>
        <v>#N/A</v>
      </c>
      <c r="BJ11" s="140" t="e">
        <f ca="1">IF($BF11&lt;0,-$BF11,$BI11*IF(OR($G11&lt;Control!$C$92,$G11&gt;Control!$C$95),0,IF(AND($G11&gt;=Control!$C$92,$G11&lt;=Control!$C$93),$G11-Control!$C$92,IF(AND($G11&gt;Control!$C$93,$G11&lt;=Control!$C$94),Control!$C$93-Control!$C$92,IF(AND($G11&gt;Control!$C$94,$G11&lt;=Control!$C$95),(Control!$C$93-Control!$C$92)*(Control!$C$94-$G11)/(Control!$C$95-Control!$C$94))))))</f>
        <v>#N/A</v>
      </c>
      <c r="BK11" s="140" t="e">
        <f t="shared" ca="1" si="124"/>
        <v>#N/A</v>
      </c>
      <c r="BL11" s="140" t="e">
        <f ca="1">IF($BK11&lt;=Control!$C$87,$BK11,Control!$C$87-$BK11)</f>
        <v>#N/A</v>
      </c>
      <c r="BM11" s="140" t="e">
        <f ca="1">IF(AND($BB11&gt;=9,$BB11&lt;21),1,IF($BK11&gt;=Control!$C$87,0,$BI11))</f>
        <v>#N/A</v>
      </c>
      <c r="BN11" s="404" t="e">
        <f ca="1">IF($BM11=0,0,IF($BK11&lt;=Control!$C$87,$BI11*(9+(21-9)*($BL11/Control!$C$87)),0))</f>
        <v>#N/A</v>
      </c>
      <c r="BO11" s="140" t="e">
        <f ca="1">IF($BM11=1,0,IF($BK11&gt;=Control!$C$87,1,IF(AND($BB11&lt;30,$BB11&gt;=21),1,$BS10)))</f>
        <v>#N/A</v>
      </c>
      <c r="BP11" s="140" t="e">
        <f ca="1">IF($BL11&lt;0,-$BL11,$BO11*IF(OR($G11&lt;Control!$C$92,$G11&gt;Control!$C$95),0,IF(AND($G11&gt;=Control!$C$92,$G11&lt;=Control!$C$93),$G11-Control!$C$92,IF(AND($G11&gt;Control!$C$93,$G11&lt;=Control!$C$94),Control!$C$93-Control!$C$92,IF(AND($G11&gt;Control!$C$94,$G11&lt;=Control!$C$95),(Control!$C$93-Control!$C$92)*(Control!$C$94-$G11)/(Control!$C$95-Control!$C$94))))))</f>
        <v>#N/A</v>
      </c>
      <c r="BQ11" s="140" t="e">
        <f t="shared" ca="1" si="15"/>
        <v>#N/A</v>
      </c>
      <c r="BR11" s="140" t="e">
        <f ca="1">IF($BQ11&lt;=Control!$C$88,$BQ11,Control!$C$88-$BQ11)</f>
        <v>#N/A</v>
      </c>
      <c r="BS11" s="140" t="e">
        <f ca="1">IF(AND($BB11&gt;=21,$BB11&lt;30),1,IF($BQ11&gt;=Control!$C$88,0,$BO11))</f>
        <v>#N/A</v>
      </c>
      <c r="BT11" s="404" t="e">
        <f ca="1">IF($BS11=0,0,IF($BQ11&lt;=Control!$C$88,$BO11*(21+(30-21)*(BR11/Control!$C$88)),0))</f>
        <v>#N/A</v>
      </c>
      <c r="BU11" s="140" t="e">
        <f ca="1">IF(BG11+BM11+BS11=1,0,IF(OR(AND($BB11&lt;60,$BB11&gt;=30),$BQ11&gt;=Control!$C$88),1*$BA11,$BY10))</f>
        <v>#N/A</v>
      </c>
      <c r="BV11" s="140" t="e">
        <f ca="1">IF($BR11&lt;0,-$BR11,$BU11*IF(OR($G11&lt;Control!$C$92,$G11&gt;Control!$C$95),0,IF(AND($G11&gt;=Control!$C$92,$G11&lt;=Control!$C$93),$G11-Control!$C$92,IF(AND($G11&gt;Control!$C$93,$G11&lt;=Control!$C$94),Control!$C$93-Control!$C$92,IF(AND($G11&gt;Control!$C$94,$G11&lt;=Control!$C$95),(Control!$C$93-Control!$C$92)*(Control!$C$94-$G11)/(Control!$C$95-Control!$C$94))))))</f>
        <v>#N/A</v>
      </c>
      <c r="BW11" s="140" t="e">
        <f t="shared" ca="1" si="16"/>
        <v>#N/A</v>
      </c>
      <c r="BX11" s="140" t="e">
        <f ca="1">IF($BW11&lt;=Control!$C$89,$BW11,Control!$C$89-$BW11)</f>
        <v>#N/A</v>
      </c>
      <c r="BY11" s="140" t="e">
        <f ca="1">IF(AND($AJ11&gt;=30,$AJ11&lt;60),1,IF($BW11&gt;=Control!$C$89,0,$BU11))</f>
        <v>#N/A</v>
      </c>
      <c r="BZ11" s="404" t="e">
        <f ca="1">IF($BY11=0,0,IF($BW11&lt;=Control!$C$89,$BU11*(30+(60-30)*(BX11/Control!$C$89)),0))</f>
        <v>#N/A</v>
      </c>
      <c r="CA11" s="140" t="e">
        <f ca="1">IF($BG11+$BM11+$BS11+$BY11=1,0,IF(OR(AND($BB11&lt;65,$BB11&gt;=60),$BW11&gt;=Control!$C$89),1*$BA11,$CE10))</f>
        <v>#N/A</v>
      </c>
      <c r="CB11" s="140" t="e">
        <f ca="1">IF($BX11&lt;0,-$BX11,$CA11*IF(OR($G11&lt;Control!$C$92,$G11&gt;Control!$C$95),0,IF(AND($G11&gt;=Control!$C$92,$G11&lt;=Control!$C$93),$G11-Control!$C$92,IF(AND($G11&gt;Control!$C$93,$G11&lt;=Control!$C$94),Control!$C$93-Control!$C$92,IF(AND($G11&gt;Control!$C$94,$G11&lt;=Control!$C$95),(Control!$C$93-Control!$C$92)*(Control!$C$94-$G11)/(Control!$C$95-Control!$C$94))))))</f>
        <v>#N/A</v>
      </c>
      <c r="CC11" s="140" t="e">
        <f t="shared" ca="1" si="125"/>
        <v>#N/A</v>
      </c>
      <c r="CD11" s="140" t="e">
        <f ca="1">IF($CC11&lt;=Control!$C$90,$CC11,Control!$C$90-$CC11)</f>
        <v>#N/A</v>
      </c>
      <c r="CE11" s="140" t="e">
        <f ca="1">IF(AND($BB11&gt;=60,$BB11&lt;65),1,IF($CC11&gt;=Control!$C$90,0,$CA11))</f>
        <v>#N/A</v>
      </c>
      <c r="CF11" s="404" t="e">
        <f ca="1">IF($CE11=0,0,IF($CC11&lt;=Control!$C$90,$CA11*(60+(65-60)*(CD11/Control!$C$90)),0))</f>
        <v>#N/A</v>
      </c>
      <c r="CG11" s="140" t="e">
        <f ca="1">IF($BG11+$BM11+$BS11+$BY11+$CE11=1,0,IF(OR(AND($BB11&lt;90,$BB11&gt;=65),$CC11&gt;=Control!$C$90),$BA11,$CK10))</f>
        <v>#N/A</v>
      </c>
      <c r="CH11" s="140" t="e">
        <f ca="1">IF($CD11&lt;0,-$CD11,$CG11*IF(OR($G11&lt;Control!$C$92,$G11&gt;Control!$C$95),0,IF(AND($G11&gt;=Control!$C$92,$G11&lt;=Control!$C$93),$G11-Control!$C$92,IF(AND($G11&gt;Control!$C$93,$G11&lt;=Control!$C$94),Control!$C$93-Control!$C$92,IF(AND($G11&gt;Control!$C$94,$G11&lt;=Control!$C$95),(Control!$C$93-Control!$C$92)*(Control!$C$94-$G11)/(Control!$C$95-Control!$C$94))))))</f>
        <v>#N/A</v>
      </c>
      <c r="CI11" s="140" t="e">
        <f t="shared" ca="1" si="126"/>
        <v>#N/A</v>
      </c>
      <c r="CJ11" s="140" t="e">
        <f ca="1">IF($CI11&lt;=Control!$C$91,$CI11,Control!$C$91-$CI11)</f>
        <v>#N/A</v>
      </c>
      <c r="CK11" s="140" t="e">
        <f ca="1">IF(AND($BB11&gt;=65,$BB11&lt;90),1,IF($CI11&gt;=Control!$C$91,0,$CG11))</f>
        <v>#N/A</v>
      </c>
      <c r="CL11" s="404" t="e">
        <f ca="1">IF($CK11=0,0,IF($CI11&lt;=Control!$C$91,$CG11*(65+(90-65)*($CJ11/Control!$C$91)),0))</f>
        <v>#N/A</v>
      </c>
      <c r="CM11" s="140" t="e">
        <f ca="1">IF($BG11+$BM11+$BS11+$BY11+$CE11+$CK11=1,0,IF(OR($BB11&gt;=90,$CI11&gt;=Control!$C$91),$BA11,$CM10))</f>
        <v>#N/A</v>
      </c>
      <c r="CN11" s="140" t="e">
        <f t="shared" ca="1" si="127"/>
        <v>#N/A</v>
      </c>
      <c r="CO11" s="140" t="e">
        <f t="shared" ca="1" si="128"/>
        <v>#N/A</v>
      </c>
      <c r="CP11" s="140" t="e">
        <f t="shared" ca="1" si="129"/>
        <v>#N/A</v>
      </c>
      <c r="CQ11" s="141" t="e">
        <f ca="1">VLOOKUP($CP11,Control!$B$86:$G$91,6)</f>
        <v>#N/A</v>
      </c>
      <c r="CR11" s="141" t="e">
        <f ca="1">(1-$CQ11)*VLOOKUP($CP11,Control!$B$86:$D$91,3)</f>
        <v>#N/A</v>
      </c>
      <c r="CS11" s="141" t="e">
        <f ca="1">(1-$CQ11)*VLOOKUP($CP11,Control!$B$86:$E$91,4)</f>
        <v>#N/A</v>
      </c>
      <c r="CT11" s="141" t="e">
        <f ca="1">(1-$CQ11)*VLOOKUP($CP11,Control!$B$86:$F$91,5)</f>
        <v>#N/A</v>
      </c>
      <c r="CU11" s="141">
        <f t="shared" ca="1" si="130"/>
        <v>0</v>
      </c>
      <c r="CV11" s="583">
        <f t="shared" ca="1" si="131"/>
        <v>0</v>
      </c>
      <c r="CW11" s="142">
        <f t="shared" ca="1" si="132"/>
        <v>6</v>
      </c>
      <c r="CX11" s="612" t="e">
        <f ca="1">IF(Control!$C$114=1,(MIN(Control!$C$120*(IF($NT11-0.01&lt;0,0,1)),Control!$C$119-$CY11)))</f>
        <v>#DIV/0!</v>
      </c>
      <c r="CY11" s="143" t="e">
        <f t="shared" ca="1" si="133"/>
        <v>#N/A</v>
      </c>
      <c r="CZ11" s="144">
        <f t="shared" ca="1" si="17"/>
        <v>0</v>
      </c>
      <c r="DA11" s="144">
        <f t="shared" ca="1" si="18"/>
        <v>0</v>
      </c>
      <c r="DB11" s="144" t="e">
        <f t="shared" ca="1" si="19"/>
        <v>#N/A</v>
      </c>
      <c r="DC11" s="144" t="e">
        <f t="shared" ca="1" si="20"/>
        <v>#N/A</v>
      </c>
      <c r="DD11" s="144" t="e">
        <f t="shared" ca="1" si="216"/>
        <v>#N/A</v>
      </c>
      <c r="DE11" s="143" t="e">
        <f t="shared" ca="1" si="135"/>
        <v>#N/A</v>
      </c>
      <c r="DF11" s="145" t="e">
        <f ca="1">$DR11*EXP(-Control!$C$158*(1-$KH11))</f>
        <v>#N/A</v>
      </c>
      <c r="DG11" s="146" t="e">
        <f ca="1">IF(Control!$C$114=1, $DF11*$EY11, 0)</f>
        <v>#N/A</v>
      </c>
      <c r="DH11" s="147" t="e">
        <f t="shared" ca="1" si="136"/>
        <v>#N/A</v>
      </c>
      <c r="DI11" s="144" t="e">
        <f t="shared" ca="1" si="191"/>
        <v>#N/A</v>
      </c>
      <c r="DJ11" s="147" t="e">
        <f ca="1">$EF11*Control!$C$109</f>
        <v>#N/A</v>
      </c>
      <c r="DK11" s="144" t="e">
        <f t="shared" ca="1" si="137"/>
        <v>#N/A</v>
      </c>
      <c r="DL11" s="144" t="e">
        <f t="shared" ca="1" si="21"/>
        <v>#N/A</v>
      </c>
      <c r="DM11" s="144" t="e">
        <f ca="1">IF(Control!$C$114=1, (1-EXP(-Control!$C$96*$DK11))*$AR11, 0)</f>
        <v>#N/A</v>
      </c>
      <c r="DN11" s="144">
        <f t="shared" ca="1" si="138"/>
        <v>0</v>
      </c>
      <c r="DO11" s="148">
        <f>Control!$C$97</f>
        <v>4</v>
      </c>
      <c r="DP11" s="145" t="e">
        <f t="shared" ca="1" si="139"/>
        <v>#N/A</v>
      </c>
      <c r="DQ11" s="145" t="e">
        <f ca="1">IF(AND($CP11&gt;=0,$CP11&lt;=90),Control!$C$111,Control!$C$111)</f>
        <v>#N/A</v>
      </c>
      <c r="DR11" s="145" t="e">
        <f t="shared" ca="1" si="22"/>
        <v>#N/A</v>
      </c>
      <c r="DS11" s="143" t="e">
        <f ca="1">Control!$B$22/$DR11</f>
        <v>#N/A</v>
      </c>
      <c r="DT11" s="149" t="e">
        <f ca="1">IF(AND(Control!$C$114=1,$KH11&lt;1),$IM11*$DF11, 0)</f>
        <v>#N/A</v>
      </c>
      <c r="DU11" s="144" t="e">
        <f ca="1">$DU10+$DW10</f>
        <v>#N/A</v>
      </c>
      <c r="DV11" s="144">
        <f ca="1">IF($G11-Control!$C$107&lt;=0, 0, 0.83*LN(MAX($G11, 3))-0.8924)</f>
        <v>0</v>
      </c>
      <c r="DW11" s="144" t="e">
        <f t="shared" ca="1" si="23"/>
        <v>#N/A</v>
      </c>
      <c r="DX11" s="150" t="e">
        <f ca="1">MAX(0.01*(1+$CU11/Control!$C$102),0.05*($DK11-Control!$C$97)/Control!$C$97)</f>
        <v>#N/A</v>
      </c>
      <c r="DY11" s="151" t="e">
        <f ca="1">IF(Control!$C$114=1, $DI11*$FS11, 0)</f>
        <v>#N/A</v>
      </c>
      <c r="DZ11" s="196" t="e">
        <f t="shared" ca="1" si="140"/>
        <v>#N/A</v>
      </c>
      <c r="EA11" s="152">
        <f t="shared" ca="1" si="141"/>
        <v>6</v>
      </c>
      <c r="EB11" s="153" t="e">
        <f t="shared" ca="1" si="217"/>
        <v>#N/A</v>
      </c>
      <c r="EC11" s="153" t="e">
        <f t="shared" ca="1" si="142"/>
        <v>#N/A</v>
      </c>
      <c r="ED11" s="154" t="e">
        <f ca="1">IF(Control!$C$114=1, $HM11*$FY11-$FD11, 0)</f>
        <v>#DIV/0!</v>
      </c>
      <c r="EE11" s="155" t="e">
        <f ca="1">IF(Control!$C$114=1, $HM11*$FZ11-$FF11, 0)</f>
        <v>#DIV/0!</v>
      </c>
      <c r="EF11" s="153" t="e">
        <f t="shared" ca="1" si="193"/>
        <v>#N/A</v>
      </c>
      <c r="EG11" s="155" t="e">
        <f ca="1">IF(Control!$C$114=1, $GX11*$FW11-$FI11, 0)</f>
        <v>#DIV/0!</v>
      </c>
      <c r="EH11" s="153" t="e">
        <f t="shared" ca="1" si="143"/>
        <v>#N/A</v>
      </c>
      <c r="EI11" s="156" t="e">
        <f t="shared" ca="1" si="144"/>
        <v>#N/A</v>
      </c>
      <c r="EJ11" s="155" t="e">
        <f ca="1">IF(Control!$C$114=1, $HM11*$GB11, 0)</f>
        <v>#DIV/0!</v>
      </c>
      <c r="EK11" s="153" t="e">
        <f t="shared" ca="1" si="194"/>
        <v>#N/A</v>
      </c>
      <c r="EL11" s="153" t="e">
        <f t="shared" ca="1" si="24"/>
        <v>#N/A</v>
      </c>
      <c r="EM11" s="153" t="e">
        <f t="shared" ca="1" si="25"/>
        <v>#N/A</v>
      </c>
      <c r="EN11" s="153" t="e">
        <f ca="1">IF(Control!$C$108=1,IF(AND(Control!$B$18=1,$EB11&gt;=Control!$B$19),$EB11-$DS11,IF(AND(Control!$B$18=2,$AW11=1,$EB11&gt;$DS11),$EB11-$DS11,0)))</f>
        <v>#N/A</v>
      </c>
      <c r="EO11" s="153" t="e">
        <f ca="1">IF(Control!$C$108=1,IF(AND(Control!$B$18=1,$EB11&gt;=Control!$B$19),$EF11,IF(AND(Control!$B$18=2,$AW11=1),$EF11,0)))</f>
        <v>#N/A</v>
      </c>
      <c r="EP11" s="153" t="e">
        <f ca="1">IF(Control!$C$108=1,IF(AND(Control!$B$18=1,$EB11&gt;=Control!$B$19),$EK11,IF(AND(Control!$B$18=2,$AW11=1),$EK11,0)))</f>
        <v>#N/A</v>
      </c>
      <c r="EQ11" s="153" t="e">
        <f t="shared" ca="1" si="145"/>
        <v>#N/A</v>
      </c>
      <c r="ER11" s="153" t="e">
        <f t="shared" ca="1" si="195"/>
        <v>#N/A</v>
      </c>
      <c r="ES11" s="153" t="e">
        <f t="shared" ca="1" si="196"/>
        <v>#N/A</v>
      </c>
      <c r="ET11" s="153" t="e">
        <f t="shared" ca="1" si="197"/>
        <v>#N/A</v>
      </c>
      <c r="EU11" s="153" t="e">
        <f t="shared" ca="1" si="198"/>
        <v>#N/A</v>
      </c>
      <c r="EV11" s="153" t="e">
        <f t="shared" ca="1" si="146"/>
        <v>#N/A</v>
      </c>
      <c r="EW11" s="153" t="e">
        <f t="shared" ca="1" si="218"/>
        <v>#N/A</v>
      </c>
      <c r="EX11" s="153" t="e">
        <f t="shared" ca="1" si="26"/>
        <v>#N/A</v>
      </c>
      <c r="EY11" s="157" t="e">
        <f t="shared" ca="1" si="147"/>
        <v>#DIV/0!</v>
      </c>
      <c r="EZ11" s="154" t="e">
        <f t="shared" ca="1" si="27"/>
        <v>#DIV/0!</v>
      </c>
      <c r="FA11" s="153" t="e">
        <f t="shared" ca="1" si="199"/>
        <v>#N/A</v>
      </c>
      <c r="FB11" s="153" t="e">
        <f t="shared" ca="1" si="28"/>
        <v>#N/A</v>
      </c>
      <c r="FC11" s="193" t="e">
        <f t="shared" ca="1" si="29"/>
        <v>#N/A</v>
      </c>
      <c r="FD11" s="158" t="e">
        <f t="shared" ca="1" si="200"/>
        <v>#N/A</v>
      </c>
      <c r="FE11" s="158" t="e">
        <f t="shared" ca="1" si="148"/>
        <v>#N/A</v>
      </c>
      <c r="FF11" s="159" t="e">
        <f t="shared" ca="1" si="30"/>
        <v>#N/A</v>
      </c>
      <c r="FG11" s="160" t="e">
        <f t="shared" ca="1" si="149"/>
        <v>#N/A</v>
      </c>
      <c r="FH11" s="158" t="e">
        <f t="shared" ca="1" si="150"/>
        <v>#N/A</v>
      </c>
      <c r="FI11" s="159" t="e">
        <f t="shared" ca="1" si="31"/>
        <v>#N/A</v>
      </c>
      <c r="FJ11" s="160" t="e">
        <f t="shared" ca="1" si="151"/>
        <v>#N/A</v>
      </c>
      <c r="FK11" s="160" t="e">
        <f t="shared" ca="1" si="32"/>
        <v>#N/A</v>
      </c>
      <c r="FL11" s="160" t="e">
        <f t="shared" ref="FL11:FL71" ca="1" si="229">$FL10+$FD10</f>
        <v>#N/A</v>
      </c>
      <c r="FM11" s="160" t="e">
        <f t="shared" ca="1" si="33"/>
        <v>#N/A</v>
      </c>
      <c r="FN11" s="158">
        <f t="shared" ca="1" si="219"/>
        <v>0.01</v>
      </c>
      <c r="FO11" s="160">
        <f>Control!$C$101</f>
        <v>50</v>
      </c>
      <c r="FP11" s="150" t="e">
        <f t="shared" ca="1" si="34"/>
        <v>#N/A</v>
      </c>
      <c r="FQ11" s="150" t="e">
        <f ca="1">MAX(0,(Control!$C$112*(($DK11-Control!$C$97)/Control!$C$97)))</f>
        <v>#N/A</v>
      </c>
      <c r="FR11" s="150" t="e">
        <f ca="1">(1-$NT11)*Control!$C$113</f>
        <v>#DIV/0!</v>
      </c>
      <c r="FS11" s="198" t="e">
        <f t="shared" ca="1" si="35"/>
        <v>#N/A</v>
      </c>
      <c r="FT11" s="161">
        <f t="shared" ca="1" si="152"/>
        <v>6</v>
      </c>
      <c r="FU11" s="162" t="e">
        <f ca="1">IF(Control!$B$34=1,VLOOKUP($CP11,Control!$B$86:$G$91,6),Control!$B$35)</f>
        <v>#N/A</v>
      </c>
      <c r="FV11" s="162" t="e">
        <f t="shared" ca="1" si="36"/>
        <v>#DIV/0!</v>
      </c>
      <c r="FW11" s="162" t="e">
        <f ca="1">IF(Control!$B$31=1,$FU11*$FV11,  $FU11)</f>
        <v>#N/A</v>
      </c>
      <c r="FX11" s="162" t="e">
        <f ca="1">IF(Control!$B$34=1,VLOOKUP($CP11,Control!$B$86:$G$91,3),Control!$B$36)</f>
        <v>#N/A</v>
      </c>
      <c r="FY11" s="162" t="e">
        <f t="shared" ca="1" si="37"/>
        <v>#N/A</v>
      </c>
      <c r="FZ11" s="162" t="e">
        <f ca="1">IF(Control!$B$34=1,VLOOKUP($CP11,Control!$B$86:$G$91,4),Control!$B$37)</f>
        <v>#N/A</v>
      </c>
      <c r="GA11" s="162" t="e">
        <f t="shared" ca="1" si="38"/>
        <v>#N/A</v>
      </c>
      <c r="GB11" s="162" t="e">
        <f ca="1">IF(Control!$B$34=1,VLOOKUP($CP11,Control!$B$86:$G$91,5),Control!$B$38)</f>
        <v>#N/A</v>
      </c>
      <c r="GC11" s="162" t="e">
        <f t="shared" ca="1" si="153"/>
        <v>#N/A</v>
      </c>
      <c r="GD11" s="162">
        <f t="shared" ca="1" si="39"/>
        <v>1</v>
      </c>
      <c r="GE11" s="162">
        <f t="shared" ca="1" si="40"/>
        <v>1</v>
      </c>
      <c r="GF11" s="162">
        <f ca="1">IF(AND(Control!$C$104=1, Control!$C$62="F"),$GE11,1)</f>
        <v>1</v>
      </c>
      <c r="GG11" s="162" t="e">
        <f ca="1">IF(Control!$B$16=40,0,IF(AND(Control!$B$16&gt;40,Control!$B$16&lt;=360),(Control!$B$16-40)*((1-0)/(360-40)),IF(AND(Control!$B$16&gt;360,Control!$B$16&lt;=720),(1+(Control!$B$16-360)*((1.25-1)/(720-360))),IF(AND(Control!$B$16&gt;720,Control!$B$16&lt;=1000),(1.25+(Control!$B$16-720)*((1.35-1.25)/(1000-720))),IF(AND(Control!$B$16&gt;1000,Control!$B$16&lt;=2000),(1.35+(Control!$B$16-1000)*0))))))</f>
        <v>#N/A</v>
      </c>
      <c r="GH11" s="162" t="e">
        <f t="shared" ca="1" si="41"/>
        <v>#N/A</v>
      </c>
      <c r="GI11" s="162">
        <f t="shared" ca="1" si="201"/>
        <v>0</v>
      </c>
      <c r="GJ11" s="162">
        <f t="shared" ca="1" si="42"/>
        <v>0</v>
      </c>
      <c r="GK11" s="162">
        <f t="shared" ca="1" si="220"/>
        <v>1</v>
      </c>
      <c r="GL11" s="162">
        <f t="shared" ca="1" si="43"/>
        <v>1</v>
      </c>
      <c r="GM11" s="162" t="e">
        <f ca="1">MAX(0,MIN(1,1-Control!$C$156*(1.0001-$KH11)^2))</f>
        <v>#N/A</v>
      </c>
      <c r="GN11" s="162" t="e">
        <f ca="1">IF(Control!$B$26=1,$KU11,$KX11)</f>
        <v>#N/A</v>
      </c>
      <c r="GO11" s="162" t="e">
        <f ca="1">IF($CP11&lt;=60,Control!$C$105,IF($CP11&gt;=90,Control!$C$106,Control!$C$105+($CP11-60)*((Control!$C$106-Control!$C$105)/(90-60))))</f>
        <v>#N/A</v>
      </c>
      <c r="GP11" s="162" t="e">
        <f t="shared" ca="1" si="154"/>
        <v>#N/A</v>
      </c>
      <c r="GQ11" s="162" t="e">
        <f t="shared" ca="1" si="155"/>
        <v>#N/A</v>
      </c>
      <c r="GR11" s="163" t="e">
        <f t="shared" ca="1" si="44"/>
        <v>#DIV/0!</v>
      </c>
      <c r="GS11" s="162" t="e">
        <f t="shared" ca="1" si="45"/>
        <v>#DIV/0!</v>
      </c>
      <c r="GT11" s="164" t="e">
        <f t="shared" ca="1" si="156"/>
        <v>#N/A</v>
      </c>
      <c r="GU11" s="162" t="e">
        <f t="shared" ca="1" si="157"/>
        <v>#N/A</v>
      </c>
      <c r="GV11" s="162" t="e">
        <f t="shared" ca="1" si="46"/>
        <v>#N/A</v>
      </c>
      <c r="GW11" s="162" t="e">
        <f t="shared" ca="1" si="221"/>
        <v>#DIV/0!</v>
      </c>
      <c r="GX11" s="162" t="e">
        <f t="shared" ca="1" si="228"/>
        <v>#DIV/0!</v>
      </c>
      <c r="GY11" s="162" t="e">
        <f t="shared" ca="1" si="158"/>
        <v>#DIV/0!</v>
      </c>
      <c r="GZ11" s="165" t="e">
        <f t="shared" ca="1" si="159"/>
        <v>#N/A</v>
      </c>
      <c r="HA11" s="162" t="e">
        <f ca="1">IF(Control!$C$114=1, $DI11*$FS11, 0)</f>
        <v>#N/A</v>
      </c>
      <c r="HB11" s="162" t="e">
        <f ca="1">$FA11/Control!$C$64</f>
        <v>#N/A</v>
      </c>
      <c r="HC11" s="162" t="e">
        <f ca="1">$GW11-$HB11</f>
        <v>#DIV/0!</v>
      </c>
      <c r="HD11" s="162">
        <f ca="1">-ASIN(SIN(23.45*Control!$C$139)*COS(2*Control!$C$138*($AH11+10)/365))</f>
        <v>-0.39298801450762588</v>
      </c>
      <c r="HE11" s="165">
        <f t="shared" ca="1" si="160"/>
        <v>0</v>
      </c>
      <c r="HF11" s="166">
        <f ca="1">IF(AND(Control!$C$61="T",$HE11&gt;=Control!$C$103,Control!$C$114=0),$AH11,Control!$C$59)</f>
        <v>1</v>
      </c>
      <c r="HG11" s="166">
        <f ca="1">IF(AND(Control!$C$61="T",$HE11&gt;=Control!$C$103,Control!$C$114=0),$HF11,Control!$C$59)</f>
        <v>1</v>
      </c>
      <c r="HH11" s="165">
        <f ca="1">IF(AND(OR(Control!$C$60&lt;=0, $AH11= Control!$C$59, Control!$C$60 &gt;0, $AH11 = Control!$C$60)), Control!$C$59, IF(Control!$C$60&gt;0, 0))</f>
        <v>1</v>
      </c>
      <c r="HI11" s="165">
        <f ca="1">IF(AND(OR(Control!$C$60&lt;=0, $AH11= Control!$C$59, Control!$C$60 &gt;0, $AH11 = Control!$C$60)), Control!$C$60, IF(Control!$C$60&lt;=0, 0))</f>
        <v>0</v>
      </c>
      <c r="HJ11" s="166">
        <f ca="1">IF(AND(Control!$C$62="F",$CV11&gt;=Control!$C$102),$AH11,0)</f>
        <v>0</v>
      </c>
      <c r="HK11" s="165" t="e">
        <f t="shared" ca="1" si="202"/>
        <v>#N/A</v>
      </c>
      <c r="HL11" s="166">
        <f ca="1">IF(AND(Control!$C$61="T",$HE11&gt;=Control!$C$103,Control!$C$114=0),$HF11,0)</f>
        <v>0</v>
      </c>
      <c r="HM11" s="201" t="e">
        <f t="shared" ca="1" si="47"/>
        <v>#DIV/0!</v>
      </c>
      <c r="HN11" s="215">
        <f t="shared" ca="1" si="161"/>
        <v>6</v>
      </c>
      <c r="HO11" s="216" t="e">
        <f ca="1">IF(AND($CP11&gt;=0, $CP11&lt;=90), Control!$C$152, Control!$C$152)</f>
        <v>#N/A</v>
      </c>
      <c r="HP11" s="216" t="e">
        <f t="shared" ca="1" si="48"/>
        <v>#N/A</v>
      </c>
      <c r="HQ11" s="217" t="e">
        <f ca="1">IF(OR(Control!$B$26=1,Control!$B$26=2),$KV11,$KS11)</f>
        <v>#DIV/0!</v>
      </c>
      <c r="HR11" s="218" t="e">
        <f t="shared" ca="1" si="223"/>
        <v>#DIV/0!</v>
      </c>
      <c r="HS11" s="216" t="e">
        <f ca="1">Control!$C$154*$HP11</f>
        <v>#N/A</v>
      </c>
      <c r="HT11" s="216" t="e">
        <f ca="1">Control!$C$155*$HP11</f>
        <v>#N/A</v>
      </c>
      <c r="HU11" s="217" t="e">
        <f ca="1">Control!$C$161*$FI11</f>
        <v>#N/A</v>
      </c>
      <c r="HV11" s="218" t="e">
        <f t="shared" ca="1" si="162"/>
        <v>#N/A</v>
      </c>
      <c r="HW11" s="218" t="e">
        <f ca="1">Control!$C$160*$FF11+$IP11*$EO11</f>
        <v>#N/A</v>
      </c>
      <c r="HX11" s="218" t="e">
        <f t="shared" ca="1" si="203"/>
        <v>#N/A</v>
      </c>
      <c r="HY11" s="219" t="e">
        <f ca="1">IF(Control!$C$114=1, $EB11*$FS11, 0)</f>
        <v>#N/A</v>
      </c>
      <c r="HZ11" s="91" t="e">
        <f t="shared" ca="1" si="49"/>
        <v>#N/A</v>
      </c>
      <c r="IA11" s="220" t="e">
        <f ca="1">Control!$C$153*$HO11</f>
        <v>#N/A</v>
      </c>
      <c r="IB11" s="218" t="e">
        <f t="shared" ca="1" si="50"/>
        <v>#N/A</v>
      </c>
      <c r="IC11" s="220" t="e">
        <f ca="1">Control!$C$153*$HT11</f>
        <v>#N/A</v>
      </c>
      <c r="ID11" s="218" t="e">
        <f t="shared" ca="1" si="51"/>
        <v>#N/A</v>
      </c>
      <c r="IE11" s="221" t="e">
        <f ca="1">($EB11*Control!$C$159+$EF11*Control!$C$160)/(IF($GZ11&lt;&gt;0,$GZ11,1))</f>
        <v>#N/A</v>
      </c>
      <c r="IF11" s="216" t="e">
        <f t="shared" ca="1" si="52"/>
        <v>#N/A</v>
      </c>
      <c r="IG11" s="91">
        <f ca="1">IF(OR(Control!$B$198=$AH11,Control!$B$199=$AH11, Control!$B$200=$AH11, Control!$B$201=$AH11, Control!$B$202=$AH11, Control!$B$203=$AH11, Control!$B$204=$AH11, Control!$B$205=$AH11, Control!$B$206=$AH11, Control!$B$207=$AH11), 1, 0)</f>
        <v>0</v>
      </c>
      <c r="IH11" s="91">
        <f ca="1">IF($IG11=0,0, VLOOKUP($AH11,Control!$B$198:$C$207,2))</f>
        <v>0</v>
      </c>
      <c r="II11" s="222">
        <f t="shared" ca="1" si="163"/>
        <v>0</v>
      </c>
      <c r="IJ11" s="91">
        <f>Control!$C$121</f>
        <v>0.7</v>
      </c>
      <c r="IK11" s="218">
        <f t="shared" ca="1" si="53"/>
        <v>0</v>
      </c>
      <c r="IL11" s="217" t="e">
        <f t="shared" ca="1" si="204"/>
        <v>#N/A</v>
      </c>
      <c r="IM11" s="223" t="e">
        <f ca="1">IF(AND(Control!$C$114=1,$KH11&lt;1),$EB11*Control!$C$148*(1-$KH11), 0)</f>
        <v>#N/A</v>
      </c>
      <c r="IN11" s="217" t="e">
        <f t="shared" ca="1" si="54"/>
        <v>#DIV/0!</v>
      </c>
      <c r="IO11" s="91" t="e">
        <f ca="1">MAX(0,$IL11-$EF11*Control!$C$160)</f>
        <v>#N/A</v>
      </c>
      <c r="IP11" s="220" t="e">
        <f t="shared" ca="1" si="55"/>
        <v>#N/A</v>
      </c>
      <c r="IQ11" s="217" t="e">
        <f t="shared" ca="1" si="164"/>
        <v>#N/A</v>
      </c>
      <c r="IR11" s="218" t="e">
        <f t="shared" ca="1" si="56"/>
        <v>#N/A</v>
      </c>
      <c r="IS11" s="217" t="e">
        <f ca="1">Control!$C$159*MAX(0,$FD11-$EN11)</f>
        <v>#N/A</v>
      </c>
      <c r="IT11" s="217" t="e">
        <f t="shared" ca="1" si="205"/>
        <v>#N/A</v>
      </c>
      <c r="IU11" s="217" t="e">
        <f t="shared" ca="1" si="165"/>
        <v>#N/A</v>
      </c>
      <c r="IV11" s="217" t="e">
        <f t="shared" ca="1" si="206"/>
        <v>#N/A</v>
      </c>
      <c r="IW11" s="217" t="e">
        <f ca="1">IF(OR($AW11=1,AND($AW11=0, Control!$B$18=1,$EN11&lt;&gt;0)), $IQ11-$IU11, $IQ11)</f>
        <v>#N/A</v>
      </c>
      <c r="IX11" s="218" t="e">
        <f t="shared" ca="1" si="57"/>
        <v>#N/A</v>
      </c>
      <c r="IY11" s="218" t="e">
        <f ca="1">MAX(0,$IQ11-$EB11*Control!$C$159)</f>
        <v>#N/A</v>
      </c>
      <c r="IZ11" s="218" t="e">
        <f t="shared" ca="1" si="58"/>
        <v>#N/A</v>
      </c>
      <c r="JA11" s="216" t="e">
        <f t="shared" ca="1" si="59"/>
        <v>#N/A</v>
      </c>
      <c r="JB11" s="217" t="e">
        <f t="shared" ca="1" si="60"/>
        <v>#N/A</v>
      </c>
      <c r="JC11" s="222" t="e">
        <f ca="1">MAX(Control!$C$157*$EK11-$JT11, 0)/Control!$C$162</f>
        <v>#N/A</v>
      </c>
      <c r="JD11" s="218" t="e">
        <f t="shared" ca="1" si="61"/>
        <v>#N/A</v>
      </c>
      <c r="JE11" s="218" t="e">
        <f t="shared" ca="1" si="62"/>
        <v>#N/A</v>
      </c>
      <c r="JF11" s="218" t="e">
        <f t="shared" ca="1" si="207"/>
        <v>#N/A</v>
      </c>
      <c r="JG11" s="218" t="e">
        <f t="shared" ca="1" si="63"/>
        <v>#N/A</v>
      </c>
      <c r="JH11" s="217" t="e">
        <f t="shared" ca="1" si="166"/>
        <v>#N/A</v>
      </c>
      <c r="JI11" s="217" t="e">
        <f t="shared" ca="1" si="167"/>
        <v>#N/A</v>
      </c>
      <c r="JJ11" s="217" t="e">
        <f t="shared" ca="1" si="224"/>
        <v>#N/A</v>
      </c>
      <c r="JK11" s="217" t="e">
        <f ca="1">IF(Control!$C$114=1,IF(Control!$B$24=0,MAX(0,$JI11)*$GN11/Control!$C$64,(MAX(0,MIN($JI11,$JJ11*$GN11/Control!$C$64),0))))</f>
        <v>#N/A</v>
      </c>
      <c r="JL11" s="217" t="e">
        <f ca="1">$IK11/Control!$C$64-$JK11+$HQ11</f>
        <v>#N/A</v>
      </c>
      <c r="JM11" s="217" t="e">
        <f ca="1">IF(Control!$C$114=1,($JB11/(IF($JI11&lt;&gt;0,$JI11,1)))*$JK11,0)</f>
        <v>#N/A</v>
      </c>
      <c r="JN11" s="217" t="e">
        <f ca="1">IF(Control!$C$114=1,($JG11/(IF($JI11&lt;&gt;0,$JI11,1)))*$JK11, 0)</f>
        <v>#N/A</v>
      </c>
      <c r="JO11" s="218" t="e">
        <f t="shared" ca="1" si="64"/>
        <v>#N/A</v>
      </c>
      <c r="JP11" s="218" t="e">
        <f ca="1">MIN(($IY11+$IO11)*Control!$C$151, $JF11-$EH11*Control!$C$161)</f>
        <v>#N/A</v>
      </c>
      <c r="JQ11" s="218" t="e">
        <f t="shared" ca="1" si="65"/>
        <v>#N/A</v>
      </c>
      <c r="JR11" s="217" t="e">
        <f ca="1">IF($CP11-Control!$C$150&lt;0, 0, $JQ11/Control!$C$162)</f>
        <v>#N/A</v>
      </c>
      <c r="JS11" s="218" t="e">
        <f t="shared" ca="1" si="66"/>
        <v>#N/A</v>
      </c>
      <c r="JT11" s="218" t="e">
        <f t="shared" ca="1" si="168"/>
        <v>#N/A</v>
      </c>
      <c r="JU11" s="218" t="e">
        <f t="shared" ca="1" si="67"/>
        <v>#N/A</v>
      </c>
      <c r="JV11" s="218" t="e">
        <f t="shared" ca="1" si="68"/>
        <v>#N/A</v>
      </c>
      <c r="JW11" s="216" t="e">
        <f t="shared" ca="1" si="69"/>
        <v>#N/A</v>
      </c>
      <c r="JX11" s="91" t="e">
        <f t="shared" ca="1" si="70"/>
        <v>#N/A</v>
      </c>
      <c r="JY11" s="218" t="e">
        <f t="shared" ca="1" si="71"/>
        <v>#N/A</v>
      </c>
      <c r="JZ11" s="217" t="e">
        <f ca="1">IF(Control!$C$114=1,($IZ11/(IF($JI11&lt;&gt;0,$JI11,1)))*$JK11, 0)</f>
        <v>#N/A</v>
      </c>
      <c r="KA11" s="218" t="e">
        <f t="shared" ca="1" si="225"/>
        <v>#N/A</v>
      </c>
      <c r="KB11" s="218" t="e">
        <f t="shared" ca="1" si="169"/>
        <v>#N/A</v>
      </c>
      <c r="KC11" s="218" t="e">
        <f t="shared" ca="1" si="72"/>
        <v>#N/A</v>
      </c>
      <c r="KD11" s="218" t="e">
        <f t="shared" ca="1" si="73"/>
        <v>#N/A</v>
      </c>
      <c r="KE11" s="218" t="e">
        <f t="shared" ca="1" si="74"/>
        <v>#N/A</v>
      </c>
      <c r="KF11" s="218" t="e">
        <f t="shared" ca="1" si="75"/>
        <v>#N/A</v>
      </c>
      <c r="KG11" s="216" t="e">
        <f t="shared" ca="1" si="76"/>
        <v>#N/A</v>
      </c>
      <c r="KH11" s="221" t="e">
        <f ca="1">IF(Control!$B$24=0,1,MAX(0.001,MIN(1,IF(($IF11-$IE11)&lt;&gt;0,($KG11-$IE11)/($IF11-$IE11),1))))</f>
        <v>#N/A</v>
      </c>
      <c r="KI11" s="218" t="e">
        <f ca="1">IF(Control!$C$114=1, $KI10+ $KH10, 0)</f>
        <v>#N/A</v>
      </c>
      <c r="KJ11" s="217" t="e">
        <f t="shared" ca="1" si="77"/>
        <v>#N/A</v>
      </c>
      <c r="KK11" s="218" t="e">
        <f t="shared" ca="1" si="78"/>
        <v>#N/A</v>
      </c>
      <c r="KL11" s="274" t="e">
        <f ca="1">IF(Control!$B$26=3,4000000000*EXP(-8400/($G11+273)),IF(Control!$B$26=4,4000000000*EXP(-8400/($G11+273))*($KT11),0))</f>
        <v>#DIV/0!</v>
      </c>
      <c r="KM11" s="274" t="e">
        <f ca="1">IF(Control!$B$26=3,5600000000000*EXP(-9800/($G11+273)),IF(Control!$B$26=4,5600000000000*EXP(-9800/($G11+273))*$KT11,0))</f>
        <v>#DIV/0!</v>
      </c>
      <c r="KN11" s="454" t="e">
        <f t="shared" ca="1" si="170"/>
        <v>#DIV/0!</v>
      </c>
      <c r="KO11" s="274" t="e">
        <f t="shared" ca="1" si="171"/>
        <v>#DIV/0!</v>
      </c>
      <c r="KP11" s="454" t="e">
        <f t="shared" ca="1" si="79"/>
        <v>#DIV/0!</v>
      </c>
      <c r="KQ11" s="454" t="e">
        <f t="shared" ca="1" si="80"/>
        <v>#DIV/0!</v>
      </c>
      <c r="KR11" s="454" t="e">
        <f t="shared" ca="1" si="81"/>
        <v>#DIV/0!</v>
      </c>
      <c r="KS11" s="454" t="e">
        <f t="shared" ca="1" si="82"/>
        <v>#DIV/0!</v>
      </c>
      <c r="KT11" s="455" t="e">
        <f t="shared" ca="1" si="83"/>
        <v>#DIV/0!</v>
      </c>
      <c r="KU11" s="456" t="e">
        <f ca="1">IF($CP11-Control!$C$149&lt;0, IF($NT11-0.01&lt;0,0,1),0)</f>
        <v>#N/A</v>
      </c>
      <c r="KV11" s="456" t="e">
        <f ca="1">IF(Control!$C$114=1,MAX(0,MIN(Control!$C$125*$KW11*$GN11,$KW11)))</f>
        <v>#DIV/0!</v>
      </c>
      <c r="KW11" s="456" t="e">
        <f t="shared" ca="1" si="208"/>
        <v>#DIV/0!</v>
      </c>
      <c r="KX11" s="457" t="e">
        <f ca="1">IF($CP11-Control!$C$149&lt;0, IF($MR11-$OM11&lt;0,0,1),0)</f>
        <v>#N/A</v>
      </c>
      <c r="KY11" s="167">
        <f t="shared" ca="1" si="172"/>
        <v>6</v>
      </c>
      <c r="KZ11" s="168">
        <f ca="1">1370*(1+0.033*COS(2*Control!$C$138*$AH11/365))</f>
        <v>1414.9690666423917</v>
      </c>
      <c r="LA11" s="169">
        <f t="shared" ca="1" si="173"/>
        <v>1.0328241370570801</v>
      </c>
      <c r="LB11" s="169">
        <f t="shared" ca="1" si="174"/>
        <v>-0.39260706437307313</v>
      </c>
      <c r="LC11" s="169">
        <f ca="1">ACOS(-TAN((2*Control!$B$8/360))*TAN(Calculations!$LB11))</f>
        <v>1.4474099596229233</v>
      </c>
      <c r="LD11" s="169">
        <f ca="1">((24*60)/PI())*0.082*$LA11*(($LC11*SIN(Control!$B$8*2*PI()/360))*SIN($LB11)+COS(Control!$B$8*2*PI()/360)*COS($LB11)*SIN($LC11))</f>
        <v>4.9732871468781772</v>
      </c>
      <c r="LE11" s="170">
        <f t="shared" ca="1" si="84"/>
        <v>6.5740489138410192</v>
      </c>
      <c r="LF11" s="170">
        <f ca="1">SIN(Control!$C$139*Control!$B$8)*SIN($HD11)</f>
        <v>-0.30176949859690394</v>
      </c>
      <c r="LG11" s="170">
        <f ca="1">COS(Control!$C$139*Control!$B$8)*COS($HD11)</f>
        <v>0.56872739379691162</v>
      </c>
      <c r="LH11" s="170">
        <f ca="1">12*(1+2*ASIN(MAX(-1,MIN(1,$LF11/$LG11))/Control!$C$138))</f>
        <v>7.926963804500657</v>
      </c>
      <c r="LI11" s="170">
        <f ca="1">12*(1+2*ASIN(MAX(-1,MIN(1,(-SIN(-4*Control!$C$139)+$LF11)/$LG11))/Control!$C$138))</f>
        <v>8.874666185094469</v>
      </c>
      <c r="LJ11" s="168">
        <f ca="1">3600*($LH11*$LF11+24*$LG11*SQRT(1-$LK11*$LK11)/Control!$C$138)</f>
        <v>4646.0725317767628</v>
      </c>
      <c r="LK11" s="170">
        <f t="shared" ca="1" si="85"/>
        <v>-0.53060482383703078</v>
      </c>
      <c r="LL11" s="170">
        <f t="shared" ca="1" si="86"/>
        <v>0</v>
      </c>
      <c r="LM11" s="171">
        <f ca="1">Control!$C$145*$AB11</f>
        <v>6.6660906138995932E-2</v>
      </c>
      <c r="LN11" s="170">
        <f t="shared" ca="1" si="175"/>
        <v>0.54</v>
      </c>
      <c r="LO11" s="170">
        <f t="shared" ca="1" si="87"/>
        <v>0</v>
      </c>
      <c r="LP11" s="170">
        <f ca="1">Control!$C$140*((($D11+273.16)^4+($E11+273.16)^4)/2)*(0.34-0.14*SQRT($Y11))*(1.35*$AQ11/(0.75*$LD11)-0.35)</f>
        <v>-3.2464704755046001</v>
      </c>
      <c r="LQ11" s="170">
        <f ca="1">Control!$C$140*($G11+273)^4*(0.56-0.079*SQRT($Y11*10))*(0.1+0.9*$LO11)</f>
        <v>1.5241745131704001</v>
      </c>
      <c r="LR11" s="170">
        <f ca="1">$AQ11*(1-Control!$C$142)-$LQ11</f>
        <v>-1.5241745131704001</v>
      </c>
      <c r="LS11" s="170">
        <f ca="1">$AQ11*(1-Control!$C$143)-$LQ11</f>
        <v>-1.5241745131704001</v>
      </c>
      <c r="LT11" s="170">
        <f ca="1">$AQ11*(1-Control!$C$144)-$LQ11</f>
        <v>-1.5241745131704001</v>
      </c>
      <c r="LU11" s="169">
        <f ca="1">(1-Control!$C$144)*AQ11-LP11</f>
        <v>3.2464704755046001</v>
      </c>
      <c r="LV11" s="172">
        <f t="shared" ca="1" si="88"/>
        <v>0.79430000000000012</v>
      </c>
      <c r="LW11" s="170">
        <f t="shared" ca="1" si="89"/>
        <v>1.5886000000000002</v>
      </c>
      <c r="LX11" s="170">
        <f ca="1">($AC11*($LR11/Control!$C$141)+$LM11*$LV11)/($AC11+$LM11)</f>
        <v>0.23530094218323697</v>
      </c>
      <c r="LY11" s="170">
        <f ca="1">($AC11*($LS11/Control!$C$141)+$LM11*$LV11)/($AC11+$LM11)</f>
        <v>0.23530094218323697</v>
      </c>
      <c r="LZ11" s="170">
        <f t="shared" ca="1" si="90"/>
        <v>0.23530094218323697</v>
      </c>
      <c r="MA11" s="170">
        <f t="shared" ca="1" si="91"/>
        <v>0.23530094218323697</v>
      </c>
      <c r="MB11" s="170" t="e">
        <f t="shared" ca="1" si="92"/>
        <v>#N/A</v>
      </c>
      <c r="MC11" s="170">
        <f t="shared" ca="1" si="176"/>
        <v>0.6018</v>
      </c>
      <c r="MD11" s="170">
        <f t="shared" ca="1" si="93"/>
        <v>0.52989392535414004</v>
      </c>
      <c r="ME11" s="170">
        <f ca="1">($AC11*($LT11/Control!$C$141)+$LM11*$LW11)/($AC11+$LM11)</f>
        <v>0.71612369323045078</v>
      </c>
      <c r="MF11" s="170" t="e">
        <f ca="1">IF(Control!$B$16&gt;=1000,0.92,IF(AND(720&lt;=Control!$B$16,1000&gt;Control!$B$16),(0.95+(Control!$B$16-720)*((0.92-0.95)/(1000-720))),IF(AND(360&lt;=Control!$B$16,720&gt;Control!$B$16),(1+(Control!$B$16-360)*((0.95-1)/(720-360))),IF(AND(40&lt;=Control!$B$16,360&gt;Control!$B$16),(1.05+(Control!$B$16-40)*((1.05-1)/(360-40)))))))</f>
        <v>#N/A</v>
      </c>
      <c r="MG11" s="170">
        <f t="shared" ca="1" si="94"/>
        <v>0.71612369323045078</v>
      </c>
      <c r="MH11" s="170" t="e">
        <f t="shared" ca="1" si="95"/>
        <v>#N/A</v>
      </c>
      <c r="MI11" s="170" t="e">
        <f t="shared" ca="1" si="95"/>
        <v>#N/A</v>
      </c>
      <c r="MJ11" s="170" t="e">
        <f ca="1">MAX(0.0001, Control!$C$132*$MI11*$DL11)</f>
        <v>#N/A</v>
      </c>
      <c r="MK11" s="170">
        <f ca="1">1/(0.76+1.5*($MG11/10))-(5-Control!$C$110)*0.1</f>
        <v>1.002845988140797</v>
      </c>
      <c r="ML11" s="173">
        <f ca="1">IF(Control!$C$110&lt;3,$MK11+($MG11-0.6)/(Control!$C$110*(Control!$C$110+3)), MAX(0.1, MIN(0.95,$MK11)))</f>
        <v>0.95</v>
      </c>
      <c r="MM11" s="173">
        <f ca="1">IF(Control!$C$110&lt;3,$MK11+(($MI11/10)-0.6)/(Control!$C$110*(Control!$C$110+3)), MAX(0.1, MIN(0.95,$MK11)))</f>
        <v>0.95</v>
      </c>
      <c r="MN11" s="173">
        <f ca="1">(1-$MM11)*(Control!$C$128-Control!$C$127)+Control!$C$127</f>
        <v>0.16</v>
      </c>
      <c r="MO11" s="170" t="e">
        <f ca="1">MAX(0,MIN(1,($MS11-Control!$C$127)/($MN11-Control!$C$127)))</f>
        <v>#DIV/0!</v>
      </c>
      <c r="MP11" s="173" t="e">
        <f ca="1">1/(0.76+1.5*$MI11)-(5-Control!$C$110)*0.1</f>
        <v>#N/A</v>
      </c>
      <c r="MQ11" s="172" t="e">
        <f t="shared" ca="1" si="209"/>
        <v>#DIV/0!</v>
      </c>
      <c r="MR11" s="168" t="e">
        <f t="shared" ca="1" si="226"/>
        <v>#DIV/0!</v>
      </c>
      <c r="MS11" s="173" t="e">
        <f ca="1">MAX(Control!$C$127, MIN(Control!$C$135, $MR11/MAX(0.0001,$CY11)))</f>
        <v>#DIV/0!</v>
      </c>
      <c r="MT11" s="168" t="e">
        <f ca="1">(Control!$C$128-$MS11)*Control!$C$74</f>
        <v>#DIV/0!</v>
      </c>
      <c r="MU11" s="168" t="e">
        <f ca="1">(Control!$C$135-$MS11)*Control!$C$74</f>
        <v>#DIV/0!</v>
      </c>
      <c r="MV11" s="168" t="e">
        <f t="shared" ca="1" si="210"/>
        <v>#DIV/0!</v>
      </c>
      <c r="MW11" s="168" t="e">
        <f t="shared" ca="1" si="177"/>
        <v>#DIV/0!</v>
      </c>
      <c r="MX11" s="171" t="e">
        <f ca="1">MAX(Control!$C$127, MIN(Control!$C$135, $MW11/MAX(0.0001,Control!$C$119-$CY11)))</f>
        <v>#DIV/0!</v>
      </c>
      <c r="MY11" s="54" t="e">
        <f ca="1">IF(Control!$C$114=1, $CX11*$MX11, 0)</f>
        <v>#DIV/0!</v>
      </c>
      <c r="MZ11" s="54" t="e">
        <f t="shared" ca="1" si="178"/>
        <v>#N/A</v>
      </c>
      <c r="NA11" s="168" t="e">
        <f ca="1">(Control!$C$128-$MX11)*(Control!$C$119-Control!$C$74)</f>
        <v>#DIV/0!</v>
      </c>
      <c r="NB11" s="168" t="e">
        <f ca="1">(Control!$C$135-$MX11)*(Control!$C$119-Control!$C$74)</f>
        <v>#DIV/0!</v>
      </c>
      <c r="NC11" s="174" t="e">
        <f t="shared" ca="1" si="179"/>
        <v>#DIV/0!</v>
      </c>
      <c r="ND11" s="54">
        <f ca="1">IF(Control!$C$58=2, IF(OR(Control!$B$218=$AH11,Control!$B$219=$AH11, Control!$B$220=$AH11, Control!$B$221=$AH11, Control!$B$222=$AH11, Control!$B$223=$AH11, Control!$B$224=$AH11, Control!$B$225=$AH11, Control!$B$226=$AH11, Control!$B$227=$AH11, Control!$B$228=$AH11), 1, 0), 0)</f>
        <v>0</v>
      </c>
      <c r="NE11" s="54">
        <f ca="1">IF($ND11=0,0, VLOOKUP($AH11,Control!$B$218:$C$228,2))</f>
        <v>0</v>
      </c>
      <c r="NF11" s="168" t="e">
        <f ca="1">$CY11*(Control!$C$128-Control!$C$127)</f>
        <v>#N/A</v>
      </c>
      <c r="NG11" s="54" t="e">
        <f ca="1">IF(Control!$C$58=2, $NI10-$NJ10, 0)</f>
        <v>#DIV/0!</v>
      </c>
      <c r="NH11" s="54" t="e">
        <f ca="1">IF(AND(Control!$C$58=1, $MS10&lt;= ($MN10+0.02), $I10&lt;10), 0, IF(Control!$C$58=2, $NG10, 0))</f>
        <v>#DIV/0!</v>
      </c>
      <c r="NI11" s="54" t="e">
        <f ca="1">IF(Control!$C$58=2, $NE11+$NH11,0)</f>
        <v>#DIV/0!</v>
      </c>
      <c r="NJ11" s="54" t="e">
        <f ca="1">IF(AND(Control!$C$58=1, $MS11&lt;= ($MN11+0.02), $I11&lt;10), MAX(0, MIN(10, 0.7*($NF11-$MV11))), IF(Control!$C$58=2, MIN(10,$NI11),0))</f>
        <v>#DIV/0!</v>
      </c>
      <c r="NK11" s="54" t="e">
        <f t="shared" ca="1" si="96"/>
        <v>#DIV/0!</v>
      </c>
      <c r="NL11" s="173" t="e">
        <f ca="1">(1-Control!$C$73)*$I11+$NJ11</f>
        <v>#DIV/0!</v>
      </c>
      <c r="NM11" s="172" t="e">
        <f ca="1">IF($NL11&lt;0.5, $MB11* MAX(0, MIN(1, (SQRT($NC11)-SQRT($NC11-1))*Control!$C$71)),0)</f>
        <v>#DIV/0!</v>
      </c>
      <c r="NN11" s="170" t="e">
        <f ca="1">IF($NL11&gt;=5, $MB11, MAX(0,MIN($MB11, $NM11+$NL11,($MS11-Control!$C$129))))</f>
        <v>#DIV/0!</v>
      </c>
      <c r="NO11" s="54">
        <f>IF(Control!$C$133&lt;&gt;1, Control!$C$135-Control!$C$131, 0)</f>
        <v>0.38</v>
      </c>
      <c r="NP11" s="54" t="e">
        <f t="shared" ca="1" si="97"/>
        <v>#DIV/0!</v>
      </c>
      <c r="NQ11" s="173" t="e">
        <f ca="1">MAX(0,MIN(1,(Control!$C$135-$MS11)/(Control!$C$135-$NO11)))</f>
        <v>#DIV/0!</v>
      </c>
      <c r="NR11" s="170" t="e">
        <f ca="1">IF(Control!$C$133&lt;&gt;1, $NQ11+((1-$NP11/4)*(1-$NQ11)),1)</f>
        <v>#DIV/0!</v>
      </c>
      <c r="NS11" s="170" t="e">
        <f ca="1">IF(Control!$B$31=0,$MJ11,MAX(0,MIN($MV11,$MO11*$NR11*$MJ11)))</f>
        <v>#DIV/0!</v>
      </c>
      <c r="NT11" s="170" t="e">
        <f t="shared" ca="1" si="227"/>
        <v>#DIV/0!</v>
      </c>
      <c r="NU11" s="170" t="e">
        <f t="shared" ca="1" si="180"/>
        <v>#N/A</v>
      </c>
      <c r="NV11" s="170" t="e">
        <f t="shared" ca="1" si="98"/>
        <v>#N/A</v>
      </c>
      <c r="NW11" s="175" t="e">
        <f t="shared" ca="1" si="99"/>
        <v>#DIV/0!</v>
      </c>
      <c r="NX11" s="170" t="e">
        <f ca="1">MIN(Control!$C$72+$MU11, $NW11)</f>
        <v>#DIV/0!</v>
      </c>
      <c r="NY11" s="170" t="e">
        <f ca="1">IF($MT11&lt;=$NX11,MIN(Control!$C$72+$NB11,$NX11-$MT11),0)</f>
        <v>#DIV/0!</v>
      </c>
      <c r="NZ11" s="54" t="e">
        <f ca="1">IF(Control!$C$114=1,  $CX11*($MX11-Control!$C$127), 0)</f>
        <v>#DIV/0!</v>
      </c>
      <c r="OA11" s="170" t="e">
        <f t="shared" ca="1" si="181"/>
        <v>#DIV/0!</v>
      </c>
      <c r="OB11" s="170" t="e">
        <f ca="1">IF($NA11 &lt;=$NY11, MIN(Control!$C$72, $NY11-$NA11), 0)</f>
        <v>#DIV/0!</v>
      </c>
      <c r="OC11" s="168" t="e">
        <f t="shared" ca="1" si="100"/>
        <v>#DIV/0!</v>
      </c>
      <c r="OD11" s="168" t="e">
        <f t="shared" ca="1" si="182"/>
        <v>#DIV/0!</v>
      </c>
      <c r="OE11" s="170">
        <f ca="1">Control!$C$73*$I11</f>
        <v>0</v>
      </c>
      <c r="OF11" s="176" t="e">
        <f t="shared" ca="1" si="101"/>
        <v>#DIV/0!</v>
      </c>
      <c r="OG11" s="168" t="e">
        <f t="shared" ca="1" si="102"/>
        <v>#DIV/0!</v>
      </c>
      <c r="OH11" s="168" t="e">
        <f t="shared" ca="1" si="103"/>
        <v>#DIV/0!</v>
      </c>
      <c r="OI11" s="168" t="e">
        <f t="shared" ca="1" si="104"/>
        <v>#DIV/0!</v>
      </c>
      <c r="OJ11" s="168" t="e">
        <f t="shared" ca="1" si="105"/>
        <v>#DIV/0!</v>
      </c>
      <c r="OK11" s="204" t="e">
        <f t="shared" ca="1" si="183"/>
        <v>#DIV/0!</v>
      </c>
      <c r="OL11" s="177">
        <f>Control!$C$127</f>
        <v>0.15</v>
      </c>
      <c r="OM11" s="182" t="e">
        <f t="shared" ca="1" si="106"/>
        <v>#N/A</v>
      </c>
      <c r="ON11" s="177">
        <f>Control!$C$128</f>
        <v>0.35</v>
      </c>
      <c r="OO11" s="182" t="e">
        <f t="shared" ca="1" si="107"/>
        <v>#N/A</v>
      </c>
      <c r="OP11" s="138">
        <f t="shared" ca="1" si="184"/>
        <v>0</v>
      </c>
      <c r="OQ11" s="138" t="e">
        <f t="shared" ca="1" si="211"/>
        <v>#DIV/0!</v>
      </c>
      <c r="OR11" s="138" t="e">
        <f t="shared" ca="1" si="185"/>
        <v>#DIV/0!</v>
      </c>
      <c r="OS11" s="137" t="e">
        <f t="shared" ca="1" si="212"/>
        <v>#DIV/0!</v>
      </c>
      <c r="OT11" s="139" t="e">
        <f t="shared" ca="1" si="213"/>
        <v>#DIV/0!</v>
      </c>
      <c r="OU11" s="138" t="e">
        <f t="shared" ca="1" si="214"/>
        <v>#N/A</v>
      </c>
      <c r="OV11" s="138" t="e">
        <f t="shared" ca="1" si="215"/>
        <v>#DIV/0!</v>
      </c>
      <c r="OW11" s="138" t="e">
        <f t="shared" ca="1" si="186"/>
        <v>#DIV/0!</v>
      </c>
      <c r="OX11" s="138" t="e">
        <f t="shared" ca="1" si="187"/>
        <v>#DIV/0!</v>
      </c>
      <c r="OY11" s="138" t="e">
        <f t="shared" ca="1" si="188"/>
        <v>#DIV/0!</v>
      </c>
      <c r="OZ11" s="138" t="e">
        <f t="shared" ca="1" si="108"/>
        <v>#DIV/0!</v>
      </c>
      <c r="PA11" s="138" t="e">
        <f t="shared" ca="1" si="109"/>
        <v>#DIV/0!</v>
      </c>
      <c r="PB11" s="55">
        <f>IF(Control!$C$61="T", IF(Control!$C$65="F", IF($AH$6-Control!$C$60&lt;0,0,1), IF(365+$AH$6-Control!$C$60&lt;0,0,1)),0)</f>
        <v>0</v>
      </c>
      <c r="PC11" s="55">
        <f ca="1">IF(Control!$C$65="F", IF($AH$6-$HF11&lt;0,0,1), IF(365+$AH$6-$HF11&lt;0,0,1))</f>
        <v>1</v>
      </c>
      <c r="PD11" s="444">
        <f>Control!$C$118</f>
        <v>1500</v>
      </c>
      <c r="PE11" s="180" t="e">
        <f t="shared" ca="1" si="110"/>
        <v>#N/A</v>
      </c>
      <c r="PF11" s="445">
        <f t="shared" ca="1" si="189"/>
        <v>0.71612369323045078</v>
      </c>
      <c r="PT11" s="186"/>
      <c r="PU11" s="186"/>
      <c r="PV11" s="94"/>
      <c r="PW11" s="94"/>
      <c r="PX11" s="94"/>
      <c r="PY11" s="94"/>
      <c r="PZ11" s="94"/>
      <c r="QA11" s="94"/>
      <c r="QB11" s="94"/>
      <c r="QC11" s="94"/>
      <c r="QD11" s="94"/>
      <c r="QE11" s="94"/>
      <c r="QF11" s="94"/>
      <c r="QG11" s="94"/>
      <c r="QH11" s="94"/>
      <c r="QI11" s="94"/>
      <c r="QJ11" s="94"/>
      <c r="QK11" s="94"/>
      <c r="QL11" s="94"/>
      <c r="QM11" s="94"/>
      <c r="QN11" s="94"/>
      <c r="QO11" s="94"/>
      <c r="QP11" s="94"/>
    </row>
    <row r="12" spans="1:458" s="2" customFormat="1" x14ac:dyDescent="0.2">
      <c r="A12" s="386">
        <v>7</v>
      </c>
      <c r="B12" s="387">
        <v>1</v>
      </c>
      <c r="C12" s="387">
        <f ca="1">Weather_data!$B11</f>
        <v>0</v>
      </c>
      <c r="D12" s="388">
        <f ca="1">Weather_data!$F11</f>
        <v>0</v>
      </c>
      <c r="E12" s="388">
        <f ca="1">Weather_data!$E11</f>
        <v>0</v>
      </c>
      <c r="F12" s="388">
        <f t="shared" ca="1" si="111"/>
        <v>0</v>
      </c>
      <c r="G12" s="388">
        <f ca="1">AVERAGE($D12:$E12)+Control!$B$9</f>
        <v>0</v>
      </c>
      <c r="H12" s="388">
        <f ca="1">Weather_data!$G11</f>
        <v>0</v>
      </c>
      <c r="I12" s="388">
        <f ca="1">Weather_data!$I11</f>
        <v>0</v>
      </c>
      <c r="J12" s="388">
        <f ca="1">Weather_data!$H11</f>
        <v>0</v>
      </c>
      <c r="K12" s="389">
        <f ca="1">Weather_data!$D11</f>
        <v>0</v>
      </c>
      <c r="L12" s="388" t="e">
        <f t="shared" ca="1" si="112"/>
        <v>#N/A</v>
      </c>
      <c r="M12" s="388" t="e">
        <f t="shared" ca="1" si="0"/>
        <v>#N/A</v>
      </c>
      <c r="N12" s="388">
        <f t="shared" ca="1" si="1"/>
        <v>-0.26572049999999997</v>
      </c>
      <c r="O12" s="388">
        <f t="shared" ca="1" si="113"/>
        <v>2.6572049999999998</v>
      </c>
      <c r="P12" s="390">
        <v>3</v>
      </c>
      <c r="Q12" s="388">
        <f ca="1">MAX($G12-Control!$C$107,0)</f>
        <v>0</v>
      </c>
      <c r="R12" s="388">
        <f t="shared" ca="1" si="114"/>
        <v>0</v>
      </c>
      <c r="S12" s="388">
        <f t="shared" ca="1" si="2"/>
        <v>0</v>
      </c>
      <c r="T12" s="388">
        <f t="shared" ca="1" si="3"/>
        <v>0</v>
      </c>
      <c r="U12" s="59">
        <f t="shared" ca="1" si="4"/>
        <v>0</v>
      </c>
      <c r="V12" s="391">
        <f ca="1">MAX(0,MIN(Control!$C$100-Control!$C$99,$G12-Control!$C$99)*Control!$C$63)</f>
        <v>0</v>
      </c>
      <c r="W12" s="388">
        <f t="shared" ca="1" si="190"/>
        <v>0</v>
      </c>
      <c r="X12" s="388">
        <f t="shared" ca="1" si="115"/>
        <v>0.6110000000000001</v>
      </c>
      <c r="Y12" s="388">
        <f t="shared" ca="1" si="116"/>
        <v>0</v>
      </c>
      <c r="Z12" s="388">
        <f t="shared" ca="1" si="117"/>
        <v>0.61058800000000002</v>
      </c>
      <c r="AA12" s="388">
        <f t="shared" ca="1" si="5"/>
        <v>0.6018</v>
      </c>
      <c r="AB12" s="388">
        <f ca="1">101.3*EXP(-0.034*Control!$C$66/($G12+273))</f>
        <v>100.69623283836242</v>
      </c>
      <c r="AC12" s="392">
        <f t="shared" ca="1" si="6"/>
        <v>4.3460251046025113E-2</v>
      </c>
      <c r="AD12" s="392">
        <f t="shared" ca="1" si="7"/>
        <v>4.4450382862832649E-2</v>
      </c>
      <c r="AE12" s="388">
        <f t="shared" ca="1" si="8"/>
        <v>0</v>
      </c>
      <c r="AF12" s="388">
        <f ca="1">MAX(0,$G12-Control!$C$92)</f>
        <v>0</v>
      </c>
      <c r="AG12" s="393">
        <f t="shared" ca="1" si="118"/>
        <v>7</v>
      </c>
      <c r="AH12" s="389">
        <f t="shared" ca="1" si="9"/>
        <v>7</v>
      </c>
      <c r="AI12" s="388">
        <f t="shared" ca="1" si="119"/>
        <v>-0.39091081931188265</v>
      </c>
      <c r="AJ12" s="388">
        <f ca="1">IF(Control!$C$60&lt;=0,$HH12,$HI12)</f>
        <v>1</v>
      </c>
      <c r="AK12" s="388">
        <f t="shared" ca="1" si="10"/>
        <v>-1.2566370614359172</v>
      </c>
      <c r="AL12" s="388">
        <f t="shared" ca="1" si="11"/>
        <v>1.6456194046332584E-18</v>
      </c>
      <c r="AM12" s="388">
        <f t="shared" ca="1" si="12"/>
        <v>-1.2566370614359172</v>
      </c>
      <c r="AN12" s="388">
        <f t="shared" ca="1" si="13"/>
        <v>-0.38799183760414879</v>
      </c>
      <c r="AO12" s="388">
        <f ca="1">-0.10453/COS(Control!$B$8*PI()/180)*COS(AN12)</f>
        <v>-0.15716486978780345</v>
      </c>
      <c r="AP12" s="388">
        <f ca="1">ACOS(AO12-TAN(Control!$B$8*PI()/180)*TAN(AN12))</f>
        <v>1.1961329543221608</v>
      </c>
      <c r="AQ12" s="388">
        <f t="shared" ca="1" si="120"/>
        <v>0</v>
      </c>
      <c r="AR12" s="394">
        <f t="shared" ca="1" si="14"/>
        <v>0</v>
      </c>
      <c r="AS12" s="436">
        <f ca="1">IF(Control!$B$18=2,(IF(OR($AH12=Control!$B$175,$AH12=Control!$B$176,$AH12=Control!$B$177,$AH12=Control!$B$178,$AH12=Control!$B$179,$AH12=Control!$B$180,$AH12=Control!$B$181,$AH12=Control!$B$182,$AH12=Control!$B$183,$AH12=Control!$B$184,$AH12=Control!$B$185),1,0)),0)</f>
        <v>0</v>
      </c>
      <c r="AT12" s="436">
        <f>IF(Control!$B$20=8,IF(AND($AH12&gt;=Control!$B$172,$AH12&lt;=Control!$B$173),1,0),0)</f>
        <v>0</v>
      </c>
      <c r="AU12" s="436">
        <f>IF(Control!$B$20=8,IF($AV11=1,1*$AT12,IF($AT12=1,$AU11+1,$AU11)),0)</f>
        <v>0</v>
      </c>
      <c r="AV12" s="436">
        <f>IF(Control!$B$20=8,IF($AU12&gt;=Control!$B$174,1,0),0)</f>
        <v>0</v>
      </c>
      <c r="AW12" s="436">
        <f ca="1">IF(AND(Control!$B$18=2,Control!$B$171=1), $AV12, $AS12)</f>
        <v>0</v>
      </c>
      <c r="AX12" s="436" t="e">
        <f ca="1">IF(AND(Control!$B$18=1,$EU12&gt;=Control!$B$19),-$AY12,IF(AND(Control!$B$18=2,$AW12=1,$EU12&gt;$DS12),-$AY12, IF(Control!$C$108=0,0, IF(Control!$C$108&lt;&gt;0,1))))</f>
        <v>#N/A</v>
      </c>
      <c r="AY12" s="436" t="e">
        <f t="shared" ca="1" si="121"/>
        <v>#N/A</v>
      </c>
      <c r="AZ12" s="436" t="e">
        <f ca="1">IF(AND(Control!$B$18=1,$EB12&gt;Control!$B$19),$AZ11+1, IF(AND(Control!$B$18=2, $AW12=1, $EB12&gt;$DS12), $AZ11+1,$AZ11))</f>
        <v>#N/A</v>
      </c>
      <c r="BA12" s="587">
        <f>IF(Control!$C$81=0,1,IF($AH12&gt;=Control!$C$82,1,0))</f>
        <v>1</v>
      </c>
      <c r="BB12" s="140" t="e">
        <f ca="1">IF($BA12&gt;$BA11,Control!$C$83,IF($AW12&gt;0,$AW12*Control!$C$84,IF(AND(Control!$B$18=1,EN11&lt;&gt;0),Control!$C$84,0)))</f>
        <v>#N/A</v>
      </c>
      <c r="BC12" s="140" t="e">
        <f t="shared" ca="1" si="122"/>
        <v>#N/A</v>
      </c>
      <c r="BD12" s="140" t="e">
        <f ca="1">BC12*IF(OR($G12&lt;Control!$C$92,$G12&gt;Control!$C$95),0,IF(AND($G12&gt;=Control!$C$92,$G12&lt;=Control!$C$93),$G12-Control!$C$92,IF(AND($G12&gt;Control!$C$93,$G12&lt;=Control!$C$94),Control!$C$93-Control!$C$92,IF(AND($G12&gt;Control!$C$94,$G12&lt;=Control!$C$95),(Control!$C$93-Control!$C$92)*(Control!$C$94-$G12)/(Control!$C$95-Control!$C$94)))))</f>
        <v>#N/A</v>
      </c>
      <c r="BE12" s="140" t="e">
        <f t="shared" ca="1" si="123"/>
        <v>#N/A</v>
      </c>
      <c r="BF12" s="140" t="e">
        <f ca="1">IF($BE12&lt;=Control!$C$86,$BE12,Control!$C$86-$BE12)</f>
        <v>#N/A</v>
      </c>
      <c r="BG12" s="140" t="e">
        <f ca="1">IF(AND($AW12=1,Control!$C$84&lt;9),1,IF($BE12&gt;=Control!$C$86,0,$BC12))</f>
        <v>#N/A</v>
      </c>
      <c r="BH12" s="404" t="e">
        <f ca="1">IF($BG12=0,0,IF($BE12&lt;=Control!$C$86,$BC12*9*($BF12/Control!$C$86),0))</f>
        <v>#N/A</v>
      </c>
      <c r="BI12" s="140" t="e">
        <f ca="1">IF($BG12=1,0,IF($BE12&gt;=Control!$C$86,1,IF(AND($BB12&lt;21,$BB12&gt;=9),1,$BM11)))</f>
        <v>#N/A</v>
      </c>
      <c r="BJ12" s="140" t="e">
        <f ca="1">IF($BF12&lt;0,-$BF12,$BI12*IF(OR($G12&lt;Control!$C$92,$G12&gt;Control!$C$95),0,IF(AND($G12&gt;=Control!$C$92,$G12&lt;=Control!$C$93),$G12-Control!$C$92,IF(AND($G12&gt;Control!$C$93,$G12&lt;=Control!$C$94),Control!$C$93-Control!$C$92,IF(AND($G12&gt;Control!$C$94,$G12&lt;=Control!$C$95),(Control!$C$93-Control!$C$92)*(Control!$C$94-$G12)/(Control!$C$95-Control!$C$94))))))</f>
        <v>#N/A</v>
      </c>
      <c r="BK12" s="140" t="e">
        <f t="shared" ca="1" si="124"/>
        <v>#N/A</v>
      </c>
      <c r="BL12" s="140" t="e">
        <f ca="1">IF($BK12&lt;=Control!$C$87,$BK12,Control!$C$87-$BK12)</f>
        <v>#N/A</v>
      </c>
      <c r="BM12" s="140" t="e">
        <f ca="1">IF(AND($BB12&gt;=9,$BB12&lt;21),1,IF($BK12&gt;=Control!$C$87,0,$BI12))</f>
        <v>#N/A</v>
      </c>
      <c r="BN12" s="404" t="e">
        <f ca="1">IF($BM12=0,0,IF($BK12&lt;=Control!$C$87,$BI12*(9+(21-9)*($BL12/Control!$C$87)),0))</f>
        <v>#N/A</v>
      </c>
      <c r="BO12" s="140" t="e">
        <f ca="1">IF($BM12=1,0,IF($BK12&gt;=Control!$C$87,1,IF(AND($BB12&lt;30,$BB12&gt;=21),1,$BS11)))</f>
        <v>#N/A</v>
      </c>
      <c r="BP12" s="140" t="e">
        <f ca="1">IF($BL12&lt;0,-$BL12,$BO12*IF(OR($G12&lt;Control!$C$92,$G12&gt;Control!$C$95),0,IF(AND($G12&gt;=Control!$C$92,$G12&lt;=Control!$C$93),$G12-Control!$C$92,IF(AND($G12&gt;Control!$C$93,$G12&lt;=Control!$C$94),Control!$C$93-Control!$C$92,IF(AND($G12&gt;Control!$C$94,$G12&lt;=Control!$C$95),(Control!$C$93-Control!$C$92)*(Control!$C$94-$G12)/(Control!$C$95-Control!$C$94))))))</f>
        <v>#N/A</v>
      </c>
      <c r="BQ12" s="140" t="e">
        <f t="shared" ca="1" si="15"/>
        <v>#N/A</v>
      </c>
      <c r="BR12" s="140" t="e">
        <f ca="1">IF($BQ12&lt;=Control!$C$88,$BQ12,Control!$C$88-$BQ12)</f>
        <v>#N/A</v>
      </c>
      <c r="BS12" s="140" t="e">
        <f ca="1">IF(AND($BB12&gt;=21,$BB12&lt;30),1,IF($BQ12&gt;=Control!$C$88,0,$BO12))</f>
        <v>#N/A</v>
      </c>
      <c r="BT12" s="404" t="e">
        <f ca="1">IF($BS12=0,0,IF($BQ12&lt;=Control!$C$88,$BO12*(21+(30-21)*(BR12/Control!$C$88)),0))</f>
        <v>#N/A</v>
      </c>
      <c r="BU12" s="140" t="e">
        <f ca="1">IF(BG12+BM12+BS12=1,0,IF(OR(AND($BB12&lt;60,$BB12&gt;=30),$BQ12&gt;=Control!$C$88),1*$BA12,$BY11))</f>
        <v>#N/A</v>
      </c>
      <c r="BV12" s="140" t="e">
        <f ca="1">IF($BR12&lt;0,-$BR12,$BU12*IF(OR($G12&lt;Control!$C$92,$G12&gt;Control!$C$95),0,IF(AND($G12&gt;=Control!$C$92,$G12&lt;=Control!$C$93),$G12-Control!$C$92,IF(AND($G12&gt;Control!$C$93,$G12&lt;=Control!$C$94),Control!$C$93-Control!$C$92,IF(AND($G12&gt;Control!$C$94,$G12&lt;=Control!$C$95),(Control!$C$93-Control!$C$92)*(Control!$C$94-$G12)/(Control!$C$95-Control!$C$94))))))</f>
        <v>#N/A</v>
      </c>
      <c r="BW12" s="140" t="e">
        <f t="shared" ca="1" si="16"/>
        <v>#N/A</v>
      </c>
      <c r="BX12" s="140" t="e">
        <f ca="1">IF($BW12&lt;=Control!$C$89,$BW12,Control!$C$89-$BW12)</f>
        <v>#N/A</v>
      </c>
      <c r="BY12" s="140" t="e">
        <f ca="1">IF(AND($AJ12&gt;=30,$AJ12&lt;60),1,IF($BW12&gt;=Control!$C$89,0,$BU12))</f>
        <v>#N/A</v>
      </c>
      <c r="BZ12" s="404" t="e">
        <f ca="1">IF($BY12=0,0,IF($BW12&lt;=Control!$C$89,$BU12*(30+(60-30)*(BX12/Control!$C$89)),0))</f>
        <v>#N/A</v>
      </c>
      <c r="CA12" s="140" t="e">
        <f ca="1">IF($BG12+$BM12+$BS12+$BY12=1,0,IF(OR(AND($BB12&lt;65,$BB12&gt;=60),$BW12&gt;=Control!$C$89),1*$BA12,$CE11))</f>
        <v>#N/A</v>
      </c>
      <c r="CB12" s="140" t="e">
        <f ca="1">IF($BX12&lt;0,-$BX12,$CA12*IF(OR($G12&lt;Control!$C$92,$G12&gt;Control!$C$95),0,IF(AND($G12&gt;=Control!$C$92,$G12&lt;=Control!$C$93),$G12-Control!$C$92,IF(AND($G12&gt;Control!$C$93,$G12&lt;=Control!$C$94),Control!$C$93-Control!$C$92,IF(AND($G12&gt;Control!$C$94,$G12&lt;=Control!$C$95),(Control!$C$93-Control!$C$92)*(Control!$C$94-$G12)/(Control!$C$95-Control!$C$94))))))</f>
        <v>#N/A</v>
      </c>
      <c r="CC12" s="140" t="e">
        <f t="shared" ca="1" si="125"/>
        <v>#N/A</v>
      </c>
      <c r="CD12" s="140" t="e">
        <f ca="1">IF($CC12&lt;=Control!$C$90,$CC12,Control!$C$90-$CC12)</f>
        <v>#N/A</v>
      </c>
      <c r="CE12" s="140" t="e">
        <f ca="1">IF(AND($BB12&gt;=60,$BB12&lt;65),1,IF($CC12&gt;=Control!$C$90,0,$CA12))</f>
        <v>#N/A</v>
      </c>
      <c r="CF12" s="404" t="e">
        <f ca="1">IF($CE12=0,0,IF($CC12&lt;=Control!$C$90,$CA12*(60+(65-60)*(CD12/Control!$C$90)),0))</f>
        <v>#N/A</v>
      </c>
      <c r="CG12" s="140" t="e">
        <f ca="1">IF($BG12+$BM12+$BS12+$BY12+$CE12=1,0,IF(OR(AND($BB12&lt;90,$BB12&gt;=65),$CC12&gt;=Control!$C$90),$BA12,$CK11))</f>
        <v>#N/A</v>
      </c>
      <c r="CH12" s="140" t="e">
        <f ca="1">IF($CD12&lt;0,-$CD12,$CG12*IF(OR($G12&lt;Control!$C$92,$G12&gt;Control!$C$95),0,IF(AND($G12&gt;=Control!$C$92,$G12&lt;=Control!$C$93),$G12-Control!$C$92,IF(AND($G12&gt;Control!$C$93,$G12&lt;=Control!$C$94),Control!$C$93-Control!$C$92,IF(AND($G12&gt;Control!$C$94,$G12&lt;=Control!$C$95),(Control!$C$93-Control!$C$92)*(Control!$C$94-$G12)/(Control!$C$95-Control!$C$94))))))</f>
        <v>#N/A</v>
      </c>
      <c r="CI12" s="140" t="e">
        <f t="shared" ca="1" si="126"/>
        <v>#N/A</v>
      </c>
      <c r="CJ12" s="140" t="e">
        <f ca="1">IF($CI12&lt;=Control!$C$91,$CI12,Control!$C$91-$CI12)</f>
        <v>#N/A</v>
      </c>
      <c r="CK12" s="140" t="e">
        <f ca="1">IF(AND($BB12&gt;=65,$BB12&lt;90),1,IF($CI12&gt;=Control!$C$91,0,$CG12))</f>
        <v>#N/A</v>
      </c>
      <c r="CL12" s="404" t="e">
        <f ca="1">IF($CK12=0,0,IF($CI12&lt;=Control!$C$91,$CG12*(65+(90-65)*($CJ12/Control!$C$91)),0))</f>
        <v>#N/A</v>
      </c>
      <c r="CM12" s="140" t="e">
        <f ca="1">IF($BG12+$BM12+$BS12+$BY12+$CE12+$CK12=1,0,IF(OR($BB12&gt;=90,$CI12&gt;=Control!$C$91),$BA12,$CM11))</f>
        <v>#N/A</v>
      </c>
      <c r="CN12" s="140" t="e">
        <f t="shared" ca="1" si="127"/>
        <v>#N/A</v>
      </c>
      <c r="CO12" s="140" t="e">
        <f t="shared" ca="1" si="128"/>
        <v>#N/A</v>
      </c>
      <c r="CP12" s="140" t="e">
        <f t="shared" ca="1" si="129"/>
        <v>#N/A</v>
      </c>
      <c r="CQ12" s="141" t="e">
        <f ca="1">VLOOKUP($CP12,Control!$B$86:$G$91,6)</f>
        <v>#N/A</v>
      </c>
      <c r="CR12" s="141" t="e">
        <f ca="1">(1-$CQ12)*VLOOKUP($CP12,Control!$B$86:$D$91,3)</f>
        <v>#N/A</v>
      </c>
      <c r="CS12" s="141" t="e">
        <f ca="1">(1-$CQ12)*VLOOKUP($CP12,Control!$B$86:$E$91,4)</f>
        <v>#N/A</v>
      </c>
      <c r="CT12" s="141" t="e">
        <f ca="1">(1-$CQ12)*VLOOKUP($CP12,Control!$B$86:$F$91,5)</f>
        <v>#N/A</v>
      </c>
      <c r="CU12" s="141">
        <f t="shared" ca="1" si="130"/>
        <v>0</v>
      </c>
      <c r="CV12" s="583">
        <f t="shared" ca="1" si="131"/>
        <v>0</v>
      </c>
      <c r="CW12" s="142">
        <f t="shared" ca="1" si="132"/>
        <v>7</v>
      </c>
      <c r="CX12" s="612" t="e">
        <f ca="1">IF(Control!$C$114=1,(MIN(Control!$C$120*(IF($NT12-0.01&lt;0,0,1)),Control!$C$119-$CY12)))</f>
        <v>#DIV/0!</v>
      </c>
      <c r="CY12" s="143" t="e">
        <f t="shared" ca="1" si="133"/>
        <v>#N/A</v>
      </c>
      <c r="CZ12" s="144">
        <f t="shared" ca="1" si="17"/>
        <v>0</v>
      </c>
      <c r="DA12" s="144">
        <f t="shared" ca="1" si="18"/>
        <v>0</v>
      </c>
      <c r="DB12" s="144" t="e">
        <f t="shared" ca="1" si="19"/>
        <v>#N/A</v>
      </c>
      <c r="DC12" s="144" t="e">
        <f t="shared" ca="1" si="20"/>
        <v>#N/A</v>
      </c>
      <c r="DD12" s="144" t="e">
        <f t="shared" ca="1" si="216"/>
        <v>#N/A</v>
      </c>
      <c r="DE12" s="143" t="e">
        <f t="shared" ca="1" si="135"/>
        <v>#N/A</v>
      </c>
      <c r="DF12" s="145" t="e">
        <f ca="1">$DR12*EXP(-Control!$C$158*(1-$KH12))</f>
        <v>#N/A</v>
      </c>
      <c r="DG12" s="146" t="e">
        <f ca="1">IF(Control!$C$114=1, $DF12*$EY12, 0)</f>
        <v>#N/A</v>
      </c>
      <c r="DH12" s="147" t="e">
        <f t="shared" ca="1" si="136"/>
        <v>#N/A</v>
      </c>
      <c r="DI12" s="144" t="e">
        <f t="shared" ca="1" si="191"/>
        <v>#N/A</v>
      </c>
      <c r="DJ12" s="147" t="e">
        <f ca="1">$EF12*Control!$C$109</f>
        <v>#N/A</v>
      </c>
      <c r="DK12" s="144" t="e">
        <f t="shared" ca="1" si="137"/>
        <v>#N/A</v>
      </c>
      <c r="DL12" s="144" t="e">
        <f t="shared" ca="1" si="21"/>
        <v>#N/A</v>
      </c>
      <c r="DM12" s="144" t="e">
        <f ca="1">IF(Control!$C$114=1, (1-EXP(-Control!$C$96*$DK12))*$AR12, 0)</f>
        <v>#N/A</v>
      </c>
      <c r="DN12" s="144">
        <f t="shared" ca="1" si="138"/>
        <v>0</v>
      </c>
      <c r="DO12" s="148">
        <f>Control!$C$97</f>
        <v>4</v>
      </c>
      <c r="DP12" s="145" t="e">
        <f t="shared" ca="1" si="139"/>
        <v>#N/A</v>
      </c>
      <c r="DQ12" s="145" t="e">
        <f ca="1">IF(AND($CP12&gt;=0,$CP12&lt;=90),Control!$C$111,Control!$C$111)</f>
        <v>#N/A</v>
      </c>
      <c r="DR12" s="145" t="e">
        <f t="shared" ca="1" si="22"/>
        <v>#N/A</v>
      </c>
      <c r="DS12" s="143" t="e">
        <f ca="1">Control!$B$22/$DR12</f>
        <v>#N/A</v>
      </c>
      <c r="DT12" s="149" t="e">
        <f ca="1">IF(AND(Control!$C$114=1,$KH12&lt;1),$IM12*$DF12, 0)</f>
        <v>#N/A</v>
      </c>
      <c r="DU12" s="144" t="e">
        <f t="shared" ca="1" si="192"/>
        <v>#N/A</v>
      </c>
      <c r="DV12" s="144">
        <f ca="1">IF($G12-Control!$C$107&lt;=0, 0, 0.83*LN(MAX($G12, 3))-0.8924)</f>
        <v>0</v>
      </c>
      <c r="DW12" s="144" t="e">
        <f t="shared" ca="1" si="23"/>
        <v>#N/A</v>
      </c>
      <c r="DX12" s="150" t="e">
        <f ca="1">MAX(0.01*(1+$CU12/Control!$C$102),0.05*($DK12-Control!$C$97)/Control!$C$97)</f>
        <v>#N/A</v>
      </c>
      <c r="DY12" s="151" t="e">
        <f ca="1">IF(Control!$C$114=1, $DI12*$FS12, 0)</f>
        <v>#N/A</v>
      </c>
      <c r="DZ12" s="196" t="e">
        <f t="shared" ca="1" si="140"/>
        <v>#N/A</v>
      </c>
      <c r="EA12" s="152">
        <f t="shared" ca="1" si="141"/>
        <v>7</v>
      </c>
      <c r="EB12" s="153" t="e">
        <f t="shared" ca="1" si="217"/>
        <v>#N/A</v>
      </c>
      <c r="EC12" s="153" t="e">
        <f t="shared" ca="1" si="142"/>
        <v>#N/A</v>
      </c>
      <c r="ED12" s="154" t="e">
        <f ca="1">IF(Control!$C$114=1, $HM12*$FY12-$FD12, 0)</f>
        <v>#DIV/0!</v>
      </c>
      <c r="EE12" s="155" t="e">
        <f ca="1">IF(Control!$C$114=1, $HM12*$FZ12-$FF12, 0)</f>
        <v>#DIV/0!</v>
      </c>
      <c r="EF12" s="153" t="e">
        <f t="shared" ca="1" si="193"/>
        <v>#N/A</v>
      </c>
      <c r="EG12" s="155" t="e">
        <f ca="1">IF(Control!$C$114=1, $GX12*$FW12-$FI12, 0)</f>
        <v>#DIV/0!</v>
      </c>
      <c r="EH12" s="153" t="e">
        <f t="shared" ca="1" si="143"/>
        <v>#N/A</v>
      </c>
      <c r="EI12" s="156" t="e">
        <f t="shared" ca="1" si="144"/>
        <v>#N/A</v>
      </c>
      <c r="EJ12" s="155" t="e">
        <f ca="1">IF(Control!$C$114=1, $HM12*$GB12, 0)</f>
        <v>#DIV/0!</v>
      </c>
      <c r="EK12" s="153" t="e">
        <f t="shared" ca="1" si="194"/>
        <v>#N/A</v>
      </c>
      <c r="EL12" s="153" t="e">
        <f t="shared" ca="1" si="24"/>
        <v>#N/A</v>
      </c>
      <c r="EM12" s="153" t="e">
        <f t="shared" ca="1" si="25"/>
        <v>#N/A</v>
      </c>
      <c r="EN12" s="153" t="e">
        <f ca="1">IF(Control!$C$108=1,IF(AND(Control!$B$18=1,$EB12&gt;=Control!$B$19),$EB12-$DS12,IF(AND(Control!$B$18=2,$AW12=1,$EB12&gt;$DS12),$EB12-$DS12,0)))</f>
        <v>#N/A</v>
      </c>
      <c r="EO12" s="153" t="e">
        <f ca="1">IF(Control!$C$108=1,IF(AND(Control!$B$18=1,$EB12&gt;=Control!$B$19),$EF12,IF(AND(Control!$B$18=2,$AW12=1),$EF12,0)))</f>
        <v>#N/A</v>
      </c>
      <c r="EP12" s="153" t="e">
        <f ca="1">IF(Control!$C$108=1,IF(AND(Control!$B$18=1,$EB12&gt;=Control!$B$19),$EK12,IF(AND(Control!$B$18=2,$AW12=1),$EK12,0)))</f>
        <v>#N/A</v>
      </c>
      <c r="EQ12" s="153" t="e">
        <f t="shared" ca="1" si="145"/>
        <v>#N/A</v>
      </c>
      <c r="ER12" s="153" t="e">
        <f t="shared" ca="1" si="195"/>
        <v>#N/A</v>
      </c>
      <c r="ES12" s="153" t="e">
        <f t="shared" ca="1" si="196"/>
        <v>#N/A</v>
      </c>
      <c r="ET12" s="153" t="e">
        <f t="shared" ca="1" si="197"/>
        <v>#N/A</v>
      </c>
      <c r="EU12" s="153" t="e">
        <f t="shared" ca="1" si="198"/>
        <v>#N/A</v>
      </c>
      <c r="EV12" s="153" t="e">
        <f t="shared" ca="1" si="146"/>
        <v>#N/A</v>
      </c>
      <c r="EW12" s="153" t="e">
        <f t="shared" ca="1" si="218"/>
        <v>#N/A</v>
      </c>
      <c r="EX12" s="153" t="e">
        <f t="shared" ca="1" si="26"/>
        <v>#N/A</v>
      </c>
      <c r="EY12" s="157" t="e">
        <f t="shared" ca="1" si="147"/>
        <v>#DIV/0!</v>
      </c>
      <c r="EZ12" s="154" t="e">
        <f t="shared" ca="1" si="27"/>
        <v>#DIV/0!</v>
      </c>
      <c r="FA12" s="153" t="e">
        <f t="shared" ca="1" si="199"/>
        <v>#N/A</v>
      </c>
      <c r="FB12" s="153" t="e">
        <f t="shared" ca="1" si="28"/>
        <v>#N/A</v>
      </c>
      <c r="FC12" s="193" t="e">
        <f t="shared" ca="1" si="29"/>
        <v>#N/A</v>
      </c>
      <c r="FD12" s="158" t="e">
        <f t="shared" ca="1" si="200"/>
        <v>#N/A</v>
      </c>
      <c r="FE12" s="158" t="e">
        <f t="shared" ca="1" si="148"/>
        <v>#N/A</v>
      </c>
      <c r="FF12" s="159" t="e">
        <f t="shared" ca="1" si="30"/>
        <v>#N/A</v>
      </c>
      <c r="FG12" s="160" t="e">
        <f t="shared" ca="1" si="149"/>
        <v>#N/A</v>
      </c>
      <c r="FH12" s="158" t="e">
        <f t="shared" ca="1" si="150"/>
        <v>#N/A</v>
      </c>
      <c r="FI12" s="159" t="e">
        <f t="shared" ca="1" si="31"/>
        <v>#N/A</v>
      </c>
      <c r="FJ12" s="160" t="e">
        <f t="shared" ca="1" si="151"/>
        <v>#N/A</v>
      </c>
      <c r="FK12" s="160" t="e">
        <f t="shared" ca="1" si="32"/>
        <v>#N/A</v>
      </c>
      <c r="FL12" s="160" t="e">
        <f t="shared" ca="1" si="229"/>
        <v>#N/A</v>
      </c>
      <c r="FM12" s="160" t="e">
        <f t="shared" ca="1" si="33"/>
        <v>#N/A</v>
      </c>
      <c r="FN12" s="158">
        <f t="shared" ca="1" si="219"/>
        <v>0.01</v>
      </c>
      <c r="FO12" s="160">
        <f>Control!$C$101</f>
        <v>50</v>
      </c>
      <c r="FP12" s="150" t="e">
        <f t="shared" ca="1" si="34"/>
        <v>#N/A</v>
      </c>
      <c r="FQ12" s="150" t="e">
        <f ca="1">MAX(0,(Control!$C$112*(($DK12-Control!$C$97)/Control!$C$97)))</f>
        <v>#N/A</v>
      </c>
      <c r="FR12" s="150" t="e">
        <f ca="1">(1-$NT12)*Control!$C$113</f>
        <v>#DIV/0!</v>
      </c>
      <c r="FS12" s="198" t="e">
        <f t="shared" ca="1" si="35"/>
        <v>#N/A</v>
      </c>
      <c r="FT12" s="161">
        <f t="shared" ca="1" si="152"/>
        <v>7</v>
      </c>
      <c r="FU12" s="162" t="e">
        <f ca="1">IF(Control!$B$34=1,VLOOKUP($CP12,Control!$B$86:$G$91,6),Control!$B$35)</f>
        <v>#N/A</v>
      </c>
      <c r="FV12" s="162" t="e">
        <f t="shared" ca="1" si="36"/>
        <v>#DIV/0!</v>
      </c>
      <c r="FW12" s="162" t="e">
        <f ca="1">IF(Control!$B$31=1,$FU12*$FV12,  $FU12)</f>
        <v>#N/A</v>
      </c>
      <c r="FX12" s="162" t="e">
        <f ca="1">IF(Control!$B$34=1,VLOOKUP($CP12,Control!$B$86:$G$91,3),Control!$B$36)</f>
        <v>#N/A</v>
      </c>
      <c r="FY12" s="162" t="e">
        <f t="shared" ca="1" si="37"/>
        <v>#N/A</v>
      </c>
      <c r="FZ12" s="162" t="e">
        <f ca="1">IF(Control!$B$34=1,VLOOKUP($CP12,Control!$B$86:$G$91,4),Control!$B$37)</f>
        <v>#N/A</v>
      </c>
      <c r="GA12" s="162" t="e">
        <f t="shared" ca="1" si="38"/>
        <v>#N/A</v>
      </c>
      <c r="GB12" s="162" t="e">
        <f ca="1">IF(Control!$B$34=1,VLOOKUP($CP12,Control!$B$86:$G$91,5),Control!$B$38)</f>
        <v>#N/A</v>
      </c>
      <c r="GC12" s="162" t="e">
        <f t="shared" ca="1" si="153"/>
        <v>#N/A</v>
      </c>
      <c r="GD12" s="162">
        <f t="shared" ca="1" si="39"/>
        <v>1</v>
      </c>
      <c r="GE12" s="162">
        <f t="shared" ca="1" si="40"/>
        <v>1</v>
      </c>
      <c r="GF12" s="162">
        <f ca="1">IF(AND(Control!$C$104=1, Control!$C$62="F"),$GE12,1)</f>
        <v>1</v>
      </c>
      <c r="GG12" s="162" t="e">
        <f ca="1">IF(Control!$B$16=40,0,IF(AND(Control!$B$16&gt;40,Control!$B$16&lt;=360),(Control!$B$16-40)*((1-0)/(360-40)),IF(AND(Control!$B$16&gt;360,Control!$B$16&lt;=720),(1+(Control!$B$16-360)*((1.25-1)/(720-360))),IF(AND(Control!$B$16&gt;720,Control!$B$16&lt;=1000),(1.25+(Control!$B$16-720)*((1.35-1.25)/(1000-720))),IF(AND(Control!$B$16&gt;1000,Control!$B$16&lt;=2000),(1.35+(Control!$B$16-1000)*0))))))</f>
        <v>#N/A</v>
      </c>
      <c r="GH12" s="162" t="e">
        <f t="shared" ca="1" si="41"/>
        <v>#N/A</v>
      </c>
      <c r="GI12" s="162">
        <f t="shared" ca="1" si="201"/>
        <v>0</v>
      </c>
      <c r="GJ12" s="162">
        <f t="shared" ca="1" si="42"/>
        <v>0</v>
      </c>
      <c r="GK12" s="162">
        <f t="shared" ca="1" si="220"/>
        <v>1</v>
      </c>
      <c r="GL12" s="162">
        <f t="shared" ca="1" si="43"/>
        <v>1</v>
      </c>
      <c r="GM12" s="162" t="e">
        <f ca="1">MAX(0,MIN(1,1-Control!$C$156*(1.0001-$KH12)^2))</f>
        <v>#N/A</v>
      </c>
      <c r="GN12" s="162" t="e">
        <f ca="1">IF(Control!$B$26=1,$KU12,$KX12)</f>
        <v>#N/A</v>
      </c>
      <c r="GO12" s="162" t="e">
        <f ca="1">IF($CP12&lt;=60,Control!$C$105,IF($CP12&gt;=90,Control!$C$106,Control!$C$105+($CP12-60)*((Control!$C$106-Control!$C$105)/(90-60))))</f>
        <v>#N/A</v>
      </c>
      <c r="GP12" s="162" t="e">
        <f t="shared" ca="1" si="154"/>
        <v>#N/A</v>
      </c>
      <c r="GQ12" s="162" t="e">
        <f t="shared" ca="1" si="155"/>
        <v>#N/A</v>
      </c>
      <c r="GR12" s="163" t="e">
        <f t="shared" ca="1" si="44"/>
        <v>#DIV/0!</v>
      </c>
      <c r="GS12" s="162" t="e">
        <f t="shared" ca="1" si="45"/>
        <v>#DIV/0!</v>
      </c>
      <c r="GT12" s="164" t="e">
        <f t="shared" ca="1" si="156"/>
        <v>#N/A</v>
      </c>
      <c r="GU12" s="162" t="e">
        <f t="shared" ca="1" si="157"/>
        <v>#N/A</v>
      </c>
      <c r="GV12" s="162" t="e">
        <f t="shared" ca="1" si="46"/>
        <v>#N/A</v>
      </c>
      <c r="GW12" s="162" t="e">
        <f t="shared" ca="1" si="221"/>
        <v>#DIV/0!</v>
      </c>
      <c r="GX12" s="162" t="e">
        <f t="shared" ca="1" si="228"/>
        <v>#DIV/0!</v>
      </c>
      <c r="GY12" s="162" t="e">
        <f t="shared" ca="1" si="158"/>
        <v>#DIV/0!</v>
      </c>
      <c r="GZ12" s="165" t="e">
        <f t="shared" ca="1" si="159"/>
        <v>#N/A</v>
      </c>
      <c r="HA12" s="162" t="e">
        <f ca="1">IF(Control!$C$114=1, $DI12*$FS12, 0)</f>
        <v>#N/A</v>
      </c>
      <c r="HB12" s="162" t="e">
        <f ca="1">$FA12/Control!$C$64</f>
        <v>#N/A</v>
      </c>
      <c r="HC12" s="162" t="e">
        <f t="shared" ca="1" si="222"/>
        <v>#DIV/0!</v>
      </c>
      <c r="HD12" s="162">
        <f ca="1">-ASIN(SIN(23.45*Control!$C$139)*COS(2*Control!$C$138*($AH12+10)/365))</f>
        <v>-0.39091081931188265</v>
      </c>
      <c r="HE12" s="165">
        <f t="shared" ca="1" si="160"/>
        <v>0</v>
      </c>
      <c r="HF12" s="166">
        <f ca="1">IF(AND(Control!$C$61="T",$HE12&gt;=Control!$C$103,Control!$C$114=0),$AH12,Control!$C$59)</f>
        <v>1</v>
      </c>
      <c r="HG12" s="166">
        <f ca="1">IF(AND(Control!$C$61="T",$HE12&gt;=Control!$C$103,Control!$C$114=0),$HF12,Control!$C$59)</f>
        <v>1</v>
      </c>
      <c r="HH12" s="165">
        <f ca="1">IF(AND(OR(Control!$C$60&lt;=0, $AH12= Control!$C$59, Control!$C$60 &gt;0, $AH12 = Control!$C$60)), Control!$C$59, IF(Control!$C$60&gt;0, 0))</f>
        <v>1</v>
      </c>
      <c r="HI12" s="165">
        <f ca="1">IF(AND(OR(Control!$C$60&lt;=0, $AH12= Control!$C$59, Control!$C$60 &gt;0, $AH12 = Control!$C$60)), Control!$C$60, IF(Control!$C$60&lt;=0, 0))</f>
        <v>0</v>
      </c>
      <c r="HJ12" s="166">
        <f ca="1">IF(AND(Control!$C$62="F",$CV12&gt;=Control!$C$102),$AH12,0)</f>
        <v>0</v>
      </c>
      <c r="HK12" s="165" t="e">
        <f t="shared" ca="1" si="202"/>
        <v>#N/A</v>
      </c>
      <c r="HL12" s="166">
        <f ca="1">IF(AND(Control!$C$61="T",$HE12&gt;=Control!$C$103,Control!$C$114=0),$HF12,0)</f>
        <v>0</v>
      </c>
      <c r="HM12" s="201" t="e">
        <f t="shared" ca="1" si="47"/>
        <v>#DIV/0!</v>
      </c>
      <c r="HN12" s="215">
        <f t="shared" ca="1" si="161"/>
        <v>7</v>
      </c>
      <c r="HO12" s="216" t="e">
        <f ca="1">IF(AND($CP12&gt;=0, $CP12&lt;=90), Control!$C$152, Control!$C$152)</f>
        <v>#N/A</v>
      </c>
      <c r="HP12" s="216" t="e">
        <f t="shared" ca="1" si="48"/>
        <v>#N/A</v>
      </c>
      <c r="HQ12" s="217" t="e">
        <f ca="1">IF(OR(Control!$B$26=1,Control!$B$26=2),$KV12,$KS12)</f>
        <v>#DIV/0!</v>
      </c>
      <c r="HR12" s="218" t="e">
        <f t="shared" ca="1" si="223"/>
        <v>#DIV/0!</v>
      </c>
      <c r="HS12" s="216" t="e">
        <f ca="1">Control!$C$154*$HP12</f>
        <v>#N/A</v>
      </c>
      <c r="HT12" s="216" t="e">
        <f ca="1">Control!$C$155*$HP12</f>
        <v>#N/A</v>
      </c>
      <c r="HU12" s="217" t="e">
        <f ca="1">Control!$C$161*$FI12</f>
        <v>#N/A</v>
      </c>
      <c r="HV12" s="218" t="e">
        <f t="shared" ca="1" si="162"/>
        <v>#N/A</v>
      </c>
      <c r="HW12" s="218" t="e">
        <f ca="1">Control!$C$160*$FF12+$IP12*$EO12</f>
        <v>#N/A</v>
      </c>
      <c r="HX12" s="218" t="e">
        <f t="shared" ca="1" si="203"/>
        <v>#N/A</v>
      </c>
      <c r="HY12" s="219" t="e">
        <f ca="1">IF(Control!$C$114=1, $EB12*$FS12, 0)</f>
        <v>#N/A</v>
      </c>
      <c r="HZ12" s="91" t="e">
        <f t="shared" ca="1" si="49"/>
        <v>#N/A</v>
      </c>
      <c r="IA12" s="220" t="e">
        <f ca="1">Control!$C$153*$HO12</f>
        <v>#N/A</v>
      </c>
      <c r="IB12" s="218" t="e">
        <f t="shared" ca="1" si="50"/>
        <v>#N/A</v>
      </c>
      <c r="IC12" s="220" t="e">
        <f ca="1">Control!$C$153*$HT12</f>
        <v>#N/A</v>
      </c>
      <c r="ID12" s="218" t="e">
        <f t="shared" ca="1" si="51"/>
        <v>#N/A</v>
      </c>
      <c r="IE12" s="221" t="e">
        <f ca="1">($EB12*Control!$C$159+$EF12*Control!$C$160)/(IF($GZ12&lt;&gt;0,$GZ12,1))</f>
        <v>#N/A</v>
      </c>
      <c r="IF12" s="216" t="e">
        <f t="shared" ca="1" si="52"/>
        <v>#N/A</v>
      </c>
      <c r="IG12" s="91">
        <f ca="1">IF(OR(Control!$B$198=$AH12,Control!$B$199=$AH12, Control!$B$200=$AH12, Control!$B$201=$AH12, Control!$B$202=$AH12, Control!$B$203=$AH12, Control!$B$204=$AH12, Control!$B$205=$AH12, Control!$B$206=$AH12, Control!$B$207=$AH12), 1, 0)</f>
        <v>0</v>
      </c>
      <c r="IH12" s="91">
        <f ca="1">IF($IG12=0,0, VLOOKUP($AH12,Control!$B$198:$C$207,2))</f>
        <v>0</v>
      </c>
      <c r="II12" s="222">
        <f t="shared" ca="1" si="163"/>
        <v>0</v>
      </c>
      <c r="IJ12" s="91">
        <f>Control!$C$121</f>
        <v>0.7</v>
      </c>
      <c r="IK12" s="218">
        <f t="shared" ca="1" si="53"/>
        <v>0</v>
      </c>
      <c r="IL12" s="217" t="e">
        <f t="shared" ca="1" si="204"/>
        <v>#N/A</v>
      </c>
      <c r="IM12" s="223" t="e">
        <f ca="1">IF(AND(Control!$C$114=1,$KH12&lt;1),$EB12*Control!$C$148*(1-$KH12), 0)</f>
        <v>#N/A</v>
      </c>
      <c r="IN12" s="217" t="e">
        <f t="shared" ca="1" si="54"/>
        <v>#DIV/0!</v>
      </c>
      <c r="IO12" s="91" t="e">
        <f ca="1">MAX(0,$IL12-$EF12*Control!$C$160)</f>
        <v>#N/A</v>
      </c>
      <c r="IP12" s="220" t="e">
        <f t="shared" ca="1" si="55"/>
        <v>#N/A</v>
      </c>
      <c r="IQ12" s="217" t="e">
        <f t="shared" ca="1" si="164"/>
        <v>#N/A</v>
      </c>
      <c r="IR12" s="218" t="e">
        <f ca="1">$IQ12+$IL12</f>
        <v>#N/A</v>
      </c>
      <c r="IS12" s="217" t="e">
        <f ca="1">Control!$C$159*MAX(0,$FD12-$EN12)</f>
        <v>#N/A</v>
      </c>
      <c r="IT12" s="217" t="e">
        <f t="shared" ca="1" si="205"/>
        <v>#N/A</v>
      </c>
      <c r="IU12" s="217" t="e">
        <f t="shared" ca="1" si="165"/>
        <v>#N/A</v>
      </c>
      <c r="IV12" s="217" t="e">
        <f t="shared" ca="1" si="206"/>
        <v>#N/A</v>
      </c>
      <c r="IW12" s="217" t="e">
        <f ca="1">IF(OR($AW12=1,AND($AW12=0, Control!$B$18=1,$EN12&lt;&gt;0)), $IQ12-$IU12, $IQ12)</f>
        <v>#N/A</v>
      </c>
      <c r="IX12" s="218" t="e">
        <f t="shared" ca="1" si="57"/>
        <v>#N/A</v>
      </c>
      <c r="IY12" s="218" t="e">
        <f ca="1">MAX(0,$IQ12-$EB12*Control!$C$159)</f>
        <v>#N/A</v>
      </c>
      <c r="IZ12" s="218" t="e">
        <f t="shared" ca="1" si="58"/>
        <v>#N/A</v>
      </c>
      <c r="JA12" s="216" t="e">
        <f t="shared" ca="1" si="59"/>
        <v>#N/A</v>
      </c>
      <c r="JB12" s="217" t="e">
        <f t="shared" ca="1" si="60"/>
        <v>#N/A</v>
      </c>
      <c r="JC12" s="222" t="e">
        <f ca="1">MAX(Control!$C$157*$EK12-$JT12, 0)/Control!$C$162</f>
        <v>#N/A</v>
      </c>
      <c r="JD12" s="218" t="e">
        <f t="shared" ca="1" si="61"/>
        <v>#N/A</v>
      </c>
      <c r="JE12" s="218" t="e">
        <f t="shared" ca="1" si="62"/>
        <v>#N/A</v>
      </c>
      <c r="JF12" s="218" t="e">
        <f t="shared" ca="1" si="207"/>
        <v>#N/A</v>
      </c>
      <c r="JG12" s="218" t="e">
        <f t="shared" ca="1" si="63"/>
        <v>#N/A</v>
      </c>
      <c r="JH12" s="217" t="e">
        <f t="shared" ca="1" si="166"/>
        <v>#N/A</v>
      </c>
      <c r="JI12" s="217" t="e">
        <f t="shared" ca="1" si="167"/>
        <v>#N/A</v>
      </c>
      <c r="JJ12" s="217" t="e">
        <f t="shared" ca="1" si="224"/>
        <v>#N/A</v>
      </c>
      <c r="JK12" s="217" t="e">
        <f ca="1">IF(Control!$C$114=1,IF(Control!$B$24=0,MAX(0,$JI12)*$GN12/Control!$C$64,(MAX(0,MIN($JI12,$JJ12*$GN12/Control!$C$64),0))))</f>
        <v>#N/A</v>
      </c>
      <c r="JL12" s="217" t="e">
        <f ca="1">$IK12/Control!$C$64-$JK12+$HQ12</f>
        <v>#N/A</v>
      </c>
      <c r="JM12" s="217" t="e">
        <f ca="1">IF(Control!$C$114=1,($JB12/(IF($JI12&lt;&gt;0,$JI12,1)))*$JK12,0)</f>
        <v>#N/A</v>
      </c>
      <c r="JN12" s="217" t="e">
        <f ca="1">IF(Control!$C$114=1,($JG12/(IF($JI12&lt;&gt;0,$JI12,1)))*$JK12, 0)</f>
        <v>#N/A</v>
      </c>
      <c r="JO12" s="218" t="e">
        <f t="shared" ca="1" si="64"/>
        <v>#N/A</v>
      </c>
      <c r="JP12" s="218" t="e">
        <f ca="1">MIN(($IY12+$IO12)*Control!$C$151, $JF12-$EH12*Control!$C$161)</f>
        <v>#N/A</v>
      </c>
      <c r="JQ12" s="218" t="e">
        <f t="shared" ca="1" si="65"/>
        <v>#N/A</v>
      </c>
      <c r="JR12" s="217" t="e">
        <f ca="1">IF($CP12-Control!$C$150&lt;0, 0, $JQ12/Control!$C$162)</f>
        <v>#N/A</v>
      </c>
      <c r="JS12" s="218" t="e">
        <f t="shared" ca="1" si="66"/>
        <v>#N/A</v>
      </c>
      <c r="JT12" s="218" t="e">
        <f t="shared" ca="1" si="168"/>
        <v>#N/A</v>
      </c>
      <c r="JU12" s="218" t="e">
        <f t="shared" ca="1" si="67"/>
        <v>#N/A</v>
      </c>
      <c r="JV12" s="218" t="e">
        <f t="shared" ca="1" si="68"/>
        <v>#N/A</v>
      </c>
      <c r="JW12" s="216" t="e">
        <f t="shared" ca="1" si="69"/>
        <v>#N/A</v>
      </c>
      <c r="JX12" s="91" t="e">
        <f t="shared" ca="1" si="70"/>
        <v>#N/A</v>
      </c>
      <c r="JY12" s="218" t="e">
        <f t="shared" ca="1" si="71"/>
        <v>#N/A</v>
      </c>
      <c r="JZ12" s="217" t="e">
        <f ca="1">IF(Control!$C$114=1,($IZ12/(IF($JI12&lt;&gt;0,$JI12,1)))*$JK12, 0)</f>
        <v>#N/A</v>
      </c>
      <c r="KA12" s="218" t="e">
        <f t="shared" ca="1" si="225"/>
        <v>#N/A</v>
      </c>
      <c r="KB12" s="218" t="e">
        <f t="shared" ca="1" si="169"/>
        <v>#N/A</v>
      </c>
      <c r="KC12" s="218" t="e">
        <f t="shared" ca="1" si="72"/>
        <v>#N/A</v>
      </c>
      <c r="KD12" s="218" t="e">
        <f t="shared" ca="1" si="73"/>
        <v>#N/A</v>
      </c>
      <c r="KE12" s="218" t="e">
        <f t="shared" ca="1" si="74"/>
        <v>#N/A</v>
      </c>
      <c r="KF12" s="218" t="e">
        <f t="shared" ca="1" si="75"/>
        <v>#N/A</v>
      </c>
      <c r="KG12" s="216" t="e">
        <f t="shared" ca="1" si="76"/>
        <v>#N/A</v>
      </c>
      <c r="KH12" s="221" t="e">
        <f ca="1">IF(Control!$B$24=0,1,MAX(0.001,MIN(1,IF(($IF12-$IE12)&lt;&gt;0,($KG12-$IE12)/($IF12-$IE12),1))))</f>
        <v>#N/A</v>
      </c>
      <c r="KI12" s="222" t="e">
        <f ca="1">IF(Control!$C$114=1, $KI11+ $KH11, 0)</f>
        <v>#N/A</v>
      </c>
      <c r="KJ12" s="217" t="e">
        <f t="shared" ca="1" si="77"/>
        <v>#N/A</v>
      </c>
      <c r="KK12" s="218" t="e">
        <f t="shared" ca="1" si="78"/>
        <v>#N/A</v>
      </c>
      <c r="KL12" s="274" t="e">
        <f ca="1">IF(Control!$B$26=3,4000000000*EXP(-8400/($G12+273)),IF(Control!$B$26=4,4000000000*EXP(-8400/($G12+273))*($KT12),0))</f>
        <v>#DIV/0!</v>
      </c>
      <c r="KM12" s="274" t="e">
        <f ca="1">IF(Control!$B$26=3,5600000000000*EXP(-9800/($G12+273)),IF(Control!$B$26=4,5600000000000*EXP(-9800/($G12+273))*$KT12,0))</f>
        <v>#DIV/0!</v>
      </c>
      <c r="KN12" s="454" t="e">
        <f t="shared" ca="1" si="170"/>
        <v>#DIV/0!</v>
      </c>
      <c r="KO12" s="274" t="e">
        <f t="shared" ca="1" si="171"/>
        <v>#DIV/0!</v>
      </c>
      <c r="KP12" s="454" t="e">
        <f t="shared" ca="1" si="79"/>
        <v>#DIV/0!</v>
      </c>
      <c r="KQ12" s="454" t="e">
        <f t="shared" ca="1" si="80"/>
        <v>#DIV/0!</v>
      </c>
      <c r="KR12" s="454" t="e">
        <f t="shared" ca="1" si="81"/>
        <v>#DIV/0!</v>
      </c>
      <c r="KS12" s="454" t="e">
        <f t="shared" ca="1" si="82"/>
        <v>#DIV/0!</v>
      </c>
      <c r="KT12" s="455" t="e">
        <f t="shared" ca="1" si="83"/>
        <v>#DIV/0!</v>
      </c>
      <c r="KU12" s="456" t="e">
        <f ca="1">IF($CP12-Control!$C$149&lt;0, IF($NT12-0.01&lt;0,0,1),0)</f>
        <v>#N/A</v>
      </c>
      <c r="KV12" s="456" t="e">
        <f ca="1">IF(Control!$C$114=1,MAX(0,MIN(Control!$C$125*$KW12*$GN12,$KW12)))</f>
        <v>#DIV/0!</v>
      </c>
      <c r="KW12" s="456" t="e">
        <f t="shared" ca="1" si="208"/>
        <v>#DIV/0!</v>
      </c>
      <c r="KX12" s="457" t="e">
        <f ca="1">IF($CP12-Control!$C$149&lt;0, IF($MR12-$OM12&lt;0,0,1),0)</f>
        <v>#N/A</v>
      </c>
      <c r="KY12" s="167">
        <f t="shared" ca="1" si="172"/>
        <v>7</v>
      </c>
      <c r="KZ12" s="168">
        <f ca="1">1370*(1+0.033*COS(2*Control!$C$138*$AH12/365))</f>
        <v>1414.8821682109487</v>
      </c>
      <c r="LA12" s="169">
        <f t="shared" ca="1" si="173"/>
        <v>1.0327607078411054</v>
      </c>
      <c r="LB12" s="169">
        <f t="shared" ca="1" si="174"/>
        <v>-0.39057567912259061</v>
      </c>
      <c r="LC12" s="169">
        <f ca="1">ACOS(-TAN((2*Control!$B$8/360))*TAN(Calculations!$LB12))</f>
        <v>1.4481220128787728</v>
      </c>
      <c r="LD12" s="169">
        <f ca="1">((24*60)/PI())*0.082*$LA12*(($LC12*SIN(Control!$B$8*2*PI()/360))*SIN($LB12)+COS(Control!$B$8*2*PI()/360)*COS($LB12)*SIN($LC12))</f>
        <v>5.0681376491580137</v>
      </c>
      <c r="LE12" s="170">
        <f t="shared" ca="1" si="84"/>
        <v>6.6569249786767664</v>
      </c>
      <c r="LF12" s="170">
        <f ca="1">SIN(Control!$C$139*Control!$B$8)*SIN($HD12)</f>
        <v>-0.3002567729978034</v>
      </c>
      <c r="LG12" s="170">
        <f ca="1">COS(Control!$C$139*Control!$B$8)*COS($HD12)</f>
        <v>0.56921590086113749</v>
      </c>
      <c r="LH12" s="170">
        <f ca="1">12*(1+2*ASIN(MAX(-1,MIN(1,$LF12/$LG12))/Control!$C$138))</f>
        <v>7.9510893375819052</v>
      </c>
      <c r="LI12" s="170">
        <f ca="1">12*(1+2*ASIN(MAX(-1,MIN(1,(-SIN(-4*Control!$C$139)+$LF12)/$LG12))/Control!$C$138))</f>
        <v>8.897837766543784</v>
      </c>
      <c r="LJ12" s="168">
        <f ca="1">3600*($LH12*$LF12+24*$LG12*SQRT(1-$LK12*$LK12)/Control!$C$138)</f>
        <v>4704.9324164528352</v>
      </c>
      <c r="LK12" s="170">
        <f t="shared" ca="1" si="85"/>
        <v>-0.52749189287151033</v>
      </c>
      <c r="LL12" s="170">
        <f t="shared" ca="1" si="86"/>
        <v>0</v>
      </c>
      <c r="LM12" s="171">
        <f ca="1">Control!$C$145*$AB12</f>
        <v>6.6660906138995932E-2</v>
      </c>
      <c r="LN12" s="170">
        <f t="shared" ca="1" si="175"/>
        <v>0.54</v>
      </c>
      <c r="LO12" s="170">
        <f t="shared" ca="1" si="87"/>
        <v>0</v>
      </c>
      <c r="LP12" s="170">
        <f ca="1">Control!$C$140*((($D12+273.16)^4+($E12+273.16)^4)/2)*(0.34-0.14*SQRT($Y12))*(1.35*$AQ12/(0.75*$LD12)-0.35)</f>
        <v>-3.2464704755046001</v>
      </c>
      <c r="LQ12" s="170">
        <f ca="1">Control!$C$140*($G12+273)^4*(0.56-0.079*SQRT($Y12*10))*(0.1+0.9*$LO12)</f>
        <v>1.5241745131704001</v>
      </c>
      <c r="LR12" s="170">
        <f ca="1">$AQ12*(1-Control!$C$142)-$LQ12</f>
        <v>-1.5241745131704001</v>
      </c>
      <c r="LS12" s="170">
        <f ca="1">$AQ12*(1-Control!$C$143)-$LQ12</f>
        <v>-1.5241745131704001</v>
      </c>
      <c r="LT12" s="170">
        <f ca="1">$AQ12*(1-Control!$C$144)-$LQ12</f>
        <v>-1.5241745131704001</v>
      </c>
      <c r="LU12" s="169">
        <f ca="1">(1-Control!$C$144)*AQ12-LP12</f>
        <v>3.2464704755046001</v>
      </c>
      <c r="LV12" s="172">
        <f t="shared" ca="1" si="88"/>
        <v>0.79430000000000012</v>
      </c>
      <c r="LW12" s="170">
        <f t="shared" ca="1" si="89"/>
        <v>1.5886000000000002</v>
      </c>
      <c r="LX12" s="170">
        <f ca="1">($AC12*($LR12/Control!$C$141)+$LM12*$LV12)/($AC12+$LM12)</f>
        <v>0.23530094218323697</v>
      </c>
      <c r="LY12" s="170">
        <f ca="1">($AC12*($LS12/Control!$C$141)+$LM12*$LV12)/($AC12+$LM12)</f>
        <v>0.23530094218323697</v>
      </c>
      <c r="LZ12" s="170">
        <f t="shared" ca="1" si="90"/>
        <v>0.23530094218323697</v>
      </c>
      <c r="MA12" s="170">
        <f t="shared" ca="1" si="91"/>
        <v>0.23530094218323697</v>
      </c>
      <c r="MB12" s="170" t="e">
        <f t="shared" ca="1" si="92"/>
        <v>#N/A</v>
      </c>
      <c r="MC12" s="170">
        <f t="shared" ca="1" si="176"/>
        <v>0.6018</v>
      </c>
      <c r="MD12" s="170">
        <f t="shared" ca="1" si="93"/>
        <v>0.52989392535414004</v>
      </c>
      <c r="ME12" s="170">
        <f ca="1">($AC12*($LT12/Control!$C$141)+$LM12*$LW12)/($AC12+$LM12)</f>
        <v>0.71612369323045078</v>
      </c>
      <c r="MF12" s="170" t="e">
        <f ca="1">IF(Control!$B$16&gt;=1000,0.92,IF(AND(720&lt;=Control!$B$16,1000&gt;Control!$B$16),(0.95+(Control!$B$16-720)*((0.92-0.95)/(1000-720))),IF(AND(360&lt;=Control!$B$16,720&gt;Control!$B$16),(1+(Control!$B$16-360)*((0.95-1)/(720-360))),IF(AND(40&lt;=Control!$B$16,360&gt;Control!$B$16),(1.05+(Control!$B$16-40)*((1.05-1)/(360-40)))))))</f>
        <v>#N/A</v>
      </c>
      <c r="MG12" s="170">
        <f t="shared" ca="1" si="94"/>
        <v>0.71612369323045078</v>
      </c>
      <c r="MH12" s="170" t="e">
        <f t="shared" ca="1" si="95"/>
        <v>#N/A</v>
      </c>
      <c r="MI12" s="170" t="e">
        <f t="shared" ca="1" si="95"/>
        <v>#N/A</v>
      </c>
      <c r="MJ12" s="170" t="e">
        <f ca="1">MAX(0.0001, Control!$C$132*$MI12*$DL12)</f>
        <v>#N/A</v>
      </c>
      <c r="MK12" s="170">
        <f ca="1">1/(0.76+1.5*($MG12/10))-(5-Control!$C$110)*0.1</f>
        <v>1.002845988140797</v>
      </c>
      <c r="ML12" s="173">
        <f ca="1">IF(Control!$C$110&lt;3,$MK12+($MG12-0.6)/(Control!$C$110*(Control!$C$110+3)), MAX(0.1, MIN(0.95,$MK12)))</f>
        <v>0.95</v>
      </c>
      <c r="MM12" s="173">
        <f ca="1">IF(Control!$C$110&lt;3,$MK12+(($MI12/10)-0.6)/(Control!$C$110*(Control!$C$110+3)), MAX(0.1, MIN(0.95,$MK12)))</f>
        <v>0.95</v>
      </c>
      <c r="MN12" s="173">
        <f ca="1">(1-$MM12)*(Control!$C$128-Control!$C$127)+Control!$C$127</f>
        <v>0.16</v>
      </c>
      <c r="MO12" s="170" t="e">
        <f ca="1">MAX(0,MIN(1,($MS12-Control!$C$127)/($MN12-Control!$C$127)))</f>
        <v>#DIV/0!</v>
      </c>
      <c r="MP12" s="173" t="e">
        <f ca="1">1/(0.76+1.5*$MI12)-(5-Control!$C$110)*0.1</f>
        <v>#N/A</v>
      </c>
      <c r="MQ12" s="172" t="e">
        <f t="shared" ca="1" si="209"/>
        <v>#DIV/0!</v>
      </c>
      <c r="MR12" s="168" t="e">
        <f t="shared" ca="1" si="226"/>
        <v>#DIV/0!</v>
      </c>
      <c r="MS12" s="173" t="e">
        <f ca="1">MAX(Control!$C$127, MIN(Control!$C$135, $MR12/MAX(0.0001,$CY12)))</f>
        <v>#DIV/0!</v>
      </c>
      <c r="MT12" s="168" t="e">
        <f ca="1">(Control!$C$128-$MS12)*Control!$C$74</f>
        <v>#DIV/0!</v>
      </c>
      <c r="MU12" s="168" t="e">
        <f ca="1">(Control!$C$135-$MS12)*Control!$C$74</f>
        <v>#DIV/0!</v>
      </c>
      <c r="MV12" s="168" t="e">
        <f t="shared" ca="1" si="210"/>
        <v>#DIV/0!</v>
      </c>
      <c r="MW12" s="168" t="e">
        <f t="shared" ca="1" si="177"/>
        <v>#DIV/0!</v>
      </c>
      <c r="MX12" s="171" t="e">
        <f ca="1">MAX(Control!$C$127, MIN(Control!$C$135, $MW12/MAX(0.0001,Control!$C$119-$CY12)))</f>
        <v>#DIV/0!</v>
      </c>
      <c r="MY12" s="54" t="e">
        <f ca="1">IF(Control!$C$114=1, $CX12*$MX12, 0)</f>
        <v>#DIV/0!</v>
      </c>
      <c r="MZ12" s="54" t="e">
        <f t="shared" ca="1" si="178"/>
        <v>#N/A</v>
      </c>
      <c r="NA12" s="168" t="e">
        <f ca="1">(Control!$C$128-$MX12)*(Control!$C$119-Control!$C$74)</f>
        <v>#DIV/0!</v>
      </c>
      <c r="NB12" s="168" t="e">
        <f ca="1">(Control!$C$135-$MX12)*(Control!$C$119-Control!$C$74)</f>
        <v>#DIV/0!</v>
      </c>
      <c r="NC12" s="174" t="e">
        <f t="shared" ca="1" si="179"/>
        <v>#DIV/0!</v>
      </c>
      <c r="ND12" s="54">
        <f ca="1">IF(Control!$C$58=2, IF(OR(Control!$B$218=$AH12,Control!$B$219=$AH12, Control!$B$220=$AH12, Control!$B$221=$AH12, Control!$B$222=$AH12, Control!$B$223=$AH12, Control!$B$224=$AH12, Control!$B$225=$AH12, Control!$B$226=$AH12, Control!$B$227=$AH12, Control!$B$228=$AH12), 1, 0), 0)</f>
        <v>0</v>
      </c>
      <c r="NE12" s="54">
        <f ca="1">IF($ND12=0,0, VLOOKUP($AH12,Control!$B$218:$C$228,2))</f>
        <v>0</v>
      </c>
      <c r="NF12" s="168" t="e">
        <f ca="1">$CY12*(Control!$C$128-Control!$C$127)</f>
        <v>#N/A</v>
      </c>
      <c r="NG12" s="54" t="e">
        <f ca="1">IF(Control!$C$58=2, $NI11-$NJ11, 0)</f>
        <v>#DIV/0!</v>
      </c>
      <c r="NH12" s="54" t="e">
        <f ca="1">IF(AND(Control!$C$58=1, $MS11&lt;= ($MN11+0.02), $I11&lt;10), 0, IF(Control!$C$58=2, $NG11, 0))</f>
        <v>#DIV/0!</v>
      </c>
      <c r="NI12" s="54" t="e">
        <f ca="1">IF(Control!$C$58=2, $NE12+$NH12,0)</f>
        <v>#DIV/0!</v>
      </c>
      <c r="NJ12" s="54" t="e">
        <f ca="1">IF(AND(Control!$C$58=1, $MS12&lt;= ($MN12+0.02), $I12&lt;10), MAX(0, MIN(10, 0.7*($NF12-$MV12))), IF(Control!$C$58=2, MIN(10,$NI12),0))</f>
        <v>#DIV/0!</v>
      </c>
      <c r="NK12" s="54" t="e">
        <f t="shared" ca="1" si="96"/>
        <v>#DIV/0!</v>
      </c>
      <c r="NL12" s="173" t="e">
        <f ca="1">(1-Control!$C$73)*$I12+$NJ12</f>
        <v>#DIV/0!</v>
      </c>
      <c r="NM12" s="172" t="e">
        <f ca="1">IF($NL12&lt;0.5, $MB12* MAX(0, MIN(1, (SQRT($NC12)-SQRT($NC12-1))*Control!$C$71)),0)</f>
        <v>#DIV/0!</v>
      </c>
      <c r="NN12" s="170" t="e">
        <f ca="1">IF($NL12&gt;=5, $MB12, MAX(0,MIN($MB12, $NM12+$NL12,($MS12-Control!$C$129))))</f>
        <v>#DIV/0!</v>
      </c>
      <c r="NO12" s="54">
        <f>IF(Control!$C$133&lt;&gt;1, Control!$C$135-Control!$C$131, 0)</f>
        <v>0.38</v>
      </c>
      <c r="NP12" s="54" t="e">
        <f t="shared" ca="1" si="97"/>
        <v>#DIV/0!</v>
      </c>
      <c r="NQ12" s="173" t="e">
        <f ca="1">MAX(0,MIN(1,(Control!$C$135-$MS12)/(Control!$C$135-$NO12)))</f>
        <v>#DIV/0!</v>
      </c>
      <c r="NR12" s="170" t="e">
        <f ca="1">IF(Control!$C$133&lt;&gt;1, $NQ12+((1-$NP12/4)*(1-$NQ12)),1)</f>
        <v>#DIV/0!</v>
      </c>
      <c r="NS12" s="170" t="e">
        <f ca="1">IF(Control!$B$31=0,$MJ12,MAX(0,MIN($MV12,$MO12*$NR12*$MJ12)))</f>
        <v>#DIV/0!</v>
      </c>
      <c r="NT12" s="170" t="e">
        <f t="shared" ca="1" si="227"/>
        <v>#DIV/0!</v>
      </c>
      <c r="NU12" s="170" t="e">
        <f t="shared" ca="1" si="180"/>
        <v>#N/A</v>
      </c>
      <c r="NV12" s="170" t="e">
        <f t="shared" ca="1" si="98"/>
        <v>#N/A</v>
      </c>
      <c r="NW12" s="175" t="e">
        <f t="shared" ca="1" si="99"/>
        <v>#DIV/0!</v>
      </c>
      <c r="NX12" s="170" t="e">
        <f ca="1">MIN(Control!$C$72+$MU12, $NW12)</f>
        <v>#DIV/0!</v>
      </c>
      <c r="NY12" s="170" t="e">
        <f ca="1">IF($MT12&lt;=$NX12,MIN(Control!$C$72+$NB12,$NX12-$MT12),0)</f>
        <v>#DIV/0!</v>
      </c>
      <c r="NZ12" s="54" t="e">
        <f ca="1">IF(Control!$C$114=1,  $CX12*($MX12-Control!$C$127), 0)</f>
        <v>#DIV/0!</v>
      </c>
      <c r="OA12" s="170" t="e">
        <f t="shared" ca="1" si="181"/>
        <v>#DIV/0!</v>
      </c>
      <c r="OB12" s="170" t="e">
        <f ca="1">IF($NA12 &lt;=$NY12, MIN(Control!$C$72, $NY12-$NA12), 0)</f>
        <v>#DIV/0!</v>
      </c>
      <c r="OC12" s="168" t="e">
        <f t="shared" ca="1" si="100"/>
        <v>#DIV/0!</v>
      </c>
      <c r="OD12" s="168" t="e">
        <f t="shared" ca="1" si="182"/>
        <v>#DIV/0!</v>
      </c>
      <c r="OE12" s="170">
        <f ca="1">Control!$C$73*$I12</f>
        <v>0</v>
      </c>
      <c r="OF12" s="176" t="e">
        <f t="shared" ca="1" si="101"/>
        <v>#DIV/0!</v>
      </c>
      <c r="OG12" s="168" t="e">
        <f t="shared" ca="1" si="102"/>
        <v>#DIV/0!</v>
      </c>
      <c r="OH12" s="168" t="e">
        <f t="shared" ca="1" si="103"/>
        <v>#DIV/0!</v>
      </c>
      <c r="OI12" s="168" t="e">
        <f t="shared" ca="1" si="104"/>
        <v>#DIV/0!</v>
      </c>
      <c r="OJ12" s="168" t="e">
        <f t="shared" ca="1" si="105"/>
        <v>#DIV/0!</v>
      </c>
      <c r="OK12" s="204" t="e">
        <f t="shared" ca="1" si="183"/>
        <v>#DIV/0!</v>
      </c>
      <c r="OL12" s="177">
        <f>Control!$C$127</f>
        <v>0.15</v>
      </c>
      <c r="OM12" s="182" t="e">
        <f t="shared" ca="1" si="106"/>
        <v>#N/A</v>
      </c>
      <c r="ON12" s="177">
        <f>Control!$C$128</f>
        <v>0.35</v>
      </c>
      <c r="OO12" s="182" t="e">
        <f t="shared" ca="1" si="107"/>
        <v>#N/A</v>
      </c>
      <c r="OP12" s="138">
        <f t="shared" ca="1" si="184"/>
        <v>0</v>
      </c>
      <c r="OQ12" s="138" t="e">
        <f t="shared" ca="1" si="211"/>
        <v>#DIV/0!</v>
      </c>
      <c r="OR12" s="138" t="e">
        <f t="shared" ca="1" si="185"/>
        <v>#DIV/0!</v>
      </c>
      <c r="OS12" s="137" t="e">
        <f t="shared" ca="1" si="212"/>
        <v>#DIV/0!</v>
      </c>
      <c r="OT12" s="139" t="e">
        <f t="shared" ca="1" si="213"/>
        <v>#DIV/0!</v>
      </c>
      <c r="OU12" s="138" t="e">
        <f t="shared" ca="1" si="214"/>
        <v>#N/A</v>
      </c>
      <c r="OV12" s="138" t="e">
        <f t="shared" ca="1" si="215"/>
        <v>#DIV/0!</v>
      </c>
      <c r="OW12" s="138" t="e">
        <f t="shared" ca="1" si="186"/>
        <v>#DIV/0!</v>
      </c>
      <c r="OX12" s="138" t="e">
        <f t="shared" ca="1" si="187"/>
        <v>#DIV/0!</v>
      </c>
      <c r="OY12" s="138" t="e">
        <f t="shared" ca="1" si="188"/>
        <v>#DIV/0!</v>
      </c>
      <c r="OZ12" s="138" t="e">
        <f t="shared" ca="1" si="108"/>
        <v>#DIV/0!</v>
      </c>
      <c r="PA12" s="138" t="e">
        <f t="shared" ca="1" si="109"/>
        <v>#DIV/0!</v>
      </c>
      <c r="PB12" s="55">
        <f>IF(Control!$C$61="T", IF(Control!$C$65="F", IF($AH$6-Control!$C$60&lt;0,0,1), IF(365+$AH$6-Control!$C$60&lt;0,0,1)),0)</f>
        <v>0</v>
      </c>
      <c r="PC12" s="55">
        <f ca="1">IF(Control!$C$65="F", IF($AH$6-$HF12&lt;0,0,1), IF(365+$AH$6-$HF12&lt;0,0,1))</f>
        <v>1</v>
      </c>
      <c r="PD12" s="444">
        <f>Control!$C$118</f>
        <v>1500</v>
      </c>
      <c r="PE12" s="180" t="e">
        <f t="shared" ca="1" si="110"/>
        <v>#N/A</v>
      </c>
      <c r="PF12" s="445">
        <f t="shared" ca="1" si="189"/>
        <v>0.71612369323045078</v>
      </c>
      <c r="PT12" s="186"/>
      <c r="PU12" s="186"/>
      <c r="PV12" s="94"/>
      <c r="PW12" s="94"/>
      <c r="PX12" s="94"/>
      <c r="PY12" s="94"/>
      <c r="PZ12" s="94"/>
      <c r="QA12" s="94"/>
      <c r="QB12" s="94"/>
      <c r="QC12" s="94"/>
      <c r="QD12" s="94"/>
      <c r="QE12" s="94"/>
      <c r="QF12" s="94"/>
      <c r="QG12" s="94"/>
      <c r="QH12" s="94"/>
      <c r="QI12" s="94"/>
      <c r="QJ12" s="94"/>
      <c r="QK12" s="94"/>
      <c r="QL12" s="94"/>
      <c r="QM12" s="94"/>
      <c r="QN12" s="94"/>
      <c r="QO12" s="94"/>
      <c r="QP12" s="94"/>
    </row>
    <row r="13" spans="1:458" s="2" customFormat="1" x14ac:dyDescent="0.2">
      <c r="A13" s="386">
        <v>8</v>
      </c>
      <c r="B13" s="387">
        <v>1</v>
      </c>
      <c r="C13" s="387">
        <f ca="1">Weather_data!$B12</f>
        <v>0</v>
      </c>
      <c r="D13" s="388">
        <f ca="1">Weather_data!$F12</f>
        <v>0</v>
      </c>
      <c r="E13" s="388">
        <f ca="1">Weather_data!$E12</f>
        <v>0</v>
      </c>
      <c r="F13" s="388">
        <f t="shared" ca="1" si="111"/>
        <v>0</v>
      </c>
      <c r="G13" s="388">
        <f ca="1">AVERAGE($D13:$E13)+Control!$B$9</f>
        <v>0</v>
      </c>
      <c r="H13" s="388">
        <f ca="1">Weather_data!$G12</f>
        <v>0</v>
      </c>
      <c r="I13" s="388">
        <f ca="1">Weather_data!$I12</f>
        <v>0</v>
      </c>
      <c r="J13" s="388">
        <f ca="1">Weather_data!$H12</f>
        <v>0</v>
      </c>
      <c r="K13" s="389">
        <f ca="1">Weather_data!$D12</f>
        <v>0</v>
      </c>
      <c r="L13" s="388" t="e">
        <f t="shared" ca="1" si="112"/>
        <v>#N/A</v>
      </c>
      <c r="M13" s="388" t="e">
        <f t="shared" ca="1" si="0"/>
        <v>#N/A</v>
      </c>
      <c r="N13" s="388">
        <f t="shared" ca="1" si="1"/>
        <v>-0.23914844999999998</v>
      </c>
      <c r="O13" s="388">
        <f t="shared" ca="1" si="113"/>
        <v>2.3914844999999998</v>
      </c>
      <c r="P13" s="390">
        <v>3</v>
      </c>
      <c r="Q13" s="388">
        <f ca="1">MAX($G13-Control!$C$107,0)</f>
        <v>0</v>
      </c>
      <c r="R13" s="388">
        <f t="shared" ca="1" si="114"/>
        <v>0</v>
      </c>
      <c r="S13" s="388">
        <f t="shared" ca="1" si="2"/>
        <v>0</v>
      </c>
      <c r="T13" s="388">
        <f t="shared" ca="1" si="3"/>
        <v>0</v>
      </c>
      <c r="U13" s="59">
        <f t="shared" ca="1" si="4"/>
        <v>0</v>
      </c>
      <c r="V13" s="391">
        <f ca="1">MAX(0,MIN(Control!$C$100-Control!$C$99,$G13-Control!$C$99)*Control!$C$63)</f>
        <v>0</v>
      </c>
      <c r="W13" s="388">
        <f t="shared" ca="1" si="190"/>
        <v>0</v>
      </c>
      <c r="X13" s="388">
        <f t="shared" ca="1" si="115"/>
        <v>0.6110000000000001</v>
      </c>
      <c r="Y13" s="388">
        <f t="shared" ca="1" si="116"/>
        <v>0</v>
      </c>
      <c r="Z13" s="388">
        <f t="shared" ca="1" si="117"/>
        <v>0.61058800000000002</v>
      </c>
      <c r="AA13" s="388">
        <f t="shared" ca="1" si="5"/>
        <v>0.6018</v>
      </c>
      <c r="AB13" s="388">
        <f ca="1">101.3*EXP(-0.034*Control!$C$66/($G13+273))</f>
        <v>100.69623283836242</v>
      </c>
      <c r="AC13" s="392">
        <f t="shared" ca="1" si="6"/>
        <v>4.3460251046025113E-2</v>
      </c>
      <c r="AD13" s="392">
        <f t="shared" ca="1" si="7"/>
        <v>4.4450382862832649E-2</v>
      </c>
      <c r="AE13" s="388">
        <f t="shared" ca="1" si="8"/>
        <v>0</v>
      </c>
      <c r="AF13" s="388">
        <f ca="1">MAX(0,$G13-Control!$C$92)</f>
        <v>0</v>
      </c>
      <c r="AG13" s="393">
        <f t="shared" ca="1" si="118"/>
        <v>8</v>
      </c>
      <c r="AH13" s="389">
        <f t="shared" ca="1" si="9"/>
        <v>8</v>
      </c>
      <c r="AI13" s="388">
        <f t="shared" ca="1" si="119"/>
        <v>-0.38871338730897231</v>
      </c>
      <c r="AJ13" s="388">
        <f ca="1">IF(Control!$C$60&lt;=0,$HH13,$HI13)</f>
        <v>1</v>
      </c>
      <c r="AK13" s="388">
        <f t="shared" ca="1" si="10"/>
        <v>-1.2394228551148774</v>
      </c>
      <c r="AL13" s="388">
        <f t="shared" ca="1" si="11"/>
        <v>1.6230766730629398E-18</v>
      </c>
      <c r="AM13" s="388">
        <f t="shared" ca="1" si="12"/>
        <v>-1.2394228551148774</v>
      </c>
      <c r="AN13" s="388">
        <f t="shared" ca="1" si="13"/>
        <v>-0.38564651026468511</v>
      </c>
      <c r="AO13" s="388">
        <f ca="1">-0.10453/COS(Control!$B$8*PI()/180)*COS(AN13)</f>
        <v>-0.15731508893090596</v>
      </c>
      <c r="AP13" s="388">
        <f ca="1">ACOS(AO13-TAN(Control!$B$8*PI()/180)*TAN(AN13))</f>
        <v>1.2000522266806295</v>
      </c>
      <c r="AQ13" s="388">
        <f t="shared" ca="1" si="120"/>
        <v>0</v>
      </c>
      <c r="AR13" s="394">
        <f t="shared" ca="1" si="14"/>
        <v>0</v>
      </c>
      <c r="AS13" s="436">
        <f ca="1">IF(Control!$B$18=2,(IF(OR($AH13=Control!$B$175,$AH13=Control!$B$176,$AH13=Control!$B$177,$AH13=Control!$B$178,$AH13=Control!$B$179,$AH13=Control!$B$180,$AH13=Control!$B$181,$AH13=Control!$B$182,$AH13=Control!$B$183,$AH13=Control!$B$184,$AH13=Control!$B$185),1,0)),0)</f>
        <v>0</v>
      </c>
      <c r="AT13" s="436">
        <f>IF(Control!$B$20=8,IF(AND($AH13&gt;=Control!$B$172,$AH13&lt;=Control!$B$173),1,0),0)</f>
        <v>0</v>
      </c>
      <c r="AU13" s="436">
        <f>IF(Control!$B$20=8,IF($AV12=1,1*$AT13,IF($AT13=1,$AU12+1,$AU12)),0)</f>
        <v>0</v>
      </c>
      <c r="AV13" s="436">
        <f>IF(Control!$B$20=8,IF($AU13&gt;=Control!$B$174,1,0),0)</f>
        <v>0</v>
      </c>
      <c r="AW13" s="436">
        <f ca="1">IF(AND(Control!$B$18=2,Control!$B$171=1), $AV13, $AS13)</f>
        <v>0</v>
      </c>
      <c r="AX13" s="436" t="e">
        <f ca="1">IF(AND(Control!$B$18=1,$EU13&gt;=Control!$B$19),-$AY13,IF(AND(Control!$B$18=2,$AW13=1,$EU13&gt;$DS13),-$AY13, IF(Control!$C$108=0,0, IF(Control!$C$108&lt;&gt;0,1))))</f>
        <v>#N/A</v>
      </c>
      <c r="AY13" s="436" t="e">
        <f t="shared" ca="1" si="121"/>
        <v>#N/A</v>
      </c>
      <c r="AZ13" s="436" t="e">
        <f ca="1">IF(AND(Control!$B$18=1,$EB13&gt;Control!$B$19),$AZ12+1, IF(AND(Control!$B$18=2, $AW13=1, $EB13&gt;$DS13), $AZ12+1,$AZ12))</f>
        <v>#N/A</v>
      </c>
      <c r="BA13" s="587">
        <f>IF(Control!$C$81=0,1,IF($AH13&gt;=Control!$C$82,1,0))</f>
        <v>1</v>
      </c>
      <c r="BB13" s="140" t="e">
        <f ca="1">IF($BA13&gt;$BA12,Control!$C$83,IF($AW13&gt;0,$AW13*Control!$C$84,IF(AND(Control!$B$18=1,EN12&lt;&gt;0),Control!$C$84,0)))</f>
        <v>#N/A</v>
      </c>
      <c r="BC13" s="140" t="e">
        <f t="shared" ca="1" si="122"/>
        <v>#N/A</v>
      </c>
      <c r="BD13" s="140" t="e">
        <f ca="1">BC13*IF(OR($G13&lt;Control!$C$92,$G13&gt;Control!$C$95),0,IF(AND($G13&gt;=Control!$C$92,$G13&lt;=Control!$C$93),$G13-Control!$C$92,IF(AND($G13&gt;Control!$C$93,$G13&lt;=Control!$C$94),Control!$C$93-Control!$C$92,IF(AND($G13&gt;Control!$C$94,$G13&lt;=Control!$C$95),(Control!$C$93-Control!$C$92)*(Control!$C$94-$G13)/(Control!$C$95-Control!$C$94)))))</f>
        <v>#N/A</v>
      </c>
      <c r="BE13" s="140" t="e">
        <f t="shared" ca="1" si="123"/>
        <v>#N/A</v>
      </c>
      <c r="BF13" s="140" t="e">
        <f ca="1">IF($BE13&lt;=Control!$C$86,$BE13,Control!$C$86-$BE13)</f>
        <v>#N/A</v>
      </c>
      <c r="BG13" s="140" t="e">
        <f ca="1">IF(AND($AW13=1,Control!$C$84&lt;9),1,IF($BE13&gt;=Control!$C$86,0,$BC13))</f>
        <v>#N/A</v>
      </c>
      <c r="BH13" s="404" t="e">
        <f ca="1">IF($BG13=0,0,IF($BE13&lt;=Control!$C$86,$BC13*9*($BF13/Control!$C$86),0))</f>
        <v>#N/A</v>
      </c>
      <c r="BI13" s="140" t="e">
        <f ca="1">IF($BG13=1,0,IF($BE13&gt;=Control!$C$86,1,IF(AND($BB13&lt;21,$BB13&gt;=9),1,$BM12)))</f>
        <v>#N/A</v>
      </c>
      <c r="BJ13" s="140" t="e">
        <f ca="1">IF($BF13&lt;0,-$BF13,$BI13*IF(OR($G13&lt;Control!$C$92,$G13&gt;Control!$C$95),0,IF(AND($G13&gt;=Control!$C$92,$G13&lt;=Control!$C$93),$G13-Control!$C$92,IF(AND($G13&gt;Control!$C$93,$G13&lt;=Control!$C$94),Control!$C$93-Control!$C$92,IF(AND($G13&gt;Control!$C$94,$G13&lt;=Control!$C$95),(Control!$C$93-Control!$C$92)*(Control!$C$94-$G13)/(Control!$C$95-Control!$C$94))))))</f>
        <v>#N/A</v>
      </c>
      <c r="BK13" s="140" t="e">
        <f t="shared" ca="1" si="124"/>
        <v>#N/A</v>
      </c>
      <c r="BL13" s="140" t="e">
        <f ca="1">IF($BK13&lt;=Control!$C$87,$BK13,Control!$C$87-$BK13)</f>
        <v>#N/A</v>
      </c>
      <c r="BM13" s="140" t="e">
        <f ca="1">IF(AND($BB13&gt;=9,$BB13&lt;21),1,IF($BK13&gt;=Control!$C$87,0,$BI13))</f>
        <v>#N/A</v>
      </c>
      <c r="BN13" s="404" t="e">
        <f ca="1">IF($BM13=0,0,IF($BK13&lt;=Control!$C$87,$BI13*(9+(21-9)*($BL13/Control!$C$87)),0))</f>
        <v>#N/A</v>
      </c>
      <c r="BO13" s="140" t="e">
        <f ca="1">IF($BM13=1,0,IF($BK13&gt;=Control!$C$87,1,IF(AND($BB13&lt;30,$BB13&gt;=21),1,$BS12)))</f>
        <v>#N/A</v>
      </c>
      <c r="BP13" s="140" t="e">
        <f ca="1">IF($BL13&lt;0,-$BL13,$BO13*IF(OR($G13&lt;Control!$C$92,$G13&gt;Control!$C$95),0,IF(AND($G13&gt;=Control!$C$92,$G13&lt;=Control!$C$93),$G13-Control!$C$92,IF(AND($G13&gt;Control!$C$93,$G13&lt;=Control!$C$94),Control!$C$93-Control!$C$92,IF(AND($G13&gt;Control!$C$94,$G13&lt;=Control!$C$95),(Control!$C$93-Control!$C$92)*(Control!$C$94-$G13)/(Control!$C$95-Control!$C$94))))))</f>
        <v>#N/A</v>
      </c>
      <c r="BQ13" s="140" t="e">
        <f t="shared" ca="1" si="15"/>
        <v>#N/A</v>
      </c>
      <c r="BR13" s="140" t="e">
        <f ca="1">IF($BQ13&lt;=Control!$C$88,$BQ13,Control!$C$88-$BQ13)</f>
        <v>#N/A</v>
      </c>
      <c r="BS13" s="140" t="e">
        <f ca="1">IF(AND($BB13&gt;=21,$BB13&lt;30),1,IF($BQ13&gt;=Control!$C$88,0,$BO13))</f>
        <v>#N/A</v>
      </c>
      <c r="BT13" s="404" t="e">
        <f ca="1">IF($BS13=0,0,IF($BQ13&lt;=Control!$C$88,$BO13*(21+(30-21)*(BR13/Control!$C$88)),0))</f>
        <v>#N/A</v>
      </c>
      <c r="BU13" s="140" t="e">
        <f ca="1">IF(BG13+BM13+BS13=1,0,IF(OR(AND($BB13&lt;60,$BB13&gt;=30),$BQ13&gt;=Control!$C$88),1*$BA13,$BY12))</f>
        <v>#N/A</v>
      </c>
      <c r="BV13" s="140" t="e">
        <f ca="1">IF($BR13&lt;0,-$BR13,$BU13*IF(OR($G13&lt;Control!$C$92,$G13&gt;Control!$C$95),0,IF(AND($G13&gt;=Control!$C$92,$G13&lt;=Control!$C$93),$G13-Control!$C$92,IF(AND($G13&gt;Control!$C$93,$G13&lt;=Control!$C$94),Control!$C$93-Control!$C$92,IF(AND($G13&gt;Control!$C$94,$G13&lt;=Control!$C$95),(Control!$C$93-Control!$C$92)*(Control!$C$94-$G13)/(Control!$C$95-Control!$C$94))))))</f>
        <v>#N/A</v>
      </c>
      <c r="BW13" s="140" t="e">
        <f t="shared" ca="1" si="16"/>
        <v>#N/A</v>
      </c>
      <c r="BX13" s="140" t="e">
        <f ca="1">IF($BW13&lt;=Control!$C$89,$BW13,Control!$C$89-$BW13)</f>
        <v>#N/A</v>
      </c>
      <c r="BY13" s="140" t="e">
        <f ca="1">IF(AND($AJ13&gt;=30,$AJ13&lt;60),1,IF($BW13&gt;=Control!$C$89,0,$BU13))</f>
        <v>#N/A</v>
      </c>
      <c r="BZ13" s="404" t="e">
        <f ca="1">IF($BY13=0,0,IF($BW13&lt;=Control!$C$89,$BU13*(30+(60-30)*(BX13/Control!$C$89)),0))</f>
        <v>#N/A</v>
      </c>
      <c r="CA13" s="140" t="e">
        <f ca="1">IF($BG13+$BM13+$BS13+$BY13=1,0,IF(OR(AND($BB13&lt;65,$BB13&gt;=60),$BW13&gt;=Control!$C$89),1*$BA13,$CE12))</f>
        <v>#N/A</v>
      </c>
      <c r="CB13" s="140" t="e">
        <f ca="1">IF($BX13&lt;0,-$BX13,$CA13*IF(OR($G13&lt;Control!$C$92,$G13&gt;Control!$C$95),0,IF(AND($G13&gt;=Control!$C$92,$G13&lt;=Control!$C$93),$G13-Control!$C$92,IF(AND($G13&gt;Control!$C$93,$G13&lt;=Control!$C$94),Control!$C$93-Control!$C$92,IF(AND($G13&gt;Control!$C$94,$G13&lt;=Control!$C$95),(Control!$C$93-Control!$C$92)*(Control!$C$94-$G13)/(Control!$C$95-Control!$C$94))))))</f>
        <v>#N/A</v>
      </c>
      <c r="CC13" s="140" t="e">
        <f t="shared" ca="1" si="125"/>
        <v>#N/A</v>
      </c>
      <c r="CD13" s="140" t="e">
        <f ca="1">IF($CC13&lt;=Control!$C$90,$CC13,Control!$C$90-$CC13)</f>
        <v>#N/A</v>
      </c>
      <c r="CE13" s="140" t="e">
        <f ca="1">IF(AND($BB13&gt;=60,$BB13&lt;65),1,IF($CC13&gt;=Control!$C$90,0,$CA13))</f>
        <v>#N/A</v>
      </c>
      <c r="CF13" s="404" t="e">
        <f ca="1">IF($CE13=0,0,IF($CC13&lt;=Control!$C$90,$CA13*(60+(65-60)*(CD13/Control!$C$90)),0))</f>
        <v>#N/A</v>
      </c>
      <c r="CG13" s="140" t="e">
        <f ca="1">IF($BG13+$BM13+$BS13+$BY13+$CE13=1,0,IF(OR(AND($BB13&lt;90,$BB13&gt;=65),$CC13&gt;=Control!$C$90),$BA13,$CK12))</f>
        <v>#N/A</v>
      </c>
      <c r="CH13" s="140" t="e">
        <f ca="1">IF($CD13&lt;0,-$CD13,$CG13*IF(OR($G13&lt;Control!$C$92,$G13&gt;Control!$C$95),0,IF(AND($G13&gt;=Control!$C$92,$G13&lt;=Control!$C$93),$G13-Control!$C$92,IF(AND($G13&gt;Control!$C$93,$G13&lt;=Control!$C$94),Control!$C$93-Control!$C$92,IF(AND($G13&gt;Control!$C$94,$G13&lt;=Control!$C$95),(Control!$C$93-Control!$C$92)*(Control!$C$94-$G13)/(Control!$C$95-Control!$C$94))))))</f>
        <v>#N/A</v>
      </c>
      <c r="CI13" s="140" t="e">
        <f t="shared" ca="1" si="126"/>
        <v>#N/A</v>
      </c>
      <c r="CJ13" s="140" t="e">
        <f ca="1">IF($CI13&lt;=Control!$C$91,$CI13,Control!$C$91-$CI13)</f>
        <v>#N/A</v>
      </c>
      <c r="CK13" s="140" t="e">
        <f ca="1">IF(AND($BB13&gt;=65,$BB13&lt;90),1,IF($CI13&gt;=Control!$C$91,0,$CG13))</f>
        <v>#N/A</v>
      </c>
      <c r="CL13" s="404" t="e">
        <f ca="1">IF($CK13=0,0,IF($CI13&lt;=Control!$C$91,$CG13*(65+(90-65)*($CJ13/Control!$C$91)),0))</f>
        <v>#N/A</v>
      </c>
      <c r="CM13" s="140" t="e">
        <f ca="1">IF($BG13+$BM13+$BS13+$BY13+$CE13+$CK13=1,0,IF(OR($BB13&gt;=90,$CI13&gt;=Control!$C$91),$BA13,$CM12))</f>
        <v>#N/A</v>
      </c>
      <c r="CN13" s="140" t="e">
        <f t="shared" ca="1" si="127"/>
        <v>#N/A</v>
      </c>
      <c r="CO13" s="140" t="e">
        <f t="shared" ca="1" si="128"/>
        <v>#N/A</v>
      </c>
      <c r="CP13" s="140" t="e">
        <f t="shared" ca="1" si="129"/>
        <v>#N/A</v>
      </c>
      <c r="CQ13" s="141" t="e">
        <f ca="1">VLOOKUP($CP13,Control!$B$86:$G$91,6)</f>
        <v>#N/A</v>
      </c>
      <c r="CR13" s="141" t="e">
        <f ca="1">(1-$CQ13)*VLOOKUP($CP13,Control!$B$86:$D$91,3)</f>
        <v>#N/A</v>
      </c>
      <c r="CS13" s="141" t="e">
        <f ca="1">(1-$CQ13)*VLOOKUP($CP13,Control!$B$86:$E$91,4)</f>
        <v>#N/A</v>
      </c>
      <c r="CT13" s="141" t="e">
        <f ca="1">(1-$CQ13)*VLOOKUP($CP13,Control!$B$86:$F$91,5)</f>
        <v>#N/A</v>
      </c>
      <c r="CU13" s="141">
        <f t="shared" ca="1" si="130"/>
        <v>0</v>
      </c>
      <c r="CV13" s="583">
        <f t="shared" ca="1" si="131"/>
        <v>0</v>
      </c>
      <c r="CW13" s="142">
        <f t="shared" ca="1" si="132"/>
        <v>8</v>
      </c>
      <c r="CX13" s="612" t="e">
        <f ca="1">IF(Control!$C$114=1,(MIN(Control!$C$120*(IF($NT13-0.01&lt;0,0,1)),Control!$C$119-$CY13)))</f>
        <v>#DIV/0!</v>
      </c>
      <c r="CY13" s="143" t="e">
        <f t="shared" ca="1" si="133"/>
        <v>#N/A</v>
      </c>
      <c r="CZ13" s="144">
        <f t="shared" ca="1" si="17"/>
        <v>0</v>
      </c>
      <c r="DA13" s="144">
        <f t="shared" ca="1" si="18"/>
        <v>0</v>
      </c>
      <c r="DB13" s="144" t="e">
        <f t="shared" ca="1" si="19"/>
        <v>#N/A</v>
      </c>
      <c r="DC13" s="144" t="e">
        <f t="shared" ca="1" si="20"/>
        <v>#N/A</v>
      </c>
      <c r="DD13" s="144" t="e">
        <f t="shared" ca="1" si="216"/>
        <v>#N/A</v>
      </c>
      <c r="DE13" s="143" t="e">
        <f t="shared" ca="1" si="135"/>
        <v>#N/A</v>
      </c>
      <c r="DF13" s="145" t="e">
        <f ca="1">$DR13*EXP(-Control!$C$158*(1-$KH13))</f>
        <v>#N/A</v>
      </c>
      <c r="DG13" s="146" t="e">
        <f ca="1">IF(Control!$C$114=1, $DF13*$EY13, 0)</f>
        <v>#N/A</v>
      </c>
      <c r="DH13" s="147" t="e">
        <f t="shared" ca="1" si="136"/>
        <v>#N/A</v>
      </c>
      <c r="DI13" s="144" t="e">
        <f t="shared" ca="1" si="191"/>
        <v>#N/A</v>
      </c>
      <c r="DJ13" s="147" t="e">
        <f ca="1">$EF13*Control!$C$109</f>
        <v>#N/A</v>
      </c>
      <c r="DK13" s="144" t="e">
        <f t="shared" ca="1" si="137"/>
        <v>#N/A</v>
      </c>
      <c r="DL13" s="144" t="e">
        <f t="shared" ca="1" si="21"/>
        <v>#N/A</v>
      </c>
      <c r="DM13" s="144" t="e">
        <f ca="1">IF(Control!$C$114=1, (1-EXP(-Control!$C$96*$DK13))*$AR13, 0)</f>
        <v>#N/A</v>
      </c>
      <c r="DN13" s="144">
        <f t="shared" ca="1" si="138"/>
        <v>0</v>
      </c>
      <c r="DO13" s="148">
        <f>Control!$C$97</f>
        <v>4</v>
      </c>
      <c r="DP13" s="145" t="e">
        <f t="shared" ca="1" si="139"/>
        <v>#N/A</v>
      </c>
      <c r="DQ13" s="145" t="e">
        <f ca="1">IF(AND($CP13&gt;=0,$CP13&lt;=90),Control!$C$111,Control!$C$111)</f>
        <v>#N/A</v>
      </c>
      <c r="DR13" s="145" t="e">
        <f t="shared" ca="1" si="22"/>
        <v>#N/A</v>
      </c>
      <c r="DS13" s="143" t="e">
        <f ca="1">Control!$B$22/$DR13</f>
        <v>#N/A</v>
      </c>
      <c r="DT13" s="149" t="e">
        <f ca="1">IF(AND(Control!$C$114=1,$KH13&lt;1),$IM13*$DF13, 0)</f>
        <v>#N/A</v>
      </c>
      <c r="DU13" s="144" t="e">
        <f t="shared" ca="1" si="192"/>
        <v>#N/A</v>
      </c>
      <c r="DV13" s="144">
        <f ca="1">IF($G13-Control!$C$107&lt;=0, 0, 0.83*LN(MAX($G13, 3))-0.8924)</f>
        <v>0</v>
      </c>
      <c r="DW13" s="144" t="e">
        <f t="shared" ca="1" si="23"/>
        <v>#N/A</v>
      </c>
      <c r="DX13" s="150" t="e">
        <f ca="1">MAX(0.01*(1+$CU13/Control!$C$102),0.05*($DK13-Control!$C$97)/Control!$C$97)</f>
        <v>#N/A</v>
      </c>
      <c r="DY13" s="151" t="e">
        <f ca="1">IF(Control!$C$114=1, $DI13*$FS13, 0)</f>
        <v>#N/A</v>
      </c>
      <c r="DZ13" s="196" t="e">
        <f t="shared" ca="1" si="140"/>
        <v>#N/A</v>
      </c>
      <c r="EA13" s="152">
        <f t="shared" ca="1" si="141"/>
        <v>8</v>
      </c>
      <c r="EB13" s="153" t="e">
        <f t="shared" ca="1" si="217"/>
        <v>#N/A</v>
      </c>
      <c r="EC13" s="153" t="e">
        <f t="shared" ca="1" si="142"/>
        <v>#N/A</v>
      </c>
      <c r="ED13" s="154" t="e">
        <f ca="1">IF(Control!$C$114=1, $HM13*$FY13-$FD13, 0)</f>
        <v>#DIV/0!</v>
      </c>
      <c r="EE13" s="155" t="e">
        <f ca="1">IF(Control!$C$114=1, $HM13*$FZ13-$FF13, 0)</f>
        <v>#DIV/0!</v>
      </c>
      <c r="EF13" s="153" t="e">
        <f t="shared" ca="1" si="193"/>
        <v>#N/A</v>
      </c>
      <c r="EG13" s="155" t="e">
        <f ca="1">IF(Control!$C$114=1, $GX13*$FW13-$FI13, 0)</f>
        <v>#DIV/0!</v>
      </c>
      <c r="EH13" s="153" t="e">
        <f t="shared" ca="1" si="143"/>
        <v>#N/A</v>
      </c>
      <c r="EI13" s="156" t="e">
        <f t="shared" ca="1" si="144"/>
        <v>#N/A</v>
      </c>
      <c r="EJ13" s="155" t="e">
        <f ca="1">IF(Control!$C$114=1, $HM13*$GB13, 0)</f>
        <v>#DIV/0!</v>
      </c>
      <c r="EK13" s="153" t="e">
        <f t="shared" ca="1" si="194"/>
        <v>#N/A</v>
      </c>
      <c r="EL13" s="153" t="e">
        <f t="shared" ca="1" si="24"/>
        <v>#N/A</v>
      </c>
      <c r="EM13" s="153" t="e">
        <f t="shared" ca="1" si="25"/>
        <v>#N/A</v>
      </c>
      <c r="EN13" s="153" t="e">
        <f ca="1">IF(Control!$C$108=1,IF(AND(Control!$B$18=1,$EB13&gt;=Control!$B$19),$EB13-$DS13,IF(AND(Control!$B$18=2,$AW13=1,$EB13&gt;$DS13),$EB13-$DS13,0)))</f>
        <v>#N/A</v>
      </c>
      <c r="EO13" s="153" t="e">
        <f ca="1">IF(Control!$C$108=1,IF(AND(Control!$B$18=1,$EB13&gt;=Control!$B$19),$EF13,IF(AND(Control!$B$18=2,$AW13=1),$EF13,0)))</f>
        <v>#N/A</v>
      </c>
      <c r="EP13" s="153" t="e">
        <f ca="1">IF(Control!$C$108=1,IF(AND(Control!$B$18=1,$EB13&gt;=Control!$B$19),$EK13,IF(AND(Control!$B$18=2,$AW13=1),$EK13,0)))</f>
        <v>#N/A</v>
      </c>
      <c r="EQ13" s="153" t="e">
        <f t="shared" ca="1" si="145"/>
        <v>#N/A</v>
      </c>
      <c r="ER13" s="153" t="e">
        <f t="shared" ca="1" si="195"/>
        <v>#N/A</v>
      </c>
      <c r="ES13" s="153" t="e">
        <f t="shared" ca="1" si="196"/>
        <v>#N/A</v>
      </c>
      <c r="ET13" s="153" t="e">
        <f t="shared" ca="1" si="197"/>
        <v>#N/A</v>
      </c>
      <c r="EU13" s="153" t="e">
        <f t="shared" ca="1" si="198"/>
        <v>#N/A</v>
      </c>
      <c r="EV13" s="153" t="e">
        <f t="shared" ca="1" si="146"/>
        <v>#N/A</v>
      </c>
      <c r="EW13" s="153" t="e">
        <f t="shared" ca="1" si="218"/>
        <v>#N/A</v>
      </c>
      <c r="EX13" s="153" t="e">
        <f t="shared" ca="1" si="26"/>
        <v>#N/A</v>
      </c>
      <c r="EY13" s="157" t="e">
        <f t="shared" ca="1" si="147"/>
        <v>#DIV/0!</v>
      </c>
      <c r="EZ13" s="154" t="e">
        <f t="shared" ca="1" si="27"/>
        <v>#DIV/0!</v>
      </c>
      <c r="FA13" s="153" t="e">
        <f t="shared" ca="1" si="199"/>
        <v>#N/A</v>
      </c>
      <c r="FB13" s="153" t="e">
        <f t="shared" ca="1" si="28"/>
        <v>#N/A</v>
      </c>
      <c r="FC13" s="193" t="e">
        <f t="shared" ca="1" si="29"/>
        <v>#N/A</v>
      </c>
      <c r="FD13" s="158" t="e">
        <f t="shared" ca="1" si="200"/>
        <v>#N/A</v>
      </c>
      <c r="FE13" s="158" t="e">
        <f t="shared" ca="1" si="148"/>
        <v>#N/A</v>
      </c>
      <c r="FF13" s="159" t="e">
        <f t="shared" ca="1" si="30"/>
        <v>#N/A</v>
      </c>
      <c r="FG13" s="160" t="e">
        <f t="shared" ca="1" si="149"/>
        <v>#N/A</v>
      </c>
      <c r="FH13" s="158" t="e">
        <f t="shared" ca="1" si="150"/>
        <v>#N/A</v>
      </c>
      <c r="FI13" s="159" t="e">
        <f t="shared" ca="1" si="31"/>
        <v>#N/A</v>
      </c>
      <c r="FJ13" s="160" t="e">
        <f t="shared" ca="1" si="151"/>
        <v>#N/A</v>
      </c>
      <c r="FK13" s="160" t="e">
        <f t="shared" ca="1" si="32"/>
        <v>#N/A</v>
      </c>
      <c r="FL13" s="160" t="e">
        <f t="shared" ca="1" si="229"/>
        <v>#N/A</v>
      </c>
      <c r="FM13" s="160" t="e">
        <f t="shared" ca="1" si="33"/>
        <v>#N/A</v>
      </c>
      <c r="FN13" s="158">
        <f t="shared" ca="1" si="219"/>
        <v>0.01</v>
      </c>
      <c r="FO13" s="160">
        <f>Control!$C$101</f>
        <v>50</v>
      </c>
      <c r="FP13" s="150" t="e">
        <f t="shared" ca="1" si="34"/>
        <v>#N/A</v>
      </c>
      <c r="FQ13" s="150" t="e">
        <f ca="1">MAX(0,(Control!$C$112*(($DK13-Control!$C$97)/Control!$C$97)))</f>
        <v>#N/A</v>
      </c>
      <c r="FR13" s="150" t="e">
        <f ca="1">(1-$NT13)*Control!$C$113</f>
        <v>#DIV/0!</v>
      </c>
      <c r="FS13" s="198" t="e">
        <f t="shared" ca="1" si="35"/>
        <v>#N/A</v>
      </c>
      <c r="FT13" s="161">
        <f t="shared" ca="1" si="152"/>
        <v>8</v>
      </c>
      <c r="FU13" s="162" t="e">
        <f ca="1">IF(Control!$B$34=1,VLOOKUP($CP13,Control!$B$86:$G$91,6),Control!$B$35)</f>
        <v>#N/A</v>
      </c>
      <c r="FV13" s="162" t="e">
        <f t="shared" ca="1" si="36"/>
        <v>#DIV/0!</v>
      </c>
      <c r="FW13" s="162" t="e">
        <f ca="1">IF(Control!$B$31=1,$FU13*$FV13,  $FU13)</f>
        <v>#N/A</v>
      </c>
      <c r="FX13" s="162" t="e">
        <f ca="1">IF(Control!$B$34=1,VLOOKUP($CP13,Control!$B$86:$G$91,3),Control!$B$36)</f>
        <v>#N/A</v>
      </c>
      <c r="FY13" s="162" t="e">
        <f t="shared" ca="1" si="37"/>
        <v>#N/A</v>
      </c>
      <c r="FZ13" s="162" t="e">
        <f ca="1">IF(Control!$B$34=1,VLOOKUP($CP13,Control!$B$86:$G$91,4),Control!$B$37)</f>
        <v>#N/A</v>
      </c>
      <c r="GA13" s="162" t="e">
        <f t="shared" ca="1" si="38"/>
        <v>#N/A</v>
      </c>
      <c r="GB13" s="162" t="e">
        <f ca="1">IF(Control!$B$34=1,VLOOKUP($CP13,Control!$B$86:$G$91,5),Control!$B$38)</f>
        <v>#N/A</v>
      </c>
      <c r="GC13" s="162" t="e">
        <f t="shared" ca="1" si="153"/>
        <v>#N/A</v>
      </c>
      <c r="GD13" s="162">
        <f t="shared" ca="1" si="39"/>
        <v>1</v>
      </c>
      <c r="GE13" s="162">
        <f t="shared" ca="1" si="40"/>
        <v>1</v>
      </c>
      <c r="GF13" s="162">
        <f ca="1">IF(AND(Control!$C$104=1, Control!$C$62="F"),$GE13,1)</f>
        <v>1</v>
      </c>
      <c r="GG13" s="162" t="e">
        <f ca="1">IF(Control!$B$16=40,0,IF(AND(Control!$B$16&gt;40,Control!$B$16&lt;=360),(Control!$B$16-40)*((1-0)/(360-40)),IF(AND(Control!$B$16&gt;360,Control!$B$16&lt;=720),(1+(Control!$B$16-360)*((1.25-1)/(720-360))),IF(AND(Control!$B$16&gt;720,Control!$B$16&lt;=1000),(1.25+(Control!$B$16-720)*((1.35-1.25)/(1000-720))),IF(AND(Control!$B$16&gt;1000,Control!$B$16&lt;=2000),(1.35+(Control!$B$16-1000)*0))))))</f>
        <v>#N/A</v>
      </c>
      <c r="GH13" s="162" t="e">
        <f t="shared" ca="1" si="41"/>
        <v>#N/A</v>
      </c>
      <c r="GI13" s="162">
        <f t="shared" ca="1" si="201"/>
        <v>0</v>
      </c>
      <c r="GJ13" s="162">
        <f t="shared" ca="1" si="42"/>
        <v>0</v>
      </c>
      <c r="GK13" s="162">
        <f t="shared" ca="1" si="220"/>
        <v>1</v>
      </c>
      <c r="GL13" s="162">
        <f t="shared" ca="1" si="43"/>
        <v>1</v>
      </c>
      <c r="GM13" s="162" t="e">
        <f ca="1">MAX(0,MIN(1,1-Control!$C$156*(1.0001-$KH13)^2))</f>
        <v>#N/A</v>
      </c>
      <c r="GN13" s="162" t="e">
        <f ca="1">IF(Control!$B$26=1,$KU13,$KX13)</f>
        <v>#N/A</v>
      </c>
      <c r="GO13" s="162" t="e">
        <f ca="1">IF($CP13&lt;=60,Control!$C$105,IF($CP13&gt;=90,Control!$C$106,Control!$C$105+($CP13-60)*((Control!$C$106-Control!$C$105)/(90-60))))</f>
        <v>#N/A</v>
      </c>
      <c r="GP13" s="162" t="e">
        <f t="shared" ca="1" si="154"/>
        <v>#N/A</v>
      </c>
      <c r="GQ13" s="162" t="e">
        <f t="shared" ca="1" si="155"/>
        <v>#N/A</v>
      </c>
      <c r="GR13" s="163" t="e">
        <f t="shared" ca="1" si="44"/>
        <v>#DIV/0!</v>
      </c>
      <c r="GS13" s="162" t="e">
        <f t="shared" ca="1" si="45"/>
        <v>#DIV/0!</v>
      </c>
      <c r="GT13" s="164" t="e">
        <f t="shared" ca="1" si="156"/>
        <v>#N/A</v>
      </c>
      <c r="GU13" s="162" t="e">
        <f t="shared" ca="1" si="157"/>
        <v>#N/A</v>
      </c>
      <c r="GV13" s="162" t="e">
        <f t="shared" ca="1" si="46"/>
        <v>#N/A</v>
      </c>
      <c r="GW13" s="162" t="e">
        <f t="shared" ca="1" si="221"/>
        <v>#DIV/0!</v>
      </c>
      <c r="GX13" s="162" t="e">
        <f t="shared" ca="1" si="228"/>
        <v>#DIV/0!</v>
      </c>
      <c r="GY13" s="162" t="e">
        <f t="shared" ca="1" si="158"/>
        <v>#DIV/0!</v>
      </c>
      <c r="GZ13" s="165" t="e">
        <f t="shared" ca="1" si="159"/>
        <v>#N/A</v>
      </c>
      <c r="HA13" s="162" t="e">
        <f ca="1">IF(Control!$C$114=1, $DI13*$FS13, 0)</f>
        <v>#N/A</v>
      </c>
      <c r="HB13" s="162" t="e">
        <f ca="1">$FA13/Control!$C$64</f>
        <v>#N/A</v>
      </c>
      <c r="HC13" s="162" t="e">
        <f t="shared" ca="1" si="222"/>
        <v>#DIV/0!</v>
      </c>
      <c r="HD13" s="162">
        <f ca="1">-ASIN(SIN(23.45*Control!$C$139)*COS(2*Control!$C$138*($AH13+10)/365))</f>
        <v>-0.38871338730897231</v>
      </c>
      <c r="HE13" s="165">
        <f t="shared" ca="1" si="160"/>
        <v>0</v>
      </c>
      <c r="HF13" s="166">
        <f ca="1">IF(AND(Control!$C$61="T",$HE13&gt;=Control!$C$103,Control!$C$114=0),$AH13,Control!$C$59)</f>
        <v>1</v>
      </c>
      <c r="HG13" s="166">
        <f ca="1">IF(AND(Control!$C$61="T",$HE13&gt;=Control!$C$103,Control!$C$114=0),$HF13,Control!$C$59)</f>
        <v>1</v>
      </c>
      <c r="HH13" s="165">
        <f ca="1">IF(AND(OR(Control!$C$60&lt;=0, $AH13= Control!$C$59, Control!$C$60 &gt;0, $AH13 = Control!$C$60)), Control!$C$59, IF(Control!$C$60&gt;0, 0))</f>
        <v>1</v>
      </c>
      <c r="HI13" s="165">
        <f ca="1">IF(AND(OR(Control!$C$60&lt;=0, $AH13= Control!$C$59, Control!$C$60 &gt;0, $AH13 = Control!$C$60)), Control!$C$60, IF(Control!$C$60&lt;=0, 0))</f>
        <v>0</v>
      </c>
      <c r="HJ13" s="166">
        <f ca="1">IF(AND(Control!$C$62="F",$CV13&gt;=Control!$C$102),$AH13,0)</f>
        <v>0</v>
      </c>
      <c r="HK13" s="165" t="e">
        <f t="shared" ca="1" si="202"/>
        <v>#N/A</v>
      </c>
      <c r="HL13" s="166">
        <f ca="1">IF(AND(Control!$C$61="T",$HE13&gt;=Control!$C$103,Control!$C$114=0),$HF13,0)</f>
        <v>0</v>
      </c>
      <c r="HM13" s="201" t="e">
        <f t="shared" ca="1" si="47"/>
        <v>#DIV/0!</v>
      </c>
      <c r="HN13" s="215">
        <f t="shared" ca="1" si="161"/>
        <v>8</v>
      </c>
      <c r="HO13" s="216" t="e">
        <f ca="1">IF(AND($CP13&gt;=0, $CP13&lt;=90), Control!$C$152, Control!$C$152)</f>
        <v>#N/A</v>
      </c>
      <c r="HP13" s="216" t="e">
        <f t="shared" ca="1" si="48"/>
        <v>#N/A</v>
      </c>
      <c r="HQ13" s="217" t="e">
        <f ca="1">IF(OR(Control!$B$26=1,Control!$B$26=2),$KV13,$KS13)</f>
        <v>#DIV/0!</v>
      </c>
      <c r="HR13" s="218" t="e">
        <f t="shared" ca="1" si="223"/>
        <v>#DIV/0!</v>
      </c>
      <c r="HS13" s="216" t="e">
        <f ca="1">Control!$C$154*$HP13</f>
        <v>#N/A</v>
      </c>
      <c r="HT13" s="216" t="e">
        <f ca="1">Control!$C$155*$HP13</f>
        <v>#N/A</v>
      </c>
      <c r="HU13" s="217" t="e">
        <f ca="1">Control!$C$161*$FI13</f>
        <v>#N/A</v>
      </c>
      <c r="HV13" s="218" t="e">
        <f t="shared" ca="1" si="162"/>
        <v>#N/A</v>
      </c>
      <c r="HW13" s="218" t="e">
        <f ca="1">Control!$C$160*$FF13+$IP13*$EO13</f>
        <v>#N/A</v>
      </c>
      <c r="HX13" s="218" t="e">
        <f t="shared" ca="1" si="203"/>
        <v>#N/A</v>
      </c>
      <c r="HY13" s="219" t="e">
        <f ca="1">IF(Control!$C$114=1, $EB13*$FS13, 0)</f>
        <v>#N/A</v>
      </c>
      <c r="HZ13" s="91" t="e">
        <f t="shared" ca="1" si="49"/>
        <v>#N/A</v>
      </c>
      <c r="IA13" s="220" t="e">
        <f ca="1">Control!$C$153*$HO13</f>
        <v>#N/A</v>
      </c>
      <c r="IB13" s="218" t="e">
        <f t="shared" ca="1" si="50"/>
        <v>#N/A</v>
      </c>
      <c r="IC13" s="220" t="e">
        <f ca="1">Control!$C$153*$HT13</f>
        <v>#N/A</v>
      </c>
      <c r="ID13" s="218" t="e">
        <f t="shared" ca="1" si="51"/>
        <v>#N/A</v>
      </c>
      <c r="IE13" s="221" t="e">
        <f ca="1">($EB13*Control!$C$159+$EF13*Control!$C$160)/(IF($GZ13&lt;&gt;0,$GZ13,1))</f>
        <v>#N/A</v>
      </c>
      <c r="IF13" s="216" t="e">
        <f t="shared" ca="1" si="52"/>
        <v>#N/A</v>
      </c>
      <c r="IG13" s="91">
        <f ca="1">IF(OR(Control!$B$198=$AH13,Control!$B$199=$AH13, Control!$B$200=$AH13, Control!$B$201=$AH13, Control!$B$202=$AH13, Control!$B$203=$AH13, Control!$B$204=$AH13, Control!$B$205=$AH13, Control!$B$206=$AH13, Control!$B$207=$AH13), 1, 0)</f>
        <v>0</v>
      </c>
      <c r="IH13" s="91">
        <f ca="1">IF($IG13=0,0, VLOOKUP($AH13,Control!$B$198:$C$207,2))</f>
        <v>0</v>
      </c>
      <c r="II13" s="222">
        <f t="shared" ca="1" si="163"/>
        <v>0</v>
      </c>
      <c r="IJ13" s="91">
        <f>Control!$C$121</f>
        <v>0.7</v>
      </c>
      <c r="IK13" s="218">
        <f t="shared" ca="1" si="53"/>
        <v>0</v>
      </c>
      <c r="IL13" s="217" t="e">
        <f t="shared" ca="1" si="204"/>
        <v>#N/A</v>
      </c>
      <c r="IM13" s="223" t="e">
        <f ca="1">IF(AND(Control!$C$114=1,$KH13&lt;1),$EB13*Control!$C$148*(1-$KH13), 0)</f>
        <v>#N/A</v>
      </c>
      <c r="IN13" s="217" t="e">
        <f t="shared" ca="1" si="54"/>
        <v>#DIV/0!</v>
      </c>
      <c r="IO13" s="91" t="e">
        <f ca="1">MAX(0,$IL13-$EF13*Control!$C$160)</f>
        <v>#N/A</v>
      </c>
      <c r="IP13" s="220" t="e">
        <f t="shared" ca="1" si="55"/>
        <v>#N/A</v>
      </c>
      <c r="IQ13" s="217" t="e">
        <f t="shared" ca="1" si="164"/>
        <v>#N/A</v>
      </c>
      <c r="IR13" s="218" t="e">
        <f t="shared" ca="1" si="56"/>
        <v>#N/A</v>
      </c>
      <c r="IS13" s="217" t="e">
        <f ca="1">Control!$C$159*MAX(0,$FD13-$EN13)</f>
        <v>#N/A</v>
      </c>
      <c r="IT13" s="217" t="e">
        <f t="shared" ca="1" si="205"/>
        <v>#N/A</v>
      </c>
      <c r="IU13" s="217" t="e">
        <f t="shared" ca="1" si="165"/>
        <v>#N/A</v>
      </c>
      <c r="IV13" s="217" t="e">
        <f t="shared" ca="1" si="206"/>
        <v>#N/A</v>
      </c>
      <c r="IW13" s="217" t="e">
        <f ca="1">IF(OR($AW13=1,AND($AW13=0, Control!$B$18=1,$EN13&lt;&gt;0)), $IQ13-$IU13, $IQ13)</f>
        <v>#N/A</v>
      </c>
      <c r="IX13" s="218" t="e">
        <f t="shared" ca="1" si="57"/>
        <v>#N/A</v>
      </c>
      <c r="IY13" s="218" t="e">
        <f ca="1">MAX(0,$IQ13-$EB13*Control!$C$159)</f>
        <v>#N/A</v>
      </c>
      <c r="IZ13" s="218" t="e">
        <f t="shared" ca="1" si="58"/>
        <v>#N/A</v>
      </c>
      <c r="JA13" s="216" t="e">
        <f t="shared" ca="1" si="59"/>
        <v>#N/A</v>
      </c>
      <c r="JB13" s="217" t="e">
        <f t="shared" ca="1" si="60"/>
        <v>#N/A</v>
      </c>
      <c r="JC13" s="222" t="e">
        <f ca="1">MAX(Control!$C$157*$EK13-$JT13, 0)/Control!$C$162</f>
        <v>#N/A</v>
      </c>
      <c r="JD13" s="218" t="e">
        <f t="shared" ca="1" si="61"/>
        <v>#N/A</v>
      </c>
      <c r="JE13" s="218" t="e">
        <f t="shared" ca="1" si="62"/>
        <v>#N/A</v>
      </c>
      <c r="JF13" s="218" t="e">
        <f t="shared" ca="1" si="207"/>
        <v>#N/A</v>
      </c>
      <c r="JG13" s="218" t="e">
        <f t="shared" ca="1" si="63"/>
        <v>#N/A</v>
      </c>
      <c r="JH13" s="217" t="e">
        <f t="shared" ca="1" si="166"/>
        <v>#N/A</v>
      </c>
      <c r="JI13" s="217" t="e">
        <f t="shared" ca="1" si="167"/>
        <v>#N/A</v>
      </c>
      <c r="JJ13" s="217" t="e">
        <f t="shared" ca="1" si="224"/>
        <v>#N/A</v>
      </c>
      <c r="JK13" s="217" t="e">
        <f ca="1">IF(Control!$C$114=1,IF(Control!$B$24=0,MAX(0,$JI13)*$GN13/Control!$C$64,(MAX(0,MIN($JI13,$JJ13*$GN13/Control!$C$64),0))))</f>
        <v>#N/A</v>
      </c>
      <c r="JL13" s="217" t="e">
        <f ca="1">$IK13/Control!$C$64-$JK13+$HQ13</f>
        <v>#N/A</v>
      </c>
      <c r="JM13" s="217" t="e">
        <f ca="1">IF(Control!$C$114=1,($JB13/(IF($JI13&lt;&gt;0,$JI13,1)))*$JK13,0)</f>
        <v>#N/A</v>
      </c>
      <c r="JN13" s="217" t="e">
        <f ca="1">IF(Control!$C$114=1,($JG13/(IF($JI13&lt;&gt;0,$JI13,1)))*$JK13, 0)</f>
        <v>#N/A</v>
      </c>
      <c r="JO13" s="218" t="e">
        <f t="shared" ca="1" si="64"/>
        <v>#N/A</v>
      </c>
      <c r="JP13" s="218" t="e">
        <f ca="1">MIN(($IY13+$IO13)*Control!$C$151, $JF13-$EH13*Control!$C$161)</f>
        <v>#N/A</v>
      </c>
      <c r="JQ13" s="218" t="e">
        <f t="shared" ca="1" si="65"/>
        <v>#N/A</v>
      </c>
      <c r="JR13" s="217" t="e">
        <f ca="1">IF($CP13-Control!$C$150&lt;0, 0, $JQ13/Control!$C$162)</f>
        <v>#N/A</v>
      </c>
      <c r="JS13" s="218" t="e">
        <f t="shared" ca="1" si="66"/>
        <v>#N/A</v>
      </c>
      <c r="JT13" s="218" t="e">
        <f t="shared" ca="1" si="168"/>
        <v>#N/A</v>
      </c>
      <c r="JU13" s="218" t="e">
        <f t="shared" ca="1" si="67"/>
        <v>#N/A</v>
      </c>
      <c r="JV13" s="218" t="e">
        <f t="shared" ca="1" si="68"/>
        <v>#N/A</v>
      </c>
      <c r="JW13" s="216" t="e">
        <f t="shared" ca="1" si="69"/>
        <v>#N/A</v>
      </c>
      <c r="JX13" s="91" t="e">
        <f t="shared" ca="1" si="70"/>
        <v>#N/A</v>
      </c>
      <c r="JY13" s="218" t="e">
        <f t="shared" ca="1" si="71"/>
        <v>#N/A</v>
      </c>
      <c r="JZ13" s="217" t="e">
        <f ca="1">IF(Control!$C$114=1,($IZ13/(IF($JI13&lt;&gt;0,$JI13,1)))*$JK13, 0)</f>
        <v>#N/A</v>
      </c>
      <c r="KA13" s="218" t="e">
        <f t="shared" ca="1" si="225"/>
        <v>#N/A</v>
      </c>
      <c r="KB13" s="218" t="e">
        <f t="shared" ca="1" si="169"/>
        <v>#N/A</v>
      </c>
      <c r="KC13" s="218" t="e">
        <f t="shared" ca="1" si="72"/>
        <v>#N/A</v>
      </c>
      <c r="KD13" s="218" t="e">
        <f t="shared" ca="1" si="73"/>
        <v>#N/A</v>
      </c>
      <c r="KE13" s="218" t="e">
        <f t="shared" ca="1" si="74"/>
        <v>#N/A</v>
      </c>
      <c r="KF13" s="218" t="e">
        <f t="shared" ca="1" si="75"/>
        <v>#N/A</v>
      </c>
      <c r="KG13" s="216" t="e">
        <f t="shared" ca="1" si="76"/>
        <v>#N/A</v>
      </c>
      <c r="KH13" s="221" t="e">
        <f ca="1">IF(Control!$B$24=0,1,MAX(0.001,MIN(1,IF(($IF13-$IE13)&lt;&gt;0,($KG13-$IE13)/($IF13-$IE13),1))))</f>
        <v>#N/A</v>
      </c>
      <c r="KI13" s="222" t="e">
        <f ca="1">IF(Control!$C$114=1, $KI12+ $KH12, 0)</f>
        <v>#N/A</v>
      </c>
      <c r="KJ13" s="217" t="e">
        <f t="shared" ca="1" si="77"/>
        <v>#N/A</v>
      </c>
      <c r="KK13" s="218" t="e">
        <f t="shared" ca="1" si="78"/>
        <v>#N/A</v>
      </c>
      <c r="KL13" s="274" t="e">
        <f ca="1">IF(Control!$B$26=3,4000000000*EXP(-8400/($G13+273)),IF(Control!$B$26=4,4000000000*EXP(-8400/($G13+273))*($KT13),0))</f>
        <v>#DIV/0!</v>
      </c>
      <c r="KM13" s="274" t="e">
        <f ca="1">IF(Control!$B$26=3,5600000000000*EXP(-9800/($G13+273)),IF(Control!$B$26=4,5600000000000*EXP(-9800/($G13+273))*$KT13,0))</f>
        <v>#DIV/0!</v>
      </c>
      <c r="KN13" s="454" t="e">
        <f t="shared" ca="1" si="170"/>
        <v>#DIV/0!</v>
      </c>
      <c r="KO13" s="274" t="e">
        <f t="shared" ca="1" si="171"/>
        <v>#DIV/0!</v>
      </c>
      <c r="KP13" s="454" t="e">
        <f t="shared" ca="1" si="79"/>
        <v>#DIV/0!</v>
      </c>
      <c r="KQ13" s="454" t="e">
        <f t="shared" ca="1" si="80"/>
        <v>#DIV/0!</v>
      </c>
      <c r="KR13" s="454" t="e">
        <f t="shared" ca="1" si="81"/>
        <v>#DIV/0!</v>
      </c>
      <c r="KS13" s="454" t="e">
        <f t="shared" ca="1" si="82"/>
        <v>#DIV/0!</v>
      </c>
      <c r="KT13" s="455" t="e">
        <f t="shared" ca="1" si="83"/>
        <v>#DIV/0!</v>
      </c>
      <c r="KU13" s="456" t="e">
        <f ca="1">IF($CP13-Control!$C$149&lt;0, IF($NT13-0.01&lt;0,0,1),0)</f>
        <v>#N/A</v>
      </c>
      <c r="KV13" s="456" t="e">
        <f ca="1">IF(Control!$C$114=1,MAX(0,MIN(Control!$C$125*$KW13*$GN13,$KW13)))</f>
        <v>#DIV/0!</v>
      </c>
      <c r="KW13" s="456" t="e">
        <f t="shared" ca="1" si="208"/>
        <v>#DIV/0!</v>
      </c>
      <c r="KX13" s="457" t="e">
        <f ca="1">IF($CP13-Control!$C$149&lt;0, IF($MR13-$OM13&lt;0,0,1),0)</f>
        <v>#N/A</v>
      </c>
      <c r="KY13" s="167">
        <f t="shared" ca="1" si="172"/>
        <v>8</v>
      </c>
      <c r="KZ13" s="168">
        <f ca="1">1370*(1+0.033*COS(2*Control!$C$138*$AH13/365))</f>
        <v>1414.7819701622295</v>
      </c>
      <c r="LA13" s="169">
        <f t="shared" ca="1" si="173"/>
        <v>1.0326875709203633</v>
      </c>
      <c r="LB13" s="169">
        <f t="shared" ca="1" si="174"/>
        <v>-0.38842855786907049</v>
      </c>
      <c r="LC13" s="169">
        <f ca="1">ACOS(-TAN((2*Control!$B$8/360))*TAN(Calculations!$LB13))</f>
        <v>1.4488732732880865</v>
      </c>
      <c r="LD13" s="169">
        <f ca="1">((24*60)/PI())*0.082*$LA13*(($LC13*SIN(Control!$B$8*2*PI()/360))*SIN($LB13)+COS(Control!$B$8*2*PI()/360)*COS($LB13)*SIN($LC13))</f>
        <v>5.1684186779069705</v>
      </c>
      <c r="LE13" s="170">
        <f t="shared" ca="1" si="84"/>
        <v>6.7446161353847103</v>
      </c>
      <c r="LF13" s="170">
        <f ca="1">SIN(Control!$C$139*Control!$B$8)*SIN($HD13)</f>
        <v>-0.29865507442068845</v>
      </c>
      <c r="LG13" s="170">
        <f ca="1">COS(Control!$C$139*Control!$B$8)*COS($HD13)</f>
        <v>0.56973001134857515</v>
      </c>
      <c r="LH13" s="170">
        <f ca="1">12*(1+2*ASIN(MAX(-1,MIN(1,$LF13/$LG13))/Control!$C$138))</f>
        <v>7.9765619590703878</v>
      </c>
      <c r="LI13" s="170">
        <f ca="1">12*(1+2*ASIN(MAX(-1,MIN(1,(-SIN(-4*Control!$C$139)+$LF13)/$LG13))/Control!$C$138))</f>
        <v>8.9223087500062235</v>
      </c>
      <c r="LJ13" s="168">
        <f ca="1">3600*($LH13*$LF13+24*$LG13*SQRT(1-$LK13*$LK13)/Control!$C$138)</f>
        <v>4767.247729776569</v>
      </c>
      <c r="LK13" s="170">
        <f t="shared" ca="1" si="85"/>
        <v>-0.52420456790359204</v>
      </c>
      <c r="LL13" s="170">
        <f t="shared" ca="1" si="86"/>
        <v>0</v>
      </c>
      <c r="LM13" s="171">
        <f ca="1">Control!$C$145*$AB13</f>
        <v>6.6660906138995932E-2</v>
      </c>
      <c r="LN13" s="170">
        <f t="shared" ca="1" si="175"/>
        <v>0.54</v>
      </c>
      <c r="LO13" s="170">
        <f t="shared" ca="1" si="87"/>
        <v>0</v>
      </c>
      <c r="LP13" s="170">
        <f ca="1">Control!$C$140*((($D13+273.16)^4+($E13+273.16)^4)/2)*(0.34-0.14*SQRT($Y13))*(1.35*$AQ13/(0.75*$LD13)-0.35)</f>
        <v>-3.2464704755046001</v>
      </c>
      <c r="LQ13" s="170">
        <f ca="1">Control!$C$140*($G13+273)^4*(0.56-0.079*SQRT($Y13*10))*(0.1+0.9*$LO13)</f>
        <v>1.5241745131704001</v>
      </c>
      <c r="LR13" s="170">
        <f ca="1">$AQ13*(1-Control!$C$142)-$LQ13</f>
        <v>-1.5241745131704001</v>
      </c>
      <c r="LS13" s="170">
        <f ca="1">$AQ13*(1-Control!$C$143)-$LQ13</f>
        <v>-1.5241745131704001</v>
      </c>
      <c r="LT13" s="170">
        <f ca="1">$AQ13*(1-Control!$C$144)-$LQ13</f>
        <v>-1.5241745131704001</v>
      </c>
      <c r="LU13" s="169">
        <f ca="1">(1-Control!$C$144)*AQ13-LP13</f>
        <v>3.2464704755046001</v>
      </c>
      <c r="LV13" s="172">
        <f t="shared" ca="1" si="88"/>
        <v>0.79430000000000012</v>
      </c>
      <c r="LW13" s="170">
        <f t="shared" ca="1" si="89"/>
        <v>1.5886000000000002</v>
      </c>
      <c r="LX13" s="170">
        <f ca="1">($AC13*($LR13/Control!$C$141)+$LM13*$LV13)/($AC13+$LM13)</f>
        <v>0.23530094218323697</v>
      </c>
      <c r="LY13" s="170">
        <f ca="1">($AC13*($LS13/Control!$C$141)+$LM13*$LV13)/($AC13+$LM13)</f>
        <v>0.23530094218323697</v>
      </c>
      <c r="LZ13" s="170">
        <f t="shared" ca="1" si="90"/>
        <v>0.23530094218323697</v>
      </c>
      <c r="MA13" s="170">
        <f t="shared" ca="1" si="91"/>
        <v>0.23530094218323697</v>
      </c>
      <c r="MB13" s="170" t="e">
        <f t="shared" ca="1" si="92"/>
        <v>#N/A</v>
      </c>
      <c r="MC13" s="170">
        <f t="shared" ca="1" si="176"/>
        <v>0.6018</v>
      </c>
      <c r="MD13" s="170">
        <f t="shared" ca="1" si="93"/>
        <v>0.52989392535414004</v>
      </c>
      <c r="ME13" s="170">
        <f ca="1">($AC13*($LT13/Control!$C$141)+$LM13*$LW13)/($AC13+$LM13)</f>
        <v>0.71612369323045078</v>
      </c>
      <c r="MF13" s="170" t="e">
        <f ca="1">IF(Control!$B$16&gt;=1000,0.92,IF(AND(720&lt;=Control!$B$16,1000&gt;Control!$B$16),(0.95+(Control!$B$16-720)*((0.92-0.95)/(1000-720))),IF(AND(360&lt;=Control!$B$16,720&gt;Control!$B$16),(1+(Control!$B$16-360)*((0.95-1)/(720-360))),IF(AND(40&lt;=Control!$B$16,360&gt;Control!$B$16),(1.05+(Control!$B$16-40)*((1.05-1)/(360-40)))))))</f>
        <v>#N/A</v>
      </c>
      <c r="MG13" s="170">
        <f t="shared" ca="1" si="94"/>
        <v>0.71612369323045078</v>
      </c>
      <c r="MH13" s="170" t="e">
        <f t="shared" ca="1" si="95"/>
        <v>#N/A</v>
      </c>
      <c r="MI13" s="170" t="e">
        <f t="shared" ca="1" si="95"/>
        <v>#N/A</v>
      </c>
      <c r="MJ13" s="170" t="e">
        <f ca="1">MAX(0.0001, Control!$C$132*$MI13*$DL13)</f>
        <v>#N/A</v>
      </c>
      <c r="MK13" s="170">
        <f ca="1">1/(0.76+1.5*($MG13/10))-(5-Control!$C$110)*0.1</f>
        <v>1.002845988140797</v>
      </c>
      <c r="ML13" s="173">
        <f ca="1">IF(Control!$C$110&lt;3,$MK13+($MG13-0.6)/(Control!$C$110*(Control!$C$110+3)), MAX(0.1, MIN(0.95,$MK13)))</f>
        <v>0.95</v>
      </c>
      <c r="MM13" s="173">
        <f ca="1">IF(Control!$C$110&lt;3,$MK13+(($MI13/10)-0.6)/(Control!$C$110*(Control!$C$110+3)), MAX(0.1, MIN(0.95,$MK13)))</f>
        <v>0.95</v>
      </c>
      <c r="MN13" s="173">
        <f ca="1">(1-$MM13)*(Control!$C$128-Control!$C$127)+Control!$C$127</f>
        <v>0.16</v>
      </c>
      <c r="MO13" s="170" t="e">
        <f ca="1">MAX(0,MIN(1,($MS13-Control!$C$127)/($MN13-Control!$C$127)))</f>
        <v>#DIV/0!</v>
      </c>
      <c r="MP13" s="173" t="e">
        <f ca="1">1/(0.76+1.5*$MI13)-(5-Control!$C$110)*0.1</f>
        <v>#N/A</v>
      </c>
      <c r="MQ13" s="172" t="e">
        <f t="shared" ca="1" si="209"/>
        <v>#DIV/0!</v>
      </c>
      <c r="MR13" s="168" t="e">
        <f t="shared" ca="1" si="226"/>
        <v>#DIV/0!</v>
      </c>
      <c r="MS13" s="173" t="e">
        <f ca="1">MAX(Control!$C$127, MIN(Control!$C$135, $MR13/MAX(0.0001,$CY13)))</f>
        <v>#DIV/0!</v>
      </c>
      <c r="MT13" s="168" t="e">
        <f ca="1">(Control!$C$128-$MS13)*Control!$C$74</f>
        <v>#DIV/0!</v>
      </c>
      <c r="MU13" s="168" t="e">
        <f ca="1">(Control!$C$135-$MS13)*Control!$C$74</f>
        <v>#DIV/0!</v>
      </c>
      <c r="MV13" s="168" t="e">
        <f t="shared" ca="1" si="210"/>
        <v>#DIV/0!</v>
      </c>
      <c r="MW13" s="168" t="e">
        <f t="shared" ca="1" si="177"/>
        <v>#DIV/0!</v>
      </c>
      <c r="MX13" s="171" t="e">
        <f ca="1">MAX(Control!$C$127, MIN(Control!$C$135, $MW13/MAX(0.0001,Control!$C$119-$CY13)))</f>
        <v>#DIV/0!</v>
      </c>
      <c r="MY13" s="54" t="e">
        <f ca="1">IF(Control!$C$114=1, $CX13*$MX13, 0)</f>
        <v>#DIV/0!</v>
      </c>
      <c r="MZ13" s="54" t="e">
        <f t="shared" ca="1" si="178"/>
        <v>#N/A</v>
      </c>
      <c r="NA13" s="168" t="e">
        <f ca="1">(Control!$C$128-$MX13)*(Control!$C$119-Control!$C$74)</f>
        <v>#DIV/0!</v>
      </c>
      <c r="NB13" s="168" t="e">
        <f ca="1">(Control!$C$135-$MX13)*(Control!$C$119-Control!$C$74)</f>
        <v>#DIV/0!</v>
      </c>
      <c r="NC13" s="174" t="e">
        <f t="shared" ca="1" si="179"/>
        <v>#DIV/0!</v>
      </c>
      <c r="ND13" s="54">
        <f ca="1">IF(Control!$C$58=2, IF(OR(Control!$B$218=$AH13,Control!$B$219=$AH13, Control!$B$220=$AH13, Control!$B$221=$AH13, Control!$B$222=$AH13, Control!$B$223=$AH13, Control!$B$224=$AH13, Control!$B$225=$AH13, Control!$B$226=$AH13, Control!$B$227=$AH13, Control!$B$228=$AH13), 1, 0), 0)</f>
        <v>0</v>
      </c>
      <c r="NE13" s="54">
        <f ca="1">IF($ND13=0,0, VLOOKUP($AH13,Control!$B$218:$C$228,2))</f>
        <v>0</v>
      </c>
      <c r="NF13" s="168" t="e">
        <f ca="1">$CY13*(Control!$C$128-Control!$C$127)</f>
        <v>#N/A</v>
      </c>
      <c r="NG13" s="54" t="e">
        <f ca="1">IF(Control!$C$58=2, $NI12-$NJ12, 0)</f>
        <v>#DIV/0!</v>
      </c>
      <c r="NH13" s="54" t="e">
        <f ca="1">IF(AND(Control!$C$58=1, $MS12&lt;= ($MN12+0.02), $I12&lt;10), 0, IF(Control!$C$58=2, $NG12, 0))</f>
        <v>#DIV/0!</v>
      </c>
      <c r="NI13" s="54" t="e">
        <f ca="1">IF(Control!$C$58=2, $NE13+$NH13,0)</f>
        <v>#DIV/0!</v>
      </c>
      <c r="NJ13" s="54" t="e">
        <f ca="1">IF(AND(Control!$C$58=1, $MS13&lt;= ($MN13+0.02), $I13&lt;10), MAX(0, MIN(10, 0.7*($NF13-$MV13))), IF(Control!$C$58=2, MIN(10,$NI13),0))</f>
        <v>#DIV/0!</v>
      </c>
      <c r="NK13" s="54" t="e">
        <f t="shared" ca="1" si="96"/>
        <v>#DIV/0!</v>
      </c>
      <c r="NL13" s="173" t="e">
        <f ca="1">(1-Control!$C$73)*$I13+$NJ13</f>
        <v>#DIV/0!</v>
      </c>
      <c r="NM13" s="172" t="e">
        <f ca="1">IF($NL13&lt;0.5, $MB13* MAX(0, MIN(1, (SQRT($NC13)-SQRT($NC13-1))*Control!$C$71)),0)</f>
        <v>#DIV/0!</v>
      </c>
      <c r="NN13" s="170" t="e">
        <f ca="1">IF($NL13&gt;=5, $MB13, MAX(0,MIN($MB13, $NM13+$NL13,($MS13-Control!$C$129))))</f>
        <v>#DIV/0!</v>
      </c>
      <c r="NO13" s="54">
        <f>IF(Control!$C$133&lt;&gt;1, Control!$C$135-Control!$C$131, 0)</f>
        <v>0.38</v>
      </c>
      <c r="NP13" s="54" t="e">
        <f t="shared" ca="1" si="97"/>
        <v>#DIV/0!</v>
      </c>
      <c r="NQ13" s="173" t="e">
        <f ca="1">MAX(0,MIN(1,(Control!$C$135-$MS13)/(Control!$C$135-$NO13)))</f>
        <v>#DIV/0!</v>
      </c>
      <c r="NR13" s="170" t="e">
        <f ca="1">IF(Control!$C$133&lt;&gt;1, $NQ13+((1-$NP13/4)*(1-$NQ13)),1)</f>
        <v>#DIV/0!</v>
      </c>
      <c r="NS13" s="170" t="e">
        <f ca="1">IF(Control!$B$31=0,$MJ13,MAX(0,MIN($MV13,$MO13*$NR13*$MJ13)))</f>
        <v>#DIV/0!</v>
      </c>
      <c r="NT13" s="170" t="e">
        <f t="shared" ca="1" si="227"/>
        <v>#DIV/0!</v>
      </c>
      <c r="NU13" s="170" t="e">
        <f t="shared" ca="1" si="180"/>
        <v>#N/A</v>
      </c>
      <c r="NV13" s="170" t="e">
        <f t="shared" ca="1" si="98"/>
        <v>#N/A</v>
      </c>
      <c r="NW13" s="175" t="e">
        <f t="shared" ca="1" si="99"/>
        <v>#DIV/0!</v>
      </c>
      <c r="NX13" s="170" t="e">
        <f ca="1">MIN(Control!$C$72+$MU13, $NW13)</f>
        <v>#DIV/0!</v>
      </c>
      <c r="NY13" s="170" t="e">
        <f ca="1">IF($MT13&lt;=$NX13,MIN(Control!$C$72+$NB13,$NX13-$MT13),0)</f>
        <v>#DIV/0!</v>
      </c>
      <c r="NZ13" s="54" t="e">
        <f ca="1">IF(Control!$C$114=1,  $CX13*($MX13-Control!$C$127), 0)</f>
        <v>#DIV/0!</v>
      </c>
      <c r="OA13" s="170" t="e">
        <f t="shared" ca="1" si="181"/>
        <v>#DIV/0!</v>
      </c>
      <c r="OB13" s="170" t="e">
        <f ca="1">IF($NA13 &lt;=$NY13, MIN(Control!$C$72, $NY13-$NA13), 0)</f>
        <v>#DIV/0!</v>
      </c>
      <c r="OC13" s="168" t="e">
        <f t="shared" ca="1" si="100"/>
        <v>#DIV/0!</v>
      </c>
      <c r="OD13" s="168" t="e">
        <f t="shared" ca="1" si="182"/>
        <v>#DIV/0!</v>
      </c>
      <c r="OE13" s="170">
        <f ca="1">Control!$C$73*$I13</f>
        <v>0</v>
      </c>
      <c r="OF13" s="176" t="e">
        <f t="shared" ca="1" si="101"/>
        <v>#DIV/0!</v>
      </c>
      <c r="OG13" s="168" t="e">
        <f t="shared" ca="1" si="102"/>
        <v>#DIV/0!</v>
      </c>
      <c r="OH13" s="168" t="e">
        <f t="shared" ca="1" si="103"/>
        <v>#DIV/0!</v>
      </c>
      <c r="OI13" s="168" t="e">
        <f t="shared" ca="1" si="104"/>
        <v>#DIV/0!</v>
      </c>
      <c r="OJ13" s="168" t="e">
        <f t="shared" ca="1" si="105"/>
        <v>#DIV/0!</v>
      </c>
      <c r="OK13" s="204" t="e">
        <f t="shared" ca="1" si="183"/>
        <v>#DIV/0!</v>
      </c>
      <c r="OL13" s="177">
        <f>Control!$C$127</f>
        <v>0.15</v>
      </c>
      <c r="OM13" s="182" t="e">
        <f t="shared" ca="1" si="106"/>
        <v>#N/A</v>
      </c>
      <c r="ON13" s="177">
        <f>Control!$C$128</f>
        <v>0.35</v>
      </c>
      <c r="OO13" s="182" t="e">
        <f t="shared" ca="1" si="107"/>
        <v>#N/A</v>
      </c>
      <c r="OP13" s="138">
        <f t="shared" ca="1" si="184"/>
        <v>0</v>
      </c>
      <c r="OQ13" s="138" t="e">
        <f t="shared" ca="1" si="211"/>
        <v>#DIV/0!</v>
      </c>
      <c r="OR13" s="138" t="e">
        <f t="shared" ca="1" si="185"/>
        <v>#DIV/0!</v>
      </c>
      <c r="OS13" s="137" t="e">
        <f t="shared" ca="1" si="212"/>
        <v>#DIV/0!</v>
      </c>
      <c r="OT13" s="139" t="e">
        <f t="shared" ca="1" si="213"/>
        <v>#DIV/0!</v>
      </c>
      <c r="OU13" s="138" t="e">
        <f t="shared" ca="1" si="214"/>
        <v>#N/A</v>
      </c>
      <c r="OV13" s="138" t="e">
        <f t="shared" ca="1" si="215"/>
        <v>#DIV/0!</v>
      </c>
      <c r="OW13" s="138" t="e">
        <f t="shared" ca="1" si="186"/>
        <v>#DIV/0!</v>
      </c>
      <c r="OX13" s="138" t="e">
        <f t="shared" ca="1" si="187"/>
        <v>#DIV/0!</v>
      </c>
      <c r="OY13" s="138" t="e">
        <f t="shared" ca="1" si="188"/>
        <v>#DIV/0!</v>
      </c>
      <c r="OZ13" s="138" t="e">
        <f t="shared" ca="1" si="108"/>
        <v>#DIV/0!</v>
      </c>
      <c r="PA13" s="138" t="e">
        <f t="shared" ca="1" si="109"/>
        <v>#DIV/0!</v>
      </c>
      <c r="PB13" s="55">
        <f>IF(Control!$C$61="T", IF(Control!$C$65="F", IF($AH$6-Control!$C$60&lt;0,0,1), IF(365+$AH$6-Control!$C$60&lt;0,0,1)),0)</f>
        <v>0</v>
      </c>
      <c r="PC13" s="55">
        <f ca="1">IF(Control!$C$65="F", IF($AH$6-$HF13&lt;0,0,1), IF(365+$AH$6-$HF13&lt;0,0,1))</f>
        <v>1</v>
      </c>
      <c r="PD13" s="444">
        <f>Control!$C$118</f>
        <v>1500</v>
      </c>
      <c r="PE13" s="180" t="e">
        <f t="shared" ca="1" si="110"/>
        <v>#N/A</v>
      </c>
      <c r="PF13" s="445">
        <f t="shared" ca="1" si="189"/>
        <v>0.71612369323045078</v>
      </c>
      <c r="PT13" s="186"/>
      <c r="PU13" s="186"/>
      <c r="PV13" s="94"/>
      <c r="PW13" s="94"/>
      <c r="PX13" s="94"/>
      <c r="PY13" s="94"/>
      <c r="PZ13" s="94"/>
      <c r="QA13" s="94"/>
      <c r="QB13" s="94"/>
      <c r="QC13" s="94"/>
      <c r="QD13" s="94"/>
      <c r="QE13" s="94"/>
      <c r="QF13" s="94"/>
      <c r="QG13" s="94"/>
      <c r="QH13" s="94"/>
      <c r="QI13" s="94"/>
      <c r="QJ13" s="94"/>
      <c r="QK13" s="94"/>
      <c r="QL13" s="94"/>
      <c r="QM13" s="94"/>
      <c r="QN13" s="94"/>
      <c r="QO13" s="94"/>
      <c r="QP13" s="94"/>
    </row>
    <row r="14" spans="1:458" s="2" customFormat="1" x14ac:dyDescent="0.2">
      <c r="A14" s="386">
        <v>9</v>
      </c>
      <c r="B14" s="387">
        <v>1</v>
      </c>
      <c r="C14" s="387">
        <f ca="1">Weather_data!$B13</f>
        <v>0</v>
      </c>
      <c r="D14" s="388">
        <f ca="1">Weather_data!$F13</f>
        <v>0</v>
      </c>
      <c r="E14" s="388">
        <f ca="1">Weather_data!$E13</f>
        <v>0</v>
      </c>
      <c r="F14" s="388">
        <f t="shared" ca="1" si="111"/>
        <v>0</v>
      </c>
      <c r="G14" s="388">
        <f ca="1">AVERAGE($D14:$E14)+Control!$B$9</f>
        <v>0</v>
      </c>
      <c r="H14" s="388">
        <f ca="1">Weather_data!$G13</f>
        <v>0</v>
      </c>
      <c r="I14" s="388">
        <f ca="1">Weather_data!$I13</f>
        <v>0</v>
      </c>
      <c r="J14" s="388">
        <f ca="1">Weather_data!$H13</f>
        <v>0</v>
      </c>
      <c r="K14" s="389">
        <f ca="1">Weather_data!$D13</f>
        <v>0</v>
      </c>
      <c r="L14" s="388" t="e">
        <f t="shared" ca="1" si="112"/>
        <v>#N/A</v>
      </c>
      <c r="M14" s="388" t="e">
        <f t="shared" ca="1" si="0"/>
        <v>#N/A</v>
      </c>
      <c r="N14" s="388">
        <f t="shared" ca="1" si="1"/>
        <v>-0.21523360499999997</v>
      </c>
      <c r="O14" s="388">
        <f t="shared" ca="1" si="113"/>
        <v>2.1523360499999997</v>
      </c>
      <c r="P14" s="390">
        <v>3</v>
      </c>
      <c r="Q14" s="388">
        <f ca="1">MAX($G14-Control!$C$107,0)</f>
        <v>0</v>
      </c>
      <c r="R14" s="388">
        <f t="shared" ca="1" si="114"/>
        <v>0</v>
      </c>
      <c r="S14" s="388">
        <f t="shared" ca="1" si="2"/>
        <v>0</v>
      </c>
      <c r="T14" s="388">
        <f t="shared" ca="1" si="3"/>
        <v>0</v>
      </c>
      <c r="U14" s="59">
        <f t="shared" ca="1" si="4"/>
        <v>0</v>
      </c>
      <c r="V14" s="391">
        <f ca="1">MAX(0,MIN(Control!$C$100-Control!$C$99,$G14-Control!$C$99)*Control!$C$63)</f>
        <v>0</v>
      </c>
      <c r="W14" s="388">
        <f t="shared" ca="1" si="190"/>
        <v>0</v>
      </c>
      <c r="X14" s="388">
        <f t="shared" ca="1" si="115"/>
        <v>0.6110000000000001</v>
      </c>
      <c r="Y14" s="388">
        <f t="shared" ca="1" si="116"/>
        <v>0</v>
      </c>
      <c r="Z14" s="388">
        <f t="shared" ca="1" si="117"/>
        <v>0.61058800000000002</v>
      </c>
      <c r="AA14" s="388">
        <f t="shared" ca="1" si="5"/>
        <v>0.6018</v>
      </c>
      <c r="AB14" s="388">
        <f ca="1">101.3*EXP(-0.034*Control!$C$66/($G14+273))</f>
        <v>100.69623283836242</v>
      </c>
      <c r="AC14" s="392">
        <f t="shared" ca="1" si="6"/>
        <v>4.3460251046025113E-2</v>
      </c>
      <c r="AD14" s="392">
        <f t="shared" ca="1" si="7"/>
        <v>4.4450382862832649E-2</v>
      </c>
      <c r="AE14" s="388">
        <f t="shared" ca="1" si="8"/>
        <v>0</v>
      </c>
      <c r="AF14" s="388">
        <f ca="1">MAX(0,$G14-Control!$C$92)</f>
        <v>0</v>
      </c>
      <c r="AG14" s="393">
        <f t="shared" ca="1" si="118"/>
        <v>9</v>
      </c>
      <c r="AH14" s="389">
        <f t="shared" ca="1" si="9"/>
        <v>9</v>
      </c>
      <c r="AI14" s="388">
        <f t="shared" ca="1" si="119"/>
        <v>-0.38639668328411675</v>
      </c>
      <c r="AJ14" s="388">
        <f ca="1">IF(Control!$C$60&lt;=0,$HH14,$HI14)</f>
        <v>1</v>
      </c>
      <c r="AK14" s="388">
        <f t="shared" ca="1" si="10"/>
        <v>-1.2222086487938373</v>
      </c>
      <c r="AL14" s="388">
        <f t="shared" ca="1" si="11"/>
        <v>1.6005339414926211E-18</v>
      </c>
      <c r="AM14" s="388">
        <f t="shared" ca="1" si="12"/>
        <v>-1.2222086487938373</v>
      </c>
      <c r="AN14" s="388">
        <f t="shared" ca="1" si="13"/>
        <v>-0.38318323168102897</v>
      </c>
      <c r="AO14" s="388">
        <f ca="1">-0.10453/COS(Control!$B$8*PI()/180)*COS(AN14)</f>
        <v>-0.15747193118981923</v>
      </c>
      <c r="AP14" s="388">
        <f ca="1">ACOS(AO14-TAN(Control!$B$8*PI()/180)*TAN(AN14))</f>
        <v>1.2041535127420218</v>
      </c>
      <c r="AQ14" s="388">
        <f t="shared" ca="1" si="120"/>
        <v>0</v>
      </c>
      <c r="AR14" s="394">
        <f t="shared" ca="1" si="14"/>
        <v>0</v>
      </c>
      <c r="AS14" s="436">
        <f ca="1">IF(Control!$B$18=2,(IF(OR($AH14=Control!$B$175,$AH14=Control!$B$176,$AH14=Control!$B$177,$AH14=Control!$B$178,$AH14=Control!$B$179,$AH14=Control!$B$180,$AH14=Control!$B$181,$AH14=Control!$B$182,$AH14=Control!$B$183,$AH14=Control!$B$184,$AH14=Control!$B$185),1,0)),0)</f>
        <v>0</v>
      </c>
      <c r="AT14" s="436">
        <f>IF(Control!$B$20=8,IF(AND($AH14&gt;=Control!$B$172,$AH14&lt;=Control!$B$173),1,0),0)</f>
        <v>0</v>
      </c>
      <c r="AU14" s="436">
        <f>IF(Control!$B$20=8,IF($AV13=1,1*$AT14,IF($AT14=1,$AU13+1,$AU13)),0)</f>
        <v>0</v>
      </c>
      <c r="AV14" s="436">
        <f>IF(Control!$B$20=8,IF($AU14&gt;=Control!$B$174,1,0),0)</f>
        <v>0</v>
      </c>
      <c r="AW14" s="436">
        <f ca="1">IF(AND(Control!$B$18=2,Control!$B$171=1), $AV14, $AS14)</f>
        <v>0</v>
      </c>
      <c r="AX14" s="436" t="e">
        <f ca="1">IF(AND(Control!$B$18=1,$EU14&gt;=Control!$B$19),-$AY14,IF(AND(Control!$B$18=2,$AW14=1,$EU14&gt;$DS14),-$AY14, IF(Control!$C$108=0,0, IF(Control!$C$108&lt;&gt;0,1))))</f>
        <v>#N/A</v>
      </c>
      <c r="AY14" s="436" t="e">
        <f t="shared" ca="1" si="121"/>
        <v>#N/A</v>
      </c>
      <c r="AZ14" s="436" t="e">
        <f ca="1">IF(AND(Control!$B$18=1,$EB14&gt;Control!$B$19),$AZ13+1, IF(AND(Control!$B$18=2, $AW14=1, $EB14&gt;$DS14), $AZ13+1,$AZ13))</f>
        <v>#N/A</v>
      </c>
      <c r="BA14" s="587">
        <f>IF(Control!$C$81=0,1,IF($AH14&gt;=Control!$C$82,1,0))</f>
        <v>1</v>
      </c>
      <c r="BB14" s="140" t="e">
        <f ca="1">IF($BA14&gt;$BA13,Control!$C$83,IF($AW14&gt;0,$AW14*Control!$C$84,IF(AND(Control!$B$18=1,EN13&lt;&gt;0),Control!$C$84,0)))</f>
        <v>#N/A</v>
      </c>
      <c r="BC14" s="140" t="e">
        <f t="shared" ca="1" si="122"/>
        <v>#N/A</v>
      </c>
      <c r="BD14" s="140" t="e">
        <f ca="1">BC14*IF(OR($G14&lt;Control!$C$92,$G14&gt;Control!$C$95),0,IF(AND($G14&gt;=Control!$C$92,$G14&lt;=Control!$C$93),$G14-Control!$C$92,IF(AND($G14&gt;Control!$C$93,$G14&lt;=Control!$C$94),Control!$C$93-Control!$C$92,IF(AND($G14&gt;Control!$C$94,$G14&lt;=Control!$C$95),(Control!$C$93-Control!$C$92)*(Control!$C$94-$G14)/(Control!$C$95-Control!$C$94)))))</f>
        <v>#N/A</v>
      </c>
      <c r="BE14" s="140" t="e">
        <f t="shared" ca="1" si="123"/>
        <v>#N/A</v>
      </c>
      <c r="BF14" s="140" t="e">
        <f ca="1">IF($BE14&lt;=Control!$C$86,$BE14,Control!$C$86-$BE14)</f>
        <v>#N/A</v>
      </c>
      <c r="BG14" s="140" t="e">
        <f ca="1">IF(AND($AW14=1,Control!$C$84&lt;9),1,IF($BE14&gt;=Control!$C$86,0,$BC14))</f>
        <v>#N/A</v>
      </c>
      <c r="BH14" s="404" t="e">
        <f ca="1">IF($BG14=0,0,IF($BE14&lt;=Control!$C$86,$BC14*9*($BF14/Control!$C$86),0))</f>
        <v>#N/A</v>
      </c>
      <c r="BI14" s="140" t="e">
        <f ca="1">IF($BG14=1,0,IF($BE14&gt;=Control!$C$86,1,IF(AND($BB14&lt;21,$BB14&gt;=9),1,$BM13)))</f>
        <v>#N/A</v>
      </c>
      <c r="BJ14" s="140" t="e">
        <f ca="1">IF($BF14&lt;0,-$BF14,$BI14*IF(OR($G14&lt;Control!$C$92,$G14&gt;Control!$C$95),0,IF(AND($G14&gt;=Control!$C$92,$G14&lt;=Control!$C$93),$G14-Control!$C$92,IF(AND($G14&gt;Control!$C$93,$G14&lt;=Control!$C$94),Control!$C$93-Control!$C$92,IF(AND($G14&gt;Control!$C$94,$G14&lt;=Control!$C$95),(Control!$C$93-Control!$C$92)*(Control!$C$94-$G14)/(Control!$C$95-Control!$C$94))))))</f>
        <v>#N/A</v>
      </c>
      <c r="BK14" s="140" t="e">
        <f t="shared" ca="1" si="124"/>
        <v>#N/A</v>
      </c>
      <c r="BL14" s="140" t="e">
        <f ca="1">IF($BK14&lt;=Control!$C$87,$BK14,Control!$C$87-$BK14)</f>
        <v>#N/A</v>
      </c>
      <c r="BM14" s="140" t="e">
        <f ca="1">IF(AND($BB14&gt;=9,$BB14&lt;21),1,IF($BK14&gt;=Control!$C$87,0,$BI14))</f>
        <v>#N/A</v>
      </c>
      <c r="BN14" s="404" t="e">
        <f ca="1">IF($BM14=0,0,IF($BK14&lt;=Control!$C$87,$BI14*(9+(21-9)*($BL14/Control!$C$87)),0))</f>
        <v>#N/A</v>
      </c>
      <c r="BO14" s="140" t="e">
        <f ca="1">IF($BM14=1,0,IF($BK14&gt;=Control!$C$87,1,IF(AND($BB14&lt;30,$BB14&gt;=21),1,$BS13)))</f>
        <v>#N/A</v>
      </c>
      <c r="BP14" s="140" t="e">
        <f ca="1">IF($BL14&lt;0,-$BL14,$BO14*IF(OR($G14&lt;Control!$C$92,$G14&gt;Control!$C$95),0,IF(AND($G14&gt;=Control!$C$92,$G14&lt;=Control!$C$93),$G14-Control!$C$92,IF(AND($G14&gt;Control!$C$93,$G14&lt;=Control!$C$94),Control!$C$93-Control!$C$92,IF(AND($G14&gt;Control!$C$94,$G14&lt;=Control!$C$95),(Control!$C$93-Control!$C$92)*(Control!$C$94-$G14)/(Control!$C$95-Control!$C$94))))))</f>
        <v>#N/A</v>
      </c>
      <c r="BQ14" s="140" t="e">
        <f t="shared" ca="1" si="15"/>
        <v>#N/A</v>
      </c>
      <c r="BR14" s="140" t="e">
        <f ca="1">IF($BQ14&lt;=Control!$C$88,$BQ14,Control!$C$88-$BQ14)</f>
        <v>#N/A</v>
      </c>
      <c r="BS14" s="140" t="e">
        <f ca="1">IF(AND($BB14&gt;=21,$BB14&lt;30),1,IF($BQ14&gt;=Control!$C$88,0,$BO14))</f>
        <v>#N/A</v>
      </c>
      <c r="BT14" s="404" t="e">
        <f ca="1">IF($BS14=0,0,IF($BQ14&lt;=Control!$C$88,$BO14*(21+(30-21)*(BR14/Control!$C$88)),0))</f>
        <v>#N/A</v>
      </c>
      <c r="BU14" s="140" t="e">
        <f ca="1">IF(BG14+BM14+BS14=1,0,IF(OR(AND($BB14&lt;60,$BB14&gt;=30),$BQ14&gt;=Control!$C$88),1*$BA14,$BY13))</f>
        <v>#N/A</v>
      </c>
      <c r="BV14" s="140" t="e">
        <f ca="1">IF($BR14&lt;0,-$BR14,$BU14*IF(OR($G14&lt;Control!$C$92,$G14&gt;Control!$C$95),0,IF(AND($G14&gt;=Control!$C$92,$G14&lt;=Control!$C$93),$G14-Control!$C$92,IF(AND($G14&gt;Control!$C$93,$G14&lt;=Control!$C$94),Control!$C$93-Control!$C$92,IF(AND($G14&gt;Control!$C$94,$G14&lt;=Control!$C$95),(Control!$C$93-Control!$C$92)*(Control!$C$94-$G14)/(Control!$C$95-Control!$C$94))))))</f>
        <v>#N/A</v>
      </c>
      <c r="BW14" s="140" t="e">
        <f t="shared" ca="1" si="16"/>
        <v>#N/A</v>
      </c>
      <c r="BX14" s="140" t="e">
        <f ca="1">IF($BW14&lt;=Control!$C$89,$BW14,Control!$C$89-$BW14)</f>
        <v>#N/A</v>
      </c>
      <c r="BY14" s="140" t="e">
        <f ca="1">IF(AND($AJ14&gt;=30,$AJ14&lt;60),1,IF($BW14&gt;=Control!$C$89,0,$BU14))</f>
        <v>#N/A</v>
      </c>
      <c r="BZ14" s="404" t="e">
        <f ca="1">IF($BY14=0,0,IF($BW14&lt;=Control!$C$89,$BU14*(30+(60-30)*(BX14/Control!$C$89)),0))</f>
        <v>#N/A</v>
      </c>
      <c r="CA14" s="140" t="e">
        <f ca="1">IF($BG14+$BM14+$BS14+$BY14=1,0,IF(OR(AND($BB14&lt;65,$BB14&gt;=60),$BW14&gt;=Control!$C$89),1*$BA14,$CE13))</f>
        <v>#N/A</v>
      </c>
      <c r="CB14" s="140" t="e">
        <f ca="1">IF($BX14&lt;0,-$BX14,$CA14*IF(OR($G14&lt;Control!$C$92,$G14&gt;Control!$C$95),0,IF(AND($G14&gt;=Control!$C$92,$G14&lt;=Control!$C$93),$G14-Control!$C$92,IF(AND($G14&gt;Control!$C$93,$G14&lt;=Control!$C$94),Control!$C$93-Control!$C$92,IF(AND($G14&gt;Control!$C$94,$G14&lt;=Control!$C$95),(Control!$C$93-Control!$C$92)*(Control!$C$94-$G14)/(Control!$C$95-Control!$C$94))))))</f>
        <v>#N/A</v>
      </c>
      <c r="CC14" s="140" t="e">
        <f t="shared" ca="1" si="125"/>
        <v>#N/A</v>
      </c>
      <c r="CD14" s="140" t="e">
        <f ca="1">IF($CC14&lt;=Control!$C$90,$CC14,Control!$C$90-$CC14)</f>
        <v>#N/A</v>
      </c>
      <c r="CE14" s="140" t="e">
        <f ca="1">IF(AND($BB14&gt;=60,$BB14&lt;65),1,IF($CC14&gt;=Control!$C$90,0,$CA14))</f>
        <v>#N/A</v>
      </c>
      <c r="CF14" s="404" t="e">
        <f ca="1">IF($CE14=0,0,IF($CC14&lt;=Control!$C$90,$CA14*(60+(65-60)*(CD14/Control!$C$90)),0))</f>
        <v>#N/A</v>
      </c>
      <c r="CG14" s="140" t="e">
        <f ca="1">IF($BG14+$BM14+$BS14+$BY14+$CE14=1,0,IF(OR(AND($BB14&lt;90,$BB14&gt;=65),$CC14&gt;=Control!$C$90),$BA14,$CK13))</f>
        <v>#N/A</v>
      </c>
      <c r="CH14" s="140" t="e">
        <f ca="1">IF($CD14&lt;0,-$CD14,$CG14*IF(OR($G14&lt;Control!$C$92,$G14&gt;Control!$C$95),0,IF(AND($G14&gt;=Control!$C$92,$G14&lt;=Control!$C$93),$G14-Control!$C$92,IF(AND($G14&gt;Control!$C$93,$G14&lt;=Control!$C$94),Control!$C$93-Control!$C$92,IF(AND($G14&gt;Control!$C$94,$G14&lt;=Control!$C$95),(Control!$C$93-Control!$C$92)*(Control!$C$94-$G14)/(Control!$C$95-Control!$C$94))))))</f>
        <v>#N/A</v>
      </c>
      <c r="CI14" s="140" t="e">
        <f t="shared" ca="1" si="126"/>
        <v>#N/A</v>
      </c>
      <c r="CJ14" s="140" t="e">
        <f ca="1">IF($CI14&lt;=Control!$C$91,$CI14,Control!$C$91-$CI14)</f>
        <v>#N/A</v>
      </c>
      <c r="CK14" s="140" t="e">
        <f ca="1">IF(AND($BB14&gt;=65,$BB14&lt;90),1,IF($CI14&gt;=Control!$C$91,0,$CG14))</f>
        <v>#N/A</v>
      </c>
      <c r="CL14" s="404" t="e">
        <f ca="1">IF($CK14=0,0,IF($CI14&lt;=Control!$C$91,$CG14*(65+(90-65)*($CJ14/Control!$C$91)),0))</f>
        <v>#N/A</v>
      </c>
      <c r="CM14" s="140" t="e">
        <f ca="1">IF($BG14+$BM14+$BS14+$BY14+$CE14+$CK14=1,0,IF(OR($BB14&gt;=90,$CI14&gt;=Control!$C$91),$BA14,$CM13))</f>
        <v>#N/A</v>
      </c>
      <c r="CN14" s="140" t="e">
        <f t="shared" ca="1" si="127"/>
        <v>#N/A</v>
      </c>
      <c r="CO14" s="140" t="e">
        <f t="shared" ca="1" si="128"/>
        <v>#N/A</v>
      </c>
      <c r="CP14" s="140" t="e">
        <f t="shared" ca="1" si="129"/>
        <v>#N/A</v>
      </c>
      <c r="CQ14" s="141" t="e">
        <f ca="1">VLOOKUP($CP14,Control!$B$86:$G$91,6)</f>
        <v>#N/A</v>
      </c>
      <c r="CR14" s="141" t="e">
        <f ca="1">(1-$CQ14)*VLOOKUP($CP14,Control!$B$86:$D$91,3)</f>
        <v>#N/A</v>
      </c>
      <c r="CS14" s="141" t="e">
        <f ca="1">(1-$CQ14)*VLOOKUP($CP14,Control!$B$86:$E$91,4)</f>
        <v>#N/A</v>
      </c>
      <c r="CT14" s="141" t="e">
        <f ca="1">(1-$CQ14)*VLOOKUP($CP14,Control!$B$86:$F$91,5)</f>
        <v>#N/A</v>
      </c>
      <c r="CU14" s="141">
        <f t="shared" ca="1" si="130"/>
        <v>0</v>
      </c>
      <c r="CV14" s="583">
        <f t="shared" ca="1" si="131"/>
        <v>0</v>
      </c>
      <c r="CW14" s="142">
        <f t="shared" ca="1" si="132"/>
        <v>9</v>
      </c>
      <c r="CX14" s="612" t="e">
        <f ca="1">IF(Control!$C$114=1,(MIN(Control!$C$120*(IF($NT14-0.01&lt;0,0,1)),Control!$C$119-$CY14)))</f>
        <v>#DIV/0!</v>
      </c>
      <c r="CY14" s="143" t="e">
        <f t="shared" ca="1" si="133"/>
        <v>#N/A</v>
      </c>
      <c r="CZ14" s="144">
        <f t="shared" ca="1" si="17"/>
        <v>0</v>
      </c>
      <c r="DA14" s="144">
        <f t="shared" ca="1" si="18"/>
        <v>0</v>
      </c>
      <c r="DB14" s="144" t="e">
        <f t="shared" ca="1" si="19"/>
        <v>#N/A</v>
      </c>
      <c r="DC14" s="144" t="e">
        <f t="shared" ca="1" si="20"/>
        <v>#N/A</v>
      </c>
      <c r="DD14" s="144" t="e">
        <f t="shared" ca="1" si="216"/>
        <v>#N/A</v>
      </c>
      <c r="DE14" s="143" t="e">
        <f t="shared" ca="1" si="135"/>
        <v>#N/A</v>
      </c>
      <c r="DF14" s="145" t="e">
        <f ca="1">$DR14*EXP(-Control!$C$158*(1-$KH14))</f>
        <v>#N/A</v>
      </c>
      <c r="DG14" s="146" t="e">
        <f ca="1">IF(Control!$C$114=1, $DF14*$EY14, 0)</f>
        <v>#N/A</v>
      </c>
      <c r="DH14" s="147" t="e">
        <f t="shared" ca="1" si="136"/>
        <v>#N/A</v>
      </c>
      <c r="DI14" s="144" t="e">
        <f t="shared" ca="1" si="191"/>
        <v>#N/A</v>
      </c>
      <c r="DJ14" s="147" t="e">
        <f ca="1">$EF14*Control!$C$109</f>
        <v>#N/A</v>
      </c>
      <c r="DK14" s="144" t="e">
        <f t="shared" ca="1" si="137"/>
        <v>#N/A</v>
      </c>
      <c r="DL14" s="144" t="e">
        <f t="shared" ca="1" si="21"/>
        <v>#N/A</v>
      </c>
      <c r="DM14" s="144" t="e">
        <f ca="1">IF(Control!$C$114=1, (1-EXP(-Control!$C$96*$DK14))*$AR14, 0)</f>
        <v>#N/A</v>
      </c>
      <c r="DN14" s="144">
        <f t="shared" ca="1" si="138"/>
        <v>0</v>
      </c>
      <c r="DO14" s="148">
        <f>Control!$C$97</f>
        <v>4</v>
      </c>
      <c r="DP14" s="145" t="e">
        <f t="shared" ca="1" si="139"/>
        <v>#N/A</v>
      </c>
      <c r="DQ14" s="145" t="e">
        <f ca="1">IF(AND($CP14&gt;=0,$CP14&lt;=90),Control!$C$111,Control!$C$111)</f>
        <v>#N/A</v>
      </c>
      <c r="DR14" s="145" t="e">
        <f t="shared" ca="1" si="22"/>
        <v>#N/A</v>
      </c>
      <c r="DS14" s="143" t="e">
        <f ca="1">Control!$B$22/$DR14</f>
        <v>#N/A</v>
      </c>
      <c r="DT14" s="149" t="e">
        <f ca="1">IF(AND(Control!$C$114=1,$KH14&lt;1),$IM14*$DF14, 0)</f>
        <v>#N/A</v>
      </c>
      <c r="DU14" s="144" t="e">
        <f t="shared" ca="1" si="192"/>
        <v>#N/A</v>
      </c>
      <c r="DV14" s="144">
        <f ca="1">IF($G14-Control!$C$107&lt;=0, 0, 0.83*LN(MAX($G14, 3))-0.8924)</f>
        <v>0</v>
      </c>
      <c r="DW14" s="144" t="e">
        <f t="shared" ca="1" si="23"/>
        <v>#N/A</v>
      </c>
      <c r="DX14" s="150" t="e">
        <f ca="1">MAX(0.01*(1+$CU14/Control!$C$102),0.05*($DK14-Control!$C$97)/Control!$C$97)</f>
        <v>#N/A</v>
      </c>
      <c r="DY14" s="151" t="e">
        <f ca="1">IF(Control!$C$114=1, $DI14*$FS14, 0)</f>
        <v>#N/A</v>
      </c>
      <c r="DZ14" s="196" t="e">
        <f t="shared" ca="1" si="140"/>
        <v>#N/A</v>
      </c>
      <c r="EA14" s="152">
        <f t="shared" ca="1" si="141"/>
        <v>9</v>
      </c>
      <c r="EB14" s="153" t="e">
        <f t="shared" ca="1" si="217"/>
        <v>#N/A</v>
      </c>
      <c r="EC14" s="153" t="e">
        <f t="shared" ca="1" si="142"/>
        <v>#N/A</v>
      </c>
      <c r="ED14" s="154" t="e">
        <f ca="1">IF(Control!$C$114=1, $HM14*$FY14-$FD14, 0)</f>
        <v>#DIV/0!</v>
      </c>
      <c r="EE14" s="155" t="e">
        <f ca="1">IF(Control!$C$114=1, $HM14*$FZ14-$FF14, 0)</f>
        <v>#DIV/0!</v>
      </c>
      <c r="EF14" s="153" t="e">
        <f t="shared" ca="1" si="193"/>
        <v>#N/A</v>
      </c>
      <c r="EG14" s="155" t="e">
        <f ca="1">IF(Control!$C$114=1, $GX14*$FW14-$FI14, 0)</f>
        <v>#DIV/0!</v>
      </c>
      <c r="EH14" s="153" t="e">
        <f t="shared" ca="1" si="143"/>
        <v>#N/A</v>
      </c>
      <c r="EI14" s="156" t="e">
        <f t="shared" ca="1" si="144"/>
        <v>#N/A</v>
      </c>
      <c r="EJ14" s="155" t="e">
        <f ca="1">IF(Control!$C$114=1, $HM14*$GB14, 0)</f>
        <v>#DIV/0!</v>
      </c>
      <c r="EK14" s="153" t="e">
        <f t="shared" ca="1" si="194"/>
        <v>#N/A</v>
      </c>
      <c r="EL14" s="153" t="e">
        <f t="shared" ca="1" si="24"/>
        <v>#N/A</v>
      </c>
      <c r="EM14" s="153" t="e">
        <f t="shared" ca="1" si="25"/>
        <v>#N/A</v>
      </c>
      <c r="EN14" s="153" t="e">
        <f ca="1">IF(Control!$C$108=1,IF(AND(Control!$B$18=1,$EB14&gt;=Control!$B$19),$EB14-$DS14,IF(AND(Control!$B$18=2,$AW14=1,$EB14&gt;$DS14),$EB14-$DS14,0)))</f>
        <v>#N/A</v>
      </c>
      <c r="EO14" s="153" t="e">
        <f ca="1">IF(Control!$C$108=1,IF(AND(Control!$B$18=1,$EB14&gt;=Control!$B$19),$EF14,IF(AND(Control!$B$18=2,$AW14=1),$EF14,0)))</f>
        <v>#N/A</v>
      </c>
      <c r="EP14" s="153" t="e">
        <f ca="1">IF(Control!$C$108=1,IF(AND(Control!$B$18=1,$EB14&gt;=Control!$B$19),$EK14,IF(AND(Control!$B$18=2,$AW14=1),$EK14,0)))</f>
        <v>#N/A</v>
      </c>
      <c r="EQ14" s="153" t="e">
        <f t="shared" ca="1" si="145"/>
        <v>#N/A</v>
      </c>
      <c r="ER14" s="153" t="e">
        <f t="shared" ca="1" si="195"/>
        <v>#N/A</v>
      </c>
      <c r="ES14" s="153" t="e">
        <f t="shared" ca="1" si="196"/>
        <v>#N/A</v>
      </c>
      <c r="ET14" s="153" t="e">
        <f t="shared" ca="1" si="197"/>
        <v>#N/A</v>
      </c>
      <c r="EU14" s="153" t="e">
        <f t="shared" ca="1" si="198"/>
        <v>#N/A</v>
      </c>
      <c r="EV14" s="153" t="e">
        <f t="shared" ca="1" si="146"/>
        <v>#N/A</v>
      </c>
      <c r="EW14" s="153" t="e">
        <f t="shared" ca="1" si="218"/>
        <v>#N/A</v>
      </c>
      <c r="EX14" s="153" t="e">
        <f t="shared" ca="1" si="26"/>
        <v>#N/A</v>
      </c>
      <c r="EY14" s="157" t="e">
        <f t="shared" ca="1" si="147"/>
        <v>#DIV/0!</v>
      </c>
      <c r="EZ14" s="154" t="e">
        <f t="shared" ca="1" si="27"/>
        <v>#DIV/0!</v>
      </c>
      <c r="FA14" s="153" t="e">
        <f t="shared" ca="1" si="199"/>
        <v>#N/A</v>
      </c>
      <c r="FB14" s="153" t="e">
        <f t="shared" ca="1" si="28"/>
        <v>#N/A</v>
      </c>
      <c r="FC14" s="193" t="e">
        <f t="shared" ca="1" si="29"/>
        <v>#N/A</v>
      </c>
      <c r="FD14" s="158" t="e">
        <f t="shared" ca="1" si="200"/>
        <v>#N/A</v>
      </c>
      <c r="FE14" s="158" t="e">
        <f t="shared" ca="1" si="148"/>
        <v>#N/A</v>
      </c>
      <c r="FF14" s="159" t="e">
        <f t="shared" ca="1" si="30"/>
        <v>#N/A</v>
      </c>
      <c r="FG14" s="160" t="e">
        <f t="shared" ca="1" si="149"/>
        <v>#N/A</v>
      </c>
      <c r="FH14" s="158" t="e">
        <f t="shared" ca="1" si="150"/>
        <v>#N/A</v>
      </c>
      <c r="FI14" s="159" t="e">
        <f t="shared" ca="1" si="31"/>
        <v>#N/A</v>
      </c>
      <c r="FJ14" s="160" t="e">
        <f t="shared" ca="1" si="151"/>
        <v>#N/A</v>
      </c>
      <c r="FK14" s="160" t="e">
        <f t="shared" ca="1" si="32"/>
        <v>#N/A</v>
      </c>
      <c r="FL14" s="160" t="e">
        <f t="shared" ca="1" si="229"/>
        <v>#N/A</v>
      </c>
      <c r="FM14" s="160" t="e">
        <f t="shared" ca="1" si="33"/>
        <v>#N/A</v>
      </c>
      <c r="FN14" s="158">
        <f t="shared" ca="1" si="219"/>
        <v>0.01</v>
      </c>
      <c r="FO14" s="160">
        <f>Control!$C$101</f>
        <v>50</v>
      </c>
      <c r="FP14" s="150" t="e">
        <f t="shared" ca="1" si="34"/>
        <v>#N/A</v>
      </c>
      <c r="FQ14" s="150" t="e">
        <f ca="1">MAX(0,(Control!$C$112*(($DK14-Control!$C$97)/Control!$C$97)))</f>
        <v>#N/A</v>
      </c>
      <c r="FR14" s="150" t="e">
        <f ca="1">(1-$NT14)*Control!$C$113</f>
        <v>#DIV/0!</v>
      </c>
      <c r="FS14" s="198" t="e">
        <f t="shared" ca="1" si="35"/>
        <v>#N/A</v>
      </c>
      <c r="FT14" s="161">
        <f t="shared" ca="1" si="152"/>
        <v>9</v>
      </c>
      <c r="FU14" s="162" t="e">
        <f ca="1">IF(Control!$B$34=1,VLOOKUP($CP14,Control!$B$86:$G$91,6),Control!$B$35)</f>
        <v>#N/A</v>
      </c>
      <c r="FV14" s="162" t="e">
        <f t="shared" ca="1" si="36"/>
        <v>#DIV/0!</v>
      </c>
      <c r="FW14" s="162" t="e">
        <f ca="1">IF(Control!$B$31=1,$FU14*$FV14,  $FU14)</f>
        <v>#N/A</v>
      </c>
      <c r="FX14" s="162" t="e">
        <f ca="1">IF(Control!$B$34=1,VLOOKUP($CP14,Control!$B$86:$G$91,3),Control!$B$36)</f>
        <v>#N/A</v>
      </c>
      <c r="FY14" s="162" t="e">
        <f t="shared" ca="1" si="37"/>
        <v>#N/A</v>
      </c>
      <c r="FZ14" s="162" t="e">
        <f ca="1">IF(Control!$B$34=1,VLOOKUP($CP14,Control!$B$86:$G$91,4),Control!$B$37)</f>
        <v>#N/A</v>
      </c>
      <c r="GA14" s="162" t="e">
        <f t="shared" ca="1" si="38"/>
        <v>#N/A</v>
      </c>
      <c r="GB14" s="162" t="e">
        <f ca="1">IF(Control!$B$34=1,VLOOKUP($CP14,Control!$B$86:$G$91,5),Control!$B$38)</f>
        <v>#N/A</v>
      </c>
      <c r="GC14" s="162" t="e">
        <f t="shared" ca="1" si="153"/>
        <v>#N/A</v>
      </c>
      <c r="GD14" s="162">
        <f t="shared" ca="1" si="39"/>
        <v>1</v>
      </c>
      <c r="GE14" s="162">
        <f t="shared" ca="1" si="40"/>
        <v>1</v>
      </c>
      <c r="GF14" s="162">
        <f ca="1">IF(AND(Control!$C$104=1, Control!$C$62="F"),$GE14,1)</f>
        <v>1</v>
      </c>
      <c r="GG14" s="162" t="e">
        <f ca="1">IF(Control!$B$16=40,0,IF(AND(Control!$B$16&gt;40,Control!$B$16&lt;=360),(Control!$B$16-40)*((1-0)/(360-40)),IF(AND(Control!$B$16&gt;360,Control!$B$16&lt;=720),(1+(Control!$B$16-360)*((1.25-1)/(720-360))),IF(AND(Control!$B$16&gt;720,Control!$B$16&lt;=1000),(1.25+(Control!$B$16-720)*((1.35-1.25)/(1000-720))),IF(AND(Control!$B$16&gt;1000,Control!$B$16&lt;=2000),(1.35+(Control!$B$16-1000)*0))))))</f>
        <v>#N/A</v>
      </c>
      <c r="GH14" s="162" t="e">
        <f t="shared" ca="1" si="41"/>
        <v>#N/A</v>
      </c>
      <c r="GI14" s="162">
        <f t="shared" ca="1" si="201"/>
        <v>0</v>
      </c>
      <c r="GJ14" s="162">
        <f t="shared" ca="1" si="42"/>
        <v>0</v>
      </c>
      <c r="GK14" s="162">
        <f t="shared" ca="1" si="220"/>
        <v>1</v>
      </c>
      <c r="GL14" s="162">
        <f t="shared" ca="1" si="43"/>
        <v>1</v>
      </c>
      <c r="GM14" s="162" t="e">
        <f ca="1">MAX(0,MIN(1,1-Control!$C$156*(1.0001-$KH14)^2))</f>
        <v>#N/A</v>
      </c>
      <c r="GN14" s="162" t="e">
        <f ca="1">IF(Control!$B$26=1,$KU14,$KX14)</f>
        <v>#N/A</v>
      </c>
      <c r="GO14" s="162" t="e">
        <f ca="1">IF($CP14&lt;=60,Control!$C$105,IF($CP14&gt;=90,Control!$C$106,Control!$C$105+($CP14-60)*((Control!$C$106-Control!$C$105)/(90-60))))</f>
        <v>#N/A</v>
      </c>
      <c r="GP14" s="162" t="e">
        <f t="shared" ca="1" si="154"/>
        <v>#N/A</v>
      </c>
      <c r="GQ14" s="162" t="e">
        <f t="shared" ca="1" si="155"/>
        <v>#N/A</v>
      </c>
      <c r="GR14" s="163" t="e">
        <f t="shared" ca="1" si="44"/>
        <v>#DIV/0!</v>
      </c>
      <c r="GS14" s="162" t="e">
        <f t="shared" ca="1" si="45"/>
        <v>#DIV/0!</v>
      </c>
      <c r="GT14" s="164" t="e">
        <f t="shared" ca="1" si="156"/>
        <v>#N/A</v>
      </c>
      <c r="GU14" s="162" t="e">
        <f t="shared" ca="1" si="157"/>
        <v>#N/A</v>
      </c>
      <c r="GV14" s="162" t="e">
        <f t="shared" ca="1" si="46"/>
        <v>#N/A</v>
      </c>
      <c r="GW14" s="162" t="e">
        <f t="shared" ca="1" si="221"/>
        <v>#DIV/0!</v>
      </c>
      <c r="GX14" s="162" t="e">
        <f t="shared" ca="1" si="228"/>
        <v>#DIV/0!</v>
      </c>
      <c r="GY14" s="162" t="e">
        <f t="shared" ca="1" si="158"/>
        <v>#DIV/0!</v>
      </c>
      <c r="GZ14" s="165" t="e">
        <f t="shared" ca="1" si="159"/>
        <v>#N/A</v>
      </c>
      <c r="HA14" s="162" t="e">
        <f ca="1">IF(Control!$C$114=1, $DI14*$FS14, 0)</f>
        <v>#N/A</v>
      </c>
      <c r="HB14" s="162" t="e">
        <f ca="1">$FA14/Control!$C$64</f>
        <v>#N/A</v>
      </c>
      <c r="HC14" s="162" t="e">
        <f t="shared" ca="1" si="222"/>
        <v>#DIV/0!</v>
      </c>
      <c r="HD14" s="162">
        <f ca="1">-ASIN(SIN(23.45*Control!$C$139)*COS(2*Control!$C$138*($AH14+10)/365))</f>
        <v>-0.38639668328411675</v>
      </c>
      <c r="HE14" s="165">
        <f t="shared" ca="1" si="160"/>
        <v>0</v>
      </c>
      <c r="HF14" s="166">
        <f ca="1">IF(AND(Control!$C$61="T",$HE14&gt;=Control!$C$103,Control!$C$114=0),$AH14,Control!$C$59)</f>
        <v>1</v>
      </c>
      <c r="HG14" s="166">
        <f ca="1">IF(AND(Control!$C$61="T",$HE14&gt;=Control!$C$103,Control!$C$114=0),$HF14,Control!$C$59)</f>
        <v>1</v>
      </c>
      <c r="HH14" s="165">
        <f ca="1">IF(AND(OR(Control!$C$60&lt;=0, $AH14= Control!$C$59, Control!$C$60 &gt;0, $AH14 = Control!$C$60)), Control!$C$59, IF(Control!$C$60&gt;0, 0))</f>
        <v>1</v>
      </c>
      <c r="HI14" s="165">
        <f ca="1">IF(AND(OR(Control!$C$60&lt;=0, $AH14= Control!$C$59, Control!$C$60 &gt;0, $AH14 = Control!$C$60)), Control!$C$60, IF(Control!$C$60&lt;=0, 0))</f>
        <v>0</v>
      </c>
      <c r="HJ14" s="166">
        <f ca="1">IF(AND(Control!$C$62="F",$CV14&gt;=Control!$C$102),$AH14,0)</f>
        <v>0</v>
      </c>
      <c r="HK14" s="165" t="e">
        <f t="shared" ca="1" si="202"/>
        <v>#N/A</v>
      </c>
      <c r="HL14" s="166">
        <f ca="1">IF(AND(Control!$C$61="T",$HE14&gt;=Control!$C$103,Control!$C$114=0),$HF14,0)</f>
        <v>0</v>
      </c>
      <c r="HM14" s="201" t="e">
        <f t="shared" ca="1" si="47"/>
        <v>#DIV/0!</v>
      </c>
      <c r="HN14" s="215">
        <f t="shared" ca="1" si="161"/>
        <v>9</v>
      </c>
      <c r="HO14" s="216" t="e">
        <f ca="1">IF(AND($CP14&gt;=0, $CP14&lt;=90), Control!$C$152, Control!$C$152)</f>
        <v>#N/A</v>
      </c>
      <c r="HP14" s="216" t="e">
        <f t="shared" ca="1" si="48"/>
        <v>#N/A</v>
      </c>
      <c r="HQ14" s="217" t="e">
        <f ca="1">IF(OR(Control!$B$26=1,Control!$B$26=2),$KV14,$KS14)</f>
        <v>#DIV/0!</v>
      </c>
      <c r="HR14" s="218" t="e">
        <f t="shared" ca="1" si="223"/>
        <v>#DIV/0!</v>
      </c>
      <c r="HS14" s="216" t="e">
        <f ca="1">Control!$C$154*$HP14</f>
        <v>#N/A</v>
      </c>
      <c r="HT14" s="216" t="e">
        <f ca="1">Control!$C$155*$HP14</f>
        <v>#N/A</v>
      </c>
      <c r="HU14" s="217" t="e">
        <f ca="1">Control!$C$161*$FI14</f>
        <v>#N/A</v>
      </c>
      <c r="HV14" s="218" t="e">
        <f t="shared" ca="1" si="162"/>
        <v>#N/A</v>
      </c>
      <c r="HW14" s="218" t="e">
        <f ca="1">Control!$C$160*$FF14+$IP14*$EO14</f>
        <v>#N/A</v>
      </c>
      <c r="HX14" s="218" t="e">
        <f t="shared" ca="1" si="203"/>
        <v>#N/A</v>
      </c>
      <c r="HY14" s="219" t="e">
        <f ca="1">IF(Control!$C$114=1, $EB14*$FS14, 0)</f>
        <v>#N/A</v>
      </c>
      <c r="HZ14" s="91" t="e">
        <f t="shared" ca="1" si="49"/>
        <v>#N/A</v>
      </c>
      <c r="IA14" s="220" t="e">
        <f ca="1">Control!$C$153*$HO14</f>
        <v>#N/A</v>
      </c>
      <c r="IB14" s="218" t="e">
        <f t="shared" ca="1" si="50"/>
        <v>#N/A</v>
      </c>
      <c r="IC14" s="220" t="e">
        <f ca="1">Control!$C$153*$HT14</f>
        <v>#N/A</v>
      </c>
      <c r="ID14" s="218" t="e">
        <f t="shared" ca="1" si="51"/>
        <v>#N/A</v>
      </c>
      <c r="IE14" s="221" t="e">
        <f ca="1">($EB14*Control!$C$159+$EF14*Control!$C$160)/(IF($GZ14&lt;&gt;0,$GZ14,1))</f>
        <v>#N/A</v>
      </c>
      <c r="IF14" s="216" t="e">
        <f t="shared" ca="1" si="52"/>
        <v>#N/A</v>
      </c>
      <c r="IG14" s="91">
        <f ca="1">IF(OR(Control!$B$198=$AH14,Control!$B$199=$AH14, Control!$B$200=$AH14, Control!$B$201=$AH14, Control!$B$202=$AH14, Control!$B$203=$AH14, Control!$B$204=$AH14, Control!$B$205=$AH14, Control!$B$206=$AH14, Control!$B$207=$AH14), 1, 0)</f>
        <v>0</v>
      </c>
      <c r="IH14" s="91">
        <f ca="1">IF($IG14=0,0, VLOOKUP($AH14,Control!$B$198:$C$207,2))</f>
        <v>0</v>
      </c>
      <c r="II14" s="222">
        <f t="shared" ca="1" si="163"/>
        <v>0</v>
      </c>
      <c r="IJ14" s="91">
        <f>Control!$C$121</f>
        <v>0.7</v>
      </c>
      <c r="IK14" s="218">
        <f t="shared" ca="1" si="53"/>
        <v>0</v>
      </c>
      <c r="IL14" s="217" t="e">
        <f t="shared" ca="1" si="204"/>
        <v>#N/A</v>
      </c>
      <c r="IM14" s="223" t="e">
        <f ca="1">IF(AND(Control!$C$114=1,$KH14&lt;1),$EB14*Control!$C$148*(1-$KH14), 0)</f>
        <v>#N/A</v>
      </c>
      <c r="IN14" s="217" t="e">
        <f t="shared" ca="1" si="54"/>
        <v>#DIV/0!</v>
      </c>
      <c r="IO14" s="91" t="e">
        <f ca="1">MAX(0,$IL14-$EF14*Control!$C$160)</f>
        <v>#N/A</v>
      </c>
      <c r="IP14" s="220" t="e">
        <f t="shared" ca="1" si="55"/>
        <v>#N/A</v>
      </c>
      <c r="IQ14" s="217" t="e">
        <f t="shared" ca="1" si="164"/>
        <v>#N/A</v>
      </c>
      <c r="IR14" s="218" t="e">
        <f t="shared" ca="1" si="56"/>
        <v>#N/A</v>
      </c>
      <c r="IS14" s="217" t="e">
        <f ca="1">Control!$C$159*MAX(0,$FD14-$EN14)</f>
        <v>#N/A</v>
      </c>
      <c r="IT14" s="217" t="e">
        <f t="shared" ca="1" si="205"/>
        <v>#N/A</v>
      </c>
      <c r="IU14" s="217" t="e">
        <f t="shared" ca="1" si="165"/>
        <v>#N/A</v>
      </c>
      <c r="IV14" s="217" t="e">
        <f t="shared" ca="1" si="206"/>
        <v>#N/A</v>
      </c>
      <c r="IW14" s="217" t="e">
        <f ca="1">IF(OR($AW14=1,AND($AW14=0, Control!$B$18=1,$EN14&lt;&gt;0)), $IQ14-$IU14, $IQ14)</f>
        <v>#N/A</v>
      </c>
      <c r="IX14" s="218" t="e">
        <f t="shared" ca="1" si="57"/>
        <v>#N/A</v>
      </c>
      <c r="IY14" s="218" t="e">
        <f ca="1">MAX(0,$IQ14-$EB14*Control!$C$159)</f>
        <v>#N/A</v>
      </c>
      <c r="IZ14" s="218" t="e">
        <f t="shared" ca="1" si="58"/>
        <v>#N/A</v>
      </c>
      <c r="JA14" s="216" t="e">
        <f t="shared" ca="1" si="59"/>
        <v>#N/A</v>
      </c>
      <c r="JB14" s="217" t="e">
        <f t="shared" ca="1" si="60"/>
        <v>#N/A</v>
      </c>
      <c r="JC14" s="222" t="e">
        <f ca="1">MAX(Control!$C$157*$EK14-$JT14, 0)/Control!$C$162</f>
        <v>#N/A</v>
      </c>
      <c r="JD14" s="218" t="e">
        <f t="shared" ca="1" si="61"/>
        <v>#N/A</v>
      </c>
      <c r="JE14" s="218" t="e">
        <f t="shared" ca="1" si="62"/>
        <v>#N/A</v>
      </c>
      <c r="JF14" s="218" t="e">
        <f t="shared" ca="1" si="207"/>
        <v>#N/A</v>
      </c>
      <c r="JG14" s="218" t="e">
        <f t="shared" ca="1" si="63"/>
        <v>#N/A</v>
      </c>
      <c r="JH14" s="217" t="e">
        <f t="shared" ca="1" si="166"/>
        <v>#N/A</v>
      </c>
      <c r="JI14" s="217" t="e">
        <f t="shared" ca="1" si="167"/>
        <v>#N/A</v>
      </c>
      <c r="JJ14" s="217" t="e">
        <f t="shared" ca="1" si="224"/>
        <v>#N/A</v>
      </c>
      <c r="JK14" s="217" t="e">
        <f ca="1">IF(Control!$C$114=1,IF(Control!$B$24=0,MAX(0,$JI14)*$GN14/Control!$C$64,(MAX(0,MIN($JI14,$JJ14*$GN14/Control!$C$64),0))))</f>
        <v>#N/A</v>
      </c>
      <c r="JL14" s="217" t="e">
        <f ca="1">$IK14/Control!$C$64-$JK14+$HQ14</f>
        <v>#N/A</v>
      </c>
      <c r="JM14" s="217" t="e">
        <f ca="1">IF(Control!$C$114=1,($JB14/(IF($JI14&lt;&gt;0,$JI14,1)))*$JK14,0)</f>
        <v>#N/A</v>
      </c>
      <c r="JN14" s="217" t="e">
        <f ca="1">IF(Control!$C$114=1,($JG14/(IF($JI14&lt;&gt;0,$JI14,1)))*$JK14, 0)</f>
        <v>#N/A</v>
      </c>
      <c r="JO14" s="218" t="e">
        <f t="shared" ca="1" si="64"/>
        <v>#N/A</v>
      </c>
      <c r="JP14" s="218" t="e">
        <f ca="1">MIN(($IY14+$IO14)*Control!$C$151, $JF14-$EH14*Control!$C$161)</f>
        <v>#N/A</v>
      </c>
      <c r="JQ14" s="218" t="e">
        <f t="shared" ca="1" si="65"/>
        <v>#N/A</v>
      </c>
      <c r="JR14" s="217" t="e">
        <f ca="1">IF($CP14-Control!$C$150&lt;0, 0, $JQ14/Control!$C$162)</f>
        <v>#N/A</v>
      </c>
      <c r="JS14" s="218" t="e">
        <f t="shared" ca="1" si="66"/>
        <v>#N/A</v>
      </c>
      <c r="JT14" s="218" t="e">
        <f t="shared" ca="1" si="168"/>
        <v>#N/A</v>
      </c>
      <c r="JU14" s="218" t="e">
        <f t="shared" ca="1" si="67"/>
        <v>#N/A</v>
      </c>
      <c r="JV14" s="218" t="e">
        <f t="shared" ca="1" si="68"/>
        <v>#N/A</v>
      </c>
      <c r="JW14" s="216" t="e">
        <f t="shared" ca="1" si="69"/>
        <v>#N/A</v>
      </c>
      <c r="JX14" s="91" t="e">
        <f t="shared" ca="1" si="70"/>
        <v>#N/A</v>
      </c>
      <c r="JY14" s="218" t="e">
        <f t="shared" ca="1" si="71"/>
        <v>#N/A</v>
      </c>
      <c r="JZ14" s="217" t="e">
        <f ca="1">IF(Control!$C$114=1,($IZ14/(IF($JI14&lt;&gt;0,$JI14,1)))*$JK14, 0)</f>
        <v>#N/A</v>
      </c>
      <c r="KA14" s="218" t="e">
        <f t="shared" ca="1" si="225"/>
        <v>#N/A</v>
      </c>
      <c r="KB14" s="218" t="e">
        <f t="shared" ca="1" si="169"/>
        <v>#N/A</v>
      </c>
      <c r="KC14" s="218" t="e">
        <f t="shared" ca="1" si="72"/>
        <v>#N/A</v>
      </c>
      <c r="KD14" s="218" t="e">
        <f t="shared" ca="1" si="73"/>
        <v>#N/A</v>
      </c>
      <c r="KE14" s="218" t="e">
        <f t="shared" ca="1" si="74"/>
        <v>#N/A</v>
      </c>
      <c r="KF14" s="218" t="e">
        <f t="shared" ca="1" si="75"/>
        <v>#N/A</v>
      </c>
      <c r="KG14" s="216" t="e">
        <f t="shared" ca="1" si="76"/>
        <v>#N/A</v>
      </c>
      <c r="KH14" s="221" t="e">
        <f ca="1">IF(Control!$B$24=0,1,MAX(0.001,MIN(1,IF(($IF14-$IE14)&lt;&gt;0,($KG14-$IE14)/($IF14-$IE14),1))))</f>
        <v>#N/A</v>
      </c>
      <c r="KI14" s="222" t="e">
        <f ca="1">IF(Control!$C$114=1, $KI13+ $KH13, 0)</f>
        <v>#N/A</v>
      </c>
      <c r="KJ14" s="217" t="e">
        <f t="shared" ca="1" si="77"/>
        <v>#N/A</v>
      </c>
      <c r="KK14" s="218" t="e">
        <f t="shared" ca="1" si="78"/>
        <v>#N/A</v>
      </c>
      <c r="KL14" s="274" t="e">
        <f ca="1">IF(Control!$B$26=3,4000000000*EXP(-8400/($G14+273)),IF(Control!$B$26=4,4000000000*EXP(-8400/($G14+273))*($KT14),0))</f>
        <v>#DIV/0!</v>
      </c>
      <c r="KM14" s="274" t="e">
        <f ca="1">IF(Control!$B$26=3,5600000000000*EXP(-9800/($G14+273)),IF(Control!$B$26=4,5600000000000*EXP(-9800/($G14+273))*$KT14,0))</f>
        <v>#DIV/0!</v>
      </c>
      <c r="KN14" s="454" t="e">
        <f t="shared" ca="1" si="170"/>
        <v>#DIV/0!</v>
      </c>
      <c r="KO14" s="274" t="e">
        <f t="shared" ca="1" si="171"/>
        <v>#DIV/0!</v>
      </c>
      <c r="KP14" s="454" t="e">
        <f t="shared" ca="1" si="79"/>
        <v>#DIV/0!</v>
      </c>
      <c r="KQ14" s="454" t="e">
        <f t="shared" ca="1" si="80"/>
        <v>#DIV/0!</v>
      </c>
      <c r="KR14" s="454" t="e">
        <f t="shared" ca="1" si="81"/>
        <v>#DIV/0!</v>
      </c>
      <c r="KS14" s="454" t="e">
        <f t="shared" ca="1" si="82"/>
        <v>#DIV/0!</v>
      </c>
      <c r="KT14" s="455" t="e">
        <f t="shared" ca="1" si="83"/>
        <v>#DIV/0!</v>
      </c>
      <c r="KU14" s="456" t="e">
        <f ca="1">IF($CP14-Control!$C$149&lt;0, IF($NT14-0.01&lt;0,0,1),0)</f>
        <v>#N/A</v>
      </c>
      <c r="KV14" s="456" t="e">
        <f ca="1">IF(Control!$C$114=1,MAX(0,MIN(Control!$C$125*$KW14*$GN14,$KW14)))</f>
        <v>#DIV/0!</v>
      </c>
      <c r="KW14" s="456" t="e">
        <f t="shared" ca="1" si="208"/>
        <v>#DIV/0!</v>
      </c>
      <c r="KX14" s="457" t="e">
        <f ca="1">IF($CP14-Control!$C$149&lt;0, IF($MR14-$OM14&lt;0,0,1),0)</f>
        <v>#N/A</v>
      </c>
      <c r="KY14" s="167">
        <f t="shared" ca="1" si="172"/>
        <v>9</v>
      </c>
      <c r="KZ14" s="168">
        <f ca="1">1370*(1+0.033*COS(2*Control!$C$138*$AH14/365))</f>
        <v>1414.6685021872174</v>
      </c>
      <c r="LA14" s="169">
        <f t="shared" ca="1" si="173"/>
        <v>1.032604747966902</v>
      </c>
      <c r="LB14" s="169">
        <f t="shared" ca="1" si="174"/>
        <v>-0.38616633685087898</v>
      </c>
      <c r="LC14" s="169">
        <f ca="1">ACOS(-TAN((2*Control!$B$8/360))*TAN(Calculations!$LB14))</f>
        <v>1.4496633048006371</v>
      </c>
      <c r="LD14" s="169">
        <f ca="1">((24*60)/PI())*0.082*$LA14*(($LC14*SIN(Control!$B$8*2*PI()/360))*SIN($LB14)+COS(Control!$B$8*2*PI()/360)*COS($LB14)*SIN($LC14))</f>
        <v>5.2741072822320714</v>
      </c>
      <c r="LE14" s="170">
        <f t="shared" ca="1" si="84"/>
        <v>6.8370938576910056</v>
      </c>
      <c r="LF14" s="170">
        <f ca="1">SIN(Control!$C$139*Control!$B$8)*SIN($HD14)</f>
        <v>-0.29696487748563466</v>
      </c>
      <c r="LG14" s="170">
        <f ca="1">COS(Control!$C$139*Control!$B$8)*COS($HD14)</f>
        <v>0.57026904753820185</v>
      </c>
      <c r="LH14" s="170">
        <f ca="1">12*(1+2*ASIN(MAX(-1,MIN(1,$LF14/$LG14))/Control!$C$138))</f>
        <v>8.003362644669016</v>
      </c>
      <c r="LI14" s="170">
        <f ca="1">12*(1+2*ASIN(MAX(-1,MIN(1,(-SIN(-4*Control!$C$139)+$LF14)/$LG14))/Control!$C$138))</f>
        <v>8.9480617730111707</v>
      </c>
      <c r="LJ14" s="168">
        <f ca="1">3600*($LH14*$LF14+24*$LG14*SQRT(1-$LK14*$LK14)/Control!$C$138)</f>
        <v>4833.0006974214684</v>
      </c>
      <c r="LK14" s="170">
        <f t="shared" ca="1" si="85"/>
        <v>-0.52074521450463473</v>
      </c>
      <c r="LL14" s="170">
        <f t="shared" ca="1" si="86"/>
        <v>0</v>
      </c>
      <c r="LM14" s="171">
        <f ca="1">Control!$C$145*$AB14</f>
        <v>6.6660906138995932E-2</v>
      </c>
      <c r="LN14" s="170">
        <f t="shared" ca="1" si="175"/>
        <v>0.54</v>
      </c>
      <c r="LO14" s="170">
        <f t="shared" ca="1" si="87"/>
        <v>0</v>
      </c>
      <c r="LP14" s="170">
        <f ca="1">Control!$C$140*((($D14+273.16)^4+($E14+273.16)^4)/2)*(0.34-0.14*SQRT($Y14))*(1.35*$AQ14/(0.75*$LD14)-0.35)</f>
        <v>-3.2464704755046001</v>
      </c>
      <c r="LQ14" s="170">
        <f ca="1">Control!$C$140*($G14+273)^4*(0.56-0.079*SQRT($Y14*10))*(0.1+0.9*$LO14)</f>
        <v>1.5241745131704001</v>
      </c>
      <c r="LR14" s="170">
        <f ca="1">$AQ14*(1-Control!$C$142)-$LQ14</f>
        <v>-1.5241745131704001</v>
      </c>
      <c r="LS14" s="170">
        <f ca="1">$AQ14*(1-Control!$C$143)-$LQ14</f>
        <v>-1.5241745131704001</v>
      </c>
      <c r="LT14" s="170">
        <f ca="1">$AQ14*(1-Control!$C$144)-$LQ14</f>
        <v>-1.5241745131704001</v>
      </c>
      <c r="LU14" s="169">
        <f ca="1">(1-Control!$C$144)*AQ14-LP14</f>
        <v>3.2464704755046001</v>
      </c>
      <c r="LV14" s="172">
        <f t="shared" ca="1" si="88"/>
        <v>0.79430000000000012</v>
      </c>
      <c r="LW14" s="170">
        <f t="shared" ca="1" si="89"/>
        <v>1.5886000000000002</v>
      </c>
      <c r="LX14" s="170">
        <f ca="1">($AC14*($LR14/Control!$C$141)+$LM14*$LV14)/($AC14+$LM14)</f>
        <v>0.23530094218323697</v>
      </c>
      <c r="LY14" s="170">
        <f ca="1">($AC14*($LS14/Control!$C$141)+$LM14*$LV14)/($AC14+$LM14)</f>
        <v>0.23530094218323697</v>
      </c>
      <c r="LZ14" s="170">
        <f t="shared" ca="1" si="90"/>
        <v>0.23530094218323697</v>
      </c>
      <c r="MA14" s="170">
        <f t="shared" ca="1" si="91"/>
        <v>0.23530094218323697</v>
      </c>
      <c r="MB14" s="170" t="e">
        <f t="shared" ca="1" si="92"/>
        <v>#N/A</v>
      </c>
      <c r="MC14" s="170">
        <f t="shared" ca="1" si="176"/>
        <v>0.6018</v>
      </c>
      <c r="MD14" s="170">
        <f t="shared" ca="1" si="93"/>
        <v>0.52989392535414004</v>
      </c>
      <c r="ME14" s="170">
        <f ca="1">($AC14*($LT14/Control!$C$141)+$LM14*$LW14)/($AC14+$LM14)</f>
        <v>0.71612369323045078</v>
      </c>
      <c r="MF14" s="170" t="e">
        <f ca="1">IF(Control!$B$16&gt;=1000,0.92,IF(AND(720&lt;=Control!$B$16,1000&gt;Control!$B$16),(0.95+(Control!$B$16-720)*((0.92-0.95)/(1000-720))),IF(AND(360&lt;=Control!$B$16,720&gt;Control!$B$16),(1+(Control!$B$16-360)*((0.95-1)/(720-360))),IF(AND(40&lt;=Control!$B$16,360&gt;Control!$B$16),(1.05+(Control!$B$16-40)*((1.05-1)/(360-40)))))))</f>
        <v>#N/A</v>
      </c>
      <c r="MG14" s="170">
        <f t="shared" ca="1" si="94"/>
        <v>0.71612369323045078</v>
      </c>
      <c r="MH14" s="170" t="e">
        <f t="shared" ca="1" si="95"/>
        <v>#N/A</v>
      </c>
      <c r="MI14" s="170" t="e">
        <f t="shared" ca="1" si="95"/>
        <v>#N/A</v>
      </c>
      <c r="MJ14" s="170" t="e">
        <f ca="1">MAX(0.0001, Control!$C$132*$MI14*$DL14)</f>
        <v>#N/A</v>
      </c>
      <c r="MK14" s="170">
        <f ca="1">1/(0.76+1.5*($MG14/10))-(5-Control!$C$110)*0.1</f>
        <v>1.002845988140797</v>
      </c>
      <c r="ML14" s="173">
        <f ca="1">IF(Control!$C$110&lt;3,$MK14+($MG14-0.6)/(Control!$C$110*(Control!$C$110+3)), MAX(0.1, MIN(0.95,$MK14)))</f>
        <v>0.95</v>
      </c>
      <c r="MM14" s="173">
        <f ca="1">IF(Control!$C$110&lt;3,$MK14+(($MI14/10)-0.6)/(Control!$C$110*(Control!$C$110+3)), MAX(0.1, MIN(0.95,$MK14)))</f>
        <v>0.95</v>
      </c>
      <c r="MN14" s="173">
        <f ca="1">(1-$MM14)*(Control!$C$128-Control!$C$127)+Control!$C$127</f>
        <v>0.16</v>
      </c>
      <c r="MO14" s="170" t="e">
        <f ca="1">MAX(0,MIN(1,($MS14-Control!$C$127)/($MN14-Control!$C$127)))</f>
        <v>#DIV/0!</v>
      </c>
      <c r="MP14" s="173" t="e">
        <f ca="1">1/(0.76+1.5*$MI14)-(5-Control!$C$110)*0.1</f>
        <v>#N/A</v>
      </c>
      <c r="MQ14" s="172" t="e">
        <f t="shared" ca="1" si="209"/>
        <v>#DIV/0!</v>
      </c>
      <c r="MR14" s="168" t="e">
        <f t="shared" ca="1" si="226"/>
        <v>#DIV/0!</v>
      </c>
      <c r="MS14" s="173" t="e">
        <f ca="1">MAX(Control!$C$127, MIN(Control!$C$135, $MR14/MAX(0.0001,$CY14)))</f>
        <v>#DIV/0!</v>
      </c>
      <c r="MT14" s="168" t="e">
        <f ca="1">(Control!$C$128-$MS14)*Control!$C$74</f>
        <v>#DIV/0!</v>
      </c>
      <c r="MU14" s="168" t="e">
        <f ca="1">(Control!$C$135-$MS14)*Control!$C$74</f>
        <v>#DIV/0!</v>
      </c>
      <c r="MV14" s="168" t="e">
        <f t="shared" ca="1" si="210"/>
        <v>#DIV/0!</v>
      </c>
      <c r="MW14" s="168" t="e">
        <f t="shared" ca="1" si="177"/>
        <v>#DIV/0!</v>
      </c>
      <c r="MX14" s="171" t="e">
        <f ca="1">MAX(Control!$C$127, MIN(Control!$C$135, $MW14/MAX(0.0001,Control!$C$119-$CY14)))</f>
        <v>#DIV/0!</v>
      </c>
      <c r="MY14" s="54" t="e">
        <f ca="1">IF(Control!$C$114=1, $CX14*$MX14, 0)</f>
        <v>#DIV/0!</v>
      </c>
      <c r="MZ14" s="54" t="e">
        <f t="shared" ca="1" si="178"/>
        <v>#N/A</v>
      </c>
      <c r="NA14" s="168" t="e">
        <f ca="1">(Control!$C$128-$MX14)*(Control!$C$119-Control!$C$74)</f>
        <v>#DIV/0!</v>
      </c>
      <c r="NB14" s="168" t="e">
        <f ca="1">(Control!$C$135-$MX14)*(Control!$C$119-Control!$C$74)</f>
        <v>#DIV/0!</v>
      </c>
      <c r="NC14" s="174" t="e">
        <f t="shared" ca="1" si="179"/>
        <v>#DIV/0!</v>
      </c>
      <c r="ND14" s="54">
        <f ca="1">IF(Control!$C$58=2, IF(OR(Control!$B$218=$AH14,Control!$B$219=$AH14, Control!$B$220=$AH14, Control!$B$221=$AH14, Control!$B$222=$AH14, Control!$B$223=$AH14, Control!$B$224=$AH14, Control!$B$225=$AH14, Control!$B$226=$AH14, Control!$B$227=$AH14, Control!$B$228=$AH14), 1, 0), 0)</f>
        <v>0</v>
      </c>
      <c r="NE14" s="54">
        <f ca="1">IF($ND14=0,0, VLOOKUP($AH14,Control!$B$218:$C$228,2))</f>
        <v>0</v>
      </c>
      <c r="NF14" s="168" t="e">
        <f ca="1">$CY14*(Control!$C$128-Control!$C$127)</f>
        <v>#N/A</v>
      </c>
      <c r="NG14" s="54" t="e">
        <f ca="1">IF(Control!$C$58=2, $NI13-$NJ13, 0)</f>
        <v>#DIV/0!</v>
      </c>
      <c r="NH14" s="54" t="e">
        <f ca="1">IF(AND(Control!$C$58=1, $MS13&lt;= ($MN13+0.02), $I13&lt;10), 0, IF(Control!$C$58=2, $NG13, 0))</f>
        <v>#DIV/0!</v>
      </c>
      <c r="NI14" s="54" t="e">
        <f ca="1">IF(Control!$C$58=2, $NE14+$NH14,0)</f>
        <v>#DIV/0!</v>
      </c>
      <c r="NJ14" s="54" t="e">
        <f ca="1">IF(AND(Control!$C$58=1, $MS14&lt;= ($MN14+0.02), $I14&lt;10), MAX(0, MIN(10, 0.7*($NF14-$MV14))), IF(Control!$C$58=2, MIN(10,$NI14),0))</f>
        <v>#DIV/0!</v>
      </c>
      <c r="NK14" s="54" t="e">
        <f t="shared" ca="1" si="96"/>
        <v>#DIV/0!</v>
      </c>
      <c r="NL14" s="173" t="e">
        <f ca="1">(1-Control!$C$73)*$I14+$NJ14</f>
        <v>#DIV/0!</v>
      </c>
      <c r="NM14" s="172" t="e">
        <f ca="1">IF($NL14&lt;0.5, $MB14* MAX(0, MIN(1, (SQRT($NC14)-SQRT($NC14-1))*Control!$C$71)),0)</f>
        <v>#DIV/0!</v>
      </c>
      <c r="NN14" s="170" t="e">
        <f ca="1">IF($NL14&gt;=5, $MB14, MAX(0,MIN($MB14, $NM14+$NL14,($MS14-Control!$C$129))))</f>
        <v>#DIV/0!</v>
      </c>
      <c r="NO14" s="54">
        <f>IF(Control!$C$133&lt;&gt;1, Control!$C$135-Control!$C$131, 0)</f>
        <v>0.38</v>
      </c>
      <c r="NP14" s="54" t="e">
        <f t="shared" ca="1" si="97"/>
        <v>#DIV/0!</v>
      </c>
      <c r="NQ14" s="173" t="e">
        <f ca="1">MAX(0,MIN(1,(Control!$C$135-$MS14)/(Control!$C$135-$NO14)))</f>
        <v>#DIV/0!</v>
      </c>
      <c r="NR14" s="170" t="e">
        <f ca="1">IF(Control!$C$133&lt;&gt;1, $NQ14+((1-$NP14/4)*(1-$NQ14)),1)</f>
        <v>#DIV/0!</v>
      </c>
      <c r="NS14" s="170" t="e">
        <f ca="1">IF(Control!$B$31=0,$MJ14,MAX(0,MIN($MV14,$MO14*$NR14*$MJ14)))</f>
        <v>#DIV/0!</v>
      </c>
      <c r="NT14" s="170" t="e">
        <f t="shared" ca="1" si="227"/>
        <v>#DIV/0!</v>
      </c>
      <c r="NU14" s="170" t="e">
        <f t="shared" ca="1" si="180"/>
        <v>#N/A</v>
      </c>
      <c r="NV14" s="170" t="e">
        <f t="shared" ca="1" si="98"/>
        <v>#N/A</v>
      </c>
      <c r="NW14" s="175" t="e">
        <f t="shared" ca="1" si="99"/>
        <v>#DIV/0!</v>
      </c>
      <c r="NX14" s="170" t="e">
        <f ca="1">MIN(Control!$C$72+$MU14, $NW14)</f>
        <v>#DIV/0!</v>
      </c>
      <c r="NY14" s="170" t="e">
        <f ca="1">IF($MT14&lt;=$NX14,MIN(Control!$C$72+$NB14,$NX14-$MT14),0)</f>
        <v>#DIV/0!</v>
      </c>
      <c r="NZ14" s="54" t="e">
        <f ca="1">IF(Control!$C$114=1,  $CX14*($MX14-Control!$C$127), 0)</f>
        <v>#DIV/0!</v>
      </c>
      <c r="OA14" s="170" t="e">
        <f t="shared" ca="1" si="181"/>
        <v>#DIV/0!</v>
      </c>
      <c r="OB14" s="170" t="e">
        <f ca="1">IF($NA14 &lt;=$NY14, MIN(Control!$C$72, $NY14-$NA14), 0)</f>
        <v>#DIV/0!</v>
      </c>
      <c r="OC14" s="168" t="e">
        <f t="shared" ca="1" si="100"/>
        <v>#DIV/0!</v>
      </c>
      <c r="OD14" s="168" t="e">
        <f t="shared" ca="1" si="182"/>
        <v>#DIV/0!</v>
      </c>
      <c r="OE14" s="170">
        <f ca="1">Control!$C$73*$I14</f>
        <v>0</v>
      </c>
      <c r="OF14" s="176" t="e">
        <f t="shared" ca="1" si="101"/>
        <v>#DIV/0!</v>
      </c>
      <c r="OG14" s="168" t="e">
        <f t="shared" ca="1" si="102"/>
        <v>#DIV/0!</v>
      </c>
      <c r="OH14" s="168" t="e">
        <f t="shared" ca="1" si="103"/>
        <v>#DIV/0!</v>
      </c>
      <c r="OI14" s="168" t="e">
        <f t="shared" ca="1" si="104"/>
        <v>#DIV/0!</v>
      </c>
      <c r="OJ14" s="168" t="e">
        <f t="shared" ca="1" si="105"/>
        <v>#DIV/0!</v>
      </c>
      <c r="OK14" s="204" t="e">
        <f t="shared" ca="1" si="183"/>
        <v>#DIV/0!</v>
      </c>
      <c r="OL14" s="177">
        <f>Control!$C$127</f>
        <v>0.15</v>
      </c>
      <c r="OM14" s="182" t="e">
        <f t="shared" ca="1" si="106"/>
        <v>#N/A</v>
      </c>
      <c r="ON14" s="177">
        <f>Control!$C$128</f>
        <v>0.35</v>
      </c>
      <c r="OO14" s="182" t="e">
        <f t="shared" ca="1" si="107"/>
        <v>#N/A</v>
      </c>
      <c r="OP14" s="138">
        <f t="shared" ca="1" si="184"/>
        <v>0</v>
      </c>
      <c r="OQ14" s="138" t="e">
        <f t="shared" ca="1" si="211"/>
        <v>#DIV/0!</v>
      </c>
      <c r="OR14" s="138" t="e">
        <f t="shared" ca="1" si="185"/>
        <v>#DIV/0!</v>
      </c>
      <c r="OS14" s="137" t="e">
        <f t="shared" ca="1" si="212"/>
        <v>#DIV/0!</v>
      </c>
      <c r="OT14" s="139" t="e">
        <f t="shared" ca="1" si="213"/>
        <v>#DIV/0!</v>
      </c>
      <c r="OU14" s="138" t="e">
        <f t="shared" ca="1" si="214"/>
        <v>#N/A</v>
      </c>
      <c r="OV14" s="138" t="e">
        <f t="shared" ca="1" si="215"/>
        <v>#DIV/0!</v>
      </c>
      <c r="OW14" s="138" t="e">
        <f t="shared" ca="1" si="186"/>
        <v>#DIV/0!</v>
      </c>
      <c r="OX14" s="138" t="e">
        <f t="shared" ca="1" si="187"/>
        <v>#DIV/0!</v>
      </c>
      <c r="OY14" s="138" t="e">
        <f t="shared" ca="1" si="188"/>
        <v>#DIV/0!</v>
      </c>
      <c r="OZ14" s="138" t="e">
        <f t="shared" ca="1" si="108"/>
        <v>#DIV/0!</v>
      </c>
      <c r="PA14" s="138" t="e">
        <f t="shared" ca="1" si="109"/>
        <v>#DIV/0!</v>
      </c>
      <c r="PB14" s="55">
        <f>IF(Control!$C$61="T", IF(Control!$C$65="F", IF($AH$6-Control!$C$60&lt;0,0,1), IF(365+$AH$6-Control!$C$60&lt;0,0,1)),0)</f>
        <v>0</v>
      </c>
      <c r="PC14" s="55">
        <f ca="1">IF(Control!$C$65="F", IF($AH$6-$HF14&lt;0,0,1), IF(365+$AH$6-$HF14&lt;0,0,1))</f>
        <v>1</v>
      </c>
      <c r="PD14" s="444">
        <f>Control!$C$118</f>
        <v>1500</v>
      </c>
      <c r="PE14" s="180" t="e">
        <f t="shared" ca="1" si="110"/>
        <v>#N/A</v>
      </c>
      <c r="PF14" s="445">
        <f t="shared" ca="1" si="189"/>
        <v>0.71612369323045078</v>
      </c>
      <c r="PT14" s="186"/>
      <c r="PU14" s="186"/>
      <c r="PV14" s="94"/>
      <c r="PW14" s="94"/>
      <c r="PX14" s="94"/>
      <c r="PY14" s="94"/>
      <c r="PZ14" s="94"/>
      <c r="QA14" s="94"/>
      <c r="QB14" s="94"/>
      <c r="QC14" s="94"/>
      <c r="QD14" s="94"/>
      <c r="QE14" s="94"/>
      <c r="QF14" s="94"/>
      <c r="QG14" s="94"/>
      <c r="QH14" s="94"/>
      <c r="QI14" s="94"/>
      <c r="QJ14" s="94"/>
      <c r="QK14" s="94"/>
      <c r="QL14" s="94"/>
      <c r="QM14" s="94"/>
      <c r="QN14" s="94"/>
      <c r="QO14" s="94"/>
      <c r="QP14" s="94"/>
    </row>
    <row r="15" spans="1:458" s="2" customFormat="1" x14ac:dyDescent="0.2">
      <c r="A15" s="386">
        <v>10</v>
      </c>
      <c r="B15" s="387">
        <v>1</v>
      </c>
      <c r="C15" s="387">
        <f ca="1">Weather_data!$B14</f>
        <v>0</v>
      </c>
      <c r="D15" s="388">
        <f ca="1">Weather_data!$F14</f>
        <v>0</v>
      </c>
      <c r="E15" s="388">
        <f ca="1">Weather_data!$E14</f>
        <v>0</v>
      </c>
      <c r="F15" s="388">
        <f t="shared" ca="1" si="111"/>
        <v>0</v>
      </c>
      <c r="G15" s="388">
        <f ca="1">AVERAGE($D15:$E15)+Control!$B$9</f>
        <v>0</v>
      </c>
      <c r="H15" s="388">
        <f ca="1">Weather_data!$G14</f>
        <v>0</v>
      </c>
      <c r="I15" s="388">
        <f ca="1">Weather_data!$I14</f>
        <v>0</v>
      </c>
      <c r="J15" s="388">
        <f ca="1">Weather_data!$H14</f>
        <v>0</v>
      </c>
      <c r="K15" s="389">
        <f ca="1">Weather_data!$D14</f>
        <v>0</v>
      </c>
      <c r="L15" s="388" t="e">
        <f t="shared" ca="1" si="112"/>
        <v>#N/A</v>
      </c>
      <c r="M15" s="388" t="e">
        <f t="shared" ca="1" si="0"/>
        <v>#N/A</v>
      </c>
      <c r="N15" s="388">
        <f t="shared" ca="1" si="1"/>
        <v>-0.19371024449999999</v>
      </c>
      <c r="O15" s="388">
        <f t="shared" ca="1" si="113"/>
        <v>1.9371024449999998</v>
      </c>
      <c r="P15" s="390">
        <v>3</v>
      </c>
      <c r="Q15" s="388">
        <f ca="1">MAX($G15-Control!$C$107,0)</f>
        <v>0</v>
      </c>
      <c r="R15" s="388">
        <f t="shared" ca="1" si="114"/>
        <v>0</v>
      </c>
      <c r="S15" s="388">
        <f t="shared" ca="1" si="2"/>
        <v>0</v>
      </c>
      <c r="T15" s="388">
        <f t="shared" ca="1" si="3"/>
        <v>0</v>
      </c>
      <c r="U15" s="59">
        <f t="shared" ca="1" si="4"/>
        <v>0</v>
      </c>
      <c r="V15" s="391">
        <f ca="1">MAX(0,MIN(Control!$C$100-Control!$C$99,$G15-Control!$C$99)*Control!$C$63)</f>
        <v>0</v>
      </c>
      <c r="W15" s="388">
        <f t="shared" ca="1" si="190"/>
        <v>0</v>
      </c>
      <c r="X15" s="388">
        <f t="shared" ca="1" si="115"/>
        <v>0.6110000000000001</v>
      </c>
      <c r="Y15" s="388">
        <f t="shared" ca="1" si="116"/>
        <v>0</v>
      </c>
      <c r="Z15" s="388">
        <f t="shared" ca="1" si="117"/>
        <v>0.61058800000000002</v>
      </c>
      <c r="AA15" s="388">
        <f t="shared" ca="1" si="5"/>
        <v>0.6018</v>
      </c>
      <c r="AB15" s="388">
        <f ca="1">101.3*EXP(-0.034*Control!$C$66/($G15+273))</f>
        <v>100.69623283836242</v>
      </c>
      <c r="AC15" s="392">
        <f t="shared" ca="1" si="6"/>
        <v>4.3460251046025113E-2</v>
      </c>
      <c r="AD15" s="392">
        <f t="shared" ca="1" si="7"/>
        <v>4.4450382862832649E-2</v>
      </c>
      <c r="AE15" s="388">
        <f t="shared" ca="1" si="8"/>
        <v>0</v>
      </c>
      <c r="AF15" s="388">
        <f ca="1">MAX(0,$G15-Control!$C$92)</f>
        <v>0</v>
      </c>
      <c r="AG15" s="393">
        <f t="shared" ca="1" si="118"/>
        <v>10</v>
      </c>
      <c r="AH15" s="389">
        <f t="shared" ca="1" si="9"/>
        <v>10</v>
      </c>
      <c r="AI15" s="388">
        <f t="shared" ca="1" si="119"/>
        <v>-0.38396171814791036</v>
      </c>
      <c r="AJ15" s="388">
        <f ca="1">IF(Control!$C$60&lt;=0,$HH15,$HI15)</f>
        <v>1</v>
      </c>
      <c r="AK15" s="388">
        <f t="shared" ca="1" si="10"/>
        <v>-1.2049944424727974</v>
      </c>
      <c r="AL15" s="388">
        <f t="shared" ca="1" si="11"/>
        <v>1.5779912099223025E-18</v>
      </c>
      <c r="AM15" s="388">
        <f t="shared" ca="1" si="12"/>
        <v>-1.2049944424727974</v>
      </c>
      <c r="AN15" s="388">
        <f t="shared" ca="1" si="13"/>
        <v>-0.38060306775496017</v>
      </c>
      <c r="AO15" s="388">
        <f ca="1">-0.10453/COS(Control!$B$8*PI()/180)*COS(AN15)</f>
        <v>-0.15763519119106192</v>
      </c>
      <c r="AP15" s="388">
        <f ca="1">ACOS(AO15-TAN(Control!$B$8*PI()/180)*TAN(AN15))</f>
        <v>1.208433054025861</v>
      </c>
      <c r="AQ15" s="388">
        <f t="shared" ca="1" si="120"/>
        <v>0</v>
      </c>
      <c r="AR15" s="394">
        <f t="shared" ca="1" si="14"/>
        <v>0</v>
      </c>
      <c r="AS15" s="436">
        <f ca="1">IF(Control!$B$18=2,(IF(OR($AH15=Control!$B$175,$AH15=Control!$B$176,$AH15=Control!$B$177,$AH15=Control!$B$178,$AH15=Control!$B$179,$AH15=Control!$B$180,$AH15=Control!$B$181,$AH15=Control!$B$182,$AH15=Control!$B$183,$AH15=Control!$B$184,$AH15=Control!$B$185),1,0)),0)</f>
        <v>0</v>
      </c>
      <c r="AT15" s="436">
        <f>IF(Control!$B$20=8,IF(AND($AH15&gt;=Control!$B$172,$AH15&lt;=Control!$B$173),1,0),0)</f>
        <v>0</v>
      </c>
      <c r="AU15" s="436">
        <f>IF(Control!$B$20=8,IF($AV14=1,1*$AT15,IF($AT15=1,$AU14+1,$AU14)),0)</f>
        <v>0</v>
      </c>
      <c r="AV15" s="436">
        <f>IF(Control!$B$20=8,IF($AU15&gt;=Control!$B$174,1,0),0)</f>
        <v>0</v>
      </c>
      <c r="AW15" s="436">
        <f ca="1">IF(AND(Control!$B$18=2,Control!$B$171=1), $AV15, $AS15)</f>
        <v>0</v>
      </c>
      <c r="AX15" s="436" t="e">
        <f ca="1">IF(AND(Control!$B$18=1,$EU15&gt;=Control!$B$19),-$AY15,IF(AND(Control!$B$18=2,$AW15=1,$EU15&gt;$DS15),-$AY15, IF(Control!$C$108=0,0, IF(Control!$C$108&lt;&gt;0,1))))</f>
        <v>#N/A</v>
      </c>
      <c r="AY15" s="436" t="e">
        <f t="shared" ca="1" si="121"/>
        <v>#N/A</v>
      </c>
      <c r="AZ15" s="436" t="e">
        <f ca="1">IF(AND(Control!$B$18=1,$EB15&gt;Control!$B$19),$AZ14+1, IF(AND(Control!$B$18=2, $AW15=1, $EB15&gt;$DS15), $AZ14+1,$AZ14))</f>
        <v>#N/A</v>
      </c>
      <c r="BA15" s="587">
        <f>IF(Control!$C$81=0,1,IF($AH15&gt;=Control!$C$82,1,0))</f>
        <v>1</v>
      </c>
      <c r="BB15" s="140" t="e">
        <f ca="1">IF($BA15&gt;$BA14,Control!$C$83,IF($AW15&gt;0,$AW15*Control!$C$84,IF(AND(Control!$B$18=1,EN14&lt;&gt;0),Control!$C$84,0)))</f>
        <v>#N/A</v>
      </c>
      <c r="BC15" s="140" t="e">
        <f t="shared" ca="1" si="122"/>
        <v>#N/A</v>
      </c>
      <c r="BD15" s="140" t="e">
        <f ca="1">BC15*IF(OR($G15&lt;Control!$C$92,$G15&gt;Control!$C$95),0,IF(AND($G15&gt;=Control!$C$92,$G15&lt;=Control!$C$93),$G15-Control!$C$92,IF(AND($G15&gt;Control!$C$93,$G15&lt;=Control!$C$94),Control!$C$93-Control!$C$92,IF(AND($G15&gt;Control!$C$94,$G15&lt;=Control!$C$95),(Control!$C$93-Control!$C$92)*(Control!$C$94-$G15)/(Control!$C$95-Control!$C$94)))))</f>
        <v>#N/A</v>
      </c>
      <c r="BE15" s="140" t="e">
        <f t="shared" ca="1" si="123"/>
        <v>#N/A</v>
      </c>
      <c r="BF15" s="140" t="e">
        <f ca="1">IF($BE15&lt;=Control!$C$86,$BE15,Control!$C$86-$BE15)</f>
        <v>#N/A</v>
      </c>
      <c r="BG15" s="140" t="e">
        <f ca="1">IF(AND($AW15=1,Control!$C$84&lt;9),1,IF($BE15&gt;=Control!$C$86,0,$BC15))</f>
        <v>#N/A</v>
      </c>
      <c r="BH15" s="404" t="e">
        <f ca="1">IF($BG15=0,0,IF($BE15&lt;=Control!$C$86,$BC15*9*($BF15/Control!$C$86),0))</f>
        <v>#N/A</v>
      </c>
      <c r="BI15" s="140" t="e">
        <f ca="1">IF($BG15=1,0,IF($BE15&gt;=Control!$C$86,1,IF(AND($BB15&lt;21,$BB15&gt;=9),1,$BM14)))</f>
        <v>#N/A</v>
      </c>
      <c r="BJ15" s="140" t="e">
        <f ca="1">IF($BF15&lt;0,-$BF15,$BI15*IF(OR($G15&lt;Control!$C$92,$G15&gt;Control!$C$95),0,IF(AND($G15&gt;=Control!$C$92,$G15&lt;=Control!$C$93),$G15-Control!$C$92,IF(AND($G15&gt;Control!$C$93,$G15&lt;=Control!$C$94),Control!$C$93-Control!$C$92,IF(AND($G15&gt;Control!$C$94,$G15&lt;=Control!$C$95),(Control!$C$93-Control!$C$92)*(Control!$C$94-$G15)/(Control!$C$95-Control!$C$94))))))</f>
        <v>#N/A</v>
      </c>
      <c r="BK15" s="140" t="e">
        <f t="shared" ca="1" si="124"/>
        <v>#N/A</v>
      </c>
      <c r="BL15" s="140" t="e">
        <f ca="1">IF($BK15&lt;=Control!$C$87,$BK15,Control!$C$87-$BK15)</f>
        <v>#N/A</v>
      </c>
      <c r="BM15" s="140" t="e">
        <f ca="1">IF(AND($BB15&gt;=9,$BB15&lt;21),1,IF($BK15&gt;=Control!$C$87,0,$BI15))</f>
        <v>#N/A</v>
      </c>
      <c r="BN15" s="404" t="e">
        <f ca="1">IF($BM15=0,0,IF($BK15&lt;=Control!$C$87,$BI15*(9+(21-9)*($BL15/Control!$C$87)),0))</f>
        <v>#N/A</v>
      </c>
      <c r="BO15" s="140" t="e">
        <f ca="1">IF($BM15=1,0,IF($BK15&gt;=Control!$C$87,1,IF(AND($BB15&lt;30,$BB15&gt;=21),1,$BS14)))</f>
        <v>#N/A</v>
      </c>
      <c r="BP15" s="140" t="e">
        <f ca="1">IF($BL15&lt;0,-$BL15,$BO15*IF(OR($G15&lt;Control!$C$92,$G15&gt;Control!$C$95),0,IF(AND($G15&gt;=Control!$C$92,$G15&lt;=Control!$C$93),$G15-Control!$C$92,IF(AND($G15&gt;Control!$C$93,$G15&lt;=Control!$C$94),Control!$C$93-Control!$C$92,IF(AND($G15&gt;Control!$C$94,$G15&lt;=Control!$C$95),(Control!$C$93-Control!$C$92)*(Control!$C$94-$G15)/(Control!$C$95-Control!$C$94))))))</f>
        <v>#N/A</v>
      </c>
      <c r="BQ15" s="140" t="e">
        <f t="shared" ca="1" si="15"/>
        <v>#N/A</v>
      </c>
      <c r="BR15" s="140" t="e">
        <f ca="1">IF($BQ15&lt;=Control!$C$88,$BQ15,Control!$C$88-$BQ15)</f>
        <v>#N/A</v>
      </c>
      <c r="BS15" s="140" t="e">
        <f ca="1">IF(AND($BB15&gt;=21,$BB15&lt;30),1,IF($BQ15&gt;=Control!$C$88,0,$BO15))</f>
        <v>#N/A</v>
      </c>
      <c r="BT15" s="404" t="e">
        <f ca="1">IF($BS15=0,0,IF($BQ15&lt;=Control!$C$88,$BO15*(21+(30-21)*(BR15/Control!$C$88)),0))</f>
        <v>#N/A</v>
      </c>
      <c r="BU15" s="140" t="e">
        <f ca="1">IF(BG15+BM15+BS15=1,0,IF(OR(AND($BB15&lt;60,$BB15&gt;=30),$BQ15&gt;=Control!$C$88),1*$BA15,$BY14))</f>
        <v>#N/A</v>
      </c>
      <c r="BV15" s="140" t="e">
        <f ca="1">IF($BR15&lt;0,-$BR15,$BU15*IF(OR($G15&lt;Control!$C$92,$G15&gt;Control!$C$95),0,IF(AND($G15&gt;=Control!$C$92,$G15&lt;=Control!$C$93),$G15-Control!$C$92,IF(AND($G15&gt;Control!$C$93,$G15&lt;=Control!$C$94),Control!$C$93-Control!$C$92,IF(AND($G15&gt;Control!$C$94,$G15&lt;=Control!$C$95),(Control!$C$93-Control!$C$92)*(Control!$C$94-$G15)/(Control!$C$95-Control!$C$94))))))</f>
        <v>#N/A</v>
      </c>
      <c r="BW15" s="140" t="e">
        <f t="shared" ca="1" si="16"/>
        <v>#N/A</v>
      </c>
      <c r="BX15" s="140" t="e">
        <f ca="1">IF($BW15&lt;=Control!$C$89,$BW15,Control!$C$89-$BW15)</f>
        <v>#N/A</v>
      </c>
      <c r="BY15" s="140" t="e">
        <f ca="1">IF(AND($AJ15&gt;=30,$AJ15&lt;60),1,IF($BW15&gt;=Control!$C$89,0,$BU15))</f>
        <v>#N/A</v>
      </c>
      <c r="BZ15" s="404" t="e">
        <f ca="1">IF($BY15=0,0,IF($BW15&lt;=Control!$C$89,$BU15*(30+(60-30)*(BX15/Control!$C$89)),0))</f>
        <v>#N/A</v>
      </c>
      <c r="CA15" s="140" t="e">
        <f ca="1">IF($BG15+$BM15+$BS15+$BY15=1,0,IF(OR(AND($BB15&lt;65,$BB15&gt;=60),$BW15&gt;=Control!$C$89),1*$BA15,$CE14))</f>
        <v>#N/A</v>
      </c>
      <c r="CB15" s="140" t="e">
        <f ca="1">IF($BX15&lt;0,-$BX15,$CA15*IF(OR($G15&lt;Control!$C$92,$G15&gt;Control!$C$95),0,IF(AND($G15&gt;=Control!$C$92,$G15&lt;=Control!$C$93),$G15-Control!$C$92,IF(AND($G15&gt;Control!$C$93,$G15&lt;=Control!$C$94),Control!$C$93-Control!$C$92,IF(AND($G15&gt;Control!$C$94,$G15&lt;=Control!$C$95),(Control!$C$93-Control!$C$92)*(Control!$C$94-$G15)/(Control!$C$95-Control!$C$94))))))</f>
        <v>#N/A</v>
      </c>
      <c r="CC15" s="140" t="e">
        <f t="shared" ca="1" si="125"/>
        <v>#N/A</v>
      </c>
      <c r="CD15" s="140" t="e">
        <f ca="1">IF($CC15&lt;=Control!$C$90,$CC15,Control!$C$90-$CC15)</f>
        <v>#N/A</v>
      </c>
      <c r="CE15" s="140" t="e">
        <f ca="1">IF(AND($BB15&gt;=60,$BB15&lt;65),1,IF($CC15&gt;=Control!$C$90,0,$CA15))</f>
        <v>#N/A</v>
      </c>
      <c r="CF15" s="404" t="e">
        <f ca="1">IF($CE15=0,0,IF($CC15&lt;=Control!$C$90,$CA15*(60+(65-60)*(CD15/Control!$C$90)),0))</f>
        <v>#N/A</v>
      </c>
      <c r="CG15" s="140" t="e">
        <f ca="1">IF($BG15+$BM15+$BS15+$BY15+$CE15=1,0,IF(OR(AND($BB15&lt;90,$BB15&gt;=65),$CC15&gt;=Control!$C$90),$BA15,$CK14))</f>
        <v>#N/A</v>
      </c>
      <c r="CH15" s="140" t="e">
        <f ca="1">IF($CD15&lt;0,-$CD15,$CG15*IF(OR($G15&lt;Control!$C$92,$G15&gt;Control!$C$95),0,IF(AND($G15&gt;=Control!$C$92,$G15&lt;=Control!$C$93),$G15-Control!$C$92,IF(AND($G15&gt;Control!$C$93,$G15&lt;=Control!$C$94),Control!$C$93-Control!$C$92,IF(AND($G15&gt;Control!$C$94,$G15&lt;=Control!$C$95),(Control!$C$93-Control!$C$92)*(Control!$C$94-$G15)/(Control!$C$95-Control!$C$94))))))</f>
        <v>#N/A</v>
      </c>
      <c r="CI15" s="140" t="e">
        <f t="shared" ca="1" si="126"/>
        <v>#N/A</v>
      </c>
      <c r="CJ15" s="140" t="e">
        <f ca="1">IF($CI15&lt;=Control!$C$91,$CI15,Control!$C$91-$CI15)</f>
        <v>#N/A</v>
      </c>
      <c r="CK15" s="140" t="e">
        <f ca="1">IF(AND($BB15&gt;=65,$BB15&lt;90),1,IF($CI15&gt;=Control!$C$91,0,$CG15))</f>
        <v>#N/A</v>
      </c>
      <c r="CL15" s="404" t="e">
        <f ca="1">IF($CK15=0,0,IF($CI15&lt;=Control!$C$91,$CG15*(65+(90-65)*($CJ15/Control!$C$91)),0))</f>
        <v>#N/A</v>
      </c>
      <c r="CM15" s="140" t="e">
        <f ca="1">IF($BG15+$BM15+$BS15+$BY15+$CE15+$CK15=1,0,IF(OR($BB15&gt;=90,$CI15&gt;=Control!$C$91),$BA15,$CM14))</f>
        <v>#N/A</v>
      </c>
      <c r="CN15" s="140" t="e">
        <f t="shared" ca="1" si="127"/>
        <v>#N/A</v>
      </c>
      <c r="CO15" s="140" t="e">
        <f t="shared" ca="1" si="128"/>
        <v>#N/A</v>
      </c>
      <c r="CP15" s="140" t="e">
        <f t="shared" ca="1" si="129"/>
        <v>#N/A</v>
      </c>
      <c r="CQ15" s="141" t="e">
        <f ca="1">VLOOKUP($CP15,Control!$B$86:$G$91,6)</f>
        <v>#N/A</v>
      </c>
      <c r="CR15" s="141" t="e">
        <f ca="1">(1-$CQ15)*VLOOKUP($CP15,Control!$B$86:$D$91,3)</f>
        <v>#N/A</v>
      </c>
      <c r="CS15" s="141" t="e">
        <f ca="1">(1-$CQ15)*VLOOKUP($CP15,Control!$B$86:$E$91,4)</f>
        <v>#N/A</v>
      </c>
      <c r="CT15" s="141" t="e">
        <f ca="1">(1-$CQ15)*VLOOKUP($CP15,Control!$B$86:$F$91,5)</f>
        <v>#N/A</v>
      </c>
      <c r="CU15" s="141">
        <f t="shared" ca="1" si="130"/>
        <v>0</v>
      </c>
      <c r="CV15" s="583">
        <f t="shared" ca="1" si="131"/>
        <v>0</v>
      </c>
      <c r="CW15" s="142">
        <f t="shared" ca="1" si="132"/>
        <v>10</v>
      </c>
      <c r="CX15" s="612" t="e">
        <f ca="1">IF(Control!$C$114=1,(MIN(Control!$C$120*(IF($NT15-0.01&lt;0,0,1)),Control!$C$119-$CY15)))</f>
        <v>#DIV/0!</v>
      </c>
      <c r="CY15" s="143" t="e">
        <f t="shared" ca="1" si="133"/>
        <v>#N/A</v>
      </c>
      <c r="CZ15" s="144">
        <f t="shared" ca="1" si="17"/>
        <v>0</v>
      </c>
      <c r="DA15" s="144">
        <f t="shared" ca="1" si="18"/>
        <v>0</v>
      </c>
      <c r="DB15" s="144" t="e">
        <f t="shared" ca="1" si="19"/>
        <v>#N/A</v>
      </c>
      <c r="DC15" s="144" t="e">
        <f t="shared" ca="1" si="20"/>
        <v>#N/A</v>
      </c>
      <c r="DD15" s="144" t="e">
        <f t="shared" ca="1" si="216"/>
        <v>#N/A</v>
      </c>
      <c r="DE15" s="143" t="e">
        <f t="shared" ca="1" si="135"/>
        <v>#N/A</v>
      </c>
      <c r="DF15" s="145" t="e">
        <f ca="1">$DR15*EXP(-Control!$C$158*(1-$KH15))</f>
        <v>#N/A</v>
      </c>
      <c r="DG15" s="146" t="e">
        <f ca="1">IF(Control!$C$114=1, $DF15*$EY15, 0)</f>
        <v>#N/A</v>
      </c>
      <c r="DH15" s="147" t="e">
        <f t="shared" ca="1" si="136"/>
        <v>#N/A</v>
      </c>
      <c r="DI15" s="144" t="e">
        <f t="shared" ca="1" si="191"/>
        <v>#N/A</v>
      </c>
      <c r="DJ15" s="147" t="e">
        <f ca="1">$EF15*Control!$C$109</f>
        <v>#N/A</v>
      </c>
      <c r="DK15" s="144" t="e">
        <f t="shared" ca="1" si="137"/>
        <v>#N/A</v>
      </c>
      <c r="DL15" s="144" t="e">
        <f t="shared" ca="1" si="21"/>
        <v>#N/A</v>
      </c>
      <c r="DM15" s="144" t="e">
        <f ca="1">IF(Control!$C$114=1, (1-EXP(-Control!$C$96*$DK15))*$AR15, 0)</f>
        <v>#N/A</v>
      </c>
      <c r="DN15" s="144">
        <f t="shared" ca="1" si="138"/>
        <v>0</v>
      </c>
      <c r="DO15" s="148">
        <f>Control!$C$97</f>
        <v>4</v>
      </c>
      <c r="DP15" s="145" t="e">
        <f t="shared" ca="1" si="139"/>
        <v>#N/A</v>
      </c>
      <c r="DQ15" s="145" t="e">
        <f ca="1">IF(AND($CP15&gt;=0,$CP15&lt;=90),Control!$C$111,Control!$C$111)</f>
        <v>#N/A</v>
      </c>
      <c r="DR15" s="145" t="e">
        <f t="shared" ca="1" si="22"/>
        <v>#N/A</v>
      </c>
      <c r="DS15" s="143" t="e">
        <f ca="1">Control!$B$22/$DR15</f>
        <v>#N/A</v>
      </c>
      <c r="DT15" s="149" t="e">
        <f ca="1">IF(AND(Control!$C$114=1,$KH15&lt;1),$IM15*$DF15, 0)</f>
        <v>#N/A</v>
      </c>
      <c r="DU15" s="144" t="e">
        <f t="shared" ca="1" si="192"/>
        <v>#N/A</v>
      </c>
      <c r="DV15" s="144">
        <f ca="1">IF($G15-Control!$C$107&lt;=0, 0, 0.83*LN(MAX($G15, 3))-0.8924)</f>
        <v>0</v>
      </c>
      <c r="DW15" s="144" t="e">
        <f t="shared" ca="1" si="23"/>
        <v>#N/A</v>
      </c>
      <c r="DX15" s="150" t="e">
        <f ca="1">MAX(0.01*(1+$CU15/Control!$C$102),0.05*($DK15-Control!$C$97)/Control!$C$97)</f>
        <v>#N/A</v>
      </c>
      <c r="DY15" s="151" t="e">
        <f ca="1">IF(Control!$C$114=1, $DI15*$FS15, 0)</f>
        <v>#N/A</v>
      </c>
      <c r="DZ15" s="196" t="e">
        <f t="shared" ca="1" si="140"/>
        <v>#N/A</v>
      </c>
      <c r="EA15" s="152">
        <f t="shared" ca="1" si="141"/>
        <v>10</v>
      </c>
      <c r="EB15" s="153" t="e">
        <f t="shared" ca="1" si="217"/>
        <v>#N/A</v>
      </c>
      <c r="EC15" s="153" t="e">
        <f t="shared" ca="1" si="142"/>
        <v>#N/A</v>
      </c>
      <c r="ED15" s="154" t="e">
        <f ca="1">IF(Control!$C$114=1, $HM15*$FY15-$FD15, 0)</f>
        <v>#DIV/0!</v>
      </c>
      <c r="EE15" s="155" t="e">
        <f ca="1">IF(Control!$C$114=1, $HM15*$FZ15-$FF15, 0)</f>
        <v>#DIV/0!</v>
      </c>
      <c r="EF15" s="153" t="e">
        <f t="shared" ca="1" si="193"/>
        <v>#N/A</v>
      </c>
      <c r="EG15" s="155" t="e">
        <f ca="1">IF(Control!$C$114=1, $GX15*$FW15-$FI15, 0)</f>
        <v>#DIV/0!</v>
      </c>
      <c r="EH15" s="153" t="e">
        <f t="shared" ca="1" si="143"/>
        <v>#N/A</v>
      </c>
      <c r="EI15" s="156" t="e">
        <f t="shared" ca="1" si="144"/>
        <v>#N/A</v>
      </c>
      <c r="EJ15" s="155" t="e">
        <f ca="1">IF(Control!$C$114=1, $HM15*$GB15, 0)</f>
        <v>#DIV/0!</v>
      </c>
      <c r="EK15" s="153" t="e">
        <f t="shared" ca="1" si="194"/>
        <v>#N/A</v>
      </c>
      <c r="EL15" s="153" t="e">
        <f t="shared" ca="1" si="24"/>
        <v>#N/A</v>
      </c>
      <c r="EM15" s="153" t="e">
        <f t="shared" ca="1" si="25"/>
        <v>#N/A</v>
      </c>
      <c r="EN15" s="153" t="e">
        <f ca="1">IF(Control!$C$108=1,IF(AND(Control!$B$18=1,$EB15&gt;=Control!$B$19),$EB15-$DS15,IF(AND(Control!$B$18=2,$AW15=1,$EB15&gt;$DS15),$EB15-$DS15,0)))</f>
        <v>#N/A</v>
      </c>
      <c r="EO15" s="153" t="e">
        <f ca="1">IF(Control!$C$108=1,IF(AND(Control!$B$18=1,$EB15&gt;=Control!$B$19),$EF15,IF(AND(Control!$B$18=2,$AW15=1),$EF15,0)))</f>
        <v>#N/A</v>
      </c>
      <c r="EP15" s="153" t="e">
        <f ca="1">IF(Control!$C$108=1,IF(AND(Control!$B$18=1,$EB15&gt;=Control!$B$19),$EK15,IF(AND(Control!$B$18=2,$AW15=1),$EK15,0)))</f>
        <v>#N/A</v>
      </c>
      <c r="EQ15" s="153" t="e">
        <f t="shared" ca="1" si="145"/>
        <v>#N/A</v>
      </c>
      <c r="ER15" s="153" t="e">
        <f t="shared" ca="1" si="195"/>
        <v>#N/A</v>
      </c>
      <c r="ES15" s="153" t="e">
        <f t="shared" ca="1" si="196"/>
        <v>#N/A</v>
      </c>
      <c r="ET15" s="153" t="e">
        <f t="shared" ca="1" si="197"/>
        <v>#N/A</v>
      </c>
      <c r="EU15" s="153" t="e">
        <f t="shared" ca="1" si="198"/>
        <v>#N/A</v>
      </c>
      <c r="EV15" s="153" t="e">
        <f t="shared" ca="1" si="146"/>
        <v>#N/A</v>
      </c>
      <c r="EW15" s="153" t="e">
        <f t="shared" ca="1" si="218"/>
        <v>#N/A</v>
      </c>
      <c r="EX15" s="153" t="e">
        <f t="shared" ca="1" si="26"/>
        <v>#N/A</v>
      </c>
      <c r="EY15" s="157" t="e">
        <f t="shared" ca="1" si="147"/>
        <v>#DIV/0!</v>
      </c>
      <c r="EZ15" s="154" t="e">
        <f t="shared" ca="1" si="27"/>
        <v>#DIV/0!</v>
      </c>
      <c r="FA15" s="153" t="e">
        <f t="shared" ca="1" si="199"/>
        <v>#N/A</v>
      </c>
      <c r="FB15" s="153" t="e">
        <f t="shared" ca="1" si="28"/>
        <v>#N/A</v>
      </c>
      <c r="FC15" s="193" t="e">
        <f t="shared" ca="1" si="29"/>
        <v>#N/A</v>
      </c>
      <c r="FD15" s="158" t="e">
        <f t="shared" ca="1" si="200"/>
        <v>#N/A</v>
      </c>
      <c r="FE15" s="158" t="e">
        <f t="shared" ca="1" si="148"/>
        <v>#N/A</v>
      </c>
      <c r="FF15" s="159" t="e">
        <f t="shared" ca="1" si="30"/>
        <v>#N/A</v>
      </c>
      <c r="FG15" s="160" t="e">
        <f t="shared" ca="1" si="149"/>
        <v>#N/A</v>
      </c>
      <c r="FH15" s="158" t="e">
        <f t="shared" ca="1" si="150"/>
        <v>#N/A</v>
      </c>
      <c r="FI15" s="159" t="e">
        <f t="shared" ca="1" si="31"/>
        <v>#N/A</v>
      </c>
      <c r="FJ15" s="160" t="e">
        <f t="shared" ca="1" si="151"/>
        <v>#N/A</v>
      </c>
      <c r="FK15" s="160" t="e">
        <f t="shared" ca="1" si="32"/>
        <v>#N/A</v>
      </c>
      <c r="FL15" s="160" t="e">
        <f t="shared" ca="1" si="229"/>
        <v>#N/A</v>
      </c>
      <c r="FM15" s="160" t="e">
        <f t="shared" ca="1" si="33"/>
        <v>#N/A</v>
      </c>
      <c r="FN15" s="158">
        <f t="shared" ca="1" si="219"/>
        <v>0.01</v>
      </c>
      <c r="FO15" s="160">
        <f>Control!$C$101</f>
        <v>50</v>
      </c>
      <c r="FP15" s="150" t="e">
        <f t="shared" ca="1" si="34"/>
        <v>#N/A</v>
      </c>
      <c r="FQ15" s="150" t="e">
        <f ca="1">MAX(0,(Control!$C$112*(($DK15-Control!$C$97)/Control!$C$97)))</f>
        <v>#N/A</v>
      </c>
      <c r="FR15" s="150" t="e">
        <f ca="1">(1-$NT15)*Control!$C$113</f>
        <v>#DIV/0!</v>
      </c>
      <c r="FS15" s="198" t="e">
        <f t="shared" ca="1" si="35"/>
        <v>#N/A</v>
      </c>
      <c r="FT15" s="161">
        <f t="shared" ca="1" si="152"/>
        <v>10</v>
      </c>
      <c r="FU15" s="162" t="e">
        <f ca="1">IF(Control!$B$34=1,VLOOKUP($CP15,Control!$B$86:$G$91,6),Control!$B$35)</f>
        <v>#N/A</v>
      </c>
      <c r="FV15" s="162" t="e">
        <f t="shared" ca="1" si="36"/>
        <v>#DIV/0!</v>
      </c>
      <c r="FW15" s="162" t="e">
        <f ca="1">IF(Control!$B$31=1,$FU15*$FV15,  $FU15)</f>
        <v>#N/A</v>
      </c>
      <c r="FX15" s="162" t="e">
        <f ca="1">IF(Control!$B$34=1,VLOOKUP($CP15,Control!$B$86:$G$91,3),Control!$B$36)</f>
        <v>#N/A</v>
      </c>
      <c r="FY15" s="162" t="e">
        <f t="shared" ca="1" si="37"/>
        <v>#N/A</v>
      </c>
      <c r="FZ15" s="162" t="e">
        <f ca="1">IF(Control!$B$34=1,VLOOKUP($CP15,Control!$B$86:$G$91,4),Control!$B$37)</f>
        <v>#N/A</v>
      </c>
      <c r="GA15" s="162" t="e">
        <f t="shared" ca="1" si="38"/>
        <v>#N/A</v>
      </c>
      <c r="GB15" s="162" t="e">
        <f ca="1">IF(Control!$B$34=1,VLOOKUP($CP15,Control!$B$86:$G$91,5),Control!$B$38)</f>
        <v>#N/A</v>
      </c>
      <c r="GC15" s="162" t="e">
        <f t="shared" ca="1" si="153"/>
        <v>#N/A</v>
      </c>
      <c r="GD15" s="162">
        <f t="shared" ca="1" si="39"/>
        <v>1</v>
      </c>
      <c r="GE15" s="162">
        <f t="shared" ca="1" si="40"/>
        <v>1</v>
      </c>
      <c r="GF15" s="162">
        <f ca="1">IF(AND(Control!$C$104=1, Control!$C$62="F"),$GE15,1)</f>
        <v>1</v>
      </c>
      <c r="GG15" s="162" t="e">
        <f ca="1">IF(Control!$B$16=40,0,IF(AND(Control!$B$16&gt;40,Control!$B$16&lt;=360),(Control!$B$16-40)*((1-0)/(360-40)),IF(AND(Control!$B$16&gt;360,Control!$B$16&lt;=720),(1+(Control!$B$16-360)*((1.25-1)/(720-360))),IF(AND(Control!$B$16&gt;720,Control!$B$16&lt;=1000),(1.25+(Control!$B$16-720)*((1.35-1.25)/(1000-720))),IF(AND(Control!$B$16&gt;1000,Control!$B$16&lt;=2000),(1.35+(Control!$B$16-1000)*0))))))</f>
        <v>#N/A</v>
      </c>
      <c r="GH15" s="162" t="e">
        <f t="shared" ca="1" si="41"/>
        <v>#N/A</v>
      </c>
      <c r="GI15" s="162">
        <f t="shared" ca="1" si="201"/>
        <v>0</v>
      </c>
      <c r="GJ15" s="162">
        <f t="shared" ca="1" si="42"/>
        <v>0</v>
      </c>
      <c r="GK15" s="162">
        <f t="shared" ca="1" si="220"/>
        <v>1</v>
      </c>
      <c r="GL15" s="162">
        <f t="shared" ca="1" si="43"/>
        <v>1</v>
      </c>
      <c r="GM15" s="162" t="e">
        <f ca="1">MAX(0,MIN(1,1-Control!$C$156*(1.0001-$KH15)^2))</f>
        <v>#N/A</v>
      </c>
      <c r="GN15" s="162" t="e">
        <f ca="1">IF(Control!$B$26=1,$KU15,$KX15)</f>
        <v>#N/A</v>
      </c>
      <c r="GO15" s="162" t="e">
        <f ca="1">IF($CP15&lt;=60,Control!$C$105,IF($CP15&gt;=90,Control!$C$106,Control!$C$105+($CP15-60)*((Control!$C$106-Control!$C$105)/(90-60))))</f>
        <v>#N/A</v>
      </c>
      <c r="GP15" s="162" t="e">
        <f t="shared" ca="1" si="154"/>
        <v>#N/A</v>
      </c>
      <c r="GQ15" s="162" t="e">
        <f t="shared" ca="1" si="155"/>
        <v>#N/A</v>
      </c>
      <c r="GR15" s="163" t="e">
        <f t="shared" ca="1" si="44"/>
        <v>#DIV/0!</v>
      </c>
      <c r="GS15" s="162" t="e">
        <f t="shared" ca="1" si="45"/>
        <v>#DIV/0!</v>
      </c>
      <c r="GT15" s="164" t="e">
        <f t="shared" ca="1" si="156"/>
        <v>#N/A</v>
      </c>
      <c r="GU15" s="162" t="e">
        <f t="shared" ca="1" si="157"/>
        <v>#N/A</v>
      </c>
      <c r="GV15" s="162" t="e">
        <f t="shared" ca="1" si="46"/>
        <v>#N/A</v>
      </c>
      <c r="GW15" s="162" t="e">
        <f t="shared" ca="1" si="221"/>
        <v>#DIV/0!</v>
      </c>
      <c r="GX15" s="162" t="e">
        <f t="shared" ca="1" si="228"/>
        <v>#DIV/0!</v>
      </c>
      <c r="GY15" s="162" t="e">
        <f t="shared" ca="1" si="158"/>
        <v>#DIV/0!</v>
      </c>
      <c r="GZ15" s="165" t="e">
        <f t="shared" ca="1" si="159"/>
        <v>#N/A</v>
      </c>
      <c r="HA15" s="162" t="e">
        <f ca="1">IF(Control!$C$114=1, $DI15*$FS15, 0)</f>
        <v>#N/A</v>
      </c>
      <c r="HB15" s="162" t="e">
        <f ca="1">$FA15/Control!$C$64</f>
        <v>#N/A</v>
      </c>
      <c r="HC15" s="162" t="e">
        <f t="shared" ca="1" si="222"/>
        <v>#DIV/0!</v>
      </c>
      <c r="HD15" s="162">
        <f ca="1">-ASIN(SIN(23.45*Control!$C$139)*COS(2*Control!$C$138*($AH15+10)/365))</f>
        <v>-0.38396171814791036</v>
      </c>
      <c r="HE15" s="165">
        <f t="shared" ca="1" si="160"/>
        <v>0</v>
      </c>
      <c r="HF15" s="166">
        <f ca="1">IF(AND(Control!$C$61="T",$HE15&gt;=Control!$C$103,Control!$C$114=0),$AH15,Control!$C$59)</f>
        <v>1</v>
      </c>
      <c r="HG15" s="166">
        <f ca="1">IF(AND(Control!$C$61="T",$HE15&gt;=Control!$C$103,Control!$C$114=0),$HF15,Control!$C$59)</f>
        <v>1</v>
      </c>
      <c r="HH15" s="165">
        <f ca="1">IF(AND(OR(Control!$C$60&lt;=0, $AH15= Control!$C$59, Control!$C$60 &gt;0, $AH15 = Control!$C$60)), Control!$C$59, IF(Control!$C$60&gt;0, 0))</f>
        <v>1</v>
      </c>
      <c r="HI15" s="165">
        <f ca="1">IF(AND(OR(Control!$C$60&lt;=0, $AH15= Control!$C$59, Control!$C$60 &gt;0, $AH15 = Control!$C$60)), Control!$C$60, IF(Control!$C$60&lt;=0, 0))</f>
        <v>0</v>
      </c>
      <c r="HJ15" s="166">
        <f ca="1">IF(AND(Control!$C$62="F",$CV15&gt;=Control!$C$102),$AH15,0)</f>
        <v>0</v>
      </c>
      <c r="HK15" s="165" t="e">
        <f t="shared" ca="1" si="202"/>
        <v>#N/A</v>
      </c>
      <c r="HL15" s="166">
        <f ca="1">IF(AND(Control!$C$61="T",$HE15&gt;=Control!$C$103,Control!$C$114=0),$HF15,0)</f>
        <v>0</v>
      </c>
      <c r="HM15" s="201" t="e">
        <f t="shared" ca="1" si="47"/>
        <v>#DIV/0!</v>
      </c>
      <c r="HN15" s="215">
        <f t="shared" ca="1" si="161"/>
        <v>10</v>
      </c>
      <c r="HO15" s="216" t="e">
        <f ca="1">IF(AND($CP15&gt;=0, $CP15&lt;=90), Control!$C$152, Control!$C$152)</f>
        <v>#N/A</v>
      </c>
      <c r="HP15" s="216" t="e">
        <f t="shared" ca="1" si="48"/>
        <v>#N/A</v>
      </c>
      <c r="HQ15" s="217" t="e">
        <f ca="1">IF(OR(Control!$B$26=1,Control!$B$26=2),$KV15,$KS15)</f>
        <v>#DIV/0!</v>
      </c>
      <c r="HR15" s="218" t="e">
        <f t="shared" ca="1" si="223"/>
        <v>#DIV/0!</v>
      </c>
      <c r="HS15" s="216" t="e">
        <f ca="1">Control!$C$154*$HP15</f>
        <v>#N/A</v>
      </c>
      <c r="HT15" s="216" t="e">
        <f ca="1">Control!$C$155*$HP15</f>
        <v>#N/A</v>
      </c>
      <c r="HU15" s="217" t="e">
        <f ca="1">Control!$C$161*$FI15</f>
        <v>#N/A</v>
      </c>
      <c r="HV15" s="218" t="e">
        <f t="shared" ca="1" si="162"/>
        <v>#N/A</v>
      </c>
      <c r="HW15" s="218" t="e">
        <f ca="1">Control!$C$160*$FF15+$IP15*$EO15</f>
        <v>#N/A</v>
      </c>
      <c r="HX15" s="218" t="e">
        <f t="shared" ca="1" si="203"/>
        <v>#N/A</v>
      </c>
      <c r="HY15" s="219" t="e">
        <f ca="1">IF(Control!$C$114=1, $EB15*$FS15, 0)</f>
        <v>#N/A</v>
      </c>
      <c r="HZ15" s="91" t="e">
        <f t="shared" ca="1" si="49"/>
        <v>#N/A</v>
      </c>
      <c r="IA15" s="220" t="e">
        <f ca="1">Control!$C$153*$HO15</f>
        <v>#N/A</v>
      </c>
      <c r="IB15" s="218" t="e">
        <f t="shared" ca="1" si="50"/>
        <v>#N/A</v>
      </c>
      <c r="IC15" s="220" t="e">
        <f ca="1">Control!$C$153*$HT15</f>
        <v>#N/A</v>
      </c>
      <c r="ID15" s="218" t="e">
        <f t="shared" ca="1" si="51"/>
        <v>#N/A</v>
      </c>
      <c r="IE15" s="221" t="e">
        <f ca="1">($EB15*Control!$C$159+$EF15*Control!$C$160)/(IF($GZ15&lt;&gt;0,$GZ15,1))</f>
        <v>#N/A</v>
      </c>
      <c r="IF15" s="216" t="e">
        <f t="shared" ca="1" si="52"/>
        <v>#N/A</v>
      </c>
      <c r="IG15" s="91">
        <f ca="1">IF(OR(Control!$B$198=$AH15,Control!$B$199=$AH15, Control!$B$200=$AH15, Control!$B$201=$AH15, Control!$B$202=$AH15, Control!$B$203=$AH15, Control!$B$204=$AH15, Control!$B$205=$AH15, Control!$B$206=$AH15, Control!$B$207=$AH15), 1, 0)</f>
        <v>0</v>
      </c>
      <c r="IH15" s="91">
        <f ca="1">IF($IG15=0,0, VLOOKUP($AH15,Control!$B$198:$C$207,2))</f>
        <v>0</v>
      </c>
      <c r="II15" s="222">
        <f t="shared" ca="1" si="163"/>
        <v>0</v>
      </c>
      <c r="IJ15" s="91">
        <f>Control!$C$121</f>
        <v>0.7</v>
      </c>
      <c r="IK15" s="218">
        <f t="shared" ca="1" si="53"/>
        <v>0</v>
      </c>
      <c r="IL15" s="217" t="e">
        <f t="shared" ca="1" si="204"/>
        <v>#N/A</v>
      </c>
      <c r="IM15" s="223" t="e">
        <f ca="1">IF(AND(Control!$C$114=1,$KH15&lt;1),$EB15*Control!$C$148*(1-$KH15), 0)</f>
        <v>#N/A</v>
      </c>
      <c r="IN15" s="217" t="e">
        <f t="shared" ca="1" si="54"/>
        <v>#DIV/0!</v>
      </c>
      <c r="IO15" s="91" t="e">
        <f ca="1">MAX(0,$IL15-$EF15*Control!$C$160)</f>
        <v>#N/A</v>
      </c>
      <c r="IP15" s="220" t="e">
        <f t="shared" ca="1" si="55"/>
        <v>#N/A</v>
      </c>
      <c r="IQ15" s="217" t="e">
        <f t="shared" ca="1" si="164"/>
        <v>#N/A</v>
      </c>
      <c r="IR15" s="218" t="e">
        <f t="shared" ca="1" si="56"/>
        <v>#N/A</v>
      </c>
      <c r="IS15" s="217" t="e">
        <f ca="1">Control!$C$159*MAX(0,$FD15-$EN15)</f>
        <v>#N/A</v>
      </c>
      <c r="IT15" s="217" t="e">
        <f t="shared" ca="1" si="205"/>
        <v>#N/A</v>
      </c>
      <c r="IU15" s="217" t="e">
        <f t="shared" ca="1" si="165"/>
        <v>#N/A</v>
      </c>
      <c r="IV15" s="217" t="e">
        <f t="shared" ca="1" si="206"/>
        <v>#N/A</v>
      </c>
      <c r="IW15" s="217" t="e">
        <f ca="1">IF(OR($AW15=1,AND($AW15=0, Control!$B$18=1,$EN15&lt;&gt;0)), $IQ15-$IU15, $IQ15)</f>
        <v>#N/A</v>
      </c>
      <c r="IX15" s="218" t="e">
        <f t="shared" ca="1" si="57"/>
        <v>#N/A</v>
      </c>
      <c r="IY15" s="218" t="e">
        <f ca="1">MAX(0,$IQ15-$EB15*Control!$C$159)</f>
        <v>#N/A</v>
      </c>
      <c r="IZ15" s="218" t="e">
        <f t="shared" ca="1" si="58"/>
        <v>#N/A</v>
      </c>
      <c r="JA15" s="216" t="e">
        <f t="shared" ca="1" si="59"/>
        <v>#N/A</v>
      </c>
      <c r="JB15" s="217" t="e">
        <f t="shared" ca="1" si="60"/>
        <v>#N/A</v>
      </c>
      <c r="JC15" s="222" t="e">
        <f ca="1">MAX(Control!$C$157*$EK15-$JT15, 0)/Control!$C$162</f>
        <v>#N/A</v>
      </c>
      <c r="JD15" s="218" t="e">
        <f t="shared" ca="1" si="61"/>
        <v>#N/A</v>
      </c>
      <c r="JE15" s="218" t="e">
        <f t="shared" ca="1" si="62"/>
        <v>#N/A</v>
      </c>
      <c r="JF15" s="218" t="e">
        <f t="shared" ca="1" si="207"/>
        <v>#N/A</v>
      </c>
      <c r="JG15" s="218" t="e">
        <f t="shared" ca="1" si="63"/>
        <v>#N/A</v>
      </c>
      <c r="JH15" s="217" t="e">
        <f t="shared" ca="1" si="166"/>
        <v>#N/A</v>
      </c>
      <c r="JI15" s="217" t="e">
        <f t="shared" ca="1" si="167"/>
        <v>#N/A</v>
      </c>
      <c r="JJ15" s="217" t="e">
        <f t="shared" ca="1" si="224"/>
        <v>#N/A</v>
      </c>
      <c r="JK15" s="217" t="e">
        <f ca="1">IF(Control!$C$114=1,IF(Control!$B$24=0,MAX(0,$JI15)*$GN15/Control!$C$64,(MAX(0,MIN($JI15,$JJ15*$GN15/Control!$C$64),0))))</f>
        <v>#N/A</v>
      </c>
      <c r="JL15" s="217" t="e">
        <f ca="1">$IK15/Control!$C$64-$JK15+$HQ15</f>
        <v>#N/A</v>
      </c>
      <c r="JM15" s="217" t="e">
        <f ca="1">IF(Control!$C$114=1,($JB15/(IF($JI15&lt;&gt;0,$JI15,1)))*$JK15,0)</f>
        <v>#N/A</v>
      </c>
      <c r="JN15" s="217" t="e">
        <f ca="1">IF(Control!$C$114=1,($JG15/(IF($JI15&lt;&gt;0,$JI15,1)))*$JK15, 0)</f>
        <v>#N/A</v>
      </c>
      <c r="JO15" s="218" t="e">
        <f t="shared" ca="1" si="64"/>
        <v>#N/A</v>
      </c>
      <c r="JP15" s="218" t="e">
        <f ca="1">MIN(($IY15+$IO15)*Control!$C$151, $JF15-$EH15*Control!$C$161)</f>
        <v>#N/A</v>
      </c>
      <c r="JQ15" s="218" t="e">
        <f t="shared" ca="1" si="65"/>
        <v>#N/A</v>
      </c>
      <c r="JR15" s="217" t="e">
        <f ca="1">IF($CP15-Control!$C$150&lt;0, 0, $JQ15/Control!$C$162)</f>
        <v>#N/A</v>
      </c>
      <c r="JS15" s="218" t="e">
        <f t="shared" ca="1" si="66"/>
        <v>#N/A</v>
      </c>
      <c r="JT15" s="218" t="e">
        <f t="shared" ca="1" si="168"/>
        <v>#N/A</v>
      </c>
      <c r="JU15" s="218" t="e">
        <f t="shared" ca="1" si="67"/>
        <v>#N/A</v>
      </c>
      <c r="JV15" s="218" t="e">
        <f t="shared" ca="1" si="68"/>
        <v>#N/A</v>
      </c>
      <c r="JW15" s="216" t="e">
        <f t="shared" ca="1" si="69"/>
        <v>#N/A</v>
      </c>
      <c r="JX15" s="91" t="e">
        <f t="shared" ca="1" si="70"/>
        <v>#N/A</v>
      </c>
      <c r="JY15" s="218" t="e">
        <f t="shared" ca="1" si="71"/>
        <v>#N/A</v>
      </c>
      <c r="JZ15" s="217" t="e">
        <f ca="1">IF(Control!$C$114=1,($IZ15/(IF($JI15&lt;&gt;0,$JI15,1)))*$JK15, 0)</f>
        <v>#N/A</v>
      </c>
      <c r="KA15" s="218" t="e">
        <f t="shared" ca="1" si="225"/>
        <v>#N/A</v>
      </c>
      <c r="KB15" s="218" t="e">
        <f t="shared" ca="1" si="169"/>
        <v>#N/A</v>
      </c>
      <c r="KC15" s="218" t="e">
        <f t="shared" ca="1" si="72"/>
        <v>#N/A</v>
      </c>
      <c r="KD15" s="218" t="e">
        <f t="shared" ca="1" si="73"/>
        <v>#N/A</v>
      </c>
      <c r="KE15" s="218" t="e">
        <f t="shared" ca="1" si="74"/>
        <v>#N/A</v>
      </c>
      <c r="KF15" s="218" t="e">
        <f t="shared" ca="1" si="75"/>
        <v>#N/A</v>
      </c>
      <c r="KG15" s="216" t="e">
        <f t="shared" ca="1" si="76"/>
        <v>#N/A</v>
      </c>
      <c r="KH15" s="221" t="e">
        <f ca="1">IF(Control!$B$24=0,1,MAX(0.001,MIN(1,IF(($IF15-$IE15)&lt;&gt;0,($KG15-$IE15)/($IF15-$IE15),1))))</f>
        <v>#N/A</v>
      </c>
      <c r="KI15" s="222" t="e">
        <f ca="1">IF(Control!$C$114=1, $KI14+ $KH14, 0)</f>
        <v>#N/A</v>
      </c>
      <c r="KJ15" s="217" t="e">
        <f t="shared" ca="1" si="77"/>
        <v>#N/A</v>
      </c>
      <c r="KK15" s="218" t="e">
        <f t="shared" ca="1" si="78"/>
        <v>#N/A</v>
      </c>
      <c r="KL15" s="274" t="e">
        <f ca="1">IF(Control!$B$26=3,4000000000*EXP(-8400/($G15+273)),IF(Control!$B$26=4,4000000000*EXP(-8400/($G15+273))*($KT15),0))</f>
        <v>#DIV/0!</v>
      </c>
      <c r="KM15" s="274" t="e">
        <f ca="1">IF(Control!$B$26=3,5600000000000*EXP(-9800/($G15+273)),IF(Control!$B$26=4,5600000000000*EXP(-9800/($G15+273))*$KT15,0))</f>
        <v>#DIV/0!</v>
      </c>
      <c r="KN15" s="454" t="e">
        <f t="shared" ca="1" si="170"/>
        <v>#DIV/0!</v>
      </c>
      <c r="KO15" s="274" t="e">
        <f t="shared" ca="1" si="171"/>
        <v>#DIV/0!</v>
      </c>
      <c r="KP15" s="454" t="e">
        <f t="shared" ca="1" si="79"/>
        <v>#DIV/0!</v>
      </c>
      <c r="KQ15" s="454" t="e">
        <f t="shared" ca="1" si="80"/>
        <v>#DIV/0!</v>
      </c>
      <c r="KR15" s="454" t="e">
        <f t="shared" ca="1" si="81"/>
        <v>#DIV/0!</v>
      </c>
      <c r="KS15" s="454" t="e">
        <f t="shared" ca="1" si="82"/>
        <v>#DIV/0!</v>
      </c>
      <c r="KT15" s="455" t="e">
        <f t="shared" ca="1" si="83"/>
        <v>#DIV/0!</v>
      </c>
      <c r="KU15" s="456" t="e">
        <f ca="1">IF($CP15-Control!$C$149&lt;0, IF($NT15-0.01&lt;0,0,1),0)</f>
        <v>#N/A</v>
      </c>
      <c r="KV15" s="456" t="e">
        <f ca="1">IF(Control!$C$114=1,MAX(0,MIN(Control!$C$125*$KW15*$GN15,$KW15)))</f>
        <v>#DIV/0!</v>
      </c>
      <c r="KW15" s="456" t="e">
        <f t="shared" ca="1" si="208"/>
        <v>#DIV/0!</v>
      </c>
      <c r="KX15" s="457" t="e">
        <f ca="1">IF($CP15-Control!$C$149&lt;0, IF($MR15-$OM15&lt;0,0,1),0)</f>
        <v>#N/A</v>
      </c>
      <c r="KY15" s="167">
        <f t="shared" ca="1" si="172"/>
        <v>10</v>
      </c>
      <c r="KZ15" s="168">
        <f ca="1">1370*(1+0.033*COS(2*Control!$C$138*$AH15/365))</f>
        <v>1414.5417979090792</v>
      </c>
      <c r="LA15" s="169">
        <f t="shared" ca="1" si="173"/>
        <v>1.03251226352295</v>
      </c>
      <c r="LB15" s="169">
        <f t="shared" ca="1" si="174"/>
        <v>-0.38378968641292643</v>
      </c>
      <c r="LC15" s="169">
        <f ca="1">ACOS(-TAN((2*Control!$B$8/360))*TAN(Calculations!$LB15))</f>
        <v>1.4504916529364644</v>
      </c>
      <c r="LD15" s="169">
        <f ca="1">((24*60)/PI())*0.082*$LA15*(($LC15*SIN(Control!$B$8*2*PI()/360))*SIN($LB15)+COS(Control!$B$8*2*PI()/360)*COS($LB15)*SIN($LC15))</f>
        <v>5.3851789110799393</v>
      </c>
      <c r="LE15" s="170">
        <f t="shared" ca="1" si="84"/>
        <v>6.9343286032302478</v>
      </c>
      <c r="LF15" s="170">
        <f ca="1">SIN(Control!$C$139*Control!$B$8)*SIN($HD15)</f>
        <v>-0.29518668303681356</v>
      </c>
      <c r="LG15" s="170">
        <f ca="1">COS(Control!$C$139*Control!$B$8)*COS($HD15)</f>
        <v>0.57083230088267889</v>
      </c>
      <c r="LH15" s="170">
        <f ca="1">12*(1+2*ASIN(MAX(-1,MIN(1,$LF15/$LG15))/Control!$C$138))</f>
        <v>8.0314716267249153</v>
      </c>
      <c r="LI15" s="170">
        <f ca="1">12*(1+2*ASIN(MAX(-1,MIN(1,(-SIN(-4*Control!$C$139)+$LF15)/$LG15))/Control!$C$138))</f>
        <v>8.9750787911649983</v>
      </c>
      <c r="LJ15" s="168">
        <f ca="1">3600*($LH15*$LF15+24*$LG15*SQRT(1-$LK15*$LK15)/Control!$C$138)</f>
        <v>4902.1729958636106</v>
      </c>
      <c r="LK15" s="170">
        <f t="shared" ca="1" si="85"/>
        <v>-0.51711629243889301</v>
      </c>
      <c r="LL15" s="170">
        <f t="shared" ca="1" si="86"/>
        <v>0</v>
      </c>
      <c r="LM15" s="171">
        <f ca="1">Control!$C$145*$AB15</f>
        <v>6.6660906138995932E-2</v>
      </c>
      <c r="LN15" s="170">
        <f t="shared" ca="1" si="175"/>
        <v>0.54</v>
      </c>
      <c r="LO15" s="170">
        <f t="shared" ca="1" si="87"/>
        <v>0</v>
      </c>
      <c r="LP15" s="170">
        <f ca="1">Control!$C$140*((($D15+273.16)^4+($E15+273.16)^4)/2)*(0.34-0.14*SQRT($Y15))*(1.35*$AQ15/(0.75*$LD15)-0.35)</f>
        <v>-3.2464704755046001</v>
      </c>
      <c r="LQ15" s="170">
        <f ca="1">Control!$C$140*($G15+273)^4*(0.56-0.079*SQRT($Y15*10))*(0.1+0.9*$LO15)</f>
        <v>1.5241745131704001</v>
      </c>
      <c r="LR15" s="170">
        <f ca="1">$AQ15*(1-Control!$C$142)-$LQ15</f>
        <v>-1.5241745131704001</v>
      </c>
      <c r="LS15" s="170">
        <f ca="1">$AQ15*(1-Control!$C$143)-$LQ15</f>
        <v>-1.5241745131704001</v>
      </c>
      <c r="LT15" s="170">
        <f ca="1">$AQ15*(1-Control!$C$144)-$LQ15</f>
        <v>-1.5241745131704001</v>
      </c>
      <c r="LU15" s="169">
        <f ca="1">(1-Control!$C$144)*AQ15-LP15</f>
        <v>3.2464704755046001</v>
      </c>
      <c r="LV15" s="172">
        <f t="shared" ca="1" si="88"/>
        <v>0.79430000000000012</v>
      </c>
      <c r="LW15" s="170">
        <f t="shared" ca="1" si="89"/>
        <v>1.5886000000000002</v>
      </c>
      <c r="LX15" s="170">
        <f ca="1">($AC15*($LR15/Control!$C$141)+$LM15*$LV15)/($AC15+$LM15)</f>
        <v>0.23530094218323697</v>
      </c>
      <c r="LY15" s="170">
        <f ca="1">($AC15*($LS15/Control!$C$141)+$LM15*$LV15)/($AC15+$LM15)</f>
        <v>0.23530094218323697</v>
      </c>
      <c r="LZ15" s="170">
        <f t="shared" ca="1" si="90"/>
        <v>0.23530094218323697</v>
      </c>
      <c r="MA15" s="170">
        <f t="shared" ca="1" si="91"/>
        <v>0.23530094218323697</v>
      </c>
      <c r="MB15" s="170" t="e">
        <f t="shared" ca="1" si="92"/>
        <v>#N/A</v>
      </c>
      <c r="MC15" s="170">
        <f t="shared" ca="1" si="176"/>
        <v>0.6018</v>
      </c>
      <c r="MD15" s="170">
        <f t="shared" ca="1" si="93"/>
        <v>0.52989392535414004</v>
      </c>
      <c r="ME15" s="170">
        <f ca="1">($AC15*($LT15/Control!$C$141)+$LM15*$LW15)/($AC15+$LM15)</f>
        <v>0.71612369323045078</v>
      </c>
      <c r="MF15" s="170" t="e">
        <f ca="1">IF(Control!$B$16&gt;=1000,0.92,IF(AND(720&lt;=Control!$B$16,1000&gt;Control!$B$16),(0.95+(Control!$B$16-720)*((0.92-0.95)/(1000-720))),IF(AND(360&lt;=Control!$B$16,720&gt;Control!$B$16),(1+(Control!$B$16-360)*((0.95-1)/(720-360))),IF(AND(40&lt;=Control!$B$16,360&gt;Control!$B$16),(1.05+(Control!$B$16-40)*((1.05-1)/(360-40)))))))</f>
        <v>#N/A</v>
      </c>
      <c r="MG15" s="170">
        <f t="shared" ca="1" si="94"/>
        <v>0.71612369323045078</v>
      </c>
      <c r="MH15" s="170" t="e">
        <f t="shared" ca="1" si="95"/>
        <v>#N/A</v>
      </c>
      <c r="MI15" s="170" t="e">
        <f t="shared" ca="1" si="95"/>
        <v>#N/A</v>
      </c>
      <c r="MJ15" s="170" t="e">
        <f ca="1">MAX(0.0001, Control!$C$132*$MI15*$DL15)</f>
        <v>#N/A</v>
      </c>
      <c r="MK15" s="170">
        <f ca="1">1/(0.76+1.5*($MG15/10))-(5-Control!$C$110)*0.1</f>
        <v>1.002845988140797</v>
      </c>
      <c r="ML15" s="173">
        <f ca="1">IF(Control!$C$110&lt;3,$MK15+($MG15-0.6)/(Control!$C$110*(Control!$C$110+3)), MAX(0.1, MIN(0.95,$MK15)))</f>
        <v>0.95</v>
      </c>
      <c r="MM15" s="173">
        <f ca="1">IF(Control!$C$110&lt;3,$MK15+(($MI15/10)-0.6)/(Control!$C$110*(Control!$C$110+3)), MAX(0.1, MIN(0.95,$MK15)))</f>
        <v>0.95</v>
      </c>
      <c r="MN15" s="173">
        <f ca="1">(1-$MM15)*(Control!$C$128-Control!$C$127)+Control!$C$127</f>
        <v>0.16</v>
      </c>
      <c r="MO15" s="170" t="e">
        <f ca="1">MAX(0,MIN(1,($MS15-Control!$C$127)/($MN15-Control!$C$127)))</f>
        <v>#DIV/0!</v>
      </c>
      <c r="MP15" s="173" t="e">
        <f ca="1">1/(0.76+1.5*$MI15)-(5-Control!$C$110)*0.1</f>
        <v>#N/A</v>
      </c>
      <c r="MQ15" s="172" t="e">
        <f t="shared" ca="1" si="209"/>
        <v>#DIV/0!</v>
      </c>
      <c r="MR15" s="168" t="e">
        <f t="shared" ca="1" si="226"/>
        <v>#DIV/0!</v>
      </c>
      <c r="MS15" s="173" t="e">
        <f ca="1">MAX(Control!$C$127, MIN(Control!$C$135, $MR15/MAX(0.0001,$CY15)))</f>
        <v>#DIV/0!</v>
      </c>
      <c r="MT15" s="168" t="e">
        <f ca="1">(Control!$C$128-$MS15)*Control!$C$74</f>
        <v>#DIV/0!</v>
      </c>
      <c r="MU15" s="168" t="e">
        <f ca="1">(Control!$C$135-$MS15)*Control!$C$74</f>
        <v>#DIV/0!</v>
      </c>
      <c r="MV15" s="168" t="e">
        <f t="shared" ca="1" si="210"/>
        <v>#DIV/0!</v>
      </c>
      <c r="MW15" s="168" t="e">
        <f t="shared" ca="1" si="177"/>
        <v>#DIV/0!</v>
      </c>
      <c r="MX15" s="171" t="e">
        <f ca="1">MAX(Control!$C$127, MIN(Control!$C$135, $MW15/MAX(0.0001,Control!$C$119-$CY15)))</f>
        <v>#DIV/0!</v>
      </c>
      <c r="MY15" s="54" t="e">
        <f ca="1">IF(Control!$C$114=1, $CX15*$MX15, 0)</f>
        <v>#DIV/0!</v>
      </c>
      <c r="MZ15" s="54" t="e">
        <f t="shared" ca="1" si="178"/>
        <v>#N/A</v>
      </c>
      <c r="NA15" s="168" t="e">
        <f ca="1">(Control!$C$128-$MX15)*(Control!$C$119-Control!$C$74)</f>
        <v>#DIV/0!</v>
      </c>
      <c r="NB15" s="168" t="e">
        <f ca="1">(Control!$C$135-$MX15)*(Control!$C$119-Control!$C$74)</f>
        <v>#DIV/0!</v>
      </c>
      <c r="NC15" s="174" t="e">
        <f t="shared" ca="1" si="179"/>
        <v>#DIV/0!</v>
      </c>
      <c r="ND15" s="54">
        <f ca="1">IF(Control!$C$58=2, IF(OR(Control!$B$218=$AH15,Control!$B$219=$AH15, Control!$B$220=$AH15, Control!$B$221=$AH15, Control!$B$222=$AH15, Control!$B$223=$AH15, Control!$B$224=$AH15, Control!$B$225=$AH15, Control!$B$226=$AH15, Control!$B$227=$AH15, Control!$B$228=$AH15), 1, 0), 0)</f>
        <v>0</v>
      </c>
      <c r="NE15" s="54">
        <f ca="1">IF($ND15=0,0, VLOOKUP($AH15,Control!$B$218:$C$228,2))</f>
        <v>0</v>
      </c>
      <c r="NF15" s="168" t="e">
        <f ca="1">$CY15*(Control!$C$128-Control!$C$127)</f>
        <v>#N/A</v>
      </c>
      <c r="NG15" s="54" t="e">
        <f ca="1">IF(Control!$C$58=2, $NI14-$NJ14, 0)</f>
        <v>#DIV/0!</v>
      </c>
      <c r="NH15" s="54" t="e">
        <f ca="1">IF(AND(Control!$C$58=1, $MS14&lt;= ($MN14+0.02), $I14&lt;10), 0, IF(Control!$C$58=2, $NG14, 0))</f>
        <v>#DIV/0!</v>
      </c>
      <c r="NI15" s="54" t="e">
        <f ca="1">IF(Control!$C$58=2, $NE15+$NH15,0)</f>
        <v>#DIV/0!</v>
      </c>
      <c r="NJ15" s="54" t="e">
        <f ca="1">IF(AND(Control!$C$58=1, $MS15&lt;= ($MN15+0.02), $I15&lt;10), MAX(0, MIN(10, 0.7*($NF15-$MV15))), IF(Control!$C$58=2, MIN(10,$NI15),0))</f>
        <v>#DIV/0!</v>
      </c>
      <c r="NK15" s="54" t="e">
        <f t="shared" ca="1" si="96"/>
        <v>#DIV/0!</v>
      </c>
      <c r="NL15" s="173" t="e">
        <f ca="1">(1-Control!$C$73)*$I15+$NJ15</f>
        <v>#DIV/0!</v>
      </c>
      <c r="NM15" s="172" t="e">
        <f ca="1">IF($NL15&lt;0.5, $MB15* MAX(0, MIN(1, (SQRT($NC15)-SQRT($NC15-1))*Control!$C$71)),0)</f>
        <v>#DIV/0!</v>
      </c>
      <c r="NN15" s="170" t="e">
        <f ca="1">IF($NL15&gt;=5, $MB15, MAX(0,MIN($MB15, $NM15+$NL15,($MS15-Control!$C$129))))</f>
        <v>#DIV/0!</v>
      </c>
      <c r="NO15" s="54">
        <f>IF(Control!$C$133&lt;&gt;1, Control!$C$135-Control!$C$131, 0)</f>
        <v>0.38</v>
      </c>
      <c r="NP15" s="54" t="e">
        <f t="shared" ca="1" si="97"/>
        <v>#DIV/0!</v>
      </c>
      <c r="NQ15" s="173" t="e">
        <f ca="1">MAX(0,MIN(1,(Control!$C$135-$MS15)/(Control!$C$135-$NO15)))</f>
        <v>#DIV/0!</v>
      </c>
      <c r="NR15" s="170" t="e">
        <f ca="1">IF(Control!$C$133&lt;&gt;1, $NQ15+((1-$NP15/4)*(1-$NQ15)),1)</f>
        <v>#DIV/0!</v>
      </c>
      <c r="NS15" s="170" t="e">
        <f ca="1">IF(Control!$B$31=0,$MJ15,MAX(0,MIN($MV15,$MO15*$NR15*$MJ15)))</f>
        <v>#DIV/0!</v>
      </c>
      <c r="NT15" s="170" t="e">
        <f t="shared" ca="1" si="227"/>
        <v>#DIV/0!</v>
      </c>
      <c r="NU15" s="170" t="e">
        <f t="shared" ca="1" si="180"/>
        <v>#N/A</v>
      </c>
      <c r="NV15" s="170" t="e">
        <f t="shared" ca="1" si="98"/>
        <v>#N/A</v>
      </c>
      <c r="NW15" s="175" t="e">
        <f t="shared" ca="1" si="99"/>
        <v>#DIV/0!</v>
      </c>
      <c r="NX15" s="170" t="e">
        <f ca="1">MIN(Control!$C$72+$MU15, $NW15)</f>
        <v>#DIV/0!</v>
      </c>
      <c r="NY15" s="170" t="e">
        <f ca="1">IF($MT15&lt;=$NX15,MIN(Control!$C$72+$NB15,$NX15-$MT15),0)</f>
        <v>#DIV/0!</v>
      </c>
      <c r="NZ15" s="54" t="e">
        <f ca="1">IF(Control!$C$114=1,  $CX15*($MX15-Control!$C$127), 0)</f>
        <v>#DIV/0!</v>
      </c>
      <c r="OA15" s="170" t="e">
        <f t="shared" ca="1" si="181"/>
        <v>#DIV/0!</v>
      </c>
      <c r="OB15" s="170" t="e">
        <f ca="1">IF($NA15 &lt;=$NY15, MIN(Control!$C$72, $NY15-$NA15), 0)</f>
        <v>#DIV/0!</v>
      </c>
      <c r="OC15" s="168" t="e">
        <f t="shared" ca="1" si="100"/>
        <v>#DIV/0!</v>
      </c>
      <c r="OD15" s="168" t="e">
        <f t="shared" ca="1" si="182"/>
        <v>#DIV/0!</v>
      </c>
      <c r="OE15" s="170">
        <f ca="1">Control!$C$73*$I15</f>
        <v>0</v>
      </c>
      <c r="OF15" s="176" t="e">
        <f t="shared" ca="1" si="101"/>
        <v>#DIV/0!</v>
      </c>
      <c r="OG15" s="168" t="e">
        <f t="shared" ca="1" si="102"/>
        <v>#DIV/0!</v>
      </c>
      <c r="OH15" s="168" t="e">
        <f t="shared" ca="1" si="103"/>
        <v>#DIV/0!</v>
      </c>
      <c r="OI15" s="168" t="e">
        <f t="shared" ca="1" si="104"/>
        <v>#DIV/0!</v>
      </c>
      <c r="OJ15" s="168" t="e">
        <f t="shared" ca="1" si="105"/>
        <v>#DIV/0!</v>
      </c>
      <c r="OK15" s="204" t="e">
        <f t="shared" ca="1" si="183"/>
        <v>#DIV/0!</v>
      </c>
      <c r="OL15" s="177">
        <f>Control!$C$127</f>
        <v>0.15</v>
      </c>
      <c r="OM15" s="182" t="e">
        <f t="shared" ca="1" si="106"/>
        <v>#N/A</v>
      </c>
      <c r="ON15" s="177">
        <f>Control!$C$128</f>
        <v>0.35</v>
      </c>
      <c r="OO15" s="182" t="e">
        <f t="shared" ca="1" si="107"/>
        <v>#N/A</v>
      </c>
      <c r="OP15" s="138">
        <f t="shared" ca="1" si="184"/>
        <v>0</v>
      </c>
      <c r="OQ15" s="138" t="e">
        <f t="shared" ca="1" si="211"/>
        <v>#DIV/0!</v>
      </c>
      <c r="OR15" s="138" t="e">
        <f t="shared" ca="1" si="185"/>
        <v>#DIV/0!</v>
      </c>
      <c r="OS15" s="137" t="e">
        <f t="shared" ca="1" si="212"/>
        <v>#DIV/0!</v>
      </c>
      <c r="OT15" s="139" t="e">
        <f t="shared" ca="1" si="213"/>
        <v>#DIV/0!</v>
      </c>
      <c r="OU15" s="138" t="e">
        <f t="shared" ca="1" si="214"/>
        <v>#N/A</v>
      </c>
      <c r="OV15" s="138" t="e">
        <f t="shared" ca="1" si="215"/>
        <v>#DIV/0!</v>
      </c>
      <c r="OW15" s="138" t="e">
        <f t="shared" ca="1" si="186"/>
        <v>#DIV/0!</v>
      </c>
      <c r="OX15" s="138" t="e">
        <f t="shared" ca="1" si="187"/>
        <v>#DIV/0!</v>
      </c>
      <c r="OY15" s="138" t="e">
        <f t="shared" ca="1" si="188"/>
        <v>#DIV/0!</v>
      </c>
      <c r="OZ15" s="138" t="e">
        <f t="shared" ca="1" si="108"/>
        <v>#DIV/0!</v>
      </c>
      <c r="PA15" s="138" t="e">
        <f t="shared" ca="1" si="109"/>
        <v>#DIV/0!</v>
      </c>
      <c r="PB15" s="55">
        <f>IF(Control!$C$61="T", IF(Control!$C$65="F", IF($AH$6-Control!$C$60&lt;0,0,1), IF(365+$AH$6-Control!$C$60&lt;0,0,1)),0)</f>
        <v>0</v>
      </c>
      <c r="PC15" s="55">
        <f ca="1">IF(Control!$C$65="F", IF($AH$6-$HF15&lt;0,0,1), IF(365+$AH$6-$HF15&lt;0,0,1))</f>
        <v>1</v>
      </c>
      <c r="PD15" s="444">
        <f>Control!$C$118</f>
        <v>1500</v>
      </c>
      <c r="PE15" s="180" t="e">
        <f t="shared" ca="1" si="110"/>
        <v>#N/A</v>
      </c>
      <c r="PF15" s="445">
        <f t="shared" ca="1" si="189"/>
        <v>0.71612369323045078</v>
      </c>
      <c r="PT15" s="186"/>
      <c r="PU15" s="186"/>
      <c r="PV15" s="94"/>
      <c r="PW15" s="94"/>
      <c r="PX15" s="94"/>
      <c r="PY15" s="94"/>
      <c r="PZ15" s="94"/>
      <c r="QA15" s="94"/>
      <c r="QB15" s="94"/>
      <c r="QC15" s="94"/>
      <c r="QD15" s="94"/>
      <c r="QE15" s="94"/>
      <c r="QF15" s="94"/>
      <c r="QG15" s="94"/>
      <c r="QH15" s="94"/>
      <c r="QI15" s="94"/>
      <c r="QJ15" s="94"/>
      <c r="QK15" s="94"/>
      <c r="QL15" s="94"/>
      <c r="QM15" s="94"/>
      <c r="QN15" s="94"/>
      <c r="QO15" s="94"/>
      <c r="QP15" s="94"/>
    </row>
    <row r="16" spans="1:458" s="2" customFormat="1" x14ac:dyDescent="0.2">
      <c r="A16" s="386">
        <v>11</v>
      </c>
      <c r="B16" s="387">
        <v>1</v>
      </c>
      <c r="C16" s="387">
        <f ca="1">Weather_data!$B15</f>
        <v>0</v>
      </c>
      <c r="D16" s="388">
        <f ca="1">Weather_data!$F15</f>
        <v>0</v>
      </c>
      <c r="E16" s="388">
        <f ca="1">Weather_data!$E15</f>
        <v>0</v>
      </c>
      <c r="F16" s="388">
        <f t="shared" ca="1" si="111"/>
        <v>0</v>
      </c>
      <c r="G16" s="388">
        <f ca="1">AVERAGE($D16:$E16)+Control!$B$9</f>
        <v>0</v>
      </c>
      <c r="H16" s="388">
        <f ca="1">Weather_data!$G15</f>
        <v>0</v>
      </c>
      <c r="I16" s="388">
        <f ca="1">Weather_data!$I15</f>
        <v>0</v>
      </c>
      <c r="J16" s="388">
        <f ca="1">Weather_data!$H15</f>
        <v>0</v>
      </c>
      <c r="K16" s="389">
        <f ca="1">Weather_data!$D15</f>
        <v>0</v>
      </c>
      <c r="L16" s="388" t="e">
        <f t="shared" ca="1" si="112"/>
        <v>#N/A</v>
      </c>
      <c r="M16" s="388" t="e">
        <f t="shared" ca="1" si="0"/>
        <v>#N/A</v>
      </c>
      <c r="N16" s="388">
        <f t="shared" ca="1" si="1"/>
        <v>-0.17433922004999997</v>
      </c>
      <c r="O16" s="388">
        <f t="shared" ca="1" si="113"/>
        <v>1.7433922004999998</v>
      </c>
      <c r="P16" s="390">
        <v>3</v>
      </c>
      <c r="Q16" s="388">
        <f ca="1">MAX($G16-Control!$C$107,0)</f>
        <v>0</v>
      </c>
      <c r="R16" s="388">
        <f t="shared" ca="1" si="114"/>
        <v>0</v>
      </c>
      <c r="S16" s="388">
        <f t="shared" ca="1" si="2"/>
        <v>0</v>
      </c>
      <c r="T16" s="388">
        <f t="shared" ca="1" si="3"/>
        <v>0</v>
      </c>
      <c r="U16" s="59">
        <f t="shared" ca="1" si="4"/>
        <v>0</v>
      </c>
      <c r="V16" s="391">
        <f ca="1">MAX(0,MIN(Control!$C$100-Control!$C$99,$G16-Control!$C$99)*Control!$C$63)</f>
        <v>0</v>
      </c>
      <c r="W16" s="388">
        <f t="shared" ca="1" si="190"/>
        <v>0</v>
      </c>
      <c r="X16" s="388">
        <f t="shared" ca="1" si="115"/>
        <v>0.6110000000000001</v>
      </c>
      <c r="Y16" s="388">
        <f t="shared" ca="1" si="116"/>
        <v>0</v>
      </c>
      <c r="Z16" s="388">
        <f t="shared" ca="1" si="117"/>
        <v>0.61058800000000002</v>
      </c>
      <c r="AA16" s="388">
        <f t="shared" ca="1" si="5"/>
        <v>0.6018</v>
      </c>
      <c r="AB16" s="388">
        <f ca="1">101.3*EXP(-0.034*Control!$C$66/($G16+273))</f>
        <v>100.69623283836242</v>
      </c>
      <c r="AC16" s="392">
        <f t="shared" ca="1" si="6"/>
        <v>4.3460251046025113E-2</v>
      </c>
      <c r="AD16" s="392">
        <f t="shared" ca="1" si="7"/>
        <v>4.4450382862832649E-2</v>
      </c>
      <c r="AE16" s="388">
        <f t="shared" ca="1" si="8"/>
        <v>0</v>
      </c>
      <c r="AF16" s="388">
        <f ca="1">MAX(0,$G16-Control!$C$92)</f>
        <v>0</v>
      </c>
      <c r="AG16" s="393">
        <f t="shared" ca="1" si="118"/>
        <v>11</v>
      </c>
      <c r="AH16" s="389">
        <f t="shared" ca="1" si="9"/>
        <v>11</v>
      </c>
      <c r="AI16" s="388">
        <f t="shared" ca="1" si="119"/>
        <v>-0.3814095475867077</v>
      </c>
      <c r="AJ16" s="388">
        <f ca="1">IF(Control!$C$60&lt;=0,$HH16,$HI16)</f>
        <v>1</v>
      </c>
      <c r="AK16" s="388">
        <f t="shared" ca="1" si="10"/>
        <v>-1.1877802361517573</v>
      </c>
      <c r="AL16" s="388">
        <f t="shared" ca="1" si="11"/>
        <v>9.0174916145269166E-19</v>
      </c>
      <c r="AM16" s="388">
        <f t="shared" ca="1" si="12"/>
        <v>-1.1877802361517573</v>
      </c>
      <c r="AN16" s="388">
        <f t="shared" ca="1" si="13"/>
        <v>-0.37790712740360816</v>
      </c>
      <c r="AO16" s="388">
        <f ca="1">-0.10453/COS(Control!$B$8*PI()/180)*COS(AN16)</f>
        <v>-0.15780465582833522</v>
      </c>
      <c r="AP16" s="388">
        <f ca="1">ACOS(AO16-TAN(Control!$B$8*PI()/180)*TAN(AN16))</f>
        <v>1.2128870040374893</v>
      </c>
      <c r="AQ16" s="388">
        <f t="shared" ca="1" si="120"/>
        <v>0</v>
      </c>
      <c r="AR16" s="394">
        <f t="shared" ca="1" si="14"/>
        <v>0</v>
      </c>
      <c r="AS16" s="436">
        <f ca="1">IF(Control!$B$18=2,(IF(OR($AH16=Control!$B$175,$AH16=Control!$B$176,$AH16=Control!$B$177,$AH16=Control!$B$178,$AH16=Control!$B$179,$AH16=Control!$B$180,$AH16=Control!$B$181,$AH16=Control!$B$182,$AH16=Control!$B$183,$AH16=Control!$B$184,$AH16=Control!$B$185),1,0)),0)</f>
        <v>0</v>
      </c>
      <c r="AT16" s="436">
        <f>IF(Control!$B$20=8,IF(AND($AH16&gt;=Control!$B$172,$AH16&lt;=Control!$B$173),1,0),0)</f>
        <v>0</v>
      </c>
      <c r="AU16" s="436">
        <f>IF(Control!$B$20=8,IF($AV15=1,1*$AT16,IF($AT16=1,$AU15+1,$AU15)),0)</f>
        <v>0</v>
      </c>
      <c r="AV16" s="436">
        <f>IF(Control!$B$20=8,IF($AU16&gt;=Control!$B$174,1,0),0)</f>
        <v>0</v>
      </c>
      <c r="AW16" s="436">
        <f ca="1">IF(AND(Control!$B$18=2,Control!$B$171=1), $AV16, $AS16)</f>
        <v>0</v>
      </c>
      <c r="AX16" s="436" t="e">
        <f ca="1">IF(AND(Control!$B$18=1,$EU16&gt;=Control!$B$19),-$AY16,IF(AND(Control!$B$18=2,$AW16=1,$EU16&gt;$DS16),-$AY16, IF(Control!$C$108=0,0, IF(Control!$C$108&lt;&gt;0,1))))</f>
        <v>#N/A</v>
      </c>
      <c r="AY16" s="436" t="e">
        <f t="shared" ca="1" si="121"/>
        <v>#N/A</v>
      </c>
      <c r="AZ16" s="436" t="e">
        <f ca="1">IF(AND(Control!$B$18=1,$EB16&gt;Control!$B$19),$AZ15+1, IF(AND(Control!$B$18=2, $AW16=1, $EB16&gt;$DS16), $AZ15+1,$AZ15))</f>
        <v>#N/A</v>
      </c>
      <c r="BA16" s="587">
        <f>IF(Control!$C$81=0,1,IF($AH16&gt;=Control!$C$82,1,0))</f>
        <v>1</v>
      </c>
      <c r="BB16" s="140" t="e">
        <f ca="1">IF($BA16&gt;$BA15,Control!$C$83,IF($AW16&gt;0,$AW16*Control!$C$84,IF(AND(Control!$B$18=1,EN15&lt;&gt;0),Control!$C$84,0)))</f>
        <v>#N/A</v>
      </c>
      <c r="BC16" s="140" t="e">
        <f t="shared" ca="1" si="122"/>
        <v>#N/A</v>
      </c>
      <c r="BD16" s="140" t="e">
        <f ca="1">BC16*IF(OR($G16&lt;Control!$C$92,$G16&gt;Control!$C$95),0,IF(AND($G16&gt;=Control!$C$92,$G16&lt;=Control!$C$93),$G16-Control!$C$92,IF(AND($G16&gt;Control!$C$93,$G16&lt;=Control!$C$94),Control!$C$93-Control!$C$92,IF(AND($G16&gt;Control!$C$94,$G16&lt;=Control!$C$95),(Control!$C$93-Control!$C$92)*(Control!$C$94-$G16)/(Control!$C$95-Control!$C$94)))))</f>
        <v>#N/A</v>
      </c>
      <c r="BE16" s="140" t="e">
        <f t="shared" ca="1" si="123"/>
        <v>#N/A</v>
      </c>
      <c r="BF16" s="140" t="e">
        <f ca="1">IF($BE16&lt;=Control!$C$86,$BE16,Control!$C$86-$BE16)</f>
        <v>#N/A</v>
      </c>
      <c r="BG16" s="140" t="e">
        <f ca="1">IF(AND($AW16=1,Control!$C$84&lt;9),1,IF($BE16&gt;=Control!$C$86,0,$BC16))</f>
        <v>#N/A</v>
      </c>
      <c r="BH16" s="404" t="e">
        <f ca="1">IF($BG16=0,0,IF($BE16&lt;=Control!$C$86,$BC16*9*($BF16/Control!$C$86),0))</f>
        <v>#N/A</v>
      </c>
      <c r="BI16" s="140" t="e">
        <f ca="1">IF($BG16=1,0,IF($BE16&gt;=Control!$C$86,1,IF(AND($BB16&lt;21,$BB16&gt;=9),1,$BM15)))</f>
        <v>#N/A</v>
      </c>
      <c r="BJ16" s="140" t="e">
        <f ca="1">IF($BF16&lt;0,-$BF16,$BI16*IF(OR($G16&lt;Control!$C$92,$G16&gt;Control!$C$95),0,IF(AND($G16&gt;=Control!$C$92,$G16&lt;=Control!$C$93),$G16-Control!$C$92,IF(AND($G16&gt;Control!$C$93,$G16&lt;=Control!$C$94),Control!$C$93-Control!$C$92,IF(AND($G16&gt;Control!$C$94,$G16&lt;=Control!$C$95),(Control!$C$93-Control!$C$92)*(Control!$C$94-$G16)/(Control!$C$95-Control!$C$94))))))</f>
        <v>#N/A</v>
      </c>
      <c r="BK16" s="140" t="e">
        <f t="shared" ca="1" si="124"/>
        <v>#N/A</v>
      </c>
      <c r="BL16" s="140" t="e">
        <f ca="1">IF($BK16&lt;=Control!$C$87,$BK16,Control!$C$87-$BK16)</f>
        <v>#N/A</v>
      </c>
      <c r="BM16" s="140" t="e">
        <f ca="1">IF(AND($BB16&gt;=9,$BB16&lt;21),1,IF($BK16&gt;=Control!$C$87,0,$BI16))</f>
        <v>#N/A</v>
      </c>
      <c r="BN16" s="404" t="e">
        <f ca="1">IF($BM16=0,0,IF($BK16&lt;=Control!$C$87,$BI16*(9+(21-9)*($BL16/Control!$C$87)),0))</f>
        <v>#N/A</v>
      </c>
      <c r="BO16" s="140" t="e">
        <f ca="1">IF($BM16=1,0,IF($BK16&gt;=Control!$C$87,1,IF(AND($BB16&lt;30,$BB16&gt;=21),1,$BS15)))</f>
        <v>#N/A</v>
      </c>
      <c r="BP16" s="140" t="e">
        <f ca="1">IF($BL16&lt;0,-$BL16,$BO16*IF(OR($G16&lt;Control!$C$92,$G16&gt;Control!$C$95),0,IF(AND($G16&gt;=Control!$C$92,$G16&lt;=Control!$C$93),$G16-Control!$C$92,IF(AND($G16&gt;Control!$C$93,$G16&lt;=Control!$C$94),Control!$C$93-Control!$C$92,IF(AND($G16&gt;Control!$C$94,$G16&lt;=Control!$C$95),(Control!$C$93-Control!$C$92)*(Control!$C$94-$G16)/(Control!$C$95-Control!$C$94))))))</f>
        <v>#N/A</v>
      </c>
      <c r="BQ16" s="140" t="e">
        <f t="shared" ca="1" si="15"/>
        <v>#N/A</v>
      </c>
      <c r="BR16" s="140" t="e">
        <f ca="1">IF($BQ16&lt;=Control!$C$88,$BQ16,Control!$C$88-$BQ16)</f>
        <v>#N/A</v>
      </c>
      <c r="BS16" s="140" t="e">
        <f ca="1">IF(AND($BB16&gt;=21,$BB16&lt;30),1,IF($BQ16&gt;=Control!$C$88,0,$BO16))</f>
        <v>#N/A</v>
      </c>
      <c r="BT16" s="404" t="e">
        <f ca="1">IF($BS16=0,0,IF($BQ16&lt;=Control!$C$88,$BO16*(21+(30-21)*(BR16/Control!$C$88)),0))</f>
        <v>#N/A</v>
      </c>
      <c r="BU16" s="140" t="e">
        <f ca="1">IF(BG16+BM16+BS16=1,0,IF(OR(AND($BB16&lt;60,$BB16&gt;=30),$BQ16&gt;=Control!$C$88),1*$BA16,$BY15))</f>
        <v>#N/A</v>
      </c>
      <c r="BV16" s="140" t="e">
        <f ca="1">IF($BR16&lt;0,-$BR16,$BU16*IF(OR($G16&lt;Control!$C$92,$G16&gt;Control!$C$95),0,IF(AND($G16&gt;=Control!$C$92,$G16&lt;=Control!$C$93),$G16-Control!$C$92,IF(AND($G16&gt;Control!$C$93,$G16&lt;=Control!$C$94),Control!$C$93-Control!$C$92,IF(AND($G16&gt;Control!$C$94,$G16&lt;=Control!$C$95),(Control!$C$93-Control!$C$92)*(Control!$C$94-$G16)/(Control!$C$95-Control!$C$94))))))</f>
        <v>#N/A</v>
      </c>
      <c r="BW16" s="140" t="e">
        <f t="shared" ca="1" si="16"/>
        <v>#N/A</v>
      </c>
      <c r="BX16" s="140" t="e">
        <f ca="1">IF($BW16&lt;=Control!$C$89,$BW16,Control!$C$89-$BW16)</f>
        <v>#N/A</v>
      </c>
      <c r="BY16" s="140" t="e">
        <f ca="1">IF(AND($AJ16&gt;=30,$AJ16&lt;60),1,IF($BW16&gt;=Control!$C$89,0,$BU16))</f>
        <v>#N/A</v>
      </c>
      <c r="BZ16" s="404" t="e">
        <f ca="1">IF($BY16=0,0,IF($BW16&lt;=Control!$C$89,$BU16*(30+(60-30)*(BX16/Control!$C$89)),0))</f>
        <v>#N/A</v>
      </c>
      <c r="CA16" s="140" t="e">
        <f ca="1">IF($BG16+$BM16+$BS16+$BY16=1,0,IF(OR(AND($BB16&lt;65,$BB16&gt;=60),$BW16&gt;=Control!$C$89),1*$BA16,$CE15))</f>
        <v>#N/A</v>
      </c>
      <c r="CB16" s="140" t="e">
        <f ca="1">IF($BX16&lt;0,-$BX16,$CA16*IF(OR($G16&lt;Control!$C$92,$G16&gt;Control!$C$95),0,IF(AND($G16&gt;=Control!$C$92,$G16&lt;=Control!$C$93),$G16-Control!$C$92,IF(AND($G16&gt;Control!$C$93,$G16&lt;=Control!$C$94),Control!$C$93-Control!$C$92,IF(AND($G16&gt;Control!$C$94,$G16&lt;=Control!$C$95),(Control!$C$93-Control!$C$92)*(Control!$C$94-$G16)/(Control!$C$95-Control!$C$94))))))</f>
        <v>#N/A</v>
      </c>
      <c r="CC16" s="140" t="e">
        <f t="shared" ca="1" si="125"/>
        <v>#N/A</v>
      </c>
      <c r="CD16" s="140" t="e">
        <f ca="1">IF($CC16&lt;=Control!$C$90,$CC16,Control!$C$90-$CC16)</f>
        <v>#N/A</v>
      </c>
      <c r="CE16" s="140" t="e">
        <f ca="1">IF(AND($BB16&gt;=60,$BB16&lt;65),1,IF($CC16&gt;=Control!$C$90,0,$CA16))</f>
        <v>#N/A</v>
      </c>
      <c r="CF16" s="404" t="e">
        <f ca="1">IF($CE16=0,0,IF($CC16&lt;=Control!$C$90,$CA16*(60+(65-60)*(CD16/Control!$C$90)),0))</f>
        <v>#N/A</v>
      </c>
      <c r="CG16" s="140" t="e">
        <f ca="1">IF($BG16+$BM16+$BS16+$BY16+$CE16=1,0,IF(OR(AND($BB16&lt;90,$BB16&gt;=65),$CC16&gt;=Control!$C$90),$BA16,$CK15))</f>
        <v>#N/A</v>
      </c>
      <c r="CH16" s="140" t="e">
        <f ca="1">IF($CD16&lt;0,-$CD16,$CG16*IF(OR($G16&lt;Control!$C$92,$G16&gt;Control!$C$95),0,IF(AND($G16&gt;=Control!$C$92,$G16&lt;=Control!$C$93),$G16-Control!$C$92,IF(AND($G16&gt;Control!$C$93,$G16&lt;=Control!$C$94),Control!$C$93-Control!$C$92,IF(AND($G16&gt;Control!$C$94,$G16&lt;=Control!$C$95),(Control!$C$93-Control!$C$92)*(Control!$C$94-$G16)/(Control!$C$95-Control!$C$94))))))</f>
        <v>#N/A</v>
      </c>
      <c r="CI16" s="140" t="e">
        <f t="shared" ca="1" si="126"/>
        <v>#N/A</v>
      </c>
      <c r="CJ16" s="140" t="e">
        <f ca="1">IF($CI16&lt;=Control!$C$91,$CI16,Control!$C$91-$CI16)</f>
        <v>#N/A</v>
      </c>
      <c r="CK16" s="140" t="e">
        <f ca="1">IF(AND($BB16&gt;=65,$BB16&lt;90),1,IF($CI16&gt;=Control!$C$91,0,$CG16))</f>
        <v>#N/A</v>
      </c>
      <c r="CL16" s="404" t="e">
        <f ca="1">IF($CK16=0,0,IF($CI16&lt;=Control!$C$91,$CG16*(65+(90-65)*($CJ16/Control!$C$91)),0))</f>
        <v>#N/A</v>
      </c>
      <c r="CM16" s="140" t="e">
        <f ca="1">IF($BG16+$BM16+$BS16+$BY16+$CE16+$CK16=1,0,IF(OR($BB16&gt;=90,$CI16&gt;=Control!$C$91),$BA16,$CM15))</f>
        <v>#N/A</v>
      </c>
      <c r="CN16" s="140" t="e">
        <f t="shared" ca="1" si="127"/>
        <v>#N/A</v>
      </c>
      <c r="CO16" s="140" t="e">
        <f t="shared" ca="1" si="128"/>
        <v>#N/A</v>
      </c>
      <c r="CP16" s="140" t="e">
        <f t="shared" ca="1" si="129"/>
        <v>#N/A</v>
      </c>
      <c r="CQ16" s="141" t="e">
        <f ca="1">VLOOKUP($CP16,Control!$B$86:$G$91,6)</f>
        <v>#N/A</v>
      </c>
      <c r="CR16" s="141" t="e">
        <f ca="1">(1-$CQ16)*VLOOKUP($CP16,Control!$B$86:$D$91,3)</f>
        <v>#N/A</v>
      </c>
      <c r="CS16" s="141" t="e">
        <f ca="1">(1-$CQ16)*VLOOKUP($CP16,Control!$B$86:$E$91,4)</f>
        <v>#N/A</v>
      </c>
      <c r="CT16" s="141" t="e">
        <f ca="1">(1-$CQ16)*VLOOKUP($CP16,Control!$B$86:$F$91,5)</f>
        <v>#N/A</v>
      </c>
      <c r="CU16" s="141">
        <f t="shared" ca="1" si="130"/>
        <v>0</v>
      </c>
      <c r="CV16" s="583">
        <f t="shared" ca="1" si="131"/>
        <v>0</v>
      </c>
      <c r="CW16" s="142">
        <f t="shared" ca="1" si="132"/>
        <v>11</v>
      </c>
      <c r="CX16" s="612" t="e">
        <f ca="1">IF(Control!$C$114=1,(MIN(Control!$C$120*(IF($NT16-0.01&lt;0,0,1)),Control!$C$119-$CY16)))</f>
        <v>#DIV/0!</v>
      </c>
      <c r="CY16" s="143" t="e">
        <f t="shared" ca="1" si="133"/>
        <v>#N/A</v>
      </c>
      <c r="CZ16" s="144">
        <f t="shared" ca="1" si="17"/>
        <v>0</v>
      </c>
      <c r="DA16" s="144">
        <f t="shared" ca="1" si="18"/>
        <v>0</v>
      </c>
      <c r="DB16" s="144" t="e">
        <f t="shared" ca="1" si="19"/>
        <v>#N/A</v>
      </c>
      <c r="DC16" s="144" t="e">
        <f t="shared" ca="1" si="20"/>
        <v>#N/A</v>
      </c>
      <c r="DD16" s="144" t="e">
        <f t="shared" ca="1" si="216"/>
        <v>#N/A</v>
      </c>
      <c r="DE16" s="143" t="e">
        <f t="shared" ca="1" si="135"/>
        <v>#N/A</v>
      </c>
      <c r="DF16" s="145" t="e">
        <f ca="1">$DR16*EXP(-Control!$C$158*(1-$KH16))</f>
        <v>#N/A</v>
      </c>
      <c r="DG16" s="146" t="e">
        <f ca="1">IF(Control!$C$114=1, $DF16*$EY16, 0)</f>
        <v>#N/A</v>
      </c>
      <c r="DH16" s="147" t="e">
        <f t="shared" ca="1" si="136"/>
        <v>#N/A</v>
      </c>
      <c r="DI16" s="144" t="e">
        <f t="shared" ca="1" si="191"/>
        <v>#N/A</v>
      </c>
      <c r="DJ16" s="147" t="e">
        <f ca="1">$EF16*Control!$C$109</f>
        <v>#N/A</v>
      </c>
      <c r="DK16" s="144" t="e">
        <f t="shared" ca="1" si="137"/>
        <v>#N/A</v>
      </c>
      <c r="DL16" s="144" t="e">
        <f t="shared" ca="1" si="21"/>
        <v>#N/A</v>
      </c>
      <c r="DM16" s="144" t="e">
        <f ca="1">IF(Control!$C$114=1, (1-EXP(-Control!$C$96*$DK16))*$AR16, 0)</f>
        <v>#N/A</v>
      </c>
      <c r="DN16" s="144">
        <f t="shared" ca="1" si="138"/>
        <v>0</v>
      </c>
      <c r="DO16" s="148">
        <f>Control!$C$97</f>
        <v>4</v>
      </c>
      <c r="DP16" s="145" t="e">
        <f t="shared" ca="1" si="139"/>
        <v>#N/A</v>
      </c>
      <c r="DQ16" s="145" t="e">
        <f ca="1">IF(AND($CP16&gt;=0,$CP16&lt;=90),Control!$C$111,Control!$C$111)</f>
        <v>#N/A</v>
      </c>
      <c r="DR16" s="145" t="e">
        <f t="shared" ca="1" si="22"/>
        <v>#N/A</v>
      </c>
      <c r="DS16" s="143" t="e">
        <f ca="1">Control!$B$22/$DR16</f>
        <v>#N/A</v>
      </c>
      <c r="DT16" s="149" t="e">
        <f ca="1">IF(AND(Control!$C$114=1,$KH16&lt;1),$IM16*$DF16, 0)</f>
        <v>#N/A</v>
      </c>
      <c r="DU16" s="144" t="e">
        <f t="shared" ca="1" si="192"/>
        <v>#N/A</v>
      </c>
      <c r="DV16" s="144">
        <f ca="1">IF($G16-Control!$C$107&lt;=0, 0, 0.83*LN(MAX($G16, 3))-0.8924)</f>
        <v>0</v>
      </c>
      <c r="DW16" s="144" t="e">
        <f t="shared" ca="1" si="23"/>
        <v>#N/A</v>
      </c>
      <c r="DX16" s="150" t="e">
        <f ca="1">MAX(0.01*(1+$CU16/Control!$C$102),0.05*($DK16-Control!$C$97)/Control!$C$97)</f>
        <v>#N/A</v>
      </c>
      <c r="DY16" s="151" t="e">
        <f ca="1">IF(Control!$C$114=1, $DI16*$FS16, 0)</f>
        <v>#N/A</v>
      </c>
      <c r="DZ16" s="196" t="e">
        <f t="shared" ca="1" si="140"/>
        <v>#N/A</v>
      </c>
      <c r="EA16" s="152">
        <f t="shared" ca="1" si="141"/>
        <v>11</v>
      </c>
      <c r="EB16" s="153" t="e">
        <f t="shared" ca="1" si="217"/>
        <v>#N/A</v>
      </c>
      <c r="EC16" s="153" t="e">
        <f t="shared" ca="1" si="142"/>
        <v>#N/A</v>
      </c>
      <c r="ED16" s="154" t="e">
        <f ca="1">IF(Control!$C$114=1, $HM16*$FY16-$FD16, 0)</f>
        <v>#DIV/0!</v>
      </c>
      <c r="EE16" s="155" t="e">
        <f ca="1">IF(Control!$C$114=1, $HM16*$FZ16-$FF16, 0)</f>
        <v>#DIV/0!</v>
      </c>
      <c r="EF16" s="153" t="e">
        <f t="shared" ca="1" si="193"/>
        <v>#N/A</v>
      </c>
      <c r="EG16" s="155" t="e">
        <f ca="1">IF(Control!$C$114=1, $GX16*$FW16-$FI16, 0)</f>
        <v>#DIV/0!</v>
      </c>
      <c r="EH16" s="153" t="e">
        <f t="shared" ca="1" si="143"/>
        <v>#N/A</v>
      </c>
      <c r="EI16" s="156" t="e">
        <f t="shared" ca="1" si="144"/>
        <v>#N/A</v>
      </c>
      <c r="EJ16" s="155" t="e">
        <f ca="1">IF(Control!$C$114=1, $HM16*$GB16, 0)</f>
        <v>#DIV/0!</v>
      </c>
      <c r="EK16" s="153" t="e">
        <f t="shared" ca="1" si="194"/>
        <v>#N/A</v>
      </c>
      <c r="EL16" s="153" t="e">
        <f t="shared" ca="1" si="24"/>
        <v>#N/A</v>
      </c>
      <c r="EM16" s="153" t="e">
        <f t="shared" ca="1" si="25"/>
        <v>#N/A</v>
      </c>
      <c r="EN16" s="153" t="e">
        <f ca="1">IF(Control!$C$108=1,IF(AND(Control!$B$18=1,$EB16&gt;=Control!$B$19),$EB16-$DS16,IF(AND(Control!$B$18=2,$AW16=1,$EB16&gt;$DS16),$EB16-$DS16,0)))</f>
        <v>#N/A</v>
      </c>
      <c r="EO16" s="153" t="e">
        <f ca="1">IF(Control!$C$108=1,IF(AND(Control!$B$18=1,$EB16&gt;=Control!$B$19),$EF16,IF(AND(Control!$B$18=2,$AW16=1),$EF16,0)))</f>
        <v>#N/A</v>
      </c>
      <c r="EP16" s="153" t="e">
        <f ca="1">IF(Control!$C$108=1,IF(AND(Control!$B$18=1,$EB16&gt;=Control!$B$19),$EK16,IF(AND(Control!$B$18=2,$AW16=1),$EK16,0)))</f>
        <v>#N/A</v>
      </c>
      <c r="EQ16" s="153" t="e">
        <f t="shared" ca="1" si="145"/>
        <v>#N/A</v>
      </c>
      <c r="ER16" s="153" t="e">
        <f t="shared" ca="1" si="195"/>
        <v>#N/A</v>
      </c>
      <c r="ES16" s="153" t="e">
        <f t="shared" ca="1" si="196"/>
        <v>#N/A</v>
      </c>
      <c r="ET16" s="153" t="e">
        <f t="shared" ca="1" si="197"/>
        <v>#N/A</v>
      </c>
      <c r="EU16" s="153" t="e">
        <f t="shared" ca="1" si="198"/>
        <v>#N/A</v>
      </c>
      <c r="EV16" s="153" t="e">
        <f t="shared" ca="1" si="146"/>
        <v>#N/A</v>
      </c>
      <c r="EW16" s="153" t="e">
        <f t="shared" ca="1" si="218"/>
        <v>#N/A</v>
      </c>
      <c r="EX16" s="153" t="e">
        <f t="shared" ca="1" si="26"/>
        <v>#N/A</v>
      </c>
      <c r="EY16" s="157" t="e">
        <f t="shared" ca="1" si="147"/>
        <v>#DIV/0!</v>
      </c>
      <c r="EZ16" s="154" t="e">
        <f t="shared" ca="1" si="27"/>
        <v>#DIV/0!</v>
      </c>
      <c r="FA16" s="153" t="e">
        <f t="shared" ca="1" si="199"/>
        <v>#N/A</v>
      </c>
      <c r="FB16" s="153" t="e">
        <f t="shared" ca="1" si="28"/>
        <v>#N/A</v>
      </c>
      <c r="FC16" s="193" t="e">
        <f t="shared" ca="1" si="29"/>
        <v>#N/A</v>
      </c>
      <c r="FD16" s="158" t="e">
        <f t="shared" ca="1" si="200"/>
        <v>#N/A</v>
      </c>
      <c r="FE16" s="158" t="e">
        <f t="shared" ca="1" si="148"/>
        <v>#N/A</v>
      </c>
      <c r="FF16" s="159" t="e">
        <f t="shared" ca="1" si="30"/>
        <v>#N/A</v>
      </c>
      <c r="FG16" s="160" t="e">
        <f t="shared" ca="1" si="149"/>
        <v>#N/A</v>
      </c>
      <c r="FH16" s="158" t="e">
        <f t="shared" ca="1" si="150"/>
        <v>#N/A</v>
      </c>
      <c r="FI16" s="159" t="e">
        <f t="shared" ca="1" si="31"/>
        <v>#N/A</v>
      </c>
      <c r="FJ16" s="160" t="e">
        <f t="shared" ca="1" si="151"/>
        <v>#N/A</v>
      </c>
      <c r="FK16" s="160" t="e">
        <f t="shared" ca="1" si="32"/>
        <v>#N/A</v>
      </c>
      <c r="FL16" s="160" t="e">
        <f t="shared" ca="1" si="229"/>
        <v>#N/A</v>
      </c>
      <c r="FM16" s="160" t="e">
        <f t="shared" ca="1" si="33"/>
        <v>#N/A</v>
      </c>
      <c r="FN16" s="158">
        <f t="shared" ca="1" si="219"/>
        <v>0.01</v>
      </c>
      <c r="FO16" s="160">
        <f>Control!$C$101</f>
        <v>50</v>
      </c>
      <c r="FP16" s="150" t="e">
        <f t="shared" ca="1" si="34"/>
        <v>#N/A</v>
      </c>
      <c r="FQ16" s="150" t="e">
        <f ca="1">MAX(0,(Control!$C$112*(($DK16-Control!$C$97)/Control!$C$97)))</f>
        <v>#N/A</v>
      </c>
      <c r="FR16" s="150" t="e">
        <f ca="1">(1-$NT16)*Control!$C$113</f>
        <v>#DIV/0!</v>
      </c>
      <c r="FS16" s="198" t="e">
        <f t="shared" ca="1" si="35"/>
        <v>#N/A</v>
      </c>
      <c r="FT16" s="161">
        <f t="shared" ca="1" si="152"/>
        <v>11</v>
      </c>
      <c r="FU16" s="162" t="e">
        <f ca="1">IF(Control!$B$34=1,VLOOKUP($CP16,Control!$B$86:$G$91,6),Control!$B$35)</f>
        <v>#N/A</v>
      </c>
      <c r="FV16" s="162" t="e">
        <f t="shared" ca="1" si="36"/>
        <v>#DIV/0!</v>
      </c>
      <c r="FW16" s="162" t="e">
        <f ca="1">IF(Control!$B$31=1,$FU16*$FV16,  $FU16)</f>
        <v>#N/A</v>
      </c>
      <c r="FX16" s="162" t="e">
        <f ca="1">IF(Control!$B$34=1,VLOOKUP($CP16,Control!$B$86:$G$91,3),Control!$B$36)</f>
        <v>#N/A</v>
      </c>
      <c r="FY16" s="162" t="e">
        <f t="shared" ca="1" si="37"/>
        <v>#N/A</v>
      </c>
      <c r="FZ16" s="162" t="e">
        <f ca="1">IF(Control!$B$34=1,VLOOKUP($CP16,Control!$B$86:$G$91,4),Control!$B$37)</f>
        <v>#N/A</v>
      </c>
      <c r="GA16" s="162" t="e">
        <f t="shared" ca="1" si="38"/>
        <v>#N/A</v>
      </c>
      <c r="GB16" s="162" t="e">
        <f ca="1">IF(Control!$B$34=1,VLOOKUP($CP16,Control!$B$86:$G$91,5),Control!$B$38)</f>
        <v>#N/A</v>
      </c>
      <c r="GC16" s="162" t="e">
        <f t="shared" ca="1" si="153"/>
        <v>#N/A</v>
      </c>
      <c r="GD16" s="162">
        <f t="shared" ca="1" si="39"/>
        <v>1</v>
      </c>
      <c r="GE16" s="162">
        <f t="shared" ca="1" si="40"/>
        <v>1</v>
      </c>
      <c r="GF16" s="162">
        <f ca="1">IF(AND(Control!$C$104=1, Control!$C$62="F"),$GE16,1)</f>
        <v>1</v>
      </c>
      <c r="GG16" s="162" t="e">
        <f ca="1">IF(Control!$B$16=40,0,IF(AND(Control!$B$16&gt;40,Control!$B$16&lt;=360),(Control!$B$16-40)*((1-0)/(360-40)),IF(AND(Control!$B$16&gt;360,Control!$B$16&lt;=720),(1+(Control!$B$16-360)*((1.25-1)/(720-360))),IF(AND(Control!$B$16&gt;720,Control!$B$16&lt;=1000),(1.25+(Control!$B$16-720)*((1.35-1.25)/(1000-720))),IF(AND(Control!$B$16&gt;1000,Control!$B$16&lt;=2000),(1.35+(Control!$B$16-1000)*0))))))</f>
        <v>#N/A</v>
      </c>
      <c r="GH16" s="162" t="e">
        <f t="shared" ca="1" si="41"/>
        <v>#N/A</v>
      </c>
      <c r="GI16" s="162">
        <f t="shared" ca="1" si="201"/>
        <v>0</v>
      </c>
      <c r="GJ16" s="162">
        <f t="shared" ca="1" si="42"/>
        <v>0</v>
      </c>
      <c r="GK16" s="162">
        <f t="shared" ca="1" si="220"/>
        <v>1</v>
      </c>
      <c r="GL16" s="162">
        <f t="shared" ca="1" si="43"/>
        <v>1</v>
      </c>
      <c r="GM16" s="162" t="e">
        <f ca="1">MAX(0,MIN(1,1-Control!$C$156*(1.0001-$KH16)^2))</f>
        <v>#N/A</v>
      </c>
      <c r="GN16" s="162" t="e">
        <f ca="1">IF(Control!$B$26=1,$KU16,$KX16)</f>
        <v>#N/A</v>
      </c>
      <c r="GO16" s="162" t="e">
        <f ca="1">IF($CP16&lt;=60,Control!$C$105,IF($CP16&gt;=90,Control!$C$106,Control!$C$105+($CP16-60)*((Control!$C$106-Control!$C$105)/(90-60))))</f>
        <v>#N/A</v>
      </c>
      <c r="GP16" s="162" t="e">
        <f t="shared" ca="1" si="154"/>
        <v>#N/A</v>
      </c>
      <c r="GQ16" s="162" t="e">
        <f t="shared" ca="1" si="155"/>
        <v>#N/A</v>
      </c>
      <c r="GR16" s="163" t="e">
        <f t="shared" ca="1" si="44"/>
        <v>#DIV/0!</v>
      </c>
      <c r="GS16" s="162" t="e">
        <f t="shared" ca="1" si="45"/>
        <v>#DIV/0!</v>
      </c>
      <c r="GT16" s="164" t="e">
        <f t="shared" ca="1" si="156"/>
        <v>#N/A</v>
      </c>
      <c r="GU16" s="162" t="e">
        <f t="shared" ca="1" si="157"/>
        <v>#N/A</v>
      </c>
      <c r="GV16" s="162" t="e">
        <f t="shared" ca="1" si="46"/>
        <v>#N/A</v>
      </c>
      <c r="GW16" s="162" t="e">
        <f t="shared" ca="1" si="221"/>
        <v>#DIV/0!</v>
      </c>
      <c r="GX16" s="162" t="e">
        <f t="shared" ca="1" si="228"/>
        <v>#DIV/0!</v>
      </c>
      <c r="GY16" s="162" t="e">
        <f t="shared" ca="1" si="158"/>
        <v>#DIV/0!</v>
      </c>
      <c r="GZ16" s="165" t="e">
        <f t="shared" ca="1" si="159"/>
        <v>#N/A</v>
      </c>
      <c r="HA16" s="162" t="e">
        <f ca="1">IF(Control!$C$114=1, $DI16*$FS16, 0)</f>
        <v>#N/A</v>
      </c>
      <c r="HB16" s="162" t="e">
        <f ca="1">$FA16/Control!$C$64</f>
        <v>#N/A</v>
      </c>
      <c r="HC16" s="162" t="e">
        <f t="shared" ca="1" si="222"/>
        <v>#DIV/0!</v>
      </c>
      <c r="HD16" s="162">
        <f ca="1">-ASIN(SIN(23.45*Control!$C$139)*COS(2*Control!$C$138*($AH16+10)/365))</f>
        <v>-0.3814095475867077</v>
      </c>
      <c r="HE16" s="165">
        <f t="shared" ca="1" si="160"/>
        <v>0</v>
      </c>
      <c r="HF16" s="166">
        <f ca="1">IF(AND(Control!$C$61="T",$HE16&gt;=Control!$C$103,Control!$C$114=0),$AH16,Control!$C$59)</f>
        <v>1</v>
      </c>
      <c r="HG16" s="166">
        <f ca="1">IF(AND(Control!$C$61="T",$HE16&gt;=Control!$C$103,Control!$C$114=0),$HF16,Control!$C$59)</f>
        <v>1</v>
      </c>
      <c r="HH16" s="165">
        <f ca="1">IF(AND(OR(Control!$C$60&lt;=0, $AH16= Control!$C$59, Control!$C$60 &gt;0, $AH16 = Control!$C$60)), Control!$C$59, IF(Control!$C$60&gt;0, 0))</f>
        <v>1</v>
      </c>
      <c r="HI16" s="165">
        <f ca="1">IF(AND(OR(Control!$C$60&lt;=0, $AH16= Control!$C$59, Control!$C$60 &gt;0, $AH16 = Control!$C$60)), Control!$C$60, IF(Control!$C$60&lt;=0, 0))</f>
        <v>0</v>
      </c>
      <c r="HJ16" s="166">
        <f ca="1">IF(AND(Control!$C$62="F",$CV16&gt;=Control!$C$102),$AH16,0)</f>
        <v>0</v>
      </c>
      <c r="HK16" s="165" t="e">
        <f t="shared" ca="1" si="202"/>
        <v>#N/A</v>
      </c>
      <c r="HL16" s="166">
        <f ca="1">IF(AND(Control!$C$61="T",$HE16&gt;=Control!$C$103,Control!$C$114=0),$HF16,0)</f>
        <v>0</v>
      </c>
      <c r="HM16" s="201" t="e">
        <f t="shared" ca="1" si="47"/>
        <v>#DIV/0!</v>
      </c>
      <c r="HN16" s="215">
        <f t="shared" ca="1" si="161"/>
        <v>11</v>
      </c>
      <c r="HO16" s="216" t="e">
        <f ca="1">IF(AND($CP16&gt;=0, $CP16&lt;=90), Control!$C$152, Control!$C$152)</f>
        <v>#N/A</v>
      </c>
      <c r="HP16" s="216" t="e">
        <f t="shared" ca="1" si="48"/>
        <v>#N/A</v>
      </c>
      <c r="HQ16" s="217" t="e">
        <f ca="1">IF(OR(Control!$B$26=1,Control!$B$26=2),$KV16,$KS16)</f>
        <v>#DIV/0!</v>
      </c>
      <c r="HR16" s="218" t="e">
        <f t="shared" ca="1" si="223"/>
        <v>#DIV/0!</v>
      </c>
      <c r="HS16" s="216" t="e">
        <f ca="1">Control!$C$154*$HP16</f>
        <v>#N/A</v>
      </c>
      <c r="HT16" s="216" t="e">
        <f ca="1">Control!$C$155*$HP16</f>
        <v>#N/A</v>
      </c>
      <c r="HU16" s="217" t="e">
        <f ca="1">Control!$C$161*$FI16</f>
        <v>#N/A</v>
      </c>
      <c r="HV16" s="218" t="e">
        <f t="shared" ca="1" si="162"/>
        <v>#N/A</v>
      </c>
      <c r="HW16" s="218" t="e">
        <f ca="1">Control!$C$160*$FF16+$IP16*$EO16</f>
        <v>#N/A</v>
      </c>
      <c r="HX16" s="218" t="e">
        <f t="shared" ca="1" si="203"/>
        <v>#N/A</v>
      </c>
      <c r="HY16" s="219" t="e">
        <f ca="1">IF(Control!$C$114=1, $EB16*$FS16, 0)</f>
        <v>#N/A</v>
      </c>
      <c r="HZ16" s="91" t="e">
        <f t="shared" ca="1" si="49"/>
        <v>#N/A</v>
      </c>
      <c r="IA16" s="220" t="e">
        <f ca="1">Control!$C$153*$HO16</f>
        <v>#N/A</v>
      </c>
      <c r="IB16" s="218" t="e">
        <f t="shared" ca="1" si="50"/>
        <v>#N/A</v>
      </c>
      <c r="IC16" s="220" t="e">
        <f ca="1">Control!$C$153*$HT16</f>
        <v>#N/A</v>
      </c>
      <c r="ID16" s="218" t="e">
        <f t="shared" ca="1" si="51"/>
        <v>#N/A</v>
      </c>
      <c r="IE16" s="221" t="e">
        <f ca="1">($EB16*Control!$C$159+$EF16*Control!$C$160)/(IF($GZ16&lt;&gt;0,$GZ16,1))</f>
        <v>#N/A</v>
      </c>
      <c r="IF16" s="216" t="e">
        <f t="shared" ca="1" si="52"/>
        <v>#N/A</v>
      </c>
      <c r="IG16" s="91">
        <f ca="1">IF(OR(Control!$B$198=$AH16,Control!$B$199=$AH16, Control!$B$200=$AH16, Control!$B$201=$AH16, Control!$B$202=$AH16, Control!$B$203=$AH16, Control!$B$204=$AH16, Control!$B$205=$AH16, Control!$B$206=$AH16, Control!$B$207=$AH16), 1, 0)</f>
        <v>0</v>
      </c>
      <c r="IH16" s="91">
        <f ca="1">IF($IG16=0,0, VLOOKUP($AH16,Control!$B$198:$C$207,2))</f>
        <v>0</v>
      </c>
      <c r="II16" s="222">
        <f t="shared" ca="1" si="163"/>
        <v>0</v>
      </c>
      <c r="IJ16" s="91">
        <f>Control!$C$121</f>
        <v>0.7</v>
      </c>
      <c r="IK16" s="218">
        <f t="shared" ca="1" si="53"/>
        <v>0</v>
      </c>
      <c r="IL16" s="217" t="e">
        <f t="shared" ca="1" si="204"/>
        <v>#N/A</v>
      </c>
      <c r="IM16" s="223" t="e">
        <f ca="1">IF(AND(Control!$C$114=1,$KH16&lt;1),$EB16*Control!$C$148*(1-$KH16), 0)</f>
        <v>#N/A</v>
      </c>
      <c r="IN16" s="217" t="e">
        <f t="shared" ca="1" si="54"/>
        <v>#DIV/0!</v>
      </c>
      <c r="IO16" s="91" t="e">
        <f ca="1">MAX(0,$IL16-$EF16*Control!$C$160)</f>
        <v>#N/A</v>
      </c>
      <c r="IP16" s="220" t="e">
        <f t="shared" ca="1" si="55"/>
        <v>#N/A</v>
      </c>
      <c r="IQ16" s="217" t="e">
        <f t="shared" ca="1" si="164"/>
        <v>#N/A</v>
      </c>
      <c r="IR16" s="218" t="e">
        <f t="shared" ca="1" si="56"/>
        <v>#N/A</v>
      </c>
      <c r="IS16" s="217" t="e">
        <f ca="1">Control!$C$159*MAX(0,$FD16-$EN16)</f>
        <v>#N/A</v>
      </c>
      <c r="IT16" s="217" t="e">
        <f t="shared" ca="1" si="205"/>
        <v>#N/A</v>
      </c>
      <c r="IU16" s="217" t="e">
        <f t="shared" ca="1" si="165"/>
        <v>#N/A</v>
      </c>
      <c r="IV16" s="217" t="e">
        <f t="shared" ca="1" si="206"/>
        <v>#N/A</v>
      </c>
      <c r="IW16" s="217" t="e">
        <f ca="1">IF(OR($AW16=1,AND($AW16=0, Control!$B$18=1,$EN16&lt;&gt;0)), $IQ16-$IU16, $IQ16)</f>
        <v>#N/A</v>
      </c>
      <c r="IX16" s="218" t="e">
        <f t="shared" ca="1" si="57"/>
        <v>#N/A</v>
      </c>
      <c r="IY16" s="218" t="e">
        <f ca="1">MAX(0,$IQ16-$EB16*Control!$C$159)</f>
        <v>#N/A</v>
      </c>
      <c r="IZ16" s="218" t="e">
        <f t="shared" ca="1" si="58"/>
        <v>#N/A</v>
      </c>
      <c r="JA16" s="216" t="e">
        <f t="shared" ca="1" si="59"/>
        <v>#N/A</v>
      </c>
      <c r="JB16" s="217" t="e">
        <f t="shared" ca="1" si="60"/>
        <v>#N/A</v>
      </c>
      <c r="JC16" s="222" t="e">
        <f ca="1">MAX(Control!$C$157*$EK16-$JT16, 0)/Control!$C$162</f>
        <v>#N/A</v>
      </c>
      <c r="JD16" s="218" t="e">
        <f t="shared" ca="1" si="61"/>
        <v>#N/A</v>
      </c>
      <c r="JE16" s="218" t="e">
        <f t="shared" ca="1" si="62"/>
        <v>#N/A</v>
      </c>
      <c r="JF16" s="218" t="e">
        <f t="shared" ca="1" si="207"/>
        <v>#N/A</v>
      </c>
      <c r="JG16" s="218" t="e">
        <f t="shared" ca="1" si="63"/>
        <v>#N/A</v>
      </c>
      <c r="JH16" s="217" t="e">
        <f t="shared" ca="1" si="166"/>
        <v>#N/A</v>
      </c>
      <c r="JI16" s="217" t="e">
        <f t="shared" ca="1" si="167"/>
        <v>#N/A</v>
      </c>
      <c r="JJ16" s="217" t="e">
        <f t="shared" ca="1" si="224"/>
        <v>#N/A</v>
      </c>
      <c r="JK16" s="217" t="e">
        <f ca="1">IF(Control!$C$114=1,IF(Control!$B$24=0,MAX(0,$JI16)*$GN16/Control!$C$64,(MAX(0,MIN($JI16,$JJ16*$GN16/Control!$C$64),0))))</f>
        <v>#N/A</v>
      </c>
      <c r="JL16" s="217" t="e">
        <f ca="1">$IK16/Control!$C$64-$JK16+$HQ16</f>
        <v>#N/A</v>
      </c>
      <c r="JM16" s="217" t="e">
        <f ca="1">IF(Control!$C$114=1,($JB16/(IF($JI16&lt;&gt;0,$JI16,1)))*$JK16,0)</f>
        <v>#N/A</v>
      </c>
      <c r="JN16" s="217" t="e">
        <f ca="1">IF(Control!$C$114=1,($JG16/(IF($JI16&lt;&gt;0,$JI16,1)))*$JK16, 0)</f>
        <v>#N/A</v>
      </c>
      <c r="JO16" s="218" t="e">
        <f t="shared" ca="1" si="64"/>
        <v>#N/A</v>
      </c>
      <c r="JP16" s="218" t="e">
        <f ca="1">MIN(($IY16+$IO16)*Control!$C$151, $JF16-$EH16*Control!$C$161)</f>
        <v>#N/A</v>
      </c>
      <c r="JQ16" s="218" t="e">
        <f t="shared" ca="1" si="65"/>
        <v>#N/A</v>
      </c>
      <c r="JR16" s="217" t="e">
        <f ca="1">IF($CP16-Control!$C$150&lt;0, 0, $JQ16/Control!$C$162)</f>
        <v>#N/A</v>
      </c>
      <c r="JS16" s="218" t="e">
        <f t="shared" ca="1" si="66"/>
        <v>#N/A</v>
      </c>
      <c r="JT16" s="218" t="e">
        <f t="shared" ca="1" si="168"/>
        <v>#N/A</v>
      </c>
      <c r="JU16" s="218" t="e">
        <f t="shared" ca="1" si="67"/>
        <v>#N/A</v>
      </c>
      <c r="JV16" s="218" t="e">
        <f t="shared" ca="1" si="68"/>
        <v>#N/A</v>
      </c>
      <c r="JW16" s="216" t="e">
        <f t="shared" ca="1" si="69"/>
        <v>#N/A</v>
      </c>
      <c r="JX16" s="91" t="e">
        <f t="shared" ca="1" si="70"/>
        <v>#N/A</v>
      </c>
      <c r="JY16" s="218" t="e">
        <f t="shared" ca="1" si="71"/>
        <v>#N/A</v>
      </c>
      <c r="JZ16" s="217" t="e">
        <f ca="1">IF(Control!$C$114=1,($IZ16/(IF($JI16&lt;&gt;0,$JI16,1)))*$JK16, 0)</f>
        <v>#N/A</v>
      </c>
      <c r="KA16" s="218" t="e">
        <f t="shared" ca="1" si="225"/>
        <v>#N/A</v>
      </c>
      <c r="KB16" s="218" t="e">
        <f t="shared" ca="1" si="169"/>
        <v>#N/A</v>
      </c>
      <c r="KC16" s="218" t="e">
        <f t="shared" ca="1" si="72"/>
        <v>#N/A</v>
      </c>
      <c r="KD16" s="218" t="e">
        <f t="shared" ca="1" si="73"/>
        <v>#N/A</v>
      </c>
      <c r="KE16" s="218" t="e">
        <f t="shared" ca="1" si="74"/>
        <v>#N/A</v>
      </c>
      <c r="KF16" s="218" t="e">
        <f t="shared" ca="1" si="75"/>
        <v>#N/A</v>
      </c>
      <c r="KG16" s="216" t="e">
        <f t="shared" ca="1" si="76"/>
        <v>#N/A</v>
      </c>
      <c r="KH16" s="221" t="e">
        <f ca="1">IF(Control!$B$24=0,1,MAX(0.001,MIN(1,IF(($IF16-$IE16)&lt;&gt;0,($KG16-$IE16)/($IF16-$IE16),1))))</f>
        <v>#N/A</v>
      </c>
      <c r="KI16" s="222" t="e">
        <f ca="1">IF(Control!$C$114=1, $KI15+ $KH15, 0)</f>
        <v>#N/A</v>
      </c>
      <c r="KJ16" s="217" t="e">
        <f t="shared" ca="1" si="77"/>
        <v>#N/A</v>
      </c>
      <c r="KK16" s="218" t="e">
        <f t="shared" ca="1" si="78"/>
        <v>#N/A</v>
      </c>
      <c r="KL16" s="274" t="e">
        <f ca="1">IF(Control!$B$26=3,4000000000*EXP(-8400/($G16+273)),IF(Control!$B$26=4,4000000000*EXP(-8400/($G16+273))*($KT16),0))</f>
        <v>#DIV/0!</v>
      </c>
      <c r="KM16" s="274" t="e">
        <f ca="1">IF(Control!$B$26=3,5600000000000*EXP(-9800/($G16+273)),IF(Control!$B$26=4,5600000000000*EXP(-9800/($G16+273))*$KT16,0))</f>
        <v>#DIV/0!</v>
      </c>
      <c r="KN16" s="454" t="e">
        <f t="shared" ca="1" si="170"/>
        <v>#DIV/0!</v>
      </c>
      <c r="KO16" s="274" t="e">
        <f t="shared" ca="1" si="171"/>
        <v>#DIV/0!</v>
      </c>
      <c r="KP16" s="454" t="e">
        <f t="shared" ca="1" si="79"/>
        <v>#DIV/0!</v>
      </c>
      <c r="KQ16" s="454" t="e">
        <f t="shared" ca="1" si="80"/>
        <v>#DIV/0!</v>
      </c>
      <c r="KR16" s="454" t="e">
        <f t="shared" ca="1" si="81"/>
        <v>#DIV/0!</v>
      </c>
      <c r="KS16" s="454" t="e">
        <f t="shared" ca="1" si="82"/>
        <v>#DIV/0!</v>
      </c>
      <c r="KT16" s="455" t="e">
        <f t="shared" ca="1" si="83"/>
        <v>#DIV/0!</v>
      </c>
      <c r="KU16" s="456" t="e">
        <f ca="1">IF($CP16-Control!$C$149&lt;0, IF($NT16-0.01&lt;0,0,1),0)</f>
        <v>#N/A</v>
      </c>
      <c r="KV16" s="456" t="e">
        <f ca="1">IF(Control!$C$114=1,MAX(0,MIN(Control!$C$125*$KW16*$GN16,$KW16)))</f>
        <v>#DIV/0!</v>
      </c>
      <c r="KW16" s="456" t="e">
        <f t="shared" ca="1" si="208"/>
        <v>#DIV/0!</v>
      </c>
      <c r="KX16" s="457" t="e">
        <f ca="1">IF($CP16-Control!$C$149&lt;0, IF($MR16-$OM16&lt;0,0,1),0)</f>
        <v>#N/A</v>
      </c>
      <c r="KY16" s="167">
        <f t="shared" ca="1" si="172"/>
        <v>11</v>
      </c>
      <c r="KZ16" s="168">
        <f ca="1">1370*(1+0.033*COS(2*Control!$C$138*$AH16/365))</f>
        <v>1414.4018948732025</v>
      </c>
      <c r="LA16" s="169">
        <f t="shared" ca="1" si="173"/>
        <v>1.032410144993644</v>
      </c>
      <c r="LB16" s="169">
        <f t="shared" ca="1" si="174"/>
        <v>-0.38129931080802992</v>
      </c>
      <c r="LC16" s="169">
        <f ca="1">ACOS(-TAN((2*Control!$B$8/360))*TAN(Calculations!$LB16))</f>
        <v>1.4513578456234197</v>
      </c>
      <c r="LD16" s="169">
        <f ca="1">((24*60)/PI())*0.082*$LA16*(($LC16*SIN(Control!$B$8*2*PI()/360))*SIN($LB16)+COS(Control!$B$8*2*PI()/360)*COS($LB16)*SIN($LC16))</f>
        <v>5.5016073809839936</v>
      </c>
      <c r="LE16" s="170">
        <f t="shared" ca="1" si="84"/>
        <v>7.0362898840926871</v>
      </c>
      <c r="LF16" s="170">
        <f ca="1">SIN(Control!$C$139*Control!$B$8)*SIN($HD16)</f>
        <v>-0.29332101799408122</v>
      </c>
      <c r="LG16" s="170">
        <f ca="1">COS(Control!$C$139*Control!$B$8)*COS($HD16)</f>
        <v>0.57141903321354481</v>
      </c>
      <c r="LH16" s="170">
        <f ca="1">12*(1+2*ASIN(MAX(-1,MIN(1,$LF16/$LG16))/Control!$C$138))</f>
        <v>8.0608684433668607</v>
      </c>
      <c r="LI16" s="170">
        <f ca="1">12*(1+2*ASIN(MAX(-1,MIN(1,(-SIN(-4*Control!$C$139)+$LF16)/$LG16))/Control!$C$138))</f>
        <v>9.0033411225577531</v>
      </c>
      <c r="LJ16" s="168">
        <f ca="1">3600*($LH16*$LF16+24*$LG16*SQRT(1-$LK16*$LK16)/Control!$C$138)</f>
        <v>4974.7457986285235</v>
      </c>
      <c r="LK16" s="170">
        <f t="shared" ca="1" si="85"/>
        <v>-0.51332034976942098</v>
      </c>
      <c r="LL16" s="170">
        <f t="shared" ca="1" si="86"/>
        <v>0</v>
      </c>
      <c r="LM16" s="171">
        <f ca="1">Control!$C$145*$AB16</f>
        <v>6.6660906138995932E-2</v>
      </c>
      <c r="LN16" s="170">
        <f t="shared" ca="1" si="175"/>
        <v>0.54</v>
      </c>
      <c r="LO16" s="170">
        <f t="shared" ca="1" si="87"/>
        <v>0</v>
      </c>
      <c r="LP16" s="170">
        <f ca="1">Control!$C$140*((($D16+273.16)^4+($E16+273.16)^4)/2)*(0.34-0.14*SQRT($Y16))*(1.35*$AQ16/(0.75*$LD16)-0.35)</f>
        <v>-3.2464704755046001</v>
      </c>
      <c r="LQ16" s="170">
        <f ca="1">Control!$C$140*($G16+273)^4*(0.56-0.079*SQRT($Y16*10))*(0.1+0.9*$LO16)</f>
        <v>1.5241745131704001</v>
      </c>
      <c r="LR16" s="170">
        <f ca="1">$AQ16*(1-Control!$C$142)-$LQ16</f>
        <v>-1.5241745131704001</v>
      </c>
      <c r="LS16" s="170">
        <f ca="1">$AQ16*(1-Control!$C$143)-$LQ16</f>
        <v>-1.5241745131704001</v>
      </c>
      <c r="LT16" s="170">
        <f ca="1">$AQ16*(1-Control!$C$144)-$LQ16</f>
        <v>-1.5241745131704001</v>
      </c>
      <c r="LU16" s="169">
        <f ca="1">(1-Control!$C$144)*AQ16-LP16</f>
        <v>3.2464704755046001</v>
      </c>
      <c r="LV16" s="172">
        <f t="shared" ca="1" si="88"/>
        <v>0.79430000000000012</v>
      </c>
      <c r="LW16" s="170">
        <f t="shared" ca="1" si="89"/>
        <v>1.5886000000000002</v>
      </c>
      <c r="LX16" s="170">
        <f ca="1">($AC16*($LR16/Control!$C$141)+$LM16*$LV16)/($AC16+$LM16)</f>
        <v>0.23530094218323697</v>
      </c>
      <c r="LY16" s="170">
        <f ca="1">($AC16*($LS16/Control!$C$141)+$LM16*$LV16)/($AC16+$LM16)</f>
        <v>0.23530094218323697</v>
      </c>
      <c r="LZ16" s="170">
        <f t="shared" ca="1" si="90"/>
        <v>0.23530094218323697</v>
      </c>
      <c r="MA16" s="170">
        <f t="shared" ca="1" si="91"/>
        <v>0.23530094218323697</v>
      </c>
      <c r="MB16" s="170" t="e">
        <f t="shared" ca="1" si="92"/>
        <v>#N/A</v>
      </c>
      <c r="MC16" s="170">
        <f t="shared" ca="1" si="176"/>
        <v>0.6018</v>
      </c>
      <c r="MD16" s="170">
        <f t="shared" ca="1" si="93"/>
        <v>0.52989392535414004</v>
      </c>
      <c r="ME16" s="170">
        <f ca="1">($AC16*($LT16/Control!$C$141)+$LM16*$LW16)/($AC16+$LM16)</f>
        <v>0.71612369323045078</v>
      </c>
      <c r="MF16" s="170" t="e">
        <f ca="1">IF(Control!$B$16&gt;=1000,0.92,IF(AND(720&lt;=Control!$B$16,1000&gt;Control!$B$16),(0.95+(Control!$B$16-720)*((0.92-0.95)/(1000-720))),IF(AND(360&lt;=Control!$B$16,720&gt;Control!$B$16),(1+(Control!$B$16-360)*((0.95-1)/(720-360))),IF(AND(40&lt;=Control!$B$16,360&gt;Control!$B$16),(1.05+(Control!$B$16-40)*((1.05-1)/(360-40)))))))</f>
        <v>#N/A</v>
      </c>
      <c r="MG16" s="170">
        <f t="shared" ca="1" si="94"/>
        <v>0.71612369323045078</v>
      </c>
      <c r="MH16" s="170" t="e">
        <f t="shared" ca="1" si="95"/>
        <v>#N/A</v>
      </c>
      <c r="MI16" s="170" t="e">
        <f t="shared" ca="1" si="95"/>
        <v>#N/A</v>
      </c>
      <c r="MJ16" s="170" t="e">
        <f ca="1">MAX(0.0001, Control!$C$132*$MI16*$DL16)</f>
        <v>#N/A</v>
      </c>
      <c r="MK16" s="170">
        <f ca="1">1/(0.76+1.5*($MG16/10))-(5-Control!$C$110)*0.1</f>
        <v>1.002845988140797</v>
      </c>
      <c r="ML16" s="173">
        <f ca="1">IF(Control!$C$110&lt;3,$MK16+($MG16-0.6)/(Control!$C$110*(Control!$C$110+3)), MAX(0.1, MIN(0.95,$MK16)))</f>
        <v>0.95</v>
      </c>
      <c r="MM16" s="173">
        <f ca="1">IF(Control!$C$110&lt;3,$MK16+(($MI16/10)-0.6)/(Control!$C$110*(Control!$C$110+3)), MAX(0.1, MIN(0.95,$MK16)))</f>
        <v>0.95</v>
      </c>
      <c r="MN16" s="173">
        <f ca="1">(1-$MM16)*(Control!$C$128-Control!$C$127)+Control!$C$127</f>
        <v>0.16</v>
      </c>
      <c r="MO16" s="170" t="e">
        <f ca="1">MAX(0,MIN(1,($MS16-Control!$C$127)/($MN16-Control!$C$127)))</f>
        <v>#DIV/0!</v>
      </c>
      <c r="MP16" s="173" t="e">
        <f ca="1">1/(0.76+1.5*$MI16)-(5-Control!$C$110)*0.1</f>
        <v>#N/A</v>
      </c>
      <c r="MQ16" s="172" t="e">
        <f t="shared" ca="1" si="209"/>
        <v>#DIV/0!</v>
      </c>
      <c r="MR16" s="168" t="e">
        <f t="shared" ca="1" si="226"/>
        <v>#DIV/0!</v>
      </c>
      <c r="MS16" s="173" t="e">
        <f ca="1">MAX(Control!$C$127, MIN(Control!$C$135, $MR16/MAX(0.0001,$CY16)))</f>
        <v>#DIV/0!</v>
      </c>
      <c r="MT16" s="168" t="e">
        <f ca="1">(Control!$C$128-$MS16)*Control!$C$74</f>
        <v>#DIV/0!</v>
      </c>
      <c r="MU16" s="168" t="e">
        <f ca="1">(Control!$C$135-$MS16)*Control!$C$74</f>
        <v>#DIV/0!</v>
      </c>
      <c r="MV16" s="168" t="e">
        <f t="shared" ca="1" si="210"/>
        <v>#DIV/0!</v>
      </c>
      <c r="MW16" s="168" t="e">
        <f t="shared" ca="1" si="177"/>
        <v>#DIV/0!</v>
      </c>
      <c r="MX16" s="171" t="e">
        <f ca="1">MAX(Control!$C$127, MIN(Control!$C$135, $MW16/MAX(0.0001,Control!$C$119-$CY16)))</f>
        <v>#DIV/0!</v>
      </c>
      <c r="MY16" s="54" t="e">
        <f ca="1">IF(Control!$C$114=1, $CX16*$MX16, 0)</f>
        <v>#DIV/0!</v>
      </c>
      <c r="MZ16" s="54" t="e">
        <f t="shared" ca="1" si="178"/>
        <v>#N/A</v>
      </c>
      <c r="NA16" s="168" t="e">
        <f ca="1">(Control!$C$128-$MX16)*(Control!$C$119-Control!$C$74)</f>
        <v>#DIV/0!</v>
      </c>
      <c r="NB16" s="168" t="e">
        <f ca="1">(Control!$C$135-$MX16)*(Control!$C$119-Control!$C$74)</f>
        <v>#DIV/0!</v>
      </c>
      <c r="NC16" s="174" t="e">
        <f t="shared" ca="1" si="179"/>
        <v>#DIV/0!</v>
      </c>
      <c r="ND16" s="54">
        <f ca="1">IF(Control!$C$58=2, IF(OR(Control!$B$218=$AH16,Control!$B$219=$AH16, Control!$B$220=$AH16, Control!$B$221=$AH16, Control!$B$222=$AH16, Control!$B$223=$AH16, Control!$B$224=$AH16, Control!$B$225=$AH16, Control!$B$226=$AH16, Control!$B$227=$AH16, Control!$B$228=$AH16), 1, 0), 0)</f>
        <v>0</v>
      </c>
      <c r="NE16" s="54">
        <f ca="1">IF($ND16=0,0, VLOOKUP($AH16,Control!$B$218:$C$228,2))</f>
        <v>0</v>
      </c>
      <c r="NF16" s="168" t="e">
        <f ca="1">$CY16*(Control!$C$128-Control!$C$127)</f>
        <v>#N/A</v>
      </c>
      <c r="NG16" s="54" t="e">
        <f ca="1">IF(Control!$C$58=2, $NI15-$NJ15, 0)</f>
        <v>#DIV/0!</v>
      </c>
      <c r="NH16" s="54" t="e">
        <f ca="1">IF(AND(Control!$C$58=1, $MS15&lt;= ($MN15+0.02), $I15&lt;10), 0, IF(Control!$C$58=2, $NG15, 0))</f>
        <v>#DIV/0!</v>
      </c>
      <c r="NI16" s="54" t="e">
        <f ca="1">IF(Control!$C$58=2, $NE16+$NH16,0)</f>
        <v>#DIV/0!</v>
      </c>
      <c r="NJ16" s="54" t="e">
        <f ca="1">IF(AND(Control!$C$58=1, $MS16&lt;= ($MN16+0.02), $I16&lt;10), MAX(0, MIN(10, 0.7*($NF16-$MV16))), IF(Control!$C$58=2, MIN(10,$NI16),0))</f>
        <v>#DIV/0!</v>
      </c>
      <c r="NK16" s="54" t="e">
        <f t="shared" ca="1" si="96"/>
        <v>#DIV/0!</v>
      </c>
      <c r="NL16" s="173" t="e">
        <f ca="1">(1-Control!$C$73)*$I16+$NJ16</f>
        <v>#DIV/0!</v>
      </c>
      <c r="NM16" s="172" t="e">
        <f ca="1">IF($NL16&lt;0.5, $MB16* MAX(0, MIN(1, (SQRT($NC16)-SQRT($NC16-1))*Control!$C$71)),0)</f>
        <v>#DIV/0!</v>
      </c>
      <c r="NN16" s="170" t="e">
        <f ca="1">IF($NL16&gt;=5, $MB16, MAX(0,MIN($MB16, $NM16+$NL16,($MS16-Control!$C$129))))</f>
        <v>#DIV/0!</v>
      </c>
      <c r="NO16" s="54">
        <f>IF(Control!$C$133&lt;&gt;1, Control!$C$135-Control!$C$131, 0)</f>
        <v>0.38</v>
      </c>
      <c r="NP16" s="54" t="e">
        <f t="shared" ca="1" si="97"/>
        <v>#DIV/0!</v>
      </c>
      <c r="NQ16" s="173" t="e">
        <f ca="1">MAX(0,MIN(1,(Control!$C$135-$MS16)/(Control!$C$135-$NO16)))</f>
        <v>#DIV/0!</v>
      </c>
      <c r="NR16" s="170" t="e">
        <f ca="1">IF(Control!$C$133&lt;&gt;1, $NQ16+((1-$NP16/4)*(1-$NQ16)),1)</f>
        <v>#DIV/0!</v>
      </c>
      <c r="NS16" s="170" t="e">
        <f ca="1">IF(Control!$B$31=0,$MJ16,MAX(0,MIN($MV16,$MO16*$NR16*$MJ16)))</f>
        <v>#DIV/0!</v>
      </c>
      <c r="NT16" s="170" t="e">
        <f t="shared" ca="1" si="227"/>
        <v>#DIV/0!</v>
      </c>
      <c r="NU16" s="170" t="e">
        <f t="shared" ca="1" si="180"/>
        <v>#N/A</v>
      </c>
      <c r="NV16" s="170" t="e">
        <f t="shared" ca="1" si="98"/>
        <v>#N/A</v>
      </c>
      <c r="NW16" s="175" t="e">
        <f t="shared" ca="1" si="99"/>
        <v>#DIV/0!</v>
      </c>
      <c r="NX16" s="170" t="e">
        <f ca="1">MIN(Control!$C$72+$MU16, $NW16)</f>
        <v>#DIV/0!</v>
      </c>
      <c r="NY16" s="170" t="e">
        <f ca="1">IF($MT16&lt;=$NX16,MIN(Control!$C$72+$NB16,$NX16-$MT16),0)</f>
        <v>#DIV/0!</v>
      </c>
      <c r="NZ16" s="54" t="e">
        <f ca="1">IF(Control!$C$114=1,  $CX16*($MX16-Control!$C$127), 0)</f>
        <v>#DIV/0!</v>
      </c>
      <c r="OA16" s="170" t="e">
        <f t="shared" ca="1" si="181"/>
        <v>#DIV/0!</v>
      </c>
      <c r="OB16" s="170" t="e">
        <f ca="1">IF($NA16 &lt;=$NY16, MIN(Control!$C$72, $NY16-$NA16), 0)</f>
        <v>#DIV/0!</v>
      </c>
      <c r="OC16" s="168" t="e">
        <f t="shared" ca="1" si="100"/>
        <v>#DIV/0!</v>
      </c>
      <c r="OD16" s="168" t="e">
        <f t="shared" ca="1" si="182"/>
        <v>#DIV/0!</v>
      </c>
      <c r="OE16" s="170">
        <f ca="1">Control!$C$73*$I16</f>
        <v>0</v>
      </c>
      <c r="OF16" s="176" t="e">
        <f t="shared" ca="1" si="101"/>
        <v>#DIV/0!</v>
      </c>
      <c r="OG16" s="168" t="e">
        <f t="shared" ca="1" si="102"/>
        <v>#DIV/0!</v>
      </c>
      <c r="OH16" s="168" t="e">
        <f t="shared" ca="1" si="103"/>
        <v>#DIV/0!</v>
      </c>
      <c r="OI16" s="168" t="e">
        <f t="shared" ca="1" si="104"/>
        <v>#DIV/0!</v>
      </c>
      <c r="OJ16" s="168" t="e">
        <f t="shared" ca="1" si="105"/>
        <v>#DIV/0!</v>
      </c>
      <c r="OK16" s="204" t="e">
        <f t="shared" ca="1" si="183"/>
        <v>#DIV/0!</v>
      </c>
      <c r="OL16" s="177">
        <f>Control!$C$127</f>
        <v>0.15</v>
      </c>
      <c r="OM16" s="182" t="e">
        <f t="shared" ca="1" si="106"/>
        <v>#N/A</v>
      </c>
      <c r="ON16" s="177">
        <f>Control!$C$128</f>
        <v>0.35</v>
      </c>
      <c r="OO16" s="182" t="e">
        <f t="shared" ca="1" si="107"/>
        <v>#N/A</v>
      </c>
      <c r="OP16" s="138">
        <f t="shared" ca="1" si="184"/>
        <v>0</v>
      </c>
      <c r="OQ16" s="138" t="e">
        <f t="shared" ca="1" si="211"/>
        <v>#DIV/0!</v>
      </c>
      <c r="OR16" s="138" t="e">
        <f t="shared" ca="1" si="185"/>
        <v>#DIV/0!</v>
      </c>
      <c r="OS16" s="137" t="e">
        <f t="shared" ca="1" si="212"/>
        <v>#DIV/0!</v>
      </c>
      <c r="OT16" s="139" t="e">
        <f t="shared" ca="1" si="213"/>
        <v>#DIV/0!</v>
      </c>
      <c r="OU16" s="138" t="e">
        <f t="shared" ca="1" si="214"/>
        <v>#N/A</v>
      </c>
      <c r="OV16" s="138" t="e">
        <f t="shared" ca="1" si="215"/>
        <v>#DIV/0!</v>
      </c>
      <c r="OW16" s="138" t="e">
        <f t="shared" ca="1" si="186"/>
        <v>#DIV/0!</v>
      </c>
      <c r="OX16" s="138" t="e">
        <f t="shared" ca="1" si="187"/>
        <v>#DIV/0!</v>
      </c>
      <c r="OY16" s="138" t="e">
        <f t="shared" ca="1" si="188"/>
        <v>#DIV/0!</v>
      </c>
      <c r="OZ16" s="138" t="e">
        <f t="shared" ca="1" si="108"/>
        <v>#DIV/0!</v>
      </c>
      <c r="PA16" s="138" t="e">
        <f t="shared" ca="1" si="109"/>
        <v>#DIV/0!</v>
      </c>
      <c r="PB16" s="55">
        <f>IF(Control!$C$61="T", IF(Control!$C$65="F", IF($AH$6-Control!$C$60&lt;0,0,1), IF(365+$AH$6-Control!$C$60&lt;0,0,1)),0)</f>
        <v>0</v>
      </c>
      <c r="PC16" s="55">
        <f ca="1">IF(Control!$C$65="F", IF($AH$6-$HF16&lt;0,0,1), IF(365+$AH$6-$HF16&lt;0,0,1))</f>
        <v>1</v>
      </c>
      <c r="PD16" s="444">
        <f>Control!$C$118</f>
        <v>1500</v>
      </c>
      <c r="PE16" s="180" t="e">
        <f t="shared" ca="1" si="110"/>
        <v>#N/A</v>
      </c>
      <c r="PF16" s="445">
        <f t="shared" ca="1" si="189"/>
        <v>0.71612369323045078</v>
      </c>
      <c r="PT16" s="186"/>
      <c r="PU16" s="186"/>
      <c r="PV16" s="94"/>
      <c r="PW16" s="94"/>
      <c r="PX16" s="94"/>
      <c r="PY16" s="94"/>
      <c r="PZ16" s="94"/>
      <c r="QA16" s="94"/>
      <c r="QB16" s="94"/>
      <c r="QC16" s="94"/>
      <c r="QD16" s="94"/>
      <c r="QE16" s="94"/>
      <c r="QF16" s="94"/>
      <c r="QG16" s="94"/>
      <c r="QH16" s="94"/>
      <c r="QI16" s="94"/>
      <c r="QJ16" s="94"/>
      <c r="QK16" s="94"/>
      <c r="QL16" s="94"/>
      <c r="QM16" s="94"/>
      <c r="QN16" s="94"/>
      <c r="QO16" s="94"/>
      <c r="QP16" s="94"/>
    </row>
    <row r="17" spans="1:458" s="2" customFormat="1" x14ac:dyDescent="0.2">
      <c r="A17" s="386">
        <v>12</v>
      </c>
      <c r="B17" s="387">
        <v>1</v>
      </c>
      <c r="C17" s="387">
        <f ca="1">Weather_data!$B16</f>
        <v>0</v>
      </c>
      <c r="D17" s="388">
        <f ca="1">Weather_data!$F16</f>
        <v>0</v>
      </c>
      <c r="E17" s="388">
        <f ca="1">Weather_data!$E16</f>
        <v>0</v>
      </c>
      <c r="F17" s="388">
        <f t="shared" ca="1" si="111"/>
        <v>0</v>
      </c>
      <c r="G17" s="388">
        <f ca="1">AVERAGE($D17:$E17)+Control!$B$9</f>
        <v>0</v>
      </c>
      <c r="H17" s="388">
        <f ca="1">Weather_data!$G16</f>
        <v>0</v>
      </c>
      <c r="I17" s="388">
        <f ca="1">Weather_data!$I16</f>
        <v>0</v>
      </c>
      <c r="J17" s="388">
        <f ca="1">Weather_data!$H16</f>
        <v>0</v>
      </c>
      <c r="K17" s="389">
        <f ca="1">Weather_data!$D16</f>
        <v>0</v>
      </c>
      <c r="L17" s="388" t="e">
        <f t="shared" ca="1" si="112"/>
        <v>#N/A</v>
      </c>
      <c r="M17" s="388" t="e">
        <f t="shared" ca="1" si="0"/>
        <v>#N/A</v>
      </c>
      <c r="N17" s="388">
        <f t="shared" ca="1" si="1"/>
        <v>-0.15690529804499997</v>
      </c>
      <c r="O17" s="388">
        <f t="shared" ca="1" si="113"/>
        <v>1.5690529804499997</v>
      </c>
      <c r="P17" s="390">
        <v>3</v>
      </c>
      <c r="Q17" s="388">
        <f ca="1">MAX($G17-Control!$C$107,0)</f>
        <v>0</v>
      </c>
      <c r="R17" s="388">
        <f t="shared" ca="1" si="114"/>
        <v>0</v>
      </c>
      <c r="S17" s="388">
        <f t="shared" ca="1" si="2"/>
        <v>0</v>
      </c>
      <c r="T17" s="388">
        <f t="shared" ca="1" si="3"/>
        <v>0</v>
      </c>
      <c r="U17" s="59">
        <f t="shared" ca="1" si="4"/>
        <v>0</v>
      </c>
      <c r="V17" s="391">
        <f ca="1">MAX(0,MIN(Control!$C$100-Control!$C$99,$G17-Control!$C$99)*Control!$C$63)</f>
        <v>0</v>
      </c>
      <c r="W17" s="388">
        <f t="shared" ca="1" si="190"/>
        <v>0</v>
      </c>
      <c r="X17" s="388">
        <f t="shared" ca="1" si="115"/>
        <v>0.6110000000000001</v>
      </c>
      <c r="Y17" s="388">
        <f t="shared" ca="1" si="116"/>
        <v>0</v>
      </c>
      <c r="Z17" s="388">
        <f t="shared" ca="1" si="117"/>
        <v>0.61058800000000002</v>
      </c>
      <c r="AA17" s="388">
        <f t="shared" ca="1" si="5"/>
        <v>0.6018</v>
      </c>
      <c r="AB17" s="388">
        <f ca="1">101.3*EXP(-0.034*Control!$C$66/($G17+273))</f>
        <v>100.69623283836242</v>
      </c>
      <c r="AC17" s="392">
        <f t="shared" ca="1" si="6"/>
        <v>4.3460251046025113E-2</v>
      </c>
      <c r="AD17" s="392">
        <f t="shared" ca="1" si="7"/>
        <v>4.4450382862832649E-2</v>
      </c>
      <c r="AE17" s="388">
        <f t="shared" ca="1" si="8"/>
        <v>0</v>
      </c>
      <c r="AF17" s="388">
        <f ca="1">MAX(0,$G17-Control!$C$92)</f>
        <v>0</v>
      </c>
      <c r="AG17" s="393">
        <f t="shared" ca="1" si="118"/>
        <v>12</v>
      </c>
      <c r="AH17" s="389">
        <f t="shared" ca="1" si="9"/>
        <v>12</v>
      </c>
      <c r="AI17" s="388">
        <f t="shared" ca="1" si="119"/>
        <v>-0.37874127067752456</v>
      </c>
      <c r="AJ17" s="388">
        <f ca="1">IF(Control!$C$60&lt;=0,$HH17,$HI17)</f>
        <v>1</v>
      </c>
      <c r="AK17" s="388">
        <f t="shared" ca="1" si="10"/>
        <v>-1.1705660298307174</v>
      </c>
      <c r="AL17" s="388">
        <f t="shared" ca="1" si="11"/>
        <v>1.5329057467816652E-18</v>
      </c>
      <c r="AM17" s="388">
        <f t="shared" ca="1" si="12"/>
        <v>-1.1705660298307174</v>
      </c>
      <c r="AN17" s="388">
        <f t="shared" ca="1" si="13"/>
        <v>-0.37509656113848588</v>
      </c>
      <c r="AO17" s="388">
        <f ca="1">-0.10453/COS(Control!$B$8*PI()/180)*COS(AN17)</f>
        <v>-0.15798010461627285</v>
      </c>
      <c r="AP17" s="388">
        <f ca="1">ACOS(AO17-TAN(Control!$B$8*PI()/180)*TAN(AN17))</f>
        <v>1.2175114397253259</v>
      </c>
      <c r="AQ17" s="388">
        <f t="shared" ca="1" si="120"/>
        <v>0</v>
      </c>
      <c r="AR17" s="394">
        <f t="shared" ca="1" si="14"/>
        <v>0</v>
      </c>
      <c r="AS17" s="436">
        <f ca="1">IF(Control!$B$18=2,(IF(OR($AH17=Control!$B$175,$AH17=Control!$B$176,$AH17=Control!$B$177,$AH17=Control!$B$178,$AH17=Control!$B$179,$AH17=Control!$B$180,$AH17=Control!$B$181,$AH17=Control!$B$182,$AH17=Control!$B$183,$AH17=Control!$B$184,$AH17=Control!$B$185),1,0)),0)</f>
        <v>0</v>
      </c>
      <c r="AT17" s="436">
        <f>IF(Control!$B$20=8,IF(AND($AH17&gt;=Control!$B$172,$AH17&lt;=Control!$B$173),1,0),0)</f>
        <v>0</v>
      </c>
      <c r="AU17" s="436">
        <f>IF(Control!$B$20=8,IF($AV16=1,1*$AT17,IF($AT17=1,$AU16+1,$AU16)),0)</f>
        <v>0</v>
      </c>
      <c r="AV17" s="436">
        <f>IF(Control!$B$20=8,IF($AU17&gt;=Control!$B$174,1,0),0)</f>
        <v>0</v>
      </c>
      <c r="AW17" s="436">
        <f ca="1">IF(AND(Control!$B$18=2,Control!$B$171=1), $AV17, $AS17)</f>
        <v>0</v>
      </c>
      <c r="AX17" s="436" t="e">
        <f ca="1">IF(AND(Control!$B$18=1,$EU17&gt;=Control!$B$19),-$AY17,IF(AND(Control!$B$18=2,$AW17=1,$EU17&gt;$DS17),-$AY17, IF(Control!$C$108=0,0, IF(Control!$C$108&lt;&gt;0,1))))</f>
        <v>#N/A</v>
      </c>
      <c r="AY17" s="436" t="e">
        <f t="shared" ca="1" si="121"/>
        <v>#N/A</v>
      </c>
      <c r="AZ17" s="436" t="e">
        <f ca="1">IF(AND(Control!$B$18=1,$EB17&gt;Control!$B$19),$AZ16+1, IF(AND(Control!$B$18=2, $AW17=1, $EB17&gt;$DS17), $AZ16+1,$AZ16))</f>
        <v>#N/A</v>
      </c>
      <c r="BA17" s="587">
        <f>IF(Control!$C$81=0,1,IF($AH17&gt;=Control!$C$82,1,0))</f>
        <v>1</v>
      </c>
      <c r="BB17" s="140" t="e">
        <f ca="1">IF($BA17&gt;$BA16,Control!$C$83,IF($AW17&gt;0,$AW17*Control!$C$84,IF(AND(Control!$B$18=1,EN16&lt;&gt;0),Control!$C$84,0)))</f>
        <v>#N/A</v>
      </c>
      <c r="BC17" s="140" t="e">
        <f t="shared" ca="1" si="122"/>
        <v>#N/A</v>
      </c>
      <c r="BD17" s="140" t="e">
        <f ca="1">BC17*IF(OR($G17&lt;Control!$C$92,$G17&gt;Control!$C$95),0,IF(AND($G17&gt;=Control!$C$92,$G17&lt;=Control!$C$93),$G17-Control!$C$92,IF(AND($G17&gt;Control!$C$93,$G17&lt;=Control!$C$94),Control!$C$93-Control!$C$92,IF(AND($G17&gt;Control!$C$94,$G17&lt;=Control!$C$95),(Control!$C$93-Control!$C$92)*(Control!$C$94-$G17)/(Control!$C$95-Control!$C$94)))))</f>
        <v>#N/A</v>
      </c>
      <c r="BE17" s="140" t="e">
        <f t="shared" ca="1" si="123"/>
        <v>#N/A</v>
      </c>
      <c r="BF17" s="140" t="e">
        <f ca="1">IF($BE17&lt;=Control!$C$86,$BE17,Control!$C$86-$BE17)</f>
        <v>#N/A</v>
      </c>
      <c r="BG17" s="140" t="e">
        <f ca="1">IF(AND($AW17=1,Control!$C$84&lt;9),1,IF($BE17&gt;=Control!$C$86,0,$BC17))</f>
        <v>#N/A</v>
      </c>
      <c r="BH17" s="404" t="e">
        <f ca="1">IF($BG17=0,0,IF($BE17&lt;=Control!$C$86,$BC17*9*($BF17/Control!$C$86),0))</f>
        <v>#N/A</v>
      </c>
      <c r="BI17" s="140" t="e">
        <f ca="1">IF($BG17=1,0,IF($BE17&gt;=Control!$C$86,1,IF(AND($BB17&lt;21,$BB17&gt;=9),1,$BM16)))</f>
        <v>#N/A</v>
      </c>
      <c r="BJ17" s="140" t="e">
        <f ca="1">IF($BF17&lt;0,-$BF17,$BI17*IF(OR($G17&lt;Control!$C$92,$G17&gt;Control!$C$95),0,IF(AND($G17&gt;=Control!$C$92,$G17&lt;=Control!$C$93),$G17-Control!$C$92,IF(AND($G17&gt;Control!$C$93,$G17&lt;=Control!$C$94),Control!$C$93-Control!$C$92,IF(AND($G17&gt;Control!$C$94,$G17&lt;=Control!$C$95),(Control!$C$93-Control!$C$92)*(Control!$C$94-$G17)/(Control!$C$95-Control!$C$94))))))</f>
        <v>#N/A</v>
      </c>
      <c r="BK17" s="140" t="e">
        <f t="shared" ca="1" si="124"/>
        <v>#N/A</v>
      </c>
      <c r="BL17" s="140" t="e">
        <f ca="1">IF($BK17&lt;=Control!$C$87,$BK17,Control!$C$87-$BK17)</f>
        <v>#N/A</v>
      </c>
      <c r="BM17" s="140" t="e">
        <f ca="1">IF(AND($BB17&gt;=9,$BB17&lt;21),1,IF($BK17&gt;=Control!$C$87,0,$BI17))</f>
        <v>#N/A</v>
      </c>
      <c r="BN17" s="404" t="e">
        <f ca="1">IF($BM17=0,0,IF($BK17&lt;=Control!$C$87,$BI17*(9+(21-9)*($BL17/Control!$C$87)),0))</f>
        <v>#N/A</v>
      </c>
      <c r="BO17" s="140" t="e">
        <f ca="1">IF($BM17=1,0,IF($BK17&gt;=Control!$C$87,1,IF(AND($BB17&lt;30,$BB17&gt;=21),1,$BS16)))</f>
        <v>#N/A</v>
      </c>
      <c r="BP17" s="140" t="e">
        <f ca="1">IF($BL17&lt;0,-$BL17,$BO17*IF(OR($G17&lt;Control!$C$92,$G17&gt;Control!$C$95),0,IF(AND($G17&gt;=Control!$C$92,$G17&lt;=Control!$C$93),$G17-Control!$C$92,IF(AND($G17&gt;Control!$C$93,$G17&lt;=Control!$C$94),Control!$C$93-Control!$C$92,IF(AND($G17&gt;Control!$C$94,$G17&lt;=Control!$C$95),(Control!$C$93-Control!$C$92)*(Control!$C$94-$G17)/(Control!$C$95-Control!$C$94))))))</f>
        <v>#N/A</v>
      </c>
      <c r="BQ17" s="140" t="e">
        <f t="shared" ca="1" si="15"/>
        <v>#N/A</v>
      </c>
      <c r="BR17" s="140" t="e">
        <f ca="1">IF($BQ17&lt;=Control!$C$88,$BQ17,Control!$C$88-$BQ17)</f>
        <v>#N/A</v>
      </c>
      <c r="BS17" s="140" t="e">
        <f ca="1">IF(AND($BB17&gt;=21,$BB17&lt;30),1,IF($BQ17&gt;=Control!$C$88,0,$BO17))</f>
        <v>#N/A</v>
      </c>
      <c r="BT17" s="404" t="e">
        <f ca="1">IF($BS17=0,0,IF($BQ17&lt;=Control!$C$88,$BO17*(21+(30-21)*(BR17/Control!$C$88)),0))</f>
        <v>#N/A</v>
      </c>
      <c r="BU17" s="140" t="e">
        <f ca="1">IF(BG17+BM17+BS17=1,0,IF(OR(AND($BB17&lt;60,$BB17&gt;=30),$BQ17&gt;=Control!$C$88),1*$BA17,$BY16))</f>
        <v>#N/A</v>
      </c>
      <c r="BV17" s="140" t="e">
        <f ca="1">IF($BR17&lt;0,-$BR17,$BU17*IF(OR($G17&lt;Control!$C$92,$G17&gt;Control!$C$95),0,IF(AND($G17&gt;=Control!$C$92,$G17&lt;=Control!$C$93),$G17-Control!$C$92,IF(AND($G17&gt;Control!$C$93,$G17&lt;=Control!$C$94),Control!$C$93-Control!$C$92,IF(AND($G17&gt;Control!$C$94,$G17&lt;=Control!$C$95),(Control!$C$93-Control!$C$92)*(Control!$C$94-$G17)/(Control!$C$95-Control!$C$94))))))</f>
        <v>#N/A</v>
      </c>
      <c r="BW17" s="140" t="e">
        <f t="shared" ca="1" si="16"/>
        <v>#N/A</v>
      </c>
      <c r="BX17" s="140" t="e">
        <f ca="1">IF($BW17&lt;=Control!$C$89,$BW17,Control!$C$89-$BW17)</f>
        <v>#N/A</v>
      </c>
      <c r="BY17" s="140" t="e">
        <f ca="1">IF(AND($AJ17&gt;=30,$AJ17&lt;60),1,IF($BW17&gt;=Control!$C$89,0,$BU17))</f>
        <v>#N/A</v>
      </c>
      <c r="BZ17" s="404" t="e">
        <f ca="1">IF($BY17=0,0,IF($BW17&lt;=Control!$C$89,$BU17*(30+(60-30)*(BX17/Control!$C$89)),0))</f>
        <v>#N/A</v>
      </c>
      <c r="CA17" s="140" t="e">
        <f ca="1">IF($BG17+$BM17+$BS17+$BY17=1,0,IF(OR(AND($BB17&lt;65,$BB17&gt;=60),$BW17&gt;=Control!$C$89),1*$BA17,$CE16))</f>
        <v>#N/A</v>
      </c>
      <c r="CB17" s="140" t="e">
        <f ca="1">IF($BX17&lt;0,-$BX17,$CA17*IF(OR($G17&lt;Control!$C$92,$G17&gt;Control!$C$95),0,IF(AND($G17&gt;=Control!$C$92,$G17&lt;=Control!$C$93),$G17-Control!$C$92,IF(AND($G17&gt;Control!$C$93,$G17&lt;=Control!$C$94),Control!$C$93-Control!$C$92,IF(AND($G17&gt;Control!$C$94,$G17&lt;=Control!$C$95),(Control!$C$93-Control!$C$92)*(Control!$C$94-$G17)/(Control!$C$95-Control!$C$94))))))</f>
        <v>#N/A</v>
      </c>
      <c r="CC17" s="140" t="e">
        <f t="shared" ca="1" si="125"/>
        <v>#N/A</v>
      </c>
      <c r="CD17" s="140" t="e">
        <f ca="1">IF($CC17&lt;=Control!$C$90,$CC17,Control!$C$90-$CC17)</f>
        <v>#N/A</v>
      </c>
      <c r="CE17" s="140" t="e">
        <f ca="1">IF(AND($BB17&gt;=60,$BB17&lt;65),1,IF($CC17&gt;=Control!$C$90,0,$CA17))</f>
        <v>#N/A</v>
      </c>
      <c r="CF17" s="404" t="e">
        <f ca="1">IF($CE17=0,0,IF($CC17&lt;=Control!$C$90,$CA17*(60+(65-60)*(CD17/Control!$C$90)),0))</f>
        <v>#N/A</v>
      </c>
      <c r="CG17" s="140" t="e">
        <f ca="1">IF($BG17+$BM17+$BS17+$BY17+$CE17=1,0,IF(OR(AND($BB17&lt;90,$BB17&gt;=65),$CC17&gt;=Control!$C$90),$BA17,$CK16))</f>
        <v>#N/A</v>
      </c>
      <c r="CH17" s="140" t="e">
        <f ca="1">IF($CD17&lt;0,-$CD17,$CG17*IF(OR($G17&lt;Control!$C$92,$G17&gt;Control!$C$95),0,IF(AND($G17&gt;=Control!$C$92,$G17&lt;=Control!$C$93),$G17-Control!$C$92,IF(AND($G17&gt;Control!$C$93,$G17&lt;=Control!$C$94),Control!$C$93-Control!$C$92,IF(AND($G17&gt;Control!$C$94,$G17&lt;=Control!$C$95),(Control!$C$93-Control!$C$92)*(Control!$C$94-$G17)/(Control!$C$95-Control!$C$94))))))</f>
        <v>#N/A</v>
      </c>
      <c r="CI17" s="140" t="e">
        <f t="shared" ca="1" si="126"/>
        <v>#N/A</v>
      </c>
      <c r="CJ17" s="140" t="e">
        <f ca="1">IF($CI17&lt;=Control!$C$91,$CI17,Control!$C$91-$CI17)</f>
        <v>#N/A</v>
      </c>
      <c r="CK17" s="140" t="e">
        <f ca="1">IF(AND($BB17&gt;=65,$BB17&lt;90),1,IF($CI17&gt;=Control!$C$91,0,$CG17))</f>
        <v>#N/A</v>
      </c>
      <c r="CL17" s="404" t="e">
        <f ca="1">IF($CK17=0,0,IF($CI17&lt;=Control!$C$91,$CG17*(65+(90-65)*($CJ17/Control!$C$91)),0))</f>
        <v>#N/A</v>
      </c>
      <c r="CM17" s="140" t="e">
        <f ca="1">IF($BG17+$BM17+$BS17+$BY17+$CE17+$CK17=1,0,IF(OR($BB17&gt;=90,$CI17&gt;=Control!$C$91),$BA17,$CM16))</f>
        <v>#N/A</v>
      </c>
      <c r="CN17" s="140" t="e">
        <f t="shared" ca="1" si="127"/>
        <v>#N/A</v>
      </c>
      <c r="CO17" s="140" t="e">
        <f t="shared" ca="1" si="128"/>
        <v>#N/A</v>
      </c>
      <c r="CP17" s="140" t="e">
        <f t="shared" ca="1" si="129"/>
        <v>#N/A</v>
      </c>
      <c r="CQ17" s="141" t="e">
        <f ca="1">VLOOKUP($CP17,Control!$B$86:$G$91,6)</f>
        <v>#N/A</v>
      </c>
      <c r="CR17" s="141" t="e">
        <f ca="1">(1-$CQ17)*VLOOKUP($CP17,Control!$B$86:$D$91,3)</f>
        <v>#N/A</v>
      </c>
      <c r="CS17" s="141" t="e">
        <f ca="1">(1-$CQ17)*VLOOKUP($CP17,Control!$B$86:$E$91,4)</f>
        <v>#N/A</v>
      </c>
      <c r="CT17" s="141" t="e">
        <f ca="1">(1-$CQ17)*VLOOKUP($CP17,Control!$B$86:$F$91,5)</f>
        <v>#N/A</v>
      </c>
      <c r="CU17" s="141">
        <f t="shared" ca="1" si="130"/>
        <v>0</v>
      </c>
      <c r="CV17" s="583">
        <f t="shared" ca="1" si="131"/>
        <v>0</v>
      </c>
      <c r="CW17" s="142">
        <f t="shared" ca="1" si="132"/>
        <v>12</v>
      </c>
      <c r="CX17" s="612" t="e">
        <f ca="1">IF(Control!$C$114=1,(MIN(Control!$C$120*(IF($NT17-0.01&lt;0,0,1)),Control!$C$119-$CY17)))</f>
        <v>#DIV/0!</v>
      </c>
      <c r="CY17" s="143" t="e">
        <f t="shared" ca="1" si="133"/>
        <v>#N/A</v>
      </c>
      <c r="CZ17" s="144">
        <f t="shared" ca="1" si="17"/>
        <v>0</v>
      </c>
      <c r="DA17" s="144">
        <f t="shared" ca="1" si="18"/>
        <v>0</v>
      </c>
      <c r="DB17" s="144" t="e">
        <f t="shared" ca="1" si="19"/>
        <v>#N/A</v>
      </c>
      <c r="DC17" s="144" t="e">
        <f t="shared" ca="1" si="20"/>
        <v>#N/A</v>
      </c>
      <c r="DD17" s="144" t="e">
        <f t="shared" ca="1" si="216"/>
        <v>#N/A</v>
      </c>
      <c r="DE17" s="143" t="e">
        <f t="shared" ca="1" si="135"/>
        <v>#N/A</v>
      </c>
      <c r="DF17" s="145" t="e">
        <f ca="1">$DR17*EXP(-Control!$C$158*(1-$KH17))</f>
        <v>#N/A</v>
      </c>
      <c r="DG17" s="146" t="e">
        <f ca="1">IF(Control!$C$114=1, $DF17*$EY17, 0)</f>
        <v>#N/A</v>
      </c>
      <c r="DH17" s="147" t="e">
        <f t="shared" ca="1" si="136"/>
        <v>#N/A</v>
      </c>
      <c r="DI17" s="144" t="e">
        <f t="shared" ca="1" si="191"/>
        <v>#N/A</v>
      </c>
      <c r="DJ17" s="147" t="e">
        <f ca="1">$EF17*Control!$C$109</f>
        <v>#N/A</v>
      </c>
      <c r="DK17" s="144" t="e">
        <f t="shared" ca="1" si="137"/>
        <v>#N/A</v>
      </c>
      <c r="DL17" s="144" t="e">
        <f t="shared" ca="1" si="21"/>
        <v>#N/A</v>
      </c>
      <c r="DM17" s="144" t="e">
        <f ca="1">IF(Control!$C$114=1, (1-EXP(-Control!$C$96*$DK17))*$AR17, 0)</f>
        <v>#N/A</v>
      </c>
      <c r="DN17" s="144">
        <f t="shared" ca="1" si="138"/>
        <v>0</v>
      </c>
      <c r="DO17" s="148">
        <f>Control!$C$97</f>
        <v>4</v>
      </c>
      <c r="DP17" s="145" t="e">
        <f t="shared" ca="1" si="139"/>
        <v>#N/A</v>
      </c>
      <c r="DQ17" s="145" t="e">
        <f ca="1">IF(AND($CP17&gt;=0,$CP17&lt;=90),Control!$C$111,Control!$C$111)</f>
        <v>#N/A</v>
      </c>
      <c r="DR17" s="145" t="e">
        <f t="shared" ca="1" si="22"/>
        <v>#N/A</v>
      </c>
      <c r="DS17" s="143" t="e">
        <f ca="1">Control!$B$22/$DR17</f>
        <v>#N/A</v>
      </c>
      <c r="DT17" s="149" t="e">
        <f ca="1">IF(AND(Control!$C$114=1,$KH17&lt;1),$IM17*$DF17, 0)</f>
        <v>#N/A</v>
      </c>
      <c r="DU17" s="144" t="e">
        <f t="shared" ca="1" si="192"/>
        <v>#N/A</v>
      </c>
      <c r="DV17" s="144">
        <f ca="1">IF($G17-Control!$C$107&lt;=0, 0, 0.83*LN(MAX($G17, 3))-0.8924)</f>
        <v>0</v>
      </c>
      <c r="DW17" s="144" t="e">
        <f t="shared" ca="1" si="23"/>
        <v>#N/A</v>
      </c>
      <c r="DX17" s="150" t="e">
        <f ca="1">MAX(0.01*(1+$CU17/Control!$C$102),0.05*($DK17-Control!$C$97)/Control!$C$97)</f>
        <v>#N/A</v>
      </c>
      <c r="DY17" s="151" t="e">
        <f ca="1">IF(Control!$C$114=1, $DI17*$FS17, 0)</f>
        <v>#N/A</v>
      </c>
      <c r="DZ17" s="196" t="e">
        <f t="shared" ca="1" si="140"/>
        <v>#N/A</v>
      </c>
      <c r="EA17" s="152">
        <f t="shared" ca="1" si="141"/>
        <v>12</v>
      </c>
      <c r="EB17" s="153" t="e">
        <f t="shared" ca="1" si="217"/>
        <v>#N/A</v>
      </c>
      <c r="EC17" s="153" t="e">
        <f t="shared" ca="1" si="142"/>
        <v>#N/A</v>
      </c>
      <c r="ED17" s="154" t="e">
        <f ca="1">IF(Control!$C$114=1, $HM17*$FY17-$FD17, 0)</f>
        <v>#DIV/0!</v>
      </c>
      <c r="EE17" s="155" t="e">
        <f ca="1">IF(Control!$C$114=1, $HM17*$FZ17-$FF17, 0)</f>
        <v>#DIV/0!</v>
      </c>
      <c r="EF17" s="153" t="e">
        <f t="shared" ca="1" si="193"/>
        <v>#N/A</v>
      </c>
      <c r="EG17" s="155" t="e">
        <f ca="1">IF(Control!$C$114=1, $GX17*$FW17-$FI17, 0)</f>
        <v>#DIV/0!</v>
      </c>
      <c r="EH17" s="153" t="e">
        <f t="shared" ca="1" si="143"/>
        <v>#N/A</v>
      </c>
      <c r="EI17" s="156" t="e">
        <f t="shared" ca="1" si="144"/>
        <v>#N/A</v>
      </c>
      <c r="EJ17" s="155" t="e">
        <f ca="1">IF(Control!$C$114=1, $HM17*$GB17, 0)</f>
        <v>#DIV/0!</v>
      </c>
      <c r="EK17" s="153" t="e">
        <f t="shared" ca="1" si="194"/>
        <v>#N/A</v>
      </c>
      <c r="EL17" s="153" t="e">
        <f t="shared" ca="1" si="24"/>
        <v>#N/A</v>
      </c>
      <c r="EM17" s="153" t="e">
        <f t="shared" ca="1" si="25"/>
        <v>#N/A</v>
      </c>
      <c r="EN17" s="153" t="e">
        <f ca="1">IF(Control!$C$108=1,IF(AND(Control!$B$18=1,$EB17&gt;=Control!$B$19),$EB17-$DS17,IF(AND(Control!$B$18=2,$AW17=1,$EB17&gt;$DS17),$EB17-$DS17,0)))</f>
        <v>#N/A</v>
      </c>
      <c r="EO17" s="153" t="e">
        <f ca="1">IF(Control!$C$108=1,IF(AND(Control!$B$18=1,$EB17&gt;=Control!$B$19),$EF17,IF(AND(Control!$B$18=2,$AW17=1),$EF17,0)))</f>
        <v>#N/A</v>
      </c>
      <c r="EP17" s="153" t="e">
        <f ca="1">IF(Control!$C$108=1,IF(AND(Control!$B$18=1,$EB17&gt;=Control!$B$19),$EK17,IF(AND(Control!$B$18=2,$AW17=1),$EK17,0)))</f>
        <v>#N/A</v>
      </c>
      <c r="EQ17" s="153" t="e">
        <f t="shared" ca="1" si="145"/>
        <v>#N/A</v>
      </c>
      <c r="ER17" s="153" t="e">
        <f t="shared" ca="1" si="195"/>
        <v>#N/A</v>
      </c>
      <c r="ES17" s="153" t="e">
        <f t="shared" ca="1" si="196"/>
        <v>#N/A</v>
      </c>
      <c r="ET17" s="153" t="e">
        <f t="shared" ca="1" si="197"/>
        <v>#N/A</v>
      </c>
      <c r="EU17" s="153" t="e">
        <f t="shared" ca="1" si="198"/>
        <v>#N/A</v>
      </c>
      <c r="EV17" s="153" t="e">
        <f t="shared" ca="1" si="146"/>
        <v>#N/A</v>
      </c>
      <c r="EW17" s="153" t="e">
        <f t="shared" ca="1" si="218"/>
        <v>#N/A</v>
      </c>
      <c r="EX17" s="153" t="e">
        <f t="shared" ca="1" si="26"/>
        <v>#N/A</v>
      </c>
      <c r="EY17" s="157" t="e">
        <f t="shared" ca="1" si="147"/>
        <v>#DIV/0!</v>
      </c>
      <c r="EZ17" s="154" t="e">
        <f t="shared" ca="1" si="27"/>
        <v>#DIV/0!</v>
      </c>
      <c r="FA17" s="153" t="e">
        <f t="shared" ca="1" si="199"/>
        <v>#N/A</v>
      </c>
      <c r="FB17" s="153" t="e">
        <f t="shared" ca="1" si="28"/>
        <v>#N/A</v>
      </c>
      <c r="FC17" s="193" t="e">
        <f t="shared" ca="1" si="29"/>
        <v>#N/A</v>
      </c>
      <c r="FD17" s="158" t="e">
        <f t="shared" ca="1" si="200"/>
        <v>#N/A</v>
      </c>
      <c r="FE17" s="158" t="e">
        <f t="shared" ca="1" si="148"/>
        <v>#N/A</v>
      </c>
      <c r="FF17" s="159" t="e">
        <f t="shared" ca="1" si="30"/>
        <v>#N/A</v>
      </c>
      <c r="FG17" s="160" t="e">
        <f t="shared" ca="1" si="149"/>
        <v>#N/A</v>
      </c>
      <c r="FH17" s="158" t="e">
        <f t="shared" ca="1" si="150"/>
        <v>#N/A</v>
      </c>
      <c r="FI17" s="159" t="e">
        <f t="shared" ca="1" si="31"/>
        <v>#N/A</v>
      </c>
      <c r="FJ17" s="160" t="e">
        <f t="shared" ca="1" si="151"/>
        <v>#N/A</v>
      </c>
      <c r="FK17" s="160" t="e">
        <f t="shared" ca="1" si="32"/>
        <v>#N/A</v>
      </c>
      <c r="FL17" s="160" t="e">
        <f t="shared" ca="1" si="229"/>
        <v>#N/A</v>
      </c>
      <c r="FM17" s="160" t="e">
        <f t="shared" ca="1" si="33"/>
        <v>#N/A</v>
      </c>
      <c r="FN17" s="158">
        <f t="shared" ca="1" si="219"/>
        <v>0.01</v>
      </c>
      <c r="FO17" s="160">
        <f>Control!$C$101</f>
        <v>50</v>
      </c>
      <c r="FP17" s="150" t="e">
        <f t="shared" ca="1" si="34"/>
        <v>#N/A</v>
      </c>
      <c r="FQ17" s="150" t="e">
        <f ca="1">MAX(0,(Control!$C$112*(($DK17-Control!$C$97)/Control!$C$97)))</f>
        <v>#N/A</v>
      </c>
      <c r="FR17" s="150" t="e">
        <f ca="1">(1-$NT17)*Control!$C$113</f>
        <v>#DIV/0!</v>
      </c>
      <c r="FS17" s="198" t="e">
        <f t="shared" ca="1" si="35"/>
        <v>#N/A</v>
      </c>
      <c r="FT17" s="161">
        <f t="shared" ca="1" si="152"/>
        <v>12</v>
      </c>
      <c r="FU17" s="162" t="e">
        <f ca="1">IF(Control!$B$34=1,VLOOKUP($CP17,Control!$B$86:$G$91,6),Control!$B$35)</f>
        <v>#N/A</v>
      </c>
      <c r="FV17" s="162" t="e">
        <f t="shared" ca="1" si="36"/>
        <v>#DIV/0!</v>
      </c>
      <c r="FW17" s="162" t="e">
        <f ca="1">IF(Control!$B$31=1,$FU17*$FV17,  $FU17)</f>
        <v>#N/A</v>
      </c>
      <c r="FX17" s="162" t="e">
        <f ca="1">IF(Control!$B$34=1,VLOOKUP($CP17,Control!$B$86:$G$91,3),Control!$B$36)</f>
        <v>#N/A</v>
      </c>
      <c r="FY17" s="162" t="e">
        <f t="shared" ca="1" si="37"/>
        <v>#N/A</v>
      </c>
      <c r="FZ17" s="162" t="e">
        <f ca="1">IF(Control!$B$34=1,VLOOKUP($CP17,Control!$B$86:$G$91,4),Control!$B$37)</f>
        <v>#N/A</v>
      </c>
      <c r="GA17" s="162" t="e">
        <f t="shared" ca="1" si="38"/>
        <v>#N/A</v>
      </c>
      <c r="GB17" s="162" t="e">
        <f ca="1">IF(Control!$B$34=1,VLOOKUP($CP17,Control!$B$86:$G$91,5),Control!$B$38)</f>
        <v>#N/A</v>
      </c>
      <c r="GC17" s="162" t="e">
        <f t="shared" ca="1" si="153"/>
        <v>#N/A</v>
      </c>
      <c r="GD17" s="162">
        <f t="shared" ca="1" si="39"/>
        <v>1</v>
      </c>
      <c r="GE17" s="162">
        <f t="shared" ca="1" si="40"/>
        <v>1</v>
      </c>
      <c r="GF17" s="162">
        <f ca="1">IF(AND(Control!$C$104=1, Control!$C$62="F"),$GE17,1)</f>
        <v>1</v>
      </c>
      <c r="GG17" s="162" t="e">
        <f ca="1">IF(Control!$B$16=40,0,IF(AND(Control!$B$16&gt;40,Control!$B$16&lt;=360),(Control!$B$16-40)*((1-0)/(360-40)),IF(AND(Control!$B$16&gt;360,Control!$B$16&lt;=720),(1+(Control!$B$16-360)*((1.25-1)/(720-360))),IF(AND(Control!$B$16&gt;720,Control!$B$16&lt;=1000),(1.25+(Control!$B$16-720)*((1.35-1.25)/(1000-720))),IF(AND(Control!$B$16&gt;1000,Control!$B$16&lt;=2000),(1.35+(Control!$B$16-1000)*0))))))</f>
        <v>#N/A</v>
      </c>
      <c r="GH17" s="162" t="e">
        <f t="shared" ca="1" si="41"/>
        <v>#N/A</v>
      </c>
      <c r="GI17" s="162">
        <f t="shared" ca="1" si="201"/>
        <v>0</v>
      </c>
      <c r="GJ17" s="162">
        <f t="shared" ca="1" si="42"/>
        <v>0</v>
      </c>
      <c r="GK17" s="162">
        <f t="shared" ca="1" si="220"/>
        <v>1</v>
      </c>
      <c r="GL17" s="162">
        <f t="shared" ca="1" si="43"/>
        <v>1</v>
      </c>
      <c r="GM17" s="162" t="e">
        <f ca="1">MAX(0,MIN(1,1-Control!$C$156*(1.0001-$KH17)^2))</f>
        <v>#N/A</v>
      </c>
      <c r="GN17" s="162" t="e">
        <f ca="1">IF(Control!$B$26=1,$KU17,$KX17)</f>
        <v>#N/A</v>
      </c>
      <c r="GO17" s="162" t="e">
        <f ca="1">IF($CP17&lt;=60,Control!$C$105,IF($CP17&gt;=90,Control!$C$106,Control!$C$105+($CP17-60)*((Control!$C$106-Control!$C$105)/(90-60))))</f>
        <v>#N/A</v>
      </c>
      <c r="GP17" s="162" t="e">
        <f t="shared" ca="1" si="154"/>
        <v>#N/A</v>
      </c>
      <c r="GQ17" s="162" t="e">
        <f t="shared" ca="1" si="155"/>
        <v>#N/A</v>
      </c>
      <c r="GR17" s="163" t="e">
        <f t="shared" ca="1" si="44"/>
        <v>#DIV/0!</v>
      </c>
      <c r="GS17" s="162" t="e">
        <f t="shared" ca="1" si="45"/>
        <v>#DIV/0!</v>
      </c>
      <c r="GT17" s="164" t="e">
        <f t="shared" ca="1" si="156"/>
        <v>#N/A</v>
      </c>
      <c r="GU17" s="162" t="e">
        <f t="shared" ca="1" si="157"/>
        <v>#N/A</v>
      </c>
      <c r="GV17" s="162" t="e">
        <f t="shared" ca="1" si="46"/>
        <v>#N/A</v>
      </c>
      <c r="GW17" s="162" t="e">
        <f t="shared" ca="1" si="221"/>
        <v>#DIV/0!</v>
      </c>
      <c r="GX17" s="162" t="e">
        <f t="shared" ca="1" si="228"/>
        <v>#DIV/0!</v>
      </c>
      <c r="GY17" s="162" t="e">
        <f t="shared" ca="1" si="158"/>
        <v>#DIV/0!</v>
      </c>
      <c r="GZ17" s="165" t="e">
        <f t="shared" ca="1" si="159"/>
        <v>#N/A</v>
      </c>
      <c r="HA17" s="162" t="e">
        <f ca="1">IF(Control!$C$114=1, $DI17*$FS17, 0)</f>
        <v>#N/A</v>
      </c>
      <c r="HB17" s="162" t="e">
        <f ca="1">$FA17/Control!$C$64</f>
        <v>#N/A</v>
      </c>
      <c r="HC17" s="162" t="e">
        <f t="shared" ca="1" si="222"/>
        <v>#DIV/0!</v>
      </c>
      <c r="HD17" s="162">
        <f ca="1">-ASIN(SIN(23.45*Control!$C$139)*COS(2*Control!$C$138*($AH17+10)/365))</f>
        <v>-0.37874127067752456</v>
      </c>
      <c r="HE17" s="165">
        <f t="shared" ca="1" si="160"/>
        <v>0</v>
      </c>
      <c r="HF17" s="166">
        <f ca="1">IF(AND(Control!$C$61="T",$HE17&gt;=Control!$C$103,Control!$C$114=0),$AH17,Control!$C$59)</f>
        <v>1</v>
      </c>
      <c r="HG17" s="166">
        <f ca="1">IF(AND(Control!$C$61="T",$HE17&gt;=Control!$C$103,Control!$C$114=0),$HF17,Control!$C$59)</f>
        <v>1</v>
      </c>
      <c r="HH17" s="165">
        <f ca="1">IF(AND(OR(Control!$C$60&lt;=0, $AH17= Control!$C$59, Control!$C$60 &gt;0, $AH17 = Control!$C$60)), Control!$C$59, IF(Control!$C$60&gt;0, 0))</f>
        <v>1</v>
      </c>
      <c r="HI17" s="165">
        <f ca="1">IF(AND(OR(Control!$C$60&lt;=0, $AH17= Control!$C$59, Control!$C$60 &gt;0, $AH17 = Control!$C$60)), Control!$C$60, IF(Control!$C$60&lt;=0, 0))</f>
        <v>0</v>
      </c>
      <c r="HJ17" s="166">
        <f ca="1">IF(AND(Control!$C$62="F",$CV17&gt;=Control!$C$102),$AH17,0)</f>
        <v>0</v>
      </c>
      <c r="HK17" s="165" t="e">
        <f t="shared" ca="1" si="202"/>
        <v>#N/A</v>
      </c>
      <c r="HL17" s="166">
        <f ca="1">IF(AND(Control!$C$61="T",$HE17&gt;=Control!$C$103,Control!$C$114=0),$HF17,0)</f>
        <v>0</v>
      </c>
      <c r="HM17" s="201" t="e">
        <f t="shared" ca="1" si="47"/>
        <v>#DIV/0!</v>
      </c>
      <c r="HN17" s="215">
        <f t="shared" ca="1" si="161"/>
        <v>12</v>
      </c>
      <c r="HO17" s="216" t="e">
        <f ca="1">IF(AND($CP17&gt;=0, $CP17&lt;=90), Control!$C$152, Control!$C$152)</f>
        <v>#N/A</v>
      </c>
      <c r="HP17" s="216" t="e">
        <f t="shared" ca="1" si="48"/>
        <v>#N/A</v>
      </c>
      <c r="HQ17" s="217" t="e">
        <f ca="1">IF(OR(Control!$B$26=1,Control!$B$26=2),$KV17,$KS17)</f>
        <v>#DIV/0!</v>
      </c>
      <c r="HR17" s="218" t="e">
        <f t="shared" ca="1" si="223"/>
        <v>#DIV/0!</v>
      </c>
      <c r="HS17" s="216" t="e">
        <f ca="1">Control!$C$154*$HP17</f>
        <v>#N/A</v>
      </c>
      <c r="HT17" s="216" t="e">
        <f ca="1">Control!$C$155*$HP17</f>
        <v>#N/A</v>
      </c>
      <c r="HU17" s="217" t="e">
        <f ca="1">Control!$C$161*$FI17</f>
        <v>#N/A</v>
      </c>
      <c r="HV17" s="218" t="e">
        <f t="shared" ca="1" si="162"/>
        <v>#N/A</v>
      </c>
      <c r="HW17" s="218" t="e">
        <f ca="1">Control!$C$160*$FF17+$IP17*$EO17</f>
        <v>#N/A</v>
      </c>
      <c r="HX17" s="218" t="e">
        <f t="shared" ca="1" si="203"/>
        <v>#N/A</v>
      </c>
      <c r="HY17" s="219" t="e">
        <f ca="1">IF(Control!$C$114=1, $EB17*$FS17, 0)</f>
        <v>#N/A</v>
      </c>
      <c r="HZ17" s="91" t="e">
        <f t="shared" ca="1" si="49"/>
        <v>#N/A</v>
      </c>
      <c r="IA17" s="220" t="e">
        <f ca="1">Control!$C$153*$HO17</f>
        <v>#N/A</v>
      </c>
      <c r="IB17" s="218" t="e">
        <f t="shared" ca="1" si="50"/>
        <v>#N/A</v>
      </c>
      <c r="IC17" s="220" t="e">
        <f ca="1">Control!$C$153*$HT17</f>
        <v>#N/A</v>
      </c>
      <c r="ID17" s="218" t="e">
        <f t="shared" ca="1" si="51"/>
        <v>#N/A</v>
      </c>
      <c r="IE17" s="221" t="e">
        <f ca="1">($EB17*Control!$C$159+$EF17*Control!$C$160)/(IF($GZ17&lt;&gt;0,$GZ17,1))</f>
        <v>#N/A</v>
      </c>
      <c r="IF17" s="216" t="e">
        <f t="shared" ca="1" si="52"/>
        <v>#N/A</v>
      </c>
      <c r="IG17" s="91">
        <f ca="1">IF(OR(Control!$B$198=$AH17,Control!$B$199=$AH17, Control!$B$200=$AH17, Control!$B$201=$AH17, Control!$B$202=$AH17, Control!$B$203=$AH17, Control!$B$204=$AH17, Control!$B$205=$AH17, Control!$B$206=$AH17, Control!$B$207=$AH17), 1, 0)</f>
        <v>0</v>
      </c>
      <c r="IH17" s="91">
        <f ca="1">IF($IG17=0,0, VLOOKUP($AH17,Control!$B$198:$C$207,2))</f>
        <v>0</v>
      </c>
      <c r="II17" s="222">
        <f t="shared" ca="1" si="163"/>
        <v>0</v>
      </c>
      <c r="IJ17" s="91">
        <f>Control!$C$121</f>
        <v>0.7</v>
      </c>
      <c r="IK17" s="218">
        <f t="shared" ca="1" si="53"/>
        <v>0</v>
      </c>
      <c r="IL17" s="217" t="e">
        <f t="shared" ca="1" si="204"/>
        <v>#N/A</v>
      </c>
      <c r="IM17" s="223" t="e">
        <f ca="1">IF(AND(Control!$C$114=1,$KH17&lt;1),$EB17*Control!$C$148*(1-$KH17), 0)</f>
        <v>#N/A</v>
      </c>
      <c r="IN17" s="217" t="e">
        <f t="shared" ca="1" si="54"/>
        <v>#DIV/0!</v>
      </c>
      <c r="IO17" s="91" t="e">
        <f ca="1">MAX(0,$IL17-$EF17*Control!$C$160)</f>
        <v>#N/A</v>
      </c>
      <c r="IP17" s="220" t="e">
        <f t="shared" ca="1" si="55"/>
        <v>#N/A</v>
      </c>
      <c r="IQ17" s="217" t="e">
        <f t="shared" ca="1" si="164"/>
        <v>#N/A</v>
      </c>
      <c r="IR17" s="218" t="e">
        <f t="shared" ca="1" si="56"/>
        <v>#N/A</v>
      </c>
      <c r="IS17" s="217" t="e">
        <f ca="1">Control!$C$159*MAX(0,$FD17-$EN17)</f>
        <v>#N/A</v>
      </c>
      <c r="IT17" s="217" t="e">
        <f t="shared" ca="1" si="205"/>
        <v>#N/A</v>
      </c>
      <c r="IU17" s="217" t="e">
        <f t="shared" ca="1" si="165"/>
        <v>#N/A</v>
      </c>
      <c r="IV17" s="217" t="e">
        <f t="shared" ca="1" si="206"/>
        <v>#N/A</v>
      </c>
      <c r="IW17" s="217" t="e">
        <f ca="1">IF(OR($AW17=1,AND($AW17=0, Control!$B$18=1,$EN17&lt;&gt;0)), $IQ17-$IU17, $IQ17)</f>
        <v>#N/A</v>
      </c>
      <c r="IX17" s="218" t="e">
        <f t="shared" ca="1" si="57"/>
        <v>#N/A</v>
      </c>
      <c r="IY17" s="218" t="e">
        <f ca="1">MAX(0,$IQ17-$EB17*Control!$C$159)</f>
        <v>#N/A</v>
      </c>
      <c r="IZ17" s="218" t="e">
        <f t="shared" ca="1" si="58"/>
        <v>#N/A</v>
      </c>
      <c r="JA17" s="216" t="e">
        <f t="shared" ca="1" si="59"/>
        <v>#N/A</v>
      </c>
      <c r="JB17" s="217" t="e">
        <f t="shared" ca="1" si="60"/>
        <v>#N/A</v>
      </c>
      <c r="JC17" s="222" t="e">
        <f ca="1">MAX(Control!$C$157*$EK17-$JT17, 0)/Control!$C$162</f>
        <v>#N/A</v>
      </c>
      <c r="JD17" s="218" t="e">
        <f t="shared" ca="1" si="61"/>
        <v>#N/A</v>
      </c>
      <c r="JE17" s="218" t="e">
        <f t="shared" ca="1" si="62"/>
        <v>#N/A</v>
      </c>
      <c r="JF17" s="218" t="e">
        <f t="shared" ca="1" si="207"/>
        <v>#N/A</v>
      </c>
      <c r="JG17" s="218" t="e">
        <f t="shared" ca="1" si="63"/>
        <v>#N/A</v>
      </c>
      <c r="JH17" s="217" t="e">
        <f t="shared" ca="1" si="166"/>
        <v>#N/A</v>
      </c>
      <c r="JI17" s="217" t="e">
        <f t="shared" ca="1" si="167"/>
        <v>#N/A</v>
      </c>
      <c r="JJ17" s="217" t="e">
        <f t="shared" ca="1" si="224"/>
        <v>#N/A</v>
      </c>
      <c r="JK17" s="217" t="e">
        <f ca="1">IF(Control!$C$114=1,IF(Control!$B$24=0,MAX(0,$JI17)*$GN17/Control!$C$64,(MAX(0,MIN($JI17,$JJ17*$GN17/Control!$C$64),0))))</f>
        <v>#N/A</v>
      </c>
      <c r="JL17" s="217" t="e">
        <f ca="1">$IK17/Control!$C$64-$JK17+$HQ17</f>
        <v>#N/A</v>
      </c>
      <c r="JM17" s="217" t="e">
        <f ca="1">IF(Control!$C$114=1,($JB17/(IF($JI17&lt;&gt;0,$JI17,1)))*$JK17,0)</f>
        <v>#N/A</v>
      </c>
      <c r="JN17" s="217" t="e">
        <f ca="1">IF(Control!$C$114=1,($JG17/(IF($JI17&lt;&gt;0,$JI17,1)))*$JK17, 0)</f>
        <v>#N/A</v>
      </c>
      <c r="JO17" s="218" t="e">
        <f t="shared" ca="1" si="64"/>
        <v>#N/A</v>
      </c>
      <c r="JP17" s="218" t="e">
        <f ca="1">MIN(($IY17+$IO17)*Control!$C$151, $JF17-$EH17*Control!$C$161)</f>
        <v>#N/A</v>
      </c>
      <c r="JQ17" s="218" t="e">
        <f t="shared" ca="1" si="65"/>
        <v>#N/A</v>
      </c>
      <c r="JR17" s="217" t="e">
        <f ca="1">IF($CP17-Control!$C$150&lt;0, 0, $JQ17/Control!$C$162)</f>
        <v>#N/A</v>
      </c>
      <c r="JS17" s="218" t="e">
        <f t="shared" ca="1" si="66"/>
        <v>#N/A</v>
      </c>
      <c r="JT17" s="218" t="e">
        <f t="shared" ca="1" si="168"/>
        <v>#N/A</v>
      </c>
      <c r="JU17" s="218" t="e">
        <f t="shared" ca="1" si="67"/>
        <v>#N/A</v>
      </c>
      <c r="JV17" s="218" t="e">
        <f t="shared" ca="1" si="68"/>
        <v>#N/A</v>
      </c>
      <c r="JW17" s="216" t="e">
        <f t="shared" ca="1" si="69"/>
        <v>#N/A</v>
      </c>
      <c r="JX17" s="91" t="e">
        <f t="shared" ca="1" si="70"/>
        <v>#N/A</v>
      </c>
      <c r="JY17" s="218" t="e">
        <f t="shared" ca="1" si="71"/>
        <v>#N/A</v>
      </c>
      <c r="JZ17" s="217" t="e">
        <f ca="1">IF(Control!$C$114=1,($IZ17/(IF($JI17&lt;&gt;0,$JI17,1)))*$JK17, 0)</f>
        <v>#N/A</v>
      </c>
      <c r="KA17" s="218" t="e">
        <f t="shared" ca="1" si="225"/>
        <v>#N/A</v>
      </c>
      <c r="KB17" s="218" t="e">
        <f t="shared" ca="1" si="169"/>
        <v>#N/A</v>
      </c>
      <c r="KC17" s="218" t="e">
        <f t="shared" ca="1" si="72"/>
        <v>#N/A</v>
      </c>
      <c r="KD17" s="218" t="e">
        <f t="shared" ca="1" si="73"/>
        <v>#N/A</v>
      </c>
      <c r="KE17" s="218" t="e">
        <f t="shared" ca="1" si="74"/>
        <v>#N/A</v>
      </c>
      <c r="KF17" s="218" t="e">
        <f t="shared" ca="1" si="75"/>
        <v>#N/A</v>
      </c>
      <c r="KG17" s="216" t="e">
        <f t="shared" ca="1" si="76"/>
        <v>#N/A</v>
      </c>
      <c r="KH17" s="221" t="e">
        <f ca="1">IF(Control!$B$24=0,1,MAX(0.001,MIN(1,IF(($IF17-$IE17)&lt;&gt;0,($KG17-$IE17)/($IF17-$IE17),1))))</f>
        <v>#N/A</v>
      </c>
      <c r="KI17" s="222" t="e">
        <f ca="1">IF(Control!$C$114=1, $KI16+ $KH16, 0)</f>
        <v>#N/A</v>
      </c>
      <c r="KJ17" s="217" t="e">
        <f t="shared" ca="1" si="77"/>
        <v>#N/A</v>
      </c>
      <c r="KK17" s="218" t="e">
        <f t="shared" ca="1" si="78"/>
        <v>#N/A</v>
      </c>
      <c r="KL17" s="274" t="e">
        <f ca="1">IF(Control!$B$26=3,4000000000*EXP(-8400/($G17+273)),IF(Control!$B$26=4,4000000000*EXP(-8400/($G17+273))*($KT17),0))</f>
        <v>#DIV/0!</v>
      </c>
      <c r="KM17" s="274" t="e">
        <f ca="1">IF(Control!$B$26=3,5600000000000*EXP(-9800/($G17+273)),IF(Control!$B$26=4,5600000000000*EXP(-9800/($G17+273))*$KT17,0))</f>
        <v>#DIV/0!</v>
      </c>
      <c r="KN17" s="454" t="e">
        <f t="shared" ca="1" si="170"/>
        <v>#DIV/0!</v>
      </c>
      <c r="KO17" s="274" t="e">
        <f t="shared" ca="1" si="171"/>
        <v>#DIV/0!</v>
      </c>
      <c r="KP17" s="454" t="e">
        <f t="shared" ca="1" si="79"/>
        <v>#DIV/0!</v>
      </c>
      <c r="KQ17" s="454" t="e">
        <f t="shared" ca="1" si="80"/>
        <v>#DIV/0!</v>
      </c>
      <c r="KR17" s="454" t="e">
        <f t="shared" ca="1" si="81"/>
        <v>#DIV/0!</v>
      </c>
      <c r="KS17" s="454" t="e">
        <f t="shared" ca="1" si="82"/>
        <v>#DIV/0!</v>
      </c>
      <c r="KT17" s="455" t="e">
        <f t="shared" ca="1" si="83"/>
        <v>#DIV/0!</v>
      </c>
      <c r="KU17" s="456" t="e">
        <f ca="1">IF($CP17-Control!$C$149&lt;0, IF($NT17-0.01&lt;0,0,1),0)</f>
        <v>#N/A</v>
      </c>
      <c r="KV17" s="456" t="e">
        <f ca="1">IF(Control!$C$114=1,MAX(0,MIN(Control!$C$125*$KW17*$GN17,$KW17)))</f>
        <v>#DIV/0!</v>
      </c>
      <c r="KW17" s="456" t="e">
        <f t="shared" ca="1" si="208"/>
        <v>#DIV/0!</v>
      </c>
      <c r="KX17" s="457" t="e">
        <f ca="1">IF($CP17-Control!$C$149&lt;0, IF($MR17-$OM17&lt;0,0,1),0)</f>
        <v>#N/A</v>
      </c>
      <c r="KY17" s="167">
        <f t="shared" ca="1" si="172"/>
        <v>12</v>
      </c>
      <c r="KZ17" s="168">
        <f ca="1">1370*(1+0.033*COS(2*Control!$C$138*$AH17/365))</f>
        <v>1414.24883453607</v>
      </c>
      <c r="LA17" s="169">
        <f t="shared" ca="1" si="173"/>
        <v>1.0322984226389083</v>
      </c>
      <c r="LB17" s="169">
        <f t="shared" ca="1" si="174"/>
        <v>-0.37869594798822787</v>
      </c>
      <c r="LC17" s="169">
        <f ca="1">ACOS(-TAN((2*Control!$B$8/360))*TAN(Calculations!$LB17))</f>
        <v>1.4522613940542177</v>
      </c>
      <c r="LD17" s="169">
        <f ca="1">((24*60)/PI())*0.082*$LA17*(($LC17*SIN(Control!$B$8*2*PI()/360))*SIN($LB17)+COS(Control!$B$8*2*PI()/360)*COS($LB17)*SIN($LC17))</f>
        <v>5.6233648435577042</v>
      </c>
      <c r="LE17" s="170">
        <f t="shared" ca="1" si="84"/>
        <v>7.1429463321269893</v>
      </c>
      <c r="LF17" s="170">
        <f ca="1">SIN(Control!$C$139*Control!$B$8)*SIN($HD17)</f>
        <v>-0.29136843519683964</v>
      </c>
      <c r="LG17" s="170">
        <f ca="1">COS(Control!$C$139*Control!$B$8)*COS($HD17)</f>
        <v>0.57202847798376655</v>
      </c>
      <c r="LH17" s="170">
        <f ca="1">12*(1+2*ASIN(MAX(-1,MIN(1,$LF17/$LG17))/Control!$C$138))</f>
        <v>8.0915319883384598</v>
      </c>
      <c r="LI17" s="170">
        <f ca="1">12*(1+2*ASIN(MAX(-1,MIN(1,(-SIN(-4*Control!$C$139)+$LF17)/$LG17))/Control!$C$138))</f>
        <v>9.0328294928138817</v>
      </c>
      <c r="LJ17" s="168">
        <f ca="1">3600*($LH17*$LF17+24*$LG17*SQRT(1-$LK17*$LK17)/Control!$C$138)</f>
        <v>5050.6998186568489</v>
      </c>
      <c r="LK17" s="170">
        <f t="shared" ca="1" si="85"/>
        <v>-0.50936001687158716</v>
      </c>
      <c r="LL17" s="170">
        <f t="shared" ca="1" si="86"/>
        <v>0</v>
      </c>
      <c r="LM17" s="171">
        <f ca="1">Control!$C$145*$AB17</f>
        <v>6.6660906138995932E-2</v>
      </c>
      <c r="LN17" s="170">
        <f t="shared" ca="1" si="175"/>
        <v>0.54</v>
      </c>
      <c r="LO17" s="170">
        <f t="shared" ca="1" si="87"/>
        <v>0</v>
      </c>
      <c r="LP17" s="170">
        <f ca="1">Control!$C$140*((($D17+273.16)^4+($E17+273.16)^4)/2)*(0.34-0.14*SQRT($Y17))*(1.35*$AQ17/(0.75*$LD17)-0.35)</f>
        <v>-3.2464704755046001</v>
      </c>
      <c r="LQ17" s="170">
        <f ca="1">Control!$C$140*($G17+273)^4*(0.56-0.079*SQRT($Y17*10))*(0.1+0.9*$LO17)</f>
        <v>1.5241745131704001</v>
      </c>
      <c r="LR17" s="170">
        <f ca="1">$AQ17*(1-Control!$C$142)-$LQ17</f>
        <v>-1.5241745131704001</v>
      </c>
      <c r="LS17" s="170">
        <f ca="1">$AQ17*(1-Control!$C$143)-$LQ17</f>
        <v>-1.5241745131704001</v>
      </c>
      <c r="LT17" s="170">
        <f ca="1">$AQ17*(1-Control!$C$144)-$LQ17</f>
        <v>-1.5241745131704001</v>
      </c>
      <c r="LU17" s="169">
        <f ca="1">(1-Control!$C$144)*AQ17-LP17</f>
        <v>3.2464704755046001</v>
      </c>
      <c r="LV17" s="172">
        <f t="shared" ca="1" si="88"/>
        <v>0.79430000000000012</v>
      </c>
      <c r="LW17" s="170">
        <f t="shared" ca="1" si="89"/>
        <v>1.5886000000000002</v>
      </c>
      <c r="LX17" s="170">
        <f ca="1">($AC17*($LR17/Control!$C$141)+$LM17*$LV17)/($AC17+$LM17)</f>
        <v>0.23530094218323697</v>
      </c>
      <c r="LY17" s="170">
        <f ca="1">($AC17*($LS17/Control!$C$141)+$LM17*$LV17)/($AC17+$LM17)</f>
        <v>0.23530094218323697</v>
      </c>
      <c r="LZ17" s="170">
        <f t="shared" ca="1" si="90"/>
        <v>0.23530094218323697</v>
      </c>
      <c r="MA17" s="170">
        <f t="shared" ca="1" si="91"/>
        <v>0.23530094218323697</v>
      </c>
      <c r="MB17" s="170" t="e">
        <f t="shared" ca="1" si="92"/>
        <v>#N/A</v>
      </c>
      <c r="MC17" s="170">
        <f t="shared" ca="1" si="176"/>
        <v>0.6018</v>
      </c>
      <c r="MD17" s="170">
        <f t="shared" ca="1" si="93"/>
        <v>0.52989392535414004</v>
      </c>
      <c r="ME17" s="170">
        <f ca="1">($AC17*($LT17/Control!$C$141)+$LM17*$LW17)/($AC17+$LM17)</f>
        <v>0.71612369323045078</v>
      </c>
      <c r="MF17" s="170" t="e">
        <f ca="1">IF(Control!$B$16&gt;=1000,0.92,IF(AND(720&lt;=Control!$B$16,1000&gt;Control!$B$16),(0.95+(Control!$B$16-720)*((0.92-0.95)/(1000-720))),IF(AND(360&lt;=Control!$B$16,720&gt;Control!$B$16),(1+(Control!$B$16-360)*((0.95-1)/(720-360))),IF(AND(40&lt;=Control!$B$16,360&gt;Control!$B$16),(1.05+(Control!$B$16-40)*((1.05-1)/(360-40)))))))</f>
        <v>#N/A</v>
      </c>
      <c r="MG17" s="170">
        <f t="shared" ca="1" si="94"/>
        <v>0.71612369323045078</v>
      </c>
      <c r="MH17" s="170" t="e">
        <f t="shared" ca="1" si="95"/>
        <v>#N/A</v>
      </c>
      <c r="MI17" s="170" t="e">
        <f t="shared" ca="1" si="95"/>
        <v>#N/A</v>
      </c>
      <c r="MJ17" s="170" t="e">
        <f ca="1">MAX(0.0001, Control!$C$132*$MI17*$DL17)</f>
        <v>#N/A</v>
      </c>
      <c r="MK17" s="170">
        <f ca="1">1/(0.76+1.5*($MG17/10))-(5-Control!$C$110)*0.1</f>
        <v>1.002845988140797</v>
      </c>
      <c r="ML17" s="173">
        <f ca="1">IF(Control!$C$110&lt;3,$MK17+($MG17-0.6)/(Control!$C$110*(Control!$C$110+3)), MAX(0.1, MIN(0.95,$MK17)))</f>
        <v>0.95</v>
      </c>
      <c r="MM17" s="173">
        <f ca="1">IF(Control!$C$110&lt;3,$MK17+(($MI17/10)-0.6)/(Control!$C$110*(Control!$C$110+3)), MAX(0.1, MIN(0.95,$MK17)))</f>
        <v>0.95</v>
      </c>
      <c r="MN17" s="173">
        <f ca="1">(1-$MM17)*(Control!$C$128-Control!$C$127)+Control!$C$127</f>
        <v>0.16</v>
      </c>
      <c r="MO17" s="170" t="e">
        <f ca="1">MAX(0,MIN(1,($MS17-Control!$C$127)/($MN17-Control!$C$127)))</f>
        <v>#DIV/0!</v>
      </c>
      <c r="MP17" s="173" t="e">
        <f ca="1">1/(0.76+1.5*$MI17)-(5-Control!$C$110)*0.1</f>
        <v>#N/A</v>
      </c>
      <c r="MQ17" s="172" t="e">
        <f t="shared" ca="1" si="209"/>
        <v>#DIV/0!</v>
      </c>
      <c r="MR17" s="168" t="e">
        <f t="shared" ca="1" si="226"/>
        <v>#DIV/0!</v>
      </c>
      <c r="MS17" s="173" t="e">
        <f ca="1">MAX(Control!$C$127, MIN(Control!$C$135, $MR17/MAX(0.0001,$CY17)))</f>
        <v>#DIV/0!</v>
      </c>
      <c r="MT17" s="168" t="e">
        <f ca="1">(Control!$C$128-$MS17)*Control!$C$74</f>
        <v>#DIV/0!</v>
      </c>
      <c r="MU17" s="168" t="e">
        <f ca="1">(Control!$C$135-$MS17)*Control!$C$74</f>
        <v>#DIV/0!</v>
      </c>
      <c r="MV17" s="168" t="e">
        <f t="shared" ca="1" si="210"/>
        <v>#DIV/0!</v>
      </c>
      <c r="MW17" s="168" t="e">
        <f t="shared" ca="1" si="177"/>
        <v>#DIV/0!</v>
      </c>
      <c r="MX17" s="171" t="e">
        <f ca="1">MAX(Control!$C$127, MIN(Control!$C$135, $MW17/MAX(0.0001,Control!$C$119-$CY17)))</f>
        <v>#DIV/0!</v>
      </c>
      <c r="MY17" s="54" t="e">
        <f ca="1">IF(Control!$C$114=1, $CX17*$MX17, 0)</f>
        <v>#DIV/0!</v>
      </c>
      <c r="MZ17" s="54" t="e">
        <f t="shared" ca="1" si="178"/>
        <v>#N/A</v>
      </c>
      <c r="NA17" s="168" t="e">
        <f ca="1">(Control!$C$128-$MX17)*(Control!$C$119-Control!$C$74)</f>
        <v>#DIV/0!</v>
      </c>
      <c r="NB17" s="168" t="e">
        <f ca="1">(Control!$C$135-$MX17)*(Control!$C$119-Control!$C$74)</f>
        <v>#DIV/0!</v>
      </c>
      <c r="NC17" s="174" t="e">
        <f t="shared" ca="1" si="179"/>
        <v>#DIV/0!</v>
      </c>
      <c r="ND17" s="54">
        <f ca="1">IF(Control!$C$58=2, IF(OR(Control!$B$218=$AH17,Control!$B$219=$AH17, Control!$B$220=$AH17, Control!$B$221=$AH17, Control!$B$222=$AH17, Control!$B$223=$AH17, Control!$B$224=$AH17, Control!$B$225=$AH17, Control!$B$226=$AH17, Control!$B$227=$AH17, Control!$B$228=$AH17), 1, 0), 0)</f>
        <v>0</v>
      </c>
      <c r="NE17" s="54">
        <f ca="1">IF($ND17=0,0, VLOOKUP($AH17,Control!$B$218:$C$228,2))</f>
        <v>0</v>
      </c>
      <c r="NF17" s="168" t="e">
        <f ca="1">$CY17*(Control!$C$128-Control!$C$127)</f>
        <v>#N/A</v>
      </c>
      <c r="NG17" s="54" t="e">
        <f ca="1">IF(Control!$C$58=2, $NI16-$NJ16, 0)</f>
        <v>#DIV/0!</v>
      </c>
      <c r="NH17" s="54" t="e">
        <f ca="1">IF(AND(Control!$C$58=1, $MS16&lt;= ($MN16+0.02), $I16&lt;10), 0, IF(Control!$C$58=2, $NG16, 0))</f>
        <v>#DIV/0!</v>
      </c>
      <c r="NI17" s="54" t="e">
        <f ca="1">IF(Control!$C$58=2, $NE17+$NH17,0)</f>
        <v>#DIV/0!</v>
      </c>
      <c r="NJ17" s="54" t="e">
        <f ca="1">IF(AND(Control!$C$58=1, $MS17&lt;= ($MN17+0.02), $I17&lt;10), MAX(0, MIN(10, 0.7*($NF17-$MV17))), IF(Control!$C$58=2, MIN(10,$NI17),0))</f>
        <v>#DIV/0!</v>
      </c>
      <c r="NK17" s="54" t="e">
        <f t="shared" ca="1" si="96"/>
        <v>#DIV/0!</v>
      </c>
      <c r="NL17" s="173" t="e">
        <f ca="1">(1-Control!$C$73)*$I17+$NJ17</f>
        <v>#DIV/0!</v>
      </c>
      <c r="NM17" s="172" t="e">
        <f ca="1">IF($NL17&lt;0.5, $MB17* MAX(0, MIN(1, (SQRT($NC17)-SQRT($NC17-1))*Control!$C$71)),0)</f>
        <v>#DIV/0!</v>
      </c>
      <c r="NN17" s="170" t="e">
        <f ca="1">IF($NL17&gt;=5, $MB17, MAX(0,MIN($MB17, $NM17+$NL17,($MS17-Control!$C$129))))</f>
        <v>#DIV/0!</v>
      </c>
      <c r="NO17" s="54">
        <f>IF(Control!$C$133&lt;&gt;1, Control!$C$135-Control!$C$131, 0)</f>
        <v>0.38</v>
      </c>
      <c r="NP17" s="54" t="e">
        <f t="shared" ca="1" si="97"/>
        <v>#DIV/0!</v>
      </c>
      <c r="NQ17" s="173" t="e">
        <f ca="1">MAX(0,MIN(1,(Control!$C$135-$MS17)/(Control!$C$135-$NO17)))</f>
        <v>#DIV/0!</v>
      </c>
      <c r="NR17" s="170" t="e">
        <f ca="1">IF(Control!$C$133&lt;&gt;1, $NQ17+((1-$NP17/4)*(1-$NQ17)),1)</f>
        <v>#DIV/0!</v>
      </c>
      <c r="NS17" s="170" t="e">
        <f ca="1">IF(Control!$B$31=0,$MJ17,MAX(0,MIN($MV17,$MO17*$NR17*$MJ17)))</f>
        <v>#DIV/0!</v>
      </c>
      <c r="NT17" s="170" t="e">
        <f t="shared" ca="1" si="227"/>
        <v>#DIV/0!</v>
      </c>
      <c r="NU17" s="170" t="e">
        <f t="shared" ca="1" si="180"/>
        <v>#N/A</v>
      </c>
      <c r="NV17" s="170" t="e">
        <f t="shared" ca="1" si="98"/>
        <v>#N/A</v>
      </c>
      <c r="NW17" s="175" t="e">
        <f t="shared" ca="1" si="99"/>
        <v>#DIV/0!</v>
      </c>
      <c r="NX17" s="170" t="e">
        <f ca="1">MIN(Control!$C$72+$MU17, $NW17)</f>
        <v>#DIV/0!</v>
      </c>
      <c r="NY17" s="170" t="e">
        <f ca="1">IF($MT17&lt;=$NX17,MIN(Control!$C$72+$NB17,$NX17-$MT17),0)</f>
        <v>#DIV/0!</v>
      </c>
      <c r="NZ17" s="54" t="e">
        <f ca="1">IF(Control!$C$114=1,  $CX17*($MX17-Control!$C$127), 0)</f>
        <v>#DIV/0!</v>
      </c>
      <c r="OA17" s="170" t="e">
        <f t="shared" ca="1" si="181"/>
        <v>#DIV/0!</v>
      </c>
      <c r="OB17" s="170" t="e">
        <f ca="1">IF($NA17 &lt;=$NY17, MIN(Control!$C$72, $NY17-$NA17), 0)</f>
        <v>#DIV/0!</v>
      </c>
      <c r="OC17" s="168" t="e">
        <f t="shared" ca="1" si="100"/>
        <v>#DIV/0!</v>
      </c>
      <c r="OD17" s="168" t="e">
        <f t="shared" ca="1" si="182"/>
        <v>#DIV/0!</v>
      </c>
      <c r="OE17" s="170">
        <f ca="1">Control!$C$73*$I17</f>
        <v>0</v>
      </c>
      <c r="OF17" s="176" t="e">
        <f t="shared" ca="1" si="101"/>
        <v>#DIV/0!</v>
      </c>
      <c r="OG17" s="168" t="e">
        <f t="shared" ca="1" si="102"/>
        <v>#DIV/0!</v>
      </c>
      <c r="OH17" s="168" t="e">
        <f t="shared" ca="1" si="103"/>
        <v>#DIV/0!</v>
      </c>
      <c r="OI17" s="168" t="e">
        <f t="shared" ca="1" si="104"/>
        <v>#DIV/0!</v>
      </c>
      <c r="OJ17" s="168" t="e">
        <f t="shared" ca="1" si="105"/>
        <v>#DIV/0!</v>
      </c>
      <c r="OK17" s="204" t="e">
        <f t="shared" ca="1" si="183"/>
        <v>#DIV/0!</v>
      </c>
      <c r="OL17" s="177">
        <f>Control!$C$127</f>
        <v>0.15</v>
      </c>
      <c r="OM17" s="182" t="e">
        <f t="shared" ca="1" si="106"/>
        <v>#N/A</v>
      </c>
      <c r="ON17" s="177">
        <f>Control!$C$128</f>
        <v>0.35</v>
      </c>
      <c r="OO17" s="182" t="e">
        <f t="shared" ca="1" si="107"/>
        <v>#N/A</v>
      </c>
      <c r="OP17" s="138">
        <f t="shared" ca="1" si="184"/>
        <v>0</v>
      </c>
      <c r="OQ17" s="138" t="e">
        <f t="shared" ca="1" si="211"/>
        <v>#DIV/0!</v>
      </c>
      <c r="OR17" s="138" t="e">
        <f t="shared" ca="1" si="185"/>
        <v>#DIV/0!</v>
      </c>
      <c r="OS17" s="137" t="e">
        <f t="shared" ca="1" si="212"/>
        <v>#DIV/0!</v>
      </c>
      <c r="OT17" s="139" t="e">
        <f t="shared" ca="1" si="213"/>
        <v>#DIV/0!</v>
      </c>
      <c r="OU17" s="138" t="e">
        <f t="shared" ca="1" si="214"/>
        <v>#N/A</v>
      </c>
      <c r="OV17" s="138" t="e">
        <f t="shared" ca="1" si="215"/>
        <v>#DIV/0!</v>
      </c>
      <c r="OW17" s="138" t="e">
        <f t="shared" ca="1" si="186"/>
        <v>#DIV/0!</v>
      </c>
      <c r="OX17" s="138" t="e">
        <f t="shared" ca="1" si="187"/>
        <v>#DIV/0!</v>
      </c>
      <c r="OY17" s="138" t="e">
        <f t="shared" ca="1" si="188"/>
        <v>#DIV/0!</v>
      </c>
      <c r="OZ17" s="138" t="e">
        <f t="shared" ca="1" si="108"/>
        <v>#DIV/0!</v>
      </c>
      <c r="PA17" s="138" t="e">
        <f t="shared" ca="1" si="109"/>
        <v>#DIV/0!</v>
      </c>
      <c r="PB17" s="55">
        <f>IF(Control!$C$61="T", IF(Control!$C$65="F", IF($AH$6-Control!$C$60&lt;0,0,1), IF(365+$AH$6-Control!$C$60&lt;0,0,1)),0)</f>
        <v>0</v>
      </c>
      <c r="PC17" s="55">
        <f ca="1">IF(Control!$C$65="F", IF($AH$6-$HF17&lt;0,0,1), IF(365+$AH$6-$HF17&lt;0,0,1))</f>
        <v>1</v>
      </c>
      <c r="PD17" s="444">
        <f>Control!$C$118</f>
        <v>1500</v>
      </c>
      <c r="PE17" s="180" t="e">
        <f t="shared" ca="1" si="110"/>
        <v>#N/A</v>
      </c>
      <c r="PF17" s="445">
        <f t="shared" ca="1" si="189"/>
        <v>0.71612369323045078</v>
      </c>
      <c r="PT17" s="186"/>
      <c r="PU17" s="186"/>
      <c r="PV17" s="94"/>
      <c r="PW17" s="94"/>
      <c r="PX17" s="94"/>
      <c r="PY17" s="94"/>
      <c r="PZ17" s="94"/>
      <c r="QA17" s="94"/>
      <c r="QB17" s="94"/>
      <c r="QC17" s="94"/>
      <c r="QD17" s="94"/>
      <c r="QE17" s="94"/>
      <c r="QF17" s="94"/>
      <c r="QG17" s="94"/>
      <c r="QH17" s="94"/>
      <c r="QI17" s="94"/>
      <c r="QJ17" s="94"/>
      <c r="QK17" s="94"/>
      <c r="QL17" s="94"/>
      <c r="QM17" s="94"/>
      <c r="QN17" s="94"/>
      <c r="QO17" s="94"/>
      <c r="QP17" s="94"/>
    </row>
    <row r="18" spans="1:458" s="2" customFormat="1" x14ac:dyDescent="0.2">
      <c r="A18" s="386">
        <v>13</v>
      </c>
      <c r="B18" s="387">
        <v>1</v>
      </c>
      <c r="C18" s="387">
        <f ca="1">Weather_data!$B17</f>
        <v>0</v>
      </c>
      <c r="D18" s="388">
        <f ca="1">Weather_data!$F17</f>
        <v>0</v>
      </c>
      <c r="E18" s="388">
        <f ca="1">Weather_data!$E17</f>
        <v>0</v>
      </c>
      <c r="F18" s="388">
        <f t="shared" ca="1" si="111"/>
        <v>0</v>
      </c>
      <c r="G18" s="388">
        <f ca="1">AVERAGE($D18:$E18)+Control!$B$9</f>
        <v>0</v>
      </c>
      <c r="H18" s="388">
        <f ca="1">Weather_data!$G17</f>
        <v>0</v>
      </c>
      <c r="I18" s="388">
        <f ca="1">Weather_data!$I17</f>
        <v>0</v>
      </c>
      <c r="J18" s="388">
        <f ca="1">Weather_data!$H17</f>
        <v>0</v>
      </c>
      <c r="K18" s="389">
        <f ca="1">Weather_data!$D17</f>
        <v>0</v>
      </c>
      <c r="L18" s="388" t="e">
        <f t="shared" ca="1" si="112"/>
        <v>#N/A</v>
      </c>
      <c r="M18" s="388" t="e">
        <f t="shared" ca="1" si="0"/>
        <v>#N/A</v>
      </c>
      <c r="N18" s="388">
        <f t="shared" ca="1" si="1"/>
        <v>-0.14121476824049997</v>
      </c>
      <c r="O18" s="388">
        <f t="shared" ca="1" si="113"/>
        <v>1.4121476824049997</v>
      </c>
      <c r="P18" s="390">
        <v>3</v>
      </c>
      <c r="Q18" s="388">
        <f ca="1">MAX($G18-Control!$C$107,0)</f>
        <v>0</v>
      </c>
      <c r="R18" s="388">
        <f t="shared" ca="1" si="114"/>
        <v>0</v>
      </c>
      <c r="S18" s="388">
        <f t="shared" ca="1" si="2"/>
        <v>0</v>
      </c>
      <c r="T18" s="388">
        <f t="shared" ca="1" si="3"/>
        <v>0</v>
      </c>
      <c r="U18" s="59">
        <f t="shared" ca="1" si="4"/>
        <v>0</v>
      </c>
      <c r="V18" s="391">
        <f ca="1">MAX(0,MIN(Control!$C$100-Control!$C$99,$G18-Control!$C$99)*Control!$C$63)</f>
        <v>0</v>
      </c>
      <c r="W18" s="388">
        <f t="shared" ca="1" si="190"/>
        <v>0</v>
      </c>
      <c r="X18" s="388">
        <f t="shared" ca="1" si="115"/>
        <v>0.6110000000000001</v>
      </c>
      <c r="Y18" s="388">
        <f t="shared" ca="1" si="116"/>
        <v>0</v>
      </c>
      <c r="Z18" s="388">
        <f t="shared" ca="1" si="117"/>
        <v>0.61058800000000002</v>
      </c>
      <c r="AA18" s="388">
        <f t="shared" ca="1" si="5"/>
        <v>0.6018</v>
      </c>
      <c r="AB18" s="388">
        <f ca="1">101.3*EXP(-0.034*Control!$C$66/($G18+273))</f>
        <v>100.69623283836242</v>
      </c>
      <c r="AC18" s="392">
        <f t="shared" ca="1" si="6"/>
        <v>4.3460251046025113E-2</v>
      </c>
      <c r="AD18" s="392">
        <f t="shared" ca="1" si="7"/>
        <v>4.4450382862832649E-2</v>
      </c>
      <c r="AE18" s="388">
        <f t="shared" ca="1" si="8"/>
        <v>0</v>
      </c>
      <c r="AF18" s="388">
        <f ca="1">MAX(0,$G18-Control!$C$92)</f>
        <v>0</v>
      </c>
      <c r="AG18" s="393">
        <f t="shared" ca="1" si="118"/>
        <v>13</v>
      </c>
      <c r="AH18" s="389">
        <f t="shared" ca="1" si="9"/>
        <v>13</v>
      </c>
      <c r="AI18" s="388">
        <f t="shared" ca="1" si="119"/>
        <v>-0.37595802847221355</v>
      </c>
      <c r="AJ18" s="388">
        <f ca="1">IF(Control!$C$60&lt;=0,$HH18,$HI18)</f>
        <v>1</v>
      </c>
      <c r="AK18" s="388">
        <f t="shared" ca="1" si="10"/>
        <v>-1.1533518235096774</v>
      </c>
      <c r="AL18" s="388">
        <f t="shared" ca="1" si="11"/>
        <v>2.1640623321106387E-18</v>
      </c>
      <c r="AM18" s="388">
        <f t="shared" ca="1" si="12"/>
        <v>-1.1533518235096774</v>
      </c>
      <c r="AN18" s="388">
        <f t="shared" ca="1" si="13"/>
        <v>-0.37217255961973794</v>
      </c>
      <c r="AO18" s="388">
        <f ca="1">-0.10453/COS(Control!$B$8*PI()/180)*COS(AN18)</f>
        <v>-0.15816131005226272</v>
      </c>
      <c r="AP18" s="388">
        <f ca="1">ACOS(AO18-TAN(Control!$B$8*PI()/180)*TAN(AN18))</f>
        <v>1.2223023727748326</v>
      </c>
      <c r="AQ18" s="388">
        <f t="shared" ca="1" si="120"/>
        <v>0</v>
      </c>
      <c r="AR18" s="394">
        <f t="shared" ca="1" si="14"/>
        <v>0</v>
      </c>
      <c r="AS18" s="436">
        <f ca="1">IF(Control!$B$18=2,(IF(OR($AH18=Control!$B$175,$AH18=Control!$B$176,$AH18=Control!$B$177,$AH18=Control!$B$178,$AH18=Control!$B$179,$AH18=Control!$B$180,$AH18=Control!$B$181,$AH18=Control!$B$182,$AH18=Control!$B$183,$AH18=Control!$B$184,$AH18=Control!$B$185),1,0)),0)</f>
        <v>0</v>
      </c>
      <c r="AT18" s="436">
        <f>IF(Control!$B$20=8,IF(AND($AH18&gt;=Control!$B$172,$AH18&lt;=Control!$B$173),1,0),0)</f>
        <v>0</v>
      </c>
      <c r="AU18" s="436">
        <f>IF(Control!$B$20=8,IF($AV17=1,1*$AT18,IF($AT18=1,$AU17+1,$AU17)),0)</f>
        <v>0</v>
      </c>
      <c r="AV18" s="436">
        <f>IF(Control!$B$20=8,IF($AU18&gt;=Control!$B$174,1,0),0)</f>
        <v>0</v>
      </c>
      <c r="AW18" s="436">
        <f ca="1">IF(AND(Control!$B$18=2,Control!$B$171=1), $AV18, $AS18)</f>
        <v>0</v>
      </c>
      <c r="AX18" s="436" t="e">
        <f ca="1">IF(AND(Control!$B$18=1,$EU18&gt;=Control!$B$19),-$AY18,IF(AND(Control!$B$18=2,$AW18=1,$EU18&gt;$DS18),-$AY18, IF(Control!$C$108=0,0, IF(Control!$C$108&lt;&gt;0,1))))</f>
        <v>#N/A</v>
      </c>
      <c r="AY18" s="436" t="e">
        <f t="shared" ca="1" si="121"/>
        <v>#N/A</v>
      </c>
      <c r="AZ18" s="436" t="e">
        <f ca="1">IF(AND(Control!$B$18=1,$EB18&gt;Control!$B$19),$AZ17+1, IF(AND(Control!$B$18=2, $AW18=1, $EB18&gt;$DS18), $AZ17+1,$AZ17))</f>
        <v>#N/A</v>
      </c>
      <c r="BA18" s="587">
        <f>IF(Control!$C$81=0,1,IF($AH18&gt;=Control!$C$82,1,0))</f>
        <v>1</v>
      </c>
      <c r="BB18" s="140" t="e">
        <f ca="1">IF($BA18&gt;$BA17,Control!$C$83,IF($AW18&gt;0,$AW18*Control!$C$84,IF(AND(Control!$B$18=1,EN17&lt;&gt;0),Control!$C$84,0)))</f>
        <v>#N/A</v>
      </c>
      <c r="BC18" s="140" t="e">
        <f t="shared" ca="1" si="122"/>
        <v>#N/A</v>
      </c>
      <c r="BD18" s="140" t="e">
        <f ca="1">BC18*IF(OR($G18&lt;Control!$C$92,$G18&gt;Control!$C$95),0,IF(AND($G18&gt;=Control!$C$92,$G18&lt;=Control!$C$93),$G18-Control!$C$92,IF(AND($G18&gt;Control!$C$93,$G18&lt;=Control!$C$94),Control!$C$93-Control!$C$92,IF(AND($G18&gt;Control!$C$94,$G18&lt;=Control!$C$95),(Control!$C$93-Control!$C$92)*(Control!$C$94-$G18)/(Control!$C$95-Control!$C$94)))))</f>
        <v>#N/A</v>
      </c>
      <c r="BE18" s="140" t="e">
        <f t="shared" ca="1" si="123"/>
        <v>#N/A</v>
      </c>
      <c r="BF18" s="140" t="e">
        <f ca="1">IF($BE18&lt;=Control!$C$86,$BE18,Control!$C$86-$BE18)</f>
        <v>#N/A</v>
      </c>
      <c r="BG18" s="140" t="e">
        <f ca="1">IF(AND($AW18=1,Control!$C$84&lt;9),1,IF($BE18&gt;=Control!$C$86,0,$BC18))</f>
        <v>#N/A</v>
      </c>
      <c r="BH18" s="404" t="e">
        <f ca="1">IF($BG18=0,0,IF($BE18&lt;=Control!$C$86,$BC18*9*($BF18/Control!$C$86),0))</f>
        <v>#N/A</v>
      </c>
      <c r="BI18" s="140" t="e">
        <f ca="1">IF($BG18=1,0,IF($BE18&gt;=Control!$C$86,1,IF(AND($BB18&lt;21,$BB18&gt;=9),1,$BM17)))</f>
        <v>#N/A</v>
      </c>
      <c r="BJ18" s="140" t="e">
        <f ca="1">IF($BF18&lt;0,-$BF18,$BI18*IF(OR($G18&lt;Control!$C$92,$G18&gt;Control!$C$95),0,IF(AND($G18&gt;=Control!$C$92,$G18&lt;=Control!$C$93),$G18-Control!$C$92,IF(AND($G18&gt;Control!$C$93,$G18&lt;=Control!$C$94),Control!$C$93-Control!$C$92,IF(AND($G18&gt;Control!$C$94,$G18&lt;=Control!$C$95),(Control!$C$93-Control!$C$92)*(Control!$C$94-$G18)/(Control!$C$95-Control!$C$94))))))</f>
        <v>#N/A</v>
      </c>
      <c r="BK18" s="140" t="e">
        <f t="shared" ca="1" si="124"/>
        <v>#N/A</v>
      </c>
      <c r="BL18" s="140" t="e">
        <f ca="1">IF($BK18&lt;=Control!$C$87,$BK18,Control!$C$87-$BK18)</f>
        <v>#N/A</v>
      </c>
      <c r="BM18" s="140" t="e">
        <f ca="1">IF(AND($BB18&gt;=9,$BB18&lt;21),1,IF($BK18&gt;=Control!$C$87,0,$BI18))</f>
        <v>#N/A</v>
      </c>
      <c r="BN18" s="404" t="e">
        <f ca="1">IF($BM18=0,0,IF($BK18&lt;=Control!$C$87,$BI18*(9+(21-9)*($BL18/Control!$C$87)),0))</f>
        <v>#N/A</v>
      </c>
      <c r="BO18" s="140" t="e">
        <f ca="1">IF($BM18=1,0,IF($BK18&gt;=Control!$C$87,1,IF(AND($BB18&lt;30,$BB18&gt;=21),1,$BS17)))</f>
        <v>#N/A</v>
      </c>
      <c r="BP18" s="140" t="e">
        <f ca="1">IF($BL18&lt;0,-$BL18,$BO18*IF(OR($G18&lt;Control!$C$92,$G18&gt;Control!$C$95),0,IF(AND($G18&gt;=Control!$C$92,$G18&lt;=Control!$C$93),$G18-Control!$C$92,IF(AND($G18&gt;Control!$C$93,$G18&lt;=Control!$C$94),Control!$C$93-Control!$C$92,IF(AND($G18&gt;Control!$C$94,$G18&lt;=Control!$C$95),(Control!$C$93-Control!$C$92)*(Control!$C$94-$G18)/(Control!$C$95-Control!$C$94))))))</f>
        <v>#N/A</v>
      </c>
      <c r="BQ18" s="140" t="e">
        <f t="shared" ca="1" si="15"/>
        <v>#N/A</v>
      </c>
      <c r="BR18" s="140" t="e">
        <f ca="1">IF($BQ18&lt;=Control!$C$88,$BQ18,Control!$C$88-$BQ18)</f>
        <v>#N/A</v>
      </c>
      <c r="BS18" s="140" t="e">
        <f ca="1">IF(AND($BB18&gt;=21,$BB18&lt;30),1,IF($BQ18&gt;=Control!$C$88,0,$BO18))</f>
        <v>#N/A</v>
      </c>
      <c r="BT18" s="404" t="e">
        <f ca="1">IF($BS18=0,0,IF($BQ18&lt;=Control!$C$88,$BO18*(21+(30-21)*(BR18/Control!$C$88)),0))</f>
        <v>#N/A</v>
      </c>
      <c r="BU18" s="140" t="e">
        <f ca="1">IF(BG18+BM18+BS18=1,0,IF(OR(AND($BB18&lt;60,$BB18&gt;=30),$BQ18&gt;=Control!$C$88),1*$BA18,$BY17))</f>
        <v>#N/A</v>
      </c>
      <c r="BV18" s="140" t="e">
        <f ca="1">IF($BR18&lt;0,-$BR18,$BU18*IF(OR($G18&lt;Control!$C$92,$G18&gt;Control!$C$95),0,IF(AND($G18&gt;=Control!$C$92,$G18&lt;=Control!$C$93),$G18-Control!$C$92,IF(AND($G18&gt;Control!$C$93,$G18&lt;=Control!$C$94),Control!$C$93-Control!$C$92,IF(AND($G18&gt;Control!$C$94,$G18&lt;=Control!$C$95),(Control!$C$93-Control!$C$92)*(Control!$C$94-$G18)/(Control!$C$95-Control!$C$94))))))</f>
        <v>#N/A</v>
      </c>
      <c r="BW18" s="140" t="e">
        <f t="shared" ca="1" si="16"/>
        <v>#N/A</v>
      </c>
      <c r="BX18" s="140" t="e">
        <f ca="1">IF($BW18&lt;=Control!$C$89,$BW18,Control!$C$89-$BW18)</f>
        <v>#N/A</v>
      </c>
      <c r="BY18" s="140" t="e">
        <f ca="1">IF(AND($AJ18&gt;=30,$AJ18&lt;60),1,IF($BW18&gt;=Control!$C$89,0,$BU18))</f>
        <v>#N/A</v>
      </c>
      <c r="BZ18" s="404" t="e">
        <f ca="1">IF($BY18=0,0,IF($BW18&lt;=Control!$C$89,$BU18*(30+(60-30)*(BX18/Control!$C$89)),0))</f>
        <v>#N/A</v>
      </c>
      <c r="CA18" s="140" t="e">
        <f ca="1">IF($BG18+$BM18+$BS18+$BY18=1,0,IF(OR(AND($BB18&lt;65,$BB18&gt;=60),$BW18&gt;=Control!$C$89),1*$BA18,$CE17))</f>
        <v>#N/A</v>
      </c>
      <c r="CB18" s="140" t="e">
        <f ca="1">IF($BX18&lt;0,-$BX18,$CA18*IF(OR($G18&lt;Control!$C$92,$G18&gt;Control!$C$95),0,IF(AND($G18&gt;=Control!$C$92,$G18&lt;=Control!$C$93),$G18-Control!$C$92,IF(AND($G18&gt;Control!$C$93,$G18&lt;=Control!$C$94),Control!$C$93-Control!$C$92,IF(AND($G18&gt;Control!$C$94,$G18&lt;=Control!$C$95),(Control!$C$93-Control!$C$92)*(Control!$C$94-$G18)/(Control!$C$95-Control!$C$94))))))</f>
        <v>#N/A</v>
      </c>
      <c r="CC18" s="140" t="e">
        <f t="shared" ca="1" si="125"/>
        <v>#N/A</v>
      </c>
      <c r="CD18" s="140" t="e">
        <f ca="1">IF($CC18&lt;=Control!$C$90,$CC18,Control!$C$90-$CC18)</f>
        <v>#N/A</v>
      </c>
      <c r="CE18" s="140" t="e">
        <f ca="1">IF(AND($BB18&gt;=60,$BB18&lt;65),1,IF($CC18&gt;=Control!$C$90,0,$CA18))</f>
        <v>#N/A</v>
      </c>
      <c r="CF18" s="404" t="e">
        <f ca="1">IF($CE18=0,0,IF($CC18&lt;=Control!$C$90,$CA18*(60+(65-60)*(CD18/Control!$C$90)),0))</f>
        <v>#N/A</v>
      </c>
      <c r="CG18" s="140" t="e">
        <f ca="1">IF($BG18+$BM18+$BS18+$BY18+$CE18=1,0,IF(OR(AND($BB18&lt;90,$BB18&gt;=65),$CC18&gt;=Control!$C$90),$BA18,$CK17))</f>
        <v>#N/A</v>
      </c>
      <c r="CH18" s="140" t="e">
        <f ca="1">IF($CD18&lt;0,-$CD18,$CG18*IF(OR($G18&lt;Control!$C$92,$G18&gt;Control!$C$95),0,IF(AND($G18&gt;=Control!$C$92,$G18&lt;=Control!$C$93),$G18-Control!$C$92,IF(AND($G18&gt;Control!$C$93,$G18&lt;=Control!$C$94),Control!$C$93-Control!$C$92,IF(AND($G18&gt;Control!$C$94,$G18&lt;=Control!$C$95),(Control!$C$93-Control!$C$92)*(Control!$C$94-$G18)/(Control!$C$95-Control!$C$94))))))</f>
        <v>#N/A</v>
      </c>
      <c r="CI18" s="140" t="e">
        <f t="shared" ca="1" si="126"/>
        <v>#N/A</v>
      </c>
      <c r="CJ18" s="140" t="e">
        <f ca="1">IF($CI18&lt;=Control!$C$91,$CI18,Control!$C$91-$CI18)</f>
        <v>#N/A</v>
      </c>
      <c r="CK18" s="140" t="e">
        <f ca="1">IF(AND($BB18&gt;=65,$BB18&lt;90),1,IF($CI18&gt;=Control!$C$91,0,$CG18))</f>
        <v>#N/A</v>
      </c>
      <c r="CL18" s="404" t="e">
        <f ca="1">IF($CK18=0,0,IF($CI18&lt;=Control!$C$91,$CG18*(65+(90-65)*($CJ18/Control!$C$91)),0))</f>
        <v>#N/A</v>
      </c>
      <c r="CM18" s="140" t="e">
        <f ca="1">IF($BG18+$BM18+$BS18+$BY18+$CE18+$CK18=1,0,IF(OR($BB18&gt;=90,$CI18&gt;=Control!$C$91),$BA18,$CM17))</f>
        <v>#N/A</v>
      </c>
      <c r="CN18" s="140" t="e">
        <f t="shared" ca="1" si="127"/>
        <v>#N/A</v>
      </c>
      <c r="CO18" s="140" t="e">
        <f t="shared" ca="1" si="128"/>
        <v>#N/A</v>
      </c>
      <c r="CP18" s="140" t="e">
        <f t="shared" ca="1" si="129"/>
        <v>#N/A</v>
      </c>
      <c r="CQ18" s="141" t="e">
        <f ca="1">VLOOKUP($CP18,Control!$B$86:$G$91,6)</f>
        <v>#N/A</v>
      </c>
      <c r="CR18" s="141" t="e">
        <f ca="1">(1-$CQ18)*VLOOKUP($CP18,Control!$B$86:$D$91,3)</f>
        <v>#N/A</v>
      </c>
      <c r="CS18" s="141" t="e">
        <f ca="1">(1-$CQ18)*VLOOKUP($CP18,Control!$B$86:$E$91,4)</f>
        <v>#N/A</v>
      </c>
      <c r="CT18" s="141" t="e">
        <f ca="1">(1-$CQ18)*VLOOKUP($CP18,Control!$B$86:$F$91,5)</f>
        <v>#N/A</v>
      </c>
      <c r="CU18" s="141">
        <f t="shared" ca="1" si="130"/>
        <v>0</v>
      </c>
      <c r="CV18" s="583">
        <f t="shared" ca="1" si="131"/>
        <v>0</v>
      </c>
      <c r="CW18" s="142">
        <f t="shared" ca="1" si="132"/>
        <v>13</v>
      </c>
      <c r="CX18" s="612" t="e">
        <f ca="1">IF(Control!$C$114=1,(MIN(Control!$C$120*(IF($NT18-0.01&lt;0,0,1)),Control!$C$119-$CY18)))</f>
        <v>#DIV/0!</v>
      </c>
      <c r="CY18" s="143" t="e">
        <f t="shared" ca="1" si="133"/>
        <v>#N/A</v>
      </c>
      <c r="CZ18" s="144">
        <f t="shared" ca="1" si="17"/>
        <v>0</v>
      </c>
      <c r="DA18" s="144">
        <f t="shared" ca="1" si="18"/>
        <v>0</v>
      </c>
      <c r="DB18" s="144" t="e">
        <f t="shared" ca="1" si="19"/>
        <v>#N/A</v>
      </c>
      <c r="DC18" s="144" t="e">
        <f t="shared" ca="1" si="20"/>
        <v>#N/A</v>
      </c>
      <c r="DD18" s="144" t="e">
        <f t="shared" ca="1" si="216"/>
        <v>#N/A</v>
      </c>
      <c r="DE18" s="143" t="e">
        <f t="shared" ca="1" si="135"/>
        <v>#N/A</v>
      </c>
      <c r="DF18" s="145" t="e">
        <f ca="1">$DR18*EXP(-Control!$C$158*(1-$KH18))</f>
        <v>#N/A</v>
      </c>
      <c r="DG18" s="146" t="e">
        <f ca="1">IF(Control!$C$114=1, $DF18*$EY18, 0)</f>
        <v>#N/A</v>
      </c>
      <c r="DH18" s="147" t="e">
        <f t="shared" ca="1" si="136"/>
        <v>#N/A</v>
      </c>
      <c r="DI18" s="144" t="e">
        <f t="shared" ca="1" si="191"/>
        <v>#N/A</v>
      </c>
      <c r="DJ18" s="147" t="e">
        <f ca="1">$EF18*Control!$C$109</f>
        <v>#N/A</v>
      </c>
      <c r="DK18" s="144" t="e">
        <f t="shared" ca="1" si="137"/>
        <v>#N/A</v>
      </c>
      <c r="DL18" s="144" t="e">
        <f t="shared" ca="1" si="21"/>
        <v>#N/A</v>
      </c>
      <c r="DM18" s="144" t="e">
        <f ca="1">IF(Control!$C$114=1, (1-EXP(-Control!$C$96*$DK18))*$AR18, 0)</f>
        <v>#N/A</v>
      </c>
      <c r="DN18" s="144">
        <f t="shared" ca="1" si="138"/>
        <v>0</v>
      </c>
      <c r="DO18" s="148">
        <f>Control!$C$97</f>
        <v>4</v>
      </c>
      <c r="DP18" s="145" t="e">
        <f t="shared" ca="1" si="139"/>
        <v>#N/A</v>
      </c>
      <c r="DQ18" s="145" t="e">
        <f ca="1">IF(AND($CP18&gt;=0,$CP18&lt;=90),Control!$C$111,Control!$C$111)</f>
        <v>#N/A</v>
      </c>
      <c r="DR18" s="145" t="e">
        <f t="shared" ca="1" si="22"/>
        <v>#N/A</v>
      </c>
      <c r="DS18" s="143" t="e">
        <f ca="1">Control!$B$22/$DR18</f>
        <v>#N/A</v>
      </c>
      <c r="DT18" s="149" t="e">
        <f ca="1">IF(AND(Control!$C$114=1,$KH18&lt;1),$IM18*$DF18, 0)</f>
        <v>#N/A</v>
      </c>
      <c r="DU18" s="144" t="e">
        <f t="shared" ca="1" si="192"/>
        <v>#N/A</v>
      </c>
      <c r="DV18" s="144">
        <f ca="1">IF($G18-Control!$C$107&lt;=0, 0, 0.83*LN(MAX($G18, 3))-0.8924)</f>
        <v>0</v>
      </c>
      <c r="DW18" s="144" t="e">
        <f t="shared" ca="1" si="23"/>
        <v>#N/A</v>
      </c>
      <c r="DX18" s="150" t="e">
        <f ca="1">MAX(0.01*(1+$CU18/Control!$C$102),0.05*($DK18-Control!$C$97)/Control!$C$97)</f>
        <v>#N/A</v>
      </c>
      <c r="DY18" s="151" t="e">
        <f ca="1">IF(Control!$C$114=1, $DI18*$FS18, 0)</f>
        <v>#N/A</v>
      </c>
      <c r="DZ18" s="196" t="e">
        <f t="shared" ca="1" si="140"/>
        <v>#N/A</v>
      </c>
      <c r="EA18" s="152">
        <f t="shared" ca="1" si="141"/>
        <v>13</v>
      </c>
      <c r="EB18" s="153" t="e">
        <f t="shared" ca="1" si="217"/>
        <v>#N/A</v>
      </c>
      <c r="EC18" s="153" t="e">
        <f t="shared" ca="1" si="142"/>
        <v>#N/A</v>
      </c>
      <c r="ED18" s="154" t="e">
        <f ca="1">IF(Control!$C$114=1, $HM18*$FY18-$FD18, 0)</f>
        <v>#DIV/0!</v>
      </c>
      <c r="EE18" s="155" t="e">
        <f ca="1">IF(Control!$C$114=1, $HM18*$FZ18-$FF18, 0)</f>
        <v>#DIV/0!</v>
      </c>
      <c r="EF18" s="153" t="e">
        <f t="shared" ca="1" si="193"/>
        <v>#N/A</v>
      </c>
      <c r="EG18" s="155" t="e">
        <f ca="1">IF(Control!$C$114=1, $GX18*$FW18-$FI18, 0)</f>
        <v>#DIV/0!</v>
      </c>
      <c r="EH18" s="153" t="e">
        <f t="shared" ca="1" si="143"/>
        <v>#N/A</v>
      </c>
      <c r="EI18" s="156" t="e">
        <f t="shared" ca="1" si="144"/>
        <v>#N/A</v>
      </c>
      <c r="EJ18" s="155" t="e">
        <f ca="1">IF(Control!$C$114=1, $HM18*$GB18, 0)</f>
        <v>#DIV/0!</v>
      </c>
      <c r="EK18" s="153" t="e">
        <f t="shared" ca="1" si="194"/>
        <v>#N/A</v>
      </c>
      <c r="EL18" s="153" t="e">
        <f t="shared" ca="1" si="24"/>
        <v>#N/A</v>
      </c>
      <c r="EM18" s="153" t="e">
        <f t="shared" ca="1" si="25"/>
        <v>#N/A</v>
      </c>
      <c r="EN18" s="153" t="e">
        <f ca="1">IF(Control!$C$108=1,IF(AND(Control!$B$18=1,$EB18&gt;=Control!$B$19),$EB18-$DS18,IF(AND(Control!$B$18=2,$AW18=1,$EB18&gt;$DS18),$EB18-$DS18,0)))</f>
        <v>#N/A</v>
      </c>
      <c r="EO18" s="153" t="e">
        <f ca="1">IF(Control!$C$108=1,IF(AND(Control!$B$18=1,$EB18&gt;=Control!$B$19),$EF18,IF(AND(Control!$B$18=2,$AW18=1),$EF18,0)))</f>
        <v>#N/A</v>
      </c>
      <c r="EP18" s="153" t="e">
        <f ca="1">IF(Control!$C$108=1,IF(AND(Control!$B$18=1,$EB18&gt;=Control!$B$19),$EK18,IF(AND(Control!$B$18=2,$AW18=1),$EK18,0)))</f>
        <v>#N/A</v>
      </c>
      <c r="EQ18" s="153" t="e">
        <f t="shared" ca="1" si="145"/>
        <v>#N/A</v>
      </c>
      <c r="ER18" s="153" t="e">
        <f t="shared" ca="1" si="195"/>
        <v>#N/A</v>
      </c>
      <c r="ES18" s="153" t="e">
        <f t="shared" ca="1" si="196"/>
        <v>#N/A</v>
      </c>
      <c r="ET18" s="153" t="e">
        <f t="shared" ca="1" si="197"/>
        <v>#N/A</v>
      </c>
      <c r="EU18" s="153" t="e">
        <f t="shared" ca="1" si="198"/>
        <v>#N/A</v>
      </c>
      <c r="EV18" s="153" t="e">
        <f t="shared" ca="1" si="146"/>
        <v>#N/A</v>
      </c>
      <c r="EW18" s="153" t="e">
        <f t="shared" ca="1" si="218"/>
        <v>#N/A</v>
      </c>
      <c r="EX18" s="153" t="e">
        <f t="shared" ca="1" si="26"/>
        <v>#N/A</v>
      </c>
      <c r="EY18" s="157" t="e">
        <f t="shared" ca="1" si="147"/>
        <v>#DIV/0!</v>
      </c>
      <c r="EZ18" s="154" t="e">
        <f t="shared" ca="1" si="27"/>
        <v>#DIV/0!</v>
      </c>
      <c r="FA18" s="153" t="e">
        <f t="shared" ca="1" si="199"/>
        <v>#N/A</v>
      </c>
      <c r="FB18" s="153" t="e">
        <f t="shared" ca="1" si="28"/>
        <v>#N/A</v>
      </c>
      <c r="FC18" s="193" t="e">
        <f t="shared" ca="1" si="29"/>
        <v>#N/A</v>
      </c>
      <c r="FD18" s="158" t="e">
        <f t="shared" ca="1" si="200"/>
        <v>#N/A</v>
      </c>
      <c r="FE18" s="158" t="e">
        <f t="shared" ca="1" si="148"/>
        <v>#N/A</v>
      </c>
      <c r="FF18" s="159" t="e">
        <f t="shared" ca="1" si="30"/>
        <v>#N/A</v>
      </c>
      <c r="FG18" s="160" t="e">
        <f t="shared" ca="1" si="149"/>
        <v>#N/A</v>
      </c>
      <c r="FH18" s="158" t="e">
        <f t="shared" ca="1" si="150"/>
        <v>#N/A</v>
      </c>
      <c r="FI18" s="159" t="e">
        <f t="shared" ca="1" si="31"/>
        <v>#N/A</v>
      </c>
      <c r="FJ18" s="160" t="e">
        <f t="shared" ca="1" si="151"/>
        <v>#N/A</v>
      </c>
      <c r="FK18" s="160" t="e">
        <f t="shared" ca="1" si="32"/>
        <v>#N/A</v>
      </c>
      <c r="FL18" s="160" t="e">
        <f t="shared" ca="1" si="229"/>
        <v>#N/A</v>
      </c>
      <c r="FM18" s="160" t="e">
        <f t="shared" ca="1" si="33"/>
        <v>#N/A</v>
      </c>
      <c r="FN18" s="158">
        <f t="shared" ca="1" si="219"/>
        <v>0.01</v>
      </c>
      <c r="FO18" s="160">
        <f>Control!$C$101</f>
        <v>50</v>
      </c>
      <c r="FP18" s="150" t="e">
        <f t="shared" ca="1" si="34"/>
        <v>#N/A</v>
      </c>
      <c r="FQ18" s="150" t="e">
        <f ca="1">MAX(0,(Control!$C$112*(($DK18-Control!$C$97)/Control!$C$97)))</f>
        <v>#N/A</v>
      </c>
      <c r="FR18" s="150" t="e">
        <f ca="1">(1-$NT18)*Control!$C$113</f>
        <v>#DIV/0!</v>
      </c>
      <c r="FS18" s="198" t="e">
        <f t="shared" ca="1" si="35"/>
        <v>#N/A</v>
      </c>
      <c r="FT18" s="161">
        <f t="shared" ca="1" si="152"/>
        <v>13</v>
      </c>
      <c r="FU18" s="162" t="e">
        <f ca="1">IF(Control!$B$34=1,VLOOKUP($CP18,Control!$B$86:$G$91,6),Control!$B$35)</f>
        <v>#N/A</v>
      </c>
      <c r="FV18" s="162" t="e">
        <f t="shared" ca="1" si="36"/>
        <v>#DIV/0!</v>
      </c>
      <c r="FW18" s="162" t="e">
        <f ca="1">IF(Control!$B$31=1,$FU18*$FV18,  $FU18)</f>
        <v>#N/A</v>
      </c>
      <c r="FX18" s="162" t="e">
        <f ca="1">IF(Control!$B$34=1,VLOOKUP($CP18,Control!$B$86:$G$91,3),Control!$B$36)</f>
        <v>#N/A</v>
      </c>
      <c r="FY18" s="162" t="e">
        <f t="shared" ca="1" si="37"/>
        <v>#N/A</v>
      </c>
      <c r="FZ18" s="162" t="e">
        <f ca="1">IF(Control!$B$34=1,VLOOKUP($CP18,Control!$B$86:$G$91,4),Control!$B$37)</f>
        <v>#N/A</v>
      </c>
      <c r="GA18" s="162" t="e">
        <f t="shared" ca="1" si="38"/>
        <v>#N/A</v>
      </c>
      <c r="GB18" s="162" t="e">
        <f ca="1">IF(Control!$B$34=1,VLOOKUP($CP18,Control!$B$86:$G$91,5),Control!$B$38)</f>
        <v>#N/A</v>
      </c>
      <c r="GC18" s="162" t="e">
        <f t="shared" ca="1" si="153"/>
        <v>#N/A</v>
      </c>
      <c r="GD18" s="162">
        <f t="shared" ca="1" si="39"/>
        <v>1</v>
      </c>
      <c r="GE18" s="162">
        <f t="shared" ca="1" si="40"/>
        <v>1</v>
      </c>
      <c r="GF18" s="162">
        <f ca="1">IF(AND(Control!$C$104=1, Control!$C$62="F"),$GE18,1)</f>
        <v>1</v>
      </c>
      <c r="GG18" s="162" t="e">
        <f ca="1">IF(Control!$B$16=40,0,IF(AND(Control!$B$16&gt;40,Control!$B$16&lt;=360),(Control!$B$16-40)*((1-0)/(360-40)),IF(AND(Control!$B$16&gt;360,Control!$B$16&lt;=720),(1+(Control!$B$16-360)*((1.25-1)/(720-360))),IF(AND(Control!$B$16&gt;720,Control!$B$16&lt;=1000),(1.25+(Control!$B$16-720)*((1.35-1.25)/(1000-720))),IF(AND(Control!$B$16&gt;1000,Control!$B$16&lt;=2000),(1.35+(Control!$B$16-1000)*0))))))</f>
        <v>#N/A</v>
      </c>
      <c r="GH18" s="162" t="e">
        <f t="shared" ca="1" si="41"/>
        <v>#N/A</v>
      </c>
      <c r="GI18" s="162">
        <f t="shared" ca="1" si="201"/>
        <v>0</v>
      </c>
      <c r="GJ18" s="162">
        <f t="shared" ca="1" si="42"/>
        <v>0</v>
      </c>
      <c r="GK18" s="162">
        <f t="shared" ca="1" si="220"/>
        <v>1</v>
      </c>
      <c r="GL18" s="162">
        <f t="shared" ca="1" si="43"/>
        <v>1</v>
      </c>
      <c r="GM18" s="162" t="e">
        <f ca="1">MAX(0,MIN(1,1-Control!$C$156*(1.0001-$KH18)^2))</f>
        <v>#N/A</v>
      </c>
      <c r="GN18" s="162" t="e">
        <f ca="1">IF(Control!$B$26=1,$KU18,$KX18)</f>
        <v>#N/A</v>
      </c>
      <c r="GO18" s="162" t="e">
        <f ca="1">IF($CP18&lt;=60,Control!$C$105,IF($CP18&gt;=90,Control!$C$106,Control!$C$105+($CP18-60)*((Control!$C$106-Control!$C$105)/(90-60))))</f>
        <v>#N/A</v>
      </c>
      <c r="GP18" s="162" t="e">
        <f t="shared" ca="1" si="154"/>
        <v>#N/A</v>
      </c>
      <c r="GQ18" s="162" t="e">
        <f t="shared" ca="1" si="155"/>
        <v>#N/A</v>
      </c>
      <c r="GR18" s="163" t="e">
        <f t="shared" ca="1" si="44"/>
        <v>#DIV/0!</v>
      </c>
      <c r="GS18" s="162" t="e">
        <f t="shared" ca="1" si="45"/>
        <v>#DIV/0!</v>
      </c>
      <c r="GT18" s="164" t="e">
        <f t="shared" ca="1" si="156"/>
        <v>#N/A</v>
      </c>
      <c r="GU18" s="162" t="e">
        <f t="shared" ca="1" si="157"/>
        <v>#N/A</v>
      </c>
      <c r="GV18" s="162" t="e">
        <f t="shared" ca="1" si="46"/>
        <v>#N/A</v>
      </c>
      <c r="GW18" s="162" t="e">
        <f t="shared" ca="1" si="221"/>
        <v>#DIV/0!</v>
      </c>
      <c r="GX18" s="162" t="e">
        <f t="shared" ca="1" si="228"/>
        <v>#DIV/0!</v>
      </c>
      <c r="GY18" s="162" t="e">
        <f t="shared" ca="1" si="158"/>
        <v>#DIV/0!</v>
      </c>
      <c r="GZ18" s="165" t="e">
        <f t="shared" ca="1" si="159"/>
        <v>#N/A</v>
      </c>
      <c r="HA18" s="162" t="e">
        <f ca="1">IF(Control!$C$114=1, $DI18*$FS18, 0)</f>
        <v>#N/A</v>
      </c>
      <c r="HB18" s="162" t="e">
        <f ca="1">$FA18/Control!$C$64</f>
        <v>#N/A</v>
      </c>
      <c r="HC18" s="162" t="e">
        <f t="shared" ca="1" si="222"/>
        <v>#DIV/0!</v>
      </c>
      <c r="HD18" s="162">
        <f ca="1">-ASIN(SIN(23.45*Control!$C$139)*COS(2*Control!$C$138*($AH18+10)/365))</f>
        <v>-0.37595802847221355</v>
      </c>
      <c r="HE18" s="165">
        <f t="shared" ca="1" si="160"/>
        <v>0</v>
      </c>
      <c r="HF18" s="166">
        <f ca="1">IF(AND(Control!$C$61="T",$HE18&gt;=Control!$C$103,Control!$C$114=0),$AH18,Control!$C$59)</f>
        <v>1</v>
      </c>
      <c r="HG18" s="166">
        <f ca="1">IF(AND(Control!$C$61="T",$HE18&gt;=Control!$C$103,Control!$C$114=0),$HF18,Control!$C$59)</f>
        <v>1</v>
      </c>
      <c r="HH18" s="165">
        <f ca="1">IF(AND(OR(Control!$C$60&lt;=0, $AH18= Control!$C$59, Control!$C$60 &gt;0, $AH18 = Control!$C$60)), Control!$C$59, IF(Control!$C$60&gt;0, 0))</f>
        <v>1</v>
      </c>
      <c r="HI18" s="165">
        <f ca="1">IF(AND(OR(Control!$C$60&lt;=0, $AH18= Control!$C$59, Control!$C$60 &gt;0, $AH18 = Control!$C$60)), Control!$C$60, IF(Control!$C$60&lt;=0, 0))</f>
        <v>0</v>
      </c>
      <c r="HJ18" s="166">
        <f ca="1">IF(AND(Control!$C$62="F",$CV18&gt;=Control!$C$102),$AH18,0)</f>
        <v>0</v>
      </c>
      <c r="HK18" s="165" t="e">
        <f t="shared" ca="1" si="202"/>
        <v>#N/A</v>
      </c>
      <c r="HL18" s="166">
        <f ca="1">IF(AND(Control!$C$61="T",$HE18&gt;=Control!$C$103,Control!$C$114=0),$HF18,0)</f>
        <v>0</v>
      </c>
      <c r="HM18" s="201" t="e">
        <f t="shared" ca="1" si="47"/>
        <v>#DIV/0!</v>
      </c>
      <c r="HN18" s="215">
        <f t="shared" ca="1" si="161"/>
        <v>13</v>
      </c>
      <c r="HO18" s="216" t="e">
        <f ca="1">IF(AND($CP18&gt;=0, $CP18&lt;=90), Control!$C$152, Control!$C$152)</f>
        <v>#N/A</v>
      </c>
      <c r="HP18" s="216" t="e">
        <f t="shared" ca="1" si="48"/>
        <v>#N/A</v>
      </c>
      <c r="HQ18" s="217" t="e">
        <f ca="1">IF(OR(Control!$B$26=1,Control!$B$26=2),$KV18,$KS18)</f>
        <v>#DIV/0!</v>
      </c>
      <c r="HR18" s="218" t="e">
        <f t="shared" ca="1" si="223"/>
        <v>#DIV/0!</v>
      </c>
      <c r="HS18" s="216" t="e">
        <f ca="1">Control!$C$154*$HP18</f>
        <v>#N/A</v>
      </c>
      <c r="HT18" s="216" t="e">
        <f ca="1">Control!$C$155*$HP18</f>
        <v>#N/A</v>
      </c>
      <c r="HU18" s="217" t="e">
        <f ca="1">Control!$C$161*$FI18</f>
        <v>#N/A</v>
      </c>
      <c r="HV18" s="218" t="e">
        <f t="shared" ca="1" si="162"/>
        <v>#N/A</v>
      </c>
      <c r="HW18" s="218" t="e">
        <f ca="1">Control!$C$160*$FF18+$IP18*$EO18</f>
        <v>#N/A</v>
      </c>
      <c r="HX18" s="218" t="e">
        <f t="shared" ca="1" si="203"/>
        <v>#N/A</v>
      </c>
      <c r="HY18" s="219" t="e">
        <f ca="1">IF(Control!$C$114=1, $EB18*$FS18, 0)</f>
        <v>#N/A</v>
      </c>
      <c r="HZ18" s="91" t="e">
        <f t="shared" ca="1" si="49"/>
        <v>#N/A</v>
      </c>
      <c r="IA18" s="220" t="e">
        <f ca="1">Control!$C$153*$HO18</f>
        <v>#N/A</v>
      </c>
      <c r="IB18" s="218" t="e">
        <f t="shared" ca="1" si="50"/>
        <v>#N/A</v>
      </c>
      <c r="IC18" s="220" t="e">
        <f ca="1">Control!$C$153*$HT18</f>
        <v>#N/A</v>
      </c>
      <c r="ID18" s="218" t="e">
        <f t="shared" ca="1" si="51"/>
        <v>#N/A</v>
      </c>
      <c r="IE18" s="221" t="e">
        <f ca="1">($EB18*Control!$C$159+$EF18*Control!$C$160)/(IF($GZ18&lt;&gt;0,$GZ18,1))</f>
        <v>#N/A</v>
      </c>
      <c r="IF18" s="216" t="e">
        <f t="shared" ca="1" si="52"/>
        <v>#N/A</v>
      </c>
      <c r="IG18" s="91">
        <f ca="1">IF(OR(Control!$B$198=$AH18,Control!$B$199=$AH18, Control!$B$200=$AH18, Control!$B$201=$AH18, Control!$B$202=$AH18, Control!$B$203=$AH18, Control!$B$204=$AH18, Control!$B$205=$AH18, Control!$B$206=$AH18, Control!$B$207=$AH18), 1, 0)</f>
        <v>0</v>
      </c>
      <c r="IH18" s="91">
        <f ca="1">IF($IG18=0,0, VLOOKUP($AH18,Control!$B$198:$C$207,2))</f>
        <v>0</v>
      </c>
      <c r="II18" s="222">
        <f t="shared" ca="1" si="163"/>
        <v>0</v>
      </c>
      <c r="IJ18" s="91">
        <f>Control!$C$121</f>
        <v>0.7</v>
      </c>
      <c r="IK18" s="218">
        <f t="shared" ca="1" si="53"/>
        <v>0</v>
      </c>
      <c r="IL18" s="217" t="e">
        <f t="shared" ca="1" si="204"/>
        <v>#N/A</v>
      </c>
      <c r="IM18" s="223" t="e">
        <f ca="1">IF(AND(Control!$C$114=1,$KH18&lt;1),$EB18*Control!$C$148*(1-$KH18), 0)</f>
        <v>#N/A</v>
      </c>
      <c r="IN18" s="217" t="e">
        <f t="shared" ca="1" si="54"/>
        <v>#DIV/0!</v>
      </c>
      <c r="IO18" s="91" t="e">
        <f ca="1">MAX(0,$IL18-$EF18*Control!$C$160)</f>
        <v>#N/A</v>
      </c>
      <c r="IP18" s="220" t="e">
        <f t="shared" ca="1" si="55"/>
        <v>#N/A</v>
      </c>
      <c r="IQ18" s="217" t="e">
        <f t="shared" ca="1" si="164"/>
        <v>#N/A</v>
      </c>
      <c r="IR18" s="218" t="e">
        <f t="shared" ca="1" si="56"/>
        <v>#N/A</v>
      </c>
      <c r="IS18" s="217" t="e">
        <f ca="1">Control!$C$159*MAX(0,$FD18-$EN18)</f>
        <v>#N/A</v>
      </c>
      <c r="IT18" s="217" t="e">
        <f t="shared" ca="1" si="205"/>
        <v>#N/A</v>
      </c>
      <c r="IU18" s="217" t="e">
        <f t="shared" ca="1" si="165"/>
        <v>#N/A</v>
      </c>
      <c r="IV18" s="217" t="e">
        <f t="shared" ca="1" si="206"/>
        <v>#N/A</v>
      </c>
      <c r="IW18" s="217" t="e">
        <f ca="1">IF(OR($AW18=1,AND($AW18=0, Control!$B$18=1,$EN18&lt;&gt;0)), $IQ18-$IU18, $IQ18)</f>
        <v>#N/A</v>
      </c>
      <c r="IX18" s="218" t="e">
        <f t="shared" ca="1" si="57"/>
        <v>#N/A</v>
      </c>
      <c r="IY18" s="218" t="e">
        <f ca="1">MAX(0,$IQ18-$EB18*Control!$C$159)</f>
        <v>#N/A</v>
      </c>
      <c r="IZ18" s="218" t="e">
        <f t="shared" ca="1" si="58"/>
        <v>#N/A</v>
      </c>
      <c r="JA18" s="216" t="e">
        <f t="shared" ca="1" si="59"/>
        <v>#N/A</v>
      </c>
      <c r="JB18" s="217" t="e">
        <f t="shared" ca="1" si="60"/>
        <v>#N/A</v>
      </c>
      <c r="JC18" s="222" t="e">
        <f ca="1">MAX(Control!$C$157*$EK18-$JT18, 0)/Control!$C$162</f>
        <v>#N/A</v>
      </c>
      <c r="JD18" s="218" t="e">
        <f t="shared" ca="1" si="61"/>
        <v>#N/A</v>
      </c>
      <c r="JE18" s="218" t="e">
        <f t="shared" ca="1" si="62"/>
        <v>#N/A</v>
      </c>
      <c r="JF18" s="218" t="e">
        <f t="shared" ca="1" si="207"/>
        <v>#N/A</v>
      </c>
      <c r="JG18" s="218" t="e">
        <f t="shared" ca="1" si="63"/>
        <v>#N/A</v>
      </c>
      <c r="JH18" s="217" t="e">
        <f t="shared" ca="1" si="166"/>
        <v>#N/A</v>
      </c>
      <c r="JI18" s="217" t="e">
        <f t="shared" ca="1" si="167"/>
        <v>#N/A</v>
      </c>
      <c r="JJ18" s="217" t="e">
        <f t="shared" ca="1" si="224"/>
        <v>#N/A</v>
      </c>
      <c r="JK18" s="217" t="e">
        <f ca="1">IF(Control!$C$114=1,IF(Control!$B$24=0,MAX(0,$JI18)*$GN18/Control!$C$64,(MAX(0,MIN($JI18,$JJ18*$GN18/Control!$C$64),0))))</f>
        <v>#N/A</v>
      </c>
      <c r="JL18" s="217" t="e">
        <f ca="1">$IK18/Control!$C$64-$JK18+$HQ18</f>
        <v>#N/A</v>
      </c>
      <c r="JM18" s="217" t="e">
        <f ca="1">IF(Control!$C$114=1,($JB18/(IF($JI18&lt;&gt;0,$JI18,1)))*$JK18,0)</f>
        <v>#N/A</v>
      </c>
      <c r="JN18" s="217" t="e">
        <f ca="1">IF(Control!$C$114=1,($JG18/(IF($JI18&lt;&gt;0,$JI18,1)))*$JK18, 0)</f>
        <v>#N/A</v>
      </c>
      <c r="JO18" s="218" t="e">
        <f t="shared" ca="1" si="64"/>
        <v>#N/A</v>
      </c>
      <c r="JP18" s="218" t="e">
        <f ca="1">MIN(($IY18+$IO18)*Control!$C$151, $JF18-$EH18*Control!$C$161)</f>
        <v>#N/A</v>
      </c>
      <c r="JQ18" s="218" t="e">
        <f t="shared" ca="1" si="65"/>
        <v>#N/A</v>
      </c>
      <c r="JR18" s="217" t="e">
        <f ca="1">IF($CP18-Control!$C$150&lt;0, 0, $JQ18/Control!$C$162)</f>
        <v>#N/A</v>
      </c>
      <c r="JS18" s="218" t="e">
        <f t="shared" ca="1" si="66"/>
        <v>#N/A</v>
      </c>
      <c r="JT18" s="218" t="e">
        <f t="shared" ca="1" si="168"/>
        <v>#N/A</v>
      </c>
      <c r="JU18" s="218" t="e">
        <f t="shared" ca="1" si="67"/>
        <v>#N/A</v>
      </c>
      <c r="JV18" s="218" t="e">
        <f t="shared" ca="1" si="68"/>
        <v>#N/A</v>
      </c>
      <c r="JW18" s="216" t="e">
        <f t="shared" ca="1" si="69"/>
        <v>#N/A</v>
      </c>
      <c r="JX18" s="91" t="e">
        <f t="shared" ca="1" si="70"/>
        <v>#N/A</v>
      </c>
      <c r="JY18" s="218" t="e">
        <f t="shared" ca="1" si="71"/>
        <v>#N/A</v>
      </c>
      <c r="JZ18" s="217" t="e">
        <f ca="1">IF(Control!$C$114=1,($IZ18/(IF($JI18&lt;&gt;0,$JI18,1)))*$JK18, 0)</f>
        <v>#N/A</v>
      </c>
      <c r="KA18" s="218" t="e">
        <f t="shared" ca="1" si="225"/>
        <v>#N/A</v>
      </c>
      <c r="KB18" s="218" t="e">
        <f t="shared" ca="1" si="169"/>
        <v>#N/A</v>
      </c>
      <c r="KC18" s="218" t="e">
        <f t="shared" ca="1" si="72"/>
        <v>#N/A</v>
      </c>
      <c r="KD18" s="218" t="e">
        <f t="shared" ca="1" si="73"/>
        <v>#N/A</v>
      </c>
      <c r="KE18" s="218" t="e">
        <f t="shared" ca="1" si="74"/>
        <v>#N/A</v>
      </c>
      <c r="KF18" s="218" t="e">
        <f t="shared" ca="1" si="75"/>
        <v>#N/A</v>
      </c>
      <c r="KG18" s="216" t="e">
        <f t="shared" ca="1" si="76"/>
        <v>#N/A</v>
      </c>
      <c r="KH18" s="221" t="e">
        <f ca="1">IF(Control!$B$24=0,1,MAX(0.001,MIN(1,IF(($IF18-$IE18)&lt;&gt;0,($KG18-$IE18)/($IF18-$IE18),1))))</f>
        <v>#N/A</v>
      </c>
      <c r="KI18" s="222" t="e">
        <f ca="1">IF(Control!$C$114=1, $KI17+ $KH17, 0)</f>
        <v>#N/A</v>
      </c>
      <c r="KJ18" s="217" t="e">
        <f t="shared" ca="1" si="77"/>
        <v>#N/A</v>
      </c>
      <c r="KK18" s="218" t="e">
        <f t="shared" ca="1" si="78"/>
        <v>#N/A</v>
      </c>
      <c r="KL18" s="274" t="e">
        <f ca="1">IF(Control!$B$26=3,4000000000*EXP(-8400/($G18+273)),IF(Control!$B$26=4,4000000000*EXP(-8400/($G18+273))*($KT18),0))</f>
        <v>#DIV/0!</v>
      </c>
      <c r="KM18" s="274" t="e">
        <f ca="1">IF(Control!$B$26=3,5600000000000*EXP(-9800/($G18+273)),IF(Control!$B$26=4,5600000000000*EXP(-9800/($G18+273))*$KT18,0))</f>
        <v>#DIV/0!</v>
      </c>
      <c r="KN18" s="454" t="e">
        <f t="shared" ca="1" si="170"/>
        <v>#DIV/0!</v>
      </c>
      <c r="KO18" s="274" t="e">
        <f t="shared" ca="1" si="171"/>
        <v>#DIV/0!</v>
      </c>
      <c r="KP18" s="454" t="e">
        <f t="shared" ca="1" si="79"/>
        <v>#DIV/0!</v>
      </c>
      <c r="KQ18" s="454" t="e">
        <f t="shared" ca="1" si="80"/>
        <v>#DIV/0!</v>
      </c>
      <c r="KR18" s="454" t="e">
        <f t="shared" ca="1" si="81"/>
        <v>#DIV/0!</v>
      </c>
      <c r="KS18" s="454" t="e">
        <f t="shared" ca="1" si="82"/>
        <v>#DIV/0!</v>
      </c>
      <c r="KT18" s="455" t="e">
        <f t="shared" ca="1" si="83"/>
        <v>#DIV/0!</v>
      </c>
      <c r="KU18" s="456" t="e">
        <f ca="1">IF($CP18-Control!$C$149&lt;0, IF($NT18-0.01&lt;0,0,1),0)</f>
        <v>#N/A</v>
      </c>
      <c r="KV18" s="456" t="e">
        <f ca="1">IF(Control!$C$114=1,MAX(0,MIN(Control!$C$125*$KW18*$GN18,$KW18)))</f>
        <v>#DIV/0!</v>
      </c>
      <c r="KW18" s="456" t="e">
        <f t="shared" ca="1" si="208"/>
        <v>#DIV/0!</v>
      </c>
      <c r="KX18" s="457" t="e">
        <f ca="1">IF($CP18-Control!$C$149&lt;0, IF($MR18-$OM18&lt;0,0,1),0)</f>
        <v>#N/A</v>
      </c>
      <c r="KY18" s="167">
        <f t="shared" ca="1" si="172"/>
        <v>13</v>
      </c>
      <c r="KZ18" s="168">
        <f ca="1">1370*(1+0.033*COS(2*Control!$C$138*$AH18/365))</f>
        <v>1414.0826622529758</v>
      </c>
      <c r="LA18" s="169">
        <f t="shared" ca="1" si="173"/>
        <v>1.0321771295644875</v>
      </c>
      <c r="LB18" s="169">
        <f t="shared" ca="1" si="174"/>
        <v>-0.37598036938610901</v>
      </c>
      <c r="LC18" s="169">
        <f ca="1">ACOS(-TAN((2*Control!$B$8/360))*TAN(Calculations!$LB18))</f>
        <v>1.4532017935599231</v>
      </c>
      <c r="LD18" s="169">
        <f ca="1">((24*60)/PI())*0.082*$LA18*(($LC18*SIN(Control!$B$8*2*PI()/360))*SIN($LB18)+COS(Control!$B$8*2*PI()/360)*COS($LB18)*SIN($LC18))</f>
        <v>5.7504217529091211</v>
      </c>
      <c r="LE18" s="170">
        <f t="shared" ca="1" si="84"/>
        <v>7.254265758441524</v>
      </c>
      <c r="LF18" s="170">
        <f ca="1">SIN(Control!$C$139*Control!$B$8)*SIN($HD18)</f>
        <v>-0.28932951324021772</v>
      </c>
      <c r="LG18" s="170">
        <f ca="1">COS(Control!$C$139*Control!$B$8)*COS($HD18)</f>
        <v>0.57265984154406147</v>
      </c>
      <c r="LH18" s="170">
        <f ca="1">12*(1+2*ASIN(MAX(-1,MIN(1,$LF18/$LG18))/Control!$C$138))</f>
        <v>8.123440561298132</v>
      </c>
      <c r="LI18" s="170">
        <f ca="1">12*(1+2*ASIN(MAX(-1,MIN(1,(-SIN(-4*Control!$C$139)+$LF18)/$LG18))/Control!$C$138))</f>
        <v>9.0635240805810628</v>
      </c>
      <c r="LJ18" s="168">
        <f ca="1">3600*($LH18*$LF18+24*$LG18*SQRT(1-$LK18*$LK18)/Control!$C$138)</f>
        <v>5130.0153464039531</v>
      </c>
      <c r="LK18" s="170">
        <f t="shared" ca="1" si="85"/>
        <v>-0.50523800038099265</v>
      </c>
      <c r="LL18" s="170">
        <f t="shared" ca="1" si="86"/>
        <v>0</v>
      </c>
      <c r="LM18" s="171">
        <f ca="1">Control!$C$145*$AB18</f>
        <v>6.6660906138995932E-2</v>
      </c>
      <c r="LN18" s="170">
        <f t="shared" ca="1" si="175"/>
        <v>0.54</v>
      </c>
      <c r="LO18" s="170">
        <f t="shared" ca="1" si="87"/>
        <v>0</v>
      </c>
      <c r="LP18" s="170">
        <f ca="1">Control!$C$140*((($D18+273.16)^4+($E18+273.16)^4)/2)*(0.34-0.14*SQRT($Y18))*(1.35*$AQ18/(0.75*$LD18)-0.35)</f>
        <v>-3.2464704755046001</v>
      </c>
      <c r="LQ18" s="170">
        <f ca="1">Control!$C$140*($G18+273)^4*(0.56-0.079*SQRT($Y18*10))*(0.1+0.9*$LO18)</f>
        <v>1.5241745131704001</v>
      </c>
      <c r="LR18" s="170">
        <f ca="1">$AQ18*(1-Control!$C$142)-$LQ18</f>
        <v>-1.5241745131704001</v>
      </c>
      <c r="LS18" s="170">
        <f ca="1">$AQ18*(1-Control!$C$143)-$LQ18</f>
        <v>-1.5241745131704001</v>
      </c>
      <c r="LT18" s="170">
        <f ca="1">$AQ18*(1-Control!$C$144)-$LQ18</f>
        <v>-1.5241745131704001</v>
      </c>
      <c r="LU18" s="169">
        <f ca="1">(1-Control!$C$144)*AQ18-LP18</f>
        <v>3.2464704755046001</v>
      </c>
      <c r="LV18" s="172">
        <f t="shared" ca="1" si="88"/>
        <v>0.79430000000000012</v>
      </c>
      <c r="LW18" s="170">
        <f t="shared" ca="1" si="89"/>
        <v>1.5886000000000002</v>
      </c>
      <c r="LX18" s="170">
        <f ca="1">($AC18*($LR18/Control!$C$141)+$LM18*$LV18)/($AC18+$LM18)</f>
        <v>0.23530094218323697</v>
      </c>
      <c r="LY18" s="170">
        <f ca="1">($AC18*($LS18/Control!$C$141)+$LM18*$LV18)/($AC18+$LM18)</f>
        <v>0.23530094218323697</v>
      </c>
      <c r="LZ18" s="170">
        <f t="shared" ca="1" si="90"/>
        <v>0.23530094218323697</v>
      </c>
      <c r="MA18" s="170">
        <f t="shared" ca="1" si="91"/>
        <v>0.23530094218323697</v>
      </c>
      <c r="MB18" s="170" t="e">
        <f t="shared" ca="1" si="92"/>
        <v>#N/A</v>
      </c>
      <c r="MC18" s="170">
        <f t="shared" ca="1" si="176"/>
        <v>0.6018</v>
      </c>
      <c r="MD18" s="170">
        <f t="shared" ca="1" si="93"/>
        <v>0.52989392535414004</v>
      </c>
      <c r="ME18" s="170">
        <f ca="1">($AC18*($LT18/Control!$C$141)+$LM18*$LW18)/($AC18+$LM18)</f>
        <v>0.71612369323045078</v>
      </c>
      <c r="MF18" s="170" t="e">
        <f ca="1">IF(Control!$B$16&gt;=1000,0.92,IF(AND(720&lt;=Control!$B$16,1000&gt;Control!$B$16),(0.95+(Control!$B$16-720)*((0.92-0.95)/(1000-720))),IF(AND(360&lt;=Control!$B$16,720&gt;Control!$B$16),(1+(Control!$B$16-360)*((0.95-1)/(720-360))),IF(AND(40&lt;=Control!$B$16,360&gt;Control!$B$16),(1.05+(Control!$B$16-40)*((1.05-1)/(360-40)))))))</f>
        <v>#N/A</v>
      </c>
      <c r="MG18" s="170">
        <f t="shared" ca="1" si="94"/>
        <v>0.71612369323045078</v>
      </c>
      <c r="MH18" s="170" t="e">
        <f t="shared" ca="1" si="95"/>
        <v>#N/A</v>
      </c>
      <c r="MI18" s="170" t="e">
        <f t="shared" ca="1" si="95"/>
        <v>#N/A</v>
      </c>
      <c r="MJ18" s="170" t="e">
        <f ca="1">MAX(0.0001, Control!$C$132*$MI18*$DL18)</f>
        <v>#N/A</v>
      </c>
      <c r="MK18" s="170">
        <f ca="1">1/(0.76+1.5*($MG18/10))-(5-Control!$C$110)*0.1</f>
        <v>1.002845988140797</v>
      </c>
      <c r="ML18" s="173">
        <f ca="1">IF(Control!$C$110&lt;3,$MK18+($MG18-0.6)/(Control!$C$110*(Control!$C$110+3)), MAX(0.1, MIN(0.95,$MK18)))</f>
        <v>0.95</v>
      </c>
      <c r="MM18" s="173">
        <f ca="1">IF(Control!$C$110&lt;3,$MK18+(($MI18/10)-0.6)/(Control!$C$110*(Control!$C$110+3)), MAX(0.1, MIN(0.95,$MK18)))</f>
        <v>0.95</v>
      </c>
      <c r="MN18" s="173">
        <f ca="1">(1-$MM18)*(Control!$C$128-Control!$C$127)+Control!$C$127</f>
        <v>0.16</v>
      </c>
      <c r="MO18" s="170" t="e">
        <f ca="1">MAX(0,MIN(1,($MS18-Control!$C$127)/($MN18-Control!$C$127)))</f>
        <v>#DIV/0!</v>
      </c>
      <c r="MP18" s="173" t="e">
        <f ca="1">1/(0.76+1.5*$MI18)-(5-Control!$C$110)*0.1</f>
        <v>#N/A</v>
      </c>
      <c r="MQ18" s="172" t="e">
        <f t="shared" ca="1" si="209"/>
        <v>#DIV/0!</v>
      </c>
      <c r="MR18" s="168" t="e">
        <f t="shared" ca="1" si="226"/>
        <v>#DIV/0!</v>
      </c>
      <c r="MS18" s="173" t="e">
        <f ca="1">MAX(Control!$C$127, MIN(Control!$C$135, $MR18/MAX(0.0001,$CY18)))</f>
        <v>#DIV/0!</v>
      </c>
      <c r="MT18" s="168" t="e">
        <f ca="1">(Control!$C$128-$MS18)*Control!$C$74</f>
        <v>#DIV/0!</v>
      </c>
      <c r="MU18" s="168" t="e">
        <f ca="1">(Control!$C$135-$MS18)*Control!$C$74</f>
        <v>#DIV/0!</v>
      </c>
      <c r="MV18" s="168" t="e">
        <f t="shared" ca="1" si="210"/>
        <v>#DIV/0!</v>
      </c>
      <c r="MW18" s="168" t="e">
        <f t="shared" ca="1" si="177"/>
        <v>#DIV/0!</v>
      </c>
      <c r="MX18" s="171" t="e">
        <f ca="1">MAX(Control!$C$127, MIN(Control!$C$135, $MW18/MAX(0.0001,Control!$C$119-$CY18)))</f>
        <v>#DIV/0!</v>
      </c>
      <c r="MY18" s="54" t="e">
        <f ca="1">IF(Control!$C$114=1, $CX18*$MX18, 0)</f>
        <v>#DIV/0!</v>
      </c>
      <c r="MZ18" s="54" t="e">
        <f t="shared" ca="1" si="178"/>
        <v>#N/A</v>
      </c>
      <c r="NA18" s="168" t="e">
        <f ca="1">(Control!$C$128-$MX18)*(Control!$C$119-Control!$C$74)</f>
        <v>#DIV/0!</v>
      </c>
      <c r="NB18" s="168" t="e">
        <f ca="1">(Control!$C$135-$MX18)*(Control!$C$119-Control!$C$74)</f>
        <v>#DIV/0!</v>
      </c>
      <c r="NC18" s="174" t="e">
        <f t="shared" ca="1" si="179"/>
        <v>#DIV/0!</v>
      </c>
      <c r="ND18" s="54">
        <f ca="1">IF(Control!$C$58=2, IF(OR(Control!$B$218=$AH18,Control!$B$219=$AH18, Control!$B$220=$AH18, Control!$B$221=$AH18, Control!$B$222=$AH18, Control!$B$223=$AH18, Control!$B$224=$AH18, Control!$B$225=$AH18, Control!$B$226=$AH18, Control!$B$227=$AH18, Control!$B$228=$AH18), 1, 0), 0)</f>
        <v>0</v>
      </c>
      <c r="NE18" s="54">
        <f ca="1">IF($ND18=0,0, VLOOKUP($AH18,Control!$B$218:$C$228,2))</f>
        <v>0</v>
      </c>
      <c r="NF18" s="168" t="e">
        <f ca="1">$CY18*(Control!$C$128-Control!$C$127)</f>
        <v>#N/A</v>
      </c>
      <c r="NG18" s="54" t="e">
        <f ca="1">IF(Control!$C$58=2, $NI17-$NJ17, 0)</f>
        <v>#DIV/0!</v>
      </c>
      <c r="NH18" s="54" t="e">
        <f ca="1">IF(AND(Control!$C$58=1, $MS17&lt;= ($MN17+0.02), $I17&lt;10), 0, IF(Control!$C$58=2, $NG17, 0))</f>
        <v>#DIV/0!</v>
      </c>
      <c r="NI18" s="54" t="e">
        <f ca="1">IF(Control!$C$58=2, $NE18+$NH18,0)</f>
        <v>#DIV/0!</v>
      </c>
      <c r="NJ18" s="54" t="e">
        <f ca="1">IF(AND(Control!$C$58=1, $MS18&lt;= ($MN18+0.02), $I18&lt;10), MAX(0, MIN(10, 0.7*($NF18-$MV18))), IF(Control!$C$58=2, MIN(10,$NI18),0))</f>
        <v>#DIV/0!</v>
      </c>
      <c r="NK18" s="54" t="e">
        <f t="shared" ca="1" si="96"/>
        <v>#DIV/0!</v>
      </c>
      <c r="NL18" s="173" t="e">
        <f ca="1">(1-Control!$C$73)*$I18+$NJ18</f>
        <v>#DIV/0!</v>
      </c>
      <c r="NM18" s="172" t="e">
        <f ca="1">IF($NL18&lt;0.5, $MB18* MAX(0, MIN(1, (SQRT($NC18)-SQRT($NC18-1))*Control!$C$71)),0)</f>
        <v>#DIV/0!</v>
      </c>
      <c r="NN18" s="170" t="e">
        <f ca="1">IF($NL18&gt;=5, $MB18, MAX(0,MIN($MB18, $NM18+$NL18,($MS18-Control!$C$129))))</f>
        <v>#DIV/0!</v>
      </c>
      <c r="NO18" s="54">
        <f>IF(Control!$C$133&lt;&gt;1, Control!$C$135-Control!$C$131, 0)</f>
        <v>0.38</v>
      </c>
      <c r="NP18" s="54" t="e">
        <f t="shared" ca="1" si="97"/>
        <v>#DIV/0!</v>
      </c>
      <c r="NQ18" s="173" t="e">
        <f ca="1">MAX(0,MIN(1,(Control!$C$135-$MS18)/(Control!$C$135-$NO18)))</f>
        <v>#DIV/0!</v>
      </c>
      <c r="NR18" s="170" t="e">
        <f ca="1">IF(Control!$C$133&lt;&gt;1, $NQ18+((1-$NP18/4)*(1-$NQ18)),1)</f>
        <v>#DIV/0!</v>
      </c>
      <c r="NS18" s="170" t="e">
        <f ca="1">IF(Control!$B$31=0,$MJ18,MAX(0,MIN($MV18,$MO18*$NR18*$MJ18)))</f>
        <v>#DIV/0!</v>
      </c>
      <c r="NT18" s="170" t="e">
        <f t="shared" ca="1" si="227"/>
        <v>#DIV/0!</v>
      </c>
      <c r="NU18" s="170" t="e">
        <f t="shared" ca="1" si="180"/>
        <v>#N/A</v>
      </c>
      <c r="NV18" s="170" t="e">
        <f t="shared" ca="1" si="98"/>
        <v>#N/A</v>
      </c>
      <c r="NW18" s="175" t="e">
        <f t="shared" ca="1" si="99"/>
        <v>#DIV/0!</v>
      </c>
      <c r="NX18" s="170" t="e">
        <f ca="1">MIN(Control!$C$72+$MU18, $NW18)</f>
        <v>#DIV/0!</v>
      </c>
      <c r="NY18" s="170" t="e">
        <f ca="1">IF($MT18&lt;=$NX18,MIN(Control!$C$72+$NB18,$NX18-$MT18),0)</f>
        <v>#DIV/0!</v>
      </c>
      <c r="NZ18" s="54" t="e">
        <f ca="1">IF(Control!$C$114=1,  $CX18*($MX18-Control!$C$127), 0)</f>
        <v>#DIV/0!</v>
      </c>
      <c r="OA18" s="170" t="e">
        <f t="shared" ca="1" si="181"/>
        <v>#DIV/0!</v>
      </c>
      <c r="OB18" s="170" t="e">
        <f ca="1">IF($NA18 &lt;=$NY18, MIN(Control!$C$72, $NY18-$NA18), 0)</f>
        <v>#DIV/0!</v>
      </c>
      <c r="OC18" s="168" t="e">
        <f t="shared" ca="1" si="100"/>
        <v>#DIV/0!</v>
      </c>
      <c r="OD18" s="168" t="e">
        <f t="shared" ca="1" si="182"/>
        <v>#DIV/0!</v>
      </c>
      <c r="OE18" s="170">
        <f ca="1">Control!$C$73*$I18</f>
        <v>0</v>
      </c>
      <c r="OF18" s="176" t="e">
        <f t="shared" ca="1" si="101"/>
        <v>#DIV/0!</v>
      </c>
      <c r="OG18" s="168" t="e">
        <f t="shared" ca="1" si="102"/>
        <v>#DIV/0!</v>
      </c>
      <c r="OH18" s="168" t="e">
        <f t="shared" ca="1" si="103"/>
        <v>#DIV/0!</v>
      </c>
      <c r="OI18" s="168" t="e">
        <f t="shared" ca="1" si="104"/>
        <v>#DIV/0!</v>
      </c>
      <c r="OJ18" s="168" t="e">
        <f t="shared" ca="1" si="105"/>
        <v>#DIV/0!</v>
      </c>
      <c r="OK18" s="204" t="e">
        <f t="shared" ca="1" si="183"/>
        <v>#DIV/0!</v>
      </c>
      <c r="OL18" s="177">
        <f>Control!$C$127</f>
        <v>0.15</v>
      </c>
      <c r="OM18" s="182" t="e">
        <f t="shared" ca="1" si="106"/>
        <v>#N/A</v>
      </c>
      <c r="ON18" s="177">
        <f>Control!$C$128</f>
        <v>0.35</v>
      </c>
      <c r="OO18" s="182" t="e">
        <f t="shared" ca="1" si="107"/>
        <v>#N/A</v>
      </c>
      <c r="OP18" s="138">
        <f t="shared" ca="1" si="184"/>
        <v>0</v>
      </c>
      <c r="OQ18" s="138" t="e">
        <f t="shared" ca="1" si="211"/>
        <v>#DIV/0!</v>
      </c>
      <c r="OR18" s="138" t="e">
        <f t="shared" ca="1" si="185"/>
        <v>#DIV/0!</v>
      </c>
      <c r="OS18" s="137" t="e">
        <f t="shared" ca="1" si="212"/>
        <v>#DIV/0!</v>
      </c>
      <c r="OT18" s="139" t="e">
        <f t="shared" ca="1" si="213"/>
        <v>#DIV/0!</v>
      </c>
      <c r="OU18" s="138" t="e">
        <f t="shared" ca="1" si="214"/>
        <v>#N/A</v>
      </c>
      <c r="OV18" s="138" t="e">
        <f t="shared" ca="1" si="215"/>
        <v>#DIV/0!</v>
      </c>
      <c r="OW18" s="138" t="e">
        <f t="shared" ca="1" si="186"/>
        <v>#DIV/0!</v>
      </c>
      <c r="OX18" s="138" t="e">
        <f t="shared" ca="1" si="187"/>
        <v>#DIV/0!</v>
      </c>
      <c r="OY18" s="138" t="e">
        <f t="shared" ca="1" si="188"/>
        <v>#DIV/0!</v>
      </c>
      <c r="OZ18" s="138" t="e">
        <f t="shared" ca="1" si="108"/>
        <v>#DIV/0!</v>
      </c>
      <c r="PA18" s="138" t="e">
        <f t="shared" ca="1" si="109"/>
        <v>#DIV/0!</v>
      </c>
      <c r="PB18" s="55">
        <f>IF(Control!$C$61="T", IF(Control!$C$65="F", IF($AH$6-Control!$C$60&lt;0,0,1), IF(365+$AH$6-Control!$C$60&lt;0,0,1)),0)</f>
        <v>0</v>
      </c>
      <c r="PC18" s="55">
        <f ca="1">IF(Control!$C$65="F", IF($AH$6-$HF18&lt;0,0,1), IF(365+$AH$6-$HF18&lt;0,0,1))</f>
        <v>1</v>
      </c>
      <c r="PD18" s="444">
        <f>Control!$C$118</f>
        <v>1500</v>
      </c>
      <c r="PE18" s="180" t="e">
        <f t="shared" ca="1" si="110"/>
        <v>#N/A</v>
      </c>
      <c r="PF18" s="445">
        <f t="shared" ca="1" si="189"/>
        <v>0.71612369323045078</v>
      </c>
      <c r="PT18" s="186"/>
      <c r="PU18" s="186"/>
      <c r="PV18" s="94"/>
      <c r="PW18" s="94"/>
      <c r="PX18" s="94"/>
      <c r="PY18" s="94"/>
      <c r="PZ18" s="94"/>
      <c r="QA18" s="94"/>
      <c r="QB18" s="94"/>
      <c r="QC18" s="94"/>
      <c r="QD18" s="94"/>
      <c r="QE18" s="94"/>
      <c r="QF18" s="94"/>
      <c r="QG18" s="94"/>
      <c r="QH18" s="94"/>
      <c r="QI18" s="94"/>
      <c r="QJ18" s="94"/>
      <c r="QK18" s="94"/>
      <c r="QL18" s="94"/>
      <c r="QM18" s="94"/>
      <c r="QN18" s="94"/>
      <c r="QO18" s="94"/>
      <c r="QP18" s="94"/>
    </row>
    <row r="19" spans="1:458" s="2" customFormat="1" x14ac:dyDescent="0.2">
      <c r="A19" s="386">
        <v>14</v>
      </c>
      <c r="B19" s="387">
        <v>1</v>
      </c>
      <c r="C19" s="387">
        <f ca="1">Weather_data!$B18</f>
        <v>0</v>
      </c>
      <c r="D19" s="388">
        <f ca="1">Weather_data!$F18</f>
        <v>0</v>
      </c>
      <c r="E19" s="388">
        <f ca="1">Weather_data!$E18</f>
        <v>0</v>
      </c>
      <c r="F19" s="388">
        <f t="shared" ca="1" si="111"/>
        <v>0</v>
      </c>
      <c r="G19" s="388">
        <f ca="1">AVERAGE($D19:$E19)+Control!$B$9</f>
        <v>0</v>
      </c>
      <c r="H19" s="388">
        <f ca="1">Weather_data!$G18</f>
        <v>0</v>
      </c>
      <c r="I19" s="388">
        <f ca="1">Weather_data!$I18</f>
        <v>0</v>
      </c>
      <c r="J19" s="388">
        <f ca="1">Weather_data!$H18</f>
        <v>0</v>
      </c>
      <c r="K19" s="389">
        <f ca="1">Weather_data!$D18</f>
        <v>0</v>
      </c>
      <c r="L19" s="388" t="e">
        <f t="shared" ca="1" si="112"/>
        <v>#N/A</v>
      </c>
      <c r="M19" s="388" t="e">
        <f t="shared" ca="1" si="0"/>
        <v>#N/A</v>
      </c>
      <c r="N19" s="388">
        <f t="shared" ca="1" si="1"/>
        <v>-0.12709329141644995</v>
      </c>
      <c r="O19" s="388">
        <f t="shared" ca="1" si="113"/>
        <v>1.2709329141644996</v>
      </c>
      <c r="P19" s="390">
        <v>3</v>
      </c>
      <c r="Q19" s="388">
        <f ca="1">MAX($G19-Control!$C$107,0)</f>
        <v>0</v>
      </c>
      <c r="R19" s="388">
        <f t="shared" ca="1" si="114"/>
        <v>0</v>
      </c>
      <c r="S19" s="388">
        <f t="shared" ca="1" si="2"/>
        <v>0</v>
      </c>
      <c r="T19" s="388">
        <f t="shared" ca="1" si="3"/>
        <v>0</v>
      </c>
      <c r="U19" s="59">
        <f t="shared" ca="1" si="4"/>
        <v>0</v>
      </c>
      <c r="V19" s="391">
        <f ca="1">MAX(0,MIN(Control!$C$100-Control!$C$99,$G19-Control!$C$99)*Control!$C$63)</f>
        <v>0</v>
      </c>
      <c r="W19" s="388">
        <f t="shared" ca="1" si="190"/>
        <v>0</v>
      </c>
      <c r="X19" s="388">
        <f t="shared" ca="1" si="115"/>
        <v>0.6110000000000001</v>
      </c>
      <c r="Y19" s="388">
        <f t="shared" ca="1" si="116"/>
        <v>0</v>
      </c>
      <c r="Z19" s="388">
        <f t="shared" ca="1" si="117"/>
        <v>0.61058800000000002</v>
      </c>
      <c r="AA19" s="388">
        <f t="shared" ca="1" si="5"/>
        <v>0.6018</v>
      </c>
      <c r="AB19" s="388">
        <f ca="1">101.3*EXP(-0.034*Control!$C$66/($G19+273))</f>
        <v>100.69623283836242</v>
      </c>
      <c r="AC19" s="392">
        <f t="shared" ca="1" si="6"/>
        <v>4.3460251046025113E-2</v>
      </c>
      <c r="AD19" s="392">
        <f t="shared" ca="1" si="7"/>
        <v>4.4450382862832649E-2</v>
      </c>
      <c r="AE19" s="388">
        <f t="shared" ca="1" si="8"/>
        <v>0</v>
      </c>
      <c r="AF19" s="388">
        <f ca="1">MAX(0,$G19-Control!$C$92)</f>
        <v>0</v>
      </c>
      <c r="AG19" s="393">
        <f t="shared" ca="1" si="118"/>
        <v>14</v>
      </c>
      <c r="AH19" s="389">
        <f t="shared" ca="1" si="9"/>
        <v>14</v>
      </c>
      <c r="AI19" s="388">
        <f t="shared" ca="1" si="119"/>
        <v>-0.37306100255566144</v>
      </c>
      <c r="AJ19" s="388">
        <f ca="1">IF(Control!$C$60&lt;=0,$HH19,$HI19)</f>
        <v>1</v>
      </c>
      <c r="AK19" s="388">
        <f t="shared" ca="1" si="10"/>
        <v>-1.1361376171886375</v>
      </c>
      <c r="AL19" s="388">
        <f t="shared" ca="1" si="11"/>
        <v>1.4878202836410282E-18</v>
      </c>
      <c r="AM19" s="388">
        <f t="shared" ca="1" si="12"/>
        <v>-1.1361376171886375</v>
      </c>
      <c r="AN19" s="388">
        <f t="shared" ca="1" si="13"/>
        <v>-0.36913635219029806</v>
      </c>
      <c r="AO19" s="388">
        <f ca="1">-0.10453/COS(Control!$B$8*PI()/180)*COS(AN19)</f>
        <v>-0.15834803798535635</v>
      </c>
      <c r="AP19" s="388">
        <f ca="1">ACOS(AO19-TAN(Control!$B$8*PI()/180)*TAN(AN19))</f>
        <v>1.2272557606853169</v>
      </c>
      <c r="AQ19" s="388">
        <f t="shared" ca="1" si="120"/>
        <v>0</v>
      </c>
      <c r="AR19" s="394">
        <f t="shared" ca="1" si="14"/>
        <v>0</v>
      </c>
      <c r="AS19" s="436">
        <f ca="1">IF(Control!$B$18=2,(IF(OR($AH19=Control!$B$175,$AH19=Control!$B$176,$AH19=Control!$B$177,$AH19=Control!$B$178,$AH19=Control!$B$179,$AH19=Control!$B$180,$AH19=Control!$B$181,$AH19=Control!$B$182,$AH19=Control!$B$183,$AH19=Control!$B$184,$AH19=Control!$B$185),1,0)),0)</f>
        <v>0</v>
      </c>
      <c r="AT19" s="436">
        <f>IF(Control!$B$20=8,IF(AND($AH19&gt;=Control!$B$172,$AH19&lt;=Control!$B$173),1,0),0)</f>
        <v>0</v>
      </c>
      <c r="AU19" s="436">
        <f>IF(Control!$B$20=8,IF($AV18=1,1*$AT19,IF($AT19=1,$AU18+1,$AU18)),0)</f>
        <v>0</v>
      </c>
      <c r="AV19" s="436">
        <f>IF(Control!$B$20=8,IF($AU19&gt;=Control!$B$174,1,0),0)</f>
        <v>0</v>
      </c>
      <c r="AW19" s="436">
        <f ca="1">IF(AND(Control!$B$18=2,Control!$B$171=1), $AV19, $AS19)</f>
        <v>0</v>
      </c>
      <c r="AX19" s="436" t="e">
        <f ca="1">IF(AND(Control!$B$18=1,$EU19&gt;=Control!$B$19),-$AY19,IF(AND(Control!$B$18=2,$AW19=1,$EU19&gt;$DS19),-$AY19, IF(Control!$C$108=0,0, IF(Control!$C$108&lt;&gt;0,1))))</f>
        <v>#N/A</v>
      </c>
      <c r="AY19" s="436" t="e">
        <f t="shared" ca="1" si="121"/>
        <v>#N/A</v>
      </c>
      <c r="AZ19" s="436" t="e">
        <f ca="1">IF(AND(Control!$B$18=1,$EB19&gt;Control!$B$19),$AZ18+1, IF(AND(Control!$B$18=2, $AW19=1, $EB19&gt;$DS19), $AZ18+1,$AZ18))</f>
        <v>#N/A</v>
      </c>
      <c r="BA19" s="587">
        <f>IF(Control!$C$81=0,1,IF($AH19&gt;=Control!$C$82,1,0))</f>
        <v>1</v>
      </c>
      <c r="BB19" s="140" t="e">
        <f ca="1">IF($BA19&gt;$BA18,Control!$C$83,IF($AW19&gt;0,$AW19*Control!$C$84,IF(AND(Control!$B$18=1,EN18&lt;&gt;0),Control!$C$84,0)))</f>
        <v>#N/A</v>
      </c>
      <c r="BC19" s="140" t="e">
        <f t="shared" ca="1" si="122"/>
        <v>#N/A</v>
      </c>
      <c r="BD19" s="140" t="e">
        <f ca="1">BC19*IF(OR($G19&lt;Control!$C$92,$G19&gt;Control!$C$95),0,IF(AND($G19&gt;=Control!$C$92,$G19&lt;=Control!$C$93),$G19-Control!$C$92,IF(AND($G19&gt;Control!$C$93,$G19&lt;=Control!$C$94),Control!$C$93-Control!$C$92,IF(AND($G19&gt;Control!$C$94,$G19&lt;=Control!$C$95),(Control!$C$93-Control!$C$92)*(Control!$C$94-$G19)/(Control!$C$95-Control!$C$94)))))</f>
        <v>#N/A</v>
      </c>
      <c r="BE19" s="140" t="e">
        <f t="shared" ca="1" si="123"/>
        <v>#N/A</v>
      </c>
      <c r="BF19" s="140" t="e">
        <f ca="1">IF($BE19&lt;=Control!$C$86,$BE19,Control!$C$86-$BE19)</f>
        <v>#N/A</v>
      </c>
      <c r="BG19" s="140" t="e">
        <f ca="1">IF(AND($AW19=1,Control!$C$84&lt;9),1,IF($BE19&gt;=Control!$C$86,0,$BC19))</f>
        <v>#N/A</v>
      </c>
      <c r="BH19" s="404" t="e">
        <f ca="1">IF($BG19=0,0,IF($BE19&lt;=Control!$C$86,$BC19*9*($BF19/Control!$C$86),0))</f>
        <v>#N/A</v>
      </c>
      <c r="BI19" s="140" t="e">
        <f ca="1">IF($BG19=1,0,IF($BE19&gt;=Control!$C$86,1,IF(AND($BB19&lt;21,$BB19&gt;=9),1,$BM18)))</f>
        <v>#N/A</v>
      </c>
      <c r="BJ19" s="140" t="e">
        <f ca="1">IF($BF19&lt;0,-$BF19,$BI19*IF(OR($G19&lt;Control!$C$92,$G19&gt;Control!$C$95),0,IF(AND($G19&gt;=Control!$C$92,$G19&lt;=Control!$C$93),$G19-Control!$C$92,IF(AND($G19&gt;Control!$C$93,$G19&lt;=Control!$C$94),Control!$C$93-Control!$C$92,IF(AND($G19&gt;Control!$C$94,$G19&lt;=Control!$C$95),(Control!$C$93-Control!$C$92)*(Control!$C$94-$G19)/(Control!$C$95-Control!$C$94))))))</f>
        <v>#N/A</v>
      </c>
      <c r="BK19" s="140" t="e">
        <f t="shared" ca="1" si="124"/>
        <v>#N/A</v>
      </c>
      <c r="BL19" s="140" t="e">
        <f ca="1">IF($BK19&lt;=Control!$C$87,$BK19,Control!$C$87-$BK19)</f>
        <v>#N/A</v>
      </c>
      <c r="BM19" s="140" t="e">
        <f ca="1">IF(AND($BB19&gt;=9,$BB19&lt;21),1,IF($BK19&gt;=Control!$C$87,0,$BI19))</f>
        <v>#N/A</v>
      </c>
      <c r="BN19" s="404" t="e">
        <f ca="1">IF($BM19=0,0,IF($BK19&lt;=Control!$C$87,$BI19*(9+(21-9)*($BL19/Control!$C$87)),0))</f>
        <v>#N/A</v>
      </c>
      <c r="BO19" s="140" t="e">
        <f ca="1">IF($BM19=1,0,IF($BK19&gt;=Control!$C$87,1,IF(AND($BB19&lt;30,$BB19&gt;=21),1,$BS18)))</f>
        <v>#N/A</v>
      </c>
      <c r="BP19" s="140" t="e">
        <f ca="1">IF($BL19&lt;0,-$BL19,$BO19*IF(OR($G19&lt;Control!$C$92,$G19&gt;Control!$C$95),0,IF(AND($G19&gt;=Control!$C$92,$G19&lt;=Control!$C$93),$G19-Control!$C$92,IF(AND($G19&gt;Control!$C$93,$G19&lt;=Control!$C$94),Control!$C$93-Control!$C$92,IF(AND($G19&gt;Control!$C$94,$G19&lt;=Control!$C$95),(Control!$C$93-Control!$C$92)*(Control!$C$94-$G19)/(Control!$C$95-Control!$C$94))))))</f>
        <v>#N/A</v>
      </c>
      <c r="BQ19" s="140" t="e">
        <f t="shared" ca="1" si="15"/>
        <v>#N/A</v>
      </c>
      <c r="BR19" s="140" t="e">
        <f ca="1">IF($BQ19&lt;=Control!$C$88,$BQ19,Control!$C$88-$BQ19)</f>
        <v>#N/A</v>
      </c>
      <c r="BS19" s="140" t="e">
        <f ca="1">IF(AND($BB19&gt;=21,$BB19&lt;30),1,IF($BQ19&gt;=Control!$C$88,0,$BO19))</f>
        <v>#N/A</v>
      </c>
      <c r="BT19" s="404" t="e">
        <f ca="1">IF($BS19=0,0,IF($BQ19&lt;=Control!$C$88,$BO19*(21+(30-21)*(BR19/Control!$C$88)),0))</f>
        <v>#N/A</v>
      </c>
      <c r="BU19" s="140" t="e">
        <f ca="1">IF(BG19+BM19+BS19=1,0,IF(OR(AND($BB19&lt;60,$BB19&gt;=30),$BQ19&gt;=Control!$C$88),1*$BA19,$BY18))</f>
        <v>#N/A</v>
      </c>
      <c r="BV19" s="140" t="e">
        <f ca="1">IF($BR19&lt;0,-$BR19,$BU19*IF(OR($G19&lt;Control!$C$92,$G19&gt;Control!$C$95),0,IF(AND($G19&gt;=Control!$C$92,$G19&lt;=Control!$C$93),$G19-Control!$C$92,IF(AND($G19&gt;Control!$C$93,$G19&lt;=Control!$C$94),Control!$C$93-Control!$C$92,IF(AND($G19&gt;Control!$C$94,$G19&lt;=Control!$C$95),(Control!$C$93-Control!$C$92)*(Control!$C$94-$G19)/(Control!$C$95-Control!$C$94))))))</f>
        <v>#N/A</v>
      </c>
      <c r="BW19" s="140" t="e">
        <f t="shared" ca="1" si="16"/>
        <v>#N/A</v>
      </c>
      <c r="BX19" s="140" t="e">
        <f ca="1">IF($BW19&lt;=Control!$C$89,$BW19,Control!$C$89-$BW19)</f>
        <v>#N/A</v>
      </c>
      <c r="BY19" s="140" t="e">
        <f ca="1">IF(AND($AJ19&gt;=30,$AJ19&lt;60),1,IF($BW19&gt;=Control!$C$89,0,$BU19))</f>
        <v>#N/A</v>
      </c>
      <c r="BZ19" s="404" t="e">
        <f ca="1">IF($BY19=0,0,IF($BW19&lt;=Control!$C$89,$BU19*(30+(60-30)*(BX19/Control!$C$89)),0))</f>
        <v>#N/A</v>
      </c>
      <c r="CA19" s="140" t="e">
        <f ca="1">IF($BG19+$BM19+$BS19+$BY19=1,0,IF(OR(AND($BB19&lt;65,$BB19&gt;=60),$BW19&gt;=Control!$C$89),1*$BA19,$CE18))</f>
        <v>#N/A</v>
      </c>
      <c r="CB19" s="140" t="e">
        <f ca="1">IF($BX19&lt;0,-$BX19,$CA19*IF(OR($G19&lt;Control!$C$92,$G19&gt;Control!$C$95),0,IF(AND($G19&gt;=Control!$C$92,$G19&lt;=Control!$C$93),$G19-Control!$C$92,IF(AND($G19&gt;Control!$C$93,$G19&lt;=Control!$C$94),Control!$C$93-Control!$C$92,IF(AND($G19&gt;Control!$C$94,$G19&lt;=Control!$C$95),(Control!$C$93-Control!$C$92)*(Control!$C$94-$G19)/(Control!$C$95-Control!$C$94))))))</f>
        <v>#N/A</v>
      </c>
      <c r="CC19" s="140" t="e">
        <f t="shared" ca="1" si="125"/>
        <v>#N/A</v>
      </c>
      <c r="CD19" s="140" t="e">
        <f ca="1">IF($CC19&lt;=Control!$C$90,$CC19,Control!$C$90-$CC19)</f>
        <v>#N/A</v>
      </c>
      <c r="CE19" s="140" t="e">
        <f ca="1">IF(AND($BB19&gt;=60,$BB19&lt;65),1,IF($CC19&gt;=Control!$C$90,0,$CA19))</f>
        <v>#N/A</v>
      </c>
      <c r="CF19" s="404" t="e">
        <f ca="1">IF($CE19=0,0,IF($CC19&lt;=Control!$C$90,$CA19*(60+(65-60)*(CD19/Control!$C$90)),0))</f>
        <v>#N/A</v>
      </c>
      <c r="CG19" s="140" t="e">
        <f ca="1">IF($BG19+$BM19+$BS19+$BY19+$CE19=1,0,IF(OR(AND($BB19&lt;90,$BB19&gt;=65),$CC19&gt;=Control!$C$90),$BA19,$CK18))</f>
        <v>#N/A</v>
      </c>
      <c r="CH19" s="140" t="e">
        <f ca="1">IF($CD19&lt;0,-$CD19,$CG19*IF(OR($G19&lt;Control!$C$92,$G19&gt;Control!$C$95),0,IF(AND($G19&gt;=Control!$C$92,$G19&lt;=Control!$C$93),$G19-Control!$C$92,IF(AND($G19&gt;Control!$C$93,$G19&lt;=Control!$C$94),Control!$C$93-Control!$C$92,IF(AND($G19&gt;Control!$C$94,$G19&lt;=Control!$C$95),(Control!$C$93-Control!$C$92)*(Control!$C$94-$G19)/(Control!$C$95-Control!$C$94))))))</f>
        <v>#N/A</v>
      </c>
      <c r="CI19" s="140" t="e">
        <f t="shared" ca="1" si="126"/>
        <v>#N/A</v>
      </c>
      <c r="CJ19" s="140" t="e">
        <f ca="1">IF($CI19&lt;=Control!$C$91,$CI19,Control!$C$91-$CI19)</f>
        <v>#N/A</v>
      </c>
      <c r="CK19" s="140" t="e">
        <f ca="1">IF(AND($BB19&gt;=65,$BB19&lt;90),1,IF($CI19&gt;=Control!$C$91,0,$CG19))</f>
        <v>#N/A</v>
      </c>
      <c r="CL19" s="404" t="e">
        <f ca="1">IF($CK19=0,0,IF($CI19&lt;=Control!$C$91,$CG19*(65+(90-65)*($CJ19/Control!$C$91)),0))</f>
        <v>#N/A</v>
      </c>
      <c r="CM19" s="140" t="e">
        <f ca="1">IF($BG19+$BM19+$BS19+$BY19+$CE19+$CK19=1,0,IF(OR($BB19&gt;=90,$CI19&gt;=Control!$C$91),$BA19,$CM18))</f>
        <v>#N/A</v>
      </c>
      <c r="CN19" s="140" t="e">
        <f t="shared" ca="1" si="127"/>
        <v>#N/A</v>
      </c>
      <c r="CO19" s="140" t="e">
        <f t="shared" ca="1" si="128"/>
        <v>#N/A</v>
      </c>
      <c r="CP19" s="140" t="e">
        <f t="shared" ca="1" si="129"/>
        <v>#N/A</v>
      </c>
      <c r="CQ19" s="141" t="e">
        <f ca="1">VLOOKUP($CP19,Control!$B$86:$G$91,6)</f>
        <v>#N/A</v>
      </c>
      <c r="CR19" s="141" t="e">
        <f ca="1">(1-$CQ19)*VLOOKUP($CP19,Control!$B$86:$D$91,3)</f>
        <v>#N/A</v>
      </c>
      <c r="CS19" s="141" t="e">
        <f ca="1">(1-$CQ19)*VLOOKUP($CP19,Control!$B$86:$E$91,4)</f>
        <v>#N/A</v>
      </c>
      <c r="CT19" s="141" t="e">
        <f ca="1">(1-$CQ19)*VLOOKUP($CP19,Control!$B$86:$F$91,5)</f>
        <v>#N/A</v>
      </c>
      <c r="CU19" s="141">
        <f t="shared" ca="1" si="130"/>
        <v>0</v>
      </c>
      <c r="CV19" s="583">
        <f t="shared" ca="1" si="131"/>
        <v>0</v>
      </c>
      <c r="CW19" s="142">
        <f t="shared" ca="1" si="132"/>
        <v>14</v>
      </c>
      <c r="CX19" s="612" t="e">
        <f ca="1">IF(Control!$C$114=1,(MIN(Control!$C$120*(IF($NT19-0.01&lt;0,0,1)),Control!$C$119-$CY19)))</f>
        <v>#DIV/0!</v>
      </c>
      <c r="CY19" s="143" t="e">
        <f t="shared" ca="1" si="133"/>
        <v>#N/A</v>
      </c>
      <c r="CZ19" s="144">
        <f t="shared" ca="1" si="17"/>
        <v>0</v>
      </c>
      <c r="DA19" s="144">
        <f t="shared" ca="1" si="18"/>
        <v>0</v>
      </c>
      <c r="DB19" s="144" t="e">
        <f t="shared" ca="1" si="19"/>
        <v>#N/A</v>
      </c>
      <c r="DC19" s="144" t="e">
        <f t="shared" ca="1" si="20"/>
        <v>#N/A</v>
      </c>
      <c r="DD19" s="144" t="e">
        <f t="shared" ca="1" si="216"/>
        <v>#N/A</v>
      </c>
      <c r="DE19" s="143" t="e">
        <f t="shared" ca="1" si="135"/>
        <v>#N/A</v>
      </c>
      <c r="DF19" s="145" t="e">
        <f ca="1">$DR19*EXP(-Control!$C$158*(1-$KH19))</f>
        <v>#N/A</v>
      </c>
      <c r="DG19" s="146" t="e">
        <f ca="1">IF(Control!$C$114=1, $DF19*$EY19, 0)</f>
        <v>#N/A</v>
      </c>
      <c r="DH19" s="147" t="e">
        <f t="shared" ca="1" si="136"/>
        <v>#N/A</v>
      </c>
      <c r="DI19" s="144" t="e">
        <f t="shared" ca="1" si="191"/>
        <v>#N/A</v>
      </c>
      <c r="DJ19" s="147" t="e">
        <f ca="1">$EF19*Control!$C$109</f>
        <v>#N/A</v>
      </c>
      <c r="DK19" s="144" t="e">
        <f t="shared" ca="1" si="137"/>
        <v>#N/A</v>
      </c>
      <c r="DL19" s="144" t="e">
        <f t="shared" ca="1" si="21"/>
        <v>#N/A</v>
      </c>
      <c r="DM19" s="144" t="e">
        <f ca="1">IF(Control!$C$114=1, (1-EXP(-Control!$C$96*$DK19))*$AR19, 0)</f>
        <v>#N/A</v>
      </c>
      <c r="DN19" s="144">
        <f t="shared" ca="1" si="138"/>
        <v>0</v>
      </c>
      <c r="DO19" s="148">
        <f>Control!$C$97</f>
        <v>4</v>
      </c>
      <c r="DP19" s="145" t="e">
        <f t="shared" ca="1" si="139"/>
        <v>#N/A</v>
      </c>
      <c r="DQ19" s="145" t="e">
        <f ca="1">IF(AND($CP19&gt;=0,$CP19&lt;=90),Control!$C$111,Control!$C$111)</f>
        <v>#N/A</v>
      </c>
      <c r="DR19" s="145" t="e">
        <f t="shared" ca="1" si="22"/>
        <v>#N/A</v>
      </c>
      <c r="DS19" s="143" t="e">
        <f ca="1">Control!$B$22/$DR19</f>
        <v>#N/A</v>
      </c>
      <c r="DT19" s="149" t="e">
        <f ca="1">IF(AND(Control!$C$114=1,$KH19&lt;1),$IM19*$DF19, 0)</f>
        <v>#N/A</v>
      </c>
      <c r="DU19" s="144" t="e">
        <f t="shared" ca="1" si="192"/>
        <v>#N/A</v>
      </c>
      <c r="DV19" s="144">
        <f ca="1">IF($G19-Control!$C$107&lt;=0, 0, 0.83*LN(MAX($G19, 3))-0.8924)</f>
        <v>0</v>
      </c>
      <c r="DW19" s="144" t="e">
        <f t="shared" ca="1" si="23"/>
        <v>#N/A</v>
      </c>
      <c r="DX19" s="150" t="e">
        <f ca="1">MAX(0.01*(1+$CU19/Control!$C$102),0.05*($DK19-Control!$C$97)/Control!$C$97)</f>
        <v>#N/A</v>
      </c>
      <c r="DY19" s="151" t="e">
        <f ca="1">IF(Control!$C$114=1, $DI19*$FS19, 0)</f>
        <v>#N/A</v>
      </c>
      <c r="DZ19" s="196" t="e">
        <f t="shared" ca="1" si="140"/>
        <v>#N/A</v>
      </c>
      <c r="EA19" s="152">
        <f t="shared" ca="1" si="141"/>
        <v>14</v>
      </c>
      <c r="EB19" s="153" t="e">
        <f t="shared" ca="1" si="217"/>
        <v>#N/A</v>
      </c>
      <c r="EC19" s="153" t="e">
        <f t="shared" ca="1" si="142"/>
        <v>#N/A</v>
      </c>
      <c r="ED19" s="154" t="e">
        <f ca="1">IF(Control!$C$114=1, $HM19*$FY19-$FD19, 0)</f>
        <v>#DIV/0!</v>
      </c>
      <c r="EE19" s="155" t="e">
        <f ca="1">IF(Control!$C$114=1, $HM19*$FZ19-$FF19, 0)</f>
        <v>#DIV/0!</v>
      </c>
      <c r="EF19" s="153" t="e">
        <f t="shared" ca="1" si="193"/>
        <v>#N/A</v>
      </c>
      <c r="EG19" s="155" t="e">
        <f ca="1">IF(Control!$C$114=1, $GX19*$FW19-$FI19, 0)</f>
        <v>#DIV/0!</v>
      </c>
      <c r="EH19" s="153" t="e">
        <f t="shared" ca="1" si="143"/>
        <v>#N/A</v>
      </c>
      <c r="EI19" s="156" t="e">
        <f t="shared" ca="1" si="144"/>
        <v>#N/A</v>
      </c>
      <c r="EJ19" s="155" t="e">
        <f ca="1">IF(Control!$C$114=1, $HM19*$GB19, 0)</f>
        <v>#DIV/0!</v>
      </c>
      <c r="EK19" s="153" t="e">
        <f t="shared" ca="1" si="194"/>
        <v>#N/A</v>
      </c>
      <c r="EL19" s="153" t="e">
        <f t="shared" ca="1" si="24"/>
        <v>#N/A</v>
      </c>
      <c r="EM19" s="153" t="e">
        <f t="shared" ca="1" si="25"/>
        <v>#N/A</v>
      </c>
      <c r="EN19" s="153" t="e">
        <f ca="1">IF(Control!$C$108=1,IF(AND(Control!$B$18=1,$EB19&gt;=Control!$B$19),$EB19-$DS19,IF(AND(Control!$B$18=2,$AW19=1,$EB19&gt;$DS19),$EB19-$DS19,0)))</f>
        <v>#N/A</v>
      </c>
      <c r="EO19" s="153" t="e">
        <f ca="1">IF(Control!$C$108=1,IF(AND(Control!$B$18=1,$EB19&gt;=Control!$B$19),$EF19,IF(AND(Control!$B$18=2,$AW19=1),$EF19,0)))</f>
        <v>#N/A</v>
      </c>
      <c r="EP19" s="153" t="e">
        <f ca="1">IF(Control!$C$108=1,IF(AND(Control!$B$18=1,$EB19&gt;=Control!$B$19),$EK19,IF(AND(Control!$B$18=2,$AW19=1),$EK19,0)))</f>
        <v>#N/A</v>
      </c>
      <c r="EQ19" s="153" t="e">
        <f t="shared" ca="1" si="145"/>
        <v>#N/A</v>
      </c>
      <c r="ER19" s="153" t="e">
        <f t="shared" ca="1" si="195"/>
        <v>#N/A</v>
      </c>
      <c r="ES19" s="153" t="e">
        <f t="shared" ca="1" si="196"/>
        <v>#N/A</v>
      </c>
      <c r="ET19" s="153" t="e">
        <f t="shared" ca="1" si="197"/>
        <v>#N/A</v>
      </c>
      <c r="EU19" s="153" t="e">
        <f t="shared" ca="1" si="198"/>
        <v>#N/A</v>
      </c>
      <c r="EV19" s="153" t="e">
        <f t="shared" ca="1" si="146"/>
        <v>#N/A</v>
      </c>
      <c r="EW19" s="153" t="e">
        <f t="shared" ca="1" si="218"/>
        <v>#N/A</v>
      </c>
      <c r="EX19" s="153" t="e">
        <f t="shared" ca="1" si="26"/>
        <v>#N/A</v>
      </c>
      <c r="EY19" s="157" t="e">
        <f t="shared" ca="1" si="147"/>
        <v>#DIV/0!</v>
      </c>
      <c r="EZ19" s="154" t="e">
        <f t="shared" ca="1" si="27"/>
        <v>#DIV/0!</v>
      </c>
      <c r="FA19" s="153" t="e">
        <f t="shared" ca="1" si="199"/>
        <v>#N/A</v>
      </c>
      <c r="FB19" s="153" t="e">
        <f t="shared" ca="1" si="28"/>
        <v>#N/A</v>
      </c>
      <c r="FC19" s="193" t="e">
        <f t="shared" ca="1" si="29"/>
        <v>#N/A</v>
      </c>
      <c r="FD19" s="158" t="e">
        <f t="shared" ca="1" si="200"/>
        <v>#N/A</v>
      </c>
      <c r="FE19" s="158" t="e">
        <f t="shared" ca="1" si="148"/>
        <v>#N/A</v>
      </c>
      <c r="FF19" s="159" t="e">
        <f t="shared" ca="1" si="30"/>
        <v>#N/A</v>
      </c>
      <c r="FG19" s="160" t="e">
        <f t="shared" ca="1" si="149"/>
        <v>#N/A</v>
      </c>
      <c r="FH19" s="158" t="e">
        <f t="shared" ca="1" si="150"/>
        <v>#N/A</v>
      </c>
      <c r="FI19" s="159" t="e">
        <f t="shared" ca="1" si="31"/>
        <v>#N/A</v>
      </c>
      <c r="FJ19" s="160" t="e">
        <f t="shared" ca="1" si="151"/>
        <v>#N/A</v>
      </c>
      <c r="FK19" s="160" t="e">
        <f t="shared" ca="1" si="32"/>
        <v>#N/A</v>
      </c>
      <c r="FL19" s="160" t="e">
        <f t="shared" ca="1" si="229"/>
        <v>#N/A</v>
      </c>
      <c r="FM19" s="160" t="e">
        <f t="shared" ca="1" si="33"/>
        <v>#N/A</v>
      </c>
      <c r="FN19" s="158">
        <f t="shared" ca="1" si="219"/>
        <v>0.01</v>
      </c>
      <c r="FO19" s="160">
        <f>Control!$C$101</f>
        <v>50</v>
      </c>
      <c r="FP19" s="150" t="e">
        <f t="shared" ca="1" si="34"/>
        <v>#N/A</v>
      </c>
      <c r="FQ19" s="150" t="e">
        <f ca="1">MAX(0,(Control!$C$112*(($DK19-Control!$C$97)/Control!$C$97)))</f>
        <v>#N/A</v>
      </c>
      <c r="FR19" s="150" t="e">
        <f ca="1">(1-$NT19)*Control!$C$113</f>
        <v>#DIV/0!</v>
      </c>
      <c r="FS19" s="198" t="e">
        <f t="shared" ca="1" si="35"/>
        <v>#N/A</v>
      </c>
      <c r="FT19" s="161">
        <f t="shared" ca="1" si="152"/>
        <v>14</v>
      </c>
      <c r="FU19" s="162" t="e">
        <f ca="1">IF(Control!$B$34=1,VLOOKUP($CP19,Control!$B$86:$G$91,6),Control!$B$35)</f>
        <v>#N/A</v>
      </c>
      <c r="FV19" s="162" t="e">
        <f t="shared" ca="1" si="36"/>
        <v>#DIV/0!</v>
      </c>
      <c r="FW19" s="162" t="e">
        <f ca="1">IF(Control!$B$31=1,$FU19*$FV19,  $FU19)</f>
        <v>#N/A</v>
      </c>
      <c r="FX19" s="162" t="e">
        <f ca="1">IF(Control!$B$34=1,VLOOKUP($CP19,Control!$B$86:$G$91,3),Control!$B$36)</f>
        <v>#N/A</v>
      </c>
      <c r="FY19" s="162" t="e">
        <f t="shared" ca="1" si="37"/>
        <v>#N/A</v>
      </c>
      <c r="FZ19" s="162" t="e">
        <f ca="1">IF(Control!$B$34=1,VLOOKUP($CP19,Control!$B$86:$G$91,4),Control!$B$37)</f>
        <v>#N/A</v>
      </c>
      <c r="GA19" s="162" t="e">
        <f t="shared" ca="1" si="38"/>
        <v>#N/A</v>
      </c>
      <c r="GB19" s="162" t="e">
        <f ca="1">IF(Control!$B$34=1,VLOOKUP($CP19,Control!$B$86:$G$91,5),Control!$B$38)</f>
        <v>#N/A</v>
      </c>
      <c r="GC19" s="162" t="e">
        <f t="shared" ca="1" si="153"/>
        <v>#N/A</v>
      </c>
      <c r="GD19" s="162">
        <f t="shared" ca="1" si="39"/>
        <v>1</v>
      </c>
      <c r="GE19" s="162">
        <f t="shared" ca="1" si="40"/>
        <v>1</v>
      </c>
      <c r="GF19" s="162">
        <f ca="1">IF(AND(Control!$C$104=1, Control!$C$62="F"),$GE19,1)</f>
        <v>1</v>
      </c>
      <c r="GG19" s="162" t="e">
        <f ca="1">IF(Control!$B$16=40,0,IF(AND(Control!$B$16&gt;40,Control!$B$16&lt;=360),(Control!$B$16-40)*((1-0)/(360-40)),IF(AND(Control!$B$16&gt;360,Control!$B$16&lt;=720),(1+(Control!$B$16-360)*((1.25-1)/(720-360))),IF(AND(Control!$B$16&gt;720,Control!$B$16&lt;=1000),(1.25+(Control!$B$16-720)*((1.35-1.25)/(1000-720))),IF(AND(Control!$B$16&gt;1000,Control!$B$16&lt;=2000),(1.35+(Control!$B$16-1000)*0))))))</f>
        <v>#N/A</v>
      </c>
      <c r="GH19" s="162" t="e">
        <f t="shared" ca="1" si="41"/>
        <v>#N/A</v>
      </c>
      <c r="GI19" s="162">
        <f t="shared" ca="1" si="201"/>
        <v>0</v>
      </c>
      <c r="GJ19" s="162">
        <f t="shared" ca="1" si="42"/>
        <v>0</v>
      </c>
      <c r="GK19" s="162">
        <f t="shared" ca="1" si="220"/>
        <v>1</v>
      </c>
      <c r="GL19" s="162">
        <f t="shared" ca="1" si="43"/>
        <v>1</v>
      </c>
      <c r="GM19" s="162" t="e">
        <f ca="1">MAX(0,MIN(1,1-Control!$C$156*(1.0001-$KH19)^2))</f>
        <v>#N/A</v>
      </c>
      <c r="GN19" s="162" t="e">
        <f ca="1">IF(Control!$B$26=1,$KU19,$KX19)</f>
        <v>#N/A</v>
      </c>
      <c r="GO19" s="162" t="e">
        <f ca="1">IF($CP19&lt;=60,Control!$C$105,IF($CP19&gt;=90,Control!$C$106,Control!$C$105+($CP19-60)*((Control!$C$106-Control!$C$105)/(90-60))))</f>
        <v>#N/A</v>
      </c>
      <c r="GP19" s="162" t="e">
        <f t="shared" ca="1" si="154"/>
        <v>#N/A</v>
      </c>
      <c r="GQ19" s="162" t="e">
        <f t="shared" ca="1" si="155"/>
        <v>#N/A</v>
      </c>
      <c r="GR19" s="163" t="e">
        <f t="shared" ca="1" si="44"/>
        <v>#DIV/0!</v>
      </c>
      <c r="GS19" s="162" t="e">
        <f t="shared" ca="1" si="45"/>
        <v>#DIV/0!</v>
      </c>
      <c r="GT19" s="164" t="e">
        <f t="shared" ca="1" si="156"/>
        <v>#N/A</v>
      </c>
      <c r="GU19" s="162" t="e">
        <f t="shared" ca="1" si="157"/>
        <v>#N/A</v>
      </c>
      <c r="GV19" s="162" t="e">
        <f t="shared" ca="1" si="46"/>
        <v>#N/A</v>
      </c>
      <c r="GW19" s="162" t="e">
        <f t="shared" ca="1" si="221"/>
        <v>#DIV/0!</v>
      </c>
      <c r="GX19" s="162" t="e">
        <f t="shared" ca="1" si="228"/>
        <v>#DIV/0!</v>
      </c>
      <c r="GY19" s="162" t="e">
        <f t="shared" ca="1" si="158"/>
        <v>#DIV/0!</v>
      </c>
      <c r="GZ19" s="165" t="e">
        <f t="shared" ca="1" si="159"/>
        <v>#N/A</v>
      </c>
      <c r="HA19" s="162" t="e">
        <f ca="1">IF(Control!$C$114=1, $DI19*$FS19, 0)</f>
        <v>#N/A</v>
      </c>
      <c r="HB19" s="162" t="e">
        <f ca="1">$FA19/Control!$C$64</f>
        <v>#N/A</v>
      </c>
      <c r="HC19" s="162" t="e">
        <f t="shared" ca="1" si="222"/>
        <v>#DIV/0!</v>
      </c>
      <c r="HD19" s="162">
        <f ca="1">-ASIN(SIN(23.45*Control!$C$139)*COS(2*Control!$C$138*($AH19+10)/365))</f>
        <v>-0.37306100255566144</v>
      </c>
      <c r="HE19" s="165">
        <f t="shared" ca="1" si="160"/>
        <v>0</v>
      </c>
      <c r="HF19" s="166">
        <f ca="1">IF(AND(Control!$C$61="T",$HE19&gt;=Control!$C$103,Control!$C$114=0),$AH19,Control!$C$59)</f>
        <v>1</v>
      </c>
      <c r="HG19" s="166">
        <f ca="1">IF(AND(Control!$C$61="T",$HE19&gt;=Control!$C$103,Control!$C$114=0),$HF19,Control!$C$59)</f>
        <v>1</v>
      </c>
      <c r="HH19" s="165">
        <f ca="1">IF(AND(OR(Control!$C$60&lt;=0, $AH19= Control!$C$59, Control!$C$60 &gt;0, $AH19 = Control!$C$60)), Control!$C$59, IF(Control!$C$60&gt;0, 0))</f>
        <v>1</v>
      </c>
      <c r="HI19" s="165">
        <f ca="1">IF(AND(OR(Control!$C$60&lt;=0, $AH19= Control!$C$59, Control!$C$60 &gt;0, $AH19 = Control!$C$60)), Control!$C$60, IF(Control!$C$60&lt;=0, 0))</f>
        <v>0</v>
      </c>
      <c r="HJ19" s="166">
        <f ca="1">IF(AND(Control!$C$62="F",$CV19&gt;=Control!$C$102),$AH19,0)</f>
        <v>0</v>
      </c>
      <c r="HK19" s="165" t="e">
        <f t="shared" ca="1" si="202"/>
        <v>#N/A</v>
      </c>
      <c r="HL19" s="166">
        <f ca="1">IF(AND(Control!$C$61="T",$HE19&gt;=Control!$C$103,Control!$C$114=0),$HF19,0)</f>
        <v>0</v>
      </c>
      <c r="HM19" s="201" t="e">
        <f t="shared" ca="1" si="47"/>
        <v>#DIV/0!</v>
      </c>
      <c r="HN19" s="215">
        <f t="shared" ca="1" si="161"/>
        <v>14</v>
      </c>
      <c r="HO19" s="216" t="e">
        <f ca="1">IF(AND($CP19&gt;=0, $CP19&lt;=90), Control!$C$152, Control!$C$152)</f>
        <v>#N/A</v>
      </c>
      <c r="HP19" s="216" t="e">
        <f t="shared" ca="1" si="48"/>
        <v>#N/A</v>
      </c>
      <c r="HQ19" s="217" t="e">
        <f ca="1">IF(OR(Control!$B$26=1,Control!$B$26=2),$KV19,$KS19)</f>
        <v>#DIV/0!</v>
      </c>
      <c r="HR19" s="218" t="e">
        <f t="shared" ca="1" si="223"/>
        <v>#DIV/0!</v>
      </c>
      <c r="HS19" s="216" t="e">
        <f ca="1">Control!$C$154*$HP19</f>
        <v>#N/A</v>
      </c>
      <c r="HT19" s="216" t="e">
        <f ca="1">Control!$C$155*$HP19</f>
        <v>#N/A</v>
      </c>
      <c r="HU19" s="217" t="e">
        <f ca="1">Control!$C$161*$FI19</f>
        <v>#N/A</v>
      </c>
      <c r="HV19" s="218" t="e">
        <f t="shared" ca="1" si="162"/>
        <v>#N/A</v>
      </c>
      <c r="HW19" s="218" t="e">
        <f ca="1">Control!$C$160*$FF19+$IP19*$EO19</f>
        <v>#N/A</v>
      </c>
      <c r="HX19" s="218" t="e">
        <f t="shared" ca="1" si="203"/>
        <v>#N/A</v>
      </c>
      <c r="HY19" s="219" t="e">
        <f ca="1">IF(Control!$C$114=1, $EB19*$FS19, 0)</f>
        <v>#N/A</v>
      </c>
      <c r="HZ19" s="91" t="e">
        <f t="shared" ca="1" si="49"/>
        <v>#N/A</v>
      </c>
      <c r="IA19" s="220" t="e">
        <f ca="1">Control!$C$153*$HO19</f>
        <v>#N/A</v>
      </c>
      <c r="IB19" s="218" t="e">
        <f t="shared" ca="1" si="50"/>
        <v>#N/A</v>
      </c>
      <c r="IC19" s="220" t="e">
        <f ca="1">Control!$C$153*$HT19</f>
        <v>#N/A</v>
      </c>
      <c r="ID19" s="218" t="e">
        <f t="shared" ca="1" si="51"/>
        <v>#N/A</v>
      </c>
      <c r="IE19" s="221" t="e">
        <f ca="1">($EB19*Control!$C$159+$EF19*Control!$C$160)/(IF($GZ19&lt;&gt;0,$GZ19,1))</f>
        <v>#N/A</v>
      </c>
      <c r="IF19" s="216" t="e">
        <f t="shared" ca="1" si="52"/>
        <v>#N/A</v>
      </c>
      <c r="IG19" s="91">
        <f ca="1">IF(OR(Control!$B$198=$AH19,Control!$B$199=$AH19, Control!$B$200=$AH19, Control!$B$201=$AH19, Control!$B$202=$AH19, Control!$B$203=$AH19, Control!$B$204=$AH19, Control!$B$205=$AH19, Control!$B$206=$AH19, Control!$B$207=$AH19), 1, 0)</f>
        <v>0</v>
      </c>
      <c r="IH19" s="91">
        <f ca="1">IF($IG19=0,0, VLOOKUP($AH19,Control!$B$198:$C$207,2))</f>
        <v>0</v>
      </c>
      <c r="II19" s="222">
        <f t="shared" ca="1" si="163"/>
        <v>0</v>
      </c>
      <c r="IJ19" s="91">
        <f>Control!$C$121</f>
        <v>0.7</v>
      </c>
      <c r="IK19" s="218">
        <f t="shared" ca="1" si="53"/>
        <v>0</v>
      </c>
      <c r="IL19" s="217" t="e">
        <f t="shared" ca="1" si="204"/>
        <v>#N/A</v>
      </c>
      <c r="IM19" s="223" t="e">
        <f ca="1">IF(AND(Control!$C$114=1,$KH19&lt;1),$EB19*Control!$C$148*(1-$KH19), 0)</f>
        <v>#N/A</v>
      </c>
      <c r="IN19" s="217" t="e">
        <f t="shared" ca="1" si="54"/>
        <v>#DIV/0!</v>
      </c>
      <c r="IO19" s="91" t="e">
        <f ca="1">MAX(0,$IL19-$EF19*Control!$C$160)</f>
        <v>#N/A</v>
      </c>
      <c r="IP19" s="220" t="e">
        <f t="shared" ca="1" si="55"/>
        <v>#N/A</v>
      </c>
      <c r="IQ19" s="217" t="e">
        <f t="shared" ca="1" si="164"/>
        <v>#N/A</v>
      </c>
      <c r="IR19" s="218" t="e">
        <f t="shared" ca="1" si="56"/>
        <v>#N/A</v>
      </c>
      <c r="IS19" s="217" t="e">
        <f ca="1">Control!$C$159*MAX(0,$FD19-$EN19)</f>
        <v>#N/A</v>
      </c>
      <c r="IT19" s="217" t="e">
        <f t="shared" ca="1" si="205"/>
        <v>#N/A</v>
      </c>
      <c r="IU19" s="217" t="e">
        <f t="shared" ca="1" si="165"/>
        <v>#N/A</v>
      </c>
      <c r="IV19" s="217" t="e">
        <f t="shared" ca="1" si="206"/>
        <v>#N/A</v>
      </c>
      <c r="IW19" s="217" t="e">
        <f ca="1">IF(OR($AW19=1,AND($AW19=0, Control!$B$18=1,$EN19&lt;&gt;0)), $IQ19-$IU19, $IQ19)</f>
        <v>#N/A</v>
      </c>
      <c r="IX19" s="218" t="e">
        <f t="shared" ca="1" si="57"/>
        <v>#N/A</v>
      </c>
      <c r="IY19" s="218" t="e">
        <f ca="1">MAX(0,$IQ19-$EB19*Control!$C$159)</f>
        <v>#N/A</v>
      </c>
      <c r="IZ19" s="218" t="e">
        <f t="shared" ca="1" si="58"/>
        <v>#N/A</v>
      </c>
      <c r="JA19" s="216" t="e">
        <f t="shared" ca="1" si="59"/>
        <v>#N/A</v>
      </c>
      <c r="JB19" s="217" t="e">
        <f t="shared" ca="1" si="60"/>
        <v>#N/A</v>
      </c>
      <c r="JC19" s="222" t="e">
        <f ca="1">MAX(Control!$C$157*$EK19-$JT19, 0)/Control!$C$162</f>
        <v>#N/A</v>
      </c>
      <c r="JD19" s="218" t="e">
        <f t="shared" ca="1" si="61"/>
        <v>#N/A</v>
      </c>
      <c r="JE19" s="218" t="e">
        <f t="shared" ca="1" si="62"/>
        <v>#N/A</v>
      </c>
      <c r="JF19" s="218" t="e">
        <f t="shared" ca="1" si="207"/>
        <v>#N/A</v>
      </c>
      <c r="JG19" s="218" t="e">
        <f t="shared" ca="1" si="63"/>
        <v>#N/A</v>
      </c>
      <c r="JH19" s="217" t="e">
        <f t="shared" ca="1" si="166"/>
        <v>#N/A</v>
      </c>
      <c r="JI19" s="217" t="e">
        <f t="shared" ca="1" si="167"/>
        <v>#N/A</v>
      </c>
      <c r="JJ19" s="217" t="e">
        <f t="shared" ca="1" si="224"/>
        <v>#N/A</v>
      </c>
      <c r="JK19" s="217" t="e">
        <f ca="1">IF(Control!$C$114=1,IF(Control!$B$24=0,MAX(0,$JI19)*$GN19/Control!$C$64,(MAX(0,MIN($JI19,$JJ19*$GN19/Control!$C$64),0))))</f>
        <v>#N/A</v>
      </c>
      <c r="JL19" s="217" t="e">
        <f ca="1">$IK19/Control!$C$64-$JK19+$HQ19</f>
        <v>#N/A</v>
      </c>
      <c r="JM19" s="217" t="e">
        <f ca="1">IF(Control!$C$114=1,($JB19/(IF($JI19&lt;&gt;0,$JI19,1)))*$JK19,0)</f>
        <v>#N/A</v>
      </c>
      <c r="JN19" s="217" t="e">
        <f ca="1">IF(Control!$C$114=1,($JG19/(IF($JI19&lt;&gt;0,$JI19,1)))*$JK19, 0)</f>
        <v>#N/A</v>
      </c>
      <c r="JO19" s="218" t="e">
        <f t="shared" ca="1" si="64"/>
        <v>#N/A</v>
      </c>
      <c r="JP19" s="218" t="e">
        <f ca="1">MIN(($IY19+$IO19)*Control!$C$151, $JF19-$EH19*Control!$C$161)</f>
        <v>#N/A</v>
      </c>
      <c r="JQ19" s="218" t="e">
        <f t="shared" ca="1" si="65"/>
        <v>#N/A</v>
      </c>
      <c r="JR19" s="217" t="e">
        <f ca="1">IF($CP19-Control!$C$150&lt;0, 0, $JQ19/Control!$C$162)</f>
        <v>#N/A</v>
      </c>
      <c r="JS19" s="218" t="e">
        <f t="shared" ca="1" si="66"/>
        <v>#N/A</v>
      </c>
      <c r="JT19" s="218" t="e">
        <f t="shared" ca="1" si="168"/>
        <v>#N/A</v>
      </c>
      <c r="JU19" s="218" t="e">
        <f t="shared" ca="1" si="67"/>
        <v>#N/A</v>
      </c>
      <c r="JV19" s="218" t="e">
        <f t="shared" ca="1" si="68"/>
        <v>#N/A</v>
      </c>
      <c r="JW19" s="216" t="e">
        <f t="shared" ca="1" si="69"/>
        <v>#N/A</v>
      </c>
      <c r="JX19" s="91" t="e">
        <f t="shared" ca="1" si="70"/>
        <v>#N/A</v>
      </c>
      <c r="JY19" s="218" t="e">
        <f t="shared" ca="1" si="71"/>
        <v>#N/A</v>
      </c>
      <c r="JZ19" s="217" t="e">
        <f ca="1">IF(Control!$C$114=1,($IZ19/(IF($JI19&lt;&gt;0,$JI19,1)))*$JK19, 0)</f>
        <v>#N/A</v>
      </c>
      <c r="KA19" s="218" t="e">
        <f t="shared" ca="1" si="225"/>
        <v>#N/A</v>
      </c>
      <c r="KB19" s="218" t="e">
        <f t="shared" ca="1" si="169"/>
        <v>#N/A</v>
      </c>
      <c r="KC19" s="218" t="e">
        <f t="shared" ca="1" si="72"/>
        <v>#N/A</v>
      </c>
      <c r="KD19" s="218" t="e">
        <f t="shared" ca="1" si="73"/>
        <v>#N/A</v>
      </c>
      <c r="KE19" s="218" t="e">
        <f t="shared" ca="1" si="74"/>
        <v>#N/A</v>
      </c>
      <c r="KF19" s="218" t="e">
        <f t="shared" ca="1" si="75"/>
        <v>#N/A</v>
      </c>
      <c r="KG19" s="216" t="e">
        <f t="shared" ca="1" si="76"/>
        <v>#N/A</v>
      </c>
      <c r="KH19" s="221" t="e">
        <f ca="1">IF(Control!$B$24=0,1,MAX(0.001,MIN(1,IF(($IF19-$IE19)&lt;&gt;0,($KG19-$IE19)/($IF19-$IE19),1))))</f>
        <v>#N/A</v>
      </c>
      <c r="KI19" s="222" t="e">
        <f ca="1">IF(Control!$C$114=1, $KI18+ $KH18, 0)</f>
        <v>#N/A</v>
      </c>
      <c r="KJ19" s="217" t="e">
        <f t="shared" ca="1" si="77"/>
        <v>#N/A</v>
      </c>
      <c r="KK19" s="218" t="e">
        <f t="shared" ca="1" si="78"/>
        <v>#N/A</v>
      </c>
      <c r="KL19" s="274" t="e">
        <f ca="1">IF(Control!$B$26=3,4000000000*EXP(-8400/($G19+273)),IF(Control!$B$26=4,4000000000*EXP(-8400/($G19+273))*($KT19),0))</f>
        <v>#DIV/0!</v>
      </c>
      <c r="KM19" s="274" t="e">
        <f ca="1">IF(Control!$B$26=3,5600000000000*EXP(-9800/($G19+273)),IF(Control!$B$26=4,5600000000000*EXP(-9800/($G19+273))*$KT19,0))</f>
        <v>#DIV/0!</v>
      </c>
      <c r="KN19" s="454" t="e">
        <f t="shared" ca="1" si="170"/>
        <v>#DIV/0!</v>
      </c>
      <c r="KO19" s="274" t="e">
        <f t="shared" ca="1" si="171"/>
        <v>#DIV/0!</v>
      </c>
      <c r="KP19" s="454" t="e">
        <f t="shared" ca="1" si="79"/>
        <v>#DIV/0!</v>
      </c>
      <c r="KQ19" s="454" t="e">
        <f t="shared" ca="1" si="80"/>
        <v>#DIV/0!</v>
      </c>
      <c r="KR19" s="454" t="e">
        <f t="shared" ca="1" si="81"/>
        <v>#DIV/0!</v>
      </c>
      <c r="KS19" s="454" t="e">
        <f t="shared" ca="1" si="82"/>
        <v>#DIV/0!</v>
      </c>
      <c r="KT19" s="455" t="e">
        <f t="shared" ca="1" si="83"/>
        <v>#DIV/0!</v>
      </c>
      <c r="KU19" s="456" t="e">
        <f ca="1">IF($CP19-Control!$C$149&lt;0, IF($NT19-0.01&lt;0,0,1),0)</f>
        <v>#N/A</v>
      </c>
      <c r="KV19" s="456" t="e">
        <f ca="1">IF(Control!$C$114=1,MAX(0,MIN(Control!$C$125*$KW19*$GN19,$KW19)))</f>
        <v>#DIV/0!</v>
      </c>
      <c r="KW19" s="456" t="e">
        <f t="shared" ca="1" si="208"/>
        <v>#DIV/0!</v>
      </c>
      <c r="KX19" s="457" t="e">
        <f ca="1">IF($CP19-Control!$C$149&lt;0, IF($MR19-$OM19&lt;0,0,1),0)</f>
        <v>#N/A</v>
      </c>
      <c r="KY19" s="167">
        <f t="shared" ca="1" si="172"/>
        <v>14</v>
      </c>
      <c r="KZ19" s="168">
        <f ca="1">1370*(1+0.033*COS(2*Control!$C$138*$AH19/365))</f>
        <v>1413.9034272645831</v>
      </c>
      <c r="LA19" s="169">
        <f t="shared" ca="1" si="173"/>
        <v>1.0320463017121373</v>
      </c>
      <c r="LB19" s="169">
        <f t="shared" ca="1" si="174"/>
        <v>-0.37315337968622003</v>
      </c>
      <c r="LC19" s="169">
        <f ca="1">ACOS(-TAN((2*Control!$B$8/360))*TAN(Calculations!$LB19))</f>
        <v>1.4541785244968066</v>
      </c>
      <c r="LD19" s="169">
        <f ca="1">((24*60)/PI())*0.082*$LA19*(($LC19*SIN(Control!$B$8*2*PI()/360))*SIN($LB19)+COS(Control!$B$8*2*PI()/360)*COS($LB19)*SIN($LC19))</f>
        <v>5.8827468331540906</v>
      </c>
      <c r="LE19" s="170">
        <f t="shared" ca="1" si="84"/>
        <v>7.3702152066612214</v>
      </c>
      <c r="LF19" s="170">
        <f ca="1">SIN(Control!$C$139*Control!$B$8)*SIN($HD19)</f>
        <v>-0.2872048563036203</v>
      </c>
      <c r="LG19" s="170">
        <f ca="1">COS(Control!$C$139*Control!$B$8)*COS($HD19)</f>
        <v>0.57331230444940229</v>
      </c>
      <c r="LH19" s="170">
        <f ca="1">12*(1+2*ASIN(MAX(-1,MIN(1,$LF19/$LG19))/Control!$C$138))</f>
        <v>8.156571918362129</v>
      </c>
      <c r="LI19" s="170">
        <f ca="1">12*(1+2*ASIN(MAX(-1,MIN(1,(-SIN(-4*Control!$C$139)+$LF19)/$LG19))/Control!$C$138))</f>
        <v>9.0954045632557978</v>
      </c>
      <c r="LJ19" s="168">
        <f ca="1">3600*($LH19*$LF19+24*$LG19*SQRT(1-$LK19*$LK19)/Control!$C$138)</f>
        <v>5212.6722833680751</v>
      </c>
      <c r="LK19" s="170">
        <f t="shared" ca="1" si="85"/>
        <v>-0.50095707710206239</v>
      </c>
      <c r="LL19" s="170">
        <f t="shared" ca="1" si="86"/>
        <v>0</v>
      </c>
      <c r="LM19" s="171">
        <f ca="1">Control!$C$145*$AB19</f>
        <v>6.6660906138995932E-2</v>
      </c>
      <c r="LN19" s="170">
        <f t="shared" ca="1" si="175"/>
        <v>0.54</v>
      </c>
      <c r="LO19" s="170">
        <f t="shared" ca="1" si="87"/>
        <v>0</v>
      </c>
      <c r="LP19" s="170">
        <f ca="1">Control!$C$140*((($D19+273.16)^4+($E19+273.16)^4)/2)*(0.34-0.14*SQRT($Y19))*(1.35*$AQ19/(0.75*$LD19)-0.35)</f>
        <v>-3.2464704755046001</v>
      </c>
      <c r="LQ19" s="170">
        <f ca="1">Control!$C$140*($G19+273)^4*(0.56-0.079*SQRT($Y19*10))*(0.1+0.9*$LO19)</f>
        <v>1.5241745131704001</v>
      </c>
      <c r="LR19" s="170">
        <f ca="1">$AQ19*(1-Control!$C$142)-$LQ19</f>
        <v>-1.5241745131704001</v>
      </c>
      <c r="LS19" s="170">
        <f ca="1">$AQ19*(1-Control!$C$143)-$LQ19</f>
        <v>-1.5241745131704001</v>
      </c>
      <c r="LT19" s="170">
        <f ca="1">$AQ19*(1-Control!$C$144)-$LQ19</f>
        <v>-1.5241745131704001</v>
      </c>
      <c r="LU19" s="169">
        <f ca="1">(1-Control!$C$144)*AQ19-LP19</f>
        <v>3.2464704755046001</v>
      </c>
      <c r="LV19" s="172">
        <f t="shared" ca="1" si="88"/>
        <v>0.79430000000000012</v>
      </c>
      <c r="LW19" s="170">
        <f t="shared" ca="1" si="89"/>
        <v>1.5886000000000002</v>
      </c>
      <c r="LX19" s="170">
        <f ca="1">($AC19*($LR19/Control!$C$141)+$LM19*$LV19)/($AC19+$LM19)</f>
        <v>0.23530094218323697</v>
      </c>
      <c r="LY19" s="170">
        <f ca="1">($AC19*($LS19/Control!$C$141)+$LM19*$LV19)/($AC19+$LM19)</f>
        <v>0.23530094218323697</v>
      </c>
      <c r="LZ19" s="170">
        <f t="shared" ca="1" si="90"/>
        <v>0.23530094218323697</v>
      </c>
      <c r="MA19" s="170">
        <f t="shared" ca="1" si="91"/>
        <v>0.23530094218323697</v>
      </c>
      <c r="MB19" s="170" t="e">
        <f t="shared" ca="1" si="92"/>
        <v>#N/A</v>
      </c>
      <c r="MC19" s="170">
        <f t="shared" ca="1" si="176"/>
        <v>0.6018</v>
      </c>
      <c r="MD19" s="170">
        <f t="shared" ca="1" si="93"/>
        <v>0.52989392535414004</v>
      </c>
      <c r="ME19" s="170">
        <f ca="1">($AC19*($LT19/Control!$C$141)+$LM19*$LW19)/($AC19+$LM19)</f>
        <v>0.71612369323045078</v>
      </c>
      <c r="MF19" s="170" t="e">
        <f ca="1">IF(Control!$B$16&gt;=1000,0.92,IF(AND(720&lt;=Control!$B$16,1000&gt;Control!$B$16),(0.95+(Control!$B$16-720)*((0.92-0.95)/(1000-720))),IF(AND(360&lt;=Control!$B$16,720&gt;Control!$B$16),(1+(Control!$B$16-360)*((0.95-1)/(720-360))),IF(AND(40&lt;=Control!$B$16,360&gt;Control!$B$16),(1.05+(Control!$B$16-40)*((1.05-1)/(360-40)))))))</f>
        <v>#N/A</v>
      </c>
      <c r="MG19" s="170">
        <f t="shared" ca="1" si="94"/>
        <v>0.71612369323045078</v>
      </c>
      <c r="MH19" s="170" t="e">
        <f t="shared" ca="1" si="95"/>
        <v>#N/A</v>
      </c>
      <c r="MI19" s="170" t="e">
        <f t="shared" ca="1" si="95"/>
        <v>#N/A</v>
      </c>
      <c r="MJ19" s="170" t="e">
        <f ca="1">MAX(0.0001, Control!$C$132*$MI19*$DL19)</f>
        <v>#N/A</v>
      </c>
      <c r="MK19" s="170">
        <f ca="1">1/(0.76+1.5*($MG19/10))-(5-Control!$C$110)*0.1</f>
        <v>1.002845988140797</v>
      </c>
      <c r="ML19" s="173">
        <f ca="1">IF(Control!$C$110&lt;3,$MK19+($MG19-0.6)/(Control!$C$110*(Control!$C$110+3)), MAX(0.1, MIN(0.95,$MK19)))</f>
        <v>0.95</v>
      </c>
      <c r="MM19" s="173">
        <f ca="1">IF(Control!$C$110&lt;3,$MK19+(($MI19/10)-0.6)/(Control!$C$110*(Control!$C$110+3)), MAX(0.1, MIN(0.95,$MK19)))</f>
        <v>0.95</v>
      </c>
      <c r="MN19" s="173">
        <f ca="1">(1-$MM19)*(Control!$C$128-Control!$C$127)+Control!$C$127</f>
        <v>0.16</v>
      </c>
      <c r="MO19" s="170" t="e">
        <f ca="1">MAX(0,MIN(1,($MS19-Control!$C$127)/($MN19-Control!$C$127)))</f>
        <v>#DIV/0!</v>
      </c>
      <c r="MP19" s="173" t="e">
        <f ca="1">1/(0.76+1.5*$MI19)-(5-Control!$C$110)*0.1</f>
        <v>#N/A</v>
      </c>
      <c r="MQ19" s="172" t="e">
        <f t="shared" ca="1" si="209"/>
        <v>#DIV/0!</v>
      </c>
      <c r="MR19" s="168" t="e">
        <f t="shared" ca="1" si="226"/>
        <v>#DIV/0!</v>
      </c>
      <c r="MS19" s="173" t="e">
        <f ca="1">MAX(Control!$C$127, MIN(Control!$C$135, $MR19/MAX(0.0001,$CY19)))</f>
        <v>#DIV/0!</v>
      </c>
      <c r="MT19" s="168" t="e">
        <f ca="1">(Control!$C$128-$MS19)*Control!$C$74</f>
        <v>#DIV/0!</v>
      </c>
      <c r="MU19" s="168" t="e">
        <f ca="1">(Control!$C$135-$MS19)*Control!$C$74</f>
        <v>#DIV/0!</v>
      </c>
      <c r="MV19" s="168" t="e">
        <f t="shared" ca="1" si="210"/>
        <v>#DIV/0!</v>
      </c>
      <c r="MW19" s="168" t="e">
        <f t="shared" ca="1" si="177"/>
        <v>#DIV/0!</v>
      </c>
      <c r="MX19" s="171" t="e">
        <f ca="1">MAX(Control!$C$127, MIN(Control!$C$135, $MW19/MAX(0.0001,Control!$C$119-$CY19)))</f>
        <v>#DIV/0!</v>
      </c>
      <c r="MY19" s="54" t="e">
        <f ca="1">IF(Control!$C$114=1, $CX19*$MX19, 0)</f>
        <v>#DIV/0!</v>
      </c>
      <c r="MZ19" s="54" t="e">
        <f t="shared" ca="1" si="178"/>
        <v>#N/A</v>
      </c>
      <c r="NA19" s="168" t="e">
        <f ca="1">(Control!$C$128-$MX19)*(Control!$C$119-Control!$C$74)</f>
        <v>#DIV/0!</v>
      </c>
      <c r="NB19" s="168" t="e">
        <f ca="1">(Control!$C$135-$MX19)*(Control!$C$119-Control!$C$74)</f>
        <v>#DIV/0!</v>
      </c>
      <c r="NC19" s="174" t="e">
        <f t="shared" ca="1" si="179"/>
        <v>#DIV/0!</v>
      </c>
      <c r="ND19" s="54">
        <f ca="1">IF(Control!$C$58=2, IF(OR(Control!$B$218=$AH19,Control!$B$219=$AH19, Control!$B$220=$AH19, Control!$B$221=$AH19, Control!$B$222=$AH19, Control!$B$223=$AH19, Control!$B$224=$AH19, Control!$B$225=$AH19, Control!$B$226=$AH19, Control!$B$227=$AH19, Control!$B$228=$AH19), 1, 0), 0)</f>
        <v>0</v>
      </c>
      <c r="NE19" s="54">
        <f ca="1">IF($ND19=0,0, VLOOKUP($AH19,Control!$B$218:$C$228,2))</f>
        <v>0</v>
      </c>
      <c r="NF19" s="168" t="e">
        <f ca="1">$CY19*(Control!$C$128-Control!$C$127)</f>
        <v>#N/A</v>
      </c>
      <c r="NG19" s="54" t="e">
        <f ca="1">IF(Control!$C$58=2, $NI18-$NJ18, 0)</f>
        <v>#DIV/0!</v>
      </c>
      <c r="NH19" s="54" t="e">
        <f ca="1">IF(AND(Control!$C$58=1, $MS18&lt;= ($MN18+0.02), $I18&lt;10), 0, IF(Control!$C$58=2, $NG18, 0))</f>
        <v>#DIV/0!</v>
      </c>
      <c r="NI19" s="54" t="e">
        <f ca="1">IF(Control!$C$58=2, $NE19+$NH19,0)</f>
        <v>#DIV/0!</v>
      </c>
      <c r="NJ19" s="54" t="e">
        <f ca="1">IF(AND(Control!$C$58=1, $MS19&lt;= ($MN19+0.02), $I19&lt;10), MAX(0, MIN(10, 0.7*($NF19-$MV19))), IF(Control!$C$58=2, MIN(10,$NI19),0))</f>
        <v>#DIV/0!</v>
      </c>
      <c r="NK19" s="54" t="e">
        <f t="shared" ca="1" si="96"/>
        <v>#DIV/0!</v>
      </c>
      <c r="NL19" s="173" t="e">
        <f ca="1">(1-Control!$C$73)*$I19+$NJ19</f>
        <v>#DIV/0!</v>
      </c>
      <c r="NM19" s="172" t="e">
        <f ca="1">IF($NL19&lt;0.5, $MB19* MAX(0, MIN(1, (SQRT($NC19)-SQRT($NC19-1))*Control!$C$71)),0)</f>
        <v>#DIV/0!</v>
      </c>
      <c r="NN19" s="170" t="e">
        <f ca="1">IF($NL19&gt;=5, $MB19, MAX(0,MIN($MB19, $NM19+$NL19,($MS19-Control!$C$129))))</f>
        <v>#DIV/0!</v>
      </c>
      <c r="NO19" s="54">
        <f>IF(Control!$C$133&lt;&gt;1, Control!$C$135-Control!$C$131, 0)</f>
        <v>0.38</v>
      </c>
      <c r="NP19" s="54" t="e">
        <f t="shared" ca="1" si="97"/>
        <v>#DIV/0!</v>
      </c>
      <c r="NQ19" s="173" t="e">
        <f ca="1">MAX(0,MIN(1,(Control!$C$135-$MS19)/(Control!$C$135-$NO19)))</f>
        <v>#DIV/0!</v>
      </c>
      <c r="NR19" s="170" t="e">
        <f ca="1">IF(Control!$C$133&lt;&gt;1, $NQ19+((1-$NP19/4)*(1-$NQ19)),1)</f>
        <v>#DIV/0!</v>
      </c>
      <c r="NS19" s="170" t="e">
        <f ca="1">IF(Control!$B$31=0,$MJ19,MAX(0,MIN($MV19,$MO19*$NR19*$MJ19)))</f>
        <v>#DIV/0!</v>
      </c>
      <c r="NT19" s="170" t="e">
        <f t="shared" ca="1" si="227"/>
        <v>#DIV/0!</v>
      </c>
      <c r="NU19" s="170" t="e">
        <f t="shared" ca="1" si="180"/>
        <v>#N/A</v>
      </c>
      <c r="NV19" s="170" t="e">
        <f t="shared" ca="1" si="98"/>
        <v>#N/A</v>
      </c>
      <c r="NW19" s="175" t="e">
        <f t="shared" ca="1" si="99"/>
        <v>#DIV/0!</v>
      </c>
      <c r="NX19" s="170" t="e">
        <f ca="1">MIN(Control!$C$72+$MU19, $NW19)</f>
        <v>#DIV/0!</v>
      </c>
      <c r="NY19" s="170" t="e">
        <f ca="1">IF($MT19&lt;=$NX19,MIN(Control!$C$72+$NB19,$NX19-$MT19),0)</f>
        <v>#DIV/0!</v>
      </c>
      <c r="NZ19" s="54" t="e">
        <f ca="1">IF(Control!$C$114=1,  $CX19*($MX19-Control!$C$127), 0)</f>
        <v>#DIV/0!</v>
      </c>
      <c r="OA19" s="170" t="e">
        <f t="shared" ca="1" si="181"/>
        <v>#DIV/0!</v>
      </c>
      <c r="OB19" s="170" t="e">
        <f ca="1">IF($NA19 &lt;=$NY19, MIN(Control!$C$72, $NY19-$NA19), 0)</f>
        <v>#DIV/0!</v>
      </c>
      <c r="OC19" s="168" t="e">
        <f t="shared" ca="1" si="100"/>
        <v>#DIV/0!</v>
      </c>
      <c r="OD19" s="168" t="e">
        <f t="shared" ca="1" si="182"/>
        <v>#DIV/0!</v>
      </c>
      <c r="OE19" s="170">
        <f ca="1">Control!$C$73*$I19</f>
        <v>0</v>
      </c>
      <c r="OF19" s="176" t="e">
        <f t="shared" ca="1" si="101"/>
        <v>#DIV/0!</v>
      </c>
      <c r="OG19" s="168" t="e">
        <f t="shared" ca="1" si="102"/>
        <v>#DIV/0!</v>
      </c>
      <c r="OH19" s="168" t="e">
        <f t="shared" ca="1" si="103"/>
        <v>#DIV/0!</v>
      </c>
      <c r="OI19" s="168" t="e">
        <f t="shared" ca="1" si="104"/>
        <v>#DIV/0!</v>
      </c>
      <c r="OJ19" s="168" t="e">
        <f t="shared" ca="1" si="105"/>
        <v>#DIV/0!</v>
      </c>
      <c r="OK19" s="204" t="e">
        <f t="shared" ca="1" si="183"/>
        <v>#DIV/0!</v>
      </c>
      <c r="OL19" s="177">
        <f>Control!$C$127</f>
        <v>0.15</v>
      </c>
      <c r="OM19" s="182" t="e">
        <f t="shared" ca="1" si="106"/>
        <v>#N/A</v>
      </c>
      <c r="ON19" s="177">
        <f>Control!$C$128</f>
        <v>0.35</v>
      </c>
      <c r="OO19" s="182" t="e">
        <f t="shared" ca="1" si="107"/>
        <v>#N/A</v>
      </c>
      <c r="OP19" s="138">
        <f t="shared" ca="1" si="184"/>
        <v>0</v>
      </c>
      <c r="OQ19" s="138" t="e">
        <f t="shared" ca="1" si="211"/>
        <v>#DIV/0!</v>
      </c>
      <c r="OR19" s="138" t="e">
        <f t="shared" ca="1" si="185"/>
        <v>#DIV/0!</v>
      </c>
      <c r="OS19" s="137" t="e">
        <f t="shared" ca="1" si="212"/>
        <v>#DIV/0!</v>
      </c>
      <c r="OT19" s="139" t="e">
        <f t="shared" ca="1" si="213"/>
        <v>#DIV/0!</v>
      </c>
      <c r="OU19" s="138" t="e">
        <f t="shared" ca="1" si="214"/>
        <v>#N/A</v>
      </c>
      <c r="OV19" s="138" t="e">
        <f t="shared" ca="1" si="215"/>
        <v>#DIV/0!</v>
      </c>
      <c r="OW19" s="138" t="e">
        <f t="shared" ca="1" si="186"/>
        <v>#DIV/0!</v>
      </c>
      <c r="OX19" s="138" t="e">
        <f t="shared" ca="1" si="187"/>
        <v>#DIV/0!</v>
      </c>
      <c r="OY19" s="138" t="e">
        <f t="shared" ca="1" si="188"/>
        <v>#DIV/0!</v>
      </c>
      <c r="OZ19" s="138" t="e">
        <f t="shared" ca="1" si="108"/>
        <v>#DIV/0!</v>
      </c>
      <c r="PA19" s="138" t="e">
        <f t="shared" ca="1" si="109"/>
        <v>#DIV/0!</v>
      </c>
      <c r="PB19" s="55">
        <f>IF(Control!$C$61="T", IF(Control!$C$65="F", IF($AH$6-Control!$C$60&lt;0,0,1), IF(365+$AH$6-Control!$C$60&lt;0,0,1)),0)</f>
        <v>0</v>
      </c>
      <c r="PC19" s="55">
        <f ca="1">IF(Control!$C$65="F", IF($AH$6-$HF19&lt;0,0,1), IF(365+$AH$6-$HF19&lt;0,0,1))</f>
        <v>1</v>
      </c>
      <c r="PD19" s="444">
        <f>Control!$C$118</f>
        <v>1500</v>
      </c>
      <c r="PE19" s="180" t="e">
        <f t="shared" ca="1" si="110"/>
        <v>#N/A</v>
      </c>
      <c r="PF19" s="445">
        <f t="shared" ca="1" si="189"/>
        <v>0.71612369323045078</v>
      </c>
      <c r="PT19" s="186"/>
      <c r="PU19" s="186"/>
      <c r="PV19" s="94"/>
      <c r="PW19" s="94"/>
      <c r="PX19" s="94"/>
      <c r="PY19" s="94"/>
      <c r="PZ19" s="94"/>
      <c r="QA19" s="94"/>
      <c r="QB19" s="94"/>
      <c r="QC19" s="94"/>
      <c r="QD19" s="94"/>
      <c r="QE19" s="94"/>
      <c r="QF19" s="94"/>
      <c r="QG19" s="94"/>
      <c r="QH19" s="94"/>
      <c r="QI19" s="94"/>
      <c r="QJ19" s="94"/>
      <c r="QK19" s="94"/>
      <c r="QL19" s="94"/>
      <c r="QM19" s="94"/>
      <c r="QN19" s="94"/>
      <c r="QO19" s="94"/>
      <c r="QP19" s="94"/>
    </row>
    <row r="20" spans="1:458" s="2" customFormat="1" x14ac:dyDescent="0.2">
      <c r="A20" s="386">
        <v>15</v>
      </c>
      <c r="B20" s="387">
        <v>1</v>
      </c>
      <c r="C20" s="387">
        <f ca="1">Weather_data!$B19</f>
        <v>0</v>
      </c>
      <c r="D20" s="388">
        <f ca="1">Weather_data!$F19</f>
        <v>0</v>
      </c>
      <c r="E20" s="388">
        <f ca="1">Weather_data!$E19</f>
        <v>0</v>
      </c>
      <c r="F20" s="388">
        <f t="shared" ca="1" si="111"/>
        <v>0</v>
      </c>
      <c r="G20" s="388">
        <f ca="1">AVERAGE($D20:$E20)+Control!$B$9</f>
        <v>0</v>
      </c>
      <c r="H20" s="388">
        <f ca="1">Weather_data!$G19</f>
        <v>0</v>
      </c>
      <c r="I20" s="388">
        <f ca="1">Weather_data!$I19</f>
        <v>0</v>
      </c>
      <c r="J20" s="388">
        <f ca="1">Weather_data!$H19</f>
        <v>0</v>
      </c>
      <c r="K20" s="389">
        <f ca="1">Weather_data!$D19</f>
        <v>0</v>
      </c>
      <c r="L20" s="388" t="e">
        <f t="shared" ca="1" si="112"/>
        <v>#N/A</v>
      </c>
      <c r="M20" s="388" t="e">
        <f t="shared" ca="1" si="0"/>
        <v>#N/A</v>
      </c>
      <c r="N20" s="388">
        <f t="shared" ca="1" si="1"/>
        <v>-0.11438396227480496</v>
      </c>
      <c r="O20" s="388">
        <f t="shared" ca="1" si="113"/>
        <v>1.1438396227480496</v>
      </c>
      <c r="P20" s="390">
        <v>3</v>
      </c>
      <c r="Q20" s="388">
        <f ca="1">MAX($G20-Control!$C$107,0)</f>
        <v>0</v>
      </c>
      <c r="R20" s="388">
        <f t="shared" ca="1" si="114"/>
        <v>0</v>
      </c>
      <c r="S20" s="388">
        <f t="shared" ca="1" si="2"/>
        <v>0</v>
      </c>
      <c r="T20" s="388">
        <f t="shared" ca="1" si="3"/>
        <v>0</v>
      </c>
      <c r="U20" s="59">
        <f t="shared" ca="1" si="4"/>
        <v>0</v>
      </c>
      <c r="V20" s="391">
        <f ca="1">MAX(0,MIN(Control!$C$100-Control!$C$99,$G20-Control!$C$99)*Control!$C$63)</f>
        <v>0</v>
      </c>
      <c r="W20" s="388">
        <f t="shared" ca="1" si="190"/>
        <v>0</v>
      </c>
      <c r="X20" s="388">
        <f t="shared" ca="1" si="115"/>
        <v>0.6110000000000001</v>
      </c>
      <c r="Y20" s="388">
        <f t="shared" ca="1" si="116"/>
        <v>0</v>
      </c>
      <c r="Z20" s="388">
        <f t="shared" ca="1" si="117"/>
        <v>0.61058800000000002</v>
      </c>
      <c r="AA20" s="388">
        <f t="shared" ca="1" si="5"/>
        <v>0.6018</v>
      </c>
      <c r="AB20" s="388">
        <f ca="1">101.3*EXP(-0.034*Control!$C$66/($G20+273))</f>
        <v>100.69623283836242</v>
      </c>
      <c r="AC20" s="392">
        <f t="shared" ca="1" si="6"/>
        <v>4.3460251046025113E-2</v>
      </c>
      <c r="AD20" s="392">
        <f t="shared" ca="1" si="7"/>
        <v>4.4450382862832649E-2</v>
      </c>
      <c r="AE20" s="388">
        <f t="shared" ca="1" si="8"/>
        <v>0</v>
      </c>
      <c r="AF20" s="388">
        <f ca="1">MAX(0,$G20-Control!$C$92)</f>
        <v>0</v>
      </c>
      <c r="AG20" s="393">
        <f t="shared" ca="1" si="118"/>
        <v>15</v>
      </c>
      <c r="AH20" s="389">
        <f t="shared" ca="1" si="9"/>
        <v>15</v>
      </c>
      <c r="AI20" s="388">
        <f t="shared" ca="1" si="119"/>
        <v>-0.37005141358272314</v>
      </c>
      <c r="AJ20" s="388">
        <f ca="1">IF(Control!$C$60&lt;=0,$HH20,$HI20)</f>
        <v>1</v>
      </c>
      <c r="AK20" s="388">
        <f t="shared" ca="1" si="10"/>
        <v>-1.1189234108675974</v>
      </c>
      <c r="AL20" s="388">
        <f t="shared" ca="1" si="11"/>
        <v>8.1157823517141728E-19</v>
      </c>
      <c r="AM20" s="388">
        <f t="shared" ca="1" si="12"/>
        <v>-1.1189234108675974</v>
      </c>
      <c r="AN20" s="388">
        <f t="shared" ca="1" si="13"/>
        <v>-0.36598920539458424</v>
      </c>
      <c r="AO20" s="388">
        <f ca="1">-0.10453/COS(Control!$B$8*PI()/180)*COS(AN20)</f>
        <v>-0.15854004799129071</v>
      </c>
      <c r="AP20" s="388">
        <f ca="1">ACOS(AO20-TAN(Control!$B$8*PI()/180)*TAN(AN20))</f>
        <v>1.2323675175804616</v>
      </c>
      <c r="AQ20" s="388">
        <f t="shared" ca="1" si="120"/>
        <v>0</v>
      </c>
      <c r="AR20" s="394">
        <f t="shared" ca="1" si="14"/>
        <v>0</v>
      </c>
      <c r="AS20" s="436">
        <f ca="1">IF(Control!$B$18=2,(IF(OR($AH20=Control!$B$175,$AH20=Control!$B$176,$AH20=Control!$B$177,$AH20=Control!$B$178,$AH20=Control!$B$179,$AH20=Control!$B$180,$AH20=Control!$B$181,$AH20=Control!$B$182,$AH20=Control!$B$183,$AH20=Control!$B$184,$AH20=Control!$B$185),1,0)),0)</f>
        <v>0</v>
      </c>
      <c r="AT20" s="436">
        <f>IF(Control!$B$20=8,IF(AND($AH20&gt;=Control!$B$172,$AH20&lt;=Control!$B$173),1,0),0)</f>
        <v>0</v>
      </c>
      <c r="AU20" s="436">
        <f>IF(Control!$B$20=8,IF($AV19=1,1*$AT20,IF($AT20=1,$AU19+1,$AU19)),0)</f>
        <v>0</v>
      </c>
      <c r="AV20" s="436">
        <f>IF(Control!$B$20=8,IF($AU20&gt;=Control!$B$174,1,0),0)</f>
        <v>0</v>
      </c>
      <c r="AW20" s="436">
        <f ca="1">IF(AND(Control!$B$18=2,Control!$B$171=1), $AV20, $AS20)</f>
        <v>0</v>
      </c>
      <c r="AX20" s="436" t="e">
        <f ca="1">IF(AND(Control!$B$18=1,$EU20&gt;=Control!$B$19),-$AY20,IF(AND(Control!$B$18=2,$AW20=1,$EU20&gt;$DS20),-$AY20, IF(Control!$C$108=0,0, IF(Control!$C$108&lt;&gt;0,1))))</f>
        <v>#N/A</v>
      </c>
      <c r="AY20" s="436" t="e">
        <f t="shared" ca="1" si="121"/>
        <v>#N/A</v>
      </c>
      <c r="AZ20" s="436" t="e">
        <f ca="1">IF(AND(Control!$B$18=1,$EB20&gt;Control!$B$19),$AZ19+1, IF(AND(Control!$B$18=2, $AW20=1, $EB20&gt;$DS20), $AZ19+1,$AZ19))</f>
        <v>#N/A</v>
      </c>
      <c r="BA20" s="587">
        <f>IF(Control!$C$81=0,1,IF($AH20&gt;=Control!$C$82,1,0))</f>
        <v>1</v>
      </c>
      <c r="BB20" s="140" t="e">
        <f ca="1">IF($BA20&gt;$BA19,Control!$C$83,IF($AW20&gt;0,$AW20*Control!$C$84,IF(AND(Control!$B$18=1,EN19&lt;&gt;0),Control!$C$84,0)))</f>
        <v>#N/A</v>
      </c>
      <c r="BC20" s="140" t="e">
        <f t="shared" ca="1" si="122"/>
        <v>#N/A</v>
      </c>
      <c r="BD20" s="140" t="e">
        <f ca="1">BC20*IF(OR($G20&lt;Control!$C$92,$G20&gt;Control!$C$95),0,IF(AND($G20&gt;=Control!$C$92,$G20&lt;=Control!$C$93),$G20-Control!$C$92,IF(AND($G20&gt;Control!$C$93,$G20&lt;=Control!$C$94),Control!$C$93-Control!$C$92,IF(AND($G20&gt;Control!$C$94,$G20&lt;=Control!$C$95),(Control!$C$93-Control!$C$92)*(Control!$C$94-$G20)/(Control!$C$95-Control!$C$94)))))</f>
        <v>#N/A</v>
      </c>
      <c r="BE20" s="140" t="e">
        <f t="shared" ca="1" si="123"/>
        <v>#N/A</v>
      </c>
      <c r="BF20" s="140" t="e">
        <f ca="1">IF($BE20&lt;=Control!$C$86,$BE20,Control!$C$86-$BE20)</f>
        <v>#N/A</v>
      </c>
      <c r="BG20" s="140" t="e">
        <f ca="1">IF(AND($AW20=1,Control!$C$84&lt;9),1,IF($BE20&gt;=Control!$C$86,0,$BC20))</f>
        <v>#N/A</v>
      </c>
      <c r="BH20" s="404" t="e">
        <f ca="1">IF($BG20=0,0,IF($BE20&lt;=Control!$C$86,$BC20*9*($BF20/Control!$C$86),0))</f>
        <v>#N/A</v>
      </c>
      <c r="BI20" s="140" t="e">
        <f ca="1">IF($BG20=1,0,IF($BE20&gt;=Control!$C$86,1,IF(AND($BB20&lt;21,$BB20&gt;=9),1,$BM19)))</f>
        <v>#N/A</v>
      </c>
      <c r="BJ20" s="140" t="e">
        <f ca="1">IF($BF20&lt;0,-$BF20,$BI20*IF(OR($G20&lt;Control!$C$92,$G20&gt;Control!$C$95),0,IF(AND($G20&gt;=Control!$C$92,$G20&lt;=Control!$C$93),$G20-Control!$C$92,IF(AND($G20&gt;Control!$C$93,$G20&lt;=Control!$C$94),Control!$C$93-Control!$C$92,IF(AND($G20&gt;Control!$C$94,$G20&lt;=Control!$C$95),(Control!$C$93-Control!$C$92)*(Control!$C$94-$G20)/(Control!$C$95-Control!$C$94))))))</f>
        <v>#N/A</v>
      </c>
      <c r="BK20" s="140" t="e">
        <f t="shared" ca="1" si="124"/>
        <v>#N/A</v>
      </c>
      <c r="BL20" s="140" t="e">
        <f ca="1">IF($BK20&lt;=Control!$C$87,$BK20,Control!$C$87-$BK20)</f>
        <v>#N/A</v>
      </c>
      <c r="BM20" s="140" t="e">
        <f ca="1">IF(AND($BB20&gt;=9,$BB20&lt;21),1,IF($BK20&gt;=Control!$C$87,0,$BI20))</f>
        <v>#N/A</v>
      </c>
      <c r="BN20" s="404" t="e">
        <f ca="1">IF($BM20=0,0,IF($BK20&lt;=Control!$C$87,$BI20*(9+(21-9)*($BL20/Control!$C$87)),0))</f>
        <v>#N/A</v>
      </c>
      <c r="BO20" s="140" t="e">
        <f ca="1">IF($BM20=1,0,IF($BK20&gt;=Control!$C$87,1,IF(AND($BB20&lt;30,$BB20&gt;=21),1,$BS19)))</f>
        <v>#N/A</v>
      </c>
      <c r="BP20" s="140" t="e">
        <f ca="1">IF($BL20&lt;0,-$BL20,$BO20*IF(OR($G20&lt;Control!$C$92,$G20&gt;Control!$C$95),0,IF(AND($G20&gt;=Control!$C$92,$G20&lt;=Control!$C$93),$G20-Control!$C$92,IF(AND($G20&gt;Control!$C$93,$G20&lt;=Control!$C$94),Control!$C$93-Control!$C$92,IF(AND($G20&gt;Control!$C$94,$G20&lt;=Control!$C$95),(Control!$C$93-Control!$C$92)*(Control!$C$94-$G20)/(Control!$C$95-Control!$C$94))))))</f>
        <v>#N/A</v>
      </c>
      <c r="BQ20" s="140" t="e">
        <f t="shared" ca="1" si="15"/>
        <v>#N/A</v>
      </c>
      <c r="BR20" s="140" t="e">
        <f ca="1">IF($BQ20&lt;=Control!$C$88,$BQ20,Control!$C$88-$BQ20)</f>
        <v>#N/A</v>
      </c>
      <c r="BS20" s="140" t="e">
        <f ca="1">IF(AND($BB20&gt;=21,$BB20&lt;30),1,IF($BQ20&gt;=Control!$C$88,0,$BO20))</f>
        <v>#N/A</v>
      </c>
      <c r="BT20" s="404" t="e">
        <f ca="1">IF($BS20=0,0,IF($BQ20&lt;=Control!$C$88,$BO20*(21+(30-21)*(BR20/Control!$C$88)),0))</f>
        <v>#N/A</v>
      </c>
      <c r="BU20" s="140" t="e">
        <f ca="1">IF(BG20+BM20+BS20=1,0,IF(OR(AND($BB20&lt;60,$BB20&gt;=30),$BQ20&gt;=Control!$C$88),1*$BA20,$BY19))</f>
        <v>#N/A</v>
      </c>
      <c r="BV20" s="140" t="e">
        <f ca="1">IF($BR20&lt;0,-$BR20,$BU20*IF(OR($G20&lt;Control!$C$92,$G20&gt;Control!$C$95),0,IF(AND($G20&gt;=Control!$C$92,$G20&lt;=Control!$C$93),$G20-Control!$C$92,IF(AND($G20&gt;Control!$C$93,$G20&lt;=Control!$C$94),Control!$C$93-Control!$C$92,IF(AND($G20&gt;Control!$C$94,$G20&lt;=Control!$C$95),(Control!$C$93-Control!$C$92)*(Control!$C$94-$G20)/(Control!$C$95-Control!$C$94))))))</f>
        <v>#N/A</v>
      </c>
      <c r="BW20" s="140" t="e">
        <f t="shared" ca="1" si="16"/>
        <v>#N/A</v>
      </c>
      <c r="BX20" s="140" t="e">
        <f ca="1">IF($BW20&lt;=Control!$C$89,$BW20,Control!$C$89-$BW20)</f>
        <v>#N/A</v>
      </c>
      <c r="BY20" s="140" t="e">
        <f ca="1">IF(AND($AJ20&gt;=30,$AJ20&lt;60),1,IF($BW20&gt;=Control!$C$89,0,$BU20))</f>
        <v>#N/A</v>
      </c>
      <c r="BZ20" s="404" t="e">
        <f ca="1">IF($BY20=0,0,IF($BW20&lt;=Control!$C$89,$BU20*(30+(60-30)*(BX20/Control!$C$89)),0))</f>
        <v>#N/A</v>
      </c>
      <c r="CA20" s="140" t="e">
        <f ca="1">IF($BG20+$BM20+$BS20+$BY20=1,0,IF(OR(AND($BB20&lt;65,$BB20&gt;=60),$BW20&gt;=Control!$C$89),1*$BA20,$CE19))</f>
        <v>#N/A</v>
      </c>
      <c r="CB20" s="140" t="e">
        <f ca="1">IF($BX20&lt;0,-$BX20,$CA20*IF(OR($G20&lt;Control!$C$92,$G20&gt;Control!$C$95),0,IF(AND($G20&gt;=Control!$C$92,$G20&lt;=Control!$C$93),$G20-Control!$C$92,IF(AND($G20&gt;Control!$C$93,$G20&lt;=Control!$C$94),Control!$C$93-Control!$C$92,IF(AND($G20&gt;Control!$C$94,$G20&lt;=Control!$C$95),(Control!$C$93-Control!$C$92)*(Control!$C$94-$G20)/(Control!$C$95-Control!$C$94))))))</f>
        <v>#N/A</v>
      </c>
      <c r="CC20" s="140" t="e">
        <f t="shared" ca="1" si="125"/>
        <v>#N/A</v>
      </c>
      <c r="CD20" s="140" t="e">
        <f ca="1">IF($CC20&lt;=Control!$C$90,$CC20,Control!$C$90-$CC20)</f>
        <v>#N/A</v>
      </c>
      <c r="CE20" s="140" t="e">
        <f ca="1">IF(AND($BB20&gt;=60,$BB20&lt;65),1,IF($CC20&gt;=Control!$C$90,0,$CA20))</f>
        <v>#N/A</v>
      </c>
      <c r="CF20" s="404" t="e">
        <f ca="1">IF($CE20=0,0,IF($CC20&lt;=Control!$C$90,$CA20*(60+(65-60)*(CD20/Control!$C$90)),0))</f>
        <v>#N/A</v>
      </c>
      <c r="CG20" s="140" t="e">
        <f ca="1">IF($BG20+$BM20+$BS20+$BY20+$CE20=1,0,IF(OR(AND($BB20&lt;90,$BB20&gt;=65),$CC20&gt;=Control!$C$90),$BA20,$CK19))</f>
        <v>#N/A</v>
      </c>
      <c r="CH20" s="140" t="e">
        <f ca="1">IF($CD20&lt;0,-$CD20,$CG20*IF(OR($G20&lt;Control!$C$92,$G20&gt;Control!$C$95),0,IF(AND($G20&gt;=Control!$C$92,$G20&lt;=Control!$C$93),$G20-Control!$C$92,IF(AND($G20&gt;Control!$C$93,$G20&lt;=Control!$C$94),Control!$C$93-Control!$C$92,IF(AND($G20&gt;Control!$C$94,$G20&lt;=Control!$C$95),(Control!$C$93-Control!$C$92)*(Control!$C$94-$G20)/(Control!$C$95-Control!$C$94))))))</f>
        <v>#N/A</v>
      </c>
      <c r="CI20" s="140" t="e">
        <f t="shared" ca="1" si="126"/>
        <v>#N/A</v>
      </c>
      <c r="CJ20" s="140" t="e">
        <f ca="1">IF($CI20&lt;=Control!$C$91,$CI20,Control!$C$91-$CI20)</f>
        <v>#N/A</v>
      </c>
      <c r="CK20" s="140" t="e">
        <f ca="1">IF(AND($BB20&gt;=65,$BB20&lt;90),1,IF($CI20&gt;=Control!$C$91,0,$CG20))</f>
        <v>#N/A</v>
      </c>
      <c r="CL20" s="404" t="e">
        <f ca="1">IF($CK20=0,0,IF($CI20&lt;=Control!$C$91,$CG20*(65+(90-65)*($CJ20/Control!$C$91)),0))</f>
        <v>#N/A</v>
      </c>
      <c r="CM20" s="140" t="e">
        <f ca="1">IF($BG20+$BM20+$BS20+$BY20+$CE20+$CK20=1,0,IF(OR($BB20&gt;=90,$CI20&gt;=Control!$C$91),$BA20,$CM19))</f>
        <v>#N/A</v>
      </c>
      <c r="CN20" s="140" t="e">
        <f t="shared" ca="1" si="127"/>
        <v>#N/A</v>
      </c>
      <c r="CO20" s="140" t="e">
        <f t="shared" ca="1" si="128"/>
        <v>#N/A</v>
      </c>
      <c r="CP20" s="140" t="e">
        <f t="shared" ca="1" si="129"/>
        <v>#N/A</v>
      </c>
      <c r="CQ20" s="141" t="e">
        <f ca="1">VLOOKUP($CP20,Control!$B$86:$G$91,6)</f>
        <v>#N/A</v>
      </c>
      <c r="CR20" s="141" t="e">
        <f ca="1">(1-$CQ20)*VLOOKUP($CP20,Control!$B$86:$D$91,3)</f>
        <v>#N/A</v>
      </c>
      <c r="CS20" s="141" t="e">
        <f ca="1">(1-$CQ20)*VLOOKUP($CP20,Control!$B$86:$E$91,4)</f>
        <v>#N/A</v>
      </c>
      <c r="CT20" s="141" t="e">
        <f ca="1">(1-$CQ20)*VLOOKUP($CP20,Control!$B$86:$F$91,5)</f>
        <v>#N/A</v>
      </c>
      <c r="CU20" s="141">
        <f t="shared" ca="1" si="130"/>
        <v>0</v>
      </c>
      <c r="CV20" s="583">
        <f t="shared" ca="1" si="131"/>
        <v>0</v>
      </c>
      <c r="CW20" s="142">
        <f t="shared" ca="1" si="132"/>
        <v>15</v>
      </c>
      <c r="CX20" s="612" t="e">
        <f ca="1">IF(Control!$C$114=1,(MIN(Control!$C$120*(IF($NT20-0.01&lt;0,0,1)),Control!$C$119-$CY20)))</f>
        <v>#DIV/0!</v>
      </c>
      <c r="CY20" s="143" t="e">
        <f t="shared" ca="1" si="133"/>
        <v>#N/A</v>
      </c>
      <c r="CZ20" s="144">
        <f t="shared" ca="1" si="17"/>
        <v>0</v>
      </c>
      <c r="DA20" s="144">
        <f t="shared" ca="1" si="18"/>
        <v>0</v>
      </c>
      <c r="DB20" s="144" t="e">
        <f t="shared" ca="1" si="19"/>
        <v>#N/A</v>
      </c>
      <c r="DC20" s="144" t="e">
        <f t="shared" ca="1" si="20"/>
        <v>#N/A</v>
      </c>
      <c r="DD20" s="144" t="e">
        <f t="shared" ca="1" si="216"/>
        <v>#N/A</v>
      </c>
      <c r="DE20" s="143" t="e">
        <f t="shared" ca="1" si="135"/>
        <v>#N/A</v>
      </c>
      <c r="DF20" s="145" t="e">
        <f ca="1">$DR20*EXP(-Control!$C$158*(1-$KH20))</f>
        <v>#N/A</v>
      </c>
      <c r="DG20" s="146" t="e">
        <f ca="1">IF(Control!$C$114=1, $DF20*$EY20, 0)</f>
        <v>#N/A</v>
      </c>
      <c r="DH20" s="147" t="e">
        <f t="shared" ca="1" si="136"/>
        <v>#N/A</v>
      </c>
      <c r="DI20" s="144" t="e">
        <f t="shared" ca="1" si="191"/>
        <v>#N/A</v>
      </c>
      <c r="DJ20" s="147" t="e">
        <f ca="1">$EF20*Control!$C$109</f>
        <v>#N/A</v>
      </c>
      <c r="DK20" s="144" t="e">
        <f t="shared" ca="1" si="137"/>
        <v>#N/A</v>
      </c>
      <c r="DL20" s="144" t="e">
        <f t="shared" ca="1" si="21"/>
        <v>#N/A</v>
      </c>
      <c r="DM20" s="144" t="e">
        <f ca="1">IF(Control!$C$114=1, (1-EXP(-Control!$C$96*$DK20))*$AR20, 0)</f>
        <v>#N/A</v>
      </c>
      <c r="DN20" s="144">
        <f t="shared" ca="1" si="138"/>
        <v>0</v>
      </c>
      <c r="DO20" s="148">
        <f>Control!$C$97</f>
        <v>4</v>
      </c>
      <c r="DP20" s="145" t="e">
        <f t="shared" ca="1" si="139"/>
        <v>#N/A</v>
      </c>
      <c r="DQ20" s="145" t="e">
        <f ca="1">IF(AND($CP20&gt;=0,$CP20&lt;=90),Control!$C$111,Control!$C$111)</f>
        <v>#N/A</v>
      </c>
      <c r="DR20" s="145" t="e">
        <f t="shared" ca="1" si="22"/>
        <v>#N/A</v>
      </c>
      <c r="DS20" s="143" t="e">
        <f ca="1">Control!$B$22/$DR20</f>
        <v>#N/A</v>
      </c>
      <c r="DT20" s="149" t="e">
        <f ca="1">IF(AND(Control!$C$114=1,$KH20&lt;1),$IM20*$DF20, 0)</f>
        <v>#N/A</v>
      </c>
      <c r="DU20" s="144" t="e">
        <f t="shared" ca="1" si="192"/>
        <v>#N/A</v>
      </c>
      <c r="DV20" s="144">
        <f ca="1">IF($G20-Control!$C$107&lt;=0, 0, 0.83*LN(MAX($G20, 3))-0.8924)</f>
        <v>0</v>
      </c>
      <c r="DW20" s="144" t="e">
        <f t="shared" ca="1" si="23"/>
        <v>#N/A</v>
      </c>
      <c r="DX20" s="150" t="e">
        <f ca="1">MAX(0.01*(1+$CU20/Control!$C$102),0.05*($DK20-Control!$C$97)/Control!$C$97)</f>
        <v>#N/A</v>
      </c>
      <c r="DY20" s="151" t="e">
        <f ca="1">IF(Control!$C$114=1, $DI20*$FS20, 0)</f>
        <v>#N/A</v>
      </c>
      <c r="DZ20" s="196" t="e">
        <f t="shared" ca="1" si="140"/>
        <v>#N/A</v>
      </c>
      <c r="EA20" s="152">
        <f t="shared" ca="1" si="141"/>
        <v>15</v>
      </c>
      <c r="EB20" s="153" t="e">
        <f t="shared" ca="1" si="217"/>
        <v>#N/A</v>
      </c>
      <c r="EC20" s="153" t="e">
        <f t="shared" ca="1" si="142"/>
        <v>#N/A</v>
      </c>
      <c r="ED20" s="154" t="e">
        <f ca="1">IF(Control!$C$114=1, $HM20*$FY20-$FD20, 0)</f>
        <v>#DIV/0!</v>
      </c>
      <c r="EE20" s="155" t="e">
        <f ca="1">IF(Control!$C$114=1, $HM20*$FZ20-$FF20, 0)</f>
        <v>#DIV/0!</v>
      </c>
      <c r="EF20" s="153" t="e">
        <f t="shared" ca="1" si="193"/>
        <v>#N/A</v>
      </c>
      <c r="EG20" s="155" t="e">
        <f ca="1">IF(Control!$C$114=1, $GX20*$FW20-$FI20, 0)</f>
        <v>#DIV/0!</v>
      </c>
      <c r="EH20" s="153" t="e">
        <f t="shared" ca="1" si="143"/>
        <v>#N/A</v>
      </c>
      <c r="EI20" s="156" t="e">
        <f t="shared" ca="1" si="144"/>
        <v>#N/A</v>
      </c>
      <c r="EJ20" s="155" t="e">
        <f ca="1">IF(Control!$C$114=1, $HM20*$GB20, 0)</f>
        <v>#DIV/0!</v>
      </c>
      <c r="EK20" s="153" t="e">
        <f t="shared" ca="1" si="194"/>
        <v>#N/A</v>
      </c>
      <c r="EL20" s="153" t="e">
        <f t="shared" ca="1" si="24"/>
        <v>#N/A</v>
      </c>
      <c r="EM20" s="153" t="e">
        <f t="shared" ca="1" si="25"/>
        <v>#N/A</v>
      </c>
      <c r="EN20" s="153" t="e">
        <f ca="1">IF(Control!$C$108=1,IF(AND(Control!$B$18=1,$EB20&gt;=Control!$B$19),$EB20-$DS20,IF(AND(Control!$B$18=2,$AW20=1,$EB20&gt;$DS20),$EB20-$DS20,0)))</f>
        <v>#N/A</v>
      </c>
      <c r="EO20" s="153" t="e">
        <f ca="1">IF(Control!$C$108=1,IF(AND(Control!$B$18=1,$EB20&gt;=Control!$B$19),$EF20,IF(AND(Control!$B$18=2,$AW20=1),$EF20,0)))</f>
        <v>#N/A</v>
      </c>
      <c r="EP20" s="153" t="e">
        <f ca="1">IF(Control!$C$108=1,IF(AND(Control!$B$18=1,$EB20&gt;=Control!$B$19),$EK20,IF(AND(Control!$B$18=2,$AW20=1),$EK20,0)))</f>
        <v>#N/A</v>
      </c>
      <c r="EQ20" s="153" t="e">
        <f t="shared" ca="1" si="145"/>
        <v>#N/A</v>
      </c>
      <c r="ER20" s="153" t="e">
        <f t="shared" ca="1" si="195"/>
        <v>#N/A</v>
      </c>
      <c r="ES20" s="153" t="e">
        <f t="shared" ca="1" si="196"/>
        <v>#N/A</v>
      </c>
      <c r="ET20" s="153" t="e">
        <f t="shared" ca="1" si="197"/>
        <v>#N/A</v>
      </c>
      <c r="EU20" s="153" t="e">
        <f t="shared" ca="1" si="198"/>
        <v>#N/A</v>
      </c>
      <c r="EV20" s="153" t="e">
        <f t="shared" ca="1" si="146"/>
        <v>#N/A</v>
      </c>
      <c r="EW20" s="153" t="e">
        <f t="shared" ca="1" si="218"/>
        <v>#N/A</v>
      </c>
      <c r="EX20" s="153" t="e">
        <f t="shared" ca="1" si="26"/>
        <v>#N/A</v>
      </c>
      <c r="EY20" s="157" t="e">
        <f t="shared" ca="1" si="147"/>
        <v>#DIV/0!</v>
      </c>
      <c r="EZ20" s="154" t="e">
        <f t="shared" ca="1" si="27"/>
        <v>#DIV/0!</v>
      </c>
      <c r="FA20" s="153" t="e">
        <f t="shared" ca="1" si="199"/>
        <v>#N/A</v>
      </c>
      <c r="FB20" s="153" t="e">
        <f t="shared" ca="1" si="28"/>
        <v>#N/A</v>
      </c>
      <c r="FC20" s="193" t="e">
        <f t="shared" ca="1" si="29"/>
        <v>#N/A</v>
      </c>
      <c r="FD20" s="158" t="e">
        <f t="shared" ca="1" si="200"/>
        <v>#N/A</v>
      </c>
      <c r="FE20" s="158" t="e">
        <f t="shared" ca="1" si="148"/>
        <v>#N/A</v>
      </c>
      <c r="FF20" s="159" t="e">
        <f t="shared" ca="1" si="30"/>
        <v>#N/A</v>
      </c>
      <c r="FG20" s="160" t="e">
        <f t="shared" ca="1" si="149"/>
        <v>#N/A</v>
      </c>
      <c r="FH20" s="158" t="e">
        <f t="shared" ca="1" si="150"/>
        <v>#N/A</v>
      </c>
      <c r="FI20" s="159" t="e">
        <f t="shared" ca="1" si="31"/>
        <v>#N/A</v>
      </c>
      <c r="FJ20" s="160" t="e">
        <f t="shared" ca="1" si="151"/>
        <v>#N/A</v>
      </c>
      <c r="FK20" s="160" t="e">
        <f t="shared" ca="1" si="32"/>
        <v>#N/A</v>
      </c>
      <c r="FL20" s="160" t="e">
        <f t="shared" ca="1" si="229"/>
        <v>#N/A</v>
      </c>
      <c r="FM20" s="160" t="e">
        <f t="shared" ca="1" si="33"/>
        <v>#N/A</v>
      </c>
      <c r="FN20" s="158">
        <f t="shared" ca="1" si="219"/>
        <v>0.01</v>
      </c>
      <c r="FO20" s="160">
        <f>Control!$C$101</f>
        <v>50</v>
      </c>
      <c r="FP20" s="150" t="e">
        <f t="shared" ca="1" si="34"/>
        <v>#N/A</v>
      </c>
      <c r="FQ20" s="150" t="e">
        <f ca="1">MAX(0,(Control!$C$112*(($DK20-Control!$C$97)/Control!$C$97)))</f>
        <v>#N/A</v>
      </c>
      <c r="FR20" s="150" t="e">
        <f ca="1">(1-$NT20)*Control!$C$113</f>
        <v>#DIV/0!</v>
      </c>
      <c r="FS20" s="198" t="e">
        <f t="shared" ca="1" si="35"/>
        <v>#N/A</v>
      </c>
      <c r="FT20" s="161">
        <f t="shared" ca="1" si="152"/>
        <v>15</v>
      </c>
      <c r="FU20" s="162" t="e">
        <f ca="1">IF(Control!$B$34=1,VLOOKUP($CP20,Control!$B$86:$G$91,6),Control!$B$35)</f>
        <v>#N/A</v>
      </c>
      <c r="FV20" s="162" t="e">
        <f t="shared" ca="1" si="36"/>
        <v>#DIV/0!</v>
      </c>
      <c r="FW20" s="162" t="e">
        <f ca="1">IF(Control!$B$31=1,$FU20*$FV20,  $FU20)</f>
        <v>#N/A</v>
      </c>
      <c r="FX20" s="162" t="e">
        <f ca="1">IF(Control!$B$34=1,VLOOKUP($CP20,Control!$B$86:$G$91,3),Control!$B$36)</f>
        <v>#N/A</v>
      </c>
      <c r="FY20" s="162" t="e">
        <f t="shared" ca="1" si="37"/>
        <v>#N/A</v>
      </c>
      <c r="FZ20" s="162" t="e">
        <f ca="1">IF(Control!$B$34=1,VLOOKUP($CP20,Control!$B$86:$G$91,4),Control!$B$37)</f>
        <v>#N/A</v>
      </c>
      <c r="GA20" s="162" t="e">
        <f t="shared" ca="1" si="38"/>
        <v>#N/A</v>
      </c>
      <c r="GB20" s="162" t="e">
        <f ca="1">IF(Control!$B$34=1,VLOOKUP($CP20,Control!$B$86:$G$91,5),Control!$B$38)</f>
        <v>#N/A</v>
      </c>
      <c r="GC20" s="162" t="e">
        <f t="shared" ca="1" si="153"/>
        <v>#N/A</v>
      </c>
      <c r="GD20" s="162">
        <f t="shared" ca="1" si="39"/>
        <v>1</v>
      </c>
      <c r="GE20" s="162">
        <f t="shared" ca="1" si="40"/>
        <v>1</v>
      </c>
      <c r="GF20" s="162">
        <f ca="1">IF(AND(Control!$C$104=1, Control!$C$62="F"),$GE20,1)</f>
        <v>1</v>
      </c>
      <c r="GG20" s="162" t="e">
        <f ca="1">IF(Control!$B$16=40,0,IF(AND(Control!$B$16&gt;40,Control!$B$16&lt;=360),(Control!$B$16-40)*((1-0)/(360-40)),IF(AND(Control!$B$16&gt;360,Control!$B$16&lt;=720),(1+(Control!$B$16-360)*((1.25-1)/(720-360))),IF(AND(Control!$B$16&gt;720,Control!$B$16&lt;=1000),(1.25+(Control!$B$16-720)*((1.35-1.25)/(1000-720))),IF(AND(Control!$B$16&gt;1000,Control!$B$16&lt;=2000),(1.35+(Control!$B$16-1000)*0))))))</f>
        <v>#N/A</v>
      </c>
      <c r="GH20" s="162" t="e">
        <f t="shared" ca="1" si="41"/>
        <v>#N/A</v>
      </c>
      <c r="GI20" s="162">
        <f t="shared" ca="1" si="201"/>
        <v>0</v>
      </c>
      <c r="GJ20" s="162">
        <f t="shared" ca="1" si="42"/>
        <v>0</v>
      </c>
      <c r="GK20" s="162">
        <f t="shared" ca="1" si="220"/>
        <v>1</v>
      </c>
      <c r="GL20" s="162">
        <f t="shared" ca="1" si="43"/>
        <v>1</v>
      </c>
      <c r="GM20" s="162" t="e">
        <f ca="1">MAX(0,MIN(1,1-Control!$C$156*(1.0001-$KH20)^2))</f>
        <v>#N/A</v>
      </c>
      <c r="GN20" s="162" t="e">
        <f ca="1">IF(Control!$B$26=1,$KU20,$KX20)</f>
        <v>#N/A</v>
      </c>
      <c r="GO20" s="162" t="e">
        <f ca="1">IF($CP20&lt;=60,Control!$C$105,IF($CP20&gt;=90,Control!$C$106,Control!$C$105+($CP20-60)*((Control!$C$106-Control!$C$105)/(90-60))))</f>
        <v>#N/A</v>
      </c>
      <c r="GP20" s="162" t="e">
        <f t="shared" ca="1" si="154"/>
        <v>#N/A</v>
      </c>
      <c r="GQ20" s="162" t="e">
        <f t="shared" ca="1" si="155"/>
        <v>#N/A</v>
      </c>
      <c r="GR20" s="163" t="e">
        <f t="shared" ca="1" si="44"/>
        <v>#DIV/0!</v>
      </c>
      <c r="GS20" s="162" t="e">
        <f t="shared" ca="1" si="45"/>
        <v>#DIV/0!</v>
      </c>
      <c r="GT20" s="164" t="e">
        <f t="shared" ca="1" si="156"/>
        <v>#N/A</v>
      </c>
      <c r="GU20" s="162" t="e">
        <f t="shared" ca="1" si="157"/>
        <v>#N/A</v>
      </c>
      <c r="GV20" s="162" t="e">
        <f t="shared" ca="1" si="46"/>
        <v>#N/A</v>
      </c>
      <c r="GW20" s="162" t="e">
        <f t="shared" ca="1" si="221"/>
        <v>#DIV/0!</v>
      </c>
      <c r="GX20" s="162" t="e">
        <f t="shared" ca="1" si="228"/>
        <v>#DIV/0!</v>
      </c>
      <c r="GY20" s="162" t="e">
        <f t="shared" ca="1" si="158"/>
        <v>#DIV/0!</v>
      </c>
      <c r="GZ20" s="165" t="e">
        <f t="shared" ca="1" si="159"/>
        <v>#N/A</v>
      </c>
      <c r="HA20" s="162" t="e">
        <f ca="1">IF(Control!$C$114=1, $DI20*$FS20, 0)</f>
        <v>#N/A</v>
      </c>
      <c r="HB20" s="162" t="e">
        <f ca="1">$FA20/Control!$C$64</f>
        <v>#N/A</v>
      </c>
      <c r="HC20" s="162" t="e">
        <f t="shared" ca="1" si="222"/>
        <v>#DIV/0!</v>
      </c>
      <c r="HD20" s="162">
        <f ca="1">-ASIN(SIN(23.45*Control!$C$139)*COS(2*Control!$C$138*($AH20+10)/365))</f>
        <v>-0.37005141358272314</v>
      </c>
      <c r="HE20" s="165">
        <f t="shared" ca="1" si="160"/>
        <v>0</v>
      </c>
      <c r="HF20" s="166">
        <f ca="1">IF(AND(Control!$C$61="T",$HE20&gt;=Control!$C$103,Control!$C$114=0),$AH20,Control!$C$59)</f>
        <v>1</v>
      </c>
      <c r="HG20" s="166">
        <f ca="1">IF(AND(Control!$C$61="T",$HE20&gt;=Control!$C$103,Control!$C$114=0),$HF20,Control!$C$59)</f>
        <v>1</v>
      </c>
      <c r="HH20" s="165">
        <f ca="1">IF(AND(OR(Control!$C$60&lt;=0, $AH20= Control!$C$59, Control!$C$60 &gt;0, $AH20 = Control!$C$60)), Control!$C$59, IF(Control!$C$60&gt;0, 0))</f>
        <v>1</v>
      </c>
      <c r="HI20" s="165">
        <f ca="1">IF(AND(OR(Control!$C$60&lt;=0, $AH20= Control!$C$59, Control!$C$60 &gt;0, $AH20 = Control!$C$60)), Control!$C$60, IF(Control!$C$60&lt;=0, 0))</f>
        <v>0</v>
      </c>
      <c r="HJ20" s="166">
        <f ca="1">IF(AND(Control!$C$62="F",$CV20&gt;=Control!$C$102),$AH20,0)</f>
        <v>0</v>
      </c>
      <c r="HK20" s="165" t="e">
        <f t="shared" ca="1" si="202"/>
        <v>#N/A</v>
      </c>
      <c r="HL20" s="166">
        <f ca="1">IF(AND(Control!$C$61="T",$HE20&gt;=Control!$C$103,Control!$C$114=0),$HF20,0)</f>
        <v>0</v>
      </c>
      <c r="HM20" s="201" t="e">
        <f t="shared" ca="1" si="47"/>
        <v>#DIV/0!</v>
      </c>
      <c r="HN20" s="215">
        <f t="shared" ca="1" si="161"/>
        <v>15</v>
      </c>
      <c r="HO20" s="216" t="e">
        <f ca="1">IF(AND($CP20&gt;=0, $CP20&lt;=90), Control!$C$152, Control!$C$152)</f>
        <v>#N/A</v>
      </c>
      <c r="HP20" s="216" t="e">
        <f t="shared" ca="1" si="48"/>
        <v>#N/A</v>
      </c>
      <c r="HQ20" s="217" t="e">
        <f ca="1">IF(OR(Control!$B$26=1,Control!$B$26=2),$KV20,$KS20)</f>
        <v>#DIV/0!</v>
      </c>
      <c r="HR20" s="218" t="e">
        <f t="shared" ca="1" si="223"/>
        <v>#DIV/0!</v>
      </c>
      <c r="HS20" s="216" t="e">
        <f ca="1">Control!$C$154*$HP20</f>
        <v>#N/A</v>
      </c>
      <c r="HT20" s="216" t="e">
        <f ca="1">Control!$C$155*$HP20</f>
        <v>#N/A</v>
      </c>
      <c r="HU20" s="217" t="e">
        <f ca="1">Control!$C$161*$FI20</f>
        <v>#N/A</v>
      </c>
      <c r="HV20" s="218" t="e">
        <f t="shared" ca="1" si="162"/>
        <v>#N/A</v>
      </c>
      <c r="HW20" s="218" t="e">
        <f ca="1">Control!$C$160*$FF20+$IP20*$EO20</f>
        <v>#N/A</v>
      </c>
      <c r="HX20" s="218" t="e">
        <f t="shared" ca="1" si="203"/>
        <v>#N/A</v>
      </c>
      <c r="HY20" s="219" t="e">
        <f ca="1">IF(Control!$C$114=1, $EB20*$FS20, 0)</f>
        <v>#N/A</v>
      </c>
      <c r="HZ20" s="91" t="e">
        <f t="shared" ca="1" si="49"/>
        <v>#N/A</v>
      </c>
      <c r="IA20" s="220" t="e">
        <f ca="1">Control!$C$153*$HO20</f>
        <v>#N/A</v>
      </c>
      <c r="IB20" s="218" t="e">
        <f t="shared" ca="1" si="50"/>
        <v>#N/A</v>
      </c>
      <c r="IC20" s="220" t="e">
        <f ca="1">Control!$C$153*$HT20</f>
        <v>#N/A</v>
      </c>
      <c r="ID20" s="218" t="e">
        <f t="shared" ca="1" si="51"/>
        <v>#N/A</v>
      </c>
      <c r="IE20" s="221" t="e">
        <f ca="1">($EB20*Control!$C$159+$EF20*Control!$C$160)/(IF($GZ20&lt;&gt;0,$GZ20,1))</f>
        <v>#N/A</v>
      </c>
      <c r="IF20" s="216" t="e">
        <f t="shared" ca="1" si="52"/>
        <v>#N/A</v>
      </c>
      <c r="IG20" s="91">
        <f ca="1">IF(OR(Control!$B$198=$AH20,Control!$B$199=$AH20, Control!$B$200=$AH20, Control!$B$201=$AH20, Control!$B$202=$AH20, Control!$B$203=$AH20, Control!$B$204=$AH20, Control!$B$205=$AH20, Control!$B$206=$AH20, Control!$B$207=$AH20), 1, 0)</f>
        <v>0</v>
      </c>
      <c r="IH20" s="91">
        <f ca="1">IF($IG20=0,0, VLOOKUP($AH20,Control!$B$198:$C$207,2))</f>
        <v>0</v>
      </c>
      <c r="II20" s="222">
        <f t="shared" ca="1" si="163"/>
        <v>0</v>
      </c>
      <c r="IJ20" s="91">
        <f>Control!$C$121</f>
        <v>0.7</v>
      </c>
      <c r="IK20" s="218">
        <f t="shared" ca="1" si="53"/>
        <v>0</v>
      </c>
      <c r="IL20" s="217" t="e">
        <f t="shared" ca="1" si="204"/>
        <v>#N/A</v>
      </c>
      <c r="IM20" s="223" t="e">
        <f ca="1">IF(AND(Control!$C$114=1,$KH20&lt;1),$EB20*Control!$C$148*(1-$KH20), 0)</f>
        <v>#N/A</v>
      </c>
      <c r="IN20" s="217" t="e">
        <f t="shared" ca="1" si="54"/>
        <v>#DIV/0!</v>
      </c>
      <c r="IO20" s="91" t="e">
        <f ca="1">MAX(0,$IL20-$EF20*Control!$C$160)</f>
        <v>#N/A</v>
      </c>
      <c r="IP20" s="220" t="e">
        <f t="shared" ca="1" si="55"/>
        <v>#N/A</v>
      </c>
      <c r="IQ20" s="217" t="e">
        <f t="shared" ca="1" si="164"/>
        <v>#N/A</v>
      </c>
      <c r="IR20" s="218" t="e">
        <f t="shared" ca="1" si="56"/>
        <v>#N/A</v>
      </c>
      <c r="IS20" s="217" t="e">
        <f ca="1">Control!$C$159*MAX(0,$FD20-$EN20)</f>
        <v>#N/A</v>
      </c>
      <c r="IT20" s="217" t="e">
        <f t="shared" ca="1" si="205"/>
        <v>#N/A</v>
      </c>
      <c r="IU20" s="217" t="e">
        <f t="shared" ca="1" si="165"/>
        <v>#N/A</v>
      </c>
      <c r="IV20" s="217" t="e">
        <f t="shared" ca="1" si="206"/>
        <v>#N/A</v>
      </c>
      <c r="IW20" s="217" t="e">
        <f ca="1">IF(OR($AW20=1,AND($AW20=0, Control!$B$18=1,$EN20&lt;&gt;0)), $IQ20-$IU20, $IQ20)</f>
        <v>#N/A</v>
      </c>
      <c r="IX20" s="218" t="e">
        <f t="shared" ca="1" si="57"/>
        <v>#N/A</v>
      </c>
      <c r="IY20" s="218" t="e">
        <f ca="1">MAX(0,$IQ20-$EB20*Control!$C$159)</f>
        <v>#N/A</v>
      </c>
      <c r="IZ20" s="218" t="e">
        <f t="shared" ca="1" si="58"/>
        <v>#N/A</v>
      </c>
      <c r="JA20" s="216" t="e">
        <f t="shared" ca="1" si="59"/>
        <v>#N/A</v>
      </c>
      <c r="JB20" s="217" t="e">
        <f t="shared" ca="1" si="60"/>
        <v>#N/A</v>
      </c>
      <c r="JC20" s="222" t="e">
        <f ca="1">MAX(Control!$C$157*$EK20-$JT20, 0)/Control!$C$162</f>
        <v>#N/A</v>
      </c>
      <c r="JD20" s="218" t="e">
        <f t="shared" ca="1" si="61"/>
        <v>#N/A</v>
      </c>
      <c r="JE20" s="218" t="e">
        <f t="shared" ca="1" si="62"/>
        <v>#N/A</v>
      </c>
      <c r="JF20" s="218" t="e">
        <f t="shared" ca="1" si="207"/>
        <v>#N/A</v>
      </c>
      <c r="JG20" s="218" t="e">
        <f t="shared" ca="1" si="63"/>
        <v>#N/A</v>
      </c>
      <c r="JH20" s="217" t="e">
        <f t="shared" ca="1" si="166"/>
        <v>#N/A</v>
      </c>
      <c r="JI20" s="217" t="e">
        <f t="shared" ca="1" si="167"/>
        <v>#N/A</v>
      </c>
      <c r="JJ20" s="217" t="e">
        <f t="shared" ca="1" si="224"/>
        <v>#N/A</v>
      </c>
      <c r="JK20" s="217" t="e">
        <f ca="1">IF(Control!$C$114=1,IF(Control!$B$24=0,MAX(0,$JI20)*$GN20/Control!$C$64,(MAX(0,MIN($JI20,$JJ20*$GN20/Control!$C$64),0))))</f>
        <v>#N/A</v>
      </c>
      <c r="JL20" s="217" t="e">
        <f ca="1">$IK20/Control!$C$64-$JK20+$HQ20</f>
        <v>#N/A</v>
      </c>
      <c r="JM20" s="217" t="e">
        <f ca="1">IF(Control!$C$114=1,($JB20/(IF($JI20&lt;&gt;0,$JI20,1)))*$JK20,0)</f>
        <v>#N/A</v>
      </c>
      <c r="JN20" s="217" t="e">
        <f ca="1">IF(Control!$C$114=1,($JG20/(IF($JI20&lt;&gt;0,$JI20,1)))*$JK20, 0)</f>
        <v>#N/A</v>
      </c>
      <c r="JO20" s="218" t="e">
        <f t="shared" ca="1" si="64"/>
        <v>#N/A</v>
      </c>
      <c r="JP20" s="218" t="e">
        <f ca="1">MIN(($IY20+$IO20)*Control!$C$151, $JF20-$EH20*Control!$C$161)</f>
        <v>#N/A</v>
      </c>
      <c r="JQ20" s="218" t="e">
        <f t="shared" ca="1" si="65"/>
        <v>#N/A</v>
      </c>
      <c r="JR20" s="217" t="e">
        <f ca="1">IF($CP20-Control!$C$150&lt;0, 0, $JQ20/Control!$C$162)</f>
        <v>#N/A</v>
      </c>
      <c r="JS20" s="218" t="e">
        <f t="shared" ca="1" si="66"/>
        <v>#N/A</v>
      </c>
      <c r="JT20" s="218" t="e">
        <f t="shared" ca="1" si="168"/>
        <v>#N/A</v>
      </c>
      <c r="JU20" s="218" t="e">
        <f t="shared" ca="1" si="67"/>
        <v>#N/A</v>
      </c>
      <c r="JV20" s="218" t="e">
        <f t="shared" ca="1" si="68"/>
        <v>#N/A</v>
      </c>
      <c r="JW20" s="216" t="e">
        <f t="shared" ca="1" si="69"/>
        <v>#N/A</v>
      </c>
      <c r="JX20" s="91" t="e">
        <f t="shared" ca="1" si="70"/>
        <v>#N/A</v>
      </c>
      <c r="JY20" s="218" t="e">
        <f t="shared" ca="1" si="71"/>
        <v>#N/A</v>
      </c>
      <c r="JZ20" s="217" t="e">
        <f ca="1">IF(Control!$C$114=1,($IZ20/(IF($JI20&lt;&gt;0,$JI20,1)))*$JK20, 0)</f>
        <v>#N/A</v>
      </c>
      <c r="KA20" s="218" t="e">
        <f t="shared" ca="1" si="225"/>
        <v>#N/A</v>
      </c>
      <c r="KB20" s="218" t="e">
        <f t="shared" ca="1" si="169"/>
        <v>#N/A</v>
      </c>
      <c r="KC20" s="218" t="e">
        <f t="shared" ca="1" si="72"/>
        <v>#N/A</v>
      </c>
      <c r="KD20" s="218" t="e">
        <f t="shared" ca="1" si="73"/>
        <v>#N/A</v>
      </c>
      <c r="KE20" s="218" t="e">
        <f t="shared" ca="1" si="74"/>
        <v>#N/A</v>
      </c>
      <c r="KF20" s="218" t="e">
        <f t="shared" ca="1" si="75"/>
        <v>#N/A</v>
      </c>
      <c r="KG20" s="216" t="e">
        <f t="shared" ca="1" si="76"/>
        <v>#N/A</v>
      </c>
      <c r="KH20" s="221" t="e">
        <f ca="1">IF(Control!$B$24=0,1,MAX(0.001,MIN(1,IF(($IF20-$IE20)&lt;&gt;0,($KG20-$IE20)/($IF20-$IE20),1))))</f>
        <v>#N/A</v>
      </c>
      <c r="KI20" s="222" t="e">
        <f ca="1">IF(Control!$C$114=1, $KI19+ $KH19, 0)</f>
        <v>#N/A</v>
      </c>
      <c r="KJ20" s="217" t="e">
        <f t="shared" ca="1" si="77"/>
        <v>#N/A</v>
      </c>
      <c r="KK20" s="218" t="e">
        <f t="shared" ca="1" si="78"/>
        <v>#N/A</v>
      </c>
      <c r="KL20" s="274" t="e">
        <f ca="1">IF(Control!$B$26=3,4000000000*EXP(-8400/($G20+273)),IF(Control!$B$26=4,4000000000*EXP(-8400/($G20+273))*($KT20),0))</f>
        <v>#DIV/0!</v>
      </c>
      <c r="KM20" s="274" t="e">
        <f ca="1">IF(Control!$B$26=3,5600000000000*EXP(-9800/($G20+273)),IF(Control!$B$26=4,5600000000000*EXP(-9800/($G20+273))*$KT20,0))</f>
        <v>#DIV/0!</v>
      </c>
      <c r="KN20" s="454" t="e">
        <f t="shared" ca="1" si="170"/>
        <v>#DIV/0!</v>
      </c>
      <c r="KO20" s="274" t="e">
        <f t="shared" ca="1" si="171"/>
        <v>#DIV/0!</v>
      </c>
      <c r="KP20" s="454" t="e">
        <f t="shared" ca="1" si="79"/>
        <v>#DIV/0!</v>
      </c>
      <c r="KQ20" s="454" t="e">
        <f t="shared" ca="1" si="80"/>
        <v>#DIV/0!</v>
      </c>
      <c r="KR20" s="454" t="e">
        <f t="shared" ca="1" si="81"/>
        <v>#DIV/0!</v>
      </c>
      <c r="KS20" s="454" t="e">
        <f t="shared" ca="1" si="82"/>
        <v>#DIV/0!</v>
      </c>
      <c r="KT20" s="455" t="e">
        <f t="shared" ca="1" si="83"/>
        <v>#DIV/0!</v>
      </c>
      <c r="KU20" s="456" t="e">
        <f ca="1">IF($CP20-Control!$C$149&lt;0, IF($NT20-0.01&lt;0,0,1),0)</f>
        <v>#N/A</v>
      </c>
      <c r="KV20" s="456" t="e">
        <f ca="1">IF(Control!$C$114=1,MAX(0,MIN(Control!$C$125*$KW20*$GN20,$KW20)))</f>
        <v>#DIV/0!</v>
      </c>
      <c r="KW20" s="456" t="e">
        <f t="shared" ca="1" si="208"/>
        <v>#DIV/0!</v>
      </c>
      <c r="KX20" s="457" t="e">
        <f ca="1">IF($CP20-Control!$C$149&lt;0, IF($MR20-$OM20&lt;0,0,1),0)</f>
        <v>#N/A</v>
      </c>
      <c r="KY20" s="167">
        <f t="shared" ca="1" si="172"/>
        <v>15</v>
      </c>
      <c r="KZ20" s="168">
        <f ca="1">1370*(1+0.033*COS(2*Control!$C$138*$AH20/365))</f>
        <v>1413.7111826823361</v>
      </c>
      <c r="LA20" s="169">
        <f t="shared" ca="1" si="173"/>
        <v>1.0319059778489741</v>
      </c>
      <c r="LB20" s="169">
        <f t="shared" ca="1" si="174"/>
        <v>-0.37021581658662056</v>
      </c>
      <c r="LC20" s="169">
        <f ca="1">ACOS(-TAN((2*Control!$B$8/360))*TAN(Calculations!$LB20))</f>
        <v>1.455191053143517</v>
      </c>
      <c r="LD20" s="169">
        <f ca="1">((24*60)/PI())*0.082*$LA20*(($LC20*SIN(Control!$B$8*2*PI()/360))*SIN($LB20)+COS(Control!$B$8*2*PI()/360)*COS($LB20)*SIN($LC20))</f>
        <v>6.0203070462068817</v>
      </c>
      <c r="LE20" s="170">
        <f t="shared" ca="1" si="84"/>
        <v>7.4907609996113349</v>
      </c>
      <c r="LF20" s="170">
        <f ca="1">SIN(Control!$C$139*Control!$B$8)*SIN($HD20)</f>
        <v>-0.28499509397169615</v>
      </c>
      <c r="LG20" s="170">
        <f ca="1">COS(Control!$C$139*Control!$B$8)*COS($HD20)</f>
        <v>0.57398502279212393</v>
      </c>
      <c r="LH20" s="170">
        <f ca="1">12*(1+2*ASIN(MAX(-1,MIN(1,$LF20/$LG20))/Control!$C$138))</f>
        <v>8.1909033226733214</v>
      </c>
      <c r="LI20" s="170">
        <f ca="1">12*(1+2*ASIN(MAX(-1,MIN(1,(-SIN(-4*Control!$C$139)+$LF20)/$LG20))/Control!$C$138))</f>
        <v>9.1284501627500774</v>
      </c>
      <c r="LJ20" s="168">
        <f ca="1">3600*($LH20*$LF20+24*$LG20*SQRT(1-$LK20*$LK20)/Control!$C$138)</f>
        <v>5298.6501708210117</v>
      </c>
      <c r="LK20" s="170">
        <f t="shared" ca="1" si="85"/>
        <v>-0.49652008790290469</v>
      </c>
      <c r="LL20" s="170">
        <f t="shared" ca="1" si="86"/>
        <v>0</v>
      </c>
      <c r="LM20" s="171">
        <f ca="1">Control!$C$145*$AB20</f>
        <v>6.6660906138995932E-2</v>
      </c>
      <c r="LN20" s="170">
        <f t="shared" ca="1" si="175"/>
        <v>0.54</v>
      </c>
      <c r="LO20" s="170">
        <f t="shared" ca="1" si="87"/>
        <v>0</v>
      </c>
      <c r="LP20" s="170">
        <f ca="1">Control!$C$140*((($D20+273.16)^4+($E20+273.16)^4)/2)*(0.34-0.14*SQRT($Y20))*(1.35*$AQ20/(0.75*$LD20)-0.35)</f>
        <v>-3.2464704755046001</v>
      </c>
      <c r="LQ20" s="170">
        <f ca="1">Control!$C$140*($G20+273)^4*(0.56-0.079*SQRT($Y20*10))*(0.1+0.9*$LO20)</f>
        <v>1.5241745131704001</v>
      </c>
      <c r="LR20" s="170">
        <f ca="1">$AQ20*(1-Control!$C$142)-$LQ20</f>
        <v>-1.5241745131704001</v>
      </c>
      <c r="LS20" s="170">
        <f ca="1">$AQ20*(1-Control!$C$143)-$LQ20</f>
        <v>-1.5241745131704001</v>
      </c>
      <c r="LT20" s="170">
        <f ca="1">$AQ20*(1-Control!$C$144)-$LQ20</f>
        <v>-1.5241745131704001</v>
      </c>
      <c r="LU20" s="169">
        <f ca="1">(1-Control!$C$144)*AQ20-LP20</f>
        <v>3.2464704755046001</v>
      </c>
      <c r="LV20" s="172">
        <f t="shared" ca="1" si="88"/>
        <v>0.79430000000000012</v>
      </c>
      <c r="LW20" s="170">
        <f t="shared" ca="1" si="89"/>
        <v>1.5886000000000002</v>
      </c>
      <c r="LX20" s="170">
        <f ca="1">($AC20*($LR20/Control!$C$141)+$LM20*$LV20)/($AC20+$LM20)</f>
        <v>0.23530094218323697</v>
      </c>
      <c r="LY20" s="170">
        <f ca="1">($AC20*($LS20/Control!$C$141)+$LM20*$LV20)/($AC20+$LM20)</f>
        <v>0.23530094218323697</v>
      </c>
      <c r="LZ20" s="170">
        <f t="shared" ca="1" si="90"/>
        <v>0.23530094218323697</v>
      </c>
      <c r="MA20" s="170">
        <f t="shared" ca="1" si="91"/>
        <v>0.23530094218323697</v>
      </c>
      <c r="MB20" s="170" t="e">
        <f t="shared" ca="1" si="92"/>
        <v>#N/A</v>
      </c>
      <c r="MC20" s="170">
        <f t="shared" ca="1" si="176"/>
        <v>0.6018</v>
      </c>
      <c r="MD20" s="170">
        <f t="shared" ca="1" si="93"/>
        <v>0.52989392535414004</v>
      </c>
      <c r="ME20" s="170">
        <f ca="1">($AC20*($LT20/Control!$C$141)+$LM20*$LW20)/($AC20+$LM20)</f>
        <v>0.71612369323045078</v>
      </c>
      <c r="MF20" s="170" t="e">
        <f ca="1">IF(Control!$B$16&gt;=1000,0.92,IF(AND(720&lt;=Control!$B$16,1000&gt;Control!$B$16),(0.95+(Control!$B$16-720)*((0.92-0.95)/(1000-720))),IF(AND(360&lt;=Control!$B$16,720&gt;Control!$B$16),(1+(Control!$B$16-360)*((0.95-1)/(720-360))),IF(AND(40&lt;=Control!$B$16,360&gt;Control!$B$16),(1.05+(Control!$B$16-40)*((1.05-1)/(360-40)))))))</f>
        <v>#N/A</v>
      </c>
      <c r="MG20" s="170">
        <f t="shared" ca="1" si="94"/>
        <v>0.71612369323045078</v>
      </c>
      <c r="MH20" s="170" t="e">
        <f t="shared" ca="1" si="95"/>
        <v>#N/A</v>
      </c>
      <c r="MI20" s="170" t="e">
        <f t="shared" ca="1" si="95"/>
        <v>#N/A</v>
      </c>
      <c r="MJ20" s="170" t="e">
        <f ca="1">MAX(0.0001, Control!$C$132*$MI20*$DL20)</f>
        <v>#N/A</v>
      </c>
      <c r="MK20" s="170">
        <f ca="1">1/(0.76+1.5*($MG20/10))-(5-Control!$C$110)*0.1</f>
        <v>1.002845988140797</v>
      </c>
      <c r="ML20" s="173">
        <f ca="1">IF(Control!$C$110&lt;3,$MK20+($MG20-0.6)/(Control!$C$110*(Control!$C$110+3)), MAX(0.1, MIN(0.95,$MK20)))</f>
        <v>0.95</v>
      </c>
      <c r="MM20" s="173">
        <f ca="1">IF(Control!$C$110&lt;3,$MK20+(($MI20/10)-0.6)/(Control!$C$110*(Control!$C$110+3)), MAX(0.1, MIN(0.95,$MK20)))</f>
        <v>0.95</v>
      </c>
      <c r="MN20" s="173">
        <f ca="1">(1-$MM20)*(Control!$C$128-Control!$C$127)+Control!$C$127</f>
        <v>0.16</v>
      </c>
      <c r="MO20" s="170" t="e">
        <f ca="1">MAX(0,MIN(1,($MS20-Control!$C$127)/($MN20-Control!$C$127)))</f>
        <v>#DIV/0!</v>
      </c>
      <c r="MP20" s="173" t="e">
        <f ca="1">1/(0.76+1.5*$MI20)-(5-Control!$C$110)*0.1</f>
        <v>#N/A</v>
      </c>
      <c r="MQ20" s="172" t="e">
        <f t="shared" ca="1" si="209"/>
        <v>#DIV/0!</v>
      </c>
      <c r="MR20" s="168" t="e">
        <f t="shared" ca="1" si="226"/>
        <v>#DIV/0!</v>
      </c>
      <c r="MS20" s="173" t="e">
        <f ca="1">MAX(Control!$C$127, MIN(Control!$C$135, $MR20/MAX(0.0001,$CY20)))</f>
        <v>#DIV/0!</v>
      </c>
      <c r="MT20" s="168" t="e">
        <f ca="1">(Control!$C$128-$MS20)*Control!$C$74</f>
        <v>#DIV/0!</v>
      </c>
      <c r="MU20" s="168" t="e">
        <f ca="1">(Control!$C$135-$MS20)*Control!$C$74</f>
        <v>#DIV/0!</v>
      </c>
      <c r="MV20" s="168" t="e">
        <f t="shared" ca="1" si="210"/>
        <v>#DIV/0!</v>
      </c>
      <c r="MW20" s="168" t="e">
        <f t="shared" ca="1" si="177"/>
        <v>#DIV/0!</v>
      </c>
      <c r="MX20" s="171" t="e">
        <f ca="1">MAX(Control!$C$127, MIN(Control!$C$135, $MW20/MAX(0.0001,Control!$C$119-$CY20)))</f>
        <v>#DIV/0!</v>
      </c>
      <c r="MY20" s="54" t="e">
        <f ca="1">IF(Control!$C$114=1, $CX20*$MX20, 0)</f>
        <v>#DIV/0!</v>
      </c>
      <c r="MZ20" s="54" t="e">
        <f t="shared" ca="1" si="178"/>
        <v>#N/A</v>
      </c>
      <c r="NA20" s="168" t="e">
        <f ca="1">(Control!$C$128-$MX20)*(Control!$C$119-Control!$C$74)</f>
        <v>#DIV/0!</v>
      </c>
      <c r="NB20" s="168" t="e">
        <f ca="1">(Control!$C$135-$MX20)*(Control!$C$119-Control!$C$74)</f>
        <v>#DIV/0!</v>
      </c>
      <c r="NC20" s="174" t="e">
        <f t="shared" ca="1" si="179"/>
        <v>#DIV/0!</v>
      </c>
      <c r="ND20" s="54">
        <f ca="1">IF(Control!$C$58=2, IF(OR(Control!$B$218=$AH20,Control!$B$219=$AH20, Control!$B$220=$AH20, Control!$B$221=$AH20, Control!$B$222=$AH20, Control!$B$223=$AH20, Control!$B$224=$AH20, Control!$B$225=$AH20, Control!$B$226=$AH20, Control!$B$227=$AH20, Control!$B$228=$AH20), 1, 0), 0)</f>
        <v>1</v>
      </c>
      <c r="NE20" s="54">
        <f ca="1">IF($ND20=0,0, VLOOKUP($AH20,Control!$B$218:$C$228,2))</f>
        <v>0</v>
      </c>
      <c r="NF20" s="168" t="e">
        <f ca="1">$CY20*(Control!$C$128-Control!$C$127)</f>
        <v>#N/A</v>
      </c>
      <c r="NG20" s="54" t="e">
        <f ca="1">IF(Control!$C$58=2, $NI19-$NJ19, 0)</f>
        <v>#DIV/0!</v>
      </c>
      <c r="NH20" s="54" t="e">
        <f ca="1">IF(AND(Control!$C$58=1, $MS19&lt;= ($MN19+0.02), $I19&lt;10), 0, IF(Control!$C$58=2, $NG19, 0))</f>
        <v>#DIV/0!</v>
      </c>
      <c r="NI20" s="54" t="e">
        <f ca="1">IF(Control!$C$58=2, $NE20+$NH20,0)</f>
        <v>#DIV/0!</v>
      </c>
      <c r="NJ20" s="54" t="e">
        <f ca="1">IF(AND(Control!$C$58=1, $MS20&lt;= ($MN20+0.02), $I20&lt;10), MAX(0, MIN(10, 0.7*($NF20-$MV20))), IF(Control!$C$58=2, MIN(10,$NI20),0))</f>
        <v>#DIV/0!</v>
      </c>
      <c r="NK20" s="54" t="e">
        <f t="shared" ca="1" si="96"/>
        <v>#DIV/0!</v>
      </c>
      <c r="NL20" s="173" t="e">
        <f ca="1">(1-Control!$C$73)*$I20+$NJ20</f>
        <v>#DIV/0!</v>
      </c>
      <c r="NM20" s="172" t="e">
        <f ca="1">IF($NL20&lt;0.5, $MB20* MAX(0, MIN(1, (SQRT($NC20)-SQRT($NC20-1))*Control!$C$71)),0)</f>
        <v>#DIV/0!</v>
      </c>
      <c r="NN20" s="170" t="e">
        <f ca="1">IF($NL20&gt;=5, $MB20, MAX(0,MIN($MB20, $NM20+$NL20,($MS20-Control!$C$129))))</f>
        <v>#DIV/0!</v>
      </c>
      <c r="NO20" s="54">
        <f>IF(Control!$C$133&lt;&gt;1, Control!$C$135-Control!$C$131, 0)</f>
        <v>0.38</v>
      </c>
      <c r="NP20" s="54" t="e">
        <f t="shared" ca="1" si="97"/>
        <v>#DIV/0!</v>
      </c>
      <c r="NQ20" s="173" t="e">
        <f ca="1">MAX(0,MIN(1,(Control!$C$135-$MS20)/(Control!$C$135-$NO20)))</f>
        <v>#DIV/0!</v>
      </c>
      <c r="NR20" s="170" t="e">
        <f ca="1">IF(Control!$C$133&lt;&gt;1, $NQ20+((1-$NP20/4)*(1-$NQ20)),1)</f>
        <v>#DIV/0!</v>
      </c>
      <c r="NS20" s="170" t="e">
        <f ca="1">IF(Control!$B$31=0,$MJ20,MAX(0,MIN($MV20,$MO20*$NR20*$MJ20)))</f>
        <v>#DIV/0!</v>
      </c>
      <c r="NT20" s="170" t="e">
        <f t="shared" ca="1" si="227"/>
        <v>#DIV/0!</v>
      </c>
      <c r="NU20" s="170" t="e">
        <f t="shared" ca="1" si="180"/>
        <v>#N/A</v>
      </c>
      <c r="NV20" s="170" t="e">
        <f t="shared" ca="1" si="98"/>
        <v>#N/A</v>
      </c>
      <c r="NW20" s="175" t="e">
        <f t="shared" ca="1" si="99"/>
        <v>#DIV/0!</v>
      </c>
      <c r="NX20" s="170" t="e">
        <f ca="1">MIN(Control!$C$72+$MU20, $NW20)</f>
        <v>#DIV/0!</v>
      </c>
      <c r="NY20" s="170" t="e">
        <f ca="1">IF($MT20&lt;=$NX20,MIN(Control!$C$72+$NB20,$NX20-$MT20),0)</f>
        <v>#DIV/0!</v>
      </c>
      <c r="NZ20" s="54" t="e">
        <f ca="1">IF(Control!$C$114=1,  $CX20*($MX20-Control!$C$127), 0)</f>
        <v>#DIV/0!</v>
      </c>
      <c r="OA20" s="170" t="e">
        <f t="shared" ca="1" si="181"/>
        <v>#DIV/0!</v>
      </c>
      <c r="OB20" s="170" t="e">
        <f ca="1">IF($NA20 &lt;=$NY20, MIN(Control!$C$72, $NY20-$NA20), 0)</f>
        <v>#DIV/0!</v>
      </c>
      <c r="OC20" s="168" t="e">
        <f t="shared" ca="1" si="100"/>
        <v>#DIV/0!</v>
      </c>
      <c r="OD20" s="168" t="e">
        <f t="shared" ca="1" si="182"/>
        <v>#DIV/0!</v>
      </c>
      <c r="OE20" s="170">
        <f ca="1">Control!$C$73*$I20</f>
        <v>0</v>
      </c>
      <c r="OF20" s="176" t="e">
        <f t="shared" ca="1" si="101"/>
        <v>#DIV/0!</v>
      </c>
      <c r="OG20" s="168" t="e">
        <f t="shared" ca="1" si="102"/>
        <v>#DIV/0!</v>
      </c>
      <c r="OH20" s="168" t="e">
        <f t="shared" ca="1" si="103"/>
        <v>#DIV/0!</v>
      </c>
      <c r="OI20" s="168" t="e">
        <f t="shared" ca="1" si="104"/>
        <v>#DIV/0!</v>
      </c>
      <c r="OJ20" s="168" t="e">
        <f t="shared" ca="1" si="105"/>
        <v>#DIV/0!</v>
      </c>
      <c r="OK20" s="204" t="e">
        <f t="shared" ca="1" si="183"/>
        <v>#DIV/0!</v>
      </c>
      <c r="OL20" s="177">
        <f>Control!$C$127</f>
        <v>0.15</v>
      </c>
      <c r="OM20" s="182" t="e">
        <f t="shared" ca="1" si="106"/>
        <v>#N/A</v>
      </c>
      <c r="ON20" s="177">
        <f>Control!$C$128</f>
        <v>0.35</v>
      </c>
      <c r="OO20" s="182" t="e">
        <f t="shared" ca="1" si="107"/>
        <v>#N/A</v>
      </c>
      <c r="OP20" s="138">
        <f t="shared" ca="1" si="184"/>
        <v>0</v>
      </c>
      <c r="OQ20" s="138" t="e">
        <f t="shared" ca="1" si="211"/>
        <v>#DIV/0!</v>
      </c>
      <c r="OR20" s="138" t="e">
        <f t="shared" ca="1" si="185"/>
        <v>#DIV/0!</v>
      </c>
      <c r="OS20" s="137" t="e">
        <f t="shared" ca="1" si="212"/>
        <v>#DIV/0!</v>
      </c>
      <c r="OT20" s="139" t="e">
        <f t="shared" ca="1" si="213"/>
        <v>#DIV/0!</v>
      </c>
      <c r="OU20" s="138" t="e">
        <f t="shared" ca="1" si="214"/>
        <v>#N/A</v>
      </c>
      <c r="OV20" s="138" t="e">
        <f t="shared" ca="1" si="215"/>
        <v>#DIV/0!</v>
      </c>
      <c r="OW20" s="138" t="e">
        <f t="shared" ca="1" si="186"/>
        <v>#DIV/0!</v>
      </c>
      <c r="OX20" s="138" t="e">
        <f t="shared" ca="1" si="187"/>
        <v>#DIV/0!</v>
      </c>
      <c r="OY20" s="138" t="e">
        <f t="shared" ca="1" si="188"/>
        <v>#DIV/0!</v>
      </c>
      <c r="OZ20" s="138" t="e">
        <f t="shared" ca="1" si="108"/>
        <v>#DIV/0!</v>
      </c>
      <c r="PA20" s="138" t="e">
        <f t="shared" ca="1" si="109"/>
        <v>#DIV/0!</v>
      </c>
      <c r="PB20" s="55">
        <f>IF(Control!$C$61="T", IF(Control!$C$65="F", IF($AH$6-Control!$C$60&lt;0,0,1), IF(365+$AH$6-Control!$C$60&lt;0,0,1)),0)</f>
        <v>0</v>
      </c>
      <c r="PC20" s="55">
        <f ca="1">IF(Control!$C$65="F", IF($AH$6-$HF20&lt;0,0,1), IF(365+$AH$6-$HF20&lt;0,0,1))</f>
        <v>1</v>
      </c>
      <c r="PD20" s="444">
        <f>Control!$C$118</f>
        <v>1500</v>
      </c>
      <c r="PE20" s="180" t="e">
        <f t="shared" ca="1" si="110"/>
        <v>#N/A</v>
      </c>
      <c r="PF20" s="445">
        <f t="shared" ca="1" si="189"/>
        <v>0.71612369323045078</v>
      </c>
      <c r="PT20" s="186"/>
      <c r="PU20" s="186"/>
      <c r="PV20" s="94"/>
      <c r="PW20" s="94"/>
      <c r="PX20" s="94"/>
      <c r="PY20" s="94"/>
      <c r="PZ20" s="94"/>
      <c r="QA20" s="94"/>
      <c r="QB20" s="94"/>
      <c r="QC20" s="94"/>
      <c r="QD20" s="94"/>
      <c r="QE20" s="94"/>
      <c r="QF20" s="94"/>
      <c r="QG20" s="94"/>
      <c r="QH20" s="94"/>
      <c r="QI20" s="94"/>
      <c r="QJ20" s="94"/>
      <c r="QK20" s="94"/>
      <c r="QL20" s="94"/>
      <c r="QM20" s="94"/>
      <c r="QN20" s="94"/>
      <c r="QO20" s="94"/>
      <c r="QP20" s="94"/>
    </row>
    <row r="21" spans="1:458" s="2" customFormat="1" x14ac:dyDescent="0.2">
      <c r="A21" s="386">
        <v>16</v>
      </c>
      <c r="B21" s="387">
        <v>1</v>
      </c>
      <c r="C21" s="387">
        <f ca="1">Weather_data!$B20</f>
        <v>0</v>
      </c>
      <c r="D21" s="388">
        <f ca="1">Weather_data!$F20</f>
        <v>0</v>
      </c>
      <c r="E21" s="388">
        <f ca="1">Weather_data!$E20</f>
        <v>0</v>
      </c>
      <c r="F21" s="388">
        <f t="shared" ca="1" si="111"/>
        <v>0</v>
      </c>
      <c r="G21" s="388">
        <f ca="1">AVERAGE($D21:$E21)+Control!$B$9</f>
        <v>0</v>
      </c>
      <c r="H21" s="388">
        <f ca="1">Weather_data!$G20</f>
        <v>0</v>
      </c>
      <c r="I21" s="388">
        <f ca="1">Weather_data!$I20</f>
        <v>0</v>
      </c>
      <c r="J21" s="388">
        <f ca="1">Weather_data!$H20</f>
        <v>0</v>
      </c>
      <c r="K21" s="389">
        <f ca="1">Weather_data!$D20</f>
        <v>0</v>
      </c>
      <c r="L21" s="388" t="e">
        <f t="shared" ca="1" si="112"/>
        <v>#N/A</v>
      </c>
      <c r="M21" s="388" t="e">
        <f t="shared" ca="1" si="0"/>
        <v>#N/A</v>
      </c>
      <c r="N21" s="388">
        <f t="shared" ca="1" si="1"/>
        <v>-0.10294556604732445</v>
      </c>
      <c r="O21" s="388">
        <f t="shared" ca="1" si="113"/>
        <v>1.0294556604732445</v>
      </c>
      <c r="P21" s="390">
        <v>3</v>
      </c>
      <c r="Q21" s="388">
        <f ca="1">MAX($G21-Control!$C$107,0)</f>
        <v>0</v>
      </c>
      <c r="R21" s="388">
        <f t="shared" ca="1" si="114"/>
        <v>0</v>
      </c>
      <c r="S21" s="388">
        <f t="shared" ca="1" si="2"/>
        <v>0</v>
      </c>
      <c r="T21" s="388">
        <f t="shared" ca="1" si="3"/>
        <v>0</v>
      </c>
      <c r="U21" s="59">
        <f t="shared" ca="1" si="4"/>
        <v>0</v>
      </c>
      <c r="V21" s="391">
        <f ca="1">MAX(0,MIN(Control!$C$100-Control!$C$99,$G21-Control!$C$99)*Control!$C$63)</f>
        <v>0</v>
      </c>
      <c r="W21" s="388">
        <f t="shared" ca="1" si="190"/>
        <v>0</v>
      </c>
      <c r="X21" s="388">
        <f t="shared" ca="1" si="115"/>
        <v>0.6110000000000001</v>
      </c>
      <c r="Y21" s="388">
        <f t="shared" ca="1" si="116"/>
        <v>0</v>
      </c>
      <c r="Z21" s="388">
        <f t="shared" ca="1" si="117"/>
        <v>0.61058800000000002</v>
      </c>
      <c r="AA21" s="388">
        <f t="shared" ca="1" si="5"/>
        <v>0.6018</v>
      </c>
      <c r="AB21" s="388">
        <f ca="1">101.3*EXP(-0.034*Control!$C$66/($G21+273))</f>
        <v>100.69623283836242</v>
      </c>
      <c r="AC21" s="392">
        <f t="shared" ca="1" si="6"/>
        <v>4.3460251046025113E-2</v>
      </c>
      <c r="AD21" s="392">
        <f t="shared" ca="1" si="7"/>
        <v>4.4450382862832649E-2</v>
      </c>
      <c r="AE21" s="388">
        <f t="shared" ca="1" si="8"/>
        <v>0</v>
      </c>
      <c r="AF21" s="388">
        <f ca="1">MAX(0,$G21-Control!$C$92)</f>
        <v>0</v>
      </c>
      <c r="AG21" s="393">
        <f t="shared" ca="1" si="118"/>
        <v>16</v>
      </c>
      <c r="AH21" s="389">
        <f t="shared" ca="1" si="9"/>
        <v>16</v>
      </c>
      <c r="AI21" s="388">
        <f t="shared" ca="1" si="119"/>
        <v>-0.36693051979854691</v>
      </c>
      <c r="AJ21" s="388">
        <f ca="1">IF(Control!$C$60&lt;=0,$HH21,$HI21)</f>
        <v>1</v>
      </c>
      <c r="AK21" s="388">
        <f t="shared" ca="1" si="10"/>
        <v>-1.1017092045465575</v>
      </c>
      <c r="AL21" s="388">
        <f t="shared" ca="1" si="11"/>
        <v>1.4427348205003909E-18</v>
      </c>
      <c r="AM21" s="388">
        <f t="shared" ca="1" si="12"/>
        <v>-1.1017092045465575</v>
      </c>
      <c r="AN21" s="388">
        <f t="shared" ca="1" si="13"/>
        <v>-0.36273242148627755</v>
      </c>
      <c r="AO21" s="388">
        <f ca="1">-0.10453/COS(Control!$B$8*PI()/180)*COS(AN21)</f>
        <v>-0.1587370937526604</v>
      </c>
      <c r="AP21" s="388">
        <f ca="1">ACOS(AO21-TAN(Control!$B$8*PI()/180)*TAN(AN21))</f>
        <v>1.2376335247083858</v>
      </c>
      <c r="AQ21" s="388">
        <f t="shared" ca="1" si="120"/>
        <v>0</v>
      </c>
      <c r="AR21" s="394">
        <f t="shared" ca="1" si="14"/>
        <v>0</v>
      </c>
      <c r="AS21" s="436">
        <f ca="1">IF(Control!$B$18=2,(IF(OR($AH21=Control!$B$175,$AH21=Control!$B$176,$AH21=Control!$B$177,$AH21=Control!$B$178,$AH21=Control!$B$179,$AH21=Control!$B$180,$AH21=Control!$B$181,$AH21=Control!$B$182,$AH21=Control!$B$183,$AH21=Control!$B$184,$AH21=Control!$B$185),1,0)),0)</f>
        <v>0</v>
      </c>
      <c r="AT21" s="436">
        <f>IF(Control!$B$20=8,IF(AND($AH21&gt;=Control!$B$172,$AH21&lt;=Control!$B$173),1,0),0)</f>
        <v>0</v>
      </c>
      <c r="AU21" s="436">
        <f>IF(Control!$B$20=8,IF($AV20=1,1*$AT21,IF($AT21=1,$AU20+1,$AU20)),0)</f>
        <v>0</v>
      </c>
      <c r="AV21" s="436">
        <f>IF(Control!$B$20=8,IF($AU21&gt;=Control!$B$174,1,0),0)</f>
        <v>0</v>
      </c>
      <c r="AW21" s="436">
        <f ca="1">IF(AND(Control!$B$18=2,Control!$B$171=1), $AV21, $AS21)</f>
        <v>0</v>
      </c>
      <c r="AX21" s="436" t="e">
        <f ca="1">IF(AND(Control!$B$18=1,$EU21&gt;=Control!$B$19),-$AY21,IF(AND(Control!$B$18=2,$AW21=1,$EU21&gt;$DS21),-$AY21, IF(Control!$C$108=0,0, IF(Control!$C$108&lt;&gt;0,1))))</f>
        <v>#N/A</v>
      </c>
      <c r="AY21" s="436" t="e">
        <f t="shared" ca="1" si="121"/>
        <v>#N/A</v>
      </c>
      <c r="AZ21" s="436" t="e">
        <f ca="1">IF(AND(Control!$B$18=1,$EB21&gt;Control!$B$19),$AZ20+1, IF(AND(Control!$B$18=2, $AW21=1, $EB21&gt;$DS21), $AZ20+1,$AZ20))</f>
        <v>#N/A</v>
      </c>
      <c r="BA21" s="587">
        <f>IF(Control!$C$81=0,1,IF($AH21&gt;=Control!$C$82,1,0))</f>
        <v>1</v>
      </c>
      <c r="BB21" s="140" t="e">
        <f ca="1">IF($BA21&gt;$BA20,Control!$C$83,IF($AW21&gt;0,$AW21*Control!$C$84,IF(AND(Control!$B$18=1,EN20&lt;&gt;0),Control!$C$84,0)))</f>
        <v>#N/A</v>
      </c>
      <c r="BC21" s="140" t="e">
        <f t="shared" ca="1" si="122"/>
        <v>#N/A</v>
      </c>
      <c r="BD21" s="140" t="e">
        <f ca="1">BC21*IF(OR($G21&lt;Control!$C$92,$G21&gt;Control!$C$95),0,IF(AND($G21&gt;=Control!$C$92,$G21&lt;=Control!$C$93),$G21-Control!$C$92,IF(AND($G21&gt;Control!$C$93,$G21&lt;=Control!$C$94),Control!$C$93-Control!$C$92,IF(AND($G21&gt;Control!$C$94,$G21&lt;=Control!$C$95),(Control!$C$93-Control!$C$92)*(Control!$C$94-$G21)/(Control!$C$95-Control!$C$94)))))</f>
        <v>#N/A</v>
      </c>
      <c r="BE21" s="140" t="e">
        <f t="shared" ca="1" si="123"/>
        <v>#N/A</v>
      </c>
      <c r="BF21" s="140" t="e">
        <f ca="1">IF($BE21&lt;=Control!$C$86,$BE21,Control!$C$86-$BE21)</f>
        <v>#N/A</v>
      </c>
      <c r="BG21" s="140" t="e">
        <f ca="1">IF(AND($AW21=1,Control!$C$84&lt;9),1,IF($BE21&gt;=Control!$C$86,0,$BC21))</f>
        <v>#N/A</v>
      </c>
      <c r="BH21" s="404" t="e">
        <f ca="1">IF($BG21=0,0,IF($BE21&lt;=Control!$C$86,$BC21*9*($BF21/Control!$C$86),0))</f>
        <v>#N/A</v>
      </c>
      <c r="BI21" s="140" t="e">
        <f ca="1">IF($BG21=1,0,IF($BE21&gt;=Control!$C$86,1,IF(AND($BB21&lt;21,$BB21&gt;=9),1,$BM20)))</f>
        <v>#N/A</v>
      </c>
      <c r="BJ21" s="140" t="e">
        <f ca="1">IF($BF21&lt;0,-$BF21,$BI21*IF(OR($G21&lt;Control!$C$92,$G21&gt;Control!$C$95),0,IF(AND($G21&gt;=Control!$C$92,$G21&lt;=Control!$C$93),$G21-Control!$C$92,IF(AND($G21&gt;Control!$C$93,$G21&lt;=Control!$C$94),Control!$C$93-Control!$C$92,IF(AND($G21&gt;Control!$C$94,$G21&lt;=Control!$C$95),(Control!$C$93-Control!$C$92)*(Control!$C$94-$G21)/(Control!$C$95-Control!$C$94))))))</f>
        <v>#N/A</v>
      </c>
      <c r="BK21" s="140" t="e">
        <f t="shared" ca="1" si="124"/>
        <v>#N/A</v>
      </c>
      <c r="BL21" s="140" t="e">
        <f ca="1">IF($BK21&lt;=Control!$C$87,$BK21,Control!$C$87-$BK21)</f>
        <v>#N/A</v>
      </c>
      <c r="BM21" s="140" t="e">
        <f ca="1">IF(AND($BB21&gt;=9,$BB21&lt;21),1,IF($BK21&gt;=Control!$C$87,0,$BI21))</f>
        <v>#N/A</v>
      </c>
      <c r="BN21" s="404" t="e">
        <f ca="1">IF($BM21=0,0,IF($BK21&lt;=Control!$C$87,$BI21*(9+(21-9)*($BL21/Control!$C$87)),0))</f>
        <v>#N/A</v>
      </c>
      <c r="BO21" s="140" t="e">
        <f ca="1">IF($BM21=1,0,IF($BK21&gt;=Control!$C$87,1,IF(AND($BB21&lt;30,$BB21&gt;=21),1,$BS20)))</f>
        <v>#N/A</v>
      </c>
      <c r="BP21" s="140" t="e">
        <f ca="1">IF($BL21&lt;0,-$BL21,$BO21*IF(OR($G21&lt;Control!$C$92,$G21&gt;Control!$C$95),0,IF(AND($G21&gt;=Control!$C$92,$G21&lt;=Control!$C$93),$G21-Control!$C$92,IF(AND($G21&gt;Control!$C$93,$G21&lt;=Control!$C$94),Control!$C$93-Control!$C$92,IF(AND($G21&gt;Control!$C$94,$G21&lt;=Control!$C$95),(Control!$C$93-Control!$C$92)*(Control!$C$94-$G21)/(Control!$C$95-Control!$C$94))))))</f>
        <v>#N/A</v>
      </c>
      <c r="BQ21" s="140" t="e">
        <f t="shared" ca="1" si="15"/>
        <v>#N/A</v>
      </c>
      <c r="BR21" s="140" t="e">
        <f ca="1">IF($BQ21&lt;=Control!$C$88,$BQ21,Control!$C$88-$BQ21)</f>
        <v>#N/A</v>
      </c>
      <c r="BS21" s="140" t="e">
        <f ca="1">IF(AND($BB21&gt;=21,$BB21&lt;30),1,IF($BQ21&gt;=Control!$C$88,0,$BO21))</f>
        <v>#N/A</v>
      </c>
      <c r="BT21" s="404" t="e">
        <f ca="1">IF($BS21=0,0,IF($BQ21&lt;=Control!$C$88,$BO21*(21+(30-21)*(BR21/Control!$C$88)),0))</f>
        <v>#N/A</v>
      </c>
      <c r="BU21" s="140" t="e">
        <f ca="1">IF(BG21+BM21+BS21=1,0,IF(OR(AND($BB21&lt;60,$BB21&gt;=30),$BQ21&gt;=Control!$C$88),1*$BA21,$BY20))</f>
        <v>#N/A</v>
      </c>
      <c r="BV21" s="140" t="e">
        <f ca="1">IF($BR21&lt;0,-$BR21,$BU21*IF(OR($G21&lt;Control!$C$92,$G21&gt;Control!$C$95),0,IF(AND($G21&gt;=Control!$C$92,$G21&lt;=Control!$C$93),$G21-Control!$C$92,IF(AND($G21&gt;Control!$C$93,$G21&lt;=Control!$C$94),Control!$C$93-Control!$C$92,IF(AND($G21&gt;Control!$C$94,$G21&lt;=Control!$C$95),(Control!$C$93-Control!$C$92)*(Control!$C$94-$G21)/(Control!$C$95-Control!$C$94))))))</f>
        <v>#N/A</v>
      </c>
      <c r="BW21" s="140" t="e">
        <f t="shared" ca="1" si="16"/>
        <v>#N/A</v>
      </c>
      <c r="BX21" s="140" t="e">
        <f ca="1">IF($BW21&lt;=Control!$C$89,$BW21,Control!$C$89-$BW21)</f>
        <v>#N/A</v>
      </c>
      <c r="BY21" s="140" t="e">
        <f ca="1">IF(AND($AJ21&gt;=30,$AJ21&lt;60),1,IF($BW21&gt;=Control!$C$89,0,$BU21))</f>
        <v>#N/A</v>
      </c>
      <c r="BZ21" s="404" t="e">
        <f ca="1">IF($BY21=0,0,IF($BW21&lt;=Control!$C$89,$BU21*(30+(60-30)*(BX21/Control!$C$89)),0))</f>
        <v>#N/A</v>
      </c>
      <c r="CA21" s="140" t="e">
        <f ca="1">IF($BG21+$BM21+$BS21+$BY21=1,0,IF(OR(AND($BB21&lt;65,$BB21&gt;=60),$BW21&gt;=Control!$C$89),1*$BA21,$CE20))</f>
        <v>#N/A</v>
      </c>
      <c r="CB21" s="140" t="e">
        <f ca="1">IF($BX21&lt;0,-$BX21,$CA21*IF(OR($G21&lt;Control!$C$92,$G21&gt;Control!$C$95),0,IF(AND($G21&gt;=Control!$C$92,$G21&lt;=Control!$C$93),$G21-Control!$C$92,IF(AND($G21&gt;Control!$C$93,$G21&lt;=Control!$C$94),Control!$C$93-Control!$C$92,IF(AND($G21&gt;Control!$C$94,$G21&lt;=Control!$C$95),(Control!$C$93-Control!$C$92)*(Control!$C$94-$G21)/(Control!$C$95-Control!$C$94))))))</f>
        <v>#N/A</v>
      </c>
      <c r="CC21" s="140" t="e">
        <f t="shared" ca="1" si="125"/>
        <v>#N/A</v>
      </c>
      <c r="CD21" s="140" t="e">
        <f ca="1">IF($CC21&lt;=Control!$C$90,$CC21,Control!$C$90-$CC21)</f>
        <v>#N/A</v>
      </c>
      <c r="CE21" s="140" t="e">
        <f ca="1">IF(AND($BB21&gt;=60,$BB21&lt;65),1,IF($CC21&gt;=Control!$C$90,0,$CA21))</f>
        <v>#N/A</v>
      </c>
      <c r="CF21" s="404" t="e">
        <f ca="1">IF($CE21=0,0,IF($CC21&lt;=Control!$C$90,$CA21*(60+(65-60)*(CD21/Control!$C$90)),0))</f>
        <v>#N/A</v>
      </c>
      <c r="CG21" s="140" t="e">
        <f ca="1">IF($BG21+$BM21+$BS21+$BY21+$CE21=1,0,IF(OR(AND($BB21&lt;90,$BB21&gt;=65),$CC21&gt;=Control!$C$90),$BA21,$CK20))</f>
        <v>#N/A</v>
      </c>
      <c r="CH21" s="140" t="e">
        <f ca="1">IF($CD21&lt;0,-$CD21,$CG21*IF(OR($G21&lt;Control!$C$92,$G21&gt;Control!$C$95),0,IF(AND($G21&gt;=Control!$C$92,$G21&lt;=Control!$C$93),$G21-Control!$C$92,IF(AND($G21&gt;Control!$C$93,$G21&lt;=Control!$C$94),Control!$C$93-Control!$C$92,IF(AND($G21&gt;Control!$C$94,$G21&lt;=Control!$C$95),(Control!$C$93-Control!$C$92)*(Control!$C$94-$G21)/(Control!$C$95-Control!$C$94))))))</f>
        <v>#N/A</v>
      </c>
      <c r="CI21" s="140" t="e">
        <f t="shared" ca="1" si="126"/>
        <v>#N/A</v>
      </c>
      <c r="CJ21" s="140" t="e">
        <f ca="1">IF($CI21&lt;=Control!$C$91,$CI21,Control!$C$91-$CI21)</f>
        <v>#N/A</v>
      </c>
      <c r="CK21" s="140" t="e">
        <f ca="1">IF(AND($BB21&gt;=65,$BB21&lt;90),1,IF($CI21&gt;=Control!$C$91,0,$CG21))</f>
        <v>#N/A</v>
      </c>
      <c r="CL21" s="404" t="e">
        <f ca="1">IF($CK21=0,0,IF($CI21&lt;=Control!$C$91,$CG21*(65+(90-65)*($CJ21/Control!$C$91)),0))</f>
        <v>#N/A</v>
      </c>
      <c r="CM21" s="140" t="e">
        <f ca="1">IF($BG21+$BM21+$BS21+$BY21+$CE21+$CK21=1,0,IF(OR($BB21&gt;=90,$CI21&gt;=Control!$C$91),$BA21,$CM20))</f>
        <v>#N/A</v>
      </c>
      <c r="CN21" s="140" t="e">
        <f t="shared" ca="1" si="127"/>
        <v>#N/A</v>
      </c>
      <c r="CO21" s="140" t="e">
        <f t="shared" ca="1" si="128"/>
        <v>#N/A</v>
      </c>
      <c r="CP21" s="140" t="e">
        <f t="shared" ca="1" si="129"/>
        <v>#N/A</v>
      </c>
      <c r="CQ21" s="141" t="e">
        <f ca="1">VLOOKUP($CP21,Control!$B$86:$G$91,6)</f>
        <v>#N/A</v>
      </c>
      <c r="CR21" s="141" t="e">
        <f ca="1">(1-$CQ21)*VLOOKUP($CP21,Control!$B$86:$D$91,3)</f>
        <v>#N/A</v>
      </c>
      <c r="CS21" s="141" t="e">
        <f ca="1">(1-$CQ21)*VLOOKUP($CP21,Control!$B$86:$E$91,4)</f>
        <v>#N/A</v>
      </c>
      <c r="CT21" s="141" t="e">
        <f ca="1">(1-$CQ21)*VLOOKUP($CP21,Control!$B$86:$F$91,5)</f>
        <v>#N/A</v>
      </c>
      <c r="CU21" s="141">
        <f t="shared" ca="1" si="130"/>
        <v>0</v>
      </c>
      <c r="CV21" s="583">
        <f t="shared" ca="1" si="131"/>
        <v>0</v>
      </c>
      <c r="CW21" s="142">
        <f t="shared" ca="1" si="132"/>
        <v>16</v>
      </c>
      <c r="CX21" s="612" t="e">
        <f ca="1">IF(Control!$C$114=1,(MIN(Control!$C$120*(IF($NT21-0.01&lt;0,0,1)),Control!$C$119-$CY21)))</f>
        <v>#DIV/0!</v>
      </c>
      <c r="CY21" s="143" t="e">
        <f t="shared" ca="1" si="133"/>
        <v>#N/A</v>
      </c>
      <c r="CZ21" s="144">
        <f t="shared" ca="1" si="17"/>
        <v>0</v>
      </c>
      <c r="DA21" s="144">
        <f t="shared" ca="1" si="18"/>
        <v>0</v>
      </c>
      <c r="DB21" s="144" t="e">
        <f t="shared" ca="1" si="19"/>
        <v>#N/A</v>
      </c>
      <c r="DC21" s="144" t="e">
        <f t="shared" ca="1" si="20"/>
        <v>#N/A</v>
      </c>
      <c r="DD21" s="144" t="e">
        <f t="shared" ca="1" si="216"/>
        <v>#N/A</v>
      </c>
      <c r="DE21" s="143" t="e">
        <f t="shared" ca="1" si="135"/>
        <v>#N/A</v>
      </c>
      <c r="DF21" s="145" t="e">
        <f ca="1">$DR21*EXP(-Control!$C$158*(1-$KH21))</f>
        <v>#N/A</v>
      </c>
      <c r="DG21" s="146" t="e">
        <f ca="1">IF(Control!$C$114=1, $DF21*$EY21, 0)</f>
        <v>#N/A</v>
      </c>
      <c r="DH21" s="147" t="e">
        <f t="shared" ca="1" si="136"/>
        <v>#N/A</v>
      </c>
      <c r="DI21" s="144" t="e">
        <f t="shared" ca="1" si="191"/>
        <v>#N/A</v>
      </c>
      <c r="DJ21" s="147" t="e">
        <f ca="1">$EF21*Control!$C$109</f>
        <v>#N/A</v>
      </c>
      <c r="DK21" s="144" t="e">
        <f t="shared" ca="1" si="137"/>
        <v>#N/A</v>
      </c>
      <c r="DL21" s="144" t="e">
        <f t="shared" ca="1" si="21"/>
        <v>#N/A</v>
      </c>
      <c r="DM21" s="144" t="e">
        <f ca="1">IF(Control!$C$114=1, (1-EXP(-Control!$C$96*$DK21))*$AR21, 0)</f>
        <v>#N/A</v>
      </c>
      <c r="DN21" s="144">
        <f t="shared" ca="1" si="138"/>
        <v>0</v>
      </c>
      <c r="DO21" s="148">
        <f>Control!$C$97</f>
        <v>4</v>
      </c>
      <c r="DP21" s="145" t="e">
        <f t="shared" ca="1" si="139"/>
        <v>#N/A</v>
      </c>
      <c r="DQ21" s="145" t="e">
        <f ca="1">IF(AND($CP21&gt;=0,$CP21&lt;=90),Control!$C$111,Control!$C$111)</f>
        <v>#N/A</v>
      </c>
      <c r="DR21" s="145" t="e">
        <f t="shared" ca="1" si="22"/>
        <v>#N/A</v>
      </c>
      <c r="DS21" s="143" t="e">
        <f ca="1">Control!$B$22/$DR21</f>
        <v>#N/A</v>
      </c>
      <c r="DT21" s="149" t="e">
        <f ca="1">IF(AND(Control!$C$114=1,$KH21&lt;1),$IM21*$DF21, 0)</f>
        <v>#N/A</v>
      </c>
      <c r="DU21" s="144" t="e">
        <f t="shared" ca="1" si="192"/>
        <v>#N/A</v>
      </c>
      <c r="DV21" s="144">
        <f ca="1">IF($G21-Control!$C$107&lt;=0, 0, 0.83*LN(MAX($G21, 3))-0.8924)</f>
        <v>0</v>
      </c>
      <c r="DW21" s="144" t="e">
        <f t="shared" ca="1" si="23"/>
        <v>#N/A</v>
      </c>
      <c r="DX21" s="150" t="e">
        <f ca="1">MAX(0.01*(1+$CU21/Control!$C$102),0.05*($DK21-Control!$C$97)/Control!$C$97)</f>
        <v>#N/A</v>
      </c>
      <c r="DY21" s="151" t="e">
        <f ca="1">IF(Control!$C$114=1, $DI21*$FS21, 0)</f>
        <v>#N/A</v>
      </c>
      <c r="DZ21" s="196" t="e">
        <f t="shared" ca="1" si="140"/>
        <v>#N/A</v>
      </c>
      <c r="EA21" s="152">
        <f t="shared" ca="1" si="141"/>
        <v>16</v>
      </c>
      <c r="EB21" s="153" t="e">
        <f t="shared" ca="1" si="217"/>
        <v>#N/A</v>
      </c>
      <c r="EC21" s="153" t="e">
        <f t="shared" ca="1" si="142"/>
        <v>#N/A</v>
      </c>
      <c r="ED21" s="154" t="e">
        <f ca="1">IF(Control!$C$114=1, $HM21*$FY21-$FD21, 0)</f>
        <v>#DIV/0!</v>
      </c>
      <c r="EE21" s="155" t="e">
        <f ca="1">IF(Control!$C$114=1, $HM21*$FZ21-$FF21, 0)</f>
        <v>#DIV/0!</v>
      </c>
      <c r="EF21" s="153" t="e">
        <f t="shared" ca="1" si="193"/>
        <v>#N/A</v>
      </c>
      <c r="EG21" s="155" t="e">
        <f ca="1">IF(Control!$C$114=1, $GX21*$FW21-$FI21, 0)</f>
        <v>#DIV/0!</v>
      </c>
      <c r="EH21" s="153" t="e">
        <f t="shared" ca="1" si="143"/>
        <v>#N/A</v>
      </c>
      <c r="EI21" s="156" t="e">
        <f t="shared" ca="1" si="144"/>
        <v>#N/A</v>
      </c>
      <c r="EJ21" s="155" t="e">
        <f ca="1">IF(Control!$C$114=1, $HM21*$GB21, 0)</f>
        <v>#DIV/0!</v>
      </c>
      <c r="EK21" s="153" t="e">
        <f t="shared" ca="1" si="194"/>
        <v>#N/A</v>
      </c>
      <c r="EL21" s="153" t="e">
        <f t="shared" ca="1" si="24"/>
        <v>#N/A</v>
      </c>
      <c r="EM21" s="153" t="e">
        <f t="shared" ca="1" si="25"/>
        <v>#N/A</v>
      </c>
      <c r="EN21" s="153" t="e">
        <f ca="1">IF(Control!$C$108=1,IF(AND(Control!$B$18=1,$EB21&gt;=Control!$B$19),$EB21-$DS21,IF(AND(Control!$B$18=2,$AW21=1,$EB21&gt;$DS21),$EB21-$DS21,0)))</f>
        <v>#N/A</v>
      </c>
      <c r="EO21" s="153" t="e">
        <f ca="1">IF(Control!$C$108=1,IF(AND(Control!$B$18=1,$EB21&gt;=Control!$B$19),$EF21,IF(AND(Control!$B$18=2,$AW21=1),$EF21,0)))</f>
        <v>#N/A</v>
      </c>
      <c r="EP21" s="153" t="e">
        <f ca="1">IF(Control!$C$108=1,IF(AND(Control!$B$18=1,$EB21&gt;=Control!$B$19),$EK21,IF(AND(Control!$B$18=2,$AW21=1),$EK21,0)))</f>
        <v>#N/A</v>
      </c>
      <c r="EQ21" s="153" t="e">
        <f t="shared" ca="1" si="145"/>
        <v>#N/A</v>
      </c>
      <c r="ER21" s="153" t="e">
        <f t="shared" ca="1" si="195"/>
        <v>#N/A</v>
      </c>
      <c r="ES21" s="153" t="e">
        <f t="shared" ca="1" si="196"/>
        <v>#N/A</v>
      </c>
      <c r="ET21" s="153" t="e">
        <f t="shared" ca="1" si="197"/>
        <v>#N/A</v>
      </c>
      <c r="EU21" s="153" t="e">
        <f t="shared" ca="1" si="198"/>
        <v>#N/A</v>
      </c>
      <c r="EV21" s="153" t="e">
        <f t="shared" ca="1" si="146"/>
        <v>#N/A</v>
      </c>
      <c r="EW21" s="153" t="e">
        <f t="shared" ca="1" si="218"/>
        <v>#N/A</v>
      </c>
      <c r="EX21" s="153" t="e">
        <f t="shared" ca="1" si="26"/>
        <v>#N/A</v>
      </c>
      <c r="EY21" s="157" t="e">
        <f t="shared" ca="1" si="147"/>
        <v>#DIV/0!</v>
      </c>
      <c r="EZ21" s="154" t="e">
        <f t="shared" ca="1" si="27"/>
        <v>#DIV/0!</v>
      </c>
      <c r="FA21" s="153" t="e">
        <f t="shared" ca="1" si="199"/>
        <v>#N/A</v>
      </c>
      <c r="FB21" s="153" t="e">
        <f t="shared" ca="1" si="28"/>
        <v>#N/A</v>
      </c>
      <c r="FC21" s="193" t="e">
        <f t="shared" ca="1" si="29"/>
        <v>#N/A</v>
      </c>
      <c r="FD21" s="158" t="e">
        <f t="shared" ca="1" si="200"/>
        <v>#N/A</v>
      </c>
      <c r="FE21" s="158" t="e">
        <f t="shared" ca="1" si="148"/>
        <v>#N/A</v>
      </c>
      <c r="FF21" s="159" t="e">
        <f t="shared" ca="1" si="30"/>
        <v>#N/A</v>
      </c>
      <c r="FG21" s="160" t="e">
        <f t="shared" ca="1" si="149"/>
        <v>#N/A</v>
      </c>
      <c r="FH21" s="158" t="e">
        <f t="shared" ca="1" si="150"/>
        <v>#N/A</v>
      </c>
      <c r="FI21" s="159" t="e">
        <f t="shared" ca="1" si="31"/>
        <v>#N/A</v>
      </c>
      <c r="FJ21" s="160" t="e">
        <f t="shared" ca="1" si="151"/>
        <v>#N/A</v>
      </c>
      <c r="FK21" s="160" t="e">
        <f t="shared" ca="1" si="32"/>
        <v>#N/A</v>
      </c>
      <c r="FL21" s="160" t="e">
        <f t="shared" ca="1" si="229"/>
        <v>#N/A</v>
      </c>
      <c r="FM21" s="160" t="e">
        <f t="shared" ca="1" si="33"/>
        <v>#N/A</v>
      </c>
      <c r="FN21" s="158">
        <f t="shared" ca="1" si="219"/>
        <v>0.01</v>
      </c>
      <c r="FO21" s="160">
        <f>Control!$C$101</f>
        <v>50</v>
      </c>
      <c r="FP21" s="150" t="e">
        <f t="shared" ca="1" si="34"/>
        <v>#N/A</v>
      </c>
      <c r="FQ21" s="150" t="e">
        <f ca="1">MAX(0,(Control!$C$112*(($DK21-Control!$C$97)/Control!$C$97)))</f>
        <v>#N/A</v>
      </c>
      <c r="FR21" s="150" t="e">
        <f ca="1">(1-$NT21)*Control!$C$113</f>
        <v>#DIV/0!</v>
      </c>
      <c r="FS21" s="198" t="e">
        <f t="shared" ca="1" si="35"/>
        <v>#N/A</v>
      </c>
      <c r="FT21" s="161">
        <f t="shared" ca="1" si="152"/>
        <v>16</v>
      </c>
      <c r="FU21" s="162" t="e">
        <f ca="1">IF(Control!$B$34=1,VLOOKUP($CP21,Control!$B$86:$G$91,6),Control!$B$35)</f>
        <v>#N/A</v>
      </c>
      <c r="FV21" s="162" t="e">
        <f t="shared" ca="1" si="36"/>
        <v>#DIV/0!</v>
      </c>
      <c r="FW21" s="162" t="e">
        <f ca="1">IF(Control!$B$31=1,$FU21*$FV21,  $FU21)</f>
        <v>#N/A</v>
      </c>
      <c r="FX21" s="162" t="e">
        <f ca="1">IF(Control!$B$34=1,VLOOKUP($CP21,Control!$B$86:$G$91,3),Control!$B$36)</f>
        <v>#N/A</v>
      </c>
      <c r="FY21" s="162" t="e">
        <f t="shared" ca="1" si="37"/>
        <v>#N/A</v>
      </c>
      <c r="FZ21" s="162" t="e">
        <f ca="1">IF(Control!$B$34=1,VLOOKUP($CP21,Control!$B$86:$G$91,4),Control!$B$37)</f>
        <v>#N/A</v>
      </c>
      <c r="GA21" s="162" t="e">
        <f t="shared" ca="1" si="38"/>
        <v>#N/A</v>
      </c>
      <c r="GB21" s="162" t="e">
        <f ca="1">IF(Control!$B$34=1,VLOOKUP($CP21,Control!$B$86:$G$91,5),Control!$B$38)</f>
        <v>#N/A</v>
      </c>
      <c r="GC21" s="162" t="e">
        <f t="shared" ca="1" si="153"/>
        <v>#N/A</v>
      </c>
      <c r="GD21" s="162">
        <f t="shared" ca="1" si="39"/>
        <v>1</v>
      </c>
      <c r="GE21" s="162">
        <f t="shared" ca="1" si="40"/>
        <v>1</v>
      </c>
      <c r="GF21" s="162">
        <f ca="1">IF(AND(Control!$C$104=1, Control!$C$62="F"),$GE21,1)</f>
        <v>1</v>
      </c>
      <c r="GG21" s="162" t="e">
        <f ca="1">IF(Control!$B$16=40,0,IF(AND(Control!$B$16&gt;40,Control!$B$16&lt;=360),(Control!$B$16-40)*((1-0)/(360-40)),IF(AND(Control!$B$16&gt;360,Control!$B$16&lt;=720),(1+(Control!$B$16-360)*((1.25-1)/(720-360))),IF(AND(Control!$B$16&gt;720,Control!$B$16&lt;=1000),(1.25+(Control!$B$16-720)*((1.35-1.25)/(1000-720))),IF(AND(Control!$B$16&gt;1000,Control!$B$16&lt;=2000),(1.35+(Control!$B$16-1000)*0))))))</f>
        <v>#N/A</v>
      </c>
      <c r="GH21" s="162" t="e">
        <f t="shared" ca="1" si="41"/>
        <v>#N/A</v>
      </c>
      <c r="GI21" s="162">
        <f t="shared" ca="1" si="201"/>
        <v>0</v>
      </c>
      <c r="GJ21" s="162">
        <f t="shared" ca="1" si="42"/>
        <v>0</v>
      </c>
      <c r="GK21" s="162">
        <f t="shared" ca="1" si="220"/>
        <v>1</v>
      </c>
      <c r="GL21" s="162">
        <f t="shared" ca="1" si="43"/>
        <v>1</v>
      </c>
      <c r="GM21" s="162" t="e">
        <f ca="1">MAX(0,MIN(1,1-Control!$C$156*(1.0001-$KH21)^2))</f>
        <v>#N/A</v>
      </c>
      <c r="GN21" s="162" t="e">
        <f ca="1">IF(Control!$B$26=1,$KU21,$KX21)</f>
        <v>#N/A</v>
      </c>
      <c r="GO21" s="162" t="e">
        <f ca="1">IF($CP21&lt;=60,Control!$C$105,IF($CP21&gt;=90,Control!$C$106,Control!$C$105+($CP21-60)*((Control!$C$106-Control!$C$105)/(90-60))))</f>
        <v>#N/A</v>
      </c>
      <c r="GP21" s="162" t="e">
        <f t="shared" ca="1" si="154"/>
        <v>#N/A</v>
      </c>
      <c r="GQ21" s="162" t="e">
        <f t="shared" ca="1" si="155"/>
        <v>#N/A</v>
      </c>
      <c r="GR21" s="163" t="e">
        <f t="shared" ca="1" si="44"/>
        <v>#DIV/0!</v>
      </c>
      <c r="GS21" s="162" t="e">
        <f t="shared" ca="1" si="45"/>
        <v>#DIV/0!</v>
      </c>
      <c r="GT21" s="164" t="e">
        <f t="shared" ca="1" si="156"/>
        <v>#N/A</v>
      </c>
      <c r="GU21" s="162" t="e">
        <f t="shared" ca="1" si="157"/>
        <v>#N/A</v>
      </c>
      <c r="GV21" s="162" t="e">
        <f t="shared" ca="1" si="46"/>
        <v>#N/A</v>
      </c>
      <c r="GW21" s="162" t="e">
        <f t="shared" ca="1" si="221"/>
        <v>#DIV/0!</v>
      </c>
      <c r="GX21" s="162" t="e">
        <f t="shared" ca="1" si="228"/>
        <v>#DIV/0!</v>
      </c>
      <c r="GY21" s="162" t="e">
        <f t="shared" ca="1" si="158"/>
        <v>#DIV/0!</v>
      </c>
      <c r="GZ21" s="165" t="e">
        <f t="shared" ca="1" si="159"/>
        <v>#N/A</v>
      </c>
      <c r="HA21" s="162" t="e">
        <f ca="1">IF(Control!$C$114=1, $DI21*$FS21, 0)</f>
        <v>#N/A</v>
      </c>
      <c r="HB21" s="162" t="e">
        <f ca="1">$FA21/Control!$C$64</f>
        <v>#N/A</v>
      </c>
      <c r="HC21" s="162" t="e">
        <f t="shared" ca="1" si="222"/>
        <v>#DIV/0!</v>
      </c>
      <c r="HD21" s="162">
        <f ca="1">-ASIN(SIN(23.45*Control!$C$139)*COS(2*Control!$C$138*($AH21+10)/365))</f>
        <v>-0.36693051979854691</v>
      </c>
      <c r="HE21" s="165">
        <f t="shared" ca="1" si="160"/>
        <v>0</v>
      </c>
      <c r="HF21" s="166">
        <f ca="1">IF(AND(Control!$C$61="T",$HE21&gt;=Control!$C$103,Control!$C$114=0),$AH21,Control!$C$59)</f>
        <v>1</v>
      </c>
      <c r="HG21" s="166">
        <f ca="1">IF(AND(Control!$C$61="T",$HE21&gt;=Control!$C$103,Control!$C$114=0),$HF21,Control!$C$59)</f>
        <v>1</v>
      </c>
      <c r="HH21" s="165">
        <f ca="1">IF(AND(OR(Control!$C$60&lt;=0, $AH21= Control!$C$59, Control!$C$60 &gt;0, $AH21 = Control!$C$60)), Control!$C$59, IF(Control!$C$60&gt;0, 0))</f>
        <v>1</v>
      </c>
      <c r="HI21" s="165">
        <f ca="1">IF(AND(OR(Control!$C$60&lt;=0, $AH21= Control!$C$59, Control!$C$60 &gt;0, $AH21 = Control!$C$60)), Control!$C$60, IF(Control!$C$60&lt;=0, 0))</f>
        <v>0</v>
      </c>
      <c r="HJ21" s="166">
        <f ca="1">IF(AND(Control!$C$62="F",$CV21&gt;=Control!$C$102),$AH21,0)</f>
        <v>0</v>
      </c>
      <c r="HK21" s="165" t="e">
        <f t="shared" ca="1" si="202"/>
        <v>#N/A</v>
      </c>
      <c r="HL21" s="166">
        <f ca="1">IF(AND(Control!$C$61="T",$HE21&gt;=Control!$C$103,Control!$C$114=0),$HF21,0)</f>
        <v>0</v>
      </c>
      <c r="HM21" s="201" t="e">
        <f t="shared" ca="1" si="47"/>
        <v>#DIV/0!</v>
      </c>
      <c r="HN21" s="215">
        <f t="shared" ca="1" si="161"/>
        <v>16</v>
      </c>
      <c r="HO21" s="216" t="e">
        <f ca="1">IF(AND($CP21&gt;=0, $CP21&lt;=90), Control!$C$152, Control!$C$152)</f>
        <v>#N/A</v>
      </c>
      <c r="HP21" s="216" t="e">
        <f t="shared" ca="1" si="48"/>
        <v>#N/A</v>
      </c>
      <c r="HQ21" s="217" t="e">
        <f ca="1">IF(OR(Control!$B$26=1,Control!$B$26=2),$KV21,$KS21)</f>
        <v>#DIV/0!</v>
      </c>
      <c r="HR21" s="218" t="e">
        <f t="shared" ca="1" si="223"/>
        <v>#DIV/0!</v>
      </c>
      <c r="HS21" s="216" t="e">
        <f ca="1">Control!$C$154*$HP21</f>
        <v>#N/A</v>
      </c>
      <c r="HT21" s="216" t="e">
        <f ca="1">Control!$C$155*$HP21</f>
        <v>#N/A</v>
      </c>
      <c r="HU21" s="217" t="e">
        <f ca="1">Control!$C$161*$FI21</f>
        <v>#N/A</v>
      </c>
      <c r="HV21" s="218" t="e">
        <f t="shared" ca="1" si="162"/>
        <v>#N/A</v>
      </c>
      <c r="HW21" s="218" t="e">
        <f ca="1">Control!$C$160*$FF21+$IP21*$EO21</f>
        <v>#N/A</v>
      </c>
      <c r="HX21" s="218" t="e">
        <f t="shared" ca="1" si="203"/>
        <v>#N/A</v>
      </c>
      <c r="HY21" s="219" t="e">
        <f ca="1">IF(Control!$C$114=1, $EB21*$FS21, 0)</f>
        <v>#N/A</v>
      </c>
      <c r="HZ21" s="91" t="e">
        <f t="shared" ca="1" si="49"/>
        <v>#N/A</v>
      </c>
      <c r="IA21" s="220" t="e">
        <f ca="1">Control!$C$153*$HO21</f>
        <v>#N/A</v>
      </c>
      <c r="IB21" s="218" t="e">
        <f t="shared" ca="1" si="50"/>
        <v>#N/A</v>
      </c>
      <c r="IC21" s="220" t="e">
        <f ca="1">Control!$C$153*$HT21</f>
        <v>#N/A</v>
      </c>
      <c r="ID21" s="218" t="e">
        <f t="shared" ca="1" si="51"/>
        <v>#N/A</v>
      </c>
      <c r="IE21" s="221" t="e">
        <f ca="1">($EB21*Control!$C$159+$EF21*Control!$C$160)/(IF($GZ21&lt;&gt;0,$GZ21,1))</f>
        <v>#N/A</v>
      </c>
      <c r="IF21" s="216" t="e">
        <f t="shared" ca="1" si="52"/>
        <v>#N/A</v>
      </c>
      <c r="IG21" s="91">
        <f ca="1">IF(OR(Control!$B$198=$AH21,Control!$B$199=$AH21, Control!$B$200=$AH21, Control!$B$201=$AH21, Control!$B$202=$AH21, Control!$B$203=$AH21, Control!$B$204=$AH21, Control!$B$205=$AH21, Control!$B$206=$AH21, Control!$B$207=$AH21), 1, 0)</f>
        <v>0</v>
      </c>
      <c r="IH21" s="91">
        <f ca="1">IF($IG21=0,0, VLOOKUP($AH21,Control!$B$198:$C$207,2))</f>
        <v>0</v>
      </c>
      <c r="II21" s="222">
        <f t="shared" ca="1" si="163"/>
        <v>0</v>
      </c>
      <c r="IJ21" s="91">
        <f>Control!$C$121</f>
        <v>0.7</v>
      </c>
      <c r="IK21" s="218">
        <f t="shared" ca="1" si="53"/>
        <v>0</v>
      </c>
      <c r="IL21" s="217" t="e">
        <f t="shared" ca="1" si="204"/>
        <v>#N/A</v>
      </c>
      <c r="IM21" s="223" t="e">
        <f ca="1">IF(AND(Control!$C$114=1,$KH21&lt;1),$EB21*Control!$C$148*(1-$KH21), 0)</f>
        <v>#N/A</v>
      </c>
      <c r="IN21" s="217" t="e">
        <f t="shared" ca="1" si="54"/>
        <v>#DIV/0!</v>
      </c>
      <c r="IO21" s="91" t="e">
        <f ca="1">MAX(0,$IL21-$EF21*Control!$C$160)</f>
        <v>#N/A</v>
      </c>
      <c r="IP21" s="220" t="e">
        <f t="shared" ca="1" si="55"/>
        <v>#N/A</v>
      </c>
      <c r="IQ21" s="217" t="e">
        <f t="shared" ca="1" si="164"/>
        <v>#N/A</v>
      </c>
      <c r="IR21" s="218" t="e">
        <f t="shared" ca="1" si="56"/>
        <v>#N/A</v>
      </c>
      <c r="IS21" s="217" t="e">
        <f ca="1">Control!$C$159*MAX(0,$FD21-$EN21)</f>
        <v>#N/A</v>
      </c>
      <c r="IT21" s="217" t="e">
        <f t="shared" ca="1" si="205"/>
        <v>#N/A</v>
      </c>
      <c r="IU21" s="217" t="e">
        <f t="shared" ca="1" si="165"/>
        <v>#N/A</v>
      </c>
      <c r="IV21" s="217" t="e">
        <f t="shared" ca="1" si="206"/>
        <v>#N/A</v>
      </c>
      <c r="IW21" s="217" t="e">
        <f ca="1">IF(OR($AW21=1,AND($AW21=0, Control!$B$18=1,$EN21&lt;&gt;0)), $IQ21-$IU21, $IQ21)</f>
        <v>#N/A</v>
      </c>
      <c r="IX21" s="218" t="e">
        <f t="shared" ca="1" si="57"/>
        <v>#N/A</v>
      </c>
      <c r="IY21" s="218" t="e">
        <f ca="1">MAX(0,$IQ21-$EB21*Control!$C$159)</f>
        <v>#N/A</v>
      </c>
      <c r="IZ21" s="218" t="e">
        <f t="shared" ca="1" si="58"/>
        <v>#N/A</v>
      </c>
      <c r="JA21" s="216" t="e">
        <f t="shared" ca="1" si="59"/>
        <v>#N/A</v>
      </c>
      <c r="JB21" s="217" t="e">
        <f t="shared" ca="1" si="60"/>
        <v>#N/A</v>
      </c>
      <c r="JC21" s="222" t="e">
        <f ca="1">MAX(Control!$C$157*$EK21-$JT21, 0)/Control!$C$162</f>
        <v>#N/A</v>
      </c>
      <c r="JD21" s="218" t="e">
        <f t="shared" ca="1" si="61"/>
        <v>#N/A</v>
      </c>
      <c r="JE21" s="218" t="e">
        <f t="shared" ca="1" si="62"/>
        <v>#N/A</v>
      </c>
      <c r="JF21" s="218" t="e">
        <f t="shared" ca="1" si="207"/>
        <v>#N/A</v>
      </c>
      <c r="JG21" s="218" t="e">
        <f t="shared" ca="1" si="63"/>
        <v>#N/A</v>
      </c>
      <c r="JH21" s="217" t="e">
        <f t="shared" ca="1" si="166"/>
        <v>#N/A</v>
      </c>
      <c r="JI21" s="217" t="e">
        <f t="shared" ca="1" si="167"/>
        <v>#N/A</v>
      </c>
      <c r="JJ21" s="217" t="e">
        <f t="shared" ca="1" si="224"/>
        <v>#N/A</v>
      </c>
      <c r="JK21" s="217" t="e">
        <f ca="1">IF(Control!$C$114=1,IF(Control!$B$24=0,MAX(0,$JI21)*$GN21/Control!$C$64,(MAX(0,MIN($JI21,$JJ21*$GN21/Control!$C$64),0))))</f>
        <v>#N/A</v>
      </c>
      <c r="JL21" s="217" t="e">
        <f ca="1">$IK21/Control!$C$64-$JK21+$HQ21</f>
        <v>#N/A</v>
      </c>
      <c r="JM21" s="217" t="e">
        <f ca="1">IF(Control!$C$114=1,($JB21/(IF($JI21&lt;&gt;0,$JI21,1)))*$JK21,0)</f>
        <v>#N/A</v>
      </c>
      <c r="JN21" s="217" t="e">
        <f ca="1">IF(Control!$C$114=1,($JG21/(IF($JI21&lt;&gt;0,$JI21,1)))*$JK21, 0)</f>
        <v>#N/A</v>
      </c>
      <c r="JO21" s="218" t="e">
        <f t="shared" ca="1" si="64"/>
        <v>#N/A</v>
      </c>
      <c r="JP21" s="218" t="e">
        <f ca="1">MIN(($IY21+$IO21)*Control!$C$151, $JF21-$EH21*Control!$C$161)</f>
        <v>#N/A</v>
      </c>
      <c r="JQ21" s="218" t="e">
        <f t="shared" ca="1" si="65"/>
        <v>#N/A</v>
      </c>
      <c r="JR21" s="217" t="e">
        <f ca="1">IF($CP21-Control!$C$150&lt;0, 0, $JQ21/Control!$C$162)</f>
        <v>#N/A</v>
      </c>
      <c r="JS21" s="218" t="e">
        <f t="shared" ca="1" si="66"/>
        <v>#N/A</v>
      </c>
      <c r="JT21" s="218" t="e">
        <f t="shared" ca="1" si="168"/>
        <v>#N/A</v>
      </c>
      <c r="JU21" s="218" t="e">
        <f t="shared" ca="1" si="67"/>
        <v>#N/A</v>
      </c>
      <c r="JV21" s="218" t="e">
        <f t="shared" ca="1" si="68"/>
        <v>#N/A</v>
      </c>
      <c r="JW21" s="216" t="e">
        <f t="shared" ca="1" si="69"/>
        <v>#N/A</v>
      </c>
      <c r="JX21" s="91" t="e">
        <f t="shared" ca="1" si="70"/>
        <v>#N/A</v>
      </c>
      <c r="JY21" s="218" t="e">
        <f t="shared" ca="1" si="71"/>
        <v>#N/A</v>
      </c>
      <c r="JZ21" s="217" t="e">
        <f ca="1">IF(Control!$C$114=1,($IZ21/(IF($JI21&lt;&gt;0,$JI21,1)))*$JK21, 0)</f>
        <v>#N/A</v>
      </c>
      <c r="KA21" s="218" t="e">
        <f t="shared" ca="1" si="225"/>
        <v>#N/A</v>
      </c>
      <c r="KB21" s="218" t="e">
        <f t="shared" ca="1" si="169"/>
        <v>#N/A</v>
      </c>
      <c r="KC21" s="218" t="e">
        <f t="shared" ca="1" si="72"/>
        <v>#N/A</v>
      </c>
      <c r="KD21" s="218" t="e">
        <f t="shared" ca="1" si="73"/>
        <v>#N/A</v>
      </c>
      <c r="KE21" s="218" t="e">
        <f t="shared" ca="1" si="74"/>
        <v>#N/A</v>
      </c>
      <c r="KF21" s="218" t="e">
        <f t="shared" ca="1" si="75"/>
        <v>#N/A</v>
      </c>
      <c r="KG21" s="216" t="e">
        <f t="shared" ca="1" si="76"/>
        <v>#N/A</v>
      </c>
      <c r="KH21" s="221" t="e">
        <f ca="1">IF(Control!$B$24=0,1,MAX(0.001,MIN(1,IF(($IF21-$IE21)&lt;&gt;0,($KG21-$IE21)/($IF21-$IE21),1))))</f>
        <v>#N/A</v>
      </c>
      <c r="KI21" s="222" t="e">
        <f ca="1">IF(Control!$C$114=1, $KI20+ $KH20, 0)</f>
        <v>#N/A</v>
      </c>
      <c r="KJ21" s="217" t="e">
        <f t="shared" ca="1" si="77"/>
        <v>#N/A</v>
      </c>
      <c r="KK21" s="218" t="e">
        <f t="shared" ca="1" si="78"/>
        <v>#N/A</v>
      </c>
      <c r="KL21" s="274" t="e">
        <f ca="1">IF(Control!$B$26=3,4000000000*EXP(-8400/($G21+273)),IF(Control!$B$26=4,4000000000*EXP(-8400/($G21+273))*($KT21),0))</f>
        <v>#DIV/0!</v>
      </c>
      <c r="KM21" s="274" t="e">
        <f ca="1">IF(Control!$B$26=3,5600000000000*EXP(-9800/($G21+273)),IF(Control!$B$26=4,5600000000000*EXP(-9800/($G21+273))*$KT21,0))</f>
        <v>#DIV/0!</v>
      </c>
      <c r="KN21" s="454" t="e">
        <f t="shared" ca="1" si="170"/>
        <v>#DIV/0!</v>
      </c>
      <c r="KO21" s="274" t="e">
        <f t="shared" ca="1" si="171"/>
        <v>#DIV/0!</v>
      </c>
      <c r="KP21" s="454" t="e">
        <f t="shared" ca="1" si="79"/>
        <v>#DIV/0!</v>
      </c>
      <c r="KQ21" s="454" t="e">
        <f t="shared" ca="1" si="80"/>
        <v>#DIV/0!</v>
      </c>
      <c r="KR21" s="454" t="e">
        <f t="shared" ca="1" si="81"/>
        <v>#DIV/0!</v>
      </c>
      <c r="KS21" s="454" t="e">
        <f t="shared" ca="1" si="82"/>
        <v>#DIV/0!</v>
      </c>
      <c r="KT21" s="455" t="e">
        <f t="shared" ca="1" si="83"/>
        <v>#DIV/0!</v>
      </c>
      <c r="KU21" s="456" t="e">
        <f ca="1">IF($CP21-Control!$C$149&lt;0, IF($NT21-0.01&lt;0,0,1),0)</f>
        <v>#N/A</v>
      </c>
      <c r="KV21" s="456" t="e">
        <f ca="1">IF(Control!$C$114=1,MAX(0,MIN(Control!$C$125*$KW21*$GN21,$KW21)))</f>
        <v>#DIV/0!</v>
      </c>
      <c r="KW21" s="456" t="e">
        <f t="shared" ca="1" si="208"/>
        <v>#DIV/0!</v>
      </c>
      <c r="KX21" s="457" t="e">
        <f ca="1">IF($CP21-Control!$C$149&lt;0, IF($MR21-$OM21&lt;0,0,1),0)</f>
        <v>#N/A</v>
      </c>
      <c r="KY21" s="167">
        <f t="shared" ca="1" si="172"/>
        <v>16</v>
      </c>
      <c r="KZ21" s="168">
        <f ca="1">1370*(1+0.033*COS(2*Control!$C$138*$AH21/365))</f>
        <v>1413.5059854727197</v>
      </c>
      <c r="LA21" s="169">
        <f t="shared" ca="1" si="173"/>
        <v>1.031756199555987</v>
      </c>
      <c r="LB21" s="169">
        <f t="shared" ca="1" si="174"/>
        <v>-0.36716855055065478</v>
      </c>
      <c r="LC21" s="169">
        <f ca="1">ACOS(-TAN((2*Control!$B$8/360))*TAN(Calculations!$LB21))</f>
        <v>1.4562388326055522</v>
      </c>
      <c r="LD21" s="169">
        <f ca="1">((24*60)/PI())*0.082*$LA21*(($LC21*SIN(Control!$B$8*2*PI()/360))*SIN($LB21)+COS(Control!$B$8*2*PI()/360)*COS($LB21)*SIN($LC21))</f>
        <v>6.1630675600272529</v>
      </c>
      <c r="LE21" s="170">
        <f t="shared" ca="1" si="84"/>
        <v>7.6158687792118034</v>
      </c>
      <c r="LF21" s="170">
        <f ca="1">SIN(Control!$C$139*Control!$B$8)*SIN($HD21)</f>
        <v>-0.28270088104777696</v>
      </c>
      <c r="LG21" s="170">
        <f ca="1">COS(Control!$C$139*Control!$B$8)*COS($HD21)</f>
        <v>0.57467712955808181</v>
      </c>
      <c r="LH21" s="170">
        <f ca="1">12*(1+2*ASIN(MAX(-1,MIN(1,$LF21/$LG21))/Control!$C$138))</f>
        <v>8.2264115947864376</v>
      </c>
      <c r="LI21" s="170">
        <f ca="1">12*(1+2*ASIN(MAX(-1,MIN(1,(-SIN(-4*Control!$C$139)+$LF21)/$LG21))/Control!$C$138))</f>
        <v>9.1626396911102965</v>
      </c>
      <c r="LJ21" s="168">
        <f ca="1">3600*($LH21*$LF21+24*$LG21*SQRT(1-$LK21*$LK21)/Control!$C$138)</f>
        <v>5387.9282135935373</v>
      </c>
      <c r="LK21" s="170">
        <f t="shared" ca="1" si="85"/>
        <v>-0.49192993162120396</v>
      </c>
      <c r="LL21" s="170">
        <f t="shared" ca="1" si="86"/>
        <v>0</v>
      </c>
      <c r="LM21" s="171">
        <f ca="1">Control!$C$145*$AB21</f>
        <v>6.6660906138995932E-2</v>
      </c>
      <c r="LN21" s="170">
        <f t="shared" ca="1" si="175"/>
        <v>0.54</v>
      </c>
      <c r="LO21" s="170">
        <f t="shared" ca="1" si="87"/>
        <v>0</v>
      </c>
      <c r="LP21" s="170">
        <f ca="1">Control!$C$140*((($D21+273.16)^4+($E21+273.16)^4)/2)*(0.34-0.14*SQRT($Y21))*(1.35*$AQ21/(0.75*$LD21)-0.35)</f>
        <v>-3.2464704755046001</v>
      </c>
      <c r="LQ21" s="170">
        <f ca="1">Control!$C$140*($G21+273)^4*(0.56-0.079*SQRT($Y21*10))*(0.1+0.9*$LO21)</f>
        <v>1.5241745131704001</v>
      </c>
      <c r="LR21" s="170">
        <f ca="1">$AQ21*(1-Control!$C$142)-$LQ21</f>
        <v>-1.5241745131704001</v>
      </c>
      <c r="LS21" s="170">
        <f ca="1">$AQ21*(1-Control!$C$143)-$LQ21</f>
        <v>-1.5241745131704001</v>
      </c>
      <c r="LT21" s="170">
        <f ca="1">$AQ21*(1-Control!$C$144)-$LQ21</f>
        <v>-1.5241745131704001</v>
      </c>
      <c r="LU21" s="169">
        <f ca="1">(1-Control!$C$144)*AQ21-LP21</f>
        <v>3.2464704755046001</v>
      </c>
      <c r="LV21" s="172">
        <f t="shared" ca="1" si="88"/>
        <v>0.79430000000000012</v>
      </c>
      <c r="LW21" s="170">
        <f t="shared" ca="1" si="89"/>
        <v>1.5886000000000002</v>
      </c>
      <c r="LX21" s="170">
        <f ca="1">($AC21*($LR21/Control!$C$141)+$LM21*$LV21)/($AC21+$LM21)</f>
        <v>0.23530094218323697</v>
      </c>
      <c r="LY21" s="170">
        <f ca="1">($AC21*($LS21/Control!$C$141)+$LM21*$LV21)/($AC21+$LM21)</f>
        <v>0.23530094218323697</v>
      </c>
      <c r="LZ21" s="170">
        <f t="shared" ca="1" si="90"/>
        <v>0.23530094218323697</v>
      </c>
      <c r="MA21" s="170">
        <f t="shared" ca="1" si="91"/>
        <v>0.23530094218323697</v>
      </c>
      <c r="MB21" s="170" t="e">
        <f t="shared" ca="1" si="92"/>
        <v>#N/A</v>
      </c>
      <c r="MC21" s="170">
        <f t="shared" ca="1" si="176"/>
        <v>0.6018</v>
      </c>
      <c r="MD21" s="170">
        <f t="shared" ca="1" si="93"/>
        <v>0.52989392535414004</v>
      </c>
      <c r="ME21" s="170">
        <f ca="1">($AC21*($LT21/Control!$C$141)+$LM21*$LW21)/($AC21+$LM21)</f>
        <v>0.71612369323045078</v>
      </c>
      <c r="MF21" s="170" t="e">
        <f ca="1">IF(Control!$B$16&gt;=1000,0.92,IF(AND(720&lt;=Control!$B$16,1000&gt;Control!$B$16),(0.95+(Control!$B$16-720)*((0.92-0.95)/(1000-720))),IF(AND(360&lt;=Control!$B$16,720&gt;Control!$B$16),(1+(Control!$B$16-360)*((0.95-1)/(720-360))),IF(AND(40&lt;=Control!$B$16,360&gt;Control!$B$16),(1.05+(Control!$B$16-40)*((1.05-1)/(360-40)))))))</f>
        <v>#N/A</v>
      </c>
      <c r="MG21" s="170">
        <f t="shared" ca="1" si="94"/>
        <v>0.71612369323045078</v>
      </c>
      <c r="MH21" s="170" t="e">
        <f t="shared" ca="1" si="95"/>
        <v>#N/A</v>
      </c>
      <c r="MI21" s="170" t="e">
        <f t="shared" ca="1" si="95"/>
        <v>#N/A</v>
      </c>
      <c r="MJ21" s="170" t="e">
        <f ca="1">MAX(0.0001, Control!$C$132*$MI21*$DL21)</f>
        <v>#N/A</v>
      </c>
      <c r="MK21" s="170">
        <f ca="1">1/(0.76+1.5*($MG21/10))-(5-Control!$C$110)*0.1</f>
        <v>1.002845988140797</v>
      </c>
      <c r="ML21" s="173">
        <f ca="1">IF(Control!$C$110&lt;3,$MK21+($MG21-0.6)/(Control!$C$110*(Control!$C$110+3)), MAX(0.1, MIN(0.95,$MK21)))</f>
        <v>0.95</v>
      </c>
      <c r="MM21" s="173">
        <f ca="1">IF(Control!$C$110&lt;3,$MK21+(($MI21/10)-0.6)/(Control!$C$110*(Control!$C$110+3)), MAX(0.1, MIN(0.95,$MK21)))</f>
        <v>0.95</v>
      </c>
      <c r="MN21" s="173">
        <f ca="1">(1-$MM21)*(Control!$C$128-Control!$C$127)+Control!$C$127</f>
        <v>0.16</v>
      </c>
      <c r="MO21" s="170" t="e">
        <f ca="1">MAX(0,MIN(1,($MS21-Control!$C$127)/($MN21-Control!$C$127)))</f>
        <v>#DIV/0!</v>
      </c>
      <c r="MP21" s="173" t="e">
        <f ca="1">1/(0.76+1.5*$MI21)-(5-Control!$C$110)*0.1</f>
        <v>#N/A</v>
      </c>
      <c r="MQ21" s="172" t="e">
        <f t="shared" ca="1" si="209"/>
        <v>#DIV/0!</v>
      </c>
      <c r="MR21" s="168" t="e">
        <f t="shared" ca="1" si="226"/>
        <v>#DIV/0!</v>
      </c>
      <c r="MS21" s="173" t="e">
        <f ca="1">MAX(Control!$C$127, MIN(Control!$C$135, $MR21/MAX(0.0001,$CY21)))</f>
        <v>#DIV/0!</v>
      </c>
      <c r="MT21" s="168" t="e">
        <f ca="1">(Control!$C$128-$MS21)*Control!$C$74</f>
        <v>#DIV/0!</v>
      </c>
      <c r="MU21" s="168" t="e">
        <f ca="1">(Control!$C$135-$MS21)*Control!$C$74</f>
        <v>#DIV/0!</v>
      </c>
      <c r="MV21" s="168" t="e">
        <f t="shared" ca="1" si="210"/>
        <v>#DIV/0!</v>
      </c>
      <c r="MW21" s="168" t="e">
        <f t="shared" ca="1" si="177"/>
        <v>#DIV/0!</v>
      </c>
      <c r="MX21" s="171" t="e">
        <f ca="1">MAX(Control!$C$127, MIN(Control!$C$135, $MW21/MAX(0.0001,Control!$C$119-$CY21)))</f>
        <v>#DIV/0!</v>
      </c>
      <c r="MY21" s="54" t="e">
        <f ca="1">IF(Control!$C$114=1, $CX21*$MX21, 0)</f>
        <v>#DIV/0!</v>
      </c>
      <c r="MZ21" s="54" t="e">
        <f t="shared" ca="1" si="178"/>
        <v>#N/A</v>
      </c>
      <c r="NA21" s="168" t="e">
        <f ca="1">(Control!$C$128-$MX21)*(Control!$C$119-Control!$C$74)</f>
        <v>#DIV/0!</v>
      </c>
      <c r="NB21" s="168" t="e">
        <f ca="1">(Control!$C$135-$MX21)*(Control!$C$119-Control!$C$74)</f>
        <v>#DIV/0!</v>
      </c>
      <c r="NC21" s="174" t="e">
        <f t="shared" ca="1" si="179"/>
        <v>#DIV/0!</v>
      </c>
      <c r="ND21" s="54">
        <f ca="1">IF(Control!$C$58=2, IF(OR(Control!$B$218=$AH21,Control!$B$219=$AH21, Control!$B$220=$AH21, Control!$B$221=$AH21, Control!$B$222=$AH21, Control!$B$223=$AH21, Control!$B$224=$AH21, Control!$B$225=$AH21, Control!$B$226=$AH21, Control!$B$227=$AH21, Control!$B$228=$AH21), 1, 0), 0)</f>
        <v>0</v>
      </c>
      <c r="NE21" s="54">
        <f ca="1">IF($ND21=0,0, VLOOKUP($AH21,Control!$B$218:$C$228,2))</f>
        <v>0</v>
      </c>
      <c r="NF21" s="168" t="e">
        <f ca="1">$CY21*(Control!$C$128-Control!$C$127)</f>
        <v>#N/A</v>
      </c>
      <c r="NG21" s="54" t="e">
        <f ca="1">IF(Control!$C$58=2, $NI20-$NJ20, 0)</f>
        <v>#DIV/0!</v>
      </c>
      <c r="NH21" s="54" t="e">
        <f ca="1">IF(AND(Control!$C$58=1, $MS20&lt;= ($MN20+0.02), $I20&lt;10), 0, IF(Control!$C$58=2, $NG20, 0))</f>
        <v>#DIV/0!</v>
      </c>
      <c r="NI21" s="54" t="e">
        <f ca="1">IF(Control!$C$58=2, $NE21+$NH21,0)</f>
        <v>#DIV/0!</v>
      </c>
      <c r="NJ21" s="54" t="e">
        <f ca="1">IF(AND(Control!$C$58=1, $MS21&lt;= ($MN21+0.02), $I21&lt;10), MAX(0, MIN(10, 0.7*($NF21-$MV21))), IF(Control!$C$58=2, MIN(10,$NI21),0))</f>
        <v>#DIV/0!</v>
      </c>
      <c r="NK21" s="54" t="e">
        <f t="shared" ca="1" si="96"/>
        <v>#DIV/0!</v>
      </c>
      <c r="NL21" s="173" t="e">
        <f ca="1">(1-Control!$C$73)*$I21+$NJ21</f>
        <v>#DIV/0!</v>
      </c>
      <c r="NM21" s="172" t="e">
        <f ca="1">IF($NL21&lt;0.5, $MB21* MAX(0, MIN(1, (SQRT($NC21)-SQRT($NC21-1))*Control!$C$71)),0)</f>
        <v>#DIV/0!</v>
      </c>
      <c r="NN21" s="170" t="e">
        <f ca="1">IF($NL21&gt;=5, $MB21, MAX(0,MIN($MB21, $NM21+$NL21,($MS21-Control!$C$129))))</f>
        <v>#DIV/0!</v>
      </c>
      <c r="NO21" s="54">
        <f>IF(Control!$C$133&lt;&gt;1, Control!$C$135-Control!$C$131, 0)</f>
        <v>0.38</v>
      </c>
      <c r="NP21" s="54" t="e">
        <f t="shared" ca="1" si="97"/>
        <v>#DIV/0!</v>
      </c>
      <c r="NQ21" s="173" t="e">
        <f ca="1">MAX(0,MIN(1,(Control!$C$135-$MS21)/(Control!$C$135-$NO21)))</f>
        <v>#DIV/0!</v>
      </c>
      <c r="NR21" s="170" t="e">
        <f ca="1">IF(Control!$C$133&lt;&gt;1, $NQ21+((1-$NP21/4)*(1-$NQ21)),1)</f>
        <v>#DIV/0!</v>
      </c>
      <c r="NS21" s="170" t="e">
        <f ca="1">IF(Control!$B$31=0,$MJ21,MAX(0,MIN($MV21,$MO21*$NR21*$MJ21)))</f>
        <v>#DIV/0!</v>
      </c>
      <c r="NT21" s="170" t="e">
        <f t="shared" ca="1" si="227"/>
        <v>#DIV/0!</v>
      </c>
      <c r="NU21" s="170" t="e">
        <f t="shared" ca="1" si="180"/>
        <v>#N/A</v>
      </c>
      <c r="NV21" s="170" t="e">
        <f t="shared" ca="1" si="98"/>
        <v>#N/A</v>
      </c>
      <c r="NW21" s="175" t="e">
        <f t="shared" ca="1" si="99"/>
        <v>#DIV/0!</v>
      </c>
      <c r="NX21" s="170" t="e">
        <f ca="1">MIN(Control!$C$72+$MU21, $NW21)</f>
        <v>#DIV/0!</v>
      </c>
      <c r="NY21" s="170" t="e">
        <f ca="1">IF($MT21&lt;=$NX21,MIN(Control!$C$72+$NB21,$NX21-$MT21),0)</f>
        <v>#DIV/0!</v>
      </c>
      <c r="NZ21" s="54" t="e">
        <f ca="1">IF(Control!$C$114=1,  $CX21*($MX21-Control!$C$127), 0)</f>
        <v>#DIV/0!</v>
      </c>
      <c r="OA21" s="170" t="e">
        <f t="shared" ca="1" si="181"/>
        <v>#DIV/0!</v>
      </c>
      <c r="OB21" s="170" t="e">
        <f ca="1">IF($NA21 &lt;=$NY21, MIN(Control!$C$72, $NY21-$NA21), 0)</f>
        <v>#DIV/0!</v>
      </c>
      <c r="OC21" s="168" t="e">
        <f t="shared" ca="1" si="100"/>
        <v>#DIV/0!</v>
      </c>
      <c r="OD21" s="168" t="e">
        <f t="shared" ca="1" si="182"/>
        <v>#DIV/0!</v>
      </c>
      <c r="OE21" s="170">
        <f ca="1">Control!$C$73*$I21</f>
        <v>0</v>
      </c>
      <c r="OF21" s="176" t="e">
        <f t="shared" ca="1" si="101"/>
        <v>#DIV/0!</v>
      </c>
      <c r="OG21" s="168" t="e">
        <f t="shared" ca="1" si="102"/>
        <v>#DIV/0!</v>
      </c>
      <c r="OH21" s="168" t="e">
        <f t="shared" ca="1" si="103"/>
        <v>#DIV/0!</v>
      </c>
      <c r="OI21" s="168" t="e">
        <f t="shared" ca="1" si="104"/>
        <v>#DIV/0!</v>
      </c>
      <c r="OJ21" s="168" t="e">
        <f t="shared" ca="1" si="105"/>
        <v>#DIV/0!</v>
      </c>
      <c r="OK21" s="204" t="e">
        <f t="shared" ca="1" si="183"/>
        <v>#DIV/0!</v>
      </c>
      <c r="OL21" s="177">
        <f>Control!$C$127</f>
        <v>0.15</v>
      </c>
      <c r="OM21" s="182" t="e">
        <f t="shared" ca="1" si="106"/>
        <v>#N/A</v>
      </c>
      <c r="ON21" s="177">
        <f>Control!$C$128</f>
        <v>0.35</v>
      </c>
      <c r="OO21" s="182" t="e">
        <f t="shared" ca="1" si="107"/>
        <v>#N/A</v>
      </c>
      <c r="OP21" s="138">
        <f t="shared" ca="1" si="184"/>
        <v>0</v>
      </c>
      <c r="OQ21" s="138" t="e">
        <f t="shared" ca="1" si="211"/>
        <v>#DIV/0!</v>
      </c>
      <c r="OR21" s="138" t="e">
        <f t="shared" ca="1" si="185"/>
        <v>#DIV/0!</v>
      </c>
      <c r="OS21" s="137" t="e">
        <f t="shared" ca="1" si="212"/>
        <v>#DIV/0!</v>
      </c>
      <c r="OT21" s="139" t="e">
        <f t="shared" ca="1" si="213"/>
        <v>#DIV/0!</v>
      </c>
      <c r="OU21" s="138" t="e">
        <f t="shared" ca="1" si="214"/>
        <v>#N/A</v>
      </c>
      <c r="OV21" s="138" t="e">
        <f t="shared" ca="1" si="215"/>
        <v>#DIV/0!</v>
      </c>
      <c r="OW21" s="138" t="e">
        <f t="shared" ca="1" si="186"/>
        <v>#DIV/0!</v>
      </c>
      <c r="OX21" s="138" t="e">
        <f t="shared" ca="1" si="187"/>
        <v>#DIV/0!</v>
      </c>
      <c r="OY21" s="138" t="e">
        <f t="shared" ca="1" si="188"/>
        <v>#DIV/0!</v>
      </c>
      <c r="OZ21" s="138" t="e">
        <f t="shared" ca="1" si="108"/>
        <v>#DIV/0!</v>
      </c>
      <c r="PA21" s="138" t="e">
        <f t="shared" ca="1" si="109"/>
        <v>#DIV/0!</v>
      </c>
      <c r="PB21" s="55">
        <f>IF(Control!$C$61="T", IF(Control!$C$65="F", IF($AH$6-Control!$C$60&lt;0,0,1), IF(365+$AH$6-Control!$C$60&lt;0,0,1)),0)</f>
        <v>0</v>
      </c>
      <c r="PC21" s="55">
        <f ca="1">IF(Control!$C$65="F", IF($AH$6-$HF21&lt;0,0,1), IF(365+$AH$6-$HF21&lt;0,0,1))</f>
        <v>1</v>
      </c>
      <c r="PD21" s="444">
        <f>Control!$C$118</f>
        <v>1500</v>
      </c>
      <c r="PE21" s="180" t="e">
        <f t="shared" ca="1" si="110"/>
        <v>#N/A</v>
      </c>
      <c r="PF21" s="445">
        <f t="shared" ca="1" si="189"/>
        <v>0.71612369323045078</v>
      </c>
      <c r="PT21" s="186"/>
      <c r="PU21" s="186"/>
      <c r="PV21" s="94"/>
      <c r="PW21" s="94"/>
      <c r="PX21" s="94"/>
      <c r="PY21" s="94"/>
      <c r="PZ21" s="94"/>
      <c r="QA21" s="94"/>
      <c r="QB21" s="94"/>
      <c r="QC21" s="94"/>
      <c r="QD21" s="94"/>
      <c r="QE21" s="94"/>
      <c r="QF21" s="94"/>
      <c r="QG21" s="94"/>
      <c r="QH21" s="94"/>
      <c r="QI21" s="94"/>
      <c r="QJ21" s="94"/>
      <c r="QK21" s="94"/>
      <c r="QL21" s="94"/>
      <c r="QM21" s="94"/>
      <c r="QN21" s="94"/>
      <c r="QO21" s="94"/>
      <c r="QP21" s="94"/>
    </row>
    <row r="22" spans="1:458" s="2" customFormat="1" x14ac:dyDescent="0.2">
      <c r="A22" s="386">
        <v>17</v>
      </c>
      <c r="B22" s="387">
        <v>1</v>
      </c>
      <c r="C22" s="387">
        <f ca="1">Weather_data!$B21</f>
        <v>0</v>
      </c>
      <c r="D22" s="388">
        <f ca="1">Weather_data!$F21</f>
        <v>0</v>
      </c>
      <c r="E22" s="388">
        <f ca="1">Weather_data!$E21</f>
        <v>0</v>
      </c>
      <c r="F22" s="388">
        <f t="shared" ca="1" si="111"/>
        <v>0</v>
      </c>
      <c r="G22" s="388">
        <f ca="1">AVERAGE($D22:$E22)+Control!$B$9</f>
        <v>0</v>
      </c>
      <c r="H22" s="388">
        <f ca="1">Weather_data!$G21</f>
        <v>0</v>
      </c>
      <c r="I22" s="388">
        <f ca="1">Weather_data!$I21</f>
        <v>0</v>
      </c>
      <c r="J22" s="388">
        <f ca="1">Weather_data!$H21</f>
        <v>0</v>
      </c>
      <c r="K22" s="389">
        <f ca="1">Weather_data!$D21</f>
        <v>0</v>
      </c>
      <c r="L22" s="388" t="e">
        <f t="shared" ca="1" si="112"/>
        <v>#N/A</v>
      </c>
      <c r="M22" s="388" t="e">
        <f t="shared" ca="1" si="0"/>
        <v>#N/A</v>
      </c>
      <c r="N22" s="388">
        <f t="shared" ca="1" si="1"/>
        <v>-9.2651009442592011E-2</v>
      </c>
      <c r="O22" s="388">
        <f t="shared" ca="1" si="113"/>
        <v>0.92651009442592014</v>
      </c>
      <c r="P22" s="390">
        <v>3</v>
      </c>
      <c r="Q22" s="388">
        <f ca="1">MAX($G22-Control!$C$107,0)</f>
        <v>0</v>
      </c>
      <c r="R22" s="388">
        <f t="shared" ca="1" si="114"/>
        <v>0</v>
      </c>
      <c r="S22" s="388">
        <f t="shared" ca="1" si="2"/>
        <v>0</v>
      </c>
      <c r="T22" s="388">
        <f t="shared" ca="1" si="3"/>
        <v>0</v>
      </c>
      <c r="U22" s="59">
        <f t="shared" ca="1" si="4"/>
        <v>0</v>
      </c>
      <c r="V22" s="391">
        <f ca="1">MAX(0,MIN(Control!$C$100-Control!$C$99,$G22-Control!$C$99)*Control!$C$63)</f>
        <v>0</v>
      </c>
      <c r="W22" s="388">
        <f t="shared" ca="1" si="190"/>
        <v>0</v>
      </c>
      <c r="X22" s="388">
        <f t="shared" ca="1" si="115"/>
        <v>0.6110000000000001</v>
      </c>
      <c r="Y22" s="388">
        <f t="shared" ca="1" si="116"/>
        <v>0</v>
      </c>
      <c r="Z22" s="388">
        <f t="shared" ca="1" si="117"/>
        <v>0.61058800000000002</v>
      </c>
      <c r="AA22" s="388">
        <f t="shared" ca="1" si="5"/>
        <v>0.6018</v>
      </c>
      <c r="AB22" s="388">
        <f ca="1">101.3*EXP(-0.034*Control!$C$66/($G22+273))</f>
        <v>100.69623283836242</v>
      </c>
      <c r="AC22" s="392">
        <f t="shared" ca="1" si="6"/>
        <v>4.3460251046025113E-2</v>
      </c>
      <c r="AD22" s="392">
        <f t="shared" ca="1" si="7"/>
        <v>4.4450382862832649E-2</v>
      </c>
      <c r="AE22" s="388">
        <f t="shared" ca="1" si="8"/>
        <v>0</v>
      </c>
      <c r="AF22" s="388">
        <f ca="1">MAX(0,$G22-Control!$C$92)</f>
        <v>0</v>
      </c>
      <c r="AG22" s="393">
        <f t="shared" ca="1" si="118"/>
        <v>17</v>
      </c>
      <c r="AH22" s="389">
        <f t="shared" ca="1" si="9"/>
        <v>17</v>
      </c>
      <c r="AI22" s="388">
        <f t="shared" ca="1" si="119"/>
        <v>-0.36369961554686631</v>
      </c>
      <c r="AJ22" s="388">
        <f ca="1">IF(Control!$C$60&lt;=0,$HH22,$HI22)</f>
        <v>1</v>
      </c>
      <c r="AK22" s="388">
        <f t="shared" ca="1" si="10"/>
        <v>-1.0844949982255176</v>
      </c>
      <c r="AL22" s="388">
        <f t="shared" ca="1" si="11"/>
        <v>2.0738914058293644E-18</v>
      </c>
      <c r="AM22" s="388">
        <f t="shared" ca="1" si="12"/>
        <v>-1.0844949982255176</v>
      </c>
      <c r="AN22" s="388">
        <f t="shared" ca="1" si="13"/>
        <v>-0.35936733692961814</v>
      </c>
      <c r="AO22" s="388">
        <f ca="1">-0.10453/COS(Control!$B$8*PI()/180)*COS(AN22)</f>
        <v>-0.15893892344329544</v>
      </c>
      <c r="AP22" s="388">
        <f ca="1">ACOS(AO22-TAN(Control!$B$8*PI()/180)*TAN(AN22))</f>
        <v>1.2430496405920817</v>
      </c>
      <c r="AQ22" s="388">
        <f t="shared" ca="1" si="120"/>
        <v>0</v>
      </c>
      <c r="AR22" s="394">
        <f t="shared" ca="1" si="14"/>
        <v>0</v>
      </c>
      <c r="AS22" s="436">
        <f ca="1">IF(Control!$B$18=2,(IF(OR($AH22=Control!$B$175,$AH22=Control!$B$176,$AH22=Control!$B$177,$AH22=Control!$B$178,$AH22=Control!$B$179,$AH22=Control!$B$180,$AH22=Control!$B$181,$AH22=Control!$B$182,$AH22=Control!$B$183,$AH22=Control!$B$184,$AH22=Control!$B$185),1,0)),0)</f>
        <v>0</v>
      </c>
      <c r="AT22" s="436">
        <f>IF(Control!$B$20=8,IF(AND($AH22&gt;=Control!$B$172,$AH22&lt;=Control!$B$173),1,0),0)</f>
        <v>0</v>
      </c>
      <c r="AU22" s="436">
        <f>IF(Control!$B$20=8,IF($AV21=1,1*$AT22,IF($AT22=1,$AU21+1,$AU21)),0)</f>
        <v>0</v>
      </c>
      <c r="AV22" s="436">
        <f>IF(Control!$B$20=8,IF($AU22&gt;=Control!$B$174,1,0),0)</f>
        <v>0</v>
      </c>
      <c r="AW22" s="436">
        <f ca="1">IF(AND(Control!$B$18=2,Control!$B$171=1), $AV22, $AS22)</f>
        <v>0</v>
      </c>
      <c r="AX22" s="436" t="e">
        <f ca="1">IF(AND(Control!$B$18=1,$EU22&gt;=Control!$B$19),-$AY22,IF(AND(Control!$B$18=2,$AW22=1,$EU22&gt;$DS22),-$AY22, IF(Control!$C$108=0,0, IF(Control!$C$108&lt;&gt;0,1))))</f>
        <v>#N/A</v>
      </c>
      <c r="AY22" s="436" t="e">
        <f t="shared" ca="1" si="121"/>
        <v>#N/A</v>
      </c>
      <c r="AZ22" s="436" t="e">
        <f ca="1">IF(AND(Control!$B$18=1,$EB22&gt;Control!$B$19),$AZ21+1, IF(AND(Control!$B$18=2, $AW22=1, $EB22&gt;$DS22), $AZ21+1,$AZ21))</f>
        <v>#N/A</v>
      </c>
      <c r="BA22" s="587">
        <f>IF(Control!$C$81=0,1,IF($AH22&gt;=Control!$C$82,1,0))</f>
        <v>1</v>
      </c>
      <c r="BB22" s="140" t="e">
        <f ca="1">IF($BA22&gt;$BA21,Control!$C$83,IF($AW22&gt;0,$AW22*Control!$C$84,IF(AND(Control!$B$18=1,EN21&lt;&gt;0),Control!$C$84,0)))</f>
        <v>#N/A</v>
      </c>
      <c r="BC22" s="140" t="e">
        <f t="shared" ca="1" si="122"/>
        <v>#N/A</v>
      </c>
      <c r="BD22" s="140" t="e">
        <f ca="1">BC22*IF(OR($G22&lt;Control!$C$92,$G22&gt;Control!$C$95),0,IF(AND($G22&gt;=Control!$C$92,$G22&lt;=Control!$C$93),$G22-Control!$C$92,IF(AND($G22&gt;Control!$C$93,$G22&lt;=Control!$C$94),Control!$C$93-Control!$C$92,IF(AND($G22&gt;Control!$C$94,$G22&lt;=Control!$C$95),(Control!$C$93-Control!$C$92)*(Control!$C$94-$G22)/(Control!$C$95-Control!$C$94)))))</f>
        <v>#N/A</v>
      </c>
      <c r="BE22" s="140" t="e">
        <f t="shared" ca="1" si="123"/>
        <v>#N/A</v>
      </c>
      <c r="BF22" s="140" t="e">
        <f ca="1">IF($BE22&lt;=Control!$C$86,$BE22,Control!$C$86-$BE22)</f>
        <v>#N/A</v>
      </c>
      <c r="BG22" s="140" t="e">
        <f ca="1">IF(AND($AW22=1,Control!$C$84&lt;9),1,IF($BE22&gt;=Control!$C$86,0,$BC22))</f>
        <v>#N/A</v>
      </c>
      <c r="BH22" s="404" t="e">
        <f ca="1">IF($BG22=0,0,IF($BE22&lt;=Control!$C$86,$BC22*9*($BF22/Control!$C$86),0))</f>
        <v>#N/A</v>
      </c>
      <c r="BI22" s="140" t="e">
        <f ca="1">IF($BG22=1,0,IF($BE22&gt;=Control!$C$86,1,IF(AND($BB22&lt;21,$BB22&gt;=9),1,$BM21)))</f>
        <v>#N/A</v>
      </c>
      <c r="BJ22" s="140" t="e">
        <f ca="1">IF($BF22&lt;0,-$BF22,$BI22*IF(OR($G22&lt;Control!$C$92,$G22&gt;Control!$C$95),0,IF(AND($G22&gt;=Control!$C$92,$G22&lt;=Control!$C$93),$G22-Control!$C$92,IF(AND($G22&gt;Control!$C$93,$G22&lt;=Control!$C$94),Control!$C$93-Control!$C$92,IF(AND($G22&gt;Control!$C$94,$G22&lt;=Control!$C$95),(Control!$C$93-Control!$C$92)*(Control!$C$94-$G22)/(Control!$C$95-Control!$C$94))))))</f>
        <v>#N/A</v>
      </c>
      <c r="BK22" s="140" t="e">
        <f t="shared" ca="1" si="124"/>
        <v>#N/A</v>
      </c>
      <c r="BL22" s="140" t="e">
        <f ca="1">IF($BK22&lt;=Control!$C$87,$BK22,Control!$C$87-$BK22)</f>
        <v>#N/A</v>
      </c>
      <c r="BM22" s="140" t="e">
        <f ca="1">IF(AND($BB22&gt;=9,$BB22&lt;21),1,IF($BK22&gt;=Control!$C$87,0,$BI22))</f>
        <v>#N/A</v>
      </c>
      <c r="BN22" s="404" t="e">
        <f ca="1">IF($BM22=0,0,IF($BK22&lt;=Control!$C$87,$BI22*(9+(21-9)*($BL22/Control!$C$87)),0))</f>
        <v>#N/A</v>
      </c>
      <c r="BO22" s="140" t="e">
        <f ca="1">IF($BM22=1,0,IF($BK22&gt;=Control!$C$87,1,IF(AND($BB22&lt;30,$BB22&gt;=21),1,$BS21)))</f>
        <v>#N/A</v>
      </c>
      <c r="BP22" s="140" t="e">
        <f ca="1">IF($BL22&lt;0,-$BL22,$BO22*IF(OR($G22&lt;Control!$C$92,$G22&gt;Control!$C$95),0,IF(AND($G22&gt;=Control!$C$92,$G22&lt;=Control!$C$93),$G22-Control!$C$92,IF(AND($G22&gt;Control!$C$93,$G22&lt;=Control!$C$94),Control!$C$93-Control!$C$92,IF(AND($G22&gt;Control!$C$94,$G22&lt;=Control!$C$95),(Control!$C$93-Control!$C$92)*(Control!$C$94-$G22)/(Control!$C$95-Control!$C$94))))))</f>
        <v>#N/A</v>
      </c>
      <c r="BQ22" s="140" t="e">
        <f t="shared" ca="1" si="15"/>
        <v>#N/A</v>
      </c>
      <c r="BR22" s="140" t="e">
        <f ca="1">IF($BQ22&lt;=Control!$C$88,$BQ22,Control!$C$88-$BQ22)</f>
        <v>#N/A</v>
      </c>
      <c r="BS22" s="140" t="e">
        <f ca="1">IF(AND($BB22&gt;=21,$BB22&lt;30),1,IF($BQ22&gt;=Control!$C$88,0,$BO22))</f>
        <v>#N/A</v>
      </c>
      <c r="BT22" s="404" t="e">
        <f ca="1">IF($BS22=0,0,IF($BQ22&lt;=Control!$C$88,$BO22*(21+(30-21)*(BR22/Control!$C$88)),0))</f>
        <v>#N/A</v>
      </c>
      <c r="BU22" s="140" t="e">
        <f ca="1">IF(BG22+BM22+BS22=1,0,IF(OR(AND($BB22&lt;60,$BB22&gt;=30),$BQ22&gt;=Control!$C$88),1*$BA22,$BY21))</f>
        <v>#N/A</v>
      </c>
      <c r="BV22" s="140" t="e">
        <f ca="1">IF($BR22&lt;0,-$BR22,$BU22*IF(OR($G22&lt;Control!$C$92,$G22&gt;Control!$C$95),0,IF(AND($G22&gt;=Control!$C$92,$G22&lt;=Control!$C$93),$G22-Control!$C$92,IF(AND($G22&gt;Control!$C$93,$G22&lt;=Control!$C$94),Control!$C$93-Control!$C$92,IF(AND($G22&gt;Control!$C$94,$G22&lt;=Control!$C$95),(Control!$C$93-Control!$C$92)*(Control!$C$94-$G22)/(Control!$C$95-Control!$C$94))))))</f>
        <v>#N/A</v>
      </c>
      <c r="BW22" s="140" t="e">
        <f t="shared" ca="1" si="16"/>
        <v>#N/A</v>
      </c>
      <c r="BX22" s="140" t="e">
        <f ca="1">IF($BW22&lt;=Control!$C$89,$BW22,Control!$C$89-$BW22)</f>
        <v>#N/A</v>
      </c>
      <c r="BY22" s="140" t="e">
        <f ca="1">IF(AND($AJ22&gt;=30,$AJ22&lt;60),1,IF($BW22&gt;=Control!$C$89,0,$BU22))</f>
        <v>#N/A</v>
      </c>
      <c r="BZ22" s="404" t="e">
        <f ca="1">IF($BY22=0,0,IF($BW22&lt;=Control!$C$89,$BU22*(30+(60-30)*(BX22/Control!$C$89)),0))</f>
        <v>#N/A</v>
      </c>
      <c r="CA22" s="140" t="e">
        <f ca="1">IF($BG22+$BM22+$BS22+$BY22=1,0,IF(OR(AND($BB22&lt;65,$BB22&gt;=60),$BW22&gt;=Control!$C$89),1*$BA22,$CE21))</f>
        <v>#N/A</v>
      </c>
      <c r="CB22" s="140" t="e">
        <f ca="1">IF($BX22&lt;0,-$BX22,$CA22*IF(OR($G22&lt;Control!$C$92,$G22&gt;Control!$C$95),0,IF(AND($G22&gt;=Control!$C$92,$G22&lt;=Control!$C$93),$G22-Control!$C$92,IF(AND($G22&gt;Control!$C$93,$G22&lt;=Control!$C$94),Control!$C$93-Control!$C$92,IF(AND($G22&gt;Control!$C$94,$G22&lt;=Control!$C$95),(Control!$C$93-Control!$C$92)*(Control!$C$94-$G22)/(Control!$C$95-Control!$C$94))))))</f>
        <v>#N/A</v>
      </c>
      <c r="CC22" s="140" t="e">
        <f t="shared" ca="1" si="125"/>
        <v>#N/A</v>
      </c>
      <c r="CD22" s="140" t="e">
        <f ca="1">IF($CC22&lt;=Control!$C$90,$CC22,Control!$C$90-$CC22)</f>
        <v>#N/A</v>
      </c>
      <c r="CE22" s="140" t="e">
        <f ca="1">IF(AND($BB22&gt;=60,$BB22&lt;65),1,IF($CC22&gt;=Control!$C$90,0,$CA22))</f>
        <v>#N/A</v>
      </c>
      <c r="CF22" s="404" t="e">
        <f ca="1">IF($CE22=0,0,IF($CC22&lt;=Control!$C$90,$CA22*(60+(65-60)*(CD22/Control!$C$90)),0))</f>
        <v>#N/A</v>
      </c>
      <c r="CG22" s="140" t="e">
        <f ca="1">IF($BG22+$BM22+$BS22+$BY22+$CE22=1,0,IF(OR(AND($BB22&lt;90,$BB22&gt;=65),$CC22&gt;=Control!$C$90),$BA22,$CK21))</f>
        <v>#N/A</v>
      </c>
      <c r="CH22" s="140" t="e">
        <f ca="1">IF($CD22&lt;0,-$CD22,$CG22*IF(OR($G22&lt;Control!$C$92,$G22&gt;Control!$C$95),0,IF(AND($G22&gt;=Control!$C$92,$G22&lt;=Control!$C$93),$G22-Control!$C$92,IF(AND($G22&gt;Control!$C$93,$G22&lt;=Control!$C$94),Control!$C$93-Control!$C$92,IF(AND($G22&gt;Control!$C$94,$G22&lt;=Control!$C$95),(Control!$C$93-Control!$C$92)*(Control!$C$94-$G22)/(Control!$C$95-Control!$C$94))))))</f>
        <v>#N/A</v>
      </c>
      <c r="CI22" s="140" t="e">
        <f t="shared" ca="1" si="126"/>
        <v>#N/A</v>
      </c>
      <c r="CJ22" s="140" t="e">
        <f ca="1">IF($CI22&lt;=Control!$C$91,$CI22,Control!$C$91-$CI22)</f>
        <v>#N/A</v>
      </c>
      <c r="CK22" s="140" t="e">
        <f ca="1">IF(AND($BB22&gt;=65,$BB22&lt;90),1,IF($CI22&gt;=Control!$C$91,0,$CG22))</f>
        <v>#N/A</v>
      </c>
      <c r="CL22" s="404" t="e">
        <f ca="1">IF($CK22=0,0,IF($CI22&lt;=Control!$C$91,$CG22*(65+(90-65)*($CJ22/Control!$C$91)),0))</f>
        <v>#N/A</v>
      </c>
      <c r="CM22" s="140" t="e">
        <f ca="1">IF($BG22+$BM22+$BS22+$BY22+$CE22+$CK22=1,0,IF(OR($BB22&gt;=90,$CI22&gt;=Control!$C$91),$BA22,$CM21))</f>
        <v>#N/A</v>
      </c>
      <c r="CN22" s="140" t="e">
        <f t="shared" ca="1" si="127"/>
        <v>#N/A</v>
      </c>
      <c r="CO22" s="140" t="e">
        <f t="shared" ca="1" si="128"/>
        <v>#N/A</v>
      </c>
      <c r="CP22" s="140" t="e">
        <f t="shared" ca="1" si="129"/>
        <v>#N/A</v>
      </c>
      <c r="CQ22" s="141" t="e">
        <f ca="1">VLOOKUP($CP22,Control!$B$86:$G$91,6)</f>
        <v>#N/A</v>
      </c>
      <c r="CR22" s="141" t="e">
        <f ca="1">(1-$CQ22)*VLOOKUP($CP22,Control!$B$86:$D$91,3)</f>
        <v>#N/A</v>
      </c>
      <c r="CS22" s="141" t="e">
        <f ca="1">(1-$CQ22)*VLOOKUP($CP22,Control!$B$86:$E$91,4)</f>
        <v>#N/A</v>
      </c>
      <c r="CT22" s="141" t="e">
        <f ca="1">(1-$CQ22)*VLOOKUP($CP22,Control!$B$86:$F$91,5)</f>
        <v>#N/A</v>
      </c>
      <c r="CU22" s="141">
        <f t="shared" ca="1" si="130"/>
        <v>0</v>
      </c>
      <c r="CV22" s="583">
        <f t="shared" ca="1" si="131"/>
        <v>0</v>
      </c>
      <c r="CW22" s="142">
        <f t="shared" ca="1" si="132"/>
        <v>17</v>
      </c>
      <c r="CX22" s="612" t="e">
        <f ca="1">IF(Control!$C$114=1,(MIN(Control!$C$120*(IF($NT22-0.01&lt;0,0,1)),Control!$C$119-$CY22)))</f>
        <v>#DIV/0!</v>
      </c>
      <c r="CY22" s="143" t="e">
        <f t="shared" ca="1" si="133"/>
        <v>#N/A</v>
      </c>
      <c r="CZ22" s="144">
        <f t="shared" ca="1" si="17"/>
        <v>0</v>
      </c>
      <c r="DA22" s="144">
        <f t="shared" ca="1" si="18"/>
        <v>0</v>
      </c>
      <c r="DB22" s="144" t="e">
        <f t="shared" ca="1" si="19"/>
        <v>#N/A</v>
      </c>
      <c r="DC22" s="144" t="e">
        <f t="shared" ca="1" si="20"/>
        <v>#N/A</v>
      </c>
      <c r="DD22" s="144" t="e">
        <f t="shared" ca="1" si="216"/>
        <v>#N/A</v>
      </c>
      <c r="DE22" s="143" t="e">
        <f t="shared" ca="1" si="135"/>
        <v>#N/A</v>
      </c>
      <c r="DF22" s="145" t="e">
        <f ca="1">$DR22*EXP(-Control!$C$158*(1-$KH22))</f>
        <v>#N/A</v>
      </c>
      <c r="DG22" s="146" t="e">
        <f ca="1">IF(Control!$C$114=1, $DF22*$EY22, 0)</f>
        <v>#N/A</v>
      </c>
      <c r="DH22" s="147" t="e">
        <f t="shared" ca="1" si="136"/>
        <v>#N/A</v>
      </c>
      <c r="DI22" s="144" t="e">
        <f t="shared" ca="1" si="191"/>
        <v>#N/A</v>
      </c>
      <c r="DJ22" s="147" t="e">
        <f ca="1">$EF22*Control!$C$109</f>
        <v>#N/A</v>
      </c>
      <c r="DK22" s="144" t="e">
        <f t="shared" ca="1" si="137"/>
        <v>#N/A</v>
      </c>
      <c r="DL22" s="144" t="e">
        <f t="shared" ca="1" si="21"/>
        <v>#N/A</v>
      </c>
      <c r="DM22" s="144" t="e">
        <f ca="1">IF(Control!$C$114=1, (1-EXP(-Control!$C$96*$DK22))*$AR22, 0)</f>
        <v>#N/A</v>
      </c>
      <c r="DN22" s="144">
        <f t="shared" ca="1" si="138"/>
        <v>0</v>
      </c>
      <c r="DO22" s="148">
        <f>Control!$C$97</f>
        <v>4</v>
      </c>
      <c r="DP22" s="145" t="e">
        <f t="shared" ca="1" si="139"/>
        <v>#N/A</v>
      </c>
      <c r="DQ22" s="145" t="e">
        <f ca="1">IF(AND($CP22&gt;=0,$CP22&lt;=90),Control!$C$111,Control!$C$111)</f>
        <v>#N/A</v>
      </c>
      <c r="DR22" s="145" t="e">
        <f t="shared" ca="1" si="22"/>
        <v>#N/A</v>
      </c>
      <c r="DS22" s="143" t="e">
        <f ca="1">Control!$B$22/$DR22</f>
        <v>#N/A</v>
      </c>
      <c r="DT22" s="149" t="e">
        <f ca="1">IF(AND(Control!$C$114=1,$KH22&lt;1),$IM22*$DF22, 0)</f>
        <v>#N/A</v>
      </c>
      <c r="DU22" s="144" t="e">
        <f t="shared" ca="1" si="192"/>
        <v>#N/A</v>
      </c>
      <c r="DV22" s="144">
        <f ca="1">IF($G22-Control!$C$107&lt;=0, 0, 0.83*LN(MAX($G22, 3))-0.8924)</f>
        <v>0</v>
      </c>
      <c r="DW22" s="144" t="e">
        <f t="shared" ca="1" si="23"/>
        <v>#N/A</v>
      </c>
      <c r="DX22" s="150" t="e">
        <f ca="1">MAX(0.01*(1+$CU22/Control!$C$102),0.05*($DK22-Control!$C$97)/Control!$C$97)</f>
        <v>#N/A</v>
      </c>
      <c r="DY22" s="151" t="e">
        <f ca="1">IF(Control!$C$114=1, $DI22*$FS22, 0)</f>
        <v>#N/A</v>
      </c>
      <c r="DZ22" s="196" t="e">
        <f t="shared" ca="1" si="140"/>
        <v>#N/A</v>
      </c>
      <c r="EA22" s="152">
        <f t="shared" ca="1" si="141"/>
        <v>17</v>
      </c>
      <c r="EB22" s="153" t="e">
        <f t="shared" ca="1" si="217"/>
        <v>#N/A</v>
      </c>
      <c r="EC22" s="153" t="e">
        <f t="shared" ca="1" si="142"/>
        <v>#N/A</v>
      </c>
      <c r="ED22" s="154" t="e">
        <f ca="1">IF(Control!$C$114=1, $HM22*$FY22-$FD22, 0)</f>
        <v>#DIV/0!</v>
      </c>
      <c r="EE22" s="155" t="e">
        <f ca="1">IF(Control!$C$114=1, $HM22*$FZ22-$FF22, 0)</f>
        <v>#DIV/0!</v>
      </c>
      <c r="EF22" s="153" t="e">
        <f t="shared" ca="1" si="193"/>
        <v>#N/A</v>
      </c>
      <c r="EG22" s="155" t="e">
        <f ca="1">IF(Control!$C$114=1, $GX22*$FW22-$FI22, 0)</f>
        <v>#DIV/0!</v>
      </c>
      <c r="EH22" s="153" t="e">
        <f t="shared" ca="1" si="143"/>
        <v>#N/A</v>
      </c>
      <c r="EI22" s="156" t="e">
        <f t="shared" ca="1" si="144"/>
        <v>#N/A</v>
      </c>
      <c r="EJ22" s="155" t="e">
        <f ca="1">IF(Control!$C$114=1, $HM22*$GB22, 0)</f>
        <v>#DIV/0!</v>
      </c>
      <c r="EK22" s="153" t="e">
        <f t="shared" ca="1" si="194"/>
        <v>#N/A</v>
      </c>
      <c r="EL22" s="153" t="e">
        <f t="shared" ca="1" si="24"/>
        <v>#N/A</v>
      </c>
      <c r="EM22" s="153" t="e">
        <f t="shared" ca="1" si="25"/>
        <v>#N/A</v>
      </c>
      <c r="EN22" s="153" t="e">
        <f ca="1">IF(Control!$C$108=1,IF(AND(Control!$B$18=1,$EB22&gt;=Control!$B$19),$EB22-$DS22,IF(AND(Control!$B$18=2,$AW22=1,$EB22&gt;$DS22),$EB22-$DS22,0)))</f>
        <v>#N/A</v>
      </c>
      <c r="EO22" s="153" t="e">
        <f ca="1">IF(Control!$C$108=1,IF(AND(Control!$B$18=1,$EB22&gt;=Control!$B$19),$EF22,IF(AND(Control!$B$18=2,$AW22=1),$EF22,0)))</f>
        <v>#N/A</v>
      </c>
      <c r="EP22" s="153" t="e">
        <f ca="1">IF(Control!$C$108=1,IF(AND(Control!$B$18=1,$EB22&gt;=Control!$B$19),$EK22,IF(AND(Control!$B$18=2,$AW22=1),$EK22,0)))</f>
        <v>#N/A</v>
      </c>
      <c r="EQ22" s="153" t="e">
        <f t="shared" ca="1" si="145"/>
        <v>#N/A</v>
      </c>
      <c r="ER22" s="153" t="e">
        <f t="shared" ca="1" si="195"/>
        <v>#N/A</v>
      </c>
      <c r="ES22" s="153" t="e">
        <f t="shared" ca="1" si="196"/>
        <v>#N/A</v>
      </c>
      <c r="ET22" s="153" t="e">
        <f t="shared" ca="1" si="197"/>
        <v>#N/A</v>
      </c>
      <c r="EU22" s="153" t="e">
        <f t="shared" ca="1" si="198"/>
        <v>#N/A</v>
      </c>
      <c r="EV22" s="153" t="e">
        <f t="shared" ca="1" si="146"/>
        <v>#N/A</v>
      </c>
      <c r="EW22" s="153" t="e">
        <f t="shared" ca="1" si="218"/>
        <v>#N/A</v>
      </c>
      <c r="EX22" s="153" t="e">
        <f t="shared" ca="1" si="26"/>
        <v>#N/A</v>
      </c>
      <c r="EY22" s="157" t="e">
        <f t="shared" ca="1" si="147"/>
        <v>#DIV/0!</v>
      </c>
      <c r="EZ22" s="154" t="e">
        <f t="shared" ca="1" si="27"/>
        <v>#DIV/0!</v>
      </c>
      <c r="FA22" s="153" t="e">
        <f t="shared" ca="1" si="199"/>
        <v>#N/A</v>
      </c>
      <c r="FB22" s="153" t="e">
        <f t="shared" ca="1" si="28"/>
        <v>#N/A</v>
      </c>
      <c r="FC22" s="193" t="e">
        <f t="shared" ca="1" si="29"/>
        <v>#N/A</v>
      </c>
      <c r="FD22" s="158" t="e">
        <f t="shared" ca="1" si="200"/>
        <v>#N/A</v>
      </c>
      <c r="FE22" s="158" t="e">
        <f t="shared" ca="1" si="148"/>
        <v>#N/A</v>
      </c>
      <c r="FF22" s="159" t="e">
        <f t="shared" ca="1" si="30"/>
        <v>#N/A</v>
      </c>
      <c r="FG22" s="160" t="e">
        <f t="shared" ca="1" si="149"/>
        <v>#N/A</v>
      </c>
      <c r="FH22" s="158" t="e">
        <f t="shared" ca="1" si="150"/>
        <v>#N/A</v>
      </c>
      <c r="FI22" s="159" t="e">
        <f t="shared" ca="1" si="31"/>
        <v>#N/A</v>
      </c>
      <c r="FJ22" s="160" t="e">
        <f t="shared" ca="1" si="151"/>
        <v>#N/A</v>
      </c>
      <c r="FK22" s="160" t="e">
        <f t="shared" ca="1" si="32"/>
        <v>#N/A</v>
      </c>
      <c r="FL22" s="160" t="e">
        <f t="shared" ca="1" si="229"/>
        <v>#N/A</v>
      </c>
      <c r="FM22" s="160" t="e">
        <f t="shared" ca="1" si="33"/>
        <v>#N/A</v>
      </c>
      <c r="FN22" s="158">
        <f t="shared" ca="1" si="219"/>
        <v>0.01</v>
      </c>
      <c r="FO22" s="160">
        <f>Control!$C$101</f>
        <v>50</v>
      </c>
      <c r="FP22" s="150" t="e">
        <f t="shared" ca="1" si="34"/>
        <v>#N/A</v>
      </c>
      <c r="FQ22" s="150" t="e">
        <f ca="1">MAX(0,(Control!$C$112*(($DK22-Control!$C$97)/Control!$C$97)))</f>
        <v>#N/A</v>
      </c>
      <c r="FR22" s="150" t="e">
        <f ca="1">(1-$NT22)*Control!$C$113</f>
        <v>#DIV/0!</v>
      </c>
      <c r="FS22" s="198" t="e">
        <f t="shared" ca="1" si="35"/>
        <v>#N/A</v>
      </c>
      <c r="FT22" s="161">
        <f t="shared" ca="1" si="152"/>
        <v>17</v>
      </c>
      <c r="FU22" s="162" t="e">
        <f ca="1">IF(Control!$B$34=1,VLOOKUP($CP22,Control!$B$86:$G$91,6),Control!$B$35)</f>
        <v>#N/A</v>
      </c>
      <c r="FV22" s="162" t="e">
        <f t="shared" ca="1" si="36"/>
        <v>#DIV/0!</v>
      </c>
      <c r="FW22" s="162" t="e">
        <f ca="1">IF(Control!$B$31=1,$FU22*$FV22,  $FU22)</f>
        <v>#N/A</v>
      </c>
      <c r="FX22" s="162" t="e">
        <f ca="1">IF(Control!$B$34=1,VLOOKUP($CP22,Control!$B$86:$G$91,3),Control!$B$36)</f>
        <v>#N/A</v>
      </c>
      <c r="FY22" s="162" t="e">
        <f t="shared" ca="1" si="37"/>
        <v>#N/A</v>
      </c>
      <c r="FZ22" s="162" t="e">
        <f ca="1">IF(Control!$B$34=1,VLOOKUP($CP22,Control!$B$86:$G$91,4),Control!$B$37)</f>
        <v>#N/A</v>
      </c>
      <c r="GA22" s="162" t="e">
        <f t="shared" ca="1" si="38"/>
        <v>#N/A</v>
      </c>
      <c r="GB22" s="162" t="e">
        <f ca="1">IF(Control!$B$34=1,VLOOKUP($CP22,Control!$B$86:$G$91,5),Control!$B$38)</f>
        <v>#N/A</v>
      </c>
      <c r="GC22" s="162" t="e">
        <f t="shared" ca="1" si="153"/>
        <v>#N/A</v>
      </c>
      <c r="GD22" s="162">
        <f t="shared" ca="1" si="39"/>
        <v>1</v>
      </c>
      <c r="GE22" s="162">
        <f t="shared" ca="1" si="40"/>
        <v>1</v>
      </c>
      <c r="GF22" s="162">
        <f ca="1">IF(AND(Control!$C$104=1, Control!$C$62="F"),$GE22,1)</f>
        <v>1</v>
      </c>
      <c r="GG22" s="162" t="e">
        <f ca="1">IF(Control!$B$16=40,0,IF(AND(Control!$B$16&gt;40,Control!$B$16&lt;=360),(Control!$B$16-40)*((1-0)/(360-40)),IF(AND(Control!$B$16&gt;360,Control!$B$16&lt;=720),(1+(Control!$B$16-360)*((1.25-1)/(720-360))),IF(AND(Control!$B$16&gt;720,Control!$B$16&lt;=1000),(1.25+(Control!$B$16-720)*((1.35-1.25)/(1000-720))),IF(AND(Control!$B$16&gt;1000,Control!$B$16&lt;=2000),(1.35+(Control!$B$16-1000)*0))))))</f>
        <v>#N/A</v>
      </c>
      <c r="GH22" s="162" t="e">
        <f t="shared" ca="1" si="41"/>
        <v>#N/A</v>
      </c>
      <c r="GI22" s="162">
        <f t="shared" ca="1" si="201"/>
        <v>0</v>
      </c>
      <c r="GJ22" s="162">
        <f t="shared" ca="1" si="42"/>
        <v>0</v>
      </c>
      <c r="GK22" s="162">
        <f t="shared" ca="1" si="220"/>
        <v>1</v>
      </c>
      <c r="GL22" s="162">
        <f t="shared" ca="1" si="43"/>
        <v>1</v>
      </c>
      <c r="GM22" s="162" t="e">
        <f ca="1">MAX(0,MIN(1,1-Control!$C$156*(1.0001-$KH22)^2))</f>
        <v>#N/A</v>
      </c>
      <c r="GN22" s="162" t="e">
        <f ca="1">IF(Control!$B$26=1,$KU22,$KX22)</f>
        <v>#N/A</v>
      </c>
      <c r="GO22" s="162" t="e">
        <f ca="1">IF($CP22&lt;=60,Control!$C$105,IF($CP22&gt;=90,Control!$C$106,Control!$C$105+($CP22-60)*((Control!$C$106-Control!$C$105)/(90-60))))</f>
        <v>#N/A</v>
      </c>
      <c r="GP22" s="162" t="e">
        <f t="shared" ca="1" si="154"/>
        <v>#N/A</v>
      </c>
      <c r="GQ22" s="162" t="e">
        <f t="shared" ca="1" si="155"/>
        <v>#N/A</v>
      </c>
      <c r="GR22" s="163" t="e">
        <f t="shared" ca="1" si="44"/>
        <v>#DIV/0!</v>
      </c>
      <c r="GS22" s="162" t="e">
        <f t="shared" ca="1" si="45"/>
        <v>#DIV/0!</v>
      </c>
      <c r="GT22" s="164" t="e">
        <f t="shared" ca="1" si="156"/>
        <v>#N/A</v>
      </c>
      <c r="GU22" s="162" t="e">
        <f t="shared" ca="1" si="157"/>
        <v>#N/A</v>
      </c>
      <c r="GV22" s="162" t="e">
        <f t="shared" ca="1" si="46"/>
        <v>#N/A</v>
      </c>
      <c r="GW22" s="162" t="e">
        <f t="shared" ca="1" si="221"/>
        <v>#DIV/0!</v>
      </c>
      <c r="GX22" s="162" t="e">
        <f t="shared" ca="1" si="228"/>
        <v>#DIV/0!</v>
      </c>
      <c r="GY22" s="162" t="e">
        <f t="shared" ca="1" si="158"/>
        <v>#DIV/0!</v>
      </c>
      <c r="GZ22" s="165" t="e">
        <f t="shared" ca="1" si="159"/>
        <v>#N/A</v>
      </c>
      <c r="HA22" s="162" t="e">
        <f ca="1">IF(Control!$C$114=1, $DI22*$FS22, 0)</f>
        <v>#N/A</v>
      </c>
      <c r="HB22" s="162" t="e">
        <f ca="1">$FA22/Control!$C$64</f>
        <v>#N/A</v>
      </c>
      <c r="HC22" s="162" t="e">
        <f t="shared" ca="1" si="222"/>
        <v>#DIV/0!</v>
      </c>
      <c r="HD22" s="162">
        <f ca="1">-ASIN(SIN(23.45*Control!$C$139)*COS(2*Control!$C$138*($AH22+10)/365))</f>
        <v>-0.36369961554686631</v>
      </c>
      <c r="HE22" s="165">
        <f t="shared" ca="1" si="160"/>
        <v>0</v>
      </c>
      <c r="HF22" s="166">
        <f ca="1">IF(AND(Control!$C$61="T",$HE22&gt;=Control!$C$103,Control!$C$114=0),$AH22,Control!$C$59)</f>
        <v>1</v>
      </c>
      <c r="HG22" s="166">
        <f ca="1">IF(AND(Control!$C$61="T",$HE22&gt;=Control!$C$103,Control!$C$114=0),$HF22,Control!$C$59)</f>
        <v>1</v>
      </c>
      <c r="HH22" s="165">
        <f ca="1">IF(AND(OR(Control!$C$60&lt;=0, $AH22= Control!$C$59, Control!$C$60 &gt;0, $AH22 = Control!$C$60)), Control!$C$59, IF(Control!$C$60&gt;0, 0))</f>
        <v>1</v>
      </c>
      <c r="HI22" s="165">
        <f ca="1">IF(AND(OR(Control!$C$60&lt;=0, $AH22= Control!$C$59, Control!$C$60 &gt;0, $AH22 = Control!$C$60)), Control!$C$60, IF(Control!$C$60&lt;=0, 0))</f>
        <v>0</v>
      </c>
      <c r="HJ22" s="166">
        <f ca="1">IF(AND(Control!$C$62="F",$CV22&gt;=Control!$C$102),$AH22,0)</f>
        <v>0</v>
      </c>
      <c r="HK22" s="165" t="e">
        <f t="shared" ca="1" si="202"/>
        <v>#N/A</v>
      </c>
      <c r="HL22" s="166">
        <f ca="1">IF(AND(Control!$C$61="T",$HE22&gt;=Control!$C$103,Control!$C$114=0),$HF22,0)</f>
        <v>0</v>
      </c>
      <c r="HM22" s="201" t="e">
        <f t="shared" ca="1" si="47"/>
        <v>#DIV/0!</v>
      </c>
      <c r="HN22" s="215">
        <f t="shared" ca="1" si="161"/>
        <v>17</v>
      </c>
      <c r="HO22" s="216" t="e">
        <f ca="1">IF(AND($CP22&gt;=0, $CP22&lt;=90), Control!$C$152, Control!$C$152)</f>
        <v>#N/A</v>
      </c>
      <c r="HP22" s="216" t="e">
        <f t="shared" ca="1" si="48"/>
        <v>#N/A</v>
      </c>
      <c r="HQ22" s="217" t="e">
        <f ca="1">IF(OR(Control!$B$26=1,Control!$B$26=2),$KV22,$KS22)</f>
        <v>#DIV/0!</v>
      </c>
      <c r="HR22" s="218" t="e">
        <f t="shared" ca="1" si="223"/>
        <v>#DIV/0!</v>
      </c>
      <c r="HS22" s="216" t="e">
        <f ca="1">Control!$C$154*$HP22</f>
        <v>#N/A</v>
      </c>
      <c r="HT22" s="216" t="e">
        <f ca="1">Control!$C$155*$HP22</f>
        <v>#N/A</v>
      </c>
      <c r="HU22" s="217" t="e">
        <f ca="1">Control!$C$161*$FI22</f>
        <v>#N/A</v>
      </c>
      <c r="HV22" s="218" t="e">
        <f t="shared" ca="1" si="162"/>
        <v>#N/A</v>
      </c>
      <c r="HW22" s="218" t="e">
        <f ca="1">Control!$C$160*$FF22+$IP22*$EO22</f>
        <v>#N/A</v>
      </c>
      <c r="HX22" s="218" t="e">
        <f t="shared" ca="1" si="203"/>
        <v>#N/A</v>
      </c>
      <c r="HY22" s="219" t="e">
        <f ca="1">IF(Control!$C$114=1, $EB22*$FS22, 0)</f>
        <v>#N/A</v>
      </c>
      <c r="HZ22" s="91" t="e">
        <f t="shared" ca="1" si="49"/>
        <v>#N/A</v>
      </c>
      <c r="IA22" s="220" t="e">
        <f ca="1">Control!$C$153*$HO22</f>
        <v>#N/A</v>
      </c>
      <c r="IB22" s="218" t="e">
        <f t="shared" ca="1" si="50"/>
        <v>#N/A</v>
      </c>
      <c r="IC22" s="220" t="e">
        <f ca="1">Control!$C$153*$HT22</f>
        <v>#N/A</v>
      </c>
      <c r="ID22" s="218" t="e">
        <f t="shared" ca="1" si="51"/>
        <v>#N/A</v>
      </c>
      <c r="IE22" s="221" t="e">
        <f ca="1">($EB22*Control!$C$159+$EF22*Control!$C$160)/(IF($GZ22&lt;&gt;0,$GZ22,1))</f>
        <v>#N/A</v>
      </c>
      <c r="IF22" s="216" t="e">
        <f t="shared" ca="1" si="52"/>
        <v>#N/A</v>
      </c>
      <c r="IG22" s="91">
        <f ca="1">IF(OR(Control!$B$198=$AH22,Control!$B$199=$AH22, Control!$B$200=$AH22, Control!$B$201=$AH22, Control!$B$202=$AH22, Control!$B$203=$AH22, Control!$B$204=$AH22, Control!$B$205=$AH22, Control!$B$206=$AH22, Control!$B$207=$AH22), 1, 0)</f>
        <v>0</v>
      </c>
      <c r="IH22" s="91">
        <f ca="1">IF($IG22=0,0, VLOOKUP($AH22,Control!$B$198:$C$207,2))</f>
        <v>0</v>
      </c>
      <c r="II22" s="222">
        <f t="shared" ca="1" si="163"/>
        <v>0</v>
      </c>
      <c r="IJ22" s="91">
        <f>Control!$C$121</f>
        <v>0.7</v>
      </c>
      <c r="IK22" s="218">
        <f t="shared" ca="1" si="53"/>
        <v>0</v>
      </c>
      <c r="IL22" s="217" t="e">
        <f t="shared" ca="1" si="204"/>
        <v>#N/A</v>
      </c>
      <c r="IM22" s="223" t="e">
        <f ca="1">IF(AND(Control!$C$114=1,$KH22&lt;1),$EB22*Control!$C$148*(1-$KH22), 0)</f>
        <v>#N/A</v>
      </c>
      <c r="IN22" s="217" t="e">
        <f t="shared" ca="1" si="54"/>
        <v>#DIV/0!</v>
      </c>
      <c r="IO22" s="91" t="e">
        <f ca="1">MAX(0,$IL22-$EF22*Control!$C$160)</f>
        <v>#N/A</v>
      </c>
      <c r="IP22" s="220" t="e">
        <f t="shared" ca="1" si="55"/>
        <v>#N/A</v>
      </c>
      <c r="IQ22" s="217" t="e">
        <f t="shared" ca="1" si="164"/>
        <v>#N/A</v>
      </c>
      <c r="IR22" s="218" t="e">
        <f t="shared" ca="1" si="56"/>
        <v>#N/A</v>
      </c>
      <c r="IS22" s="217" t="e">
        <f ca="1">Control!$C$159*MAX(0,$FD22-$EN22)</f>
        <v>#N/A</v>
      </c>
      <c r="IT22" s="217" t="e">
        <f t="shared" ca="1" si="205"/>
        <v>#N/A</v>
      </c>
      <c r="IU22" s="217" t="e">
        <f t="shared" ca="1" si="165"/>
        <v>#N/A</v>
      </c>
      <c r="IV22" s="217" t="e">
        <f t="shared" ca="1" si="206"/>
        <v>#N/A</v>
      </c>
      <c r="IW22" s="217" t="e">
        <f ca="1">IF(OR($AW22=1,AND($AW22=0, Control!$B$18=1,$EN22&lt;&gt;0)), $IQ22-$IU22, $IQ22)</f>
        <v>#N/A</v>
      </c>
      <c r="IX22" s="218" t="e">
        <f t="shared" ca="1" si="57"/>
        <v>#N/A</v>
      </c>
      <c r="IY22" s="218" t="e">
        <f ca="1">MAX(0,$IQ22-$EB22*Control!$C$159)</f>
        <v>#N/A</v>
      </c>
      <c r="IZ22" s="218" t="e">
        <f t="shared" ca="1" si="58"/>
        <v>#N/A</v>
      </c>
      <c r="JA22" s="216" t="e">
        <f t="shared" ca="1" si="59"/>
        <v>#N/A</v>
      </c>
      <c r="JB22" s="217" t="e">
        <f t="shared" ca="1" si="60"/>
        <v>#N/A</v>
      </c>
      <c r="JC22" s="222" t="e">
        <f ca="1">MAX(Control!$C$157*$EK22-$JT22, 0)/Control!$C$162</f>
        <v>#N/A</v>
      </c>
      <c r="JD22" s="218" t="e">
        <f t="shared" ca="1" si="61"/>
        <v>#N/A</v>
      </c>
      <c r="JE22" s="218" t="e">
        <f t="shared" ca="1" si="62"/>
        <v>#N/A</v>
      </c>
      <c r="JF22" s="218" t="e">
        <f t="shared" ca="1" si="207"/>
        <v>#N/A</v>
      </c>
      <c r="JG22" s="218" t="e">
        <f t="shared" ca="1" si="63"/>
        <v>#N/A</v>
      </c>
      <c r="JH22" s="217" t="e">
        <f t="shared" ca="1" si="166"/>
        <v>#N/A</v>
      </c>
      <c r="JI22" s="217" t="e">
        <f t="shared" ca="1" si="167"/>
        <v>#N/A</v>
      </c>
      <c r="JJ22" s="217" t="e">
        <f t="shared" ca="1" si="224"/>
        <v>#N/A</v>
      </c>
      <c r="JK22" s="217" t="e">
        <f ca="1">IF(Control!$C$114=1,IF(Control!$B$24=0,MAX(0,$JI22)*$GN22/Control!$C$64,(MAX(0,MIN($JI22,$JJ22*$GN22/Control!$C$64),0))))</f>
        <v>#N/A</v>
      </c>
      <c r="JL22" s="217" t="e">
        <f ca="1">$IK22/Control!$C$64-$JK22+$HQ22</f>
        <v>#N/A</v>
      </c>
      <c r="JM22" s="217" t="e">
        <f ca="1">IF(Control!$C$114=1,($JB22/(IF($JI22&lt;&gt;0,$JI22,1)))*$JK22,0)</f>
        <v>#N/A</v>
      </c>
      <c r="JN22" s="217" t="e">
        <f ca="1">IF(Control!$C$114=1,($JG22/(IF($JI22&lt;&gt;0,$JI22,1)))*$JK22, 0)</f>
        <v>#N/A</v>
      </c>
      <c r="JO22" s="218" t="e">
        <f t="shared" ca="1" si="64"/>
        <v>#N/A</v>
      </c>
      <c r="JP22" s="218" t="e">
        <f ca="1">MIN(($IY22+$IO22)*Control!$C$151, $JF22-$EH22*Control!$C$161)</f>
        <v>#N/A</v>
      </c>
      <c r="JQ22" s="218" t="e">
        <f t="shared" ca="1" si="65"/>
        <v>#N/A</v>
      </c>
      <c r="JR22" s="217" t="e">
        <f ca="1">IF($CP22-Control!$C$150&lt;0, 0, $JQ22/Control!$C$162)</f>
        <v>#N/A</v>
      </c>
      <c r="JS22" s="218" t="e">
        <f t="shared" ca="1" si="66"/>
        <v>#N/A</v>
      </c>
      <c r="JT22" s="218" t="e">
        <f t="shared" ca="1" si="168"/>
        <v>#N/A</v>
      </c>
      <c r="JU22" s="218" t="e">
        <f t="shared" ca="1" si="67"/>
        <v>#N/A</v>
      </c>
      <c r="JV22" s="218" t="e">
        <f t="shared" ca="1" si="68"/>
        <v>#N/A</v>
      </c>
      <c r="JW22" s="216" t="e">
        <f t="shared" ca="1" si="69"/>
        <v>#N/A</v>
      </c>
      <c r="JX22" s="91" t="e">
        <f t="shared" ca="1" si="70"/>
        <v>#N/A</v>
      </c>
      <c r="JY22" s="218" t="e">
        <f t="shared" ca="1" si="71"/>
        <v>#N/A</v>
      </c>
      <c r="JZ22" s="217" t="e">
        <f ca="1">IF(Control!$C$114=1,($IZ22/(IF($JI22&lt;&gt;0,$JI22,1)))*$JK22, 0)</f>
        <v>#N/A</v>
      </c>
      <c r="KA22" s="218" t="e">
        <f t="shared" ca="1" si="225"/>
        <v>#N/A</v>
      </c>
      <c r="KB22" s="218" t="e">
        <f t="shared" ca="1" si="169"/>
        <v>#N/A</v>
      </c>
      <c r="KC22" s="218" t="e">
        <f t="shared" ca="1" si="72"/>
        <v>#N/A</v>
      </c>
      <c r="KD22" s="218" t="e">
        <f t="shared" ca="1" si="73"/>
        <v>#N/A</v>
      </c>
      <c r="KE22" s="218" t="e">
        <f t="shared" ca="1" si="74"/>
        <v>#N/A</v>
      </c>
      <c r="KF22" s="218" t="e">
        <f t="shared" ca="1" si="75"/>
        <v>#N/A</v>
      </c>
      <c r="KG22" s="216" t="e">
        <f t="shared" ca="1" si="76"/>
        <v>#N/A</v>
      </c>
      <c r="KH22" s="221" t="e">
        <f ca="1">IF(Control!$B$24=0,1,MAX(0.001,MIN(1,IF(($IF22-$IE22)&lt;&gt;0,($KG22-$IE22)/($IF22-$IE22),1))))</f>
        <v>#N/A</v>
      </c>
      <c r="KI22" s="222" t="e">
        <f ca="1">IF(Control!$C$114=1, $KI21+ $KH21, 0)</f>
        <v>#N/A</v>
      </c>
      <c r="KJ22" s="217" t="e">
        <f t="shared" ca="1" si="77"/>
        <v>#N/A</v>
      </c>
      <c r="KK22" s="218" t="e">
        <f t="shared" ca="1" si="78"/>
        <v>#N/A</v>
      </c>
      <c r="KL22" s="274" t="e">
        <f ca="1">IF(Control!$B$26=3,4000000000*EXP(-8400/($G22+273)),IF(Control!$B$26=4,4000000000*EXP(-8400/($G22+273))*($KT22),0))</f>
        <v>#DIV/0!</v>
      </c>
      <c r="KM22" s="274" t="e">
        <f ca="1">IF(Control!$B$26=3,5600000000000*EXP(-9800/($G22+273)),IF(Control!$B$26=4,5600000000000*EXP(-9800/($G22+273))*$KT22,0))</f>
        <v>#DIV/0!</v>
      </c>
      <c r="KN22" s="454" t="e">
        <f t="shared" ca="1" si="170"/>
        <v>#DIV/0!</v>
      </c>
      <c r="KO22" s="274" t="e">
        <f t="shared" ca="1" si="171"/>
        <v>#DIV/0!</v>
      </c>
      <c r="KP22" s="454" t="e">
        <f t="shared" ca="1" si="79"/>
        <v>#DIV/0!</v>
      </c>
      <c r="KQ22" s="454" t="e">
        <f t="shared" ca="1" si="80"/>
        <v>#DIV/0!</v>
      </c>
      <c r="KR22" s="454" t="e">
        <f t="shared" ca="1" si="81"/>
        <v>#DIV/0!</v>
      </c>
      <c r="KS22" s="454" t="e">
        <f t="shared" ca="1" si="82"/>
        <v>#DIV/0!</v>
      </c>
      <c r="KT22" s="455" t="e">
        <f t="shared" ca="1" si="83"/>
        <v>#DIV/0!</v>
      </c>
      <c r="KU22" s="456" t="e">
        <f ca="1">IF($CP22-Control!$C$149&lt;0, IF($NT22-0.01&lt;0,0,1),0)</f>
        <v>#N/A</v>
      </c>
      <c r="KV22" s="456" t="e">
        <f ca="1">IF(Control!$C$114=1,MAX(0,MIN(Control!$C$125*$KW22*$GN22,$KW22)))</f>
        <v>#DIV/0!</v>
      </c>
      <c r="KW22" s="456" t="e">
        <f t="shared" ca="1" si="208"/>
        <v>#DIV/0!</v>
      </c>
      <c r="KX22" s="457" t="e">
        <f ca="1">IF($CP22-Control!$C$149&lt;0, IF($MR22-$OM22&lt;0,0,1),0)</f>
        <v>#N/A</v>
      </c>
      <c r="KY22" s="167">
        <f t="shared" ca="1" si="172"/>
        <v>17</v>
      </c>
      <c r="KZ22" s="168">
        <f ca="1">1370*(1+0.033*COS(2*Control!$C$138*$AH22/365))</f>
        <v>1413.2878964403799</v>
      </c>
      <c r="LA22" s="169">
        <f t="shared" ca="1" si="173"/>
        <v>1.0315970112157162</v>
      </c>
      <c r="LB22" s="169">
        <f t="shared" ca="1" si="174"/>
        <v>-0.36401248454901453</v>
      </c>
      <c r="LC22" s="169">
        <f ca="1">ACOS(-TAN((2*Control!$B$8/360))*TAN(Calculations!$LB22))</f>
        <v>1.4573213037240511</v>
      </c>
      <c r="LD22" s="169">
        <f ca="1">((24*60)/PI())*0.082*$LA22*(($LC22*SIN(Control!$B$8*2*PI()/360))*SIN($LB22)+COS(Control!$B$8*2*PI()/360)*COS($LB22)*SIN($LC22))</f>
        <v>6.3109917175028665</v>
      </c>
      <c r="LE22" s="170">
        <f t="shared" ca="1" si="84"/>
        <v>7.7455035394738045</v>
      </c>
      <c r="LF22" s="170">
        <f ca="1">SIN(Control!$C$139*Control!$B$8)*SIN($HD22)</f>
        <v>-0.28032289735984472</v>
      </c>
      <c r="LG22" s="170">
        <f ca="1">COS(Control!$C$139*Control!$B$8)*COS($HD22)</f>
        <v>0.57538773600235371</v>
      </c>
      <c r="LH22" s="170">
        <f ca="1">12*(1+2*ASIN(MAX(-1,MIN(1,$LF22/$LG22))/Control!$C$138))</f>
        <v>8.2630731626693521</v>
      </c>
      <c r="LI22" s="170">
        <f ca="1">12*(1+2*ASIN(MAX(-1,MIN(1,(-SIN(-4*Control!$C$139)+$LF22)/$LG22))/Control!$C$138))</f>
        <v>9.1979515958075453</v>
      </c>
      <c r="LJ22" s="168">
        <f ca="1">3600*($LH22*$LF22+24*$LG22*SQRT(1-$LK22*$LK22)/Control!$C$138)</f>
        <v>5480.4852988426846</v>
      </c>
      <c r="LK22" s="170">
        <f t="shared" ca="1" si="85"/>
        <v>-0.48718955900495248</v>
      </c>
      <c r="LL22" s="170">
        <f t="shared" ca="1" si="86"/>
        <v>0</v>
      </c>
      <c r="LM22" s="171">
        <f ca="1">Control!$C$145*$AB22</f>
        <v>6.6660906138995932E-2</v>
      </c>
      <c r="LN22" s="170">
        <f t="shared" ca="1" si="175"/>
        <v>0.54</v>
      </c>
      <c r="LO22" s="170">
        <f t="shared" ca="1" si="87"/>
        <v>0</v>
      </c>
      <c r="LP22" s="170">
        <f ca="1">Control!$C$140*((($D22+273.16)^4+($E22+273.16)^4)/2)*(0.34-0.14*SQRT($Y22))*(1.35*$AQ22/(0.75*$LD22)-0.35)</f>
        <v>-3.2464704755046001</v>
      </c>
      <c r="LQ22" s="170">
        <f ca="1">Control!$C$140*($G22+273)^4*(0.56-0.079*SQRT($Y22*10))*(0.1+0.9*$LO22)</f>
        <v>1.5241745131704001</v>
      </c>
      <c r="LR22" s="170">
        <f ca="1">$AQ22*(1-Control!$C$142)-$LQ22</f>
        <v>-1.5241745131704001</v>
      </c>
      <c r="LS22" s="170">
        <f ca="1">$AQ22*(1-Control!$C$143)-$LQ22</f>
        <v>-1.5241745131704001</v>
      </c>
      <c r="LT22" s="170">
        <f ca="1">$AQ22*(1-Control!$C$144)-$LQ22</f>
        <v>-1.5241745131704001</v>
      </c>
      <c r="LU22" s="169">
        <f ca="1">(1-Control!$C$144)*AQ22-LP22</f>
        <v>3.2464704755046001</v>
      </c>
      <c r="LV22" s="172">
        <f t="shared" ca="1" si="88"/>
        <v>0.79430000000000012</v>
      </c>
      <c r="LW22" s="170">
        <f t="shared" ca="1" si="89"/>
        <v>1.5886000000000002</v>
      </c>
      <c r="LX22" s="170">
        <f ca="1">($AC22*($LR22/Control!$C$141)+$LM22*$LV22)/($AC22+$LM22)</f>
        <v>0.23530094218323697</v>
      </c>
      <c r="LY22" s="170">
        <f ca="1">($AC22*($LS22/Control!$C$141)+$LM22*$LV22)/($AC22+$LM22)</f>
        <v>0.23530094218323697</v>
      </c>
      <c r="LZ22" s="170">
        <f t="shared" ca="1" si="90"/>
        <v>0.23530094218323697</v>
      </c>
      <c r="MA22" s="170">
        <f t="shared" ca="1" si="91"/>
        <v>0.23530094218323697</v>
      </c>
      <c r="MB22" s="170" t="e">
        <f t="shared" ca="1" si="92"/>
        <v>#N/A</v>
      </c>
      <c r="MC22" s="170">
        <f t="shared" ca="1" si="176"/>
        <v>0.6018</v>
      </c>
      <c r="MD22" s="170">
        <f t="shared" ca="1" si="93"/>
        <v>0.52989392535414004</v>
      </c>
      <c r="ME22" s="170">
        <f ca="1">($AC22*($LT22/Control!$C$141)+$LM22*$LW22)/($AC22+$LM22)</f>
        <v>0.71612369323045078</v>
      </c>
      <c r="MF22" s="170" t="e">
        <f ca="1">IF(Control!$B$16&gt;=1000,0.92,IF(AND(720&lt;=Control!$B$16,1000&gt;Control!$B$16),(0.95+(Control!$B$16-720)*((0.92-0.95)/(1000-720))),IF(AND(360&lt;=Control!$B$16,720&gt;Control!$B$16),(1+(Control!$B$16-360)*((0.95-1)/(720-360))),IF(AND(40&lt;=Control!$B$16,360&gt;Control!$B$16),(1.05+(Control!$B$16-40)*((1.05-1)/(360-40)))))))</f>
        <v>#N/A</v>
      </c>
      <c r="MG22" s="170">
        <f t="shared" ca="1" si="94"/>
        <v>0.71612369323045078</v>
      </c>
      <c r="MH22" s="170" t="e">
        <f t="shared" ca="1" si="95"/>
        <v>#N/A</v>
      </c>
      <c r="MI22" s="170" t="e">
        <f t="shared" ca="1" si="95"/>
        <v>#N/A</v>
      </c>
      <c r="MJ22" s="170" t="e">
        <f ca="1">MAX(0.0001, Control!$C$132*$MI22*$DL22)</f>
        <v>#N/A</v>
      </c>
      <c r="MK22" s="170">
        <f ca="1">1/(0.76+1.5*($MG22/10))-(5-Control!$C$110)*0.1</f>
        <v>1.002845988140797</v>
      </c>
      <c r="ML22" s="173">
        <f ca="1">IF(Control!$C$110&lt;3,$MK22+($MG22-0.6)/(Control!$C$110*(Control!$C$110+3)), MAX(0.1, MIN(0.95,$MK22)))</f>
        <v>0.95</v>
      </c>
      <c r="MM22" s="173">
        <f ca="1">IF(Control!$C$110&lt;3,$MK22+(($MI22/10)-0.6)/(Control!$C$110*(Control!$C$110+3)), MAX(0.1, MIN(0.95,$MK22)))</f>
        <v>0.95</v>
      </c>
      <c r="MN22" s="173">
        <f ca="1">(1-$MM22)*(Control!$C$128-Control!$C$127)+Control!$C$127</f>
        <v>0.16</v>
      </c>
      <c r="MO22" s="170" t="e">
        <f ca="1">MAX(0,MIN(1,($MS22-Control!$C$127)/($MN22-Control!$C$127)))</f>
        <v>#DIV/0!</v>
      </c>
      <c r="MP22" s="173" t="e">
        <f ca="1">1/(0.76+1.5*$MI22)-(5-Control!$C$110)*0.1</f>
        <v>#N/A</v>
      </c>
      <c r="MQ22" s="172" t="e">
        <f t="shared" ca="1" si="209"/>
        <v>#DIV/0!</v>
      </c>
      <c r="MR22" s="168" t="e">
        <f t="shared" ca="1" si="226"/>
        <v>#DIV/0!</v>
      </c>
      <c r="MS22" s="173" t="e">
        <f ca="1">MAX(Control!$C$127, MIN(Control!$C$135, $MR22/MAX(0.0001,$CY22)))</f>
        <v>#DIV/0!</v>
      </c>
      <c r="MT22" s="168" t="e">
        <f ca="1">(Control!$C$128-$MS22)*Control!$C$74</f>
        <v>#DIV/0!</v>
      </c>
      <c r="MU22" s="168" t="e">
        <f ca="1">(Control!$C$135-$MS22)*Control!$C$74</f>
        <v>#DIV/0!</v>
      </c>
      <c r="MV22" s="168" t="e">
        <f t="shared" ca="1" si="210"/>
        <v>#DIV/0!</v>
      </c>
      <c r="MW22" s="168" t="e">
        <f t="shared" ca="1" si="177"/>
        <v>#DIV/0!</v>
      </c>
      <c r="MX22" s="171" t="e">
        <f ca="1">MAX(Control!$C$127, MIN(Control!$C$135, $MW22/MAX(0.0001,Control!$C$119-$CY22)))</f>
        <v>#DIV/0!</v>
      </c>
      <c r="MY22" s="54" t="e">
        <f ca="1">IF(Control!$C$114=1, $CX22*$MX22, 0)</f>
        <v>#DIV/0!</v>
      </c>
      <c r="MZ22" s="54" t="e">
        <f t="shared" ca="1" si="178"/>
        <v>#N/A</v>
      </c>
      <c r="NA22" s="168" t="e">
        <f ca="1">(Control!$C$128-$MX22)*(Control!$C$119-Control!$C$74)</f>
        <v>#DIV/0!</v>
      </c>
      <c r="NB22" s="168" t="e">
        <f ca="1">(Control!$C$135-$MX22)*(Control!$C$119-Control!$C$74)</f>
        <v>#DIV/0!</v>
      </c>
      <c r="NC22" s="174" t="e">
        <f t="shared" ca="1" si="179"/>
        <v>#DIV/0!</v>
      </c>
      <c r="ND22" s="54">
        <f ca="1">IF(Control!$C$58=2, IF(OR(Control!$B$218=$AH22,Control!$B$219=$AH22, Control!$B$220=$AH22, Control!$B$221=$AH22, Control!$B$222=$AH22, Control!$B$223=$AH22, Control!$B$224=$AH22, Control!$B$225=$AH22, Control!$B$226=$AH22, Control!$B$227=$AH22, Control!$B$228=$AH22), 1, 0), 0)</f>
        <v>0</v>
      </c>
      <c r="NE22" s="54">
        <f ca="1">IF($ND22=0,0, VLOOKUP($AH22,Control!$B$218:$C$228,2))</f>
        <v>0</v>
      </c>
      <c r="NF22" s="168" t="e">
        <f ca="1">$CY22*(Control!$C$128-Control!$C$127)</f>
        <v>#N/A</v>
      </c>
      <c r="NG22" s="54" t="e">
        <f ca="1">IF(Control!$C$58=2, $NI21-$NJ21, 0)</f>
        <v>#DIV/0!</v>
      </c>
      <c r="NH22" s="54" t="e">
        <f ca="1">IF(AND(Control!$C$58=1, $MS21&lt;= ($MN21+0.02), $I21&lt;10), 0, IF(Control!$C$58=2, $NG21, 0))</f>
        <v>#DIV/0!</v>
      </c>
      <c r="NI22" s="54" t="e">
        <f ca="1">IF(Control!$C$58=2, $NE22+$NH22,0)</f>
        <v>#DIV/0!</v>
      </c>
      <c r="NJ22" s="54" t="e">
        <f ca="1">IF(AND(Control!$C$58=1, $MS22&lt;= ($MN22+0.02), $I22&lt;10), MAX(0, MIN(10, 0.7*($NF22-$MV22))), IF(Control!$C$58=2, MIN(10,$NI22),0))</f>
        <v>#DIV/0!</v>
      </c>
      <c r="NK22" s="54" t="e">
        <f t="shared" ca="1" si="96"/>
        <v>#DIV/0!</v>
      </c>
      <c r="NL22" s="173" t="e">
        <f ca="1">(1-Control!$C$73)*$I22+$NJ22</f>
        <v>#DIV/0!</v>
      </c>
      <c r="NM22" s="172" t="e">
        <f ca="1">IF($NL22&lt;0.5, $MB22* MAX(0, MIN(1, (SQRT($NC22)-SQRT($NC22-1))*Control!$C$71)),0)</f>
        <v>#DIV/0!</v>
      </c>
      <c r="NN22" s="170" t="e">
        <f ca="1">IF($NL22&gt;=5, $MB22, MAX(0,MIN($MB22, $NM22+$NL22,($MS22-Control!$C$129))))</f>
        <v>#DIV/0!</v>
      </c>
      <c r="NO22" s="54">
        <f>IF(Control!$C$133&lt;&gt;1, Control!$C$135-Control!$C$131, 0)</f>
        <v>0.38</v>
      </c>
      <c r="NP22" s="54" t="e">
        <f t="shared" ca="1" si="97"/>
        <v>#DIV/0!</v>
      </c>
      <c r="NQ22" s="173" t="e">
        <f ca="1">MAX(0,MIN(1,(Control!$C$135-$MS22)/(Control!$C$135-$NO22)))</f>
        <v>#DIV/0!</v>
      </c>
      <c r="NR22" s="170" t="e">
        <f ca="1">IF(Control!$C$133&lt;&gt;1, $NQ22+((1-$NP22/4)*(1-$NQ22)),1)</f>
        <v>#DIV/0!</v>
      </c>
      <c r="NS22" s="170" t="e">
        <f ca="1">IF(Control!$B$31=0,$MJ22,MAX(0,MIN($MV22,$MO22*$NR22*$MJ22)))</f>
        <v>#DIV/0!</v>
      </c>
      <c r="NT22" s="170" t="e">
        <f t="shared" ca="1" si="227"/>
        <v>#DIV/0!</v>
      </c>
      <c r="NU22" s="170" t="e">
        <f t="shared" ca="1" si="180"/>
        <v>#N/A</v>
      </c>
      <c r="NV22" s="170" t="e">
        <f t="shared" ca="1" si="98"/>
        <v>#N/A</v>
      </c>
      <c r="NW22" s="175" t="e">
        <f t="shared" ca="1" si="99"/>
        <v>#DIV/0!</v>
      </c>
      <c r="NX22" s="170" t="e">
        <f ca="1">MIN(Control!$C$72+$MU22, $NW22)</f>
        <v>#DIV/0!</v>
      </c>
      <c r="NY22" s="170" t="e">
        <f ca="1">IF($MT22&lt;=$NX22,MIN(Control!$C$72+$NB22,$NX22-$MT22),0)</f>
        <v>#DIV/0!</v>
      </c>
      <c r="NZ22" s="54" t="e">
        <f ca="1">IF(Control!$C$114=1,  $CX22*($MX22-Control!$C$127), 0)</f>
        <v>#DIV/0!</v>
      </c>
      <c r="OA22" s="170" t="e">
        <f t="shared" ca="1" si="181"/>
        <v>#DIV/0!</v>
      </c>
      <c r="OB22" s="170" t="e">
        <f ca="1">IF($NA22 &lt;=$NY22, MIN(Control!$C$72, $NY22-$NA22), 0)</f>
        <v>#DIV/0!</v>
      </c>
      <c r="OC22" s="168" t="e">
        <f t="shared" ca="1" si="100"/>
        <v>#DIV/0!</v>
      </c>
      <c r="OD22" s="168" t="e">
        <f t="shared" ca="1" si="182"/>
        <v>#DIV/0!</v>
      </c>
      <c r="OE22" s="170">
        <f ca="1">Control!$C$73*$I22</f>
        <v>0</v>
      </c>
      <c r="OF22" s="176" t="e">
        <f t="shared" ca="1" si="101"/>
        <v>#DIV/0!</v>
      </c>
      <c r="OG22" s="168" t="e">
        <f t="shared" ca="1" si="102"/>
        <v>#DIV/0!</v>
      </c>
      <c r="OH22" s="168" t="e">
        <f t="shared" ca="1" si="103"/>
        <v>#DIV/0!</v>
      </c>
      <c r="OI22" s="168" t="e">
        <f t="shared" ca="1" si="104"/>
        <v>#DIV/0!</v>
      </c>
      <c r="OJ22" s="168" t="e">
        <f t="shared" ca="1" si="105"/>
        <v>#DIV/0!</v>
      </c>
      <c r="OK22" s="204" t="e">
        <f t="shared" ca="1" si="183"/>
        <v>#DIV/0!</v>
      </c>
      <c r="OL22" s="177">
        <f>Control!$C$127</f>
        <v>0.15</v>
      </c>
      <c r="OM22" s="182" t="e">
        <f t="shared" ca="1" si="106"/>
        <v>#N/A</v>
      </c>
      <c r="ON22" s="177">
        <f>Control!$C$128</f>
        <v>0.35</v>
      </c>
      <c r="OO22" s="182" t="e">
        <f t="shared" ca="1" si="107"/>
        <v>#N/A</v>
      </c>
      <c r="OP22" s="138">
        <f t="shared" ca="1" si="184"/>
        <v>0</v>
      </c>
      <c r="OQ22" s="138" t="e">
        <f t="shared" ca="1" si="211"/>
        <v>#DIV/0!</v>
      </c>
      <c r="OR22" s="138" t="e">
        <f t="shared" ca="1" si="185"/>
        <v>#DIV/0!</v>
      </c>
      <c r="OS22" s="137" t="e">
        <f t="shared" ca="1" si="212"/>
        <v>#DIV/0!</v>
      </c>
      <c r="OT22" s="139" t="e">
        <f t="shared" ca="1" si="213"/>
        <v>#DIV/0!</v>
      </c>
      <c r="OU22" s="138" t="e">
        <f t="shared" ca="1" si="214"/>
        <v>#N/A</v>
      </c>
      <c r="OV22" s="138" t="e">
        <f t="shared" ca="1" si="215"/>
        <v>#DIV/0!</v>
      </c>
      <c r="OW22" s="138" t="e">
        <f t="shared" ca="1" si="186"/>
        <v>#DIV/0!</v>
      </c>
      <c r="OX22" s="138" t="e">
        <f t="shared" ca="1" si="187"/>
        <v>#DIV/0!</v>
      </c>
      <c r="OY22" s="138" t="e">
        <f t="shared" ca="1" si="188"/>
        <v>#DIV/0!</v>
      </c>
      <c r="OZ22" s="138" t="e">
        <f t="shared" ca="1" si="108"/>
        <v>#DIV/0!</v>
      </c>
      <c r="PA22" s="138" t="e">
        <f t="shared" ca="1" si="109"/>
        <v>#DIV/0!</v>
      </c>
      <c r="PB22" s="55">
        <f>IF(Control!$C$61="T", IF(Control!$C$65="F", IF($AH$6-Control!$C$60&lt;0,0,1), IF(365+$AH$6-Control!$C$60&lt;0,0,1)),0)</f>
        <v>0</v>
      </c>
      <c r="PC22" s="55">
        <f ca="1">IF(Control!$C$65="F", IF($AH$6-$HF22&lt;0,0,1), IF(365+$AH$6-$HF22&lt;0,0,1))</f>
        <v>1</v>
      </c>
      <c r="PD22" s="444">
        <f>Control!$C$118</f>
        <v>1500</v>
      </c>
      <c r="PE22" s="180" t="e">
        <f t="shared" ca="1" si="110"/>
        <v>#N/A</v>
      </c>
      <c r="PF22" s="445">
        <f t="shared" ca="1" si="189"/>
        <v>0.71612369323045078</v>
      </c>
      <c r="PT22" s="186"/>
      <c r="PU22" s="186"/>
      <c r="PV22" s="94"/>
      <c r="PW22" s="94"/>
      <c r="PX22" s="94"/>
      <c r="PY22" s="94"/>
      <c r="PZ22" s="94"/>
      <c r="QA22" s="94"/>
      <c r="QB22" s="94"/>
      <c r="QC22" s="94"/>
      <c r="QD22" s="94"/>
      <c r="QE22" s="94"/>
      <c r="QF22" s="94"/>
      <c r="QG22" s="94"/>
      <c r="QH22" s="94"/>
      <c r="QI22" s="94"/>
      <c r="QJ22" s="94"/>
      <c r="QK22" s="94"/>
      <c r="QL22" s="94"/>
      <c r="QM22" s="94"/>
      <c r="QN22" s="94"/>
      <c r="QO22" s="94"/>
      <c r="QP22" s="94"/>
    </row>
    <row r="23" spans="1:458" s="2" customFormat="1" x14ac:dyDescent="0.2">
      <c r="A23" s="386">
        <v>18</v>
      </c>
      <c r="B23" s="387">
        <v>1</v>
      </c>
      <c r="C23" s="387">
        <f ca="1">Weather_data!$B22</f>
        <v>0</v>
      </c>
      <c r="D23" s="388">
        <f ca="1">Weather_data!$F22</f>
        <v>0</v>
      </c>
      <c r="E23" s="388">
        <f ca="1">Weather_data!$E22</f>
        <v>0</v>
      </c>
      <c r="F23" s="388">
        <f t="shared" ca="1" si="111"/>
        <v>0</v>
      </c>
      <c r="G23" s="388">
        <f ca="1">AVERAGE($D23:$E23)+Control!$B$9</f>
        <v>0</v>
      </c>
      <c r="H23" s="388">
        <f ca="1">Weather_data!$G22</f>
        <v>0</v>
      </c>
      <c r="I23" s="388">
        <f ca="1">Weather_data!$I22</f>
        <v>0</v>
      </c>
      <c r="J23" s="388">
        <f ca="1">Weather_data!$H22</f>
        <v>0</v>
      </c>
      <c r="K23" s="389">
        <f ca="1">Weather_data!$D22</f>
        <v>0</v>
      </c>
      <c r="L23" s="388" t="e">
        <f t="shared" ca="1" si="112"/>
        <v>#N/A</v>
      </c>
      <c r="M23" s="388" t="e">
        <f t="shared" ca="1" si="0"/>
        <v>#N/A</v>
      </c>
      <c r="N23" s="388">
        <f t="shared" ca="1" si="1"/>
        <v>-8.3385908498332814E-2</v>
      </c>
      <c r="O23" s="388">
        <f t="shared" ca="1" si="113"/>
        <v>0.83385908498332817</v>
      </c>
      <c r="P23" s="390">
        <v>3</v>
      </c>
      <c r="Q23" s="388">
        <f ca="1">MAX($G23-Control!$C$107,0)</f>
        <v>0</v>
      </c>
      <c r="R23" s="388">
        <f t="shared" ca="1" si="114"/>
        <v>0</v>
      </c>
      <c r="S23" s="388">
        <f t="shared" ca="1" si="2"/>
        <v>0</v>
      </c>
      <c r="T23" s="388">
        <f t="shared" ca="1" si="3"/>
        <v>0</v>
      </c>
      <c r="U23" s="59">
        <f t="shared" ca="1" si="4"/>
        <v>0</v>
      </c>
      <c r="V23" s="391">
        <f ca="1">MAX(0,MIN(Control!$C$100-Control!$C$99,$G23-Control!$C$99)*Control!$C$63)</f>
        <v>0</v>
      </c>
      <c r="W23" s="388">
        <f t="shared" ca="1" si="190"/>
        <v>0</v>
      </c>
      <c r="X23" s="388">
        <f t="shared" ca="1" si="115"/>
        <v>0.6110000000000001</v>
      </c>
      <c r="Y23" s="388">
        <f t="shared" ca="1" si="116"/>
        <v>0</v>
      </c>
      <c r="Z23" s="388">
        <f t="shared" ca="1" si="117"/>
        <v>0.61058800000000002</v>
      </c>
      <c r="AA23" s="388">
        <f t="shared" ca="1" si="5"/>
        <v>0.6018</v>
      </c>
      <c r="AB23" s="388">
        <f ca="1">101.3*EXP(-0.034*Control!$C$66/($G23+273))</f>
        <v>100.69623283836242</v>
      </c>
      <c r="AC23" s="392">
        <f t="shared" ca="1" si="6"/>
        <v>4.3460251046025113E-2</v>
      </c>
      <c r="AD23" s="392">
        <f t="shared" ca="1" si="7"/>
        <v>4.4450382862832649E-2</v>
      </c>
      <c r="AE23" s="388">
        <f t="shared" ca="1" si="8"/>
        <v>0</v>
      </c>
      <c r="AF23" s="388">
        <f ca="1">MAX(0,$G23-Control!$C$92)</f>
        <v>0</v>
      </c>
      <c r="AG23" s="393">
        <f t="shared" ca="1" si="118"/>
        <v>18</v>
      </c>
      <c r="AH23" s="389">
        <f t="shared" ca="1" si="9"/>
        <v>18</v>
      </c>
      <c r="AI23" s="388">
        <f t="shared" ca="1" si="119"/>
        <v>-0.3603600297707289</v>
      </c>
      <c r="AJ23" s="388">
        <f ca="1">IF(Control!$C$60&lt;=0,$HH23,$HI23)</f>
        <v>1</v>
      </c>
      <c r="AK23" s="388">
        <f t="shared" ca="1" si="10"/>
        <v>-1.0672807919044776</v>
      </c>
      <c r="AL23" s="388">
        <f t="shared" ca="1" si="11"/>
        <v>1.3976493573597535E-18</v>
      </c>
      <c r="AM23" s="388">
        <f t="shared" ca="1" si="12"/>
        <v>-1.0672807919044776</v>
      </c>
      <c r="AN23" s="388">
        <f t="shared" ca="1" si="13"/>
        <v>-0.35589532089853304</v>
      </c>
      <c r="AO23" s="388">
        <f ca="1">-0.10453/COS(Control!$B$8*PI()/180)*COS(AN23)</f>
        <v>-0.15914528011592075</v>
      </c>
      <c r="AP23" s="388">
        <f ca="1">ACOS(AO23-TAN(Control!$B$8*PI()/180)*TAN(AN23))</f>
        <v>1.2486117107960817</v>
      </c>
      <c r="AQ23" s="388">
        <f t="shared" ca="1" si="120"/>
        <v>0</v>
      </c>
      <c r="AR23" s="394">
        <f t="shared" ca="1" si="14"/>
        <v>0</v>
      </c>
      <c r="AS23" s="436">
        <f ca="1">IF(Control!$B$18=2,(IF(OR($AH23=Control!$B$175,$AH23=Control!$B$176,$AH23=Control!$B$177,$AH23=Control!$B$178,$AH23=Control!$B$179,$AH23=Control!$B$180,$AH23=Control!$B$181,$AH23=Control!$B$182,$AH23=Control!$B$183,$AH23=Control!$B$184,$AH23=Control!$B$185),1,0)),0)</f>
        <v>0</v>
      </c>
      <c r="AT23" s="436">
        <f>IF(Control!$B$20=8,IF(AND($AH23&gt;=Control!$B$172,$AH23&lt;=Control!$B$173),1,0),0)</f>
        <v>0</v>
      </c>
      <c r="AU23" s="436">
        <f>IF(Control!$B$20=8,IF($AV22=1,1*$AT23,IF($AT23=1,$AU22+1,$AU22)),0)</f>
        <v>0</v>
      </c>
      <c r="AV23" s="436">
        <f>IF(Control!$B$20=8,IF($AU23&gt;=Control!$B$174,1,0),0)</f>
        <v>0</v>
      </c>
      <c r="AW23" s="436">
        <f ca="1">IF(AND(Control!$B$18=2,Control!$B$171=1), $AV23, $AS23)</f>
        <v>0</v>
      </c>
      <c r="AX23" s="436" t="e">
        <f ca="1">IF(AND(Control!$B$18=1,$EU23&gt;=Control!$B$19),-$AY23,IF(AND(Control!$B$18=2,$AW23=1,$EU23&gt;$DS23),-$AY23, IF(Control!$C$108=0,0, IF(Control!$C$108&lt;&gt;0,1))))</f>
        <v>#N/A</v>
      </c>
      <c r="AY23" s="436" t="e">
        <f t="shared" ca="1" si="121"/>
        <v>#N/A</v>
      </c>
      <c r="AZ23" s="436" t="e">
        <f ca="1">IF(AND(Control!$B$18=1,$EB23&gt;Control!$B$19),$AZ22+1, IF(AND(Control!$B$18=2, $AW23=1, $EB23&gt;$DS23), $AZ22+1,$AZ22))</f>
        <v>#N/A</v>
      </c>
      <c r="BA23" s="587">
        <f>IF(Control!$C$81=0,1,IF($AH23&gt;=Control!$C$82,1,0))</f>
        <v>1</v>
      </c>
      <c r="BB23" s="140" t="e">
        <f ca="1">IF($BA23&gt;$BA22,Control!$C$83,IF($AW23&gt;0,$AW23*Control!$C$84,IF(AND(Control!$B$18=1,EN22&lt;&gt;0),Control!$C$84,0)))</f>
        <v>#N/A</v>
      </c>
      <c r="BC23" s="140" t="e">
        <f t="shared" ca="1" si="122"/>
        <v>#N/A</v>
      </c>
      <c r="BD23" s="140" t="e">
        <f ca="1">BC23*IF(OR($G23&lt;Control!$C$92,$G23&gt;Control!$C$95),0,IF(AND($G23&gt;=Control!$C$92,$G23&lt;=Control!$C$93),$G23-Control!$C$92,IF(AND($G23&gt;Control!$C$93,$G23&lt;=Control!$C$94),Control!$C$93-Control!$C$92,IF(AND($G23&gt;Control!$C$94,$G23&lt;=Control!$C$95),(Control!$C$93-Control!$C$92)*(Control!$C$94-$G23)/(Control!$C$95-Control!$C$94)))))</f>
        <v>#N/A</v>
      </c>
      <c r="BE23" s="140" t="e">
        <f t="shared" ca="1" si="123"/>
        <v>#N/A</v>
      </c>
      <c r="BF23" s="140" t="e">
        <f ca="1">IF($BE23&lt;=Control!$C$86,$BE23,Control!$C$86-$BE23)</f>
        <v>#N/A</v>
      </c>
      <c r="BG23" s="140" t="e">
        <f ca="1">IF(AND($AW23=1,Control!$C$84&lt;9),1,IF($BE23&gt;=Control!$C$86,0,$BC23))</f>
        <v>#N/A</v>
      </c>
      <c r="BH23" s="404" t="e">
        <f ca="1">IF($BG23=0,0,IF($BE23&lt;=Control!$C$86,$BC23*9*($BF23/Control!$C$86),0))</f>
        <v>#N/A</v>
      </c>
      <c r="BI23" s="140" t="e">
        <f ca="1">IF($BG23=1,0,IF($BE23&gt;=Control!$C$86,1,IF(AND($BB23&lt;21,$BB23&gt;=9),1,$BM22)))</f>
        <v>#N/A</v>
      </c>
      <c r="BJ23" s="140" t="e">
        <f ca="1">IF($BF23&lt;0,-$BF23,$BI23*IF(OR($G23&lt;Control!$C$92,$G23&gt;Control!$C$95),0,IF(AND($G23&gt;=Control!$C$92,$G23&lt;=Control!$C$93),$G23-Control!$C$92,IF(AND($G23&gt;Control!$C$93,$G23&lt;=Control!$C$94),Control!$C$93-Control!$C$92,IF(AND($G23&gt;Control!$C$94,$G23&lt;=Control!$C$95),(Control!$C$93-Control!$C$92)*(Control!$C$94-$G23)/(Control!$C$95-Control!$C$94))))))</f>
        <v>#N/A</v>
      </c>
      <c r="BK23" s="140" t="e">
        <f t="shared" ca="1" si="124"/>
        <v>#N/A</v>
      </c>
      <c r="BL23" s="140" t="e">
        <f ca="1">IF($BK23&lt;=Control!$C$87,$BK23,Control!$C$87-$BK23)</f>
        <v>#N/A</v>
      </c>
      <c r="BM23" s="140" t="e">
        <f ca="1">IF(AND($BB23&gt;=9,$BB23&lt;21),1,IF($BK23&gt;=Control!$C$87,0,$BI23))</f>
        <v>#N/A</v>
      </c>
      <c r="BN23" s="404" t="e">
        <f ca="1">IF($BM23=0,0,IF($BK23&lt;=Control!$C$87,$BI23*(9+(21-9)*($BL23/Control!$C$87)),0))</f>
        <v>#N/A</v>
      </c>
      <c r="BO23" s="140" t="e">
        <f ca="1">IF($BM23=1,0,IF($BK23&gt;=Control!$C$87,1,IF(AND($BB23&lt;30,$BB23&gt;=21),1,$BS22)))</f>
        <v>#N/A</v>
      </c>
      <c r="BP23" s="140" t="e">
        <f ca="1">IF($BL23&lt;0,-$BL23,$BO23*IF(OR($G23&lt;Control!$C$92,$G23&gt;Control!$C$95),0,IF(AND($G23&gt;=Control!$C$92,$G23&lt;=Control!$C$93),$G23-Control!$C$92,IF(AND($G23&gt;Control!$C$93,$G23&lt;=Control!$C$94),Control!$C$93-Control!$C$92,IF(AND($G23&gt;Control!$C$94,$G23&lt;=Control!$C$95),(Control!$C$93-Control!$C$92)*(Control!$C$94-$G23)/(Control!$C$95-Control!$C$94))))))</f>
        <v>#N/A</v>
      </c>
      <c r="BQ23" s="140" t="e">
        <f t="shared" ca="1" si="15"/>
        <v>#N/A</v>
      </c>
      <c r="BR23" s="140" t="e">
        <f ca="1">IF($BQ23&lt;=Control!$C$88,$BQ23,Control!$C$88-$BQ23)</f>
        <v>#N/A</v>
      </c>
      <c r="BS23" s="140" t="e">
        <f ca="1">IF(AND($BB23&gt;=21,$BB23&lt;30),1,IF($BQ23&gt;=Control!$C$88,0,$BO23))</f>
        <v>#N/A</v>
      </c>
      <c r="BT23" s="404" t="e">
        <f ca="1">IF($BS23=0,0,IF($BQ23&lt;=Control!$C$88,$BO23*(21+(30-21)*(BR23/Control!$C$88)),0))</f>
        <v>#N/A</v>
      </c>
      <c r="BU23" s="140" t="e">
        <f ca="1">IF(BG23+BM23+BS23=1,0,IF(OR(AND($BB23&lt;60,$BB23&gt;=30),$BQ23&gt;=Control!$C$88),1*$BA23,$BY22))</f>
        <v>#N/A</v>
      </c>
      <c r="BV23" s="140" t="e">
        <f ca="1">IF($BR23&lt;0,-$BR23,$BU23*IF(OR($G23&lt;Control!$C$92,$G23&gt;Control!$C$95),0,IF(AND($G23&gt;=Control!$C$92,$G23&lt;=Control!$C$93),$G23-Control!$C$92,IF(AND($G23&gt;Control!$C$93,$G23&lt;=Control!$C$94),Control!$C$93-Control!$C$92,IF(AND($G23&gt;Control!$C$94,$G23&lt;=Control!$C$95),(Control!$C$93-Control!$C$92)*(Control!$C$94-$G23)/(Control!$C$95-Control!$C$94))))))</f>
        <v>#N/A</v>
      </c>
      <c r="BW23" s="140" t="e">
        <f t="shared" ca="1" si="16"/>
        <v>#N/A</v>
      </c>
      <c r="BX23" s="140" t="e">
        <f ca="1">IF($BW23&lt;=Control!$C$89,$BW23,Control!$C$89-$BW23)</f>
        <v>#N/A</v>
      </c>
      <c r="BY23" s="140" t="e">
        <f ca="1">IF(AND($AJ23&gt;=30,$AJ23&lt;60),1,IF($BW23&gt;=Control!$C$89,0,$BU23))</f>
        <v>#N/A</v>
      </c>
      <c r="BZ23" s="404" t="e">
        <f ca="1">IF($BY23=0,0,IF($BW23&lt;=Control!$C$89,$BU23*(30+(60-30)*(BX23/Control!$C$89)),0))</f>
        <v>#N/A</v>
      </c>
      <c r="CA23" s="140" t="e">
        <f ca="1">IF($BG23+$BM23+$BS23+$BY23=1,0,IF(OR(AND($BB23&lt;65,$BB23&gt;=60),$BW23&gt;=Control!$C$89),1*$BA23,$CE22))</f>
        <v>#N/A</v>
      </c>
      <c r="CB23" s="140" t="e">
        <f ca="1">IF($BX23&lt;0,-$BX23,$CA23*IF(OR($G23&lt;Control!$C$92,$G23&gt;Control!$C$95),0,IF(AND($G23&gt;=Control!$C$92,$G23&lt;=Control!$C$93),$G23-Control!$C$92,IF(AND($G23&gt;Control!$C$93,$G23&lt;=Control!$C$94),Control!$C$93-Control!$C$92,IF(AND($G23&gt;Control!$C$94,$G23&lt;=Control!$C$95),(Control!$C$93-Control!$C$92)*(Control!$C$94-$G23)/(Control!$C$95-Control!$C$94))))))</f>
        <v>#N/A</v>
      </c>
      <c r="CC23" s="140" t="e">
        <f t="shared" ca="1" si="125"/>
        <v>#N/A</v>
      </c>
      <c r="CD23" s="140" t="e">
        <f ca="1">IF($CC23&lt;=Control!$C$90,$CC23,Control!$C$90-$CC23)</f>
        <v>#N/A</v>
      </c>
      <c r="CE23" s="140" t="e">
        <f ca="1">IF(AND($BB23&gt;=60,$BB23&lt;65),1,IF($CC23&gt;=Control!$C$90,0,$CA23))</f>
        <v>#N/A</v>
      </c>
      <c r="CF23" s="404" t="e">
        <f ca="1">IF($CE23=0,0,IF($CC23&lt;=Control!$C$90,$CA23*(60+(65-60)*(CD23/Control!$C$90)),0))</f>
        <v>#N/A</v>
      </c>
      <c r="CG23" s="140" t="e">
        <f ca="1">IF($BG23+$BM23+$BS23+$BY23+$CE23=1,0,IF(OR(AND($BB23&lt;90,$BB23&gt;=65),$CC23&gt;=Control!$C$90),$BA23,$CK22))</f>
        <v>#N/A</v>
      </c>
      <c r="CH23" s="140" t="e">
        <f ca="1">IF($CD23&lt;0,-$CD23,$CG23*IF(OR($G23&lt;Control!$C$92,$G23&gt;Control!$C$95),0,IF(AND($G23&gt;=Control!$C$92,$G23&lt;=Control!$C$93),$G23-Control!$C$92,IF(AND($G23&gt;Control!$C$93,$G23&lt;=Control!$C$94),Control!$C$93-Control!$C$92,IF(AND($G23&gt;Control!$C$94,$G23&lt;=Control!$C$95),(Control!$C$93-Control!$C$92)*(Control!$C$94-$G23)/(Control!$C$95-Control!$C$94))))))</f>
        <v>#N/A</v>
      </c>
      <c r="CI23" s="140" t="e">
        <f t="shared" ca="1" si="126"/>
        <v>#N/A</v>
      </c>
      <c r="CJ23" s="140" t="e">
        <f ca="1">IF($CI23&lt;=Control!$C$91,$CI23,Control!$C$91-$CI23)</f>
        <v>#N/A</v>
      </c>
      <c r="CK23" s="140" t="e">
        <f ca="1">IF(AND($BB23&gt;=65,$BB23&lt;90),1,IF($CI23&gt;=Control!$C$91,0,$CG23))</f>
        <v>#N/A</v>
      </c>
      <c r="CL23" s="404" t="e">
        <f ca="1">IF($CK23=0,0,IF($CI23&lt;=Control!$C$91,$CG23*(65+(90-65)*($CJ23/Control!$C$91)),0))</f>
        <v>#N/A</v>
      </c>
      <c r="CM23" s="140" t="e">
        <f ca="1">IF($BG23+$BM23+$BS23+$BY23+$CE23+$CK23=1,0,IF(OR($BB23&gt;=90,$CI23&gt;=Control!$C$91),$BA23,$CM22))</f>
        <v>#N/A</v>
      </c>
      <c r="CN23" s="140" t="e">
        <f t="shared" ca="1" si="127"/>
        <v>#N/A</v>
      </c>
      <c r="CO23" s="140" t="e">
        <f t="shared" ca="1" si="128"/>
        <v>#N/A</v>
      </c>
      <c r="CP23" s="140" t="e">
        <f t="shared" ca="1" si="129"/>
        <v>#N/A</v>
      </c>
      <c r="CQ23" s="141" t="e">
        <f ca="1">VLOOKUP($CP23,Control!$B$86:$G$91,6)</f>
        <v>#N/A</v>
      </c>
      <c r="CR23" s="141" t="e">
        <f ca="1">(1-$CQ23)*VLOOKUP($CP23,Control!$B$86:$D$91,3)</f>
        <v>#N/A</v>
      </c>
      <c r="CS23" s="141" t="e">
        <f ca="1">(1-$CQ23)*VLOOKUP($CP23,Control!$B$86:$E$91,4)</f>
        <v>#N/A</v>
      </c>
      <c r="CT23" s="141" t="e">
        <f ca="1">(1-$CQ23)*VLOOKUP($CP23,Control!$B$86:$F$91,5)</f>
        <v>#N/A</v>
      </c>
      <c r="CU23" s="141">
        <f t="shared" ca="1" si="130"/>
        <v>0</v>
      </c>
      <c r="CV23" s="583">
        <f t="shared" ca="1" si="131"/>
        <v>0</v>
      </c>
      <c r="CW23" s="142">
        <f t="shared" ca="1" si="132"/>
        <v>18</v>
      </c>
      <c r="CX23" s="612" t="e">
        <f ca="1">IF(Control!$C$114=1,(MIN(Control!$C$120*(IF($NT23-0.01&lt;0,0,1)),Control!$C$119-$CY23)))</f>
        <v>#DIV/0!</v>
      </c>
      <c r="CY23" s="143" t="e">
        <f t="shared" ca="1" si="133"/>
        <v>#N/A</v>
      </c>
      <c r="CZ23" s="144">
        <f t="shared" ca="1" si="17"/>
        <v>0</v>
      </c>
      <c r="DA23" s="144">
        <f t="shared" ca="1" si="18"/>
        <v>0</v>
      </c>
      <c r="DB23" s="144" t="e">
        <f t="shared" ca="1" si="19"/>
        <v>#N/A</v>
      </c>
      <c r="DC23" s="144" t="e">
        <f t="shared" ca="1" si="20"/>
        <v>#N/A</v>
      </c>
      <c r="DD23" s="144" t="e">
        <f t="shared" ca="1" si="216"/>
        <v>#N/A</v>
      </c>
      <c r="DE23" s="143" t="e">
        <f t="shared" ca="1" si="135"/>
        <v>#N/A</v>
      </c>
      <c r="DF23" s="145" t="e">
        <f ca="1">$DR23*EXP(-Control!$C$158*(1-$KH23))</f>
        <v>#N/A</v>
      </c>
      <c r="DG23" s="146" t="e">
        <f ca="1">IF(Control!$C$114=1, $DF23*$EY23, 0)</f>
        <v>#N/A</v>
      </c>
      <c r="DH23" s="147" t="e">
        <f t="shared" ca="1" si="136"/>
        <v>#N/A</v>
      </c>
      <c r="DI23" s="144" t="e">
        <f t="shared" ca="1" si="191"/>
        <v>#N/A</v>
      </c>
      <c r="DJ23" s="147" t="e">
        <f ca="1">$EF23*Control!$C$109</f>
        <v>#N/A</v>
      </c>
      <c r="DK23" s="144" t="e">
        <f t="shared" ca="1" si="137"/>
        <v>#N/A</v>
      </c>
      <c r="DL23" s="144" t="e">
        <f t="shared" ca="1" si="21"/>
        <v>#N/A</v>
      </c>
      <c r="DM23" s="144" t="e">
        <f ca="1">IF(Control!$C$114=1, (1-EXP(-Control!$C$96*$DK23))*$AR23, 0)</f>
        <v>#N/A</v>
      </c>
      <c r="DN23" s="144">
        <f t="shared" ca="1" si="138"/>
        <v>0</v>
      </c>
      <c r="DO23" s="148">
        <f>Control!$C$97</f>
        <v>4</v>
      </c>
      <c r="DP23" s="145" t="e">
        <f t="shared" ca="1" si="139"/>
        <v>#N/A</v>
      </c>
      <c r="DQ23" s="145" t="e">
        <f ca="1">IF(AND($CP23&gt;=0,$CP23&lt;=90),Control!$C$111,Control!$C$111)</f>
        <v>#N/A</v>
      </c>
      <c r="DR23" s="145" t="e">
        <f t="shared" ca="1" si="22"/>
        <v>#N/A</v>
      </c>
      <c r="DS23" s="143" t="e">
        <f ca="1">Control!$B$22/$DR23</f>
        <v>#N/A</v>
      </c>
      <c r="DT23" s="149" t="e">
        <f ca="1">IF(AND(Control!$C$114=1,$KH23&lt;1),$IM23*$DF23, 0)</f>
        <v>#N/A</v>
      </c>
      <c r="DU23" s="144" t="e">
        <f t="shared" ca="1" si="192"/>
        <v>#N/A</v>
      </c>
      <c r="DV23" s="144">
        <f ca="1">IF($G23-Control!$C$107&lt;=0, 0, 0.83*LN(MAX($G23, 3))-0.8924)</f>
        <v>0</v>
      </c>
      <c r="DW23" s="144" t="e">
        <f t="shared" ca="1" si="23"/>
        <v>#N/A</v>
      </c>
      <c r="DX23" s="150" t="e">
        <f ca="1">MAX(0.01*(1+$CU23/Control!$C$102),0.05*($DK23-Control!$C$97)/Control!$C$97)</f>
        <v>#N/A</v>
      </c>
      <c r="DY23" s="151" t="e">
        <f ca="1">IF(Control!$C$114=1, $DI23*$FS23, 0)</f>
        <v>#N/A</v>
      </c>
      <c r="DZ23" s="196" t="e">
        <f t="shared" ca="1" si="140"/>
        <v>#N/A</v>
      </c>
      <c r="EA23" s="152">
        <f t="shared" ca="1" si="141"/>
        <v>18</v>
      </c>
      <c r="EB23" s="153" t="e">
        <f t="shared" ca="1" si="217"/>
        <v>#N/A</v>
      </c>
      <c r="EC23" s="153" t="e">
        <f t="shared" ca="1" si="142"/>
        <v>#N/A</v>
      </c>
      <c r="ED23" s="154" t="e">
        <f ca="1">IF(Control!$C$114=1, $HM23*$FY23-$FD23, 0)</f>
        <v>#DIV/0!</v>
      </c>
      <c r="EE23" s="155" t="e">
        <f ca="1">IF(Control!$C$114=1, $HM23*$FZ23-$FF23, 0)</f>
        <v>#DIV/0!</v>
      </c>
      <c r="EF23" s="153" t="e">
        <f t="shared" ca="1" si="193"/>
        <v>#N/A</v>
      </c>
      <c r="EG23" s="155" t="e">
        <f ca="1">IF(Control!$C$114=1, $GX23*$FW23-$FI23, 0)</f>
        <v>#DIV/0!</v>
      </c>
      <c r="EH23" s="153" t="e">
        <f t="shared" ca="1" si="143"/>
        <v>#N/A</v>
      </c>
      <c r="EI23" s="156" t="e">
        <f t="shared" ca="1" si="144"/>
        <v>#N/A</v>
      </c>
      <c r="EJ23" s="155" t="e">
        <f ca="1">IF(Control!$C$114=1, $HM23*$GB23, 0)</f>
        <v>#DIV/0!</v>
      </c>
      <c r="EK23" s="153" t="e">
        <f t="shared" ca="1" si="194"/>
        <v>#N/A</v>
      </c>
      <c r="EL23" s="153" t="e">
        <f t="shared" ca="1" si="24"/>
        <v>#N/A</v>
      </c>
      <c r="EM23" s="153" t="e">
        <f t="shared" ca="1" si="25"/>
        <v>#N/A</v>
      </c>
      <c r="EN23" s="153" t="e">
        <f ca="1">IF(Control!$C$108=1,IF(AND(Control!$B$18=1,$EB23&gt;=Control!$B$19),$EB23-$DS23,IF(AND(Control!$B$18=2,$AW23=1,$EB23&gt;$DS23),$EB23-$DS23,0)))</f>
        <v>#N/A</v>
      </c>
      <c r="EO23" s="153" t="e">
        <f ca="1">IF(Control!$C$108=1,IF(AND(Control!$B$18=1,$EB23&gt;=Control!$B$19),$EF23,IF(AND(Control!$B$18=2,$AW23=1),$EF23,0)))</f>
        <v>#N/A</v>
      </c>
      <c r="EP23" s="153" t="e">
        <f ca="1">IF(Control!$C$108=1,IF(AND(Control!$B$18=1,$EB23&gt;=Control!$B$19),$EK23,IF(AND(Control!$B$18=2,$AW23=1),$EK23,0)))</f>
        <v>#N/A</v>
      </c>
      <c r="EQ23" s="153" t="e">
        <f t="shared" ca="1" si="145"/>
        <v>#N/A</v>
      </c>
      <c r="ER23" s="153" t="e">
        <f t="shared" ca="1" si="195"/>
        <v>#N/A</v>
      </c>
      <c r="ES23" s="153" t="e">
        <f t="shared" ca="1" si="196"/>
        <v>#N/A</v>
      </c>
      <c r="ET23" s="153" t="e">
        <f t="shared" ca="1" si="197"/>
        <v>#N/A</v>
      </c>
      <c r="EU23" s="153" t="e">
        <f t="shared" ca="1" si="198"/>
        <v>#N/A</v>
      </c>
      <c r="EV23" s="153" t="e">
        <f t="shared" ca="1" si="146"/>
        <v>#N/A</v>
      </c>
      <c r="EW23" s="153" t="e">
        <f t="shared" ca="1" si="218"/>
        <v>#N/A</v>
      </c>
      <c r="EX23" s="153" t="e">
        <f t="shared" ca="1" si="26"/>
        <v>#N/A</v>
      </c>
      <c r="EY23" s="157" t="e">
        <f t="shared" ca="1" si="147"/>
        <v>#DIV/0!</v>
      </c>
      <c r="EZ23" s="154" t="e">
        <f t="shared" ca="1" si="27"/>
        <v>#DIV/0!</v>
      </c>
      <c r="FA23" s="153" t="e">
        <f t="shared" ca="1" si="199"/>
        <v>#N/A</v>
      </c>
      <c r="FB23" s="153" t="e">
        <f t="shared" ca="1" si="28"/>
        <v>#N/A</v>
      </c>
      <c r="FC23" s="193" t="e">
        <f t="shared" ca="1" si="29"/>
        <v>#N/A</v>
      </c>
      <c r="FD23" s="158" t="e">
        <f t="shared" ca="1" si="200"/>
        <v>#N/A</v>
      </c>
      <c r="FE23" s="158" t="e">
        <f t="shared" ca="1" si="148"/>
        <v>#N/A</v>
      </c>
      <c r="FF23" s="159" t="e">
        <f t="shared" ca="1" si="30"/>
        <v>#N/A</v>
      </c>
      <c r="FG23" s="160" t="e">
        <f t="shared" ca="1" si="149"/>
        <v>#N/A</v>
      </c>
      <c r="FH23" s="158" t="e">
        <f t="shared" ca="1" si="150"/>
        <v>#N/A</v>
      </c>
      <c r="FI23" s="159" t="e">
        <f t="shared" ca="1" si="31"/>
        <v>#N/A</v>
      </c>
      <c r="FJ23" s="160" t="e">
        <f t="shared" ca="1" si="151"/>
        <v>#N/A</v>
      </c>
      <c r="FK23" s="160" t="e">
        <f t="shared" ca="1" si="32"/>
        <v>#N/A</v>
      </c>
      <c r="FL23" s="160" t="e">
        <f t="shared" ca="1" si="229"/>
        <v>#N/A</v>
      </c>
      <c r="FM23" s="160" t="e">
        <f t="shared" ca="1" si="33"/>
        <v>#N/A</v>
      </c>
      <c r="FN23" s="158">
        <f t="shared" ca="1" si="219"/>
        <v>0.01</v>
      </c>
      <c r="FO23" s="160">
        <f>Control!$C$101</f>
        <v>50</v>
      </c>
      <c r="FP23" s="150" t="e">
        <f t="shared" ca="1" si="34"/>
        <v>#N/A</v>
      </c>
      <c r="FQ23" s="150" t="e">
        <f ca="1">MAX(0,(Control!$C$112*(($DK23-Control!$C$97)/Control!$C$97)))</f>
        <v>#N/A</v>
      </c>
      <c r="FR23" s="150" t="e">
        <f ca="1">(1-$NT23)*Control!$C$113</f>
        <v>#DIV/0!</v>
      </c>
      <c r="FS23" s="198" t="e">
        <f t="shared" ca="1" si="35"/>
        <v>#N/A</v>
      </c>
      <c r="FT23" s="161">
        <f t="shared" ca="1" si="152"/>
        <v>18</v>
      </c>
      <c r="FU23" s="162" t="e">
        <f ca="1">IF(Control!$B$34=1,VLOOKUP($CP23,Control!$B$86:$G$91,6),Control!$B$35)</f>
        <v>#N/A</v>
      </c>
      <c r="FV23" s="162" t="e">
        <f t="shared" ca="1" si="36"/>
        <v>#DIV/0!</v>
      </c>
      <c r="FW23" s="162" t="e">
        <f ca="1">IF(Control!$B$31=1,$FU23*$FV23,  $FU23)</f>
        <v>#N/A</v>
      </c>
      <c r="FX23" s="162" t="e">
        <f ca="1">IF(Control!$B$34=1,VLOOKUP($CP23,Control!$B$86:$G$91,3),Control!$B$36)</f>
        <v>#N/A</v>
      </c>
      <c r="FY23" s="162" t="e">
        <f t="shared" ca="1" si="37"/>
        <v>#N/A</v>
      </c>
      <c r="FZ23" s="162" t="e">
        <f ca="1">IF(Control!$B$34=1,VLOOKUP($CP23,Control!$B$86:$G$91,4),Control!$B$37)</f>
        <v>#N/A</v>
      </c>
      <c r="GA23" s="162" t="e">
        <f t="shared" ca="1" si="38"/>
        <v>#N/A</v>
      </c>
      <c r="GB23" s="162" t="e">
        <f ca="1">IF(Control!$B$34=1,VLOOKUP($CP23,Control!$B$86:$G$91,5),Control!$B$38)</f>
        <v>#N/A</v>
      </c>
      <c r="GC23" s="162" t="e">
        <f t="shared" ca="1" si="153"/>
        <v>#N/A</v>
      </c>
      <c r="GD23" s="162">
        <f t="shared" ca="1" si="39"/>
        <v>1</v>
      </c>
      <c r="GE23" s="162">
        <f t="shared" ca="1" si="40"/>
        <v>1</v>
      </c>
      <c r="GF23" s="162">
        <f ca="1">IF(AND(Control!$C$104=1, Control!$C$62="F"),$GE23,1)</f>
        <v>1</v>
      </c>
      <c r="GG23" s="162" t="e">
        <f ca="1">IF(Control!$B$16=40,0,IF(AND(Control!$B$16&gt;40,Control!$B$16&lt;=360),(Control!$B$16-40)*((1-0)/(360-40)),IF(AND(Control!$B$16&gt;360,Control!$B$16&lt;=720),(1+(Control!$B$16-360)*((1.25-1)/(720-360))),IF(AND(Control!$B$16&gt;720,Control!$B$16&lt;=1000),(1.25+(Control!$B$16-720)*((1.35-1.25)/(1000-720))),IF(AND(Control!$B$16&gt;1000,Control!$B$16&lt;=2000),(1.35+(Control!$B$16-1000)*0))))))</f>
        <v>#N/A</v>
      </c>
      <c r="GH23" s="162" t="e">
        <f t="shared" ca="1" si="41"/>
        <v>#N/A</v>
      </c>
      <c r="GI23" s="162">
        <f t="shared" ca="1" si="201"/>
        <v>0</v>
      </c>
      <c r="GJ23" s="162">
        <f t="shared" ca="1" si="42"/>
        <v>0</v>
      </c>
      <c r="GK23" s="162">
        <f t="shared" ca="1" si="220"/>
        <v>1</v>
      </c>
      <c r="GL23" s="162">
        <f t="shared" ca="1" si="43"/>
        <v>1</v>
      </c>
      <c r="GM23" s="162" t="e">
        <f ca="1">MAX(0,MIN(1,1-Control!$C$156*(1.0001-$KH23)^2))</f>
        <v>#N/A</v>
      </c>
      <c r="GN23" s="162" t="e">
        <f ca="1">IF(Control!$B$26=1,$KU23,$KX23)</f>
        <v>#N/A</v>
      </c>
      <c r="GO23" s="162" t="e">
        <f ca="1">IF($CP23&lt;=60,Control!$C$105,IF($CP23&gt;=90,Control!$C$106,Control!$C$105+($CP23-60)*((Control!$C$106-Control!$C$105)/(90-60))))</f>
        <v>#N/A</v>
      </c>
      <c r="GP23" s="162" t="e">
        <f t="shared" ca="1" si="154"/>
        <v>#N/A</v>
      </c>
      <c r="GQ23" s="162" t="e">
        <f t="shared" ca="1" si="155"/>
        <v>#N/A</v>
      </c>
      <c r="GR23" s="163" t="e">
        <f t="shared" ca="1" si="44"/>
        <v>#DIV/0!</v>
      </c>
      <c r="GS23" s="162" t="e">
        <f t="shared" ca="1" si="45"/>
        <v>#DIV/0!</v>
      </c>
      <c r="GT23" s="164" t="e">
        <f t="shared" ca="1" si="156"/>
        <v>#N/A</v>
      </c>
      <c r="GU23" s="162" t="e">
        <f t="shared" ca="1" si="157"/>
        <v>#N/A</v>
      </c>
      <c r="GV23" s="162" t="e">
        <f t="shared" ca="1" si="46"/>
        <v>#N/A</v>
      </c>
      <c r="GW23" s="162" t="e">
        <f t="shared" ca="1" si="221"/>
        <v>#DIV/0!</v>
      </c>
      <c r="GX23" s="162" t="e">
        <f t="shared" ca="1" si="228"/>
        <v>#DIV/0!</v>
      </c>
      <c r="GY23" s="162" t="e">
        <f t="shared" ca="1" si="158"/>
        <v>#DIV/0!</v>
      </c>
      <c r="GZ23" s="165" t="e">
        <f t="shared" ca="1" si="159"/>
        <v>#N/A</v>
      </c>
      <c r="HA23" s="162" t="e">
        <f ca="1">IF(Control!$C$114=1, $DI23*$FS23, 0)</f>
        <v>#N/A</v>
      </c>
      <c r="HB23" s="162" t="e">
        <f ca="1">$FA23/Control!$C$64</f>
        <v>#N/A</v>
      </c>
      <c r="HC23" s="162" t="e">
        <f t="shared" ca="1" si="222"/>
        <v>#DIV/0!</v>
      </c>
      <c r="HD23" s="162">
        <f ca="1">-ASIN(SIN(23.45*Control!$C$139)*COS(2*Control!$C$138*($AH23+10)/365))</f>
        <v>-0.3603600297707289</v>
      </c>
      <c r="HE23" s="165">
        <f t="shared" ca="1" si="160"/>
        <v>0</v>
      </c>
      <c r="HF23" s="166">
        <f ca="1">IF(AND(Control!$C$61="T",$HE23&gt;=Control!$C$103,Control!$C$114=0),$AH23,Control!$C$59)</f>
        <v>1</v>
      </c>
      <c r="HG23" s="166">
        <f ca="1">IF(AND(Control!$C$61="T",$HE23&gt;=Control!$C$103,Control!$C$114=0),$HF23,Control!$C$59)</f>
        <v>1</v>
      </c>
      <c r="HH23" s="165">
        <f ca="1">IF(AND(OR(Control!$C$60&lt;=0, $AH23= Control!$C$59, Control!$C$60 &gt;0, $AH23 = Control!$C$60)), Control!$C$59, IF(Control!$C$60&gt;0, 0))</f>
        <v>1</v>
      </c>
      <c r="HI23" s="165">
        <f ca="1">IF(AND(OR(Control!$C$60&lt;=0, $AH23= Control!$C$59, Control!$C$60 &gt;0, $AH23 = Control!$C$60)), Control!$C$60, IF(Control!$C$60&lt;=0, 0))</f>
        <v>0</v>
      </c>
      <c r="HJ23" s="166">
        <f ca="1">IF(AND(Control!$C$62="F",$CV23&gt;=Control!$C$102),$AH23,0)</f>
        <v>0</v>
      </c>
      <c r="HK23" s="165" t="e">
        <f t="shared" ca="1" si="202"/>
        <v>#N/A</v>
      </c>
      <c r="HL23" s="166">
        <f ca="1">IF(AND(Control!$C$61="T",$HE23&gt;=Control!$C$103,Control!$C$114=0),$HF23,0)</f>
        <v>0</v>
      </c>
      <c r="HM23" s="201" t="e">
        <f t="shared" ca="1" si="47"/>
        <v>#DIV/0!</v>
      </c>
      <c r="HN23" s="215">
        <f t="shared" ca="1" si="161"/>
        <v>18</v>
      </c>
      <c r="HO23" s="216" t="e">
        <f ca="1">IF(AND($CP23&gt;=0, $CP23&lt;=90), Control!$C$152, Control!$C$152)</f>
        <v>#N/A</v>
      </c>
      <c r="HP23" s="216" t="e">
        <f t="shared" ca="1" si="48"/>
        <v>#N/A</v>
      </c>
      <c r="HQ23" s="217" t="e">
        <f ca="1">IF(OR(Control!$B$26=1,Control!$B$26=2),$KV23,$KS23)</f>
        <v>#DIV/0!</v>
      </c>
      <c r="HR23" s="218" t="e">
        <f t="shared" ca="1" si="223"/>
        <v>#DIV/0!</v>
      </c>
      <c r="HS23" s="216" t="e">
        <f ca="1">Control!$C$154*$HP23</f>
        <v>#N/A</v>
      </c>
      <c r="HT23" s="216" t="e">
        <f ca="1">Control!$C$155*$HP23</f>
        <v>#N/A</v>
      </c>
      <c r="HU23" s="217" t="e">
        <f ca="1">Control!$C$161*$FI23</f>
        <v>#N/A</v>
      </c>
      <c r="HV23" s="218" t="e">
        <f t="shared" ca="1" si="162"/>
        <v>#N/A</v>
      </c>
      <c r="HW23" s="218" t="e">
        <f ca="1">Control!$C$160*$FF23+$IP23*$EO23</f>
        <v>#N/A</v>
      </c>
      <c r="HX23" s="218" t="e">
        <f t="shared" ca="1" si="203"/>
        <v>#N/A</v>
      </c>
      <c r="HY23" s="219" t="e">
        <f ca="1">IF(Control!$C$114=1, $EB23*$FS23, 0)</f>
        <v>#N/A</v>
      </c>
      <c r="HZ23" s="91" t="e">
        <f t="shared" ca="1" si="49"/>
        <v>#N/A</v>
      </c>
      <c r="IA23" s="220" t="e">
        <f ca="1">Control!$C$153*$HO23</f>
        <v>#N/A</v>
      </c>
      <c r="IB23" s="218" t="e">
        <f t="shared" ca="1" si="50"/>
        <v>#N/A</v>
      </c>
      <c r="IC23" s="220" t="e">
        <f ca="1">Control!$C$153*$HT23</f>
        <v>#N/A</v>
      </c>
      <c r="ID23" s="218" t="e">
        <f t="shared" ca="1" si="51"/>
        <v>#N/A</v>
      </c>
      <c r="IE23" s="221" t="e">
        <f ca="1">($EB23*Control!$C$159+$EF23*Control!$C$160)/(IF($GZ23&lt;&gt;0,$GZ23,1))</f>
        <v>#N/A</v>
      </c>
      <c r="IF23" s="216" t="e">
        <f t="shared" ca="1" si="52"/>
        <v>#N/A</v>
      </c>
      <c r="IG23" s="91">
        <f ca="1">IF(OR(Control!$B$198=$AH23,Control!$B$199=$AH23, Control!$B$200=$AH23, Control!$B$201=$AH23, Control!$B$202=$AH23, Control!$B$203=$AH23, Control!$B$204=$AH23, Control!$B$205=$AH23, Control!$B$206=$AH23, Control!$B$207=$AH23), 1, 0)</f>
        <v>0</v>
      </c>
      <c r="IH23" s="91">
        <f ca="1">IF($IG23=0,0, VLOOKUP($AH23,Control!$B$198:$C$207,2))</f>
        <v>0</v>
      </c>
      <c r="II23" s="222">
        <f t="shared" ca="1" si="163"/>
        <v>0</v>
      </c>
      <c r="IJ23" s="91">
        <f>Control!$C$121</f>
        <v>0.7</v>
      </c>
      <c r="IK23" s="218">
        <f t="shared" ca="1" si="53"/>
        <v>0</v>
      </c>
      <c r="IL23" s="217" t="e">
        <f t="shared" ca="1" si="204"/>
        <v>#N/A</v>
      </c>
      <c r="IM23" s="223" t="e">
        <f ca="1">IF(AND(Control!$C$114=1,$KH23&lt;1),$EB23*Control!$C$148*(1-$KH23), 0)</f>
        <v>#N/A</v>
      </c>
      <c r="IN23" s="217" t="e">
        <f t="shared" ca="1" si="54"/>
        <v>#DIV/0!</v>
      </c>
      <c r="IO23" s="91" t="e">
        <f ca="1">MAX(0,$IL23-$EF23*Control!$C$160)</f>
        <v>#N/A</v>
      </c>
      <c r="IP23" s="220" t="e">
        <f t="shared" ca="1" si="55"/>
        <v>#N/A</v>
      </c>
      <c r="IQ23" s="217" t="e">
        <f t="shared" ca="1" si="164"/>
        <v>#N/A</v>
      </c>
      <c r="IR23" s="218" t="e">
        <f t="shared" ca="1" si="56"/>
        <v>#N/A</v>
      </c>
      <c r="IS23" s="217" t="e">
        <f ca="1">Control!$C$159*MAX(0,$FD23-$EN23)</f>
        <v>#N/A</v>
      </c>
      <c r="IT23" s="217" t="e">
        <f t="shared" ca="1" si="205"/>
        <v>#N/A</v>
      </c>
      <c r="IU23" s="217" t="e">
        <f t="shared" ca="1" si="165"/>
        <v>#N/A</v>
      </c>
      <c r="IV23" s="217" t="e">
        <f t="shared" ca="1" si="206"/>
        <v>#N/A</v>
      </c>
      <c r="IW23" s="217" t="e">
        <f ca="1">IF(OR($AW23=1,AND($AW23=0, Control!$B$18=1,$EN23&lt;&gt;0)), $IQ23-$IU23, $IQ23)</f>
        <v>#N/A</v>
      </c>
      <c r="IX23" s="218" t="e">
        <f t="shared" ca="1" si="57"/>
        <v>#N/A</v>
      </c>
      <c r="IY23" s="218" t="e">
        <f ca="1">MAX(0,$IQ23-$EB23*Control!$C$159)</f>
        <v>#N/A</v>
      </c>
      <c r="IZ23" s="218" t="e">
        <f t="shared" ca="1" si="58"/>
        <v>#N/A</v>
      </c>
      <c r="JA23" s="216" t="e">
        <f t="shared" ca="1" si="59"/>
        <v>#N/A</v>
      </c>
      <c r="JB23" s="217" t="e">
        <f t="shared" ca="1" si="60"/>
        <v>#N/A</v>
      </c>
      <c r="JC23" s="222" t="e">
        <f ca="1">MAX(Control!$C$157*$EK23-$JT23, 0)/Control!$C$162</f>
        <v>#N/A</v>
      </c>
      <c r="JD23" s="218" t="e">
        <f t="shared" ca="1" si="61"/>
        <v>#N/A</v>
      </c>
      <c r="JE23" s="218" t="e">
        <f t="shared" ca="1" si="62"/>
        <v>#N/A</v>
      </c>
      <c r="JF23" s="218" t="e">
        <f t="shared" ca="1" si="207"/>
        <v>#N/A</v>
      </c>
      <c r="JG23" s="218" t="e">
        <f t="shared" ca="1" si="63"/>
        <v>#N/A</v>
      </c>
      <c r="JH23" s="217" t="e">
        <f t="shared" ca="1" si="166"/>
        <v>#N/A</v>
      </c>
      <c r="JI23" s="217" t="e">
        <f t="shared" ca="1" si="167"/>
        <v>#N/A</v>
      </c>
      <c r="JJ23" s="217" t="e">
        <f t="shared" ca="1" si="224"/>
        <v>#N/A</v>
      </c>
      <c r="JK23" s="217" t="e">
        <f ca="1">IF(Control!$C$114=1,IF(Control!$B$24=0,MAX(0,$JI23)*$GN23/Control!$C$64,(MAX(0,MIN($JI23,$JJ23*$GN23/Control!$C$64),0))))</f>
        <v>#N/A</v>
      </c>
      <c r="JL23" s="217" t="e">
        <f ca="1">$IK23/Control!$C$64-$JK23+$HQ23</f>
        <v>#N/A</v>
      </c>
      <c r="JM23" s="217" t="e">
        <f ca="1">IF(Control!$C$114=1,($JB23/(IF($JI23&lt;&gt;0,$JI23,1)))*$JK23,0)</f>
        <v>#N/A</v>
      </c>
      <c r="JN23" s="217" t="e">
        <f ca="1">IF(Control!$C$114=1,($JG23/(IF($JI23&lt;&gt;0,$JI23,1)))*$JK23, 0)</f>
        <v>#N/A</v>
      </c>
      <c r="JO23" s="218" t="e">
        <f t="shared" ca="1" si="64"/>
        <v>#N/A</v>
      </c>
      <c r="JP23" s="218" t="e">
        <f ca="1">MIN(($IY23+$IO23)*Control!$C$151, $JF23-$EH23*Control!$C$161)</f>
        <v>#N/A</v>
      </c>
      <c r="JQ23" s="218" t="e">
        <f t="shared" ca="1" si="65"/>
        <v>#N/A</v>
      </c>
      <c r="JR23" s="217" t="e">
        <f ca="1">IF($CP23-Control!$C$150&lt;0, 0, $JQ23/Control!$C$162)</f>
        <v>#N/A</v>
      </c>
      <c r="JS23" s="218" t="e">
        <f t="shared" ca="1" si="66"/>
        <v>#N/A</v>
      </c>
      <c r="JT23" s="218" t="e">
        <f t="shared" ca="1" si="168"/>
        <v>#N/A</v>
      </c>
      <c r="JU23" s="218" t="e">
        <f t="shared" ca="1" si="67"/>
        <v>#N/A</v>
      </c>
      <c r="JV23" s="218" t="e">
        <f t="shared" ca="1" si="68"/>
        <v>#N/A</v>
      </c>
      <c r="JW23" s="216" t="e">
        <f t="shared" ca="1" si="69"/>
        <v>#N/A</v>
      </c>
      <c r="JX23" s="91" t="e">
        <f t="shared" ca="1" si="70"/>
        <v>#N/A</v>
      </c>
      <c r="JY23" s="218" t="e">
        <f t="shared" ca="1" si="71"/>
        <v>#N/A</v>
      </c>
      <c r="JZ23" s="217" t="e">
        <f ca="1">IF(Control!$C$114=1,($IZ23/(IF($JI23&lt;&gt;0,$JI23,1)))*$JK23, 0)</f>
        <v>#N/A</v>
      </c>
      <c r="KA23" s="218" t="e">
        <f t="shared" ca="1" si="225"/>
        <v>#N/A</v>
      </c>
      <c r="KB23" s="218" t="e">
        <f t="shared" ca="1" si="169"/>
        <v>#N/A</v>
      </c>
      <c r="KC23" s="218" t="e">
        <f t="shared" ca="1" si="72"/>
        <v>#N/A</v>
      </c>
      <c r="KD23" s="218" t="e">
        <f t="shared" ca="1" si="73"/>
        <v>#N/A</v>
      </c>
      <c r="KE23" s="218" t="e">
        <f t="shared" ca="1" si="74"/>
        <v>#N/A</v>
      </c>
      <c r="KF23" s="218" t="e">
        <f t="shared" ca="1" si="75"/>
        <v>#N/A</v>
      </c>
      <c r="KG23" s="216" t="e">
        <f t="shared" ca="1" si="76"/>
        <v>#N/A</v>
      </c>
      <c r="KH23" s="221" t="e">
        <f ca="1">IF(Control!$B$24=0,1,MAX(0.001,MIN(1,IF(($IF23-$IE23)&lt;&gt;0,($KG23-$IE23)/($IF23-$IE23),1))))</f>
        <v>#N/A</v>
      </c>
      <c r="KI23" s="222" t="e">
        <f ca="1">IF(Control!$C$114=1, $KI22+ $KH22, 0)</f>
        <v>#N/A</v>
      </c>
      <c r="KJ23" s="217" t="e">
        <f t="shared" ca="1" si="77"/>
        <v>#N/A</v>
      </c>
      <c r="KK23" s="218" t="e">
        <f t="shared" ca="1" si="78"/>
        <v>#N/A</v>
      </c>
      <c r="KL23" s="274" t="e">
        <f ca="1">IF(Control!$B$26=3,4000000000*EXP(-8400/($G23+273)),IF(Control!$B$26=4,4000000000*EXP(-8400/($G23+273))*($KT23),0))</f>
        <v>#DIV/0!</v>
      </c>
      <c r="KM23" s="274" t="e">
        <f ca="1">IF(Control!$B$26=3,5600000000000*EXP(-9800/($G23+273)),IF(Control!$B$26=4,5600000000000*EXP(-9800/($G23+273))*$KT23,0))</f>
        <v>#DIV/0!</v>
      </c>
      <c r="KN23" s="454" t="e">
        <f t="shared" ca="1" si="170"/>
        <v>#DIV/0!</v>
      </c>
      <c r="KO23" s="274" t="e">
        <f t="shared" ca="1" si="171"/>
        <v>#DIV/0!</v>
      </c>
      <c r="KP23" s="454" t="e">
        <f t="shared" ca="1" si="79"/>
        <v>#DIV/0!</v>
      </c>
      <c r="KQ23" s="454" t="e">
        <f t="shared" ca="1" si="80"/>
        <v>#DIV/0!</v>
      </c>
      <c r="KR23" s="454" t="e">
        <f t="shared" ca="1" si="81"/>
        <v>#DIV/0!</v>
      </c>
      <c r="KS23" s="454" t="e">
        <f t="shared" ca="1" si="82"/>
        <v>#DIV/0!</v>
      </c>
      <c r="KT23" s="455" t="e">
        <f t="shared" ca="1" si="83"/>
        <v>#DIV/0!</v>
      </c>
      <c r="KU23" s="456" t="e">
        <f ca="1">IF($CP23-Control!$C$149&lt;0, IF($NT23-0.01&lt;0,0,1),0)</f>
        <v>#N/A</v>
      </c>
      <c r="KV23" s="456" t="e">
        <f ca="1">IF(Control!$C$114=1,MAX(0,MIN(Control!$C$125*$KW23*$GN23,$KW23)))</f>
        <v>#DIV/0!</v>
      </c>
      <c r="KW23" s="456" t="e">
        <f t="shared" ca="1" si="208"/>
        <v>#DIV/0!</v>
      </c>
      <c r="KX23" s="457" t="e">
        <f ca="1">IF($CP23-Control!$C$149&lt;0, IF($MR23-$OM23&lt;0,0,1),0)</f>
        <v>#N/A</v>
      </c>
      <c r="KY23" s="167">
        <f t="shared" ca="1" si="172"/>
        <v>18</v>
      </c>
      <c r="KZ23" s="168">
        <f ca="1">1370*(1+0.033*COS(2*Control!$C$138*$AH23/365))</f>
        <v>1413.0569802101061</v>
      </c>
      <c r="LA23" s="169">
        <f t="shared" ca="1" si="173"/>
        <v>1.031428459999103</v>
      </c>
      <c r="LB23" s="169">
        <f t="shared" ca="1" si="174"/>
        <v>-0.36074855379216958</v>
      </c>
      <c r="LC23" s="169">
        <f ca="1">ACOS(-TAN((2*Control!$B$8/360))*TAN(Calculations!$LB23))</f>
        <v>1.458437895985996</v>
      </c>
      <c r="LD23" s="169">
        <f ca="1">((24*60)/PI())*0.082*$LA23*(($LC23*SIN(Control!$B$8*2*PI()/360))*SIN($LB23)+COS(Control!$B$8*2*PI()/360)*COS($LB23)*SIN($LC23))</f>
        <v>6.4640410061448534</v>
      </c>
      <c r="LE23" s="170">
        <f t="shared" ca="1" si="84"/>
        <v>7.879629652593227</v>
      </c>
      <c r="LF23" s="170">
        <f ca="1">SIN(Control!$C$139*Control!$B$8)*SIN($HD23)</f>
        <v>-0.27786184755908266</v>
      </c>
      <c r="LG23" s="170">
        <f ca="1">COS(Control!$C$139*Control!$B$8)*COS($HD23)</f>
        <v>0.57611593304103859</v>
      </c>
      <c r="LH23" s="170">
        <f ca="1">12*(1+2*ASIN(MAX(-1,MIN(1,$LF23/$LG23))/Control!$C$138))</f>
        <v>8.3008641111301298</v>
      </c>
      <c r="LI23" s="170">
        <f ca="1">12*(1+2*ASIN(MAX(-1,MIN(1,(-SIN(-4*Control!$C$139)+$LF23)/$LG23))/Control!$C$138))</f>
        <v>9.2343640045272171</v>
      </c>
      <c r="LJ23" s="168">
        <f ca="1">3600*($LH23*$LF23+24*$LG23*SQRT(1-$LK23*$LK23)/Control!$C$138)</f>
        <v>5576.3000097997556</v>
      </c>
      <c r="LK23" s="170">
        <f t="shared" ca="1" si="85"/>
        <v>-0.48230196671073439</v>
      </c>
      <c r="LL23" s="170">
        <f t="shared" ca="1" si="86"/>
        <v>0</v>
      </c>
      <c r="LM23" s="171">
        <f ca="1">Control!$C$145*$AB23</f>
        <v>6.6660906138995932E-2</v>
      </c>
      <c r="LN23" s="170">
        <f t="shared" ca="1" si="175"/>
        <v>0.54</v>
      </c>
      <c r="LO23" s="170">
        <f t="shared" ca="1" si="87"/>
        <v>0</v>
      </c>
      <c r="LP23" s="170">
        <f ca="1">Control!$C$140*((($D23+273.16)^4+($E23+273.16)^4)/2)*(0.34-0.14*SQRT($Y23))*(1.35*$AQ23/(0.75*$LD23)-0.35)</f>
        <v>-3.2464704755046001</v>
      </c>
      <c r="LQ23" s="170">
        <f ca="1">Control!$C$140*($G23+273)^4*(0.56-0.079*SQRT($Y23*10))*(0.1+0.9*$LO23)</f>
        <v>1.5241745131704001</v>
      </c>
      <c r="LR23" s="170">
        <f ca="1">$AQ23*(1-Control!$C$142)-$LQ23</f>
        <v>-1.5241745131704001</v>
      </c>
      <c r="LS23" s="170">
        <f ca="1">$AQ23*(1-Control!$C$143)-$LQ23</f>
        <v>-1.5241745131704001</v>
      </c>
      <c r="LT23" s="170">
        <f ca="1">$AQ23*(1-Control!$C$144)-$LQ23</f>
        <v>-1.5241745131704001</v>
      </c>
      <c r="LU23" s="169">
        <f ca="1">(1-Control!$C$144)*AQ23-LP23</f>
        <v>3.2464704755046001</v>
      </c>
      <c r="LV23" s="172">
        <f t="shared" ca="1" si="88"/>
        <v>0.79430000000000012</v>
      </c>
      <c r="LW23" s="170">
        <f t="shared" ca="1" si="89"/>
        <v>1.5886000000000002</v>
      </c>
      <c r="LX23" s="170">
        <f ca="1">($AC23*($LR23/Control!$C$141)+$LM23*$LV23)/($AC23+$LM23)</f>
        <v>0.23530094218323697</v>
      </c>
      <c r="LY23" s="170">
        <f ca="1">($AC23*($LS23/Control!$C$141)+$LM23*$LV23)/($AC23+$LM23)</f>
        <v>0.23530094218323697</v>
      </c>
      <c r="LZ23" s="170">
        <f t="shared" ca="1" si="90"/>
        <v>0.23530094218323697</v>
      </c>
      <c r="MA23" s="170">
        <f t="shared" ca="1" si="91"/>
        <v>0.23530094218323697</v>
      </c>
      <c r="MB23" s="170" t="e">
        <f t="shared" ca="1" si="92"/>
        <v>#N/A</v>
      </c>
      <c r="MC23" s="170">
        <f t="shared" ca="1" si="176"/>
        <v>0.6018</v>
      </c>
      <c r="MD23" s="170">
        <f t="shared" ca="1" si="93"/>
        <v>0.52989392535414004</v>
      </c>
      <c r="ME23" s="170">
        <f ca="1">($AC23*($LT23/Control!$C$141)+$LM23*$LW23)/($AC23+$LM23)</f>
        <v>0.71612369323045078</v>
      </c>
      <c r="MF23" s="170" t="e">
        <f ca="1">IF(Control!$B$16&gt;=1000,0.92,IF(AND(720&lt;=Control!$B$16,1000&gt;Control!$B$16),(0.95+(Control!$B$16-720)*((0.92-0.95)/(1000-720))),IF(AND(360&lt;=Control!$B$16,720&gt;Control!$B$16),(1+(Control!$B$16-360)*((0.95-1)/(720-360))),IF(AND(40&lt;=Control!$B$16,360&gt;Control!$B$16),(1.05+(Control!$B$16-40)*((1.05-1)/(360-40)))))))</f>
        <v>#N/A</v>
      </c>
      <c r="MG23" s="170">
        <f t="shared" ca="1" si="94"/>
        <v>0.71612369323045078</v>
      </c>
      <c r="MH23" s="170" t="e">
        <f t="shared" ca="1" si="95"/>
        <v>#N/A</v>
      </c>
      <c r="MI23" s="170" t="e">
        <f t="shared" ca="1" si="95"/>
        <v>#N/A</v>
      </c>
      <c r="MJ23" s="170" t="e">
        <f ca="1">MAX(0.0001, Control!$C$132*$MI23*$DL23)</f>
        <v>#N/A</v>
      </c>
      <c r="MK23" s="170">
        <f ca="1">1/(0.76+1.5*($MG23/10))-(5-Control!$C$110)*0.1</f>
        <v>1.002845988140797</v>
      </c>
      <c r="ML23" s="173">
        <f ca="1">IF(Control!$C$110&lt;3,$MK23+($MG23-0.6)/(Control!$C$110*(Control!$C$110+3)), MAX(0.1, MIN(0.95,$MK23)))</f>
        <v>0.95</v>
      </c>
      <c r="MM23" s="173">
        <f ca="1">IF(Control!$C$110&lt;3,$MK23+(($MI23/10)-0.6)/(Control!$C$110*(Control!$C$110+3)), MAX(0.1, MIN(0.95,$MK23)))</f>
        <v>0.95</v>
      </c>
      <c r="MN23" s="173">
        <f ca="1">(1-$MM23)*(Control!$C$128-Control!$C$127)+Control!$C$127</f>
        <v>0.16</v>
      </c>
      <c r="MO23" s="170" t="e">
        <f ca="1">MAX(0,MIN(1,($MS23-Control!$C$127)/($MN23-Control!$C$127)))</f>
        <v>#DIV/0!</v>
      </c>
      <c r="MP23" s="173" t="e">
        <f ca="1">1/(0.76+1.5*$MI23)-(5-Control!$C$110)*0.1</f>
        <v>#N/A</v>
      </c>
      <c r="MQ23" s="172" t="e">
        <f t="shared" ca="1" si="209"/>
        <v>#DIV/0!</v>
      </c>
      <c r="MR23" s="168" t="e">
        <f t="shared" ca="1" si="226"/>
        <v>#DIV/0!</v>
      </c>
      <c r="MS23" s="173" t="e">
        <f ca="1">MAX(Control!$C$127, MIN(Control!$C$135, $MR23/MAX(0.0001,$CY23)))</f>
        <v>#DIV/0!</v>
      </c>
      <c r="MT23" s="168" t="e">
        <f ca="1">(Control!$C$128-$MS23)*Control!$C$74</f>
        <v>#DIV/0!</v>
      </c>
      <c r="MU23" s="168" t="e">
        <f ca="1">(Control!$C$135-$MS23)*Control!$C$74</f>
        <v>#DIV/0!</v>
      </c>
      <c r="MV23" s="168" t="e">
        <f t="shared" ca="1" si="210"/>
        <v>#DIV/0!</v>
      </c>
      <c r="MW23" s="168" t="e">
        <f t="shared" ca="1" si="177"/>
        <v>#DIV/0!</v>
      </c>
      <c r="MX23" s="171" t="e">
        <f ca="1">MAX(Control!$C$127, MIN(Control!$C$135, $MW23/MAX(0.0001,Control!$C$119-$CY23)))</f>
        <v>#DIV/0!</v>
      </c>
      <c r="MY23" s="54" t="e">
        <f ca="1">IF(Control!$C$114=1, $CX23*$MX23, 0)</f>
        <v>#DIV/0!</v>
      </c>
      <c r="MZ23" s="54" t="e">
        <f t="shared" ca="1" si="178"/>
        <v>#N/A</v>
      </c>
      <c r="NA23" s="168" t="e">
        <f ca="1">(Control!$C$128-$MX23)*(Control!$C$119-Control!$C$74)</f>
        <v>#DIV/0!</v>
      </c>
      <c r="NB23" s="168" t="e">
        <f ca="1">(Control!$C$135-$MX23)*(Control!$C$119-Control!$C$74)</f>
        <v>#DIV/0!</v>
      </c>
      <c r="NC23" s="174" t="e">
        <f t="shared" ca="1" si="179"/>
        <v>#DIV/0!</v>
      </c>
      <c r="ND23" s="54">
        <f ca="1">IF(Control!$C$58=2, IF(OR(Control!$B$218=$AH23,Control!$B$219=$AH23, Control!$B$220=$AH23, Control!$B$221=$AH23, Control!$B$222=$AH23, Control!$B$223=$AH23, Control!$B$224=$AH23, Control!$B$225=$AH23, Control!$B$226=$AH23, Control!$B$227=$AH23, Control!$B$228=$AH23), 1, 0), 0)</f>
        <v>0</v>
      </c>
      <c r="NE23" s="54">
        <f ca="1">IF($ND23=0,0, VLOOKUP($AH23,Control!$B$218:$C$228,2))</f>
        <v>0</v>
      </c>
      <c r="NF23" s="168" t="e">
        <f ca="1">$CY23*(Control!$C$128-Control!$C$127)</f>
        <v>#N/A</v>
      </c>
      <c r="NG23" s="54" t="e">
        <f ca="1">IF(Control!$C$58=2, $NI22-$NJ22, 0)</f>
        <v>#DIV/0!</v>
      </c>
      <c r="NH23" s="54" t="e">
        <f ca="1">IF(AND(Control!$C$58=1, $MS22&lt;= ($MN22+0.02), $I22&lt;10), 0, IF(Control!$C$58=2, $NG22, 0))</f>
        <v>#DIV/0!</v>
      </c>
      <c r="NI23" s="54" t="e">
        <f ca="1">IF(Control!$C$58=2, $NE23+$NH23,0)</f>
        <v>#DIV/0!</v>
      </c>
      <c r="NJ23" s="54" t="e">
        <f ca="1">IF(AND(Control!$C$58=1, $MS23&lt;= ($MN23+0.02), $I23&lt;10), MAX(0, MIN(10, 0.7*($NF23-$MV23))), IF(Control!$C$58=2, MIN(10,$NI23),0))</f>
        <v>#DIV/0!</v>
      </c>
      <c r="NK23" s="54" t="e">
        <f t="shared" ca="1" si="96"/>
        <v>#DIV/0!</v>
      </c>
      <c r="NL23" s="173" t="e">
        <f ca="1">(1-Control!$C$73)*$I23+$NJ23</f>
        <v>#DIV/0!</v>
      </c>
      <c r="NM23" s="172" t="e">
        <f ca="1">IF($NL23&lt;0.5, $MB23* MAX(0, MIN(1, (SQRT($NC23)-SQRT($NC23-1))*Control!$C$71)),0)</f>
        <v>#DIV/0!</v>
      </c>
      <c r="NN23" s="170" t="e">
        <f ca="1">IF($NL23&gt;=5, $MB23, MAX(0,MIN($MB23, $NM23+$NL23,($MS23-Control!$C$129))))</f>
        <v>#DIV/0!</v>
      </c>
      <c r="NO23" s="54">
        <f>IF(Control!$C$133&lt;&gt;1, Control!$C$135-Control!$C$131, 0)</f>
        <v>0.38</v>
      </c>
      <c r="NP23" s="54" t="e">
        <f t="shared" ca="1" si="97"/>
        <v>#DIV/0!</v>
      </c>
      <c r="NQ23" s="173" t="e">
        <f ca="1">MAX(0,MIN(1,(Control!$C$135-$MS23)/(Control!$C$135-$NO23)))</f>
        <v>#DIV/0!</v>
      </c>
      <c r="NR23" s="170" t="e">
        <f ca="1">IF(Control!$C$133&lt;&gt;1, $NQ23+((1-$NP23/4)*(1-$NQ23)),1)</f>
        <v>#DIV/0!</v>
      </c>
      <c r="NS23" s="170" t="e">
        <f ca="1">IF(Control!$B$31=0,$MJ23,MAX(0,MIN($MV23,$MO23*$NR23*$MJ23)))</f>
        <v>#DIV/0!</v>
      </c>
      <c r="NT23" s="170" t="e">
        <f t="shared" ca="1" si="227"/>
        <v>#DIV/0!</v>
      </c>
      <c r="NU23" s="170" t="e">
        <f t="shared" ca="1" si="180"/>
        <v>#N/A</v>
      </c>
      <c r="NV23" s="170" t="e">
        <f t="shared" ca="1" si="98"/>
        <v>#N/A</v>
      </c>
      <c r="NW23" s="175" t="e">
        <f t="shared" ca="1" si="99"/>
        <v>#DIV/0!</v>
      </c>
      <c r="NX23" s="170" t="e">
        <f ca="1">MIN(Control!$C$72+$MU23, $NW23)</f>
        <v>#DIV/0!</v>
      </c>
      <c r="NY23" s="170" t="e">
        <f ca="1">IF($MT23&lt;=$NX23,MIN(Control!$C$72+$NB23,$NX23-$MT23),0)</f>
        <v>#DIV/0!</v>
      </c>
      <c r="NZ23" s="54" t="e">
        <f ca="1">IF(Control!$C$114=1,  $CX23*($MX23-Control!$C$127), 0)</f>
        <v>#DIV/0!</v>
      </c>
      <c r="OA23" s="170" t="e">
        <f t="shared" ca="1" si="181"/>
        <v>#DIV/0!</v>
      </c>
      <c r="OB23" s="170" t="e">
        <f ca="1">IF($NA23 &lt;=$NY23, MIN(Control!$C$72, $NY23-$NA23), 0)</f>
        <v>#DIV/0!</v>
      </c>
      <c r="OC23" s="168" t="e">
        <f t="shared" ca="1" si="100"/>
        <v>#DIV/0!</v>
      </c>
      <c r="OD23" s="168" t="e">
        <f t="shared" ca="1" si="182"/>
        <v>#DIV/0!</v>
      </c>
      <c r="OE23" s="170">
        <f ca="1">Control!$C$73*$I23</f>
        <v>0</v>
      </c>
      <c r="OF23" s="176" t="e">
        <f t="shared" ca="1" si="101"/>
        <v>#DIV/0!</v>
      </c>
      <c r="OG23" s="168" t="e">
        <f t="shared" ca="1" si="102"/>
        <v>#DIV/0!</v>
      </c>
      <c r="OH23" s="168" t="e">
        <f t="shared" ca="1" si="103"/>
        <v>#DIV/0!</v>
      </c>
      <c r="OI23" s="168" t="e">
        <f t="shared" ca="1" si="104"/>
        <v>#DIV/0!</v>
      </c>
      <c r="OJ23" s="168" t="e">
        <f t="shared" ca="1" si="105"/>
        <v>#DIV/0!</v>
      </c>
      <c r="OK23" s="204" t="e">
        <f t="shared" ca="1" si="183"/>
        <v>#DIV/0!</v>
      </c>
      <c r="OL23" s="177">
        <f>Control!$C$127</f>
        <v>0.15</v>
      </c>
      <c r="OM23" s="182" t="e">
        <f t="shared" ca="1" si="106"/>
        <v>#N/A</v>
      </c>
      <c r="ON23" s="177">
        <f>Control!$C$128</f>
        <v>0.35</v>
      </c>
      <c r="OO23" s="182" t="e">
        <f t="shared" ca="1" si="107"/>
        <v>#N/A</v>
      </c>
      <c r="OP23" s="138">
        <f t="shared" ca="1" si="184"/>
        <v>0</v>
      </c>
      <c r="OQ23" s="138" t="e">
        <f t="shared" ca="1" si="211"/>
        <v>#DIV/0!</v>
      </c>
      <c r="OR23" s="138" t="e">
        <f t="shared" ca="1" si="185"/>
        <v>#DIV/0!</v>
      </c>
      <c r="OS23" s="137" t="e">
        <f t="shared" ca="1" si="212"/>
        <v>#DIV/0!</v>
      </c>
      <c r="OT23" s="139" t="e">
        <f t="shared" ca="1" si="213"/>
        <v>#DIV/0!</v>
      </c>
      <c r="OU23" s="138" t="e">
        <f t="shared" ca="1" si="214"/>
        <v>#N/A</v>
      </c>
      <c r="OV23" s="138" t="e">
        <f t="shared" ca="1" si="215"/>
        <v>#DIV/0!</v>
      </c>
      <c r="OW23" s="138" t="e">
        <f t="shared" ca="1" si="186"/>
        <v>#DIV/0!</v>
      </c>
      <c r="OX23" s="138" t="e">
        <f t="shared" ca="1" si="187"/>
        <v>#DIV/0!</v>
      </c>
      <c r="OY23" s="138" t="e">
        <f t="shared" ca="1" si="188"/>
        <v>#DIV/0!</v>
      </c>
      <c r="OZ23" s="138" t="e">
        <f t="shared" ca="1" si="108"/>
        <v>#DIV/0!</v>
      </c>
      <c r="PA23" s="138" t="e">
        <f t="shared" ca="1" si="109"/>
        <v>#DIV/0!</v>
      </c>
      <c r="PB23" s="55">
        <f>IF(Control!$C$61="T", IF(Control!$C$65="F", IF($AH$6-Control!$C$60&lt;0,0,1), IF(365+$AH$6-Control!$C$60&lt;0,0,1)),0)</f>
        <v>0</v>
      </c>
      <c r="PC23" s="55">
        <f ca="1">IF(Control!$C$65="F", IF($AH$6-$HF23&lt;0,0,1), IF(365+$AH$6-$HF23&lt;0,0,1))</f>
        <v>1</v>
      </c>
      <c r="PD23" s="444">
        <f>Control!$C$118</f>
        <v>1500</v>
      </c>
      <c r="PE23" s="180" t="e">
        <f t="shared" ca="1" si="110"/>
        <v>#N/A</v>
      </c>
      <c r="PF23" s="445">
        <f t="shared" ca="1" si="189"/>
        <v>0.71612369323045078</v>
      </c>
      <c r="PT23" s="186"/>
      <c r="PU23" s="186"/>
      <c r="PV23" s="94"/>
      <c r="PW23" s="94"/>
      <c r="PX23" s="94"/>
      <c r="PY23" s="94"/>
      <c r="PZ23" s="94"/>
      <c r="QA23" s="94"/>
      <c r="QB23" s="94"/>
      <c r="QC23" s="94"/>
      <c r="QD23" s="94"/>
      <c r="QE23" s="94"/>
      <c r="QF23" s="94"/>
      <c r="QG23" s="94"/>
      <c r="QH23" s="94"/>
      <c r="QI23" s="94"/>
      <c r="QJ23" s="94"/>
      <c r="QK23" s="94"/>
      <c r="QL23" s="94"/>
      <c r="QM23" s="94"/>
      <c r="QN23" s="94"/>
      <c r="QO23" s="94"/>
      <c r="QP23" s="94"/>
    </row>
    <row r="24" spans="1:458" s="2" customFormat="1" x14ac:dyDescent="0.2">
      <c r="A24" s="386">
        <v>19</v>
      </c>
      <c r="B24" s="387">
        <v>1</v>
      </c>
      <c r="C24" s="387">
        <f ca="1">Weather_data!$B23</f>
        <v>0</v>
      </c>
      <c r="D24" s="388">
        <f ca="1">Weather_data!$F23</f>
        <v>0</v>
      </c>
      <c r="E24" s="388">
        <f ca="1">Weather_data!$E23</f>
        <v>0</v>
      </c>
      <c r="F24" s="388">
        <f t="shared" ca="1" si="111"/>
        <v>0</v>
      </c>
      <c r="G24" s="388">
        <f ca="1">AVERAGE($D24:$E24)+Control!$B$9</f>
        <v>0</v>
      </c>
      <c r="H24" s="388">
        <f ca="1">Weather_data!$G23</f>
        <v>0</v>
      </c>
      <c r="I24" s="388">
        <f ca="1">Weather_data!$I23</f>
        <v>0</v>
      </c>
      <c r="J24" s="388">
        <f ca="1">Weather_data!$H23</f>
        <v>0</v>
      </c>
      <c r="K24" s="389">
        <f ca="1">Weather_data!$D23</f>
        <v>0</v>
      </c>
      <c r="L24" s="388" t="e">
        <f t="shared" ca="1" si="112"/>
        <v>#N/A</v>
      </c>
      <c r="M24" s="388" t="e">
        <f t="shared" ca="1" si="0"/>
        <v>#N/A</v>
      </c>
      <c r="N24" s="388">
        <f t="shared" ca="1" si="1"/>
        <v>-7.5047317648499534E-2</v>
      </c>
      <c r="O24" s="388">
        <f t="shared" ca="1" si="113"/>
        <v>0.75047317648499534</v>
      </c>
      <c r="P24" s="390">
        <v>3</v>
      </c>
      <c r="Q24" s="388">
        <f ca="1">MAX($G24-Control!$C$107,0)</f>
        <v>0</v>
      </c>
      <c r="R24" s="388">
        <f t="shared" ca="1" si="114"/>
        <v>0</v>
      </c>
      <c r="S24" s="388">
        <f t="shared" ca="1" si="2"/>
        <v>0</v>
      </c>
      <c r="T24" s="388">
        <f t="shared" ca="1" si="3"/>
        <v>0</v>
      </c>
      <c r="U24" s="59">
        <f t="shared" ca="1" si="4"/>
        <v>0</v>
      </c>
      <c r="V24" s="391">
        <f ca="1">MAX(0,MIN(Control!$C$100-Control!$C$99,$G24-Control!$C$99)*Control!$C$63)</f>
        <v>0</v>
      </c>
      <c r="W24" s="388">
        <f t="shared" ca="1" si="190"/>
        <v>0</v>
      </c>
      <c r="X24" s="388">
        <f t="shared" ca="1" si="115"/>
        <v>0.6110000000000001</v>
      </c>
      <c r="Y24" s="388">
        <f t="shared" ca="1" si="116"/>
        <v>0</v>
      </c>
      <c r="Z24" s="388">
        <f t="shared" ca="1" si="117"/>
        <v>0.61058800000000002</v>
      </c>
      <c r="AA24" s="388">
        <f t="shared" ca="1" si="5"/>
        <v>0.6018</v>
      </c>
      <c r="AB24" s="388">
        <f ca="1">101.3*EXP(-0.034*Control!$C$66/($G24+273))</f>
        <v>100.69623283836242</v>
      </c>
      <c r="AC24" s="392">
        <f t="shared" ca="1" si="6"/>
        <v>4.3460251046025113E-2</v>
      </c>
      <c r="AD24" s="392">
        <f t="shared" ca="1" si="7"/>
        <v>4.4450382862832649E-2</v>
      </c>
      <c r="AE24" s="388">
        <f t="shared" ca="1" si="8"/>
        <v>0</v>
      </c>
      <c r="AF24" s="388">
        <f ca="1">MAX(0,$G24-Control!$C$92)</f>
        <v>0</v>
      </c>
      <c r="AG24" s="393">
        <f t="shared" ca="1" si="118"/>
        <v>19</v>
      </c>
      <c r="AH24" s="389">
        <f t="shared" ca="1" si="9"/>
        <v>19</v>
      </c>
      <c r="AI24" s="388">
        <f t="shared" ca="1" si="119"/>
        <v>-0.35691312451001411</v>
      </c>
      <c r="AJ24" s="388">
        <f ca="1">IF(Control!$C$60&lt;=0,$HH24,$HI24)</f>
        <v>1</v>
      </c>
      <c r="AK24" s="388">
        <f t="shared" ca="1" si="10"/>
        <v>-1.0500665855834377</v>
      </c>
      <c r="AL24" s="388">
        <f t="shared" ca="1" si="11"/>
        <v>7.2140730889014299E-19</v>
      </c>
      <c r="AM24" s="388">
        <f t="shared" ca="1" si="12"/>
        <v>-1.0500665855834377</v>
      </c>
      <c r="AN24" s="388">
        <f t="shared" ca="1" si="13"/>
        <v>-0.3523177737777618</v>
      </c>
      <c r="AO24" s="388">
        <f ca="1">-0.10453/COS(Control!$B$8*PI()/180)*COS(AN24)</f>
        <v>-0.15935590209219805</v>
      </c>
      <c r="AP24" s="388">
        <f ca="1">ACOS(AO24-TAN(Control!$B$8*PI()/180)*TAN(AN24))</f>
        <v>1.2543155772802179</v>
      </c>
      <c r="AQ24" s="388">
        <f t="shared" ca="1" si="120"/>
        <v>0</v>
      </c>
      <c r="AR24" s="394">
        <f t="shared" ca="1" si="14"/>
        <v>0</v>
      </c>
      <c r="AS24" s="436">
        <f ca="1">IF(Control!$B$18=2,(IF(OR($AH24=Control!$B$175,$AH24=Control!$B$176,$AH24=Control!$B$177,$AH24=Control!$B$178,$AH24=Control!$B$179,$AH24=Control!$B$180,$AH24=Control!$B$181,$AH24=Control!$B$182,$AH24=Control!$B$183,$AH24=Control!$B$184,$AH24=Control!$B$185),1,0)),0)</f>
        <v>0</v>
      </c>
      <c r="AT24" s="436">
        <f>IF(Control!$B$20=8,IF(AND($AH24&gt;=Control!$B$172,$AH24&lt;=Control!$B$173),1,0),0)</f>
        <v>0</v>
      </c>
      <c r="AU24" s="436">
        <f>IF(Control!$B$20=8,IF($AV23=1,1*$AT24,IF($AT24=1,$AU23+1,$AU23)),0)</f>
        <v>0</v>
      </c>
      <c r="AV24" s="436">
        <f>IF(Control!$B$20=8,IF($AU24&gt;=Control!$B$174,1,0),0)</f>
        <v>0</v>
      </c>
      <c r="AW24" s="436">
        <f ca="1">IF(AND(Control!$B$18=2,Control!$B$171=1), $AV24, $AS24)</f>
        <v>0</v>
      </c>
      <c r="AX24" s="436" t="e">
        <f ca="1">IF(AND(Control!$B$18=1,$EU24&gt;=Control!$B$19),-$AY24,IF(AND(Control!$B$18=2,$AW24=1,$EU24&gt;$DS24),-$AY24, IF(Control!$C$108=0,0, IF(Control!$C$108&lt;&gt;0,1))))</f>
        <v>#N/A</v>
      </c>
      <c r="AY24" s="436" t="e">
        <f t="shared" ca="1" si="121"/>
        <v>#N/A</v>
      </c>
      <c r="AZ24" s="436" t="e">
        <f ca="1">IF(AND(Control!$B$18=1,$EB24&gt;Control!$B$19),$AZ23+1, IF(AND(Control!$B$18=2, $AW24=1, $EB24&gt;$DS24), $AZ23+1,$AZ23))</f>
        <v>#N/A</v>
      </c>
      <c r="BA24" s="587">
        <f>IF(Control!$C$81=0,1,IF($AH24&gt;=Control!$C$82,1,0))</f>
        <v>1</v>
      </c>
      <c r="BB24" s="140" t="e">
        <f ca="1">IF($BA24&gt;$BA23,Control!$C$83,IF($AW24&gt;0,$AW24*Control!$C$84,IF(AND(Control!$B$18=1,EN23&lt;&gt;0),Control!$C$84,0)))</f>
        <v>#N/A</v>
      </c>
      <c r="BC24" s="140" t="e">
        <f t="shared" ca="1" si="122"/>
        <v>#N/A</v>
      </c>
      <c r="BD24" s="140" t="e">
        <f ca="1">BC24*IF(OR($G24&lt;Control!$C$92,$G24&gt;Control!$C$95),0,IF(AND($G24&gt;=Control!$C$92,$G24&lt;=Control!$C$93),$G24-Control!$C$92,IF(AND($G24&gt;Control!$C$93,$G24&lt;=Control!$C$94),Control!$C$93-Control!$C$92,IF(AND($G24&gt;Control!$C$94,$G24&lt;=Control!$C$95),(Control!$C$93-Control!$C$92)*(Control!$C$94-$G24)/(Control!$C$95-Control!$C$94)))))</f>
        <v>#N/A</v>
      </c>
      <c r="BE24" s="140" t="e">
        <f t="shared" ca="1" si="123"/>
        <v>#N/A</v>
      </c>
      <c r="BF24" s="140" t="e">
        <f ca="1">IF($BE24&lt;=Control!$C$86,$BE24,Control!$C$86-$BE24)</f>
        <v>#N/A</v>
      </c>
      <c r="BG24" s="140" t="e">
        <f ca="1">IF(AND($AW24=1,Control!$C$84&lt;9),1,IF($BE24&gt;=Control!$C$86,0,$BC24))</f>
        <v>#N/A</v>
      </c>
      <c r="BH24" s="404" t="e">
        <f ca="1">IF($BG24=0,0,IF($BE24&lt;=Control!$C$86,$BC24*9*($BF24/Control!$C$86),0))</f>
        <v>#N/A</v>
      </c>
      <c r="BI24" s="140" t="e">
        <f ca="1">IF($BG24=1,0,IF($BE24&gt;=Control!$C$86,1,IF(AND($BB24&lt;21,$BB24&gt;=9),1,$BM23)))</f>
        <v>#N/A</v>
      </c>
      <c r="BJ24" s="140" t="e">
        <f ca="1">IF($BF24&lt;0,-$BF24,$BI24*IF(OR($G24&lt;Control!$C$92,$G24&gt;Control!$C$95),0,IF(AND($G24&gt;=Control!$C$92,$G24&lt;=Control!$C$93),$G24-Control!$C$92,IF(AND($G24&gt;Control!$C$93,$G24&lt;=Control!$C$94),Control!$C$93-Control!$C$92,IF(AND($G24&gt;Control!$C$94,$G24&lt;=Control!$C$95),(Control!$C$93-Control!$C$92)*(Control!$C$94-$G24)/(Control!$C$95-Control!$C$94))))))</f>
        <v>#N/A</v>
      </c>
      <c r="BK24" s="140" t="e">
        <f t="shared" ca="1" si="124"/>
        <v>#N/A</v>
      </c>
      <c r="BL24" s="140" t="e">
        <f ca="1">IF($BK24&lt;=Control!$C$87,$BK24,Control!$C$87-$BK24)</f>
        <v>#N/A</v>
      </c>
      <c r="BM24" s="140" t="e">
        <f ca="1">IF(AND($BB24&gt;=9,$BB24&lt;21),1,IF($BK24&gt;=Control!$C$87,0,$BI24))</f>
        <v>#N/A</v>
      </c>
      <c r="BN24" s="404" t="e">
        <f ca="1">IF($BM24=0,0,IF($BK24&lt;=Control!$C$87,$BI24*(9+(21-9)*($BL24/Control!$C$87)),0))</f>
        <v>#N/A</v>
      </c>
      <c r="BO24" s="140" t="e">
        <f ca="1">IF($BM24=1,0,IF($BK24&gt;=Control!$C$87,1,IF(AND($BB24&lt;30,$BB24&gt;=21),1,$BS23)))</f>
        <v>#N/A</v>
      </c>
      <c r="BP24" s="140" t="e">
        <f ca="1">IF($BL24&lt;0,-$BL24,$BO24*IF(OR($G24&lt;Control!$C$92,$G24&gt;Control!$C$95),0,IF(AND($G24&gt;=Control!$C$92,$G24&lt;=Control!$C$93),$G24-Control!$C$92,IF(AND($G24&gt;Control!$C$93,$G24&lt;=Control!$C$94),Control!$C$93-Control!$C$92,IF(AND($G24&gt;Control!$C$94,$G24&lt;=Control!$C$95),(Control!$C$93-Control!$C$92)*(Control!$C$94-$G24)/(Control!$C$95-Control!$C$94))))))</f>
        <v>#N/A</v>
      </c>
      <c r="BQ24" s="140" t="e">
        <f t="shared" ca="1" si="15"/>
        <v>#N/A</v>
      </c>
      <c r="BR24" s="140" t="e">
        <f ca="1">IF($BQ24&lt;=Control!$C$88,$BQ24,Control!$C$88-$BQ24)</f>
        <v>#N/A</v>
      </c>
      <c r="BS24" s="140" t="e">
        <f ca="1">IF(AND($BB24&gt;=21,$BB24&lt;30),1,IF($BQ24&gt;=Control!$C$88,0,$BO24))</f>
        <v>#N/A</v>
      </c>
      <c r="BT24" s="404" t="e">
        <f ca="1">IF($BS24=0,0,IF($BQ24&lt;=Control!$C$88,$BO24*(21+(30-21)*(BR24/Control!$C$88)),0))</f>
        <v>#N/A</v>
      </c>
      <c r="BU24" s="140" t="e">
        <f ca="1">IF(BG24+BM24+BS24=1,0,IF(OR(AND($BB24&lt;60,$BB24&gt;=30),$BQ24&gt;=Control!$C$88),1*$BA24,$BY23))</f>
        <v>#N/A</v>
      </c>
      <c r="BV24" s="140" t="e">
        <f ca="1">IF($BR24&lt;0,-$BR24,$BU24*IF(OR($G24&lt;Control!$C$92,$G24&gt;Control!$C$95),0,IF(AND($G24&gt;=Control!$C$92,$G24&lt;=Control!$C$93),$G24-Control!$C$92,IF(AND($G24&gt;Control!$C$93,$G24&lt;=Control!$C$94),Control!$C$93-Control!$C$92,IF(AND($G24&gt;Control!$C$94,$G24&lt;=Control!$C$95),(Control!$C$93-Control!$C$92)*(Control!$C$94-$G24)/(Control!$C$95-Control!$C$94))))))</f>
        <v>#N/A</v>
      </c>
      <c r="BW24" s="140" t="e">
        <f t="shared" ca="1" si="16"/>
        <v>#N/A</v>
      </c>
      <c r="BX24" s="140" t="e">
        <f ca="1">IF($BW24&lt;=Control!$C$89,$BW24,Control!$C$89-$BW24)</f>
        <v>#N/A</v>
      </c>
      <c r="BY24" s="140" t="e">
        <f ca="1">IF(AND($AJ24&gt;=30,$AJ24&lt;60),1,IF($BW24&gt;=Control!$C$89,0,$BU24))</f>
        <v>#N/A</v>
      </c>
      <c r="BZ24" s="404" t="e">
        <f ca="1">IF($BY24=0,0,IF($BW24&lt;=Control!$C$89,$BU24*(30+(60-30)*(BX24/Control!$C$89)),0))</f>
        <v>#N/A</v>
      </c>
      <c r="CA24" s="140" t="e">
        <f ca="1">IF($BG24+$BM24+$BS24+$BY24=1,0,IF(OR(AND($BB24&lt;65,$BB24&gt;=60),$BW24&gt;=Control!$C$89),1*$BA24,$CE23))</f>
        <v>#N/A</v>
      </c>
      <c r="CB24" s="140" t="e">
        <f ca="1">IF($BX24&lt;0,-$BX24,$CA24*IF(OR($G24&lt;Control!$C$92,$G24&gt;Control!$C$95),0,IF(AND($G24&gt;=Control!$C$92,$G24&lt;=Control!$C$93),$G24-Control!$C$92,IF(AND($G24&gt;Control!$C$93,$G24&lt;=Control!$C$94),Control!$C$93-Control!$C$92,IF(AND($G24&gt;Control!$C$94,$G24&lt;=Control!$C$95),(Control!$C$93-Control!$C$92)*(Control!$C$94-$G24)/(Control!$C$95-Control!$C$94))))))</f>
        <v>#N/A</v>
      </c>
      <c r="CC24" s="140" t="e">
        <f t="shared" ca="1" si="125"/>
        <v>#N/A</v>
      </c>
      <c r="CD24" s="140" t="e">
        <f ca="1">IF($CC24&lt;=Control!$C$90,$CC24,Control!$C$90-$CC24)</f>
        <v>#N/A</v>
      </c>
      <c r="CE24" s="140" t="e">
        <f ca="1">IF(AND($BB24&gt;=60,$BB24&lt;65),1,IF($CC24&gt;=Control!$C$90,0,$CA24))</f>
        <v>#N/A</v>
      </c>
      <c r="CF24" s="404" t="e">
        <f ca="1">IF($CE24=0,0,IF($CC24&lt;=Control!$C$90,$CA24*(60+(65-60)*(CD24/Control!$C$90)),0))</f>
        <v>#N/A</v>
      </c>
      <c r="CG24" s="140" t="e">
        <f ca="1">IF($BG24+$BM24+$BS24+$BY24+$CE24=1,0,IF(OR(AND($BB24&lt;90,$BB24&gt;=65),$CC24&gt;=Control!$C$90),$BA24,$CK23))</f>
        <v>#N/A</v>
      </c>
      <c r="CH24" s="140" t="e">
        <f ca="1">IF($CD24&lt;0,-$CD24,$CG24*IF(OR($G24&lt;Control!$C$92,$G24&gt;Control!$C$95),0,IF(AND($G24&gt;=Control!$C$92,$G24&lt;=Control!$C$93),$G24-Control!$C$92,IF(AND($G24&gt;Control!$C$93,$G24&lt;=Control!$C$94),Control!$C$93-Control!$C$92,IF(AND($G24&gt;Control!$C$94,$G24&lt;=Control!$C$95),(Control!$C$93-Control!$C$92)*(Control!$C$94-$G24)/(Control!$C$95-Control!$C$94))))))</f>
        <v>#N/A</v>
      </c>
      <c r="CI24" s="140" t="e">
        <f t="shared" ca="1" si="126"/>
        <v>#N/A</v>
      </c>
      <c r="CJ24" s="140" t="e">
        <f ca="1">IF($CI24&lt;=Control!$C$91,$CI24,Control!$C$91-$CI24)</f>
        <v>#N/A</v>
      </c>
      <c r="CK24" s="140" t="e">
        <f ca="1">IF(AND($BB24&gt;=65,$BB24&lt;90),1,IF($CI24&gt;=Control!$C$91,0,$CG24))</f>
        <v>#N/A</v>
      </c>
      <c r="CL24" s="404" t="e">
        <f ca="1">IF($CK24=0,0,IF($CI24&lt;=Control!$C$91,$CG24*(65+(90-65)*($CJ24/Control!$C$91)),0))</f>
        <v>#N/A</v>
      </c>
      <c r="CM24" s="140" t="e">
        <f ca="1">IF($BG24+$BM24+$BS24+$BY24+$CE24+$CK24=1,0,IF(OR($BB24&gt;=90,$CI24&gt;=Control!$C$91),$BA24,$CM23))</f>
        <v>#N/A</v>
      </c>
      <c r="CN24" s="140" t="e">
        <f t="shared" ca="1" si="127"/>
        <v>#N/A</v>
      </c>
      <c r="CO24" s="140" t="e">
        <f t="shared" ca="1" si="128"/>
        <v>#N/A</v>
      </c>
      <c r="CP24" s="140" t="e">
        <f t="shared" ca="1" si="129"/>
        <v>#N/A</v>
      </c>
      <c r="CQ24" s="141" t="e">
        <f ca="1">VLOOKUP($CP24,Control!$B$86:$G$91,6)</f>
        <v>#N/A</v>
      </c>
      <c r="CR24" s="141" t="e">
        <f ca="1">(1-$CQ24)*VLOOKUP($CP24,Control!$B$86:$D$91,3)</f>
        <v>#N/A</v>
      </c>
      <c r="CS24" s="141" t="e">
        <f ca="1">(1-$CQ24)*VLOOKUP($CP24,Control!$B$86:$E$91,4)</f>
        <v>#N/A</v>
      </c>
      <c r="CT24" s="141" t="e">
        <f ca="1">(1-$CQ24)*VLOOKUP($CP24,Control!$B$86:$F$91,5)</f>
        <v>#N/A</v>
      </c>
      <c r="CU24" s="141">
        <f t="shared" ca="1" si="130"/>
        <v>0</v>
      </c>
      <c r="CV24" s="583">
        <f t="shared" ca="1" si="131"/>
        <v>0</v>
      </c>
      <c r="CW24" s="142">
        <f t="shared" ca="1" si="132"/>
        <v>19</v>
      </c>
      <c r="CX24" s="612" t="e">
        <f ca="1">IF(Control!$C$114=1,(MIN(Control!$C$120*(IF($NT24-0.01&lt;0,0,1)),Control!$C$119-$CY24)))</f>
        <v>#DIV/0!</v>
      </c>
      <c r="CY24" s="143" t="e">
        <f t="shared" ca="1" si="133"/>
        <v>#N/A</v>
      </c>
      <c r="CZ24" s="144">
        <f t="shared" ca="1" si="17"/>
        <v>0</v>
      </c>
      <c r="DA24" s="144">
        <f t="shared" ca="1" si="18"/>
        <v>0</v>
      </c>
      <c r="DB24" s="144" t="e">
        <f t="shared" ca="1" si="19"/>
        <v>#N/A</v>
      </c>
      <c r="DC24" s="144" t="e">
        <f t="shared" ca="1" si="20"/>
        <v>#N/A</v>
      </c>
      <c r="DD24" s="144" t="e">
        <f t="shared" ca="1" si="216"/>
        <v>#N/A</v>
      </c>
      <c r="DE24" s="143" t="e">
        <f t="shared" ca="1" si="135"/>
        <v>#N/A</v>
      </c>
      <c r="DF24" s="145" t="e">
        <f ca="1">$DR24*EXP(-Control!$C$158*(1-$KH24))</f>
        <v>#N/A</v>
      </c>
      <c r="DG24" s="146" t="e">
        <f ca="1">IF(Control!$C$114=1, $DF24*$EY24, 0)</f>
        <v>#N/A</v>
      </c>
      <c r="DH24" s="147" t="e">
        <f t="shared" ca="1" si="136"/>
        <v>#N/A</v>
      </c>
      <c r="DI24" s="144" t="e">
        <f t="shared" ca="1" si="191"/>
        <v>#N/A</v>
      </c>
      <c r="DJ24" s="147" t="e">
        <f ca="1">$EF24*Control!$C$109</f>
        <v>#N/A</v>
      </c>
      <c r="DK24" s="144" t="e">
        <f t="shared" ca="1" si="137"/>
        <v>#N/A</v>
      </c>
      <c r="DL24" s="144" t="e">
        <f t="shared" ca="1" si="21"/>
        <v>#N/A</v>
      </c>
      <c r="DM24" s="144" t="e">
        <f ca="1">IF(Control!$C$114=1, (1-EXP(-Control!$C$96*$DK24))*$AR24, 0)</f>
        <v>#N/A</v>
      </c>
      <c r="DN24" s="144">
        <f t="shared" ca="1" si="138"/>
        <v>0</v>
      </c>
      <c r="DO24" s="148">
        <f>Control!$C$97</f>
        <v>4</v>
      </c>
      <c r="DP24" s="145" t="e">
        <f t="shared" ca="1" si="139"/>
        <v>#N/A</v>
      </c>
      <c r="DQ24" s="145" t="e">
        <f ca="1">IF(AND($CP24&gt;=0,$CP24&lt;=90),Control!$C$111,Control!$C$111)</f>
        <v>#N/A</v>
      </c>
      <c r="DR24" s="145" t="e">
        <f t="shared" ca="1" si="22"/>
        <v>#N/A</v>
      </c>
      <c r="DS24" s="143" t="e">
        <f ca="1">Control!$B$22/$DR24</f>
        <v>#N/A</v>
      </c>
      <c r="DT24" s="149" t="e">
        <f ca="1">IF(AND(Control!$C$114=1,$KH24&lt;1),$IM24*$DF24, 0)</f>
        <v>#N/A</v>
      </c>
      <c r="DU24" s="144" t="e">
        <f t="shared" ca="1" si="192"/>
        <v>#N/A</v>
      </c>
      <c r="DV24" s="144">
        <f ca="1">IF($G24-Control!$C$107&lt;=0, 0, 0.83*LN(MAX($G24, 3))-0.8924)</f>
        <v>0</v>
      </c>
      <c r="DW24" s="144" t="e">
        <f t="shared" ca="1" si="23"/>
        <v>#N/A</v>
      </c>
      <c r="DX24" s="150" t="e">
        <f ca="1">MAX(0.01*(1+$CU24/Control!$C$102),0.05*($DK24-Control!$C$97)/Control!$C$97)</f>
        <v>#N/A</v>
      </c>
      <c r="DY24" s="151" t="e">
        <f ca="1">IF(Control!$C$114=1, $DI24*$FS24, 0)</f>
        <v>#N/A</v>
      </c>
      <c r="DZ24" s="196" t="e">
        <f t="shared" ca="1" si="140"/>
        <v>#N/A</v>
      </c>
      <c r="EA24" s="152">
        <f t="shared" ca="1" si="141"/>
        <v>19</v>
      </c>
      <c r="EB24" s="153" t="e">
        <f t="shared" ca="1" si="217"/>
        <v>#N/A</v>
      </c>
      <c r="EC24" s="153" t="e">
        <f t="shared" ca="1" si="142"/>
        <v>#N/A</v>
      </c>
      <c r="ED24" s="154" t="e">
        <f ca="1">IF(Control!$C$114=1, $HM24*$FY24-$FD24, 0)</f>
        <v>#DIV/0!</v>
      </c>
      <c r="EE24" s="155" t="e">
        <f ca="1">IF(Control!$C$114=1, $HM24*$FZ24-$FF24, 0)</f>
        <v>#DIV/0!</v>
      </c>
      <c r="EF24" s="153" t="e">
        <f t="shared" ca="1" si="193"/>
        <v>#N/A</v>
      </c>
      <c r="EG24" s="155" t="e">
        <f ca="1">IF(Control!$C$114=1, $GX24*$FW24-$FI24, 0)</f>
        <v>#DIV/0!</v>
      </c>
      <c r="EH24" s="153" t="e">
        <f t="shared" ca="1" si="143"/>
        <v>#N/A</v>
      </c>
      <c r="EI24" s="156" t="e">
        <f t="shared" ca="1" si="144"/>
        <v>#N/A</v>
      </c>
      <c r="EJ24" s="155" t="e">
        <f ca="1">IF(Control!$C$114=1, $HM24*$GB24, 0)</f>
        <v>#DIV/0!</v>
      </c>
      <c r="EK24" s="153" t="e">
        <f t="shared" ca="1" si="194"/>
        <v>#N/A</v>
      </c>
      <c r="EL24" s="153" t="e">
        <f t="shared" ca="1" si="24"/>
        <v>#N/A</v>
      </c>
      <c r="EM24" s="153" t="e">
        <f t="shared" ca="1" si="25"/>
        <v>#N/A</v>
      </c>
      <c r="EN24" s="153" t="e">
        <f ca="1">IF(Control!$C$108=1,IF(AND(Control!$B$18=1,$EB24&gt;=Control!$B$19),$EB24-$DS24,IF(AND(Control!$B$18=2,$AW24=1,$EB24&gt;$DS24),$EB24-$DS24,0)))</f>
        <v>#N/A</v>
      </c>
      <c r="EO24" s="153" t="e">
        <f ca="1">IF(Control!$C$108=1,IF(AND(Control!$B$18=1,$EB24&gt;=Control!$B$19),$EF24,IF(AND(Control!$B$18=2,$AW24=1),$EF24,0)))</f>
        <v>#N/A</v>
      </c>
      <c r="EP24" s="153" t="e">
        <f ca="1">IF(Control!$C$108=1,IF(AND(Control!$B$18=1,$EB24&gt;=Control!$B$19),$EK24,IF(AND(Control!$B$18=2,$AW24=1),$EK24,0)))</f>
        <v>#N/A</v>
      </c>
      <c r="EQ24" s="153" t="e">
        <f t="shared" ca="1" si="145"/>
        <v>#N/A</v>
      </c>
      <c r="ER24" s="153" t="e">
        <f t="shared" ca="1" si="195"/>
        <v>#N/A</v>
      </c>
      <c r="ES24" s="153" t="e">
        <f t="shared" ca="1" si="196"/>
        <v>#N/A</v>
      </c>
      <c r="ET24" s="153" t="e">
        <f t="shared" ca="1" si="197"/>
        <v>#N/A</v>
      </c>
      <c r="EU24" s="153" t="e">
        <f t="shared" ca="1" si="198"/>
        <v>#N/A</v>
      </c>
      <c r="EV24" s="153" t="e">
        <f t="shared" ca="1" si="146"/>
        <v>#N/A</v>
      </c>
      <c r="EW24" s="153" t="e">
        <f t="shared" ca="1" si="218"/>
        <v>#N/A</v>
      </c>
      <c r="EX24" s="153" t="e">
        <f t="shared" ca="1" si="26"/>
        <v>#N/A</v>
      </c>
      <c r="EY24" s="157" t="e">
        <f t="shared" ca="1" si="147"/>
        <v>#DIV/0!</v>
      </c>
      <c r="EZ24" s="154" t="e">
        <f t="shared" ca="1" si="27"/>
        <v>#DIV/0!</v>
      </c>
      <c r="FA24" s="153" t="e">
        <f t="shared" ca="1" si="199"/>
        <v>#N/A</v>
      </c>
      <c r="FB24" s="153" t="e">
        <f t="shared" ca="1" si="28"/>
        <v>#N/A</v>
      </c>
      <c r="FC24" s="193" t="e">
        <f t="shared" ca="1" si="29"/>
        <v>#N/A</v>
      </c>
      <c r="FD24" s="158" t="e">
        <f t="shared" ca="1" si="200"/>
        <v>#N/A</v>
      </c>
      <c r="FE24" s="158" t="e">
        <f t="shared" ca="1" si="148"/>
        <v>#N/A</v>
      </c>
      <c r="FF24" s="159" t="e">
        <f t="shared" ca="1" si="30"/>
        <v>#N/A</v>
      </c>
      <c r="FG24" s="160" t="e">
        <f t="shared" ca="1" si="149"/>
        <v>#N/A</v>
      </c>
      <c r="FH24" s="158" t="e">
        <f t="shared" ca="1" si="150"/>
        <v>#N/A</v>
      </c>
      <c r="FI24" s="159" t="e">
        <f t="shared" ca="1" si="31"/>
        <v>#N/A</v>
      </c>
      <c r="FJ24" s="160" t="e">
        <f t="shared" ca="1" si="151"/>
        <v>#N/A</v>
      </c>
      <c r="FK24" s="160" t="e">
        <f t="shared" ca="1" si="32"/>
        <v>#N/A</v>
      </c>
      <c r="FL24" s="160" t="e">
        <f t="shared" ca="1" si="229"/>
        <v>#N/A</v>
      </c>
      <c r="FM24" s="160" t="e">
        <f t="shared" ca="1" si="33"/>
        <v>#N/A</v>
      </c>
      <c r="FN24" s="158">
        <f t="shared" ca="1" si="219"/>
        <v>0.01</v>
      </c>
      <c r="FO24" s="160">
        <f>Control!$C$101</f>
        <v>50</v>
      </c>
      <c r="FP24" s="150" t="e">
        <f t="shared" ca="1" si="34"/>
        <v>#N/A</v>
      </c>
      <c r="FQ24" s="150" t="e">
        <f ca="1">MAX(0,(Control!$C$112*(($DK24-Control!$C$97)/Control!$C$97)))</f>
        <v>#N/A</v>
      </c>
      <c r="FR24" s="150" t="e">
        <f ca="1">(1-$NT24)*Control!$C$113</f>
        <v>#DIV/0!</v>
      </c>
      <c r="FS24" s="198" t="e">
        <f t="shared" ca="1" si="35"/>
        <v>#N/A</v>
      </c>
      <c r="FT24" s="161">
        <f t="shared" ca="1" si="152"/>
        <v>19</v>
      </c>
      <c r="FU24" s="162" t="e">
        <f ca="1">IF(Control!$B$34=1,VLOOKUP($CP24,Control!$B$86:$G$91,6),Control!$B$35)</f>
        <v>#N/A</v>
      </c>
      <c r="FV24" s="162" t="e">
        <f t="shared" ca="1" si="36"/>
        <v>#DIV/0!</v>
      </c>
      <c r="FW24" s="162" t="e">
        <f ca="1">IF(Control!$B$31=1,$FU24*$FV24,  $FU24)</f>
        <v>#N/A</v>
      </c>
      <c r="FX24" s="162" t="e">
        <f ca="1">IF(Control!$B$34=1,VLOOKUP($CP24,Control!$B$86:$G$91,3),Control!$B$36)</f>
        <v>#N/A</v>
      </c>
      <c r="FY24" s="162" t="e">
        <f t="shared" ca="1" si="37"/>
        <v>#N/A</v>
      </c>
      <c r="FZ24" s="162" t="e">
        <f ca="1">IF(Control!$B$34=1,VLOOKUP($CP24,Control!$B$86:$G$91,4),Control!$B$37)</f>
        <v>#N/A</v>
      </c>
      <c r="GA24" s="162" t="e">
        <f t="shared" ca="1" si="38"/>
        <v>#N/A</v>
      </c>
      <c r="GB24" s="162" t="e">
        <f ca="1">IF(Control!$B$34=1,VLOOKUP($CP24,Control!$B$86:$G$91,5),Control!$B$38)</f>
        <v>#N/A</v>
      </c>
      <c r="GC24" s="162" t="e">
        <f t="shared" ca="1" si="153"/>
        <v>#N/A</v>
      </c>
      <c r="GD24" s="162">
        <f t="shared" ca="1" si="39"/>
        <v>1</v>
      </c>
      <c r="GE24" s="162">
        <f t="shared" ca="1" si="40"/>
        <v>1</v>
      </c>
      <c r="GF24" s="162">
        <f ca="1">IF(AND(Control!$C$104=1, Control!$C$62="F"),$GE24,1)</f>
        <v>1</v>
      </c>
      <c r="GG24" s="162" t="e">
        <f ca="1">IF(Control!$B$16=40,0,IF(AND(Control!$B$16&gt;40,Control!$B$16&lt;=360),(Control!$B$16-40)*((1-0)/(360-40)),IF(AND(Control!$B$16&gt;360,Control!$B$16&lt;=720),(1+(Control!$B$16-360)*((1.25-1)/(720-360))),IF(AND(Control!$B$16&gt;720,Control!$B$16&lt;=1000),(1.25+(Control!$B$16-720)*((1.35-1.25)/(1000-720))),IF(AND(Control!$B$16&gt;1000,Control!$B$16&lt;=2000),(1.35+(Control!$B$16-1000)*0))))))</f>
        <v>#N/A</v>
      </c>
      <c r="GH24" s="162" t="e">
        <f t="shared" ca="1" si="41"/>
        <v>#N/A</v>
      </c>
      <c r="GI24" s="162">
        <f t="shared" ca="1" si="201"/>
        <v>0</v>
      </c>
      <c r="GJ24" s="162">
        <f t="shared" ca="1" si="42"/>
        <v>0</v>
      </c>
      <c r="GK24" s="162">
        <f t="shared" ca="1" si="220"/>
        <v>1</v>
      </c>
      <c r="GL24" s="162">
        <f t="shared" ca="1" si="43"/>
        <v>1</v>
      </c>
      <c r="GM24" s="162" t="e">
        <f ca="1">MAX(0,MIN(1,1-Control!$C$156*(1.0001-$KH24)^2))</f>
        <v>#N/A</v>
      </c>
      <c r="GN24" s="162" t="e">
        <f ca="1">IF(Control!$B$26=1,$KU24,$KX24)</f>
        <v>#N/A</v>
      </c>
      <c r="GO24" s="162" t="e">
        <f ca="1">IF($CP24&lt;=60,Control!$C$105,IF($CP24&gt;=90,Control!$C$106,Control!$C$105+($CP24-60)*((Control!$C$106-Control!$C$105)/(90-60))))</f>
        <v>#N/A</v>
      </c>
      <c r="GP24" s="162" t="e">
        <f t="shared" ca="1" si="154"/>
        <v>#N/A</v>
      </c>
      <c r="GQ24" s="162" t="e">
        <f t="shared" ca="1" si="155"/>
        <v>#N/A</v>
      </c>
      <c r="GR24" s="163" t="e">
        <f t="shared" ca="1" si="44"/>
        <v>#DIV/0!</v>
      </c>
      <c r="GS24" s="162" t="e">
        <f t="shared" ca="1" si="45"/>
        <v>#DIV/0!</v>
      </c>
      <c r="GT24" s="164" t="e">
        <f t="shared" ca="1" si="156"/>
        <v>#N/A</v>
      </c>
      <c r="GU24" s="162" t="e">
        <f t="shared" ca="1" si="157"/>
        <v>#N/A</v>
      </c>
      <c r="GV24" s="162" t="e">
        <f t="shared" ca="1" si="46"/>
        <v>#N/A</v>
      </c>
      <c r="GW24" s="162" t="e">
        <f t="shared" ca="1" si="221"/>
        <v>#DIV/0!</v>
      </c>
      <c r="GX24" s="162" t="e">
        <f t="shared" ca="1" si="228"/>
        <v>#DIV/0!</v>
      </c>
      <c r="GY24" s="162" t="e">
        <f t="shared" ca="1" si="158"/>
        <v>#DIV/0!</v>
      </c>
      <c r="GZ24" s="165" t="e">
        <f t="shared" ca="1" si="159"/>
        <v>#N/A</v>
      </c>
      <c r="HA24" s="162" t="e">
        <f ca="1">IF(Control!$C$114=1, $DI24*$FS24, 0)</f>
        <v>#N/A</v>
      </c>
      <c r="HB24" s="162" t="e">
        <f ca="1">$FA24/Control!$C$64</f>
        <v>#N/A</v>
      </c>
      <c r="HC24" s="162" t="e">
        <f t="shared" ca="1" si="222"/>
        <v>#DIV/0!</v>
      </c>
      <c r="HD24" s="162">
        <f ca="1">-ASIN(SIN(23.45*Control!$C$139)*COS(2*Control!$C$138*($AH24+10)/365))</f>
        <v>-0.35691312451001411</v>
      </c>
      <c r="HE24" s="165">
        <f t="shared" ca="1" si="160"/>
        <v>0</v>
      </c>
      <c r="HF24" s="166">
        <f ca="1">IF(AND(Control!$C$61="T",$HE24&gt;=Control!$C$103,Control!$C$114=0),$AH24,Control!$C$59)</f>
        <v>1</v>
      </c>
      <c r="HG24" s="166">
        <f ca="1">IF(AND(Control!$C$61="T",$HE24&gt;=Control!$C$103,Control!$C$114=0),$HF24,Control!$C$59)</f>
        <v>1</v>
      </c>
      <c r="HH24" s="165">
        <f ca="1">IF(AND(OR(Control!$C$60&lt;=0, $AH24= Control!$C$59, Control!$C$60 &gt;0, $AH24 = Control!$C$60)), Control!$C$59, IF(Control!$C$60&gt;0, 0))</f>
        <v>1</v>
      </c>
      <c r="HI24" s="165">
        <f ca="1">IF(AND(OR(Control!$C$60&lt;=0, $AH24= Control!$C$59, Control!$C$60 &gt;0, $AH24 = Control!$C$60)), Control!$C$60, IF(Control!$C$60&lt;=0, 0))</f>
        <v>0</v>
      </c>
      <c r="HJ24" s="166">
        <f ca="1">IF(AND(Control!$C$62="F",$CV24&gt;=Control!$C$102),$AH24,0)</f>
        <v>0</v>
      </c>
      <c r="HK24" s="165" t="e">
        <f t="shared" ca="1" si="202"/>
        <v>#N/A</v>
      </c>
      <c r="HL24" s="166">
        <f ca="1">IF(AND(Control!$C$61="T",$HE24&gt;=Control!$C$103,Control!$C$114=0),$HF24,0)</f>
        <v>0</v>
      </c>
      <c r="HM24" s="201" t="e">
        <f t="shared" ca="1" si="47"/>
        <v>#DIV/0!</v>
      </c>
      <c r="HN24" s="215">
        <f t="shared" ca="1" si="161"/>
        <v>19</v>
      </c>
      <c r="HO24" s="216" t="e">
        <f ca="1">IF(AND($CP24&gt;=0, $CP24&lt;=90), Control!$C$152, Control!$C$152)</f>
        <v>#N/A</v>
      </c>
      <c r="HP24" s="216" t="e">
        <f t="shared" ca="1" si="48"/>
        <v>#N/A</v>
      </c>
      <c r="HQ24" s="217" t="e">
        <f ca="1">IF(OR(Control!$B$26=1,Control!$B$26=2),$KV24,$KS24)</f>
        <v>#DIV/0!</v>
      </c>
      <c r="HR24" s="218" t="e">
        <f t="shared" ca="1" si="223"/>
        <v>#DIV/0!</v>
      </c>
      <c r="HS24" s="216" t="e">
        <f ca="1">Control!$C$154*$HP24</f>
        <v>#N/A</v>
      </c>
      <c r="HT24" s="216" t="e">
        <f ca="1">Control!$C$155*$HP24</f>
        <v>#N/A</v>
      </c>
      <c r="HU24" s="217" t="e">
        <f ca="1">Control!$C$161*$FI24</f>
        <v>#N/A</v>
      </c>
      <c r="HV24" s="218" t="e">
        <f t="shared" ca="1" si="162"/>
        <v>#N/A</v>
      </c>
      <c r="HW24" s="218" t="e">
        <f ca="1">Control!$C$160*$FF24+$IP24*$EO24</f>
        <v>#N/A</v>
      </c>
      <c r="HX24" s="218" t="e">
        <f t="shared" ca="1" si="203"/>
        <v>#N/A</v>
      </c>
      <c r="HY24" s="219" t="e">
        <f ca="1">IF(Control!$C$114=1, $EB24*$FS24, 0)</f>
        <v>#N/A</v>
      </c>
      <c r="HZ24" s="91" t="e">
        <f t="shared" ca="1" si="49"/>
        <v>#N/A</v>
      </c>
      <c r="IA24" s="220" t="e">
        <f ca="1">Control!$C$153*$HO24</f>
        <v>#N/A</v>
      </c>
      <c r="IB24" s="218" t="e">
        <f t="shared" ca="1" si="50"/>
        <v>#N/A</v>
      </c>
      <c r="IC24" s="220" t="e">
        <f ca="1">Control!$C$153*$HT24</f>
        <v>#N/A</v>
      </c>
      <c r="ID24" s="218" t="e">
        <f t="shared" ca="1" si="51"/>
        <v>#N/A</v>
      </c>
      <c r="IE24" s="221" t="e">
        <f ca="1">($EB24*Control!$C$159+$EF24*Control!$C$160)/(IF($GZ24&lt;&gt;0,$GZ24,1))</f>
        <v>#N/A</v>
      </c>
      <c r="IF24" s="216" t="e">
        <f t="shared" ca="1" si="52"/>
        <v>#N/A</v>
      </c>
      <c r="IG24" s="91">
        <f ca="1">IF(OR(Control!$B$198=$AH24,Control!$B$199=$AH24, Control!$B$200=$AH24, Control!$B$201=$AH24, Control!$B$202=$AH24, Control!$B$203=$AH24, Control!$B$204=$AH24, Control!$B$205=$AH24, Control!$B$206=$AH24, Control!$B$207=$AH24), 1, 0)</f>
        <v>0</v>
      </c>
      <c r="IH24" s="91">
        <f ca="1">IF($IG24=0,0, VLOOKUP($AH24,Control!$B$198:$C$207,2))</f>
        <v>0</v>
      </c>
      <c r="II24" s="222">
        <f t="shared" ca="1" si="163"/>
        <v>0</v>
      </c>
      <c r="IJ24" s="91">
        <f>Control!$C$121</f>
        <v>0.7</v>
      </c>
      <c r="IK24" s="218">
        <f t="shared" ca="1" si="53"/>
        <v>0</v>
      </c>
      <c r="IL24" s="217" t="e">
        <f t="shared" ca="1" si="204"/>
        <v>#N/A</v>
      </c>
      <c r="IM24" s="223" t="e">
        <f ca="1">IF(AND(Control!$C$114=1,$KH24&lt;1),$EB24*Control!$C$148*(1-$KH24), 0)</f>
        <v>#N/A</v>
      </c>
      <c r="IN24" s="217" t="e">
        <f t="shared" ca="1" si="54"/>
        <v>#DIV/0!</v>
      </c>
      <c r="IO24" s="91" t="e">
        <f ca="1">MAX(0,$IL24-$EF24*Control!$C$160)</f>
        <v>#N/A</v>
      </c>
      <c r="IP24" s="220" t="e">
        <f t="shared" ca="1" si="55"/>
        <v>#N/A</v>
      </c>
      <c r="IQ24" s="217" t="e">
        <f t="shared" ca="1" si="164"/>
        <v>#N/A</v>
      </c>
      <c r="IR24" s="218" t="e">
        <f t="shared" ca="1" si="56"/>
        <v>#N/A</v>
      </c>
      <c r="IS24" s="217" t="e">
        <f ca="1">Control!$C$159*MAX(0,$FD24-$EN24)</f>
        <v>#N/A</v>
      </c>
      <c r="IT24" s="217" t="e">
        <f t="shared" ca="1" si="205"/>
        <v>#N/A</v>
      </c>
      <c r="IU24" s="217" t="e">
        <f t="shared" ca="1" si="165"/>
        <v>#N/A</v>
      </c>
      <c r="IV24" s="217" t="e">
        <f t="shared" ca="1" si="206"/>
        <v>#N/A</v>
      </c>
      <c r="IW24" s="217" t="e">
        <f ca="1">IF(OR($AW24=1,AND($AW24=0, Control!$B$18=1,$EN24&lt;&gt;0)), $IQ24-$IU24, $IQ24)</f>
        <v>#N/A</v>
      </c>
      <c r="IX24" s="218" t="e">
        <f t="shared" ca="1" si="57"/>
        <v>#N/A</v>
      </c>
      <c r="IY24" s="218" t="e">
        <f ca="1">MAX(0,$IQ24-$EB24*Control!$C$159)</f>
        <v>#N/A</v>
      </c>
      <c r="IZ24" s="218" t="e">
        <f t="shared" ca="1" si="58"/>
        <v>#N/A</v>
      </c>
      <c r="JA24" s="216" t="e">
        <f t="shared" ca="1" si="59"/>
        <v>#N/A</v>
      </c>
      <c r="JB24" s="217" t="e">
        <f t="shared" ca="1" si="60"/>
        <v>#N/A</v>
      </c>
      <c r="JC24" s="222" t="e">
        <f ca="1">MAX(Control!$C$157*$EK24-$JT24, 0)/Control!$C$162</f>
        <v>#N/A</v>
      </c>
      <c r="JD24" s="218" t="e">
        <f t="shared" ca="1" si="61"/>
        <v>#N/A</v>
      </c>
      <c r="JE24" s="218" t="e">
        <f t="shared" ca="1" si="62"/>
        <v>#N/A</v>
      </c>
      <c r="JF24" s="218" t="e">
        <f t="shared" ca="1" si="207"/>
        <v>#N/A</v>
      </c>
      <c r="JG24" s="218" t="e">
        <f t="shared" ca="1" si="63"/>
        <v>#N/A</v>
      </c>
      <c r="JH24" s="217" t="e">
        <f t="shared" ca="1" si="166"/>
        <v>#N/A</v>
      </c>
      <c r="JI24" s="217" t="e">
        <f t="shared" ca="1" si="167"/>
        <v>#N/A</v>
      </c>
      <c r="JJ24" s="217" t="e">
        <f t="shared" ca="1" si="224"/>
        <v>#N/A</v>
      </c>
      <c r="JK24" s="217" t="e">
        <f ca="1">IF(Control!$C$114=1,IF(Control!$B$24=0,MAX(0,$JI24)*$GN24/Control!$C$64,(MAX(0,MIN($JI24,$JJ24*$GN24/Control!$C$64),0))))</f>
        <v>#N/A</v>
      </c>
      <c r="JL24" s="217" t="e">
        <f ca="1">$IK24/Control!$C$64-$JK24+$HQ24</f>
        <v>#N/A</v>
      </c>
      <c r="JM24" s="217" t="e">
        <f ca="1">IF(Control!$C$114=1,($JB24/(IF($JI24&lt;&gt;0,$JI24,1)))*$JK24,0)</f>
        <v>#N/A</v>
      </c>
      <c r="JN24" s="217" t="e">
        <f ca="1">IF(Control!$C$114=1,($JG24/(IF($JI24&lt;&gt;0,$JI24,1)))*$JK24, 0)</f>
        <v>#N/A</v>
      </c>
      <c r="JO24" s="218" t="e">
        <f t="shared" ca="1" si="64"/>
        <v>#N/A</v>
      </c>
      <c r="JP24" s="218" t="e">
        <f ca="1">MIN(($IY24+$IO24)*Control!$C$151, $JF24-$EH24*Control!$C$161)</f>
        <v>#N/A</v>
      </c>
      <c r="JQ24" s="218" t="e">
        <f t="shared" ca="1" si="65"/>
        <v>#N/A</v>
      </c>
      <c r="JR24" s="217" t="e">
        <f ca="1">IF($CP24-Control!$C$150&lt;0, 0, $JQ24/Control!$C$162)</f>
        <v>#N/A</v>
      </c>
      <c r="JS24" s="218" t="e">
        <f t="shared" ca="1" si="66"/>
        <v>#N/A</v>
      </c>
      <c r="JT24" s="218" t="e">
        <f t="shared" ca="1" si="168"/>
        <v>#N/A</v>
      </c>
      <c r="JU24" s="218" t="e">
        <f t="shared" ca="1" si="67"/>
        <v>#N/A</v>
      </c>
      <c r="JV24" s="218" t="e">
        <f t="shared" ca="1" si="68"/>
        <v>#N/A</v>
      </c>
      <c r="JW24" s="216" t="e">
        <f t="shared" ca="1" si="69"/>
        <v>#N/A</v>
      </c>
      <c r="JX24" s="91" t="e">
        <f t="shared" ca="1" si="70"/>
        <v>#N/A</v>
      </c>
      <c r="JY24" s="218" t="e">
        <f t="shared" ca="1" si="71"/>
        <v>#N/A</v>
      </c>
      <c r="JZ24" s="217" t="e">
        <f ca="1">IF(Control!$C$114=1,($IZ24/(IF($JI24&lt;&gt;0,$JI24,1)))*$JK24, 0)</f>
        <v>#N/A</v>
      </c>
      <c r="KA24" s="218" t="e">
        <f t="shared" ca="1" si="225"/>
        <v>#N/A</v>
      </c>
      <c r="KB24" s="218" t="e">
        <f t="shared" ca="1" si="169"/>
        <v>#N/A</v>
      </c>
      <c r="KC24" s="218" t="e">
        <f t="shared" ca="1" si="72"/>
        <v>#N/A</v>
      </c>
      <c r="KD24" s="218" t="e">
        <f t="shared" ca="1" si="73"/>
        <v>#N/A</v>
      </c>
      <c r="KE24" s="218" t="e">
        <f t="shared" ca="1" si="74"/>
        <v>#N/A</v>
      </c>
      <c r="KF24" s="218" t="e">
        <f t="shared" ca="1" si="75"/>
        <v>#N/A</v>
      </c>
      <c r="KG24" s="216" t="e">
        <f t="shared" ca="1" si="76"/>
        <v>#N/A</v>
      </c>
      <c r="KH24" s="221" t="e">
        <f ca="1">IF(Control!$B$24=0,1,MAX(0.001,MIN(1,IF(($IF24-$IE24)&lt;&gt;0,($KG24-$IE24)/($IF24-$IE24),1))))</f>
        <v>#N/A</v>
      </c>
      <c r="KI24" s="222" t="e">
        <f ca="1">IF(Control!$C$114=1, $KI23+ $KH23, 0)</f>
        <v>#N/A</v>
      </c>
      <c r="KJ24" s="217" t="e">
        <f t="shared" ca="1" si="77"/>
        <v>#N/A</v>
      </c>
      <c r="KK24" s="218" t="e">
        <f t="shared" ca="1" si="78"/>
        <v>#N/A</v>
      </c>
      <c r="KL24" s="274" t="e">
        <f ca="1">IF(Control!$B$26=3,4000000000*EXP(-8400/($G24+273)),IF(Control!$B$26=4,4000000000*EXP(-8400/($G24+273))*($KT24),0))</f>
        <v>#DIV/0!</v>
      </c>
      <c r="KM24" s="274" t="e">
        <f ca="1">IF(Control!$B$26=3,5600000000000*EXP(-9800/($G24+273)),IF(Control!$B$26=4,5600000000000*EXP(-9800/($G24+273))*$KT24,0))</f>
        <v>#DIV/0!</v>
      </c>
      <c r="KN24" s="454" t="e">
        <f t="shared" ca="1" si="170"/>
        <v>#DIV/0!</v>
      </c>
      <c r="KO24" s="274" t="e">
        <f t="shared" ca="1" si="171"/>
        <v>#DIV/0!</v>
      </c>
      <c r="KP24" s="454" t="e">
        <f t="shared" ca="1" si="79"/>
        <v>#DIV/0!</v>
      </c>
      <c r="KQ24" s="454" t="e">
        <f t="shared" ca="1" si="80"/>
        <v>#DIV/0!</v>
      </c>
      <c r="KR24" s="454" t="e">
        <f t="shared" ca="1" si="81"/>
        <v>#DIV/0!</v>
      </c>
      <c r="KS24" s="454" t="e">
        <f t="shared" ca="1" si="82"/>
        <v>#DIV/0!</v>
      </c>
      <c r="KT24" s="455" t="e">
        <f t="shared" ca="1" si="83"/>
        <v>#DIV/0!</v>
      </c>
      <c r="KU24" s="456" t="e">
        <f ca="1">IF($CP24-Control!$C$149&lt;0, IF($NT24-0.01&lt;0,0,1),0)</f>
        <v>#N/A</v>
      </c>
      <c r="KV24" s="456" t="e">
        <f ca="1">IF(Control!$C$114=1,MAX(0,MIN(Control!$C$125*$KW24*$GN24,$KW24)))</f>
        <v>#DIV/0!</v>
      </c>
      <c r="KW24" s="456" t="e">
        <f t="shared" ca="1" si="208"/>
        <v>#DIV/0!</v>
      </c>
      <c r="KX24" s="457" t="e">
        <f ca="1">IF($CP24-Control!$C$149&lt;0, IF($MR24-$OM24&lt;0,0,1),0)</f>
        <v>#N/A</v>
      </c>
      <c r="KY24" s="167">
        <f t="shared" ca="1" si="172"/>
        <v>19</v>
      </c>
      <c r="KZ24" s="168">
        <f ca="1">1370*(1+0.033*COS(2*Control!$C$138*$AH24/365))</f>
        <v>1412.8133052076807</v>
      </c>
      <c r="LA24" s="169">
        <f t="shared" ca="1" si="173"/>
        <v>1.0312505958515106</v>
      </c>
      <c r="LB24" s="169">
        <f t="shared" ca="1" si="174"/>
        <v>-0.35737772545324453</v>
      </c>
      <c r="LC24" s="169">
        <f ca="1">ACOS(-TAN((2*Control!$B$8/360))*TAN(Calculations!$LB24))</f>
        <v>1.4595880284329805</v>
      </c>
      <c r="LD24" s="169">
        <f ca="1">((24*60)/PI())*0.082*$LA24*(($LC24*SIN(Control!$B$8*2*PI()/360))*SIN($LB24)+COS(Control!$B$8*2*PI()/360)*COS($LB24)*SIN($LC24))</f>
        <v>6.6221750287727046</v>
      </c>
      <c r="LE24" s="170">
        <f t="shared" ca="1" si="84"/>
        <v>8.0182108882308274</v>
      </c>
      <c r="LF24" s="170">
        <f ca="1">SIN(Control!$C$139*Control!$B$8)*SIN($HD24)</f>
        <v>-0.27531846091107109</v>
      </c>
      <c r="LG24" s="170">
        <f ca="1">COS(Control!$C$139*Control!$B$8)*COS($HD24)</f>
        <v>0.57686079265577661</v>
      </c>
      <c r="LH24" s="170">
        <f ca="1">12*(1+2*ASIN(MAX(-1,MIN(1,$LF24/$LG24))/Control!$C$138))</f>
        <v>8.3397602304903433</v>
      </c>
      <c r="LI24" s="170">
        <f ca="1">12*(1+2*ASIN(MAX(-1,MIN(1,(-SIN(-4*Control!$C$139)+$LF24)/$LG24))/Control!$C$138))</f>
        <v>9.2718547692954782</v>
      </c>
      <c r="LJ24" s="168">
        <f ca="1">3600*($LH24*$LF24+24*$LG24*SQRT(1-$LK24*$LK24)/Control!$C$138)</f>
        <v>5675.3506345639671</v>
      </c>
      <c r="LK24" s="170">
        <f t="shared" ca="1" si="85"/>
        <v>-0.47727019138109228</v>
      </c>
      <c r="LL24" s="170">
        <f t="shared" ca="1" si="86"/>
        <v>0</v>
      </c>
      <c r="LM24" s="171">
        <f ca="1">Control!$C$145*$AB24</f>
        <v>6.6660906138995932E-2</v>
      </c>
      <c r="LN24" s="170">
        <f t="shared" ca="1" si="175"/>
        <v>0.54</v>
      </c>
      <c r="LO24" s="170">
        <f t="shared" ca="1" si="87"/>
        <v>0</v>
      </c>
      <c r="LP24" s="170">
        <f ca="1">Control!$C$140*((($D24+273.16)^4+($E24+273.16)^4)/2)*(0.34-0.14*SQRT($Y24))*(1.35*$AQ24/(0.75*$LD24)-0.35)</f>
        <v>-3.2464704755046001</v>
      </c>
      <c r="LQ24" s="170">
        <f ca="1">Control!$C$140*($G24+273)^4*(0.56-0.079*SQRT($Y24*10))*(0.1+0.9*$LO24)</f>
        <v>1.5241745131704001</v>
      </c>
      <c r="LR24" s="170">
        <f ca="1">$AQ24*(1-Control!$C$142)-$LQ24</f>
        <v>-1.5241745131704001</v>
      </c>
      <c r="LS24" s="170">
        <f ca="1">$AQ24*(1-Control!$C$143)-$LQ24</f>
        <v>-1.5241745131704001</v>
      </c>
      <c r="LT24" s="170">
        <f ca="1">$AQ24*(1-Control!$C$144)-$LQ24</f>
        <v>-1.5241745131704001</v>
      </c>
      <c r="LU24" s="169">
        <f ca="1">(1-Control!$C$144)*AQ24-LP24</f>
        <v>3.2464704755046001</v>
      </c>
      <c r="LV24" s="172">
        <f t="shared" ca="1" si="88"/>
        <v>0.79430000000000012</v>
      </c>
      <c r="LW24" s="170">
        <f t="shared" ca="1" si="89"/>
        <v>1.5886000000000002</v>
      </c>
      <c r="LX24" s="170">
        <f ca="1">($AC24*($LR24/Control!$C$141)+$LM24*$LV24)/($AC24+$LM24)</f>
        <v>0.23530094218323697</v>
      </c>
      <c r="LY24" s="170">
        <f ca="1">($AC24*($LS24/Control!$C$141)+$LM24*$LV24)/($AC24+$LM24)</f>
        <v>0.23530094218323697</v>
      </c>
      <c r="LZ24" s="170">
        <f t="shared" ca="1" si="90"/>
        <v>0.23530094218323697</v>
      </c>
      <c r="MA24" s="170">
        <f t="shared" ca="1" si="91"/>
        <v>0.23530094218323697</v>
      </c>
      <c r="MB24" s="170" t="e">
        <f t="shared" ca="1" si="92"/>
        <v>#N/A</v>
      </c>
      <c r="MC24" s="170">
        <f t="shared" ca="1" si="176"/>
        <v>0.6018</v>
      </c>
      <c r="MD24" s="170">
        <f t="shared" ca="1" si="93"/>
        <v>0.52989392535414004</v>
      </c>
      <c r="ME24" s="170">
        <f ca="1">($AC24*($LT24/Control!$C$141)+$LM24*$LW24)/($AC24+$LM24)</f>
        <v>0.71612369323045078</v>
      </c>
      <c r="MF24" s="170" t="e">
        <f ca="1">IF(Control!$B$16&gt;=1000,0.92,IF(AND(720&lt;=Control!$B$16,1000&gt;Control!$B$16),(0.95+(Control!$B$16-720)*((0.92-0.95)/(1000-720))),IF(AND(360&lt;=Control!$B$16,720&gt;Control!$B$16),(1+(Control!$B$16-360)*((0.95-1)/(720-360))),IF(AND(40&lt;=Control!$B$16,360&gt;Control!$B$16),(1.05+(Control!$B$16-40)*((1.05-1)/(360-40)))))))</f>
        <v>#N/A</v>
      </c>
      <c r="MG24" s="170">
        <f t="shared" ca="1" si="94"/>
        <v>0.71612369323045078</v>
      </c>
      <c r="MH24" s="170" t="e">
        <f t="shared" ca="1" si="95"/>
        <v>#N/A</v>
      </c>
      <c r="MI24" s="170" t="e">
        <f t="shared" ca="1" si="95"/>
        <v>#N/A</v>
      </c>
      <c r="MJ24" s="170" t="e">
        <f ca="1">MAX(0.0001, Control!$C$132*$MI24*$DL24)</f>
        <v>#N/A</v>
      </c>
      <c r="MK24" s="170">
        <f ca="1">1/(0.76+1.5*($MG24/10))-(5-Control!$C$110)*0.1</f>
        <v>1.002845988140797</v>
      </c>
      <c r="ML24" s="173">
        <f ca="1">IF(Control!$C$110&lt;3,$MK24+($MG24-0.6)/(Control!$C$110*(Control!$C$110+3)), MAX(0.1, MIN(0.95,$MK24)))</f>
        <v>0.95</v>
      </c>
      <c r="MM24" s="173">
        <f ca="1">IF(Control!$C$110&lt;3,$MK24+(($MI24/10)-0.6)/(Control!$C$110*(Control!$C$110+3)), MAX(0.1, MIN(0.95,$MK24)))</f>
        <v>0.95</v>
      </c>
      <c r="MN24" s="173">
        <f ca="1">(1-$MM24)*(Control!$C$128-Control!$C$127)+Control!$C$127</f>
        <v>0.16</v>
      </c>
      <c r="MO24" s="170" t="e">
        <f ca="1">MAX(0,MIN(1,($MS24-Control!$C$127)/($MN24-Control!$C$127)))</f>
        <v>#DIV/0!</v>
      </c>
      <c r="MP24" s="173" t="e">
        <f ca="1">1/(0.76+1.5*$MI24)-(5-Control!$C$110)*0.1</f>
        <v>#N/A</v>
      </c>
      <c r="MQ24" s="172" t="e">
        <f t="shared" ca="1" si="209"/>
        <v>#DIV/0!</v>
      </c>
      <c r="MR24" s="168" t="e">
        <f t="shared" ca="1" si="226"/>
        <v>#DIV/0!</v>
      </c>
      <c r="MS24" s="173" t="e">
        <f ca="1">MAX(Control!$C$127, MIN(Control!$C$135, $MR24/MAX(0.0001,$CY24)))</f>
        <v>#DIV/0!</v>
      </c>
      <c r="MT24" s="168" t="e">
        <f ca="1">(Control!$C$128-$MS24)*Control!$C$74</f>
        <v>#DIV/0!</v>
      </c>
      <c r="MU24" s="168" t="e">
        <f ca="1">(Control!$C$135-$MS24)*Control!$C$74</f>
        <v>#DIV/0!</v>
      </c>
      <c r="MV24" s="168" t="e">
        <f t="shared" ca="1" si="210"/>
        <v>#DIV/0!</v>
      </c>
      <c r="MW24" s="168" t="e">
        <f t="shared" ca="1" si="177"/>
        <v>#DIV/0!</v>
      </c>
      <c r="MX24" s="171" t="e">
        <f ca="1">MAX(Control!$C$127, MIN(Control!$C$135, $MW24/MAX(0.0001,Control!$C$119-$CY24)))</f>
        <v>#DIV/0!</v>
      </c>
      <c r="MY24" s="54" t="e">
        <f ca="1">IF(Control!$C$114=1, $CX24*$MX24, 0)</f>
        <v>#DIV/0!</v>
      </c>
      <c r="MZ24" s="54" t="e">
        <f t="shared" ca="1" si="178"/>
        <v>#N/A</v>
      </c>
      <c r="NA24" s="168" t="e">
        <f ca="1">(Control!$C$128-$MX24)*(Control!$C$119-Control!$C$74)</f>
        <v>#DIV/0!</v>
      </c>
      <c r="NB24" s="168" t="e">
        <f ca="1">(Control!$C$135-$MX24)*(Control!$C$119-Control!$C$74)</f>
        <v>#DIV/0!</v>
      </c>
      <c r="NC24" s="174" t="e">
        <f t="shared" ca="1" si="179"/>
        <v>#DIV/0!</v>
      </c>
      <c r="ND24" s="54">
        <f ca="1">IF(Control!$C$58=2, IF(OR(Control!$B$218=$AH24,Control!$B$219=$AH24, Control!$B$220=$AH24, Control!$B$221=$AH24, Control!$B$222=$AH24, Control!$B$223=$AH24, Control!$B$224=$AH24, Control!$B$225=$AH24, Control!$B$226=$AH24, Control!$B$227=$AH24, Control!$B$228=$AH24), 1, 0), 0)</f>
        <v>0</v>
      </c>
      <c r="NE24" s="54">
        <f ca="1">IF($ND24=0,0, VLOOKUP($AH24,Control!$B$218:$C$228,2))</f>
        <v>0</v>
      </c>
      <c r="NF24" s="168" t="e">
        <f ca="1">$CY24*(Control!$C$128-Control!$C$127)</f>
        <v>#N/A</v>
      </c>
      <c r="NG24" s="54" t="e">
        <f ca="1">IF(Control!$C$58=2, $NI23-$NJ23, 0)</f>
        <v>#DIV/0!</v>
      </c>
      <c r="NH24" s="54" t="e">
        <f ca="1">IF(AND(Control!$C$58=1, $MS23&lt;= ($MN23+0.02), $I23&lt;10), 0, IF(Control!$C$58=2, $NG23, 0))</f>
        <v>#DIV/0!</v>
      </c>
      <c r="NI24" s="54" t="e">
        <f ca="1">IF(Control!$C$58=2, $NE24+$NH24,0)</f>
        <v>#DIV/0!</v>
      </c>
      <c r="NJ24" s="54" t="e">
        <f ca="1">IF(AND(Control!$C$58=1, $MS24&lt;= ($MN24+0.02), $I24&lt;10), MAX(0, MIN(10, 0.7*($NF24-$MV24))), IF(Control!$C$58=2, MIN(10,$NI24),0))</f>
        <v>#DIV/0!</v>
      </c>
      <c r="NK24" s="54" t="e">
        <f t="shared" ca="1" si="96"/>
        <v>#DIV/0!</v>
      </c>
      <c r="NL24" s="173" t="e">
        <f ca="1">(1-Control!$C$73)*$I24+$NJ24</f>
        <v>#DIV/0!</v>
      </c>
      <c r="NM24" s="172" t="e">
        <f ca="1">IF($NL24&lt;0.5, $MB24* MAX(0, MIN(1, (SQRT($NC24)-SQRT($NC24-1))*Control!$C$71)),0)</f>
        <v>#DIV/0!</v>
      </c>
      <c r="NN24" s="170" t="e">
        <f ca="1">IF($NL24&gt;=5, $MB24, MAX(0,MIN($MB24, $NM24+$NL24,($MS24-Control!$C$129))))</f>
        <v>#DIV/0!</v>
      </c>
      <c r="NO24" s="54">
        <f>IF(Control!$C$133&lt;&gt;1, Control!$C$135-Control!$C$131, 0)</f>
        <v>0.38</v>
      </c>
      <c r="NP24" s="54" t="e">
        <f t="shared" ca="1" si="97"/>
        <v>#DIV/0!</v>
      </c>
      <c r="NQ24" s="173" t="e">
        <f ca="1">MAX(0,MIN(1,(Control!$C$135-$MS24)/(Control!$C$135-$NO24)))</f>
        <v>#DIV/0!</v>
      </c>
      <c r="NR24" s="170" t="e">
        <f ca="1">IF(Control!$C$133&lt;&gt;1, $NQ24+((1-$NP24/4)*(1-$NQ24)),1)</f>
        <v>#DIV/0!</v>
      </c>
      <c r="NS24" s="170" t="e">
        <f ca="1">IF(Control!$B$31=0,$MJ24,MAX(0,MIN($MV24,$MO24*$NR24*$MJ24)))</f>
        <v>#DIV/0!</v>
      </c>
      <c r="NT24" s="170" t="e">
        <f t="shared" ca="1" si="227"/>
        <v>#DIV/0!</v>
      </c>
      <c r="NU24" s="170" t="e">
        <f t="shared" ca="1" si="180"/>
        <v>#N/A</v>
      </c>
      <c r="NV24" s="170" t="e">
        <f t="shared" ca="1" si="98"/>
        <v>#N/A</v>
      </c>
      <c r="NW24" s="175" t="e">
        <f t="shared" ca="1" si="99"/>
        <v>#DIV/0!</v>
      </c>
      <c r="NX24" s="170" t="e">
        <f ca="1">MIN(Control!$C$72+$MU24, $NW24)</f>
        <v>#DIV/0!</v>
      </c>
      <c r="NY24" s="170" t="e">
        <f ca="1">IF($MT24&lt;=$NX24,MIN(Control!$C$72+$NB24,$NX24-$MT24),0)</f>
        <v>#DIV/0!</v>
      </c>
      <c r="NZ24" s="54" t="e">
        <f ca="1">IF(Control!$C$114=1,  $CX24*($MX24-Control!$C$127), 0)</f>
        <v>#DIV/0!</v>
      </c>
      <c r="OA24" s="170" t="e">
        <f t="shared" ca="1" si="181"/>
        <v>#DIV/0!</v>
      </c>
      <c r="OB24" s="170" t="e">
        <f ca="1">IF($NA24 &lt;=$NY24, MIN(Control!$C$72, $NY24-$NA24), 0)</f>
        <v>#DIV/0!</v>
      </c>
      <c r="OC24" s="168" t="e">
        <f t="shared" ca="1" si="100"/>
        <v>#DIV/0!</v>
      </c>
      <c r="OD24" s="168" t="e">
        <f t="shared" ca="1" si="182"/>
        <v>#DIV/0!</v>
      </c>
      <c r="OE24" s="170">
        <f ca="1">Control!$C$73*$I24</f>
        <v>0</v>
      </c>
      <c r="OF24" s="176" t="e">
        <f t="shared" ca="1" si="101"/>
        <v>#DIV/0!</v>
      </c>
      <c r="OG24" s="168" t="e">
        <f t="shared" ca="1" si="102"/>
        <v>#DIV/0!</v>
      </c>
      <c r="OH24" s="168" t="e">
        <f t="shared" ca="1" si="103"/>
        <v>#DIV/0!</v>
      </c>
      <c r="OI24" s="168" t="e">
        <f t="shared" ca="1" si="104"/>
        <v>#DIV/0!</v>
      </c>
      <c r="OJ24" s="168" t="e">
        <f t="shared" ca="1" si="105"/>
        <v>#DIV/0!</v>
      </c>
      <c r="OK24" s="204" t="e">
        <f t="shared" ca="1" si="183"/>
        <v>#DIV/0!</v>
      </c>
      <c r="OL24" s="177">
        <f>Control!$C$127</f>
        <v>0.15</v>
      </c>
      <c r="OM24" s="182" t="e">
        <f t="shared" ca="1" si="106"/>
        <v>#N/A</v>
      </c>
      <c r="ON24" s="177">
        <f>Control!$C$128</f>
        <v>0.35</v>
      </c>
      <c r="OO24" s="182" t="e">
        <f t="shared" ca="1" si="107"/>
        <v>#N/A</v>
      </c>
      <c r="OP24" s="138">
        <f t="shared" ca="1" si="184"/>
        <v>0</v>
      </c>
      <c r="OQ24" s="138" t="e">
        <f t="shared" ca="1" si="211"/>
        <v>#DIV/0!</v>
      </c>
      <c r="OR24" s="138" t="e">
        <f t="shared" ca="1" si="185"/>
        <v>#DIV/0!</v>
      </c>
      <c r="OS24" s="137" t="e">
        <f t="shared" ca="1" si="212"/>
        <v>#DIV/0!</v>
      </c>
      <c r="OT24" s="139" t="e">
        <f t="shared" ca="1" si="213"/>
        <v>#DIV/0!</v>
      </c>
      <c r="OU24" s="138" t="e">
        <f t="shared" ca="1" si="214"/>
        <v>#N/A</v>
      </c>
      <c r="OV24" s="138" t="e">
        <f t="shared" ca="1" si="215"/>
        <v>#DIV/0!</v>
      </c>
      <c r="OW24" s="138" t="e">
        <f t="shared" ca="1" si="186"/>
        <v>#DIV/0!</v>
      </c>
      <c r="OX24" s="138" t="e">
        <f t="shared" ca="1" si="187"/>
        <v>#DIV/0!</v>
      </c>
      <c r="OY24" s="138" t="e">
        <f t="shared" ca="1" si="188"/>
        <v>#DIV/0!</v>
      </c>
      <c r="OZ24" s="138" t="e">
        <f t="shared" ca="1" si="108"/>
        <v>#DIV/0!</v>
      </c>
      <c r="PA24" s="138" t="e">
        <f t="shared" ca="1" si="109"/>
        <v>#DIV/0!</v>
      </c>
      <c r="PB24" s="55">
        <f>IF(Control!$C$61="T", IF(Control!$C$65="F", IF($AH$6-Control!$C$60&lt;0,0,1), IF(365+$AH$6-Control!$C$60&lt;0,0,1)),0)</f>
        <v>0</v>
      </c>
      <c r="PC24" s="55">
        <f ca="1">IF(Control!$C$65="F", IF($AH$6-$HF24&lt;0,0,1), IF(365+$AH$6-$HF24&lt;0,0,1))</f>
        <v>1</v>
      </c>
      <c r="PD24" s="444">
        <f>Control!$C$118</f>
        <v>1500</v>
      </c>
      <c r="PE24" s="180" t="e">
        <f t="shared" ca="1" si="110"/>
        <v>#N/A</v>
      </c>
      <c r="PF24" s="445">
        <f t="shared" ca="1" si="189"/>
        <v>0.71612369323045078</v>
      </c>
      <c r="PT24" s="186"/>
      <c r="PU24" s="186"/>
      <c r="PV24" s="94"/>
      <c r="PW24" s="94"/>
      <c r="PX24" s="94"/>
      <c r="PY24" s="94"/>
      <c r="PZ24" s="94"/>
      <c r="QA24" s="94"/>
      <c r="QB24" s="94"/>
      <c r="QC24" s="94"/>
      <c r="QD24" s="94"/>
      <c r="QE24" s="94"/>
      <c r="QF24" s="94"/>
      <c r="QG24" s="94"/>
      <c r="QH24" s="94"/>
      <c r="QI24" s="94"/>
      <c r="QJ24" s="94"/>
      <c r="QK24" s="94"/>
      <c r="QL24" s="94"/>
      <c r="QM24" s="94"/>
      <c r="QN24" s="94"/>
      <c r="QO24" s="94"/>
      <c r="QP24" s="94"/>
    </row>
    <row r="25" spans="1:458" s="2" customFormat="1" x14ac:dyDescent="0.2">
      <c r="A25" s="386">
        <v>20</v>
      </c>
      <c r="B25" s="387">
        <v>1</v>
      </c>
      <c r="C25" s="387">
        <f ca="1">Weather_data!$B24</f>
        <v>0</v>
      </c>
      <c r="D25" s="388">
        <f ca="1">Weather_data!$F24</f>
        <v>0</v>
      </c>
      <c r="E25" s="388">
        <f ca="1">Weather_data!$E24</f>
        <v>0</v>
      </c>
      <c r="F25" s="388">
        <f t="shared" ca="1" si="111"/>
        <v>0</v>
      </c>
      <c r="G25" s="388">
        <f ca="1">AVERAGE($D25:$E25)+Control!$B$9</f>
        <v>0</v>
      </c>
      <c r="H25" s="388">
        <f ca="1">Weather_data!$G24</f>
        <v>0</v>
      </c>
      <c r="I25" s="388">
        <f ca="1">Weather_data!$I24</f>
        <v>0</v>
      </c>
      <c r="J25" s="388">
        <f ca="1">Weather_data!$H24</f>
        <v>0</v>
      </c>
      <c r="K25" s="389">
        <f ca="1">Weather_data!$D24</f>
        <v>0</v>
      </c>
      <c r="L25" s="388" t="e">
        <f t="shared" ca="1" si="112"/>
        <v>#N/A</v>
      </c>
      <c r="M25" s="388" t="e">
        <f t="shared" ca="1" si="0"/>
        <v>#N/A</v>
      </c>
      <c r="N25" s="388">
        <f t="shared" ca="1" si="1"/>
        <v>-6.7542585883649586E-2</v>
      </c>
      <c r="O25" s="388">
        <f t="shared" ca="1" si="113"/>
        <v>0.67542585883649586</v>
      </c>
      <c r="P25" s="390">
        <v>3</v>
      </c>
      <c r="Q25" s="388">
        <f ca="1">MAX($G25-Control!$C$107,0)</f>
        <v>0</v>
      </c>
      <c r="R25" s="388">
        <f t="shared" ca="1" si="114"/>
        <v>0</v>
      </c>
      <c r="S25" s="388">
        <f t="shared" ca="1" si="2"/>
        <v>0</v>
      </c>
      <c r="T25" s="388">
        <f t="shared" ca="1" si="3"/>
        <v>0</v>
      </c>
      <c r="U25" s="59">
        <f t="shared" ca="1" si="4"/>
        <v>0</v>
      </c>
      <c r="V25" s="391">
        <f ca="1">MAX(0,MIN(Control!$C$100-Control!$C$99,$G25-Control!$C$99)*Control!$C$63)</f>
        <v>0</v>
      </c>
      <c r="W25" s="388">
        <f t="shared" ca="1" si="190"/>
        <v>0</v>
      </c>
      <c r="X25" s="388">
        <f t="shared" ca="1" si="115"/>
        <v>0.6110000000000001</v>
      </c>
      <c r="Y25" s="388">
        <f t="shared" ca="1" si="116"/>
        <v>0</v>
      </c>
      <c r="Z25" s="388">
        <f t="shared" ca="1" si="117"/>
        <v>0.61058800000000002</v>
      </c>
      <c r="AA25" s="388">
        <f t="shared" ca="1" si="5"/>
        <v>0.6018</v>
      </c>
      <c r="AB25" s="388">
        <f ca="1">101.3*EXP(-0.034*Control!$C$66/($G25+273))</f>
        <v>100.69623283836242</v>
      </c>
      <c r="AC25" s="392">
        <f t="shared" ca="1" si="6"/>
        <v>4.3460251046025113E-2</v>
      </c>
      <c r="AD25" s="392">
        <f t="shared" ca="1" si="7"/>
        <v>4.4450382862832649E-2</v>
      </c>
      <c r="AE25" s="388">
        <f t="shared" ca="1" si="8"/>
        <v>0</v>
      </c>
      <c r="AF25" s="388">
        <f ca="1">MAX(0,$G25-Control!$C$92)</f>
        <v>0</v>
      </c>
      <c r="AG25" s="393">
        <f t="shared" ca="1" si="118"/>
        <v>20</v>
      </c>
      <c r="AH25" s="389">
        <f t="shared" ca="1" si="9"/>
        <v>20</v>
      </c>
      <c r="AI25" s="388">
        <f t="shared" ca="1" si="119"/>
        <v>-0.3533602933999514</v>
      </c>
      <c r="AJ25" s="388">
        <f ca="1">IF(Control!$C$60&lt;=0,$HH25,$HI25)</f>
        <v>1</v>
      </c>
      <c r="AK25" s="388">
        <f t="shared" ca="1" si="10"/>
        <v>-1.0328523792623976</v>
      </c>
      <c r="AL25" s="388">
        <f t="shared" ca="1" si="11"/>
        <v>1.3525638942191164E-18</v>
      </c>
      <c r="AM25" s="388">
        <f t="shared" ca="1" si="12"/>
        <v>-1.0328523792623976</v>
      </c>
      <c r="AN25" s="388">
        <f t="shared" ca="1" si="13"/>
        <v>-0.34863612566999258</v>
      </c>
      <c r="AO25" s="388">
        <f ca="1">-0.10453/COS(Control!$B$8*PI()/180)*COS(AN25)</f>
        <v>-0.15957052335427868</v>
      </c>
      <c r="AP25" s="388">
        <f ca="1">ACOS(AO25-TAN(Control!$B$8*PI()/180)*TAN(AN25))</f>
        <v>1.2601570873162031</v>
      </c>
      <c r="AQ25" s="388">
        <f t="shared" ca="1" si="120"/>
        <v>0</v>
      </c>
      <c r="AR25" s="394">
        <f t="shared" ca="1" si="14"/>
        <v>0</v>
      </c>
      <c r="AS25" s="436">
        <f ca="1">IF(Control!$B$18=2,(IF(OR($AH25=Control!$B$175,$AH25=Control!$B$176,$AH25=Control!$B$177,$AH25=Control!$B$178,$AH25=Control!$B$179,$AH25=Control!$B$180,$AH25=Control!$B$181,$AH25=Control!$B$182,$AH25=Control!$B$183,$AH25=Control!$B$184,$AH25=Control!$B$185),1,0)),0)</f>
        <v>0</v>
      </c>
      <c r="AT25" s="436">
        <f>IF(Control!$B$20=8,IF(AND($AH25&gt;=Control!$B$172,$AH25&lt;=Control!$B$173),1,0),0)</f>
        <v>0</v>
      </c>
      <c r="AU25" s="436">
        <f>IF(Control!$B$20=8,IF($AV24=1,1*$AT25,IF($AT25=1,$AU24+1,$AU24)),0)</f>
        <v>0</v>
      </c>
      <c r="AV25" s="436">
        <f>IF(Control!$B$20=8,IF($AU25&gt;=Control!$B$174,1,0),0)</f>
        <v>0</v>
      </c>
      <c r="AW25" s="436">
        <f ca="1">IF(AND(Control!$B$18=2,Control!$B$171=1), $AV25, $AS25)</f>
        <v>0</v>
      </c>
      <c r="AX25" s="436" t="e">
        <f ca="1">IF(AND(Control!$B$18=1,$EU25&gt;=Control!$B$19),-$AY25,IF(AND(Control!$B$18=2,$AW25=1,$EU25&gt;$DS25),-$AY25, IF(Control!$C$108=0,0, IF(Control!$C$108&lt;&gt;0,1))))</f>
        <v>#N/A</v>
      </c>
      <c r="AY25" s="436" t="e">
        <f t="shared" ca="1" si="121"/>
        <v>#N/A</v>
      </c>
      <c r="AZ25" s="436" t="e">
        <f ca="1">IF(AND(Control!$B$18=1,$EB25&gt;Control!$B$19),$AZ24+1, IF(AND(Control!$B$18=2, $AW25=1, $EB25&gt;$DS25), $AZ24+1,$AZ24))</f>
        <v>#N/A</v>
      </c>
      <c r="BA25" s="587">
        <f>IF(Control!$C$81=0,1,IF($AH25&gt;=Control!$C$82,1,0))</f>
        <v>1</v>
      </c>
      <c r="BB25" s="140" t="e">
        <f ca="1">IF($BA25&gt;$BA24,Control!$C$83,IF($AW25&gt;0,$AW25*Control!$C$84,IF(AND(Control!$B$18=1,EN24&lt;&gt;0),Control!$C$84,0)))</f>
        <v>#N/A</v>
      </c>
      <c r="BC25" s="140" t="e">
        <f t="shared" ca="1" si="122"/>
        <v>#N/A</v>
      </c>
      <c r="BD25" s="140" t="e">
        <f ca="1">BC25*IF(OR($G25&lt;Control!$C$92,$G25&gt;Control!$C$95),0,IF(AND($G25&gt;=Control!$C$92,$G25&lt;=Control!$C$93),$G25-Control!$C$92,IF(AND($G25&gt;Control!$C$93,$G25&lt;=Control!$C$94),Control!$C$93-Control!$C$92,IF(AND($G25&gt;Control!$C$94,$G25&lt;=Control!$C$95),(Control!$C$93-Control!$C$92)*(Control!$C$94-$G25)/(Control!$C$95-Control!$C$94)))))</f>
        <v>#N/A</v>
      </c>
      <c r="BE25" s="140" t="e">
        <f t="shared" ca="1" si="123"/>
        <v>#N/A</v>
      </c>
      <c r="BF25" s="140" t="e">
        <f ca="1">IF($BE25&lt;=Control!$C$86,$BE25,Control!$C$86-$BE25)</f>
        <v>#N/A</v>
      </c>
      <c r="BG25" s="140" t="e">
        <f ca="1">IF(AND($AW25=1,Control!$C$84&lt;9),1,IF($BE25&gt;=Control!$C$86,0,$BC25))</f>
        <v>#N/A</v>
      </c>
      <c r="BH25" s="404" t="e">
        <f ca="1">IF($BG25=0,0,IF($BE25&lt;=Control!$C$86,$BC25*9*($BF25/Control!$C$86),0))</f>
        <v>#N/A</v>
      </c>
      <c r="BI25" s="140" t="e">
        <f ca="1">IF($BG25=1,0,IF($BE25&gt;=Control!$C$86,1,IF(AND($BB25&lt;21,$BB25&gt;=9),1,$BM24)))</f>
        <v>#N/A</v>
      </c>
      <c r="BJ25" s="140" t="e">
        <f ca="1">IF($BF25&lt;0,-$BF25,$BI25*IF(OR($G25&lt;Control!$C$92,$G25&gt;Control!$C$95),0,IF(AND($G25&gt;=Control!$C$92,$G25&lt;=Control!$C$93),$G25-Control!$C$92,IF(AND($G25&gt;Control!$C$93,$G25&lt;=Control!$C$94),Control!$C$93-Control!$C$92,IF(AND($G25&gt;Control!$C$94,$G25&lt;=Control!$C$95),(Control!$C$93-Control!$C$92)*(Control!$C$94-$G25)/(Control!$C$95-Control!$C$94))))))</f>
        <v>#N/A</v>
      </c>
      <c r="BK25" s="140" t="e">
        <f t="shared" ca="1" si="124"/>
        <v>#N/A</v>
      </c>
      <c r="BL25" s="140" t="e">
        <f ca="1">IF($BK25&lt;=Control!$C$87,$BK25,Control!$C$87-$BK25)</f>
        <v>#N/A</v>
      </c>
      <c r="BM25" s="140" t="e">
        <f ca="1">IF(AND($BB25&gt;=9,$BB25&lt;21),1,IF($BK25&gt;=Control!$C$87,0,$BI25))</f>
        <v>#N/A</v>
      </c>
      <c r="BN25" s="404" t="e">
        <f ca="1">IF($BM25=0,0,IF($BK25&lt;=Control!$C$87,$BI25*(9+(21-9)*($BL25/Control!$C$87)),0))</f>
        <v>#N/A</v>
      </c>
      <c r="BO25" s="140" t="e">
        <f ca="1">IF($BM25=1,0,IF($BK25&gt;=Control!$C$87,1,IF(AND($BB25&lt;30,$BB25&gt;=21),1,$BS24)))</f>
        <v>#N/A</v>
      </c>
      <c r="BP25" s="140" t="e">
        <f ca="1">IF($BL25&lt;0,-$BL25,$BO25*IF(OR($G25&lt;Control!$C$92,$G25&gt;Control!$C$95),0,IF(AND($G25&gt;=Control!$C$92,$G25&lt;=Control!$C$93),$G25-Control!$C$92,IF(AND($G25&gt;Control!$C$93,$G25&lt;=Control!$C$94),Control!$C$93-Control!$C$92,IF(AND($G25&gt;Control!$C$94,$G25&lt;=Control!$C$95),(Control!$C$93-Control!$C$92)*(Control!$C$94-$G25)/(Control!$C$95-Control!$C$94))))))</f>
        <v>#N/A</v>
      </c>
      <c r="BQ25" s="140" t="e">
        <f t="shared" ca="1" si="15"/>
        <v>#N/A</v>
      </c>
      <c r="BR25" s="140" t="e">
        <f ca="1">IF($BQ25&lt;=Control!$C$88,$BQ25,Control!$C$88-$BQ25)</f>
        <v>#N/A</v>
      </c>
      <c r="BS25" s="140" t="e">
        <f ca="1">IF(AND($BB25&gt;=21,$BB25&lt;30),1,IF($BQ25&gt;=Control!$C$88,0,$BO25))</f>
        <v>#N/A</v>
      </c>
      <c r="BT25" s="404" t="e">
        <f ca="1">IF($BS25=0,0,IF($BQ25&lt;=Control!$C$88,$BO25*(21+(30-21)*(BR25/Control!$C$88)),0))</f>
        <v>#N/A</v>
      </c>
      <c r="BU25" s="140" t="e">
        <f ca="1">IF(BG25+BM25+BS25=1,0,IF(OR(AND($BB25&lt;60,$BB25&gt;=30),$BQ25&gt;=Control!$C$88),1*$BA25,$BY24))</f>
        <v>#N/A</v>
      </c>
      <c r="BV25" s="140" t="e">
        <f ca="1">IF($BR25&lt;0,-$BR25,$BU25*IF(OR($G25&lt;Control!$C$92,$G25&gt;Control!$C$95),0,IF(AND($G25&gt;=Control!$C$92,$G25&lt;=Control!$C$93),$G25-Control!$C$92,IF(AND($G25&gt;Control!$C$93,$G25&lt;=Control!$C$94),Control!$C$93-Control!$C$92,IF(AND($G25&gt;Control!$C$94,$G25&lt;=Control!$C$95),(Control!$C$93-Control!$C$92)*(Control!$C$94-$G25)/(Control!$C$95-Control!$C$94))))))</f>
        <v>#N/A</v>
      </c>
      <c r="BW25" s="140" t="e">
        <f t="shared" ca="1" si="16"/>
        <v>#N/A</v>
      </c>
      <c r="BX25" s="140" t="e">
        <f ca="1">IF($BW25&lt;=Control!$C$89,$BW25,Control!$C$89-$BW25)</f>
        <v>#N/A</v>
      </c>
      <c r="BY25" s="140" t="e">
        <f ca="1">IF(AND($AJ25&gt;=30,$AJ25&lt;60),1,IF($BW25&gt;=Control!$C$89,0,$BU25))</f>
        <v>#N/A</v>
      </c>
      <c r="BZ25" s="404" t="e">
        <f ca="1">IF($BY25=0,0,IF($BW25&lt;=Control!$C$89,$BU25*(30+(60-30)*(BX25/Control!$C$89)),0))</f>
        <v>#N/A</v>
      </c>
      <c r="CA25" s="140" t="e">
        <f ca="1">IF($BG25+$BM25+$BS25+$BY25=1,0,IF(OR(AND($BB25&lt;65,$BB25&gt;=60),$BW25&gt;=Control!$C$89),1*$BA25,$CE24))</f>
        <v>#N/A</v>
      </c>
      <c r="CB25" s="140" t="e">
        <f ca="1">IF($BX25&lt;0,-$BX25,$CA25*IF(OR($G25&lt;Control!$C$92,$G25&gt;Control!$C$95),0,IF(AND($G25&gt;=Control!$C$92,$G25&lt;=Control!$C$93),$G25-Control!$C$92,IF(AND($G25&gt;Control!$C$93,$G25&lt;=Control!$C$94),Control!$C$93-Control!$C$92,IF(AND($G25&gt;Control!$C$94,$G25&lt;=Control!$C$95),(Control!$C$93-Control!$C$92)*(Control!$C$94-$G25)/(Control!$C$95-Control!$C$94))))))</f>
        <v>#N/A</v>
      </c>
      <c r="CC25" s="140" t="e">
        <f t="shared" ca="1" si="125"/>
        <v>#N/A</v>
      </c>
      <c r="CD25" s="140" t="e">
        <f ca="1">IF($CC25&lt;=Control!$C$90,$CC25,Control!$C$90-$CC25)</f>
        <v>#N/A</v>
      </c>
      <c r="CE25" s="140" t="e">
        <f ca="1">IF(AND($BB25&gt;=60,$BB25&lt;65),1,IF($CC25&gt;=Control!$C$90,0,$CA25))</f>
        <v>#N/A</v>
      </c>
      <c r="CF25" s="404" t="e">
        <f ca="1">IF($CE25=0,0,IF($CC25&lt;=Control!$C$90,$CA25*(60+(65-60)*(CD25/Control!$C$90)),0))</f>
        <v>#N/A</v>
      </c>
      <c r="CG25" s="140" t="e">
        <f ca="1">IF($BG25+$BM25+$BS25+$BY25+$CE25=1,0,IF(OR(AND($BB25&lt;90,$BB25&gt;=65),$CC25&gt;=Control!$C$90),$BA25,$CK24))</f>
        <v>#N/A</v>
      </c>
      <c r="CH25" s="140" t="e">
        <f ca="1">IF($CD25&lt;0,-$CD25,$CG25*IF(OR($G25&lt;Control!$C$92,$G25&gt;Control!$C$95),0,IF(AND($G25&gt;=Control!$C$92,$G25&lt;=Control!$C$93),$G25-Control!$C$92,IF(AND($G25&gt;Control!$C$93,$G25&lt;=Control!$C$94),Control!$C$93-Control!$C$92,IF(AND($G25&gt;Control!$C$94,$G25&lt;=Control!$C$95),(Control!$C$93-Control!$C$92)*(Control!$C$94-$G25)/(Control!$C$95-Control!$C$94))))))</f>
        <v>#N/A</v>
      </c>
      <c r="CI25" s="140" t="e">
        <f t="shared" ca="1" si="126"/>
        <v>#N/A</v>
      </c>
      <c r="CJ25" s="140" t="e">
        <f ca="1">IF($CI25&lt;=Control!$C$91,$CI25,Control!$C$91-$CI25)</f>
        <v>#N/A</v>
      </c>
      <c r="CK25" s="140" t="e">
        <f ca="1">IF(AND($BB25&gt;=65,$BB25&lt;90),1,IF($CI25&gt;=Control!$C$91,0,$CG25))</f>
        <v>#N/A</v>
      </c>
      <c r="CL25" s="404" t="e">
        <f ca="1">IF($CK25=0,0,IF($CI25&lt;=Control!$C$91,$CG25*(65+(90-65)*($CJ25/Control!$C$91)),0))</f>
        <v>#N/A</v>
      </c>
      <c r="CM25" s="140" t="e">
        <f ca="1">IF($BG25+$BM25+$BS25+$BY25+$CE25+$CK25=1,0,IF(OR($BB25&gt;=90,$CI25&gt;=Control!$C$91),$BA25,$CM24))</f>
        <v>#N/A</v>
      </c>
      <c r="CN25" s="140" t="e">
        <f t="shared" ca="1" si="127"/>
        <v>#N/A</v>
      </c>
      <c r="CO25" s="140" t="e">
        <f t="shared" ca="1" si="128"/>
        <v>#N/A</v>
      </c>
      <c r="CP25" s="140" t="e">
        <f t="shared" ca="1" si="129"/>
        <v>#N/A</v>
      </c>
      <c r="CQ25" s="141" t="e">
        <f ca="1">VLOOKUP($CP25,Control!$B$86:$G$91,6)</f>
        <v>#N/A</v>
      </c>
      <c r="CR25" s="141" t="e">
        <f ca="1">(1-$CQ25)*VLOOKUP($CP25,Control!$B$86:$D$91,3)</f>
        <v>#N/A</v>
      </c>
      <c r="CS25" s="141" t="e">
        <f ca="1">(1-$CQ25)*VLOOKUP($CP25,Control!$B$86:$E$91,4)</f>
        <v>#N/A</v>
      </c>
      <c r="CT25" s="141" t="e">
        <f ca="1">(1-$CQ25)*VLOOKUP($CP25,Control!$B$86:$F$91,5)</f>
        <v>#N/A</v>
      </c>
      <c r="CU25" s="141">
        <f t="shared" ca="1" si="130"/>
        <v>0</v>
      </c>
      <c r="CV25" s="583">
        <f t="shared" ca="1" si="131"/>
        <v>0</v>
      </c>
      <c r="CW25" s="142">
        <f t="shared" ca="1" si="132"/>
        <v>20</v>
      </c>
      <c r="CX25" s="612" t="e">
        <f ca="1">IF(Control!$C$114=1,(MIN(Control!$C$120*(IF($NT25-0.01&lt;0,0,1)),Control!$C$119-$CY25)))</f>
        <v>#DIV/0!</v>
      </c>
      <c r="CY25" s="143" t="e">
        <f t="shared" ca="1" si="133"/>
        <v>#N/A</v>
      </c>
      <c r="CZ25" s="144">
        <f t="shared" ca="1" si="17"/>
        <v>0</v>
      </c>
      <c r="DA25" s="144">
        <f t="shared" ca="1" si="18"/>
        <v>0</v>
      </c>
      <c r="DB25" s="144" t="e">
        <f t="shared" ca="1" si="19"/>
        <v>#N/A</v>
      </c>
      <c r="DC25" s="144" t="e">
        <f t="shared" ca="1" si="20"/>
        <v>#N/A</v>
      </c>
      <c r="DD25" s="144" t="e">
        <f t="shared" ca="1" si="216"/>
        <v>#N/A</v>
      </c>
      <c r="DE25" s="143" t="e">
        <f t="shared" ca="1" si="135"/>
        <v>#N/A</v>
      </c>
      <c r="DF25" s="145" t="e">
        <f ca="1">$DR25*EXP(-Control!$C$158*(1-$KH25))</f>
        <v>#N/A</v>
      </c>
      <c r="DG25" s="146" t="e">
        <f ca="1">IF(Control!$C$114=1, $DF25*$EY25, 0)</f>
        <v>#N/A</v>
      </c>
      <c r="DH25" s="147" t="e">
        <f t="shared" ca="1" si="136"/>
        <v>#N/A</v>
      </c>
      <c r="DI25" s="144" t="e">
        <f t="shared" ca="1" si="191"/>
        <v>#N/A</v>
      </c>
      <c r="DJ25" s="147" t="e">
        <f ca="1">$EF25*Control!$C$109</f>
        <v>#N/A</v>
      </c>
      <c r="DK25" s="144" t="e">
        <f t="shared" ca="1" si="137"/>
        <v>#N/A</v>
      </c>
      <c r="DL25" s="144" t="e">
        <f t="shared" ca="1" si="21"/>
        <v>#N/A</v>
      </c>
      <c r="DM25" s="144" t="e">
        <f ca="1">IF(Control!$C$114=1, (1-EXP(-Control!$C$96*$DK25))*$AR25, 0)</f>
        <v>#N/A</v>
      </c>
      <c r="DN25" s="144">
        <f t="shared" ca="1" si="138"/>
        <v>0</v>
      </c>
      <c r="DO25" s="148">
        <f>Control!$C$97</f>
        <v>4</v>
      </c>
      <c r="DP25" s="145" t="e">
        <f t="shared" ca="1" si="139"/>
        <v>#N/A</v>
      </c>
      <c r="DQ25" s="145" t="e">
        <f ca="1">IF(AND($CP25&gt;=0,$CP25&lt;=90),Control!$C$111,Control!$C$111)</f>
        <v>#N/A</v>
      </c>
      <c r="DR25" s="145" t="e">
        <f t="shared" ca="1" si="22"/>
        <v>#N/A</v>
      </c>
      <c r="DS25" s="143" t="e">
        <f ca="1">Control!$B$22/$DR25</f>
        <v>#N/A</v>
      </c>
      <c r="DT25" s="149" t="e">
        <f ca="1">IF(AND(Control!$C$114=1,$KH25&lt;1),$IM25*$DF25, 0)</f>
        <v>#N/A</v>
      </c>
      <c r="DU25" s="144" t="e">
        <f t="shared" ca="1" si="192"/>
        <v>#N/A</v>
      </c>
      <c r="DV25" s="144">
        <f ca="1">IF($G25-Control!$C$107&lt;=0, 0, 0.83*LN(MAX($G25, 3))-0.8924)</f>
        <v>0</v>
      </c>
      <c r="DW25" s="144" t="e">
        <f t="shared" ca="1" si="23"/>
        <v>#N/A</v>
      </c>
      <c r="DX25" s="150" t="e">
        <f ca="1">MAX(0.01*(1+$CU25/Control!$C$102),0.05*($DK25-Control!$C$97)/Control!$C$97)</f>
        <v>#N/A</v>
      </c>
      <c r="DY25" s="151" t="e">
        <f ca="1">IF(Control!$C$114=1, $DI25*$FS25, 0)</f>
        <v>#N/A</v>
      </c>
      <c r="DZ25" s="196" t="e">
        <f t="shared" ca="1" si="140"/>
        <v>#N/A</v>
      </c>
      <c r="EA25" s="152">
        <f t="shared" ca="1" si="141"/>
        <v>20</v>
      </c>
      <c r="EB25" s="153" t="e">
        <f t="shared" ca="1" si="217"/>
        <v>#N/A</v>
      </c>
      <c r="EC25" s="153" t="e">
        <f t="shared" ca="1" si="142"/>
        <v>#N/A</v>
      </c>
      <c r="ED25" s="154" t="e">
        <f ca="1">IF(Control!$C$114=1, $HM25*$FY25-$FD25, 0)</f>
        <v>#DIV/0!</v>
      </c>
      <c r="EE25" s="155" t="e">
        <f ca="1">IF(Control!$C$114=1, $HM25*$FZ25-$FF25, 0)</f>
        <v>#DIV/0!</v>
      </c>
      <c r="EF25" s="153" t="e">
        <f t="shared" ca="1" si="193"/>
        <v>#N/A</v>
      </c>
      <c r="EG25" s="155" t="e">
        <f ca="1">IF(Control!$C$114=1, $GX25*$FW25-$FI25, 0)</f>
        <v>#DIV/0!</v>
      </c>
      <c r="EH25" s="153" t="e">
        <f t="shared" ca="1" si="143"/>
        <v>#N/A</v>
      </c>
      <c r="EI25" s="156" t="e">
        <f t="shared" ca="1" si="144"/>
        <v>#N/A</v>
      </c>
      <c r="EJ25" s="155" t="e">
        <f ca="1">IF(Control!$C$114=1, $HM25*$GB25, 0)</f>
        <v>#DIV/0!</v>
      </c>
      <c r="EK25" s="153" t="e">
        <f t="shared" ca="1" si="194"/>
        <v>#N/A</v>
      </c>
      <c r="EL25" s="153" t="e">
        <f t="shared" ca="1" si="24"/>
        <v>#N/A</v>
      </c>
      <c r="EM25" s="153" t="e">
        <f t="shared" ca="1" si="25"/>
        <v>#N/A</v>
      </c>
      <c r="EN25" s="153" t="e">
        <f ca="1">IF(Control!$C$108=1,IF(AND(Control!$B$18=1,$EB25&gt;=Control!$B$19),$EB25-$DS25,IF(AND(Control!$B$18=2,$AW25=1,$EB25&gt;$DS25),$EB25-$DS25,0)))</f>
        <v>#N/A</v>
      </c>
      <c r="EO25" s="153" t="e">
        <f ca="1">IF(Control!$C$108=1,IF(AND(Control!$B$18=1,$EB25&gt;=Control!$B$19),$EF25,IF(AND(Control!$B$18=2,$AW25=1),$EF25,0)))</f>
        <v>#N/A</v>
      </c>
      <c r="EP25" s="153" t="e">
        <f ca="1">IF(Control!$C$108=1,IF(AND(Control!$B$18=1,$EB25&gt;=Control!$B$19),$EK25,IF(AND(Control!$B$18=2,$AW25=1),$EK25,0)))</f>
        <v>#N/A</v>
      </c>
      <c r="EQ25" s="153" t="e">
        <f t="shared" ca="1" si="145"/>
        <v>#N/A</v>
      </c>
      <c r="ER25" s="153" t="e">
        <f t="shared" ca="1" si="195"/>
        <v>#N/A</v>
      </c>
      <c r="ES25" s="153" t="e">
        <f t="shared" ca="1" si="196"/>
        <v>#N/A</v>
      </c>
      <c r="ET25" s="153" t="e">
        <f t="shared" ca="1" si="197"/>
        <v>#N/A</v>
      </c>
      <c r="EU25" s="153" t="e">
        <f t="shared" ca="1" si="198"/>
        <v>#N/A</v>
      </c>
      <c r="EV25" s="153" t="e">
        <f t="shared" ca="1" si="146"/>
        <v>#N/A</v>
      </c>
      <c r="EW25" s="153" t="e">
        <f t="shared" ca="1" si="218"/>
        <v>#N/A</v>
      </c>
      <c r="EX25" s="153" t="e">
        <f t="shared" ca="1" si="26"/>
        <v>#N/A</v>
      </c>
      <c r="EY25" s="157" t="e">
        <f t="shared" ca="1" si="147"/>
        <v>#DIV/0!</v>
      </c>
      <c r="EZ25" s="154" t="e">
        <f t="shared" ca="1" si="27"/>
        <v>#DIV/0!</v>
      </c>
      <c r="FA25" s="153" t="e">
        <f t="shared" ca="1" si="199"/>
        <v>#N/A</v>
      </c>
      <c r="FB25" s="153" t="e">
        <f t="shared" ca="1" si="28"/>
        <v>#N/A</v>
      </c>
      <c r="FC25" s="193" t="e">
        <f t="shared" ca="1" si="29"/>
        <v>#N/A</v>
      </c>
      <c r="FD25" s="158" t="e">
        <f t="shared" ca="1" si="200"/>
        <v>#N/A</v>
      </c>
      <c r="FE25" s="158" t="e">
        <f t="shared" ca="1" si="148"/>
        <v>#N/A</v>
      </c>
      <c r="FF25" s="159" t="e">
        <f t="shared" ca="1" si="30"/>
        <v>#N/A</v>
      </c>
      <c r="FG25" s="160" t="e">
        <f t="shared" ca="1" si="149"/>
        <v>#N/A</v>
      </c>
      <c r="FH25" s="158" t="e">
        <f t="shared" ca="1" si="150"/>
        <v>#N/A</v>
      </c>
      <c r="FI25" s="159" t="e">
        <f t="shared" ca="1" si="31"/>
        <v>#N/A</v>
      </c>
      <c r="FJ25" s="160" t="e">
        <f t="shared" ca="1" si="151"/>
        <v>#N/A</v>
      </c>
      <c r="FK25" s="160" t="e">
        <f t="shared" ca="1" si="32"/>
        <v>#N/A</v>
      </c>
      <c r="FL25" s="160" t="e">
        <f t="shared" ca="1" si="229"/>
        <v>#N/A</v>
      </c>
      <c r="FM25" s="160" t="e">
        <f t="shared" ca="1" si="33"/>
        <v>#N/A</v>
      </c>
      <c r="FN25" s="158">
        <f t="shared" ca="1" si="219"/>
        <v>0.01</v>
      </c>
      <c r="FO25" s="160">
        <f>Control!$C$101</f>
        <v>50</v>
      </c>
      <c r="FP25" s="150" t="e">
        <f t="shared" ca="1" si="34"/>
        <v>#N/A</v>
      </c>
      <c r="FQ25" s="150" t="e">
        <f ca="1">MAX(0,(Control!$C$112*(($DK25-Control!$C$97)/Control!$C$97)))</f>
        <v>#N/A</v>
      </c>
      <c r="FR25" s="150" t="e">
        <f ca="1">(1-$NT25)*Control!$C$113</f>
        <v>#DIV/0!</v>
      </c>
      <c r="FS25" s="198" t="e">
        <f t="shared" ca="1" si="35"/>
        <v>#N/A</v>
      </c>
      <c r="FT25" s="161">
        <f t="shared" ca="1" si="152"/>
        <v>20</v>
      </c>
      <c r="FU25" s="162" t="e">
        <f ca="1">IF(Control!$B$34=1,VLOOKUP($CP25,Control!$B$86:$G$91,6),Control!$B$35)</f>
        <v>#N/A</v>
      </c>
      <c r="FV25" s="162" t="e">
        <f t="shared" ca="1" si="36"/>
        <v>#DIV/0!</v>
      </c>
      <c r="FW25" s="162" t="e">
        <f ca="1">IF(Control!$B$31=1,$FU25*$FV25,  $FU25)</f>
        <v>#N/A</v>
      </c>
      <c r="FX25" s="162" t="e">
        <f ca="1">IF(Control!$B$34=1,VLOOKUP($CP25,Control!$B$86:$G$91,3),Control!$B$36)</f>
        <v>#N/A</v>
      </c>
      <c r="FY25" s="162" t="e">
        <f t="shared" ca="1" si="37"/>
        <v>#N/A</v>
      </c>
      <c r="FZ25" s="162" t="e">
        <f ca="1">IF(Control!$B$34=1,VLOOKUP($CP25,Control!$B$86:$G$91,4),Control!$B$37)</f>
        <v>#N/A</v>
      </c>
      <c r="GA25" s="162" t="e">
        <f t="shared" ca="1" si="38"/>
        <v>#N/A</v>
      </c>
      <c r="GB25" s="162" t="e">
        <f ca="1">IF(Control!$B$34=1,VLOOKUP($CP25,Control!$B$86:$G$91,5),Control!$B$38)</f>
        <v>#N/A</v>
      </c>
      <c r="GC25" s="162" t="e">
        <f t="shared" ca="1" si="153"/>
        <v>#N/A</v>
      </c>
      <c r="GD25" s="162">
        <f t="shared" ca="1" si="39"/>
        <v>1</v>
      </c>
      <c r="GE25" s="162">
        <f t="shared" ca="1" si="40"/>
        <v>1</v>
      </c>
      <c r="GF25" s="162">
        <f ca="1">IF(AND(Control!$C$104=1, Control!$C$62="F"),$GE25,1)</f>
        <v>1</v>
      </c>
      <c r="GG25" s="162" t="e">
        <f ca="1">IF(Control!$B$16=40,0,IF(AND(Control!$B$16&gt;40,Control!$B$16&lt;=360),(Control!$B$16-40)*((1-0)/(360-40)),IF(AND(Control!$B$16&gt;360,Control!$B$16&lt;=720),(1+(Control!$B$16-360)*((1.25-1)/(720-360))),IF(AND(Control!$B$16&gt;720,Control!$B$16&lt;=1000),(1.25+(Control!$B$16-720)*((1.35-1.25)/(1000-720))),IF(AND(Control!$B$16&gt;1000,Control!$B$16&lt;=2000),(1.35+(Control!$B$16-1000)*0))))))</f>
        <v>#N/A</v>
      </c>
      <c r="GH25" s="162" t="e">
        <f t="shared" ca="1" si="41"/>
        <v>#N/A</v>
      </c>
      <c r="GI25" s="162">
        <f t="shared" ca="1" si="201"/>
        <v>0</v>
      </c>
      <c r="GJ25" s="162">
        <f t="shared" ca="1" si="42"/>
        <v>0</v>
      </c>
      <c r="GK25" s="162">
        <f t="shared" ca="1" si="220"/>
        <v>1</v>
      </c>
      <c r="GL25" s="162">
        <f t="shared" ca="1" si="43"/>
        <v>1</v>
      </c>
      <c r="GM25" s="162" t="e">
        <f ca="1">MAX(0,MIN(1,1-Control!$C$156*(1.0001-$KH25)^2))</f>
        <v>#N/A</v>
      </c>
      <c r="GN25" s="162" t="e">
        <f ca="1">IF(Control!$B$26=1,$KU25,$KX25)</f>
        <v>#N/A</v>
      </c>
      <c r="GO25" s="162" t="e">
        <f ca="1">IF($CP25&lt;=60,Control!$C$105,IF($CP25&gt;=90,Control!$C$106,Control!$C$105+($CP25-60)*((Control!$C$106-Control!$C$105)/(90-60))))</f>
        <v>#N/A</v>
      </c>
      <c r="GP25" s="162" t="e">
        <f t="shared" ca="1" si="154"/>
        <v>#N/A</v>
      </c>
      <c r="GQ25" s="162" t="e">
        <f t="shared" ca="1" si="155"/>
        <v>#N/A</v>
      </c>
      <c r="GR25" s="163" t="e">
        <f t="shared" ca="1" si="44"/>
        <v>#DIV/0!</v>
      </c>
      <c r="GS25" s="162" t="e">
        <f t="shared" ca="1" si="45"/>
        <v>#DIV/0!</v>
      </c>
      <c r="GT25" s="164" t="e">
        <f t="shared" ca="1" si="156"/>
        <v>#N/A</v>
      </c>
      <c r="GU25" s="162" t="e">
        <f t="shared" ca="1" si="157"/>
        <v>#N/A</v>
      </c>
      <c r="GV25" s="162" t="e">
        <f t="shared" ca="1" si="46"/>
        <v>#N/A</v>
      </c>
      <c r="GW25" s="162" t="e">
        <f t="shared" ca="1" si="221"/>
        <v>#DIV/0!</v>
      </c>
      <c r="GX25" s="162" t="e">
        <f t="shared" ca="1" si="228"/>
        <v>#DIV/0!</v>
      </c>
      <c r="GY25" s="162" t="e">
        <f t="shared" ca="1" si="158"/>
        <v>#DIV/0!</v>
      </c>
      <c r="GZ25" s="165" t="e">
        <f t="shared" ca="1" si="159"/>
        <v>#N/A</v>
      </c>
      <c r="HA25" s="162" t="e">
        <f ca="1">IF(Control!$C$114=1, $DI25*$FS25, 0)</f>
        <v>#N/A</v>
      </c>
      <c r="HB25" s="162" t="e">
        <f ca="1">$FA25/Control!$C$64</f>
        <v>#N/A</v>
      </c>
      <c r="HC25" s="162" t="e">
        <f t="shared" ca="1" si="222"/>
        <v>#DIV/0!</v>
      </c>
      <c r="HD25" s="162">
        <f ca="1">-ASIN(SIN(23.45*Control!$C$139)*COS(2*Control!$C$138*($AH25+10)/365))</f>
        <v>-0.3533602933999514</v>
      </c>
      <c r="HE25" s="165">
        <f t="shared" ca="1" si="160"/>
        <v>0</v>
      </c>
      <c r="HF25" s="166">
        <f ca="1">IF(AND(Control!$C$61="T",$HE25&gt;=Control!$C$103,Control!$C$114=0),$AH25,Control!$C$59)</f>
        <v>1</v>
      </c>
      <c r="HG25" s="166">
        <f ca="1">IF(AND(Control!$C$61="T",$HE25&gt;=Control!$C$103,Control!$C$114=0),$HF25,Control!$C$59)</f>
        <v>1</v>
      </c>
      <c r="HH25" s="165">
        <f ca="1">IF(AND(OR(Control!$C$60&lt;=0, $AH25= Control!$C$59, Control!$C$60 &gt;0, $AH25 = Control!$C$60)), Control!$C$59, IF(Control!$C$60&gt;0, 0))</f>
        <v>1</v>
      </c>
      <c r="HI25" s="165">
        <f ca="1">IF(AND(OR(Control!$C$60&lt;=0, $AH25= Control!$C$59, Control!$C$60 &gt;0, $AH25 = Control!$C$60)), Control!$C$60, IF(Control!$C$60&lt;=0, 0))</f>
        <v>0</v>
      </c>
      <c r="HJ25" s="166">
        <f ca="1">IF(AND(Control!$C$62="F",$CV25&gt;=Control!$C$102),$AH25,0)</f>
        <v>0</v>
      </c>
      <c r="HK25" s="165" t="e">
        <f t="shared" ca="1" si="202"/>
        <v>#N/A</v>
      </c>
      <c r="HL25" s="166">
        <f ca="1">IF(AND(Control!$C$61="T",$HE25&gt;=Control!$C$103,Control!$C$114=0),$HF25,0)</f>
        <v>0</v>
      </c>
      <c r="HM25" s="201" t="e">
        <f t="shared" ca="1" si="47"/>
        <v>#DIV/0!</v>
      </c>
      <c r="HN25" s="215">
        <f t="shared" ca="1" si="161"/>
        <v>20</v>
      </c>
      <c r="HO25" s="216" t="e">
        <f ca="1">IF(AND($CP25&gt;=0, $CP25&lt;=90), Control!$C$152, Control!$C$152)</f>
        <v>#N/A</v>
      </c>
      <c r="HP25" s="216" t="e">
        <f t="shared" ca="1" si="48"/>
        <v>#N/A</v>
      </c>
      <c r="HQ25" s="217" t="e">
        <f ca="1">IF(OR(Control!$B$26=1,Control!$B$26=2),$KV25,$KS25)</f>
        <v>#DIV/0!</v>
      </c>
      <c r="HR25" s="218" t="e">
        <f t="shared" ca="1" si="223"/>
        <v>#DIV/0!</v>
      </c>
      <c r="HS25" s="216" t="e">
        <f ca="1">Control!$C$154*$HP25</f>
        <v>#N/A</v>
      </c>
      <c r="HT25" s="216" t="e">
        <f ca="1">Control!$C$155*$HP25</f>
        <v>#N/A</v>
      </c>
      <c r="HU25" s="217" t="e">
        <f ca="1">Control!$C$161*$FI25</f>
        <v>#N/A</v>
      </c>
      <c r="HV25" s="218" t="e">
        <f t="shared" ca="1" si="162"/>
        <v>#N/A</v>
      </c>
      <c r="HW25" s="218" t="e">
        <f ca="1">Control!$C$160*$FF25+$IP25*$EO25</f>
        <v>#N/A</v>
      </c>
      <c r="HX25" s="218" t="e">
        <f t="shared" ca="1" si="203"/>
        <v>#N/A</v>
      </c>
      <c r="HY25" s="219" t="e">
        <f ca="1">IF(Control!$C$114=1, $EB25*$FS25, 0)</f>
        <v>#N/A</v>
      </c>
      <c r="HZ25" s="91" t="e">
        <f t="shared" ca="1" si="49"/>
        <v>#N/A</v>
      </c>
      <c r="IA25" s="220" t="e">
        <f ca="1">Control!$C$153*$HO25</f>
        <v>#N/A</v>
      </c>
      <c r="IB25" s="218" t="e">
        <f t="shared" ca="1" si="50"/>
        <v>#N/A</v>
      </c>
      <c r="IC25" s="220" t="e">
        <f ca="1">Control!$C$153*$HT25</f>
        <v>#N/A</v>
      </c>
      <c r="ID25" s="218" t="e">
        <f t="shared" ca="1" si="51"/>
        <v>#N/A</v>
      </c>
      <c r="IE25" s="221" t="e">
        <f ca="1">($EB25*Control!$C$159+$EF25*Control!$C$160)/(IF($GZ25&lt;&gt;0,$GZ25,1))</f>
        <v>#N/A</v>
      </c>
      <c r="IF25" s="216" t="e">
        <f t="shared" ca="1" si="52"/>
        <v>#N/A</v>
      </c>
      <c r="IG25" s="91">
        <f ca="1">IF(OR(Control!$B$198=$AH25,Control!$B$199=$AH25, Control!$B$200=$AH25, Control!$B$201=$AH25, Control!$B$202=$AH25, Control!$B$203=$AH25, Control!$B$204=$AH25, Control!$B$205=$AH25, Control!$B$206=$AH25, Control!$B$207=$AH25), 1, 0)</f>
        <v>0</v>
      </c>
      <c r="IH25" s="91">
        <f ca="1">IF($IG25=0,0, VLOOKUP($AH25,Control!$B$198:$C$207,2))</f>
        <v>0</v>
      </c>
      <c r="II25" s="222">
        <f t="shared" ca="1" si="163"/>
        <v>0</v>
      </c>
      <c r="IJ25" s="91">
        <f>Control!$C$121</f>
        <v>0.7</v>
      </c>
      <c r="IK25" s="218">
        <f t="shared" ca="1" si="53"/>
        <v>0</v>
      </c>
      <c r="IL25" s="217" t="e">
        <f t="shared" ca="1" si="204"/>
        <v>#N/A</v>
      </c>
      <c r="IM25" s="223" t="e">
        <f ca="1">IF(AND(Control!$C$114=1,$KH25&lt;1),$EB25*Control!$C$148*(1-$KH25), 0)</f>
        <v>#N/A</v>
      </c>
      <c r="IN25" s="217" t="e">
        <f t="shared" ca="1" si="54"/>
        <v>#DIV/0!</v>
      </c>
      <c r="IO25" s="91" t="e">
        <f ca="1">MAX(0,$IL25-$EF25*Control!$C$160)</f>
        <v>#N/A</v>
      </c>
      <c r="IP25" s="220" t="e">
        <f t="shared" ca="1" si="55"/>
        <v>#N/A</v>
      </c>
      <c r="IQ25" s="217" t="e">
        <f t="shared" ca="1" si="164"/>
        <v>#N/A</v>
      </c>
      <c r="IR25" s="218" t="e">
        <f t="shared" ca="1" si="56"/>
        <v>#N/A</v>
      </c>
      <c r="IS25" s="217" t="e">
        <f ca="1">Control!$C$159*MAX(0,$FD25-$EN25)</f>
        <v>#N/A</v>
      </c>
      <c r="IT25" s="217" t="e">
        <f t="shared" ca="1" si="205"/>
        <v>#N/A</v>
      </c>
      <c r="IU25" s="217" t="e">
        <f t="shared" ca="1" si="165"/>
        <v>#N/A</v>
      </c>
      <c r="IV25" s="217" t="e">
        <f t="shared" ca="1" si="206"/>
        <v>#N/A</v>
      </c>
      <c r="IW25" s="217" t="e">
        <f ca="1">IF(OR($AW25=1,AND($AW25=0, Control!$B$18=1,$EN25&lt;&gt;0)), $IQ25-$IU25, $IQ25)</f>
        <v>#N/A</v>
      </c>
      <c r="IX25" s="218" t="e">
        <f t="shared" ca="1" si="57"/>
        <v>#N/A</v>
      </c>
      <c r="IY25" s="218" t="e">
        <f ca="1">MAX(0,$IQ25-$EB25*Control!$C$159)</f>
        <v>#N/A</v>
      </c>
      <c r="IZ25" s="218" t="e">
        <f t="shared" ca="1" si="58"/>
        <v>#N/A</v>
      </c>
      <c r="JA25" s="216" t="e">
        <f t="shared" ca="1" si="59"/>
        <v>#N/A</v>
      </c>
      <c r="JB25" s="217" t="e">
        <f t="shared" ca="1" si="60"/>
        <v>#N/A</v>
      </c>
      <c r="JC25" s="222" t="e">
        <f ca="1">MAX(Control!$C$157*$EK25-$JT25, 0)/Control!$C$162</f>
        <v>#N/A</v>
      </c>
      <c r="JD25" s="218" t="e">
        <f t="shared" ca="1" si="61"/>
        <v>#N/A</v>
      </c>
      <c r="JE25" s="218" t="e">
        <f t="shared" ca="1" si="62"/>
        <v>#N/A</v>
      </c>
      <c r="JF25" s="218" t="e">
        <f t="shared" ca="1" si="207"/>
        <v>#N/A</v>
      </c>
      <c r="JG25" s="218" t="e">
        <f t="shared" ca="1" si="63"/>
        <v>#N/A</v>
      </c>
      <c r="JH25" s="217" t="e">
        <f t="shared" ca="1" si="166"/>
        <v>#N/A</v>
      </c>
      <c r="JI25" s="217" t="e">
        <f t="shared" ca="1" si="167"/>
        <v>#N/A</v>
      </c>
      <c r="JJ25" s="217" t="e">
        <f t="shared" ca="1" si="224"/>
        <v>#N/A</v>
      </c>
      <c r="JK25" s="217" t="e">
        <f ca="1">IF(Control!$C$114=1,IF(Control!$B$24=0,MAX(0,$JI25)*$GN25/Control!$C$64,(MAX(0,MIN($JI25,$JJ25*$GN25/Control!$C$64),0))))</f>
        <v>#N/A</v>
      </c>
      <c r="JL25" s="217" t="e">
        <f ca="1">$IK25/Control!$C$64-$JK25+$HQ25</f>
        <v>#N/A</v>
      </c>
      <c r="JM25" s="217" t="e">
        <f ca="1">IF(Control!$C$114=1,($JB25/(IF($JI25&lt;&gt;0,$JI25,1)))*$JK25,0)</f>
        <v>#N/A</v>
      </c>
      <c r="JN25" s="217" t="e">
        <f ca="1">IF(Control!$C$114=1,($JG25/(IF($JI25&lt;&gt;0,$JI25,1)))*$JK25, 0)</f>
        <v>#N/A</v>
      </c>
      <c r="JO25" s="218" t="e">
        <f t="shared" ca="1" si="64"/>
        <v>#N/A</v>
      </c>
      <c r="JP25" s="218" t="e">
        <f ca="1">MIN(($IY25+$IO25)*Control!$C$151, $JF25-$EH25*Control!$C$161)</f>
        <v>#N/A</v>
      </c>
      <c r="JQ25" s="218" t="e">
        <f t="shared" ca="1" si="65"/>
        <v>#N/A</v>
      </c>
      <c r="JR25" s="217" t="e">
        <f ca="1">IF($CP25-Control!$C$150&lt;0, 0, $JQ25/Control!$C$162)</f>
        <v>#N/A</v>
      </c>
      <c r="JS25" s="218" t="e">
        <f t="shared" ca="1" si="66"/>
        <v>#N/A</v>
      </c>
      <c r="JT25" s="218" t="e">
        <f t="shared" ca="1" si="168"/>
        <v>#N/A</v>
      </c>
      <c r="JU25" s="218" t="e">
        <f t="shared" ca="1" si="67"/>
        <v>#N/A</v>
      </c>
      <c r="JV25" s="218" t="e">
        <f t="shared" ca="1" si="68"/>
        <v>#N/A</v>
      </c>
      <c r="JW25" s="216" t="e">
        <f t="shared" ca="1" si="69"/>
        <v>#N/A</v>
      </c>
      <c r="JX25" s="91" t="e">
        <f t="shared" ca="1" si="70"/>
        <v>#N/A</v>
      </c>
      <c r="JY25" s="218" t="e">
        <f t="shared" ca="1" si="71"/>
        <v>#N/A</v>
      </c>
      <c r="JZ25" s="217" t="e">
        <f ca="1">IF(Control!$C$114=1,($IZ25/(IF($JI25&lt;&gt;0,$JI25,1)))*$JK25, 0)</f>
        <v>#N/A</v>
      </c>
      <c r="KA25" s="218" t="e">
        <f t="shared" ca="1" si="225"/>
        <v>#N/A</v>
      </c>
      <c r="KB25" s="218" t="e">
        <f t="shared" ca="1" si="169"/>
        <v>#N/A</v>
      </c>
      <c r="KC25" s="218" t="e">
        <f t="shared" ca="1" si="72"/>
        <v>#N/A</v>
      </c>
      <c r="KD25" s="218" t="e">
        <f t="shared" ca="1" si="73"/>
        <v>#N/A</v>
      </c>
      <c r="KE25" s="218" t="e">
        <f t="shared" ca="1" si="74"/>
        <v>#N/A</v>
      </c>
      <c r="KF25" s="218" t="e">
        <f t="shared" ca="1" si="75"/>
        <v>#N/A</v>
      </c>
      <c r="KG25" s="216" t="e">
        <f t="shared" ca="1" si="76"/>
        <v>#N/A</v>
      </c>
      <c r="KH25" s="221" t="e">
        <f ca="1">IF(Control!$B$24=0,1,MAX(0.001,MIN(1,IF(($IF25-$IE25)&lt;&gt;0,($KG25-$IE25)/($IF25-$IE25),1))))</f>
        <v>#N/A</v>
      </c>
      <c r="KI25" s="222" t="e">
        <f ca="1">IF(Control!$C$114=1, $KI24+ $KH24, 0)</f>
        <v>#N/A</v>
      </c>
      <c r="KJ25" s="217" t="e">
        <f t="shared" ca="1" si="77"/>
        <v>#N/A</v>
      </c>
      <c r="KK25" s="218" t="e">
        <f t="shared" ca="1" si="78"/>
        <v>#N/A</v>
      </c>
      <c r="KL25" s="274" t="e">
        <f ca="1">IF(Control!$B$26=3,4000000000*EXP(-8400/($G25+273)),IF(Control!$B$26=4,4000000000*EXP(-8400/($G25+273))*($KT25),0))</f>
        <v>#DIV/0!</v>
      </c>
      <c r="KM25" s="274" t="e">
        <f ca="1">IF(Control!$B$26=3,5600000000000*EXP(-9800/($G25+273)),IF(Control!$B$26=4,5600000000000*EXP(-9800/($G25+273))*$KT25,0))</f>
        <v>#DIV/0!</v>
      </c>
      <c r="KN25" s="454" t="e">
        <f t="shared" ca="1" si="170"/>
        <v>#DIV/0!</v>
      </c>
      <c r="KO25" s="274" t="e">
        <f t="shared" ca="1" si="171"/>
        <v>#DIV/0!</v>
      </c>
      <c r="KP25" s="454" t="e">
        <f t="shared" ca="1" si="79"/>
        <v>#DIV/0!</v>
      </c>
      <c r="KQ25" s="454" t="e">
        <f t="shared" ca="1" si="80"/>
        <v>#DIV/0!</v>
      </c>
      <c r="KR25" s="454" t="e">
        <f t="shared" ca="1" si="81"/>
        <v>#DIV/0!</v>
      </c>
      <c r="KS25" s="454" t="e">
        <f t="shared" ca="1" si="82"/>
        <v>#DIV/0!</v>
      </c>
      <c r="KT25" s="455" t="e">
        <f t="shared" ca="1" si="83"/>
        <v>#DIV/0!</v>
      </c>
      <c r="KU25" s="456" t="e">
        <f ca="1">IF($CP25-Control!$C$149&lt;0, IF($NT25-0.01&lt;0,0,1),0)</f>
        <v>#N/A</v>
      </c>
      <c r="KV25" s="456" t="e">
        <f ca="1">IF(Control!$C$114=1,MAX(0,MIN(Control!$C$125*$KW25*$GN25,$KW25)))</f>
        <v>#DIV/0!</v>
      </c>
      <c r="KW25" s="456" t="e">
        <f t="shared" ca="1" si="208"/>
        <v>#DIV/0!</v>
      </c>
      <c r="KX25" s="457" t="e">
        <f ca="1">IF($CP25-Control!$C$149&lt;0, IF($MR25-$OM25&lt;0,0,1),0)</f>
        <v>#N/A</v>
      </c>
      <c r="KY25" s="167">
        <f t="shared" ca="1" si="172"/>
        <v>20</v>
      </c>
      <c r="KZ25" s="168">
        <f ca="1">1370*(1+0.033*COS(2*Control!$C$138*$AH25/365))</f>
        <v>1412.5569436396036</v>
      </c>
      <c r="LA25" s="169">
        <f t="shared" ca="1" si="173"/>
        <v>1.0310634714779239</v>
      </c>
      <c r="LB25" s="169">
        <f t="shared" ca="1" si="174"/>
        <v>-0.35390099838142475</v>
      </c>
      <c r="LC25" s="169">
        <f ca="1">ACOS(-TAN((2*Control!$B$8/360))*TAN(Calculations!$LB25))</f>
        <v>1.4607711105657823</v>
      </c>
      <c r="LD25" s="169">
        <f ca="1">((24*60)/PI())*0.082*$LA25*(($LC25*SIN(Control!$B$8*2*PI()/360))*SIN($LB25)+COS(Control!$B$8*2*PI()/360)*COS($LB25)*SIN($LC25))</f>
        <v>6.7853514753621518</v>
      </c>
      <c r="LE25" s="170">
        <f t="shared" ca="1" si="84"/>
        <v>8.1612104261562752</v>
      </c>
      <c r="LF25" s="170">
        <f ca="1">SIN(Control!$C$139*Control!$B$8)*SIN($HD25)</f>
        <v>-0.27269349107968943</v>
      </c>
      <c r="LG25" s="170">
        <f ca="1">COS(Control!$C$139*Control!$B$8)*COS($HD25)</f>
        <v>0.57762136930770169</v>
      </c>
      <c r="LH25" s="170">
        <f ca="1">12*(1+2*ASIN(MAX(-1,MIN(1,$LF25/$LG25))/Control!$C$138))</f>
        <v>8.3797370643368794</v>
      </c>
      <c r="LI25" s="170">
        <f ca="1">12*(1+2*ASIN(MAX(-1,MIN(1,(-SIN(-4*Control!$C$139)+$LF25)/$LG25))/Control!$C$138))</f>
        <v>9.3104015097904345</v>
      </c>
      <c r="LJ25" s="168">
        <f ca="1">3600*($LH25*$LF25+24*$LG25*SQRT(1-$LK25*$LK25)/Control!$C$138)</f>
        <v>5777.6151700674427</v>
      </c>
      <c r="LK25" s="170">
        <f t="shared" ca="1" si="85"/>
        <v>-0.47209730382122395</v>
      </c>
      <c r="LL25" s="170">
        <f t="shared" ca="1" si="86"/>
        <v>0</v>
      </c>
      <c r="LM25" s="171">
        <f ca="1">Control!$C$145*$AB25</f>
        <v>6.6660906138995932E-2</v>
      </c>
      <c r="LN25" s="170">
        <f t="shared" ca="1" si="175"/>
        <v>0.54</v>
      </c>
      <c r="LO25" s="170">
        <f t="shared" ca="1" si="87"/>
        <v>0</v>
      </c>
      <c r="LP25" s="170">
        <f ca="1">Control!$C$140*((($D25+273.16)^4+($E25+273.16)^4)/2)*(0.34-0.14*SQRT($Y25))*(1.35*$AQ25/(0.75*$LD25)-0.35)</f>
        <v>-3.2464704755046001</v>
      </c>
      <c r="LQ25" s="170">
        <f ca="1">Control!$C$140*($G25+273)^4*(0.56-0.079*SQRT($Y25*10))*(0.1+0.9*$LO25)</f>
        <v>1.5241745131704001</v>
      </c>
      <c r="LR25" s="170">
        <f ca="1">$AQ25*(1-Control!$C$142)-$LQ25</f>
        <v>-1.5241745131704001</v>
      </c>
      <c r="LS25" s="170">
        <f ca="1">$AQ25*(1-Control!$C$143)-$LQ25</f>
        <v>-1.5241745131704001</v>
      </c>
      <c r="LT25" s="170">
        <f ca="1">$AQ25*(1-Control!$C$144)-$LQ25</f>
        <v>-1.5241745131704001</v>
      </c>
      <c r="LU25" s="169">
        <f ca="1">(1-Control!$C$144)*AQ25-LP25</f>
        <v>3.2464704755046001</v>
      </c>
      <c r="LV25" s="172">
        <f t="shared" ca="1" si="88"/>
        <v>0.79430000000000012</v>
      </c>
      <c r="LW25" s="170">
        <f t="shared" ca="1" si="89"/>
        <v>1.5886000000000002</v>
      </c>
      <c r="LX25" s="170">
        <f ca="1">($AC25*($LR25/Control!$C$141)+$LM25*$LV25)/($AC25+$LM25)</f>
        <v>0.23530094218323697</v>
      </c>
      <c r="LY25" s="170">
        <f ca="1">($AC25*($LS25/Control!$C$141)+$LM25*$LV25)/($AC25+$LM25)</f>
        <v>0.23530094218323697</v>
      </c>
      <c r="LZ25" s="170">
        <f t="shared" ca="1" si="90"/>
        <v>0.23530094218323697</v>
      </c>
      <c r="MA25" s="170">
        <f t="shared" ca="1" si="91"/>
        <v>0.23530094218323697</v>
      </c>
      <c r="MB25" s="170" t="e">
        <f t="shared" ca="1" si="92"/>
        <v>#N/A</v>
      </c>
      <c r="MC25" s="170">
        <f t="shared" ca="1" si="176"/>
        <v>0.6018</v>
      </c>
      <c r="MD25" s="170">
        <f t="shared" ca="1" si="93"/>
        <v>0.52989392535414004</v>
      </c>
      <c r="ME25" s="170">
        <f ca="1">($AC25*($LT25/Control!$C$141)+$LM25*$LW25)/($AC25+$LM25)</f>
        <v>0.71612369323045078</v>
      </c>
      <c r="MF25" s="170" t="e">
        <f ca="1">IF(Control!$B$16&gt;=1000,0.92,IF(AND(720&lt;=Control!$B$16,1000&gt;Control!$B$16),(0.95+(Control!$B$16-720)*((0.92-0.95)/(1000-720))),IF(AND(360&lt;=Control!$B$16,720&gt;Control!$B$16),(1+(Control!$B$16-360)*((0.95-1)/(720-360))),IF(AND(40&lt;=Control!$B$16,360&gt;Control!$B$16),(1.05+(Control!$B$16-40)*((1.05-1)/(360-40)))))))</f>
        <v>#N/A</v>
      </c>
      <c r="MG25" s="170">
        <f t="shared" ca="1" si="94"/>
        <v>0.71612369323045078</v>
      </c>
      <c r="MH25" s="170" t="e">
        <f t="shared" ca="1" si="95"/>
        <v>#N/A</v>
      </c>
      <c r="MI25" s="170" t="e">
        <f t="shared" ca="1" si="95"/>
        <v>#N/A</v>
      </c>
      <c r="MJ25" s="170" t="e">
        <f ca="1">MAX(0.0001, Control!$C$132*$MI25*$DL25)</f>
        <v>#N/A</v>
      </c>
      <c r="MK25" s="170">
        <f ca="1">1/(0.76+1.5*($MG25/10))-(5-Control!$C$110)*0.1</f>
        <v>1.002845988140797</v>
      </c>
      <c r="ML25" s="173">
        <f ca="1">IF(Control!$C$110&lt;3,$MK25+($MG25-0.6)/(Control!$C$110*(Control!$C$110+3)), MAX(0.1, MIN(0.95,$MK25)))</f>
        <v>0.95</v>
      </c>
      <c r="MM25" s="173">
        <f ca="1">IF(Control!$C$110&lt;3,$MK25+(($MI25/10)-0.6)/(Control!$C$110*(Control!$C$110+3)), MAX(0.1, MIN(0.95,$MK25)))</f>
        <v>0.95</v>
      </c>
      <c r="MN25" s="173">
        <f ca="1">(1-$MM25)*(Control!$C$128-Control!$C$127)+Control!$C$127</f>
        <v>0.16</v>
      </c>
      <c r="MO25" s="170" t="e">
        <f ca="1">MAX(0,MIN(1,($MS25-Control!$C$127)/($MN25-Control!$C$127)))</f>
        <v>#DIV/0!</v>
      </c>
      <c r="MP25" s="173" t="e">
        <f ca="1">1/(0.76+1.5*$MI25)-(5-Control!$C$110)*0.1</f>
        <v>#N/A</v>
      </c>
      <c r="MQ25" s="172" t="e">
        <f t="shared" ca="1" si="209"/>
        <v>#DIV/0!</v>
      </c>
      <c r="MR25" s="168" t="e">
        <f t="shared" ca="1" si="226"/>
        <v>#DIV/0!</v>
      </c>
      <c r="MS25" s="173" t="e">
        <f ca="1">MAX(Control!$C$127, MIN(Control!$C$135, $MR25/MAX(0.0001,$CY25)))</f>
        <v>#DIV/0!</v>
      </c>
      <c r="MT25" s="168" t="e">
        <f ca="1">(Control!$C$128-$MS25)*Control!$C$74</f>
        <v>#DIV/0!</v>
      </c>
      <c r="MU25" s="168" t="e">
        <f ca="1">(Control!$C$135-$MS25)*Control!$C$74</f>
        <v>#DIV/0!</v>
      </c>
      <c r="MV25" s="168" t="e">
        <f t="shared" ca="1" si="210"/>
        <v>#DIV/0!</v>
      </c>
      <c r="MW25" s="168" t="e">
        <f t="shared" ca="1" si="177"/>
        <v>#DIV/0!</v>
      </c>
      <c r="MX25" s="171" t="e">
        <f ca="1">MAX(Control!$C$127, MIN(Control!$C$135, $MW25/MAX(0.0001,Control!$C$119-$CY25)))</f>
        <v>#DIV/0!</v>
      </c>
      <c r="MY25" s="54" t="e">
        <f ca="1">IF(Control!$C$114=1, $CX25*$MX25, 0)</f>
        <v>#DIV/0!</v>
      </c>
      <c r="MZ25" s="54" t="e">
        <f t="shared" ca="1" si="178"/>
        <v>#N/A</v>
      </c>
      <c r="NA25" s="168" t="e">
        <f ca="1">(Control!$C$128-$MX25)*(Control!$C$119-Control!$C$74)</f>
        <v>#DIV/0!</v>
      </c>
      <c r="NB25" s="168" t="e">
        <f ca="1">(Control!$C$135-$MX25)*(Control!$C$119-Control!$C$74)</f>
        <v>#DIV/0!</v>
      </c>
      <c r="NC25" s="174" t="e">
        <f t="shared" ca="1" si="179"/>
        <v>#DIV/0!</v>
      </c>
      <c r="ND25" s="54">
        <f ca="1">IF(Control!$C$58=2, IF(OR(Control!$B$218=$AH25,Control!$B$219=$AH25, Control!$B$220=$AH25, Control!$B$221=$AH25, Control!$B$222=$AH25, Control!$B$223=$AH25, Control!$B$224=$AH25, Control!$B$225=$AH25, Control!$B$226=$AH25, Control!$B$227=$AH25, Control!$B$228=$AH25), 1, 0), 0)</f>
        <v>0</v>
      </c>
      <c r="NE25" s="54">
        <f ca="1">IF($ND25=0,0, VLOOKUP($AH25,Control!$B$218:$C$228,2))</f>
        <v>0</v>
      </c>
      <c r="NF25" s="168" t="e">
        <f ca="1">$CY25*(Control!$C$128-Control!$C$127)</f>
        <v>#N/A</v>
      </c>
      <c r="NG25" s="54" t="e">
        <f ca="1">IF(Control!$C$58=2, $NI24-$NJ24, 0)</f>
        <v>#DIV/0!</v>
      </c>
      <c r="NH25" s="54" t="e">
        <f ca="1">IF(AND(Control!$C$58=1, $MS24&lt;= ($MN24+0.02), $I24&lt;10), 0, IF(Control!$C$58=2, $NG24, 0))</f>
        <v>#DIV/0!</v>
      </c>
      <c r="NI25" s="54" t="e">
        <f ca="1">IF(Control!$C$58=2, $NE25+$NH25,0)</f>
        <v>#DIV/0!</v>
      </c>
      <c r="NJ25" s="54" t="e">
        <f ca="1">IF(AND(Control!$C$58=1, $MS25&lt;= ($MN25+0.02), $I25&lt;10), MAX(0, MIN(10, 0.7*($NF25-$MV25))), IF(Control!$C$58=2, MIN(10,$NI25),0))</f>
        <v>#DIV/0!</v>
      </c>
      <c r="NK25" s="54" t="e">
        <f t="shared" ca="1" si="96"/>
        <v>#DIV/0!</v>
      </c>
      <c r="NL25" s="173" t="e">
        <f ca="1">(1-Control!$C$73)*$I25+$NJ25</f>
        <v>#DIV/0!</v>
      </c>
      <c r="NM25" s="172" t="e">
        <f ca="1">IF($NL25&lt;0.5, $MB25* MAX(0, MIN(1, (SQRT($NC25)-SQRT($NC25-1))*Control!$C$71)),0)</f>
        <v>#DIV/0!</v>
      </c>
      <c r="NN25" s="170" t="e">
        <f ca="1">IF($NL25&gt;=5, $MB25, MAX(0,MIN($MB25, $NM25+$NL25,($MS25-Control!$C$129))))</f>
        <v>#DIV/0!</v>
      </c>
      <c r="NO25" s="54">
        <f>IF(Control!$C$133&lt;&gt;1, Control!$C$135-Control!$C$131, 0)</f>
        <v>0.38</v>
      </c>
      <c r="NP25" s="54" t="e">
        <f t="shared" ca="1" si="97"/>
        <v>#DIV/0!</v>
      </c>
      <c r="NQ25" s="173" t="e">
        <f ca="1">MAX(0,MIN(1,(Control!$C$135-$MS25)/(Control!$C$135-$NO25)))</f>
        <v>#DIV/0!</v>
      </c>
      <c r="NR25" s="170" t="e">
        <f ca="1">IF(Control!$C$133&lt;&gt;1, $NQ25+((1-$NP25/4)*(1-$NQ25)),1)</f>
        <v>#DIV/0!</v>
      </c>
      <c r="NS25" s="170" t="e">
        <f ca="1">IF(Control!$B$31=0,$MJ25,MAX(0,MIN($MV25,$MO25*$NR25*$MJ25)))</f>
        <v>#DIV/0!</v>
      </c>
      <c r="NT25" s="170" t="e">
        <f t="shared" ca="1" si="227"/>
        <v>#DIV/0!</v>
      </c>
      <c r="NU25" s="170" t="e">
        <f t="shared" ca="1" si="180"/>
        <v>#N/A</v>
      </c>
      <c r="NV25" s="170" t="e">
        <f t="shared" ca="1" si="98"/>
        <v>#N/A</v>
      </c>
      <c r="NW25" s="175" t="e">
        <f t="shared" ca="1" si="99"/>
        <v>#DIV/0!</v>
      </c>
      <c r="NX25" s="170" t="e">
        <f ca="1">MIN(Control!$C$72+$MU25, $NW25)</f>
        <v>#DIV/0!</v>
      </c>
      <c r="NY25" s="170" t="e">
        <f ca="1">IF($MT25&lt;=$NX25,MIN(Control!$C$72+$NB25,$NX25-$MT25),0)</f>
        <v>#DIV/0!</v>
      </c>
      <c r="NZ25" s="54" t="e">
        <f ca="1">IF(Control!$C$114=1,  $CX25*($MX25-Control!$C$127), 0)</f>
        <v>#DIV/0!</v>
      </c>
      <c r="OA25" s="170" t="e">
        <f t="shared" ca="1" si="181"/>
        <v>#DIV/0!</v>
      </c>
      <c r="OB25" s="170" t="e">
        <f ca="1">IF($NA25 &lt;=$NY25, MIN(Control!$C$72, $NY25-$NA25), 0)</f>
        <v>#DIV/0!</v>
      </c>
      <c r="OC25" s="168" t="e">
        <f t="shared" ca="1" si="100"/>
        <v>#DIV/0!</v>
      </c>
      <c r="OD25" s="168" t="e">
        <f t="shared" ca="1" si="182"/>
        <v>#DIV/0!</v>
      </c>
      <c r="OE25" s="170">
        <f ca="1">Control!$C$73*$I25</f>
        <v>0</v>
      </c>
      <c r="OF25" s="176" t="e">
        <f t="shared" ca="1" si="101"/>
        <v>#DIV/0!</v>
      </c>
      <c r="OG25" s="168" t="e">
        <f t="shared" ca="1" si="102"/>
        <v>#DIV/0!</v>
      </c>
      <c r="OH25" s="168" t="e">
        <f t="shared" ca="1" si="103"/>
        <v>#DIV/0!</v>
      </c>
      <c r="OI25" s="168" t="e">
        <f t="shared" ca="1" si="104"/>
        <v>#DIV/0!</v>
      </c>
      <c r="OJ25" s="168" t="e">
        <f t="shared" ca="1" si="105"/>
        <v>#DIV/0!</v>
      </c>
      <c r="OK25" s="204" t="e">
        <f t="shared" ca="1" si="183"/>
        <v>#DIV/0!</v>
      </c>
      <c r="OL25" s="177">
        <f>Control!$C$127</f>
        <v>0.15</v>
      </c>
      <c r="OM25" s="182" t="e">
        <f t="shared" ca="1" si="106"/>
        <v>#N/A</v>
      </c>
      <c r="ON25" s="177">
        <f>Control!$C$128</f>
        <v>0.35</v>
      </c>
      <c r="OO25" s="182" t="e">
        <f t="shared" ca="1" si="107"/>
        <v>#N/A</v>
      </c>
      <c r="OP25" s="138">
        <f t="shared" ca="1" si="184"/>
        <v>0</v>
      </c>
      <c r="OQ25" s="138" t="e">
        <f t="shared" ca="1" si="211"/>
        <v>#DIV/0!</v>
      </c>
      <c r="OR25" s="138" t="e">
        <f t="shared" ca="1" si="185"/>
        <v>#DIV/0!</v>
      </c>
      <c r="OS25" s="137" t="e">
        <f t="shared" ca="1" si="212"/>
        <v>#DIV/0!</v>
      </c>
      <c r="OT25" s="139" t="e">
        <f t="shared" ca="1" si="213"/>
        <v>#DIV/0!</v>
      </c>
      <c r="OU25" s="138" t="e">
        <f t="shared" ca="1" si="214"/>
        <v>#N/A</v>
      </c>
      <c r="OV25" s="138" t="e">
        <f t="shared" ca="1" si="215"/>
        <v>#DIV/0!</v>
      </c>
      <c r="OW25" s="138" t="e">
        <f t="shared" ca="1" si="186"/>
        <v>#DIV/0!</v>
      </c>
      <c r="OX25" s="138" t="e">
        <f t="shared" ca="1" si="187"/>
        <v>#DIV/0!</v>
      </c>
      <c r="OY25" s="138" t="e">
        <f t="shared" ca="1" si="188"/>
        <v>#DIV/0!</v>
      </c>
      <c r="OZ25" s="138" t="e">
        <f t="shared" ca="1" si="108"/>
        <v>#DIV/0!</v>
      </c>
      <c r="PA25" s="138" t="e">
        <f t="shared" ca="1" si="109"/>
        <v>#DIV/0!</v>
      </c>
      <c r="PB25" s="55">
        <f>IF(Control!$C$61="T", IF(Control!$C$65="F", IF($AH$6-Control!$C$60&lt;0,0,1), IF(365+$AH$6-Control!$C$60&lt;0,0,1)),0)</f>
        <v>0</v>
      </c>
      <c r="PC25" s="55">
        <f ca="1">IF(Control!$C$65="F", IF($AH$6-$HF25&lt;0,0,1), IF(365+$AH$6-$HF25&lt;0,0,1))</f>
        <v>1</v>
      </c>
      <c r="PD25" s="444">
        <f>Control!$C$118</f>
        <v>1500</v>
      </c>
      <c r="PE25" s="180" t="e">
        <f t="shared" ca="1" si="110"/>
        <v>#N/A</v>
      </c>
      <c r="PF25" s="445">
        <f t="shared" ca="1" si="189"/>
        <v>0.71612369323045078</v>
      </c>
      <c r="PT25" s="186"/>
      <c r="PU25" s="186"/>
      <c r="PV25" s="94"/>
      <c r="PW25" s="94"/>
      <c r="PX25" s="94"/>
      <c r="PY25" s="94"/>
      <c r="PZ25" s="94"/>
      <c r="QA25" s="94"/>
      <c r="QB25" s="94"/>
      <c r="QC25" s="94"/>
      <c r="QD25" s="94"/>
      <c r="QE25" s="94"/>
      <c r="QF25" s="94"/>
      <c r="QG25" s="94"/>
      <c r="QH25" s="94"/>
      <c r="QI25" s="94"/>
      <c r="QJ25" s="94"/>
      <c r="QK25" s="94"/>
      <c r="QL25" s="94"/>
      <c r="QM25" s="94"/>
      <c r="QN25" s="94"/>
      <c r="QO25" s="94"/>
      <c r="QP25" s="94"/>
    </row>
    <row r="26" spans="1:458" s="2" customFormat="1" x14ac:dyDescent="0.2">
      <c r="A26" s="386">
        <v>21</v>
      </c>
      <c r="B26" s="387">
        <v>1</v>
      </c>
      <c r="C26" s="387">
        <f ca="1">Weather_data!$B25</f>
        <v>0</v>
      </c>
      <c r="D26" s="388">
        <f ca="1">Weather_data!$F25</f>
        <v>0</v>
      </c>
      <c r="E26" s="388">
        <f ca="1">Weather_data!$E25</f>
        <v>0</v>
      </c>
      <c r="F26" s="388">
        <f t="shared" ca="1" si="111"/>
        <v>0</v>
      </c>
      <c r="G26" s="388">
        <f ca="1">AVERAGE($D26:$E26)+Control!$B$9</f>
        <v>0</v>
      </c>
      <c r="H26" s="388">
        <f ca="1">Weather_data!$G25</f>
        <v>0</v>
      </c>
      <c r="I26" s="388">
        <f ca="1">Weather_data!$I25</f>
        <v>0</v>
      </c>
      <c r="J26" s="388">
        <f ca="1">Weather_data!$H25</f>
        <v>0</v>
      </c>
      <c r="K26" s="389">
        <f ca="1">Weather_data!$D25</f>
        <v>0</v>
      </c>
      <c r="L26" s="388" t="e">
        <f t="shared" ca="1" si="112"/>
        <v>#N/A</v>
      </c>
      <c r="M26" s="388" t="e">
        <f t="shared" ca="1" si="0"/>
        <v>#N/A</v>
      </c>
      <c r="N26" s="388">
        <f t="shared" ca="1" si="1"/>
        <v>-6.0788327295284626E-2</v>
      </c>
      <c r="O26" s="388">
        <f t="shared" ca="1" si="113"/>
        <v>0.60788327295284628</v>
      </c>
      <c r="P26" s="390">
        <v>3</v>
      </c>
      <c r="Q26" s="388">
        <f ca="1">MAX($G26-Control!$C$107,0)</f>
        <v>0</v>
      </c>
      <c r="R26" s="388">
        <f t="shared" ca="1" si="114"/>
        <v>0</v>
      </c>
      <c r="S26" s="388">
        <f t="shared" ca="1" si="2"/>
        <v>0</v>
      </c>
      <c r="T26" s="388">
        <f t="shared" ca="1" si="3"/>
        <v>0</v>
      </c>
      <c r="U26" s="59">
        <f t="shared" ca="1" si="4"/>
        <v>0</v>
      </c>
      <c r="V26" s="391">
        <f ca="1">MAX(0,MIN(Control!$C$100-Control!$C$99,$G26-Control!$C$99)*Control!$C$63)</f>
        <v>0</v>
      </c>
      <c r="W26" s="388">
        <f t="shared" ca="1" si="190"/>
        <v>0</v>
      </c>
      <c r="X26" s="388">
        <f t="shared" ca="1" si="115"/>
        <v>0.6110000000000001</v>
      </c>
      <c r="Y26" s="388">
        <f t="shared" ca="1" si="116"/>
        <v>0</v>
      </c>
      <c r="Z26" s="388">
        <f t="shared" ca="1" si="117"/>
        <v>0.61058800000000002</v>
      </c>
      <c r="AA26" s="388">
        <f t="shared" ca="1" si="5"/>
        <v>0.6018</v>
      </c>
      <c r="AB26" s="388">
        <f ca="1">101.3*EXP(-0.034*Control!$C$66/($G26+273))</f>
        <v>100.69623283836242</v>
      </c>
      <c r="AC26" s="392">
        <f t="shared" ca="1" si="6"/>
        <v>4.3460251046025113E-2</v>
      </c>
      <c r="AD26" s="392">
        <f t="shared" ca="1" si="7"/>
        <v>4.4450382862832649E-2</v>
      </c>
      <c r="AE26" s="388">
        <f t="shared" ca="1" si="8"/>
        <v>0</v>
      </c>
      <c r="AF26" s="388">
        <f ca="1">MAX(0,$G26-Control!$C$92)</f>
        <v>0</v>
      </c>
      <c r="AG26" s="393">
        <f t="shared" ca="1" si="118"/>
        <v>21</v>
      </c>
      <c r="AH26" s="389">
        <f t="shared" ca="1" si="9"/>
        <v>21</v>
      </c>
      <c r="AI26" s="388">
        <f t="shared" ca="1" si="119"/>
        <v>-0.34970296017469565</v>
      </c>
      <c r="AJ26" s="388">
        <f ca="1">IF(Control!$C$60&lt;=0,$HH26,$HI26)</f>
        <v>1</v>
      </c>
      <c r="AK26" s="388">
        <f t="shared" ca="1" si="10"/>
        <v>-1.0156381729413577</v>
      </c>
      <c r="AL26" s="388">
        <f t="shared" ca="1" si="11"/>
        <v>1.9837204795480901E-18</v>
      </c>
      <c r="AM26" s="388">
        <f t="shared" ca="1" si="12"/>
        <v>-1.0156381729413577</v>
      </c>
      <c r="AN26" s="388">
        <f t="shared" ca="1" si="13"/>
        <v>-0.34485183491284688</v>
      </c>
      <c r="AO26" s="388">
        <f ca="1">-0.10453/COS(Control!$B$8*PI()/180)*COS(AN26)</f>
        <v>-0.15978887393702537</v>
      </c>
      <c r="AP26" s="388">
        <f ca="1">ACOS(AO26-TAN(Control!$B$8*PI()/180)*TAN(AN26))</f>
        <v>1.2661321019474967</v>
      </c>
      <c r="AQ26" s="388">
        <f t="shared" ca="1" si="120"/>
        <v>0</v>
      </c>
      <c r="AR26" s="394">
        <f t="shared" ca="1" si="14"/>
        <v>0</v>
      </c>
      <c r="AS26" s="436">
        <f ca="1">IF(Control!$B$18=2,(IF(OR($AH26=Control!$B$175,$AH26=Control!$B$176,$AH26=Control!$B$177,$AH26=Control!$B$178,$AH26=Control!$B$179,$AH26=Control!$B$180,$AH26=Control!$B$181,$AH26=Control!$B$182,$AH26=Control!$B$183,$AH26=Control!$B$184,$AH26=Control!$B$185),1,0)),0)</f>
        <v>0</v>
      </c>
      <c r="AT26" s="436">
        <f>IF(Control!$B$20=8,IF(AND($AH26&gt;=Control!$B$172,$AH26&lt;=Control!$B$173),1,0),0)</f>
        <v>0</v>
      </c>
      <c r="AU26" s="436">
        <f>IF(Control!$B$20=8,IF($AV25=1,1*$AT26,IF($AT26=1,$AU25+1,$AU25)),0)</f>
        <v>0</v>
      </c>
      <c r="AV26" s="436">
        <f>IF(Control!$B$20=8,IF($AU26&gt;=Control!$B$174,1,0),0)</f>
        <v>0</v>
      </c>
      <c r="AW26" s="436">
        <f ca="1">IF(AND(Control!$B$18=2,Control!$B$171=1), $AV26, $AS26)</f>
        <v>0</v>
      </c>
      <c r="AX26" s="436" t="e">
        <f ca="1">IF(AND(Control!$B$18=1,$EU26&gt;=Control!$B$19),-$AY26,IF(AND(Control!$B$18=2,$AW26=1,$EU26&gt;$DS26),-$AY26, IF(Control!$C$108=0,0, IF(Control!$C$108&lt;&gt;0,1))))</f>
        <v>#N/A</v>
      </c>
      <c r="AY26" s="436" t="e">
        <f t="shared" ca="1" si="121"/>
        <v>#N/A</v>
      </c>
      <c r="AZ26" s="436" t="e">
        <f ca="1">IF(AND(Control!$B$18=1,$EB26&gt;Control!$B$19),$AZ25+1, IF(AND(Control!$B$18=2, $AW26=1, $EB26&gt;$DS26), $AZ25+1,$AZ25))</f>
        <v>#N/A</v>
      </c>
      <c r="BA26" s="587">
        <f>IF(Control!$C$81=0,1,IF($AH26&gt;=Control!$C$82,1,0))</f>
        <v>1</v>
      </c>
      <c r="BB26" s="140" t="e">
        <f ca="1">IF($BA26&gt;$BA25,Control!$C$83,IF($AW26&gt;0,$AW26*Control!$C$84,IF(AND(Control!$B$18=1,EN25&lt;&gt;0),Control!$C$84,0)))</f>
        <v>#N/A</v>
      </c>
      <c r="BC26" s="140" t="e">
        <f t="shared" ca="1" si="122"/>
        <v>#N/A</v>
      </c>
      <c r="BD26" s="140" t="e">
        <f ca="1">BC26*IF(OR($G26&lt;Control!$C$92,$G26&gt;Control!$C$95),0,IF(AND($G26&gt;=Control!$C$92,$G26&lt;=Control!$C$93),$G26-Control!$C$92,IF(AND($G26&gt;Control!$C$93,$G26&lt;=Control!$C$94),Control!$C$93-Control!$C$92,IF(AND($G26&gt;Control!$C$94,$G26&lt;=Control!$C$95),(Control!$C$93-Control!$C$92)*(Control!$C$94-$G26)/(Control!$C$95-Control!$C$94)))))</f>
        <v>#N/A</v>
      </c>
      <c r="BE26" s="140" t="e">
        <f t="shared" ca="1" si="123"/>
        <v>#N/A</v>
      </c>
      <c r="BF26" s="140" t="e">
        <f ca="1">IF($BE26&lt;=Control!$C$86,$BE26,Control!$C$86-$BE26)</f>
        <v>#N/A</v>
      </c>
      <c r="BG26" s="140" t="e">
        <f ca="1">IF(AND($AW26=1,Control!$C$84&lt;9),1,IF($BE26&gt;=Control!$C$86,0,$BC26))</f>
        <v>#N/A</v>
      </c>
      <c r="BH26" s="404" t="e">
        <f ca="1">IF($BG26=0,0,IF($BE26&lt;=Control!$C$86,$BC26*9*($BF26/Control!$C$86),0))</f>
        <v>#N/A</v>
      </c>
      <c r="BI26" s="140" t="e">
        <f ca="1">IF($BG26=1,0,IF($BE26&gt;=Control!$C$86,1,IF(AND($BB26&lt;21,$BB26&gt;=9),1,$BM25)))</f>
        <v>#N/A</v>
      </c>
      <c r="BJ26" s="140" t="e">
        <f ca="1">IF($BF26&lt;0,-$BF26,$BI26*IF(OR($G26&lt;Control!$C$92,$G26&gt;Control!$C$95),0,IF(AND($G26&gt;=Control!$C$92,$G26&lt;=Control!$C$93),$G26-Control!$C$92,IF(AND($G26&gt;Control!$C$93,$G26&lt;=Control!$C$94),Control!$C$93-Control!$C$92,IF(AND($G26&gt;Control!$C$94,$G26&lt;=Control!$C$95),(Control!$C$93-Control!$C$92)*(Control!$C$94-$G26)/(Control!$C$95-Control!$C$94))))))</f>
        <v>#N/A</v>
      </c>
      <c r="BK26" s="140" t="e">
        <f t="shared" ca="1" si="124"/>
        <v>#N/A</v>
      </c>
      <c r="BL26" s="140" t="e">
        <f ca="1">IF($BK26&lt;=Control!$C$87,$BK26,Control!$C$87-$BK26)</f>
        <v>#N/A</v>
      </c>
      <c r="BM26" s="140" t="e">
        <f ca="1">IF(AND($BB26&gt;=9,$BB26&lt;21),1,IF($BK26&gt;=Control!$C$87,0,$BI26))</f>
        <v>#N/A</v>
      </c>
      <c r="BN26" s="404" t="e">
        <f ca="1">IF($BM26=0,0,IF($BK26&lt;=Control!$C$87,$BI26*(9+(21-9)*($BL26/Control!$C$87)),0))</f>
        <v>#N/A</v>
      </c>
      <c r="BO26" s="140" t="e">
        <f ca="1">IF($BM26=1,0,IF($BK26&gt;=Control!$C$87,1,IF(AND($BB26&lt;30,$BB26&gt;=21),1,$BS25)))</f>
        <v>#N/A</v>
      </c>
      <c r="BP26" s="140" t="e">
        <f ca="1">IF($BL26&lt;0,-$BL26,$BO26*IF(OR($G26&lt;Control!$C$92,$G26&gt;Control!$C$95),0,IF(AND($G26&gt;=Control!$C$92,$G26&lt;=Control!$C$93),$G26-Control!$C$92,IF(AND($G26&gt;Control!$C$93,$G26&lt;=Control!$C$94),Control!$C$93-Control!$C$92,IF(AND($G26&gt;Control!$C$94,$G26&lt;=Control!$C$95),(Control!$C$93-Control!$C$92)*(Control!$C$94-$G26)/(Control!$C$95-Control!$C$94))))))</f>
        <v>#N/A</v>
      </c>
      <c r="BQ26" s="140" t="e">
        <f t="shared" ca="1" si="15"/>
        <v>#N/A</v>
      </c>
      <c r="BR26" s="140" t="e">
        <f ca="1">IF($BQ26&lt;=Control!$C$88,$BQ26,Control!$C$88-$BQ26)</f>
        <v>#N/A</v>
      </c>
      <c r="BS26" s="140" t="e">
        <f ca="1">IF(AND($BB26&gt;=21,$BB26&lt;30),1,IF($BQ26&gt;=Control!$C$88,0,$BO26))</f>
        <v>#N/A</v>
      </c>
      <c r="BT26" s="404" t="e">
        <f ca="1">IF($BS26=0,0,IF($BQ26&lt;=Control!$C$88,$BO26*(21+(30-21)*(BR26/Control!$C$88)),0))</f>
        <v>#N/A</v>
      </c>
      <c r="BU26" s="140" t="e">
        <f ca="1">IF(BG26+BM26+BS26=1,0,IF(OR(AND($BB26&lt;60,$BB26&gt;=30),$BQ26&gt;=Control!$C$88),1*$BA26,$BY25))</f>
        <v>#N/A</v>
      </c>
      <c r="BV26" s="140" t="e">
        <f ca="1">IF($BR26&lt;0,-$BR26,$BU26*IF(OR($G26&lt;Control!$C$92,$G26&gt;Control!$C$95),0,IF(AND($G26&gt;=Control!$C$92,$G26&lt;=Control!$C$93),$G26-Control!$C$92,IF(AND($G26&gt;Control!$C$93,$G26&lt;=Control!$C$94),Control!$C$93-Control!$C$92,IF(AND($G26&gt;Control!$C$94,$G26&lt;=Control!$C$95),(Control!$C$93-Control!$C$92)*(Control!$C$94-$G26)/(Control!$C$95-Control!$C$94))))))</f>
        <v>#N/A</v>
      </c>
      <c r="BW26" s="140" t="e">
        <f t="shared" ca="1" si="16"/>
        <v>#N/A</v>
      </c>
      <c r="BX26" s="140" t="e">
        <f ca="1">IF($BW26&lt;=Control!$C$89,$BW26,Control!$C$89-$BW26)</f>
        <v>#N/A</v>
      </c>
      <c r="BY26" s="140" t="e">
        <f ca="1">IF(AND($AJ26&gt;=30,$AJ26&lt;60),1,IF($BW26&gt;=Control!$C$89,0,$BU26))</f>
        <v>#N/A</v>
      </c>
      <c r="BZ26" s="404" t="e">
        <f ca="1">IF($BY26=0,0,IF($BW26&lt;=Control!$C$89,$BU26*(30+(60-30)*(BX26/Control!$C$89)),0))</f>
        <v>#N/A</v>
      </c>
      <c r="CA26" s="140" t="e">
        <f ca="1">IF($BG26+$BM26+$BS26+$BY26=1,0,IF(OR(AND($BB26&lt;65,$BB26&gt;=60),$BW26&gt;=Control!$C$89),1*$BA26,$CE25))</f>
        <v>#N/A</v>
      </c>
      <c r="CB26" s="140" t="e">
        <f ca="1">IF($BX26&lt;0,-$BX26,$CA26*IF(OR($G26&lt;Control!$C$92,$G26&gt;Control!$C$95),0,IF(AND($G26&gt;=Control!$C$92,$G26&lt;=Control!$C$93),$G26-Control!$C$92,IF(AND($G26&gt;Control!$C$93,$G26&lt;=Control!$C$94),Control!$C$93-Control!$C$92,IF(AND($G26&gt;Control!$C$94,$G26&lt;=Control!$C$95),(Control!$C$93-Control!$C$92)*(Control!$C$94-$G26)/(Control!$C$95-Control!$C$94))))))</f>
        <v>#N/A</v>
      </c>
      <c r="CC26" s="140" t="e">
        <f t="shared" ca="1" si="125"/>
        <v>#N/A</v>
      </c>
      <c r="CD26" s="140" t="e">
        <f ca="1">IF($CC26&lt;=Control!$C$90,$CC26,Control!$C$90-$CC26)</f>
        <v>#N/A</v>
      </c>
      <c r="CE26" s="140" t="e">
        <f ca="1">IF(AND($BB26&gt;=60,$BB26&lt;65),1,IF($CC26&gt;=Control!$C$90,0,$CA26))</f>
        <v>#N/A</v>
      </c>
      <c r="CF26" s="404" t="e">
        <f ca="1">IF($CE26=0,0,IF($CC26&lt;=Control!$C$90,$CA26*(60+(65-60)*(CD26/Control!$C$90)),0))</f>
        <v>#N/A</v>
      </c>
      <c r="CG26" s="140" t="e">
        <f ca="1">IF($BG26+$BM26+$BS26+$BY26+$CE26=1,0,IF(OR(AND($BB26&lt;90,$BB26&gt;=65),$CC26&gt;=Control!$C$90),$BA26,$CK25))</f>
        <v>#N/A</v>
      </c>
      <c r="CH26" s="140" t="e">
        <f ca="1">IF($CD26&lt;0,-$CD26,$CG26*IF(OR($G26&lt;Control!$C$92,$G26&gt;Control!$C$95),0,IF(AND($G26&gt;=Control!$C$92,$G26&lt;=Control!$C$93),$G26-Control!$C$92,IF(AND($G26&gt;Control!$C$93,$G26&lt;=Control!$C$94),Control!$C$93-Control!$C$92,IF(AND($G26&gt;Control!$C$94,$G26&lt;=Control!$C$95),(Control!$C$93-Control!$C$92)*(Control!$C$94-$G26)/(Control!$C$95-Control!$C$94))))))</f>
        <v>#N/A</v>
      </c>
      <c r="CI26" s="140" t="e">
        <f t="shared" ca="1" si="126"/>
        <v>#N/A</v>
      </c>
      <c r="CJ26" s="140" t="e">
        <f ca="1">IF($CI26&lt;=Control!$C$91,$CI26,Control!$C$91-$CI26)</f>
        <v>#N/A</v>
      </c>
      <c r="CK26" s="140" t="e">
        <f ca="1">IF(AND($BB26&gt;=65,$BB26&lt;90),1,IF($CI26&gt;=Control!$C$91,0,$CG26))</f>
        <v>#N/A</v>
      </c>
      <c r="CL26" s="404" t="e">
        <f ca="1">IF($CK26=0,0,IF($CI26&lt;=Control!$C$91,$CG26*(65+(90-65)*($CJ26/Control!$C$91)),0))</f>
        <v>#N/A</v>
      </c>
      <c r="CM26" s="140" t="e">
        <f ca="1">IF($BG26+$BM26+$BS26+$BY26+$CE26+$CK26=1,0,IF(OR($BB26&gt;=90,$CI26&gt;=Control!$C$91),$BA26,$CM25))</f>
        <v>#N/A</v>
      </c>
      <c r="CN26" s="140" t="e">
        <f t="shared" ca="1" si="127"/>
        <v>#N/A</v>
      </c>
      <c r="CO26" s="140" t="e">
        <f t="shared" ca="1" si="128"/>
        <v>#N/A</v>
      </c>
      <c r="CP26" s="140" t="e">
        <f t="shared" ca="1" si="129"/>
        <v>#N/A</v>
      </c>
      <c r="CQ26" s="141" t="e">
        <f ca="1">VLOOKUP($CP26,Control!$B$86:$G$91,6)</f>
        <v>#N/A</v>
      </c>
      <c r="CR26" s="141" t="e">
        <f ca="1">(1-$CQ26)*VLOOKUP($CP26,Control!$B$86:$D$91,3)</f>
        <v>#N/A</v>
      </c>
      <c r="CS26" s="141" t="e">
        <f ca="1">(1-$CQ26)*VLOOKUP($CP26,Control!$B$86:$E$91,4)</f>
        <v>#N/A</v>
      </c>
      <c r="CT26" s="141" t="e">
        <f ca="1">(1-$CQ26)*VLOOKUP($CP26,Control!$B$86:$F$91,5)</f>
        <v>#N/A</v>
      </c>
      <c r="CU26" s="141">
        <f t="shared" ca="1" si="130"/>
        <v>0</v>
      </c>
      <c r="CV26" s="583">
        <f t="shared" ca="1" si="131"/>
        <v>0</v>
      </c>
      <c r="CW26" s="142">
        <f t="shared" ca="1" si="132"/>
        <v>21</v>
      </c>
      <c r="CX26" s="612" t="e">
        <f ca="1">IF(Control!$C$114=1,(MIN(Control!$C$120*(IF($NT26-0.01&lt;0,0,1)),Control!$C$119-$CY26)))</f>
        <v>#DIV/0!</v>
      </c>
      <c r="CY26" s="143" t="e">
        <f t="shared" ca="1" si="133"/>
        <v>#N/A</v>
      </c>
      <c r="CZ26" s="144">
        <f t="shared" ca="1" si="17"/>
        <v>0</v>
      </c>
      <c r="DA26" s="144">
        <f t="shared" ca="1" si="18"/>
        <v>0</v>
      </c>
      <c r="DB26" s="144" t="e">
        <f t="shared" ca="1" si="19"/>
        <v>#N/A</v>
      </c>
      <c r="DC26" s="144" t="e">
        <f t="shared" ca="1" si="20"/>
        <v>#N/A</v>
      </c>
      <c r="DD26" s="144" t="e">
        <f t="shared" ca="1" si="216"/>
        <v>#N/A</v>
      </c>
      <c r="DE26" s="143" t="e">
        <f t="shared" ca="1" si="135"/>
        <v>#N/A</v>
      </c>
      <c r="DF26" s="145" t="e">
        <f ca="1">$DR26*EXP(-Control!$C$158*(1-$KH26))</f>
        <v>#N/A</v>
      </c>
      <c r="DG26" s="146" t="e">
        <f ca="1">IF(Control!$C$114=1, $DF26*$EY26, 0)</f>
        <v>#N/A</v>
      </c>
      <c r="DH26" s="147" t="e">
        <f t="shared" ca="1" si="136"/>
        <v>#N/A</v>
      </c>
      <c r="DI26" s="144" t="e">
        <f t="shared" ca="1" si="191"/>
        <v>#N/A</v>
      </c>
      <c r="DJ26" s="147" t="e">
        <f ca="1">$EF26*Control!$C$109</f>
        <v>#N/A</v>
      </c>
      <c r="DK26" s="144" t="e">
        <f t="shared" ca="1" si="137"/>
        <v>#N/A</v>
      </c>
      <c r="DL26" s="144" t="e">
        <f t="shared" ca="1" si="21"/>
        <v>#N/A</v>
      </c>
      <c r="DM26" s="144" t="e">
        <f ca="1">IF(Control!$C$114=1, (1-EXP(-Control!$C$96*$DK26))*$AR26, 0)</f>
        <v>#N/A</v>
      </c>
      <c r="DN26" s="144">
        <f t="shared" ca="1" si="138"/>
        <v>0</v>
      </c>
      <c r="DO26" s="148">
        <f>Control!$C$97</f>
        <v>4</v>
      </c>
      <c r="DP26" s="145" t="e">
        <f t="shared" ca="1" si="139"/>
        <v>#N/A</v>
      </c>
      <c r="DQ26" s="145" t="e">
        <f ca="1">IF(AND($CP26&gt;=0,$CP26&lt;=90),Control!$C$111,Control!$C$111)</f>
        <v>#N/A</v>
      </c>
      <c r="DR26" s="145" t="e">
        <f t="shared" ca="1" si="22"/>
        <v>#N/A</v>
      </c>
      <c r="DS26" s="143" t="e">
        <f ca="1">Control!$B$22/$DR26</f>
        <v>#N/A</v>
      </c>
      <c r="DT26" s="149" t="e">
        <f ca="1">IF(AND(Control!$C$114=1,$KH26&lt;1),$IM26*$DF26, 0)</f>
        <v>#N/A</v>
      </c>
      <c r="DU26" s="144" t="e">
        <f t="shared" ca="1" si="192"/>
        <v>#N/A</v>
      </c>
      <c r="DV26" s="144">
        <f ca="1">IF($G26-Control!$C$107&lt;=0, 0, 0.83*LN(MAX($G26, 3))-0.8924)</f>
        <v>0</v>
      </c>
      <c r="DW26" s="144" t="e">
        <f t="shared" ca="1" si="23"/>
        <v>#N/A</v>
      </c>
      <c r="DX26" s="150" t="e">
        <f ca="1">MAX(0.01*(1+$CU26/Control!$C$102),0.05*($DK26-Control!$C$97)/Control!$C$97)</f>
        <v>#N/A</v>
      </c>
      <c r="DY26" s="151" t="e">
        <f ca="1">IF(Control!$C$114=1, $DI26*$FS26, 0)</f>
        <v>#N/A</v>
      </c>
      <c r="DZ26" s="196" t="e">
        <f t="shared" ca="1" si="140"/>
        <v>#N/A</v>
      </c>
      <c r="EA26" s="152">
        <f t="shared" ca="1" si="141"/>
        <v>21</v>
      </c>
      <c r="EB26" s="153" t="e">
        <f t="shared" ca="1" si="217"/>
        <v>#N/A</v>
      </c>
      <c r="EC26" s="153" t="e">
        <f t="shared" ca="1" si="142"/>
        <v>#N/A</v>
      </c>
      <c r="ED26" s="154" t="e">
        <f ca="1">IF(Control!$C$114=1, $HM26*$FY26-$FD26, 0)</f>
        <v>#DIV/0!</v>
      </c>
      <c r="EE26" s="155" t="e">
        <f ca="1">IF(Control!$C$114=1, $HM26*$FZ26-$FF26, 0)</f>
        <v>#DIV/0!</v>
      </c>
      <c r="EF26" s="153" t="e">
        <f t="shared" ca="1" si="193"/>
        <v>#N/A</v>
      </c>
      <c r="EG26" s="155" t="e">
        <f ca="1">IF(Control!$C$114=1, $GX26*$FW26-$FI26, 0)</f>
        <v>#DIV/0!</v>
      </c>
      <c r="EH26" s="153" t="e">
        <f t="shared" ca="1" si="143"/>
        <v>#N/A</v>
      </c>
      <c r="EI26" s="156" t="e">
        <f t="shared" ca="1" si="144"/>
        <v>#N/A</v>
      </c>
      <c r="EJ26" s="155" t="e">
        <f ca="1">IF(Control!$C$114=1, $HM26*$GB26, 0)</f>
        <v>#DIV/0!</v>
      </c>
      <c r="EK26" s="153" t="e">
        <f t="shared" ca="1" si="194"/>
        <v>#N/A</v>
      </c>
      <c r="EL26" s="153" t="e">
        <f t="shared" ca="1" si="24"/>
        <v>#N/A</v>
      </c>
      <c r="EM26" s="153" t="e">
        <f t="shared" ca="1" si="25"/>
        <v>#N/A</v>
      </c>
      <c r="EN26" s="153" t="e">
        <f ca="1">IF(Control!$C$108=1,IF(AND(Control!$B$18=1,$EB26&gt;=Control!$B$19),$EB26-$DS26,IF(AND(Control!$B$18=2,$AW26=1,$EB26&gt;$DS26),$EB26-$DS26,0)))</f>
        <v>#N/A</v>
      </c>
      <c r="EO26" s="153" t="e">
        <f ca="1">IF(Control!$C$108=1,IF(AND(Control!$B$18=1,$EB26&gt;=Control!$B$19),$EF26,IF(AND(Control!$B$18=2,$AW26=1),$EF26,0)))</f>
        <v>#N/A</v>
      </c>
      <c r="EP26" s="153" t="e">
        <f ca="1">IF(Control!$C$108=1,IF(AND(Control!$B$18=1,$EB26&gt;=Control!$B$19),$EK26,IF(AND(Control!$B$18=2,$AW26=1),$EK26,0)))</f>
        <v>#N/A</v>
      </c>
      <c r="EQ26" s="153" t="e">
        <f t="shared" ca="1" si="145"/>
        <v>#N/A</v>
      </c>
      <c r="ER26" s="153" t="e">
        <f t="shared" ca="1" si="195"/>
        <v>#N/A</v>
      </c>
      <c r="ES26" s="153" t="e">
        <f t="shared" ca="1" si="196"/>
        <v>#N/A</v>
      </c>
      <c r="ET26" s="153" t="e">
        <f t="shared" ca="1" si="197"/>
        <v>#N/A</v>
      </c>
      <c r="EU26" s="153" t="e">
        <f t="shared" ca="1" si="198"/>
        <v>#N/A</v>
      </c>
      <c r="EV26" s="153" t="e">
        <f t="shared" ca="1" si="146"/>
        <v>#N/A</v>
      </c>
      <c r="EW26" s="153" t="e">
        <f t="shared" ca="1" si="218"/>
        <v>#N/A</v>
      </c>
      <c r="EX26" s="153" t="e">
        <f t="shared" ca="1" si="26"/>
        <v>#N/A</v>
      </c>
      <c r="EY26" s="157" t="e">
        <f t="shared" ca="1" si="147"/>
        <v>#DIV/0!</v>
      </c>
      <c r="EZ26" s="154" t="e">
        <f t="shared" ca="1" si="27"/>
        <v>#DIV/0!</v>
      </c>
      <c r="FA26" s="153" t="e">
        <f t="shared" ca="1" si="199"/>
        <v>#N/A</v>
      </c>
      <c r="FB26" s="153" t="e">
        <f t="shared" ca="1" si="28"/>
        <v>#N/A</v>
      </c>
      <c r="FC26" s="193" t="e">
        <f t="shared" ca="1" si="29"/>
        <v>#N/A</v>
      </c>
      <c r="FD26" s="158" t="e">
        <f t="shared" ca="1" si="200"/>
        <v>#N/A</v>
      </c>
      <c r="FE26" s="158" t="e">
        <f t="shared" ca="1" si="148"/>
        <v>#N/A</v>
      </c>
      <c r="FF26" s="159" t="e">
        <f t="shared" ca="1" si="30"/>
        <v>#N/A</v>
      </c>
      <c r="FG26" s="160" t="e">
        <f t="shared" ca="1" si="149"/>
        <v>#N/A</v>
      </c>
      <c r="FH26" s="158" t="e">
        <f t="shared" ca="1" si="150"/>
        <v>#N/A</v>
      </c>
      <c r="FI26" s="159" t="e">
        <f t="shared" ca="1" si="31"/>
        <v>#N/A</v>
      </c>
      <c r="FJ26" s="160" t="e">
        <f t="shared" ca="1" si="151"/>
        <v>#N/A</v>
      </c>
      <c r="FK26" s="160" t="e">
        <f t="shared" ca="1" si="32"/>
        <v>#N/A</v>
      </c>
      <c r="FL26" s="160" t="e">
        <f t="shared" ca="1" si="229"/>
        <v>#N/A</v>
      </c>
      <c r="FM26" s="160" t="e">
        <f t="shared" ca="1" si="33"/>
        <v>#N/A</v>
      </c>
      <c r="FN26" s="158">
        <f t="shared" ca="1" si="219"/>
        <v>0.01</v>
      </c>
      <c r="FO26" s="160">
        <f>Control!$C$101</f>
        <v>50</v>
      </c>
      <c r="FP26" s="150" t="e">
        <f t="shared" ca="1" si="34"/>
        <v>#N/A</v>
      </c>
      <c r="FQ26" s="150" t="e">
        <f ca="1">MAX(0,(Control!$C$112*(($DK26-Control!$C$97)/Control!$C$97)))</f>
        <v>#N/A</v>
      </c>
      <c r="FR26" s="150" t="e">
        <f ca="1">(1-$NT26)*Control!$C$113</f>
        <v>#DIV/0!</v>
      </c>
      <c r="FS26" s="198" t="e">
        <f t="shared" ca="1" si="35"/>
        <v>#N/A</v>
      </c>
      <c r="FT26" s="161">
        <f t="shared" ca="1" si="152"/>
        <v>21</v>
      </c>
      <c r="FU26" s="162" t="e">
        <f ca="1">IF(Control!$B$34=1,VLOOKUP($CP26,Control!$B$86:$G$91,6),Control!$B$35)</f>
        <v>#N/A</v>
      </c>
      <c r="FV26" s="162" t="e">
        <f t="shared" ca="1" si="36"/>
        <v>#DIV/0!</v>
      </c>
      <c r="FW26" s="162" t="e">
        <f ca="1">IF(Control!$B$31=1,$FU26*$FV26,  $FU26)</f>
        <v>#N/A</v>
      </c>
      <c r="FX26" s="162" t="e">
        <f ca="1">IF(Control!$B$34=1,VLOOKUP($CP26,Control!$B$86:$G$91,3),Control!$B$36)</f>
        <v>#N/A</v>
      </c>
      <c r="FY26" s="162" t="e">
        <f t="shared" ca="1" si="37"/>
        <v>#N/A</v>
      </c>
      <c r="FZ26" s="162" t="e">
        <f ca="1">IF(Control!$B$34=1,VLOOKUP($CP26,Control!$B$86:$G$91,4),Control!$B$37)</f>
        <v>#N/A</v>
      </c>
      <c r="GA26" s="162" t="e">
        <f t="shared" ca="1" si="38"/>
        <v>#N/A</v>
      </c>
      <c r="GB26" s="162" t="e">
        <f ca="1">IF(Control!$B$34=1,VLOOKUP($CP26,Control!$B$86:$G$91,5),Control!$B$38)</f>
        <v>#N/A</v>
      </c>
      <c r="GC26" s="162" t="e">
        <f t="shared" ca="1" si="153"/>
        <v>#N/A</v>
      </c>
      <c r="GD26" s="162">
        <f t="shared" ca="1" si="39"/>
        <v>1</v>
      </c>
      <c r="GE26" s="162">
        <f t="shared" ca="1" si="40"/>
        <v>1</v>
      </c>
      <c r="GF26" s="162">
        <f ca="1">IF(AND(Control!$C$104=1, Control!$C$62="F"),$GE26,1)</f>
        <v>1</v>
      </c>
      <c r="GG26" s="162" t="e">
        <f ca="1">IF(Control!$B$16=40,0,IF(AND(Control!$B$16&gt;40,Control!$B$16&lt;=360),(Control!$B$16-40)*((1-0)/(360-40)),IF(AND(Control!$B$16&gt;360,Control!$B$16&lt;=720),(1+(Control!$B$16-360)*((1.25-1)/(720-360))),IF(AND(Control!$B$16&gt;720,Control!$B$16&lt;=1000),(1.25+(Control!$B$16-720)*((1.35-1.25)/(1000-720))),IF(AND(Control!$B$16&gt;1000,Control!$B$16&lt;=2000),(1.35+(Control!$B$16-1000)*0))))))</f>
        <v>#N/A</v>
      </c>
      <c r="GH26" s="162" t="e">
        <f t="shared" ca="1" si="41"/>
        <v>#N/A</v>
      </c>
      <c r="GI26" s="162">
        <f t="shared" ca="1" si="201"/>
        <v>0</v>
      </c>
      <c r="GJ26" s="162">
        <f t="shared" ca="1" si="42"/>
        <v>0</v>
      </c>
      <c r="GK26" s="162">
        <f t="shared" ca="1" si="220"/>
        <v>1</v>
      </c>
      <c r="GL26" s="162">
        <f t="shared" ca="1" si="43"/>
        <v>1</v>
      </c>
      <c r="GM26" s="162" t="e">
        <f ca="1">MAX(0,MIN(1,1-Control!$C$156*(1.0001-$KH26)^2))</f>
        <v>#N/A</v>
      </c>
      <c r="GN26" s="162" t="e">
        <f ca="1">IF(Control!$B$26=1,$KU26,$KX26)</f>
        <v>#N/A</v>
      </c>
      <c r="GO26" s="162" t="e">
        <f ca="1">IF($CP26&lt;=60,Control!$C$105,IF($CP26&gt;=90,Control!$C$106,Control!$C$105+($CP26-60)*((Control!$C$106-Control!$C$105)/(90-60))))</f>
        <v>#N/A</v>
      </c>
      <c r="GP26" s="162" t="e">
        <f t="shared" ca="1" si="154"/>
        <v>#N/A</v>
      </c>
      <c r="GQ26" s="162" t="e">
        <f t="shared" ca="1" si="155"/>
        <v>#N/A</v>
      </c>
      <c r="GR26" s="163" t="e">
        <f t="shared" ca="1" si="44"/>
        <v>#DIV/0!</v>
      </c>
      <c r="GS26" s="162" t="e">
        <f t="shared" ca="1" si="45"/>
        <v>#DIV/0!</v>
      </c>
      <c r="GT26" s="164" t="e">
        <f t="shared" ca="1" si="156"/>
        <v>#N/A</v>
      </c>
      <c r="GU26" s="162" t="e">
        <f t="shared" ca="1" si="157"/>
        <v>#N/A</v>
      </c>
      <c r="GV26" s="162" t="e">
        <f t="shared" ca="1" si="46"/>
        <v>#N/A</v>
      </c>
      <c r="GW26" s="162" t="e">
        <f t="shared" ca="1" si="221"/>
        <v>#DIV/0!</v>
      </c>
      <c r="GX26" s="162" t="e">
        <f t="shared" ca="1" si="228"/>
        <v>#DIV/0!</v>
      </c>
      <c r="GY26" s="162" t="e">
        <f t="shared" ca="1" si="158"/>
        <v>#DIV/0!</v>
      </c>
      <c r="GZ26" s="165" t="e">
        <f t="shared" ca="1" si="159"/>
        <v>#N/A</v>
      </c>
      <c r="HA26" s="162" t="e">
        <f ca="1">IF(Control!$C$114=1, $DI26*$FS26, 0)</f>
        <v>#N/A</v>
      </c>
      <c r="HB26" s="162" t="e">
        <f ca="1">$FA26/Control!$C$64</f>
        <v>#N/A</v>
      </c>
      <c r="HC26" s="162" t="e">
        <f t="shared" ca="1" si="222"/>
        <v>#DIV/0!</v>
      </c>
      <c r="HD26" s="162">
        <f ca="1">-ASIN(SIN(23.45*Control!$C$139)*COS(2*Control!$C$138*($AH26+10)/365))</f>
        <v>-0.34970296017469565</v>
      </c>
      <c r="HE26" s="165">
        <f t="shared" ca="1" si="160"/>
        <v>0</v>
      </c>
      <c r="HF26" s="166">
        <f ca="1">IF(AND(Control!$C$61="T",$HE26&gt;=Control!$C$103,Control!$C$114=0),$AH26,Control!$C$59)</f>
        <v>1</v>
      </c>
      <c r="HG26" s="166">
        <f ca="1">IF(AND(Control!$C$61="T",$HE26&gt;=Control!$C$103,Control!$C$114=0),$HF26,Control!$C$59)</f>
        <v>1</v>
      </c>
      <c r="HH26" s="165">
        <f ca="1">IF(AND(OR(Control!$C$60&lt;=0, $AH26= Control!$C$59, Control!$C$60 &gt;0, $AH26 = Control!$C$60)), Control!$C$59, IF(Control!$C$60&gt;0, 0))</f>
        <v>1</v>
      </c>
      <c r="HI26" s="165">
        <f ca="1">IF(AND(OR(Control!$C$60&lt;=0, $AH26= Control!$C$59, Control!$C$60 &gt;0, $AH26 = Control!$C$60)), Control!$C$60, IF(Control!$C$60&lt;=0, 0))</f>
        <v>0</v>
      </c>
      <c r="HJ26" s="166">
        <f ca="1">IF(AND(Control!$C$62="F",$CV26&gt;=Control!$C$102),$AH26,0)</f>
        <v>0</v>
      </c>
      <c r="HK26" s="165" t="e">
        <f t="shared" ca="1" si="202"/>
        <v>#N/A</v>
      </c>
      <c r="HL26" s="166">
        <f ca="1">IF(AND(Control!$C$61="T",$HE26&gt;=Control!$C$103,Control!$C$114=0),$HF26,0)</f>
        <v>0</v>
      </c>
      <c r="HM26" s="201" t="e">
        <f t="shared" ca="1" si="47"/>
        <v>#DIV/0!</v>
      </c>
      <c r="HN26" s="215">
        <f t="shared" ca="1" si="161"/>
        <v>21</v>
      </c>
      <c r="HO26" s="216" t="e">
        <f ca="1">IF(AND($CP26&gt;=0, $CP26&lt;=90), Control!$C$152, Control!$C$152)</f>
        <v>#N/A</v>
      </c>
      <c r="HP26" s="216" t="e">
        <f t="shared" ca="1" si="48"/>
        <v>#N/A</v>
      </c>
      <c r="HQ26" s="217" t="e">
        <f ca="1">IF(OR(Control!$B$26=1,Control!$B$26=2),$KV26,$KS26)</f>
        <v>#DIV/0!</v>
      </c>
      <c r="HR26" s="218" t="e">
        <f t="shared" ca="1" si="223"/>
        <v>#DIV/0!</v>
      </c>
      <c r="HS26" s="216" t="e">
        <f ca="1">Control!$C$154*$HP26</f>
        <v>#N/A</v>
      </c>
      <c r="HT26" s="216" t="e">
        <f ca="1">Control!$C$155*$HP26</f>
        <v>#N/A</v>
      </c>
      <c r="HU26" s="217" t="e">
        <f ca="1">Control!$C$161*$FI26</f>
        <v>#N/A</v>
      </c>
      <c r="HV26" s="218" t="e">
        <f t="shared" ca="1" si="162"/>
        <v>#N/A</v>
      </c>
      <c r="HW26" s="218" t="e">
        <f ca="1">Control!$C$160*$FF26+$IP26*$EO26</f>
        <v>#N/A</v>
      </c>
      <c r="HX26" s="218" t="e">
        <f t="shared" ca="1" si="203"/>
        <v>#N/A</v>
      </c>
      <c r="HY26" s="219" t="e">
        <f ca="1">IF(Control!$C$114=1, $EB26*$FS26, 0)</f>
        <v>#N/A</v>
      </c>
      <c r="HZ26" s="91" t="e">
        <f t="shared" ca="1" si="49"/>
        <v>#N/A</v>
      </c>
      <c r="IA26" s="220" t="e">
        <f ca="1">Control!$C$153*$HO26</f>
        <v>#N/A</v>
      </c>
      <c r="IB26" s="218" t="e">
        <f t="shared" ca="1" si="50"/>
        <v>#N/A</v>
      </c>
      <c r="IC26" s="220" t="e">
        <f ca="1">Control!$C$153*$HT26</f>
        <v>#N/A</v>
      </c>
      <c r="ID26" s="218" t="e">
        <f t="shared" ca="1" si="51"/>
        <v>#N/A</v>
      </c>
      <c r="IE26" s="221" t="e">
        <f ca="1">($EB26*Control!$C$159+$EF26*Control!$C$160)/(IF($GZ26&lt;&gt;0,$GZ26,1))</f>
        <v>#N/A</v>
      </c>
      <c r="IF26" s="216" t="e">
        <f t="shared" ca="1" si="52"/>
        <v>#N/A</v>
      </c>
      <c r="IG26" s="91">
        <f ca="1">IF(OR(Control!$B$198=$AH26,Control!$B$199=$AH26, Control!$B$200=$AH26, Control!$B$201=$AH26, Control!$B$202=$AH26, Control!$B$203=$AH26, Control!$B$204=$AH26, Control!$B$205=$AH26, Control!$B$206=$AH26, Control!$B$207=$AH26), 1, 0)</f>
        <v>0</v>
      </c>
      <c r="IH26" s="91">
        <f ca="1">IF($IG26=0,0, VLOOKUP($AH26,Control!$B$198:$C$207,2))</f>
        <v>0</v>
      </c>
      <c r="II26" s="222">
        <f t="shared" ca="1" si="163"/>
        <v>0</v>
      </c>
      <c r="IJ26" s="91">
        <f>Control!$C$121</f>
        <v>0.7</v>
      </c>
      <c r="IK26" s="218">
        <f t="shared" ca="1" si="53"/>
        <v>0</v>
      </c>
      <c r="IL26" s="217" t="e">
        <f t="shared" ca="1" si="204"/>
        <v>#N/A</v>
      </c>
      <c r="IM26" s="223" t="e">
        <f ca="1">IF(AND(Control!$C$114=1,$KH26&lt;1),$EB26*Control!$C$148*(1-$KH26), 0)</f>
        <v>#N/A</v>
      </c>
      <c r="IN26" s="217" t="e">
        <f t="shared" ca="1" si="54"/>
        <v>#DIV/0!</v>
      </c>
      <c r="IO26" s="91" t="e">
        <f ca="1">MAX(0,$IL26-$EF26*Control!$C$160)</f>
        <v>#N/A</v>
      </c>
      <c r="IP26" s="220" t="e">
        <f t="shared" ca="1" si="55"/>
        <v>#N/A</v>
      </c>
      <c r="IQ26" s="217" t="e">
        <f t="shared" ca="1" si="164"/>
        <v>#N/A</v>
      </c>
      <c r="IR26" s="218" t="e">
        <f t="shared" ca="1" si="56"/>
        <v>#N/A</v>
      </c>
      <c r="IS26" s="217" t="e">
        <f ca="1">Control!$C$159*MAX(0,$FD26-$EN26)</f>
        <v>#N/A</v>
      </c>
      <c r="IT26" s="217" t="e">
        <f t="shared" ca="1" si="205"/>
        <v>#N/A</v>
      </c>
      <c r="IU26" s="217" t="e">
        <f t="shared" ca="1" si="165"/>
        <v>#N/A</v>
      </c>
      <c r="IV26" s="217" t="e">
        <f t="shared" ca="1" si="206"/>
        <v>#N/A</v>
      </c>
      <c r="IW26" s="217" t="e">
        <f ca="1">IF(OR($AW26=1,AND($AW26=0, Control!$B$18=1,$EN26&lt;&gt;0)), $IQ26-$IU26, $IQ26)</f>
        <v>#N/A</v>
      </c>
      <c r="IX26" s="218" t="e">
        <f t="shared" ca="1" si="57"/>
        <v>#N/A</v>
      </c>
      <c r="IY26" s="218" t="e">
        <f ca="1">MAX(0,$IQ26-$EB26*Control!$C$159)</f>
        <v>#N/A</v>
      </c>
      <c r="IZ26" s="218" t="e">
        <f t="shared" ca="1" si="58"/>
        <v>#N/A</v>
      </c>
      <c r="JA26" s="216" t="e">
        <f t="shared" ca="1" si="59"/>
        <v>#N/A</v>
      </c>
      <c r="JB26" s="217" t="e">
        <f t="shared" ca="1" si="60"/>
        <v>#N/A</v>
      </c>
      <c r="JC26" s="222" t="e">
        <f ca="1">MAX(Control!$C$157*$EK26-$JT26, 0)/Control!$C$162</f>
        <v>#N/A</v>
      </c>
      <c r="JD26" s="218" t="e">
        <f t="shared" ca="1" si="61"/>
        <v>#N/A</v>
      </c>
      <c r="JE26" s="218" t="e">
        <f t="shared" ca="1" si="62"/>
        <v>#N/A</v>
      </c>
      <c r="JF26" s="218" t="e">
        <f t="shared" ca="1" si="207"/>
        <v>#N/A</v>
      </c>
      <c r="JG26" s="218" t="e">
        <f t="shared" ca="1" si="63"/>
        <v>#N/A</v>
      </c>
      <c r="JH26" s="217" t="e">
        <f t="shared" ca="1" si="166"/>
        <v>#N/A</v>
      </c>
      <c r="JI26" s="217" t="e">
        <f t="shared" ca="1" si="167"/>
        <v>#N/A</v>
      </c>
      <c r="JJ26" s="217" t="e">
        <f t="shared" ca="1" si="224"/>
        <v>#N/A</v>
      </c>
      <c r="JK26" s="217" t="e">
        <f ca="1">IF(Control!$C$114=1,IF(Control!$B$24=0,MAX(0,$JI26)*$GN26/Control!$C$64,(MAX(0,MIN($JI26,$JJ26*$GN26/Control!$C$64),0))))</f>
        <v>#N/A</v>
      </c>
      <c r="JL26" s="217" t="e">
        <f ca="1">$IK26/Control!$C$64-$JK26+$HQ26</f>
        <v>#N/A</v>
      </c>
      <c r="JM26" s="217" t="e">
        <f ca="1">IF(Control!$C$114=1,($JB26/(IF($JI26&lt;&gt;0,$JI26,1)))*$JK26,0)</f>
        <v>#N/A</v>
      </c>
      <c r="JN26" s="217" t="e">
        <f ca="1">IF(Control!$C$114=1,($JG26/(IF($JI26&lt;&gt;0,$JI26,1)))*$JK26, 0)</f>
        <v>#N/A</v>
      </c>
      <c r="JO26" s="218" t="e">
        <f t="shared" ca="1" si="64"/>
        <v>#N/A</v>
      </c>
      <c r="JP26" s="218" t="e">
        <f ca="1">MIN(($IY26+$IO26)*Control!$C$151, $JF26-$EH26*Control!$C$161)</f>
        <v>#N/A</v>
      </c>
      <c r="JQ26" s="218" t="e">
        <f t="shared" ca="1" si="65"/>
        <v>#N/A</v>
      </c>
      <c r="JR26" s="217" t="e">
        <f ca="1">IF($CP26-Control!$C$150&lt;0, 0, $JQ26/Control!$C$162)</f>
        <v>#N/A</v>
      </c>
      <c r="JS26" s="218" t="e">
        <f t="shared" ca="1" si="66"/>
        <v>#N/A</v>
      </c>
      <c r="JT26" s="218" t="e">
        <f t="shared" ca="1" si="168"/>
        <v>#N/A</v>
      </c>
      <c r="JU26" s="218" t="e">
        <f t="shared" ca="1" si="67"/>
        <v>#N/A</v>
      </c>
      <c r="JV26" s="218" t="e">
        <f t="shared" ca="1" si="68"/>
        <v>#N/A</v>
      </c>
      <c r="JW26" s="216" t="e">
        <f t="shared" ca="1" si="69"/>
        <v>#N/A</v>
      </c>
      <c r="JX26" s="91" t="e">
        <f t="shared" ca="1" si="70"/>
        <v>#N/A</v>
      </c>
      <c r="JY26" s="218" t="e">
        <f t="shared" ca="1" si="71"/>
        <v>#N/A</v>
      </c>
      <c r="JZ26" s="217" t="e">
        <f ca="1">IF(Control!$C$114=1,($IZ26/(IF($JI26&lt;&gt;0,$JI26,1)))*$JK26, 0)</f>
        <v>#N/A</v>
      </c>
      <c r="KA26" s="218" t="e">
        <f t="shared" ca="1" si="225"/>
        <v>#N/A</v>
      </c>
      <c r="KB26" s="218" t="e">
        <f t="shared" ca="1" si="169"/>
        <v>#N/A</v>
      </c>
      <c r="KC26" s="218" t="e">
        <f t="shared" ca="1" si="72"/>
        <v>#N/A</v>
      </c>
      <c r="KD26" s="218" t="e">
        <f t="shared" ca="1" si="73"/>
        <v>#N/A</v>
      </c>
      <c r="KE26" s="218" t="e">
        <f t="shared" ca="1" si="74"/>
        <v>#N/A</v>
      </c>
      <c r="KF26" s="218" t="e">
        <f t="shared" ca="1" si="75"/>
        <v>#N/A</v>
      </c>
      <c r="KG26" s="216" t="e">
        <f t="shared" ca="1" si="76"/>
        <v>#N/A</v>
      </c>
      <c r="KH26" s="221" t="e">
        <f ca="1">IF(Control!$B$24=0,1,MAX(0.001,MIN(1,IF(($IF26-$IE26)&lt;&gt;0,($KG26-$IE26)/($IF26-$IE26),1))))</f>
        <v>#N/A</v>
      </c>
      <c r="KI26" s="222" t="e">
        <f ca="1">IF(Control!$C$114=1, $KI25+ $KH25, 0)</f>
        <v>#N/A</v>
      </c>
      <c r="KJ26" s="217" t="e">
        <f t="shared" ca="1" si="77"/>
        <v>#N/A</v>
      </c>
      <c r="KK26" s="218" t="e">
        <f t="shared" ca="1" si="78"/>
        <v>#N/A</v>
      </c>
      <c r="KL26" s="274" t="e">
        <f ca="1">IF(Control!$B$26=3,4000000000*EXP(-8400/($G26+273)),IF(Control!$B$26=4,4000000000*EXP(-8400/($G26+273))*($KT26),0))</f>
        <v>#DIV/0!</v>
      </c>
      <c r="KM26" s="274" t="e">
        <f ca="1">IF(Control!$B$26=3,5600000000000*EXP(-9800/($G26+273)),IF(Control!$B$26=4,5600000000000*EXP(-9800/($G26+273))*$KT26,0))</f>
        <v>#DIV/0!</v>
      </c>
      <c r="KN26" s="454" t="e">
        <f t="shared" ca="1" si="170"/>
        <v>#DIV/0!</v>
      </c>
      <c r="KO26" s="274" t="e">
        <f t="shared" ca="1" si="171"/>
        <v>#DIV/0!</v>
      </c>
      <c r="KP26" s="454" t="e">
        <f t="shared" ca="1" si="79"/>
        <v>#DIV/0!</v>
      </c>
      <c r="KQ26" s="454" t="e">
        <f t="shared" ca="1" si="80"/>
        <v>#DIV/0!</v>
      </c>
      <c r="KR26" s="454" t="e">
        <f t="shared" ca="1" si="81"/>
        <v>#DIV/0!</v>
      </c>
      <c r="KS26" s="454" t="e">
        <f t="shared" ca="1" si="82"/>
        <v>#DIV/0!</v>
      </c>
      <c r="KT26" s="455" t="e">
        <f t="shared" ca="1" si="83"/>
        <v>#DIV/0!</v>
      </c>
      <c r="KU26" s="456" t="e">
        <f ca="1">IF($CP26-Control!$C$149&lt;0, IF($NT26-0.01&lt;0,0,1),0)</f>
        <v>#N/A</v>
      </c>
      <c r="KV26" s="456" t="e">
        <f ca="1">IF(Control!$C$114=1,MAX(0,MIN(Control!$C$125*$KW26*$GN26,$KW26)))</f>
        <v>#DIV/0!</v>
      </c>
      <c r="KW26" s="456" t="e">
        <f t="shared" ca="1" si="208"/>
        <v>#DIV/0!</v>
      </c>
      <c r="KX26" s="457" t="e">
        <f ca="1">IF($CP26-Control!$C$149&lt;0, IF($MR26-$OM26&lt;0,0,1),0)</f>
        <v>#N/A</v>
      </c>
      <c r="KY26" s="167">
        <f t="shared" ca="1" si="172"/>
        <v>21</v>
      </c>
      <c r="KZ26" s="168">
        <f ca="1">1370*(1+0.033*COS(2*Control!$C$138*$AH26/365))</f>
        <v>1412.2879714716958</v>
      </c>
      <c r="LA26" s="169">
        <f t="shared" ca="1" si="173"/>
        <v>1.0308671423273339</v>
      </c>
      <c r="LB26" s="169">
        <f t="shared" ca="1" si="174"/>
        <v>-0.35031940280597534</v>
      </c>
      <c r="LC26" s="169">
        <f ca="1">ACOS(-TAN((2*Control!$B$8/360))*TAN(Calculations!$LB26))</f>
        <v>1.4619865432420767</v>
      </c>
      <c r="LD26" s="169">
        <f ca="1">((24*60)/PI())*0.082*$LA26*(($LC26*SIN(Control!$B$8*2*PI()/360))*SIN($LB26)+COS(Control!$B$8*2*PI()/360)*COS($LB26)*SIN($LC26))</f>
        <v>6.9535260962268</v>
      </c>
      <c r="LE26" s="170">
        <f t="shared" ca="1" si="84"/>
        <v>8.3085908625113785</v>
      </c>
      <c r="LF26" s="170">
        <f ca="1">SIN(Control!$C$139*Control!$B$8)*SIN($HD26)</f>
        <v>-0.26998771590378789</v>
      </c>
      <c r="LG26" s="170">
        <f ca="1">COS(Control!$C$139*Control!$B$8)*COS($HD26)</f>
        <v>0.57839670135763588</v>
      </c>
      <c r="LH26" s="170">
        <f ca="1">12*(1+2*ASIN(MAX(-1,MIN(1,$LF26/$LG26))/Control!$C$138))</f>
        <v>8.4207699561966116</v>
      </c>
      <c r="LI26" s="170">
        <f ca="1">12*(1+2*ASIN(MAX(-1,MIN(1,(-SIN(-4*Control!$C$139)+$LF26)/$LG26))/Control!$C$138))</f>
        <v>9.3499816556966522</v>
      </c>
      <c r="LJ26" s="168">
        <f ca="1">3600*($LH26*$LF26+24*$LG26*SQRT(1-$LK26*$LK26)/Control!$C$138)</f>
        <v>5883.0713213915478</v>
      </c>
      <c r="LK26" s="170">
        <f t="shared" ca="1" si="85"/>
        <v>-0.46678640329390181</v>
      </c>
      <c r="LL26" s="170">
        <f t="shared" ca="1" si="86"/>
        <v>0</v>
      </c>
      <c r="LM26" s="171">
        <f ca="1">Control!$C$145*$AB26</f>
        <v>6.6660906138995932E-2</v>
      </c>
      <c r="LN26" s="170">
        <f t="shared" ca="1" si="175"/>
        <v>0.54</v>
      </c>
      <c r="LO26" s="170">
        <f t="shared" ca="1" si="87"/>
        <v>0</v>
      </c>
      <c r="LP26" s="170">
        <f ca="1">Control!$C$140*((($D26+273.16)^4+($E26+273.16)^4)/2)*(0.34-0.14*SQRT($Y26))*(1.35*$AQ26/(0.75*$LD26)-0.35)</f>
        <v>-3.2464704755046001</v>
      </c>
      <c r="LQ26" s="170">
        <f ca="1">Control!$C$140*($G26+273)^4*(0.56-0.079*SQRT($Y26*10))*(0.1+0.9*$LO26)</f>
        <v>1.5241745131704001</v>
      </c>
      <c r="LR26" s="170">
        <f ca="1">$AQ26*(1-Control!$C$142)-$LQ26</f>
        <v>-1.5241745131704001</v>
      </c>
      <c r="LS26" s="170">
        <f ca="1">$AQ26*(1-Control!$C$143)-$LQ26</f>
        <v>-1.5241745131704001</v>
      </c>
      <c r="LT26" s="170">
        <f ca="1">$AQ26*(1-Control!$C$144)-$LQ26</f>
        <v>-1.5241745131704001</v>
      </c>
      <c r="LU26" s="169">
        <f ca="1">(1-Control!$C$144)*AQ26-LP26</f>
        <v>3.2464704755046001</v>
      </c>
      <c r="LV26" s="172">
        <f t="shared" ca="1" si="88"/>
        <v>0.79430000000000012</v>
      </c>
      <c r="LW26" s="170">
        <f t="shared" ca="1" si="89"/>
        <v>1.5886000000000002</v>
      </c>
      <c r="LX26" s="170">
        <f ca="1">($AC26*($LR26/Control!$C$141)+$LM26*$LV26)/($AC26+$LM26)</f>
        <v>0.23530094218323697</v>
      </c>
      <c r="LY26" s="170">
        <f ca="1">($AC26*($LS26/Control!$C$141)+$LM26*$LV26)/($AC26+$LM26)</f>
        <v>0.23530094218323697</v>
      </c>
      <c r="LZ26" s="170">
        <f t="shared" ca="1" si="90"/>
        <v>0.23530094218323697</v>
      </c>
      <c r="MA26" s="170">
        <f t="shared" ca="1" si="91"/>
        <v>0.23530094218323697</v>
      </c>
      <c r="MB26" s="170" t="e">
        <f t="shared" ca="1" si="92"/>
        <v>#N/A</v>
      </c>
      <c r="MC26" s="170">
        <f t="shared" ca="1" si="176"/>
        <v>0.6018</v>
      </c>
      <c r="MD26" s="170">
        <f t="shared" ca="1" si="93"/>
        <v>0.52989392535414004</v>
      </c>
      <c r="ME26" s="170">
        <f ca="1">($AC26*($LT26/Control!$C$141)+$LM26*$LW26)/($AC26+$LM26)</f>
        <v>0.71612369323045078</v>
      </c>
      <c r="MF26" s="170" t="e">
        <f ca="1">IF(Control!$B$16&gt;=1000,0.92,IF(AND(720&lt;=Control!$B$16,1000&gt;Control!$B$16),(0.95+(Control!$B$16-720)*((0.92-0.95)/(1000-720))),IF(AND(360&lt;=Control!$B$16,720&gt;Control!$B$16),(1+(Control!$B$16-360)*((0.95-1)/(720-360))),IF(AND(40&lt;=Control!$B$16,360&gt;Control!$B$16),(1.05+(Control!$B$16-40)*((1.05-1)/(360-40)))))))</f>
        <v>#N/A</v>
      </c>
      <c r="MG26" s="170">
        <f t="shared" ca="1" si="94"/>
        <v>0.71612369323045078</v>
      </c>
      <c r="MH26" s="170" t="e">
        <f t="shared" ref="MH26:MI45" ca="1" si="230">$MG26*$MF26</f>
        <v>#N/A</v>
      </c>
      <c r="MI26" s="170" t="e">
        <f t="shared" ca="1" si="230"/>
        <v>#N/A</v>
      </c>
      <c r="MJ26" s="170" t="e">
        <f ca="1">MAX(0.0001, Control!$C$132*$MI26*$DL26)</f>
        <v>#N/A</v>
      </c>
      <c r="MK26" s="170">
        <f ca="1">1/(0.76+1.5*($MG26/10))-(5-Control!$C$110)*0.1</f>
        <v>1.002845988140797</v>
      </c>
      <c r="ML26" s="173">
        <f ca="1">IF(Control!$C$110&lt;3,$MK26+($MG26-0.6)/(Control!$C$110*(Control!$C$110+3)), MAX(0.1, MIN(0.95,$MK26)))</f>
        <v>0.95</v>
      </c>
      <c r="MM26" s="173">
        <f ca="1">IF(Control!$C$110&lt;3,$MK26+(($MI26/10)-0.6)/(Control!$C$110*(Control!$C$110+3)), MAX(0.1, MIN(0.95,$MK26)))</f>
        <v>0.95</v>
      </c>
      <c r="MN26" s="173">
        <f ca="1">(1-$MM26)*(Control!$C$128-Control!$C$127)+Control!$C$127</f>
        <v>0.16</v>
      </c>
      <c r="MO26" s="170" t="e">
        <f ca="1">MAX(0,MIN(1,($MS26-Control!$C$127)/($MN26-Control!$C$127)))</f>
        <v>#DIV/0!</v>
      </c>
      <c r="MP26" s="173" t="e">
        <f ca="1">1/(0.76+1.5*$MI26)-(5-Control!$C$110)*0.1</f>
        <v>#N/A</v>
      </c>
      <c r="MQ26" s="172" t="e">
        <f t="shared" ca="1" si="209"/>
        <v>#DIV/0!</v>
      </c>
      <c r="MR26" s="168" t="e">
        <f t="shared" ca="1" si="226"/>
        <v>#DIV/0!</v>
      </c>
      <c r="MS26" s="173" t="e">
        <f ca="1">MAX(Control!$C$127, MIN(Control!$C$135, $MR26/MAX(0.0001,$CY26)))</f>
        <v>#DIV/0!</v>
      </c>
      <c r="MT26" s="168" t="e">
        <f ca="1">(Control!$C$128-$MS26)*Control!$C$74</f>
        <v>#DIV/0!</v>
      </c>
      <c r="MU26" s="168" t="e">
        <f ca="1">(Control!$C$135-$MS26)*Control!$C$74</f>
        <v>#DIV/0!</v>
      </c>
      <c r="MV26" s="168" t="e">
        <f t="shared" ca="1" si="210"/>
        <v>#DIV/0!</v>
      </c>
      <c r="MW26" s="168" t="e">
        <f t="shared" ca="1" si="177"/>
        <v>#DIV/0!</v>
      </c>
      <c r="MX26" s="171" t="e">
        <f ca="1">MAX(Control!$C$127, MIN(Control!$C$135, $MW26/MAX(0.0001,Control!$C$119-$CY26)))</f>
        <v>#DIV/0!</v>
      </c>
      <c r="MY26" s="54" t="e">
        <f ca="1">IF(Control!$C$114=1, $CX26*$MX26, 0)</f>
        <v>#DIV/0!</v>
      </c>
      <c r="MZ26" s="54" t="e">
        <f t="shared" ca="1" si="178"/>
        <v>#N/A</v>
      </c>
      <c r="NA26" s="168" t="e">
        <f ca="1">(Control!$C$128-$MX26)*(Control!$C$119-Control!$C$74)</f>
        <v>#DIV/0!</v>
      </c>
      <c r="NB26" s="168" t="e">
        <f ca="1">(Control!$C$135-$MX26)*(Control!$C$119-Control!$C$74)</f>
        <v>#DIV/0!</v>
      </c>
      <c r="NC26" s="174" t="e">
        <f t="shared" ca="1" si="179"/>
        <v>#DIV/0!</v>
      </c>
      <c r="ND26" s="54">
        <f ca="1">IF(Control!$C$58=2, IF(OR(Control!$B$218=$AH26,Control!$B$219=$AH26, Control!$B$220=$AH26, Control!$B$221=$AH26, Control!$B$222=$AH26, Control!$B$223=$AH26, Control!$B$224=$AH26, Control!$B$225=$AH26, Control!$B$226=$AH26, Control!$B$227=$AH26, Control!$B$228=$AH26), 1, 0), 0)</f>
        <v>0</v>
      </c>
      <c r="NE26" s="54">
        <f ca="1">IF($ND26=0,0, VLOOKUP($AH26,Control!$B$218:$C$228,2))</f>
        <v>0</v>
      </c>
      <c r="NF26" s="168" t="e">
        <f ca="1">$CY26*(Control!$C$128-Control!$C$127)</f>
        <v>#N/A</v>
      </c>
      <c r="NG26" s="54" t="e">
        <f ca="1">IF(Control!$C$58=2, $NI25-$NJ25, 0)</f>
        <v>#DIV/0!</v>
      </c>
      <c r="NH26" s="54" t="e">
        <f ca="1">IF(AND(Control!$C$58=1, $MS25&lt;= ($MN25+0.02), $I25&lt;10), 0, IF(Control!$C$58=2, $NG25, 0))</f>
        <v>#DIV/0!</v>
      </c>
      <c r="NI26" s="54" t="e">
        <f ca="1">IF(Control!$C$58=2, $NE26+$NH26,0)</f>
        <v>#DIV/0!</v>
      </c>
      <c r="NJ26" s="54" t="e">
        <f ca="1">IF(AND(Control!$C$58=1, $MS26&lt;= ($MN26+0.02), $I26&lt;10), MAX(0, MIN(10, 0.7*($NF26-$MV26))), IF(Control!$C$58=2, MIN(10,$NI26),0))</f>
        <v>#DIV/0!</v>
      </c>
      <c r="NK26" s="54" t="e">
        <f t="shared" ca="1" si="96"/>
        <v>#DIV/0!</v>
      </c>
      <c r="NL26" s="173" t="e">
        <f ca="1">(1-Control!$C$73)*$I26+$NJ26</f>
        <v>#DIV/0!</v>
      </c>
      <c r="NM26" s="172" t="e">
        <f ca="1">IF($NL26&lt;0.5, $MB26* MAX(0, MIN(1, (SQRT($NC26)-SQRT($NC26-1))*Control!$C$71)),0)</f>
        <v>#DIV/0!</v>
      </c>
      <c r="NN26" s="170" t="e">
        <f ca="1">IF($NL26&gt;=5, $MB26, MAX(0,MIN($MB26, $NM26+$NL26,($MS26-Control!$C$129))))</f>
        <v>#DIV/0!</v>
      </c>
      <c r="NO26" s="54">
        <f>IF(Control!$C$133&lt;&gt;1, Control!$C$135-Control!$C$131, 0)</f>
        <v>0.38</v>
      </c>
      <c r="NP26" s="54" t="e">
        <f t="shared" ca="1" si="97"/>
        <v>#DIV/0!</v>
      </c>
      <c r="NQ26" s="173" t="e">
        <f ca="1">MAX(0,MIN(1,(Control!$C$135-$MS26)/(Control!$C$135-$NO26)))</f>
        <v>#DIV/0!</v>
      </c>
      <c r="NR26" s="170" t="e">
        <f ca="1">IF(Control!$C$133&lt;&gt;1, $NQ26+((1-$NP26/4)*(1-$NQ26)),1)</f>
        <v>#DIV/0!</v>
      </c>
      <c r="NS26" s="170" t="e">
        <f ca="1">IF(Control!$B$31=0,$MJ26,MAX(0,MIN($MV26,$MO26*$NR26*$MJ26)))</f>
        <v>#DIV/0!</v>
      </c>
      <c r="NT26" s="170" t="e">
        <f t="shared" ca="1" si="227"/>
        <v>#DIV/0!</v>
      </c>
      <c r="NU26" s="170" t="e">
        <f t="shared" ca="1" si="180"/>
        <v>#N/A</v>
      </c>
      <c r="NV26" s="170" t="e">
        <f t="shared" ca="1" si="98"/>
        <v>#N/A</v>
      </c>
      <c r="NW26" s="175" t="e">
        <f t="shared" ca="1" si="99"/>
        <v>#DIV/0!</v>
      </c>
      <c r="NX26" s="170" t="e">
        <f ca="1">MIN(Control!$C$72+$MU26, $NW26)</f>
        <v>#DIV/0!</v>
      </c>
      <c r="NY26" s="170" t="e">
        <f ca="1">IF($MT26&lt;=$NX26,MIN(Control!$C$72+$NB26,$NX26-$MT26),0)</f>
        <v>#DIV/0!</v>
      </c>
      <c r="NZ26" s="54" t="e">
        <f ca="1">IF(Control!$C$114=1,  $CX26*($MX26-Control!$C$127), 0)</f>
        <v>#DIV/0!</v>
      </c>
      <c r="OA26" s="170" t="e">
        <f t="shared" ca="1" si="181"/>
        <v>#DIV/0!</v>
      </c>
      <c r="OB26" s="170" t="e">
        <f ca="1">IF($NA26 &lt;=$NY26, MIN(Control!$C$72, $NY26-$NA26), 0)</f>
        <v>#DIV/0!</v>
      </c>
      <c r="OC26" s="168" t="e">
        <f t="shared" ca="1" si="100"/>
        <v>#DIV/0!</v>
      </c>
      <c r="OD26" s="168" t="e">
        <f t="shared" ca="1" si="182"/>
        <v>#DIV/0!</v>
      </c>
      <c r="OE26" s="170">
        <f ca="1">Control!$C$73*$I26</f>
        <v>0</v>
      </c>
      <c r="OF26" s="176" t="e">
        <f t="shared" ca="1" si="101"/>
        <v>#DIV/0!</v>
      </c>
      <c r="OG26" s="168" t="e">
        <f t="shared" ca="1" si="102"/>
        <v>#DIV/0!</v>
      </c>
      <c r="OH26" s="168" t="e">
        <f t="shared" ca="1" si="103"/>
        <v>#DIV/0!</v>
      </c>
      <c r="OI26" s="168" t="e">
        <f t="shared" ca="1" si="104"/>
        <v>#DIV/0!</v>
      </c>
      <c r="OJ26" s="168" t="e">
        <f t="shared" ca="1" si="105"/>
        <v>#DIV/0!</v>
      </c>
      <c r="OK26" s="204" t="e">
        <f t="shared" ca="1" si="183"/>
        <v>#DIV/0!</v>
      </c>
      <c r="OL26" s="177">
        <f>Control!$C$127</f>
        <v>0.15</v>
      </c>
      <c r="OM26" s="182" t="e">
        <f t="shared" ca="1" si="106"/>
        <v>#N/A</v>
      </c>
      <c r="ON26" s="177">
        <f>Control!$C$128</f>
        <v>0.35</v>
      </c>
      <c r="OO26" s="182" t="e">
        <f t="shared" ca="1" si="107"/>
        <v>#N/A</v>
      </c>
      <c r="OP26" s="138">
        <f t="shared" ca="1" si="184"/>
        <v>0</v>
      </c>
      <c r="OQ26" s="138" t="e">
        <f t="shared" ca="1" si="211"/>
        <v>#DIV/0!</v>
      </c>
      <c r="OR26" s="138" t="e">
        <f t="shared" ca="1" si="185"/>
        <v>#DIV/0!</v>
      </c>
      <c r="OS26" s="137" t="e">
        <f t="shared" ca="1" si="212"/>
        <v>#DIV/0!</v>
      </c>
      <c r="OT26" s="139" t="e">
        <f t="shared" ca="1" si="213"/>
        <v>#DIV/0!</v>
      </c>
      <c r="OU26" s="138" t="e">
        <f t="shared" ca="1" si="214"/>
        <v>#N/A</v>
      </c>
      <c r="OV26" s="138" t="e">
        <f t="shared" ca="1" si="215"/>
        <v>#DIV/0!</v>
      </c>
      <c r="OW26" s="138" t="e">
        <f t="shared" ca="1" si="186"/>
        <v>#DIV/0!</v>
      </c>
      <c r="OX26" s="138" t="e">
        <f t="shared" ca="1" si="187"/>
        <v>#DIV/0!</v>
      </c>
      <c r="OY26" s="138" t="e">
        <f t="shared" ca="1" si="188"/>
        <v>#DIV/0!</v>
      </c>
      <c r="OZ26" s="138" t="e">
        <f t="shared" ca="1" si="108"/>
        <v>#DIV/0!</v>
      </c>
      <c r="PA26" s="138" t="e">
        <f t="shared" ca="1" si="109"/>
        <v>#DIV/0!</v>
      </c>
      <c r="PB26" s="55">
        <f>IF(Control!$C$61="T", IF(Control!$C$65="F", IF($AH$6-Control!$C$60&lt;0,0,1), IF(365+$AH$6-Control!$C$60&lt;0,0,1)),0)</f>
        <v>0</v>
      </c>
      <c r="PC26" s="55">
        <f ca="1">IF(Control!$C$65="F", IF($AH$6-$HF26&lt;0,0,1), IF(365+$AH$6-$HF26&lt;0,0,1))</f>
        <v>1</v>
      </c>
      <c r="PD26" s="444">
        <f>Control!$C$118</f>
        <v>1500</v>
      </c>
      <c r="PE26" s="180" t="e">
        <f t="shared" ca="1" si="110"/>
        <v>#N/A</v>
      </c>
      <c r="PF26" s="445">
        <f t="shared" ca="1" si="189"/>
        <v>0.71612369323045078</v>
      </c>
      <c r="PT26" s="186"/>
      <c r="PU26" s="186"/>
      <c r="PV26" s="94"/>
      <c r="PW26" s="94"/>
      <c r="PX26" s="94"/>
      <c r="PY26" s="94"/>
      <c r="PZ26" s="94"/>
      <c r="QA26" s="94"/>
      <c r="QB26" s="94"/>
      <c r="QC26" s="94"/>
      <c r="QD26" s="94"/>
      <c r="QE26" s="94"/>
      <c r="QF26" s="94"/>
      <c r="QG26" s="94"/>
      <c r="QH26" s="94"/>
      <c r="QI26" s="94"/>
      <c r="QJ26" s="94"/>
      <c r="QK26" s="94"/>
      <c r="QL26" s="94"/>
      <c r="QM26" s="94"/>
      <c r="QN26" s="94"/>
      <c r="QO26" s="94"/>
      <c r="QP26" s="94"/>
    </row>
    <row r="27" spans="1:458" s="2" customFormat="1" x14ac:dyDescent="0.2">
      <c r="A27" s="386">
        <v>22</v>
      </c>
      <c r="B27" s="387">
        <v>1</v>
      </c>
      <c r="C27" s="387">
        <f ca="1">Weather_data!$B26</f>
        <v>0</v>
      </c>
      <c r="D27" s="388">
        <f ca="1">Weather_data!$F26</f>
        <v>0</v>
      </c>
      <c r="E27" s="388">
        <f ca="1">Weather_data!$E26</f>
        <v>0</v>
      </c>
      <c r="F27" s="388">
        <f t="shared" ca="1" si="111"/>
        <v>0</v>
      </c>
      <c r="G27" s="388">
        <f ca="1">AVERAGE($D27:$E27)+Control!$B$9</f>
        <v>0</v>
      </c>
      <c r="H27" s="388">
        <f ca="1">Weather_data!$G26</f>
        <v>0</v>
      </c>
      <c r="I27" s="388">
        <f ca="1">Weather_data!$I26</f>
        <v>0</v>
      </c>
      <c r="J27" s="388">
        <f ca="1">Weather_data!$H26</f>
        <v>0</v>
      </c>
      <c r="K27" s="389">
        <f ca="1">Weather_data!$D26</f>
        <v>0</v>
      </c>
      <c r="L27" s="388" t="e">
        <f t="shared" ca="1" si="112"/>
        <v>#N/A</v>
      </c>
      <c r="M27" s="388" t="e">
        <f t="shared" ca="1" si="0"/>
        <v>#N/A</v>
      </c>
      <c r="N27" s="388">
        <f t="shared" ca="1" si="1"/>
        <v>-5.4709494565756168E-2</v>
      </c>
      <c r="O27" s="388">
        <f t="shared" ca="1" si="113"/>
        <v>0.54709494565756167</v>
      </c>
      <c r="P27" s="390">
        <v>3</v>
      </c>
      <c r="Q27" s="388">
        <f ca="1">MAX($G27-Control!$C$107,0)</f>
        <v>0</v>
      </c>
      <c r="R27" s="388">
        <f t="shared" ca="1" si="114"/>
        <v>0</v>
      </c>
      <c r="S27" s="388">
        <f t="shared" ca="1" si="2"/>
        <v>0</v>
      </c>
      <c r="T27" s="388">
        <f t="shared" ca="1" si="3"/>
        <v>0</v>
      </c>
      <c r="U27" s="59">
        <f t="shared" ca="1" si="4"/>
        <v>0</v>
      </c>
      <c r="V27" s="391">
        <f ca="1">MAX(0,MIN(Control!$C$100-Control!$C$99,$G27-Control!$C$99)*Control!$C$63)</f>
        <v>0</v>
      </c>
      <c r="W27" s="388">
        <f t="shared" ca="1" si="190"/>
        <v>0</v>
      </c>
      <c r="X27" s="388">
        <f t="shared" ca="1" si="115"/>
        <v>0.6110000000000001</v>
      </c>
      <c r="Y27" s="388">
        <f t="shared" ca="1" si="116"/>
        <v>0</v>
      </c>
      <c r="Z27" s="388">
        <f t="shared" ca="1" si="117"/>
        <v>0.61058800000000002</v>
      </c>
      <c r="AA27" s="388">
        <f t="shared" ca="1" si="5"/>
        <v>0.6018</v>
      </c>
      <c r="AB27" s="388">
        <f ca="1">101.3*EXP(-0.034*Control!$C$66/($G27+273))</f>
        <v>100.69623283836242</v>
      </c>
      <c r="AC27" s="392">
        <f t="shared" ca="1" si="6"/>
        <v>4.3460251046025113E-2</v>
      </c>
      <c r="AD27" s="392">
        <f t="shared" ca="1" si="7"/>
        <v>4.4450382862832649E-2</v>
      </c>
      <c r="AE27" s="388">
        <f t="shared" ca="1" si="8"/>
        <v>0</v>
      </c>
      <c r="AF27" s="388">
        <f ca="1">MAX(0,$G27-Control!$C$92)</f>
        <v>0</v>
      </c>
      <c r="AG27" s="393">
        <f t="shared" ca="1" si="118"/>
        <v>22</v>
      </c>
      <c r="AH27" s="389">
        <f t="shared" ca="1" si="9"/>
        <v>22</v>
      </c>
      <c r="AI27" s="388">
        <f t="shared" ca="1" si="119"/>
        <v>-0.34594257717984944</v>
      </c>
      <c r="AJ27" s="388">
        <f ca="1">IF(Control!$C$60&lt;=0,$HH27,$HI27)</f>
        <v>1</v>
      </c>
      <c r="AK27" s="388">
        <f t="shared" ca="1" si="10"/>
        <v>-0.99842396662031785</v>
      </c>
      <c r="AL27" s="388">
        <f t="shared" ca="1" si="11"/>
        <v>7.9797279894933126E-23</v>
      </c>
      <c r="AM27" s="388">
        <f t="shared" ca="1" si="12"/>
        <v>-0.99842396662031785</v>
      </c>
      <c r="AN27" s="388">
        <f t="shared" ca="1" si="13"/>
        <v>-0.34096638660937006</v>
      </c>
      <c r="AO27" s="388">
        <f ca="1">-0.10453/COS(Control!$B$8*PI()/180)*COS(AN27)</f>
        <v>-0.16001068032009463</v>
      </c>
      <c r="AP27" s="388">
        <f ca="1">ACOS(AO27-TAN(Control!$B$8*PI()/180)*TAN(AN27))</f>
        <v>1.2722365039774415</v>
      </c>
      <c r="AQ27" s="388">
        <f t="shared" ca="1" si="120"/>
        <v>0</v>
      </c>
      <c r="AR27" s="394">
        <f t="shared" ca="1" si="14"/>
        <v>0</v>
      </c>
      <c r="AS27" s="436">
        <f ca="1">IF(Control!$B$18=2,(IF(OR($AH27=Control!$B$175,$AH27=Control!$B$176,$AH27=Control!$B$177,$AH27=Control!$B$178,$AH27=Control!$B$179,$AH27=Control!$B$180,$AH27=Control!$B$181,$AH27=Control!$B$182,$AH27=Control!$B$183,$AH27=Control!$B$184,$AH27=Control!$B$185),1,0)),0)</f>
        <v>0</v>
      </c>
      <c r="AT27" s="436">
        <f>IF(Control!$B$20=8,IF(AND($AH27&gt;=Control!$B$172,$AH27&lt;=Control!$B$173),1,0),0)</f>
        <v>0</v>
      </c>
      <c r="AU27" s="436">
        <f>IF(Control!$B$20=8,IF($AV26=1,1*$AT27,IF($AT27=1,$AU26+1,$AU26)),0)</f>
        <v>0</v>
      </c>
      <c r="AV27" s="436">
        <f>IF(Control!$B$20=8,IF($AU27&gt;=Control!$B$174,1,0),0)</f>
        <v>0</v>
      </c>
      <c r="AW27" s="436">
        <f ca="1">IF(AND(Control!$B$18=2,Control!$B$171=1), $AV27, $AS27)</f>
        <v>0</v>
      </c>
      <c r="AX27" s="436" t="e">
        <f ca="1">IF(AND(Control!$B$18=1,$EU27&gt;=Control!$B$19),-$AY27,IF(AND(Control!$B$18=2,$AW27=1,$EU27&gt;$DS27),-$AY27, IF(Control!$C$108=0,0, IF(Control!$C$108&lt;&gt;0,1))))</f>
        <v>#N/A</v>
      </c>
      <c r="AY27" s="436" t="e">
        <f t="shared" ca="1" si="121"/>
        <v>#N/A</v>
      </c>
      <c r="AZ27" s="436" t="e">
        <f ca="1">IF(AND(Control!$B$18=1,$EB27&gt;Control!$B$19),$AZ26+1, IF(AND(Control!$B$18=2, $AW27=1, $EB27&gt;$DS27), $AZ26+1,$AZ26))</f>
        <v>#N/A</v>
      </c>
      <c r="BA27" s="587">
        <f>IF(Control!$C$81=0,1,IF($AH27&gt;=Control!$C$82,1,0))</f>
        <v>1</v>
      </c>
      <c r="BB27" s="140" t="e">
        <f ca="1">IF($BA27&gt;$BA26,Control!$C$83,IF($AW27&gt;0,$AW27*Control!$C$84,IF(AND(Control!$B$18=1,EN26&lt;&gt;0),Control!$C$84,0)))</f>
        <v>#N/A</v>
      </c>
      <c r="BC27" s="140" t="e">
        <f t="shared" ca="1" si="122"/>
        <v>#N/A</v>
      </c>
      <c r="BD27" s="140" t="e">
        <f ca="1">BC27*IF(OR($G27&lt;Control!$C$92,$G27&gt;Control!$C$95),0,IF(AND($G27&gt;=Control!$C$92,$G27&lt;=Control!$C$93),$G27-Control!$C$92,IF(AND($G27&gt;Control!$C$93,$G27&lt;=Control!$C$94),Control!$C$93-Control!$C$92,IF(AND($G27&gt;Control!$C$94,$G27&lt;=Control!$C$95),(Control!$C$93-Control!$C$92)*(Control!$C$94-$G27)/(Control!$C$95-Control!$C$94)))))</f>
        <v>#N/A</v>
      </c>
      <c r="BE27" s="140" t="e">
        <f t="shared" ca="1" si="123"/>
        <v>#N/A</v>
      </c>
      <c r="BF27" s="140" t="e">
        <f ca="1">IF($BE27&lt;=Control!$C$86,$BE27,Control!$C$86-$BE27)</f>
        <v>#N/A</v>
      </c>
      <c r="BG27" s="140" t="e">
        <f ca="1">IF(AND($AW27=1,Control!$C$84&lt;9),1,IF($BE27&gt;=Control!$C$86,0,$BC27))</f>
        <v>#N/A</v>
      </c>
      <c r="BH27" s="404" t="e">
        <f ca="1">IF($BG27=0,0,IF($BE27&lt;=Control!$C$86,$BC27*9*($BF27/Control!$C$86),0))</f>
        <v>#N/A</v>
      </c>
      <c r="BI27" s="140" t="e">
        <f ca="1">IF($BG27=1,0,IF($BE27&gt;=Control!$C$86,1,IF(AND($BB27&lt;21,$BB27&gt;=9),1,$BM26)))</f>
        <v>#N/A</v>
      </c>
      <c r="BJ27" s="140" t="e">
        <f ca="1">IF($BF27&lt;0,-$BF27,$BI27*IF(OR($G27&lt;Control!$C$92,$G27&gt;Control!$C$95),0,IF(AND($G27&gt;=Control!$C$92,$G27&lt;=Control!$C$93),$G27-Control!$C$92,IF(AND($G27&gt;Control!$C$93,$G27&lt;=Control!$C$94),Control!$C$93-Control!$C$92,IF(AND($G27&gt;Control!$C$94,$G27&lt;=Control!$C$95),(Control!$C$93-Control!$C$92)*(Control!$C$94-$G27)/(Control!$C$95-Control!$C$94))))))</f>
        <v>#N/A</v>
      </c>
      <c r="BK27" s="140" t="e">
        <f t="shared" ca="1" si="124"/>
        <v>#N/A</v>
      </c>
      <c r="BL27" s="140" t="e">
        <f ca="1">IF($BK27&lt;=Control!$C$87,$BK27,Control!$C$87-$BK27)</f>
        <v>#N/A</v>
      </c>
      <c r="BM27" s="140" t="e">
        <f ca="1">IF(AND($BB27&gt;=9,$BB27&lt;21),1,IF($BK27&gt;=Control!$C$87,0,$BI27))</f>
        <v>#N/A</v>
      </c>
      <c r="BN27" s="404" t="e">
        <f ca="1">IF($BM27=0,0,IF($BK27&lt;=Control!$C$87,$BI27*(9+(21-9)*($BL27/Control!$C$87)),0))</f>
        <v>#N/A</v>
      </c>
      <c r="BO27" s="140" t="e">
        <f ca="1">IF($BM27=1,0,IF($BK27&gt;=Control!$C$87,1,IF(AND($BB27&lt;30,$BB27&gt;=21),1,$BS26)))</f>
        <v>#N/A</v>
      </c>
      <c r="BP27" s="140" t="e">
        <f ca="1">IF($BL27&lt;0,-$BL27,$BO27*IF(OR($G27&lt;Control!$C$92,$G27&gt;Control!$C$95),0,IF(AND($G27&gt;=Control!$C$92,$G27&lt;=Control!$C$93),$G27-Control!$C$92,IF(AND($G27&gt;Control!$C$93,$G27&lt;=Control!$C$94),Control!$C$93-Control!$C$92,IF(AND($G27&gt;Control!$C$94,$G27&lt;=Control!$C$95),(Control!$C$93-Control!$C$92)*(Control!$C$94-$G27)/(Control!$C$95-Control!$C$94))))))</f>
        <v>#N/A</v>
      </c>
      <c r="BQ27" s="140" t="e">
        <f t="shared" ca="1" si="15"/>
        <v>#N/A</v>
      </c>
      <c r="BR27" s="140" t="e">
        <f ca="1">IF($BQ27&lt;=Control!$C$88,$BQ27,Control!$C$88-$BQ27)</f>
        <v>#N/A</v>
      </c>
      <c r="BS27" s="140" t="e">
        <f ca="1">IF(AND($BB27&gt;=21,$BB27&lt;30),1,IF($BQ27&gt;=Control!$C$88,0,$BO27))</f>
        <v>#N/A</v>
      </c>
      <c r="BT27" s="404" t="e">
        <f ca="1">IF($BS27=0,0,IF($BQ27&lt;=Control!$C$88,$BO27*(21+(30-21)*(BR27/Control!$C$88)),0))</f>
        <v>#N/A</v>
      </c>
      <c r="BU27" s="140" t="e">
        <f ca="1">IF(BG27+BM27+BS27=1,0,IF(OR(AND($BB27&lt;60,$BB27&gt;=30),$BQ27&gt;=Control!$C$88),1*$BA27,$BY26))</f>
        <v>#N/A</v>
      </c>
      <c r="BV27" s="140" t="e">
        <f ca="1">IF($BR27&lt;0,-$BR27,$BU27*IF(OR($G27&lt;Control!$C$92,$G27&gt;Control!$C$95),0,IF(AND($G27&gt;=Control!$C$92,$G27&lt;=Control!$C$93),$G27-Control!$C$92,IF(AND($G27&gt;Control!$C$93,$G27&lt;=Control!$C$94),Control!$C$93-Control!$C$92,IF(AND($G27&gt;Control!$C$94,$G27&lt;=Control!$C$95),(Control!$C$93-Control!$C$92)*(Control!$C$94-$G27)/(Control!$C$95-Control!$C$94))))))</f>
        <v>#N/A</v>
      </c>
      <c r="BW27" s="140" t="e">
        <f t="shared" ca="1" si="16"/>
        <v>#N/A</v>
      </c>
      <c r="BX27" s="140" t="e">
        <f ca="1">IF($BW27&lt;=Control!$C$89,$BW27,Control!$C$89-$BW27)</f>
        <v>#N/A</v>
      </c>
      <c r="BY27" s="140" t="e">
        <f ca="1">IF(AND($AJ27&gt;=30,$AJ27&lt;60),1,IF($BW27&gt;=Control!$C$89,0,$BU27))</f>
        <v>#N/A</v>
      </c>
      <c r="BZ27" s="404" t="e">
        <f ca="1">IF($BY27=0,0,IF($BW27&lt;=Control!$C$89,$BU27*(30+(60-30)*(BX27/Control!$C$89)),0))</f>
        <v>#N/A</v>
      </c>
      <c r="CA27" s="140" t="e">
        <f ca="1">IF($BG27+$BM27+$BS27+$BY27=1,0,IF(OR(AND($BB27&lt;65,$BB27&gt;=60),$BW27&gt;=Control!$C$89),1*$BA27,$CE26))</f>
        <v>#N/A</v>
      </c>
      <c r="CB27" s="140" t="e">
        <f ca="1">IF($BX27&lt;0,-$BX27,$CA27*IF(OR($G27&lt;Control!$C$92,$G27&gt;Control!$C$95),0,IF(AND($G27&gt;=Control!$C$92,$G27&lt;=Control!$C$93),$G27-Control!$C$92,IF(AND($G27&gt;Control!$C$93,$G27&lt;=Control!$C$94),Control!$C$93-Control!$C$92,IF(AND($G27&gt;Control!$C$94,$G27&lt;=Control!$C$95),(Control!$C$93-Control!$C$92)*(Control!$C$94-$G27)/(Control!$C$95-Control!$C$94))))))</f>
        <v>#N/A</v>
      </c>
      <c r="CC27" s="140" t="e">
        <f t="shared" ca="1" si="125"/>
        <v>#N/A</v>
      </c>
      <c r="CD27" s="140" t="e">
        <f ca="1">IF($CC27&lt;=Control!$C$90,$CC27,Control!$C$90-$CC27)</f>
        <v>#N/A</v>
      </c>
      <c r="CE27" s="140" t="e">
        <f ca="1">IF(AND($BB27&gt;=60,$BB27&lt;65),1,IF($CC27&gt;=Control!$C$90,0,$CA27))</f>
        <v>#N/A</v>
      </c>
      <c r="CF27" s="404" t="e">
        <f ca="1">IF($CE27=0,0,IF($CC27&lt;=Control!$C$90,$CA27*(60+(65-60)*(CD27/Control!$C$90)),0))</f>
        <v>#N/A</v>
      </c>
      <c r="CG27" s="140" t="e">
        <f ca="1">IF($BG27+$BM27+$BS27+$BY27+$CE27=1,0,IF(OR(AND($BB27&lt;90,$BB27&gt;=65),$CC27&gt;=Control!$C$90),$BA27,$CK26))</f>
        <v>#N/A</v>
      </c>
      <c r="CH27" s="140" t="e">
        <f ca="1">IF($CD27&lt;0,-$CD27,$CG27*IF(OR($G27&lt;Control!$C$92,$G27&gt;Control!$C$95),0,IF(AND($G27&gt;=Control!$C$92,$G27&lt;=Control!$C$93),$G27-Control!$C$92,IF(AND($G27&gt;Control!$C$93,$G27&lt;=Control!$C$94),Control!$C$93-Control!$C$92,IF(AND($G27&gt;Control!$C$94,$G27&lt;=Control!$C$95),(Control!$C$93-Control!$C$92)*(Control!$C$94-$G27)/(Control!$C$95-Control!$C$94))))))</f>
        <v>#N/A</v>
      </c>
      <c r="CI27" s="140" t="e">
        <f t="shared" ca="1" si="126"/>
        <v>#N/A</v>
      </c>
      <c r="CJ27" s="140" t="e">
        <f ca="1">IF($CI27&lt;=Control!$C$91,$CI27,Control!$C$91-$CI27)</f>
        <v>#N/A</v>
      </c>
      <c r="CK27" s="140" t="e">
        <f ca="1">IF(AND($BB27&gt;=65,$BB27&lt;90),1,IF($CI27&gt;=Control!$C$91,0,$CG27))</f>
        <v>#N/A</v>
      </c>
      <c r="CL27" s="404" t="e">
        <f ca="1">IF($CK27=0,0,IF($CI27&lt;=Control!$C$91,$CG27*(65+(90-65)*($CJ27/Control!$C$91)),0))</f>
        <v>#N/A</v>
      </c>
      <c r="CM27" s="140" t="e">
        <f ca="1">IF($BG27+$BM27+$BS27+$BY27+$CE27+$CK27=1,0,IF(OR($BB27&gt;=90,$CI27&gt;=Control!$C$91),$BA27,$CM26))</f>
        <v>#N/A</v>
      </c>
      <c r="CN27" s="140" t="e">
        <f t="shared" ca="1" si="127"/>
        <v>#N/A</v>
      </c>
      <c r="CO27" s="140" t="e">
        <f t="shared" ca="1" si="128"/>
        <v>#N/A</v>
      </c>
      <c r="CP27" s="140" t="e">
        <f t="shared" ca="1" si="129"/>
        <v>#N/A</v>
      </c>
      <c r="CQ27" s="141" t="e">
        <f ca="1">VLOOKUP($CP27,Control!$B$86:$G$91,6)</f>
        <v>#N/A</v>
      </c>
      <c r="CR27" s="141" t="e">
        <f ca="1">(1-$CQ27)*VLOOKUP($CP27,Control!$B$86:$D$91,3)</f>
        <v>#N/A</v>
      </c>
      <c r="CS27" s="141" t="e">
        <f ca="1">(1-$CQ27)*VLOOKUP($CP27,Control!$B$86:$E$91,4)</f>
        <v>#N/A</v>
      </c>
      <c r="CT27" s="141" t="e">
        <f ca="1">(1-$CQ27)*VLOOKUP($CP27,Control!$B$86:$F$91,5)</f>
        <v>#N/A</v>
      </c>
      <c r="CU27" s="141">
        <f t="shared" ca="1" si="130"/>
        <v>0</v>
      </c>
      <c r="CV27" s="583">
        <f t="shared" ca="1" si="131"/>
        <v>0</v>
      </c>
      <c r="CW27" s="142">
        <f t="shared" ca="1" si="132"/>
        <v>22</v>
      </c>
      <c r="CX27" s="612" t="e">
        <f ca="1">IF(Control!$C$114=1,(MIN(Control!$C$120*(IF($NT27-0.01&lt;0,0,1)),Control!$C$119-$CY27)))</f>
        <v>#DIV/0!</v>
      </c>
      <c r="CY27" s="143" t="e">
        <f t="shared" ca="1" si="133"/>
        <v>#N/A</v>
      </c>
      <c r="CZ27" s="144">
        <f t="shared" ca="1" si="17"/>
        <v>0</v>
      </c>
      <c r="DA27" s="144">
        <f t="shared" ca="1" si="18"/>
        <v>0</v>
      </c>
      <c r="DB27" s="144" t="e">
        <f t="shared" ca="1" si="19"/>
        <v>#N/A</v>
      </c>
      <c r="DC27" s="144" t="e">
        <f t="shared" ca="1" si="20"/>
        <v>#N/A</v>
      </c>
      <c r="DD27" s="144" t="e">
        <f t="shared" ca="1" si="216"/>
        <v>#N/A</v>
      </c>
      <c r="DE27" s="143" t="e">
        <f t="shared" ca="1" si="135"/>
        <v>#N/A</v>
      </c>
      <c r="DF27" s="145" t="e">
        <f ca="1">$DR27*EXP(-Control!$C$158*(1-$KH27))</f>
        <v>#N/A</v>
      </c>
      <c r="DG27" s="146" t="e">
        <f ca="1">IF(Control!$C$114=1, $DF27*$EY27, 0)</f>
        <v>#N/A</v>
      </c>
      <c r="DH27" s="147" t="e">
        <f t="shared" ca="1" si="136"/>
        <v>#N/A</v>
      </c>
      <c r="DI27" s="144" t="e">
        <f t="shared" ca="1" si="191"/>
        <v>#N/A</v>
      </c>
      <c r="DJ27" s="147" t="e">
        <f ca="1">$EF27*Control!$C$109</f>
        <v>#N/A</v>
      </c>
      <c r="DK27" s="144" t="e">
        <f t="shared" ca="1" si="137"/>
        <v>#N/A</v>
      </c>
      <c r="DL27" s="144" t="e">
        <f t="shared" ca="1" si="21"/>
        <v>#N/A</v>
      </c>
      <c r="DM27" s="144" t="e">
        <f ca="1">IF(Control!$C$114=1, (1-EXP(-Control!$C$96*$DK27))*$AR27, 0)</f>
        <v>#N/A</v>
      </c>
      <c r="DN27" s="144">
        <f t="shared" ca="1" si="138"/>
        <v>0</v>
      </c>
      <c r="DO27" s="148">
        <f>Control!$C$97</f>
        <v>4</v>
      </c>
      <c r="DP27" s="145" t="e">
        <f t="shared" ca="1" si="139"/>
        <v>#N/A</v>
      </c>
      <c r="DQ27" s="145" t="e">
        <f ca="1">IF(AND($CP27&gt;=0,$CP27&lt;=90),Control!$C$111,Control!$C$111)</f>
        <v>#N/A</v>
      </c>
      <c r="DR27" s="145" t="e">
        <f t="shared" ca="1" si="22"/>
        <v>#N/A</v>
      </c>
      <c r="DS27" s="143" t="e">
        <f ca="1">Control!$B$22/$DR27</f>
        <v>#N/A</v>
      </c>
      <c r="DT27" s="149" t="e">
        <f ca="1">IF(AND(Control!$C$114=1,$KH27&lt;1),$IM27*$DF27, 0)</f>
        <v>#N/A</v>
      </c>
      <c r="DU27" s="144" t="e">
        <f t="shared" ca="1" si="192"/>
        <v>#N/A</v>
      </c>
      <c r="DV27" s="144">
        <f ca="1">IF($G27-Control!$C$107&lt;=0, 0, 0.83*LN(MAX($G27, 3))-0.8924)</f>
        <v>0</v>
      </c>
      <c r="DW27" s="144" t="e">
        <f t="shared" ca="1" si="23"/>
        <v>#N/A</v>
      </c>
      <c r="DX27" s="150" t="e">
        <f ca="1">MAX(0.01*(1+$CU27/Control!$C$102),0.05*($DK27-Control!$C$97)/Control!$C$97)</f>
        <v>#N/A</v>
      </c>
      <c r="DY27" s="151" t="e">
        <f ca="1">IF(Control!$C$114=1, $DI27*$FS27, 0)</f>
        <v>#N/A</v>
      </c>
      <c r="DZ27" s="196" t="e">
        <f t="shared" ca="1" si="140"/>
        <v>#N/A</v>
      </c>
      <c r="EA27" s="152">
        <f t="shared" ca="1" si="141"/>
        <v>22</v>
      </c>
      <c r="EB27" s="153" t="e">
        <f t="shared" ca="1" si="217"/>
        <v>#N/A</v>
      </c>
      <c r="EC27" s="153" t="e">
        <f t="shared" ca="1" si="142"/>
        <v>#N/A</v>
      </c>
      <c r="ED27" s="154" t="e">
        <f ca="1">IF(Control!$C$114=1, $HM27*$FY27-$FD27, 0)</f>
        <v>#DIV/0!</v>
      </c>
      <c r="EE27" s="155" t="e">
        <f ca="1">IF(Control!$C$114=1, $HM27*$FZ27-$FF27, 0)</f>
        <v>#DIV/0!</v>
      </c>
      <c r="EF27" s="153" t="e">
        <f t="shared" ca="1" si="193"/>
        <v>#N/A</v>
      </c>
      <c r="EG27" s="155" t="e">
        <f ca="1">IF(Control!$C$114=1, $GX27*$FW27-$FI27, 0)</f>
        <v>#DIV/0!</v>
      </c>
      <c r="EH27" s="153" t="e">
        <f t="shared" ca="1" si="143"/>
        <v>#N/A</v>
      </c>
      <c r="EI27" s="156" t="e">
        <f t="shared" ca="1" si="144"/>
        <v>#N/A</v>
      </c>
      <c r="EJ27" s="155" t="e">
        <f ca="1">IF(Control!$C$114=1, $HM27*$GB27, 0)</f>
        <v>#DIV/0!</v>
      </c>
      <c r="EK27" s="153" t="e">
        <f t="shared" ca="1" si="194"/>
        <v>#N/A</v>
      </c>
      <c r="EL27" s="153" t="e">
        <f t="shared" ca="1" si="24"/>
        <v>#N/A</v>
      </c>
      <c r="EM27" s="153" t="e">
        <f t="shared" ca="1" si="25"/>
        <v>#N/A</v>
      </c>
      <c r="EN27" s="153" t="e">
        <f ca="1">IF(Control!$C$108=1,IF(AND(Control!$B$18=1,$EB27&gt;=Control!$B$19),$EB27-$DS27,IF(AND(Control!$B$18=2,$AW27=1,$EB27&gt;$DS27),$EB27-$DS27,0)))</f>
        <v>#N/A</v>
      </c>
      <c r="EO27" s="153" t="e">
        <f ca="1">IF(Control!$C$108=1,IF(AND(Control!$B$18=1,$EB27&gt;=Control!$B$19),$EF27,IF(AND(Control!$B$18=2,$AW27=1),$EF27,0)))</f>
        <v>#N/A</v>
      </c>
      <c r="EP27" s="153" t="e">
        <f ca="1">IF(Control!$C$108=1,IF(AND(Control!$B$18=1,$EB27&gt;=Control!$B$19),$EK27,IF(AND(Control!$B$18=2,$AW27=1),$EK27,0)))</f>
        <v>#N/A</v>
      </c>
      <c r="EQ27" s="153" t="e">
        <f t="shared" ca="1" si="145"/>
        <v>#N/A</v>
      </c>
      <c r="ER27" s="153" t="e">
        <f t="shared" ca="1" si="195"/>
        <v>#N/A</v>
      </c>
      <c r="ES27" s="153" t="e">
        <f t="shared" ca="1" si="196"/>
        <v>#N/A</v>
      </c>
      <c r="ET27" s="153" t="e">
        <f t="shared" ca="1" si="197"/>
        <v>#N/A</v>
      </c>
      <c r="EU27" s="153" t="e">
        <f t="shared" ca="1" si="198"/>
        <v>#N/A</v>
      </c>
      <c r="EV27" s="153" t="e">
        <f t="shared" ca="1" si="146"/>
        <v>#N/A</v>
      </c>
      <c r="EW27" s="153" t="e">
        <f t="shared" ca="1" si="218"/>
        <v>#N/A</v>
      </c>
      <c r="EX27" s="153" t="e">
        <f t="shared" ca="1" si="26"/>
        <v>#N/A</v>
      </c>
      <c r="EY27" s="157" t="e">
        <f t="shared" ca="1" si="147"/>
        <v>#DIV/0!</v>
      </c>
      <c r="EZ27" s="154" t="e">
        <f t="shared" ca="1" si="27"/>
        <v>#DIV/0!</v>
      </c>
      <c r="FA27" s="153" t="e">
        <f t="shared" ca="1" si="199"/>
        <v>#N/A</v>
      </c>
      <c r="FB27" s="153" t="e">
        <f t="shared" ca="1" si="28"/>
        <v>#N/A</v>
      </c>
      <c r="FC27" s="193" t="e">
        <f t="shared" ca="1" si="29"/>
        <v>#N/A</v>
      </c>
      <c r="FD27" s="158" t="e">
        <f t="shared" ca="1" si="200"/>
        <v>#N/A</v>
      </c>
      <c r="FE27" s="158" t="e">
        <f t="shared" ca="1" si="148"/>
        <v>#N/A</v>
      </c>
      <c r="FF27" s="159" t="e">
        <f t="shared" ca="1" si="30"/>
        <v>#N/A</v>
      </c>
      <c r="FG27" s="160" t="e">
        <f t="shared" ca="1" si="149"/>
        <v>#N/A</v>
      </c>
      <c r="FH27" s="158" t="e">
        <f t="shared" ca="1" si="150"/>
        <v>#N/A</v>
      </c>
      <c r="FI27" s="159" t="e">
        <f t="shared" ca="1" si="31"/>
        <v>#N/A</v>
      </c>
      <c r="FJ27" s="160" t="e">
        <f t="shared" ca="1" si="151"/>
        <v>#N/A</v>
      </c>
      <c r="FK27" s="160" t="e">
        <f t="shared" ca="1" si="32"/>
        <v>#N/A</v>
      </c>
      <c r="FL27" s="160" t="e">
        <f t="shared" ca="1" si="229"/>
        <v>#N/A</v>
      </c>
      <c r="FM27" s="160" t="e">
        <f t="shared" ca="1" si="33"/>
        <v>#N/A</v>
      </c>
      <c r="FN27" s="158">
        <f t="shared" ca="1" si="219"/>
        <v>0.01</v>
      </c>
      <c r="FO27" s="160">
        <f>Control!$C$101</f>
        <v>50</v>
      </c>
      <c r="FP27" s="150" t="e">
        <f t="shared" ca="1" si="34"/>
        <v>#N/A</v>
      </c>
      <c r="FQ27" s="150" t="e">
        <f ca="1">MAX(0,(Control!$C$112*(($DK27-Control!$C$97)/Control!$C$97)))</f>
        <v>#N/A</v>
      </c>
      <c r="FR27" s="150" t="e">
        <f ca="1">(1-$NT27)*Control!$C$113</f>
        <v>#DIV/0!</v>
      </c>
      <c r="FS27" s="198" t="e">
        <f t="shared" ca="1" si="35"/>
        <v>#N/A</v>
      </c>
      <c r="FT27" s="161">
        <f t="shared" ca="1" si="152"/>
        <v>22</v>
      </c>
      <c r="FU27" s="162" t="e">
        <f ca="1">IF(Control!$B$34=1,VLOOKUP($CP27,Control!$B$86:$G$91,6),Control!$B$35)</f>
        <v>#N/A</v>
      </c>
      <c r="FV27" s="162" t="e">
        <f t="shared" ca="1" si="36"/>
        <v>#DIV/0!</v>
      </c>
      <c r="FW27" s="162" t="e">
        <f ca="1">IF(Control!$B$31=1,$FU27*$FV27,  $FU27)</f>
        <v>#N/A</v>
      </c>
      <c r="FX27" s="162" t="e">
        <f ca="1">IF(Control!$B$34=1,VLOOKUP($CP27,Control!$B$86:$G$91,3),Control!$B$36)</f>
        <v>#N/A</v>
      </c>
      <c r="FY27" s="162" t="e">
        <f t="shared" ca="1" si="37"/>
        <v>#N/A</v>
      </c>
      <c r="FZ27" s="162" t="e">
        <f ca="1">IF(Control!$B$34=1,VLOOKUP($CP27,Control!$B$86:$G$91,4),Control!$B$37)</f>
        <v>#N/A</v>
      </c>
      <c r="GA27" s="162" t="e">
        <f t="shared" ca="1" si="38"/>
        <v>#N/A</v>
      </c>
      <c r="GB27" s="162" t="e">
        <f ca="1">IF(Control!$B$34=1,VLOOKUP($CP27,Control!$B$86:$G$91,5),Control!$B$38)</f>
        <v>#N/A</v>
      </c>
      <c r="GC27" s="162" t="e">
        <f t="shared" ca="1" si="153"/>
        <v>#N/A</v>
      </c>
      <c r="GD27" s="162">
        <f t="shared" ca="1" si="39"/>
        <v>1</v>
      </c>
      <c r="GE27" s="162">
        <f t="shared" ca="1" si="40"/>
        <v>1</v>
      </c>
      <c r="GF27" s="162">
        <f ca="1">IF(AND(Control!$C$104=1, Control!$C$62="F"),$GE27,1)</f>
        <v>1</v>
      </c>
      <c r="GG27" s="162" t="e">
        <f ca="1">IF(Control!$B$16=40,0,IF(AND(Control!$B$16&gt;40,Control!$B$16&lt;=360),(Control!$B$16-40)*((1-0)/(360-40)),IF(AND(Control!$B$16&gt;360,Control!$B$16&lt;=720),(1+(Control!$B$16-360)*((1.25-1)/(720-360))),IF(AND(Control!$B$16&gt;720,Control!$B$16&lt;=1000),(1.25+(Control!$B$16-720)*((1.35-1.25)/(1000-720))),IF(AND(Control!$B$16&gt;1000,Control!$B$16&lt;=2000),(1.35+(Control!$B$16-1000)*0))))))</f>
        <v>#N/A</v>
      </c>
      <c r="GH27" s="162" t="e">
        <f t="shared" ca="1" si="41"/>
        <v>#N/A</v>
      </c>
      <c r="GI27" s="162">
        <f t="shared" ca="1" si="201"/>
        <v>0</v>
      </c>
      <c r="GJ27" s="162">
        <f t="shared" ca="1" si="42"/>
        <v>0</v>
      </c>
      <c r="GK27" s="162">
        <f t="shared" ca="1" si="220"/>
        <v>1</v>
      </c>
      <c r="GL27" s="162">
        <f t="shared" ca="1" si="43"/>
        <v>1</v>
      </c>
      <c r="GM27" s="162" t="e">
        <f ca="1">MAX(0,MIN(1,1-Control!$C$156*(1.0001-$KH27)^2))</f>
        <v>#N/A</v>
      </c>
      <c r="GN27" s="162" t="e">
        <f ca="1">IF(Control!$B$26=1,$KU27,$KX27)</f>
        <v>#N/A</v>
      </c>
      <c r="GO27" s="162" t="e">
        <f ca="1">IF($CP27&lt;=60,Control!$C$105,IF($CP27&gt;=90,Control!$C$106,Control!$C$105+($CP27-60)*((Control!$C$106-Control!$C$105)/(90-60))))</f>
        <v>#N/A</v>
      </c>
      <c r="GP27" s="162" t="e">
        <f t="shared" ca="1" si="154"/>
        <v>#N/A</v>
      </c>
      <c r="GQ27" s="162" t="e">
        <f t="shared" ca="1" si="155"/>
        <v>#N/A</v>
      </c>
      <c r="GR27" s="163" t="e">
        <f t="shared" ca="1" si="44"/>
        <v>#DIV/0!</v>
      </c>
      <c r="GS27" s="162" t="e">
        <f t="shared" ca="1" si="45"/>
        <v>#DIV/0!</v>
      </c>
      <c r="GT27" s="164" t="e">
        <f t="shared" ca="1" si="156"/>
        <v>#N/A</v>
      </c>
      <c r="GU27" s="162" t="e">
        <f t="shared" ca="1" si="157"/>
        <v>#N/A</v>
      </c>
      <c r="GV27" s="162" t="e">
        <f t="shared" ca="1" si="46"/>
        <v>#N/A</v>
      </c>
      <c r="GW27" s="162" t="e">
        <f t="shared" ca="1" si="221"/>
        <v>#DIV/0!</v>
      </c>
      <c r="GX27" s="162" t="e">
        <f t="shared" ca="1" si="228"/>
        <v>#DIV/0!</v>
      </c>
      <c r="GY27" s="162" t="e">
        <f t="shared" ca="1" si="158"/>
        <v>#DIV/0!</v>
      </c>
      <c r="GZ27" s="165" t="e">
        <f t="shared" ca="1" si="159"/>
        <v>#N/A</v>
      </c>
      <c r="HA27" s="162" t="e">
        <f ca="1">IF(Control!$C$114=1, $DI27*$FS27, 0)</f>
        <v>#N/A</v>
      </c>
      <c r="HB27" s="162" t="e">
        <f ca="1">$FA27/Control!$C$64</f>
        <v>#N/A</v>
      </c>
      <c r="HC27" s="162" t="e">
        <f t="shared" ca="1" si="222"/>
        <v>#DIV/0!</v>
      </c>
      <c r="HD27" s="162">
        <f ca="1">-ASIN(SIN(23.45*Control!$C$139)*COS(2*Control!$C$138*($AH27+10)/365))</f>
        <v>-0.34594257717984944</v>
      </c>
      <c r="HE27" s="165">
        <f t="shared" ca="1" si="160"/>
        <v>0</v>
      </c>
      <c r="HF27" s="166">
        <f ca="1">IF(AND(Control!$C$61="T",$HE27&gt;=Control!$C$103,Control!$C$114=0),$AH27,Control!$C$59)</f>
        <v>1</v>
      </c>
      <c r="HG27" s="166">
        <f ca="1">IF(AND(Control!$C$61="T",$HE27&gt;=Control!$C$103,Control!$C$114=0),$HF27,Control!$C$59)</f>
        <v>1</v>
      </c>
      <c r="HH27" s="165">
        <f ca="1">IF(AND(OR(Control!$C$60&lt;=0, $AH27= Control!$C$59, Control!$C$60 &gt;0, $AH27 = Control!$C$60)), Control!$C$59, IF(Control!$C$60&gt;0, 0))</f>
        <v>1</v>
      </c>
      <c r="HI27" s="165">
        <f ca="1">IF(AND(OR(Control!$C$60&lt;=0, $AH27= Control!$C$59, Control!$C$60 &gt;0, $AH27 = Control!$C$60)), Control!$C$60, IF(Control!$C$60&lt;=0, 0))</f>
        <v>0</v>
      </c>
      <c r="HJ27" s="166">
        <f ca="1">IF(AND(Control!$C$62="F",$CV27&gt;=Control!$C$102),$AH27,0)</f>
        <v>0</v>
      </c>
      <c r="HK27" s="165" t="e">
        <f t="shared" ca="1" si="202"/>
        <v>#N/A</v>
      </c>
      <c r="HL27" s="166">
        <f ca="1">IF(AND(Control!$C$61="T",$HE27&gt;=Control!$C$103,Control!$C$114=0),$HF27,0)</f>
        <v>0</v>
      </c>
      <c r="HM27" s="201" t="e">
        <f t="shared" ca="1" si="47"/>
        <v>#DIV/0!</v>
      </c>
      <c r="HN27" s="215">
        <f t="shared" ca="1" si="161"/>
        <v>22</v>
      </c>
      <c r="HO27" s="216" t="e">
        <f ca="1">IF(AND($CP27&gt;=0, $CP27&lt;=90), Control!$C$152, Control!$C$152)</f>
        <v>#N/A</v>
      </c>
      <c r="HP27" s="216" t="e">
        <f t="shared" ca="1" si="48"/>
        <v>#N/A</v>
      </c>
      <c r="HQ27" s="217" t="e">
        <f ca="1">IF(OR(Control!$B$26=1,Control!$B$26=2),$KV27,$KS27)</f>
        <v>#DIV/0!</v>
      </c>
      <c r="HR27" s="218" t="e">
        <f t="shared" ca="1" si="223"/>
        <v>#DIV/0!</v>
      </c>
      <c r="HS27" s="216" t="e">
        <f ca="1">Control!$C$154*$HP27</f>
        <v>#N/A</v>
      </c>
      <c r="HT27" s="216" t="e">
        <f ca="1">Control!$C$155*$HP27</f>
        <v>#N/A</v>
      </c>
      <c r="HU27" s="217" t="e">
        <f ca="1">Control!$C$161*$FI27</f>
        <v>#N/A</v>
      </c>
      <c r="HV27" s="218" t="e">
        <f t="shared" ca="1" si="162"/>
        <v>#N/A</v>
      </c>
      <c r="HW27" s="218" t="e">
        <f ca="1">Control!$C$160*$FF27+$IP27*$EO27</f>
        <v>#N/A</v>
      </c>
      <c r="HX27" s="218" t="e">
        <f t="shared" ca="1" si="203"/>
        <v>#N/A</v>
      </c>
      <c r="HY27" s="219" t="e">
        <f ca="1">IF(Control!$C$114=1, $EB27*$FS27, 0)</f>
        <v>#N/A</v>
      </c>
      <c r="HZ27" s="91" t="e">
        <f t="shared" ca="1" si="49"/>
        <v>#N/A</v>
      </c>
      <c r="IA27" s="220" t="e">
        <f ca="1">Control!$C$153*$HO27</f>
        <v>#N/A</v>
      </c>
      <c r="IB27" s="218" t="e">
        <f t="shared" ca="1" si="50"/>
        <v>#N/A</v>
      </c>
      <c r="IC27" s="220" t="e">
        <f ca="1">Control!$C$153*$HT27</f>
        <v>#N/A</v>
      </c>
      <c r="ID27" s="218" t="e">
        <f t="shared" ca="1" si="51"/>
        <v>#N/A</v>
      </c>
      <c r="IE27" s="221" t="e">
        <f ca="1">($EB27*Control!$C$159+$EF27*Control!$C$160)/(IF($GZ27&lt;&gt;0,$GZ27,1))</f>
        <v>#N/A</v>
      </c>
      <c r="IF27" s="216" t="e">
        <f t="shared" ca="1" si="52"/>
        <v>#N/A</v>
      </c>
      <c r="IG27" s="91">
        <f ca="1">IF(OR(Control!$B$198=$AH27,Control!$B$199=$AH27, Control!$B$200=$AH27, Control!$B$201=$AH27, Control!$B$202=$AH27, Control!$B$203=$AH27, Control!$B$204=$AH27, Control!$B$205=$AH27, Control!$B$206=$AH27, Control!$B$207=$AH27), 1, 0)</f>
        <v>0</v>
      </c>
      <c r="IH27" s="91">
        <f ca="1">IF($IG27=0,0, VLOOKUP($AH27,Control!$B$198:$C$207,2))</f>
        <v>0</v>
      </c>
      <c r="II27" s="222">
        <f t="shared" ca="1" si="163"/>
        <v>0</v>
      </c>
      <c r="IJ27" s="91">
        <f>Control!$C$121</f>
        <v>0.7</v>
      </c>
      <c r="IK27" s="218">
        <f t="shared" ca="1" si="53"/>
        <v>0</v>
      </c>
      <c r="IL27" s="217" t="e">
        <f t="shared" ca="1" si="204"/>
        <v>#N/A</v>
      </c>
      <c r="IM27" s="223" t="e">
        <f ca="1">IF(AND(Control!$C$114=1,$KH27&lt;1),$EB27*Control!$C$148*(1-$KH27), 0)</f>
        <v>#N/A</v>
      </c>
      <c r="IN27" s="217" t="e">
        <f t="shared" ca="1" si="54"/>
        <v>#DIV/0!</v>
      </c>
      <c r="IO27" s="91" t="e">
        <f ca="1">MAX(0,$IL27-$EF27*Control!$C$160)</f>
        <v>#N/A</v>
      </c>
      <c r="IP27" s="220" t="e">
        <f t="shared" ca="1" si="55"/>
        <v>#N/A</v>
      </c>
      <c r="IQ27" s="217" t="e">
        <f t="shared" ca="1" si="164"/>
        <v>#N/A</v>
      </c>
      <c r="IR27" s="218" t="e">
        <f t="shared" ca="1" si="56"/>
        <v>#N/A</v>
      </c>
      <c r="IS27" s="217" t="e">
        <f ca="1">Control!$C$159*MAX(0,$FD27-$EN27)</f>
        <v>#N/A</v>
      </c>
      <c r="IT27" s="217" t="e">
        <f t="shared" ca="1" si="205"/>
        <v>#N/A</v>
      </c>
      <c r="IU27" s="217" t="e">
        <f t="shared" ca="1" si="165"/>
        <v>#N/A</v>
      </c>
      <c r="IV27" s="217" t="e">
        <f t="shared" ca="1" si="206"/>
        <v>#N/A</v>
      </c>
      <c r="IW27" s="217" t="e">
        <f ca="1">IF(OR($AW27=1,AND($AW27=0, Control!$B$18=1,$EN27&lt;&gt;0)), $IQ27-$IU27, $IQ27)</f>
        <v>#N/A</v>
      </c>
      <c r="IX27" s="218" t="e">
        <f t="shared" ca="1" si="57"/>
        <v>#N/A</v>
      </c>
      <c r="IY27" s="218" t="e">
        <f ca="1">MAX(0,$IQ27-$EB27*Control!$C$159)</f>
        <v>#N/A</v>
      </c>
      <c r="IZ27" s="218" t="e">
        <f t="shared" ca="1" si="58"/>
        <v>#N/A</v>
      </c>
      <c r="JA27" s="216" t="e">
        <f t="shared" ca="1" si="59"/>
        <v>#N/A</v>
      </c>
      <c r="JB27" s="217" t="e">
        <f t="shared" ca="1" si="60"/>
        <v>#N/A</v>
      </c>
      <c r="JC27" s="222" t="e">
        <f ca="1">MAX(Control!$C$157*$EK27-$JT27, 0)/Control!$C$162</f>
        <v>#N/A</v>
      </c>
      <c r="JD27" s="218" t="e">
        <f t="shared" ca="1" si="61"/>
        <v>#N/A</v>
      </c>
      <c r="JE27" s="218" t="e">
        <f t="shared" ca="1" si="62"/>
        <v>#N/A</v>
      </c>
      <c r="JF27" s="218" t="e">
        <f t="shared" ca="1" si="207"/>
        <v>#N/A</v>
      </c>
      <c r="JG27" s="218" t="e">
        <f t="shared" ca="1" si="63"/>
        <v>#N/A</v>
      </c>
      <c r="JH27" s="217" t="e">
        <f t="shared" ca="1" si="166"/>
        <v>#N/A</v>
      </c>
      <c r="JI27" s="217" t="e">
        <f t="shared" ca="1" si="167"/>
        <v>#N/A</v>
      </c>
      <c r="JJ27" s="217" t="e">
        <f t="shared" ca="1" si="224"/>
        <v>#N/A</v>
      </c>
      <c r="JK27" s="217" t="e">
        <f ca="1">IF(Control!$C$114=1,IF(Control!$B$24=0,MAX(0,$JI27)*$GN27/Control!$C$64,(MAX(0,MIN($JI27,$JJ27*$GN27/Control!$C$64),0))))</f>
        <v>#N/A</v>
      </c>
      <c r="JL27" s="217" t="e">
        <f ca="1">$IK27/Control!$C$64-$JK27+$HQ27</f>
        <v>#N/A</v>
      </c>
      <c r="JM27" s="217" t="e">
        <f ca="1">IF(Control!$C$114=1,($JB27/(IF($JI27&lt;&gt;0,$JI27,1)))*$JK27,0)</f>
        <v>#N/A</v>
      </c>
      <c r="JN27" s="217" t="e">
        <f ca="1">IF(Control!$C$114=1,($JG27/(IF($JI27&lt;&gt;0,$JI27,1)))*$JK27, 0)</f>
        <v>#N/A</v>
      </c>
      <c r="JO27" s="218" t="e">
        <f t="shared" ca="1" si="64"/>
        <v>#N/A</v>
      </c>
      <c r="JP27" s="218" t="e">
        <f ca="1">MIN(($IY27+$IO27)*Control!$C$151, $JF27-$EH27*Control!$C$161)</f>
        <v>#N/A</v>
      </c>
      <c r="JQ27" s="218" t="e">
        <f t="shared" ca="1" si="65"/>
        <v>#N/A</v>
      </c>
      <c r="JR27" s="217" t="e">
        <f ca="1">IF($CP27-Control!$C$150&lt;0, 0, $JQ27/Control!$C$162)</f>
        <v>#N/A</v>
      </c>
      <c r="JS27" s="218" t="e">
        <f t="shared" ca="1" si="66"/>
        <v>#N/A</v>
      </c>
      <c r="JT27" s="218" t="e">
        <f t="shared" ca="1" si="168"/>
        <v>#N/A</v>
      </c>
      <c r="JU27" s="218" t="e">
        <f t="shared" ca="1" si="67"/>
        <v>#N/A</v>
      </c>
      <c r="JV27" s="218" t="e">
        <f t="shared" ca="1" si="68"/>
        <v>#N/A</v>
      </c>
      <c r="JW27" s="216" t="e">
        <f t="shared" ca="1" si="69"/>
        <v>#N/A</v>
      </c>
      <c r="JX27" s="91" t="e">
        <f t="shared" ca="1" si="70"/>
        <v>#N/A</v>
      </c>
      <c r="JY27" s="218" t="e">
        <f t="shared" ca="1" si="71"/>
        <v>#N/A</v>
      </c>
      <c r="JZ27" s="217" t="e">
        <f ca="1">IF(Control!$C$114=1,($IZ27/(IF($JI27&lt;&gt;0,$JI27,1)))*$JK27, 0)</f>
        <v>#N/A</v>
      </c>
      <c r="KA27" s="218" t="e">
        <f t="shared" ca="1" si="225"/>
        <v>#N/A</v>
      </c>
      <c r="KB27" s="218" t="e">
        <f t="shared" ca="1" si="169"/>
        <v>#N/A</v>
      </c>
      <c r="KC27" s="218" t="e">
        <f t="shared" ca="1" si="72"/>
        <v>#N/A</v>
      </c>
      <c r="KD27" s="218" t="e">
        <f t="shared" ca="1" si="73"/>
        <v>#N/A</v>
      </c>
      <c r="KE27" s="218" t="e">
        <f t="shared" ca="1" si="74"/>
        <v>#N/A</v>
      </c>
      <c r="KF27" s="218" t="e">
        <f t="shared" ca="1" si="75"/>
        <v>#N/A</v>
      </c>
      <c r="KG27" s="216" t="e">
        <f t="shared" ca="1" si="76"/>
        <v>#N/A</v>
      </c>
      <c r="KH27" s="221" t="e">
        <f ca="1">IF(Control!$B$24=0,1,MAX(0.001,MIN(1,IF(($IF27-$IE27)&lt;&gt;0,($KG27-$IE27)/($IF27-$IE27),1))))</f>
        <v>#N/A</v>
      </c>
      <c r="KI27" s="222" t="e">
        <f ca="1">IF(Control!$C$114=1, $KI26+ $KH26, 0)</f>
        <v>#N/A</v>
      </c>
      <c r="KJ27" s="217" t="e">
        <f t="shared" ca="1" si="77"/>
        <v>#N/A</v>
      </c>
      <c r="KK27" s="218" t="e">
        <f t="shared" ca="1" si="78"/>
        <v>#N/A</v>
      </c>
      <c r="KL27" s="274" t="e">
        <f ca="1">IF(Control!$B$26=3,4000000000*EXP(-8400/($G27+273)),IF(Control!$B$26=4,4000000000*EXP(-8400/($G27+273))*($KT27),0))</f>
        <v>#DIV/0!</v>
      </c>
      <c r="KM27" s="274" t="e">
        <f ca="1">IF(Control!$B$26=3,5600000000000*EXP(-9800/($G27+273)),IF(Control!$B$26=4,5600000000000*EXP(-9800/($G27+273))*$KT27,0))</f>
        <v>#DIV/0!</v>
      </c>
      <c r="KN27" s="454" t="e">
        <f t="shared" ca="1" si="170"/>
        <v>#DIV/0!</v>
      </c>
      <c r="KO27" s="274" t="e">
        <f t="shared" ca="1" si="171"/>
        <v>#DIV/0!</v>
      </c>
      <c r="KP27" s="454" t="e">
        <f t="shared" ca="1" si="79"/>
        <v>#DIV/0!</v>
      </c>
      <c r="KQ27" s="454" t="e">
        <f t="shared" ca="1" si="80"/>
        <v>#DIV/0!</v>
      </c>
      <c r="KR27" s="454" t="e">
        <f t="shared" ca="1" si="81"/>
        <v>#DIV/0!</v>
      </c>
      <c r="KS27" s="454" t="e">
        <f t="shared" ca="1" si="82"/>
        <v>#DIV/0!</v>
      </c>
      <c r="KT27" s="455" t="e">
        <f t="shared" ca="1" si="83"/>
        <v>#DIV/0!</v>
      </c>
      <c r="KU27" s="456" t="e">
        <f ca="1">IF($CP27-Control!$C$149&lt;0, IF($NT27-0.01&lt;0,0,1),0)</f>
        <v>#N/A</v>
      </c>
      <c r="KV27" s="456" t="e">
        <f ca="1">IF(Control!$C$114=1,MAX(0,MIN(Control!$C$125*$KW27*$GN27,$KW27)))</f>
        <v>#DIV/0!</v>
      </c>
      <c r="KW27" s="456" t="e">
        <f t="shared" ca="1" si="208"/>
        <v>#DIV/0!</v>
      </c>
      <c r="KX27" s="457" t="e">
        <f ca="1">IF($CP27-Control!$C$149&lt;0, IF($MR27-$OM27&lt;0,0,1),0)</f>
        <v>#N/A</v>
      </c>
      <c r="KY27" s="167">
        <f t="shared" ca="1" si="172"/>
        <v>22</v>
      </c>
      <c r="KZ27" s="168">
        <f ca="1">1370*(1+0.033*COS(2*Control!$C$138*$AH27/365))</f>
        <v>1412.0064684065878</v>
      </c>
      <c r="LA27" s="169">
        <f t="shared" ca="1" si="173"/>
        <v>1.0306616665763046</v>
      </c>
      <c r="LB27" s="169">
        <f t="shared" ca="1" si="174"/>
        <v>-0.34663400003096273</v>
      </c>
      <c r="LC27" s="169">
        <f ca="1">ACOS(-TAN((2*Control!$B$8/360))*TAN(Calculations!$LB27))</f>
        <v>1.46323371956473</v>
      </c>
      <c r="LD27" s="169">
        <f ca="1">((24*60)/PI())*0.082*$LA27*(($LC27*SIN(Control!$B$8*2*PI()/360))*SIN($LB27)+COS(Control!$B$8*2*PI()/360)*COS($LB27)*SIN($LC27))</f>
        <v>7.1266526767001217</v>
      </c>
      <c r="LE27" s="170">
        <f t="shared" ca="1" si="84"/>
        <v>8.4603142100161861</v>
      </c>
      <c r="LF27" s="170">
        <f ca="1">SIN(Control!$C$139*Control!$B$8)*SIN($HD27)</f>
        <v>-0.26720193716669621</v>
      </c>
      <c r="LG27" s="170">
        <f ca="1">COS(Control!$C$139*Control!$B$8)*COS($HD27)</f>
        <v>0.57918581248944168</v>
      </c>
      <c r="LH27" s="170">
        <f ca="1">12*(1+2*ASIN(MAX(-1,MIN(1,$LF27/$LG27))/Control!$C$138))</f>
        <v>8.4628340949909209</v>
      </c>
      <c r="LI27" s="170">
        <f ca="1">12*(1+2*ASIN(MAX(-1,MIN(1,(-SIN(-4*Control!$C$139)+$LF27)/$LG27))/Control!$C$138))</f>
        <v>9.3905724879728627</v>
      </c>
      <c r="LJ27" s="168">
        <f ca="1">3600*($LH27*$LF27+24*$LG27*SQRT(1-$LK27*$LK27)/Control!$C$138)</f>
        <v>5991.6964966622481</v>
      </c>
      <c r="LK27" s="170">
        <f t="shared" ca="1" si="85"/>
        <v>-0.46134061195010229</v>
      </c>
      <c r="LL27" s="170">
        <f t="shared" ca="1" si="86"/>
        <v>0</v>
      </c>
      <c r="LM27" s="171">
        <f ca="1">Control!$C$145*$AB27</f>
        <v>6.6660906138995932E-2</v>
      </c>
      <c r="LN27" s="170">
        <f t="shared" ca="1" si="175"/>
        <v>0.54</v>
      </c>
      <c r="LO27" s="170">
        <f t="shared" ca="1" si="87"/>
        <v>0</v>
      </c>
      <c r="LP27" s="170">
        <f ca="1">Control!$C$140*((($D27+273.16)^4+($E27+273.16)^4)/2)*(0.34-0.14*SQRT($Y27))*(1.35*$AQ27/(0.75*$LD27)-0.35)</f>
        <v>-3.2464704755046001</v>
      </c>
      <c r="LQ27" s="170">
        <f ca="1">Control!$C$140*($G27+273)^4*(0.56-0.079*SQRT($Y27*10))*(0.1+0.9*$LO27)</f>
        <v>1.5241745131704001</v>
      </c>
      <c r="LR27" s="170">
        <f ca="1">$AQ27*(1-Control!$C$142)-$LQ27</f>
        <v>-1.5241745131704001</v>
      </c>
      <c r="LS27" s="170">
        <f ca="1">$AQ27*(1-Control!$C$143)-$LQ27</f>
        <v>-1.5241745131704001</v>
      </c>
      <c r="LT27" s="170">
        <f ca="1">$AQ27*(1-Control!$C$144)-$LQ27</f>
        <v>-1.5241745131704001</v>
      </c>
      <c r="LU27" s="169">
        <f ca="1">(1-Control!$C$144)*AQ27-LP27</f>
        <v>3.2464704755046001</v>
      </c>
      <c r="LV27" s="172">
        <f t="shared" ca="1" si="88"/>
        <v>0.79430000000000012</v>
      </c>
      <c r="LW27" s="170">
        <f t="shared" ca="1" si="89"/>
        <v>1.5886000000000002</v>
      </c>
      <c r="LX27" s="170">
        <f ca="1">($AC27*($LR27/Control!$C$141)+$LM27*$LV27)/($AC27+$LM27)</f>
        <v>0.23530094218323697</v>
      </c>
      <c r="LY27" s="170">
        <f ca="1">($AC27*($LS27/Control!$C$141)+$LM27*$LV27)/($AC27+$LM27)</f>
        <v>0.23530094218323697</v>
      </c>
      <c r="LZ27" s="170">
        <f t="shared" ca="1" si="90"/>
        <v>0.23530094218323697</v>
      </c>
      <c r="MA27" s="170">
        <f t="shared" ca="1" si="91"/>
        <v>0.23530094218323697</v>
      </c>
      <c r="MB27" s="170" t="e">
        <f t="shared" ca="1" si="92"/>
        <v>#N/A</v>
      </c>
      <c r="MC27" s="170">
        <f t="shared" ca="1" si="176"/>
        <v>0.6018</v>
      </c>
      <c r="MD27" s="170">
        <f t="shared" ca="1" si="93"/>
        <v>0.52989392535414004</v>
      </c>
      <c r="ME27" s="170">
        <f ca="1">($AC27*($LT27/Control!$C$141)+$LM27*$LW27)/($AC27+$LM27)</f>
        <v>0.71612369323045078</v>
      </c>
      <c r="MF27" s="170" t="e">
        <f ca="1">IF(Control!$B$16&gt;=1000,0.92,IF(AND(720&lt;=Control!$B$16,1000&gt;Control!$B$16),(0.95+(Control!$B$16-720)*((0.92-0.95)/(1000-720))),IF(AND(360&lt;=Control!$B$16,720&gt;Control!$B$16),(1+(Control!$B$16-360)*((0.95-1)/(720-360))),IF(AND(40&lt;=Control!$B$16,360&gt;Control!$B$16),(1.05+(Control!$B$16-40)*((1.05-1)/(360-40)))))))</f>
        <v>#N/A</v>
      </c>
      <c r="MG27" s="170">
        <f t="shared" ca="1" si="94"/>
        <v>0.71612369323045078</v>
      </c>
      <c r="MH27" s="170" t="e">
        <f t="shared" ca="1" si="230"/>
        <v>#N/A</v>
      </c>
      <c r="MI27" s="170" t="e">
        <f t="shared" ca="1" si="230"/>
        <v>#N/A</v>
      </c>
      <c r="MJ27" s="170" t="e">
        <f ca="1">MAX(0.0001, Control!$C$132*$MI27*$DL27)</f>
        <v>#N/A</v>
      </c>
      <c r="MK27" s="170">
        <f ca="1">1/(0.76+1.5*($MG27/10))-(5-Control!$C$110)*0.1</f>
        <v>1.002845988140797</v>
      </c>
      <c r="ML27" s="173">
        <f ca="1">IF(Control!$C$110&lt;3,$MK27+($MG27-0.6)/(Control!$C$110*(Control!$C$110+3)), MAX(0.1, MIN(0.95,$MK27)))</f>
        <v>0.95</v>
      </c>
      <c r="MM27" s="173">
        <f ca="1">IF(Control!$C$110&lt;3,$MK27+(($MI27/10)-0.6)/(Control!$C$110*(Control!$C$110+3)), MAX(0.1, MIN(0.95,$MK27)))</f>
        <v>0.95</v>
      </c>
      <c r="MN27" s="173">
        <f ca="1">(1-$MM27)*(Control!$C$128-Control!$C$127)+Control!$C$127</f>
        <v>0.16</v>
      </c>
      <c r="MO27" s="170" t="e">
        <f ca="1">MAX(0,MIN(1,($MS27-Control!$C$127)/($MN27-Control!$C$127)))</f>
        <v>#DIV/0!</v>
      </c>
      <c r="MP27" s="173" t="e">
        <f ca="1">1/(0.76+1.5*$MI27)-(5-Control!$C$110)*0.1</f>
        <v>#N/A</v>
      </c>
      <c r="MQ27" s="172" t="e">
        <f t="shared" ca="1" si="209"/>
        <v>#DIV/0!</v>
      </c>
      <c r="MR27" s="168" t="e">
        <f t="shared" ca="1" si="226"/>
        <v>#DIV/0!</v>
      </c>
      <c r="MS27" s="173" t="e">
        <f ca="1">MAX(Control!$C$127, MIN(Control!$C$135, $MR27/MAX(0.0001,$CY27)))</f>
        <v>#DIV/0!</v>
      </c>
      <c r="MT27" s="168" t="e">
        <f ca="1">(Control!$C$128-$MS27)*Control!$C$74</f>
        <v>#DIV/0!</v>
      </c>
      <c r="MU27" s="168" t="e">
        <f ca="1">(Control!$C$135-$MS27)*Control!$C$74</f>
        <v>#DIV/0!</v>
      </c>
      <c r="MV27" s="168" t="e">
        <f t="shared" ca="1" si="210"/>
        <v>#DIV/0!</v>
      </c>
      <c r="MW27" s="168" t="e">
        <f t="shared" ca="1" si="177"/>
        <v>#DIV/0!</v>
      </c>
      <c r="MX27" s="171" t="e">
        <f ca="1">MAX(Control!$C$127, MIN(Control!$C$135, $MW27/MAX(0.0001,Control!$C$119-$CY27)))</f>
        <v>#DIV/0!</v>
      </c>
      <c r="MY27" s="54" t="e">
        <f ca="1">IF(Control!$C$114=1, $CX27*$MX27, 0)</f>
        <v>#DIV/0!</v>
      </c>
      <c r="MZ27" s="54" t="e">
        <f t="shared" ca="1" si="178"/>
        <v>#N/A</v>
      </c>
      <c r="NA27" s="168" t="e">
        <f ca="1">(Control!$C$128-$MX27)*(Control!$C$119-Control!$C$74)</f>
        <v>#DIV/0!</v>
      </c>
      <c r="NB27" s="168" t="e">
        <f ca="1">(Control!$C$135-$MX27)*(Control!$C$119-Control!$C$74)</f>
        <v>#DIV/0!</v>
      </c>
      <c r="NC27" s="174" t="e">
        <f t="shared" ca="1" si="179"/>
        <v>#DIV/0!</v>
      </c>
      <c r="ND27" s="54">
        <f ca="1">IF(Control!$C$58=2, IF(OR(Control!$B$218=$AH27,Control!$B$219=$AH27, Control!$B$220=$AH27, Control!$B$221=$AH27, Control!$B$222=$AH27, Control!$B$223=$AH27, Control!$B$224=$AH27, Control!$B$225=$AH27, Control!$B$226=$AH27, Control!$B$227=$AH27, Control!$B$228=$AH27), 1, 0), 0)</f>
        <v>0</v>
      </c>
      <c r="NE27" s="54">
        <f ca="1">IF($ND27=0,0, VLOOKUP($AH27,Control!$B$218:$C$228,2))</f>
        <v>0</v>
      </c>
      <c r="NF27" s="168" t="e">
        <f ca="1">$CY27*(Control!$C$128-Control!$C$127)</f>
        <v>#N/A</v>
      </c>
      <c r="NG27" s="54" t="e">
        <f ca="1">IF(Control!$C$58=2, $NI26-$NJ26, 0)</f>
        <v>#DIV/0!</v>
      </c>
      <c r="NH27" s="54" t="e">
        <f ca="1">IF(AND(Control!$C$58=1, $MS26&lt;= ($MN26+0.02), $I26&lt;10), 0, IF(Control!$C$58=2, $NG26, 0))</f>
        <v>#DIV/0!</v>
      </c>
      <c r="NI27" s="54" t="e">
        <f ca="1">IF(Control!$C$58=2, $NE27+$NH27,0)</f>
        <v>#DIV/0!</v>
      </c>
      <c r="NJ27" s="54" t="e">
        <f ca="1">IF(AND(Control!$C$58=1, $MS27&lt;= ($MN27+0.02), $I27&lt;10), MAX(0, MIN(10, 0.7*($NF27-$MV27))), IF(Control!$C$58=2, MIN(10,$NI27),0))</f>
        <v>#DIV/0!</v>
      </c>
      <c r="NK27" s="54" t="e">
        <f t="shared" ca="1" si="96"/>
        <v>#DIV/0!</v>
      </c>
      <c r="NL27" s="173" t="e">
        <f ca="1">(1-Control!$C$73)*$I27+$NJ27</f>
        <v>#DIV/0!</v>
      </c>
      <c r="NM27" s="172" t="e">
        <f ca="1">IF($NL27&lt;0.5, $MB27* MAX(0, MIN(1, (SQRT($NC27)-SQRT($NC27-1))*Control!$C$71)),0)</f>
        <v>#DIV/0!</v>
      </c>
      <c r="NN27" s="170" t="e">
        <f ca="1">IF($NL27&gt;=5, $MB27, MAX(0,MIN($MB27, $NM27+$NL27,($MS27-Control!$C$129))))</f>
        <v>#DIV/0!</v>
      </c>
      <c r="NO27" s="54">
        <f>IF(Control!$C$133&lt;&gt;1, Control!$C$135-Control!$C$131, 0)</f>
        <v>0.38</v>
      </c>
      <c r="NP27" s="54" t="e">
        <f t="shared" ca="1" si="97"/>
        <v>#DIV/0!</v>
      </c>
      <c r="NQ27" s="173" t="e">
        <f ca="1">MAX(0,MIN(1,(Control!$C$135-$MS27)/(Control!$C$135-$NO27)))</f>
        <v>#DIV/0!</v>
      </c>
      <c r="NR27" s="170" t="e">
        <f ca="1">IF(Control!$C$133&lt;&gt;1, $NQ27+((1-$NP27/4)*(1-$NQ27)),1)</f>
        <v>#DIV/0!</v>
      </c>
      <c r="NS27" s="170" t="e">
        <f ca="1">IF(Control!$B$31=0,$MJ27,MAX(0,MIN($MV27,$MO27*$NR27*$MJ27)))</f>
        <v>#DIV/0!</v>
      </c>
      <c r="NT27" s="170" t="e">
        <f t="shared" ca="1" si="227"/>
        <v>#DIV/0!</v>
      </c>
      <c r="NU27" s="170" t="e">
        <f t="shared" ca="1" si="180"/>
        <v>#N/A</v>
      </c>
      <c r="NV27" s="170" t="e">
        <f t="shared" ca="1" si="98"/>
        <v>#N/A</v>
      </c>
      <c r="NW27" s="175" t="e">
        <f t="shared" ca="1" si="99"/>
        <v>#DIV/0!</v>
      </c>
      <c r="NX27" s="170" t="e">
        <f ca="1">MIN(Control!$C$72+$MU27, $NW27)</f>
        <v>#DIV/0!</v>
      </c>
      <c r="NY27" s="170" t="e">
        <f ca="1">IF($MT27&lt;=$NX27,MIN(Control!$C$72+$NB27,$NX27-$MT27),0)</f>
        <v>#DIV/0!</v>
      </c>
      <c r="NZ27" s="54" t="e">
        <f ca="1">IF(Control!$C$114=1,  $CX27*($MX27-Control!$C$127), 0)</f>
        <v>#DIV/0!</v>
      </c>
      <c r="OA27" s="170" t="e">
        <f t="shared" ca="1" si="181"/>
        <v>#DIV/0!</v>
      </c>
      <c r="OB27" s="170" t="e">
        <f ca="1">IF($NA27 &lt;=$NY27, MIN(Control!$C$72, $NY27-$NA27), 0)</f>
        <v>#DIV/0!</v>
      </c>
      <c r="OC27" s="168" t="e">
        <f t="shared" ca="1" si="100"/>
        <v>#DIV/0!</v>
      </c>
      <c r="OD27" s="168" t="e">
        <f t="shared" ca="1" si="182"/>
        <v>#DIV/0!</v>
      </c>
      <c r="OE27" s="170">
        <f ca="1">Control!$C$73*$I27</f>
        <v>0</v>
      </c>
      <c r="OF27" s="176" t="e">
        <f t="shared" ca="1" si="101"/>
        <v>#DIV/0!</v>
      </c>
      <c r="OG27" s="168" t="e">
        <f t="shared" ca="1" si="102"/>
        <v>#DIV/0!</v>
      </c>
      <c r="OH27" s="168" t="e">
        <f t="shared" ca="1" si="103"/>
        <v>#DIV/0!</v>
      </c>
      <c r="OI27" s="168" t="e">
        <f t="shared" ca="1" si="104"/>
        <v>#DIV/0!</v>
      </c>
      <c r="OJ27" s="168" t="e">
        <f t="shared" ca="1" si="105"/>
        <v>#DIV/0!</v>
      </c>
      <c r="OK27" s="204" t="e">
        <f t="shared" ca="1" si="183"/>
        <v>#DIV/0!</v>
      </c>
      <c r="OL27" s="177">
        <f>Control!$C$127</f>
        <v>0.15</v>
      </c>
      <c r="OM27" s="182" t="e">
        <f t="shared" ca="1" si="106"/>
        <v>#N/A</v>
      </c>
      <c r="ON27" s="177">
        <f>Control!$C$128</f>
        <v>0.35</v>
      </c>
      <c r="OO27" s="182" t="e">
        <f t="shared" ca="1" si="107"/>
        <v>#N/A</v>
      </c>
      <c r="OP27" s="138">
        <f t="shared" ca="1" si="184"/>
        <v>0</v>
      </c>
      <c r="OQ27" s="138" t="e">
        <f t="shared" ca="1" si="211"/>
        <v>#DIV/0!</v>
      </c>
      <c r="OR27" s="138" t="e">
        <f t="shared" ca="1" si="185"/>
        <v>#DIV/0!</v>
      </c>
      <c r="OS27" s="137" t="e">
        <f t="shared" ca="1" si="212"/>
        <v>#DIV/0!</v>
      </c>
      <c r="OT27" s="139" t="e">
        <f t="shared" ca="1" si="213"/>
        <v>#DIV/0!</v>
      </c>
      <c r="OU27" s="138" t="e">
        <f t="shared" ca="1" si="214"/>
        <v>#N/A</v>
      </c>
      <c r="OV27" s="138" t="e">
        <f t="shared" ca="1" si="215"/>
        <v>#DIV/0!</v>
      </c>
      <c r="OW27" s="138" t="e">
        <f t="shared" ca="1" si="186"/>
        <v>#DIV/0!</v>
      </c>
      <c r="OX27" s="138" t="e">
        <f t="shared" ca="1" si="187"/>
        <v>#DIV/0!</v>
      </c>
      <c r="OY27" s="138" t="e">
        <f t="shared" ca="1" si="188"/>
        <v>#DIV/0!</v>
      </c>
      <c r="OZ27" s="138" t="e">
        <f t="shared" ca="1" si="108"/>
        <v>#DIV/0!</v>
      </c>
      <c r="PA27" s="138" t="e">
        <f t="shared" ca="1" si="109"/>
        <v>#DIV/0!</v>
      </c>
      <c r="PB27" s="55">
        <f>IF(Control!$C$61="T", IF(Control!$C$65="F", IF($AH$6-Control!$C$60&lt;0,0,1), IF(365+$AH$6-Control!$C$60&lt;0,0,1)),0)</f>
        <v>0</v>
      </c>
      <c r="PC27" s="55">
        <f ca="1">IF(Control!$C$65="F", IF($AH$6-$HF27&lt;0,0,1), IF(365+$AH$6-$HF27&lt;0,0,1))</f>
        <v>1</v>
      </c>
      <c r="PD27" s="444">
        <f>Control!$C$118</f>
        <v>1500</v>
      </c>
      <c r="PE27" s="180" t="e">
        <f t="shared" ca="1" si="110"/>
        <v>#N/A</v>
      </c>
      <c r="PF27" s="445">
        <f t="shared" ca="1" si="189"/>
        <v>0.71612369323045078</v>
      </c>
      <c r="PT27" s="186"/>
      <c r="PU27" s="186"/>
      <c r="PV27" s="94"/>
      <c r="PW27" s="94"/>
      <c r="PX27" s="94"/>
      <c r="PY27" s="94"/>
      <c r="PZ27" s="94"/>
      <c r="QA27" s="94"/>
      <c r="QB27" s="94"/>
      <c r="QC27" s="94"/>
      <c r="QD27" s="94"/>
      <c r="QE27" s="94"/>
      <c r="QF27" s="94"/>
      <c r="QG27" s="94"/>
      <c r="QH27" s="94"/>
      <c r="QI27" s="94"/>
      <c r="QJ27" s="94"/>
      <c r="QK27" s="94"/>
      <c r="QL27" s="94"/>
      <c r="QM27" s="94"/>
      <c r="QN27" s="94"/>
      <c r="QO27" s="94"/>
      <c r="QP27" s="94"/>
    </row>
    <row r="28" spans="1:458" s="2" customFormat="1" x14ac:dyDescent="0.2">
      <c r="A28" s="386">
        <v>23</v>
      </c>
      <c r="B28" s="387">
        <v>1</v>
      </c>
      <c r="C28" s="387">
        <f ca="1">Weather_data!$B27</f>
        <v>0</v>
      </c>
      <c r="D28" s="388">
        <f ca="1">Weather_data!$F27</f>
        <v>0</v>
      </c>
      <c r="E28" s="388">
        <f ca="1">Weather_data!$E27</f>
        <v>0</v>
      </c>
      <c r="F28" s="388">
        <f t="shared" ca="1" si="111"/>
        <v>0</v>
      </c>
      <c r="G28" s="388">
        <f ca="1">AVERAGE($D28:$E28)+Control!$B$9</f>
        <v>0</v>
      </c>
      <c r="H28" s="388">
        <f ca="1">Weather_data!$G27</f>
        <v>0</v>
      </c>
      <c r="I28" s="388">
        <f ca="1">Weather_data!$I27</f>
        <v>0</v>
      </c>
      <c r="J28" s="388">
        <f ca="1">Weather_data!$H27</f>
        <v>0</v>
      </c>
      <c r="K28" s="389">
        <f ca="1">Weather_data!$D27</f>
        <v>0</v>
      </c>
      <c r="L28" s="388" t="e">
        <f t="shared" ca="1" si="112"/>
        <v>#N/A</v>
      </c>
      <c r="M28" s="388" t="e">
        <f t="shared" ca="1" si="0"/>
        <v>#N/A</v>
      </c>
      <c r="N28" s="388">
        <f t="shared" ca="1" si="1"/>
        <v>-4.9238545109180548E-2</v>
      </c>
      <c r="O28" s="388">
        <f t="shared" ca="1" si="113"/>
        <v>0.49238545109180548</v>
      </c>
      <c r="P28" s="390">
        <v>3</v>
      </c>
      <c r="Q28" s="388">
        <f ca="1">MAX($G28-Control!$C$107,0)</f>
        <v>0</v>
      </c>
      <c r="R28" s="388">
        <f t="shared" ca="1" si="114"/>
        <v>0</v>
      </c>
      <c r="S28" s="388">
        <f t="shared" ca="1" si="2"/>
        <v>0</v>
      </c>
      <c r="T28" s="388">
        <f t="shared" ca="1" si="3"/>
        <v>0</v>
      </c>
      <c r="U28" s="59">
        <f t="shared" ca="1" si="4"/>
        <v>0</v>
      </c>
      <c r="V28" s="391">
        <f ca="1">MAX(0,MIN(Control!$C$100-Control!$C$99,$G28-Control!$C$99)*Control!$C$63)</f>
        <v>0</v>
      </c>
      <c r="W28" s="388">
        <f t="shared" ca="1" si="190"/>
        <v>0</v>
      </c>
      <c r="X28" s="388">
        <f t="shared" ca="1" si="115"/>
        <v>0.6110000000000001</v>
      </c>
      <c r="Y28" s="388">
        <f t="shared" ca="1" si="116"/>
        <v>0</v>
      </c>
      <c r="Z28" s="388">
        <f t="shared" ca="1" si="117"/>
        <v>0.61058800000000002</v>
      </c>
      <c r="AA28" s="388">
        <f t="shared" ca="1" si="5"/>
        <v>0.6018</v>
      </c>
      <c r="AB28" s="388">
        <f ca="1">101.3*EXP(-0.034*Control!$C$66/($G28+273))</f>
        <v>100.69623283836242</v>
      </c>
      <c r="AC28" s="392">
        <f t="shared" ca="1" si="6"/>
        <v>4.3460251046025113E-2</v>
      </c>
      <c r="AD28" s="392">
        <f t="shared" ca="1" si="7"/>
        <v>4.4450382862832649E-2</v>
      </c>
      <c r="AE28" s="388">
        <f t="shared" ca="1" si="8"/>
        <v>0</v>
      </c>
      <c r="AF28" s="388">
        <f ca="1">MAX(0,$G28-Control!$C$92)</f>
        <v>0</v>
      </c>
      <c r="AG28" s="393">
        <f t="shared" ca="1" si="118"/>
        <v>23</v>
      </c>
      <c r="AH28" s="389">
        <f t="shared" ca="1" si="9"/>
        <v>23</v>
      </c>
      <c r="AI28" s="388">
        <f t="shared" ca="1" si="119"/>
        <v>-0.34208062389763882</v>
      </c>
      <c r="AJ28" s="388">
        <f ca="1">IF(Control!$C$60&lt;=0,$HH28,$HI28)</f>
        <v>1</v>
      </c>
      <c r="AK28" s="388">
        <f t="shared" ca="1" si="10"/>
        <v>-0.98120976029927776</v>
      </c>
      <c r="AL28" s="388">
        <f t="shared" ca="1" si="11"/>
        <v>6.3123638260886852E-19</v>
      </c>
      <c r="AM28" s="388">
        <f t="shared" ca="1" si="12"/>
        <v>-0.98120976029927776</v>
      </c>
      <c r="AN28" s="388">
        <f t="shared" ca="1" si="13"/>
        <v>-0.33698129117549092</v>
      </c>
      <c r="AO28" s="388">
        <f ca="1">-0.10453/COS(Control!$B$8*PI()/180)*COS(AN28)</f>
        <v>-0.16023566581910612</v>
      </c>
      <c r="AP28" s="388">
        <f ca="1">ACOS(AO28-TAN(Control!$B$8*PI()/180)*TAN(AN28))</f>
        <v>1.2784662054749445</v>
      </c>
      <c r="AQ28" s="388">
        <f t="shared" ca="1" si="120"/>
        <v>0</v>
      </c>
      <c r="AR28" s="394">
        <f t="shared" ca="1" si="14"/>
        <v>0</v>
      </c>
      <c r="AS28" s="436">
        <f ca="1">IF(Control!$B$18=2,(IF(OR($AH28=Control!$B$175,$AH28=Control!$B$176,$AH28=Control!$B$177,$AH28=Control!$B$178,$AH28=Control!$B$179,$AH28=Control!$B$180,$AH28=Control!$B$181,$AH28=Control!$B$182,$AH28=Control!$B$183,$AH28=Control!$B$184,$AH28=Control!$B$185),1,0)),0)</f>
        <v>0</v>
      </c>
      <c r="AT28" s="436">
        <f>IF(Control!$B$20=8,IF(AND($AH28&gt;=Control!$B$172,$AH28&lt;=Control!$B$173),1,0),0)</f>
        <v>0</v>
      </c>
      <c r="AU28" s="436">
        <f>IF(Control!$B$20=8,IF($AV27=1,1*$AT28,IF($AT28=1,$AU27+1,$AU27)),0)</f>
        <v>0</v>
      </c>
      <c r="AV28" s="436">
        <f>IF(Control!$B$20=8,IF($AU28&gt;=Control!$B$174,1,0),0)</f>
        <v>0</v>
      </c>
      <c r="AW28" s="436">
        <f ca="1">IF(AND(Control!$B$18=2,Control!$B$171=1), $AV28, $AS28)</f>
        <v>0</v>
      </c>
      <c r="AX28" s="436" t="e">
        <f ca="1">IF(AND(Control!$B$18=1,$EU28&gt;=Control!$B$19),-$AY28,IF(AND(Control!$B$18=2,$AW28=1,$EU28&gt;$DS28),-$AY28, IF(Control!$C$108=0,0, IF(Control!$C$108&lt;&gt;0,1))))</f>
        <v>#N/A</v>
      </c>
      <c r="AY28" s="436" t="e">
        <f t="shared" ca="1" si="121"/>
        <v>#N/A</v>
      </c>
      <c r="AZ28" s="436" t="e">
        <f ca="1">IF(AND(Control!$B$18=1,$EB28&gt;Control!$B$19),$AZ27+1, IF(AND(Control!$B$18=2, $AW28=1, $EB28&gt;$DS28), $AZ27+1,$AZ27))</f>
        <v>#N/A</v>
      </c>
      <c r="BA28" s="587">
        <f>IF(Control!$C$81=0,1,IF($AH28&gt;=Control!$C$82,1,0))</f>
        <v>1</v>
      </c>
      <c r="BB28" s="140" t="e">
        <f ca="1">IF($BA28&gt;$BA27,Control!$C$83,IF($AW28&gt;0,$AW28*Control!$C$84,IF(AND(Control!$B$18=1,EN27&lt;&gt;0),Control!$C$84,0)))</f>
        <v>#N/A</v>
      </c>
      <c r="BC28" s="140" t="e">
        <f t="shared" ca="1" si="122"/>
        <v>#N/A</v>
      </c>
      <c r="BD28" s="140" t="e">
        <f ca="1">BC28*IF(OR($G28&lt;Control!$C$92,$G28&gt;Control!$C$95),0,IF(AND($G28&gt;=Control!$C$92,$G28&lt;=Control!$C$93),$G28-Control!$C$92,IF(AND($G28&gt;Control!$C$93,$G28&lt;=Control!$C$94),Control!$C$93-Control!$C$92,IF(AND($G28&gt;Control!$C$94,$G28&lt;=Control!$C$95),(Control!$C$93-Control!$C$92)*(Control!$C$94-$G28)/(Control!$C$95-Control!$C$94)))))</f>
        <v>#N/A</v>
      </c>
      <c r="BE28" s="140" t="e">
        <f t="shared" ca="1" si="123"/>
        <v>#N/A</v>
      </c>
      <c r="BF28" s="140" t="e">
        <f ca="1">IF($BE28&lt;=Control!$C$86,$BE28,Control!$C$86-$BE28)</f>
        <v>#N/A</v>
      </c>
      <c r="BG28" s="140" t="e">
        <f ca="1">IF(AND($AW28=1,Control!$C$84&lt;9),1,IF($BE28&gt;=Control!$C$86,0,$BC28))</f>
        <v>#N/A</v>
      </c>
      <c r="BH28" s="404" t="e">
        <f ca="1">IF($BG28=0,0,IF($BE28&lt;=Control!$C$86,$BC28*9*($BF28/Control!$C$86),0))</f>
        <v>#N/A</v>
      </c>
      <c r="BI28" s="140" t="e">
        <f ca="1">IF($BG28=1,0,IF($BE28&gt;=Control!$C$86,1,IF(AND($BB28&lt;21,$BB28&gt;=9),1,$BM27)))</f>
        <v>#N/A</v>
      </c>
      <c r="BJ28" s="140" t="e">
        <f ca="1">IF($BF28&lt;0,-$BF28,$BI28*IF(OR($G28&lt;Control!$C$92,$G28&gt;Control!$C$95),0,IF(AND($G28&gt;=Control!$C$92,$G28&lt;=Control!$C$93),$G28-Control!$C$92,IF(AND($G28&gt;Control!$C$93,$G28&lt;=Control!$C$94),Control!$C$93-Control!$C$92,IF(AND($G28&gt;Control!$C$94,$G28&lt;=Control!$C$95),(Control!$C$93-Control!$C$92)*(Control!$C$94-$G28)/(Control!$C$95-Control!$C$94))))))</f>
        <v>#N/A</v>
      </c>
      <c r="BK28" s="140" t="e">
        <f t="shared" ca="1" si="124"/>
        <v>#N/A</v>
      </c>
      <c r="BL28" s="140" t="e">
        <f ca="1">IF($BK28&lt;=Control!$C$87,$BK28,Control!$C$87-$BK28)</f>
        <v>#N/A</v>
      </c>
      <c r="BM28" s="140" t="e">
        <f ca="1">IF(AND($BB28&gt;=9,$BB28&lt;21),1,IF($BK28&gt;=Control!$C$87,0,$BI28))</f>
        <v>#N/A</v>
      </c>
      <c r="BN28" s="404" t="e">
        <f ca="1">IF($BM28=0,0,IF($BK28&lt;=Control!$C$87,$BI28*(9+(21-9)*($BL28/Control!$C$87)),0))</f>
        <v>#N/A</v>
      </c>
      <c r="BO28" s="140" t="e">
        <f ca="1">IF($BM28=1,0,IF($BK28&gt;=Control!$C$87,1,IF(AND($BB28&lt;30,$BB28&gt;=21),1,$BS27)))</f>
        <v>#N/A</v>
      </c>
      <c r="BP28" s="140" t="e">
        <f ca="1">IF($BL28&lt;0,-$BL28,$BO28*IF(OR($G28&lt;Control!$C$92,$G28&gt;Control!$C$95),0,IF(AND($G28&gt;=Control!$C$92,$G28&lt;=Control!$C$93),$G28-Control!$C$92,IF(AND($G28&gt;Control!$C$93,$G28&lt;=Control!$C$94),Control!$C$93-Control!$C$92,IF(AND($G28&gt;Control!$C$94,$G28&lt;=Control!$C$95),(Control!$C$93-Control!$C$92)*(Control!$C$94-$G28)/(Control!$C$95-Control!$C$94))))))</f>
        <v>#N/A</v>
      </c>
      <c r="BQ28" s="140" t="e">
        <f t="shared" ca="1" si="15"/>
        <v>#N/A</v>
      </c>
      <c r="BR28" s="140" t="e">
        <f ca="1">IF($BQ28&lt;=Control!$C$88,$BQ28,Control!$C$88-$BQ28)</f>
        <v>#N/A</v>
      </c>
      <c r="BS28" s="140" t="e">
        <f ca="1">IF(AND($BB28&gt;=21,$BB28&lt;30),1,IF($BQ28&gt;=Control!$C$88,0,$BO28))</f>
        <v>#N/A</v>
      </c>
      <c r="BT28" s="404" t="e">
        <f ca="1">IF($BS28=0,0,IF($BQ28&lt;=Control!$C$88,$BO28*(21+(30-21)*(BR28/Control!$C$88)),0))</f>
        <v>#N/A</v>
      </c>
      <c r="BU28" s="140" t="e">
        <f ca="1">IF(BG28+BM28+BS28=1,0,IF(OR(AND($BB28&lt;60,$BB28&gt;=30),$BQ28&gt;=Control!$C$88),1*$BA28,$BY27))</f>
        <v>#N/A</v>
      </c>
      <c r="BV28" s="140" t="e">
        <f ca="1">IF($BR28&lt;0,-$BR28,$BU28*IF(OR($G28&lt;Control!$C$92,$G28&gt;Control!$C$95),0,IF(AND($G28&gt;=Control!$C$92,$G28&lt;=Control!$C$93),$G28-Control!$C$92,IF(AND($G28&gt;Control!$C$93,$G28&lt;=Control!$C$94),Control!$C$93-Control!$C$92,IF(AND($G28&gt;Control!$C$94,$G28&lt;=Control!$C$95),(Control!$C$93-Control!$C$92)*(Control!$C$94-$G28)/(Control!$C$95-Control!$C$94))))))</f>
        <v>#N/A</v>
      </c>
      <c r="BW28" s="140" t="e">
        <f t="shared" ca="1" si="16"/>
        <v>#N/A</v>
      </c>
      <c r="BX28" s="140" t="e">
        <f ca="1">IF($BW28&lt;=Control!$C$89,$BW28,Control!$C$89-$BW28)</f>
        <v>#N/A</v>
      </c>
      <c r="BY28" s="140" t="e">
        <f ca="1">IF(AND($AJ28&gt;=30,$AJ28&lt;60),1,IF($BW28&gt;=Control!$C$89,0,$BU28))</f>
        <v>#N/A</v>
      </c>
      <c r="BZ28" s="404" t="e">
        <f ca="1">IF($BY28=0,0,IF($BW28&lt;=Control!$C$89,$BU28*(30+(60-30)*(BX28/Control!$C$89)),0))</f>
        <v>#N/A</v>
      </c>
      <c r="CA28" s="140" t="e">
        <f ca="1">IF($BG28+$BM28+$BS28+$BY28=1,0,IF(OR(AND($BB28&lt;65,$BB28&gt;=60),$BW28&gt;=Control!$C$89),1*$BA28,$CE27))</f>
        <v>#N/A</v>
      </c>
      <c r="CB28" s="140" t="e">
        <f ca="1">IF($BX28&lt;0,-$BX28,$CA28*IF(OR($G28&lt;Control!$C$92,$G28&gt;Control!$C$95),0,IF(AND($G28&gt;=Control!$C$92,$G28&lt;=Control!$C$93),$G28-Control!$C$92,IF(AND($G28&gt;Control!$C$93,$G28&lt;=Control!$C$94),Control!$C$93-Control!$C$92,IF(AND($G28&gt;Control!$C$94,$G28&lt;=Control!$C$95),(Control!$C$93-Control!$C$92)*(Control!$C$94-$G28)/(Control!$C$95-Control!$C$94))))))</f>
        <v>#N/A</v>
      </c>
      <c r="CC28" s="140" t="e">
        <f t="shared" ca="1" si="125"/>
        <v>#N/A</v>
      </c>
      <c r="CD28" s="140" t="e">
        <f ca="1">IF($CC28&lt;=Control!$C$90,$CC28,Control!$C$90-$CC28)</f>
        <v>#N/A</v>
      </c>
      <c r="CE28" s="140" t="e">
        <f ca="1">IF(AND($BB28&gt;=60,$BB28&lt;65),1,IF($CC28&gt;=Control!$C$90,0,$CA28))</f>
        <v>#N/A</v>
      </c>
      <c r="CF28" s="404" t="e">
        <f ca="1">IF($CE28=0,0,IF($CC28&lt;=Control!$C$90,$CA28*(60+(65-60)*(CD28/Control!$C$90)),0))</f>
        <v>#N/A</v>
      </c>
      <c r="CG28" s="140" t="e">
        <f ca="1">IF($BG28+$BM28+$BS28+$BY28+$CE28=1,0,IF(OR(AND($BB28&lt;90,$BB28&gt;=65),$CC28&gt;=Control!$C$90),$BA28,$CK27))</f>
        <v>#N/A</v>
      </c>
      <c r="CH28" s="140" t="e">
        <f ca="1">IF($CD28&lt;0,-$CD28,$CG28*IF(OR($G28&lt;Control!$C$92,$G28&gt;Control!$C$95),0,IF(AND($G28&gt;=Control!$C$92,$G28&lt;=Control!$C$93),$G28-Control!$C$92,IF(AND($G28&gt;Control!$C$93,$G28&lt;=Control!$C$94),Control!$C$93-Control!$C$92,IF(AND($G28&gt;Control!$C$94,$G28&lt;=Control!$C$95),(Control!$C$93-Control!$C$92)*(Control!$C$94-$G28)/(Control!$C$95-Control!$C$94))))))</f>
        <v>#N/A</v>
      </c>
      <c r="CI28" s="140" t="e">
        <f t="shared" ca="1" si="126"/>
        <v>#N/A</v>
      </c>
      <c r="CJ28" s="140" t="e">
        <f ca="1">IF($CI28&lt;=Control!$C$91,$CI28,Control!$C$91-$CI28)</f>
        <v>#N/A</v>
      </c>
      <c r="CK28" s="140" t="e">
        <f ca="1">IF(AND($BB28&gt;=65,$BB28&lt;90),1,IF($CI28&gt;=Control!$C$91,0,$CG28))</f>
        <v>#N/A</v>
      </c>
      <c r="CL28" s="404" t="e">
        <f ca="1">IF($CK28=0,0,IF($CI28&lt;=Control!$C$91,$CG28*(65+(90-65)*($CJ28/Control!$C$91)),0))</f>
        <v>#N/A</v>
      </c>
      <c r="CM28" s="140" t="e">
        <f ca="1">IF($BG28+$BM28+$BS28+$BY28+$CE28+$CK28=1,0,IF(OR($BB28&gt;=90,$CI28&gt;=Control!$C$91),$BA28,$CM27))</f>
        <v>#N/A</v>
      </c>
      <c r="CN28" s="140" t="e">
        <f t="shared" ca="1" si="127"/>
        <v>#N/A</v>
      </c>
      <c r="CO28" s="140" t="e">
        <f t="shared" ca="1" si="128"/>
        <v>#N/A</v>
      </c>
      <c r="CP28" s="140" t="e">
        <f t="shared" ca="1" si="129"/>
        <v>#N/A</v>
      </c>
      <c r="CQ28" s="141" t="e">
        <f ca="1">VLOOKUP($CP28,Control!$B$86:$G$91,6)</f>
        <v>#N/A</v>
      </c>
      <c r="CR28" s="141" t="e">
        <f ca="1">(1-$CQ28)*VLOOKUP($CP28,Control!$B$86:$D$91,3)</f>
        <v>#N/A</v>
      </c>
      <c r="CS28" s="141" t="e">
        <f ca="1">(1-$CQ28)*VLOOKUP($CP28,Control!$B$86:$E$91,4)</f>
        <v>#N/A</v>
      </c>
      <c r="CT28" s="141" t="e">
        <f ca="1">(1-$CQ28)*VLOOKUP($CP28,Control!$B$86:$F$91,5)</f>
        <v>#N/A</v>
      </c>
      <c r="CU28" s="141">
        <f t="shared" ca="1" si="130"/>
        <v>0</v>
      </c>
      <c r="CV28" s="583">
        <f t="shared" ca="1" si="131"/>
        <v>0</v>
      </c>
      <c r="CW28" s="142">
        <f t="shared" ca="1" si="132"/>
        <v>23</v>
      </c>
      <c r="CX28" s="612" t="e">
        <f ca="1">IF(Control!$C$114=1,(MIN(Control!$C$120*(IF($NT28-0.01&lt;0,0,1)),Control!$C$119-$CY28)))</f>
        <v>#DIV/0!</v>
      </c>
      <c r="CY28" s="143" t="e">
        <f t="shared" ca="1" si="133"/>
        <v>#N/A</v>
      </c>
      <c r="CZ28" s="144">
        <f t="shared" ca="1" si="17"/>
        <v>0</v>
      </c>
      <c r="DA28" s="144">
        <f t="shared" ca="1" si="18"/>
        <v>0</v>
      </c>
      <c r="DB28" s="144" t="e">
        <f t="shared" ca="1" si="19"/>
        <v>#N/A</v>
      </c>
      <c r="DC28" s="144" t="e">
        <f t="shared" ca="1" si="20"/>
        <v>#N/A</v>
      </c>
      <c r="DD28" s="144" t="e">
        <f t="shared" ca="1" si="216"/>
        <v>#N/A</v>
      </c>
      <c r="DE28" s="143" t="e">
        <f t="shared" ca="1" si="135"/>
        <v>#N/A</v>
      </c>
      <c r="DF28" s="145" t="e">
        <f ca="1">$DR28*EXP(-Control!$C$158*(1-$KH28))</f>
        <v>#N/A</v>
      </c>
      <c r="DG28" s="146" t="e">
        <f ca="1">IF(Control!$C$114=1, $DF28*$EY28, 0)</f>
        <v>#N/A</v>
      </c>
      <c r="DH28" s="147" t="e">
        <f t="shared" ca="1" si="136"/>
        <v>#N/A</v>
      </c>
      <c r="DI28" s="144" t="e">
        <f t="shared" ca="1" si="191"/>
        <v>#N/A</v>
      </c>
      <c r="DJ28" s="147" t="e">
        <f ca="1">$EF28*Control!$C$109</f>
        <v>#N/A</v>
      </c>
      <c r="DK28" s="144" t="e">
        <f t="shared" ca="1" si="137"/>
        <v>#N/A</v>
      </c>
      <c r="DL28" s="144" t="e">
        <f t="shared" ca="1" si="21"/>
        <v>#N/A</v>
      </c>
      <c r="DM28" s="144" t="e">
        <f ca="1">IF(Control!$C$114=1, (1-EXP(-Control!$C$96*$DK28))*$AR28, 0)</f>
        <v>#N/A</v>
      </c>
      <c r="DN28" s="144">
        <f t="shared" ca="1" si="138"/>
        <v>0</v>
      </c>
      <c r="DO28" s="148">
        <f>Control!$C$97</f>
        <v>4</v>
      </c>
      <c r="DP28" s="145" t="e">
        <f t="shared" ca="1" si="139"/>
        <v>#N/A</v>
      </c>
      <c r="DQ28" s="145" t="e">
        <f ca="1">IF(AND($CP28&gt;=0,$CP28&lt;=90),Control!$C$111,Control!$C$111)</f>
        <v>#N/A</v>
      </c>
      <c r="DR28" s="145" t="e">
        <f t="shared" ca="1" si="22"/>
        <v>#N/A</v>
      </c>
      <c r="DS28" s="143" t="e">
        <f ca="1">Control!$B$22/$DR28</f>
        <v>#N/A</v>
      </c>
      <c r="DT28" s="149" t="e">
        <f ca="1">IF(AND(Control!$C$114=1,$KH28&lt;1),$IM28*$DF28, 0)</f>
        <v>#N/A</v>
      </c>
      <c r="DU28" s="144" t="e">
        <f t="shared" ca="1" si="192"/>
        <v>#N/A</v>
      </c>
      <c r="DV28" s="144">
        <f ca="1">IF($G28-Control!$C$107&lt;=0, 0, 0.83*LN(MAX($G28, 3))-0.8924)</f>
        <v>0</v>
      </c>
      <c r="DW28" s="144" t="e">
        <f t="shared" ca="1" si="23"/>
        <v>#N/A</v>
      </c>
      <c r="DX28" s="150" t="e">
        <f ca="1">MAX(0.01*(1+$CU28/Control!$C$102),0.05*($DK28-Control!$C$97)/Control!$C$97)</f>
        <v>#N/A</v>
      </c>
      <c r="DY28" s="151" t="e">
        <f ca="1">IF(Control!$C$114=1, $DI28*$FS28, 0)</f>
        <v>#N/A</v>
      </c>
      <c r="DZ28" s="196" t="e">
        <f t="shared" ca="1" si="140"/>
        <v>#N/A</v>
      </c>
      <c r="EA28" s="152">
        <f t="shared" ca="1" si="141"/>
        <v>23</v>
      </c>
      <c r="EB28" s="153" t="e">
        <f t="shared" ca="1" si="217"/>
        <v>#N/A</v>
      </c>
      <c r="EC28" s="153" t="e">
        <f t="shared" ca="1" si="142"/>
        <v>#N/A</v>
      </c>
      <c r="ED28" s="154" t="e">
        <f ca="1">IF(Control!$C$114=1, $HM28*$FY28-$FD28, 0)</f>
        <v>#DIV/0!</v>
      </c>
      <c r="EE28" s="155" t="e">
        <f ca="1">IF(Control!$C$114=1, $HM28*$FZ28-$FF28, 0)</f>
        <v>#DIV/0!</v>
      </c>
      <c r="EF28" s="153" t="e">
        <f t="shared" ca="1" si="193"/>
        <v>#N/A</v>
      </c>
      <c r="EG28" s="155" t="e">
        <f ca="1">IF(Control!$C$114=1, $GX28*$FW28-$FI28, 0)</f>
        <v>#DIV/0!</v>
      </c>
      <c r="EH28" s="153" t="e">
        <f t="shared" ca="1" si="143"/>
        <v>#N/A</v>
      </c>
      <c r="EI28" s="156" t="e">
        <f t="shared" ca="1" si="144"/>
        <v>#N/A</v>
      </c>
      <c r="EJ28" s="155" t="e">
        <f ca="1">IF(Control!$C$114=1, $HM28*$GB28, 0)</f>
        <v>#DIV/0!</v>
      </c>
      <c r="EK28" s="153" t="e">
        <f t="shared" ca="1" si="194"/>
        <v>#N/A</v>
      </c>
      <c r="EL28" s="153" t="e">
        <f t="shared" ca="1" si="24"/>
        <v>#N/A</v>
      </c>
      <c r="EM28" s="153" t="e">
        <f t="shared" ca="1" si="25"/>
        <v>#N/A</v>
      </c>
      <c r="EN28" s="153" t="e">
        <f ca="1">IF(Control!$C$108=1,IF(AND(Control!$B$18=1,$EB28&gt;=Control!$B$19),$EB28-$DS28,IF(AND(Control!$B$18=2,$AW28=1,$EB28&gt;$DS28),$EB28-$DS28,0)))</f>
        <v>#N/A</v>
      </c>
      <c r="EO28" s="153" t="e">
        <f ca="1">IF(Control!$C$108=1,IF(AND(Control!$B$18=1,$EB28&gt;=Control!$B$19),$EF28,IF(AND(Control!$B$18=2,$AW28=1),$EF28,0)))</f>
        <v>#N/A</v>
      </c>
      <c r="EP28" s="153" t="e">
        <f ca="1">IF(Control!$C$108=1,IF(AND(Control!$B$18=1,$EB28&gt;=Control!$B$19),$EK28,IF(AND(Control!$B$18=2,$AW28=1),$EK28,0)))</f>
        <v>#N/A</v>
      </c>
      <c r="EQ28" s="153" t="e">
        <f t="shared" ca="1" si="145"/>
        <v>#N/A</v>
      </c>
      <c r="ER28" s="153" t="e">
        <f t="shared" ca="1" si="195"/>
        <v>#N/A</v>
      </c>
      <c r="ES28" s="153" t="e">
        <f t="shared" ca="1" si="196"/>
        <v>#N/A</v>
      </c>
      <c r="ET28" s="153" t="e">
        <f t="shared" ca="1" si="197"/>
        <v>#N/A</v>
      </c>
      <c r="EU28" s="153" t="e">
        <f t="shared" ca="1" si="198"/>
        <v>#N/A</v>
      </c>
      <c r="EV28" s="153" t="e">
        <f t="shared" ca="1" si="146"/>
        <v>#N/A</v>
      </c>
      <c r="EW28" s="153" t="e">
        <f t="shared" ca="1" si="218"/>
        <v>#N/A</v>
      </c>
      <c r="EX28" s="153" t="e">
        <f t="shared" ca="1" si="26"/>
        <v>#N/A</v>
      </c>
      <c r="EY28" s="157" t="e">
        <f t="shared" ca="1" si="147"/>
        <v>#DIV/0!</v>
      </c>
      <c r="EZ28" s="154" t="e">
        <f t="shared" ca="1" si="27"/>
        <v>#DIV/0!</v>
      </c>
      <c r="FA28" s="153" t="e">
        <f t="shared" ca="1" si="199"/>
        <v>#N/A</v>
      </c>
      <c r="FB28" s="153" t="e">
        <f t="shared" ca="1" si="28"/>
        <v>#N/A</v>
      </c>
      <c r="FC28" s="193" t="e">
        <f t="shared" ca="1" si="29"/>
        <v>#N/A</v>
      </c>
      <c r="FD28" s="158" t="e">
        <f t="shared" ca="1" si="200"/>
        <v>#N/A</v>
      </c>
      <c r="FE28" s="158" t="e">
        <f t="shared" ca="1" si="148"/>
        <v>#N/A</v>
      </c>
      <c r="FF28" s="159" t="e">
        <f t="shared" ca="1" si="30"/>
        <v>#N/A</v>
      </c>
      <c r="FG28" s="160" t="e">
        <f t="shared" ca="1" si="149"/>
        <v>#N/A</v>
      </c>
      <c r="FH28" s="158" t="e">
        <f t="shared" ca="1" si="150"/>
        <v>#N/A</v>
      </c>
      <c r="FI28" s="159" t="e">
        <f t="shared" ca="1" si="31"/>
        <v>#N/A</v>
      </c>
      <c r="FJ28" s="160" t="e">
        <f t="shared" ca="1" si="151"/>
        <v>#N/A</v>
      </c>
      <c r="FK28" s="160" t="e">
        <f t="shared" ca="1" si="32"/>
        <v>#N/A</v>
      </c>
      <c r="FL28" s="160" t="e">
        <f t="shared" ca="1" si="229"/>
        <v>#N/A</v>
      </c>
      <c r="FM28" s="160" t="e">
        <f t="shared" ca="1" si="33"/>
        <v>#N/A</v>
      </c>
      <c r="FN28" s="158">
        <f t="shared" ca="1" si="219"/>
        <v>0.01</v>
      </c>
      <c r="FO28" s="160">
        <f>Control!$C$101</f>
        <v>50</v>
      </c>
      <c r="FP28" s="150" t="e">
        <f t="shared" ca="1" si="34"/>
        <v>#N/A</v>
      </c>
      <c r="FQ28" s="150" t="e">
        <f ca="1">MAX(0,(Control!$C$112*(($DK28-Control!$C$97)/Control!$C$97)))</f>
        <v>#N/A</v>
      </c>
      <c r="FR28" s="150" t="e">
        <f ca="1">(1-$NT28)*Control!$C$113</f>
        <v>#DIV/0!</v>
      </c>
      <c r="FS28" s="198" t="e">
        <f t="shared" ca="1" si="35"/>
        <v>#N/A</v>
      </c>
      <c r="FT28" s="161">
        <f t="shared" ca="1" si="152"/>
        <v>23</v>
      </c>
      <c r="FU28" s="162" t="e">
        <f ca="1">IF(Control!$B$34=1,VLOOKUP($CP28,Control!$B$86:$G$91,6),Control!$B$35)</f>
        <v>#N/A</v>
      </c>
      <c r="FV28" s="162" t="e">
        <f t="shared" ca="1" si="36"/>
        <v>#DIV/0!</v>
      </c>
      <c r="FW28" s="162" t="e">
        <f ca="1">IF(Control!$B$31=1,$FU28*$FV28,  $FU28)</f>
        <v>#N/A</v>
      </c>
      <c r="FX28" s="162" t="e">
        <f ca="1">IF(Control!$B$34=1,VLOOKUP($CP28,Control!$B$86:$G$91,3),Control!$B$36)</f>
        <v>#N/A</v>
      </c>
      <c r="FY28" s="162" t="e">
        <f t="shared" ca="1" si="37"/>
        <v>#N/A</v>
      </c>
      <c r="FZ28" s="162" t="e">
        <f ca="1">IF(Control!$B$34=1,VLOOKUP($CP28,Control!$B$86:$G$91,4),Control!$B$37)</f>
        <v>#N/A</v>
      </c>
      <c r="GA28" s="162" t="e">
        <f t="shared" ca="1" si="38"/>
        <v>#N/A</v>
      </c>
      <c r="GB28" s="162" t="e">
        <f ca="1">IF(Control!$B$34=1,VLOOKUP($CP28,Control!$B$86:$G$91,5),Control!$B$38)</f>
        <v>#N/A</v>
      </c>
      <c r="GC28" s="162" t="e">
        <f t="shared" ca="1" si="153"/>
        <v>#N/A</v>
      </c>
      <c r="GD28" s="162">
        <f t="shared" ca="1" si="39"/>
        <v>1</v>
      </c>
      <c r="GE28" s="162">
        <f t="shared" ca="1" si="40"/>
        <v>1</v>
      </c>
      <c r="GF28" s="162">
        <f ca="1">IF(AND(Control!$C$104=1, Control!$C$62="F"),$GE28,1)</f>
        <v>1</v>
      </c>
      <c r="GG28" s="162" t="e">
        <f ca="1">IF(Control!$B$16=40,0,IF(AND(Control!$B$16&gt;40,Control!$B$16&lt;=360),(Control!$B$16-40)*((1-0)/(360-40)),IF(AND(Control!$B$16&gt;360,Control!$B$16&lt;=720),(1+(Control!$B$16-360)*((1.25-1)/(720-360))),IF(AND(Control!$B$16&gt;720,Control!$B$16&lt;=1000),(1.25+(Control!$B$16-720)*((1.35-1.25)/(1000-720))),IF(AND(Control!$B$16&gt;1000,Control!$B$16&lt;=2000),(1.35+(Control!$B$16-1000)*0))))))</f>
        <v>#N/A</v>
      </c>
      <c r="GH28" s="162" t="e">
        <f t="shared" ca="1" si="41"/>
        <v>#N/A</v>
      </c>
      <c r="GI28" s="162">
        <f t="shared" ca="1" si="201"/>
        <v>0</v>
      </c>
      <c r="GJ28" s="162">
        <f t="shared" ca="1" si="42"/>
        <v>0</v>
      </c>
      <c r="GK28" s="162">
        <f t="shared" ca="1" si="220"/>
        <v>1</v>
      </c>
      <c r="GL28" s="162">
        <f t="shared" ca="1" si="43"/>
        <v>1</v>
      </c>
      <c r="GM28" s="162" t="e">
        <f ca="1">MAX(0,MIN(1,1-Control!$C$156*(1.0001-$KH28)^2))</f>
        <v>#N/A</v>
      </c>
      <c r="GN28" s="162" t="e">
        <f ca="1">IF(Control!$B$26=1,$KU28,$KX28)</f>
        <v>#N/A</v>
      </c>
      <c r="GO28" s="162" t="e">
        <f ca="1">IF($CP28&lt;=60,Control!$C$105,IF($CP28&gt;=90,Control!$C$106,Control!$C$105+($CP28-60)*((Control!$C$106-Control!$C$105)/(90-60))))</f>
        <v>#N/A</v>
      </c>
      <c r="GP28" s="162" t="e">
        <f t="shared" ca="1" si="154"/>
        <v>#N/A</v>
      </c>
      <c r="GQ28" s="162" t="e">
        <f t="shared" ca="1" si="155"/>
        <v>#N/A</v>
      </c>
      <c r="GR28" s="163" t="e">
        <f t="shared" ca="1" si="44"/>
        <v>#DIV/0!</v>
      </c>
      <c r="GS28" s="162" t="e">
        <f t="shared" ca="1" si="45"/>
        <v>#DIV/0!</v>
      </c>
      <c r="GT28" s="164" t="e">
        <f t="shared" ca="1" si="156"/>
        <v>#N/A</v>
      </c>
      <c r="GU28" s="162" t="e">
        <f t="shared" ca="1" si="157"/>
        <v>#N/A</v>
      </c>
      <c r="GV28" s="162" t="e">
        <f t="shared" ca="1" si="46"/>
        <v>#N/A</v>
      </c>
      <c r="GW28" s="162" t="e">
        <f t="shared" ca="1" si="221"/>
        <v>#DIV/0!</v>
      </c>
      <c r="GX28" s="162" t="e">
        <f t="shared" ca="1" si="228"/>
        <v>#DIV/0!</v>
      </c>
      <c r="GY28" s="162" t="e">
        <f t="shared" ca="1" si="158"/>
        <v>#DIV/0!</v>
      </c>
      <c r="GZ28" s="165" t="e">
        <f t="shared" ca="1" si="159"/>
        <v>#N/A</v>
      </c>
      <c r="HA28" s="162" t="e">
        <f ca="1">IF(Control!$C$114=1, $DI28*$FS28, 0)</f>
        <v>#N/A</v>
      </c>
      <c r="HB28" s="162" t="e">
        <f ca="1">$FA28/Control!$C$64</f>
        <v>#N/A</v>
      </c>
      <c r="HC28" s="162" t="e">
        <f t="shared" ca="1" si="222"/>
        <v>#DIV/0!</v>
      </c>
      <c r="HD28" s="162">
        <f ca="1">-ASIN(SIN(23.45*Control!$C$139)*COS(2*Control!$C$138*($AH28+10)/365))</f>
        <v>-0.34208062389763882</v>
      </c>
      <c r="HE28" s="165">
        <f t="shared" ca="1" si="160"/>
        <v>0</v>
      </c>
      <c r="HF28" s="166">
        <f ca="1">IF(AND(Control!$C$61="T",$HE28&gt;=Control!$C$103,Control!$C$114=0),$AH28,Control!$C$59)</f>
        <v>1</v>
      </c>
      <c r="HG28" s="166">
        <f ca="1">IF(AND(Control!$C$61="T",$HE28&gt;=Control!$C$103,Control!$C$114=0),$HF28,Control!$C$59)</f>
        <v>1</v>
      </c>
      <c r="HH28" s="165">
        <f ca="1">IF(AND(OR(Control!$C$60&lt;=0, $AH28= Control!$C$59, Control!$C$60 &gt;0, $AH28 = Control!$C$60)), Control!$C$59, IF(Control!$C$60&gt;0, 0))</f>
        <v>1</v>
      </c>
      <c r="HI28" s="165">
        <f ca="1">IF(AND(OR(Control!$C$60&lt;=0, $AH28= Control!$C$59, Control!$C$60 &gt;0, $AH28 = Control!$C$60)), Control!$C$60, IF(Control!$C$60&lt;=0, 0))</f>
        <v>0</v>
      </c>
      <c r="HJ28" s="166">
        <f ca="1">IF(AND(Control!$C$62="F",$CV28&gt;=Control!$C$102),$AH28,0)</f>
        <v>0</v>
      </c>
      <c r="HK28" s="165" t="e">
        <f t="shared" ca="1" si="202"/>
        <v>#N/A</v>
      </c>
      <c r="HL28" s="166">
        <f ca="1">IF(AND(Control!$C$61="T",$HE28&gt;=Control!$C$103,Control!$C$114=0),$HF28,0)</f>
        <v>0</v>
      </c>
      <c r="HM28" s="201" t="e">
        <f t="shared" ca="1" si="47"/>
        <v>#DIV/0!</v>
      </c>
      <c r="HN28" s="215">
        <f t="shared" ca="1" si="161"/>
        <v>23</v>
      </c>
      <c r="HO28" s="216" t="e">
        <f ca="1">IF(AND($CP28&gt;=0, $CP28&lt;=90), Control!$C$152, Control!$C$152)</f>
        <v>#N/A</v>
      </c>
      <c r="HP28" s="216" t="e">
        <f t="shared" ca="1" si="48"/>
        <v>#N/A</v>
      </c>
      <c r="HQ28" s="217" t="e">
        <f ca="1">IF(OR(Control!$B$26=1,Control!$B$26=2),$KV28,$KS28)</f>
        <v>#DIV/0!</v>
      </c>
      <c r="HR28" s="218" t="e">
        <f t="shared" ca="1" si="223"/>
        <v>#DIV/0!</v>
      </c>
      <c r="HS28" s="216" t="e">
        <f ca="1">Control!$C$154*$HP28</f>
        <v>#N/A</v>
      </c>
      <c r="HT28" s="216" t="e">
        <f ca="1">Control!$C$155*$HP28</f>
        <v>#N/A</v>
      </c>
      <c r="HU28" s="217" t="e">
        <f ca="1">Control!$C$161*$FI28</f>
        <v>#N/A</v>
      </c>
      <c r="HV28" s="218" t="e">
        <f t="shared" ca="1" si="162"/>
        <v>#N/A</v>
      </c>
      <c r="HW28" s="218" t="e">
        <f ca="1">Control!$C$160*$FF28+$IP28*$EO28</f>
        <v>#N/A</v>
      </c>
      <c r="HX28" s="218" t="e">
        <f t="shared" ca="1" si="203"/>
        <v>#N/A</v>
      </c>
      <c r="HY28" s="219" t="e">
        <f ca="1">IF(Control!$C$114=1, $EB28*$FS28, 0)</f>
        <v>#N/A</v>
      </c>
      <c r="HZ28" s="91" t="e">
        <f t="shared" ca="1" si="49"/>
        <v>#N/A</v>
      </c>
      <c r="IA28" s="220" t="e">
        <f ca="1">Control!$C$153*$HO28</f>
        <v>#N/A</v>
      </c>
      <c r="IB28" s="218" t="e">
        <f t="shared" ca="1" si="50"/>
        <v>#N/A</v>
      </c>
      <c r="IC28" s="220" t="e">
        <f ca="1">Control!$C$153*$HT28</f>
        <v>#N/A</v>
      </c>
      <c r="ID28" s="218" t="e">
        <f t="shared" ca="1" si="51"/>
        <v>#N/A</v>
      </c>
      <c r="IE28" s="221" t="e">
        <f ca="1">($EB28*Control!$C$159+$EF28*Control!$C$160)/(IF($GZ28&lt;&gt;0,$GZ28,1))</f>
        <v>#N/A</v>
      </c>
      <c r="IF28" s="216" t="e">
        <f t="shared" ca="1" si="52"/>
        <v>#N/A</v>
      </c>
      <c r="IG28" s="91">
        <f ca="1">IF(OR(Control!$B$198=$AH28,Control!$B$199=$AH28, Control!$B$200=$AH28, Control!$B$201=$AH28, Control!$B$202=$AH28, Control!$B$203=$AH28, Control!$B$204=$AH28, Control!$B$205=$AH28, Control!$B$206=$AH28, Control!$B$207=$AH28), 1, 0)</f>
        <v>0</v>
      </c>
      <c r="IH28" s="91">
        <f ca="1">IF($IG28=0,0, VLOOKUP($AH28,Control!$B$198:$C$207,2))</f>
        <v>0</v>
      </c>
      <c r="II28" s="222">
        <f t="shared" ca="1" si="163"/>
        <v>0</v>
      </c>
      <c r="IJ28" s="91">
        <f>Control!$C$121</f>
        <v>0.7</v>
      </c>
      <c r="IK28" s="218">
        <f t="shared" ca="1" si="53"/>
        <v>0</v>
      </c>
      <c r="IL28" s="217" t="e">
        <f t="shared" ca="1" si="204"/>
        <v>#N/A</v>
      </c>
      <c r="IM28" s="223" t="e">
        <f ca="1">IF(AND(Control!$C$114=1,$KH28&lt;1),$EB28*Control!$C$148*(1-$KH28), 0)</f>
        <v>#N/A</v>
      </c>
      <c r="IN28" s="217" t="e">
        <f t="shared" ca="1" si="54"/>
        <v>#DIV/0!</v>
      </c>
      <c r="IO28" s="91" t="e">
        <f ca="1">MAX(0,$IL28-$EF28*Control!$C$160)</f>
        <v>#N/A</v>
      </c>
      <c r="IP28" s="220" t="e">
        <f t="shared" ca="1" si="55"/>
        <v>#N/A</v>
      </c>
      <c r="IQ28" s="217" t="e">
        <f t="shared" ca="1" si="164"/>
        <v>#N/A</v>
      </c>
      <c r="IR28" s="218" t="e">
        <f t="shared" ca="1" si="56"/>
        <v>#N/A</v>
      </c>
      <c r="IS28" s="217" t="e">
        <f ca="1">Control!$C$159*MAX(0,$FD28-$EN28)</f>
        <v>#N/A</v>
      </c>
      <c r="IT28" s="217" t="e">
        <f t="shared" ca="1" si="205"/>
        <v>#N/A</v>
      </c>
      <c r="IU28" s="217" t="e">
        <f t="shared" ca="1" si="165"/>
        <v>#N/A</v>
      </c>
      <c r="IV28" s="217" t="e">
        <f t="shared" ca="1" si="206"/>
        <v>#N/A</v>
      </c>
      <c r="IW28" s="217" t="e">
        <f ca="1">IF(OR($AW28=1,AND($AW28=0, Control!$B$18=1,$EN28&lt;&gt;0)), $IQ28-$IU28, $IQ28)</f>
        <v>#N/A</v>
      </c>
      <c r="IX28" s="218" t="e">
        <f t="shared" ca="1" si="57"/>
        <v>#N/A</v>
      </c>
      <c r="IY28" s="218" t="e">
        <f ca="1">MAX(0,$IQ28-$EB28*Control!$C$159)</f>
        <v>#N/A</v>
      </c>
      <c r="IZ28" s="218" t="e">
        <f t="shared" ca="1" si="58"/>
        <v>#N/A</v>
      </c>
      <c r="JA28" s="216" t="e">
        <f t="shared" ca="1" si="59"/>
        <v>#N/A</v>
      </c>
      <c r="JB28" s="217" t="e">
        <f t="shared" ca="1" si="60"/>
        <v>#N/A</v>
      </c>
      <c r="JC28" s="222" t="e">
        <f ca="1">MAX(Control!$C$157*$EK28-$JT28, 0)/Control!$C$162</f>
        <v>#N/A</v>
      </c>
      <c r="JD28" s="218" t="e">
        <f t="shared" ca="1" si="61"/>
        <v>#N/A</v>
      </c>
      <c r="JE28" s="218" t="e">
        <f t="shared" ca="1" si="62"/>
        <v>#N/A</v>
      </c>
      <c r="JF28" s="218" t="e">
        <f t="shared" ca="1" si="207"/>
        <v>#N/A</v>
      </c>
      <c r="JG28" s="218" t="e">
        <f t="shared" ca="1" si="63"/>
        <v>#N/A</v>
      </c>
      <c r="JH28" s="217" t="e">
        <f t="shared" ca="1" si="166"/>
        <v>#N/A</v>
      </c>
      <c r="JI28" s="217" t="e">
        <f t="shared" ca="1" si="167"/>
        <v>#N/A</v>
      </c>
      <c r="JJ28" s="217" t="e">
        <f t="shared" ca="1" si="224"/>
        <v>#N/A</v>
      </c>
      <c r="JK28" s="217" t="e">
        <f ca="1">IF(Control!$C$114=1,IF(Control!$B$24=0,MAX(0,$JI28)*$GN28/Control!$C$64,(MAX(0,MIN($JI28,$JJ28*$GN28/Control!$C$64),0))))</f>
        <v>#N/A</v>
      </c>
      <c r="JL28" s="217" t="e">
        <f ca="1">$IK28/Control!$C$64-$JK28+$HQ28</f>
        <v>#N/A</v>
      </c>
      <c r="JM28" s="217" t="e">
        <f ca="1">IF(Control!$C$114=1,($JB28/(IF($JI28&lt;&gt;0,$JI28,1)))*$JK28,0)</f>
        <v>#N/A</v>
      </c>
      <c r="JN28" s="217" t="e">
        <f ca="1">IF(Control!$C$114=1,($JG28/(IF($JI28&lt;&gt;0,$JI28,1)))*$JK28, 0)</f>
        <v>#N/A</v>
      </c>
      <c r="JO28" s="218" t="e">
        <f t="shared" ca="1" si="64"/>
        <v>#N/A</v>
      </c>
      <c r="JP28" s="218" t="e">
        <f ca="1">MIN(($IY28+$IO28)*Control!$C$151, $JF28-$EH28*Control!$C$161)</f>
        <v>#N/A</v>
      </c>
      <c r="JQ28" s="218" t="e">
        <f t="shared" ca="1" si="65"/>
        <v>#N/A</v>
      </c>
      <c r="JR28" s="217" t="e">
        <f ca="1">IF($CP28-Control!$C$150&lt;0, 0, $JQ28/Control!$C$162)</f>
        <v>#N/A</v>
      </c>
      <c r="JS28" s="218" t="e">
        <f t="shared" ca="1" si="66"/>
        <v>#N/A</v>
      </c>
      <c r="JT28" s="218" t="e">
        <f t="shared" ca="1" si="168"/>
        <v>#N/A</v>
      </c>
      <c r="JU28" s="218" t="e">
        <f t="shared" ca="1" si="67"/>
        <v>#N/A</v>
      </c>
      <c r="JV28" s="218" t="e">
        <f t="shared" ca="1" si="68"/>
        <v>#N/A</v>
      </c>
      <c r="JW28" s="216" t="e">
        <f t="shared" ca="1" si="69"/>
        <v>#N/A</v>
      </c>
      <c r="JX28" s="91" t="e">
        <f t="shared" ca="1" si="70"/>
        <v>#N/A</v>
      </c>
      <c r="JY28" s="218" t="e">
        <f t="shared" ca="1" si="71"/>
        <v>#N/A</v>
      </c>
      <c r="JZ28" s="217" t="e">
        <f ca="1">IF(Control!$C$114=1,($IZ28/(IF($JI28&lt;&gt;0,$JI28,1)))*$JK28, 0)</f>
        <v>#N/A</v>
      </c>
      <c r="KA28" s="218" t="e">
        <f t="shared" ca="1" si="225"/>
        <v>#N/A</v>
      </c>
      <c r="KB28" s="218" t="e">
        <f t="shared" ca="1" si="169"/>
        <v>#N/A</v>
      </c>
      <c r="KC28" s="218" t="e">
        <f t="shared" ca="1" si="72"/>
        <v>#N/A</v>
      </c>
      <c r="KD28" s="218" t="e">
        <f t="shared" ca="1" si="73"/>
        <v>#N/A</v>
      </c>
      <c r="KE28" s="218" t="e">
        <f t="shared" ca="1" si="74"/>
        <v>#N/A</v>
      </c>
      <c r="KF28" s="218" t="e">
        <f t="shared" ca="1" si="75"/>
        <v>#N/A</v>
      </c>
      <c r="KG28" s="216" t="e">
        <f t="shared" ca="1" si="76"/>
        <v>#N/A</v>
      </c>
      <c r="KH28" s="221" t="e">
        <f ca="1">IF(Control!$B$24=0,1,MAX(0.001,MIN(1,IF(($IF28-$IE28)&lt;&gt;0,($KG28-$IE28)/($IF28-$IE28),1))))</f>
        <v>#N/A</v>
      </c>
      <c r="KI28" s="222" t="e">
        <f ca="1">IF(Control!$C$114=1, $KI27+ $KH27, 0)</f>
        <v>#N/A</v>
      </c>
      <c r="KJ28" s="217" t="e">
        <f t="shared" ca="1" si="77"/>
        <v>#N/A</v>
      </c>
      <c r="KK28" s="218" t="e">
        <f t="shared" ca="1" si="78"/>
        <v>#N/A</v>
      </c>
      <c r="KL28" s="274" t="e">
        <f ca="1">IF(Control!$B$26=3,4000000000*EXP(-8400/($G28+273)),IF(Control!$B$26=4,4000000000*EXP(-8400/($G28+273))*($KT28),0))</f>
        <v>#DIV/0!</v>
      </c>
      <c r="KM28" s="274" t="e">
        <f ca="1">IF(Control!$B$26=3,5600000000000*EXP(-9800/($G28+273)),IF(Control!$B$26=4,5600000000000*EXP(-9800/($G28+273))*$KT28,0))</f>
        <v>#DIV/0!</v>
      </c>
      <c r="KN28" s="454" t="e">
        <f t="shared" ca="1" si="170"/>
        <v>#DIV/0!</v>
      </c>
      <c r="KO28" s="274" t="e">
        <f t="shared" ca="1" si="171"/>
        <v>#DIV/0!</v>
      </c>
      <c r="KP28" s="454" t="e">
        <f t="shared" ca="1" si="79"/>
        <v>#DIV/0!</v>
      </c>
      <c r="KQ28" s="454" t="e">
        <f t="shared" ca="1" si="80"/>
        <v>#DIV/0!</v>
      </c>
      <c r="KR28" s="454" t="e">
        <f t="shared" ca="1" si="81"/>
        <v>#DIV/0!</v>
      </c>
      <c r="KS28" s="454" t="e">
        <f t="shared" ca="1" si="82"/>
        <v>#DIV/0!</v>
      </c>
      <c r="KT28" s="455" t="e">
        <f t="shared" ca="1" si="83"/>
        <v>#DIV/0!</v>
      </c>
      <c r="KU28" s="456" t="e">
        <f ca="1">IF($CP28-Control!$C$149&lt;0, IF($NT28-0.01&lt;0,0,1),0)</f>
        <v>#N/A</v>
      </c>
      <c r="KV28" s="456" t="e">
        <f ca="1">IF(Control!$C$114=1,MAX(0,MIN(Control!$C$125*$KW28*$GN28,$KW28)))</f>
        <v>#DIV/0!</v>
      </c>
      <c r="KW28" s="456" t="e">
        <f t="shared" ca="1" si="208"/>
        <v>#DIV/0!</v>
      </c>
      <c r="KX28" s="457" t="e">
        <f ca="1">IF($CP28-Control!$C$149&lt;0, IF($MR28-$OM28&lt;0,0,1),0)</f>
        <v>#N/A</v>
      </c>
      <c r="KY28" s="167">
        <f t="shared" ca="1" si="172"/>
        <v>23</v>
      </c>
      <c r="KZ28" s="168">
        <f ca="1">1370*(1+0.033*COS(2*Control!$C$138*$AH28/365))</f>
        <v>1411.7125178601038</v>
      </c>
      <c r="LA28" s="169">
        <f t="shared" ca="1" si="173"/>
        <v>1.0304471051117361</v>
      </c>
      <c r="LB28" s="169">
        <f t="shared" ca="1" si="174"/>
        <v>-0.3428458821207665</v>
      </c>
      <c r="LC28" s="169">
        <f ca="1">ACOS(-TAN((2*Control!$B$8/360))*TAN(Calculations!$LB28))</f>
        <v>1.4645120257582236</v>
      </c>
      <c r="LD28" s="169">
        <f ca="1">((24*60)/PI())*0.082*$LA28*(($LC28*SIN(Control!$B$8*2*PI()/360))*SIN($LB28)+COS(Control!$B$8*2*PI()/360)*COS($LB28)*SIN($LC28))</f>
        <v>7.3046830134807292</v>
      </c>
      <c r="LE28" s="170">
        <f t="shared" ca="1" si="84"/>
        <v>8.6163418925000794</v>
      </c>
      <c r="LF28" s="170">
        <f ca="1">SIN(Control!$C$139*Control!$B$8)*SIN($HD28)</f>
        <v>-0.2643369803586369</v>
      </c>
      <c r="LG28" s="170">
        <f ca="1">COS(Control!$C$139*Control!$B$8)*COS($HD28)</f>
        <v>0.57998771313356601</v>
      </c>
      <c r="LH28" s="170">
        <f ca="1">12*(1+2*ASIN(MAX(-1,MIN(1,$LF28/$LG28))/Control!$C$138))</f>
        <v>8.5059045591401059</v>
      </c>
      <c r="LI28" s="170">
        <f ca="1">12*(1+2*ASIN(MAX(-1,MIN(1,(-SIN(-4*Control!$C$139)+$LF28)/$LG28))/Control!$C$138))</f>
        <v>9.4321511789142392</v>
      </c>
      <c r="LJ28" s="168">
        <f ca="1">3600*($LH28*$LF28+24*$LG28*SQRT(1-$LK28*$LK28)/Control!$C$138)</f>
        <v>6103.4677977927595</v>
      </c>
      <c r="LK28" s="170">
        <f t="shared" ca="1" si="85"/>
        <v>-0.45576306941137296</v>
      </c>
      <c r="LL28" s="170">
        <f t="shared" ca="1" si="86"/>
        <v>0</v>
      </c>
      <c r="LM28" s="171">
        <f ca="1">Control!$C$145*$AB28</f>
        <v>6.6660906138995932E-2</v>
      </c>
      <c r="LN28" s="170">
        <f t="shared" ca="1" si="175"/>
        <v>0.54</v>
      </c>
      <c r="LO28" s="170">
        <f t="shared" ca="1" si="87"/>
        <v>0</v>
      </c>
      <c r="LP28" s="170">
        <f ca="1">Control!$C$140*((($D28+273.16)^4+($E28+273.16)^4)/2)*(0.34-0.14*SQRT($Y28))*(1.35*$AQ28/(0.75*$LD28)-0.35)</f>
        <v>-3.2464704755046001</v>
      </c>
      <c r="LQ28" s="170">
        <f ca="1">Control!$C$140*($G28+273)^4*(0.56-0.079*SQRT($Y28*10))*(0.1+0.9*$LO28)</f>
        <v>1.5241745131704001</v>
      </c>
      <c r="LR28" s="170">
        <f ca="1">$AQ28*(1-Control!$C$142)-$LQ28</f>
        <v>-1.5241745131704001</v>
      </c>
      <c r="LS28" s="170">
        <f ca="1">$AQ28*(1-Control!$C$143)-$LQ28</f>
        <v>-1.5241745131704001</v>
      </c>
      <c r="LT28" s="170">
        <f ca="1">$AQ28*(1-Control!$C$144)-$LQ28</f>
        <v>-1.5241745131704001</v>
      </c>
      <c r="LU28" s="169">
        <f ca="1">(1-Control!$C$144)*AQ28-LP28</f>
        <v>3.2464704755046001</v>
      </c>
      <c r="LV28" s="172">
        <f t="shared" ca="1" si="88"/>
        <v>0.79430000000000012</v>
      </c>
      <c r="LW28" s="170">
        <f t="shared" ca="1" si="89"/>
        <v>1.5886000000000002</v>
      </c>
      <c r="LX28" s="170">
        <f ca="1">($AC28*($LR28/Control!$C$141)+$LM28*$LV28)/($AC28+$LM28)</f>
        <v>0.23530094218323697</v>
      </c>
      <c r="LY28" s="170">
        <f ca="1">($AC28*($LS28/Control!$C$141)+$LM28*$LV28)/($AC28+$LM28)</f>
        <v>0.23530094218323697</v>
      </c>
      <c r="LZ28" s="170">
        <f t="shared" ca="1" si="90"/>
        <v>0.23530094218323697</v>
      </c>
      <c r="MA28" s="170">
        <f t="shared" ca="1" si="91"/>
        <v>0.23530094218323697</v>
      </c>
      <c r="MB28" s="170" t="e">
        <f t="shared" ca="1" si="92"/>
        <v>#N/A</v>
      </c>
      <c r="MC28" s="170">
        <f t="shared" ca="1" si="176"/>
        <v>0.6018</v>
      </c>
      <c r="MD28" s="170">
        <f t="shared" ca="1" si="93"/>
        <v>0.52989392535414004</v>
      </c>
      <c r="ME28" s="170">
        <f ca="1">($AC28*($LT28/Control!$C$141)+$LM28*$LW28)/($AC28+$LM28)</f>
        <v>0.71612369323045078</v>
      </c>
      <c r="MF28" s="170" t="e">
        <f ca="1">IF(Control!$B$16&gt;=1000,0.92,IF(AND(720&lt;=Control!$B$16,1000&gt;Control!$B$16),(0.95+(Control!$B$16-720)*((0.92-0.95)/(1000-720))),IF(AND(360&lt;=Control!$B$16,720&gt;Control!$B$16),(1+(Control!$B$16-360)*((0.95-1)/(720-360))),IF(AND(40&lt;=Control!$B$16,360&gt;Control!$B$16),(1.05+(Control!$B$16-40)*((1.05-1)/(360-40)))))))</f>
        <v>#N/A</v>
      </c>
      <c r="MG28" s="170">
        <f t="shared" ca="1" si="94"/>
        <v>0.71612369323045078</v>
      </c>
      <c r="MH28" s="170" t="e">
        <f t="shared" ca="1" si="230"/>
        <v>#N/A</v>
      </c>
      <c r="MI28" s="170" t="e">
        <f t="shared" ca="1" si="230"/>
        <v>#N/A</v>
      </c>
      <c r="MJ28" s="170" t="e">
        <f ca="1">MAX(0.0001, Control!$C$132*$MI28*$DL28)</f>
        <v>#N/A</v>
      </c>
      <c r="MK28" s="170">
        <f ca="1">1/(0.76+1.5*($MG28/10))-(5-Control!$C$110)*0.1</f>
        <v>1.002845988140797</v>
      </c>
      <c r="ML28" s="173">
        <f ca="1">IF(Control!$C$110&lt;3,$MK28+($MG28-0.6)/(Control!$C$110*(Control!$C$110+3)), MAX(0.1, MIN(0.95,$MK28)))</f>
        <v>0.95</v>
      </c>
      <c r="MM28" s="173">
        <f ca="1">IF(Control!$C$110&lt;3,$MK28+(($MI28/10)-0.6)/(Control!$C$110*(Control!$C$110+3)), MAX(0.1, MIN(0.95,$MK28)))</f>
        <v>0.95</v>
      </c>
      <c r="MN28" s="173">
        <f ca="1">(1-$MM28)*(Control!$C$128-Control!$C$127)+Control!$C$127</f>
        <v>0.16</v>
      </c>
      <c r="MO28" s="170" t="e">
        <f ca="1">MAX(0,MIN(1,($MS28-Control!$C$127)/($MN28-Control!$C$127)))</f>
        <v>#DIV/0!</v>
      </c>
      <c r="MP28" s="173" t="e">
        <f ca="1">1/(0.76+1.5*$MI28)-(5-Control!$C$110)*0.1</f>
        <v>#N/A</v>
      </c>
      <c r="MQ28" s="172" t="e">
        <f t="shared" ca="1" si="209"/>
        <v>#DIV/0!</v>
      </c>
      <c r="MR28" s="168" t="e">
        <f t="shared" ca="1" si="226"/>
        <v>#DIV/0!</v>
      </c>
      <c r="MS28" s="173" t="e">
        <f ca="1">MAX(Control!$C$127, MIN(Control!$C$135, $MR28/MAX(0.0001,$CY28)))</f>
        <v>#DIV/0!</v>
      </c>
      <c r="MT28" s="168" t="e">
        <f ca="1">(Control!$C$128-$MS28)*Control!$C$74</f>
        <v>#DIV/0!</v>
      </c>
      <c r="MU28" s="168" t="e">
        <f ca="1">(Control!$C$135-$MS28)*Control!$C$74</f>
        <v>#DIV/0!</v>
      </c>
      <c r="MV28" s="168" t="e">
        <f t="shared" ca="1" si="210"/>
        <v>#DIV/0!</v>
      </c>
      <c r="MW28" s="168" t="e">
        <f t="shared" ca="1" si="177"/>
        <v>#DIV/0!</v>
      </c>
      <c r="MX28" s="171" t="e">
        <f ca="1">MAX(Control!$C$127, MIN(Control!$C$135, $MW28/MAX(0.0001,Control!$C$119-$CY28)))</f>
        <v>#DIV/0!</v>
      </c>
      <c r="MY28" s="54" t="e">
        <f ca="1">IF(Control!$C$114=1, $CX28*$MX28, 0)</f>
        <v>#DIV/0!</v>
      </c>
      <c r="MZ28" s="54" t="e">
        <f t="shared" ca="1" si="178"/>
        <v>#N/A</v>
      </c>
      <c r="NA28" s="168" t="e">
        <f ca="1">(Control!$C$128-$MX28)*(Control!$C$119-Control!$C$74)</f>
        <v>#DIV/0!</v>
      </c>
      <c r="NB28" s="168" t="e">
        <f ca="1">(Control!$C$135-$MX28)*(Control!$C$119-Control!$C$74)</f>
        <v>#DIV/0!</v>
      </c>
      <c r="NC28" s="174" t="e">
        <f t="shared" ca="1" si="179"/>
        <v>#DIV/0!</v>
      </c>
      <c r="ND28" s="54">
        <f ca="1">IF(Control!$C$58=2, IF(OR(Control!$B$218=$AH28,Control!$B$219=$AH28, Control!$B$220=$AH28, Control!$B$221=$AH28, Control!$B$222=$AH28, Control!$B$223=$AH28, Control!$B$224=$AH28, Control!$B$225=$AH28, Control!$B$226=$AH28, Control!$B$227=$AH28, Control!$B$228=$AH28), 1, 0), 0)</f>
        <v>0</v>
      </c>
      <c r="NE28" s="54">
        <f ca="1">IF($ND28=0,0, VLOOKUP($AH28,Control!$B$218:$C$228,2))</f>
        <v>0</v>
      </c>
      <c r="NF28" s="168" t="e">
        <f ca="1">$CY28*(Control!$C$128-Control!$C$127)</f>
        <v>#N/A</v>
      </c>
      <c r="NG28" s="54" t="e">
        <f ca="1">IF(Control!$C$58=2, $NI27-$NJ27, 0)</f>
        <v>#DIV/0!</v>
      </c>
      <c r="NH28" s="54" t="e">
        <f ca="1">IF(AND(Control!$C$58=1, $MS27&lt;= ($MN27+0.02), $I27&lt;10), 0, IF(Control!$C$58=2, $NG27, 0))</f>
        <v>#DIV/0!</v>
      </c>
      <c r="NI28" s="54" t="e">
        <f ca="1">IF(Control!$C$58=2, $NE28+$NH28,0)</f>
        <v>#DIV/0!</v>
      </c>
      <c r="NJ28" s="54" t="e">
        <f ca="1">IF(AND(Control!$C$58=1, $MS28&lt;= ($MN28+0.02), $I28&lt;10), MAX(0, MIN(10, 0.7*($NF28-$MV28))), IF(Control!$C$58=2, MIN(10,$NI28),0))</f>
        <v>#DIV/0!</v>
      </c>
      <c r="NK28" s="54" t="e">
        <f t="shared" ca="1" si="96"/>
        <v>#DIV/0!</v>
      </c>
      <c r="NL28" s="173" t="e">
        <f ca="1">(1-Control!$C$73)*$I28+$NJ28</f>
        <v>#DIV/0!</v>
      </c>
      <c r="NM28" s="172" t="e">
        <f ca="1">IF($NL28&lt;0.5, $MB28* MAX(0, MIN(1, (SQRT($NC28)-SQRT($NC28-1))*Control!$C$71)),0)</f>
        <v>#DIV/0!</v>
      </c>
      <c r="NN28" s="170" t="e">
        <f ca="1">IF($NL28&gt;=5, $MB28, MAX(0,MIN($MB28, $NM28+$NL28,($MS28-Control!$C$129))))</f>
        <v>#DIV/0!</v>
      </c>
      <c r="NO28" s="54">
        <f>IF(Control!$C$133&lt;&gt;1, Control!$C$135-Control!$C$131, 0)</f>
        <v>0.38</v>
      </c>
      <c r="NP28" s="54" t="e">
        <f t="shared" ca="1" si="97"/>
        <v>#DIV/0!</v>
      </c>
      <c r="NQ28" s="173" t="e">
        <f ca="1">MAX(0,MIN(1,(Control!$C$135-$MS28)/(Control!$C$135-$NO28)))</f>
        <v>#DIV/0!</v>
      </c>
      <c r="NR28" s="170" t="e">
        <f ca="1">IF(Control!$C$133&lt;&gt;1, $NQ28+((1-$NP28/4)*(1-$NQ28)),1)</f>
        <v>#DIV/0!</v>
      </c>
      <c r="NS28" s="170" t="e">
        <f ca="1">IF(Control!$B$31=0,$MJ28,MAX(0,MIN($MV28,$MO28*$NR28*$MJ28)))</f>
        <v>#DIV/0!</v>
      </c>
      <c r="NT28" s="170" t="e">
        <f t="shared" ca="1" si="227"/>
        <v>#DIV/0!</v>
      </c>
      <c r="NU28" s="170" t="e">
        <f t="shared" ca="1" si="180"/>
        <v>#N/A</v>
      </c>
      <c r="NV28" s="170" t="e">
        <f t="shared" ca="1" si="98"/>
        <v>#N/A</v>
      </c>
      <c r="NW28" s="175" t="e">
        <f t="shared" ca="1" si="99"/>
        <v>#DIV/0!</v>
      </c>
      <c r="NX28" s="170" t="e">
        <f ca="1">MIN(Control!$C$72+$MU28, $NW28)</f>
        <v>#DIV/0!</v>
      </c>
      <c r="NY28" s="170" t="e">
        <f ca="1">IF($MT28&lt;=$NX28,MIN(Control!$C$72+$NB28,$NX28-$MT28),0)</f>
        <v>#DIV/0!</v>
      </c>
      <c r="NZ28" s="54" t="e">
        <f ca="1">IF(Control!$C$114=1,  $CX28*($MX28-Control!$C$127), 0)</f>
        <v>#DIV/0!</v>
      </c>
      <c r="OA28" s="170" t="e">
        <f t="shared" ca="1" si="181"/>
        <v>#DIV/0!</v>
      </c>
      <c r="OB28" s="170" t="e">
        <f ca="1">IF($NA28 &lt;=$NY28, MIN(Control!$C$72, $NY28-$NA28), 0)</f>
        <v>#DIV/0!</v>
      </c>
      <c r="OC28" s="168" t="e">
        <f t="shared" ca="1" si="100"/>
        <v>#DIV/0!</v>
      </c>
      <c r="OD28" s="168" t="e">
        <f t="shared" ca="1" si="182"/>
        <v>#DIV/0!</v>
      </c>
      <c r="OE28" s="170">
        <f ca="1">Control!$C$73*$I28</f>
        <v>0</v>
      </c>
      <c r="OF28" s="176" t="e">
        <f t="shared" ca="1" si="101"/>
        <v>#DIV/0!</v>
      </c>
      <c r="OG28" s="168" t="e">
        <f t="shared" ca="1" si="102"/>
        <v>#DIV/0!</v>
      </c>
      <c r="OH28" s="168" t="e">
        <f t="shared" ca="1" si="103"/>
        <v>#DIV/0!</v>
      </c>
      <c r="OI28" s="168" t="e">
        <f t="shared" ca="1" si="104"/>
        <v>#DIV/0!</v>
      </c>
      <c r="OJ28" s="168" t="e">
        <f t="shared" ca="1" si="105"/>
        <v>#DIV/0!</v>
      </c>
      <c r="OK28" s="204" t="e">
        <f t="shared" ca="1" si="183"/>
        <v>#DIV/0!</v>
      </c>
      <c r="OL28" s="177">
        <f>Control!$C$127</f>
        <v>0.15</v>
      </c>
      <c r="OM28" s="182" t="e">
        <f t="shared" ca="1" si="106"/>
        <v>#N/A</v>
      </c>
      <c r="ON28" s="177">
        <f>Control!$C$128</f>
        <v>0.35</v>
      </c>
      <c r="OO28" s="182" t="e">
        <f t="shared" ca="1" si="107"/>
        <v>#N/A</v>
      </c>
      <c r="OP28" s="138">
        <f t="shared" ca="1" si="184"/>
        <v>0</v>
      </c>
      <c r="OQ28" s="138" t="e">
        <f t="shared" ca="1" si="211"/>
        <v>#DIV/0!</v>
      </c>
      <c r="OR28" s="138" t="e">
        <f t="shared" ca="1" si="185"/>
        <v>#DIV/0!</v>
      </c>
      <c r="OS28" s="137" t="e">
        <f t="shared" ca="1" si="212"/>
        <v>#DIV/0!</v>
      </c>
      <c r="OT28" s="139" t="e">
        <f t="shared" ca="1" si="213"/>
        <v>#DIV/0!</v>
      </c>
      <c r="OU28" s="138" t="e">
        <f t="shared" ca="1" si="214"/>
        <v>#N/A</v>
      </c>
      <c r="OV28" s="138" t="e">
        <f t="shared" ca="1" si="215"/>
        <v>#DIV/0!</v>
      </c>
      <c r="OW28" s="138" t="e">
        <f t="shared" ca="1" si="186"/>
        <v>#DIV/0!</v>
      </c>
      <c r="OX28" s="138" t="e">
        <f t="shared" ca="1" si="187"/>
        <v>#DIV/0!</v>
      </c>
      <c r="OY28" s="138" t="e">
        <f t="shared" ca="1" si="188"/>
        <v>#DIV/0!</v>
      </c>
      <c r="OZ28" s="138" t="e">
        <f t="shared" ca="1" si="108"/>
        <v>#DIV/0!</v>
      </c>
      <c r="PA28" s="138" t="e">
        <f t="shared" ca="1" si="109"/>
        <v>#DIV/0!</v>
      </c>
      <c r="PB28" s="55">
        <f>IF(Control!$C$61="T", IF(Control!$C$65="F", IF($AH$6-Control!$C$60&lt;0,0,1), IF(365+$AH$6-Control!$C$60&lt;0,0,1)),0)</f>
        <v>0</v>
      </c>
      <c r="PC28" s="55">
        <f ca="1">IF(Control!$C$65="F", IF($AH$6-$HF28&lt;0,0,1), IF(365+$AH$6-$HF28&lt;0,0,1))</f>
        <v>1</v>
      </c>
      <c r="PD28" s="444">
        <f>Control!$C$118</f>
        <v>1500</v>
      </c>
      <c r="PE28" s="180" t="e">
        <f t="shared" ca="1" si="110"/>
        <v>#N/A</v>
      </c>
      <c r="PF28" s="445">
        <f t="shared" ca="1" si="189"/>
        <v>0.71612369323045078</v>
      </c>
      <c r="PT28" s="186"/>
      <c r="PU28" s="186"/>
      <c r="PV28" s="94"/>
      <c r="PW28" s="94"/>
      <c r="PX28" s="94"/>
      <c r="PY28" s="94"/>
      <c r="PZ28" s="94"/>
      <c r="QA28" s="94"/>
      <c r="QB28" s="94"/>
      <c r="QC28" s="94"/>
      <c r="QD28" s="94"/>
      <c r="QE28" s="94"/>
      <c r="QF28" s="94"/>
      <c r="QG28" s="94"/>
      <c r="QH28" s="94"/>
      <c r="QI28" s="94"/>
      <c r="QJ28" s="94"/>
      <c r="QK28" s="94"/>
      <c r="QL28" s="94"/>
      <c r="QM28" s="94"/>
      <c r="QN28" s="94"/>
      <c r="QO28" s="94"/>
      <c r="QP28" s="94"/>
    </row>
    <row r="29" spans="1:458" s="2" customFormat="1" x14ac:dyDescent="0.2">
      <c r="A29" s="386">
        <v>24</v>
      </c>
      <c r="B29" s="387">
        <v>1</v>
      </c>
      <c r="C29" s="387">
        <f ca="1">Weather_data!$B28</f>
        <v>0</v>
      </c>
      <c r="D29" s="388">
        <f ca="1">Weather_data!$F28</f>
        <v>0</v>
      </c>
      <c r="E29" s="388">
        <f ca="1">Weather_data!$E28</f>
        <v>0</v>
      </c>
      <c r="F29" s="388">
        <f t="shared" ca="1" si="111"/>
        <v>0</v>
      </c>
      <c r="G29" s="388">
        <f ca="1">AVERAGE($D29:$E29)+Control!$B$9</f>
        <v>0</v>
      </c>
      <c r="H29" s="388">
        <f ca="1">Weather_data!$G28</f>
        <v>0</v>
      </c>
      <c r="I29" s="388">
        <f ca="1">Weather_data!$I28</f>
        <v>0</v>
      </c>
      <c r="J29" s="388">
        <f ca="1">Weather_data!$H28</f>
        <v>0</v>
      </c>
      <c r="K29" s="389">
        <f ca="1">Weather_data!$D28</f>
        <v>0</v>
      </c>
      <c r="L29" s="388" t="e">
        <f t="shared" ca="1" si="112"/>
        <v>#N/A</v>
      </c>
      <c r="M29" s="388" t="e">
        <f t="shared" ca="1" si="0"/>
        <v>#N/A</v>
      </c>
      <c r="N29" s="388">
        <f t="shared" ca="1" si="1"/>
        <v>-4.4314690598262499E-2</v>
      </c>
      <c r="O29" s="388">
        <f t="shared" ca="1" si="113"/>
        <v>0.44314690598262496</v>
      </c>
      <c r="P29" s="390">
        <v>3</v>
      </c>
      <c r="Q29" s="388">
        <f ca="1">MAX($G29-Control!$C$107,0)</f>
        <v>0</v>
      </c>
      <c r="R29" s="388">
        <f t="shared" ca="1" si="114"/>
        <v>0</v>
      </c>
      <c r="S29" s="388">
        <f t="shared" ca="1" si="2"/>
        <v>0</v>
      </c>
      <c r="T29" s="388">
        <f t="shared" ca="1" si="3"/>
        <v>0</v>
      </c>
      <c r="U29" s="59">
        <f t="shared" ca="1" si="4"/>
        <v>0</v>
      </c>
      <c r="V29" s="391">
        <f ca="1">MAX(0,MIN(Control!$C$100-Control!$C$99,$G29-Control!$C$99)*Control!$C$63)</f>
        <v>0</v>
      </c>
      <c r="W29" s="388">
        <f t="shared" ca="1" si="190"/>
        <v>0</v>
      </c>
      <c r="X29" s="388">
        <f t="shared" ca="1" si="115"/>
        <v>0.6110000000000001</v>
      </c>
      <c r="Y29" s="388">
        <f t="shared" ca="1" si="116"/>
        <v>0</v>
      </c>
      <c r="Z29" s="388">
        <f t="shared" ca="1" si="117"/>
        <v>0.61058800000000002</v>
      </c>
      <c r="AA29" s="388">
        <f t="shared" ca="1" si="5"/>
        <v>0.6018</v>
      </c>
      <c r="AB29" s="388">
        <f ca="1">101.3*EXP(-0.034*Control!$C$66/($G29+273))</f>
        <v>100.69623283836242</v>
      </c>
      <c r="AC29" s="392">
        <f t="shared" ca="1" si="6"/>
        <v>4.3460251046025113E-2</v>
      </c>
      <c r="AD29" s="392">
        <f t="shared" ca="1" si="7"/>
        <v>4.4450382862832649E-2</v>
      </c>
      <c r="AE29" s="388">
        <f t="shared" ca="1" si="8"/>
        <v>0</v>
      </c>
      <c r="AF29" s="388">
        <f ca="1">MAX(0,$G29-Control!$C$92)</f>
        <v>0</v>
      </c>
      <c r="AG29" s="393">
        <f t="shared" ca="1" si="118"/>
        <v>24</v>
      </c>
      <c r="AH29" s="389">
        <f t="shared" ca="1" si="9"/>
        <v>24</v>
      </c>
      <c r="AI29" s="388">
        <f t="shared" ca="1" si="119"/>
        <v>-0.33811860548826023</v>
      </c>
      <c r="AJ29" s="388">
        <f ca="1">IF(Control!$C$60&lt;=0,$HH29,$HI29)</f>
        <v>1</v>
      </c>
      <c r="AK29" s="388">
        <f t="shared" ca="1" si="10"/>
        <v>-0.96399555397823788</v>
      </c>
      <c r="AL29" s="388">
        <f t="shared" ca="1" si="11"/>
        <v>1.2623929679378419E-18</v>
      </c>
      <c r="AM29" s="388">
        <f t="shared" ca="1" si="12"/>
        <v>-0.96399555397823788</v>
      </c>
      <c r="AN29" s="388">
        <f t="shared" ca="1" si="13"/>
        <v>-0.33289808290771239</v>
      </c>
      <c r="AO29" s="388">
        <f ca="1">-0.10453/COS(Control!$B$8*PI()/180)*COS(AN29)</f>
        <v>-0.16046355097516121</v>
      </c>
      <c r="AP29" s="388">
        <f ca="1">ACOS(AO29-TAN(Control!$B$8*PI()/180)*TAN(AN29))</f>
        <v>1.2848171547910014</v>
      </c>
      <c r="AQ29" s="388">
        <f t="shared" ca="1" si="120"/>
        <v>0</v>
      </c>
      <c r="AR29" s="394">
        <f t="shared" ca="1" si="14"/>
        <v>0</v>
      </c>
      <c r="AS29" s="436">
        <f ca="1">IF(Control!$B$18=2,(IF(OR($AH29=Control!$B$175,$AH29=Control!$B$176,$AH29=Control!$B$177,$AH29=Control!$B$178,$AH29=Control!$B$179,$AH29=Control!$B$180,$AH29=Control!$B$181,$AH29=Control!$B$182,$AH29=Control!$B$183,$AH29=Control!$B$184,$AH29=Control!$B$185),1,0)),0)</f>
        <v>0</v>
      </c>
      <c r="AT29" s="436">
        <f>IF(Control!$B$20=8,IF(AND($AH29&gt;=Control!$B$172,$AH29&lt;=Control!$B$173),1,0),0)</f>
        <v>0</v>
      </c>
      <c r="AU29" s="436">
        <f>IF(Control!$B$20=8,IF($AV28=1,1*$AT29,IF($AT29=1,$AU28+1,$AU28)),0)</f>
        <v>0</v>
      </c>
      <c r="AV29" s="436">
        <f>IF(Control!$B$20=8,IF($AU29&gt;=Control!$B$174,1,0),0)</f>
        <v>0</v>
      </c>
      <c r="AW29" s="436">
        <f ca="1">IF(AND(Control!$B$18=2,Control!$B$171=1), $AV29, $AS29)</f>
        <v>0</v>
      </c>
      <c r="AX29" s="436" t="e">
        <f ca="1">IF(AND(Control!$B$18=1,$EU29&gt;=Control!$B$19),-$AY29,IF(AND(Control!$B$18=2,$AW29=1,$EU29&gt;$DS29),-$AY29, IF(Control!$C$108=0,0, IF(Control!$C$108&lt;&gt;0,1))))</f>
        <v>#N/A</v>
      </c>
      <c r="AY29" s="436" t="e">
        <f t="shared" ca="1" si="121"/>
        <v>#N/A</v>
      </c>
      <c r="AZ29" s="436" t="e">
        <f ca="1">IF(AND(Control!$B$18=1,$EB29&gt;Control!$B$19),$AZ28+1, IF(AND(Control!$B$18=2, $AW29=1, $EB29&gt;$DS29), $AZ28+1,$AZ28))</f>
        <v>#N/A</v>
      </c>
      <c r="BA29" s="587">
        <f>IF(Control!$C$81=0,1,IF($AH29&gt;=Control!$C$82,1,0))</f>
        <v>1</v>
      </c>
      <c r="BB29" s="140" t="e">
        <f ca="1">IF($BA29&gt;$BA28,Control!$C$83,IF($AW29&gt;0,$AW29*Control!$C$84,IF(AND(Control!$B$18=1,EN28&lt;&gt;0),Control!$C$84,0)))</f>
        <v>#N/A</v>
      </c>
      <c r="BC29" s="140" t="e">
        <f t="shared" ca="1" si="122"/>
        <v>#N/A</v>
      </c>
      <c r="BD29" s="140" t="e">
        <f ca="1">BC29*IF(OR($G29&lt;Control!$C$92,$G29&gt;Control!$C$95),0,IF(AND($G29&gt;=Control!$C$92,$G29&lt;=Control!$C$93),$G29-Control!$C$92,IF(AND($G29&gt;Control!$C$93,$G29&lt;=Control!$C$94),Control!$C$93-Control!$C$92,IF(AND($G29&gt;Control!$C$94,$G29&lt;=Control!$C$95),(Control!$C$93-Control!$C$92)*(Control!$C$94-$G29)/(Control!$C$95-Control!$C$94)))))</f>
        <v>#N/A</v>
      </c>
      <c r="BE29" s="140" t="e">
        <f t="shared" ca="1" si="123"/>
        <v>#N/A</v>
      </c>
      <c r="BF29" s="140" t="e">
        <f ca="1">IF($BE29&lt;=Control!$C$86,$BE29,Control!$C$86-$BE29)</f>
        <v>#N/A</v>
      </c>
      <c r="BG29" s="140" t="e">
        <f ca="1">IF(AND($AW29=1,Control!$C$84&lt;9),1,IF($BE29&gt;=Control!$C$86,0,$BC29))</f>
        <v>#N/A</v>
      </c>
      <c r="BH29" s="404" t="e">
        <f ca="1">IF($BG29=0,0,IF($BE29&lt;=Control!$C$86,$BC29*9*($BF29/Control!$C$86),0))</f>
        <v>#N/A</v>
      </c>
      <c r="BI29" s="140" t="e">
        <f ca="1">IF($BG29=1,0,IF($BE29&gt;=Control!$C$86,1,IF(AND($BB29&lt;21,$BB29&gt;=9),1,$BM28)))</f>
        <v>#N/A</v>
      </c>
      <c r="BJ29" s="140" t="e">
        <f ca="1">IF($BF29&lt;0,-$BF29,$BI29*IF(OR($G29&lt;Control!$C$92,$G29&gt;Control!$C$95),0,IF(AND($G29&gt;=Control!$C$92,$G29&lt;=Control!$C$93),$G29-Control!$C$92,IF(AND($G29&gt;Control!$C$93,$G29&lt;=Control!$C$94),Control!$C$93-Control!$C$92,IF(AND($G29&gt;Control!$C$94,$G29&lt;=Control!$C$95),(Control!$C$93-Control!$C$92)*(Control!$C$94-$G29)/(Control!$C$95-Control!$C$94))))))</f>
        <v>#N/A</v>
      </c>
      <c r="BK29" s="140" t="e">
        <f t="shared" ca="1" si="124"/>
        <v>#N/A</v>
      </c>
      <c r="BL29" s="140" t="e">
        <f ca="1">IF($BK29&lt;=Control!$C$87,$BK29,Control!$C$87-$BK29)</f>
        <v>#N/A</v>
      </c>
      <c r="BM29" s="140" t="e">
        <f ca="1">IF(AND($BB29&gt;=9,$BB29&lt;21),1,IF($BK29&gt;=Control!$C$87,0,$BI29))</f>
        <v>#N/A</v>
      </c>
      <c r="BN29" s="404" t="e">
        <f ca="1">IF($BM29=0,0,IF($BK29&lt;=Control!$C$87,$BI29*(9+(21-9)*($BL29/Control!$C$87)),0))</f>
        <v>#N/A</v>
      </c>
      <c r="BO29" s="140" t="e">
        <f ca="1">IF($BM29=1,0,IF($BK29&gt;=Control!$C$87,1,IF(AND($BB29&lt;30,$BB29&gt;=21),1,$BS28)))</f>
        <v>#N/A</v>
      </c>
      <c r="BP29" s="140" t="e">
        <f ca="1">IF($BL29&lt;0,-$BL29,$BO29*IF(OR($G29&lt;Control!$C$92,$G29&gt;Control!$C$95),0,IF(AND($G29&gt;=Control!$C$92,$G29&lt;=Control!$C$93),$G29-Control!$C$92,IF(AND($G29&gt;Control!$C$93,$G29&lt;=Control!$C$94),Control!$C$93-Control!$C$92,IF(AND($G29&gt;Control!$C$94,$G29&lt;=Control!$C$95),(Control!$C$93-Control!$C$92)*(Control!$C$94-$G29)/(Control!$C$95-Control!$C$94))))))</f>
        <v>#N/A</v>
      </c>
      <c r="BQ29" s="140" t="e">
        <f t="shared" ca="1" si="15"/>
        <v>#N/A</v>
      </c>
      <c r="BR29" s="140" t="e">
        <f ca="1">IF($BQ29&lt;=Control!$C$88,$BQ29,Control!$C$88-$BQ29)</f>
        <v>#N/A</v>
      </c>
      <c r="BS29" s="140" t="e">
        <f ca="1">IF(AND($BB29&gt;=21,$BB29&lt;30),1,IF($BQ29&gt;=Control!$C$88,0,$BO29))</f>
        <v>#N/A</v>
      </c>
      <c r="BT29" s="404" t="e">
        <f ca="1">IF($BS29=0,0,IF($BQ29&lt;=Control!$C$88,$BO29*(21+(30-21)*(BR29/Control!$C$88)),0))</f>
        <v>#N/A</v>
      </c>
      <c r="BU29" s="140" t="e">
        <f ca="1">IF(BG29+BM29+BS29=1,0,IF(OR(AND($BB29&lt;60,$BB29&gt;=30),$BQ29&gt;=Control!$C$88),1*$BA29,$BY28))</f>
        <v>#N/A</v>
      </c>
      <c r="BV29" s="140" t="e">
        <f ca="1">IF($BR29&lt;0,-$BR29,$BU29*IF(OR($G29&lt;Control!$C$92,$G29&gt;Control!$C$95),0,IF(AND($G29&gt;=Control!$C$92,$G29&lt;=Control!$C$93),$G29-Control!$C$92,IF(AND($G29&gt;Control!$C$93,$G29&lt;=Control!$C$94),Control!$C$93-Control!$C$92,IF(AND($G29&gt;Control!$C$94,$G29&lt;=Control!$C$95),(Control!$C$93-Control!$C$92)*(Control!$C$94-$G29)/(Control!$C$95-Control!$C$94))))))</f>
        <v>#N/A</v>
      </c>
      <c r="BW29" s="140" t="e">
        <f t="shared" ca="1" si="16"/>
        <v>#N/A</v>
      </c>
      <c r="BX29" s="140" t="e">
        <f ca="1">IF($BW29&lt;=Control!$C$89,$BW29,Control!$C$89-$BW29)</f>
        <v>#N/A</v>
      </c>
      <c r="BY29" s="140" t="e">
        <f ca="1">IF(AND($AJ29&gt;=30,$AJ29&lt;60),1,IF($BW29&gt;=Control!$C$89,0,$BU29))</f>
        <v>#N/A</v>
      </c>
      <c r="BZ29" s="404" t="e">
        <f ca="1">IF($BY29=0,0,IF($BW29&lt;=Control!$C$89,$BU29*(30+(60-30)*(BX29/Control!$C$89)),0))</f>
        <v>#N/A</v>
      </c>
      <c r="CA29" s="140" t="e">
        <f ca="1">IF($BG29+$BM29+$BS29+$BY29=1,0,IF(OR(AND($BB29&lt;65,$BB29&gt;=60),$BW29&gt;=Control!$C$89),1*$BA29,$CE28))</f>
        <v>#N/A</v>
      </c>
      <c r="CB29" s="140" t="e">
        <f ca="1">IF($BX29&lt;0,-$BX29,$CA29*IF(OR($G29&lt;Control!$C$92,$G29&gt;Control!$C$95),0,IF(AND($G29&gt;=Control!$C$92,$G29&lt;=Control!$C$93),$G29-Control!$C$92,IF(AND($G29&gt;Control!$C$93,$G29&lt;=Control!$C$94),Control!$C$93-Control!$C$92,IF(AND($G29&gt;Control!$C$94,$G29&lt;=Control!$C$95),(Control!$C$93-Control!$C$92)*(Control!$C$94-$G29)/(Control!$C$95-Control!$C$94))))))</f>
        <v>#N/A</v>
      </c>
      <c r="CC29" s="140" t="e">
        <f t="shared" ca="1" si="125"/>
        <v>#N/A</v>
      </c>
      <c r="CD29" s="140" t="e">
        <f ca="1">IF($CC29&lt;=Control!$C$90,$CC29,Control!$C$90-$CC29)</f>
        <v>#N/A</v>
      </c>
      <c r="CE29" s="140" t="e">
        <f ca="1">IF(AND($BB29&gt;=60,$BB29&lt;65),1,IF($CC29&gt;=Control!$C$90,0,$CA29))</f>
        <v>#N/A</v>
      </c>
      <c r="CF29" s="404" t="e">
        <f ca="1">IF($CE29=0,0,IF($CC29&lt;=Control!$C$90,$CA29*(60+(65-60)*(CD29/Control!$C$90)),0))</f>
        <v>#N/A</v>
      </c>
      <c r="CG29" s="140" t="e">
        <f ca="1">IF($BG29+$BM29+$BS29+$BY29+$CE29=1,0,IF(OR(AND($BB29&lt;90,$BB29&gt;=65),$CC29&gt;=Control!$C$90),$BA29,$CK28))</f>
        <v>#N/A</v>
      </c>
      <c r="CH29" s="140" t="e">
        <f ca="1">IF($CD29&lt;0,-$CD29,$CG29*IF(OR($G29&lt;Control!$C$92,$G29&gt;Control!$C$95),0,IF(AND($G29&gt;=Control!$C$92,$G29&lt;=Control!$C$93),$G29-Control!$C$92,IF(AND($G29&gt;Control!$C$93,$G29&lt;=Control!$C$94),Control!$C$93-Control!$C$92,IF(AND($G29&gt;Control!$C$94,$G29&lt;=Control!$C$95),(Control!$C$93-Control!$C$92)*(Control!$C$94-$G29)/(Control!$C$95-Control!$C$94))))))</f>
        <v>#N/A</v>
      </c>
      <c r="CI29" s="140" t="e">
        <f t="shared" ca="1" si="126"/>
        <v>#N/A</v>
      </c>
      <c r="CJ29" s="140" t="e">
        <f ca="1">IF($CI29&lt;=Control!$C$91,$CI29,Control!$C$91-$CI29)</f>
        <v>#N/A</v>
      </c>
      <c r="CK29" s="140" t="e">
        <f ca="1">IF(AND($BB29&gt;=65,$BB29&lt;90),1,IF($CI29&gt;=Control!$C$91,0,$CG29))</f>
        <v>#N/A</v>
      </c>
      <c r="CL29" s="404" t="e">
        <f ca="1">IF($CK29=0,0,IF($CI29&lt;=Control!$C$91,$CG29*(65+(90-65)*($CJ29/Control!$C$91)),0))</f>
        <v>#N/A</v>
      </c>
      <c r="CM29" s="140" t="e">
        <f ca="1">IF($BG29+$BM29+$BS29+$BY29+$CE29+$CK29=1,0,IF(OR($BB29&gt;=90,$CI29&gt;=Control!$C$91),$BA29,$CM28))</f>
        <v>#N/A</v>
      </c>
      <c r="CN29" s="140" t="e">
        <f t="shared" ca="1" si="127"/>
        <v>#N/A</v>
      </c>
      <c r="CO29" s="140" t="e">
        <f t="shared" ca="1" si="128"/>
        <v>#N/A</v>
      </c>
      <c r="CP29" s="140" t="e">
        <f t="shared" ca="1" si="129"/>
        <v>#N/A</v>
      </c>
      <c r="CQ29" s="141" t="e">
        <f ca="1">VLOOKUP($CP29,Control!$B$86:$G$91,6)</f>
        <v>#N/A</v>
      </c>
      <c r="CR29" s="141" t="e">
        <f ca="1">(1-$CQ29)*VLOOKUP($CP29,Control!$B$86:$D$91,3)</f>
        <v>#N/A</v>
      </c>
      <c r="CS29" s="141" t="e">
        <f ca="1">(1-$CQ29)*VLOOKUP($CP29,Control!$B$86:$E$91,4)</f>
        <v>#N/A</v>
      </c>
      <c r="CT29" s="141" t="e">
        <f ca="1">(1-$CQ29)*VLOOKUP($CP29,Control!$B$86:$F$91,5)</f>
        <v>#N/A</v>
      </c>
      <c r="CU29" s="141">
        <f t="shared" ca="1" si="130"/>
        <v>0</v>
      </c>
      <c r="CV29" s="583">
        <f t="shared" ca="1" si="131"/>
        <v>0</v>
      </c>
      <c r="CW29" s="142">
        <f t="shared" ca="1" si="132"/>
        <v>24</v>
      </c>
      <c r="CX29" s="612" t="e">
        <f ca="1">IF(Control!$C$114=1,(MIN(Control!$C$120*(IF($NT29-0.01&lt;0,0,1)),Control!$C$119-$CY29)))</f>
        <v>#DIV/0!</v>
      </c>
      <c r="CY29" s="143" t="e">
        <f t="shared" ca="1" si="133"/>
        <v>#N/A</v>
      </c>
      <c r="CZ29" s="144">
        <f t="shared" ca="1" si="17"/>
        <v>0</v>
      </c>
      <c r="DA29" s="144">
        <f t="shared" ca="1" si="18"/>
        <v>0</v>
      </c>
      <c r="DB29" s="144" t="e">
        <f t="shared" ca="1" si="19"/>
        <v>#N/A</v>
      </c>
      <c r="DC29" s="144" t="e">
        <f t="shared" ca="1" si="20"/>
        <v>#N/A</v>
      </c>
      <c r="DD29" s="144" t="e">
        <f t="shared" ca="1" si="216"/>
        <v>#N/A</v>
      </c>
      <c r="DE29" s="143" t="e">
        <f t="shared" ca="1" si="135"/>
        <v>#N/A</v>
      </c>
      <c r="DF29" s="145" t="e">
        <f ca="1">$DR29*EXP(-Control!$C$158*(1-$KH29))</f>
        <v>#N/A</v>
      </c>
      <c r="DG29" s="146" t="e">
        <f ca="1">IF(Control!$C$114=1, $DF29*$EY29, 0)</f>
        <v>#N/A</v>
      </c>
      <c r="DH29" s="147" t="e">
        <f t="shared" ca="1" si="136"/>
        <v>#N/A</v>
      </c>
      <c r="DI29" s="144" t="e">
        <f t="shared" ca="1" si="191"/>
        <v>#N/A</v>
      </c>
      <c r="DJ29" s="147" t="e">
        <f ca="1">$EF29*Control!$C$109</f>
        <v>#N/A</v>
      </c>
      <c r="DK29" s="144" t="e">
        <f t="shared" ca="1" si="137"/>
        <v>#N/A</v>
      </c>
      <c r="DL29" s="144" t="e">
        <f t="shared" ca="1" si="21"/>
        <v>#N/A</v>
      </c>
      <c r="DM29" s="144" t="e">
        <f ca="1">IF(Control!$C$114=1, (1-EXP(-Control!$C$96*$DK29))*$AR29, 0)</f>
        <v>#N/A</v>
      </c>
      <c r="DN29" s="144">
        <f t="shared" ca="1" si="138"/>
        <v>0</v>
      </c>
      <c r="DO29" s="148">
        <f>Control!$C$97</f>
        <v>4</v>
      </c>
      <c r="DP29" s="145" t="e">
        <f t="shared" ca="1" si="139"/>
        <v>#N/A</v>
      </c>
      <c r="DQ29" s="145" t="e">
        <f ca="1">IF(AND($CP29&gt;=0,$CP29&lt;=90),Control!$C$111,Control!$C$111)</f>
        <v>#N/A</v>
      </c>
      <c r="DR29" s="145" t="e">
        <f t="shared" ca="1" si="22"/>
        <v>#N/A</v>
      </c>
      <c r="DS29" s="143" t="e">
        <f ca="1">Control!$B$22/$DR29</f>
        <v>#N/A</v>
      </c>
      <c r="DT29" s="149" t="e">
        <f ca="1">IF(AND(Control!$C$114=1,$KH29&lt;1),$IM29*$DF29, 0)</f>
        <v>#N/A</v>
      </c>
      <c r="DU29" s="144" t="e">
        <f t="shared" ca="1" si="192"/>
        <v>#N/A</v>
      </c>
      <c r="DV29" s="144">
        <f ca="1">IF($G29-Control!$C$107&lt;=0, 0, 0.83*LN(MAX($G29, 3))-0.8924)</f>
        <v>0</v>
      </c>
      <c r="DW29" s="144" t="e">
        <f t="shared" ca="1" si="23"/>
        <v>#N/A</v>
      </c>
      <c r="DX29" s="150" t="e">
        <f ca="1">MAX(0.01*(1+$CU29/Control!$C$102),0.05*($DK29-Control!$C$97)/Control!$C$97)</f>
        <v>#N/A</v>
      </c>
      <c r="DY29" s="151" t="e">
        <f ca="1">IF(Control!$C$114=1, $DI29*$FS29, 0)</f>
        <v>#N/A</v>
      </c>
      <c r="DZ29" s="196" t="e">
        <f t="shared" ca="1" si="140"/>
        <v>#N/A</v>
      </c>
      <c r="EA29" s="152">
        <f t="shared" ca="1" si="141"/>
        <v>24</v>
      </c>
      <c r="EB29" s="153" t="e">
        <f t="shared" ca="1" si="217"/>
        <v>#N/A</v>
      </c>
      <c r="EC29" s="153" t="e">
        <f t="shared" ca="1" si="142"/>
        <v>#N/A</v>
      </c>
      <c r="ED29" s="154" t="e">
        <f ca="1">IF(Control!$C$114=1, $HM29*$FY29-$FD29, 0)</f>
        <v>#DIV/0!</v>
      </c>
      <c r="EE29" s="155" t="e">
        <f ca="1">IF(Control!$C$114=1, $HM29*$FZ29-$FF29, 0)</f>
        <v>#DIV/0!</v>
      </c>
      <c r="EF29" s="153" t="e">
        <f t="shared" ca="1" si="193"/>
        <v>#N/A</v>
      </c>
      <c r="EG29" s="155" t="e">
        <f ca="1">IF(Control!$C$114=1, $GX29*$FW29-$FI29, 0)</f>
        <v>#DIV/0!</v>
      </c>
      <c r="EH29" s="153" t="e">
        <f t="shared" ca="1" si="143"/>
        <v>#N/A</v>
      </c>
      <c r="EI29" s="156" t="e">
        <f t="shared" ca="1" si="144"/>
        <v>#N/A</v>
      </c>
      <c r="EJ29" s="155" t="e">
        <f ca="1">IF(Control!$C$114=1, $HM29*$GB29, 0)</f>
        <v>#DIV/0!</v>
      </c>
      <c r="EK29" s="153" t="e">
        <f t="shared" ca="1" si="194"/>
        <v>#N/A</v>
      </c>
      <c r="EL29" s="153" t="e">
        <f t="shared" ca="1" si="24"/>
        <v>#N/A</v>
      </c>
      <c r="EM29" s="153" t="e">
        <f t="shared" ca="1" si="25"/>
        <v>#N/A</v>
      </c>
      <c r="EN29" s="153" t="e">
        <f ca="1">IF(Control!$C$108=1,IF(AND(Control!$B$18=1,$EB29&gt;=Control!$B$19),$EB29-$DS29,IF(AND(Control!$B$18=2,$AW29=1,$EB29&gt;$DS29),$EB29-$DS29,0)))</f>
        <v>#N/A</v>
      </c>
      <c r="EO29" s="153" t="e">
        <f ca="1">IF(Control!$C$108=1,IF(AND(Control!$B$18=1,$EB29&gt;=Control!$B$19),$EF29,IF(AND(Control!$B$18=2,$AW29=1),$EF29,0)))</f>
        <v>#N/A</v>
      </c>
      <c r="EP29" s="153" t="e">
        <f ca="1">IF(Control!$C$108=1,IF(AND(Control!$B$18=1,$EB29&gt;=Control!$B$19),$EK29,IF(AND(Control!$B$18=2,$AW29=1),$EK29,0)))</f>
        <v>#N/A</v>
      </c>
      <c r="EQ29" s="153" t="e">
        <f t="shared" ca="1" si="145"/>
        <v>#N/A</v>
      </c>
      <c r="ER29" s="153" t="e">
        <f t="shared" ca="1" si="195"/>
        <v>#N/A</v>
      </c>
      <c r="ES29" s="153" t="e">
        <f t="shared" ca="1" si="196"/>
        <v>#N/A</v>
      </c>
      <c r="ET29" s="153" t="e">
        <f t="shared" ca="1" si="197"/>
        <v>#N/A</v>
      </c>
      <c r="EU29" s="153" t="e">
        <f t="shared" ca="1" si="198"/>
        <v>#N/A</v>
      </c>
      <c r="EV29" s="153" t="e">
        <f t="shared" ca="1" si="146"/>
        <v>#N/A</v>
      </c>
      <c r="EW29" s="153" t="e">
        <f t="shared" ca="1" si="218"/>
        <v>#N/A</v>
      </c>
      <c r="EX29" s="153" t="e">
        <f t="shared" ca="1" si="26"/>
        <v>#N/A</v>
      </c>
      <c r="EY29" s="157" t="e">
        <f t="shared" ca="1" si="147"/>
        <v>#DIV/0!</v>
      </c>
      <c r="EZ29" s="154" t="e">
        <f t="shared" ca="1" si="27"/>
        <v>#DIV/0!</v>
      </c>
      <c r="FA29" s="153" t="e">
        <f t="shared" ca="1" si="199"/>
        <v>#N/A</v>
      </c>
      <c r="FB29" s="153" t="e">
        <f t="shared" ca="1" si="28"/>
        <v>#N/A</v>
      </c>
      <c r="FC29" s="193" t="e">
        <f t="shared" ca="1" si="29"/>
        <v>#N/A</v>
      </c>
      <c r="FD29" s="158" t="e">
        <f t="shared" ca="1" si="200"/>
        <v>#N/A</v>
      </c>
      <c r="FE29" s="158" t="e">
        <f t="shared" ca="1" si="148"/>
        <v>#N/A</v>
      </c>
      <c r="FF29" s="159" t="e">
        <f t="shared" ca="1" si="30"/>
        <v>#N/A</v>
      </c>
      <c r="FG29" s="160" t="e">
        <f t="shared" ca="1" si="149"/>
        <v>#N/A</v>
      </c>
      <c r="FH29" s="158" t="e">
        <f t="shared" ca="1" si="150"/>
        <v>#N/A</v>
      </c>
      <c r="FI29" s="159" t="e">
        <f t="shared" ca="1" si="31"/>
        <v>#N/A</v>
      </c>
      <c r="FJ29" s="160" t="e">
        <f t="shared" ca="1" si="151"/>
        <v>#N/A</v>
      </c>
      <c r="FK29" s="160" t="e">
        <f t="shared" ca="1" si="32"/>
        <v>#N/A</v>
      </c>
      <c r="FL29" s="160" t="e">
        <f t="shared" ca="1" si="229"/>
        <v>#N/A</v>
      </c>
      <c r="FM29" s="160" t="e">
        <f t="shared" ca="1" si="33"/>
        <v>#N/A</v>
      </c>
      <c r="FN29" s="158">
        <f t="shared" ca="1" si="219"/>
        <v>0.01</v>
      </c>
      <c r="FO29" s="160">
        <f>Control!$C$101</f>
        <v>50</v>
      </c>
      <c r="FP29" s="150" t="e">
        <f t="shared" ca="1" si="34"/>
        <v>#N/A</v>
      </c>
      <c r="FQ29" s="150" t="e">
        <f ca="1">MAX(0,(Control!$C$112*(($DK29-Control!$C$97)/Control!$C$97)))</f>
        <v>#N/A</v>
      </c>
      <c r="FR29" s="150" t="e">
        <f ca="1">(1-$NT29)*Control!$C$113</f>
        <v>#DIV/0!</v>
      </c>
      <c r="FS29" s="198" t="e">
        <f t="shared" ca="1" si="35"/>
        <v>#N/A</v>
      </c>
      <c r="FT29" s="161">
        <f t="shared" ca="1" si="152"/>
        <v>24</v>
      </c>
      <c r="FU29" s="162" t="e">
        <f ca="1">IF(Control!$B$34=1,VLOOKUP($CP29,Control!$B$86:$G$91,6),Control!$B$35)</f>
        <v>#N/A</v>
      </c>
      <c r="FV29" s="162" t="e">
        <f t="shared" ca="1" si="36"/>
        <v>#DIV/0!</v>
      </c>
      <c r="FW29" s="162" t="e">
        <f ca="1">IF(Control!$B$31=1,$FU29*$FV29,  $FU29)</f>
        <v>#N/A</v>
      </c>
      <c r="FX29" s="162" t="e">
        <f ca="1">IF(Control!$B$34=1,VLOOKUP($CP29,Control!$B$86:$G$91,3),Control!$B$36)</f>
        <v>#N/A</v>
      </c>
      <c r="FY29" s="162" t="e">
        <f t="shared" ca="1" si="37"/>
        <v>#N/A</v>
      </c>
      <c r="FZ29" s="162" t="e">
        <f ca="1">IF(Control!$B$34=1,VLOOKUP($CP29,Control!$B$86:$G$91,4),Control!$B$37)</f>
        <v>#N/A</v>
      </c>
      <c r="GA29" s="162" t="e">
        <f t="shared" ca="1" si="38"/>
        <v>#N/A</v>
      </c>
      <c r="GB29" s="162" t="e">
        <f ca="1">IF(Control!$B$34=1,VLOOKUP($CP29,Control!$B$86:$G$91,5),Control!$B$38)</f>
        <v>#N/A</v>
      </c>
      <c r="GC29" s="162" t="e">
        <f t="shared" ca="1" si="153"/>
        <v>#N/A</v>
      </c>
      <c r="GD29" s="162">
        <f t="shared" ca="1" si="39"/>
        <v>1</v>
      </c>
      <c r="GE29" s="162">
        <f t="shared" ca="1" si="40"/>
        <v>1</v>
      </c>
      <c r="GF29" s="162">
        <f ca="1">IF(AND(Control!$C$104=1, Control!$C$62="F"),$GE29,1)</f>
        <v>1</v>
      </c>
      <c r="GG29" s="162" t="e">
        <f ca="1">IF(Control!$B$16=40,0,IF(AND(Control!$B$16&gt;40,Control!$B$16&lt;=360),(Control!$B$16-40)*((1-0)/(360-40)),IF(AND(Control!$B$16&gt;360,Control!$B$16&lt;=720),(1+(Control!$B$16-360)*((1.25-1)/(720-360))),IF(AND(Control!$B$16&gt;720,Control!$B$16&lt;=1000),(1.25+(Control!$B$16-720)*((1.35-1.25)/(1000-720))),IF(AND(Control!$B$16&gt;1000,Control!$B$16&lt;=2000),(1.35+(Control!$B$16-1000)*0))))))</f>
        <v>#N/A</v>
      </c>
      <c r="GH29" s="162" t="e">
        <f t="shared" ca="1" si="41"/>
        <v>#N/A</v>
      </c>
      <c r="GI29" s="162">
        <f t="shared" ca="1" si="201"/>
        <v>0</v>
      </c>
      <c r="GJ29" s="162">
        <f t="shared" ca="1" si="42"/>
        <v>0</v>
      </c>
      <c r="GK29" s="162">
        <f t="shared" ca="1" si="220"/>
        <v>1</v>
      </c>
      <c r="GL29" s="162">
        <f t="shared" ca="1" si="43"/>
        <v>1</v>
      </c>
      <c r="GM29" s="162" t="e">
        <f ca="1">MAX(0,MIN(1,1-Control!$C$156*(1.0001-$KH29)^2))</f>
        <v>#N/A</v>
      </c>
      <c r="GN29" s="162" t="e">
        <f ca="1">IF(Control!$B$26=1,$KU29,$KX29)</f>
        <v>#N/A</v>
      </c>
      <c r="GO29" s="162" t="e">
        <f ca="1">IF($CP29&lt;=60,Control!$C$105,IF($CP29&gt;=90,Control!$C$106,Control!$C$105+($CP29-60)*((Control!$C$106-Control!$C$105)/(90-60))))</f>
        <v>#N/A</v>
      </c>
      <c r="GP29" s="162" t="e">
        <f t="shared" ca="1" si="154"/>
        <v>#N/A</v>
      </c>
      <c r="GQ29" s="162" t="e">
        <f t="shared" ca="1" si="155"/>
        <v>#N/A</v>
      </c>
      <c r="GR29" s="163" t="e">
        <f t="shared" ca="1" si="44"/>
        <v>#DIV/0!</v>
      </c>
      <c r="GS29" s="162" t="e">
        <f t="shared" ca="1" si="45"/>
        <v>#DIV/0!</v>
      </c>
      <c r="GT29" s="164" t="e">
        <f t="shared" ca="1" si="156"/>
        <v>#N/A</v>
      </c>
      <c r="GU29" s="162" t="e">
        <f t="shared" ca="1" si="157"/>
        <v>#N/A</v>
      </c>
      <c r="GV29" s="162" t="e">
        <f t="shared" ca="1" si="46"/>
        <v>#N/A</v>
      </c>
      <c r="GW29" s="162" t="e">
        <f t="shared" ca="1" si="221"/>
        <v>#DIV/0!</v>
      </c>
      <c r="GX29" s="162" t="e">
        <f t="shared" ca="1" si="228"/>
        <v>#DIV/0!</v>
      </c>
      <c r="GY29" s="162" t="e">
        <f t="shared" ca="1" si="158"/>
        <v>#DIV/0!</v>
      </c>
      <c r="GZ29" s="165" t="e">
        <f t="shared" ca="1" si="159"/>
        <v>#N/A</v>
      </c>
      <c r="HA29" s="162" t="e">
        <f ca="1">IF(Control!$C$114=1, $DI29*$FS29, 0)</f>
        <v>#N/A</v>
      </c>
      <c r="HB29" s="162" t="e">
        <f ca="1">$FA29/Control!$C$64</f>
        <v>#N/A</v>
      </c>
      <c r="HC29" s="162" t="e">
        <f t="shared" ca="1" si="222"/>
        <v>#DIV/0!</v>
      </c>
      <c r="HD29" s="162">
        <f ca="1">-ASIN(SIN(23.45*Control!$C$139)*COS(2*Control!$C$138*($AH29+10)/365))</f>
        <v>-0.33811860548826023</v>
      </c>
      <c r="HE29" s="165">
        <f t="shared" ca="1" si="160"/>
        <v>0</v>
      </c>
      <c r="HF29" s="166">
        <f ca="1">IF(AND(Control!$C$61="T",$HE29&gt;=Control!$C$103,Control!$C$114=0),$AH29,Control!$C$59)</f>
        <v>1</v>
      </c>
      <c r="HG29" s="166">
        <f ca="1">IF(AND(Control!$C$61="T",$HE29&gt;=Control!$C$103,Control!$C$114=0),$HF29,Control!$C$59)</f>
        <v>1</v>
      </c>
      <c r="HH29" s="165">
        <f ca="1">IF(AND(OR(Control!$C$60&lt;=0, $AH29= Control!$C$59, Control!$C$60 &gt;0, $AH29 = Control!$C$60)), Control!$C$59, IF(Control!$C$60&gt;0, 0))</f>
        <v>1</v>
      </c>
      <c r="HI29" s="165">
        <f ca="1">IF(AND(OR(Control!$C$60&lt;=0, $AH29= Control!$C$59, Control!$C$60 &gt;0, $AH29 = Control!$C$60)), Control!$C$60, IF(Control!$C$60&lt;=0, 0))</f>
        <v>0</v>
      </c>
      <c r="HJ29" s="166">
        <f ca="1">IF(AND(Control!$C$62="F",$CV29&gt;=Control!$C$102),$AH29,0)</f>
        <v>0</v>
      </c>
      <c r="HK29" s="165" t="e">
        <f t="shared" ca="1" si="202"/>
        <v>#N/A</v>
      </c>
      <c r="HL29" s="166">
        <f ca="1">IF(AND(Control!$C$61="T",$HE29&gt;=Control!$C$103,Control!$C$114=0),$HF29,0)</f>
        <v>0</v>
      </c>
      <c r="HM29" s="201" t="e">
        <f t="shared" ca="1" si="47"/>
        <v>#DIV/0!</v>
      </c>
      <c r="HN29" s="215">
        <f t="shared" ca="1" si="161"/>
        <v>24</v>
      </c>
      <c r="HO29" s="216" t="e">
        <f ca="1">IF(AND($CP29&gt;=0, $CP29&lt;=90), Control!$C$152, Control!$C$152)</f>
        <v>#N/A</v>
      </c>
      <c r="HP29" s="216" t="e">
        <f t="shared" ca="1" si="48"/>
        <v>#N/A</v>
      </c>
      <c r="HQ29" s="217" t="e">
        <f ca="1">IF(OR(Control!$B$26=1,Control!$B$26=2),$KV29,$KS29)</f>
        <v>#DIV/0!</v>
      </c>
      <c r="HR29" s="218" t="e">
        <f t="shared" ca="1" si="223"/>
        <v>#DIV/0!</v>
      </c>
      <c r="HS29" s="216" t="e">
        <f ca="1">Control!$C$154*$HP29</f>
        <v>#N/A</v>
      </c>
      <c r="HT29" s="216" t="e">
        <f ca="1">Control!$C$155*$HP29</f>
        <v>#N/A</v>
      </c>
      <c r="HU29" s="217" t="e">
        <f ca="1">Control!$C$161*$FI29</f>
        <v>#N/A</v>
      </c>
      <c r="HV29" s="218" t="e">
        <f t="shared" ca="1" si="162"/>
        <v>#N/A</v>
      </c>
      <c r="HW29" s="218" t="e">
        <f ca="1">Control!$C$160*$FF29+$IP29*$EO29</f>
        <v>#N/A</v>
      </c>
      <c r="HX29" s="218" t="e">
        <f t="shared" ca="1" si="203"/>
        <v>#N/A</v>
      </c>
      <c r="HY29" s="219" t="e">
        <f ca="1">IF(Control!$C$114=1, $EB29*$FS29, 0)</f>
        <v>#N/A</v>
      </c>
      <c r="HZ29" s="91" t="e">
        <f t="shared" ca="1" si="49"/>
        <v>#N/A</v>
      </c>
      <c r="IA29" s="220" t="e">
        <f ca="1">Control!$C$153*$HO29</f>
        <v>#N/A</v>
      </c>
      <c r="IB29" s="218" t="e">
        <f t="shared" ca="1" si="50"/>
        <v>#N/A</v>
      </c>
      <c r="IC29" s="220" t="e">
        <f ca="1">Control!$C$153*$HT29</f>
        <v>#N/A</v>
      </c>
      <c r="ID29" s="218" t="e">
        <f t="shared" ca="1" si="51"/>
        <v>#N/A</v>
      </c>
      <c r="IE29" s="221" t="e">
        <f ca="1">($EB29*Control!$C$159+$EF29*Control!$C$160)/(IF($GZ29&lt;&gt;0,$GZ29,1))</f>
        <v>#N/A</v>
      </c>
      <c r="IF29" s="216" t="e">
        <f t="shared" ca="1" si="52"/>
        <v>#N/A</v>
      </c>
      <c r="IG29" s="91">
        <f ca="1">IF(OR(Control!$B$198=$AH29,Control!$B$199=$AH29, Control!$B$200=$AH29, Control!$B$201=$AH29, Control!$B$202=$AH29, Control!$B$203=$AH29, Control!$B$204=$AH29, Control!$B$205=$AH29, Control!$B$206=$AH29, Control!$B$207=$AH29), 1, 0)</f>
        <v>0</v>
      </c>
      <c r="IH29" s="91">
        <f ca="1">IF($IG29=0,0, VLOOKUP($AH29,Control!$B$198:$C$207,2))</f>
        <v>0</v>
      </c>
      <c r="II29" s="222">
        <f t="shared" ca="1" si="163"/>
        <v>0</v>
      </c>
      <c r="IJ29" s="91">
        <f>Control!$C$121</f>
        <v>0.7</v>
      </c>
      <c r="IK29" s="218">
        <f t="shared" ca="1" si="53"/>
        <v>0</v>
      </c>
      <c r="IL29" s="217" t="e">
        <f t="shared" ca="1" si="204"/>
        <v>#N/A</v>
      </c>
      <c r="IM29" s="223" t="e">
        <f ca="1">IF(AND(Control!$C$114=1,$KH29&lt;1),$EB29*Control!$C$148*(1-$KH29), 0)</f>
        <v>#N/A</v>
      </c>
      <c r="IN29" s="217" t="e">
        <f t="shared" ca="1" si="54"/>
        <v>#DIV/0!</v>
      </c>
      <c r="IO29" s="91" t="e">
        <f ca="1">MAX(0,$IL29-$EF29*Control!$C$160)</f>
        <v>#N/A</v>
      </c>
      <c r="IP29" s="220" t="e">
        <f t="shared" ca="1" si="55"/>
        <v>#N/A</v>
      </c>
      <c r="IQ29" s="217" t="e">
        <f t="shared" ca="1" si="164"/>
        <v>#N/A</v>
      </c>
      <c r="IR29" s="218" t="e">
        <f t="shared" ca="1" si="56"/>
        <v>#N/A</v>
      </c>
      <c r="IS29" s="217" t="e">
        <f ca="1">Control!$C$159*MAX(0,$FD29-$EN29)</f>
        <v>#N/A</v>
      </c>
      <c r="IT29" s="217" t="e">
        <f t="shared" ca="1" si="205"/>
        <v>#N/A</v>
      </c>
      <c r="IU29" s="217" t="e">
        <f t="shared" ca="1" si="165"/>
        <v>#N/A</v>
      </c>
      <c r="IV29" s="217" t="e">
        <f t="shared" ca="1" si="206"/>
        <v>#N/A</v>
      </c>
      <c r="IW29" s="217" t="e">
        <f ca="1">IF(OR($AW29=1,AND($AW29=0, Control!$B$18=1,$EN29&lt;&gt;0)), $IQ29-$IU29, $IQ29)</f>
        <v>#N/A</v>
      </c>
      <c r="IX29" s="218" t="e">
        <f t="shared" ca="1" si="57"/>
        <v>#N/A</v>
      </c>
      <c r="IY29" s="218" t="e">
        <f ca="1">MAX(0,$IQ29-$EB29*Control!$C$159)</f>
        <v>#N/A</v>
      </c>
      <c r="IZ29" s="218" t="e">
        <f t="shared" ca="1" si="58"/>
        <v>#N/A</v>
      </c>
      <c r="JA29" s="216" t="e">
        <f t="shared" ca="1" si="59"/>
        <v>#N/A</v>
      </c>
      <c r="JB29" s="217" t="e">
        <f t="shared" ca="1" si="60"/>
        <v>#N/A</v>
      </c>
      <c r="JC29" s="222" t="e">
        <f ca="1">MAX(Control!$C$157*$EK29-$JT29, 0)/Control!$C$162</f>
        <v>#N/A</v>
      </c>
      <c r="JD29" s="218" t="e">
        <f t="shared" ca="1" si="61"/>
        <v>#N/A</v>
      </c>
      <c r="JE29" s="218" t="e">
        <f t="shared" ca="1" si="62"/>
        <v>#N/A</v>
      </c>
      <c r="JF29" s="218" t="e">
        <f t="shared" ca="1" si="207"/>
        <v>#N/A</v>
      </c>
      <c r="JG29" s="218" t="e">
        <f t="shared" ca="1" si="63"/>
        <v>#N/A</v>
      </c>
      <c r="JH29" s="217" t="e">
        <f t="shared" ca="1" si="166"/>
        <v>#N/A</v>
      </c>
      <c r="JI29" s="217" t="e">
        <f t="shared" ca="1" si="167"/>
        <v>#N/A</v>
      </c>
      <c r="JJ29" s="217" t="e">
        <f t="shared" ca="1" si="224"/>
        <v>#N/A</v>
      </c>
      <c r="JK29" s="217" t="e">
        <f ca="1">IF(Control!$C$114=1,IF(Control!$B$24=0,MAX(0,$JI29)*$GN29/Control!$C$64,(MAX(0,MIN($JI29,$JJ29*$GN29/Control!$C$64),0))))</f>
        <v>#N/A</v>
      </c>
      <c r="JL29" s="217" t="e">
        <f ca="1">$IK29/Control!$C$64-$JK29+$HQ29</f>
        <v>#N/A</v>
      </c>
      <c r="JM29" s="217" t="e">
        <f ca="1">IF(Control!$C$114=1,($JB29/(IF($JI29&lt;&gt;0,$JI29,1)))*$JK29,0)</f>
        <v>#N/A</v>
      </c>
      <c r="JN29" s="217" t="e">
        <f ca="1">IF(Control!$C$114=1,($JG29/(IF($JI29&lt;&gt;0,$JI29,1)))*$JK29, 0)</f>
        <v>#N/A</v>
      </c>
      <c r="JO29" s="218" t="e">
        <f t="shared" ca="1" si="64"/>
        <v>#N/A</v>
      </c>
      <c r="JP29" s="218" t="e">
        <f ca="1">MIN(($IY29+$IO29)*Control!$C$151, $JF29-$EH29*Control!$C$161)</f>
        <v>#N/A</v>
      </c>
      <c r="JQ29" s="218" t="e">
        <f t="shared" ca="1" si="65"/>
        <v>#N/A</v>
      </c>
      <c r="JR29" s="217" t="e">
        <f ca="1">IF($CP29-Control!$C$150&lt;0, 0, $JQ29/Control!$C$162)</f>
        <v>#N/A</v>
      </c>
      <c r="JS29" s="218" t="e">
        <f t="shared" ca="1" si="66"/>
        <v>#N/A</v>
      </c>
      <c r="JT29" s="218" t="e">
        <f t="shared" ca="1" si="168"/>
        <v>#N/A</v>
      </c>
      <c r="JU29" s="218" t="e">
        <f t="shared" ca="1" si="67"/>
        <v>#N/A</v>
      </c>
      <c r="JV29" s="218" t="e">
        <f t="shared" ca="1" si="68"/>
        <v>#N/A</v>
      </c>
      <c r="JW29" s="216" t="e">
        <f t="shared" ca="1" si="69"/>
        <v>#N/A</v>
      </c>
      <c r="JX29" s="91" t="e">
        <f t="shared" ca="1" si="70"/>
        <v>#N/A</v>
      </c>
      <c r="JY29" s="218" t="e">
        <f t="shared" ca="1" si="71"/>
        <v>#N/A</v>
      </c>
      <c r="JZ29" s="217" t="e">
        <f ca="1">IF(Control!$C$114=1,($IZ29/(IF($JI29&lt;&gt;0,$JI29,1)))*$JK29, 0)</f>
        <v>#N/A</v>
      </c>
      <c r="KA29" s="218" t="e">
        <f t="shared" ca="1" si="225"/>
        <v>#N/A</v>
      </c>
      <c r="KB29" s="218" t="e">
        <f t="shared" ca="1" si="169"/>
        <v>#N/A</v>
      </c>
      <c r="KC29" s="218" t="e">
        <f t="shared" ca="1" si="72"/>
        <v>#N/A</v>
      </c>
      <c r="KD29" s="218" t="e">
        <f t="shared" ca="1" si="73"/>
        <v>#N/A</v>
      </c>
      <c r="KE29" s="218" t="e">
        <f t="shared" ca="1" si="74"/>
        <v>#N/A</v>
      </c>
      <c r="KF29" s="218" t="e">
        <f t="shared" ca="1" si="75"/>
        <v>#N/A</v>
      </c>
      <c r="KG29" s="216" t="e">
        <f t="shared" ca="1" si="76"/>
        <v>#N/A</v>
      </c>
      <c r="KH29" s="221" t="e">
        <f ca="1">IF(Control!$B$24=0,1,MAX(0.001,MIN(1,IF(($IF29-$IE29)&lt;&gt;0,($KG29-$IE29)/($IF29-$IE29),1))))</f>
        <v>#N/A</v>
      </c>
      <c r="KI29" s="222" t="e">
        <f ca="1">IF(Control!$C$114=1, $KI28+ $KH28, 0)</f>
        <v>#N/A</v>
      </c>
      <c r="KJ29" s="217" t="e">
        <f t="shared" ca="1" si="77"/>
        <v>#N/A</v>
      </c>
      <c r="KK29" s="218" t="e">
        <f t="shared" ca="1" si="78"/>
        <v>#N/A</v>
      </c>
      <c r="KL29" s="274" t="e">
        <f ca="1">IF(Control!$B$26=3,4000000000*EXP(-8400/($G29+273)),IF(Control!$B$26=4,4000000000*EXP(-8400/($G29+273))*($KT29),0))</f>
        <v>#DIV/0!</v>
      </c>
      <c r="KM29" s="274" t="e">
        <f ca="1">IF(Control!$B$26=3,5600000000000*EXP(-9800/($G29+273)),IF(Control!$B$26=4,5600000000000*EXP(-9800/($G29+273))*$KT29,0))</f>
        <v>#DIV/0!</v>
      </c>
      <c r="KN29" s="454" t="e">
        <f t="shared" ca="1" si="170"/>
        <v>#DIV/0!</v>
      </c>
      <c r="KO29" s="274" t="e">
        <f t="shared" ca="1" si="171"/>
        <v>#DIV/0!</v>
      </c>
      <c r="KP29" s="454" t="e">
        <f t="shared" ca="1" si="79"/>
        <v>#DIV/0!</v>
      </c>
      <c r="KQ29" s="454" t="e">
        <f t="shared" ca="1" si="80"/>
        <v>#DIV/0!</v>
      </c>
      <c r="KR29" s="454" t="e">
        <f t="shared" ca="1" si="81"/>
        <v>#DIV/0!</v>
      </c>
      <c r="KS29" s="454" t="e">
        <f t="shared" ca="1" si="82"/>
        <v>#DIV/0!</v>
      </c>
      <c r="KT29" s="455" t="e">
        <f t="shared" ca="1" si="83"/>
        <v>#DIV/0!</v>
      </c>
      <c r="KU29" s="456" t="e">
        <f ca="1">IF($CP29-Control!$C$149&lt;0, IF($NT29-0.01&lt;0,0,1),0)</f>
        <v>#N/A</v>
      </c>
      <c r="KV29" s="456" t="e">
        <f ca="1">IF(Control!$C$114=1,MAX(0,MIN(Control!$C$125*$KW29*$GN29,$KW29)))</f>
        <v>#DIV/0!</v>
      </c>
      <c r="KW29" s="456" t="e">
        <f t="shared" ca="1" si="208"/>
        <v>#DIV/0!</v>
      </c>
      <c r="KX29" s="457" t="e">
        <f ca="1">IF($CP29-Control!$C$149&lt;0, IF($MR29-$OM29&lt;0,0,1),0)</f>
        <v>#N/A</v>
      </c>
      <c r="KY29" s="167">
        <f t="shared" ca="1" si="172"/>
        <v>24</v>
      </c>
      <c r="KZ29" s="168">
        <f ca="1">1370*(1+0.033*COS(2*Control!$C$138*$AH29/365))</f>
        <v>1411.4062069365418</v>
      </c>
      <c r="LA29" s="169">
        <f t="shared" ca="1" si="173"/>
        <v>1.0302235215128204</v>
      </c>
      <c r="LB29" s="169">
        <f t="shared" ca="1" si="174"/>
        <v>-0.33895617157647767</v>
      </c>
      <c r="LC29" s="169">
        <f ca="1">ACOS(-TAN((2*Control!$B$8/360))*TAN(Calculations!$LB29))</f>
        <v>1.4658208420308758</v>
      </c>
      <c r="LD29" s="169">
        <f ca="1">((24*60)/PI())*0.082*$LA29*(($LC29*SIN(Control!$B$8*2*PI()/360))*SIN($LB29)+COS(Control!$B$8*2*PI()/360)*COS($LB29)*SIN($LC29))</f>
        <v>7.4875668927982044</v>
      </c>
      <c r="LE29" s="170">
        <f t="shared" ca="1" si="84"/>
        <v>8.7766347341884288</v>
      </c>
      <c r="LF29" s="170">
        <f ca="1">SIN(Control!$C$139*Control!$B$8)*SIN($HD29)</f>
        <v>-0.26139369443211313</v>
      </c>
      <c r="LG29" s="170">
        <f ca="1">COS(Control!$C$139*Control!$B$8)*COS($HD29)</f>
        <v>0.58080140188793417</v>
      </c>
      <c r="LH29" s="170">
        <f ca="1">12*(1+2*ASIN(MAX(-1,MIN(1,$LF29/$LG29))/Control!$C$138))</f>
        <v>8.5499563592006709</v>
      </c>
      <c r="LI29" s="170">
        <f ca="1">12*(1+2*ASIN(MAX(-1,MIN(1,(-SIN(-4*Control!$C$139)+$LF29)/$LG29))/Control!$C$138))</f>
        <v>9.4746948309022141</v>
      </c>
      <c r="LJ29" s="168">
        <f ca="1">3600*($LH29*$LF29+24*$LG29*SQRT(1-$LK29*$LK29)/Control!$C$138)</f>
        <v>6218.3620073756938</v>
      </c>
      <c r="LK29" s="170">
        <f t="shared" ca="1" si="85"/>
        <v>-0.45005692751848614</v>
      </c>
      <c r="LL29" s="170">
        <f t="shared" ca="1" si="86"/>
        <v>0</v>
      </c>
      <c r="LM29" s="171">
        <f ca="1">Control!$C$145*$AB29</f>
        <v>6.6660906138995932E-2</v>
      </c>
      <c r="LN29" s="170">
        <f t="shared" ca="1" si="175"/>
        <v>0.54</v>
      </c>
      <c r="LO29" s="170">
        <f t="shared" ca="1" si="87"/>
        <v>0</v>
      </c>
      <c r="LP29" s="170">
        <f ca="1">Control!$C$140*((($D29+273.16)^4+($E29+273.16)^4)/2)*(0.34-0.14*SQRT($Y29))*(1.35*$AQ29/(0.75*$LD29)-0.35)</f>
        <v>-3.2464704755046001</v>
      </c>
      <c r="LQ29" s="170">
        <f ca="1">Control!$C$140*($G29+273)^4*(0.56-0.079*SQRT($Y29*10))*(0.1+0.9*$LO29)</f>
        <v>1.5241745131704001</v>
      </c>
      <c r="LR29" s="170">
        <f ca="1">$AQ29*(1-Control!$C$142)-$LQ29</f>
        <v>-1.5241745131704001</v>
      </c>
      <c r="LS29" s="170">
        <f ca="1">$AQ29*(1-Control!$C$143)-$LQ29</f>
        <v>-1.5241745131704001</v>
      </c>
      <c r="LT29" s="170">
        <f ca="1">$AQ29*(1-Control!$C$144)-$LQ29</f>
        <v>-1.5241745131704001</v>
      </c>
      <c r="LU29" s="169">
        <f ca="1">(1-Control!$C$144)*AQ29-LP29</f>
        <v>3.2464704755046001</v>
      </c>
      <c r="LV29" s="172">
        <f t="shared" ca="1" si="88"/>
        <v>0.79430000000000012</v>
      </c>
      <c r="LW29" s="170">
        <f t="shared" ca="1" si="89"/>
        <v>1.5886000000000002</v>
      </c>
      <c r="LX29" s="170">
        <f ca="1">($AC29*($LR29/Control!$C$141)+$LM29*$LV29)/($AC29+$LM29)</f>
        <v>0.23530094218323697</v>
      </c>
      <c r="LY29" s="170">
        <f ca="1">($AC29*($LS29/Control!$C$141)+$LM29*$LV29)/($AC29+$LM29)</f>
        <v>0.23530094218323697</v>
      </c>
      <c r="LZ29" s="170">
        <f t="shared" ca="1" si="90"/>
        <v>0.23530094218323697</v>
      </c>
      <c r="MA29" s="170">
        <f t="shared" ca="1" si="91"/>
        <v>0.23530094218323697</v>
      </c>
      <c r="MB29" s="170" t="e">
        <f t="shared" ca="1" si="92"/>
        <v>#N/A</v>
      </c>
      <c r="MC29" s="170">
        <f t="shared" ca="1" si="176"/>
        <v>0.6018</v>
      </c>
      <c r="MD29" s="170">
        <f t="shared" ca="1" si="93"/>
        <v>0.52989392535414004</v>
      </c>
      <c r="ME29" s="170">
        <f ca="1">($AC29*($LT29/Control!$C$141)+$LM29*$LW29)/($AC29+$LM29)</f>
        <v>0.71612369323045078</v>
      </c>
      <c r="MF29" s="170" t="e">
        <f ca="1">IF(Control!$B$16&gt;=1000,0.92,IF(AND(720&lt;=Control!$B$16,1000&gt;Control!$B$16),(0.95+(Control!$B$16-720)*((0.92-0.95)/(1000-720))),IF(AND(360&lt;=Control!$B$16,720&gt;Control!$B$16),(1+(Control!$B$16-360)*((0.95-1)/(720-360))),IF(AND(40&lt;=Control!$B$16,360&gt;Control!$B$16),(1.05+(Control!$B$16-40)*((1.05-1)/(360-40)))))))</f>
        <v>#N/A</v>
      </c>
      <c r="MG29" s="170">
        <f t="shared" ca="1" si="94"/>
        <v>0.71612369323045078</v>
      </c>
      <c r="MH29" s="170" t="e">
        <f t="shared" ca="1" si="230"/>
        <v>#N/A</v>
      </c>
      <c r="MI29" s="170" t="e">
        <f t="shared" ca="1" si="230"/>
        <v>#N/A</v>
      </c>
      <c r="MJ29" s="170" t="e">
        <f ca="1">MAX(0.0001, Control!$C$132*$MI29*$DL29)</f>
        <v>#N/A</v>
      </c>
      <c r="MK29" s="170">
        <f ca="1">1/(0.76+1.5*($MG29/10))-(5-Control!$C$110)*0.1</f>
        <v>1.002845988140797</v>
      </c>
      <c r="ML29" s="173">
        <f ca="1">IF(Control!$C$110&lt;3,$MK29+($MG29-0.6)/(Control!$C$110*(Control!$C$110+3)), MAX(0.1, MIN(0.95,$MK29)))</f>
        <v>0.95</v>
      </c>
      <c r="MM29" s="173">
        <f ca="1">IF(Control!$C$110&lt;3,$MK29+(($MI29/10)-0.6)/(Control!$C$110*(Control!$C$110+3)), MAX(0.1, MIN(0.95,$MK29)))</f>
        <v>0.95</v>
      </c>
      <c r="MN29" s="173">
        <f ca="1">(1-$MM29)*(Control!$C$128-Control!$C$127)+Control!$C$127</f>
        <v>0.16</v>
      </c>
      <c r="MO29" s="170" t="e">
        <f ca="1">MAX(0,MIN(1,($MS29-Control!$C$127)/($MN29-Control!$C$127)))</f>
        <v>#DIV/0!</v>
      </c>
      <c r="MP29" s="173" t="e">
        <f ca="1">1/(0.76+1.5*$MI29)-(5-Control!$C$110)*0.1</f>
        <v>#N/A</v>
      </c>
      <c r="MQ29" s="172" t="e">
        <f t="shared" ca="1" si="209"/>
        <v>#DIV/0!</v>
      </c>
      <c r="MR29" s="168" t="e">
        <f t="shared" ca="1" si="226"/>
        <v>#DIV/0!</v>
      </c>
      <c r="MS29" s="173" t="e">
        <f ca="1">MAX(Control!$C$127, MIN(Control!$C$135, $MR29/MAX(0.0001,$CY29)))</f>
        <v>#DIV/0!</v>
      </c>
      <c r="MT29" s="168" t="e">
        <f ca="1">(Control!$C$128-$MS29)*Control!$C$74</f>
        <v>#DIV/0!</v>
      </c>
      <c r="MU29" s="168" t="e">
        <f ca="1">(Control!$C$135-$MS29)*Control!$C$74</f>
        <v>#DIV/0!</v>
      </c>
      <c r="MV29" s="168" t="e">
        <f t="shared" ca="1" si="210"/>
        <v>#DIV/0!</v>
      </c>
      <c r="MW29" s="168" t="e">
        <f t="shared" ca="1" si="177"/>
        <v>#DIV/0!</v>
      </c>
      <c r="MX29" s="171" t="e">
        <f ca="1">MAX(Control!$C$127, MIN(Control!$C$135, $MW29/MAX(0.0001,Control!$C$119-$CY29)))</f>
        <v>#DIV/0!</v>
      </c>
      <c r="MY29" s="54" t="e">
        <f ca="1">IF(Control!$C$114=1, $CX29*$MX29, 0)</f>
        <v>#DIV/0!</v>
      </c>
      <c r="MZ29" s="54" t="e">
        <f t="shared" ca="1" si="178"/>
        <v>#N/A</v>
      </c>
      <c r="NA29" s="168" t="e">
        <f ca="1">(Control!$C$128-$MX29)*(Control!$C$119-Control!$C$74)</f>
        <v>#DIV/0!</v>
      </c>
      <c r="NB29" s="168" t="e">
        <f ca="1">(Control!$C$135-$MX29)*(Control!$C$119-Control!$C$74)</f>
        <v>#DIV/0!</v>
      </c>
      <c r="NC29" s="174" t="e">
        <f t="shared" ca="1" si="179"/>
        <v>#DIV/0!</v>
      </c>
      <c r="ND29" s="54">
        <f ca="1">IF(Control!$C$58=2, IF(OR(Control!$B$218=$AH29,Control!$B$219=$AH29, Control!$B$220=$AH29, Control!$B$221=$AH29, Control!$B$222=$AH29, Control!$B$223=$AH29, Control!$B$224=$AH29, Control!$B$225=$AH29, Control!$B$226=$AH29, Control!$B$227=$AH29, Control!$B$228=$AH29), 1, 0), 0)</f>
        <v>0</v>
      </c>
      <c r="NE29" s="54">
        <f ca="1">IF($ND29=0,0, VLOOKUP($AH29,Control!$B$218:$C$228,2))</f>
        <v>0</v>
      </c>
      <c r="NF29" s="168" t="e">
        <f ca="1">$CY29*(Control!$C$128-Control!$C$127)</f>
        <v>#N/A</v>
      </c>
      <c r="NG29" s="54" t="e">
        <f ca="1">IF(Control!$C$58=2, $NI28-$NJ28, 0)</f>
        <v>#DIV/0!</v>
      </c>
      <c r="NH29" s="54" t="e">
        <f ca="1">IF(AND(Control!$C$58=1, $MS28&lt;= ($MN28+0.02), $I28&lt;10), 0, IF(Control!$C$58=2, $NG28, 0))</f>
        <v>#DIV/0!</v>
      </c>
      <c r="NI29" s="54" t="e">
        <f ca="1">IF(Control!$C$58=2, $NE29+$NH29,0)</f>
        <v>#DIV/0!</v>
      </c>
      <c r="NJ29" s="54" t="e">
        <f ca="1">IF(AND(Control!$C$58=1, $MS29&lt;= ($MN29+0.02), $I29&lt;10), MAX(0, MIN(10, 0.7*($NF29-$MV29))), IF(Control!$C$58=2, MIN(10,$NI29),0))</f>
        <v>#DIV/0!</v>
      </c>
      <c r="NK29" s="54" t="e">
        <f t="shared" ca="1" si="96"/>
        <v>#DIV/0!</v>
      </c>
      <c r="NL29" s="173" t="e">
        <f ca="1">(1-Control!$C$73)*$I29+$NJ29</f>
        <v>#DIV/0!</v>
      </c>
      <c r="NM29" s="172" t="e">
        <f ca="1">IF($NL29&lt;0.5, $MB29* MAX(0, MIN(1, (SQRT($NC29)-SQRT($NC29-1))*Control!$C$71)),0)</f>
        <v>#DIV/0!</v>
      </c>
      <c r="NN29" s="170" t="e">
        <f ca="1">IF($NL29&gt;=5, $MB29, MAX(0,MIN($MB29, $NM29+$NL29,($MS29-Control!$C$129))))</f>
        <v>#DIV/0!</v>
      </c>
      <c r="NO29" s="54">
        <f>IF(Control!$C$133&lt;&gt;1, Control!$C$135-Control!$C$131, 0)</f>
        <v>0.38</v>
      </c>
      <c r="NP29" s="54" t="e">
        <f t="shared" ca="1" si="97"/>
        <v>#DIV/0!</v>
      </c>
      <c r="NQ29" s="173" t="e">
        <f ca="1">MAX(0,MIN(1,(Control!$C$135-$MS29)/(Control!$C$135-$NO29)))</f>
        <v>#DIV/0!</v>
      </c>
      <c r="NR29" s="170" t="e">
        <f ca="1">IF(Control!$C$133&lt;&gt;1, $NQ29+((1-$NP29/4)*(1-$NQ29)),1)</f>
        <v>#DIV/0!</v>
      </c>
      <c r="NS29" s="170" t="e">
        <f ca="1">IF(Control!$B$31=0,$MJ29,MAX(0,MIN($MV29,$MO29*$NR29*$MJ29)))</f>
        <v>#DIV/0!</v>
      </c>
      <c r="NT29" s="170" t="e">
        <f t="shared" ca="1" si="227"/>
        <v>#DIV/0!</v>
      </c>
      <c r="NU29" s="170" t="e">
        <f t="shared" ca="1" si="180"/>
        <v>#N/A</v>
      </c>
      <c r="NV29" s="170" t="e">
        <f t="shared" ca="1" si="98"/>
        <v>#N/A</v>
      </c>
      <c r="NW29" s="175" t="e">
        <f t="shared" ca="1" si="99"/>
        <v>#DIV/0!</v>
      </c>
      <c r="NX29" s="170" t="e">
        <f ca="1">MIN(Control!$C$72+$MU29, $NW29)</f>
        <v>#DIV/0!</v>
      </c>
      <c r="NY29" s="170" t="e">
        <f ca="1">IF($MT29&lt;=$NX29,MIN(Control!$C$72+$NB29,$NX29-$MT29),0)</f>
        <v>#DIV/0!</v>
      </c>
      <c r="NZ29" s="54" t="e">
        <f ca="1">IF(Control!$C$114=1,  $CX29*($MX29-Control!$C$127), 0)</f>
        <v>#DIV/0!</v>
      </c>
      <c r="OA29" s="170" t="e">
        <f t="shared" ca="1" si="181"/>
        <v>#DIV/0!</v>
      </c>
      <c r="OB29" s="170" t="e">
        <f ca="1">IF($NA29 &lt;=$NY29, MIN(Control!$C$72, $NY29-$NA29), 0)</f>
        <v>#DIV/0!</v>
      </c>
      <c r="OC29" s="168" t="e">
        <f t="shared" ca="1" si="100"/>
        <v>#DIV/0!</v>
      </c>
      <c r="OD29" s="168" t="e">
        <f t="shared" ca="1" si="182"/>
        <v>#DIV/0!</v>
      </c>
      <c r="OE29" s="170">
        <f ca="1">Control!$C$73*$I29</f>
        <v>0</v>
      </c>
      <c r="OF29" s="176" t="e">
        <f t="shared" ca="1" si="101"/>
        <v>#DIV/0!</v>
      </c>
      <c r="OG29" s="168" t="e">
        <f t="shared" ca="1" si="102"/>
        <v>#DIV/0!</v>
      </c>
      <c r="OH29" s="168" t="e">
        <f t="shared" ca="1" si="103"/>
        <v>#DIV/0!</v>
      </c>
      <c r="OI29" s="168" t="e">
        <f t="shared" ca="1" si="104"/>
        <v>#DIV/0!</v>
      </c>
      <c r="OJ29" s="168" t="e">
        <f t="shared" ca="1" si="105"/>
        <v>#DIV/0!</v>
      </c>
      <c r="OK29" s="204" t="e">
        <f t="shared" ca="1" si="183"/>
        <v>#DIV/0!</v>
      </c>
      <c r="OL29" s="177">
        <f>Control!$C$127</f>
        <v>0.15</v>
      </c>
      <c r="OM29" s="182" t="e">
        <f t="shared" ca="1" si="106"/>
        <v>#N/A</v>
      </c>
      <c r="ON29" s="177">
        <f>Control!$C$128</f>
        <v>0.35</v>
      </c>
      <c r="OO29" s="182" t="e">
        <f t="shared" ca="1" si="107"/>
        <v>#N/A</v>
      </c>
      <c r="OP29" s="138">
        <f t="shared" ca="1" si="184"/>
        <v>0</v>
      </c>
      <c r="OQ29" s="138" t="e">
        <f t="shared" ca="1" si="211"/>
        <v>#DIV/0!</v>
      </c>
      <c r="OR29" s="138" t="e">
        <f t="shared" ca="1" si="185"/>
        <v>#DIV/0!</v>
      </c>
      <c r="OS29" s="137" t="e">
        <f t="shared" ca="1" si="212"/>
        <v>#DIV/0!</v>
      </c>
      <c r="OT29" s="139" t="e">
        <f t="shared" ca="1" si="213"/>
        <v>#DIV/0!</v>
      </c>
      <c r="OU29" s="138" t="e">
        <f t="shared" ca="1" si="214"/>
        <v>#N/A</v>
      </c>
      <c r="OV29" s="138" t="e">
        <f t="shared" ca="1" si="215"/>
        <v>#DIV/0!</v>
      </c>
      <c r="OW29" s="138" t="e">
        <f t="shared" ca="1" si="186"/>
        <v>#DIV/0!</v>
      </c>
      <c r="OX29" s="138" t="e">
        <f t="shared" ca="1" si="187"/>
        <v>#DIV/0!</v>
      </c>
      <c r="OY29" s="138" t="e">
        <f t="shared" ca="1" si="188"/>
        <v>#DIV/0!</v>
      </c>
      <c r="OZ29" s="138" t="e">
        <f t="shared" ca="1" si="108"/>
        <v>#DIV/0!</v>
      </c>
      <c r="PA29" s="138" t="e">
        <f t="shared" ca="1" si="109"/>
        <v>#DIV/0!</v>
      </c>
      <c r="PB29" s="55">
        <f>IF(Control!$C$61="T", IF(Control!$C$65="F", IF($AH$6-Control!$C$60&lt;0,0,1), IF(365+$AH$6-Control!$C$60&lt;0,0,1)),0)</f>
        <v>0</v>
      </c>
      <c r="PC29" s="55">
        <f ca="1">IF(Control!$C$65="F", IF($AH$6-$HF29&lt;0,0,1), IF(365+$AH$6-$HF29&lt;0,0,1))</f>
        <v>1</v>
      </c>
      <c r="PD29" s="444">
        <f>Control!$C$118</f>
        <v>1500</v>
      </c>
      <c r="PE29" s="180" t="e">
        <f t="shared" ca="1" si="110"/>
        <v>#N/A</v>
      </c>
      <c r="PF29" s="445">
        <f t="shared" ca="1" si="189"/>
        <v>0.71612369323045078</v>
      </c>
      <c r="PT29" s="186"/>
      <c r="PU29" s="186"/>
      <c r="PV29" s="94"/>
      <c r="PW29" s="94"/>
      <c r="PX29" s="94"/>
      <c r="PY29" s="94"/>
      <c r="PZ29" s="94"/>
      <c r="QA29" s="94"/>
      <c r="QB29" s="94"/>
      <c r="QC29" s="94"/>
      <c r="QD29" s="94"/>
      <c r="QE29" s="94"/>
      <c r="QF29" s="94"/>
      <c r="QG29" s="94"/>
      <c r="QH29" s="94"/>
      <c r="QI29" s="94"/>
      <c r="QJ29" s="94"/>
      <c r="QK29" s="94"/>
      <c r="QL29" s="94"/>
      <c r="QM29" s="94"/>
      <c r="QN29" s="94"/>
      <c r="QO29" s="94"/>
      <c r="QP29" s="94"/>
    </row>
    <row r="30" spans="1:458" s="2" customFormat="1" x14ac:dyDescent="0.2">
      <c r="A30" s="386">
        <v>25</v>
      </c>
      <c r="B30" s="387">
        <v>1</v>
      </c>
      <c r="C30" s="387">
        <f ca="1">Weather_data!$B29</f>
        <v>0</v>
      </c>
      <c r="D30" s="388">
        <f ca="1">Weather_data!$F29</f>
        <v>0</v>
      </c>
      <c r="E30" s="388">
        <f ca="1">Weather_data!$E29</f>
        <v>0</v>
      </c>
      <c r="F30" s="388">
        <f t="shared" ca="1" si="111"/>
        <v>0</v>
      </c>
      <c r="G30" s="388">
        <f ca="1">AVERAGE($D30:$E30)+Control!$B$9</f>
        <v>0</v>
      </c>
      <c r="H30" s="388">
        <f ca="1">Weather_data!$G29</f>
        <v>0</v>
      </c>
      <c r="I30" s="388">
        <f ca="1">Weather_data!$I29</f>
        <v>0</v>
      </c>
      <c r="J30" s="388">
        <f ca="1">Weather_data!$H29</f>
        <v>0</v>
      </c>
      <c r="K30" s="389">
        <f ca="1">Weather_data!$D29</f>
        <v>0</v>
      </c>
      <c r="L30" s="388" t="e">
        <f t="shared" ca="1" si="112"/>
        <v>#N/A</v>
      </c>
      <c r="M30" s="388" t="e">
        <f t="shared" ca="1" si="0"/>
        <v>#N/A</v>
      </c>
      <c r="N30" s="388">
        <f t="shared" ca="1" si="1"/>
        <v>-3.988322153843625E-2</v>
      </c>
      <c r="O30" s="388">
        <f t="shared" ca="1" si="113"/>
        <v>0.39883221538436248</v>
      </c>
      <c r="P30" s="390">
        <v>3</v>
      </c>
      <c r="Q30" s="388">
        <f ca="1">MAX($G30-Control!$C$107,0)</f>
        <v>0</v>
      </c>
      <c r="R30" s="388">
        <f t="shared" ca="1" si="114"/>
        <v>0</v>
      </c>
      <c r="S30" s="388">
        <f t="shared" ca="1" si="2"/>
        <v>0</v>
      </c>
      <c r="T30" s="388">
        <f t="shared" ca="1" si="3"/>
        <v>0</v>
      </c>
      <c r="U30" s="59">
        <f t="shared" ca="1" si="4"/>
        <v>0</v>
      </c>
      <c r="V30" s="391">
        <f ca="1">MAX(0,MIN(Control!$C$100-Control!$C$99,$G30-Control!$C$99)*Control!$C$63)</f>
        <v>0</v>
      </c>
      <c r="W30" s="388">
        <f t="shared" ca="1" si="190"/>
        <v>0</v>
      </c>
      <c r="X30" s="388">
        <f t="shared" ca="1" si="115"/>
        <v>0.6110000000000001</v>
      </c>
      <c r="Y30" s="388">
        <f t="shared" ca="1" si="116"/>
        <v>0</v>
      </c>
      <c r="Z30" s="388">
        <f t="shared" ca="1" si="117"/>
        <v>0.61058800000000002</v>
      </c>
      <c r="AA30" s="388">
        <f t="shared" ca="1" si="5"/>
        <v>0.6018</v>
      </c>
      <c r="AB30" s="388">
        <f ca="1">101.3*EXP(-0.034*Control!$C$66/($G30+273))</f>
        <v>100.69623283836242</v>
      </c>
      <c r="AC30" s="392">
        <f t="shared" ca="1" si="6"/>
        <v>4.3460251046025113E-2</v>
      </c>
      <c r="AD30" s="392">
        <f t="shared" ca="1" si="7"/>
        <v>4.4450382862832649E-2</v>
      </c>
      <c r="AE30" s="388">
        <f t="shared" ca="1" si="8"/>
        <v>0</v>
      </c>
      <c r="AF30" s="388">
        <f ca="1">MAX(0,$G30-Control!$C$92)</f>
        <v>0</v>
      </c>
      <c r="AG30" s="393">
        <f t="shared" ca="1" si="118"/>
        <v>25</v>
      </c>
      <c r="AH30" s="389">
        <f t="shared" ca="1" si="9"/>
        <v>25</v>
      </c>
      <c r="AI30" s="388">
        <f t="shared" ca="1" si="119"/>
        <v>-0.33405805135071548</v>
      </c>
      <c r="AJ30" s="388">
        <f ca="1">IF(Control!$C$60&lt;=0,$HH30,$HI30)</f>
        <v>1</v>
      </c>
      <c r="AK30" s="388">
        <f t="shared" ca="1" si="10"/>
        <v>-0.94678134765719801</v>
      </c>
      <c r="AL30" s="388">
        <f t="shared" ca="1" si="11"/>
        <v>1.8935495532668154E-18</v>
      </c>
      <c r="AM30" s="388">
        <f t="shared" ca="1" si="12"/>
        <v>-0.94678134765719801</v>
      </c>
      <c r="AN30" s="388">
        <f t="shared" ca="1" si="13"/>
        <v>-0.3287183185740879</v>
      </c>
      <c r="AO30" s="388">
        <f ca="1">-0.10453/COS(Control!$B$8*PI()/180)*COS(AN30)</f>
        <v>-0.16069405394201258</v>
      </c>
      <c r="AP30" s="388">
        <f ca="1">ACOS(AO30-TAN(Control!$B$8*PI()/180)*TAN(AN30))</f>
        <v>1.2912853430831084</v>
      </c>
      <c r="AQ30" s="388">
        <f t="shared" ca="1" si="120"/>
        <v>0</v>
      </c>
      <c r="AR30" s="394">
        <f t="shared" ca="1" si="14"/>
        <v>0</v>
      </c>
      <c r="AS30" s="436">
        <f ca="1">IF(Control!$B$18=2,(IF(OR($AH30=Control!$B$175,$AH30=Control!$B$176,$AH30=Control!$B$177,$AH30=Control!$B$178,$AH30=Control!$B$179,$AH30=Control!$B$180,$AH30=Control!$B$181,$AH30=Control!$B$182,$AH30=Control!$B$183,$AH30=Control!$B$184,$AH30=Control!$B$185),1,0)),0)</f>
        <v>0</v>
      </c>
      <c r="AT30" s="436">
        <f>IF(Control!$B$20=8,IF(AND($AH30&gt;=Control!$B$172,$AH30&lt;=Control!$B$173),1,0),0)</f>
        <v>0</v>
      </c>
      <c r="AU30" s="436">
        <f>IF(Control!$B$20=8,IF($AV29=1,1*$AT30,IF($AT30=1,$AU29+1,$AU29)),0)</f>
        <v>0</v>
      </c>
      <c r="AV30" s="436">
        <f>IF(Control!$B$20=8,IF($AU30&gt;=Control!$B$174,1,0),0)</f>
        <v>0</v>
      </c>
      <c r="AW30" s="436">
        <f ca="1">IF(AND(Control!$B$18=2,Control!$B$171=1), $AV30, $AS30)</f>
        <v>0</v>
      </c>
      <c r="AX30" s="436" t="e">
        <f ca="1">IF(AND(Control!$B$18=1,$EU30&gt;=Control!$B$19),-$AY30,IF(AND(Control!$B$18=2,$AW30=1,$EU30&gt;$DS30),-$AY30, IF(Control!$C$108=0,0, IF(Control!$C$108&lt;&gt;0,1))))</f>
        <v>#N/A</v>
      </c>
      <c r="AY30" s="436" t="e">
        <f t="shared" ca="1" si="121"/>
        <v>#N/A</v>
      </c>
      <c r="AZ30" s="436" t="e">
        <f ca="1">IF(AND(Control!$B$18=1,$EB30&gt;Control!$B$19),$AZ29+1, IF(AND(Control!$B$18=2, $AW30=1, $EB30&gt;$DS30), $AZ29+1,$AZ29))</f>
        <v>#N/A</v>
      </c>
      <c r="BA30" s="587">
        <f>IF(Control!$C$81=0,1,IF($AH30&gt;=Control!$C$82,1,0))</f>
        <v>1</v>
      </c>
      <c r="BB30" s="140" t="e">
        <f ca="1">IF($BA30&gt;$BA29,Control!$C$83,IF($AW30&gt;0,$AW30*Control!$C$84,IF(AND(Control!$B$18=1,EN29&lt;&gt;0),Control!$C$84,0)))</f>
        <v>#N/A</v>
      </c>
      <c r="BC30" s="140" t="e">
        <f t="shared" ca="1" si="122"/>
        <v>#N/A</v>
      </c>
      <c r="BD30" s="140" t="e">
        <f ca="1">BC30*IF(OR($G30&lt;Control!$C$92,$G30&gt;Control!$C$95),0,IF(AND($G30&gt;=Control!$C$92,$G30&lt;=Control!$C$93),$G30-Control!$C$92,IF(AND($G30&gt;Control!$C$93,$G30&lt;=Control!$C$94),Control!$C$93-Control!$C$92,IF(AND($G30&gt;Control!$C$94,$G30&lt;=Control!$C$95),(Control!$C$93-Control!$C$92)*(Control!$C$94-$G30)/(Control!$C$95-Control!$C$94)))))</f>
        <v>#N/A</v>
      </c>
      <c r="BE30" s="140" t="e">
        <f t="shared" ca="1" si="123"/>
        <v>#N/A</v>
      </c>
      <c r="BF30" s="140" t="e">
        <f ca="1">IF($BE30&lt;=Control!$C$86,$BE30,Control!$C$86-$BE30)</f>
        <v>#N/A</v>
      </c>
      <c r="BG30" s="140" t="e">
        <f ca="1">IF(AND($AW30=1,Control!$C$84&lt;9),1,IF($BE30&gt;=Control!$C$86,0,$BC30))</f>
        <v>#N/A</v>
      </c>
      <c r="BH30" s="404" t="e">
        <f ca="1">IF($BG30=0,0,IF($BE30&lt;=Control!$C$86,$BC30*9*($BF30/Control!$C$86),0))</f>
        <v>#N/A</v>
      </c>
      <c r="BI30" s="140" t="e">
        <f ca="1">IF($BG30=1,0,IF($BE30&gt;=Control!$C$86,1,IF(AND($BB30&lt;21,$BB30&gt;=9),1,$BM29)))</f>
        <v>#N/A</v>
      </c>
      <c r="BJ30" s="140" t="e">
        <f ca="1">IF($BF30&lt;0,-$BF30,$BI30*IF(OR($G30&lt;Control!$C$92,$G30&gt;Control!$C$95),0,IF(AND($G30&gt;=Control!$C$92,$G30&lt;=Control!$C$93),$G30-Control!$C$92,IF(AND($G30&gt;Control!$C$93,$G30&lt;=Control!$C$94),Control!$C$93-Control!$C$92,IF(AND($G30&gt;Control!$C$94,$G30&lt;=Control!$C$95),(Control!$C$93-Control!$C$92)*(Control!$C$94-$G30)/(Control!$C$95-Control!$C$94))))))</f>
        <v>#N/A</v>
      </c>
      <c r="BK30" s="140" t="e">
        <f t="shared" ca="1" si="124"/>
        <v>#N/A</v>
      </c>
      <c r="BL30" s="140" t="e">
        <f ca="1">IF($BK30&lt;=Control!$C$87,$BK30,Control!$C$87-$BK30)</f>
        <v>#N/A</v>
      </c>
      <c r="BM30" s="140" t="e">
        <f ca="1">IF(AND($BB30&gt;=9,$BB30&lt;21),1,IF($BK30&gt;=Control!$C$87,0,$BI30))</f>
        <v>#N/A</v>
      </c>
      <c r="BN30" s="404" t="e">
        <f ca="1">IF($BM30=0,0,IF($BK30&lt;=Control!$C$87,$BI30*(9+(21-9)*($BL30/Control!$C$87)),0))</f>
        <v>#N/A</v>
      </c>
      <c r="BO30" s="140" t="e">
        <f ca="1">IF($BM30=1,0,IF($BK30&gt;=Control!$C$87,1,IF(AND($BB30&lt;30,$BB30&gt;=21),1,$BS29)))</f>
        <v>#N/A</v>
      </c>
      <c r="BP30" s="140" t="e">
        <f ca="1">IF($BL30&lt;0,-$BL30,$BO30*IF(OR($G30&lt;Control!$C$92,$G30&gt;Control!$C$95),0,IF(AND($G30&gt;=Control!$C$92,$G30&lt;=Control!$C$93),$G30-Control!$C$92,IF(AND($G30&gt;Control!$C$93,$G30&lt;=Control!$C$94),Control!$C$93-Control!$C$92,IF(AND($G30&gt;Control!$C$94,$G30&lt;=Control!$C$95),(Control!$C$93-Control!$C$92)*(Control!$C$94-$G30)/(Control!$C$95-Control!$C$94))))))</f>
        <v>#N/A</v>
      </c>
      <c r="BQ30" s="140" t="e">
        <f t="shared" ca="1" si="15"/>
        <v>#N/A</v>
      </c>
      <c r="BR30" s="140" t="e">
        <f ca="1">IF($BQ30&lt;=Control!$C$88,$BQ30,Control!$C$88-$BQ30)</f>
        <v>#N/A</v>
      </c>
      <c r="BS30" s="140" t="e">
        <f ca="1">IF(AND($BB30&gt;=21,$BB30&lt;30),1,IF($BQ30&gt;=Control!$C$88,0,$BO30))</f>
        <v>#N/A</v>
      </c>
      <c r="BT30" s="404" t="e">
        <f ca="1">IF($BS30=0,0,IF($BQ30&lt;=Control!$C$88,$BO30*(21+(30-21)*(BR30/Control!$C$88)),0))</f>
        <v>#N/A</v>
      </c>
      <c r="BU30" s="140" t="e">
        <f ca="1">IF(BG30+BM30+BS30=1,0,IF(OR(AND($BB30&lt;60,$BB30&gt;=30),$BQ30&gt;=Control!$C$88),1*$BA30,$BY29))</f>
        <v>#N/A</v>
      </c>
      <c r="BV30" s="140" t="e">
        <f ca="1">IF($BR30&lt;0,-$BR30,$BU30*IF(OR($G30&lt;Control!$C$92,$G30&gt;Control!$C$95),0,IF(AND($G30&gt;=Control!$C$92,$G30&lt;=Control!$C$93),$G30-Control!$C$92,IF(AND($G30&gt;Control!$C$93,$G30&lt;=Control!$C$94),Control!$C$93-Control!$C$92,IF(AND($G30&gt;Control!$C$94,$G30&lt;=Control!$C$95),(Control!$C$93-Control!$C$92)*(Control!$C$94-$G30)/(Control!$C$95-Control!$C$94))))))</f>
        <v>#N/A</v>
      </c>
      <c r="BW30" s="140" t="e">
        <f t="shared" ca="1" si="16"/>
        <v>#N/A</v>
      </c>
      <c r="BX30" s="140" t="e">
        <f ca="1">IF($BW30&lt;=Control!$C$89,$BW30,Control!$C$89-$BW30)</f>
        <v>#N/A</v>
      </c>
      <c r="BY30" s="140" t="e">
        <f ca="1">IF(AND($AJ30&gt;=30,$AJ30&lt;60),1,IF($BW30&gt;=Control!$C$89,0,$BU30))</f>
        <v>#N/A</v>
      </c>
      <c r="BZ30" s="404" t="e">
        <f ca="1">IF($BY30=0,0,IF($BW30&lt;=Control!$C$89,$BU30*(30+(60-30)*(BX30/Control!$C$89)),0))</f>
        <v>#N/A</v>
      </c>
      <c r="CA30" s="140" t="e">
        <f ca="1">IF($BG30+$BM30+$BS30+$BY30=1,0,IF(OR(AND($BB30&lt;65,$BB30&gt;=60),$BW30&gt;=Control!$C$89),1*$BA30,$CE29))</f>
        <v>#N/A</v>
      </c>
      <c r="CB30" s="140" t="e">
        <f ca="1">IF($BX30&lt;0,-$BX30,$CA30*IF(OR($G30&lt;Control!$C$92,$G30&gt;Control!$C$95),0,IF(AND($G30&gt;=Control!$C$92,$G30&lt;=Control!$C$93),$G30-Control!$C$92,IF(AND($G30&gt;Control!$C$93,$G30&lt;=Control!$C$94),Control!$C$93-Control!$C$92,IF(AND($G30&gt;Control!$C$94,$G30&lt;=Control!$C$95),(Control!$C$93-Control!$C$92)*(Control!$C$94-$G30)/(Control!$C$95-Control!$C$94))))))</f>
        <v>#N/A</v>
      </c>
      <c r="CC30" s="140" t="e">
        <f t="shared" ca="1" si="125"/>
        <v>#N/A</v>
      </c>
      <c r="CD30" s="140" t="e">
        <f ca="1">IF($CC30&lt;=Control!$C$90,$CC30,Control!$C$90-$CC30)</f>
        <v>#N/A</v>
      </c>
      <c r="CE30" s="140" t="e">
        <f ca="1">IF(AND($BB30&gt;=60,$BB30&lt;65),1,IF($CC30&gt;=Control!$C$90,0,$CA30))</f>
        <v>#N/A</v>
      </c>
      <c r="CF30" s="404" t="e">
        <f ca="1">IF($CE30=0,0,IF($CC30&lt;=Control!$C$90,$CA30*(60+(65-60)*(CD30/Control!$C$90)),0))</f>
        <v>#N/A</v>
      </c>
      <c r="CG30" s="140" t="e">
        <f ca="1">IF($BG30+$BM30+$BS30+$BY30+$CE30=1,0,IF(OR(AND($BB30&lt;90,$BB30&gt;=65),$CC30&gt;=Control!$C$90),$BA30,$CK29))</f>
        <v>#N/A</v>
      </c>
      <c r="CH30" s="140" t="e">
        <f ca="1">IF($CD30&lt;0,-$CD30,$CG30*IF(OR($G30&lt;Control!$C$92,$G30&gt;Control!$C$95),0,IF(AND($G30&gt;=Control!$C$92,$G30&lt;=Control!$C$93),$G30-Control!$C$92,IF(AND($G30&gt;Control!$C$93,$G30&lt;=Control!$C$94),Control!$C$93-Control!$C$92,IF(AND($G30&gt;Control!$C$94,$G30&lt;=Control!$C$95),(Control!$C$93-Control!$C$92)*(Control!$C$94-$G30)/(Control!$C$95-Control!$C$94))))))</f>
        <v>#N/A</v>
      </c>
      <c r="CI30" s="140" t="e">
        <f t="shared" ca="1" si="126"/>
        <v>#N/A</v>
      </c>
      <c r="CJ30" s="140" t="e">
        <f ca="1">IF($CI30&lt;=Control!$C$91,$CI30,Control!$C$91-$CI30)</f>
        <v>#N/A</v>
      </c>
      <c r="CK30" s="140" t="e">
        <f ca="1">IF(AND($BB30&gt;=65,$BB30&lt;90),1,IF($CI30&gt;=Control!$C$91,0,$CG30))</f>
        <v>#N/A</v>
      </c>
      <c r="CL30" s="404" t="e">
        <f ca="1">IF($CK30=0,0,IF($CI30&lt;=Control!$C$91,$CG30*(65+(90-65)*($CJ30/Control!$C$91)),0))</f>
        <v>#N/A</v>
      </c>
      <c r="CM30" s="140" t="e">
        <f ca="1">IF($BG30+$BM30+$BS30+$BY30+$CE30+$CK30=1,0,IF(OR($BB30&gt;=90,$CI30&gt;=Control!$C$91),$BA30,$CM29))</f>
        <v>#N/A</v>
      </c>
      <c r="CN30" s="140" t="e">
        <f t="shared" ca="1" si="127"/>
        <v>#N/A</v>
      </c>
      <c r="CO30" s="140" t="e">
        <f t="shared" ca="1" si="128"/>
        <v>#N/A</v>
      </c>
      <c r="CP30" s="140" t="e">
        <f t="shared" ca="1" si="129"/>
        <v>#N/A</v>
      </c>
      <c r="CQ30" s="141" t="e">
        <f ca="1">VLOOKUP($CP30,Control!$B$86:$G$91,6)</f>
        <v>#N/A</v>
      </c>
      <c r="CR30" s="141" t="e">
        <f ca="1">(1-$CQ30)*VLOOKUP($CP30,Control!$B$86:$D$91,3)</f>
        <v>#N/A</v>
      </c>
      <c r="CS30" s="141" t="e">
        <f ca="1">(1-$CQ30)*VLOOKUP($CP30,Control!$B$86:$E$91,4)</f>
        <v>#N/A</v>
      </c>
      <c r="CT30" s="141" t="e">
        <f ca="1">(1-$CQ30)*VLOOKUP($CP30,Control!$B$86:$F$91,5)</f>
        <v>#N/A</v>
      </c>
      <c r="CU30" s="141">
        <f t="shared" ca="1" si="130"/>
        <v>0</v>
      </c>
      <c r="CV30" s="583">
        <f t="shared" ca="1" si="131"/>
        <v>0</v>
      </c>
      <c r="CW30" s="142">
        <f t="shared" ca="1" si="132"/>
        <v>25</v>
      </c>
      <c r="CX30" s="612" t="e">
        <f ca="1">IF(Control!$C$114=1,(MIN(Control!$C$120*(IF($NT30-0.01&lt;0,0,1)),Control!$C$119-$CY30)))</f>
        <v>#DIV/0!</v>
      </c>
      <c r="CY30" s="143" t="e">
        <f t="shared" ca="1" si="133"/>
        <v>#N/A</v>
      </c>
      <c r="CZ30" s="144">
        <f t="shared" ca="1" si="17"/>
        <v>0</v>
      </c>
      <c r="DA30" s="144">
        <f t="shared" ca="1" si="18"/>
        <v>0</v>
      </c>
      <c r="DB30" s="144" t="e">
        <f t="shared" ca="1" si="19"/>
        <v>#N/A</v>
      </c>
      <c r="DC30" s="144" t="e">
        <f t="shared" ca="1" si="20"/>
        <v>#N/A</v>
      </c>
      <c r="DD30" s="144" t="e">
        <f t="shared" ca="1" si="216"/>
        <v>#N/A</v>
      </c>
      <c r="DE30" s="143" t="e">
        <f t="shared" ca="1" si="135"/>
        <v>#N/A</v>
      </c>
      <c r="DF30" s="145" t="e">
        <f ca="1">$DR30*EXP(-Control!$C$158*(1-$KH30))</f>
        <v>#N/A</v>
      </c>
      <c r="DG30" s="146" t="e">
        <f ca="1">IF(Control!$C$114=1, $DF30*$EY30, 0)</f>
        <v>#N/A</v>
      </c>
      <c r="DH30" s="147" t="e">
        <f t="shared" ca="1" si="136"/>
        <v>#N/A</v>
      </c>
      <c r="DI30" s="144" t="e">
        <f t="shared" ca="1" si="191"/>
        <v>#N/A</v>
      </c>
      <c r="DJ30" s="147" t="e">
        <f ca="1">$EF30*Control!$C$109</f>
        <v>#N/A</v>
      </c>
      <c r="DK30" s="144" t="e">
        <f t="shared" ca="1" si="137"/>
        <v>#N/A</v>
      </c>
      <c r="DL30" s="144" t="e">
        <f t="shared" ca="1" si="21"/>
        <v>#N/A</v>
      </c>
      <c r="DM30" s="144" t="e">
        <f ca="1">IF(Control!$C$114=1, (1-EXP(-Control!$C$96*$DK30))*$AR30, 0)</f>
        <v>#N/A</v>
      </c>
      <c r="DN30" s="144">
        <f t="shared" ca="1" si="138"/>
        <v>0</v>
      </c>
      <c r="DO30" s="148">
        <f>Control!$C$97</f>
        <v>4</v>
      </c>
      <c r="DP30" s="145" t="e">
        <f t="shared" ca="1" si="139"/>
        <v>#N/A</v>
      </c>
      <c r="DQ30" s="145" t="e">
        <f ca="1">IF(AND($CP30&gt;=0,$CP30&lt;=90),Control!$C$111,Control!$C$111)</f>
        <v>#N/A</v>
      </c>
      <c r="DR30" s="145" t="e">
        <f t="shared" ca="1" si="22"/>
        <v>#N/A</v>
      </c>
      <c r="DS30" s="143" t="e">
        <f ca="1">Control!$B$22/$DR30</f>
        <v>#N/A</v>
      </c>
      <c r="DT30" s="149" t="e">
        <f ca="1">IF(AND(Control!$C$114=1,$KH30&lt;1),$IM30*$DF30, 0)</f>
        <v>#N/A</v>
      </c>
      <c r="DU30" s="144" t="e">
        <f t="shared" ca="1" si="192"/>
        <v>#N/A</v>
      </c>
      <c r="DV30" s="144">
        <f ca="1">IF($G30-Control!$C$107&lt;=0, 0, 0.83*LN(MAX($G30, 3))-0.8924)</f>
        <v>0</v>
      </c>
      <c r="DW30" s="144" t="e">
        <f t="shared" ca="1" si="23"/>
        <v>#N/A</v>
      </c>
      <c r="DX30" s="150" t="e">
        <f ca="1">MAX(0.01*(1+$CU30/Control!$C$102),0.05*($DK30-Control!$C$97)/Control!$C$97)</f>
        <v>#N/A</v>
      </c>
      <c r="DY30" s="151" t="e">
        <f ca="1">IF(Control!$C$114=1, $DI30*$FS30, 0)</f>
        <v>#N/A</v>
      </c>
      <c r="DZ30" s="196" t="e">
        <f t="shared" ca="1" si="140"/>
        <v>#N/A</v>
      </c>
      <c r="EA30" s="152">
        <f t="shared" ca="1" si="141"/>
        <v>25</v>
      </c>
      <c r="EB30" s="153" t="e">
        <f t="shared" ca="1" si="217"/>
        <v>#N/A</v>
      </c>
      <c r="EC30" s="153" t="e">
        <f t="shared" ca="1" si="142"/>
        <v>#N/A</v>
      </c>
      <c r="ED30" s="154" t="e">
        <f ca="1">IF(Control!$C$114=1, $HM30*$FY30-$FD30, 0)</f>
        <v>#DIV/0!</v>
      </c>
      <c r="EE30" s="155" t="e">
        <f ca="1">IF(Control!$C$114=1, $HM30*$FZ30-$FF30, 0)</f>
        <v>#DIV/0!</v>
      </c>
      <c r="EF30" s="153" t="e">
        <f t="shared" ca="1" si="193"/>
        <v>#N/A</v>
      </c>
      <c r="EG30" s="155" t="e">
        <f ca="1">IF(Control!$C$114=1, $GX30*$FW30-$FI30, 0)</f>
        <v>#DIV/0!</v>
      </c>
      <c r="EH30" s="153" t="e">
        <f t="shared" ca="1" si="143"/>
        <v>#N/A</v>
      </c>
      <c r="EI30" s="156" t="e">
        <f t="shared" ca="1" si="144"/>
        <v>#N/A</v>
      </c>
      <c r="EJ30" s="155" t="e">
        <f ca="1">IF(Control!$C$114=1, $HM30*$GB30, 0)</f>
        <v>#DIV/0!</v>
      </c>
      <c r="EK30" s="153" t="e">
        <f t="shared" ca="1" si="194"/>
        <v>#N/A</v>
      </c>
      <c r="EL30" s="153" t="e">
        <f t="shared" ca="1" si="24"/>
        <v>#N/A</v>
      </c>
      <c r="EM30" s="153" t="e">
        <f t="shared" ca="1" si="25"/>
        <v>#N/A</v>
      </c>
      <c r="EN30" s="153" t="e">
        <f ca="1">IF(Control!$C$108=1,IF(AND(Control!$B$18=1,$EB30&gt;=Control!$B$19),$EB30-$DS30,IF(AND(Control!$B$18=2,$AW30=1,$EB30&gt;$DS30),$EB30-$DS30,0)))</f>
        <v>#N/A</v>
      </c>
      <c r="EO30" s="153" t="e">
        <f ca="1">IF(Control!$C$108=1,IF(AND(Control!$B$18=1,$EB30&gt;=Control!$B$19),$EF30,IF(AND(Control!$B$18=2,$AW30=1),$EF30,0)))</f>
        <v>#N/A</v>
      </c>
      <c r="EP30" s="153" t="e">
        <f ca="1">IF(Control!$C$108=1,IF(AND(Control!$B$18=1,$EB30&gt;=Control!$B$19),$EK30,IF(AND(Control!$B$18=2,$AW30=1),$EK30,0)))</f>
        <v>#N/A</v>
      </c>
      <c r="EQ30" s="153" t="e">
        <f t="shared" ca="1" si="145"/>
        <v>#N/A</v>
      </c>
      <c r="ER30" s="153" t="e">
        <f t="shared" ca="1" si="195"/>
        <v>#N/A</v>
      </c>
      <c r="ES30" s="153" t="e">
        <f t="shared" ca="1" si="196"/>
        <v>#N/A</v>
      </c>
      <c r="ET30" s="153" t="e">
        <f t="shared" ca="1" si="197"/>
        <v>#N/A</v>
      </c>
      <c r="EU30" s="153" t="e">
        <f t="shared" ca="1" si="198"/>
        <v>#N/A</v>
      </c>
      <c r="EV30" s="153" t="e">
        <f t="shared" ca="1" si="146"/>
        <v>#N/A</v>
      </c>
      <c r="EW30" s="153" t="e">
        <f t="shared" ca="1" si="218"/>
        <v>#N/A</v>
      </c>
      <c r="EX30" s="153" t="e">
        <f t="shared" ca="1" si="26"/>
        <v>#N/A</v>
      </c>
      <c r="EY30" s="157" t="e">
        <f t="shared" ca="1" si="147"/>
        <v>#DIV/0!</v>
      </c>
      <c r="EZ30" s="154" t="e">
        <f t="shared" ca="1" si="27"/>
        <v>#DIV/0!</v>
      </c>
      <c r="FA30" s="153" t="e">
        <f t="shared" ca="1" si="199"/>
        <v>#N/A</v>
      </c>
      <c r="FB30" s="153" t="e">
        <f t="shared" ca="1" si="28"/>
        <v>#N/A</v>
      </c>
      <c r="FC30" s="193" t="e">
        <f t="shared" ca="1" si="29"/>
        <v>#N/A</v>
      </c>
      <c r="FD30" s="158" t="e">
        <f t="shared" ca="1" si="200"/>
        <v>#N/A</v>
      </c>
      <c r="FE30" s="158" t="e">
        <f t="shared" ca="1" si="148"/>
        <v>#N/A</v>
      </c>
      <c r="FF30" s="159" t="e">
        <f t="shared" ca="1" si="30"/>
        <v>#N/A</v>
      </c>
      <c r="FG30" s="160" t="e">
        <f t="shared" ca="1" si="149"/>
        <v>#N/A</v>
      </c>
      <c r="FH30" s="158" t="e">
        <f t="shared" ca="1" si="150"/>
        <v>#N/A</v>
      </c>
      <c r="FI30" s="159" t="e">
        <f t="shared" ca="1" si="31"/>
        <v>#N/A</v>
      </c>
      <c r="FJ30" s="160" t="e">
        <f t="shared" ca="1" si="151"/>
        <v>#N/A</v>
      </c>
      <c r="FK30" s="160" t="e">
        <f t="shared" ca="1" si="32"/>
        <v>#N/A</v>
      </c>
      <c r="FL30" s="160" t="e">
        <f t="shared" ca="1" si="229"/>
        <v>#N/A</v>
      </c>
      <c r="FM30" s="160" t="e">
        <f t="shared" ca="1" si="33"/>
        <v>#N/A</v>
      </c>
      <c r="FN30" s="158">
        <f t="shared" ca="1" si="219"/>
        <v>0.01</v>
      </c>
      <c r="FO30" s="160">
        <f>Control!$C$101</f>
        <v>50</v>
      </c>
      <c r="FP30" s="150" t="e">
        <f t="shared" ca="1" si="34"/>
        <v>#N/A</v>
      </c>
      <c r="FQ30" s="150" t="e">
        <f ca="1">MAX(0,(Control!$C$112*(($DK30-Control!$C$97)/Control!$C$97)))</f>
        <v>#N/A</v>
      </c>
      <c r="FR30" s="150" t="e">
        <f ca="1">(1-$NT30)*Control!$C$113</f>
        <v>#DIV/0!</v>
      </c>
      <c r="FS30" s="198" t="e">
        <f t="shared" ca="1" si="35"/>
        <v>#N/A</v>
      </c>
      <c r="FT30" s="161">
        <f t="shared" ca="1" si="152"/>
        <v>25</v>
      </c>
      <c r="FU30" s="162" t="e">
        <f ca="1">IF(Control!$B$34=1,VLOOKUP($CP30,Control!$B$86:$G$91,6),Control!$B$35)</f>
        <v>#N/A</v>
      </c>
      <c r="FV30" s="162" t="e">
        <f t="shared" ca="1" si="36"/>
        <v>#DIV/0!</v>
      </c>
      <c r="FW30" s="162" t="e">
        <f ca="1">IF(Control!$B$31=1,$FU30*$FV30,  $FU30)</f>
        <v>#N/A</v>
      </c>
      <c r="FX30" s="162" t="e">
        <f ca="1">IF(Control!$B$34=1,VLOOKUP($CP30,Control!$B$86:$G$91,3),Control!$B$36)</f>
        <v>#N/A</v>
      </c>
      <c r="FY30" s="162" t="e">
        <f t="shared" ca="1" si="37"/>
        <v>#N/A</v>
      </c>
      <c r="FZ30" s="162" t="e">
        <f ca="1">IF(Control!$B$34=1,VLOOKUP($CP30,Control!$B$86:$G$91,4),Control!$B$37)</f>
        <v>#N/A</v>
      </c>
      <c r="GA30" s="162" t="e">
        <f t="shared" ca="1" si="38"/>
        <v>#N/A</v>
      </c>
      <c r="GB30" s="162" t="e">
        <f ca="1">IF(Control!$B$34=1,VLOOKUP($CP30,Control!$B$86:$G$91,5),Control!$B$38)</f>
        <v>#N/A</v>
      </c>
      <c r="GC30" s="162" t="e">
        <f t="shared" ca="1" si="153"/>
        <v>#N/A</v>
      </c>
      <c r="GD30" s="162">
        <f t="shared" ca="1" si="39"/>
        <v>1</v>
      </c>
      <c r="GE30" s="162">
        <f t="shared" ca="1" si="40"/>
        <v>1</v>
      </c>
      <c r="GF30" s="162">
        <f ca="1">IF(AND(Control!$C$104=1, Control!$C$62="F"),$GE30,1)</f>
        <v>1</v>
      </c>
      <c r="GG30" s="162" t="e">
        <f ca="1">IF(Control!$B$16=40,0,IF(AND(Control!$B$16&gt;40,Control!$B$16&lt;=360),(Control!$B$16-40)*((1-0)/(360-40)),IF(AND(Control!$B$16&gt;360,Control!$B$16&lt;=720),(1+(Control!$B$16-360)*((1.25-1)/(720-360))),IF(AND(Control!$B$16&gt;720,Control!$B$16&lt;=1000),(1.25+(Control!$B$16-720)*((1.35-1.25)/(1000-720))),IF(AND(Control!$B$16&gt;1000,Control!$B$16&lt;=2000),(1.35+(Control!$B$16-1000)*0))))))</f>
        <v>#N/A</v>
      </c>
      <c r="GH30" s="162" t="e">
        <f t="shared" ca="1" si="41"/>
        <v>#N/A</v>
      </c>
      <c r="GI30" s="162">
        <f t="shared" ca="1" si="201"/>
        <v>0</v>
      </c>
      <c r="GJ30" s="162">
        <f t="shared" ca="1" si="42"/>
        <v>0</v>
      </c>
      <c r="GK30" s="162">
        <f t="shared" ca="1" si="220"/>
        <v>1</v>
      </c>
      <c r="GL30" s="162">
        <f t="shared" ca="1" si="43"/>
        <v>1</v>
      </c>
      <c r="GM30" s="162" t="e">
        <f ca="1">MAX(0,MIN(1,1-Control!$C$156*(1.0001-$KH30)^2))</f>
        <v>#N/A</v>
      </c>
      <c r="GN30" s="162" t="e">
        <f ca="1">IF(Control!$B$26=1,$KU30,$KX30)</f>
        <v>#N/A</v>
      </c>
      <c r="GO30" s="162" t="e">
        <f ca="1">IF($CP30&lt;=60,Control!$C$105,IF($CP30&gt;=90,Control!$C$106,Control!$C$105+($CP30-60)*((Control!$C$106-Control!$C$105)/(90-60))))</f>
        <v>#N/A</v>
      </c>
      <c r="GP30" s="162" t="e">
        <f t="shared" ca="1" si="154"/>
        <v>#N/A</v>
      </c>
      <c r="GQ30" s="162" t="e">
        <f t="shared" ca="1" si="155"/>
        <v>#N/A</v>
      </c>
      <c r="GR30" s="163" t="e">
        <f t="shared" ca="1" si="44"/>
        <v>#DIV/0!</v>
      </c>
      <c r="GS30" s="162" t="e">
        <f t="shared" ca="1" si="45"/>
        <v>#DIV/0!</v>
      </c>
      <c r="GT30" s="164" t="e">
        <f t="shared" ca="1" si="156"/>
        <v>#N/A</v>
      </c>
      <c r="GU30" s="162" t="e">
        <f t="shared" ca="1" si="157"/>
        <v>#N/A</v>
      </c>
      <c r="GV30" s="162" t="e">
        <f t="shared" ca="1" si="46"/>
        <v>#N/A</v>
      </c>
      <c r="GW30" s="162" t="e">
        <f t="shared" ca="1" si="221"/>
        <v>#DIV/0!</v>
      </c>
      <c r="GX30" s="162" t="e">
        <f t="shared" ca="1" si="228"/>
        <v>#DIV/0!</v>
      </c>
      <c r="GY30" s="162" t="e">
        <f t="shared" ca="1" si="158"/>
        <v>#DIV/0!</v>
      </c>
      <c r="GZ30" s="165" t="e">
        <f t="shared" ca="1" si="159"/>
        <v>#N/A</v>
      </c>
      <c r="HA30" s="162" t="e">
        <f ca="1">IF(Control!$C$114=1, $DI30*$FS30, 0)</f>
        <v>#N/A</v>
      </c>
      <c r="HB30" s="162" t="e">
        <f ca="1">$FA30/Control!$C$64</f>
        <v>#N/A</v>
      </c>
      <c r="HC30" s="162" t="e">
        <f t="shared" ca="1" si="222"/>
        <v>#DIV/0!</v>
      </c>
      <c r="HD30" s="162">
        <f ca="1">-ASIN(SIN(23.45*Control!$C$139)*COS(2*Control!$C$138*($AH30+10)/365))</f>
        <v>-0.33405805135071548</v>
      </c>
      <c r="HE30" s="165">
        <f t="shared" ca="1" si="160"/>
        <v>0</v>
      </c>
      <c r="HF30" s="166">
        <f ca="1">IF(AND(Control!$C$61="T",$HE30&gt;=Control!$C$103,Control!$C$114=0),$AH30,Control!$C$59)</f>
        <v>1</v>
      </c>
      <c r="HG30" s="166">
        <f ca="1">IF(AND(Control!$C$61="T",$HE30&gt;=Control!$C$103,Control!$C$114=0),$HF30,Control!$C$59)</f>
        <v>1</v>
      </c>
      <c r="HH30" s="165">
        <f ca="1">IF(AND(OR(Control!$C$60&lt;=0, $AH30= Control!$C$59, Control!$C$60 &gt;0, $AH30 = Control!$C$60)), Control!$C$59, IF(Control!$C$60&gt;0, 0))</f>
        <v>1</v>
      </c>
      <c r="HI30" s="165">
        <f ca="1">IF(AND(OR(Control!$C$60&lt;=0, $AH30= Control!$C$59, Control!$C$60 &gt;0, $AH30 = Control!$C$60)), Control!$C$60, IF(Control!$C$60&lt;=0, 0))</f>
        <v>0</v>
      </c>
      <c r="HJ30" s="166">
        <f ca="1">IF(AND(Control!$C$62="F",$CV30&gt;=Control!$C$102),$AH30,0)</f>
        <v>0</v>
      </c>
      <c r="HK30" s="165" t="e">
        <f t="shared" ca="1" si="202"/>
        <v>#N/A</v>
      </c>
      <c r="HL30" s="166">
        <f ca="1">IF(AND(Control!$C$61="T",$HE30&gt;=Control!$C$103,Control!$C$114=0),$HF30,0)</f>
        <v>0</v>
      </c>
      <c r="HM30" s="201" t="e">
        <f t="shared" ca="1" si="47"/>
        <v>#DIV/0!</v>
      </c>
      <c r="HN30" s="215">
        <f t="shared" ca="1" si="161"/>
        <v>25</v>
      </c>
      <c r="HO30" s="216" t="e">
        <f ca="1">IF(AND($CP30&gt;=0, $CP30&lt;=90), Control!$C$152, Control!$C$152)</f>
        <v>#N/A</v>
      </c>
      <c r="HP30" s="216" t="e">
        <f t="shared" ca="1" si="48"/>
        <v>#N/A</v>
      </c>
      <c r="HQ30" s="217" t="e">
        <f ca="1">IF(OR(Control!$B$26=1,Control!$B$26=2),$KV30,$KS30)</f>
        <v>#DIV/0!</v>
      </c>
      <c r="HR30" s="218" t="e">
        <f t="shared" ca="1" si="223"/>
        <v>#DIV/0!</v>
      </c>
      <c r="HS30" s="216" t="e">
        <f ca="1">Control!$C$154*$HP30</f>
        <v>#N/A</v>
      </c>
      <c r="HT30" s="216" t="e">
        <f ca="1">Control!$C$155*$HP30</f>
        <v>#N/A</v>
      </c>
      <c r="HU30" s="217" t="e">
        <f ca="1">Control!$C$161*$FI30</f>
        <v>#N/A</v>
      </c>
      <c r="HV30" s="218" t="e">
        <f t="shared" ca="1" si="162"/>
        <v>#N/A</v>
      </c>
      <c r="HW30" s="218" t="e">
        <f ca="1">Control!$C$160*$FF30+$IP30*$EO30</f>
        <v>#N/A</v>
      </c>
      <c r="HX30" s="218" t="e">
        <f t="shared" ca="1" si="203"/>
        <v>#N/A</v>
      </c>
      <c r="HY30" s="219" t="e">
        <f ca="1">IF(Control!$C$114=1, $EB30*$FS30, 0)</f>
        <v>#N/A</v>
      </c>
      <c r="HZ30" s="91" t="e">
        <f t="shared" ca="1" si="49"/>
        <v>#N/A</v>
      </c>
      <c r="IA30" s="220" t="e">
        <f ca="1">Control!$C$153*$HO30</f>
        <v>#N/A</v>
      </c>
      <c r="IB30" s="218" t="e">
        <f t="shared" ca="1" si="50"/>
        <v>#N/A</v>
      </c>
      <c r="IC30" s="220" t="e">
        <f ca="1">Control!$C$153*$HT30</f>
        <v>#N/A</v>
      </c>
      <c r="ID30" s="218" t="e">
        <f t="shared" ca="1" si="51"/>
        <v>#N/A</v>
      </c>
      <c r="IE30" s="221" t="e">
        <f ca="1">($EB30*Control!$C$159+$EF30*Control!$C$160)/(IF($GZ30&lt;&gt;0,$GZ30,1))</f>
        <v>#N/A</v>
      </c>
      <c r="IF30" s="216" t="e">
        <f t="shared" ca="1" si="52"/>
        <v>#N/A</v>
      </c>
      <c r="IG30" s="91">
        <f ca="1">IF(OR(Control!$B$198=$AH30,Control!$B$199=$AH30, Control!$B$200=$AH30, Control!$B$201=$AH30, Control!$B$202=$AH30, Control!$B$203=$AH30, Control!$B$204=$AH30, Control!$B$205=$AH30, Control!$B$206=$AH30, Control!$B$207=$AH30), 1, 0)</f>
        <v>0</v>
      </c>
      <c r="IH30" s="91">
        <f ca="1">IF($IG30=0,0, VLOOKUP($AH30,Control!$B$198:$C$207,2))</f>
        <v>0</v>
      </c>
      <c r="II30" s="222">
        <f t="shared" ca="1" si="163"/>
        <v>0</v>
      </c>
      <c r="IJ30" s="91">
        <f>Control!$C$121</f>
        <v>0.7</v>
      </c>
      <c r="IK30" s="218">
        <f t="shared" ca="1" si="53"/>
        <v>0</v>
      </c>
      <c r="IL30" s="217" t="e">
        <f t="shared" ca="1" si="204"/>
        <v>#N/A</v>
      </c>
      <c r="IM30" s="223" t="e">
        <f ca="1">IF(AND(Control!$C$114=1,$KH30&lt;1),$EB30*Control!$C$148*(1-$KH30), 0)</f>
        <v>#N/A</v>
      </c>
      <c r="IN30" s="217" t="e">
        <f t="shared" ca="1" si="54"/>
        <v>#DIV/0!</v>
      </c>
      <c r="IO30" s="91" t="e">
        <f ca="1">MAX(0,$IL30-$EF30*Control!$C$160)</f>
        <v>#N/A</v>
      </c>
      <c r="IP30" s="220" t="e">
        <f t="shared" ca="1" si="55"/>
        <v>#N/A</v>
      </c>
      <c r="IQ30" s="217" t="e">
        <f t="shared" ca="1" si="164"/>
        <v>#N/A</v>
      </c>
      <c r="IR30" s="218" t="e">
        <f t="shared" ca="1" si="56"/>
        <v>#N/A</v>
      </c>
      <c r="IS30" s="217" t="e">
        <f ca="1">Control!$C$159*MAX(0,$FD30-$EN30)</f>
        <v>#N/A</v>
      </c>
      <c r="IT30" s="217" t="e">
        <f t="shared" ca="1" si="205"/>
        <v>#N/A</v>
      </c>
      <c r="IU30" s="217" t="e">
        <f t="shared" ca="1" si="165"/>
        <v>#N/A</v>
      </c>
      <c r="IV30" s="217" t="e">
        <f t="shared" ca="1" si="206"/>
        <v>#N/A</v>
      </c>
      <c r="IW30" s="217" t="e">
        <f ca="1">IF(OR($AW30=1,AND($AW30=0, Control!$B$18=1,$EN30&lt;&gt;0)), $IQ30-$IU30, $IQ30)</f>
        <v>#N/A</v>
      </c>
      <c r="IX30" s="218" t="e">
        <f t="shared" ca="1" si="57"/>
        <v>#N/A</v>
      </c>
      <c r="IY30" s="218" t="e">
        <f ca="1">MAX(0,$IQ30-$EB30*Control!$C$159)</f>
        <v>#N/A</v>
      </c>
      <c r="IZ30" s="218" t="e">
        <f t="shared" ca="1" si="58"/>
        <v>#N/A</v>
      </c>
      <c r="JA30" s="216" t="e">
        <f t="shared" ca="1" si="59"/>
        <v>#N/A</v>
      </c>
      <c r="JB30" s="217" t="e">
        <f t="shared" ca="1" si="60"/>
        <v>#N/A</v>
      </c>
      <c r="JC30" s="222" t="e">
        <f ca="1">MAX(Control!$C$157*$EK30-$JT30, 0)/Control!$C$162</f>
        <v>#N/A</v>
      </c>
      <c r="JD30" s="218" t="e">
        <f t="shared" ca="1" si="61"/>
        <v>#N/A</v>
      </c>
      <c r="JE30" s="218" t="e">
        <f t="shared" ca="1" si="62"/>
        <v>#N/A</v>
      </c>
      <c r="JF30" s="218" t="e">
        <f t="shared" ca="1" si="207"/>
        <v>#N/A</v>
      </c>
      <c r="JG30" s="218" t="e">
        <f t="shared" ca="1" si="63"/>
        <v>#N/A</v>
      </c>
      <c r="JH30" s="217" t="e">
        <f t="shared" ca="1" si="166"/>
        <v>#N/A</v>
      </c>
      <c r="JI30" s="217" t="e">
        <f t="shared" ca="1" si="167"/>
        <v>#N/A</v>
      </c>
      <c r="JJ30" s="217" t="e">
        <f t="shared" ca="1" si="224"/>
        <v>#N/A</v>
      </c>
      <c r="JK30" s="217" t="e">
        <f ca="1">IF(Control!$C$114=1,IF(Control!$B$24=0,MAX(0,$JI30)*$GN30/Control!$C$64,(MAX(0,MIN($JI30,$JJ30*$GN30/Control!$C$64),0))))</f>
        <v>#N/A</v>
      </c>
      <c r="JL30" s="217" t="e">
        <f ca="1">$IK30/Control!$C$64-$JK30+$HQ30</f>
        <v>#N/A</v>
      </c>
      <c r="JM30" s="217" t="e">
        <f ca="1">IF(Control!$C$114=1,($JB30/(IF($JI30&lt;&gt;0,$JI30,1)))*$JK30,0)</f>
        <v>#N/A</v>
      </c>
      <c r="JN30" s="217" t="e">
        <f ca="1">IF(Control!$C$114=1,($JG30/(IF($JI30&lt;&gt;0,$JI30,1)))*$JK30, 0)</f>
        <v>#N/A</v>
      </c>
      <c r="JO30" s="218" t="e">
        <f t="shared" ca="1" si="64"/>
        <v>#N/A</v>
      </c>
      <c r="JP30" s="218" t="e">
        <f ca="1">MIN(($IY30+$IO30)*Control!$C$151, $JF30-$EH30*Control!$C$161)</f>
        <v>#N/A</v>
      </c>
      <c r="JQ30" s="218" t="e">
        <f t="shared" ca="1" si="65"/>
        <v>#N/A</v>
      </c>
      <c r="JR30" s="217" t="e">
        <f ca="1">IF($CP30-Control!$C$150&lt;0, 0, $JQ30/Control!$C$162)</f>
        <v>#N/A</v>
      </c>
      <c r="JS30" s="218" t="e">
        <f t="shared" ca="1" si="66"/>
        <v>#N/A</v>
      </c>
      <c r="JT30" s="218" t="e">
        <f t="shared" ca="1" si="168"/>
        <v>#N/A</v>
      </c>
      <c r="JU30" s="218" t="e">
        <f t="shared" ca="1" si="67"/>
        <v>#N/A</v>
      </c>
      <c r="JV30" s="218" t="e">
        <f t="shared" ca="1" si="68"/>
        <v>#N/A</v>
      </c>
      <c r="JW30" s="216" t="e">
        <f t="shared" ca="1" si="69"/>
        <v>#N/A</v>
      </c>
      <c r="JX30" s="91" t="e">
        <f t="shared" ca="1" si="70"/>
        <v>#N/A</v>
      </c>
      <c r="JY30" s="218" t="e">
        <f t="shared" ca="1" si="71"/>
        <v>#N/A</v>
      </c>
      <c r="JZ30" s="217" t="e">
        <f ca="1">IF(Control!$C$114=1,($IZ30/(IF($JI30&lt;&gt;0,$JI30,1)))*$JK30, 0)</f>
        <v>#N/A</v>
      </c>
      <c r="KA30" s="218" t="e">
        <f t="shared" ca="1" si="225"/>
        <v>#N/A</v>
      </c>
      <c r="KB30" s="218" t="e">
        <f t="shared" ca="1" si="169"/>
        <v>#N/A</v>
      </c>
      <c r="KC30" s="218" t="e">
        <f t="shared" ca="1" si="72"/>
        <v>#N/A</v>
      </c>
      <c r="KD30" s="218" t="e">
        <f t="shared" ca="1" si="73"/>
        <v>#N/A</v>
      </c>
      <c r="KE30" s="218" t="e">
        <f t="shared" ca="1" si="74"/>
        <v>#N/A</v>
      </c>
      <c r="KF30" s="218" t="e">
        <f t="shared" ca="1" si="75"/>
        <v>#N/A</v>
      </c>
      <c r="KG30" s="216" t="e">
        <f t="shared" ca="1" si="76"/>
        <v>#N/A</v>
      </c>
      <c r="KH30" s="221" t="e">
        <f ca="1">IF(Control!$B$24=0,1,MAX(0.001,MIN(1,IF(($IF30-$IE30)&lt;&gt;0,($KG30-$IE30)/($IF30-$IE30),1))))</f>
        <v>#N/A</v>
      </c>
      <c r="KI30" s="222" t="e">
        <f ca="1">IF(Control!$C$114=1, $KI29+ $KH29, 0)</f>
        <v>#N/A</v>
      </c>
      <c r="KJ30" s="217" t="e">
        <f t="shared" ca="1" si="77"/>
        <v>#N/A</v>
      </c>
      <c r="KK30" s="218" t="e">
        <f t="shared" ca="1" si="78"/>
        <v>#N/A</v>
      </c>
      <c r="KL30" s="274" t="e">
        <f ca="1">IF(Control!$B$26=3,4000000000*EXP(-8400/($G30+273)),IF(Control!$B$26=4,4000000000*EXP(-8400/($G30+273))*($KT30),0))</f>
        <v>#DIV/0!</v>
      </c>
      <c r="KM30" s="274" t="e">
        <f ca="1">IF(Control!$B$26=3,5600000000000*EXP(-9800/($G30+273)),IF(Control!$B$26=4,5600000000000*EXP(-9800/($G30+273))*$KT30,0))</f>
        <v>#DIV/0!</v>
      </c>
      <c r="KN30" s="454" t="e">
        <f t="shared" ca="1" si="170"/>
        <v>#DIV/0!</v>
      </c>
      <c r="KO30" s="274" t="e">
        <f t="shared" ca="1" si="171"/>
        <v>#DIV/0!</v>
      </c>
      <c r="KP30" s="454" t="e">
        <f t="shared" ca="1" si="79"/>
        <v>#DIV/0!</v>
      </c>
      <c r="KQ30" s="454" t="e">
        <f t="shared" ca="1" si="80"/>
        <v>#DIV/0!</v>
      </c>
      <c r="KR30" s="454" t="e">
        <f t="shared" ca="1" si="81"/>
        <v>#DIV/0!</v>
      </c>
      <c r="KS30" s="454" t="e">
        <f t="shared" ca="1" si="82"/>
        <v>#DIV/0!</v>
      </c>
      <c r="KT30" s="455" t="e">
        <f t="shared" ca="1" si="83"/>
        <v>#DIV/0!</v>
      </c>
      <c r="KU30" s="456" t="e">
        <f ca="1">IF($CP30-Control!$C$149&lt;0, IF($NT30-0.01&lt;0,0,1),0)</f>
        <v>#N/A</v>
      </c>
      <c r="KV30" s="456" t="e">
        <f ca="1">IF(Control!$C$114=1,MAX(0,MIN(Control!$C$125*$KW30*$GN30,$KW30)))</f>
        <v>#DIV/0!</v>
      </c>
      <c r="KW30" s="456" t="e">
        <f t="shared" ca="1" si="208"/>
        <v>#DIV/0!</v>
      </c>
      <c r="KX30" s="457" t="e">
        <f ca="1">IF($CP30-Control!$C$149&lt;0, IF($MR30-$OM30&lt;0,0,1),0)</f>
        <v>#N/A</v>
      </c>
      <c r="KY30" s="167">
        <f t="shared" ca="1" si="172"/>
        <v>25</v>
      </c>
      <c r="KZ30" s="168">
        <f ca="1">1370*(1+0.033*COS(2*Control!$C$138*$AH30/365))</f>
        <v>1411.0876264028634</v>
      </c>
      <c r="LA30" s="169">
        <f t="shared" ca="1" si="173"/>
        <v>1.0299909820322035</v>
      </c>
      <c r="LB30" s="169">
        <f t="shared" ca="1" si="174"/>
        <v>-0.33496602100327749</v>
      </c>
      <c r="LC30" s="169">
        <f ca="1">ACOS(-TAN((2*Control!$B$8/360))*TAN(Calculations!$LB30))</f>
        <v>1.467159543420667</v>
      </c>
      <c r="LD30" s="169">
        <f ca="1">((24*60)/PI())*0.082*$LA30*(($LC30*SIN(Control!$B$8*2*PI()/360))*SIN($LB30)+COS(Control!$B$8*2*PI()/360)*COS($LB30)*SIN($LC30))</f>
        <v>7.6752520705517622</v>
      </c>
      <c r="LE30" s="170">
        <f t="shared" ca="1" si="84"/>
        <v>8.9411529442135702</v>
      </c>
      <c r="LF30" s="170">
        <f ca="1">SIN(Control!$C$139*Control!$B$8)*SIN($HD30)</f>
        <v>-0.25837295155034534</v>
      </c>
      <c r="LG30" s="170">
        <f ca="1">COS(Control!$C$139*Control!$B$8)*COS($HD30)</f>
        <v>0.58162586693348461</v>
      </c>
      <c r="LH30" s="170">
        <f ca="1">12*(1+2*ASIN(MAX(-1,MIN(1,$LF30/$LG30))/Control!$C$138))</f>
        <v>8.5949644789317752</v>
      </c>
      <c r="LI30" s="170">
        <f ca="1">12*(1+2*ASIN(MAX(-1,MIN(1,(-SIN(-4*Control!$C$139)+$LF30)/$LG30))/Control!$C$138))</f>
        <v>9.5181805137466391</v>
      </c>
      <c r="LJ30" s="168">
        <f ca="1">3600*($LH30*$LF30+24*$LG30*SQRT(1-$LK30*$LK30)/Control!$C$138)</f>
        <v>6336.3555720535278</v>
      </c>
      <c r="LK30" s="170">
        <f t="shared" ca="1" si="85"/>
        <v>-0.44422534525943491</v>
      </c>
      <c r="LL30" s="170">
        <f t="shared" ca="1" si="86"/>
        <v>0</v>
      </c>
      <c r="LM30" s="171">
        <f ca="1">Control!$C$145*$AB30</f>
        <v>6.6660906138995932E-2</v>
      </c>
      <c r="LN30" s="170">
        <f t="shared" ca="1" si="175"/>
        <v>0.54</v>
      </c>
      <c r="LO30" s="170">
        <f t="shared" ca="1" si="87"/>
        <v>0</v>
      </c>
      <c r="LP30" s="170">
        <f ca="1">Control!$C$140*((($D30+273.16)^4+($E30+273.16)^4)/2)*(0.34-0.14*SQRT($Y30))*(1.35*$AQ30/(0.75*$LD30)-0.35)</f>
        <v>-3.2464704755046001</v>
      </c>
      <c r="LQ30" s="170">
        <f ca="1">Control!$C$140*($G30+273)^4*(0.56-0.079*SQRT($Y30*10))*(0.1+0.9*$LO30)</f>
        <v>1.5241745131704001</v>
      </c>
      <c r="LR30" s="170">
        <f ca="1">$AQ30*(1-Control!$C$142)-$LQ30</f>
        <v>-1.5241745131704001</v>
      </c>
      <c r="LS30" s="170">
        <f ca="1">$AQ30*(1-Control!$C$143)-$LQ30</f>
        <v>-1.5241745131704001</v>
      </c>
      <c r="LT30" s="170">
        <f ca="1">$AQ30*(1-Control!$C$144)-$LQ30</f>
        <v>-1.5241745131704001</v>
      </c>
      <c r="LU30" s="169">
        <f ca="1">(1-Control!$C$144)*AQ30-LP30</f>
        <v>3.2464704755046001</v>
      </c>
      <c r="LV30" s="172">
        <f t="shared" ca="1" si="88"/>
        <v>0.79430000000000012</v>
      </c>
      <c r="LW30" s="170">
        <f t="shared" ca="1" si="89"/>
        <v>1.5886000000000002</v>
      </c>
      <c r="LX30" s="170">
        <f ca="1">($AC30*($LR30/Control!$C$141)+$LM30*$LV30)/($AC30+$LM30)</f>
        <v>0.23530094218323697</v>
      </c>
      <c r="LY30" s="170">
        <f ca="1">($AC30*($LS30/Control!$C$141)+$LM30*$LV30)/($AC30+$LM30)</f>
        <v>0.23530094218323697</v>
      </c>
      <c r="LZ30" s="170">
        <f t="shared" ca="1" si="90"/>
        <v>0.23530094218323697</v>
      </c>
      <c r="MA30" s="170">
        <f t="shared" ca="1" si="91"/>
        <v>0.23530094218323697</v>
      </c>
      <c r="MB30" s="170" t="e">
        <f t="shared" ca="1" si="92"/>
        <v>#N/A</v>
      </c>
      <c r="MC30" s="170">
        <f t="shared" ca="1" si="176"/>
        <v>0.6018</v>
      </c>
      <c r="MD30" s="170">
        <f t="shared" ca="1" si="93"/>
        <v>0.52989392535414004</v>
      </c>
      <c r="ME30" s="170">
        <f ca="1">($AC30*($LT30/Control!$C$141)+$LM30*$LW30)/($AC30+$LM30)</f>
        <v>0.71612369323045078</v>
      </c>
      <c r="MF30" s="170" t="e">
        <f ca="1">IF(Control!$B$16&gt;=1000,0.92,IF(AND(720&lt;=Control!$B$16,1000&gt;Control!$B$16),(0.95+(Control!$B$16-720)*((0.92-0.95)/(1000-720))),IF(AND(360&lt;=Control!$B$16,720&gt;Control!$B$16),(1+(Control!$B$16-360)*((0.95-1)/(720-360))),IF(AND(40&lt;=Control!$B$16,360&gt;Control!$B$16),(1.05+(Control!$B$16-40)*((1.05-1)/(360-40)))))))</f>
        <v>#N/A</v>
      </c>
      <c r="MG30" s="170">
        <f t="shared" ca="1" si="94"/>
        <v>0.71612369323045078</v>
      </c>
      <c r="MH30" s="170" t="e">
        <f t="shared" ca="1" si="230"/>
        <v>#N/A</v>
      </c>
      <c r="MI30" s="170" t="e">
        <f t="shared" ca="1" si="230"/>
        <v>#N/A</v>
      </c>
      <c r="MJ30" s="170" t="e">
        <f ca="1">MAX(0.0001, Control!$C$132*$MI30*$DL30)</f>
        <v>#N/A</v>
      </c>
      <c r="MK30" s="170">
        <f ca="1">1/(0.76+1.5*($MG30/10))-(5-Control!$C$110)*0.1</f>
        <v>1.002845988140797</v>
      </c>
      <c r="ML30" s="173">
        <f ca="1">IF(Control!$C$110&lt;3,$MK30+($MG30-0.6)/(Control!$C$110*(Control!$C$110+3)), MAX(0.1, MIN(0.95,$MK30)))</f>
        <v>0.95</v>
      </c>
      <c r="MM30" s="173">
        <f ca="1">IF(Control!$C$110&lt;3,$MK30+(($MI30/10)-0.6)/(Control!$C$110*(Control!$C$110+3)), MAX(0.1, MIN(0.95,$MK30)))</f>
        <v>0.95</v>
      </c>
      <c r="MN30" s="173">
        <f ca="1">(1-$MM30)*(Control!$C$128-Control!$C$127)+Control!$C$127</f>
        <v>0.16</v>
      </c>
      <c r="MO30" s="170" t="e">
        <f ca="1">MAX(0,MIN(1,($MS30-Control!$C$127)/($MN30-Control!$C$127)))</f>
        <v>#DIV/0!</v>
      </c>
      <c r="MP30" s="173" t="e">
        <f ca="1">1/(0.76+1.5*$MI30)-(5-Control!$C$110)*0.1</f>
        <v>#N/A</v>
      </c>
      <c r="MQ30" s="172" t="e">
        <f t="shared" ca="1" si="209"/>
        <v>#DIV/0!</v>
      </c>
      <c r="MR30" s="168" t="e">
        <f t="shared" ca="1" si="226"/>
        <v>#DIV/0!</v>
      </c>
      <c r="MS30" s="173" t="e">
        <f ca="1">MAX(Control!$C$127, MIN(Control!$C$135, $MR30/MAX(0.0001,$CY30)))</f>
        <v>#DIV/0!</v>
      </c>
      <c r="MT30" s="168" t="e">
        <f ca="1">(Control!$C$128-$MS30)*Control!$C$74</f>
        <v>#DIV/0!</v>
      </c>
      <c r="MU30" s="168" t="e">
        <f ca="1">(Control!$C$135-$MS30)*Control!$C$74</f>
        <v>#DIV/0!</v>
      </c>
      <c r="MV30" s="168" t="e">
        <f t="shared" ca="1" si="210"/>
        <v>#DIV/0!</v>
      </c>
      <c r="MW30" s="168" t="e">
        <f t="shared" ca="1" si="177"/>
        <v>#DIV/0!</v>
      </c>
      <c r="MX30" s="171" t="e">
        <f ca="1">MAX(Control!$C$127, MIN(Control!$C$135, $MW30/MAX(0.0001,Control!$C$119-$CY30)))</f>
        <v>#DIV/0!</v>
      </c>
      <c r="MY30" s="54" t="e">
        <f ca="1">IF(Control!$C$114=1, $CX30*$MX30, 0)</f>
        <v>#DIV/0!</v>
      </c>
      <c r="MZ30" s="54" t="e">
        <f t="shared" ca="1" si="178"/>
        <v>#N/A</v>
      </c>
      <c r="NA30" s="168" t="e">
        <f ca="1">(Control!$C$128-$MX30)*(Control!$C$119-Control!$C$74)</f>
        <v>#DIV/0!</v>
      </c>
      <c r="NB30" s="168" t="e">
        <f ca="1">(Control!$C$135-$MX30)*(Control!$C$119-Control!$C$74)</f>
        <v>#DIV/0!</v>
      </c>
      <c r="NC30" s="174" t="e">
        <f t="shared" ca="1" si="179"/>
        <v>#DIV/0!</v>
      </c>
      <c r="ND30" s="54">
        <f ca="1">IF(Control!$C$58=2, IF(OR(Control!$B$218=$AH30,Control!$B$219=$AH30, Control!$B$220=$AH30, Control!$B$221=$AH30, Control!$B$222=$AH30, Control!$B$223=$AH30, Control!$B$224=$AH30, Control!$B$225=$AH30, Control!$B$226=$AH30, Control!$B$227=$AH30, Control!$B$228=$AH30), 1, 0), 0)</f>
        <v>0</v>
      </c>
      <c r="NE30" s="54">
        <f ca="1">IF($ND30=0,0, VLOOKUP($AH30,Control!$B$218:$C$228,2))</f>
        <v>0</v>
      </c>
      <c r="NF30" s="168" t="e">
        <f ca="1">$CY30*(Control!$C$128-Control!$C$127)</f>
        <v>#N/A</v>
      </c>
      <c r="NG30" s="54" t="e">
        <f ca="1">IF(Control!$C$58=2, $NI29-$NJ29, 0)</f>
        <v>#DIV/0!</v>
      </c>
      <c r="NH30" s="54" t="e">
        <f ca="1">IF(AND(Control!$C$58=1, $MS29&lt;= ($MN29+0.02), $I29&lt;10), 0, IF(Control!$C$58=2, $NG29, 0))</f>
        <v>#DIV/0!</v>
      </c>
      <c r="NI30" s="54" t="e">
        <f ca="1">IF(Control!$C$58=2, $NE30+$NH30,0)</f>
        <v>#DIV/0!</v>
      </c>
      <c r="NJ30" s="54" t="e">
        <f ca="1">IF(AND(Control!$C$58=1, $MS30&lt;= ($MN30+0.02), $I30&lt;10), MAX(0, MIN(10, 0.7*($NF30-$MV30))), IF(Control!$C$58=2, MIN(10,$NI30),0))</f>
        <v>#DIV/0!</v>
      </c>
      <c r="NK30" s="54" t="e">
        <f t="shared" ca="1" si="96"/>
        <v>#DIV/0!</v>
      </c>
      <c r="NL30" s="173" t="e">
        <f ca="1">(1-Control!$C$73)*$I30+$NJ30</f>
        <v>#DIV/0!</v>
      </c>
      <c r="NM30" s="172" t="e">
        <f ca="1">IF($NL30&lt;0.5, $MB30* MAX(0, MIN(1, (SQRT($NC30)-SQRT($NC30-1))*Control!$C$71)),0)</f>
        <v>#DIV/0!</v>
      </c>
      <c r="NN30" s="170" t="e">
        <f ca="1">IF($NL30&gt;=5, $MB30, MAX(0,MIN($MB30, $NM30+$NL30,($MS30-Control!$C$129))))</f>
        <v>#DIV/0!</v>
      </c>
      <c r="NO30" s="54">
        <f>IF(Control!$C$133&lt;&gt;1, Control!$C$135-Control!$C$131, 0)</f>
        <v>0.38</v>
      </c>
      <c r="NP30" s="54" t="e">
        <f t="shared" ca="1" si="97"/>
        <v>#DIV/0!</v>
      </c>
      <c r="NQ30" s="173" t="e">
        <f ca="1">MAX(0,MIN(1,(Control!$C$135-$MS30)/(Control!$C$135-$NO30)))</f>
        <v>#DIV/0!</v>
      </c>
      <c r="NR30" s="170" t="e">
        <f ca="1">IF(Control!$C$133&lt;&gt;1, $NQ30+((1-$NP30/4)*(1-$NQ30)),1)</f>
        <v>#DIV/0!</v>
      </c>
      <c r="NS30" s="170" t="e">
        <f ca="1">IF(Control!$B$31=0,$MJ30,MAX(0,MIN($MV30,$MO30*$NR30*$MJ30)))</f>
        <v>#DIV/0!</v>
      </c>
      <c r="NT30" s="170" t="e">
        <f t="shared" ca="1" si="227"/>
        <v>#DIV/0!</v>
      </c>
      <c r="NU30" s="170" t="e">
        <f t="shared" ca="1" si="180"/>
        <v>#N/A</v>
      </c>
      <c r="NV30" s="170" t="e">
        <f t="shared" ca="1" si="98"/>
        <v>#N/A</v>
      </c>
      <c r="NW30" s="175" t="e">
        <f t="shared" ca="1" si="99"/>
        <v>#DIV/0!</v>
      </c>
      <c r="NX30" s="170" t="e">
        <f ca="1">MIN(Control!$C$72+$MU30, $NW30)</f>
        <v>#DIV/0!</v>
      </c>
      <c r="NY30" s="170" t="e">
        <f ca="1">IF($MT30&lt;=$NX30,MIN(Control!$C$72+$NB30,$NX30-$MT30),0)</f>
        <v>#DIV/0!</v>
      </c>
      <c r="NZ30" s="54" t="e">
        <f ca="1">IF(Control!$C$114=1,  $CX30*($MX30-Control!$C$127), 0)</f>
        <v>#DIV/0!</v>
      </c>
      <c r="OA30" s="170" t="e">
        <f t="shared" ca="1" si="181"/>
        <v>#DIV/0!</v>
      </c>
      <c r="OB30" s="170" t="e">
        <f ca="1">IF($NA30 &lt;=$NY30, MIN(Control!$C$72, $NY30-$NA30), 0)</f>
        <v>#DIV/0!</v>
      </c>
      <c r="OC30" s="168" t="e">
        <f t="shared" ca="1" si="100"/>
        <v>#DIV/0!</v>
      </c>
      <c r="OD30" s="168" t="e">
        <f t="shared" ca="1" si="182"/>
        <v>#DIV/0!</v>
      </c>
      <c r="OE30" s="170">
        <f ca="1">Control!$C$73*$I30</f>
        <v>0</v>
      </c>
      <c r="OF30" s="176" t="e">
        <f t="shared" ca="1" si="101"/>
        <v>#DIV/0!</v>
      </c>
      <c r="OG30" s="168" t="e">
        <f t="shared" ca="1" si="102"/>
        <v>#DIV/0!</v>
      </c>
      <c r="OH30" s="168" t="e">
        <f t="shared" ca="1" si="103"/>
        <v>#DIV/0!</v>
      </c>
      <c r="OI30" s="168" t="e">
        <f t="shared" ca="1" si="104"/>
        <v>#DIV/0!</v>
      </c>
      <c r="OJ30" s="168" t="e">
        <f t="shared" ca="1" si="105"/>
        <v>#DIV/0!</v>
      </c>
      <c r="OK30" s="204" t="e">
        <f t="shared" ca="1" si="183"/>
        <v>#DIV/0!</v>
      </c>
      <c r="OL30" s="177">
        <f>Control!$C$127</f>
        <v>0.15</v>
      </c>
      <c r="OM30" s="182" t="e">
        <f t="shared" ca="1" si="106"/>
        <v>#N/A</v>
      </c>
      <c r="ON30" s="177">
        <f>Control!$C$128</f>
        <v>0.35</v>
      </c>
      <c r="OO30" s="182" t="e">
        <f t="shared" ca="1" si="107"/>
        <v>#N/A</v>
      </c>
      <c r="OP30" s="138">
        <f t="shared" ca="1" si="184"/>
        <v>0</v>
      </c>
      <c r="OQ30" s="138" t="e">
        <f t="shared" ca="1" si="211"/>
        <v>#DIV/0!</v>
      </c>
      <c r="OR30" s="138" t="e">
        <f t="shared" ca="1" si="185"/>
        <v>#DIV/0!</v>
      </c>
      <c r="OS30" s="137" t="e">
        <f t="shared" ca="1" si="212"/>
        <v>#DIV/0!</v>
      </c>
      <c r="OT30" s="139" t="e">
        <f t="shared" ca="1" si="213"/>
        <v>#DIV/0!</v>
      </c>
      <c r="OU30" s="138" t="e">
        <f t="shared" ca="1" si="214"/>
        <v>#N/A</v>
      </c>
      <c r="OV30" s="138" t="e">
        <f t="shared" ca="1" si="215"/>
        <v>#DIV/0!</v>
      </c>
      <c r="OW30" s="138" t="e">
        <f t="shared" ca="1" si="186"/>
        <v>#DIV/0!</v>
      </c>
      <c r="OX30" s="138" t="e">
        <f t="shared" ca="1" si="187"/>
        <v>#DIV/0!</v>
      </c>
      <c r="OY30" s="138" t="e">
        <f t="shared" ca="1" si="188"/>
        <v>#DIV/0!</v>
      </c>
      <c r="OZ30" s="138" t="e">
        <f t="shared" ca="1" si="108"/>
        <v>#DIV/0!</v>
      </c>
      <c r="PA30" s="138" t="e">
        <f t="shared" ca="1" si="109"/>
        <v>#DIV/0!</v>
      </c>
      <c r="PB30" s="55">
        <f>IF(Control!$C$61="T", IF(Control!$C$65="F", IF($AH$6-Control!$C$60&lt;0,0,1), IF(365+$AH$6-Control!$C$60&lt;0,0,1)),0)</f>
        <v>0</v>
      </c>
      <c r="PC30" s="55">
        <f ca="1">IF(Control!$C$65="F", IF($AH$6-$HF30&lt;0,0,1), IF(365+$AH$6-$HF30&lt;0,0,1))</f>
        <v>1</v>
      </c>
      <c r="PD30" s="444">
        <f>Control!$C$118</f>
        <v>1500</v>
      </c>
      <c r="PE30" s="180" t="e">
        <f t="shared" ca="1" si="110"/>
        <v>#N/A</v>
      </c>
      <c r="PF30" s="445">
        <f t="shared" ca="1" si="189"/>
        <v>0.71612369323045078</v>
      </c>
      <c r="PT30" s="186"/>
      <c r="PU30" s="186"/>
      <c r="PV30" s="94"/>
      <c r="PW30" s="94"/>
      <c r="PX30" s="94"/>
      <c r="PY30" s="94"/>
      <c r="PZ30" s="94"/>
      <c r="QA30" s="94"/>
      <c r="QB30" s="94"/>
      <c r="QC30" s="94"/>
      <c r="QD30" s="94"/>
      <c r="QE30" s="94"/>
      <c r="QF30" s="94"/>
      <c r="QG30" s="94"/>
      <c r="QH30" s="94"/>
      <c r="QI30" s="94"/>
      <c r="QJ30" s="94"/>
      <c r="QK30" s="94"/>
      <c r="QL30" s="94"/>
      <c r="QM30" s="94"/>
      <c r="QN30" s="94"/>
      <c r="QO30" s="94"/>
      <c r="QP30" s="94"/>
    </row>
    <row r="31" spans="1:458" s="2" customFormat="1" x14ac:dyDescent="0.2">
      <c r="A31" s="386">
        <v>26</v>
      </c>
      <c r="B31" s="387">
        <v>1</v>
      </c>
      <c r="C31" s="387">
        <f ca="1">Weather_data!$B30</f>
        <v>0</v>
      </c>
      <c r="D31" s="388">
        <f ca="1">Weather_data!$F30</f>
        <v>0</v>
      </c>
      <c r="E31" s="388">
        <f ca="1">Weather_data!$E30</f>
        <v>0</v>
      </c>
      <c r="F31" s="388">
        <f t="shared" ca="1" si="111"/>
        <v>0</v>
      </c>
      <c r="G31" s="388">
        <f ca="1">AVERAGE($D31:$E31)+Control!$B$9</f>
        <v>0</v>
      </c>
      <c r="H31" s="388">
        <f ca="1">Weather_data!$G30</f>
        <v>0</v>
      </c>
      <c r="I31" s="388">
        <f ca="1">Weather_data!$I30</f>
        <v>0</v>
      </c>
      <c r="J31" s="388">
        <f ca="1">Weather_data!$H30</f>
        <v>0</v>
      </c>
      <c r="K31" s="389">
        <f ca="1">Weather_data!$D30</f>
        <v>0</v>
      </c>
      <c r="L31" s="388" t="e">
        <f t="shared" ca="1" si="112"/>
        <v>#N/A</v>
      </c>
      <c r="M31" s="388" t="e">
        <f t="shared" ca="1" si="0"/>
        <v>#N/A</v>
      </c>
      <c r="N31" s="388">
        <f t="shared" ca="1" si="1"/>
        <v>-3.5894899384592623E-2</v>
      </c>
      <c r="O31" s="388">
        <f t="shared" ca="1" si="113"/>
        <v>0.35894899384592621</v>
      </c>
      <c r="P31" s="390">
        <v>3</v>
      </c>
      <c r="Q31" s="388">
        <f ca="1">MAX($G31-Control!$C$107,0)</f>
        <v>0</v>
      </c>
      <c r="R31" s="388">
        <f t="shared" ca="1" si="114"/>
        <v>0</v>
      </c>
      <c r="S31" s="388">
        <f t="shared" ca="1" si="2"/>
        <v>0</v>
      </c>
      <c r="T31" s="388">
        <f t="shared" ca="1" si="3"/>
        <v>0</v>
      </c>
      <c r="U31" s="59">
        <f t="shared" ca="1" si="4"/>
        <v>0</v>
      </c>
      <c r="V31" s="391">
        <f ca="1">MAX(0,MIN(Control!$C$100-Control!$C$99,$G31-Control!$C$99)*Control!$C$63)</f>
        <v>0</v>
      </c>
      <c r="W31" s="388">
        <f t="shared" ca="1" si="190"/>
        <v>0</v>
      </c>
      <c r="X31" s="388">
        <f t="shared" ca="1" si="115"/>
        <v>0.6110000000000001</v>
      </c>
      <c r="Y31" s="388">
        <f t="shared" ca="1" si="116"/>
        <v>0</v>
      </c>
      <c r="Z31" s="388">
        <f t="shared" ca="1" si="117"/>
        <v>0.61058800000000002</v>
      </c>
      <c r="AA31" s="388">
        <f t="shared" ca="1" si="5"/>
        <v>0.6018</v>
      </c>
      <c r="AB31" s="388">
        <f ca="1">101.3*EXP(-0.034*Control!$C$66/($G31+273))</f>
        <v>100.69623283836242</v>
      </c>
      <c r="AC31" s="392">
        <f t="shared" ca="1" si="6"/>
        <v>4.3460251046025113E-2</v>
      </c>
      <c r="AD31" s="392">
        <f t="shared" ca="1" si="7"/>
        <v>4.4450382862832649E-2</v>
      </c>
      <c r="AE31" s="388">
        <f t="shared" ca="1" si="8"/>
        <v>0</v>
      </c>
      <c r="AF31" s="388">
        <f ca="1">MAX(0,$G31-Control!$C$92)</f>
        <v>0</v>
      </c>
      <c r="AG31" s="393">
        <f t="shared" ca="1" si="118"/>
        <v>26</v>
      </c>
      <c r="AH31" s="389">
        <f t="shared" ca="1" si="9"/>
        <v>26</v>
      </c>
      <c r="AI31" s="388">
        <f t="shared" ca="1" si="119"/>
        <v>-0.32990051370624535</v>
      </c>
      <c r="AJ31" s="388">
        <f ca="1">IF(Control!$C$60&lt;=0,$HH31,$HI31)</f>
        <v>1</v>
      </c>
      <c r="AK31" s="388">
        <f t="shared" ca="1" si="10"/>
        <v>-0.92956714133615792</v>
      </c>
      <c r="AL31" s="388">
        <f t="shared" ca="1" si="11"/>
        <v>2.5247061385957889E-18</v>
      </c>
      <c r="AM31" s="388">
        <f t="shared" ca="1" si="12"/>
        <v>-0.92956714133615792</v>
      </c>
      <c r="AN31" s="388">
        <f t="shared" ca="1" si="13"/>
        <v>-0.32444357603132828</v>
      </c>
      <c r="AO31" s="388">
        <f ca="1">-0.10453/COS(Control!$B$8*PI()/180)*COS(AN31)</f>
        <v>-0.16092689087022366</v>
      </c>
      <c r="AP31" s="388">
        <f ca="1">ACOS(AO31-TAN(Control!$B$8*PI()/180)*TAN(AN31))</f>
        <v>1.2978668103480284</v>
      </c>
      <c r="AQ31" s="388">
        <f t="shared" ca="1" si="120"/>
        <v>0</v>
      </c>
      <c r="AR31" s="394">
        <f t="shared" ca="1" si="14"/>
        <v>0</v>
      </c>
      <c r="AS31" s="436">
        <f ca="1">IF(Control!$B$18=2,(IF(OR($AH31=Control!$B$175,$AH31=Control!$B$176,$AH31=Control!$B$177,$AH31=Control!$B$178,$AH31=Control!$B$179,$AH31=Control!$B$180,$AH31=Control!$B$181,$AH31=Control!$B$182,$AH31=Control!$B$183,$AH31=Control!$B$184,$AH31=Control!$B$185),1,0)),0)</f>
        <v>0</v>
      </c>
      <c r="AT31" s="436">
        <f>IF(Control!$B$20=8,IF(AND($AH31&gt;=Control!$B$172,$AH31&lt;=Control!$B$173),1,0),0)</f>
        <v>0</v>
      </c>
      <c r="AU31" s="436">
        <f>IF(Control!$B$20=8,IF($AV30=1,1*$AT31,IF($AT31=1,$AU30+1,$AU30)),0)</f>
        <v>0</v>
      </c>
      <c r="AV31" s="436">
        <f>IF(Control!$B$20=8,IF($AU31&gt;=Control!$B$174,1,0),0)</f>
        <v>0</v>
      </c>
      <c r="AW31" s="436">
        <f ca="1">IF(AND(Control!$B$18=2,Control!$B$171=1), $AV31, $AS31)</f>
        <v>0</v>
      </c>
      <c r="AX31" s="436" t="e">
        <f ca="1">IF(AND(Control!$B$18=1,$EU31&gt;=Control!$B$19),-$AY31,IF(AND(Control!$B$18=2,$AW31=1,$EU31&gt;$DS31),-$AY31, IF(Control!$C$108=0,0, IF(Control!$C$108&lt;&gt;0,1))))</f>
        <v>#N/A</v>
      </c>
      <c r="AY31" s="436" t="e">
        <f t="shared" ca="1" si="121"/>
        <v>#N/A</v>
      </c>
      <c r="AZ31" s="436" t="e">
        <f ca="1">IF(AND(Control!$B$18=1,$EB31&gt;Control!$B$19),$AZ30+1, IF(AND(Control!$B$18=2, $AW31=1, $EB31&gt;$DS31), $AZ30+1,$AZ30))</f>
        <v>#N/A</v>
      </c>
      <c r="BA31" s="587">
        <f>IF(Control!$C$81=0,1,IF($AH31&gt;=Control!$C$82,1,0))</f>
        <v>1</v>
      </c>
      <c r="BB31" s="140" t="e">
        <f ca="1">IF($BA31&gt;$BA30,Control!$C$83,IF($AW31&gt;0,$AW31*Control!$C$84,IF(AND(Control!$B$18=1,EN30&lt;&gt;0),Control!$C$84,0)))</f>
        <v>#N/A</v>
      </c>
      <c r="BC31" s="140" t="e">
        <f t="shared" ca="1" si="122"/>
        <v>#N/A</v>
      </c>
      <c r="BD31" s="140" t="e">
        <f ca="1">BC31*IF(OR($G31&lt;Control!$C$92,$G31&gt;Control!$C$95),0,IF(AND($G31&gt;=Control!$C$92,$G31&lt;=Control!$C$93),$G31-Control!$C$92,IF(AND($G31&gt;Control!$C$93,$G31&lt;=Control!$C$94),Control!$C$93-Control!$C$92,IF(AND($G31&gt;Control!$C$94,$G31&lt;=Control!$C$95),(Control!$C$93-Control!$C$92)*(Control!$C$94-$G31)/(Control!$C$95-Control!$C$94)))))</f>
        <v>#N/A</v>
      </c>
      <c r="BE31" s="140" t="e">
        <f t="shared" ca="1" si="123"/>
        <v>#N/A</v>
      </c>
      <c r="BF31" s="140" t="e">
        <f ca="1">IF($BE31&lt;=Control!$C$86,$BE31,Control!$C$86-$BE31)</f>
        <v>#N/A</v>
      </c>
      <c r="BG31" s="140" t="e">
        <f ca="1">IF(AND($AW31=1,Control!$C$84&lt;9),1,IF($BE31&gt;=Control!$C$86,0,$BC31))</f>
        <v>#N/A</v>
      </c>
      <c r="BH31" s="404" t="e">
        <f ca="1">IF($BG31=0,0,IF($BE31&lt;=Control!$C$86,$BC31*9*($BF31/Control!$C$86),0))</f>
        <v>#N/A</v>
      </c>
      <c r="BI31" s="140" t="e">
        <f ca="1">IF($BG31=1,0,IF($BE31&gt;=Control!$C$86,1,IF(AND($BB31&lt;21,$BB31&gt;=9),1,$BM30)))</f>
        <v>#N/A</v>
      </c>
      <c r="BJ31" s="140" t="e">
        <f ca="1">IF($BF31&lt;0,-$BF31,$BI31*IF(OR($G31&lt;Control!$C$92,$G31&gt;Control!$C$95),0,IF(AND($G31&gt;=Control!$C$92,$G31&lt;=Control!$C$93),$G31-Control!$C$92,IF(AND($G31&gt;Control!$C$93,$G31&lt;=Control!$C$94),Control!$C$93-Control!$C$92,IF(AND($G31&gt;Control!$C$94,$G31&lt;=Control!$C$95),(Control!$C$93-Control!$C$92)*(Control!$C$94-$G31)/(Control!$C$95-Control!$C$94))))))</f>
        <v>#N/A</v>
      </c>
      <c r="BK31" s="140" t="e">
        <f t="shared" ca="1" si="124"/>
        <v>#N/A</v>
      </c>
      <c r="BL31" s="140" t="e">
        <f ca="1">IF($BK31&lt;=Control!$C$87,$BK31,Control!$C$87-$BK31)</f>
        <v>#N/A</v>
      </c>
      <c r="BM31" s="140" t="e">
        <f ca="1">IF(AND($BB31&gt;=9,$BB31&lt;21),1,IF($BK31&gt;=Control!$C$87,0,$BI31))</f>
        <v>#N/A</v>
      </c>
      <c r="BN31" s="404" t="e">
        <f ca="1">IF($BM31=0,0,IF($BK31&lt;=Control!$C$87,$BI31*(9+(21-9)*($BL31/Control!$C$87)),0))</f>
        <v>#N/A</v>
      </c>
      <c r="BO31" s="140" t="e">
        <f ca="1">IF($BM31=1,0,IF($BK31&gt;=Control!$C$87,1,IF(AND($BB31&lt;30,$BB31&gt;=21),1,$BS30)))</f>
        <v>#N/A</v>
      </c>
      <c r="BP31" s="140" t="e">
        <f ca="1">IF($BL31&lt;0,-$BL31,$BO31*IF(OR($G31&lt;Control!$C$92,$G31&gt;Control!$C$95),0,IF(AND($G31&gt;=Control!$C$92,$G31&lt;=Control!$C$93),$G31-Control!$C$92,IF(AND($G31&gt;Control!$C$93,$G31&lt;=Control!$C$94),Control!$C$93-Control!$C$92,IF(AND($G31&gt;Control!$C$94,$G31&lt;=Control!$C$95),(Control!$C$93-Control!$C$92)*(Control!$C$94-$G31)/(Control!$C$95-Control!$C$94))))))</f>
        <v>#N/A</v>
      </c>
      <c r="BQ31" s="140" t="e">
        <f t="shared" ca="1" si="15"/>
        <v>#N/A</v>
      </c>
      <c r="BR31" s="140" t="e">
        <f ca="1">IF($BQ31&lt;=Control!$C$88,$BQ31,Control!$C$88-$BQ31)</f>
        <v>#N/A</v>
      </c>
      <c r="BS31" s="140" t="e">
        <f ca="1">IF(AND($BB31&gt;=21,$BB31&lt;30),1,IF($BQ31&gt;=Control!$C$88,0,$BO31))</f>
        <v>#N/A</v>
      </c>
      <c r="BT31" s="404" t="e">
        <f ca="1">IF($BS31=0,0,IF($BQ31&lt;=Control!$C$88,$BO31*(21+(30-21)*(BR31/Control!$C$88)),0))</f>
        <v>#N/A</v>
      </c>
      <c r="BU31" s="140" t="e">
        <f ca="1">IF(BG31+BM31+BS31=1,0,IF(OR(AND($BB31&lt;60,$BB31&gt;=30),$BQ31&gt;=Control!$C$88),1*$BA31,$BY30))</f>
        <v>#N/A</v>
      </c>
      <c r="BV31" s="140" t="e">
        <f ca="1">IF($BR31&lt;0,-$BR31,$BU31*IF(OR($G31&lt;Control!$C$92,$G31&gt;Control!$C$95),0,IF(AND($G31&gt;=Control!$C$92,$G31&lt;=Control!$C$93),$G31-Control!$C$92,IF(AND($G31&gt;Control!$C$93,$G31&lt;=Control!$C$94),Control!$C$93-Control!$C$92,IF(AND($G31&gt;Control!$C$94,$G31&lt;=Control!$C$95),(Control!$C$93-Control!$C$92)*(Control!$C$94-$G31)/(Control!$C$95-Control!$C$94))))))</f>
        <v>#N/A</v>
      </c>
      <c r="BW31" s="140" t="e">
        <f t="shared" ca="1" si="16"/>
        <v>#N/A</v>
      </c>
      <c r="BX31" s="140" t="e">
        <f ca="1">IF($BW31&lt;=Control!$C$89,$BW31,Control!$C$89-$BW31)</f>
        <v>#N/A</v>
      </c>
      <c r="BY31" s="140" t="e">
        <f ca="1">IF(AND($AJ31&gt;=30,$AJ31&lt;60),1,IF($BW31&gt;=Control!$C$89,0,$BU31))</f>
        <v>#N/A</v>
      </c>
      <c r="BZ31" s="404" t="e">
        <f ca="1">IF($BY31=0,0,IF($BW31&lt;=Control!$C$89,$BU31*(30+(60-30)*(BX31/Control!$C$89)),0))</f>
        <v>#N/A</v>
      </c>
      <c r="CA31" s="140" t="e">
        <f ca="1">IF($BG31+$BM31+$BS31+$BY31=1,0,IF(OR(AND($BB31&lt;65,$BB31&gt;=60),$BW31&gt;=Control!$C$89),1*$BA31,$CE30))</f>
        <v>#N/A</v>
      </c>
      <c r="CB31" s="140" t="e">
        <f ca="1">IF($BX31&lt;0,-$BX31,$CA31*IF(OR($G31&lt;Control!$C$92,$G31&gt;Control!$C$95),0,IF(AND($G31&gt;=Control!$C$92,$G31&lt;=Control!$C$93),$G31-Control!$C$92,IF(AND($G31&gt;Control!$C$93,$G31&lt;=Control!$C$94),Control!$C$93-Control!$C$92,IF(AND($G31&gt;Control!$C$94,$G31&lt;=Control!$C$95),(Control!$C$93-Control!$C$92)*(Control!$C$94-$G31)/(Control!$C$95-Control!$C$94))))))</f>
        <v>#N/A</v>
      </c>
      <c r="CC31" s="140" t="e">
        <f t="shared" ca="1" si="125"/>
        <v>#N/A</v>
      </c>
      <c r="CD31" s="140" t="e">
        <f ca="1">IF($CC31&lt;=Control!$C$90,$CC31,Control!$C$90-$CC31)</f>
        <v>#N/A</v>
      </c>
      <c r="CE31" s="140" t="e">
        <f ca="1">IF(AND($BB31&gt;=60,$BB31&lt;65),1,IF($CC31&gt;=Control!$C$90,0,$CA31))</f>
        <v>#N/A</v>
      </c>
      <c r="CF31" s="404" t="e">
        <f ca="1">IF($CE31=0,0,IF($CC31&lt;=Control!$C$90,$CA31*(60+(65-60)*(CD31/Control!$C$90)),0))</f>
        <v>#N/A</v>
      </c>
      <c r="CG31" s="140" t="e">
        <f ca="1">IF($BG31+$BM31+$BS31+$BY31+$CE31=1,0,IF(OR(AND($BB31&lt;90,$BB31&gt;=65),$CC31&gt;=Control!$C$90),$BA31,$CK30))</f>
        <v>#N/A</v>
      </c>
      <c r="CH31" s="140" t="e">
        <f ca="1">IF($CD31&lt;0,-$CD31,$CG31*IF(OR($G31&lt;Control!$C$92,$G31&gt;Control!$C$95),0,IF(AND($G31&gt;=Control!$C$92,$G31&lt;=Control!$C$93),$G31-Control!$C$92,IF(AND($G31&gt;Control!$C$93,$G31&lt;=Control!$C$94),Control!$C$93-Control!$C$92,IF(AND($G31&gt;Control!$C$94,$G31&lt;=Control!$C$95),(Control!$C$93-Control!$C$92)*(Control!$C$94-$G31)/(Control!$C$95-Control!$C$94))))))</f>
        <v>#N/A</v>
      </c>
      <c r="CI31" s="140" t="e">
        <f t="shared" ca="1" si="126"/>
        <v>#N/A</v>
      </c>
      <c r="CJ31" s="140" t="e">
        <f ca="1">IF($CI31&lt;=Control!$C$91,$CI31,Control!$C$91-$CI31)</f>
        <v>#N/A</v>
      </c>
      <c r="CK31" s="140" t="e">
        <f ca="1">IF(AND($BB31&gt;=65,$BB31&lt;90),1,IF($CI31&gt;=Control!$C$91,0,$CG31))</f>
        <v>#N/A</v>
      </c>
      <c r="CL31" s="404" t="e">
        <f ca="1">IF($CK31=0,0,IF($CI31&lt;=Control!$C$91,$CG31*(65+(90-65)*($CJ31/Control!$C$91)),0))</f>
        <v>#N/A</v>
      </c>
      <c r="CM31" s="140" t="e">
        <f ca="1">IF($BG31+$BM31+$BS31+$BY31+$CE31+$CK31=1,0,IF(OR($BB31&gt;=90,$CI31&gt;=Control!$C$91),$BA31,$CM30))</f>
        <v>#N/A</v>
      </c>
      <c r="CN31" s="140" t="e">
        <f t="shared" ca="1" si="127"/>
        <v>#N/A</v>
      </c>
      <c r="CO31" s="140" t="e">
        <f t="shared" ca="1" si="128"/>
        <v>#N/A</v>
      </c>
      <c r="CP31" s="140" t="e">
        <f t="shared" ca="1" si="129"/>
        <v>#N/A</v>
      </c>
      <c r="CQ31" s="141" t="e">
        <f ca="1">VLOOKUP($CP31,Control!$B$86:$G$91,6)</f>
        <v>#N/A</v>
      </c>
      <c r="CR31" s="141" t="e">
        <f ca="1">(1-$CQ31)*VLOOKUP($CP31,Control!$B$86:$D$91,3)</f>
        <v>#N/A</v>
      </c>
      <c r="CS31" s="141" t="e">
        <f ca="1">(1-$CQ31)*VLOOKUP($CP31,Control!$B$86:$E$91,4)</f>
        <v>#N/A</v>
      </c>
      <c r="CT31" s="141" t="e">
        <f ca="1">(1-$CQ31)*VLOOKUP($CP31,Control!$B$86:$F$91,5)</f>
        <v>#N/A</v>
      </c>
      <c r="CU31" s="141">
        <f t="shared" ca="1" si="130"/>
        <v>0</v>
      </c>
      <c r="CV31" s="583">
        <f t="shared" ca="1" si="131"/>
        <v>0</v>
      </c>
      <c r="CW31" s="142">
        <f t="shared" ca="1" si="132"/>
        <v>26</v>
      </c>
      <c r="CX31" s="612" t="e">
        <f ca="1">IF(Control!$C$114=1,(MIN(Control!$C$120*(IF($NT31-0.01&lt;0,0,1)),Control!$C$119-$CY31)))</f>
        <v>#DIV/0!</v>
      </c>
      <c r="CY31" s="143" t="e">
        <f t="shared" ca="1" si="133"/>
        <v>#N/A</v>
      </c>
      <c r="CZ31" s="144">
        <f t="shared" ca="1" si="17"/>
        <v>0</v>
      </c>
      <c r="DA31" s="144">
        <f t="shared" ca="1" si="18"/>
        <v>0</v>
      </c>
      <c r="DB31" s="144" t="e">
        <f t="shared" ca="1" si="19"/>
        <v>#N/A</v>
      </c>
      <c r="DC31" s="144" t="e">
        <f t="shared" ca="1" si="20"/>
        <v>#N/A</v>
      </c>
      <c r="DD31" s="144" t="e">
        <f t="shared" ca="1" si="216"/>
        <v>#N/A</v>
      </c>
      <c r="DE31" s="143" t="e">
        <f t="shared" ca="1" si="135"/>
        <v>#N/A</v>
      </c>
      <c r="DF31" s="145" t="e">
        <f ca="1">$DR31*EXP(-Control!$C$158*(1-$KH31))</f>
        <v>#N/A</v>
      </c>
      <c r="DG31" s="146" t="e">
        <f ca="1">IF(Control!$C$114=1, $DF31*$EY31, 0)</f>
        <v>#N/A</v>
      </c>
      <c r="DH31" s="147" t="e">
        <f t="shared" ca="1" si="136"/>
        <v>#N/A</v>
      </c>
      <c r="DI31" s="144" t="e">
        <f t="shared" ca="1" si="191"/>
        <v>#N/A</v>
      </c>
      <c r="DJ31" s="147" t="e">
        <f ca="1">$EF31*Control!$C$109</f>
        <v>#N/A</v>
      </c>
      <c r="DK31" s="144" t="e">
        <f t="shared" ca="1" si="137"/>
        <v>#N/A</v>
      </c>
      <c r="DL31" s="144" t="e">
        <f t="shared" ca="1" si="21"/>
        <v>#N/A</v>
      </c>
      <c r="DM31" s="144" t="e">
        <f ca="1">IF(Control!$C$114=1, (1-EXP(-Control!$C$96*$DK31))*$AR31, 0)</f>
        <v>#N/A</v>
      </c>
      <c r="DN31" s="144">
        <f t="shared" ca="1" si="138"/>
        <v>0</v>
      </c>
      <c r="DO31" s="148">
        <f>Control!$C$97</f>
        <v>4</v>
      </c>
      <c r="DP31" s="145" t="e">
        <f t="shared" ca="1" si="139"/>
        <v>#N/A</v>
      </c>
      <c r="DQ31" s="145" t="e">
        <f ca="1">IF(AND($CP31&gt;=0,$CP31&lt;=90),Control!$C$111,Control!$C$111)</f>
        <v>#N/A</v>
      </c>
      <c r="DR31" s="145" t="e">
        <f t="shared" ca="1" si="22"/>
        <v>#N/A</v>
      </c>
      <c r="DS31" s="143" t="e">
        <f ca="1">Control!$B$22/$DR31</f>
        <v>#N/A</v>
      </c>
      <c r="DT31" s="149" t="e">
        <f ca="1">IF(AND(Control!$C$114=1,$KH31&lt;1),$IM31*$DF31, 0)</f>
        <v>#N/A</v>
      </c>
      <c r="DU31" s="144" t="e">
        <f t="shared" ca="1" si="192"/>
        <v>#N/A</v>
      </c>
      <c r="DV31" s="144">
        <f ca="1">IF($G31-Control!$C$107&lt;=0, 0, 0.83*LN(MAX($G31, 3))-0.8924)</f>
        <v>0</v>
      </c>
      <c r="DW31" s="144" t="e">
        <f t="shared" ca="1" si="23"/>
        <v>#N/A</v>
      </c>
      <c r="DX31" s="150" t="e">
        <f ca="1">MAX(0.01*(1+$CU31/Control!$C$102),0.05*($DK31-Control!$C$97)/Control!$C$97)</f>
        <v>#N/A</v>
      </c>
      <c r="DY31" s="151" t="e">
        <f ca="1">IF(Control!$C$114=1, $DI31*$FS31, 0)</f>
        <v>#N/A</v>
      </c>
      <c r="DZ31" s="196" t="e">
        <f t="shared" ca="1" si="140"/>
        <v>#N/A</v>
      </c>
      <c r="EA31" s="152">
        <f t="shared" ca="1" si="141"/>
        <v>26</v>
      </c>
      <c r="EB31" s="153" t="e">
        <f t="shared" ca="1" si="217"/>
        <v>#N/A</v>
      </c>
      <c r="EC31" s="153" t="e">
        <f t="shared" ca="1" si="142"/>
        <v>#N/A</v>
      </c>
      <c r="ED31" s="154" t="e">
        <f ca="1">IF(Control!$C$114=1, $HM31*$FY31-$FD31, 0)</f>
        <v>#DIV/0!</v>
      </c>
      <c r="EE31" s="155" t="e">
        <f ca="1">IF(Control!$C$114=1, $HM31*$FZ31-$FF31, 0)</f>
        <v>#DIV/0!</v>
      </c>
      <c r="EF31" s="153" t="e">
        <f t="shared" ca="1" si="193"/>
        <v>#N/A</v>
      </c>
      <c r="EG31" s="155" t="e">
        <f ca="1">IF(Control!$C$114=1, $GX31*$FW31-$FI31, 0)</f>
        <v>#DIV/0!</v>
      </c>
      <c r="EH31" s="153" t="e">
        <f t="shared" ca="1" si="143"/>
        <v>#N/A</v>
      </c>
      <c r="EI31" s="156" t="e">
        <f t="shared" ca="1" si="144"/>
        <v>#N/A</v>
      </c>
      <c r="EJ31" s="155" t="e">
        <f ca="1">IF(Control!$C$114=1, $HM31*$GB31, 0)</f>
        <v>#DIV/0!</v>
      </c>
      <c r="EK31" s="153" t="e">
        <f t="shared" ca="1" si="194"/>
        <v>#N/A</v>
      </c>
      <c r="EL31" s="153" t="e">
        <f t="shared" ca="1" si="24"/>
        <v>#N/A</v>
      </c>
      <c r="EM31" s="153" t="e">
        <f t="shared" ca="1" si="25"/>
        <v>#N/A</v>
      </c>
      <c r="EN31" s="153" t="e">
        <f ca="1">IF(Control!$C$108=1,IF(AND(Control!$B$18=1,$EB31&gt;=Control!$B$19),$EB31-$DS31,IF(AND(Control!$B$18=2,$AW31=1,$EB31&gt;$DS31),$EB31-$DS31,0)))</f>
        <v>#N/A</v>
      </c>
      <c r="EO31" s="153" t="e">
        <f ca="1">IF(Control!$C$108=1,IF(AND(Control!$B$18=1,$EB31&gt;=Control!$B$19),$EF31,IF(AND(Control!$B$18=2,$AW31=1),$EF31,0)))</f>
        <v>#N/A</v>
      </c>
      <c r="EP31" s="153" t="e">
        <f ca="1">IF(Control!$C$108=1,IF(AND(Control!$B$18=1,$EB31&gt;=Control!$B$19),$EK31,IF(AND(Control!$B$18=2,$AW31=1),$EK31,0)))</f>
        <v>#N/A</v>
      </c>
      <c r="EQ31" s="153" t="e">
        <f t="shared" ca="1" si="145"/>
        <v>#N/A</v>
      </c>
      <c r="ER31" s="153" t="e">
        <f t="shared" ca="1" si="195"/>
        <v>#N/A</v>
      </c>
      <c r="ES31" s="153" t="e">
        <f t="shared" ca="1" si="196"/>
        <v>#N/A</v>
      </c>
      <c r="ET31" s="153" t="e">
        <f t="shared" ca="1" si="197"/>
        <v>#N/A</v>
      </c>
      <c r="EU31" s="153" t="e">
        <f t="shared" ca="1" si="198"/>
        <v>#N/A</v>
      </c>
      <c r="EV31" s="153" t="e">
        <f t="shared" ca="1" si="146"/>
        <v>#N/A</v>
      </c>
      <c r="EW31" s="153" t="e">
        <f t="shared" ca="1" si="218"/>
        <v>#N/A</v>
      </c>
      <c r="EX31" s="153" t="e">
        <f t="shared" ca="1" si="26"/>
        <v>#N/A</v>
      </c>
      <c r="EY31" s="157" t="e">
        <f t="shared" ca="1" si="147"/>
        <v>#DIV/0!</v>
      </c>
      <c r="EZ31" s="154" t="e">
        <f t="shared" ca="1" si="27"/>
        <v>#DIV/0!</v>
      </c>
      <c r="FA31" s="153" t="e">
        <f t="shared" ca="1" si="199"/>
        <v>#N/A</v>
      </c>
      <c r="FB31" s="153" t="e">
        <f t="shared" ca="1" si="28"/>
        <v>#N/A</v>
      </c>
      <c r="FC31" s="193" t="e">
        <f t="shared" ca="1" si="29"/>
        <v>#N/A</v>
      </c>
      <c r="FD31" s="158" t="e">
        <f t="shared" ca="1" si="200"/>
        <v>#N/A</v>
      </c>
      <c r="FE31" s="158" t="e">
        <f t="shared" ca="1" si="148"/>
        <v>#N/A</v>
      </c>
      <c r="FF31" s="159" t="e">
        <f t="shared" ca="1" si="30"/>
        <v>#N/A</v>
      </c>
      <c r="FG31" s="160" t="e">
        <f t="shared" ca="1" si="149"/>
        <v>#N/A</v>
      </c>
      <c r="FH31" s="158" t="e">
        <f t="shared" ca="1" si="150"/>
        <v>#N/A</v>
      </c>
      <c r="FI31" s="159" t="e">
        <f t="shared" ca="1" si="31"/>
        <v>#N/A</v>
      </c>
      <c r="FJ31" s="160" t="e">
        <f t="shared" ca="1" si="151"/>
        <v>#N/A</v>
      </c>
      <c r="FK31" s="160" t="e">
        <f t="shared" ca="1" si="32"/>
        <v>#N/A</v>
      </c>
      <c r="FL31" s="160" t="e">
        <f t="shared" ca="1" si="229"/>
        <v>#N/A</v>
      </c>
      <c r="FM31" s="160" t="e">
        <f t="shared" ca="1" si="33"/>
        <v>#N/A</v>
      </c>
      <c r="FN31" s="158">
        <f t="shared" ca="1" si="219"/>
        <v>0.01</v>
      </c>
      <c r="FO31" s="160">
        <f>Control!$C$101</f>
        <v>50</v>
      </c>
      <c r="FP31" s="150" t="e">
        <f t="shared" ca="1" si="34"/>
        <v>#N/A</v>
      </c>
      <c r="FQ31" s="150" t="e">
        <f ca="1">MAX(0,(Control!$C$112*(($DK31-Control!$C$97)/Control!$C$97)))</f>
        <v>#N/A</v>
      </c>
      <c r="FR31" s="150" t="e">
        <f ca="1">(1-$NT31)*Control!$C$113</f>
        <v>#DIV/0!</v>
      </c>
      <c r="FS31" s="198" t="e">
        <f t="shared" ca="1" si="35"/>
        <v>#N/A</v>
      </c>
      <c r="FT31" s="161">
        <f t="shared" ca="1" si="152"/>
        <v>26</v>
      </c>
      <c r="FU31" s="162" t="e">
        <f ca="1">IF(Control!$B$34=1,VLOOKUP($CP31,Control!$B$86:$G$91,6),Control!$B$35)</f>
        <v>#N/A</v>
      </c>
      <c r="FV31" s="162" t="e">
        <f t="shared" ca="1" si="36"/>
        <v>#DIV/0!</v>
      </c>
      <c r="FW31" s="162" t="e">
        <f ca="1">IF(Control!$B$31=1,$FU31*$FV31,  $FU31)</f>
        <v>#N/A</v>
      </c>
      <c r="FX31" s="162" t="e">
        <f ca="1">IF(Control!$B$34=1,VLOOKUP($CP31,Control!$B$86:$G$91,3),Control!$B$36)</f>
        <v>#N/A</v>
      </c>
      <c r="FY31" s="162" t="e">
        <f t="shared" ca="1" si="37"/>
        <v>#N/A</v>
      </c>
      <c r="FZ31" s="162" t="e">
        <f ca="1">IF(Control!$B$34=1,VLOOKUP($CP31,Control!$B$86:$G$91,4),Control!$B$37)</f>
        <v>#N/A</v>
      </c>
      <c r="GA31" s="162" t="e">
        <f t="shared" ca="1" si="38"/>
        <v>#N/A</v>
      </c>
      <c r="GB31" s="162" t="e">
        <f ca="1">IF(Control!$B$34=1,VLOOKUP($CP31,Control!$B$86:$G$91,5),Control!$B$38)</f>
        <v>#N/A</v>
      </c>
      <c r="GC31" s="162" t="e">
        <f t="shared" ca="1" si="153"/>
        <v>#N/A</v>
      </c>
      <c r="GD31" s="162">
        <f t="shared" ca="1" si="39"/>
        <v>1</v>
      </c>
      <c r="GE31" s="162">
        <f t="shared" ca="1" si="40"/>
        <v>1</v>
      </c>
      <c r="GF31" s="162">
        <f ca="1">IF(AND(Control!$C$104=1, Control!$C$62="F"),$GE31,1)</f>
        <v>1</v>
      </c>
      <c r="GG31" s="162" t="e">
        <f ca="1">IF(Control!$B$16=40,0,IF(AND(Control!$B$16&gt;40,Control!$B$16&lt;=360),(Control!$B$16-40)*((1-0)/(360-40)),IF(AND(Control!$B$16&gt;360,Control!$B$16&lt;=720),(1+(Control!$B$16-360)*((1.25-1)/(720-360))),IF(AND(Control!$B$16&gt;720,Control!$B$16&lt;=1000),(1.25+(Control!$B$16-720)*((1.35-1.25)/(1000-720))),IF(AND(Control!$B$16&gt;1000,Control!$B$16&lt;=2000),(1.35+(Control!$B$16-1000)*0))))))</f>
        <v>#N/A</v>
      </c>
      <c r="GH31" s="162" t="e">
        <f t="shared" ca="1" si="41"/>
        <v>#N/A</v>
      </c>
      <c r="GI31" s="162">
        <f t="shared" ca="1" si="201"/>
        <v>0</v>
      </c>
      <c r="GJ31" s="162">
        <f t="shared" ca="1" si="42"/>
        <v>0</v>
      </c>
      <c r="GK31" s="162">
        <f t="shared" ca="1" si="220"/>
        <v>1</v>
      </c>
      <c r="GL31" s="162">
        <f t="shared" ca="1" si="43"/>
        <v>1</v>
      </c>
      <c r="GM31" s="162" t="e">
        <f ca="1">MAX(0,MIN(1,1-Control!$C$156*(1.0001-$KH31)^2))</f>
        <v>#N/A</v>
      </c>
      <c r="GN31" s="162" t="e">
        <f ca="1">IF(Control!$B$26=1,$KU31,$KX31)</f>
        <v>#N/A</v>
      </c>
      <c r="GO31" s="162" t="e">
        <f ca="1">IF($CP31&lt;=60,Control!$C$105,IF($CP31&gt;=90,Control!$C$106,Control!$C$105+($CP31-60)*((Control!$C$106-Control!$C$105)/(90-60))))</f>
        <v>#N/A</v>
      </c>
      <c r="GP31" s="162" t="e">
        <f t="shared" ca="1" si="154"/>
        <v>#N/A</v>
      </c>
      <c r="GQ31" s="162" t="e">
        <f t="shared" ca="1" si="155"/>
        <v>#N/A</v>
      </c>
      <c r="GR31" s="163" t="e">
        <f t="shared" ca="1" si="44"/>
        <v>#DIV/0!</v>
      </c>
      <c r="GS31" s="162" t="e">
        <f t="shared" ca="1" si="45"/>
        <v>#DIV/0!</v>
      </c>
      <c r="GT31" s="164" t="e">
        <f t="shared" ca="1" si="156"/>
        <v>#N/A</v>
      </c>
      <c r="GU31" s="162" t="e">
        <f t="shared" ca="1" si="157"/>
        <v>#N/A</v>
      </c>
      <c r="GV31" s="162" t="e">
        <f t="shared" ca="1" si="46"/>
        <v>#N/A</v>
      </c>
      <c r="GW31" s="162" t="e">
        <f t="shared" ca="1" si="221"/>
        <v>#DIV/0!</v>
      </c>
      <c r="GX31" s="162" t="e">
        <f t="shared" ca="1" si="228"/>
        <v>#DIV/0!</v>
      </c>
      <c r="GY31" s="162" t="e">
        <f t="shared" ca="1" si="158"/>
        <v>#DIV/0!</v>
      </c>
      <c r="GZ31" s="165" t="e">
        <f t="shared" ca="1" si="159"/>
        <v>#N/A</v>
      </c>
      <c r="HA31" s="162" t="e">
        <f ca="1">IF(Control!$C$114=1, $DI31*$FS31, 0)</f>
        <v>#N/A</v>
      </c>
      <c r="HB31" s="162" t="e">
        <f ca="1">$FA31/Control!$C$64</f>
        <v>#N/A</v>
      </c>
      <c r="HC31" s="162" t="e">
        <f t="shared" ca="1" si="222"/>
        <v>#DIV/0!</v>
      </c>
      <c r="HD31" s="162">
        <f ca="1">-ASIN(SIN(23.45*Control!$C$139)*COS(2*Control!$C$138*($AH31+10)/365))</f>
        <v>-0.32990051370624535</v>
      </c>
      <c r="HE31" s="165">
        <f t="shared" ca="1" si="160"/>
        <v>0</v>
      </c>
      <c r="HF31" s="166">
        <f ca="1">IF(AND(Control!$C$61="T",$HE31&gt;=Control!$C$103,Control!$C$114=0),$AH31,Control!$C$59)</f>
        <v>1</v>
      </c>
      <c r="HG31" s="166">
        <f ca="1">IF(AND(Control!$C$61="T",$HE31&gt;=Control!$C$103,Control!$C$114=0),$HF31,Control!$C$59)</f>
        <v>1</v>
      </c>
      <c r="HH31" s="165">
        <f ca="1">IF(AND(OR(Control!$C$60&lt;=0, $AH31= Control!$C$59, Control!$C$60 &gt;0, $AH31 = Control!$C$60)), Control!$C$59, IF(Control!$C$60&gt;0, 0))</f>
        <v>1</v>
      </c>
      <c r="HI31" s="165">
        <f ca="1">IF(AND(OR(Control!$C$60&lt;=0, $AH31= Control!$C$59, Control!$C$60 &gt;0, $AH31 = Control!$C$60)), Control!$C$60, IF(Control!$C$60&lt;=0, 0))</f>
        <v>0</v>
      </c>
      <c r="HJ31" s="166">
        <f ca="1">IF(AND(Control!$C$62="F",$CV31&gt;=Control!$C$102),$AH31,0)</f>
        <v>0</v>
      </c>
      <c r="HK31" s="165" t="e">
        <f t="shared" ca="1" si="202"/>
        <v>#N/A</v>
      </c>
      <c r="HL31" s="166">
        <f ca="1">IF(AND(Control!$C$61="T",$HE31&gt;=Control!$C$103,Control!$C$114=0),$HF31,0)</f>
        <v>0</v>
      </c>
      <c r="HM31" s="201" t="e">
        <f t="shared" ca="1" si="47"/>
        <v>#DIV/0!</v>
      </c>
      <c r="HN31" s="215">
        <f t="shared" ca="1" si="161"/>
        <v>26</v>
      </c>
      <c r="HO31" s="216" t="e">
        <f ca="1">IF(AND($CP31&gt;=0, $CP31&lt;=90), Control!$C$152, Control!$C$152)</f>
        <v>#N/A</v>
      </c>
      <c r="HP31" s="216" t="e">
        <f t="shared" ca="1" si="48"/>
        <v>#N/A</v>
      </c>
      <c r="HQ31" s="217" t="e">
        <f ca="1">IF(OR(Control!$B$26=1,Control!$B$26=2),$KV31,$KS31)</f>
        <v>#DIV/0!</v>
      </c>
      <c r="HR31" s="218" t="e">
        <f t="shared" ca="1" si="223"/>
        <v>#DIV/0!</v>
      </c>
      <c r="HS31" s="216" t="e">
        <f ca="1">Control!$C$154*$HP31</f>
        <v>#N/A</v>
      </c>
      <c r="HT31" s="216" t="e">
        <f ca="1">Control!$C$155*$HP31</f>
        <v>#N/A</v>
      </c>
      <c r="HU31" s="217" t="e">
        <f ca="1">Control!$C$161*$FI31</f>
        <v>#N/A</v>
      </c>
      <c r="HV31" s="218" t="e">
        <f t="shared" ca="1" si="162"/>
        <v>#N/A</v>
      </c>
      <c r="HW31" s="218" t="e">
        <f ca="1">Control!$C$160*$FF31+$IP31*$EO31</f>
        <v>#N/A</v>
      </c>
      <c r="HX31" s="218" t="e">
        <f t="shared" ca="1" si="203"/>
        <v>#N/A</v>
      </c>
      <c r="HY31" s="219" t="e">
        <f ca="1">IF(Control!$C$114=1, $EB31*$FS31, 0)</f>
        <v>#N/A</v>
      </c>
      <c r="HZ31" s="91" t="e">
        <f t="shared" ca="1" si="49"/>
        <v>#N/A</v>
      </c>
      <c r="IA31" s="220" t="e">
        <f ca="1">Control!$C$153*$HO31</f>
        <v>#N/A</v>
      </c>
      <c r="IB31" s="218" t="e">
        <f t="shared" ca="1" si="50"/>
        <v>#N/A</v>
      </c>
      <c r="IC31" s="220" t="e">
        <f ca="1">Control!$C$153*$HT31</f>
        <v>#N/A</v>
      </c>
      <c r="ID31" s="218" t="e">
        <f t="shared" ca="1" si="51"/>
        <v>#N/A</v>
      </c>
      <c r="IE31" s="221" t="e">
        <f ca="1">($EB31*Control!$C$159+$EF31*Control!$C$160)/(IF($GZ31&lt;&gt;0,$GZ31,1))</f>
        <v>#N/A</v>
      </c>
      <c r="IF31" s="216" t="e">
        <f t="shared" ca="1" si="52"/>
        <v>#N/A</v>
      </c>
      <c r="IG31" s="91">
        <f ca="1">IF(OR(Control!$B$198=$AH31,Control!$B$199=$AH31, Control!$B$200=$AH31, Control!$B$201=$AH31, Control!$B$202=$AH31, Control!$B$203=$AH31, Control!$B$204=$AH31, Control!$B$205=$AH31, Control!$B$206=$AH31, Control!$B$207=$AH31), 1, 0)</f>
        <v>0</v>
      </c>
      <c r="IH31" s="91">
        <f ca="1">IF($IG31=0,0, VLOOKUP($AH31,Control!$B$198:$C$207,2))</f>
        <v>0</v>
      </c>
      <c r="II31" s="222">
        <f t="shared" ca="1" si="163"/>
        <v>0</v>
      </c>
      <c r="IJ31" s="91">
        <f>Control!$C$121</f>
        <v>0.7</v>
      </c>
      <c r="IK31" s="218">
        <f t="shared" ca="1" si="53"/>
        <v>0</v>
      </c>
      <c r="IL31" s="217" t="e">
        <f t="shared" ca="1" si="204"/>
        <v>#N/A</v>
      </c>
      <c r="IM31" s="223" t="e">
        <f ca="1">IF(AND(Control!$C$114=1,$KH31&lt;1),$EB31*Control!$C$148*(1-$KH31), 0)</f>
        <v>#N/A</v>
      </c>
      <c r="IN31" s="217" t="e">
        <f t="shared" ca="1" si="54"/>
        <v>#DIV/0!</v>
      </c>
      <c r="IO31" s="91" t="e">
        <f ca="1">MAX(0,$IL31-$EF31*Control!$C$160)</f>
        <v>#N/A</v>
      </c>
      <c r="IP31" s="220" t="e">
        <f t="shared" ca="1" si="55"/>
        <v>#N/A</v>
      </c>
      <c r="IQ31" s="217" t="e">
        <f t="shared" ca="1" si="164"/>
        <v>#N/A</v>
      </c>
      <c r="IR31" s="218" t="e">
        <f t="shared" ca="1" si="56"/>
        <v>#N/A</v>
      </c>
      <c r="IS31" s="217" t="e">
        <f ca="1">Control!$C$159*MAX(0,$FD31-$EN31)</f>
        <v>#N/A</v>
      </c>
      <c r="IT31" s="217" t="e">
        <f t="shared" ca="1" si="205"/>
        <v>#N/A</v>
      </c>
      <c r="IU31" s="217" t="e">
        <f t="shared" ca="1" si="165"/>
        <v>#N/A</v>
      </c>
      <c r="IV31" s="217" t="e">
        <f t="shared" ca="1" si="206"/>
        <v>#N/A</v>
      </c>
      <c r="IW31" s="217" t="e">
        <f ca="1">IF(OR($AW31=1,AND($AW31=0, Control!$B$18=1,$EN31&lt;&gt;0)), $IQ31-$IU31, $IQ31)</f>
        <v>#N/A</v>
      </c>
      <c r="IX31" s="218" t="e">
        <f t="shared" ca="1" si="57"/>
        <v>#N/A</v>
      </c>
      <c r="IY31" s="218" t="e">
        <f ca="1">MAX(0,$IQ31-$EB31*Control!$C$159)</f>
        <v>#N/A</v>
      </c>
      <c r="IZ31" s="218" t="e">
        <f t="shared" ca="1" si="58"/>
        <v>#N/A</v>
      </c>
      <c r="JA31" s="216" t="e">
        <f t="shared" ca="1" si="59"/>
        <v>#N/A</v>
      </c>
      <c r="JB31" s="217" t="e">
        <f t="shared" ca="1" si="60"/>
        <v>#N/A</v>
      </c>
      <c r="JC31" s="222" t="e">
        <f ca="1">MAX(Control!$C$157*$EK31-$JT31, 0)/Control!$C$162</f>
        <v>#N/A</v>
      </c>
      <c r="JD31" s="218" t="e">
        <f t="shared" ca="1" si="61"/>
        <v>#N/A</v>
      </c>
      <c r="JE31" s="218" t="e">
        <f t="shared" ca="1" si="62"/>
        <v>#N/A</v>
      </c>
      <c r="JF31" s="218" t="e">
        <f t="shared" ca="1" si="207"/>
        <v>#N/A</v>
      </c>
      <c r="JG31" s="218" t="e">
        <f t="shared" ca="1" si="63"/>
        <v>#N/A</v>
      </c>
      <c r="JH31" s="217" t="e">
        <f t="shared" ca="1" si="166"/>
        <v>#N/A</v>
      </c>
      <c r="JI31" s="217" t="e">
        <f t="shared" ca="1" si="167"/>
        <v>#N/A</v>
      </c>
      <c r="JJ31" s="217" t="e">
        <f t="shared" ca="1" si="224"/>
        <v>#N/A</v>
      </c>
      <c r="JK31" s="217" t="e">
        <f ca="1">IF(Control!$C$114=1,IF(Control!$B$24=0,MAX(0,$JI31)*$GN31/Control!$C$64,(MAX(0,MIN($JI31,$JJ31*$GN31/Control!$C$64),0))))</f>
        <v>#N/A</v>
      </c>
      <c r="JL31" s="217" t="e">
        <f ca="1">$IK31/Control!$C$64-$JK31+$HQ31</f>
        <v>#N/A</v>
      </c>
      <c r="JM31" s="217" t="e">
        <f ca="1">IF(Control!$C$114=1,($JB31/(IF($JI31&lt;&gt;0,$JI31,1)))*$JK31,0)</f>
        <v>#N/A</v>
      </c>
      <c r="JN31" s="217" t="e">
        <f ca="1">IF(Control!$C$114=1,($JG31/(IF($JI31&lt;&gt;0,$JI31,1)))*$JK31, 0)</f>
        <v>#N/A</v>
      </c>
      <c r="JO31" s="218" t="e">
        <f t="shared" ca="1" si="64"/>
        <v>#N/A</v>
      </c>
      <c r="JP31" s="218" t="e">
        <f ca="1">MIN(($IY31+$IO31)*Control!$C$151, $JF31-$EH31*Control!$C$161)</f>
        <v>#N/A</v>
      </c>
      <c r="JQ31" s="218" t="e">
        <f t="shared" ca="1" si="65"/>
        <v>#N/A</v>
      </c>
      <c r="JR31" s="217" t="e">
        <f ca="1">IF($CP31-Control!$C$150&lt;0, 0, $JQ31/Control!$C$162)</f>
        <v>#N/A</v>
      </c>
      <c r="JS31" s="218" t="e">
        <f t="shared" ca="1" si="66"/>
        <v>#N/A</v>
      </c>
      <c r="JT31" s="218" t="e">
        <f t="shared" ca="1" si="168"/>
        <v>#N/A</v>
      </c>
      <c r="JU31" s="218" t="e">
        <f t="shared" ca="1" si="67"/>
        <v>#N/A</v>
      </c>
      <c r="JV31" s="218" t="e">
        <f t="shared" ca="1" si="68"/>
        <v>#N/A</v>
      </c>
      <c r="JW31" s="216" t="e">
        <f t="shared" ca="1" si="69"/>
        <v>#N/A</v>
      </c>
      <c r="JX31" s="91" t="e">
        <f t="shared" ca="1" si="70"/>
        <v>#N/A</v>
      </c>
      <c r="JY31" s="218" t="e">
        <f t="shared" ca="1" si="71"/>
        <v>#N/A</v>
      </c>
      <c r="JZ31" s="217" t="e">
        <f ca="1">IF(Control!$C$114=1,($IZ31/(IF($JI31&lt;&gt;0,$JI31,1)))*$JK31, 0)</f>
        <v>#N/A</v>
      </c>
      <c r="KA31" s="218" t="e">
        <f t="shared" ca="1" si="225"/>
        <v>#N/A</v>
      </c>
      <c r="KB31" s="218" t="e">
        <f t="shared" ca="1" si="169"/>
        <v>#N/A</v>
      </c>
      <c r="KC31" s="218" t="e">
        <f t="shared" ca="1" si="72"/>
        <v>#N/A</v>
      </c>
      <c r="KD31" s="218" t="e">
        <f t="shared" ca="1" si="73"/>
        <v>#N/A</v>
      </c>
      <c r="KE31" s="218" t="e">
        <f t="shared" ca="1" si="74"/>
        <v>#N/A</v>
      </c>
      <c r="KF31" s="218" t="e">
        <f t="shared" ca="1" si="75"/>
        <v>#N/A</v>
      </c>
      <c r="KG31" s="216" t="e">
        <f t="shared" ca="1" si="76"/>
        <v>#N/A</v>
      </c>
      <c r="KH31" s="221" t="e">
        <f ca="1">IF(Control!$B$24=0,1,MAX(0.001,MIN(1,IF(($IF31-$IE31)&lt;&gt;0,($KG31-$IE31)/($IF31-$IE31),1))))</f>
        <v>#N/A</v>
      </c>
      <c r="KI31" s="222" t="e">
        <f ca="1">IF(Control!$C$114=1, $KI30+ $KH30, 0)</f>
        <v>#N/A</v>
      </c>
      <c r="KJ31" s="217" t="e">
        <f t="shared" ca="1" si="77"/>
        <v>#N/A</v>
      </c>
      <c r="KK31" s="218" t="e">
        <f t="shared" ca="1" si="78"/>
        <v>#N/A</v>
      </c>
      <c r="KL31" s="274" t="e">
        <f ca="1">IF(Control!$B$26=3,4000000000*EXP(-8400/($G31+273)),IF(Control!$B$26=4,4000000000*EXP(-8400/($G31+273))*($KT31),0))</f>
        <v>#DIV/0!</v>
      </c>
      <c r="KM31" s="274" t="e">
        <f ca="1">IF(Control!$B$26=3,5600000000000*EXP(-9800/($G31+273)),IF(Control!$B$26=4,5600000000000*EXP(-9800/($G31+273))*$KT31,0))</f>
        <v>#DIV/0!</v>
      </c>
      <c r="KN31" s="454" t="e">
        <f t="shared" ca="1" si="170"/>
        <v>#DIV/0!</v>
      </c>
      <c r="KO31" s="274" t="e">
        <f t="shared" ca="1" si="171"/>
        <v>#DIV/0!</v>
      </c>
      <c r="KP31" s="454" t="e">
        <f t="shared" ca="1" si="79"/>
        <v>#DIV/0!</v>
      </c>
      <c r="KQ31" s="454" t="e">
        <f t="shared" ca="1" si="80"/>
        <v>#DIV/0!</v>
      </c>
      <c r="KR31" s="454" t="e">
        <f t="shared" ca="1" si="81"/>
        <v>#DIV/0!</v>
      </c>
      <c r="KS31" s="454" t="e">
        <f t="shared" ca="1" si="82"/>
        <v>#DIV/0!</v>
      </c>
      <c r="KT31" s="455" t="e">
        <f t="shared" ca="1" si="83"/>
        <v>#DIV/0!</v>
      </c>
      <c r="KU31" s="456" t="e">
        <f ca="1">IF($CP31-Control!$C$149&lt;0, IF($NT31-0.01&lt;0,0,1),0)</f>
        <v>#N/A</v>
      </c>
      <c r="KV31" s="456" t="e">
        <f ca="1">IF(Control!$C$114=1,MAX(0,MIN(Control!$C$125*$KW31*$GN31,$KW31)))</f>
        <v>#DIV/0!</v>
      </c>
      <c r="KW31" s="456" t="e">
        <f t="shared" ca="1" si="208"/>
        <v>#DIV/0!</v>
      </c>
      <c r="KX31" s="457" t="e">
        <f ca="1">IF($CP31-Control!$C$149&lt;0, IF($MR31-$OM31&lt;0,0,1),0)</f>
        <v>#N/A</v>
      </c>
      <c r="KY31" s="167">
        <f t="shared" ca="1" si="172"/>
        <v>26</v>
      </c>
      <c r="KZ31" s="168">
        <f ca="1">1370*(1+0.033*COS(2*Control!$C$138*$AH31/365))</f>
        <v>1410.7568706617978</v>
      </c>
      <c r="LA31" s="169">
        <f t="shared" ca="1" si="173"/>
        <v>1.0297495555763523</v>
      </c>
      <c r="LB31" s="169">
        <f t="shared" ca="1" si="174"/>
        <v>-0.33087661276889524</v>
      </c>
      <c r="LC31" s="169">
        <f ca="1">ACOS(-TAN((2*Control!$B$8/360))*TAN(Calculations!$LB31))</f>
        <v>1.4685275006225893</v>
      </c>
      <c r="LD31" s="169">
        <f ca="1">((24*60)/PI())*0.082*$LA31*(($LC31*SIN(Control!$B$8*2*PI()/360))*SIN($LB31)+COS(Control!$B$8*2*PI()/360)*COS($LB31)*SIN($LC31))</f>
        <v>7.8676842545677941</v>
      </c>
      <c r="LE31" s="170">
        <f t="shared" ca="1" si="84"/>
        <v>9.1098560968478708</v>
      </c>
      <c r="LF31" s="170">
        <f ca="1">SIN(Control!$C$139*Control!$B$8)*SIN($HD31)</f>
        <v>-0.25527564682882858</v>
      </c>
      <c r="LG31" s="170">
        <f ca="1">COS(Control!$C$139*Control!$B$8)*COS($HD31)</f>
        <v>0.58246008744177125</v>
      </c>
      <c r="LH31" s="170">
        <f ca="1">12*(1+2*ASIN(MAX(-1,MIN(1,$LF31/$LG31))/Control!$C$138))</f>
        <v>8.6409039147001643</v>
      </c>
      <c r="LI31" s="170">
        <f ca="1">12*(1+2*ASIN(MAX(-1,MIN(1,(-SIN(-4*Control!$C$139)+$LF31)/$LG31))/Control!$C$138))</f>
        <v>9.5625853005366501</v>
      </c>
      <c r="LJ31" s="168">
        <f ca="1">3600*($LH31*$LF31+24*$LG31*SQRT(1-$LK31*$LK31)/Control!$C$138)</f>
        <v>6457.4245827166242</v>
      </c>
      <c r="LK31" s="170">
        <f t="shared" ca="1" si="85"/>
        <v>-0.43827148388832493</v>
      </c>
      <c r="LL31" s="170">
        <f t="shared" ca="1" si="86"/>
        <v>0</v>
      </c>
      <c r="LM31" s="171">
        <f ca="1">Control!$C$145*$AB31</f>
        <v>6.6660906138995932E-2</v>
      </c>
      <c r="LN31" s="170">
        <f t="shared" ca="1" si="175"/>
        <v>0.54</v>
      </c>
      <c r="LO31" s="170">
        <f t="shared" ca="1" si="87"/>
        <v>0</v>
      </c>
      <c r="LP31" s="170">
        <f ca="1">Control!$C$140*((($D31+273.16)^4+($E31+273.16)^4)/2)*(0.34-0.14*SQRT($Y31))*(1.35*$AQ31/(0.75*$LD31)-0.35)</f>
        <v>-3.2464704755046001</v>
      </c>
      <c r="LQ31" s="170">
        <f ca="1">Control!$C$140*($G31+273)^4*(0.56-0.079*SQRT($Y31*10))*(0.1+0.9*$LO31)</f>
        <v>1.5241745131704001</v>
      </c>
      <c r="LR31" s="170">
        <f ca="1">$AQ31*(1-Control!$C$142)-$LQ31</f>
        <v>-1.5241745131704001</v>
      </c>
      <c r="LS31" s="170">
        <f ca="1">$AQ31*(1-Control!$C$143)-$LQ31</f>
        <v>-1.5241745131704001</v>
      </c>
      <c r="LT31" s="170">
        <f ca="1">$AQ31*(1-Control!$C$144)-$LQ31</f>
        <v>-1.5241745131704001</v>
      </c>
      <c r="LU31" s="169">
        <f ca="1">(1-Control!$C$144)*AQ31-LP31</f>
        <v>3.2464704755046001</v>
      </c>
      <c r="LV31" s="172">
        <f t="shared" ca="1" si="88"/>
        <v>0.79430000000000012</v>
      </c>
      <c r="LW31" s="170">
        <f t="shared" ca="1" si="89"/>
        <v>1.5886000000000002</v>
      </c>
      <c r="LX31" s="170">
        <f ca="1">($AC31*($LR31/Control!$C$141)+$LM31*$LV31)/($AC31+$LM31)</f>
        <v>0.23530094218323697</v>
      </c>
      <c r="LY31" s="170">
        <f ca="1">($AC31*($LS31/Control!$C$141)+$LM31*$LV31)/($AC31+$LM31)</f>
        <v>0.23530094218323697</v>
      </c>
      <c r="LZ31" s="170">
        <f t="shared" ca="1" si="90"/>
        <v>0.23530094218323697</v>
      </c>
      <c r="MA31" s="170">
        <f t="shared" ca="1" si="91"/>
        <v>0.23530094218323697</v>
      </c>
      <c r="MB31" s="170" t="e">
        <f t="shared" ca="1" si="92"/>
        <v>#N/A</v>
      </c>
      <c r="MC31" s="170">
        <f t="shared" ca="1" si="176"/>
        <v>0.6018</v>
      </c>
      <c r="MD31" s="170">
        <f t="shared" ca="1" si="93"/>
        <v>0.52989392535414004</v>
      </c>
      <c r="ME31" s="170">
        <f ca="1">($AC31*($LT31/Control!$C$141)+$LM31*$LW31)/($AC31+$LM31)</f>
        <v>0.71612369323045078</v>
      </c>
      <c r="MF31" s="170" t="e">
        <f ca="1">IF(Control!$B$16&gt;=1000,0.92,IF(AND(720&lt;=Control!$B$16,1000&gt;Control!$B$16),(0.95+(Control!$B$16-720)*((0.92-0.95)/(1000-720))),IF(AND(360&lt;=Control!$B$16,720&gt;Control!$B$16),(1+(Control!$B$16-360)*((0.95-1)/(720-360))),IF(AND(40&lt;=Control!$B$16,360&gt;Control!$B$16),(1.05+(Control!$B$16-40)*((1.05-1)/(360-40)))))))</f>
        <v>#N/A</v>
      </c>
      <c r="MG31" s="170">
        <f t="shared" ca="1" si="94"/>
        <v>0.71612369323045078</v>
      </c>
      <c r="MH31" s="170" t="e">
        <f t="shared" ca="1" si="230"/>
        <v>#N/A</v>
      </c>
      <c r="MI31" s="170" t="e">
        <f t="shared" ca="1" si="230"/>
        <v>#N/A</v>
      </c>
      <c r="MJ31" s="170" t="e">
        <f ca="1">MAX(0.0001, Control!$C$132*$MI31*$DL31)</f>
        <v>#N/A</v>
      </c>
      <c r="MK31" s="170">
        <f ca="1">1/(0.76+1.5*($MG31/10))-(5-Control!$C$110)*0.1</f>
        <v>1.002845988140797</v>
      </c>
      <c r="ML31" s="173">
        <f ca="1">IF(Control!$C$110&lt;3,$MK31+($MG31-0.6)/(Control!$C$110*(Control!$C$110+3)), MAX(0.1, MIN(0.95,$MK31)))</f>
        <v>0.95</v>
      </c>
      <c r="MM31" s="173">
        <f ca="1">IF(Control!$C$110&lt;3,$MK31+(($MI31/10)-0.6)/(Control!$C$110*(Control!$C$110+3)), MAX(0.1, MIN(0.95,$MK31)))</f>
        <v>0.95</v>
      </c>
      <c r="MN31" s="173">
        <f ca="1">(1-$MM31)*(Control!$C$128-Control!$C$127)+Control!$C$127</f>
        <v>0.16</v>
      </c>
      <c r="MO31" s="170" t="e">
        <f ca="1">MAX(0,MIN(1,($MS31-Control!$C$127)/($MN31-Control!$C$127)))</f>
        <v>#DIV/0!</v>
      </c>
      <c r="MP31" s="173" t="e">
        <f ca="1">1/(0.76+1.5*$MI31)-(5-Control!$C$110)*0.1</f>
        <v>#N/A</v>
      </c>
      <c r="MQ31" s="172" t="e">
        <f t="shared" ca="1" si="209"/>
        <v>#DIV/0!</v>
      </c>
      <c r="MR31" s="168" t="e">
        <f t="shared" ca="1" si="226"/>
        <v>#DIV/0!</v>
      </c>
      <c r="MS31" s="173" t="e">
        <f ca="1">MAX(Control!$C$127, MIN(Control!$C$135, $MR31/MAX(0.0001,$CY31)))</f>
        <v>#DIV/0!</v>
      </c>
      <c r="MT31" s="168" t="e">
        <f ca="1">(Control!$C$128-$MS31)*Control!$C$74</f>
        <v>#DIV/0!</v>
      </c>
      <c r="MU31" s="168" t="e">
        <f ca="1">(Control!$C$135-$MS31)*Control!$C$74</f>
        <v>#DIV/0!</v>
      </c>
      <c r="MV31" s="168" t="e">
        <f t="shared" ca="1" si="210"/>
        <v>#DIV/0!</v>
      </c>
      <c r="MW31" s="168" t="e">
        <f t="shared" ca="1" si="177"/>
        <v>#DIV/0!</v>
      </c>
      <c r="MX31" s="171" t="e">
        <f ca="1">MAX(Control!$C$127, MIN(Control!$C$135, $MW31/MAX(0.0001,Control!$C$119-$CY31)))</f>
        <v>#DIV/0!</v>
      </c>
      <c r="MY31" s="54" t="e">
        <f ca="1">IF(Control!$C$114=1, $CX31*$MX31, 0)</f>
        <v>#DIV/0!</v>
      </c>
      <c r="MZ31" s="54" t="e">
        <f t="shared" ca="1" si="178"/>
        <v>#N/A</v>
      </c>
      <c r="NA31" s="168" t="e">
        <f ca="1">(Control!$C$128-$MX31)*(Control!$C$119-Control!$C$74)</f>
        <v>#DIV/0!</v>
      </c>
      <c r="NB31" s="168" t="e">
        <f ca="1">(Control!$C$135-$MX31)*(Control!$C$119-Control!$C$74)</f>
        <v>#DIV/0!</v>
      </c>
      <c r="NC31" s="174" t="e">
        <f t="shared" ca="1" si="179"/>
        <v>#DIV/0!</v>
      </c>
      <c r="ND31" s="54">
        <f ca="1">IF(Control!$C$58=2, IF(OR(Control!$B$218=$AH31,Control!$B$219=$AH31, Control!$B$220=$AH31, Control!$B$221=$AH31, Control!$B$222=$AH31, Control!$B$223=$AH31, Control!$B$224=$AH31, Control!$B$225=$AH31, Control!$B$226=$AH31, Control!$B$227=$AH31, Control!$B$228=$AH31), 1, 0), 0)</f>
        <v>0</v>
      </c>
      <c r="NE31" s="54">
        <f ca="1">IF($ND31=0,0, VLOOKUP($AH31,Control!$B$218:$C$228,2))</f>
        <v>0</v>
      </c>
      <c r="NF31" s="168" t="e">
        <f ca="1">$CY31*(Control!$C$128-Control!$C$127)</f>
        <v>#N/A</v>
      </c>
      <c r="NG31" s="54" t="e">
        <f ca="1">IF(Control!$C$58=2, $NI30-$NJ30, 0)</f>
        <v>#DIV/0!</v>
      </c>
      <c r="NH31" s="54" t="e">
        <f ca="1">IF(AND(Control!$C$58=1, $MS30&lt;= ($MN30+0.02), $I30&lt;10), 0, IF(Control!$C$58=2, $NG30, 0))</f>
        <v>#DIV/0!</v>
      </c>
      <c r="NI31" s="54" t="e">
        <f ca="1">IF(Control!$C$58=2, $NE31+$NH31,0)</f>
        <v>#DIV/0!</v>
      </c>
      <c r="NJ31" s="54" t="e">
        <f ca="1">IF(AND(Control!$C$58=1, $MS31&lt;= ($MN31+0.02), $I31&lt;10), MAX(0, MIN(10, 0.7*($NF31-$MV31))), IF(Control!$C$58=2, MIN(10,$NI31),0))</f>
        <v>#DIV/0!</v>
      </c>
      <c r="NK31" s="54" t="e">
        <f t="shared" ca="1" si="96"/>
        <v>#DIV/0!</v>
      </c>
      <c r="NL31" s="173" t="e">
        <f ca="1">(1-Control!$C$73)*$I31+$NJ31</f>
        <v>#DIV/0!</v>
      </c>
      <c r="NM31" s="172" t="e">
        <f ca="1">IF($NL31&lt;0.5, $MB31* MAX(0, MIN(1, (SQRT($NC31)-SQRT($NC31-1))*Control!$C$71)),0)</f>
        <v>#DIV/0!</v>
      </c>
      <c r="NN31" s="170" t="e">
        <f ca="1">IF($NL31&gt;=5, $MB31, MAX(0,MIN($MB31, $NM31+$NL31,($MS31-Control!$C$129))))</f>
        <v>#DIV/0!</v>
      </c>
      <c r="NO31" s="54">
        <f>IF(Control!$C$133&lt;&gt;1, Control!$C$135-Control!$C$131, 0)</f>
        <v>0.38</v>
      </c>
      <c r="NP31" s="54" t="e">
        <f t="shared" ca="1" si="97"/>
        <v>#DIV/0!</v>
      </c>
      <c r="NQ31" s="173" t="e">
        <f ca="1">MAX(0,MIN(1,(Control!$C$135-$MS31)/(Control!$C$135-$NO31)))</f>
        <v>#DIV/0!</v>
      </c>
      <c r="NR31" s="170" t="e">
        <f ca="1">IF(Control!$C$133&lt;&gt;1, $NQ31+((1-$NP31/4)*(1-$NQ31)),1)</f>
        <v>#DIV/0!</v>
      </c>
      <c r="NS31" s="170" t="e">
        <f ca="1">IF(Control!$B$31=0,$MJ31,MAX(0,MIN($MV31,$MO31*$NR31*$MJ31)))</f>
        <v>#DIV/0!</v>
      </c>
      <c r="NT31" s="170" t="e">
        <f t="shared" ca="1" si="227"/>
        <v>#DIV/0!</v>
      </c>
      <c r="NU31" s="170" t="e">
        <f t="shared" ca="1" si="180"/>
        <v>#N/A</v>
      </c>
      <c r="NV31" s="170" t="e">
        <f t="shared" ca="1" si="98"/>
        <v>#N/A</v>
      </c>
      <c r="NW31" s="175" t="e">
        <f t="shared" ca="1" si="99"/>
        <v>#DIV/0!</v>
      </c>
      <c r="NX31" s="170" t="e">
        <f ca="1">MIN(Control!$C$72+$MU31, $NW31)</f>
        <v>#DIV/0!</v>
      </c>
      <c r="NY31" s="170" t="e">
        <f ca="1">IF($MT31&lt;=$NX31,MIN(Control!$C$72+$NB31,$NX31-$MT31),0)</f>
        <v>#DIV/0!</v>
      </c>
      <c r="NZ31" s="54" t="e">
        <f ca="1">IF(Control!$C$114=1,  $CX31*($MX31-Control!$C$127), 0)</f>
        <v>#DIV/0!</v>
      </c>
      <c r="OA31" s="170" t="e">
        <f t="shared" ca="1" si="181"/>
        <v>#DIV/0!</v>
      </c>
      <c r="OB31" s="170" t="e">
        <f ca="1">IF($NA31 &lt;=$NY31, MIN(Control!$C$72, $NY31-$NA31), 0)</f>
        <v>#DIV/0!</v>
      </c>
      <c r="OC31" s="168" t="e">
        <f t="shared" ca="1" si="100"/>
        <v>#DIV/0!</v>
      </c>
      <c r="OD31" s="168" t="e">
        <f t="shared" ca="1" si="182"/>
        <v>#DIV/0!</v>
      </c>
      <c r="OE31" s="170">
        <f ca="1">Control!$C$73*$I31</f>
        <v>0</v>
      </c>
      <c r="OF31" s="176" t="e">
        <f t="shared" ca="1" si="101"/>
        <v>#DIV/0!</v>
      </c>
      <c r="OG31" s="168" t="e">
        <f t="shared" ca="1" si="102"/>
        <v>#DIV/0!</v>
      </c>
      <c r="OH31" s="168" t="e">
        <f t="shared" ca="1" si="103"/>
        <v>#DIV/0!</v>
      </c>
      <c r="OI31" s="168" t="e">
        <f t="shared" ca="1" si="104"/>
        <v>#DIV/0!</v>
      </c>
      <c r="OJ31" s="168" t="e">
        <f t="shared" ca="1" si="105"/>
        <v>#DIV/0!</v>
      </c>
      <c r="OK31" s="204" t="e">
        <f t="shared" ca="1" si="183"/>
        <v>#DIV/0!</v>
      </c>
      <c r="OL31" s="177">
        <f>Control!$C$127</f>
        <v>0.15</v>
      </c>
      <c r="OM31" s="182" t="e">
        <f t="shared" ca="1" si="106"/>
        <v>#N/A</v>
      </c>
      <c r="ON31" s="177">
        <f>Control!$C$128</f>
        <v>0.35</v>
      </c>
      <c r="OO31" s="182" t="e">
        <f t="shared" ca="1" si="107"/>
        <v>#N/A</v>
      </c>
      <c r="OP31" s="138">
        <f t="shared" ca="1" si="184"/>
        <v>0</v>
      </c>
      <c r="OQ31" s="138" t="e">
        <f t="shared" ca="1" si="211"/>
        <v>#DIV/0!</v>
      </c>
      <c r="OR31" s="138" t="e">
        <f t="shared" ca="1" si="185"/>
        <v>#DIV/0!</v>
      </c>
      <c r="OS31" s="137" t="e">
        <f t="shared" ca="1" si="212"/>
        <v>#DIV/0!</v>
      </c>
      <c r="OT31" s="139" t="e">
        <f t="shared" ca="1" si="213"/>
        <v>#DIV/0!</v>
      </c>
      <c r="OU31" s="138" t="e">
        <f t="shared" ca="1" si="214"/>
        <v>#N/A</v>
      </c>
      <c r="OV31" s="138" t="e">
        <f t="shared" ca="1" si="215"/>
        <v>#DIV/0!</v>
      </c>
      <c r="OW31" s="138" t="e">
        <f t="shared" ca="1" si="186"/>
        <v>#DIV/0!</v>
      </c>
      <c r="OX31" s="138" t="e">
        <f t="shared" ca="1" si="187"/>
        <v>#DIV/0!</v>
      </c>
      <c r="OY31" s="138" t="e">
        <f t="shared" ca="1" si="188"/>
        <v>#DIV/0!</v>
      </c>
      <c r="OZ31" s="138" t="e">
        <f t="shared" ca="1" si="108"/>
        <v>#DIV/0!</v>
      </c>
      <c r="PA31" s="138" t="e">
        <f t="shared" ca="1" si="109"/>
        <v>#DIV/0!</v>
      </c>
      <c r="PB31" s="55">
        <f>IF(Control!$C$61="T", IF(Control!$C$65="F", IF($AH$6-Control!$C$60&lt;0,0,1), IF(365+$AH$6-Control!$C$60&lt;0,0,1)),0)</f>
        <v>0</v>
      </c>
      <c r="PC31" s="55">
        <f ca="1">IF(Control!$C$65="F", IF($AH$6-$HF31&lt;0,0,1), IF(365+$AH$6-$HF31&lt;0,0,1))</f>
        <v>1</v>
      </c>
      <c r="PD31" s="444">
        <f>Control!$C$118</f>
        <v>1500</v>
      </c>
      <c r="PE31" s="180" t="e">
        <f t="shared" ca="1" si="110"/>
        <v>#N/A</v>
      </c>
      <c r="PF31" s="445">
        <f t="shared" ca="1" si="189"/>
        <v>0.71612369323045078</v>
      </c>
      <c r="PT31" s="186"/>
      <c r="PU31" s="186"/>
      <c r="PV31" s="94"/>
      <c r="PW31" s="94"/>
      <c r="PX31" s="94"/>
      <c r="PY31" s="94"/>
      <c r="PZ31" s="94"/>
      <c r="QA31" s="94"/>
      <c r="QB31" s="94"/>
      <c r="QC31" s="94"/>
      <c r="QD31" s="94"/>
      <c r="QE31" s="94"/>
      <c r="QF31" s="94"/>
      <c r="QG31" s="94"/>
      <c r="QH31" s="94"/>
      <c r="QI31" s="94"/>
      <c r="QJ31" s="94"/>
      <c r="QK31" s="94"/>
      <c r="QL31" s="94"/>
      <c r="QM31" s="94"/>
      <c r="QN31" s="94"/>
      <c r="QO31" s="94"/>
      <c r="QP31" s="94"/>
    </row>
    <row r="32" spans="1:458" s="2" customFormat="1" x14ac:dyDescent="0.2">
      <c r="A32" s="386">
        <v>27</v>
      </c>
      <c r="B32" s="387">
        <v>1</v>
      </c>
      <c r="C32" s="387">
        <f ca="1">Weather_data!$B31</f>
        <v>0</v>
      </c>
      <c r="D32" s="388">
        <f ca="1">Weather_data!$F31</f>
        <v>0</v>
      </c>
      <c r="E32" s="388">
        <f ca="1">Weather_data!$E31</f>
        <v>0</v>
      </c>
      <c r="F32" s="388">
        <f t="shared" ca="1" si="111"/>
        <v>0</v>
      </c>
      <c r="G32" s="388">
        <f ca="1">AVERAGE($D32:$E32)+Control!$B$9</f>
        <v>0</v>
      </c>
      <c r="H32" s="388">
        <f ca="1">Weather_data!$G31</f>
        <v>0</v>
      </c>
      <c r="I32" s="388">
        <f ca="1">Weather_data!$I31</f>
        <v>0</v>
      </c>
      <c r="J32" s="388">
        <f ca="1">Weather_data!$H31</f>
        <v>0</v>
      </c>
      <c r="K32" s="389">
        <f ca="1">Weather_data!$D31</f>
        <v>0</v>
      </c>
      <c r="L32" s="388" t="e">
        <f t="shared" ca="1" si="112"/>
        <v>#N/A</v>
      </c>
      <c r="M32" s="388" t="e">
        <f t="shared" ca="1" si="0"/>
        <v>#N/A</v>
      </c>
      <c r="N32" s="388">
        <f t="shared" ca="1" si="1"/>
        <v>-3.230540944613336E-2</v>
      </c>
      <c r="O32" s="388">
        <f t="shared" ca="1" si="113"/>
        <v>0.3230540944613336</v>
      </c>
      <c r="P32" s="390">
        <v>3</v>
      </c>
      <c r="Q32" s="388">
        <f ca="1">MAX($G32-Control!$C$107,0)</f>
        <v>0</v>
      </c>
      <c r="R32" s="388">
        <f t="shared" ca="1" si="114"/>
        <v>0</v>
      </c>
      <c r="S32" s="388">
        <f t="shared" ca="1" si="2"/>
        <v>0</v>
      </c>
      <c r="T32" s="388">
        <f t="shared" ca="1" si="3"/>
        <v>0</v>
      </c>
      <c r="U32" s="59">
        <f t="shared" ca="1" si="4"/>
        <v>0</v>
      </c>
      <c r="V32" s="391">
        <f ca="1">MAX(0,MIN(Control!$C$100-Control!$C$99,$G32-Control!$C$99)*Control!$C$63)</f>
        <v>0</v>
      </c>
      <c r="W32" s="388">
        <f t="shared" ca="1" si="190"/>
        <v>0</v>
      </c>
      <c r="X32" s="388">
        <f t="shared" ca="1" si="115"/>
        <v>0.6110000000000001</v>
      </c>
      <c r="Y32" s="388">
        <f t="shared" ca="1" si="116"/>
        <v>0</v>
      </c>
      <c r="Z32" s="388">
        <f t="shared" ca="1" si="117"/>
        <v>0.61058800000000002</v>
      </c>
      <c r="AA32" s="388">
        <f t="shared" ca="1" si="5"/>
        <v>0.6018</v>
      </c>
      <c r="AB32" s="388">
        <f ca="1">101.3*EXP(-0.034*Control!$C$66/($G32+273))</f>
        <v>100.69623283836242</v>
      </c>
      <c r="AC32" s="392">
        <f t="shared" ca="1" si="6"/>
        <v>4.3460251046025113E-2</v>
      </c>
      <c r="AD32" s="392">
        <f t="shared" ca="1" si="7"/>
        <v>4.4450382862832649E-2</v>
      </c>
      <c r="AE32" s="388">
        <f t="shared" ca="1" si="8"/>
        <v>0</v>
      </c>
      <c r="AF32" s="388">
        <f ca="1">MAX(0,$G32-Control!$C$92)</f>
        <v>0</v>
      </c>
      <c r="AG32" s="393">
        <f t="shared" ca="1" si="118"/>
        <v>27</v>
      </c>
      <c r="AH32" s="389">
        <f t="shared" ca="1" si="9"/>
        <v>27</v>
      </c>
      <c r="AI32" s="388">
        <f t="shared" ca="1" si="119"/>
        <v>-0.32564756620726093</v>
      </c>
      <c r="AJ32" s="388">
        <f ca="1">IF(Control!$C$60&lt;=0,$HH32,$HI32)</f>
        <v>1</v>
      </c>
      <c r="AK32" s="388">
        <f t="shared" ca="1" si="10"/>
        <v>-0.91235293501511805</v>
      </c>
      <c r="AL32" s="388">
        <f t="shared" ca="1" si="11"/>
        <v>5.4106545632759404E-19</v>
      </c>
      <c r="AM32" s="388">
        <f t="shared" ca="1" si="12"/>
        <v>-0.91235293501511805</v>
      </c>
      <c r="AN32" s="388">
        <f t="shared" ca="1" si="13"/>
        <v>-0.32007545287066502</v>
      </c>
      <c r="AO32" s="388">
        <f ca="1">-0.10453/COS(Control!$B$8*PI()/180)*COS(AN32)</f>
        <v>-0.16116177628769876</v>
      </c>
      <c r="AP32" s="388">
        <f ca="1">ACOS(AO32-TAN(Control!$B$8*PI()/180)*TAN(AN32))</f>
        <v>1.3045576509665193</v>
      </c>
      <c r="AQ32" s="388">
        <f t="shared" ca="1" si="120"/>
        <v>0</v>
      </c>
      <c r="AR32" s="394">
        <f t="shared" ca="1" si="14"/>
        <v>0</v>
      </c>
      <c r="AS32" s="436">
        <f ca="1">IF(Control!$B$18=2,(IF(OR($AH32=Control!$B$175,$AH32=Control!$B$176,$AH32=Control!$B$177,$AH32=Control!$B$178,$AH32=Control!$B$179,$AH32=Control!$B$180,$AH32=Control!$B$181,$AH32=Control!$B$182,$AH32=Control!$B$183,$AH32=Control!$B$184,$AH32=Control!$B$185),1,0)),0)</f>
        <v>0</v>
      </c>
      <c r="AT32" s="436">
        <f>IF(Control!$B$20=8,IF(AND($AH32&gt;=Control!$B$172,$AH32&lt;=Control!$B$173),1,0),0)</f>
        <v>0</v>
      </c>
      <c r="AU32" s="436">
        <f>IF(Control!$B$20=8,IF($AV31=1,1*$AT32,IF($AT32=1,$AU31+1,$AU31)),0)</f>
        <v>0</v>
      </c>
      <c r="AV32" s="436">
        <f>IF(Control!$B$20=8,IF($AU32&gt;=Control!$B$174,1,0),0)</f>
        <v>0</v>
      </c>
      <c r="AW32" s="436">
        <f ca="1">IF(AND(Control!$B$18=2,Control!$B$171=1), $AV32, $AS32)</f>
        <v>0</v>
      </c>
      <c r="AX32" s="436" t="e">
        <f ca="1">IF(AND(Control!$B$18=1,$EU32&gt;=Control!$B$19),-$AY32,IF(AND(Control!$B$18=2,$AW32=1,$EU32&gt;$DS32),-$AY32, IF(Control!$C$108=0,0, IF(Control!$C$108&lt;&gt;0,1))))</f>
        <v>#N/A</v>
      </c>
      <c r="AY32" s="436" t="e">
        <f t="shared" ca="1" si="121"/>
        <v>#N/A</v>
      </c>
      <c r="AZ32" s="436" t="e">
        <f ca="1">IF(AND(Control!$B$18=1,$EB32&gt;Control!$B$19),$AZ31+1, IF(AND(Control!$B$18=2, $AW32=1, $EB32&gt;$DS32), $AZ31+1,$AZ31))</f>
        <v>#N/A</v>
      </c>
      <c r="BA32" s="587">
        <f>IF(Control!$C$81=0,1,IF($AH32&gt;=Control!$C$82,1,0))</f>
        <v>1</v>
      </c>
      <c r="BB32" s="140" t="e">
        <f ca="1">IF($BA32&gt;$BA31,Control!$C$83,IF($AW32&gt;0,$AW32*Control!$C$84,IF(AND(Control!$B$18=1,EN31&lt;&gt;0),Control!$C$84,0)))</f>
        <v>#N/A</v>
      </c>
      <c r="BC32" s="140" t="e">
        <f t="shared" ca="1" si="122"/>
        <v>#N/A</v>
      </c>
      <c r="BD32" s="140" t="e">
        <f ca="1">BC32*IF(OR($G32&lt;Control!$C$92,$G32&gt;Control!$C$95),0,IF(AND($G32&gt;=Control!$C$92,$G32&lt;=Control!$C$93),$G32-Control!$C$92,IF(AND($G32&gt;Control!$C$93,$G32&lt;=Control!$C$94),Control!$C$93-Control!$C$92,IF(AND($G32&gt;Control!$C$94,$G32&lt;=Control!$C$95),(Control!$C$93-Control!$C$92)*(Control!$C$94-$G32)/(Control!$C$95-Control!$C$94)))))</f>
        <v>#N/A</v>
      </c>
      <c r="BE32" s="140" t="e">
        <f t="shared" ca="1" si="123"/>
        <v>#N/A</v>
      </c>
      <c r="BF32" s="140" t="e">
        <f ca="1">IF($BE32&lt;=Control!$C$86,$BE32,Control!$C$86-$BE32)</f>
        <v>#N/A</v>
      </c>
      <c r="BG32" s="140" t="e">
        <f ca="1">IF(AND($AW32=1,Control!$C$84&lt;9),1,IF($BE32&gt;=Control!$C$86,0,$BC32))</f>
        <v>#N/A</v>
      </c>
      <c r="BH32" s="404" t="e">
        <f ca="1">IF($BG32=0,0,IF($BE32&lt;=Control!$C$86,$BC32*9*($BF32/Control!$C$86),0))</f>
        <v>#N/A</v>
      </c>
      <c r="BI32" s="140" t="e">
        <f ca="1">IF($BG32=1,0,IF($BE32&gt;=Control!$C$86,1,IF(AND($BB32&lt;21,$BB32&gt;=9),1,$BM31)))</f>
        <v>#N/A</v>
      </c>
      <c r="BJ32" s="140" t="e">
        <f ca="1">IF($BF32&lt;0,-$BF32,$BI32*IF(OR($G32&lt;Control!$C$92,$G32&gt;Control!$C$95),0,IF(AND($G32&gt;=Control!$C$92,$G32&lt;=Control!$C$93),$G32-Control!$C$92,IF(AND($G32&gt;Control!$C$93,$G32&lt;=Control!$C$94),Control!$C$93-Control!$C$92,IF(AND($G32&gt;Control!$C$94,$G32&lt;=Control!$C$95),(Control!$C$93-Control!$C$92)*(Control!$C$94-$G32)/(Control!$C$95-Control!$C$94))))))</f>
        <v>#N/A</v>
      </c>
      <c r="BK32" s="140" t="e">
        <f t="shared" ca="1" si="124"/>
        <v>#N/A</v>
      </c>
      <c r="BL32" s="140" t="e">
        <f ca="1">IF($BK32&lt;=Control!$C$87,$BK32,Control!$C$87-$BK32)</f>
        <v>#N/A</v>
      </c>
      <c r="BM32" s="140" t="e">
        <f ca="1">IF(AND($BB32&gt;=9,$BB32&lt;21),1,IF($BK32&gt;=Control!$C$87,0,$BI32))</f>
        <v>#N/A</v>
      </c>
      <c r="BN32" s="404" t="e">
        <f ca="1">IF($BM32=0,0,IF($BK32&lt;=Control!$C$87,$BI32*(9+(21-9)*($BL32/Control!$C$87)),0))</f>
        <v>#N/A</v>
      </c>
      <c r="BO32" s="140" t="e">
        <f ca="1">IF($BM32=1,0,IF($BK32&gt;=Control!$C$87,1,IF(AND($BB32&lt;30,$BB32&gt;=21),1,$BS31)))</f>
        <v>#N/A</v>
      </c>
      <c r="BP32" s="140" t="e">
        <f ca="1">IF($BL32&lt;0,-$BL32,$BO32*IF(OR($G32&lt;Control!$C$92,$G32&gt;Control!$C$95),0,IF(AND($G32&gt;=Control!$C$92,$G32&lt;=Control!$C$93),$G32-Control!$C$92,IF(AND($G32&gt;Control!$C$93,$G32&lt;=Control!$C$94),Control!$C$93-Control!$C$92,IF(AND($G32&gt;Control!$C$94,$G32&lt;=Control!$C$95),(Control!$C$93-Control!$C$92)*(Control!$C$94-$G32)/(Control!$C$95-Control!$C$94))))))</f>
        <v>#N/A</v>
      </c>
      <c r="BQ32" s="140" t="e">
        <f t="shared" ca="1" si="15"/>
        <v>#N/A</v>
      </c>
      <c r="BR32" s="140" t="e">
        <f ca="1">IF($BQ32&lt;=Control!$C$88,$BQ32,Control!$C$88-$BQ32)</f>
        <v>#N/A</v>
      </c>
      <c r="BS32" s="140" t="e">
        <f ca="1">IF(AND($BB32&gt;=21,$BB32&lt;30),1,IF($BQ32&gt;=Control!$C$88,0,$BO32))</f>
        <v>#N/A</v>
      </c>
      <c r="BT32" s="404" t="e">
        <f ca="1">IF($BS32=0,0,IF($BQ32&lt;=Control!$C$88,$BO32*(21+(30-21)*(BR32/Control!$C$88)),0))</f>
        <v>#N/A</v>
      </c>
      <c r="BU32" s="140" t="e">
        <f ca="1">IF(BG32+BM32+BS32=1,0,IF(OR(AND($BB32&lt;60,$BB32&gt;=30),$BQ32&gt;=Control!$C$88),1*$BA32,$BY31))</f>
        <v>#N/A</v>
      </c>
      <c r="BV32" s="140" t="e">
        <f ca="1">IF($BR32&lt;0,-$BR32,$BU32*IF(OR($G32&lt;Control!$C$92,$G32&gt;Control!$C$95),0,IF(AND($G32&gt;=Control!$C$92,$G32&lt;=Control!$C$93),$G32-Control!$C$92,IF(AND($G32&gt;Control!$C$93,$G32&lt;=Control!$C$94),Control!$C$93-Control!$C$92,IF(AND($G32&gt;Control!$C$94,$G32&lt;=Control!$C$95),(Control!$C$93-Control!$C$92)*(Control!$C$94-$G32)/(Control!$C$95-Control!$C$94))))))</f>
        <v>#N/A</v>
      </c>
      <c r="BW32" s="140" t="e">
        <f t="shared" ca="1" si="16"/>
        <v>#N/A</v>
      </c>
      <c r="BX32" s="140" t="e">
        <f ca="1">IF($BW32&lt;=Control!$C$89,$BW32,Control!$C$89-$BW32)</f>
        <v>#N/A</v>
      </c>
      <c r="BY32" s="140" t="e">
        <f ca="1">IF(AND($AJ32&gt;=30,$AJ32&lt;60),1,IF($BW32&gt;=Control!$C$89,0,$BU32))</f>
        <v>#N/A</v>
      </c>
      <c r="BZ32" s="404" t="e">
        <f ca="1">IF($BY32=0,0,IF($BW32&lt;=Control!$C$89,$BU32*(30+(60-30)*(BX32/Control!$C$89)),0))</f>
        <v>#N/A</v>
      </c>
      <c r="CA32" s="140" t="e">
        <f ca="1">IF($BG32+$BM32+$BS32+$BY32=1,0,IF(OR(AND($BB32&lt;65,$BB32&gt;=60),$BW32&gt;=Control!$C$89),1*$BA32,$CE31))</f>
        <v>#N/A</v>
      </c>
      <c r="CB32" s="140" t="e">
        <f ca="1">IF($BX32&lt;0,-$BX32,$CA32*IF(OR($G32&lt;Control!$C$92,$G32&gt;Control!$C$95),0,IF(AND($G32&gt;=Control!$C$92,$G32&lt;=Control!$C$93),$G32-Control!$C$92,IF(AND($G32&gt;Control!$C$93,$G32&lt;=Control!$C$94),Control!$C$93-Control!$C$92,IF(AND($G32&gt;Control!$C$94,$G32&lt;=Control!$C$95),(Control!$C$93-Control!$C$92)*(Control!$C$94-$G32)/(Control!$C$95-Control!$C$94))))))</f>
        <v>#N/A</v>
      </c>
      <c r="CC32" s="140" t="e">
        <f t="shared" ca="1" si="125"/>
        <v>#N/A</v>
      </c>
      <c r="CD32" s="140" t="e">
        <f ca="1">IF($CC32&lt;=Control!$C$90,$CC32,Control!$C$90-$CC32)</f>
        <v>#N/A</v>
      </c>
      <c r="CE32" s="140" t="e">
        <f ca="1">IF(AND($BB32&gt;=60,$BB32&lt;65),1,IF($CC32&gt;=Control!$C$90,0,$CA32))</f>
        <v>#N/A</v>
      </c>
      <c r="CF32" s="404" t="e">
        <f ca="1">IF($CE32=0,0,IF($CC32&lt;=Control!$C$90,$CA32*(60+(65-60)*(CD32/Control!$C$90)),0))</f>
        <v>#N/A</v>
      </c>
      <c r="CG32" s="140" t="e">
        <f ca="1">IF($BG32+$BM32+$BS32+$BY32+$CE32=1,0,IF(OR(AND($BB32&lt;90,$BB32&gt;=65),$CC32&gt;=Control!$C$90),$BA32,$CK31))</f>
        <v>#N/A</v>
      </c>
      <c r="CH32" s="140" t="e">
        <f ca="1">IF($CD32&lt;0,-$CD32,$CG32*IF(OR($G32&lt;Control!$C$92,$G32&gt;Control!$C$95),0,IF(AND($G32&gt;=Control!$C$92,$G32&lt;=Control!$C$93),$G32-Control!$C$92,IF(AND($G32&gt;Control!$C$93,$G32&lt;=Control!$C$94),Control!$C$93-Control!$C$92,IF(AND($G32&gt;Control!$C$94,$G32&lt;=Control!$C$95),(Control!$C$93-Control!$C$92)*(Control!$C$94-$G32)/(Control!$C$95-Control!$C$94))))))</f>
        <v>#N/A</v>
      </c>
      <c r="CI32" s="140" t="e">
        <f t="shared" ca="1" si="126"/>
        <v>#N/A</v>
      </c>
      <c r="CJ32" s="140" t="e">
        <f ca="1">IF($CI32&lt;=Control!$C$91,$CI32,Control!$C$91-$CI32)</f>
        <v>#N/A</v>
      </c>
      <c r="CK32" s="140" t="e">
        <f ca="1">IF(AND($BB32&gt;=65,$BB32&lt;90),1,IF($CI32&gt;=Control!$C$91,0,$CG32))</f>
        <v>#N/A</v>
      </c>
      <c r="CL32" s="404" t="e">
        <f ca="1">IF($CK32=0,0,IF($CI32&lt;=Control!$C$91,$CG32*(65+(90-65)*($CJ32/Control!$C$91)),0))</f>
        <v>#N/A</v>
      </c>
      <c r="CM32" s="140" t="e">
        <f ca="1">IF($BG32+$BM32+$BS32+$BY32+$CE32+$CK32=1,0,IF(OR($BB32&gt;=90,$CI32&gt;=Control!$C$91),$BA32,$CM31))</f>
        <v>#N/A</v>
      </c>
      <c r="CN32" s="140" t="e">
        <f t="shared" ca="1" si="127"/>
        <v>#N/A</v>
      </c>
      <c r="CO32" s="140" t="e">
        <f t="shared" ca="1" si="128"/>
        <v>#N/A</v>
      </c>
      <c r="CP32" s="140" t="e">
        <f t="shared" ca="1" si="129"/>
        <v>#N/A</v>
      </c>
      <c r="CQ32" s="141" t="e">
        <f ca="1">VLOOKUP($CP32,Control!$B$86:$G$91,6)</f>
        <v>#N/A</v>
      </c>
      <c r="CR32" s="141" t="e">
        <f ca="1">(1-$CQ32)*VLOOKUP($CP32,Control!$B$86:$D$91,3)</f>
        <v>#N/A</v>
      </c>
      <c r="CS32" s="141" t="e">
        <f ca="1">(1-$CQ32)*VLOOKUP($CP32,Control!$B$86:$E$91,4)</f>
        <v>#N/A</v>
      </c>
      <c r="CT32" s="141" t="e">
        <f ca="1">(1-$CQ32)*VLOOKUP($CP32,Control!$B$86:$F$91,5)</f>
        <v>#N/A</v>
      </c>
      <c r="CU32" s="141">
        <f t="shared" ca="1" si="130"/>
        <v>0</v>
      </c>
      <c r="CV32" s="583">
        <f t="shared" ca="1" si="131"/>
        <v>0</v>
      </c>
      <c r="CW32" s="142">
        <f t="shared" ca="1" si="132"/>
        <v>27</v>
      </c>
      <c r="CX32" s="612" t="e">
        <f ca="1">IF(Control!$C$114=1,(MIN(Control!$C$120*(IF($NT32-0.01&lt;0,0,1)),Control!$C$119-$CY32)))</f>
        <v>#DIV/0!</v>
      </c>
      <c r="CY32" s="143" t="e">
        <f t="shared" ca="1" si="133"/>
        <v>#N/A</v>
      </c>
      <c r="CZ32" s="144">
        <f t="shared" ca="1" si="17"/>
        <v>0</v>
      </c>
      <c r="DA32" s="144">
        <f t="shared" ca="1" si="18"/>
        <v>0</v>
      </c>
      <c r="DB32" s="144" t="e">
        <f t="shared" ca="1" si="19"/>
        <v>#N/A</v>
      </c>
      <c r="DC32" s="144" t="e">
        <f t="shared" ca="1" si="20"/>
        <v>#N/A</v>
      </c>
      <c r="DD32" s="144" t="e">
        <f t="shared" ca="1" si="216"/>
        <v>#N/A</v>
      </c>
      <c r="DE32" s="143" t="e">
        <f t="shared" ca="1" si="135"/>
        <v>#N/A</v>
      </c>
      <c r="DF32" s="145" t="e">
        <f ca="1">$DR32*EXP(-Control!$C$158*(1-$KH32))</f>
        <v>#N/A</v>
      </c>
      <c r="DG32" s="146" t="e">
        <f ca="1">IF(Control!$C$114=1, $DF32*$EY32, 0)</f>
        <v>#N/A</v>
      </c>
      <c r="DH32" s="147" t="e">
        <f t="shared" ca="1" si="136"/>
        <v>#N/A</v>
      </c>
      <c r="DI32" s="144" t="e">
        <f t="shared" ca="1" si="191"/>
        <v>#N/A</v>
      </c>
      <c r="DJ32" s="147" t="e">
        <f ca="1">$EF32*Control!$C$109</f>
        <v>#N/A</v>
      </c>
      <c r="DK32" s="144" t="e">
        <f t="shared" ca="1" si="137"/>
        <v>#N/A</v>
      </c>
      <c r="DL32" s="144" t="e">
        <f t="shared" ca="1" si="21"/>
        <v>#N/A</v>
      </c>
      <c r="DM32" s="144" t="e">
        <f ca="1">IF(Control!$C$114=1, (1-EXP(-Control!$C$96*$DK32))*$AR32, 0)</f>
        <v>#N/A</v>
      </c>
      <c r="DN32" s="144">
        <f t="shared" ca="1" si="138"/>
        <v>0</v>
      </c>
      <c r="DO32" s="148">
        <f>Control!$C$97</f>
        <v>4</v>
      </c>
      <c r="DP32" s="145" t="e">
        <f t="shared" ca="1" si="139"/>
        <v>#N/A</v>
      </c>
      <c r="DQ32" s="145" t="e">
        <f ca="1">IF(AND($CP32&gt;=0,$CP32&lt;=90),Control!$C$111,Control!$C$111)</f>
        <v>#N/A</v>
      </c>
      <c r="DR32" s="145" t="e">
        <f t="shared" ca="1" si="22"/>
        <v>#N/A</v>
      </c>
      <c r="DS32" s="143" t="e">
        <f ca="1">Control!$B$22/$DR32</f>
        <v>#N/A</v>
      </c>
      <c r="DT32" s="149" t="e">
        <f ca="1">IF(AND(Control!$C$114=1,$KH32&lt;1),$IM32*$DF32, 0)</f>
        <v>#N/A</v>
      </c>
      <c r="DU32" s="144" t="e">
        <f t="shared" ca="1" si="192"/>
        <v>#N/A</v>
      </c>
      <c r="DV32" s="144">
        <f ca="1">IF($G32-Control!$C$107&lt;=0, 0, 0.83*LN(MAX($G32, 3))-0.8924)</f>
        <v>0</v>
      </c>
      <c r="DW32" s="144" t="e">
        <f t="shared" ca="1" si="23"/>
        <v>#N/A</v>
      </c>
      <c r="DX32" s="150" t="e">
        <f ca="1">MAX(0.01*(1+$CU32/Control!$C$102),0.05*($DK32-Control!$C$97)/Control!$C$97)</f>
        <v>#N/A</v>
      </c>
      <c r="DY32" s="151" t="e">
        <f ca="1">IF(Control!$C$114=1, $DI32*$FS32, 0)</f>
        <v>#N/A</v>
      </c>
      <c r="DZ32" s="196" t="e">
        <f t="shared" ca="1" si="140"/>
        <v>#N/A</v>
      </c>
      <c r="EA32" s="152">
        <f t="shared" ca="1" si="141"/>
        <v>27</v>
      </c>
      <c r="EB32" s="153" t="e">
        <f t="shared" ca="1" si="217"/>
        <v>#N/A</v>
      </c>
      <c r="EC32" s="153" t="e">
        <f t="shared" ca="1" si="142"/>
        <v>#N/A</v>
      </c>
      <c r="ED32" s="154" t="e">
        <f ca="1">IF(Control!$C$114=1, $HM32*$FY32-$FD32, 0)</f>
        <v>#DIV/0!</v>
      </c>
      <c r="EE32" s="155" t="e">
        <f ca="1">IF(Control!$C$114=1, $HM32*$FZ32-$FF32, 0)</f>
        <v>#DIV/0!</v>
      </c>
      <c r="EF32" s="153" t="e">
        <f t="shared" ca="1" si="193"/>
        <v>#N/A</v>
      </c>
      <c r="EG32" s="155" t="e">
        <f ca="1">IF(Control!$C$114=1, $GX32*$FW32-$FI32, 0)</f>
        <v>#DIV/0!</v>
      </c>
      <c r="EH32" s="153" t="e">
        <f t="shared" ca="1" si="143"/>
        <v>#N/A</v>
      </c>
      <c r="EI32" s="156" t="e">
        <f t="shared" ca="1" si="144"/>
        <v>#N/A</v>
      </c>
      <c r="EJ32" s="155" t="e">
        <f ca="1">IF(Control!$C$114=1, $HM32*$GB32, 0)</f>
        <v>#DIV/0!</v>
      </c>
      <c r="EK32" s="153" t="e">
        <f t="shared" ca="1" si="194"/>
        <v>#N/A</v>
      </c>
      <c r="EL32" s="153" t="e">
        <f t="shared" ca="1" si="24"/>
        <v>#N/A</v>
      </c>
      <c r="EM32" s="153" t="e">
        <f t="shared" ca="1" si="25"/>
        <v>#N/A</v>
      </c>
      <c r="EN32" s="153" t="e">
        <f ca="1">IF(Control!$C$108=1,IF(AND(Control!$B$18=1,$EB32&gt;=Control!$B$19),$EB32-$DS32,IF(AND(Control!$B$18=2,$AW32=1,$EB32&gt;$DS32),$EB32-$DS32,0)))</f>
        <v>#N/A</v>
      </c>
      <c r="EO32" s="153" t="e">
        <f ca="1">IF(Control!$C$108=1,IF(AND(Control!$B$18=1,$EB32&gt;=Control!$B$19),$EF32,IF(AND(Control!$B$18=2,$AW32=1),$EF32,0)))</f>
        <v>#N/A</v>
      </c>
      <c r="EP32" s="153" t="e">
        <f ca="1">IF(Control!$C$108=1,IF(AND(Control!$B$18=1,$EB32&gt;=Control!$B$19),$EK32,IF(AND(Control!$B$18=2,$AW32=1),$EK32,0)))</f>
        <v>#N/A</v>
      </c>
      <c r="EQ32" s="153" t="e">
        <f t="shared" ca="1" si="145"/>
        <v>#N/A</v>
      </c>
      <c r="ER32" s="153" t="e">
        <f t="shared" ca="1" si="195"/>
        <v>#N/A</v>
      </c>
      <c r="ES32" s="153" t="e">
        <f t="shared" ca="1" si="196"/>
        <v>#N/A</v>
      </c>
      <c r="ET32" s="153" t="e">
        <f t="shared" ca="1" si="197"/>
        <v>#N/A</v>
      </c>
      <c r="EU32" s="153" t="e">
        <f t="shared" ca="1" si="198"/>
        <v>#N/A</v>
      </c>
      <c r="EV32" s="153" t="e">
        <f t="shared" ca="1" si="146"/>
        <v>#N/A</v>
      </c>
      <c r="EW32" s="153" t="e">
        <f t="shared" ca="1" si="218"/>
        <v>#N/A</v>
      </c>
      <c r="EX32" s="153" t="e">
        <f t="shared" ca="1" si="26"/>
        <v>#N/A</v>
      </c>
      <c r="EY32" s="157" t="e">
        <f t="shared" ca="1" si="147"/>
        <v>#DIV/0!</v>
      </c>
      <c r="EZ32" s="154" t="e">
        <f t="shared" ca="1" si="27"/>
        <v>#DIV/0!</v>
      </c>
      <c r="FA32" s="153" t="e">
        <f t="shared" ca="1" si="199"/>
        <v>#N/A</v>
      </c>
      <c r="FB32" s="153" t="e">
        <f t="shared" ca="1" si="28"/>
        <v>#N/A</v>
      </c>
      <c r="FC32" s="193" t="e">
        <f t="shared" ca="1" si="29"/>
        <v>#N/A</v>
      </c>
      <c r="FD32" s="158" t="e">
        <f t="shared" ca="1" si="200"/>
        <v>#N/A</v>
      </c>
      <c r="FE32" s="158" t="e">
        <f t="shared" ca="1" si="148"/>
        <v>#N/A</v>
      </c>
      <c r="FF32" s="159" t="e">
        <f t="shared" ca="1" si="30"/>
        <v>#N/A</v>
      </c>
      <c r="FG32" s="160" t="e">
        <f t="shared" ca="1" si="149"/>
        <v>#N/A</v>
      </c>
      <c r="FH32" s="158" t="e">
        <f t="shared" ca="1" si="150"/>
        <v>#N/A</v>
      </c>
      <c r="FI32" s="159" t="e">
        <f t="shared" ca="1" si="31"/>
        <v>#N/A</v>
      </c>
      <c r="FJ32" s="160" t="e">
        <f t="shared" ca="1" si="151"/>
        <v>#N/A</v>
      </c>
      <c r="FK32" s="160" t="e">
        <f t="shared" ca="1" si="32"/>
        <v>#N/A</v>
      </c>
      <c r="FL32" s="160" t="e">
        <f t="shared" ca="1" si="229"/>
        <v>#N/A</v>
      </c>
      <c r="FM32" s="160" t="e">
        <f t="shared" ca="1" si="33"/>
        <v>#N/A</v>
      </c>
      <c r="FN32" s="158">
        <f t="shared" ca="1" si="219"/>
        <v>0.01</v>
      </c>
      <c r="FO32" s="160">
        <f>Control!$C$101</f>
        <v>50</v>
      </c>
      <c r="FP32" s="150" t="e">
        <f t="shared" ca="1" si="34"/>
        <v>#N/A</v>
      </c>
      <c r="FQ32" s="150" t="e">
        <f ca="1">MAX(0,(Control!$C$112*(($DK32-Control!$C$97)/Control!$C$97)))</f>
        <v>#N/A</v>
      </c>
      <c r="FR32" s="150" t="e">
        <f ca="1">(1-$NT32)*Control!$C$113</f>
        <v>#DIV/0!</v>
      </c>
      <c r="FS32" s="198" t="e">
        <f t="shared" ca="1" si="35"/>
        <v>#N/A</v>
      </c>
      <c r="FT32" s="161">
        <f t="shared" ca="1" si="152"/>
        <v>27</v>
      </c>
      <c r="FU32" s="162" t="e">
        <f ca="1">IF(Control!$B$34=1,VLOOKUP($CP32,Control!$B$86:$G$91,6),Control!$B$35)</f>
        <v>#N/A</v>
      </c>
      <c r="FV32" s="162" t="e">
        <f t="shared" ca="1" si="36"/>
        <v>#DIV/0!</v>
      </c>
      <c r="FW32" s="162" t="e">
        <f ca="1">IF(Control!$B$31=1,$FU32*$FV32,  $FU32)</f>
        <v>#N/A</v>
      </c>
      <c r="FX32" s="162" t="e">
        <f ca="1">IF(Control!$B$34=1,VLOOKUP($CP32,Control!$B$86:$G$91,3),Control!$B$36)</f>
        <v>#N/A</v>
      </c>
      <c r="FY32" s="162" t="e">
        <f t="shared" ca="1" si="37"/>
        <v>#N/A</v>
      </c>
      <c r="FZ32" s="162" t="e">
        <f ca="1">IF(Control!$B$34=1,VLOOKUP($CP32,Control!$B$86:$G$91,4),Control!$B$37)</f>
        <v>#N/A</v>
      </c>
      <c r="GA32" s="162" t="e">
        <f t="shared" ca="1" si="38"/>
        <v>#N/A</v>
      </c>
      <c r="GB32" s="162" t="e">
        <f ca="1">IF(Control!$B$34=1,VLOOKUP($CP32,Control!$B$86:$G$91,5),Control!$B$38)</f>
        <v>#N/A</v>
      </c>
      <c r="GC32" s="162" t="e">
        <f t="shared" ca="1" si="153"/>
        <v>#N/A</v>
      </c>
      <c r="GD32" s="162">
        <f t="shared" ca="1" si="39"/>
        <v>1</v>
      </c>
      <c r="GE32" s="162">
        <f t="shared" ca="1" si="40"/>
        <v>1</v>
      </c>
      <c r="GF32" s="162">
        <f ca="1">IF(AND(Control!$C$104=1, Control!$C$62="F"),$GE32,1)</f>
        <v>1</v>
      </c>
      <c r="GG32" s="162" t="e">
        <f ca="1">IF(Control!$B$16=40,0,IF(AND(Control!$B$16&gt;40,Control!$B$16&lt;=360),(Control!$B$16-40)*((1-0)/(360-40)),IF(AND(Control!$B$16&gt;360,Control!$B$16&lt;=720),(1+(Control!$B$16-360)*((1.25-1)/(720-360))),IF(AND(Control!$B$16&gt;720,Control!$B$16&lt;=1000),(1.25+(Control!$B$16-720)*((1.35-1.25)/(1000-720))),IF(AND(Control!$B$16&gt;1000,Control!$B$16&lt;=2000),(1.35+(Control!$B$16-1000)*0))))))</f>
        <v>#N/A</v>
      </c>
      <c r="GH32" s="162" t="e">
        <f t="shared" ca="1" si="41"/>
        <v>#N/A</v>
      </c>
      <c r="GI32" s="162">
        <f t="shared" ca="1" si="201"/>
        <v>0</v>
      </c>
      <c r="GJ32" s="162">
        <f t="shared" ca="1" si="42"/>
        <v>0</v>
      </c>
      <c r="GK32" s="162">
        <f t="shared" ca="1" si="220"/>
        <v>1</v>
      </c>
      <c r="GL32" s="162">
        <f t="shared" ca="1" si="43"/>
        <v>1</v>
      </c>
      <c r="GM32" s="162" t="e">
        <f ca="1">MAX(0,MIN(1,1-Control!$C$156*(1.0001-$KH32)^2))</f>
        <v>#N/A</v>
      </c>
      <c r="GN32" s="162" t="e">
        <f ca="1">IF(Control!$B$26=1,$KU32,$KX32)</f>
        <v>#N/A</v>
      </c>
      <c r="GO32" s="162" t="e">
        <f ca="1">IF($CP32&lt;=60,Control!$C$105,IF($CP32&gt;=90,Control!$C$106,Control!$C$105+($CP32-60)*((Control!$C$106-Control!$C$105)/(90-60))))</f>
        <v>#N/A</v>
      </c>
      <c r="GP32" s="162" t="e">
        <f t="shared" ca="1" si="154"/>
        <v>#N/A</v>
      </c>
      <c r="GQ32" s="162" t="e">
        <f t="shared" ca="1" si="155"/>
        <v>#N/A</v>
      </c>
      <c r="GR32" s="163" t="e">
        <f t="shared" ca="1" si="44"/>
        <v>#DIV/0!</v>
      </c>
      <c r="GS32" s="162" t="e">
        <f t="shared" ca="1" si="45"/>
        <v>#DIV/0!</v>
      </c>
      <c r="GT32" s="164" t="e">
        <f t="shared" ca="1" si="156"/>
        <v>#N/A</v>
      </c>
      <c r="GU32" s="162" t="e">
        <f t="shared" ca="1" si="157"/>
        <v>#N/A</v>
      </c>
      <c r="GV32" s="162" t="e">
        <f t="shared" ca="1" si="46"/>
        <v>#N/A</v>
      </c>
      <c r="GW32" s="162" t="e">
        <f t="shared" ca="1" si="221"/>
        <v>#DIV/0!</v>
      </c>
      <c r="GX32" s="162" t="e">
        <f t="shared" ca="1" si="228"/>
        <v>#DIV/0!</v>
      </c>
      <c r="GY32" s="162" t="e">
        <f t="shared" ca="1" si="158"/>
        <v>#DIV/0!</v>
      </c>
      <c r="GZ32" s="165" t="e">
        <f t="shared" ca="1" si="159"/>
        <v>#N/A</v>
      </c>
      <c r="HA32" s="162" t="e">
        <f ca="1">IF(Control!$C$114=1, $DI32*$FS32, 0)</f>
        <v>#N/A</v>
      </c>
      <c r="HB32" s="162" t="e">
        <f ca="1">$FA32/Control!$C$64</f>
        <v>#N/A</v>
      </c>
      <c r="HC32" s="162" t="e">
        <f t="shared" ca="1" si="222"/>
        <v>#DIV/0!</v>
      </c>
      <c r="HD32" s="162">
        <f ca="1">-ASIN(SIN(23.45*Control!$C$139)*COS(2*Control!$C$138*($AH32+10)/365))</f>
        <v>-0.32564756620726093</v>
      </c>
      <c r="HE32" s="165">
        <f t="shared" ca="1" si="160"/>
        <v>0</v>
      </c>
      <c r="HF32" s="166">
        <f ca="1">IF(AND(Control!$C$61="T",$HE32&gt;=Control!$C$103,Control!$C$114=0),$AH32,Control!$C$59)</f>
        <v>1</v>
      </c>
      <c r="HG32" s="166">
        <f ca="1">IF(AND(Control!$C$61="T",$HE32&gt;=Control!$C$103,Control!$C$114=0),$HF32,Control!$C$59)</f>
        <v>1</v>
      </c>
      <c r="HH32" s="165">
        <f ca="1">IF(AND(OR(Control!$C$60&lt;=0, $AH32= Control!$C$59, Control!$C$60 &gt;0, $AH32 = Control!$C$60)), Control!$C$59, IF(Control!$C$60&gt;0, 0))</f>
        <v>1</v>
      </c>
      <c r="HI32" s="165">
        <f ca="1">IF(AND(OR(Control!$C$60&lt;=0, $AH32= Control!$C$59, Control!$C$60 &gt;0, $AH32 = Control!$C$60)), Control!$C$60, IF(Control!$C$60&lt;=0, 0))</f>
        <v>0</v>
      </c>
      <c r="HJ32" s="166">
        <f ca="1">IF(AND(Control!$C$62="F",$CV32&gt;=Control!$C$102),$AH32,0)</f>
        <v>0</v>
      </c>
      <c r="HK32" s="165" t="e">
        <f t="shared" ca="1" si="202"/>
        <v>#N/A</v>
      </c>
      <c r="HL32" s="166">
        <f ca="1">IF(AND(Control!$C$61="T",$HE32&gt;=Control!$C$103,Control!$C$114=0),$HF32,0)</f>
        <v>0</v>
      </c>
      <c r="HM32" s="201" t="e">
        <f t="shared" ca="1" si="47"/>
        <v>#DIV/0!</v>
      </c>
      <c r="HN32" s="215">
        <f t="shared" ca="1" si="161"/>
        <v>27</v>
      </c>
      <c r="HO32" s="216" t="e">
        <f ca="1">IF(AND($CP32&gt;=0, $CP32&lt;=90), Control!$C$152, Control!$C$152)</f>
        <v>#N/A</v>
      </c>
      <c r="HP32" s="216" t="e">
        <f t="shared" ca="1" si="48"/>
        <v>#N/A</v>
      </c>
      <c r="HQ32" s="217" t="e">
        <f ca="1">IF(OR(Control!$B$26=1,Control!$B$26=2),$KV32,$KS32)</f>
        <v>#DIV/0!</v>
      </c>
      <c r="HR32" s="218" t="e">
        <f t="shared" ca="1" si="223"/>
        <v>#DIV/0!</v>
      </c>
      <c r="HS32" s="216" t="e">
        <f ca="1">Control!$C$154*$HP32</f>
        <v>#N/A</v>
      </c>
      <c r="HT32" s="216" t="e">
        <f ca="1">Control!$C$155*$HP32</f>
        <v>#N/A</v>
      </c>
      <c r="HU32" s="217" t="e">
        <f ca="1">Control!$C$161*$FI32</f>
        <v>#N/A</v>
      </c>
      <c r="HV32" s="218" t="e">
        <f t="shared" ca="1" si="162"/>
        <v>#N/A</v>
      </c>
      <c r="HW32" s="218" t="e">
        <f ca="1">Control!$C$160*$FF32+$IP32*$EO32</f>
        <v>#N/A</v>
      </c>
      <c r="HX32" s="218" t="e">
        <f t="shared" ca="1" si="203"/>
        <v>#N/A</v>
      </c>
      <c r="HY32" s="219" t="e">
        <f ca="1">IF(Control!$C$114=1, $EB32*$FS32, 0)</f>
        <v>#N/A</v>
      </c>
      <c r="HZ32" s="91" t="e">
        <f t="shared" ca="1" si="49"/>
        <v>#N/A</v>
      </c>
      <c r="IA32" s="220" t="e">
        <f ca="1">Control!$C$153*$HO32</f>
        <v>#N/A</v>
      </c>
      <c r="IB32" s="218" t="e">
        <f t="shared" ca="1" si="50"/>
        <v>#N/A</v>
      </c>
      <c r="IC32" s="220" t="e">
        <f ca="1">Control!$C$153*$HT32</f>
        <v>#N/A</v>
      </c>
      <c r="ID32" s="218" t="e">
        <f t="shared" ca="1" si="51"/>
        <v>#N/A</v>
      </c>
      <c r="IE32" s="221" t="e">
        <f ca="1">($EB32*Control!$C$159+$EF32*Control!$C$160)/(IF($GZ32&lt;&gt;0,$GZ32,1))</f>
        <v>#N/A</v>
      </c>
      <c r="IF32" s="216" t="e">
        <f t="shared" ca="1" si="52"/>
        <v>#N/A</v>
      </c>
      <c r="IG32" s="91">
        <f ca="1">IF(OR(Control!$B$198=$AH32,Control!$B$199=$AH32, Control!$B$200=$AH32, Control!$B$201=$AH32, Control!$B$202=$AH32, Control!$B$203=$AH32, Control!$B$204=$AH32, Control!$B$205=$AH32, Control!$B$206=$AH32, Control!$B$207=$AH32), 1, 0)</f>
        <v>0</v>
      </c>
      <c r="IH32" s="91">
        <f ca="1">IF($IG32=0,0, VLOOKUP($AH32,Control!$B$198:$C$207,2))</f>
        <v>0</v>
      </c>
      <c r="II32" s="222">
        <f t="shared" ca="1" si="163"/>
        <v>0</v>
      </c>
      <c r="IJ32" s="91">
        <f>Control!$C$121</f>
        <v>0.7</v>
      </c>
      <c r="IK32" s="218">
        <f t="shared" ca="1" si="53"/>
        <v>0</v>
      </c>
      <c r="IL32" s="217" t="e">
        <f t="shared" ca="1" si="204"/>
        <v>#N/A</v>
      </c>
      <c r="IM32" s="223" t="e">
        <f ca="1">IF(AND(Control!$C$114=1,$KH32&lt;1),$EB32*Control!$C$148*(1-$KH32), 0)</f>
        <v>#N/A</v>
      </c>
      <c r="IN32" s="217" t="e">
        <f t="shared" ca="1" si="54"/>
        <v>#DIV/0!</v>
      </c>
      <c r="IO32" s="91" t="e">
        <f ca="1">MAX(0,$IL32-$EF32*Control!$C$160)</f>
        <v>#N/A</v>
      </c>
      <c r="IP32" s="220" t="e">
        <f t="shared" ca="1" si="55"/>
        <v>#N/A</v>
      </c>
      <c r="IQ32" s="217" t="e">
        <f t="shared" ca="1" si="164"/>
        <v>#N/A</v>
      </c>
      <c r="IR32" s="218" t="e">
        <f t="shared" ca="1" si="56"/>
        <v>#N/A</v>
      </c>
      <c r="IS32" s="217" t="e">
        <f ca="1">Control!$C$159*MAX(0,$FD32-$EN32)</f>
        <v>#N/A</v>
      </c>
      <c r="IT32" s="217" t="e">
        <f t="shared" ca="1" si="205"/>
        <v>#N/A</v>
      </c>
      <c r="IU32" s="217" t="e">
        <f t="shared" ca="1" si="165"/>
        <v>#N/A</v>
      </c>
      <c r="IV32" s="217" t="e">
        <f t="shared" ca="1" si="206"/>
        <v>#N/A</v>
      </c>
      <c r="IW32" s="217" t="e">
        <f ca="1">IF(OR($AW32=1,AND($AW32=0, Control!$B$18=1,$EN32&lt;&gt;0)), $IQ32-$IU32, $IQ32)</f>
        <v>#N/A</v>
      </c>
      <c r="IX32" s="218" t="e">
        <f t="shared" ca="1" si="57"/>
        <v>#N/A</v>
      </c>
      <c r="IY32" s="218" t="e">
        <f ca="1">MAX(0,$IQ32-$EB32*Control!$C$159)</f>
        <v>#N/A</v>
      </c>
      <c r="IZ32" s="218" t="e">
        <f t="shared" ca="1" si="58"/>
        <v>#N/A</v>
      </c>
      <c r="JA32" s="216" t="e">
        <f t="shared" ca="1" si="59"/>
        <v>#N/A</v>
      </c>
      <c r="JB32" s="217" t="e">
        <f t="shared" ca="1" si="60"/>
        <v>#N/A</v>
      </c>
      <c r="JC32" s="222" t="e">
        <f ca="1">MAX(Control!$C$157*$EK32-$JT32, 0)/Control!$C$162</f>
        <v>#N/A</v>
      </c>
      <c r="JD32" s="218" t="e">
        <f t="shared" ca="1" si="61"/>
        <v>#N/A</v>
      </c>
      <c r="JE32" s="218" t="e">
        <f t="shared" ca="1" si="62"/>
        <v>#N/A</v>
      </c>
      <c r="JF32" s="218" t="e">
        <f t="shared" ca="1" si="207"/>
        <v>#N/A</v>
      </c>
      <c r="JG32" s="218" t="e">
        <f t="shared" ca="1" si="63"/>
        <v>#N/A</v>
      </c>
      <c r="JH32" s="217" t="e">
        <f t="shared" ca="1" si="166"/>
        <v>#N/A</v>
      </c>
      <c r="JI32" s="217" t="e">
        <f t="shared" ca="1" si="167"/>
        <v>#N/A</v>
      </c>
      <c r="JJ32" s="217" t="e">
        <f t="shared" ca="1" si="224"/>
        <v>#N/A</v>
      </c>
      <c r="JK32" s="217" t="e">
        <f ca="1">IF(Control!$C$114=1,IF(Control!$B$24=0,MAX(0,$JI32)*$GN32/Control!$C$64,(MAX(0,MIN($JI32,$JJ32*$GN32/Control!$C$64),0))))</f>
        <v>#N/A</v>
      </c>
      <c r="JL32" s="217" t="e">
        <f ca="1">$IK32/Control!$C$64-$JK32+$HQ32</f>
        <v>#N/A</v>
      </c>
      <c r="JM32" s="217" t="e">
        <f ca="1">IF(Control!$C$114=1,($JB32/(IF($JI32&lt;&gt;0,$JI32,1)))*$JK32,0)</f>
        <v>#N/A</v>
      </c>
      <c r="JN32" s="217" t="e">
        <f ca="1">IF(Control!$C$114=1,($JG32/(IF($JI32&lt;&gt;0,$JI32,1)))*$JK32, 0)</f>
        <v>#N/A</v>
      </c>
      <c r="JO32" s="218" t="e">
        <f t="shared" ca="1" si="64"/>
        <v>#N/A</v>
      </c>
      <c r="JP32" s="218" t="e">
        <f ca="1">MIN(($IY32+$IO32)*Control!$C$151, $JF32-$EH32*Control!$C$161)</f>
        <v>#N/A</v>
      </c>
      <c r="JQ32" s="218" t="e">
        <f t="shared" ca="1" si="65"/>
        <v>#N/A</v>
      </c>
      <c r="JR32" s="217" t="e">
        <f ca="1">IF($CP32-Control!$C$150&lt;0, 0, $JQ32/Control!$C$162)</f>
        <v>#N/A</v>
      </c>
      <c r="JS32" s="218" t="e">
        <f t="shared" ca="1" si="66"/>
        <v>#N/A</v>
      </c>
      <c r="JT32" s="218" t="e">
        <f t="shared" ca="1" si="168"/>
        <v>#N/A</v>
      </c>
      <c r="JU32" s="218" t="e">
        <f t="shared" ca="1" si="67"/>
        <v>#N/A</v>
      </c>
      <c r="JV32" s="218" t="e">
        <f t="shared" ca="1" si="68"/>
        <v>#N/A</v>
      </c>
      <c r="JW32" s="216" t="e">
        <f t="shared" ca="1" si="69"/>
        <v>#N/A</v>
      </c>
      <c r="JX32" s="91" t="e">
        <f t="shared" ca="1" si="70"/>
        <v>#N/A</v>
      </c>
      <c r="JY32" s="218" t="e">
        <f t="shared" ca="1" si="71"/>
        <v>#N/A</v>
      </c>
      <c r="JZ32" s="217" t="e">
        <f ca="1">IF(Control!$C$114=1,($IZ32/(IF($JI32&lt;&gt;0,$JI32,1)))*$JK32, 0)</f>
        <v>#N/A</v>
      </c>
      <c r="KA32" s="218" t="e">
        <f t="shared" ca="1" si="225"/>
        <v>#N/A</v>
      </c>
      <c r="KB32" s="218" t="e">
        <f t="shared" ca="1" si="169"/>
        <v>#N/A</v>
      </c>
      <c r="KC32" s="218" t="e">
        <f t="shared" ca="1" si="72"/>
        <v>#N/A</v>
      </c>
      <c r="KD32" s="218" t="e">
        <f t="shared" ca="1" si="73"/>
        <v>#N/A</v>
      </c>
      <c r="KE32" s="218" t="e">
        <f t="shared" ca="1" si="74"/>
        <v>#N/A</v>
      </c>
      <c r="KF32" s="218" t="e">
        <f t="shared" ca="1" si="75"/>
        <v>#N/A</v>
      </c>
      <c r="KG32" s="216" t="e">
        <f t="shared" ca="1" si="76"/>
        <v>#N/A</v>
      </c>
      <c r="KH32" s="221" t="e">
        <f ca="1">IF(Control!$B$24=0,1,MAX(0.001,MIN(1,IF(($IF32-$IE32)&lt;&gt;0,($KG32-$IE32)/($IF32-$IE32),1))))</f>
        <v>#N/A</v>
      </c>
      <c r="KI32" s="222" t="e">
        <f ca="1">IF(Control!$C$114=1, $KI31+ $KH31, 0)</f>
        <v>#N/A</v>
      </c>
      <c r="KJ32" s="217" t="e">
        <f t="shared" ca="1" si="77"/>
        <v>#N/A</v>
      </c>
      <c r="KK32" s="218" t="e">
        <f t="shared" ca="1" si="78"/>
        <v>#N/A</v>
      </c>
      <c r="KL32" s="274" t="e">
        <f ca="1">IF(Control!$B$26=3,4000000000*EXP(-8400/($G32+273)),IF(Control!$B$26=4,4000000000*EXP(-8400/($G32+273))*($KT32),0))</f>
        <v>#DIV/0!</v>
      </c>
      <c r="KM32" s="274" t="e">
        <f ca="1">IF(Control!$B$26=3,5600000000000*EXP(-9800/($G32+273)),IF(Control!$B$26=4,5600000000000*EXP(-9800/($G32+273))*$KT32,0))</f>
        <v>#DIV/0!</v>
      </c>
      <c r="KN32" s="454" t="e">
        <f t="shared" ca="1" si="170"/>
        <v>#DIV/0!</v>
      </c>
      <c r="KO32" s="274" t="e">
        <f t="shared" ca="1" si="171"/>
        <v>#DIV/0!</v>
      </c>
      <c r="KP32" s="454" t="e">
        <f t="shared" ca="1" si="79"/>
        <v>#DIV/0!</v>
      </c>
      <c r="KQ32" s="454" t="e">
        <f t="shared" ca="1" si="80"/>
        <v>#DIV/0!</v>
      </c>
      <c r="KR32" s="454" t="e">
        <f t="shared" ca="1" si="81"/>
        <v>#DIV/0!</v>
      </c>
      <c r="KS32" s="454" t="e">
        <f t="shared" ca="1" si="82"/>
        <v>#DIV/0!</v>
      </c>
      <c r="KT32" s="455" t="e">
        <f t="shared" ca="1" si="83"/>
        <v>#DIV/0!</v>
      </c>
      <c r="KU32" s="456" t="e">
        <f ca="1">IF($CP32-Control!$C$149&lt;0, IF($NT32-0.01&lt;0,0,1),0)</f>
        <v>#N/A</v>
      </c>
      <c r="KV32" s="456" t="e">
        <f ca="1">IF(Control!$C$114=1,MAX(0,MIN(Control!$C$125*$KW32*$GN32,$KW32)))</f>
        <v>#DIV/0!</v>
      </c>
      <c r="KW32" s="456" t="e">
        <f t="shared" ca="1" si="208"/>
        <v>#DIV/0!</v>
      </c>
      <c r="KX32" s="457" t="e">
        <f ca="1">IF($CP32-Control!$C$149&lt;0, IF($MR32-$OM32&lt;0,0,1),0)</f>
        <v>#N/A</v>
      </c>
      <c r="KY32" s="167">
        <f t="shared" ca="1" si="172"/>
        <v>27</v>
      </c>
      <c r="KZ32" s="168">
        <f ca="1">1370*(1+0.033*COS(2*Control!$C$138*$AH32/365))</f>
        <v>1410.4140377238682</v>
      </c>
      <c r="LA32" s="169">
        <f t="shared" ca="1" si="173"/>
        <v>1.0294993136851356</v>
      </c>
      <c r="LB32" s="169">
        <f t="shared" ca="1" si="174"/>
        <v>-0.32668915865324738</v>
      </c>
      <c r="LC32" s="169">
        <f ca="1">ACOS(-TAN((2*Control!$B$8/360))*TAN(Calculations!$LB32))</f>
        <v>1.4699240807955933</v>
      </c>
      <c r="LD32" s="169">
        <f ca="1">((24*60)/PI())*0.082*$LA32*(($LC32*SIN(Control!$B$8*2*PI()/360))*SIN($LB32)+COS(Control!$B$8*2*PI()/360)*COS($LB32)*SIN($LC32))</f>
        <v>8.0648070891157602</v>
      </c>
      <c r="LE32" s="170">
        <f t="shared" ca="1" si="84"/>
        <v>9.282703107975836</v>
      </c>
      <c r="LF32" s="170">
        <f ca="1">SIN(Control!$C$139*Control!$B$8)*SIN($HD32)</f>
        <v>-0.25210269807008939</v>
      </c>
      <c r="LG32" s="170">
        <f ca="1">COS(Control!$C$139*Control!$B$8)*COS($HD32)</f>
        <v>0.5833030349722016</v>
      </c>
      <c r="LH32" s="170">
        <f ca="1">12*(1+2*ASIN(MAX(-1,MIN(1,$LF32/$LG32))/Control!$C$138))</f>
        <v>8.6877497131457471</v>
      </c>
      <c r="LI32" s="170">
        <f ca="1">12*(1+2*ASIN(MAX(-1,MIN(1,(-SIN(-4*Control!$C$139)+$LF32)/$LG32))/Control!$C$138))</f>
        <v>9.6078863019281755</v>
      </c>
      <c r="LJ32" s="168">
        <f ca="1">3600*($LH32*$LF32+24*$LG32*SQRT(1-$LK32*$LK32)/Control!$C$138)</f>
        <v>6581.5447518916508</v>
      </c>
      <c r="LK32" s="170">
        <f t="shared" ca="1" si="85"/>
        <v>-0.43219850224524176</v>
      </c>
      <c r="LL32" s="170">
        <f t="shared" ca="1" si="86"/>
        <v>0</v>
      </c>
      <c r="LM32" s="171">
        <f ca="1">Control!$C$145*$AB32</f>
        <v>6.6660906138995932E-2</v>
      </c>
      <c r="LN32" s="170">
        <f t="shared" ca="1" si="175"/>
        <v>0.54</v>
      </c>
      <c r="LO32" s="170">
        <f t="shared" ca="1" si="87"/>
        <v>0</v>
      </c>
      <c r="LP32" s="170">
        <f ca="1">Control!$C$140*((($D32+273.16)^4+($E32+273.16)^4)/2)*(0.34-0.14*SQRT($Y32))*(1.35*$AQ32/(0.75*$LD32)-0.35)</f>
        <v>-3.2464704755046001</v>
      </c>
      <c r="LQ32" s="170">
        <f ca="1">Control!$C$140*($G32+273)^4*(0.56-0.079*SQRT($Y32*10))*(0.1+0.9*$LO32)</f>
        <v>1.5241745131704001</v>
      </c>
      <c r="LR32" s="170">
        <f ca="1">$AQ32*(1-Control!$C$142)-$LQ32</f>
        <v>-1.5241745131704001</v>
      </c>
      <c r="LS32" s="170">
        <f ca="1">$AQ32*(1-Control!$C$143)-$LQ32</f>
        <v>-1.5241745131704001</v>
      </c>
      <c r="LT32" s="170">
        <f ca="1">$AQ32*(1-Control!$C$144)-$LQ32</f>
        <v>-1.5241745131704001</v>
      </c>
      <c r="LU32" s="169">
        <f ca="1">(1-Control!$C$144)*AQ32-LP32</f>
        <v>3.2464704755046001</v>
      </c>
      <c r="LV32" s="172">
        <f t="shared" ca="1" si="88"/>
        <v>0.79430000000000012</v>
      </c>
      <c r="LW32" s="170">
        <f t="shared" ca="1" si="89"/>
        <v>1.5886000000000002</v>
      </c>
      <c r="LX32" s="170">
        <f ca="1">($AC32*($LR32/Control!$C$141)+$LM32*$LV32)/($AC32+$LM32)</f>
        <v>0.23530094218323697</v>
      </c>
      <c r="LY32" s="170">
        <f ca="1">($AC32*($LS32/Control!$C$141)+$LM32*$LV32)/($AC32+$LM32)</f>
        <v>0.23530094218323697</v>
      </c>
      <c r="LZ32" s="170">
        <f t="shared" ca="1" si="90"/>
        <v>0.23530094218323697</v>
      </c>
      <c r="MA32" s="170">
        <f t="shared" ca="1" si="91"/>
        <v>0.23530094218323697</v>
      </c>
      <c r="MB32" s="170" t="e">
        <f t="shared" ca="1" si="92"/>
        <v>#N/A</v>
      </c>
      <c r="MC32" s="170">
        <f t="shared" ca="1" si="176"/>
        <v>0.6018</v>
      </c>
      <c r="MD32" s="170">
        <f t="shared" ca="1" si="93"/>
        <v>0.52989392535414004</v>
      </c>
      <c r="ME32" s="170">
        <f ca="1">($AC32*($LT32/Control!$C$141)+$LM32*$LW32)/($AC32+$LM32)</f>
        <v>0.71612369323045078</v>
      </c>
      <c r="MF32" s="170" t="e">
        <f ca="1">IF(Control!$B$16&gt;=1000,0.92,IF(AND(720&lt;=Control!$B$16,1000&gt;Control!$B$16),(0.95+(Control!$B$16-720)*((0.92-0.95)/(1000-720))),IF(AND(360&lt;=Control!$B$16,720&gt;Control!$B$16),(1+(Control!$B$16-360)*((0.95-1)/(720-360))),IF(AND(40&lt;=Control!$B$16,360&gt;Control!$B$16),(1.05+(Control!$B$16-40)*((1.05-1)/(360-40)))))))</f>
        <v>#N/A</v>
      </c>
      <c r="MG32" s="170">
        <f t="shared" ca="1" si="94"/>
        <v>0.71612369323045078</v>
      </c>
      <c r="MH32" s="170" t="e">
        <f t="shared" ca="1" si="230"/>
        <v>#N/A</v>
      </c>
      <c r="MI32" s="170" t="e">
        <f t="shared" ca="1" si="230"/>
        <v>#N/A</v>
      </c>
      <c r="MJ32" s="170" t="e">
        <f ca="1">MAX(0.0001, Control!$C$132*$MI32*$DL32)</f>
        <v>#N/A</v>
      </c>
      <c r="MK32" s="170">
        <f ca="1">1/(0.76+1.5*($MG32/10))-(5-Control!$C$110)*0.1</f>
        <v>1.002845988140797</v>
      </c>
      <c r="ML32" s="173">
        <f ca="1">IF(Control!$C$110&lt;3,$MK32+($MG32-0.6)/(Control!$C$110*(Control!$C$110+3)), MAX(0.1, MIN(0.95,$MK32)))</f>
        <v>0.95</v>
      </c>
      <c r="MM32" s="173">
        <f ca="1">IF(Control!$C$110&lt;3,$MK32+(($MI32/10)-0.6)/(Control!$C$110*(Control!$C$110+3)), MAX(0.1, MIN(0.95,$MK32)))</f>
        <v>0.95</v>
      </c>
      <c r="MN32" s="173">
        <f ca="1">(1-$MM32)*(Control!$C$128-Control!$C$127)+Control!$C$127</f>
        <v>0.16</v>
      </c>
      <c r="MO32" s="170" t="e">
        <f ca="1">MAX(0,MIN(1,($MS32-Control!$C$127)/($MN32-Control!$C$127)))</f>
        <v>#DIV/0!</v>
      </c>
      <c r="MP32" s="173" t="e">
        <f ca="1">1/(0.76+1.5*$MI32)-(5-Control!$C$110)*0.1</f>
        <v>#N/A</v>
      </c>
      <c r="MQ32" s="172" t="e">
        <f t="shared" ca="1" si="209"/>
        <v>#DIV/0!</v>
      </c>
      <c r="MR32" s="168" t="e">
        <f t="shared" ca="1" si="226"/>
        <v>#DIV/0!</v>
      </c>
      <c r="MS32" s="173" t="e">
        <f ca="1">MAX(Control!$C$127, MIN(Control!$C$135, $MR32/MAX(0.0001,$CY32)))</f>
        <v>#DIV/0!</v>
      </c>
      <c r="MT32" s="168" t="e">
        <f ca="1">(Control!$C$128-$MS32)*Control!$C$74</f>
        <v>#DIV/0!</v>
      </c>
      <c r="MU32" s="168" t="e">
        <f ca="1">(Control!$C$135-$MS32)*Control!$C$74</f>
        <v>#DIV/0!</v>
      </c>
      <c r="MV32" s="168" t="e">
        <f t="shared" ca="1" si="210"/>
        <v>#DIV/0!</v>
      </c>
      <c r="MW32" s="168" t="e">
        <f t="shared" ca="1" si="177"/>
        <v>#DIV/0!</v>
      </c>
      <c r="MX32" s="171" t="e">
        <f ca="1">MAX(Control!$C$127, MIN(Control!$C$135, $MW32/MAX(0.0001,Control!$C$119-$CY32)))</f>
        <v>#DIV/0!</v>
      </c>
      <c r="MY32" s="54" t="e">
        <f ca="1">IF(Control!$C$114=1, $CX32*$MX32, 0)</f>
        <v>#DIV/0!</v>
      </c>
      <c r="MZ32" s="54" t="e">
        <f t="shared" ca="1" si="178"/>
        <v>#N/A</v>
      </c>
      <c r="NA32" s="168" t="e">
        <f ca="1">(Control!$C$128-$MX32)*(Control!$C$119-Control!$C$74)</f>
        <v>#DIV/0!</v>
      </c>
      <c r="NB32" s="168" t="e">
        <f ca="1">(Control!$C$135-$MX32)*(Control!$C$119-Control!$C$74)</f>
        <v>#DIV/0!</v>
      </c>
      <c r="NC32" s="174" t="e">
        <f t="shared" ca="1" si="179"/>
        <v>#DIV/0!</v>
      </c>
      <c r="ND32" s="54">
        <f ca="1">IF(Control!$C$58=2, IF(OR(Control!$B$218=$AH32,Control!$B$219=$AH32, Control!$B$220=$AH32, Control!$B$221=$AH32, Control!$B$222=$AH32, Control!$B$223=$AH32, Control!$B$224=$AH32, Control!$B$225=$AH32, Control!$B$226=$AH32, Control!$B$227=$AH32, Control!$B$228=$AH32), 1, 0), 0)</f>
        <v>0</v>
      </c>
      <c r="NE32" s="54">
        <f ca="1">IF($ND32=0,0, VLOOKUP($AH32,Control!$B$218:$C$228,2))</f>
        <v>0</v>
      </c>
      <c r="NF32" s="168" t="e">
        <f ca="1">$CY32*(Control!$C$128-Control!$C$127)</f>
        <v>#N/A</v>
      </c>
      <c r="NG32" s="54" t="e">
        <f ca="1">IF(Control!$C$58=2, $NI31-$NJ31, 0)</f>
        <v>#DIV/0!</v>
      </c>
      <c r="NH32" s="54" t="e">
        <f ca="1">IF(AND(Control!$C$58=1, $MS31&lt;= ($MN31+0.02), $I31&lt;10), 0, IF(Control!$C$58=2, $NG31, 0))</f>
        <v>#DIV/0!</v>
      </c>
      <c r="NI32" s="54" t="e">
        <f ca="1">IF(Control!$C$58=2, $NE32+$NH32,0)</f>
        <v>#DIV/0!</v>
      </c>
      <c r="NJ32" s="54" t="e">
        <f ca="1">IF(AND(Control!$C$58=1, $MS32&lt;= ($MN32+0.02), $I32&lt;10), MAX(0, MIN(10, 0.7*($NF32-$MV32))), IF(Control!$C$58=2, MIN(10,$NI32),0))</f>
        <v>#DIV/0!</v>
      </c>
      <c r="NK32" s="54" t="e">
        <f t="shared" ca="1" si="96"/>
        <v>#DIV/0!</v>
      </c>
      <c r="NL32" s="173" t="e">
        <f ca="1">(1-Control!$C$73)*$I32+$NJ32</f>
        <v>#DIV/0!</v>
      </c>
      <c r="NM32" s="172" t="e">
        <f ca="1">IF($NL32&lt;0.5, $MB32* MAX(0, MIN(1, (SQRT($NC32)-SQRT($NC32-1))*Control!$C$71)),0)</f>
        <v>#DIV/0!</v>
      </c>
      <c r="NN32" s="170" t="e">
        <f ca="1">IF($NL32&gt;=5, $MB32, MAX(0,MIN($MB32, $NM32+$NL32,($MS32-Control!$C$129))))</f>
        <v>#DIV/0!</v>
      </c>
      <c r="NO32" s="54">
        <f>IF(Control!$C$133&lt;&gt;1, Control!$C$135-Control!$C$131, 0)</f>
        <v>0.38</v>
      </c>
      <c r="NP32" s="54" t="e">
        <f t="shared" ca="1" si="97"/>
        <v>#DIV/0!</v>
      </c>
      <c r="NQ32" s="173" t="e">
        <f ca="1">MAX(0,MIN(1,(Control!$C$135-$MS32)/(Control!$C$135-$NO32)))</f>
        <v>#DIV/0!</v>
      </c>
      <c r="NR32" s="170" t="e">
        <f ca="1">IF(Control!$C$133&lt;&gt;1, $NQ32+((1-$NP32/4)*(1-$NQ32)),1)</f>
        <v>#DIV/0!</v>
      </c>
      <c r="NS32" s="170" t="e">
        <f ca="1">IF(Control!$B$31=0,$MJ32,MAX(0,MIN($MV32,$MO32*$NR32*$MJ32)))</f>
        <v>#DIV/0!</v>
      </c>
      <c r="NT32" s="170" t="e">
        <f t="shared" ca="1" si="227"/>
        <v>#DIV/0!</v>
      </c>
      <c r="NU32" s="170" t="e">
        <f t="shared" ca="1" si="180"/>
        <v>#N/A</v>
      </c>
      <c r="NV32" s="170" t="e">
        <f t="shared" ca="1" si="98"/>
        <v>#N/A</v>
      </c>
      <c r="NW32" s="175" t="e">
        <f t="shared" ca="1" si="99"/>
        <v>#DIV/0!</v>
      </c>
      <c r="NX32" s="170" t="e">
        <f ca="1">MIN(Control!$C$72+$MU32, $NW32)</f>
        <v>#DIV/0!</v>
      </c>
      <c r="NY32" s="170" t="e">
        <f ca="1">IF($MT32&lt;=$NX32,MIN(Control!$C$72+$NB32,$NX32-$MT32),0)</f>
        <v>#DIV/0!</v>
      </c>
      <c r="NZ32" s="54" t="e">
        <f ca="1">IF(Control!$C$114=1,  $CX32*($MX32-Control!$C$127), 0)</f>
        <v>#DIV/0!</v>
      </c>
      <c r="OA32" s="170" t="e">
        <f t="shared" ca="1" si="181"/>
        <v>#DIV/0!</v>
      </c>
      <c r="OB32" s="170" t="e">
        <f ca="1">IF($NA32 &lt;=$NY32, MIN(Control!$C$72, $NY32-$NA32), 0)</f>
        <v>#DIV/0!</v>
      </c>
      <c r="OC32" s="168" t="e">
        <f t="shared" ca="1" si="100"/>
        <v>#DIV/0!</v>
      </c>
      <c r="OD32" s="168" t="e">
        <f t="shared" ca="1" si="182"/>
        <v>#DIV/0!</v>
      </c>
      <c r="OE32" s="170">
        <f ca="1">Control!$C$73*$I32</f>
        <v>0</v>
      </c>
      <c r="OF32" s="176" t="e">
        <f t="shared" ca="1" si="101"/>
        <v>#DIV/0!</v>
      </c>
      <c r="OG32" s="168" t="e">
        <f t="shared" ca="1" si="102"/>
        <v>#DIV/0!</v>
      </c>
      <c r="OH32" s="168" t="e">
        <f t="shared" ca="1" si="103"/>
        <v>#DIV/0!</v>
      </c>
      <c r="OI32" s="168" t="e">
        <f t="shared" ca="1" si="104"/>
        <v>#DIV/0!</v>
      </c>
      <c r="OJ32" s="168" t="e">
        <f t="shared" ca="1" si="105"/>
        <v>#DIV/0!</v>
      </c>
      <c r="OK32" s="204" t="e">
        <f t="shared" ca="1" si="183"/>
        <v>#DIV/0!</v>
      </c>
      <c r="OL32" s="177">
        <f>Control!$C$127</f>
        <v>0.15</v>
      </c>
      <c r="OM32" s="182" t="e">
        <f t="shared" ca="1" si="106"/>
        <v>#N/A</v>
      </c>
      <c r="ON32" s="177">
        <f>Control!$C$128</f>
        <v>0.35</v>
      </c>
      <c r="OO32" s="182" t="e">
        <f t="shared" ca="1" si="107"/>
        <v>#N/A</v>
      </c>
      <c r="OP32" s="138">
        <f t="shared" ca="1" si="184"/>
        <v>0</v>
      </c>
      <c r="OQ32" s="138" t="e">
        <f t="shared" ca="1" si="211"/>
        <v>#DIV/0!</v>
      </c>
      <c r="OR32" s="138" t="e">
        <f t="shared" ca="1" si="185"/>
        <v>#DIV/0!</v>
      </c>
      <c r="OS32" s="137" t="e">
        <f t="shared" ca="1" si="212"/>
        <v>#DIV/0!</v>
      </c>
      <c r="OT32" s="139" t="e">
        <f t="shared" ca="1" si="213"/>
        <v>#DIV/0!</v>
      </c>
      <c r="OU32" s="138" t="e">
        <f t="shared" ca="1" si="214"/>
        <v>#N/A</v>
      </c>
      <c r="OV32" s="138" t="e">
        <f t="shared" ca="1" si="215"/>
        <v>#DIV/0!</v>
      </c>
      <c r="OW32" s="138" t="e">
        <f t="shared" ca="1" si="186"/>
        <v>#DIV/0!</v>
      </c>
      <c r="OX32" s="138" t="e">
        <f t="shared" ca="1" si="187"/>
        <v>#DIV/0!</v>
      </c>
      <c r="OY32" s="138" t="e">
        <f t="shared" ca="1" si="188"/>
        <v>#DIV/0!</v>
      </c>
      <c r="OZ32" s="138" t="e">
        <f t="shared" ca="1" si="108"/>
        <v>#DIV/0!</v>
      </c>
      <c r="PA32" s="138" t="e">
        <f t="shared" ca="1" si="109"/>
        <v>#DIV/0!</v>
      </c>
      <c r="PB32" s="55">
        <f>IF(Control!$C$61="T", IF(Control!$C$65="F", IF($AH$6-Control!$C$60&lt;0,0,1), IF(365+$AH$6-Control!$C$60&lt;0,0,1)),0)</f>
        <v>0</v>
      </c>
      <c r="PC32" s="55">
        <f ca="1">IF(Control!$C$65="F", IF($AH$6-$HF32&lt;0,0,1), IF(365+$AH$6-$HF32&lt;0,0,1))</f>
        <v>1</v>
      </c>
      <c r="PD32" s="444">
        <f>Control!$C$118</f>
        <v>1500</v>
      </c>
      <c r="PE32" s="180" t="e">
        <f t="shared" ca="1" si="110"/>
        <v>#N/A</v>
      </c>
      <c r="PF32" s="445">
        <f t="shared" ca="1" si="189"/>
        <v>0.71612369323045078</v>
      </c>
      <c r="PT32" s="186"/>
      <c r="PU32" s="186"/>
      <c r="PV32" s="94"/>
      <c r="PW32" s="94"/>
      <c r="PX32" s="94"/>
      <c r="PY32" s="94"/>
      <c r="PZ32" s="94"/>
      <c r="QA32" s="94"/>
      <c r="QB32" s="94"/>
      <c r="QC32" s="94"/>
      <c r="QD32" s="94"/>
      <c r="QE32" s="94"/>
      <c r="QF32" s="94"/>
      <c r="QG32" s="94"/>
      <c r="QH32" s="94"/>
      <c r="QI32" s="94"/>
      <c r="QJ32" s="94"/>
      <c r="QK32" s="94"/>
      <c r="QL32" s="94"/>
      <c r="QM32" s="94"/>
      <c r="QN32" s="94"/>
      <c r="QO32" s="94"/>
      <c r="QP32" s="94"/>
    </row>
    <row r="33" spans="1:458" s="2" customFormat="1" x14ac:dyDescent="0.2">
      <c r="A33" s="386">
        <v>28</v>
      </c>
      <c r="B33" s="387">
        <v>1</v>
      </c>
      <c r="C33" s="387">
        <f ca="1">Weather_data!$B32</f>
        <v>0</v>
      </c>
      <c r="D33" s="388">
        <f ca="1">Weather_data!$F32</f>
        <v>0</v>
      </c>
      <c r="E33" s="388">
        <f ca="1">Weather_data!$E32</f>
        <v>0</v>
      </c>
      <c r="F33" s="388">
        <f t="shared" ca="1" si="111"/>
        <v>0</v>
      </c>
      <c r="G33" s="388">
        <f ca="1">AVERAGE($D33:$E33)+Control!$B$9</f>
        <v>0</v>
      </c>
      <c r="H33" s="388">
        <f ca="1">Weather_data!$G32</f>
        <v>0</v>
      </c>
      <c r="I33" s="388">
        <f ca="1">Weather_data!$I32</f>
        <v>0</v>
      </c>
      <c r="J33" s="388">
        <f ca="1">Weather_data!$H32</f>
        <v>0</v>
      </c>
      <c r="K33" s="389">
        <f ca="1">Weather_data!$D32</f>
        <v>0</v>
      </c>
      <c r="L33" s="388" t="e">
        <f t="shared" ca="1" si="112"/>
        <v>#N/A</v>
      </c>
      <c r="M33" s="388" t="e">
        <f t="shared" ca="1" si="0"/>
        <v>#N/A</v>
      </c>
      <c r="N33" s="388">
        <f t="shared" ca="1" si="1"/>
        <v>-2.9074868501520024E-2</v>
      </c>
      <c r="O33" s="388">
        <f t="shared" ca="1" si="113"/>
        <v>0.29074868501520024</v>
      </c>
      <c r="P33" s="390">
        <v>3</v>
      </c>
      <c r="Q33" s="388">
        <f ca="1">MAX($G33-Control!$C$107,0)</f>
        <v>0</v>
      </c>
      <c r="R33" s="388">
        <f t="shared" ca="1" si="114"/>
        <v>0</v>
      </c>
      <c r="S33" s="388">
        <f t="shared" ca="1" si="2"/>
        <v>0</v>
      </c>
      <c r="T33" s="388">
        <f t="shared" ca="1" si="3"/>
        <v>0</v>
      </c>
      <c r="U33" s="59">
        <f t="shared" ca="1" si="4"/>
        <v>0</v>
      </c>
      <c r="V33" s="391">
        <f ca="1">MAX(0,MIN(Control!$C$100-Control!$C$99,$G33-Control!$C$99)*Control!$C$63)</f>
        <v>0</v>
      </c>
      <c r="W33" s="388">
        <f t="shared" ca="1" si="190"/>
        <v>0</v>
      </c>
      <c r="X33" s="388">
        <f t="shared" ca="1" si="115"/>
        <v>0.6110000000000001</v>
      </c>
      <c r="Y33" s="388">
        <f t="shared" ca="1" si="116"/>
        <v>0</v>
      </c>
      <c r="Z33" s="388">
        <f t="shared" ca="1" si="117"/>
        <v>0.61058800000000002</v>
      </c>
      <c r="AA33" s="388">
        <f t="shared" ca="1" si="5"/>
        <v>0.6018</v>
      </c>
      <c r="AB33" s="388">
        <f ca="1">101.3*EXP(-0.034*Control!$C$66/($G33+273))</f>
        <v>100.69623283836242</v>
      </c>
      <c r="AC33" s="392">
        <f t="shared" ca="1" si="6"/>
        <v>4.3460251046025113E-2</v>
      </c>
      <c r="AD33" s="392">
        <f t="shared" ca="1" si="7"/>
        <v>4.4450382862832649E-2</v>
      </c>
      <c r="AE33" s="388">
        <f t="shared" ca="1" si="8"/>
        <v>0</v>
      </c>
      <c r="AF33" s="388">
        <f ca="1">MAX(0,$G33-Control!$C$92)</f>
        <v>0</v>
      </c>
      <c r="AG33" s="393">
        <f t="shared" ca="1" si="118"/>
        <v>28</v>
      </c>
      <c r="AH33" s="389">
        <f t="shared" ca="1" si="9"/>
        <v>28</v>
      </c>
      <c r="AI33" s="388">
        <f t="shared" ca="1" si="119"/>
        <v>-0.3213008025744587</v>
      </c>
      <c r="AJ33" s="388">
        <f ca="1">IF(Control!$C$60&lt;=0,$HH33,$HI33)</f>
        <v>1</v>
      </c>
      <c r="AK33" s="388">
        <f t="shared" ca="1" si="10"/>
        <v>-0.89513872869407807</v>
      </c>
      <c r="AL33" s="388">
        <f t="shared" ca="1" si="11"/>
        <v>1.1722220416565676E-18</v>
      </c>
      <c r="AM33" s="388">
        <f t="shared" ca="1" si="12"/>
        <v>-0.89513872869407807</v>
      </c>
      <c r="AN33" s="388">
        <f t="shared" ca="1" si="13"/>
        <v>-0.31561556509488281</v>
      </c>
      <c r="AO33" s="388">
        <f ca="1">-0.10453/COS(Control!$B$8*PI()/180)*COS(AN33)</f>
        <v>-0.16139842347600381</v>
      </c>
      <c r="AP33" s="388">
        <f ca="1">ACOS(AO33-TAN(Control!$B$8*PI()/180)*TAN(AN33))</f>
        <v>1.3113540187664354</v>
      </c>
      <c r="AQ33" s="388">
        <f t="shared" ca="1" si="120"/>
        <v>0</v>
      </c>
      <c r="AR33" s="394">
        <f t="shared" ca="1" si="14"/>
        <v>0</v>
      </c>
      <c r="AS33" s="436">
        <f ca="1">IF(Control!$B$18=2,(IF(OR($AH33=Control!$B$175,$AH33=Control!$B$176,$AH33=Control!$B$177,$AH33=Control!$B$178,$AH33=Control!$B$179,$AH33=Control!$B$180,$AH33=Control!$B$181,$AH33=Control!$B$182,$AH33=Control!$B$183,$AH33=Control!$B$184,$AH33=Control!$B$185),1,0)),0)</f>
        <v>0</v>
      </c>
      <c r="AT33" s="436">
        <f>IF(Control!$B$20=8,IF(AND($AH33&gt;=Control!$B$172,$AH33&lt;=Control!$B$173),1,0),0)</f>
        <v>0</v>
      </c>
      <c r="AU33" s="436">
        <f>IF(Control!$B$20=8,IF($AV32=1,1*$AT33,IF($AT33=1,$AU32+1,$AU32)),0)</f>
        <v>0</v>
      </c>
      <c r="AV33" s="436">
        <f>IF(Control!$B$20=8,IF($AU33&gt;=Control!$B$174,1,0),0)</f>
        <v>0</v>
      </c>
      <c r="AW33" s="436">
        <f ca="1">IF(AND(Control!$B$18=2,Control!$B$171=1), $AV33, $AS33)</f>
        <v>0</v>
      </c>
      <c r="AX33" s="436" t="e">
        <f ca="1">IF(AND(Control!$B$18=1,$EU33&gt;=Control!$B$19),-$AY33,IF(AND(Control!$B$18=2,$AW33=1,$EU33&gt;$DS33),-$AY33, IF(Control!$C$108=0,0, IF(Control!$C$108&lt;&gt;0,1))))</f>
        <v>#N/A</v>
      </c>
      <c r="AY33" s="436" t="e">
        <f t="shared" ca="1" si="121"/>
        <v>#N/A</v>
      </c>
      <c r="AZ33" s="436" t="e">
        <f ca="1">IF(AND(Control!$B$18=1,$EB33&gt;Control!$B$19),$AZ32+1, IF(AND(Control!$B$18=2, $AW33=1, $EB33&gt;$DS33), $AZ32+1,$AZ32))</f>
        <v>#N/A</v>
      </c>
      <c r="BA33" s="587">
        <f>IF(Control!$C$81=0,1,IF($AH33&gt;=Control!$C$82,1,0))</f>
        <v>1</v>
      </c>
      <c r="BB33" s="140" t="e">
        <f ca="1">IF($BA33&gt;$BA32,Control!$C$83,IF($AW33&gt;0,$AW33*Control!$C$84,IF(AND(Control!$B$18=1,EN32&lt;&gt;0),Control!$C$84,0)))</f>
        <v>#N/A</v>
      </c>
      <c r="BC33" s="140" t="e">
        <f t="shared" ca="1" si="122"/>
        <v>#N/A</v>
      </c>
      <c r="BD33" s="140" t="e">
        <f ca="1">BC33*IF(OR($G33&lt;Control!$C$92,$G33&gt;Control!$C$95),0,IF(AND($G33&gt;=Control!$C$92,$G33&lt;=Control!$C$93),$G33-Control!$C$92,IF(AND($G33&gt;Control!$C$93,$G33&lt;=Control!$C$94),Control!$C$93-Control!$C$92,IF(AND($G33&gt;Control!$C$94,$G33&lt;=Control!$C$95),(Control!$C$93-Control!$C$92)*(Control!$C$94-$G33)/(Control!$C$95-Control!$C$94)))))</f>
        <v>#N/A</v>
      </c>
      <c r="BE33" s="140" t="e">
        <f t="shared" ca="1" si="123"/>
        <v>#N/A</v>
      </c>
      <c r="BF33" s="140" t="e">
        <f ca="1">IF($BE33&lt;=Control!$C$86,$BE33,Control!$C$86-$BE33)</f>
        <v>#N/A</v>
      </c>
      <c r="BG33" s="140" t="e">
        <f ca="1">IF(AND($AW33=1,Control!$C$84&lt;9),1,IF($BE33&gt;=Control!$C$86,0,$BC33))</f>
        <v>#N/A</v>
      </c>
      <c r="BH33" s="404" t="e">
        <f ca="1">IF($BG33=0,0,IF($BE33&lt;=Control!$C$86,$BC33*9*($BF33/Control!$C$86),0))</f>
        <v>#N/A</v>
      </c>
      <c r="BI33" s="140" t="e">
        <f ca="1">IF($BG33=1,0,IF($BE33&gt;=Control!$C$86,1,IF(AND($BB33&lt;21,$BB33&gt;=9),1,$BM32)))</f>
        <v>#N/A</v>
      </c>
      <c r="BJ33" s="140" t="e">
        <f ca="1">IF($BF33&lt;0,-$BF33,$BI33*IF(OR($G33&lt;Control!$C$92,$G33&gt;Control!$C$95),0,IF(AND($G33&gt;=Control!$C$92,$G33&lt;=Control!$C$93),$G33-Control!$C$92,IF(AND($G33&gt;Control!$C$93,$G33&lt;=Control!$C$94),Control!$C$93-Control!$C$92,IF(AND($G33&gt;Control!$C$94,$G33&lt;=Control!$C$95),(Control!$C$93-Control!$C$92)*(Control!$C$94-$G33)/(Control!$C$95-Control!$C$94))))))</f>
        <v>#N/A</v>
      </c>
      <c r="BK33" s="140" t="e">
        <f t="shared" ca="1" si="124"/>
        <v>#N/A</v>
      </c>
      <c r="BL33" s="140" t="e">
        <f ca="1">IF($BK33&lt;=Control!$C$87,$BK33,Control!$C$87-$BK33)</f>
        <v>#N/A</v>
      </c>
      <c r="BM33" s="140" t="e">
        <f ca="1">IF(AND($BB33&gt;=9,$BB33&lt;21),1,IF($BK33&gt;=Control!$C$87,0,$BI33))</f>
        <v>#N/A</v>
      </c>
      <c r="BN33" s="404" t="e">
        <f ca="1">IF($BM33=0,0,IF($BK33&lt;=Control!$C$87,$BI33*(9+(21-9)*($BL33/Control!$C$87)),0))</f>
        <v>#N/A</v>
      </c>
      <c r="BO33" s="140" t="e">
        <f ca="1">IF($BM33=1,0,IF($BK33&gt;=Control!$C$87,1,IF(AND($BB33&lt;30,$BB33&gt;=21),1,$BS32)))</f>
        <v>#N/A</v>
      </c>
      <c r="BP33" s="140" t="e">
        <f ca="1">IF($BL33&lt;0,-$BL33,$BO33*IF(OR($G33&lt;Control!$C$92,$G33&gt;Control!$C$95),0,IF(AND($G33&gt;=Control!$C$92,$G33&lt;=Control!$C$93),$G33-Control!$C$92,IF(AND($G33&gt;Control!$C$93,$G33&lt;=Control!$C$94),Control!$C$93-Control!$C$92,IF(AND($G33&gt;Control!$C$94,$G33&lt;=Control!$C$95),(Control!$C$93-Control!$C$92)*(Control!$C$94-$G33)/(Control!$C$95-Control!$C$94))))))</f>
        <v>#N/A</v>
      </c>
      <c r="BQ33" s="140" t="e">
        <f t="shared" ca="1" si="15"/>
        <v>#N/A</v>
      </c>
      <c r="BR33" s="140" t="e">
        <f ca="1">IF($BQ33&lt;=Control!$C$88,$BQ33,Control!$C$88-$BQ33)</f>
        <v>#N/A</v>
      </c>
      <c r="BS33" s="140" t="e">
        <f ca="1">IF(AND($BB33&gt;=21,$BB33&lt;30),1,IF($BQ33&gt;=Control!$C$88,0,$BO33))</f>
        <v>#N/A</v>
      </c>
      <c r="BT33" s="404" t="e">
        <f ca="1">IF($BS33=0,0,IF($BQ33&lt;=Control!$C$88,$BO33*(21+(30-21)*(BR33/Control!$C$88)),0))</f>
        <v>#N/A</v>
      </c>
      <c r="BU33" s="140" t="e">
        <f ca="1">IF(BG33+BM33+BS33=1,0,IF(OR(AND($BB33&lt;60,$BB33&gt;=30),$BQ33&gt;=Control!$C$88),1*$BA33,$BY32))</f>
        <v>#N/A</v>
      </c>
      <c r="BV33" s="140" t="e">
        <f ca="1">IF($BR33&lt;0,-$BR33,$BU33*IF(OR($G33&lt;Control!$C$92,$G33&gt;Control!$C$95),0,IF(AND($G33&gt;=Control!$C$92,$G33&lt;=Control!$C$93),$G33-Control!$C$92,IF(AND($G33&gt;Control!$C$93,$G33&lt;=Control!$C$94),Control!$C$93-Control!$C$92,IF(AND($G33&gt;Control!$C$94,$G33&lt;=Control!$C$95),(Control!$C$93-Control!$C$92)*(Control!$C$94-$G33)/(Control!$C$95-Control!$C$94))))))</f>
        <v>#N/A</v>
      </c>
      <c r="BW33" s="140" t="e">
        <f t="shared" ca="1" si="16"/>
        <v>#N/A</v>
      </c>
      <c r="BX33" s="140" t="e">
        <f ca="1">IF($BW33&lt;=Control!$C$89,$BW33,Control!$C$89-$BW33)</f>
        <v>#N/A</v>
      </c>
      <c r="BY33" s="140" t="e">
        <f ca="1">IF(AND($AJ33&gt;=30,$AJ33&lt;60),1,IF($BW33&gt;=Control!$C$89,0,$BU33))</f>
        <v>#N/A</v>
      </c>
      <c r="BZ33" s="404" t="e">
        <f ca="1">IF($BY33=0,0,IF($BW33&lt;=Control!$C$89,$BU33*(30+(60-30)*(BX33/Control!$C$89)),0))</f>
        <v>#N/A</v>
      </c>
      <c r="CA33" s="140" t="e">
        <f ca="1">IF($BG33+$BM33+$BS33+$BY33=1,0,IF(OR(AND($BB33&lt;65,$BB33&gt;=60),$BW33&gt;=Control!$C$89),1*$BA33,$CE32))</f>
        <v>#N/A</v>
      </c>
      <c r="CB33" s="140" t="e">
        <f ca="1">IF($BX33&lt;0,-$BX33,$CA33*IF(OR($G33&lt;Control!$C$92,$G33&gt;Control!$C$95),0,IF(AND($G33&gt;=Control!$C$92,$G33&lt;=Control!$C$93),$G33-Control!$C$92,IF(AND($G33&gt;Control!$C$93,$G33&lt;=Control!$C$94),Control!$C$93-Control!$C$92,IF(AND($G33&gt;Control!$C$94,$G33&lt;=Control!$C$95),(Control!$C$93-Control!$C$92)*(Control!$C$94-$G33)/(Control!$C$95-Control!$C$94))))))</f>
        <v>#N/A</v>
      </c>
      <c r="CC33" s="140" t="e">
        <f t="shared" ca="1" si="125"/>
        <v>#N/A</v>
      </c>
      <c r="CD33" s="140" t="e">
        <f ca="1">IF($CC33&lt;=Control!$C$90,$CC33,Control!$C$90-$CC33)</f>
        <v>#N/A</v>
      </c>
      <c r="CE33" s="140" t="e">
        <f ca="1">IF(AND($BB33&gt;=60,$BB33&lt;65),1,IF($CC33&gt;=Control!$C$90,0,$CA33))</f>
        <v>#N/A</v>
      </c>
      <c r="CF33" s="404" t="e">
        <f ca="1">IF($CE33=0,0,IF($CC33&lt;=Control!$C$90,$CA33*(60+(65-60)*(CD33/Control!$C$90)),0))</f>
        <v>#N/A</v>
      </c>
      <c r="CG33" s="140" t="e">
        <f ca="1">IF($BG33+$BM33+$BS33+$BY33+$CE33=1,0,IF(OR(AND($BB33&lt;90,$BB33&gt;=65),$CC33&gt;=Control!$C$90),$BA33,$CK32))</f>
        <v>#N/A</v>
      </c>
      <c r="CH33" s="140" t="e">
        <f ca="1">IF($CD33&lt;0,-$CD33,$CG33*IF(OR($G33&lt;Control!$C$92,$G33&gt;Control!$C$95),0,IF(AND($G33&gt;=Control!$C$92,$G33&lt;=Control!$C$93),$G33-Control!$C$92,IF(AND($G33&gt;Control!$C$93,$G33&lt;=Control!$C$94),Control!$C$93-Control!$C$92,IF(AND($G33&gt;Control!$C$94,$G33&lt;=Control!$C$95),(Control!$C$93-Control!$C$92)*(Control!$C$94-$G33)/(Control!$C$95-Control!$C$94))))))</f>
        <v>#N/A</v>
      </c>
      <c r="CI33" s="140" t="e">
        <f t="shared" ca="1" si="126"/>
        <v>#N/A</v>
      </c>
      <c r="CJ33" s="140" t="e">
        <f ca="1">IF($CI33&lt;=Control!$C$91,$CI33,Control!$C$91-$CI33)</f>
        <v>#N/A</v>
      </c>
      <c r="CK33" s="140" t="e">
        <f ca="1">IF(AND($BB33&gt;=65,$BB33&lt;90),1,IF($CI33&gt;=Control!$C$91,0,$CG33))</f>
        <v>#N/A</v>
      </c>
      <c r="CL33" s="404" t="e">
        <f ca="1">IF($CK33=0,0,IF($CI33&lt;=Control!$C$91,$CG33*(65+(90-65)*($CJ33/Control!$C$91)),0))</f>
        <v>#N/A</v>
      </c>
      <c r="CM33" s="140" t="e">
        <f ca="1">IF($BG33+$BM33+$BS33+$BY33+$CE33+$CK33=1,0,IF(OR($BB33&gt;=90,$CI33&gt;=Control!$C$91),$BA33,$CM32))</f>
        <v>#N/A</v>
      </c>
      <c r="CN33" s="140" t="e">
        <f t="shared" ca="1" si="127"/>
        <v>#N/A</v>
      </c>
      <c r="CO33" s="140" t="e">
        <f t="shared" ca="1" si="128"/>
        <v>#N/A</v>
      </c>
      <c r="CP33" s="140" t="e">
        <f t="shared" ca="1" si="129"/>
        <v>#N/A</v>
      </c>
      <c r="CQ33" s="141" t="e">
        <f ca="1">VLOOKUP($CP33,Control!$B$86:$G$91,6)</f>
        <v>#N/A</v>
      </c>
      <c r="CR33" s="141" t="e">
        <f ca="1">(1-$CQ33)*VLOOKUP($CP33,Control!$B$86:$D$91,3)</f>
        <v>#N/A</v>
      </c>
      <c r="CS33" s="141" t="e">
        <f ca="1">(1-$CQ33)*VLOOKUP($CP33,Control!$B$86:$E$91,4)</f>
        <v>#N/A</v>
      </c>
      <c r="CT33" s="141" t="e">
        <f ca="1">(1-$CQ33)*VLOOKUP($CP33,Control!$B$86:$F$91,5)</f>
        <v>#N/A</v>
      </c>
      <c r="CU33" s="141">
        <f t="shared" ca="1" si="130"/>
        <v>0</v>
      </c>
      <c r="CV33" s="583">
        <f t="shared" ca="1" si="131"/>
        <v>0</v>
      </c>
      <c r="CW33" s="142">
        <f t="shared" ca="1" si="132"/>
        <v>28</v>
      </c>
      <c r="CX33" s="612" t="e">
        <f ca="1">IF(Control!$C$114=1,(MIN(Control!$C$120*(IF($NT33-0.01&lt;0,0,1)),Control!$C$119-$CY33)))</f>
        <v>#DIV/0!</v>
      </c>
      <c r="CY33" s="143" t="e">
        <f t="shared" ca="1" si="133"/>
        <v>#N/A</v>
      </c>
      <c r="CZ33" s="144">
        <f t="shared" ca="1" si="17"/>
        <v>0</v>
      </c>
      <c r="DA33" s="144">
        <f t="shared" ca="1" si="18"/>
        <v>0</v>
      </c>
      <c r="DB33" s="144" t="e">
        <f t="shared" ca="1" si="19"/>
        <v>#N/A</v>
      </c>
      <c r="DC33" s="144" t="e">
        <f t="shared" ca="1" si="20"/>
        <v>#N/A</v>
      </c>
      <c r="DD33" s="144" t="e">
        <f t="shared" ca="1" si="216"/>
        <v>#N/A</v>
      </c>
      <c r="DE33" s="143" t="e">
        <f t="shared" ca="1" si="135"/>
        <v>#N/A</v>
      </c>
      <c r="DF33" s="145" t="e">
        <f ca="1">$DR33*EXP(-Control!$C$158*(1-$KH33))</f>
        <v>#N/A</v>
      </c>
      <c r="DG33" s="146" t="e">
        <f ca="1">IF(Control!$C$114=1, $DF33*$EY33, 0)</f>
        <v>#N/A</v>
      </c>
      <c r="DH33" s="147" t="e">
        <f t="shared" ca="1" si="136"/>
        <v>#N/A</v>
      </c>
      <c r="DI33" s="144" t="e">
        <f t="shared" ca="1" si="191"/>
        <v>#N/A</v>
      </c>
      <c r="DJ33" s="147" t="e">
        <f ca="1">$EF33*Control!$C$109</f>
        <v>#N/A</v>
      </c>
      <c r="DK33" s="144" t="e">
        <f t="shared" ca="1" si="137"/>
        <v>#N/A</v>
      </c>
      <c r="DL33" s="144" t="e">
        <f t="shared" ca="1" si="21"/>
        <v>#N/A</v>
      </c>
      <c r="DM33" s="144" t="e">
        <f ca="1">IF(Control!$C$114=1, (1-EXP(-Control!$C$96*$DK33))*$AR33, 0)</f>
        <v>#N/A</v>
      </c>
      <c r="DN33" s="144">
        <f t="shared" ca="1" si="138"/>
        <v>0</v>
      </c>
      <c r="DO33" s="148">
        <f>Control!$C$97</f>
        <v>4</v>
      </c>
      <c r="DP33" s="145" t="e">
        <f t="shared" ca="1" si="139"/>
        <v>#N/A</v>
      </c>
      <c r="DQ33" s="145" t="e">
        <f ca="1">IF(AND($CP33&gt;=0,$CP33&lt;=90),Control!$C$111,Control!$C$111)</f>
        <v>#N/A</v>
      </c>
      <c r="DR33" s="145" t="e">
        <f t="shared" ca="1" si="22"/>
        <v>#N/A</v>
      </c>
      <c r="DS33" s="143" t="e">
        <f ca="1">Control!$B$22/$DR33</f>
        <v>#N/A</v>
      </c>
      <c r="DT33" s="149" t="e">
        <f ca="1">IF(AND(Control!$C$114=1,$KH33&lt;1),$IM33*$DF33, 0)</f>
        <v>#N/A</v>
      </c>
      <c r="DU33" s="144" t="e">
        <f t="shared" ca="1" si="192"/>
        <v>#N/A</v>
      </c>
      <c r="DV33" s="144">
        <f ca="1">IF($G33-Control!$C$107&lt;=0, 0, 0.83*LN(MAX($G33, 3))-0.8924)</f>
        <v>0</v>
      </c>
      <c r="DW33" s="144" t="e">
        <f t="shared" ca="1" si="23"/>
        <v>#N/A</v>
      </c>
      <c r="DX33" s="150" t="e">
        <f ca="1">MAX(0.01*(1+$CU33/Control!$C$102),0.05*($DK33-Control!$C$97)/Control!$C$97)</f>
        <v>#N/A</v>
      </c>
      <c r="DY33" s="151" t="e">
        <f ca="1">IF(Control!$C$114=1, $DI33*$FS33, 0)</f>
        <v>#N/A</v>
      </c>
      <c r="DZ33" s="196" t="e">
        <f t="shared" ca="1" si="140"/>
        <v>#N/A</v>
      </c>
      <c r="EA33" s="152">
        <f t="shared" ca="1" si="141"/>
        <v>28</v>
      </c>
      <c r="EB33" s="153" t="e">
        <f t="shared" ca="1" si="217"/>
        <v>#N/A</v>
      </c>
      <c r="EC33" s="153" t="e">
        <f t="shared" ca="1" si="142"/>
        <v>#N/A</v>
      </c>
      <c r="ED33" s="154" t="e">
        <f ca="1">IF(Control!$C$114=1, $HM33*$FY33-$FD33, 0)</f>
        <v>#DIV/0!</v>
      </c>
      <c r="EE33" s="155" t="e">
        <f ca="1">IF(Control!$C$114=1, $HM33*$FZ33-$FF33, 0)</f>
        <v>#DIV/0!</v>
      </c>
      <c r="EF33" s="153" t="e">
        <f t="shared" ca="1" si="193"/>
        <v>#N/A</v>
      </c>
      <c r="EG33" s="155" t="e">
        <f ca="1">IF(Control!$C$114=1, $GX33*$FW33-$FI33, 0)</f>
        <v>#DIV/0!</v>
      </c>
      <c r="EH33" s="153" t="e">
        <f t="shared" ca="1" si="143"/>
        <v>#N/A</v>
      </c>
      <c r="EI33" s="156" t="e">
        <f t="shared" ca="1" si="144"/>
        <v>#N/A</v>
      </c>
      <c r="EJ33" s="155" t="e">
        <f ca="1">IF(Control!$C$114=1, $HM33*$GB33, 0)</f>
        <v>#DIV/0!</v>
      </c>
      <c r="EK33" s="153" t="e">
        <f t="shared" ca="1" si="194"/>
        <v>#N/A</v>
      </c>
      <c r="EL33" s="153" t="e">
        <f t="shared" ca="1" si="24"/>
        <v>#N/A</v>
      </c>
      <c r="EM33" s="153" t="e">
        <f t="shared" ca="1" si="25"/>
        <v>#N/A</v>
      </c>
      <c r="EN33" s="153" t="e">
        <f ca="1">IF(Control!$C$108=1,IF(AND(Control!$B$18=1,$EB33&gt;=Control!$B$19),$EB33-$DS33,IF(AND(Control!$B$18=2,$AW33=1,$EB33&gt;$DS33),$EB33-$DS33,0)))</f>
        <v>#N/A</v>
      </c>
      <c r="EO33" s="153" t="e">
        <f ca="1">IF(Control!$C$108=1,IF(AND(Control!$B$18=1,$EB33&gt;=Control!$B$19),$EF33,IF(AND(Control!$B$18=2,$AW33=1),$EF33,0)))</f>
        <v>#N/A</v>
      </c>
      <c r="EP33" s="153" t="e">
        <f ca="1">IF(Control!$C$108=1,IF(AND(Control!$B$18=1,$EB33&gt;=Control!$B$19),$EK33,IF(AND(Control!$B$18=2,$AW33=1),$EK33,0)))</f>
        <v>#N/A</v>
      </c>
      <c r="EQ33" s="153" t="e">
        <f t="shared" ca="1" si="145"/>
        <v>#N/A</v>
      </c>
      <c r="ER33" s="153" t="e">
        <f t="shared" ca="1" si="195"/>
        <v>#N/A</v>
      </c>
      <c r="ES33" s="153" t="e">
        <f t="shared" ca="1" si="196"/>
        <v>#N/A</v>
      </c>
      <c r="ET33" s="153" t="e">
        <f t="shared" ca="1" si="197"/>
        <v>#N/A</v>
      </c>
      <c r="EU33" s="153" t="e">
        <f t="shared" ca="1" si="198"/>
        <v>#N/A</v>
      </c>
      <c r="EV33" s="153" t="e">
        <f t="shared" ca="1" si="146"/>
        <v>#N/A</v>
      </c>
      <c r="EW33" s="153" t="e">
        <f t="shared" ca="1" si="218"/>
        <v>#N/A</v>
      </c>
      <c r="EX33" s="153" t="e">
        <f t="shared" ca="1" si="26"/>
        <v>#N/A</v>
      </c>
      <c r="EY33" s="157" t="e">
        <f t="shared" ca="1" si="147"/>
        <v>#DIV/0!</v>
      </c>
      <c r="EZ33" s="154" t="e">
        <f t="shared" ca="1" si="27"/>
        <v>#DIV/0!</v>
      </c>
      <c r="FA33" s="153" t="e">
        <f t="shared" ca="1" si="199"/>
        <v>#N/A</v>
      </c>
      <c r="FB33" s="153" t="e">
        <f t="shared" ca="1" si="28"/>
        <v>#N/A</v>
      </c>
      <c r="FC33" s="193" t="e">
        <f t="shared" ca="1" si="29"/>
        <v>#N/A</v>
      </c>
      <c r="FD33" s="158" t="e">
        <f t="shared" ca="1" si="200"/>
        <v>#N/A</v>
      </c>
      <c r="FE33" s="158" t="e">
        <f t="shared" ca="1" si="148"/>
        <v>#N/A</v>
      </c>
      <c r="FF33" s="159" t="e">
        <f t="shared" ca="1" si="30"/>
        <v>#N/A</v>
      </c>
      <c r="FG33" s="160" t="e">
        <f t="shared" ca="1" si="149"/>
        <v>#N/A</v>
      </c>
      <c r="FH33" s="158" t="e">
        <f t="shared" ca="1" si="150"/>
        <v>#N/A</v>
      </c>
      <c r="FI33" s="159" t="e">
        <f t="shared" ca="1" si="31"/>
        <v>#N/A</v>
      </c>
      <c r="FJ33" s="160" t="e">
        <f t="shared" ca="1" si="151"/>
        <v>#N/A</v>
      </c>
      <c r="FK33" s="160" t="e">
        <f t="shared" ca="1" si="32"/>
        <v>#N/A</v>
      </c>
      <c r="FL33" s="160" t="e">
        <f t="shared" ca="1" si="229"/>
        <v>#N/A</v>
      </c>
      <c r="FM33" s="160" t="e">
        <f t="shared" ca="1" si="33"/>
        <v>#N/A</v>
      </c>
      <c r="FN33" s="158">
        <f t="shared" ca="1" si="219"/>
        <v>0.01</v>
      </c>
      <c r="FO33" s="160">
        <f>Control!$C$101</f>
        <v>50</v>
      </c>
      <c r="FP33" s="150" t="e">
        <f t="shared" ca="1" si="34"/>
        <v>#N/A</v>
      </c>
      <c r="FQ33" s="150" t="e">
        <f ca="1">MAX(0,(Control!$C$112*(($DK33-Control!$C$97)/Control!$C$97)))</f>
        <v>#N/A</v>
      </c>
      <c r="FR33" s="150" t="e">
        <f ca="1">(1-$NT33)*Control!$C$113</f>
        <v>#DIV/0!</v>
      </c>
      <c r="FS33" s="198" t="e">
        <f t="shared" ca="1" si="35"/>
        <v>#N/A</v>
      </c>
      <c r="FT33" s="161">
        <f t="shared" ca="1" si="152"/>
        <v>28</v>
      </c>
      <c r="FU33" s="162" t="e">
        <f ca="1">IF(Control!$B$34=1,VLOOKUP($CP33,Control!$B$86:$G$91,6),Control!$B$35)</f>
        <v>#N/A</v>
      </c>
      <c r="FV33" s="162" t="e">
        <f t="shared" ca="1" si="36"/>
        <v>#DIV/0!</v>
      </c>
      <c r="FW33" s="162" t="e">
        <f ca="1">IF(Control!$B$31=1,$FU33*$FV33,  $FU33)</f>
        <v>#N/A</v>
      </c>
      <c r="FX33" s="162" t="e">
        <f ca="1">IF(Control!$B$34=1,VLOOKUP($CP33,Control!$B$86:$G$91,3),Control!$B$36)</f>
        <v>#N/A</v>
      </c>
      <c r="FY33" s="162" t="e">
        <f t="shared" ca="1" si="37"/>
        <v>#N/A</v>
      </c>
      <c r="FZ33" s="162" t="e">
        <f ca="1">IF(Control!$B$34=1,VLOOKUP($CP33,Control!$B$86:$G$91,4),Control!$B$37)</f>
        <v>#N/A</v>
      </c>
      <c r="GA33" s="162" t="e">
        <f t="shared" ca="1" si="38"/>
        <v>#N/A</v>
      </c>
      <c r="GB33" s="162" t="e">
        <f ca="1">IF(Control!$B$34=1,VLOOKUP($CP33,Control!$B$86:$G$91,5),Control!$B$38)</f>
        <v>#N/A</v>
      </c>
      <c r="GC33" s="162" t="e">
        <f t="shared" ca="1" si="153"/>
        <v>#N/A</v>
      </c>
      <c r="GD33" s="162">
        <f t="shared" ca="1" si="39"/>
        <v>1</v>
      </c>
      <c r="GE33" s="162">
        <f t="shared" ca="1" si="40"/>
        <v>1</v>
      </c>
      <c r="GF33" s="162">
        <f ca="1">IF(AND(Control!$C$104=1, Control!$C$62="F"),$GE33,1)</f>
        <v>1</v>
      </c>
      <c r="GG33" s="162" t="e">
        <f ca="1">IF(Control!$B$16=40,0,IF(AND(Control!$B$16&gt;40,Control!$B$16&lt;=360),(Control!$B$16-40)*((1-0)/(360-40)),IF(AND(Control!$B$16&gt;360,Control!$B$16&lt;=720),(1+(Control!$B$16-360)*((1.25-1)/(720-360))),IF(AND(Control!$B$16&gt;720,Control!$B$16&lt;=1000),(1.25+(Control!$B$16-720)*((1.35-1.25)/(1000-720))),IF(AND(Control!$B$16&gt;1000,Control!$B$16&lt;=2000),(1.35+(Control!$B$16-1000)*0))))))</f>
        <v>#N/A</v>
      </c>
      <c r="GH33" s="162" t="e">
        <f t="shared" ca="1" si="41"/>
        <v>#N/A</v>
      </c>
      <c r="GI33" s="162">
        <f t="shared" ca="1" si="201"/>
        <v>0</v>
      </c>
      <c r="GJ33" s="162">
        <f t="shared" ca="1" si="42"/>
        <v>0</v>
      </c>
      <c r="GK33" s="162">
        <f t="shared" ca="1" si="220"/>
        <v>1</v>
      </c>
      <c r="GL33" s="162">
        <f t="shared" ca="1" si="43"/>
        <v>1</v>
      </c>
      <c r="GM33" s="162" t="e">
        <f ca="1">MAX(0,MIN(1,1-Control!$C$156*(1.0001-$KH33)^2))</f>
        <v>#N/A</v>
      </c>
      <c r="GN33" s="162" t="e">
        <f ca="1">IF(Control!$B$26=1,$KU33,$KX33)</f>
        <v>#N/A</v>
      </c>
      <c r="GO33" s="162" t="e">
        <f ca="1">IF($CP33&lt;=60,Control!$C$105,IF($CP33&gt;=90,Control!$C$106,Control!$C$105+($CP33-60)*((Control!$C$106-Control!$C$105)/(90-60))))</f>
        <v>#N/A</v>
      </c>
      <c r="GP33" s="162" t="e">
        <f t="shared" ca="1" si="154"/>
        <v>#N/A</v>
      </c>
      <c r="GQ33" s="162" t="e">
        <f t="shared" ca="1" si="155"/>
        <v>#N/A</v>
      </c>
      <c r="GR33" s="163" t="e">
        <f t="shared" ca="1" si="44"/>
        <v>#DIV/0!</v>
      </c>
      <c r="GS33" s="162" t="e">
        <f t="shared" ca="1" si="45"/>
        <v>#DIV/0!</v>
      </c>
      <c r="GT33" s="164" t="e">
        <f t="shared" ca="1" si="156"/>
        <v>#N/A</v>
      </c>
      <c r="GU33" s="162" t="e">
        <f t="shared" ca="1" si="157"/>
        <v>#N/A</v>
      </c>
      <c r="GV33" s="162" t="e">
        <f t="shared" ca="1" si="46"/>
        <v>#N/A</v>
      </c>
      <c r="GW33" s="162" t="e">
        <f t="shared" ca="1" si="221"/>
        <v>#DIV/0!</v>
      </c>
      <c r="GX33" s="162" t="e">
        <f t="shared" ca="1" si="228"/>
        <v>#DIV/0!</v>
      </c>
      <c r="GY33" s="162" t="e">
        <f t="shared" ca="1" si="158"/>
        <v>#DIV/0!</v>
      </c>
      <c r="GZ33" s="165" t="e">
        <f t="shared" ca="1" si="159"/>
        <v>#N/A</v>
      </c>
      <c r="HA33" s="162" t="e">
        <f ca="1">IF(Control!$C$114=1, $DI33*$FS33, 0)</f>
        <v>#N/A</v>
      </c>
      <c r="HB33" s="162" t="e">
        <f ca="1">$FA33/Control!$C$64</f>
        <v>#N/A</v>
      </c>
      <c r="HC33" s="162" t="e">
        <f t="shared" ca="1" si="222"/>
        <v>#DIV/0!</v>
      </c>
      <c r="HD33" s="162">
        <f ca="1">-ASIN(SIN(23.45*Control!$C$139)*COS(2*Control!$C$138*($AH33+10)/365))</f>
        <v>-0.3213008025744587</v>
      </c>
      <c r="HE33" s="165">
        <f t="shared" ca="1" si="160"/>
        <v>0</v>
      </c>
      <c r="HF33" s="166">
        <f ca="1">IF(AND(Control!$C$61="T",$HE33&gt;=Control!$C$103,Control!$C$114=0),$AH33,Control!$C$59)</f>
        <v>1</v>
      </c>
      <c r="HG33" s="166">
        <f ca="1">IF(AND(Control!$C$61="T",$HE33&gt;=Control!$C$103,Control!$C$114=0),$HF33,Control!$C$59)</f>
        <v>1</v>
      </c>
      <c r="HH33" s="165">
        <f ca="1">IF(AND(OR(Control!$C$60&lt;=0, $AH33= Control!$C$59, Control!$C$60 &gt;0, $AH33 = Control!$C$60)), Control!$C$59, IF(Control!$C$60&gt;0, 0))</f>
        <v>1</v>
      </c>
      <c r="HI33" s="165">
        <f ca="1">IF(AND(OR(Control!$C$60&lt;=0, $AH33= Control!$C$59, Control!$C$60 &gt;0, $AH33 = Control!$C$60)), Control!$C$60, IF(Control!$C$60&lt;=0, 0))</f>
        <v>0</v>
      </c>
      <c r="HJ33" s="166">
        <f ca="1">IF(AND(Control!$C$62="F",$CV33&gt;=Control!$C$102),$AH33,0)</f>
        <v>0</v>
      </c>
      <c r="HK33" s="165" t="e">
        <f t="shared" ca="1" si="202"/>
        <v>#N/A</v>
      </c>
      <c r="HL33" s="166">
        <f ca="1">IF(AND(Control!$C$61="T",$HE33&gt;=Control!$C$103,Control!$C$114=0),$HF33,0)</f>
        <v>0</v>
      </c>
      <c r="HM33" s="201" t="e">
        <f t="shared" ca="1" si="47"/>
        <v>#DIV/0!</v>
      </c>
      <c r="HN33" s="215">
        <f t="shared" ca="1" si="161"/>
        <v>28</v>
      </c>
      <c r="HO33" s="216" t="e">
        <f ca="1">IF(AND($CP33&gt;=0, $CP33&lt;=90), Control!$C$152, Control!$C$152)</f>
        <v>#N/A</v>
      </c>
      <c r="HP33" s="216" t="e">
        <f t="shared" ca="1" si="48"/>
        <v>#N/A</v>
      </c>
      <c r="HQ33" s="217" t="e">
        <f ca="1">IF(OR(Control!$B$26=1,Control!$B$26=2),$KV33,$KS33)</f>
        <v>#DIV/0!</v>
      </c>
      <c r="HR33" s="218" t="e">
        <f t="shared" ca="1" si="223"/>
        <v>#DIV/0!</v>
      </c>
      <c r="HS33" s="216" t="e">
        <f ca="1">Control!$C$154*$HP33</f>
        <v>#N/A</v>
      </c>
      <c r="HT33" s="216" t="e">
        <f ca="1">Control!$C$155*$HP33</f>
        <v>#N/A</v>
      </c>
      <c r="HU33" s="217" t="e">
        <f ca="1">Control!$C$161*$FI33</f>
        <v>#N/A</v>
      </c>
      <c r="HV33" s="218" t="e">
        <f t="shared" ca="1" si="162"/>
        <v>#N/A</v>
      </c>
      <c r="HW33" s="218" t="e">
        <f ca="1">Control!$C$160*$FF33+$IP33*$EO33</f>
        <v>#N/A</v>
      </c>
      <c r="HX33" s="218" t="e">
        <f t="shared" ca="1" si="203"/>
        <v>#N/A</v>
      </c>
      <c r="HY33" s="219" t="e">
        <f ca="1">IF(Control!$C$114=1, $EB33*$FS33, 0)</f>
        <v>#N/A</v>
      </c>
      <c r="HZ33" s="91" t="e">
        <f t="shared" ca="1" si="49"/>
        <v>#N/A</v>
      </c>
      <c r="IA33" s="220" t="e">
        <f ca="1">Control!$C$153*$HO33</f>
        <v>#N/A</v>
      </c>
      <c r="IB33" s="218" t="e">
        <f t="shared" ca="1" si="50"/>
        <v>#N/A</v>
      </c>
      <c r="IC33" s="220" t="e">
        <f ca="1">Control!$C$153*$HT33</f>
        <v>#N/A</v>
      </c>
      <c r="ID33" s="218" t="e">
        <f t="shared" ca="1" si="51"/>
        <v>#N/A</v>
      </c>
      <c r="IE33" s="221" t="e">
        <f ca="1">($EB33*Control!$C$159+$EF33*Control!$C$160)/(IF($GZ33&lt;&gt;0,$GZ33,1))</f>
        <v>#N/A</v>
      </c>
      <c r="IF33" s="216" t="e">
        <f t="shared" ca="1" si="52"/>
        <v>#N/A</v>
      </c>
      <c r="IG33" s="91">
        <f ca="1">IF(OR(Control!$B$198=$AH33,Control!$B$199=$AH33, Control!$B$200=$AH33, Control!$B$201=$AH33, Control!$B$202=$AH33, Control!$B$203=$AH33, Control!$B$204=$AH33, Control!$B$205=$AH33, Control!$B$206=$AH33, Control!$B$207=$AH33), 1, 0)</f>
        <v>0</v>
      </c>
      <c r="IH33" s="91">
        <f ca="1">IF($IG33=0,0, VLOOKUP($AH33,Control!$B$198:$C$207,2))</f>
        <v>0</v>
      </c>
      <c r="II33" s="222">
        <f t="shared" ca="1" si="163"/>
        <v>0</v>
      </c>
      <c r="IJ33" s="91">
        <f>Control!$C$121</f>
        <v>0.7</v>
      </c>
      <c r="IK33" s="218">
        <f t="shared" ca="1" si="53"/>
        <v>0</v>
      </c>
      <c r="IL33" s="217" t="e">
        <f t="shared" ca="1" si="204"/>
        <v>#N/A</v>
      </c>
      <c r="IM33" s="223" t="e">
        <f ca="1">IF(AND(Control!$C$114=1,$KH33&lt;1),$EB33*Control!$C$148*(1-$KH33), 0)</f>
        <v>#N/A</v>
      </c>
      <c r="IN33" s="217" t="e">
        <f t="shared" ca="1" si="54"/>
        <v>#DIV/0!</v>
      </c>
      <c r="IO33" s="91" t="e">
        <f ca="1">MAX(0,$IL33-$EF33*Control!$C$160)</f>
        <v>#N/A</v>
      </c>
      <c r="IP33" s="220" t="e">
        <f t="shared" ca="1" si="55"/>
        <v>#N/A</v>
      </c>
      <c r="IQ33" s="217" t="e">
        <f t="shared" ca="1" si="164"/>
        <v>#N/A</v>
      </c>
      <c r="IR33" s="218" t="e">
        <f t="shared" ca="1" si="56"/>
        <v>#N/A</v>
      </c>
      <c r="IS33" s="217" t="e">
        <f ca="1">Control!$C$159*MAX(0,$FD33-$EN33)</f>
        <v>#N/A</v>
      </c>
      <c r="IT33" s="217" t="e">
        <f t="shared" ca="1" si="205"/>
        <v>#N/A</v>
      </c>
      <c r="IU33" s="217" t="e">
        <f t="shared" ca="1" si="165"/>
        <v>#N/A</v>
      </c>
      <c r="IV33" s="217" t="e">
        <f t="shared" ca="1" si="206"/>
        <v>#N/A</v>
      </c>
      <c r="IW33" s="217" t="e">
        <f ca="1">IF(OR($AW33=1,AND($AW33=0, Control!$B$18=1,$EN33&lt;&gt;0)), $IQ33-$IU33, $IQ33)</f>
        <v>#N/A</v>
      </c>
      <c r="IX33" s="218" t="e">
        <f t="shared" ca="1" si="57"/>
        <v>#N/A</v>
      </c>
      <c r="IY33" s="218" t="e">
        <f ca="1">MAX(0,$IQ33-$EB33*Control!$C$159)</f>
        <v>#N/A</v>
      </c>
      <c r="IZ33" s="218" t="e">
        <f t="shared" ca="1" si="58"/>
        <v>#N/A</v>
      </c>
      <c r="JA33" s="216" t="e">
        <f t="shared" ca="1" si="59"/>
        <v>#N/A</v>
      </c>
      <c r="JB33" s="217" t="e">
        <f t="shared" ca="1" si="60"/>
        <v>#N/A</v>
      </c>
      <c r="JC33" s="222" t="e">
        <f ca="1">MAX(Control!$C$157*$EK33-$JT33, 0)/Control!$C$162</f>
        <v>#N/A</v>
      </c>
      <c r="JD33" s="218" t="e">
        <f t="shared" ca="1" si="61"/>
        <v>#N/A</v>
      </c>
      <c r="JE33" s="218" t="e">
        <f t="shared" ca="1" si="62"/>
        <v>#N/A</v>
      </c>
      <c r="JF33" s="218" t="e">
        <f t="shared" ca="1" si="207"/>
        <v>#N/A</v>
      </c>
      <c r="JG33" s="218" t="e">
        <f t="shared" ca="1" si="63"/>
        <v>#N/A</v>
      </c>
      <c r="JH33" s="217" t="e">
        <f t="shared" ca="1" si="166"/>
        <v>#N/A</v>
      </c>
      <c r="JI33" s="217" t="e">
        <f t="shared" ca="1" si="167"/>
        <v>#N/A</v>
      </c>
      <c r="JJ33" s="217" t="e">
        <f t="shared" ca="1" si="224"/>
        <v>#N/A</v>
      </c>
      <c r="JK33" s="217" t="e">
        <f ca="1">IF(Control!$C$114=1,IF(Control!$B$24=0,MAX(0,$JI33)*$GN33/Control!$C$64,(MAX(0,MIN($JI33,$JJ33*$GN33/Control!$C$64),0))))</f>
        <v>#N/A</v>
      </c>
      <c r="JL33" s="217" t="e">
        <f ca="1">$IK33/Control!$C$64-$JK33+$HQ33</f>
        <v>#N/A</v>
      </c>
      <c r="JM33" s="217" t="e">
        <f ca="1">IF(Control!$C$114=1,($JB33/(IF($JI33&lt;&gt;0,$JI33,1)))*$JK33,0)</f>
        <v>#N/A</v>
      </c>
      <c r="JN33" s="217" t="e">
        <f ca="1">IF(Control!$C$114=1,($JG33/(IF($JI33&lt;&gt;0,$JI33,1)))*$JK33, 0)</f>
        <v>#N/A</v>
      </c>
      <c r="JO33" s="218" t="e">
        <f t="shared" ca="1" si="64"/>
        <v>#N/A</v>
      </c>
      <c r="JP33" s="218" t="e">
        <f ca="1">MIN(($IY33+$IO33)*Control!$C$151, $JF33-$EH33*Control!$C$161)</f>
        <v>#N/A</v>
      </c>
      <c r="JQ33" s="218" t="e">
        <f t="shared" ca="1" si="65"/>
        <v>#N/A</v>
      </c>
      <c r="JR33" s="217" t="e">
        <f ca="1">IF($CP33-Control!$C$150&lt;0, 0, $JQ33/Control!$C$162)</f>
        <v>#N/A</v>
      </c>
      <c r="JS33" s="218" t="e">
        <f t="shared" ca="1" si="66"/>
        <v>#N/A</v>
      </c>
      <c r="JT33" s="218" t="e">
        <f t="shared" ca="1" si="168"/>
        <v>#N/A</v>
      </c>
      <c r="JU33" s="218" t="e">
        <f t="shared" ca="1" si="67"/>
        <v>#N/A</v>
      </c>
      <c r="JV33" s="218" t="e">
        <f t="shared" ca="1" si="68"/>
        <v>#N/A</v>
      </c>
      <c r="JW33" s="216" t="e">
        <f t="shared" ca="1" si="69"/>
        <v>#N/A</v>
      </c>
      <c r="JX33" s="91" t="e">
        <f t="shared" ca="1" si="70"/>
        <v>#N/A</v>
      </c>
      <c r="JY33" s="218" t="e">
        <f t="shared" ca="1" si="71"/>
        <v>#N/A</v>
      </c>
      <c r="JZ33" s="217" t="e">
        <f ca="1">IF(Control!$C$114=1,($IZ33/(IF($JI33&lt;&gt;0,$JI33,1)))*$JK33, 0)</f>
        <v>#N/A</v>
      </c>
      <c r="KA33" s="218" t="e">
        <f t="shared" ca="1" si="225"/>
        <v>#N/A</v>
      </c>
      <c r="KB33" s="218" t="e">
        <f t="shared" ca="1" si="169"/>
        <v>#N/A</v>
      </c>
      <c r="KC33" s="218" t="e">
        <f t="shared" ca="1" si="72"/>
        <v>#N/A</v>
      </c>
      <c r="KD33" s="218" t="e">
        <f t="shared" ca="1" si="73"/>
        <v>#N/A</v>
      </c>
      <c r="KE33" s="218" t="e">
        <f t="shared" ca="1" si="74"/>
        <v>#N/A</v>
      </c>
      <c r="KF33" s="218" t="e">
        <f t="shared" ca="1" si="75"/>
        <v>#N/A</v>
      </c>
      <c r="KG33" s="216" t="e">
        <f t="shared" ca="1" si="76"/>
        <v>#N/A</v>
      </c>
      <c r="KH33" s="221" t="e">
        <f ca="1">IF(Control!$B$24=0,1,MAX(0.001,MIN(1,IF(($IF33-$IE33)&lt;&gt;0,($KG33-$IE33)/($IF33-$IE33),1))))</f>
        <v>#N/A</v>
      </c>
      <c r="KI33" s="222" t="e">
        <f ca="1">IF(Control!$C$114=1, $KI32+ $KH32, 0)</f>
        <v>#N/A</v>
      </c>
      <c r="KJ33" s="217" t="e">
        <f t="shared" ca="1" si="77"/>
        <v>#N/A</v>
      </c>
      <c r="KK33" s="218" t="e">
        <f t="shared" ca="1" si="78"/>
        <v>#N/A</v>
      </c>
      <c r="KL33" s="274" t="e">
        <f ca="1">IF(Control!$B$26=3,4000000000*EXP(-8400/($G33+273)),IF(Control!$B$26=4,4000000000*EXP(-8400/($G33+273))*($KT33),0))</f>
        <v>#DIV/0!</v>
      </c>
      <c r="KM33" s="274" t="e">
        <f ca="1">IF(Control!$B$26=3,5600000000000*EXP(-9800/($G33+273)),IF(Control!$B$26=4,5600000000000*EXP(-9800/($G33+273))*$KT33,0))</f>
        <v>#DIV/0!</v>
      </c>
      <c r="KN33" s="454" t="e">
        <f t="shared" ca="1" si="170"/>
        <v>#DIV/0!</v>
      </c>
      <c r="KO33" s="274" t="e">
        <f t="shared" ca="1" si="171"/>
        <v>#DIV/0!</v>
      </c>
      <c r="KP33" s="454" t="e">
        <f t="shared" ca="1" si="79"/>
        <v>#DIV/0!</v>
      </c>
      <c r="KQ33" s="454" t="e">
        <f t="shared" ca="1" si="80"/>
        <v>#DIV/0!</v>
      </c>
      <c r="KR33" s="454" t="e">
        <f t="shared" ca="1" si="81"/>
        <v>#DIV/0!</v>
      </c>
      <c r="KS33" s="454" t="e">
        <f t="shared" ca="1" si="82"/>
        <v>#DIV/0!</v>
      </c>
      <c r="KT33" s="455" t="e">
        <f t="shared" ca="1" si="83"/>
        <v>#DIV/0!</v>
      </c>
      <c r="KU33" s="456" t="e">
        <f ca="1">IF($CP33-Control!$C$149&lt;0, IF($NT33-0.01&lt;0,0,1),0)</f>
        <v>#N/A</v>
      </c>
      <c r="KV33" s="456" t="e">
        <f ca="1">IF(Control!$C$114=1,MAX(0,MIN(Control!$C$125*$KW33*$GN33,$KW33)))</f>
        <v>#DIV/0!</v>
      </c>
      <c r="KW33" s="456" t="e">
        <f t="shared" ca="1" si="208"/>
        <v>#DIV/0!</v>
      </c>
      <c r="KX33" s="457" t="e">
        <f ca="1">IF($CP33-Control!$C$149&lt;0, IF($MR33-$OM33&lt;0,0,1),0)</f>
        <v>#N/A</v>
      </c>
      <c r="KY33" s="167">
        <f t="shared" ca="1" si="172"/>
        <v>28</v>
      </c>
      <c r="KZ33" s="168">
        <f ca="1">1370*(1+0.033*COS(2*Control!$C$138*$AH33/365))</f>
        <v>1410.0592291783478</v>
      </c>
      <c r="LA33" s="169">
        <f t="shared" ca="1" si="173"/>
        <v>1.0292403305106266</v>
      </c>
      <c r="LB33" s="169">
        <f t="shared" ca="1" si="174"/>
        <v>-0.32240489948936107</v>
      </c>
      <c r="LC33" s="169">
        <f ca="1">ACOS(-TAN((2*Control!$B$8/360))*TAN(Calculations!$LB33))</f>
        <v>1.4713486483473341</v>
      </c>
      <c r="LD33" s="169">
        <f ca="1">((24*60)/PI())*0.082*$LA33*(($LC33*SIN(Control!$B$8*2*PI()/360))*SIN($LB33)+COS(Control!$B$8*2*PI()/360)*COS($LB33)*SIN($LC33))</f>
        <v>8.2665621418152302</v>
      </c>
      <c r="LE33" s="170">
        <f t="shared" ca="1" si="84"/>
        <v>9.4596522083335053</v>
      </c>
      <c r="LF33" s="170">
        <f ca="1">SIN(Control!$C$139*Control!$B$8)*SIN($HD33)</f>
        <v>-0.24885504549172002</v>
      </c>
      <c r="LG33" s="170">
        <f ca="1">COS(Control!$C$139*Control!$B$8)*COS($HD33)</f>
        <v>0.58415367485662506</v>
      </c>
      <c r="LH33" s="170">
        <f ca="1">12*(1+2*ASIN(MAX(-1,MIN(1,$LF33/$LG33))/Control!$C$138))</f>
        <v>8.7354770070427037</v>
      </c>
      <c r="LI33" s="170">
        <f ca="1">12*(1+2*ASIN(MAX(-1,MIN(1,(-SIN(-4*Control!$C$139)+$LF33)/$LG33))/Control!$C$138))</f>
        <v>9.654060698807351</v>
      </c>
      <c r="LJ33" s="168">
        <f ca="1">3600*($LH33*$LF33+24*$LG33*SQRT(1-$LK33*$LK33)/Control!$C$138)</f>
        <v>6708.6913886913226</v>
      </c>
      <c r="LK33" s="170">
        <f t="shared" ca="1" si="85"/>
        <v>-0.42600955228570481</v>
      </c>
      <c r="LL33" s="170">
        <f t="shared" ca="1" si="86"/>
        <v>0</v>
      </c>
      <c r="LM33" s="171">
        <f ca="1">Control!$C$145*$AB33</f>
        <v>6.6660906138995932E-2</v>
      </c>
      <c r="LN33" s="170">
        <f t="shared" ca="1" si="175"/>
        <v>0.54</v>
      </c>
      <c r="LO33" s="170">
        <f t="shared" ca="1" si="87"/>
        <v>0</v>
      </c>
      <c r="LP33" s="170">
        <f ca="1">Control!$C$140*((($D33+273.16)^4+($E33+273.16)^4)/2)*(0.34-0.14*SQRT($Y33))*(1.35*$AQ33/(0.75*$LD33)-0.35)</f>
        <v>-3.2464704755046001</v>
      </c>
      <c r="LQ33" s="170">
        <f ca="1">Control!$C$140*($G33+273)^4*(0.56-0.079*SQRT($Y33*10))*(0.1+0.9*$LO33)</f>
        <v>1.5241745131704001</v>
      </c>
      <c r="LR33" s="170">
        <f ca="1">$AQ33*(1-Control!$C$142)-$LQ33</f>
        <v>-1.5241745131704001</v>
      </c>
      <c r="LS33" s="170">
        <f ca="1">$AQ33*(1-Control!$C$143)-$LQ33</f>
        <v>-1.5241745131704001</v>
      </c>
      <c r="LT33" s="170">
        <f ca="1">$AQ33*(1-Control!$C$144)-$LQ33</f>
        <v>-1.5241745131704001</v>
      </c>
      <c r="LU33" s="169">
        <f ca="1">(1-Control!$C$144)*AQ33-LP33</f>
        <v>3.2464704755046001</v>
      </c>
      <c r="LV33" s="172">
        <f t="shared" ca="1" si="88"/>
        <v>0.79430000000000012</v>
      </c>
      <c r="LW33" s="170">
        <f t="shared" ca="1" si="89"/>
        <v>1.5886000000000002</v>
      </c>
      <c r="LX33" s="170">
        <f ca="1">($AC33*($LR33/Control!$C$141)+$LM33*$LV33)/($AC33+$LM33)</f>
        <v>0.23530094218323697</v>
      </c>
      <c r="LY33" s="170">
        <f ca="1">($AC33*($LS33/Control!$C$141)+$LM33*$LV33)/($AC33+$LM33)</f>
        <v>0.23530094218323697</v>
      </c>
      <c r="LZ33" s="170">
        <f t="shared" ca="1" si="90"/>
        <v>0.23530094218323697</v>
      </c>
      <c r="MA33" s="170">
        <f t="shared" ca="1" si="91"/>
        <v>0.23530094218323697</v>
      </c>
      <c r="MB33" s="170" t="e">
        <f t="shared" ca="1" si="92"/>
        <v>#N/A</v>
      </c>
      <c r="MC33" s="170">
        <f t="shared" ca="1" si="176"/>
        <v>0.6018</v>
      </c>
      <c r="MD33" s="170">
        <f t="shared" ca="1" si="93"/>
        <v>0.52989392535414004</v>
      </c>
      <c r="ME33" s="170">
        <f ca="1">($AC33*($LT33/Control!$C$141)+$LM33*$LW33)/($AC33+$LM33)</f>
        <v>0.71612369323045078</v>
      </c>
      <c r="MF33" s="170" t="e">
        <f ca="1">IF(Control!$B$16&gt;=1000,0.92,IF(AND(720&lt;=Control!$B$16,1000&gt;Control!$B$16),(0.95+(Control!$B$16-720)*((0.92-0.95)/(1000-720))),IF(AND(360&lt;=Control!$B$16,720&gt;Control!$B$16),(1+(Control!$B$16-360)*((0.95-1)/(720-360))),IF(AND(40&lt;=Control!$B$16,360&gt;Control!$B$16),(1.05+(Control!$B$16-40)*((1.05-1)/(360-40)))))))</f>
        <v>#N/A</v>
      </c>
      <c r="MG33" s="170">
        <f t="shared" ca="1" si="94"/>
        <v>0.71612369323045078</v>
      </c>
      <c r="MH33" s="170" t="e">
        <f t="shared" ca="1" si="230"/>
        <v>#N/A</v>
      </c>
      <c r="MI33" s="170" t="e">
        <f t="shared" ca="1" si="230"/>
        <v>#N/A</v>
      </c>
      <c r="MJ33" s="170" t="e">
        <f ca="1">MAX(0.0001, Control!$C$132*$MI33*$DL33)</f>
        <v>#N/A</v>
      </c>
      <c r="MK33" s="170">
        <f ca="1">1/(0.76+1.5*($MG33/10))-(5-Control!$C$110)*0.1</f>
        <v>1.002845988140797</v>
      </c>
      <c r="ML33" s="173">
        <f ca="1">IF(Control!$C$110&lt;3,$MK33+($MG33-0.6)/(Control!$C$110*(Control!$C$110+3)), MAX(0.1, MIN(0.95,$MK33)))</f>
        <v>0.95</v>
      </c>
      <c r="MM33" s="173">
        <f ca="1">IF(Control!$C$110&lt;3,$MK33+(($MI33/10)-0.6)/(Control!$C$110*(Control!$C$110+3)), MAX(0.1, MIN(0.95,$MK33)))</f>
        <v>0.95</v>
      </c>
      <c r="MN33" s="173">
        <f ca="1">(1-$MM33)*(Control!$C$128-Control!$C$127)+Control!$C$127</f>
        <v>0.16</v>
      </c>
      <c r="MO33" s="170" t="e">
        <f ca="1">MAX(0,MIN(1,($MS33-Control!$C$127)/($MN33-Control!$C$127)))</f>
        <v>#DIV/0!</v>
      </c>
      <c r="MP33" s="173" t="e">
        <f ca="1">1/(0.76+1.5*$MI33)-(5-Control!$C$110)*0.1</f>
        <v>#N/A</v>
      </c>
      <c r="MQ33" s="172" t="e">
        <f t="shared" ca="1" si="209"/>
        <v>#DIV/0!</v>
      </c>
      <c r="MR33" s="168" t="e">
        <f t="shared" ca="1" si="226"/>
        <v>#DIV/0!</v>
      </c>
      <c r="MS33" s="173" t="e">
        <f ca="1">MAX(Control!$C$127, MIN(Control!$C$135, $MR33/MAX(0.0001,$CY33)))</f>
        <v>#DIV/0!</v>
      </c>
      <c r="MT33" s="168" t="e">
        <f ca="1">(Control!$C$128-$MS33)*Control!$C$74</f>
        <v>#DIV/0!</v>
      </c>
      <c r="MU33" s="168" t="e">
        <f ca="1">(Control!$C$135-$MS33)*Control!$C$74</f>
        <v>#DIV/0!</v>
      </c>
      <c r="MV33" s="168" t="e">
        <f t="shared" ca="1" si="210"/>
        <v>#DIV/0!</v>
      </c>
      <c r="MW33" s="168" t="e">
        <f t="shared" ca="1" si="177"/>
        <v>#DIV/0!</v>
      </c>
      <c r="MX33" s="171" t="e">
        <f ca="1">MAX(Control!$C$127, MIN(Control!$C$135, $MW33/MAX(0.0001,Control!$C$119-$CY33)))</f>
        <v>#DIV/0!</v>
      </c>
      <c r="MY33" s="54" t="e">
        <f ca="1">IF(Control!$C$114=1, $CX33*$MX33, 0)</f>
        <v>#DIV/0!</v>
      </c>
      <c r="MZ33" s="54" t="e">
        <f t="shared" ca="1" si="178"/>
        <v>#N/A</v>
      </c>
      <c r="NA33" s="168" t="e">
        <f ca="1">(Control!$C$128-$MX33)*(Control!$C$119-Control!$C$74)</f>
        <v>#DIV/0!</v>
      </c>
      <c r="NB33" s="168" t="e">
        <f ca="1">(Control!$C$135-$MX33)*(Control!$C$119-Control!$C$74)</f>
        <v>#DIV/0!</v>
      </c>
      <c r="NC33" s="174" t="e">
        <f t="shared" ca="1" si="179"/>
        <v>#DIV/0!</v>
      </c>
      <c r="ND33" s="54">
        <f ca="1">IF(Control!$C$58=2, IF(OR(Control!$B$218=$AH33,Control!$B$219=$AH33, Control!$B$220=$AH33, Control!$B$221=$AH33, Control!$B$222=$AH33, Control!$B$223=$AH33, Control!$B$224=$AH33, Control!$B$225=$AH33, Control!$B$226=$AH33, Control!$B$227=$AH33, Control!$B$228=$AH33), 1, 0), 0)</f>
        <v>0</v>
      </c>
      <c r="NE33" s="54">
        <f ca="1">IF($ND33=0,0, VLOOKUP($AH33,Control!$B$218:$C$228,2))</f>
        <v>0</v>
      </c>
      <c r="NF33" s="168" t="e">
        <f ca="1">$CY33*(Control!$C$128-Control!$C$127)</f>
        <v>#N/A</v>
      </c>
      <c r="NG33" s="54" t="e">
        <f ca="1">IF(Control!$C$58=2, $NI32-$NJ32, 0)</f>
        <v>#DIV/0!</v>
      </c>
      <c r="NH33" s="54" t="e">
        <f ca="1">IF(AND(Control!$C$58=1, $MS32&lt;= ($MN32+0.02), $I32&lt;10), 0, IF(Control!$C$58=2, $NG32, 0))</f>
        <v>#DIV/0!</v>
      </c>
      <c r="NI33" s="54" t="e">
        <f ca="1">IF(Control!$C$58=2, $NE33+$NH33,0)</f>
        <v>#DIV/0!</v>
      </c>
      <c r="NJ33" s="54" t="e">
        <f ca="1">IF(AND(Control!$C$58=1, $MS33&lt;= ($MN33+0.02), $I33&lt;10), MAX(0, MIN(10, 0.7*($NF33-$MV33))), IF(Control!$C$58=2, MIN(10,$NI33),0))</f>
        <v>#DIV/0!</v>
      </c>
      <c r="NK33" s="54" t="e">
        <f t="shared" ca="1" si="96"/>
        <v>#DIV/0!</v>
      </c>
      <c r="NL33" s="173" t="e">
        <f ca="1">(1-Control!$C$73)*$I33+$NJ33</f>
        <v>#DIV/0!</v>
      </c>
      <c r="NM33" s="172" t="e">
        <f ca="1">IF($NL33&lt;0.5, $MB33* MAX(0, MIN(1, (SQRT($NC33)-SQRT($NC33-1))*Control!$C$71)),0)</f>
        <v>#DIV/0!</v>
      </c>
      <c r="NN33" s="170" t="e">
        <f ca="1">IF($NL33&gt;=5, $MB33, MAX(0,MIN($MB33, $NM33+$NL33,($MS33-Control!$C$129))))</f>
        <v>#DIV/0!</v>
      </c>
      <c r="NO33" s="54">
        <f>IF(Control!$C$133&lt;&gt;1, Control!$C$135-Control!$C$131, 0)</f>
        <v>0.38</v>
      </c>
      <c r="NP33" s="54" t="e">
        <f t="shared" ca="1" si="97"/>
        <v>#DIV/0!</v>
      </c>
      <c r="NQ33" s="173" t="e">
        <f ca="1">MAX(0,MIN(1,(Control!$C$135-$MS33)/(Control!$C$135-$NO33)))</f>
        <v>#DIV/0!</v>
      </c>
      <c r="NR33" s="170" t="e">
        <f ca="1">IF(Control!$C$133&lt;&gt;1, $NQ33+((1-$NP33/4)*(1-$NQ33)),1)</f>
        <v>#DIV/0!</v>
      </c>
      <c r="NS33" s="170" t="e">
        <f ca="1">IF(Control!$B$31=0,$MJ33,MAX(0,MIN($MV33,$MO33*$NR33*$MJ33)))</f>
        <v>#DIV/0!</v>
      </c>
      <c r="NT33" s="170" t="e">
        <f t="shared" ca="1" si="227"/>
        <v>#DIV/0!</v>
      </c>
      <c r="NU33" s="170" t="e">
        <f t="shared" ca="1" si="180"/>
        <v>#N/A</v>
      </c>
      <c r="NV33" s="170" t="e">
        <f t="shared" ca="1" si="98"/>
        <v>#N/A</v>
      </c>
      <c r="NW33" s="175" t="e">
        <f t="shared" ca="1" si="99"/>
        <v>#DIV/0!</v>
      </c>
      <c r="NX33" s="170" t="e">
        <f ca="1">MIN(Control!$C$72+$MU33, $NW33)</f>
        <v>#DIV/0!</v>
      </c>
      <c r="NY33" s="170" t="e">
        <f ca="1">IF($MT33&lt;=$NX33,MIN(Control!$C$72+$NB33,$NX33-$MT33),0)</f>
        <v>#DIV/0!</v>
      </c>
      <c r="NZ33" s="54" t="e">
        <f ca="1">IF(Control!$C$114=1,  $CX33*($MX33-Control!$C$127), 0)</f>
        <v>#DIV/0!</v>
      </c>
      <c r="OA33" s="170" t="e">
        <f t="shared" ca="1" si="181"/>
        <v>#DIV/0!</v>
      </c>
      <c r="OB33" s="170" t="e">
        <f ca="1">IF($NA33 &lt;=$NY33, MIN(Control!$C$72, $NY33-$NA33), 0)</f>
        <v>#DIV/0!</v>
      </c>
      <c r="OC33" s="168" t="e">
        <f t="shared" ca="1" si="100"/>
        <v>#DIV/0!</v>
      </c>
      <c r="OD33" s="168" t="e">
        <f t="shared" ca="1" si="182"/>
        <v>#DIV/0!</v>
      </c>
      <c r="OE33" s="170">
        <f ca="1">Control!$C$73*$I33</f>
        <v>0</v>
      </c>
      <c r="OF33" s="176" t="e">
        <f t="shared" ca="1" si="101"/>
        <v>#DIV/0!</v>
      </c>
      <c r="OG33" s="168" t="e">
        <f t="shared" ca="1" si="102"/>
        <v>#DIV/0!</v>
      </c>
      <c r="OH33" s="168" t="e">
        <f t="shared" ca="1" si="103"/>
        <v>#DIV/0!</v>
      </c>
      <c r="OI33" s="168" t="e">
        <f t="shared" ca="1" si="104"/>
        <v>#DIV/0!</v>
      </c>
      <c r="OJ33" s="168" t="e">
        <f t="shared" ca="1" si="105"/>
        <v>#DIV/0!</v>
      </c>
      <c r="OK33" s="204" t="e">
        <f t="shared" ca="1" si="183"/>
        <v>#DIV/0!</v>
      </c>
      <c r="OL33" s="177">
        <f>Control!$C$127</f>
        <v>0.15</v>
      </c>
      <c r="OM33" s="182" t="e">
        <f t="shared" ca="1" si="106"/>
        <v>#N/A</v>
      </c>
      <c r="ON33" s="177">
        <f>Control!$C$128</f>
        <v>0.35</v>
      </c>
      <c r="OO33" s="182" t="e">
        <f t="shared" ca="1" si="107"/>
        <v>#N/A</v>
      </c>
      <c r="OP33" s="138">
        <f t="shared" ca="1" si="184"/>
        <v>0</v>
      </c>
      <c r="OQ33" s="138" t="e">
        <f t="shared" ca="1" si="211"/>
        <v>#DIV/0!</v>
      </c>
      <c r="OR33" s="138" t="e">
        <f t="shared" ca="1" si="185"/>
        <v>#DIV/0!</v>
      </c>
      <c r="OS33" s="137" t="e">
        <f t="shared" ca="1" si="212"/>
        <v>#DIV/0!</v>
      </c>
      <c r="OT33" s="139" t="e">
        <f t="shared" ca="1" si="213"/>
        <v>#DIV/0!</v>
      </c>
      <c r="OU33" s="138" t="e">
        <f t="shared" ca="1" si="214"/>
        <v>#N/A</v>
      </c>
      <c r="OV33" s="138" t="e">
        <f t="shared" ca="1" si="215"/>
        <v>#DIV/0!</v>
      </c>
      <c r="OW33" s="138" t="e">
        <f t="shared" ca="1" si="186"/>
        <v>#DIV/0!</v>
      </c>
      <c r="OX33" s="138" t="e">
        <f t="shared" ca="1" si="187"/>
        <v>#DIV/0!</v>
      </c>
      <c r="OY33" s="138" t="e">
        <f t="shared" ca="1" si="188"/>
        <v>#DIV/0!</v>
      </c>
      <c r="OZ33" s="138" t="e">
        <f t="shared" ca="1" si="108"/>
        <v>#DIV/0!</v>
      </c>
      <c r="PA33" s="138" t="e">
        <f t="shared" ca="1" si="109"/>
        <v>#DIV/0!</v>
      </c>
      <c r="PB33" s="55">
        <f>IF(Control!$C$61="T", IF(Control!$C$65="F", IF($AH$6-Control!$C$60&lt;0,0,1), IF(365+$AH$6-Control!$C$60&lt;0,0,1)),0)</f>
        <v>0</v>
      </c>
      <c r="PC33" s="55">
        <f ca="1">IF(Control!$C$65="F", IF($AH$6-$HF33&lt;0,0,1), IF(365+$AH$6-$HF33&lt;0,0,1))</f>
        <v>1</v>
      </c>
      <c r="PD33" s="444">
        <f>Control!$C$118</f>
        <v>1500</v>
      </c>
      <c r="PE33" s="180" t="e">
        <f t="shared" ca="1" si="110"/>
        <v>#N/A</v>
      </c>
      <c r="PF33" s="445">
        <f t="shared" ca="1" si="189"/>
        <v>0.71612369323045078</v>
      </c>
      <c r="PT33" s="186"/>
      <c r="PU33" s="186"/>
      <c r="PV33" s="94"/>
      <c r="PW33" s="94"/>
      <c r="PX33" s="94"/>
      <c r="PY33" s="94"/>
      <c r="PZ33" s="94"/>
      <c r="QA33" s="94"/>
      <c r="QB33" s="94"/>
      <c r="QC33" s="94"/>
      <c r="QD33" s="94"/>
      <c r="QE33" s="94"/>
      <c r="QF33" s="94"/>
      <c r="QG33" s="94"/>
      <c r="QH33" s="94"/>
      <c r="QI33" s="94"/>
      <c r="QJ33" s="94"/>
      <c r="QK33" s="94"/>
      <c r="QL33" s="94"/>
      <c r="QM33" s="94"/>
      <c r="QN33" s="94"/>
      <c r="QO33" s="94"/>
      <c r="QP33" s="94"/>
    </row>
    <row r="34" spans="1:458" s="2" customFormat="1" x14ac:dyDescent="0.2">
      <c r="A34" s="386">
        <v>29</v>
      </c>
      <c r="B34" s="387">
        <v>1</v>
      </c>
      <c r="C34" s="387">
        <f ca="1">Weather_data!$B33</f>
        <v>0</v>
      </c>
      <c r="D34" s="388">
        <f ca="1">Weather_data!$F33</f>
        <v>0</v>
      </c>
      <c r="E34" s="388">
        <f ca="1">Weather_data!$E33</f>
        <v>0</v>
      </c>
      <c r="F34" s="388">
        <f t="shared" ca="1" si="111"/>
        <v>0</v>
      </c>
      <c r="G34" s="388">
        <f ca="1">AVERAGE($D34:$E34)+Control!$B$9</f>
        <v>0</v>
      </c>
      <c r="H34" s="388">
        <f ca="1">Weather_data!$G33</f>
        <v>0</v>
      </c>
      <c r="I34" s="388">
        <f ca="1">Weather_data!$I33</f>
        <v>0</v>
      </c>
      <c r="J34" s="388">
        <f ca="1">Weather_data!$H33</f>
        <v>0</v>
      </c>
      <c r="K34" s="389">
        <f ca="1">Weather_data!$D33</f>
        <v>0</v>
      </c>
      <c r="L34" s="388" t="e">
        <f t="shared" ca="1" si="112"/>
        <v>#N/A</v>
      </c>
      <c r="M34" s="388" t="e">
        <f t="shared" ca="1" si="0"/>
        <v>#N/A</v>
      </c>
      <c r="N34" s="388">
        <f t="shared" ca="1" si="1"/>
        <v>-2.6167381651368022E-2</v>
      </c>
      <c r="O34" s="388">
        <f t="shared" ca="1" si="113"/>
        <v>0.26167381651368021</v>
      </c>
      <c r="P34" s="390">
        <v>3</v>
      </c>
      <c r="Q34" s="388">
        <f ca="1">MAX($G34-Control!$C$107,0)</f>
        <v>0</v>
      </c>
      <c r="R34" s="388">
        <f t="shared" ca="1" si="114"/>
        <v>0</v>
      </c>
      <c r="S34" s="388">
        <f t="shared" ca="1" si="2"/>
        <v>0</v>
      </c>
      <c r="T34" s="388">
        <f t="shared" ca="1" si="3"/>
        <v>0</v>
      </c>
      <c r="U34" s="59">
        <f t="shared" ca="1" si="4"/>
        <v>0</v>
      </c>
      <c r="V34" s="391">
        <f ca="1">MAX(0,MIN(Control!$C$100-Control!$C$99,$G34-Control!$C$99)*Control!$C$63)</f>
        <v>0</v>
      </c>
      <c r="W34" s="388">
        <f t="shared" ca="1" si="190"/>
        <v>0</v>
      </c>
      <c r="X34" s="388">
        <f t="shared" ca="1" si="115"/>
        <v>0.6110000000000001</v>
      </c>
      <c r="Y34" s="388">
        <f t="shared" ca="1" si="116"/>
        <v>0</v>
      </c>
      <c r="Z34" s="388">
        <f t="shared" ca="1" si="117"/>
        <v>0.61058800000000002</v>
      </c>
      <c r="AA34" s="388">
        <f t="shared" ca="1" si="5"/>
        <v>0.6018</v>
      </c>
      <c r="AB34" s="388">
        <f ca="1">101.3*EXP(-0.034*Control!$C$66/($G34+273))</f>
        <v>100.69623283836242</v>
      </c>
      <c r="AC34" s="392">
        <f t="shared" ca="1" si="6"/>
        <v>4.3460251046025113E-2</v>
      </c>
      <c r="AD34" s="392">
        <f t="shared" ca="1" si="7"/>
        <v>4.4450382862832649E-2</v>
      </c>
      <c r="AE34" s="388">
        <f t="shared" ca="1" si="8"/>
        <v>0</v>
      </c>
      <c r="AF34" s="388">
        <f ca="1">MAX(0,$G34-Control!$C$92)</f>
        <v>0</v>
      </c>
      <c r="AG34" s="393">
        <f t="shared" ca="1" si="118"/>
        <v>29</v>
      </c>
      <c r="AH34" s="389">
        <f t="shared" ca="1" si="9"/>
        <v>29</v>
      </c>
      <c r="AI34" s="388">
        <f t="shared" ca="1" si="119"/>
        <v>-0.31686183526458517</v>
      </c>
      <c r="AJ34" s="388">
        <f ca="1">IF(Control!$C$60&lt;=0,$HH34,$HI34)</f>
        <v>1</v>
      </c>
      <c r="AK34" s="388">
        <f t="shared" ca="1" si="10"/>
        <v>-0.87792452237303809</v>
      </c>
      <c r="AL34" s="388">
        <f t="shared" ca="1" si="11"/>
        <v>1.8033786269855411E-18</v>
      </c>
      <c r="AM34" s="388">
        <f t="shared" ca="1" si="12"/>
        <v>-0.87792452237303809</v>
      </c>
      <c r="AN34" s="388">
        <f t="shared" ca="1" si="13"/>
        <v>-0.31106554582871637</v>
      </c>
      <c r="AO34" s="388">
        <f ca="1">-0.10453/COS(Control!$B$8*PI()/180)*COS(AN34)</f>
        <v>-0.16163654484193871</v>
      </c>
      <c r="AP34" s="388">
        <f ca="1">ACOS(AO34-TAN(Control!$B$8*PI()/180)*TAN(AN34))</f>
        <v>1.3182521316131062</v>
      </c>
      <c r="AQ34" s="388">
        <f t="shared" ca="1" si="120"/>
        <v>0</v>
      </c>
      <c r="AR34" s="394">
        <f t="shared" ca="1" si="14"/>
        <v>0</v>
      </c>
      <c r="AS34" s="436">
        <f ca="1">IF(Control!$B$18=2,(IF(OR($AH34=Control!$B$175,$AH34=Control!$B$176,$AH34=Control!$B$177,$AH34=Control!$B$178,$AH34=Control!$B$179,$AH34=Control!$B$180,$AH34=Control!$B$181,$AH34=Control!$B$182,$AH34=Control!$B$183,$AH34=Control!$B$184,$AH34=Control!$B$185),1,0)),0)</f>
        <v>0</v>
      </c>
      <c r="AT34" s="436">
        <f>IF(Control!$B$20=8,IF(AND($AH34&gt;=Control!$B$172,$AH34&lt;=Control!$B$173),1,0),0)</f>
        <v>0</v>
      </c>
      <c r="AU34" s="436">
        <f>IF(Control!$B$20=8,IF($AV33=1,1*$AT34,IF($AT34=1,$AU33+1,$AU33)),0)</f>
        <v>0</v>
      </c>
      <c r="AV34" s="436">
        <f>IF(Control!$B$20=8,IF($AU34&gt;=Control!$B$174,1,0),0)</f>
        <v>0</v>
      </c>
      <c r="AW34" s="436">
        <f ca="1">IF(AND(Control!$B$18=2,Control!$B$171=1), $AV34, $AS34)</f>
        <v>0</v>
      </c>
      <c r="AX34" s="436" t="e">
        <f ca="1">IF(AND(Control!$B$18=1,$EU34&gt;=Control!$B$19),-$AY34,IF(AND(Control!$B$18=2,$AW34=1,$EU34&gt;$DS34),-$AY34, IF(Control!$C$108=0,0, IF(Control!$C$108&lt;&gt;0,1))))</f>
        <v>#N/A</v>
      </c>
      <c r="AY34" s="436" t="e">
        <f t="shared" ca="1" si="121"/>
        <v>#N/A</v>
      </c>
      <c r="AZ34" s="436" t="e">
        <f ca="1">IF(AND(Control!$B$18=1,$EB34&gt;Control!$B$19),$AZ33+1, IF(AND(Control!$B$18=2, $AW34=1, $EB34&gt;$DS34), $AZ33+1,$AZ33))</f>
        <v>#N/A</v>
      </c>
      <c r="BA34" s="587">
        <f>IF(Control!$C$81=0,1,IF($AH34&gt;=Control!$C$82,1,0))</f>
        <v>1</v>
      </c>
      <c r="BB34" s="140" t="e">
        <f ca="1">IF($BA34&gt;$BA33,Control!$C$83,IF($AW34&gt;0,$AW34*Control!$C$84,IF(AND(Control!$B$18=1,EN33&lt;&gt;0),Control!$C$84,0)))</f>
        <v>#N/A</v>
      </c>
      <c r="BC34" s="140" t="e">
        <f t="shared" ca="1" si="122"/>
        <v>#N/A</v>
      </c>
      <c r="BD34" s="140" t="e">
        <f ca="1">BC34*IF(OR($G34&lt;Control!$C$92,$G34&gt;Control!$C$95),0,IF(AND($G34&gt;=Control!$C$92,$G34&lt;=Control!$C$93),$G34-Control!$C$92,IF(AND($G34&gt;Control!$C$93,$G34&lt;=Control!$C$94),Control!$C$93-Control!$C$92,IF(AND($G34&gt;Control!$C$94,$G34&lt;=Control!$C$95),(Control!$C$93-Control!$C$92)*(Control!$C$94-$G34)/(Control!$C$95-Control!$C$94)))))</f>
        <v>#N/A</v>
      </c>
      <c r="BE34" s="140" t="e">
        <f t="shared" ca="1" si="123"/>
        <v>#N/A</v>
      </c>
      <c r="BF34" s="140" t="e">
        <f ca="1">IF($BE34&lt;=Control!$C$86,$BE34,Control!$C$86-$BE34)</f>
        <v>#N/A</v>
      </c>
      <c r="BG34" s="140" t="e">
        <f ca="1">IF(AND($AW34=1,Control!$C$84&lt;9),1,IF($BE34&gt;=Control!$C$86,0,$BC34))</f>
        <v>#N/A</v>
      </c>
      <c r="BH34" s="404" t="e">
        <f ca="1">IF($BG34=0,0,IF($BE34&lt;=Control!$C$86,$BC34*9*($BF34/Control!$C$86),0))</f>
        <v>#N/A</v>
      </c>
      <c r="BI34" s="140" t="e">
        <f ca="1">IF($BG34=1,0,IF($BE34&gt;=Control!$C$86,1,IF(AND($BB34&lt;21,$BB34&gt;=9),1,$BM33)))</f>
        <v>#N/A</v>
      </c>
      <c r="BJ34" s="140" t="e">
        <f ca="1">IF($BF34&lt;0,-$BF34,$BI34*IF(OR($G34&lt;Control!$C$92,$G34&gt;Control!$C$95),0,IF(AND($G34&gt;=Control!$C$92,$G34&lt;=Control!$C$93),$G34-Control!$C$92,IF(AND($G34&gt;Control!$C$93,$G34&lt;=Control!$C$94),Control!$C$93-Control!$C$92,IF(AND($G34&gt;Control!$C$94,$G34&lt;=Control!$C$95),(Control!$C$93-Control!$C$92)*(Control!$C$94-$G34)/(Control!$C$95-Control!$C$94))))))</f>
        <v>#N/A</v>
      </c>
      <c r="BK34" s="140" t="e">
        <f t="shared" ca="1" si="124"/>
        <v>#N/A</v>
      </c>
      <c r="BL34" s="140" t="e">
        <f ca="1">IF($BK34&lt;=Control!$C$87,$BK34,Control!$C$87-$BK34)</f>
        <v>#N/A</v>
      </c>
      <c r="BM34" s="140" t="e">
        <f ca="1">IF(AND($BB34&gt;=9,$BB34&lt;21),1,IF($BK34&gt;=Control!$C$87,0,$BI34))</f>
        <v>#N/A</v>
      </c>
      <c r="BN34" s="404" t="e">
        <f ca="1">IF($BM34=0,0,IF($BK34&lt;=Control!$C$87,$BI34*(9+(21-9)*($BL34/Control!$C$87)),0))</f>
        <v>#N/A</v>
      </c>
      <c r="BO34" s="140" t="e">
        <f ca="1">IF($BM34=1,0,IF($BK34&gt;=Control!$C$87,1,IF(AND($BB34&lt;30,$BB34&gt;=21),1,$BS33)))</f>
        <v>#N/A</v>
      </c>
      <c r="BP34" s="140" t="e">
        <f ca="1">IF($BL34&lt;0,-$BL34,$BO34*IF(OR($G34&lt;Control!$C$92,$G34&gt;Control!$C$95),0,IF(AND($G34&gt;=Control!$C$92,$G34&lt;=Control!$C$93),$G34-Control!$C$92,IF(AND($G34&gt;Control!$C$93,$G34&lt;=Control!$C$94),Control!$C$93-Control!$C$92,IF(AND($G34&gt;Control!$C$94,$G34&lt;=Control!$C$95),(Control!$C$93-Control!$C$92)*(Control!$C$94-$G34)/(Control!$C$95-Control!$C$94))))))</f>
        <v>#N/A</v>
      </c>
      <c r="BQ34" s="140" t="e">
        <f t="shared" ca="1" si="15"/>
        <v>#N/A</v>
      </c>
      <c r="BR34" s="140" t="e">
        <f ca="1">IF($BQ34&lt;=Control!$C$88,$BQ34,Control!$C$88-$BQ34)</f>
        <v>#N/A</v>
      </c>
      <c r="BS34" s="140" t="e">
        <f ca="1">IF(AND($BB34&gt;=21,$BB34&lt;30),1,IF($BQ34&gt;=Control!$C$88,0,$BO34))</f>
        <v>#N/A</v>
      </c>
      <c r="BT34" s="404" t="e">
        <f ca="1">IF($BS34=0,0,IF($BQ34&lt;=Control!$C$88,$BO34*(21+(30-21)*(BR34/Control!$C$88)),0))</f>
        <v>#N/A</v>
      </c>
      <c r="BU34" s="140" t="e">
        <f ca="1">IF(BG34+BM34+BS34=1,0,IF(OR(AND($BB34&lt;60,$BB34&gt;=30),$BQ34&gt;=Control!$C$88),1*$BA34,$BY33))</f>
        <v>#N/A</v>
      </c>
      <c r="BV34" s="140" t="e">
        <f ca="1">IF($BR34&lt;0,-$BR34,$BU34*IF(OR($G34&lt;Control!$C$92,$G34&gt;Control!$C$95),0,IF(AND($G34&gt;=Control!$C$92,$G34&lt;=Control!$C$93),$G34-Control!$C$92,IF(AND($G34&gt;Control!$C$93,$G34&lt;=Control!$C$94),Control!$C$93-Control!$C$92,IF(AND($G34&gt;Control!$C$94,$G34&lt;=Control!$C$95),(Control!$C$93-Control!$C$92)*(Control!$C$94-$G34)/(Control!$C$95-Control!$C$94))))))</f>
        <v>#N/A</v>
      </c>
      <c r="BW34" s="140" t="e">
        <f t="shared" ca="1" si="16"/>
        <v>#N/A</v>
      </c>
      <c r="BX34" s="140" t="e">
        <f ca="1">IF($BW34&lt;=Control!$C$89,$BW34,Control!$C$89-$BW34)</f>
        <v>#N/A</v>
      </c>
      <c r="BY34" s="140" t="e">
        <f ca="1">IF(AND($AJ34&gt;=30,$AJ34&lt;60),1,IF($BW34&gt;=Control!$C$89,0,$BU34))</f>
        <v>#N/A</v>
      </c>
      <c r="BZ34" s="404" t="e">
        <f ca="1">IF($BY34=0,0,IF($BW34&lt;=Control!$C$89,$BU34*(30+(60-30)*(BX34/Control!$C$89)),0))</f>
        <v>#N/A</v>
      </c>
      <c r="CA34" s="140" t="e">
        <f ca="1">IF($BG34+$BM34+$BS34+$BY34=1,0,IF(OR(AND($BB34&lt;65,$BB34&gt;=60),$BW34&gt;=Control!$C$89),1*$BA34,$CE33))</f>
        <v>#N/A</v>
      </c>
      <c r="CB34" s="140" t="e">
        <f ca="1">IF($BX34&lt;0,-$BX34,$CA34*IF(OR($G34&lt;Control!$C$92,$G34&gt;Control!$C$95),0,IF(AND($G34&gt;=Control!$C$92,$G34&lt;=Control!$C$93),$G34-Control!$C$92,IF(AND($G34&gt;Control!$C$93,$G34&lt;=Control!$C$94),Control!$C$93-Control!$C$92,IF(AND($G34&gt;Control!$C$94,$G34&lt;=Control!$C$95),(Control!$C$93-Control!$C$92)*(Control!$C$94-$G34)/(Control!$C$95-Control!$C$94))))))</f>
        <v>#N/A</v>
      </c>
      <c r="CC34" s="140" t="e">
        <f t="shared" ca="1" si="125"/>
        <v>#N/A</v>
      </c>
      <c r="CD34" s="140" t="e">
        <f ca="1">IF($CC34&lt;=Control!$C$90,$CC34,Control!$C$90-$CC34)</f>
        <v>#N/A</v>
      </c>
      <c r="CE34" s="140" t="e">
        <f ca="1">IF(AND($BB34&gt;=60,$BB34&lt;65),1,IF($CC34&gt;=Control!$C$90,0,$CA34))</f>
        <v>#N/A</v>
      </c>
      <c r="CF34" s="404" t="e">
        <f ca="1">IF($CE34=0,0,IF($CC34&lt;=Control!$C$90,$CA34*(60+(65-60)*(CD34/Control!$C$90)),0))</f>
        <v>#N/A</v>
      </c>
      <c r="CG34" s="140" t="e">
        <f ca="1">IF($BG34+$BM34+$BS34+$BY34+$CE34=1,0,IF(OR(AND($BB34&lt;90,$BB34&gt;=65),$CC34&gt;=Control!$C$90),$BA34,$CK33))</f>
        <v>#N/A</v>
      </c>
      <c r="CH34" s="140" t="e">
        <f ca="1">IF($CD34&lt;0,-$CD34,$CG34*IF(OR($G34&lt;Control!$C$92,$G34&gt;Control!$C$95),0,IF(AND($G34&gt;=Control!$C$92,$G34&lt;=Control!$C$93),$G34-Control!$C$92,IF(AND($G34&gt;Control!$C$93,$G34&lt;=Control!$C$94),Control!$C$93-Control!$C$92,IF(AND($G34&gt;Control!$C$94,$G34&lt;=Control!$C$95),(Control!$C$93-Control!$C$92)*(Control!$C$94-$G34)/(Control!$C$95-Control!$C$94))))))</f>
        <v>#N/A</v>
      </c>
      <c r="CI34" s="140" t="e">
        <f t="shared" ca="1" si="126"/>
        <v>#N/A</v>
      </c>
      <c r="CJ34" s="140" t="e">
        <f ca="1">IF($CI34&lt;=Control!$C$91,$CI34,Control!$C$91-$CI34)</f>
        <v>#N/A</v>
      </c>
      <c r="CK34" s="140" t="e">
        <f ca="1">IF(AND($BB34&gt;=65,$BB34&lt;90),1,IF($CI34&gt;=Control!$C$91,0,$CG34))</f>
        <v>#N/A</v>
      </c>
      <c r="CL34" s="404" t="e">
        <f ca="1">IF($CK34=0,0,IF($CI34&lt;=Control!$C$91,$CG34*(65+(90-65)*($CJ34/Control!$C$91)),0))</f>
        <v>#N/A</v>
      </c>
      <c r="CM34" s="140" t="e">
        <f ca="1">IF($BG34+$BM34+$BS34+$BY34+$CE34+$CK34=1,0,IF(OR($BB34&gt;=90,$CI34&gt;=Control!$C$91),$BA34,$CM33))</f>
        <v>#N/A</v>
      </c>
      <c r="CN34" s="140" t="e">
        <f t="shared" ca="1" si="127"/>
        <v>#N/A</v>
      </c>
      <c r="CO34" s="140" t="e">
        <f t="shared" ca="1" si="128"/>
        <v>#N/A</v>
      </c>
      <c r="CP34" s="140" t="e">
        <f t="shared" ca="1" si="129"/>
        <v>#N/A</v>
      </c>
      <c r="CQ34" s="141" t="e">
        <f ca="1">VLOOKUP($CP34,Control!$B$86:$G$91,6)</f>
        <v>#N/A</v>
      </c>
      <c r="CR34" s="141" t="e">
        <f ca="1">(1-$CQ34)*VLOOKUP($CP34,Control!$B$86:$D$91,3)</f>
        <v>#N/A</v>
      </c>
      <c r="CS34" s="141" t="e">
        <f ca="1">(1-$CQ34)*VLOOKUP($CP34,Control!$B$86:$E$91,4)</f>
        <v>#N/A</v>
      </c>
      <c r="CT34" s="141" t="e">
        <f ca="1">(1-$CQ34)*VLOOKUP($CP34,Control!$B$86:$F$91,5)</f>
        <v>#N/A</v>
      </c>
      <c r="CU34" s="141">
        <f t="shared" ca="1" si="130"/>
        <v>0</v>
      </c>
      <c r="CV34" s="583">
        <f t="shared" ca="1" si="131"/>
        <v>0</v>
      </c>
      <c r="CW34" s="142">
        <f t="shared" ca="1" si="132"/>
        <v>29</v>
      </c>
      <c r="CX34" s="612" t="e">
        <f ca="1">IF(Control!$C$114=1,(MIN(Control!$C$120*(IF($NT34-0.01&lt;0,0,1)),Control!$C$119-$CY34)))</f>
        <v>#DIV/0!</v>
      </c>
      <c r="CY34" s="143" t="e">
        <f t="shared" ca="1" si="133"/>
        <v>#N/A</v>
      </c>
      <c r="CZ34" s="144">
        <f t="shared" ca="1" si="17"/>
        <v>0</v>
      </c>
      <c r="DA34" s="144">
        <f t="shared" ca="1" si="18"/>
        <v>0</v>
      </c>
      <c r="DB34" s="144" t="e">
        <f t="shared" ca="1" si="19"/>
        <v>#N/A</v>
      </c>
      <c r="DC34" s="144" t="e">
        <f t="shared" ca="1" si="20"/>
        <v>#N/A</v>
      </c>
      <c r="DD34" s="144" t="e">
        <f t="shared" ca="1" si="216"/>
        <v>#N/A</v>
      </c>
      <c r="DE34" s="143" t="e">
        <f t="shared" ca="1" si="135"/>
        <v>#N/A</v>
      </c>
      <c r="DF34" s="145" t="e">
        <f ca="1">$DR34*EXP(-Control!$C$158*(1-$KH34))</f>
        <v>#N/A</v>
      </c>
      <c r="DG34" s="146" t="e">
        <f ca="1">IF(Control!$C$114=1, $DF34*$EY34, 0)</f>
        <v>#N/A</v>
      </c>
      <c r="DH34" s="147" t="e">
        <f t="shared" ca="1" si="136"/>
        <v>#N/A</v>
      </c>
      <c r="DI34" s="144" t="e">
        <f t="shared" ca="1" si="191"/>
        <v>#N/A</v>
      </c>
      <c r="DJ34" s="147" t="e">
        <f ca="1">$EF34*Control!$C$109</f>
        <v>#N/A</v>
      </c>
      <c r="DK34" s="144" t="e">
        <f t="shared" ca="1" si="137"/>
        <v>#N/A</v>
      </c>
      <c r="DL34" s="144" t="e">
        <f t="shared" ca="1" si="21"/>
        <v>#N/A</v>
      </c>
      <c r="DM34" s="144" t="e">
        <f ca="1">IF(Control!$C$114=1, (1-EXP(-Control!$C$96*$DK34))*$AR34, 0)</f>
        <v>#N/A</v>
      </c>
      <c r="DN34" s="144">
        <f t="shared" ca="1" si="138"/>
        <v>0</v>
      </c>
      <c r="DO34" s="148">
        <f>Control!$C$97</f>
        <v>4</v>
      </c>
      <c r="DP34" s="145" t="e">
        <f t="shared" ca="1" si="139"/>
        <v>#N/A</v>
      </c>
      <c r="DQ34" s="145" t="e">
        <f ca="1">IF(AND($CP34&gt;=0,$CP34&lt;=90),Control!$C$111,Control!$C$111)</f>
        <v>#N/A</v>
      </c>
      <c r="DR34" s="145" t="e">
        <f t="shared" ca="1" si="22"/>
        <v>#N/A</v>
      </c>
      <c r="DS34" s="143" t="e">
        <f ca="1">Control!$B$22/$DR34</f>
        <v>#N/A</v>
      </c>
      <c r="DT34" s="149" t="e">
        <f ca="1">IF(AND(Control!$C$114=1,$KH34&lt;1),$IM34*$DF34, 0)</f>
        <v>#N/A</v>
      </c>
      <c r="DU34" s="144" t="e">
        <f t="shared" ca="1" si="192"/>
        <v>#N/A</v>
      </c>
      <c r="DV34" s="144">
        <f ca="1">IF($G34-Control!$C$107&lt;=0, 0, 0.83*LN(MAX($G34, 3))-0.8924)</f>
        <v>0</v>
      </c>
      <c r="DW34" s="144" t="e">
        <f t="shared" ca="1" si="23"/>
        <v>#N/A</v>
      </c>
      <c r="DX34" s="150" t="e">
        <f ca="1">MAX(0.01*(1+$CU34/Control!$C$102),0.05*($DK34-Control!$C$97)/Control!$C$97)</f>
        <v>#N/A</v>
      </c>
      <c r="DY34" s="151" t="e">
        <f ca="1">IF(Control!$C$114=1, $DI34*$FS34, 0)</f>
        <v>#N/A</v>
      </c>
      <c r="DZ34" s="196" t="e">
        <f t="shared" ca="1" si="140"/>
        <v>#N/A</v>
      </c>
      <c r="EA34" s="152">
        <f t="shared" ca="1" si="141"/>
        <v>29</v>
      </c>
      <c r="EB34" s="153" t="e">
        <f t="shared" ca="1" si="217"/>
        <v>#N/A</v>
      </c>
      <c r="EC34" s="153" t="e">
        <f t="shared" ca="1" si="142"/>
        <v>#N/A</v>
      </c>
      <c r="ED34" s="154" t="e">
        <f ca="1">IF(Control!$C$114=1, $HM34*$FY34-$FD34, 0)</f>
        <v>#DIV/0!</v>
      </c>
      <c r="EE34" s="155" t="e">
        <f ca="1">IF(Control!$C$114=1, $HM34*$FZ34-$FF34, 0)</f>
        <v>#DIV/0!</v>
      </c>
      <c r="EF34" s="153" t="e">
        <f t="shared" ca="1" si="193"/>
        <v>#N/A</v>
      </c>
      <c r="EG34" s="155" t="e">
        <f ca="1">IF(Control!$C$114=1, $GX34*$FW34-$FI34, 0)</f>
        <v>#DIV/0!</v>
      </c>
      <c r="EH34" s="153" t="e">
        <f t="shared" ca="1" si="143"/>
        <v>#N/A</v>
      </c>
      <c r="EI34" s="156" t="e">
        <f t="shared" ca="1" si="144"/>
        <v>#N/A</v>
      </c>
      <c r="EJ34" s="155" t="e">
        <f ca="1">IF(Control!$C$114=1, $HM34*$GB34, 0)</f>
        <v>#DIV/0!</v>
      </c>
      <c r="EK34" s="153" t="e">
        <f t="shared" ca="1" si="194"/>
        <v>#N/A</v>
      </c>
      <c r="EL34" s="153" t="e">
        <f t="shared" ca="1" si="24"/>
        <v>#N/A</v>
      </c>
      <c r="EM34" s="153" t="e">
        <f t="shared" ca="1" si="25"/>
        <v>#N/A</v>
      </c>
      <c r="EN34" s="153" t="e">
        <f ca="1">IF(Control!$C$108=1,IF(AND(Control!$B$18=1,$EB34&gt;=Control!$B$19),$EB34-$DS34,IF(AND(Control!$B$18=2,$AW34=1,$EB34&gt;$DS34),$EB34-$DS34,0)))</f>
        <v>#N/A</v>
      </c>
      <c r="EO34" s="153" t="e">
        <f ca="1">IF(Control!$C$108=1,IF(AND(Control!$B$18=1,$EB34&gt;=Control!$B$19),$EF34,IF(AND(Control!$B$18=2,$AW34=1),$EF34,0)))</f>
        <v>#N/A</v>
      </c>
      <c r="EP34" s="153" t="e">
        <f ca="1">IF(Control!$C$108=1,IF(AND(Control!$B$18=1,$EB34&gt;=Control!$B$19),$EK34,IF(AND(Control!$B$18=2,$AW34=1),$EK34,0)))</f>
        <v>#N/A</v>
      </c>
      <c r="EQ34" s="153" t="e">
        <f t="shared" ca="1" si="145"/>
        <v>#N/A</v>
      </c>
      <c r="ER34" s="153" t="e">
        <f t="shared" ca="1" si="195"/>
        <v>#N/A</v>
      </c>
      <c r="ES34" s="153" t="e">
        <f t="shared" ca="1" si="196"/>
        <v>#N/A</v>
      </c>
      <c r="ET34" s="153" t="e">
        <f t="shared" ca="1" si="197"/>
        <v>#N/A</v>
      </c>
      <c r="EU34" s="153" t="e">
        <f t="shared" ca="1" si="198"/>
        <v>#N/A</v>
      </c>
      <c r="EV34" s="153" t="e">
        <f t="shared" ca="1" si="146"/>
        <v>#N/A</v>
      </c>
      <c r="EW34" s="153" t="e">
        <f t="shared" ca="1" si="218"/>
        <v>#N/A</v>
      </c>
      <c r="EX34" s="153" t="e">
        <f t="shared" ca="1" si="26"/>
        <v>#N/A</v>
      </c>
      <c r="EY34" s="157" t="e">
        <f t="shared" ca="1" si="147"/>
        <v>#DIV/0!</v>
      </c>
      <c r="EZ34" s="154" t="e">
        <f t="shared" ca="1" si="27"/>
        <v>#DIV/0!</v>
      </c>
      <c r="FA34" s="153" t="e">
        <f t="shared" ca="1" si="199"/>
        <v>#N/A</v>
      </c>
      <c r="FB34" s="153" t="e">
        <f t="shared" ca="1" si="28"/>
        <v>#N/A</v>
      </c>
      <c r="FC34" s="193" t="e">
        <f t="shared" ca="1" si="29"/>
        <v>#N/A</v>
      </c>
      <c r="FD34" s="158" t="e">
        <f t="shared" ca="1" si="200"/>
        <v>#N/A</v>
      </c>
      <c r="FE34" s="158" t="e">
        <f t="shared" ca="1" si="148"/>
        <v>#N/A</v>
      </c>
      <c r="FF34" s="159" t="e">
        <f t="shared" ca="1" si="30"/>
        <v>#N/A</v>
      </c>
      <c r="FG34" s="160" t="e">
        <f t="shared" ca="1" si="149"/>
        <v>#N/A</v>
      </c>
      <c r="FH34" s="158" t="e">
        <f t="shared" ca="1" si="150"/>
        <v>#N/A</v>
      </c>
      <c r="FI34" s="159" t="e">
        <f t="shared" ca="1" si="31"/>
        <v>#N/A</v>
      </c>
      <c r="FJ34" s="160" t="e">
        <f t="shared" ca="1" si="151"/>
        <v>#N/A</v>
      </c>
      <c r="FK34" s="160" t="e">
        <f t="shared" ca="1" si="32"/>
        <v>#N/A</v>
      </c>
      <c r="FL34" s="160" t="e">
        <f t="shared" ca="1" si="229"/>
        <v>#N/A</v>
      </c>
      <c r="FM34" s="160" t="e">
        <f t="shared" ca="1" si="33"/>
        <v>#N/A</v>
      </c>
      <c r="FN34" s="158">
        <f t="shared" ca="1" si="219"/>
        <v>0.01</v>
      </c>
      <c r="FO34" s="160">
        <f>Control!$C$101</f>
        <v>50</v>
      </c>
      <c r="FP34" s="150" t="e">
        <f t="shared" ca="1" si="34"/>
        <v>#N/A</v>
      </c>
      <c r="FQ34" s="150" t="e">
        <f ca="1">MAX(0,(Control!$C$112*(($DK34-Control!$C$97)/Control!$C$97)))</f>
        <v>#N/A</v>
      </c>
      <c r="FR34" s="150" t="e">
        <f ca="1">(1-$NT34)*Control!$C$113</f>
        <v>#DIV/0!</v>
      </c>
      <c r="FS34" s="198" t="e">
        <f t="shared" ca="1" si="35"/>
        <v>#N/A</v>
      </c>
      <c r="FT34" s="161">
        <f t="shared" ca="1" si="152"/>
        <v>29</v>
      </c>
      <c r="FU34" s="162" t="e">
        <f ca="1">IF(Control!$B$34=1,VLOOKUP($CP34,Control!$B$86:$G$91,6),Control!$B$35)</f>
        <v>#N/A</v>
      </c>
      <c r="FV34" s="162" t="e">
        <f t="shared" ca="1" si="36"/>
        <v>#DIV/0!</v>
      </c>
      <c r="FW34" s="162" t="e">
        <f ca="1">IF(Control!$B$31=1,$FU34*$FV34,  $FU34)</f>
        <v>#N/A</v>
      </c>
      <c r="FX34" s="162" t="e">
        <f ca="1">IF(Control!$B$34=1,VLOOKUP($CP34,Control!$B$86:$G$91,3),Control!$B$36)</f>
        <v>#N/A</v>
      </c>
      <c r="FY34" s="162" t="e">
        <f t="shared" ca="1" si="37"/>
        <v>#N/A</v>
      </c>
      <c r="FZ34" s="162" t="e">
        <f ca="1">IF(Control!$B$34=1,VLOOKUP($CP34,Control!$B$86:$G$91,4),Control!$B$37)</f>
        <v>#N/A</v>
      </c>
      <c r="GA34" s="162" t="e">
        <f t="shared" ca="1" si="38"/>
        <v>#N/A</v>
      </c>
      <c r="GB34" s="162" t="e">
        <f ca="1">IF(Control!$B$34=1,VLOOKUP($CP34,Control!$B$86:$G$91,5),Control!$B$38)</f>
        <v>#N/A</v>
      </c>
      <c r="GC34" s="162" t="e">
        <f t="shared" ca="1" si="153"/>
        <v>#N/A</v>
      </c>
      <c r="GD34" s="162">
        <f t="shared" ca="1" si="39"/>
        <v>1</v>
      </c>
      <c r="GE34" s="162">
        <f t="shared" ca="1" si="40"/>
        <v>1</v>
      </c>
      <c r="GF34" s="162">
        <f ca="1">IF(AND(Control!$C$104=1, Control!$C$62="F"),$GE34,1)</f>
        <v>1</v>
      </c>
      <c r="GG34" s="162" t="e">
        <f ca="1">IF(Control!$B$16=40,0,IF(AND(Control!$B$16&gt;40,Control!$B$16&lt;=360),(Control!$B$16-40)*((1-0)/(360-40)),IF(AND(Control!$B$16&gt;360,Control!$B$16&lt;=720),(1+(Control!$B$16-360)*((1.25-1)/(720-360))),IF(AND(Control!$B$16&gt;720,Control!$B$16&lt;=1000),(1.25+(Control!$B$16-720)*((1.35-1.25)/(1000-720))),IF(AND(Control!$B$16&gt;1000,Control!$B$16&lt;=2000),(1.35+(Control!$B$16-1000)*0))))))</f>
        <v>#N/A</v>
      </c>
      <c r="GH34" s="162" t="e">
        <f t="shared" ca="1" si="41"/>
        <v>#N/A</v>
      </c>
      <c r="GI34" s="162">
        <f t="shared" ca="1" si="201"/>
        <v>0</v>
      </c>
      <c r="GJ34" s="162">
        <f t="shared" ca="1" si="42"/>
        <v>0</v>
      </c>
      <c r="GK34" s="162">
        <f t="shared" ca="1" si="220"/>
        <v>1</v>
      </c>
      <c r="GL34" s="162">
        <f t="shared" ca="1" si="43"/>
        <v>1</v>
      </c>
      <c r="GM34" s="162" t="e">
        <f ca="1">MAX(0,MIN(1,1-Control!$C$156*(1.0001-$KH34)^2))</f>
        <v>#N/A</v>
      </c>
      <c r="GN34" s="162" t="e">
        <f ca="1">IF(Control!$B$26=1,$KU34,$KX34)</f>
        <v>#N/A</v>
      </c>
      <c r="GO34" s="162" t="e">
        <f ca="1">IF($CP34&lt;=60,Control!$C$105,IF($CP34&gt;=90,Control!$C$106,Control!$C$105+($CP34-60)*((Control!$C$106-Control!$C$105)/(90-60))))</f>
        <v>#N/A</v>
      </c>
      <c r="GP34" s="162" t="e">
        <f t="shared" ca="1" si="154"/>
        <v>#N/A</v>
      </c>
      <c r="GQ34" s="162" t="e">
        <f t="shared" ca="1" si="155"/>
        <v>#N/A</v>
      </c>
      <c r="GR34" s="163" t="e">
        <f t="shared" ca="1" si="44"/>
        <v>#DIV/0!</v>
      </c>
      <c r="GS34" s="162" t="e">
        <f t="shared" ca="1" si="45"/>
        <v>#DIV/0!</v>
      </c>
      <c r="GT34" s="164" t="e">
        <f t="shared" ca="1" si="156"/>
        <v>#N/A</v>
      </c>
      <c r="GU34" s="162" t="e">
        <f t="shared" ca="1" si="157"/>
        <v>#N/A</v>
      </c>
      <c r="GV34" s="162" t="e">
        <f t="shared" ca="1" si="46"/>
        <v>#N/A</v>
      </c>
      <c r="GW34" s="162" t="e">
        <f t="shared" ca="1" si="221"/>
        <v>#DIV/0!</v>
      </c>
      <c r="GX34" s="162" t="e">
        <f t="shared" ca="1" si="228"/>
        <v>#DIV/0!</v>
      </c>
      <c r="GY34" s="162" t="e">
        <f t="shared" ca="1" si="158"/>
        <v>#DIV/0!</v>
      </c>
      <c r="GZ34" s="165" t="e">
        <f t="shared" ca="1" si="159"/>
        <v>#N/A</v>
      </c>
      <c r="HA34" s="162" t="e">
        <f ca="1">IF(Control!$C$114=1, $DI34*$FS34, 0)</f>
        <v>#N/A</v>
      </c>
      <c r="HB34" s="162" t="e">
        <f ca="1">$FA34/Control!$C$64</f>
        <v>#N/A</v>
      </c>
      <c r="HC34" s="162" t="e">
        <f t="shared" ca="1" si="222"/>
        <v>#DIV/0!</v>
      </c>
      <c r="HD34" s="162">
        <f ca="1">-ASIN(SIN(23.45*Control!$C$139)*COS(2*Control!$C$138*($AH34+10)/365))</f>
        <v>-0.31686183526458517</v>
      </c>
      <c r="HE34" s="165">
        <f t="shared" ca="1" si="160"/>
        <v>0</v>
      </c>
      <c r="HF34" s="166">
        <f ca="1">IF(AND(Control!$C$61="T",$HE34&gt;=Control!$C$103,Control!$C$114=0),$AH34,Control!$C$59)</f>
        <v>1</v>
      </c>
      <c r="HG34" s="166">
        <f ca="1">IF(AND(Control!$C$61="T",$HE34&gt;=Control!$C$103,Control!$C$114=0),$HF34,Control!$C$59)</f>
        <v>1</v>
      </c>
      <c r="HH34" s="165">
        <f ca="1">IF(AND(OR(Control!$C$60&lt;=0, $AH34= Control!$C$59, Control!$C$60 &gt;0, $AH34 = Control!$C$60)), Control!$C$59, IF(Control!$C$60&gt;0, 0))</f>
        <v>1</v>
      </c>
      <c r="HI34" s="165">
        <f ca="1">IF(AND(OR(Control!$C$60&lt;=0, $AH34= Control!$C$59, Control!$C$60 &gt;0, $AH34 = Control!$C$60)), Control!$C$60, IF(Control!$C$60&lt;=0, 0))</f>
        <v>0</v>
      </c>
      <c r="HJ34" s="166">
        <f ca="1">IF(AND(Control!$C$62="F",$CV34&gt;=Control!$C$102),$AH34,0)</f>
        <v>0</v>
      </c>
      <c r="HK34" s="165" t="e">
        <f t="shared" ca="1" si="202"/>
        <v>#N/A</v>
      </c>
      <c r="HL34" s="166">
        <f ca="1">IF(AND(Control!$C$61="T",$HE34&gt;=Control!$C$103,Control!$C$114=0),$HF34,0)</f>
        <v>0</v>
      </c>
      <c r="HM34" s="201" t="e">
        <f t="shared" ca="1" si="47"/>
        <v>#DIV/0!</v>
      </c>
      <c r="HN34" s="215">
        <f t="shared" ca="1" si="161"/>
        <v>29</v>
      </c>
      <c r="HO34" s="216" t="e">
        <f ca="1">IF(AND($CP34&gt;=0, $CP34&lt;=90), Control!$C$152, Control!$C$152)</f>
        <v>#N/A</v>
      </c>
      <c r="HP34" s="216" t="e">
        <f t="shared" ca="1" si="48"/>
        <v>#N/A</v>
      </c>
      <c r="HQ34" s="217" t="e">
        <f ca="1">IF(OR(Control!$B$26=1,Control!$B$26=2),$KV34,$KS34)</f>
        <v>#DIV/0!</v>
      </c>
      <c r="HR34" s="218" t="e">
        <f t="shared" ca="1" si="223"/>
        <v>#DIV/0!</v>
      </c>
      <c r="HS34" s="216" t="e">
        <f ca="1">Control!$C$154*$HP34</f>
        <v>#N/A</v>
      </c>
      <c r="HT34" s="216" t="e">
        <f ca="1">Control!$C$155*$HP34</f>
        <v>#N/A</v>
      </c>
      <c r="HU34" s="217" t="e">
        <f ca="1">Control!$C$161*$FI34</f>
        <v>#N/A</v>
      </c>
      <c r="HV34" s="218" t="e">
        <f t="shared" ca="1" si="162"/>
        <v>#N/A</v>
      </c>
      <c r="HW34" s="218" t="e">
        <f ca="1">Control!$C$160*$FF34+$IP34*$EO34</f>
        <v>#N/A</v>
      </c>
      <c r="HX34" s="218" t="e">
        <f t="shared" ca="1" si="203"/>
        <v>#N/A</v>
      </c>
      <c r="HY34" s="219" t="e">
        <f ca="1">IF(Control!$C$114=1, $EB34*$FS34, 0)</f>
        <v>#N/A</v>
      </c>
      <c r="HZ34" s="91" t="e">
        <f t="shared" ca="1" si="49"/>
        <v>#N/A</v>
      </c>
      <c r="IA34" s="220" t="e">
        <f ca="1">Control!$C$153*$HO34</f>
        <v>#N/A</v>
      </c>
      <c r="IB34" s="218" t="e">
        <f t="shared" ca="1" si="50"/>
        <v>#N/A</v>
      </c>
      <c r="IC34" s="220" t="e">
        <f ca="1">Control!$C$153*$HT34</f>
        <v>#N/A</v>
      </c>
      <c r="ID34" s="218" t="e">
        <f t="shared" ca="1" si="51"/>
        <v>#N/A</v>
      </c>
      <c r="IE34" s="221" t="e">
        <f ca="1">($EB34*Control!$C$159+$EF34*Control!$C$160)/(IF($GZ34&lt;&gt;0,$GZ34,1))</f>
        <v>#N/A</v>
      </c>
      <c r="IF34" s="216" t="e">
        <f t="shared" ca="1" si="52"/>
        <v>#N/A</v>
      </c>
      <c r="IG34" s="91">
        <f ca="1">IF(OR(Control!$B$198=$AH34,Control!$B$199=$AH34, Control!$B$200=$AH34, Control!$B$201=$AH34, Control!$B$202=$AH34, Control!$B$203=$AH34, Control!$B$204=$AH34, Control!$B$205=$AH34, Control!$B$206=$AH34, Control!$B$207=$AH34), 1, 0)</f>
        <v>0</v>
      </c>
      <c r="IH34" s="91">
        <f ca="1">IF($IG34=0,0, VLOOKUP($AH34,Control!$B$198:$C$207,2))</f>
        <v>0</v>
      </c>
      <c r="II34" s="222">
        <f t="shared" ca="1" si="163"/>
        <v>0</v>
      </c>
      <c r="IJ34" s="91">
        <f>Control!$C$121</f>
        <v>0.7</v>
      </c>
      <c r="IK34" s="218">
        <f t="shared" ca="1" si="53"/>
        <v>0</v>
      </c>
      <c r="IL34" s="217" t="e">
        <f t="shared" ca="1" si="204"/>
        <v>#N/A</v>
      </c>
      <c r="IM34" s="223" t="e">
        <f ca="1">IF(AND(Control!$C$114=1,$KH34&lt;1),$EB34*Control!$C$148*(1-$KH34), 0)</f>
        <v>#N/A</v>
      </c>
      <c r="IN34" s="217" t="e">
        <f t="shared" ca="1" si="54"/>
        <v>#DIV/0!</v>
      </c>
      <c r="IO34" s="91" t="e">
        <f ca="1">MAX(0,$IL34-$EF34*Control!$C$160)</f>
        <v>#N/A</v>
      </c>
      <c r="IP34" s="220" t="e">
        <f t="shared" ca="1" si="55"/>
        <v>#N/A</v>
      </c>
      <c r="IQ34" s="217" t="e">
        <f t="shared" ca="1" si="164"/>
        <v>#N/A</v>
      </c>
      <c r="IR34" s="218" t="e">
        <f t="shared" ca="1" si="56"/>
        <v>#N/A</v>
      </c>
      <c r="IS34" s="217" t="e">
        <f ca="1">Control!$C$159*MAX(0,$FD34-$EN34)</f>
        <v>#N/A</v>
      </c>
      <c r="IT34" s="217" t="e">
        <f t="shared" ca="1" si="205"/>
        <v>#N/A</v>
      </c>
      <c r="IU34" s="217" t="e">
        <f t="shared" ca="1" si="165"/>
        <v>#N/A</v>
      </c>
      <c r="IV34" s="217" t="e">
        <f t="shared" ca="1" si="206"/>
        <v>#N/A</v>
      </c>
      <c r="IW34" s="217" t="e">
        <f ca="1">IF(OR($AW34=1,AND($AW34=0, Control!$B$18=1,$EN34&lt;&gt;0)), $IQ34-$IU34, $IQ34)</f>
        <v>#N/A</v>
      </c>
      <c r="IX34" s="218" t="e">
        <f t="shared" ca="1" si="57"/>
        <v>#N/A</v>
      </c>
      <c r="IY34" s="218" t="e">
        <f ca="1">MAX(0,$IQ34-$EB34*Control!$C$159)</f>
        <v>#N/A</v>
      </c>
      <c r="IZ34" s="218" t="e">
        <f t="shared" ca="1" si="58"/>
        <v>#N/A</v>
      </c>
      <c r="JA34" s="216" t="e">
        <f t="shared" ca="1" si="59"/>
        <v>#N/A</v>
      </c>
      <c r="JB34" s="217" t="e">
        <f t="shared" ca="1" si="60"/>
        <v>#N/A</v>
      </c>
      <c r="JC34" s="222" t="e">
        <f ca="1">MAX(Control!$C$157*$EK34-$JT34, 0)/Control!$C$162</f>
        <v>#N/A</v>
      </c>
      <c r="JD34" s="218" t="e">
        <f t="shared" ca="1" si="61"/>
        <v>#N/A</v>
      </c>
      <c r="JE34" s="218" t="e">
        <f t="shared" ca="1" si="62"/>
        <v>#N/A</v>
      </c>
      <c r="JF34" s="218" t="e">
        <f t="shared" ca="1" si="207"/>
        <v>#N/A</v>
      </c>
      <c r="JG34" s="218" t="e">
        <f t="shared" ca="1" si="63"/>
        <v>#N/A</v>
      </c>
      <c r="JH34" s="217" t="e">
        <f t="shared" ca="1" si="166"/>
        <v>#N/A</v>
      </c>
      <c r="JI34" s="217" t="e">
        <f t="shared" ca="1" si="167"/>
        <v>#N/A</v>
      </c>
      <c r="JJ34" s="217" t="e">
        <f t="shared" ca="1" si="224"/>
        <v>#N/A</v>
      </c>
      <c r="JK34" s="217" t="e">
        <f ca="1">IF(Control!$C$114=1,IF(Control!$B$24=0,MAX(0,$JI34)*$GN34/Control!$C$64,(MAX(0,MIN($JI34,$JJ34*$GN34/Control!$C$64),0))))</f>
        <v>#N/A</v>
      </c>
      <c r="JL34" s="217" t="e">
        <f ca="1">$IK34/Control!$C$64-$JK34+$HQ34</f>
        <v>#N/A</v>
      </c>
      <c r="JM34" s="217" t="e">
        <f ca="1">IF(Control!$C$114=1,($JB34/(IF($JI34&lt;&gt;0,$JI34,1)))*$JK34,0)</f>
        <v>#N/A</v>
      </c>
      <c r="JN34" s="217" t="e">
        <f ca="1">IF(Control!$C$114=1,($JG34/(IF($JI34&lt;&gt;0,$JI34,1)))*$JK34, 0)</f>
        <v>#N/A</v>
      </c>
      <c r="JO34" s="218" t="e">
        <f t="shared" ca="1" si="64"/>
        <v>#N/A</v>
      </c>
      <c r="JP34" s="218" t="e">
        <f ca="1">MIN(($IY34+$IO34)*Control!$C$151, $JF34-$EH34*Control!$C$161)</f>
        <v>#N/A</v>
      </c>
      <c r="JQ34" s="218" t="e">
        <f t="shared" ca="1" si="65"/>
        <v>#N/A</v>
      </c>
      <c r="JR34" s="217" t="e">
        <f ca="1">IF($CP34-Control!$C$150&lt;0, 0, $JQ34/Control!$C$162)</f>
        <v>#N/A</v>
      </c>
      <c r="JS34" s="218" t="e">
        <f t="shared" ca="1" si="66"/>
        <v>#N/A</v>
      </c>
      <c r="JT34" s="218" t="e">
        <f t="shared" ca="1" si="168"/>
        <v>#N/A</v>
      </c>
      <c r="JU34" s="218" t="e">
        <f t="shared" ca="1" si="67"/>
        <v>#N/A</v>
      </c>
      <c r="JV34" s="218" t="e">
        <f t="shared" ca="1" si="68"/>
        <v>#N/A</v>
      </c>
      <c r="JW34" s="216" t="e">
        <f t="shared" ca="1" si="69"/>
        <v>#N/A</v>
      </c>
      <c r="JX34" s="91" t="e">
        <f t="shared" ca="1" si="70"/>
        <v>#N/A</v>
      </c>
      <c r="JY34" s="218" t="e">
        <f t="shared" ca="1" si="71"/>
        <v>#N/A</v>
      </c>
      <c r="JZ34" s="217" t="e">
        <f ca="1">IF(Control!$C$114=1,($IZ34/(IF($JI34&lt;&gt;0,$JI34,1)))*$JK34, 0)</f>
        <v>#N/A</v>
      </c>
      <c r="KA34" s="218" t="e">
        <f t="shared" ca="1" si="225"/>
        <v>#N/A</v>
      </c>
      <c r="KB34" s="218" t="e">
        <f t="shared" ca="1" si="169"/>
        <v>#N/A</v>
      </c>
      <c r="KC34" s="218" t="e">
        <f t="shared" ca="1" si="72"/>
        <v>#N/A</v>
      </c>
      <c r="KD34" s="218" t="e">
        <f t="shared" ca="1" si="73"/>
        <v>#N/A</v>
      </c>
      <c r="KE34" s="218" t="e">
        <f t="shared" ca="1" si="74"/>
        <v>#N/A</v>
      </c>
      <c r="KF34" s="218" t="e">
        <f t="shared" ca="1" si="75"/>
        <v>#N/A</v>
      </c>
      <c r="KG34" s="216" t="e">
        <f t="shared" ca="1" si="76"/>
        <v>#N/A</v>
      </c>
      <c r="KH34" s="221" t="e">
        <f ca="1">IF(Control!$B$24=0,1,MAX(0.001,MIN(1,IF(($IF34-$IE34)&lt;&gt;0,($KG34-$IE34)/($IF34-$IE34),1))))</f>
        <v>#N/A</v>
      </c>
      <c r="KI34" s="222" t="e">
        <f ca="1">IF(Control!$C$114=1, $KI33+ $KH33, 0)</f>
        <v>#N/A</v>
      </c>
      <c r="KJ34" s="217" t="e">
        <f t="shared" ca="1" si="77"/>
        <v>#N/A</v>
      </c>
      <c r="KK34" s="218" t="e">
        <f t="shared" ca="1" si="78"/>
        <v>#N/A</v>
      </c>
      <c r="KL34" s="274" t="e">
        <f ca="1">IF(Control!$B$26=3,4000000000*EXP(-8400/($G34+273)),IF(Control!$B$26=4,4000000000*EXP(-8400/($G34+273))*($KT34),0))</f>
        <v>#DIV/0!</v>
      </c>
      <c r="KM34" s="274" t="e">
        <f ca="1">IF(Control!$B$26=3,5600000000000*EXP(-9800/($G34+273)),IF(Control!$B$26=4,5600000000000*EXP(-9800/($G34+273))*$KT34,0))</f>
        <v>#DIV/0!</v>
      </c>
      <c r="KN34" s="454" t="e">
        <f t="shared" ca="1" si="170"/>
        <v>#DIV/0!</v>
      </c>
      <c r="KO34" s="274" t="e">
        <f t="shared" ca="1" si="171"/>
        <v>#DIV/0!</v>
      </c>
      <c r="KP34" s="454" t="e">
        <f t="shared" ca="1" si="79"/>
        <v>#DIV/0!</v>
      </c>
      <c r="KQ34" s="454" t="e">
        <f t="shared" ca="1" si="80"/>
        <v>#DIV/0!</v>
      </c>
      <c r="KR34" s="454" t="e">
        <f t="shared" ca="1" si="81"/>
        <v>#DIV/0!</v>
      </c>
      <c r="KS34" s="454" t="e">
        <f t="shared" ca="1" si="82"/>
        <v>#DIV/0!</v>
      </c>
      <c r="KT34" s="455" t="e">
        <f t="shared" ca="1" si="83"/>
        <v>#DIV/0!</v>
      </c>
      <c r="KU34" s="456" t="e">
        <f ca="1">IF($CP34-Control!$C$149&lt;0, IF($NT34-0.01&lt;0,0,1),0)</f>
        <v>#N/A</v>
      </c>
      <c r="KV34" s="456" t="e">
        <f ca="1">IF(Control!$C$114=1,MAX(0,MIN(Control!$C$125*$KW34*$GN34,$KW34)))</f>
        <v>#DIV/0!</v>
      </c>
      <c r="KW34" s="456" t="e">
        <f t="shared" ca="1" si="208"/>
        <v>#DIV/0!</v>
      </c>
      <c r="KX34" s="457" t="e">
        <f ca="1">IF($CP34-Control!$C$149&lt;0, IF($MR34-$OM34&lt;0,0,1),0)</f>
        <v>#N/A</v>
      </c>
      <c r="KY34" s="167">
        <f t="shared" ca="1" si="172"/>
        <v>29</v>
      </c>
      <c r="KZ34" s="168">
        <f ca="1">1370*(1+0.033*COS(2*Control!$C$138*$AH34/365))</f>
        <v>1409.6925501631579</v>
      </c>
      <c r="LA34" s="169">
        <f t="shared" ca="1" si="173"/>
        <v>1.0289726827951293</v>
      </c>
      <c r="LB34" s="169">
        <f t="shared" ca="1" si="174"/>
        <v>-0.31802510479568846</v>
      </c>
      <c r="LC34" s="169">
        <f ca="1">ACOS(-TAN((2*Control!$B$8/360))*TAN(Calculations!$LB34))</f>
        <v>1.472800565695066</v>
      </c>
      <c r="LD34" s="169">
        <f ca="1">((24*60)/PI())*0.082*$LA34*(($LC34*SIN(Control!$B$8*2*PI()/360))*SIN($LB34)+COS(Control!$B$8*2*PI()/360)*COS($LB34)*SIN($LC34))</f>
        <v>8.472888893058963</v>
      </c>
      <c r="LE34" s="170">
        <f t="shared" ca="1" si="84"/>
        <v>9.6406609140459949</v>
      </c>
      <c r="LF34" s="170">
        <f ca="1">SIN(Control!$C$139*Control!$B$8)*SIN($HD34)</f>
        <v>-0.24553365144777015</v>
      </c>
      <c r="LG34" s="170">
        <f ca="1">COS(Control!$C$139*Control!$B$8)*COS($HD34)</f>
        <v>0.58501096756912851</v>
      </c>
      <c r="LH34" s="170">
        <f ca="1">12*(1+2*ASIN(MAX(-1,MIN(1,$LF34/$LG34))/Control!$C$138))</f>
        <v>8.7840610493032187</v>
      </c>
      <c r="LI34" s="170">
        <f ca="1">12*(1+2*ASIN(MAX(-1,MIN(1,(-SIN(-4*Control!$C$139)+$LF34)/$LG34))/Control!$C$138))</f>
        <v>9.7010857732799991</v>
      </c>
      <c r="LJ34" s="168">
        <f ca="1">3600*($LH34*$LF34+24*$LG34*SQRT(1-$LK34*$LK34)/Control!$C$138)</f>
        <v>6838.8393716985911</v>
      </c>
      <c r="LK34" s="170">
        <f t="shared" ca="1" si="85"/>
        <v>-0.41970777482689908</v>
      </c>
      <c r="LL34" s="170">
        <f t="shared" ca="1" si="86"/>
        <v>0</v>
      </c>
      <c r="LM34" s="171">
        <f ca="1">Control!$C$145*$AB34</f>
        <v>6.6660906138995932E-2</v>
      </c>
      <c r="LN34" s="170">
        <f t="shared" ca="1" si="175"/>
        <v>0.54</v>
      </c>
      <c r="LO34" s="170">
        <f t="shared" ca="1" si="87"/>
        <v>0</v>
      </c>
      <c r="LP34" s="170">
        <f ca="1">Control!$C$140*((($D34+273.16)^4+($E34+273.16)^4)/2)*(0.34-0.14*SQRT($Y34))*(1.35*$AQ34/(0.75*$LD34)-0.35)</f>
        <v>-3.2464704755046001</v>
      </c>
      <c r="LQ34" s="170">
        <f ca="1">Control!$C$140*($G34+273)^4*(0.56-0.079*SQRT($Y34*10))*(0.1+0.9*$LO34)</f>
        <v>1.5241745131704001</v>
      </c>
      <c r="LR34" s="170">
        <f ca="1">$AQ34*(1-Control!$C$142)-$LQ34</f>
        <v>-1.5241745131704001</v>
      </c>
      <c r="LS34" s="170">
        <f ca="1">$AQ34*(1-Control!$C$143)-$LQ34</f>
        <v>-1.5241745131704001</v>
      </c>
      <c r="LT34" s="170">
        <f ca="1">$AQ34*(1-Control!$C$144)-$LQ34</f>
        <v>-1.5241745131704001</v>
      </c>
      <c r="LU34" s="169">
        <f ca="1">(1-Control!$C$144)*AQ34-LP34</f>
        <v>3.2464704755046001</v>
      </c>
      <c r="LV34" s="172">
        <f t="shared" ca="1" si="88"/>
        <v>0.79430000000000012</v>
      </c>
      <c r="LW34" s="170">
        <f t="shared" ca="1" si="89"/>
        <v>1.5886000000000002</v>
      </c>
      <c r="LX34" s="170">
        <f ca="1">($AC34*($LR34/Control!$C$141)+$LM34*$LV34)/($AC34+$LM34)</f>
        <v>0.23530094218323697</v>
      </c>
      <c r="LY34" s="170">
        <f ca="1">($AC34*($LS34/Control!$C$141)+$LM34*$LV34)/($AC34+$LM34)</f>
        <v>0.23530094218323697</v>
      </c>
      <c r="LZ34" s="170">
        <f t="shared" ca="1" si="90"/>
        <v>0.23530094218323697</v>
      </c>
      <c r="MA34" s="170">
        <f t="shared" ca="1" si="91"/>
        <v>0.23530094218323697</v>
      </c>
      <c r="MB34" s="170" t="e">
        <f t="shared" ca="1" si="92"/>
        <v>#N/A</v>
      </c>
      <c r="MC34" s="170">
        <f t="shared" ca="1" si="176"/>
        <v>0.6018</v>
      </c>
      <c r="MD34" s="170">
        <f t="shared" ca="1" si="93"/>
        <v>0.52989392535414004</v>
      </c>
      <c r="ME34" s="170">
        <f ca="1">($AC34*($LT34/Control!$C$141)+$LM34*$LW34)/($AC34+$LM34)</f>
        <v>0.71612369323045078</v>
      </c>
      <c r="MF34" s="170" t="e">
        <f ca="1">IF(Control!$B$16&gt;=1000,0.92,IF(AND(720&lt;=Control!$B$16,1000&gt;Control!$B$16),(0.95+(Control!$B$16-720)*((0.92-0.95)/(1000-720))),IF(AND(360&lt;=Control!$B$16,720&gt;Control!$B$16),(1+(Control!$B$16-360)*((0.95-1)/(720-360))),IF(AND(40&lt;=Control!$B$16,360&gt;Control!$B$16),(1.05+(Control!$B$16-40)*((1.05-1)/(360-40)))))))</f>
        <v>#N/A</v>
      </c>
      <c r="MG34" s="170">
        <f t="shared" ca="1" si="94"/>
        <v>0.71612369323045078</v>
      </c>
      <c r="MH34" s="170" t="e">
        <f t="shared" ca="1" si="230"/>
        <v>#N/A</v>
      </c>
      <c r="MI34" s="170" t="e">
        <f t="shared" ca="1" si="230"/>
        <v>#N/A</v>
      </c>
      <c r="MJ34" s="170" t="e">
        <f ca="1">MAX(0.0001, Control!$C$132*$MI34*$DL34)</f>
        <v>#N/A</v>
      </c>
      <c r="MK34" s="170">
        <f ca="1">1/(0.76+1.5*($MG34/10))-(5-Control!$C$110)*0.1</f>
        <v>1.002845988140797</v>
      </c>
      <c r="ML34" s="173">
        <f ca="1">IF(Control!$C$110&lt;3,$MK34+($MG34-0.6)/(Control!$C$110*(Control!$C$110+3)), MAX(0.1, MIN(0.95,$MK34)))</f>
        <v>0.95</v>
      </c>
      <c r="MM34" s="173">
        <f ca="1">IF(Control!$C$110&lt;3,$MK34+(($MI34/10)-0.6)/(Control!$C$110*(Control!$C$110+3)), MAX(0.1, MIN(0.95,$MK34)))</f>
        <v>0.95</v>
      </c>
      <c r="MN34" s="173">
        <f ca="1">(1-$MM34)*(Control!$C$128-Control!$C$127)+Control!$C$127</f>
        <v>0.16</v>
      </c>
      <c r="MO34" s="170" t="e">
        <f ca="1">MAX(0,MIN(1,($MS34-Control!$C$127)/($MN34-Control!$C$127)))</f>
        <v>#DIV/0!</v>
      </c>
      <c r="MP34" s="173" t="e">
        <f ca="1">1/(0.76+1.5*$MI34)-(5-Control!$C$110)*0.1</f>
        <v>#N/A</v>
      </c>
      <c r="MQ34" s="172" t="e">
        <f t="shared" ca="1" si="209"/>
        <v>#DIV/0!</v>
      </c>
      <c r="MR34" s="168" t="e">
        <f t="shared" ca="1" si="226"/>
        <v>#DIV/0!</v>
      </c>
      <c r="MS34" s="173" t="e">
        <f ca="1">MAX(Control!$C$127, MIN(Control!$C$135, $MR34/MAX(0.0001,$CY34)))</f>
        <v>#DIV/0!</v>
      </c>
      <c r="MT34" s="168" t="e">
        <f ca="1">(Control!$C$128-$MS34)*Control!$C$74</f>
        <v>#DIV/0!</v>
      </c>
      <c r="MU34" s="168" t="e">
        <f ca="1">(Control!$C$135-$MS34)*Control!$C$74</f>
        <v>#DIV/0!</v>
      </c>
      <c r="MV34" s="168" t="e">
        <f t="shared" ca="1" si="210"/>
        <v>#DIV/0!</v>
      </c>
      <c r="MW34" s="168" t="e">
        <f t="shared" ca="1" si="177"/>
        <v>#DIV/0!</v>
      </c>
      <c r="MX34" s="171" t="e">
        <f ca="1">MAX(Control!$C$127, MIN(Control!$C$135, $MW34/MAX(0.0001,Control!$C$119-$CY34)))</f>
        <v>#DIV/0!</v>
      </c>
      <c r="MY34" s="54" t="e">
        <f ca="1">IF(Control!$C$114=1, $CX34*$MX34, 0)</f>
        <v>#DIV/0!</v>
      </c>
      <c r="MZ34" s="54" t="e">
        <f t="shared" ca="1" si="178"/>
        <v>#N/A</v>
      </c>
      <c r="NA34" s="168" t="e">
        <f ca="1">(Control!$C$128-$MX34)*(Control!$C$119-Control!$C$74)</f>
        <v>#DIV/0!</v>
      </c>
      <c r="NB34" s="168" t="e">
        <f ca="1">(Control!$C$135-$MX34)*(Control!$C$119-Control!$C$74)</f>
        <v>#DIV/0!</v>
      </c>
      <c r="NC34" s="174" t="e">
        <f t="shared" ca="1" si="179"/>
        <v>#DIV/0!</v>
      </c>
      <c r="ND34" s="54">
        <f ca="1">IF(Control!$C$58=2, IF(OR(Control!$B$218=$AH34,Control!$B$219=$AH34, Control!$B$220=$AH34, Control!$B$221=$AH34, Control!$B$222=$AH34, Control!$B$223=$AH34, Control!$B$224=$AH34, Control!$B$225=$AH34, Control!$B$226=$AH34, Control!$B$227=$AH34, Control!$B$228=$AH34), 1, 0), 0)</f>
        <v>0</v>
      </c>
      <c r="NE34" s="54">
        <f ca="1">IF($ND34=0,0, VLOOKUP($AH34,Control!$B$218:$C$228,2))</f>
        <v>0</v>
      </c>
      <c r="NF34" s="168" t="e">
        <f ca="1">$CY34*(Control!$C$128-Control!$C$127)</f>
        <v>#N/A</v>
      </c>
      <c r="NG34" s="54" t="e">
        <f ca="1">IF(Control!$C$58=2, $NI33-$NJ33, 0)</f>
        <v>#DIV/0!</v>
      </c>
      <c r="NH34" s="54" t="e">
        <f ca="1">IF(AND(Control!$C$58=1, $MS33&lt;= ($MN33+0.02), $I33&lt;10), 0, IF(Control!$C$58=2, $NG33, 0))</f>
        <v>#DIV/0!</v>
      </c>
      <c r="NI34" s="54" t="e">
        <f ca="1">IF(Control!$C$58=2, $NE34+$NH34,0)</f>
        <v>#DIV/0!</v>
      </c>
      <c r="NJ34" s="54" t="e">
        <f ca="1">IF(AND(Control!$C$58=1, $MS34&lt;= ($MN34+0.02), $I34&lt;10), MAX(0, MIN(10, 0.7*($NF34-$MV34))), IF(Control!$C$58=2, MIN(10,$NI34),0))</f>
        <v>#DIV/0!</v>
      </c>
      <c r="NK34" s="54" t="e">
        <f t="shared" ca="1" si="96"/>
        <v>#DIV/0!</v>
      </c>
      <c r="NL34" s="173" t="e">
        <f ca="1">(1-Control!$C$73)*$I34+$NJ34</f>
        <v>#DIV/0!</v>
      </c>
      <c r="NM34" s="172" t="e">
        <f ca="1">IF($NL34&lt;0.5, $MB34* MAX(0, MIN(1, (SQRT($NC34)-SQRT($NC34-1))*Control!$C$71)),0)</f>
        <v>#DIV/0!</v>
      </c>
      <c r="NN34" s="170" t="e">
        <f ca="1">IF($NL34&gt;=5, $MB34, MAX(0,MIN($MB34, $NM34+$NL34,($MS34-Control!$C$129))))</f>
        <v>#DIV/0!</v>
      </c>
      <c r="NO34" s="54">
        <f>IF(Control!$C$133&lt;&gt;1, Control!$C$135-Control!$C$131, 0)</f>
        <v>0.38</v>
      </c>
      <c r="NP34" s="54" t="e">
        <f t="shared" ca="1" si="97"/>
        <v>#DIV/0!</v>
      </c>
      <c r="NQ34" s="173" t="e">
        <f ca="1">MAX(0,MIN(1,(Control!$C$135-$MS34)/(Control!$C$135-$NO34)))</f>
        <v>#DIV/0!</v>
      </c>
      <c r="NR34" s="170" t="e">
        <f ca="1">IF(Control!$C$133&lt;&gt;1, $NQ34+((1-$NP34/4)*(1-$NQ34)),1)</f>
        <v>#DIV/0!</v>
      </c>
      <c r="NS34" s="170" t="e">
        <f ca="1">IF(Control!$B$31=0,$MJ34,MAX(0,MIN($MV34,$MO34*$NR34*$MJ34)))</f>
        <v>#DIV/0!</v>
      </c>
      <c r="NT34" s="170" t="e">
        <f t="shared" ca="1" si="227"/>
        <v>#DIV/0!</v>
      </c>
      <c r="NU34" s="170" t="e">
        <f t="shared" ca="1" si="180"/>
        <v>#N/A</v>
      </c>
      <c r="NV34" s="170" t="e">
        <f t="shared" ca="1" si="98"/>
        <v>#N/A</v>
      </c>
      <c r="NW34" s="175" t="e">
        <f t="shared" ca="1" si="99"/>
        <v>#DIV/0!</v>
      </c>
      <c r="NX34" s="170" t="e">
        <f ca="1">MIN(Control!$C$72+$MU34, $NW34)</f>
        <v>#DIV/0!</v>
      </c>
      <c r="NY34" s="170" t="e">
        <f ca="1">IF($MT34&lt;=$NX34,MIN(Control!$C$72+$NB34,$NX34-$MT34),0)</f>
        <v>#DIV/0!</v>
      </c>
      <c r="NZ34" s="54" t="e">
        <f ca="1">IF(Control!$C$114=1,  $CX34*($MX34-Control!$C$127), 0)</f>
        <v>#DIV/0!</v>
      </c>
      <c r="OA34" s="170" t="e">
        <f t="shared" ca="1" si="181"/>
        <v>#DIV/0!</v>
      </c>
      <c r="OB34" s="170" t="e">
        <f ca="1">IF($NA34 &lt;=$NY34, MIN(Control!$C$72, $NY34-$NA34), 0)</f>
        <v>#DIV/0!</v>
      </c>
      <c r="OC34" s="168" t="e">
        <f t="shared" ca="1" si="100"/>
        <v>#DIV/0!</v>
      </c>
      <c r="OD34" s="168" t="e">
        <f t="shared" ca="1" si="182"/>
        <v>#DIV/0!</v>
      </c>
      <c r="OE34" s="170">
        <f ca="1">Control!$C$73*$I34</f>
        <v>0</v>
      </c>
      <c r="OF34" s="176" t="e">
        <f t="shared" ca="1" si="101"/>
        <v>#DIV/0!</v>
      </c>
      <c r="OG34" s="168" t="e">
        <f t="shared" ca="1" si="102"/>
        <v>#DIV/0!</v>
      </c>
      <c r="OH34" s="168" t="e">
        <f t="shared" ca="1" si="103"/>
        <v>#DIV/0!</v>
      </c>
      <c r="OI34" s="168" t="e">
        <f t="shared" ca="1" si="104"/>
        <v>#DIV/0!</v>
      </c>
      <c r="OJ34" s="168" t="e">
        <f t="shared" ca="1" si="105"/>
        <v>#DIV/0!</v>
      </c>
      <c r="OK34" s="204" t="e">
        <f t="shared" ca="1" si="183"/>
        <v>#DIV/0!</v>
      </c>
      <c r="OL34" s="177">
        <f>Control!$C$127</f>
        <v>0.15</v>
      </c>
      <c r="OM34" s="182" t="e">
        <f t="shared" ca="1" si="106"/>
        <v>#N/A</v>
      </c>
      <c r="ON34" s="177">
        <f>Control!$C$128</f>
        <v>0.35</v>
      </c>
      <c r="OO34" s="182" t="e">
        <f t="shared" ca="1" si="107"/>
        <v>#N/A</v>
      </c>
      <c r="OP34" s="138">
        <f t="shared" ca="1" si="184"/>
        <v>0</v>
      </c>
      <c r="OQ34" s="138" t="e">
        <f t="shared" ca="1" si="211"/>
        <v>#DIV/0!</v>
      </c>
      <c r="OR34" s="138" t="e">
        <f t="shared" ca="1" si="185"/>
        <v>#DIV/0!</v>
      </c>
      <c r="OS34" s="137" t="e">
        <f t="shared" ca="1" si="212"/>
        <v>#DIV/0!</v>
      </c>
      <c r="OT34" s="139" t="e">
        <f t="shared" ca="1" si="213"/>
        <v>#DIV/0!</v>
      </c>
      <c r="OU34" s="138" t="e">
        <f t="shared" ca="1" si="214"/>
        <v>#N/A</v>
      </c>
      <c r="OV34" s="138" t="e">
        <f t="shared" ca="1" si="215"/>
        <v>#DIV/0!</v>
      </c>
      <c r="OW34" s="138" t="e">
        <f t="shared" ca="1" si="186"/>
        <v>#DIV/0!</v>
      </c>
      <c r="OX34" s="138" t="e">
        <f t="shared" ca="1" si="187"/>
        <v>#DIV/0!</v>
      </c>
      <c r="OY34" s="138" t="e">
        <f t="shared" ca="1" si="188"/>
        <v>#DIV/0!</v>
      </c>
      <c r="OZ34" s="138" t="e">
        <f t="shared" ca="1" si="108"/>
        <v>#DIV/0!</v>
      </c>
      <c r="PA34" s="138" t="e">
        <f t="shared" ca="1" si="109"/>
        <v>#DIV/0!</v>
      </c>
      <c r="PB34" s="55">
        <f>IF(Control!$C$61="T", IF(Control!$C$65="F", IF($AH$6-Control!$C$60&lt;0,0,1), IF(365+$AH$6-Control!$C$60&lt;0,0,1)),0)</f>
        <v>0</v>
      </c>
      <c r="PC34" s="55">
        <f ca="1">IF(Control!$C$65="F", IF($AH$6-$HF34&lt;0,0,1), IF(365+$AH$6-$HF34&lt;0,0,1))</f>
        <v>1</v>
      </c>
      <c r="PD34" s="444">
        <f>Control!$C$118</f>
        <v>1500</v>
      </c>
      <c r="PE34" s="180" t="e">
        <f t="shared" ca="1" si="110"/>
        <v>#N/A</v>
      </c>
      <c r="PF34" s="445">
        <f t="shared" ca="1" si="189"/>
        <v>0.71612369323045078</v>
      </c>
      <c r="PT34" s="186"/>
      <c r="PU34" s="186"/>
      <c r="PV34" s="94"/>
      <c r="PW34" s="94"/>
      <c r="PX34" s="94"/>
      <c r="PY34" s="94"/>
      <c r="PZ34" s="94"/>
      <c r="QA34" s="94"/>
      <c r="QB34" s="94"/>
      <c r="QC34" s="94"/>
      <c r="QD34" s="94"/>
      <c r="QE34" s="94"/>
      <c r="QF34" s="94"/>
      <c r="QG34" s="94"/>
      <c r="QH34" s="94"/>
      <c r="QI34" s="94"/>
      <c r="QJ34" s="94"/>
      <c r="QK34" s="94"/>
      <c r="QL34" s="94"/>
      <c r="QM34" s="94"/>
      <c r="QN34" s="94"/>
      <c r="QO34" s="94"/>
      <c r="QP34" s="94"/>
    </row>
    <row r="35" spans="1:458" s="2" customFormat="1" x14ac:dyDescent="0.2">
      <c r="A35" s="386">
        <v>30</v>
      </c>
      <c r="B35" s="387">
        <v>1</v>
      </c>
      <c r="C35" s="387">
        <f ca="1">Weather_data!$B34</f>
        <v>0</v>
      </c>
      <c r="D35" s="388">
        <f ca="1">Weather_data!$F34</f>
        <v>0</v>
      </c>
      <c r="E35" s="388">
        <f ca="1">Weather_data!$E34</f>
        <v>0</v>
      </c>
      <c r="F35" s="388">
        <f t="shared" ca="1" si="111"/>
        <v>0</v>
      </c>
      <c r="G35" s="388">
        <f ca="1">AVERAGE($D35:$E35)+Control!$B$9</f>
        <v>0</v>
      </c>
      <c r="H35" s="388">
        <f ca="1">Weather_data!$G34</f>
        <v>0</v>
      </c>
      <c r="I35" s="388">
        <f ca="1">Weather_data!$I34</f>
        <v>0</v>
      </c>
      <c r="J35" s="388">
        <f ca="1">Weather_data!$H34</f>
        <v>0</v>
      </c>
      <c r="K35" s="389">
        <f ca="1">Weather_data!$D34</f>
        <v>0</v>
      </c>
      <c r="L35" s="388" t="e">
        <f t="shared" ca="1" si="112"/>
        <v>#N/A</v>
      </c>
      <c r="M35" s="388" t="e">
        <f t="shared" ca="1" si="0"/>
        <v>#N/A</v>
      </c>
      <c r="N35" s="388">
        <f t="shared" ca="1" si="1"/>
        <v>-2.3550643486231218E-2</v>
      </c>
      <c r="O35" s="388">
        <f t="shared" ca="1" si="113"/>
        <v>0.23550643486231218</v>
      </c>
      <c r="P35" s="390">
        <v>3</v>
      </c>
      <c r="Q35" s="388">
        <f ca="1">MAX($G35-Control!$C$107,0)</f>
        <v>0</v>
      </c>
      <c r="R35" s="388">
        <f t="shared" ca="1" si="114"/>
        <v>0</v>
      </c>
      <c r="S35" s="388">
        <f t="shared" ca="1" si="2"/>
        <v>0</v>
      </c>
      <c r="T35" s="388">
        <f t="shared" ca="1" si="3"/>
        <v>0</v>
      </c>
      <c r="U35" s="59">
        <f t="shared" ca="1" si="4"/>
        <v>0</v>
      </c>
      <c r="V35" s="391">
        <f ca="1">MAX(0,MIN(Control!$C$100-Control!$C$99,$G35-Control!$C$99)*Control!$C$63)</f>
        <v>0</v>
      </c>
      <c r="W35" s="388">
        <f t="shared" ca="1" si="190"/>
        <v>0</v>
      </c>
      <c r="X35" s="388">
        <f t="shared" ca="1" si="115"/>
        <v>0.6110000000000001</v>
      </c>
      <c r="Y35" s="388">
        <f t="shared" ca="1" si="116"/>
        <v>0</v>
      </c>
      <c r="Z35" s="388">
        <f t="shared" ca="1" si="117"/>
        <v>0.61058800000000002</v>
      </c>
      <c r="AA35" s="388">
        <f t="shared" ca="1" si="5"/>
        <v>0.6018</v>
      </c>
      <c r="AB35" s="388">
        <f ca="1">101.3*EXP(-0.034*Control!$C$66/($G35+273))</f>
        <v>100.69623283836242</v>
      </c>
      <c r="AC35" s="392">
        <f t="shared" ca="1" si="6"/>
        <v>4.3460251046025113E-2</v>
      </c>
      <c r="AD35" s="392">
        <f t="shared" ca="1" si="7"/>
        <v>4.4450382862832649E-2</v>
      </c>
      <c r="AE35" s="388">
        <f t="shared" ca="1" si="8"/>
        <v>0</v>
      </c>
      <c r="AF35" s="388">
        <f ca="1">MAX(0,$G35-Control!$C$92)</f>
        <v>0</v>
      </c>
      <c r="AG35" s="393">
        <f t="shared" ca="1" si="118"/>
        <v>30</v>
      </c>
      <c r="AH35" s="389">
        <f t="shared" ca="1" si="9"/>
        <v>30</v>
      </c>
      <c r="AI35" s="388">
        <f t="shared" ca="1" si="119"/>
        <v>-0.3123322941711037</v>
      </c>
      <c r="AJ35" s="388">
        <f ca="1">IF(Control!$C$60&lt;=0,$HH35,$HI35)</f>
        <v>1</v>
      </c>
      <c r="AK35" s="388">
        <f t="shared" ca="1" si="10"/>
        <v>-0.8607103160519981</v>
      </c>
      <c r="AL35" s="388">
        <f t="shared" ca="1" si="11"/>
        <v>-1.8026205528265392E-19</v>
      </c>
      <c r="AM35" s="388">
        <f t="shared" ca="1" si="12"/>
        <v>-0.8607103160519981</v>
      </c>
      <c r="AN35" s="388">
        <f t="shared" ca="1" si="13"/>
        <v>-0.30642704406459043</v>
      </c>
      <c r="AO35" s="388">
        <f ca="1">-0.10453/COS(Control!$B$8*PI()/180)*COS(AN35)</f>
        <v>-0.16187585228386289</v>
      </c>
      <c r="AP35" s="388">
        <f ca="1">ACOS(AO35-TAN(Control!$B$8*PI()/180)*TAN(AN35))</f>
        <v>1.3252482755381012</v>
      </c>
      <c r="AQ35" s="388">
        <f t="shared" ca="1" si="120"/>
        <v>0</v>
      </c>
      <c r="AR35" s="394">
        <f t="shared" ca="1" si="14"/>
        <v>0</v>
      </c>
      <c r="AS35" s="436">
        <f ca="1">IF(Control!$B$18=2,(IF(OR($AH35=Control!$B$175,$AH35=Control!$B$176,$AH35=Control!$B$177,$AH35=Control!$B$178,$AH35=Control!$B$179,$AH35=Control!$B$180,$AH35=Control!$B$181,$AH35=Control!$B$182,$AH35=Control!$B$183,$AH35=Control!$B$184,$AH35=Control!$B$185),1,0)),0)</f>
        <v>0</v>
      </c>
      <c r="AT35" s="436">
        <f>IF(Control!$B$20=8,IF(AND($AH35&gt;=Control!$B$172,$AH35&lt;=Control!$B$173),1,0),0)</f>
        <v>0</v>
      </c>
      <c r="AU35" s="436">
        <f>IF(Control!$B$20=8,IF($AV34=1,1*$AT35,IF($AT35=1,$AU34+1,$AU34)),0)</f>
        <v>0</v>
      </c>
      <c r="AV35" s="436">
        <f>IF(Control!$B$20=8,IF($AU35&gt;=Control!$B$174,1,0),0)</f>
        <v>0</v>
      </c>
      <c r="AW35" s="436">
        <f ca="1">IF(AND(Control!$B$18=2,Control!$B$171=1), $AV35, $AS35)</f>
        <v>0</v>
      </c>
      <c r="AX35" s="436" t="e">
        <f ca="1">IF(AND(Control!$B$18=1,$EU35&gt;=Control!$B$19),-$AY35,IF(AND(Control!$B$18=2,$AW35=1,$EU35&gt;$DS35),-$AY35, IF(Control!$C$108=0,0, IF(Control!$C$108&lt;&gt;0,1))))</f>
        <v>#N/A</v>
      </c>
      <c r="AY35" s="436" t="e">
        <f t="shared" ca="1" si="121"/>
        <v>#N/A</v>
      </c>
      <c r="AZ35" s="436" t="e">
        <f ca="1">IF(AND(Control!$B$18=1,$EB35&gt;Control!$B$19),$AZ34+1, IF(AND(Control!$B$18=2, $AW35=1, $EB35&gt;$DS35), $AZ34+1,$AZ34))</f>
        <v>#N/A</v>
      </c>
      <c r="BA35" s="587">
        <f>IF(Control!$C$81=0,1,IF($AH35&gt;=Control!$C$82,1,0))</f>
        <v>1</v>
      </c>
      <c r="BB35" s="140" t="e">
        <f ca="1">IF($BA35&gt;$BA34,Control!$C$83,IF($AW35&gt;0,$AW35*Control!$C$84,IF(AND(Control!$B$18=1,EN34&lt;&gt;0),Control!$C$84,0)))</f>
        <v>#N/A</v>
      </c>
      <c r="BC35" s="140" t="e">
        <f t="shared" ca="1" si="122"/>
        <v>#N/A</v>
      </c>
      <c r="BD35" s="140" t="e">
        <f ca="1">BC35*IF(OR($G35&lt;Control!$C$92,$G35&gt;Control!$C$95),0,IF(AND($G35&gt;=Control!$C$92,$G35&lt;=Control!$C$93),$G35-Control!$C$92,IF(AND($G35&gt;Control!$C$93,$G35&lt;=Control!$C$94),Control!$C$93-Control!$C$92,IF(AND($G35&gt;Control!$C$94,$G35&lt;=Control!$C$95),(Control!$C$93-Control!$C$92)*(Control!$C$94-$G35)/(Control!$C$95-Control!$C$94)))))</f>
        <v>#N/A</v>
      </c>
      <c r="BE35" s="140" t="e">
        <f t="shared" ca="1" si="123"/>
        <v>#N/A</v>
      </c>
      <c r="BF35" s="140" t="e">
        <f ca="1">IF($BE35&lt;=Control!$C$86,$BE35,Control!$C$86-$BE35)</f>
        <v>#N/A</v>
      </c>
      <c r="BG35" s="140" t="e">
        <f ca="1">IF(AND($AW35=1,Control!$C$84&lt;9),1,IF($BE35&gt;=Control!$C$86,0,$BC35))</f>
        <v>#N/A</v>
      </c>
      <c r="BH35" s="404" t="e">
        <f ca="1">IF($BG35=0,0,IF($BE35&lt;=Control!$C$86,$BC35*9*($BF35/Control!$C$86),0))</f>
        <v>#N/A</v>
      </c>
      <c r="BI35" s="140" t="e">
        <f ca="1">IF($BG35=1,0,IF($BE35&gt;=Control!$C$86,1,IF(AND($BB35&lt;21,$BB35&gt;=9),1,$BM34)))</f>
        <v>#N/A</v>
      </c>
      <c r="BJ35" s="140" t="e">
        <f ca="1">IF($BF35&lt;0,-$BF35,$BI35*IF(OR($G35&lt;Control!$C$92,$G35&gt;Control!$C$95),0,IF(AND($G35&gt;=Control!$C$92,$G35&lt;=Control!$C$93),$G35-Control!$C$92,IF(AND($G35&gt;Control!$C$93,$G35&lt;=Control!$C$94),Control!$C$93-Control!$C$92,IF(AND($G35&gt;Control!$C$94,$G35&lt;=Control!$C$95),(Control!$C$93-Control!$C$92)*(Control!$C$94-$G35)/(Control!$C$95-Control!$C$94))))))</f>
        <v>#N/A</v>
      </c>
      <c r="BK35" s="140" t="e">
        <f t="shared" ca="1" si="124"/>
        <v>#N/A</v>
      </c>
      <c r="BL35" s="140" t="e">
        <f ca="1">IF($BK35&lt;=Control!$C$87,$BK35,Control!$C$87-$BK35)</f>
        <v>#N/A</v>
      </c>
      <c r="BM35" s="140" t="e">
        <f ca="1">IF(AND($BB35&gt;=9,$BB35&lt;21),1,IF($BK35&gt;=Control!$C$87,0,$BI35))</f>
        <v>#N/A</v>
      </c>
      <c r="BN35" s="404" t="e">
        <f ca="1">IF($BM35=0,0,IF($BK35&lt;=Control!$C$87,$BI35*(9+(21-9)*($BL35/Control!$C$87)),0))</f>
        <v>#N/A</v>
      </c>
      <c r="BO35" s="140" t="e">
        <f ca="1">IF($BM35=1,0,IF($BK35&gt;=Control!$C$87,1,IF(AND($BB35&lt;30,$BB35&gt;=21),1,$BS34)))</f>
        <v>#N/A</v>
      </c>
      <c r="BP35" s="140" t="e">
        <f ca="1">IF($BL35&lt;0,-$BL35,$BO35*IF(OR($G35&lt;Control!$C$92,$G35&gt;Control!$C$95),0,IF(AND($G35&gt;=Control!$C$92,$G35&lt;=Control!$C$93),$G35-Control!$C$92,IF(AND($G35&gt;Control!$C$93,$G35&lt;=Control!$C$94),Control!$C$93-Control!$C$92,IF(AND($G35&gt;Control!$C$94,$G35&lt;=Control!$C$95),(Control!$C$93-Control!$C$92)*(Control!$C$94-$G35)/(Control!$C$95-Control!$C$94))))))</f>
        <v>#N/A</v>
      </c>
      <c r="BQ35" s="140" t="e">
        <f t="shared" ca="1" si="15"/>
        <v>#N/A</v>
      </c>
      <c r="BR35" s="140" t="e">
        <f ca="1">IF($BQ35&lt;=Control!$C$88,$BQ35,Control!$C$88-$BQ35)</f>
        <v>#N/A</v>
      </c>
      <c r="BS35" s="140" t="e">
        <f ca="1">IF(AND($BB35&gt;=21,$BB35&lt;30),1,IF($BQ35&gt;=Control!$C$88,0,$BO35))</f>
        <v>#N/A</v>
      </c>
      <c r="BT35" s="404" t="e">
        <f ca="1">IF($BS35=0,0,IF($BQ35&lt;=Control!$C$88,$BO35*(21+(30-21)*(BR35/Control!$C$88)),0))</f>
        <v>#N/A</v>
      </c>
      <c r="BU35" s="140" t="e">
        <f ca="1">IF(BG35+BM35+BS35=1,0,IF(OR(AND($BB35&lt;60,$BB35&gt;=30),$BQ35&gt;=Control!$C$88),1*$BA35,$BY34))</f>
        <v>#N/A</v>
      </c>
      <c r="BV35" s="140" t="e">
        <f ca="1">IF($BR35&lt;0,-$BR35,$BU35*IF(OR($G35&lt;Control!$C$92,$G35&gt;Control!$C$95),0,IF(AND($G35&gt;=Control!$C$92,$G35&lt;=Control!$C$93),$G35-Control!$C$92,IF(AND($G35&gt;Control!$C$93,$G35&lt;=Control!$C$94),Control!$C$93-Control!$C$92,IF(AND($G35&gt;Control!$C$94,$G35&lt;=Control!$C$95),(Control!$C$93-Control!$C$92)*(Control!$C$94-$G35)/(Control!$C$95-Control!$C$94))))))</f>
        <v>#N/A</v>
      </c>
      <c r="BW35" s="140" t="e">
        <f t="shared" ca="1" si="16"/>
        <v>#N/A</v>
      </c>
      <c r="BX35" s="140" t="e">
        <f ca="1">IF($BW35&lt;=Control!$C$89,$BW35,Control!$C$89-$BW35)</f>
        <v>#N/A</v>
      </c>
      <c r="BY35" s="140" t="e">
        <f ca="1">IF(AND($AJ35&gt;=30,$AJ35&lt;60),1,IF($BW35&gt;=Control!$C$89,0,$BU35))</f>
        <v>#N/A</v>
      </c>
      <c r="BZ35" s="404" t="e">
        <f ca="1">IF($BY35=0,0,IF($BW35&lt;=Control!$C$89,$BU35*(30+(60-30)*(BX35/Control!$C$89)),0))</f>
        <v>#N/A</v>
      </c>
      <c r="CA35" s="140" t="e">
        <f ca="1">IF($BG35+$BM35+$BS35+$BY35=1,0,IF(OR(AND($BB35&lt;65,$BB35&gt;=60),$BW35&gt;=Control!$C$89),1*$BA35,$CE34))</f>
        <v>#N/A</v>
      </c>
      <c r="CB35" s="140" t="e">
        <f ca="1">IF($BX35&lt;0,-$BX35,$CA35*IF(OR($G35&lt;Control!$C$92,$G35&gt;Control!$C$95),0,IF(AND($G35&gt;=Control!$C$92,$G35&lt;=Control!$C$93),$G35-Control!$C$92,IF(AND($G35&gt;Control!$C$93,$G35&lt;=Control!$C$94),Control!$C$93-Control!$C$92,IF(AND($G35&gt;Control!$C$94,$G35&lt;=Control!$C$95),(Control!$C$93-Control!$C$92)*(Control!$C$94-$G35)/(Control!$C$95-Control!$C$94))))))</f>
        <v>#N/A</v>
      </c>
      <c r="CC35" s="140" t="e">
        <f t="shared" ca="1" si="125"/>
        <v>#N/A</v>
      </c>
      <c r="CD35" s="140" t="e">
        <f ca="1">IF($CC35&lt;=Control!$C$90,$CC35,Control!$C$90-$CC35)</f>
        <v>#N/A</v>
      </c>
      <c r="CE35" s="140" t="e">
        <f ca="1">IF(AND($BB35&gt;=60,$BB35&lt;65),1,IF($CC35&gt;=Control!$C$90,0,$CA35))</f>
        <v>#N/A</v>
      </c>
      <c r="CF35" s="404" t="e">
        <f ca="1">IF($CE35=0,0,IF($CC35&lt;=Control!$C$90,$CA35*(60+(65-60)*(CD35/Control!$C$90)),0))</f>
        <v>#N/A</v>
      </c>
      <c r="CG35" s="140" t="e">
        <f ca="1">IF($BG35+$BM35+$BS35+$BY35+$CE35=1,0,IF(OR(AND($BB35&lt;90,$BB35&gt;=65),$CC35&gt;=Control!$C$90),$BA35,$CK34))</f>
        <v>#N/A</v>
      </c>
      <c r="CH35" s="140" t="e">
        <f ca="1">IF($CD35&lt;0,-$CD35,$CG35*IF(OR($G35&lt;Control!$C$92,$G35&gt;Control!$C$95),0,IF(AND($G35&gt;=Control!$C$92,$G35&lt;=Control!$C$93),$G35-Control!$C$92,IF(AND($G35&gt;Control!$C$93,$G35&lt;=Control!$C$94),Control!$C$93-Control!$C$92,IF(AND($G35&gt;Control!$C$94,$G35&lt;=Control!$C$95),(Control!$C$93-Control!$C$92)*(Control!$C$94-$G35)/(Control!$C$95-Control!$C$94))))))</f>
        <v>#N/A</v>
      </c>
      <c r="CI35" s="140" t="e">
        <f t="shared" ca="1" si="126"/>
        <v>#N/A</v>
      </c>
      <c r="CJ35" s="140" t="e">
        <f ca="1">IF($CI35&lt;=Control!$C$91,$CI35,Control!$C$91-$CI35)</f>
        <v>#N/A</v>
      </c>
      <c r="CK35" s="140" t="e">
        <f ca="1">IF(AND($BB35&gt;=65,$BB35&lt;90),1,IF($CI35&gt;=Control!$C$91,0,$CG35))</f>
        <v>#N/A</v>
      </c>
      <c r="CL35" s="404" t="e">
        <f ca="1">IF($CK35=0,0,IF($CI35&lt;=Control!$C$91,$CG35*(65+(90-65)*($CJ35/Control!$C$91)),0))</f>
        <v>#N/A</v>
      </c>
      <c r="CM35" s="140" t="e">
        <f ca="1">IF($BG35+$BM35+$BS35+$BY35+$CE35+$CK35=1,0,IF(OR($BB35&gt;=90,$CI35&gt;=Control!$C$91),$BA35,$CM34))</f>
        <v>#N/A</v>
      </c>
      <c r="CN35" s="140" t="e">
        <f t="shared" ca="1" si="127"/>
        <v>#N/A</v>
      </c>
      <c r="CO35" s="140" t="e">
        <f t="shared" ca="1" si="128"/>
        <v>#N/A</v>
      </c>
      <c r="CP35" s="140" t="e">
        <f t="shared" ca="1" si="129"/>
        <v>#N/A</v>
      </c>
      <c r="CQ35" s="141" t="e">
        <f ca="1">VLOOKUP($CP35,Control!$B$86:$G$91,6)</f>
        <v>#N/A</v>
      </c>
      <c r="CR35" s="141" t="e">
        <f ca="1">(1-$CQ35)*VLOOKUP($CP35,Control!$B$86:$D$91,3)</f>
        <v>#N/A</v>
      </c>
      <c r="CS35" s="141" t="e">
        <f ca="1">(1-$CQ35)*VLOOKUP($CP35,Control!$B$86:$E$91,4)</f>
        <v>#N/A</v>
      </c>
      <c r="CT35" s="141" t="e">
        <f ca="1">(1-$CQ35)*VLOOKUP($CP35,Control!$B$86:$F$91,5)</f>
        <v>#N/A</v>
      </c>
      <c r="CU35" s="141">
        <f t="shared" ca="1" si="130"/>
        <v>0</v>
      </c>
      <c r="CV35" s="583">
        <f t="shared" ca="1" si="131"/>
        <v>0</v>
      </c>
      <c r="CW35" s="142">
        <f t="shared" ca="1" si="132"/>
        <v>30</v>
      </c>
      <c r="CX35" s="612" t="e">
        <f ca="1">IF(Control!$C$114=1,(MIN(Control!$C$120*(IF($NT35-0.01&lt;0,0,1)),Control!$C$119-$CY35)))</f>
        <v>#DIV/0!</v>
      </c>
      <c r="CY35" s="143" t="e">
        <f t="shared" ca="1" si="133"/>
        <v>#N/A</v>
      </c>
      <c r="CZ35" s="144">
        <f t="shared" ca="1" si="17"/>
        <v>0</v>
      </c>
      <c r="DA35" s="144">
        <f t="shared" ca="1" si="18"/>
        <v>0</v>
      </c>
      <c r="DB35" s="144" t="e">
        <f t="shared" ca="1" si="19"/>
        <v>#N/A</v>
      </c>
      <c r="DC35" s="144" t="e">
        <f t="shared" ca="1" si="20"/>
        <v>#N/A</v>
      </c>
      <c r="DD35" s="144" t="e">
        <f t="shared" ca="1" si="216"/>
        <v>#N/A</v>
      </c>
      <c r="DE35" s="143" t="e">
        <f t="shared" ca="1" si="135"/>
        <v>#N/A</v>
      </c>
      <c r="DF35" s="145" t="e">
        <f ca="1">$DR35*EXP(-Control!$C$158*(1-$KH35))</f>
        <v>#N/A</v>
      </c>
      <c r="DG35" s="146" t="e">
        <f ca="1">IF(Control!$C$114=1, $DF35*$EY35, 0)</f>
        <v>#N/A</v>
      </c>
      <c r="DH35" s="147" t="e">
        <f t="shared" ca="1" si="136"/>
        <v>#N/A</v>
      </c>
      <c r="DI35" s="144" t="e">
        <f t="shared" ca="1" si="191"/>
        <v>#N/A</v>
      </c>
      <c r="DJ35" s="147" t="e">
        <f ca="1">$EF35*Control!$C$109</f>
        <v>#N/A</v>
      </c>
      <c r="DK35" s="144" t="e">
        <f t="shared" ca="1" si="137"/>
        <v>#N/A</v>
      </c>
      <c r="DL35" s="144" t="e">
        <f t="shared" ca="1" si="21"/>
        <v>#N/A</v>
      </c>
      <c r="DM35" s="144" t="e">
        <f ca="1">IF(Control!$C$114=1, (1-EXP(-Control!$C$96*$DK35))*$AR35, 0)</f>
        <v>#N/A</v>
      </c>
      <c r="DN35" s="144">
        <f t="shared" ca="1" si="138"/>
        <v>0</v>
      </c>
      <c r="DO35" s="148">
        <f>Control!$C$97</f>
        <v>4</v>
      </c>
      <c r="DP35" s="145" t="e">
        <f t="shared" ca="1" si="139"/>
        <v>#N/A</v>
      </c>
      <c r="DQ35" s="145" t="e">
        <f ca="1">IF(AND($CP35&gt;=0,$CP35&lt;=90),Control!$C$111,Control!$C$111)</f>
        <v>#N/A</v>
      </c>
      <c r="DR35" s="145" t="e">
        <f t="shared" ca="1" si="22"/>
        <v>#N/A</v>
      </c>
      <c r="DS35" s="143" t="e">
        <f ca="1">Control!$B$22/$DR35</f>
        <v>#N/A</v>
      </c>
      <c r="DT35" s="149" t="e">
        <f ca="1">IF(AND(Control!$C$114=1,$KH35&lt;1),$IM35*$DF35, 0)</f>
        <v>#N/A</v>
      </c>
      <c r="DU35" s="144" t="e">
        <f t="shared" ca="1" si="192"/>
        <v>#N/A</v>
      </c>
      <c r="DV35" s="144">
        <f ca="1">IF($G35-Control!$C$107&lt;=0, 0, 0.83*LN(MAX($G35, 3))-0.8924)</f>
        <v>0</v>
      </c>
      <c r="DW35" s="144" t="e">
        <f t="shared" ca="1" si="23"/>
        <v>#N/A</v>
      </c>
      <c r="DX35" s="150" t="e">
        <f ca="1">MAX(0.01*(1+$CU35/Control!$C$102),0.05*($DK35-Control!$C$97)/Control!$C$97)</f>
        <v>#N/A</v>
      </c>
      <c r="DY35" s="151" t="e">
        <f ca="1">IF(Control!$C$114=1, $DI35*$FS35, 0)</f>
        <v>#N/A</v>
      </c>
      <c r="DZ35" s="196" t="e">
        <f t="shared" ca="1" si="140"/>
        <v>#N/A</v>
      </c>
      <c r="EA35" s="152">
        <f t="shared" ca="1" si="141"/>
        <v>30</v>
      </c>
      <c r="EB35" s="153" t="e">
        <f t="shared" ca="1" si="217"/>
        <v>#N/A</v>
      </c>
      <c r="EC35" s="153" t="e">
        <f t="shared" ca="1" si="142"/>
        <v>#N/A</v>
      </c>
      <c r="ED35" s="154" t="e">
        <f ca="1">IF(Control!$C$114=1, $HM35*$FY35-$FD35, 0)</f>
        <v>#DIV/0!</v>
      </c>
      <c r="EE35" s="155" t="e">
        <f ca="1">IF(Control!$C$114=1, $HM35*$FZ35-$FF35, 0)</f>
        <v>#DIV/0!</v>
      </c>
      <c r="EF35" s="153" t="e">
        <f t="shared" ca="1" si="193"/>
        <v>#N/A</v>
      </c>
      <c r="EG35" s="155" t="e">
        <f ca="1">IF(Control!$C$114=1, $GX35*$FW35-$FI35, 0)</f>
        <v>#DIV/0!</v>
      </c>
      <c r="EH35" s="153" t="e">
        <f t="shared" ca="1" si="143"/>
        <v>#N/A</v>
      </c>
      <c r="EI35" s="156" t="e">
        <f t="shared" ca="1" si="144"/>
        <v>#N/A</v>
      </c>
      <c r="EJ35" s="155" t="e">
        <f ca="1">IF(Control!$C$114=1, $HM35*$GB35, 0)</f>
        <v>#DIV/0!</v>
      </c>
      <c r="EK35" s="153" t="e">
        <f t="shared" ca="1" si="194"/>
        <v>#N/A</v>
      </c>
      <c r="EL35" s="153" t="e">
        <f t="shared" ca="1" si="24"/>
        <v>#N/A</v>
      </c>
      <c r="EM35" s="153" t="e">
        <f t="shared" ca="1" si="25"/>
        <v>#N/A</v>
      </c>
      <c r="EN35" s="153" t="e">
        <f ca="1">IF(Control!$C$108=1,IF(AND(Control!$B$18=1,$EB35&gt;=Control!$B$19),$EB35-$DS35,IF(AND(Control!$B$18=2,$AW35=1,$EB35&gt;$DS35),$EB35-$DS35,0)))</f>
        <v>#N/A</v>
      </c>
      <c r="EO35" s="153" t="e">
        <f ca="1">IF(Control!$C$108=1,IF(AND(Control!$B$18=1,$EB35&gt;=Control!$B$19),$EF35,IF(AND(Control!$B$18=2,$AW35=1),$EF35,0)))</f>
        <v>#N/A</v>
      </c>
      <c r="EP35" s="153" t="e">
        <f ca="1">IF(Control!$C$108=1,IF(AND(Control!$B$18=1,$EB35&gt;=Control!$B$19),$EK35,IF(AND(Control!$B$18=2,$AW35=1),$EK35,0)))</f>
        <v>#N/A</v>
      </c>
      <c r="EQ35" s="153" t="e">
        <f t="shared" ca="1" si="145"/>
        <v>#N/A</v>
      </c>
      <c r="ER35" s="153" t="e">
        <f t="shared" ca="1" si="195"/>
        <v>#N/A</v>
      </c>
      <c r="ES35" s="153" t="e">
        <f t="shared" ca="1" si="196"/>
        <v>#N/A</v>
      </c>
      <c r="ET35" s="153" t="e">
        <f t="shared" ca="1" si="197"/>
        <v>#N/A</v>
      </c>
      <c r="EU35" s="153" t="e">
        <f t="shared" ca="1" si="198"/>
        <v>#N/A</v>
      </c>
      <c r="EV35" s="153" t="e">
        <f t="shared" ca="1" si="146"/>
        <v>#N/A</v>
      </c>
      <c r="EW35" s="153" t="e">
        <f t="shared" ca="1" si="218"/>
        <v>#N/A</v>
      </c>
      <c r="EX35" s="153" t="e">
        <f t="shared" ca="1" si="26"/>
        <v>#N/A</v>
      </c>
      <c r="EY35" s="157" t="e">
        <f t="shared" ca="1" si="147"/>
        <v>#DIV/0!</v>
      </c>
      <c r="EZ35" s="154" t="e">
        <f t="shared" ca="1" si="27"/>
        <v>#DIV/0!</v>
      </c>
      <c r="FA35" s="153" t="e">
        <f t="shared" ca="1" si="199"/>
        <v>#N/A</v>
      </c>
      <c r="FB35" s="153" t="e">
        <f t="shared" ca="1" si="28"/>
        <v>#N/A</v>
      </c>
      <c r="FC35" s="193" t="e">
        <f t="shared" ca="1" si="29"/>
        <v>#N/A</v>
      </c>
      <c r="FD35" s="158" t="e">
        <f t="shared" ca="1" si="200"/>
        <v>#N/A</v>
      </c>
      <c r="FE35" s="158" t="e">
        <f t="shared" ca="1" si="148"/>
        <v>#N/A</v>
      </c>
      <c r="FF35" s="159" t="e">
        <f t="shared" ca="1" si="30"/>
        <v>#N/A</v>
      </c>
      <c r="FG35" s="160" t="e">
        <f t="shared" ca="1" si="149"/>
        <v>#N/A</v>
      </c>
      <c r="FH35" s="158" t="e">
        <f t="shared" ca="1" si="150"/>
        <v>#N/A</v>
      </c>
      <c r="FI35" s="159" t="e">
        <f t="shared" ca="1" si="31"/>
        <v>#N/A</v>
      </c>
      <c r="FJ35" s="160" t="e">
        <f t="shared" ca="1" si="151"/>
        <v>#N/A</v>
      </c>
      <c r="FK35" s="160" t="e">
        <f t="shared" ca="1" si="32"/>
        <v>#N/A</v>
      </c>
      <c r="FL35" s="160" t="e">
        <f t="shared" ca="1" si="229"/>
        <v>#N/A</v>
      </c>
      <c r="FM35" s="160" t="e">
        <f t="shared" ca="1" si="33"/>
        <v>#N/A</v>
      </c>
      <c r="FN35" s="158">
        <f t="shared" ca="1" si="219"/>
        <v>0.01</v>
      </c>
      <c r="FO35" s="160">
        <f>Control!$C$101</f>
        <v>50</v>
      </c>
      <c r="FP35" s="150" t="e">
        <f t="shared" ca="1" si="34"/>
        <v>#N/A</v>
      </c>
      <c r="FQ35" s="150" t="e">
        <f ca="1">MAX(0,(Control!$C$112*(($DK35-Control!$C$97)/Control!$C$97)))</f>
        <v>#N/A</v>
      </c>
      <c r="FR35" s="150" t="e">
        <f ca="1">(1-$NT35)*Control!$C$113</f>
        <v>#DIV/0!</v>
      </c>
      <c r="FS35" s="198" t="e">
        <f t="shared" ca="1" si="35"/>
        <v>#N/A</v>
      </c>
      <c r="FT35" s="161">
        <f t="shared" ca="1" si="152"/>
        <v>30</v>
      </c>
      <c r="FU35" s="162" t="e">
        <f ca="1">IF(Control!$B$34=1,VLOOKUP($CP35,Control!$B$86:$G$91,6),Control!$B$35)</f>
        <v>#N/A</v>
      </c>
      <c r="FV35" s="162" t="e">
        <f t="shared" ca="1" si="36"/>
        <v>#DIV/0!</v>
      </c>
      <c r="FW35" s="162" t="e">
        <f ca="1">IF(Control!$B$31=1,$FU35*$FV35,  $FU35)</f>
        <v>#N/A</v>
      </c>
      <c r="FX35" s="162" t="e">
        <f ca="1">IF(Control!$B$34=1,VLOOKUP($CP35,Control!$B$86:$G$91,3),Control!$B$36)</f>
        <v>#N/A</v>
      </c>
      <c r="FY35" s="162" t="e">
        <f t="shared" ca="1" si="37"/>
        <v>#N/A</v>
      </c>
      <c r="FZ35" s="162" t="e">
        <f ca="1">IF(Control!$B$34=1,VLOOKUP($CP35,Control!$B$86:$G$91,4),Control!$B$37)</f>
        <v>#N/A</v>
      </c>
      <c r="GA35" s="162" t="e">
        <f t="shared" ca="1" si="38"/>
        <v>#N/A</v>
      </c>
      <c r="GB35" s="162" t="e">
        <f ca="1">IF(Control!$B$34=1,VLOOKUP($CP35,Control!$B$86:$G$91,5),Control!$B$38)</f>
        <v>#N/A</v>
      </c>
      <c r="GC35" s="162" t="e">
        <f t="shared" ca="1" si="153"/>
        <v>#N/A</v>
      </c>
      <c r="GD35" s="162">
        <f t="shared" ca="1" si="39"/>
        <v>1</v>
      </c>
      <c r="GE35" s="162">
        <f t="shared" ca="1" si="40"/>
        <v>1</v>
      </c>
      <c r="GF35" s="162">
        <f ca="1">IF(AND(Control!$C$104=1, Control!$C$62="F"),$GE35,1)</f>
        <v>1</v>
      </c>
      <c r="GG35" s="162" t="e">
        <f ca="1">IF(Control!$B$16=40,0,IF(AND(Control!$B$16&gt;40,Control!$B$16&lt;=360),(Control!$B$16-40)*((1-0)/(360-40)),IF(AND(Control!$B$16&gt;360,Control!$B$16&lt;=720),(1+(Control!$B$16-360)*((1.25-1)/(720-360))),IF(AND(Control!$B$16&gt;720,Control!$B$16&lt;=1000),(1.25+(Control!$B$16-720)*((1.35-1.25)/(1000-720))),IF(AND(Control!$B$16&gt;1000,Control!$B$16&lt;=2000),(1.35+(Control!$B$16-1000)*0))))))</f>
        <v>#N/A</v>
      </c>
      <c r="GH35" s="162" t="e">
        <f t="shared" ca="1" si="41"/>
        <v>#N/A</v>
      </c>
      <c r="GI35" s="162">
        <f t="shared" ca="1" si="201"/>
        <v>0</v>
      </c>
      <c r="GJ35" s="162">
        <f t="shared" ca="1" si="42"/>
        <v>0</v>
      </c>
      <c r="GK35" s="162">
        <f t="shared" ca="1" si="220"/>
        <v>1</v>
      </c>
      <c r="GL35" s="162">
        <f t="shared" ca="1" si="43"/>
        <v>1</v>
      </c>
      <c r="GM35" s="162" t="e">
        <f ca="1">MAX(0,MIN(1,1-Control!$C$156*(1.0001-$KH35)^2))</f>
        <v>#N/A</v>
      </c>
      <c r="GN35" s="162" t="e">
        <f ca="1">IF(Control!$B$26=1,$KU35,$KX35)</f>
        <v>#N/A</v>
      </c>
      <c r="GO35" s="162" t="e">
        <f ca="1">IF($CP35&lt;=60,Control!$C$105,IF($CP35&gt;=90,Control!$C$106,Control!$C$105+($CP35-60)*((Control!$C$106-Control!$C$105)/(90-60))))</f>
        <v>#N/A</v>
      </c>
      <c r="GP35" s="162" t="e">
        <f t="shared" ca="1" si="154"/>
        <v>#N/A</v>
      </c>
      <c r="GQ35" s="162" t="e">
        <f t="shared" ca="1" si="155"/>
        <v>#N/A</v>
      </c>
      <c r="GR35" s="163" t="e">
        <f t="shared" ca="1" si="44"/>
        <v>#DIV/0!</v>
      </c>
      <c r="GS35" s="162" t="e">
        <f t="shared" ca="1" si="45"/>
        <v>#DIV/0!</v>
      </c>
      <c r="GT35" s="164" t="e">
        <f t="shared" ca="1" si="156"/>
        <v>#N/A</v>
      </c>
      <c r="GU35" s="162" t="e">
        <f t="shared" ca="1" si="157"/>
        <v>#N/A</v>
      </c>
      <c r="GV35" s="162" t="e">
        <f t="shared" ca="1" si="46"/>
        <v>#N/A</v>
      </c>
      <c r="GW35" s="162" t="e">
        <f t="shared" ca="1" si="221"/>
        <v>#DIV/0!</v>
      </c>
      <c r="GX35" s="162" t="e">
        <f t="shared" ca="1" si="228"/>
        <v>#DIV/0!</v>
      </c>
      <c r="GY35" s="162" t="e">
        <f t="shared" ca="1" si="158"/>
        <v>#DIV/0!</v>
      </c>
      <c r="GZ35" s="165" t="e">
        <f t="shared" ca="1" si="159"/>
        <v>#N/A</v>
      </c>
      <c r="HA35" s="162" t="e">
        <f ca="1">IF(Control!$C$114=1, $DI35*$FS35, 0)</f>
        <v>#N/A</v>
      </c>
      <c r="HB35" s="162" t="e">
        <f ca="1">$FA35/Control!$C$64</f>
        <v>#N/A</v>
      </c>
      <c r="HC35" s="162" t="e">
        <f t="shared" ca="1" si="222"/>
        <v>#DIV/0!</v>
      </c>
      <c r="HD35" s="162">
        <f ca="1">-ASIN(SIN(23.45*Control!$C$139)*COS(2*Control!$C$138*($AH35+10)/365))</f>
        <v>-0.3123322941711037</v>
      </c>
      <c r="HE35" s="165">
        <f t="shared" ca="1" si="160"/>
        <v>0</v>
      </c>
      <c r="HF35" s="166">
        <f ca="1">IF(AND(Control!$C$61="T",$HE35&gt;=Control!$C$103,Control!$C$114=0),$AH35,Control!$C$59)</f>
        <v>1</v>
      </c>
      <c r="HG35" s="166">
        <f ca="1">IF(AND(Control!$C$61="T",$HE35&gt;=Control!$C$103,Control!$C$114=0),$HF35,Control!$C$59)</f>
        <v>1</v>
      </c>
      <c r="HH35" s="165">
        <f ca="1">IF(AND(OR(Control!$C$60&lt;=0, $AH35= Control!$C$59, Control!$C$60 &gt;0, $AH35 = Control!$C$60)), Control!$C$59, IF(Control!$C$60&gt;0, 0))</f>
        <v>1</v>
      </c>
      <c r="HI35" s="165">
        <f ca="1">IF(AND(OR(Control!$C$60&lt;=0, $AH35= Control!$C$59, Control!$C$60 &gt;0, $AH35 = Control!$C$60)), Control!$C$60, IF(Control!$C$60&lt;=0, 0))</f>
        <v>0</v>
      </c>
      <c r="HJ35" s="166">
        <f ca="1">IF(AND(Control!$C$62="F",$CV35&gt;=Control!$C$102),$AH35,0)</f>
        <v>0</v>
      </c>
      <c r="HK35" s="165" t="e">
        <f t="shared" ca="1" si="202"/>
        <v>#N/A</v>
      </c>
      <c r="HL35" s="166">
        <f ca="1">IF(AND(Control!$C$61="T",$HE35&gt;=Control!$C$103,Control!$C$114=0),$HF35,0)</f>
        <v>0</v>
      </c>
      <c r="HM35" s="201" t="e">
        <f t="shared" ca="1" si="47"/>
        <v>#DIV/0!</v>
      </c>
      <c r="HN35" s="215">
        <f t="shared" ca="1" si="161"/>
        <v>30</v>
      </c>
      <c r="HO35" s="216" t="e">
        <f ca="1">IF(AND($CP35&gt;=0, $CP35&lt;=90), Control!$C$152, Control!$C$152)</f>
        <v>#N/A</v>
      </c>
      <c r="HP35" s="216" t="e">
        <f t="shared" ca="1" si="48"/>
        <v>#N/A</v>
      </c>
      <c r="HQ35" s="217" t="e">
        <f ca="1">IF(OR(Control!$B$26=1,Control!$B$26=2),$KV35,$KS35)</f>
        <v>#DIV/0!</v>
      </c>
      <c r="HR35" s="218" t="e">
        <f t="shared" ca="1" si="223"/>
        <v>#DIV/0!</v>
      </c>
      <c r="HS35" s="216" t="e">
        <f ca="1">Control!$C$154*$HP35</f>
        <v>#N/A</v>
      </c>
      <c r="HT35" s="216" t="e">
        <f ca="1">Control!$C$155*$HP35</f>
        <v>#N/A</v>
      </c>
      <c r="HU35" s="217" t="e">
        <f ca="1">Control!$C$161*$FI35</f>
        <v>#N/A</v>
      </c>
      <c r="HV35" s="218" t="e">
        <f t="shared" ca="1" si="162"/>
        <v>#N/A</v>
      </c>
      <c r="HW35" s="218" t="e">
        <f ca="1">Control!$C$160*$FF35+$IP35*$EO35</f>
        <v>#N/A</v>
      </c>
      <c r="HX35" s="218" t="e">
        <f t="shared" ca="1" si="203"/>
        <v>#N/A</v>
      </c>
      <c r="HY35" s="219" t="e">
        <f ca="1">IF(Control!$C$114=1, $EB35*$FS35, 0)</f>
        <v>#N/A</v>
      </c>
      <c r="HZ35" s="91" t="e">
        <f t="shared" ca="1" si="49"/>
        <v>#N/A</v>
      </c>
      <c r="IA35" s="220" t="e">
        <f ca="1">Control!$C$153*$HO35</f>
        <v>#N/A</v>
      </c>
      <c r="IB35" s="218" t="e">
        <f t="shared" ca="1" si="50"/>
        <v>#N/A</v>
      </c>
      <c r="IC35" s="220" t="e">
        <f ca="1">Control!$C$153*$HT35</f>
        <v>#N/A</v>
      </c>
      <c r="ID35" s="218" t="e">
        <f t="shared" ca="1" si="51"/>
        <v>#N/A</v>
      </c>
      <c r="IE35" s="221" t="e">
        <f ca="1">($EB35*Control!$C$159+$EF35*Control!$C$160)/(IF($GZ35&lt;&gt;0,$GZ35,1))</f>
        <v>#N/A</v>
      </c>
      <c r="IF35" s="216" t="e">
        <f t="shared" ca="1" si="52"/>
        <v>#N/A</v>
      </c>
      <c r="IG35" s="91">
        <f ca="1">IF(OR(Control!$B$198=$AH35,Control!$B$199=$AH35, Control!$B$200=$AH35, Control!$B$201=$AH35, Control!$B$202=$AH35, Control!$B$203=$AH35, Control!$B$204=$AH35, Control!$B$205=$AH35, Control!$B$206=$AH35, Control!$B$207=$AH35), 1, 0)</f>
        <v>0</v>
      </c>
      <c r="IH35" s="91">
        <f ca="1">IF($IG35=0,0, VLOOKUP($AH35,Control!$B$198:$C$207,2))</f>
        <v>0</v>
      </c>
      <c r="II35" s="222">
        <f t="shared" ca="1" si="163"/>
        <v>0</v>
      </c>
      <c r="IJ35" s="91">
        <f>Control!$C$121</f>
        <v>0.7</v>
      </c>
      <c r="IK35" s="218">
        <f t="shared" ca="1" si="53"/>
        <v>0</v>
      </c>
      <c r="IL35" s="217" t="e">
        <f t="shared" ca="1" si="204"/>
        <v>#N/A</v>
      </c>
      <c r="IM35" s="223" t="e">
        <f ca="1">IF(AND(Control!$C$114=1,$KH35&lt;1),$EB35*Control!$C$148*(1-$KH35), 0)</f>
        <v>#N/A</v>
      </c>
      <c r="IN35" s="217" t="e">
        <f t="shared" ca="1" si="54"/>
        <v>#DIV/0!</v>
      </c>
      <c r="IO35" s="91" t="e">
        <f ca="1">MAX(0,$IL35-$EF35*Control!$C$160)</f>
        <v>#N/A</v>
      </c>
      <c r="IP35" s="220" t="e">
        <f t="shared" ca="1" si="55"/>
        <v>#N/A</v>
      </c>
      <c r="IQ35" s="217" t="e">
        <f t="shared" ca="1" si="164"/>
        <v>#N/A</v>
      </c>
      <c r="IR35" s="218" t="e">
        <f t="shared" ca="1" si="56"/>
        <v>#N/A</v>
      </c>
      <c r="IS35" s="217" t="e">
        <f ca="1">Control!$C$159*MAX(0,$FD35-$EN35)</f>
        <v>#N/A</v>
      </c>
      <c r="IT35" s="217" t="e">
        <f t="shared" ca="1" si="205"/>
        <v>#N/A</v>
      </c>
      <c r="IU35" s="217" t="e">
        <f t="shared" ca="1" si="165"/>
        <v>#N/A</v>
      </c>
      <c r="IV35" s="217" t="e">
        <f t="shared" ca="1" si="206"/>
        <v>#N/A</v>
      </c>
      <c r="IW35" s="217" t="e">
        <f ca="1">IF(OR($AW35=1,AND($AW35=0, Control!$B$18=1,$EN35&lt;&gt;0)), $IQ35-$IU35, $IQ35)</f>
        <v>#N/A</v>
      </c>
      <c r="IX35" s="218" t="e">
        <f t="shared" ca="1" si="57"/>
        <v>#N/A</v>
      </c>
      <c r="IY35" s="218" t="e">
        <f ca="1">MAX(0,$IQ35-$EB35*Control!$C$159)</f>
        <v>#N/A</v>
      </c>
      <c r="IZ35" s="218" t="e">
        <f t="shared" ca="1" si="58"/>
        <v>#N/A</v>
      </c>
      <c r="JA35" s="216" t="e">
        <f t="shared" ca="1" si="59"/>
        <v>#N/A</v>
      </c>
      <c r="JB35" s="217" t="e">
        <f t="shared" ca="1" si="60"/>
        <v>#N/A</v>
      </c>
      <c r="JC35" s="222" t="e">
        <f ca="1">MAX(Control!$C$157*$EK35-$JT35, 0)/Control!$C$162</f>
        <v>#N/A</v>
      </c>
      <c r="JD35" s="218" t="e">
        <f t="shared" ca="1" si="61"/>
        <v>#N/A</v>
      </c>
      <c r="JE35" s="218" t="e">
        <f t="shared" ca="1" si="62"/>
        <v>#N/A</v>
      </c>
      <c r="JF35" s="218" t="e">
        <f t="shared" ca="1" si="207"/>
        <v>#N/A</v>
      </c>
      <c r="JG35" s="218" t="e">
        <f t="shared" ca="1" si="63"/>
        <v>#N/A</v>
      </c>
      <c r="JH35" s="217" t="e">
        <f t="shared" ca="1" si="166"/>
        <v>#N/A</v>
      </c>
      <c r="JI35" s="217" t="e">
        <f t="shared" ca="1" si="167"/>
        <v>#N/A</v>
      </c>
      <c r="JJ35" s="217" t="e">
        <f t="shared" ca="1" si="224"/>
        <v>#N/A</v>
      </c>
      <c r="JK35" s="217" t="e">
        <f ca="1">IF(Control!$C$114=1,IF(Control!$B$24=0,MAX(0,$JI35)*$GN35/Control!$C$64,(MAX(0,MIN($JI35,$JJ35*$GN35/Control!$C$64),0))))</f>
        <v>#N/A</v>
      </c>
      <c r="JL35" s="217" t="e">
        <f ca="1">$IK35/Control!$C$64-$JK35+$HQ35</f>
        <v>#N/A</v>
      </c>
      <c r="JM35" s="217" t="e">
        <f ca="1">IF(Control!$C$114=1,($JB35/(IF($JI35&lt;&gt;0,$JI35,1)))*$JK35,0)</f>
        <v>#N/A</v>
      </c>
      <c r="JN35" s="217" t="e">
        <f ca="1">IF(Control!$C$114=1,($JG35/(IF($JI35&lt;&gt;0,$JI35,1)))*$JK35, 0)</f>
        <v>#N/A</v>
      </c>
      <c r="JO35" s="218" t="e">
        <f t="shared" ca="1" si="64"/>
        <v>#N/A</v>
      </c>
      <c r="JP35" s="218" t="e">
        <f ca="1">MIN(($IY35+$IO35)*Control!$C$151, $JF35-$EH35*Control!$C$161)</f>
        <v>#N/A</v>
      </c>
      <c r="JQ35" s="218" t="e">
        <f t="shared" ca="1" si="65"/>
        <v>#N/A</v>
      </c>
      <c r="JR35" s="217" t="e">
        <f ca="1">IF($CP35-Control!$C$150&lt;0, 0, $JQ35/Control!$C$162)</f>
        <v>#N/A</v>
      </c>
      <c r="JS35" s="218" t="e">
        <f t="shared" ca="1" si="66"/>
        <v>#N/A</v>
      </c>
      <c r="JT35" s="218" t="e">
        <f t="shared" ca="1" si="168"/>
        <v>#N/A</v>
      </c>
      <c r="JU35" s="218" t="e">
        <f t="shared" ca="1" si="67"/>
        <v>#N/A</v>
      </c>
      <c r="JV35" s="218" t="e">
        <f t="shared" ca="1" si="68"/>
        <v>#N/A</v>
      </c>
      <c r="JW35" s="216" t="e">
        <f t="shared" ca="1" si="69"/>
        <v>#N/A</v>
      </c>
      <c r="JX35" s="91" t="e">
        <f t="shared" ca="1" si="70"/>
        <v>#N/A</v>
      </c>
      <c r="JY35" s="218" t="e">
        <f t="shared" ca="1" si="71"/>
        <v>#N/A</v>
      </c>
      <c r="JZ35" s="217" t="e">
        <f ca="1">IF(Control!$C$114=1,($IZ35/(IF($JI35&lt;&gt;0,$JI35,1)))*$JK35, 0)</f>
        <v>#N/A</v>
      </c>
      <c r="KA35" s="218" t="e">
        <f t="shared" ca="1" si="225"/>
        <v>#N/A</v>
      </c>
      <c r="KB35" s="218" t="e">
        <f t="shared" ca="1" si="169"/>
        <v>#N/A</v>
      </c>
      <c r="KC35" s="218" t="e">
        <f t="shared" ca="1" si="72"/>
        <v>#N/A</v>
      </c>
      <c r="KD35" s="218" t="e">
        <f t="shared" ca="1" si="73"/>
        <v>#N/A</v>
      </c>
      <c r="KE35" s="218" t="e">
        <f t="shared" ca="1" si="74"/>
        <v>#N/A</v>
      </c>
      <c r="KF35" s="218" t="e">
        <f t="shared" ca="1" si="75"/>
        <v>#N/A</v>
      </c>
      <c r="KG35" s="216" t="e">
        <f t="shared" ca="1" si="76"/>
        <v>#N/A</v>
      </c>
      <c r="KH35" s="221" t="e">
        <f ca="1">IF(Control!$B$24=0,1,MAX(0.001,MIN(1,IF(($IF35-$IE35)&lt;&gt;0,($KG35-$IE35)/($IF35-$IE35),1))))</f>
        <v>#N/A</v>
      </c>
      <c r="KI35" s="222" t="e">
        <f ca="1">IF(Control!$C$114=1, $KI34+ $KH34, 0)</f>
        <v>#N/A</v>
      </c>
      <c r="KJ35" s="217" t="e">
        <f t="shared" ca="1" si="77"/>
        <v>#N/A</v>
      </c>
      <c r="KK35" s="218" t="e">
        <f t="shared" ca="1" si="78"/>
        <v>#N/A</v>
      </c>
      <c r="KL35" s="274" t="e">
        <f ca="1">IF(Control!$B$26=3,4000000000*EXP(-8400/($G35+273)),IF(Control!$B$26=4,4000000000*EXP(-8400/($G35+273))*($KT35),0))</f>
        <v>#DIV/0!</v>
      </c>
      <c r="KM35" s="274" t="e">
        <f ca="1">IF(Control!$B$26=3,5600000000000*EXP(-9800/($G35+273)),IF(Control!$B$26=4,5600000000000*EXP(-9800/($G35+273))*$KT35,0))</f>
        <v>#DIV/0!</v>
      </c>
      <c r="KN35" s="454" t="e">
        <f t="shared" ca="1" si="170"/>
        <v>#DIV/0!</v>
      </c>
      <c r="KO35" s="274" t="e">
        <f t="shared" ca="1" si="171"/>
        <v>#DIV/0!</v>
      </c>
      <c r="KP35" s="454" t="e">
        <f t="shared" ca="1" si="79"/>
        <v>#DIV/0!</v>
      </c>
      <c r="KQ35" s="454" t="e">
        <f t="shared" ca="1" si="80"/>
        <v>#DIV/0!</v>
      </c>
      <c r="KR35" s="454" t="e">
        <f t="shared" ca="1" si="81"/>
        <v>#DIV/0!</v>
      </c>
      <c r="KS35" s="454" t="e">
        <f t="shared" ca="1" si="82"/>
        <v>#DIV/0!</v>
      </c>
      <c r="KT35" s="455" t="e">
        <f t="shared" ca="1" si="83"/>
        <v>#DIV/0!</v>
      </c>
      <c r="KU35" s="456" t="e">
        <f ca="1">IF($CP35-Control!$C$149&lt;0, IF($NT35-0.01&lt;0,0,1),0)</f>
        <v>#N/A</v>
      </c>
      <c r="KV35" s="456" t="e">
        <f ca="1">IF(Control!$C$114=1,MAX(0,MIN(Control!$C$125*$KW35*$GN35,$KW35)))</f>
        <v>#DIV/0!</v>
      </c>
      <c r="KW35" s="456" t="e">
        <f t="shared" ca="1" si="208"/>
        <v>#DIV/0!</v>
      </c>
      <c r="KX35" s="457" t="e">
        <f ca="1">IF($CP35-Control!$C$149&lt;0, IF($MR35-$OM35&lt;0,0,1),0)</f>
        <v>#N/A</v>
      </c>
      <c r="KY35" s="167">
        <f t="shared" ca="1" si="172"/>
        <v>30</v>
      </c>
      <c r="KZ35" s="168">
        <f ca="1">1370*(1+0.033*COS(2*Control!$C$138*$AH35/365))</f>
        <v>1409.3141093337122</v>
      </c>
      <c r="LA35" s="169">
        <f t="shared" ca="1" si="173"/>
        <v>1.0286964498484381</v>
      </c>
      <c r="LB35" s="169">
        <f t="shared" ca="1" si="174"/>
        <v>-0.31355107239992103</v>
      </c>
      <c r="LC35" s="169">
        <f ca="1">ACOS(-TAN((2*Control!$B$8/360))*TAN(Calculations!$LB35))</f>
        <v>1.4742791940011784</v>
      </c>
      <c r="LD35" s="169">
        <f ca="1">((24*60)/PI())*0.082*$LA35*(($LC35*SIN(Control!$B$8*2*PI()/360))*SIN($LB35)+COS(Control!$B$8*2*PI()/360)*COS($LB35)*SIN($LC35))</f>
        <v>8.6837247280697571</v>
      </c>
      <c r="LE35" s="170">
        <f t="shared" ca="1" si="84"/>
        <v>9.8256859949902058</v>
      </c>
      <c r="LF35" s="170">
        <f ca="1">SIN(Control!$C$139*Control!$B$8)*SIN($HD35)</f>
        <v>-0.24213950014357943</v>
      </c>
      <c r="LG35" s="170">
        <f ca="1">COS(Control!$C$139*Control!$B$8)*COS($HD35)</f>
        <v>0.5858738700790489</v>
      </c>
      <c r="LH35" s="170">
        <f ca="1">12*(1+2*ASIN(MAX(-1,MIN(1,$LF35/$LG35))/Control!$C$138))</f>
        <v>8.8334772450827401</v>
      </c>
      <c r="LI35" s="170">
        <f ca="1">12*(1+2*ASIN(MAX(-1,MIN(1,(-SIN(-4*Control!$C$139)+$LF35)/$LG35))/Control!$C$138))</f>
        <v>9.7489389379480045</v>
      </c>
      <c r="LJ35" s="168">
        <f ca="1">3600*($LH35*$LF35+24*$LG35*SQRT(1-$LK35*$LK35)/Control!$C$138)</f>
        <v>6971.9631201560451</v>
      </c>
      <c r="LK35" s="170">
        <f t="shared" ca="1" si="85"/>
        <v>-0.41329629551648861</v>
      </c>
      <c r="LL35" s="170">
        <f t="shared" ca="1" si="86"/>
        <v>0</v>
      </c>
      <c r="LM35" s="171">
        <f ca="1">Control!$C$145*$AB35</f>
        <v>6.6660906138995932E-2</v>
      </c>
      <c r="LN35" s="170">
        <f t="shared" ca="1" si="175"/>
        <v>0.54</v>
      </c>
      <c r="LO35" s="170">
        <f t="shared" ca="1" si="87"/>
        <v>0</v>
      </c>
      <c r="LP35" s="170">
        <f ca="1">Control!$C$140*((($D35+273.16)^4+($E35+273.16)^4)/2)*(0.34-0.14*SQRT($Y35))*(1.35*$AQ35/(0.75*$LD35)-0.35)</f>
        <v>-3.2464704755046001</v>
      </c>
      <c r="LQ35" s="170">
        <f ca="1">Control!$C$140*($G35+273)^4*(0.56-0.079*SQRT($Y35*10))*(0.1+0.9*$LO35)</f>
        <v>1.5241745131704001</v>
      </c>
      <c r="LR35" s="170">
        <f ca="1">$AQ35*(1-Control!$C$142)-$LQ35</f>
        <v>-1.5241745131704001</v>
      </c>
      <c r="LS35" s="170">
        <f ca="1">$AQ35*(1-Control!$C$143)-$LQ35</f>
        <v>-1.5241745131704001</v>
      </c>
      <c r="LT35" s="170">
        <f ca="1">$AQ35*(1-Control!$C$144)-$LQ35</f>
        <v>-1.5241745131704001</v>
      </c>
      <c r="LU35" s="169">
        <f ca="1">(1-Control!$C$144)*AQ35-LP35</f>
        <v>3.2464704755046001</v>
      </c>
      <c r="LV35" s="172">
        <f t="shared" ca="1" si="88"/>
        <v>0.79430000000000012</v>
      </c>
      <c r="LW35" s="170">
        <f t="shared" ca="1" si="89"/>
        <v>1.5886000000000002</v>
      </c>
      <c r="LX35" s="170">
        <f ca="1">($AC35*($LR35/Control!$C$141)+$LM35*$LV35)/($AC35+$LM35)</f>
        <v>0.23530094218323697</v>
      </c>
      <c r="LY35" s="170">
        <f ca="1">($AC35*($LS35/Control!$C$141)+$LM35*$LV35)/($AC35+$LM35)</f>
        <v>0.23530094218323697</v>
      </c>
      <c r="LZ35" s="170">
        <f t="shared" ca="1" si="90"/>
        <v>0.23530094218323697</v>
      </c>
      <c r="MA35" s="170">
        <f t="shared" ca="1" si="91"/>
        <v>0.23530094218323697</v>
      </c>
      <c r="MB35" s="170" t="e">
        <f t="shared" ca="1" si="92"/>
        <v>#N/A</v>
      </c>
      <c r="MC35" s="170">
        <f t="shared" ca="1" si="176"/>
        <v>0.6018</v>
      </c>
      <c r="MD35" s="170">
        <f t="shared" ca="1" si="93"/>
        <v>0.52989392535414004</v>
      </c>
      <c r="ME35" s="170">
        <f ca="1">($AC35*($LT35/Control!$C$141)+$LM35*$LW35)/($AC35+$LM35)</f>
        <v>0.71612369323045078</v>
      </c>
      <c r="MF35" s="170" t="e">
        <f ca="1">IF(Control!$B$16&gt;=1000,0.92,IF(AND(720&lt;=Control!$B$16,1000&gt;Control!$B$16),(0.95+(Control!$B$16-720)*((0.92-0.95)/(1000-720))),IF(AND(360&lt;=Control!$B$16,720&gt;Control!$B$16),(1+(Control!$B$16-360)*((0.95-1)/(720-360))),IF(AND(40&lt;=Control!$B$16,360&gt;Control!$B$16),(1.05+(Control!$B$16-40)*((1.05-1)/(360-40)))))))</f>
        <v>#N/A</v>
      </c>
      <c r="MG35" s="170">
        <f t="shared" ca="1" si="94"/>
        <v>0.71612369323045078</v>
      </c>
      <c r="MH35" s="170" t="e">
        <f t="shared" ca="1" si="230"/>
        <v>#N/A</v>
      </c>
      <c r="MI35" s="170" t="e">
        <f t="shared" ca="1" si="230"/>
        <v>#N/A</v>
      </c>
      <c r="MJ35" s="170" t="e">
        <f ca="1">MAX(0.0001, Control!$C$132*$MI35*$DL35)</f>
        <v>#N/A</v>
      </c>
      <c r="MK35" s="170">
        <f ca="1">1/(0.76+1.5*($MG35/10))-(5-Control!$C$110)*0.1</f>
        <v>1.002845988140797</v>
      </c>
      <c r="ML35" s="173">
        <f ca="1">IF(Control!$C$110&lt;3,$MK35+($MG35-0.6)/(Control!$C$110*(Control!$C$110+3)), MAX(0.1, MIN(0.95,$MK35)))</f>
        <v>0.95</v>
      </c>
      <c r="MM35" s="173">
        <f ca="1">IF(Control!$C$110&lt;3,$MK35+(($MI35/10)-0.6)/(Control!$C$110*(Control!$C$110+3)), MAX(0.1, MIN(0.95,$MK35)))</f>
        <v>0.95</v>
      </c>
      <c r="MN35" s="173">
        <f ca="1">(1-$MM35)*(Control!$C$128-Control!$C$127)+Control!$C$127</f>
        <v>0.16</v>
      </c>
      <c r="MO35" s="170" t="e">
        <f ca="1">MAX(0,MIN(1,($MS35-Control!$C$127)/($MN35-Control!$C$127)))</f>
        <v>#DIV/0!</v>
      </c>
      <c r="MP35" s="173" t="e">
        <f ca="1">1/(0.76+1.5*$MI35)-(5-Control!$C$110)*0.1</f>
        <v>#N/A</v>
      </c>
      <c r="MQ35" s="172" t="e">
        <f t="shared" ca="1" si="209"/>
        <v>#DIV/0!</v>
      </c>
      <c r="MR35" s="168" t="e">
        <f t="shared" ca="1" si="226"/>
        <v>#DIV/0!</v>
      </c>
      <c r="MS35" s="173" t="e">
        <f ca="1">MAX(Control!$C$127, MIN(Control!$C$135, $MR35/MAX(0.0001,$CY35)))</f>
        <v>#DIV/0!</v>
      </c>
      <c r="MT35" s="168" t="e">
        <f ca="1">(Control!$C$128-$MS35)*Control!$C$74</f>
        <v>#DIV/0!</v>
      </c>
      <c r="MU35" s="168" t="e">
        <f ca="1">(Control!$C$135-$MS35)*Control!$C$74</f>
        <v>#DIV/0!</v>
      </c>
      <c r="MV35" s="168" t="e">
        <f t="shared" ca="1" si="210"/>
        <v>#DIV/0!</v>
      </c>
      <c r="MW35" s="168" t="e">
        <f t="shared" ca="1" si="177"/>
        <v>#DIV/0!</v>
      </c>
      <c r="MX35" s="171" t="e">
        <f ca="1">MAX(Control!$C$127, MIN(Control!$C$135, $MW35/MAX(0.0001,Control!$C$119-$CY35)))</f>
        <v>#DIV/0!</v>
      </c>
      <c r="MY35" s="54" t="e">
        <f ca="1">IF(Control!$C$114=1, $CX35*$MX35, 0)</f>
        <v>#DIV/0!</v>
      </c>
      <c r="MZ35" s="54" t="e">
        <f t="shared" ca="1" si="178"/>
        <v>#N/A</v>
      </c>
      <c r="NA35" s="168" t="e">
        <f ca="1">(Control!$C$128-$MX35)*(Control!$C$119-Control!$C$74)</f>
        <v>#DIV/0!</v>
      </c>
      <c r="NB35" s="168" t="e">
        <f ca="1">(Control!$C$135-$MX35)*(Control!$C$119-Control!$C$74)</f>
        <v>#DIV/0!</v>
      </c>
      <c r="NC35" s="174" t="e">
        <f t="shared" ca="1" si="179"/>
        <v>#DIV/0!</v>
      </c>
      <c r="ND35" s="54">
        <f ca="1">IF(Control!$C$58=2, IF(OR(Control!$B$218=$AH35,Control!$B$219=$AH35, Control!$B$220=$AH35, Control!$B$221=$AH35, Control!$B$222=$AH35, Control!$B$223=$AH35, Control!$B$224=$AH35, Control!$B$225=$AH35, Control!$B$226=$AH35, Control!$B$227=$AH35, Control!$B$228=$AH35), 1, 0), 0)</f>
        <v>0</v>
      </c>
      <c r="NE35" s="54">
        <f ca="1">IF($ND35=0,0, VLOOKUP($AH35,Control!$B$218:$C$228,2))</f>
        <v>0</v>
      </c>
      <c r="NF35" s="168" t="e">
        <f ca="1">$CY35*(Control!$C$128-Control!$C$127)</f>
        <v>#N/A</v>
      </c>
      <c r="NG35" s="54" t="e">
        <f ca="1">IF(Control!$C$58=2, $NI34-$NJ34, 0)</f>
        <v>#DIV/0!</v>
      </c>
      <c r="NH35" s="54" t="e">
        <f ca="1">IF(AND(Control!$C$58=1, $MS34&lt;= ($MN34+0.02), $I34&lt;10), 0, IF(Control!$C$58=2, $NG34, 0))</f>
        <v>#DIV/0!</v>
      </c>
      <c r="NI35" s="54" t="e">
        <f ca="1">IF(Control!$C$58=2, $NE35+$NH35,0)</f>
        <v>#DIV/0!</v>
      </c>
      <c r="NJ35" s="54" t="e">
        <f ca="1">IF(AND(Control!$C$58=1, $MS35&lt;= ($MN35+0.02), $I35&lt;10), MAX(0, MIN(10, 0.7*($NF35-$MV35))), IF(Control!$C$58=2, MIN(10,$NI35),0))</f>
        <v>#DIV/0!</v>
      </c>
      <c r="NK35" s="54" t="e">
        <f t="shared" ca="1" si="96"/>
        <v>#DIV/0!</v>
      </c>
      <c r="NL35" s="173" t="e">
        <f ca="1">(1-Control!$C$73)*$I35+$NJ35</f>
        <v>#DIV/0!</v>
      </c>
      <c r="NM35" s="172" t="e">
        <f ca="1">IF($NL35&lt;0.5, $MB35* MAX(0, MIN(1, (SQRT($NC35)-SQRT($NC35-1))*Control!$C$71)),0)</f>
        <v>#DIV/0!</v>
      </c>
      <c r="NN35" s="170" t="e">
        <f ca="1">IF($NL35&gt;=5, $MB35, MAX(0,MIN($MB35, $NM35+$NL35,($MS35-Control!$C$129))))</f>
        <v>#DIV/0!</v>
      </c>
      <c r="NO35" s="54">
        <f>IF(Control!$C$133&lt;&gt;1, Control!$C$135-Control!$C$131, 0)</f>
        <v>0.38</v>
      </c>
      <c r="NP35" s="54" t="e">
        <f t="shared" ca="1" si="97"/>
        <v>#DIV/0!</v>
      </c>
      <c r="NQ35" s="173" t="e">
        <f ca="1">MAX(0,MIN(1,(Control!$C$135-$MS35)/(Control!$C$135-$NO35)))</f>
        <v>#DIV/0!</v>
      </c>
      <c r="NR35" s="170" t="e">
        <f ca="1">IF(Control!$C$133&lt;&gt;1, $NQ35+((1-$NP35/4)*(1-$NQ35)),1)</f>
        <v>#DIV/0!</v>
      </c>
      <c r="NS35" s="170" t="e">
        <f ca="1">IF(Control!$B$31=0,$MJ35,MAX(0,MIN($MV35,$MO35*$NR35*$MJ35)))</f>
        <v>#DIV/0!</v>
      </c>
      <c r="NT35" s="170" t="e">
        <f t="shared" ca="1" si="227"/>
        <v>#DIV/0!</v>
      </c>
      <c r="NU35" s="170" t="e">
        <f t="shared" ca="1" si="180"/>
        <v>#N/A</v>
      </c>
      <c r="NV35" s="170" t="e">
        <f t="shared" ca="1" si="98"/>
        <v>#N/A</v>
      </c>
      <c r="NW35" s="175" t="e">
        <f t="shared" ca="1" si="99"/>
        <v>#DIV/0!</v>
      </c>
      <c r="NX35" s="170" t="e">
        <f ca="1">MIN(Control!$C$72+$MU35, $NW35)</f>
        <v>#DIV/0!</v>
      </c>
      <c r="NY35" s="170" t="e">
        <f ca="1">IF($MT35&lt;=$NX35,MIN(Control!$C$72+$NB35,$NX35-$MT35),0)</f>
        <v>#DIV/0!</v>
      </c>
      <c r="NZ35" s="54" t="e">
        <f ca="1">IF(Control!$C$114=1,  $CX35*($MX35-Control!$C$127), 0)</f>
        <v>#DIV/0!</v>
      </c>
      <c r="OA35" s="170" t="e">
        <f t="shared" ca="1" si="181"/>
        <v>#DIV/0!</v>
      </c>
      <c r="OB35" s="170" t="e">
        <f ca="1">IF($NA35 &lt;=$NY35, MIN(Control!$C$72, $NY35-$NA35), 0)</f>
        <v>#DIV/0!</v>
      </c>
      <c r="OC35" s="168" t="e">
        <f t="shared" ca="1" si="100"/>
        <v>#DIV/0!</v>
      </c>
      <c r="OD35" s="168" t="e">
        <f t="shared" ca="1" si="182"/>
        <v>#DIV/0!</v>
      </c>
      <c r="OE35" s="170">
        <f ca="1">Control!$C$73*$I35</f>
        <v>0</v>
      </c>
      <c r="OF35" s="176" t="e">
        <f t="shared" ca="1" si="101"/>
        <v>#DIV/0!</v>
      </c>
      <c r="OG35" s="168" t="e">
        <f t="shared" ca="1" si="102"/>
        <v>#DIV/0!</v>
      </c>
      <c r="OH35" s="168" t="e">
        <f t="shared" ca="1" si="103"/>
        <v>#DIV/0!</v>
      </c>
      <c r="OI35" s="168" t="e">
        <f t="shared" ca="1" si="104"/>
        <v>#DIV/0!</v>
      </c>
      <c r="OJ35" s="168" t="e">
        <f t="shared" ca="1" si="105"/>
        <v>#DIV/0!</v>
      </c>
      <c r="OK35" s="204" t="e">
        <f t="shared" ca="1" si="183"/>
        <v>#DIV/0!</v>
      </c>
      <c r="OL35" s="177">
        <f>Control!$C$127</f>
        <v>0.15</v>
      </c>
      <c r="OM35" s="182" t="e">
        <f t="shared" ca="1" si="106"/>
        <v>#N/A</v>
      </c>
      <c r="ON35" s="177">
        <f>Control!$C$128</f>
        <v>0.35</v>
      </c>
      <c r="OO35" s="182" t="e">
        <f t="shared" ca="1" si="107"/>
        <v>#N/A</v>
      </c>
      <c r="OP35" s="138">
        <f t="shared" ca="1" si="184"/>
        <v>0</v>
      </c>
      <c r="OQ35" s="138" t="e">
        <f t="shared" ca="1" si="211"/>
        <v>#DIV/0!</v>
      </c>
      <c r="OR35" s="138" t="e">
        <f t="shared" ca="1" si="185"/>
        <v>#DIV/0!</v>
      </c>
      <c r="OS35" s="137" t="e">
        <f t="shared" ca="1" si="212"/>
        <v>#DIV/0!</v>
      </c>
      <c r="OT35" s="139" t="e">
        <f t="shared" ca="1" si="213"/>
        <v>#DIV/0!</v>
      </c>
      <c r="OU35" s="138" t="e">
        <f t="shared" ca="1" si="214"/>
        <v>#N/A</v>
      </c>
      <c r="OV35" s="138" t="e">
        <f t="shared" ca="1" si="215"/>
        <v>#DIV/0!</v>
      </c>
      <c r="OW35" s="138" t="e">
        <f t="shared" ca="1" si="186"/>
        <v>#DIV/0!</v>
      </c>
      <c r="OX35" s="138" t="e">
        <f t="shared" ca="1" si="187"/>
        <v>#DIV/0!</v>
      </c>
      <c r="OY35" s="138" t="e">
        <f t="shared" ca="1" si="188"/>
        <v>#DIV/0!</v>
      </c>
      <c r="OZ35" s="138" t="e">
        <f t="shared" ca="1" si="108"/>
        <v>#DIV/0!</v>
      </c>
      <c r="PA35" s="138" t="e">
        <f t="shared" ca="1" si="109"/>
        <v>#DIV/0!</v>
      </c>
      <c r="PB35" s="55">
        <f>IF(Control!$C$61="T", IF(Control!$C$65="F", IF($AH$6-Control!$C$60&lt;0,0,1), IF(365+$AH$6-Control!$C$60&lt;0,0,1)),0)</f>
        <v>0</v>
      </c>
      <c r="PC35" s="55">
        <f ca="1">IF(Control!$C$65="F", IF($AH$6-$HF35&lt;0,0,1), IF(365+$AH$6-$HF35&lt;0,0,1))</f>
        <v>1</v>
      </c>
      <c r="PD35" s="444">
        <f>Control!$C$118</f>
        <v>1500</v>
      </c>
      <c r="PE35" s="180" t="e">
        <f t="shared" ca="1" si="110"/>
        <v>#N/A</v>
      </c>
      <c r="PF35" s="445">
        <f t="shared" ca="1" si="189"/>
        <v>0.71612369323045078</v>
      </c>
      <c r="PT35" s="186"/>
      <c r="PU35" s="186"/>
      <c r="PV35" s="94"/>
      <c r="PW35" s="94"/>
      <c r="PX35" s="94"/>
      <c r="PY35" s="94"/>
      <c r="PZ35" s="94"/>
      <c r="QA35" s="94"/>
      <c r="QB35" s="94"/>
      <c r="QC35" s="94"/>
      <c r="QD35" s="94"/>
      <c r="QE35" s="94"/>
      <c r="QF35" s="94"/>
      <c r="QG35" s="94"/>
      <c r="QH35" s="94"/>
      <c r="QI35" s="94"/>
      <c r="QJ35" s="94"/>
      <c r="QK35" s="94"/>
      <c r="QL35" s="94"/>
      <c r="QM35" s="94"/>
      <c r="QN35" s="94"/>
      <c r="QO35" s="94"/>
      <c r="QP35" s="94"/>
    </row>
    <row r="36" spans="1:458" s="2" customFormat="1" x14ac:dyDescent="0.2">
      <c r="A36" s="386">
        <v>31</v>
      </c>
      <c r="B36" s="387">
        <v>1</v>
      </c>
      <c r="C36" s="387">
        <f ca="1">Weather_data!$B35</f>
        <v>0</v>
      </c>
      <c r="D36" s="388">
        <f ca="1">Weather_data!$F35</f>
        <v>0</v>
      </c>
      <c r="E36" s="388">
        <f ca="1">Weather_data!$E35</f>
        <v>0</v>
      </c>
      <c r="F36" s="388">
        <f t="shared" ca="1" si="111"/>
        <v>0</v>
      </c>
      <c r="G36" s="388">
        <f ca="1">AVERAGE($D36:$E36)+Control!$B$9</f>
        <v>0</v>
      </c>
      <c r="H36" s="388">
        <f ca="1">Weather_data!$G35</f>
        <v>0</v>
      </c>
      <c r="I36" s="388">
        <f ca="1">Weather_data!$I35</f>
        <v>0</v>
      </c>
      <c r="J36" s="388">
        <f ca="1">Weather_data!$H35</f>
        <v>0</v>
      </c>
      <c r="K36" s="389">
        <f ca="1">Weather_data!$D35</f>
        <v>0</v>
      </c>
      <c r="L36" s="388" t="e">
        <f t="shared" ca="1" si="112"/>
        <v>#N/A</v>
      </c>
      <c r="M36" s="388" t="e">
        <f t="shared" ca="1" si="0"/>
        <v>#N/A</v>
      </c>
      <c r="N36" s="388">
        <f t="shared" ca="1" si="1"/>
        <v>-2.1195579137608094E-2</v>
      </c>
      <c r="O36" s="388">
        <f t="shared" ca="1" si="113"/>
        <v>0.21195579137608095</v>
      </c>
      <c r="P36" s="390">
        <v>3</v>
      </c>
      <c r="Q36" s="388">
        <f ca="1">MAX($G36-Control!$C$107,0)</f>
        <v>0</v>
      </c>
      <c r="R36" s="388">
        <f t="shared" ca="1" si="114"/>
        <v>0</v>
      </c>
      <c r="S36" s="388">
        <f t="shared" ca="1" si="2"/>
        <v>0</v>
      </c>
      <c r="T36" s="388">
        <f t="shared" ca="1" si="3"/>
        <v>0</v>
      </c>
      <c r="U36" s="59">
        <f t="shared" ca="1" si="4"/>
        <v>0</v>
      </c>
      <c r="V36" s="391">
        <f ca="1">MAX(0,MIN(Control!$C$100-Control!$C$99,$G36-Control!$C$99)*Control!$C$63)</f>
        <v>0</v>
      </c>
      <c r="W36" s="388">
        <f t="shared" ca="1" si="190"/>
        <v>0</v>
      </c>
      <c r="X36" s="388">
        <f t="shared" ca="1" si="115"/>
        <v>0.6110000000000001</v>
      </c>
      <c r="Y36" s="388">
        <f t="shared" ca="1" si="116"/>
        <v>0</v>
      </c>
      <c r="Z36" s="388">
        <f t="shared" ca="1" si="117"/>
        <v>0.61058800000000002</v>
      </c>
      <c r="AA36" s="388">
        <f t="shared" ca="1" si="5"/>
        <v>0.6018</v>
      </c>
      <c r="AB36" s="388">
        <f ca="1">101.3*EXP(-0.034*Control!$C$66/($G36+273))</f>
        <v>100.69623283836242</v>
      </c>
      <c r="AC36" s="392">
        <f t="shared" ca="1" si="6"/>
        <v>4.3460251046025113E-2</v>
      </c>
      <c r="AD36" s="392">
        <f t="shared" ca="1" si="7"/>
        <v>4.4450382862832649E-2</v>
      </c>
      <c r="AE36" s="388">
        <f t="shared" ca="1" si="8"/>
        <v>0</v>
      </c>
      <c r="AF36" s="388">
        <f ca="1">MAX(0,$G36-Control!$C$92)</f>
        <v>0</v>
      </c>
      <c r="AG36" s="393">
        <f t="shared" ca="1" si="118"/>
        <v>31</v>
      </c>
      <c r="AH36" s="389">
        <f t="shared" ca="1" si="9"/>
        <v>31</v>
      </c>
      <c r="AI36" s="388">
        <f t="shared" ca="1" si="119"/>
        <v>-0.30771382535979663</v>
      </c>
      <c r="AJ36" s="388">
        <f ca="1">IF(Control!$C$60&lt;=0,$HH36,$HI36)</f>
        <v>1</v>
      </c>
      <c r="AK36" s="388">
        <f t="shared" ca="1" si="10"/>
        <v>-0.84349610973095812</v>
      </c>
      <c r="AL36" s="388">
        <f t="shared" ca="1" si="11"/>
        <v>4.5089453004631956E-19</v>
      </c>
      <c r="AM36" s="388">
        <f t="shared" ca="1" si="12"/>
        <v>-0.84349610973095812</v>
      </c>
      <c r="AN36" s="388">
        <f t="shared" ca="1" si="13"/>
        <v>-0.30170172344547125</v>
      </c>
      <c r="AO36" s="388">
        <f ca="1">-0.10453/COS(Control!$B$8*PI()/180)*COS(AN36)</f>
        <v>-0.16211605755231609</v>
      </c>
      <c r="AP36" s="388">
        <f ca="1">ACOS(AO36-TAN(Control!$B$8*PI()/180)*TAN(AN36))</f>
        <v>1.3323388084193557</v>
      </c>
      <c r="AQ36" s="388">
        <f t="shared" ca="1" si="120"/>
        <v>0</v>
      </c>
      <c r="AR36" s="394">
        <f t="shared" ca="1" si="14"/>
        <v>0</v>
      </c>
      <c r="AS36" s="436">
        <f ca="1">IF(Control!$B$18=2,(IF(OR($AH36=Control!$B$175,$AH36=Control!$B$176,$AH36=Control!$B$177,$AH36=Control!$B$178,$AH36=Control!$B$179,$AH36=Control!$B$180,$AH36=Control!$B$181,$AH36=Control!$B$182,$AH36=Control!$B$183,$AH36=Control!$B$184,$AH36=Control!$B$185),1,0)),0)</f>
        <v>0</v>
      </c>
      <c r="AT36" s="436">
        <f>IF(Control!$B$20=8,IF(AND($AH36&gt;=Control!$B$172,$AH36&lt;=Control!$B$173),1,0),0)</f>
        <v>0</v>
      </c>
      <c r="AU36" s="436">
        <f>IF(Control!$B$20=8,IF($AV35=1,1*$AT36,IF($AT36=1,$AU35+1,$AU35)),0)</f>
        <v>0</v>
      </c>
      <c r="AV36" s="436">
        <f>IF(Control!$B$20=8,IF($AU36&gt;=Control!$B$174,1,0),0)</f>
        <v>0</v>
      </c>
      <c r="AW36" s="436">
        <f ca="1">IF(AND(Control!$B$18=2,Control!$B$171=1), $AV36, $AS36)</f>
        <v>0</v>
      </c>
      <c r="AX36" s="436" t="e">
        <f ca="1">IF(AND(Control!$B$18=1,$EU36&gt;=Control!$B$19),-$AY36,IF(AND(Control!$B$18=2,$AW36=1,$EU36&gt;$DS36),-$AY36, IF(Control!$C$108=0,0, IF(Control!$C$108&lt;&gt;0,1))))</f>
        <v>#N/A</v>
      </c>
      <c r="AY36" s="436" t="e">
        <f t="shared" ca="1" si="121"/>
        <v>#N/A</v>
      </c>
      <c r="AZ36" s="436" t="e">
        <f ca="1">IF(AND(Control!$B$18=1,$EB36&gt;Control!$B$19),$AZ35+1, IF(AND(Control!$B$18=2, $AW36=1, $EB36&gt;$DS36), $AZ35+1,$AZ35))</f>
        <v>#N/A</v>
      </c>
      <c r="BA36" s="587">
        <f>IF(Control!$C$81=0,1,IF($AH36&gt;=Control!$C$82,1,0))</f>
        <v>1</v>
      </c>
      <c r="BB36" s="140" t="e">
        <f ca="1">IF($BA36&gt;$BA35,Control!$C$83,IF($AW36&gt;0,$AW36*Control!$C$84,IF(AND(Control!$B$18=1,EN35&lt;&gt;0),Control!$C$84,0)))</f>
        <v>#N/A</v>
      </c>
      <c r="BC36" s="140" t="e">
        <f t="shared" ca="1" si="122"/>
        <v>#N/A</v>
      </c>
      <c r="BD36" s="140" t="e">
        <f ca="1">BC36*IF(OR($G36&lt;Control!$C$92,$G36&gt;Control!$C$95),0,IF(AND($G36&gt;=Control!$C$92,$G36&lt;=Control!$C$93),$G36-Control!$C$92,IF(AND($G36&gt;Control!$C$93,$G36&lt;=Control!$C$94),Control!$C$93-Control!$C$92,IF(AND($G36&gt;Control!$C$94,$G36&lt;=Control!$C$95),(Control!$C$93-Control!$C$92)*(Control!$C$94-$G36)/(Control!$C$95-Control!$C$94)))))</f>
        <v>#N/A</v>
      </c>
      <c r="BE36" s="140" t="e">
        <f t="shared" ca="1" si="123"/>
        <v>#N/A</v>
      </c>
      <c r="BF36" s="140" t="e">
        <f ca="1">IF($BE36&lt;=Control!$C$86,$BE36,Control!$C$86-$BE36)</f>
        <v>#N/A</v>
      </c>
      <c r="BG36" s="140" t="e">
        <f ca="1">IF(AND($AW36=1,Control!$C$84&lt;9),1,IF($BE36&gt;=Control!$C$86,0,$BC36))</f>
        <v>#N/A</v>
      </c>
      <c r="BH36" s="404" t="e">
        <f ca="1">IF($BG36=0,0,IF($BE36&lt;=Control!$C$86,$BC36*9*($BF36/Control!$C$86),0))</f>
        <v>#N/A</v>
      </c>
      <c r="BI36" s="140" t="e">
        <f ca="1">IF($BG36=1,0,IF($BE36&gt;=Control!$C$86,1,IF(AND($BB36&lt;21,$BB36&gt;=9),1,$BM35)))</f>
        <v>#N/A</v>
      </c>
      <c r="BJ36" s="140" t="e">
        <f ca="1">IF($BF36&lt;0,-$BF36,$BI36*IF(OR($G36&lt;Control!$C$92,$G36&gt;Control!$C$95),0,IF(AND($G36&gt;=Control!$C$92,$G36&lt;=Control!$C$93),$G36-Control!$C$92,IF(AND($G36&gt;Control!$C$93,$G36&lt;=Control!$C$94),Control!$C$93-Control!$C$92,IF(AND($G36&gt;Control!$C$94,$G36&lt;=Control!$C$95),(Control!$C$93-Control!$C$92)*(Control!$C$94-$G36)/(Control!$C$95-Control!$C$94))))))</f>
        <v>#N/A</v>
      </c>
      <c r="BK36" s="140" t="e">
        <f t="shared" ca="1" si="124"/>
        <v>#N/A</v>
      </c>
      <c r="BL36" s="140" t="e">
        <f ca="1">IF($BK36&lt;=Control!$C$87,$BK36,Control!$C$87-$BK36)</f>
        <v>#N/A</v>
      </c>
      <c r="BM36" s="140" t="e">
        <f ca="1">IF(AND($BB36&gt;=9,$BB36&lt;21),1,IF($BK36&gt;=Control!$C$87,0,$BI36))</f>
        <v>#N/A</v>
      </c>
      <c r="BN36" s="404" t="e">
        <f ca="1">IF($BM36=0,0,IF($BK36&lt;=Control!$C$87,$BI36*(9+(21-9)*($BL36/Control!$C$87)),0))</f>
        <v>#N/A</v>
      </c>
      <c r="BO36" s="140" t="e">
        <f ca="1">IF($BM36=1,0,IF($BK36&gt;=Control!$C$87,1,IF(AND($BB36&lt;30,$BB36&gt;=21),1,$BS35)))</f>
        <v>#N/A</v>
      </c>
      <c r="BP36" s="140" t="e">
        <f ca="1">IF($BL36&lt;0,-$BL36,$BO36*IF(OR($G36&lt;Control!$C$92,$G36&gt;Control!$C$95),0,IF(AND($G36&gt;=Control!$C$92,$G36&lt;=Control!$C$93),$G36-Control!$C$92,IF(AND($G36&gt;Control!$C$93,$G36&lt;=Control!$C$94),Control!$C$93-Control!$C$92,IF(AND($G36&gt;Control!$C$94,$G36&lt;=Control!$C$95),(Control!$C$93-Control!$C$92)*(Control!$C$94-$G36)/(Control!$C$95-Control!$C$94))))))</f>
        <v>#N/A</v>
      </c>
      <c r="BQ36" s="140" t="e">
        <f t="shared" ca="1" si="15"/>
        <v>#N/A</v>
      </c>
      <c r="BR36" s="140" t="e">
        <f ca="1">IF($BQ36&lt;=Control!$C$88,$BQ36,Control!$C$88-$BQ36)</f>
        <v>#N/A</v>
      </c>
      <c r="BS36" s="140" t="e">
        <f ca="1">IF(AND($BB36&gt;=21,$BB36&lt;30),1,IF($BQ36&gt;=Control!$C$88,0,$BO36))</f>
        <v>#N/A</v>
      </c>
      <c r="BT36" s="404" t="e">
        <f ca="1">IF($BS36=0,0,IF($BQ36&lt;=Control!$C$88,$BO36*(21+(30-21)*(BR36/Control!$C$88)),0))</f>
        <v>#N/A</v>
      </c>
      <c r="BU36" s="140" t="e">
        <f ca="1">IF(BG36+BM36+BS36=1,0,IF(OR(AND($BB36&lt;60,$BB36&gt;=30),$BQ36&gt;=Control!$C$88),1*$BA36,$BY35))</f>
        <v>#N/A</v>
      </c>
      <c r="BV36" s="140" t="e">
        <f ca="1">IF($BR36&lt;0,-$BR36,$BU36*IF(OR($G36&lt;Control!$C$92,$G36&gt;Control!$C$95),0,IF(AND($G36&gt;=Control!$C$92,$G36&lt;=Control!$C$93),$G36-Control!$C$92,IF(AND($G36&gt;Control!$C$93,$G36&lt;=Control!$C$94),Control!$C$93-Control!$C$92,IF(AND($G36&gt;Control!$C$94,$G36&lt;=Control!$C$95),(Control!$C$93-Control!$C$92)*(Control!$C$94-$G36)/(Control!$C$95-Control!$C$94))))))</f>
        <v>#N/A</v>
      </c>
      <c r="BW36" s="140" t="e">
        <f t="shared" ca="1" si="16"/>
        <v>#N/A</v>
      </c>
      <c r="BX36" s="140" t="e">
        <f ca="1">IF($BW36&lt;=Control!$C$89,$BW36,Control!$C$89-$BW36)</f>
        <v>#N/A</v>
      </c>
      <c r="BY36" s="140" t="e">
        <f ca="1">IF(AND($AJ36&gt;=30,$AJ36&lt;60),1,IF($BW36&gt;=Control!$C$89,0,$BU36))</f>
        <v>#N/A</v>
      </c>
      <c r="BZ36" s="404" t="e">
        <f ca="1">IF($BY36=0,0,IF($BW36&lt;=Control!$C$89,$BU36*(30+(60-30)*(BX36/Control!$C$89)),0))</f>
        <v>#N/A</v>
      </c>
      <c r="CA36" s="140" t="e">
        <f ca="1">IF($BG36+$BM36+$BS36+$BY36=1,0,IF(OR(AND($BB36&lt;65,$BB36&gt;=60),$BW36&gt;=Control!$C$89),1*$BA36,$CE35))</f>
        <v>#N/A</v>
      </c>
      <c r="CB36" s="140" t="e">
        <f ca="1">IF($BX36&lt;0,-$BX36,$CA36*IF(OR($G36&lt;Control!$C$92,$G36&gt;Control!$C$95),0,IF(AND($G36&gt;=Control!$C$92,$G36&lt;=Control!$C$93),$G36-Control!$C$92,IF(AND($G36&gt;Control!$C$93,$G36&lt;=Control!$C$94),Control!$C$93-Control!$C$92,IF(AND($G36&gt;Control!$C$94,$G36&lt;=Control!$C$95),(Control!$C$93-Control!$C$92)*(Control!$C$94-$G36)/(Control!$C$95-Control!$C$94))))))</f>
        <v>#N/A</v>
      </c>
      <c r="CC36" s="140" t="e">
        <f t="shared" ca="1" si="125"/>
        <v>#N/A</v>
      </c>
      <c r="CD36" s="140" t="e">
        <f ca="1">IF($CC36&lt;=Control!$C$90,$CC36,Control!$C$90-$CC36)</f>
        <v>#N/A</v>
      </c>
      <c r="CE36" s="140" t="e">
        <f ca="1">IF(AND($BB36&gt;=60,$BB36&lt;65),1,IF($CC36&gt;=Control!$C$90,0,$CA36))</f>
        <v>#N/A</v>
      </c>
      <c r="CF36" s="404" t="e">
        <f ca="1">IF($CE36=0,0,IF($CC36&lt;=Control!$C$90,$CA36*(60+(65-60)*(CD36/Control!$C$90)),0))</f>
        <v>#N/A</v>
      </c>
      <c r="CG36" s="140" t="e">
        <f ca="1">IF($BG36+$BM36+$BS36+$BY36+$CE36=1,0,IF(OR(AND($BB36&lt;90,$BB36&gt;=65),$CC36&gt;=Control!$C$90),$BA36,$CK35))</f>
        <v>#N/A</v>
      </c>
      <c r="CH36" s="140" t="e">
        <f ca="1">IF($CD36&lt;0,-$CD36,$CG36*IF(OR($G36&lt;Control!$C$92,$G36&gt;Control!$C$95),0,IF(AND($G36&gt;=Control!$C$92,$G36&lt;=Control!$C$93),$G36-Control!$C$92,IF(AND($G36&gt;Control!$C$93,$G36&lt;=Control!$C$94),Control!$C$93-Control!$C$92,IF(AND($G36&gt;Control!$C$94,$G36&lt;=Control!$C$95),(Control!$C$93-Control!$C$92)*(Control!$C$94-$G36)/(Control!$C$95-Control!$C$94))))))</f>
        <v>#N/A</v>
      </c>
      <c r="CI36" s="140" t="e">
        <f t="shared" ca="1" si="126"/>
        <v>#N/A</v>
      </c>
      <c r="CJ36" s="140" t="e">
        <f ca="1">IF($CI36&lt;=Control!$C$91,$CI36,Control!$C$91-$CI36)</f>
        <v>#N/A</v>
      </c>
      <c r="CK36" s="140" t="e">
        <f ca="1">IF(AND($BB36&gt;=65,$BB36&lt;90),1,IF($CI36&gt;=Control!$C$91,0,$CG36))</f>
        <v>#N/A</v>
      </c>
      <c r="CL36" s="404" t="e">
        <f ca="1">IF($CK36=0,0,IF($CI36&lt;=Control!$C$91,$CG36*(65+(90-65)*($CJ36/Control!$C$91)),0))</f>
        <v>#N/A</v>
      </c>
      <c r="CM36" s="140" t="e">
        <f ca="1">IF($BG36+$BM36+$BS36+$BY36+$CE36+$CK36=1,0,IF(OR($BB36&gt;=90,$CI36&gt;=Control!$C$91),$BA36,$CM35))</f>
        <v>#N/A</v>
      </c>
      <c r="CN36" s="140" t="e">
        <f t="shared" ca="1" si="127"/>
        <v>#N/A</v>
      </c>
      <c r="CO36" s="140" t="e">
        <f t="shared" ca="1" si="128"/>
        <v>#N/A</v>
      </c>
      <c r="CP36" s="140" t="e">
        <f t="shared" ca="1" si="129"/>
        <v>#N/A</v>
      </c>
      <c r="CQ36" s="141" t="e">
        <f ca="1">VLOOKUP($CP36,Control!$B$86:$G$91,6)</f>
        <v>#N/A</v>
      </c>
      <c r="CR36" s="141" t="e">
        <f ca="1">(1-$CQ36)*VLOOKUP($CP36,Control!$B$86:$D$91,3)</f>
        <v>#N/A</v>
      </c>
      <c r="CS36" s="141" t="e">
        <f ca="1">(1-$CQ36)*VLOOKUP($CP36,Control!$B$86:$E$91,4)</f>
        <v>#N/A</v>
      </c>
      <c r="CT36" s="141" t="e">
        <f ca="1">(1-$CQ36)*VLOOKUP($CP36,Control!$B$86:$F$91,5)</f>
        <v>#N/A</v>
      </c>
      <c r="CU36" s="141">
        <f t="shared" ca="1" si="130"/>
        <v>0</v>
      </c>
      <c r="CV36" s="583">
        <f t="shared" ca="1" si="131"/>
        <v>0</v>
      </c>
      <c r="CW36" s="142">
        <f t="shared" ca="1" si="132"/>
        <v>31</v>
      </c>
      <c r="CX36" s="612" t="e">
        <f ca="1">IF(Control!$C$114=1,(MIN(Control!$C$120*(IF($NT36-0.01&lt;0,0,1)),Control!$C$119-$CY36)))</f>
        <v>#DIV/0!</v>
      </c>
      <c r="CY36" s="143" t="e">
        <f t="shared" ca="1" si="133"/>
        <v>#N/A</v>
      </c>
      <c r="CZ36" s="144">
        <f t="shared" ca="1" si="17"/>
        <v>0</v>
      </c>
      <c r="DA36" s="144">
        <f t="shared" ca="1" si="18"/>
        <v>0</v>
      </c>
      <c r="DB36" s="144" t="e">
        <f t="shared" ca="1" si="19"/>
        <v>#N/A</v>
      </c>
      <c r="DC36" s="144" t="e">
        <f t="shared" ca="1" si="20"/>
        <v>#N/A</v>
      </c>
      <c r="DD36" s="144" t="e">
        <f t="shared" ca="1" si="216"/>
        <v>#N/A</v>
      </c>
      <c r="DE36" s="143" t="e">
        <f t="shared" ca="1" si="135"/>
        <v>#N/A</v>
      </c>
      <c r="DF36" s="145" t="e">
        <f ca="1">$DR36*EXP(-Control!$C$158*(1-$KH36))</f>
        <v>#N/A</v>
      </c>
      <c r="DG36" s="146" t="e">
        <f ca="1">IF(Control!$C$114=1, $DF36*$EY36, 0)</f>
        <v>#N/A</v>
      </c>
      <c r="DH36" s="147" t="e">
        <f t="shared" ca="1" si="136"/>
        <v>#N/A</v>
      </c>
      <c r="DI36" s="144" t="e">
        <f t="shared" ca="1" si="191"/>
        <v>#N/A</v>
      </c>
      <c r="DJ36" s="147" t="e">
        <f ca="1">$EF36*Control!$C$109</f>
        <v>#N/A</v>
      </c>
      <c r="DK36" s="144" t="e">
        <f t="shared" ca="1" si="137"/>
        <v>#N/A</v>
      </c>
      <c r="DL36" s="144" t="e">
        <f t="shared" ca="1" si="21"/>
        <v>#N/A</v>
      </c>
      <c r="DM36" s="144" t="e">
        <f ca="1">IF(Control!$C$114=1, (1-EXP(-Control!$C$96*$DK36))*$AR36, 0)</f>
        <v>#N/A</v>
      </c>
      <c r="DN36" s="144">
        <f t="shared" ca="1" si="138"/>
        <v>0</v>
      </c>
      <c r="DO36" s="148">
        <f>Control!$C$97</f>
        <v>4</v>
      </c>
      <c r="DP36" s="145" t="e">
        <f t="shared" ca="1" si="139"/>
        <v>#N/A</v>
      </c>
      <c r="DQ36" s="145" t="e">
        <f ca="1">IF(AND($CP36&gt;=0,$CP36&lt;=90),Control!$C$111,Control!$C$111)</f>
        <v>#N/A</v>
      </c>
      <c r="DR36" s="145" t="e">
        <f t="shared" ca="1" si="22"/>
        <v>#N/A</v>
      </c>
      <c r="DS36" s="143" t="e">
        <f ca="1">Control!$B$22/$DR36</f>
        <v>#N/A</v>
      </c>
      <c r="DT36" s="149" t="e">
        <f ca="1">IF(AND(Control!$C$114=1,$KH36&lt;1),$IM36*$DF36, 0)</f>
        <v>#N/A</v>
      </c>
      <c r="DU36" s="144" t="e">
        <f t="shared" ca="1" si="192"/>
        <v>#N/A</v>
      </c>
      <c r="DV36" s="144">
        <f ca="1">IF($G36-Control!$C$107&lt;=0, 0, 0.83*LN(MAX($G36, 3))-0.8924)</f>
        <v>0</v>
      </c>
      <c r="DW36" s="144" t="e">
        <f t="shared" ca="1" si="23"/>
        <v>#N/A</v>
      </c>
      <c r="DX36" s="150" t="e">
        <f ca="1">MAX(0.01*(1+$CU36/Control!$C$102),0.05*($DK36-Control!$C$97)/Control!$C$97)</f>
        <v>#N/A</v>
      </c>
      <c r="DY36" s="151" t="e">
        <f ca="1">IF(Control!$C$114=1, $DI36*$FS36, 0)</f>
        <v>#N/A</v>
      </c>
      <c r="DZ36" s="196" t="e">
        <f t="shared" ca="1" si="140"/>
        <v>#N/A</v>
      </c>
      <c r="EA36" s="152">
        <f t="shared" ca="1" si="141"/>
        <v>31</v>
      </c>
      <c r="EB36" s="153" t="e">
        <f t="shared" ca="1" si="217"/>
        <v>#N/A</v>
      </c>
      <c r="EC36" s="153" t="e">
        <f t="shared" ca="1" si="142"/>
        <v>#N/A</v>
      </c>
      <c r="ED36" s="154" t="e">
        <f ca="1">IF(Control!$C$114=1, $HM36*$FY36-$FD36, 0)</f>
        <v>#DIV/0!</v>
      </c>
      <c r="EE36" s="155" t="e">
        <f ca="1">IF(Control!$C$114=1, $HM36*$FZ36-$FF36, 0)</f>
        <v>#DIV/0!</v>
      </c>
      <c r="EF36" s="153" t="e">
        <f t="shared" ca="1" si="193"/>
        <v>#N/A</v>
      </c>
      <c r="EG36" s="155" t="e">
        <f ca="1">IF(Control!$C$114=1, $GX36*$FW36-$FI36, 0)</f>
        <v>#DIV/0!</v>
      </c>
      <c r="EH36" s="153" t="e">
        <f t="shared" ca="1" si="143"/>
        <v>#N/A</v>
      </c>
      <c r="EI36" s="156" t="e">
        <f t="shared" ca="1" si="144"/>
        <v>#N/A</v>
      </c>
      <c r="EJ36" s="155" t="e">
        <f ca="1">IF(Control!$C$114=1, $HM36*$GB36, 0)</f>
        <v>#DIV/0!</v>
      </c>
      <c r="EK36" s="153" t="e">
        <f t="shared" ca="1" si="194"/>
        <v>#N/A</v>
      </c>
      <c r="EL36" s="153" t="e">
        <f t="shared" ca="1" si="24"/>
        <v>#N/A</v>
      </c>
      <c r="EM36" s="153" t="e">
        <f t="shared" ca="1" si="25"/>
        <v>#N/A</v>
      </c>
      <c r="EN36" s="153" t="e">
        <f ca="1">IF(Control!$C$108=1,IF(AND(Control!$B$18=1,$EB36&gt;=Control!$B$19),$EB36-$DS36,IF(AND(Control!$B$18=2,$AW36=1,$EB36&gt;$DS36),$EB36-$DS36,0)))</f>
        <v>#N/A</v>
      </c>
      <c r="EO36" s="153" t="e">
        <f ca="1">IF(Control!$C$108=1,IF(AND(Control!$B$18=1,$EB36&gt;=Control!$B$19),$EF36,IF(AND(Control!$B$18=2,$AW36=1),$EF36,0)))</f>
        <v>#N/A</v>
      </c>
      <c r="EP36" s="153" t="e">
        <f ca="1">IF(Control!$C$108=1,IF(AND(Control!$B$18=1,$EB36&gt;=Control!$B$19),$EK36,IF(AND(Control!$B$18=2,$AW36=1),$EK36,0)))</f>
        <v>#N/A</v>
      </c>
      <c r="EQ36" s="153" t="e">
        <f t="shared" ca="1" si="145"/>
        <v>#N/A</v>
      </c>
      <c r="ER36" s="153" t="e">
        <f t="shared" ca="1" si="195"/>
        <v>#N/A</v>
      </c>
      <c r="ES36" s="153" t="e">
        <f t="shared" ca="1" si="196"/>
        <v>#N/A</v>
      </c>
      <c r="ET36" s="153" t="e">
        <f t="shared" ca="1" si="197"/>
        <v>#N/A</v>
      </c>
      <c r="EU36" s="153" t="e">
        <f t="shared" ca="1" si="198"/>
        <v>#N/A</v>
      </c>
      <c r="EV36" s="153" t="e">
        <f t="shared" ca="1" si="146"/>
        <v>#N/A</v>
      </c>
      <c r="EW36" s="153" t="e">
        <f t="shared" ca="1" si="218"/>
        <v>#N/A</v>
      </c>
      <c r="EX36" s="153" t="e">
        <f t="shared" ca="1" si="26"/>
        <v>#N/A</v>
      </c>
      <c r="EY36" s="157" t="e">
        <f t="shared" ca="1" si="147"/>
        <v>#DIV/0!</v>
      </c>
      <c r="EZ36" s="154" t="e">
        <f t="shared" ca="1" si="27"/>
        <v>#DIV/0!</v>
      </c>
      <c r="FA36" s="153" t="e">
        <f t="shared" ca="1" si="199"/>
        <v>#N/A</v>
      </c>
      <c r="FB36" s="153" t="e">
        <f t="shared" ca="1" si="28"/>
        <v>#N/A</v>
      </c>
      <c r="FC36" s="193" t="e">
        <f t="shared" ca="1" si="29"/>
        <v>#N/A</v>
      </c>
      <c r="FD36" s="158" t="e">
        <f t="shared" ca="1" si="200"/>
        <v>#N/A</v>
      </c>
      <c r="FE36" s="158" t="e">
        <f t="shared" ca="1" si="148"/>
        <v>#N/A</v>
      </c>
      <c r="FF36" s="159" t="e">
        <f t="shared" ca="1" si="30"/>
        <v>#N/A</v>
      </c>
      <c r="FG36" s="160" t="e">
        <f t="shared" ca="1" si="149"/>
        <v>#N/A</v>
      </c>
      <c r="FH36" s="158" t="e">
        <f t="shared" ca="1" si="150"/>
        <v>#N/A</v>
      </c>
      <c r="FI36" s="159" t="e">
        <f t="shared" ca="1" si="31"/>
        <v>#N/A</v>
      </c>
      <c r="FJ36" s="160" t="e">
        <f t="shared" ca="1" si="151"/>
        <v>#N/A</v>
      </c>
      <c r="FK36" s="160" t="e">
        <f t="shared" ca="1" si="32"/>
        <v>#N/A</v>
      </c>
      <c r="FL36" s="160" t="e">
        <f t="shared" ca="1" si="229"/>
        <v>#N/A</v>
      </c>
      <c r="FM36" s="160" t="e">
        <f t="shared" ca="1" si="33"/>
        <v>#N/A</v>
      </c>
      <c r="FN36" s="158">
        <f t="shared" ca="1" si="219"/>
        <v>0.01</v>
      </c>
      <c r="FO36" s="160">
        <f>Control!$C$101</f>
        <v>50</v>
      </c>
      <c r="FP36" s="150" t="e">
        <f t="shared" ca="1" si="34"/>
        <v>#N/A</v>
      </c>
      <c r="FQ36" s="150" t="e">
        <f ca="1">MAX(0,(Control!$C$112*(($DK36-Control!$C$97)/Control!$C$97)))</f>
        <v>#N/A</v>
      </c>
      <c r="FR36" s="150" t="e">
        <f ca="1">(1-$NT36)*Control!$C$113</f>
        <v>#DIV/0!</v>
      </c>
      <c r="FS36" s="198" t="e">
        <f t="shared" ca="1" si="35"/>
        <v>#N/A</v>
      </c>
      <c r="FT36" s="161">
        <f t="shared" ca="1" si="152"/>
        <v>31</v>
      </c>
      <c r="FU36" s="162" t="e">
        <f ca="1">IF(Control!$B$34=1,VLOOKUP($CP36,Control!$B$86:$G$91,6),Control!$B$35)</f>
        <v>#N/A</v>
      </c>
      <c r="FV36" s="162" t="e">
        <f t="shared" ca="1" si="36"/>
        <v>#DIV/0!</v>
      </c>
      <c r="FW36" s="162" t="e">
        <f ca="1">IF(Control!$B$31=1,$FU36*$FV36,  $FU36)</f>
        <v>#N/A</v>
      </c>
      <c r="FX36" s="162" t="e">
        <f ca="1">IF(Control!$B$34=1,VLOOKUP($CP36,Control!$B$86:$G$91,3),Control!$B$36)</f>
        <v>#N/A</v>
      </c>
      <c r="FY36" s="162" t="e">
        <f t="shared" ca="1" si="37"/>
        <v>#N/A</v>
      </c>
      <c r="FZ36" s="162" t="e">
        <f ca="1">IF(Control!$B$34=1,VLOOKUP($CP36,Control!$B$86:$G$91,4),Control!$B$37)</f>
        <v>#N/A</v>
      </c>
      <c r="GA36" s="162" t="e">
        <f t="shared" ca="1" si="38"/>
        <v>#N/A</v>
      </c>
      <c r="GB36" s="162" t="e">
        <f ca="1">IF(Control!$B$34=1,VLOOKUP($CP36,Control!$B$86:$G$91,5),Control!$B$38)</f>
        <v>#N/A</v>
      </c>
      <c r="GC36" s="162" t="e">
        <f t="shared" ca="1" si="153"/>
        <v>#N/A</v>
      </c>
      <c r="GD36" s="162">
        <f t="shared" ca="1" si="39"/>
        <v>1</v>
      </c>
      <c r="GE36" s="162">
        <f t="shared" ca="1" si="40"/>
        <v>1</v>
      </c>
      <c r="GF36" s="162">
        <f ca="1">IF(AND(Control!$C$104=1, Control!$C$62="F"),$GE36,1)</f>
        <v>1</v>
      </c>
      <c r="GG36" s="162" t="e">
        <f ca="1">IF(Control!$B$16=40,0,IF(AND(Control!$B$16&gt;40,Control!$B$16&lt;=360),(Control!$B$16-40)*((1-0)/(360-40)),IF(AND(Control!$B$16&gt;360,Control!$B$16&lt;=720),(1+(Control!$B$16-360)*((1.25-1)/(720-360))),IF(AND(Control!$B$16&gt;720,Control!$B$16&lt;=1000),(1.25+(Control!$B$16-720)*((1.35-1.25)/(1000-720))),IF(AND(Control!$B$16&gt;1000,Control!$B$16&lt;=2000),(1.35+(Control!$B$16-1000)*0))))))</f>
        <v>#N/A</v>
      </c>
      <c r="GH36" s="162" t="e">
        <f t="shared" ca="1" si="41"/>
        <v>#N/A</v>
      </c>
      <c r="GI36" s="162">
        <f t="shared" ca="1" si="201"/>
        <v>0</v>
      </c>
      <c r="GJ36" s="162">
        <f t="shared" ca="1" si="42"/>
        <v>0</v>
      </c>
      <c r="GK36" s="162">
        <f t="shared" ca="1" si="220"/>
        <v>1</v>
      </c>
      <c r="GL36" s="162">
        <f t="shared" ca="1" si="43"/>
        <v>1</v>
      </c>
      <c r="GM36" s="162" t="e">
        <f ca="1">MAX(0,MIN(1,1-Control!$C$156*(1.0001-$KH36)^2))</f>
        <v>#N/A</v>
      </c>
      <c r="GN36" s="162" t="e">
        <f ca="1">IF(Control!$B$26=1,$KU36,$KX36)</f>
        <v>#N/A</v>
      </c>
      <c r="GO36" s="162" t="e">
        <f ca="1">IF($CP36&lt;=60,Control!$C$105,IF($CP36&gt;=90,Control!$C$106,Control!$C$105+($CP36-60)*((Control!$C$106-Control!$C$105)/(90-60))))</f>
        <v>#N/A</v>
      </c>
      <c r="GP36" s="162" t="e">
        <f t="shared" ca="1" si="154"/>
        <v>#N/A</v>
      </c>
      <c r="GQ36" s="162" t="e">
        <f t="shared" ca="1" si="155"/>
        <v>#N/A</v>
      </c>
      <c r="GR36" s="163" t="e">
        <f t="shared" ca="1" si="44"/>
        <v>#DIV/0!</v>
      </c>
      <c r="GS36" s="162" t="e">
        <f t="shared" ca="1" si="45"/>
        <v>#DIV/0!</v>
      </c>
      <c r="GT36" s="164" t="e">
        <f t="shared" ca="1" si="156"/>
        <v>#N/A</v>
      </c>
      <c r="GU36" s="162" t="e">
        <f t="shared" ca="1" si="157"/>
        <v>#N/A</v>
      </c>
      <c r="GV36" s="162" t="e">
        <f t="shared" ca="1" si="46"/>
        <v>#N/A</v>
      </c>
      <c r="GW36" s="162" t="e">
        <f t="shared" ca="1" si="221"/>
        <v>#DIV/0!</v>
      </c>
      <c r="GX36" s="162" t="e">
        <f t="shared" ca="1" si="228"/>
        <v>#DIV/0!</v>
      </c>
      <c r="GY36" s="162" t="e">
        <f t="shared" ca="1" si="158"/>
        <v>#DIV/0!</v>
      </c>
      <c r="GZ36" s="165" t="e">
        <f t="shared" ca="1" si="159"/>
        <v>#N/A</v>
      </c>
      <c r="HA36" s="162" t="e">
        <f ca="1">IF(Control!$C$114=1, $DI36*$FS36, 0)</f>
        <v>#N/A</v>
      </c>
      <c r="HB36" s="162" t="e">
        <f ca="1">$FA36/Control!$C$64</f>
        <v>#N/A</v>
      </c>
      <c r="HC36" s="162" t="e">
        <f t="shared" ca="1" si="222"/>
        <v>#DIV/0!</v>
      </c>
      <c r="HD36" s="162">
        <f ca="1">-ASIN(SIN(23.45*Control!$C$139)*COS(2*Control!$C$138*($AH36+10)/365))</f>
        <v>-0.30771382535979663</v>
      </c>
      <c r="HE36" s="165">
        <f t="shared" ca="1" si="160"/>
        <v>0</v>
      </c>
      <c r="HF36" s="166">
        <f ca="1">IF(AND(Control!$C$61="T",$HE36&gt;=Control!$C$103,Control!$C$114=0),$AH36,Control!$C$59)</f>
        <v>1</v>
      </c>
      <c r="HG36" s="166">
        <f ca="1">IF(AND(Control!$C$61="T",$HE36&gt;=Control!$C$103,Control!$C$114=0),$HF36,Control!$C$59)</f>
        <v>1</v>
      </c>
      <c r="HH36" s="165">
        <f ca="1">IF(AND(OR(Control!$C$60&lt;=0, $AH36= Control!$C$59, Control!$C$60 &gt;0, $AH36 = Control!$C$60)), Control!$C$59, IF(Control!$C$60&gt;0, 0))</f>
        <v>1</v>
      </c>
      <c r="HI36" s="165">
        <f ca="1">IF(AND(OR(Control!$C$60&lt;=0, $AH36= Control!$C$59, Control!$C$60 &gt;0, $AH36 = Control!$C$60)), Control!$C$60, IF(Control!$C$60&lt;=0, 0))</f>
        <v>0</v>
      </c>
      <c r="HJ36" s="166">
        <f ca="1">IF(AND(Control!$C$62="F",$CV36&gt;=Control!$C$102),$AH36,0)</f>
        <v>0</v>
      </c>
      <c r="HK36" s="165" t="e">
        <f t="shared" ca="1" si="202"/>
        <v>#N/A</v>
      </c>
      <c r="HL36" s="166">
        <f ca="1">IF(AND(Control!$C$61="T",$HE36&gt;=Control!$C$103,Control!$C$114=0),$HF36,0)</f>
        <v>0</v>
      </c>
      <c r="HM36" s="201" t="e">
        <f t="shared" ca="1" si="47"/>
        <v>#DIV/0!</v>
      </c>
      <c r="HN36" s="215">
        <f t="shared" ca="1" si="161"/>
        <v>31</v>
      </c>
      <c r="HO36" s="216" t="e">
        <f ca="1">IF(AND($CP36&gt;=0, $CP36&lt;=90), Control!$C$152, Control!$C$152)</f>
        <v>#N/A</v>
      </c>
      <c r="HP36" s="216" t="e">
        <f t="shared" ca="1" si="48"/>
        <v>#N/A</v>
      </c>
      <c r="HQ36" s="217" t="e">
        <f ca="1">IF(OR(Control!$B$26=1,Control!$B$26=2),$KV36,$KS36)</f>
        <v>#DIV/0!</v>
      </c>
      <c r="HR36" s="218" t="e">
        <f t="shared" ca="1" si="223"/>
        <v>#DIV/0!</v>
      </c>
      <c r="HS36" s="216" t="e">
        <f ca="1">Control!$C$154*$HP36</f>
        <v>#N/A</v>
      </c>
      <c r="HT36" s="216" t="e">
        <f ca="1">Control!$C$155*$HP36</f>
        <v>#N/A</v>
      </c>
      <c r="HU36" s="217" t="e">
        <f ca="1">Control!$C$161*$FI36</f>
        <v>#N/A</v>
      </c>
      <c r="HV36" s="218" t="e">
        <f t="shared" ca="1" si="162"/>
        <v>#N/A</v>
      </c>
      <c r="HW36" s="218" t="e">
        <f ca="1">Control!$C$160*$FF36+$IP36*$EO36</f>
        <v>#N/A</v>
      </c>
      <c r="HX36" s="218" t="e">
        <f t="shared" ca="1" si="203"/>
        <v>#N/A</v>
      </c>
      <c r="HY36" s="219" t="e">
        <f ca="1">IF(Control!$C$114=1, $EB36*$FS36, 0)</f>
        <v>#N/A</v>
      </c>
      <c r="HZ36" s="91" t="e">
        <f t="shared" ca="1" si="49"/>
        <v>#N/A</v>
      </c>
      <c r="IA36" s="220" t="e">
        <f ca="1">Control!$C$153*$HO36</f>
        <v>#N/A</v>
      </c>
      <c r="IB36" s="218" t="e">
        <f t="shared" ca="1" si="50"/>
        <v>#N/A</v>
      </c>
      <c r="IC36" s="220" t="e">
        <f ca="1">Control!$C$153*$HT36</f>
        <v>#N/A</v>
      </c>
      <c r="ID36" s="218" t="e">
        <f t="shared" ca="1" si="51"/>
        <v>#N/A</v>
      </c>
      <c r="IE36" s="221" t="e">
        <f ca="1">($EB36*Control!$C$159+$EF36*Control!$C$160)/(IF($GZ36&lt;&gt;0,$GZ36,1))</f>
        <v>#N/A</v>
      </c>
      <c r="IF36" s="216" t="e">
        <f t="shared" ca="1" si="52"/>
        <v>#N/A</v>
      </c>
      <c r="IG36" s="91">
        <f ca="1">IF(OR(Control!$B$198=$AH36,Control!$B$199=$AH36, Control!$B$200=$AH36, Control!$B$201=$AH36, Control!$B$202=$AH36, Control!$B$203=$AH36, Control!$B$204=$AH36, Control!$B$205=$AH36, Control!$B$206=$AH36, Control!$B$207=$AH36), 1, 0)</f>
        <v>0</v>
      </c>
      <c r="IH36" s="91">
        <f ca="1">IF($IG36=0,0, VLOOKUP($AH36,Control!$B$198:$C$207,2))</f>
        <v>0</v>
      </c>
      <c r="II36" s="222">
        <f t="shared" ca="1" si="163"/>
        <v>0</v>
      </c>
      <c r="IJ36" s="91">
        <f>Control!$C$121</f>
        <v>0.7</v>
      </c>
      <c r="IK36" s="218">
        <f t="shared" ca="1" si="53"/>
        <v>0</v>
      </c>
      <c r="IL36" s="217" t="e">
        <f t="shared" ca="1" si="204"/>
        <v>#N/A</v>
      </c>
      <c r="IM36" s="223" t="e">
        <f ca="1">IF(AND(Control!$C$114=1,$KH36&lt;1),$EB36*Control!$C$148*(1-$KH36), 0)</f>
        <v>#N/A</v>
      </c>
      <c r="IN36" s="217" t="e">
        <f t="shared" ca="1" si="54"/>
        <v>#DIV/0!</v>
      </c>
      <c r="IO36" s="91" t="e">
        <f ca="1">MAX(0,$IL36-$EF36*Control!$C$160)</f>
        <v>#N/A</v>
      </c>
      <c r="IP36" s="220" t="e">
        <f t="shared" ca="1" si="55"/>
        <v>#N/A</v>
      </c>
      <c r="IQ36" s="217" t="e">
        <f t="shared" ca="1" si="164"/>
        <v>#N/A</v>
      </c>
      <c r="IR36" s="218" t="e">
        <f t="shared" ca="1" si="56"/>
        <v>#N/A</v>
      </c>
      <c r="IS36" s="217" t="e">
        <f ca="1">Control!$C$159*MAX(0,$FD36-$EN36)</f>
        <v>#N/A</v>
      </c>
      <c r="IT36" s="217" t="e">
        <f t="shared" ca="1" si="205"/>
        <v>#N/A</v>
      </c>
      <c r="IU36" s="217" t="e">
        <f t="shared" ca="1" si="165"/>
        <v>#N/A</v>
      </c>
      <c r="IV36" s="217" t="e">
        <f t="shared" ca="1" si="206"/>
        <v>#N/A</v>
      </c>
      <c r="IW36" s="217" t="e">
        <f ca="1">IF(OR($AW36=1,AND($AW36=0, Control!$B$18=1,$EN36&lt;&gt;0)), $IQ36-$IU36, $IQ36)</f>
        <v>#N/A</v>
      </c>
      <c r="IX36" s="218" t="e">
        <f t="shared" ca="1" si="57"/>
        <v>#N/A</v>
      </c>
      <c r="IY36" s="218" t="e">
        <f ca="1">MAX(0,$IQ36-$EB36*Control!$C$159)</f>
        <v>#N/A</v>
      </c>
      <c r="IZ36" s="218" t="e">
        <f t="shared" ca="1" si="58"/>
        <v>#N/A</v>
      </c>
      <c r="JA36" s="216" t="e">
        <f t="shared" ca="1" si="59"/>
        <v>#N/A</v>
      </c>
      <c r="JB36" s="217" t="e">
        <f t="shared" ca="1" si="60"/>
        <v>#N/A</v>
      </c>
      <c r="JC36" s="222" t="e">
        <f ca="1">MAX(Control!$C$157*$EK36-$JT36, 0)/Control!$C$162</f>
        <v>#N/A</v>
      </c>
      <c r="JD36" s="218" t="e">
        <f t="shared" ca="1" si="61"/>
        <v>#N/A</v>
      </c>
      <c r="JE36" s="218" t="e">
        <f t="shared" ca="1" si="62"/>
        <v>#N/A</v>
      </c>
      <c r="JF36" s="218" t="e">
        <f t="shared" ca="1" si="207"/>
        <v>#N/A</v>
      </c>
      <c r="JG36" s="218" t="e">
        <f t="shared" ca="1" si="63"/>
        <v>#N/A</v>
      </c>
      <c r="JH36" s="217" t="e">
        <f t="shared" ca="1" si="166"/>
        <v>#N/A</v>
      </c>
      <c r="JI36" s="217" t="e">
        <f t="shared" ca="1" si="167"/>
        <v>#N/A</v>
      </c>
      <c r="JJ36" s="217" t="e">
        <f t="shared" ca="1" si="224"/>
        <v>#N/A</v>
      </c>
      <c r="JK36" s="217" t="e">
        <f ca="1">IF(Control!$C$114=1,IF(Control!$B$24=0,MAX(0,$JI36)*$GN36/Control!$C$64,(MAX(0,MIN($JI36,$JJ36*$GN36/Control!$C$64),0))))</f>
        <v>#N/A</v>
      </c>
      <c r="JL36" s="217" t="e">
        <f ca="1">$IK36/Control!$C$64-$JK36+$HQ36</f>
        <v>#N/A</v>
      </c>
      <c r="JM36" s="217" t="e">
        <f ca="1">IF(Control!$C$114=1,($JB36/(IF($JI36&lt;&gt;0,$JI36,1)))*$JK36,0)</f>
        <v>#N/A</v>
      </c>
      <c r="JN36" s="217" t="e">
        <f ca="1">IF(Control!$C$114=1,($JG36/(IF($JI36&lt;&gt;0,$JI36,1)))*$JK36, 0)</f>
        <v>#N/A</v>
      </c>
      <c r="JO36" s="218" t="e">
        <f t="shared" ca="1" si="64"/>
        <v>#N/A</v>
      </c>
      <c r="JP36" s="218" t="e">
        <f ca="1">MIN(($IY36+$IO36)*Control!$C$151, $JF36-$EH36*Control!$C$161)</f>
        <v>#N/A</v>
      </c>
      <c r="JQ36" s="218" t="e">
        <f t="shared" ca="1" si="65"/>
        <v>#N/A</v>
      </c>
      <c r="JR36" s="217" t="e">
        <f ca="1">IF($CP36-Control!$C$150&lt;0, 0, $JQ36/Control!$C$162)</f>
        <v>#N/A</v>
      </c>
      <c r="JS36" s="218" t="e">
        <f t="shared" ca="1" si="66"/>
        <v>#N/A</v>
      </c>
      <c r="JT36" s="218" t="e">
        <f t="shared" ca="1" si="168"/>
        <v>#N/A</v>
      </c>
      <c r="JU36" s="218" t="e">
        <f t="shared" ca="1" si="67"/>
        <v>#N/A</v>
      </c>
      <c r="JV36" s="218" t="e">
        <f t="shared" ca="1" si="68"/>
        <v>#N/A</v>
      </c>
      <c r="JW36" s="216" t="e">
        <f t="shared" ca="1" si="69"/>
        <v>#N/A</v>
      </c>
      <c r="JX36" s="91" t="e">
        <f t="shared" ca="1" si="70"/>
        <v>#N/A</v>
      </c>
      <c r="JY36" s="218" t="e">
        <f t="shared" ca="1" si="71"/>
        <v>#N/A</v>
      </c>
      <c r="JZ36" s="217" t="e">
        <f ca="1">IF(Control!$C$114=1,($IZ36/(IF($JI36&lt;&gt;0,$JI36,1)))*$JK36, 0)</f>
        <v>#N/A</v>
      </c>
      <c r="KA36" s="218" t="e">
        <f t="shared" ca="1" si="225"/>
        <v>#N/A</v>
      </c>
      <c r="KB36" s="218" t="e">
        <f t="shared" ca="1" si="169"/>
        <v>#N/A</v>
      </c>
      <c r="KC36" s="218" t="e">
        <f t="shared" ca="1" si="72"/>
        <v>#N/A</v>
      </c>
      <c r="KD36" s="218" t="e">
        <f t="shared" ca="1" si="73"/>
        <v>#N/A</v>
      </c>
      <c r="KE36" s="218" t="e">
        <f t="shared" ca="1" si="74"/>
        <v>#N/A</v>
      </c>
      <c r="KF36" s="218" t="e">
        <f t="shared" ca="1" si="75"/>
        <v>#N/A</v>
      </c>
      <c r="KG36" s="216" t="e">
        <f t="shared" ca="1" si="76"/>
        <v>#N/A</v>
      </c>
      <c r="KH36" s="221" t="e">
        <f ca="1">IF(Control!$B$24=0,1,MAX(0.001,MIN(1,IF(($IF36-$IE36)&lt;&gt;0,($KG36-$IE36)/($IF36-$IE36),1))))</f>
        <v>#N/A</v>
      </c>
      <c r="KI36" s="222" t="e">
        <f ca="1">IF(Control!$C$114=1, $KI35+ $KH35, 0)</f>
        <v>#N/A</v>
      </c>
      <c r="KJ36" s="217" t="e">
        <f t="shared" ca="1" si="77"/>
        <v>#N/A</v>
      </c>
      <c r="KK36" s="218" t="e">
        <f t="shared" ca="1" si="78"/>
        <v>#N/A</v>
      </c>
      <c r="KL36" s="274" t="e">
        <f ca="1">IF(Control!$B$26=3,4000000000*EXP(-8400/($G36+273)),IF(Control!$B$26=4,4000000000*EXP(-8400/($G36+273))*($KT36),0))</f>
        <v>#DIV/0!</v>
      </c>
      <c r="KM36" s="274" t="e">
        <f ca="1">IF(Control!$B$26=3,5600000000000*EXP(-9800/($G36+273)),IF(Control!$B$26=4,5600000000000*EXP(-9800/($G36+273))*$KT36,0))</f>
        <v>#DIV/0!</v>
      </c>
      <c r="KN36" s="454" t="e">
        <f t="shared" ca="1" si="170"/>
        <v>#DIV/0!</v>
      </c>
      <c r="KO36" s="274" t="e">
        <f t="shared" ca="1" si="171"/>
        <v>#DIV/0!</v>
      </c>
      <c r="KP36" s="454" t="e">
        <f t="shared" ca="1" si="79"/>
        <v>#DIV/0!</v>
      </c>
      <c r="KQ36" s="454" t="e">
        <f t="shared" ca="1" si="80"/>
        <v>#DIV/0!</v>
      </c>
      <c r="KR36" s="454" t="e">
        <f t="shared" ca="1" si="81"/>
        <v>#DIV/0!</v>
      </c>
      <c r="KS36" s="454" t="e">
        <f t="shared" ca="1" si="82"/>
        <v>#DIV/0!</v>
      </c>
      <c r="KT36" s="455" t="e">
        <f t="shared" ca="1" si="83"/>
        <v>#DIV/0!</v>
      </c>
      <c r="KU36" s="456" t="e">
        <f ca="1">IF($CP36-Control!$C$149&lt;0, IF($NT36-0.01&lt;0,0,1),0)</f>
        <v>#N/A</v>
      </c>
      <c r="KV36" s="456" t="e">
        <f ca="1">IF(Control!$C$114=1,MAX(0,MIN(Control!$C$125*$KW36*$GN36,$KW36)))</f>
        <v>#DIV/0!</v>
      </c>
      <c r="KW36" s="456" t="e">
        <f t="shared" ca="1" si="208"/>
        <v>#DIV/0!</v>
      </c>
      <c r="KX36" s="457" t="e">
        <f ca="1">IF($CP36-Control!$C$149&lt;0, IF($MR36-$OM36&lt;0,0,1),0)</f>
        <v>#N/A</v>
      </c>
      <c r="KY36" s="167">
        <f t="shared" ca="1" si="172"/>
        <v>31</v>
      </c>
      <c r="KZ36" s="168">
        <f ca="1">1370*(1+0.033*COS(2*Control!$C$138*$AH36/365))</f>
        <v>1408.9240188307206</v>
      </c>
      <c r="LA36" s="169">
        <f t="shared" ca="1" si="173"/>
        <v>1.0284117135243369</v>
      </c>
      <c r="LB36" s="169">
        <f t="shared" ca="1" si="174"/>
        <v>-0.30898412805441511</v>
      </c>
      <c r="LC36" s="169">
        <f ca="1">ACOS(-TAN((2*Control!$B$8/360))*TAN(Calculations!$LB36))</f>
        <v>1.4757838938820063</v>
      </c>
      <c r="LD36" s="169">
        <f ca="1">((24*60)/PI())*0.082*$LA36*(($LC36*SIN(Control!$B$8*2*PI()/360))*SIN($LB36)+COS(Control!$B$8*2*PI()/360)*COS($LB36)*SIN($LC36))</f>
        <v>8.8990049317000555</v>
      </c>
      <c r="LE36" s="170">
        <f t="shared" ca="1" si="84"/>
        <v>10.014683441498804</v>
      </c>
      <c r="LF36" s="170">
        <f ca="1">SIN(Control!$C$139*Control!$B$8)*SIN($HD36)</f>
        <v>-0.23867359734413485</v>
      </c>
      <c r="LG36" s="170">
        <f ca="1">COS(Control!$C$139*Control!$B$8)*COS($HD36)</f>
        <v>0.58674133718535593</v>
      </c>
      <c r="LH36" s="170">
        <f ca="1">12*(1+2*ASIN(MAX(-1,MIN(1,$LF36/$LG36))/Control!$C$138))</f>
        <v>8.8837011819570044</v>
      </c>
      <c r="LI36" s="170">
        <f ca="1">12*(1+2*ASIN(MAX(-1,MIN(1,(-SIN(-4*Control!$C$139)+$LF36)/$LG36))/Control!$C$138))</f>
        <v>9.7975977634435427</v>
      </c>
      <c r="LJ36" s="168">
        <f ca="1">3600*($LH36*$LF36+24*$LG36*SQRT(1-$LK36*$LK36)/Control!$C$138)</f>
        <v>7108.0365638241328</v>
      </c>
      <c r="LK36" s="170">
        <f t="shared" ca="1" si="85"/>
        <v>-0.40677822102848721</v>
      </c>
      <c r="LL36" s="170">
        <f t="shared" ca="1" si="86"/>
        <v>0</v>
      </c>
      <c r="LM36" s="171">
        <f ca="1">Control!$C$145*$AB36</f>
        <v>6.6660906138995932E-2</v>
      </c>
      <c r="LN36" s="170">
        <f t="shared" ca="1" si="175"/>
        <v>0.54</v>
      </c>
      <c r="LO36" s="170">
        <f t="shared" ca="1" si="87"/>
        <v>0</v>
      </c>
      <c r="LP36" s="170">
        <f ca="1">Control!$C$140*((($D36+273.16)^4+($E36+273.16)^4)/2)*(0.34-0.14*SQRT($Y36))*(1.35*$AQ36/(0.75*$LD36)-0.35)</f>
        <v>-3.2464704755046001</v>
      </c>
      <c r="LQ36" s="170">
        <f ca="1">Control!$C$140*($G36+273)^4*(0.56-0.079*SQRT($Y36*10))*(0.1+0.9*$LO36)</f>
        <v>1.5241745131704001</v>
      </c>
      <c r="LR36" s="170">
        <f ca="1">$AQ36*(1-Control!$C$142)-$LQ36</f>
        <v>-1.5241745131704001</v>
      </c>
      <c r="LS36" s="170">
        <f ca="1">$AQ36*(1-Control!$C$143)-$LQ36</f>
        <v>-1.5241745131704001</v>
      </c>
      <c r="LT36" s="170">
        <f ca="1">$AQ36*(1-Control!$C$144)-$LQ36</f>
        <v>-1.5241745131704001</v>
      </c>
      <c r="LU36" s="169">
        <f ca="1">(1-Control!$C$144)*AQ36-LP36</f>
        <v>3.2464704755046001</v>
      </c>
      <c r="LV36" s="172">
        <f t="shared" ca="1" si="88"/>
        <v>0.79430000000000012</v>
      </c>
      <c r="LW36" s="170">
        <f t="shared" ca="1" si="89"/>
        <v>1.5886000000000002</v>
      </c>
      <c r="LX36" s="170">
        <f ca="1">($AC36*($LR36/Control!$C$141)+$LM36*$LV36)/($AC36+$LM36)</f>
        <v>0.23530094218323697</v>
      </c>
      <c r="LY36" s="170">
        <f ca="1">($AC36*($LS36/Control!$C$141)+$LM36*$LV36)/($AC36+$LM36)</f>
        <v>0.23530094218323697</v>
      </c>
      <c r="LZ36" s="170">
        <f t="shared" ca="1" si="90"/>
        <v>0.23530094218323697</v>
      </c>
      <c r="MA36" s="170">
        <f t="shared" ca="1" si="91"/>
        <v>0.23530094218323697</v>
      </c>
      <c r="MB36" s="170" t="e">
        <f t="shared" ca="1" si="92"/>
        <v>#N/A</v>
      </c>
      <c r="MC36" s="170">
        <f t="shared" ca="1" si="176"/>
        <v>0.6018</v>
      </c>
      <c r="MD36" s="170">
        <f t="shared" ca="1" si="93"/>
        <v>0.52989392535414004</v>
      </c>
      <c r="ME36" s="170">
        <f ca="1">($AC36*($LT36/Control!$C$141)+$LM36*$LW36)/($AC36+$LM36)</f>
        <v>0.71612369323045078</v>
      </c>
      <c r="MF36" s="170" t="e">
        <f ca="1">IF(Control!$B$16&gt;=1000,0.92,IF(AND(720&lt;=Control!$B$16,1000&gt;Control!$B$16),(0.95+(Control!$B$16-720)*((0.92-0.95)/(1000-720))),IF(AND(360&lt;=Control!$B$16,720&gt;Control!$B$16),(1+(Control!$B$16-360)*((0.95-1)/(720-360))),IF(AND(40&lt;=Control!$B$16,360&gt;Control!$B$16),(1.05+(Control!$B$16-40)*((1.05-1)/(360-40)))))))</f>
        <v>#N/A</v>
      </c>
      <c r="MG36" s="170">
        <f t="shared" ca="1" si="94"/>
        <v>0.71612369323045078</v>
      </c>
      <c r="MH36" s="170" t="e">
        <f t="shared" ca="1" si="230"/>
        <v>#N/A</v>
      </c>
      <c r="MI36" s="170" t="e">
        <f t="shared" ca="1" si="230"/>
        <v>#N/A</v>
      </c>
      <c r="MJ36" s="170" t="e">
        <f ca="1">MAX(0.0001, Control!$C$132*$MI36*$DL36)</f>
        <v>#N/A</v>
      </c>
      <c r="MK36" s="170">
        <f ca="1">1/(0.76+1.5*($MG36/10))-(5-Control!$C$110)*0.1</f>
        <v>1.002845988140797</v>
      </c>
      <c r="ML36" s="173">
        <f ca="1">IF(Control!$C$110&lt;3,$MK36+($MG36-0.6)/(Control!$C$110*(Control!$C$110+3)), MAX(0.1, MIN(0.95,$MK36)))</f>
        <v>0.95</v>
      </c>
      <c r="MM36" s="173">
        <f ca="1">IF(Control!$C$110&lt;3,$MK36+(($MI36/10)-0.6)/(Control!$C$110*(Control!$C$110+3)), MAX(0.1, MIN(0.95,$MK36)))</f>
        <v>0.95</v>
      </c>
      <c r="MN36" s="173">
        <f ca="1">(1-$MM36)*(Control!$C$128-Control!$C$127)+Control!$C$127</f>
        <v>0.16</v>
      </c>
      <c r="MO36" s="170" t="e">
        <f ca="1">MAX(0,MIN(1,($MS36-Control!$C$127)/($MN36-Control!$C$127)))</f>
        <v>#DIV/0!</v>
      </c>
      <c r="MP36" s="173" t="e">
        <f ca="1">1/(0.76+1.5*$MI36)-(5-Control!$C$110)*0.1</f>
        <v>#N/A</v>
      </c>
      <c r="MQ36" s="172" t="e">
        <f t="shared" ca="1" si="209"/>
        <v>#DIV/0!</v>
      </c>
      <c r="MR36" s="168" t="e">
        <f t="shared" ca="1" si="226"/>
        <v>#DIV/0!</v>
      </c>
      <c r="MS36" s="173" t="e">
        <f ca="1">MAX(Control!$C$127, MIN(Control!$C$135, $MR36/MAX(0.0001,$CY36)))</f>
        <v>#DIV/0!</v>
      </c>
      <c r="MT36" s="168" t="e">
        <f ca="1">(Control!$C$128-$MS36)*Control!$C$74</f>
        <v>#DIV/0!</v>
      </c>
      <c r="MU36" s="168" t="e">
        <f ca="1">(Control!$C$135-$MS36)*Control!$C$74</f>
        <v>#DIV/0!</v>
      </c>
      <c r="MV36" s="168" t="e">
        <f t="shared" ca="1" si="210"/>
        <v>#DIV/0!</v>
      </c>
      <c r="MW36" s="168" t="e">
        <f t="shared" ca="1" si="177"/>
        <v>#DIV/0!</v>
      </c>
      <c r="MX36" s="171" t="e">
        <f ca="1">MAX(Control!$C$127, MIN(Control!$C$135, $MW36/MAX(0.0001,Control!$C$119-$CY36)))</f>
        <v>#DIV/0!</v>
      </c>
      <c r="MY36" s="54" t="e">
        <f ca="1">IF(Control!$C$114=1, $CX36*$MX36, 0)</f>
        <v>#DIV/0!</v>
      </c>
      <c r="MZ36" s="54" t="e">
        <f t="shared" ca="1" si="178"/>
        <v>#N/A</v>
      </c>
      <c r="NA36" s="168" t="e">
        <f ca="1">(Control!$C$128-$MX36)*(Control!$C$119-Control!$C$74)</f>
        <v>#DIV/0!</v>
      </c>
      <c r="NB36" s="168" t="e">
        <f ca="1">(Control!$C$135-$MX36)*(Control!$C$119-Control!$C$74)</f>
        <v>#DIV/0!</v>
      </c>
      <c r="NC36" s="174" t="e">
        <f t="shared" ca="1" si="179"/>
        <v>#DIV/0!</v>
      </c>
      <c r="ND36" s="54">
        <f ca="1">IF(Control!$C$58=2, IF(OR(Control!$B$218=$AH36,Control!$B$219=$AH36, Control!$B$220=$AH36, Control!$B$221=$AH36, Control!$B$222=$AH36, Control!$B$223=$AH36, Control!$B$224=$AH36, Control!$B$225=$AH36, Control!$B$226=$AH36, Control!$B$227=$AH36, Control!$B$228=$AH36), 1, 0), 0)</f>
        <v>0</v>
      </c>
      <c r="NE36" s="54">
        <f ca="1">IF($ND36=0,0, VLOOKUP($AH36,Control!$B$218:$C$228,2))</f>
        <v>0</v>
      </c>
      <c r="NF36" s="168" t="e">
        <f ca="1">$CY36*(Control!$C$128-Control!$C$127)</f>
        <v>#N/A</v>
      </c>
      <c r="NG36" s="54" t="e">
        <f ca="1">IF(Control!$C$58=2, $NI35-$NJ35, 0)</f>
        <v>#DIV/0!</v>
      </c>
      <c r="NH36" s="54" t="e">
        <f ca="1">IF(AND(Control!$C$58=1, $MS35&lt;= ($MN35+0.02), $I35&lt;10), 0, IF(Control!$C$58=2, $NG35, 0))</f>
        <v>#DIV/0!</v>
      </c>
      <c r="NI36" s="54" t="e">
        <f ca="1">IF(Control!$C$58=2, $NE36+$NH36,0)</f>
        <v>#DIV/0!</v>
      </c>
      <c r="NJ36" s="54" t="e">
        <f ca="1">IF(AND(Control!$C$58=1, $MS36&lt;= ($MN36+0.02), $I36&lt;10), MAX(0, MIN(10, 0.7*($NF36-$MV36))), IF(Control!$C$58=2, MIN(10,$NI36),0))</f>
        <v>#DIV/0!</v>
      </c>
      <c r="NK36" s="54" t="e">
        <f t="shared" ca="1" si="96"/>
        <v>#DIV/0!</v>
      </c>
      <c r="NL36" s="173" t="e">
        <f ca="1">(1-Control!$C$73)*$I36+$NJ36</f>
        <v>#DIV/0!</v>
      </c>
      <c r="NM36" s="172" t="e">
        <f ca="1">IF($NL36&lt;0.5, $MB36* MAX(0, MIN(1, (SQRT($NC36)-SQRT($NC36-1))*Control!$C$71)),0)</f>
        <v>#DIV/0!</v>
      </c>
      <c r="NN36" s="170" t="e">
        <f ca="1">IF($NL36&gt;=5, $MB36, MAX(0,MIN($MB36, $NM36+$NL36,($MS36-Control!$C$129))))</f>
        <v>#DIV/0!</v>
      </c>
      <c r="NO36" s="54">
        <f>IF(Control!$C$133&lt;&gt;1, Control!$C$135-Control!$C$131, 0)</f>
        <v>0.38</v>
      </c>
      <c r="NP36" s="54" t="e">
        <f t="shared" ca="1" si="97"/>
        <v>#DIV/0!</v>
      </c>
      <c r="NQ36" s="173" t="e">
        <f ca="1">MAX(0,MIN(1,(Control!$C$135-$MS36)/(Control!$C$135-$NO36)))</f>
        <v>#DIV/0!</v>
      </c>
      <c r="NR36" s="170" t="e">
        <f ca="1">IF(Control!$C$133&lt;&gt;1, $NQ36+((1-$NP36/4)*(1-$NQ36)),1)</f>
        <v>#DIV/0!</v>
      </c>
      <c r="NS36" s="170" t="e">
        <f ca="1">IF(Control!$B$31=0,$MJ36,MAX(0,MIN($MV36,$MO36*$NR36*$MJ36)))</f>
        <v>#DIV/0!</v>
      </c>
      <c r="NT36" s="170" t="e">
        <f t="shared" ca="1" si="227"/>
        <v>#DIV/0!</v>
      </c>
      <c r="NU36" s="170" t="e">
        <f t="shared" ca="1" si="180"/>
        <v>#N/A</v>
      </c>
      <c r="NV36" s="170" t="e">
        <f t="shared" ca="1" si="98"/>
        <v>#N/A</v>
      </c>
      <c r="NW36" s="175" t="e">
        <f t="shared" ca="1" si="99"/>
        <v>#DIV/0!</v>
      </c>
      <c r="NX36" s="170" t="e">
        <f ca="1">MIN(Control!$C$72+$MU36, $NW36)</f>
        <v>#DIV/0!</v>
      </c>
      <c r="NY36" s="170" t="e">
        <f ca="1">IF($MT36&lt;=$NX36,MIN(Control!$C$72+$NB36,$NX36-$MT36),0)</f>
        <v>#DIV/0!</v>
      </c>
      <c r="NZ36" s="54" t="e">
        <f ca="1">IF(Control!$C$114=1,  $CX36*($MX36-Control!$C$127), 0)</f>
        <v>#DIV/0!</v>
      </c>
      <c r="OA36" s="170" t="e">
        <f t="shared" ca="1" si="181"/>
        <v>#DIV/0!</v>
      </c>
      <c r="OB36" s="170" t="e">
        <f ca="1">IF($NA36 &lt;=$NY36, MIN(Control!$C$72, $NY36-$NA36), 0)</f>
        <v>#DIV/0!</v>
      </c>
      <c r="OC36" s="168" t="e">
        <f t="shared" ca="1" si="100"/>
        <v>#DIV/0!</v>
      </c>
      <c r="OD36" s="168" t="e">
        <f t="shared" ca="1" si="182"/>
        <v>#DIV/0!</v>
      </c>
      <c r="OE36" s="170">
        <f ca="1">Control!$C$73*$I36</f>
        <v>0</v>
      </c>
      <c r="OF36" s="176" t="e">
        <f t="shared" ca="1" si="101"/>
        <v>#DIV/0!</v>
      </c>
      <c r="OG36" s="168" t="e">
        <f t="shared" ca="1" si="102"/>
        <v>#DIV/0!</v>
      </c>
      <c r="OH36" s="168" t="e">
        <f t="shared" ca="1" si="103"/>
        <v>#DIV/0!</v>
      </c>
      <c r="OI36" s="168" t="e">
        <f t="shared" ca="1" si="104"/>
        <v>#DIV/0!</v>
      </c>
      <c r="OJ36" s="168" t="e">
        <f t="shared" ca="1" si="105"/>
        <v>#DIV/0!</v>
      </c>
      <c r="OK36" s="204" t="e">
        <f t="shared" ca="1" si="183"/>
        <v>#DIV/0!</v>
      </c>
      <c r="OL36" s="177">
        <f>Control!$C$127</f>
        <v>0.15</v>
      </c>
      <c r="OM36" s="182" t="e">
        <f t="shared" ca="1" si="106"/>
        <v>#N/A</v>
      </c>
      <c r="ON36" s="177">
        <f>Control!$C$128</f>
        <v>0.35</v>
      </c>
      <c r="OO36" s="182" t="e">
        <f t="shared" ca="1" si="107"/>
        <v>#N/A</v>
      </c>
      <c r="OP36" s="138">
        <f t="shared" ca="1" si="184"/>
        <v>0</v>
      </c>
      <c r="OQ36" s="138" t="e">
        <f t="shared" ca="1" si="211"/>
        <v>#DIV/0!</v>
      </c>
      <c r="OR36" s="138" t="e">
        <f t="shared" ca="1" si="185"/>
        <v>#DIV/0!</v>
      </c>
      <c r="OS36" s="137" t="e">
        <f t="shared" ca="1" si="212"/>
        <v>#DIV/0!</v>
      </c>
      <c r="OT36" s="139" t="e">
        <f t="shared" ca="1" si="213"/>
        <v>#DIV/0!</v>
      </c>
      <c r="OU36" s="138" t="e">
        <f t="shared" ca="1" si="214"/>
        <v>#N/A</v>
      </c>
      <c r="OV36" s="138" t="e">
        <f t="shared" ca="1" si="215"/>
        <v>#DIV/0!</v>
      </c>
      <c r="OW36" s="138" t="e">
        <f t="shared" ca="1" si="186"/>
        <v>#DIV/0!</v>
      </c>
      <c r="OX36" s="138" t="e">
        <f t="shared" ca="1" si="187"/>
        <v>#DIV/0!</v>
      </c>
      <c r="OY36" s="138" t="e">
        <f t="shared" ca="1" si="188"/>
        <v>#DIV/0!</v>
      </c>
      <c r="OZ36" s="138" t="e">
        <f t="shared" ca="1" si="108"/>
        <v>#DIV/0!</v>
      </c>
      <c r="PA36" s="138" t="e">
        <f t="shared" ca="1" si="109"/>
        <v>#DIV/0!</v>
      </c>
      <c r="PB36" s="55">
        <f>IF(Control!$C$61="T", IF(Control!$C$65="F", IF($AH$6-Control!$C$60&lt;0,0,1), IF(365+$AH$6-Control!$C$60&lt;0,0,1)),0)</f>
        <v>0</v>
      </c>
      <c r="PC36" s="55">
        <f ca="1">IF(Control!$C$65="F", IF($AH$6-$HF36&lt;0,0,1), IF(365+$AH$6-$HF36&lt;0,0,1))</f>
        <v>1</v>
      </c>
      <c r="PD36" s="444">
        <f>Control!$C$118</f>
        <v>1500</v>
      </c>
      <c r="PE36" s="180" t="e">
        <f t="shared" ca="1" si="110"/>
        <v>#N/A</v>
      </c>
      <c r="PF36" s="445">
        <f t="shared" ca="1" si="189"/>
        <v>0.71612369323045078</v>
      </c>
      <c r="PT36" s="186"/>
      <c r="PU36" s="186"/>
      <c r="PV36" s="94"/>
      <c r="PW36" s="94"/>
      <c r="PX36" s="94"/>
      <c r="PY36" s="94"/>
      <c r="PZ36" s="94"/>
      <c r="QA36" s="94"/>
      <c r="QB36" s="94"/>
      <c r="QC36" s="94"/>
      <c r="QD36" s="94"/>
      <c r="QE36" s="94"/>
      <c r="QF36" s="94"/>
      <c r="QG36" s="94"/>
      <c r="QH36" s="94"/>
      <c r="QI36" s="94"/>
      <c r="QJ36" s="94"/>
      <c r="QK36" s="94"/>
      <c r="QL36" s="94"/>
      <c r="QM36" s="94"/>
      <c r="QN36" s="94"/>
      <c r="QO36" s="94"/>
      <c r="QP36" s="94"/>
    </row>
    <row r="37" spans="1:458" s="2" customFormat="1" x14ac:dyDescent="0.2">
      <c r="A37" s="395">
        <v>1</v>
      </c>
      <c r="B37" s="396">
        <v>2</v>
      </c>
      <c r="C37" s="387">
        <f ca="1">Weather_data!$B36</f>
        <v>0</v>
      </c>
      <c r="D37" s="388">
        <f ca="1">Weather_data!$F36</f>
        <v>0</v>
      </c>
      <c r="E37" s="388">
        <f ca="1">Weather_data!$E36</f>
        <v>0</v>
      </c>
      <c r="F37" s="388">
        <f t="shared" ca="1" si="111"/>
        <v>0</v>
      </c>
      <c r="G37" s="388">
        <f ca="1">AVERAGE($D37:$E37)+Control!$B$9</f>
        <v>0</v>
      </c>
      <c r="H37" s="388">
        <f ca="1">Weather_data!$G36</f>
        <v>0</v>
      </c>
      <c r="I37" s="388">
        <f ca="1">Weather_data!$I36</f>
        <v>0</v>
      </c>
      <c r="J37" s="388">
        <f ca="1">Weather_data!$H36</f>
        <v>0</v>
      </c>
      <c r="K37" s="389">
        <f ca="1">Weather_data!$D36</f>
        <v>0</v>
      </c>
      <c r="L37" s="388" t="e">
        <f t="shared" ca="1" si="112"/>
        <v>#N/A</v>
      </c>
      <c r="M37" s="388" t="e">
        <f t="shared" ca="1" si="0"/>
        <v>#N/A</v>
      </c>
      <c r="N37" s="388">
        <f t="shared" ca="1" si="1"/>
        <v>-1.9076021223847286E-2</v>
      </c>
      <c r="O37" s="388">
        <f t="shared" ca="1" si="113"/>
        <v>0.19076021223847286</v>
      </c>
      <c r="P37" s="390">
        <v>3</v>
      </c>
      <c r="Q37" s="388">
        <f ca="1">MAX($G37-Control!$C$107,0)</f>
        <v>0</v>
      </c>
      <c r="R37" s="388">
        <f t="shared" ca="1" si="114"/>
        <v>0</v>
      </c>
      <c r="S37" s="388">
        <f t="shared" ca="1" si="2"/>
        <v>0</v>
      </c>
      <c r="T37" s="388">
        <f t="shared" ca="1" si="3"/>
        <v>0</v>
      </c>
      <c r="U37" s="59">
        <f t="shared" ca="1" si="4"/>
        <v>0</v>
      </c>
      <c r="V37" s="391">
        <f ca="1">MAX(0,MIN(Control!$C$100-Control!$C$99,$G37-Control!$C$99)*Control!$C$63)</f>
        <v>0</v>
      </c>
      <c r="W37" s="388">
        <f t="shared" ca="1" si="190"/>
        <v>0</v>
      </c>
      <c r="X37" s="388">
        <f t="shared" ca="1" si="115"/>
        <v>0.6110000000000001</v>
      </c>
      <c r="Y37" s="388">
        <f t="shared" ca="1" si="116"/>
        <v>0</v>
      </c>
      <c r="Z37" s="388">
        <f t="shared" ca="1" si="117"/>
        <v>0.61058800000000002</v>
      </c>
      <c r="AA37" s="388">
        <f t="shared" ca="1" si="5"/>
        <v>0.6018</v>
      </c>
      <c r="AB37" s="388">
        <f ca="1">101.3*EXP(-0.034*Control!$C$66/($G37+273))</f>
        <v>100.69623283836242</v>
      </c>
      <c r="AC37" s="392">
        <f t="shared" ca="1" si="6"/>
        <v>4.3460251046025113E-2</v>
      </c>
      <c r="AD37" s="392">
        <f t="shared" ca="1" si="7"/>
        <v>4.4450382862832649E-2</v>
      </c>
      <c r="AE37" s="388">
        <f t="shared" ca="1" si="8"/>
        <v>0</v>
      </c>
      <c r="AF37" s="388">
        <f ca="1">MAX(0,$G37-Control!$C$92)</f>
        <v>0</v>
      </c>
      <c r="AG37" s="393">
        <f t="shared" ca="1" si="118"/>
        <v>32</v>
      </c>
      <c r="AH37" s="389">
        <f t="shared" ca="1" si="9"/>
        <v>32</v>
      </c>
      <c r="AI37" s="388">
        <f t="shared" ca="1" si="119"/>
        <v>-0.30300808984112526</v>
      </c>
      <c r="AJ37" s="388">
        <f ca="1">IF(Control!$C$60&lt;=0,$HH37,$HI37)</f>
        <v>1</v>
      </c>
      <c r="AK37" s="388">
        <f t="shared" ca="1" si="10"/>
        <v>-0.82628190340991814</v>
      </c>
      <c r="AL37" s="388">
        <f t="shared" ca="1" si="11"/>
        <v>1.0820511153752932E-18</v>
      </c>
      <c r="AM37" s="388">
        <f t="shared" ca="1" si="12"/>
        <v>-0.82628190340991814</v>
      </c>
      <c r="AN37" s="388">
        <f t="shared" ca="1" si="13"/>
        <v>-0.29689126108638558</v>
      </c>
      <c r="AO37" s="388">
        <f ca="1">-0.10453/COS(Control!$B$8*PI()/180)*COS(AN37)</f>
        <v>-0.16235687260451562</v>
      </c>
      <c r="AP37" s="388">
        <f ca="1">ACOS(AO37-TAN(Control!$B$8*PI()/180)*TAN(AN37))</f>
        <v>1.3395201632272538</v>
      </c>
      <c r="AQ37" s="388">
        <f t="shared" ca="1" si="120"/>
        <v>0</v>
      </c>
      <c r="AR37" s="394">
        <f t="shared" ca="1" si="14"/>
        <v>0</v>
      </c>
      <c r="AS37" s="436">
        <f ca="1">IF(Control!$B$18=2,(IF(OR($AH37=Control!$B$175,$AH37=Control!$B$176,$AH37=Control!$B$177,$AH37=Control!$B$178,$AH37=Control!$B$179,$AH37=Control!$B$180,$AH37=Control!$B$181,$AH37=Control!$B$182,$AH37=Control!$B$183,$AH37=Control!$B$184,$AH37=Control!$B$185),1,0)),0)</f>
        <v>0</v>
      </c>
      <c r="AT37" s="436">
        <f>IF(Control!$B$20=8,IF(AND($AH37&gt;=Control!$B$172,$AH37&lt;=Control!$B$173),1,0),0)</f>
        <v>0</v>
      </c>
      <c r="AU37" s="436">
        <f>IF(Control!$B$20=8,IF($AV36=1,1*$AT37,IF($AT37=1,$AU36+1,$AU36)),0)</f>
        <v>0</v>
      </c>
      <c r="AV37" s="436">
        <f>IF(Control!$B$20=8,IF($AU37&gt;=Control!$B$174,1,0),0)</f>
        <v>0</v>
      </c>
      <c r="AW37" s="436">
        <f ca="1">IF(AND(Control!$B$18=2,Control!$B$171=1), $AV37, $AS37)</f>
        <v>0</v>
      </c>
      <c r="AX37" s="436" t="e">
        <f ca="1">IF(AND(Control!$B$18=1,$EU37&gt;=Control!$B$19),-$AY37,IF(AND(Control!$B$18=2,$AW37=1,$EU37&gt;$DS37),-$AY37, IF(Control!$C$108=0,0, IF(Control!$C$108&lt;&gt;0,1))))</f>
        <v>#N/A</v>
      </c>
      <c r="AY37" s="436" t="e">
        <f t="shared" ca="1" si="121"/>
        <v>#N/A</v>
      </c>
      <c r="AZ37" s="436" t="e">
        <f ca="1">IF(AND(Control!$B$18=1,$EB37&gt;Control!$B$19),$AZ36+1, IF(AND(Control!$B$18=2, $AW37=1, $EB37&gt;$DS37), $AZ36+1,$AZ36))</f>
        <v>#N/A</v>
      </c>
      <c r="BA37" s="587">
        <f>IF(Control!$C$81=0,1,IF($AH37&gt;=Control!$C$82,1,0))</f>
        <v>1</v>
      </c>
      <c r="BB37" s="140" t="e">
        <f ca="1">IF($BA37&gt;$BA36,Control!$C$83,IF($AW37&gt;0,$AW37*Control!$C$84,IF(AND(Control!$B$18=1,EN36&lt;&gt;0),Control!$C$84,0)))</f>
        <v>#N/A</v>
      </c>
      <c r="BC37" s="140" t="e">
        <f t="shared" ca="1" si="122"/>
        <v>#N/A</v>
      </c>
      <c r="BD37" s="140" t="e">
        <f ca="1">BC37*IF(OR($G37&lt;Control!$C$92,$G37&gt;Control!$C$95),0,IF(AND($G37&gt;=Control!$C$92,$G37&lt;=Control!$C$93),$G37-Control!$C$92,IF(AND($G37&gt;Control!$C$93,$G37&lt;=Control!$C$94),Control!$C$93-Control!$C$92,IF(AND($G37&gt;Control!$C$94,$G37&lt;=Control!$C$95),(Control!$C$93-Control!$C$92)*(Control!$C$94-$G37)/(Control!$C$95-Control!$C$94)))))</f>
        <v>#N/A</v>
      </c>
      <c r="BE37" s="140" t="e">
        <f t="shared" ca="1" si="123"/>
        <v>#N/A</v>
      </c>
      <c r="BF37" s="140" t="e">
        <f ca="1">IF($BE37&lt;=Control!$C$86,$BE37,Control!$C$86-$BE37)</f>
        <v>#N/A</v>
      </c>
      <c r="BG37" s="140" t="e">
        <f ca="1">IF(AND($AW37=1,Control!$C$84&lt;9),1,IF($BE37&gt;=Control!$C$86,0,$BC37))</f>
        <v>#N/A</v>
      </c>
      <c r="BH37" s="404" t="e">
        <f ca="1">IF($BG37=0,0,IF($BE37&lt;=Control!$C$86,$BC37*9*($BF37/Control!$C$86),0))</f>
        <v>#N/A</v>
      </c>
      <c r="BI37" s="140" t="e">
        <f ca="1">IF($BG37=1,0,IF($BE37&gt;=Control!$C$86,1,IF(AND($BB37&lt;21,$BB37&gt;=9),1,$BM36)))</f>
        <v>#N/A</v>
      </c>
      <c r="BJ37" s="140" t="e">
        <f ca="1">IF($BF37&lt;0,-$BF37,$BI37*IF(OR($G37&lt;Control!$C$92,$G37&gt;Control!$C$95),0,IF(AND($G37&gt;=Control!$C$92,$G37&lt;=Control!$C$93),$G37-Control!$C$92,IF(AND($G37&gt;Control!$C$93,$G37&lt;=Control!$C$94),Control!$C$93-Control!$C$92,IF(AND($G37&gt;Control!$C$94,$G37&lt;=Control!$C$95),(Control!$C$93-Control!$C$92)*(Control!$C$94-$G37)/(Control!$C$95-Control!$C$94))))))</f>
        <v>#N/A</v>
      </c>
      <c r="BK37" s="140" t="e">
        <f t="shared" ca="1" si="124"/>
        <v>#N/A</v>
      </c>
      <c r="BL37" s="140" t="e">
        <f ca="1">IF($BK37&lt;=Control!$C$87,$BK37,Control!$C$87-$BK37)</f>
        <v>#N/A</v>
      </c>
      <c r="BM37" s="140" t="e">
        <f ca="1">IF(AND($BB37&gt;=9,$BB37&lt;21),1,IF($BK37&gt;=Control!$C$87,0,$BI37))</f>
        <v>#N/A</v>
      </c>
      <c r="BN37" s="404" t="e">
        <f ca="1">IF($BM37=0,0,IF($BK37&lt;=Control!$C$87,$BI37*(9+(21-9)*($BL37/Control!$C$87)),0))</f>
        <v>#N/A</v>
      </c>
      <c r="BO37" s="140" t="e">
        <f ca="1">IF($BM37=1,0,IF($BK37&gt;=Control!$C$87,1,IF(AND($BB37&lt;30,$BB37&gt;=21),1,$BS36)))</f>
        <v>#N/A</v>
      </c>
      <c r="BP37" s="140" t="e">
        <f ca="1">IF($BL37&lt;0,-$BL37,$BO37*IF(OR($G37&lt;Control!$C$92,$G37&gt;Control!$C$95),0,IF(AND($G37&gt;=Control!$C$92,$G37&lt;=Control!$C$93),$G37-Control!$C$92,IF(AND($G37&gt;Control!$C$93,$G37&lt;=Control!$C$94),Control!$C$93-Control!$C$92,IF(AND($G37&gt;Control!$C$94,$G37&lt;=Control!$C$95),(Control!$C$93-Control!$C$92)*(Control!$C$94-$G37)/(Control!$C$95-Control!$C$94))))))</f>
        <v>#N/A</v>
      </c>
      <c r="BQ37" s="140" t="e">
        <f t="shared" ca="1" si="15"/>
        <v>#N/A</v>
      </c>
      <c r="BR37" s="140" t="e">
        <f ca="1">IF($BQ37&lt;=Control!$C$88,$BQ37,Control!$C$88-$BQ37)</f>
        <v>#N/A</v>
      </c>
      <c r="BS37" s="140" t="e">
        <f ca="1">IF(AND($BB37&gt;=21,$BB37&lt;30),1,IF($BQ37&gt;=Control!$C$88,0,$BO37))</f>
        <v>#N/A</v>
      </c>
      <c r="BT37" s="404" t="e">
        <f ca="1">IF($BS37=0,0,IF($BQ37&lt;=Control!$C$88,$BO37*(21+(30-21)*(BR37/Control!$C$88)),0))</f>
        <v>#N/A</v>
      </c>
      <c r="BU37" s="140" t="e">
        <f ca="1">IF(BG37+BM37+BS37=1,0,IF(OR(AND($BB37&lt;60,$BB37&gt;=30),$BQ37&gt;=Control!$C$88),1*$BA37,$BY36))</f>
        <v>#N/A</v>
      </c>
      <c r="BV37" s="140" t="e">
        <f ca="1">IF($BR37&lt;0,-$BR37,$BU37*IF(OR($G37&lt;Control!$C$92,$G37&gt;Control!$C$95),0,IF(AND($G37&gt;=Control!$C$92,$G37&lt;=Control!$C$93),$G37-Control!$C$92,IF(AND($G37&gt;Control!$C$93,$G37&lt;=Control!$C$94),Control!$C$93-Control!$C$92,IF(AND($G37&gt;Control!$C$94,$G37&lt;=Control!$C$95),(Control!$C$93-Control!$C$92)*(Control!$C$94-$G37)/(Control!$C$95-Control!$C$94))))))</f>
        <v>#N/A</v>
      </c>
      <c r="BW37" s="140" t="e">
        <f t="shared" ca="1" si="16"/>
        <v>#N/A</v>
      </c>
      <c r="BX37" s="140" t="e">
        <f ca="1">IF($BW37&lt;=Control!$C$89,$BW37,Control!$C$89-$BW37)</f>
        <v>#N/A</v>
      </c>
      <c r="BY37" s="140" t="e">
        <f ca="1">IF(AND($AJ37&gt;=30,$AJ37&lt;60),1,IF($BW37&gt;=Control!$C$89,0,$BU37))</f>
        <v>#N/A</v>
      </c>
      <c r="BZ37" s="404" t="e">
        <f ca="1">IF($BY37=0,0,IF($BW37&lt;=Control!$C$89,$BU37*(30+(60-30)*(BX37/Control!$C$89)),0))</f>
        <v>#N/A</v>
      </c>
      <c r="CA37" s="140" t="e">
        <f ca="1">IF($BG37+$BM37+$BS37+$BY37=1,0,IF(OR(AND($BB37&lt;65,$BB37&gt;=60),$BW37&gt;=Control!$C$89),1*$BA37,$CE36))</f>
        <v>#N/A</v>
      </c>
      <c r="CB37" s="140" t="e">
        <f ca="1">IF($BX37&lt;0,-$BX37,$CA37*IF(OR($G37&lt;Control!$C$92,$G37&gt;Control!$C$95),0,IF(AND($G37&gt;=Control!$C$92,$G37&lt;=Control!$C$93),$G37-Control!$C$92,IF(AND($G37&gt;Control!$C$93,$G37&lt;=Control!$C$94),Control!$C$93-Control!$C$92,IF(AND($G37&gt;Control!$C$94,$G37&lt;=Control!$C$95),(Control!$C$93-Control!$C$92)*(Control!$C$94-$G37)/(Control!$C$95-Control!$C$94))))))</f>
        <v>#N/A</v>
      </c>
      <c r="CC37" s="140" t="e">
        <f t="shared" ca="1" si="125"/>
        <v>#N/A</v>
      </c>
      <c r="CD37" s="140" t="e">
        <f ca="1">IF($CC37&lt;=Control!$C$90,$CC37,Control!$C$90-$CC37)</f>
        <v>#N/A</v>
      </c>
      <c r="CE37" s="140" t="e">
        <f ca="1">IF(AND($BB37&gt;=60,$BB37&lt;65),1,IF($CC37&gt;=Control!$C$90,0,$CA37))</f>
        <v>#N/A</v>
      </c>
      <c r="CF37" s="404" t="e">
        <f ca="1">IF($CE37=0,0,IF($CC37&lt;=Control!$C$90,$CA37*(60+(65-60)*(CD37/Control!$C$90)),0))</f>
        <v>#N/A</v>
      </c>
      <c r="CG37" s="140" t="e">
        <f ca="1">IF($BG37+$BM37+$BS37+$BY37+$CE37=1,0,IF(OR(AND($BB37&lt;90,$BB37&gt;=65),$CC37&gt;=Control!$C$90),$BA37,$CK36))</f>
        <v>#N/A</v>
      </c>
      <c r="CH37" s="140" t="e">
        <f ca="1">IF($CD37&lt;0,-$CD37,$CG37*IF(OR($G37&lt;Control!$C$92,$G37&gt;Control!$C$95),0,IF(AND($G37&gt;=Control!$C$92,$G37&lt;=Control!$C$93),$G37-Control!$C$92,IF(AND($G37&gt;Control!$C$93,$G37&lt;=Control!$C$94),Control!$C$93-Control!$C$92,IF(AND($G37&gt;Control!$C$94,$G37&lt;=Control!$C$95),(Control!$C$93-Control!$C$92)*(Control!$C$94-$G37)/(Control!$C$95-Control!$C$94))))))</f>
        <v>#N/A</v>
      </c>
      <c r="CI37" s="140" t="e">
        <f t="shared" ca="1" si="126"/>
        <v>#N/A</v>
      </c>
      <c r="CJ37" s="140" t="e">
        <f ca="1">IF($CI37&lt;=Control!$C$91,$CI37,Control!$C$91-$CI37)</f>
        <v>#N/A</v>
      </c>
      <c r="CK37" s="140" t="e">
        <f ca="1">IF(AND($BB37&gt;=65,$BB37&lt;90),1,IF($CI37&gt;=Control!$C$91,0,$CG37))</f>
        <v>#N/A</v>
      </c>
      <c r="CL37" s="404" t="e">
        <f ca="1">IF($CK37=0,0,IF($CI37&lt;=Control!$C$91,$CG37*(65+(90-65)*($CJ37/Control!$C$91)),0))</f>
        <v>#N/A</v>
      </c>
      <c r="CM37" s="140" t="e">
        <f ca="1">IF($BG37+$BM37+$BS37+$BY37+$CE37+$CK37=1,0,IF(OR($BB37&gt;=90,$CI37&gt;=Control!$C$91),$BA37,$CM36))</f>
        <v>#N/A</v>
      </c>
      <c r="CN37" s="140" t="e">
        <f t="shared" ca="1" si="127"/>
        <v>#N/A</v>
      </c>
      <c r="CO37" s="140" t="e">
        <f t="shared" ca="1" si="128"/>
        <v>#N/A</v>
      </c>
      <c r="CP37" s="140" t="e">
        <f t="shared" ca="1" si="129"/>
        <v>#N/A</v>
      </c>
      <c r="CQ37" s="141" t="e">
        <f ca="1">VLOOKUP($CP37,Control!$B$86:$G$91,6)</f>
        <v>#N/A</v>
      </c>
      <c r="CR37" s="141" t="e">
        <f ca="1">(1-$CQ37)*VLOOKUP($CP37,Control!$B$86:$D$91,3)</f>
        <v>#N/A</v>
      </c>
      <c r="CS37" s="141" t="e">
        <f ca="1">(1-$CQ37)*VLOOKUP($CP37,Control!$B$86:$E$91,4)</f>
        <v>#N/A</v>
      </c>
      <c r="CT37" s="141" t="e">
        <f ca="1">(1-$CQ37)*VLOOKUP($CP37,Control!$B$86:$F$91,5)</f>
        <v>#N/A</v>
      </c>
      <c r="CU37" s="141">
        <f t="shared" ca="1" si="130"/>
        <v>0</v>
      </c>
      <c r="CV37" s="583">
        <f t="shared" ca="1" si="131"/>
        <v>0</v>
      </c>
      <c r="CW37" s="142">
        <f t="shared" ca="1" si="132"/>
        <v>32</v>
      </c>
      <c r="CX37" s="612" t="e">
        <f ca="1">IF(Control!$C$114=1,(MIN(Control!$C$120*(IF($NT37-0.01&lt;0,0,1)),Control!$C$119-$CY37)))</f>
        <v>#DIV/0!</v>
      </c>
      <c r="CY37" s="143" t="e">
        <f t="shared" ca="1" si="133"/>
        <v>#N/A</v>
      </c>
      <c r="CZ37" s="144">
        <f t="shared" ca="1" si="17"/>
        <v>0</v>
      </c>
      <c r="DA37" s="144">
        <f t="shared" ca="1" si="18"/>
        <v>0</v>
      </c>
      <c r="DB37" s="144" t="e">
        <f t="shared" ca="1" si="19"/>
        <v>#N/A</v>
      </c>
      <c r="DC37" s="144" t="e">
        <f t="shared" ca="1" si="20"/>
        <v>#N/A</v>
      </c>
      <c r="DD37" s="144" t="e">
        <f t="shared" ca="1" si="216"/>
        <v>#N/A</v>
      </c>
      <c r="DE37" s="143" t="e">
        <f t="shared" ca="1" si="135"/>
        <v>#N/A</v>
      </c>
      <c r="DF37" s="145" t="e">
        <f ca="1">$DR37*EXP(-Control!$C$158*(1-$KH37))</f>
        <v>#N/A</v>
      </c>
      <c r="DG37" s="146" t="e">
        <f ca="1">IF(Control!$C$114=1, $DF37*$EY37, 0)</f>
        <v>#N/A</v>
      </c>
      <c r="DH37" s="147" t="e">
        <f t="shared" ca="1" si="136"/>
        <v>#N/A</v>
      </c>
      <c r="DI37" s="144" t="e">
        <f t="shared" ca="1" si="191"/>
        <v>#N/A</v>
      </c>
      <c r="DJ37" s="147" t="e">
        <f ca="1">$EF37*Control!$C$109</f>
        <v>#N/A</v>
      </c>
      <c r="DK37" s="144" t="e">
        <f t="shared" ca="1" si="137"/>
        <v>#N/A</v>
      </c>
      <c r="DL37" s="144" t="e">
        <f t="shared" ca="1" si="21"/>
        <v>#N/A</v>
      </c>
      <c r="DM37" s="144" t="e">
        <f ca="1">IF(Control!$C$114=1, (1-EXP(-Control!$C$96*$DK37))*$AR37, 0)</f>
        <v>#N/A</v>
      </c>
      <c r="DN37" s="144">
        <f t="shared" ca="1" si="138"/>
        <v>0</v>
      </c>
      <c r="DO37" s="148">
        <f>Control!$C$97</f>
        <v>4</v>
      </c>
      <c r="DP37" s="145" t="e">
        <f t="shared" ca="1" si="139"/>
        <v>#N/A</v>
      </c>
      <c r="DQ37" s="145" t="e">
        <f ca="1">IF(AND($CP37&gt;=0,$CP37&lt;=90),Control!$C$111,Control!$C$111)</f>
        <v>#N/A</v>
      </c>
      <c r="DR37" s="145" t="e">
        <f t="shared" ca="1" si="22"/>
        <v>#N/A</v>
      </c>
      <c r="DS37" s="143" t="e">
        <f ca="1">Control!$B$22/$DR37</f>
        <v>#N/A</v>
      </c>
      <c r="DT37" s="149" t="e">
        <f ca="1">IF(AND(Control!$C$114=1,$KH37&lt;1),$IM37*$DF37, 0)</f>
        <v>#N/A</v>
      </c>
      <c r="DU37" s="144" t="e">
        <f t="shared" ca="1" si="192"/>
        <v>#N/A</v>
      </c>
      <c r="DV37" s="144">
        <f ca="1">IF($G37-Control!$C$107&lt;=0, 0, 0.83*LN(MAX($G37, 3))-0.8924)</f>
        <v>0</v>
      </c>
      <c r="DW37" s="144" t="e">
        <f t="shared" ca="1" si="23"/>
        <v>#N/A</v>
      </c>
      <c r="DX37" s="150" t="e">
        <f ca="1">MAX(0.01*(1+$CU37/Control!$C$102),0.05*($DK37-Control!$C$97)/Control!$C$97)</f>
        <v>#N/A</v>
      </c>
      <c r="DY37" s="151" t="e">
        <f ca="1">IF(Control!$C$114=1, $DI37*$FS37, 0)</f>
        <v>#N/A</v>
      </c>
      <c r="DZ37" s="196" t="e">
        <f t="shared" ca="1" si="140"/>
        <v>#N/A</v>
      </c>
      <c r="EA37" s="152">
        <f t="shared" ca="1" si="141"/>
        <v>32</v>
      </c>
      <c r="EB37" s="153" t="e">
        <f t="shared" ca="1" si="217"/>
        <v>#N/A</v>
      </c>
      <c r="EC37" s="153" t="e">
        <f t="shared" ca="1" si="142"/>
        <v>#N/A</v>
      </c>
      <c r="ED37" s="154" t="e">
        <f ca="1">IF(Control!$C$114=1, $HM37*$FY37-$FD37, 0)</f>
        <v>#DIV/0!</v>
      </c>
      <c r="EE37" s="155" t="e">
        <f ca="1">IF(Control!$C$114=1, $HM37*$FZ37-$FF37, 0)</f>
        <v>#DIV/0!</v>
      </c>
      <c r="EF37" s="153" t="e">
        <f t="shared" ca="1" si="193"/>
        <v>#N/A</v>
      </c>
      <c r="EG37" s="155" t="e">
        <f ca="1">IF(Control!$C$114=1, $GX37*$FW37-$FI37, 0)</f>
        <v>#DIV/0!</v>
      </c>
      <c r="EH37" s="153" t="e">
        <f t="shared" ca="1" si="143"/>
        <v>#N/A</v>
      </c>
      <c r="EI37" s="156" t="e">
        <f t="shared" ca="1" si="144"/>
        <v>#N/A</v>
      </c>
      <c r="EJ37" s="155" t="e">
        <f ca="1">IF(Control!$C$114=1, $HM37*$GB37, 0)</f>
        <v>#DIV/0!</v>
      </c>
      <c r="EK37" s="153" t="e">
        <f t="shared" ca="1" si="194"/>
        <v>#N/A</v>
      </c>
      <c r="EL37" s="153" t="e">
        <f t="shared" ca="1" si="24"/>
        <v>#N/A</v>
      </c>
      <c r="EM37" s="153" t="e">
        <f t="shared" ca="1" si="25"/>
        <v>#N/A</v>
      </c>
      <c r="EN37" s="153" t="e">
        <f ca="1">IF(Control!$C$108=1,IF(AND(Control!$B$18=1,$EB37&gt;=Control!$B$19),$EB37-$DS37,IF(AND(Control!$B$18=2,$AW37=1,$EB37&gt;$DS37),$EB37-$DS37,0)))</f>
        <v>#N/A</v>
      </c>
      <c r="EO37" s="153" t="e">
        <f ca="1">IF(Control!$C$108=1,IF(AND(Control!$B$18=1,$EB37&gt;=Control!$B$19),$EF37,IF(AND(Control!$B$18=2,$AW37=1),$EF37,0)))</f>
        <v>#N/A</v>
      </c>
      <c r="EP37" s="153" t="e">
        <f ca="1">IF(Control!$C$108=1,IF(AND(Control!$B$18=1,$EB37&gt;=Control!$B$19),$EK37,IF(AND(Control!$B$18=2,$AW37=1),$EK37,0)))</f>
        <v>#N/A</v>
      </c>
      <c r="EQ37" s="153" t="e">
        <f t="shared" ca="1" si="145"/>
        <v>#N/A</v>
      </c>
      <c r="ER37" s="153" t="e">
        <f t="shared" ca="1" si="195"/>
        <v>#N/A</v>
      </c>
      <c r="ES37" s="153" t="e">
        <f t="shared" ca="1" si="196"/>
        <v>#N/A</v>
      </c>
      <c r="ET37" s="153" t="e">
        <f t="shared" ca="1" si="197"/>
        <v>#N/A</v>
      </c>
      <c r="EU37" s="153" t="e">
        <f t="shared" ca="1" si="198"/>
        <v>#N/A</v>
      </c>
      <c r="EV37" s="153" t="e">
        <f t="shared" ca="1" si="146"/>
        <v>#N/A</v>
      </c>
      <c r="EW37" s="153" t="e">
        <f t="shared" ca="1" si="218"/>
        <v>#N/A</v>
      </c>
      <c r="EX37" s="153" t="e">
        <f t="shared" ca="1" si="26"/>
        <v>#N/A</v>
      </c>
      <c r="EY37" s="157" t="e">
        <f t="shared" ca="1" si="147"/>
        <v>#DIV/0!</v>
      </c>
      <c r="EZ37" s="154" t="e">
        <f t="shared" ca="1" si="27"/>
        <v>#DIV/0!</v>
      </c>
      <c r="FA37" s="153" t="e">
        <f t="shared" ca="1" si="199"/>
        <v>#N/A</v>
      </c>
      <c r="FB37" s="153" t="e">
        <f t="shared" ca="1" si="28"/>
        <v>#N/A</v>
      </c>
      <c r="FC37" s="193" t="e">
        <f t="shared" ca="1" si="29"/>
        <v>#N/A</v>
      </c>
      <c r="FD37" s="158" t="e">
        <f t="shared" ca="1" si="200"/>
        <v>#N/A</v>
      </c>
      <c r="FE37" s="158" t="e">
        <f t="shared" ca="1" si="148"/>
        <v>#N/A</v>
      </c>
      <c r="FF37" s="159" t="e">
        <f t="shared" ca="1" si="30"/>
        <v>#N/A</v>
      </c>
      <c r="FG37" s="160" t="e">
        <f t="shared" ca="1" si="149"/>
        <v>#N/A</v>
      </c>
      <c r="FH37" s="158" t="e">
        <f t="shared" ca="1" si="150"/>
        <v>#N/A</v>
      </c>
      <c r="FI37" s="159" t="e">
        <f t="shared" ca="1" si="31"/>
        <v>#N/A</v>
      </c>
      <c r="FJ37" s="160" t="e">
        <f t="shared" ca="1" si="151"/>
        <v>#N/A</v>
      </c>
      <c r="FK37" s="160" t="e">
        <f t="shared" ca="1" si="32"/>
        <v>#N/A</v>
      </c>
      <c r="FL37" s="160" t="e">
        <f t="shared" ca="1" si="229"/>
        <v>#N/A</v>
      </c>
      <c r="FM37" s="160" t="e">
        <f t="shared" ca="1" si="33"/>
        <v>#N/A</v>
      </c>
      <c r="FN37" s="158">
        <f t="shared" ca="1" si="219"/>
        <v>0.01</v>
      </c>
      <c r="FO37" s="160">
        <f>Control!$C$101</f>
        <v>50</v>
      </c>
      <c r="FP37" s="150" t="e">
        <f t="shared" ca="1" si="34"/>
        <v>#N/A</v>
      </c>
      <c r="FQ37" s="150" t="e">
        <f ca="1">MAX(0,(Control!$C$112*(($DK37-Control!$C$97)/Control!$C$97)))</f>
        <v>#N/A</v>
      </c>
      <c r="FR37" s="150" t="e">
        <f ca="1">(1-$NT37)*Control!$C$113</f>
        <v>#DIV/0!</v>
      </c>
      <c r="FS37" s="198" t="e">
        <f t="shared" ca="1" si="35"/>
        <v>#N/A</v>
      </c>
      <c r="FT37" s="161">
        <f t="shared" ca="1" si="152"/>
        <v>32</v>
      </c>
      <c r="FU37" s="162" t="e">
        <f ca="1">IF(Control!$B$34=1,VLOOKUP($CP37,Control!$B$86:$G$91,6),Control!$B$35)</f>
        <v>#N/A</v>
      </c>
      <c r="FV37" s="162" t="e">
        <f t="shared" ca="1" si="36"/>
        <v>#DIV/0!</v>
      </c>
      <c r="FW37" s="162" t="e">
        <f ca="1">IF(Control!$B$31=1,$FU37*$FV37,  $FU37)</f>
        <v>#N/A</v>
      </c>
      <c r="FX37" s="162" t="e">
        <f ca="1">IF(Control!$B$34=1,VLOOKUP($CP37,Control!$B$86:$G$91,3),Control!$B$36)</f>
        <v>#N/A</v>
      </c>
      <c r="FY37" s="162" t="e">
        <f t="shared" ca="1" si="37"/>
        <v>#N/A</v>
      </c>
      <c r="FZ37" s="162" t="e">
        <f ca="1">IF(Control!$B$34=1,VLOOKUP($CP37,Control!$B$86:$G$91,4),Control!$B$37)</f>
        <v>#N/A</v>
      </c>
      <c r="GA37" s="162" t="e">
        <f t="shared" ca="1" si="38"/>
        <v>#N/A</v>
      </c>
      <c r="GB37" s="162" t="e">
        <f ca="1">IF(Control!$B$34=1,VLOOKUP($CP37,Control!$B$86:$G$91,5),Control!$B$38)</f>
        <v>#N/A</v>
      </c>
      <c r="GC37" s="162" t="e">
        <f t="shared" ca="1" si="153"/>
        <v>#N/A</v>
      </c>
      <c r="GD37" s="162">
        <f t="shared" ca="1" si="39"/>
        <v>1</v>
      </c>
      <c r="GE37" s="162">
        <f t="shared" ca="1" si="40"/>
        <v>1</v>
      </c>
      <c r="GF37" s="162">
        <f ca="1">IF(AND(Control!$C$104=1, Control!$C$62="F"),$GE37,1)</f>
        <v>1</v>
      </c>
      <c r="GG37" s="162" t="e">
        <f ca="1">IF(Control!$B$16=40,0,IF(AND(Control!$B$16&gt;40,Control!$B$16&lt;=360),(Control!$B$16-40)*((1-0)/(360-40)),IF(AND(Control!$B$16&gt;360,Control!$B$16&lt;=720),(1+(Control!$B$16-360)*((1.25-1)/(720-360))),IF(AND(Control!$B$16&gt;720,Control!$B$16&lt;=1000),(1.25+(Control!$B$16-720)*((1.35-1.25)/(1000-720))),IF(AND(Control!$B$16&gt;1000,Control!$B$16&lt;=2000),(1.35+(Control!$B$16-1000)*0))))))</f>
        <v>#N/A</v>
      </c>
      <c r="GH37" s="162" t="e">
        <f t="shared" ca="1" si="41"/>
        <v>#N/A</v>
      </c>
      <c r="GI37" s="162">
        <f t="shared" ca="1" si="201"/>
        <v>0</v>
      </c>
      <c r="GJ37" s="162">
        <f t="shared" ca="1" si="42"/>
        <v>0</v>
      </c>
      <c r="GK37" s="162">
        <f t="shared" ca="1" si="220"/>
        <v>1</v>
      </c>
      <c r="GL37" s="162">
        <f t="shared" ca="1" si="43"/>
        <v>1</v>
      </c>
      <c r="GM37" s="162" t="e">
        <f ca="1">MAX(0,MIN(1,1-Control!$C$156*(1.0001-$KH37)^2))</f>
        <v>#N/A</v>
      </c>
      <c r="GN37" s="162" t="e">
        <f ca="1">IF(Control!$B$26=1,$KU37,$KX37)</f>
        <v>#N/A</v>
      </c>
      <c r="GO37" s="162" t="e">
        <f ca="1">IF($CP37&lt;=60,Control!$C$105,IF($CP37&gt;=90,Control!$C$106,Control!$C$105+($CP37-60)*((Control!$C$106-Control!$C$105)/(90-60))))</f>
        <v>#N/A</v>
      </c>
      <c r="GP37" s="162" t="e">
        <f t="shared" ca="1" si="154"/>
        <v>#N/A</v>
      </c>
      <c r="GQ37" s="162" t="e">
        <f t="shared" ca="1" si="155"/>
        <v>#N/A</v>
      </c>
      <c r="GR37" s="163" t="e">
        <f t="shared" ca="1" si="44"/>
        <v>#DIV/0!</v>
      </c>
      <c r="GS37" s="162" t="e">
        <f t="shared" ca="1" si="45"/>
        <v>#DIV/0!</v>
      </c>
      <c r="GT37" s="164" t="e">
        <f t="shared" ca="1" si="156"/>
        <v>#N/A</v>
      </c>
      <c r="GU37" s="162" t="e">
        <f t="shared" ca="1" si="157"/>
        <v>#N/A</v>
      </c>
      <c r="GV37" s="162" t="e">
        <f t="shared" ca="1" si="46"/>
        <v>#N/A</v>
      </c>
      <c r="GW37" s="162" t="e">
        <f t="shared" ca="1" si="221"/>
        <v>#DIV/0!</v>
      </c>
      <c r="GX37" s="162" t="e">
        <f t="shared" ca="1" si="228"/>
        <v>#DIV/0!</v>
      </c>
      <c r="GY37" s="162" t="e">
        <f t="shared" ca="1" si="158"/>
        <v>#DIV/0!</v>
      </c>
      <c r="GZ37" s="165" t="e">
        <f t="shared" ca="1" si="159"/>
        <v>#N/A</v>
      </c>
      <c r="HA37" s="162" t="e">
        <f ca="1">IF(Control!$C$114=1, $DI37*$FS37, 0)</f>
        <v>#N/A</v>
      </c>
      <c r="HB37" s="162" t="e">
        <f ca="1">$FA37/Control!$C$64</f>
        <v>#N/A</v>
      </c>
      <c r="HC37" s="162" t="e">
        <f t="shared" ca="1" si="222"/>
        <v>#DIV/0!</v>
      </c>
      <c r="HD37" s="162">
        <f ca="1">-ASIN(SIN(23.45*Control!$C$139)*COS(2*Control!$C$138*($AH37+10)/365))</f>
        <v>-0.30300808984112526</v>
      </c>
      <c r="HE37" s="165">
        <f t="shared" ca="1" si="160"/>
        <v>0</v>
      </c>
      <c r="HF37" s="166">
        <f ca="1">IF(AND(Control!$C$61="T",$HE37&gt;=Control!$C$103,Control!$C$114=0),$AH37,Control!$C$59)</f>
        <v>1</v>
      </c>
      <c r="HG37" s="166">
        <f ca="1">IF(AND(Control!$C$61="T",$HE37&gt;=Control!$C$103,Control!$C$114=0),$HF37,Control!$C$59)</f>
        <v>1</v>
      </c>
      <c r="HH37" s="165">
        <f ca="1">IF(AND(OR(Control!$C$60&lt;=0, $AH37= Control!$C$59, Control!$C$60 &gt;0, $AH37 = Control!$C$60)), Control!$C$59, IF(Control!$C$60&gt;0, 0))</f>
        <v>1</v>
      </c>
      <c r="HI37" s="165">
        <f ca="1">IF(AND(OR(Control!$C$60&lt;=0, $AH37= Control!$C$59, Control!$C$60 &gt;0, $AH37 = Control!$C$60)), Control!$C$60, IF(Control!$C$60&lt;=0, 0))</f>
        <v>0</v>
      </c>
      <c r="HJ37" s="166">
        <f ca="1">IF(AND(Control!$C$62="F",$CV37&gt;=Control!$C$102),$AH37,0)</f>
        <v>0</v>
      </c>
      <c r="HK37" s="165" t="e">
        <f t="shared" ca="1" si="202"/>
        <v>#N/A</v>
      </c>
      <c r="HL37" s="166">
        <f ca="1">IF(AND(Control!$C$61="T",$HE37&gt;=Control!$C$103,Control!$C$114=0),$HF37,0)</f>
        <v>0</v>
      </c>
      <c r="HM37" s="201" t="e">
        <f t="shared" ca="1" si="47"/>
        <v>#DIV/0!</v>
      </c>
      <c r="HN37" s="215">
        <f t="shared" ca="1" si="161"/>
        <v>32</v>
      </c>
      <c r="HO37" s="216" t="e">
        <f ca="1">IF(AND($CP37&gt;=0, $CP37&lt;=90), Control!$C$152, Control!$C$152)</f>
        <v>#N/A</v>
      </c>
      <c r="HP37" s="216" t="e">
        <f t="shared" ca="1" si="48"/>
        <v>#N/A</v>
      </c>
      <c r="HQ37" s="217" t="e">
        <f ca="1">IF(OR(Control!$B$26=1,Control!$B$26=2),$KV37,$KS37)</f>
        <v>#DIV/0!</v>
      </c>
      <c r="HR37" s="218" t="e">
        <f t="shared" ca="1" si="223"/>
        <v>#DIV/0!</v>
      </c>
      <c r="HS37" s="216" t="e">
        <f ca="1">Control!$C$154*$HP37</f>
        <v>#N/A</v>
      </c>
      <c r="HT37" s="216" t="e">
        <f ca="1">Control!$C$155*$HP37</f>
        <v>#N/A</v>
      </c>
      <c r="HU37" s="217" t="e">
        <f ca="1">Control!$C$161*$FI37</f>
        <v>#N/A</v>
      </c>
      <c r="HV37" s="218" t="e">
        <f t="shared" ca="1" si="162"/>
        <v>#N/A</v>
      </c>
      <c r="HW37" s="218" t="e">
        <f ca="1">Control!$C$160*$FF37+$IP37*$EO37</f>
        <v>#N/A</v>
      </c>
      <c r="HX37" s="218" t="e">
        <f t="shared" ca="1" si="203"/>
        <v>#N/A</v>
      </c>
      <c r="HY37" s="219" t="e">
        <f ca="1">IF(Control!$C$114=1, $EB37*$FS37, 0)</f>
        <v>#N/A</v>
      </c>
      <c r="HZ37" s="91" t="e">
        <f t="shared" ca="1" si="49"/>
        <v>#N/A</v>
      </c>
      <c r="IA37" s="220" t="e">
        <f ca="1">Control!$C$153*$HO37</f>
        <v>#N/A</v>
      </c>
      <c r="IB37" s="218" t="e">
        <f t="shared" ca="1" si="50"/>
        <v>#N/A</v>
      </c>
      <c r="IC37" s="220" t="e">
        <f ca="1">Control!$C$153*$HT37</f>
        <v>#N/A</v>
      </c>
      <c r="ID37" s="218" t="e">
        <f t="shared" ca="1" si="51"/>
        <v>#N/A</v>
      </c>
      <c r="IE37" s="221" t="e">
        <f ca="1">($EB37*Control!$C$159+$EF37*Control!$C$160)/(IF($GZ37&lt;&gt;0,$GZ37,1))</f>
        <v>#N/A</v>
      </c>
      <c r="IF37" s="216" t="e">
        <f t="shared" ca="1" si="52"/>
        <v>#N/A</v>
      </c>
      <c r="IG37" s="91">
        <f ca="1">IF(OR(Control!$B$198=$AH37,Control!$B$199=$AH37, Control!$B$200=$AH37, Control!$B$201=$AH37, Control!$B$202=$AH37, Control!$B$203=$AH37, Control!$B$204=$AH37, Control!$B$205=$AH37, Control!$B$206=$AH37, Control!$B$207=$AH37), 1, 0)</f>
        <v>0</v>
      </c>
      <c r="IH37" s="91">
        <f ca="1">IF($IG37=0,0, VLOOKUP($AH37,Control!$B$198:$C$207,2))</f>
        <v>0</v>
      </c>
      <c r="II37" s="222">
        <f t="shared" ca="1" si="163"/>
        <v>0</v>
      </c>
      <c r="IJ37" s="91">
        <f>Control!$C$121</f>
        <v>0.7</v>
      </c>
      <c r="IK37" s="218">
        <f t="shared" ca="1" si="53"/>
        <v>0</v>
      </c>
      <c r="IL37" s="217" t="e">
        <f t="shared" ca="1" si="204"/>
        <v>#N/A</v>
      </c>
      <c r="IM37" s="223" t="e">
        <f ca="1">IF(AND(Control!$C$114=1,$KH37&lt;1),$EB37*Control!$C$148*(1-$KH37), 0)</f>
        <v>#N/A</v>
      </c>
      <c r="IN37" s="217" t="e">
        <f t="shared" ca="1" si="54"/>
        <v>#DIV/0!</v>
      </c>
      <c r="IO37" s="91" t="e">
        <f ca="1">MAX(0,$IL37-$EF37*Control!$C$160)</f>
        <v>#N/A</v>
      </c>
      <c r="IP37" s="220" t="e">
        <f t="shared" ca="1" si="55"/>
        <v>#N/A</v>
      </c>
      <c r="IQ37" s="217" t="e">
        <f t="shared" ca="1" si="164"/>
        <v>#N/A</v>
      </c>
      <c r="IR37" s="218" t="e">
        <f t="shared" ca="1" si="56"/>
        <v>#N/A</v>
      </c>
      <c r="IS37" s="217" t="e">
        <f ca="1">Control!$C$159*MAX(0,$FD37-$EN37)</f>
        <v>#N/A</v>
      </c>
      <c r="IT37" s="217" t="e">
        <f t="shared" ca="1" si="205"/>
        <v>#N/A</v>
      </c>
      <c r="IU37" s="217" t="e">
        <f t="shared" ca="1" si="165"/>
        <v>#N/A</v>
      </c>
      <c r="IV37" s="217" t="e">
        <f t="shared" ca="1" si="206"/>
        <v>#N/A</v>
      </c>
      <c r="IW37" s="217" t="e">
        <f ca="1">IF(OR($AW37=1,AND($AW37=0, Control!$B$18=1,$EN37&lt;&gt;0)), $IQ37-$IU37, $IQ37)</f>
        <v>#N/A</v>
      </c>
      <c r="IX37" s="218" t="e">
        <f t="shared" ca="1" si="57"/>
        <v>#N/A</v>
      </c>
      <c r="IY37" s="218" t="e">
        <f ca="1">MAX(0,$IQ37-$EB37*Control!$C$159)</f>
        <v>#N/A</v>
      </c>
      <c r="IZ37" s="218" t="e">
        <f t="shared" ca="1" si="58"/>
        <v>#N/A</v>
      </c>
      <c r="JA37" s="216" t="e">
        <f t="shared" ca="1" si="59"/>
        <v>#N/A</v>
      </c>
      <c r="JB37" s="217" t="e">
        <f t="shared" ca="1" si="60"/>
        <v>#N/A</v>
      </c>
      <c r="JC37" s="222" t="e">
        <f ca="1">MAX(Control!$C$157*$EK37-$JT37, 0)/Control!$C$162</f>
        <v>#N/A</v>
      </c>
      <c r="JD37" s="218" t="e">
        <f t="shared" ca="1" si="61"/>
        <v>#N/A</v>
      </c>
      <c r="JE37" s="218" t="e">
        <f t="shared" ca="1" si="62"/>
        <v>#N/A</v>
      </c>
      <c r="JF37" s="218" t="e">
        <f t="shared" ca="1" si="207"/>
        <v>#N/A</v>
      </c>
      <c r="JG37" s="218" t="e">
        <f t="shared" ca="1" si="63"/>
        <v>#N/A</v>
      </c>
      <c r="JH37" s="217" t="e">
        <f t="shared" ca="1" si="166"/>
        <v>#N/A</v>
      </c>
      <c r="JI37" s="217" t="e">
        <f t="shared" ca="1" si="167"/>
        <v>#N/A</v>
      </c>
      <c r="JJ37" s="217" t="e">
        <f t="shared" ca="1" si="224"/>
        <v>#N/A</v>
      </c>
      <c r="JK37" s="217" t="e">
        <f ca="1">IF(Control!$C$114=1,IF(Control!$B$24=0,MAX(0,$JI37)*$GN37/Control!$C$64,(MAX(0,MIN($JI37,$JJ37*$GN37/Control!$C$64),0))))</f>
        <v>#N/A</v>
      </c>
      <c r="JL37" s="217" t="e">
        <f ca="1">$IK37/Control!$C$64-$JK37+$HQ37</f>
        <v>#N/A</v>
      </c>
      <c r="JM37" s="217" t="e">
        <f ca="1">IF(Control!$C$114=1,($JB37/(IF($JI37&lt;&gt;0,$JI37,1)))*$JK37,0)</f>
        <v>#N/A</v>
      </c>
      <c r="JN37" s="217" t="e">
        <f ca="1">IF(Control!$C$114=1,($JG37/(IF($JI37&lt;&gt;0,$JI37,1)))*$JK37, 0)</f>
        <v>#N/A</v>
      </c>
      <c r="JO37" s="218" t="e">
        <f t="shared" ca="1" si="64"/>
        <v>#N/A</v>
      </c>
      <c r="JP37" s="218" t="e">
        <f ca="1">MIN(($IY37+$IO37)*Control!$C$151, $JF37-$EH37*Control!$C$161)</f>
        <v>#N/A</v>
      </c>
      <c r="JQ37" s="218" t="e">
        <f t="shared" ca="1" si="65"/>
        <v>#N/A</v>
      </c>
      <c r="JR37" s="217" t="e">
        <f ca="1">IF($CP37-Control!$C$150&lt;0, 0, $JQ37/Control!$C$162)</f>
        <v>#N/A</v>
      </c>
      <c r="JS37" s="218" t="e">
        <f t="shared" ca="1" si="66"/>
        <v>#N/A</v>
      </c>
      <c r="JT37" s="218" t="e">
        <f t="shared" ca="1" si="168"/>
        <v>#N/A</v>
      </c>
      <c r="JU37" s="218" t="e">
        <f t="shared" ca="1" si="67"/>
        <v>#N/A</v>
      </c>
      <c r="JV37" s="218" t="e">
        <f t="shared" ca="1" si="68"/>
        <v>#N/A</v>
      </c>
      <c r="JW37" s="216" t="e">
        <f t="shared" ca="1" si="69"/>
        <v>#N/A</v>
      </c>
      <c r="JX37" s="91" t="e">
        <f t="shared" ca="1" si="70"/>
        <v>#N/A</v>
      </c>
      <c r="JY37" s="218" t="e">
        <f t="shared" ca="1" si="71"/>
        <v>#N/A</v>
      </c>
      <c r="JZ37" s="217" t="e">
        <f ca="1">IF(Control!$C$114=1,($IZ37/(IF($JI37&lt;&gt;0,$JI37,1)))*$JK37, 0)</f>
        <v>#N/A</v>
      </c>
      <c r="KA37" s="218" t="e">
        <f t="shared" ca="1" si="225"/>
        <v>#N/A</v>
      </c>
      <c r="KB37" s="218" t="e">
        <f t="shared" ca="1" si="169"/>
        <v>#N/A</v>
      </c>
      <c r="KC37" s="218" t="e">
        <f t="shared" ca="1" si="72"/>
        <v>#N/A</v>
      </c>
      <c r="KD37" s="218" t="e">
        <f t="shared" ca="1" si="73"/>
        <v>#N/A</v>
      </c>
      <c r="KE37" s="218" t="e">
        <f t="shared" ca="1" si="74"/>
        <v>#N/A</v>
      </c>
      <c r="KF37" s="218" t="e">
        <f t="shared" ca="1" si="75"/>
        <v>#N/A</v>
      </c>
      <c r="KG37" s="216" t="e">
        <f t="shared" ca="1" si="76"/>
        <v>#N/A</v>
      </c>
      <c r="KH37" s="221" t="e">
        <f ca="1">IF(Control!$B$24=0,1,MAX(0.001,MIN(1,IF(($IF37-$IE37)&lt;&gt;0,($KG37-$IE37)/($IF37-$IE37),1))))</f>
        <v>#N/A</v>
      </c>
      <c r="KI37" s="222" t="e">
        <f ca="1">IF(Control!$C$114=1, $KI36+ $KH36, 0)</f>
        <v>#N/A</v>
      </c>
      <c r="KJ37" s="217" t="e">
        <f t="shared" ca="1" si="77"/>
        <v>#N/A</v>
      </c>
      <c r="KK37" s="218" t="e">
        <f t="shared" ca="1" si="78"/>
        <v>#N/A</v>
      </c>
      <c r="KL37" s="274" t="e">
        <f ca="1">IF(Control!$B$26=3,4000000000*EXP(-8400/($G37+273)),IF(Control!$B$26=4,4000000000*EXP(-8400/($G37+273))*($KT37),0))</f>
        <v>#DIV/0!</v>
      </c>
      <c r="KM37" s="274" t="e">
        <f ca="1">IF(Control!$B$26=3,5600000000000*EXP(-9800/($G37+273)),IF(Control!$B$26=4,5600000000000*EXP(-9800/($G37+273))*$KT37,0))</f>
        <v>#DIV/0!</v>
      </c>
      <c r="KN37" s="454" t="e">
        <f t="shared" ca="1" si="170"/>
        <v>#DIV/0!</v>
      </c>
      <c r="KO37" s="274" t="e">
        <f t="shared" ca="1" si="171"/>
        <v>#DIV/0!</v>
      </c>
      <c r="KP37" s="454" t="e">
        <f t="shared" ca="1" si="79"/>
        <v>#DIV/0!</v>
      </c>
      <c r="KQ37" s="454" t="e">
        <f t="shared" ca="1" si="80"/>
        <v>#DIV/0!</v>
      </c>
      <c r="KR37" s="454" t="e">
        <f t="shared" ca="1" si="81"/>
        <v>#DIV/0!</v>
      </c>
      <c r="KS37" s="454" t="e">
        <f t="shared" ca="1" si="82"/>
        <v>#DIV/0!</v>
      </c>
      <c r="KT37" s="455" t="e">
        <f t="shared" ca="1" si="83"/>
        <v>#DIV/0!</v>
      </c>
      <c r="KU37" s="456" t="e">
        <f ca="1">IF($CP37-Control!$C$149&lt;0, IF($NT37-0.01&lt;0,0,1),0)</f>
        <v>#N/A</v>
      </c>
      <c r="KV37" s="456" t="e">
        <f ca="1">IF(Control!$C$114=1,MAX(0,MIN(Control!$C$125*$KW37*$GN37,$KW37)))</f>
        <v>#DIV/0!</v>
      </c>
      <c r="KW37" s="456" t="e">
        <f t="shared" ca="1" si="208"/>
        <v>#DIV/0!</v>
      </c>
      <c r="KX37" s="457" t="e">
        <f ca="1">IF($CP37-Control!$C$149&lt;0, IF($MR37-$OM37&lt;0,0,1),0)</f>
        <v>#N/A</v>
      </c>
      <c r="KY37" s="167">
        <f t="shared" ca="1" si="172"/>
        <v>32</v>
      </c>
      <c r="KZ37" s="168">
        <f ca="1">1370*(1+0.033*COS(2*Control!$C$138*$AH37/365))</f>
        <v>1408.5223942469584</v>
      </c>
      <c r="LA37" s="169">
        <f t="shared" ca="1" si="173"/>
        <v>1.0281185581963432</v>
      </c>
      <c r="LB37" s="169">
        <f t="shared" ca="1" si="174"/>
        <v>-0.30432562504334304</v>
      </c>
      <c r="LC37" s="169">
        <f ca="1">ACOS(-TAN((2*Control!$B$8/360))*TAN(Calculations!$LB37))</f>
        <v>1.4773140260886972</v>
      </c>
      <c r="LD37" s="169">
        <f ca="1">((24*60)/PI())*0.082*$LA37*(($LC37*SIN(Control!$B$8*2*PI()/360))*SIN($LB37)+COS(Control!$B$8*2*PI()/360)*COS($LB37)*SIN($LC37))</f>
        <v>9.1186626860753108</v>
      </c>
      <c r="LE37" s="170">
        <f t="shared" ca="1" si="84"/>
        <v>10.207608429905537</v>
      </c>
      <c r="LF37" s="170">
        <f ca="1">SIN(Control!$C$139*Control!$B$8)*SIN($HD37)</f>
        <v>-0.2351369700760392</v>
      </c>
      <c r="LG37" s="170">
        <f ca="1">COS(Control!$C$139*Control!$B$8)*COS($HD37)</f>
        <v>0.58761232283070575</v>
      </c>
      <c r="LH37" s="170">
        <f ca="1">12*(1+2*ASIN(MAX(-1,MIN(1,$LF37/$LG37))/Control!$C$138))</f>
        <v>8.9347086581517807</v>
      </c>
      <c r="LI37" s="170">
        <f ca="1">12*(1+2*ASIN(MAX(-1,MIN(1,(-SIN(-4*Control!$C$139)+$LF37)/$LG37))/Control!$C$138))</f>
        <v>9.8470400042017587</v>
      </c>
      <c r="LJ37" s="168">
        <f ca="1">3600*($LH37*$LF37+24*$LG37*SQRT(1-$LK37*$LK37)/Control!$C$138)</f>
        <v>7247.0331118610684</v>
      </c>
      <c r="LK37" s="170">
        <f t="shared" ca="1" si="85"/>
        <v>-0.40015663548938785</v>
      </c>
      <c r="LL37" s="170">
        <f t="shared" ca="1" si="86"/>
        <v>0</v>
      </c>
      <c r="LM37" s="171">
        <f ca="1">Control!$C$145*$AB37</f>
        <v>6.6660906138995932E-2</v>
      </c>
      <c r="LN37" s="170">
        <f t="shared" ca="1" si="175"/>
        <v>0.54</v>
      </c>
      <c r="LO37" s="170">
        <f t="shared" ca="1" si="87"/>
        <v>0</v>
      </c>
      <c r="LP37" s="170">
        <f ca="1">Control!$C$140*((($D37+273.16)^4+($E37+273.16)^4)/2)*(0.34-0.14*SQRT($Y37))*(1.35*$AQ37/(0.75*$LD37)-0.35)</f>
        <v>-3.2464704755046001</v>
      </c>
      <c r="LQ37" s="170">
        <f ca="1">Control!$C$140*($G37+273)^4*(0.56-0.079*SQRT($Y37*10))*(0.1+0.9*$LO37)</f>
        <v>1.5241745131704001</v>
      </c>
      <c r="LR37" s="170">
        <f ca="1">$AQ37*(1-Control!$C$142)-$LQ37</f>
        <v>-1.5241745131704001</v>
      </c>
      <c r="LS37" s="170">
        <f ca="1">$AQ37*(1-Control!$C$143)-$LQ37</f>
        <v>-1.5241745131704001</v>
      </c>
      <c r="LT37" s="170">
        <f ca="1">$AQ37*(1-Control!$C$144)-$LQ37</f>
        <v>-1.5241745131704001</v>
      </c>
      <c r="LU37" s="169">
        <f ca="1">(1-Control!$C$144)*AQ37-LP37</f>
        <v>3.2464704755046001</v>
      </c>
      <c r="LV37" s="172">
        <f t="shared" ca="1" si="88"/>
        <v>0.79430000000000012</v>
      </c>
      <c r="LW37" s="170">
        <f t="shared" ca="1" si="89"/>
        <v>1.5886000000000002</v>
      </c>
      <c r="LX37" s="170">
        <f ca="1">($AC37*($LR37/Control!$C$141)+$LM37*$LV37)/($AC37+$LM37)</f>
        <v>0.23530094218323697</v>
      </c>
      <c r="LY37" s="170">
        <f ca="1">($AC37*($LS37/Control!$C$141)+$LM37*$LV37)/($AC37+$LM37)</f>
        <v>0.23530094218323697</v>
      </c>
      <c r="LZ37" s="170">
        <f t="shared" ca="1" si="90"/>
        <v>0.23530094218323697</v>
      </c>
      <c r="MA37" s="170">
        <f t="shared" ca="1" si="91"/>
        <v>0.23530094218323697</v>
      </c>
      <c r="MB37" s="170" t="e">
        <f t="shared" ca="1" si="92"/>
        <v>#N/A</v>
      </c>
      <c r="MC37" s="170">
        <f t="shared" ca="1" si="176"/>
        <v>0.6018</v>
      </c>
      <c r="MD37" s="170">
        <f t="shared" ca="1" si="93"/>
        <v>0.52989392535414004</v>
      </c>
      <c r="ME37" s="170">
        <f ca="1">($AC37*($LT37/Control!$C$141)+$LM37*$LW37)/($AC37+$LM37)</f>
        <v>0.71612369323045078</v>
      </c>
      <c r="MF37" s="170" t="e">
        <f ca="1">IF(Control!$B$16&gt;=1000,0.92,IF(AND(720&lt;=Control!$B$16,1000&gt;Control!$B$16),(0.95+(Control!$B$16-720)*((0.92-0.95)/(1000-720))),IF(AND(360&lt;=Control!$B$16,720&gt;Control!$B$16),(1+(Control!$B$16-360)*((0.95-1)/(720-360))),IF(AND(40&lt;=Control!$B$16,360&gt;Control!$B$16),(1.05+(Control!$B$16-40)*((1.05-1)/(360-40)))))))</f>
        <v>#N/A</v>
      </c>
      <c r="MG37" s="170">
        <f t="shared" ca="1" si="94"/>
        <v>0.71612369323045078</v>
      </c>
      <c r="MH37" s="170" t="e">
        <f t="shared" ca="1" si="230"/>
        <v>#N/A</v>
      </c>
      <c r="MI37" s="170" t="e">
        <f t="shared" ca="1" si="230"/>
        <v>#N/A</v>
      </c>
      <c r="MJ37" s="170" t="e">
        <f ca="1">MAX(0.0001, Control!$C$132*$MI37*$DL37)</f>
        <v>#N/A</v>
      </c>
      <c r="MK37" s="170">
        <f ca="1">1/(0.76+1.5*($MG37/10))-(5-Control!$C$110)*0.1</f>
        <v>1.002845988140797</v>
      </c>
      <c r="ML37" s="173">
        <f ca="1">IF(Control!$C$110&lt;3,$MK37+($MG37-0.6)/(Control!$C$110*(Control!$C$110+3)), MAX(0.1, MIN(0.95,$MK37)))</f>
        <v>0.95</v>
      </c>
      <c r="MM37" s="173">
        <f ca="1">IF(Control!$C$110&lt;3,$MK37+(($MI37/10)-0.6)/(Control!$C$110*(Control!$C$110+3)), MAX(0.1, MIN(0.95,$MK37)))</f>
        <v>0.95</v>
      </c>
      <c r="MN37" s="173">
        <f ca="1">(1-$MM37)*(Control!$C$128-Control!$C$127)+Control!$C$127</f>
        <v>0.16</v>
      </c>
      <c r="MO37" s="170" t="e">
        <f ca="1">MAX(0,MIN(1,($MS37-Control!$C$127)/($MN37-Control!$C$127)))</f>
        <v>#DIV/0!</v>
      </c>
      <c r="MP37" s="173" t="e">
        <f ca="1">1/(0.76+1.5*$MI37)-(5-Control!$C$110)*0.1</f>
        <v>#N/A</v>
      </c>
      <c r="MQ37" s="172" t="e">
        <f t="shared" ca="1" si="209"/>
        <v>#DIV/0!</v>
      </c>
      <c r="MR37" s="168" t="e">
        <f t="shared" ca="1" si="226"/>
        <v>#DIV/0!</v>
      </c>
      <c r="MS37" s="173" t="e">
        <f ca="1">MAX(Control!$C$127, MIN(Control!$C$135, $MR37/MAX(0.0001,$CY37)))</f>
        <v>#DIV/0!</v>
      </c>
      <c r="MT37" s="168" t="e">
        <f ca="1">(Control!$C$128-$MS37)*Control!$C$74</f>
        <v>#DIV/0!</v>
      </c>
      <c r="MU37" s="168" t="e">
        <f ca="1">(Control!$C$135-$MS37)*Control!$C$74</f>
        <v>#DIV/0!</v>
      </c>
      <c r="MV37" s="168" t="e">
        <f t="shared" ca="1" si="210"/>
        <v>#DIV/0!</v>
      </c>
      <c r="MW37" s="168" t="e">
        <f t="shared" ca="1" si="177"/>
        <v>#DIV/0!</v>
      </c>
      <c r="MX37" s="171" t="e">
        <f ca="1">MAX(Control!$C$127, MIN(Control!$C$135, $MW37/MAX(0.0001,Control!$C$119-$CY37)))</f>
        <v>#DIV/0!</v>
      </c>
      <c r="MY37" s="54" t="e">
        <f ca="1">IF(Control!$C$114=1, $CX37*$MX37, 0)</f>
        <v>#DIV/0!</v>
      </c>
      <c r="MZ37" s="54" t="e">
        <f t="shared" ca="1" si="178"/>
        <v>#N/A</v>
      </c>
      <c r="NA37" s="168" t="e">
        <f ca="1">(Control!$C$128-$MX37)*(Control!$C$119-Control!$C$74)</f>
        <v>#DIV/0!</v>
      </c>
      <c r="NB37" s="168" t="e">
        <f ca="1">(Control!$C$135-$MX37)*(Control!$C$119-Control!$C$74)</f>
        <v>#DIV/0!</v>
      </c>
      <c r="NC37" s="174" t="e">
        <f t="shared" ca="1" si="179"/>
        <v>#DIV/0!</v>
      </c>
      <c r="ND37" s="54">
        <f ca="1">IF(Control!$C$58=2, IF(OR(Control!$B$218=$AH37,Control!$B$219=$AH37, Control!$B$220=$AH37, Control!$B$221=$AH37, Control!$B$222=$AH37, Control!$B$223=$AH37, Control!$B$224=$AH37, Control!$B$225=$AH37, Control!$B$226=$AH37, Control!$B$227=$AH37, Control!$B$228=$AH37), 1, 0), 0)</f>
        <v>0</v>
      </c>
      <c r="NE37" s="54">
        <f ca="1">IF($ND37=0,0, VLOOKUP($AH37,Control!$B$218:$C$228,2))</f>
        <v>0</v>
      </c>
      <c r="NF37" s="168" t="e">
        <f ca="1">$CY37*(Control!$C$128-Control!$C$127)</f>
        <v>#N/A</v>
      </c>
      <c r="NG37" s="54" t="e">
        <f ca="1">IF(Control!$C$58=2, $NI36-$NJ36, 0)</f>
        <v>#DIV/0!</v>
      </c>
      <c r="NH37" s="54" t="e">
        <f ca="1">IF(AND(Control!$C$58=1, $MS36&lt;= ($MN36+0.02), $I36&lt;10), 0, IF(Control!$C$58=2, $NG36, 0))</f>
        <v>#DIV/0!</v>
      </c>
      <c r="NI37" s="54" t="e">
        <f ca="1">IF(Control!$C$58=2, $NE37+$NH37,0)</f>
        <v>#DIV/0!</v>
      </c>
      <c r="NJ37" s="54" t="e">
        <f ca="1">IF(AND(Control!$C$58=1, $MS37&lt;= ($MN37+0.02), $I37&lt;10), MAX(0, MIN(10, 0.7*($NF37-$MV37))), IF(Control!$C$58=2, MIN(10,$NI37),0))</f>
        <v>#DIV/0!</v>
      </c>
      <c r="NK37" s="54" t="e">
        <f t="shared" ca="1" si="96"/>
        <v>#DIV/0!</v>
      </c>
      <c r="NL37" s="173" t="e">
        <f ca="1">(1-Control!$C$73)*$I37+$NJ37</f>
        <v>#DIV/0!</v>
      </c>
      <c r="NM37" s="172" t="e">
        <f ca="1">IF($NL37&lt;0.5, $MB37* MAX(0, MIN(1, (SQRT($NC37)-SQRT($NC37-1))*Control!$C$71)),0)</f>
        <v>#DIV/0!</v>
      </c>
      <c r="NN37" s="170" t="e">
        <f ca="1">IF($NL37&gt;=5, $MB37, MAX(0,MIN($MB37, $NM37+$NL37,($MS37-Control!$C$129))))</f>
        <v>#DIV/0!</v>
      </c>
      <c r="NO37" s="54">
        <f>IF(Control!$C$133&lt;&gt;1, Control!$C$135-Control!$C$131, 0)</f>
        <v>0.38</v>
      </c>
      <c r="NP37" s="54" t="e">
        <f t="shared" ca="1" si="97"/>
        <v>#DIV/0!</v>
      </c>
      <c r="NQ37" s="173" t="e">
        <f ca="1">MAX(0,MIN(1,(Control!$C$135-$MS37)/(Control!$C$135-$NO37)))</f>
        <v>#DIV/0!</v>
      </c>
      <c r="NR37" s="170" t="e">
        <f ca="1">IF(Control!$C$133&lt;&gt;1, $NQ37+((1-$NP37/4)*(1-$NQ37)),1)</f>
        <v>#DIV/0!</v>
      </c>
      <c r="NS37" s="170" t="e">
        <f ca="1">IF(Control!$B$31=0,$MJ37,MAX(0,MIN($MV37,$MO37*$NR37*$MJ37)))</f>
        <v>#DIV/0!</v>
      </c>
      <c r="NT37" s="170" t="e">
        <f t="shared" ca="1" si="227"/>
        <v>#DIV/0!</v>
      </c>
      <c r="NU37" s="170" t="e">
        <f t="shared" ca="1" si="180"/>
        <v>#N/A</v>
      </c>
      <c r="NV37" s="170" t="e">
        <f t="shared" ca="1" si="98"/>
        <v>#N/A</v>
      </c>
      <c r="NW37" s="175" t="e">
        <f t="shared" ca="1" si="99"/>
        <v>#DIV/0!</v>
      </c>
      <c r="NX37" s="170" t="e">
        <f ca="1">MIN(Control!$C$72+$MU37, $NW37)</f>
        <v>#DIV/0!</v>
      </c>
      <c r="NY37" s="170" t="e">
        <f ca="1">IF($MT37&lt;=$NX37,MIN(Control!$C$72+$NB37,$NX37-$MT37),0)</f>
        <v>#DIV/0!</v>
      </c>
      <c r="NZ37" s="54" t="e">
        <f ca="1">IF(Control!$C$114=1,  $CX37*($MX37-Control!$C$127), 0)</f>
        <v>#DIV/0!</v>
      </c>
      <c r="OA37" s="170" t="e">
        <f t="shared" ca="1" si="181"/>
        <v>#DIV/0!</v>
      </c>
      <c r="OB37" s="170" t="e">
        <f ca="1">IF($NA37 &lt;=$NY37, MIN(Control!$C$72, $NY37-$NA37), 0)</f>
        <v>#DIV/0!</v>
      </c>
      <c r="OC37" s="168" t="e">
        <f t="shared" ca="1" si="100"/>
        <v>#DIV/0!</v>
      </c>
      <c r="OD37" s="168" t="e">
        <f t="shared" ca="1" si="182"/>
        <v>#DIV/0!</v>
      </c>
      <c r="OE37" s="170">
        <f ca="1">Control!$C$73*$I37</f>
        <v>0</v>
      </c>
      <c r="OF37" s="176" t="e">
        <f t="shared" ca="1" si="101"/>
        <v>#DIV/0!</v>
      </c>
      <c r="OG37" s="168" t="e">
        <f t="shared" ca="1" si="102"/>
        <v>#DIV/0!</v>
      </c>
      <c r="OH37" s="168" t="e">
        <f t="shared" ca="1" si="103"/>
        <v>#DIV/0!</v>
      </c>
      <c r="OI37" s="168" t="e">
        <f t="shared" ca="1" si="104"/>
        <v>#DIV/0!</v>
      </c>
      <c r="OJ37" s="168" t="e">
        <f t="shared" ca="1" si="105"/>
        <v>#DIV/0!</v>
      </c>
      <c r="OK37" s="204" t="e">
        <f t="shared" ca="1" si="183"/>
        <v>#DIV/0!</v>
      </c>
      <c r="OL37" s="177">
        <f>Control!$C$127</f>
        <v>0.15</v>
      </c>
      <c r="OM37" s="182" t="e">
        <f t="shared" ca="1" si="106"/>
        <v>#N/A</v>
      </c>
      <c r="ON37" s="177">
        <f>Control!$C$128</f>
        <v>0.35</v>
      </c>
      <c r="OO37" s="182" t="e">
        <f t="shared" ca="1" si="107"/>
        <v>#N/A</v>
      </c>
      <c r="OP37" s="138">
        <f t="shared" ca="1" si="184"/>
        <v>0</v>
      </c>
      <c r="OQ37" s="138" t="e">
        <f t="shared" ca="1" si="211"/>
        <v>#DIV/0!</v>
      </c>
      <c r="OR37" s="138" t="e">
        <f t="shared" ca="1" si="185"/>
        <v>#DIV/0!</v>
      </c>
      <c r="OS37" s="137" t="e">
        <f t="shared" ca="1" si="212"/>
        <v>#DIV/0!</v>
      </c>
      <c r="OT37" s="139" t="e">
        <f t="shared" ca="1" si="213"/>
        <v>#DIV/0!</v>
      </c>
      <c r="OU37" s="138" t="e">
        <f t="shared" ca="1" si="214"/>
        <v>#N/A</v>
      </c>
      <c r="OV37" s="138" t="e">
        <f t="shared" ca="1" si="215"/>
        <v>#DIV/0!</v>
      </c>
      <c r="OW37" s="138" t="e">
        <f t="shared" ca="1" si="186"/>
        <v>#DIV/0!</v>
      </c>
      <c r="OX37" s="138" t="e">
        <f t="shared" ca="1" si="187"/>
        <v>#DIV/0!</v>
      </c>
      <c r="OY37" s="138" t="e">
        <f t="shared" ca="1" si="188"/>
        <v>#DIV/0!</v>
      </c>
      <c r="OZ37" s="138" t="e">
        <f t="shared" ca="1" si="108"/>
        <v>#DIV/0!</v>
      </c>
      <c r="PA37" s="138" t="e">
        <f t="shared" ca="1" si="109"/>
        <v>#DIV/0!</v>
      </c>
      <c r="PB37" s="55">
        <f>IF(Control!$C$61="T", IF(Control!$C$65="F", IF($AH$6-Control!$C$60&lt;0,0,1), IF(365+$AH$6-Control!$C$60&lt;0,0,1)),0)</f>
        <v>0</v>
      </c>
      <c r="PC37" s="55">
        <f ca="1">IF(Control!$C$65="F", IF($AH$6-$HF37&lt;0,0,1), IF(365+$AH$6-$HF37&lt;0,0,1))</f>
        <v>1</v>
      </c>
      <c r="PD37" s="444">
        <f>Control!$C$118</f>
        <v>1500</v>
      </c>
      <c r="PE37" s="180" t="e">
        <f t="shared" ca="1" si="110"/>
        <v>#N/A</v>
      </c>
      <c r="PF37" s="445">
        <f t="shared" ca="1" si="189"/>
        <v>0.71612369323045078</v>
      </c>
      <c r="PT37" s="186"/>
      <c r="PU37" s="186"/>
      <c r="PV37" s="94"/>
      <c r="PW37" s="94"/>
      <c r="PX37" s="94"/>
      <c r="PY37" s="94"/>
      <c r="PZ37" s="94"/>
      <c r="QA37" s="94"/>
      <c r="QB37" s="94"/>
      <c r="QC37" s="94"/>
      <c r="QD37" s="94"/>
      <c r="QE37" s="94"/>
      <c r="QF37" s="94"/>
      <c r="QG37" s="94"/>
      <c r="QH37" s="94"/>
      <c r="QI37" s="94"/>
      <c r="QJ37" s="94"/>
      <c r="QK37" s="94"/>
      <c r="QL37" s="94"/>
      <c r="QM37" s="94"/>
      <c r="QN37" s="94"/>
      <c r="QO37" s="94"/>
      <c r="QP37" s="94"/>
    </row>
    <row r="38" spans="1:458" s="2" customFormat="1" x14ac:dyDescent="0.2">
      <c r="A38" s="395">
        <v>2</v>
      </c>
      <c r="B38" s="396">
        <v>2</v>
      </c>
      <c r="C38" s="387">
        <f ca="1">Weather_data!$B37</f>
        <v>0</v>
      </c>
      <c r="D38" s="388">
        <f ca="1">Weather_data!$F37</f>
        <v>0</v>
      </c>
      <c r="E38" s="388">
        <f ca="1">Weather_data!$E37</f>
        <v>0</v>
      </c>
      <c r="F38" s="388">
        <f t="shared" ca="1" si="111"/>
        <v>0</v>
      </c>
      <c r="G38" s="388">
        <f ca="1">AVERAGE($D38:$E38)+Control!$B$9</f>
        <v>0</v>
      </c>
      <c r="H38" s="388">
        <f ca="1">Weather_data!$G37</f>
        <v>0</v>
      </c>
      <c r="I38" s="388">
        <f ca="1">Weather_data!$I37</f>
        <v>0</v>
      </c>
      <c r="J38" s="388">
        <f ca="1">Weather_data!$H37</f>
        <v>0</v>
      </c>
      <c r="K38" s="389">
        <f ca="1">Weather_data!$D37</f>
        <v>0</v>
      </c>
      <c r="L38" s="388" t="e">
        <f t="shared" ca="1" si="112"/>
        <v>#N/A</v>
      </c>
      <c r="M38" s="388" t="e">
        <f t="shared" ca="1" si="0"/>
        <v>#N/A</v>
      </c>
      <c r="N38" s="388">
        <f t="shared" ca="1" si="1"/>
        <v>-1.7168419101462558E-2</v>
      </c>
      <c r="O38" s="388">
        <f t="shared" ca="1" si="113"/>
        <v>0.17168419101462556</v>
      </c>
      <c r="P38" s="390">
        <v>3</v>
      </c>
      <c r="Q38" s="388">
        <f ca="1">MAX($G38-Control!$C$107,0)</f>
        <v>0</v>
      </c>
      <c r="R38" s="388">
        <f t="shared" ca="1" si="114"/>
        <v>0</v>
      </c>
      <c r="S38" s="388">
        <f t="shared" ca="1" si="2"/>
        <v>0</v>
      </c>
      <c r="T38" s="388">
        <f t="shared" ca="1" si="3"/>
        <v>0</v>
      </c>
      <c r="U38" s="59">
        <f t="shared" ca="1" si="4"/>
        <v>0</v>
      </c>
      <c r="V38" s="391">
        <f ca="1">MAX(0,MIN(Control!$C$100-Control!$C$99,$G38-Control!$C$99)*Control!$C$63)</f>
        <v>0</v>
      </c>
      <c r="W38" s="388">
        <f t="shared" ca="1" si="190"/>
        <v>0</v>
      </c>
      <c r="X38" s="388">
        <f t="shared" ca="1" si="115"/>
        <v>0.6110000000000001</v>
      </c>
      <c r="Y38" s="388">
        <f t="shared" ca="1" si="116"/>
        <v>0</v>
      </c>
      <c r="Z38" s="388">
        <f t="shared" ca="1" si="117"/>
        <v>0.61058800000000002</v>
      </c>
      <c r="AA38" s="388">
        <f t="shared" ca="1" si="5"/>
        <v>0.6018</v>
      </c>
      <c r="AB38" s="388">
        <f ca="1">101.3*EXP(-0.034*Control!$C$66/($G38+273))</f>
        <v>100.69623283836242</v>
      </c>
      <c r="AC38" s="392">
        <f t="shared" ca="1" si="6"/>
        <v>4.3460251046025113E-2</v>
      </c>
      <c r="AD38" s="392">
        <f t="shared" ca="1" si="7"/>
        <v>4.4450382862832649E-2</v>
      </c>
      <c r="AE38" s="388">
        <f t="shared" ca="1" si="8"/>
        <v>0</v>
      </c>
      <c r="AF38" s="388">
        <f ca="1">MAX(0,$G38-Control!$C$92)</f>
        <v>0</v>
      </c>
      <c r="AG38" s="393">
        <f t="shared" ca="1" si="118"/>
        <v>33</v>
      </c>
      <c r="AH38" s="389">
        <f t="shared" ca="1" si="9"/>
        <v>33</v>
      </c>
      <c r="AI38" s="388">
        <f t="shared" ca="1" si="119"/>
        <v>-0.29821676238095679</v>
      </c>
      <c r="AJ38" s="388">
        <f ca="1">IF(Control!$C$60&lt;=0,$HH38,$HI38)</f>
        <v>1</v>
      </c>
      <c r="AK38" s="388">
        <f t="shared" ca="1" si="10"/>
        <v>-0.80906769708887827</v>
      </c>
      <c r="AL38" s="388">
        <f t="shared" ca="1" si="11"/>
        <v>1.7132077007042667E-18</v>
      </c>
      <c r="AM38" s="388">
        <f t="shared" ca="1" si="12"/>
        <v>-0.80906769708887827</v>
      </c>
      <c r="AN38" s="388">
        <f t="shared" ca="1" si="13"/>
        <v>-0.29199734643596453</v>
      </c>
      <c r="AO38" s="388">
        <f ca="1">-0.10453/COS(Control!$B$8*PI()/180)*COS(AN38)</f>
        <v>-0.16259800995235121</v>
      </c>
      <c r="AP38" s="388">
        <f ca="1">ACOS(AO38-TAN(Control!$B$8*PI()/180)*TAN(AN38))</f>
        <v>1.3467888508525729</v>
      </c>
      <c r="AQ38" s="388">
        <f t="shared" ca="1" si="120"/>
        <v>0</v>
      </c>
      <c r="AR38" s="394">
        <f t="shared" ca="1" si="14"/>
        <v>0</v>
      </c>
      <c r="AS38" s="436">
        <f ca="1">IF(Control!$B$18=2,(IF(OR($AH38=Control!$B$175,$AH38=Control!$B$176,$AH38=Control!$B$177,$AH38=Control!$B$178,$AH38=Control!$B$179,$AH38=Control!$B$180,$AH38=Control!$B$181,$AH38=Control!$B$182,$AH38=Control!$B$183,$AH38=Control!$B$184,$AH38=Control!$B$185),1,0)),0)</f>
        <v>0</v>
      </c>
      <c r="AT38" s="436">
        <f>IF(Control!$B$20=8,IF(AND($AH38&gt;=Control!$B$172,$AH38&lt;=Control!$B$173),1,0),0)</f>
        <v>0</v>
      </c>
      <c r="AU38" s="436">
        <f>IF(Control!$B$20=8,IF($AV37=1,1*$AT38,IF($AT38=1,$AU37+1,$AU37)),0)</f>
        <v>0</v>
      </c>
      <c r="AV38" s="436">
        <f>IF(Control!$B$20=8,IF($AU38&gt;=Control!$B$174,1,0),0)</f>
        <v>0</v>
      </c>
      <c r="AW38" s="436">
        <f ca="1">IF(AND(Control!$B$18=2,Control!$B$171=1), $AV38, $AS38)</f>
        <v>0</v>
      </c>
      <c r="AX38" s="436" t="e">
        <f ca="1">IF(AND(Control!$B$18=1,$EU38&gt;=Control!$B$19),-$AY38,IF(AND(Control!$B$18=2,$AW38=1,$EU38&gt;$DS38),-$AY38, IF(Control!$C$108=0,0, IF(Control!$C$108&lt;&gt;0,1))))</f>
        <v>#N/A</v>
      </c>
      <c r="AY38" s="436" t="e">
        <f t="shared" ca="1" si="121"/>
        <v>#N/A</v>
      </c>
      <c r="AZ38" s="436" t="e">
        <f ca="1">IF(AND(Control!$B$18=1,$EB38&gt;Control!$B$19),$AZ37+1, IF(AND(Control!$B$18=2, $AW38=1, $EB38&gt;$DS38), $AZ37+1,$AZ37))</f>
        <v>#N/A</v>
      </c>
      <c r="BA38" s="587">
        <f>IF(Control!$C$81=0,1,IF($AH38&gt;=Control!$C$82,1,0))</f>
        <v>1</v>
      </c>
      <c r="BB38" s="140" t="e">
        <f ca="1">IF($BA38&gt;$BA37,Control!$C$83,IF($AW38&gt;0,$AW38*Control!$C$84,IF(AND(Control!$B$18=1,EN37&lt;&gt;0),Control!$C$84,0)))</f>
        <v>#N/A</v>
      </c>
      <c r="BC38" s="140" t="e">
        <f t="shared" ca="1" si="122"/>
        <v>#N/A</v>
      </c>
      <c r="BD38" s="140" t="e">
        <f ca="1">BC38*IF(OR($G38&lt;Control!$C$92,$G38&gt;Control!$C$95),0,IF(AND($G38&gt;=Control!$C$92,$G38&lt;=Control!$C$93),$G38-Control!$C$92,IF(AND($G38&gt;Control!$C$93,$G38&lt;=Control!$C$94),Control!$C$93-Control!$C$92,IF(AND($G38&gt;Control!$C$94,$G38&lt;=Control!$C$95),(Control!$C$93-Control!$C$92)*(Control!$C$94-$G38)/(Control!$C$95-Control!$C$94)))))</f>
        <v>#N/A</v>
      </c>
      <c r="BE38" s="140" t="e">
        <f t="shared" ca="1" si="123"/>
        <v>#N/A</v>
      </c>
      <c r="BF38" s="140" t="e">
        <f ca="1">IF($BE38&lt;=Control!$C$86,$BE38,Control!$C$86-$BE38)</f>
        <v>#N/A</v>
      </c>
      <c r="BG38" s="140" t="e">
        <f ca="1">IF(AND($AW38=1,Control!$C$84&lt;9),1,IF($BE38&gt;=Control!$C$86,0,$BC38))</f>
        <v>#N/A</v>
      </c>
      <c r="BH38" s="404" t="e">
        <f ca="1">IF($BG38=0,0,IF($BE38&lt;=Control!$C$86,$BC38*9*($BF38/Control!$C$86),0))</f>
        <v>#N/A</v>
      </c>
      <c r="BI38" s="140" t="e">
        <f ca="1">IF($BG38=1,0,IF($BE38&gt;=Control!$C$86,1,IF(AND($BB38&lt;21,$BB38&gt;=9),1,$BM37)))</f>
        <v>#N/A</v>
      </c>
      <c r="BJ38" s="140" t="e">
        <f ca="1">IF($BF38&lt;0,-$BF38,$BI38*IF(OR($G38&lt;Control!$C$92,$G38&gt;Control!$C$95),0,IF(AND($G38&gt;=Control!$C$92,$G38&lt;=Control!$C$93),$G38-Control!$C$92,IF(AND($G38&gt;Control!$C$93,$G38&lt;=Control!$C$94),Control!$C$93-Control!$C$92,IF(AND($G38&gt;Control!$C$94,$G38&lt;=Control!$C$95),(Control!$C$93-Control!$C$92)*(Control!$C$94-$G38)/(Control!$C$95-Control!$C$94))))))</f>
        <v>#N/A</v>
      </c>
      <c r="BK38" s="140" t="e">
        <f t="shared" ca="1" si="124"/>
        <v>#N/A</v>
      </c>
      <c r="BL38" s="140" t="e">
        <f ca="1">IF($BK38&lt;=Control!$C$87,$BK38,Control!$C$87-$BK38)</f>
        <v>#N/A</v>
      </c>
      <c r="BM38" s="140" t="e">
        <f ca="1">IF(AND($BB38&gt;=9,$BB38&lt;21),1,IF($BK38&gt;=Control!$C$87,0,$BI38))</f>
        <v>#N/A</v>
      </c>
      <c r="BN38" s="404" t="e">
        <f ca="1">IF($BM38=0,0,IF($BK38&lt;=Control!$C$87,$BI38*(9+(21-9)*($BL38/Control!$C$87)),0))</f>
        <v>#N/A</v>
      </c>
      <c r="BO38" s="140" t="e">
        <f ca="1">IF($BM38=1,0,IF($BK38&gt;=Control!$C$87,1,IF(AND($BB38&lt;30,$BB38&gt;=21),1,$BS37)))</f>
        <v>#N/A</v>
      </c>
      <c r="BP38" s="140" t="e">
        <f ca="1">IF($BL38&lt;0,-$BL38,$BO38*IF(OR($G38&lt;Control!$C$92,$G38&gt;Control!$C$95),0,IF(AND($G38&gt;=Control!$C$92,$G38&lt;=Control!$C$93),$G38-Control!$C$92,IF(AND($G38&gt;Control!$C$93,$G38&lt;=Control!$C$94),Control!$C$93-Control!$C$92,IF(AND($G38&gt;Control!$C$94,$G38&lt;=Control!$C$95),(Control!$C$93-Control!$C$92)*(Control!$C$94-$G38)/(Control!$C$95-Control!$C$94))))))</f>
        <v>#N/A</v>
      </c>
      <c r="BQ38" s="140" t="e">
        <f t="shared" ca="1" si="15"/>
        <v>#N/A</v>
      </c>
      <c r="BR38" s="140" t="e">
        <f ca="1">IF($BQ38&lt;=Control!$C$88,$BQ38,Control!$C$88-$BQ38)</f>
        <v>#N/A</v>
      </c>
      <c r="BS38" s="140" t="e">
        <f ca="1">IF(AND($BB38&gt;=21,$BB38&lt;30),1,IF($BQ38&gt;=Control!$C$88,0,$BO38))</f>
        <v>#N/A</v>
      </c>
      <c r="BT38" s="404" t="e">
        <f ca="1">IF($BS38=0,0,IF($BQ38&lt;=Control!$C$88,$BO38*(21+(30-21)*(BR38/Control!$C$88)),0))</f>
        <v>#N/A</v>
      </c>
      <c r="BU38" s="140" t="e">
        <f ca="1">IF(BG38+BM38+BS38=1,0,IF(OR(AND($BB38&lt;60,$BB38&gt;=30),$BQ38&gt;=Control!$C$88),1*$BA38,$BY37))</f>
        <v>#N/A</v>
      </c>
      <c r="BV38" s="140" t="e">
        <f ca="1">IF($BR38&lt;0,-$BR38,$BU38*IF(OR($G38&lt;Control!$C$92,$G38&gt;Control!$C$95),0,IF(AND($G38&gt;=Control!$C$92,$G38&lt;=Control!$C$93),$G38-Control!$C$92,IF(AND($G38&gt;Control!$C$93,$G38&lt;=Control!$C$94),Control!$C$93-Control!$C$92,IF(AND($G38&gt;Control!$C$94,$G38&lt;=Control!$C$95),(Control!$C$93-Control!$C$92)*(Control!$C$94-$G38)/(Control!$C$95-Control!$C$94))))))</f>
        <v>#N/A</v>
      </c>
      <c r="BW38" s="140" t="e">
        <f t="shared" ca="1" si="16"/>
        <v>#N/A</v>
      </c>
      <c r="BX38" s="140" t="e">
        <f ca="1">IF($BW38&lt;=Control!$C$89,$BW38,Control!$C$89-$BW38)</f>
        <v>#N/A</v>
      </c>
      <c r="BY38" s="140" t="e">
        <f ca="1">IF(AND($AJ38&gt;=30,$AJ38&lt;60),1,IF($BW38&gt;=Control!$C$89,0,$BU38))</f>
        <v>#N/A</v>
      </c>
      <c r="BZ38" s="404" t="e">
        <f ca="1">IF($BY38=0,0,IF($BW38&lt;=Control!$C$89,$BU38*(30+(60-30)*(BX38/Control!$C$89)),0))</f>
        <v>#N/A</v>
      </c>
      <c r="CA38" s="140" t="e">
        <f ca="1">IF($BG38+$BM38+$BS38+$BY38=1,0,IF(OR(AND($BB38&lt;65,$BB38&gt;=60),$BW38&gt;=Control!$C$89),1*$BA38,$CE37))</f>
        <v>#N/A</v>
      </c>
      <c r="CB38" s="140" t="e">
        <f ca="1">IF($BX38&lt;0,-$BX38,$CA38*IF(OR($G38&lt;Control!$C$92,$G38&gt;Control!$C$95),0,IF(AND($G38&gt;=Control!$C$92,$G38&lt;=Control!$C$93),$G38-Control!$C$92,IF(AND($G38&gt;Control!$C$93,$G38&lt;=Control!$C$94),Control!$C$93-Control!$C$92,IF(AND($G38&gt;Control!$C$94,$G38&lt;=Control!$C$95),(Control!$C$93-Control!$C$92)*(Control!$C$94-$G38)/(Control!$C$95-Control!$C$94))))))</f>
        <v>#N/A</v>
      </c>
      <c r="CC38" s="140" t="e">
        <f t="shared" ca="1" si="125"/>
        <v>#N/A</v>
      </c>
      <c r="CD38" s="140" t="e">
        <f ca="1">IF($CC38&lt;=Control!$C$90,$CC38,Control!$C$90-$CC38)</f>
        <v>#N/A</v>
      </c>
      <c r="CE38" s="140" t="e">
        <f ca="1">IF(AND($BB38&gt;=60,$BB38&lt;65),1,IF($CC38&gt;=Control!$C$90,0,$CA38))</f>
        <v>#N/A</v>
      </c>
      <c r="CF38" s="404" t="e">
        <f ca="1">IF($CE38=0,0,IF($CC38&lt;=Control!$C$90,$CA38*(60+(65-60)*(CD38/Control!$C$90)),0))</f>
        <v>#N/A</v>
      </c>
      <c r="CG38" s="140" t="e">
        <f ca="1">IF($BG38+$BM38+$BS38+$BY38+$CE38=1,0,IF(OR(AND($BB38&lt;90,$BB38&gt;=65),$CC38&gt;=Control!$C$90),$BA38,$CK37))</f>
        <v>#N/A</v>
      </c>
      <c r="CH38" s="140" t="e">
        <f ca="1">IF($CD38&lt;0,-$CD38,$CG38*IF(OR($G38&lt;Control!$C$92,$G38&gt;Control!$C$95),0,IF(AND($G38&gt;=Control!$C$92,$G38&lt;=Control!$C$93),$G38-Control!$C$92,IF(AND($G38&gt;Control!$C$93,$G38&lt;=Control!$C$94),Control!$C$93-Control!$C$92,IF(AND($G38&gt;Control!$C$94,$G38&lt;=Control!$C$95),(Control!$C$93-Control!$C$92)*(Control!$C$94-$G38)/(Control!$C$95-Control!$C$94))))))</f>
        <v>#N/A</v>
      </c>
      <c r="CI38" s="140" t="e">
        <f t="shared" ca="1" si="126"/>
        <v>#N/A</v>
      </c>
      <c r="CJ38" s="140" t="e">
        <f ca="1">IF($CI38&lt;=Control!$C$91,$CI38,Control!$C$91-$CI38)</f>
        <v>#N/A</v>
      </c>
      <c r="CK38" s="140" t="e">
        <f ca="1">IF(AND($BB38&gt;=65,$BB38&lt;90),1,IF($CI38&gt;=Control!$C$91,0,$CG38))</f>
        <v>#N/A</v>
      </c>
      <c r="CL38" s="404" t="e">
        <f ca="1">IF($CK38=0,0,IF($CI38&lt;=Control!$C$91,$CG38*(65+(90-65)*($CJ38/Control!$C$91)),0))</f>
        <v>#N/A</v>
      </c>
      <c r="CM38" s="140" t="e">
        <f ca="1">IF($BG38+$BM38+$BS38+$BY38+$CE38+$CK38=1,0,IF(OR($BB38&gt;=90,$CI38&gt;=Control!$C$91),$BA38,$CM37))</f>
        <v>#N/A</v>
      </c>
      <c r="CN38" s="140" t="e">
        <f t="shared" ca="1" si="127"/>
        <v>#N/A</v>
      </c>
      <c r="CO38" s="140" t="e">
        <f t="shared" ca="1" si="128"/>
        <v>#N/A</v>
      </c>
      <c r="CP38" s="140" t="e">
        <f t="shared" ca="1" si="129"/>
        <v>#N/A</v>
      </c>
      <c r="CQ38" s="141" t="e">
        <f ca="1">VLOOKUP($CP38,Control!$B$86:$G$91,6)</f>
        <v>#N/A</v>
      </c>
      <c r="CR38" s="141" t="e">
        <f ca="1">(1-$CQ38)*VLOOKUP($CP38,Control!$B$86:$D$91,3)</f>
        <v>#N/A</v>
      </c>
      <c r="CS38" s="141" t="e">
        <f ca="1">(1-$CQ38)*VLOOKUP($CP38,Control!$B$86:$E$91,4)</f>
        <v>#N/A</v>
      </c>
      <c r="CT38" s="141" t="e">
        <f ca="1">(1-$CQ38)*VLOOKUP($CP38,Control!$B$86:$F$91,5)</f>
        <v>#N/A</v>
      </c>
      <c r="CU38" s="141">
        <f t="shared" ca="1" si="130"/>
        <v>0</v>
      </c>
      <c r="CV38" s="583">
        <f t="shared" ca="1" si="131"/>
        <v>0</v>
      </c>
      <c r="CW38" s="142">
        <f t="shared" ca="1" si="132"/>
        <v>33</v>
      </c>
      <c r="CX38" s="612" t="e">
        <f ca="1">IF(Control!$C$114=1,(MIN(Control!$C$120*(IF($NT38-0.01&lt;0,0,1)),Control!$C$119-$CY38)))</f>
        <v>#DIV/0!</v>
      </c>
      <c r="CY38" s="143" t="e">
        <f t="shared" ca="1" si="133"/>
        <v>#N/A</v>
      </c>
      <c r="CZ38" s="144">
        <f t="shared" ca="1" si="17"/>
        <v>0</v>
      </c>
      <c r="DA38" s="144">
        <f t="shared" ca="1" si="18"/>
        <v>0</v>
      </c>
      <c r="DB38" s="144" t="e">
        <f t="shared" ca="1" si="19"/>
        <v>#N/A</v>
      </c>
      <c r="DC38" s="144" t="e">
        <f t="shared" ca="1" si="20"/>
        <v>#N/A</v>
      </c>
      <c r="DD38" s="144" t="e">
        <f t="shared" ca="1" si="216"/>
        <v>#N/A</v>
      </c>
      <c r="DE38" s="143" t="e">
        <f t="shared" ca="1" si="135"/>
        <v>#N/A</v>
      </c>
      <c r="DF38" s="145" t="e">
        <f ca="1">$DR38*EXP(-Control!$C$158*(1-$KH38))</f>
        <v>#N/A</v>
      </c>
      <c r="DG38" s="146" t="e">
        <f ca="1">IF(Control!$C$114=1, $DF38*$EY38, 0)</f>
        <v>#N/A</v>
      </c>
      <c r="DH38" s="147" t="e">
        <f t="shared" ca="1" si="136"/>
        <v>#N/A</v>
      </c>
      <c r="DI38" s="144" t="e">
        <f t="shared" ca="1" si="191"/>
        <v>#N/A</v>
      </c>
      <c r="DJ38" s="147" t="e">
        <f ca="1">$EF38*Control!$C$109</f>
        <v>#N/A</v>
      </c>
      <c r="DK38" s="144" t="e">
        <f t="shared" ca="1" si="137"/>
        <v>#N/A</v>
      </c>
      <c r="DL38" s="144" t="e">
        <f t="shared" ca="1" si="21"/>
        <v>#N/A</v>
      </c>
      <c r="DM38" s="144" t="e">
        <f ca="1">IF(Control!$C$114=1, (1-EXP(-Control!$C$96*$DK38))*$AR38, 0)</f>
        <v>#N/A</v>
      </c>
      <c r="DN38" s="144">
        <f t="shared" ca="1" si="138"/>
        <v>0</v>
      </c>
      <c r="DO38" s="148">
        <f>Control!$C$97</f>
        <v>4</v>
      </c>
      <c r="DP38" s="145" t="e">
        <f t="shared" ca="1" si="139"/>
        <v>#N/A</v>
      </c>
      <c r="DQ38" s="145" t="e">
        <f ca="1">IF(AND($CP38&gt;=0,$CP38&lt;=90),Control!$C$111,Control!$C$111)</f>
        <v>#N/A</v>
      </c>
      <c r="DR38" s="145" t="e">
        <f t="shared" ca="1" si="22"/>
        <v>#N/A</v>
      </c>
      <c r="DS38" s="143" t="e">
        <f ca="1">Control!$B$22/$DR38</f>
        <v>#N/A</v>
      </c>
      <c r="DT38" s="149" t="e">
        <f ca="1">IF(AND(Control!$C$114=1,$KH38&lt;1),$IM38*$DF38, 0)</f>
        <v>#N/A</v>
      </c>
      <c r="DU38" s="144" t="e">
        <f t="shared" ca="1" si="192"/>
        <v>#N/A</v>
      </c>
      <c r="DV38" s="144">
        <f ca="1">IF($G38-Control!$C$107&lt;=0, 0, 0.83*LN(MAX($G38, 3))-0.8924)</f>
        <v>0</v>
      </c>
      <c r="DW38" s="144" t="e">
        <f t="shared" ca="1" si="23"/>
        <v>#N/A</v>
      </c>
      <c r="DX38" s="150" t="e">
        <f ca="1">MAX(0.01*(1+$CU38/Control!$C$102),0.05*($DK38-Control!$C$97)/Control!$C$97)</f>
        <v>#N/A</v>
      </c>
      <c r="DY38" s="151" t="e">
        <f ca="1">IF(Control!$C$114=1, $DI38*$FS38, 0)</f>
        <v>#N/A</v>
      </c>
      <c r="DZ38" s="196" t="e">
        <f t="shared" ca="1" si="140"/>
        <v>#N/A</v>
      </c>
      <c r="EA38" s="152">
        <f t="shared" ca="1" si="141"/>
        <v>33</v>
      </c>
      <c r="EB38" s="153" t="e">
        <f t="shared" ca="1" si="217"/>
        <v>#N/A</v>
      </c>
      <c r="EC38" s="153" t="e">
        <f t="shared" ca="1" si="142"/>
        <v>#N/A</v>
      </c>
      <c r="ED38" s="154" t="e">
        <f ca="1">IF(Control!$C$114=1, $HM38*$FY38-$FD38, 0)</f>
        <v>#DIV/0!</v>
      </c>
      <c r="EE38" s="155" t="e">
        <f ca="1">IF(Control!$C$114=1, $HM38*$FZ38-$FF38, 0)</f>
        <v>#DIV/0!</v>
      </c>
      <c r="EF38" s="153" t="e">
        <f t="shared" ca="1" si="193"/>
        <v>#N/A</v>
      </c>
      <c r="EG38" s="155" t="e">
        <f ca="1">IF(Control!$C$114=1, $GX38*$FW38-$FI38, 0)</f>
        <v>#DIV/0!</v>
      </c>
      <c r="EH38" s="153" t="e">
        <f t="shared" ca="1" si="143"/>
        <v>#N/A</v>
      </c>
      <c r="EI38" s="156" t="e">
        <f t="shared" ca="1" si="144"/>
        <v>#N/A</v>
      </c>
      <c r="EJ38" s="155" t="e">
        <f ca="1">IF(Control!$C$114=1, $HM38*$GB38, 0)</f>
        <v>#DIV/0!</v>
      </c>
      <c r="EK38" s="153" t="e">
        <f t="shared" ca="1" si="194"/>
        <v>#N/A</v>
      </c>
      <c r="EL38" s="153" t="e">
        <f t="shared" ca="1" si="24"/>
        <v>#N/A</v>
      </c>
      <c r="EM38" s="153" t="e">
        <f t="shared" ca="1" si="25"/>
        <v>#N/A</v>
      </c>
      <c r="EN38" s="153" t="e">
        <f ca="1">IF(Control!$C$108=1,IF(AND(Control!$B$18=1,$EB38&gt;=Control!$B$19),$EB38-$DS38,IF(AND(Control!$B$18=2,$AW38=1,$EB38&gt;$DS38),$EB38-$DS38,0)))</f>
        <v>#N/A</v>
      </c>
      <c r="EO38" s="153" t="e">
        <f ca="1">IF(Control!$C$108=1,IF(AND(Control!$B$18=1,$EB38&gt;=Control!$B$19),$EF38,IF(AND(Control!$B$18=2,$AW38=1),$EF38,0)))</f>
        <v>#N/A</v>
      </c>
      <c r="EP38" s="153" t="e">
        <f ca="1">IF(Control!$C$108=1,IF(AND(Control!$B$18=1,$EB38&gt;=Control!$B$19),$EK38,IF(AND(Control!$B$18=2,$AW38=1),$EK38,0)))</f>
        <v>#N/A</v>
      </c>
      <c r="EQ38" s="153" t="e">
        <f t="shared" ca="1" si="145"/>
        <v>#N/A</v>
      </c>
      <c r="ER38" s="153" t="e">
        <f t="shared" ca="1" si="195"/>
        <v>#N/A</v>
      </c>
      <c r="ES38" s="153" t="e">
        <f t="shared" ca="1" si="196"/>
        <v>#N/A</v>
      </c>
      <c r="ET38" s="153" t="e">
        <f t="shared" ca="1" si="197"/>
        <v>#N/A</v>
      </c>
      <c r="EU38" s="153" t="e">
        <f t="shared" ca="1" si="198"/>
        <v>#N/A</v>
      </c>
      <c r="EV38" s="153" t="e">
        <f t="shared" ca="1" si="146"/>
        <v>#N/A</v>
      </c>
      <c r="EW38" s="153" t="e">
        <f t="shared" ca="1" si="218"/>
        <v>#N/A</v>
      </c>
      <c r="EX38" s="153" t="e">
        <f t="shared" ca="1" si="26"/>
        <v>#N/A</v>
      </c>
      <c r="EY38" s="157" t="e">
        <f t="shared" ca="1" si="147"/>
        <v>#DIV/0!</v>
      </c>
      <c r="EZ38" s="154" t="e">
        <f t="shared" ca="1" si="27"/>
        <v>#DIV/0!</v>
      </c>
      <c r="FA38" s="153" t="e">
        <f t="shared" ca="1" si="199"/>
        <v>#N/A</v>
      </c>
      <c r="FB38" s="153" t="e">
        <f t="shared" ca="1" si="28"/>
        <v>#N/A</v>
      </c>
      <c r="FC38" s="193" t="e">
        <f t="shared" ca="1" si="29"/>
        <v>#N/A</v>
      </c>
      <c r="FD38" s="158" t="e">
        <f t="shared" ca="1" si="200"/>
        <v>#N/A</v>
      </c>
      <c r="FE38" s="158" t="e">
        <f t="shared" ca="1" si="148"/>
        <v>#N/A</v>
      </c>
      <c r="FF38" s="159" t="e">
        <f t="shared" ca="1" si="30"/>
        <v>#N/A</v>
      </c>
      <c r="FG38" s="160" t="e">
        <f t="shared" ca="1" si="149"/>
        <v>#N/A</v>
      </c>
      <c r="FH38" s="158" t="e">
        <f t="shared" ca="1" si="150"/>
        <v>#N/A</v>
      </c>
      <c r="FI38" s="159" t="e">
        <f t="shared" ca="1" si="31"/>
        <v>#N/A</v>
      </c>
      <c r="FJ38" s="160" t="e">
        <f t="shared" ca="1" si="151"/>
        <v>#N/A</v>
      </c>
      <c r="FK38" s="160" t="e">
        <f t="shared" ca="1" si="32"/>
        <v>#N/A</v>
      </c>
      <c r="FL38" s="160" t="e">
        <f t="shared" ca="1" si="229"/>
        <v>#N/A</v>
      </c>
      <c r="FM38" s="160" t="e">
        <f t="shared" ca="1" si="33"/>
        <v>#N/A</v>
      </c>
      <c r="FN38" s="158">
        <f t="shared" ca="1" si="219"/>
        <v>0.01</v>
      </c>
      <c r="FO38" s="160">
        <f>Control!$C$101</f>
        <v>50</v>
      </c>
      <c r="FP38" s="150" t="e">
        <f t="shared" ca="1" si="34"/>
        <v>#N/A</v>
      </c>
      <c r="FQ38" s="150" t="e">
        <f ca="1">MAX(0,(Control!$C$112*(($DK38-Control!$C$97)/Control!$C$97)))</f>
        <v>#N/A</v>
      </c>
      <c r="FR38" s="150" t="e">
        <f ca="1">(1-$NT38)*Control!$C$113</f>
        <v>#DIV/0!</v>
      </c>
      <c r="FS38" s="198" t="e">
        <f t="shared" ca="1" si="35"/>
        <v>#N/A</v>
      </c>
      <c r="FT38" s="161">
        <f t="shared" ca="1" si="152"/>
        <v>33</v>
      </c>
      <c r="FU38" s="162" t="e">
        <f ca="1">IF(Control!$B$34=1,VLOOKUP($CP38,Control!$B$86:$G$91,6),Control!$B$35)</f>
        <v>#N/A</v>
      </c>
      <c r="FV38" s="162" t="e">
        <f t="shared" ca="1" si="36"/>
        <v>#DIV/0!</v>
      </c>
      <c r="FW38" s="162" t="e">
        <f ca="1">IF(Control!$B$31=1,$FU38*$FV38,  $FU38)</f>
        <v>#N/A</v>
      </c>
      <c r="FX38" s="162" t="e">
        <f ca="1">IF(Control!$B$34=1,VLOOKUP($CP38,Control!$B$86:$G$91,3),Control!$B$36)</f>
        <v>#N/A</v>
      </c>
      <c r="FY38" s="162" t="e">
        <f t="shared" ca="1" si="37"/>
        <v>#N/A</v>
      </c>
      <c r="FZ38" s="162" t="e">
        <f ca="1">IF(Control!$B$34=1,VLOOKUP($CP38,Control!$B$86:$G$91,4),Control!$B$37)</f>
        <v>#N/A</v>
      </c>
      <c r="GA38" s="162" t="e">
        <f t="shared" ca="1" si="38"/>
        <v>#N/A</v>
      </c>
      <c r="GB38" s="162" t="e">
        <f ca="1">IF(Control!$B$34=1,VLOOKUP($CP38,Control!$B$86:$G$91,5),Control!$B$38)</f>
        <v>#N/A</v>
      </c>
      <c r="GC38" s="162" t="e">
        <f t="shared" ca="1" si="153"/>
        <v>#N/A</v>
      </c>
      <c r="GD38" s="162">
        <f t="shared" ca="1" si="39"/>
        <v>1</v>
      </c>
      <c r="GE38" s="162">
        <f t="shared" ca="1" si="40"/>
        <v>1</v>
      </c>
      <c r="GF38" s="162">
        <f ca="1">IF(AND(Control!$C$104=1, Control!$C$62="F"),$GE38,1)</f>
        <v>1</v>
      </c>
      <c r="GG38" s="162" t="e">
        <f ca="1">IF(Control!$B$16=40,0,IF(AND(Control!$B$16&gt;40,Control!$B$16&lt;=360),(Control!$B$16-40)*((1-0)/(360-40)),IF(AND(Control!$B$16&gt;360,Control!$B$16&lt;=720),(1+(Control!$B$16-360)*((1.25-1)/(720-360))),IF(AND(Control!$B$16&gt;720,Control!$B$16&lt;=1000),(1.25+(Control!$B$16-720)*((1.35-1.25)/(1000-720))),IF(AND(Control!$B$16&gt;1000,Control!$B$16&lt;=2000),(1.35+(Control!$B$16-1000)*0))))))</f>
        <v>#N/A</v>
      </c>
      <c r="GH38" s="162" t="e">
        <f t="shared" ca="1" si="41"/>
        <v>#N/A</v>
      </c>
      <c r="GI38" s="162">
        <f t="shared" ca="1" si="201"/>
        <v>0</v>
      </c>
      <c r="GJ38" s="162">
        <f t="shared" ca="1" si="42"/>
        <v>0</v>
      </c>
      <c r="GK38" s="162">
        <f t="shared" ca="1" si="220"/>
        <v>1</v>
      </c>
      <c r="GL38" s="162">
        <f t="shared" ca="1" si="43"/>
        <v>1</v>
      </c>
      <c r="GM38" s="162" t="e">
        <f ca="1">MAX(0,MIN(1,1-Control!$C$156*(1.0001-$KH38)^2))</f>
        <v>#N/A</v>
      </c>
      <c r="GN38" s="162" t="e">
        <f ca="1">IF(Control!$B$26=1,$KU38,$KX38)</f>
        <v>#N/A</v>
      </c>
      <c r="GO38" s="162" t="e">
        <f ca="1">IF($CP38&lt;=60,Control!$C$105,IF($CP38&gt;=90,Control!$C$106,Control!$C$105+($CP38-60)*((Control!$C$106-Control!$C$105)/(90-60))))</f>
        <v>#N/A</v>
      </c>
      <c r="GP38" s="162" t="e">
        <f t="shared" ca="1" si="154"/>
        <v>#N/A</v>
      </c>
      <c r="GQ38" s="162" t="e">
        <f t="shared" ca="1" si="155"/>
        <v>#N/A</v>
      </c>
      <c r="GR38" s="163" t="e">
        <f t="shared" ca="1" si="44"/>
        <v>#DIV/0!</v>
      </c>
      <c r="GS38" s="162" t="e">
        <f t="shared" ca="1" si="45"/>
        <v>#DIV/0!</v>
      </c>
      <c r="GT38" s="164" t="e">
        <f t="shared" ca="1" si="156"/>
        <v>#N/A</v>
      </c>
      <c r="GU38" s="162" t="e">
        <f t="shared" ca="1" si="157"/>
        <v>#N/A</v>
      </c>
      <c r="GV38" s="162" t="e">
        <f t="shared" ca="1" si="46"/>
        <v>#N/A</v>
      </c>
      <c r="GW38" s="162" t="e">
        <f t="shared" ca="1" si="221"/>
        <v>#DIV/0!</v>
      </c>
      <c r="GX38" s="162" t="e">
        <f t="shared" ca="1" si="228"/>
        <v>#DIV/0!</v>
      </c>
      <c r="GY38" s="162" t="e">
        <f t="shared" ca="1" si="158"/>
        <v>#DIV/0!</v>
      </c>
      <c r="GZ38" s="165" t="e">
        <f t="shared" ca="1" si="159"/>
        <v>#N/A</v>
      </c>
      <c r="HA38" s="162" t="e">
        <f ca="1">IF(Control!$C$114=1, $DI38*$FS38, 0)</f>
        <v>#N/A</v>
      </c>
      <c r="HB38" s="162" t="e">
        <f ca="1">$FA38/Control!$C$64</f>
        <v>#N/A</v>
      </c>
      <c r="HC38" s="162" t="e">
        <f t="shared" ca="1" si="222"/>
        <v>#DIV/0!</v>
      </c>
      <c r="HD38" s="162">
        <f ca="1">-ASIN(SIN(23.45*Control!$C$139)*COS(2*Control!$C$138*($AH38+10)/365))</f>
        <v>-0.29821676238095679</v>
      </c>
      <c r="HE38" s="165">
        <f t="shared" ca="1" si="160"/>
        <v>0</v>
      </c>
      <c r="HF38" s="166">
        <f ca="1">IF(AND(Control!$C$61="T",$HE38&gt;=Control!$C$103,Control!$C$114=0),$AH38,Control!$C$59)</f>
        <v>1</v>
      </c>
      <c r="HG38" s="166">
        <f ca="1">IF(AND(Control!$C$61="T",$HE38&gt;=Control!$C$103,Control!$C$114=0),$HF38,Control!$C$59)</f>
        <v>1</v>
      </c>
      <c r="HH38" s="165">
        <f ca="1">IF(AND(OR(Control!$C$60&lt;=0, $AH38= Control!$C$59, Control!$C$60 &gt;0, $AH38 = Control!$C$60)), Control!$C$59, IF(Control!$C$60&gt;0, 0))</f>
        <v>1</v>
      </c>
      <c r="HI38" s="165">
        <f ca="1">IF(AND(OR(Control!$C$60&lt;=0, $AH38= Control!$C$59, Control!$C$60 &gt;0, $AH38 = Control!$C$60)), Control!$C$60, IF(Control!$C$60&lt;=0, 0))</f>
        <v>0</v>
      </c>
      <c r="HJ38" s="166">
        <f ca="1">IF(AND(Control!$C$62="F",$CV38&gt;=Control!$C$102),$AH38,0)</f>
        <v>0</v>
      </c>
      <c r="HK38" s="165" t="e">
        <f t="shared" ca="1" si="202"/>
        <v>#N/A</v>
      </c>
      <c r="HL38" s="166">
        <f ca="1">IF(AND(Control!$C$61="T",$HE38&gt;=Control!$C$103,Control!$C$114=0),$HF38,0)</f>
        <v>0</v>
      </c>
      <c r="HM38" s="201" t="e">
        <f t="shared" ca="1" si="47"/>
        <v>#DIV/0!</v>
      </c>
      <c r="HN38" s="215">
        <f t="shared" ca="1" si="161"/>
        <v>33</v>
      </c>
      <c r="HO38" s="216" t="e">
        <f ca="1">IF(AND($CP38&gt;=0, $CP38&lt;=90), Control!$C$152, Control!$C$152)</f>
        <v>#N/A</v>
      </c>
      <c r="HP38" s="216" t="e">
        <f t="shared" ca="1" si="48"/>
        <v>#N/A</v>
      </c>
      <c r="HQ38" s="217" t="e">
        <f ca="1">IF(OR(Control!$B$26=1,Control!$B$26=2),$KV38,$KS38)</f>
        <v>#DIV/0!</v>
      </c>
      <c r="HR38" s="218" t="e">
        <f t="shared" ca="1" si="223"/>
        <v>#DIV/0!</v>
      </c>
      <c r="HS38" s="216" t="e">
        <f ca="1">Control!$C$154*$HP38</f>
        <v>#N/A</v>
      </c>
      <c r="HT38" s="216" t="e">
        <f ca="1">Control!$C$155*$HP38</f>
        <v>#N/A</v>
      </c>
      <c r="HU38" s="217" t="e">
        <f ca="1">Control!$C$161*$FI38</f>
        <v>#N/A</v>
      </c>
      <c r="HV38" s="218" t="e">
        <f t="shared" ca="1" si="162"/>
        <v>#N/A</v>
      </c>
      <c r="HW38" s="218" t="e">
        <f ca="1">Control!$C$160*$FF38+$IP38*$EO38</f>
        <v>#N/A</v>
      </c>
      <c r="HX38" s="218" t="e">
        <f t="shared" ca="1" si="203"/>
        <v>#N/A</v>
      </c>
      <c r="HY38" s="219" t="e">
        <f ca="1">IF(Control!$C$114=1, $EB38*$FS38, 0)</f>
        <v>#N/A</v>
      </c>
      <c r="HZ38" s="91" t="e">
        <f t="shared" ca="1" si="49"/>
        <v>#N/A</v>
      </c>
      <c r="IA38" s="220" t="e">
        <f ca="1">Control!$C$153*$HO38</f>
        <v>#N/A</v>
      </c>
      <c r="IB38" s="218" t="e">
        <f t="shared" ca="1" si="50"/>
        <v>#N/A</v>
      </c>
      <c r="IC38" s="220" t="e">
        <f ca="1">Control!$C$153*$HT38</f>
        <v>#N/A</v>
      </c>
      <c r="ID38" s="218" t="e">
        <f t="shared" ca="1" si="51"/>
        <v>#N/A</v>
      </c>
      <c r="IE38" s="221" t="e">
        <f ca="1">($EB38*Control!$C$159+$EF38*Control!$C$160)/(IF($GZ38&lt;&gt;0,$GZ38,1))</f>
        <v>#N/A</v>
      </c>
      <c r="IF38" s="216" t="e">
        <f t="shared" ca="1" si="52"/>
        <v>#N/A</v>
      </c>
      <c r="IG38" s="91">
        <f ca="1">IF(OR(Control!$B$198=$AH38,Control!$B$199=$AH38, Control!$B$200=$AH38, Control!$B$201=$AH38, Control!$B$202=$AH38, Control!$B$203=$AH38, Control!$B$204=$AH38, Control!$B$205=$AH38, Control!$B$206=$AH38, Control!$B$207=$AH38), 1, 0)</f>
        <v>0</v>
      </c>
      <c r="IH38" s="91">
        <f ca="1">IF($IG38=0,0, VLOOKUP($AH38,Control!$B$198:$C$207,2))</f>
        <v>0</v>
      </c>
      <c r="II38" s="222">
        <f t="shared" ca="1" si="163"/>
        <v>0</v>
      </c>
      <c r="IJ38" s="91">
        <f>Control!$C$121</f>
        <v>0.7</v>
      </c>
      <c r="IK38" s="218">
        <f t="shared" ca="1" si="53"/>
        <v>0</v>
      </c>
      <c r="IL38" s="217" t="e">
        <f t="shared" ca="1" si="204"/>
        <v>#N/A</v>
      </c>
      <c r="IM38" s="223" t="e">
        <f ca="1">IF(AND(Control!$C$114=1,$KH38&lt;1),$EB38*Control!$C$148*(1-$KH38), 0)</f>
        <v>#N/A</v>
      </c>
      <c r="IN38" s="217" t="e">
        <f t="shared" ca="1" si="54"/>
        <v>#DIV/0!</v>
      </c>
      <c r="IO38" s="91" t="e">
        <f ca="1">MAX(0,$IL38-$EF38*Control!$C$160)</f>
        <v>#N/A</v>
      </c>
      <c r="IP38" s="220" t="e">
        <f t="shared" ca="1" si="55"/>
        <v>#N/A</v>
      </c>
      <c r="IQ38" s="217" t="e">
        <f t="shared" ca="1" si="164"/>
        <v>#N/A</v>
      </c>
      <c r="IR38" s="218" t="e">
        <f t="shared" ca="1" si="56"/>
        <v>#N/A</v>
      </c>
      <c r="IS38" s="217" t="e">
        <f ca="1">Control!$C$159*MAX(0,$FD38-$EN38)</f>
        <v>#N/A</v>
      </c>
      <c r="IT38" s="217" t="e">
        <f t="shared" ca="1" si="205"/>
        <v>#N/A</v>
      </c>
      <c r="IU38" s="217" t="e">
        <f t="shared" ca="1" si="165"/>
        <v>#N/A</v>
      </c>
      <c r="IV38" s="217" t="e">
        <f t="shared" ca="1" si="206"/>
        <v>#N/A</v>
      </c>
      <c r="IW38" s="217" t="e">
        <f ca="1">IF(OR($AW38=1,AND($AW38=0, Control!$B$18=1,$EN38&lt;&gt;0)), $IQ38-$IU38, $IQ38)</f>
        <v>#N/A</v>
      </c>
      <c r="IX38" s="218" t="e">
        <f t="shared" ca="1" si="57"/>
        <v>#N/A</v>
      </c>
      <c r="IY38" s="218" t="e">
        <f ca="1">MAX(0,$IQ38-$EB38*Control!$C$159)</f>
        <v>#N/A</v>
      </c>
      <c r="IZ38" s="218" t="e">
        <f t="shared" ca="1" si="58"/>
        <v>#N/A</v>
      </c>
      <c r="JA38" s="216" t="e">
        <f t="shared" ca="1" si="59"/>
        <v>#N/A</v>
      </c>
      <c r="JB38" s="217" t="e">
        <f t="shared" ca="1" si="60"/>
        <v>#N/A</v>
      </c>
      <c r="JC38" s="222" t="e">
        <f ca="1">MAX(Control!$C$157*$EK38-$JT38, 0)/Control!$C$162</f>
        <v>#N/A</v>
      </c>
      <c r="JD38" s="218" t="e">
        <f t="shared" ca="1" si="61"/>
        <v>#N/A</v>
      </c>
      <c r="JE38" s="218" t="e">
        <f t="shared" ca="1" si="62"/>
        <v>#N/A</v>
      </c>
      <c r="JF38" s="218" t="e">
        <f t="shared" ca="1" si="207"/>
        <v>#N/A</v>
      </c>
      <c r="JG38" s="218" t="e">
        <f t="shared" ca="1" si="63"/>
        <v>#N/A</v>
      </c>
      <c r="JH38" s="217" t="e">
        <f t="shared" ca="1" si="166"/>
        <v>#N/A</v>
      </c>
      <c r="JI38" s="217" t="e">
        <f t="shared" ca="1" si="167"/>
        <v>#N/A</v>
      </c>
      <c r="JJ38" s="217" t="e">
        <f t="shared" ca="1" si="224"/>
        <v>#N/A</v>
      </c>
      <c r="JK38" s="217" t="e">
        <f ca="1">IF(Control!$C$114=1,IF(Control!$B$24=0,MAX(0,$JI38)*$GN38/Control!$C$64,(MAX(0,MIN($JI38,$JJ38*$GN38/Control!$C$64),0))))</f>
        <v>#N/A</v>
      </c>
      <c r="JL38" s="217" t="e">
        <f ca="1">$IK38/Control!$C$64-$JK38+$HQ38</f>
        <v>#N/A</v>
      </c>
      <c r="JM38" s="217" t="e">
        <f ca="1">IF(Control!$C$114=1,($JB38/(IF($JI38&lt;&gt;0,$JI38,1)))*$JK38,0)</f>
        <v>#N/A</v>
      </c>
      <c r="JN38" s="217" t="e">
        <f ca="1">IF(Control!$C$114=1,($JG38/(IF($JI38&lt;&gt;0,$JI38,1)))*$JK38, 0)</f>
        <v>#N/A</v>
      </c>
      <c r="JO38" s="218" t="e">
        <f t="shared" ca="1" si="64"/>
        <v>#N/A</v>
      </c>
      <c r="JP38" s="218" t="e">
        <f ca="1">MIN(($IY38+$IO38)*Control!$C$151, $JF38-$EH38*Control!$C$161)</f>
        <v>#N/A</v>
      </c>
      <c r="JQ38" s="218" t="e">
        <f t="shared" ca="1" si="65"/>
        <v>#N/A</v>
      </c>
      <c r="JR38" s="217" t="e">
        <f ca="1">IF($CP38-Control!$C$150&lt;0, 0, $JQ38/Control!$C$162)</f>
        <v>#N/A</v>
      </c>
      <c r="JS38" s="218" t="e">
        <f t="shared" ca="1" si="66"/>
        <v>#N/A</v>
      </c>
      <c r="JT38" s="218" t="e">
        <f t="shared" ca="1" si="168"/>
        <v>#N/A</v>
      </c>
      <c r="JU38" s="218" t="e">
        <f t="shared" ca="1" si="67"/>
        <v>#N/A</v>
      </c>
      <c r="JV38" s="218" t="e">
        <f t="shared" ca="1" si="68"/>
        <v>#N/A</v>
      </c>
      <c r="JW38" s="216" t="e">
        <f t="shared" ca="1" si="69"/>
        <v>#N/A</v>
      </c>
      <c r="JX38" s="91" t="e">
        <f t="shared" ca="1" si="70"/>
        <v>#N/A</v>
      </c>
      <c r="JY38" s="218" t="e">
        <f t="shared" ca="1" si="71"/>
        <v>#N/A</v>
      </c>
      <c r="JZ38" s="217" t="e">
        <f ca="1">IF(Control!$C$114=1,($IZ38/(IF($JI38&lt;&gt;0,$JI38,1)))*$JK38, 0)</f>
        <v>#N/A</v>
      </c>
      <c r="KA38" s="218" t="e">
        <f t="shared" ca="1" si="225"/>
        <v>#N/A</v>
      </c>
      <c r="KB38" s="218" t="e">
        <f t="shared" ca="1" si="169"/>
        <v>#N/A</v>
      </c>
      <c r="KC38" s="218" t="e">
        <f t="shared" ca="1" si="72"/>
        <v>#N/A</v>
      </c>
      <c r="KD38" s="218" t="e">
        <f t="shared" ca="1" si="73"/>
        <v>#N/A</v>
      </c>
      <c r="KE38" s="218" t="e">
        <f t="shared" ca="1" si="74"/>
        <v>#N/A</v>
      </c>
      <c r="KF38" s="218" t="e">
        <f t="shared" ca="1" si="75"/>
        <v>#N/A</v>
      </c>
      <c r="KG38" s="216" t="e">
        <f t="shared" ca="1" si="76"/>
        <v>#N/A</v>
      </c>
      <c r="KH38" s="221" t="e">
        <f ca="1">IF(Control!$B$24=0,1,MAX(0.001,MIN(1,IF(($IF38-$IE38)&lt;&gt;0,($KG38-$IE38)/($IF38-$IE38),1))))</f>
        <v>#N/A</v>
      </c>
      <c r="KI38" s="222" t="e">
        <f ca="1">IF(Control!$C$114=1, $KI37+ $KH37, 0)</f>
        <v>#N/A</v>
      </c>
      <c r="KJ38" s="217" t="e">
        <f t="shared" ca="1" si="77"/>
        <v>#N/A</v>
      </c>
      <c r="KK38" s="218" t="e">
        <f t="shared" ca="1" si="78"/>
        <v>#N/A</v>
      </c>
      <c r="KL38" s="274" t="e">
        <f ca="1">IF(Control!$B$26=3,4000000000*EXP(-8400/($G38+273)),IF(Control!$B$26=4,4000000000*EXP(-8400/($G38+273))*($KT38),0))</f>
        <v>#DIV/0!</v>
      </c>
      <c r="KM38" s="274" t="e">
        <f ca="1">IF(Control!$B$26=3,5600000000000*EXP(-9800/($G38+273)),IF(Control!$B$26=4,5600000000000*EXP(-9800/($G38+273))*$KT38,0))</f>
        <v>#DIV/0!</v>
      </c>
      <c r="KN38" s="454" t="e">
        <f t="shared" ca="1" si="170"/>
        <v>#DIV/0!</v>
      </c>
      <c r="KO38" s="274" t="e">
        <f t="shared" ca="1" si="171"/>
        <v>#DIV/0!</v>
      </c>
      <c r="KP38" s="454" t="e">
        <f t="shared" ca="1" si="79"/>
        <v>#DIV/0!</v>
      </c>
      <c r="KQ38" s="454" t="e">
        <f t="shared" ca="1" si="80"/>
        <v>#DIV/0!</v>
      </c>
      <c r="KR38" s="454" t="e">
        <f t="shared" ca="1" si="81"/>
        <v>#DIV/0!</v>
      </c>
      <c r="KS38" s="454" t="e">
        <f t="shared" ca="1" si="82"/>
        <v>#DIV/0!</v>
      </c>
      <c r="KT38" s="455" t="e">
        <f t="shared" ca="1" si="83"/>
        <v>#DIV/0!</v>
      </c>
      <c r="KU38" s="456" t="e">
        <f ca="1">IF($CP38-Control!$C$149&lt;0, IF($NT38-0.01&lt;0,0,1),0)</f>
        <v>#N/A</v>
      </c>
      <c r="KV38" s="456" t="e">
        <f ca="1">IF(Control!$C$114=1,MAX(0,MIN(Control!$C$125*$KW38*$GN38,$KW38)))</f>
        <v>#DIV/0!</v>
      </c>
      <c r="KW38" s="456" t="e">
        <f t="shared" ca="1" si="208"/>
        <v>#DIV/0!</v>
      </c>
      <c r="KX38" s="457" t="e">
        <f ca="1">IF($CP38-Control!$C$149&lt;0, IF($MR38-$OM38&lt;0,0,1),0)</f>
        <v>#N/A</v>
      </c>
      <c r="KY38" s="167">
        <f t="shared" ca="1" si="172"/>
        <v>33</v>
      </c>
      <c r="KZ38" s="168">
        <f ca="1">1370*(1+0.033*COS(2*Control!$C$138*$AH38/365))</f>
        <v>1408.1093545930139</v>
      </c>
      <c r="LA38" s="169">
        <f t="shared" ca="1" si="173"/>
        <v>1.0278170707327079</v>
      </c>
      <c r="LB38" s="169">
        <f t="shared" ca="1" si="174"/>
        <v>-0.2995769437816857</v>
      </c>
      <c r="LC38" s="169">
        <f ca="1">ACOS(-TAN((2*Control!$B$8/360))*TAN(Calculations!$LB38))</f>
        <v>1.4788689521590552</v>
      </c>
      <c r="LD38" s="169">
        <f ca="1">((24*60)/PI())*0.082*$LA38*(($LC38*SIN(Control!$B$8*2*PI()/360))*SIN($LB38)+COS(Control!$B$8*2*PI()/360)*COS($LB38)*SIN($LC38))</f>
        <v>9.3426290711730839</v>
      </c>
      <c r="LE38" s="170">
        <f t="shared" ca="1" si="84"/>
        <v>10.404415287410885</v>
      </c>
      <c r="LF38" s="170">
        <f ca="1">SIN(Control!$C$139*Control!$B$8)*SIN($HD38)</f>
        <v>-0.23153066632318006</v>
      </c>
      <c r="LG38" s="170">
        <f ca="1">COS(Control!$C$139*Control!$B$8)*COS($HD38)</f>
        <v>0.58848578139361418</v>
      </c>
      <c r="LH38" s="170">
        <f ca="1">12*(1+2*ASIN(MAX(-1,MIN(1,$LF38/$LG38))/Control!$C$138))</f>
        <v>8.9864757088164353</v>
      </c>
      <c r="LI38" s="170">
        <f ca="1">12*(1+2*ASIN(MAX(-1,MIN(1,(-SIN(-4*Control!$C$139)+$LF38)/$LG38))/Control!$C$138))</f>
        <v>9.8972436224616622</v>
      </c>
      <c r="LJ38" s="168">
        <f ca="1">3600*($LH38*$LF38+24*$LG38*SQRT(1-$LK38*$LK38)/Control!$C$138)</f>
        <v>7388.9256210630565</v>
      </c>
      <c r="LK38" s="170">
        <f t="shared" ca="1" si="85"/>
        <v>-0.39343459713654261</v>
      </c>
      <c r="LL38" s="170">
        <f t="shared" ca="1" si="86"/>
        <v>0</v>
      </c>
      <c r="LM38" s="171">
        <f ca="1">Control!$C$145*$AB38</f>
        <v>6.6660906138995932E-2</v>
      </c>
      <c r="LN38" s="170">
        <f t="shared" ca="1" si="175"/>
        <v>0.54</v>
      </c>
      <c r="LO38" s="170">
        <f t="shared" ca="1" si="87"/>
        <v>0</v>
      </c>
      <c r="LP38" s="170">
        <f ca="1">Control!$C$140*((($D38+273.16)^4+($E38+273.16)^4)/2)*(0.34-0.14*SQRT($Y38))*(1.35*$AQ38/(0.75*$LD38)-0.35)</f>
        <v>-3.2464704755046001</v>
      </c>
      <c r="LQ38" s="170">
        <f ca="1">Control!$C$140*($G38+273)^4*(0.56-0.079*SQRT($Y38*10))*(0.1+0.9*$LO38)</f>
        <v>1.5241745131704001</v>
      </c>
      <c r="LR38" s="170">
        <f ca="1">$AQ38*(1-Control!$C$142)-$LQ38</f>
        <v>-1.5241745131704001</v>
      </c>
      <c r="LS38" s="170">
        <f ca="1">$AQ38*(1-Control!$C$143)-$LQ38</f>
        <v>-1.5241745131704001</v>
      </c>
      <c r="LT38" s="170">
        <f ca="1">$AQ38*(1-Control!$C$144)-$LQ38</f>
        <v>-1.5241745131704001</v>
      </c>
      <c r="LU38" s="169">
        <f ca="1">(1-Control!$C$144)*AQ38-LP38</f>
        <v>3.2464704755046001</v>
      </c>
      <c r="LV38" s="172">
        <f t="shared" ca="1" si="88"/>
        <v>0.79430000000000012</v>
      </c>
      <c r="LW38" s="170">
        <f t="shared" ca="1" si="89"/>
        <v>1.5886000000000002</v>
      </c>
      <c r="LX38" s="170">
        <f ca="1">($AC38*($LR38/Control!$C$141)+$LM38*$LV38)/($AC38+$LM38)</f>
        <v>0.23530094218323697</v>
      </c>
      <c r="LY38" s="170">
        <f ca="1">($AC38*($LS38/Control!$C$141)+$LM38*$LV38)/($AC38+$LM38)</f>
        <v>0.23530094218323697</v>
      </c>
      <c r="LZ38" s="170">
        <f t="shared" ca="1" si="90"/>
        <v>0.23530094218323697</v>
      </c>
      <c r="MA38" s="170">
        <f t="shared" ca="1" si="91"/>
        <v>0.23530094218323697</v>
      </c>
      <c r="MB38" s="170" t="e">
        <f t="shared" ca="1" si="92"/>
        <v>#N/A</v>
      </c>
      <c r="MC38" s="170">
        <f t="shared" ca="1" si="176"/>
        <v>0.6018</v>
      </c>
      <c r="MD38" s="170">
        <f t="shared" ca="1" si="93"/>
        <v>0.52989392535414004</v>
      </c>
      <c r="ME38" s="170">
        <f ca="1">($AC38*($LT38/Control!$C$141)+$LM38*$LW38)/($AC38+$LM38)</f>
        <v>0.71612369323045078</v>
      </c>
      <c r="MF38" s="170" t="e">
        <f ca="1">IF(Control!$B$16&gt;=1000,0.92,IF(AND(720&lt;=Control!$B$16,1000&gt;Control!$B$16),(0.95+(Control!$B$16-720)*((0.92-0.95)/(1000-720))),IF(AND(360&lt;=Control!$B$16,720&gt;Control!$B$16),(1+(Control!$B$16-360)*((0.95-1)/(720-360))),IF(AND(40&lt;=Control!$B$16,360&gt;Control!$B$16),(1.05+(Control!$B$16-40)*((1.05-1)/(360-40)))))))</f>
        <v>#N/A</v>
      </c>
      <c r="MG38" s="170">
        <f t="shared" ca="1" si="94"/>
        <v>0.71612369323045078</v>
      </c>
      <c r="MH38" s="170" t="e">
        <f t="shared" ca="1" si="230"/>
        <v>#N/A</v>
      </c>
      <c r="MI38" s="170" t="e">
        <f t="shared" ca="1" si="230"/>
        <v>#N/A</v>
      </c>
      <c r="MJ38" s="170" t="e">
        <f ca="1">MAX(0.0001, Control!$C$132*$MI38*$DL38)</f>
        <v>#N/A</v>
      </c>
      <c r="MK38" s="170">
        <f ca="1">1/(0.76+1.5*($MG38/10))-(5-Control!$C$110)*0.1</f>
        <v>1.002845988140797</v>
      </c>
      <c r="ML38" s="173">
        <f ca="1">IF(Control!$C$110&lt;3,$MK38+($MG38-0.6)/(Control!$C$110*(Control!$C$110+3)), MAX(0.1, MIN(0.95,$MK38)))</f>
        <v>0.95</v>
      </c>
      <c r="MM38" s="173">
        <f ca="1">IF(Control!$C$110&lt;3,$MK38+(($MI38/10)-0.6)/(Control!$C$110*(Control!$C$110+3)), MAX(0.1, MIN(0.95,$MK38)))</f>
        <v>0.95</v>
      </c>
      <c r="MN38" s="173">
        <f ca="1">(1-$MM38)*(Control!$C$128-Control!$C$127)+Control!$C$127</f>
        <v>0.16</v>
      </c>
      <c r="MO38" s="170" t="e">
        <f ca="1">MAX(0,MIN(1,($MS38-Control!$C$127)/($MN38-Control!$C$127)))</f>
        <v>#DIV/0!</v>
      </c>
      <c r="MP38" s="173" t="e">
        <f ca="1">1/(0.76+1.5*$MI38)-(5-Control!$C$110)*0.1</f>
        <v>#N/A</v>
      </c>
      <c r="MQ38" s="172" t="e">
        <f t="shared" ca="1" si="209"/>
        <v>#DIV/0!</v>
      </c>
      <c r="MR38" s="168" t="e">
        <f t="shared" ca="1" si="226"/>
        <v>#DIV/0!</v>
      </c>
      <c r="MS38" s="173" t="e">
        <f ca="1">MAX(Control!$C$127, MIN(Control!$C$135, $MR38/MAX(0.0001,$CY38)))</f>
        <v>#DIV/0!</v>
      </c>
      <c r="MT38" s="168" t="e">
        <f ca="1">(Control!$C$128-$MS38)*Control!$C$74</f>
        <v>#DIV/0!</v>
      </c>
      <c r="MU38" s="168" t="e">
        <f ca="1">(Control!$C$135-$MS38)*Control!$C$74</f>
        <v>#DIV/0!</v>
      </c>
      <c r="MV38" s="168" t="e">
        <f t="shared" ca="1" si="210"/>
        <v>#DIV/0!</v>
      </c>
      <c r="MW38" s="168" t="e">
        <f t="shared" ca="1" si="177"/>
        <v>#DIV/0!</v>
      </c>
      <c r="MX38" s="171" t="e">
        <f ca="1">MAX(Control!$C$127, MIN(Control!$C$135, $MW38/MAX(0.0001,Control!$C$119-$CY38)))</f>
        <v>#DIV/0!</v>
      </c>
      <c r="MY38" s="54" t="e">
        <f ca="1">IF(Control!$C$114=1, $CX38*$MX38, 0)</f>
        <v>#DIV/0!</v>
      </c>
      <c r="MZ38" s="54" t="e">
        <f t="shared" ca="1" si="178"/>
        <v>#N/A</v>
      </c>
      <c r="NA38" s="168" t="e">
        <f ca="1">(Control!$C$128-$MX38)*(Control!$C$119-Control!$C$74)</f>
        <v>#DIV/0!</v>
      </c>
      <c r="NB38" s="168" t="e">
        <f ca="1">(Control!$C$135-$MX38)*(Control!$C$119-Control!$C$74)</f>
        <v>#DIV/0!</v>
      </c>
      <c r="NC38" s="174" t="e">
        <f t="shared" ca="1" si="179"/>
        <v>#DIV/0!</v>
      </c>
      <c r="ND38" s="54">
        <f ca="1">IF(Control!$C$58=2, IF(OR(Control!$B$218=$AH38,Control!$B$219=$AH38, Control!$B$220=$AH38, Control!$B$221=$AH38, Control!$B$222=$AH38, Control!$B$223=$AH38, Control!$B$224=$AH38, Control!$B$225=$AH38, Control!$B$226=$AH38, Control!$B$227=$AH38, Control!$B$228=$AH38), 1, 0), 0)</f>
        <v>0</v>
      </c>
      <c r="NE38" s="54">
        <f ca="1">IF($ND38=0,0, VLOOKUP($AH38,Control!$B$218:$C$228,2))</f>
        <v>0</v>
      </c>
      <c r="NF38" s="168" t="e">
        <f ca="1">$CY38*(Control!$C$128-Control!$C$127)</f>
        <v>#N/A</v>
      </c>
      <c r="NG38" s="54" t="e">
        <f ca="1">IF(Control!$C$58=2, $NI37-$NJ37, 0)</f>
        <v>#DIV/0!</v>
      </c>
      <c r="NH38" s="54" t="e">
        <f ca="1">IF(AND(Control!$C$58=1, $MS37&lt;= ($MN37+0.02), $I37&lt;10), 0, IF(Control!$C$58=2, $NG37, 0))</f>
        <v>#DIV/0!</v>
      </c>
      <c r="NI38" s="54" t="e">
        <f ca="1">IF(Control!$C$58=2, $NE38+$NH38,0)</f>
        <v>#DIV/0!</v>
      </c>
      <c r="NJ38" s="54" t="e">
        <f ca="1">IF(AND(Control!$C$58=1, $MS38&lt;= ($MN38+0.02), $I38&lt;10), MAX(0, MIN(10, 0.7*($NF38-$MV38))), IF(Control!$C$58=2, MIN(10,$NI38),0))</f>
        <v>#DIV/0!</v>
      </c>
      <c r="NK38" s="54" t="e">
        <f t="shared" ca="1" si="96"/>
        <v>#DIV/0!</v>
      </c>
      <c r="NL38" s="173" t="e">
        <f ca="1">(1-Control!$C$73)*$I38+$NJ38</f>
        <v>#DIV/0!</v>
      </c>
      <c r="NM38" s="172" t="e">
        <f ca="1">IF($NL38&lt;0.5, $MB38* MAX(0, MIN(1, (SQRT($NC38)-SQRT($NC38-1))*Control!$C$71)),0)</f>
        <v>#DIV/0!</v>
      </c>
      <c r="NN38" s="170" t="e">
        <f ca="1">IF($NL38&gt;=5, $MB38, MAX(0,MIN($MB38, $NM38+$NL38,($MS38-Control!$C$129))))</f>
        <v>#DIV/0!</v>
      </c>
      <c r="NO38" s="54">
        <f>IF(Control!$C$133&lt;&gt;1, Control!$C$135-Control!$C$131, 0)</f>
        <v>0.38</v>
      </c>
      <c r="NP38" s="54" t="e">
        <f t="shared" ca="1" si="97"/>
        <v>#DIV/0!</v>
      </c>
      <c r="NQ38" s="173" t="e">
        <f ca="1">MAX(0,MIN(1,(Control!$C$135-$MS38)/(Control!$C$135-$NO38)))</f>
        <v>#DIV/0!</v>
      </c>
      <c r="NR38" s="170" t="e">
        <f ca="1">IF(Control!$C$133&lt;&gt;1, $NQ38+((1-$NP38/4)*(1-$NQ38)),1)</f>
        <v>#DIV/0!</v>
      </c>
      <c r="NS38" s="170" t="e">
        <f ca="1">IF(Control!$B$31=0,$MJ38,MAX(0,MIN($MV38,$MO38*$NR38*$MJ38)))</f>
        <v>#DIV/0!</v>
      </c>
      <c r="NT38" s="170" t="e">
        <f t="shared" ca="1" si="227"/>
        <v>#DIV/0!</v>
      </c>
      <c r="NU38" s="170" t="e">
        <f t="shared" ca="1" si="180"/>
        <v>#N/A</v>
      </c>
      <c r="NV38" s="170" t="e">
        <f t="shared" ca="1" si="98"/>
        <v>#N/A</v>
      </c>
      <c r="NW38" s="175" t="e">
        <f t="shared" ca="1" si="99"/>
        <v>#DIV/0!</v>
      </c>
      <c r="NX38" s="170" t="e">
        <f ca="1">MIN(Control!$C$72+$MU38, $NW38)</f>
        <v>#DIV/0!</v>
      </c>
      <c r="NY38" s="170" t="e">
        <f ca="1">IF($MT38&lt;=$NX38,MIN(Control!$C$72+$NB38,$NX38-$MT38),0)</f>
        <v>#DIV/0!</v>
      </c>
      <c r="NZ38" s="54" t="e">
        <f ca="1">IF(Control!$C$114=1,  $CX38*($MX38-Control!$C$127), 0)</f>
        <v>#DIV/0!</v>
      </c>
      <c r="OA38" s="170" t="e">
        <f t="shared" ca="1" si="181"/>
        <v>#DIV/0!</v>
      </c>
      <c r="OB38" s="170" t="e">
        <f ca="1">IF($NA38 &lt;=$NY38, MIN(Control!$C$72, $NY38-$NA38), 0)</f>
        <v>#DIV/0!</v>
      </c>
      <c r="OC38" s="168" t="e">
        <f t="shared" ca="1" si="100"/>
        <v>#DIV/0!</v>
      </c>
      <c r="OD38" s="168" t="e">
        <f t="shared" ca="1" si="182"/>
        <v>#DIV/0!</v>
      </c>
      <c r="OE38" s="170">
        <f ca="1">Control!$C$73*$I38</f>
        <v>0</v>
      </c>
      <c r="OF38" s="176" t="e">
        <f t="shared" ca="1" si="101"/>
        <v>#DIV/0!</v>
      </c>
      <c r="OG38" s="168" t="e">
        <f t="shared" ca="1" si="102"/>
        <v>#DIV/0!</v>
      </c>
      <c r="OH38" s="168" t="e">
        <f t="shared" ca="1" si="103"/>
        <v>#DIV/0!</v>
      </c>
      <c r="OI38" s="168" t="e">
        <f t="shared" ca="1" si="104"/>
        <v>#DIV/0!</v>
      </c>
      <c r="OJ38" s="168" t="e">
        <f t="shared" ca="1" si="105"/>
        <v>#DIV/0!</v>
      </c>
      <c r="OK38" s="204" t="e">
        <f t="shared" ca="1" si="183"/>
        <v>#DIV/0!</v>
      </c>
      <c r="OL38" s="177">
        <f>Control!$C$127</f>
        <v>0.15</v>
      </c>
      <c r="OM38" s="182" t="e">
        <f t="shared" ca="1" si="106"/>
        <v>#N/A</v>
      </c>
      <c r="ON38" s="177">
        <f>Control!$C$128</f>
        <v>0.35</v>
      </c>
      <c r="OO38" s="182" t="e">
        <f t="shared" ca="1" si="107"/>
        <v>#N/A</v>
      </c>
      <c r="OP38" s="138">
        <f t="shared" ca="1" si="184"/>
        <v>0</v>
      </c>
      <c r="OQ38" s="138" t="e">
        <f t="shared" ca="1" si="211"/>
        <v>#DIV/0!</v>
      </c>
      <c r="OR38" s="138" t="e">
        <f t="shared" ca="1" si="185"/>
        <v>#DIV/0!</v>
      </c>
      <c r="OS38" s="137" t="e">
        <f t="shared" ca="1" si="212"/>
        <v>#DIV/0!</v>
      </c>
      <c r="OT38" s="139" t="e">
        <f t="shared" ca="1" si="213"/>
        <v>#DIV/0!</v>
      </c>
      <c r="OU38" s="138" t="e">
        <f t="shared" ca="1" si="214"/>
        <v>#N/A</v>
      </c>
      <c r="OV38" s="138" t="e">
        <f t="shared" ca="1" si="215"/>
        <v>#DIV/0!</v>
      </c>
      <c r="OW38" s="138" t="e">
        <f t="shared" ca="1" si="186"/>
        <v>#DIV/0!</v>
      </c>
      <c r="OX38" s="138" t="e">
        <f t="shared" ca="1" si="187"/>
        <v>#DIV/0!</v>
      </c>
      <c r="OY38" s="138" t="e">
        <f t="shared" ca="1" si="188"/>
        <v>#DIV/0!</v>
      </c>
      <c r="OZ38" s="138" t="e">
        <f t="shared" ca="1" si="108"/>
        <v>#DIV/0!</v>
      </c>
      <c r="PA38" s="138" t="e">
        <f t="shared" ca="1" si="109"/>
        <v>#DIV/0!</v>
      </c>
      <c r="PB38" s="55">
        <f>IF(Control!$C$61="T", IF(Control!$C$65="F", IF($AH$6-Control!$C$60&lt;0,0,1), IF(365+$AH$6-Control!$C$60&lt;0,0,1)),0)</f>
        <v>0</v>
      </c>
      <c r="PC38" s="55">
        <f ca="1">IF(Control!$C$65="F", IF($AH$6-$HF38&lt;0,0,1), IF(365+$AH$6-$HF38&lt;0,0,1))</f>
        <v>1</v>
      </c>
      <c r="PD38" s="444">
        <f>Control!$C$118</f>
        <v>1500</v>
      </c>
      <c r="PE38" s="180" t="e">
        <f t="shared" ca="1" si="110"/>
        <v>#N/A</v>
      </c>
      <c r="PF38" s="445">
        <f t="shared" ca="1" si="189"/>
        <v>0.71612369323045078</v>
      </c>
      <c r="PT38" s="186"/>
      <c r="PU38" s="186"/>
      <c r="PV38" s="94"/>
      <c r="PW38" s="94"/>
      <c r="PX38" s="94"/>
      <c r="PY38" s="94"/>
      <c r="PZ38" s="94"/>
      <c r="QA38" s="94"/>
      <c r="QB38" s="94"/>
      <c r="QC38" s="94"/>
      <c r="QD38" s="94"/>
      <c r="QE38" s="94"/>
      <c r="QF38" s="94"/>
      <c r="QG38" s="94"/>
      <c r="QH38" s="94"/>
      <c r="QI38" s="94"/>
      <c r="QJ38" s="94"/>
      <c r="QK38" s="94"/>
      <c r="QL38" s="94"/>
      <c r="QM38" s="94"/>
      <c r="QN38" s="94"/>
      <c r="QO38" s="94"/>
      <c r="QP38" s="94"/>
    </row>
    <row r="39" spans="1:458" s="2" customFormat="1" x14ac:dyDescent="0.2">
      <c r="A39" s="395">
        <v>3</v>
      </c>
      <c r="B39" s="396">
        <v>2</v>
      </c>
      <c r="C39" s="387">
        <f ca="1">Weather_data!$B38</f>
        <v>0</v>
      </c>
      <c r="D39" s="388">
        <f ca="1">Weather_data!$F38</f>
        <v>0</v>
      </c>
      <c r="E39" s="388">
        <f ca="1">Weather_data!$E38</f>
        <v>0</v>
      </c>
      <c r="F39" s="388">
        <f t="shared" ca="1" si="111"/>
        <v>0</v>
      </c>
      <c r="G39" s="388">
        <f ca="1">AVERAGE($D39:$E39)+Control!$B$9</f>
        <v>0</v>
      </c>
      <c r="H39" s="388">
        <f ca="1">Weather_data!$G38</f>
        <v>0</v>
      </c>
      <c r="I39" s="388">
        <f ca="1">Weather_data!$I38</f>
        <v>0</v>
      </c>
      <c r="J39" s="388">
        <f ca="1">Weather_data!$H38</f>
        <v>0</v>
      </c>
      <c r="K39" s="389">
        <f ca="1">Weather_data!$D38</f>
        <v>0</v>
      </c>
      <c r="L39" s="388" t="e">
        <f t="shared" ca="1" si="112"/>
        <v>#N/A</v>
      </c>
      <c r="M39" s="388" t="e">
        <f t="shared" ca="1" si="0"/>
        <v>#N/A</v>
      </c>
      <c r="N39" s="388">
        <f t="shared" ca="1" si="1"/>
        <v>-1.5451577191316301E-2</v>
      </c>
      <c r="O39" s="388">
        <f t="shared" ca="1" si="113"/>
        <v>0.15451577191316301</v>
      </c>
      <c r="P39" s="390">
        <v>3</v>
      </c>
      <c r="Q39" s="388">
        <f ca="1">MAX($G39-Control!$C$107,0)</f>
        <v>0</v>
      </c>
      <c r="R39" s="388">
        <f t="shared" ca="1" si="114"/>
        <v>0</v>
      </c>
      <c r="S39" s="388">
        <f t="shared" ca="1" si="2"/>
        <v>0</v>
      </c>
      <c r="T39" s="388">
        <f t="shared" ca="1" si="3"/>
        <v>0</v>
      </c>
      <c r="U39" s="59">
        <f t="shared" ca="1" si="4"/>
        <v>0</v>
      </c>
      <c r="V39" s="391">
        <f ca="1">MAX(0,MIN(Control!$C$100-Control!$C$99,$G39-Control!$C$99)*Control!$C$63)</f>
        <v>0</v>
      </c>
      <c r="W39" s="388">
        <f t="shared" ca="1" si="190"/>
        <v>0</v>
      </c>
      <c r="X39" s="388">
        <f t="shared" ca="1" si="115"/>
        <v>0.6110000000000001</v>
      </c>
      <c r="Y39" s="388">
        <f t="shared" ca="1" si="116"/>
        <v>0</v>
      </c>
      <c r="Z39" s="388">
        <f t="shared" ca="1" si="117"/>
        <v>0.61058800000000002</v>
      </c>
      <c r="AA39" s="388">
        <f t="shared" ca="1" si="5"/>
        <v>0.6018</v>
      </c>
      <c r="AB39" s="388">
        <f ca="1">101.3*EXP(-0.034*Control!$C$66/($G39+273))</f>
        <v>100.69623283836242</v>
      </c>
      <c r="AC39" s="392">
        <f t="shared" ca="1" si="6"/>
        <v>4.3460251046025113E-2</v>
      </c>
      <c r="AD39" s="392">
        <f t="shared" ca="1" si="7"/>
        <v>4.4450382862832649E-2</v>
      </c>
      <c r="AE39" s="388">
        <f t="shared" ca="1" si="8"/>
        <v>0</v>
      </c>
      <c r="AF39" s="388">
        <f ca="1">MAX(0,$G39-Control!$C$92)</f>
        <v>0</v>
      </c>
      <c r="AG39" s="393">
        <f t="shared" ca="1" si="118"/>
        <v>34</v>
      </c>
      <c r="AH39" s="389">
        <f t="shared" ca="1" si="9"/>
        <v>34</v>
      </c>
      <c r="AI39" s="388">
        <f t="shared" ca="1" si="119"/>
        <v>-0.29334153035106314</v>
      </c>
      <c r="AJ39" s="388">
        <f ca="1">IF(Control!$C$60&lt;=0,$HH39,$HI39)</f>
        <v>1</v>
      </c>
      <c r="AK39" s="388">
        <f t="shared" ca="1" si="10"/>
        <v>-0.79185349076783818</v>
      </c>
      <c r="AL39" s="388">
        <f t="shared" ca="1" si="11"/>
        <v>2.34436428603324E-18</v>
      </c>
      <c r="AM39" s="388">
        <f t="shared" ca="1" si="12"/>
        <v>-0.79185349076783818</v>
      </c>
      <c r="AN39" s="388">
        <f t="shared" ca="1" si="13"/>
        <v>-0.28702168017916219</v>
      </c>
      <c r="AO39" s="388">
        <f ca="1">-0.10453/COS(Control!$B$8*PI()/180)*COS(AN39)</f>
        <v>-0.16283918300353614</v>
      </c>
      <c r="AP39" s="388">
        <f ca="1">ACOS(AO39-TAN(Control!$B$8*PI()/180)*TAN(AN39))</f>
        <v>1.3541414625332768</v>
      </c>
      <c r="AQ39" s="388">
        <f t="shared" ca="1" si="120"/>
        <v>0</v>
      </c>
      <c r="AR39" s="394">
        <f t="shared" ca="1" si="14"/>
        <v>0</v>
      </c>
      <c r="AS39" s="436">
        <f ca="1">IF(Control!$B$18=2,(IF(OR($AH39=Control!$B$175,$AH39=Control!$B$176,$AH39=Control!$B$177,$AH39=Control!$B$178,$AH39=Control!$B$179,$AH39=Control!$B$180,$AH39=Control!$B$181,$AH39=Control!$B$182,$AH39=Control!$B$183,$AH39=Control!$B$184,$AH39=Control!$B$185),1,0)),0)</f>
        <v>0</v>
      </c>
      <c r="AT39" s="436">
        <f>IF(Control!$B$20=8,IF(AND($AH39&gt;=Control!$B$172,$AH39&lt;=Control!$B$173),1,0),0)</f>
        <v>0</v>
      </c>
      <c r="AU39" s="436">
        <f>IF(Control!$B$20=8,IF($AV38=1,1*$AT39,IF($AT39=1,$AU38+1,$AU38)),0)</f>
        <v>0</v>
      </c>
      <c r="AV39" s="436">
        <f>IF(Control!$B$20=8,IF($AU39&gt;=Control!$B$174,1,0),0)</f>
        <v>0</v>
      </c>
      <c r="AW39" s="436">
        <f ca="1">IF(AND(Control!$B$18=2,Control!$B$171=1), $AV39, $AS39)</f>
        <v>0</v>
      </c>
      <c r="AX39" s="436" t="e">
        <f ca="1">IF(AND(Control!$B$18=1,$EU39&gt;=Control!$B$19),-$AY39,IF(AND(Control!$B$18=2,$AW39=1,$EU39&gt;$DS39),-$AY39, IF(Control!$C$108=0,0, IF(Control!$C$108&lt;&gt;0,1))))</f>
        <v>#N/A</v>
      </c>
      <c r="AY39" s="436" t="e">
        <f t="shared" ca="1" si="121"/>
        <v>#N/A</v>
      </c>
      <c r="AZ39" s="436" t="e">
        <f ca="1">IF(AND(Control!$B$18=1,$EB39&gt;Control!$B$19),$AZ38+1, IF(AND(Control!$B$18=2, $AW39=1, $EB39&gt;$DS39), $AZ38+1,$AZ38))</f>
        <v>#N/A</v>
      </c>
      <c r="BA39" s="587">
        <f>IF(Control!$C$81=0,1,IF($AH39&gt;=Control!$C$82,1,0))</f>
        <v>1</v>
      </c>
      <c r="BB39" s="140" t="e">
        <f ca="1">IF($BA39&gt;$BA38,Control!$C$83,IF($AW39&gt;0,$AW39*Control!$C$84,IF(AND(Control!$B$18=1,EN38&lt;&gt;0),Control!$C$84,0)))</f>
        <v>#N/A</v>
      </c>
      <c r="BC39" s="140" t="e">
        <f t="shared" ca="1" si="122"/>
        <v>#N/A</v>
      </c>
      <c r="BD39" s="140" t="e">
        <f ca="1">BC39*IF(OR($G39&lt;Control!$C$92,$G39&gt;Control!$C$95),0,IF(AND($G39&gt;=Control!$C$92,$G39&lt;=Control!$C$93),$G39-Control!$C$92,IF(AND($G39&gt;Control!$C$93,$G39&lt;=Control!$C$94),Control!$C$93-Control!$C$92,IF(AND($G39&gt;Control!$C$94,$G39&lt;=Control!$C$95),(Control!$C$93-Control!$C$92)*(Control!$C$94-$G39)/(Control!$C$95-Control!$C$94)))))</f>
        <v>#N/A</v>
      </c>
      <c r="BE39" s="140" t="e">
        <f t="shared" ca="1" si="123"/>
        <v>#N/A</v>
      </c>
      <c r="BF39" s="140" t="e">
        <f ca="1">IF($BE39&lt;=Control!$C$86,$BE39,Control!$C$86-$BE39)</f>
        <v>#N/A</v>
      </c>
      <c r="BG39" s="140" t="e">
        <f ca="1">IF(AND($AW39=1,Control!$C$84&lt;9),1,IF($BE39&gt;=Control!$C$86,0,$BC39))</f>
        <v>#N/A</v>
      </c>
      <c r="BH39" s="404" t="e">
        <f ca="1">IF($BG39=0,0,IF($BE39&lt;=Control!$C$86,$BC39*9*($BF39/Control!$C$86),0))</f>
        <v>#N/A</v>
      </c>
      <c r="BI39" s="140" t="e">
        <f ca="1">IF($BG39=1,0,IF($BE39&gt;=Control!$C$86,1,IF(AND($BB39&lt;21,$BB39&gt;=9),1,$BM38)))</f>
        <v>#N/A</v>
      </c>
      <c r="BJ39" s="140" t="e">
        <f ca="1">IF($BF39&lt;0,-$BF39,$BI39*IF(OR($G39&lt;Control!$C$92,$G39&gt;Control!$C$95),0,IF(AND($G39&gt;=Control!$C$92,$G39&lt;=Control!$C$93),$G39-Control!$C$92,IF(AND($G39&gt;Control!$C$93,$G39&lt;=Control!$C$94),Control!$C$93-Control!$C$92,IF(AND($G39&gt;Control!$C$94,$G39&lt;=Control!$C$95),(Control!$C$93-Control!$C$92)*(Control!$C$94-$G39)/(Control!$C$95-Control!$C$94))))))</f>
        <v>#N/A</v>
      </c>
      <c r="BK39" s="140" t="e">
        <f t="shared" ca="1" si="124"/>
        <v>#N/A</v>
      </c>
      <c r="BL39" s="140" t="e">
        <f ca="1">IF($BK39&lt;=Control!$C$87,$BK39,Control!$C$87-$BK39)</f>
        <v>#N/A</v>
      </c>
      <c r="BM39" s="140" t="e">
        <f ca="1">IF(AND($BB39&gt;=9,$BB39&lt;21),1,IF($BK39&gt;=Control!$C$87,0,$BI39))</f>
        <v>#N/A</v>
      </c>
      <c r="BN39" s="404" t="e">
        <f ca="1">IF($BM39=0,0,IF($BK39&lt;=Control!$C$87,$BI39*(9+(21-9)*($BL39/Control!$C$87)),0))</f>
        <v>#N/A</v>
      </c>
      <c r="BO39" s="140" t="e">
        <f ca="1">IF($BM39=1,0,IF($BK39&gt;=Control!$C$87,1,IF(AND($BB39&lt;30,$BB39&gt;=21),1,$BS38)))</f>
        <v>#N/A</v>
      </c>
      <c r="BP39" s="140" t="e">
        <f ca="1">IF($BL39&lt;0,-$BL39,$BO39*IF(OR($G39&lt;Control!$C$92,$G39&gt;Control!$C$95),0,IF(AND($G39&gt;=Control!$C$92,$G39&lt;=Control!$C$93),$G39-Control!$C$92,IF(AND($G39&gt;Control!$C$93,$G39&lt;=Control!$C$94),Control!$C$93-Control!$C$92,IF(AND($G39&gt;Control!$C$94,$G39&lt;=Control!$C$95),(Control!$C$93-Control!$C$92)*(Control!$C$94-$G39)/(Control!$C$95-Control!$C$94))))))</f>
        <v>#N/A</v>
      </c>
      <c r="BQ39" s="140" t="e">
        <f t="shared" ca="1" si="15"/>
        <v>#N/A</v>
      </c>
      <c r="BR39" s="140" t="e">
        <f ca="1">IF($BQ39&lt;=Control!$C$88,$BQ39,Control!$C$88-$BQ39)</f>
        <v>#N/A</v>
      </c>
      <c r="BS39" s="140" t="e">
        <f ca="1">IF(AND($BB39&gt;=21,$BB39&lt;30),1,IF($BQ39&gt;=Control!$C$88,0,$BO39))</f>
        <v>#N/A</v>
      </c>
      <c r="BT39" s="404" t="e">
        <f ca="1">IF($BS39=0,0,IF($BQ39&lt;=Control!$C$88,$BO39*(21+(30-21)*(BR39/Control!$C$88)),0))</f>
        <v>#N/A</v>
      </c>
      <c r="BU39" s="140" t="e">
        <f ca="1">IF(BG39+BM39+BS39=1,0,IF(OR(AND($BB39&lt;60,$BB39&gt;=30),$BQ39&gt;=Control!$C$88),1*$BA39,$BY38))</f>
        <v>#N/A</v>
      </c>
      <c r="BV39" s="140" t="e">
        <f ca="1">IF($BR39&lt;0,-$BR39,$BU39*IF(OR($G39&lt;Control!$C$92,$G39&gt;Control!$C$95),0,IF(AND($G39&gt;=Control!$C$92,$G39&lt;=Control!$C$93),$G39-Control!$C$92,IF(AND($G39&gt;Control!$C$93,$G39&lt;=Control!$C$94),Control!$C$93-Control!$C$92,IF(AND($G39&gt;Control!$C$94,$G39&lt;=Control!$C$95),(Control!$C$93-Control!$C$92)*(Control!$C$94-$G39)/(Control!$C$95-Control!$C$94))))))</f>
        <v>#N/A</v>
      </c>
      <c r="BW39" s="140" t="e">
        <f t="shared" ca="1" si="16"/>
        <v>#N/A</v>
      </c>
      <c r="BX39" s="140" t="e">
        <f ca="1">IF($BW39&lt;=Control!$C$89,$BW39,Control!$C$89-$BW39)</f>
        <v>#N/A</v>
      </c>
      <c r="BY39" s="140" t="e">
        <f ca="1">IF(AND($AJ39&gt;=30,$AJ39&lt;60),1,IF($BW39&gt;=Control!$C$89,0,$BU39))</f>
        <v>#N/A</v>
      </c>
      <c r="BZ39" s="404" t="e">
        <f ca="1">IF($BY39=0,0,IF($BW39&lt;=Control!$C$89,$BU39*(30+(60-30)*(BX39/Control!$C$89)),0))</f>
        <v>#N/A</v>
      </c>
      <c r="CA39" s="140" t="e">
        <f ca="1">IF($BG39+$BM39+$BS39+$BY39=1,0,IF(OR(AND($BB39&lt;65,$BB39&gt;=60),$BW39&gt;=Control!$C$89),1*$BA39,$CE38))</f>
        <v>#N/A</v>
      </c>
      <c r="CB39" s="140" t="e">
        <f ca="1">IF($BX39&lt;0,-$BX39,$CA39*IF(OR($G39&lt;Control!$C$92,$G39&gt;Control!$C$95),0,IF(AND($G39&gt;=Control!$C$92,$G39&lt;=Control!$C$93),$G39-Control!$C$92,IF(AND($G39&gt;Control!$C$93,$G39&lt;=Control!$C$94),Control!$C$93-Control!$C$92,IF(AND($G39&gt;Control!$C$94,$G39&lt;=Control!$C$95),(Control!$C$93-Control!$C$92)*(Control!$C$94-$G39)/(Control!$C$95-Control!$C$94))))))</f>
        <v>#N/A</v>
      </c>
      <c r="CC39" s="140" t="e">
        <f t="shared" ca="1" si="125"/>
        <v>#N/A</v>
      </c>
      <c r="CD39" s="140" t="e">
        <f ca="1">IF($CC39&lt;=Control!$C$90,$CC39,Control!$C$90-$CC39)</f>
        <v>#N/A</v>
      </c>
      <c r="CE39" s="140" t="e">
        <f ca="1">IF(AND($BB39&gt;=60,$BB39&lt;65),1,IF($CC39&gt;=Control!$C$90,0,$CA39))</f>
        <v>#N/A</v>
      </c>
      <c r="CF39" s="404" t="e">
        <f ca="1">IF($CE39=0,0,IF($CC39&lt;=Control!$C$90,$CA39*(60+(65-60)*(CD39/Control!$C$90)),0))</f>
        <v>#N/A</v>
      </c>
      <c r="CG39" s="140" t="e">
        <f ca="1">IF($BG39+$BM39+$BS39+$BY39+$CE39=1,0,IF(OR(AND($BB39&lt;90,$BB39&gt;=65),$CC39&gt;=Control!$C$90),$BA39,$CK38))</f>
        <v>#N/A</v>
      </c>
      <c r="CH39" s="140" t="e">
        <f ca="1">IF($CD39&lt;0,-$CD39,$CG39*IF(OR($G39&lt;Control!$C$92,$G39&gt;Control!$C$95),0,IF(AND($G39&gt;=Control!$C$92,$G39&lt;=Control!$C$93),$G39-Control!$C$92,IF(AND($G39&gt;Control!$C$93,$G39&lt;=Control!$C$94),Control!$C$93-Control!$C$92,IF(AND($G39&gt;Control!$C$94,$G39&lt;=Control!$C$95),(Control!$C$93-Control!$C$92)*(Control!$C$94-$G39)/(Control!$C$95-Control!$C$94))))))</f>
        <v>#N/A</v>
      </c>
      <c r="CI39" s="140" t="e">
        <f t="shared" ca="1" si="126"/>
        <v>#N/A</v>
      </c>
      <c r="CJ39" s="140" t="e">
        <f ca="1">IF($CI39&lt;=Control!$C$91,$CI39,Control!$C$91-$CI39)</f>
        <v>#N/A</v>
      </c>
      <c r="CK39" s="140" t="e">
        <f ca="1">IF(AND($BB39&gt;=65,$BB39&lt;90),1,IF($CI39&gt;=Control!$C$91,0,$CG39))</f>
        <v>#N/A</v>
      </c>
      <c r="CL39" s="404" t="e">
        <f ca="1">IF($CK39=0,0,IF($CI39&lt;=Control!$C$91,$CG39*(65+(90-65)*($CJ39/Control!$C$91)),0))</f>
        <v>#N/A</v>
      </c>
      <c r="CM39" s="140" t="e">
        <f ca="1">IF($BG39+$BM39+$BS39+$BY39+$CE39+$CK39=1,0,IF(OR($BB39&gt;=90,$CI39&gt;=Control!$C$91),$BA39,$CM38))</f>
        <v>#N/A</v>
      </c>
      <c r="CN39" s="140" t="e">
        <f t="shared" ca="1" si="127"/>
        <v>#N/A</v>
      </c>
      <c r="CO39" s="140" t="e">
        <f t="shared" ca="1" si="128"/>
        <v>#N/A</v>
      </c>
      <c r="CP39" s="140" t="e">
        <f t="shared" ca="1" si="129"/>
        <v>#N/A</v>
      </c>
      <c r="CQ39" s="141" t="e">
        <f ca="1">VLOOKUP($CP39,Control!$B$86:$G$91,6)</f>
        <v>#N/A</v>
      </c>
      <c r="CR39" s="141" t="e">
        <f ca="1">(1-$CQ39)*VLOOKUP($CP39,Control!$B$86:$D$91,3)</f>
        <v>#N/A</v>
      </c>
      <c r="CS39" s="141" t="e">
        <f ca="1">(1-$CQ39)*VLOOKUP($CP39,Control!$B$86:$E$91,4)</f>
        <v>#N/A</v>
      </c>
      <c r="CT39" s="141" t="e">
        <f ca="1">(1-$CQ39)*VLOOKUP($CP39,Control!$B$86:$F$91,5)</f>
        <v>#N/A</v>
      </c>
      <c r="CU39" s="141">
        <f t="shared" ca="1" si="130"/>
        <v>0</v>
      </c>
      <c r="CV39" s="583">
        <f t="shared" ca="1" si="131"/>
        <v>0</v>
      </c>
      <c r="CW39" s="142">
        <f t="shared" ca="1" si="132"/>
        <v>34</v>
      </c>
      <c r="CX39" s="612" t="e">
        <f ca="1">IF(Control!$C$114=1,(MIN(Control!$C$120*(IF($NT39-0.01&lt;0,0,1)),Control!$C$119-$CY39)))</f>
        <v>#DIV/0!</v>
      </c>
      <c r="CY39" s="143" t="e">
        <f t="shared" ca="1" si="133"/>
        <v>#N/A</v>
      </c>
      <c r="CZ39" s="144">
        <f t="shared" ca="1" si="17"/>
        <v>0</v>
      </c>
      <c r="DA39" s="144">
        <f t="shared" ca="1" si="18"/>
        <v>0</v>
      </c>
      <c r="DB39" s="144" t="e">
        <f t="shared" ca="1" si="19"/>
        <v>#N/A</v>
      </c>
      <c r="DC39" s="144" t="e">
        <f t="shared" ca="1" si="20"/>
        <v>#N/A</v>
      </c>
      <c r="DD39" s="144" t="e">
        <f t="shared" ca="1" si="216"/>
        <v>#N/A</v>
      </c>
      <c r="DE39" s="143" t="e">
        <f t="shared" ca="1" si="135"/>
        <v>#N/A</v>
      </c>
      <c r="DF39" s="145" t="e">
        <f ca="1">$DR39*EXP(-Control!$C$158*(1-$KH39))</f>
        <v>#N/A</v>
      </c>
      <c r="DG39" s="146" t="e">
        <f ca="1">IF(Control!$C$114=1, $DF39*$EY39, 0)</f>
        <v>#N/A</v>
      </c>
      <c r="DH39" s="147" t="e">
        <f t="shared" ca="1" si="136"/>
        <v>#N/A</v>
      </c>
      <c r="DI39" s="144" t="e">
        <f t="shared" ca="1" si="191"/>
        <v>#N/A</v>
      </c>
      <c r="DJ39" s="147" t="e">
        <f ca="1">$EF39*Control!$C$109</f>
        <v>#N/A</v>
      </c>
      <c r="DK39" s="144" t="e">
        <f t="shared" ca="1" si="137"/>
        <v>#N/A</v>
      </c>
      <c r="DL39" s="144" t="e">
        <f t="shared" ca="1" si="21"/>
        <v>#N/A</v>
      </c>
      <c r="DM39" s="144" t="e">
        <f ca="1">IF(Control!$C$114=1, (1-EXP(-Control!$C$96*$DK39))*$AR39, 0)</f>
        <v>#N/A</v>
      </c>
      <c r="DN39" s="144">
        <f t="shared" ca="1" si="138"/>
        <v>0</v>
      </c>
      <c r="DO39" s="148">
        <f>Control!$C$97</f>
        <v>4</v>
      </c>
      <c r="DP39" s="145" t="e">
        <f t="shared" ca="1" si="139"/>
        <v>#N/A</v>
      </c>
      <c r="DQ39" s="145" t="e">
        <f ca="1">IF(AND($CP39&gt;=0,$CP39&lt;=90),Control!$C$111,Control!$C$111)</f>
        <v>#N/A</v>
      </c>
      <c r="DR39" s="145" t="e">
        <f t="shared" ca="1" si="22"/>
        <v>#N/A</v>
      </c>
      <c r="DS39" s="143" t="e">
        <f ca="1">Control!$B$22/$DR39</f>
        <v>#N/A</v>
      </c>
      <c r="DT39" s="149" t="e">
        <f ca="1">IF(AND(Control!$C$114=1,$KH39&lt;1),$IM39*$DF39, 0)</f>
        <v>#N/A</v>
      </c>
      <c r="DU39" s="144" t="e">
        <f t="shared" ca="1" si="192"/>
        <v>#N/A</v>
      </c>
      <c r="DV39" s="144">
        <f ca="1">IF($G39-Control!$C$107&lt;=0, 0, 0.83*LN(MAX($G39, 3))-0.8924)</f>
        <v>0</v>
      </c>
      <c r="DW39" s="144" t="e">
        <f t="shared" ca="1" si="23"/>
        <v>#N/A</v>
      </c>
      <c r="DX39" s="150" t="e">
        <f ca="1">MAX(0.01*(1+$CU39/Control!$C$102),0.05*($DK39-Control!$C$97)/Control!$C$97)</f>
        <v>#N/A</v>
      </c>
      <c r="DY39" s="151" t="e">
        <f ca="1">IF(Control!$C$114=1, $DI39*$FS39, 0)</f>
        <v>#N/A</v>
      </c>
      <c r="DZ39" s="196" t="e">
        <f t="shared" ca="1" si="140"/>
        <v>#N/A</v>
      </c>
      <c r="EA39" s="152">
        <f t="shared" ca="1" si="141"/>
        <v>34</v>
      </c>
      <c r="EB39" s="153" t="e">
        <f t="shared" ca="1" si="217"/>
        <v>#N/A</v>
      </c>
      <c r="EC39" s="153" t="e">
        <f t="shared" ca="1" si="142"/>
        <v>#N/A</v>
      </c>
      <c r="ED39" s="154" t="e">
        <f ca="1">IF(Control!$C$114=1, $HM39*$FY39-$FD39, 0)</f>
        <v>#DIV/0!</v>
      </c>
      <c r="EE39" s="155" t="e">
        <f ca="1">IF(Control!$C$114=1, $HM39*$FZ39-$FF39, 0)</f>
        <v>#DIV/0!</v>
      </c>
      <c r="EF39" s="153" t="e">
        <f t="shared" ca="1" si="193"/>
        <v>#N/A</v>
      </c>
      <c r="EG39" s="155" t="e">
        <f ca="1">IF(Control!$C$114=1, $GX39*$FW39-$FI39, 0)</f>
        <v>#DIV/0!</v>
      </c>
      <c r="EH39" s="153" t="e">
        <f t="shared" ca="1" si="143"/>
        <v>#N/A</v>
      </c>
      <c r="EI39" s="156" t="e">
        <f t="shared" ca="1" si="144"/>
        <v>#N/A</v>
      </c>
      <c r="EJ39" s="155" t="e">
        <f ca="1">IF(Control!$C$114=1, $HM39*$GB39, 0)</f>
        <v>#DIV/0!</v>
      </c>
      <c r="EK39" s="153" t="e">
        <f t="shared" ca="1" si="194"/>
        <v>#N/A</v>
      </c>
      <c r="EL39" s="153" t="e">
        <f t="shared" ca="1" si="24"/>
        <v>#N/A</v>
      </c>
      <c r="EM39" s="153" t="e">
        <f t="shared" ca="1" si="25"/>
        <v>#N/A</v>
      </c>
      <c r="EN39" s="153" t="e">
        <f ca="1">IF(Control!$C$108=1,IF(AND(Control!$B$18=1,$EB39&gt;=Control!$B$19),$EB39-$DS39,IF(AND(Control!$B$18=2,$AW39=1,$EB39&gt;$DS39),$EB39-$DS39,0)))</f>
        <v>#N/A</v>
      </c>
      <c r="EO39" s="153" t="e">
        <f ca="1">IF(Control!$C$108=1,IF(AND(Control!$B$18=1,$EB39&gt;=Control!$B$19),$EF39,IF(AND(Control!$B$18=2,$AW39=1),$EF39,0)))</f>
        <v>#N/A</v>
      </c>
      <c r="EP39" s="153" t="e">
        <f ca="1">IF(Control!$C$108=1,IF(AND(Control!$B$18=1,$EB39&gt;=Control!$B$19),$EK39,IF(AND(Control!$B$18=2,$AW39=1),$EK39,0)))</f>
        <v>#N/A</v>
      </c>
      <c r="EQ39" s="153" t="e">
        <f t="shared" ca="1" si="145"/>
        <v>#N/A</v>
      </c>
      <c r="ER39" s="153" t="e">
        <f t="shared" ref="ER39:ER70" ca="1" si="231">$ER38+$EN38</f>
        <v>#N/A</v>
      </c>
      <c r="ES39" s="153" t="e">
        <f t="shared" ca="1" si="196"/>
        <v>#N/A</v>
      </c>
      <c r="ET39" s="153" t="e">
        <f t="shared" ca="1" si="197"/>
        <v>#N/A</v>
      </c>
      <c r="EU39" s="153" t="e">
        <f t="shared" ca="1" si="198"/>
        <v>#N/A</v>
      </c>
      <c r="EV39" s="153" t="e">
        <f t="shared" ca="1" si="146"/>
        <v>#N/A</v>
      </c>
      <c r="EW39" s="153" t="e">
        <f t="shared" ca="1" si="218"/>
        <v>#N/A</v>
      </c>
      <c r="EX39" s="153" t="e">
        <f t="shared" ca="1" si="26"/>
        <v>#N/A</v>
      </c>
      <c r="EY39" s="157" t="e">
        <f t="shared" ca="1" si="147"/>
        <v>#DIV/0!</v>
      </c>
      <c r="EZ39" s="154" t="e">
        <f t="shared" ca="1" si="27"/>
        <v>#DIV/0!</v>
      </c>
      <c r="FA39" s="153" t="e">
        <f t="shared" ca="1" si="199"/>
        <v>#N/A</v>
      </c>
      <c r="FB39" s="153" t="e">
        <f t="shared" ca="1" si="28"/>
        <v>#N/A</v>
      </c>
      <c r="FC39" s="193" t="e">
        <f t="shared" ca="1" si="29"/>
        <v>#N/A</v>
      </c>
      <c r="FD39" s="158" t="e">
        <f t="shared" ca="1" si="200"/>
        <v>#N/A</v>
      </c>
      <c r="FE39" s="158" t="e">
        <f t="shared" ca="1" si="148"/>
        <v>#N/A</v>
      </c>
      <c r="FF39" s="159" t="e">
        <f t="shared" ca="1" si="30"/>
        <v>#N/A</v>
      </c>
      <c r="FG39" s="160" t="e">
        <f t="shared" ca="1" si="149"/>
        <v>#N/A</v>
      </c>
      <c r="FH39" s="158" t="e">
        <f t="shared" ca="1" si="150"/>
        <v>#N/A</v>
      </c>
      <c r="FI39" s="159" t="e">
        <f t="shared" ca="1" si="31"/>
        <v>#N/A</v>
      </c>
      <c r="FJ39" s="160" t="e">
        <f t="shared" ca="1" si="151"/>
        <v>#N/A</v>
      </c>
      <c r="FK39" s="160" t="e">
        <f t="shared" ca="1" si="32"/>
        <v>#N/A</v>
      </c>
      <c r="FL39" s="160" t="e">
        <f t="shared" ca="1" si="229"/>
        <v>#N/A</v>
      </c>
      <c r="FM39" s="160" t="e">
        <f t="shared" ca="1" si="33"/>
        <v>#N/A</v>
      </c>
      <c r="FN39" s="158">
        <f t="shared" ca="1" si="219"/>
        <v>0.01</v>
      </c>
      <c r="FO39" s="160">
        <f>Control!$C$101</f>
        <v>50</v>
      </c>
      <c r="FP39" s="150" t="e">
        <f t="shared" ca="1" si="34"/>
        <v>#N/A</v>
      </c>
      <c r="FQ39" s="150" t="e">
        <f ca="1">MAX(0,(Control!$C$112*(($DK39-Control!$C$97)/Control!$C$97)))</f>
        <v>#N/A</v>
      </c>
      <c r="FR39" s="150" t="e">
        <f ca="1">(1-$NT39)*Control!$C$113</f>
        <v>#DIV/0!</v>
      </c>
      <c r="FS39" s="198" t="e">
        <f t="shared" ca="1" si="35"/>
        <v>#N/A</v>
      </c>
      <c r="FT39" s="161">
        <f t="shared" ca="1" si="152"/>
        <v>34</v>
      </c>
      <c r="FU39" s="162" t="e">
        <f ca="1">IF(Control!$B$34=1,VLOOKUP($CP39,Control!$B$86:$G$91,6),Control!$B$35)</f>
        <v>#N/A</v>
      </c>
      <c r="FV39" s="162" t="e">
        <f t="shared" ca="1" si="36"/>
        <v>#DIV/0!</v>
      </c>
      <c r="FW39" s="162" t="e">
        <f ca="1">IF(Control!$B$31=1,$FU39*$FV39,  $FU39)</f>
        <v>#N/A</v>
      </c>
      <c r="FX39" s="162" t="e">
        <f ca="1">IF(Control!$B$34=1,VLOOKUP($CP39,Control!$B$86:$G$91,3),Control!$B$36)</f>
        <v>#N/A</v>
      </c>
      <c r="FY39" s="162" t="e">
        <f t="shared" ca="1" si="37"/>
        <v>#N/A</v>
      </c>
      <c r="FZ39" s="162" t="e">
        <f ca="1">IF(Control!$B$34=1,VLOOKUP($CP39,Control!$B$86:$G$91,4),Control!$B$37)</f>
        <v>#N/A</v>
      </c>
      <c r="GA39" s="162" t="e">
        <f t="shared" ca="1" si="38"/>
        <v>#N/A</v>
      </c>
      <c r="GB39" s="162" t="e">
        <f ca="1">IF(Control!$B$34=1,VLOOKUP($CP39,Control!$B$86:$G$91,5),Control!$B$38)</f>
        <v>#N/A</v>
      </c>
      <c r="GC39" s="162" t="e">
        <f t="shared" ca="1" si="153"/>
        <v>#N/A</v>
      </c>
      <c r="GD39" s="162">
        <f t="shared" ca="1" si="39"/>
        <v>1</v>
      </c>
      <c r="GE39" s="162">
        <f t="shared" ca="1" si="40"/>
        <v>1</v>
      </c>
      <c r="GF39" s="162">
        <f ca="1">IF(AND(Control!$C$104=1, Control!$C$62="F"),$GE39,1)</f>
        <v>1</v>
      </c>
      <c r="GG39" s="162" t="e">
        <f ca="1">IF(Control!$B$16=40,0,IF(AND(Control!$B$16&gt;40,Control!$B$16&lt;=360),(Control!$B$16-40)*((1-0)/(360-40)),IF(AND(Control!$B$16&gt;360,Control!$B$16&lt;=720),(1+(Control!$B$16-360)*((1.25-1)/(720-360))),IF(AND(Control!$B$16&gt;720,Control!$B$16&lt;=1000),(1.25+(Control!$B$16-720)*((1.35-1.25)/(1000-720))),IF(AND(Control!$B$16&gt;1000,Control!$B$16&lt;=2000),(1.35+(Control!$B$16-1000)*0))))))</f>
        <v>#N/A</v>
      </c>
      <c r="GH39" s="162" t="e">
        <f t="shared" ca="1" si="41"/>
        <v>#N/A</v>
      </c>
      <c r="GI39" s="162">
        <f t="shared" ca="1" si="201"/>
        <v>0</v>
      </c>
      <c r="GJ39" s="162">
        <f t="shared" ca="1" si="42"/>
        <v>0</v>
      </c>
      <c r="GK39" s="162">
        <f t="shared" ca="1" si="220"/>
        <v>1</v>
      </c>
      <c r="GL39" s="162">
        <f t="shared" ca="1" si="43"/>
        <v>1</v>
      </c>
      <c r="GM39" s="162" t="e">
        <f ca="1">MAX(0,MIN(1,1-Control!$C$156*(1.0001-$KH39)^2))</f>
        <v>#N/A</v>
      </c>
      <c r="GN39" s="162" t="e">
        <f ca="1">IF(Control!$B$26=1,$KU39,$KX39)</f>
        <v>#N/A</v>
      </c>
      <c r="GO39" s="162" t="e">
        <f ca="1">IF($CP39&lt;=60,Control!$C$105,IF($CP39&gt;=90,Control!$C$106,Control!$C$105+($CP39-60)*((Control!$C$106-Control!$C$105)/(90-60))))</f>
        <v>#N/A</v>
      </c>
      <c r="GP39" s="162" t="e">
        <f t="shared" ca="1" si="154"/>
        <v>#N/A</v>
      </c>
      <c r="GQ39" s="162" t="e">
        <f t="shared" ca="1" si="155"/>
        <v>#N/A</v>
      </c>
      <c r="GR39" s="163" t="e">
        <f t="shared" ca="1" si="44"/>
        <v>#DIV/0!</v>
      </c>
      <c r="GS39" s="162" t="e">
        <f t="shared" ca="1" si="45"/>
        <v>#DIV/0!</v>
      </c>
      <c r="GT39" s="164" t="e">
        <f t="shared" ca="1" si="156"/>
        <v>#N/A</v>
      </c>
      <c r="GU39" s="162" t="e">
        <f t="shared" ca="1" si="157"/>
        <v>#N/A</v>
      </c>
      <c r="GV39" s="162" t="e">
        <f t="shared" ca="1" si="46"/>
        <v>#N/A</v>
      </c>
      <c r="GW39" s="162" t="e">
        <f t="shared" ca="1" si="221"/>
        <v>#DIV/0!</v>
      </c>
      <c r="GX39" s="162" t="e">
        <f t="shared" ca="1" si="228"/>
        <v>#DIV/0!</v>
      </c>
      <c r="GY39" s="162" t="e">
        <f t="shared" ca="1" si="158"/>
        <v>#DIV/0!</v>
      </c>
      <c r="GZ39" s="165" t="e">
        <f t="shared" ca="1" si="159"/>
        <v>#N/A</v>
      </c>
      <c r="HA39" s="162" t="e">
        <f ca="1">IF(Control!$C$114=1, $DI39*$FS39, 0)</f>
        <v>#N/A</v>
      </c>
      <c r="HB39" s="162" t="e">
        <f ca="1">$FA39/Control!$C$64</f>
        <v>#N/A</v>
      </c>
      <c r="HC39" s="162" t="e">
        <f t="shared" ca="1" si="222"/>
        <v>#DIV/0!</v>
      </c>
      <c r="HD39" s="162">
        <f ca="1">-ASIN(SIN(23.45*Control!$C$139)*COS(2*Control!$C$138*($AH39+10)/365))</f>
        <v>-0.29334153035106314</v>
      </c>
      <c r="HE39" s="165">
        <f t="shared" ca="1" si="160"/>
        <v>0</v>
      </c>
      <c r="HF39" s="166">
        <f ca="1">IF(AND(Control!$C$61="T",$HE39&gt;=Control!$C$103,Control!$C$114=0),$AH39,Control!$C$59)</f>
        <v>1</v>
      </c>
      <c r="HG39" s="166">
        <f ca="1">IF(AND(Control!$C$61="T",$HE39&gt;=Control!$C$103,Control!$C$114=0),$HF39,Control!$C$59)</f>
        <v>1</v>
      </c>
      <c r="HH39" s="165">
        <f ca="1">IF(AND(OR(Control!$C$60&lt;=0, $AH39= Control!$C$59, Control!$C$60 &gt;0, $AH39 = Control!$C$60)), Control!$C$59, IF(Control!$C$60&gt;0, 0))</f>
        <v>1</v>
      </c>
      <c r="HI39" s="165">
        <f ca="1">IF(AND(OR(Control!$C$60&lt;=0, $AH39= Control!$C$59, Control!$C$60 &gt;0, $AH39 = Control!$C$60)), Control!$C$60, IF(Control!$C$60&lt;=0, 0))</f>
        <v>0</v>
      </c>
      <c r="HJ39" s="166">
        <f ca="1">IF(AND(Control!$C$62="F",$CV39&gt;=Control!$C$102),$AH39,0)</f>
        <v>0</v>
      </c>
      <c r="HK39" s="165" t="e">
        <f t="shared" ca="1" si="202"/>
        <v>#N/A</v>
      </c>
      <c r="HL39" s="166">
        <f ca="1">IF(AND(Control!$C$61="T",$HE39&gt;=Control!$C$103,Control!$C$114=0),$HF39,0)</f>
        <v>0</v>
      </c>
      <c r="HM39" s="201" t="e">
        <f t="shared" ca="1" si="47"/>
        <v>#DIV/0!</v>
      </c>
      <c r="HN39" s="215">
        <f t="shared" ca="1" si="161"/>
        <v>34</v>
      </c>
      <c r="HO39" s="216" t="e">
        <f ca="1">IF(AND($CP39&gt;=0, $CP39&lt;=90), Control!$C$152, Control!$C$152)</f>
        <v>#N/A</v>
      </c>
      <c r="HP39" s="216" t="e">
        <f t="shared" ca="1" si="48"/>
        <v>#N/A</v>
      </c>
      <c r="HQ39" s="217" t="e">
        <f ca="1">IF(OR(Control!$B$26=1,Control!$B$26=2),$KV39,$KS39)</f>
        <v>#DIV/0!</v>
      </c>
      <c r="HR39" s="218" t="e">
        <f t="shared" ca="1" si="223"/>
        <v>#DIV/0!</v>
      </c>
      <c r="HS39" s="216" t="e">
        <f ca="1">Control!$C$154*$HP39</f>
        <v>#N/A</v>
      </c>
      <c r="HT39" s="216" t="e">
        <f ca="1">Control!$C$155*$HP39</f>
        <v>#N/A</v>
      </c>
      <c r="HU39" s="217" t="e">
        <f ca="1">Control!$C$161*$FI39</f>
        <v>#N/A</v>
      </c>
      <c r="HV39" s="218" t="e">
        <f t="shared" ca="1" si="162"/>
        <v>#N/A</v>
      </c>
      <c r="HW39" s="218" t="e">
        <f ca="1">Control!$C$160*$FF39+$IP39*$EO39</f>
        <v>#N/A</v>
      </c>
      <c r="HX39" s="218" t="e">
        <f t="shared" ca="1" si="203"/>
        <v>#N/A</v>
      </c>
      <c r="HY39" s="219" t="e">
        <f ca="1">IF(Control!$C$114=1, $EB39*$FS39, 0)</f>
        <v>#N/A</v>
      </c>
      <c r="HZ39" s="91" t="e">
        <f t="shared" ca="1" si="49"/>
        <v>#N/A</v>
      </c>
      <c r="IA39" s="220" t="e">
        <f ca="1">Control!$C$153*$HO39</f>
        <v>#N/A</v>
      </c>
      <c r="IB39" s="218" t="e">
        <f t="shared" ca="1" si="50"/>
        <v>#N/A</v>
      </c>
      <c r="IC39" s="220" t="e">
        <f ca="1">Control!$C$153*$HT39</f>
        <v>#N/A</v>
      </c>
      <c r="ID39" s="218" t="e">
        <f t="shared" ca="1" si="51"/>
        <v>#N/A</v>
      </c>
      <c r="IE39" s="221" t="e">
        <f ca="1">($EB39*Control!$C$159+$EF39*Control!$C$160)/(IF($GZ39&lt;&gt;0,$GZ39,1))</f>
        <v>#N/A</v>
      </c>
      <c r="IF39" s="216" t="e">
        <f t="shared" ca="1" si="52"/>
        <v>#N/A</v>
      </c>
      <c r="IG39" s="91">
        <f ca="1">IF(OR(Control!$B$198=$AH39,Control!$B$199=$AH39, Control!$B$200=$AH39, Control!$B$201=$AH39, Control!$B$202=$AH39, Control!$B$203=$AH39, Control!$B$204=$AH39, Control!$B$205=$AH39, Control!$B$206=$AH39, Control!$B$207=$AH39), 1, 0)</f>
        <v>0</v>
      </c>
      <c r="IH39" s="91">
        <f ca="1">IF($IG39=0,0, VLOOKUP($AH39,Control!$B$198:$C$207,2))</f>
        <v>0</v>
      </c>
      <c r="II39" s="222">
        <f t="shared" ca="1" si="163"/>
        <v>0</v>
      </c>
      <c r="IJ39" s="91">
        <f>Control!$C$121</f>
        <v>0.7</v>
      </c>
      <c r="IK39" s="218">
        <f t="shared" ca="1" si="53"/>
        <v>0</v>
      </c>
      <c r="IL39" s="217" t="e">
        <f t="shared" ca="1" si="204"/>
        <v>#N/A</v>
      </c>
      <c r="IM39" s="223" t="e">
        <f ca="1">IF(AND(Control!$C$114=1,$KH39&lt;1),$EB39*Control!$C$148*(1-$KH39), 0)</f>
        <v>#N/A</v>
      </c>
      <c r="IN39" s="217" t="e">
        <f t="shared" ca="1" si="54"/>
        <v>#DIV/0!</v>
      </c>
      <c r="IO39" s="91" t="e">
        <f ca="1">MAX(0,$IL39-$EF39*Control!$C$160)</f>
        <v>#N/A</v>
      </c>
      <c r="IP39" s="220" t="e">
        <f t="shared" ca="1" si="55"/>
        <v>#N/A</v>
      </c>
      <c r="IQ39" s="217" t="e">
        <f t="shared" ca="1" si="164"/>
        <v>#N/A</v>
      </c>
      <c r="IR39" s="218" t="e">
        <f t="shared" ca="1" si="56"/>
        <v>#N/A</v>
      </c>
      <c r="IS39" s="217" t="e">
        <f ca="1">Control!$C$159*MAX(0,$FD39-$EN39)</f>
        <v>#N/A</v>
      </c>
      <c r="IT39" s="217" t="e">
        <f t="shared" ca="1" si="205"/>
        <v>#N/A</v>
      </c>
      <c r="IU39" s="217" t="e">
        <f t="shared" ca="1" si="165"/>
        <v>#N/A</v>
      </c>
      <c r="IV39" s="217" t="e">
        <f t="shared" ca="1" si="206"/>
        <v>#N/A</v>
      </c>
      <c r="IW39" s="217" t="e">
        <f ca="1">IF(OR($AW39=1,AND($AW39=0, Control!$B$18=1,$EN39&lt;&gt;0)), $IQ39-$IU39, $IQ39)</f>
        <v>#N/A</v>
      </c>
      <c r="IX39" s="218" t="e">
        <f t="shared" ca="1" si="57"/>
        <v>#N/A</v>
      </c>
      <c r="IY39" s="218" t="e">
        <f ca="1">MAX(0,$IQ39-$EB39*Control!$C$159)</f>
        <v>#N/A</v>
      </c>
      <c r="IZ39" s="218" t="e">
        <f t="shared" ca="1" si="58"/>
        <v>#N/A</v>
      </c>
      <c r="JA39" s="216" t="e">
        <f t="shared" ca="1" si="59"/>
        <v>#N/A</v>
      </c>
      <c r="JB39" s="217" t="e">
        <f t="shared" ca="1" si="60"/>
        <v>#N/A</v>
      </c>
      <c r="JC39" s="222" t="e">
        <f ca="1">MAX(Control!$C$157*$EK39-$JT39, 0)/Control!$C$162</f>
        <v>#N/A</v>
      </c>
      <c r="JD39" s="218" t="e">
        <f t="shared" ca="1" si="61"/>
        <v>#N/A</v>
      </c>
      <c r="JE39" s="218" t="e">
        <f t="shared" ca="1" si="62"/>
        <v>#N/A</v>
      </c>
      <c r="JF39" s="218" t="e">
        <f t="shared" ca="1" si="207"/>
        <v>#N/A</v>
      </c>
      <c r="JG39" s="218" t="e">
        <f t="shared" ca="1" si="63"/>
        <v>#N/A</v>
      </c>
      <c r="JH39" s="217" t="e">
        <f t="shared" ca="1" si="166"/>
        <v>#N/A</v>
      </c>
      <c r="JI39" s="217" t="e">
        <f t="shared" ca="1" si="167"/>
        <v>#N/A</v>
      </c>
      <c r="JJ39" s="217" t="e">
        <f t="shared" ca="1" si="224"/>
        <v>#N/A</v>
      </c>
      <c r="JK39" s="217" t="e">
        <f ca="1">IF(Control!$C$114=1,IF(Control!$B$24=0,MAX(0,$JI39)*$GN39/Control!$C$64,(MAX(0,MIN($JI39,$JJ39*$GN39/Control!$C$64),0))))</f>
        <v>#N/A</v>
      </c>
      <c r="JL39" s="217" t="e">
        <f ca="1">$IK39/Control!$C$64-$JK39+$HQ39</f>
        <v>#N/A</v>
      </c>
      <c r="JM39" s="217" t="e">
        <f ca="1">IF(Control!$C$114=1,($JB39/(IF($JI39&lt;&gt;0,$JI39,1)))*$JK39,0)</f>
        <v>#N/A</v>
      </c>
      <c r="JN39" s="217" t="e">
        <f ca="1">IF(Control!$C$114=1,($JG39/(IF($JI39&lt;&gt;0,$JI39,1)))*$JK39, 0)</f>
        <v>#N/A</v>
      </c>
      <c r="JO39" s="218" t="e">
        <f t="shared" ca="1" si="64"/>
        <v>#N/A</v>
      </c>
      <c r="JP39" s="218" t="e">
        <f ca="1">MIN(($IY39+$IO39)*Control!$C$151, $JF39-$EH39*Control!$C$161)</f>
        <v>#N/A</v>
      </c>
      <c r="JQ39" s="218" t="e">
        <f t="shared" ca="1" si="65"/>
        <v>#N/A</v>
      </c>
      <c r="JR39" s="217" t="e">
        <f ca="1">IF($CP39-Control!$C$150&lt;0, 0, $JQ39/Control!$C$162)</f>
        <v>#N/A</v>
      </c>
      <c r="JS39" s="218" t="e">
        <f t="shared" ca="1" si="66"/>
        <v>#N/A</v>
      </c>
      <c r="JT39" s="218" t="e">
        <f t="shared" ca="1" si="168"/>
        <v>#N/A</v>
      </c>
      <c r="JU39" s="218" t="e">
        <f t="shared" ca="1" si="67"/>
        <v>#N/A</v>
      </c>
      <c r="JV39" s="218" t="e">
        <f t="shared" ca="1" si="68"/>
        <v>#N/A</v>
      </c>
      <c r="JW39" s="216" t="e">
        <f t="shared" ca="1" si="69"/>
        <v>#N/A</v>
      </c>
      <c r="JX39" s="91" t="e">
        <f t="shared" ca="1" si="70"/>
        <v>#N/A</v>
      </c>
      <c r="JY39" s="218" t="e">
        <f t="shared" ca="1" si="71"/>
        <v>#N/A</v>
      </c>
      <c r="JZ39" s="217" t="e">
        <f ca="1">IF(Control!$C$114=1,($IZ39/(IF($JI39&lt;&gt;0,$JI39,1)))*$JK39, 0)</f>
        <v>#N/A</v>
      </c>
      <c r="KA39" s="218" t="e">
        <f t="shared" ca="1" si="225"/>
        <v>#N/A</v>
      </c>
      <c r="KB39" s="218" t="e">
        <f t="shared" ca="1" si="169"/>
        <v>#N/A</v>
      </c>
      <c r="KC39" s="218" t="e">
        <f t="shared" ca="1" si="72"/>
        <v>#N/A</v>
      </c>
      <c r="KD39" s="218" t="e">
        <f t="shared" ca="1" si="73"/>
        <v>#N/A</v>
      </c>
      <c r="KE39" s="218" t="e">
        <f t="shared" ca="1" si="74"/>
        <v>#N/A</v>
      </c>
      <c r="KF39" s="218" t="e">
        <f t="shared" ca="1" si="75"/>
        <v>#N/A</v>
      </c>
      <c r="KG39" s="216" t="e">
        <f t="shared" ca="1" si="76"/>
        <v>#N/A</v>
      </c>
      <c r="KH39" s="221" t="e">
        <f ca="1">IF(Control!$B$24=0,1,MAX(0.001,MIN(1,IF(($IF39-$IE39)&lt;&gt;0,($KG39-$IE39)/($IF39-$IE39),1))))</f>
        <v>#N/A</v>
      </c>
      <c r="KI39" s="222" t="e">
        <f ca="1">IF(Control!$C$114=1, $KI38+ $KH38, 0)</f>
        <v>#N/A</v>
      </c>
      <c r="KJ39" s="217" t="e">
        <f t="shared" ca="1" si="77"/>
        <v>#N/A</v>
      </c>
      <c r="KK39" s="218" t="e">
        <f t="shared" ca="1" si="78"/>
        <v>#N/A</v>
      </c>
      <c r="KL39" s="274" t="e">
        <f ca="1">IF(Control!$B$26=3,4000000000*EXP(-8400/($G39+273)),IF(Control!$B$26=4,4000000000*EXP(-8400/($G39+273))*($KT39),0))</f>
        <v>#DIV/0!</v>
      </c>
      <c r="KM39" s="274" t="e">
        <f ca="1">IF(Control!$B$26=3,5600000000000*EXP(-9800/($G39+273)),IF(Control!$B$26=4,5600000000000*EXP(-9800/($G39+273))*$KT39,0))</f>
        <v>#DIV/0!</v>
      </c>
      <c r="KN39" s="454" t="e">
        <f t="shared" ca="1" si="170"/>
        <v>#DIV/0!</v>
      </c>
      <c r="KO39" s="274" t="e">
        <f t="shared" ca="1" si="171"/>
        <v>#DIV/0!</v>
      </c>
      <c r="KP39" s="454" t="e">
        <f t="shared" ca="1" si="79"/>
        <v>#DIV/0!</v>
      </c>
      <c r="KQ39" s="454" t="e">
        <f t="shared" ca="1" si="80"/>
        <v>#DIV/0!</v>
      </c>
      <c r="KR39" s="454" t="e">
        <f t="shared" ca="1" si="81"/>
        <v>#DIV/0!</v>
      </c>
      <c r="KS39" s="454" t="e">
        <f t="shared" ca="1" si="82"/>
        <v>#DIV/0!</v>
      </c>
      <c r="KT39" s="455" t="e">
        <f t="shared" ca="1" si="83"/>
        <v>#DIV/0!</v>
      </c>
      <c r="KU39" s="456" t="e">
        <f ca="1">IF($CP39-Control!$C$149&lt;0, IF($NT39-0.01&lt;0,0,1),0)</f>
        <v>#N/A</v>
      </c>
      <c r="KV39" s="456" t="e">
        <f ca="1">IF(Control!$C$114=1,MAX(0,MIN(Control!$C$125*$KW39*$GN39,$KW39)))</f>
        <v>#DIV/0!</v>
      </c>
      <c r="KW39" s="456" t="e">
        <f t="shared" ca="1" si="208"/>
        <v>#DIV/0!</v>
      </c>
      <c r="KX39" s="457" t="e">
        <f ca="1">IF($CP39-Control!$C$149&lt;0, IF($MR39-$OM39&lt;0,0,1),0)</f>
        <v>#N/A</v>
      </c>
      <c r="KY39" s="167">
        <f t="shared" ca="1" si="172"/>
        <v>34</v>
      </c>
      <c r="KZ39" s="168">
        <f ca="1">1370*(1+0.033*COS(2*Control!$C$138*$AH39/365))</f>
        <v>1407.6850222620235</v>
      </c>
      <c r="LA39" s="169">
        <f t="shared" ca="1" si="173"/>
        <v>1.0275073404706727</v>
      </c>
      <c r="LB39" s="169">
        <f t="shared" ca="1" si="174"/>
        <v>-0.29473949140618588</v>
      </c>
      <c r="LC39" s="169">
        <f ca="1">ACOS(-TAN((2*Control!$B$8/360))*TAN(Calculations!$LB39))</f>
        <v>1.4804480350394245</v>
      </c>
      <c r="LD39" s="169">
        <f ca="1">((24*60)/PI())*0.082*$LA39*(($LC39*SIN(Control!$B$8*2*PI()/360))*SIN($LB39)+COS(Control!$B$8*2*PI()/360)*COS($LB39)*SIN($LC39))</f>
        <v>9.5708330684209511</v>
      </c>
      <c r="LE39" s="170">
        <f t="shared" ca="1" si="84"/>
        <v>10.605057456722161</v>
      </c>
      <c r="LF39" s="170">
        <f ca="1">SIN(Control!$C$139*Control!$B$8)*SIN($HD39)</f>
        <v>-0.22785575471618727</v>
      </c>
      <c r="LG39" s="170">
        <f ca="1">COS(Control!$C$139*Control!$B$8)*COS($HD39)</f>
        <v>0.58936066895733608</v>
      </c>
      <c r="LH39" s="170">
        <f ca="1">12*(1+2*ASIN(MAX(-1,MIN(1,$LF39/$LG39))/Control!$C$138))</f>
        <v>9.0389786303418997</v>
      </c>
      <c r="LI39" s="170">
        <f ca="1">12*(1+2*ASIN(MAX(-1,MIN(1,(-SIN(-4*Control!$C$139)+$LF39)/$LG39))/Control!$C$138))</f>
        <v>9.9481868104935209</v>
      </c>
      <c r="LJ39" s="168">
        <f ca="1">3600*($LH39*$LF39+24*$LG39*SQRT(1-$LK39*$LK39)/Control!$C$138)</f>
        <v>7533.6863637866836</v>
      </c>
      <c r="LK39" s="170">
        <f t="shared" ca="1" si="85"/>
        <v>-0.38661513520964491</v>
      </c>
      <c r="LL39" s="170">
        <f t="shared" ca="1" si="86"/>
        <v>0</v>
      </c>
      <c r="LM39" s="171">
        <f ca="1">Control!$C$145*$AB39</f>
        <v>6.6660906138995932E-2</v>
      </c>
      <c r="LN39" s="170">
        <f t="shared" ca="1" si="175"/>
        <v>0.54</v>
      </c>
      <c r="LO39" s="170">
        <f t="shared" ca="1" si="87"/>
        <v>0</v>
      </c>
      <c r="LP39" s="170">
        <f ca="1">Control!$C$140*((($D39+273.16)^4+($E39+273.16)^4)/2)*(0.34-0.14*SQRT($Y39))*(1.35*$AQ39/(0.75*$LD39)-0.35)</f>
        <v>-3.2464704755046001</v>
      </c>
      <c r="LQ39" s="170">
        <f ca="1">Control!$C$140*($G39+273)^4*(0.56-0.079*SQRT($Y39*10))*(0.1+0.9*$LO39)</f>
        <v>1.5241745131704001</v>
      </c>
      <c r="LR39" s="170">
        <f ca="1">$AQ39*(1-Control!$C$142)-$LQ39</f>
        <v>-1.5241745131704001</v>
      </c>
      <c r="LS39" s="170">
        <f ca="1">$AQ39*(1-Control!$C$143)-$LQ39</f>
        <v>-1.5241745131704001</v>
      </c>
      <c r="LT39" s="170">
        <f ca="1">$AQ39*(1-Control!$C$144)-$LQ39</f>
        <v>-1.5241745131704001</v>
      </c>
      <c r="LU39" s="169">
        <f ca="1">(1-Control!$C$144)*AQ39-LP39</f>
        <v>3.2464704755046001</v>
      </c>
      <c r="LV39" s="172">
        <f t="shared" ca="1" si="88"/>
        <v>0.79430000000000012</v>
      </c>
      <c r="LW39" s="170">
        <f t="shared" ca="1" si="89"/>
        <v>1.5886000000000002</v>
      </c>
      <c r="LX39" s="170">
        <f ca="1">($AC39*($LR39/Control!$C$141)+$LM39*$LV39)/($AC39+$LM39)</f>
        <v>0.23530094218323697</v>
      </c>
      <c r="LY39" s="170">
        <f ca="1">($AC39*($LS39/Control!$C$141)+$LM39*$LV39)/($AC39+$LM39)</f>
        <v>0.23530094218323697</v>
      </c>
      <c r="LZ39" s="170">
        <f t="shared" ca="1" si="90"/>
        <v>0.23530094218323697</v>
      </c>
      <c r="MA39" s="170">
        <f t="shared" ca="1" si="91"/>
        <v>0.23530094218323697</v>
      </c>
      <c r="MB39" s="170" t="e">
        <f t="shared" ca="1" si="92"/>
        <v>#N/A</v>
      </c>
      <c r="MC39" s="170">
        <f t="shared" ca="1" si="176"/>
        <v>0.6018</v>
      </c>
      <c r="MD39" s="170">
        <f t="shared" ca="1" si="93"/>
        <v>0.52989392535414004</v>
      </c>
      <c r="ME39" s="170">
        <f ca="1">($AC39*($LT39/Control!$C$141)+$LM39*$LW39)/($AC39+$LM39)</f>
        <v>0.71612369323045078</v>
      </c>
      <c r="MF39" s="170" t="e">
        <f ca="1">IF(Control!$B$16&gt;=1000,0.92,IF(AND(720&lt;=Control!$B$16,1000&gt;Control!$B$16),(0.95+(Control!$B$16-720)*((0.92-0.95)/(1000-720))),IF(AND(360&lt;=Control!$B$16,720&gt;Control!$B$16),(1+(Control!$B$16-360)*((0.95-1)/(720-360))),IF(AND(40&lt;=Control!$B$16,360&gt;Control!$B$16),(1.05+(Control!$B$16-40)*((1.05-1)/(360-40)))))))</f>
        <v>#N/A</v>
      </c>
      <c r="MG39" s="170">
        <f t="shared" ca="1" si="94"/>
        <v>0.71612369323045078</v>
      </c>
      <c r="MH39" s="170" t="e">
        <f t="shared" ca="1" si="230"/>
        <v>#N/A</v>
      </c>
      <c r="MI39" s="170" t="e">
        <f t="shared" ca="1" si="230"/>
        <v>#N/A</v>
      </c>
      <c r="MJ39" s="170" t="e">
        <f ca="1">MAX(0.0001, Control!$C$132*$MI39*$DL39)</f>
        <v>#N/A</v>
      </c>
      <c r="MK39" s="170">
        <f ca="1">1/(0.76+1.5*($MG39/10))-(5-Control!$C$110)*0.1</f>
        <v>1.002845988140797</v>
      </c>
      <c r="ML39" s="173">
        <f ca="1">IF(Control!$C$110&lt;3,$MK39+($MG39-0.6)/(Control!$C$110*(Control!$C$110+3)), MAX(0.1, MIN(0.95,$MK39)))</f>
        <v>0.95</v>
      </c>
      <c r="MM39" s="173">
        <f ca="1">IF(Control!$C$110&lt;3,$MK39+(($MI39/10)-0.6)/(Control!$C$110*(Control!$C$110+3)), MAX(0.1, MIN(0.95,$MK39)))</f>
        <v>0.95</v>
      </c>
      <c r="MN39" s="173">
        <f ca="1">(1-$MM39)*(Control!$C$128-Control!$C$127)+Control!$C$127</f>
        <v>0.16</v>
      </c>
      <c r="MO39" s="170" t="e">
        <f ca="1">MAX(0,MIN(1,($MS39-Control!$C$127)/($MN39-Control!$C$127)))</f>
        <v>#DIV/0!</v>
      </c>
      <c r="MP39" s="173" t="e">
        <f ca="1">1/(0.76+1.5*$MI39)-(5-Control!$C$110)*0.1</f>
        <v>#N/A</v>
      </c>
      <c r="MQ39" s="172" t="e">
        <f t="shared" ca="1" si="209"/>
        <v>#DIV/0!</v>
      </c>
      <c r="MR39" s="168" t="e">
        <f t="shared" ca="1" si="226"/>
        <v>#DIV/0!</v>
      </c>
      <c r="MS39" s="173" t="e">
        <f ca="1">MAX(Control!$C$127, MIN(Control!$C$135, $MR39/MAX(0.0001,$CY39)))</f>
        <v>#DIV/0!</v>
      </c>
      <c r="MT39" s="168" t="e">
        <f ca="1">(Control!$C$128-$MS39)*Control!$C$74</f>
        <v>#DIV/0!</v>
      </c>
      <c r="MU39" s="168" t="e">
        <f ca="1">(Control!$C$135-$MS39)*Control!$C$74</f>
        <v>#DIV/0!</v>
      </c>
      <c r="MV39" s="168" t="e">
        <f t="shared" ca="1" si="210"/>
        <v>#DIV/0!</v>
      </c>
      <c r="MW39" s="168" t="e">
        <f t="shared" ca="1" si="177"/>
        <v>#DIV/0!</v>
      </c>
      <c r="MX39" s="171" t="e">
        <f ca="1">MAX(Control!$C$127, MIN(Control!$C$135, $MW39/MAX(0.0001,Control!$C$119-$CY39)))</f>
        <v>#DIV/0!</v>
      </c>
      <c r="MY39" s="54" t="e">
        <f ca="1">IF(Control!$C$114=1, $CX39*$MX39, 0)</f>
        <v>#DIV/0!</v>
      </c>
      <c r="MZ39" s="54" t="e">
        <f t="shared" ca="1" si="178"/>
        <v>#N/A</v>
      </c>
      <c r="NA39" s="168" t="e">
        <f ca="1">(Control!$C$128-$MX39)*(Control!$C$119-Control!$C$74)</f>
        <v>#DIV/0!</v>
      </c>
      <c r="NB39" s="168" t="e">
        <f ca="1">(Control!$C$135-$MX39)*(Control!$C$119-Control!$C$74)</f>
        <v>#DIV/0!</v>
      </c>
      <c r="NC39" s="174" t="e">
        <f t="shared" ca="1" si="179"/>
        <v>#DIV/0!</v>
      </c>
      <c r="ND39" s="54">
        <f ca="1">IF(Control!$C$58=2, IF(OR(Control!$B$218=$AH39,Control!$B$219=$AH39, Control!$B$220=$AH39, Control!$B$221=$AH39, Control!$B$222=$AH39, Control!$B$223=$AH39, Control!$B$224=$AH39, Control!$B$225=$AH39, Control!$B$226=$AH39, Control!$B$227=$AH39, Control!$B$228=$AH39), 1, 0), 0)</f>
        <v>0</v>
      </c>
      <c r="NE39" s="54">
        <f ca="1">IF($ND39=0,0, VLOOKUP($AH39,Control!$B$218:$C$228,2))</f>
        <v>0</v>
      </c>
      <c r="NF39" s="168" t="e">
        <f ca="1">$CY39*(Control!$C$128-Control!$C$127)</f>
        <v>#N/A</v>
      </c>
      <c r="NG39" s="54" t="e">
        <f ca="1">IF(Control!$C$58=2, $NI38-$NJ38, 0)</f>
        <v>#DIV/0!</v>
      </c>
      <c r="NH39" s="54" t="e">
        <f ca="1">IF(AND(Control!$C$58=1, $MS38&lt;= ($MN38+0.02), $I38&lt;10), 0, IF(Control!$C$58=2, $NG38, 0))</f>
        <v>#DIV/0!</v>
      </c>
      <c r="NI39" s="54" t="e">
        <f ca="1">IF(Control!$C$58=2, $NE39+$NH39,0)</f>
        <v>#DIV/0!</v>
      </c>
      <c r="NJ39" s="54" t="e">
        <f ca="1">IF(AND(Control!$C$58=1, $MS39&lt;= ($MN39+0.02), $I39&lt;10), MAX(0, MIN(10, 0.7*($NF39-$MV39))), IF(Control!$C$58=2, MIN(10,$NI39),0))</f>
        <v>#DIV/0!</v>
      </c>
      <c r="NK39" s="54" t="e">
        <f t="shared" ca="1" si="96"/>
        <v>#DIV/0!</v>
      </c>
      <c r="NL39" s="173" t="e">
        <f ca="1">(1-Control!$C$73)*$I39+$NJ39</f>
        <v>#DIV/0!</v>
      </c>
      <c r="NM39" s="172" t="e">
        <f ca="1">IF($NL39&lt;0.5, $MB39* MAX(0, MIN(1, (SQRT($NC39)-SQRT($NC39-1))*Control!$C$71)),0)</f>
        <v>#DIV/0!</v>
      </c>
      <c r="NN39" s="170" t="e">
        <f ca="1">IF($NL39&gt;=5, $MB39, MAX(0,MIN($MB39, $NM39+$NL39,($MS39-Control!$C$129))))</f>
        <v>#DIV/0!</v>
      </c>
      <c r="NO39" s="54">
        <f>IF(Control!$C$133&lt;&gt;1, Control!$C$135-Control!$C$131, 0)</f>
        <v>0.38</v>
      </c>
      <c r="NP39" s="54" t="e">
        <f t="shared" ca="1" si="97"/>
        <v>#DIV/0!</v>
      </c>
      <c r="NQ39" s="173" t="e">
        <f ca="1">MAX(0,MIN(1,(Control!$C$135-$MS39)/(Control!$C$135-$NO39)))</f>
        <v>#DIV/0!</v>
      </c>
      <c r="NR39" s="170" t="e">
        <f ca="1">IF(Control!$C$133&lt;&gt;1, $NQ39+((1-$NP39/4)*(1-$NQ39)),1)</f>
        <v>#DIV/0!</v>
      </c>
      <c r="NS39" s="170" t="e">
        <f ca="1">IF(Control!$B$31=0,$MJ39,MAX(0,MIN($MV39,$MO39*$NR39*$MJ39)))</f>
        <v>#DIV/0!</v>
      </c>
      <c r="NT39" s="170" t="e">
        <f t="shared" ca="1" si="227"/>
        <v>#DIV/0!</v>
      </c>
      <c r="NU39" s="170" t="e">
        <f t="shared" ca="1" si="180"/>
        <v>#N/A</v>
      </c>
      <c r="NV39" s="170" t="e">
        <f t="shared" ca="1" si="98"/>
        <v>#N/A</v>
      </c>
      <c r="NW39" s="175" t="e">
        <f t="shared" ca="1" si="99"/>
        <v>#DIV/0!</v>
      </c>
      <c r="NX39" s="170" t="e">
        <f ca="1">MIN(Control!$C$72+$MU39, $NW39)</f>
        <v>#DIV/0!</v>
      </c>
      <c r="NY39" s="170" t="e">
        <f ca="1">IF($MT39&lt;=$NX39,MIN(Control!$C$72+$NB39,$NX39-$MT39),0)</f>
        <v>#DIV/0!</v>
      </c>
      <c r="NZ39" s="54" t="e">
        <f ca="1">IF(Control!$C$114=1,  $CX39*($MX39-Control!$C$127), 0)</f>
        <v>#DIV/0!</v>
      </c>
      <c r="OA39" s="170" t="e">
        <f t="shared" ca="1" si="181"/>
        <v>#DIV/0!</v>
      </c>
      <c r="OB39" s="170" t="e">
        <f ca="1">IF($NA39 &lt;=$NY39, MIN(Control!$C$72, $NY39-$NA39), 0)</f>
        <v>#DIV/0!</v>
      </c>
      <c r="OC39" s="168" t="e">
        <f t="shared" ca="1" si="100"/>
        <v>#DIV/0!</v>
      </c>
      <c r="OD39" s="168" t="e">
        <f t="shared" ca="1" si="182"/>
        <v>#DIV/0!</v>
      </c>
      <c r="OE39" s="170">
        <f ca="1">Control!$C$73*$I39</f>
        <v>0</v>
      </c>
      <c r="OF39" s="176" t="e">
        <f t="shared" ca="1" si="101"/>
        <v>#DIV/0!</v>
      </c>
      <c r="OG39" s="168" t="e">
        <f t="shared" ca="1" si="102"/>
        <v>#DIV/0!</v>
      </c>
      <c r="OH39" s="168" t="e">
        <f t="shared" ca="1" si="103"/>
        <v>#DIV/0!</v>
      </c>
      <c r="OI39" s="168" t="e">
        <f t="shared" ca="1" si="104"/>
        <v>#DIV/0!</v>
      </c>
      <c r="OJ39" s="168" t="e">
        <f t="shared" ca="1" si="105"/>
        <v>#DIV/0!</v>
      </c>
      <c r="OK39" s="204" t="e">
        <f t="shared" ca="1" si="183"/>
        <v>#DIV/0!</v>
      </c>
      <c r="OL39" s="177">
        <f>Control!$C$127</f>
        <v>0.15</v>
      </c>
      <c r="OM39" s="182" t="e">
        <f t="shared" ca="1" si="106"/>
        <v>#N/A</v>
      </c>
      <c r="ON39" s="177">
        <f>Control!$C$128</f>
        <v>0.35</v>
      </c>
      <c r="OO39" s="182" t="e">
        <f t="shared" ca="1" si="107"/>
        <v>#N/A</v>
      </c>
      <c r="OP39" s="138">
        <f t="shared" ca="1" si="184"/>
        <v>0</v>
      </c>
      <c r="OQ39" s="138" t="e">
        <f t="shared" ca="1" si="211"/>
        <v>#DIV/0!</v>
      </c>
      <c r="OR39" s="138" t="e">
        <f t="shared" ca="1" si="185"/>
        <v>#DIV/0!</v>
      </c>
      <c r="OS39" s="137" t="e">
        <f t="shared" ca="1" si="212"/>
        <v>#DIV/0!</v>
      </c>
      <c r="OT39" s="139" t="e">
        <f t="shared" ca="1" si="213"/>
        <v>#DIV/0!</v>
      </c>
      <c r="OU39" s="138" t="e">
        <f t="shared" ca="1" si="214"/>
        <v>#N/A</v>
      </c>
      <c r="OV39" s="138" t="e">
        <f t="shared" ca="1" si="215"/>
        <v>#DIV/0!</v>
      </c>
      <c r="OW39" s="138" t="e">
        <f t="shared" ca="1" si="186"/>
        <v>#DIV/0!</v>
      </c>
      <c r="OX39" s="138" t="e">
        <f t="shared" ca="1" si="187"/>
        <v>#DIV/0!</v>
      </c>
      <c r="OY39" s="138" t="e">
        <f t="shared" ca="1" si="188"/>
        <v>#DIV/0!</v>
      </c>
      <c r="OZ39" s="138" t="e">
        <f t="shared" ca="1" si="108"/>
        <v>#DIV/0!</v>
      </c>
      <c r="PA39" s="138" t="e">
        <f t="shared" ca="1" si="109"/>
        <v>#DIV/0!</v>
      </c>
      <c r="PB39" s="55">
        <f>IF(Control!$C$61="T", IF(Control!$C$65="F", IF($AH$6-Control!$C$60&lt;0,0,1), IF(365+$AH$6-Control!$C$60&lt;0,0,1)),0)</f>
        <v>0</v>
      </c>
      <c r="PC39" s="55">
        <f ca="1">IF(Control!$C$65="F", IF($AH$6-$HF39&lt;0,0,1), IF(365+$AH$6-$HF39&lt;0,0,1))</f>
        <v>1</v>
      </c>
      <c r="PD39" s="444">
        <f>Control!$C$118</f>
        <v>1500</v>
      </c>
      <c r="PE39" s="180" t="e">
        <f t="shared" ca="1" si="110"/>
        <v>#N/A</v>
      </c>
      <c r="PF39" s="445">
        <f t="shared" ca="1" si="189"/>
        <v>0.71612369323045078</v>
      </c>
      <c r="PT39" s="186"/>
      <c r="PU39" s="186"/>
      <c r="PV39" s="94"/>
      <c r="PW39" s="94"/>
      <c r="PX39" s="94"/>
      <c r="PY39" s="94"/>
      <c r="PZ39" s="94"/>
      <c r="QA39" s="94"/>
      <c r="QB39" s="94"/>
      <c r="QC39" s="94"/>
      <c r="QD39" s="94"/>
      <c r="QE39" s="94"/>
      <c r="QF39" s="94"/>
      <c r="QG39" s="94"/>
      <c r="QH39" s="94"/>
      <c r="QI39" s="94"/>
      <c r="QJ39" s="94"/>
      <c r="QK39" s="94"/>
      <c r="QL39" s="94"/>
      <c r="QM39" s="94"/>
      <c r="QN39" s="94"/>
      <c r="QO39" s="94"/>
      <c r="QP39" s="94"/>
    </row>
    <row r="40" spans="1:458" s="2" customFormat="1" x14ac:dyDescent="0.2">
      <c r="A40" s="395">
        <v>4</v>
      </c>
      <c r="B40" s="396">
        <v>2</v>
      </c>
      <c r="C40" s="387">
        <f ca="1">Weather_data!$B39</f>
        <v>0</v>
      </c>
      <c r="D40" s="388">
        <f ca="1">Weather_data!$F39</f>
        <v>0</v>
      </c>
      <c r="E40" s="388">
        <f ca="1">Weather_data!$E39</f>
        <v>0</v>
      </c>
      <c r="F40" s="388">
        <f t="shared" ca="1" si="111"/>
        <v>0</v>
      </c>
      <c r="G40" s="388">
        <f ca="1">AVERAGE($D40:$E40)+Control!$B$9</f>
        <v>0</v>
      </c>
      <c r="H40" s="388">
        <f ca="1">Weather_data!$G39</f>
        <v>0</v>
      </c>
      <c r="I40" s="388">
        <f ca="1">Weather_data!$I39</f>
        <v>0</v>
      </c>
      <c r="J40" s="388">
        <f ca="1">Weather_data!$H39</f>
        <v>0</v>
      </c>
      <c r="K40" s="389">
        <f ca="1">Weather_data!$D39</f>
        <v>0</v>
      </c>
      <c r="L40" s="388" t="e">
        <f t="shared" ca="1" si="112"/>
        <v>#N/A</v>
      </c>
      <c r="M40" s="388" t="e">
        <f t="shared" ca="1" si="0"/>
        <v>#N/A</v>
      </c>
      <c r="N40" s="388">
        <f t="shared" ca="1" si="1"/>
        <v>-1.3906419472184673E-2</v>
      </c>
      <c r="O40" s="388">
        <f t="shared" ca="1" si="113"/>
        <v>0.13906419472184672</v>
      </c>
      <c r="P40" s="390">
        <v>3</v>
      </c>
      <c r="Q40" s="388">
        <f ca="1">MAX($G40-Control!$C$107,0)</f>
        <v>0</v>
      </c>
      <c r="R40" s="388">
        <f t="shared" ca="1" si="114"/>
        <v>0</v>
      </c>
      <c r="S40" s="388">
        <f t="shared" ca="1" si="2"/>
        <v>0</v>
      </c>
      <c r="T40" s="388">
        <f t="shared" ca="1" si="3"/>
        <v>0</v>
      </c>
      <c r="U40" s="59">
        <f t="shared" ca="1" si="4"/>
        <v>0</v>
      </c>
      <c r="V40" s="391">
        <f ca="1">MAX(0,MIN(Control!$C$100-Control!$C$99,$G40-Control!$C$99)*Control!$C$63)</f>
        <v>0</v>
      </c>
      <c r="W40" s="388">
        <f t="shared" ca="1" si="190"/>
        <v>0</v>
      </c>
      <c r="X40" s="388">
        <f t="shared" ca="1" si="115"/>
        <v>0.6110000000000001</v>
      </c>
      <c r="Y40" s="388">
        <f t="shared" ca="1" si="116"/>
        <v>0</v>
      </c>
      <c r="Z40" s="388">
        <f t="shared" ca="1" si="117"/>
        <v>0.61058800000000002</v>
      </c>
      <c r="AA40" s="388">
        <f t="shared" ca="1" si="5"/>
        <v>0.6018</v>
      </c>
      <c r="AB40" s="388">
        <f ca="1">101.3*EXP(-0.034*Control!$C$66/($G40+273))</f>
        <v>100.69623283836242</v>
      </c>
      <c r="AC40" s="392">
        <f t="shared" ca="1" si="6"/>
        <v>4.3460251046025113E-2</v>
      </c>
      <c r="AD40" s="392">
        <f t="shared" ca="1" si="7"/>
        <v>4.4450382862832649E-2</v>
      </c>
      <c r="AE40" s="388">
        <f t="shared" ca="1" si="8"/>
        <v>0</v>
      </c>
      <c r="AF40" s="388">
        <f ca="1">MAX(0,$G40-Control!$C$92)</f>
        <v>0</v>
      </c>
      <c r="AG40" s="393">
        <f t="shared" ca="1" si="118"/>
        <v>35</v>
      </c>
      <c r="AH40" s="389">
        <f t="shared" ca="1" si="9"/>
        <v>35</v>
      </c>
      <c r="AI40" s="388">
        <f t="shared" ca="1" si="119"/>
        <v>-0.28838409262059661</v>
      </c>
      <c r="AJ40" s="388">
        <f ca="1">IF(Control!$C$60&lt;=0,$HH40,$HI40)</f>
        <v>1</v>
      </c>
      <c r="AK40" s="388">
        <f t="shared" ca="1" si="10"/>
        <v>-0.7746392844467983</v>
      </c>
      <c r="AL40" s="388">
        <f t="shared" ca="1" si="11"/>
        <v>3.6072360376504518E-19</v>
      </c>
      <c r="AM40" s="388">
        <f t="shared" ca="1" si="12"/>
        <v>-0.7746392844467983</v>
      </c>
      <c r="AN40" s="388">
        <f t="shared" ca="1" si="13"/>
        <v>-0.28196597318211603</v>
      </c>
      <c r="AO40" s="388">
        <f ca="1">-0.10453/COS(Control!$B$8*PI()/180)*COS(AN40)</f>
        <v>-0.16308010639561046</v>
      </c>
      <c r="AP40" s="388">
        <f ca="1">ACOS(AO40-TAN(Control!$B$8*PI()/180)*TAN(AN40))</f>
        <v>1.3615746718979551</v>
      </c>
      <c r="AQ40" s="388">
        <f t="shared" ca="1" si="120"/>
        <v>0</v>
      </c>
      <c r="AR40" s="394">
        <f t="shared" ca="1" si="14"/>
        <v>0</v>
      </c>
      <c r="AS40" s="436">
        <f ca="1">IF(Control!$B$18=2,(IF(OR($AH40=Control!$B$175,$AH40=Control!$B$176,$AH40=Control!$B$177,$AH40=Control!$B$178,$AH40=Control!$B$179,$AH40=Control!$B$180,$AH40=Control!$B$181,$AH40=Control!$B$182,$AH40=Control!$B$183,$AH40=Control!$B$184,$AH40=Control!$B$185),1,0)),0)</f>
        <v>0</v>
      </c>
      <c r="AT40" s="436">
        <f>IF(Control!$B$20=8,IF(AND($AH40&gt;=Control!$B$172,$AH40&lt;=Control!$B$173),1,0),0)</f>
        <v>0</v>
      </c>
      <c r="AU40" s="436">
        <f>IF(Control!$B$20=8,IF($AV39=1,1*$AT40,IF($AT40=1,$AU39+1,$AU39)),0)</f>
        <v>0</v>
      </c>
      <c r="AV40" s="436">
        <f>IF(Control!$B$20=8,IF($AU40&gt;=Control!$B$174,1,0),0)</f>
        <v>0</v>
      </c>
      <c r="AW40" s="436">
        <f ca="1">IF(AND(Control!$B$18=2,Control!$B$171=1), $AV40, $AS40)</f>
        <v>0</v>
      </c>
      <c r="AX40" s="436" t="e">
        <f ca="1">IF(AND(Control!$B$18=1,$EU40&gt;=Control!$B$19),-$AY40,IF(AND(Control!$B$18=2,$AW40=1,$EU40&gt;$DS40),-$AY40, IF(Control!$C$108=0,0, IF(Control!$C$108&lt;&gt;0,1))))</f>
        <v>#N/A</v>
      </c>
      <c r="AY40" s="436" t="e">
        <f t="shared" ca="1" si="121"/>
        <v>#N/A</v>
      </c>
      <c r="AZ40" s="436" t="e">
        <f ca="1">IF(AND(Control!$B$18=1,$EB40&gt;Control!$B$19),$AZ39+1, IF(AND(Control!$B$18=2, $AW40=1, $EB40&gt;$DS40), $AZ39+1,$AZ39))</f>
        <v>#N/A</v>
      </c>
      <c r="BA40" s="587">
        <f>IF(Control!$C$81=0,1,IF($AH40&gt;=Control!$C$82,1,0))</f>
        <v>1</v>
      </c>
      <c r="BB40" s="140" t="e">
        <f ca="1">IF($BA40&gt;$BA39,Control!$C$83,IF($AW40&gt;0,$AW40*Control!$C$84,IF(AND(Control!$B$18=1,EN39&lt;&gt;0),Control!$C$84,0)))</f>
        <v>#N/A</v>
      </c>
      <c r="BC40" s="140" t="e">
        <f t="shared" ca="1" si="122"/>
        <v>#N/A</v>
      </c>
      <c r="BD40" s="140" t="e">
        <f ca="1">BC40*IF(OR($G40&lt;Control!$C$92,$G40&gt;Control!$C$95),0,IF(AND($G40&gt;=Control!$C$92,$G40&lt;=Control!$C$93),$G40-Control!$C$92,IF(AND($G40&gt;Control!$C$93,$G40&lt;=Control!$C$94),Control!$C$93-Control!$C$92,IF(AND($G40&gt;Control!$C$94,$G40&lt;=Control!$C$95),(Control!$C$93-Control!$C$92)*(Control!$C$94-$G40)/(Control!$C$95-Control!$C$94)))))</f>
        <v>#N/A</v>
      </c>
      <c r="BE40" s="140" t="e">
        <f t="shared" ca="1" si="123"/>
        <v>#N/A</v>
      </c>
      <c r="BF40" s="140" t="e">
        <f ca="1">IF($BE40&lt;=Control!$C$86,$BE40,Control!$C$86-$BE40)</f>
        <v>#N/A</v>
      </c>
      <c r="BG40" s="140" t="e">
        <f ca="1">IF(AND($AW40=1,Control!$C$84&lt;9),1,IF($BE40&gt;=Control!$C$86,0,$BC40))</f>
        <v>#N/A</v>
      </c>
      <c r="BH40" s="404" t="e">
        <f ca="1">IF($BG40=0,0,IF($BE40&lt;=Control!$C$86,$BC40*9*($BF40/Control!$C$86),0))</f>
        <v>#N/A</v>
      </c>
      <c r="BI40" s="140" t="e">
        <f ca="1">IF($BG40=1,0,IF($BE40&gt;=Control!$C$86,1,IF(AND($BB40&lt;21,$BB40&gt;=9),1,$BM39)))</f>
        <v>#N/A</v>
      </c>
      <c r="BJ40" s="140" t="e">
        <f ca="1">IF($BF40&lt;0,-$BF40,$BI40*IF(OR($G40&lt;Control!$C$92,$G40&gt;Control!$C$95),0,IF(AND($G40&gt;=Control!$C$92,$G40&lt;=Control!$C$93),$G40-Control!$C$92,IF(AND($G40&gt;Control!$C$93,$G40&lt;=Control!$C$94),Control!$C$93-Control!$C$92,IF(AND($G40&gt;Control!$C$94,$G40&lt;=Control!$C$95),(Control!$C$93-Control!$C$92)*(Control!$C$94-$G40)/(Control!$C$95-Control!$C$94))))))</f>
        <v>#N/A</v>
      </c>
      <c r="BK40" s="140" t="e">
        <f t="shared" ca="1" si="124"/>
        <v>#N/A</v>
      </c>
      <c r="BL40" s="140" t="e">
        <f ca="1">IF($BK40&lt;=Control!$C$87,$BK40,Control!$C$87-$BK40)</f>
        <v>#N/A</v>
      </c>
      <c r="BM40" s="140" t="e">
        <f ca="1">IF(AND($BB40&gt;=9,$BB40&lt;21),1,IF($BK40&gt;=Control!$C$87,0,$BI40))</f>
        <v>#N/A</v>
      </c>
      <c r="BN40" s="404" t="e">
        <f ca="1">IF($BM40=0,0,IF($BK40&lt;=Control!$C$87,$BI40*(9+(21-9)*($BL40/Control!$C$87)),0))</f>
        <v>#N/A</v>
      </c>
      <c r="BO40" s="140" t="e">
        <f ca="1">IF($BM40=1,0,IF($BK40&gt;=Control!$C$87,1,IF(AND($BB40&lt;30,$BB40&gt;=21),1,$BS39)))</f>
        <v>#N/A</v>
      </c>
      <c r="BP40" s="140" t="e">
        <f ca="1">IF($BL40&lt;0,-$BL40,$BO40*IF(OR($G40&lt;Control!$C$92,$G40&gt;Control!$C$95),0,IF(AND($G40&gt;=Control!$C$92,$G40&lt;=Control!$C$93),$G40-Control!$C$92,IF(AND($G40&gt;Control!$C$93,$G40&lt;=Control!$C$94),Control!$C$93-Control!$C$92,IF(AND($G40&gt;Control!$C$94,$G40&lt;=Control!$C$95),(Control!$C$93-Control!$C$92)*(Control!$C$94-$G40)/(Control!$C$95-Control!$C$94))))))</f>
        <v>#N/A</v>
      </c>
      <c r="BQ40" s="140" t="e">
        <f t="shared" ca="1" si="15"/>
        <v>#N/A</v>
      </c>
      <c r="BR40" s="140" t="e">
        <f ca="1">IF($BQ40&lt;=Control!$C$88,$BQ40,Control!$C$88-$BQ40)</f>
        <v>#N/A</v>
      </c>
      <c r="BS40" s="140" t="e">
        <f ca="1">IF(AND($BB40&gt;=21,$BB40&lt;30),1,IF($BQ40&gt;=Control!$C$88,0,$BO40))</f>
        <v>#N/A</v>
      </c>
      <c r="BT40" s="404" t="e">
        <f ca="1">IF($BS40=0,0,IF($BQ40&lt;=Control!$C$88,$BO40*(21+(30-21)*(BR40/Control!$C$88)),0))</f>
        <v>#N/A</v>
      </c>
      <c r="BU40" s="140" t="e">
        <f ca="1">IF(BG40+BM40+BS40=1,0,IF(OR(AND($BB40&lt;60,$BB40&gt;=30),$BQ40&gt;=Control!$C$88),1*$BA40,$BY39))</f>
        <v>#N/A</v>
      </c>
      <c r="BV40" s="140" t="e">
        <f ca="1">IF($BR40&lt;0,-$BR40,$BU40*IF(OR($G40&lt;Control!$C$92,$G40&gt;Control!$C$95),0,IF(AND($G40&gt;=Control!$C$92,$G40&lt;=Control!$C$93),$G40-Control!$C$92,IF(AND($G40&gt;Control!$C$93,$G40&lt;=Control!$C$94),Control!$C$93-Control!$C$92,IF(AND($G40&gt;Control!$C$94,$G40&lt;=Control!$C$95),(Control!$C$93-Control!$C$92)*(Control!$C$94-$G40)/(Control!$C$95-Control!$C$94))))))</f>
        <v>#N/A</v>
      </c>
      <c r="BW40" s="140" t="e">
        <f t="shared" ca="1" si="16"/>
        <v>#N/A</v>
      </c>
      <c r="BX40" s="140" t="e">
        <f ca="1">IF($BW40&lt;=Control!$C$89,$BW40,Control!$C$89-$BW40)</f>
        <v>#N/A</v>
      </c>
      <c r="BY40" s="140" t="e">
        <f ca="1">IF(AND($AJ40&gt;=30,$AJ40&lt;60),1,IF($BW40&gt;=Control!$C$89,0,$BU40))</f>
        <v>#N/A</v>
      </c>
      <c r="BZ40" s="404" t="e">
        <f ca="1">IF($BY40=0,0,IF($BW40&lt;=Control!$C$89,$BU40*(30+(60-30)*(BX40/Control!$C$89)),0))</f>
        <v>#N/A</v>
      </c>
      <c r="CA40" s="140" t="e">
        <f ca="1">IF($BG40+$BM40+$BS40+$BY40=1,0,IF(OR(AND($BB40&lt;65,$BB40&gt;=60),$BW40&gt;=Control!$C$89),1*$BA40,$CE39))</f>
        <v>#N/A</v>
      </c>
      <c r="CB40" s="140" t="e">
        <f ca="1">IF($BX40&lt;0,-$BX40,$CA40*IF(OR($G40&lt;Control!$C$92,$G40&gt;Control!$C$95),0,IF(AND($G40&gt;=Control!$C$92,$G40&lt;=Control!$C$93),$G40-Control!$C$92,IF(AND($G40&gt;Control!$C$93,$G40&lt;=Control!$C$94),Control!$C$93-Control!$C$92,IF(AND($G40&gt;Control!$C$94,$G40&lt;=Control!$C$95),(Control!$C$93-Control!$C$92)*(Control!$C$94-$G40)/(Control!$C$95-Control!$C$94))))))</f>
        <v>#N/A</v>
      </c>
      <c r="CC40" s="140" t="e">
        <f t="shared" ca="1" si="125"/>
        <v>#N/A</v>
      </c>
      <c r="CD40" s="140" t="e">
        <f ca="1">IF($CC40&lt;=Control!$C$90,$CC40,Control!$C$90-$CC40)</f>
        <v>#N/A</v>
      </c>
      <c r="CE40" s="140" t="e">
        <f ca="1">IF(AND($BB40&gt;=60,$BB40&lt;65),1,IF($CC40&gt;=Control!$C$90,0,$CA40))</f>
        <v>#N/A</v>
      </c>
      <c r="CF40" s="404" t="e">
        <f ca="1">IF($CE40=0,0,IF($CC40&lt;=Control!$C$90,$CA40*(60+(65-60)*(CD40/Control!$C$90)),0))</f>
        <v>#N/A</v>
      </c>
      <c r="CG40" s="140" t="e">
        <f ca="1">IF($BG40+$BM40+$BS40+$BY40+$CE40=1,0,IF(OR(AND($BB40&lt;90,$BB40&gt;=65),$CC40&gt;=Control!$C$90),$BA40,$CK39))</f>
        <v>#N/A</v>
      </c>
      <c r="CH40" s="140" t="e">
        <f ca="1">IF($CD40&lt;0,-$CD40,$CG40*IF(OR($G40&lt;Control!$C$92,$G40&gt;Control!$C$95),0,IF(AND($G40&gt;=Control!$C$92,$G40&lt;=Control!$C$93),$G40-Control!$C$92,IF(AND($G40&gt;Control!$C$93,$G40&lt;=Control!$C$94),Control!$C$93-Control!$C$92,IF(AND($G40&gt;Control!$C$94,$G40&lt;=Control!$C$95),(Control!$C$93-Control!$C$92)*(Control!$C$94-$G40)/(Control!$C$95-Control!$C$94))))))</f>
        <v>#N/A</v>
      </c>
      <c r="CI40" s="140" t="e">
        <f t="shared" ca="1" si="126"/>
        <v>#N/A</v>
      </c>
      <c r="CJ40" s="140" t="e">
        <f ca="1">IF($CI40&lt;=Control!$C$91,$CI40,Control!$C$91-$CI40)</f>
        <v>#N/A</v>
      </c>
      <c r="CK40" s="140" t="e">
        <f ca="1">IF(AND($BB40&gt;=65,$BB40&lt;90),1,IF($CI40&gt;=Control!$C$91,0,$CG40))</f>
        <v>#N/A</v>
      </c>
      <c r="CL40" s="404" t="e">
        <f ca="1">IF($CK40=0,0,IF($CI40&lt;=Control!$C$91,$CG40*(65+(90-65)*($CJ40/Control!$C$91)),0))</f>
        <v>#N/A</v>
      </c>
      <c r="CM40" s="140" t="e">
        <f ca="1">IF($BG40+$BM40+$BS40+$BY40+$CE40+$CK40=1,0,IF(OR($BB40&gt;=90,$CI40&gt;=Control!$C$91),$BA40,$CM39))</f>
        <v>#N/A</v>
      </c>
      <c r="CN40" s="140" t="e">
        <f t="shared" ca="1" si="127"/>
        <v>#N/A</v>
      </c>
      <c r="CO40" s="140" t="e">
        <f t="shared" ca="1" si="128"/>
        <v>#N/A</v>
      </c>
      <c r="CP40" s="140" t="e">
        <f t="shared" ca="1" si="129"/>
        <v>#N/A</v>
      </c>
      <c r="CQ40" s="141" t="e">
        <f ca="1">VLOOKUP($CP40,Control!$B$86:$G$91,6)</f>
        <v>#N/A</v>
      </c>
      <c r="CR40" s="141" t="e">
        <f ca="1">(1-$CQ40)*VLOOKUP($CP40,Control!$B$86:$D$91,3)</f>
        <v>#N/A</v>
      </c>
      <c r="CS40" s="141" t="e">
        <f ca="1">(1-$CQ40)*VLOOKUP($CP40,Control!$B$86:$E$91,4)</f>
        <v>#N/A</v>
      </c>
      <c r="CT40" s="141" t="e">
        <f ca="1">(1-$CQ40)*VLOOKUP($CP40,Control!$B$86:$F$91,5)</f>
        <v>#N/A</v>
      </c>
      <c r="CU40" s="141">
        <f t="shared" ca="1" si="130"/>
        <v>0</v>
      </c>
      <c r="CV40" s="583">
        <f t="shared" ca="1" si="131"/>
        <v>0</v>
      </c>
      <c r="CW40" s="142">
        <f t="shared" ca="1" si="132"/>
        <v>35</v>
      </c>
      <c r="CX40" s="612" t="e">
        <f ca="1">IF(Control!$C$114=1,(MIN(Control!$C$120*(IF($NT40-0.01&lt;0,0,1)),Control!$C$119-$CY40)))</f>
        <v>#DIV/0!</v>
      </c>
      <c r="CY40" s="143" t="e">
        <f t="shared" ca="1" si="133"/>
        <v>#N/A</v>
      </c>
      <c r="CZ40" s="144">
        <f t="shared" ca="1" si="17"/>
        <v>0</v>
      </c>
      <c r="DA40" s="144">
        <f t="shared" ca="1" si="18"/>
        <v>0</v>
      </c>
      <c r="DB40" s="144" t="e">
        <f t="shared" ca="1" si="19"/>
        <v>#N/A</v>
      </c>
      <c r="DC40" s="144" t="e">
        <f t="shared" ca="1" si="20"/>
        <v>#N/A</v>
      </c>
      <c r="DD40" s="144" t="e">
        <f t="shared" ca="1" si="216"/>
        <v>#N/A</v>
      </c>
      <c r="DE40" s="143" t="e">
        <f t="shared" ca="1" si="135"/>
        <v>#N/A</v>
      </c>
      <c r="DF40" s="145" t="e">
        <f ca="1">$DR40*EXP(-Control!$C$158*(1-$KH40))</f>
        <v>#N/A</v>
      </c>
      <c r="DG40" s="146" t="e">
        <f ca="1">IF(Control!$C$114=1, $DF40*$EY40, 0)</f>
        <v>#N/A</v>
      </c>
      <c r="DH40" s="147" t="e">
        <f t="shared" ca="1" si="136"/>
        <v>#N/A</v>
      </c>
      <c r="DI40" s="144" t="e">
        <f t="shared" ca="1" si="191"/>
        <v>#N/A</v>
      </c>
      <c r="DJ40" s="147" t="e">
        <f ca="1">$EF40*Control!$C$109</f>
        <v>#N/A</v>
      </c>
      <c r="DK40" s="144" t="e">
        <f t="shared" ca="1" si="137"/>
        <v>#N/A</v>
      </c>
      <c r="DL40" s="144" t="e">
        <f t="shared" ca="1" si="21"/>
        <v>#N/A</v>
      </c>
      <c r="DM40" s="144" t="e">
        <f ca="1">IF(Control!$C$114=1, (1-EXP(-Control!$C$96*$DK40))*$AR40, 0)</f>
        <v>#N/A</v>
      </c>
      <c r="DN40" s="144">
        <f t="shared" ca="1" si="138"/>
        <v>0</v>
      </c>
      <c r="DO40" s="148">
        <f>Control!$C$97</f>
        <v>4</v>
      </c>
      <c r="DP40" s="145" t="e">
        <f t="shared" ca="1" si="139"/>
        <v>#N/A</v>
      </c>
      <c r="DQ40" s="145" t="e">
        <f ca="1">IF(AND($CP40&gt;=0,$CP40&lt;=90),Control!$C$111,Control!$C$111)</f>
        <v>#N/A</v>
      </c>
      <c r="DR40" s="145" t="e">
        <f t="shared" ca="1" si="22"/>
        <v>#N/A</v>
      </c>
      <c r="DS40" s="143" t="e">
        <f ca="1">Control!$B$22/$DR40</f>
        <v>#N/A</v>
      </c>
      <c r="DT40" s="149" t="e">
        <f ca="1">IF(AND(Control!$C$114=1,$KH40&lt;1),$IM40*$DF40, 0)</f>
        <v>#N/A</v>
      </c>
      <c r="DU40" s="144" t="e">
        <f t="shared" ca="1" si="192"/>
        <v>#N/A</v>
      </c>
      <c r="DV40" s="144">
        <f ca="1">IF($G40-Control!$C$107&lt;=0, 0, 0.83*LN(MAX($G40, 3))-0.8924)</f>
        <v>0</v>
      </c>
      <c r="DW40" s="144" t="e">
        <f t="shared" ca="1" si="23"/>
        <v>#N/A</v>
      </c>
      <c r="DX40" s="150" t="e">
        <f ca="1">MAX(0.01*(1+$CU40/Control!$C$102),0.05*($DK40-Control!$C$97)/Control!$C$97)</f>
        <v>#N/A</v>
      </c>
      <c r="DY40" s="151" t="e">
        <f ca="1">IF(Control!$C$114=1, $DI40*$FS40, 0)</f>
        <v>#N/A</v>
      </c>
      <c r="DZ40" s="196" t="e">
        <f t="shared" ca="1" si="140"/>
        <v>#N/A</v>
      </c>
      <c r="EA40" s="152">
        <f t="shared" ca="1" si="141"/>
        <v>35</v>
      </c>
      <c r="EB40" s="153" t="e">
        <f t="shared" ca="1" si="217"/>
        <v>#N/A</v>
      </c>
      <c r="EC40" s="153" t="e">
        <f t="shared" ca="1" si="142"/>
        <v>#N/A</v>
      </c>
      <c r="ED40" s="154" t="e">
        <f ca="1">IF(Control!$C$114=1, $HM40*$FY40-$FD40, 0)</f>
        <v>#DIV/0!</v>
      </c>
      <c r="EE40" s="155" t="e">
        <f ca="1">IF(Control!$C$114=1, $HM40*$FZ40-$FF40, 0)</f>
        <v>#DIV/0!</v>
      </c>
      <c r="EF40" s="153" t="e">
        <f t="shared" ca="1" si="193"/>
        <v>#N/A</v>
      </c>
      <c r="EG40" s="155" t="e">
        <f ca="1">IF(Control!$C$114=1, $GX40*$FW40-$FI40, 0)</f>
        <v>#DIV/0!</v>
      </c>
      <c r="EH40" s="153" t="e">
        <f t="shared" ca="1" si="143"/>
        <v>#N/A</v>
      </c>
      <c r="EI40" s="156" t="e">
        <f t="shared" ca="1" si="144"/>
        <v>#N/A</v>
      </c>
      <c r="EJ40" s="155" t="e">
        <f ca="1">IF(Control!$C$114=1, $HM40*$GB40, 0)</f>
        <v>#DIV/0!</v>
      </c>
      <c r="EK40" s="153" t="e">
        <f t="shared" ca="1" si="194"/>
        <v>#N/A</v>
      </c>
      <c r="EL40" s="153" t="e">
        <f t="shared" ca="1" si="24"/>
        <v>#N/A</v>
      </c>
      <c r="EM40" s="153" t="e">
        <f t="shared" ca="1" si="25"/>
        <v>#N/A</v>
      </c>
      <c r="EN40" s="153" t="e">
        <f ca="1">IF(Control!$C$108=1,IF(AND(Control!$B$18=1,$EB40&gt;=Control!$B$19),$EB40-$DS40,IF(AND(Control!$B$18=2,$AW40=1,$EB40&gt;$DS40),$EB40-$DS40,0)))</f>
        <v>#N/A</v>
      </c>
      <c r="EO40" s="153" t="e">
        <f ca="1">IF(Control!$C$108=1,IF(AND(Control!$B$18=1,$EB40&gt;=Control!$B$19),$EF40,IF(AND(Control!$B$18=2,$AW40=1),$EF40,0)))</f>
        <v>#N/A</v>
      </c>
      <c r="EP40" s="153" t="e">
        <f ca="1">IF(Control!$C$108=1,IF(AND(Control!$B$18=1,$EB40&gt;=Control!$B$19),$EK40,IF(AND(Control!$B$18=2,$AW40=1),$EK40,0)))</f>
        <v>#N/A</v>
      </c>
      <c r="EQ40" s="153" t="e">
        <f t="shared" ca="1" si="145"/>
        <v>#N/A</v>
      </c>
      <c r="ER40" s="153" t="e">
        <f t="shared" ca="1" si="231"/>
        <v>#N/A</v>
      </c>
      <c r="ES40" s="153" t="e">
        <f t="shared" ca="1" si="196"/>
        <v>#N/A</v>
      </c>
      <c r="ET40" s="153" t="e">
        <f t="shared" ca="1" si="197"/>
        <v>#N/A</v>
      </c>
      <c r="EU40" s="153" t="e">
        <f t="shared" ca="1" si="198"/>
        <v>#N/A</v>
      </c>
      <c r="EV40" s="153" t="e">
        <f t="shared" ca="1" si="146"/>
        <v>#N/A</v>
      </c>
      <c r="EW40" s="153" t="e">
        <f t="shared" ca="1" si="218"/>
        <v>#N/A</v>
      </c>
      <c r="EX40" s="153" t="e">
        <f t="shared" ca="1" si="26"/>
        <v>#N/A</v>
      </c>
      <c r="EY40" s="157" t="e">
        <f t="shared" ca="1" si="147"/>
        <v>#DIV/0!</v>
      </c>
      <c r="EZ40" s="154" t="e">
        <f t="shared" ca="1" si="27"/>
        <v>#DIV/0!</v>
      </c>
      <c r="FA40" s="153" t="e">
        <f t="shared" ca="1" si="199"/>
        <v>#N/A</v>
      </c>
      <c r="FB40" s="153" t="e">
        <f t="shared" ca="1" si="28"/>
        <v>#N/A</v>
      </c>
      <c r="FC40" s="193" t="e">
        <f t="shared" ca="1" si="29"/>
        <v>#N/A</v>
      </c>
      <c r="FD40" s="158" t="e">
        <f t="shared" ca="1" si="200"/>
        <v>#N/A</v>
      </c>
      <c r="FE40" s="158" t="e">
        <f t="shared" ca="1" si="148"/>
        <v>#N/A</v>
      </c>
      <c r="FF40" s="159" t="e">
        <f t="shared" ca="1" si="30"/>
        <v>#N/A</v>
      </c>
      <c r="FG40" s="160" t="e">
        <f t="shared" ca="1" si="149"/>
        <v>#N/A</v>
      </c>
      <c r="FH40" s="158" t="e">
        <f t="shared" ca="1" si="150"/>
        <v>#N/A</v>
      </c>
      <c r="FI40" s="159" t="e">
        <f t="shared" ca="1" si="31"/>
        <v>#N/A</v>
      </c>
      <c r="FJ40" s="160" t="e">
        <f t="shared" ca="1" si="151"/>
        <v>#N/A</v>
      </c>
      <c r="FK40" s="160" t="e">
        <f t="shared" ca="1" si="32"/>
        <v>#N/A</v>
      </c>
      <c r="FL40" s="160" t="e">
        <f t="shared" ca="1" si="229"/>
        <v>#N/A</v>
      </c>
      <c r="FM40" s="160" t="e">
        <f t="shared" ca="1" si="33"/>
        <v>#N/A</v>
      </c>
      <c r="FN40" s="158">
        <f t="shared" ca="1" si="219"/>
        <v>0.01</v>
      </c>
      <c r="FO40" s="160">
        <f>Control!$C$101</f>
        <v>50</v>
      </c>
      <c r="FP40" s="150" t="e">
        <f t="shared" ca="1" si="34"/>
        <v>#N/A</v>
      </c>
      <c r="FQ40" s="150" t="e">
        <f ca="1">MAX(0,(Control!$C$112*(($DK40-Control!$C$97)/Control!$C$97)))</f>
        <v>#N/A</v>
      </c>
      <c r="FR40" s="150" t="e">
        <f ca="1">(1-$NT40)*Control!$C$113</f>
        <v>#DIV/0!</v>
      </c>
      <c r="FS40" s="198" t="e">
        <f t="shared" ca="1" si="35"/>
        <v>#N/A</v>
      </c>
      <c r="FT40" s="161">
        <f t="shared" ca="1" si="152"/>
        <v>35</v>
      </c>
      <c r="FU40" s="162" t="e">
        <f ca="1">IF(Control!$B$34=1,VLOOKUP($CP40,Control!$B$86:$G$91,6),Control!$B$35)</f>
        <v>#N/A</v>
      </c>
      <c r="FV40" s="162" t="e">
        <f t="shared" ca="1" si="36"/>
        <v>#DIV/0!</v>
      </c>
      <c r="FW40" s="162" t="e">
        <f ca="1">IF(Control!$B$31=1,$FU40*$FV40,  $FU40)</f>
        <v>#N/A</v>
      </c>
      <c r="FX40" s="162" t="e">
        <f ca="1">IF(Control!$B$34=1,VLOOKUP($CP40,Control!$B$86:$G$91,3),Control!$B$36)</f>
        <v>#N/A</v>
      </c>
      <c r="FY40" s="162" t="e">
        <f t="shared" ca="1" si="37"/>
        <v>#N/A</v>
      </c>
      <c r="FZ40" s="162" t="e">
        <f ca="1">IF(Control!$B$34=1,VLOOKUP($CP40,Control!$B$86:$G$91,4),Control!$B$37)</f>
        <v>#N/A</v>
      </c>
      <c r="GA40" s="162" t="e">
        <f t="shared" ca="1" si="38"/>
        <v>#N/A</v>
      </c>
      <c r="GB40" s="162" t="e">
        <f ca="1">IF(Control!$B$34=1,VLOOKUP($CP40,Control!$B$86:$G$91,5),Control!$B$38)</f>
        <v>#N/A</v>
      </c>
      <c r="GC40" s="162" t="e">
        <f t="shared" ca="1" si="153"/>
        <v>#N/A</v>
      </c>
      <c r="GD40" s="162">
        <f t="shared" ca="1" si="39"/>
        <v>1</v>
      </c>
      <c r="GE40" s="162">
        <f t="shared" ca="1" si="40"/>
        <v>1</v>
      </c>
      <c r="GF40" s="162">
        <f ca="1">IF(AND(Control!$C$104=1, Control!$C$62="F"),$GE40,1)</f>
        <v>1</v>
      </c>
      <c r="GG40" s="162" t="e">
        <f ca="1">IF(Control!$B$16=40,0,IF(AND(Control!$B$16&gt;40,Control!$B$16&lt;=360),(Control!$B$16-40)*((1-0)/(360-40)),IF(AND(Control!$B$16&gt;360,Control!$B$16&lt;=720),(1+(Control!$B$16-360)*((1.25-1)/(720-360))),IF(AND(Control!$B$16&gt;720,Control!$B$16&lt;=1000),(1.25+(Control!$B$16-720)*((1.35-1.25)/(1000-720))),IF(AND(Control!$B$16&gt;1000,Control!$B$16&lt;=2000),(1.35+(Control!$B$16-1000)*0))))))</f>
        <v>#N/A</v>
      </c>
      <c r="GH40" s="162" t="e">
        <f t="shared" ca="1" si="41"/>
        <v>#N/A</v>
      </c>
      <c r="GI40" s="162">
        <f t="shared" ca="1" si="201"/>
        <v>0</v>
      </c>
      <c r="GJ40" s="162">
        <f t="shared" ca="1" si="42"/>
        <v>0</v>
      </c>
      <c r="GK40" s="162">
        <f t="shared" ca="1" si="220"/>
        <v>1</v>
      </c>
      <c r="GL40" s="162">
        <f t="shared" ca="1" si="43"/>
        <v>1</v>
      </c>
      <c r="GM40" s="162" t="e">
        <f ca="1">MAX(0,MIN(1,1-Control!$C$156*(1.0001-$KH40)^2))</f>
        <v>#N/A</v>
      </c>
      <c r="GN40" s="162" t="e">
        <f ca="1">IF(Control!$B$26=1,$KU40,$KX40)</f>
        <v>#N/A</v>
      </c>
      <c r="GO40" s="162" t="e">
        <f ca="1">IF($CP40&lt;=60,Control!$C$105,IF($CP40&gt;=90,Control!$C$106,Control!$C$105+($CP40-60)*((Control!$C$106-Control!$C$105)/(90-60))))</f>
        <v>#N/A</v>
      </c>
      <c r="GP40" s="162" t="e">
        <f t="shared" ca="1" si="154"/>
        <v>#N/A</v>
      </c>
      <c r="GQ40" s="162" t="e">
        <f t="shared" ca="1" si="155"/>
        <v>#N/A</v>
      </c>
      <c r="GR40" s="163" t="e">
        <f t="shared" ca="1" si="44"/>
        <v>#DIV/0!</v>
      </c>
      <c r="GS40" s="162" t="e">
        <f t="shared" ca="1" si="45"/>
        <v>#DIV/0!</v>
      </c>
      <c r="GT40" s="164" t="e">
        <f t="shared" ca="1" si="156"/>
        <v>#N/A</v>
      </c>
      <c r="GU40" s="162" t="e">
        <f t="shared" ca="1" si="157"/>
        <v>#N/A</v>
      </c>
      <c r="GV40" s="162" t="e">
        <f t="shared" ca="1" si="46"/>
        <v>#N/A</v>
      </c>
      <c r="GW40" s="162" t="e">
        <f t="shared" ca="1" si="221"/>
        <v>#DIV/0!</v>
      </c>
      <c r="GX40" s="162" t="e">
        <f t="shared" ca="1" si="228"/>
        <v>#DIV/0!</v>
      </c>
      <c r="GY40" s="162" t="e">
        <f t="shared" ca="1" si="158"/>
        <v>#DIV/0!</v>
      </c>
      <c r="GZ40" s="165" t="e">
        <f t="shared" ca="1" si="159"/>
        <v>#N/A</v>
      </c>
      <c r="HA40" s="162" t="e">
        <f ca="1">IF(Control!$C$114=1, $DI40*$FS40, 0)</f>
        <v>#N/A</v>
      </c>
      <c r="HB40" s="162" t="e">
        <f ca="1">$FA40/Control!$C$64</f>
        <v>#N/A</v>
      </c>
      <c r="HC40" s="162" t="e">
        <f t="shared" ca="1" si="222"/>
        <v>#DIV/0!</v>
      </c>
      <c r="HD40" s="162">
        <f ca="1">-ASIN(SIN(23.45*Control!$C$139)*COS(2*Control!$C$138*($AH40+10)/365))</f>
        <v>-0.28838409262059661</v>
      </c>
      <c r="HE40" s="165">
        <f t="shared" ca="1" si="160"/>
        <v>0</v>
      </c>
      <c r="HF40" s="166">
        <f ca="1">IF(AND(Control!$C$61="T",$HE40&gt;=Control!$C$103,Control!$C$114=0),$AH40,Control!$C$59)</f>
        <v>1</v>
      </c>
      <c r="HG40" s="166">
        <f ca="1">IF(AND(Control!$C$61="T",$HE40&gt;=Control!$C$103,Control!$C$114=0),$HF40,Control!$C$59)</f>
        <v>1</v>
      </c>
      <c r="HH40" s="165">
        <f ca="1">IF(AND(OR(Control!$C$60&lt;=0, $AH40= Control!$C$59, Control!$C$60 &gt;0, $AH40 = Control!$C$60)), Control!$C$59, IF(Control!$C$60&gt;0, 0))</f>
        <v>1</v>
      </c>
      <c r="HI40" s="165">
        <f ca="1">IF(AND(OR(Control!$C$60&lt;=0, $AH40= Control!$C$59, Control!$C$60 &gt;0, $AH40 = Control!$C$60)), Control!$C$60, IF(Control!$C$60&lt;=0, 0))</f>
        <v>0</v>
      </c>
      <c r="HJ40" s="166">
        <f ca="1">IF(AND(Control!$C$62="F",$CV40&gt;=Control!$C$102),$AH40,0)</f>
        <v>0</v>
      </c>
      <c r="HK40" s="165" t="e">
        <f t="shared" ca="1" si="202"/>
        <v>#N/A</v>
      </c>
      <c r="HL40" s="166">
        <f ca="1">IF(AND(Control!$C$61="T",$HE40&gt;=Control!$C$103,Control!$C$114=0),$HF40,0)</f>
        <v>0</v>
      </c>
      <c r="HM40" s="201" t="e">
        <f t="shared" ca="1" si="47"/>
        <v>#DIV/0!</v>
      </c>
      <c r="HN40" s="215">
        <f t="shared" ca="1" si="161"/>
        <v>35</v>
      </c>
      <c r="HO40" s="216" t="e">
        <f ca="1">IF(AND($CP40&gt;=0, $CP40&lt;=90), Control!$C$152, Control!$C$152)</f>
        <v>#N/A</v>
      </c>
      <c r="HP40" s="216" t="e">
        <f t="shared" ca="1" si="48"/>
        <v>#N/A</v>
      </c>
      <c r="HQ40" s="217" t="e">
        <f ca="1">IF(OR(Control!$B$26=1,Control!$B$26=2),$KV40,$KS40)</f>
        <v>#DIV/0!</v>
      </c>
      <c r="HR40" s="218" t="e">
        <f t="shared" ca="1" si="223"/>
        <v>#DIV/0!</v>
      </c>
      <c r="HS40" s="216" t="e">
        <f ca="1">Control!$C$154*$HP40</f>
        <v>#N/A</v>
      </c>
      <c r="HT40" s="216" t="e">
        <f ca="1">Control!$C$155*$HP40</f>
        <v>#N/A</v>
      </c>
      <c r="HU40" s="217" t="e">
        <f ca="1">Control!$C$161*$FI40</f>
        <v>#N/A</v>
      </c>
      <c r="HV40" s="218" t="e">
        <f t="shared" ca="1" si="162"/>
        <v>#N/A</v>
      </c>
      <c r="HW40" s="218" t="e">
        <f ca="1">Control!$C$160*$FF40+$IP40*$EO40</f>
        <v>#N/A</v>
      </c>
      <c r="HX40" s="218" t="e">
        <f t="shared" ca="1" si="203"/>
        <v>#N/A</v>
      </c>
      <c r="HY40" s="219" t="e">
        <f ca="1">IF(Control!$C$114=1, $EB40*$FS40, 0)</f>
        <v>#N/A</v>
      </c>
      <c r="HZ40" s="91" t="e">
        <f t="shared" ca="1" si="49"/>
        <v>#N/A</v>
      </c>
      <c r="IA40" s="220" t="e">
        <f ca="1">Control!$C$153*$HO40</f>
        <v>#N/A</v>
      </c>
      <c r="IB40" s="218" t="e">
        <f t="shared" ca="1" si="50"/>
        <v>#N/A</v>
      </c>
      <c r="IC40" s="220" t="e">
        <f ca="1">Control!$C$153*$HT40</f>
        <v>#N/A</v>
      </c>
      <c r="ID40" s="218" t="e">
        <f t="shared" ca="1" si="51"/>
        <v>#N/A</v>
      </c>
      <c r="IE40" s="221" t="e">
        <f ca="1">($EB40*Control!$C$159+$EF40*Control!$C$160)/(IF($GZ40&lt;&gt;0,$GZ40,1))</f>
        <v>#N/A</v>
      </c>
      <c r="IF40" s="216" t="e">
        <f t="shared" ca="1" si="52"/>
        <v>#N/A</v>
      </c>
      <c r="IG40" s="91">
        <f ca="1">IF(OR(Control!$B$198=$AH40,Control!$B$199=$AH40, Control!$B$200=$AH40, Control!$B$201=$AH40, Control!$B$202=$AH40, Control!$B$203=$AH40, Control!$B$204=$AH40, Control!$B$205=$AH40, Control!$B$206=$AH40, Control!$B$207=$AH40), 1, 0)</f>
        <v>0</v>
      </c>
      <c r="IH40" s="91">
        <f ca="1">IF($IG40=0,0, VLOOKUP($AH40,Control!$B$198:$C$207,2))</f>
        <v>0</v>
      </c>
      <c r="II40" s="222">
        <f t="shared" ca="1" si="163"/>
        <v>0</v>
      </c>
      <c r="IJ40" s="91">
        <f>Control!$C$121</f>
        <v>0.7</v>
      </c>
      <c r="IK40" s="218">
        <f t="shared" ca="1" si="53"/>
        <v>0</v>
      </c>
      <c r="IL40" s="217" t="e">
        <f t="shared" ca="1" si="204"/>
        <v>#N/A</v>
      </c>
      <c r="IM40" s="223" t="e">
        <f ca="1">IF(AND(Control!$C$114=1,$KH40&lt;1),$EB40*Control!$C$148*(1-$KH40), 0)</f>
        <v>#N/A</v>
      </c>
      <c r="IN40" s="217" t="e">
        <f t="shared" ca="1" si="54"/>
        <v>#DIV/0!</v>
      </c>
      <c r="IO40" s="91" t="e">
        <f ca="1">MAX(0,$IL40-$EF40*Control!$C$160)</f>
        <v>#N/A</v>
      </c>
      <c r="IP40" s="220" t="e">
        <f t="shared" ca="1" si="55"/>
        <v>#N/A</v>
      </c>
      <c r="IQ40" s="217" t="e">
        <f t="shared" ca="1" si="164"/>
        <v>#N/A</v>
      </c>
      <c r="IR40" s="218" t="e">
        <f t="shared" ca="1" si="56"/>
        <v>#N/A</v>
      </c>
      <c r="IS40" s="217" t="e">
        <f ca="1">Control!$C$159*MAX(0,$FD40-$EN40)</f>
        <v>#N/A</v>
      </c>
      <c r="IT40" s="217" t="e">
        <f t="shared" ca="1" si="205"/>
        <v>#N/A</v>
      </c>
      <c r="IU40" s="217" t="e">
        <f t="shared" ca="1" si="165"/>
        <v>#N/A</v>
      </c>
      <c r="IV40" s="217" t="e">
        <f t="shared" ca="1" si="206"/>
        <v>#N/A</v>
      </c>
      <c r="IW40" s="217" t="e">
        <f ca="1">IF(OR($AW40=1,AND($AW40=0, Control!$B$18=1,$EN40&lt;&gt;0)), $IQ40-$IU40, $IQ40)</f>
        <v>#N/A</v>
      </c>
      <c r="IX40" s="218" t="e">
        <f t="shared" ca="1" si="57"/>
        <v>#N/A</v>
      </c>
      <c r="IY40" s="218" t="e">
        <f ca="1">MAX(0,$IQ40-$EB40*Control!$C$159)</f>
        <v>#N/A</v>
      </c>
      <c r="IZ40" s="218" t="e">
        <f t="shared" ca="1" si="58"/>
        <v>#N/A</v>
      </c>
      <c r="JA40" s="216" t="e">
        <f t="shared" ca="1" si="59"/>
        <v>#N/A</v>
      </c>
      <c r="JB40" s="217" t="e">
        <f t="shared" ca="1" si="60"/>
        <v>#N/A</v>
      </c>
      <c r="JC40" s="222" t="e">
        <f ca="1">MAX(Control!$C$157*$EK40-$JT40, 0)/Control!$C$162</f>
        <v>#N/A</v>
      </c>
      <c r="JD40" s="218" t="e">
        <f t="shared" ca="1" si="61"/>
        <v>#N/A</v>
      </c>
      <c r="JE40" s="218" t="e">
        <f t="shared" ca="1" si="62"/>
        <v>#N/A</v>
      </c>
      <c r="JF40" s="218" t="e">
        <f t="shared" ca="1" si="207"/>
        <v>#N/A</v>
      </c>
      <c r="JG40" s="218" t="e">
        <f t="shared" ca="1" si="63"/>
        <v>#N/A</v>
      </c>
      <c r="JH40" s="217" t="e">
        <f t="shared" ca="1" si="166"/>
        <v>#N/A</v>
      </c>
      <c r="JI40" s="217" t="e">
        <f t="shared" ca="1" si="167"/>
        <v>#N/A</v>
      </c>
      <c r="JJ40" s="217" t="e">
        <f t="shared" ca="1" si="224"/>
        <v>#N/A</v>
      </c>
      <c r="JK40" s="217" t="e">
        <f ca="1">IF(Control!$C$114=1,IF(Control!$B$24=0,MAX(0,$JI40)*$GN40/Control!$C$64,(MAX(0,MIN($JI40,$JJ40*$GN40/Control!$C$64),0))))</f>
        <v>#N/A</v>
      </c>
      <c r="JL40" s="217" t="e">
        <f ca="1">$IK40/Control!$C$64-$JK40+$HQ40</f>
        <v>#N/A</v>
      </c>
      <c r="JM40" s="217" t="e">
        <f ca="1">IF(Control!$C$114=1,($JB40/(IF($JI40&lt;&gt;0,$JI40,1)))*$JK40,0)</f>
        <v>#N/A</v>
      </c>
      <c r="JN40" s="217" t="e">
        <f ca="1">IF(Control!$C$114=1,($JG40/(IF($JI40&lt;&gt;0,$JI40,1)))*$JK40, 0)</f>
        <v>#N/A</v>
      </c>
      <c r="JO40" s="218" t="e">
        <f t="shared" ca="1" si="64"/>
        <v>#N/A</v>
      </c>
      <c r="JP40" s="218" t="e">
        <f ca="1">MIN(($IY40+$IO40)*Control!$C$151, $JF40-$EH40*Control!$C$161)</f>
        <v>#N/A</v>
      </c>
      <c r="JQ40" s="218" t="e">
        <f t="shared" ca="1" si="65"/>
        <v>#N/A</v>
      </c>
      <c r="JR40" s="217" t="e">
        <f ca="1">IF($CP40-Control!$C$150&lt;0, 0, $JQ40/Control!$C$162)</f>
        <v>#N/A</v>
      </c>
      <c r="JS40" s="218" t="e">
        <f t="shared" ca="1" si="66"/>
        <v>#N/A</v>
      </c>
      <c r="JT40" s="218" t="e">
        <f t="shared" ca="1" si="168"/>
        <v>#N/A</v>
      </c>
      <c r="JU40" s="218" t="e">
        <f t="shared" ca="1" si="67"/>
        <v>#N/A</v>
      </c>
      <c r="JV40" s="218" t="e">
        <f t="shared" ca="1" si="68"/>
        <v>#N/A</v>
      </c>
      <c r="JW40" s="216" t="e">
        <f t="shared" ca="1" si="69"/>
        <v>#N/A</v>
      </c>
      <c r="JX40" s="91" t="e">
        <f t="shared" ca="1" si="70"/>
        <v>#N/A</v>
      </c>
      <c r="JY40" s="218" t="e">
        <f t="shared" ca="1" si="71"/>
        <v>#N/A</v>
      </c>
      <c r="JZ40" s="217" t="e">
        <f ca="1">IF(Control!$C$114=1,($IZ40/(IF($JI40&lt;&gt;0,$JI40,1)))*$JK40, 0)</f>
        <v>#N/A</v>
      </c>
      <c r="KA40" s="218" t="e">
        <f t="shared" ca="1" si="225"/>
        <v>#N/A</v>
      </c>
      <c r="KB40" s="218" t="e">
        <f t="shared" ca="1" si="169"/>
        <v>#N/A</v>
      </c>
      <c r="KC40" s="218" t="e">
        <f t="shared" ca="1" si="72"/>
        <v>#N/A</v>
      </c>
      <c r="KD40" s="218" t="e">
        <f t="shared" ca="1" si="73"/>
        <v>#N/A</v>
      </c>
      <c r="KE40" s="218" t="e">
        <f t="shared" ca="1" si="74"/>
        <v>#N/A</v>
      </c>
      <c r="KF40" s="218" t="e">
        <f t="shared" ca="1" si="75"/>
        <v>#N/A</v>
      </c>
      <c r="KG40" s="216" t="e">
        <f t="shared" ca="1" si="76"/>
        <v>#N/A</v>
      </c>
      <c r="KH40" s="221" t="e">
        <f ca="1">IF(Control!$B$24=0,1,MAX(0.001,MIN(1,IF(($IF40-$IE40)&lt;&gt;0,($KG40-$IE40)/($IF40-$IE40),1))))</f>
        <v>#N/A</v>
      </c>
      <c r="KI40" s="222" t="e">
        <f ca="1">IF(Control!$C$114=1, $KI39+ $KH39, 0)</f>
        <v>#N/A</v>
      </c>
      <c r="KJ40" s="217" t="e">
        <f t="shared" ca="1" si="77"/>
        <v>#N/A</v>
      </c>
      <c r="KK40" s="218" t="e">
        <f t="shared" ca="1" si="78"/>
        <v>#N/A</v>
      </c>
      <c r="KL40" s="274" t="e">
        <f ca="1">IF(Control!$B$26=3,4000000000*EXP(-8400/($G40+273)),IF(Control!$B$26=4,4000000000*EXP(-8400/($G40+273))*($KT40),0))</f>
        <v>#DIV/0!</v>
      </c>
      <c r="KM40" s="274" t="e">
        <f ca="1">IF(Control!$B$26=3,5600000000000*EXP(-9800/($G40+273)),IF(Control!$B$26=4,5600000000000*EXP(-9800/($G40+273))*$KT40,0))</f>
        <v>#DIV/0!</v>
      </c>
      <c r="KN40" s="454" t="e">
        <f t="shared" ca="1" si="170"/>
        <v>#DIV/0!</v>
      </c>
      <c r="KO40" s="274" t="e">
        <f t="shared" ca="1" si="171"/>
        <v>#DIV/0!</v>
      </c>
      <c r="KP40" s="454" t="e">
        <f t="shared" ca="1" si="79"/>
        <v>#DIV/0!</v>
      </c>
      <c r="KQ40" s="454" t="e">
        <f t="shared" ca="1" si="80"/>
        <v>#DIV/0!</v>
      </c>
      <c r="KR40" s="454" t="e">
        <f t="shared" ca="1" si="81"/>
        <v>#DIV/0!</v>
      </c>
      <c r="KS40" s="454" t="e">
        <f t="shared" ca="1" si="82"/>
        <v>#DIV/0!</v>
      </c>
      <c r="KT40" s="455" t="e">
        <f t="shared" ca="1" si="83"/>
        <v>#DIV/0!</v>
      </c>
      <c r="KU40" s="456" t="e">
        <f ca="1">IF($CP40-Control!$C$149&lt;0, IF($NT40-0.01&lt;0,0,1),0)</f>
        <v>#N/A</v>
      </c>
      <c r="KV40" s="456" t="e">
        <f ca="1">IF(Control!$C$114=1,MAX(0,MIN(Control!$C$125*$KW40*$GN40,$KW40)))</f>
        <v>#DIV/0!</v>
      </c>
      <c r="KW40" s="456" t="e">
        <f t="shared" ca="1" si="208"/>
        <v>#DIV/0!</v>
      </c>
      <c r="KX40" s="457" t="e">
        <f ca="1">IF($CP40-Control!$C$149&lt;0, IF($MR40-$OM40&lt;0,0,1),0)</f>
        <v>#N/A</v>
      </c>
      <c r="KY40" s="167">
        <f t="shared" ca="1" si="172"/>
        <v>35</v>
      </c>
      <c r="KZ40" s="168">
        <f ca="1">1370*(1+0.033*COS(2*Control!$C$138*$AH40/365))</f>
        <v>1407.2495229934027</v>
      </c>
      <c r="LA40" s="169">
        <f t="shared" ca="1" si="173"/>
        <v>1.0271894591899993</v>
      </c>
      <c r="LB40" s="169">
        <f t="shared" ca="1" si="174"/>
        <v>-0.28981470135838322</v>
      </c>
      <c r="LC40" s="169">
        <f ca="1">ACOS(-TAN((2*Control!$B$8/360))*TAN(Calculations!$LB40))</f>
        <v>1.4820506396758115</v>
      </c>
      <c r="LD40" s="169">
        <f ca="1">((24*60)/PI())*0.082*$LA40*(($LC40*SIN(Control!$B$8*2*PI()/360))*SIN($LB40)+COS(Control!$B$8*2*PI()/360)*COS($LB40)*SIN($LC40))</f>
        <v>9.8032015673871555</v>
      </c>
      <c r="LE40" s="170">
        <f t="shared" ca="1" si="84"/>
        <v>10.809487460893754</v>
      </c>
      <c r="LF40" s="170">
        <f ca="1">SIN(Control!$C$139*Control!$B$8)*SIN($HD40)</f>
        <v>-0.22411332421577401</v>
      </c>
      <c r="LG40" s="170">
        <f ca="1">COS(Control!$C$139*Control!$B$8)*COS($HD40)</f>
        <v>0.59023594455418149</v>
      </c>
      <c r="LH40" s="170">
        <f ca="1">12*(1+2*ASIN(MAX(-1,MIN(1,$LF40/$LG40))/Control!$C$138))</f>
        <v>9.0921940027323647</v>
      </c>
      <c r="LI40" s="170">
        <f ca="1">12*(1+2*ASIN(MAX(-1,MIN(1,(-SIN(-4*Control!$C$139)+$LF40)/$LG40))/Control!$C$138))</f>
        <v>9.9998480110589973</v>
      </c>
      <c r="LJ40" s="168">
        <f ca="1">3600*($LH40*$LF40+24*$LG40*SQRT(1-$LK40*$LK40)/Control!$C$138)</f>
        <v>7681.2869958559795</v>
      </c>
      <c r="LK40" s="170">
        <f t="shared" ca="1" si="85"/>
        <v>-0.37970124707510294</v>
      </c>
      <c r="LL40" s="170">
        <f t="shared" ca="1" si="86"/>
        <v>0</v>
      </c>
      <c r="LM40" s="171">
        <f ca="1">Control!$C$145*$AB40</f>
        <v>6.6660906138995932E-2</v>
      </c>
      <c r="LN40" s="170">
        <f t="shared" ca="1" si="175"/>
        <v>0.54</v>
      </c>
      <c r="LO40" s="170">
        <f t="shared" ca="1" si="87"/>
        <v>0</v>
      </c>
      <c r="LP40" s="170">
        <f ca="1">Control!$C$140*((($D40+273.16)^4+($E40+273.16)^4)/2)*(0.34-0.14*SQRT($Y40))*(1.35*$AQ40/(0.75*$LD40)-0.35)</f>
        <v>-3.2464704755046001</v>
      </c>
      <c r="LQ40" s="170">
        <f ca="1">Control!$C$140*($G40+273)^4*(0.56-0.079*SQRT($Y40*10))*(0.1+0.9*$LO40)</f>
        <v>1.5241745131704001</v>
      </c>
      <c r="LR40" s="170">
        <f ca="1">$AQ40*(1-Control!$C$142)-$LQ40</f>
        <v>-1.5241745131704001</v>
      </c>
      <c r="LS40" s="170">
        <f ca="1">$AQ40*(1-Control!$C$143)-$LQ40</f>
        <v>-1.5241745131704001</v>
      </c>
      <c r="LT40" s="170">
        <f ca="1">$AQ40*(1-Control!$C$144)-$LQ40</f>
        <v>-1.5241745131704001</v>
      </c>
      <c r="LU40" s="169">
        <f ca="1">(1-Control!$C$144)*AQ40-LP40</f>
        <v>3.2464704755046001</v>
      </c>
      <c r="LV40" s="172">
        <f t="shared" ca="1" si="88"/>
        <v>0.79430000000000012</v>
      </c>
      <c r="LW40" s="170">
        <f t="shared" ca="1" si="89"/>
        <v>1.5886000000000002</v>
      </c>
      <c r="LX40" s="170">
        <f ca="1">($AC40*($LR40/Control!$C$141)+$LM40*$LV40)/($AC40+$LM40)</f>
        <v>0.23530094218323697</v>
      </c>
      <c r="LY40" s="170">
        <f ca="1">($AC40*($LS40/Control!$C$141)+$LM40*$LV40)/($AC40+$LM40)</f>
        <v>0.23530094218323697</v>
      </c>
      <c r="LZ40" s="170">
        <f t="shared" ca="1" si="90"/>
        <v>0.23530094218323697</v>
      </c>
      <c r="MA40" s="170">
        <f t="shared" ca="1" si="91"/>
        <v>0.23530094218323697</v>
      </c>
      <c r="MB40" s="170" t="e">
        <f t="shared" ca="1" si="92"/>
        <v>#N/A</v>
      </c>
      <c r="MC40" s="170">
        <f t="shared" ca="1" si="176"/>
        <v>0.6018</v>
      </c>
      <c r="MD40" s="170">
        <f t="shared" ca="1" si="93"/>
        <v>0.52989392535414004</v>
      </c>
      <c r="ME40" s="170">
        <f ca="1">($AC40*($LT40/Control!$C$141)+$LM40*$LW40)/($AC40+$LM40)</f>
        <v>0.71612369323045078</v>
      </c>
      <c r="MF40" s="170" t="e">
        <f ca="1">IF(Control!$B$16&gt;=1000,0.92,IF(AND(720&lt;=Control!$B$16,1000&gt;Control!$B$16),(0.95+(Control!$B$16-720)*((0.92-0.95)/(1000-720))),IF(AND(360&lt;=Control!$B$16,720&gt;Control!$B$16),(1+(Control!$B$16-360)*((0.95-1)/(720-360))),IF(AND(40&lt;=Control!$B$16,360&gt;Control!$B$16),(1.05+(Control!$B$16-40)*((1.05-1)/(360-40)))))))</f>
        <v>#N/A</v>
      </c>
      <c r="MG40" s="170">
        <f t="shared" ca="1" si="94"/>
        <v>0.71612369323045078</v>
      </c>
      <c r="MH40" s="170" t="e">
        <f t="shared" ca="1" si="230"/>
        <v>#N/A</v>
      </c>
      <c r="MI40" s="170" t="e">
        <f t="shared" ca="1" si="230"/>
        <v>#N/A</v>
      </c>
      <c r="MJ40" s="170" t="e">
        <f ca="1">MAX(0.0001, Control!$C$132*$MI40*$DL40)</f>
        <v>#N/A</v>
      </c>
      <c r="MK40" s="170">
        <f ca="1">1/(0.76+1.5*($MG40/10))-(5-Control!$C$110)*0.1</f>
        <v>1.002845988140797</v>
      </c>
      <c r="ML40" s="173">
        <f ca="1">IF(Control!$C$110&lt;3,$MK40+($MG40-0.6)/(Control!$C$110*(Control!$C$110+3)), MAX(0.1, MIN(0.95,$MK40)))</f>
        <v>0.95</v>
      </c>
      <c r="MM40" s="173">
        <f ca="1">IF(Control!$C$110&lt;3,$MK40+(($MI40/10)-0.6)/(Control!$C$110*(Control!$C$110+3)), MAX(0.1, MIN(0.95,$MK40)))</f>
        <v>0.95</v>
      </c>
      <c r="MN40" s="173">
        <f ca="1">(1-$MM40)*(Control!$C$128-Control!$C$127)+Control!$C$127</f>
        <v>0.16</v>
      </c>
      <c r="MO40" s="170" t="e">
        <f ca="1">MAX(0,MIN(1,($MS40-Control!$C$127)/($MN40-Control!$C$127)))</f>
        <v>#DIV/0!</v>
      </c>
      <c r="MP40" s="173" t="e">
        <f ca="1">1/(0.76+1.5*$MI40)-(5-Control!$C$110)*0.1</f>
        <v>#N/A</v>
      </c>
      <c r="MQ40" s="172" t="e">
        <f t="shared" ca="1" si="209"/>
        <v>#DIV/0!</v>
      </c>
      <c r="MR40" s="168" t="e">
        <f t="shared" ca="1" si="226"/>
        <v>#DIV/0!</v>
      </c>
      <c r="MS40" s="173" t="e">
        <f ca="1">MAX(Control!$C$127, MIN(Control!$C$135, $MR40/MAX(0.0001,$CY40)))</f>
        <v>#DIV/0!</v>
      </c>
      <c r="MT40" s="168" t="e">
        <f ca="1">(Control!$C$128-$MS40)*Control!$C$74</f>
        <v>#DIV/0!</v>
      </c>
      <c r="MU40" s="168" t="e">
        <f ca="1">(Control!$C$135-$MS40)*Control!$C$74</f>
        <v>#DIV/0!</v>
      </c>
      <c r="MV40" s="168" t="e">
        <f t="shared" ca="1" si="210"/>
        <v>#DIV/0!</v>
      </c>
      <c r="MW40" s="168" t="e">
        <f t="shared" ca="1" si="177"/>
        <v>#DIV/0!</v>
      </c>
      <c r="MX40" s="171" t="e">
        <f ca="1">MAX(Control!$C$127, MIN(Control!$C$135, $MW40/MAX(0.0001,Control!$C$119-$CY40)))</f>
        <v>#DIV/0!</v>
      </c>
      <c r="MY40" s="54" t="e">
        <f ca="1">IF(Control!$C$114=1, $CX40*$MX40, 0)</f>
        <v>#DIV/0!</v>
      </c>
      <c r="MZ40" s="54" t="e">
        <f t="shared" ca="1" si="178"/>
        <v>#N/A</v>
      </c>
      <c r="NA40" s="168" t="e">
        <f ca="1">(Control!$C$128-$MX40)*(Control!$C$119-Control!$C$74)</f>
        <v>#DIV/0!</v>
      </c>
      <c r="NB40" s="168" t="e">
        <f ca="1">(Control!$C$135-$MX40)*(Control!$C$119-Control!$C$74)</f>
        <v>#DIV/0!</v>
      </c>
      <c r="NC40" s="174" t="e">
        <f t="shared" ca="1" si="179"/>
        <v>#DIV/0!</v>
      </c>
      <c r="ND40" s="54">
        <f ca="1">IF(Control!$C$58=2, IF(OR(Control!$B$218=$AH40,Control!$B$219=$AH40, Control!$B$220=$AH40, Control!$B$221=$AH40, Control!$B$222=$AH40, Control!$B$223=$AH40, Control!$B$224=$AH40, Control!$B$225=$AH40, Control!$B$226=$AH40, Control!$B$227=$AH40, Control!$B$228=$AH40), 1, 0), 0)</f>
        <v>0</v>
      </c>
      <c r="NE40" s="54">
        <f ca="1">IF($ND40=0,0, VLOOKUP($AH40,Control!$B$218:$C$228,2))</f>
        <v>0</v>
      </c>
      <c r="NF40" s="168" t="e">
        <f ca="1">$CY40*(Control!$C$128-Control!$C$127)</f>
        <v>#N/A</v>
      </c>
      <c r="NG40" s="54" t="e">
        <f ca="1">IF(Control!$C$58=2, $NI39-$NJ39, 0)</f>
        <v>#DIV/0!</v>
      </c>
      <c r="NH40" s="54" t="e">
        <f ca="1">IF(AND(Control!$C$58=1, $MS39&lt;= ($MN39+0.02), $I39&lt;10), 0, IF(Control!$C$58=2, $NG39, 0))</f>
        <v>#DIV/0!</v>
      </c>
      <c r="NI40" s="54" t="e">
        <f ca="1">IF(Control!$C$58=2, $NE40+$NH40,0)</f>
        <v>#DIV/0!</v>
      </c>
      <c r="NJ40" s="54" t="e">
        <f ca="1">IF(AND(Control!$C$58=1, $MS40&lt;= ($MN40+0.02), $I40&lt;10), MAX(0, MIN(10, 0.7*($NF40-$MV40))), IF(Control!$C$58=2, MIN(10,$NI40),0))</f>
        <v>#DIV/0!</v>
      </c>
      <c r="NK40" s="54" t="e">
        <f t="shared" ca="1" si="96"/>
        <v>#DIV/0!</v>
      </c>
      <c r="NL40" s="173" t="e">
        <f ca="1">(1-Control!$C$73)*$I40+$NJ40</f>
        <v>#DIV/0!</v>
      </c>
      <c r="NM40" s="172" t="e">
        <f ca="1">IF($NL40&lt;0.5, $MB40* MAX(0, MIN(1, (SQRT($NC40)-SQRT($NC40-1))*Control!$C$71)),0)</f>
        <v>#DIV/0!</v>
      </c>
      <c r="NN40" s="170" t="e">
        <f ca="1">IF($NL40&gt;=5, $MB40, MAX(0,MIN($MB40, $NM40+$NL40,($MS40-Control!$C$129))))</f>
        <v>#DIV/0!</v>
      </c>
      <c r="NO40" s="54">
        <f>IF(Control!$C$133&lt;&gt;1, Control!$C$135-Control!$C$131, 0)</f>
        <v>0.38</v>
      </c>
      <c r="NP40" s="54" t="e">
        <f t="shared" ca="1" si="97"/>
        <v>#DIV/0!</v>
      </c>
      <c r="NQ40" s="173" t="e">
        <f ca="1">MAX(0,MIN(1,(Control!$C$135-$MS40)/(Control!$C$135-$NO40)))</f>
        <v>#DIV/0!</v>
      </c>
      <c r="NR40" s="170" t="e">
        <f ca="1">IF(Control!$C$133&lt;&gt;1, $NQ40+((1-$NP40/4)*(1-$NQ40)),1)</f>
        <v>#DIV/0!</v>
      </c>
      <c r="NS40" s="170" t="e">
        <f ca="1">IF(Control!$B$31=0,$MJ40,MAX(0,MIN($MV40,$MO40*$NR40*$MJ40)))</f>
        <v>#DIV/0!</v>
      </c>
      <c r="NT40" s="170" t="e">
        <f t="shared" ca="1" si="227"/>
        <v>#DIV/0!</v>
      </c>
      <c r="NU40" s="170" t="e">
        <f t="shared" ca="1" si="180"/>
        <v>#N/A</v>
      </c>
      <c r="NV40" s="170" t="e">
        <f t="shared" ca="1" si="98"/>
        <v>#N/A</v>
      </c>
      <c r="NW40" s="175" t="e">
        <f t="shared" ca="1" si="99"/>
        <v>#DIV/0!</v>
      </c>
      <c r="NX40" s="170" t="e">
        <f ca="1">MIN(Control!$C$72+$MU40, $NW40)</f>
        <v>#DIV/0!</v>
      </c>
      <c r="NY40" s="170" t="e">
        <f ca="1">IF($MT40&lt;=$NX40,MIN(Control!$C$72+$NB40,$NX40-$MT40),0)</f>
        <v>#DIV/0!</v>
      </c>
      <c r="NZ40" s="54" t="e">
        <f ca="1">IF(Control!$C$114=1,  $CX40*($MX40-Control!$C$127), 0)</f>
        <v>#DIV/0!</v>
      </c>
      <c r="OA40" s="170" t="e">
        <f t="shared" ca="1" si="181"/>
        <v>#DIV/0!</v>
      </c>
      <c r="OB40" s="170" t="e">
        <f ca="1">IF($NA40 &lt;=$NY40, MIN(Control!$C$72, $NY40-$NA40), 0)</f>
        <v>#DIV/0!</v>
      </c>
      <c r="OC40" s="168" t="e">
        <f t="shared" ca="1" si="100"/>
        <v>#DIV/0!</v>
      </c>
      <c r="OD40" s="168" t="e">
        <f t="shared" ca="1" si="182"/>
        <v>#DIV/0!</v>
      </c>
      <c r="OE40" s="170">
        <f ca="1">Control!$C$73*$I40</f>
        <v>0</v>
      </c>
      <c r="OF40" s="176" t="e">
        <f t="shared" ca="1" si="101"/>
        <v>#DIV/0!</v>
      </c>
      <c r="OG40" s="168" t="e">
        <f t="shared" ca="1" si="102"/>
        <v>#DIV/0!</v>
      </c>
      <c r="OH40" s="168" t="e">
        <f t="shared" ca="1" si="103"/>
        <v>#DIV/0!</v>
      </c>
      <c r="OI40" s="168" t="e">
        <f t="shared" ca="1" si="104"/>
        <v>#DIV/0!</v>
      </c>
      <c r="OJ40" s="168" t="e">
        <f t="shared" ca="1" si="105"/>
        <v>#DIV/0!</v>
      </c>
      <c r="OK40" s="204" t="e">
        <f t="shared" ca="1" si="183"/>
        <v>#DIV/0!</v>
      </c>
      <c r="OL40" s="177">
        <f>Control!$C$127</f>
        <v>0.15</v>
      </c>
      <c r="OM40" s="182" t="e">
        <f t="shared" ca="1" si="106"/>
        <v>#N/A</v>
      </c>
      <c r="ON40" s="177">
        <f>Control!$C$128</f>
        <v>0.35</v>
      </c>
      <c r="OO40" s="182" t="e">
        <f t="shared" ca="1" si="107"/>
        <v>#N/A</v>
      </c>
      <c r="OP40" s="138">
        <f t="shared" ca="1" si="184"/>
        <v>0</v>
      </c>
      <c r="OQ40" s="138" t="e">
        <f t="shared" ca="1" si="211"/>
        <v>#DIV/0!</v>
      </c>
      <c r="OR40" s="138" t="e">
        <f t="shared" ca="1" si="185"/>
        <v>#DIV/0!</v>
      </c>
      <c r="OS40" s="137" t="e">
        <f t="shared" ca="1" si="212"/>
        <v>#DIV/0!</v>
      </c>
      <c r="OT40" s="139" t="e">
        <f t="shared" ca="1" si="213"/>
        <v>#DIV/0!</v>
      </c>
      <c r="OU40" s="138" t="e">
        <f t="shared" ca="1" si="214"/>
        <v>#N/A</v>
      </c>
      <c r="OV40" s="138" t="e">
        <f t="shared" ca="1" si="215"/>
        <v>#DIV/0!</v>
      </c>
      <c r="OW40" s="138" t="e">
        <f t="shared" ca="1" si="186"/>
        <v>#DIV/0!</v>
      </c>
      <c r="OX40" s="138" t="e">
        <f t="shared" ca="1" si="187"/>
        <v>#DIV/0!</v>
      </c>
      <c r="OY40" s="138" t="e">
        <f t="shared" ca="1" si="188"/>
        <v>#DIV/0!</v>
      </c>
      <c r="OZ40" s="138" t="e">
        <f t="shared" ca="1" si="108"/>
        <v>#DIV/0!</v>
      </c>
      <c r="PA40" s="138" t="e">
        <f t="shared" ca="1" si="109"/>
        <v>#DIV/0!</v>
      </c>
      <c r="PB40" s="55">
        <f>IF(Control!$C$61="T", IF(Control!$C$65="F", IF($AH$6-Control!$C$60&lt;0,0,1), IF(365+$AH$6-Control!$C$60&lt;0,0,1)),0)</f>
        <v>0</v>
      </c>
      <c r="PC40" s="55">
        <f ca="1">IF(Control!$C$65="F", IF($AH$6-$HF40&lt;0,0,1), IF(365+$AH$6-$HF40&lt;0,0,1))</f>
        <v>1</v>
      </c>
      <c r="PD40" s="444">
        <f>Control!$C$118</f>
        <v>1500</v>
      </c>
      <c r="PE40" s="180" t="e">
        <f t="shared" ca="1" si="110"/>
        <v>#N/A</v>
      </c>
      <c r="PF40" s="445">
        <f t="shared" ca="1" si="189"/>
        <v>0.71612369323045078</v>
      </c>
      <c r="PT40" s="186"/>
      <c r="PU40" s="186"/>
      <c r="PV40" s="94"/>
      <c r="PW40" s="94"/>
      <c r="PX40" s="94"/>
      <c r="PY40" s="94"/>
      <c r="PZ40" s="94"/>
      <c r="QA40" s="94"/>
      <c r="QB40" s="94"/>
      <c r="QC40" s="94"/>
      <c r="QD40" s="94"/>
      <c r="QE40" s="94"/>
      <c r="QF40" s="94"/>
      <c r="QG40" s="94"/>
      <c r="QH40" s="94"/>
      <c r="QI40" s="94"/>
      <c r="QJ40" s="94"/>
      <c r="QK40" s="94"/>
      <c r="QL40" s="94"/>
      <c r="QM40" s="94"/>
      <c r="QN40" s="94"/>
      <c r="QO40" s="94"/>
      <c r="QP40" s="94"/>
    </row>
    <row r="41" spans="1:458" s="2" customFormat="1" x14ac:dyDescent="0.2">
      <c r="A41" s="395">
        <v>5</v>
      </c>
      <c r="B41" s="396">
        <v>2</v>
      </c>
      <c r="C41" s="387">
        <f ca="1">Weather_data!$B40</f>
        <v>0</v>
      </c>
      <c r="D41" s="388">
        <f ca="1">Weather_data!$F40</f>
        <v>0</v>
      </c>
      <c r="E41" s="388">
        <f ca="1">Weather_data!$E40</f>
        <v>0</v>
      </c>
      <c r="F41" s="388">
        <f t="shared" ca="1" si="111"/>
        <v>0</v>
      </c>
      <c r="G41" s="388">
        <f ca="1">AVERAGE($D41:$E41)+Control!$B$9</f>
        <v>0</v>
      </c>
      <c r="H41" s="388">
        <f ca="1">Weather_data!$G40</f>
        <v>0</v>
      </c>
      <c r="I41" s="388">
        <f ca="1">Weather_data!$I40</f>
        <v>0</v>
      </c>
      <c r="J41" s="388">
        <f ca="1">Weather_data!$H40</f>
        <v>0</v>
      </c>
      <c r="K41" s="389">
        <f ca="1">Weather_data!$D40</f>
        <v>0</v>
      </c>
      <c r="L41" s="388" t="e">
        <f t="shared" ca="1" si="112"/>
        <v>#N/A</v>
      </c>
      <c r="M41" s="388" t="e">
        <f t="shared" ca="1" si="0"/>
        <v>#N/A</v>
      </c>
      <c r="N41" s="388">
        <f t="shared" ca="1" si="1"/>
        <v>-1.2515777524966205E-2</v>
      </c>
      <c r="O41" s="388">
        <f t="shared" ca="1" si="113"/>
        <v>0.12515777524966204</v>
      </c>
      <c r="P41" s="390">
        <v>3</v>
      </c>
      <c r="Q41" s="388">
        <f ca="1">MAX($G41-Control!$C$107,0)</f>
        <v>0</v>
      </c>
      <c r="R41" s="388">
        <f t="shared" ca="1" si="114"/>
        <v>0</v>
      </c>
      <c r="S41" s="388">
        <f t="shared" ca="1" si="2"/>
        <v>0</v>
      </c>
      <c r="T41" s="388">
        <f t="shared" ca="1" si="3"/>
        <v>0</v>
      </c>
      <c r="U41" s="59">
        <f t="shared" ca="1" si="4"/>
        <v>0</v>
      </c>
      <c r="V41" s="391">
        <f ca="1">MAX(0,MIN(Control!$C$100-Control!$C$99,$G41-Control!$C$99)*Control!$C$63)</f>
        <v>0</v>
      </c>
      <c r="W41" s="388">
        <f t="shared" ca="1" si="190"/>
        <v>0</v>
      </c>
      <c r="X41" s="388">
        <f t="shared" ca="1" si="115"/>
        <v>0.6110000000000001</v>
      </c>
      <c r="Y41" s="388">
        <f t="shared" ca="1" si="116"/>
        <v>0</v>
      </c>
      <c r="Z41" s="388">
        <f t="shared" ca="1" si="117"/>
        <v>0.61058800000000002</v>
      </c>
      <c r="AA41" s="388">
        <f t="shared" ca="1" si="5"/>
        <v>0.6018</v>
      </c>
      <c r="AB41" s="388">
        <f ca="1">101.3*EXP(-0.034*Control!$C$66/($G41+273))</f>
        <v>100.69623283836242</v>
      </c>
      <c r="AC41" s="392">
        <f t="shared" ca="1" si="6"/>
        <v>4.3460251046025113E-2</v>
      </c>
      <c r="AD41" s="392">
        <f t="shared" ca="1" si="7"/>
        <v>4.4450382862832649E-2</v>
      </c>
      <c r="AE41" s="388">
        <f t="shared" ca="1" si="8"/>
        <v>0</v>
      </c>
      <c r="AF41" s="388">
        <f ca="1">MAX(0,$G41-Control!$C$92)</f>
        <v>0</v>
      </c>
      <c r="AG41" s="393">
        <f t="shared" ca="1" si="118"/>
        <v>36</v>
      </c>
      <c r="AH41" s="389">
        <f t="shared" ca="1" si="9"/>
        <v>36</v>
      </c>
      <c r="AI41" s="388">
        <f t="shared" ca="1" si="119"/>
        <v>-0.28334615848955014</v>
      </c>
      <c r="AJ41" s="388">
        <f ca="1">IF(Control!$C$60&lt;=0,$HH41,$HI41)</f>
        <v>1</v>
      </c>
      <c r="AK41" s="388">
        <f t="shared" ca="1" si="10"/>
        <v>-0.75742507812575821</v>
      </c>
      <c r="AL41" s="388">
        <f t="shared" ca="1" si="11"/>
        <v>9.9188018909401868E-19</v>
      </c>
      <c r="AM41" s="388">
        <f t="shared" ca="1" si="12"/>
        <v>-0.75742507812575821</v>
      </c>
      <c r="AN41" s="388">
        <f t="shared" ca="1" si="13"/>
        <v>-0.27683194547992335</v>
      </c>
      <c r="AO41" s="388">
        <f ca="1">-0.10453/COS(Control!$B$8*PI()/180)*COS(AN41)</f>
        <v>-0.1633204963225286</v>
      </c>
      <c r="AP41" s="388">
        <f ca="1">ACOS(AO41-TAN(Control!$B$8*PI()/180)*TAN(AN41))</f>
        <v>1.3690852366443209</v>
      </c>
      <c r="AQ41" s="388">
        <f t="shared" ca="1" si="120"/>
        <v>0</v>
      </c>
      <c r="AR41" s="394">
        <f t="shared" ca="1" si="14"/>
        <v>0</v>
      </c>
      <c r="AS41" s="436">
        <f ca="1">IF(Control!$B$18=2,(IF(OR($AH41=Control!$B$175,$AH41=Control!$B$176,$AH41=Control!$B$177,$AH41=Control!$B$178,$AH41=Control!$B$179,$AH41=Control!$B$180,$AH41=Control!$B$181,$AH41=Control!$B$182,$AH41=Control!$B$183,$AH41=Control!$B$184,$AH41=Control!$B$185),1,0)),0)</f>
        <v>0</v>
      </c>
      <c r="AT41" s="436">
        <f>IF(Control!$B$20=8,IF(AND($AH41&gt;=Control!$B$172,$AH41&lt;=Control!$B$173),1,0),0)</f>
        <v>0</v>
      </c>
      <c r="AU41" s="436">
        <f>IF(Control!$B$20=8,IF($AV40=1,1*$AT41,IF($AT41=1,$AU40+1,$AU40)),0)</f>
        <v>0</v>
      </c>
      <c r="AV41" s="436">
        <f>IF(Control!$B$20=8,IF($AU41&gt;=Control!$B$174,1,0),0)</f>
        <v>0</v>
      </c>
      <c r="AW41" s="436">
        <f ca="1">IF(AND(Control!$B$18=2,Control!$B$171=1), $AV41, $AS41)</f>
        <v>0</v>
      </c>
      <c r="AX41" s="436" t="e">
        <f ca="1">IF(AND(Control!$B$18=1,$EU41&gt;=Control!$B$19),-$AY41,IF(AND(Control!$B$18=2,$AW41=1,$EU41&gt;$DS41),-$AY41, IF(Control!$C$108=0,0, IF(Control!$C$108&lt;&gt;0,1))))</f>
        <v>#N/A</v>
      </c>
      <c r="AY41" s="436" t="e">
        <f t="shared" ca="1" si="121"/>
        <v>#N/A</v>
      </c>
      <c r="AZ41" s="436" t="e">
        <f ca="1">IF(AND(Control!$B$18=1,$EB41&gt;Control!$B$19),$AZ40+1, IF(AND(Control!$B$18=2, $AW41=1, $EB41&gt;$DS41), $AZ40+1,$AZ40))</f>
        <v>#N/A</v>
      </c>
      <c r="BA41" s="587">
        <f>IF(Control!$C$81=0,1,IF($AH41&gt;=Control!$C$82,1,0))</f>
        <v>1</v>
      </c>
      <c r="BB41" s="140" t="e">
        <f ca="1">IF($BA41&gt;$BA40,Control!$C$83,IF($AW41&gt;0,$AW41*Control!$C$84,IF(AND(Control!$B$18=1,EN40&lt;&gt;0),Control!$C$84,0)))</f>
        <v>#N/A</v>
      </c>
      <c r="BC41" s="140" t="e">
        <f t="shared" ca="1" si="122"/>
        <v>#N/A</v>
      </c>
      <c r="BD41" s="140" t="e">
        <f ca="1">BC41*IF(OR($G41&lt;Control!$C$92,$G41&gt;Control!$C$95),0,IF(AND($G41&gt;=Control!$C$92,$G41&lt;=Control!$C$93),$G41-Control!$C$92,IF(AND($G41&gt;Control!$C$93,$G41&lt;=Control!$C$94),Control!$C$93-Control!$C$92,IF(AND($G41&gt;Control!$C$94,$G41&lt;=Control!$C$95),(Control!$C$93-Control!$C$92)*(Control!$C$94-$G41)/(Control!$C$95-Control!$C$94)))))</f>
        <v>#N/A</v>
      </c>
      <c r="BE41" s="140" t="e">
        <f t="shared" ca="1" si="123"/>
        <v>#N/A</v>
      </c>
      <c r="BF41" s="140" t="e">
        <f ca="1">IF($BE41&lt;=Control!$C$86,$BE41,Control!$C$86-$BE41)</f>
        <v>#N/A</v>
      </c>
      <c r="BG41" s="140" t="e">
        <f ca="1">IF(AND($AW41=1,Control!$C$84&lt;9),1,IF($BE41&gt;=Control!$C$86,0,$BC41))</f>
        <v>#N/A</v>
      </c>
      <c r="BH41" s="404" t="e">
        <f ca="1">IF($BG41=0,0,IF($BE41&lt;=Control!$C$86,$BC41*9*($BF41/Control!$C$86),0))</f>
        <v>#N/A</v>
      </c>
      <c r="BI41" s="140" t="e">
        <f ca="1">IF($BG41=1,0,IF($BE41&gt;=Control!$C$86,1,IF(AND($BB41&lt;21,$BB41&gt;=9),1,$BM40)))</f>
        <v>#N/A</v>
      </c>
      <c r="BJ41" s="140" t="e">
        <f ca="1">IF($BF41&lt;0,-$BF41,$BI41*IF(OR($G41&lt;Control!$C$92,$G41&gt;Control!$C$95),0,IF(AND($G41&gt;=Control!$C$92,$G41&lt;=Control!$C$93),$G41-Control!$C$92,IF(AND($G41&gt;Control!$C$93,$G41&lt;=Control!$C$94),Control!$C$93-Control!$C$92,IF(AND($G41&gt;Control!$C$94,$G41&lt;=Control!$C$95),(Control!$C$93-Control!$C$92)*(Control!$C$94-$G41)/(Control!$C$95-Control!$C$94))))))</f>
        <v>#N/A</v>
      </c>
      <c r="BK41" s="140" t="e">
        <f t="shared" ca="1" si="124"/>
        <v>#N/A</v>
      </c>
      <c r="BL41" s="140" t="e">
        <f ca="1">IF($BK41&lt;=Control!$C$87,$BK41,Control!$C$87-$BK41)</f>
        <v>#N/A</v>
      </c>
      <c r="BM41" s="140" t="e">
        <f ca="1">IF(AND($BB41&gt;=9,$BB41&lt;21),1,IF($BK41&gt;=Control!$C$87,0,$BI41))</f>
        <v>#N/A</v>
      </c>
      <c r="BN41" s="404" t="e">
        <f ca="1">IF($BM41=0,0,IF($BK41&lt;=Control!$C$87,$BI41*(9+(21-9)*($BL41/Control!$C$87)),0))</f>
        <v>#N/A</v>
      </c>
      <c r="BO41" s="140" t="e">
        <f ca="1">IF($BM41=1,0,IF($BK41&gt;=Control!$C$87,1,IF(AND($BB41&lt;30,$BB41&gt;=21),1,$BS40)))</f>
        <v>#N/A</v>
      </c>
      <c r="BP41" s="140" t="e">
        <f ca="1">IF($BL41&lt;0,-$BL41,$BO41*IF(OR($G41&lt;Control!$C$92,$G41&gt;Control!$C$95),0,IF(AND($G41&gt;=Control!$C$92,$G41&lt;=Control!$C$93),$G41-Control!$C$92,IF(AND($G41&gt;Control!$C$93,$G41&lt;=Control!$C$94),Control!$C$93-Control!$C$92,IF(AND($G41&gt;Control!$C$94,$G41&lt;=Control!$C$95),(Control!$C$93-Control!$C$92)*(Control!$C$94-$G41)/(Control!$C$95-Control!$C$94))))))</f>
        <v>#N/A</v>
      </c>
      <c r="BQ41" s="140" t="e">
        <f t="shared" ca="1" si="15"/>
        <v>#N/A</v>
      </c>
      <c r="BR41" s="140" t="e">
        <f ca="1">IF($BQ41&lt;=Control!$C$88,$BQ41,Control!$C$88-$BQ41)</f>
        <v>#N/A</v>
      </c>
      <c r="BS41" s="140" t="e">
        <f ca="1">IF(AND($BB41&gt;=21,$BB41&lt;30),1,IF($BQ41&gt;=Control!$C$88,0,$BO41))</f>
        <v>#N/A</v>
      </c>
      <c r="BT41" s="404" t="e">
        <f ca="1">IF($BS41=0,0,IF($BQ41&lt;=Control!$C$88,$BO41*(21+(30-21)*(BR41/Control!$C$88)),0))</f>
        <v>#N/A</v>
      </c>
      <c r="BU41" s="140" t="e">
        <f ca="1">IF(BG41+BM41+BS41=1,0,IF(OR(AND($BB41&lt;60,$BB41&gt;=30),$BQ41&gt;=Control!$C$88),1*$BA41,$BY40))</f>
        <v>#N/A</v>
      </c>
      <c r="BV41" s="140" t="e">
        <f ca="1">IF($BR41&lt;0,-$BR41,$BU41*IF(OR($G41&lt;Control!$C$92,$G41&gt;Control!$C$95),0,IF(AND($G41&gt;=Control!$C$92,$G41&lt;=Control!$C$93),$G41-Control!$C$92,IF(AND($G41&gt;Control!$C$93,$G41&lt;=Control!$C$94),Control!$C$93-Control!$C$92,IF(AND($G41&gt;Control!$C$94,$G41&lt;=Control!$C$95),(Control!$C$93-Control!$C$92)*(Control!$C$94-$G41)/(Control!$C$95-Control!$C$94))))))</f>
        <v>#N/A</v>
      </c>
      <c r="BW41" s="140" t="e">
        <f t="shared" ca="1" si="16"/>
        <v>#N/A</v>
      </c>
      <c r="BX41" s="140" t="e">
        <f ca="1">IF($BW41&lt;=Control!$C$89,$BW41,Control!$C$89-$BW41)</f>
        <v>#N/A</v>
      </c>
      <c r="BY41" s="140" t="e">
        <f ca="1">IF(AND($AJ41&gt;=30,$AJ41&lt;60),1,IF($BW41&gt;=Control!$C$89,0,$BU41))</f>
        <v>#N/A</v>
      </c>
      <c r="BZ41" s="404" t="e">
        <f ca="1">IF($BY41=0,0,IF($BW41&lt;=Control!$C$89,$BU41*(30+(60-30)*(BX41/Control!$C$89)),0))</f>
        <v>#N/A</v>
      </c>
      <c r="CA41" s="140" t="e">
        <f ca="1">IF($BG41+$BM41+$BS41+$BY41=1,0,IF(OR(AND($BB41&lt;65,$BB41&gt;=60),$BW41&gt;=Control!$C$89),1*$BA41,$CE40))</f>
        <v>#N/A</v>
      </c>
      <c r="CB41" s="140" t="e">
        <f ca="1">IF($BX41&lt;0,-$BX41,$CA41*IF(OR($G41&lt;Control!$C$92,$G41&gt;Control!$C$95),0,IF(AND($G41&gt;=Control!$C$92,$G41&lt;=Control!$C$93),$G41-Control!$C$92,IF(AND($G41&gt;Control!$C$93,$G41&lt;=Control!$C$94),Control!$C$93-Control!$C$92,IF(AND($G41&gt;Control!$C$94,$G41&lt;=Control!$C$95),(Control!$C$93-Control!$C$92)*(Control!$C$94-$G41)/(Control!$C$95-Control!$C$94))))))</f>
        <v>#N/A</v>
      </c>
      <c r="CC41" s="140" t="e">
        <f t="shared" ca="1" si="125"/>
        <v>#N/A</v>
      </c>
      <c r="CD41" s="140" t="e">
        <f ca="1">IF($CC41&lt;=Control!$C$90,$CC41,Control!$C$90-$CC41)</f>
        <v>#N/A</v>
      </c>
      <c r="CE41" s="140" t="e">
        <f ca="1">IF(AND($BB41&gt;=60,$BB41&lt;65),1,IF($CC41&gt;=Control!$C$90,0,$CA41))</f>
        <v>#N/A</v>
      </c>
      <c r="CF41" s="404" t="e">
        <f ca="1">IF($CE41=0,0,IF($CC41&lt;=Control!$C$90,$CA41*(60+(65-60)*(CD41/Control!$C$90)),0))</f>
        <v>#N/A</v>
      </c>
      <c r="CG41" s="140" t="e">
        <f ca="1">IF($BG41+$BM41+$BS41+$BY41+$CE41=1,0,IF(OR(AND($BB41&lt;90,$BB41&gt;=65),$CC41&gt;=Control!$C$90),$BA41,$CK40))</f>
        <v>#N/A</v>
      </c>
      <c r="CH41" s="140" t="e">
        <f ca="1">IF($CD41&lt;0,-$CD41,$CG41*IF(OR($G41&lt;Control!$C$92,$G41&gt;Control!$C$95),0,IF(AND($G41&gt;=Control!$C$92,$G41&lt;=Control!$C$93),$G41-Control!$C$92,IF(AND($G41&gt;Control!$C$93,$G41&lt;=Control!$C$94),Control!$C$93-Control!$C$92,IF(AND($G41&gt;Control!$C$94,$G41&lt;=Control!$C$95),(Control!$C$93-Control!$C$92)*(Control!$C$94-$G41)/(Control!$C$95-Control!$C$94))))))</f>
        <v>#N/A</v>
      </c>
      <c r="CI41" s="140" t="e">
        <f t="shared" ca="1" si="126"/>
        <v>#N/A</v>
      </c>
      <c r="CJ41" s="140" t="e">
        <f ca="1">IF($CI41&lt;=Control!$C$91,$CI41,Control!$C$91-$CI41)</f>
        <v>#N/A</v>
      </c>
      <c r="CK41" s="140" t="e">
        <f ca="1">IF(AND($BB41&gt;=65,$BB41&lt;90),1,IF($CI41&gt;=Control!$C$91,0,$CG41))</f>
        <v>#N/A</v>
      </c>
      <c r="CL41" s="404" t="e">
        <f ca="1">IF($CK41=0,0,IF($CI41&lt;=Control!$C$91,$CG41*(65+(90-65)*($CJ41/Control!$C$91)),0))</f>
        <v>#N/A</v>
      </c>
      <c r="CM41" s="140" t="e">
        <f ca="1">IF($BG41+$BM41+$BS41+$BY41+$CE41+$CK41=1,0,IF(OR($BB41&gt;=90,$CI41&gt;=Control!$C$91),$BA41,$CM40))</f>
        <v>#N/A</v>
      </c>
      <c r="CN41" s="140" t="e">
        <f t="shared" ca="1" si="127"/>
        <v>#N/A</v>
      </c>
      <c r="CO41" s="140" t="e">
        <f t="shared" ca="1" si="128"/>
        <v>#N/A</v>
      </c>
      <c r="CP41" s="140" t="e">
        <f t="shared" ca="1" si="129"/>
        <v>#N/A</v>
      </c>
      <c r="CQ41" s="141" t="e">
        <f ca="1">VLOOKUP($CP41,Control!$B$86:$G$91,6)</f>
        <v>#N/A</v>
      </c>
      <c r="CR41" s="141" t="e">
        <f ca="1">(1-$CQ41)*VLOOKUP($CP41,Control!$B$86:$D$91,3)</f>
        <v>#N/A</v>
      </c>
      <c r="CS41" s="141" t="e">
        <f ca="1">(1-$CQ41)*VLOOKUP($CP41,Control!$B$86:$E$91,4)</f>
        <v>#N/A</v>
      </c>
      <c r="CT41" s="141" t="e">
        <f ca="1">(1-$CQ41)*VLOOKUP($CP41,Control!$B$86:$F$91,5)</f>
        <v>#N/A</v>
      </c>
      <c r="CU41" s="141">
        <f t="shared" ca="1" si="130"/>
        <v>0</v>
      </c>
      <c r="CV41" s="583">
        <f t="shared" ca="1" si="131"/>
        <v>0</v>
      </c>
      <c r="CW41" s="142">
        <f t="shared" ca="1" si="132"/>
        <v>36</v>
      </c>
      <c r="CX41" s="612" t="e">
        <f ca="1">IF(Control!$C$114=1,(MIN(Control!$C$120*(IF($NT41-0.01&lt;0,0,1)),Control!$C$119-$CY41)))</f>
        <v>#DIV/0!</v>
      </c>
      <c r="CY41" s="143" t="e">
        <f t="shared" ca="1" si="133"/>
        <v>#N/A</v>
      </c>
      <c r="CZ41" s="144">
        <f t="shared" ca="1" si="17"/>
        <v>0</v>
      </c>
      <c r="DA41" s="144">
        <f t="shared" ca="1" si="18"/>
        <v>0</v>
      </c>
      <c r="DB41" s="144" t="e">
        <f t="shared" ca="1" si="19"/>
        <v>#N/A</v>
      </c>
      <c r="DC41" s="144" t="e">
        <f t="shared" ca="1" si="20"/>
        <v>#N/A</v>
      </c>
      <c r="DD41" s="144" t="e">
        <f t="shared" ca="1" si="216"/>
        <v>#N/A</v>
      </c>
      <c r="DE41" s="143" t="e">
        <f t="shared" ca="1" si="135"/>
        <v>#N/A</v>
      </c>
      <c r="DF41" s="145" t="e">
        <f ca="1">$DR41*EXP(-Control!$C$158*(1-$KH41))</f>
        <v>#N/A</v>
      </c>
      <c r="DG41" s="146" t="e">
        <f ca="1">IF(Control!$C$114=1, $DF41*$EY41, 0)</f>
        <v>#N/A</v>
      </c>
      <c r="DH41" s="147" t="e">
        <f t="shared" ca="1" si="136"/>
        <v>#N/A</v>
      </c>
      <c r="DI41" s="144" t="e">
        <f t="shared" ca="1" si="191"/>
        <v>#N/A</v>
      </c>
      <c r="DJ41" s="147" t="e">
        <f ca="1">$EF41*Control!$C$109</f>
        <v>#N/A</v>
      </c>
      <c r="DK41" s="144" t="e">
        <f t="shared" ca="1" si="137"/>
        <v>#N/A</v>
      </c>
      <c r="DL41" s="144" t="e">
        <f t="shared" ca="1" si="21"/>
        <v>#N/A</v>
      </c>
      <c r="DM41" s="144" t="e">
        <f ca="1">IF(Control!$C$114=1, (1-EXP(-Control!$C$96*$DK41))*$AR41, 0)</f>
        <v>#N/A</v>
      </c>
      <c r="DN41" s="144">
        <f t="shared" ca="1" si="138"/>
        <v>0</v>
      </c>
      <c r="DO41" s="148">
        <f>Control!$C$97</f>
        <v>4</v>
      </c>
      <c r="DP41" s="145" t="e">
        <f t="shared" ca="1" si="139"/>
        <v>#N/A</v>
      </c>
      <c r="DQ41" s="145" t="e">
        <f ca="1">IF(AND($CP41&gt;=0,$CP41&lt;=90),Control!$C$111,Control!$C$111)</f>
        <v>#N/A</v>
      </c>
      <c r="DR41" s="145" t="e">
        <f t="shared" ca="1" si="22"/>
        <v>#N/A</v>
      </c>
      <c r="DS41" s="143" t="e">
        <f ca="1">Control!$B$22/$DR41</f>
        <v>#N/A</v>
      </c>
      <c r="DT41" s="149" t="e">
        <f ca="1">IF(AND(Control!$C$114=1,$KH41&lt;1),$IM41*$DF41, 0)</f>
        <v>#N/A</v>
      </c>
      <c r="DU41" s="144" t="e">
        <f t="shared" ca="1" si="192"/>
        <v>#N/A</v>
      </c>
      <c r="DV41" s="144">
        <f ca="1">IF($G41-Control!$C$107&lt;=0, 0, 0.83*LN(MAX($G41, 3))-0.8924)</f>
        <v>0</v>
      </c>
      <c r="DW41" s="144" t="e">
        <f t="shared" ca="1" si="23"/>
        <v>#N/A</v>
      </c>
      <c r="DX41" s="150" t="e">
        <f ca="1">MAX(0.01*(1+$CU41/Control!$C$102),0.05*($DK41-Control!$C$97)/Control!$C$97)</f>
        <v>#N/A</v>
      </c>
      <c r="DY41" s="151" t="e">
        <f ca="1">IF(Control!$C$114=1, $DI41*$FS41, 0)</f>
        <v>#N/A</v>
      </c>
      <c r="DZ41" s="196" t="e">
        <f t="shared" ca="1" si="140"/>
        <v>#N/A</v>
      </c>
      <c r="EA41" s="152">
        <f t="shared" ca="1" si="141"/>
        <v>36</v>
      </c>
      <c r="EB41" s="153" t="e">
        <f t="shared" ca="1" si="217"/>
        <v>#N/A</v>
      </c>
      <c r="EC41" s="153" t="e">
        <f t="shared" ca="1" si="142"/>
        <v>#N/A</v>
      </c>
      <c r="ED41" s="154" t="e">
        <f ca="1">IF(Control!$C$114=1, $HM41*$FY41-$FD41, 0)</f>
        <v>#DIV/0!</v>
      </c>
      <c r="EE41" s="155" t="e">
        <f ca="1">IF(Control!$C$114=1, $HM41*$FZ41-$FF41, 0)</f>
        <v>#DIV/0!</v>
      </c>
      <c r="EF41" s="153" t="e">
        <f t="shared" ca="1" si="193"/>
        <v>#N/A</v>
      </c>
      <c r="EG41" s="155" t="e">
        <f ca="1">IF(Control!$C$114=1, $GX41*$FW41-$FI41, 0)</f>
        <v>#DIV/0!</v>
      </c>
      <c r="EH41" s="153" t="e">
        <f t="shared" ca="1" si="143"/>
        <v>#N/A</v>
      </c>
      <c r="EI41" s="156" t="e">
        <f t="shared" ca="1" si="144"/>
        <v>#N/A</v>
      </c>
      <c r="EJ41" s="155" t="e">
        <f ca="1">IF(Control!$C$114=1, $HM41*$GB41, 0)</f>
        <v>#DIV/0!</v>
      </c>
      <c r="EK41" s="153" t="e">
        <f t="shared" ca="1" si="194"/>
        <v>#N/A</v>
      </c>
      <c r="EL41" s="153" t="e">
        <f t="shared" ca="1" si="24"/>
        <v>#N/A</v>
      </c>
      <c r="EM41" s="153" t="e">
        <f t="shared" ca="1" si="25"/>
        <v>#N/A</v>
      </c>
      <c r="EN41" s="153" t="e">
        <f ca="1">IF(Control!$C$108=1,IF(AND(Control!$B$18=1,$EB41&gt;=Control!$B$19),$EB41-$DS41,IF(AND(Control!$B$18=2,$AW41=1,$EB41&gt;$DS41),$EB41-$DS41,0)))</f>
        <v>#N/A</v>
      </c>
      <c r="EO41" s="153" t="e">
        <f ca="1">IF(Control!$C$108=1,IF(AND(Control!$B$18=1,$EB41&gt;=Control!$B$19),$EF41,IF(AND(Control!$B$18=2,$AW41=1),$EF41,0)))</f>
        <v>#N/A</v>
      </c>
      <c r="EP41" s="153" t="e">
        <f ca="1">IF(Control!$C$108=1,IF(AND(Control!$B$18=1,$EB41&gt;=Control!$B$19),$EK41,IF(AND(Control!$B$18=2,$AW41=1),$EK41,0)))</f>
        <v>#N/A</v>
      </c>
      <c r="EQ41" s="153" t="e">
        <f t="shared" ca="1" si="145"/>
        <v>#N/A</v>
      </c>
      <c r="ER41" s="153" t="e">
        <f t="shared" ca="1" si="231"/>
        <v>#N/A</v>
      </c>
      <c r="ES41" s="153" t="e">
        <f t="shared" ca="1" si="196"/>
        <v>#N/A</v>
      </c>
      <c r="ET41" s="153" t="e">
        <f t="shared" ca="1" si="197"/>
        <v>#N/A</v>
      </c>
      <c r="EU41" s="153" t="e">
        <f t="shared" ca="1" si="198"/>
        <v>#N/A</v>
      </c>
      <c r="EV41" s="153" t="e">
        <f t="shared" ca="1" si="146"/>
        <v>#N/A</v>
      </c>
      <c r="EW41" s="153" t="e">
        <f t="shared" ca="1" si="218"/>
        <v>#N/A</v>
      </c>
      <c r="EX41" s="153" t="e">
        <f t="shared" ca="1" si="26"/>
        <v>#N/A</v>
      </c>
      <c r="EY41" s="157" t="e">
        <f t="shared" ca="1" si="147"/>
        <v>#DIV/0!</v>
      </c>
      <c r="EZ41" s="154" t="e">
        <f t="shared" ca="1" si="27"/>
        <v>#DIV/0!</v>
      </c>
      <c r="FA41" s="153" t="e">
        <f t="shared" ca="1" si="199"/>
        <v>#N/A</v>
      </c>
      <c r="FB41" s="153" t="e">
        <f t="shared" ca="1" si="28"/>
        <v>#N/A</v>
      </c>
      <c r="FC41" s="193" t="e">
        <f t="shared" ca="1" si="29"/>
        <v>#N/A</v>
      </c>
      <c r="FD41" s="158" t="e">
        <f t="shared" ca="1" si="200"/>
        <v>#N/A</v>
      </c>
      <c r="FE41" s="158" t="e">
        <f t="shared" ca="1" si="148"/>
        <v>#N/A</v>
      </c>
      <c r="FF41" s="159" t="e">
        <f t="shared" ca="1" si="30"/>
        <v>#N/A</v>
      </c>
      <c r="FG41" s="160" t="e">
        <f t="shared" ca="1" si="149"/>
        <v>#N/A</v>
      </c>
      <c r="FH41" s="158" t="e">
        <f t="shared" ca="1" si="150"/>
        <v>#N/A</v>
      </c>
      <c r="FI41" s="159" t="e">
        <f t="shared" ca="1" si="31"/>
        <v>#N/A</v>
      </c>
      <c r="FJ41" s="160" t="e">
        <f t="shared" ca="1" si="151"/>
        <v>#N/A</v>
      </c>
      <c r="FK41" s="160" t="e">
        <f t="shared" ca="1" si="32"/>
        <v>#N/A</v>
      </c>
      <c r="FL41" s="160" t="e">
        <f t="shared" ca="1" si="229"/>
        <v>#N/A</v>
      </c>
      <c r="FM41" s="160" t="e">
        <f t="shared" ca="1" si="33"/>
        <v>#N/A</v>
      </c>
      <c r="FN41" s="158">
        <f t="shared" ca="1" si="219"/>
        <v>0.01</v>
      </c>
      <c r="FO41" s="160">
        <f>Control!$C$101</f>
        <v>50</v>
      </c>
      <c r="FP41" s="150" t="e">
        <f t="shared" ca="1" si="34"/>
        <v>#N/A</v>
      </c>
      <c r="FQ41" s="150" t="e">
        <f ca="1">MAX(0,(Control!$C$112*(($DK41-Control!$C$97)/Control!$C$97)))</f>
        <v>#N/A</v>
      </c>
      <c r="FR41" s="150" t="e">
        <f ca="1">(1-$NT41)*Control!$C$113</f>
        <v>#DIV/0!</v>
      </c>
      <c r="FS41" s="198" t="e">
        <f t="shared" ca="1" si="35"/>
        <v>#N/A</v>
      </c>
      <c r="FT41" s="161">
        <f t="shared" ca="1" si="152"/>
        <v>36</v>
      </c>
      <c r="FU41" s="162" t="e">
        <f ca="1">IF(Control!$B$34=1,VLOOKUP($CP41,Control!$B$86:$G$91,6),Control!$B$35)</f>
        <v>#N/A</v>
      </c>
      <c r="FV41" s="162" t="e">
        <f t="shared" ca="1" si="36"/>
        <v>#DIV/0!</v>
      </c>
      <c r="FW41" s="162" t="e">
        <f ca="1">IF(Control!$B$31=1,$FU41*$FV41,  $FU41)</f>
        <v>#N/A</v>
      </c>
      <c r="FX41" s="162" t="e">
        <f ca="1">IF(Control!$B$34=1,VLOOKUP($CP41,Control!$B$86:$G$91,3),Control!$B$36)</f>
        <v>#N/A</v>
      </c>
      <c r="FY41" s="162" t="e">
        <f t="shared" ca="1" si="37"/>
        <v>#N/A</v>
      </c>
      <c r="FZ41" s="162" t="e">
        <f ca="1">IF(Control!$B$34=1,VLOOKUP($CP41,Control!$B$86:$G$91,4),Control!$B$37)</f>
        <v>#N/A</v>
      </c>
      <c r="GA41" s="162" t="e">
        <f t="shared" ca="1" si="38"/>
        <v>#N/A</v>
      </c>
      <c r="GB41" s="162" t="e">
        <f ca="1">IF(Control!$B$34=1,VLOOKUP($CP41,Control!$B$86:$G$91,5),Control!$B$38)</f>
        <v>#N/A</v>
      </c>
      <c r="GC41" s="162" t="e">
        <f t="shared" ca="1" si="153"/>
        <v>#N/A</v>
      </c>
      <c r="GD41" s="162">
        <f t="shared" ca="1" si="39"/>
        <v>1</v>
      </c>
      <c r="GE41" s="162">
        <f t="shared" ca="1" si="40"/>
        <v>1</v>
      </c>
      <c r="GF41" s="162">
        <f ca="1">IF(AND(Control!$C$104=1, Control!$C$62="F"),$GE41,1)</f>
        <v>1</v>
      </c>
      <c r="GG41" s="162" t="e">
        <f ca="1">IF(Control!$B$16=40,0,IF(AND(Control!$B$16&gt;40,Control!$B$16&lt;=360),(Control!$B$16-40)*((1-0)/(360-40)),IF(AND(Control!$B$16&gt;360,Control!$B$16&lt;=720),(1+(Control!$B$16-360)*((1.25-1)/(720-360))),IF(AND(Control!$B$16&gt;720,Control!$B$16&lt;=1000),(1.25+(Control!$B$16-720)*((1.35-1.25)/(1000-720))),IF(AND(Control!$B$16&gt;1000,Control!$B$16&lt;=2000),(1.35+(Control!$B$16-1000)*0))))))</f>
        <v>#N/A</v>
      </c>
      <c r="GH41" s="162" t="e">
        <f t="shared" ca="1" si="41"/>
        <v>#N/A</v>
      </c>
      <c r="GI41" s="162">
        <f t="shared" ca="1" si="201"/>
        <v>0</v>
      </c>
      <c r="GJ41" s="162">
        <f t="shared" ca="1" si="42"/>
        <v>0</v>
      </c>
      <c r="GK41" s="162">
        <f t="shared" ca="1" si="220"/>
        <v>1</v>
      </c>
      <c r="GL41" s="162">
        <f t="shared" ca="1" si="43"/>
        <v>1</v>
      </c>
      <c r="GM41" s="162" t="e">
        <f ca="1">MAX(0,MIN(1,1-Control!$C$156*(1.0001-$KH41)^2))</f>
        <v>#N/A</v>
      </c>
      <c r="GN41" s="162" t="e">
        <f ca="1">IF(Control!$B$26=1,$KU41,$KX41)</f>
        <v>#N/A</v>
      </c>
      <c r="GO41" s="162" t="e">
        <f ca="1">IF($CP41&lt;=60,Control!$C$105,IF($CP41&gt;=90,Control!$C$106,Control!$C$105+($CP41-60)*((Control!$C$106-Control!$C$105)/(90-60))))</f>
        <v>#N/A</v>
      </c>
      <c r="GP41" s="162" t="e">
        <f t="shared" ca="1" si="154"/>
        <v>#N/A</v>
      </c>
      <c r="GQ41" s="162" t="e">
        <f t="shared" ca="1" si="155"/>
        <v>#N/A</v>
      </c>
      <c r="GR41" s="163" t="e">
        <f t="shared" ca="1" si="44"/>
        <v>#DIV/0!</v>
      </c>
      <c r="GS41" s="162" t="e">
        <f t="shared" ca="1" si="45"/>
        <v>#DIV/0!</v>
      </c>
      <c r="GT41" s="164" t="e">
        <f t="shared" ca="1" si="156"/>
        <v>#N/A</v>
      </c>
      <c r="GU41" s="162" t="e">
        <f t="shared" ca="1" si="157"/>
        <v>#N/A</v>
      </c>
      <c r="GV41" s="162" t="e">
        <f t="shared" ca="1" si="46"/>
        <v>#N/A</v>
      </c>
      <c r="GW41" s="162" t="e">
        <f t="shared" ca="1" si="221"/>
        <v>#DIV/0!</v>
      </c>
      <c r="GX41" s="162" t="e">
        <f t="shared" ca="1" si="228"/>
        <v>#DIV/0!</v>
      </c>
      <c r="GY41" s="162" t="e">
        <f t="shared" ca="1" si="158"/>
        <v>#DIV/0!</v>
      </c>
      <c r="GZ41" s="165" t="e">
        <f t="shared" ca="1" si="159"/>
        <v>#N/A</v>
      </c>
      <c r="HA41" s="162" t="e">
        <f ca="1">IF(Control!$C$114=1, $DI41*$FS41, 0)</f>
        <v>#N/A</v>
      </c>
      <c r="HB41" s="162" t="e">
        <f ca="1">$FA41/Control!$C$64</f>
        <v>#N/A</v>
      </c>
      <c r="HC41" s="162" t="e">
        <f t="shared" ca="1" si="222"/>
        <v>#DIV/0!</v>
      </c>
      <c r="HD41" s="162">
        <f ca="1">-ASIN(SIN(23.45*Control!$C$139)*COS(2*Control!$C$138*($AH41+10)/365))</f>
        <v>-0.28334615848955014</v>
      </c>
      <c r="HE41" s="165">
        <f t="shared" ca="1" si="160"/>
        <v>0</v>
      </c>
      <c r="HF41" s="166">
        <f ca="1">IF(AND(Control!$C$61="T",$HE41&gt;=Control!$C$103,Control!$C$114=0),$AH41,Control!$C$59)</f>
        <v>1</v>
      </c>
      <c r="HG41" s="166">
        <f ca="1">IF(AND(Control!$C$61="T",$HE41&gt;=Control!$C$103,Control!$C$114=0),$HF41,Control!$C$59)</f>
        <v>1</v>
      </c>
      <c r="HH41" s="165">
        <f ca="1">IF(AND(OR(Control!$C$60&lt;=0, $AH41= Control!$C$59, Control!$C$60 &gt;0, $AH41 = Control!$C$60)), Control!$C$59, IF(Control!$C$60&gt;0, 0))</f>
        <v>1</v>
      </c>
      <c r="HI41" s="165">
        <f ca="1">IF(AND(OR(Control!$C$60&lt;=0, $AH41= Control!$C$59, Control!$C$60 &gt;0, $AH41 = Control!$C$60)), Control!$C$60, IF(Control!$C$60&lt;=0, 0))</f>
        <v>0</v>
      </c>
      <c r="HJ41" s="166">
        <f ca="1">IF(AND(Control!$C$62="F",$CV41&gt;=Control!$C$102),$AH41,0)</f>
        <v>0</v>
      </c>
      <c r="HK41" s="165" t="e">
        <f t="shared" ca="1" si="202"/>
        <v>#N/A</v>
      </c>
      <c r="HL41" s="166">
        <f ca="1">IF(AND(Control!$C$61="T",$HE41&gt;=Control!$C$103,Control!$C$114=0),$HF41,0)</f>
        <v>0</v>
      </c>
      <c r="HM41" s="201" t="e">
        <f t="shared" ca="1" si="47"/>
        <v>#DIV/0!</v>
      </c>
      <c r="HN41" s="215">
        <f t="shared" ca="1" si="161"/>
        <v>36</v>
      </c>
      <c r="HO41" s="216" t="e">
        <f ca="1">IF(AND($CP41&gt;=0, $CP41&lt;=90), Control!$C$152, Control!$C$152)</f>
        <v>#N/A</v>
      </c>
      <c r="HP41" s="216" t="e">
        <f t="shared" ca="1" si="48"/>
        <v>#N/A</v>
      </c>
      <c r="HQ41" s="217" t="e">
        <f ca="1">IF(OR(Control!$B$26=1,Control!$B$26=2),$KV41,$KS41)</f>
        <v>#DIV/0!</v>
      </c>
      <c r="HR41" s="218" t="e">
        <f t="shared" ca="1" si="223"/>
        <v>#DIV/0!</v>
      </c>
      <c r="HS41" s="216" t="e">
        <f ca="1">Control!$C$154*$HP41</f>
        <v>#N/A</v>
      </c>
      <c r="HT41" s="216" t="e">
        <f ca="1">Control!$C$155*$HP41</f>
        <v>#N/A</v>
      </c>
      <c r="HU41" s="217" t="e">
        <f ca="1">Control!$C$161*$FI41</f>
        <v>#N/A</v>
      </c>
      <c r="HV41" s="218" t="e">
        <f t="shared" ca="1" si="162"/>
        <v>#N/A</v>
      </c>
      <c r="HW41" s="218" t="e">
        <f ca="1">Control!$C$160*$FF41+$IP41*$EO41</f>
        <v>#N/A</v>
      </c>
      <c r="HX41" s="218" t="e">
        <f t="shared" ca="1" si="203"/>
        <v>#N/A</v>
      </c>
      <c r="HY41" s="219" t="e">
        <f ca="1">IF(Control!$C$114=1, $EB41*$FS41, 0)</f>
        <v>#N/A</v>
      </c>
      <c r="HZ41" s="91" t="e">
        <f t="shared" ca="1" si="49"/>
        <v>#N/A</v>
      </c>
      <c r="IA41" s="220" t="e">
        <f ca="1">Control!$C$153*$HO41</f>
        <v>#N/A</v>
      </c>
      <c r="IB41" s="218" t="e">
        <f t="shared" ca="1" si="50"/>
        <v>#N/A</v>
      </c>
      <c r="IC41" s="220" t="e">
        <f ca="1">Control!$C$153*$HT41</f>
        <v>#N/A</v>
      </c>
      <c r="ID41" s="218" t="e">
        <f t="shared" ca="1" si="51"/>
        <v>#N/A</v>
      </c>
      <c r="IE41" s="221" t="e">
        <f ca="1">($EB41*Control!$C$159+$EF41*Control!$C$160)/(IF($GZ41&lt;&gt;0,$GZ41,1))</f>
        <v>#N/A</v>
      </c>
      <c r="IF41" s="216" t="e">
        <f t="shared" ca="1" si="52"/>
        <v>#N/A</v>
      </c>
      <c r="IG41" s="91">
        <f ca="1">IF(OR(Control!$B$198=$AH41,Control!$B$199=$AH41, Control!$B$200=$AH41, Control!$B$201=$AH41, Control!$B$202=$AH41, Control!$B$203=$AH41, Control!$B$204=$AH41, Control!$B$205=$AH41, Control!$B$206=$AH41, Control!$B$207=$AH41), 1, 0)</f>
        <v>0</v>
      </c>
      <c r="IH41" s="91">
        <f ca="1">IF($IG41=0,0, VLOOKUP($AH41,Control!$B$198:$C$207,2))</f>
        <v>0</v>
      </c>
      <c r="II41" s="222">
        <f t="shared" ca="1" si="163"/>
        <v>0</v>
      </c>
      <c r="IJ41" s="91">
        <f>Control!$C$121</f>
        <v>0.7</v>
      </c>
      <c r="IK41" s="218">
        <f t="shared" ca="1" si="53"/>
        <v>0</v>
      </c>
      <c r="IL41" s="217" t="e">
        <f t="shared" ca="1" si="204"/>
        <v>#N/A</v>
      </c>
      <c r="IM41" s="223" t="e">
        <f ca="1">IF(AND(Control!$C$114=1,$KH41&lt;1),$EB41*Control!$C$148*(1-$KH41), 0)</f>
        <v>#N/A</v>
      </c>
      <c r="IN41" s="217" t="e">
        <f t="shared" ca="1" si="54"/>
        <v>#DIV/0!</v>
      </c>
      <c r="IO41" s="91" t="e">
        <f ca="1">MAX(0,$IL41-$EF41*Control!$C$160)</f>
        <v>#N/A</v>
      </c>
      <c r="IP41" s="220" t="e">
        <f t="shared" ca="1" si="55"/>
        <v>#N/A</v>
      </c>
      <c r="IQ41" s="217" t="e">
        <f t="shared" ca="1" si="164"/>
        <v>#N/A</v>
      </c>
      <c r="IR41" s="218" t="e">
        <f t="shared" ca="1" si="56"/>
        <v>#N/A</v>
      </c>
      <c r="IS41" s="217" t="e">
        <f ca="1">Control!$C$159*MAX(0,$FD41-$EN41)</f>
        <v>#N/A</v>
      </c>
      <c r="IT41" s="217" t="e">
        <f t="shared" ca="1" si="205"/>
        <v>#N/A</v>
      </c>
      <c r="IU41" s="217" t="e">
        <f t="shared" ca="1" si="165"/>
        <v>#N/A</v>
      </c>
      <c r="IV41" s="217" t="e">
        <f t="shared" ca="1" si="206"/>
        <v>#N/A</v>
      </c>
      <c r="IW41" s="217" t="e">
        <f ca="1">IF(OR($AW41=1,AND($AW41=0, Control!$B$18=1,$EN41&lt;&gt;0)), $IQ41-$IU41, $IQ41)</f>
        <v>#N/A</v>
      </c>
      <c r="IX41" s="218" t="e">
        <f t="shared" ca="1" si="57"/>
        <v>#N/A</v>
      </c>
      <c r="IY41" s="218" t="e">
        <f ca="1">MAX(0,$IQ41-$EB41*Control!$C$159)</f>
        <v>#N/A</v>
      </c>
      <c r="IZ41" s="218" t="e">
        <f t="shared" ca="1" si="58"/>
        <v>#N/A</v>
      </c>
      <c r="JA41" s="216" t="e">
        <f t="shared" ca="1" si="59"/>
        <v>#N/A</v>
      </c>
      <c r="JB41" s="217" t="e">
        <f t="shared" ca="1" si="60"/>
        <v>#N/A</v>
      </c>
      <c r="JC41" s="222" t="e">
        <f ca="1">MAX(Control!$C$157*$EK41-$JT41, 0)/Control!$C$162</f>
        <v>#N/A</v>
      </c>
      <c r="JD41" s="218" t="e">
        <f t="shared" ca="1" si="61"/>
        <v>#N/A</v>
      </c>
      <c r="JE41" s="218" t="e">
        <f t="shared" ca="1" si="62"/>
        <v>#N/A</v>
      </c>
      <c r="JF41" s="218" t="e">
        <f t="shared" ca="1" si="207"/>
        <v>#N/A</v>
      </c>
      <c r="JG41" s="218" t="e">
        <f t="shared" ca="1" si="63"/>
        <v>#N/A</v>
      </c>
      <c r="JH41" s="217" t="e">
        <f t="shared" ca="1" si="166"/>
        <v>#N/A</v>
      </c>
      <c r="JI41" s="217" t="e">
        <f t="shared" ca="1" si="167"/>
        <v>#N/A</v>
      </c>
      <c r="JJ41" s="217" t="e">
        <f t="shared" ca="1" si="224"/>
        <v>#N/A</v>
      </c>
      <c r="JK41" s="217" t="e">
        <f ca="1">IF(Control!$C$114=1,IF(Control!$B$24=0,MAX(0,$JI41)*$GN41/Control!$C$64,(MAX(0,MIN($JI41,$JJ41*$GN41/Control!$C$64),0))))</f>
        <v>#N/A</v>
      </c>
      <c r="JL41" s="217" t="e">
        <f ca="1">$IK41/Control!$C$64-$JK41+$HQ41</f>
        <v>#N/A</v>
      </c>
      <c r="JM41" s="217" t="e">
        <f ca="1">IF(Control!$C$114=1,($JB41/(IF($JI41&lt;&gt;0,$JI41,1)))*$JK41,0)</f>
        <v>#N/A</v>
      </c>
      <c r="JN41" s="217" t="e">
        <f ca="1">IF(Control!$C$114=1,($JG41/(IF($JI41&lt;&gt;0,$JI41,1)))*$JK41, 0)</f>
        <v>#N/A</v>
      </c>
      <c r="JO41" s="218" t="e">
        <f t="shared" ca="1" si="64"/>
        <v>#N/A</v>
      </c>
      <c r="JP41" s="218" t="e">
        <f ca="1">MIN(($IY41+$IO41)*Control!$C$151, $JF41-$EH41*Control!$C$161)</f>
        <v>#N/A</v>
      </c>
      <c r="JQ41" s="218" t="e">
        <f t="shared" ca="1" si="65"/>
        <v>#N/A</v>
      </c>
      <c r="JR41" s="217" t="e">
        <f ca="1">IF($CP41-Control!$C$150&lt;0, 0, $JQ41/Control!$C$162)</f>
        <v>#N/A</v>
      </c>
      <c r="JS41" s="218" t="e">
        <f t="shared" ca="1" si="66"/>
        <v>#N/A</v>
      </c>
      <c r="JT41" s="218" t="e">
        <f t="shared" ca="1" si="168"/>
        <v>#N/A</v>
      </c>
      <c r="JU41" s="218" t="e">
        <f t="shared" ca="1" si="67"/>
        <v>#N/A</v>
      </c>
      <c r="JV41" s="218" t="e">
        <f t="shared" ca="1" si="68"/>
        <v>#N/A</v>
      </c>
      <c r="JW41" s="216" t="e">
        <f t="shared" ca="1" si="69"/>
        <v>#N/A</v>
      </c>
      <c r="JX41" s="91" t="e">
        <f t="shared" ca="1" si="70"/>
        <v>#N/A</v>
      </c>
      <c r="JY41" s="218" t="e">
        <f t="shared" ca="1" si="71"/>
        <v>#N/A</v>
      </c>
      <c r="JZ41" s="217" t="e">
        <f ca="1">IF(Control!$C$114=1,($IZ41/(IF($JI41&lt;&gt;0,$JI41,1)))*$JK41, 0)</f>
        <v>#N/A</v>
      </c>
      <c r="KA41" s="218" t="e">
        <f t="shared" ca="1" si="225"/>
        <v>#N/A</v>
      </c>
      <c r="KB41" s="218" t="e">
        <f t="shared" ca="1" si="169"/>
        <v>#N/A</v>
      </c>
      <c r="KC41" s="218" t="e">
        <f t="shared" ca="1" si="72"/>
        <v>#N/A</v>
      </c>
      <c r="KD41" s="218" t="e">
        <f t="shared" ca="1" si="73"/>
        <v>#N/A</v>
      </c>
      <c r="KE41" s="218" t="e">
        <f t="shared" ca="1" si="74"/>
        <v>#N/A</v>
      </c>
      <c r="KF41" s="218" t="e">
        <f t="shared" ca="1" si="75"/>
        <v>#N/A</v>
      </c>
      <c r="KG41" s="216" t="e">
        <f t="shared" ca="1" si="76"/>
        <v>#N/A</v>
      </c>
      <c r="KH41" s="221" t="e">
        <f ca="1">IF(Control!$B$24=0,1,MAX(0.001,MIN(1,IF(($IF41-$IE41)&lt;&gt;0,($KG41-$IE41)/($IF41-$IE41),1))))</f>
        <v>#N/A</v>
      </c>
      <c r="KI41" s="222" t="e">
        <f ca="1">IF(Control!$C$114=1, $KI40+ $KH40, 0)</f>
        <v>#N/A</v>
      </c>
      <c r="KJ41" s="217" t="e">
        <f t="shared" ca="1" si="77"/>
        <v>#N/A</v>
      </c>
      <c r="KK41" s="218" t="e">
        <f t="shared" ca="1" si="78"/>
        <v>#N/A</v>
      </c>
      <c r="KL41" s="274" t="e">
        <f ca="1">IF(Control!$B$26=3,4000000000*EXP(-8400/($G41+273)),IF(Control!$B$26=4,4000000000*EXP(-8400/($G41+273))*($KT41),0))</f>
        <v>#DIV/0!</v>
      </c>
      <c r="KM41" s="274" t="e">
        <f ca="1">IF(Control!$B$26=3,5600000000000*EXP(-9800/($G41+273)),IF(Control!$B$26=4,5600000000000*EXP(-9800/($G41+273))*$KT41,0))</f>
        <v>#DIV/0!</v>
      </c>
      <c r="KN41" s="454" t="e">
        <f t="shared" ca="1" si="170"/>
        <v>#DIV/0!</v>
      </c>
      <c r="KO41" s="274" t="e">
        <f t="shared" ca="1" si="171"/>
        <v>#DIV/0!</v>
      </c>
      <c r="KP41" s="454" t="e">
        <f t="shared" ca="1" si="79"/>
        <v>#DIV/0!</v>
      </c>
      <c r="KQ41" s="454" t="e">
        <f t="shared" ca="1" si="80"/>
        <v>#DIV/0!</v>
      </c>
      <c r="KR41" s="454" t="e">
        <f t="shared" ca="1" si="81"/>
        <v>#DIV/0!</v>
      </c>
      <c r="KS41" s="454" t="e">
        <f t="shared" ca="1" si="82"/>
        <v>#DIV/0!</v>
      </c>
      <c r="KT41" s="455" t="e">
        <f t="shared" ca="1" si="83"/>
        <v>#DIV/0!</v>
      </c>
      <c r="KU41" s="456" t="e">
        <f ca="1">IF($CP41-Control!$C$149&lt;0, IF($NT41-0.01&lt;0,0,1),0)</f>
        <v>#N/A</v>
      </c>
      <c r="KV41" s="456" t="e">
        <f ca="1">IF(Control!$C$114=1,MAX(0,MIN(Control!$C$125*$KW41*$GN41,$KW41)))</f>
        <v>#DIV/0!</v>
      </c>
      <c r="KW41" s="456" t="e">
        <f t="shared" ca="1" si="208"/>
        <v>#DIV/0!</v>
      </c>
      <c r="KX41" s="457" t="e">
        <f ca="1">IF($CP41-Control!$C$149&lt;0, IF($MR41-$OM41&lt;0,0,1),0)</f>
        <v>#N/A</v>
      </c>
      <c r="KY41" s="167">
        <f t="shared" ca="1" si="172"/>
        <v>36</v>
      </c>
      <c r="KZ41" s="168">
        <f ca="1">1370*(1+0.033*COS(2*Control!$C$138*$AH41/365))</f>
        <v>1406.8029858355872</v>
      </c>
      <c r="LA41" s="169">
        <f t="shared" ca="1" si="173"/>
        <v>1.0268635210857713</v>
      </c>
      <c r="LB41" s="169">
        <f t="shared" ca="1" si="174"/>
        <v>-0.28480403295985457</v>
      </c>
      <c r="LC41" s="169">
        <f ca="1">ACOS(-TAN((2*Control!$B$8/360))*TAN(Calculations!$LB41))</f>
        <v>1.483676133573584</v>
      </c>
      <c r="LD41" s="169">
        <f ca="1">((24*60)/PI())*0.082*$LA41*(($LC41*SIN(Control!$B$8*2*PI()/360))*SIN($LB41)+COS(Control!$B$8*2*PI()/360)*COS($LB41)*SIN($LC41))</f>
        <v>10.039659375628354</v>
      </c>
      <c r="LE41" s="170">
        <f t="shared" ca="1" si="84"/>
        <v>11.017656868762796</v>
      </c>
      <c r="LF41" s="170">
        <f ca="1">SIN(Control!$C$139*Control!$B$8)*SIN($HD41)</f>
        <v>-0.2203044837900521</v>
      </c>
      <c r="LG41" s="170">
        <f ca="1">COS(Control!$C$139*Control!$B$8)*COS($HD41)</f>
        <v>0.59111057138413059</v>
      </c>
      <c r="LH41" s="170">
        <f ca="1">12*(1+2*ASIN(MAX(-1,MIN(1,$LF41/$LG41))/Control!$C$138))</f>
        <v>9.1460987100482782</v>
      </c>
      <c r="LI41" s="170">
        <f ca="1">12*(1+2*ASIN(MAX(-1,MIN(1,(-SIN(-4*Control!$C$139)+$LF41)/$LG41))/Control!$C$138))</f>
        <v>10.052205936117627</v>
      </c>
      <c r="LJ41" s="168">
        <f ca="1">3600*($LH41*$LF41+24*$LG41*SQRT(1-$LK41*$LK41)/Control!$C$138)</f>
        <v>7831.6985247360199</v>
      </c>
      <c r="LK41" s="170">
        <f t="shared" ca="1" si="85"/>
        <v>-0.37269589558209443</v>
      </c>
      <c r="LL41" s="170">
        <f t="shared" ca="1" si="86"/>
        <v>0</v>
      </c>
      <c r="LM41" s="171">
        <f ca="1">Control!$C$145*$AB41</f>
        <v>6.6660906138995932E-2</v>
      </c>
      <c r="LN41" s="170">
        <f t="shared" ca="1" si="175"/>
        <v>0.54</v>
      </c>
      <c r="LO41" s="170">
        <f t="shared" ca="1" si="87"/>
        <v>0</v>
      </c>
      <c r="LP41" s="170">
        <f ca="1">Control!$C$140*((($D41+273.16)^4+($E41+273.16)^4)/2)*(0.34-0.14*SQRT($Y41))*(1.35*$AQ41/(0.75*$LD41)-0.35)</f>
        <v>-3.2464704755046001</v>
      </c>
      <c r="LQ41" s="170">
        <f ca="1">Control!$C$140*($G41+273)^4*(0.56-0.079*SQRT($Y41*10))*(0.1+0.9*$LO41)</f>
        <v>1.5241745131704001</v>
      </c>
      <c r="LR41" s="170">
        <f ca="1">$AQ41*(1-Control!$C$142)-$LQ41</f>
        <v>-1.5241745131704001</v>
      </c>
      <c r="LS41" s="170">
        <f ca="1">$AQ41*(1-Control!$C$143)-$LQ41</f>
        <v>-1.5241745131704001</v>
      </c>
      <c r="LT41" s="170">
        <f ca="1">$AQ41*(1-Control!$C$144)-$LQ41</f>
        <v>-1.5241745131704001</v>
      </c>
      <c r="LU41" s="169">
        <f ca="1">(1-Control!$C$144)*AQ41-LP41</f>
        <v>3.2464704755046001</v>
      </c>
      <c r="LV41" s="172">
        <f t="shared" ca="1" si="88"/>
        <v>0.79430000000000012</v>
      </c>
      <c r="LW41" s="170">
        <f t="shared" ca="1" si="89"/>
        <v>1.5886000000000002</v>
      </c>
      <c r="LX41" s="170">
        <f ca="1">($AC41*($LR41/Control!$C$141)+$LM41*$LV41)/($AC41+$LM41)</f>
        <v>0.23530094218323697</v>
      </c>
      <c r="LY41" s="170">
        <f ca="1">($AC41*($LS41/Control!$C$141)+$LM41*$LV41)/($AC41+$LM41)</f>
        <v>0.23530094218323697</v>
      </c>
      <c r="LZ41" s="170">
        <f t="shared" ca="1" si="90"/>
        <v>0.23530094218323697</v>
      </c>
      <c r="MA41" s="170">
        <f t="shared" ca="1" si="91"/>
        <v>0.23530094218323697</v>
      </c>
      <c r="MB41" s="170" t="e">
        <f t="shared" ca="1" si="92"/>
        <v>#N/A</v>
      </c>
      <c r="MC41" s="170">
        <f t="shared" ca="1" si="176"/>
        <v>0.6018</v>
      </c>
      <c r="MD41" s="170">
        <f t="shared" ca="1" si="93"/>
        <v>0.52989392535414004</v>
      </c>
      <c r="ME41" s="170">
        <f ca="1">($AC41*($LT41/Control!$C$141)+$LM41*$LW41)/($AC41+$LM41)</f>
        <v>0.71612369323045078</v>
      </c>
      <c r="MF41" s="170" t="e">
        <f ca="1">IF(Control!$B$16&gt;=1000,0.92,IF(AND(720&lt;=Control!$B$16,1000&gt;Control!$B$16),(0.95+(Control!$B$16-720)*((0.92-0.95)/(1000-720))),IF(AND(360&lt;=Control!$B$16,720&gt;Control!$B$16),(1+(Control!$B$16-360)*((0.95-1)/(720-360))),IF(AND(40&lt;=Control!$B$16,360&gt;Control!$B$16),(1.05+(Control!$B$16-40)*((1.05-1)/(360-40)))))))</f>
        <v>#N/A</v>
      </c>
      <c r="MG41" s="170">
        <f t="shared" ca="1" si="94"/>
        <v>0.71612369323045078</v>
      </c>
      <c r="MH41" s="170" t="e">
        <f t="shared" ca="1" si="230"/>
        <v>#N/A</v>
      </c>
      <c r="MI41" s="170" t="e">
        <f t="shared" ca="1" si="230"/>
        <v>#N/A</v>
      </c>
      <c r="MJ41" s="170" t="e">
        <f ca="1">MAX(0.0001, Control!$C$132*$MI41*$DL41)</f>
        <v>#N/A</v>
      </c>
      <c r="MK41" s="170">
        <f ca="1">1/(0.76+1.5*($MG41/10))-(5-Control!$C$110)*0.1</f>
        <v>1.002845988140797</v>
      </c>
      <c r="ML41" s="173">
        <f ca="1">IF(Control!$C$110&lt;3,$MK41+($MG41-0.6)/(Control!$C$110*(Control!$C$110+3)), MAX(0.1, MIN(0.95,$MK41)))</f>
        <v>0.95</v>
      </c>
      <c r="MM41" s="173">
        <f ca="1">IF(Control!$C$110&lt;3,$MK41+(($MI41/10)-0.6)/(Control!$C$110*(Control!$C$110+3)), MAX(0.1, MIN(0.95,$MK41)))</f>
        <v>0.95</v>
      </c>
      <c r="MN41" s="173">
        <f ca="1">(1-$MM41)*(Control!$C$128-Control!$C$127)+Control!$C$127</f>
        <v>0.16</v>
      </c>
      <c r="MO41" s="170" t="e">
        <f ca="1">MAX(0,MIN(1,($MS41-Control!$C$127)/($MN41-Control!$C$127)))</f>
        <v>#DIV/0!</v>
      </c>
      <c r="MP41" s="173" t="e">
        <f ca="1">1/(0.76+1.5*$MI41)-(5-Control!$C$110)*0.1</f>
        <v>#N/A</v>
      </c>
      <c r="MQ41" s="172" t="e">
        <f t="shared" ca="1" si="209"/>
        <v>#DIV/0!</v>
      </c>
      <c r="MR41" s="168" t="e">
        <f t="shared" ca="1" si="226"/>
        <v>#DIV/0!</v>
      </c>
      <c r="MS41" s="173" t="e">
        <f ca="1">MAX(Control!$C$127, MIN(Control!$C$135, $MR41/MAX(0.0001,$CY41)))</f>
        <v>#DIV/0!</v>
      </c>
      <c r="MT41" s="168" t="e">
        <f ca="1">(Control!$C$128-$MS41)*Control!$C$74</f>
        <v>#DIV/0!</v>
      </c>
      <c r="MU41" s="168" t="e">
        <f ca="1">(Control!$C$135-$MS41)*Control!$C$74</f>
        <v>#DIV/0!</v>
      </c>
      <c r="MV41" s="168" t="e">
        <f t="shared" ca="1" si="210"/>
        <v>#DIV/0!</v>
      </c>
      <c r="MW41" s="168" t="e">
        <f t="shared" ca="1" si="177"/>
        <v>#DIV/0!</v>
      </c>
      <c r="MX41" s="171" t="e">
        <f ca="1">MAX(Control!$C$127, MIN(Control!$C$135, $MW41/MAX(0.0001,Control!$C$119-$CY41)))</f>
        <v>#DIV/0!</v>
      </c>
      <c r="MY41" s="54" t="e">
        <f ca="1">IF(Control!$C$114=1, $CX41*$MX41, 0)</f>
        <v>#DIV/0!</v>
      </c>
      <c r="MZ41" s="54" t="e">
        <f t="shared" ca="1" si="178"/>
        <v>#N/A</v>
      </c>
      <c r="NA41" s="168" t="e">
        <f ca="1">(Control!$C$128-$MX41)*(Control!$C$119-Control!$C$74)</f>
        <v>#DIV/0!</v>
      </c>
      <c r="NB41" s="168" t="e">
        <f ca="1">(Control!$C$135-$MX41)*(Control!$C$119-Control!$C$74)</f>
        <v>#DIV/0!</v>
      </c>
      <c r="NC41" s="174" t="e">
        <f t="shared" ca="1" si="179"/>
        <v>#DIV/0!</v>
      </c>
      <c r="ND41" s="54">
        <f ca="1">IF(Control!$C$58=2, IF(OR(Control!$B$218=$AH41,Control!$B$219=$AH41, Control!$B$220=$AH41, Control!$B$221=$AH41, Control!$B$222=$AH41, Control!$B$223=$AH41, Control!$B$224=$AH41, Control!$B$225=$AH41, Control!$B$226=$AH41, Control!$B$227=$AH41, Control!$B$228=$AH41), 1, 0), 0)</f>
        <v>0</v>
      </c>
      <c r="NE41" s="54">
        <f ca="1">IF($ND41=0,0, VLOOKUP($AH41,Control!$B$218:$C$228,2))</f>
        <v>0</v>
      </c>
      <c r="NF41" s="168" t="e">
        <f ca="1">$CY41*(Control!$C$128-Control!$C$127)</f>
        <v>#N/A</v>
      </c>
      <c r="NG41" s="54" t="e">
        <f ca="1">IF(Control!$C$58=2, $NI40-$NJ40, 0)</f>
        <v>#DIV/0!</v>
      </c>
      <c r="NH41" s="54" t="e">
        <f ca="1">IF(AND(Control!$C$58=1, $MS40&lt;= ($MN40+0.02), $I40&lt;10), 0, IF(Control!$C$58=2, $NG40, 0))</f>
        <v>#DIV/0!</v>
      </c>
      <c r="NI41" s="54" t="e">
        <f ca="1">IF(Control!$C$58=2, $NE41+$NH41,0)</f>
        <v>#DIV/0!</v>
      </c>
      <c r="NJ41" s="54" t="e">
        <f ca="1">IF(AND(Control!$C$58=1, $MS41&lt;= ($MN41+0.02), $I41&lt;10), MAX(0, MIN(10, 0.7*($NF41-$MV41))), IF(Control!$C$58=2, MIN(10,$NI41),0))</f>
        <v>#DIV/0!</v>
      </c>
      <c r="NK41" s="54" t="e">
        <f t="shared" ca="1" si="96"/>
        <v>#DIV/0!</v>
      </c>
      <c r="NL41" s="173" t="e">
        <f ca="1">(1-Control!$C$73)*$I41+$NJ41</f>
        <v>#DIV/0!</v>
      </c>
      <c r="NM41" s="172" t="e">
        <f ca="1">IF($NL41&lt;0.5, $MB41* MAX(0, MIN(1, (SQRT($NC41)-SQRT($NC41-1))*Control!$C$71)),0)</f>
        <v>#DIV/0!</v>
      </c>
      <c r="NN41" s="170" t="e">
        <f ca="1">IF($NL41&gt;=5, $MB41, MAX(0,MIN($MB41, $NM41+$NL41,($MS41-Control!$C$129))))</f>
        <v>#DIV/0!</v>
      </c>
      <c r="NO41" s="54">
        <f>IF(Control!$C$133&lt;&gt;1, Control!$C$135-Control!$C$131, 0)</f>
        <v>0.38</v>
      </c>
      <c r="NP41" s="54" t="e">
        <f t="shared" ca="1" si="97"/>
        <v>#DIV/0!</v>
      </c>
      <c r="NQ41" s="173" t="e">
        <f ca="1">MAX(0,MIN(1,(Control!$C$135-$MS41)/(Control!$C$135-$NO41)))</f>
        <v>#DIV/0!</v>
      </c>
      <c r="NR41" s="170" t="e">
        <f ca="1">IF(Control!$C$133&lt;&gt;1, $NQ41+((1-$NP41/4)*(1-$NQ41)),1)</f>
        <v>#DIV/0!</v>
      </c>
      <c r="NS41" s="170" t="e">
        <f ca="1">IF(Control!$B$31=0,$MJ41,MAX(0,MIN($MV41,$MO41*$NR41*$MJ41)))</f>
        <v>#DIV/0!</v>
      </c>
      <c r="NT41" s="170" t="e">
        <f t="shared" ca="1" si="227"/>
        <v>#DIV/0!</v>
      </c>
      <c r="NU41" s="170" t="e">
        <f t="shared" ca="1" si="180"/>
        <v>#N/A</v>
      </c>
      <c r="NV41" s="170" t="e">
        <f t="shared" ca="1" si="98"/>
        <v>#N/A</v>
      </c>
      <c r="NW41" s="175" t="e">
        <f t="shared" ca="1" si="99"/>
        <v>#DIV/0!</v>
      </c>
      <c r="NX41" s="170" t="e">
        <f ca="1">MIN(Control!$C$72+$MU41, $NW41)</f>
        <v>#DIV/0!</v>
      </c>
      <c r="NY41" s="170" t="e">
        <f ca="1">IF($MT41&lt;=$NX41,MIN(Control!$C$72+$NB41,$NX41-$MT41),0)</f>
        <v>#DIV/0!</v>
      </c>
      <c r="NZ41" s="54" t="e">
        <f ca="1">IF(Control!$C$114=1,  $CX41*($MX41-Control!$C$127), 0)</f>
        <v>#DIV/0!</v>
      </c>
      <c r="OA41" s="170" t="e">
        <f t="shared" ca="1" si="181"/>
        <v>#DIV/0!</v>
      </c>
      <c r="OB41" s="170" t="e">
        <f ca="1">IF($NA41 &lt;=$NY41, MIN(Control!$C$72, $NY41-$NA41), 0)</f>
        <v>#DIV/0!</v>
      </c>
      <c r="OC41" s="168" t="e">
        <f t="shared" ca="1" si="100"/>
        <v>#DIV/0!</v>
      </c>
      <c r="OD41" s="168" t="e">
        <f t="shared" ca="1" si="182"/>
        <v>#DIV/0!</v>
      </c>
      <c r="OE41" s="170">
        <f ca="1">Control!$C$73*$I41</f>
        <v>0</v>
      </c>
      <c r="OF41" s="176" t="e">
        <f t="shared" ca="1" si="101"/>
        <v>#DIV/0!</v>
      </c>
      <c r="OG41" s="168" t="e">
        <f t="shared" ca="1" si="102"/>
        <v>#DIV/0!</v>
      </c>
      <c r="OH41" s="168" t="e">
        <f t="shared" ca="1" si="103"/>
        <v>#DIV/0!</v>
      </c>
      <c r="OI41" s="168" t="e">
        <f t="shared" ca="1" si="104"/>
        <v>#DIV/0!</v>
      </c>
      <c r="OJ41" s="168" t="e">
        <f t="shared" ca="1" si="105"/>
        <v>#DIV/0!</v>
      </c>
      <c r="OK41" s="204" t="e">
        <f t="shared" ca="1" si="183"/>
        <v>#DIV/0!</v>
      </c>
      <c r="OL41" s="177">
        <f>Control!$C$127</f>
        <v>0.15</v>
      </c>
      <c r="OM41" s="182" t="e">
        <f t="shared" ca="1" si="106"/>
        <v>#N/A</v>
      </c>
      <c r="ON41" s="177">
        <f>Control!$C$128</f>
        <v>0.35</v>
      </c>
      <c r="OO41" s="182" t="e">
        <f t="shared" ca="1" si="107"/>
        <v>#N/A</v>
      </c>
      <c r="OP41" s="138">
        <f t="shared" ca="1" si="184"/>
        <v>0</v>
      </c>
      <c r="OQ41" s="138" t="e">
        <f t="shared" ca="1" si="211"/>
        <v>#DIV/0!</v>
      </c>
      <c r="OR41" s="138" t="e">
        <f t="shared" ca="1" si="185"/>
        <v>#DIV/0!</v>
      </c>
      <c r="OS41" s="137" t="e">
        <f t="shared" ca="1" si="212"/>
        <v>#DIV/0!</v>
      </c>
      <c r="OT41" s="139" t="e">
        <f t="shared" ca="1" si="213"/>
        <v>#DIV/0!</v>
      </c>
      <c r="OU41" s="138" t="e">
        <f t="shared" ca="1" si="214"/>
        <v>#N/A</v>
      </c>
      <c r="OV41" s="138" t="e">
        <f t="shared" ca="1" si="215"/>
        <v>#DIV/0!</v>
      </c>
      <c r="OW41" s="138" t="e">
        <f t="shared" ca="1" si="186"/>
        <v>#DIV/0!</v>
      </c>
      <c r="OX41" s="138" t="e">
        <f t="shared" ca="1" si="187"/>
        <v>#DIV/0!</v>
      </c>
      <c r="OY41" s="138" t="e">
        <f t="shared" ca="1" si="188"/>
        <v>#DIV/0!</v>
      </c>
      <c r="OZ41" s="138" t="e">
        <f t="shared" ca="1" si="108"/>
        <v>#DIV/0!</v>
      </c>
      <c r="PA41" s="138" t="e">
        <f t="shared" ca="1" si="109"/>
        <v>#DIV/0!</v>
      </c>
      <c r="PB41" s="55">
        <f>IF(Control!$C$61="T", IF(Control!$C$65="F", IF($AH$6-Control!$C$60&lt;0,0,1), IF(365+$AH$6-Control!$C$60&lt;0,0,1)),0)</f>
        <v>0</v>
      </c>
      <c r="PC41" s="55">
        <f ca="1">IF(Control!$C$65="F", IF($AH$6-$HF41&lt;0,0,1), IF(365+$AH$6-$HF41&lt;0,0,1))</f>
        <v>1</v>
      </c>
      <c r="PD41" s="444">
        <f>Control!$C$118</f>
        <v>1500</v>
      </c>
      <c r="PE41" s="180" t="e">
        <f t="shared" ca="1" si="110"/>
        <v>#N/A</v>
      </c>
      <c r="PF41" s="445">
        <f t="shared" ca="1" si="189"/>
        <v>0.71612369323045078</v>
      </c>
      <c r="PT41" s="186"/>
      <c r="PU41" s="186"/>
      <c r="PV41" s="94"/>
      <c r="PW41" s="94"/>
      <c r="PX41" s="94"/>
      <c r="PY41" s="94"/>
      <c r="PZ41" s="94"/>
      <c r="QA41" s="94"/>
      <c r="QB41" s="94"/>
      <c r="QC41" s="94"/>
      <c r="QD41" s="94"/>
      <c r="QE41" s="94"/>
      <c r="QF41" s="94"/>
      <c r="QG41" s="94"/>
      <c r="QH41" s="94"/>
      <c r="QI41" s="94"/>
      <c r="QJ41" s="94"/>
      <c r="QK41" s="94"/>
      <c r="QL41" s="94"/>
      <c r="QM41" s="94"/>
      <c r="QN41" s="94"/>
      <c r="QO41" s="94"/>
      <c r="QP41" s="94"/>
    </row>
    <row r="42" spans="1:458" s="2" customFormat="1" x14ac:dyDescent="0.2">
      <c r="A42" s="395">
        <v>6</v>
      </c>
      <c r="B42" s="396">
        <v>2</v>
      </c>
      <c r="C42" s="387">
        <f ca="1">Weather_data!$B41</f>
        <v>0</v>
      </c>
      <c r="D42" s="388">
        <f ca="1">Weather_data!$F41</f>
        <v>0</v>
      </c>
      <c r="E42" s="388">
        <f ca="1">Weather_data!$E41</f>
        <v>0</v>
      </c>
      <c r="F42" s="388">
        <f t="shared" ca="1" si="111"/>
        <v>0</v>
      </c>
      <c r="G42" s="388">
        <f ca="1">AVERAGE($D42:$E42)+Control!$B$9</f>
        <v>0</v>
      </c>
      <c r="H42" s="388">
        <f ca="1">Weather_data!$G41</f>
        <v>0</v>
      </c>
      <c r="I42" s="388">
        <f ca="1">Weather_data!$I41</f>
        <v>0</v>
      </c>
      <c r="J42" s="388">
        <f ca="1">Weather_data!$H41</f>
        <v>0</v>
      </c>
      <c r="K42" s="389">
        <f ca="1">Weather_data!$D41</f>
        <v>0</v>
      </c>
      <c r="L42" s="388" t="e">
        <f t="shared" ca="1" si="112"/>
        <v>#N/A</v>
      </c>
      <c r="M42" s="388" t="e">
        <f t="shared" ca="1" si="0"/>
        <v>#N/A</v>
      </c>
      <c r="N42" s="388">
        <f t="shared" ca="1" si="1"/>
        <v>-1.1264199772469584E-2</v>
      </c>
      <c r="O42" s="388">
        <f t="shared" ca="1" si="113"/>
        <v>0.11264199772469584</v>
      </c>
      <c r="P42" s="390">
        <v>3</v>
      </c>
      <c r="Q42" s="388">
        <f ca="1">MAX($G42-Control!$C$107,0)</f>
        <v>0</v>
      </c>
      <c r="R42" s="388">
        <f t="shared" ca="1" si="114"/>
        <v>0</v>
      </c>
      <c r="S42" s="388">
        <f t="shared" ca="1" si="2"/>
        <v>0</v>
      </c>
      <c r="T42" s="388">
        <f t="shared" ca="1" si="3"/>
        <v>0</v>
      </c>
      <c r="U42" s="59">
        <f t="shared" ca="1" si="4"/>
        <v>0</v>
      </c>
      <c r="V42" s="391">
        <f ca="1">MAX(0,MIN(Control!$C$100-Control!$C$99,$G42-Control!$C$99)*Control!$C$63)</f>
        <v>0</v>
      </c>
      <c r="W42" s="388">
        <f t="shared" ca="1" si="190"/>
        <v>0</v>
      </c>
      <c r="X42" s="388">
        <f t="shared" ca="1" si="115"/>
        <v>0.6110000000000001</v>
      </c>
      <c r="Y42" s="388">
        <f t="shared" ca="1" si="116"/>
        <v>0</v>
      </c>
      <c r="Z42" s="388">
        <f t="shared" ca="1" si="117"/>
        <v>0.61058800000000002</v>
      </c>
      <c r="AA42" s="388">
        <f t="shared" ca="1" si="5"/>
        <v>0.6018</v>
      </c>
      <c r="AB42" s="388">
        <f ca="1">101.3*EXP(-0.034*Control!$C$66/($G42+273))</f>
        <v>100.69623283836242</v>
      </c>
      <c r="AC42" s="392">
        <f t="shared" ca="1" si="6"/>
        <v>4.3460251046025113E-2</v>
      </c>
      <c r="AD42" s="392">
        <f t="shared" ca="1" si="7"/>
        <v>4.4450382862832649E-2</v>
      </c>
      <c r="AE42" s="388">
        <f t="shared" ca="1" si="8"/>
        <v>0</v>
      </c>
      <c r="AF42" s="388">
        <f ca="1">MAX(0,$G42-Control!$C$92)</f>
        <v>0</v>
      </c>
      <c r="AG42" s="393">
        <f t="shared" ca="1" si="118"/>
        <v>37</v>
      </c>
      <c r="AH42" s="389">
        <f t="shared" ca="1" si="9"/>
        <v>37</v>
      </c>
      <c r="AI42" s="388">
        <f t="shared" ca="1" si="119"/>
        <v>-0.2782294466650258</v>
      </c>
      <c r="AJ42" s="388">
        <f ca="1">IF(Control!$C$60&lt;=0,$HH42,$HI42)</f>
        <v>1</v>
      </c>
      <c r="AK42" s="388">
        <f t="shared" ca="1" si="10"/>
        <v>-0.74021087180471834</v>
      </c>
      <c r="AL42" s="388">
        <f t="shared" ca="1" si="11"/>
        <v>1.6230367744229924E-18</v>
      </c>
      <c r="AM42" s="388">
        <f t="shared" ca="1" si="12"/>
        <v>-0.74021087180471834</v>
      </c>
      <c r="AN42" s="388">
        <f t="shared" ca="1" si="13"/>
        <v>-0.27162132530793492</v>
      </c>
      <c r="AO42" s="388">
        <f ca="1">-0.10453/COS(Control!$B$8*PI()/180)*COS(AN42)</f>
        <v>-0.163560070853597</v>
      </c>
      <c r="AP42" s="388">
        <f ca="1">ACOS(AO42-TAN(Control!$B$8*PI()/180)*TAN(AN42))</f>
        <v>1.3766699998715699</v>
      </c>
      <c r="AQ42" s="388">
        <f t="shared" ca="1" si="120"/>
        <v>0</v>
      </c>
      <c r="AR42" s="394">
        <f t="shared" ca="1" si="14"/>
        <v>0</v>
      </c>
      <c r="AS42" s="436">
        <f ca="1">IF(Control!$B$18=2,(IF(OR($AH42=Control!$B$175,$AH42=Control!$B$176,$AH42=Control!$B$177,$AH42=Control!$B$178,$AH42=Control!$B$179,$AH42=Control!$B$180,$AH42=Control!$B$181,$AH42=Control!$B$182,$AH42=Control!$B$183,$AH42=Control!$B$184,$AH42=Control!$B$185),1,0)),0)</f>
        <v>0</v>
      </c>
      <c r="AT42" s="436">
        <f>IF(Control!$B$20=8,IF(AND($AH42&gt;=Control!$B$172,$AH42&lt;=Control!$B$173),1,0),0)</f>
        <v>0</v>
      </c>
      <c r="AU42" s="436">
        <f>IF(Control!$B$20=8,IF($AV41=1,1*$AT42,IF($AT42=1,$AU41+1,$AU41)),0)</f>
        <v>0</v>
      </c>
      <c r="AV42" s="436">
        <f>IF(Control!$B$20=8,IF($AU42&gt;=Control!$B$174,1,0),0)</f>
        <v>0</v>
      </c>
      <c r="AW42" s="436">
        <f ca="1">IF(AND(Control!$B$18=2,Control!$B$171=1), $AV42, $AS42)</f>
        <v>0</v>
      </c>
      <c r="AX42" s="436" t="e">
        <f ca="1">IF(AND(Control!$B$18=1,$EU42&gt;=Control!$B$19),-$AY42,IF(AND(Control!$B$18=2,$AW42=1,$EU42&gt;$DS42),-$AY42, IF(Control!$C$108=0,0, IF(Control!$C$108&lt;&gt;0,1))))</f>
        <v>#N/A</v>
      </c>
      <c r="AY42" s="436" t="e">
        <f t="shared" ca="1" si="121"/>
        <v>#N/A</v>
      </c>
      <c r="AZ42" s="436" t="e">
        <f ca="1">IF(AND(Control!$B$18=1,$EB42&gt;Control!$B$19),$AZ41+1, IF(AND(Control!$B$18=2, $AW42=1, $EB42&gt;$DS42), $AZ41+1,$AZ41))</f>
        <v>#N/A</v>
      </c>
      <c r="BA42" s="587">
        <f>IF(Control!$C$81=0,1,IF($AH42&gt;=Control!$C$82,1,0))</f>
        <v>1</v>
      </c>
      <c r="BB42" s="140" t="e">
        <f ca="1">IF($BA42&gt;$BA41,Control!$C$83,IF($AW42&gt;0,$AW42*Control!$C$84,IF(AND(Control!$B$18=1,EN41&lt;&gt;0),Control!$C$84,0)))</f>
        <v>#N/A</v>
      </c>
      <c r="BC42" s="140" t="e">
        <f t="shared" ca="1" si="122"/>
        <v>#N/A</v>
      </c>
      <c r="BD42" s="140" t="e">
        <f ca="1">BC42*IF(OR($G42&lt;Control!$C$92,$G42&gt;Control!$C$95),0,IF(AND($G42&gt;=Control!$C$92,$G42&lt;=Control!$C$93),$G42-Control!$C$92,IF(AND($G42&gt;Control!$C$93,$G42&lt;=Control!$C$94),Control!$C$93-Control!$C$92,IF(AND($G42&gt;Control!$C$94,$G42&lt;=Control!$C$95),(Control!$C$93-Control!$C$92)*(Control!$C$94-$G42)/(Control!$C$95-Control!$C$94)))))</f>
        <v>#N/A</v>
      </c>
      <c r="BE42" s="140" t="e">
        <f t="shared" ca="1" si="123"/>
        <v>#N/A</v>
      </c>
      <c r="BF42" s="140" t="e">
        <f ca="1">IF($BE42&lt;=Control!$C$86,$BE42,Control!$C$86-$BE42)</f>
        <v>#N/A</v>
      </c>
      <c r="BG42" s="140" t="e">
        <f ca="1">IF(AND($AW42=1,Control!$C$84&lt;9),1,IF($BE42&gt;=Control!$C$86,0,$BC42))</f>
        <v>#N/A</v>
      </c>
      <c r="BH42" s="404" t="e">
        <f ca="1">IF($BG42=0,0,IF($BE42&lt;=Control!$C$86,$BC42*9*($BF42/Control!$C$86),0))</f>
        <v>#N/A</v>
      </c>
      <c r="BI42" s="140" t="e">
        <f ca="1">IF($BG42=1,0,IF($BE42&gt;=Control!$C$86,1,IF(AND($BB42&lt;21,$BB42&gt;=9),1,$BM41)))</f>
        <v>#N/A</v>
      </c>
      <c r="BJ42" s="140" t="e">
        <f ca="1">IF($BF42&lt;0,-$BF42,$BI42*IF(OR($G42&lt;Control!$C$92,$G42&gt;Control!$C$95),0,IF(AND($G42&gt;=Control!$C$92,$G42&lt;=Control!$C$93),$G42-Control!$C$92,IF(AND($G42&gt;Control!$C$93,$G42&lt;=Control!$C$94),Control!$C$93-Control!$C$92,IF(AND($G42&gt;Control!$C$94,$G42&lt;=Control!$C$95),(Control!$C$93-Control!$C$92)*(Control!$C$94-$G42)/(Control!$C$95-Control!$C$94))))))</f>
        <v>#N/A</v>
      </c>
      <c r="BK42" s="140" t="e">
        <f t="shared" ca="1" si="124"/>
        <v>#N/A</v>
      </c>
      <c r="BL42" s="140" t="e">
        <f ca="1">IF($BK42&lt;=Control!$C$87,$BK42,Control!$C$87-$BK42)</f>
        <v>#N/A</v>
      </c>
      <c r="BM42" s="140" t="e">
        <f ca="1">IF(AND($BB42&gt;=9,$BB42&lt;21),1,IF($BK42&gt;=Control!$C$87,0,$BI42))</f>
        <v>#N/A</v>
      </c>
      <c r="BN42" s="404" t="e">
        <f ca="1">IF($BM42=0,0,IF($BK42&lt;=Control!$C$87,$BI42*(9+(21-9)*($BL42/Control!$C$87)),0))</f>
        <v>#N/A</v>
      </c>
      <c r="BO42" s="140" t="e">
        <f ca="1">IF($BM42=1,0,IF($BK42&gt;=Control!$C$87,1,IF(AND($BB42&lt;30,$BB42&gt;=21),1,$BS41)))</f>
        <v>#N/A</v>
      </c>
      <c r="BP42" s="140" t="e">
        <f ca="1">IF($BL42&lt;0,-$BL42,$BO42*IF(OR($G42&lt;Control!$C$92,$G42&gt;Control!$C$95),0,IF(AND($G42&gt;=Control!$C$92,$G42&lt;=Control!$C$93),$G42-Control!$C$92,IF(AND($G42&gt;Control!$C$93,$G42&lt;=Control!$C$94),Control!$C$93-Control!$C$92,IF(AND($G42&gt;Control!$C$94,$G42&lt;=Control!$C$95),(Control!$C$93-Control!$C$92)*(Control!$C$94-$G42)/(Control!$C$95-Control!$C$94))))))</f>
        <v>#N/A</v>
      </c>
      <c r="BQ42" s="140" t="e">
        <f t="shared" ca="1" si="15"/>
        <v>#N/A</v>
      </c>
      <c r="BR42" s="140" t="e">
        <f ca="1">IF($BQ42&lt;=Control!$C$88,$BQ42,Control!$C$88-$BQ42)</f>
        <v>#N/A</v>
      </c>
      <c r="BS42" s="140" t="e">
        <f ca="1">IF(AND($BB42&gt;=21,$BB42&lt;30),1,IF($BQ42&gt;=Control!$C$88,0,$BO42))</f>
        <v>#N/A</v>
      </c>
      <c r="BT42" s="404" t="e">
        <f ca="1">IF($BS42=0,0,IF($BQ42&lt;=Control!$C$88,$BO42*(21+(30-21)*(BR42/Control!$C$88)),0))</f>
        <v>#N/A</v>
      </c>
      <c r="BU42" s="140" t="e">
        <f ca="1">IF(BG42+BM42+BS42=1,0,IF(OR(AND($BB42&lt;60,$BB42&gt;=30),$BQ42&gt;=Control!$C$88),1*$BA42,$BY41))</f>
        <v>#N/A</v>
      </c>
      <c r="BV42" s="140" t="e">
        <f ca="1">IF($BR42&lt;0,-$BR42,$BU42*IF(OR($G42&lt;Control!$C$92,$G42&gt;Control!$C$95),0,IF(AND($G42&gt;=Control!$C$92,$G42&lt;=Control!$C$93),$G42-Control!$C$92,IF(AND($G42&gt;Control!$C$93,$G42&lt;=Control!$C$94),Control!$C$93-Control!$C$92,IF(AND($G42&gt;Control!$C$94,$G42&lt;=Control!$C$95),(Control!$C$93-Control!$C$92)*(Control!$C$94-$G42)/(Control!$C$95-Control!$C$94))))))</f>
        <v>#N/A</v>
      </c>
      <c r="BW42" s="140" t="e">
        <f t="shared" ca="1" si="16"/>
        <v>#N/A</v>
      </c>
      <c r="BX42" s="140" t="e">
        <f ca="1">IF($BW42&lt;=Control!$C$89,$BW42,Control!$C$89-$BW42)</f>
        <v>#N/A</v>
      </c>
      <c r="BY42" s="140" t="e">
        <f ca="1">IF(AND($AJ42&gt;=30,$AJ42&lt;60),1,IF($BW42&gt;=Control!$C$89,0,$BU42))</f>
        <v>#N/A</v>
      </c>
      <c r="BZ42" s="404" t="e">
        <f ca="1">IF($BY42=0,0,IF($BW42&lt;=Control!$C$89,$BU42*(30+(60-30)*(BX42/Control!$C$89)),0))</f>
        <v>#N/A</v>
      </c>
      <c r="CA42" s="140" t="e">
        <f ca="1">IF($BG42+$BM42+$BS42+$BY42=1,0,IF(OR(AND($BB42&lt;65,$BB42&gt;=60),$BW42&gt;=Control!$C$89),1*$BA42,$CE41))</f>
        <v>#N/A</v>
      </c>
      <c r="CB42" s="140" t="e">
        <f ca="1">IF($BX42&lt;0,-$BX42,$CA42*IF(OR($G42&lt;Control!$C$92,$G42&gt;Control!$C$95),0,IF(AND($G42&gt;=Control!$C$92,$G42&lt;=Control!$C$93),$G42-Control!$C$92,IF(AND($G42&gt;Control!$C$93,$G42&lt;=Control!$C$94),Control!$C$93-Control!$C$92,IF(AND($G42&gt;Control!$C$94,$G42&lt;=Control!$C$95),(Control!$C$93-Control!$C$92)*(Control!$C$94-$G42)/(Control!$C$95-Control!$C$94))))))</f>
        <v>#N/A</v>
      </c>
      <c r="CC42" s="140" t="e">
        <f t="shared" ca="1" si="125"/>
        <v>#N/A</v>
      </c>
      <c r="CD42" s="140" t="e">
        <f ca="1">IF($CC42&lt;=Control!$C$90,$CC42,Control!$C$90-$CC42)</f>
        <v>#N/A</v>
      </c>
      <c r="CE42" s="140" t="e">
        <f ca="1">IF(AND($BB42&gt;=60,$BB42&lt;65),1,IF($CC42&gt;=Control!$C$90,0,$CA42))</f>
        <v>#N/A</v>
      </c>
      <c r="CF42" s="404" t="e">
        <f ca="1">IF($CE42=0,0,IF($CC42&lt;=Control!$C$90,$CA42*(60+(65-60)*(CD42/Control!$C$90)),0))</f>
        <v>#N/A</v>
      </c>
      <c r="CG42" s="140" t="e">
        <f ca="1">IF($BG42+$BM42+$BS42+$BY42+$CE42=1,0,IF(OR(AND($BB42&lt;90,$BB42&gt;=65),$CC42&gt;=Control!$C$90),$BA42,$CK41))</f>
        <v>#N/A</v>
      </c>
      <c r="CH42" s="140" t="e">
        <f ca="1">IF($CD42&lt;0,-$CD42,$CG42*IF(OR($G42&lt;Control!$C$92,$G42&gt;Control!$C$95),0,IF(AND($G42&gt;=Control!$C$92,$G42&lt;=Control!$C$93),$G42-Control!$C$92,IF(AND($G42&gt;Control!$C$93,$G42&lt;=Control!$C$94),Control!$C$93-Control!$C$92,IF(AND($G42&gt;Control!$C$94,$G42&lt;=Control!$C$95),(Control!$C$93-Control!$C$92)*(Control!$C$94-$G42)/(Control!$C$95-Control!$C$94))))))</f>
        <v>#N/A</v>
      </c>
      <c r="CI42" s="140" t="e">
        <f t="shared" ca="1" si="126"/>
        <v>#N/A</v>
      </c>
      <c r="CJ42" s="140" t="e">
        <f ca="1">IF($CI42&lt;=Control!$C$91,$CI42,Control!$C$91-$CI42)</f>
        <v>#N/A</v>
      </c>
      <c r="CK42" s="140" t="e">
        <f ca="1">IF(AND($BB42&gt;=65,$BB42&lt;90),1,IF($CI42&gt;=Control!$C$91,0,$CG42))</f>
        <v>#N/A</v>
      </c>
      <c r="CL42" s="404" t="e">
        <f ca="1">IF($CK42=0,0,IF($CI42&lt;=Control!$C$91,$CG42*(65+(90-65)*($CJ42/Control!$C$91)),0))</f>
        <v>#N/A</v>
      </c>
      <c r="CM42" s="140" t="e">
        <f ca="1">IF($BG42+$BM42+$BS42+$BY42+$CE42+$CK42=1,0,IF(OR($BB42&gt;=90,$CI42&gt;=Control!$C$91),$BA42,$CM41))</f>
        <v>#N/A</v>
      </c>
      <c r="CN42" s="140" t="e">
        <f t="shared" ca="1" si="127"/>
        <v>#N/A</v>
      </c>
      <c r="CO42" s="140" t="e">
        <f t="shared" ca="1" si="128"/>
        <v>#N/A</v>
      </c>
      <c r="CP42" s="140" t="e">
        <f t="shared" ca="1" si="129"/>
        <v>#N/A</v>
      </c>
      <c r="CQ42" s="141" t="e">
        <f ca="1">VLOOKUP($CP42,Control!$B$86:$G$91,6)</f>
        <v>#N/A</v>
      </c>
      <c r="CR42" s="141" t="e">
        <f ca="1">(1-$CQ42)*VLOOKUP($CP42,Control!$B$86:$D$91,3)</f>
        <v>#N/A</v>
      </c>
      <c r="CS42" s="141" t="e">
        <f ca="1">(1-$CQ42)*VLOOKUP($CP42,Control!$B$86:$E$91,4)</f>
        <v>#N/A</v>
      </c>
      <c r="CT42" s="141" t="e">
        <f ca="1">(1-$CQ42)*VLOOKUP($CP42,Control!$B$86:$F$91,5)</f>
        <v>#N/A</v>
      </c>
      <c r="CU42" s="141">
        <f t="shared" ca="1" si="130"/>
        <v>0</v>
      </c>
      <c r="CV42" s="583">
        <f t="shared" ca="1" si="131"/>
        <v>0</v>
      </c>
      <c r="CW42" s="142">
        <f t="shared" ca="1" si="132"/>
        <v>37</v>
      </c>
      <c r="CX42" s="612" t="e">
        <f ca="1">IF(Control!$C$114=1,(MIN(Control!$C$120*(IF($NT42-0.01&lt;0,0,1)),Control!$C$119-$CY42)))</f>
        <v>#DIV/0!</v>
      </c>
      <c r="CY42" s="143" t="e">
        <f t="shared" ca="1" si="133"/>
        <v>#N/A</v>
      </c>
      <c r="CZ42" s="144">
        <f t="shared" ca="1" si="17"/>
        <v>0</v>
      </c>
      <c r="DA42" s="144">
        <f t="shared" ca="1" si="18"/>
        <v>0</v>
      </c>
      <c r="DB42" s="144" t="e">
        <f t="shared" ca="1" si="19"/>
        <v>#N/A</v>
      </c>
      <c r="DC42" s="144" t="e">
        <f t="shared" ca="1" si="20"/>
        <v>#N/A</v>
      </c>
      <c r="DD42" s="144" t="e">
        <f t="shared" ca="1" si="216"/>
        <v>#N/A</v>
      </c>
      <c r="DE42" s="143" t="e">
        <f t="shared" ca="1" si="135"/>
        <v>#N/A</v>
      </c>
      <c r="DF42" s="145" t="e">
        <f ca="1">$DR42*EXP(-Control!$C$158*(1-$KH42))</f>
        <v>#N/A</v>
      </c>
      <c r="DG42" s="146" t="e">
        <f ca="1">IF(Control!$C$114=1, $DF42*$EY42, 0)</f>
        <v>#N/A</v>
      </c>
      <c r="DH42" s="147" t="e">
        <f t="shared" ca="1" si="136"/>
        <v>#N/A</v>
      </c>
      <c r="DI42" s="144" t="e">
        <f t="shared" ca="1" si="191"/>
        <v>#N/A</v>
      </c>
      <c r="DJ42" s="147" t="e">
        <f ca="1">$EF42*Control!$C$109</f>
        <v>#N/A</v>
      </c>
      <c r="DK42" s="144" t="e">
        <f t="shared" ca="1" si="137"/>
        <v>#N/A</v>
      </c>
      <c r="DL42" s="144" t="e">
        <f t="shared" ca="1" si="21"/>
        <v>#N/A</v>
      </c>
      <c r="DM42" s="144" t="e">
        <f ca="1">IF(Control!$C$114=1, (1-EXP(-Control!$C$96*$DK42))*$AR42, 0)</f>
        <v>#N/A</v>
      </c>
      <c r="DN42" s="144">
        <f t="shared" ca="1" si="138"/>
        <v>0</v>
      </c>
      <c r="DO42" s="148">
        <f>Control!$C$97</f>
        <v>4</v>
      </c>
      <c r="DP42" s="145" t="e">
        <f t="shared" ca="1" si="139"/>
        <v>#N/A</v>
      </c>
      <c r="DQ42" s="145" t="e">
        <f ca="1">IF(AND($CP42&gt;=0,$CP42&lt;=90),Control!$C$111,Control!$C$111)</f>
        <v>#N/A</v>
      </c>
      <c r="DR42" s="145" t="e">
        <f t="shared" ca="1" si="22"/>
        <v>#N/A</v>
      </c>
      <c r="DS42" s="143" t="e">
        <f ca="1">Control!$B$22/$DR42</f>
        <v>#N/A</v>
      </c>
      <c r="DT42" s="149" t="e">
        <f ca="1">IF(AND(Control!$C$114=1,$KH42&lt;1),$IM42*$DF42, 0)</f>
        <v>#N/A</v>
      </c>
      <c r="DU42" s="144" t="e">
        <f t="shared" ca="1" si="192"/>
        <v>#N/A</v>
      </c>
      <c r="DV42" s="144">
        <f ca="1">IF($G42-Control!$C$107&lt;=0, 0, 0.83*LN(MAX($G42, 3))-0.8924)</f>
        <v>0</v>
      </c>
      <c r="DW42" s="144" t="e">
        <f t="shared" ca="1" si="23"/>
        <v>#N/A</v>
      </c>
      <c r="DX42" s="150" t="e">
        <f ca="1">MAX(0.01*(1+$CU42/Control!$C$102),0.05*($DK42-Control!$C$97)/Control!$C$97)</f>
        <v>#N/A</v>
      </c>
      <c r="DY42" s="151" t="e">
        <f ca="1">IF(Control!$C$114=1, $DI42*$FS42, 0)</f>
        <v>#N/A</v>
      </c>
      <c r="DZ42" s="196" t="e">
        <f t="shared" ca="1" si="140"/>
        <v>#N/A</v>
      </c>
      <c r="EA42" s="152">
        <f t="shared" ca="1" si="141"/>
        <v>37</v>
      </c>
      <c r="EB42" s="153" t="e">
        <f t="shared" ca="1" si="217"/>
        <v>#N/A</v>
      </c>
      <c r="EC42" s="153" t="e">
        <f t="shared" ca="1" si="142"/>
        <v>#N/A</v>
      </c>
      <c r="ED42" s="154" t="e">
        <f ca="1">IF(Control!$C$114=1, $HM42*$FY42-$FD42, 0)</f>
        <v>#DIV/0!</v>
      </c>
      <c r="EE42" s="155" t="e">
        <f ca="1">IF(Control!$C$114=1, $HM42*$FZ42-$FF42, 0)</f>
        <v>#DIV/0!</v>
      </c>
      <c r="EF42" s="153" t="e">
        <f t="shared" ca="1" si="193"/>
        <v>#N/A</v>
      </c>
      <c r="EG42" s="155" t="e">
        <f ca="1">IF(Control!$C$114=1, $GX42*$FW42-$FI42, 0)</f>
        <v>#DIV/0!</v>
      </c>
      <c r="EH42" s="153" t="e">
        <f t="shared" ca="1" si="143"/>
        <v>#N/A</v>
      </c>
      <c r="EI42" s="156" t="e">
        <f t="shared" ca="1" si="144"/>
        <v>#N/A</v>
      </c>
      <c r="EJ42" s="155" t="e">
        <f ca="1">IF(Control!$C$114=1, $HM42*$GB42, 0)</f>
        <v>#DIV/0!</v>
      </c>
      <c r="EK42" s="153" t="e">
        <f t="shared" ca="1" si="194"/>
        <v>#N/A</v>
      </c>
      <c r="EL42" s="153" t="e">
        <f t="shared" ca="1" si="24"/>
        <v>#N/A</v>
      </c>
      <c r="EM42" s="153" t="e">
        <f t="shared" ca="1" si="25"/>
        <v>#N/A</v>
      </c>
      <c r="EN42" s="153" t="e">
        <f ca="1">IF(Control!$C$108=1,IF(AND(Control!$B$18=1,$EB42&gt;=Control!$B$19),$EB42-$DS42,IF(AND(Control!$B$18=2,$AW42=1,$EB42&gt;$DS42),$EB42-$DS42,0)))</f>
        <v>#N/A</v>
      </c>
      <c r="EO42" s="153" t="e">
        <f ca="1">IF(Control!$C$108=1,IF(AND(Control!$B$18=1,$EB42&gt;=Control!$B$19),$EF42,IF(AND(Control!$B$18=2,$AW42=1),$EF42,0)))</f>
        <v>#N/A</v>
      </c>
      <c r="EP42" s="153" t="e">
        <f ca="1">IF(Control!$C$108=1,IF(AND(Control!$B$18=1,$EB42&gt;=Control!$B$19),$EK42,IF(AND(Control!$B$18=2,$AW42=1),$EK42,0)))</f>
        <v>#N/A</v>
      </c>
      <c r="EQ42" s="153" t="e">
        <f t="shared" ca="1" si="145"/>
        <v>#N/A</v>
      </c>
      <c r="ER42" s="153" t="e">
        <f t="shared" ca="1" si="231"/>
        <v>#N/A</v>
      </c>
      <c r="ES42" s="153" t="e">
        <f t="shared" ca="1" si="196"/>
        <v>#N/A</v>
      </c>
      <c r="ET42" s="153" t="e">
        <f t="shared" ca="1" si="197"/>
        <v>#N/A</v>
      </c>
      <c r="EU42" s="153" t="e">
        <f t="shared" ca="1" si="198"/>
        <v>#N/A</v>
      </c>
      <c r="EV42" s="153" t="e">
        <f t="shared" ca="1" si="146"/>
        <v>#N/A</v>
      </c>
      <c r="EW42" s="153" t="e">
        <f t="shared" ca="1" si="218"/>
        <v>#N/A</v>
      </c>
      <c r="EX42" s="153" t="e">
        <f t="shared" ca="1" si="26"/>
        <v>#N/A</v>
      </c>
      <c r="EY42" s="157" t="e">
        <f t="shared" ca="1" si="147"/>
        <v>#DIV/0!</v>
      </c>
      <c r="EZ42" s="154" t="e">
        <f t="shared" ca="1" si="27"/>
        <v>#DIV/0!</v>
      </c>
      <c r="FA42" s="153" t="e">
        <f t="shared" ca="1" si="199"/>
        <v>#N/A</v>
      </c>
      <c r="FB42" s="153" t="e">
        <f t="shared" ca="1" si="28"/>
        <v>#N/A</v>
      </c>
      <c r="FC42" s="193" t="e">
        <f t="shared" ca="1" si="29"/>
        <v>#N/A</v>
      </c>
      <c r="FD42" s="158" t="e">
        <f t="shared" ca="1" si="200"/>
        <v>#N/A</v>
      </c>
      <c r="FE42" s="158" t="e">
        <f t="shared" ca="1" si="148"/>
        <v>#N/A</v>
      </c>
      <c r="FF42" s="159" t="e">
        <f t="shared" ca="1" si="30"/>
        <v>#N/A</v>
      </c>
      <c r="FG42" s="160" t="e">
        <f t="shared" ca="1" si="149"/>
        <v>#N/A</v>
      </c>
      <c r="FH42" s="158" t="e">
        <f t="shared" ca="1" si="150"/>
        <v>#N/A</v>
      </c>
      <c r="FI42" s="159" t="e">
        <f t="shared" ca="1" si="31"/>
        <v>#N/A</v>
      </c>
      <c r="FJ42" s="160" t="e">
        <f t="shared" ca="1" si="151"/>
        <v>#N/A</v>
      </c>
      <c r="FK42" s="160" t="e">
        <f t="shared" ca="1" si="32"/>
        <v>#N/A</v>
      </c>
      <c r="FL42" s="160" t="e">
        <f t="shared" ca="1" si="229"/>
        <v>#N/A</v>
      </c>
      <c r="FM42" s="160" t="e">
        <f t="shared" ca="1" si="33"/>
        <v>#N/A</v>
      </c>
      <c r="FN42" s="158">
        <f t="shared" ca="1" si="219"/>
        <v>0.01</v>
      </c>
      <c r="FO42" s="160">
        <f>Control!$C$101</f>
        <v>50</v>
      </c>
      <c r="FP42" s="150" t="e">
        <f t="shared" ca="1" si="34"/>
        <v>#N/A</v>
      </c>
      <c r="FQ42" s="150" t="e">
        <f ca="1">MAX(0,(Control!$C$112*(($DK42-Control!$C$97)/Control!$C$97)))</f>
        <v>#N/A</v>
      </c>
      <c r="FR42" s="150" t="e">
        <f ca="1">(1-$NT42)*Control!$C$113</f>
        <v>#DIV/0!</v>
      </c>
      <c r="FS42" s="198" t="e">
        <f t="shared" ca="1" si="35"/>
        <v>#N/A</v>
      </c>
      <c r="FT42" s="161">
        <f t="shared" ca="1" si="152"/>
        <v>37</v>
      </c>
      <c r="FU42" s="162" t="e">
        <f ca="1">IF(Control!$B$34=1,VLOOKUP($CP42,Control!$B$86:$G$91,6),Control!$B$35)</f>
        <v>#N/A</v>
      </c>
      <c r="FV42" s="162" t="e">
        <f t="shared" ca="1" si="36"/>
        <v>#DIV/0!</v>
      </c>
      <c r="FW42" s="162" t="e">
        <f ca="1">IF(Control!$B$31=1,$FU42*$FV42,  $FU42)</f>
        <v>#N/A</v>
      </c>
      <c r="FX42" s="162" t="e">
        <f ca="1">IF(Control!$B$34=1,VLOOKUP($CP42,Control!$B$86:$G$91,3),Control!$B$36)</f>
        <v>#N/A</v>
      </c>
      <c r="FY42" s="162" t="e">
        <f t="shared" ca="1" si="37"/>
        <v>#N/A</v>
      </c>
      <c r="FZ42" s="162" t="e">
        <f ca="1">IF(Control!$B$34=1,VLOOKUP($CP42,Control!$B$86:$G$91,4),Control!$B$37)</f>
        <v>#N/A</v>
      </c>
      <c r="GA42" s="162" t="e">
        <f t="shared" ca="1" si="38"/>
        <v>#N/A</v>
      </c>
      <c r="GB42" s="162" t="e">
        <f ca="1">IF(Control!$B$34=1,VLOOKUP($CP42,Control!$B$86:$G$91,5),Control!$B$38)</f>
        <v>#N/A</v>
      </c>
      <c r="GC42" s="162" t="e">
        <f t="shared" ca="1" si="153"/>
        <v>#N/A</v>
      </c>
      <c r="GD42" s="162">
        <f t="shared" ca="1" si="39"/>
        <v>1</v>
      </c>
      <c r="GE42" s="162">
        <f t="shared" ca="1" si="40"/>
        <v>1</v>
      </c>
      <c r="GF42" s="162">
        <f ca="1">IF(AND(Control!$C$104=1, Control!$C$62="F"),$GE42,1)</f>
        <v>1</v>
      </c>
      <c r="GG42" s="162" t="e">
        <f ca="1">IF(Control!$B$16=40,0,IF(AND(Control!$B$16&gt;40,Control!$B$16&lt;=360),(Control!$B$16-40)*((1-0)/(360-40)),IF(AND(Control!$B$16&gt;360,Control!$B$16&lt;=720),(1+(Control!$B$16-360)*((1.25-1)/(720-360))),IF(AND(Control!$B$16&gt;720,Control!$B$16&lt;=1000),(1.25+(Control!$B$16-720)*((1.35-1.25)/(1000-720))),IF(AND(Control!$B$16&gt;1000,Control!$B$16&lt;=2000),(1.35+(Control!$B$16-1000)*0))))))</f>
        <v>#N/A</v>
      </c>
      <c r="GH42" s="162" t="e">
        <f t="shared" ca="1" si="41"/>
        <v>#N/A</v>
      </c>
      <c r="GI42" s="162">
        <f t="shared" ca="1" si="201"/>
        <v>0</v>
      </c>
      <c r="GJ42" s="162">
        <f t="shared" ca="1" si="42"/>
        <v>0</v>
      </c>
      <c r="GK42" s="162">
        <f t="shared" ca="1" si="220"/>
        <v>1</v>
      </c>
      <c r="GL42" s="162">
        <f t="shared" ca="1" si="43"/>
        <v>1</v>
      </c>
      <c r="GM42" s="162" t="e">
        <f ca="1">MAX(0,MIN(1,1-Control!$C$156*(1.0001-$KH42)^2))</f>
        <v>#N/A</v>
      </c>
      <c r="GN42" s="162" t="e">
        <f ca="1">IF(Control!$B$26=1,$KU42,$KX42)</f>
        <v>#N/A</v>
      </c>
      <c r="GO42" s="162" t="e">
        <f ca="1">IF($CP42&lt;=60,Control!$C$105,IF($CP42&gt;=90,Control!$C$106,Control!$C$105+($CP42-60)*((Control!$C$106-Control!$C$105)/(90-60))))</f>
        <v>#N/A</v>
      </c>
      <c r="GP42" s="162" t="e">
        <f t="shared" ca="1" si="154"/>
        <v>#N/A</v>
      </c>
      <c r="GQ42" s="162" t="e">
        <f t="shared" ca="1" si="155"/>
        <v>#N/A</v>
      </c>
      <c r="GR42" s="163" t="e">
        <f t="shared" ca="1" si="44"/>
        <v>#DIV/0!</v>
      </c>
      <c r="GS42" s="162" t="e">
        <f t="shared" ca="1" si="45"/>
        <v>#DIV/0!</v>
      </c>
      <c r="GT42" s="164" t="e">
        <f t="shared" ca="1" si="156"/>
        <v>#N/A</v>
      </c>
      <c r="GU42" s="162" t="e">
        <f t="shared" ca="1" si="157"/>
        <v>#N/A</v>
      </c>
      <c r="GV42" s="162" t="e">
        <f t="shared" ca="1" si="46"/>
        <v>#N/A</v>
      </c>
      <c r="GW42" s="162" t="e">
        <f t="shared" ca="1" si="221"/>
        <v>#DIV/0!</v>
      </c>
      <c r="GX42" s="162" t="e">
        <f t="shared" ca="1" si="228"/>
        <v>#DIV/0!</v>
      </c>
      <c r="GY42" s="162" t="e">
        <f t="shared" ca="1" si="158"/>
        <v>#DIV/0!</v>
      </c>
      <c r="GZ42" s="165" t="e">
        <f t="shared" ca="1" si="159"/>
        <v>#N/A</v>
      </c>
      <c r="HA42" s="162" t="e">
        <f ca="1">IF(Control!$C$114=1, $DI42*$FS42, 0)</f>
        <v>#N/A</v>
      </c>
      <c r="HB42" s="162" t="e">
        <f ca="1">$FA42/Control!$C$64</f>
        <v>#N/A</v>
      </c>
      <c r="HC42" s="162" t="e">
        <f t="shared" ca="1" si="222"/>
        <v>#DIV/0!</v>
      </c>
      <c r="HD42" s="162">
        <f ca="1">-ASIN(SIN(23.45*Control!$C$139)*COS(2*Control!$C$138*($AH42+10)/365))</f>
        <v>-0.2782294466650258</v>
      </c>
      <c r="HE42" s="165">
        <f t="shared" ca="1" si="160"/>
        <v>0</v>
      </c>
      <c r="HF42" s="166">
        <f ca="1">IF(AND(Control!$C$61="T",$HE42&gt;=Control!$C$103,Control!$C$114=0),$AH42,Control!$C$59)</f>
        <v>1</v>
      </c>
      <c r="HG42" s="166">
        <f ca="1">IF(AND(Control!$C$61="T",$HE42&gt;=Control!$C$103,Control!$C$114=0),$HF42,Control!$C$59)</f>
        <v>1</v>
      </c>
      <c r="HH42" s="165">
        <f ca="1">IF(AND(OR(Control!$C$60&lt;=0, $AH42= Control!$C$59, Control!$C$60 &gt;0, $AH42 = Control!$C$60)), Control!$C$59, IF(Control!$C$60&gt;0, 0))</f>
        <v>1</v>
      </c>
      <c r="HI42" s="165">
        <f ca="1">IF(AND(OR(Control!$C$60&lt;=0, $AH42= Control!$C$59, Control!$C$60 &gt;0, $AH42 = Control!$C$60)), Control!$C$60, IF(Control!$C$60&lt;=0, 0))</f>
        <v>0</v>
      </c>
      <c r="HJ42" s="166">
        <f ca="1">IF(AND(Control!$C$62="F",$CV42&gt;=Control!$C$102),$AH42,0)</f>
        <v>0</v>
      </c>
      <c r="HK42" s="165" t="e">
        <f t="shared" ca="1" si="202"/>
        <v>#N/A</v>
      </c>
      <c r="HL42" s="166">
        <f ca="1">IF(AND(Control!$C$61="T",$HE42&gt;=Control!$C$103,Control!$C$114=0),$HF42,0)</f>
        <v>0</v>
      </c>
      <c r="HM42" s="201" t="e">
        <f t="shared" ca="1" si="47"/>
        <v>#DIV/0!</v>
      </c>
      <c r="HN42" s="215">
        <f t="shared" ca="1" si="161"/>
        <v>37</v>
      </c>
      <c r="HO42" s="216" t="e">
        <f ca="1">IF(AND($CP42&gt;=0, $CP42&lt;=90), Control!$C$152, Control!$C$152)</f>
        <v>#N/A</v>
      </c>
      <c r="HP42" s="216" t="e">
        <f t="shared" ca="1" si="48"/>
        <v>#N/A</v>
      </c>
      <c r="HQ42" s="217" t="e">
        <f ca="1">IF(OR(Control!$B$26=1,Control!$B$26=2),$KV42,$KS42)</f>
        <v>#DIV/0!</v>
      </c>
      <c r="HR42" s="218" t="e">
        <f t="shared" ca="1" si="223"/>
        <v>#DIV/0!</v>
      </c>
      <c r="HS42" s="216" t="e">
        <f ca="1">Control!$C$154*$HP42</f>
        <v>#N/A</v>
      </c>
      <c r="HT42" s="216" t="e">
        <f ca="1">Control!$C$155*$HP42</f>
        <v>#N/A</v>
      </c>
      <c r="HU42" s="217" t="e">
        <f ca="1">Control!$C$161*$FI42</f>
        <v>#N/A</v>
      </c>
      <c r="HV42" s="218" t="e">
        <f t="shared" ca="1" si="162"/>
        <v>#N/A</v>
      </c>
      <c r="HW42" s="218" t="e">
        <f ca="1">Control!$C$160*$FF42+$IP42*$EO42</f>
        <v>#N/A</v>
      </c>
      <c r="HX42" s="218" t="e">
        <f t="shared" ca="1" si="203"/>
        <v>#N/A</v>
      </c>
      <c r="HY42" s="219" t="e">
        <f ca="1">IF(Control!$C$114=1, $EB42*$FS42, 0)</f>
        <v>#N/A</v>
      </c>
      <c r="HZ42" s="91" t="e">
        <f t="shared" ca="1" si="49"/>
        <v>#N/A</v>
      </c>
      <c r="IA42" s="220" t="e">
        <f ca="1">Control!$C$153*$HO42</f>
        <v>#N/A</v>
      </c>
      <c r="IB42" s="218" t="e">
        <f t="shared" ca="1" si="50"/>
        <v>#N/A</v>
      </c>
      <c r="IC42" s="220" t="e">
        <f ca="1">Control!$C$153*$HT42</f>
        <v>#N/A</v>
      </c>
      <c r="ID42" s="218" t="e">
        <f t="shared" ca="1" si="51"/>
        <v>#N/A</v>
      </c>
      <c r="IE42" s="221" t="e">
        <f ca="1">($EB42*Control!$C$159+$EF42*Control!$C$160)/(IF($GZ42&lt;&gt;0,$GZ42,1))</f>
        <v>#N/A</v>
      </c>
      <c r="IF42" s="216" t="e">
        <f t="shared" ca="1" si="52"/>
        <v>#N/A</v>
      </c>
      <c r="IG42" s="91">
        <f ca="1">IF(OR(Control!$B$198=$AH42,Control!$B$199=$AH42, Control!$B$200=$AH42, Control!$B$201=$AH42, Control!$B$202=$AH42, Control!$B$203=$AH42, Control!$B$204=$AH42, Control!$B$205=$AH42, Control!$B$206=$AH42, Control!$B$207=$AH42), 1, 0)</f>
        <v>0</v>
      </c>
      <c r="IH42" s="91">
        <f ca="1">IF($IG42=0,0, VLOOKUP($AH42,Control!$B$198:$C$207,2))</f>
        <v>0</v>
      </c>
      <c r="II42" s="222">
        <f t="shared" ca="1" si="163"/>
        <v>0</v>
      </c>
      <c r="IJ42" s="91">
        <f>Control!$C$121</f>
        <v>0.7</v>
      </c>
      <c r="IK42" s="218">
        <f t="shared" ca="1" si="53"/>
        <v>0</v>
      </c>
      <c r="IL42" s="217" t="e">
        <f t="shared" ca="1" si="204"/>
        <v>#N/A</v>
      </c>
      <c r="IM42" s="223" t="e">
        <f ca="1">IF(AND(Control!$C$114=1,$KH42&lt;1),$EB42*Control!$C$148*(1-$KH42), 0)</f>
        <v>#N/A</v>
      </c>
      <c r="IN42" s="217" t="e">
        <f t="shared" ca="1" si="54"/>
        <v>#DIV/0!</v>
      </c>
      <c r="IO42" s="91" t="e">
        <f ca="1">MAX(0,$IL42-$EF42*Control!$C$160)</f>
        <v>#N/A</v>
      </c>
      <c r="IP42" s="220" t="e">
        <f t="shared" ca="1" si="55"/>
        <v>#N/A</v>
      </c>
      <c r="IQ42" s="217" t="e">
        <f t="shared" ca="1" si="164"/>
        <v>#N/A</v>
      </c>
      <c r="IR42" s="218" t="e">
        <f t="shared" ca="1" si="56"/>
        <v>#N/A</v>
      </c>
      <c r="IS42" s="217" t="e">
        <f ca="1">Control!$C$159*MAX(0,$FD42-$EN42)</f>
        <v>#N/A</v>
      </c>
      <c r="IT42" s="217" t="e">
        <f t="shared" ca="1" si="205"/>
        <v>#N/A</v>
      </c>
      <c r="IU42" s="217" t="e">
        <f t="shared" ca="1" si="165"/>
        <v>#N/A</v>
      </c>
      <c r="IV42" s="217" t="e">
        <f t="shared" ca="1" si="206"/>
        <v>#N/A</v>
      </c>
      <c r="IW42" s="217" t="e">
        <f ca="1">IF(OR($AW42=1,AND($AW42=0, Control!$B$18=1,$EN42&lt;&gt;0)), $IQ42-$IU42, $IQ42)</f>
        <v>#N/A</v>
      </c>
      <c r="IX42" s="218" t="e">
        <f t="shared" ca="1" si="57"/>
        <v>#N/A</v>
      </c>
      <c r="IY42" s="218" t="e">
        <f ca="1">MAX(0,$IQ42-$EB42*Control!$C$159)</f>
        <v>#N/A</v>
      </c>
      <c r="IZ42" s="218" t="e">
        <f t="shared" ca="1" si="58"/>
        <v>#N/A</v>
      </c>
      <c r="JA42" s="216" t="e">
        <f t="shared" ca="1" si="59"/>
        <v>#N/A</v>
      </c>
      <c r="JB42" s="217" t="e">
        <f t="shared" ca="1" si="60"/>
        <v>#N/A</v>
      </c>
      <c r="JC42" s="222" t="e">
        <f ca="1">MAX(Control!$C$157*$EK42-$JT42, 0)/Control!$C$162</f>
        <v>#N/A</v>
      </c>
      <c r="JD42" s="218" t="e">
        <f t="shared" ca="1" si="61"/>
        <v>#N/A</v>
      </c>
      <c r="JE42" s="218" t="e">
        <f t="shared" ca="1" si="62"/>
        <v>#N/A</v>
      </c>
      <c r="JF42" s="218" t="e">
        <f t="shared" ca="1" si="207"/>
        <v>#N/A</v>
      </c>
      <c r="JG42" s="218" t="e">
        <f t="shared" ca="1" si="63"/>
        <v>#N/A</v>
      </c>
      <c r="JH42" s="217" t="e">
        <f t="shared" ca="1" si="166"/>
        <v>#N/A</v>
      </c>
      <c r="JI42" s="217" t="e">
        <f t="shared" ca="1" si="167"/>
        <v>#N/A</v>
      </c>
      <c r="JJ42" s="217" t="e">
        <f t="shared" ca="1" si="224"/>
        <v>#N/A</v>
      </c>
      <c r="JK42" s="217" t="e">
        <f ca="1">IF(Control!$C$114=1,IF(Control!$B$24=0,MAX(0,$JI42)*$GN42/Control!$C$64,(MAX(0,MIN($JI42,$JJ42*$GN42/Control!$C$64),0))))</f>
        <v>#N/A</v>
      </c>
      <c r="JL42" s="217" t="e">
        <f ca="1">$IK42/Control!$C$64-$JK42+$HQ42</f>
        <v>#N/A</v>
      </c>
      <c r="JM42" s="217" t="e">
        <f ca="1">IF(Control!$C$114=1,($JB42/(IF($JI42&lt;&gt;0,$JI42,1)))*$JK42,0)</f>
        <v>#N/A</v>
      </c>
      <c r="JN42" s="217" t="e">
        <f ca="1">IF(Control!$C$114=1,($JG42/(IF($JI42&lt;&gt;0,$JI42,1)))*$JK42, 0)</f>
        <v>#N/A</v>
      </c>
      <c r="JO42" s="218" t="e">
        <f t="shared" ca="1" si="64"/>
        <v>#N/A</v>
      </c>
      <c r="JP42" s="218" t="e">
        <f ca="1">MIN(($IY42+$IO42)*Control!$C$151, $JF42-$EH42*Control!$C$161)</f>
        <v>#N/A</v>
      </c>
      <c r="JQ42" s="218" t="e">
        <f t="shared" ca="1" si="65"/>
        <v>#N/A</v>
      </c>
      <c r="JR42" s="217" t="e">
        <f ca="1">IF($CP42-Control!$C$150&lt;0, 0, $JQ42/Control!$C$162)</f>
        <v>#N/A</v>
      </c>
      <c r="JS42" s="218" t="e">
        <f t="shared" ca="1" si="66"/>
        <v>#N/A</v>
      </c>
      <c r="JT42" s="218" t="e">
        <f t="shared" ca="1" si="168"/>
        <v>#N/A</v>
      </c>
      <c r="JU42" s="218" t="e">
        <f t="shared" ca="1" si="67"/>
        <v>#N/A</v>
      </c>
      <c r="JV42" s="218" t="e">
        <f t="shared" ca="1" si="68"/>
        <v>#N/A</v>
      </c>
      <c r="JW42" s="216" t="e">
        <f t="shared" ca="1" si="69"/>
        <v>#N/A</v>
      </c>
      <c r="JX42" s="91" t="e">
        <f t="shared" ca="1" si="70"/>
        <v>#N/A</v>
      </c>
      <c r="JY42" s="218" t="e">
        <f t="shared" ca="1" si="71"/>
        <v>#N/A</v>
      </c>
      <c r="JZ42" s="217" t="e">
        <f ca="1">IF(Control!$C$114=1,($IZ42/(IF($JI42&lt;&gt;0,$JI42,1)))*$JK42, 0)</f>
        <v>#N/A</v>
      </c>
      <c r="KA42" s="218" t="e">
        <f t="shared" ca="1" si="225"/>
        <v>#N/A</v>
      </c>
      <c r="KB42" s="218" t="e">
        <f t="shared" ca="1" si="169"/>
        <v>#N/A</v>
      </c>
      <c r="KC42" s="218" t="e">
        <f t="shared" ca="1" si="72"/>
        <v>#N/A</v>
      </c>
      <c r="KD42" s="218" t="e">
        <f t="shared" ca="1" si="73"/>
        <v>#N/A</v>
      </c>
      <c r="KE42" s="218" t="e">
        <f t="shared" ca="1" si="74"/>
        <v>#N/A</v>
      </c>
      <c r="KF42" s="218" t="e">
        <f t="shared" ca="1" si="75"/>
        <v>#N/A</v>
      </c>
      <c r="KG42" s="216" t="e">
        <f t="shared" ca="1" si="76"/>
        <v>#N/A</v>
      </c>
      <c r="KH42" s="221" t="e">
        <f ca="1">IF(Control!$B$24=0,1,MAX(0.001,MIN(1,IF(($IF42-$IE42)&lt;&gt;0,($KG42-$IE42)/($IF42-$IE42),1))))</f>
        <v>#N/A</v>
      </c>
      <c r="KI42" s="222" t="e">
        <f ca="1">IF(Control!$C$114=1, $KI41+ $KH41, 0)</f>
        <v>#N/A</v>
      </c>
      <c r="KJ42" s="217" t="e">
        <f t="shared" ca="1" si="77"/>
        <v>#N/A</v>
      </c>
      <c r="KK42" s="218" t="e">
        <f t="shared" ca="1" si="78"/>
        <v>#N/A</v>
      </c>
      <c r="KL42" s="274" t="e">
        <f ca="1">IF(Control!$B$26=3,4000000000*EXP(-8400/($G42+273)),IF(Control!$B$26=4,4000000000*EXP(-8400/($G42+273))*($KT42),0))</f>
        <v>#DIV/0!</v>
      </c>
      <c r="KM42" s="274" t="e">
        <f ca="1">IF(Control!$B$26=3,5600000000000*EXP(-9800/($G42+273)),IF(Control!$B$26=4,5600000000000*EXP(-9800/($G42+273))*$KT42,0))</f>
        <v>#DIV/0!</v>
      </c>
      <c r="KN42" s="454" t="e">
        <f t="shared" ca="1" si="170"/>
        <v>#DIV/0!</v>
      </c>
      <c r="KO42" s="274" t="e">
        <f t="shared" ca="1" si="171"/>
        <v>#DIV/0!</v>
      </c>
      <c r="KP42" s="454" t="e">
        <f t="shared" ca="1" si="79"/>
        <v>#DIV/0!</v>
      </c>
      <c r="KQ42" s="454" t="e">
        <f t="shared" ca="1" si="80"/>
        <v>#DIV/0!</v>
      </c>
      <c r="KR42" s="454" t="e">
        <f t="shared" ca="1" si="81"/>
        <v>#DIV/0!</v>
      </c>
      <c r="KS42" s="454" t="e">
        <f t="shared" ca="1" si="82"/>
        <v>#DIV/0!</v>
      </c>
      <c r="KT42" s="455" t="e">
        <f t="shared" ca="1" si="83"/>
        <v>#DIV/0!</v>
      </c>
      <c r="KU42" s="456" t="e">
        <f ca="1">IF($CP42-Control!$C$149&lt;0, IF($NT42-0.01&lt;0,0,1),0)</f>
        <v>#N/A</v>
      </c>
      <c r="KV42" s="456" t="e">
        <f ca="1">IF(Control!$C$114=1,MAX(0,MIN(Control!$C$125*$KW42*$GN42,$KW42)))</f>
        <v>#DIV/0!</v>
      </c>
      <c r="KW42" s="456" t="e">
        <f t="shared" ca="1" si="208"/>
        <v>#DIV/0!</v>
      </c>
      <c r="KX42" s="457" t="e">
        <f ca="1">IF($CP42-Control!$C$149&lt;0, IF($MR42-$OM42&lt;0,0,1),0)</f>
        <v>#N/A</v>
      </c>
      <c r="KY42" s="167">
        <f t="shared" ca="1" si="172"/>
        <v>37</v>
      </c>
      <c r="KZ42" s="168">
        <f ca="1">1370*(1+0.033*COS(2*Control!$C$138*$AH42/365))</f>
        <v>1406.3455431077928</v>
      </c>
      <c r="LA42" s="169">
        <f t="shared" ca="1" si="173"/>
        <v>1.0265296227404832</v>
      </c>
      <c r="LB42" s="169">
        <f t="shared" ca="1" si="174"/>
        <v>-0.27970897097978542</v>
      </c>
      <c r="LC42" s="169">
        <f ca="1">ACOS(-TAN((2*Control!$B$8/360))*TAN(Calculations!$LB42))</f>
        <v>1.4853238873252059</v>
      </c>
      <c r="LD42" s="169">
        <f ca="1">((24*60)/PI())*0.082*$LA42*(($LC42*SIN(Control!$B$8*2*PI()/360))*SIN($LB42)+COS(Control!$B$8*2*PI()/360)*COS($LB42)*SIN($LC42))</f>
        <v>10.280129231749548</v>
      </c>
      <c r="LE42" s="170">
        <f t="shared" ca="1" si="84"/>
        <v>11.229516261342768</v>
      </c>
      <c r="LF42" s="170">
        <f ca="1">SIN(Control!$C$139*Control!$B$8)*SIN($HD42)</f>
        <v>-0.21643036208591954</v>
      </c>
      <c r="LG42" s="170">
        <f ca="1">COS(Control!$C$139*Control!$B$8)*COS($HD42)</f>
        <v>0.59198351800674609</v>
      </c>
      <c r="LH42" s="170">
        <f ca="1">12*(1+2*ASIN(MAX(-1,MIN(1,$LF42/$LG42))/Control!$C$138))</f>
        <v>9.2006699589454684</v>
      </c>
      <c r="LI42" s="170">
        <f ca="1">12*(1+2*ASIN(MAX(-1,MIN(1,(-SIN(-4*Control!$C$139)+$LF42)/$LG42))/Control!$C$138))</f>
        <v>10.105239583799982</v>
      </c>
      <c r="LJ42" s="168">
        <f ca="1">3600*($LH42*$LF42+24*$LG42*SQRT(1-$LK42*$LK42)/Control!$C$138)</f>
        <v>7984.8912782326461</v>
      </c>
      <c r="LK42" s="170">
        <f t="shared" ca="1" si="85"/>
        <v>-0.36560200664818704</v>
      </c>
      <c r="LL42" s="170">
        <f t="shared" ca="1" si="86"/>
        <v>0</v>
      </c>
      <c r="LM42" s="171">
        <f ca="1">Control!$C$145*$AB42</f>
        <v>6.6660906138995932E-2</v>
      </c>
      <c r="LN42" s="170">
        <f t="shared" ca="1" si="175"/>
        <v>0.54</v>
      </c>
      <c r="LO42" s="170">
        <f t="shared" ca="1" si="87"/>
        <v>0</v>
      </c>
      <c r="LP42" s="170">
        <f ca="1">Control!$C$140*((($D42+273.16)^4+($E42+273.16)^4)/2)*(0.34-0.14*SQRT($Y42))*(1.35*$AQ42/(0.75*$LD42)-0.35)</f>
        <v>-3.2464704755046001</v>
      </c>
      <c r="LQ42" s="170">
        <f ca="1">Control!$C$140*($G42+273)^4*(0.56-0.079*SQRT($Y42*10))*(0.1+0.9*$LO42)</f>
        <v>1.5241745131704001</v>
      </c>
      <c r="LR42" s="170">
        <f ca="1">$AQ42*(1-Control!$C$142)-$LQ42</f>
        <v>-1.5241745131704001</v>
      </c>
      <c r="LS42" s="170">
        <f ca="1">$AQ42*(1-Control!$C$143)-$LQ42</f>
        <v>-1.5241745131704001</v>
      </c>
      <c r="LT42" s="170">
        <f ca="1">$AQ42*(1-Control!$C$144)-$LQ42</f>
        <v>-1.5241745131704001</v>
      </c>
      <c r="LU42" s="169">
        <f ca="1">(1-Control!$C$144)*AQ42-LP42</f>
        <v>3.2464704755046001</v>
      </c>
      <c r="LV42" s="172">
        <f t="shared" ca="1" si="88"/>
        <v>0.79430000000000012</v>
      </c>
      <c r="LW42" s="170">
        <f t="shared" ca="1" si="89"/>
        <v>1.5886000000000002</v>
      </c>
      <c r="LX42" s="170">
        <f ca="1">($AC42*($LR42/Control!$C$141)+$LM42*$LV42)/($AC42+$LM42)</f>
        <v>0.23530094218323697</v>
      </c>
      <c r="LY42" s="170">
        <f ca="1">($AC42*($LS42/Control!$C$141)+$LM42*$LV42)/($AC42+$LM42)</f>
        <v>0.23530094218323697</v>
      </c>
      <c r="LZ42" s="170">
        <f t="shared" ca="1" si="90"/>
        <v>0.23530094218323697</v>
      </c>
      <c r="MA42" s="170">
        <f t="shared" ca="1" si="91"/>
        <v>0.23530094218323697</v>
      </c>
      <c r="MB42" s="170" t="e">
        <f t="shared" ca="1" si="92"/>
        <v>#N/A</v>
      </c>
      <c r="MC42" s="170">
        <f t="shared" ca="1" si="176"/>
        <v>0.6018</v>
      </c>
      <c r="MD42" s="170">
        <f t="shared" ca="1" si="93"/>
        <v>0.52989392535414004</v>
      </c>
      <c r="ME42" s="170">
        <f ca="1">($AC42*($LT42/Control!$C$141)+$LM42*$LW42)/($AC42+$LM42)</f>
        <v>0.71612369323045078</v>
      </c>
      <c r="MF42" s="170" t="e">
        <f ca="1">IF(Control!$B$16&gt;=1000,0.92,IF(AND(720&lt;=Control!$B$16,1000&gt;Control!$B$16),(0.95+(Control!$B$16-720)*((0.92-0.95)/(1000-720))),IF(AND(360&lt;=Control!$B$16,720&gt;Control!$B$16),(1+(Control!$B$16-360)*((0.95-1)/(720-360))),IF(AND(40&lt;=Control!$B$16,360&gt;Control!$B$16),(1.05+(Control!$B$16-40)*((1.05-1)/(360-40)))))))</f>
        <v>#N/A</v>
      </c>
      <c r="MG42" s="170">
        <f t="shared" ca="1" si="94"/>
        <v>0.71612369323045078</v>
      </c>
      <c r="MH42" s="170" t="e">
        <f t="shared" ca="1" si="230"/>
        <v>#N/A</v>
      </c>
      <c r="MI42" s="170" t="e">
        <f t="shared" ca="1" si="230"/>
        <v>#N/A</v>
      </c>
      <c r="MJ42" s="170" t="e">
        <f ca="1">MAX(0.0001, Control!$C$132*$MI42*$DL42)</f>
        <v>#N/A</v>
      </c>
      <c r="MK42" s="170">
        <f ca="1">1/(0.76+1.5*($MG42/10))-(5-Control!$C$110)*0.1</f>
        <v>1.002845988140797</v>
      </c>
      <c r="ML42" s="173">
        <f ca="1">IF(Control!$C$110&lt;3,$MK42+($MG42-0.6)/(Control!$C$110*(Control!$C$110+3)), MAX(0.1, MIN(0.95,$MK42)))</f>
        <v>0.95</v>
      </c>
      <c r="MM42" s="173">
        <f ca="1">IF(Control!$C$110&lt;3,$MK42+(($MI42/10)-0.6)/(Control!$C$110*(Control!$C$110+3)), MAX(0.1, MIN(0.95,$MK42)))</f>
        <v>0.95</v>
      </c>
      <c r="MN42" s="173">
        <f ca="1">(1-$MM42)*(Control!$C$128-Control!$C$127)+Control!$C$127</f>
        <v>0.16</v>
      </c>
      <c r="MO42" s="170" t="e">
        <f ca="1">MAX(0,MIN(1,($MS42-Control!$C$127)/($MN42-Control!$C$127)))</f>
        <v>#DIV/0!</v>
      </c>
      <c r="MP42" s="173" t="e">
        <f ca="1">1/(0.76+1.5*$MI42)-(5-Control!$C$110)*0.1</f>
        <v>#N/A</v>
      </c>
      <c r="MQ42" s="172" t="e">
        <f t="shared" ca="1" si="209"/>
        <v>#DIV/0!</v>
      </c>
      <c r="MR42" s="168" t="e">
        <f t="shared" ca="1" si="226"/>
        <v>#DIV/0!</v>
      </c>
      <c r="MS42" s="173" t="e">
        <f ca="1">MAX(Control!$C$127, MIN(Control!$C$135, $MR42/MAX(0.0001,$CY42)))</f>
        <v>#DIV/0!</v>
      </c>
      <c r="MT42" s="168" t="e">
        <f ca="1">(Control!$C$128-$MS42)*Control!$C$74</f>
        <v>#DIV/0!</v>
      </c>
      <c r="MU42" s="168" t="e">
        <f ca="1">(Control!$C$135-$MS42)*Control!$C$74</f>
        <v>#DIV/0!</v>
      </c>
      <c r="MV42" s="168" t="e">
        <f t="shared" ca="1" si="210"/>
        <v>#DIV/0!</v>
      </c>
      <c r="MW42" s="168" t="e">
        <f t="shared" ca="1" si="177"/>
        <v>#DIV/0!</v>
      </c>
      <c r="MX42" s="171" t="e">
        <f ca="1">MAX(Control!$C$127, MIN(Control!$C$135, $MW42/MAX(0.0001,Control!$C$119-$CY42)))</f>
        <v>#DIV/0!</v>
      </c>
      <c r="MY42" s="54" t="e">
        <f ca="1">IF(Control!$C$114=1, $CX42*$MX42, 0)</f>
        <v>#DIV/0!</v>
      </c>
      <c r="MZ42" s="54" t="e">
        <f t="shared" ca="1" si="178"/>
        <v>#N/A</v>
      </c>
      <c r="NA42" s="168" t="e">
        <f ca="1">(Control!$C$128-$MX42)*(Control!$C$119-Control!$C$74)</f>
        <v>#DIV/0!</v>
      </c>
      <c r="NB42" s="168" t="e">
        <f ca="1">(Control!$C$135-$MX42)*(Control!$C$119-Control!$C$74)</f>
        <v>#DIV/0!</v>
      </c>
      <c r="NC42" s="174" t="e">
        <f t="shared" ca="1" si="179"/>
        <v>#DIV/0!</v>
      </c>
      <c r="ND42" s="54">
        <f ca="1">IF(Control!$C$58=2, IF(OR(Control!$B$218=$AH42,Control!$B$219=$AH42, Control!$B$220=$AH42, Control!$B$221=$AH42, Control!$B$222=$AH42, Control!$B$223=$AH42, Control!$B$224=$AH42, Control!$B$225=$AH42, Control!$B$226=$AH42, Control!$B$227=$AH42, Control!$B$228=$AH42), 1, 0), 0)</f>
        <v>0</v>
      </c>
      <c r="NE42" s="54">
        <f ca="1">IF($ND42=0,0, VLOOKUP($AH42,Control!$B$218:$C$228,2))</f>
        <v>0</v>
      </c>
      <c r="NF42" s="168" t="e">
        <f ca="1">$CY42*(Control!$C$128-Control!$C$127)</f>
        <v>#N/A</v>
      </c>
      <c r="NG42" s="54" t="e">
        <f ca="1">IF(Control!$C$58=2, $NI41-$NJ41, 0)</f>
        <v>#DIV/0!</v>
      </c>
      <c r="NH42" s="54" t="e">
        <f ca="1">IF(AND(Control!$C$58=1, $MS41&lt;= ($MN41+0.02), $I41&lt;10), 0, IF(Control!$C$58=2, $NG41, 0))</f>
        <v>#DIV/0!</v>
      </c>
      <c r="NI42" s="54" t="e">
        <f ca="1">IF(Control!$C$58=2, $NE42+$NH42,0)</f>
        <v>#DIV/0!</v>
      </c>
      <c r="NJ42" s="54" t="e">
        <f ca="1">IF(AND(Control!$C$58=1, $MS42&lt;= ($MN42+0.02), $I42&lt;10), MAX(0, MIN(10, 0.7*($NF42-$MV42))), IF(Control!$C$58=2, MIN(10,$NI42),0))</f>
        <v>#DIV/0!</v>
      </c>
      <c r="NK42" s="54" t="e">
        <f t="shared" ca="1" si="96"/>
        <v>#DIV/0!</v>
      </c>
      <c r="NL42" s="173" t="e">
        <f ca="1">(1-Control!$C$73)*$I42+$NJ42</f>
        <v>#DIV/0!</v>
      </c>
      <c r="NM42" s="172" t="e">
        <f ca="1">IF($NL42&lt;0.5, $MB42* MAX(0, MIN(1, (SQRT($NC42)-SQRT($NC42-1))*Control!$C$71)),0)</f>
        <v>#DIV/0!</v>
      </c>
      <c r="NN42" s="170" t="e">
        <f ca="1">IF($NL42&gt;=5, $MB42, MAX(0,MIN($MB42, $NM42+$NL42,($MS42-Control!$C$129))))</f>
        <v>#DIV/0!</v>
      </c>
      <c r="NO42" s="54">
        <f>IF(Control!$C$133&lt;&gt;1, Control!$C$135-Control!$C$131, 0)</f>
        <v>0.38</v>
      </c>
      <c r="NP42" s="54" t="e">
        <f t="shared" ca="1" si="97"/>
        <v>#DIV/0!</v>
      </c>
      <c r="NQ42" s="173" t="e">
        <f ca="1">MAX(0,MIN(1,(Control!$C$135-$MS42)/(Control!$C$135-$NO42)))</f>
        <v>#DIV/0!</v>
      </c>
      <c r="NR42" s="170" t="e">
        <f ca="1">IF(Control!$C$133&lt;&gt;1, $NQ42+((1-$NP42/4)*(1-$NQ42)),1)</f>
        <v>#DIV/0!</v>
      </c>
      <c r="NS42" s="170" t="e">
        <f ca="1">IF(Control!$B$31=0,$MJ42,MAX(0,MIN($MV42,$MO42*$NR42*$MJ42)))</f>
        <v>#DIV/0!</v>
      </c>
      <c r="NT42" s="170" t="e">
        <f t="shared" ca="1" si="227"/>
        <v>#DIV/0!</v>
      </c>
      <c r="NU42" s="170" t="e">
        <f t="shared" ca="1" si="180"/>
        <v>#N/A</v>
      </c>
      <c r="NV42" s="170" t="e">
        <f t="shared" ca="1" si="98"/>
        <v>#N/A</v>
      </c>
      <c r="NW42" s="175" t="e">
        <f t="shared" ca="1" si="99"/>
        <v>#DIV/0!</v>
      </c>
      <c r="NX42" s="170" t="e">
        <f ca="1">MIN(Control!$C$72+$MU42, $NW42)</f>
        <v>#DIV/0!</v>
      </c>
      <c r="NY42" s="170" t="e">
        <f ca="1">IF($MT42&lt;=$NX42,MIN(Control!$C$72+$NB42,$NX42-$MT42),0)</f>
        <v>#DIV/0!</v>
      </c>
      <c r="NZ42" s="54" t="e">
        <f ca="1">IF(Control!$C$114=1,  $CX42*($MX42-Control!$C$127), 0)</f>
        <v>#DIV/0!</v>
      </c>
      <c r="OA42" s="170" t="e">
        <f t="shared" ca="1" si="181"/>
        <v>#DIV/0!</v>
      </c>
      <c r="OB42" s="170" t="e">
        <f ca="1">IF($NA42 &lt;=$NY42, MIN(Control!$C$72, $NY42-$NA42), 0)</f>
        <v>#DIV/0!</v>
      </c>
      <c r="OC42" s="168" t="e">
        <f t="shared" ca="1" si="100"/>
        <v>#DIV/0!</v>
      </c>
      <c r="OD42" s="168" t="e">
        <f t="shared" ca="1" si="182"/>
        <v>#DIV/0!</v>
      </c>
      <c r="OE42" s="170">
        <f ca="1">Control!$C$73*$I42</f>
        <v>0</v>
      </c>
      <c r="OF42" s="176" t="e">
        <f t="shared" ca="1" si="101"/>
        <v>#DIV/0!</v>
      </c>
      <c r="OG42" s="168" t="e">
        <f t="shared" ca="1" si="102"/>
        <v>#DIV/0!</v>
      </c>
      <c r="OH42" s="168" t="e">
        <f t="shared" ca="1" si="103"/>
        <v>#DIV/0!</v>
      </c>
      <c r="OI42" s="168" t="e">
        <f t="shared" ca="1" si="104"/>
        <v>#DIV/0!</v>
      </c>
      <c r="OJ42" s="168" t="e">
        <f t="shared" ca="1" si="105"/>
        <v>#DIV/0!</v>
      </c>
      <c r="OK42" s="204" t="e">
        <f t="shared" ca="1" si="183"/>
        <v>#DIV/0!</v>
      </c>
      <c r="OL42" s="177">
        <f>Control!$C$127</f>
        <v>0.15</v>
      </c>
      <c r="OM42" s="182" t="e">
        <f t="shared" ca="1" si="106"/>
        <v>#N/A</v>
      </c>
      <c r="ON42" s="177">
        <f>Control!$C$128</f>
        <v>0.35</v>
      </c>
      <c r="OO42" s="182" t="e">
        <f t="shared" ca="1" si="107"/>
        <v>#N/A</v>
      </c>
      <c r="OP42" s="138">
        <f t="shared" ca="1" si="184"/>
        <v>0</v>
      </c>
      <c r="OQ42" s="138" t="e">
        <f t="shared" ca="1" si="211"/>
        <v>#DIV/0!</v>
      </c>
      <c r="OR42" s="138" t="e">
        <f t="shared" ca="1" si="185"/>
        <v>#DIV/0!</v>
      </c>
      <c r="OS42" s="137" t="e">
        <f t="shared" ca="1" si="212"/>
        <v>#DIV/0!</v>
      </c>
      <c r="OT42" s="139" t="e">
        <f t="shared" ca="1" si="213"/>
        <v>#DIV/0!</v>
      </c>
      <c r="OU42" s="138" t="e">
        <f t="shared" ca="1" si="214"/>
        <v>#N/A</v>
      </c>
      <c r="OV42" s="138" t="e">
        <f t="shared" ca="1" si="215"/>
        <v>#DIV/0!</v>
      </c>
      <c r="OW42" s="138" t="e">
        <f t="shared" ca="1" si="186"/>
        <v>#DIV/0!</v>
      </c>
      <c r="OX42" s="138" t="e">
        <f t="shared" ca="1" si="187"/>
        <v>#DIV/0!</v>
      </c>
      <c r="OY42" s="138" t="e">
        <f t="shared" ca="1" si="188"/>
        <v>#DIV/0!</v>
      </c>
      <c r="OZ42" s="138" t="e">
        <f t="shared" ca="1" si="108"/>
        <v>#DIV/0!</v>
      </c>
      <c r="PA42" s="138" t="e">
        <f t="shared" ca="1" si="109"/>
        <v>#DIV/0!</v>
      </c>
      <c r="PB42" s="55">
        <f>IF(Control!$C$61="T", IF(Control!$C$65="F", IF($AH$6-Control!$C$60&lt;0,0,1), IF(365+$AH$6-Control!$C$60&lt;0,0,1)),0)</f>
        <v>0</v>
      </c>
      <c r="PC42" s="55">
        <f ca="1">IF(Control!$C$65="F", IF($AH$6-$HF42&lt;0,0,1), IF(365+$AH$6-$HF42&lt;0,0,1))</f>
        <v>1</v>
      </c>
      <c r="PD42" s="444">
        <f>Control!$C$118</f>
        <v>1500</v>
      </c>
      <c r="PE42" s="180" t="e">
        <f t="shared" ca="1" si="110"/>
        <v>#N/A</v>
      </c>
      <c r="PF42" s="445">
        <f t="shared" ca="1" si="189"/>
        <v>0.71612369323045078</v>
      </c>
      <c r="PT42" s="186"/>
      <c r="PU42" s="186"/>
      <c r="PV42" s="94"/>
      <c r="PW42" s="94"/>
      <c r="PX42" s="94"/>
      <c r="PY42" s="94"/>
      <c r="PZ42" s="94"/>
      <c r="QA42" s="94"/>
      <c r="QB42" s="94"/>
      <c r="QC42" s="94"/>
      <c r="QD42" s="94"/>
      <c r="QE42" s="94"/>
      <c r="QF42" s="94"/>
      <c r="QG42" s="94"/>
      <c r="QH42" s="94"/>
      <c r="QI42" s="94"/>
      <c r="QJ42" s="94"/>
      <c r="QK42" s="94"/>
      <c r="QL42" s="94"/>
      <c r="QM42" s="94"/>
      <c r="QN42" s="94"/>
      <c r="QO42" s="94"/>
      <c r="QP42" s="94"/>
    </row>
    <row r="43" spans="1:458" s="2" customFormat="1" x14ac:dyDescent="0.2">
      <c r="A43" s="395">
        <v>7</v>
      </c>
      <c r="B43" s="396">
        <v>2</v>
      </c>
      <c r="C43" s="387">
        <f ca="1">Weather_data!$B42</f>
        <v>0</v>
      </c>
      <c r="D43" s="388">
        <f ca="1">Weather_data!$F42</f>
        <v>0</v>
      </c>
      <c r="E43" s="388">
        <f ca="1">Weather_data!$E42</f>
        <v>0</v>
      </c>
      <c r="F43" s="388">
        <f t="shared" ca="1" si="111"/>
        <v>0</v>
      </c>
      <c r="G43" s="388">
        <f ca="1">AVERAGE($D43:$E43)+Control!$B$9</f>
        <v>0</v>
      </c>
      <c r="H43" s="388">
        <f ca="1">Weather_data!$G42</f>
        <v>0</v>
      </c>
      <c r="I43" s="388">
        <f ca="1">Weather_data!$I42</f>
        <v>0</v>
      </c>
      <c r="J43" s="388">
        <f ca="1">Weather_data!$H42</f>
        <v>0</v>
      </c>
      <c r="K43" s="389">
        <f ca="1">Weather_data!$D42</f>
        <v>0</v>
      </c>
      <c r="L43" s="388" t="e">
        <f t="shared" ca="1" si="112"/>
        <v>#N/A</v>
      </c>
      <c r="M43" s="388" t="e">
        <f t="shared" ca="1" si="0"/>
        <v>#N/A</v>
      </c>
      <c r="N43" s="388">
        <f t="shared" ca="1" si="1"/>
        <v>-1.0137779795222627E-2</v>
      </c>
      <c r="O43" s="388">
        <f t="shared" ca="1" si="113"/>
        <v>0.10137779795222626</v>
      </c>
      <c r="P43" s="390">
        <v>3</v>
      </c>
      <c r="Q43" s="388">
        <f ca="1">MAX($G43-Control!$C$107,0)</f>
        <v>0</v>
      </c>
      <c r="R43" s="388">
        <f t="shared" ca="1" si="114"/>
        <v>0</v>
      </c>
      <c r="S43" s="388">
        <f t="shared" ca="1" si="2"/>
        <v>0</v>
      </c>
      <c r="T43" s="388">
        <f t="shared" ca="1" si="3"/>
        <v>0</v>
      </c>
      <c r="U43" s="59">
        <f t="shared" ca="1" si="4"/>
        <v>0</v>
      </c>
      <c r="V43" s="391">
        <f ca="1">MAX(0,MIN(Control!$C$100-Control!$C$99,$G43-Control!$C$99)*Control!$C$63)</f>
        <v>0</v>
      </c>
      <c r="W43" s="388">
        <f t="shared" ca="1" si="190"/>
        <v>0</v>
      </c>
      <c r="X43" s="388">
        <f t="shared" ca="1" si="115"/>
        <v>0.6110000000000001</v>
      </c>
      <c r="Y43" s="388">
        <f t="shared" ca="1" si="116"/>
        <v>0</v>
      </c>
      <c r="Z43" s="388">
        <f t="shared" ca="1" si="117"/>
        <v>0.61058800000000002</v>
      </c>
      <c r="AA43" s="388">
        <f t="shared" ca="1" si="5"/>
        <v>0.6018</v>
      </c>
      <c r="AB43" s="388">
        <f ca="1">101.3*EXP(-0.034*Control!$C$66/($G43+273))</f>
        <v>100.69623283836242</v>
      </c>
      <c r="AC43" s="392">
        <f t="shared" ca="1" si="6"/>
        <v>4.3460251046025113E-2</v>
      </c>
      <c r="AD43" s="392">
        <f t="shared" ca="1" si="7"/>
        <v>4.4450382862832649E-2</v>
      </c>
      <c r="AE43" s="388">
        <f t="shared" ca="1" si="8"/>
        <v>0</v>
      </c>
      <c r="AF43" s="388">
        <f ca="1">MAX(0,$G43-Control!$C$92)</f>
        <v>0</v>
      </c>
      <c r="AG43" s="393">
        <f t="shared" ca="1" si="118"/>
        <v>38</v>
      </c>
      <c r="AH43" s="389">
        <f t="shared" ca="1" si="9"/>
        <v>38</v>
      </c>
      <c r="AI43" s="388">
        <f t="shared" ca="1" si="119"/>
        <v>-0.27303568428095326</v>
      </c>
      <c r="AJ43" s="388">
        <f ca="1">IF(Control!$C$60&lt;=0,$HH43,$HI43)</f>
        <v>1</v>
      </c>
      <c r="AK43" s="388">
        <f t="shared" ca="1" si="10"/>
        <v>-0.72299666548367847</v>
      </c>
      <c r="AL43" s="388">
        <f t="shared" ca="1" si="11"/>
        <v>-3.606039078452028E-19</v>
      </c>
      <c r="AM43" s="388">
        <f t="shared" ca="1" si="12"/>
        <v>-0.72299666548367847</v>
      </c>
      <c r="AN43" s="388">
        <f t="shared" ca="1" si="13"/>
        <v>-0.26633584817699379</v>
      </c>
      <c r="AO43" s="388">
        <f ca="1">-0.10453/COS(Control!$B$8*PI()/180)*COS(AN43)</f>
        <v>-0.16379855024456225</v>
      </c>
      <c r="AP43" s="388">
        <f ca="1">ACOS(AO43-TAN(Control!$B$8*PI()/180)*TAN(AN43))</f>
        <v>1.3843258910856198</v>
      </c>
      <c r="AQ43" s="388">
        <f t="shared" ca="1" si="120"/>
        <v>0</v>
      </c>
      <c r="AR43" s="394">
        <f t="shared" ca="1" si="14"/>
        <v>0</v>
      </c>
      <c r="AS43" s="436">
        <f ca="1">IF(Control!$B$18=2,(IF(OR($AH43=Control!$B$175,$AH43=Control!$B$176,$AH43=Control!$B$177,$AH43=Control!$B$178,$AH43=Control!$B$179,$AH43=Control!$B$180,$AH43=Control!$B$181,$AH43=Control!$B$182,$AH43=Control!$B$183,$AH43=Control!$B$184,$AH43=Control!$B$185),1,0)),0)</f>
        <v>0</v>
      </c>
      <c r="AT43" s="436">
        <f>IF(Control!$B$20=8,IF(AND($AH43&gt;=Control!$B$172,$AH43&lt;=Control!$B$173),1,0),0)</f>
        <v>0</v>
      </c>
      <c r="AU43" s="436">
        <f>IF(Control!$B$20=8,IF($AV42=1,1*$AT43,IF($AT43=1,$AU42+1,$AU42)),0)</f>
        <v>0</v>
      </c>
      <c r="AV43" s="436">
        <f>IF(Control!$B$20=8,IF($AU43&gt;=Control!$B$174,1,0),0)</f>
        <v>0</v>
      </c>
      <c r="AW43" s="436">
        <f ca="1">IF(AND(Control!$B$18=2,Control!$B$171=1), $AV43, $AS43)</f>
        <v>0</v>
      </c>
      <c r="AX43" s="436" t="e">
        <f ca="1">IF(AND(Control!$B$18=1,$EU43&gt;=Control!$B$19),-$AY43,IF(AND(Control!$B$18=2,$AW43=1,$EU43&gt;$DS43),-$AY43, IF(Control!$C$108=0,0, IF(Control!$C$108&lt;&gt;0,1))))</f>
        <v>#N/A</v>
      </c>
      <c r="AY43" s="436" t="e">
        <f t="shared" ca="1" si="121"/>
        <v>#N/A</v>
      </c>
      <c r="AZ43" s="436" t="e">
        <f ca="1">IF(AND(Control!$B$18=1,$EB43&gt;Control!$B$19),$AZ42+1, IF(AND(Control!$B$18=2, $AW43=1, $EB43&gt;$DS43), $AZ42+1,$AZ42))</f>
        <v>#N/A</v>
      </c>
      <c r="BA43" s="587">
        <f>IF(Control!$C$81=0,1,IF($AH43&gt;=Control!$C$82,1,0))</f>
        <v>1</v>
      </c>
      <c r="BB43" s="140" t="e">
        <f ca="1">IF($BA43&gt;$BA42,Control!$C$83,IF($AW43&gt;0,$AW43*Control!$C$84,IF(AND(Control!$B$18=1,EN42&lt;&gt;0),Control!$C$84,0)))</f>
        <v>#N/A</v>
      </c>
      <c r="BC43" s="140" t="e">
        <f t="shared" ca="1" si="122"/>
        <v>#N/A</v>
      </c>
      <c r="BD43" s="140" t="e">
        <f ca="1">BC43*IF(OR($G43&lt;Control!$C$92,$G43&gt;Control!$C$95),0,IF(AND($G43&gt;=Control!$C$92,$G43&lt;=Control!$C$93),$G43-Control!$C$92,IF(AND($G43&gt;Control!$C$93,$G43&lt;=Control!$C$94),Control!$C$93-Control!$C$92,IF(AND($G43&gt;Control!$C$94,$G43&lt;=Control!$C$95),(Control!$C$93-Control!$C$92)*(Control!$C$94-$G43)/(Control!$C$95-Control!$C$94)))))</f>
        <v>#N/A</v>
      </c>
      <c r="BE43" s="140" t="e">
        <f t="shared" ca="1" si="123"/>
        <v>#N/A</v>
      </c>
      <c r="BF43" s="140" t="e">
        <f ca="1">IF($BE43&lt;=Control!$C$86,$BE43,Control!$C$86-$BE43)</f>
        <v>#N/A</v>
      </c>
      <c r="BG43" s="140" t="e">
        <f ca="1">IF(AND($AW43=1,Control!$C$84&lt;9),1,IF($BE43&gt;=Control!$C$86,0,$BC43))</f>
        <v>#N/A</v>
      </c>
      <c r="BH43" s="404" t="e">
        <f ca="1">IF($BG43=0,0,IF($BE43&lt;=Control!$C$86,$BC43*9*($BF43/Control!$C$86),0))</f>
        <v>#N/A</v>
      </c>
      <c r="BI43" s="140" t="e">
        <f ca="1">IF($BG43=1,0,IF($BE43&gt;=Control!$C$86,1,IF(AND($BB43&lt;21,$BB43&gt;=9),1,$BM42)))</f>
        <v>#N/A</v>
      </c>
      <c r="BJ43" s="140" t="e">
        <f ca="1">IF($BF43&lt;0,-$BF43,$BI43*IF(OR($G43&lt;Control!$C$92,$G43&gt;Control!$C$95),0,IF(AND($G43&gt;=Control!$C$92,$G43&lt;=Control!$C$93),$G43-Control!$C$92,IF(AND($G43&gt;Control!$C$93,$G43&lt;=Control!$C$94),Control!$C$93-Control!$C$92,IF(AND($G43&gt;Control!$C$94,$G43&lt;=Control!$C$95),(Control!$C$93-Control!$C$92)*(Control!$C$94-$G43)/(Control!$C$95-Control!$C$94))))))</f>
        <v>#N/A</v>
      </c>
      <c r="BK43" s="140" t="e">
        <f t="shared" ca="1" si="124"/>
        <v>#N/A</v>
      </c>
      <c r="BL43" s="140" t="e">
        <f ca="1">IF($BK43&lt;=Control!$C$87,$BK43,Control!$C$87-$BK43)</f>
        <v>#N/A</v>
      </c>
      <c r="BM43" s="140" t="e">
        <f ca="1">IF(AND($BB43&gt;=9,$BB43&lt;21),1,IF($BK43&gt;=Control!$C$87,0,$BI43))</f>
        <v>#N/A</v>
      </c>
      <c r="BN43" s="404" t="e">
        <f ca="1">IF($BM43=0,0,IF($BK43&lt;=Control!$C$87,$BI43*(9+(21-9)*($BL43/Control!$C$87)),0))</f>
        <v>#N/A</v>
      </c>
      <c r="BO43" s="140" t="e">
        <f ca="1">IF($BM43=1,0,IF($BK43&gt;=Control!$C$87,1,IF(AND($BB43&lt;30,$BB43&gt;=21),1,$BS42)))</f>
        <v>#N/A</v>
      </c>
      <c r="BP43" s="140" t="e">
        <f ca="1">IF($BL43&lt;0,-$BL43,$BO43*IF(OR($G43&lt;Control!$C$92,$G43&gt;Control!$C$95),0,IF(AND($G43&gt;=Control!$C$92,$G43&lt;=Control!$C$93),$G43-Control!$C$92,IF(AND($G43&gt;Control!$C$93,$G43&lt;=Control!$C$94),Control!$C$93-Control!$C$92,IF(AND($G43&gt;Control!$C$94,$G43&lt;=Control!$C$95),(Control!$C$93-Control!$C$92)*(Control!$C$94-$G43)/(Control!$C$95-Control!$C$94))))))</f>
        <v>#N/A</v>
      </c>
      <c r="BQ43" s="140" t="e">
        <f t="shared" ca="1" si="15"/>
        <v>#N/A</v>
      </c>
      <c r="BR43" s="140" t="e">
        <f ca="1">IF($BQ43&lt;=Control!$C$88,$BQ43,Control!$C$88-$BQ43)</f>
        <v>#N/A</v>
      </c>
      <c r="BS43" s="140" t="e">
        <f ca="1">IF(AND($BB43&gt;=21,$BB43&lt;30),1,IF($BQ43&gt;=Control!$C$88,0,$BO43))</f>
        <v>#N/A</v>
      </c>
      <c r="BT43" s="404" t="e">
        <f ca="1">IF($BS43=0,0,IF($BQ43&lt;=Control!$C$88,$BO43*(21+(30-21)*(BR43/Control!$C$88)),0))</f>
        <v>#N/A</v>
      </c>
      <c r="BU43" s="140" t="e">
        <f ca="1">IF(BG43+BM43+BS43=1,0,IF(OR(AND($BB43&lt;60,$BB43&gt;=30),$BQ43&gt;=Control!$C$88),1*$BA43,$BY42))</f>
        <v>#N/A</v>
      </c>
      <c r="BV43" s="140" t="e">
        <f ca="1">IF($BR43&lt;0,-$BR43,$BU43*IF(OR($G43&lt;Control!$C$92,$G43&gt;Control!$C$95),0,IF(AND($G43&gt;=Control!$C$92,$G43&lt;=Control!$C$93),$G43-Control!$C$92,IF(AND($G43&gt;Control!$C$93,$G43&lt;=Control!$C$94),Control!$C$93-Control!$C$92,IF(AND($G43&gt;Control!$C$94,$G43&lt;=Control!$C$95),(Control!$C$93-Control!$C$92)*(Control!$C$94-$G43)/(Control!$C$95-Control!$C$94))))))</f>
        <v>#N/A</v>
      </c>
      <c r="BW43" s="140" t="e">
        <f t="shared" ca="1" si="16"/>
        <v>#N/A</v>
      </c>
      <c r="BX43" s="140" t="e">
        <f ca="1">IF($BW43&lt;=Control!$C$89,$BW43,Control!$C$89-$BW43)</f>
        <v>#N/A</v>
      </c>
      <c r="BY43" s="140" t="e">
        <f ca="1">IF(AND($AJ43&gt;=30,$AJ43&lt;60),1,IF($BW43&gt;=Control!$C$89,0,$BU43))</f>
        <v>#N/A</v>
      </c>
      <c r="BZ43" s="404" t="e">
        <f ca="1">IF($BY43=0,0,IF($BW43&lt;=Control!$C$89,$BU43*(30+(60-30)*(BX43/Control!$C$89)),0))</f>
        <v>#N/A</v>
      </c>
      <c r="CA43" s="140" t="e">
        <f ca="1">IF($BG43+$BM43+$BS43+$BY43=1,0,IF(OR(AND($BB43&lt;65,$BB43&gt;=60),$BW43&gt;=Control!$C$89),1*$BA43,$CE42))</f>
        <v>#N/A</v>
      </c>
      <c r="CB43" s="140" t="e">
        <f ca="1">IF($BX43&lt;0,-$BX43,$CA43*IF(OR($G43&lt;Control!$C$92,$G43&gt;Control!$C$95),0,IF(AND($G43&gt;=Control!$C$92,$G43&lt;=Control!$C$93),$G43-Control!$C$92,IF(AND($G43&gt;Control!$C$93,$G43&lt;=Control!$C$94),Control!$C$93-Control!$C$92,IF(AND($G43&gt;Control!$C$94,$G43&lt;=Control!$C$95),(Control!$C$93-Control!$C$92)*(Control!$C$94-$G43)/(Control!$C$95-Control!$C$94))))))</f>
        <v>#N/A</v>
      </c>
      <c r="CC43" s="140" t="e">
        <f t="shared" ca="1" si="125"/>
        <v>#N/A</v>
      </c>
      <c r="CD43" s="140" t="e">
        <f ca="1">IF($CC43&lt;=Control!$C$90,$CC43,Control!$C$90-$CC43)</f>
        <v>#N/A</v>
      </c>
      <c r="CE43" s="140" t="e">
        <f ca="1">IF(AND($BB43&gt;=60,$BB43&lt;65),1,IF($CC43&gt;=Control!$C$90,0,$CA43))</f>
        <v>#N/A</v>
      </c>
      <c r="CF43" s="404" t="e">
        <f ca="1">IF($CE43=0,0,IF($CC43&lt;=Control!$C$90,$CA43*(60+(65-60)*(CD43/Control!$C$90)),0))</f>
        <v>#N/A</v>
      </c>
      <c r="CG43" s="140" t="e">
        <f ca="1">IF($BG43+$BM43+$BS43+$BY43+$CE43=1,0,IF(OR(AND($BB43&lt;90,$BB43&gt;=65),$CC43&gt;=Control!$C$90),$BA43,$CK42))</f>
        <v>#N/A</v>
      </c>
      <c r="CH43" s="140" t="e">
        <f ca="1">IF($CD43&lt;0,-$CD43,$CG43*IF(OR($G43&lt;Control!$C$92,$G43&gt;Control!$C$95),0,IF(AND($G43&gt;=Control!$C$92,$G43&lt;=Control!$C$93),$G43-Control!$C$92,IF(AND($G43&gt;Control!$C$93,$G43&lt;=Control!$C$94),Control!$C$93-Control!$C$92,IF(AND($G43&gt;Control!$C$94,$G43&lt;=Control!$C$95),(Control!$C$93-Control!$C$92)*(Control!$C$94-$G43)/(Control!$C$95-Control!$C$94))))))</f>
        <v>#N/A</v>
      </c>
      <c r="CI43" s="140" t="e">
        <f t="shared" ca="1" si="126"/>
        <v>#N/A</v>
      </c>
      <c r="CJ43" s="140" t="e">
        <f ca="1">IF($CI43&lt;=Control!$C$91,$CI43,Control!$C$91-$CI43)</f>
        <v>#N/A</v>
      </c>
      <c r="CK43" s="140" t="e">
        <f ca="1">IF(AND($BB43&gt;=65,$BB43&lt;90),1,IF($CI43&gt;=Control!$C$91,0,$CG43))</f>
        <v>#N/A</v>
      </c>
      <c r="CL43" s="404" t="e">
        <f ca="1">IF($CK43=0,0,IF($CI43&lt;=Control!$C$91,$CG43*(65+(90-65)*($CJ43/Control!$C$91)),0))</f>
        <v>#N/A</v>
      </c>
      <c r="CM43" s="140" t="e">
        <f ca="1">IF($BG43+$BM43+$BS43+$BY43+$CE43+$CK43=1,0,IF(OR($BB43&gt;=90,$CI43&gt;=Control!$C$91),$BA43,$CM42))</f>
        <v>#N/A</v>
      </c>
      <c r="CN43" s="140" t="e">
        <f t="shared" ca="1" si="127"/>
        <v>#N/A</v>
      </c>
      <c r="CO43" s="140" t="e">
        <f t="shared" ca="1" si="128"/>
        <v>#N/A</v>
      </c>
      <c r="CP43" s="140" t="e">
        <f t="shared" ca="1" si="129"/>
        <v>#N/A</v>
      </c>
      <c r="CQ43" s="141" t="e">
        <f ca="1">VLOOKUP($CP43,Control!$B$86:$G$91,6)</f>
        <v>#N/A</v>
      </c>
      <c r="CR43" s="141" t="e">
        <f ca="1">(1-$CQ43)*VLOOKUP($CP43,Control!$B$86:$D$91,3)</f>
        <v>#N/A</v>
      </c>
      <c r="CS43" s="141" t="e">
        <f ca="1">(1-$CQ43)*VLOOKUP($CP43,Control!$B$86:$E$91,4)</f>
        <v>#N/A</v>
      </c>
      <c r="CT43" s="141" t="e">
        <f ca="1">(1-$CQ43)*VLOOKUP($CP43,Control!$B$86:$F$91,5)</f>
        <v>#N/A</v>
      </c>
      <c r="CU43" s="141">
        <f t="shared" ca="1" si="130"/>
        <v>0</v>
      </c>
      <c r="CV43" s="583">
        <f t="shared" ca="1" si="131"/>
        <v>0</v>
      </c>
      <c r="CW43" s="142">
        <f t="shared" ca="1" si="132"/>
        <v>38</v>
      </c>
      <c r="CX43" s="612" t="e">
        <f ca="1">IF(Control!$C$114=1,(MIN(Control!$C$120*(IF($NT43-0.01&lt;0,0,1)),Control!$C$119-$CY43)))</f>
        <v>#DIV/0!</v>
      </c>
      <c r="CY43" s="143" t="e">
        <f t="shared" ca="1" si="133"/>
        <v>#N/A</v>
      </c>
      <c r="CZ43" s="144">
        <f t="shared" ca="1" si="17"/>
        <v>0</v>
      </c>
      <c r="DA43" s="144">
        <f t="shared" ca="1" si="18"/>
        <v>0</v>
      </c>
      <c r="DB43" s="144" t="e">
        <f t="shared" ca="1" si="19"/>
        <v>#N/A</v>
      </c>
      <c r="DC43" s="144" t="e">
        <f t="shared" ca="1" si="20"/>
        <v>#N/A</v>
      </c>
      <c r="DD43" s="144" t="e">
        <f t="shared" ca="1" si="216"/>
        <v>#N/A</v>
      </c>
      <c r="DE43" s="143" t="e">
        <f t="shared" ca="1" si="135"/>
        <v>#N/A</v>
      </c>
      <c r="DF43" s="145" t="e">
        <f ca="1">$DR43*EXP(-Control!$C$158*(1-$KH43))</f>
        <v>#N/A</v>
      </c>
      <c r="DG43" s="146" t="e">
        <f ca="1">IF(Control!$C$114=1, $DF43*$EY43, 0)</f>
        <v>#N/A</v>
      </c>
      <c r="DH43" s="147" t="e">
        <f t="shared" ca="1" si="136"/>
        <v>#N/A</v>
      </c>
      <c r="DI43" s="144" t="e">
        <f t="shared" ca="1" si="191"/>
        <v>#N/A</v>
      </c>
      <c r="DJ43" s="147" t="e">
        <f ca="1">$EF43*Control!$C$109</f>
        <v>#N/A</v>
      </c>
      <c r="DK43" s="144" t="e">
        <f t="shared" ca="1" si="137"/>
        <v>#N/A</v>
      </c>
      <c r="DL43" s="144" t="e">
        <f t="shared" ca="1" si="21"/>
        <v>#N/A</v>
      </c>
      <c r="DM43" s="144" t="e">
        <f ca="1">IF(Control!$C$114=1, (1-EXP(-Control!$C$96*$DK43))*$AR43, 0)</f>
        <v>#N/A</v>
      </c>
      <c r="DN43" s="144">
        <f t="shared" ca="1" si="138"/>
        <v>0</v>
      </c>
      <c r="DO43" s="148">
        <f>Control!$C$97</f>
        <v>4</v>
      </c>
      <c r="DP43" s="145" t="e">
        <f t="shared" ca="1" si="139"/>
        <v>#N/A</v>
      </c>
      <c r="DQ43" s="145" t="e">
        <f ca="1">IF(AND($CP43&gt;=0,$CP43&lt;=90),Control!$C$111,Control!$C$111)</f>
        <v>#N/A</v>
      </c>
      <c r="DR43" s="145" t="e">
        <f t="shared" ca="1" si="22"/>
        <v>#N/A</v>
      </c>
      <c r="DS43" s="143" t="e">
        <f ca="1">Control!$B$22/$DR43</f>
        <v>#N/A</v>
      </c>
      <c r="DT43" s="149" t="e">
        <f ca="1">IF(AND(Control!$C$114=1,$KH43&lt;1),$IM43*$DF43, 0)</f>
        <v>#N/A</v>
      </c>
      <c r="DU43" s="144" t="e">
        <f t="shared" ca="1" si="192"/>
        <v>#N/A</v>
      </c>
      <c r="DV43" s="144">
        <f ca="1">IF($G43-Control!$C$107&lt;=0, 0, 0.83*LN(MAX($G43, 3))-0.8924)</f>
        <v>0</v>
      </c>
      <c r="DW43" s="144" t="e">
        <f t="shared" ca="1" si="23"/>
        <v>#N/A</v>
      </c>
      <c r="DX43" s="150" t="e">
        <f ca="1">MAX(0.01*(1+$CU43/Control!$C$102),0.05*($DK43-Control!$C$97)/Control!$C$97)</f>
        <v>#N/A</v>
      </c>
      <c r="DY43" s="151" t="e">
        <f ca="1">IF(Control!$C$114=1, $DI43*$FS43, 0)</f>
        <v>#N/A</v>
      </c>
      <c r="DZ43" s="196" t="e">
        <f t="shared" ca="1" si="140"/>
        <v>#N/A</v>
      </c>
      <c r="EA43" s="152">
        <f t="shared" ca="1" si="141"/>
        <v>38</v>
      </c>
      <c r="EB43" s="153" t="e">
        <f t="shared" ca="1" si="217"/>
        <v>#N/A</v>
      </c>
      <c r="EC43" s="153" t="e">
        <f t="shared" ca="1" si="142"/>
        <v>#N/A</v>
      </c>
      <c r="ED43" s="154" t="e">
        <f ca="1">IF(Control!$C$114=1, $HM43*$FY43-$FD43, 0)</f>
        <v>#DIV/0!</v>
      </c>
      <c r="EE43" s="155" t="e">
        <f ca="1">IF(Control!$C$114=1, $HM43*$FZ43-$FF43, 0)</f>
        <v>#DIV/0!</v>
      </c>
      <c r="EF43" s="153" t="e">
        <f t="shared" ca="1" si="193"/>
        <v>#N/A</v>
      </c>
      <c r="EG43" s="155" t="e">
        <f ca="1">IF(Control!$C$114=1, $GX43*$FW43-$FI43, 0)</f>
        <v>#DIV/0!</v>
      </c>
      <c r="EH43" s="153" t="e">
        <f t="shared" ca="1" si="143"/>
        <v>#N/A</v>
      </c>
      <c r="EI43" s="156" t="e">
        <f t="shared" ca="1" si="144"/>
        <v>#N/A</v>
      </c>
      <c r="EJ43" s="155" t="e">
        <f ca="1">IF(Control!$C$114=1, $HM43*$GB43, 0)</f>
        <v>#DIV/0!</v>
      </c>
      <c r="EK43" s="153" t="e">
        <f t="shared" ca="1" si="194"/>
        <v>#N/A</v>
      </c>
      <c r="EL43" s="153" t="e">
        <f t="shared" ca="1" si="24"/>
        <v>#N/A</v>
      </c>
      <c r="EM43" s="153" t="e">
        <f t="shared" ca="1" si="25"/>
        <v>#N/A</v>
      </c>
      <c r="EN43" s="153" t="e">
        <f ca="1">IF(Control!$C$108=1,IF(AND(Control!$B$18=1,$EB43&gt;=Control!$B$19),$EB43-$DS43,IF(AND(Control!$B$18=2,$AW43=1,$EB43&gt;$DS43),$EB43-$DS43,0)))</f>
        <v>#N/A</v>
      </c>
      <c r="EO43" s="153" t="e">
        <f ca="1">IF(Control!$C$108=1,IF(AND(Control!$B$18=1,$EB43&gt;=Control!$B$19),$EF43,IF(AND(Control!$B$18=2,$AW43=1),$EF43,0)))</f>
        <v>#N/A</v>
      </c>
      <c r="EP43" s="153" t="e">
        <f ca="1">IF(Control!$C$108=1,IF(AND(Control!$B$18=1,$EB43&gt;=Control!$B$19),$EK43,IF(AND(Control!$B$18=2,$AW43=1),$EK43,0)))</f>
        <v>#N/A</v>
      </c>
      <c r="EQ43" s="153" t="e">
        <f t="shared" ca="1" si="145"/>
        <v>#N/A</v>
      </c>
      <c r="ER43" s="153" t="e">
        <f t="shared" ca="1" si="231"/>
        <v>#N/A</v>
      </c>
      <c r="ES43" s="153" t="e">
        <f t="shared" ca="1" si="196"/>
        <v>#N/A</v>
      </c>
      <c r="ET43" s="153" t="e">
        <f t="shared" ca="1" si="197"/>
        <v>#N/A</v>
      </c>
      <c r="EU43" s="153" t="e">
        <f t="shared" ca="1" si="198"/>
        <v>#N/A</v>
      </c>
      <c r="EV43" s="153" t="e">
        <f t="shared" ca="1" si="146"/>
        <v>#N/A</v>
      </c>
      <c r="EW43" s="153" t="e">
        <f t="shared" ca="1" si="218"/>
        <v>#N/A</v>
      </c>
      <c r="EX43" s="153" t="e">
        <f t="shared" ca="1" si="26"/>
        <v>#N/A</v>
      </c>
      <c r="EY43" s="157" t="e">
        <f t="shared" ca="1" si="147"/>
        <v>#DIV/0!</v>
      </c>
      <c r="EZ43" s="154" t="e">
        <f t="shared" ca="1" si="27"/>
        <v>#DIV/0!</v>
      </c>
      <c r="FA43" s="153" t="e">
        <f t="shared" ca="1" si="199"/>
        <v>#N/A</v>
      </c>
      <c r="FB43" s="153" t="e">
        <f t="shared" ca="1" si="28"/>
        <v>#N/A</v>
      </c>
      <c r="FC43" s="193" t="e">
        <f t="shared" ca="1" si="29"/>
        <v>#N/A</v>
      </c>
      <c r="FD43" s="158" t="e">
        <f t="shared" ca="1" si="200"/>
        <v>#N/A</v>
      </c>
      <c r="FE43" s="158" t="e">
        <f t="shared" ca="1" si="148"/>
        <v>#N/A</v>
      </c>
      <c r="FF43" s="159" t="e">
        <f t="shared" ca="1" si="30"/>
        <v>#N/A</v>
      </c>
      <c r="FG43" s="160" t="e">
        <f t="shared" ca="1" si="149"/>
        <v>#N/A</v>
      </c>
      <c r="FH43" s="158" t="e">
        <f t="shared" ca="1" si="150"/>
        <v>#N/A</v>
      </c>
      <c r="FI43" s="159" t="e">
        <f t="shared" ca="1" si="31"/>
        <v>#N/A</v>
      </c>
      <c r="FJ43" s="160" t="e">
        <f t="shared" ca="1" si="151"/>
        <v>#N/A</v>
      </c>
      <c r="FK43" s="160" t="e">
        <f t="shared" ca="1" si="32"/>
        <v>#N/A</v>
      </c>
      <c r="FL43" s="160" t="e">
        <f t="shared" ca="1" si="229"/>
        <v>#N/A</v>
      </c>
      <c r="FM43" s="160" t="e">
        <f t="shared" ca="1" si="33"/>
        <v>#N/A</v>
      </c>
      <c r="FN43" s="158">
        <f t="shared" ca="1" si="219"/>
        <v>0.01</v>
      </c>
      <c r="FO43" s="160">
        <f>Control!$C$101</f>
        <v>50</v>
      </c>
      <c r="FP43" s="150" t="e">
        <f t="shared" ca="1" si="34"/>
        <v>#N/A</v>
      </c>
      <c r="FQ43" s="150" t="e">
        <f ca="1">MAX(0,(Control!$C$112*(($DK43-Control!$C$97)/Control!$C$97)))</f>
        <v>#N/A</v>
      </c>
      <c r="FR43" s="150" t="e">
        <f ca="1">(1-$NT43)*Control!$C$113</f>
        <v>#DIV/0!</v>
      </c>
      <c r="FS43" s="198" t="e">
        <f t="shared" ca="1" si="35"/>
        <v>#N/A</v>
      </c>
      <c r="FT43" s="161">
        <f t="shared" ca="1" si="152"/>
        <v>38</v>
      </c>
      <c r="FU43" s="162" t="e">
        <f ca="1">IF(Control!$B$34=1,VLOOKUP($CP43,Control!$B$86:$G$91,6),Control!$B$35)</f>
        <v>#N/A</v>
      </c>
      <c r="FV43" s="162" t="e">
        <f t="shared" ca="1" si="36"/>
        <v>#DIV/0!</v>
      </c>
      <c r="FW43" s="162" t="e">
        <f ca="1">IF(Control!$B$31=1,$FU43*$FV43,  $FU43)</f>
        <v>#N/A</v>
      </c>
      <c r="FX43" s="162" t="e">
        <f ca="1">IF(Control!$B$34=1,VLOOKUP($CP43,Control!$B$86:$G$91,3),Control!$B$36)</f>
        <v>#N/A</v>
      </c>
      <c r="FY43" s="162" t="e">
        <f t="shared" ca="1" si="37"/>
        <v>#N/A</v>
      </c>
      <c r="FZ43" s="162" t="e">
        <f ca="1">IF(Control!$B$34=1,VLOOKUP($CP43,Control!$B$86:$G$91,4),Control!$B$37)</f>
        <v>#N/A</v>
      </c>
      <c r="GA43" s="162" t="e">
        <f t="shared" ca="1" si="38"/>
        <v>#N/A</v>
      </c>
      <c r="GB43" s="162" t="e">
        <f ca="1">IF(Control!$B$34=1,VLOOKUP($CP43,Control!$B$86:$G$91,5),Control!$B$38)</f>
        <v>#N/A</v>
      </c>
      <c r="GC43" s="162" t="e">
        <f t="shared" ca="1" si="153"/>
        <v>#N/A</v>
      </c>
      <c r="GD43" s="162">
        <f t="shared" ca="1" si="39"/>
        <v>1</v>
      </c>
      <c r="GE43" s="162">
        <f t="shared" ca="1" si="40"/>
        <v>1</v>
      </c>
      <c r="GF43" s="162">
        <f ca="1">IF(AND(Control!$C$104=1, Control!$C$62="F"),$GE43,1)</f>
        <v>1</v>
      </c>
      <c r="GG43" s="162" t="e">
        <f ca="1">IF(Control!$B$16=40,0,IF(AND(Control!$B$16&gt;40,Control!$B$16&lt;=360),(Control!$B$16-40)*((1-0)/(360-40)),IF(AND(Control!$B$16&gt;360,Control!$B$16&lt;=720),(1+(Control!$B$16-360)*((1.25-1)/(720-360))),IF(AND(Control!$B$16&gt;720,Control!$B$16&lt;=1000),(1.25+(Control!$B$16-720)*((1.35-1.25)/(1000-720))),IF(AND(Control!$B$16&gt;1000,Control!$B$16&lt;=2000),(1.35+(Control!$B$16-1000)*0))))))</f>
        <v>#N/A</v>
      </c>
      <c r="GH43" s="162" t="e">
        <f t="shared" ca="1" si="41"/>
        <v>#N/A</v>
      </c>
      <c r="GI43" s="162">
        <f t="shared" ca="1" si="201"/>
        <v>0</v>
      </c>
      <c r="GJ43" s="162">
        <f t="shared" ca="1" si="42"/>
        <v>0</v>
      </c>
      <c r="GK43" s="162">
        <f t="shared" ca="1" si="220"/>
        <v>1</v>
      </c>
      <c r="GL43" s="162">
        <f t="shared" ca="1" si="43"/>
        <v>1</v>
      </c>
      <c r="GM43" s="162" t="e">
        <f ca="1">MAX(0,MIN(1,1-Control!$C$156*(1.0001-$KH43)^2))</f>
        <v>#N/A</v>
      </c>
      <c r="GN43" s="162" t="e">
        <f ca="1">IF(Control!$B$26=1,$KU43,$KX43)</f>
        <v>#N/A</v>
      </c>
      <c r="GO43" s="162" t="e">
        <f ca="1">IF($CP43&lt;=60,Control!$C$105,IF($CP43&gt;=90,Control!$C$106,Control!$C$105+($CP43-60)*((Control!$C$106-Control!$C$105)/(90-60))))</f>
        <v>#N/A</v>
      </c>
      <c r="GP43" s="162" t="e">
        <f t="shared" ca="1" si="154"/>
        <v>#N/A</v>
      </c>
      <c r="GQ43" s="162" t="e">
        <f t="shared" ca="1" si="155"/>
        <v>#N/A</v>
      </c>
      <c r="GR43" s="163" t="e">
        <f t="shared" ca="1" si="44"/>
        <v>#DIV/0!</v>
      </c>
      <c r="GS43" s="162" t="e">
        <f t="shared" ca="1" si="45"/>
        <v>#DIV/0!</v>
      </c>
      <c r="GT43" s="164" t="e">
        <f t="shared" ca="1" si="156"/>
        <v>#N/A</v>
      </c>
      <c r="GU43" s="162" t="e">
        <f t="shared" ca="1" si="157"/>
        <v>#N/A</v>
      </c>
      <c r="GV43" s="162" t="e">
        <f t="shared" ca="1" si="46"/>
        <v>#N/A</v>
      </c>
      <c r="GW43" s="162" t="e">
        <f t="shared" ca="1" si="221"/>
        <v>#DIV/0!</v>
      </c>
      <c r="GX43" s="162" t="e">
        <f t="shared" ca="1" si="228"/>
        <v>#DIV/0!</v>
      </c>
      <c r="GY43" s="162" t="e">
        <f t="shared" ca="1" si="158"/>
        <v>#DIV/0!</v>
      </c>
      <c r="GZ43" s="165" t="e">
        <f t="shared" ca="1" si="159"/>
        <v>#N/A</v>
      </c>
      <c r="HA43" s="162" t="e">
        <f ca="1">IF(Control!$C$114=1, $DI43*$FS43, 0)</f>
        <v>#N/A</v>
      </c>
      <c r="HB43" s="162" t="e">
        <f ca="1">$FA43/Control!$C$64</f>
        <v>#N/A</v>
      </c>
      <c r="HC43" s="162" t="e">
        <f t="shared" ca="1" si="222"/>
        <v>#DIV/0!</v>
      </c>
      <c r="HD43" s="162">
        <f ca="1">-ASIN(SIN(23.45*Control!$C$139)*COS(2*Control!$C$138*($AH43+10)/365))</f>
        <v>-0.27303568428095326</v>
      </c>
      <c r="HE43" s="165">
        <f t="shared" ca="1" si="160"/>
        <v>0</v>
      </c>
      <c r="HF43" s="166">
        <f ca="1">IF(AND(Control!$C$61="T",$HE43&gt;=Control!$C$103,Control!$C$114=0),$AH43,Control!$C$59)</f>
        <v>1</v>
      </c>
      <c r="HG43" s="166">
        <f ca="1">IF(AND(Control!$C$61="T",$HE43&gt;=Control!$C$103,Control!$C$114=0),$HF43,Control!$C$59)</f>
        <v>1</v>
      </c>
      <c r="HH43" s="165">
        <f ca="1">IF(AND(OR(Control!$C$60&lt;=0, $AH43= Control!$C$59, Control!$C$60 &gt;0, $AH43 = Control!$C$60)), Control!$C$59, IF(Control!$C$60&gt;0, 0))</f>
        <v>1</v>
      </c>
      <c r="HI43" s="165">
        <f ca="1">IF(AND(OR(Control!$C$60&lt;=0, $AH43= Control!$C$59, Control!$C$60 &gt;0, $AH43 = Control!$C$60)), Control!$C$60, IF(Control!$C$60&lt;=0, 0))</f>
        <v>0</v>
      </c>
      <c r="HJ43" s="166">
        <f ca="1">IF(AND(Control!$C$62="F",$CV43&gt;=Control!$C$102),$AH43,0)</f>
        <v>0</v>
      </c>
      <c r="HK43" s="165" t="e">
        <f t="shared" ca="1" si="202"/>
        <v>#N/A</v>
      </c>
      <c r="HL43" s="166">
        <f ca="1">IF(AND(Control!$C$61="T",$HE43&gt;=Control!$C$103,Control!$C$114=0),$HF43,0)</f>
        <v>0</v>
      </c>
      <c r="HM43" s="201" t="e">
        <f t="shared" ca="1" si="47"/>
        <v>#DIV/0!</v>
      </c>
      <c r="HN43" s="215">
        <f t="shared" ca="1" si="161"/>
        <v>38</v>
      </c>
      <c r="HO43" s="216" t="e">
        <f ca="1">IF(AND($CP43&gt;=0, $CP43&lt;=90), Control!$C$152, Control!$C$152)</f>
        <v>#N/A</v>
      </c>
      <c r="HP43" s="216" t="e">
        <f t="shared" ca="1" si="48"/>
        <v>#N/A</v>
      </c>
      <c r="HQ43" s="217" t="e">
        <f ca="1">IF(OR(Control!$B$26=1,Control!$B$26=2),$KV43,$KS43)</f>
        <v>#DIV/0!</v>
      </c>
      <c r="HR43" s="218" t="e">
        <f t="shared" ca="1" si="223"/>
        <v>#DIV/0!</v>
      </c>
      <c r="HS43" s="216" t="e">
        <f ca="1">Control!$C$154*$HP43</f>
        <v>#N/A</v>
      </c>
      <c r="HT43" s="216" t="e">
        <f ca="1">Control!$C$155*$HP43</f>
        <v>#N/A</v>
      </c>
      <c r="HU43" s="217" t="e">
        <f ca="1">Control!$C$161*$FI43</f>
        <v>#N/A</v>
      </c>
      <c r="HV43" s="218" t="e">
        <f t="shared" ca="1" si="162"/>
        <v>#N/A</v>
      </c>
      <c r="HW43" s="218" t="e">
        <f ca="1">Control!$C$160*$FF43+$IP43*$EO43</f>
        <v>#N/A</v>
      </c>
      <c r="HX43" s="218" t="e">
        <f t="shared" ca="1" si="203"/>
        <v>#N/A</v>
      </c>
      <c r="HY43" s="219" t="e">
        <f ca="1">IF(Control!$C$114=1, $EB43*$FS43, 0)</f>
        <v>#N/A</v>
      </c>
      <c r="HZ43" s="91" t="e">
        <f t="shared" ca="1" si="49"/>
        <v>#N/A</v>
      </c>
      <c r="IA43" s="220" t="e">
        <f ca="1">Control!$C$153*$HO43</f>
        <v>#N/A</v>
      </c>
      <c r="IB43" s="218" t="e">
        <f t="shared" ca="1" si="50"/>
        <v>#N/A</v>
      </c>
      <c r="IC43" s="220" t="e">
        <f ca="1">Control!$C$153*$HT43</f>
        <v>#N/A</v>
      </c>
      <c r="ID43" s="218" t="e">
        <f t="shared" ca="1" si="51"/>
        <v>#N/A</v>
      </c>
      <c r="IE43" s="221" t="e">
        <f ca="1">($EB43*Control!$C$159+$EF43*Control!$C$160)/(IF($GZ43&lt;&gt;0,$GZ43,1))</f>
        <v>#N/A</v>
      </c>
      <c r="IF43" s="216" t="e">
        <f t="shared" ca="1" si="52"/>
        <v>#N/A</v>
      </c>
      <c r="IG43" s="91">
        <f ca="1">IF(OR(Control!$B$198=$AH43,Control!$B$199=$AH43, Control!$B$200=$AH43, Control!$B$201=$AH43, Control!$B$202=$AH43, Control!$B$203=$AH43, Control!$B$204=$AH43, Control!$B$205=$AH43, Control!$B$206=$AH43, Control!$B$207=$AH43), 1, 0)</f>
        <v>0</v>
      </c>
      <c r="IH43" s="91">
        <f ca="1">IF($IG43=0,0, VLOOKUP($AH43,Control!$B$198:$C$207,2))</f>
        <v>0</v>
      </c>
      <c r="II43" s="222">
        <f t="shared" ca="1" si="163"/>
        <v>0</v>
      </c>
      <c r="IJ43" s="91">
        <f>Control!$C$121</f>
        <v>0.7</v>
      </c>
      <c r="IK43" s="218">
        <f t="shared" ca="1" si="53"/>
        <v>0</v>
      </c>
      <c r="IL43" s="217" t="e">
        <f t="shared" ca="1" si="204"/>
        <v>#N/A</v>
      </c>
      <c r="IM43" s="223" t="e">
        <f ca="1">IF(AND(Control!$C$114=1,$KH43&lt;1),$EB43*Control!$C$148*(1-$KH43), 0)</f>
        <v>#N/A</v>
      </c>
      <c r="IN43" s="217" t="e">
        <f t="shared" ca="1" si="54"/>
        <v>#DIV/0!</v>
      </c>
      <c r="IO43" s="91" t="e">
        <f ca="1">MAX(0,$IL43-$EF43*Control!$C$160)</f>
        <v>#N/A</v>
      </c>
      <c r="IP43" s="220" t="e">
        <f t="shared" ca="1" si="55"/>
        <v>#N/A</v>
      </c>
      <c r="IQ43" s="217" t="e">
        <f t="shared" ca="1" si="164"/>
        <v>#N/A</v>
      </c>
      <c r="IR43" s="218" t="e">
        <f t="shared" ca="1" si="56"/>
        <v>#N/A</v>
      </c>
      <c r="IS43" s="217" t="e">
        <f ca="1">Control!$C$159*MAX(0,$FD43-$EN43)</f>
        <v>#N/A</v>
      </c>
      <c r="IT43" s="217" t="e">
        <f t="shared" ca="1" si="205"/>
        <v>#N/A</v>
      </c>
      <c r="IU43" s="217" t="e">
        <f t="shared" ca="1" si="165"/>
        <v>#N/A</v>
      </c>
      <c r="IV43" s="217" t="e">
        <f t="shared" ca="1" si="206"/>
        <v>#N/A</v>
      </c>
      <c r="IW43" s="217" t="e">
        <f ca="1">IF(OR($AW43=1,AND($AW43=0, Control!$B$18=1,$EN43&lt;&gt;0)), $IQ43-$IU43, $IQ43)</f>
        <v>#N/A</v>
      </c>
      <c r="IX43" s="218" t="e">
        <f t="shared" ca="1" si="57"/>
        <v>#N/A</v>
      </c>
      <c r="IY43" s="218" t="e">
        <f ca="1">MAX(0,$IQ43-$EB43*Control!$C$159)</f>
        <v>#N/A</v>
      </c>
      <c r="IZ43" s="218" t="e">
        <f t="shared" ca="1" si="58"/>
        <v>#N/A</v>
      </c>
      <c r="JA43" s="216" t="e">
        <f t="shared" ca="1" si="59"/>
        <v>#N/A</v>
      </c>
      <c r="JB43" s="217" t="e">
        <f t="shared" ca="1" si="60"/>
        <v>#N/A</v>
      </c>
      <c r="JC43" s="222" t="e">
        <f ca="1">MAX(Control!$C$157*$EK43-$JT43, 0)/Control!$C$162</f>
        <v>#N/A</v>
      </c>
      <c r="JD43" s="218" t="e">
        <f t="shared" ca="1" si="61"/>
        <v>#N/A</v>
      </c>
      <c r="JE43" s="218" t="e">
        <f t="shared" ca="1" si="62"/>
        <v>#N/A</v>
      </c>
      <c r="JF43" s="218" t="e">
        <f t="shared" ca="1" si="207"/>
        <v>#N/A</v>
      </c>
      <c r="JG43" s="218" t="e">
        <f t="shared" ca="1" si="63"/>
        <v>#N/A</v>
      </c>
      <c r="JH43" s="217" t="e">
        <f t="shared" ca="1" si="166"/>
        <v>#N/A</v>
      </c>
      <c r="JI43" s="217" t="e">
        <f t="shared" ca="1" si="167"/>
        <v>#N/A</v>
      </c>
      <c r="JJ43" s="217" t="e">
        <f t="shared" ca="1" si="224"/>
        <v>#N/A</v>
      </c>
      <c r="JK43" s="217" t="e">
        <f ca="1">IF(Control!$C$114=1,IF(Control!$B$24=0,MAX(0,$JI43)*$GN43/Control!$C$64,(MAX(0,MIN($JI43,$JJ43*$GN43/Control!$C$64),0))))</f>
        <v>#N/A</v>
      </c>
      <c r="JL43" s="217" t="e">
        <f ca="1">$IK43/Control!$C$64-$JK43+$HQ43</f>
        <v>#N/A</v>
      </c>
      <c r="JM43" s="217" t="e">
        <f ca="1">IF(Control!$C$114=1,($JB43/(IF($JI43&lt;&gt;0,$JI43,1)))*$JK43,0)</f>
        <v>#N/A</v>
      </c>
      <c r="JN43" s="217" t="e">
        <f ca="1">IF(Control!$C$114=1,($JG43/(IF($JI43&lt;&gt;0,$JI43,1)))*$JK43, 0)</f>
        <v>#N/A</v>
      </c>
      <c r="JO43" s="218" t="e">
        <f t="shared" ca="1" si="64"/>
        <v>#N/A</v>
      </c>
      <c r="JP43" s="218" t="e">
        <f ca="1">MIN(($IY43+$IO43)*Control!$C$151, $JF43-$EH43*Control!$C$161)</f>
        <v>#N/A</v>
      </c>
      <c r="JQ43" s="218" t="e">
        <f t="shared" ca="1" si="65"/>
        <v>#N/A</v>
      </c>
      <c r="JR43" s="217" t="e">
        <f ca="1">IF($CP43-Control!$C$150&lt;0, 0, $JQ43/Control!$C$162)</f>
        <v>#N/A</v>
      </c>
      <c r="JS43" s="218" t="e">
        <f t="shared" ca="1" si="66"/>
        <v>#N/A</v>
      </c>
      <c r="JT43" s="218" t="e">
        <f t="shared" ca="1" si="168"/>
        <v>#N/A</v>
      </c>
      <c r="JU43" s="218" t="e">
        <f t="shared" ca="1" si="67"/>
        <v>#N/A</v>
      </c>
      <c r="JV43" s="218" t="e">
        <f t="shared" ca="1" si="68"/>
        <v>#N/A</v>
      </c>
      <c r="JW43" s="216" t="e">
        <f t="shared" ca="1" si="69"/>
        <v>#N/A</v>
      </c>
      <c r="JX43" s="91" t="e">
        <f t="shared" ca="1" si="70"/>
        <v>#N/A</v>
      </c>
      <c r="JY43" s="218" t="e">
        <f t="shared" ca="1" si="71"/>
        <v>#N/A</v>
      </c>
      <c r="JZ43" s="217" t="e">
        <f ca="1">IF(Control!$C$114=1,($IZ43/(IF($JI43&lt;&gt;0,$JI43,1)))*$JK43, 0)</f>
        <v>#N/A</v>
      </c>
      <c r="KA43" s="218" t="e">
        <f t="shared" ca="1" si="225"/>
        <v>#N/A</v>
      </c>
      <c r="KB43" s="218" t="e">
        <f t="shared" ca="1" si="169"/>
        <v>#N/A</v>
      </c>
      <c r="KC43" s="218" t="e">
        <f t="shared" ca="1" si="72"/>
        <v>#N/A</v>
      </c>
      <c r="KD43" s="218" t="e">
        <f t="shared" ca="1" si="73"/>
        <v>#N/A</v>
      </c>
      <c r="KE43" s="218" t="e">
        <f t="shared" ca="1" si="74"/>
        <v>#N/A</v>
      </c>
      <c r="KF43" s="218" t="e">
        <f t="shared" ca="1" si="75"/>
        <v>#N/A</v>
      </c>
      <c r="KG43" s="216" t="e">
        <f t="shared" ca="1" si="76"/>
        <v>#N/A</v>
      </c>
      <c r="KH43" s="221" t="e">
        <f ca="1">IF(Control!$B$24=0,1,MAX(0.001,MIN(1,IF(($IF43-$IE43)&lt;&gt;0,($KG43-$IE43)/($IF43-$IE43),1))))</f>
        <v>#N/A</v>
      </c>
      <c r="KI43" s="222" t="e">
        <f ca="1">IF(Control!$C$114=1, $KI42+ $KH42, 0)</f>
        <v>#N/A</v>
      </c>
      <c r="KJ43" s="217" t="e">
        <f t="shared" ca="1" si="77"/>
        <v>#N/A</v>
      </c>
      <c r="KK43" s="218" t="e">
        <f t="shared" ca="1" si="78"/>
        <v>#N/A</v>
      </c>
      <c r="KL43" s="274" t="e">
        <f ca="1">IF(Control!$B$26=3,4000000000*EXP(-8400/($G43+273)),IF(Control!$B$26=4,4000000000*EXP(-8400/($G43+273))*($KT43),0))</f>
        <v>#DIV/0!</v>
      </c>
      <c r="KM43" s="274" t="e">
        <f ca="1">IF(Control!$B$26=3,5600000000000*EXP(-9800/($G43+273)),IF(Control!$B$26=4,5600000000000*EXP(-9800/($G43+273))*$KT43,0))</f>
        <v>#DIV/0!</v>
      </c>
      <c r="KN43" s="454" t="e">
        <f t="shared" ca="1" si="170"/>
        <v>#DIV/0!</v>
      </c>
      <c r="KO43" s="274" t="e">
        <f t="shared" ca="1" si="171"/>
        <v>#DIV/0!</v>
      </c>
      <c r="KP43" s="454" t="e">
        <f t="shared" ca="1" si="79"/>
        <v>#DIV/0!</v>
      </c>
      <c r="KQ43" s="454" t="e">
        <f t="shared" ca="1" si="80"/>
        <v>#DIV/0!</v>
      </c>
      <c r="KR43" s="454" t="e">
        <f t="shared" ca="1" si="81"/>
        <v>#DIV/0!</v>
      </c>
      <c r="KS43" s="454" t="e">
        <f t="shared" ca="1" si="82"/>
        <v>#DIV/0!</v>
      </c>
      <c r="KT43" s="455" t="e">
        <f t="shared" ca="1" si="83"/>
        <v>#DIV/0!</v>
      </c>
      <c r="KU43" s="456" t="e">
        <f ca="1">IF($CP43-Control!$C$149&lt;0, IF($NT43-0.01&lt;0,0,1),0)</f>
        <v>#N/A</v>
      </c>
      <c r="KV43" s="456" t="e">
        <f ca="1">IF(Control!$C$114=1,MAX(0,MIN(Control!$C$125*$KW43*$GN43,$KW43)))</f>
        <v>#DIV/0!</v>
      </c>
      <c r="KW43" s="456" t="e">
        <f t="shared" ca="1" si="208"/>
        <v>#DIV/0!</v>
      </c>
      <c r="KX43" s="457" t="e">
        <f ca="1">IF($CP43-Control!$C$149&lt;0, IF($MR43-$OM43&lt;0,0,1),0)</f>
        <v>#N/A</v>
      </c>
      <c r="KY43" s="167">
        <f t="shared" ca="1" si="172"/>
        <v>38</v>
      </c>
      <c r="KZ43" s="168">
        <f ca="1">1370*(1+0.033*COS(2*Control!$C$138*$AH43/365))</f>
        <v>1405.8773303608054</v>
      </c>
      <c r="LA43" s="169">
        <f t="shared" ca="1" si="173"/>
        <v>1.0261878630954209</v>
      </c>
      <c r="LB43" s="169">
        <f t="shared" ca="1" si="174"/>
        <v>-0.27453102519500105</v>
      </c>
      <c r="LC43" s="169">
        <f ca="1">ACOS(-TAN((2*Control!$B$8/360))*TAN(Calculations!$LB43))</f>
        <v>1.4869932751056054</v>
      </c>
      <c r="LD43" s="169">
        <f ca="1">((24*60)/PI())*0.082*$LA43*(($LC43*SIN(Control!$B$8*2*PI()/360))*SIN($LB43)+COS(Control!$B$8*2*PI()/360)*COS($LB43)*SIN($LC43))</f>
        <v>10.5245318217213</v>
      </c>
      <c r="LE43" s="170">
        <f t="shared" ca="1" si="84"/>
        <v>11.445015199503885</v>
      </c>
      <c r="LF43" s="170">
        <f ca="1">SIN(Control!$C$139*Control!$B$8)*SIN($HD43)</f>
        <v>-0.21249210709461666</v>
      </c>
      <c r="LG43" s="170">
        <f ca="1">COS(Control!$C$139*Control!$B$8)*COS($HD43)</f>
        <v>0.5928537595055019</v>
      </c>
      <c r="LH43" s="170">
        <f ca="1">12*(1+2*ASIN(MAX(-1,MIN(1,$LF43/$LG43))/Control!$C$138))</f>
        <v>9.2558852953419972</v>
      </c>
      <c r="LI43" s="170">
        <f ca="1">12*(1+2*ASIN(MAX(-1,MIN(1,(-SIN(-4*Control!$C$139)+$LF43)/$LG43))/Control!$C$138))</f>
        <v>10.158928253673885</v>
      </c>
      <c r="LJ43" s="168">
        <f ca="1">3600*($LH43*$LF43+24*$LG43*SQRT(1-$LK43*$LK43)/Control!$C$138)</f>
        <v>8140.8348739549192</v>
      </c>
      <c r="LK43" s="170">
        <f t="shared" ca="1" si="85"/>
        <v>-0.35842246707156905</v>
      </c>
      <c r="LL43" s="170">
        <f t="shared" ca="1" si="86"/>
        <v>0</v>
      </c>
      <c r="LM43" s="171">
        <f ca="1">Control!$C$145*$AB43</f>
        <v>6.6660906138995932E-2</v>
      </c>
      <c r="LN43" s="170">
        <f t="shared" ca="1" si="175"/>
        <v>0.54</v>
      </c>
      <c r="LO43" s="170">
        <f t="shared" ca="1" si="87"/>
        <v>0</v>
      </c>
      <c r="LP43" s="170">
        <f ca="1">Control!$C$140*((($D43+273.16)^4+($E43+273.16)^4)/2)*(0.34-0.14*SQRT($Y43))*(1.35*$AQ43/(0.75*$LD43)-0.35)</f>
        <v>-3.2464704755046001</v>
      </c>
      <c r="LQ43" s="170">
        <f ca="1">Control!$C$140*($G43+273)^4*(0.56-0.079*SQRT($Y43*10))*(0.1+0.9*$LO43)</f>
        <v>1.5241745131704001</v>
      </c>
      <c r="LR43" s="170">
        <f ca="1">$AQ43*(1-Control!$C$142)-$LQ43</f>
        <v>-1.5241745131704001</v>
      </c>
      <c r="LS43" s="170">
        <f ca="1">$AQ43*(1-Control!$C$143)-$LQ43</f>
        <v>-1.5241745131704001</v>
      </c>
      <c r="LT43" s="170">
        <f ca="1">$AQ43*(1-Control!$C$144)-$LQ43</f>
        <v>-1.5241745131704001</v>
      </c>
      <c r="LU43" s="169">
        <f ca="1">(1-Control!$C$144)*AQ43-LP43</f>
        <v>3.2464704755046001</v>
      </c>
      <c r="LV43" s="172">
        <f t="shared" ca="1" si="88"/>
        <v>0.79430000000000012</v>
      </c>
      <c r="LW43" s="170">
        <f t="shared" ca="1" si="89"/>
        <v>1.5886000000000002</v>
      </c>
      <c r="LX43" s="170">
        <f ca="1">($AC43*($LR43/Control!$C$141)+$LM43*$LV43)/($AC43+$LM43)</f>
        <v>0.23530094218323697</v>
      </c>
      <c r="LY43" s="170">
        <f ca="1">($AC43*($LS43/Control!$C$141)+$LM43*$LV43)/($AC43+$LM43)</f>
        <v>0.23530094218323697</v>
      </c>
      <c r="LZ43" s="170">
        <f t="shared" ca="1" si="90"/>
        <v>0.23530094218323697</v>
      </c>
      <c r="MA43" s="170">
        <f t="shared" ca="1" si="91"/>
        <v>0.23530094218323697</v>
      </c>
      <c r="MB43" s="170" t="e">
        <f t="shared" ca="1" si="92"/>
        <v>#N/A</v>
      </c>
      <c r="MC43" s="170">
        <f t="shared" ca="1" si="176"/>
        <v>0.6018</v>
      </c>
      <c r="MD43" s="170">
        <f t="shared" ca="1" si="93"/>
        <v>0.52989392535414004</v>
      </c>
      <c r="ME43" s="170">
        <f ca="1">($AC43*($LT43/Control!$C$141)+$LM43*$LW43)/($AC43+$LM43)</f>
        <v>0.71612369323045078</v>
      </c>
      <c r="MF43" s="170" t="e">
        <f ca="1">IF(Control!$B$16&gt;=1000,0.92,IF(AND(720&lt;=Control!$B$16,1000&gt;Control!$B$16),(0.95+(Control!$B$16-720)*((0.92-0.95)/(1000-720))),IF(AND(360&lt;=Control!$B$16,720&gt;Control!$B$16),(1+(Control!$B$16-360)*((0.95-1)/(720-360))),IF(AND(40&lt;=Control!$B$16,360&gt;Control!$B$16),(1.05+(Control!$B$16-40)*((1.05-1)/(360-40)))))))</f>
        <v>#N/A</v>
      </c>
      <c r="MG43" s="170">
        <f t="shared" ca="1" si="94"/>
        <v>0.71612369323045078</v>
      </c>
      <c r="MH43" s="170" t="e">
        <f t="shared" ca="1" si="230"/>
        <v>#N/A</v>
      </c>
      <c r="MI43" s="170" t="e">
        <f t="shared" ca="1" si="230"/>
        <v>#N/A</v>
      </c>
      <c r="MJ43" s="170" t="e">
        <f ca="1">MAX(0.0001, Control!$C$132*$MI43*$DL43)</f>
        <v>#N/A</v>
      </c>
      <c r="MK43" s="170">
        <f ca="1">1/(0.76+1.5*($MG43/10))-(5-Control!$C$110)*0.1</f>
        <v>1.002845988140797</v>
      </c>
      <c r="ML43" s="173">
        <f ca="1">IF(Control!$C$110&lt;3,$MK43+($MG43-0.6)/(Control!$C$110*(Control!$C$110+3)), MAX(0.1, MIN(0.95,$MK43)))</f>
        <v>0.95</v>
      </c>
      <c r="MM43" s="173">
        <f ca="1">IF(Control!$C$110&lt;3,$MK43+(($MI43/10)-0.6)/(Control!$C$110*(Control!$C$110+3)), MAX(0.1, MIN(0.95,$MK43)))</f>
        <v>0.95</v>
      </c>
      <c r="MN43" s="173">
        <f ca="1">(1-$MM43)*(Control!$C$128-Control!$C$127)+Control!$C$127</f>
        <v>0.16</v>
      </c>
      <c r="MO43" s="170" t="e">
        <f ca="1">MAX(0,MIN(1,($MS43-Control!$C$127)/($MN43-Control!$C$127)))</f>
        <v>#DIV/0!</v>
      </c>
      <c r="MP43" s="173" t="e">
        <f ca="1">1/(0.76+1.5*$MI43)-(5-Control!$C$110)*0.1</f>
        <v>#N/A</v>
      </c>
      <c r="MQ43" s="172" t="e">
        <f t="shared" ca="1" si="209"/>
        <v>#DIV/0!</v>
      </c>
      <c r="MR43" s="168" t="e">
        <f t="shared" ca="1" si="226"/>
        <v>#DIV/0!</v>
      </c>
      <c r="MS43" s="173" t="e">
        <f ca="1">MAX(Control!$C$127, MIN(Control!$C$135, $MR43/MAX(0.0001,$CY43)))</f>
        <v>#DIV/0!</v>
      </c>
      <c r="MT43" s="168" t="e">
        <f ca="1">(Control!$C$128-$MS43)*Control!$C$74</f>
        <v>#DIV/0!</v>
      </c>
      <c r="MU43" s="168" t="e">
        <f ca="1">(Control!$C$135-$MS43)*Control!$C$74</f>
        <v>#DIV/0!</v>
      </c>
      <c r="MV43" s="168" t="e">
        <f t="shared" ca="1" si="210"/>
        <v>#DIV/0!</v>
      </c>
      <c r="MW43" s="168" t="e">
        <f t="shared" ca="1" si="177"/>
        <v>#DIV/0!</v>
      </c>
      <c r="MX43" s="171" t="e">
        <f ca="1">MAX(Control!$C$127, MIN(Control!$C$135, $MW43/MAX(0.0001,Control!$C$119-$CY43)))</f>
        <v>#DIV/0!</v>
      </c>
      <c r="MY43" s="54" t="e">
        <f ca="1">IF(Control!$C$114=1, $CX43*$MX43, 0)</f>
        <v>#DIV/0!</v>
      </c>
      <c r="MZ43" s="54" t="e">
        <f t="shared" ca="1" si="178"/>
        <v>#N/A</v>
      </c>
      <c r="NA43" s="168" t="e">
        <f ca="1">(Control!$C$128-$MX43)*(Control!$C$119-Control!$C$74)</f>
        <v>#DIV/0!</v>
      </c>
      <c r="NB43" s="168" t="e">
        <f ca="1">(Control!$C$135-$MX43)*(Control!$C$119-Control!$C$74)</f>
        <v>#DIV/0!</v>
      </c>
      <c r="NC43" s="174" t="e">
        <f t="shared" ca="1" si="179"/>
        <v>#DIV/0!</v>
      </c>
      <c r="ND43" s="54">
        <f ca="1">IF(Control!$C$58=2, IF(OR(Control!$B$218=$AH43,Control!$B$219=$AH43, Control!$B$220=$AH43, Control!$B$221=$AH43, Control!$B$222=$AH43, Control!$B$223=$AH43, Control!$B$224=$AH43, Control!$B$225=$AH43, Control!$B$226=$AH43, Control!$B$227=$AH43, Control!$B$228=$AH43), 1, 0), 0)</f>
        <v>0</v>
      </c>
      <c r="NE43" s="54">
        <f ca="1">IF($ND43=0,0, VLOOKUP($AH43,Control!$B$218:$C$228,2))</f>
        <v>0</v>
      </c>
      <c r="NF43" s="168" t="e">
        <f ca="1">$CY43*(Control!$C$128-Control!$C$127)</f>
        <v>#N/A</v>
      </c>
      <c r="NG43" s="54" t="e">
        <f ca="1">IF(Control!$C$58=2, $NI42-$NJ42, 0)</f>
        <v>#DIV/0!</v>
      </c>
      <c r="NH43" s="54" t="e">
        <f ca="1">IF(AND(Control!$C$58=1, $MS42&lt;= ($MN42+0.02), $I42&lt;10), 0, IF(Control!$C$58=2, $NG42, 0))</f>
        <v>#DIV/0!</v>
      </c>
      <c r="NI43" s="54" t="e">
        <f ca="1">IF(Control!$C$58=2, $NE43+$NH43,0)</f>
        <v>#DIV/0!</v>
      </c>
      <c r="NJ43" s="54" t="e">
        <f ca="1">IF(AND(Control!$C$58=1, $MS43&lt;= ($MN43+0.02), $I43&lt;10), MAX(0, MIN(10, 0.7*($NF43-$MV43))), IF(Control!$C$58=2, MIN(10,$NI43),0))</f>
        <v>#DIV/0!</v>
      </c>
      <c r="NK43" s="54" t="e">
        <f t="shared" ca="1" si="96"/>
        <v>#DIV/0!</v>
      </c>
      <c r="NL43" s="173" t="e">
        <f ca="1">(1-Control!$C$73)*$I43+$NJ43</f>
        <v>#DIV/0!</v>
      </c>
      <c r="NM43" s="172" t="e">
        <f ca="1">IF($NL43&lt;0.5, $MB43* MAX(0, MIN(1, (SQRT($NC43)-SQRT($NC43-1))*Control!$C$71)),0)</f>
        <v>#DIV/0!</v>
      </c>
      <c r="NN43" s="170" t="e">
        <f ca="1">IF($NL43&gt;=5, $MB43, MAX(0,MIN($MB43, $NM43+$NL43,($MS43-Control!$C$129))))</f>
        <v>#DIV/0!</v>
      </c>
      <c r="NO43" s="54">
        <f>IF(Control!$C$133&lt;&gt;1, Control!$C$135-Control!$C$131, 0)</f>
        <v>0.38</v>
      </c>
      <c r="NP43" s="54" t="e">
        <f t="shared" ca="1" si="97"/>
        <v>#DIV/0!</v>
      </c>
      <c r="NQ43" s="173" t="e">
        <f ca="1">MAX(0,MIN(1,(Control!$C$135-$MS43)/(Control!$C$135-$NO43)))</f>
        <v>#DIV/0!</v>
      </c>
      <c r="NR43" s="170" t="e">
        <f ca="1">IF(Control!$C$133&lt;&gt;1, $NQ43+((1-$NP43/4)*(1-$NQ43)),1)</f>
        <v>#DIV/0!</v>
      </c>
      <c r="NS43" s="170" t="e">
        <f ca="1">IF(Control!$B$31=0,$MJ43,MAX(0,MIN($MV43,$MO43*$NR43*$MJ43)))</f>
        <v>#DIV/0!</v>
      </c>
      <c r="NT43" s="170" t="e">
        <f t="shared" ca="1" si="227"/>
        <v>#DIV/0!</v>
      </c>
      <c r="NU43" s="170" t="e">
        <f t="shared" ca="1" si="180"/>
        <v>#N/A</v>
      </c>
      <c r="NV43" s="170" t="e">
        <f t="shared" ca="1" si="98"/>
        <v>#N/A</v>
      </c>
      <c r="NW43" s="175" t="e">
        <f t="shared" ca="1" si="99"/>
        <v>#DIV/0!</v>
      </c>
      <c r="NX43" s="170" t="e">
        <f ca="1">MIN(Control!$C$72+$MU43, $NW43)</f>
        <v>#DIV/0!</v>
      </c>
      <c r="NY43" s="170" t="e">
        <f ca="1">IF($MT43&lt;=$NX43,MIN(Control!$C$72+$NB43,$NX43-$MT43),0)</f>
        <v>#DIV/0!</v>
      </c>
      <c r="NZ43" s="54" t="e">
        <f ca="1">IF(Control!$C$114=1,  $CX43*($MX43-Control!$C$127), 0)</f>
        <v>#DIV/0!</v>
      </c>
      <c r="OA43" s="170" t="e">
        <f t="shared" ca="1" si="181"/>
        <v>#DIV/0!</v>
      </c>
      <c r="OB43" s="170" t="e">
        <f ca="1">IF($NA43 &lt;=$NY43, MIN(Control!$C$72, $NY43-$NA43), 0)</f>
        <v>#DIV/0!</v>
      </c>
      <c r="OC43" s="168" t="e">
        <f t="shared" ca="1" si="100"/>
        <v>#DIV/0!</v>
      </c>
      <c r="OD43" s="168" t="e">
        <f t="shared" ca="1" si="182"/>
        <v>#DIV/0!</v>
      </c>
      <c r="OE43" s="170">
        <f ca="1">Control!$C$73*$I43</f>
        <v>0</v>
      </c>
      <c r="OF43" s="176" t="e">
        <f t="shared" ca="1" si="101"/>
        <v>#DIV/0!</v>
      </c>
      <c r="OG43" s="168" t="e">
        <f t="shared" ca="1" si="102"/>
        <v>#DIV/0!</v>
      </c>
      <c r="OH43" s="168" t="e">
        <f t="shared" ca="1" si="103"/>
        <v>#DIV/0!</v>
      </c>
      <c r="OI43" s="168" t="e">
        <f t="shared" ca="1" si="104"/>
        <v>#DIV/0!</v>
      </c>
      <c r="OJ43" s="168" t="e">
        <f t="shared" ca="1" si="105"/>
        <v>#DIV/0!</v>
      </c>
      <c r="OK43" s="204" t="e">
        <f t="shared" ca="1" si="183"/>
        <v>#DIV/0!</v>
      </c>
      <c r="OL43" s="177">
        <f>Control!$C$127</f>
        <v>0.15</v>
      </c>
      <c r="OM43" s="182" t="e">
        <f t="shared" ca="1" si="106"/>
        <v>#N/A</v>
      </c>
      <c r="ON43" s="177">
        <f>Control!$C$128</f>
        <v>0.35</v>
      </c>
      <c r="OO43" s="182" t="e">
        <f t="shared" ca="1" si="107"/>
        <v>#N/A</v>
      </c>
      <c r="OP43" s="138">
        <f t="shared" ca="1" si="184"/>
        <v>0</v>
      </c>
      <c r="OQ43" s="138" t="e">
        <f t="shared" ca="1" si="211"/>
        <v>#DIV/0!</v>
      </c>
      <c r="OR43" s="138" t="e">
        <f t="shared" ca="1" si="185"/>
        <v>#DIV/0!</v>
      </c>
      <c r="OS43" s="137" t="e">
        <f t="shared" ca="1" si="212"/>
        <v>#DIV/0!</v>
      </c>
      <c r="OT43" s="139" t="e">
        <f t="shared" ca="1" si="213"/>
        <v>#DIV/0!</v>
      </c>
      <c r="OU43" s="138" t="e">
        <f t="shared" ca="1" si="214"/>
        <v>#N/A</v>
      </c>
      <c r="OV43" s="138" t="e">
        <f t="shared" ca="1" si="215"/>
        <v>#DIV/0!</v>
      </c>
      <c r="OW43" s="138" t="e">
        <f t="shared" ca="1" si="186"/>
        <v>#DIV/0!</v>
      </c>
      <c r="OX43" s="138" t="e">
        <f t="shared" ca="1" si="187"/>
        <v>#DIV/0!</v>
      </c>
      <c r="OY43" s="138" t="e">
        <f t="shared" ca="1" si="188"/>
        <v>#DIV/0!</v>
      </c>
      <c r="OZ43" s="138" t="e">
        <f t="shared" ca="1" si="108"/>
        <v>#DIV/0!</v>
      </c>
      <c r="PA43" s="138" t="e">
        <f t="shared" ca="1" si="109"/>
        <v>#DIV/0!</v>
      </c>
      <c r="PB43" s="55">
        <f>IF(Control!$C$61="T", IF(Control!$C$65="F", IF($AH$6-Control!$C$60&lt;0,0,1), IF(365+$AH$6-Control!$C$60&lt;0,0,1)),0)</f>
        <v>0</v>
      </c>
      <c r="PC43" s="55">
        <f ca="1">IF(Control!$C$65="F", IF($AH$6-$HF43&lt;0,0,1), IF(365+$AH$6-$HF43&lt;0,0,1))</f>
        <v>1</v>
      </c>
      <c r="PD43" s="444">
        <f>Control!$C$118</f>
        <v>1500</v>
      </c>
      <c r="PE43" s="180" t="e">
        <f t="shared" ca="1" si="110"/>
        <v>#N/A</v>
      </c>
      <c r="PF43" s="445">
        <f t="shared" ca="1" si="189"/>
        <v>0.71612369323045078</v>
      </c>
      <c r="PT43" s="186"/>
      <c r="PU43" s="186"/>
      <c r="PV43" s="94"/>
      <c r="PW43" s="94"/>
      <c r="PX43" s="94"/>
      <c r="PY43" s="94"/>
      <c r="PZ43" s="94"/>
      <c r="QA43" s="94"/>
      <c r="QB43" s="94"/>
      <c r="QC43" s="94"/>
      <c r="QD43" s="94"/>
      <c r="QE43" s="94"/>
      <c r="QF43" s="94"/>
      <c r="QG43" s="94"/>
      <c r="QH43" s="94"/>
      <c r="QI43" s="94"/>
      <c r="QJ43" s="94"/>
      <c r="QK43" s="94"/>
      <c r="QL43" s="94"/>
      <c r="QM43" s="94"/>
      <c r="QN43" s="94"/>
      <c r="QO43" s="94"/>
      <c r="QP43" s="94"/>
    </row>
    <row r="44" spans="1:458" s="2" customFormat="1" x14ac:dyDescent="0.2">
      <c r="A44" s="395">
        <v>8</v>
      </c>
      <c r="B44" s="396">
        <v>2</v>
      </c>
      <c r="C44" s="387">
        <f ca="1">Weather_data!$B43</f>
        <v>0</v>
      </c>
      <c r="D44" s="388">
        <f ca="1">Weather_data!$F43</f>
        <v>0</v>
      </c>
      <c r="E44" s="388">
        <f ca="1">Weather_data!$E43</f>
        <v>0</v>
      </c>
      <c r="F44" s="388">
        <f t="shared" ca="1" si="111"/>
        <v>0</v>
      </c>
      <c r="G44" s="388">
        <f ca="1">AVERAGE($D44:$E44)+Control!$B$9</f>
        <v>0</v>
      </c>
      <c r="H44" s="388">
        <f ca="1">Weather_data!$G43</f>
        <v>0</v>
      </c>
      <c r="I44" s="388">
        <f ca="1">Weather_data!$I43</f>
        <v>0</v>
      </c>
      <c r="J44" s="388">
        <f ca="1">Weather_data!$H43</f>
        <v>0</v>
      </c>
      <c r="K44" s="389">
        <f ca="1">Weather_data!$D43</f>
        <v>0</v>
      </c>
      <c r="L44" s="388" t="e">
        <f t="shared" ca="1" si="112"/>
        <v>#N/A</v>
      </c>
      <c r="M44" s="388" t="e">
        <f t="shared" ca="1" si="0"/>
        <v>#N/A</v>
      </c>
      <c r="N44" s="388">
        <f t="shared" ca="1" si="1"/>
        <v>-9.1240018157003645E-3</v>
      </c>
      <c r="O44" s="388">
        <f t="shared" ca="1" si="113"/>
        <v>9.1240018157003638E-2</v>
      </c>
      <c r="P44" s="390">
        <v>3</v>
      </c>
      <c r="Q44" s="388">
        <f ca="1">MAX($G44-Control!$C$107,0)</f>
        <v>0</v>
      </c>
      <c r="R44" s="388">
        <f t="shared" ca="1" si="114"/>
        <v>0</v>
      </c>
      <c r="S44" s="388">
        <f t="shared" ca="1" si="2"/>
        <v>0</v>
      </c>
      <c r="T44" s="388">
        <f t="shared" ca="1" si="3"/>
        <v>0</v>
      </c>
      <c r="U44" s="59">
        <f t="shared" ca="1" si="4"/>
        <v>0</v>
      </c>
      <c r="V44" s="391">
        <f ca="1">MAX(0,MIN(Control!$C$100-Control!$C$99,$G44-Control!$C$99)*Control!$C$63)</f>
        <v>0</v>
      </c>
      <c r="W44" s="388">
        <f t="shared" ca="1" si="190"/>
        <v>0</v>
      </c>
      <c r="X44" s="388">
        <f t="shared" ca="1" si="115"/>
        <v>0.6110000000000001</v>
      </c>
      <c r="Y44" s="388">
        <f t="shared" ca="1" si="116"/>
        <v>0</v>
      </c>
      <c r="Z44" s="388">
        <f t="shared" ca="1" si="117"/>
        <v>0.61058800000000002</v>
      </c>
      <c r="AA44" s="388">
        <f t="shared" ca="1" si="5"/>
        <v>0.6018</v>
      </c>
      <c r="AB44" s="388">
        <f ca="1">101.3*EXP(-0.034*Control!$C$66/($G44+273))</f>
        <v>100.69623283836242</v>
      </c>
      <c r="AC44" s="392">
        <f t="shared" ca="1" si="6"/>
        <v>4.3460251046025113E-2</v>
      </c>
      <c r="AD44" s="392">
        <f t="shared" ca="1" si="7"/>
        <v>4.4450382862832649E-2</v>
      </c>
      <c r="AE44" s="388">
        <f t="shared" ca="1" si="8"/>
        <v>0</v>
      </c>
      <c r="AF44" s="388">
        <f ca="1">MAX(0,$G44-Control!$C$92)</f>
        <v>0</v>
      </c>
      <c r="AG44" s="393">
        <f t="shared" ca="1" si="118"/>
        <v>39</v>
      </c>
      <c r="AH44" s="389">
        <f t="shared" ca="1" si="9"/>
        <v>39</v>
      </c>
      <c r="AI44" s="388">
        <f t="shared" ca="1" si="119"/>
        <v>-0.26776660596172797</v>
      </c>
      <c r="AJ44" s="388">
        <f ca="1">IF(Control!$C$60&lt;=0,$HH44,$HI44)</f>
        <v>1</v>
      </c>
      <c r="AK44" s="388">
        <f t="shared" ca="1" si="10"/>
        <v>-0.70578245916263838</v>
      </c>
      <c r="AL44" s="388">
        <f t="shared" ca="1" si="11"/>
        <v>2.7055267748377075E-19</v>
      </c>
      <c r="AM44" s="388">
        <f t="shared" ca="1" si="12"/>
        <v>-0.70578245916263838</v>
      </c>
      <c r="AN44" s="388">
        <f t="shared" ca="1" si="13"/>
        <v>-0.26097725599288984</v>
      </c>
      <c r="AO44" s="388">
        <f ca="1">-0.10453/COS(Control!$B$8*PI()/180)*COS(AN44)</f>
        <v>-0.16403565724067989</v>
      </c>
      <c r="AP44" s="388">
        <f ca="1">ACOS(AO44-TAN(Control!$B$8*PI()/180)*TAN(AN44))</f>
        <v>1.3920499268962883</v>
      </c>
      <c r="AQ44" s="388">
        <f t="shared" ca="1" si="120"/>
        <v>0</v>
      </c>
      <c r="AR44" s="394">
        <f t="shared" ca="1" si="14"/>
        <v>0</v>
      </c>
      <c r="AS44" s="436">
        <f ca="1">IF(Control!$B$18=2,(IF(OR($AH44=Control!$B$175,$AH44=Control!$B$176,$AH44=Control!$B$177,$AH44=Control!$B$178,$AH44=Control!$B$179,$AH44=Control!$B$180,$AH44=Control!$B$181,$AH44=Control!$B$182,$AH44=Control!$B$183,$AH44=Control!$B$184,$AH44=Control!$B$185),1,0)),0)</f>
        <v>0</v>
      </c>
      <c r="AT44" s="436">
        <f>IF(Control!$B$20=8,IF(AND($AH44&gt;=Control!$B$172,$AH44&lt;=Control!$B$173),1,0),0)</f>
        <v>0</v>
      </c>
      <c r="AU44" s="436">
        <f>IF(Control!$B$20=8,IF($AV43=1,1*$AT44,IF($AT44=1,$AU43+1,$AU43)),0)</f>
        <v>0</v>
      </c>
      <c r="AV44" s="436">
        <f>IF(Control!$B$20=8,IF($AU44&gt;=Control!$B$174,1,0),0)</f>
        <v>0</v>
      </c>
      <c r="AW44" s="436">
        <f ca="1">IF(AND(Control!$B$18=2,Control!$B$171=1), $AV44, $AS44)</f>
        <v>0</v>
      </c>
      <c r="AX44" s="436" t="e">
        <f ca="1">IF(AND(Control!$B$18=1,$EU44&gt;=Control!$B$19),-$AY44,IF(AND(Control!$B$18=2,$AW44=1,$EU44&gt;$DS44),-$AY44, IF(Control!$C$108=0,0, IF(Control!$C$108&lt;&gt;0,1))))</f>
        <v>#N/A</v>
      </c>
      <c r="AY44" s="436" t="e">
        <f t="shared" ca="1" si="121"/>
        <v>#N/A</v>
      </c>
      <c r="AZ44" s="436" t="e">
        <f ca="1">IF(AND(Control!$B$18=1,$EB44&gt;Control!$B$19),$AZ43+1, IF(AND(Control!$B$18=2, $AW44=1, $EB44&gt;$DS44), $AZ43+1,$AZ43))</f>
        <v>#N/A</v>
      </c>
      <c r="BA44" s="587">
        <f>IF(Control!$C$81=0,1,IF($AH44&gt;=Control!$C$82,1,0))</f>
        <v>1</v>
      </c>
      <c r="BB44" s="140" t="e">
        <f ca="1">IF($BA44&gt;$BA43,Control!$C$83,IF($AW44&gt;0,$AW44*Control!$C$84,IF(AND(Control!$B$18=1,EN43&lt;&gt;0),Control!$C$84,0)))</f>
        <v>#N/A</v>
      </c>
      <c r="BC44" s="140" t="e">
        <f t="shared" ca="1" si="122"/>
        <v>#N/A</v>
      </c>
      <c r="BD44" s="140" t="e">
        <f ca="1">BC44*IF(OR($G44&lt;Control!$C$92,$G44&gt;Control!$C$95),0,IF(AND($G44&gt;=Control!$C$92,$G44&lt;=Control!$C$93),$G44-Control!$C$92,IF(AND($G44&gt;Control!$C$93,$G44&lt;=Control!$C$94),Control!$C$93-Control!$C$92,IF(AND($G44&gt;Control!$C$94,$G44&lt;=Control!$C$95),(Control!$C$93-Control!$C$92)*(Control!$C$94-$G44)/(Control!$C$95-Control!$C$94)))))</f>
        <v>#N/A</v>
      </c>
      <c r="BE44" s="140" t="e">
        <f t="shared" ca="1" si="123"/>
        <v>#N/A</v>
      </c>
      <c r="BF44" s="140" t="e">
        <f ca="1">IF($BE44&lt;=Control!$C$86,$BE44,Control!$C$86-$BE44)</f>
        <v>#N/A</v>
      </c>
      <c r="BG44" s="140" t="e">
        <f ca="1">IF(AND($AW44=1,Control!$C$84&lt;9),1,IF($BE44&gt;=Control!$C$86,0,$BC44))</f>
        <v>#N/A</v>
      </c>
      <c r="BH44" s="404" t="e">
        <f ca="1">IF($BG44=0,0,IF($BE44&lt;=Control!$C$86,$BC44*9*($BF44/Control!$C$86),0))</f>
        <v>#N/A</v>
      </c>
      <c r="BI44" s="140" t="e">
        <f ca="1">IF($BG44=1,0,IF($BE44&gt;=Control!$C$86,1,IF(AND($BB44&lt;21,$BB44&gt;=9),1,$BM43)))</f>
        <v>#N/A</v>
      </c>
      <c r="BJ44" s="140" t="e">
        <f ca="1">IF($BF44&lt;0,-$BF44,$BI44*IF(OR($G44&lt;Control!$C$92,$G44&gt;Control!$C$95),0,IF(AND($G44&gt;=Control!$C$92,$G44&lt;=Control!$C$93),$G44-Control!$C$92,IF(AND($G44&gt;Control!$C$93,$G44&lt;=Control!$C$94),Control!$C$93-Control!$C$92,IF(AND($G44&gt;Control!$C$94,$G44&lt;=Control!$C$95),(Control!$C$93-Control!$C$92)*(Control!$C$94-$G44)/(Control!$C$95-Control!$C$94))))))</f>
        <v>#N/A</v>
      </c>
      <c r="BK44" s="140" t="e">
        <f t="shared" ca="1" si="124"/>
        <v>#N/A</v>
      </c>
      <c r="BL44" s="140" t="e">
        <f ca="1">IF($BK44&lt;=Control!$C$87,$BK44,Control!$C$87-$BK44)</f>
        <v>#N/A</v>
      </c>
      <c r="BM44" s="140" t="e">
        <f ca="1">IF(AND($BB44&gt;=9,$BB44&lt;21),1,IF($BK44&gt;=Control!$C$87,0,$BI44))</f>
        <v>#N/A</v>
      </c>
      <c r="BN44" s="404" t="e">
        <f ca="1">IF($BM44=0,0,IF($BK44&lt;=Control!$C$87,$BI44*(9+(21-9)*($BL44/Control!$C$87)),0))</f>
        <v>#N/A</v>
      </c>
      <c r="BO44" s="140" t="e">
        <f ca="1">IF($BM44=1,0,IF($BK44&gt;=Control!$C$87,1,IF(AND($BB44&lt;30,$BB44&gt;=21),1,$BS43)))</f>
        <v>#N/A</v>
      </c>
      <c r="BP44" s="140" t="e">
        <f ca="1">IF($BL44&lt;0,-$BL44,$BO44*IF(OR($G44&lt;Control!$C$92,$G44&gt;Control!$C$95),0,IF(AND($G44&gt;=Control!$C$92,$G44&lt;=Control!$C$93),$G44-Control!$C$92,IF(AND($G44&gt;Control!$C$93,$G44&lt;=Control!$C$94),Control!$C$93-Control!$C$92,IF(AND($G44&gt;Control!$C$94,$G44&lt;=Control!$C$95),(Control!$C$93-Control!$C$92)*(Control!$C$94-$G44)/(Control!$C$95-Control!$C$94))))))</f>
        <v>#N/A</v>
      </c>
      <c r="BQ44" s="140" t="e">
        <f t="shared" ca="1" si="15"/>
        <v>#N/A</v>
      </c>
      <c r="BR44" s="140" t="e">
        <f ca="1">IF($BQ44&lt;=Control!$C$88,$BQ44,Control!$C$88-$BQ44)</f>
        <v>#N/A</v>
      </c>
      <c r="BS44" s="140" t="e">
        <f ca="1">IF(AND($BB44&gt;=21,$BB44&lt;30),1,IF($BQ44&gt;=Control!$C$88,0,$BO44))</f>
        <v>#N/A</v>
      </c>
      <c r="BT44" s="404" t="e">
        <f ca="1">IF($BS44=0,0,IF($BQ44&lt;=Control!$C$88,$BO44*(21+(30-21)*(BR44/Control!$C$88)),0))</f>
        <v>#N/A</v>
      </c>
      <c r="BU44" s="140" t="e">
        <f ca="1">IF(BG44+BM44+BS44=1,0,IF(OR(AND($BB44&lt;60,$BB44&gt;=30),$BQ44&gt;=Control!$C$88),1*$BA44,$BY43))</f>
        <v>#N/A</v>
      </c>
      <c r="BV44" s="140" t="e">
        <f ca="1">IF($BR44&lt;0,-$BR44,$BU44*IF(OR($G44&lt;Control!$C$92,$G44&gt;Control!$C$95),0,IF(AND($G44&gt;=Control!$C$92,$G44&lt;=Control!$C$93),$G44-Control!$C$92,IF(AND($G44&gt;Control!$C$93,$G44&lt;=Control!$C$94),Control!$C$93-Control!$C$92,IF(AND($G44&gt;Control!$C$94,$G44&lt;=Control!$C$95),(Control!$C$93-Control!$C$92)*(Control!$C$94-$G44)/(Control!$C$95-Control!$C$94))))))</f>
        <v>#N/A</v>
      </c>
      <c r="BW44" s="140" t="e">
        <f t="shared" ca="1" si="16"/>
        <v>#N/A</v>
      </c>
      <c r="BX44" s="140" t="e">
        <f ca="1">IF($BW44&lt;=Control!$C$89,$BW44,Control!$C$89-$BW44)</f>
        <v>#N/A</v>
      </c>
      <c r="BY44" s="140" t="e">
        <f ca="1">IF(AND($AJ44&gt;=30,$AJ44&lt;60),1,IF($BW44&gt;=Control!$C$89,0,$BU44))</f>
        <v>#N/A</v>
      </c>
      <c r="BZ44" s="404" t="e">
        <f ca="1">IF($BY44=0,0,IF($BW44&lt;=Control!$C$89,$BU44*(30+(60-30)*(BX44/Control!$C$89)),0))</f>
        <v>#N/A</v>
      </c>
      <c r="CA44" s="140" t="e">
        <f ca="1">IF($BG44+$BM44+$BS44+$BY44=1,0,IF(OR(AND($BB44&lt;65,$BB44&gt;=60),$BW44&gt;=Control!$C$89),1*$BA44,$CE43))</f>
        <v>#N/A</v>
      </c>
      <c r="CB44" s="140" t="e">
        <f ca="1">IF($BX44&lt;0,-$BX44,$CA44*IF(OR($G44&lt;Control!$C$92,$G44&gt;Control!$C$95),0,IF(AND($G44&gt;=Control!$C$92,$G44&lt;=Control!$C$93),$G44-Control!$C$92,IF(AND($G44&gt;Control!$C$93,$G44&lt;=Control!$C$94),Control!$C$93-Control!$C$92,IF(AND($G44&gt;Control!$C$94,$G44&lt;=Control!$C$95),(Control!$C$93-Control!$C$92)*(Control!$C$94-$G44)/(Control!$C$95-Control!$C$94))))))</f>
        <v>#N/A</v>
      </c>
      <c r="CC44" s="140" t="e">
        <f t="shared" ca="1" si="125"/>
        <v>#N/A</v>
      </c>
      <c r="CD44" s="140" t="e">
        <f ca="1">IF($CC44&lt;=Control!$C$90,$CC44,Control!$C$90-$CC44)</f>
        <v>#N/A</v>
      </c>
      <c r="CE44" s="140" t="e">
        <f ca="1">IF(AND($BB44&gt;=60,$BB44&lt;65),1,IF($CC44&gt;=Control!$C$90,0,$CA44))</f>
        <v>#N/A</v>
      </c>
      <c r="CF44" s="404" t="e">
        <f ca="1">IF($CE44=0,0,IF($CC44&lt;=Control!$C$90,$CA44*(60+(65-60)*(CD44/Control!$C$90)),0))</f>
        <v>#N/A</v>
      </c>
      <c r="CG44" s="140" t="e">
        <f ca="1">IF($BG44+$BM44+$BS44+$BY44+$CE44=1,0,IF(OR(AND($BB44&lt;90,$BB44&gt;=65),$CC44&gt;=Control!$C$90),$BA44,$CK43))</f>
        <v>#N/A</v>
      </c>
      <c r="CH44" s="140" t="e">
        <f ca="1">IF($CD44&lt;0,-$CD44,$CG44*IF(OR($G44&lt;Control!$C$92,$G44&gt;Control!$C$95),0,IF(AND($G44&gt;=Control!$C$92,$G44&lt;=Control!$C$93),$G44-Control!$C$92,IF(AND($G44&gt;Control!$C$93,$G44&lt;=Control!$C$94),Control!$C$93-Control!$C$92,IF(AND($G44&gt;Control!$C$94,$G44&lt;=Control!$C$95),(Control!$C$93-Control!$C$92)*(Control!$C$94-$G44)/(Control!$C$95-Control!$C$94))))))</f>
        <v>#N/A</v>
      </c>
      <c r="CI44" s="140" t="e">
        <f t="shared" ca="1" si="126"/>
        <v>#N/A</v>
      </c>
      <c r="CJ44" s="140" t="e">
        <f ca="1">IF($CI44&lt;=Control!$C$91,$CI44,Control!$C$91-$CI44)</f>
        <v>#N/A</v>
      </c>
      <c r="CK44" s="140" t="e">
        <f ca="1">IF(AND($BB44&gt;=65,$BB44&lt;90),1,IF($CI44&gt;=Control!$C$91,0,$CG44))</f>
        <v>#N/A</v>
      </c>
      <c r="CL44" s="404" t="e">
        <f ca="1">IF($CK44=0,0,IF($CI44&lt;=Control!$C$91,$CG44*(65+(90-65)*($CJ44/Control!$C$91)),0))</f>
        <v>#N/A</v>
      </c>
      <c r="CM44" s="140" t="e">
        <f ca="1">IF($BG44+$BM44+$BS44+$BY44+$CE44+$CK44=1,0,IF(OR($BB44&gt;=90,$CI44&gt;=Control!$C$91),$BA44,$CM43))</f>
        <v>#N/A</v>
      </c>
      <c r="CN44" s="140" t="e">
        <f t="shared" ca="1" si="127"/>
        <v>#N/A</v>
      </c>
      <c r="CO44" s="140" t="e">
        <f t="shared" ca="1" si="128"/>
        <v>#N/A</v>
      </c>
      <c r="CP44" s="140" t="e">
        <f t="shared" ca="1" si="129"/>
        <v>#N/A</v>
      </c>
      <c r="CQ44" s="141" t="e">
        <f ca="1">VLOOKUP($CP44,Control!$B$86:$G$91,6)</f>
        <v>#N/A</v>
      </c>
      <c r="CR44" s="141" t="e">
        <f ca="1">(1-$CQ44)*VLOOKUP($CP44,Control!$B$86:$D$91,3)</f>
        <v>#N/A</v>
      </c>
      <c r="CS44" s="141" t="e">
        <f ca="1">(1-$CQ44)*VLOOKUP($CP44,Control!$B$86:$E$91,4)</f>
        <v>#N/A</v>
      </c>
      <c r="CT44" s="141" t="e">
        <f ca="1">(1-$CQ44)*VLOOKUP($CP44,Control!$B$86:$F$91,5)</f>
        <v>#N/A</v>
      </c>
      <c r="CU44" s="141">
        <f t="shared" ca="1" si="130"/>
        <v>0</v>
      </c>
      <c r="CV44" s="583">
        <f t="shared" ca="1" si="131"/>
        <v>0</v>
      </c>
      <c r="CW44" s="142">
        <f t="shared" ca="1" si="132"/>
        <v>39</v>
      </c>
      <c r="CX44" s="612" t="e">
        <f ca="1">IF(Control!$C$114=1,(MIN(Control!$C$120*(IF($NT44-0.01&lt;0,0,1)),Control!$C$119-$CY44)))</f>
        <v>#DIV/0!</v>
      </c>
      <c r="CY44" s="143" t="e">
        <f t="shared" ca="1" si="133"/>
        <v>#N/A</v>
      </c>
      <c r="CZ44" s="144">
        <f t="shared" ca="1" si="17"/>
        <v>0</v>
      </c>
      <c r="DA44" s="144">
        <f t="shared" ca="1" si="18"/>
        <v>0</v>
      </c>
      <c r="DB44" s="144" t="e">
        <f t="shared" ca="1" si="19"/>
        <v>#N/A</v>
      </c>
      <c r="DC44" s="144" t="e">
        <f t="shared" ca="1" si="20"/>
        <v>#N/A</v>
      </c>
      <c r="DD44" s="144" t="e">
        <f t="shared" ca="1" si="216"/>
        <v>#N/A</v>
      </c>
      <c r="DE44" s="143" t="e">
        <f t="shared" ca="1" si="135"/>
        <v>#N/A</v>
      </c>
      <c r="DF44" s="145" t="e">
        <f ca="1">$DR44*EXP(-Control!$C$158*(1-$KH44))</f>
        <v>#N/A</v>
      </c>
      <c r="DG44" s="146" t="e">
        <f ca="1">IF(Control!$C$114=1, $DF44*$EY44, 0)</f>
        <v>#N/A</v>
      </c>
      <c r="DH44" s="147" t="e">
        <f t="shared" ca="1" si="136"/>
        <v>#N/A</v>
      </c>
      <c r="DI44" s="144" t="e">
        <f t="shared" ca="1" si="191"/>
        <v>#N/A</v>
      </c>
      <c r="DJ44" s="147" t="e">
        <f ca="1">$EF44*Control!$C$109</f>
        <v>#N/A</v>
      </c>
      <c r="DK44" s="144" t="e">
        <f t="shared" ca="1" si="137"/>
        <v>#N/A</v>
      </c>
      <c r="DL44" s="144" t="e">
        <f t="shared" ca="1" si="21"/>
        <v>#N/A</v>
      </c>
      <c r="DM44" s="144" t="e">
        <f ca="1">IF(Control!$C$114=1, (1-EXP(-Control!$C$96*$DK44))*$AR44, 0)</f>
        <v>#N/A</v>
      </c>
      <c r="DN44" s="144">
        <f t="shared" ca="1" si="138"/>
        <v>0</v>
      </c>
      <c r="DO44" s="148">
        <f>Control!$C$97</f>
        <v>4</v>
      </c>
      <c r="DP44" s="145" t="e">
        <f t="shared" ca="1" si="139"/>
        <v>#N/A</v>
      </c>
      <c r="DQ44" s="145" t="e">
        <f ca="1">IF(AND($CP44&gt;=0,$CP44&lt;=90),Control!$C$111,Control!$C$111)</f>
        <v>#N/A</v>
      </c>
      <c r="DR44" s="145" t="e">
        <f t="shared" ca="1" si="22"/>
        <v>#N/A</v>
      </c>
      <c r="DS44" s="143" t="e">
        <f ca="1">Control!$B$22/$DR44</f>
        <v>#N/A</v>
      </c>
      <c r="DT44" s="149" t="e">
        <f ca="1">IF(AND(Control!$C$114=1,$KH44&lt;1),$IM44*$DF44, 0)</f>
        <v>#N/A</v>
      </c>
      <c r="DU44" s="144" t="e">
        <f t="shared" ca="1" si="192"/>
        <v>#N/A</v>
      </c>
      <c r="DV44" s="144">
        <f ca="1">IF($G44-Control!$C$107&lt;=0, 0, 0.83*LN(MAX($G44, 3))-0.8924)</f>
        <v>0</v>
      </c>
      <c r="DW44" s="144" t="e">
        <f t="shared" ca="1" si="23"/>
        <v>#N/A</v>
      </c>
      <c r="DX44" s="150" t="e">
        <f ca="1">MAX(0.01*(1+$CU44/Control!$C$102),0.05*($DK44-Control!$C$97)/Control!$C$97)</f>
        <v>#N/A</v>
      </c>
      <c r="DY44" s="151" t="e">
        <f ca="1">IF(Control!$C$114=1, $DI44*$FS44, 0)</f>
        <v>#N/A</v>
      </c>
      <c r="DZ44" s="196" t="e">
        <f t="shared" ca="1" si="140"/>
        <v>#N/A</v>
      </c>
      <c r="EA44" s="152">
        <f t="shared" ca="1" si="141"/>
        <v>39</v>
      </c>
      <c r="EB44" s="153" t="e">
        <f t="shared" ca="1" si="217"/>
        <v>#N/A</v>
      </c>
      <c r="EC44" s="153" t="e">
        <f t="shared" ca="1" si="142"/>
        <v>#N/A</v>
      </c>
      <c r="ED44" s="154" t="e">
        <f ca="1">IF(Control!$C$114=1, $HM44*$FY44-$FD44, 0)</f>
        <v>#DIV/0!</v>
      </c>
      <c r="EE44" s="155" t="e">
        <f ca="1">IF(Control!$C$114=1, $HM44*$FZ44-$FF44, 0)</f>
        <v>#DIV/0!</v>
      </c>
      <c r="EF44" s="153" t="e">
        <f t="shared" ca="1" si="193"/>
        <v>#N/A</v>
      </c>
      <c r="EG44" s="155" t="e">
        <f ca="1">IF(Control!$C$114=1, $GX44*$FW44-$FI44, 0)</f>
        <v>#DIV/0!</v>
      </c>
      <c r="EH44" s="153" t="e">
        <f t="shared" ca="1" si="143"/>
        <v>#N/A</v>
      </c>
      <c r="EI44" s="156" t="e">
        <f t="shared" ca="1" si="144"/>
        <v>#N/A</v>
      </c>
      <c r="EJ44" s="155" t="e">
        <f ca="1">IF(Control!$C$114=1, $HM44*$GB44, 0)</f>
        <v>#DIV/0!</v>
      </c>
      <c r="EK44" s="153" t="e">
        <f t="shared" ca="1" si="194"/>
        <v>#N/A</v>
      </c>
      <c r="EL44" s="153" t="e">
        <f t="shared" ca="1" si="24"/>
        <v>#N/A</v>
      </c>
      <c r="EM44" s="153" t="e">
        <f t="shared" ca="1" si="25"/>
        <v>#N/A</v>
      </c>
      <c r="EN44" s="153" t="e">
        <f ca="1">IF(Control!$C$108=1,IF(AND(Control!$B$18=1,$EB44&gt;=Control!$B$19),$EB44-$DS44,IF(AND(Control!$B$18=2,$AW44=1,$EB44&gt;$DS44),$EB44-$DS44,0)))</f>
        <v>#N/A</v>
      </c>
      <c r="EO44" s="153" t="e">
        <f ca="1">IF(Control!$C$108=1,IF(AND(Control!$B$18=1,$EB44&gt;=Control!$B$19),$EF44,IF(AND(Control!$B$18=2,$AW44=1),$EF44,0)))</f>
        <v>#N/A</v>
      </c>
      <c r="EP44" s="153" t="e">
        <f ca="1">IF(Control!$C$108=1,IF(AND(Control!$B$18=1,$EB44&gt;=Control!$B$19),$EK44,IF(AND(Control!$B$18=2,$AW44=1),$EK44,0)))</f>
        <v>#N/A</v>
      </c>
      <c r="EQ44" s="153" t="e">
        <f t="shared" ca="1" si="145"/>
        <v>#N/A</v>
      </c>
      <c r="ER44" s="153" t="e">
        <f t="shared" ca="1" si="231"/>
        <v>#N/A</v>
      </c>
      <c r="ES44" s="153" t="e">
        <f t="shared" ca="1" si="196"/>
        <v>#N/A</v>
      </c>
      <c r="ET44" s="153" t="e">
        <f t="shared" ca="1" si="197"/>
        <v>#N/A</v>
      </c>
      <c r="EU44" s="153" t="e">
        <f t="shared" ca="1" si="198"/>
        <v>#N/A</v>
      </c>
      <c r="EV44" s="153" t="e">
        <f t="shared" ca="1" si="146"/>
        <v>#N/A</v>
      </c>
      <c r="EW44" s="153" t="e">
        <f t="shared" ca="1" si="218"/>
        <v>#N/A</v>
      </c>
      <c r="EX44" s="153" t="e">
        <f t="shared" ca="1" si="26"/>
        <v>#N/A</v>
      </c>
      <c r="EY44" s="157" t="e">
        <f t="shared" ca="1" si="147"/>
        <v>#DIV/0!</v>
      </c>
      <c r="EZ44" s="154" t="e">
        <f t="shared" ca="1" si="27"/>
        <v>#DIV/0!</v>
      </c>
      <c r="FA44" s="153" t="e">
        <f t="shared" ca="1" si="199"/>
        <v>#N/A</v>
      </c>
      <c r="FB44" s="153" t="e">
        <f t="shared" ca="1" si="28"/>
        <v>#N/A</v>
      </c>
      <c r="FC44" s="193" t="e">
        <f t="shared" ca="1" si="29"/>
        <v>#N/A</v>
      </c>
      <c r="FD44" s="158" t="e">
        <f t="shared" ca="1" si="200"/>
        <v>#N/A</v>
      </c>
      <c r="FE44" s="158" t="e">
        <f t="shared" ca="1" si="148"/>
        <v>#N/A</v>
      </c>
      <c r="FF44" s="159" t="e">
        <f t="shared" ca="1" si="30"/>
        <v>#N/A</v>
      </c>
      <c r="FG44" s="160" t="e">
        <f t="shared" ca="1" si="149"/>
        <v>#N/A</v>
      </c>
      <c r="FH44" s="158" t="e">
        <f t="shared" ca="1" si="150"/>
        <v>#N/A</v>
      </c>
      <c r="FI44" s="159" t="e">
        <f t="shared" ca="1" si="31"/>
        <v>#N/A</v>
      </c>
      <c r="FJ44" s="160" t="e">
        <f t="shared" ca="1" si="151"/>
        <v>#N/A</v>
      </c>
      <c r="FK44" s="160" t="e">
        <f t="shared" ca="1" si="32"/>
        <v>#N/A</v>
      </c>
      <c r="FL44" s="160" t="e">
        <f t="shared" ca="1" si="229"/>
        <v>#N/A</v>
      </c>
      <c r="FM44" s="160" t="e">
        <f t="shared" ca="1" si="33"/>
        <v>#N/A</v>
      </c>
      <c r="FN44" s="158">
        <f t="shared" ca="1" si="219"/>
        <v>0.01</v>
      </c>
      <c r="FO44" s="160">
        <f>Control!$C$101</f>
        <v>50</v>
      </c>
      <c r="FP44" s="150" t="e">
        <f t="shared" ca="1" si="34"/>
        <v>#N/A</v>
      </c>
      <c r="FQ44" s="150" t="e">
        <f ca="1">MAX(0,(Control!$C$112*(($DK44-Control!$C$97)/Control!$C$97)))</f>
        <v>#N/A</v>
      </c>
      <c r="FR44" s="150" t="e">
        <f ca="1">(1-$NT44)*Control!$C$113</f>
        <v>#DIV/0!</v>
      </c>
      <c r="FS44" s="198" t="e">
        <f t="shared" ca="1" si="35"/>
        <v>#N/A</v>
      </c>
      <c r="FT44" s="161">
        <f t="shared" ca="1" si="152"/>
        <v>39</v>
      </c>
      <c r="FU44" s="162" t="e">
        <f ca="1">IF(Control!$B$34=1,VLOOKUP($CP44,Control!$B$86:$G$91,6),Control!$B$35)</f>
        <v>#N/A</v>
      </c>
      <c r="FV44" s="162" t="e">
        <f t="shared" ca="1" si="36"/>
        <v>#DIV/0!</v>
      </c>
      <c r="FW44" s="162" t="e">
        <f ca="1">IF(Control!$B$31=1,$FU44*$FV44,  $FU44)</f>
        <v>#N/A</v>
      </c>
      <c r="FX44" s="162" t="e">
        <f ca="1">IF(Control!$B$34=1,VLOOKUP($CP44,Control!$B$86:$G$91,3),Control!$B$36)</f>
        <v>#N/A</v>
      </c>
      <c r="FY44" s="162" t="e">
        <f t="shared" ca="1" si="37"/>
        <v>#N/A</v>
      </c>
      <c r="FZ44" s="162" t="e">
        <f ca="1">IF(Control!$B$34=1,VLOOKUP($CP44,Control!$B$86:$G$91,4),Control!$B$37)</f>
        <v>#N/A</v>
      </c>
      <c r="GA44" s="162" t="e">
        <f t="shared" ca="1" si="38"/>
        <v>#N/A</v>
      </c>
      <c r="GB44" s="162" t="e">
        <f ca="1">IF(Control!$B$34=1,VLOOKUP($CP44,Control!$B$86:$G$91,5),Control!$B$38)</f>
        <v>#N/A</v>
      </c>
      <c r="GC44" s="162" t="e">
        <f t="shared" ca="1" si="153"/>
        <v>#N/A</v>
      </c>
      <c r="GD44" s="162">
        <f t="shared" ca="1" si="39"/>
        <v>1</v>
      </c>
      <c r="GE44" s="162">
        <f t="shared" ca="1" si="40"/>
        <v>1</v>
      </c>
      <c r="GF44" s="162">
        <f ca="1">IF(AND(Control!$C$104=1, Control!$C$62="F"),$GE44,1)</f>
        <v>1</v>
      </c>
      <c r="GG44" s="162" t="e">
        <f ca="1">IF(Control!$B$16=40,0,IF(AND(Control!$B$16&gt;40,Control!$B$16&lt;=360),(Control!$B$16-40)*((1-0)/(360-40)),IF(AND(Control!$B$16&gt;360,Control!$B$16&lt;=720),(1+(Control!$B$16-360)*((1.25-1)/(720-360))),IF(AND(Control!$B$16&gt;720,Control!$B$16&lt;=1000),(1.25+(Control!$B$16-720)*((1.35-1.25)/(1000-720))),IF(AND(Control!$B$16&gt;1000,Control!$B$16&lt;=2000),(1.35+(Control!$B$16-1000)*0))))))</f>
        <v>#N/A</v>
      </c>
      <c r="GH44" s="162" t="e">
        <f t="shared" ca="1" si="41"/>
        <v>#N/A</v>
      </c>
      <c r="GI44" s="162">
        <f t="shared" ca="1" si="201"/>
        <v>0</v>
      </c>
      <c r="GJ44" s="162">
        <f t="shared" ca="1" si="42"/>
        <v>0</v>
      </c>
      <c r="GK44" s="162">
        <f t="shared" ca="1" si="220"/>
        <v>1</v>
      </c>
      <c r="GL44" s="162">
        <f t="shared" ca="1" si="43"/>
        <v>1</v>
      </c>
      <c r="GM44" s="162" t="e">
        <f ca="1">MAX(0,MIN(1,1-Control!$C$156*(1.0001-$KH44)^2))</f>
        <v>#N/A</v>
      </c>
      <c r="GN44" s="162" t="e">
        <f ca="1">IF(Control!$B$26=1,$KU44,$KX44)</f>
        <v>#N/A</v>
      </c>
      <c r="GO44" s="162" t="e">
        <f ca="1">IF($CP44&lt;=60,Control!$C$105,IF($CP44&gt;=90,Control!$C$106,Control!$C$105+($CP44-60)*((Control!$C$106-Control!$C$105)/(90-60))))</f>
        <v>#N/A</v>
      </c>
      <c r="GP44" s="162" t="e">
        <f t="shared" ca="1" si="154"/>
        <v>#N/A</v>
      </c>
      <c r="GQ44" s="162" t="e">
        <f t="shared" ca="1" si="155"/>
        <v>#N/A</v>
      </c>
      <c r="GR44" s="163" t="e">
        <f t="shared" ca="1" si="44"/>
        <v>#DIV/0!</v>
      </c>
      <c r="GS44" s="162" t="e">
        <f t="shared" ca="1" si="45"/>
        <v>#DIV/0!</v>
      </c>
      <c r="GT44" s="164" t="e">
        <f t="shared" ca="1" si="156"/>
        <v>#N/A</v>
      </c>
      <c r="GU44" s="162" t="e">
        <f t="shared" ca="1" si="157"/>
        <v>#N/A</v>
      </c>
      <c r="GV44" s="162" t="e">
        <f t="shared" ca="1" si="46"/>
        <v>#N/A</v>
      </c>
      <c r="GW44" s="162" t="e">
        <f t="shared" ca="1" si="221"/>
        <v>#DIV/0!</v>
      </c>
      <c r="GX44" s="162" t="e">
        <f t="shared" ca="1" si="228"/>
        <v>#DIV/0!</v>
      </c>
      <c r="GY44" s="162" t="e">
        <f t="shared" ca="1" si="158"/>
        <v>#DIV/0!</v>
      </c>
      <c r="GZ44" s="165" t="e">
        <f t="shared" ca="1" si="159"/>
        <v>#N/A</v>
      </c>
      <c r="HA44" s="162" t="e">
        <f ca="1">IF(Control!$C$114=1, $DI44*$FS44, 0)</f>
        <v>#N/A</v>
      </c>
      <c r="HB44" s="162" t="e">
        <f ca="1">$FA44/Control!$C$64</f>
        <v>#N/A</v>
      </c>
      <c r="HC44" s="162" t="e">
        <f t="shared" ca="1" si="222"/>
        <v>#DIV/0!</v>
      </c>
      <c r="HD44" s="162">
        <f ca="1">-ASIN(SIN(23.45*Control!$C$139)*COS(2*Control!$C$138*($AH44+10)/365))</f>
        <v>-0.26776660596172797</v>
      </c>
      <c r="HE44" s="165">
        <f t="shared" ca="1" si="160"/>
        <v>0</v>
      </c>
      <c r="HF44" s="166">
        <f ca="1">IF(AND(Control!$C$61="T",$HE44&gt;=Control!$C$103,Control!$C$114=0),$AH44,Control!$C$59)</f>
        <v>1</v>
      </c>
      <c r="HG44" s="166">
        <f ca="1">IF(AND(Control!$C$61="T",$HE44&gt;=Control!$C$103,Control!$C$114=0),$HF44,Control!$C$59)</f>
        <v>1</v>
      </c>
      <c r="HH44" s="165">
        <f ca="1">IF(AND(OR(Control!$C$60&lt;=0, $AH44= Control!$C$59, Control!$C$60 &gt;0, $AH44 = Control!$C$60)), Control!$C$59, IF(Control!$C$60&gt;0, 0))</f>
        <v>1</v>
      </c>
      <c r="HI44" s="165">
        <f ca="1">IF(AND(OR(Control!$C$60&lt;=0, $AH44= Control!$C$59, Control!$C$60 &gt;0, $AH44 = Control!$C$60)), Control!$C$60, IF(Control!$C$60&lt;=0, 0))</f>
        <v>0</v>
      </c>
      <c r="HJ44" s="166">
        <f ca="1">IF(AND(Control!$C$62="F",$CV44&gt;=Control!$C$102),$AH44,0)</f>
        <v>0</v>
      </c>
      <c r="HK44" s="165" t="e">
        <f t="shared" ca="1" si="202"/>
        <v>#N/A</v>
      </c>
      <c r="HL44" s="166">
        <f ca="1">IF(AND(Control!$C$61="T",$HE44&gt;=Control!$C$103,Control!$C$114=0),$HF44,0)</f>
        <v>0</v>
      </c>
      <c r="HM44" s="201" t="e">
        <f t="shared" ca="1" si="47"/>
        <v>#DIV/0!</v>
      </c>
      <c r="HN44" s="215">
        <f t="shared" ca="1" si="161"/>
        <v>39</v>
      </c>
      <c r="HO44" s="216" t="e">
        <f ca="1">IF(AND($CP44&gt;=0, $CP44&lt;=90), Control!$C$152, Control!$C$152)</f>
        <v>#N/A</v>
      </c>
      <c r="HP44" s="216" t="e">
        <f t="shared" ca="1" si="48"/>
        <v>#N/A</v>
      </c>
      <c r="HQ44" s="217" t="e">
        <f ca="1">IF(OR(Control!$B$26=1,Control!$B$26=2),$KV44,$KS44)</f>
        <v>#DIV/0!</v>
      </c>
      <c r="HR44" s="218" t="e">
        <f t="shared" ca="1" si="223"/>
        <v>#DIV/0!</v>
      </c>
      <c r="HS44" s="216" t="e">
        <f ca="1">Control!$C$154*$HP44</f>
        <v>#N/A</v>
      </c>
      <c r="HT44" s="216" t="e">
        <f ca="1">Control!$C$155*$HP44</f>
        <v>#N/A</v>
      </c>
      <c r="HU44" s="217" t="e">
        <f ca="1">Control!$C$161*$FI44</f>
        <v>#N/A</v>
      </c>
      <c r="HV44" s="218" t="e">
        <f t="shared" ca="1" si="162"/>
        <v>#N/A</v>
      </c>
      <c r="HW44" s="218" t="e">
        <f ca="1">Control!$C$160*$FF44+$IP44*$EO44</f>
        <v>#N/A</v>
      </c>
      <c r="HX44" s="218" t="e">
        <f t="shared" ca="1" si="203"/>
        <v>#N/A</v>
      </c>
      <c r="HY44" s="219" t="e">
        <f ca="1">IF(Control!$C$114=1, $EB44*$FS44, 0)</f>
        <v>#N/A</v>
      </c>
      <c r="HZ44" s="91" t="e">
        <f t="shared" ca="1" si="49"/>
        <v>#N/A</v>
      </c>
      <c r="IA44" s="220" t="e">
        <f ca="1">Control!$C$153*$HO44</f>
        <v>#N/A</v>
      </c>
      <c r="IB44" s="218" t="e">
        <f t="shared" ca="1" si="50"/>
        <v>#N/A</v>
      </c>
      <c r="IC44" s="220" t="e">
        <f ca="1">Control!$C$153*$HT44</f>
        <v>#N/A</v>
      </c>
      <c r="ID44" s="218" t="e">
        <f t="shared" ca="1" si="51"/>
        <v>#N/A</v>
      </c>
      <c r="IE44" s="221" t="e">
        <f ca="1">($EB44*Control!$C$159+$EF44*Control!$C$160)/(IF($GZ44&lt;&gt;0,$GZ44,1))</f>
        <v>#N/A</v>
      </c>
      <c r="IF44" s="216" t="e">
        <f t="shared" ca="1" si="52"/>
        <v>#N/A</v>
      </c>
      <c r="IG44" s="91">
        <f ca="1">IF(OR(Control!$B$198=$AH44,Control!$B$199=$AH44, Control!$B$200=$AH44, Control!$B$201=$AH44, Control!$B$202=$AH44, Control!$B$203=$AH44, Control!$B$204=$AH44, Control!$B$205=$AH44, Control!$B$206=$AH44, Control!$B$207=$AH44), 1, 0)</f>
        <v>0</v>
      </c>
      <c r="IH44" s="91">
        <f ca="1">IF($IG44=0,0, VLOOKUP($AH44,Control!$B$198:$C$207,2))</f>
        <v>0</v>
      </c>
      <c r="II44" s="222">
        <f t="shared" ca="1" si="163"/>
        <v>0</v>
      </c>
      <c r="IJ44" s="91">
        <f>Control!$C$121</f>
        <v>0.7</v>
      </c>
      <c r="IK44" s="218">
        <f t="shared" ca="1" si="53"/>
        <v>0</v>
      </c>
      <c r="IL44" s="217" t="e">
        <f t="shared" ca="1" si="204"/>
        <v>#N/A</v>
      </c>
      <c r="IM44" s="223" t="e">
        <f ca="1">IF(AND(Control!$C$114=1,$KH44&lt;1),$EB44*Control!$C$148*(1-$KH44), 0)</f>
        <v>#N/A</v>
      </c>
      <c r="IN44" s="217" t="e">
        <f t="shared" ca="1" si="54"/>
        <v>#DIV/0!</v>
      </c>
      <c r="IO44" s="91" t="e">
        <f ca="1">MAX(0,$IL44-$EF44*Control!$C$160)</f>
        <v>#N/A</v>
      </c>
      <c r="IP44" s="220" t="e">
        <f t="shared" ca="1" si="55"/>
        <v>#N/A</v>
      </c>
      <c r="IQ44" s="217" t="e">
        <f t="shared" ca="1" si="164"/>
        <v>#N/A</v>
      </c>
      <c r="IR44" s="218" t="e">
        <f t="shared" ca="1" si="56"/>
        <v>#N/A</v>
      </c>
      <c r="IS44" s="217" t="e">
        <f ca="1">Control!$C$159*MAX(0,$FD44-$EN44)</f>
        <v>#N/A</v>
      </c>
      <c r="IT44" s="217" t="e">
        <f t="shared" ca="1" si="205"/>
        <v>#N/A</v>
      </c>
      <c r="IU44" s="217" t="e">
        <f t="shared" ca="1" si="165"/>
        <v>#N/A</v>
      </c>
      <c r="IV44" s="217" t="e">
        <f t="shared" ca="1" si="206"/>
        <v>#N/A</v>
      </c>
      <c r="IW44" s="217" t="e">
        <f ca="1">IF(OR($AW44=1,AND($AW44=0, Control!$B$18=1,$EN44&lt;&gt;0)), $IQ44-$IU44, $IQ44)</f>
        <v>#N/A</v>
      </c>
      <c r="IX44" s="218" t="e">
        <f t="shared" ca="1" si="57"/>
        <v>#N/A</v>
      </c>
      <c r="IY44" s="218" t="e">
        <f ca="1">MAX(0,$IQ44-$EB44*Control!$C$159)</f>
        <v>#N/A</v>
      </c>
      <c r="IZ44" s="218" t="e">
        <f t="shared" ca="1" si="58"/>
        <v>#N/A</v>
      </c>
      <c r="JA44" s="216" t="e">
        <f t="shared" ca="1" si="59"/>
        <v>#N/A</v>
      </c>
      <c r="JB44" s="217" t="e">
        <f t="shared" ca="1" si="60"/>
        <v>#N/A</v>
      </c>
      <c r="JC44" s="222" t="e">
        <f ca="1">MAX(Control!$C$157*$EK44-$JT44, 0)/Control!$C$162</f>
        <v>#N/A</v>
      </c>
      <c r="JD44" s="218" t="e">
        <f t="shared" ca="1" si="61"/>
        <v>#N/A</v>
      </c>
      <c r="JE44" s="218" t="e">
        <f t="shared" ca="1" si="62"/>
        <v>#N/A</v>
      </c>
      <c r="JF44" s="218" t="e">
        <f t="shared" ca="1" si="207"/>
        <v>#N/A</v>
      </c>
      <c r="JG44" s="218" t="e">
        <f t="shared" ca="1" si="63"/>
        <v>#N/A</v>
      </c>
      <c r="JH44" s="217" t="e">
        <f t="shared" ca="1" si="166"/>
        <v>#N/A</v>
      </c>
      <c r="JI44" s="217" t="e">
        <f t="shared" ca="1" si="167"/>
        <v>#N/A</v>
      </c>
      <c r="JJ44" s="217" t="e">
        <f t="shared" ca="1" si="224"/>
        <v>#N/A</v>
      </c>
      <c r="JK44" s="217" t="e">
        <f ca="1">IF(Control!$C$114=1,IF(Control!$B$24=0,MAX(0,$JI44)*$GN44/Control!$C$64,(MAX(0,MIN($JI44,$JJ44*$GN44/Control!$C$64),0))))</f>
        <v>#N/A</v>
      </c>
      <c r="JL44" s="217" t="e">
        <f ca="1">$IK44/Control!$C$64-$JK44+$HQ44</f>
        <v>#N/A</v>
      </c>
      <c r="JM44" s="217" t="e">
        <f ca="1">IF(Control!$C$114=1,($JB44/(IF($JI44&lt;&gt;0,$JI44,1)))*$JK44,0)</f>
        <v>#N/A</v>
      </c>
      <c r="JN44" s="217" t="e">
        <f ca="1">IF(Control!$C$114=1,($JG44/(IF($JI44&lt;&gt;0,$JI44,1)))*$JK44, 0)</f>
        <v>#N/A</v>
      </c>
      <c r="JO44" s="218" t="e">
        <f t="shared" ca="1" si="64"/>
        <v>#N/A</v>
      </c>
      <c r="JP44" s="218" t="e">
        <f ca="1">MIN(($IY44+$IO44)*Control!$C$151, $JF44-$EH44*Control!$C$161)</f>
        <v>#N/A</v>
      </c>
      <c r="JQ44" s="218" t="e">
        <f t="shared" ca="1" si="65"/>
        <v>#N/A</v>
      </c>
      <c r="JR44" s="217" t="e">
        <f ca="1">IF($CP44-Control!$C$150&lt;0, 0, $JQ44/Control!$C$162)</f>
        <v>#N/A</v>
      </c>
      <c r="JS44" s="218" t="e">
        <f t="shared" ca="1" si="66"/>
        <v>#N/A</v>
      </c>
      <c r="JT44" s="218" t="e">
        <f t="shared" ca="1" si="168"/>
        <v>#N/A</v>
      </c>
      <c r="JU44" s="218" t="e">
        <f t="shared" ca="1" si="67"/>
        <v>#N/A</v>
      </c>
      <c r="JV44" s="218" t="e">
        <f t="shared" ca="1" si="68"/>
        <v>#N/A</v>
      </c>
      <c r="JW44" s="216" t="e">
        <f t="shared" ca="1" si="69"/>
        <v>#N/A</v>
      </c>
      <c r="JX44" s="91" t="e">
        <f t="shared" ca="1" si="70"/>
        <v>#N/A</v>
      </c>
      <c r="JY44" s="218" t="e">
        <f t="shared" ca="1" si="71"/>
        <v>#N/A</v>
      </c>
      <c r="JZ44" s="217" t="e">
        <f ca="1">IF(Control!$C$114=1,($IZ44/(IF($JI44&lt;&gt;0,$JI44,1)))*$JK44, 0)</f>
        <v>#N/A</v>
      </c>
      <c r="KA44" s="218" t="e">
        <f t="shared" ca="1" si="225"/>
        <v>#N/A</v>
      </c>
      <c r="KB44" s="218" t="e">
        <f t="shared" ca="1" si="169"/>
        <v>#N/A</v>
      </c>
      <c r="KC44" s="218" t="e">
        <f t="shared" ca="1" si="72"/>
        <v>#N/A</v>
      </c>
      <c r="KD44" s="218" t="e">
        <f t="shared" ca="1" si="73"/>
        <v>#N/A</v>
      </c>
      <c r="KE44" s="218" t="e">
        <f t="shared" ca="1" si="74"/>
        <v>#N/A</v>
      </c>
      <c r="KF44" s="218" t="e">
        <f t="shared" ca="1" si="75"/>
        <v>#N/A</v>
      </c>
      <c r="KG44" s="216" t="e">
        <f t="shared" ca="1" si="76"/>
        <v>#N/A</v>
      </c>
      <c r="KH44" s="221" t="e">
        <f ca="1">IF(Control!$B$24=0,1,MAX(0.001,MIN(1,IF(($IF44-$IE44)&lt;&gt;0,($KG44-$IE44)/($IF44-$IE44),1))))</f>
        <v>#N/A</v>
      </c>
      <c r="KI44" s="222" t="e">
        <f ca="1">IF(Control!$C$114=1, $KI43+ $KH43, 0)</f>
        <v>#N/A</v>
      </c>
      <c r="KJ44" s="217" t="e">
        <f t="shared" ca="1" si="77"/>
        <v>#N/A</v>
      </c>
      <c r="KK44" s="218" t="e">
        <f t="shared" ca="1" si="78"/>
        <v>#N/A</v>
      </c>
      <c r="KL44" s="274" t="e">
        <f ca="1">IF(Control!$B$26=3,4000000000*EXP(-8400/($G44+273)),IF(Control!$B$26=4,4000000000*EXP(-8400/($G44+273))*($KT44),0))</f>
        <v>#DIV/0!</v>
      </c>
      <c r="KM44" s="274" t="e">
        <f ca="1">IF(Control!$B$26=3,5600000000000*EXP(-9800/($G44+273)),IF(Control!$B$26=4,5600000000000*EXP(-9800/($G44+273))*$KT44,0))</f>
        <v>#DIV/0!</v>
      </c>
      <c r="KN44" s="454" t="e">
        <f t="shared" ca="1" si="170"/>
        <v>#DIV/0!</v>
      </c>
      <c r="KO44" s="274" t="e">
        <f t="shared" ca="1" si="171"/>
        <v>#DIV/0!</v>
      </c>
      <c r="KP44" s="454" t="e">
        <f t="shared" ca="1" si="79"/>
        <v>#DIV/0!</v>
      </c>
      <c r="KQ44" s="454" t="e">
        <f t="shared" ca="1" si="80"/>
        <v>#DIV/0!</v>
      </c>
      <c r="KR44" s="454" t="e">
        <f t="shared" ca="1" si="81"/>
        <v>#DIV/0!</v>
      </c>
      <c r="KS44" s="454" t="e">
        <f t="shared" ca="1" si="82"/>
        <v>#DIV/0!</v>
      </c>
      <c r="KT44" s="455" t="e">
        <f t="shared" ca="1" si="83"/>
        <v>#DIV/0!</v>
      </c>
      <c r="KU44" s="456" t="e">
        <f ca="1">IF($CP44-Control!$C$149&lt;0, IF($NT44-0.01&lt;0,0,1),0)</f>
        <v>#N/A</v>
      </c>
      <c r="KV44" s="456" t="e">
        <f ca="1">IF(Control!$C$114=1,MAX(0,MIN(Control!$C$125*$KW44*$GN44,$KW44)))</f>
        <v>#DIV/0!</v>
      </c>
      <c r="KW44" s="456" t="e">
        <f t="shared" ca="1" si="208"/>
        <v>#DIV/0!</v>
      </c>
      <c r="KX44" s="457" t="e">
        <f ca="1">IF($CP44-Control!$C$149&lt;0, IF($MR44-$OM44&lt;0,0,1),0)</f>
        <v>#N/A</v>
      </c>
      <c r="KY44" s="167">
        <f t="shared" ca="1" si="172"/>
        <v>39</v>
      </c>
      <c r="KZ44" s="168">
        <f ca="1">1370*(1+0.033*COS(2*Control!$C$138*$AH44/365))</f>
        <v>1405.3984863368166</v>
      </c>
      <c r="LA44" s="169">
        <f t="shared" ca="1" si="173"/>
        <v>1.0258383434213432</v>
      </c>
      <c r="LB44" s="169">
        <f t="shared" ca="1" si="174"/>
        <v>-0.26927172994258658</v>
      </c>
      <c r="LC44" s="169">
        <f ca="1">ACOS(-TAN((2*Control!$B$8/360))*TAN(Calculations!$LB44))</f>
        <v>1.4886836751348866</v>
      </c>
      <c r="LD44" s="169">
        <f ca="1">((24*60)/PI())*0.082*$LA44*(($LC44*SIN(Control!$B$8*2*PI()/360))*SIN($LB44)+COS(Control!$B$8*2*PI()/360)*COS($LB44)*SIN($LC44))</f>
        <v>10.77278579848986</v>
      </c>
      <c r="LE44" s="170">
        <f t="shared" ca="1" si="84"/>
        <v>11.664102193235031</v>
      </c>
      <c r="LF44" s="170">
        <f ca="1">SIN(Control!$C$139*Control!$B$8)*SIN($HD44)</f>
        <v>-0.20849088581154943</v>
      </c>
      <c r="LG44" s="170">
        <f ca="1">COS(Control!$C$139*Control!$B$8)*COS($HD44)</f>
        <v>0.59372027862377563</v>
      </c>
      <c r="LH44" s="170">
        <f ca="1">12*(1+2*ASIN(MAX(-1,MIN(1,$LF44/$LG44))/Control!$C$138))</f>
        <v>9.3117226192504035</v>
      </c>
      <c r="LI44" s="170">
        <f ca="1">12*(1+2*ASIN(MAX(-1,MIN(1,(-SIN(-4*Control!$C$139)+$LF44)/$LG44))/Control!$C$138))</f>
        <v>10.213251560335625</v>
      </c>
      <c r="LJ44" s="168">
        <f ca="1">3600*($LH44*$LF44+24*$LG44*SQRT(1-$LK44*$LK44)/Control!$C$138)</f>
        <v>8299.4981897537218</v>
      </c>
      <c r="LK44" s="170">
        <f t="shared" ca="1" si="85"/>
        <v>-0.35116012256617635</v>
      </c>
      <c r="LL44" s="170">
        <f t="shared" ca="1" si="86"/>
        <v>0</v>
      </c>
      <c r="LM44" s="171">
        <f ca="1">Control!$C$145*$AB44</f>
        <v>6.6660906138995932E-2</v>
      </c>
      <c r="LN44" s="170">
        <f t="shared" ca="1" si="175"/>
        <v>0.54</v>
      </c>
      <c r="LO44" s="170">
        <f t="shared" ca="1" si="87"/>
        <v>0</v>
      </c>
      <c r="LP44" s="170">
        <f ca="1">Control!$C$140*((($D44+273.16)^4+($E44+273.16)^4)/2)*(0.34-0.14*SQRT($Y44))*(1.35*$AQ44/(0.75*$LD44)-0.35)</f>
        <v>-3.2464704755046001</v>
      </c>
      <c r="LQ44" s="170">
        <f ca="1">Control!$C$140*($G44+273)^4*(0.56-0.079*SQRT($Y44*10))*(0.1+0.9*$LO44)</f>
        <v>1.5241745131704001</v>
      </c>
      <c r="LR44" s="170">
        <f ca="1">$AQ44*(1-Control!$C$142)-$LQ44</f>
        <v>-1.5241745131704001</v>
      </c>
      <c r="LS44" s="170">
        <f ca="1">$AQ44*(1-Control!$C$143)-$LQ44</f>
        <v>-1.5241745131704001</v>
      </c>
      <c r="LT44" s="170">
        <f ca="1">$AQ44*(1-Control!$C$144)-$LQ44</f>
        <v>-1.5241745131704001</v>
      </c>
      <c r="LU44" s="169">
        <f ca="1">(1-Control!$C$144)*AQ44-LP44</f>
        <v>3.2464704755046001</v>
      </c>
      <c r="LV44" s="172">
        <f t="shared" ca="1" si="88"/>
        <v>0.79430000000000012</v>
      </c>
      <c r="LW44" s="170">
        <f t="shared" ca="1" si="89"/>
        <v>1.5886000000000002</v>
      </c>
      <c r="LX44" s="170">
        <f ca="1">($AC44*($LR44/Control!$C$141)+$LM44*$LV44)/($AC44+$LM44)</f>
        <v>0.23530094218323697</v>
      </c>
      <c r="LY44" s="170">
        <f ca="1">($AC44*($LS44/Control!$C$141)+$LM44*$LV44)/($AC44+$LM44)</f>
        <v>0.23530094218323697</v>
      </c>
      <c r="LZ44" s="170">
        <f t="shared" ca="1" si="90"/>
        <v>0.23530094218323697</v>
      </c>
      <c r="MA44" s="170">
        <f t="shared" ca="1" si="91"/>
        <v>0.23530094218323697</v>
      </c>
      <c r="MB44" s="170" t="e">
        <f t="shared" ca="1" si="92"/>
        <v>#N/A</v>
      </c>
      <c r="MC44" s="170">
        <f t="shared" ca="1" si="176"/>
        <v>0.6018</v>
      </c>
      <c r="MD44" s="170">
        <f t="shared" ca="1" si="93"/>
        <v>0.52989392535414004</v>
      </c>
      <c r="ME44" s="170">
        <f ca="1">($AC44*($LT44/Control!$C$141)+$LM44*$LW44)/($AC44+$LM44)</f>
        <v>0.71612369323045078</v>
      </c>
      <c r="MF44" s="170" t="e">
        <f ca="1">IF(Control!$B$16&gt;=1000,0.92,IF(AND(720&lt;=Control!$B$16,1000&gt;Control!$B$16),(0.95+(Control!$B$16-720)*((0.92-0.95)/(1000-720))),IF(AND(360&lt;=Control!$B$16,720&gt;Control!$B$16),(1+(Control!$B$16-360)*((0.95-1)/(720-360))),IF(AND(40&lt;=Control!$B$16,360&gt;Control!$B$16),(1.05+(Control!$B$16-40)*((1.05-1)/(360-40)))))))</f>
        <v>#N/A</v>
      </c>
      <c r="MG44" s="170">
        <f t="shared" ca="1" si="94"/>
        <v>0.71612369323045078</v>
      </c>
      <c r="MH44" s="170" t="e">
        <f t="shared" ca="1" si="230"/>
        <v>#N/A</v>
      </c>
      <c r="MI44" s="170" t="e">
        <f t="shared" ca="1" si="230"/>
        <v>#N/A</v>
      </c>
      <c r="MJ44" s="170" t="e">
        <f ca="1">MAX(0.0001, Control!$C$132*$MI44*$DL44)</f>
        <v>#N/A</v>
      </c>
      <c r="MK44" s="170">
        <f ca="1">1/(0.76+1.5*($MG44/10))-(5-Control!$C$110)*0.1</f>
        <v>1.002845988140797</v>
      </c>
      <c r="ML44" s="173">
        <f ca="1">IF(Control!$C$110&lt;3,$MK44+($MG44-0.6)/(Control!$C$110*(Control!$C$110+3)), MAX(0.1, MIN(0.95,$MK44)))</f>
        <v>0.95</v>
      </c>
      <c r="MM44" s="173">
        <f ca="1">IF(Control!$C$110&lt;3,$MK44+(($MI44/10)-0.6)/(Control!$C$110*(Control!$C$110+3)), MAX(0.1, MIN(0.95,$MK44)))</f>
        <v>0.95</v>
      </c>
      <c r="MN44" s="173">
        <f ca="1">(1-$MM44)*(Control!$C$128-Control!$C$127)+Control!$C$127</f>
        <v>0.16</v>
      </c>
      <c r="MO44" s="170" t="e">
        <f ca="1">MAX(0,MIN(1,($MS44-Control!$C$127)/($MN44-Control!$C$127)))</f>
        <v>#DIV/0!</v>
      </c>
      <c r="MP44" s="173" t="e">
        <f ca="1">1/(0.76+1.5*$MI44)-(5-Control!$C$110)*0.1</f>
        <v>#N/A</v>
      </c>
      <c r="MQ44" s="172" t="e">
        <f t="shared" ca="1" si="209"/>
        <v>#DIV/0!</v>
      </c>
      <c r="MR44" s="168" t="e">
        <f t="shared" ca="1" si="226"/>
        <v>#DIV/0!</v>
      </c>
      <c r="MS44" s="173" t="e">
        <f ca="1">MAX(Control!$C$127, MIN(Control!$C$135, $MR44/MAX(0.0001,$CY44)))</f>
        <v>#DIV/0!</v>
      </c>
      <c r="MT44" s="168" t="e">
        <f ca="1">(Control!$C$128-$MS44)*Control!$C$74</f>
        <v>#DIV/0!</v>
      </c>
      <c r="MU44" s="168" t="e">
        <f ca="1">(Control!$C$135-$MS44)*Control!$C$74</f>
        <v>#DIV/0!</v>
      </c>
      <c r="MV44" s="168" t="e">
        <f t="shared" ca="1" si="210"/>
        <v>#DIV/0!</v>
      </c>
      <c r="MW44" s="168" t="e">
        <f t="shared" ca="1" si="177"/>
        <v>#DIV/0!</v>
      </c>
      <c r="MX44" s="171" t="e">
        <f ca="1">MAX(Control!$C$127, MIN(Control!$C$135, $MW44/MAX(0.0001,Control!$C$119-$CY44)))</f>
        <v>#DIV/0!</v>
      </c>
      <c r="MY44" s="54" t="e">
        <f ca="1">IF(Control!$C$114=1, $CX44*$MX44, 0)</f>
        <v>#DIV/0!</v>
      </c>
      <c r="MZ44" s="54" t="e">
        <f t="shared" ca="1" si="178"/>
        <v>#N/A</v>
      </c>
      <c r="NA44" s="168" t="e">
        <f ca="1">(Control!$C$128-$MX44)*(Control!$C$119-Control!$C$74)</f>
        <v>#DIV/0!</v>
      </c>
      <c r="NB44" s="168" t="e">
        <f ca="1">(Control!$C$135-$MX44)*(Control!$C$119-Control!$C$74)</f>
        <v>#DIV/0!</v>
      </c>
      <c r="NC44" s="174" t="e">
        <f t="shared" ca="1" si="179"/>
        <v>#DIV/0!</v>
      </c>
      <c r="ND44" s="54">
        <f ca="1">IF(Control!$C$58=2, IF(OR(Control!$B$218=$AH44,Control!$B$219=$AH44, Control!$B$220=$AH44, Control!$B$221=$AH44, Control!$B$222=$AH44, Control!$B$223=$AH44, Control!$B$224=$AH44, Control!$B$225=$AH44, Control!$B$226=$AH44, Control!$B$227=$AH44, Control!$B$228=$AH44), 1, 0), 0)</f>
        <v>0</v>
      </c>
      <c r="NE44" s="54">
        <f ca="1">IF($ND44=0,0, VLOOKUP($AH44,Control!$B$218:$C$228,2))</f>
        <v>0</v>
      </c>
      <c r="NF44" s="168" t="e">
        <f ca="1">$CY44*(Control!$C$128-Control!$C$127)</f>
        <v>#N/A</v>
      </c>
      <c r="NG44" s="54" t="e">
        <f ca="1">IF(Control!$C$58=2, $NI43-$NJ43, 0)</f>
        <v>#DIV/0!</v>
      </c>
      <c r="NH44" s="54" t="e">
        <f ca="1">IF(AND(Control!$C$58=1, $MS43&lt;= ($MN43+0.02), $I43&lt;10), 0, IF(Control!$C$58=2, $NG43, 0))</f>
        <v>#DIV/0!</v>
      </c>
      <c r="NI44" s="54" t="e">
        <f ca="1">IF(Control!$C$58=2, $NE44+$NH44,0)</f>
        <v>#DIV/0!</v>
      </c>
      <c r="NJ44" s="54" t="e">
        <f ca="1">IF(AND(Control!$C$58=1, $MS44&lt;= ($MN44+0.02), $I44&lt;10), MAX(0, MIN(10, 0.7*($NF44-$MV44))), IF(Control!$C$58=2, MIN(10,$NI44),0))</f>
        <v>#DIV/0!</v>
      </c>
      <c r="NK44" s="54" t="e">
        <f t="shared" ca="1" si="96"/>
        <v>#DIV/0!</v>
      </c>
      <c r="NL44" s="173" t="e">
        <f ca="1">(1-Control!$C$73)*$I44+$NJ44</f>
        <v>#DIV/0!</v>
      </c>
      <c r="NM44" s="172" t="e">
        <f ca="1">IF($NL44&lt;0.5, $MB44* MAX(0, MIN(1, (SQRT($NC44)-SQRT($NC44-1))*Control!$C$71)),0)</f>
        <v>#DIV/0!</v>
      </c>
      <c r="NN44" s="170" t="e">
        <f ca="1">IF($NL44&gt;=5, $MB44, MAX(0,MIN($MB44, $NM44+$NL44,($MS44-Control!$C$129))))</f>
        <v>#DIV/0!</v>
      </c>
      <c r="NO44" s="54">
        <f>IF(Control!$C$133&lt;&gt;1, Control!$C$135-Control!$C$131, 0)</f>
        <v>0.38</v>
      </c>
      <c r="NP44" s="54" t="e">
        <f t="shared" ca="1" si="97"/>
        <v>#DIV/0!</v>
      </c>
      <c r="NQ44" s="173" t="e">
        <f ca="1">MAX(0,MIN(1,(Control!$C$135-$MS44)/(Control!$C$135-$NO44)))</f>
        <v>#DIV/0!</v>
      </c>
      <c r="NR44" s="170" t="e">
        <f ca="1">IF(Control!$C$133&lt;&gt;1, $NQ44+((1-$NP44/4)*(1-$NQ44)),1)</f>
        <v>#DIV/0!</v>
      </c>
      <c r="NS44" s="170" t="e">
        <f ca="1">IF(Control!$B$31=0,$MJ44,MAX(0,MIN($MV44,$MO44*$NR44*$MJ44)))</f>
        <v>#DIV/0!</v>
      </c>
      <c r="NT44" s="170" t="e">
        <f t="shared" ca="1" si="227"/>
        <v>#DIV/0!</v>
      </c>
      <c r="NU44" s="170" t="e">
        <f t="shared" ca="1" si="180"/>
        <v>#N/A</v>
      </c>
      <c r="NV44" s="170" t="e">
        <f t="shared" ca="1" si="98"/>
        <v>#N/A</v>
      </c>
      <c r="NW44" s="175" t="e">
        <f t="shared" ca="1" si="99"/>
        <v>#DIV/0!</v>
      </c>
      <c r="NX44" s="170" t="e">
        <f ca="1">MIN(Control!$C$72+$MU44, $NW44)</f>
        <v>#DIV/0!</v>
      </c>
      <c r="NY44" s="170" t="e">
        <f ca="1">IF($MT44&lt;=$NX44,MIN(Control!$C$72+$NB44,$NX44-$MT44),0)</f>
        <v>#DIV/0!</v>
      </c>
      <c r="NZ44" s="54" t="e">
        <f ca="1">IF(Control!$C$114=1,  $CX44*($MX44-Control!$C$127), 0)</f>
        <v>#DIV/0!</v>
      </c>
      <c r="OA44" s="170" t="e">
        <f t="shared" ca="1" si="181"/>
        <v>#DIV/0!</v>
      </c>
      <c r="OB44" s="170" t="e">
        <f ca="1">IF($NA44 &lt;=$NY44, MIN(Control!$C$72, $NY44-$NA44), 0)</f>
        <v>#DIV/0!</v>
      </c>
      <c r="OC44" s="168" t="e">
        <f t="shared" ca="1" si="100"/>
        <v>#DIV/0!</v>
      </c>
      <c r="OD44" s="168" t="e">
        <f t="shared" ca="1" si="182"/>
        <v>#DIV/0!</v>
      </c>
      <c r="OE44" s="170">
        <f ca="1">Control!$C$73*$I44</f>
        <v>0</v>
      </c>
      <c r="OF44" s="176" t="e">
        <f t="shared" ca="1" si="101"/>
        <v>#DIV/0!</v>
      </c>
      <c r="OG44" s="168" t="e">
        <f t="shared" ca="1" si="102"/>
        <v>#DIV/0!</v>
      </c>
      <c r="OH44" s="168" t="e">
        <f t="shared" ca="1" si="103"/>
        <v>#DIV/0!</v>
      </c>
      <c r="OI44" s="168" t="e">
        <f t="shared" ca="1" si="104"/>
        <v>#DIV/0!</v>
      </c>
      <c r="OJ44" s="168" t="e">
        <f t="shared" ca="1" si="105"/>
        <v>#DIV/0!</v>
      </c>
      <c r="OK44" s="204" t="e">
        <f t="shared" ca="1" si="183"/>
        <v>#DIV/0!</v>
      </c>
      <c r="OL44" s="177">
        <f>Control!$C$127</f>
        <v>0.15</v>
      </c>
      <c r="OM44" s="182" t="e">
        <f t="shared" ca="1" si="106"/>
        <v>#N/A</v>
      </c>
      <c r="ON44" s="177">
        <f>Control!$C$128</f>
        <v>0.35</v>
      </c>
      <c r="OO44" s="182" t="e">
        <f t="shared" ca="1" si="107"/>
        <v>#N/A</v>
      </c>
      <c r="OP44" s="138">
        <f t="shared" ca="1" si="184"/>
        <v>0</v>
      </c>
      <c r="OQ44" s="138" t="e">
        <f t="shared" ca="1" si="211"/>
        <v>#DIV/0!</v>
      </c>
      <c r="OR44" s="138" t="e">
        <f t="shared" ca="1" si="185"/>
        <v>#DIV/0!</v>
      </c>
      <c r="OS44" s="137" t="e">
        <f t="shared" ca="1" si="212"/>
        <v>#DIV/0!</v>
      </c>
      <c r="OT44" s="139" t="e">
        <f t="shared" ca="1" si="213"/>
        <v>#DIV/0!</v>
      </c>
      <c r="OU44" s="138" t="e">
        <f t="shared" ca="1" si="214"/>
        <v>#N/A</v>
      </c>
      <c r="OV44" s="138" t="e">
        <f t="shared" ca="1" si="215"/>
        <v>#DIV/0!</v>
      </c>
      <c r="OW44" s="138" t="e">
        <f t="shared" ca="1" si="186"/>
        <v>#DIV/0!</v>
      </c>
      <c r="OX44" s="138" t="e">
        <f t="shared" ca="1" si="187"/>
        <v>#DIV/0!</v>
      </c>
      <c r="OY44" s="138" t="e">
        <f t="shared" ca="1" si="188"/>
        <v>#DIV/0!</v>
      </c>
      <c r="OZ44" s="138" t="e">
        <f t="shared" ca="1" si="108"/>
        <v>#DIV/0!</v>
      </c>
      <c r="PA44" s="138" t="e">
        <f t="shared" ca="1" si="109"/>
        <v>#DIV/0!</v>
      </c>
      <c r="PB44" s="55">
        <f>IF(Control!$C$61="T", IF(Control!$C$65="F", IF($AH$6-Control!$C$60&lt;0,0,1), IF(365+$AH$6-Control!$C$60&lt;0,0,1)),0)</f>
        <v>0</v>
      </c>
      <c r="PC44" s="55">
        <f ca="1">IF(Control!$C$65="F", IF($AH$6-$HF44&lt;0,0,1), IF(365+$AH$6-$HF44&lt;0,0,1))</f>
        <v>1</v>
      </c>
      <c r="PD44" s="444">
        <f>Control!$C$118</f>
        <v>1500</v>
      </c>
      <c r="PE44" s="180" t="e">
        <f t="shared" ca="1" si="110"/>
        <v>#N/A</v>
      </c>
      <c r="PF44" s="445">
        <f t="shared" ca="1" si="189"/>
        <v>0.71612369323045078</v>
      </c>
      <c r="PT44" s="186"/>
      <c r="PU44" s="186"/>
      <c r="PV44" s="94"/>
      <c r="PW44" s="94"/>
      <c r="PX44" s="94"/>
      <c r="PY44" s="94"/>
      <c r="PZ44" s="94"/>
      <c r="QA44" s="94"/>
      <c r="QB44" s="94"/>
      <c r="QC44" s="94"/>
      <c r="QD44" s="94"/>
      <c r="QE44" s="94"/>
      <c r="QF44" s="94"/>
      <c r="QG44" s="94"/>
      <c r="QH44" s="94"/>
      <c r="QI44" s="94"/>
      <c r="QJ44" s="94"/>
      <c r="QK44" s="94"/>
      <c r="QL44" s="94"/>
      <c r="QM44" s="94"/>
      <c r="QN44" s="94"/>
      <c r="QO44" s="94"/>
      <c r="QP44" s="94"/>
    </row>
    <row r="45" spans="1:458" s="2" customFormat="1" x14ac:dyDescent="0.2">
      <c r="A45" s="395">
        <v>9</v>
      </c>
      <c r="B45" s="396">
        <v>2</v>
      </c>
      <c r="C45" s="387">
        <f ca="1">Weather_data!$B44</f>
        <v>0</v>
      </c>
      <c r="D45" s="388">
        <f ca="1">Weather_data!$F44</f>
        <v>0</v>
      </c>
      <c r="E45" s="388">
        <f ca="1">Weather_data!$E44</f>
        <v>0</v>
      </c>
      <c r="F45" s="388">
        <f t="shared" ca="1" si="111"/>
        <v>0</v>
      </c>
      <c r="G45" s="388">
        <f ca="1">AVERAGE($D45:$E45)+Control!$B$9</f>
        <v>0</v>
      </c>
      <c r="H45" s="388">
        <f ca="1">Weather_data!$G44</f>
        <v>0</v>
      </c>
      <c r="I45" s="388">
        <f ca="1">Weather_data!$I44</f>
        <v>0</v>
      </c>
      <c r="J45" s="388">
        <f ca="1">Weather_data!$H44</f>
        <v>0</v>
      </c>
      <c r="K45" s="389">
        <f ca="1">Weather_data!$D44</f>
        <v>0</v>
      </c>
      <c r="L45" s="388" t="e">
        <f t="shared" ca="1" si="112"/>
        <v>#N/A</v>
      </c>
      <c r="M45" s="388" t="e">
        <f t="shared" ca="1" si="0"/>
        <v>#N/A</v>
      </c>
      <c r="N45" s="388">
        <f t="shared" ca="1" si="1"/>
        <v>-8.211601634130327E-3</v>
      </c>
      <c r="O45" s="388">
        <f t="shared" ca="1" si="113"/>
        <v>8.2116016341303277E-2</v>
      </c>
      <c r="P45" s="390">
        <v>3</v>
      </c>
      <c r="Q45" s="388">
        <f ca="1">MAX($G45-Control!$C$107,0)</f>
        <v>0</v>
      </c>
      <c r="R45" s="388">
        <f t="shared" ca="1" si="114"/>
        <v>0</v>
      </c>
      <c r="S45" s="388">
        <f t="shared" ca="1" si="2"/>
        <v>0</v>
      </c>
      <c r="T45" s="388">
        <f t="shared" ca="1" si="3"/>
        <v>0</v>
      </c>
      <c r="U45" s="59">
        <f t="shared" ca="1" si="4"/>
        <v>0</v>
      </c>
      <c r="V45" s="391">
        <f ca="1">MAX(0,MIN(Control!$C$100-Control!$C$99,$G45-Control!$C$99)*Control!$C$63)</f>
        <v>0</v>
      </c>
      <c r="W45" s="388">
        <f t="shared" ca="1" si="190"/>
        <v>0</v>
      </c>
      <c r="X45" s="388">
        <f t="shared" ca="1" si="115"/>
        <v>0.6110000000000001</v>
      </c>
      <c r="Y45" s="388">
        <f t="shared" ca="1" si="116"/>
        <v>0</v>
      </c>
      <c r="Z45" s="388">
        <f t="shared" ca="1" si="117"/>
        <v>0.61058800000000002</v>
      </c>
      <c r="AA45" s="388">
        <f t="shared" ca="1" si="5"/>
        <v>0.6018</v>
      </c>
      <c r="AB45" s="388">
        <f ca="1">101.3*EXP(-0.034*Control!$C$66/($G45+273))</f>
        <v>100.69623283836242</v>
      </c>
      <c r="AC45" s="392">
        <f t="shared" ca="1" si="6"/>
        <v>4.3460251046025113E-2</v>
      </c>
      <c r="AD45" s="392">
        <f t="shared" ca="1" si="7"/>
        <v>4.4450382862832649E-2</v>
      </c>
      <c r="AE45" s="388">
        <f t="shared" ca="1" si="8"/>
        <v>0</v>
      </c>
      <c r="AF45" s="388">
        <f ca="1">MAX(0,$G45-Control!$C$92)</f>
        <v>0</v>
      </c>
      <c r="AG45" s="393">
        <f t="shared" ca="1" si="118"/>
        <v>40</v>
      </c>
      <c r="AH45" s="389">
        <f t="shared" ca="1" si="9"/>
        <v>40</v>
      </c>
      <c r="AI45" s="388">
        <f t="shared" ca="1" si="119"/>
        <v>-0.26242395293007748</v>
      </c>
      <c r="AJ45" s="388">
        <f ca="1">IF(Control!$C$60&lt;=0,$HH45,$HI45)</f>
        <v>1</v>
      </c>
      <c r="AK45" s="388">
        <f t="shared" ca="1" si="10"/>
        <v>-0.6885682528415985</v>
      </c>
      <c r="AL45" s="388">
        <f t="shared" ca="1" si="11"/>
        <v>9.017092628127444E-19</v>
      </c>
      <c r="AM45" s="388">
        <f t="shared" ca="1" si="12"/>
        <v>-0.6885682528415985</v>
      </c>
      <c r="AN45" s="388">
        <f t="shared" ca="1" si="13"/>
        <v>-0.2555472962201451</v>
      </c>
      <c r="AO45" s="388">
        <f ca="1">-0.10453/COS(Control!$B$8*PI()/180)*COS(AN45)</f>
        <v>-0.16427111737162559</v>
      </c>
      <c r="AP45" s="388">
        <f ca="1">ACOS(AO45-TAN(Control!$B$8*PI()/180)*TAN(AN45))</f>
        <v>1.3998392114253693</v>
      </c>
      <c r="AQ45" s="388">
        <f t="shared" ca="1" si="120"/>
        <v>0</v>
      </c>
      <c r="AR45" s="394">
        <f t="shared" ca="1" si="14"/>
        <v>0</v>
      </c>
      <c r="AS45" s="436">
        <f ca="1">IF(Control!$B$18=2,(IF(OR($AH45=Control!$B$175,$AH45=Control!$B$176,$AH45=Control!$B$177,$AH45=Control!$B$178,$AH45=Control!$B$179,$AH45=Control!$B$180,$AH45=Control!$B$181,$AH45=Control!$B$182,$AH45=Control!$B$183,$AH45=Control!$B$184,$AH45=Control!$B$185),1,0)),0)</f>
        <v>0</v>
      </c>
      <c r="AT45" s="436">
        <f>IF(Control!$B$20=8,IF(AND($AH45&gt;=Control!$B$172,$AH45&lt;=Control!$B$173),1,0),0)</f>
        <v>0</v>
      </c>
      <c r="AU45" s="436">
        <f>IF(Control!$B$20=8,IF($AV44=1,1*$AT45,IF($AT45=1,$AU44+1,$AU44)),0)</f>
        <v>0</v>
      </c>
      <c r="AV45" s="436">
        <f>IF(Control!$B$20=8,IF($AU45&gt;=Control!$B$174,1,0),0)</f>
        <v>0</v>
      </c>
      <c r="AW45" s="436">
        <f ca="1">IF(AND(Control!$B$18=2,Control!$B$171=1), $AV45, $AS45)</f>
        <v>0</v>
      </c>
      <c r="AX45" s="436" t="e">
        <f ca="1">IF(AND(Control!$B$18=1,$EU45&gt;=Control!$B$19),-$AY45,IF(AND(Control!$B$18=2,$AW45=1,$EU45&gt;$DS45),-$AY45, IF(Control!$C$108=0,0, IF(Control!$C$108&lt;&gt;0,1))))</f>
        <v>#N/A</v>
      </c>
      <c r="AY45" s="436" t="e">
        <f t="shared" ca="1" si="121"/>
        <v>#N/A</v>
      </c>
      <c r="AZ45" s="436" t="e">
        <f ca="1">IF(AND(Control!$B$18=1,$EB45&gt;Control!$B$19),$AZ44+1, IF(AND(Control!$B$18=2, $AW45=1, $EB45&gt;$DS45), $AZ44+1,$AZ44))</f>
        <v>#N/A</v>
      </c>
      <c r="BA45" s="587">
        <f>IF(Control!$C$81=0,1,IF($AH45&gt;=Control!$C$82,1,0))</f>
        <v>1</v>
      </c>
      <c r="BB45" s="140" t="e">
        <f ca="1">IF($BA45&gt;$BA44,Control!$C$83,IF($AW45&gt;0,$AW45*Control!$C$84,IF(AND(Control!$B$18=1,EN44&lt;&gt;0),Control!$C$84,0)))</f>
        <v>#N/A</v>
      </c>
      <c r="BC45" s="140" t="e">
        <f t="shared" ca="1" si="122"/>
        <v>#N/A</v>
      </c>
      <c r="BD45" s="140" t="e">
        <f ca="1">BC45*IF(OR($G45&lt;Control!$C$92,$G45&gt;Control!$C$95),0,IF(AND($G45&gt;=Control!$C$92,$G45&lt;=Control!$C$93),$G45-Control!$C$92,IF(AND($G45&gt;Control!$C$93,$G45&lt;=Control!$C$94),Control!$C$93-Control!$C$92,IF(AND($G45&gt;Control!$C$94,$G45&lt;=Control!$C$95),(Control!$C$93-Control!$C$92)*(Control!$C$94-$G45)/(Control!$C$95-Control!$C$94)))))</f>
        <v>#N/A</v>
      </c>
      <c r="BE45" s="140" t="e">
        <f t="shared" ca="1" si="123"/>
        <v>#N/A</v>
      </c>
      <c r="BF45" s="140" t="e">
        <f ca="1">IF($BE45&lt;=Control!$C$86,$BE45,Control!$C$86-$BE45)</f>
        <v>#N/A</v>
      </c>
      <c r="BG45" s="140" t="e">
        <f ca="1">IF(AND($AW45=1,Control!$C$84&lt;9),1,IF($BE45&gt;=Control!$C$86,0,$BC45))</f>
        <v>#N/A</v>
      </c>
      <c r="BH45" s="404" t="e">
        <f ca="1">IF($BG45=0,0,IF($BE45&lt;=Control!$C$86,$BC45*9*($BF45/Control!$C$86),0))</f>
        <v>#N/A</v>
      </c>
      <c r="BI45" s="140" t="e">
        <f ca="1">IF($BG45=1,0,IF($BE45&gt;=Control!$C$86,1,IF(AND($BB45&lt;21,$BB45&gt;=9),1,$BM44)))</f>
        <v>#N/A</v>
      </c>
      <c r="BJ45" s="140" t="e">
        <f ca="1">IF($BF45&lt;0,-$BF45,$BI45*IF(OR($G45&lt;Control!$C$92,$G45&gt;Control!$C$95),0,IF(AND($G45&gt;=Control!$C$92,$G45&lt;=Control!$C$93),$G45-Control!$C$92,IF(AND($G45&gt;Control!$C$93,$G45&lt;=Control!$C$94),Control!$C$93-Control!$C$92,IF(AND($G45&gt;Control!$C$94,$G45&lt;=Control!$C$95),(Control!$C$93-Control!$C$92)*(Control!$C$94-$G45)/(Control!$C$95-Control!$C$94))))))</f>
        <v>#N/A</v>
      </c>
      <c r="BK45" s="140" t="e">
        <f t="shared" ca="1" si="124"/>
        <v>#N/A</v>
      </c>
      <c r="BL45" s="140" t="e">
        <f ca="1">IF($BK45&lt;=Control!$C$87,$BK45,Control!$C$87-$BK45)</f>
        <v>#N/A</v>
      </c>
      <c r="BM45" s="140" t="e">
        <f ca="1">IF(AND($BB45&gt;=9,$BB45&lt;21),1,IF($BK45&gt;=Control!$C$87,0,$BI45))</f>
        <v>#N/A</v>
      </c>
      <c r="BN45" s="404" t="e">
        <f ca="1">IF($BM45=0,0,IF($BK45&lt;=Control!$C$87,$BI45*(9+(21-9)*($BL45/Control!$C$87)),0))</f>
        <v>#N/A</v>
      </c>
      <c r="BO45" s="140" t="e">
        <f ca="1">IF($BM45=1,0,IF($BK45&gt;=Control!$C$87,1,IF(AND($BB45&lt;30,$BB45&gt;=21),1,$BS44)))</f>
        <v>#N/A</v>
      </c>
      <c r="BP45" s="140" t="e">
        <f ca="1">IF($BL45&lt;0,-$BL45,$BO45*IF(OR($G45&lt;Control!$C$92,$G45&gt;Control!$C$95),0,IF(AND($G45&gt;=Control!$C$92,$G45&lt;=Control!$C$93),$G45-Control!$C$92,IF(AND($G45&gt;Control!$C$93,$G45&lt;=Control!$C$94),Control!$C$93-Control!$C$92,IF(AND($G45&gt;Control!$C$94,$G45&lt;=Control!$C$95),(Control!$C$93-Control!$C$92)*(Control!$C$94-$G45)/(Control!$C$95-Control!$C$94))))))</f>
        <v>#N/A</v>
      </c>
      <c r="BQ45" s="140" t="e">
        <f t="shared" ca="1" si="15"/>
        <v>#N/A</v>
      </c>
      <c r="BR45" s="140" t="e">
        <f ca="1">IF($BQ45&lt;=Control!$C$88,$BQ45,Control!$C$88-$BQ45)</f>
        <v>#N/A</v>
      </c>
      <c r="BS45" s="140" t="e">
        <f ca="1">IF(AND($BB45&gt;=21,$BB45&lt;30),1,IF($BQ45&gt;=Control!$C$88,0,$BO45))</f>
        <v>#N/A</v>
      </c>
      <c r="BT45" s="404" t="e">
        <f ca="1">IF($BS45=0,0,IF($BQ45&lt;=Control!$C$88,$BO45*(21+(30-21)*(BR45/Control!$C$88)),0))</f>
        <v>#N/A</v>
      </c>
      <c r="BU45" s="140" t="e">
        <f ca="1">IF(BG45+BM45+BS45=1,0,IF(OR(AND($BB45&lt;60,$BB45&gt;=30),$BQ45&gt;=Control!$C$88),1*$BA45,$BY44))</f>
        <v>#N/A</v>
      </c>
      <c r="BV45" s="140" t="e">
        <f ca="1">IF($BR45&lt;0,-$BR45,$BU45*IF(OR($G45&lt;Control!$C$92,$G45&gt;Control!$C$95),0,IF(AND($G45&gt;=Control!$C$92,$G45&lt;=Control!$C$93),$G45-Control!$C$92,IF(AND($G45&gt;Control!$C$93,$G45&lt;=Control!$C$94),Control!$C$93-Control!$C$92,IF(AND($G45&gt;Control!$C$94,$G45&lt;=Control!$C$95),(Control!$C$93-Control!$C$92)*(Control!$C$94-$G45)/(Control!$C$95-Control!$C$94))))))</f>
        <v>#N/A</v>
      </c>
      <c r="BW45" s="140" t="e">
        <f t="shared" ca="1" si="16"/>
        <v>#N/A</v>
      </c>
      <c r="BX45" s="140" t="e">
        <f ca="1">IF($BW45&lt;=Control!$C$89,$BW45,Control!$C$89-$BW45)</f>
        <v>#N/A</v>
      </c>
      <c r="BY45" s="140" t="e">
        <f ca="1">IF(AND($AJ45&gt;=30,$AJ45&lt;60),1,IF($BW45&gt;=Control!$C$89,0,$BU45))</f>
        <v>#N/A</v>
      </c>
      <c r="BZ45" s="404" t="e">
        <f ca="1">IF($BY45=0,0,IF($BW45&lt;=Control!$C$89,$BU45*(30+(60-30)*(BX45/Control!$C$89)),0))</f>
        <v>#N/A</v>
      </c>
      <c r="CA45" s="140" t="e">
        <f ca="1">IF($BG45+$BM45+$BS45+$BY45=1,0,IF(OR(AND($BB45&lt;65,$BB45&gt;=60),$BW45&gt;=Control!$C$89),1*$BA45,$CE44))</f>
        <v>#N/A</v>
      </c>
      <c r="CB45" s="140" t="e">
        <f ca="1">IF($BX45&lt;0,-$BX45,$CA45*IF(OR($G45&lt;Control!$C$92,$G45&gt;Control!$C$95),0,IF(AND($G45&gt;=Control!$C$92,$G45&lt;=Control!$C$93),$G45-Control!$C$92,IF(AND($G45&gt;Control!$C$93,$G45&lt;=Control!$C$94),Control!$C$93-Control!$C$92,IF(AND($G45&gt;Control!$C$94,$G45&lt;=Control!$C$95),(Control!$C$93-Control!$C$92)*(Control!$C$94-$G45)/(Control!$C$95-Control!$C$94))))))</f>
        <v>#N/A</v>
      </c>
      <c r="CC45" s="140" t="e">
        <f t="shared" ca="1" si="125"/>
        <v>#N/A</v>
      </c>
      <c r="CD45" s="140" t="e">
        <f ca="1">IF($CC45&lt;=Control!$C$90,$CC45,Control!$C$90-$CC45)</f>
        <v>#N/A</v>
      </c>
      <c r="CE45" s="140" t="e">
        <f ca="1">IF(AND($BB45&gt;=60,$BB45&lt;65),1,IF($CC45&gt;=Control!$C$90,0,$CA45))</f>
        <v>#N/A</v>
      </c>
      <c r="CF45" s="404" t="e">
        <f ca="1">IF($CE45=0,0,IF($CC45&lt;=Control!$C$90,$CA45*(60+(65-60)*(CD45/Control!$C$90)),0))</f>
        <v>#N/A</v>
      </c>
      <c r="CG45" s="140" t="e">
        <f ca="1">IF($BG45+$BM45+$BS45+$BY45+$CE45=1,0,IF(OR(AND($BB45&lt;90,$BB45&gt;=65),$CC45&gt;=Control!$C$90),$BA45,$CK44))</f>
        <v>#N/A</v>
      </c>
      <c r="CH45" s="140" t="e">
        <f ca="1">IF($CD45&lt;0,-$CD45,$CG45*IF(OR($G45&lt;Control!$C$92,$G45&gt;Control!$C$95),0,IF(AND($G45&gt;=Control!$C$92,$G45&lt;=Control!$C$93),$G45-Control!$C$92,IF(AND($G45&gt;Control!$C$93,$G45&lt;=Control!$C$94),Control!$C$93-Control!$C$92,IF(AND($G45&gt;Control!$C$94,$G45&lt;=Control!$C$95),(Control!$C$93-Control!$C$92)*(Control!$C$94-$G45)/(Control!$C$95-Control!$C$94))))))</f>
        <v>#N/A</v>
      </c>
      <c r="CI45" s="140" t="e">
        <f t="shared" ca="1" si="126"/>
        <v>#N/A</v>
      </c>
      <c r="CJ45" s="140" t="e">
        <f ca="1">IF($CI45&lt;=Control!$C$91,$CI45,Control!$C$91-$CI45)</f>
        <v>#N/A</v>
      </c>
      <c r="CK45" s="140" t="e">
        <f ca="1">IF(AND($BB45&gt;=65,$BB45&lt;90),1,IF($CI45&gt;=Control!$C$91,0,$CG45))</f>
        <v>#N/A</v>
      </c>
      <c r="CL45" s="404" t="e">
        <f ca="1">IF($CK45=0,0,IF($CI45&lt;=Control!$C$91,$CG45*(65+(90-65)*($CJ45/Control!$C$91)),0))</f>
        <v>#N/A</v>
      </c>
      <c r="CM45" s="140" t="e">
        <f ca="1">IF($BG45+$BM45+$BS45+$BY45+$CE45+$CK45=1,0,IF(OR($BB45&gt;=90,$CI45&gt;=Control!$C$91),$BA45,$CM44))</f>
        <v>#N/A</v>
      </c>
      <c r="CN45" s="140" t="e">
        <f t="shared" ca="1" si="127"/>
        <v>#N/A</v>
      </c>
      <c r="CO45" s="140" t="e">
        <f t="shared" ca="1" si="128"/>
        <v>#N/A</v>
      </c>
      <c r="CP45" s="140" t="e">
        <f t="shared" ca="1" si="129"/>
        <v>#N/A</v>
      </c>
      <c r="CQ45" s="141" t="e">
        <f ca="1">VLOOKUP($CP45,Control!$B$86:$G$91,6)</f>
        <v>#N/A</v>
      </c>
      <c r="CR45" s="141" t="e">
        <f ca="1">(1-$CQ45)*VLOOKUP($CP45,Control!$B$86:$D$91,3)</f>
        <v>#N/A</v>
      </c>
      <c r="CS45" s="141" t="e">
        <f ca="1">(1-$CQ45)*VLOOKUP($CP45,Control!$B$86:$E$91,4)</f>
        <v>#N/A</v>
      </c>
      <c r="CT45" s="141" t="e">
        <f ca="1">(1-$CQ45)*VLOOKUP($CP45,Control!$B$86:$F$91,5)</f>
        <v>#N/A</v>
      </c>
      <c r="CU45" s="141">
        <f t="shared" ca="1" si="130"/>
        <v>0</v>
      </c>
      <c r="CV45" s="583">
        <f t="shared" ca="1" si="131"/>
        <v>0</v>
      </c>
      <c r="CW45" s="142">
        <f t="shared" ca="1" si="132"/>
        <v>40</v>
      </c>
      <c r="CX45" s="612" t="e">
        <f ca="1">IF(Control!$C$114=1,(MIN(Control!$C$120*(IF($NT45-0.01&lt;0,0,1)),Control!$C$119-$CY45)))</f>
        <v>#DIV/0!</v>
      </c>
      <c r="CY45" s="143" t="e">
        <f t="shared" ca="1" si="133"/>
        <v>#N/A</v>
      </c>
      <c r="CZ45" s="144">
        <f t="shared" ca="1" si="17"/>
        <v>0</v>
      </c>
      <c r="DA45" s="144">
        <f t="shared" ca="1" si="18"/>
        <v>0</v>
      </c>
      <c r="DB45" s="144" t="e">
        <f t="shared" ca="1" si="19"/>
        <v>#N/A</v>
      </c>
      <c r="DC45" s="144" t="e">
        <f t="shared" ca="1" si="20"/>
        <v>#N/A</v>
      </c>
      <c r="DD45" s="144" t="e">
        <f t="shared" ca="1" si="216"/>
        <v>#N/A</v>
      </c>
      <c r="DE45" s="143" t="e">
        <f t="shared" ca="1" si="135"/>
        <v>#N/A</v>
      </c>
      <c r="DF45" s="145" t="e">
        <f ca="1">$DR45*EXP(-Control!$C$158*(1-$KH45))</f>
        <v>#N/A</v>
      </c>
      <c r="DG45" s="146" t="e">
        <f ca="1">IF(Control!$C$114=1, $DF45*$EY45, 0)</f>
        <v>#N/A</v>
      </c>
      <c r="DH45" s="147" t="e">
        <f t="shared" ca="1" si="136"/>
        <v>#N/A</v>
      </c>
      <c r="DI45" s="144" t="e">
        <f t="shared" ca="1" si="191"/>
        <v>#N/A</v>
      </c>
      <c r="DJ45" s="147" t="e">
        <f ca="1">$EF45*Control!$C$109</f>
        <v>#N/A</v>
      </c>
      <c r="DK45" s="144" t="e">
        <f t="shared" ca="1" si="137"/>
        <v>#N/A</v>
      </c>
      <c r="DL45" s="144" t="e">
        <f t="shared" ca="1" si="21"/>
        <v>#N/A</v>
      </c>
      <c r="DM45" s="144" t="e">
        <f ca="1">IF(Control!$C$114=1, (1-EXP(-Control!$C$96*$DK45))*$AR45, 0)</f>
        <v>#N/A</v>
      </c>
      <c r="DN45" s="144">
        <f t="shared" ca="1" si="138"/>
        <v>0</v>
      </c>
      <c r="DO45" s="148">
        <f>Control!$C$97</f>
        <v>4</v>
      </c>
      <c r="DP45" s="145" t="e">
        <f t="shared" ca="1" si="139"/>
        <v>#N/A</v>
      </c>
      <c r="DQ45" s="145" t="e">
        <f ca="1">IF(AND($CP45&gt;=0,$CP45&lt;=90),Control!$C$111,Control!$C$111)</f>
        <v>#N/A</v>
      </c>
      <c r="DR45" s="145" t="e">
        <f t="shared" ca="1" si="22"/>
        <v>#N/A</v>
      </c>
      <c r="DS45" s="143" t="e">
        <f ca="1">Control!$B$22/$DR45</f>
        <v>#N/A</v>
      </c>
      <c r="DT45" s="149" t="e">
        <f ca="1">IF(AND(Control!$C$114=1,$KH45&lt;1),$IM45*$DF45, 0)</f>
        <v>#N/A</v>
      </c>
      <c r="DU45" s="144" t="e">
        <f t="shared" ca="1" si="192"/>
        <v>#N/A</v>
      </c>
      <c r="DV45" s="144">
        <f ca="1">IF($G45-Control!$C$107&lt;=0, 0, 0.83*LN(MAX($G45, 3))-0.8924)</f>
        <v>0</v>
      </c>
      <c r="DW45" s="144" t="e">
        <f t="shared" ca="1" si="23"/>
        <v>#N/A</v>
      </c>
      <c r="DX45" s="150" t="e">
        <f ca="1">MAX(0.01*(1+$CU45/Control!$C$102),0.05*($DK45-Control!$C$97)/Control!$C$97)</f>
        <v>#N/A</v>
      </c>
      <c r="DY45" s="151" t="e">
        <f ca="1">IF(Control!$C$114=1, $DI45*$FS45, 0)</f>
        <v>#N/A</v>
      </c>
      <c r="DZ45" s="196" t="e">
        <f t="shared" ca="1" si="140"/>
        <v>#N/A</v>
      </c>
      <c r="EA45" s="152">
        <f t="shared" ca="1" si="141"/>
        <v>40</v>
      </c>
      <c r="EB45" s="153" t="e">
        <f t="shared" ca="1" si="217"/>
        <v>#N/A</v>
      </c>
      <c r="EC45" s="153" t="e">
        <f t="shared" ca="1" si="142"/>
        <v>#N/A</v>
      </c>
      <c r="ED45" s="154" t="e">
        <f ca="1">IF(Control!$C$114=1, $HM45*$FY45-$FD45, 0)</f>
        <v>#DIV/0!</v>
      </c>
      <c r="EE45" s="155" t="e">
        <f ca="1">IF(Control!$C$114=1, $HM45*$FZ45-$FF45, 0)</f>
        <v>#DIV/0!</v>
      </c>
      <c r="EF45" s="153" t="e">
        <f t="shared" ca="1" si="193"/>
        <v>#N/A</v>
      </c>
      <c r="EG45" s="155" t="e">
        <f ca="1">IF(Control!$C$114=1, $GX45*$FW45-$FI45, 0)</f>
        <v>#DIV/0!</v>
      </c>
      <c r="EH45" s="153" t="e">
        <f t="shared" ca="1" si="143"/>
        <v>#N/A</v>
      </c>
      <c r="EI45" s="156" t="e">
        <f t="shared" ca="1" si="144"/>
        <v>#N/A</v>
      </c>
      <c r="EJ45" s="155" t="e">
        <f ca="1">IF(Control!$C$114=1, $HM45*$GB45, 0)</f>
        <v>#DIV/0!</v>
      </c>
      <c r="EK45" s="153" t="e">
        <f t="shared" ca="1" si="194"/>
        <v>#N/A</v>
      </c>
      <c r="EL45" s="153" t="e">
        <f t="shared" ca="1" si="24"/>
        <v>#N/A</v>
      </c>
      <c r="EM45" s="153" t="e">
        <f t="shared" ca="1" si="25"/>
        <v>#N/A</v>
      </c>
      <c r="EN45" s="153" t="e">
        <f ca="1">IF(Control!$C$108=1,IF(AND(Control!$B$18=1,$EB45&gt;=Control!$B$19),$EB45-$DS45,IF(AND(Control!$B$18=2,$AW45=1,$EB45&gt;$DS45),$EB45-$DS45,0)))</f>
        <v>#N/A</v>
      </c>
      <c r="EO45" s="153" t="e">
        <f ca="1">IF(Control!$C$108=1,IF(AND(Control!$B$18=1,$EB45&gt;=Control!$B$19),$EF45,IF(AND(Control!$B$18=2,$AW45=1),$EF45,0)))</f>
        <v>#N/A</v>
      </c>
      <c r="EP45" s="153" t="e">
        <f ca="1">IF(Control!$C$108=1,IF(AND(Control!$B$18=1,$EB45&gt;=Control!$B$19),$EK45,IF(AND(Control!$B$18=2,$AW45=1),$EK45,0)))</f>
        <v>#N/A</v>
      </c>
      <c r="EQ45" s="153" t="e">
        <f t="shared" ca="1" si="145"/>
        <v>#N/A</v>
      </c>
      <c r="ER45" s="153" t="e">
        <f t="shared" ca="1" si="231"/>
        <v>#N/A</v>
      </c>
      <c r="ES45" s="153" t="e">
        <f t="shared" ca="1" si="196"/>
        <v>#N/A</v>
      </c>
      <c r="ET45" s="153" t="e">
        <f t="shared" ca="1" si="197"/>
        <v>#N/A</v>
      </c>
      <c r="EU45" s="153" t="e">
        <f t="shared" ca="1" si="198"/>
        <v>#N/A</v>
      </c>
      <c r="EV45" s="153" t="e">
        <f t="shared" ca="1" si="146"/>
        <v>#N/A</v>
      </c>
      <c r="EW45" s="153" t="e">
        <f t="shared" ca="1" si="218"/>
        <v>#N/A</v>
      </c>
      <c r="EX45" s="153" t="e">
        <f t="shared" ca="1" si="26"/>
        <v>#N/A</v>
      </c>
      <c r="EY45" s="157" t="e">
        <f t="shared" ca="1" si="147"/>
        <v>#DIV/0!</v>
      </c>
      <c r="EZ45" s="154" t="e">
        <f t="shared" ca="1" si="27"/>
        <v>#DIV/0!</v>
      </c>
      <c r="FA45" s="153" t="e">
        <f t="shared" ca="1" si="199"/>
        <v>#N/A</v>
      </c>
      <c r="FB45" s="153" t="e">
        <f t="shared" ca="1" si="28"/>
        <v>#N/A</v>
      </c>
      <c r="FC45" s="193" t="e">
        <f t="shared" ca="1" si="29"/>
        <v>#N/A</v>
      </c>
      <c r="FD45" s="158" t="e">
        <f t="shared" ca="1" si="200"/>
        <v>#N/A</v>
      </c>
      <c r="FE45" s="158" t="e">
        <f t="shared" ca="1" si="148"/>
        <v>#N/A</v>
      </c>
      <c r="FF45" s="159" t="e">
        <f t="shared" ca="1" si="30"/>
        <v>#N/A</v>
      </c>
      <c r="FG45" s="160" t="e">
        <f t="shared" ca="1" si="149"/>
        <v>#N/A</v>
      </c>
      <c r="FH45" s="158" t="e">
        <f t="shared" ca="1" si="150"/>
        <v>#N/A</v>
      </c>
      <c r="FI45" s="159" t="e">
        <f t="shared" ca="1" si="31"/>
        <v>#N/A</v>
      </c>
      <c r="FJ45" s="160" t="e">
        <f t="shared" ca="1" si="151"/>
        <v>#N/A</v>
      </c>
      <c r="FK45" s="160" t="e">
        <f t="shared" ca="1" si="32"/>
        <v>#N/A</v>
      </c>
      <c r="FL45" s="160" t="e">
        <f t="shared" ca="1" si="229"/>
        <v>#N/A</v>
      </c>
      <c r="FM45" s="160" t="e">
        <f t="shared" ca="1" si="33"/>
        <v>#N/A</v>
      </c>
      <c r="FN45" s="158">
        <f t="shared" ca="1" si="219"/>
        <v>0.01</v>
      </c>
      <c r="FO45" s="160">
        <f>Control!$C$101</f>
        <v>50</v>
      </c>
      <c r="FP45" s="150" t="e">
        <f t="shared" ca="1" si="34"/>
        <v>#N/A</v>
      </c>
      <c r="FQ45" s="150" t="e">
        <f ca="1">MAX(0,(Control!$C$112*(($DK45-Control!$C$97)/Control!$C$97)))</f>
        <v>#N/A</v>
      </c>
      <c r="FR45" s="150" t="e">
        <f ca="1">(1-$NT45)*Control!$C$113</f>
        <v>#DIV/0!</v>
      </c>
      <c r="FS45" s="198" t="e">
        <f t="shared" ca="1" si="35"/>
        <v>#N/A</v>
      </c>
      <c r="FT45" s="161">
        <f t="shared" ca="1" si="152"/>
        <v>40</v>
      </c>
      <c r="FU45" s="162" t="e">
        <f ca="1">IF(Control!$B$34=1,VLOOKUP($CP45,Control!$B$86:$G$91,6),Control!$B$35)</f>
        <v>#N/A</v>
      </c>
      <c r="FV45" s="162" t="e">
        <f t="shared" ca="1" si="36"/>
        <v>#DIV/0!</v>
      </c>
      <c r="FW45" s="162" t="e">
        <f ca="1">IF(Control!$B$31=1,$FU45*$FV45,  $FU45)</f>
        <v>#N/A</v>
      </c>
      <c r="FX45" s="162" t="e">
        <f ca="1">IF(Control!$B$34=1,VLOOKUP($CP45,Control!$B$86:$G$91,3),Control!$B$36)</f>
        <v>#N/A</v>
      </c>
      <c r="FY45" s="162" t="e">
        <f t="shared" ca="1" si="37"/>
        <v>#N/A</v>
      </c>
      <c r="FZ45" s="162" t="e">
        <f ca="1">IF(Control!$B$34=1,VLOOKUP($CP45,Control!$B$86:$G$91,4),Control!$B$37)</f>
        <v>#N/A</v>
      </c>
      <c r="GA45" s="162" t="e">
        <f t="shared" ca="1" si="38"/>
        <v>#N/A</v>
      </c>
      <c r="GB45" s="162" t="e">
        <f ca="1">IF(Control!$B$34=1,VLOOKUP($CP45,Control!$B$86:$G$91,5),Control!$B$38)</f>
        <v>#N/A</v>
      </c>
      <c r="GC45" s="162" t="e">
        <f t="shared" ca="1" si="153"/>
        <v>#N/A</v>
      </c>
      <c r="GD45" s="162">
        <f t="shared" ca="1" si="39"/>
        <v>1</v>
      </c>
      <c r="GE45" s="162">
        <f t="shared" ca="1" si="40"/>
        <v>1</v>
      </c>
      <c r="GF45" s="162">
        <f ca="1">IF(AND(Control!$C$104=1, Control!$C$62="F"),$GE45,1)</f>
        <v>1</v>
      </c>
      <c r="GG45" s="162" t="e">
        <f ca="1">IF(Control!$B$16=40,0,IF(AND(Control!$B$16&gt;40,Control!$B$16&lt;=360),(Control!$B$16-40)*((1-0)/(360-40)),IF(AND(Control!$B$16&gt;360,Control!$B$16&lt;=720),(1+(Control!$B$16-360)*((1.25-1)/(720-360))),IF(AND(Control!$B$16&gt;720,Control!$B$16&lt;=1000),(1.25+(Control!$B$16-720)*((1.35-1.25)/(1000-720))),IF(AND(Control!$B$16&gt;1000,Control!$B$16&lt;=2000),(1.35+(Control!$B$16-1000)*0))))))</f>
        <v>#N/A</v>
      </c>
      <c r="GH45" s="162" t="e">
        <f t="shared" ca="1" si="41"/>
        <v>#N/A</v>
      </c>
      <c r="GI45" s="162">
        <f t="shared" ca="1" si="201"/>
        <v>0</v>
      </c>
      <c r="GJ45" s="162">
        <f t="shared" ca="1" si="42"/>
        <v>0</v>
      </c>
      <c r="GK45" s="162">
        <f t="shared" ca="1" si="220"/>
        <v>1</v>
      </c>
      <c r="GL45" s="162">
        <f t="shared" ca="1" si="43"/>
        <v>1</v>
      </c>
      <c r="GM45" s="162" t="e">
        <f ca="1">MAX(0,MIN(1,1-Control!$C$156*(1.0001-$KH45)^2))</f>
        <v>#N/A</v>
      </c>
      <c r="GN45" s="162" t="e">
        <f ca="1">IF(Control!$B$26=1,$KU45,$KX45)</f>
        <v>#N/A</v>
      </c>
      <c r="GO45" s="162" t="e">
        <f ca="1">IF($CP45&lt;=60,Control!$C$105,IF($CP45&gt;=90,Control!$C$106,Control!$C$105+($CP45-60)*((Control!$C$106-Control!$C$105)/(90-60))))</f>
        <v>#N/A</v>
      </c>
      <c r="GP45" s="162" t="e">
        <f t="shared" ca="1" si="154"/>
        <v>#N/A</v>
      </c>
      <c r="GQ45" s="162" t="e">
        <f t="shared" ca="1" si="155"/>
        <v>#N/A</v>
      </c>
      <c r="GR45" s="163" t="e">
        <f t="shared" ca="1" si="44"/>
        <v>#DIV/0!</v>
      </c>
      <c r="GS45" s="162" t="e">
        <f t="shared" ca="1" si="45"/>
        <v>#DIV/0!</v>
      </c>
      <c r="GT45" s="164" t="e">
        <f t="shared" ca="1" si="156"/>
        <v>#N/A</v>
      </c>
      <c r="GU45" s="162" t="e">
        <f t="shared" ca="1" si="157"/>
        <v>#N/A</v>
      </c>
      <c r="GV45" s="162" t="e">
        <f t="shared" ca="1" si="46"/>
        <v>#N/A</v>
      </c>
      <c r="GW45" s="162" t="e">
        <f t="shared" ca="1" si="221"/>
        <v>#DIV/0!</v>
      </c>
      <c r="GX45" s="162" t="e">
        <f t="shared" ca="1" si="228"/>
        <v>#DIV/0!</v>
      </c>
      <c r="GY45" s="162" t="e">
        <f t="shared" ca="1" si="158"/>
        <v>#DIV/0!</v>
      </c>
      <c r="GZ45" s="165" t="e">
        <f t="shared" ca="1" si="159"/>
        <v>#N/A</v>
      </c>
      <c r="HA45" s="162" t="e">
        <f ca="1">IF(Control!$C$114=1, $DI45*$FS45, 0)</f>
        <v>#N/A</v>
      </c>
      <c r="HB45" s="162" t="e">
        <f ca="1">$FA45/Control!$C$64</f>
        <v>#N/A</v>
      </c>
      <c r="HC45" s="162" t="e">
        <f t="shared" ca="1" si="222"/>
        <v>#DIV/0!</v>
      </c>
      <c r="HD45" s="162">
        <f ca="1">-ASIN(SIN(23.45*Control!$C$139)*COS(2*Control!$C$138*($AH45+10)/365))</f>
        <v>-0.26242395293007748</v>
      </c>
      <c r="HE45" s="165">
        <f t="shared" ca="1" si="160"/>
        <v>0</v>
      </c>
      <c r="HF45" s="166">
        <f ca="1">IF(AND(Control!$C$61="T",$HE45&gt;=Control!$C$103,Control!$C$114=0),$AH45,Control!$C$59)</f>
        <v>1</v>
      </c>
      <c r="HG45" s="166">
        <f ca="1">IF(AND(Control!$C$61="T",$HE45&gt;=Control!$C$103,Control!$C$114=0),$HF45,Control!$C$59)</f>
        <v>1</v>
      </c>
      <c r="HH45" s="165">
        <f ca="1">IF(AND(OR(Control!$C$60&lt;=0, $AH45= Control!$C$59, Control!$C$60 &gt;0, $AH45 = Control!$C$60)), Control!$C$59, IF(Control!$C$60&gt;0, 0))</f>
        <v>1</v>
      </c>
      <c r="HI45" s="165">
        <f ca="1">IF(AND(OR(Control!$C$60&lt;=0, $AH45= Control!$C$59, Control!$C$60 &gt;0, $AH45 = Control!$C$60)), Control!$C$60, IF(Control!$C$60&lt;=0, 0))</f>
        <v>0</v>
      </c>
      <c r="HJ45" s="166">
        <f ca="1">IF(AND(Control!$C$62="F",$CV45&gt;=Control!$C$102),$AH45,0)</f>
        <v>0</v>
      </c>
      <c r="HK45" s="165" t="e">
        <f t="shared" ca="1" si="202"/>
        <v>#N/A</v>
      </c>
      <c r="HL45" s="166">
        <f ca="1">IF(AND(Control!$C$61="T",$HE45&gt;=Control!$C$103,Control!$C$114=0),$HF45,0)</f>
        <v>0</v>
      </c>
      <c r="HM45" s="201" t="e">
        <f t="shared" ca="1" si="47"/>
        <v>#DIV/0!</v>
      </c>
      <c r="HN45" s="215">
        <f t="shared" ca="1" si="161"/>
        <v>40</v>
      </c>
      <c r="HO45" s="216" t="e">
        <f ca="1">IF(AND($CP45&gt;=0, $CP45&lt;=90), Control!$C$152, Control!$C$152)</f>
        <v>#N/A</v>
      </c>
      <c r="HP45" s="216" t="e">
        <f t="shared" ca="1" si="48"/>
        <v>#N/A</v>
      </c>
      <c r="HQ45" s="217" t="e">
        <f ca="1">IF(OR(Control!$B$26=1,Control!$B$26=2),$KV45,$KS45)</f>
        <v>#DIV/0!</v>
      </c>
      <c r="HR45" s="218" t="e">
        <f t="shared" ca="1" si="223"/>
        <v>#DIV/0!</v>
      </c>
      <c r="HS45" s="216" t="e">
        <f ca="1">Control!$C$154*$HP45</f>
        <v>#N/A</v>
      </c>
      <c r="HT45" s="216" t="e">
        <f ca="1">Control!$C$155*$HP45</f>
        <v>#N/A</v>
      </c>
      <c r="HU45" s="217" t="e">
        <f ca="1">Control!$C$161*$FI45</f>
        <v>#N/A</v>
      </c>
      <c r="HV45" s="218" t="e">
        <f t="shared" ca="1" si="162"/>
        <v>#N/A</v>
      </c>
      <c r="HW45" s="218" t="e">
        <f ca="1">Control!$C$160*$FF45+$IP45*$EO45</f>
        <v>#N/A</v>
      </c>
      <c r="HX45" s="218" t="e">
        <f t="shared" ca="1" si="203"/>
        <v>#N/A</v>
      </c>
      <c r="HY45" s="219" t="e">
        <f ca="1">IF(Control!$C$114=1, $EB45*$FS45, 0)</f>
        <v>#N/A</v>
      </c>
      <c r="HZ45" s="91" t="e">
        <f t="shared" ca="1" si="49"/>
        <v>#N/A</v>
      </c>
      <c r="IA45" s="220" t="e">
        <f ca="1">Control!$C$153*$HO45</f>
        <v>#N/A</v>
      </c>
      <c r="IB45" s="218" t="e">
        <f t="shared" ca="1" si="50"/>
        <v>#N/A</v>
      </c>
      <c r="IC45" s="220" t="e">
        <f ca="1">Control!$C$153*$HT45</f>
        <v>#N/A</v>
      </c>
      <c r="ID45" s="218" t="e">
        <f t="shared" ca="1" si="51"/>
        <v>#N/A</v>
      </c>
      <c r="IE45" s="221" t="e">
        <f ca="1">($EB45*Control!$C$159+$EF45*Control!$C$160)/(IF($GZ45&lt;&gt;0,$GZ45,1))</f>
        <v>#N/A</v>
      </c>
      <c r="IF45" s="216" t="e">
        <f t="shared" ca="1" si="52"/>
        <v>#N/A</v>
      </c>
      <c r="IG45" s="91">
        <f ca="1">IF(OR(Control!$B$198=$AH45,Control!$B$199=$AH45, Control!$B$200=$AH45, Control!$B$201=$AH45, Control!$B$202=$AH45, Control!$B$203=$AH45, Control!$B$204=$AH45, Control!$B$205=$AH45, Control!$B$206=$AH45, Control!$B$207=$AH45), 1, 0)</f>
        <v>0</v>
      </c>
      <c r="IH45" s="91">
        <f ca="1">IF($IG45=0,0, VLOOKUP($AH45,Control!$B$198:$C$207,2))</f>
        <v>0</v>
      </c>
      <c r="II45" s="222">
        <f t="shared" ca="1" si="163"/>
        <v>0</v>
      </c>
      <c r="IJ45" s="91">
        <f>Control!$C$121</f>
        <v>0.7</v>
      </c>
      <c r="IK45" s="218">
        <f t="shared" ca="1" si="53"/>
        <v>0</v>
      </c>
      <c r="IL45" s="217" t="e">
        <f t="shared" ca="1" si="204"/>
        <v>#N/A</v>
      </c>
      <c r="IM45" s="223" t="e">
        <f ca="1">IF(AND(Control!$C$114=1,$KH45&lt;1),$EB45*Control!$C$148*(1-$KH45), 0)</f>
        <v>#N/A</v>
      </c>
      <c r="IN45" s="217" t="e">
        <f t="shared" ca="1" si="54"/>
        <v>#DIV/0!</v>
      </c>
      <c r="IO45" s="91" t="e">
        <f ca="1">MAX(0,$IL45-$EF45*Control!$C$160)</f>
        <v>#N/A</v>
      </c>
      <c r="IP45" s="220" t="e">
        <f t="shared" ca="1" si="55"/>
        <v>#N/A</v>
      </c>
      <c r="IQ45" s="217" t="e">
        <f t="shared" ca="1" si="164"/>
        <v>#N/A</v>
      </c>
      <c r="IR45" s="218" t="e">
        <f t="shared" ca="1" si="56"/>
        <v>#N/A</v>
      </c>
      <c r="IS45" s="217" t="e">
        <f ca="1">Control!$C$159*MAX(0,$FD45-$EN45)</f>
        <v>#N/A</v>
      </c>
      <c r="IT45" s="217" t="e">
        <f t="shared" ca="1" si="205"/>
        <v>#N/A</v>
      </c>
      <c r="IU45" s="217" t="e">
        <f t="shared" ca="1" si="165"/>
        <v>#N/A</v>
      </c>
      <c r="IV45" s="217" t="e">
        <f t="shared" ca="1" si="206"/>
        <v>#N/A</v>
      </c>
      <c r="IW45" s="217" t="e">
        <f ca="1">IF(OR($AW45=1,AND($AW45=0, Control!$B$18=1,$EN45&lt;&gt;0)), $IQ45-$IU45, $IQ45)</f>
        <v>#N/A</v>
      </c>
      <c r="IX45" s="218" t="e">
        <f t="shared" ca="1" si="57"/>
        <v>#N/A</v>
      </c>
      <c r="IY45" s="218" t="e">
        <f ca="1">MAX(0,$IQ45-$EB45*Control!$C$159)</f>
        <v>#N/A</v>
      </c>
      <c r="IZ45" s="218" t="e">
        <f t="shared" ca="1" si="58"/>
        <v>#N/A</v>
      </c>
      <c r="JA45" s="216" t="e">
        <f t="shared" ca="1" si="59"/>
        <v>#N/A</v>
      </c>
      <c r="JB45" s="217" t="e">
        <f t="shared" ca="1" si="60"/>
        <v>#N/A</v>
      </c>
      <c r="JC45" s="222" t="e">
        <f ca="1">MAX(Control!$C$157*$EK45-$JT45, 0)/Control!$C$162</f>
        <v>#N/A</v>
      </c>
      <c r="JD45" s="218" t="e">
        <f t="shared" ca="1" si="61"/>
        <v>#N/A</v>
      </c>
      <c r="JE45" s="218" t="e">
        <f t="shared" ca="1" si="62"/>
        <v>#N/A</v>
      </c>
      <c r="JF45" s="218" t="e">
        <f t="shared" ca="1" si="207"/>
        <v>#N/A</v>
      </c>
      <c r="JG45" s="218" t="e">
        <f t="shared" ca="1" si="63"/>
        <v>#N/A</v>
      </c>
      <c r="JH45" s="217" t="e">
        <f t="shared" ca="1" si="166"/>
        <v>#N/A</v>
      </c>
      <c r="JI45" s="217" t="e">
        <f t="shared" ca="1" si="167"/>
        <v>#N/A</v>
      </c>
      <c r="JJ45" s="217" t="e">
        <f t="shared" ca="1" si="224"/>
        <v>#N/A</v>
      </c>
      <c r="JK45" s="217" t="e">
        <f ca="1">IF(Control!$C$114=1,IF(Control!$B$24=0,MAX(0,$JI45)*$GN45/Control!$C$64,(MAX(0,MIN($JI45,$JJ45*$GN45/Control!$C$64),0))))</f>
        <v>#N/A</v>
      </c>
      <c r="JL45" s="217" t="e">
        <f ca="1">$IK45/Control!$C$64-$JK45+$HQ45</f>
        <v>#N/A</v>
      </c>
      <c r="JM45" s="217" t="e">
        <f ca="1">IF(Control!$C$114=1,($JB45/(IF($JI45&lt;&gt;0,$JI45,1)))*$JK45,0)</f>
        <v>#N/A</v>
      </c>
      <c r="JN45" s="217" t="e">
        <f ca="1">IF(Control!$C$114=1,($JG45/(IF($JI45&lt;&gt;0,$JI45,1)))*$JK45, 0)</f>
        <v>#N/A</v>
      </c>
      <c r="JO45" s="218" t="e">
        <f t="shared" ca="1" si="64"/>
        <v>#N/A</v>
      </c>
      <c r="JP45" s="218" t="e">
        <f ca="1">MIN(($IY45+$IO45)*Control!$C$151, $JF45-$EH45*Control!$C$161)</f>
        <v>#N/A</v>
      </c>
      <c r="JQ45" s="218" t="e">
        <f t="shared" ca="1" si="65"/>
        <v>#N/A</v>
      </c>
      <c r="JR45" s="217" t="e">
        <f ca="1">IF($CP45-Control!$C$150&lt;0, 0, $JQ45/Control!$C$162)</f>
        <v>#N/A</v>
      </c>
      <c r="JS45" s="218" t="e">
        <f t="shared" ca="1" si="66"/>
        <v>#N/A</v>
      </c>
      <c r="JT45" s="218" t="e">
        <f t="shared" ca="1" si="168"/>
        <v>#N/A</v>
      </c>
      <c r="JU45" s="218" t="e">
        <f t="shared" ca="1" si="67"/>
        <v>#N/A</v>
      </c>
      <c r="JV45" s="218" t="e">
        <f t="shared" ca="1" si="68"/>
        <v>#N/A</v>
      </c>
      <c r="JW45" s="216" t="e">
        <f t="shared" ca="1" si="69"/>
        <v>#N/A</v>
      </c>
      <c r="JX45" s="91" t="e">
        <f t="shared" ca="1" si="70"/>
        <v>#N/A</v>
      </c>
      <c r="JY45" s="218" t="e">
        <f t="shared" ca="1" si="71"/>
        <v>#N/A</v>
      </c>
      <c r="JZ45" s="217" t="e">
        <f ca="1">IF(Control!$C$114=1,($IZ45/(IF($JI45&lt;&gt;0,$JI45,1)))*$JK45, 0)</f>
        <v>#N/A</v>
      </c>
      <c r="KA45" s="218" t="e">
        <f t="shared" ca="1" si="225"/>
        <v>#N/A</v>
      </c>
      <c r="KB45" s="218" t="e">
        <f t="shared" ca="1" si="169"/>
        <v>#N/A</v>
      </c>
      <c r="KC45" s="218" t="e">
        <f t="shared" ca="1" si="72"/>
        <v>#N/A</v>
      </c>
      <c r="KD45" s="218" t="e">
        <f t="shared" ca="1" si="73"/>
        <v>#N/A</v>
      </c>
      <c r="KE45" s="218" t="e">
        <f t="shared" ca="1" si="74"/>
        <v>#N/A</v>
      </c>
      <c r="KF45" s="218" t="e">
        <f t="shared" ca="1" si="75"/>
        <v>#N/A</v>
      </c>
      <c r="KG45" s="216" t="e">
        <f t="shared" ca="1" si="76"/>
        <v>#N/A</v>
      </c>
      <c r="KH45" s="221" t="e">
        <f ca="1">IF(Control!$B$24=0,1,MAX(0.001,MIN(1,IF(($IF45-$IE45)&lt;&gt;0,($KG45-$IE45)/($IF45-$IE45),1))))</f>
        <v>#N/A</v>
      </c>
      <c r="KI45" s="222" t="e">
        <f ca="1">IF(Control!$C$114=1, $KI44+ $KH44, 0)</f>
        <v>#N/A</v>
      </c>
      <c r="KJ45" s="217" t="e">
        <f t="shared" ca="1" si="77"/>
        <v>#N/A</v>
      </c>
      <c r="KK45" s="218" t="e">
        <f t="shared" ca="1" si="78"/>
        <v>#N/A</v>
      </c>
      <c r="KL45" s="274" t="e">
        <f ca="1">IF(Control!$B$26=3,4000000000*EXP(-8400/($G45+273)),IF(Control!$B$26=4,4000000000*EXP(-8400/($G45+273))*($KT45),0))</f>
        <v>#DIV/0!</v>
      </c>
      <c r="KM45" s="274" t="e">
        <f ca="1">IF(Control!$B$26=3,5600000000000*EXP(-9800/($G45+273)),IF(Control!$B$26=4,5600000000000*EXP(-9800/($G45+273))*$KT45,0))</f>
        <v>#DIV/0!</v>
      </c>
      <c r="KN45" s="454" t="e">
        <f t="shared" ca="1" si="170"/>
        <v>#DIV/0!</v>
      </c>
      <c r="KO45" s="274" t="e">
        <f t="shared" ca="1" si="171"/>
        <v>#DIV/0!</v>
      </c>
      <c r="KP45" s="454" t="e">
        <f t="shared" ca="1" si="79"/>
        <v>#DIV/0!</v>
      </c>
      <c r="KQ45" s="454" t="e">
        <f t="shared" ca="1" si="80"/>
        <v>#DIV/0!</v>
      </c>
      <c r="KR45" s="454" t="e">
        <f t="shared" ca="1" si="81"/>
        <v>#DIV/0!</v>
      </c>
      <c r="KS45" s="454" t="e">
        <f t="shared" ca="1" si="82"/>
        <v>#DIV/0!</v>
      </c>
      <c r="KT45" s="455" t="e">
        <f t="shared" ca="1" si="83"/>
        <v>#DIV/0!</v>
      </c>
      <c r="KU45" s="456" t="e">
        <f ca="1">IF($CP45-Control!$C$149&lt;0, IF($NT45-0.01&lt;0,0,1),0)</f>
        <v>#N/A</v>
      </c>
      <c r="KV45" s="456" t="e">
        <f ca="1">IF(Control!$C$114=1,MAX(0,MIN(Control!$C$125*$KW45*$GN45,$KW45)))</f>
        <v>#DIV/0!</v>
      </c>
      <c r="KW45" s="456" t="e">
        <f t="shared" ca="1" si="208"/>
        <v>#DIV/0!</v>
      </c>
      <c r="KX45" s="457" t="e">
        <f ca="1">IF($CP45-Control!$C$149&lt;0, IF($MR45-$OM45&lt;0,0,1),0)</f>
        <v>#N/A</v>
      </c>
      <c r="KY45" s="167">
        <f t="shared" ca="1" si="172"/>
        <v>40</v>
      </c>
      <c r="KZ45" s="168">
        <f ca="1">1370*(1+0.033*COS(2*Control!$C$138*$AH45/365))</f>
        <v>1404.909152928308</v>
      </c>
      <c r="LA45" s="169">
        <f t="shared" ca="1" si="173"/>
        <v>1.0254811672884725</v>
      </c>
      <c r="LB45" s="169">
        <f t="shared" ca="1" si="174"/>
        <v>-0.26393264366523023</v>
      </c>
      <c r="LC45" s="169">
        <f ca="1">ACOS(-TAN((2*Control!$B$8/360))*TAN(Calculations!$LB45))</f>
        <v>1.490394470108211</v>
      </c>
      <c r="LD45" s="169">
        <f ca="1">((24*60)/PI())*0.082*$LA45*(($LC45*SIN(Control!$B$8*2*PI()/360))*SIN($LB45)+COS(Control!$B$8*2*PI()/360)*COS($LB45)*SIN($LC45))</f>
        <v>11.024807804905889</v>
      </c>
      <c r="LE45" s="170">
        <f t="shared" ca="1" si="84"/>
        <v>11.886724672747008</v>
      </c>
      <c r="LF45" s="170">
        <f ca="1">SIN(Control!$C$139*Control!$B$8)*SIN($HD45)</f>
        <v>-0.20442788389048255</v>
      </c>
      <c r="LG45" s="170">
        <f ca="1">COS(Control!$C$139*Control!$B$8)*COS($HD45)</f>
        <v>0.59458206687186277</v>
      </c>
      <c r="LH45" s="170">
        <f ca="1">12*(1+2*ASIN(MAX(-1,MIN(1,$LF45/$LG45))/Control!$C$138))</f>
        <v>9.3681601978181774</v>
      </c>
      <c r="LI45" s="170">
        <f ca="1">12*(1+2*ASIN(MAX(-1,MIN(1,(-SIN(-4*Control!$C$139)+$LF45)/$LG45))/Control!$C$138))</f>
        <v>10.268189445362871</v>
      </c>
      <c r="LJ45" s="168">
        <f ca="1">3600*($LH45*$LF45+24*$LG45*SQRT(1-$LK45*$LK45)/Control!$C$138)</f>
        <v>8460.8493353260837</v>
      </c>
      <c r="LK45" s="170">
        <f t="shared" ca="1" si="85"/>
        <v>-0.34381777601533081</v>
      </c>
      <c r="LL45" s="170">
        <f t="shared" ca="1" si="86"/>
        <v>0</v>
      </c>
      <c r="LM45" s="171">
        <f ca="1">Control!$C$145*$AB45</f>
        <v>6.6660906138995932E-2</v>
      </c>
      <c r="LN45" s="170">
        <f t="shared" ca="1" si="175"/>
        <v>0.54</v>
      </c>
      <c r="LO45" s="170">
        <f t="shared" ca="1" si="87"/>
        <v>0</v>
      </c>
      <c r="LP45" s="170">
        <f ca="1">Control!$C$140*((($D45+273.16)^4+($E45+273.16)^4)/2)*(0.34-0.14*SQRT($Y45))*(1.35*$AQ45/(0.75*$LD45)-0.35)</f>
        <v>-3.2464704755046001</v>
      </c>
      <c r="LQ45" s="170">
        <f ca="1">Control!$C$140*($G45+273)^4*(0.56-0.079*SQRT($Y45*10))*(0.1+0.9*$LO45)</f>
        <v>1.5241745131704001</v>
      </c>
      <c r="LR45" s="170">
        <f ca="1">$AQ45*(1-Control!$C$142)-$LQ45</f>
        <v>-1.5241745131704001</v>
      </c>
      <c r="LS45" s="170">
        <f ca="1">$AQ45*(1-Control!$C$143)-$LQ45</f>
        <v>-1.5241745131704001</v>
      </c>
      <c r="LT45" s="170">
        <f ca="1">$AQ45*(1-Control!$C$144)-$LQ45</f>
        <v>-1.5241745131704001</v>
      </c>
      <c r="LU45" s="169">
        <f ca="1">(1-Control!$C$144)*AQ45-LP45</f>
        <v>3.2464704755046001</v>
      </c>
      <c r="LV45" s="172">
        <f t="shared" ca="1" si="88"/>
        <v>0.79430000000000012</v>
      </c>
      <c r="LW45" s="170">
        <f t="shared" ca="1" si="89"/>
        <v>1.5886000000000002</v>
      </c>
      <c r="LX45" s="170">
        <f ca="1">($AC45*($LR45/Control!$C$141)+$LM45*$LV45)/($AC45+$LM45)</f>
        <v>0.23530094218323697</v>
      </c>
      <c r="LY45" s="170">
        <f ca="1">($AC45*($LS45/Control!$C$141)+$LM45*$LV45)/($AC45+$LM45)</f>
        <v>0.23530094218323697</v>
      </c>
      <c r="LZ45" s="170">
        <f t="shared" ca="1" si="90"/>
        <v>0.23530094218323697</v>
      </c>
      <c r="MA45" s="170">
        <f t="shared" ca="1" si="91"/>
        <v>0.23530094218323697</v>
      </c>
      <c r="MB45" s="170" t="e">
        <f t="shared" ca="1" si="92"/>
        <v>#N/A</v>
      </c>
      <c r="MC45" s="170">
        <f t="shared" ca="1" si="176"/>
        <v>0.6018</v>
      </c>
      <c r="MD45" s="170">
        <f t="shared" ca="1" si="93"/>
        <v>0.52989392535414004</v>
      </c>
      <c r="ME45" s="170">
        <f ca="1">($AC45*($LT45/Control!$C$141)+$LM45*$LW45)/($AC45+$LM45)</f>
        <v>0.71612369323045078</v>
      </c>
      <c r="MF45" s="170" t="e">
        <f ca="1">IF(Control!$B$16&gt;=1000,0.92,IF(AND(720&lt;=Control!$B$16,1000&gt;Control!$B$16),(0.95+(Control!$B$16-720)*((0.92-0.95)/(1000-720))),IF(AND(360&lt;=Control!$B$16,720&gt;Control!$B$16),(1+(Control!$B$16-360)*((0.95-1)/(720-360))),IF(AND(40&lt;=Control!$B$16,360&gt;Control!$B$16),(1.05+(Control!$B$16-40)*((1.05-1)/(360-40)))))))</f>
        <v>#N/A</v>
      </c>
      <c r="MG45" s="170">
        <f t="shared" ca="1" si="94"/>
        <v>0.71612369323045078</v>
      </c>
      <c r="MH45" s="170" t="e">
        <f t="shared" ca="1" si="230"/>
        <v>#N/A</v>
      </c>
      <c r="MI45" s="170" t="e">
        <f t="shared" ca="1" si="230"/>
        <v>#N/A</v>
      </c>
      <c r="MJ45" s="170" t="e">
        <f ca="1">MAX(0.0001, Control!$C$132*$MI45*$DL45)</f>
        <v>#N/A</v>
      </c>
      <c r="MK45" s="170">
        <f ca="1">1/(0.76+1.5*($MG45/10))-(5-Control!$C$110)*0.1</f>
        <v>1.002845988140797</v>
      </c>
      <c r="ML45" s="173">
        <f ca="1">IF(Control!$C$110&lt;3,$MK45+($MG45-0.6)/(Control!$C$110*(Control!$C$110+3)), MAX(0.1, MIN(0.95,$MK45)))</f>
        <v>0.95</v>
      </c>
      <c r="MM45" s="173">
        <f ca="1">IF(Control!$C$110&lt;3,$MK45+(($MI45/10)-0.6)/(Control!$C$110*(Control!$C$110+3)), MAX(0.1, MIN(0.95,$MK45)))</f>
        <v>0.95</v>
      </c>
      <c r="MN45" s="173">
        <f ca="1">(1-$MM45)*(Control!$C$128-Control!$C$127)+Control!$C$127</f>
        <v>0.16</v>
      </c>
      <c r="MO45" s="170" t="e">
        <f ca="1">MAX(0,MIN(1,($MS45-Control!$C$127)/($MN45-Control!$C$127)))</f>
        <v>#DIV/0!</v>
      </c>
      <c r="MP45" s="173" t="e">
        <f ca="1">1/(0.76+1.5*$MI45)-(5-Control!$C$110)*0.1</f>
        <v>#N/A</v>
      </c>
      <c r="MQ45" s="172" t="e">
        <f t="shared" ca="1" si="209"/>
        <v>#DIV/0!</v>
      </c>
      <c r="MR45" s="168" t="e">
        <f t="shared" ca="1" si="226"/>
        <v>#DIV/0!</v>
      </c>
      <c r="MS45" s="173" t="e">
        <f ca="1">MAX(Control!$C$127, MIN(Control!$C$135, $MR45/MAX(0.0001,$CY45)))</f>
        <v>#DIV/0!</v>
      </c>
      <c r="MT45" s="168" t="e">
        <f ca="1">(Control!$C$128-$MS45)*Control!$C$74</f>
        <v>#DIV/0!</v>
      </c>
      <c r="MU45" s="168" t="e">
        <f ca="1">(Control!$C$135-$MS45)*Control!$C$74</f>
        <v>#DIV/0!</v>
      </c>
      <c r="MV45" s="168" t="e">
        <f t="shared" ca="1" si="210"/>
        <v>#DIV/0!</v>
      </c>
      <c r="MW45" s="168" t="e">
        <f t="shared" ca="1" si="177"/>
        <v>#DIV/0!</v>
      </c>
      <c r="MX45" s="171" t="e">
        <f ca="1">MAX(Control!$C$127, MIN(Control!$C$135, $MW45/MAX(0.0001,Control!$C$119-$CY45)))</f>
        <v>#DIV/0!</v>
      </c>
      <c r="MY45" s="54" t="e">
        <f ca="1">IF(Control!$C$114=1, $CX45*$MX45, 0)</f>
        <v>#DIV/0!</v>
      </c>
      <c r="MZ45" s="54" t="e">
        <f t="shared" ca="1" si="178"/>
        <v>#N/A</v>
      </c>
      <c r="NA45" s="168" t="e">
        <f ca="1">(Control!$C$128-$MX45)*(Control!$C$119-Control!$C$74)</f>
        <v>#DIV/0!</v>
      </c>
      <c r="NB45" s="168" t="e">
        <f ca="1">(Control!$C$135-$MX45)*(Control!$C$119-Control!$C$74)</f>
        <v>#DIV/0!</v>
      </c>
      <c r="NC45" s="174" t="e">
        <f t="shared" ca="1" si="179"/>
        <v>#DIV/0!</v>
      </c>
      <c r="ND45" s="54">
        <f ca="1">IF(Control!$C$58=2, IF(OR(Control!$B$218=$AH45,Control!$B$219=$AH45, Control!$B$220=$AH45, Control!$B$221=$AH45, Control!$B$222=$AH45, Control!$B$223=$AH45, Control!$B$224=$AH45, Control!$B$225=$AH45, Control!$B$226=$AH45, Control!$B$227=$AH45, Control!$B$228=$AH45), 1, 0), 0)</f>
        <v>0</v>
      </c>
      <c r="NE45" s="54">
        <f ca="1">IF($ND45=0,0, VLOOKUP($AH45,Control!$B$218:$C$228,2))</f>
        <v>0</v>
      </c>
      <c r="NF45" s="168" t="e">
        <f ca="1">$CY45*(Control!$C$128-Control!$C$127)</f>
        <v>#N/A</v>
      </c>
      <c r="NG45" s="54" t="e">
        <f ca="1">IF(Control!$C$58=2, $NI44-$NJ44, 0)</f>
        <v>#DIV/0!</v>
      </c>
      <c r="NH45" s="54" t="e">
        <f ca="1">IF(AND(Control!$C$58=1, $MS44&lt;= ($MN44+0.02), $I44&lt;10), 0, IF(Control!$C$58=2, $NG44, 0))</f>
        <v>#DIV/0!</v>
      </c>
      <c r="NI45" s="54" t="e">
        <f ca="1">IF(Control!$C$58=2, $NE45+$NH45,0)</f>
        <v>#DIV/0!</v>
      </c>
      <c r="NJ45" s="54" t="e">
        <f ca="1">IF(AND(Control!$C$58=1, $MS45&lt;= ($MN45+0.02), $I45&lt;10), MAX(0, MIN(10, 0.7*($NF45-$MV45))), IF(Control!$C$58=2, MIN(10,$NI45),0))</f>
        <v>#DIV/0!</v>
      </c>
      <c r="NK45" s="54" t="e">
        <f t="shared" ca="1" si="96"/>
        <v>#DIV/0!</v>
      </c>
      <c r="NL45" s="173" t="e">
        <f ca="1">(1-Control!$C$73)*$I45+$NJ45</f>
        <v>#DIV/0!</v>
      </c>
      <c r="NM45" s="172" t="e">
        <f ca="1">IF($NL45&lt;0.5, $MB45* MAX(0, MIN(1, (SQRT($NC45)-SQRT($NC45-1))*Control!$C$71)),0)</f>
        <v>#DIV/0!</v>
      </c>
      <c r="NN45" s="170" t="e">
        <f ca="1">IF($NL45&gt;=5, $MB45, MAX(0,MIN($MB45, $NM45+$NL45,($MS45-Control!$C$129))))</f>
        <v>#DIV/0!</v>
      </c>
      <c r="NO45" s="54">
        <f>IF(Control!$C$133&lt;&gt;1, Control!$C$135-Control!$C$131, 0)</f>
        <v>0.38</v>
      </c>
      <c r="NP45" s="54" t="e">
        <f t="shared" ca="1" si="97"/>
        <v>#DIV/0!</v>
      </c>
      <c r="NQ45" s="173" t="e">
        <f ca="1">MAX(0,MIN(1,(Control!$C$135-$MS45)/(Control!$C$135-$NO45)))</f>
        <v>#DIV/0!</v>
      </c>
      <c r="NR45" s="170" t="e">
        <f ca="1">IF(Control!$C$133&lt;&gt;1, $NQ45+((1-$NP45/4)*(1-$NQ45)),1)</f>
        <v>#DIV/0!</v>
      </c>
      <c r="NS45" s="170" t="e">
        <f ca="1">IF(Control!$B$31=0,$MJ45,MAX(0,MIN($MV45,$MO45*$NR45*$MJ45)))</f>
        <v>#DIV/0!</v>
      </c>
      <c r="NT45" s="170" t="e">
        <f t="shared" ca="1" si="227"/>
        <v>#DIV/0!</v>
      </c>
      <c r="NU45" s="170" t="e">
        <f t="shared" ca="1" si="180"/>
        <v>#N/A</v>
      </c>
      <c r="NV45" s="170" t="e">
        <f t="shared" ca="1" si="98"/>
        <v>#N/A</v>
      </c>
      <c r="NW45" s="175" t="e">
        <f t="shared" ca="1" si="99"/>
        <v>#DIV/0!</v>
      </c>
      <c r="NX45" s="170" t="e">
        <f ca="1">MIN(Control!$C$72+$MU45, $NW45)</f>
        <v>#DIV/0!</v>
      </c>
      <c r="NY45" s="170" t="e">
        <f ca="1">IF($MT45&lt;=$NX45,MIN(Control!$C$72+$NB45,$NX45-$MT45),0)</f>
        <v>#DIV/0!</v>
      </c>
      <c r="NZ45" s="54" t="e">
        <f ca="1">IF(Control!$C$114=1,  $CX45*($MX45-Control!$C$127), 0)</f>
        <v>#DIV/0!</v>
      </c>
      <c r="OA45" s="170" t="e">
        <f t="shared" ca="1" si="181"/>
        <v>#DIV/0!</v>
      </c>
      <c r="OB45" s="170" t="e">
        <f ca="1">IF($NA45 &lt;=$NY45, MIN(Control!$C$72, $NY45-$NA45), 0)</f>
        <v>#DIV/0!</v>
      </c>
      <c r="OC45" s="168" t="e">
        <f t="shared" ca="1" si="100"/>
        <v>#DIV/0!</v>
      </c>
      <c r="OD45" s="168" t="e">
        <f t="shared" ca="1" si="182"/>
        <v>#DIV/0!</v>
      </c>
      <c r="OE45" s="170">
        <f ca="1">Control!$C$73*$I45</f>
        <v>0</v>
      </c>
      <c r="OF45" s="176" t="e">
        <f t="shared" ca="1" si="101"/>
        <v>#DIV/0!</v>
      </c>
      <c r="OG45" s="168" t="e">
        <f t="shared" ca="1" si="102"/>
        <v>#DIV/0!</v>
      </c>
      <c r="OH45" s="168" t="e">
        <f t="shared" ca="1" si="103"/>
        <v>#DIV/0!</v>
      </c>
      <c r="OI45" s="168" t="e">
        <f t="shared" ca="1" si="104"/>
        <v>#DIV/0!</v>
      </c>
      <c r="OJ45" s="168" t="e">
        <f t="shared" ca="1" si="105"/>
        <v>#DIV/0!</v>
      </c>
      <c r="OK45" s="204" t="e">
        <f t="shared" ca="1" si="183"/>
        <v>#DIV/0!</v>
      </c>
      <c r="OL45" s="177">
        <f>Control!$C$127</f>
        <v>0.15</v>
      </c>
      <c r="OM45" s="182" t="e">
        <f t="shared" ca="1" si="106"/>
        <v>#N/A</v>
      </c>
      <c r="ON45" s="177">
        <f>Control!$C$128</f>
        <v>0.35</v>
      </c>
      <c r="OO45" s="182" t="e">
        <f t="shared" ca="1" si="107"/>
        <v>#N/A</v>
      </c>
      <c r="OP45" s="138">
        <f t="shared" ca="1" si="184"/>
        <v>0</v>
      </c>
      <c r="OQ45" s="138" t="e">
        <f t="shared" ca="1" si="211"/>
        <v>#DIV/0!</v>
      </c>
      <c r="OR45" s="138" t="e">
        <f t="shared" ca="1" si="185"/>
        <v>#DIV/0!</v>
      </c>
      <c r="OS45" s="137" t="e">
        <f t="shared" ca="1" si="212"/>
        <v>#DIV/0!</v>
      </c>
      <c r="OT45" s="139" t="e">
        <f t="shared" ca="1" si="213"/>
        <v>#DIV/0!</v>
      </c>
      <c r="OU45" s="138" t="e">
        <f t="shared" ca="1" si="214"/>
        <v>#N/A</v>
      </c>
      <c r="OV45" s="138" t="e">
        <f t="shared" ca="1" si="215"/>
        <v>#DIV/0!</v>
      </c>
      <c r="OW45" s="138" t="e">
        <f t="shared" ca="1" si="186"/>
        <v>#DIV/0!</v>
      </c>
      <c r="OX45" s="138" t="e">
        <f t="shared" ca="1" si="187"/>
        <v>#DIV/0!</v>
      </c>
      <c r="OY45" s="138" t="e">
        <f t="shared" ca="1" si="188"/>
        <v>#DIV/0!</v>
      </c>
      <c r="OZ45" s="138" t="e">
        <f t="shared" ca="1" si="108"/>
        <v>#DIV/0!</v>
      </c>
      <c r="PA45" s="138" t="e">
        <f t="shared" ca="1" si="109"/>
        <v>#DIV/0!</v>
      </c>
      <c r="PB45" s="55">
        <f>IF(Control!$C$61="T", IF(Control!$C$65="F", IF($AH$6-Control!$C$60&lt;0,0,1), IF(365+$AH$6-Control!$C$60&lt;0,0,1)),0)</f>
        <v>0</v>
      </c>
      <c r="PC45" s="55">
        <f ca="1">IF(Control!$C$65="F", IF($AH$6-$HF45&lt;0,0,1), IF(365+$AH$6-$HF45&lt;0,0,1))</f>
        <v>1</v>
      </c>
      <c r="PD45" s="444">
        <f>Control!$C$118</f>
        <v>1500</v>
      </c>
      <c r="PE45" s="180" t="e">
        <f t="shared" ca="1" si="110"/>
        <v>#N/A</v>
      </c>
      <c r="PF45" s="445">
        <f t="shared" ca="1" si="189"/>
        <v>0.71612369323045078</v>
      </c>
      <c r="PT45" s="186"/>
      <c r="PU45" s="186"/>
      <c r="PV45" s="94"/>
      <c r="PW45" s="94"/>
      <c r="PX45" s="94"/>
      <c r="PY45" s="94"/>
      <c r="PZ45" s="94"/>
      <c r="QA45" s="94"/>
      <c r="QB45" s="94"/>
      <c r="QC45" s="94"/>
      <c r="QD45" s="94"/>
      <c r="QE45" s="94"/>
      <c r="QF45" s="94"/>
      <c r="QG45" s="94"/>
      <c r="QH45" s="94"/>
      <c r="QI45" s="94"/>
      <c r="QJ45" s="94"/>
      <c r="QK45" s="94"/>
      <c r="QL45" s="94"/>
      <c r="QM45" s="94"/>
      <c r="QN45" s="94"/>
      <c r="QO45" s="94"/>
      <c r="QP45" s="94"/>
    </row>
    <row r="46" spans="1:458" s="2" customFormat="1" x14ac:dyDescent="0.2">
      <c r="A46" s="395">
        <v>10</v>
      </c>
      <c r="B46" s="396">
        <v>2</v>
      </c>
      <c r="C46" s="387">
        <f ca="1">Weather_data!$B45</f>
        <v>0</v>
      </c>
      <c r="D46" s="388">
        <f ca="1">Weather_data!$F45</f>
        <v>0</v>
      </c>
      <c r="E46" s="388">
        <f ca="1">Weather_data!$E45</f>
        <v>0</v>
      </c>
      <c r="F46" s="388">
        <f t="shared" ca="1" si="111"/>
        <v>0</v>
      </c>
      <c r="G46" s="388">
        <f ca="1">AVERAGE($D46:$E46)+Control!$B$9</f>
        <v>0</v>
      </c>
      <c r="H46" s="388">
        <f ca="1">Weather_data!$G45</f>
        <v>0</v>
      </c>
      <c r="I46" s="388">
        <f ca="1">Weather_data!$I45</f>
        <v>0</v>
      </c>
      <c r="J46" s="388">
        <f ca="1">Weather_data!$H45</f>
        <v>0</v>
      </c>
      <c r="K46" s="389">
        <f ca="1">Weather_data!$D45</f>
        <v>0</v>
      </c>
      <c r="L46" s="388" t="e">
        <f t="shared" ca="1" si="112"/>
        <v>#N/A</v>
      </c>
      <c r="M46" s="388" t="e">
        <f t="shared" ca="1" si="0"/>
        <v>#N/A</v>
      </c>
      <c r="N46" s="388">
        <f t="shared" ca="1" si="1"/>
        <v>-7.3904414707172943E-3</v>
      </c>
      <c r="O46" s="388">
        <f t="shared" ca="1" si="113"/>
        <v>7.3904414707172947E-2</v>
      </c>
      <c r="P46" s="390">
        <v>3</v>
      </c>
      <c r="Q46" s="388">
        <f ca="1">MAX($G46-Control!$C$107,0)</f>
        <v>0</v>
      </c>
      <c r="R46" s="388">
        <f t="shared" ca="1" si="114"/>
        <v>0</v>
      </c>
      <c r="S46" s="388">
        <f t="shared" ca="1" si="2"/>
        <v>0</v>
      </c>
      <c r="T46" s="388">
        <f t="shared" ca="1" si="3"/>
        <v>0</v>
      </c>
      <c r="U46" s="59">
        <f t="shared" ca="1" si="4"/>
        <v>0</v>
      </c>
      <c r="V46" s="391">
        <f ca="1">MAX(0,MIN(Control!$C$100-Control!$C$99,$G46-Control!$C$99)*Control!$C$63)</f>
        <v>0</v>
      </c>
      <c r="W46" s="388">
        <f t="shared" ca="1" si="190"/>
        <v>0</v>
      </c>
      <c r="X46" s="388">
        <f t="shared" ca="1" si="115"/>
        <v>0.6110000000000001</v>
      </c>
      <c r="Y46" s="388">
        <f t="shared" ca="1" si="116"/>
        <v>0</v>
      </c>
      <c r="Z46" s="388">
        <f t="shared" ca="1" si="117"/>
        <v>0.61058800000000002</v>
      </c>
      <c r="AA46" s="388">
        <f t="shared" ca="1" si="5"/>
        <v>0.6018</v>
      </c>
      <c r="AB46" s="388">
        <f ca="1">101.3*EXP(-0.034*Control!$C$66/($G46+273))</f>
        <v>100.69623283836242</v>
      </c>
      <c r="AC46" s="392">
        <f t="shared" ca="1" si="6"/>
        <v>4.3460251046025113E-2</v>
      </c>
      <c r="AD46" s="392">
        <f t="shared" ca="1" si="7"/>
        <v>4.4450382862832649E-2</v>
      </c>
      <c r="AE46" s="388">
        <f t="shared" ca="1" si="8"/>
        <v>0</v>
      </c>
      <c r="AF46" s="388">
        <f ca="1">MAX(0,$G46-Control!$C$92)</f>
        <v>0</v>
      </c>
      <c r="AG46" s="393">
        <f t="shared" ca="1" si="118"/>
        <v>41</v>
      </c>
      <c r="AH46" s="389">
        <f t="shared" ca="1" si="9"/>
        <v>41</v>
      </c>
      <c r="AI46" s="388">
        <f t="shared" ca="1" si="119"/>
        <v>-0.2570094721593057</v>
      </c>
      <c r="AJ46" s="388">
        <f ca="1">IF(Control!$C$60&lt;=0,$HH46,$HI46)</f>
        <v>1</v>
      </c>
      <c r="AK46" s="388">
        <f t="shared" ca="1" si="10"/>
        <v>-0.67135404652055852</v>
      </c>
      <c r="AL46" s="388">
        <f t="shared" ca="1" si="11"/>
        <v>-1.0819314194554508E-18</v>
      </c>
      <c r="AM46" s="388">
        <f t="shared" ca="1" si="12"/>
        <v>-0.67135404652055852</v>
      </c>
      <c r="AN46" s="388">
        <f t="shared" ca="1" si="13"/>
        <v>-0.25004772109010315</v>
      </c>
      <c r="AO46" s="388">
        <f ca="1">-0.10453/COS(Control!$B$8*PI()/180)*COS(AN46)</f>
        <v>-0.16450465923813765</v>
      </c>
      <c r="AP46" s="388">
        <f ca="1">ACOS(AO46-TAN(Control!$B$8*PI()/180)*TAN(AN46))</f>
        <v>1.407690936444328</v>
      </c>
      <c r="AQ46" s="388">
        <f t="shared" ca="1" si="120"/>
        <v>0</v>
      </c>
      <c r="AR46" s="394">
        <f t="shared" ca="1" si="14"/>
        <v>0</v>
      </c>
      <c r="AS46" s="436">
        <f ca="1">IF(Control!$B$18=2,(IF(OR($AH46=Control!$B$175,$AH46=Control!$B$176,$AH46=Control!$B$177,$AH46=Control!$B$178,$AH46=Control!$B$179,$AH46=Control!$B$180,$AH46=Control!$B$181,$AH46=Control!$B$182,$AH46=Control!$B$183,$AH46=Control!$B$184,$AH46=Control!$B$185),1,0)),0)</f>
        <v>0</v>
      </c>
      <c r="AT46" s="436">
        <f>IF(Control!$B$20=8,IF(AND($AH46&gt;=Control!$B$172,$AH46&lt;=Control!$B$173),1,0),0)</f>
        <v>0</v>
      </c>
      <c r="AU46" s="436">
        <f>IF(Control!$B$20=8,IF($AV45=1,1*$AT46,IF($AT46=1,$AU45+1,$AU45)),0)</f>
        <v>0</v>
      </c>
      <c r="AV46" s="436">
        <f>IF(Control!$B$20=8,IF($AU46&gt;=Control!$B$174,1,0),0)</f>
        <v>0</v>
      </c>
      <c r="AW46" s="436">
        <f ca="1">IF(AND(Control!$B$18=2,Control!$B$171=1), $AV46, $AS46)</f>
        <v>0</v>
      </c>
      <c r="AX46" s="436" t="e">
        <f ca="1">IF(AND(Control!$B$18=1,$EU46&gt;=Control!$B$19),-$AY46,IF(AND(Control!$B$18=2,$AW46=1,$EU46&gt;$DS46),-$AY46, IF(Control!$C$108=0,0, IF(Control!$C$108&lt;&gt;0,1))))</f>
        <v>#N/A</v>
      </c>
      <c r="AY46" s="436" t="e">
        <f t="shared" ca="1" si="121"/>
        <v>#N/A</v>
      </c>
      <c r="AZ46" s="436" t="e">
        <f ca="1">IF(AND(Control!$B$18=1,$EB46&gt;Control!$B$19),$AZ45+1, IF(AND(Control!$B$18=2, $AW46=1, $EB46&gt;$DS46), $AZ45+1,$AZ45))</f>
        <v>#N/A</v>
      </c>
      <c r="BA46" s="587">
        <f>IF(Control!$C$81=0,1,IF($AH46&gt;=Control!$C$82,1,0))</f>
        <v>1</v>
      </c>
      <c r="BB46" s="140" t="e">
        <f ca="1">IF($BA46&gt;$BA45,Control!$C$83,IF($AW46&gt;0,$AW46*Control!$C$84,IF(AND(Control!$B$18=1,EN45&lt;&gt;0),Control!$C$84,0)))</f>
        <v>#N/A</v>
      </c>
      <c r="BC46" s="140" t="e">
        <f t="shared" ca="1" si="122"/>
        <v>#N/A</v>
      </c>
      <c r="BD46" s="140" t="e">
        <f ca="1">BC46*IF(OR($G46&lt;Control!$C$92,$G46&gt;Control!$C$95),0,IF(AND($G46&gt;=Control!$C$92,$G46&lt;=Control!$C$93),$G46-Control!$C$92,IF(AND($G46&gt;Control!$C$93,$G46&lt;=Control!$C$94),Control!$C$93-Control!$C$92,IF(AND($G46&gt;Control!$C$94,$G46&lt;=Control!$C$95),(Control!$C$93-Control!$C$92)*(Control!$C$94-$G46)/(Control!$C$95-Control!$C$94)))))</f>
        <v>#N/A</v>
      </c>
      <c r="BE46" s="140" t="e">
        <f t="shared" ca="1" si="123"/>
        <v>#N/A</v>
      </c>
      <c r="BF46" s="140" t="e">
        <f ca="1">IF($BE46&lt;=Control!$C$86,$BE46,Control!$C$86-$BE46)</f>
        <v>#N/A</v>
      </c>
      <c r="BG46" s="140" t="e">
        <f ca="1">IF(AND($AW46=1,Control!$C$84&lt;9),1,IF($BE46&gt;=Control!$C$86,0,$BC46))</f>
        <v>#N/A</v>
      </c>
      <c r="BH46" s="404" t="e">
        <f ca="1">IF($BG46=0,0,IF($BE46&lt;=Control!$C$86,$BC46*9*($BF46/Control!$C$86),0))</f>
        <v>#N/A</v>
      </c>
      <c r="BI46" s="140" t="e">
        <f ca="1">IF($BG46=1,0,IF($BE46&gt;=Control!$C$86,1,IF(AND($BB46&lt;21,$BB46&gt;=9),1,$BM45)))</f>
        <v>#N/A</v>
      </c>
      <c r="BJ46" s="140" t="e">
        <f ca="1">IF($BF46&lt;0,-$BF46,$BI46*IF(OR($G46&lt;Control!$C$92,$G46&gt;Control!$C$95),0,IF(AND($G46&gt;=Control!$C$92,$G46&lt;=Control!$C$93),$G46-Control!$C$92,IF(AND($G46&gt;Control!$C$93,$G46&lt;=Control!$C$94),Control!$C$93-Control!$C$92,IF(AND($G46&gt;Control!$C$94,$G46&lt;=Control!$C$95),(Control!$C$93-Control!$C$92)*(Control!$C$94-$G46)/(Control!$C$95-Control!$C$94))))))</f>
        <v>#N/A</v>
      </c>
      <c r="BK46" s="140" t="e">
        <f t="shared" ca="1" si="124"/>
        <v>#N/A</v>
      </c>
      <c r="BL46" s="140" t="e">
        <f ca="1">IF($BK46&lt;=Control!$C$87,$BK46,Control!$C$87-$BK46)</f>
        <v>#N/A</v>
      </c>
      <c r="BM46" s="140" t="e">
        <f ca="1">IF(AND($BB46&gt;=9,$BB46&lt;21),1,IF($BK46&gt;=Control!$C$87,0,$BI46))</f>
        <v>#N/A</v>
      </c>
      <c r="BN46" s="404" t="e">
        <f ca="1">IF($BM46=0,0,IF($BK46&lt;=Control!$C$87,$BI46*(9+(21-9)*($BL46/Control!$C$87)),0))</f>
        <v>#N/A</v>
      </c>
      <c r="BO46" s="140" t="e">
        <f ca="1">IF($BM46=1,0,IF($BK46&gt;=Control!$C$87,1,IF(AND($BB46&lt;30,$BB46&gt;=21),1,$BS45)))</f>
        <v>#N/A</v>
      </c>
      <c r="BP46" s="140" t="e">
        <f ca="1">IF($BL46&lt;0,-$BL46,$BO46*IF(OR($G46&lt;Control!$C$92,$G46&gt;Control!$C$95),0,IF(AND($G46&gt;=Control!$C$92,$G46&lt;=Control!$C$93),$G46-Control!$C$92,IF(AND($G46&gt;Control!$C$93,$G46&lt;=Control!$C$94),Control!$C$93-Control!$C$92,IF(AND($G46&gt;Control!$C$94,$G46&lt;=Control!$C$95),(Control!$C$93-Control!$C$92)*(Control!$C$94-$G46)/(Control!$C$95-Control!$C$94))))))</f>
        <v>#N/A</v>
      </c>
      <c r="BQ46" s="140" t="e">
        <f t="shared" ca="1" si="15"/>
        <v>#N/A</v>
      </c>
      <c r="BR46" s="140" t="e">
        <f ca="1">IF($BQ46&lt;=Control!$C$88,$BQ46,Control!$C$88-$BQ46)</f>
        <v>#N/A</v>
      </c>
      <c r="BS46" s="140" t="e">
        <f ca="1">IF(AND($BB46&gt;=21,$BB46&lt;30),1,IF($BQ46&gt;=Control!$C$88,0,$BO46))</f>
        <v>#N/A</v>
      </c>
      <c r="BT46" s="404" t="e">
        <f ca="1">IF($BS46=0,0,IF($BQ46&lt;=Control!$C$88,$BO46*(21+(30-21)*(BR46/Control!$C$88)),0))</f>
        <v>#N/A</v>
      </c>
      <c r="BU46" s="140" t="e">
        <f ca="1">IF(BG46+BM46+BS46=1,0,IF(OR(AND($BB46&lt;60,$BB46&gt;=30),$BQ46&gt;=Control!$C$88),1*$BA46,$BY45))</f>
        <v>#N/A</v>
      </c>
      <c r="BV46" s="140" t="e">
        <f ca="1">IF($BR46&lt;0,-$BR46,$BU46*IF(OR($G46&lt;Control!$C$92,$G46&gt;Control!$C$95),0,IF(AND($G46&gt;=Control!$C$92,$G46&lt;=Control!$C$93),$G46-Control!$C$92,IF(AND($G46&gt;Control!$C$93,$G46&lt;=Control!$C$94),Control!$C$93-Control!$C$92,IF(AND($G46&gt;Control!$C$94,$G46&lt;=Control!$C$95),(Control!$C$93-Control!$C$92)*(Control!$C$94-$G46)/(Control!$C$95-Control!$C$94))))))</f>
        <v>#N/A</v>
      </c>
      <c r="BW46" s="140" t="e">
        <f t="shared" ca="1" si="16"/>
        <v>#N/A</v>
      </c>
      <c r="BX46" s="140" t="e">
        <f ca="1">IF($BW46&lt;=Control!$C$89,$BW46,Control!$C$89-$BW46)</f>
        <v>#N/A</v>
      </c>
      <c r="BY46" s="140" t="e">
        <f ca="1">IF(AND($AJ46&gt;=30,$AJ46&lt;60),1,IF($BW46&gt;=Control!$C$89,0,$BU46))</f>
        <v>#N/A</v>
      </c>
      <c r="BZ46" s="404" t="e">
        <f ca="1">IF($BY46=0,0,IF($BW46&lt;=Control!$C$89,$BU46*(30+(60-30)*(BX46/Control!$C$89)),0))</f>
        <v>#N/A</v>
      </c>
      <c r="CA46" s="140" t="e">
        <f ca="1">IF($BG46+$BM46+$BS46+$BY46=1,0,IF(OR(AND($BB46&lt;65,$BB46&gt;=60),$BW46&gt;=Control!$C$89),1*$BA46,$CE45))</f>
        <v>#N/A</v>
      </c>
      <c r="CB46" s="140" t="e">
        <f ca="1">IF($BX46&lt;0,-$BX46,$CA46*IF(OR($G46&lt;Control!$C$92,$G46&gt;Control!$C$95),0,IF(AND($G46&gt;=Control!$C$92,$G46&lt;=Control!$C$93),$G46-Control!$C$92,IF(AND($G46&gt;Control!$C$93,$G46&lt;=Control!$C$94),Control!$C$93-Control!$C$92,IF(AND($G46&gt;Control!$C$94,$G46&lt;=Control!$C$95),(Control!$C$93-Control!$C$92)*(Control!$C$94-$G46)/(Control!$C$95-Control!$C$94))))))</f>
        <v>#N/A</v>
      </c>
      <c r="CC46" s="140" t="e">
        <f t="shared" ca="1" si="125"/>
        <v>#N/A</v>
      </c>
      <c r="CD46" s="140" t="e">
        <f ca="1">IF($CC46&lt;=Control!$C$90,$CC46,Control!$C$90-$CC46)</f>
        <v>#N/A</v>
      </c>
      <c r="CE46" s="140" t="e">
        <f ca="1">IF(AND($BB46&gt;=60,$BB46&lt;65),1,IF($CC46&gt;=Control!$C$90,0,$CA46))</f>
        <v>#N/A</v>
      </c>
      <c r="CF46" s="404" t="e">
        <f ca="1">IF($CE46=0,0,IF($CC46&lt;=Control!$C$90,$CA46*(60+(65-60)*(CD46/Control!$C$90)),0))</f>
        <v>#N/A</v>
      </c>
      <c r="CG46" s="140" t="e">
        <f ca="1">IF($BG46+$BM46+$BS46+$BY46+$CE46=1,0,IF(OR(AND($BB46&lt;90,$BB46&gt;=65),$CC46&gt;=Control!$C$90),$BA46,$CK45))</f>
        <v>#N/A</v>
      </c>
      <c r="CH46" s="140" t="e">
        <f ca="1">IF($CD46&lt;0,-$CD46,$CG46*IF(OR($G46&lt;Control!$C$92,$G46&gt;Control!$C$95),0,IF(AND($G46&gt;=Control!$C$92,$G46&lt;=Control!$C$93),$G46-Control!$C$92,IF(AND($G46&gt;Control!$C$93,$G46&lt;=Control!$C$94),Control!$C$93-Control!$C$92,IF(AND($G46&gt;Control!$C$94,$G46&lt;=Control!$C$95),(Control!$C$93-Control!$C$92)*(Control!$C$94-$G46)/(Control!$C$95-Control!$C$94))))))</f>
        <v>#N/A</v>
      </c>
      <c r="CI46" s="140" t="e">
        <f t="shared" ca="1" si="126"/>
        <v>#N/A</v>
      </c>
      <c r="CJ46" s="140" t="e">
        <f ca="1">IF($CI46&lt;=Control!$C$91,$CI46,Control!$C$91-$CI46)</f>
        <v>#N/A</v>
      </c>
      <c r="CK46" s="140" t="e">
        <f ca="1">IF(AND($BB46&gt;=65,$BB46&lt;90),1,IF($CI46&gt;=Control!$C$91,0,$CG46))</f>
        <v>#N/A</v>
      </c>
      <c r="CL46" s="404" t="e">
        <f ca="1">IF($CK46=0,0,IF($CI46&lt;=Control!$C$91,$CG46*(65+(90-65)*($CJ46/Control!$C$91)),0))</f>
        <v>#N/A</v>
      </c>
      <c r="CM46" s="140" t="e">
        <f ca="1">IF($BG46+$BM46+$BS46+$BY46+$CE46+$CK46=1,0,IF(OR($BB46&gt;=90,$CI46&gt;=Control!$C$91),$BA46,$CM45))</f>
        <v>#N/A</v>
      </c>
      <c r="CN46" s="140" t="e">
        <f t="shared" ca="1" si="127"/>
        <v>#N/A</v>
      </c>
      <c r="CO46" s="140" t="e">
        <f t="shared" ca="1" si="128"/>
        <v>#N/A</v>
      </c>
      <c r="CP46" s="140" t="e">
        <f t="shared" ca="1" si="129"/>
        <v>#N/A</v>
      </c>
      <c r="CQ46" s="141" t="e">
        <f ca="1">VLOOKUP($CP46,Control!$B$86:$G$91,6)</f>
        <v>#N/A</v>
      </c>
      <c r="CR46" s="141" t="e">
        <f ca="1">(1-$CQ46)*VLOOKUP($CP46,Control!$B$86:$D$91,3)</f>
        <v>#N/A</v>
      </c>
      <c r="CS46" s="141" t="e">
        <f ca="1">(1-$CQ46)*VLOOKUP($CP46,Control!$B$86:$E$91,4)</f>
        <v>#N/A</v>
      </c>
      <c r="CT46" s="141" t="e">
        <f ca="1">(1-$CQ46)*VLOOKUP($CP46,Control!$B$86:$F$91,5)</f>
        <v>#N/A</v>
      </c>
      <c r="CU46" s="141">
        <f t="shared" ca="1" si="130"/>
        <v>0</v>
      </c>
      <c r="CV46" s="583">
        <f t="shared" ca="1" si="131"/>
        <v>0</v>
      </c>
      <c r="CW46" s="142">
        <f t="shared" ca="1" si="132"/>
        <v>41</v>
      </c>
      <c r="CX46" s="612" t="e">
        <f ca="1">IF(Control!$C$114=1,(MIN(Control!$C$120*(IF($NT46-0.01&lt;0,0,1)),Control!$C$119-$CY46)))</f>
        <v>#DIV/0!</v>
      </c>
      <c r="CY46" s="143" t="e">
        <f t="shared" ca="1" si="133"/>
        <v>#N/A</v>
      </c>
      <c r="CZ46" s="144">
        <f t="shared" ca="1" si="17"/>
        <v>0</v>
      </c>
      <c r="DA46" s="144">
        <f t="shared" ca="1" si="18"/>
        <v>0</v>
      </c>
      <c r="DB46" s="144" t="e">
        <f t="shared" ca="1" si="19"/>
        <v>#N/A</v>
      </c>
      <c r="DC46" s="144" t="e">
        <f t="shared" ca="1" si="20"/>
        <v>#N/A</v>
      </c>
      <c r="DD46" s="144" t="e">
        <f t="shared" ca="1" si="216"/>
        <v>#N/A</v>
      </c>
      <c r="DE46" s="143" t="e">
        <f t="shared" ca="1" si="135"/>
        <v>#N/A</v>
      </c>
      <c r="DF46" s="145" t="e">
        <f ca="1">$DR46*EXP(-Control!$C$158*(1-$KH46))</f>
        <v>#N/A</v>
      </c>
      <c r="DG46" s="146" t="e">
        <f ca="1">IF(Control!$C$114=1, $DF46*$EY46, 0)</f>
        <v>#N/A</v>
      </c>
      <c r="DH46" s="147" t="e">
        <f t="shared" ca="1" si="136"/>
        <v>#N/A</v>
      </c>
      <c r="DI46" s="144" t="e">
        <f t="shared" ca="1" si="191"/>
        <v>#N/A</v>
      </c>
      <c r="DJ46" s="147" t="e">
        <f ca="1">$EF46*Control!$C$109</f>
        <v>#N/A</v>
      </c>
      <c r="DK46" s="144" t="e">
        <f t="shared" ca="1" si="137"/>
        <v>#N/A</v>
      </c>
      <c r="DL46" s="144" t="e">
        <f t="shared" ca="1" si="21"/>
        <v>#N/A</v>
      </c>
      <c r="DM46" s="144" t="e">
        <f ca="1">IF(Control!$C$114=1, (1-EXP(-Control!$C$96*$DK46))*$AR46, 0)</f>
        <v>#N/A</v>
      </c>
      <c r="DN46" s="144">
        <f t="shared" ca="1" si="138"/>
        <v>0</v>
      </c>
      <c r="DO46" s="148">
        <f>Control!$C$97</f>
        <v>4</v>
      </c>
      <c r="DP46" s="145" t="e">
        <f t="shared" ca="1" si="139"/>
        <v>#N/A</v>
      </c>
      <c r="DQ46" s="145" t="e">
        <f ca="1">IF(AND($CP46&gt;=0,$CP46&lt;=90),Control!$C$111,Control!$C$111)</f>
        <v>#N/A</v>
      </c>
      <c r="DR46" s="145" t="e">
        <f t="shared" ca="1" si="22"/>
        <v>#N/A</v>
      </c>
      <c r="DS46" s="143" t="e">
        <f ca="1">Control!$B$22/$DR46</f>
        <v>#N/A</v>
      </c>
      <c r="DT46" s="149" t="e">
        <f ca="1">IF(AND(Control!$C$114=1,$KH46&lt;1),$IM46*$DF46, 0)</f>
        <v>#N/A</v>
      </c>
      <c r="DU46" s="144" t="e">
        <f t="shared" ca="1" si="192"/>
        <v>#N/A</v>
      </c>
      <c r="DV46" s="144">
        <f ca="1">IF($G46-Control!$C$107&lt;=0, 0, 0.83*LN(MAX($G46, 3))-0.8924)</f>
        <v>0</v>
      </c>
      <c r="DW46" s="144" t="e">
        <f t="shared" ca="1" si="23"/>
        <v>#N/A</v>
      </c>
      <c r="DX46" s="150" t="e">
        <f ca="1">MAX(0.01*(1+$CU46/Control!$C$102),0.05*($DK46-Control!$C$97)/Control!$C$97)</f>
        <v>#N/A</v>
      </c>
      <c r="DY46" s="151" t="e">
        <f ca="1">IF(Control!$C$114=1, $DI46*$FS46, 0)</f>
        <v>#N/A</v>
      </c>
      <c r="DZ46" s="196" t="e">
        <f t="shared" ca="1" si="140"/>
        <v>#N/A</v>
      </c>
      <c r="EA46" s="152">
        <f t="shared" ca="1" si="141"/>
        <v>41</v>
      </c>
      <c r="EB46" s="153" t="e">
        <f t="shared" ca="1" si="217"/>
        <v>#N/A</v>
      </c>
      <c r="EC46" s="153" t="e">
        <f t="shared" ca="1" si="142"/>
        <v>#N/A</v>
      </c>
      <c r="ED46" s="154" t="e">
        <f ca="1">IF(Control!$C$114=1, $HM46*$FY46-$FD46, 0)</f>
        <v>#DIV/0!</v>
      </c>
      <c r="EE46" s="155" t="e">
        <f ca="1">IF(Control!$C$114=1, $HM46*$FZ46-$FF46, 0)</f>
        <v>#DIV/0!</v>
      </c>
      <c r="EF46" s="153" t="e">
        <f t="shared" ca="1" si="193"/>
        <v>#N/A</v>
      </c>
      <c r="EG46" s="155" t="e">
        <f ca="1">IF(Control!$C$114=1, $GX46*$FW46-$FI46, 0)</f>
        <v>#DIV/0!</v>
      </c>
      <c r="EH46" s="153" t="e">
        <f t="shared" ca="1" si="143"/>
        <v>#N/A</v>
      </c>
      <c r="EI46" s="156" t="e">
        <f t="shared" ca="1" si="144"/>
        <v>#N/A</v>
      </c>
      <c r="EJ46" s="155" t="e">
        <f ca="1">IF(Control!$C$114=1, $HM46*$GB46, 0)</f>
        <v>#DIV/0!</v>
      </c>
      <c r="EK46" s="153" t="e">
        <f t="shared" ca="1" si="194"/>
        <v>#N/A</v>
      </c>
      <c r="EL46" s="153" t="e">
        <f t="shared" ca="1" si="24"/>
        <v>#N/A</v>
      </c>
      <c r="EM46" s="153" t="e">
        <f t="shared" ca="1" si="25"/>
        <v>#N/A</v>
      </c>
      <c r="EN46" s="153" t="e">
        <f ca="1">IF(Control!$C$108=1,IF(AND(Control!$B$18=1,$EB46&gt;=Control!$B$19),$EB46-$DS46,IF(AND(Control!$B$18=2,$AW46=1,$EB46&gt;$DS46),$EB46-$DS46,0)))</f>
        <v>#N/A</v>
      </c>
      <c r="EO46" s="153" t="e">
        <f ca="1">IF(Control!$C$108=1,IF(AND(Control!$B$18=1,$EB46&gt;=Control!$B$19),$EF46,IF(AND(Control!$B$18=2,$AW46=1),$EF46,0)))</f>
        <v>#N/A</v>
      </c>
      <c r="EP46" s="153" t="e">
        <f ca="1">IF(Control!$C$108=1,IF(AND(Control!$B$18=1,$EB46&gt;=Control!$B$19),$EK46,IF(AND(Control!$B$18=2,$AW46=1),$EK46,0)))</f>
        <v>#N/A</v>
      </c>
      <c r="EQ46" s="153" t="e">
        <f t="shared" ca="1" si="145"/>
        <v>#N/A</v>
      </c>
      <c r="ER46" s="153" t="e">
        <f t="shared" ca="1" si="231"/>
        <v>#N/A</v>
      </c>
      <c r="ES46" s="153" t="e">
        <f t="shared" ca="1" si="196"/>
        <v>#N/A</v>
      </c>
      <c r="ET46" s="153" t="e">
        <f t="shared" ca="1" si="197"/>
        <v>#N/A</v>
      </c>
      <c r="EU46" s="153" t="e">
        <f t="shared" ca="1" si="198"/>
        <v>#N/A</v>
      </c>
      <c r="EV46" s="153" t="e">
        <f t="shared" ca="1" si="146"/>
        <v>#N/A</v>
      </c>
      <c r="EW46" s="153" t="e">
        <f t="shared" ca="1" si="218"/>
        <v>#N/A</v>
      </c>
      <c r="EX46" s="153" t="e">
        <f t="shared" ca="1" si="26"/>
        <v>#N/A</v>
      </c>
      <c r="EY46" s="157" t="e">
        <f t="shared" ca="1" si="147"/>
        <v>#DIV/0!</v>
      </c>
      <c r="EZ46" s="154" t="e">
        <f t="shared" ca="1" si="27"/>
        <v>#DIV/0!</v>
      </c>
      <c r="FA46" s="153" t="e">
        <f t="shared" ca="1" si="199"/>
        <v>#N/A</v>
      </c>
      <c r="FB46" s="153" t="e">
        <f t="shared" ca="1" si="28"/>
        <v>#N/A</v>
      </c>
      <c r="FC46" s="193" t="e">
        <f t="shared" ca="1" si="29"/>
        <v>#N/A</v>
      </c>
      <c r="FD46" s="158" t="e">
        <f t="shared" ca="1" si="200"/>
        <v>#N/A</v>
      </c>
      <c r="FE46" s="158" t="e">
        <f t="shared" ca="1" si="148"/>
        <v>#N/A</v>
      </c>
      <c r="FF46" s="159" t="e">
        <f t="shared" ca="1" si="30"/>
        <v>#N/A</v>
      </c>
      <c r="FG46" s="160" t="e">
        <f t="shared" ca="1" si="149"/>
        <v>#N/A</v>
      </c>
      <c r="FH46" s="158" t="e">
        <f t="shared" ca="1" si="150"/>
        <v>#N/A</v>
      </c>
      <c r="FI46" s="159" t="e">
        <f t="shared" ca="1" si="31"/>
        <v>#N/A</v>
      </c>
      <c r="FJ46" s="160" t="e">
        <f t="shared" ca="1" si="151"/>
        <v>#N/A</v>
      </c>
      <c r="FK46" s="160" t="e">
        <f t="shared" ca="1" si="32"/>
        <v>#N/A</v>
      </c>
      <c r="FL46" s="160" t="e">
        <f t="shared" ca="1" si="229"/>
        <v>#N/A</v>
      </c>
      <c r="FM46" s="160" t="e">
        <f t="shared" ca="1" si="33"/>
        <v>#N/A</v>
      </c>
      <c r="FN46" s="158">
        <f t="shared" ca="1" si="219"/>
        <v>0.01</v>
      </c>
      <c r="FO46" s="160">
        <f>Control!$C$101</f>
        <v>50</v>
      </c>
      <c r="FP46" s="150" t="e">
        <f t="shared" ca="1" si="34"/>
        <v>#N/A</v>
      </c>
      <c r="FQ46" s="150" t="e">
        <f ca="1">MAX(0,(Control!$C$112*(($DK46-Control!$C$97)/Control!$C$97)))</f>
        <v>#N/A</v>
      </c>
      <c r="FR46" s="150" t="e">
        <f ca="1">(1-$NT46)*Control!$C$113</f>
        <v>#DIV/0!</v>
      </c>
      <c r="FS46" s="198" t="e">
        <f t="shared" ca="1" si="35"/>
        <v>#N/A</v>
      </c>
      <c r="FT46" s="161">
        <f t="shared" ca="1" si="152"/>
        <v>41</v>
      </c>
      <c r="FU46" s="162" t="e">
        <f ca="1">IF(Control!$B$34=1,VLOOKUP($CP46,Control!$B$86:$G$91,6),Control!$B$35)</f>
        <v>#N/A</v>
      </c>
      <c r="FV46" s="162" t="e">
        <f t="shared" ca="1" si="36"/>
        <v>#DIV/0!</v>
      </c>
      <c r="FW46" s="162" t="e">
        <f ca="1">IF(Control!$B$31=1,$FU46*$FV46,  $FU46)</f>
        <v>#N/A</v>
      </c>
      <c r="FX46" s="162" t="e">
        <f ca="1">IF(Control!$B$34=1,VLOOKUP($CP46,Control!$B$86:$G$91,3),Control!$B$36)</f>
        <v>#N/A</v>
      </c>
      <c r="FY46" s="162" t="e">
        <f t="shared" ca="1" si="37"/>
        <v>#N/A</v>
      </c>
      <c r="FZ46" s="162" t="e">
        <f ca="1">IF(Control!$B$34=1,VLOOKUP($CP46,Control!$B$86:$G$91,4),Control!$B$37)</f>
        <v>#N/A</v>
      </c>
      <c r="GA46" s="162" t="e">
        <f t="shared" ca="1" si="38"/>
        <v>#N/A</v>
      </c>
      <c r="GB46" s="162" t="e">
        <f ca="1">IF(Control!$B$34=1,VLOOKUP($CP46,Control!$B$86:$G$91,5),Control!$B$38)</f>
        <v>#N/A</v>
      </c>
      <c r="GC46" s="162" t="e">
        <f t="shared" ca="1" si="153"/>
        <v>#N/A</v>
      </c>
      <c r="GD46" s="162">
        <f t="shared" ca="1" si="39"/>
        <v>1</v>
      </c>
      <c r="GE46" s="162">
        <f t="shared" ca="1" si="40"/>
        <v>1</v>
      </c>
      <c r="GF46" s="162">
        <f ca="1">IF(AND(Control!$C$104=1, Control!$C$62="F"),$GE46,1)</f>
        <v>1</v>
      </c>
      <c r="GG46" s="162" t="e">
        <f ca="1">IF(Control!$B$16=40,0,IF(AND(Control!$B$16&gt;40,Control!$B$16&lt;=360),(Control!$B$16-40)*((1-0)/(360-40)),IF(AND(Control!$B$16&gt;360,Control!$B$16&lt;=720),(1+(Control!$B$16-360)*((1.25-1)/(720-360))),IF(AND(Control!$B$16&gt;720,Control!$B$16&lt;=1000),(1.25+(Control!$B$16-720)*((1.35-1.25)/(1000-720))),IF(AND(Control!$B$16&gt;1000,Control!$B$16&lt;=2000),(1.35+(Control!$B$16-1000)*0))))))</f>
        <v>#N/A</v>
      </c>
      <c r="GH46" s="162" t="e">
        <f t="shared" ca="1" si="41"/>
        <v>#N/A</v>
      </c>
      <c r="GI46" s="162">
        <f t="shared" ca="1" si="201"/>
        <v>0</v>
      </c>
      <c r="GJ46" s="162">
        <f t="shared" ca="1" si="42"/>
        <v>0</v>
      </c>
      <c r="GK46" s="162">
        <f t="shared" ca="1" si="220"/>
        <v>1</v>
      </c>
      <c r="GL46" s="162">
        <f t="shared" ca="1" si="43"/>
        <v>1</v>
      </c>
      <c r="GM46" s="162" t="e">
        <f ca="1">MAX(0,MIN(1,1-Control!$C$156*(1.0001-$KH46)^2))</f>
        <v>#N/A</v>
      </c>
      <c r="GN46" s="162" t="e">
        <f ca="1">IF(Control!$B$26=1,$KU46,$KX46)</f>
        <v>#N/A</v>
      </c>
      <c r="GO46" s="162" t="e">
        <f ca="1">IF($CP46&lt;=60,Control!$C$105,IF($CP46&gt;=90,Control!$C$106,Control!$C$105+($CP46-60)*((Control!$C$106-Control!$C$105)/(90-60))))</f>
        <v>#N/A</v>
      </c>
      <c r="GP46" s="162" t="e">
        <f t="shared" ca="1" si="154"/>
        <v>#N/A</v>
      </c>
      <c r="GQ46" s="162" t="e">
        <f t="shared" ca="1" si="155"/>
        <v>#N/A</v>
      </c>
      <c r="GR46" s="163" t="e">
        <f t="shared" ca="1" si="44"/>
        <v>#DIV/0!</v>
      </c>
      <c r="GS46" s="162" t="e">
        <f t="shared" ca="1" si="45"/>
        <v>#DIV/0!</v>
      </c>
      <c r="GT46" s="164" t="e">
        <f t="shared" ca="1" si="156"/>
        <v>#N/A</v>
      </c>
      <c r="GU46" s="162" t="e">
        <f t="shared" ca="1" si="157"/>
        <v>#N/A</v>
      </c>
      <c r="GV46" s="162" t="e">
        <f t="shared" ca="1" si="46"/>
        <v>#N/A</v>
      </c>
      <c r="GW46" s="162" t="e">
        <f t="shared" ca="1" si="221"/>
        <v>#DIV/0!</v>
      </c>
      <c r="GX46" s="162" t="e">
        <f t="shared" ca="1" si="228"/>
        <v>#DIV/0!</v>
      </c>
      <c r="GY46" s="162" t="e">
        <f t="shared" ca="1" si="158"/>
        <v>#DIV/0!</v>
      </c>
      <c r="GZ46" s="165" t="e">
        <f t="shared" ca="1" si="159"/>
        <v>#N/A</v>
      </c>
      <c r="HA46" s="162" t="e">
        <f ca="1">IF(Control!$C$114=1, $DI46*$FS46, 0)</f>
        <v>#N/A</v>
      </c>
      <c r="HB46" s="162" t="e">
        <f ca="1">$FA46/Control!$C$64</f>
        <v>#N/A</v>
      </c>
      <c r="HC46" s="162" t="e">
        <f t="shared" ca="1" si="222"/>
        <v>#DIV/0!</v>
      </c>
      <c r="HD46" s="162">
        <f ca="1">-ASIN(SIN(23.45*Control!$C$139)*COS(2*Control!$C$138*($AH46+10)/365))</f>
        <v>-0.2570094721593057</v>
      </c>
      <c r="HE46" s="165">
        <f t="shared" ca="1" si="160"/>
        <v>0</v>
      </c>
      <c r="HF46" s="166">
        <f ca="1">IF(AND(Control!$C$61="T",$HE46&gt;=Control!$C$103,Control!$C$114=0),$AH46,Control!$C$59)</f>
        <v>1</v>
      </c>
      <c r="HG46" s="166">
        <f ca="1">IF(AND(Control!$C$61="T",$HE46&gt;=Control!$C$103,Control!$C$114=0),$HF46,Control!$C$59)</f>
        <v>1</v>
      </c>
      <c r="HH46" s="165">
        <f ca="1">IF(AND(OR(Control!$C$60&lt;=0, $AH46= Control!$C$59, Control!$C$60 &gt;0, $AH46 = Control!$C$60)), Control!$C$59, IF(Control!$C$60&gt;0, 0))</f>
        <v>1</v>
      </c>
      <c r="HI46" s="165">
        <f ca="1">IF(AND(OR(Control!$C$60&lt;=0, $AH46= Control!$C$59, Control!$C$60 &gt;0, $AH46 = Control!$C$60)), Control!$C$60, IF(Control!$C$60&lt;=0, 0))</f>
        <v>0</v>
      </c>
      <c r="HJ46" s="166">
        <f ca="1">IF(AND(Control!$C$62="F",$CV46&gt;=Control!$C$102),$AH46,0)</f>
        <v>0</v>
      </c>
      <c r="HK46" s="165" t="e">
        <f t="shared" ca="1" si="202"/>
        <v>#N/A</v>
      </c>
      <c r="HL46" s="166">
        <f ca="1">IF(AND(Control!$C$61="T",$HE46&gt;=Control!$C$103,Control!$C$114=0),$HF46,0)</f>
        <v>0</v>
      </c>
      <c r="HM46" s="201" t="e">
        <f t="shared" ca="1" si="47"/>
        <v>#DIV/0!</v>
      </c>
      <c r="HN46" s="215">
        <f t="shared" ca="1" si="161"/>
        <v>41</v>
      </c>
      <c r="HO46" s="216" t="e">
        <f ca="1">IF(AND($CP46&gt;=0, $CP46&lt;=90), Control!$C$152, Control!$C$152)</f>
        <v>#N/A</v>
      </c>
      <c r="HP46" s="216" t="e">
        <f t="shared" ca="1" si="48"/>
        <v>#N/A</v>
      </c>
      <c r="HQ46" s="217" t="e">
        <f ca="1">IF(OR(Control!$B$26=1,Control!$B$26=2),$KV46,$KS46)</f>
        <v>#DIV/0!</v>
      </c>
      <c r="HR46" s="218" t="e">
        <f t="shared" ca="1" si="223"/>
        <v>#DIV/0!</v>
      </c>
      <c r="HS46" s="216" t="e">
        <f ca="1">Control!$C$154*$HP46</f>
        <v>#N/A</v>
      </c>
      <c r="HT46" s="216" t="e">
        <f ca="1">Control!$C$155*$HP46</f>
        <v>#N/A</v>
      </c>
      <c r="HU46" s="217" t="e">
        <f ca="1">Control!$C$161*$FI46</f>
        <v>#N/A</v>
      </c>
      <c r="HV46" s="218" t="e">
        <f t="shared" ca="1" si="162"/>
        <v>#N/A</v>
      </c>
      <c r="HW46" s="218" t="e">
        <f ca="1">Control!$C$160*$FF46+$IP46*$EO46</f>
        <v>#N/A</v>
      </c>
      <c r="HX46" s="218" t="e">
        <f t="shared" ca="1" si="203"/>
        <v>#N/A</v>
      </c>
      <c r="HY46" s="219" t="e">
        <f ca="1">IF(Control!$C$114=1, $EB46*$FS46, 0)</f>
        <v>#N/A</v>
      </c>
      <c r="HZ46" s="91" t="e">
        <f t="shared" ca="1" si="49"/>
        <v>#N/A</v>
      </c>
      <c r="IA46" s="220" t="e">
        <f ca="1">Control!$C$153*$HO46</f>
        <v>#N/A</v>
      </c>
      <c r="IB46" s="218" t="e">
        <f t="shared" ca="1" si="50"/>
        <v>#N/A</v>
      </c>
      <c r="IC46" s="220" t="e">
        <f ca="1">Control!$C$153*$HT46</f>
        <v>#N/A</v>
      </c>
      <c r="ID46" s="218" t="e">
        <f t="shared" ca="1" si="51"/>
        <v>#N/A</v>
      </c>
      <c r="IE46" s="221" t="e">
        <f ca="1">($EB46*Control!$C$159+$EF46*Control!$C$160)/(IF($GZ46&lt;&gt;0,$GZ46,1))</f>
        <v>#N/A</v>
      </c>
      <c r="IF46" s="216" t="e">
        <f t="shared" ca="1" si="52"/>
        <v>#N/A</v>
      </c>
      <c r="IG46" s="91">
        <f ca="1">IF(OR(Control!$B$198=$AH46,Control!$B$199=$AH46, Control!$B$200=$AH46, Control!$B$201=$AH46, Control!$B$202=$AH46, Control!$B$203=$AH46, Control!$B$204=$AH46, Control!$B$205=$AH46, Control!$B$206=$AH46, Control!$B$207=$AH46), 1, 0)</f>
        <v>0</v>
      </c>
      <c r="IH46" s="91">
        <f ca="1">IF($IG46=0,0, VLOOKUP($AH46,Control!$B$198:$C$207,2))</f>
        <v>0</v>
      </c>
      <c r="II46" s="222">
        <f t="shared" ca="1" si="163"/>
        <v>0</v>
      </c>
      <c r="IJ46" s="91">
        <f>Control!$C$121</f>
        <v>0.7</v>
      </c>
      <c r="IK46" s="218">
        <f t="shared" ca="1" si="53"/>
        <v>0</v>
      </c>
      <c r="IL46" s="217" t="e">
        <f t="shared" ca="1" si="204"/>
        <v>#N/A</v>
      </c>
      <c r="IM46" s="223" t="e">
        <f ca="1">IF(AND(Control!$C$114=1,$KH46&lt;1),$EB46*Control!$C$148*(1-$KH46), 0)</f>
        <v>#N/A</v>
      </c>
      <c r="IN46" s="217" t="e">
        <f t="shared" ca="1" si="54"/>
        <v>#DIV/0!</v>
      </c>
      <c r="IO46" s="91" t="e">
        <f ca="1">MAX(0,$IL46-$EF46*Control!$C$160)</f>
        <v>#N/A</v>
      </c>
      <c r="IP46" s="220" t="e">
        <f t="shared" ca="1" si="55"/>
        <v>#N/A</v>
      </c>
      <c r="IQ46" s="217" t="e">
        <f t="shared" ca="1" si="164"/>
        <v>#N/A</v>
      </c>
      <c r="IR46" s="218" t="e">
        <f t="shared" ca="1" si="56"/>
        <v>#N/A</v>
      </c>
      <c r="IS46" s="217" t="e">
        <f ca="1">Control!$C$159*MAX(0,$FD46-$EN46)</f>
        <v>#N/A</v>
      </c>
      <c r="IT46" s="217" t="e">
        <f t="shared" ca="1" si="205"/>
        <v>#N/A</v>
      </c>
      <c r="IU46" s="217" t="e">
        <f t="shared" ca="1" si="165"/>
        <v>#N/A</v>
      </c>
      <c r="IV46" s="217" t="e">
        <f t="shared" ca="1" si="206"/>
        <v>#N/A</v>
      </c>
      <c r="IW46" s="217" t="e">
        <f ca="1">IF(OR($AW46=1,AND($AW46=0, Control!$B$18=1,$EN46&lt;&gt;0)), $IQ46-$IU46, $IQ46)</f>
        <v>#N/A</v>
      </c>
      <c r="IX46" s="218" t="e">
        <f t="shared" ca="1" si="57"/>
        <v>#N/A</v>
      </c>
      <c r="IY46" s="218" t="e">
        <f ca="1">MAX(0,$IQ46-$EB46*Control!$C$159)</f>
        <v>#N/A</v>
      </c>
      <c r="IZ46" s="218" t="e">
        <f t="shared" ca="1" si="58"/>
        <v>#N/A</v>
      </c>
      <c r="JA46" s="216" t="e">
        <f t="shared" ca="1" si="59"/>
        <v>#N/A</v>
      </c>
      <c r="JB46" s="217" t="e">
        <f t="shared" ca="1" si="60"/>
        <v>#N/A</v>
      </c>
      <c r="JC46" s="222" t="e">
        <f ca="1">MAX(Control!$C$157*$EK46-$JT46, 0)/Control!$C$162</f>
        <v>#N/A</v>
      </c>
      <c r="JD46" s="218" t="e">
        <f t="shared" ca="1" si="61"/>
        <v>#N/A</v>
      </c>
      <c r="JE46" s="218" t="e">
        <f t="shared" ca="1" si="62"/>
        <v>#N/A</v>
      </c>
      <c r="JF46" s="218" t="e">
        <f t="shared" ca="1" si="207"/>
        <v>#N/A</v>
      </c>
      <c r="JG46" s="218" t="e">
        <f t="shared" ca="1" si="63"/>
        <v>#N/A</v>
      </c>
      <c r="JH46" s="217" t="e">
        <f t="shared" ca="1" si="166"/>
        <v>#N/A</v>
      </c>
      <c r="JI46" s="217" t="e">
        <f t="shared" ca="1" si="167"/>
        <v>#N/A</v>
      </c>
      <c r="JJ46" s="217" t="e">
        <f t="shared" ca="1" si="224"/>
        <v>#N/A</v>
      </c>
      <c r="JK46" s="217" t="e">
        <f ca="1">IF(Control!$C$114=1,IF(Control!$B$24=0,MAX(0,$JI46)*$GN46/Control!$C$64,(MAX(0,MIN($JI46,$JJ46*$GN46/Control!$C$64),0))))</f>
        <v>#N/A</v>
      </c>
      <c r="JL46" s="217" t="e">
        <f ca="1">$IK46/Control!$C$64-$JK46+$HQ46</f>
        <v>#N/A</v>
      </c>
      <c r="JM46" s="217" t="e">
        <f ca="1">IF(Control!$C$114=1,($JB46/(IF($JI46&lt;&gt;0,$JI46,1)))*$JK46,0)</f>
        <v>#N/A</v>
      </c>
      <c r="JN46" s="217" t="e">
        <f ca="1">IF(Control!$C$114=1,($JG46/(IF($JI46&lt;&gt;0,$JI46,1)))*$JK46, 0)</f>
        <v>#N/A</v>
      </c>
      <c r="JO46" s="218" t="e">
        <f t="shared" ca="1" si="64"/>
        <v>#N/A</v>
      </c>
      <c r="JP46" s="218" t="e">
        <f ca="1">MIN(($IY46+$IO46)*Control!$C$151, $JF46-$EH46*Control!$C$161)</f>
        <v>#N/A</v>
      </c>
      <c r="JQ46" s="218" t="e">
        <f t="shared" ca="1" si="65"/>
        <v>#N/A</v>
      </c>
      <c r="JR46" s="217" t="e">
        <f ca="1">IF($CP46-Control!$C$150&lt;0, 0, $JQ46/Control!$C$162)</f>
        <v>#N/A</v>
      </c>
      <c r="JS46" s="218" t="e">
        <f t="shared" ca="1" si="66"/>
        <v>#N/A</v>
      </c>
      <c r="JT46" s="218" t="e">
        <f t="shared" ca="1" si="168"/>
        <v>#N/A</v>
      </c>
      <c r="JU46" s="218" t="e">
        <f t="shared" ca="1" si="67"/>
        <v>#N/A</v>
      </c>
      <c r="JV46" s="218" t="e">
        <f t="shared" ca="1" si="68"/>
        <v>#N/A</v>
      </c>
      <c r="JW46" s="216" t="e">
        <f t="shared" ca="1" si="69"/>
        <v>#N/A</v>
      </c>
      <c r="JX46" s="91" t="e">
        <f t="shared" ca="1" si="70"/>
        <v>#N/A</v>
      </c>
      <c r="JY46" s="218" t="e">
        <f t="shared" ca="1" si="71"/>
        <v>#N/A</v>
      </c>
      <c r="JZ46" s="217" t="e">
        <f ca="1">IF(Control!$C$114=1,($IZ46/(IF($JI46&lt;&gt;0,$JI46,1)))*$JK46, 0)</f>
        <v>#N/A</v>
      </c>
      <c r="KA46" s="218" t="e">
        <f t="shared" ca="1" si="225"/>
        <v>#N/A</v>
      </c>
      <c r="KB46" s="218" t="e">
        <f t="shared" ca="1" si="169"/>
        <v>#N/A</v>
      </c>
      <c r="KC46" s="218" t="e">
        <f t="shared" ca="1" si="72"/>
        <v>#N/A</v>
      </c>
      <c r="KD46" s="218" t="e">
        <f t="shared" ca="1" si="73"/>
        <v>#N/A</v>
      </c>
      <c r="KE46" s="218" t="e">
        <f t="shared" ca="1" si="74"/>
        <v>#N/A</v>
      </c>
      <c r="KF46" s="218" t="e">
        <f t="shared" ca="1" si="75"/>
        <v>#N/A</v>
      </c>
      <c r="KG46" s="216" t="e">
        <f t="shared" ca="1" si="76"/>
        <v>#N/A</v>
      </c>
      <c r="KH46" s="221" t="e">
        <f ca="1">IF(Control!$B$24=0,1,MAX(0.001,MIN(1,IF(($IF46-$IE46)&lt;&gt;0,($KG46-$IE46)/($IF46-$IE46),1))))</f>
        <v>#N/A</v>
      </c>
      <c r="KI46" s="222" t="e">
        <f ca="1">IF(Control!$C$114=1, $KI45+ $KH45, 0)</f>
        <v>#N/A</v>
      </c>
      <c r="KJ46" s="217" t="e">
        <f t="shared" ca="1" si="77"/>
        <v>#N/A</v>
      </c>
      <c r="KK46" s="218" t="e">
        <f t="shared" ca="1" si="78"/>
        <v>#N/A</v>
      </c>
      <c r="KL46" s="274" t="e">
        <f ca="1">IF(Control!$B$26=3,4000000000*EXP(-8400/($G46+273)),IF(Control!$B$26=4,4000000000*EXP(-8400/($G46+273))*($KT46),0))</f>
        <v>#DIV/0!</v>
      </c>
      <c r="KM46" s="274" t="e">
        <f ca="1">IF(Control!$B$26=3,5600000000000*EXP(-9800/($G46+273)),IF(Control!$B$26=4,5600000000000*EXP(-9800/($G46+273))*$KT46,0))</f>
        <v>#DIV/0!</v>
      </c>
      <c r="KN46" s="454" t="e">
        <f t="shared" ca="1" si="170"/>
        <v>#DIV/0!</v>
      </c>
      <c r="KO46" s="274" t="e">
        <f t="shared" ca="1" si="171"/>
        <v>#DIV/0!</v>
      </c>
      <c r="KP46" s="454" t="e">
        <f t="shared" ca="1" si="79"/>
        <v>#DIV/0!</v>
      </c>
      <c r="KQ46" s="454" t="e">
        <f t="shared" ca="1" si="80"/>
        <v>#DIV/0!</v>
      </c>
      <c r="KR46" s="454" t="e">
        <f t="shared" ca="1" si="81"/>
        <v>#DIV/0!</v>
      </c>
      <c r="KS46" s="454" t="e">
        <f t="shared" ca="1" si="82"/>
        <v>#DIV/0!</v>
      </c>
      <c r="KT46" s="455" t="e">
        <f t="shared" ca="1" si="83"/>
        <v>#DIV/0!</v>
      </c>
      <c r="KU46" s="456" t="e">
        <f ca="1">IF($CP46-Control!$C$149&lt;0, IF($NT46-0.01&lt;0,0,1),0)</f>
        <v>#N/A</v>
      </c>
      <c r="KV46" s="456" t="e">
        <f ca="1">IF(Control!$C$114=1,MAX(0,MIN(Control!$C$125*$KW46*$GN46,$KW46)))</f>
        <v>#DIV/0!</v>
      </c>
      <c r="KW46" s="456" t="e">
        <f t="shared" ca="1" si="208"/>
        <v>#DIV/0!</v>
      </c>
      <c r="KX46" s="457" t="e">
        <f ca="1">IF($CP46-Control!$C$149&lt;0, IF($MR46-$OM46&lt;0,0,1),0)</f>
        <v>#N/A</v>
      </c>
      <c r="KY46" s="167">
        <f t="shared" ca="1" si="172"/>
        <v>41</v>
      </c>
      <c r="KZ46" s="168">
        <f ca="1">1370*(1+0.033*COS(2*Control!$C$138*$AH46/365))</f>
        <v>1404.4094751360076</v>
      </c>
      <c r="LA46" s="169">
        <f t="shared" ca="1" si="173"/>
        <v>1.0251164405358055</v>
      </c>
      <c r="LB46" s="169">
        <f t="shared" ca="1" si="174"/>
        <v>-0.25851534844942292</v>
      </c>
      <c r="LC46" s="169">
        <f ca="1">ACOS(-TAN((2*Control!$B$8/360))*TAN(Calculations!$LB46))</f>
        <v>1.4921250475927932</v>
      </c>
      <c r="LD46" s="169">
        <f ca="1">((24*60)/PI())*0.082*$LA46*(($LC46*SIN(Control!$B$8*2*PI()/360))*SIN($LB46)+COS(Control!$B$8*2*PI()/360)*COS($LB46)*SIN($LC46))</f>
        <v>11.2805124999876</v>
      </c>
      <c r="LE46" s="170">
        <f t="shared" ca="1" si="84"/>
        <v>12.112828961643304</v>
      </c>
      <c r="LF46" s="170">
        <f ca="1">SIN(Control!$C$139*Control!$B$8)*SIN($HD46)</f>
        <v>-0.20030430529220261</v>
      </c>
      <c r="LG46" s="170">
        <f ca="1">COS(Control!$C$139*Control!$B$8)*COS($HD46)</f>
        <v>0.59543812560448295</v>
      </c>
      <c r="LH46" s="170">
        <f ca="1">12*(1+2*ASIN(MAX(-1,MIN(1,$LF46/$LG46))/Control!$C$138))</f>
        <v>9.425176676624087</v>
      </c>
      <c r="LI46" s="170">
        <f ca="1">12*(1+2*ASIN(MAX(-1,MIN(1,(-SIN(-4*Control!$C$139)+$LF46)/$LG46))/Control!$C$138))</f>
        <v>10.323722187670324</v>
      </c>
      <c r="LJ46" s="168">
        <f ca="1">3600*($LH46*$LF46+24*$LG46*SQRT(1-$LK46*$LK46)/Control!$C$138)</f>
        <v>8624.8556251518166</v>
      </c>
      <c r="LK46" s="170">
        <f t="shared" ca="1" si="85"/>
        <v>-0.3363981859388927</v>
      </c>
      <c r="LL46" s="170">
        <f t="shared" ca="1" si="86"/>
        <v>0</v>
      </c>
      <c r="LM46" s="171">
        <f ca="1">Control!$C$145*$AB46</f>
        <v>6.6660906138995932E-2</v>
      </c>
      <c r="LN46" s="170">
        <f t="shared" ca="1" si="175"/>
        <v>0.54</v>
      </c>
      <c r="LO46" s="170">
        <f t="shared" ca="1" si="87"/>
        <v>0</v>
      </c>
      <c r="LP46" s="170">
        <f ca="1">Control!$C$140*((($D46+273.16)^4+($E46+273.16)^4)/2)*(0.34-0.14*SQRT($Y46))*(1.35*$AQ46/(0.75*$LD46)-0.35)</f>
        <v>-3.2464704755046001</v>
      </c>
      <c r="LQ46" s="170">
        <f ca="1">Control!$C$140*($G46+273)^4*(0.56-0.079*SQRT($Y46*10))*(0.1+0.9*$LO46)</f>
        <v>1.5241745131704001</v>
      </c>
      <c r="LR46" s="170">
        <f ca="1">$AQ46*(1-Control!$C$142)-$LQ46</f>
        <v>-1.5241745131704001</v>
      </c>
      <c r="LS46" s="170">
        <f ca="1">$AQ46*(1-Control!$C$143)-$LQ46</f>
        <v>-1.5241745131704001</v>
      </c>
      <c r="LT46" s="170">
        <f ca="1">$AQ46*(1-Control!$C$144)-$LQ46</f>
        <v>-1.5241745131704001</v>
      </c>
      <c r="LU46" s="169">
        <f ca="1">(1-Control!$C$144)*AQ46-LP46</f>
        <v>3.2464704755046001</v>
      </c>
      <c r="LV46" s="172">
        <f t="shared" ca="1" si="88"/>
        <v>0.79430000000000012</v>
      </c>
      <c r="LW46" s="170">
        <f t="shared" ca="1" si="89"/>
        <v>1.5886000000000002</v>
      </c>
      <c r="LX46" s="170">
        <f ca="1">($AC46*($LR46/Control!$C$141)+$LM46*$LV46)/($AC46+$LM46)</f>
        <v>0.23530094218323697</v>
      </c>
      <c r="LY46" s="170">
        <f ca="1">($AC46*($LS46/Control!$C$141)+$LM46*$LV46)/($AC46+$LM46)</f>
        <v>0.23530094218323697</v>
      </c>
      <c r="LZ46" s="170">
        <f t="shared" ca="1" si="90"/>
        <v>0.23530094218323697</v>
      </c>
      <c r="MA46" s="170">
        <f t="shared" ca="1" si="91"/>
        <v>0.23530094218323697</v>
      </c>
      <c r="MB46" s="170" t="e">
        <f t="shared" ca="1" si="92"/>
        <v>#N/A</v>
      </c>
      <c r="MC46" s="170">
        <f t="shared" ca="1" si="176"/>
        <v>0.6018</v>
      </c>
      <c r="MD46" s="170">
        <f t="shared" ca="1" si="93"/>
        <v>0.52989392535414004</v>
      </c>
      <c r="ME46" s="170">
        <f ca="1">($AC46*($LT46/Control!$C$141)+$LM46*$LW46)/($AC46+$LM46)</f>
        <v>0.71612369323045078</v>
      </c>
      <c r="MF46" s="170" t="e">
        <f ca="1">IF(Control!$B$16&gt;=1000,0.92,IF(AND(720&lt;=Control!$B$16,1000&gt;Control!$B$16),(0.95+(Control!$B$16-720)*((0.92-0.95)/(1000-720))),IF(AND(360&lt;=Control!$B$16,720&gt;Control!$B$16),(1+(Control!$B$16-360)*((0.95-1)/(720-360))),IF(AND(40&lt;=Control!$B$16,360&gt;Control!$B$16),(1.05+(Control!$B$16-40)*((1.05-1)/(360-40)))))))</f>
        <v>#N/A</v>
      </c>
      <c r="MG46" s="170">
        <f t="shared" ca="1" si="94"/>
        <v>0.71612369323045078</v>
      </c>
      <c r="MH46" s="170" t="e">
        <f t="shared" ref="MH46:MI65" ca="1" si="232">$MG46*$MF46</f>
        <v>#N/A</v>
      </c>
      <c r="MI46" s="170" t="e">
        <f t="shared" ca="1" si="232"/>
        <v>#N/A</v>
      </c>
      <c r="MJ46" s="170" t="e">
        <f ca="1">MAX(0.0001, Control!$C$132*$MI46*$DL46)</f>
        <v>#N/A</v>
      </c>
      <c r="MK46" s="170">
        <f ca="1">1/(0.76+1.5*($MG46/10))-(5-Control!$C$110)*0.1</f>
        <v>1.002845988140797</v>
      </c>
      <c r="ML46" s="173">
        <f ca="1">IF(Control!$C$110&lt;3,$MK46+($MG46-0.6)/(Control!$C$110*(Control!$C$110+3)), MAX(0.1, MIN(0.95,$MK46)))</f>
        <v>0.95</v>
      </c>
      <c r="MM46" s="173">
        <f ca="1">IF(Control!$C$110&lt;3,$MK46+(($MI46/10)-0.6)/(Control!$C$110*(Control!$C$110+3)), MAX(0.1, MIN(0.95,$MK46)))</f>
        <v>0.95</v>
      </c>
      <c r="MN46" s="173">
        <f ca="1">(1-$MM46)*(Control!$C$128-Control!$C$127)+Control!$C$127</f>
        <v>0.16</v>
      </c>
      <c r="MO46" s="170" t="e">
        <f ca="1">MAX(0,MIN(1,($MS46-Control!$C$127)/($MN46-Control!$C$127)))</f>
        <v>#DIV/0!</v>
      </c>
      <c r="MP46" s="173" t="e">
        <f ca="1">1/(0.76+1.5*$MI46)-(5-Control!$C$110)*0.1</f>
        <v>#N/A</v>
      </c>
      <c r="MQ46" s="172" t="e">
        <f t="shared" ca="1" si="209"/>
        <v>#DIV/0!</v>
      </c>
      <c r="MR46" s="168" t="e">
        <f t="shared" ca="1" si="226"/>
        <v>#DIV/0!</v>
      </c>
      <c r="MS46" s="173" t="e">
        <f ca="1">MAX(Control!$C$127, MIN(Control!$C$135, $MR46/MAX(0.0001,$CY46)))</f>
        <v>#DIV/0!</v>
      </c>
      <c r="MT46" s="168" t="e">
        <f ca="1">(Control!$C$128-$MS46)*Control!$C$74</f>
        <v>#DIV/0!</v>
      </c>
      <c r="MU46" s="168" t="e">
        <f ca="1">(Control!$C$135-$MS46)*Control!$C$74</f>
        <v>#DIV/0!</v>
      </c>
      <c r="MV46" s="168" t="e">
        <f t="shared" ca="1" si="210"/>
        <v>#DIV/0!</v>
      </c>
      <c r="MW46" s="168" t="e">
        <f t="shared" ca="1" si="177"/>
        <v>#DIV/0!</v>
      </c>
      <c r="MX46" s="171" t="e">
        <f ca="1">MAX(Control!$C$127, MIN(Control!$C$135, $MW46/MAX(0.0001,Control!$C$119-$CY46)))</f>
        <v>#DIV/0!</v>
      </c>
      <c r="MY46" s="54" t="e">
        <f ca="1">IF(Control!$C$114=1, $CX46*$MX46, 0)</f>
        <v>#DIV/0!</v>
      </c>
      <c r="MZ46" s="54" t="e">
        <f t="shared" ca="1" si="178"/>
        <v>#N/A</v>
      </c>
      <c r="NA46" s="168" t="e">
        <f ca="1">(Control!$C$128-$MX46)*(Control!$C$119-Control!$C$74)</f>
        <v>#DIV/0!</v>
      </c>
      <c r="NB46" s="168" t="e">
        <f ca="1">(Control!$C$135-$MX46)*(Control!$C$119-Control!$C$74)</f>
        <v>#DIV/0!</v>
      </c>
      <c r="NC46" s="174" t="e">
        <f t="shared" ca="1" si="179"/>
        <v>#DIV/0!</v>
      </c>
      <c r="ND46" s="54">
        <f ca="1">IF(Control!$C$58=2, IF(OR(Control!$B$218=$AH46,Control!$B$219=$AH46, Control!$B$220=$AH46, Control!$B$221=$AH46, Control!$B$222=$AH46, Control!$B$223=$AH46, Control!$B$224=$AH46, Control!$B$225=$AH46, Control!$B$226=$AH46, Control!$B$227=$AH46, Control!$B$228=$AH46), 1, 0), 0)</f>
        <v>0</v>
      </c>
      <c r="NE46" s="54">
        <f ca="1">IF($ND46=0,0, VLOOKUP($AH46,Control!$B$218:$C$228,2))</f>
        <v>0</v>
      </c>
      <c r="NF46" s="168" t="e">
        <f ca="1">$CY46*(Control!$C$128-Control!$C$127)</f>
        <v>#N/A</v>
      </c>
      <c r="NG46" s="54" t="e">
        <f ca="1">IF(Control!$C$58=2, $NI45-$NJ45, 0)</f>
        <v>#DIV/0!</v>
      </c>
      <c r="NH46" s="54" t="e">
        <f ca="1">IF(AND(Control!$C$58=1, $MS45&lt;= ($MN45+0.02), $I45&lt;10), 0, IF(Control!$C$58=2, $NG45, 0))</f>
        <v>#DIV/0!</v>
      </c>
      <c r="NI46" s="54" t="e">
        <f ca="1">IF(Control!$C$58=2, $NE46+$NH46,0)</f>
        <v>#DIV/0!</v>
      </c>
      <c r="NJ46" s="54" t="e">
        <f ca="1">IF(AND(Control!$C$58=1, $MS46&lt;= ($MN46+0.02), $I46&lt;10), MAX(0, MIN(10, 0.7*($NF46-$MV46))), IF(Control!$C$58=2, MIN(10,$NI46),0))</f>
        <v>#DIV/0!</v>
      </c>
      <c r="NK46" s="54" t="e">
        <f t="shared" ca="1" si="96"/>
        <v>#DIV/0!</v>
      </c>
      <c r="NL46" s="173" t="e">
        <f ca="1">(1-Control!$C$73)*$I46+$NJ46</f>
        <v>#DIV/0!</v>
      </c>
      <c r="NM46" s="172" t="e">
        <f ca="1">IF($NL46&lt;0.5, $MB46* MAX(0, MIN(1, (SQRT($NC46)-SQRT($NC46-1))*Control!$C$71)),0)</f>
        <v>#DIV/0!</v>
      </c>
      <c r="NN46" s="170" t="e">
        <f ca="1">IF($NL46&gt;=5, $MB46, MAX(0,MIN($MB46, $NM46+$NL46,($MS46-Control!$C$129))))</f>
        <v>#DIV/0!</v>
      </c>
      <c r="NO46" s="54">
        <f>IF(Control!$C$133&lt;&gt;1, Control!$C$135-Control!$C$131, 0)</f>
        <v>0.38</v>
      </c>
      <c r="NP46" s="54" t="e">
        <f t="shared" ca="1" si="97"/>
        <v>#DIV/0!</v>
      </c>
      <c r="NQ46" s="173" t="e">
        <f ca="1">MAX(0,MIN(1,(Control!$C$135-$MS46)/(Control!$C$135-$NO46)))</f>
        <v>#DIV/0!</v>
      </c>
      <c r="NR46" s="170" t="e">
        <f ca="1">IF(Control!$C$133&lt;&gt;1, $NQ46+((1-$NP46/4)*(1-$NQ46)),1)</f>
        <v>#DIV/0!</v>
      </c>
      <c r="NS46" s="170" t="e">
        <f ca="1">IF(Control!$B$31=0,$MJ46,MAX(0,MIN($MV46,$MO46*$NR46*$MJ46)))</f>
        <v>#DIV/0!</v>
      </c>
      <c r="NT46" s="170" t="e">
        <f t="shared" ca="1" si="227"/>
        <v>#DIV/0!</v>
      </c>
      <c r="NU46" s="170" t="e">
        <f t="shared" ca="1" si="180"/>
        <v>#N/A</v>
      </c>
      <c r="NV46" s="170" t="e">
        <f t="shared" ca="1" si="98"/>
        <v>#N/A</v>
      </c>
      <c r="NW46" s="175" t="e">
        <f t="shared" ca="1" si="99"/>
        <v>#DIV/0!</v>
      </c>
      <c r="NX46" s="170" t="e">
        <f ca="1">MIN(Control!$C$72+$MU46, $NW46)</f>
        <v>#DIV/0!</v>
      </c>
      <c r="NY46" s="170" t="e">
        <f ca="1">IF($MT46&lt;=$NX46,MIN(Control!$C$72+$NB46,$NX46-$MT46),0)</f>
        <v>#DIV/0!</v>
      </c>
      <c r="NZ46" s="54" t="e">
        <f ca="1">IF(Control!$C$114=1,  $CX46*($MX46-Control!$C$127), 0)</f>
        <v>#DIV/0!</v>
      </c>
      <c r="OA46" s="170" t="e">
        <f t="shared" ca="1" si="181"/>
        <v>#DIV/0!</v>
      </c>
      <c r="OB46" s="170" t="e">
        <f ca="1">IF($NA46 &lt;=$NY46, MIN(Control!$C$72, $NY46-$NA46), 0)</f>
        <v>#DIV/0!</v>
      </c>
      <c r="OC46" s="168" t="e">
        <f t="shared" ca="1" si="100"/>
        <v>#DIV/0!</v>
      </c>
      <c r="OD46" s="168" t="e">
        <f t="shared" ca="1" si="182"/>
        <v>#DIV/0!</v>
      </c>
      <c r="OE46" s="170">
        <f ca="1">Control!$C$73*$I46</f>
        <v>0</v>
      </c>
      <c r="OF46" s="176" t="e">
        <f t="shared" ca="1" si="101"/>
        <v>#DIV/0!</v>
      </c>
      <c r="OG46" s="168" t="e">
        <f t="shared" ca="1" si="102"/>
        <v>#DIV/0!</v>
      </c>
      <c r="OH46" s="168" t="e">
        <f t="shared" ca="1" si="103"/>
        <v>#DIV/0!</v>
      </c>
      <c r="OI46" s="168" t="e">
        <f t="shared" ca="1" si="104"/>
        <v>#DIV/0!</v>
      </c>
      <c r="OJ46" s="168" t="e">
        <f t="shared" ca="1" si="105"/>
        <v>#DIV/0!</v>
      </c>
      <c r="OK46" s="204" t="e">
        <f t="shared" ca="1" si="183"/>
        <v>#DIV/0!</v>
      </c>
      <c r="OL46" s="177">
        <f>Control!$C$127</f>
        <v>0.15</v>
      </c>
      <c r="OM46" s="182" t="e">
        <f t="shared" ca="1" si="106"/>
        <v>#N/A</v>
      </c>
      <c r="ON46" s="177">
        <f>Control!$C$128</f>
        <v>0.35</v>
      </c>
      <c r="OO46" s="182" t="e">
        <f t="shared" ca="1" si="107"/>
        <v>#N/A</v>
      </c>
      <c r="OP46" s="138">
        <f t="shared" ca="1" si="184"/>
        <v>0</v>
      </c>
      <c r="OQ46" s="138" t="e">
        <f t="shared" ca="1" si="211"/>
        <v>#DIV/0!</v>
      </c>
      <c r="OR46" s="138" t="e">
        <f t="shared" ca="1" si="185"/>
        <v>#DIV/0!</v>
      </c>
      <c r="OS46" s="137" t="e">
        <f t="shared" ca="1" si="212"/>
        <v>#DIV/0!</v>
      </c>
      <c r="OT46" s="139" t="e">
        <f t="shared" ca="1" si="213"/>
        <v>#DIV/0!</v>
      </c>
      <c r="OU46" s="138" t="e">
        <f t="shared" ca="1" si="214"/>
        <v>#N/A</v>
      </c>
      <c r="OV46" s="138" t="e">
        <f t="shared" ca="1" si="215"/>
        <v>#DIV/0!</v>
      </c>
      <c r="OW46" s="138" t="e">
        <f t="shared" ca="1" si="186"/>
        <v>#DIV/0!</v>
      </c>
      <c r="OX46" s="138" t="e">
        <f t="shared" ca="1" si="187"/>
        <v>#DIV/0!</v>
      </c>
      <c r="OY46" s="138" t="e">
        <f t="shared" ca="1" si="188"/>
        <v>#DIV/0!</v>
      </c>
      <c r="OZ46" s="138" t="e">
        <f t="shared" ca="1" si="108"/>
        <v>#DIV/0!</v>
      </c>
      <c r="PA46" s="138" t="e">
        <f t="shared" ca="1" si="109"/>
        <v>#DIV/0!</v>
      </c>
      <c r="PB46" s="55">
        <f>IF(Control!$C$61="T", IF(Control!$C$65="F", IF($AH$6-Control!$C$60&lt;0,0,1), IF(365+$AH$6-Control!$C$60&lt;0,0,1)),0)</f>
        <v>0</v>
      </c>
      <c r="PC46" s="55">
        <f ca="1">IF(Control!$C$65="F", IF($AH$6-$HF46&lt;0,0,1), IF(365+$AH$6-$HF46&lt;0,0,1))</f>
        <v>1</v>
      </c>
      <c r="PD46" s="444">
        <f>Control!$C$118</f>
        <v>1500</v>
      </c>
      <c r="PE46" s="180" t="e">
        <f t="shared" ca="1" si="110"/>
        <v>#N/A</v>
      </c>
      <c r="PF46" s="445">
        <f t="shared" ca="1" si="189"/>
        <v>0.71612369323045078</v>
      </c>
      <c r="PT46" s="186"/>
      <c r="PU46" s="186"/>
      <c r="PV46" s="94"/>
      <c r="PW46" s="94"/>
      <c r="PX46" s="94"/>
      <c r="PY46" s="94"/>
      <c r="PZ46" s="94"/>
      <c r="QA46" s="94"/>
      <c r="QB46" s="94"/>
      <c r="QC46" s="94"/>
      <c r="QD46" s="94"/>
      <c r="QE46" s="94"/>
      <c r="QF46" s="94"/>
      <c r="QG46" s="94"/>
      <c r="QH46" s="94"/>
      <c r="QI46" s="94"/>
      <c r="QJ46" s="94"/>
      <c r="QK46" s="94"/>
      <c r="QL46" s="94"/>
      <c r="QM46" s="94"/>
      <c r="QN46" s="94"/>
      <c r="QO46" s="94"/>
      <c r="QP46" s="94"/>
    </row>
    <row r="47" spans="1:458" s="2" customFormat="1" x14ac:dyDescent="0.2">
      <c r="A47" s="395">
        <v>11</v>
      </c>
      <c r="B47" s="396">
        <v>2</v>
      </c>
      <c r="C47" s="387">
        <f ca="1">Weather_data!$B46</f>
        <v>0</v>
      </c>
      <c r="D47" s="388">
        <f ca="1">Weather_data!$F46</f>
        <v>0</v>
      </c>
      <c r="E47" s="388">
        <f ca="1">Weather_data!$E46</f>
        <v>0</v>
      </c>
      <c r="F47" s="388">
        <f t="shared" ca="1" si="111"/>
        <v>0</v>
      </c>
      <c r="G47" s="388">
        <f ca="1">AVERAGE($D47:$E47)+Control!$B$9</f>
        <v>0</v>
      </c>
      <c r="H47" s="388">
        <f ca="1">Weather_data!$G46</f>
        <v>0</v>
      </c>
      <c r="I47" s="388">
        <f ca="1">Weather_data!$I46</f>
        <v>0</v>
      </c>
      <c r="J47" s="388">
        <f ca="1">Weather_data!$H46</f>
        <v>0</v>
      </c>
      <c r="K47" s="389">
        <f ca="1">Weather_data!$D46</f>
        <v>0</v>
      </c>
      <c r="L47" s="388" t="e">
        <f t="shared" ca="1" si="112"/>
        <v>#N/A</v>
      </c>
      <c r="M47" s="388" t="e">
        <f t="shared" ca="1" si="0"/>
        <v>#N/A</v>
      </c>
      <c r="N47" s="388">
        <f t="shared" ca="1" si="1"/>
        <v>-6.6513973236455651E-3</v>
      </c>
      <c r="O47" s="388">
        <f t="shared" ca="1" si="113"/>
        <v>6.6513973236455651E-2</v>
      </c>
      <c r="P47" s="390">
        <v>3</v>
      </c>
      <c r="Q47" s="388">
        <f ca="1">MAX($G47-Control!$C$107,0)</f>
        <v>0</v>
      </c>
      <c r="R47" s="388">
        <f t="shared" ca="1" si="114"/>
        <v>0</v>
      </c>
      <c r="S47" s="388">
        <f t="shared" ca="1" si="2"/>
        <v>0</v>
      </c>
      <c r="T47" s="388">
        <f t="shared" ca="1" si="3"/>
        <v>0</v>
      </c>
      <c r="U47" s="59">
        <f t="shared" ca="1" si="4"/>
        <v>0</v>
      </c>
      <c r="V47" s="391">
        <f ca="1">MAX(0,MIN(Control!$C$100-Control!$C$99,$G47-Control!$C$99)*Control!$C$63)</f>
        <v>0</v>
      </c>
      <c r="W47" s="388">
        <f t="shared" ca="1" si="190"/>
        <v>0</v>
      </c>
      <c r="X47" s="388">
        <f t="shared" ca="1" si="115"/>
        <v>0.6110000000000001</v>
      </c>
      <c r="Y47" s="388">
        <f t="shared" ca="1" si="116"/>
        <v>0</v>
      </c>
      <c r="Z47" s="388">
        <f t="shared" ca="1" si="117"/>
        <v>0.61058800000000002</v>
      </c>
      <c r="AA47" s="388">
        <f t="shared" ca="1" si="5"/>
        <v>0.6018</v>
      </c>
      <c r="AB47" s="388">
        <f ca="1">101.3*EXP(-0.034*Control!$C$66/($G47+273))</f>
        <v>100.69623283836242</v>
      </c>
      <c r="AC47" s="392">
        <f t="shared" ca="1" si="6"/>
        <v>4.3460251046025113E-2</v>
      </c>
      <c r="AD47" s="392">
        <f t="shared" ca="1" si="7"/>
        <v>4.4450382862832649E-2</v>
      </c>
      <c r="AE47" s="388">
        <f t="shared" ca="1" si="8"/>
        <v>0</v>
      </c>
      <c r="AF47" s="388">
        <f ca="1">MAX(0,$G47-Control!$C$92)</f>
        <v>0</v>
      </c>
      <c r="AG47" s="393">
        <f t="shared" ca="1" si="118"/>
        <v>42</v>
      </c>
      <c r="AH47" s="389">
        <f t="shared" ca="1" si="9"/>
        <v>42</v>
      </c>
      <c r="AI47" s="388">
        <f t="shared" ca="1" si="119"/>
        <v>-0.25152491556992312</v>
      </c>
      <c r="AJ47" s="388">
        <f ca="1">IF(Control!$C$60&lt;=0,$HH47,$HI47)</f>
        <v>1</v>
      </c>
      <c r="AK47" s="388">
        <f t="shared" ca="1" si="10"/>
        <v>-0.65413984019951854</v>
      </c>
      <c r="AL47" s="388">
        <f t="shared" ca="1" si="11"/>
        <v>2.1640224334706914E-18</v>
      </c>
      <c r="AM47" s="388">
        <f t="shared" ca="1" si="12"/>
        <v>-0.65413984019951854</v>
      </c>
      <c r="AN47" s="388">
        <f t="shared" ca="1" si="13"/>
        <v>-0.24448028685316006</v>
      </c>
      <c r="AO47" s="388">
        <f ca="1">-0.10453/COS(Control!$B$8*PI()/180)*COS(AN47)</f>
        <v>-0.16473601479030756</v>
      </c>
      <c r="AP47" s="388">
        <f ca="1">ACOS(AO47-TAN(Control!$B$8*PI()/180)*TAN(AN47))</f>
        <v>1.4156023812599843</v>
      </c>
      <c r="AQ47" s="388">
        <f t="shared" ca="1" si="120"/>
        <v>0</v>
      </c>
      <c r="AR47" s="394">
        <f t="shared" ca="1" si="14"/>
        <v>0</v>
      </c>
      <c r="AS47" s="436">
        <f ca="1">IF(Control!$B$18=2,(IF(OR($AH47=Control!$B$175,$AH47=Control!$B$176,$AH47=Control!$B$177,$AH47=Control!$B$178,$AH47=Control!$B$179,$AH47=Control!$B$180,$AH47=Control!$B$181,$AH47=Control!$B$182,$AH47=Control!$B$183,$AH47=Control!$B$184,$AH47=Control!$B$185),1,0)),0)</f>
        <v>0</v>
      </c>
      <c r="AT47" s="436">
        <f>IF(Control!$B$20=8,IF(AND($AH47&gt;=Control!$B$172,$AH47&lt;=Control!$B$173),1,0),0)</f>
        <v>0</v>
      </c>
      <c r="AU47" s="436">
        <f>IF(Control!$B$20=8,IF($AV46=1,1*$AT47,IF($AT47=1,$AU46+1,$AU46)),0)</f>
        <v>0</v>
      </c>
      <c r="AV47" s="436">
        <f>IF(Control!$B$20=8,IF($AU47&gt;=Control!$B$174,1,0),0)</f>
        <v>0</v>
      </c>
      <c r="AW47" s="436">
        <f ca="1">IF(AND(Control!$B$18=2,Control!$B$171=1), $AV47, $AS47)</f>
        <v>0</v>
      </c>
      <c r="AX47" s="436" t="e">
        <f ca="1">IF(AND(Control!$B$18=1,$EU47&gt;=Control!$B$19),-$AY47,IF(AND(Control!$B$18=2,$AW47=1,$EU47&gt;$DS47),-$AY47, IF(Control!$C$108=0,0, IF(Control!$C$108&lt;&gt;0,1))))</f>
        <v>#N/A</v>
      </c>
      <c r="AY47" s="436" t="e">
        <f t="shared" ca="1" si="121"/>
        <v>#N/A</v>
      </c>
      <c r="AZ47" s="436" t="e">
        <f ca="1">IF(AND(Control!$B$18=1,$EB47&gt;Control!$B$19),$AZ46+1, IF(AND(Control!$B$18=2, $AW47=1, $EB47&gt;$DS47), $AZ46+1,$AZ46))</f>
        <v>#N/A</v>
      </c>
      <c r="BA47" s="587">
        <f>IF(Control!$C$81=0,1,IF($AH47&gt;=Control!$C$82,1,0))</f>
        <v>1</v>
      </c>
      <c r="BB47" s="140" t="e">
        <f ca="1">IF($BA47&gt;$BA46,Control!$C$83,IF($AW47&gt;0,$AW47*Control!$C$84,IF(AND(Control!$B$18=1,EN46&lt;&gt;0),Control!$C$84,0)))</f>
        <v>#N/A</v>
      </c>
      <c r="BC47" s="140" t="e">
        <f t="shared" ca="1" si="122"/>
        <v>#N/A</v>
      </c>
      <c r="BD47" s="140" t="e">
        <f ca="1">BC47*IF(OR($G47&lt;Control!$C$92,$G47&gt;Control!$C$95),0,IF(AND($G47&gt;=Control!$C$92,$G47&lt;=Control!$C$93),$G47-Control!$C$92,IF(AND($G47&gt;Control!$C$93,$G47&lt;=Control!$C$94),Control!$C$93-Control!$C$92,IF(AND($G47&gt;Control!$C$94,$G47&lt;=Control!$C$95),(Control!$C$93-Control!$C$92)*(Control!$C$94-$G47)/(Control!$C$95-Control!$C$94)))))</f>
        <v>#N/A</v>
      </c>
      <c r="BE47" s="140" t="e">
        <f t="shared" ca="1" si="123"/>
        <v>#N/A</v>
      </c>
      <c r="BF47" s="140" t="e">
        <f ca="1">IF($BE47&lt;=Control!$C$86,$BE47,Control!$C$86-$BE47)</f>
        <v>#N/A</v>
      </c>
      <c r="BG47" s="140" t="e">
        <f ca="1">IF(AND($AW47=1,Control!$C$84&lt;9),1,IF($BE47&gt;=Control!$C$86,0,$BC47))</f>
        <v>#N/A</v>
      </c>
      <c r="BH47" s="404" t="e">
        <f ca="1">IF($BG47=0,0,IF($BE47&lt;=Control!$C$86,$BC47*9*($BF47/Control!$C$86),0))</f>
        <v>#N/A</v>
      </c>
      <c r="BI47" s="140" t="e">
        <f ca="1">IF($BG47=1,0,IF($BE47&gt;=Control!$C$86,1,IF(AND($BB47&lt;21,$BB47&gt;=9),1,$BM46)))</f>
        <v>#N/A</v>
      </c>
      <c r="BJ47" s="140" t="e">
        <f ca="1">IF($BF47&lt;0,-$BF47,$BI47*IF(OR($G47&lt;Control!$C$92,$G47&gt;Control!$C$95),0,IF(AND($G47&gt;=Control!$C$92,$G47&lt;=Control!$C$93),$G47-Control!$C$92,IF(AND($G47&gt;Control!$C$93,$G47&lt;=Control!$C$94),Control!$C$93-Control!$C$92,IF(AND($G47&gt;Control!$C$94,$G47&lt;=Control!$C$95),(Control!$C$93-Control!$C$92)*(Control!$C$94-$G47)/(Control!$C$95-Control!$C$94))))))</f>
        <v>#N/A</v>
      </c>
      <c r="BK47" s="140" t="e">
        <f t="shared" ca="1" si="124"/>
        <v>#N/A</v>
      </c>
      <c r="BL47" s="140" t="e">
        <f ca="1">IF($BK47&lt;=Control!$C$87,$BK47,Control!$C$87-$BK47)</f>
        <v>#N/A</v>
      </c>
      <c r="BM47" s="140" t="e">
        <f ca="1">IF(AND($BB47&gt;=9,$BB47&lt;21),1,IF($BK47&gt;=Control!$C$87,0,$BI47))</f>
        <v>#N/A</v>
      </c>
      <c r="BN47" s="404" t="e">
        <f ca="1">IF($BM47=0,0,IF($BK47&lt;=Control!$C$87,$BI47*(9+(21-9)*($BL47/Control!$C$87)),0))</f>
        <v>#N/A</v>
      </c>
      <c r="BO47" s="140" t="e">
        <f ca="1">IF($BM47=1,0,IF($BK47&gt;=Control!$C$87,1,IF(AND($BB47&lt;30,$BB47&gt;=21),1,$BS46)))</f>
        <v>#N/A</v>
      </c>
      <c r="BP47" s="140" t="e">
        <f ca="1">IF($BL47&lt;0,-$BL47,$BO47*IF(OR($G47&lt;Control!$C$92,$G47&gt;Control!$C$95),0,IF(AND($G47&gt;=Control!$C$92,$G47&lt;=Control!$C$93),$G47-Control!$C$92,IF(AND($G47&gt;Control!$C$93,$G47&lt;=Control!$C$94),Control!$C$93-Control!$C$92,IF(AND($G47&gt;Control!$C$94,$G47&lt;=Control!$C$95),(Control!$C$93-Control!$C$92)*(Control!$C$94-$G47)/(Control!$C$95-Control!$C$94))))))</f>
        <v>#N/A</v>
      </c>
      <c r="BQ47" s="140" t="e">
        <f t="shared" ca="1" si="15"/>
        <v>#N/A</v>
      </c>
      <c r="BR47" s="140" t="e">
        <f ca="1">IF($BQ47&lt;=Control!$C$88,$BQ47,Control!$C$88-$BQ47)</f>
        <v>#N/A</v>
      </c>
      <c r="BS47" s="140" t="e">
        <f ca="1">IF(AND($BB47&gt;=21,$BB47&lt;30),1,IF($BQ47&gt;=Control!$C$88,0,$BO47))</f>
        <v>#N/A</v>
      </c>
      <c r="BT47" s="404" t="e">
        <f ca="1">IF($BS47=0,0,IF($BQ47&lt;=Control!$C$88,$BO47*(21+(30-21)*(BR47/Control!$C$88)),0))</f>
        <v>#N/A</v>
      </c>
      <c r="BU47" s="140" t="e">
        <f ca="1">IF(BG47+BM47+BS47=1,0,IF(OR(AND($BB47&lt;60,$BB47&gt;=30),$BQ47&gt;=Control!$C$88),1*$BA47,$BY46))</f>
        <v>#N/A</v>
      </c>
      <c r="BV47" s="140" t="e">
        <f ca="1">IF($BR47&lt;0,-$BR47,$BU47*IF(OR($G47&lt;Control!$C$92,$G47&gt;Control!$C$95),0,IF(AND($G47&gt;=Control!$C$92,$G47&lt;=Control!$C$93),$G47-Control!$C$92,IF(AND($G47&gt;Control!$C$93,$G47&lt;=Control!$C$94),Control!$C$93-Control!$C$92,IF(AND($G47&gt;Control!$C$94,$G47&lt;=Control!$C$95),(Control!$C$93-Control!$C$92)*(Control!$C$94-$G47)/(Control!$C$95-Control!$C$94))))))</f>
        <v>#N/A</v>
      </c>
      <c r="BW47" s="140" t="e">
        <f t="shared" ca="1" si="16"/>
        <v>#N/A</v>
      </c>
      <c r="BX47" s="140" t="e">
        <f ca="1">IF($BW47&lt;=Control!$C$89,$BW47,Control!$C$89-$BW47)</f>
        <v>#N/A</v>
      </c>
      <c r="BY47" s="140" t="e">
        <f ca="1">IF(AND($AJ47&gt;=30,$AJ47&lt;60),1,IF($BW47&gt;=Control!$C$89,0,$BU47))</f>
        <v>#N/A</v>
      </c>
      <c r="BZ47" s="404" t="e">
        <f ca="1">IF($BY47=0,0,IF($BW47&lt;=Control!$C$89,$BU47*(30+(60-30)*(BX47/Control!$C$89)),0))</f>
        <v>#N/A</v>
      </c>
      <c r="CA47" s="140" t="e">
        <f ca="1">IF($BG47+$BM47+$BS47+$BY47=1,0,IF(OR(AND($BB47&lt;65,$BB47&gt;=60),$BW47&gt;=Control!$C$89),1*$BA47,$CE46))</f>
        <v>#N/A</v>
      </c>
      <c r="CB47" s="140" t="e">
        <f ca="1">IF($BX47&lt;0,-$BX47,$CA47*IF(OR($G47&lt;Control!$C$92,$G47&gt;Control!$C$95),0,IF(AND($G47&gt;=Control!$C$92,$G47&lt;=Control!$C$93),$G47-Control!$C$92,IF(AND($G47&gt;Control!$C$93,$G47&lt;=Control!$C$94),Control!$C$93-Control!$C$92,IF(AND($G47&gt;Control!$C$94,$G47&lt;=Control!$C$95),(Control!$C$93-Control!$C$92)*(Control!$C$94-$G47)/(Control!$C$95-Control!$C$94))))))</f>
        <v>#N/A</v>
      </c>
      <c r="CC47" s="140" t="e">
        <f t="shared" ca="1" si="125"/>
        <v>#N/A</v>
      </c>
      <c r="CD47" s="140" t="e">
        <f ca="1">IF($CC47&lt;=Control!$C$90,$CC47,Control!$C$90-$CC47)</f>
        <v>#N/A</v>
      </c>
      <c r="CE47" s="140" t="e">
        <f ca="1">IF(AND($BB47&gt;=60,$BB47&lt;65),1,IF($CC47&gt;=Control!$C$90,0,$CA47))</f>
        <v>#N/A</v>
      </c>
      <c r="CF47" s="404" t="e">
        <f ca="1">IF($CE47=0,0,IF($CC47&lt;=Control!$C$90,$CA47*(60+(65-60)*(CD47/Control!$C$90)),0))</f>
        <v>#N/A</v>
      </c>
      <c r="CG47" s="140" t="e">
        <f ca="1">IF($BG47+$BM47+$BS47+$BY47+$CE47=1,0,IF(OR(AND($BB47&lt;90,$BB47&gt;=65),$CC47&gt;=Control!$C$90),$BA47,$CK46))</f>
        <v>#N/A</v>
      </c>
      <c r="CH47" s="140" t="e">
        <f ca="1">IF($CD47&lt;0,-$CD47,$CG47*IF(OR($G47&lt;Control!$C$92,$G47&gt;Control!$C$95),0,IF(AND($G47&gt;=Control!$C$92,$G47&lt;=Control!$C$93),$G47-Control!$C$92,IF(AND($G47&gt;Control!$C$93,$G47&lt;=Control!$C$94),Control!$C$93-Control!$C$92,IF(AND($G47&gt;Control!$C$94,$G47&lt;=Control!$C$95),(Control!$C$93-Control!$C$92)*(Control!$C$94-$G47)/(Control!$C$95-Control!$C$94))))))</f>
        <v>#N/A</v>
      </c>
      <c r="CI47" s="140" t="e">
        <f t="shared" ca="1" si="126"/>
        <v>#N/A</v>
      </c>
      <c r="CJ47" s="140" t="e">
        <f ca="1">IF($CI47&lt;=Control!$C$91,$CI47,Control!$C$91-$CI47)</f>
        <v>#N/A</v>
      </c>
      <c r="CK47" s="140" t="e">
        <f ca="1">IF(AND($BB47&gt;=65,$BB47&lt;90),1,IF($CI47&gt;=Control!$C$91,0,$CG47))</f>
        <v>#N/A</v>
      </c>
      <c r="CL47" s="404" t="e">
        <f ca="1">IF($CK47=0,0,IF($CI47&lt;=Control!$C$91,$CG47*(65+(90-65)*($CJ47/Control!$C$91)),0))</f>
        <v>#N/A</v>
      </c>
      <c r="CM47" s="140" t="e">
        <f ca="1">IF($BG47+$BM47+$BS47+$BY47+$CE47+$CK47=1,0,IF(OR($BB47&gt;=90,$CI47&gt;=Control!$C$91),$BA47,$CM46))</f>
        <v>#N/A</v>
      </c>
      <c r="CN47" s="140" t="e">
        <f t="shared" ca="1" si="127"/>
        <v>#N/A</v>
      </c>
      <c r="CO47" s="140" t="e">
        <f t="shared" ca="1" si="128"/>
        <v>#N/A</v>
      </c>
      <c r="CP47" s="140" t="e">
        <f t="shared" ca="1" si="129"/>
        <v>#N/A</v>
      </c>
      <c r="CQ47" s="141" t="e">
        <f ca="1">VLOOKUP($CP47,Control!$B$86:$G$91,6)</f>
        <v>#N/A</v>
      </c>
      <c r="CR47" s="141" t="e">
        <f ca="1">(1-$CQ47)*VLOOKUP($CP47,Control!$B$86:$D$91,3)</f>
        <v>#N/A</v>
      </c>
      <c r="CS47" s="141" t="e">
        <f ca="1">(1-$CQ47)*VLOOKUP($CP47,Control!$B$86:$E$91,4)</f>
        <v>#N/A</v>
      </c>
      <c r="CT47" s="141" t="e">
        <f ca="1">(1-$CQ47)*VLOOKUP($CP47,Control!$B$86:$F$91,5)</f>
        <v>#N/A</v>
      </c>
      <c r="CU47" s="141">
        <f t="shared" ca="1" si="130"/>
        <v>0</v>
      </c>
      <c r="CV47" s="583">
        <f t="shared" ca="1" si="131"/>
        <v>0</v>
      </c>
      <c r="CW47" s="142">
        <f t="shared" ca="1" si="132"/>
        <v>42</v>
      </c>
      <c r="CX47" s="612" t="e">
        <f ca="1">IF(Control!$C$114=1,(MIN(Control!$C$120*(IF($NT47-0.01&lt;0,0,1)),Control!$C$119-$CY47)))</f>
        <v>#DIV/0!</v>
      </c>
      <c r="CY47" s="143" t="e">
        <f t="shared" ca="1" si="133"/>
        <v>#N/A</v>
      </c>
      <c r="CZ47" s="144">
        <f t="shared" ca="1" si="17"/>
        <v>0</v>
      </c>
      <c r="DA47" s="144">
        <f t="shared" ca="1" si="18"/>
        <v>0</v>
      </c>
      <c r="DB47" s="144" t="e">
        <f t="shared" ca="1" si="19"/>
        <v>#N/A</v>
      </c>
      <c r="DC47" s="144" t="e">
        <f t="shared" ca="1" si="20"/>
        <v>#N/A</v>
      </c>
      <c r="DD47" s="144" t="e">
        <f t="shared" ca="1" si="216"/>
        <v>#N/A</v>
      </c>
      <c r="DE47" s="143" t="e">
        <f t="shared" ca="1" si="135"/>
        <v>#N/A</v>
      </c>
      <c r="DF47" s="145" t="e">
        <f ca="1">$DR47*EXP(-Control!$C$158*(1-$KH47))</f>
        <v>#N/A</v>
      </c>
      <c r="DG47" s="146" t="e">
        <f ca="1">IF(Control!$C$114=1, $DF47*$EY47, 0)</f>
        <v>#N/A</v>
      </c>
      <c r="DH47" s="147" t="e">
        <f t="shared" ca="1" si="136"/>
        <v>#N/A</v>
      </c>
      <c r="DI47" s="144" t="e">
        <f t="shared" ca="1" si="191"/>
        <v>#N/A</v>
      </c>
      <c r="DJ47" s="147" t="e">
        <f ca="1">$EF47*Control!$C$109</f>
        <v>#N/A</v>
      </c>
      <c r="DK47" s="144" t="e">
        <f t="shared" ca="1" si="137"/>
        <v>#N/A</v>
      </c>
      <c r="DL47" s="144" t="e">
        <f t="shared" ca="1" si="21"/>
        <v>#N/A</v>
      </c>
      <c r="DM47" s="144" t="e">
        <f ca="1">IF(Control!$C$114=1, (1-EXP(-Control!$C$96*$DK47))*$AR47, 0)</f>
        <v>#N/A</v>
      </c>
      <c r="DN47" s="144">
        <f t="shared" ca="1" si="138"/>
        <v>0</v>
      </c>
      <c r="DO47" s="148">
        <f>Control!$C$97</f>
        <v>4</v>
      </c>
      <c r="DP47" s="145" t="e">
        <f t="shared" ca="1" si="139"/>
        <v>#N/A</v>
      </c>
      <c r="DQ47" s="145" t="e">
        <f ca="1">IF(AND($CP47&gt;=0,$CP47&lt;=90),Control!$C$111,Control!$C$111)</f>
        <v>#N/A</v>
      </c>
      <c r="DR47" s="145" t="e">
        <f t="shared" ca="1" si="22"/>
        <v>#N/A</v>
      </c>
      <c r="DS47" s="143" t="e">
        <f ca="1">Control!$B$22/$DR47</f>
        <v>#N/A</v>
      </c>
      <c r="DT47" s="149" t="e">
        <f ca="1">IF(AND(Control!$C$114=1,$KH47&lt;1),$IM47*$DF47, 0)</f>
        <v>#N/A</v>
      </c>
      <c r="DU47" s="144" t="e">
        <f t="shared" ca="1" si="192"/>
        <v>#N/A</v>
      </c>
      <c r="DV47" s="144">
        <f ca="1">IF($G47-Control!$C$107&lt;=0, 0, 0.83*LN(MAX($G47, 3))-0.8924)</f>
        <v>0</v>
      </c>
      <c r="DW47" s="144" t="e">
        <f t="shared" ca="1" si="23"/>
        <v>#N/A</v>
      </c>
      <c r="DX47" s="150" t="e">
        <f ca="1">MAX(0.01*(1+$CU47/Control!$C$102),0.05*($DK47-Control!$C$97)/Control!$C$97)</f>
        <v>#N/A</v>
      </c>
      <c r="DY47" s="151" t="e">
        <f ca="1">IF(Control!$C$114=1, $DI47*$FS47, 0)</f>
        <v>#N/A</v>
      </c>
      <c r="DZ47" s="196" t="e">
        <f t="shared" ca="1" si="140"/>
        <v>#N/A</v>
      </c>
      <c r="EA47" s="152">
        <f t="shared" ca="1" si="141"/>
        <v>42</v>
      </c>
      <c r="EB47" s="153" t="e">
        <f t="shared" ca="1" si="217"/>
        <v>#N/A</v>
      </c>
      <c r="EC47" s="153" t="e">
        <f t="shared" ca="1" si="142"/>
        <v>#N/A</v>
      </c>
      <c r="ED47" s="154" t="e">
        <f ca="1">IF(Control!$C$114=1, $HM47*$FY47-$FD47, 0)</f>
        <v>#DIV/0!</v>
      </c>
      <c r="EE47" s="155" t="e">
        <f ca="1">IF(Control!$C$114=1, $HM47*$FZ47-$FF47, 0)</f>
        <v>#DIV/0!</v>
      </c>
      <c r="EF47" s="153" t="e">
        <f t="shared" ca="1" si="193"/>
        <v>#N/A</v>
      </c>
      <c r="EG47" s="155" t="e">
        <f ca="1">IF(Control!$C$114=1, $GX47*$FW47-$FI47, 0)</f>
        <v>#DIV/0!</v>
      </c>
      <c r="EH47" s="153" t="e">
        <f t="shared" ca="1" si="143"/>
        <v>#N/A</v>
      </c>
      <c r="EI47" s="156" t="e">
        <f t="shared" ca="1" si="144"/>
        <v>#N/A</v>
      </c>
      <c r="EJ47" s="155" t="e">
        <f ca="1">IF(Control!$C$114=1, $HM47*$GB47, 0)</f>
        <v>#DIV/0!</v>
      </c>
      <c r="EK47" s="153" t="e">
        <f t="shared" ca="1" si="194"/>
        <v>#N/A</v>
      </c>
      <c r="EL47" s="153" t="e">
        <f t="shared" ca="1" si="24"/>
        <v>#N/A</v>
      </c>
      <c r="EM47" s="153" t="e">
        <f t="shared" ca="1" si="25"/>
        <v>#N/A</v>
      </c>
      <c r="EN47" s="153" t="e">
        <f ca="1">IF(Control!$C$108=1,IF(AND(Control!$B$18=1,$EB47&gt;=Control!$B$19),$EB47-$DS47,IF(AND(Control!$B$18=2,$AW47=1,$EB47&gt;$DS47),$EB47-$DS47,0)))</f>
        <v>#N/A</v>
      </c>
      <c r="EO47" s="153" t="e">
        <f ca="1">IF(Control!$C$108=1,IF(AND(Control!$B$18=1,$EB47&gt;=Control!$B$19),$EF47,IF(AND(Control!$B$18=2,$AW47=1),$EF47,0)))</f>
        <v>#N/A</v>
      </c>
      <c r="EP47" s="153" t="e">
        <f ca="1">IF(Control!$C$108=1,IF(AND(Control!$B$18=1,$EB47&gt;=Control!$B$19),$EK47,IF(AND(Control!$B$18=2,$AW47=1),$EK47,0)))</f>
        <v>#N/A</v>
      </c>
      <c r="EQ47" s="153" t="e">
        <f t="shared" ca="1" si="145"/>
        <v>#N/A</v>
      </c>
      <c r="ER47" s="153" t="e">
        <f t="shared" ca="1" si="231"/>
        <v>#N/A</v>
      </c>
      <c r="ES47" s="153" t="e">
        <f t="shared" ca="1" si="196"/>
        <v>#N/A</v>
      </c>
      <c r="ET47" s="153" t="e">
        <f t="shared" ca="1" si="197"/>
        <v>#N/A</v>
      </c>
      <c r="EU47" s="153" t="e">
        <f t="shared" ca="1" si="198"/>
        <v>#N/A</v>
      </c>
      <c r="EV47" s="153" t="e">
        <f t="shared" ca="1" si="146"/>
        <v>#N/A</v>
      </c>
      <c r="EW47" s="153" t="e">
        <f t="shared" ca="1" si="218"/>
        <v>#N/A</v>
      </c>
      <c r="EX47" s="153" t="e">
        <f t="shared" ca="1" si="26"/>
        <v>#N/A</v>
      </c>
      <c r="EY47" s="157" t="e">
        <f t="shared" ca="1" si="147"/>
        <v>#DIV/0!</v>
      </c>
      <c r="EZ47" s="154" t="e">
        <f t="shared" ca="1" si="27"/>
        <v>#DIV/0!</v>
      </c>
      <c r="FA47" s="153" t="e">
        <f t="shared" ca="1" si="199"/>
        <v>#N/A</v>
      </c>
      <c r="FB47" s="153" t="e">
        <f t="shared" ca="1" si="28"/>
        <v>#N/A</v>
      </c>
      <c r="FC47" s="193" t="e">
        <f t="shared" ca="1" si="29"/>
        <v>#N/A</v>
      </c>
      <c r="FD47" s="158" t="e">
        <f t="shared" ca="1" si="200"/>
        <v>#N/A</v>
      </c>
      <c r="FE47" s="158" t="e">
        <f t="shared" ca="1" si="148"/>
        <v>#N/A</v>
      </c>
      <c r="FF47" s="159" t="e">
        <f t="shared" ca="1" si="30"/>
        <v>#N/A</v>
      </c>
      <c r="FG47" s="160" t="e">
        <f t="shared" ca="1" si="149"/>
        <v>#N/A</v>
      </c>
      <c r="FH47" s="158" t="e">
        <f t="shared" ca="1" si="150"/>
        <v>#N/A</v>
      </c>
      <c r="FI47" s="159" t="e">
        <f t="shared" ca="1" si="31"/>
        <v>#N/A</v>
      </c>
      <c r="FJ47" s="160" t="e">
        <f t="shared" ca="1" si="151"/>
        <v>#N/A</v>
      </c>
      <c r="FK47" s="160" t="e">
        <f t="shared" ca="1" si="32"/>
        <v>#N/A</v>
      </c>
      <c r="FL47" s="160" t="e">
        <f t="shared" ca="1" si="229"/>
        <v>#N/A</v>
      </c>
      <c r="FM47" s="160" t="e">
        <f t="shared" ca="1" si="33"/>
        <v>#N/A</v>
      </c>
      <c r="FN47" s="158">
        <f t="shared" ca="1" si="219"/>
        <v>0.01</v>
      </c>
      <c r="FO47" s="160">
        <f>Control!$C$101</f>
        <v>50</v>
      </c>
      <c r="FP47" s="150" t="e">
        <f t="shared" ca="1" si="34"/>
        <v>#N/A</v>
      </c>
      <c r="FQ47" s="150" t="e">
        <f ca="1">MAX(0,(Control!$C$112*(($DK47-Control!$C$97)/Control!$C$97)))</f>
        <v>#N/A</v>
      </c>
      <c r="FR47" s="150" t="e">
        <f ca="1">(1-$NT47)*Control!$C$113</f>
        <v>#DIV/0!</v>
      </c>
      <c r="FS47" s="198" t="e">
        <f t="shared" ca="1" si="35"/>
        <v>#N/A</v>
      </c>
      <c r="FT47" s="161">
        <f t="shared" ca="1" si="152"/>
        <v>42</v>
      </c>
      <c r="FU47" s="162" t="e">
        <f ca="1">IF(Control!$B$34=1,VLOOKUP($CP47,Control!$B$86:$G$91,6),Control!$B$35)</f>
        <v>#N/A</v>
      </c>
      <c r="FV47" s="162" t="e">
        <f t="shared" ca="1" si="36"/>
        <v>#DIV/0!</v>
      </c>
      <c r="FW47" s="162" t="e">
        <f ca="1">IF(Control!$B$31=1,$FU47*$FV47,  $FU47)</f>
        <v>#N/A</v>
      </c>
      <c r="FX47" s="162" t="e">
        <f ca="1">IF(Control!$B$34=1,VLOOKUP($CP47,Control!$B$86:$G$91,3),Control!$B$36)</f>
        <v>#N/A</v>
      </c>
      <c r="FY47" s="162" t="e">
        <f t="shared" ca="1" si="37"/>
        <v>#N/A</v>
      </c>
      <c r="FZ47" s="162" t="e">
        <f ca="1">IF(Control!$B$34=1,VLOOKUP($CP47,Control!$B$86:$G$91,4),Control!$B$37)</f>
        <v>#N/A</v>
      </c>
      <c r="GA47" s="162" t="e">
        <f t="shared" ca="1" si="38"/>
        <v>#N/A</v>
      </c>
      <c r="GB47" s="162" t="e">
        <f ca="1">IF(Control!$B$34=1,VLOOKUP($CP47,Control!$B$86:$G$91,5),Control!$B$38)</f>
        <v>#N/A</v>
      </c>
      <c r="GC47" s="162" t="e">
        <f t="shared" ca="1" si="153"/>
        <v>#N/A</v>
      </c>
      <c r="GD47" s="162">
        <f t="shared" ca="1" si="39"/>
        <v>1</v>
      </c>
      <c r="GE47" s="162">
        <f t="shared" ca="1" si="40"/>
        <v>1</v>
      </c>
      <c r="GF47" s="162">
        <f ca="1">IF(AND(Control!$C$104=1, Control!$C$62="F"),$GE47,1)</f>
        <v>1</v>
      </c>
      <c r="GG47" s="162" t="e">
        <f ca="1">IF(Control!$B$16=40,0,IF(AND(Control!$B$16&gt;40,Control!$B$16&lt;=360),(Control!$B$16-40)*((1-0)/(360-40)),IF(AND(Control!$B$16&gt;360,Control!$B$16&lt;=720),(1+(Control!$B$16-360)*((1.25-1)/(720-360))),IF(AND(Control!$B$16&gt;720,Control!$B$16&lt;=1000),(1.25+(Control!$B$16-720)*((1.35-1.25)/(1000-720))),IF(AND(Control!$B$16&gt;1000,Control!$B$16&lt;=2000),(1.35+(Control!$B$16-1000)*0))))))</f>
        <v>#N/A</v>
      </c>
      <c r="GH47" s="162" t="e">
        <f t="shared" ca="1" si="41"/>
        <v>#N/A</v>
      </c>
      <c r="GI47" s="162">
        <f t="shared" ca="1" si="201"/>
        <v>0</v>
      </c>
      <c r="GJ47" s="162">
        <f t="shared" ca="1" si="42"/>
        <v>0</v>
      </c>
      <c r="GK47" s="162">
        <f t="shared" ca="1" si="220"/>
        <v>1</v>
      </c>
      <c r="GL47" s="162">
        <f t="shared" ca="1" si="43"/>
        <v>1</v>
      </c>
      <c r="GM47" s="162" t="e">
        <f ca="1">MAX(0,MIN(1,1-Control!$C$156*(1.0001-$KH47)^2))</f>
        <v>#N/A</v>
      </c>
      <c r="GN47" s="162" t="e">
        <f ca="1">IF(Control!$B$26=1,$KU47,$KX47)</f>
        <v>#N/A</v>
      </c>
      <c r="GO47" s="162" t="e">
        <f ca="1">IF($CP47&lt;=60,Control!$C$105,IF($CP47&gt;=90,Control!$C$106,Control!$C$105+($CP47-60)*((Control!$C$106-Control!$C$105)/(90-60))))</f>
        <v>#N/A</v>
      </c>
      <c r="GP47" s="162" t="e">
        <f t="shared" ca="1" si="154"/>
        <v>#N/A</v>
      </c>
      <c r="GQ47" s="162" t="e">
        <f t="shared" ca="1" si="155"/>
        <v>#N/A</v>
      </c>
      <c r="GR47" s="163" t="e">
        <f t="shared" ca="1" si="44"/>
        <v>#DIV/0!</v>
      </c>
      <c r="GS47" s="162" t="e">
        <f t="shared" ca="1" si="45"/>
        <v>#DIV/0!</v>
      </c>
      <c r="GT47" s="164" t="e">
        <f t="shared" ca="1" si="156"/>
        <v>#N/A</v>
      </c>
      <c r="GU47" s="162" t="e">
        <f t="shared" ca="1" si="157"/>
        <v>#N/A</v>
      </c>
      <c r="GV47" s="162" t="e">
        <f t="shared" ca="1" si="46"/>
        <v>#N/A</v>
      </c>
      <c r="GW47" s="162" t="e">
        <f t="shared" ca="1" si="221"/>
        <v>#DIV/0!</v>
      </c>
      <c r="GX47" s="162" t="e">
        <f t="shared" ca="1" si="228"/>
        <v>#DIV/0!</v>
      </c>
      <c r="GY47" s="162" t="e">
        <f t="shared" ca="1" si="158"/>
        <v>#DIV/0!</v>
      </c>
      <c r="GZ47" s="165" t="e">
        <f t="shared" ca="1" si="159"/>
        <v>#N/A</v>
      </c>
      <c r="HA47" s="162" t="e">
        <f ca="1">IF(Control!$C$114=1, $DI47*$FS47, 0)</f>
        <v>#N/A</v>
      </c>
      <c r="HB47" s="162" t="e">
        <f ca="1">$FA47/Control!$C$64</f>
        <v>#N/A</v>
      </c>
      <c r="HC47" s="162" t="e">
        <f t="shared" ca="1" si="222"/>
        <v>#DIV/0!</v>
      </c>
      <c r="HD47" s="162">
        <f ca="1">-ASIN(SIN(23.45*Control!$C$139)*COS(2*Control!$C$138*($AH47+10)/365))</f>
        <v>-0.25152491556992312</v>
      </c>
      <c r="HE47" s="165">
        <f t="shared" ca="1" si="160"/>
        <v>0</v>
      </c>
      <c r="HF47" s="166">
        <f ca="1">IF(AND(Control!$C$61="T",$HE47&gt;=Control!$C$103,Control!$C$114=0),$AH47,Control!$C$59)</f>
        <v>1</v>
      </c>
      <c r="HG47" s="166">
        <f ca="1">IF(AND(Control!$C$61="T",$HE47&gt;=Control!$C$103,Control!$C$114=0),$HF47,Control!$C$59)</f>
        <v>1</v>
      </c>
      <c r="HH47" s="165">
        <f ca="1">IF(AND(OR(Control!$C$60&lt;=0, $AH47= Control!$C$59, Control!$C$60 &gt;0, $AH47 = Control!$C$60)), Control!$C$59, IF(Control!$C$60&gt;0, 0))</f>
        <v>1</v>
      </c>
      <c r="HI47" s="165">
        <f ca="1">IF(AND(OR(Control!$C$60&lt;=0, $AH47= Control!$C$59, Control!$C$60 &gt;0, $AH47 = Control!$C$60)), Control!$C$60, IF(Control!$C$60&lt;=0, 0))</f>
        <v>0</v>
      </c>
      <c r="HJ47" s="166">
        <f ca="1">IF(AND(Control!$C$62="F",$CV47&gt;=Control!$C$102),$AH47,0)</f>
        <v>0</v>
      </c>
      <c r="HK47" s="165" t="e">
        <f t="shared" ca="1" si="202"/>
        <v>#N/A</v>
      </c>
      <c r="HL47" s="166">
        <f ca="1">IF(AND(Control!$C$61="T",$HE47&gt;=Control!$C$103,Control!$C$114=0),$HF47,0)</f>
        <v>0</v>
      </c>
      <c r="HM47" s="201" t="e">
        <f t="shared" ca="1" si="47"/>
        <v>#DIV/0!</v>
      </c>
      <c r="HN47" s="215">
        <f t="shared" ca="1" si="161"/>
        <v>42</v>
      </c>
      <c r="HO47" s="216" t="e">
        <f ca="1">IF(AND($CP47&gt;=0, $CP47&lt;=90), Control!$C$152, Control!$C$152)</f>
        <v>#N/A</v>
      </c>
      <c r="HP47" s="216" t="e">
        <f t="shared" ca="1" si="48"/>
        <v>#N/A</v>
      </c>
      <c r="HQ47" s="217" t="e">
        <f ca="1">IF(OR(Control!$B$26=1,Control!$B$26=2),$KV47,$KS47)</f>
        <v>#DIV/0!</v>
      </c>
      <c r="HR47" s="218" t="e">
        <f t="shared" ca="1" si="223"/>
        <v>#DIV/0!</v>
      </c>
      <c r="HS47" s="216" t="e">
        <f ca="1">Control!$C$154*$HP47</f>
        <v>#N/A</v>
      </c>
      <c r="HT47" s="216" t="e">
        <f ca="1">Control!$C$155*$HP47</f>
        <v>#N/A</v>
      </c>
      <c r="HU47" s="217" t="e">
        <f ca="1">Control!$C$161*$FI47</f>
        <v>#N/A</v>
      </c>
      <c r="HV47" s="218" t="e">
        <f t="shared" ca="1" si="162"/>
        <v>#N/A</v>
      </c>
      <c r="HW47" s="218" t="e">
        <f ca="1">Control!$C$160*$FF47+$IP47*$EO47</f>
        <v>#N/A</v>
      </c>
      <c r="HX47" s="218" t="e">
        <f t="shared" ca="1" si="203"/>
        <v>#N/A</v>
      </c>
      <c r="HY47" s="219" t="e">
        <f ca="1">IF(Control!$C$114=1, $EB47*$FS47, 0)</f>
        <v>#N/A</v>
      </c>
      <c r="HZ47" s="91" t="e">
        <f t="shared" ca="1" si="49"/>
        <v>#N/A</v>
      </c>
      <c r="IA47" s="220" t="e">
        <f ca="1">Control!$C$153*$HO47</f>
        <v>#N/A</v>
      </c>
      <c r="IB47" s="218" t="e">
        <f t="shared" ca="1" si="50"/>
        <v>#N/A</v>
      </c>
      <c r="IC47" s="220" t="e">
        <f ca="1">Control!$C$153*$HT47</f>
        <v>#N/A</v>
      </c>
      <c r="ID47" s="218" t="e">
        <f t="shared" ca="1" si="51"/>
        <v>#N/A</v>
      </c>
      <c r="IE47" s="221" t="e">
        <f ca="1">($EB47*Control!$C$159+$EF47*Control!$C$160)/(IF($GZ47&lt;&gt;0,$GZ47,1))</f>
        <v>#N/A</v>
      </c>
      <c r="IF47" s="216" t="e">
        <f t="shared" ca="1" si="52"/>
        <v>#N/A</v>
      </c>
      <c r="IG47" s="91">
        <f ca="1">IF(OR(Control!$B$198=$AH47,Control!$B$199=$AH47, Control!$B$200=$AH47, Control!$B$201=$AH47, Control!$B$202=$AH47, Control!$B$203=$AH47, Control!$B$204=$AH47, Control!$B$205=$AH47, Control!$B$206=$AH47, Control!$B$207=$AH47), 1, 0)</f>
        <v>0</v>
      </c>
      <c r="IH47" s="91">
        <f ca="1">IF($IG47=0,0, VLOOKUP($AH47,Control!$B$198:$C$207,2))</f>
        <v>0</v>
      </c>
      <c r="II47" s="222">
        <f t="shared" ca="1" si="163"/>
        <v>0</v>
      </c>
      <c r="IJ47" s="91">
        <f>Control!$C$121</f>
        <v>0.7</v>
      </c>
      <c r="IK47" s="218">
        <f t="shared" ca="1" si="53"/>
        <v>0</v>
      </c>
      <c r="IL47" s="217" t="e">
        <f t="shared" ca="1" si="204"/>
        <v>#N/A</v>
      </c>
      <c r="IM47" s="223" t="e">
        <f ca="1">IF(AND(Control!$C$114=1,$KH47&lt;1),$EB47*Control!$C$148*(1-$KH47), 0)</f>
        <v>#N/A</v>
      </c>
      <c r="IN47" s="217" t="e">
        <f t="shared" ca="1" si="54"/>
        <v>#DIV/0!</v>
      </c>
      <c r="IO47" s="91" t="e">
        <f ca="1">MAX(0,$IL47-$EF47*Control!$C$160)</f>
        <v>#N/A</v>
      </c>
      <c r="IP47" s="220" t="e">
        <f t="shared" ca="1" si="55"/>
        <v>#N/A</v>
      </c>
      <c r="IQ47" s="217" t="e">
        <f t="shared" ca="1" si="164"/>
        <v>#N/A</v>
      </c>
      <c r="IR47" s="218" t="e">
        <f t="shared" ca="1" si="56"/>
        <v>#N/A</v>
      </c>
      <c r="IS47" s="217" t="e">
        <f ca="1">Control!$C$159*MAX(0,$FD47-$EN47)</f>
        <v>#N/A</v>
      </c>
      <c r="IT47" s="217" t="e">
        <f t="shared" ca="1" si="205"/>
        <v>#N/A</v>
      </c>
      <c r="IU47" s="217" t="e">
        <f t="shared" ca="1" si="165"/>
        <v>#N/A</v>
      </c>
      <c r="IV47" s="217" t="e">
        <f t="shared" ca="1" si="206"/>
        <v>#N/A</v>
      </c>
      <c r="IW47" s="217" t="e">
        <f ca="1">IF(OR($AW47=1,AND($AW47=0, Control!$B$18=1,$EN47&lt;&gt;0)), $IQ47-$IU47, $IQ47)</f>
        <v>#N/A</v>
      </c>
      <c r="IX47" s="218" t="e">
        <f t="shared" ca="1" si="57"/>
        <v>#N/A</v>
      </c>
      <c r="IY47" s="218" t="e">
        <f ca="1">MAX(0,$IQ47-$EB47*Control!$C$159)</f>
        <v>#N/A</v>
      </c>
      <c r="IZ47" s="218" t="e">
        <f t="shared" ca="1" si="58"/>
        <v>#N/A</v>
      </c>
      <c r="JA47" s="216" t="e">
        <f t="shared" ca="1" si="59"/>
        <v>#N/A</v>
      </c>
      <c r="JB47" s="217" t="e">
        <f t="shared" ca="1" si="60"/>
        <v>#N/A</v>
      </c>
      <c r="JC47" s="222" t="e">
        <f ca="1">MAX(Control!$C$157*$EK47-$JT47, 0)/Control!$C$162</f>
        <v>#N/A</v>
      </c>
      <c r="JD47" s="218" t="e">
        <f t="shared" ca="1" si="61"/>
        <v>#N/A</v>
      </c>
      <c r="JE47" s="218" t="e">
        <f t="shared" ca="1" si="62"/>
        <v>#N/A</v>
      </c>
      <c r="JF47" s="218" t="e">
        <f t="shared" ca="1" si="207"/>
        <v>#N/A</v>
      </c>
      <c r="JG47" s="218" t="e">
        <f t="shared" ca="1" si="63"/>
        <v>#N/A</v>
      </c>
      <c r="JH47" s="217" t="e">
        <f t="shared" ca="1" si="166"/>
        <v>#N/A</v>
      </c>
      <c r="JI47" s="217" t="e">
        <f t="shared" ca="1" si="167"/>
        <v>#N/A</v>
      </c>
      <c r="JJ47" s="217" t="e">
        <f t="shared" ca="1" si="224"/>
        <v>#N/A</v>
      </c>
      <c r="JK47" s="217" t="e">
        <f ca="1">IF(Control!$C$114=1,IF(Control!$B$24=0,MAX(0,$JI47)*$GN47/Control!$C$64,(MAX(0,MIN($JI47,$JJ47*$GN47/Control!$C$64),0))))</f>
        <v>#N/A</v>
      </c>
      <c r="JL47" s="217" t="e">
        <f ca="1">$IK47/Control!$C$64-$JK47+$HQ47</f>
        <v>#N/A</v>
      </c>
      <c r="JM47" s="217" t="e">
        <f ca="1">IF(Control!$C$114=1,($JB47/(IF($JI47&lt;&gt;0,$JI47,1)))*$JK47,0)</f>
        <v>#N/A</v>
      </c>
      <c r="JN47" s="217" t="e">
        <f ca="1">IF(Control!$C$114=1,($JG47/(IF($JI47&lt;&gt;0,$JI47,1)))*$JK47, 0)</f>
        <v>#N/A</v>
      </c>
      <c r="JO47" s="218" t="e">
        <f t="shared" ca="1" si="64"/>
        <v>#N/A</v>
      </c>
      <c r="JP47" s="218" t="e">
        <f ca="1">MIN(($IY47+$IO47)*Control!$C$151, $JF47-$EH47*Control!$C$161)</f>
        <v>#N/A</v>
      </c>
      <c r="JQ47" s="218" t="e">
        <f t="shared" ca="1" si="65"/>
        <v>#N/A</v>
      </c>
      <c r="JR47" s="217" t="e">
        <f ca="1">IF($CP47-Control!$C$150&lt;0, 0, $JQ47/Control!$C$162)</f>
        <v>#N/A</v>
      </c>
      <c r="JS47" s="218" t="e">
        <f t="shared" ca="1" si="66"/>
        <v>#N/A</v>
      </c>
      <c r="JT47" s="218" t="e">
        <f t="shared" ca="1" si="168"/>
        <v>#N/A</v>
      </c>
      <c r="JU47" s="218" t="e">
        <f t="shared" ca="1" si="67"/>
        <v>#N/A</v>
      </c>
      <c r="JV47" s="218" t="e">
        <f t="shared" ca="1" si="68"/>
        <v>#N/A</v>
      </c>
      <c r="JW47" s="216" t="e">
        <f t="shared" ca="1" si="69"/>
        <v>#N/A</v>
      </c>
      <c r="JX47" s="91" t="e">
        <f t="shared" ca="1" si="70"/>
        <v>#N/A</v>
      </c>
      <c r="JY47" s="218" t="e">
        <f t="shared" ca="1" si="71"/>
        <v>#N/A</v>
      </c>
      <c r="JZ47" s="217" t="e">
        <f ca="1">IF(Control!$C$114=1,($IZ47/(IF($JI47&lt;&gt;0,$JI47,1)))*$JK47, 0)</f>
        <v>#N/A</v>
      </c>
      <c r="KA47" s="218" t="e">
        <f t="shared" ca="1" si="225"/>
        <v>#N/A</v>
      </c>
      <c r="KB47" s="218" t="e">
        <f t="shared" ca="1" si="169"/>
        <v>#N/A</v>
      </c>
      <c r="KC47" s="218" t="e">
        <f t="shared" ca="1" si="72"/>
        <v>#N/A</v>
      </c>
      <c r="KD47" s="218" t="e">
        <f t="shared" ca="1" si="73"/>
        <v>#N/A</v>
      </c>
      <c r="KE47" s="218" t="e">
        <f t="shared" ca="1" si="74"/>
        <v>#N/A</v>
      </c>
      <c r="KF47" s="218" t="e">
        <f t="shared" ca="1" si="75"/>
        <v>#N/A</v>
      </c>
      <c r="KG47" s="216" t="e">
        <f t="shared" ca="1" si="76"/>
        <v>#N/A</v>
      </c>
      <c r="KH47" s="221" t="e">
        <f ca="1">IF(Control!$B$24=0,1,MAX(0.001,MIN(1,IF(($IF47-$IE47)&lt;&gt;0,($KG47-$IE47)/($IF47-$IE47),1))))</f>
        <v>#N/A</v>
      </c>
      <c r="KI47" s="222" t="e">
        <f ca="1">IF(Control!$C$114=1, $KI46+ $KH46, 0)</f>
        <v>#N/A</v>
      </c>
      <c r="KJ47" s="217" t="e">
        <f t="shared" ca="1" si="77"/>
        <v>#N/A</v>
      </c>
      <c r="KK47" s="218" t="e">
        <f t="shared" ca="1" si="78"/>
        <v>#N/A</v>
      </c>
      <c r="KL47" s="274" t="e">
        <f ca="1">IF(Control!$B$26=3,4000000000*EXP(-8400/($G47+273)),IF(Control!$B$26=4,4000000000*EXP(-8400/($G47+273))*($KT47),0))</f>
        <v>#DIV/0!</v>
      </c>
      <c r="KM47" s="274" t="e">
        <f ca="1">IF(Control!$B$26=3,5600000000000*EXP(-9800/($G47+273)),IF(Control!$B$26=4,5600000000000*EXP(-9800/($G47+273))*$KT47,0))</f>
        <v>#DIV/0!</v>
      </c>
      <c r="KN47" s="454" t="e">
        <f t="shared" ca="1" si="170"/>
        <v>#DIV/0!</v>
      </c>
      <c r="KO47" s="274" t="e">
        <f t="shared" ca="1" si="171"/>
        <v>#DIV/0!</v>
      </c>
      <c r="KP47" s="454" t="e">
        <f t="shared" ca="1" si="79"/>
        <v>#DIV/0!</v>
      </c>
      <c r="KQ47" s="454" t="e">
        <f t="shared" ca="1" si="80"/>
        <v>#DIV/0!</v>
      </c>
      <c r="KR47" s="454" t="e">
        <f t="shared" ca="1" si="81"/>
        <v>#DIV/0!</v>
      </c>
      <c r="KS47" s="454" t="e">
        <f t="shared" ca="1" si="82"/>
        <v>#DIV/0!</v>
      </c>
      <c r="KT47" s="455" t="e">
        <f t="shared" ca="1" si="83"/>
        <v>#DIV/0!</v>
      </c>
      <c r="KU47" s="456" t="e">
        <f ca="1">IF($CP47-Control!$C$149&lt;0, IF($NT47-0.01&lt;0,0,1),0)</f>
        <v>#N/A</v>
      </c>
      <c r="KV47" s="456" t="e">
        <f ca="1">IF(Control!$C$114=1,MAX(0,MIN(Control!$C$125*$KW47*$GN47,$KW47)))</f>
        <v>#DIV/0!</v>
      </c>
      <c r="KW47" s="456" t="e">
        <f t="shared" ca="1" si="208"/>
        <v>#DIV/0!</v>
      </c>
      <c r="KX47" s="457" t="e">
        <f ca="1">IF($CP47-Control!$C$149&lt;0, IF($MR47-$OM47&lt;0,0,1),0)</f>
        <v>#N/A</v>
      </c>
      <c r="KY47" s="167">
        <f t="shared" ca="1" si="172"/>
        <v>42</v>
      </c>
      <c r="KZ47" s="168">
        <f ca="1">1370*(1+0.033*COS(2*Control!$C$138*$AH47/365))</f>
        <v>1403.8996010259216</v>
      </c>
      <c r="LA47" s="169">
        <f t="shared" ca="1" si="173"/>
        <v>1.0247442712397508</v>
      </c>
      <c r="LB47" s="169">
        <f t="shared" ca="1" si="174"/>
        <v>-0.25302144955665185</v>
      </c>
      <c r="LC47" s="169">
        <f ca="1">ACOS(-TAN((2*Control!$B$8/360))*TAN(Calculations!$LB47))</f>
        <v>1.4938748003920514</v>
      </c>
      <c r="LD47" s="169">
        <f ca="1">((24*60)/PI())*0.082*$LA47*(($LC47*SIN(Control!$B$8*2*PI()/360))*SIN($LB47)+COS(Control!$B$8*2*PI()/360)*COS($LB47)*SIN($LC47))</f>
        <v>11.539812588524388</v>
      </c>
      <c r="LE47" s="170">
        <f t="shared" ca="1" si="84"/>
        <v>12.342360252350874</v>
      </c>
      <c r="LF47" s="170">
        <f ca="1">SIN(Control!$C$139*Control!$B$8)*SIN($HD47)</f>
        <v>-0.196121371927757</v>
      </c>
      <c r="LG47" s="170">
        <f ca="1">COS(Control!$C$139*Control!$B$8)*COS($HD47)</f>
        <v>0.59628746706835523</v>
      </c>
      <c r="LH47" s="170">
        <f ca="1">12*(1+2*ASIN(MAX(-1,MIN(1,$LF47/$LG47))/Control!$C$138))</f>
        <v>9.4827510892818463</v>
      </c>
      <c r="LI47" s="170">
        <f ca="1">12*(1+2*ASIN(MAX(-1,MIN(1,(-SIN(-4*Control!$C$139)+$LF47)/$LG47))/Control!$C$138))</f>
        <v>10.37983041231279</v>
      </c>
      <c r="LJ47" s="168">
        <f ca="1">3600*($LH47*$LF47+24*$LG47*SQRT(1-$LK47*$LK47)/Control!$C$138)</f>
        <v>8791.4835529061347</v>
      </c>
      <c r="LK47" s="170">
        <f t="shared" ca="1" si="85"/>
        <v>-0.32890406516841092</v>
      </c>
      <c r="LL47" s="170">
        <f t="shared" ca="1" si="86"/>
        <v>0</v>
      </c>
      <c r="LM47" s="171">
        <f ca="1">Control!$C$145*$AB47</f>
        <v>6.6660906138995932E-2</v>
      </c>
      <c r="LN47" s="170">
        <f t="shared" ca="1" si="175"/>
        <v>0.54</v>
      </c>
      <c r="LO47" s="170">
        <f t="shared" ca="1" si="87"/>
        <v>0</v>
      </c>
      <c r="LP47" s="170">
        <f ca="1">Control!$C$140*((($D47+273.16)^4+($E47+273.16)^4)/2)*(0.34-0.14*SQRT($Y47))*(1.35*$AQ47/(0.75*$LD47)-0.35)</f>
        <v>-3.2464704755046001</v>
      </c>
      <c r="LQ47" s="170">
        <f ca="1">Control!$C$140*($G47+273)^4*(0.56-0.079*SQRT($Y47*10))*(0.1+0.9*$LO47)</f>
        <v>1.5241745131704001</v>
      </c>
      <c r="LR47" s="170">
        <f ca="1">$AQ47*(1-Control!$C$142)-$LQ47</f>
        <v>-1.5241745131704001</v>
      </c>
      <c r="LS47" s="170">
        <f ca="1">$AQ47*(1-Control!$C$143)-$LQ47</f>
        <v>-1.5241745131704001</v>
      </c>
      <c r="LT47" s="170">
        <f ca="1">$AQ47*(1-Control!$C$144)-$LQ47</f>
        <v>-1.5241745131704001</v>
      </c>
      <c r="LU47" s="169">
        <f ca="1">(1-Control!$C$144)*AQ47-LP47</f>
        <v>3.2464704755046001</v>
      </c>
      <c r="LV47" s="172">
        <f t="shared" ca="1" si="88"/>
        <v>0.79430000000000012</v>
      </c>
      <c r="LW47" s="170">
        <f t="shared" ca="1" si="89"/>
        <v>1.5886000000000002</v>
      </c>
      <c r="LX47" s="170">
        <f ca="1">($AC47*($LR47/Control!$C$141)+$LM47*$LV47)/($AC47+$LM47)</f>
        <v>0.23530094218323697</v>
      </c>
      <c r="LY47" s="170">
        <f ca="1">($AC47*($LS47/Control!$C$141)+$LM47*$LV47)/($AC47+$LM47)</f>
        <v>0.23530094218323697</v>
      </c>
      <c r="LZ47" s="170">
        <f t="shared" ca="1" si="90"/>
        <v>0.23530094218323697</v>
      </c>
      <c r="MA47" s="170">
        <f t="shared" ca="1" si="91"/>
        <v>0.23530094218323697</v>
      </c>
      <c r="MB47" s="170" t="e">
        <f t="shared" ca="1" si="92"/>
        <v>#N/A</v>
      </c>
      <c r="MC47" s="170">
        <f t="shared" ca="1" si="176"/>
        <v>0.6018</v>
      </c>
      <c r="MD47" s="170">
        <f t="shared" ca="1" si="93"/>
        <v>0.52989392535414004</v>
      </c>
      <c r="ME47" s="170">
        <f ca="1">($AC47*($LT47/Control!$C$141)+$LM47*$LW47)/($AC47+$LM47)</f>
        <v>0.71612369323045078</v>
      </c>
      <c r="MF47" s="170" t="e">
        <f ca="1">IF(Control!$B$16&gt;=1000,0.92,IF(AND(720&lt;=Control!$B$16,1000&gt;Control!$B$16),(0.95+(Control!$B$16-720)*((0.92-0.95)/(1000-720))),IF(AND(360&lt;=Control!$B$16,720&gt;Control!$B$16),(1+(Control!$B$16-360)*((0.95-1)/(720-360))),IF(AND(40&lt;=Control!$B$16,360&gt;Control!$B$16),(1.05+(Control!$B$16-40)*((1.05-1)/(360-40)))))))</f>
        <v>#N/A</v>
      </c>
      <c r="MG47" s="170">
        <f t="shared" ca="1" si="94"/>
        <v>0.71612369323045078</v>
      </c>
      <c r="MH47" s="170" t="e">
        <f t="shared" ca="1" si="232"/>
        <v>#N/A</v>
      </c>
      <c r="MI47" s="170" t="e">
        <f t="shared" ca="1" si="232"/>
        <v>#N/A</v>
      </c>
      <c r="MJ47" s="170" t="e">
        <f ca="1">MAX(0.0001, Control!$C$132*$MI47*$DL47)</f>
        <v>#N/A</v>
      </c>
      <c r="MK47" s="170">
        <f ca="1">1/(0.76+1.5*($MG47/10))-(5-Control!$C$110)*0.1</f>
        <v>1.002845988140797</v>
      </c>
      <c r="ML47" s="173">
        <f ca="1">IF(Control!$C$110&lt;3,$MK47+($MG47-0.6)/(Control!$C$110*(Control!$C$110+3)), MAX(0.1, MIN(0.95,$MK47)))</f>
        <v>0.95</v>
      </c>
      <c r="MM47" s="173">
        <f ca="1">IF(Control!$C$110&lt;3,$MK47+(($MI47/10)-0.6)/(Control!$C$110*(Control!$C$110+3)), MAX(0.1, MIN(0.95,$MK47)))</f>
        <v>0.95</v>
      </c>
      <c r="MN47" s="173">
        <f ca="1">(1-$MM47)*(Control!$C$128-Control!$C$127)+Control!$C$127</f>
        <v>0.16</v>
      </c>
      <c r="MO47" s="170" t="e">
        <f ca="1">MAX(0,MIN(1,($MS47-Control!$C$127)/($MN47-Control!$C$127)))</f>
        <v>#DIV/0!</v>
      </c>
      <c r="MP47" s="173" t="e">
        <f ca="1">1/(0.76+1.5*$MI47)-(5-Control!$C$110)*0.1</f>
        <v>#N/A</v>
      </c>
      <c r="MQ47" s="172" t="e">
        <f t="shared" ca="1" si="209"/>
        <v>#DIV/0!</v>
      </c>
      <c r="MR47" s="168" t="e">
        <f t="shared" ca="1" si="226"/>
        <v>#DIV/0!</v>
      </c>
      <c r="MS47" s="173" t="e">
        <f ca="1">MAX(Control!$C$127, MIN(Control!$C$135, $MR47/MAX(0.0001,$CY47)))</f>
        <v>#DIV/0!</v>
      </c>
      <c r="MT47" s="168" t="e">
        <f ca="1">(Control!$C$128-$MS47)*Control!$C$74</f>
        <v>#DIV/0!</v>
      </c>
      <c r="MU47" s="168" t="e">
        <f ca="1">(Control!$C$135-$MS47)*Control!$C$74</f>
        <v>#DIV/0!</v>
      </c>
      <c r="MV47" s="168" t="e">
        <f t="shared" ca="1" si="210"/>
        <v>#DIV/0!</v>
      </c>
      <c r="MW47" s="168" t="e">
        <f t="shared" ca="1" si="177"/>
        <v>#DIV/0!</v>
      </c>
      <c r="MX47" s="171" t="e">
        <f ca="1">MAX(Control!$C$127, MIN(Control!$C$135, $MW47/MAX(0.0001,Control!$C$119-$CY47)))</f>
        <v>#DIV/0!</v>
      </c>
      <c r="MY47" s="54" t="e">
        <f ca="1">IF(Control!$C$114=1, $CX47*$MX47, 0)</f>
        <v>#DIV/0!</v>
      </c>
      <c r="MZ47" s="54" t="e">
        <f t="shared" ca="1" si="178"/>
        <v>#N/A</v>
      </c>
      <c r="NA47" s="168" t="e">
        <f ca="1">(Control!$C$128-$MX47)*(Control!$C$119-Control!$C$74)</f>
        <v>#DIV/0!</v>
      </c>
      <c r="NB47" s="168" t="e">
        <f ca="1">(Control!$C$135-$MX47)*(Control!$C$119-Control!$C$74)</f>
        <v>#DIV/0!</v>
      </c>
      <c r="NC47" s="174" t="e">
        <f t="shared" ca="1" si="179"/>
        <v>#DIV/0!</v>
      </c>
      <c r="ND47" s="54">
        <f ca="1">IF(Control!$C$58=2, IF(OR(Control!$B$218=$AH47,Control!$B$219=$AH47, Control!$B$220=$AH47, Control!$B$221=$AH47, Control!$B$222=$AH47, Control!$B$223=$AH47, Control!$B$224=$AH47, Control!$B$225=$AH47, Control!$B$226=$AH47, Control!$B$227=$AH47, Control!$B$228=$AH47), 1, 0), 0)</f>
        <v>0</v>
      </c>
      <c r="NE47" s="54">
        <f ca="1">IF($ND47=0,0, VLOOKUP($AH47,Control!$B$218:$C$228,2))</f>
        <v>0</v>
      </c>
      <c r="NF47" s="168" t="e">
        <f ca="1">$CY47*(Control!$C$128-Control!$C$127)</f>
        <v>#N/A</v>
      </c>
      <c r="NG47" s="54" t="e">
        <f ca="1">IF(Control!$C$58=2, $NI46-$NJ46, 0)</f>
        <v>#DIV/0!</v>
      </c>
      <c r="NH47" s="54" t="e">
        <f ca="1">IF(AND(Control!$C$58=1, $MS46&lt;= ($MN46+0.02), $I46&lt;10), 0, IF(Control!$C$58=2, $NG46, 0))</f>
        <v>#DIV/0!</v>
      </c>
      <c r="NI47" s="54" t="e">
        <f ca="1">IF(Control!$C$58=2, $NE47+$NH47,0)</f>
        <v>#DIV/0!</v>
      </c>
      <c r="NJ47" s="54" t="e">
        <f ca="1">IF(AND(Control!$C$58=1, $MS47&lt;= ($MN47+0.02), $I47&lt;10), MAX(0, MIN(10, 0.7*($NF47-$MV47))), IF(Control!$C$58=2, MIN(10,$NI47),0))</f>
        <v>#DIV/0!</v>
      </c>
      <c r="NK47" s="54" t="e">
        <f t="shared" ca="1" si="96"/>
        <v>#DIV/0!</v>
      </c>
      <c r="NL47" s="173" t="e">
        <f ca="1">(1-Control!$C$73)*$I47+$NJ47</f>
        <v>#DIV/0!</v>
      </c>
      <c r="NM47" s="172" t="e">
        <f ca="1">IF($NL47&lt;0.5, $MB47* MAX(0, MIN(1, (SQRT($NC47)-SQRT($NC47-1))*Control!$C$71)),0)</f>
        <v>#DIV/0!</v>
      </c>
      <c r="NN47" s="170" t="e">
        <f ca="1">IF($NL47&gt;=5, $MB47, MAX(0,MIN($MB47, $NM47+$NL47,($MS47-Control!$C$129))))</f>
        <v>#DIV/0!</v>
      </c>
      <c r="NO47" s="54">
        <f>IF(Control!$C$133&lt;&gt;1, Control!$C$135-Control!$C$131, 0)</f>
        <v>0.38</v>
      </c>
      <c r="NP47" s="54" t="e">
        <f t="shared" ca="1" si="97"/>
        <v>#DIV/0!</v>
      </c>
      <c r="NQ47" s="173" t="e">
        <f ca="1">MAX(0,MIN(1,(Control!$C$135-$MS47)/(Control!$C$135-$NO47)))</f>
        <v>#DIV/0!</v>
      </c>
      <c r="NR47" s="170" t="e">
        <f ca="1">IF(Control!$C$133&lt;&gt;1, $NQ47+((1-$NP47/4)*(1-$NQ47)),1)</f>
        <v>#DIV/0!</v>
      </c>
      <c r="NS47" s="170" t="e">
        <f ca="1">IF(Control!$B$31=0,$MJ47,MAX(0,MIN($MV47,$MO47*$NR47*$MJ47)))</f>
        <v>#DIV/0!</v>
      </c>
      <c r="NT47" s="170" t="e">
        <f t="shared" ca="1" si="227"/>
        <v>#DIV/0!</v>
      </c>
      <c r="NU47" s="170" t="e">
        <f t="shared" ca="1" si="180"/>
        <v>#N/A</v>
      </c>
      <c r="NV47" s="170" t="e">
        <f t="shared" ca="1" si="98"/>
        <v>#N/A</v>
      </c>
      <c r="NW47" s="175" t="e">
        <f t="shared" ca="1" si="99"/>
        <v>#DIV/0!</v>
      </c>
      <c r="NX47" s="170" t="e">
        <f ca="1">MIN(Control!$C$72+$MU47, $NW47)</f>
        <v>#DIV/0!</v>
      </c>
      <c r="NY47" s="170" t="e">
        <f ca="1">IF($MT47&lt;=$NX47,MIN(Control!$C$72+$NB47,$NX47-$MT47),0)</f>
        <v>#DIV/0!</v>
      </c>
      <c r="NZ47" s="54" t="e">
        <f ca="1">IF(Control!$C$114=1,  $CX47*($MX47-Control!$C$127), 0)</f>
        <v>#DIV/0!</v>
      </c>
      <c r="OA47" s="170" t="e">
        <f t="shared" ca="1" si="181"/>
        <v>#DIV/0!</v>
      </c>
      <c r="OB47" s="170" t="e">
        <f ca="1">IF($NA47 &lt;=$NY47, MIN(Control!$C$72, $NY47-$NA47), 0)</f>
        <v>#DIV/0!</v>
      </c>
      <c r="OC47" s="168" t="e">
        <f t="shared" ca="1" si="100"/>
        <v>#DIV/0!</v>
      </c>
      <c r="OD47" s="168" t="e">
        <f t="shared" ca="1" si="182"/>
        <v>#DIV/0!</v>
      </c>
      <c r="OE47" s="170">
        <f ca="1">Control!$C$73*$I47</f>
        <v>0</v>
      </c>
      <c r="OF47" s="176" t="e">
        <f t="shared" ca="1" si="101"/>
        <v>#DIV/0!</v>
      </c>
      <c r="OG47" s="168" t="e">
        <f t="shared" ca="1" si="102"/>
        <v>#DIV/0!</v>
      </c>
      <c r="OH47" s="168" t="e">
        <f t="shared" ca="1" si="103"/>
        <v>#DIV/0!</v>
      </c>
      <c r="OI47" s="168" t="e">
        <f t="shared" ca="1" si="104"/>
        <v>#DIV/0!</v>
      </c>
      <c r="OJ47" s="168" t="e">
        <f t="shared" ca="1" si="105"/>
        <v>#DIV/0!</v>
      </c>
      <c r="OK47" s="204" t="e">
        <f t="shared" ca="1" si="183"/>
        <v>#DIV/0!</v>
      </c>
      <c r="OL47" s="177">
        <f>Control!$C$127</f>
        <v>0.15</v>
      </c>
      <c r="OM47" s="182" t="e">
        <f t="shared" ca="1" si="106"/>
        <v>#N/A</v>
      </c>
      <c r="ON47" s="177">
        <f>Control!$C$128</f>
        <v>0.35</v>
      </c>
      <c r="OO47" s="182" t="e">
        <f t="shared" ca="1" si="107"/>
        <v>#N/A</v>
      </c>
      <c r="OP47" s="138">
        <f t="shared" ca="1" si="184"/>
        <v>0</v>
      </c>
      <c r="OQ47" s="138" t="e">
        <f t="shared" ca="1" si="211"/>
        <v>#DIV/0!</v>
      </c>
      <c r="OR47" s="138" t="e">
        <f t="shared" ca="1" si="185"/>
        <v>#DIV/0!</v>
      </c>
      <c r="OS47" s="137" t="e">
        <f t="shared" ca="1" si="212"/>
        <v>#DIV/0!</v>
      </c>
      <c r="OT47" s="139" t="e">
        <f t="shared" ca="1" si="213"/>
        <v>#DIV/0!</v>
      </c>
      <c r="OU47" s="138" t="e">
        <f t="shared" ca="1" si="214"/>
        <v>#N/A</v>
      </c>
      <c r="OV47" s="138" t="e">
        <f t="shared" ca="1" si="215"/>
        <v>#DIV/0!</v>
      </c>
      <c r="OW47" s="138" t="e">
        <f t="shared" ca="1" si="186"/>
        <v>#DIV/0!</v>
      </c>
      <c r="OX47" s="138" t="e">
        <f t="shared" ca="1" si="187"/>
        <v>#DIV/0!</v>
      </c>
      <c r="OY47" s="138" t="e">
        <f t="shared" ca="1" si="188"/>
        <v>#DIV/0!</v>
      </c>
      <c r="OZ47" s="138" t="e">
        <f t="shared" ca="1" si="108"/>
        <v>#DIV/0!</v>
      </c>
      <c r="PA47" s="138" t="e">
        <f t="shared" ca="1" si="109"/>
        <v>#DIV/0!</v>
      </c>
      <c r="PB47" s="55">
        <f>IF(Control!$C$61="T", IF(Control!$C$65="F", IF($AH$6-Control!$C$60&lt;0,0,1), IF(365+$AH$6-Control!$C$60&lt;0,0,1)),0)</f>
        <v>0</v>
      </c>
      <c r="PC47" s="55">
        <f ca="1">IF(Control!$C$65="F", IF($AH$6-$HF47&lt;0,0,1), IF(365+$AH$6-$HF47&lt;0,0,1))</f>
        <v>1</v>
      </c>
      <c r="PD47" s="444">
        <f>Control!$C$118</f>
        <v>1500</v>
      </c>
      <c r="PE47" s="180" t="e">
        <f t="shared" ca="1" si="110"/>
        <v>#N/A</v>
      </c>
      <c r="PF47" s="445">
        <f t="shared" ca="1" si="189"/>
        <v>0.71612369323045078</v>
      </c>
      <c r="PT47" s="186"/>
      <c r="PU47" s="186"/>
      <c r="PV47" s="94"/>
      <c r="PW47" s="94"/>
      <c r="PX47" s="94"/>
      <c r="PY47" s="94"/>
      <c r="PZ47" s="94"/>
      <c r="QA47" s="94"/>
      <c r="QB47" s="94"/>
      <c r="QC47" s="94"/>
      <c r="QD47" s="94"/>
      <c r="QE47" s="94"/>
      <c r="QF47" s="94"/>
      <c r="QG47" s="94"/>
      <c r="QH47" s="94"/>
      <c r="QI47" s="94"/>
      <c r="QJ47" s="94"/>
      <c r="QK47" s="94"/>
      <c r="QL47" s="94"/>
      <c r="QM47" s="94"/>
      <c r="QN47" s="94"/>
      <c r="QO47" s="94"/>
      <c r="QP47" s="94"/>
    </row>
    <row r="48" spans="1:458" s="2" customFormat="1" x14ac:dyDescent="0.2">
      <c r="A48" s="395">
        <v>12</v>
      </c>
      <c r="B48" s="396">
        <v>2</v>
      </c>
      <c r="C48" s="387">
        <f ca="1">Weather_data!$B47</f>
        <v>0</v>
      </c>
      <c r="D48" s="388">
        <f ca="1">Weather_data!$F47</f>
        <v>0</v>
      </c>
      <c r="E48" s="388">
        <f ca="1">Weather_data!$E47</f>
        <v>0</v>
      </c>
      <c r="F48" s="388">
        <f t="shared" ca="1" si="111"/>
        <v>0</v>
      </c>
      <c r="G48" s="388">
        <f ca="1">AVERAGE($D48:$E48)+Control!$B$9</f>
        <v>0</v>
      </c>
      <c r="H48" s="388">
        <f ca="1">Weather_data!$G47</f>
        <v>0</v>
      </c>
      <c r="I48" s="388">
        <f ca="1">Weather_data!$I47</f>
        <v>0</v>
      </c>
      <c r="J48" s="388">
        <f ca="1">Weather_data!$H47</f>
        <v>0</v>
      </c>
      <c r="K48" s="389">
        <f ca="1">Weather_data!$D47</f>
        <v>0</v>
      </c>
      <c r="L48" s="388" t="e">
        <f t="shared" ca="1" si="112"/>
        <v>#N/A</v>
      </c>
      <c r="M48" s="388" t="e">
        <f t="shared" ca="1" si="0"/>
        <v>#N/A</v>
      </c>
      <c r="N48" s="388">
        <f t="shared" ca="1" si="1"/>
        <v>-5.9862575912810086E-3</v>
      </c>
      <c r="O48" s="388">
        <f t="shared" ca="1" si="113"/>
        <v>5.9862575912810086E-2</v>
      </c>
      <c r="P48" s="390">
        <v>3</v>
      </c>
      <c r="Q48" s="388">
        <f ca="1">MAX($G48-Control!$C$107,0)</f>
        <v>0</v>
      </c>
      <c r="R48" s="388">
        <f t="shared" ca="1" si="114"/>
        <v>0</v>
      </c>
      <c r="S48" s="388">
        <f t="shared" ca="1" si="2"/>
        <v>0</v>
      </c>
      <c r="T48" s="388">
        <f t="shared" ca="1" si="3"/>
        <v>0</v>
      </c>
      <c r="U48" s="59">
        <f t="shared" ca="1" si="4"/>
        <v>0</v>
      </c>
      <c r="V48" s="391">
        <f ca="1">MAX(0,MIN(Control!$C$100-Control!$C$99,$G48-Control!$C$99)*Control!$C$63)</f>
        <v>0</v>
      </c>
      <c r="W48" s="388">
        <f t="shared" ca="1" si="190"/>
        <v>0</v>
      </c>
      <c r="X48" s="388">
        <f t="shared" ca="1" si="115"/>
        <v>0.6110000000000001</v>
      </c>
      <c r="Y48" s="388">
        <f t="shared" ca="1" si="116"/>
        <v>0</v>
      </c>
      <c r="Z48" s="388">
        <f t="shared" ca="1" si="117"/>
        <v>0.61058800000000002</v>
      </c>
      <c r="AA48" s="388">
        <f t="shared" ca="1" si="5"/>
        <v>0.6018</v>
      </c>
      <c r="AB48" s="388">
        <f ca="1">101.3*EXP(-0.034*Control!$C$66/($G48+273))</f>
        <v>100.69623283836242</v>
      </c>
      <c r="AC48" s="392">
        <f t="shared" ca="1" si="6"/>
        <v>4.3460251046025113E-2</v>
      </c>
      <c r="AD48" s="392">
        <f t="shared" ca="1" si="7"/>
        <v>4.4450382862832649E-2</v>
      </c>
      <c r="AE48" s="388">
        <f t="shared" ca="1" si="8"/>
        <v>0</v>
      </c>
      <c r="AF48" s="388">
        <f ca="1">MAX(0,$G48-Control!$C$92)</f>
        <v>0</v>
      </c>
      <c r="AG48" s="393">
        <f t="shared" ca="1" si="118"/>
        <v>43</v>
      </c>
      <c r="AH48" s="389">
        <f t="shared" ca="1" si="9"/>
        <v>43</v>
      </c>
      <c r="AI48" s="388">
        <f t="shared" ca="1" si="119"/>
        <v>-0.24597203927053155</v>
      </c>
      <c r="AJ48" s="388">
        <f ca="1">IF(Control!$C$60&lt;=0,$HH48,$HI48)</f>
        <v>1</v>
      </c>
      <c r="AK48" s="388">
        <f t="shared" ca="1" si="10"/>
        <v>-0.63692563387847867</v>
      </c>
      <c r="AL48" s="388">
        <f t="shared" ca="1" si="11"/>
        <v>1.8038175120249632E-19</v>
      </c>
      <c r="AM48" s="388">
        <f t="shared" ca="1" si="12"/>
        <v>-0.63692563387847867</v>
      </c>
      <c r="AN48" s="388">
        <f t="shared" ca="1" si="13"/>
        <v>-0.23884675307485159</v>
      </c>
      <c r="AO48" s="388">
        <f ca="1">-0.10453/COS(Control!$B$8*PI()/180)*COS(AN48)</f>
        <v>-0.16496491959745865</v>
      </c>
      <c r="AP48" s="388">
        <f ca="1">ACOS(AO48-TAN(Control!$B$8*PI()/180)*TAN(AN48))</f>
        <v>1.4235709123661082</v>
      </c>
      <c r="AQ48" s="388">
        <f t="shared" ca="1" si="120"/>
        <v>0</v>
      </c>
      <c r="AR48" s="394">
        <f t="shared" ca="1" si="14"/>
        <v>0</v>
      </c>
      <c r="AS48" s="436">
        <f ca="1">IF(Control!$B$18=2,(IF(OR($AH48=Control!$B$175,$AH48=Control!$B$176,$AH48=Control!$B$177,$AH48=Control!$B$178,$AH48=Control!$B$179,$AH48=Control!$B$180,$AH48=Control!$B$181,$AH48=Control!$B$182,$AH48=Control!$B$183,$AH48=Control!$B$184,$AH48=Control!$B$185),1,0)),0)</f>
        <v>0</v>
      </c>
      <c r="AT48" s="436">
        <f>IF(Control!$B$20=8,IF(AND($AH48&gt;=Control!$B$172,$AH48&lt;=Control!$B$173),1,0),0)</f>
        <v>0</v>
      </c>
      <c r="AU48" s="436">
        <f>IF(Control!$B$20=8,IF($AV47=1,1*$AT48,IF($AT48=1,$AU47+1,$AU47)),0)</f>
        <v>0</v>
      </c>
      <c r="AV48" s="436">
        <f>IF(Control!$B$20=8,IF($AU48&gt;=Control!$B$174,1,0),0)</f>
        <v>0</v>
      </c>
      <c r="AW48" s="436">
        <f ca="1">IF(AND(Control!$B$18=2,Control!$B$171=1), $AV48, $AS48)</f>
        <v>0</v>
      </c>
      <c r="AX48" s="436" t="e">
        <f ca="1">IF(AND(Control!$B$18=1,$EU48&gt;=Control!$B$19),-$AY48,IF(AND(Control!$B$18=2,$AW48=1,$EU48&gt;$DS48),-$AY48, IF(Control!$C$108=0,0, IF(Control!$C$108&lt;&gt;0,1))))</f>
        <v>#N/A</v>
      </c>
      <c r="AY48" s="436" t="e">
        <f t="shared" ca="1" si="121"/>
        <v>#N/A</v>
      </c>
      <c r="AZ48" s="436" t="e">
        <f ca="1">IF(AND(Control!$B$18=1,$EB48&gt;Control!$B$19),$AZ47+1, IF(AND(Control!$B$18=2, $AW48=1, $EB48&gt;$DS48), $AZ47+1,$AZ47))</f>
        <v>#N/A</v>
      </c>
      <c r="BA48" s="587">
        <f>IF(Control!$C$81=0,1,IF($AH48&gt;=Control!$C$82,1,0))</f>
        <v>1</v>
      </c>
      <c r="BB48" s="140" t="e">
        <f ca="1">IF($BA48&gt;$BA47,Control!$C$83,IF($AW48&gt;0,$AW48*Control!$C$84,IF(AND(Control!$B$18=1,EN47&lt;&gt;0),Control!$C$84,0)))</f>
        <v>#N/A</v>
      </c>
      <c r="BC48" s="140" t="e">
        <f t="shared" ca="1" si="122"/>
        <v>#N/A</v>
      </c>
      <c r="BD48" s="140" t="e">
        <f ca="1">BC48*IF(OR($G48&lt;Control!$C$92,$G48&gt;Control!$C$95),0,IF(AND($G48&gt;=Control!$C$92,$G48&lt;=Control!$C$93),$G48-Control!$C$92,IF(AND($G48&gt;Control!$C$93,$G48&lt;=Control!$C$94),Control!$C$93-Control!$C$92,IF(AND($G48&gt;Control!$C$94,$G48&lt;=Control!$C$95),(Control!$C$93-Control!$C$92)*(Control!$C$94-$G48)/(Control!$C$95-Control!$C$94)))))</f>
        <v>#N/A</v>
      </c>
      <c r="BE48" s="140" t="e">
        <f t="shared" ca="1" si="123"/>
        <v>#N/A</v>
      </c>
      <c r="BF48" s="140" t="e">
        <f ca="1">IF($BE48&lt;=Control!$C$86,$BE48,Control!$C$86-$BE48)</f>
        <v>#N/A</v>
      </c>
      <c r="BG48" s="140" t="e">
        <f ca="1">IF(AND($AW48=1,Control!$C$84&lt;9),1,IF($BE48&gt;=Control!$C$86,0,$BC48))</f>
        <v>#N/A</v>
      </c>
      <c r="BH48" s="404" t="e">
        <f ca="1">IF($BG48=0,0,IF($BE48&lt;=Control!$C$86,$BC48*9*($BF48/Control!$C$86),0))</f>
        <v>#N/A</v>
      </c>
      <c r="BI48" s="140" t="e">
        <f ca="1">IF($BG48=1,0,IF($BE48&gt;=Control!$C$86,1,IF(AND($BB48&lt;21,$BB48&gt;=9),1,$BM47)))</f>
        <v>#N/A</v>
      </c>
      <c r="BJ48" s="140" t="e">
        <f ca="1">IF($BF48&lt;0,-$BF48,$BI48*IF(OR($G48&lt;Control!$C$92,$G48&gt;Control!$C$95),0,IF(AND($G48&gt;=Control!$C$92,$G48&lt;=Control!$C$93),$G48-Control!$C$92,IF(AND($G48&gt;Control!$C$93,$G48&lt;=Control!$C$94),Control!$C$93-Control!$C$92,IF(AND($G48&gt;Control!$C$94,$G48&lt;=Control!$C$95),(Control!$C$93-Control!$C$92)*(Control!$C$94-$G48)/(Control!$C$95-Control!$C$94))))))</f>
        <v>#N/A</v>
      </c>
      <c r="BK48" s="140" t="e">
        <f t="shared" ca="1" si="124"/>
        <v>#N/A</v>
      </c>
      <c r="BL48" s="140" t="e">
        <f ca="1">IF($BK48&lt;=Control!$C$87,$BK48,Control!$C$87-$BK48)</f>
        <v>#N/A</v>
      </c>
      <c r="BM48" s="140" t="e">
        <f ca="1">IF(AND($BB48&gt;=9,$BB48&lt;21),1,IF($BK48&gt;=Control!$C$87,0,$BI48))</f>
        <v>#N/A</v>
      </c>
      <c r="BN48" s="404" t="e">
        <f ca="1">IF($BM48=0,0,IF($BK48&lt;=Control!$C$87,$BI48*(9+(21-9)*($BL48/Control!$C$87)),0))</f>
        <v>#N/A</v>
      </c>
      <c r="BO48" s="140" t="e">
        <f ca="1">IF($BM48=1,0,IF($BK48&gt;=Control!$C$87,1,IF(AND($BB48&lt;30,$BB48&gt;=21),1,$BS47)))</f>
        <v>#N/A</v>
      </c>
      <c r="BP48" s="140" t="e">
        <f ca="1">IF($BL48&lt;0,-$BL48,$BO48*IF(OR($G48&lt;Control!$C$92,$G48&gt;Control!$C$95),0,IF(AND($G48&gt;=Control!$C$92,$G48&lt;=Control!$C$93),$G48-Control!$C$92,IF(AND($G48&gt;Control!$C$93,$G48&lt;=Control!$C$94),Control!$C$93-Control!$C$92,IF(AND($G48&gt;Control!$C$94,$G48&lt;=Control!$C$95),(Control!$C$93-Control!$C$92)*(Control!$C$94-$G48)/(Control!$C$95-Control!$C$94))))))</f>
        <v>#N/A</v>
      </c>
      <c r="BQ48" s="140" t="e">
        <f t="shared" ca="1" si="15"/>
        <v>#N/A</v>
      </c>
      <c r="BR48" s="140" t="e">
        <f ca="1">IF($BQ48&lt;=Control!$C$88,$BQ48,Control!$C$88-$BQ48)</f>
        <v>#N/A</v>
      </c>
      <c r="BS48" s="140" t="e">
        <f ca="1">IF(AND($BB48&gt;=21,$BB48&lt;30),1,IF($BQ48&gt;=Control!$C$88,0,$BO48))</f>
        <v>#N/A</v>
      </c>
      <c r="BT48" s="404" t="e">
        <f ca="1">IF($BS48=0,0,IF($BQ48&lt;=Control!$C$88,$BO48*(21+(30-21)*(BR48/Control!$C$88)),0))</f>
        <v>#N/A</v>
      </c>
      <c r="BU48" s="140" t="e">
        <f ca="1">IF(BG48+BM48+BS48=1,0,IF(OR(AND($BB48&lt;60,$BB48&gt;=30),$BQ48&gt;=Control!$C$88),1*$BA48,$BY47))</f>
        <v>#N/A</v>
      </c>
      <c r="BV48" s="140" t="e">
        <f ca="1">IF($BR48&lt;0,-$BR48,$BU48*IF(OR($G48&lt;Control!$C$92,$G48&gt;Control!$C$95),0,IF(AND($G48&gt;=Control!$C$92,$G48&lt;=Control!$C$93),$G48-Control!$C$92,IF(AND($G48&gt;Control!$C$93,$G48&lt;=Control!$C$94),Control!$C$93-Control!$C$92,IF(AND($G48&gt;Control!$C$94,$G48&lt;=Control!$C$95),(Control!$C$93-Control!$C$92)*(Control!$C$94-$G48)/(Control!$C$95-Control!$C$94))))))</f>
        <v>#N/A</v>
      </c>
      <c r="BW48" s="140" t="e">
        <f t="shared" ca="1" si="16"/>
        <v>#N/A</v>
      </c>
      <c r="BX48" s="140" t="e">
        <f ca="1">IF($BW48&lt;=Control!$C$89,$BW48,Control!$C$89-$BW48)</f>
        <v>#N/A</v>
      </c>
      <c r="BY48" s="140" t="e">
        <f ca="1">IF(AND($AJ48&gt;=30,$AJ48&lt;60),1,IF($BW48&gt;=Control!$C$89,0,$BU48))</f>
        <v>#N/A</v>
      </c>
      <c r="BZ48" s="404" t="e">
        <f ca="1">IF($BY48=0,0,IF($BW48&lt;=Control!$C$89,$BU48*(30+(60-30)*(BX48/Control!$C$89)),0))</f>
        <v>#N/A</v>
      </c>
      <c r="CA48" s="140" t="e">
        <f ca="1">IF($BG48+$BM48+$BS48+$BY48=1,0,IF(OR(AND($BB48&lt;65,$BB48&gt;=60),$BW48&gt;=Control!$C$89),1*$BA48,$CE47))</f>
        <v>#N/A</v>
      </c>
      <c r="CB48" s="140" t="e">
        <f ca="1">IF($BX48&lt;0,-$BX48,$CA48*IF(OR($G48&lt;Control!$C$92,$G48&gt;Control!$C$95),0,IF(AND($G48&gt;=Control!$C$92,$G48&lt;=Control!$C$93),$G48-Control!$C$92,IF(AND($G48&gt;Control!$C$93,$G48&lt;=Control!$C$94),Control!$C$93-Control!$C$92,IF(AND($G48&gt;Control!$C$94,$G48&lt;=Control!$C$95),(Control!$C$93-Control!$C$92)*(Control!$C$94-$G48)/(Control!$C$95-Control!$C$94))))))</f>
        <v>#N/A</v>
      </c>
      <c r="CC48" s="140" t="e">
        <f t="shared" ca="1" si="125"/>
        <v>#N/A</v>
      </c>
      <c r="CD48" s="140" t="e">
        <f ca="1">IF($CC48&lt;=Control!$C$90,$CC48,Control!$C$90-$CC48)</f>
        <v>#N/A</v>
      </c>
      <c r="CE48" s="140" t="e">
        <f ca="1">IF(AND($BB48&gt;=60,$BB48&lt;65),1,IF($CC48&gt;=Control!$C$90,0,$CA48))</f>
        <v>#N/A</v>
      </c>
      <c r="CF48" s="404" t="e">
        <f ca="1">IF($CE48=0,0,IF($CC48&lt;=Control!$C$90,$CA48*(60+(65-60)*(CD48/Control!$C$90)),0))</f>
        <v>#N/A</v>
      </c>
      <c r="CG48" s="140" t="e">
        <f ca="1">IF($BG48+$BM48+$BS48+$BY48+$CE48=1,0,IF(OR(AND($BB48&lt;90,$BB48&gt;=65),$CC48&gt;=Control!$C$90),$BA48,$CK47))</f>
        <v>#N/A</v>
      </c>
      <c r="CH48" s="140" t="e">
        <f ca="1">IF($CD48&lt;0,-$CD48,$CG48*IF(OR($G48&lt;Control!$C$92,$G48&gt;Control!$C$95),0,IF(AND($G48&gt;=Control!$C$92,$G48&lt;=Control!$C$93),$G48-Control!$C$92,IF(AND($G48&gt;Control!$C$93,$G48&lt;=Control!$C$94),Control!$C$93-Control!$C$92,IF(AND($G48&gt;Control!$C$94,$G48&lt;=Control!$C$95),(Control!$C$93-Control!$C$92)*(Control!$C$94-$G48)/(Control!$C$95-Control!$C$94))))))</f>
        <v>#N/A</v>
      </c>
      <c r="CI48" s="140" t="e">
        <f t="shared" ca="1" si="126"/>
        <v>#N/A</v>
      </c>
      <c r="CJ48" s="140" t="e">
        <f ca="1">IF($CI48&lt;=Control!$C$91,$CI48,Control!$C$91-$CI48)</f>
        <v>#N/A</v>
      </c>
      <c r="CK48" s="140" t="e">
        <f ca="1">IF(AND($BB48&gt;=65,$BB48&lt;90),1,IF($CI48&gt;=Control!$C$91,0,$CG48))</f>
        <v>#N/A</v>
      </c>
      <c r="CL48" s="404" t="e">
        <f ca="1">IF($CK48=0,0,IF($CI48&lt;=Control!$C$91,$CG48*(65+(90-65)*($CJ48/Control!$C$91)),0))</f>
        <v>#N/A</v>
      </c>
      <c r="CM48" s="140" t="e">
        <f ca="1">IF($BG48+$BM48+$BS48+$BY48+$CE48+$CK48=1,0,IF(OR($BB48&gt;=90,$CI48&gt;=Control!$C$91),$BA48,$CM47))</f>
        <v>#N/A</v>
      </c>
      <c r="CN48" s="140" t="e">
        <f t="shared" ca="1" si="127"/>
        <v>#N/A</v>
      </c>
      <c r="CO48" s="140" t="e">
        <f t="shared" ca="1" si="128"/>
        <v>#N/A</v>
      </c>
      <c r="CP48" s="140" t="e">
        <f t="shared" ca="1" si="129"/>
        <v>#N/A</v>
      </c>
      <c r="CQ48" s="141" t="e">
        <f ca="1">VLOOKUP($CP48,Control!$B$86:$G$91,6)</f>
        <v>#N/A</v>
      </c>
      <c r="CR48" s="141" t="e">
        <f ca="1">(1-$CQ48)*VLOOKUP($CP48,Control!$B$86:$D$91,3)</f>
        <v>#N/A</v>
      </c>
      <c r="CS48" s="141" t="e">
        <f ca="1">(1-$CQ48)*VLOOKUP($CP48,Control!$B$86:$E$91,4)</f>
        <v>#N/A</v>
      </c>
      <c r="CT48" s="141" t="e">
        <f ca="1">(1-$CQ48)*VLOOKUP($CP48,Control!$B$86:$F$91,5)</f>
        <v>#N/A</v>
      </c>
      <c r="CU48" s="141">
        <f t="shared" ca="1" si="130"/>
        <v>0</v>
      </c>
      <c r="CV48" s="583">
        <f t="shared" ca="1" si="131"/>
        <v>0</v>
      </c>
      <c r="CW48" s="142">
        <f t="shared" ca="1" si="132"/>
        <v>43</v>
      </c>
      <c r="CX48" s="612" t="e">
        <f ca="1">IF(Control!$C$114=1,(MIN(Control!$C$120*(IF($NT48-0.01&lt;0,0,1)),Control!$C$119-$CY48)))</f>
        <v>#DIV/0!</v>
      </c>
      <c r="CY48" s="143" t="e">
        <f t="shared" ca="1" si="133"/>
        <v>#N/A</v>
      </c>
      <c r="CZ48" s="144">
        <f t="shared" ca="1" si="17"/>
        <v>0</v>
      </c>
      <c r="DA48" s="144">
        <f t="shared" ca="1" si="18"/>
        <v>0</v>
      </c>
      <c r="DB48" s="144" t="e">
        <f t="shared" ca="1" si="19"/>
        <v>#N/A</v>
      </c>
      <c r="DC48" s="144" t="e">
        <f t="shared" ca="1" si="20"/>
        <v>#N/A</v>
      </c>
      <c r="DD48" s="144" t="e">
        <f t="shared" ca="1" si="216"/>
        <v>#N/A</v>
      </c>
      <c r="DE48" s="143" t="e">
        <f t="shared" ca="1" si="135"/>
        <v>#N/A</v>
      </c>
      <c r="DF48" s="145" t="e">
        <f ca="1">$DR48*EXP(-Control!$C$158*(1-$KH48))</f>
        <v>#N/A</v>
      </c>
      <c r="DG48" s="146" t="e">
        <f ca="1">IF(Control!$C$114=1, $DF48*$EY48, 0)</f>
        <v>#N/A</v>
      </c>
      <c r="DH48" s="147" t="e">
        <f t="shared" ca="1" si="136"/>
        <v>#N/A</v>
      </c>
      <c r="DI48" s="144" t="e">
        <f t="shared" ca="1" si="191"/>
        <v>#N/A</v>
      </c>
      <c r="DJ48" s="147" t="e">
        <f ca="1">$EF48*Control!$C$109</f>
        <v>#N/A</v>
      </c>
      <c r="DK48" s="144" t="e">
        <f t="shared" ca="1" si="137"/>
        <v>#N/A</v>
      </c>
      <c r="DL48" s="144" t="e">
        <f t="shared" ca="1" si="21"/>
        <v>#N/A</v>
      </c>
      <c r="DM48" s="144" t="e">
        <f ca="1">IF(Control!$C$114=1, (1-EXP(-Control!$C$96*$DK48))*$AR48, 0)</f>
        <v>#N/A</v>
      </c>
      <c r="DN48" s="144">
        <f t="shared" ca="1" si="138"/>
        <v>0</v>
      </c>
      <c r="DO48" s="148">
        <f>Control!$C$97</f>
        <v>4</v>
      </c>
      <c r="DP48" s="145" t="e">
        <f t="shared" ca="1" si="139"/>
        <v>#N/A</v>
      </c>
      <c r="DQ48" s="145" t="e">
        <f ca="1">IF(AND($CP48&gt;=0,$CP48&lt;=90),Control!$C$111,Control!$C$111)</f>
        <v>#N/A</v>
      </c>
      <c r="DR48" s="145" t="e">
        <f t="shared" ca="1" si="22"/>
        <v>#N/A</v>
      </c>
      <c r="DS48" s="143" t="e">
        <f ca="1">Control!$B$22/$DR48</f>
        <v>#N/A</v>
      </c>
      <c r="DT48" s="149" t="e">
        <f ca="1">IF(AND(Control!$C$114=1,$KH48&lt;1),$IM48*$DF48, 0)</f>
        <v>#N/A</v>
      </c>
      <c r="DU48" s="144" t="e">
        <f t="shared" ca="1" si="192"/>
        <v>#N/A</v>
      </c>
      <c r="DV48" s="144">
        <f ca="1">IF($G48-Control!$C$107&lt;=0, 0, 0.83*LN(MAX($G48, 3))-0.8924)</f>
        <v>0</v>
      </c>
      <c r="DW48" s="144" t="e">
        <f t="shared" ca="1" si="23"/>
        <v>#N/A</v>
      </c>
      <c r="DX48" s="150" t="e">
        <f ca="1">MAX(0.01*(1+$CU48/Control!$C$102),0.05*($DK48-Control!$C$97)/Control!$C$97)</f>
        <v>#N/A</v>
      </c>
      <c r="DY48" s="151" t="e">
        <f ca="1">IF(Control!$C$114=1, $DI48*$FS48, 0)</f>
        <v>#N/A</v>
      </c>
      <c r="DZ48" s="196" t="e">
        <f t="shared" ca="1" si="140"/>
        <v>#N/A</v>
      </c>
      <c r="EA48" s="152">
        <f t="shared" ca="1" si="141"/>
        <v>43</v>
      </c>
      <c r="EB48" s="153" t="e">
        <f t="shared" ca="1" si="217"/>
        <v>#N/A</v>
      </c>
      <c r="EC48" s="153" t="e">
        <f t="shared" ca="1" si="142"/>
        <v>#N/A</v>
      </c>
      <c r="ED48" s="154" t="e">
        <f ca="1">IF(Control!$C$114=1, $HM48*$FY48-$FD48, 0)</f>
        <v>#DIV/0!</v>
      </c>
      <c r="EE48" s="155" t="e">
        <f ca="1">IF(Control!$C$114=1, $HM48*$FZ48-$FF48, 0)</f>
        <v>#DIV/0!</v>
      </c>
      <c r="EF48" s="153" t="e">
        <f t="shared" ca="1" si="193"/>
        <v>#N/A</v>
      </c>
      <c r="EG48" s="155" t="e">
        <f ca="1">IF(Control!$C$114=1, $GX48*$FW48-$FI48, 0)</f>
        <v>#DIV/0!</v>
      </c>
      <c r="EH48" s="153" t="e">
        <f t="shared" ca="1" si="143"/>
        <v>#N/A</v>
      </c>
      <c r="EI48" s="156" t="e">
        <f t="shared" ca="1" si="144"/>
        <v>#N/A</v>
      </c>
      <c r="EJ48" s="155" t="e">
        <f ca="1">IF(Control!$C$114=1, $HM48*$GB48, 0)</f>
        <v>#DIV/0!</v>
      </c>
      <c r="EK48" s="153" t="e">
        <f t="shared" ca="1" si="194"/>
        <v>#N/A</v>
      </c>
      <c r="EL48" s="153" t="e">
        <f t="shared" ca="1" si="24"/>
        <v>#N/A</v>
      </c>
      <c r="EM48" s="153" t="e">
        <f t="shared" ca="1" si="25"/>
        <v>#N/A</v>
      </c>
      <c r="EN48" s="153" t="e">
        <f ca="1">IF(Control!$C$108=1,IF(AND(Control!$B$18=1,$EB48&gt;=Control!$B$19),$EB48-$DS48,IF(AND(Control!$B$18=2,$AW48=1,$EB48&gt;$DS48),$EB48-$DS48,0)))</f>
        <v>#N/A</v>
      </c>
      <c r="EO48" s="153" t="e">
        <f ca="1">IF(Control!$C$108=1,IF(AND(Control!$B$18=1,$EB48&gt;=Control!$B$19),$EF48,IF(AND(Control!$B$18=2,$AW48=1),$EF48,0)))</f>
        <v>#N/A</v>
      </c>
      <c r="EP48" s="153" t="e">
        <f ca="1">IF(Control!$C$108=1,IF(AND(Control!$B$18=1,$EB48&gt;=Control!$B$19),$EK48,IF(AND(Control!$B$18=2,$AW48=1),$EK48,0)))</f>
        <v>#N/A</v>
      </c>
      <c r="EQ48" s="153" t="e">
        <f t="shared" ca="1" si="145"/>
        <v>#N/A</v>
      </c>
      <c r="ER48" s="153" t="e">
        <f t="shared" ca="1" si="231"/>
        <v>#N/A</v>
      </c>
      <c r="ES48" s="153" t="e">
        <f t="shared" ca="1" si="196"/>
        <v>#N/A</v>
      </c>
      <c r="ET48" s="153" t="e">
        <f t="shared" ca="1" si="197"/>
        <v>#N/A</v>
      </c>
      <c r="EU48" s="153" t="e">
        <f t="shared" ca="1" si="198"/>
        <v>#N/A</v>
      </c>
      <c r="EV48" s="153" t="e">
        <f t="shared" ca="1" si="146"/>
        <v>#N/A</v>
      </c>
      <c r="EW48" s="153" t="e">
        <f t="shared" ca="1" si="218"/>
        <v>#N/A</v>
      </c>
      <c r="EX48" s="153" t="e">
        <f t="shared" ca="1" si="26"/>
        <v>#N/A</v>
      </c>
      <c r="EY48" s="157" t="e">
        <f t="shared" ca="1" si="147"/>
        <v>#DIV/0!</v>
      </c>
      <c r="EZ48" s="154" t="e">
        <f t="shared" ca="1" si="27"/>
        <v>#DIV/0!</v>
      </c>
      <c r="FA48" s="153" t="e">
        <f t="shared" ca="1" si="199"/>
        <v>#N/A</v>
      </c>
      <c r="FB48" s="153" t="e">
        <f t="shared" ca="1" si="28"/>
        <v>#N/A</v>
      </c>
      <c r="FC48" s="193" t="e">
        <f t="shared" ca="1" si="29"/>
        <v>#N/A</v>
      </c>
      <c r="FD48" s="158" t="e">
        <f t="shared" ca="1" si="200"/>
        <v>#N/A</v>
      </c>
      <c r="FE48" s="158" t="e">
        <f t="shared" ca="1" si="148"/>
        <v>#N/A</v>
      </c>
      <c r="FF48" s="159" t="e">
        <f t="shared" ca="1" si="30"/>
        <v>#N/A</v>
      </c>
      <c r="FG48" s="160" t="e">
        <f t="shared" ca="1" si="149"/>
        <v>#N/A</v>
      </c>
      <c r="FH48" s="158" t="e">
        <f t="shared" ca="1" si="150"/>
        <v>#N/A</v>
      </c>
      <c r="FI48" s="159" t="e">
        <f t="shared" ca="1" si="31"/>
        <v>#N/A</v>
      </c>
      <c r="FJ48" s="160" t="e">
        <f t="shared" ca="1" si="151"/>
        <v>#N/A</v>
      </c>
      <c r="FK48" s="160" t="e">
        <f t="shared" ca="1" si="32"/>
        <v>#N/A</v>
      </c>
      <c r="FL48" s="160" t="e">
        <f t="shared" ca="1" si="229"/>
        <v>#N/A</v>
      </c>
      <c r="FM48" s="160" t="e">
        <f t="shared" ca="1" si="33"/>
        <v>#N/A</v>
      </c>
      <c r="FN48" s="158">
        <f t="shared" ca="1" si="219"/>
        <v>0.01</v>
      </c>
      <c r="FO48" s="160">
        <f>Control!$C$101</f>
        <v>50</v>
      </c>
      <c r="FP48" s="150" t="e">
        <f t="shared" ca="1" si="34"/>
        <v>#N/A</v>
      </c>
      <c r="FQ48" s="150" t="e">
        <f ca="1">MAX(0,(Control!$C$112*(($DK48-Control!$C$97)/Control!$C$97)))</f>
        <v>#N/A</v>
      </c>
      <c r="FR48" s="150" t="e">
        <f ca="1">(1-$NT48)*Control!$C$113</f>
        <v>#DIV/0!</v>
      </c>
      <c r="FS48" s="198" t="e">
        <f t="shared" ca="1" si="35"/>
        <v>#N/A</v>
      </c>
      <c r="FT48" s="161">
        <f t="shared" ca="1" si="152"/>
        <v>43</v>
      </c>
      <c r="FU48" s="162" t="e">
        <f ca="1">IF(Control!$B$34=1,VLOOKUP($CP48,Control!$B$86:$G$91,6),Control!$B$35)</f>
        <v>#N/A</v>
      </c>
      <c r="FV48" s="162" t="e">
        <f t="shared" ca="1" si="36"/>
        <v>#DIV/0!</v>
      </c>
      <c r="FW48" s="162" t="e">
        <f ca="1">IF(Control!$B$31=1,$FU48*$FV48,  $FU48)</f>
        <v>#N/A</v>
      </c>
      <c r="FX48" s="162" t="e">
        <f ca="1">IF(Control!$B$34=1,VLOOKUP($CP48,Control!$B$86:$G$91,3),Control!$B$36)</f>
        <v>#N/A</v>
      </c>
      <c r="FY48" s="162" t="e">
        <f t="shared" ca="1" si="37"/>
        <v>#N/A</v>
      </c>
      <c r="FZ48" s="162" t="e">
        <f ca="1">IF(Control!$B$34=1,VLOOKUP($CP48,Control!$B$86:$G$91,4),Control!$B$37)</f>
        <v>#N/A</v>
      </c>
      <c r="GA48" s="162" t="e">
        <f t="shared" ca="1" si="38"/>
        <v>#N/A</v>
      </c>
      <c r="GB48" s="162" t="e">
        <f ca="1">IF(Control!$B$34=1,VLOOKUP($CP48,Control!$B$86:$G$91,5),Control!$B$38)</f>
        <v>#N/A</v>
      </c>
      <c r="GC48" s="162" t="e">
        <f t="shared" ca="1" si="153"/>
        <v>#N/A</v>
      </c>
      <c r="GD48" s="162">
        <f t="shared" ca="1" si="39"/>
        <v>1</v>
      </c>
      <c r="GE48" s="162">
        <f t="shared" ca="1" si="40"/>
        <v>1</v>
      </c>
      <c r="GF48" s="162">
        <f ca="1">IF(AND(Control!$C$104=1, Control!$C$62="F"),$GE48,1)</f>
        <v>1</v>
      </c>
      <c r="GG48" s="162" t="e">
        <f ca="1">IF(Control!$B$16=40,0,IF(AND(Control!$B$16&gt;40,Control!$B$16&lt;=360),(Control!$B$16-40)*((1-0)/(360-40)),IF(AND(Control!$B$16&gt;360,Control!$B$16&lt;=720),(1+(Control!$B$16-360)*((1.25-1)/(720-360))),IF(AND(Control!$B$16&gt;720,Control!$B$16&lt;=1000),(1.25+(Control!$B$16-720)*((1.35-1.25)/(1000-720))),IF(AND(Control!$B$16&gt;1000,Control!$B$16&lt;=2000),(1.35+(Control!$B$16-1000)*0))))))</f>
        <v>#N/A</v>
      </c>
      <c r="GH48" s="162" t="e">
        <f t="shared" ca="1" si="41"/>
        <v>#N/A</v>
      </c>
      <c r="GI48" s="162">
        <f t="shared" ca="1" si="201"/>
        <v>0</v>
      </c>
      <c r="GJ48" s="162">
        <f t="shared" ca="1" si="42"/>
        <v>0</v>
      </c>
      <c r="GK48" s="162">
        <f t="shared" ca="1" si="220"/>
        <v>1</v>
      </c>
      <c r="GL48" s="162">
        <f t="shared" ca="1" si="43"/>
        <v>1</v>
      </c>
      <c r="GM48" s="162" t="e">
        <f ca="1">MAX(0,MIN(1,1-Control!$C$156*(1.0001-$KH48)^2))</f>
        <v>#N/A</v>
      </c>
      <c r="GN48" s="162" t="e">
        <f ca="1">IF(Control!$B$26=1,$KU48,$KX48)</f>
        <v>#N/A</v>
      </c>
      <c r="GO48" s="162" t="e">
        <f ca="1">IF($CP48&lt;=60,Control!$C$105,IF($CP48&gt;=90,Control!$C$106,Control!$C$105+($CP48-60)*((Control!$C$106-Control!$C$105)/(90-60))))</f>
        <v>#N/A</v>
      </c>
      <c r="GP48" s="162" t="e">
        <f t="shared" ca="1" si="154"/>
        <v>#N/A</v>
      </c>
      <c r="GQ48" s="162" t="e">
        <f t="shared" ca="1" si="155"/>
        <v>#N/A</v>
      </c>
      <c r="GR48" s="163" t="e">
        <f t="shared" ca="1" si="44"/>
        <v>#DIV/0!</v>
      </c>
      <c r="GS48" s="162" t="e">
        <f t="shared" ca="1" si="45"/>
        <v>#DIV/0!</v>
      </c>
      <c r="GT48" s="164" t="e">
        <f t="shared" ca="1" si="156"/>
        <v>#N/A</v>
      </c>
      <c r="GU48" s="162" t="e">
        <f t="shared" ca="1" si="157"/>
        <v>#N/A</v>
      </c>
      <c r="GV48" s="162" t="e">
        <f t="shared" ca="1" si="46"/>
        <v>#N/A</v>
      </c>
      <c r="GW48" s="162" t="e">
        <f t="shared" ca="1" si="221"/>
        <v>#DIV/0!</v>
      </c>
      <c r="GX48" s="162" t="e">
        <f t="shared" ca="1" si="228"/>
        <v>#DIV/0!</v>
      </c>
      <c r="GY48" s="162" t="e">
        <f t="shared" ca="1" si="158"/>
        <v>#DIV/0!</v>
      </c>
      <c r="GZ48" s="165" t="e">
        <f t="shared" ca="1" si="159"/>
        <v>#N/A</v>
      </c>
      <c r="HA48" s="162" t="e">
        <f ca="1">IF(Control!$C$114=1, $DI48*$FS48, 0)</f>
        <v>#N/A</v>
      </c>
      <c r="HB48" s="162" t="e">
        <f ca="1">$FA48/Control!$C$64</f>
        <v>#N/A</v>
      </c>
      <c r="HC48" s="162" t="e">
        <f t="shared" ca="1" si="222"/>
        <v>#DIV/0!</v>
      </c>
      <c r="HD48" s="162">
        <f ca="1">-ASIN(SIN(23.45*Control!$C$139)*COS(2*Control!$C$138*($AH48+10)/365))</f>
        <v>-0.24597203927053155</v>
      </c>
      <c r="HE48" s="165">
        <f t="shared" ca="1" si="160"/>
        <v>0</v>
      </c>
      <c r="HF48" s="166">
        <f ca="1">IF(AND(Control!$C$61="T",$HE48&gt;=Control!$C$103,Control!$C$114=0),$AH48,Control!$C$59)</f>
        <v>1</v>
      </c>
      <c r="HG48" s="166">
        <f ca="1">IF(AND(Control!$C$61="T",$HE48&gt;=Control!$C$103,Control!$C$114=0),$HF48,Control!$C$59)</f>
        <v>1</v>
      </c>
      <c r="HH48" s="165">
        <f ca="1">IF(AND(OR(Control!$C$60&lt;=0, $AH48= Control!$C$59, Control!$C$60 &gt;0, $AH48 = Control!$C$60)), Control!$C$59, IF(Control!$C$60&gt;0, 0))</f>
        <v>1</v>
      </c>
      <c r="HI48" s="165">
        <f ca="1">IF(AND(OR(Control!$C$60&lt;=0, $AH48= Control!$C$59, Control!$C$60 &gt;0, $AH48 = Control!$C$60)), Control!$C$60, IF(Control!$C$60&lt;=0, 0))</f>
        <v>0</v>
      </c>
      <c r="HJ48" s="166">
        <f ca="1">IF(AND(Control!$C$62="F",$CV48&gt;=Control!$C$102),$AH48,0)</f>
        <v>0</v>
      </c>
      <c r="HK48" s="165" t="e">
        <f t="shared" ca="1" si="202"/>
        <v>#N/A</v>
      </c>
      <c r="HL48" s="166">
        <f ca="1">IF(AND(Control!$C$61="T",$HE48&gt;=Control!$C$103,Control!$C$114=0),$HF48,0)</f>
        <v>0</v>
      </c>
      <c r="HM48" s="201" t="e">
        <f t="shared" ca="1" si="47"/>
        <v>#DIV/0!</v>
      </c>
      <c r="HN48" s="215">
        <f t="shared" ca="1" si="161"/>
        <v>43</v>
      </c>
      <c r="HO48" s="216" t="e">
        <f ca="1">IF(AND($CP48&gt;=0, $CP48&lt;=90), Control!$C$152, Control!$C$152)</f>
        <v>#N/A</v>
      </c>
      <c r="HP48" s="216" t="e">
        <f t="shared" ca="1" si="48"/>
        <v>#N/A</v>
      </c>
      <c r="HQ48" s="217" t="e">
        <f ca="1">IF(OR(Control!$B$26=1,Control!$B$26=2),$KV48,$KS48)</f>
        <v>#DIV/0!</v>
      </c>
      <c r="HR48" s="218" t="e">
        <f t="shared" ca="1" si="223"/>
        <v>#DIV/0!</v>
      </c>
      <c r="HS48" s="216" t="e">
        <f ca="1">Control!$C$154*$HP48</f>
        <v>#N/A</v>
      </c>
      <c r="HT48" s="216" t="e">
        <f ca="1">Control!$C$155*$HP48</f>
        <v>#N/A</v>
      </c>
      <c r="HU48" s="217" t="e">
        <f ca="1">Control!$C$161*$FI48</f>
        <v>#N/A</v>
      </c>
      <c r="HV48" s="218" t="e">
        <f t="shared" ca="1" si="162"/>
        <v>#N/A</v>
      </c>
      <c r="HW48" s="218" t="e">
        <f ca="1">Control!$C$160*$FF48+$IP48*$EO48</f>
        <v>#N/A</v>
      </c>
      <c r="HX48" s="218" t="e">
        <f t="shared" ca="1" si="203"/>
        <v>#N/A</v>
      </c>
      <c r="HY48" s="219" t="e">
        <f ca="1">IF(Control!$C$114=1, $EB48*$FS48, 0)</f>
        <v>#N/A</v>
      </c>
      <c r="HZ48" s="91" t="e">
        <f t="shared" ca="1" si="49"/>
        <v>#N/A</v>
      </c>
      <c r="IA48" s="220" t="e">
        <f ca="1">Control!$C$153*$HO48</f>
        <v>#N/A</v>
      </c>
      <c r="IB48" s="218" t="e">
        <f t="shared" ca="1" si="50"/>
        <v>#N/A</v>
      </c>
      <c r="IC48" s="220" t="e">
        <f ca="1">Control!$C$153*$HT48</f>
        <v>#N/A</v>
      </c>
      <c r="ID48" s="218" t="e">
        <f t="shared" ca="1" si="51"/>
        <v>#N/A</v>
      </c>
      <c r="IE48" s="221" t="e">
        <f ca="1">($EB48*Control!$C$159+$EF48*Control!$C$160)/(IF($GZ48&lt;&gt;0,$GZ48,1))</f>
        <v>#N/A</v>
      </c>
      <c r="IF48" s="216" t="e">
        <f t="shared" ca="1" si="52"/>
        <v>#N/A</v>
      </c>
      <c r="IG48" s="91">
        <f ca="1">IF(OR(Control!$B$198=$AH48,Control!$B$199=$AH48, Control!$B$200=$AH48, Control!$B$201=$AH48, Control!$B$202=$AH48, Control!$B$203=$AH48, Control!$B$204=$AH48, Control!$B$205=$AH48, Control!$B$206=$AH48, Control!$B$207=$AH48), 1, 0)</f>
        <v>0</v>
      </c>
      <c r="IH48" s="91">
        <f ca="1">IF($IG48=0,0, VLOOKUP($AH48,Control!$B$198:$C$207,2))</f>
        <v>0</v>
      </c>
      <c r="II48" s="222">
        <f t="shared" ca="1" si="163"/>
        <v>0</v>
      </c>
      <c r="IJ48" s="91">
        <f>Control!$C$121</f>
        <v>0.7</v>
      </c>
      <c r="IK48" s="218">
        <f t="shared" ca="1" si="53"/>
        <v>0</v>
      </c>
      <c r="IL48" s="217" t="e">
        <f t="shared" ca="1" si="204"/>
        <v>#N/A</v>
      </c>
      <c r="IM48" s="223" t="e">
        <f ca="1">IF(AND(Control!$C$114=1,$KH48&lt;1),$EB48*Control!$C$148*(1-$KH48), 0)</f>
        <v>#N/A</v>
      </c>
      <c r="IN48" s="217" t="e">
        <f t="shared" ca="1" si="54"/>
        <v>#DIV/0!</v>
      </c>
      <c r="IO48" s="91" t="e">
        <f ca="1">MAX(0,$IL48-$EF48*Control!$C$160)</f>
        <v>#N/A</v>
      </c>
      <c r="IP48" s="220" t="e">
        <f t="shared" ca="1" si="55"/>
        <v>#N/A</v>
      </c>
      <c r="IQ48" s="217" t="e">
        <f t="shared" ca="1" si="164"/>
        <v>#N/A</v>
      </c>
      <c r="IR48" s="218" t="e">
        <f t="shared" ca="1" si="56"/>
        <v>#N/A</v>
      </c>
      <c r="IS48" s="217" t="e">
        <f ca="1">Control!$C$159*MAX(0,$FD48-$EN48)</f>
        <v>#N/A</v>
      </c>
      <c r="IT48" s="217" t="e">
        <f t="shared" ca="1" si="205"/>
        <v>#N/A</v>
      </c>
      <c r="IU48" s="217" t="e">
        <f t="shared" ca="1" si="165"/>
        <v>#N/A</v>
      </c>
      <c r="IV48" s="217" t="e">
        <f t="shared" ca="1" si="206"/>
        <v>#N/A</v>
      </c>
      <c r="IW48" s="217" t="e">
        <f ca="1">IF(OR($AW48=1,AND($AW48=0, Control!$B$18=1,$EN48&lt;&gt;0)), $IQ48-$IU48, $IQ48)</f>
        <v>#N/A</v>
      </c>
      <c r="IX48" s="218" t="e">
        <f t="shared" ca="1" si="57"/>
        <v>#N/A</v>
      </c>
      <c r="IY48" s="218" t="e">
        <f ca="1">MAX(0,$IQ48-$EB48*Control!$C$159)</f>
        <v>#N/A</v>
      </c>
      <c r="IZ48" s="218" t="e">
        <f t="shared" ca="1" si="58"/>
        <v>#N/A</v>
      </c>
      <c r="JA48" s="216" t="e">
        <f t="shared" ca="1" si="59"/>
        <v>#N/A</v>
      </c>
      <c r="JB48" s="217" t="e">
        <f t="shared" ca="1" si="60"/>
        <v>#N/A</v>
      </c>
      <c r="JC48" s="222" t="e">
        <f ca="1">MAX(Control!$C$157*$EK48-$JT48, 0)/Control!$C$162</f>
        <v>#N/A</v>
      </c>
      <c r="JD48" s="218" t="e">
        <f t="shared" ca="1" si="61"/>
        <v>#N/A</v>
      </c>
      <c r="JE48" s="218" t="e">
        <f t="shared" ca="1" si="62"/>
        <v>#N/A</v>
      </c>
      <c r="JF48" s="218" t="e">
        <f t="shared" ca="1" si="207"/>
        <v>#N/A</v>
      </c>
      <c r="JG48" s="218" t="e">
        <f t="shared" ca="1" si="63"/>
        <v>#N/A</v>
      </c>
      <c r="JH48" s="217" t="e">
        <f t="shared" ca="1" si="166"/>
        <v>#N/A</v>
      </c>
      <c r="JI48" s="217" t="e">
        <f t="shared" ca="1" si="167"/>
        <v>#N/A</v>
      </c>
      <c r="JJ48" s="217" t="e">
        <f t="shared" ca="1" si="224"/>
        <v>#N/A</v>
      </c>
      <c r="JK48" s="217" t="e">
        <f ca="1">IF(Control!$C$114=1,IF(Control!$B$24=0,MAX(0,$JI48)*$GN48/Control!$C$64,(MAX(0,MIN($JI48,$JJ48*$GN48/Control!$C$64),0))))</f>
        <v>#N/A</v>
      </c>
      <c r="JL48" s="217" t="e">
        <f ca="1">$IK48/Control!$C$64-$JK48+$HQ48</f>
        <v>#N/A</v>
      </c>
      <c r="JM48" s="217" t="e">
        <f ca="1">IF(Control!$C$114=1,($JB48/(IF($JI48&lt;&gt;0,$JI48,1)))*$JK48,0)</f>
        <v>#N/A</v>
      </c>
      <c r="JN48" s="217" t="e">
        <f ca="1">IF(Control!$C$114=1,($JG48/(IF($JI48&lt;&gt;0,$JI48,1)))*$JK48, 0)</f>
        <v>#N/A</v>
      </c>
      <c r="JO48" s="218" t="e">
        <f t="shared" ca="1" si="64"/>
        <v>#N/A</v>
      </c>
      <c r="JP48" s="218" t="e">
        <f ca="1">MIN(($IY48+$IO48)*Control!$C$151, $JF48-$EH48*Control!$C$161)</f>
        <v>#N/A</v>
      </c>
      <c r="JQ48" s="218" t="e">
        <f t="shared" ca="1" si="65"/>
        <v>#N/A</v>
      </c>
      <c r="JR48" s="217" t="e">
        <f ca="1">IF($CP48-Control!$C$150&lt;0, 0, $JQ48/Control!$C$162)</f>
        <v>#N/A</v>
      </c>
      <c r="JS48" s="218" t="e">
        <f t="shared" ca="1" si="66"/>
        <v>#N/A</v>
      </c>
      <c r="JT48" s="218" t="e">
        <f t="shared" ca="1" si="168"/>
        <v>#N/A</v>
      </c>
      <c r="JU48" s="218" t="e">
        <f t="shared" ca="1" si="67"/>
        <v>#N/A</v>
      </c>
      <c r="JV48" s="218" t="e">
        <f t="shared" ca="1" si="68"/>
        <v>#N/A</v>
      </c>
      <c r="JW48" s="216" t="e">
        <f t="shared" ca="1" si="69"/>
        <v>#N/A</v>
      </c>
      <c r="JX48" s="91" t="e">
        <f t="shared" ca="1" si="70"/>
        <v>#N/A</v>
      </c>
      <c r="JY48" s="218" t="e">
        <f t="shared" ca="1" si="71"/>
        <v>#N/A</v>
      </c>
      <c r="JZ48" s="217" t="e">
        <f ca="1">IF(Control!$C$114=1,($IZ48/(IF($JI48&lt;&gt;0,$JI48,1)))*$JK48, 0)</f>
        <v>#N/A</v>
      </c>
      <c r="KA48" s="218" t="e">
        <f t="shared" ca="1" si="225"/>
        <v>#N/A</v>
      </c>
      <c r="KB48" s="218" t="e">
        <f t="shared" ca="1" si="169"/>
        <v>#N/A</v>
      </c>
      <c r="KC48" s="218" t="e">
        <f t="shared" ca="1" si="72"/>
        <v>#N/A</v>
      </c>
      <c r="KD48" s="218" t="e">
        <f t="shared" ca="1" si="73"/>
        <v>#N/A</v>
      </c>
      <c r="KE48" s="218" t="e">
        <f t="shared" ca="1" si="74"/>
        <v>#N/A</v>
      </c>
      <c r="KF48" s="218" t="e">
        <f t="shared" ca="1" si="75"/>
        <v>#N/A</v>
      </c>
      <c r="KG48" s="216" t="e">
        <f t="shared" ca="1" si="76"/>
        <v>#N/A</v>
      </c>
      <c r="KH48" s="221" t="e">
        <f ca="1">IF(Control!$B$24=0,1,MAX(0.001,MIN(1,IF(($IF48-$IE48)&lt;&gt;0,($KG48-$IE48)/($IF48-$IE48),1))))</f>
        <v>#N/A</v>
      </c>
      <c r="KI48" s="222" t="e">
        <f ca="1">IF(Control!$C$114=1, $KI47+ $KH47, 0)</f>
        <v>#N/A</v>
      </c>
      <c r="KJ48" s="217" t="e">
        <f t="shared" ca="1" si="77"/>
        <v>#N/A</v>
      </c>
      <c r="KK48" s="218" t="e">
        <f t="shared" ca="1" si="78"/>
        <v>#N/A</v>
      </c>
      <c r="KL48" s="274" t="e">
        <f ca="1">IF(Control!$B$26=3,4000000000*EXP(-8400/($G48+273)),IF(Control!$B$26=4,4000000000*EXP(-8400/($G48+273))*($KT48),0))</f>
        <v>#DIV/0!</v>
      </c>
      <c r="KM48" s="274" t="e">
        <f ca="1">IF(Control!$B$26=3,5600000000000*EXP(-9800/($G48+273)),IF(Control!$B$26=4,5600000000000*EXP(-9800/($G48+273))*$KT48,0))</f>
        <v>#DIV/0!</v>
      </c>
      <c r="KN48" s="454" t="e">
        <f t="shared" ca="1" si="170"/>
        <v>#DIV/0!</v>
      </c>
      <c r="KO48" s="274" t="e">
        <f t="shared" ca="1" si="171"/>
        <v>#DIV/0!</v>
      </c>
      <c r="KP48" s="454" t="e">
        <f t="shared" ca="1" si="79"/>
        <v>#DIV/0!</v>
      </c>
      <c r="KQ48" s="454" t="e">
        <f t="shared" ca="1" si="80"/>
        <v>#DIV/0!</v>
      </c>
      <c r="KR48" s="454" t="e">
        <f t="shared" ca="1" si="81"/>
        <v>#DIV/0!</v>
      </c>
      <c r="KS48" s="454" t="e">
        <f t="shared" ca="1" si="82"/>
        <v>#DIV/0!</v>
      </c>
      <c r="KT48" s="455" t="e">
        <f t="shared" ca="1" si="83"/>
        <v>#DIV/0!</v>
      </c>
      <c r="KU48" s="456" t="e">
        <f ca="1">IF($CP48-Control!$C$149&lt;0, IF($NT48-0.01&lt;0,0,1),0)</f>
        <v>#N/A</v>
      </c>
      <c r="KV48" s="456" t="e">
        <f ca="1">IF(Control!$C$114=1,MAX(0,MIN(Control!$C$125*$KW48*$GN48,$KW48)))</f>
        <v>#DIV/0!</v>
      </c>
      <c r="KW48" s="456" t="e">
        <f t="shared" ca="1" si="208"/>
        <v>#DIV/0!</v>
      </c>
      <c r="KX48" s="457" t="e">
        <f ca="1">IF($CP48-Control!$C$149&lt;0, IF($MR48-$OM48&lt;0,0,1),0)</f>
        <v>#N/A</v>
      </c>
      <c r="KY48" s="167">
        <f t="shared" ca="1" si="172"/>
        <v>43</v>
      </c>
      <c r="KZ48" s="168">
        <f ca="1">1370*(1+0.033*COS(2*Control!$C$138*$AH48/365))</f>
        <v>1403.3796816854594</v>
      </c>
      <c r="LA48" s="169">
        <f t="shared" ca="1" si="173"/>
        <v>1.0243647696821025</v>
      </c>
      <c r="LB48" s="169">
        <f t="shared" ca="1" si="174"/>
        <v>-0.24745257494772704</v>
      </c>
      <c r="LC48" s="169">
        <f ca="1">ACOS(-TAN((2*Control!$B$8/360))*TAN(Calculations!$LB48))</f>
        <v>1.495643126877056</v>
      </c>
      <c r="LD48" s="169">
        <f ca="1">((24*60)/PI())*0.082*$LA48*(($LC48*SIN(Control!$B$8*2*PI()/360))*SIN($LB48)+COS(Control!$B$8*2*PI()/360)*COS($LB48)*SIN($LC48))</f>
        <v>11.802618854017162</v>
      </c>
      <c r="LE48" s="170">
        <f t="shared" ca="1" si="84"/>
        <v>12.575262583970847</v>
      </c>
      <c r="LF48" s="170">
        <f ca="1">SIN(Control!$C$139*Control!$B$8)*SIN($HD48)</f>
        <v>-0.19188032329637339</v>
      </c>
      <c r="LG48" s="170">
        <f ca="1">COS(Control!$C$139*Control!$B$8)*COS($HD48)</f>
        <v>0.59712911541951297</v>
      </c>
      <c r="LH48" s="170">
        <f ca="1">12*(1+2*ASIN(MAX(-1,MIN(1,$LF48/$LG48))/Control!$C$138))</f>
        <v>9.5408628654061172</v>
      </c>
      <c r="LI48" s="170">
        <f ca="1">12*(1+2*ASIN(MAX(-1,MIN(1,(-SIN(-4*Control!$C$139)+$LF48)/$LG48))/Control!$C$138))</f>
        <v>10.436495097783498</v>
      </c>
      <c r="LJ48" s="168">
        <f ca="1">3600*($LH48*$LF48+24*$LG48*SQRT(1-$LK48*$LK48)/Control!$C$138)</f>
        <v>8960.6987674696502</v>
      </c>
      <c r="LK48" s="170">
        <f t="shared" ca="1" si="85"/>
        <v>-0.32133807972429529</v>
      </c>
      <c r="LL48" s="170">
        <f t="shared" ca="1" si="86"/>
        <v>0</v>
      </c>
      <c r="LM48" s="171">
        <f ca="1">Control!$C$145*$AB48</f>
        <v>6.6660906138995932E-2</v>
      </c>
      <c r="LN48" s="170">
        <f t="shared" ca="1" si="175"/>
        <v>0.54</v>
      </c>
      <c r="LO48" s="170">
        <f t="shared" ca="1" si="87"/>
        <v>0</v>
      </c>
      <c r="LP48" s="170">
        <f ca="1">Control!$C$140*((($D48+273.16)^4+($E48+273.16)^4)/2)*(0.34-0.14*SQRT($Y48))*(1.35*$AQ48/(0.75*$LD48)-0.35)</f>
        <v>-3.2464704755046001</v>
      </c>
      <c r="LQ48" s="170">
        <f ca="1">Control!$C$140*($G48+273)^4*(0.56-0.079*SQRT($Y48*10))*(0.1+0.9*$LO48)</f>
        <v>1.5241745131704001</v>
      </c>
      <c r="LR48" s="170">
        <f ca="1">$AQ48*(1-Control!$C$142)-$LQ48</f>
        <v>-1.5241745131704001</v>
      </c>
      <c r="LS48" s="170">
        <f ca="1">$AQ48*(1-Control!$C$143)-$LQ48</f>
        <v>-1.5241745131704001</v>
      </c>
      <c r="LT48" s="170">
        <f ca="1">$AQ48*(1-Control!$C$144)-$LQ48</f>
        <v>-1.5241745131704001</v>
      </c>
      <c r="LU48" s="169">
        <f ca="1">(1-Control!$C$144)*AQ48-LP48</f>
        <v>3.2464704755046001</v>
      </c>
      <c r="LV48" s="172">
        <f t="shared" ca="1" si="88"/>
        <v>0.79430000000000012</v>
      </c>
      <c r="LW48" s="170">
        <f t="shared" ca="1" si="89"/>
        <v>1.5886000000000002</v>
      </c>
      <c r="LX48" s="170">
        <f ca="1">($AC48*($LR48/Control!$C$141)+$LM48*$LV48)/($AC48+$LM48)</f>
        <v>0.23530094218323697</v>
      </c>
      <c r="LY48" s="170">
        <f ca="1">($AC48*($LS48/Control!$C$141)+$LM48*$LV48)/($AC48+$LM48)</f>
        <v>0.23530094218323697</v>
      </c>
      <c r="LZ48" s="170">
        <f t="shared" ca="1" si="90"/>
        <v>0.23530094218323697</v>
      </c>
      <c r="MA48" s="170">
        <f t="shared" ca="1" si="91"/>
        <v>0.23530094218323697</v>
      </c>
      <c r="MB48" s="170" t="e">
        <f t="shared" ca="1" si="92"/>
        <v>#N/A</v>
      </c>
      <c r="MC48" s="170">
        <f t="shared" ca="1" si="176"/>
        <v>0.6018</v>
      </c>
      <c r="MD48" s="170">
        <f t="shared" ca="1" si="93"/>
        <v>0.52989392535414004</v>
      </c>
      <c r="ME48" s="170">
        <f ca="1">($AC48*($LT48/Control!$C$141)+$LM48*$LW48)/($AC48+$LM48)</f>
        <v>0.71612369323045078</v>
      </c>
      <c r="MF48" s="170" t="e">
        <f ca="1">IF(Control!$B$16&gt;=1000,0.92,IF(AND(720&lt;=Control!$B$16,1000&gt;Control!$B$16),(0.95+(Control!$B$16-720)*((0.92-0.95)/(1000-720))),IF(AND(360&lt;=Control!$B$16,720&gt;Control!$B$16),(1+(Control!$B$16-360)*((0.95-1)/(720-360))),IF(AND(40&lt;=Control!$B$16,360&gt;Control!$B$16),(1.05+(Control!$B$16-40)*((1.05-1)/(360-40)))))))</f>
        <v>#N/A</v>
      </c>
      <c r="MG48" s="170">
        <f t="shared" ca="1" si="94"/>
        <v>0.71612369323045078</v>
      </c>
      <c r="MH48" s="170" t="e">
        <f t="shared" ca="1" si="232"/>
        <v>#N/A</v>
      </c>
      <c r="MI48" s="170" t="e">
        <f t="shared" ca="1" si="232"/>
        <v>#N/A</v>
      </c>
      <c r="MJ48" s="170" t="e">
        <f ca="1">MAX(0.0001, Control!$C$132*$MI48*$DL48)</f>
        <v>#N/A</v>
      </c>
      <c r="MK48" s="170">
        <f ca="1">1/(0.76+1.5*($MG48/10))-(5-Control!$C$110)*0.1</f>
        <v>1.002845988140797</v>
      </c>
      <c r="ML48" s="173">
        <f ca="1">IF(Control!$C$110&lt;3,$MK48+($MG48-0.6)/(Control!$C$110*(Control!$C$110+3)), MAX(0.1, MIN(0.95,$MK48)))</f>
        <v>0.95</v>
      </c>
      <c r="MM48" s="173">
        <f ca="1">IF(Control!$C$110&lt;3,$MK48+(($MI48/10)-0.6)/(Control!$C$110*(Control!$C$110+3)), MAX(0.1, MIN(0.95,$MK48)))</f>
        <v>0.95</v>
      </c>
      <c r="MN48" s="173">
        <f ca="1">(1-$MM48)*(Control!$C$128-Control!$C$127)+Control!$C$127</f>
        <v>0.16</v>
      </c>
      <c r="MO48" s="170" t="e">
        <f ca="1">MAX(0,MIN(1,($MS48-Control!$C$127)/($MN48-Control!$C$127)))</f>
        <v>#DIV/0!</v>
      </c>
      <c r="MP48" s="173" t="e">
        <f ca="1">1/(0.76+1.5*$MI48)-(5-Control!$C$110)*0.1</f>
        <v>#N/A</v>
      </c>
      <c r="MQ48" s="172" t="e">
        <f t="shared" ca="1" si="209"/>
        <v>#DIV/0!</v>
      </c>
      <c r="MR48" s="168" t="e">
        <f t="shared" ca="1" si="226"/>
        <v>#DIV/0!</v>
      </c>
      <c r="MS48" s="173" t="e">
        <f ca="1">MAX(Control!$C$127, MIN(Control!$C$135, $MR48/MAX(0.0001,$CY48)))</f>
        <v>#DIV/0!</v>
      </c>
      <c r="MT48" s="168" t="e">
        <f ca="1">(Control!$C$128-$MS48)*Control!$C$74</f>
        <v>#DIV/0!</v>
      </c>
      <c r="MU48" s="168" t="e">
        <f ca="1">(Control!$C$135-$MS48)*Control!$C$74</f>
        <v>#DIV/0!</v>
      </c>
      <c r="MV48" s="168" t="e">
        <f t="shared" ca="1" si="210"/>
        <v>#DIV/0!</v>
      </c>
      <c r="MW48" s="168" t="e">
        <f t="shared" ca="1" si="177"/>
        <v>#DIV/0!</v>
      </c>
      <c r="MX48" s="171" t="e">
        <f ca="1">MAX(Control!$C$127, MIN(Control!$C$135, $MW48/MAX(0.0001,Control!$C$119-$CY48)))</f>
        <v>#DIV/0!</v>
      </c>
      <c r="MY48" s="54" t="e">
        <f ca="1">IF(Control!$C$114=1, $CX48*$MX48, 0)</f>
        <v>#DIV/0!</v>
      </c>
      <c r="MZ48" s="54" t="e">
        <f t="shared" ca="1" si="178"/>
        <v>#N/A</v>
      </c>
      <c r="NA48" s="168" t="e">
        <f ca="1">(Control!$C$128-$MX48)*(Control!$C$119-Control!$C$74)</f>
        <v>#DIV/0!</v>
      </c>
      <c r="NB48" s="168" t="e">
        <f ca="1">(Control!$C$135-$MX48)*(Control!$C$119-Control!$C$74)</f>
        <v>#DIV/0!</v>
      </c>
      <c r="NC48" s="174" t="e">
        <f t="shared" ca="1" si="179"/>
        <v>#DIV/0!</v>
      </c>
      <c r="ND48" s="54">
        <f ca="1">IF(Control!$C$58=2, IF(OR(Control!$B$218=$AH48,Control!$B$219=$AH48, Control!$B$220=$AH48, Control!$B$221=$AH48, Control!$B$222=$AH48, Control!$B$223=$AH48, Control!$B$224=$AH48, Control!$B$225=$AH48, Control!$B$226=$AH48, Control!$B$227=$AH48, Control!$B$228=$AH48), 1, 0), 0)</f>
        <v>0</v>
      </c>
      <c r="NE48" s="54">
        <f ca="1">IF($ND48=0,0, VLOOKUP($AH48,Control!$B$218:$C$228,2))</f>
        <v>0</v>
      </c>
      <c r="NF48" s="168" t="e">
        <f ca="1">$CY48*(Control!$C$128-Control!$C$127)</f>
        <v>#N/A</v>
      </c>
      <c r="NG48" s="54" t="e">
        <f ca="1">IF(Control!$C$58=2, $NI47-$NJ47, 0)</f>
        <v>#DIV/0!</v>
      </c>
      <c r="NH48" s="54" t="e">
        <f ca="1">IF(AND(Control!$C$58=1, $MS47&lt;= ($MN47+0.02), $I47&lt;10), 0, IF(Control!$C$58=2, $NG47, 0))</f>
        <v>#DIV/0!</v>
      </c>
      <c r="NI48" s="54" t="e">
        <f ca="1">IF(Control!$C$58=2, $NE48+$NH48,0)</f>
        <v>#DIV/0!</v>
      </c>
      <c r="NJ48" s="54" t="e">
        <f ca="1">IF(AND(Control!$C$58=1, $MS48&lt;= ($MN48+0.02), $I48&lt;10), MAX(0, MIN(10, 0.7*($NF48-$MV48))), IF(Control!$C$58=2, MIN(10,$NI48),0))</f>
        <v>#DIV/0!</v>
      </c>
      <c r="NK48" s="54" t="e">
        <f t="shared" ca="1" si="96"/>
        <v>#DIV/0!</v>
      </c>
      <c r="NL48" s="173" t="e">
        <f ca="1">(1-Control!$C$73)*$I48+$NJ48</f>
        <v>#DIV/0!</v>
      </c>
      <c r="NM48" s="172" t="e">
        <f ca="1">IF($NL48&lt;0.5, $MB48* MAX(0, MIN(1, (SQRT($NC48)-SQRT($NC48-1))*Control!$C$71)),0)</f>
        <v>#DIV/0!</v>
      </c>
      <c r="NN48" s="170" t="e">
        <f ca="1">IF($NL48&gt;=5, $MB48, MAX(0,MIN($MB48, $NM48+$NL48,($MS48-Control!$C$129))))</f>
        <v>#DIV/0!</v>
      </c>
      <c r="NO48" s="54">
        <f>IF(Control!$C$133&lt;&gt;1, Control!$C$135-Control!$C$131, 0)</f>
        <v>0.38</v>
      </c>
      <c r="NP48" s="54" t="e">
        <f t="shared" ca="1" si="97"/>
        <v>#DIV/0!</v>
      </c>
      <c r="NQ48" s="173" t="e">
        <f ca="1">MAX(0,MIN(1,(Control!$C$135-$MS48)/(Control!$C$135-$NO48)))</f>
        <v>#DIV/0!</v>
      </c>
      <c r="NR48" s="170" t="e">
        <f ca="1">IF(Control!$C$133&lt;&gt;1, $NQ48+((1-$NP48/4)*(1-$NQ48)),1)</f>
        <v>#DIV/0!</v>
      </c>
      <c r="NS48" s="170" t="e">
        <f ca="1">IF(Control!$B$31=0,$MJ48,MAX(0,MIN($MV48,$MO48*$NR48*$MJ48)))</f>
        <v>#DIV/0!</v>
      </c>
      <c r="NT48" s="170" t="e">
        <f t="shared" ca="1" si="227"/>
        <v>#DIV/0!</v>
      </c>
      <c r="NU48" s="170" t="e">
        <f t="shared" ca="1" si="180"/>
        <v>#N/A</v>
      </c>
      <c r="NV48" s="170" t="e">
        <f t="shared" ca="1" si="98"/>
        <v>#N/A</v>
      </c>
      <c r="NW48" s="175" t="e">
        <f t="shared" ca="1" si="99"/>
        <v>#DIV/0!</v>
      </c>
      <c r="NX48" s="170" t="e">
        <f ca="1">MIN(Control!$C$72+$MU48, $NW48)</f>
        <v>#DIV/0!</v>
      </c>
      <c r="NY48" s="170" t="e">
        <f ca="1">IF($MT48&lt;=$NX48,MIN(Control!$C$72+$NB48,$NX48-$MT48),0)</f>
        <v>#DIV/0!</v>
      </c>
      <c r="NZ48" s="54" t="e">
        <f ca="1">IF(Control!$C$114=1,  $CX48*($MX48-Control!$C$127), 0)</f>
        <v>#DIV/0!</v>
      </c>
      <c r="OA48" s="170" t="e">
        <f t="shared" ca="1" si="181"/>
        <v>#DIV/0!</v>
      </c>
      <c r="OB48" s="170" t="e">
        <f ca="1">IF($NA48 &lt;=$NY48, MIN(Control!$C$72, $NY48-$NA48), 0)</f>
        <v>#DIV/0!</v>
      </c>
      <c r="OC48" s="168" t="e">
        <f t="shared" ca="1" si="100"/>
        <v>#DIV/0!</v>
      </c>
      <c r="OD48" s="168" t="e">
        <f t="shared" ca="1" si="182"/>
        <v>#DIV/0!</v>
      </c>
      <c r="OE48" s="170">
        <f ca="1">Control!$C$73*$I48</f>
        <v>0</v>
      </c>
      <c r="OF48" s="176" t="e">
        <f t="shared" ca="1" si="101"/>
        <v>#DIV/0!</v>
      </c>
      <c r="OG48" s="168" t="e">
        <f t="shared" ca="1" si="102"/>
        <v>#DIV/0!</v>
      </c>
      <c r="OH48" s="168" t="e">
        <f t="shared" ca="1" si="103"/>
        <v>#DIV/0!</v>
      </c>
      <c r="OI48" s="168" t="e">
        <f t="shared" ca="1" si="104"/>
        <v>#DIV/0!</v>
      </c>
      <c r="OJ48" s="168" t="e">
        <f t="shared" ca="1" si="105"/>
        <v>#DIV/0!</v>
      </c>
      <c r="OK48" s="204" t="e">
        <f t="shared" ca="1" si="183"/>
        <v>#DIV/0!</v>
      </c>
      <c r="OL48" s="177">
        <f>Control!$C$127</f>
        <v>0.15</v>
      </c>
      <c r="OM48" s="182" t="e">
        <f t="shared" ca="1" si="106"/>
        <v>#N/A</v>
      </c>
      <c r="ON48" s="177">
        <f>Control!$C$128</f>
        <v>0.35</v>
      </c>
      <c r="OO48" s="182" t="e">
        <f t="shared" ca="1" si="107"/>
        <v>#N/A</v>
      </c>
      <c r="OP48" s="138">
        <f t="shared" ca="1" si="184"/>
        <v>0</v>
      </c>
      <c r="OQ48" s="138" t="e">
        <f t="shared" ca="1" si="211"/>
        <v>#DIV/0!</v>
      </c>
      <c r="OR48" s="138" t="e">
        <f t="shared" ca="1" si="185"/>
        <v>#DIV/0!</v>
      </c>
      <c r="OS48" s="137" t="e">
        <f t="shared" ca="1" si="212"/>
        <v>#DIV/0!</v>
      </c>
      <c r="OT48" s="139" t="e">
        <f t="shared" ca="1" si="213"/>
        <v>#DIV/0!</v>
      </c>
      <c r="OU48" s="138" t="e">
        <f t="shared" ca="1" si="214"/>
        <v>#N/A</v>
      </c>
      <c r="OV48" s="138" t="e">
        <f t="shared" ca="1" si="215"/>
        <v>#DIV/0!</v>
      </c>
      <c r="OW48" s="138" t="e">
        <f t="shared" ca="1" si="186"/>
        <v>#DIV/0!</v>
      </c>
      <c r="OX48" s="138" t="e">
        <f t="shared" ca="1" si="187"/>
        <v>#DIV/0!</v>
      </c>
      <c r="OY48" s="138" t="e">
        <f t="shared" ca="1" si="188"/>
        <v>#DIV/0!</v>
      </c>
      <c r="OZ48" s="138" t="e">
        <f t="shared" ca="1" si="108"/>
        <v>#DIV/0!</v>
      </c>
      <c r="PA48" s="138" t="e">
        <f t="shared" ca="1" si="109"/>
        <v>#DIV/0!</v>
      </c>
      <c r="PB48" s="55">
        <f>IF(Control!$C$61="T", IF(Control!$C$65="F", IF($AH$6-Control!$C$60&lt;0,0,1), IF(365+$AH$6-Control!$C$60&lt;0,0,1)),0)</f>
        <v>0</v>
      </c>
      <c r="PC48" s="55">
        <f ca="1">IF(Control!$C$65="F", IF($AH$6-$HF48&lt;0,0,1), IF(365+$AH$6-$HF48&lt;0,0,1))</f>
        <v>1</v>
      </c>
      <c r="PD48" s="444">
        <f>Control!$C$118</f>
        <v>1500</v>
      </c>
      <c r="PE48" s="180" t="e">
        <f t="shared" ca="1" si="110"/>
        <v>#N/A</v>
      </c>
      <c r="PF48" s="445">
        <f t="shared" ca="1" si="189"/>
        <v>0.71612369323045078</v>
      </c>
      <c r="PT48" s="186"/>
      <c r="PU48" s="186"/>
      <c r="PV48" s="94"/>
      <c r="PW48" s="94"/>
      <c r="PX48" s="94"/>
      <c r="PY48" s="94"/>
      <c r="PZ48" s="94"/>
      <c r="QA48" s="94"/>
      <c r="QB48" s="94"/>
      <c r="QC48" s="94"/>
      <c r="QD48" s="94"/>
      <c r="QE48" s="94"/>
      <c r="QF48" s="94"/>
      <c r="QG48" s="94"/>
      <c r="QH48" s="94"/>
      <c r="QI48" s="94"/>
      <c r="QJ48" s="94"/>
      <c r="QK48" s="94"/>
      <c r="QL48" s="94"/>
      <c r="QM48" s="94"/>
      <c r="QN48" s="94"/>
      <c r="QO48" s="94"/>
      <c r="QP48" s="94"/>
    </row>
    <row r="49" spans="1:458" s="2" customFormat="1" x14ac:dyDescent="0.2">
      <c r="A49" s="395">
        <v>13</v>
      </c>
      <c r="B49" s="396">
        <v>2</v>
      </c>
      <c r="C49" s="387">
        <f ca="1">Weather_data!$B48</f>
        <v>0</v>
      </c>
      <c r="D49" s="388">
        <f ca="1">Weather_data!$F48</f>
        <v>0</v>
      </c>
      <c r="E49" s="388">
        <f ca="1">Weather_data!$E48</f>
        <v>0</v>
      </c>
      <c r="F49" s="388">
        <f t="shared" ca="1" si="111"/>
        <v>0</v>
      </c>
      <c r="G49" s="388">
        <f ca="1">AVERAGE($D49:$E49)+Control!$B$9</f>
        <v>0</v>
      </c>
      <c r="H49" s="388">
        <f ca="1">Weather_data!$G48</f>
        <v>0</v>
      </c>
      <c r="I49" s="388">
        <f ca="1">Weather_data!$I48</f>
        <v>0</v>
      </c>
      <c r="J49" s="388">
        <f ca="1">Weather_data!$H48</f>
        <v>0</v>
      </c>
      <c r="K49" s="389">
        <f ca="1">Weather_data!$D48</f>
        <v>0</v>
      </c>
      <c r="L49" s="388" t="e">
        <f t="shared" ca="1" si="112"/>
        <v>#N/A</v>
      </c>
      <c r="M49" s="388" t="e">
        <f t="shared" ca="1" si="0"/>
        <v>#N/A</v>
      </c>
      <c r="N49" s="388">
        <f t="shared" ca="1" si="1"/>
        <v>-5.3876318321529077E-3</v>
      </c>
      <c r="O49" s="388">
        <f t="shared" ca="1" si="113"/>
        <v>5.3876318321529074E-2</v>
      </c>
      <c r="P49" s="390">
        <v>3</v>
      </c>
      <c r="Q49" s="388">
        <f ca="1">MAX($G49-Control!$C$107,0)</f>
        <v>0</v>
      </c>
      <c r="R49" s="388">
        <f t="shared" ca="1" si="114"/>
        <v>0</v>
      </c>
      <c r="S49" s="388">
        <f t="shared" ca="1" si="2"/>
        <v>0</v>
      </c>
      <c r="T49" s="388">
        <f t="shared" ca="1" si="3"/>
        <v>0</v>
      </c>
      <c r="U49" s="59">
        <f t="shared" ca="1" si="4"/>
        <v>0</v>
      </c>
      <c r="V49" s="391">
        <f ca="1">MAX(0,MIN(Control!$C$100-Control!$C$99,$G49-Control!$C$99)*Control!$C$63)</f>
        <v>0</v>
      </c>
      <c r="W49" s="388">
        <f t="shared" ca="1" si="190"/>
        <v>0</v>
      </c>
      <c r="X49" s="388">
        <f t="shared" ca="1" si="115"/>
        <v>0.6110000000000001</v>
      </c>
      <c r="Y49" s="388">
        <f t="shared" ca="1" si="116"/>
        <v>0</v>
      </c>
      <c r="Z49" s="388">
        <f t="shared" ca="1" si="117"/>
        <v>0.61058800000000002</v>
      </c>
      <c r="AA49" s="388">
        <f t="shared" ca="1" si="5"/>
        <v>0.6018</v>
      </c>
      <c r="AB49" s="388">
        <f ca="1">101.3*EXP(-0.034*Control!$C$66/($G49+273))</f>
        <v>100.69623283836242</v>
      </c>
      <c r="AC49" s="392">
        <f t="shared" ca="1" si="6"/>
        <v>4.3460251046025113E-2</v>
      </c>
      <c r="AD49" s="392">
        <f t="shared" ca="1" si="7"/>
        <v>4.4450382862832649E-2</v>
      </c>
      <c r="AE49" s="388">
        <f t="shared" ca="1" si="8"/>
        <v>0</v>
      </c>
      <c r="AF49" s="388">
        <f ca="1">MAX(0,$G49-Control!$C$92)</f>
        <v>0</v>
      </c>
      <c r="AG49" s="393">
        <f t="shared" ca="1" si="118"/>
        <v>44</v>
      </c>
      <c r="AH49" s="389">
        <f t="shared" ca="1" si="9"/>
        <v>44</v>
      </c>
      <c r="AI49" s="388">
        <f t="shared" ca="1" si="119"/>
        <v>-0.2403526028427046</v>
      </c>
      <c r="AJ49" s="388">
        <f ca="1">IF(Control!$C$60&lt;=0,$HH49,$HI49)</f>
        <v>1</v>
      </c>
      <c r="AK49" s="388">
        <f t="shared" ca="1" si="10"/>
        <v>-0.61971142755743869</v>
      </c>
      <c r="AL49" s="388">
        <f t="shared" ca="1" si="11"/>
        <v>-1.8032589310656986E-18</v>
      </c>
      <c r="AM49" s="388">
        <f t="shared" ca="1" si="12"/>
        <v>-0.61971142755743869</v>
      </c>
      <c r="AN49" s="388">
        <f t="shared" ca="1" si="13"/>
        <v>-0.23314888197539052</v>
      </c>
      <c r="AO49" s="388">
        <f ca="1">-0.10453/COS(Control!$B$8*PI()/180)*COS(AN49)</f>
        <v>-0.16519111310957835</v>
      </c>
      <c r="AP49" s="388">
        <f ca="1">ACOS(AO49-TAN(Control!$B$8*PI()/180)*TAN(AN49))</f>
        <v>1.431593982878316</v>
      </c>
      <c r="AQ49" s="388">
        <f t="shared" ca="1" si="120"/>
        <v>0</v>
      </c>
      <c r="AR49" s="394">
        <f t="shared" ca="1" si="14"/>
        <v>0</v>
      </c>
      <c r="AS49" s="436">
        <f ca="1">IF(Control!$B$18=2,(IF(OR($AH49=Control!$B$175,$AH49=Control!$B$176,$AH49=Control!$B$177,$AH49=Control!$B$178,$AH49=Control!$B$179,$AH49=Control!$B$180,$AH49=Control!$B$181,$AH49=Control!$B$182,$AH49=Control!$B$183,$AH49=Control!$B$184,$AH49=Control!$B$185),1,0)),0)</f>
        <v>0</v>
      </c>
      <c r="AT49" s="436">
        <f>IF(Control!$B$20=8,IF(AND($AH49&gt;=Control!$B$172,$AH49&lt;=Control!$B$173),1,0),0)</f>
        <v>0</v>
      </c>
      <c r="AU49" s="436">
        <f>IF(Control!$B$20=8,IF($AV48=1,1*$AT49,IF($AT49=1,$AU48+1,$AU48)),0)</f>
        <v>0</v>
      </c>
      <c r="AV49" s="436">
        <f>IF(Control!$B$20=8,IF($AU49&gt;=Control!$B$174,1,0),0)</f>
        <v>0</v>
      </c>
      <c r="AW49" s="436">
        <f ca="1">IF(AND(Control!$B$18=2,Control!$B$171=1), $AV49, $AS49)</f>
        <v>0</v>
      </c>
      <c r="AX49" s="436" t="e">
        <f ca="1">IF(AND(Control!$B$18=1,$EU49&gt;=Control!$B$19),-$AY49,IF(AND(Control!$B$18=2,$AW49=1,$EU49&gt;$DS49),-$AY49, IF(Control!$C$108=0,0, IF(Control!$C$108&lt;&gt;0,1))))</f>
        <v>#N/A</v>
      </c>
      <c r="AY49" s="436" t="e">
        <f t="shared" ca="1" si="121"/>
        <v>#N/A</v>
      </c>
      <c r="AZ49" s="436" t="e">
        <f ca="1">IF(AND(Control!$B$18=1,$EB49&gt;Control!$B$19),$AZ48+1, IF(AND(Control!$B$18=2, $AW49=1, $EB49&gt;$DS49), $AZ48+1,$AZ48))</f>
        <v>#N/A</v>
      </c>
      <c r="BA49" s="587">
        <f>IF(Control!$C$81=0,1,IF($AH49&gt;=Control!$C$82,1,0))</f>
        <v>1</v>
      </c>
      <c r="BB49" s="140" t="e">
        <f ca="1">IF($BA49&gt;$BA48,Control!$C$83,IF($AW49&gt;0,$AW49*Control!$C$84,IF(AND(Control!$B$18=1,EN48&lt;&gt;0),Control!$C$84,0)))</f>
        <v>#N/A</v>
      </c>
      <c r="BC49" s="140" t="e">
        <f t="shared" ca="1" si="122"/>
        <v>#N/A</v>
      </c>
      <c r="BD49" s="140" t="e">
        <f ca="1">BC49*IF(OR($G49&lt;Control!$C$92,$G49&gt;Control!$C$95),0,IF(AND($G49&gt;=Control!$C$92,$G49&lt;=Control!$C$93),$G49-Control!$C$92,IF(AND($G49&gt;Control!$C$93,$G49&lt;=Control!$C$94),Control!$C$93-Control!$C$92,IF(AND($G49&gt;Control!$C$94,$G49&lt;=Control!$C$95),(Control!$C$93-Control!$C$92)*(Control!$C$94-$G49)/(Control!$C$95-Control!$C$94)))))</f>
        <v>#N/A</v>
      </c>
      <c r="BE49" s="140" t="e">
        <f t="shared" ca="1" si="123"/>
        <v>#N/A</v>
      </c>
      <c r="BF49" s="140" t="e">
        <f ca="1">IF($BE49&lt;=Control!$C$86,$BE49,Control!$C$86-$BE49)</f>
        <v>#N/A</v>
      </c>
      <c r="BG49" s="140" t="e">
        <f ca="1">IF(AND($AW49=1,Control!$C$84&lt;9),1,IF($BE49&gt;=Control!$C$86,0,$BC49))</f>
        <v>#N/A</v>
      </c>
      <c r="BH49" s="404" t="e">
        <f ca="1">IF($BG49=0,0,IF($BE49&lt;=Control!$C$86,$BC49*9*($BF49/Control!$C$86),0))</f>
        <v>#N/A</v>
      </c>
      <c r="BI49" s="140" t="e">
        <f ca="1">IF($BG49=1,0,IF($BE49&gt;=Control!$C$86,1,IF(AND($BB49&lt;21,$BB49&gt;=9),1,$BM48)))</f>
        <v>#N/A</v>
      </c>
      <c r="BJ49" s="140" t="e">
        <f ca="1">IF($BF49&lt;0,-$BF49,$BI49*IF(OR($G49&lt;Control!$C$92,$G49&gt;Control!$C$95),0,IF(AND($G49&gt;=Control!$C$92,$G49&lt;=Control!$C$93),$G49-Control!$C$92,IF(AND($G49&gt;Control!$C$93,$G49&lt;=Control!$C$94),Control!$C$93-Control!$C$92,IF(AND($G49&gt;Control!$C$94,$G49&lt;=Control!$C$95),(Control!$C$93-Control!$C$92)*(Control!$C$94-$G49)/(Control!$C$95-Control!$C$94))))))</f>
        <v>#N/A</v>
      </c>
      <c r="BK49" s="140" t="e">
        <f t="shared" ca="1" si="124"/>
        <v>#N/A</v>
      </c>
      <c r="BL49" s="140" t="e">
        <f ca="1">IF($BK49&lt;=Control!$C$87,$BK49,Control!$C$87-$BK49)</f>
        <v>#N/A</v>
      </c>
      <c r="BM49" s="140" t="e">
        <f ca="1">IF(AND($BB49&gt;=9,$BB49&lt;21),1,IF($BK49&gt;=Control!$C$87,0,$BI49))</f>
        <v>#N/A</v>
      </c>
      <c r="BN49" s="404" t="e">
        <f ca="1">IF($BM49=0,0,IF($BK49&lt;=Control!$C$87,$BI49*(9+(21-9)*($BL49/Control!$C$87)),0))</f>
        <v>#N/A</v>
      </c>
      <c r="BO49" s="140" t="e">
        <f ca="1">IF($BM49=1,0,IF($BK49&gt;=Control!$C$87,1,IF(AND($BB49&lt;30,$BB49&gt;=21),1,$BS48)))</f>
        <v>#N/A</v>
      </c>
      <c r="BP49" s="140" t="e">
        <f ca="1">IF($BL49&lt;0,-$BL49,$BO49*IF(OR($G49&lt;Control!$C$92,$G49&gt;Control!$C$95),0,IF(AND($G49&gt;=Control!$C$92,$G49&lt;=Control!$C$93),$G49-Control!$C$92,IF(AND($G49&gt;Control!$C$93,$G49&lt;=Control!$C$94),Control!$C$93-Control!$C$92,IF(AND($G49&gt;Control!$C$94,$G49&lt;=Control!$C$95),(Control!$C$93-Control!$C$92)*(Control!$C$94-$G49)/(Control!$C$95-Control!$C$94))))))</f>
        <v>#N/A</v>
      </c>
      <c r="BQ49" s="140" t="e">
        <f t="shared" ca="1" si="15"/>
        <v>#N/A</v>
      </c>
      <c r="BR49" s="140" t="e">
        <f ca="1">IF($BQ49&lt;=Control!$C$88,$BQ49,Control!$C$88-$BQ49)</f>
        <v>#N/A</v>
      </c>
      <c r="BS49" s="140" t="e">
        <f ca="1">IF(AND($BB49&gt;=21,$BB49&lt;30),1,IF($BQ49&gt;=Control!$C$88,0,$BO49))</f>
        <v>#N/A</v>
      </c>
      <c r="BT49" s="404" t="e">
        <f ca="1">IF($BS49=0,0,IF($BQ49&lt;=Control!$C$88,$BO49*(21+(30-21)*(BR49/Control!$C$88)),0))</f>
        <v>#N/A</v>
      </c>
      <c r="BU49" s="140" t="e">
        <f ca="1">IF(BG49+BM49+BS49=1,0,IF(OR(AND($BB49&lt;60,$BB49&gt;=30),$BQ49&gt;=Control!$C$88),1*$BA49,$BY48))</f>
        <v>#N/A</v>
      </c>
      <c r="BV49" s="140" t="e">
        <f ca="1">IF($BR49&lt;0,-$BR49,$BU49*IF(OR($G49&lt;Control!$C$92,$G49&gt;Control!$C$95),0,IF(AND($G49&gt;=Control!$C$92,$G49&lt;=Control!$C$93),$G49-Control!$C$92,IF(AND($G49&gt;Control!$C$93,$G49&lt;=Control!$C$94),Control!$C$93-Control!$C$92,IF(AND($G49&gt;Control!$C$94,$G49&lt;=Control!$C$95),(Control!$C$93-Control!$C$92)*(Control!$C$94-$G49)/(Control!$C$95-Control!$C$94))))))</f>
        <v>#N/A</v>
      </c>
      <c r="BW49" s="140" t="e">
        <f t="shared" ca="1" si="16"/>
        <v>#N/A</v>
      </c>
      <c r="BX49" s="140" t="e">
        <f ca="1">IF($BW49&lt;=Control!$C$89,$BW49,Control!$C$89-$BW49)</f>
        <v>#N/A</v>
      </c>
      <c r="BY49" s="140" t="e">
        <f ca="1">IF(AND($AJ49&gt;=30,$AJ49&lt;60),1,IF($BW49&gt;=Control!$C$89,0,$BU49))</f>
        <v>#N/A</v>
      </c>
      <c r="BZ49" s="404" t="e">
        <f ca="1">IF($BY49=0,0,IF($BW49&lt;=Control!$C$89,$BU49*(30+(60-30)*(BX49/Control!$C$89)),0))</f>
        <v>#N/A</v>
      </c>
      <c r="CA49" s="140" t="e">
        <f ca="1">IF($BG49+$BM49+$BS49+$BY49=1,0,IF(OR(AND($BB49&lt;65,$BB49&gt;=60),$BW49&gt;=Control!$C$89),1*$BA49,$CE48))</f>
        <v>#N/A</v>
      </c>
      <c r="CB49" s="140" t="e">
        <f ca="1">IF($BX49&lt;0,-$BX49,$CA49*IF(OR($G49&lt;Control!$C$92,$G49&gt;Control!$C$95),0,IF(AND($G49&gt;=Control!$C$92,$G49&lt;=Control!$C$93),$G49-Control!$C$92,IF(AND($G49&gt;Control!$C$93,$G49&lt;=Control!$C$94),Control!$C$93-Control!$C$92,IF(AND($G49&gt;Control!$C$94,$G49&lt;=Control!$C$95),(Control!$C$93-Control!$C$92)*(Control!$C$94-$G49)/(Control!$C$95-Control!$C$94))))))</f>
        <v>#N/A</v>
      </c>
      <c r="CC49" s="140" t="e">
        <f t="shared" ca="1" si="125"/>
        <v>#N/A</v>
      </c>
      <c r="CD49" s="140" t="e">
        <f ca="1">IF($CC49&lt;=Control!$C$90,$CC49,Control!$C$90-$CC49)</f>
        <v>#N/A</v>
      </c>
      <c r="CE49" s="140" t="e">
        <f ca="1">IF(AND($BB49&gt;=60,$BB49&lt;65),1,IF($CC49&gt;=Control!$C$90,0,$CA49))</f>
        <v>#N/A</v>
      </c>
      <c r="CF49" s="404" t="e">
        <f ca="1">IF($CE49=0,0,IF($CC49&lt;=Control!$C$90,$CA49*(60+(65-60)*(CD49/Control!$C$90)),0))</f>
        <v>#N/A</v>
      </c>
      <c r="CG49" s="140" t="e">
        <f ca="1">IF($BG49+$BM49+$BS49+$BY49+$CE49=1,0,IF(OR(AND($BB49&lt;90,$BB49&gt;=65),$CC49&gt;=Control!$C$90),$BA49,$CK48))</f>
        <v>#N/A</v>
      </c>
      <c r="CH49" s="140" t="e">
        <f ca="1">IF($CD49&lt;0,-$CD49,$CG49*IF(OR($G49&lt;Control!$C$92,$G49&gt;Control!$C$95),0,IF(AND($G49&gt;=Control!$C$92,$G49&lt;=Control!$C$93),$G49-Control!$C$92,IF(AND($G49&gt;Control!$C$93,$G49&lt;=Control!$C$94),Control!$C$93-Control!$C$92,IF(AND($G49&gt;Control!$C$94,$G49&lt;=Control!$C$95),(Control!$C$93-Control!$C$92)*(Control!$C$94-$G49)/(Control!$C$95-Control!$C$94))))))</f>
        <v>#N/A</v>
      </c>
      <c r="CI49" s="140" t="e">
        <f t="shared" ca="1" si="126"/>
        <v>#N/A</v>
      </c>
      <c r="CJ49" s="140" t="e">
        <f ca="1">IF($CI49&lt;=Control!$C$91,$CI49,Control!$C$91-$CI49)</f>
        <v>#N/A</v>
      </c>
      <c r="CK49" s="140" t="e">
        <f ca="1">IF(AND($BB49&gt;=65,$BB49&lt;90),1,IF($CI49&gt;=Control!$C$91,0,$CG49))</f>
        <v>#N/A</v>
      </c>
      <c r="CL49" s="404" t="e">
        <f ca="1">IF($CK49=0,0,IF($CI49&lt;=Control!$C$91,$CG49*(65+(90-65)*($CJ49/Control!$C$91)),0))</f>
        <v>#N/A</v>
      </c>
      <c r="CM49" s="140" t="e">
        <f ca="1">IF($BG49+$BM49+$BS49+$BY49+$CE49+$CK49=1,0,IF(OR($BB49&gt;=90,$CI49&gt;=Control!$C$91),$BA49,$CM48))</f>
        <v>#N/A</v>
      </c>
      <c r="CN49" s="140" t="e">
        <f t="shared" ca="1" si="127"/>
        <v>#N/A</v>
      </c>
      <c r="CO49" s="140" t="e">
        <f t="shared" ca="1" si="128"/>
        <v>#N/A</v>
      </c>
      <c r="CP49" s="140" t="e">
        <f t="shared" ca="1" si="129"/>
        <v>#N/A</v>
      </c>
      <c r="CQ49" s="141" t="e">
        <f ca="1">VLOOKUP($CP49,Control!$B$86:$G$91,6)</f>
        <v>#N/A</v>
      </c>
      <c r="CR49" s="141" t="e">
        <f ca="1">(1-$CQ49)*VLOOKUP($CP49,Control!$B$86:$D$91,3)</f>
        <v>#N/A</v>
      </c>
      <c r="CS49" s="141" t="e">
        <f ca="1">(1-$CQ49)*VLOOKUP($CP49,Control!$B$86:$E$91,4)</f>
        <v>#N/A</v>
      </c>
      <c r="CT49" s="141" t="e">
        <f ca="1">(1-$CQ49)*VLOOKUP($CP49,Control!$B$86:$F$91,5)</f>
        <v>#N/A</v>
      </c>
      <c r="CU49" s="141">
        <f t="shared" ca="1" si="130"/>
        <v>0</v>
      </c>
      <c r="CV49" s="583">
        <f t="shared" ca="1" si="131"/>
        <v>0</v>
      </c>
      <c r="CW49" s="142">
        <f t="shared" ca="1" si="132"/>
        <v>44</v>
      </c>
      <c r="CX49" s="612" t="e">
        <f ca="1">IF(Control!$C$114=1,(MIN(Control!$C$120*(IF($NT49-0.01&lt;0,0,1)),Control!$C$119-$CY49)))</f>
        <v>#DIV/0!</v>
      </c>
      <c r="CY49" s="143" t="e">
        <f t="shared" ca="1" si="133"/>
        <v>#N/A</v>
      </c>
      <c r="CZ49" s="144">
        <f t="shared" ca="1" si="17"/>
        <v>0</v>
      </c>
      <c r="DA49" s="144">
        <f t="shared" ca="1" si="18"/>
        <v>0</v>
      </c>
      <c r="DB49" s="144" t="e">
        <f t="shared" ca="1" si="19"/>
        <v>#N/A</v>
      </c>
      <c r="DC49" s="144" t="e">
        <f t="shared" ca="1" si="20"/>
        <v>#N/A</v>
      </c>
      <c r="DD49" s="144" t="e">
        <f t="shared" ca="1" si="216"/>
        <v>#N/A</v>
      </c>
      <c r="DE49" s="143" t="e">
        <f t="shared" ca="1" si="135"/>
        <v>#N/A</v>
      </c>
      <c r="DF49" s="145" t="e">
        <f ca="1">$DR49*EXP(-Control!$C$158*(1-$KH49))</f>
        <v>#N/A</v>
      </c>
      <c r="DG49" s="146" t="e">
        <f ca="1">IF(Control!$C$114=1, $DF49*$EY49, 0)</f>
        <v>#N/A</v>
      </c>
      <c r="DH49" s="147" t="e">
        <f t="shared" ca="1" si="136"/>
        <v>#N/A</v>
      </c>
      <c r="DI49" s="144" t="e">
        <f t="shared" ca="1" si="191"/>
        <v>#N/A</v>
      </c>
      <c r="DJ49" s="147" t="e">
        <f ca="1">$EF49*Control!$C$109</f>
        <v>#N/A</v>
      </c>
      <c r="DK49" s="144" t="e">
        <f t="shared" ca="1" si="137"/>
        <v>#N/A</v>
      </c>
      <c r="DL49" s="144" t="e">
        <f t="shared" ca="1" si="21"/>
        <v>#N/A</v>
      </c>
      <c r="DM49" s="144" t="e">
        <f ca="1">IF(Control!$C$114=1, (1-EXP(-Control!$C$96*$DK49))*$AR49, 0)</f>
        <v>#N/A</v>
      </c>
      <c r="DN49" s="144">
        <f t="shared" ca="1" si="138"/>
        <v>0</v>
      </c>
      <c r="DO49" s="148">
        <f>Control!$C$97</f>
        <v>4</v>
      </c>
      <c r="DP49" s="145" t="e">
        <f t="shared" ca="1" si="139"/>
        <v>#N/A</v>
      </c>
      <c r="DQ49" s="145" t="e">
        <f ca="1">IF(AND($CP49&gt;=0,$CP49&lt;=90),Control!$C$111,Control!$C$111)</f>
        <v>#N/A</v>
      </c>
      <c r="DR49" s="145" t="e">
        <f t="shared" ca="1" si="22"/>
        <v>#N/A</v>
      </c>
      <c r="DS49" s="143" t="e">
        <f ca="1">Control!$B$22/$DR49</f>
        <v>#N/A</v>
      </c>
      <c r="DT49" s="149" t="e">
        <f ca="1">IF(AND(Control!$C$114=1,$KH49&lt;1),$IM49*$DF49, 0)</f>
        <v>#N/A</v>
      </c>
      <c r="DU49" s="144" t="e">
        <f t="shared" ca="1" si="192"/>
        <v>#N/A</v>
      </c>
      <c r="DV49" s="144">
        <f ca="1">IF($G49-Control!$C$107&lt;=0, 0, 0.83*LN(MAX($G49, 3))-0.8924)</f>
        <v>0</v>
      </c>
      <c r="DW49" s="144" t="e">
        <f t="shared" ca="1" si="23"/>
        <v>#N/A</v>
      </c>
      <c r="DX49" s="150" t="e">
        <f ca="1">MAX(0.01*(1+$CU49/Control!$C$102),0.05*($DK49-Control!$C$97)/Control!$C$97)</f>
        <v>#N/A</v>
      </c>
      <c r="DY49" s="151" t="e">
        <f ca="1">IF(Control!$C$114=1, $DI49*$FS49, 0)</f>
        <v>#N/A</v>
      </c>
      <c r="DZ49" s="196" t="e">
        <f t="shared" ca="1" si="140"/>
        <v>#N/A</v>
      </c>
      <c r="EA49" s="152">
        <f t="shared" ca="1" si="141"/>
        <v>44</v>
      </c>
      <c r="EB49" s="153" t="e">
        <f t="shared" ca="1" si="217"/>
        <v>#N/A</v>
      </c>
      <c r="EC49" s="153" t="e">
        <f t="shared" ca="1" si="142"/>
        <v>#N/A</v>
      </c>
      <c r="ED49" s="154" t="e">
        <f ca="1">IF(Control!$C$114=1, $HM49*$FY49-$FD49, 0)</f>
        <v>#DIV/0!</v>
      </c>
      <c r="EE49" s="155" t="e">
        <f ca="1">IF(Control!$C$114=1, $HM49*$FZ49-$FF49, 0)</f>
        <v>#DIV/0!</v>
      </c>
      <c r="EF49" s="153" t="e">
        <f t="shared" ca="1" si="193"/>
        <v>#N/A</v>
      </c>
      <c r="EG49" s="155" t="e">
        <f ca="1">IF(Control!$C$114=1, $GX49*$FW49-$FI49, 0)</f>
        <v>#DIV/0!</v>
      </c>
      <c r="EH49" s="153" t="e">
        <f t="shared" ca="1" si="143"/>
        <v>#N/A</v>
      </c>
      <c r="EI49" s="156" t="e">
        <f t="shared" ca="1" si="144"/>
        <v>#N/A</v>
      </c>
      <c r="EJ49" s="155" t="e">
        <f ca="1">IF(Control!$C$114=1, $HM49*$GB49, 0)</f>
        <v>#DIV/0!</v>
      </c>
      <c r="EK49" s="153" t="e">
        <f t="shared" ca="1" si="194"/>
        <v>#N/A</v>
      </c>
      <c r="EL49" s="153" t="e">
        <f t="shared" ca="1" si="24"/>
        <v>#N/A</v>
      </c>
      <c r="EM49" s="153" t="e">
        <f t="shared" ca="1" si="25"/>
        <v>#N/A</v>
      </c>
      <c r="EN49" s="153" t="e">
        <f ca="1">IF(Control!$C$108=1,IF(AND(Control!$B$18=1,$EB49&gt;=Control!$B$19),$EB49-$DS49,IF(AND(Control!$B$18=2,$AW49=1,$EB49&gt;$DS49),$EB49-$DS49,0)))</f>
        <v>#N/A</v>
      </c>
      <c r="EO49" s="153" t="e">
        <f ca="1">IF(Control!$C$108=1,IF(AND(Control!$B$18=1,$EB49&gt;=Control!$B$19),$EF49,IF(AND(Control!$B$18=2,$AW49=1),$EF49,0)))</f>
        <v>#N/A</v>
      </c>
      <c r="EP49" s="153" t="e">
        <f ca="1">IF(Control!$C$108=1,IF(AND(Control!$B$18=1,$EB49&gt;=Control!$B$19),$EK49,IF(AND(Control!$B$18=2,$AW49=1),$EK49,0)))</f>
        <v>#N/A</v>
      </c>
      <c r="EQ49" s="153" t="e">
        <f t="shared" ca="1" si="145"/>
        <v>#N/A</v>
      </c>
      <c r="ER49" s="153" t="e">
        <f t="shared" ca="1" si="231"/>
        <v>#N/A</v>
      </c>
      <c r="ES49" s="153" t="e">
        <f t="shared" ca="1" si="196"/>
        <v>#N/A</v>
      </c>
      <c r="ET49" s="153" t="e">
        <f t="shared" ca="1" si="197"/>
        <v>#N/A</v>
      </c>
      <c r="EU49" s="153" t="e">
        <f t="shared" ca="1" si="198"/>
        <v>#N/A</v>
      </c>
      <c r="EV49" s="153" t="e">
        <f t="shared" ca="1" si="146"/>
        <v>#N/A</v>
      </c>
      <c r="EW49" s="153" t="e">
        <f t="shared" ca="1" si="218"/>
        <v>#N/A</v>
      </c>
      <c r="EX49" s="153" t="e">
        <f t="shared" ca="1" si="26"/>
        <v>#N/A</v>
      </c>
      <c r="EY49" s="157" t="e">
        <f t="shared" ca="1" si="147"/>
        <v>#DIV/0!</v>
      </c>
      <c r="EZ49" s="154" t="e">
        <f t="shared" ca="1" si="27"/>
        <v>#DIV/0!</v>
      </c>
      <c r="FA49" s="153" t="e">
        <f t="shared" ca="1" si="199"/>
        <v>#N/A</v>
      </c>
      <c r="FB49" s="153" t="e">
        <f t="shared" ca="1" si="28"/>
        <v>#N/A</v>
      </c>
      <c r="FC49" s="193" t="e">
        <f t="shared" ca="1" si="29"/>
        <v>#N/A</v>
      </c>
      <c r="FD49" s="158" t="e">
        <f t="shared" ca="1" si="200"/>
        <v>#N/A</v>
      </c>
      <c r="FE49" s="158" t="e">
        <f t="shared" ca="1" si="148"/>
        <v>#N/A</v>
      </c>
      <c r="FF49" s="159" t="e">
        <f t="shared" ca="1" si="30"/>
        <v>#N/A</v>
      </c>
      <c r="FG49" s="160" t="e">
        <f t="shared" ca="1" si="149"/>
        <v>#N/A</v>
      </c>
      <c r="FH49" s="158" t="e">
        <f t="shared" ca="1" si="150"/>
        <v>#N/A</v>
      </c>
      <c r="FI49" s="159" t="e">
        <f t="shared" ca="1" si="31"/>
        <v>#N/A</v>
      </c>
      <c r="FJ49" s="160" t="e">
        <f t="shared" ca="1" si="151"/>
        <v>#N/A</v>
      </c>
      <c r="FK49" s="160" t="e">
        <f t="shared" ca="1" si="32"/>
        <v>#N/A</v>
      </c>
      <c r="FL49" s="160" t="e">
        <f t="shared" ca="1" si="229"/>
        <v>#N/A</v>
      </c>
      <c r="FM49" s="160" t="e">
        <f t="shared" ca="1" si="33"/>
        <v>#N/A</v>
      </c>
      <c r="FN49" s="158">
        <f t="shared" ca="1" si="219"/>
        <v>0.01</v>
      </c>
      <c r="FO49" s="160">
        <f>Control!$C$101</f>
        <v>50</v>
      </c>
      <c r="FP49" s="150" t="e">
        <f t="shared" ca="1" si="34"/>
        <v>#N/A</v>
      </c>
      <c r="FQ49" s="150" t="e">
        <f ca="1">MAX(0,(Control!$C$112*(($DK49-Control!$C$97)/Control!$C$97)))</f>
        <v>#N/A</v>
      </c>
      <c r="FR49" s="150" t="e">
        <f ca="1">(1-$NT49)*Control!$C$113</f>
        <v>#DIV/0!</v>
      </c>
      <c r="FS49" s="198" t="e">
        <f t="shared" ca="1" si="35"/>
        <v>#N/A</v>
      </c>
      <c r="FT49" s="161">
        <f t="shared" ca="1" si="152"/>
        <v>44</v>
      </c>
      <c r="FU49" s="162" t="e">
        <f ca="1">IF(Control!$B$34=1,VLOOKUP($CP49,Control!$B$86:$G$91,6),Control!$B$35)</f>
        <v>#N/A</v>
      </c>
      <c r="FV49" s="162" t="e">
        <f t="shared" ca="1" si="36"/>
        <v>#DIV/0!</v>
      </c>
      <c r="FW49" s="162" t="e">
        <f ca="1">IF(Control!$B$31=1,$FU49*$FV49,  $FU49)</f>
        <v>#N/A</v>
      </c>
      <c r="FX49" s="162" t="e">
        <f ca="1">IF(Control!$B$34=1,VLOOKUP($CP49,Control!$B$86:$G$91,3),Control!$B$36)</f>
        <v>#N/A</v>
      </c>
      <c r="FY49" s="162" t="e">
        <f t="shared" ca="1" si="37"/>
        <v>#N/A</v>
      </c>
      <c r="FZ49" s="162" t="e">
        <f ca="1">IF(Control!$B$34=1,VLOOKUP($CP49,Control!$B$86:$G$91,4),Control!$B$37)</f>
        <v>#N/A</v>
      </c>
      <c r="GA49" s="162" t="e">
        <f t="shared" ca="1" si="38"/>
        <v>#N/A</v>
      </c>
      <c r="GB49" s="162" t="e">
        <f ca="1">IF(Control!$B$34=1,VLOOKUP($CP49,Control!$B$86:$G$91,5),Control!$B$38)</f>
        <v>#N/A</v>
      </c>
      <c r="GC49" s="162" t="e">
        <f t="shared" ca="1" si="153"/>
        <v>#N/A</v>
      </c>
      <c r="GD49" s="162">
        <f t="shared" ca="1" si="39"/>
        <v>1</v>
      </c>
      <c r="GE49" s="162">
        <f t="shared" ca="1" si="40"/>
        <v>1</v>
      </c>
      <c r="GF49" s="162">
        <f ca="1">IF(AND(Control!$C$104=1, Control!$C$62="F"),$GE49,1)</f>
        <v>1</v>
      </c>
      <c r="GG49" s="162" t="e">
        <f ca="1">IF(Control!$B$16=40,0,IF(AND(Control!$B$16&gt;40,Control!$B$16&lt;=360),(Control!$B$16-40)*((1-0)/(360-40)),IF(AND(Control!$B$16&gt;360,Control!$B$16&lt;=720),(1+(Control!$B$16-360)*((1.25-1)/(720-360))),IF(AND(Control!$B$16&gt;720,Control!$B$16&lt;=1000),(1.25+(Control!$B$16-720)*((1.35-1.25)/(1000-720))),IF(AND(Control!$B$16&gt;1000,Control!$B$16&lt;=2000),(1.35+(Control!$B$16-1000)*0))))))</f>
        <v>#N/A</v>
      </c>
      <c r="GH49" s="162" t="e">
        <f t="shared" ca="1" si="41"/>
        <v>#N/A</v>
      </c>
      <c r="GI49" s="162">
        <f t="shared" ca="1" si="201"/>
        <v>0</v>
      </c>
      <c r="GJ49" s="162">
        <f t="shared" ca="1" si="42"/>
        <v>0</v>
      </c>
      <c r="GK49" s="162">
        <f t="shared" ca="1" si="220"/>
        <v>1</v>
      </c>
      <c r="GL49" s="162">
        <f t="shared" ca="1" si="43"/>
        <v>1</v>
      </c>
      <c r="GM49" s="162" t="e">
        <f ca="1">MAX(0,MIN(1,1-Control!$C$156*(1.0001-$KH49)^2))</f>
        <v>#N/A</v>
      </c>
      <c r="GN49" s="162" t="e">
        <f ca="1">IF(Control!$B$26=1,$KU49,$KX49)</f>
        <v>#N/A</v>
      </c>
      <c r="GO49" s="162" t="e">
        <f ca="1">IF($CP49&lt;=60,Control!$C$105,IF($CP49&gt;=90,Control!$C$106,Control!$C$105+($CP49-60)*((Control!$C$106-Control!$C$105)/(90-60))))</f>
        <v>#N/A</v>
      </c>
      <c r="GP49" s="162" t="e">
        <f t="shared" ca="1" si="154"/>
        <v>#N/A</v>
      </c>
      <c r="GQ49" s="162" t="e">
        <f t="shared" ca="1" si="155"/>
        <v>#N/A</v>
      </c>
      <c r="GR49" s="163" t="e">
        <f t="shared" ca="1" si="44"/>
        <v>#DIV/0!</v>
      </c>
      <c r="GS49" s="162" t="e">
        <f t="shared" ca="1" si="45"/>
        <v>#DIV/0!</v>
      </c>
      <c r="GT49" s="164" t="e">
        <f t="shared" ca="1" si="156"/>
        <v>#N/A</v>
      </c>
      <c r="GU49" s="162" t="e">
        <f t="shared" ca="1" si="157"/>
        <v>#N/A</v>
      </c>
      <c r="GV49" s="162" t="e">
        <f t="shared" ca="1" si="46"/>
        <v>#N/A</v>
      </c>
      <c r="GW49" s="162" t="e">
        <f t="shared" ca="1" si="221"/>
        <v>#DIV/0!</v>
      </c>
      <c r="GX49" s="162" t="e">
        <f t="shared" ca="1" si="228"/>
        <v>#DIV/0!</v>
      </c>
      <c r="GY49" s="162" t="e">
        <f t="shared" ca="1" si="158"/>
        <v>#DIV/0!</v>
      </c>
      <c r="GZ49" s="165" t="e">
        <f t="shared" ca="1" si="159"/>
        <v>#N/A</v>
      </c>
      <c r="HA49" s="162" t="e">
        <f ca="1">IF(Control!$C$114=1, $DI49*$FS49, 0)</f>
        <v>#N/A</v>
      </c>
      <c r="HB49" s="162" t="e">
        <f ca="1">$FA49/Control!$C$64</f>
        <v>#N/A</v>
      </c>
      <c r="HC49" s="162" t="e">
        <f t="shared" ca="1" si="222"/>
        <v>#DIV/0!</v>
      </c>
      <c r="HD49" s="162">
        <f ca="1">-ASIN(SIN(23.45*Control!$C$139)*COS(2*Control!$C$138*($AH49+10)/365))</f>
        <v>-0.2403526028427046</v>
      </c>
      <c r="HE49" s="165">
        <f t="shared" ca="1" si="160"/>
        <v>0</v>
      </c>
      <c r="HF49" s="166">
        <f ca="1">IF(AND(Control!$C$61="T",$HE49&gt;=Control!$C$103,Control!$C$114=0),$AH49,Control!$C$59)</f>
        <v>1</v>
      </c>
      <c r="HG49" s="166">
        <f ca="1">IF(AND(Control!$C$61="T",$HE49&gt;=Control!$C$103,Control!$C$114=0),$HF49,Control!$C$59)</f>
        <v>1</v>
      </c>
      <c r="HH49" s="165">
        <f ca="1">IF(AND(OR(Control!$C$60&lt;=0, $AH49= Control!$C$59, Control!$C$60 &gt;0, $AH49 = Control!$C$60)), Control!$C$59, IF(Control!$C$60&gt;0, 0))</f>
        <v>1</v>
      </c>
      <c r="HI49" s="165">
        <f ca="1">IF(AND(OR(Control!$C$60&lt;=0, $AH49= Control!$C$59, Control!$C$60 &gt;0, $AH49 = Control!$C$60)), Control!$C$60, IF(Control!$C$60&lt;=0, 0))</f>
        <v>0</v>
      </c>
      <c r="HJ49" s="166">
        <f ca="1">IF(AND(Control!$C$62="F",$CV49&gt;=Control!$C$102),$AH49,0)</f>
        <v>0</v>
      </c>
      <c r="HK49" s="165" t="e">
        <f t="shared" ca="1" si="202"/>
        <v>#N/A</v>
      </c>
      <c r="HL49" s="166">
        <f ca="1">IF(AND(Control!$C$61="T",$HE49&gt;=Control!$C$103,Control!$C$114=0),$HF49,0)</f>
        <v>0</v>
      </c>
      <c r="HM49" s="201" t="e">
        <f t="shared" ca="1" si="47"/>
        <v>#DIV/0!</v>
      </c>
      <c r="HN49" s="215">
        <f t="shared" ca="1" si="161"/>
        <v>44</v>
      </c>
      <c r="HO49" s="216" t="e">
        <f ca="1">IF(AND($CP49&gt;=0, $CP49&lt;=90), Control!$C$152, Control!$C$152)</f>
        <v>#N/A</v>
      </c>
      <c r="HP49" s="216" t="e">
        <f t="shared" ca="1" si="48"/>
        <v>#N/A</v>
      </c>
      <c r="HQ49" s="217" t="e">
        <f ca="1">IF(OR(Control!$B$26=1,Control!$B$26=2),$KV49,$KS49)</f>
        <v>#DIV/0!</v>
      </c>
      <c r="HR49" s="218" t="e">
        <f t="shared" ca="1" si="223"/>
        <v>#DIV/0!</v>
      </c>
      <c r="HS49" s="216" t="e">
        <f ca="1">Control!$C$154*$HP49</f>
        <v>#N/A</v>
      </c>
      <c r="HT49" s="216" t="e">
        <f ca="1">Control!$C$155*$HP49</f>
        <v>#N/A</v>
      </c>
      <c r="HU49" s="217" t="e">
        <f ca="1">Control!$C$161*$FI49</f>
        <v>#N/A</v>
      </c>
      <c r="HV49" s="218" t="e">
        <f t="shared" ca="1" si="162"/>
        <v>#N/A</v>
      </c>
      <c r="HW49" s="218" t="e">
        <f ca="1">Control!$C$160*$FF49+$IP49*$EO49</f>
        <v>#N/A</v>
      </c>
      <c r="HX49" s="218" t="e">
        <f t="shared" ca="1" si="203"/>
        <v>#N/A</v>
      </c>
      <c r="HY49" s="219" t="e">
        <f ca="1">IF(Control!$C$114=1, $EB49*$FS49, 0)</f>
        <v>#N/A</v>
      </c>
      <c r="HZ49" s="91" t="e">
        <f t="shared" ca="1" si="49"/>
        <v>#N/A</v>
      </c>
      <c r="IA49" s="220" t="e">
        <f ca="1">Control!$C$153*$HO49</f>
        <v>#N/A</v>
      </c>
      <c r="IB49" s="218" t="e">
        <f t="shared" ca="1" si="50"/>
        <v>#N/A</v>
      </c>
      <c r="IC49" s="220" t="e">
        <f ca="1">Control!$C$153*$HT49</f>
        <v>#N/A</v>
      </c>
      <c r="ID49" s="218" t="e">
        <f t="shared" ca="1" si="51"/>
        <v>#N/A</v>
      </c>
      <c r="IE49" s="221" t="e">
        <f ca="1">($EB49*Control!$C$159+$EF49*Control!$C$160)/(IF($GZ49&lt;&gt;0,$GZ49,1))</f>
        <v>#N/A</v>
      </c>
      <c r="IF49" s="216" t="e">
        <f t="shared" ca="1" si="52"/>
        <v>#N/A</v>
      </c>
      <c r="IG49" s="91">
        <f ca="1">IF(OR(Control!$B$198=$AH49,Control!$B$199=$AH49, Control!$B$200=$AH49, Control!$B$201=$AH49, Control!$B$202=$AH49, Control!$B$203=$AH49, Control!$B$204=$AH49, Control!$B$205=$AH49, Control!$B$206=$AH49, Control!$B$207=$AH49), 1, 0)</f>
        <v>0</v>
      </c>
      <c r="IH49" s="91">
        <f ca="1">IF($IG49=0,0, VLOOKUP($AH49,Control!$B$198:$C$207,2))</f>
        <v>0</v>
      </c>
      <c r="II49" s="222">
        <f t="shared" ca="1" si="163"/>
        <v>0</v>
      </c>
      <c r="IJ49" s="91">
        <f>Control!$C$121</f>
        <v>0.7</v>
      </c>
      <c r="IK49" s="218">
        <f t="shared" ca="1" si="53"/>
        <v>0</v>
      </c>
      <c r="IL49" s="217" t="e">
        <f t="shared" ca="1" si="204"/>
        <v>#N/A</v>
      </c>
      <c r="IM49" s="223" t="e">
        <f ca="1">IF(AND(Control!$C$114=1,$KH49&lt;1),$EB49*Control!$C$148*(1-$KH49), 0)</f>
        <v>#N/A</v>
      </c>
      <c r="IN49" s="217" t="e">
        <f t="shared" ca="1" si="54"/>
        <v>#DIV/0!</v>
      </c>
      <c r="IO49" s="91" t="e">
        <f ca="1">MAX(0,$IL49-$EF49*Control!$C$160)</f>
        <v>#N/A</v>
      </c>
      <c r="IP49" s="220" t="e">
        <f t="shared" ca="1" si="55"/>
        <v>#N/A</v>
      </c>
      <c r="IQ49" s="217" t="e">
        <f t="shared" ca="1" si="164"/>
        <v>#N/A</v>
      </c>
      <c r="IR49" s="218" t="e">
        <f t="shared" ca="1" si="56"/>
        <v>#N/A</v>
      </c>
      <c r="IS49" s="217" t="e">
        <f ca="1">Control!$C$159*MAX(0,$FD49-$EN49)</f>
        <v>#N/A</v>
      </c>
      <c r="IT49" s="217" t="e">
        <f t="shared" ca="1" si="205"/>
        <v>#N/A</v>
      </c>
      <c r="IU49" s="217" t="e">
        <f t="shared" ca="1" si="165"/>
        <v>#N/A</v>
      </c>
      <c r="IV49" s="217" t="e">
        <f t="shared" ca="1" si="206"/>
        <v>#N/A</v>
      </c>
      <c r="IW49" s="217" t="e">
        <f ca="1">IF(OR($AW49=1,AND($AW49=0, Control!$B$18=1,$EN49&lt;&gt;0)), $IQ49-$IU49, $IQ49)</f>
        <v>#N/A</v>
      </c>
      <c r="IX49" s="218" t="e">
        <f t="shared" ca="1" si="57"/>
        <v>#N/A</v>
      </c>
      <c r="IY49" s="218" t="e">
        <f ca="1">MAX(0,$IQ49-$EB49*Control!$C$159)</f>
        <v>#N/A</v>
      </c>
      <c r="IZ49" s="218" t="e">
        <f t="shared" ca="1" si="58"/>
        <v>#N/A</v>
      </c>
      <c r="JA49" s="216" t="e">
        <f t="shared" ca="1" si="59"/>
        <v>#N/A</v>
      </c>
      <c r="JB49" s="217" t="e">
        <f t="shared" ca="1" si="60"/>
        <v>#N/A</v>
      </c>
      <c r="JC49" s="222" t="e">
        <f ca="1">MAX(Control!$C$157*$EK49-$JT49, 0)/Control!$C$162</f>
        <v>#N/A</v>
      </c>
      <c r="JD49" s="218" t="e">
        <f t="shared" ca="1" si="61"/>
        <v>#N/A</v>
      </c>
      <c r="JE49" s="218" t="e">
        <f t="shared" ca="1" si="62"/>
        <v>#N/A</v>
      </c>
      <c r="JF49" s="218" t="e">
        <f t="shared" ca="1" si="207"/>
        <v>#N/A</v>
      </c>
      <c r="JG49" s="218" t="e">
        <f t="shared" ca="1" si="63"/>
        <v>#N/A</v>
      </c>
      <c r="JH49" s="217" t="e">
        <f t="shared" ca="1" si="166"/>
        <v>#N/A</v>
      </c>
      <c r="JI49" s="217" t="e">
        <f t="shared" ca="1" si="167"/>
        <v>#N/A</v>
      </c>
      <c r="JJ49" s="217" t="e">
        <f t="shared" ca="1" si="224"/>
        <v>#N/A</v>
      </c>
      <c r="JK49" s="217" t="e">
        <f ca="1">IF(Control!$C$114=1,IF(Control!$B$24=0,MAX(0,$JI49)*$GN49/Control!$C$64,(MAX(0,MIN($JI49,$JJ49*$GN49/Control!$C$64),0))))</f>
        <v>#N/A</v>
      </c>
      <c r="JL49" s="217" t="e">
        <f ca="1">$IK49/Control!$C$64-$JK49+$HQ49</f>
        <v>#N/A</v>
      </c>
      <c r="JM49" s="217" t="e">
        <f ca="1">IF(Control!$C$114=1,($JB49/(IF($JI49&lt;&gt;0,$JI49,1)))*$JK49,0)</f>
        <v>#N/A</v>
      </c>
      <c r="JN49" s="217" t="e">
        <f ca="1">IF(Control!$C$114=1,($JG49/(IF($JI49&lt;&gt;0,$JI49,1)))*$JK49, 0)</f>
        <v>#N/A</v>
      </c>
      <c r="JO49" s="218" t="e">
        <f t="shared" ca="1" si="64"/>
        <v>#N/A</v>
      </c>
      <c r="JP49" s="218" t="e">
        <f ca="1">MIN(($IY49+$IO49)*Control!$C$151, $JF49-$EH49*Control!$C$161)</f>
        <v>#N/A</v>
      </c>
      <c r="JQ49" s="218" t="e">
        <f t="shared" ca="1" si="65"/>
        <v>#N/A</v>
      </c>
      <c r="JR49" s="217" t="e">
        <f ca="1">IF($CP49-Control!$C$150&lt;0, 0, $JQ49/Control!$C$162)</f>
        <v>#N/A</v>
      </c>
      <c r="JS49" s="218" t="e">
        <f t="shared" ca="1" si="66"/>
        <v>#N/A</v>
      </c>
      <c r="JT49" s="218" t="e">
        <f t="shared" ca="1" si="168"/>
        <v>#N/A</v>
      </c>
      <c r="JU49" s="218" t="e">
        <f t="shared" ca="1" si="67"/>
        <v>#N/A</v>
      </c>
      <c r="JV49" s="218" t="e">
        <f t="shared" ca="1" si="68"/>
        <v>#N/A</v>
      </c>
      <c r="JW49" s="216" t="e">
        <f t="shared" ca="1" si="69"/>
        <v>#N/A</v>
      </c>
      <c r="JX49" s="91" t="e">
        <f t="shared" ca="1" si="70"/>
        <v>#N/A</v>
      </c>
      <c r="JY49" s="218" t="e">
        <f t="shared" ca="1" si="71"/>
        <v>#N/A</v>
      </c>
      <c r="JZ49" s="217" t="e">
        <f ca="1">IF(Control!$C$114=1,($IZ49/(IF($JI49&lt;&gt;0,$JI49,1)))*$JK49, 0)</f>
        <v>#N/A</v>
      </c>
      <c r="KA49" s="218" t="e">
        <f t="shared" ca="1" si="225"/>
        <v>#N/A</v>
      </c>
      <c r="KB49" s="218" t="e">
        <f t="shared" ca="1" si="169"/>
        <v>#N/A</v>
      </c>
      <c r="KC49" s="218" t="e">
        <f t="shared" ca="1" si="72"/>
        <v>#N/A</v>
      </c>
      <c r="KD49" s="218" t="e">
        <f t="shared" ca="1" si="73"/>
        <v>#N/A</v>
      </c>
      <c r="KE49" s="218" t="e">
        <f t="shared" ca="1" si="74"/>
        <v>#N/A</v>
      </c>
      <c r="KF49" s="218" t="e">
        <f t="shared" ca="1" si="75"/>
        <v>#N/A</v>
      </c>
      <c r="KG49" s="216" t="e">
        <f t="shared" ca="1" si="76"/>
        <v>#N/A</v>
      </c>
      <c r="KH49" s="221" t="e">
        <f ca="1">IF(Control!$B$24=0,1,MAX(0.001,MIN(1,IF(($IF49-$IE49)&lt;&gt;0,($KG49-$IE49)/($IF49-$IE49),1))))</f>
        <v>#N/A</v>
      </c>
      <c r="KI49" s="222" t="e">
        <f ca="1">IF(Control!$C$114=1, $KI48+ $KH48, 0)</f>
        <v>#N/A</v>
      </c>
      <c r="KJ49" s="217" t="e">
        <f t="shared" ca="1" si="77"/>
        <v>#N/A</v>
      </c>
      <c r="KK49" s="218" t="e">
        <f t="shared" ca="1" si="78"/>
        <v>#N/A</v>
      </c>
      <c r="KL49" s="274" t="e">
        <f ca="1">IF(Control!$B$26=3,4000000000*EXP(-8400/($G49+273)),IF(Control!$B$26=4,4000000000*EXP(-8400/($G49+273))*($KT49),0))</f>
        <v>#DIV/0!</v>
      </c>
      <c r="KM49" s="274" t="e">
        <f ca="1">IF(Control!$B$26=3,5600000000000*EXP(-9800/($G49+273)),IF(Control!$B$26=4,5600000000000*EXP(-9800/($G49+273))*$KT49,0))</f>
        <v>#DIV/0!</v>
      </c>
      <c r="KN49" s="454" t="e">
        <f t="shared" ca="1" si="170"/>
        <v>#DIV/0!</v>
      </c>
      <c r="KO49" s="274" t="e">
        <f t="shared" ca="1" si="171"/>
        <v>#DIV/0!</v>
      </c>
      <c r="KP49" s="454" t="e">
        <f t="shared" ca="1" si="79"/>
        <v>#DIV/0!</v>
      </c>
      <c r="KQ49" s="454" t="e">
        <f t="shared" ca="1" si="80"/>
        <v>#DIV/0!</v>
      </c>
      <c r="KR49" s="454" t="e">
        <f t="shared" ca="1" si="81"/>
        <v>#DIV/0!</v>
      </c>
      <c r="KS49" s="454" t="e">
        <f t="shared" ca="1" si="82"/>
        <v>#DIV/0!</v>
      </c>
      <c r="KT49" s="455" t="e">
        <f t="shared" ca="1" si="83"/>
        <v>#DIV/0!</v>
      </c>
      <c r="KU49" s="456" t="e">
        <f ca="1">IF($CP49-Control!$C$149&lt;0, IF($NT49-0.01&lt;0,0,1),0)</f>
        <v>#N/A</v>
      </c>
      <c r="KV49" s="456" t="e">
        <f ca="1">IF(Control!$C$114=1,MAX(0,MIN(Control!$C$125*$KW49*$GN49,$KW49)))</f>
        <v>#DIV/0!</v>
      </c>
      <c r="KW49" s="456" t="e">
        <f t="shared" ca="1" si="208"/>
        <v>#DIV/0!</v>
      </c>
      <c r="KX49" s="457" t="e">
        <f ca="1">IF($CP49-Control!$C$149&lt;0, IF($MR49-$OM49&lt;0,0,1),0)</f>
        <v>#N/A</v>
      </c>
      <c r="KY49" s="167">
        <f t="shared" ca="1" si="172"/>
        <v>44</v>
      </c>
      <c r="KZ49" s="168">
        <f ca="1">1370*(1+0.033*COS(2*Control!$C$138*$AH49/365))</f>
        <v>1402.8498711786629</v>
      </c>
      <c r="LA49" s="169">
        <f t="shared" ca="1" si="173"/>
        <v>1.0239780483173626</v>
      </c>
      <c r="LB49" s="169">
        <f t="shared" ca="1" si="174"/>
        <v>-0.24181037480038131</v>
      </c>
      <c r="LC49" s="169">
        <f ca="1">ACOS(-TAN((2*Control!$B$8/360))*TAN(Calculations!$LB49))</f>
        <v>1.4974294312855145</v>
      </c>
      <c r="LD49" s="169">
        <f ca="1">((24*60)/PI())*0.082*$LA49*(($LC49*SIN(Control!$B$8*2*PI()/360))*SIN($LB49)+COS(Control!$B$8*2*PI()/360)*COS($LB49)*SIN($LC49))</f>
        <v>12.068840194941837</v>
      </c>
      <c r="LE49" s="170">
        <f t="shared" ca="1" si="84"/>
        <v>12.811478822678451</v>
      </c>
      <c r="LF49" s="170">
        <f ca="1">SIN(Control!$C$139*Control!$B$8)*SIN($HD49)</f>
        <v>-0.18758241611816798</v>
      </c>
      <c r="LG49" s="170">
        <f ca="1">COS(Control!$C$139*Control!$B$8)*COS($HD49)</f>
        <v>0.5979621077101247</v>
      </c>
      <c r="LH49" s="170">
        <f ca="1">12*(1+2*ASIN(MAX(-1,MIN(1,$LF49/$LG49))/Control!$C$138))</f>
        <v>9.5994918369984443</v>
      </c>
      <c r="LI49" s="170">
        <f ca="1">12*(1+2*ASIN(MAX(-1,MIN(1,(-SIN(-4*Control!$C$139)+$LF49)/$LG49))/Control!$C$138))</f>
        <v>10.493697581858001</v>
      </c>
      <c r="LJ49" s="168">
        <f ca="1">3600*($LH49*$LF49+24*$LG49*SQRT(1-$LK49*$LK49)/Control!$C$138)</f>
        <v>9132.4660506361615</v>
      </c>
      <c r="LK49" s="170">
        <f t="shared" ca="1" si="85"/>
        <v>-0.31370284788865366</v>
      </c>
      <c r="LL49" s="170">
        <f t="shared" ca="1" si="86"/>
        <v>0</v>
      </c>
      <c r="LM49" s="171">
        <f ca="1">Control!$C$145*$AB49</f>
        <v>6.6660906138995932E-2</v>
      </c>
      <c r="LN49" s="170">
        <f t="shared" ca="1" si="175"/>
        <v>0.54</v>
      </c>
      <c r="LO49" s="170">
        <f t="shared" ca="1" si="87"/>
        <v>0</v>
      </c>
      <c r="LP49" s="170">
        <f ca="1">Control!$C$140*((($D49+273.16)^4+($E49+273.16)^4)/2)*(0.34-0.14*SQRT($Y49))*(1.35*$AQ49/(0.75*$LD49)-0.35)</f>
        <v>-3.2464704755046001</v>
      </c>
      <c r="LQ49" s="170">
        <f ca="1">Control!$C$140*($G49+273)^4*(0.56-0.079*SQRT($Y49*10))*(0.1+0.9*$LO49)</f>
        <v>1.5241745131704001</v>
      </c>
      <c r="LR49" s="170">
        <f ca="1">$AQ49*(1-Control!$C$142)-$LQ49</f>
        <v>-1.5241745131704001</v>
      </c>
      <c r="LS49" s="170">
        <f ca="1">$AQ49*(1-Control!$C$143)-$LQ49</f>
        <v>-1.5241745131704001</v>
      </c>
      <c r="LT49" s="170">
        <f ca="1">$AQ49*(1-Control!$C$144)-$LQ49</f>
        <v>-1.5241745131704001</v>
      </c>
      <c r="LU49" s="169">
        <f ca="1">(1-Control!$C$144)*AQ49-LP49</f>
        <v>3.2464704755046001</v>
      </c>
      <c r="LV49" s="172">
        <f t="shared" ca="1" si="88"/>
        <v>0.79430000000000012</v>
      </c>
      <c r="LW49" s="170">
        <f t="shared" ca="1" si="89"/>
        <v>1.5886000000000002</v>
      </c>
      <c r="LX49" s="170">
        <f ca="1">($AC49*($LR49/Control!$C$141)+$LM49*$LV49)/($AC49+$LM49)</f>
        <v>0.23530094218323697</v>
      </c>
      <c r="LY49" s="170">
        <f ca="1">($AC49*($LS49/Control!$C$141)+$LM49*$LV49)/($AC49+$LM49)</f>
        <v>0.23530094218323697</v>
      </c>
      <c r="LZ49" s="170">
        <f t="shared" ca="1" si="90"/>
        <v>0.23530094218323697</v>
      </c>
      <c r="MA49" s="170">
        <f t="shared" ca="1" si="91"/>
        <v>0.23530094218323697</v>
      </c>
      <c r="MB49" s="170" t="e">
        <f t="shared" ca="1" si="92"/>
        <v>#N/A</v>
      </c>
      <c r="MC49" s="170">
        <f t="shared" ca="1" si="176"/>
        <v>0.6018</v>
      </c>
      <c r="MD49" s="170">
        <f t="shared" ca="1" si="93"/>
        <v>0.52989392535414004</v>
      </c>
      <c r="ME49" s="170">
        <f ca="1">($AC49*($LT49/Control!$C$141)+$LM49*$LW49)/($AC49+$LM49)</f>
        <v>0.71612369323045078</v>
      </c>
      <c r="MF49" s="170" t="e">
        <f ca="1">IF(Control!$B$16&gt;=1000,0.92,IF(AND(720&lt;=Control!$B$16,1000&gt;Control!$B$16),(0.95+(Control!$B$16-720)*((0.92-0.95)/(1000-720))),IF(AND(360&lt;=Control!$B$16,720&gt;Control!$B$16),(1+(Control!$B$16-360)*((0.95-1)/(720-360))),IF(AND(40&lt;=Control!$B$16,360&gt;Control!$B$16),(1.05+(Control!$B$16-40)*((1.05-1)/(360-40)))))))</f>
        <v>#N/A</v>
      </c>
      <c r="MG49" s="170">
        <f t="shared" ca="1" si="94"/>
        <v>0.71612369323045078</v>
      </c>
      <c r="MH49" s="170" t="e">
        <f t="shared" ca="1" si="232"/>
        <v>#N/A</v>
      </c>
      <c r="MI49" s="170" t="e">
        <f t="shared" ca="1" si="232"/>
        <v>#N/A</v>
      </c>
      <c r="MJ49" s="170" t="e">
        <f ca="1">MAX(0.0001, Control!$C$132*$MI49*$DL49)</f>
        <v>#N/A</v>
      </c>
      <c r="MK49" s="170">
        <f ca="1">1/(0.76+1.5*($MG49/10))-(5-Control!$C$110)*0.1</f>
        <v>1.002845988140797</v>
      </c>
      <c r="ML49" s="173">
        <f ca="1">IF(Control!$C$110&lt;3,$MK49+($MG49-0.6)/(Control!$C$110*(Control!$C$110+3)), MAX(0.1, MIN(0.95,$MK49)))</f>
        <v>0.95</v>
      </c>
      <c r="MM49" s="173">
        <f ca="1">IF(Control!$C$110&lt;3,$MK49+(($MI49/10)-0.6)/(Control!$C$110*(Control!$C$110+3)), MAX(0.1, MIN(0.95,$MK49)))</f>
        <v>0.95</v>
      </c>
      <c r="MN49" s="173">
        <f ca="1">(1-$MM49)*(Control!$C$128-Control!$C$127)+Control!$C$127</f>
        <v>0.16</v>
      </c>
      <c r="MO49" s="170" t="e">
        <f ca="1">MAX(0,MIN(1,($MS49-Control!$C$127)/($MN49-Control!$C$127)))</f>
        <v>#DIV/0!</v>
      </c>
      <c r="MP49" s="173" t="e">
        <f ca="1">1/(0.76+1.5*$MI49)-(5-Control!$C$110)*0.1</f>
        <v>#N/A</v>
      </c>
      <c r="MQ49" s="172" t="e">
        <f t="shared" ca="1" si="209"/>
        <v>#DIV/0!</v>
      </c>
      <c r="MR49" s="168" t="e">
        <f t="shared" ca="1" si="226"/>
        <v>#DIV/0!</v>
      </c>
      <c r="MS49" s="173" t="e">
        <f ca="1">MAX(Control!$C$127, MIN(Control!$C$135, $MR49/MAX(0.0001,$CY49)))</f>
        <v>#DIV/0!</v>
      </c>
      <c r="MT49" s="168" t="e">
        <f ca="1">(Control!$C$128-$MS49)*Control!$C$74</f>
        <v>#DIV/0!</v>
      </c>
      <c r="MU49" s="168" t="e">
        <f ca="1">(Control!$C$135-$MS49)*Control!$C$74</f>
        <v>#DIV/0!</v>
      </c>
      <c r="MV49" s="168" t="e">
        <f t="shared" ca="1" si="210"/>
        <v>#DIV/0!</v>
      </c>
      <c r="MW49" s="168" t="e">
        <f t="shared" ca="1" si="177"/>
        <v>#DIV/0!</v>
      </c>
      <c r="MX49" s="171" t="e">
        <f ca="1">MAX(Control!$C$127, MIN(Control!$C$135, $MW49/MAX(0.0001,Control!$C$119-$CY49)))</f>
        <v>#DIV/0!</v>
      </c>
      <c r="MY49" s="54" t="e">
        <f ca="1">IF(Control!$C$114=1, $CX49*$MX49, 0)</f>
        <v>#DIV/0!</v>
      </c>
      <c r="MZ49" s="54" t="e">
        <f t="shared" ca="1" si="178"/>
        <v>#N/A</v>
      </c>
      <c r="NA49" s="168" t="e">
        <f ca="1">(Control!$C$128-$MX49)*(Control!$C$119-Control!$C$74)</f>
        <v>#DIV/0!</v>
      </c>
      <c r="NB49" s="168" t="e">
        <f ca="1">(Control!$C$135-$MX49)*(Control!$C$119-Control!$C$74)</f>
        <v>#DIV/0!</v>
      </c>
      <c r="NC49" s="174" t="e">
        <f t="shared" ca="1" si="179"/>
        <v>#DIV/0!</v>
      </c>
      <c r="ND49" s="54">
        <f ca="1">IF(Control!$C$58=2, IF(OR(Control!$B$218=$AH49,Control!$B$219=$AH49, Control!$B$220=$AH49, Control!$B$221=$AH49, Control!$B$222=$AH49, Control!$B$223=$AH49, Control!$B$224=$AH49, Control!$B$225=$AH49, Control!$B$226=$AH49, Control!$B$227=$AH49, Control!$B$228=$AH49), 1, 0), 0)</f>
        <v>0</v>
      </c>
      <c r="NE49" s="54">
        <f ca="1">IF($ND49=0,0, VLOOKUP($AH49,Control!$B$218:$C$228,2))</f>
        <v>0</v>
      </c>
      <c r="NF49" s="168" t="e">
        <f ca="1">$CY49*(Control!$C$128-Control!$C$127)</f>
        <v>#N/A</v>
      </c>
      <c r="NG49" s="54" t="e">
        <f ca="1">IF(Control!$C$58=2, $NI48-$NJ48, 0)</f>
        <v>#DIV/0!</v>
      </c>
      <c r="NH49" s="54" t="e">
        <f ca="1">IF(AND(Control!$C$58=1, $MS48&lt;= ($MN48+0.02), $I48&lt;10), 0, IF(Control!$C$58=2, $NG48, 0))</f>
        <v>#DIV/0!</v>
      </c>
      <c r="NI49" s="54" t="e">
        <f ca="1">IF(Control!$C$58=2, $NE49+$NH49,0)</f>
        <v>#DIV/0!</v>
      </c>
      <c r="NJ49" s="54" t="e">
        <f ca="1">IF(AND(Control!$C$58=1, $MS49&lt;= ($MN49+0.02), $I49&lt;10), MAX(0, MIN(10, 0.7*($NF49-$MV49))), IF(Control!$C$58=2, MIN(10,$NI49),0))</f>
        <v>#DIV/0!</v>
      </c>
      <c r="NK49" s="54" t="e">
        <f t="shared" ca="1" si="96"/>
        <v>#DIV/0!</v>
      </c>
      <c r="NL49" s="173" t="e">
        <f ca="1">(1-Control!$C$73)*$I49+$NJ49</f>
        <v>#DIV/0!</v>
      </c>
      <c r="NM49" s="172" t="e">
        <f ca="1">IF($NL49&lt;0.5, $MB49* MAX(0, MIN(1, (SQRT($NC49)-SQRT($NC49-1))*Control!$C$71)),0)</f>
        <v>#DIV/0!</v>
      </c>
      <c r="NN49" s="170" t="e">
        <f ca="1">IF($NL49&gt;=5, $MB49, MAX(0,MIN($MB49, $NM49+$NL49,($MS49-Control!$C$129))))</f>
        <v>#DIV/0!</v>
      </c>
      <c r="NO49" s="54">
        <f>IF(Control!$C$133&lt;&gt;1, Control!$C$135-Control!$C$131, 0)</f>
        <v>0.38</v>
      </c>
      <c r="NP49" s="54" t="e">
        <f t="shared" ca="1" si="97"/>
        <v>#DIV/0!</v>
      </c>
      <c r="NQ49" s="173" t="e">
        <f ca="1">MAX(0,MIN(1,(Control!$C$135-$MS49)/(Control!$C$135-$NO49)))</f>
        <v>#DIV/0!</v>
      </c>
      <c r="NR49" s="170" t="e">
        <f ca="1">IF(Control!$C$133&lt;&gt;1, $NQ49+((1-$NP49/4)*(1-$NQ49)),1)</f>
        <v>#DIV/0!</v>
      </c>
      <c r="NS49" s="170" t="e">
        <f ca="1">IF(Control!$B$31=0,$MJ49,MAX(0,MIN($MV49,$MO49*$NR49*$MJ49)))</f>
        <v>#DIV/0!</v>
      </c>
      <c r="NT49" s="170" t="e">
        <f t="shared" ca="1" si="227"/>
        <v>#DIV/0!</v>
      </c>
      <c r="NU49" s="170" t="e">
        <f t="shared" ca="1" si="180"/>
        <v>#N/A</v>
      </c>
      <c r="NV49" s="170" t="e">
        <f t="shared" ca="1" si="98"/>
        <v>#N/A</v>
      </c>
      <c r="NW49" s="175" t="e">
        <f t="shared" ca="1" si="99"/>
        <v>#DIV/0!</v>
      </c>
      <c r="NX49" s="170" t="e">
        <f ca="1">MIN(Control!$C$72+$MU49, $NW49)</f>
        <v>#DIV/0!</v>
      </c>
      <c r="NY49" s="170" t="e">
        <f ca="1">IF($MT49&lt;=$NX49,MIN(Control!$C$72+$NB49,$NX49-$MT49),0)</f>
        <v>#DIV/0!</v>
      </c>
      <c r="NZ49" s="54" t="e">
        <f ca="1">IF(Control!$C$114=1,  $CX49*($MX49-Control!$C$127), 0)</f>
        <v>#DIV/0!</v>
      </c>
      <c r="OA49" s="170" t="e">
        <f t="shared" ca="1" si="181"/>
        <v>#DIV/0!</v>
      </c>
      <c r="OB49" s="170" t="e">
        <f ca="1">IF($NA49 &lt;=$NY49, MIN(Control!$C$72, $NY49-$NA49), 0)</f>
        <v>#DIV/0!</v>
      </c>
      <c r="OC49" s="168" t="e">
        <f t="shared" ca="1" si="100"/>
        <v>#DIV/0!</v>
      </c>
      <c r="OD49" s="168" t="e">
        <f t="shared" ca="1" si="182"/>
        <v>#DIV/0!</v>
      </c>
      <c r="OE49" s="170">
        <f ca="1">Control!$C$73*$I49</f>
        <v>0</v>
      </c>
      <c r="OF49" s="176" t="e">
        <f t="shared" ca="1" si="101"/>
        <v>#DIV/0!</v>
      </c>
      <c r="OG49" s="168" t="e">
        <f t="shared" ca="1" si="102"/>
        <v>#DIV/0!</v>
      </c>
      <c r="OH49" s="168" t="e">
        <f t="shared" ca="1" si="103"/>
        <v>#DIV/0!</v>
      </c>
      <c r="OI49" s="168" t="e">
        <f t="shared" ca="1" si="104"/>
        <v>#DIV/0!</v>
      </c>
      <c r="OJ49" s="168" t="e">
        <f t="shared" ca="1" si="105"/>
        <v>#DIV/0!</v>
      </c>
      <c r="OK49" s="204" t="e">
        <f t="shared" ca="1" si="183"/>
        <v>#DIV/0!</v>
      </c>
      <c r="OL49" s="177">
        <f>Control!$C$127</f>
        <v>0.15</v>
      </c>
      <c r="OM49" s="182" t="e">
        <f t="shared" ca="1" si="106"/>
        <v>#N/A</v>
      </c>
      <c r="ON49" s="177">
        <f>Control!$C$128</f>
        <v>0.35</v>
      </c>
      <c r="OO49" s="182" t="e">
        <f t="shared" ca="1" si="107"/>
        <v>#N/A</v>
      </c>
      <c r="OP49" s="138">
        <f t="shared" ca="1" si="184"/>
        <v>0</v>
      </c>
      <c r="OQ49" s="138" t="e">
        <f t="shared" ca="1" si="211"/>
        <v>#DIV/0!</v>
      </c>
      <c r="OR49" s="138" t="e">
        <f t="shared" ca="1" si="185"/>
        <v>#DIV/0!</v>
      </c>
      <c r="OS49" s="137" t="e">
        <f t="shared" ca="1" si="212"/>
        <v>#DIV/0!</v>
      </c>
      <c r="OT49" s="139" t="e">
        <f t="shared" ca="1" si="213"/>
        <v>#DIV/0!</v>
      </c>
      <c r="OU49" s="138" t="e">
        <f t="shared" ca="1" si="214"/>
        <v>#N/A</v>
      </c>
      <c r="OV49" s="138" t="e">
        <f t="shared" ca="1" si="215"/>
        <v>#DIV/0!</v>
      </c>
      <c r="OW49" s="138" t="e">
        <f t="shared" ca="1" si="186"/>
        <v>#DIV/0!</v>
      </c>
      <c r="OX49" s="138" t="e">
        <f t="shared" ca="1" si="187"/>
        <v>#DIV/0!</v>
      </c>
      <c r="OY49" s="138" t="e">
        <f t="shared" ca="1" si="188"/>
        <v>#DIV/0!</v>
      </c>
      <c r="OZ49" s="138" t="e">
        <f t="shared" ca="1" si="108"/>
        <v>#DIV/0!</v>
      </c>
      <c r="PA49" s="138" t="e">
        <f t="shared" ca="1" si="109"/>
        <v>#DIV/0!</v>
      </c>
      <c r="PB49" s="55">
        <f>IF(Control!$C$61="T", IF(Control!$C$65="F", IF($AH$6-Control!$C$60&lt;0,0,1), IF(365+$AH$6-Control!$C$60&lt;0,0,1)),0)</f>
        <v>0</v>
      </c>
      <c r="PC49" s="55">
        <f ca="1">IF(Control!$C$65="F", IF($AH$6-$HF49&lt;0,0,1), IF(365+$AH$6-$HF49&lt;0,0,1))</f>
        <v>1</v>
      </c>
      <c r="PD49" s="444">
        <f>Control!$C$118</f>
        <v>1500</v>
      </c>
      <c r="PE49" s="180" t="e">
        <f t="shared" ca="1" si="110"/>
        <v>#N/A</v>
      </c>
      <c r="PF49" s="445">
        <f t="shared" ca="1" si="189"/>
        <v>0.71612369323045078</v>
      </c>
      <c r="PT49" s="186"/>
      <c r="PU49" s="186"/>
      <c r="PV49" s="94"/>
      <c r="PW49" s="94"/>
      <c r="PX49" s="94"/>
      <c r="PY49" s="94"/>
      <c r="PZ49" s="94"/>
      <c r="QA49" s="94"/>
      <c r="QB49" s="94"/>
      <c r="QC49" s="94"/>
      <c r="QD49" s="94"/>
      <c r="QE49" s="94"/>
      <c r="QF49" s="94"/>
      <c r="QG49" s="94"/>
      <c r="QH49" s="94"/>
      <c r="QI49" s="94"/>
      <c r="QJ49" s="94"/>
      <c r="QK49" s="94"/>
      <c r="QL49" s="94"/>
      <c r="QM49" s="94"/>
      <c r="QN49" s="94"/>
      <c r="QO49" s="94"/>
      <c r="QP49" s="94"/>
    </row>
    <row r="50" spans="1:458" s="2" customFormat="1" x14ac:dyDescent="0.2">
      <c r="A50" s="395">
        <v>14</v>
      </c>
      <c r="B50" s="396">
        <v>2</v>
      </c>
      <c r="C50" s="387">
        <f ca="1">Weather_data!$B49</f>
        <v>0</v>
      </c>
      <c r="D50" s="388">
        <f ca="1">Weather_data!$F49</f>
        <v>0</v>
      </c>
      <c r="E50" s="388">
        <f ca="1">Weather_data!$E49</f>
        <v>0</v>
      </c>
      <c r="F50" s="388">
        <f t="shared" ca="1" si="111"/>
        <v>0</v>
      </c>
      <c r="G50" s="388">
        <f ca="1">AVERAGE($D50:$E50)+Control!$B$9</f>
        <v>0</v>
      </c>
      <c r="H50" s="388">
        <f ca="1">Weather_data!$G49</f>
        <v>0</v>
      </c>
      <c r="I50" s="388">
        <f ca="1">Weather_data!$I49</f>
        <v>0</v>
      </c>
      <c r="J50" s="388">
        <f ca="1">Weather_data!$H49</f>
        <v>0</v>
      </c>
      <c r="K50" s="389">
        <f ca="1">Weather_data!$D49</f>
        <v>0</v>
      </c>
      <c r="L50" s="388" t="e">
        <f t="shared" ca="1" si="112"/>
        <v>#N/A</v>
      </c>
      <c r="M50" s="388" t="e">
        <f t="shared" ca="1" si="0"/>
        <v>#N/A</v>
      </c>
      <c r="N50" s="388">
        <f t="shared" ca="1" si="1"/>
        <v>-4.8488686489376164E-3</v>
      </c>
      <c r="O50" s="388">
        <f t="shared" ca="1" si="113"/>
        <v>4.8488686489376168E-2</v>
      </c>
      <c r="P50" s="390">
        <v>3</v>
      </c>
      <c r="Q50" s="388">
        <f ca="1">MAX($G50-Control!$C$107,0)</f>
        <v>0</v>
      </c>
      <c r="R50" s="388">
        <f t="shared" ca="1" si="114"/>
        <v>0</v>
      </c>
      <c r="S50" s="388">
        <f t="shared" ca="1" si="2"/>
        <v>0</v>
      </c>
      <c r="T50" s="388">
        <f t="shared" ca="1" si="3"/>
        <v>0</v>
      </c>
      <c r="U50" s="59">
        <f t="shared" ca="1" si="4"/>
        <v>0</v>
      </c>
      <c r="V50" s="391">
        <f ca="1">MAX(0,MIN(Control!$C$100-Control!$C$99,$G50-Control!$C$99)*Control!$C$63)</f>
        <v>0</v>
      </c>
      <c r="W50" s="388">
        <f t="shared" ca="1" si="190"/>
        <v>0</v>
      </c>
      <c r="X50" s="388">
        <f t="shared" ca="1" si="115"/>
        <v>0.6110000000000001</v>
      </c>
      <c r="Y50" s="388">
        <f t="shared" ca="1" si="116"/>
        <v>0</v>
      </c>
      <c r="Z50" s="388">
        <f t="shared" ca="1" si="117"/>
        <v>0.61058800000000002</v>
      </c>
      <c r="AA50" s="388">
        <f t="shared" ca="1" si="5"/>
        <v>0.6018</v>
      </c>
      <c r="AB50" s="388">
        <f ca="1">101.3*EXP(-0.034*Control!$C$66/($G50+273))</f>
        <v>100.69623283836242</v>
      </c>
      <c r="AC50" s="392">
        <f t="shared" ca="1" si="6"/>
        <v>4.3460251046025113E-2</v>
      </c>
      <c r="AD50" s="392">
        <f t="shared" ca="1" si="7"/>
        <v>4.4450382862832649E-2</v>
      </c>
      <c r="AE50" s="388">
        <f t="shared" ca="1" si="8"/>
        <v>0</v>
      </c>
      <c r="AF50" s="388">
        <f ca="1">MAX(0,$G50-Control!$C$92)</f>
        <v>0</v>
      </c>
      <c r="AG50" s="393">
        <f t="shared" ca="1" si="118"/>
        <v>45</v>
      </c>
      <c r="AH50" s="389">
        <f t="shared" ca="1" si="9"/>
        <v>45</v>
      </c>
      <c r="AI50" s="388">
        <f t="shared" ca="1" si="119"/>
        <v>-0.23466836866948793</v>
      </c>
      <c r="AJ50" s="388">
        <f ca="1">IF(Control!$C$60&lt;=0,$HH50,$HI50)</f>
        <v>1</v>
      </c>
      <c r="AK50" s="388">
        <f t="shared" ca="1" si="10"/>
        <v>-0.60249722123639871</v>
      </c>
      <c r="AL50" s="388">
        <f t="shared" ca="1" si="11"/>
        <v>1.4426949218604434E-18</v>
      </c>
      <c r="AM50" s="388">
        <f t="shared" ca="1" si="12"/>
        <v>-0.60249722123639871</v>
      </c>
      <c r="AN50" s="388">
        <f t="shared" ca="1" si="13"/>
        <v>-0.22738843781214688</v>
      </c>
      <c r="AO50" s="388">
        <f ca="1">-0.10453/COS(Control!$B$8*PI()/180)*COS(AN50)</f>
        <v>-0.16541433891028851</v>
      </c>
      <c r="AP50" s="388">
        <f ca="1">ACOS(AO50-TAN(Control!$B$8*PI()/180)*TAN(AN50))</f>
        <v>1.4396691317690495</v>
      </c>
      <c r="AQ50" s="388">
        <f t="shared" ca="1" si="120"/>
        <v>0</v>
      </c>
      <c r="AR50" s="394">
        <f t="shared" ca="1" si="14"/>
        <v>0</v>
      </c>
      <c r="AS50" s="436">
        <f ca="1">IF(Control!$B$18=2,(IF(OR($AH50=Control!$B$175,$AH50=Control!$B$176,$AH50=Control!$B$177,$AH50=Control!$B$178,$AH50=Control!$B$179,$AH50=Control!$B$180,$AH50=Control!$B$181,$AH50=Control!$B$182,$AH50=Control!$B$183,$AH50=Control!$B$184,$AH50=Control!$B$185),1,0)),0)</f>
        <v>0</v>
      </c>
      <c r="AT50" s="436">
        <f>IF(Control!$B$20=8,IF(AND($AH50&gt;=Control!$B$172,$AH50&lt;=Control!$B$173),1,0),0)</f>
        <v>0</v>
      </c>
      <c r="AU50" s="436">
        <f>IF(Control!$B$20=8,IF($AV49=1,1*$AT50,IF($AT50=1,$AU49+1,$AU49)),0)</f>
        <v>0</v>
      </c>
      <c r="AV50" s="436">
        <f>IF(Control!$B$20=8,IF($AU50&gt;=Control!$B$174,1,0),0)</f>
        <v>0</v>
      </c>
      <c r="AW50" s="436">
        <f ca="1">IF(AND(Control!$B$18=2,Control!$B$171=1), $AV50, $AS50)</f>
        <v>0</v>
      </c>
      <c r="AX50" s="436" t="e">
        <f ca="1">IF(AND(Control!$B$18=1,$EU50&gt;=Control!$B$19),-$AY50,IF(AND(Control!$B$18=2,$AW50=1,$EU50&gt;$DS50),-$AY50, IF(Control!$C$108=0,0, IF(Control!$C$108&lt;&gt;0,1))))</f>
        <v>#N/A</v>
      </c>
      <c r="AY50" s="436" t="e">
        <f t="shared" ca="1" si="121"/>
        <v>#N/A</v>
      </c>
      <c r="AZ50" s="436" t="e">
        <f ca="1">IF(AND(Control!$B$18=1,$EB50&gt;Control!$B$19),$AZ49+1, IF(AND(Control!$B$18=2, $AW50=1, $EB50&gt;$DS50), $AZ49+1,$AZ49))</f>
        <v>#N/A</v>
      </c>
      <c r="BA50" s="587">
        <f>IF(Control!$C$81=0,1,IF($AH50&gt;=Control!$C$82,1,0))</f>
        <v>1</v>
      </c>
      <c r="BB50" s="140" t="e">
        <f ca="1">IF($BA50&gt;$BA49,Control!$C$83,IF($AW50&gt;0,$AW50*Control!$C$84,IF(AND(Control!$B$18=1,EN49&lt;&gt;0),Control!$C$84,0)))</f>
        <v>#N/A</v>
      </c>
      <c r="BC50" s="140" t="e">
        <f t="shared" ca="1" si="122"/>
        <v>#N/A</v>
      </c>
      <c r="BD50" s="140" t="e">
        <f ca="1">BC50*IF(OR($G50&lt;Control!$C$92,$G50&gt;Control!$C$95),0,IF(AND($G50&gt;=Control!$C$92,$G50&lt;=Control!$C$93),$G50-Control!$C$92,IF(AND($G50&gt;Control!$C$93,$G50&lt;=Control!$C$94),Control!$C$93-Control!$C$92,IF(AND($G50&gt;Control!$C$94,$G50&lt;=Control!$C$95),(Control!$C$93-Control!$C$92)*(Control!$C$94-$G50)/(Control!$C$95-Control!$C$94)))))</f>
        <v>#N/A</v>
      </c>
      <c r="BE50" s="140" t="e">
        <f t="shared" ca="1" si="123"/>
        <v>#N/A</v>
      </c>
      <c r="BF50" s="140" t="e">
        <f ca="1">IF($BE50&lt;=Control!$C$86,$BE50,Control!$C$86-$BE50)</f>
        <v>#N/A</v>
      </c>
      <c r="BG50" s="140" t="e">
        <f ca="1">IF(AND($AW50=1,Control!$C$84&lt;9),1,IF($BE50&gt;=Control!$C$86,0,$BC50))</f>
        <v>#N/A</v>
      </c>
      <c r="BH50" s="404" t="e">
        <f ca="1">IF($BG50=0,0,IF($BE50&lt;=Control!$C$86,$BC50*9*($BF50/Control!$C$86),0))</f>
        <v>#N/A</v>
      </c>
      <c r="BI50" s="140" t="e">
        <f ca="1">IF($BG50=1,0,IF($BE50&gt;=Control!$C$86,1,IF(AND($BB50&lt;21,$BB50&gt;=9),1,$BM49)))</f>
        <v>#N/A</v>
      </c>
      <c r="BJ50" s="140" t="e">
        <f ca="1">IF($BF50&lt;0,-$BF50,$BI50*IF(OR($G50&lt;Control!$C$92,$G50&gt;Control!$C$95),0,IF(AND($G50&gt;=Control!$C$92,$G50&lt;=Control!$C$93),$G50-Control!$C$92,IF(AND($G50&gt;Control!$C$93,$G50&lt;=Control!$C$94),Control!$C$93-Control!$C$92,IF(AND($G50&gt;Control!$C$94,$G50&lt;=Control!$C$95),(Control!$C$93-Control!$C$92)*(Control!$C$94-$G50)/(Control!$C$95-Control!$C$94))))))</f>
        <v>#N/A</v>
      </c>
      <c r="BK50" s="140" t="e">
        <f t="shared" ca="1" si="124"/>
        <v>#N/A</v>
      </c>
      <c r="BL50" s="140" t="e">
        <f ca="1">IF($BK50&lt;=Control!$C$87,$BK50,Control!$C$87-$BK50)</f>
        <v>#N/A</v>
      </c>
      <c r="BM50" s="140" t="e">
        <f ca="1">IF(AND($BB50&gt;=9,$BB50&lt;21),1,IF($BK50&gt;=Control!$C$87,0,$BI50))</f>
        <v>#N/A</v>
      </c>
      <c r="BN50" s="404" t="e">
        <f ca="1">IF($BM50=0,0,IF($BK50&lt;=Control!$C$87,$BI50*(9+(21-9)*($BL50/Control!$C$87)),0))</f>
        <v>#N/A</v>
      </c>
      <c r="BO50" s="140" t="e">
        <f ca="1">IF($BM50=1,0,IF($BK50&gt;=Control!$C$87,1,IF(AND($BB50&lt;30,$BB50&gt;=21),1,$BS49)))</f>
        <v>#N/A</v>
      </c>
      <c r="BP50" s="140" t="e">
        <f ca="1">IF($BL50&lt;0,-$BL50,$BO50*IF(OR($G50&lt;Control!$C$92,$G50&gt;Control!$C$95),0,IF(AND($G50&gt;=Control!$C$92,$G50&lt;=Control!$C$93),$G50-Control!$C$92,IF(AND($G50&gt;Control!$C$93,$G50&lt;=Control!$C$94),Control!$C$93-Control!$C$92,IF(AND($G50&gt;Control!$C$94,$G50&lt;=Control!$C$95),(Control!$C$93-Control!$C$92)*(Control!$C$94-$G50)/(Control!$C$95-Control!$C$94))))))</f>
        <v>#N/A</v>
      </c>
      <c r="BQ50" s="140" t="e">
        <f t="shared" ca="1" si="15"/>
        <v>#N/A</v>
      </c>
      <c r="BR50" s="140" t="e">
        <f ca="1">IF($BQ50&lt;=Control!$C$88,$BQ50,Control!$C$88-$BQ50)</f>
        <v>#N/A</v>
      </c>
      <c r="BS50" s="140" t="e">
        <f ca="1">IF(AND($BB50&gt;=21,$BB50&lt;30),1,IF($BQ50&gt;=Control!$C$88,0,$BO50))</f>
        <v>#N/A</v>
      </c>
      <c r="BT50" s="404" t="e">
        <f ca="1">IF($BS50=0,0,IF($BQ50&lt;=Control!$C$88,$BO50*(21+(30-21)*(BR50/Control!$C$88)),0))</f>
        <v>#N/A</v>
      </c>
      <c r="BU50" s="140" t="e">
        <f ca="1">IF(BG50+BM50+BS50=1,0,IF(OR(AND($BB50&lt;60,$BB50&gt;=30),$BQ50&gt;=Control!$C$88),1*$BA50,$BY49))</f>
        <v>#N/A</v>
      </c>
      <c r="BV50" s="140" t="e">
        <f ca="1">IF($BR50&lt;0,-$BR50,$BU50*IF(OR($G50&lt;Control!$C$92,$G50&gt;Control!$C$95),0,IF(AND($G50&gt;=Control!$C$92,$G50&lt;=Control!$C$93),$G50-Control!$C$92,IF(AND($G50&gt;Control!$C$93,$G50&lt;=Control!$C$94),Control!$C$93-Control!$C$92,IF(AND($G50&gt;Control!$C$94,$G50&lt;=Control!$C$95),(Control!$C$93-Control!$C$92)*(Control!$C$94-$G50)/(Control!$C$95-Control!$C$94))))))</f>
        <v>#N/A</v>
      </c>
      <c r="BW50" s="140" t="e">
        <f t="shared" ca="1" si="16"/>
        <v>#N/A</v>
      </c>
      <c r="BX50" s="140" t="e">
        <f ca="1">IF($BW50&lt;=Control!$C$89,$BW50,Control!$C$89-$BW50)</f>
        <v>#N/A</v>
      </c>
      <c r="BY50" s="140" t="e">
        <f ca="1">IF(AND($AJ50&gt;=30,$AJ50&lt;60),1,IF($BW50&gt;=Control!$C$89,0,$BU50))</f>
        <v>#N/A</v>
      </c>
      <c r="BZ50" s="404" t="e">
        <f ca="1">IF($BY50=0,0,IF($BW50&lt;=Control!$C$89,$BU50*(30+(60-30)*(BX50/Control!$C$89)),0))</f>
        <v>#N/A</v>
      </c>
      <c r="CA50" s="140" t="e">
        <f ca="1">IF($BG50+$BM50+$BS50+$BY50=1,0,IF(OR(AND($BB50&lt;65,$BB50&gt;=60),$BW50&gt;=Control!$C$89),1*$BA50,$CE49))</f>
        <v>#N/A</v>
      </c>
      <c r="CB50" s="140" t="e">
        <f ca="1">IF($BX50&lt;0,-$BX50,$CA50*IF(OR($G50&lt;Control!$C$92,$G50&gt;Control!$C$95),0,IF(AND($G50&gt;=Control!$C$92,$G50&lt;=Control!$C$93),$G50-Control!$C$92,IF(AND($G50&gt;Control!$C$93,$G50&lt;=Control!$C$94),Control!$C$93-Control!$C$92,IF(AND($G50&gt;Control!$C$94,$G50&lt;=Control!$C$95),(Control!$C$93-Control!$C$92)*(Control!$C$94-$G50)/(Control!$C$95-Control!$C$94))))))</f>
        <v>#N/A</v>
      </c>
      <c r="CC50" s="140" t="e">
        <f t="shared" ca="1" si="125"/>
        <v>#N/A</v>
      </c>
      <c r="CD50" s="140" t="e">
        <f ca="1">IF($CC50&lt;=Control!$C$90,$CC50,Control!$C$90-$CC50)</f>
        <v>#N/A</v>
      </c>
      <c r="CE50" s="140" t="e">
        <f ca="1">IF(AND($BB50&gt;=60,$BB50&lt;65),1,IF($CC50&gt;=Control!$C$90,0,$CA50))</f>
        <v>#N/A</v>
      </c>
      <c r="CF50" s="404" t="e">
        <f ca="1">IF($CE50=0,0,IF($CC50&lt;=Control!$C$90,$CA50*(60+(65-60)*(CD50/Control!$C$90)),0))</f>
        <v>#N/A</v>
      </c>
      <c r="CG50" s="140" t="e">
        <f ca="1">IF($BG50+$BM50+$BS50+$BY50+$CE50=1,0,IF(OR(AND($BB50&lt;90,$BB50&gt;=65),$CC50&gt;=Control!$C$90),$BA50,$CK49))</f>
        <v>#N/A</v>
      </c>
      <c r="CH50" s="140" t="e">
        <f ca="1">IF($CD50&lt;0,-$CD50,$CG50*IF(OR($G50&lt;Control!$C$92,$G50&gt;Control!$C$95),0,IF(AND($G50&gt;=Control!$C$92,$G50&lt;=Control!$C$93),$G50-Control!$C$92,IF(AND($G50&gt;Control!$C$93,$G50&lt;=Control!$C$94),Control!$C$93-Control!$C$92,IF(AND($G50&gt;Control!$C$94,$G50&lt;=Control!$C$95),(Control!$C$93-Control!$C$92)*(Control!$C$94-$G50)/(Control!$C$95-Control!$C$94))))))</f>
        <v>#N/A</v>
      </c>
      <c r="CI50" s="140" t="e">
        <f t="shared" ca="1" si="126"/>
        <v>#N/A</v>
      </c>
      <c r="CJ50" s="140" t="e">
        <f ca="1">IF($CI50&lt;=Control!$C$91,$CI50,Control!$C$91-$CI50)</f>
        <v>#N/A</v>
      </c>
      <c r="CK50" s="140" t="e">
        <f ca="1">IF(AND($BB50&gt;=65,$BB50&lt;90),1,IF($CI50&gt;=Control!$C$91,0,$CG50))</f>
        <v>#N/A</v>
      </c>
      <c r="CL50" s="404" t="e">
        <f ca="1">IF($CK50=0,0,IF($CI50&lt;=Control!$C$91,$CG50*(65+(90-65)*($CJ50/Control!$C$91)),0))</f>
        <v>#N/A</v>
      </c>
      <c r="CM50" s="140" t="e">
        <f ca="1">IF($BG50+$BM50+$BS50+$BY50+$CE50+$CK50=1,0,IF(OR($BB50&gt;=90,$CI50&gt;=Control!$C$91),$BA50,$CM49))</f>
        <v>#N/A</v>
      </c>
      <c r="CN50" s="140" t="e">
        <f t="shared" ca="1" si="127"/>
        <v>#N/A</v>
      </c>
      <c r="CO50" s="140" t="e">
        <f t="shared" ca="1" si="128"/>
        <v>#N/A</v>
      </c>
      <c r="CP50" s="140" t="e">
        <f t="shared" ca="1" si="129"/>
        <v>#N/A</v>
      </c>
      <c r="CQ50" s="141" t="e">
        <f ca="1">VLOOKUP($CP50,Control!$B$86:$G$91,6)</f>
        <v>#N/A</v>
      </c>
      <c r="CR50" s="141" t="e">
        <f ca="1">(1-$CQ50)*VLOOKUP($CP50,Control!$B$86:$D$91,3)</f>
        <v>#N/A</v>
      </c>
      <c r="CS50" s="141" t="e">
        <f ca="1">(1-$CQ50)*VLOOKUP($CP50,Control!$B$86:$E$91,4)</f>
        <v>#N/A</v>
      </c>
      <c r="CT50" s="141" t="e">
        <f ca="1">(1-$CQ50)*VLOOKUP($CP50,Control!$B$86:$F$91,5)</f>
        <v>#N/A</v>
      </c>
      <c r="CU50" s="141">
        <f t="shared" ca="1" si="130"/>
        <v>0</v>
      </c>
      <c r="CV50" s="583">
        <f t="shared" ca="1" si="131"/>
        <v>0</v>
      </c>
      <c r="CW50" s="142">
        <f t="shared" ca="1" si="132"/>
        <v>45</v>
      </c>
      <c r="CX50" s="612" t="e">
        <f ca="1">IF(Control!$C$114=1,(MIN(Control!$C$120*(IF($NT50-0.01&lt;0,0,1)),Control!$C$119-$CY50)))</f>
        <v>#DIV/0!</v>
      </c>
      <c r="CY50" s="143" t="e">
        <f t="shared" ca="1" si="133"/>
        <v>#N/A</v>
      </c>
      <c r="CZ50" s="144">
        <f t="shared" ca="1" si="17"/>
        <v>0</v>
      </c>
      <c r="DA50" s="144">
        <f t="shared" ca="1" si="18"/>
        <v>0</v>
      </c>
      <c r="DB50" s="144" t="e">
        <f t="shared" ca="1" si="19"/>
        <v>#N/A</v>
      </c>
      <c r="DC50" s="144" t="e">
        <f t="shared" ca="1" si="20"/>
        <v>#N/A</v>
      </c>
      <c r="DD50" s="144" t="e">
        <f t="shared" ca="1" si="216"/>
        <v>#N/A</v>
      </c>
      <c r="DE50" s="143" t="e">
        <f t="shared" ca="1" si="135"/>
        <v>#N/A</v>
      </c>
      <c r="DF50" s="145" t="e">
        <f ca="1">$DR50*EXP(-Control!$C$158*(1-$KH50))</f>
        <v>#N/A</v>
      </c>
      <c r="DG50" s="146" t="e">
        <f ca="1">IF(Control!$C$114=1, $DF50*$EY50, 0)</f>
        <v>#N/A</v>
      </c>
      <c r="DH50" s="147" t="e">
        <f t="shared" ca="1" si="136"/>
        <v>#N/A</v>
      </c>
      <c r="DI50" s="144" t="e">
        <f t="shared" ca="1" si="191"/>
        <v>#N/A</v>
      </c>
      <c r="DJ50" s="147" t="e">
        <f ca="1">$EF50*Control!$C$109</f>
        <v>#N/A</v>
      </c>
      <c r="DK50" s="144" t="e">
        <f t="shared" ca="1" si="137"/>
        <v>#N/A</v>
      </c>
      <c r="DL50" s="144" t="e">
        <f t="shared" ca="1" si="21"/>
        <v>#N/A</v>
      </c>
      <c r="DM50" s="144" t="e">
        <f ca="1">IF(Control!$C$114=1, (1-EXP(-Control!$C$96*$DK50))*$AR50, 0)</f>
        <v>#N/A</v>
      </c>
      <c r="DN50" s="144">
        <f t="shared" ca="1" si="138"/>
        <v>0</v>
      </c>
      <c r="DO50" s="148">
        <f>Control!$C$97</f>
        <v>4</v>
      </c>
      <c r="DP50" s="145" t="e">
        <f t="shared" ca="1" si="139"/>
        <v>#N/A</v>
      </c>
      <c r="DQ50" s="145" t="e">
        <f ca="1">IF(AND($CP50&gt;=0,$CP50&lt;=90),Control!$C$111,Control!$C$111)</f>
        <v>#N/A</v>
      </c>
      <c r="DR50" s="145" t="e">
        <f t="shared" ca="1" si="22"/>
        <v>#N/A</v>
      </c>
      <c r="DS50" s="143" t="e">
        <f ca="1">Control!$B$22/$DR50</f>
        <v>#N/A</v>
      </c>
      <c r="DT50" s="149" t="e">
        <f ca="1">IF(AND(Control!$C$114=1,$KH50&lt;1),$IM50*$DF50, 0)</f>
        <v>#N/A</v>
      </c>
      <c r="DU50" s="144" t="e">
        <f t="shared" ca="1" si="192"/>
        <v>#N/A</v>
      </c>
      <c r="DV50" s="144">
        <f ca="1">IF($G50-Control!$C$107&lt;=0, 0, 0.83*LN(MAX($G50, 3))-0.8924)</f>
        <v>0</v>
      </c>
      <c r="DW50" s="144" t="e">
        <f t="shared" ca="1" si="23"/>
        <v>#N/A</v>
      </c>
      <c r="DX50" s="150" t="e">
        <f ca="1">MAX(0.01*(1+$CU50/Control!$C$102),0.05*($DK50-Control!$C$97)/Control!$C$97)</f>
        <v>#N/A</v>
      </c>
      <c r="DY50" s="151" t="e">
        <f ca="1">IF(Control!$C$114=1, $DI50*$FS50, 0)</f>
        <v>#N/A</v>
      </c>
      <c r="DZ50" s="196" t="e">
        <f t="shared" ca="1" si="140"/>
        <v>#N/A</v>
      </c>
      <c r="EA50" s="152">
        <f t="shared" ca="1" si="141"/>
        <v>45</v>
      </c>
      <c r="EB50" s="153" t="e">
        <f t="shared" ca="1" si="217"/>
        <v>#N/A</v>
      </c>
      <c r="EC50" s="153" t="e">
        <f t="shared" ca="1" si="142"/>
        <v>#N/A</v>
      </c>
      <c r="ED50" s="154" t="e">
        <f ca="1">IF(Control!$C$114=1, $HM50*$FY50-$FD50, 0)</f>
        <v>#DIV/0!</v>
      </c>
      <c r="EE50" s="155" t="e">
        <f ca="1">IF(Control!$C$114=1, $HM50*$FZ50-$FF50, 0)</f>
        <v>#DIV/0!</v>
      </c>
      <c r="EF50" s="153" t="e">
        <f t="shared" ca="1" si="193"/>
        <v>#N/A</v>
      </c>
      <c r="EG50" s="155" t="e">
        <f ca="1">IF(Control!$C$114=1, $GX50*$FW50-$FI50, 0)</f>
        <v>#DIV/0!</v>
      </c>
      <c r="EH50" s="153" t="e">
        <f t="shared" ca="1" si="143"/>
        <v>#N/A</v>
      </c>
      <c r="EI50" s="156" t="e">
        <f t="shared" ca="1" si="144"/>
        <v>#N/A</v>
      </c>
      <c r="EJ50" s="155" t="e">
        <f ca="1">IF(Control!$C$114=1, $HM50*$GB50, 0)</f>
        <v>#DIV/0!</v>
      </c>
      <c r="EK50" s="153" t="e">
        <f t="shared" ca="1" si="194"/>
        <v>#N/A</v>
      </c>
      <c r="EL50" s="153" t="e">
        <f t="shared" ca="1" si="24"/>
        <v>#N/A</v>
      </c>
      <c r="EM50" s="153" t="e">
        <f t="shared" ca="1" si="25"/>
        <v>#N/A</v>
      </c>
      <c r="EN50" s="153" t="e">
        <f ca="1">IF(Control!$C$108=1,IF(AND(Control!$B$18=1,$EB50&gt;=Control!$B$19),$EB50-$DS50,IF(AND(Control!$B$18=2,$AW50=1,$EB50&gt;$DS50),$EB50-$DS50,0)))</f>
        <v>#N/A</v>
      </c>
      <c r="EO50" s="153" t="e">
        <f ca="1">IF(Control!$C$108=1,IF(AND(Control!$B$18=1,$EB50&gt;=Control!$B$19),$EF50,IF(AND(Control!$B$18=2,$AW50=1),$EF50,0)))</f>
        <v>#N/A</v>
      </c>
      <c r="EP50" s="153" t="e">
        <f ca="1">IF(Control!$C$108=1,IF(AND(Control!$B$18=1,$EB50&gt;=Control!$B$19),$EK50,IF(AND(Control!$B$18=2,$AW50=1),$EK50,0)))</f>
        <v>#N/A</v>
      </c>
      <c r="EQ50" s="153" t="e">
        <f t="shared" ca="1" si="145"/>
        <v>#N/A</v>
      </c>
      <c r="ER50" s="153" t="e">
        <f t="shared" ca="1" si="231"/>
        <v>#N/A</v>
      </c>
      <c r="ES50" s="153" t="e">
        <f t="shared" ca="1" si="196"/>
        <v>#N/A</v>
      </c>
      <c r="ET50" s="153" t="e">
        <f t="shared" ca="1" si="197"/>
        <v>#N/A</v>
      </c>
      <c r="EU50" s="153" t="e">
        <f t="shared" ca="1" si="198"/>
        <v>#N/A</v>
      </c>
      <c r="EV50" s="153" t="e">
        <f t="shared" ca="1" si="146"/>
        <v>#N/A</v>
      </c>
      <c r="EW50" s="153" t="e">
        <f t="shared" ca="1" si="218"/>
        <v>#N/A</v>
      </c>
      <c r="EX50" s="153" t="e">
        <f t="shared" ca="1" si="26"/>
        <v>#N/A</v>
      </c>
      <c r="EY50" s="157" t="e">
        <f t="shared" ca="1" si="147"/>
        <v>#DIV/0!</v>
      </c>
      <c r="EZ50" s="154" t="e">
        <f t="shared" ca="1" si="27"/>
        <v>#DIV/0!</v>
      </c>
      <c r="FA50" s="153" t="e">
        <f t="shared" ca="1" si="199"/>
        <v>#N/A</v>
      </c>
      <c r="FB50" s="153" t="e">
        <f t="shared" ca="1" si="28"/>
        <v>#N/A</v>
      </c>
      <c r="FC50" s="193" t="e">
        <f t="shared" ca="1" si="29"/>
        <v>#N/A</v>
      </c>
      <c r="FD50" s="158" t="e">
        <f t="shared" ca="1" si="200"/>
        <v>#N/A</v>
      </c>
      <c r="FE50" s="158" t="e">
        <f t="shared" ca="1" si="148"/>
        <v>#N/A</v>
      </c>
      <c r="FF50" s="159" t="e">
        <f t="shared" ca="1" si="30"/>
        <v>#N/A</v>
      </c>
      <c r="FG50" s="160" t="e">
        <f t="shared" ca="1" si="149"/>
        <v>#N/A</v>
      </c>
      <c r="FH50" s="158" t="e">
        <f t="shared" ca="1" si="150"/>
        <v>#N/A</v>
      </c>
      <c r="FI50" s="159" t="e">
        <f t="shared" ca="1" si="31"/>
        <v>#N/A</v>
      </c>
      <c r="FJ50" s="160" t="e">
        <f t="shared" ca="1" si="151"/>
        <v>#N/A</v>
      </c>
      <c r="FK50" s="160" t="e">
        <f t="shared" ca="1" si="32"/>
        <v>#N/A</v>
      </c>
      <c r="FL50" s="160" t="e">
        <f t="shared" ca="1" si="229"/>
        <v>#N/A</v>
      </c>
      <c r="FM50" s="160" t="e">
        <f t="shared" ca="1" si="33"/>
        <v>#N/A</v>
      </c>
      <c r="FN50" s="158">
        <f t="shared" ca="1" si="219"/>
        <v>0.01</v>
      </c>
      <c r="FO50" s="160">
        <f>Control!$C$101</f>
        <v>50</v>
      </c>
      <c r="FP50" s="150" t="e">
        <f t="shared" ca="1" si="34"/>
        <v>#N/A</v>
      </c>
      <c r="FQ50" s="150" t="e">
        <f ca="1">MAX(0,(Control!$C$112*(($DK50-Control!$C$97)/Control!$C$97)))</f>
        <v>#N/A</v>
      </c>
      <c r="FR50" s="150" t="e">
        <f ca="1">(1-$NT50)*Control!$C$113</f>
        <v>#DIV/0!</v>
      </c>
      <c r="FS50" s="198" t="e">
        <f t="shared" ca="1" si="35"/>
        <v>#N/A</v>
      </c>
      <c r="FT50" s="161">
        <f t="shared" ca="1" si="152"/>
        <v>45</v>
      </c>
      <c r="FU50" s="162" t="e">
        <f ca="1">IF(Control!$B$34=1,VLOOKUP($CP50,Control!$B$86:$G$91,6),Control!$B$35)</f>
        <v>#N/A</v>
      </c>
      <c r="FV50" s="162" t="e">
        <f t="shared" ca="1" si="36"/>
        <v>#DIV/0!</v>
      </c>
      <c r="FW50" s="162" t="e">
        <f ca="1">IF(Control!$B$31=1,$FU50*$FV50,  $FU50)</f>
        <v>#N/A</v>
      </c>
      <c r="FX50" s="162" t="e">
        <f ca="1">IF(Control!$B$34=1,VLOOKUP($CP50,Control!$B$86:$G$91,3),Control!$B$36)</f>
        <v>#N/A</v>
      </c>
      <c r="FY50" s="162" t="e">
        <f t="shared" ca="1" si="37"/>
        <v>#N/A</v>
      </c>
      <c r="FZ50" s="162" t="e">
        <f ca="1">IF(Control!$B$34=1,VLOOKUP($CP50,Control!$B$86:$G$91,4),Control!$B$37)</f>
        <v>#N/A</v>
      </c>
      <c r="GA50" s="162" t="e">
        <f t="shared" ca="1" si="38"/>
        <v>#N/A</v>
      </c>
      <c r="GB50" s="162" t="e">
        <f ca="1">IF(Control!$B$34=1,VLOOKUP($CP50,Control!$B$86:$G$91,5),Control!$B$38)</f>
        <v>#N/A</v>
      </c>
      <c r="GC50" s="162" t="e">
        <f t="shared" ca="1" si="153"/>
        <v>#N/A</v>
      </c>
      <c r="GD50" s="162">
        <f t="shared" ca="1" si="39"/>
        <v>1</v>
      </c>
      <c r="GE50" s="162">
        <f t="shared" ca="1" si="40"/>
        <v>1</v>
      </c>
      <c r="GF50" s="162">
        <f ca="1">IF(AND(Control!$C$104=1, Control!$C$62="F"),$GE50,1)</f>
        <v>1</v>
      </c>
      <c r="GG50" s="162" t="e">
        <f ca="1">IF(Control!$B$16=40,0,IF(AND(Control!$B$16&gt;40,Control!$B$16&lt;=360),(Control!$B$16-40)*((1-0)/(360-40)),IF(AND(Control!$B$16&gt;360,Control!$B$16&lt;=720),(1+(Control!$B$16-360)*((1.25-1)/(720-360))),IF(AND(Control!$B$16&gt;720,Control!$B$16&lt;=1000),(1.25+(Control!$B$16-720)*((1.35-1.25)/(1000-720))),IF(AND(Control!$B$16&gt;1000,Control!$B$16&lt;=2000),(1.35+(Control!$B$16-1000)*0))))))</f>
        <v>#N/A</v>
      </c>
      <c r="GH50" s="162" t="e">
        <f t="shared" ca="1" si="41"/>
        <v>#N/A</v>
      </c>
      <c r="GI50" s="162">
        <f t="shared" ca="1" si="201"/>
        <v>0</v>
      </c>
      <c r="GJ50" s="162">
        <f t="shared" ca="1" si="42"/>
        <v>0</v>
      </c>
      <c r="GK50" s="162">
        <f t="shared" ca="1" si="220"/>
        <v>1</v>
      </c>
      <c r="GL50" s="162">
        <f t="shared" ca="1" si="43"/>
        <v>1</v>
      </c>
      <c r="GM50" s="162" t="e">
        <f ca="1">MAX(0,MIN(1,1-Control!$C$156*(1.0001-$KH50)^2))</f>
        <v>#N/A</v>
      </c>
      <c r="GN50" s="162" t="e">
        <f ca="1">IF(Control!$B$26=1,$KU50,$KX50)</f>
        <v>#N/A</v>
      </c>
      <c r="GO50" s="162" t="e">
        <f ca="1">IF($CP50&lt;=60,Control!$C$105,IF($CP50&gt;=90,Control!$C$106,Control!$C$105+($CP50-60)*((Control!$C$106-Control!$C$105)/(90-60))))</f>
        <v>#N/A</v>
      </c>
      <c r="GP50" s="162" t="e">
        <f t="shared" ca="1" si="154"/>
        <v>#N/A</v>
      </c>
      <c r="GQ50" s="162" t="e">
        <f t="shared" ca="1" si="155"/>
        <v>#N/A</v>
      </c>
      <c r="GR50" s="163" t="e">
        <f t="shared" ca="1" si="44"/>
        <v>#DIV/0!</v>
      </c>
      <c r="GS50" s="162" t="e">
        <f t="shared" ca="1" si="45"/>
        <v>#DIV/0!</v>
      </c>
      <c r="GT50" s="164" t="e">
        <f t="shared" ca="1" si="156"/>
        <v>#N/A</v>
      </c>
      <c r="GU50" s="162" t="e">
        <f t="shared" ca="1" si="157"/>
        <v>#N/A</v>
      </c>
      <c r="GV50" s="162" t="e">
        <f t="shared" ca="1" si="46"/>
        <v>#N/A</v>
      </c>
      <c r="GW50" s="162" t="e">
        <f t="shared" ca="1" si="221"/>
        <v>#DIV/0!</v>
      </c>
      <c r="GX50" s="162" t="e">
        <f t="shared" ca="1" si="228"/>
        <v>#DIV/0!</v>
      </c>
      <c r="GY50" s="162" t="e">
        <f t="shared" ca="1" si="158"/>
        <v>#DIV/0!</v>
      </c>
      <c r="GZ50" s="165" t="e">
        <f t="shared" ca="1" si="159"/>
        <v>#N/A</v>
      </c>
      <c r="HA50" s="162" t="e">
        <f ca="1">IF(Control!$C$114=1, $DI50*$FS50, 0)</f>
        <v>#N/A</v>
      </c>
      <c r="HB50" s="162" t="e">
        <f ca="1">$FA50/Control!$C$64</f>
        <v>#N/A</v>
      </c>
      <c r="HC50" s="162" t="e">
        <f t="shared" ca="1" si="222"/>
        <v>#DIV/0!</v>
      </c>
      <c r="HD50" s="162">
        <f ca="1">-ASIN(SIN(23.45*Control!$C$139)*COS(2*Control!$C$138*($AH50+10)/365))</f>
        <v>-0.23466836866948793</v>
      </c>
      <c r="HE50" s="165">
        <f t="shared" ca="1" si="160"/>
        <v>0</v>
      </c>
      <c r="HF50" s="166">
        <f ca="1">IF(AND(Control!$C$61="T",$HE50&gt;=Control!$C$103,Control!$C$114=0),$AH50,Control!$C$59)</f>
        <v>1</v>
      </c>
      <c r="HG50" s="166">
        <f ca="1">IF(AND(Control!$C$61="T",$HE50&gt;=Control!$C$103,Control!$C$114=0),$HF50,Control!$C$59)</f>
        <v>1</v>
      </c>
      <c r="HH50" s="165">
        <f ca="1">IF(AND(OR(Control!$C$60&lt;=0, $AH50= Control!$C$59, Control!$C$60 &gt;0, $AH50 = Control!$C$60)), Control!$C$59, IF(Control!$C$60&gt;0, 0))</f>
        <v>1</v>
      </c>
      <c r="HI50" s="165">
        <f ca="1">IF(AND(OR(Control!$C$60&lt;=0, $AH50= Control!$C$59, Control!$C$60 &gt;0, $AH50 = Control!$C$60)), Control!$C$60, IF(Control!$C$60&lt;=0, 0))</f>
        <v>0</v>
      </c>
      <c r="HJ50" s="166">
        <f ca="1">IF(AND(Control!$C$62="F",$CV50&gt;=Control!$C$102),$AH50,0)</f>
        <v>0</v>
      </c>
      <c r="HK50" s="165" t="e">
        <f t="shared" ca="1" si="202"/>
        <v>#N/A</v>
      </c>
      <c r="HL50" s="166">
        <f ca="1">IF(AND(Control!$C$61="T",$HE50&gt;=Control!$C$103,Control!$C$114=0),$HF50,0)</f>
        <v>0</v>
      </c>
      <c r="HM50" s="201" t="e">
        <f t="shared" ca="1" si="47"/>
        <v>#DIV/0!</v>
      </c>
      <c r="HN50" s="215">
        <f t="shared" ca="1" si="161"/>
        <v>45</v>
      </c>
      <c r="HO50" s="216" t="e">
        <f ca="1">IF(AND($CP50&gt;=0, $CP50&lt;=90), Control!$C$152, Control!$C$152)</f>
        <v>#N/A</v>
      </c>
      <c r="HP50" s="216" t="e">
        <f t="shared" ca="1" si="48"/>
        <v>#N/A</v>
      </c>
      <c r="HQ50" s="217" t="e">
        <f ca="1">IF(OR(Control!$B$26=1,Control!$B$26=2),$KV50,$KS50)</f>
        <v>#DIV/0!</v>
      </c>
      <c r="HR50" s="218" t="e">
        <f t="shared" ca="1" si="223"/>
        <v>#DIV/0!</v>
      </c>
      <c r="HS50" s="216" t="e">
        <f ca="1">Control!$C$154*$HP50</f>
        <v>#N/A</v>
      </c>
      <c r="HT50" s="216" t="e">
        <f ca="1">Control!$C$155*$HP50</f>
        <v>#N/A</v>
      </c>
      <c r="HU50" s="217" t="e">
        <f ca="1">Control!$C$161*$FI50</f>
        <v>#N/A</v>
      </c>
      <c r="HV50" s="218" t="e">
        <f t="shared" ca="1" si="162"/>
        <v>#N/A</v>
      </c>
      <c r="HW50" s="218" t="e">
        <f ca="1">Control!$C$160*$FF50+$IP50*$EO50</f>
        <v>#N/A</v>
      </c>
      <c r="HX50" s="218" t="e">
        <f t="shared" ca="1" si="203"/>
        <v>#N/A</v>
      </c>
      <c r="HY50" s="219" t="e">
        <f ca="1">IF(Control!$C$114=1, $EB50*$FS50, 0)</f>
        <v>#N/A</v>
      </c>
      <c r="HZ50" s="91" t="e">
        <f t="shared" ca="1" si="49"/>
        <v>#N/A</v>
      </c>
      <c r="IA50" s="220" t="e">
        <f ca="1">Control!$C$153*$HO50</f>
        <v>#N/A</v>
      </c>
      <c r="IB50" s="218" t="e">
        <f t="shared" ca="1" si="50"/>
        <v>#N/A</v>
      </c>
      <c r="IC50" s="220" t="e">
        <f ca="1">Control!$C$153*$HT50</f>
        <v>#N/A</v>
      </c>
      <c r="ID50" s="218" t="e">
        <f t="shared" ca="1" si="51"/>
        <v>#N/A</v>
      </c>
      <c r="IE50" s="221" t="e">
        <f ca="1">($EB50*Control!$C$159+$EF50*Control!$C$160)/(IF($GZ50&lt;&gt;0,$GZ50,1))</f>
        <v>#N/A</v>
      </c>
      <c r="IF50" s="216" t="e">
        <f t="shared" ca="1" si="52"/>
        <v>#N/A</v>
      </c>
      <c r="IG50" s="91">
        <f ca="1">IF(OR(Control!$B$198=$AH50,Control!$B$199=$AH50, Control!$B$200=$AH50, Control!$B$201=$AH50, Control!$B$202=$AH50, Control!$B$203=$AH50, Control!$B$204=$AH50, Control!$B$205=$AH50, Control!$B$206=$AH50, Control!$B$207=$AH50), 1, 0)</f>
        <v>0</v>
      </c>
      <c r="IH50" s="91">
        <f ca="1">IF($IG50=0,0, VLOOKUP($AH50,Control!$B$198:$C$207,2))</f>
        <v>0</v>
      </c>
      <c r="II50" s="222">
        <f t="shared" ca="1" si="163"/>
        <v>0</v>
      </c>
      <c r="IJ50" s="91">
        <f>Control!$C$121</f>
        <v>0.7</v>
      </c>
      <c r="IK50" s="218">
        <f t="shared" ca="1" si="53"/>
        <v>0</v>
      </c>
      <c r="IL50" s="217" t="e">
        <f t="shared" ca="1" si="204"/>
        <v>#N/A</v>
      </c>
      <c r="IM50" s="223" t="e">
        <f ca="1">IF(AND(Control!$C$114=1,$KH50&lt;1),$EB50*Control!$C$148*(1-$KH50), 0)</f>
        <v>#N/A</v>
      </c>
      <c r="IN50" s="217" t="e">
        <f t="shared" ca="1" si="54"/>
        <v>#DIV/0!</v>
      </c>
      <c r="IO50" s="91" t="e">
        <f ca="1">MAX(0,$IL50-$EF50*Control!$C$160)</f>
        <v>#N/A</v>
      </c>
      <c r="IP50" s="220" t="e">
        <f t="shared" ca="1" si="55"/>
        <v>#N/A</v>
      </c>
      <c r="IQ50" s="217" t="e">
        <f t="shared" ca="1" si="164"/>
        <v>#N/A</v>
      </c>
      <c r="IR50" s="218" t="e">
        <f t="shared" ca="1" si="56"/>
        <v>#N/A</v>
      </c>
      <c r="IS50" s="217" t="e">
        <f ca="1">Control!$C$159*MAX(0,$FD50-$EN50)</f>
        <v>#N/A</v>
      </c>
      <c r="IT50" s="217" t="e">
        <f t="shared" ca="1" si="205"/>
        <v>#N/A</v>
      </c>
      <c r="IU50" s="217" t="e">
        <f t="shared" ca="1" si="165"/>
        <v>#N/A</v>
      </c>
      <c r="IV50" s="217" t="e">
        <f t="shared" ca="1" si="206"/>
        <v>#N/A</v>
      </c>
      <c r="IW50" s="217" t="e">
        <f ca="1">IF(OR($AW50=1,AND($AW50=0, Control!$B$18=1,$EN50&lt;&gt;0)), $IQ50-$IU50, $IQ50)</f>
        <v>#N/A</v>
      </c>
      <c r="IX50" s="218" t="e">
        <f t="shared" ca="1" si="57"/>
        <v>#N/A</v>
      </c>
      <c r="IY50" s="218" t="e">
        <f ca="1">MAX(0,$IQ50-$EB50*Control!$C$159)</f>
        <v>#N/A</v>
      </c>
      <c r="IZ50" s="218" t="e">
        <f t="shared" ca="1" si="58"/>
        <v>#N/A</v>
      </c>
      <c r="JA50" s="216" t="e">
        <f t="shared" ca="1" si="59"/>
        <v>#N/A</v>
      </c>
      <c r="JB50" s="217" t="e">
        <f t="shared" ca="1" si="60"/>
        <v>#N/A</v>
      </c>
      <c r="JC50" s="222" t="e">
        <f ca="1">MAX(Control!$C$157*$EK50-$JT50, 0)/Control!$C$162</f>
        <v>#N/A</v>
      </c>
      <c r="JD50" s="218" t="e">
        <f t="shared" ca="1" si="61"/>
        <v>#N/A</v>
      </c>
      <c r="JE50" s="218" t="e">
        <f t="shared" ca="1" si="62"/>
        <v>#N/A</v>
      </c>
      <c r="JF50" s="218" t="e">
        <f t="shared" ca="1" si="207"/>
        <v>#N/A</v>
      </c>
      <c r="JG50" s="218" t="e">
        <f t="shared" ca="1" si="63"/>
        <v>#N/A</v>
      </c>
      <c r="JH50" s="217" t="e">
        <f t="shared" ca="1" si="166"/>
        <v>#N/A</v>
      </c>
      <c r="JI50" s="217" t="e">
        <f t="shared" ca="1" si="167"/>
        <v>#N/A</v>
      </c>
      <c r="JJ50" s="217" t="e">
        <f t="shared" ca="1" si="224"/>
        <v>#N/A</v>
      </c>
      <c r="JK50" s="217" t="e">
        <f ca="1">IF(Control!$C$114=1,IF(Control!$B$24=0,MAX(0,$JI50)*$GN50/Control!$C$64,(MAX(0,MIN($JI50,$JJ50*$GN50/Control!$C$64),0))))</f>
        <v>#N/A</v>
      </c>
      <c r="JL50" s="217" t="e">
        <f ca="1">$IK50/Control!$C$64-$JK50+$HQ50</f>
        <v>#N/A</v>
      </c>
      <c r="JM50" s="217" t="e">
        <f ca="1">IF(Control!$C$114=1,($JB50/(IF($JI50&lt;&gt;0,$JI50,1)))*$JK50,0)</f>
        <v>#N/A</v>
      </c>
      <c r="JN50" s="217" t="e">
        <f ca="1">IF(Control!$C$114=1,($JG50/(IF($JI50&lt;&gt;0,$JI50,1)))*$JK50, 0)</f>
        <v>#N/A</v>
      </c>
      <c r="JO50" s="218" t="e">
        <f t="shared" ca="1" si="64"/>
        <v>#N/A</v>
      </c>
      <c r="JP50" s="218" t="e">
        <f ca="1">MIN(($IY50+$IO50)*Control!$C$151, $JF50-$EH50*Control!$C$161)</f>
        <v>#N/A</v>
      </c>
      <c r="JQ50" s="218" t="e">
        <f t="shared" ca="1" si="65"/>
        <v>#N/A</v>
      </c>
      <c r="JR50" s="217" t="e">
        <f ca="1">IF($CP50-Control!$C$150&lt;0, 0, $JQ50/Control!$C$162)</f>
        <v>#N/A</v>
      </c>
      <c r="JS50" s="218" t="e">
        <f t="shared" ca="1" si="66"/>
        <v>#N/A</v>
      </c>
      <c r="JT50" s="218" t="e">
        <f t="shared" ca="1" si="168"/>
        <v>#N/A</v>
      </c>
      <c r="JU50" s="218" t="e">
        <f t="shared" ca="1" si="67"/>
        <v>#N/A</v>
      </c>
      <c r="JV50" s="218" t="e">
        <f t="shared" ca="1" si="68"/>
        <v>#N/A</v>
      </c>
      <c r="JW50" s="216" t="e">
        <f t="shared" ca="1" si="69"/>
        <v>#N/A</v>
      </c>
      <c r="JX50" s="91" t="e">
        <f t="shared" ca="1" si="70"/>
        <v>#N/A</v>
      </c>
      <c r="JY50" s="218" t="e">
        <f t="shared" ca="1" si="71"/>
        <v>#N/A</v>
      </c>
      <c r="JZ50" s="217" t="e">
        <f ca="1">IF(Control!$C$114=1,($IZ50/(IF($JI50&lt;&gt;0,$JI50,1)))*$JK50, 0)</f>
        <v>#N/A</v>
      </c>
      <c r="KA50" s="218" t="e">
        <f t="shared" ca="1" si="225"/>
        <v>#N/A</v>
      </c>
      <c r="KB50" s="218" t="e">
        <f t="shared" ca="1" si="169"/>
        <v>#N/A</v>
      </c>
      <c r="KC50" s="218" t="e">
        <f t="shared" ca="1" si="72"/>
        <v>#N/A</v>
      </c>
      <c r="KD50" s="218" t="e">
        <f t="shared" ca="1" si="73"/>
        <v>#N/A</v>
      </c>
      <c r="KE50" s="218" t="e">
        <f t="shared" ca="1" si="74"/>
        <v>#N/A</v>
      </c>
      <c r="KF50" s="218" t="e">
        <f t="shared" ca="1" si="75"/>
        <v>#N/A</v>
      </c>
      <c r="KG50" s="216" t="e">
        <f t="shared" ca="1" si="76"/>
        <v>#N/A</v>
      </c>
      <c r="KH50" s="221" t="e">
        <f ca="1">IF(Control!$B$24=0,1,MAX(0.001,MIN(1,IF(($IF50-$IE50)&lt;&gt;0,($KG50-$IE50)/($IF50-$IE50),1))))</f>
        <v>#N/A</v>
      </c>
      <c r="KI50" s="222" t="e">
        <f ca="1">IF(Control!$C$114=1, $KI49+ $KH49, 0)</f>
        <v>#N/A</v>
      </c>
      <c r="KJ50" s="217" t="e">
        <f t="shared" ca="1" si="77"/>
        <v>#N/A</v>
      </c>
      <c r="KK50" s="218" t="e">
        <f t="shared" ca="1" si="78"/>
        <v>#N/A</v>
      </c>
      <c r="KL50" s="274" t="e">
        <f ca="1">IF(Control!$B$26=3,4000000000*EXP(-8400/($G50+273)),IF(Control!$B$26=4,4000000000*EXP(-8400/($G50+273))*($KT50),0))</f>
        <v>#DIV/0!</v>
      </c>
      <c r="KM50" s="274" t="e">
        <f ca="1">IF(Control!$B$26=3,5600000000000*EXP(-9800/($G50+273)),IF(Control!$B$26=4,5600000000000*EXP(-9800/($G50+273))*$KT50,0))</f>
        <v>#DIV/0!</v>
      </c>
      <c r="KN50" s="454" t="e">
        <f t="shared" ca="1" si="170"/>
        <v>#DIV/0!</v>
      </c>
      <c r="KO50" s="274" t="e">
        <f t="shared" ca="1" si="171"/>
        <v>#DIV/0!</v>
      </c>
      <c r="KP50" s="454" t="e">
        <f t="shared" ca="1" si="79"/>
        <v>#DIV/0!</v>
      </c>
      <c r="KQ50" s="454" t="e">
        <f t="shared" ca="1" si="80"/>
        <v>#DIV/0!</v>
      </c>
      <c r="KR50" s="454" t="e">
        <f t="shared" ca="1" si="81"/>
        <v>#DIV/0!</v>
      </c>
      <c r="KS50" s="454" t="e">
        <f t="shared" ca="1" si="82"/>
        <v>#DIV/0!</v>
      </c>
      <c r="KT50" s="455" t="e">
        <f t="shared" ca="1" si="83"/>
        <v>#DIV/0!</v>
      </c>
      <c r="KU50" s="456" t="e">
        <f ca="1">IF($CP50-Control!$C$149&lt;0, IF($NT50-0.01&lt;0,0,1),0)</f>
        <v>#N/A</v>
      </c>
      <c r="KV50" s="456" t="e">
        <f ca="1">IF(Control!$C$114=1,MAX(0,MIN(Control!$C$125*$KW50*$GN50,$KW50)))</f>
        <v>#DIV/0!</v>
      </c>
      <c r="KW50" s="456" t="e">
        <f t="shared" ca="1" si="208"/>
        <v>#DIV/0!</v>
      </c>
      <c r="KX50" s="457" t="e">
        <f ca="1">IF($CP50-Control!$C$149&lt;0, IF($MR50-$OM50&lt;0,0,1),0)</f>
        <v>#N/A</v>
      </c>
      <c r="KY50" s="167">
        <f t="shared" ca="1" si="172"/>
        <v>45</v>
      </c>
      <c r="KZ50" s="168">
        <f ca="1">1370*(1+0.033*COS(2*Control!$C$138*$AH50/365))</f>
        <v>1402.3103265005536</v>
      </c>
      <c r="LA50" s="169">
        <f t="shared" ca="1" si="173"/>
        <v>1.0235842217394178</v>
      </c>
      <c r="LB50" s="169">
        <f t="shared" ca="1" si="174"/>
        <v>-0.23609652102028686</v>
      </c>
      <c r="LC50" s="169">
        <f ca="1">ACOS(-TAN((2*Control!$B$8/360))*TAN(Calculations!$LB50))</f>
        <v>1.4992331239886119</v>
      </c>
      <c r="LD50" s="169">
        <f ca="1">((24*60)/PI())*0.082*$LA50*(($LC50*SIN(Control!$B$8*2*PI()/360))*SIN($LB50)+COS(Control!$B$8*2*PI()/360)*COS($LB50)*SIN($LC50))</f>
        <v>12.338383664312731</v>
      </c>
      <c r="LE50" s="170">
        <f t="shared" ca="1" si="84"/>
        <v>13.050950644771557</v>
      </c>
      <c r="LF50" s="170">
        <f ca="1">SIN(Control!$C$139*Control!$B$8)*SIN($HD50)</f>
        <v>-0.18322892396175025</v>
      </c>
      <c r="LG50" s="170">
        <f ca="1">COS(Control!$C$139*Control!$B$8)*COS($HD50)</f>
        <v>0.59878549484467303</v>
      </c>
      <c r="LH50" s="170">
        <f ca="1">12*(1+2*ASIN(MAX(-1,MIN(1,$LF50/$LG50))/Control!$C$138))</f>
        <v>9.6586182433130876</v>
      </c>
      <c r="LI50" s="170">
        <f ca="1">12*(1+2*ASIN(MAX(-1,MIN(1,(-SIN(-4*Control!$C$139)+$LF50)/$LG50))/Control!$C$138))</f>
        <v>10.551419566036218</v>
      </c>
      <c r="LJ50" s="168">
        <f ca="1">3600*($LH50*$LF50+24*$LG50*SQRT(1-$LK50*$LK50)/Control!$C$138)</f>
        <v>9306.7492965982983</v>
      </c>
      <c r="LK50" s="170">
        <f t="shared" ca="1" si="85"/>
        <v>-0.30600093946711326</v>
      </c>
      <c r="LL50" s="170">
        <f t="shared" ca="1" si="86"/>
        <v>0</v>
      </c>
      <c r="LM50" s="171">
        <f ca="1">Control!$C$145*$AB50</f>
        <v>6.6660906138995932E-2</v>
      </c>
      <c r="LN50" s="170">
        <f t="shared" ca="1" si="175"/>
        <v>0.54</v>
      </c>
      <c r="LO50" s="170">
        <f t="shared" ca="1" si="87"/>
        <v>0</v>
      </c>
      <c r="LP50" s="170">
        <f ca="1">Control!$C$140*((($D50+273.16)^4+($E50+273.16)^4)/2)*(0.34-0.14*SQRT($Y50))*(1.35*$AQ50/(0.75*$LD50)-0.35)</f>
        <v>-3.2464704755046001</v>
      </c>
      <c r="LQ50" s="170">
        <f ca="1">Control!$C$140*($G50+273)^4*(0.56-0.079*SQRT($Y50*10))*(0.1+0.9*$LO50)</f>
        <v>1.5241745131704001</v>
      </c>
      <c r="LR50" s="170">
        <f ca="1">$AQ50*(1-Control!$C$142)-$LQ50</f>
        <v>-1.5241745131704001</v>
      </c>
      <c r="LS50" s="170">
        <f ca="1">$AQ50*(1-Control!$C$143)-$LQ50</f>
        <v>-1.5241745131704001</v>
      </c>
      <c r="LT50" s="170">
        <f ca="1">$AQ50*(1-Control!$C$144)-$LQ50</f>
        <v>-1.5241745131704001</v>
      </c>
      <c r="LU50" s="169">
        <f ca="1">(1-Control!$C$144)*AQ50-LP50</f>
        <v>3.2464704755046001</v>
      </c>
      <c r="LV50" s="172">
        <f t="shared" ca="1" si="88"/>
        <v>0.79430000000000012</v>
      </c>
      <c r="LW50" s="170">
        <f t="shared" ca="1" si="89"/>
        <v>1.5886000000000002</v>
      </c>
      <c r="LX50" s="170">
        <f ca="1">($AC50*($LR50/Control!$C$141)+$LM50*$LV50)/($AC50+$LM50)</f>
        <v>0.23530094218323697</v>
      </c>
      <c r="LY50" s="170">
        <f ca="1">($AC50*($LS50/Control!$C$141)+$LM50*$LV50)/($AC50+$LM50)</f>
        <v>0.23530094218323697</v>
      </c>
      <c r="LZ50" s="170">
        <f t="shared" ca="1" si="90"/>
        <v>0.23530094218323697</v>
      </c>
      <c r="MA50" s="170">
        <f t="shared" ca="1" si="91"/>
        <v>0.23530094218323697</v>
      </c>
      <c r="MB50" s="170" t="e">
        <f t="shared" ca="1" si="92"/>
        <v>#N/A</v>
      </c>
      <c r="MC50" s="170">
        <f t="shared" ca="1" si="176"/>
        <v>0.6018</v>
      </c>
      <c r="MD50" s="170">
        <f t="shared" ca="1" si="93"/>
        <v>0.52989392535414004</v>
      </c>
      <c r="ME50" s="170">
        <f ca="1">($AC50*($LT50/Control!$C$141)+$LM50*$LW50)/($AC50+$LM50)</f>
        <v>0.71612369323045078</v>
      </c>
      <c r="MF50" s="170" t="e">
        <f ca="1">IF(Control!$B$16&gt;=1000,0.92,IF(AND(720&lt;=Control!$B$16,1000&gt;Control!$B$16),(0.95+(Control!$B$16-720)*((0.92-0.95)/(1000-720))),IF(AND(360&lt;=Control!$B$16,720&gt;Control!$B$16),(1+(Control!$B$16-360)*((0.95-1)/(720-360))),IF(AND(40&lt;=Control!$B$16,360&gt;Control!$B$16),(1.05+(Control!$B$16-40)*((1.05-1)/(360-40)))))))</f>
        <v>#N/A</v>
      </c>
      <c r="MG50" s="170">
        <f t="shared" ca="1" si="94"/>
        <v>0.71612369323045078</v>
      </c>
      <c r="MH50" s="170" t="e">
        <f t="shared" ca="1" si="232"/>
        <v>#N/A</v>
      </c>
      <c r="MI50" s="170" t="e">
        <f t="shared" ca="1" si="232"/>
        <v>#N/A</v>
      </c>
      <c r="MJ50" s="170" t="e">
        <f ca="1">MAX(0.0001, Control!$C$132*$MI50*$DL50)</f>
        <v>#N/A</v>
      </c>
      <c r="MK50" s="170">
        <f ca="1">1/(0.76+1.5*($MG50/10))-(5-Control!$C$110)*0.1</f>
        <v>1.002845988140797</v>
      </c>
      <c r="ML50" s="173">
        <f ca="1">IF(Control!$C$110&lt;3,$MK50+($MG50-0.6)/(Control!$C$110*(Control!$C$110+3)), MAX(0.1, MIN(0.95,$MK50)))</f>
        <v>0.95</v>
      </c>
      <c r="MM50" s="173">
        <f ca="1">IF(Control!$C$110&lt;3,$MK50+(($MI50/10)-0.6)/(Control!$C$110*(Control!$C$110+3)), MAX(0.1, MIN(0.95,$MK50)))</f>
        <v>0.95</v>
      </c>
      <c r="MN50" s="173">
        <f ca="1">(1-$MM50)*(Control!$C$128-Control!$C$127)+Control!$C$127</f>
        <v>0.16</v>
      </c>
      <c r="MO50" s="170" t="e">
        <f ca="1">MAX(0,MIN(1,($MS50-Control!$C$127)/($MN50-Control!$C$127)))</f>
        <v>#DIV/0!</v>
      </c>
      <c r="MP50" s="173" t="e">
        <f ca="1">1/(0.76+1.5*$MI50)-(5-Control!$C$110)*0.1</f>
        <v>#N/A</v>
      </c>
      <c r="MQ50" s="172" t="e">
        <f t="shared" ca="1" si="209"/>
        <v>#DIV/0!</v>
      </c>
      <c r="MR50" s="168" t="e">
        <f t="shared" ca="1" si="226"/>
        <v>#DIV/0!</v>
      </c>
      <c r="MS50" s="173" t="e">
        <f ca="1">MAX(Control!$C$127, MIN(Control!$C$135, $MR50/MAX(0.0001,$CY50)))</f>
        <v>#DIV/0!</v>
      </c>
      <c r="MT50" s="168" t="e">
        <f ca="1">(Control!$C$128-$MS50)*Control!$C$74</f>
        <v>#DIV/0!</v>
      </c>
      <c r="MU50" s="168" t="e">
        <f ca="1">(Control!$C$135-$MS50)*Control!$C$74</f>
        <v>#DIV/0!</v>
      </c>
      <c r="MV50" s="168" t="e">
        <f t="shared" ca="1" si="210"/>
        <v>#DIV/0!</v>
      </c>
      <c r="MW50" s="168" t="e">
        <f t="shared" ca="1" si="177"/>
        <v>#DIV/0!</v>
      </c>
      <c r="MX50" s="171" t="e">
        <f ca="1">MAX(Control!$C$127, MIN(Control!$C$135, $MW50/MAX(0.0001,Control!$C$119-$CY50)))</f>
        <v>#DIV/0!</v>
      </c>
      <c r="MY50" s="54" t="e">
        <f ca="1">IF(Control!$C$114=1, $CX50*$MX50, 0)</f>
        <v>#DIV/0!</v>
      </c>
      <c r="MZ50" s="54" t="e">
        <f t="shared" ca="1" si="178"/>
        <v>#N/A</v>
      </c>
      <c r="NA50" s="168" t="e">
        <f ca="1">(Control!$C$128-$MX50)*(Control!$C$119-Control!$C$74)</f>
        <v>#DIV/0!</v>
      </c>
      <c r="NB50" s="168" t="e">
        <f ca="1">(Control!$C$135-$MX50)*(Control!$C$119-Control!$C$74)</f>
        <v>#DIV/0!</v>
      </c>
      <c r="NC50" s="174" t="e">
        <f t="shared" ca="1" si="179"/>
        <v>#DIV/0!</v>
      </c>
      <c r="ND50" s="54">
        <f ca="1">IF(Control!$C$58=2, IF(OR(Control!$B$218=$AH50,Control!$B$219=$AH50, Control!$B$220=$AH50, Control!$B$221=$AH50, Control!$B$222=$AH50, Control!$B$223=$AH50, Control!$B$224=$AH50, Control!$B$225=$AH50, Control!$B$226=$AH50, Control!$B$227=$AH50, Control!$B$228=$AH50), 1, 0), 0)</f>
        <v>0</v>
      </c>
      <c r="NE50" s="54">
        <f ca="1">IF($ND50=0,0, VLOOKUP($AH50,Control!$B$218:$C$228,2))</f>
        <v>0</v>
      </c>
      <c r="NF50" s="168" t="e">
        <f ca="1">$CY50*(Control!$C$128-Control!$C$127)</f>
        <v>#N/A</v>
      </c>
      <c r="NG50" s="54" t="e">
        <f ca="1">IF(Control!$C$58=2, $NI49-$NJ49, 0)</f>
        <v>#DIV/0!</v>
      </c>
      <c r="NH50" s="54" t="e">
        <f ca="1">IF(AND(Control!$C$58=1, $MS49&lt;= ($MN49+0.02), $I49&lt;10), 0, IF(Control!$C$58=2, $NG49, 0))</f>
        <v>#DIV/0!</v>
      </c>
      <c r="NI50" s="54" t="e">
        <f ca="1">IF(Control!$C$58=2, $NE50+$NH50,0)</f>
        <v>#DIV/0!</v>
      </c>
      <c r="NJ50" s="54" t="e">
        <f ca="1">IF(AND(Control!$C$58=1, $MS50&lt;= ($MN50+0.02), $I50&lt;10), MAX(0, MIN(10, 0.7*($NF50-$MV50))), IF(Control!$C$58=2, MIN(10,$NI50),0))</f>
        <v>#DIV/0!</v>
      </c>
      <c r="NK50" s="54" t="e">
        <f t="shared" ca="1" si="96"/>
        <v>#DIV/0!</v>
      </c>
      <c r="NL50" s="173" t="e">
        <f ca="1">(1-Control!$C$73)*$I50+$NJ50</f>
        <v>#DIV/0!</v>
      </c>
      <c r="NM50" s="172" t="e">
        <f ca="1">IF($NL50&lt;0.5, $MB50* MAX(0, MIN(1, (SQRT($NC50)-SQRT($NC50-1))*Control!$C$71)),0)</f>
        <v>#DIV/0!</v>
      </c>
      <c r="NN50" s="170" t="e">
        <f ca="1">IF($NL50&gt;=5, $MB50, MAX(0,MIN($MB50, $NM50+$NL50,($MS50-Control!$C$129))))</f>
        <v>#DIV/0!</v>
      </c>
      <c r="NO50" s="54">
        <f>IF(Control!$C$133&lt;&gt;1, Control!$C$135-Control!$C$131, 0)</f>
        <v>0.38</v>
      </c>
      <c r="NP50" s="54" t="e">
        <f t="shared" ca="1" si="97"/>
        <v>#DIV/0!</v>
      </c>
      <c r="NQ50" s="173" t="e">
        <f ca="1">MAX(0,MIN(1,(Control!$C$135-$MS50)/(Control!$C$135-$NO50)))</f>
        <v>#DIV/0!</v>
      </c>
      <c r="NR50" s="170" t="e">
        <f ca="1">IF(Control!$C$133&lt;&gt;1, $NQ50+((1-$NP50/4)*(1-$NQ50)),1)</f>
        <v>#DIV/0!</v>
      </c>
      <c r="NS50" s="170" t="e">
        <f ca="1">IF(Control!$B$31=0,$MJ50,MAX(0,MIN($MV50,$MO50*$NR50*$MJ50)))</f>
        <v>#DIV/0!</v>
      </c>
      <c r="NT50" s="170" t="e">
        <f t="shared" ca="1" si="227"/>
        <v>#DIV/0!</v>
      </c>
      <c r="NU50" s="170" t="e">
        <f t="shared" ca="1" si="180"/>
        <v>#N/A</v>
      </c>
      <c r="NV50" s="170" t="e">
        <f t="shared" ca="1" si="98"/>
        <v>#N/A</v>
      </c>
      <c r="NW50" s="175" t="e">
        <f t="shared" ca="1" si="99"/>
        <v>#DIV/0!</v>
      </c>
      <c r="NX50" s="170" t="e">
        <f ca="1">MIN(Control!$C$72+$MU50, $NW50)</f>
        <v>#DIV/0!</v>
      </c>
      <c r="NY50" s="170" t="e">
        <f ca="1">IF($MT50&lt;=$NX50,MIN(Control!$C$72+$NB50,$NX50-$MT50),0)</f>
        <v>#DIV/0!</v>
      </c>
      <c r="NZ50" s="54" t="e">
        <f ca="1">IF(Control!$C$114=1,  $CX50*($MX50-Control!$C$127), 0)</f>
        <v>#DIV/0!</v>
      </c>
      <c r="OA50" s="170" t="e">
        <f t="shared" ca="1" si="181"/>
        <v>#DIV/0!</v>
      </c>
      <c r="OB50" s="170" t="e">
        <f ca="1">IF($NA50 &lt;=$NY50, MIN(Control!$C$72, $NY50-$NA50), 0)</f>
        <v>#DIV/0!</v>
      </c>
      <c r="OC50" s="168" t="e">
        <f t="shared" ca="1" si="100"/>
        <v>#DIV/0!</v>
      </c>
      <c r="OD50" s="168" t="e">
        <f t="shared" ca="1" si="182"/>
        <v>#DIV/0!</v>
      </c>
      <c r="OE50" s="170">
        <f ca="1">Control!$C$73*$I50</f>
        <v>0</v>
      </c>
      <c r="OF50" s="176" t="e">
        <f t="shared" ca="1" si="101"/>
        <v>#DIV/0!</v>
      </c>
      <c r="OG50" s="168" t="e">
        <f t="shared" ca="1" si="102"/>
        <v>#DIV/0!</v>
      </c>
      <c r="OH50" s="168" t="e">
        <f t="shared" ca="1" si="103"/>
        <v>#DIV/0!</v>
      </c>
      <c r="OI50" s="168" t="e">
        <f t="shared" ca="1" si="104"/>
        <v>#DIV/0!</v>
      </c>
      <c r="OJ50" s="168" t="e">
        <f t="shared" ca="1" si="105"/>
        <v>#DIV/0!</v>
      </c>
      <c r="OK50" s="204" t="e">
        <f t="shared" ca="1" si="183"/>
        <v>#DIV/0!</v>
      </c>
      <c r="OL50" s="177">
        <f>Control!$C$127</f>
        <v>0.15</v>
      </c>
      <c r="OM50" s="182" t="e">
        <f t="shared" ca="1" si="106"/>
        <v>#N/A</v>
      </c>
      <c r="ON50" s="177">
        <f>Control!$C$128</f>
        <v>0.35</v>
      </c>
      <c r="OO50" s="182" t="e">
        <f t="shared" ca="1" si="107"/>
        <v>#N/A</v>
      </c>
      <c r="OP50" s="138">
        <f t="shared" ca="1" si="184"/>
        <v>0</v>
      </c>
      <c r="OQ50" s="138" t="e">
        <f t="shared" ca="1" si="211"/>
        <v>#DIV/0!</v>
      </c>
      <c r="OR50" s="138" t="e">
        <f t="shared" ca="1" si="185"/>
        <v>#DIV/0!</v>
      </c>
      <c r="OS50" s="137" t="e">
        <f t="shared" ca="1" si="212"/>
        <v>#DIV/0!</v>
      </c>
      <c r="OT50" s="139" t="e">
        <f t="shared" ca="1" si="213"/>
        <v>#DIV/0!</v>
      </c>
      <c r="OU50" s="138" t="e">
        <f t="shared" ca="1" si="214"/>
        <v>#N/A</v>
      </c>
      <c r="OV50" s="138" t="e">
        <f t="shared" ca="1" si="215"/>
        <v>#DIV/0!</v>
      </c>
      <c r="OW50" s="138" t="e">
        <f t="shared" ca="1" si="186"/>
        <v>#DIV/0!</v>
      </c>
      <c r="OX50" s="138" t="e">
        <f t="shared" ca="1" si="187"/>
        <v>#DIV/0!</v>
      </c>
      <c r="OY50" s="138" t="e">
        <f t="shared" ca="1" si="188"/>
        <v>#DIV/0!</v>
      </c>
      <c r="OZ50" s="138" t="e">
        <f t="shared" ca="1" si="108"/>
        <v>#DIV/0!</v>
      </c>
      <c r="PA50" s="138" t="e">
        <f t="shared" ca="1" si="109"/>
        <v>#DIV/0!</v>
      </c>
      <c r="PB50" s="55">
        <f>IF(Control!$C$61="T", IF(Control!$C$65="F", IF($AH$6-Control!$C$60&lt;0,0,1), IF(365+$AH$6-Control!$C$60&lt;0,0,1)),0)</f>
        <v>0</v>
      </c>
      <c r="PC50" s="55">
        <f ca="1">IF(Control!$C$65="F", IF($AH$6-$HF50&lt;0,0,1), IF(365+$AH$6-$HF50&lt;0,0,1))</f>
        <v>1</v>
      </c>
      <c r="PD50" s="444">
        <f>Control!$C$118</f>
        <v>1500</v>
      </c>
      <c r="PE50" s="180" t="e">
        <f t="shared" ca="1" si="110"/>
        <v>#N/A</v>
      </c>
      <c r="PF50" s="445">
        <f t="shared" ca="1" si="189"/>
        <v>0.71612369323045078</v>
      </c>
      <c r="PT50" s="186"/>
      <c r="PU50" s="186"/>
      <c r="PV50" s="94"/>
      <c r="PW50" s="94"/>
      <c r="PX50" s="94"/>
      <c r="PY50" s="94"/>
      <c r="PZ50" s="94"/>
      <c r="QA50" s="94"/>
      <c r="QB50" s="94"/>
      <c r="QC50" s="94"/>
      <c r="QD50" s="94"/>
      <c r="QE50" s="94"/>
      <c r="QF50" s="94"/>
      <c r="QG50" s="94"/>
      <c r="QH50" s="94"/>
      <c r="QI50" s="94"/>
      <c r="QJ50" s="94"/>
      <c r="QK50" s="94"/>
      <c r="QL50" s="94"/>
      <c r="QM50" s="94"/>
      <c r="QN50" s="94"/>
      <c r="QO50" s="94"/>
      <c r="QP50" s="94"/>
    </row>
    <row r="51" spans="1:458" s="2" customFormat="1" x14ac:dyDescent="0.2">
      <c r="A51" s="395">
        <v>15</v>
      </c>
      <c r="B51" s="396">
        <v>2</v>
      </c>
      <c r="C51" s="387">
        <f ca="1">Weather_data!$B50</f>
        <v>0</v>
      </c>
      <c r="D51" s="388">
        <f ca="1">Weather_data!$F50</f>
        <v>0</v>
      </c>
      <c r="E51" s="388">
        <f ca="1">Weather_data!$E50</f>
        <v>0</v>
      </c>
      <c r="F51" s="388">
        <f t="shared" ca="1" si="111"/>
        <v>0</v>
      </c>
      <c r="G51" s="388">
        <f ca="1">AVERAGE($D51:$E51)+Control!$B$9</f>
        <v>0</v>
      </c>
      <c r="H51" s="388">
        <f ca="1">Weather_data!$G50</f>
        <v>0</v>
      </c>
      <c r="I51" s="388">
        <f ca="1">Weather_data!$I50</f>
        <v>0</v>
      </c>
      <c r="J51" s="388">
        <f ca="1">Weather_data!$H50</f>
        <v>0</v>
      </c>
      <c r="K51" s="389">
        <f ca="1">Weather_data!$D50</f>
        <v>0</v>
      </c>
      <c r="L51" s="388" t="e">
        <f t="shared" ca="1" si="112"/>
        <v>#N/A</v>
      </c>
      <c r="M51" s="388" t="e">
        <f t="shared" ca="1" si="0"/>
        <v>#N/A</v>
      </c>
      <c r="N51" s="388">
        <f t="shared" ca="1" si="1"/>
        <v>-4.3639817840438553E-3</v>
      </c>
      <c r="O51" s="388">
        <f t="shared" ca="1" si="113"/>
        <v>4.363981784043855E-2</v>
      </c>
      <c r="P51" s="390">
        <v>3</v>
      </c>
      <c r="Q51" s="388">
        <f ca="1">MAX($G51-Control!$C$107,0)</f>
        <v>0</v>
      </c>
      <c r="R51" s="388">
        <f t="shared" ca="1" si="114"/>
        <v>0</v>
      </c>
      <c r="S51" s="388">
        <f t="shared" ca="1" si="2"/>
        <v>0</v>
      </c>
      <c r="T51" s="388">
        <f t="shared" ca="1" si="3"/>
        <v>0</v>
      </c>
      <c r="U51" s="59">
        <f t="shared" ca="1" si="4"/>
        <v>0</v>
      </c>
      <c r="V51" s="391">
        <f ca="1">MAX(0,MIN(Control!$C$100-Control!$C$99,$G51-Control!$C$99)*Control!$C$63)</f>
        <v>0</v>
      </c>
      <c r="W51" s="388">
        <f t="shared" ca="1" si="190"/>
        <v>0</v>
      </c>
      <c r="X51" s="388">
        <f t="shared" ca="1" si="115"/>
        <v>0.6110000000000001</v>
      </c>
      <c r="Y51" s="388">
        <f t="shared" ca="1" si="116"/>
        <v>0</v>
      </c>
      <c r="Z51" s="388">
        <f t="shared" ca="1" si="117"/>
        <v>0.61058800000000002</v>
      </c>
      <c r="AA51" s="388">
        <f t="shared" ca="1" si="5"/>
        <v>0.6018</v>
      </c>
      <c r="AB51" s="388">
        <f ca="1">101.3*EXP(-0.034*Control!$C$66/($G51+273))</f>
        <v>100.69623283836242</v>
      </c>
      <c r="AC51" s="392">
        <f t="shared" ca="1" si="6"/>
        <v>4.3460251046025113E-2</v>
      </c>
      <c r="AD51" s="392">
        <f t="shared" ca="1" si="7"/>
        <v>4.4450382862832649E-2</v>
      </c>
      <c r="AE51" s="388">
        <f t="shared" ca="1" si="8"/>
        <v>0</v>
      </c>
      <c r="AF51" s="388">
        <f ca="1">MAX(0,$G51-Control!$C$92)</f>
        <v>0</v>
      </c>
      <c r="AG51" s="393">
        <f t="shared" ca="1" si="118"/>
        <v>46</v>
      </c>
      <c r="AH51" s="389">
        <f t="shared" ca="1" si="9"/>
        <v>46</v>
      </c>
      <c r="AI51" s="388">
        <f t="shared" ca="1" si="119"/>
        <v>-0.22892110130703094</v>
      </c>
      <c r="AJ51" s="388">
        <f ca="1">IF(Control!$C$60&lt;=0,$HH51,$HI51)</f>
        <v>1</v>
      </c>
      <c r="AK51" s="388">
        <f t="shared" ca="1" si="10"/>
        <v>-0.58528301491535872</v>
      </c>
      <c r="AL51" s="388">
        <f t="shared" ca="1" si="11"/>
        <v>-5.4094576040775166E-19</v>
      </c>
      <c r="AM51" s="388">
        <f t="shared" ca="1" si="12"/>
        <v>-0.58528301491535872</v>
      </c>
      <c r="AN51" s="388">
        <f t="shared" ca="1" si="13"/>
        <v>-0.22156718630445776</v>
      </c>
      <c r="AO51" s="388">
        <f ca="1">-0.10453/COS(Control!$B$8*PI()/180)*COS(AN51)</f>
        <v>-0.16563434496136054</v>
      </c>
      <c r="AP51" s="388">
        <f ca="1">ACOS(AO51-TAN(Control!$B$8*PI()/180)*TAN(AN51))</f>
        <v>1.4477939829187778</v>
      </c>
      <c r="AQ51" s="388">
        <f t="shared" ca="1" si="120"/>
        <v>0</v>
      </c>
      <c r="AR51" s="394">
        <f t="shared" ca="1" si="14"/>
        <v>0</v>
      </c>
      <c r="AS51" s="436">
        <f ca="1">IF(Control!$B$18=2,(IF(OR($AH51=Control!$B$175,$AH51=Control!$B$176,$AH51=Control!$B$177,$AH51=Control!$B$178,$AH51=Control!$B$179,$AH51=Control!$B$180,$AH51=Control!$B$181,$AH51=Control!$B$182,$AH51=Control!$B$183,$AH51=Control!$B$184,$AH51=Control!$B$185),1,0)),0)</f>
        <v>0</v>
      </c>
      <c r="AT51" s="436">
        <f>IF(Control!$B$20=8,IF(AND($AH51&gt;=Control!$B$172,$AH51&lt;=Control!$B$173),1,0),0)</f>
        <v>0</v>
      </c>
      <c r="AU51" s="436">
        <f>IF(Control!$B$20=8,IF($AV50=1,1*$AT51,IF($AT51=1,$AU50+1,$AU50)),0)</f>
        <v>0</v>
      </c>
      <c r="AV51" s="436">
        <f>IF(Control!$B$20=8,IF($AU51&gt;=Control!$B$174,1,0),0)</f>
        <v>0</v>
      </c>
      <c r="AW51" s="436">
        <f ca="1">IF(AND(Control!$B$18=2,Control!$B$171=1), $AV51, $AS51)</f>
        <v>0</v>
      </c>
      <c r="AX51" s="436" t="e">
        <f ca="1">IF(AND(Control!$B$18=1,$EU51&gt;=Control!$B$19),-$AY51,IF(AND(Control!$B$18=2,$AW51=1,$EU51&gt;$DS51),-$AY51, IF(Control!$C$108=0,0, IF(Control!$C$108&lt;&gt;0,1))))</f>
        <v>#N/A</v>
      </c>
      <c r="AY51" s="436" t="e">
        <f t="shared" ca="1" si="121"/>
        <v>#N/A</v>
      </c>
      <c r="AZ51" s="436" t="e">
        <f ca="1">IF(AND(Control!$B$18=1,$EB51&gt;Control!$B$19),$AZ50+1, IF(AND(Control!$B$18=2, $AW51=1, $EB51&gt;$DS51), $AZ50+1,$AZ50))</f>
        <v>#N/A</v>
      </c>
      <c r="BA51" s="587">
        <f>IF(Control!$C$81=0,1,IF($AH51&gt;=Control!$C$82,1,0))</f>
        <v>1</v>
      </c>
      <c r="BB51" s="140" t="e">
        <f ca="1">IF($BA51&gt;$BA50,Control!$C$83,IF($AW51&gt;0,$AW51*Control!$C$84,IF(AND(Control!$B$18=1,EN50&lt;&gt;0),Control!$C$84,0)))</f>
        <v>#N/A</v>
      </c>
      <c r="BC51" s="140" t="e">
        <f t="shared" ca="1" si="122"/>
        <v>#N/A</v>
      </c>
      <c r="BD51" s="140" t="e">
        <f ca="1">BC51*IF(OR($G51&lt;Control!$C$92,$G51&gt;Control!$C$95),0,IF(AND($G51&gt;=Control!$C$92,$G51&lt;=Control!$C$93),$G51-Control!$C$92,IF(AND($G51&gt;Control!$C$93,$G51&lt;=Control!$C$94),Control!$C$93-Control!$C$92,IF(AND($G51&gt;Control!$C$94,$G51&lt;=Control!$C$95),(Control!$C$93-Control!$C$92)*(Control!$C$94-$G51)/(Control!$C$95-Control!$C$94)))))</f>
        <v>#N/A</v>
      </c>
      <c r="BE51" s="140" t="e">
        <f t="shared" ca="1" si="123"/>
        <v>#N/A</v>
      </c>
      <c r="BF51" s="140" t="e">
        <f ca="1">IF($BE51&lt;=Control!$C$86,$BE51,Control!$C$86-$BE51)</f>
        <v>#N/A</v>
      </c>
      <c r="BG51" s="140" t="e">
        <f ca="1">IF(AND($AW51=1,Control!$C$84&lt;9),1,IF($BE51&gt;=Control!$C$86,0,$BC51))</f>
        <v>#N/A</v>
      </c>
      <c r="BH51" s="404" t="e">
        <f ca="1">IF($BG51=0,0,IF($BE51&lt;=Control!$C$86,$BC51*9*($BF51/Control!$C$86),0))</f>
        <v>#N/A</v>
      </c>
      <c r="BI51" s="140" t="e">
        <f ca="1">IF($BG51=1,0,IF($BE51&gt;=Control!$C$86,1,IF(AND($BB51&lt;21,$BB51&gt;=9),1,$BM50)))</f>
        <v>#N/A</v>
      </c>
      <c r="BJ51" s="140" t="e">
        <f ca="1">IF($BF51&lt;0,-$BF51,$BI51*IF(OR($G51&lt;Control!$C$92,$G51&gt;Control!$C$95),0,IF(AND($G51&gt;=Control!$C$92,$G51&lt;=Control!$C$93),$G51-Control!$C$92,IF(AND($G51&gt;Control!$C$93,$G51&lt;=Control!$C$94),Control!$C$93-Control!$C$92,IF(AND($G51&gt;Control!$C$94,$G51&lt;=Control!$C$95),(Control!$C$93-Control!$C$92)*(Control!$C$94-$G51)/(Control!$C$95-Control!$C$94))))))</f>
        <v>#N/A</v>
      </c>
      <c r="BK51" s="140" t="e">
        <f t="shared" ca="1" si="124"/>
        <v>#N/A</v>
      </c>
      <c r="BL51" s="140" t="e">
        <f ca="1">IF($BK51&lt;=Control!$C$87,$BK51,Control!$C$87-$BK51)</f>
        <v>#N/A</v>
      </c>
      <c r="BM51" s="140" t="e">
        <f ca="1">IF(AND($BB51&gt;=9,$BB51&lt;21),1,IF($BK51&gt;=Control!$C$87,0,$BI51))</f>
        <v>#N/A</v>
      </c>
      <c r="BN51" s="404" t="e">
        <f ca="1">IF($BM51=0,0,IF($BK51&lt;=Control!$C$87,$BI51*(9+(21-9)*($BL51/Control!$C$87)),0))</f>
        <v>#N/A</v>
      </c>
      <c r="BO51" s="140" t="e">
        <f ca="1">IF($BM51=1,0,IF($BK51&gt;=Control!$C$87,1,IF(AND($BB51&lt;30,$BB51&gt;=21),1,$BS50)))</f>
        <v>#N/A</v>
      </c>
      <c r="BP51" s="140" t="e">
        <f ca="1">IF($BL51&lt;0,-$BL51,$BO51*IF(OR($G51&lt;Control!$C$92,$G51&gt;Control!$C$95),0,IF(AND($G51&gt;=Control!$C$92,$G51&lt;=Control!$C$93),$G51-Control!$C$92,IF(AND($G51&gt;Control!$C$93,$G51&lt;=Control!$C$94),Control!$C$93-Control!$C$92,IF(AND($G51&gt;Control!$C$94,$G51&lt;=Control!$C$95),(Control!$C$93-Control!$C$92)*(Control!$C$94-$G51)/(Control!$C$95-Control!$C$94))))))</f>
        <v>#N/A</v>
      </c>
      <c r="BQ51" s="140" t="e">
        <f t="shared" ca="1" si="15"/>
        <v>#N/A</v>
      </c>
      <c r="BR51" s="140" t="e">
        <f ca="1">IF($BQ51&lt;=Control!$C$88,$BQ51,Control!$C$88-$BQ51)</f>
        <v>#N/A</v>
      </c>
      <c r="BS51" s="140" t="e">
        <f ca="1">IF(AND($BB51&gt;=21,$BB51&lt;30),1,IF($BQ51&gt;=Control!$C$88,0,$BO51))</f>
        <v>#N/A</v>
      </c>
      <c r="BT51" s="404" t="e">
        <f ca="1">IF($BS51=0,0,IF($BQ51&lt;=Control!$C$88,$BO51*(21+(30-21)*(BR51/Control!$C$88)),0))</f>
        <v>#N/A</v>
      </c>
      <c r="BU51" s="140" t="e">
        <f ca="1">IF(BG51+BM51+BS51=1,0,IF(OR(AND($BB51&lt;60,$BB51&gt;=30),$BQ51&gt;=Control!$C$88),1*$BA51,$BY50))</f>
        <v>#N/A</v>
      </c>
      <c r="BV51" s="140" t="e">
        <f ca="1">IF($BR51&lt;0,-$BR51,$BU51*IF(OR($G51&lt;Control!$C$92,$G51&gt;Control!$C$95),0,IF(AND($G51&gt;=Control!$C$92,$G51&lt;=Control!$C$93),$G51-Control!$C$92,IF(AND($G51&gt;Control!$C$93,$G51&lt;=Control!$C$94),Control!$C$93-Control!$C$92,IF(AND($G51&gt;Control!$C$94,$G51&lt;=Control!$C$95),(Control!$C$93-Control!$C$92)*(Control!$C$94-$G51)/(Control!$C$95-Control!$C$94))))))</f>
        <v>#N/A</v>
      </c>
      <c r="BW51" s="140" t="e">
        <f t="shared" ca="1" si="16"/>
        <v>#N/A</v>
      </c>
      <c r="BX51" s="140" t="e">
        <f ca="1">IF($BW51&lt;=Control!$C$89,$BW51,Control!$C$89-$BW51)</f>
        <v>#N/A</v>
      </c>
      <c r="BY51" s="140" t="e">
        <f ca="1">IF(AND($AJ51&gt;=30,$AJ51&lt;60),1,IF($BW51&gt;=Control!$C$89,0,$BU51))</f>
        <v>#N/A</v>
      </c>
      <c r="BZ51" s="404" t="e">
        <f ca="1">IF($BY51=0,0,IF($BW51&lt;=Control!$C$89,$BU51*(30+(60-30)*(BX51/Control!$C$89)),0))</f>
        <v>#N/A</v>
      </c>
      <c r="CA51" s="140" t="e">
        <f ca="1">IF($BG51+$BM51+$BS51+$BY51=1,0,IF(OR(AND($BB51&lt;65,$BB51&gt;=60),$BW51&gt;=Control!$C$89),1*$BA51,$CE50))</f>
        <v>#N/A</v>
      </c>
      <c r="CB51" s="140" t="e">
        <f ca="1">IF($BX51&lt;0,-$BX51,$CA51*IF(OR($G51&lt;Control!$C$92,$G51&gt;Control!$C$95),0,IF(AND($G51&gt;=Control!$C$92,$G51&lt;=Control!$C$93),$G51-Control!$C$92,IF(AND($G51&gt;Control!$C$93,$G51&lt;=Control!$C$94),Control!$C$93-Control!$C$92,IF(AND($G51&gt;Control!$C$94,$G51&lt;=Control!$C$95),(Control!$C$93-Control!$C$92)*(Control!$C$94-$G51)/(Control!$C$95-Control!$C$94))))))</f>
        <v>#N/A</v>
      </c>
      <c r="CC51" s="140" t="e">
        <f t="shared" ca="1" si="125"/>
        <v>#N/A</v>
      </c>
      <c r="CD51" s="140" t="e">
        <f ca="1">IF($CC51&lt;=Control!$C$90,$CC51,Control!$C$90-$CC51)</f>
        <v>#N/A</v>
      </c>
      <c r="CE51" s="140" t="e">
        <f ca="1">IF(AND($BB51&gt;=60,$BB51&lt;65),1,IF($CC51&gt;=Control!$C$90,0,$CA51))</f>
        <v>#N/A</v>
      </c>
      <c r="CF51" s="404" t="e">
        <f ca="1">IF($CE51=0,0,IF($CC51&lt;=Control!$C$90,$CA51*(60+(65-60)*(CD51/Control!$C$90)),0))</f>
        <v>#N/A</v>
      </c>
      <c r="CG51" s="140" t="e">
        <f ca="1">IF($BG51+$BM51+$BS51+$BY51+$CE51=1,0,IF(OR(AND($BB51&lt;90,$BB51&gt;=65),$CC51&gt;=Control!$C$90),$BA51,$CK50))</f>
        <v>#N/A</v>
      </c>
      <c r="CH51" s="140" t="e">
        <f ca="1">IF($CD51&lt;0,-$CD51,$CG51*IF(OR($G51&lt;Control!$C$92,$G51&gt;Control!$C$95),0,IF(AND($G51&gt;=Control!$C$92,$G51&lt;=Control!$C$93),$G51-Control!$C$92,IF(AND($G51&gt;Control!$C$93,$G51&lt;=Control!$C$94),Control!$C$93-Control!$C$92,IF(AND($G51&gt;Control!$C$94,$G51&lt;=Control!$C$95),(Control!$C$93-Control!$C$92)*(Control!$C$94-$G51)/(Control!$C$95-Control!$C$94))))))</f>
        <v>#N/A</v>
      </c>
      <c r="CI51" s="140" t="e">
        <f t="shared" ca="1" si="126"/>
        <v>#N/A</v>
      </c>
      <c r="CJ51" s="140" t="e">
        <f ca="1">IF($CI51&lt;=Control!$C$91,$CI51,Control!$C$91-$CI51)</f>
        <v>#N/A</v>
      </c>
      <c r="CK51" s="140" t="e">
        <f ca="1">IF(AND($BB51&gt;=65,$BB51&lt;90),1,IF($CI51&gt;=Control!$C$91,0,$CG51))</f>
        <v>#N/A</v>
      </c>
      <c r="CL51" s="404" t="e">
        <f ca="1">IF($CK51=0,0,IF($CI51&lt;=Control!$C$91,$CG51*(65+(90-65)*($CJ51/Control!$C$91)),0))</f>
        <v>#N/A</v>
      </c>
      <c r="CM51" s="140" t="e">
        <f ca="1">IF($BG51+$BM51+$BS51+$BY51+$CE51+$CK51=1,0,IF(OR($BB51&gt;=90,$CI51&gt;=Control!$C$91),$BA51,$CM50))</f>
        <v>#N/A</v>
      </c>
      <c r="CN51" s="140" t="e">
        <f t="shared" ca="1" si="127"/>
        <v>#N/A</v>
      </c>
      <c r="CO51" s="140" t="e">
        <f t="shared" ca="1" si="128"/>
        <v>#N/A</v>
      </c>
      <c r="CP51" s="140" t="e">
        <f t="shared" ca="1" si="129"/>
        <v>#N/A</v>
      </c>
      <c r="CQ51" s="141" t="e">
        <f ca="1">VLOOKUP($CP51,Control!$B$86:$G$91,6)</f>
        <v>#N/A</v>
      </c>
      <c r="CR51" s="141" t="e">
        <f ca="1">(1-$CQ51)*VLOOKUP($CP51,Control!$B$86:$D$91,3)</f>
        <v>#N/A</v>
      </c>
      <c r="CS51" s="141" t="e">
        <f ca="1">(1-$CQ51)*VLOOKUP($CP51,Control!$B$86:$E$91,4)</f>
        <v>#N/A</v>
      </c>
      <c r="CT51" s="141" t="e">
        <f ca="1">(1-$CQ51)*VLOOKUP($CP51,Control!$B$86:$F$91,5)</f>
        <v>#N/A</v>
      </c>
      <c r="CU51" s="141">
        <f t="shared" ca="1" si="130"/>
        <v>0</v>
      </c>
      <c r="CV51" s="583">
        <f t="shared" ca="1" si="131"/>
        <v>0</v>
      </c>
      <c r="CW51" s="142">
        <f t="shared" ca="1" si="132"/>
        <v>46</v>
      </c>
      <c r="CX51" s="612" t="e">
        <f ca="1">IF(Control!$C$114=1,(MIN(Control!$C$120*(IF($NT51-0.01&lt;0,0,1)),Control!$C$119-$CY51)))</f>
        <v>#DIV/0!</v>
      </c>
      <c r="CY51" s="143" t="e">
        <f t="shared" ca="1" si="133"/>
        <v>#N/A</v>
      </c>
      <c r="CZ51" s="144">
        <f t="shared" ca="1" si="17"/>
        <v>0</v>
      </c>
      <c r="DA51" s="144">
        <f t="shared" ca="1" si="18"/>
        <v>0</v>
      </c>
      <c r="DB51" s="144" t="e">
        <f t="shared" ca="1" si="19"/>
        <v>#N/A</v>
      </c>
      <c r="DC51" s="144" t="e">
        <f t="shared" ca="1" si="20"/>
        <v>#N/A</v>
      </c>
      <c r="DD51" s="144" t="e">
        <f t="shared" ca="1" si="216"/>
        <v>#N/A</v>
      </c>
      <c r="DE51" s="143" t="e">
        <f t="shared" ca="1" si="135"/>
        <v>#N/A</v>
      </c>
      <c r="DF51" s="145" t="e">
        <f ca="1">$DR51*EXP(-Control!$C$158*(1-$KH51))</f>
        <v>#N/A</v>
      </c>
      <c r="DG51" s="146" t="e">
        <f ca="1">IF(Control!$C$114=1, $DF51*$EY51, 0)</f>
        <v>#N/A</v>
      </c>
      <c r="DH51" s="147" t="e">
        <f t="shared" ca="1" si="136"/>
        <v>#N/A</v>
      </c>
      <c r="DI51" s="144" t="e">
        <f t="shared" ca="1" si="191"/>
        <v>#N/A</v>
      </c>
      <c r="DJ51" s="147" t="e">
        <f ca="1">$EF51*Control!$C$109</f>
        <v>#N/A</v>
      </c>
      <c r="DK51" s="144" t="e">
        <f t="shared" ca="1" si="137"/>
        <v>#N/A</v>
      </c>
      <c r="DL51" s="144" t="e">
        <f t="shared" ca="1" si="21"/>
        <v>#N/A</v>
      </c>
      <c r="DM51" s="144" t="e">
        <f ca="1">IF(Control!$C$114=1, (1-EXP(-Control!$C$96*$DK51))*$AR51, 0)</f>
        <v>#N/A</v>
      </c>
      <c r="DN51" s="144">
        <f t="shared" ca="1" si="138"/>
        <v>0</v>
      </c>
      <c r="DO51" s="148">
        <f>Control!$C$97</f>
        <v>4</v>
      </c>
      <c r="DP51" s="145" t="e">
        <f t="shared" ca="1" si="139"/>
        <v>#N/A</v>
      </c>
      <c r="DQ51" s="145" t="e">
        <f ca="1">IF(AND($CP51&gt;=0,$CP51&lt;=90),Control!$C$111,Control!$C$111)</f>
        <v>#N/A</v>
      </c>
      <c r="DR51" s="145" t="e">
        <f t="shared" ca="1" si="22"/>
        <v>#N/A</v>
      </c>
      <c r="DS51" s="143" t="e">
        <f ca="1">Control!$B$22/$DR51</f>
        <v>#N/A</v>
      </c>
      <c r="DT51" s="149" t="e">
        <f ca="1">IF(AND(Control!$C$114=1,$KH51&lt;1),$IM51*$DF51, 0)</f>
        <v>#N/A</v>
      </c>
      <c r="DU51" s="144" t="e">
        <f t="shared" ca="1" si="192"/>
        <v>#N/A</v>
      </c>
      <c r="DV51" s="144">
        <f ca="1">IF($G51-Control!$C$107&lt;=0, 0, 0.83*LN(MAX($G51, 3))-0.8924)</f>
        <v>0</v>
      </c>
      <c r="DW51" s="144" t="e">
        <f t="shared" ca="1" si="23"/>
        <v>#N/A</v>
      </c>
      <c r="DX51" s="150" t="e">
        <f ca="1">MAX(0.01*(1+$CU51/Control!$C$102),0.05*($DK51-Control!$C$97)/Control!$C$97)</f>
        <v>#N/A</v>
      </c>
      <c r="DY51" s="151" t="e">
        <f ca="1">IF(Control!$C$114=1, $DI51*$FS51, 0)</f>
        <v>#N/A</v>
      </c>
      <c r="DZ51" s="196" t="e">
        <f t="shared" ca="1" si="140"/>
        <v>#N/A</v>
      </c>
      <c r="EA51" s="152">
        <f t="shared" ca="1" si="141"/>
        <v>46</v>
      </c>
      <c r="EB51" s="153" t="e">
        <f t="shared" ca="1" si="217"/>
        <v>#N/A</v>
      </c>
      <c r="EC51" s="153" t="e">
        <f t="shared" ca="1" si="142"/>
        <v>#N/A</v>
      </c>
      <c r="ED51" s="154" t="e">
        <f ca="1">IF(Control!$C$114=1, $HM51*$FY51-$FD51, 0)</f>
        <v>#DIV/0!</v>
      </c>
      <c r="EE51" s="155" t="e">
        <f ca="1">IF(Control!$C$114=1, $HM51*$FZ51-$FF51, 0)</f>
        <v>#DIV/0!</v>
      </c>
      <c r="EF51" s="153" t="e">
        <f t="shared" ca="1" si="193"/>
        <v>#N/A</v>
      </c>
      <c r="EG51" s="155" t="e">
        <f ca="1">IF(Control!$C$114=1, $GX51*$FW51-$FI51, 0)</f>
        <v>#DIV/0!</v>
      </c>
      <c r="EH51" s="153" t="e">
        <f t="shared" ca="1" si="143"/>
        <v>#N/A</v>
      </c>
      <c r="EI51" s="156" t="e">
        <f t="shared" ca="1" si="144"/>
        <v>#N/A</v>
      </c>
      <c r="EJ51" s="155" t="e">
        <f ca="1">IF(Control!$C$114=1, $HM51*$GB51, 0)</f>
        <v>#DIV/0!</v>
      </c>
      <c r="EK51" s="153" t="e">
        <f t="shared" ca="1" si="194"/>
        <v>#N/A</v>
      </c>
      <c r="EL51" s="153" t="e">
        <f t="shared" ca="1" si="24"/>
        <v>#N/A</v>
      </c>
      <c r="EM51" s="153" t="e">
        <f t="shared" ca="1" si="25"/>
        <v>#N/A</v>
      </c>
      <c r="EN51" s="153" t="e">
        <f ca="1">IF(Control!$C$108=1,IF(AND(Control!$B$18=1,$EB51&gt;=Control!$B$19),$EB51-$DS51,IF(AND(Control!$B$18=2,$AW51=1,$EB51&gt;$DS51),$EB51-$DS51,0)))</f>
        <v>#N/A</v>
      </c>
      <c r="EO51" s="153" t="e">
        <f ca="1">IF(Control!$C$108=1,IF(AND(Control!$B$18=1,$EB51&gt;=Control!$B$19),$EF51,IF(AND(Control!$B$18=2,$AW51=1),$EF51,0)))</f>
        <v>#N/A</v>
      </c>
      <c r="EP51" s="153" t="e">
        <f ca="1">IF(Control!$C$108=1,IF(AND(Control!$B$18=1,$EB51&gt;=Control!$B$19),$EK51,IF(AND(Control!$B$18=2,$AW51=1),$EK51,0)))</f>
        <v>#N/A</v>
      </c>
      <c r="EQ51" s="153" t="e">
        <f t="shared" ca="1" si="145"/>
        <v>#N/A</v>
      </c>
      <c r="ER51" s="153" t="e">
        <f t="shared" ca="1" si="231"/>
        <v>#N/A</v>
      </c>
      <c r="ES51" s="153" t="e">
        <f t="shared" ca="1" si="196"/>
        <v>#N/A</v>
      </c>
      <c r="ET51" s="153" t="e">
        <f t="shared" ca="1" si="197"/>
        <v>#N/A</v>
      </c>
      <c r="EU51" s="153" t="e">
        <f t="shared" ca="1" si="198"/>
        <v>#N/A</v>
      </c>
      <c r="EV51" s="153" t="e">
        <f t="shared" ca="1" si="146"/>
        <v>#N/A</v>
      </c>
      <c r="EW51" s="153" t="e">
        <f t="shared" ca="1" si="218"/>
        <v>#N/A</v>
      </c>
      <c r="EX51" s="153" t="e">
        <f t="shared" ca="1" si="26"/>
        <v>#N/A</v>
      </c>
      <c r="EY51" s="157" t="e">
        <f t="shared" ca="1" si="147"/>
        <v>#DIV/0!</v>
      </c>
      <c r="EZ51" s="154" t="e">
        <f t="shared" ca="1" si="27"/>
        <v>#DIV/0!</v>
      </c>
      <c r="FA51" s="153" t="e">
        <f t="shared" ca="1" si="199"/>
        <v>#N/A</v>
      </c>
      <c r="FB51" s="153" t="e">
        <f t="shared" ca="1" si="28"/>
        <v>#N/A</v>
      </c>
      <c r="FC51" s="193" t="e">
        <f t="shared" ca="1" si="29"/>
        <v>#N/A</v>
      </c>
      <c r="FD51" s="158" t="e">
        <f t="shared" ca="1" si="200"/>
        <v>#N/A</v>
      </c>
      <c r="FE51" s="158" t="e">
        <f t="shared" ca="1" si="148"/>
        <v>#N/A</v>
      </c>
      <c r="FF51" s="159" t="e">
        <f t="shared" ca="1" si="30"/>
        <v>#N/A</v>
      </c>
      <c r="FG51" s="160" t="e">
        <f t="shared" ca="1" si="149"/>
        <v>#N/A</v>
      </c>
      <c r="FH51" s="158" t="e">
        <f t="shared" ca="1" si="150"/>
        <v>#N/A</v>
      </c>
      <c r="FI51" s="159" t="e">
        <f t="shared" ca="1" si="31"/>
        <v>#N/A</v>
      </c>
      <c r="FJ51" s="160" t="e">
        <f t="shared" ca="1" si="151"/>
        <v>#N/A</v>
      </c>
      <c r="FK51" s="160" t="e">
        <f t="shared" ca="1" si="32"/>
        <v>#N/A</v>
      </c>
      <c r="FL51" s="160" t="e">
        <f t="shared" ca="1" si="229"/>
        <v>#N/A</v>
      </c>
      <c r="FM51" s="160" t="e">
        <f t="shared" ca="1" si="33"/>
        <v>#N/A</v>
      </c>
      <c r="FN51" s="158">
        <f t="shared" ca="1" si="219"/>
        <v>0.01</v>
      </c>
      <c r="FO51" s="160">
        <f>Control!$C$101</f>
        <v>50</v>
      </c>
      <c r="FP51" s="150" t="e">
        <f t="shared" ca="1" si="34"/>
        <v>#N/A</v>
      </c>
      <c r="FQ51" s="150" t="e">
        <f ca="1">MAX(0,(Control!$C$112*(($DK51-Control!$C$97)/Control!$C$97)))</f>
        <v>#N/A</v>
      </c>
      <c r="FR51" s="150" t="e">
        <f ca="1">(1-$NT51)*Control!$C$113</f>
        <v>#DIV/0!</v>
      </c>
      <c r="FS51" s="198" t="e">
        <f t="shared" ca="1" si="35"/>
        <v>#N/A</v>
      </c>
      <c r="FT51" s="161">
        <f t="shared" ca="1" si="152"/>
        <v>46</v>
      </c>
      <c r="FU51" s="162" t="e">
        <f ca="1">IF(Control!$B$34=1,VLOOKUP($CP51,Control!$B$86:$G$91,6),Control!$B$35)</f>
        <v>#N/A</v>
      </c>
      <c r="FV51" s="162" t="e">
        <f t="shared" ca="1" si="36"/>
        <v>#DIV/0!</v>
      </c>
      <c r="FW51" s="162" t="e">
        <f ca="1">IF(Control!$B$31=1,$FU51*$FV51,  $FU51)</f>
        <v>#N/A</v>
      </c>
      <c r="FX51" s="162" t="e">
        <f ca="1">IF(Control!$B$34=1,VLOOKUP($CP51,Control!$B$86:$G$91,3),Control!$B$36)</f>
        <v>#N/A</v>
      </c>
      <c r="FY51" s="162" t="e">
        <f t="shared" ca="1" si="37"/>
        <v>#N/A</v>
      </c>
      <c r="FZ51" s="162" t="e">
        <f ca="1">IF(Control!$B$34=1,VLOOKUP($CP51,Control!$B$86:$G$91,4),Control!$B$37)</f>
        <v>#N/A</v>
      </c>
      <c r="GA51" s="162" t="e">
        <f t="shared" ca="1" si="38"/>
        <v>#N/A</v>
      </c>
      <c r="GB51" s="162" t="e">
        <f ca="1">IF(Control!$B$34=1,VLOOKUP($CP51,Control!$B$86:$G$91,5),Control!$B$38)</f>
        <v>#N/A</v>
      </c>
      <c r="GC51" s="162" t="e">
        <f t="shared" ca="1" si="153"/>
        <v>#N/A</v>
      </c>
      <c r="GD51" s="162">
        <f t="shared" ca="1" si="39"/>
        <v>1</v>
      </c>
      <c r="GE51" s="162">
        <f t="shared" ca="1" si="40"/>
        <v>1</v>
      </c>
      <c r="GF51" s="162">
        <f ca="1">IF(AND(Control!$C$104=1, Control!$C$62="F"),$GE51,1)</f>
        <v>1</v>
      </c>
      <c r="GG51" s="162" t="e">
        <f ca="1">IF(Control!$B$16=40,0,IF(AND(Control!$B$16&gt;40,Control!$B$16&lt;=360),(Control!$B$16-40)*((1-0)/(360-40)),IF(AND(Control!$B$16&gt;360,Control!$B$16&lt;=720),(1+(Control!$B$16-360)*((1.25-1)/(720-360))),IF(AND(Control!$B$16&gt;720,Control!$B$16&lt;=1000),(1.25+(Control!$B$16-720)*((1.35-1.25)/(1000-720))),IF(AND(Control!$B$16&gt;1000,Control!$B$16&lt;=2000),(1.35+(Control!$B$16-1000)*0))))))</f>
        <v>#N/A</v>
      </c>
      <c r="GH51" s="162" t="e">
        <f t="shared" ca="1" si="41"/>
        <v>#N/A</v>
      </c>
      <c r="GI51" s="162">
        <f t="shared" ca="1" si="201"/>
        <v>0</v>
      </c>
      <c r="GJ51" s="162">
        <f t="shared" ca="1" si="42"/>
        <v>0</v>
      </c>
      <c r="GK51" s="162">
        <f t="shared" ca="1" si="220"/>
        <v>1</v>
      </c>
      <c r="GL51" s="162">
        <f t="shared" ca="1" si="43"/>
        <v>1</v>
      </c>
      <c r="GM51" s="162" t="e">
        <f ca="1">MAX(0,MIN(1,1-Control!$C$156*(1.0001-$KH51)^2))</f>
        <v>#N/A</v>
      </c>
      <c r="GN51" s="162" t="e">
        <f ca="1">IF(Control!$B$26=1,$KU51,$KX51)</f>
        <v>#N/A</v>
      </c>
      <c r="GO51" s="162" t="e">
        <f ca="1">IF($CP51&lt;=60,Control!$C$105,IF($CP51&gt;=90,Control!$C$106,Control!$C$105+($CP51-60)*((Control!$C$106-Control!$C$105)/(90-60))))</f>
        <v>#N/A</v>
      </c>
      <c r="GP51" s="162" t="e">
        <f t="shared" ca="1" si="154"/>
        <v>#N/A</v>
      </c>
      <c r="GQ51" s="162" t="e">
        <f t="shared" ca="1" si="155"/>
        <v>#N/A</v>
      </c>
      <c r="GR51" s="163" t="e">
        <f t="shared" ca="1" si="44"/>
        <v>#DIV/0!</v>
      </c>
      <c r="GS51" s="162" t="e">
        <f t="shared" ca="1" si="45"/>
        <v>#DIV/0!</v>
      </c>
      <c r="GT51" s="164" t="e">
        <f t="shared" ca="1" si="156"/>
        <v>#N/A</v>
      </c>
      <c r="GU51" s="162" t="e">
        <f t="shared" ca="1" si="157"/>
        <v>#N/A</v>
      </c>
      <c r="GV51" s="162" t="e">
        <f t="shared" ca="1" si="46"/>
        <v>#N/A</v>
      </c>
      <c r="GW51" s="162" t="e">
        <f t="shared" ca="1" si="221"/>
        <v>#DIV/0!</v>
      </c>
      <c r="GX51" s="162" t="e">
        <f t="shared" ca="1" si="228"/>
        <v>#DIV/0!</v>
      </c>
      <c r="GY51" s="162" t="e">
        <f t="shared" ca="1" si="158"/>
        <v>#DIV/0!</v>
      </c>
      <c r="GZ51" s="165" t="e">
        <f t="shared" ca="1" si="159"/>
        <v>#N/A</v>
      </c>
      <c r="HA51" s="162" t="e">
        <f ca="1">IF(Control!$C$114=1, $DI51*$FS51, 0)</f>
        <v>#N/A</v>
      </c>
      <c r="HB51" s="162" t="e">
        <f ca="1">$FA51/Control!$C$64</f>
        <v>#N/A</v>
      </c>
      <c r="HC51" s="162" t="e">
        <f t="shared" ca="1" si="222"/>
        <v>#DIV/0!</v>
      </c>
      <c r="HD51" s="162">
        <f ca="1">-ASIN(SIN(23.45*Control!$C$139)*COS(2*Control!$C$138*($AH51+10)/365))</f>
        <v>-0.22892110130703094</v>
      </c>
      <c r="HE51" s="165">
        <f t="shared" ca="1" si="160"/>
        <v>0</v>
      </c>
      <c r="HF51" s="166">
        <f ca="1">IF(AND(Control!$C$61="T",$HE51&gt;=Control!$C$103,Control!$C$114=0),$AH51,Control!$C$59)</f>
        <v>1</v>
      </c>
      <c r="HG51" s="166">
        <f ca="1">IF(AND(Control!$C$61="T",$HE51&gt;=Control!$C$103,Control!$C$114=0),$HF51,Control!$C$59)</f>
        <v>1</v>
      </c>
      <c r="HH51" s="165">
        <f ca="1">IF(AND(OR(Control!$C$60&lt;=0, $AH51= Control!$C$59, Control!$C$60 &gt;0, $AH51 = Control!$C$60)), Control!$C$59, IF(Control!$C$60&gt;0, 0))</f>
        <v>1</v>
      </c>
      <c r="HI51" s="165">
        <f ca="1">IF(AND(OR(Control!$C$60&lt;=0, $AH51= Control!$C$59, Control!$C$60 &gt;0, $AH51 = Control!$C$60)), Control!$C$60, IF(Control!$C$60&lt;=0, 0))</f>
        <v>0</v>
      </c>
      <c r="HJ51" s="166">
        <f ca="1">IF(AND(Control!$C$62="F",$CV51&gt;=Control!$C$102),$AH51,0)</f>
        <v>0</v>
      </c>
      <c r="HK51" s="165" t="e">
        <f t="shared" ca="1" si="202"/>
        <v>#N/A</v>
      </c>
      <c r="HL51" s="166">
        <f ca="1">IF(AND(Control!$C$61="T",$HE51&gt;=Control!$C$103,Control!$C$114=0),$HF51,0)</f>
        <v>0</v>
      </c>
      <c r="HM51" s="201" t="e">
        <f t="shared" ca="1" si="47"/>
        <v>#DIV/0!</v>
      </c>
      <c r="HN51" s="215">
        <f t="shared" ca="1" si="161"/>
        <v>46</v>
      </c>
      <c r="HO51" s="216" t="e">
        <f ca="1">IF(AND($CP51&gt;=0, $CP51&lt;=90), Control!$C$152, Control!$C$152)</f>
        <v>#N/A</v>
      </c>
      <c r="HP51" s="216" t="e">
        <f t="shared" ca="1" si="48"/>
        <v>#N/A</v>
      </c>
      <c r="HQ51" s="217" t="e">
        <f ca="1">IF(OR(Control!$B$26=1,Control!$B$26=2),$KV51,$KS51)</f>
        <v>#DIV/0!</v>
      </c>
      <c r="HR51" s="218" t="e">
        <f t="shared" ca="1" si="223"/>
        <v>#DIV/0!</v>
      </c>
      <c r="HS51" s="216" t="e">
        <f ca="1">Control!$C$154*$HP51</f>
        <v>#N/A</v>
      </c>
      <c r="HT51" s="216" t="e">
        <f ca="1">Control!$C$155*$HP51</f>
        <v>#N/A</v>
      </c>
      <c r="HU51" s="217" t="e">
        <f ca="1">Control!$C$161*$FI51</f>
        <v>#N/A</v>
      </c>
      <c r="HV51" s="218" t="e">
        <f t="shared" ca="1" si="162"/>
        <v>#N/A</v>
      </c>
      <c r="HW51" s="218" t="e">
        <f ca="1">Control!$C$160*$FF51+$IP51*$EO51</f>
        <v>#N/A</v>
      </c>
      <c r="HX51" s="218" t="e">
        <f t="shared" ca="1" si="203"/>
        <v>#N/A</v>
      </c>
      <c r="HY51" s="219" t="e">
        <f ca="1">IF(Control!$C$114=1, $EB51*$FS51, 0)</f>
        <v>#N/A</v>
      </c>
      <c r="HZ51" s="91" t="e">
        <f t="shared" ca="1" si="49"/>
        <v>#N/A</v>
      </c>
      <c r="IA51" s="220" t="e">
        <f ca="1">Control!$C$153*$HO51</f>
        <v>#N/A</v>
      </c>
      <c r="IB51" s="218" t="e">
        <f t="shared" ca="1" si="50"/>
        <v>#N/A</v>
      </c>
      <c r="IC51" s="220" t="e">
        <f ca="1">Control!$C$153*$HT51</f>
        <v>#N/A</v>
      </c>
      <c r="ID51" s="218" t="e">
        <f t="shared" ca="1" si="51"/>
        <v>#N/A</v>
      </c>
      <c r="IE51" s="221" t="e">
        <f ca="1">($EB51*Control!$C$159+$EF51*Control!$C$160)/(IF($GZ51&lt;&gt;0,$GZ51,1))</f>
        <v>#N/A</v>
      </c>
      <c r="IF51" s="216" t="e">
        <f t="shared" ca="1" si="52"/>
        <v>#N/A</v>
      </c>
      <c r="IG51" s="91">
        <f ca="1">IF(OR(Control!$B$198=$AH51,Control!$B$199=$AH51, Control!$B$200=$AH51, Control!$B$201=$AH51, Control!$B$202=$AH51, Control!$B$203=$AH51, Control!$B$204=$AH51, Control!$B$205=$AH51, Control!$B$206=$AH51, Control!$B$207=$AH51), 1, 0)</f>
        <v>0</v>
      </c>
      <c r="IH51" s="91">
        <f ca="1">IF($IG51=0,0, VLOOKUP($AH51,Control!$B$198:$C$207,2))</f>
        <v>0</v>
      </c>
      <c r="II51" s="222">
        <f t="shared" ca="1" si="163"/>
        <v>0</v>
      </c>
      <c r="IJ51" s="91">
        <f>Control!$C$121</f>
        <v>0.7</v>
      </c>
      <c r="IK51" s="218">
        <f t="shared" ca="1" si="53"/>
        <v>0</v>
      </c>
      <c r="IL51" s="217" t="e">
        <f t="shared" ca="1" si="204"/>
        <v>#N/A</v>
      </c>
      <c r="IM51" s="223" t="e">
        <f ca="1">IF(AND(Control!$C$114=1,$KH51&lt;1),$EB51*Control!$C$148*(1-$KH51), 0)</f>
        <v>#N/A</v>
      </c>
      <c r="IN51" s="217" t="e">
        <f t="shared" ca="1" si="54"/>
        <v>#DIV/0!</v>
      </c>
      <c r="IO51" s="91" t="e">
        <f ca="1">MAX(0,$IL51-$EF51*Control!$C$160)</f>
        <v>#N/A</v>
      </c>
      <c r="IP51" s="220" t="e">
        <f t="shared" ca="1" si="55"/>
        <v>#N/A</v>
      </c>
      <c r="IQ51" s="217" t="e">
        <f t="shared" ca="1" si="164"/>
        <v>#N/A</v>
      </c>
      <c r="IR51" s="218" t="e">
        <f t="shared" ca="1" si="56"/>
        <v>#N/A</v>
      </c>
      <c r="IS51" s="217" t="e">
        <f ca="1">Control!$C$159*MAX(0,$FD51-$EN51)</f>
        <v>#N/A</v>
      </c>
      <c r="IT51" s="217" t="e">
        <f t="shared" ca="1" si="205"/>
        <v>#N/A</v>
      </c>
      <c r="IU51" s="217" t="e">
        <f t="shared" ca="1" si="165"/>
        <v>#N/A</v>
      </c>
      <c r="IV51" s="217" t="e">
        <f t="shared" ca="1" si="206"/>
        <v>#N/A</v>
      </c>
      <c r="IW51" s="217" t="e">
        <f ca="1">IF(OR($AW51=1,AND($AW51=0, Control!$B$18=1,$EN51&lt;&gt;0)), $IQ51-$IU51, $IQ51)</f>
        <v>#N/A</v>
      </c>
      <c r="IX51" s="218" t="e">
        <f t="shared" ca="1" si="57"/>
        <v>#N/A</v>
      </c>
      <c r="IY51" s="218" t="e">
        <f ca="1">MAX(0,$IQ51-$EB51*Control!$C$159)</f>
        <v>#N/A</v>
      </c>
      <c r="IZ51" s="218" t="e">
        <f t="shared" ca="1" si="58"/>
        <v>#N/A</v>
      </c>
      <c r="JA51" s="216" t="e">
        <f t="shared" ca="1" si="59"/>
        <v>#N/A</v>
      </c>
      <c r="JB51" s="217" t="e">
        <f t="shared" ca="1" si="60"/>
        <v>#N/A</v>
      </c>
      <c r="JC51" s="222" t="e">
        <f ca="1">MAX(Control!$C$157*$EK51-$JT51, 0)/Control!$C$162</f>
        <v>#N/A</v>
      </c>
      <c r="JD51" s="218" t="e">
        <f t="shared" ca="1" si="61"/>
        <v>#N/A</v>
      </c>
      <c r="JE51" s="218" t="e">
        <f t="shared" ca="1" si="62"/>
        <v>#N/A</v>
      </c>
      <c r="JF51" s="218" t="e">
        <f t="shared" ca="1" si="207"/>
        <v>#N/A</v>
      </c>
      <c r="JG51" s="218" t="e">
        <f t="shared" ca="1" si="63"/>
        <v>#N/A</v>
      </c>
      <c r="JH51" s="217" t="e">
        <f t="shared" ca="1" si="166"/>
        <v>#N/A</v>
      </c>
      <c r="JI51" s="217" t="e">
        <f t="shared" ca="1" si="167"/>
        <v>#N/A</v>
      </c>
      <c r="JJ51" s="217" t="e">
        <f t="shared" ca="1" si="224"/>
        <v>#N/A</v>
      </c>
      <c r="JK51" s="217" t="e">
        <f ca="1">IF(Control!$C$114=1,IF(Control!$B$24=0,MAX(0,$JI51)*$GN51/Control!$C$64,(MAX(0,MIN($JI51,$JJ51*$GN51/Control!$C$64),0))))</f>
        <v>#N/A</v>
      </c>
      <c r="JL51" s="217" t="e">
        <f ca="1">$IK51/Control!$C$64-$JK51+$HQ51</f>
        <v>#N/A</v>
      </c>
      <c r="JM51" s="217" t="e">
        <f ca="1">IF(Control!$C$114=1,($JB51/(IF($JI51&lt;&gt;0,$JI51,1)))*$JK51,0)</f>
        <v>#N/A</v>
      </c>
      <c r="JN51" s="217" t="e">
        <f ca="1">IF(Control!$C$114=1,($JG51/(IF($JI51&lt;&gt;0,$JI51,1)))*$JK51, 0)</f>
        <v>#N/A</v>
      </c>
      <c r="JO51" s="218" t="e">
        <f t="shared" ca="1" si="64"/>
        <v>#N/A</v>
      </c>
      <c r="JP51" s="218" t="e">
        <f ca="1">MIN(($IY51+$IO51)*Control!$C$151, $JF51-$EH51*Control!$C$161)</f>
        <v>#N/A</v>
      </c>
      <c r="JQ51" s="218" t="e">
        <f t="shared" ca="1" si="65"/>
        <v>#N/A</v>
      </c>
      <c r="JR51" s="217" t="e">
        <f ca="1">IF($CP51-Control!$C$150&lt;0, 0, $JQ51/Control!$C$162)</f>
        <v>#N/A</v>
      </c>
      <c r="JS51" s="218" t="e">
        <f t="shared" ca="1" si="66"/>
        <v>#N/A</v>
      </c>
      <c r="JT51" s="218" t="e">
        <f t="shared" ca="1" si="168"/>
        <v>#N/A</v>
      </c>
      <c r="JU51" s="218" t="e">
        <f t="shared" ca="1" si="67"/>
        <v>#N/A</v>
      </c>
      <c r="JV51" s="218" t="e">
        <f t="shared" ca="1" si="68"/>
        <v>#N/A</v>
      </c>
      <c r="JW51" s="216" t="e">
        <f t="shared" ca="1" si="69"/>
        <v>#N/A</v>
      </c>
      <c r="JX51" s="91" t="e">
        <f t="shared" ca="1" si="70"/>
        <v>#N/A</v>
      </c>
      <c r="JY51" s="218" t="e">
        <f t="shared" ca="1" si="71"/>
        <v>#N/A</v>
      </c>
      <c r="JZ51" s="217" t="e">
        <f ca="1">IF(Control!$C$114=1,($IZ51/(IF($JI51&lt;&gt;0,$JI51,1)))*$JK51, 0)</f>
        <v>#N/A</v>
      </c>
      <c r="KA51" s="218" t="e">
        <f t="shared" ca="1" si="225"/>
        <v>#N/A</v>
      </c>
      <c r="KB51" s="218" t="e">
        <f t="shared" ca="1" si="169"/>
        <v>#N/A</v>
      </c>
      <c r="KC51" s="218" t="e">
        <f t="shared" ca="1" si="72"/>
        <v>#N/A</v>
      </c>
      <c r="KD51" s="218" t="e">
        <f t="shared" ca="1" si="73"/>
        <v>#N/A</v>
      </c>
      <c r="KE51" s="218" t="e">
        <f t="shared" ca="1" si="74"/>
        <v>#N/A</v>
      </c>
      <c r="KF51" s="218" t="e">
        <f t="shared" ca="1" si="75"/>
        <v>#N/A</v>
      </c>
      <c r="KG51" s="216" t="e">
        <f t="shared" ca="1" si="76"/>
        <v>#N/A</v>
      </c>
      <c r="KH51" s="221" t="e">
        <f ca="1">IF(Control!$B$24=0,1,MAX(0.001,MIN(1,IF(($IF51-$IE51)&lt;&gt;0,($KG51-$IE51)/($IF51-$IE51),1))))</f>
        <v>#N/A</v>
      </c>
      <c r="KI51" s="222" t="e">
        <f ca="1">IF(Control!$C$114=1, $KI50+ $KH50, 0)</f>
        <v>#N/A</v>
      </c>
      <c r="KJ51" s="217" t="e">
        <f t="shared" ca="1" si="77"/>
        <v>#N/A</v>
      </c>
      <c r="KK51" s="218" t="e">
        <f t="shared" ca="1" si="78"/>
        <v>#N/A</v>
      </c>
      <c r="KL51" s="274" t="e">
        <f ca="1">IF(Control!$B$26=3,4000000000*EXP(-8400/($G51+273)),IF(Control!$B$26=4,4000000000*EXP(-8400/($G51+273))*($KT51),0))</f>
        <v>#DIV/0!</v>
      </c>
      <c r="KM51" s="274" t="e">
        <f ca="1">IF(Control!$B$26=3,5600000000000*EXP(-9800/($G51+273)),IF(Control!$B$26=4,5600000000000*EXP(-9800/($G51+273))*$KT51,0))</f>
        <v>#DIV/0!</v>
      </c>
      <c r="KN51" s="454" t="e">
        <f t="shared" ca="1" si="170"/>
        <v>#DIV/0!</v>
      </c>
      <c r="KO51" s="274" t="e">
        <f t="shared" ca="1" si="171"/>
        <v>#DIV/0!</v>
      </c>
      <c r="KP51" s="454" t="e">
        <f t="shared" ca="1" si="79"/>
        <v>#DIV/0!</v>
      </c>
      <c r="KQ51" s="454" t="e">
        <f t="shared" ca="1" si="80"/>
        <v>#DIV/0!</v>
      </c>
      <c r="KR51" s="454" t="e">
        <f t="shared" ca="1" si="81"/>
        <v>#DIV/0!</v>
      </c>
      <c r="KS51" s="454" t="e">
        <f t="shared" ca="1" si="82"/>
        <v>#DIV/0!</v>
      </c>
      <c r="KT51" s="455" t="e">
        <f t="shared" ca="1" si="83"/>
        <v>#DIV/0!</v>
      </c>
      <c r="KU51" s="456" t="e">
        <f ca="1">IF($CP51-Control!$C$149&lt;0, IF($NT51-0.01&lt;0,0,1),0)</f>
        <v>#N/A</v>
      </c>
      <c r="KV51" s="456" t="e">
        <f ca="1">IF(Control!$C$114=1,MAX(0,MIN(Control!$C$125*$KW51*$GN51,$KW51)))</f>
        <v>#DIV/0!</v>
      </c>
      <c r="KW51" s="456" t="e">
        <f t="shared" ca="1" si="208"/>
        <v>#DIV/0!</v>
      </c>
      <c r="KX51" s="457" t="e">
        <f ca="1">IF($CP51-Control!$C$149&lt;0, IF($MR51-$OM51&lt;0,0,1),0)</f>
        <v>#N/A</v>
      </c>
      <c r="KY51" s="167">
        <f t="shared" ca="1" si="172"/>
        <v>46</v>
      </c>
      <c r="KZ51" s="168">
        <f ca="1">1370*(1+0.033*COS(2*Control!$C$138*$AH51/365))</f>
        <v>1401.7612075306122</v>
      </c>
      <c r="LA51" s="169">
        <f t="shared" ca="1" si="173"/>
        <v>1.0231834066475822</v>
      </c>
      <c r="LB51" s="169">
        <f t="shared" ca="1" si="174"/>
        <v>-0.23031270674563392</v>
      </c>
      <c r="LC51" s="169">
        <f ca="1">ACOS(-TAN((2*Control!$B$8/360))*TAN(Calculations!$LB51))</f>
        <v>1.5010536217261088</v>
      </c>
      <c r="LD51" s="169">
        <f ca="1">((24*60)/PI())*0.082*$LA51*(($LC51*SIN(Control!$B$8*2*PI()/360))*SIN($LB51)+COS(Control!$B$8*2*PI()/360)*COS($LB51)*SIN($LC51))</f>
        <v>12.611154512513147</v>
      </c>
      <c r="LE51" s="170">
        <f t="shared" ca="1" si="84"/>
        <v>13.293618522439328</v>
      </c>
      <c r="LF51" s="170">
        <f ca="1">SIN(Control!$C$139*Control!$B$8)*SIN($HD51)</f>
        <v>-0.17882113686683546</v>
      </c>
      <c r="LG51" s="170">
        <f ca="1">COS(Control!$C$139*Control!$B$8)*COS($HD51)</f>
        <v>0.59959834250542121</v>
      </c>
      <c r="LH51" s="170">
        <f ca="1">12*(1+2*ASIN(MAX(-1,MIN(1,$LF51/$LG51))/Control!$C$138))</f>
        <v>9.7182227342642715</v>
      </c>
      <c r="LI51" s="170">
        <f ca="1">12*(1+2*ASIN(MAX(-1,MIN(1,(-SIN(-4*Control!$C$139)+$LF51)/$LG51))/Control!$C$138))</f>
        <v>10.609643118636582</v>
      </c>
      <c r="LJ51" s="168">
        <f ca="1">3600*($LH51*$LF51+24*$LG51*SQRT(1-$LK51*$LK51)/Control!$C$138)</f>
        <v>9483.5114932719498</v>
      </c>
      <c r="LK51" s="170">
        <f t="shared" ca="1" si="85"/>
        <v>-0.29823487523269571</v>
      </c>
      <c r="LL51" s="170">
        <f t="shared" ca="1" si="86"/>
        <v>0</v>
      </c>
      <c r="LM51" s="171">
        <f ca="1">Control!$C$145*$AB51</f>
        <v>6.6660906138995932E-2</v>
      </c>
      <c r="LN51" s="170">
        <f t="shared" ca="1" si="175"/>
        <v>0.54</v>
      </c>
      <c r="LO51" s="170">
        <f t="shared" ca="1" si="87"/>
        <v>0</v>
      </c>
      <c r="LP51" s="170">
        <f ca="1">Control!$C$140*((($D51+273.16)^4+($E51+273.16)^4)/2)*(0.34-0.14*SQRT($Y51))*(1.35*$AQ51/(0.75*$LD51)-0.35)</f>
        <v>-3.2464704755046001</v>
      </c>
      <c r="LQ51" s="170">
        <f ca="1">Control!$C$140*($G51+273)^4*(0.56-0.079*SQRT($Y51*10))*(0.1+0.9*$LO51)</f>
        <v>1.5241745131704001</v>
      </c>
      <c r="LR51" s="170">
        <f ca="1">$AQ51*(1-Control!$C$142)-$LQ51</f>
        <v>-1.5241745131704001</v>
      </c>
      <c r="LS51" s="170">
        <f ca="1">$AQ51*(1-Control!$C$143)-$LQ51</f>
        <v>-1.5241745131704001</v>
      </c>
      <c r="LT51" s="170">
        <f ca="1">$AQ51*(1-Control!$C$144)-$LQ51</f>
        <v>-1.5241745131704001</v>
      </c>
      <c r="LU51" s="169">
        <f ca="1">(1-Control!$C$144)*AQ51-LP51</f>
        <v>3.2464704755046001</v>
      </c>
      <c r="LV51" s="172">
        <f t="shared" ca="1" si="88"/>
        <v>0.79430000000000012</v>
      </c>
      <c r="LW51" s="170">
        <f t="shared" ca="1" si="89"/>
        <v>1.5886000000000002</v>
      </c>
      <c r="LX51" s="170">
        <f ca="1">($AC51*($LR51/Control!$C$141)+$LM51*$LV51)/($AC51+$LM51)</f>
        <v>0.23530094218323697</v>
      </c>
      <c r="LY51" s="170">
        <f ca="1">($AC51*($LS51/Control!$C$141)+$LM51*$LV51)/($AC51+$LM51)</f>
        <v>0.23530094218323697</v>
      </c>
      <c r="LZ51" s="170">
        <f t="shared" ca="1" si="90"/>
        <v>0.23530094218323697</v>
      </c>
      <c r="MA51" s="170">
        <f t="shared" ca="1" si="91"/>
        <v>0.23530094218323697</v>
      </c>
      <c r="MB51" s="170" t="e">
        <f t="shared" ca="1" si="92"/>
        <v>#N/A</v>
      </c>
      <c r="MC51" s="170">
        <f t="shared" ca="1" si="176"/>
        <v>0.6018</v>
      </c>
      <c r="MD51" s="170">
        <f t="shared" ca="1" si="93"/>
        <v>0.52989392535414004</v>
      </c>
      <c r="ME51" s="170">
        <f ca="1">($AC51*($LT51/Control!$C$141)+$LM51*$LW51)/($AC51+$LM51)</f>
        <v>0.71612369323045078</v>
      </c>
      <c r="MF51" s="170" t="e">
        <f ca="1">IF(Control!$B$16&gt;=1000,0.92,IF(AND(720&lt;=Control!$B$16,1000&gt;Control!$B$16),(0.95+(Control!$B$16-720)*((0.92-0.95)/(1000-720))),IF(AND(360&lt;=Control!$B$16,720&gt;Control!$B$16),(1+(Control!$B$16-360)*((0.95-1)/(720-360))),IF(AND(40&lt;=Control!$B$16,360&gt;Control!$B$16),(1.05+(Control!$B$16-40)*((1.05-1)/(360-40)))))))</f>
        <v>#N/A</v>
      </c>
      <c r="MG51" s="170">
        <f t="shared" ca="1" si="94"/>
        <v>0.71612369323045078</v>
      </c>
      <c r="MH51" s="170" t="e">
        <f t="shared" ca="1" si="232"/>
        <v>#N/A</v>
      </c>
      <c r="MI51" s="170" t="e">
        <f t="shared" ca="1" si="232"/>
        <v>#N/A</v>
      </c>
      <c r="MJ51" s="170" t="e">
        <f ca="1">MAX(0.0001, Control!$C$132*$MI51*$DL51)</f>
        <v>#N/A</v>
      </c>
      <c r="MK51" s="170">
        <f ca="1">1/(0.76+1.5*($MG51/10))-(5-Control!$C$110)*0.1</f>
        <v>1.002845988140797</v>
      </c>
      <c r="ML51" s="173">
        <f ca="1">IF(Control!$C$110&lt;3,$MK51+($MG51-0.6)/(Control!$C$110*(Control!$C$110+3)), MAX(0.1, MIN(0.95,$MK51)))</f>
        <v>0.95</v>
      </c>
      <c r="MM51" s="173">
        <f ca="1">IF(Control!$C$110&lt;3,$MK51+(($MI51/10)-0.6)/(Control!$C$110*(Control!$C$110+3)), MAX(0.1, MIN(0.95,$MK51)))</f>
        <v>0.95</v>
      </c>
      <c r="MN51" s="173">
        <f ca="1">(1-$MM51)*(Control!$C$128-Control!$C$127)+Control!$C$127</f>
        <v>0.16</v>
      </c>
      <c r="MO51" s="170" t="e">
        <f ca="1">MAX(0,MIN(1,($MS51-Control!$C$127)/($MN51-Control!$C$127)))</f>
        <v>#DIV/0!</v>
      </c>
      <c r="MP51" s="173" t="e">
        <f ca="1">1/(0.76+1.5*$MI51)-(5-Control!$C$110)*0.1</f>
        <v>#N/A</v>
      </c>
      <c r="MQ51" s="172" t="e">
        <f t="shared" ca="1" si="209"/>
        <v>#DIV/0!</v>
      </c>
      <c r="MR51" s="168" t="e">
        <f t="shared" ca="1" si="226"/>
        <v>#DIV/0!</v>
      </c>
      <c r="MS51" s="173" t="e">
        <f ca="1">MAX(Control!$C$127, MIN(Control!$C$135, $MR51/MAX(0.0001,$CY51)))</f>
        <v>#DIV/0!</v>
      </c>
      <c r="MT51" s="168" t="e">
        <f ca="1">(Control!$C$128-$MS51)*Control!$C$74</f>
        <v>#DIV/0!</v>
      </c>
      <c r="MU51" s="168" t="e">
        <f ca="1">(Control!$C$135-$MS51)*Control!$C$74</f>
        <v>#DIV/0!</v>
      </c>
      <c r="MV51" s="168" t="e">
        <f t="shared" ca="1" si="210"/>
        <v>#DIV/0!</v>
      </c>
      <c r="MW51" s="168" t="e">
        <f t="shared" ca="1" si="177"/>
        <v>#DIV/0!</v>
      </c>
      <c r="MX51" s="171" t="e">
        <f ca="1">MAX(Control!$C$127, MIN(Control!$C$135, $MW51/MAX(0.0001,Control!$C$119-$CY51)))</f>
        <v>#DIV/0!</v>
      </c>
      <c r="MY51" s="54" t="e">
        <f ca="1">IF(Control!$C$114=1, $CX51*$MX51, 0)</f>
        <v>#DIV/0!</v>
      </c>
      <c r="MZ51" s="54" t="e">
        <f t="shared" ca="1" si="178"/>
        <v>#N/A</v>
      </c>
      <c r="NA51" s="168" t="e">
        <f ca="1">(Control!$C$128-$MX51)*(Control!$C$119-Control!$C$74)</f>
        <v>#DIV/0!</v>
      </c>
      <c r="NB51" s="168" t="e">
        <f ca="1">(Control!$C$135-$MX51)*(Control!$C$119-Control!$C$74)</f>
        <v>#DIV/0!</v>
      </c>
      <c r="NC51" s="174" t="e">
        <f t="shared" ca="1" si="179"/>
        <v>#DIV/0!</v>
      </c>
      <c r="ND51" s="54">
        <f ca="1">IF(Control!$C$58=2, IF(OR(Control!$B$218=$AH51,Control!$B$219=$AH51, Control!$B$220=$AH51, Control!$B$221=$AH51, Control!$B$222=$AH51, Control!$B$223=$AH51, Control!$B$224=$AH51, Control!$B$225=$AH51, Control!$B$226=$AH51, Control!$B$227=$AH51, Control!$B$228=$AH51), 1, 0), 0)</f>
        <v>0</v>
      </c>
      <c r="NE51" s="54">
        <f ca="1">IF($ND51=0,0, VLOOKUP($AH51,Control!$B$218:$C$228,2))</f>
        <v>0</v>
      </c>
      <c r="NF51" s="168" t="e">
        <f ca="1">$CY51*(Control!$C$128-Control!$C$127)</f>
        <v>#N/A</v>
      </c>
      <c r="NG51" s="54" t="e">
        <f ca="1">IF(Control!$C$58=2, $NI50-$NJ50, 0)</f>
        <v>#DIV/0!</v>
      </c>
      <c r="NH51" s="54" t="e">
        <f ca="1">IF(AND(Control!$C$58=1, $MS50&lt;= ($MN50+0.02), $I50&lt;10), 0, IF(Control!$C$58=2, $NG50, 0))</f>
        <v>#DIV/0!</v>
      </c>
      <c r="NI51" s="54" t="e">
        <f ca="1">IF(Control!$C$58=2, $NE51+$NH51,0)</f>
        <v>#DIV/0!</v>
      </c>
      <c r="NJ51" s="54" t="e">
        <f ca="1">IF(AND(Control!$C$58=1, $MS51&lt;= ($MN51+0.02), $I51&lt;10), MAX(0, MIN(10, 0.7*($NF51-$MV51))), IF(Control!$C$58=2, MIN(10,$NI51),0))</f>
        <v>#DIV/0!</v>
      </c>
      <c r="NK51" s="54" t="e">
        <f t="shared" ca="1" si="96"/>
        <v>#DIV/0!</v>
      </c>
      <c r="NL51" s="173" t="e">
        <f ca="1">(1-Control!$C$73)*$I51+$NJ51</f>
        <v>#DIV/0!</v>
      </c>
      <c r="NM51" s="172" t="e">
        <f ca="1">IF($NL51&lt;0.5, $MB51* MAX(0, MIN(1, (SQRT($NC51)-SQRT($NC51-1))*Control!$C$71)),0)</f>
        <v>#DIV/0!</v>
      </c>
      <c r="NN51" s="170" t="e">
        <f ca="1">IF($NL51&gt;=5, $MB51, MAX(0,MIN($MB51, $NM51+$NL51,($MS51-Control!$C$129))))</f>
        <v>#DIV/0!</v>
      </c>
      <c r="NO51" s="54">
        <f>IF(Control!$C$133&lt;&gt;1, Control!$C$135-Control!$C$131, 0)</f>
        <v>0.38</v>
      </c>
      <c r="NP51" s="54" t="e">
        <f t="shared" ca="1" si="97"/>
        <v>#DIV/0!</v>
      </c>
      <c r="NQ51" s="173" t="e">
        <f ca="1">MAX(0,MIN(1,(Control!$C$135-$MS51)/(Control!$C$135-$NO51)))</f>
        <v>#DIV/0!</v>
      </c>
      <c r="NR51" s="170" t="e">
        <f ca="1">IF(Control!$C$133&lt;&gt;1, $NQ51+((1-$NP51/4)*(1-$NQ51)),1)</f>
        <v>#DIV/0!</v>
      </c>
      <c r="NS51" s="170" t="e">
        <f ca="1">IF(Control!$B$31=0,$MJ51,MAX(0,MIN($MV51,$MO51*$NR51*$MJ51)))</f>
        <v>#DIV/0!</v>
      </c>
      <c r="NT51" s="170" t="e">
        <f t="shared" ca="1" si="227"/>
        <v>#DIV/0!</v>
      </c>
      <c r="NU51" s="170" t="e">
        <f t="shared" ca="1" si="180"/>
        <v>#N/A</v>
      </c>
      <c r="NV51" s="170" t="e">
        <f t="shared" ca="1" si="98"/>
        <v>#N/A</v>
      </c>
      <c r="NW51" s="175" t="e">
        <f t="shared" ca="1" si="99"/>
        <v>#DIV/0!</v>
      </c>
      <c r="NX51" s="170" t="e">
        <f ca="1">MIN(Control!$C$72+$MU51, $NW51)</f>
        <v>#DIV/0!</v>
      </c>
      <c r="NY51" s="170" t="e">
        <f ca="1">IF($MT51&lt;=$NX51,MIN(Control!$C$72+$NB51,$NX51-$MT51),0)</f>
        <v>#DIV/0!</v>
      </c>
      <c r="NZ51" s="54" t="e">
        <f ca="1">IF(Control!$C$114=1,  $CX51*($MX51-Control!$C$127), 0)</f>
        <v>#DIV/0!</v>
      </c>
      <c r="OA51" s="170" t="e">
        <f t="shared" ca="1" si="181"/>
        <v>#DIV/0!</v>
      </c>
      <c r="OB51" s="170" t="e">
        <f ca="1">IF($NA51 &lt;=$NY51, MIN(Control!$C$72, $NY51-$NA51), 0)</f>
        <v>#DIV/0!</v>
      </c>
      <c r="OC51" s="168" t="e">
        <f t="shared" ca="1" si="100"/>
        <v>#DIV/0!</v>
      </c>
      <c r="OD51" s="168" t="e">
        <f t="shared" ca="1" si="182"/>
        <v>#DIV/0!</v>
      </c>
      <c r="OE51" s="170">
        <f ca="1">Control!$C$73*$I51</f>
        <v>0</v>
      </c>
      <c r="OF51" s="176" t="e">
        <f t="shared" ca="1" si="101"/>
        <v>#DIV/0!</v>
      </c>
      <c r="OG51" s="168" t="e">
        <f t="shared" ca="1" si="102"/>
        <v>#DIV/0!</v>
      </c>
      <c r="OH51" s="168" t="e">
        <f t="shared" ca="1" si="103"/>
        <v>#DIV/0!</v>
      </c>
      <c r="OI51" s="168" t="e">
        <f t="shared" ca="1" si="104"/>
        <v>#DIV/0!</v>
      </c>
      <c r="OJ51" s="168" t="e">
        <f t="shared" ca="1" si="105"/>
        <v>#DIV/0!</v>
      </c>
      <c r="OK51" s="204" t="e">
        <f t="shared" ca="1" si="183"/>
        <v>#DIV/0!</v>
      </c>
      <c r="OL51" s="177">
        <f>Control!$C$127</f>
        <v>0.15</v>
      </c>
      <c r="OM51" s="182" t="e">
        <f t="shared" ca="1" si="106"/>
        <v>#N/A</v>
      </c>
      <c r="ON51" s="177">
        <f>Control!$C$128</f>
        <v>0.35</v>
      </c>
      <c r="OO51" s="182" t="e">
        <f t="shared" ca="1" si="107"/>
        <v>#N/A</v>
      </c>
      <c r="OP51" s="138">
        <f t="shared" ca="1" si="184"/>
        <v>0</v>
      </c>
      <c r="OQ51" s="138" t="e">
        <f t="shared" ca="1" si="211"/>
        <v>#DIV/0!</v>
      </c>
      <c r="OR51" s="138" t="e">
        <f t="shared" ca="1" si="185"/>
        <v>#DIV/0!</v>
      </c>
      <c r="OS51" s="137" t="e">
        <f t="shared" ca="1" si="212"/>
        <v>#DIV/0!</v>
      </c>
      <c r="OT51" s="139" t="e">
        <f t="shared" ca="1" si="213"/>
        <v>#DIV/0!</v>
      </c>
      <c r="OU51" s="138" t="e">
        <f t="shared" ca="1" si="214"/>
        <v>#N/A</v>
      </c>
      <c r="OV51" s="138" t="e">
        <f t="shared" ca="1" si="215"/>
        <v>#DIV/0!</v>
      </c>
      <c r="OW51" s="138" t="e">
        <f t="shared" ca="1" si="186"/>
        <v>#DIV/0!</v>
      </c>
      <c r="OX51" s="138" t="e">
        <f t="shared" ca="1" si="187"/>
        <v>#DIV/0!</v>
      </c>
      <c r="OY51" s="138" t="e">
        <f t="shared" ca="1" si="188"/>
        <v>#DIV/0!</v>
      </c>
      <c r="OZ51" s="138" t="e">
        <f t="shared" ca="1" si="108"/>
        <v>#DIV/0!</v>
      </c>
      <c r="PA51" s="138" t="e">
        <f t="shared" ca="1" si="109"/>
        <v>#DIV/0!</v>
      </c>
      <c r="PB51" s="55">
        <f>IF(Control!$C$61="T", IF(Control!$C$65="F", IF($AH$6-Control!$C$60&lt;0,0,1), IF(365+$AH$6-Control!$C$60&lt;0,0,1)),0)</f>
        <v>0</v>
      </c>
      <c r="PC51" s="55">
        <f ca="1">IF(Control!$C$65="F", IF($AH$6-$HF51&lt;0,0,1), IF(365+$AH$6-$HF51&lt;0,0,1))</f>
        <v>1</v>
      </c>
      <c r="PD51" s="444">
        <f>Control!$C$118</f>
        <v>1500</v>
      </c>
      <c r="PE51" s="180" t="e">
        <f t="shared" ca="1" si="110"/>
        <v>#N/A</v>
      </c>
      <c r="PF51" s="445">
        <f t="shared" ca="1" si="189"/>
        <v>0.71612369323045078</v>
      </c>
      <c r="PT51" s="186"/>
      <c r="PU51" s="186"/>
      <c r="PV51" s="94"/>
      <c r="PW51" s="94"/>
      <c r="PX51" s="94"/>
      <c r="PY51" s="94"/>
      <c r="PZ51" s="94"/>
      <c r="QA51" s="94"/>
      <c r="QB51" s="94"/>
      <c r="QC51" s="94"/>
      <c r="QD51" s="94"/>
      <c r="QE51" s="94"/>
      <c r="QF51" s="94"/>
      <c r="QG51" s="94"/>
      <c r="QH51" s="94"/>
      <c r="QI51" s="94"/>
      <c r="QJ51" s="94"/>
      <c r="QK51" s="94"/>
      <c r="QL51" s="94"/>
      <c r="QM51" s="94"/>
      <c r="QN51" s="94"/>
      <c r="QO51" s="94"/>
      <c r="QP51" s="94"/>
    </row>
    <row r="52" spans="1:458" s="2" customFormat="1" x14ac:dyDescent="0.2">
      <c r="A52" s="395">
        <v>16</v>
      </c>
      <c r="B52" s="396">
        <v>2</v>
      </c>
      <c r="C52" s="387">
        <f ca="1">Weather_data!$B51</f>
        <v>0</v>
      </c>
      <c r="D52" s="388">
        <f ca="1">Weather_data!$F51</f>
        <v>0</v>
      </c>
      <c r="E52" s="388">
        <f ca="1">Weather_data!$E51</f>
        <v>0</v>
      </c>
      <c r="F52" s="388">
        <f t="shared" ca="1" si="111"/>
        <v>0</v>
      </c>
      <c r="G52" s="388">
        <f ca="1">AVERAGE($D52:$E52)+Control!$B$9</f>
        <v>0</v>
      </c>
      <c r="H52" s="388">
        <f ca="1">Weather_data!$G51</f>
        <v>0</v>
      </c>
      <c r="I52" s="388">
        <f ca="1">Weather_data!$I51</f>
        <v>0</v>
      </c>
      <c r="J52" s="388">
        <f ca="1">Weather_data!$H51</f>
        <v>0</v>
      </c>
      <c r="K52" s="389">
        <f ca="1">Weather_data!$D51</f>
        <v>0</v>
      </c>
      <c r="L52" s="388" t="e">
        <f t="shared" ca="1" si="112"/>
        <v>#N/A</v>
      </c>
      <c r="M52" s="388" t="e">
        <f t="shared" ca="1" si="0"/>
        <v>#N/A</v>
      </c>
      <c r="N52" s="388">
        <f t="shared" ca="1" si="1"/>
        <v>-3.9275836056394692E-3</v>
      </c>
      <c r="O52" s="388">
        <f t="shared" ca="1" si="113"/>
        <v>3.9275836056394696E-2</v>
      </c>
      <c r="P52" s="390">
        <v>3</v>
      </c>
      <c r="Q52" s="388">
        <f ca="1">MAX($G52-Control!$C$107,0)</f>
        <v>0</v>
      </c>
      <c r="R52" s="388">
        <f t="shared" ca="1" si="114"/>
        <v>0</v>
      </c>
      <c r="S52" s="388">
        <f t="shared" ca="1" si="2"/>
        <v>0</v>
      </c>
      <c r="T52" s="388">
        <f t="shared" ca="1" si="3"/>
        <v>0</v>
      </c>
      <c r="U52" s="59">
        <f t="shared" ca="1" si="4"/>
        <v>0</v>
      </c>
      <c r="V52" s="391">
        <f ca="1">MAX(0,MIN(Control!$C$100-Control!$C$99,$G52-Control!$C$99)*Control!$C$63)</f>
        <v>0</v>
      </c>
      <c r="W52" s="388">
        <f t="shared" ca="1" si="190"/>
        <v>0</v>
      </c>
      <c r="X52" s="388">
        <f t="shared" ca="1" si="115"/>
        <v>0.6110000000000001</v>
      </c>
      <c r="Y52" s="388">
        <f t="shared" ca="1" si="116"/>
        <v>0</v>
      </c>
      <c r="Z52" s="388">
        <f t="shared" ca="1" si="117"/>
        <v>0.61058800000000002</v>
      </c>
      <c r="AA52" s="388">
        <f t="shared" ca="1" si="5"/>
        <v>0.6018</v>
      </c>
      <c r="AB52" s="388">
        <f ca="1">101.3*EXP(-0.034*Control!$C$66/($G52+273))</f>
        <v>100.69623283836242</v>
      </c>
      <c r="AC52" s="392">
        <f t="shared" ca="1" si="6"/>
        <v>4.3460251046025113E-2</v>
      </c>
      <c r="AD52" s="392">
        <f t="shared" ca="1" si="7"/>
        <v>4.4450382862832649E-2</v>
      </c>
      <c r="AE52" s="388">
        <f t="shared" ca="1" si="8"/>
        <v>0</v>
      </c>
      <c r="AF52" s="388">
        <f ca="1">MAX(0,$G52-Control!$C$92)</f>
        <v>0</v>
      </c>
      <c r="AG52" s="393">
        <f t="shared" ca="1" si="118"/>
        <v>47</v>
      </c>
      <c r="AH52" s="389">
        <f t="shared" ca="1" si="9"/>
        <v>47</v>
      </c>
      <c r="AI52" s="388">
        <f t="shared" ca="1" si="119"/>
        <v>-0.22311256689876308</v>
      </c>
      <c r="AJ52" s="388">
        <f ca="1">IF(Control!$C$60&lt;=0,$HH52,$HI52)</f>
        <v>1</v>
      </c>
      <c r="AK52" s="388">
        <f t="shared" ca="1" si="10"/>
        <v>-0.56806880859431874</v>
      </c>
      <c r="AL52" s="388">
        <f t="shared" ca="1" si="11"/>
        <v>2.7050080925183902E-18</v>
      </c>
      <c r="AM52" s="388">
        <f t="shared" ca="1" si="12"/>
        <v>-0.56806880859431874</v>
      </c>
      <c r="AN52" s="388">
        <f t="shared" ca="1" si="13"/>
        <v>-0.21568689410007047</v>
      </c>
      <c r="AO52" s="388">
        <f ca="1">-0.10453/COS(Control!$B$8*PI()/180)*COS(AN52)</f>
        <v>-0.16585088383879848</v>
      </c>
      <c r="AP52" s="388">
        <f ca="1">ACOS(AO52-TAN(Control!$B$8*PI()/180)*TAN(AN52))</f>
        <v>1.4559662439988319</v>
      </c>
      <c r="AQ52" s="388">
        <f t="shared" ca="1" si="120"/>
        <v>0</v>
      </c>
      <c r="AR52" s="394">
        <f t="shared" ca="1" si="14"/>
        <v>0</v>
      </c>
      <c r="AS52" s="436">
        <f ca="1">IF(Control!$B$18=2,(IF(OR($AH52=Control!$B$175,$AH52=Control!$B$176,$AH52=Control!$B$177,$AH52=Control!$B$178,$AH52=Control!$B$179,$AH52=Control!$B$180,$AH52=Control!$B$181,$AH52=Control!$B$182,$AH52=Control!$B$183,$AH52=Control!$B$184,$AH52=Control!$B$185),1,0)),0)</f>
        <v>0</v>
      </c>
      <c r="AT52" s="436">
        <f>IF(Control!$B$20=8,IF(AND($AH52&gt;=Control!$B$172,$AH52&lt;=Control!$B$173),1,0),0)</f>
        <v>0</v>
      </c>
      <c r="AU52" s="436">
        <f>IF(Control!$B$20=8,IF($AV51=1,1*$AT52,IF($AT52=1,$AU51+1,$AU51)),0)</f>
        <v>0</v>
      </c>
      <c r="AV52" s="436">
        <f>IF(Control!$B$20=8,IF($AU52&gt;=Control!$B$174,1,0),0)</f>
        <v>0</v>
      </c>
      <c r="AW52" s="436">
        <f ca="1">IF(AND(Control!$B$18=2,Control!$B$171=1), $AV52, $AS52)</f>
        <v>0</v>
      </c>
      <c r="AX52" s="436" t="e">
        <f ca="1">IF(AND(Control!$B$18=1,$EU52&gt;=Control!$B$19),-$AY52,IF(AND(Control!$B$18=2,$AW52=1,$EU52&gt;$DS52),-$AY52, IF(Control!$C$108=0,0, IF(Control!$C$108&lt;&gt;0,1))))</f>
        <v>#N/A</v>
      </c>
      <c r="AY52" s="436" t="e">
        <f t="shared" ca="1" si="121"/>
        <v>#N/A</v>
      </c>
      <c r="AZ52" s="436" t="e">
        <f ca="1">IF(AND(Control!$B$18=1,$EB52&gt;Control!$B$19),$AZ51+1, IF(AND(Control!$B$18=2, $AW52=1, $EB52&gt;$DS52), $AZ51+1,$AZ51))</f>
        <v>#N/A</v>
      </c>
      <c r="BA52" s="587">
        <f>IF(Control!$C$81=0,1,IF($AH52&gt;=Control!$C$82,1,0))</f>
        <v>1</v>
      </c>
      <c r="BB52" s="140" t="e">
        <f ca="1">IF($BA52&gt;$BA51,Control!$C$83,IF($AW52&gt;0,$AW52*Control!$C$84,IF(AND(Control!$B$18=1,EN51&lt;&gt;0),Control!$C$84,0)))</f>
        <v>#N/A</v>
      </c>
      <c r="BC52" s="140" t="e">
        <f t="shared" ca="1" si="122"/>
        <v>#N/A</v>
      </c>
      <c r="BD52" s="140" t="e">
        <f ca="1">BC52*IF(OR($G52&lt;Control!$C$92,$G52&gt;Control!$C$95),0,IF(AND($G52&gt;=Control!$C$92,$G52&lt;=Control!$C$93),$G52-Control!$C$92,IF(AND($G52&gt;Control!$C$93,$G52&lt;=Control!$C$94),Control!$C$93-Control!$C$92,IF(AND($G52&gt;Control!$C$94,$G52&lt;=Control!$C$95),(Control!$C$93-Control!$C$92)*(Control!$C$94-$G52)/(Control!$C$95-Control!$C$94)))))</f>
        <v>#N/A</v>
      </c>
      <c r="BE52" s="140" t="e">
        <f t="shared" ca="1" si="123"/>
        <v>#N/A</v>
      </c>
      <c r="BF52" s="140" t="e">
        <f ca="1">IF($BE52&lt;=Control!$C$86,$BE52,Control!$C$86-$BE52)</f>
        <v>#N/A</v>
      </c>
      <c r="BG52" s="140" t="e">
        <f ca="1">IF(AND($AW52=1,Control!$C$84&lt;9),1,IF($BE52&gt;=Control!$C$86,0,$BC52))</f>
        <v>#N/A</v>
      </c>
      <c r="BH52" s="404" t="e">
        <f ca="1">IF($BG52=0,0,IF($BE52&lt;=Control!$C$86,$BC52*9*($BF52/Control!$C$86),0))</f>
        <v>#N/A</v>
      </c>
      <c r="BI52" s="140" t="e">
        <f ca="1">IF($BG52=1,0,IF($BE52&gt;=Control!$C$86,1,IF(AND($BB52&lt;21,$BB52&gt;=9),1,$BM51)))</f>
        <v>#N/A</v>
      </c>
      <c r="BJ52" s="140" t="e">
        <f ca="1">IF($BF52&lt;0,-$BF52,$BI52*IF(OR($G52&lt;Control!$C$92,$G52&gt;Control!$C$95),0,IF(AND($G52&gt;=Control!$C$92,$G52&lt;=Control!$C$93),$G52-Control!$C$92,IF(AND($G52&gt;Control!$C$93,$G52&lt;=Control!$C$94),Control!$C$93-Control!$C$92,IF(AND($G52&gt;Control!$C$94,$G52&lt;=Control!$C$95),(Control!$C$93-Control!$C$92)*(Control!$C$94-$G52)/(Control!$C$95-Control!$C$94))))))</f>
        <v>#N/A</v>
      </c>
      <c r="BK52" s="140" t="e">
        <f t="shared" ca="1" si="124"/>
        <v>#N/A</v>
      </c>
      <c r="BL52" s="140" t="e">
        <f ca="1">IF($BK52&lt;=Control!$C$87,$BK52,Control!$C$87-$BK52)</f>
        <v>#N/A</v>
      </c>
      <c r="BM52" s="140" t="e">
        <f ca="1">IF(AND($BB52&gt;=9,$BB52&lt;21),1,IF($BK52&gt;=Control!$C$87,0,$BI52))</f>
        <v>#N/A</v>
      </c>
      <c r="BN52" s="404" t="e">
        <f ca="1">IF($BM52=0,0,IF($BK52&lt;=Control!$C$87,$BI52*(9+(21-9)*($BL52/Control!$C$87)),0))</f>
        <v>#N/A</v>
      </c>
      <c r="BO52" s="140" t="e">
        <f ca="1">IF($BM52=1,0,IF($BK52&gt;=Control!$C$87,1,IF(AND($BB52&lt;30,$BB52&gt;=21),1,$BS51)))</f>
        <v>#N/A</v>
      </c>
      <c r="BP52" s="140" t="e">
        <f ca="1">IF($BL52&lt;0,-$BL52,$BO52*IF(OR($G52&lt;Control!$C$92,$G52&gt;Control!$C$95),0,IF(AND($G52&gt;=Control!$C$92,$G52&lt;=Control!$C$93),$G52-Control!$C$92,IF(AND($G52&gt;Control!$C$93,$G52&lt;=Control!$C$94),Control!$C$93-Control!$C$92,IF(AND($G52&gt;Control!$C$94,$G52&lt;=Control!$C$95),(Control!$C$93-Control!$C$92)*(Control!$C$94-$G52)/(Control!$C$95-Control!$C$94))))))</f>
        <v>#N/A</v>
      </c>
      <c r="BQ52" s="140" t="e">
        <f t="shared" ca="1" si="15"/>
        <v>#N/A</v>
      </c>
      <c r="BR52" s="140" t="e">
        <f ca="1">IF($BQ52&lt;=Control!$C$88,$BQ52,Control!$C$88-$BQ52)</f>
        <v>#N/A</v>
      </c>
      <c r="BS52" s="140" t="e">
        <f ca="1">IF(AND($BB52&gt;=21,$BB52&lt;30),1,IF($BQ52&gt;=Control!$C$88,0,$BO52))</f>
        <v>#N/A</v>
      </c>
      <c r="BT52" s="404" t="e">
        <f ca="1">IF($BS52=0,0,IF($BQ52&lt;=Control!$C$88,$BO52*(21+(30-21)*(BR52/Control!$C$88)),0))</f>
        <v>#N/A</v>
      </c>
      <c r="BU52" s="140" t="e">
        <f ca="1">IF(BG52+BM52+BS52=1,0,IF(OR(AND($BB52&lt;60,$BB52&gt;=30),$BQ52&gt;=Control!$C$88),1*$BA52,$BY51))</f>
        <v>#N/A</v>
      </c>
      <c r="BV52" s="140" t="e">
        <f ca="1">IF($BR52&lt;0,-$BR52,$BU52*IF(OR($G52&lt;Control!$C$92,$G52&gt;Control!$C$95),0,IF(AND($G52&gt;=Control!$C$92,$G52&lt;=Control!$C$93),$G52-Control!$C$92,IF(AND($G52&gt;Control!$C$93,$G52&lt;=Control!$C$94),Control!$C$93-Control!$C$92,IF(AND($G52&gt;Control!$C$94,$G52&lt;=Control!$C$95),(Control!$C$93-Control!$C$92)*(Control!$C$94-$G52)/(Control!$C$95-Control!$C$94))))))</f>
        <v>#N/A</v>
      </c>
      <c r="BW52" s="140" t="e">
        <f t="shared" ca="1" si="16"/>
        <v>#N/A</v>
      </c>
      <c r="BX52" s="140" t="e">
        <f ca="1">IF($BW52&lt;=Control!$C$89,$BW52,Control!$C$89-$BW52)</f>
        <v>#N/A</v>
      </c>
      <c r="BY52" s="140" t="e">
        <f ca="1">IF(AND($AJ52&gt;=30,$AJ52&lt;60),1,IF($BW52&gt;=Control!$C$89,0,$BU52))</f>
        <v>#N/A</v>
      </c>
      <c r="BZ52" s="404" t="e">
        <f ca="1">IF($BY52=0,0,IF($BW52&lt;=Control!$C$89,$BU52*(30+(60-30)*(BX52/Control!$C$89)),0))</f>
        <v>#N/A</v>
      </c>
      <c r="CA52" s="140" t="e">
        <f ca="1">IF($BG52+$BM52+$BS52+$BY52=1,0,IF(OR(AND($BB52&lt;65,$BB52&gt;=60),$BW52&gt;=Control!$C$89),1*$BA52,$CE51))</f>
        <v>#N/A</v>
      </c>
      <c r="CB52" s="140" t="e">
        <f ca="1">IF($BX52&lt;0,-$BX52,$CA52*IF(OR($G52&lt;Control!$C$92,$G52&gt;Control!$C$95),0,IF(AND($G52&gt;=Control!$C$92,$G52&lt;=Control!$C$93),$G52-Control!$C$92,IF(AND($G52&gt;Control!$C$93,$G52&lt;=Control!$C$94),Control!$C$93-Control!$C$92,IF(AND($G52&gt;Control!$C$94,$G52&lt;=Control!$C$95),(Control!$C$93-Control!$C$92)*(Control!$C$94-$G52)/(Control!$C$95-Control!$C$94))))))</f>
        <v>#N/A</v>
      </c>
      <c r="CC52" s="140" t="e">
        <f t="shared" ca="1" si="125"/>
        <v>#N/A</v>
      </c>
      <c r="CD52" s="140" t="e">
        <f ca="1">IF($CC52&lt;=Control!$C$90,$CC52,Control!$C$90-$CC52)</f>
        <v>#N/A</v>
      </c>
      <c r="CE52" s="140" t="e">
        <f ca="1">IF(AND($BB52&gt;=60,$BB52&lt;65),1,IF($CC52&gt;=Control!$C$90,0,$CA52))</f>
        <v>#N/A</v>
      </c>
      <c r="CF52" s="404" t="e">
        <f ca="1">IF($CE52=0,0,IF($CC52&lt;=Control!$C$90,$CA52*(60+(65-60)*(CD52/Control!$C$90)),0))</f>
        <v>#N/A</v>
      </c>
      <c r="CG52" s="140" t="e">
        <f ca="1">IF($BG52+$BM52+$BS52+$BY52+$CE52=1,0,IF(OR(AND($BB52&lt;90,$BB52&gt;=65),$CC52&gt;=Control!$C$90),$BA52,$CK51))</f>
        <v>#N/A</v>
      </c>
      <c r="CH52" s="140" t="e">
        <f ca="1">IF($CD52&lt;0,-$CD52,$CG52*IF(OR($G52&lt;Control!$C$92,$G52&gt;Control!$C$95),0,IF(AND($G52&gt;=Control!$C$92,$G52&lt;=Control!$C$93),$G52-Control!$C$92,IF(AND($G52&gt;Control!$C$93,$G52&lt;=Control!$C$94),Control!$C$93-Control!$C$92,IF(AND($G52&gt;Control!$C$94,$G52&lt;=Control!$C$95),(Control!$C$93-Control!$C$92)*(Control!$C$94-$G52)/(Control!$C$95-Control!$C$94))))))</f>
        <v>#N/A</v>
      </c>
      <c r="CI52" s="140" t="e">
        <f t="shared" ca="1" si="126"/>
        <v>#N/A</v>
      </c>
      <c r="CJ52" s="140" t="e">
        <f ca="1">IF($CI52&lt;=Control!$C$91,$CI52,Control!$C$91-$CI52)</f>
        <v>#N/A</v>
      </c>
      <c r="CK52" s="140" t="e">
        <f ca="1">IF(AND($BB52&gt;=65,$BB52&lt;90),1,IF($CI52&gt;=Control!$C$91,0,$CG52))</f>
        <v>#N/A</v>
      </c>
      <c r="CL52" s="404" t="e">
        <f ca="1">IF($CK52=0,0,IF($CI52&lt;=Control!$C$91,$CG52*(65+(90-65)*($CJ52/Control!$C$91)),0))</f>
        <v>#N/A</v>
      </c>
      <c r="CM52" s="140" t="e">
        <f ca="1">IF($BG52+$BM52+$BS52+$BY52+$CE52+$CK52=1,0,IF(OR($BB52&gt;=90,$CI52&gt;=Control!$C$91),$BA52,$CM51))</f>
        <v>#N/A</v>
      </c>
      <c r="CN52" s="140" t="e">
        <f t="shared" ca="1" si="127"/>
        <v>#N/A</v>
      </c>
      <c r="CO52" s="140" t="e">
        <f t="shared" ca="1" si="128"/>
        <v>#N/A</v>
      </c>
      <c r="CP52" s="140" t="e">
        <f t="shared" ca="1" si="129"/>
        <v>#N/A</v>
      </c>
      <c r="CQ52" s="141" t="e">
        <f ca="1">VLOOKUP($CP52,Control!$B$86:$G$91,6)</f>
        <v>#N/A</v>
      </c>
      <c r="CR52" s="141" t="e">
        <f ca="1">(1-$CQ52)*VLOOKUP($CP52,Control!$B$86:$D$91,3)</f>
        <v>#N/A</v>
      </c>
      <c r="CS52" s="141" t="e">
        <f ca="1">(1-$CQ52)*VLOOKUP($CP52,Control!$B$86:$E$91,4)</f>
        <v>#N/A</v>
      </c>
      <c r="CT52" s="141" t="e">
        <f ca="1">(1-$CQ52)*VLOOKUP($CP52,Control!$B$86:$F$91,5)</f>
        <v>#N/A</v>
      </c>
      <c r="CU52" s="141">
        <f t="shared" ca="1" si="130"/>
        <v>0</v>
      </c>
      <c r="CV52" s="583">
        <f t="shared" ca="1" si="131"/>
        <v>0</v>
      </c>
      <c r="CW52" s="142">
        <f t="shared" ca="1" si="132"/>
        <v>47</v>
      </c>
      <c r="CX52" s="612" t="e">
        <f ca="1">IF(Control!$C$114=1,(MIN(Control!$C$120*(IF($NT52-0.01&lt;0,0,1)),Control!$C$119-$CY52)))</f>
        <v>#DIV/0!</v>
      </c>
      <c r="CY52" s="143" t="e">
        <f t="shared" ca="1" si="133"/>
        <v>#N/A</v>
      </c>
      <c r="CZ52" s="144">
        <f t="shared" ca="1" si="17"/>
        <v>0</v>
      </c>
      <c r="DA52" s="144">
        <f t="shared" ca="1" si="18"/>
        <v>0</v>
      </c>
      <c r="DB52" s="144" t="e">
        <f t="shared" ca="1" si="19"/>
        <v>#N/A</v>
      </c>
      <c r="DC52" s="144" t="e">
        <f t="shared" ca="1" si="20"/>
        <v>#N/A</v>
      </c>
      <c r="DD52" s="144" t="e">
        <f t="shared" ca="1" si="216"/>
        <v>#N/A</v>
      </c>
      <c r="DE52" s="143" t="e">
        <f t="shared" ca="1" si="135"/>
        <v>#N/A</v>
      </c>
      <c r="DF52" s="145" t="e">
        <f ca="1">$DR52*EXP(-Control!$C$158*(1-$KH52))</f>
        <v>#N/A</v>
      </c>
      <c r="DG52" s="146" t="e">
        <f ca="1">IF(Control!$C$114=1, $DF52*$EY52, 0)</f>
        <v>#N/A</v>
      </c>
      <c r="DH52" s="147" t="e">
        <f t="shared" ca="1" si="136"/>
        <v>#N/A</v>
      </c>
      <c r="DI52" s="144" t="e">
        <f t="shared" ca="1" si="191"/>
        <v>#N/A</v>
      </c>
      <c r="DJ52" s="147" t="e">
        <f ca="1">$EF52*Control!$C$109</f>
        <v>#N/A</v>
      </c>
      <c r="DK52" s="144" t="e">
        <f t="shared" ca="1" si="137"/>
        <v>#N/A</v>
      </c>
      <c r="DL52" s="144" t="e">
        <f t="shared" ca="1" si="21"/>
        <v>#N/A</v>
      </c>
      <c r="DM52" s="144" t="e">
        <f ca="1">IF(Control!$C$114=1, (1-EXP(-Control!$C$96*$DK52))*$AR52, 0)</f>
        <v>#N/A</v>
      </c>
      <c r="DN52" s="144">
        <f t="shared" ca="1" si="138"/>
        <v>0</v>
      </c>
      <c r="DO52" s="148">
        <f>Control!$C$97</f>
        <v>4</v>
      </c>
      <c r="DP52" s="145" t="e">
        <f t="shared" ca="1" si="139"/>
        <v>#N/A</v>
      </c>
      <c r="DQ52" s="145" t="e">
        <f ca="1">IF(AND($CP52&gt;=0,$CP52&lt;=90),Control!$C$111,Control!$C$111)</f>
        <v>#N/A</v>
      </c>
      <c r="DR52" s="145" t="e">
        <f t="shared" ca="1" si="22"/>
        <v>#N/A</v>
      </c>
      <c r="DS52" s="143" t="e">
        <f ca="1">Control!$B$22/$DR52</f>
        <v>#N/A</v>
      </c>
      <c r="DT52" s="149" t="e">
        <f ca="1">IF(AND(Control!$C$114=1,$KH52&lt;1),$IM52*$DF52, 0)</f>
        <v>#N/A</v>
      </c>
      <c r="DU52" s="144" t="e">
        <f t="shared" ca="1" si="192"/>
        <v>#N/A</v>
      </c>
      <c r="DV52" s="144">
        <f ca="1">IF($G52-Control!$C$107&lt;=0, 0, 0.83*LN(MAX($G52, 3))-0.8924)</f>
        <v>0</v>
      </c>
      <c r="DW52" s="144" t="e">
        <f t="shared" ca="1" si="23"/>
        <v>#N/A</v>
      </c>
      <c r="DX52" s="150" t="e">
        <f ca="1">MAX(0.01*(1+$CU52/Control!$C$102),0.05*($DK52-Control!$C$97)/Control!$C$97)</f>
        <v>#N/A</v>
      </c>
      <c r="DY52" s="151" t="e">
        <f ca="1">IF(Control!$C$114=1, $DI52*$FS52, 0)</f>
        <v>#N/A</v>
      </c>
      <c r="DZ52" s="196" t="e">
        <f t="shared" ca="1" si="140"/>
        <v>#N/A</v>
      </c>
      <c r="EA52" s="152">
        <f t="shared" ca="1" si="141"/>
        <v>47</v>
      </c>
      <c r="EB52" s="153" t="e">
        <f t="shared" ca="1" si="217"/>
        <v>#N/A</v>
      </c>
      <c r="EC52" s="153" t="e">
        <f t="shared" ca="1" si="142"/>
        <v>#N/A</v>
      </c>
      <c r="ED52" s="154" t="e">
        <f ca="1">IF(Control!$C$114=1, $HM52*$FY52-$FD52, 0)</f>
        <v>#DIV/0!</v>
      </c>
      <c r="EE52" s="155" t="e">
        <f ca="1">IF(Control!$C$114=1, $HM52*$FZ52-$FF52, 0)</f>
        <v>#DIV/0!</v>
      </c>
      <c r="EF52" s="153" t="e">
        <f t="shared" ca="1" si="193"/>
        <v>#N/A</v>
      </c>
      <c r="EG52" s="155" t="e">
        <f ca="1">IF(Control!$C$114=1, $GX52*$FW52-$FI52, 0)</f>
        <v>#DIV/0!</v>
      </c>
      <c r="EH52" s="153" t="e">
        <f t="shared" ca="1" si="143"/>
        <v>#N/A</v>
      </c>
      <c r="EI52" s="156" t="e">
        <f t="shared" ca="1" si="144"/>
        <v>#N/A</v>
      </c>
      <c r="EJ52" s="155" t="e">
        <f ca="1">IF(Control!$C$114=1, $HM52*$GB52, 0)</f>
        <v>#DIV/0!</v>
      </c>
      <c r="EK52" s="153" t="e">
        <f t="shared" ca="1" si="194"/>
        <v>#N/A</v>
      </c>
      <c r="EL52" s="153" t="e">
        <f t="shared" ca="1" si="24"/>
        <v>#N/A</v>
      </c>
      <c r="EM52" s="153" t="e">
        <f t="shared" ca="1" si="25"/>
        <v>#N/A</v>
      </c>
      <c r="EN52" s="153" t="e">
        <f ca="1">IF(Control!$C$108=1,IF(AND(Control!$B$18=1,$EB52&gt;=Control!$B$19),$EB52-$DS52,IF(AND(Control!$B$18=2,$AW52=1,$EB52&gt;$DS52),$EB52-$DS52,0)))</f>
        <v>#N/A</v>
      </c>
      <c r="EO52" s="153" t="e">
        <f ca="1">IF(Control!$C$108=1,IF(AND(Control!$B$18=1,$EB52&gt;=Control!$B$19),$EF52,IF(AND(Control!$B$18=2,$AW52=1),$EF52,0)))</f>
        <v>#N/A</v>
      </c>
      <c r="EP52" s="153" t="e">
        <f ca="1">IF(Control!$C$108=1,IF(AND(Control!$B$18=1,$EB52&gt;=Control!$B$19),$EK52,IF(AND(Control!$B$18=2,$AW52=1),$EK52,0)))</f>
        <v>#N/A</v>
      </c>
      <c r="EQ52" s="153" t="e">
        <f t="shared" ca="1" si="145"/>
        <v>#N/A</v>
      </c>
      <c r="ER52" s="153" t="e">
        <f t="shared" ca="1" si="231"/>
        <v>#N/A</v>
      </c>
      <c r="ES52" s="153" t="e">
        <f t="shared" ca="1" si="196"/>
        <v>#N/A</v>
      </c>
      <c r="ET52" s="153" t="e">
        <f t="shared" ca="1" si="197"/>
        <v>#N/A</v>
      </c>
      <c r="EU52" s="153" t="e">
        <f t="shared" ca="1" si="198"/>
        <v>#N/A</v>
      </c>
      <c r="EV52" s="153" t="e">
        <f t="shared" ca="1" si="146"/>
        <v>#N/A</v>
      </c>
      <c r="EW52" s="153" t="e">
        <f t="shared" ca="1" si="218"/>
        <v>#N/A</v>
      </c>
      <c r="EX52" s="153" t="e">
        <f t="shared" ca="1" si="26"/>
        <v>#N/A</v>
      </c>
      <c r="EY52" s="157" t="e">
        <f t="shared" ca="1" si="147"/>
        <v>#DIV/0!</v>
      </c>
      <c r="EZ52" s="154" t="e">
        <f t="shared" ca="1" si="27"/>
        <v>#DIV/0!</v>
      </c>
      <c r="FA52" s="153" t="e">
        <f t="shared" ca="1" si="199"/>
        <v>#N/A</v>
      </c>
      <c r="FB52" s="153" t="e">
        <f t="shared" ca="1" si="28"/>
        <v>#N/A</v>
      </c>
      <c r="FC52" s="193" t="e">
        <f t="shared" ca="1" si="29"/>
        <v>#N/A</v>
      </c>
      <c r="FD52" s="158" t="e">
        <f t="shared" ca="1" si="200"/>
        <v>#N/A</v>
      </c>
      <c r="FE52" s="158" t="e">
        <f t="shared" ca="1" si="148"/>
        <v>#N/A</v>
      </c>
      <c r="FF52" s="159" t="e">
        <f t="shared" ca="1" si="30"/>
        <v>#N/A</v>
      </c>
      <c r="FG52" s="160" t="e">
        <f t="shared" ca="1" si="149"/>
        <v>#N/A</v>
      </c>
      <c r="FH52" s="158" t="e">
        <f t="shared" ca="1" si="150"/>
        <v>#N/A</v>
      </c>
      <c r="FI52" s="159" t="e">
        <f t="shared" ca="1" si="31"/>
        <v>#N/A</v>
      </c>
      <c r="FJ52" s="160" t="e">
        <f t="shared" ca="1" si="151"/>
        <v>#N/A</v>
      </c>
      <c r="FK52" s="160" t="e">
        <f t="shared" ca="1" si="32"/>
        <v>#N/A</v>
      </c>
      <c r="FL52" s="160" t="e">
        <f t="shared" ca="1" si="229"/>
        <v>#N/A</v>
      </c>
      <c r="FM52" s="160" t="e">
        <f t="shared" ca="1" si="33"/>
        <v>#N/A</v>
      </c>
      <c r="FN52" s="158">
        <f t="shared" ca="1" si="219"/>
        <v>0.01</v>
      </c>
      <c r="FO52" s="160">
        <f>Control!$C$101</f>
        <v>50</v>
      </c>
      <c r="FP52" s="150" t="e">
        <f t="shared" ca="1" si="34"/>
        <v>#N/A</v>
      </c>
      <c r="FQ52" s="150" t="e">
        <f ca="1">MAX(0,(Control!$C$112*(($DK52-Control!$C$97)/Control!$C$97)))</f>
        <v>#N/A</v>
      </c>
      <c r="FR52" s="150" t="e">
        <f ca="1">(1-$NT52)*Control!$C$113</f>
        <v>#DIV/0!</v>
      </c>
      <c r="FS52" s="198" t="e">
        <f t="shared" ca="1" si="35"/>
        <v>#N/A</v>
      </c>
      <c r="FT52" s="161">
        <f t="shared" ca="1" si="152"/>
        <v>47</v>
      </c>
      <c r="FU52" s="162" t="e">
        <f ca="1">IF(Control!$B$34=1,VLOOKUP($CP52,Control!$B$86:$G$91,6),Control!$B$35)</f>
        <v>#N/A</v>
      </c>
      <c r="FV52" s="162" t="e">
        <f t="shared" ca="1" si="36"/>
        <v>#DIV/0!</v>
      </c>
      <c r="FW52" s="162" t="e">
        <f ca="1">IF(Control!$B$31=1,$FU52*$FV52,  $FU52)</f>
        <v>#N/A</v>
      </c>
      <c r="FX52" s="162" t="e">
        <f ca="1">IF(Control!$B$34=1,VLOOKUP($CP52,Control!$B$86:$G$91,3),Control!$B$36)</f>
        <v>#N/A</v>
      </c>
      <c r="FY52" s="162" t="e">
        <f t="shared" ca="1" si="37"/>
        <v>#N/A</v>
      </c>
      <c r="FZ52" s="162" t="e">
        <f ca="1">IF(Control!$B$34=1,VLOOKUP($CP52,Control!$B$86:$G$91,4),Control!$B$37)</f>
        <v>#N/A</v>
      </c>
      <c r="GA52" s="162" t="e">
        <f t="shared" ca="1" si="38"/>
        <v>#N/A</v>
      </c>
      <c r="GB52" s="162" t="e">
        <f ca="1">IF(Control!$B$34=1,VLOOKUP($CP52,Control!$B$86:$G$91,5),Control!$B$38)</f>
        <v>#N/A</v>
      </c>
      <c r="GC52" s="162" t="e">
        <f t="shared" ca="1" si="153"/>
        <v>#N/A</v>
      </c>
      <c r="GD52" s="162">
        <f t="shared" ca="1" si="39"/>
        <v>1</v>
      </c>
      <c r="GE52" s="162">
        <f t="shared" ca="1" si="40"/>
        <v>1</v>
      </c>
      <c r="GF52" s="162">
        <f ca="1">IF(AND(Control!$C$104=1, Control!$C$62="F"),$GE52,1)</f>
        <v>1</v>
      </c>
      <c r="GG52" s="162" t="e">
        <f ca="1">IF(Control!$B$16=40,0,IF(AND(Control!$B$16&gt;40,Control!$B$16&lt;=360),(Control!$B$16-40)*((1-0)/(360-40)),IF(AND(Control!$B$16&gt;360,Control!$B$16&lt;=720),(1+(Control!$B$16-360)*((1.25-1)/(720-360))),IF(AND(Control!$B$16&gt;720,Control!$B$16&lt;=1000),(1.25+(Control!$B$16-720)*((1.35-1.25)/(1000-720))),IF(AND(Control!$B$16&gt;1000,Control!$B$16&lt;=2000),(1.35+(Control!$B$16-1000)*0))))))</f>
        <v>#N/A</v>
      </c>
      <c r="GH52" s="162" t="e">
        <f t="shared" ca="1" si="41"/>
        <v>#N/A</v>
      </c>
      <c r="GI52" s="162">
        <f t="shared" ca="1" si="201"/>
        <v>0</v>
      </c>
      <c r="GJ52" s="162">
        <f t="shared" ca="1" si="42"/>
        <v>0</v>
      </c>
      <c r="GK52" s="162">
        <f t="shared" ca="1" si="220"/>
        <v>1</v>
      </c>
      <c r="GL52" s="162">
        <f t="shared" ca="1" si="43"/>
        <v>1</v>
      </c>
      <c r="GM52" s="162" t="e">
        <f ca="1">MAX(0,MIN(1,1-Control!$C$156*(1.0001-$KH52)^2))</f>
        <v>#N/A</v>
      </c>
      <c r="GN52" s="162" t="e">
        <f ca="1">IF(Control!$B$26=1,$KU52,$KX52)</f>
        <v>#N/A</v>
      </c>
      <c r="GO52" s="162" t="e">
        <f ca="1">IF($CP52&lt;=60,Control!$C$105,IF($CP52&gt;=90,Control!$C$106,Control!$C$105+($CP52-60)*((Control!$C$106-Control!$C$105)/(90-60))))</f>
        <v>#N/A</v>
      </c>
      <c r="GP52" s="162" t="e">
        <f t="shared" ca="1" si="154"/>
        <v>#N/A</v>
      </c>
      <c r="GQ52" s="162" t="e">
        <f t="shared" ca="1" si="155"/>
        <v>#N/A</v>
      </c>
      <c r="GR52" s="163" t="e">
        <f t="shared" ca="1" si="44"/>
        <v>#DIV/0!</v>
      </c>
      <c r="GS52" s="162" t="e">
        <f t="shared" ca="1" si="45"/>
        <v>#DIV/0!</v>
      </c>
      <c r="GT52" s="164" t="e">
        <f t="shared" ca="1" si="156"/>
        <v>#N/A</v>
      </c>
      <c r="GU52" s="162" t="e">
        <f t="shared" ca="1" si="157"/>
        <v>#N/A</v>
      </c>
      <c r="GV52" s="162" t="e">
        <f t="shared" ca="1" si="46"/>
        <v>#N/A</v>
      </c>
      <c r="GW52" s="162" t="e">
        <f t="shared" ca="1" si="221"/>
        <v>#DIV/0!</v>
      </c>
      <c r="GX52" s="162" t="e">
        <f t="shared" ca="1" si="228"/>
        <v>#DIV/0!</v>
      </c>
      <c r="GY52" s="162" t="e">
        <f t="shared" ca="1" si="158"/>
        <v>#DIV/0!</v>
      </c>
      <c r="GZ52" s="165" t="e">
        <f t="shared" ca="1" si="159"/>
        <v>#N/A</v>
      </c>
      <c r="HA52" s="162" t="e">
        <f ca="1">IF(Control!$C$114=1, $DI52*$FS52, 0)</f>
        <v>#N/A</v>
      </c>
      <c r="HB52" s="162" t="e">
        <f ca="1">$FA52/Control!$C$64</f>
        <v>#N/A</v>
      </c>
      <c r="HC52" s="162" t="e">
        <f t="shared" ca="1" si="222"/>
        <v>#DIV/0!</v>
      </c>
      <c r="HD52" s="162">
        <f ca="1">-ASIN(SIN(23.45*Control!$C$139)*COS(2*Control!$C$138*($AH52+10)/365))</f>
        <v>-0.22311256689876308</v>
      </c>
      <c r="HE52" s="165">
        <f t="shared" ca="1" si="160"/>
        <v>0</v>
      </c>
      <c r="HF52" s="166">
        <f ca="1">IF(AND(Control!$C$61="T",$HE52&gt;=Control!$C$103,Control!$C$114=0),$AH52,Control!$C$59)</f>
        <v>1</v>
      </c>
      <c r="HG52" s="166">
        <f ca="1">IF(AND(Control!$C$61="T",$HE52&gt;=Control!$C$103,Control!$C$114=0),$HF52,Control!$C$59)</f>
        <v>1</v>
      </c>
      <c r="HH52" s="165">
        <f ca="1">IF(AND(OR(Control!$C$60&lt;=0, $AH52= Control!$C$59, Control!$C$60 &gt;0, $AH52 = Control!$C$60)), Control!$C$59, IF(Control!$C$60&gt;0, 0))</f>
        <v>1</v>
      </c>
      <c r="HI52" s="165">
        <f ca="1">IF(AND(OR(Control!$C$60&lt;=0, $AH52= Control!$C$59, Control!$C$60 &gt;0, $AH52 = Control!$C$60)), Control!$C$60, IF(Control!$C$60&lt;=0, 0))</f>
        <v>0</v>
      </c>
      <c r="HJ52" s="166">
        <f ca="1">IF(AND(Control!$C$62="F",$CV52&gt;=Control!$C$102),$AH52,0)</f>
        <v>0</v>
      </c>
      <c r="HK52" s="165" t="e">
        <f t="shared" ca="1" si="202"/>
        <v>#N/A</v>
      </c>
      <c r="HL52" s="166">
        <f ca="1">IF(AND(Control!$C$61="T",$HE52&gt;=Control!$C$103,Control!$C$114=0),$HF52,0)</f>
        <v>0</v>
      </c>
      <c r="HM52" s="201" t="e">
        <f t="shared" ca="1" si="47"/>
        <v>#DIV/0!</v>
      </c>
      <c r="HN52" s="215">
        <f t="shared" ca="1" si="161"/>
        <v>47</v>
      </c>
      <c r="HO52" s="216" t="e">
        <f ca="1">IF(AND($CP52&gt;=0, $CP52&lt;=90), Control!$C$152, Control!$C$152)</f>
        <v>#N/A</v>
      </c>
      <c r="HP52" s="216" t="e">
        <f t="shared" ca="1" si="48"/>
        <v>#N/A</v>
      </c>
      <c r="HQ52" s="217" t="e">
        <f ca="1">IF(OR(Control!$B$26=1,Control!$B$26=2),$KV52,$KS52)</f>
        <v>#DIV/0!</v>
      </c>
      <c r="HR52" s="218" t="e">
        <f t="shared" ca="1" si="223"/>
        <v>#DIV/0!</v>
      </c>
      <c r="HS52" s="216" t="e">
        <f ca="1">Control!$C$154*$HP52</f>
        <v>#N/A</v>
      </c>
      <c r="HT52" s="216" t="e">
        <f ca="1">Control!$C$155*$HP52</f>
        <v>#N/A</v>
      </c>
      <c r="HU52" s="217" t="e">
        <f ca="1">Control!$C$161*$FI52</f>
        <v>#N/A</v>
      </c>
      <c r="HV52" s="218" t="e">
        <f t="shared" ca="1" si="162"/>
        <v>#N/A</v>
      </c>
      <c r="HW52" s="218" t="e">
        <f ca="1">Control!$C$160*$FF52+$IP52*$EO52</f>
        <v>#N/A</v>
      </c>
      <c r="HX52" s="218" t="e">
        <f t="shared" ca="1" si="203"/>
        <v>#N/A</v>
      </c>
      <c r="HY52" s="219" t="e">
        <f ca="1">IF(Control!$C$114=1, $EB52*$FS52, 0)</f>
        <v>#N/A</v>
      </c>
      <c r="HZ52" s="91" t="e">
        <f t="shared" ca="1" si="49"/>
        <v>#N/A</v>
      </c>
      <c r="IA52" s="220" t="e">
        <f ca="1">Control!$C$153*$HO52</f>
        <v>#N/A</v>
      </c>
      <c r="IB52" s="218" t="e">
        <f t="shared" ca="1" si="50"/>
        <v>#N/A</v>
      </c>
      <c r="IC52" s="220" t="e">
        <f ca="1">Control!$C$153*$HT52</f>
        <v>#N/A</v>
      </c>
      <c r="ID52" s="218" t="e">
        <f t="shared" ca="1" si="51"/>
        <v>#N/A</v>
      </c>
      <c r="IE52" s="221" t="e">
        <f ca="1">($EB52*Control!$C$159+$EF52*Control!$C$160)/(IF($GZ52&lt;&gt;0,$GZ52,1))</f>
        <v>#N/A</v>
      </c>
      <c r="IF52" s="216" t="e">
        <f t="shared" ca="1" si="52"/>
        <v>#N/A</v>
      </c>
      <c r="IG52" s="91">
        <f ca="1">IF(OR(Control!$B$198=$AH52,Control!$B$199=$AH52, Control!$B$200=$AH52, Control!$B$201=$AH52, Control!$B$202=$AH52, Control!$B$203=$AH52, Control!$B$204=$AH52, Control!$B$205=$AH52, Control!$B$206=$AH52, Control!$B$207=$AH52), 1, 0)</f>
        <v>0</v>
      </c>
      <c r="IH52" s="91">
        <f ca="1">IF($IG52=0,0, VLOOKUP($AH52,Control!$B$198:$C$207,2))</f>
        <v>0</v>
      </c>
      <c r="II52" s="222">
        <f t="shared" ca="1" si="163"/>
        <v>0</v>
      </c>
      <c r="IJ52" s="91">
        <f>Control!$C$121</f>
        <v>0.7</v>
      </c>
      <c r="IK52" s="218">
        <f t="shared" ca="1" si="53"/>
        <v>0</v>
      </c>
      <c r="IL52" s="217" t="e">
        <f t="shared" ca="1" si="204"/>
        <v>#N/A</v>
      </c>
      <c r="IM52" s="223" t="e">
        <f ca="1">IF(AND(Control!$C$114=1,$KH52&lt;1),$EB52*Control!$C$148*(1-$KH52), 0)</f>
        <v>#N/A</v>
      </c>
      <c r="IN52" s="217" t="e">
        <f t="shared" ca="1" si="54"/>
        <v>#DIV/0!</v>
      </c>
      <c r="IO52" s="91" t="e">
        <f ca="1">MAX(0,$IL52-$EF52*Control!$C$160)</f>
        <v>#N/A</v>
      </c>
      <c r="IP52" s="220" t="e">
        <f t="shared" ca="1" si="55"/>
        <v>#N/A</v>
      </c>
      <c r="IQ52" s="217" t="e">
        <f t="shared" ca="1" si="164"/>
        <v>#N/A</v>
      </c>
      <c r="IR52" s="218" t="e">
        <f t="shared" ca="1" si="56"/>
        <v>#N/A</v>
      </c>
      <c r="IS52" s="217" t="e">
        <f ca="1">Control!$C$159*MAX(0,$FD52-$EN52)</f>
        <v>#N/A</v>
      </c>
      <c r="IT52" s="217" t="e">
        <f t="shared" ca="1" si="205"/>
        <v>#N/A</v>
      </c>
      <c r="IU52" s="217" t="e">
        <f t="shared" ca="1" si="165"/>
        <v>#N/A</v>
      </c>
      <c r="IV52" s="217" t="e">
        <f t="shared" ca="1" si="206"/>
        <v>#N/A</v>
      </c>
      <c r="IW52" s="217" t="e">
        <f ca="1">IF(OR($AW52=1,AND($AW52=0, Control!$B$18=1,$EN52&lt;&gt;0)), $IQ52-$IU52, $IQ52)</f>
        <v>#N/A</v>
      </c>
      <c r="IX52" s="218" t="e">
        <f t="shared" ca="1" si="57"/>
        <v>#N/A</v>
      </c>
      <c r="IY52" s="218" t="e">
        <f ca="1">MAX(0,$IQ52-$EB52*Control!$C$159)</f>
        <v>#N/A</v>
      </c>
      <c r="IZ52" s="218" t="e">
        <f t="shared" ca="1" si="58"/>
        <v>#N/A</v>
      </c>
      <c r="JA52" s="216" t="e">
        <f t="shared" ca="1" si="59"/>
        <v>#N/A</v>
      </c>
      <c r="JB52" s="217" t="e">
        <f t="shared" ca="1" si="60"/>
        <v>#N/A</v>
      </c>
      <c r="JC52" s="222" t="e">
        <f ca="1">MAX(Control!$C$157*$EK52-$JT52, 0)/Control!$C$162</f>
        <v>#N/A</v>
      </c>
      <c r="JD52" s="218" t="e">
        <f t="shared" ca="1" si="61"/>
        <v>#N/A</v>
      </c>
      <c r="JE52" s="218" t="e">
        <f t="shared" ca="1" si="62"/>
        <v>#N/A</v>
      </c>
      <c r="JF52" s="218" t="e">
        <f t="shared" ca="1" si="207"/>
        <v>#N/A</v>
      </c>
      <c r="JG52" s="218" t="e">
        <f t="shared" ca="1" si="63"/>
        <v>#N/A</v>
      </c>
      <c r="JH52" s="217" t="e">
        <f t="shared" ca="1" si="166"/>
        <v>#N/A</v>
      </c>
      <c r="JI52" s="217" t="e">
        <f t="shared" ca="1" si="167"/>
        <v>#N/A</v>
      </c>
      <c r="JJ52" s="217" t="e">
        <f t="shared" ca="1" si="224"/>
        <v>#N/A</v>
      </c>
      <c r="JK52" s="217" t="e">
        <f ca="1">IF(Control!$C$114=1,IF(Control!$B$24=0,MAX(0,$JI52)*$GN52/Control!$C$64,(MAX(0,MIN($JI52,$JJ52*$GN52/Control!$C$64),0))))</f>
        <v>#N/A</v>
      </c>
      <c r="JL52" s="217" t="e">
        <f ca="1">$IK52/Control!$C$64-$JK52+$HQ52</f>
        <v>#N/A</v>
      </c>
      <c r="JM52" s="217" t="e">
        <f ca="1">IF(Control!$C$114=1,($JB52/(IF($JI52&lt;&gt;0,$JI52,1)))*$JK52,0)</f>
        <v>#N/A</v>
      </c>
      <c r="JN52" s="217" t="e">
        <f ca="1">IF(Control!$C$114=1,($JG52/(IF($JI52&lt;&gt;0,$JI52,1)))*$JK52, 0)</f>
        <v>#N/A</v>
      </c>
      <c r="JO52" s="218" t="e">
        <f t="shared" ca="1" si="64"/>
        <v>#N/A</v>
      </c>
      <c r="JP52" s="218" t="e">
        <f ca="1">MIN(($IY52+$IO52)*Control!$C$151, $JF52-$EH52*Control!$C$161)</f>
        <v>#N/A</v>
      </c>
      <c r="JQ52" s="218" t="e">
        <f t="shared" ca="1" si="65"/>
        <v>#N/A</v>
      </c>
      <c r="JR52" s="217" t="e">
        <f ca="1">IF($CP52-Control!$C$150&lt;0, 0, $JQ52/Control!$C$162)</f>
        <v>#N/A</v>
      </c>
      <c r="JS52" s="218" t="e">
        <f t="shared" ca="1" si="66"/>
        <v>#N/A</v>
      </c>
      <c r="JT52" s="218" t="e">
        <f t="shared" ca="1" si="168"/>
        <v>#N/A</v>
      </c>
      <c r="JU52" s="218" t="e">
        <f t="shared" ca="1" si="67"/>
        <v>#N/A</v>
      </c>
      <c r="JV52" s="218" t="e">
        <f t="shared" ca="1" si="68"/>
        <v>#N/A</v>
      </c>
      <c r="JW52" s="216" t="e">
        <f t="shared" ca="1" si="69"/>
        <v>#N/A</v>
      </c>
      <c r="JX52" s="91" t="e">
        <f t="shared" ca="1" si="70"/>
        <v>#N/A</v>
      </c>
      <c r="JY52" s="218" t="e">
        <f t="shared" ca="1" si="71"/>
        <v>#N/A</v>
      </c>
      <c r="JZ52" s="217" t="e">
        <f ca="1">IF(Control!$C$114=1,($IZ52/(IF($JI52&lt;&gt;0,$JI52,1)))*$JK52, 0)</f>
        <v>#N/A</v>
      </c>
      <c r="KA52" s="218" t="e">
        <f t="shared" ca="1" si="225"/>
        <v>#N/A</v>
      </c>
      <c r="KB52" s="218" t="e">
        <f t="shared" ca="1" si="169"/>
        <v>#N/A</v>
      </c>
      <c r="KC52" s="218" t="e">
        <f t="shared" ca="1" si="72"/>
        <v>#N/A</v>
      </c>
      <c r="KD52" s="218" t="e">
        <f t="shared" ca="1" si="73"/>
        <v>#N/A</v>
      </c>
      <c r="KE52" s="218" t="e">
        <f t="shared" ca="1" si="74"/>
        <v>#N/A</v>
      </c>
      <c r="KF52" s="218" t="e">
        <f t="shared" ca="1" si="75"/>
        <v>#N/A</v>
      </c>
      <c r="KG52" s="216" t="e">
        <f t="shared" ca="1" si="76"/>
        <v>#N/A</v>
      </c>
      <c r="KH52" s="221" t="e">
        <f ca="1">IF(Control!$B$24=0,1,MAX(0.001,MIN(1,IF(($IF52-$IE52)&lt;&gt;0,($KG52-$IE52)/($IF52-$IE52),1))))</f>
        <v>#N/A</v>
      </c>
      <c r="KI52" s="222" t="e">
        <f ca="1">IF(Control!$C$114=1, $KI51+ $KH51, 0)</f>
        <v>#N/A</v>
      </c>
      <c r="KJ52" s="217" t="e">
        <f t="shared" ca="1" si="77"/>
        <v>#N/A</v>
      </c>
      <c r="KK52" s="218" t="e">
        <f t="shared" ca="1" si="78"/>
        <v>#N/A</v>
      </c>
      <c r="KL52" s="274" t="e">
        <f ca="1">IF(Control!$B$26=3,4000000000*EXP(-8400/($G52+273)),IF(Control!$B$26=4,4000000000*EXP(-8400/($G52+273))*($KT52),0))</f>
        <v>#DIV/0!</v>
      </c>
      <c r="KM52" s="274" t="e">
        <f ca="1">IF(Control!$B$26=3,5600000000000*EXP(-9800/($G52+273)),IF(Control!$B$26=4,5600000000000*EXP(-9800/($G52+273))*$KT52,0))</f>
        <v>#DIV/0!</v>
      </c>
      <c r="KN52" s="454" t="e">
        <f t="shared" ca="1" si="170"/>
        <v>#DIV/0!</v>
      </c>
      <c r="KO52" s="274" t="e">
        <f t="shared" ca="1" si="171"/>
        <v>#DIV/0!</v>
      </c>
      <c r="KP52" s="454" t="e">
        <f t="shared" ca="1" si="79"/>
        <v>#DIV/0!</v>
      </c>
      <c r="KQ52" s="454" t="e">
        <f t="shared" ca="1" si="80"/>
        <v>#DIV/0!</v>
      </c>
      <c r="KR52" s="454" t="e">
        <f t="shared" ca="1" si="81"/>
        <v>#DIV/0!</v>
      </c>
      <c r="KS52" s="454" t="e">
        <f t="shared" ca="1" si="82"/>
        <v>#DIV/0!</v>
      </c>
      <c r="KT52" s="455" t="e">
        <f t="shared" ca="1" si="83"/>
        <v>#DIV/0!</v>
      </c>
      <c r="KU52" s="456" t="e">
        <f ca="1">IF($CP52-Control!$C$149&lt;0, IF($NT52-0.01&lt;0,0,1),0)</f>
        <v>#N/A</v>
      </c>
      <c r="KV52" s="456" t="e">
        <f ca="1">IF(Control!$C$114=1,MAX(0,MIN(Control!$C$125*$KW52*$GN52,$KW52)))</f>
        <v>#DIV/0!</v>
      </c>
      <c r="KW52" s="456" t="e">
        <f t="shared" ca="1" si="208"/>
        <v>#DIV/0!</v>
      </c>
      <c r="KX52" s="457" t="e">
        <f ca="1">IF($CP52-Control!$C$149&lt;0, IF($MR52-$OM52&lt;0,0,1),0)</f>
        <v>#N/A</v>
      </c>
      <c r="KY52" s="167">
        <f t="shared" ca="1" si="172"/>
        <v>47</v>
      </c>
      <c r="KZ52" s="168">
        <f ca="1">1370*(1+0.033*COS(2*Control!$C$138*$AH52/365))</f>
        <v>1401.2026769854003</v>
      </c>
      <c r="LA52" s="169">
        <f t="shared" ca="1" si="173"/>
        <v>1.0227757218120181</v>
      </c>
      <c r="LB52" s="169">
        <f t="shared" ca="1" si="174"/>
        <v>-0.22446064584541683</v>
      </c>
      <c r="LC52" s="169">
        <f ca="1">ACOS(-TAN((2*Control!$B$8/360))*TAN(Calculations!$LB52))</f>
        <v>1.5028903478101792</v>
      </c>
      <c r="LD52" s="169">
        <f ca="1">((24*60)/PI())*0.082*$LA52*(($LC52*SIN(Control!$B$8*2*PI()/360))*SIN($LB52)+COS(Control!$B$8*2*PI()/360)*COS($LB52)*SIN($LC52))</f>
        <v>12.887056233350895</v>
      </c>
      <c r="LE52" s="170">
        <f t="shared" ca="1" si="84"/>
        <v>13.539421712296734</v>
      </c>
      <c r="LF52" s="170">
        <f ca="1">SIN(Control!$C$139*Control!$B$8)*SIN($HD52)</f>
        <v>-0.17436036096197599</v>
      </c>
      <c r="LG52" s="170">
        <f ca="1">COS(Control!$C$139*Control!$B$8)*COS($HD52)</f>
        <v>0.60039973204717123</v>
      </c>
      <c r="LH52" s="170">
        <f ca="1">12*(1+2*ASIN(MAX(-1,MIN(1,$LF52/$LG52))/Control!$C$138))</f>
        <v>9.7782863724376075</v>
      </c>
      <c r="LI52" s="170">
        <f ca="1">12*(1+2*ASIN(MAX(-1,MIN(1,(-SIN(-4*Control!$C$139)+$LF52)/$LG52))/Control!$C$138))</f>
        <v>10.668350676597587</v>
      </c>
      <c r="LJ52" s="168">
        <f ca="1">3600*($LH52*$LF52+24*$LG52*SQRT(1-$LK52*$LK52)/Control!$C$138)</f>
        <v>9662.7147055028108</v>
      </c>
      <c r="LK52" s="170">
        <f t="shared" ca="1" si="85"/>
        <v>-0.29040712654461531</v>
      </c>
      <c r="LL52" s="170">
        <f t="shared" ca="1" si="86"/>
        <v>0</v>
      </c>
      <c r="LM52" s="171">
        <f ca="1">Control!$C$145*$AB52</f>
        <v>6.6660906138995932E-2</v>
      </c>
      <c r="LN52" s="170">
        <f t="shared" ca="1" si="175"/>
        <v>0.54</v>
      </c>
      <c r="LO52" s="170">
        <f t="shared" ca="1" si="87"/>
        <v>0</v>
      </c>
      <c r="LP52" s="170">
        <f ca="1">Control!$C$140*((($D52+273.16)^4+($E52+273.16)^4)/2)*(0.34-0.14*SQRT($Y52))*(1.35*$AQ52/(0.75*$LD52)-0.35)</f>
        <v>-3.2464704755046001</v>
      </c>
      <c r="LQ52" s="170">
        <f ca="1">Control!$C$140*($G52+273)^4*(0.56-0.079*SQRT($Y52*10))*(0.1+0.9*$LO52)</f>
        <v>1.5241745131704001</v>
      </c>
      <c r="LR52" s="170">
        <f ca="1">$AQ52*(1-Control!$C$142)-$LQ52</f>
        <v>-1.5241745131704001</v>
      </c>
      <c r="LS52" s="170">
        <f ca="1">$AQ52*(1-Control!$C$143)-$LQ52</f>
        <v>-1.5241745131704001</v>
      </c>
      <c r="LT52" s="170">
        <f ca="1">$AQ52*(1-Control!$C$144)-$LQ52</f>
        <v>-1.5241745131704001</v>
      </c>
      <c r="LU52" s="169">
        <f ca="1">(1-Control!$C$144)*AQ52-LP52</f>
        <v>3.2464704755046001</v>
      </c>
      <c r="LV52" s="172">
        <f t="shared" ca="1" si="88"/>
        <v>0.79430000000000012</v>
      </c>
      <c r="LW52" s="170">
        <f t="shared" ca="1" si="89"/>
        <v>1.5886000000000002</v>
      </c>
      <c r="LX52" s="170">
        <f ca="1">($AC52*($LR52/Control!$C$141)+$LM52*$LV52)/($AC52+$LM52)</f>
        <v>0.23530094218323697</v>
      </c>
      <c r="LY52" s="170">
        <f ca="1">($AC52*($LS52/Control!$C$141)+$LM52*$LV52)/($AC52+$LM52)</f>
        <v>0.23530094218323697</v>
      </c>
      <c r="LZ52" s="170">
        <f t="shared" ca="1" si="90"/>
        <v>0.23530094218323697</v>
      </c>
      <c r="MA52" s="170">
        <f t="shared" ca="1" si="91"/>
        <v>0.23530094218323697</v>
      </c>
      <c r="MB52" s="170" t="e">
        <f t="shared" ca="1" si="92"/>
        <v>#N/A</v>
      </c>
      <c r="MC52" s="170">
        <f t="shared" ca="1" si="176"/>
        <v>0.6018</v>
      </c>
      <c r="MD52" s="170">
        <f t="shared" ca="1" si="93"/>
        <v>0.52989392535414004</v>
      </c>
      <c r="ME52" s="170">
        <f ca="1">($AC52*($LT52/Control!$C$141)+$LM52*$LW52)/($AC52+$LM52)</f>
        <v>0.71612369323045078</v>
      </c>
      <c r="MF52" s="170" t="e">
        <f ca="1">IF(Control!$B$16&gt;=1000,0.92,IF(AND(720&lt;=Control!$B$16,1000&gt;Control!$B$16),(0.95+(Control!$B$16-720)*((0.92-0.95)/(1000-720))),IF(AND(360&lt;=Control!$B$16,720&gt;Control!$B$16),(1+(Control!$B$16-360)*((0.95-1)/(720-360))),IF(AND(40&lt;=Control!$B$16,360&gt;Control!$B$16),(1.05+(Control!$B$16-40)*((1.05-1)/(360-40)))))))</f>
        <v>#N/A</v>
      </c>
      <c r="MG52" s="170">
        <f t="shared" ca="1" si="94"/>
        <v>0.71612369323045078</v>
      </c>
      <c r="MH52" s="170" t="e">
        <f t="shared" ca="1" si="232"/>
        <v>#N/A</v>
      </c>
      <c r="MI52" s="170" t="e">
        <f t="shared" ca="1" si="232"/>
        <v>#N/A</v>
      </c>
      <c r="MJ52" s="170" t="e">
        <f ca="1">MAX(0.0001, Control!$C$132*$MI52*$DL52)</f>
        <v>#N/A</v>
      </c>
      <c r="MK52" s="170">
        <f ca="1">1/(0.76+1.5*($MG52/10))-(5-Control!$C$110)*0.1</f>
        <v>1.002845988140797</v>
      </c>
      <c r="ML52" s="173">
        <f ca="1">IF(Control!$C$110&lt;3,$MK52+($MG52-0.6)/(Control!$C$110*(Control!$C$110+3)), MAX(0.1, MIN(0.95,$MK52)))</f>
        <v>0.95</v>
      </c>
      <c r="MM52" s="173">
        <f ca="1">IF(Control!$C$110&lt;3,$MK52+(($MI52/10)-0.6)/(Control!$C$110*(Control!$C$110+3)), MAX(0.1, MIN(0.95,$MK52)))</f>
        <v>0.95</v>
      </c>
      <c r="MN52" s="173">
        <f ca="1">(1-$MM52)*(Control!$C$128-Control!$C$127)+Control!$C$127</f>
        <v>0.16</v>
      </c>
      <c r="MO52" s="170" t="e">
        <f ca="1">MAX(0,MIN(1,($MS52-Control!$C$127)/($MN52-Control!$C$127)))</f>
        <v>#DIV/0!</v>
      </c>
      <c r="MP52" s="173" t="e">
        <f ca="1">1/(0.76+1.5*$MI52)-(5-Control!$C$110)*0.1</f>
        <v>#N/A</v>
      </c>
      <c r="MQ52" s="172" t="e">
        <f t="shared" ca="1" si="209"/>
        <v>#DIV/0!</v>
      </c>
      <c r="MR52" s="168" t="e">
        <f t="shared" ca="1" si="226"/>
        <v>#DIV/0!</v>
      </c>
      <c r="MS52" s="173" t="e">
        <f ca="1">MAX(Control!$C$127, MIN(Control!$C$135, $MR52/MAX(0.0001,$CY52)))</f>
        <v>#DIV/0!</v>
      </c>
      <c r="MT52" s="168" t="e">
        <f ca="1">(Control!$C$128-$MS52)*Control!$C$74</f>
        <v>#DIV/0!</v>
      </c>
      <c r="MU52" s="168" t="e">
        <f ca="1">(Control!$C$135-$MS52)*Control!$C$74</f>
        <v>#DIV/0!</v>
      </c>
      <c r="MV52" s="168" t="e">
        <f t="shared" ca="1" si="210"/>
        <v>#DIV/0!</v>
      </c>
      <c r="MW52" s="168" t="e">
        <f t="shared" ca="1" si="177"/>
        <v>#DIV/0!</v>
      </c>
      <c r="MX52" s="171" t="e">
        <f ca="1">MAX(Control!$C$127, MIN(Control!$C$135, $MW52/MAX(0.0001,Control!$C$119-$CY52)))</f>
        <v>#DIV/0!</v>
      </c>
      <c r="MY52" s="54" t="e">
        <f ca="1">IF(Control!$C$114=1, $CX52*$MX52, 0)</f>
        <v>#DIV/0!</v>
      </c>
      <c r="MZ52" s="54" t="e">
        <f t="shared" ca="1" si="178"/>
        <v>#N/A</v>
      </c>
      <c r="NA52" s="168" t="e">
        <f ca="1">(Control!$C$128-$MX52)*(Control!$C$119-Control!$C$74)</f>
        <v>#DIV/0!</v>
      </c>
      <c r="NB52" s="168" t="e">
        <f ca="1">(Control!$C$135-$MX52)*(Control!$C$119-Control!$C$74)</f>
        <v>#DIV/0!</v>
      </c>
      <c r="NC52" s="174" t="e">
        <f t="shared" ca="1" si="179"/>
        <v>#DIV/0!</v>
      </c>
      <c r="ND52" s="54">
        <f ca="1">IF(Control!$C$58=2, IF(OR(Control!$B$218=$AH52,Control!$B$219=$AH52, Control!$B$220=$AH52, Control!$B$221=$AH52, Control!$B$222=$AH52, Control!$B$223=$AH52, Control!$B$224=$AH52, Control!$B$225=$AH52, Control!$B$226=$AH52, Control!$B$227=$AH52, Control!$B$228=$AH52), 1, 0), 0)</f>
        <v>0</v>
      </c>
      <c r="NE52" s="54">
        <f ca="1">IF($ND52=0,0, VLOOKUP($AH52,Control!$B$218:$C$228,2))</f>
        <v>0</v>
      </c>
      <c r="NF52" s="168" t="e">
        <f ca="1">$CY52*(Control!$C$128-Control!$C$127)</f>
        <v>#N/A</v>
      </c>
      <c r="NG52" s="54" t="e">
        <f ca="1">IF(Control!$C$58=2, $NI51-$NJ51, 0)</f>
        <v>#DIV/0!</v>
      </c>
      <c r="NH52" s="54" t="e">
        <f ca="1">IF(AND(Control!$C$58=1, $MS51&lt;= ($MN51+0.02), $I51&lt;10), 0, IF(Control!$C$58=2, $NG51, 0))</f>
        <v>#DIV/0!</v>
      </c>
      <c r="NI52" s="54" t="e">
        <f ca="1">IF(Control!$C$58=2, $NE52+$NH52,0)</f>
        <v>#DIV/0!</v>
      </c>
      <c r="NJ52" s="54" t="e">
        <f ca="1">IF(AND(Control!$C$58=1, $MS52&lt;= ($MN52+0.02), $I52&lt;10), MAX(0, MIN(10, 0.7*($NF52-$MV52))), IF(Control!$C$58=2, MIN(10,$NI52),0))</f>
        <v>#DIV/0!</v>
      </c>
      <c r="NK52" s="54" t="e">
        <f t="shared" ca="1" si="96"/>
        <v>#DIV/0!</v>
      </c>
      <c r="NL52" s="173" t="e">
        <f ca="1">(1-Control!$C$73)*$I52+$NJ52</f>
        <v>#DIV/0!</v>
      </c>
      <c r="NM52" s="172" t="e">
        <f ca="1">IF($NL52&lt;0.5, $MB52* MAX(0, MIN(1, (SQRT($NC52)-SQRT($NC52-1))*Control!$C$71)),0)</f>
        <v>#DIV/0!</v>
      </c>
      <c r="NN52" s="170" t="e">
        <f ca="1">IF($NL52&gt;=5, $MB52, MAX(0,MIN($MB52, $NM52+$NL52,($MS52-Control!$C$129))))</f>
        <v>#DIV/0!</v>
      </c>
      <c r="NO52" s="54">
        <f>IF(Control!$C$133&lt;&gt;1, Control!$C$135-Control!$C$131, 0)</f>
        <v>0.38</v>
      </c>
      <c r="NP52" s="54" t="e">
        <f t="shared" ca="1" si="97"/>
        <v>#DIV/0!</v>
      </c>
      <c r="NQ52" s="173" t="e">
        <f ca="1">MAX(0,MIN(1,(Control!$C$135-$MS52)/(Control!$C$135-$NO52)))</f>
        <v>#DIV/0!</v>
      </c>
      <c r="NR52" s="170" t="e">
        <f ca="1">IF(Control!$C$133&lt;&gt;1, $NQ52+((1-$NP52/4)*(1-$NQ52)),1)</f>
        <v>#DIV/0!</v>
      </c>
      <c r="NS52" s="170" t="e">
        <f ca="1">IF(Control!$B$31=0,$MJ52,MAX(0,MIN($MV52,$MO52*$NR52*$MJ52)))</f>
        <v>#DIV/0!</v>
      </c>
      <c r="NT52" s="170" t="e">
        <f t="shared" ca="1" si="227"/>
        <v>#DIV/0!</v>
      </c>
      <c r="NU52" s="170" t="e">
        <f t="shared" ca="1" si="180"/>
        <v>#N/A</v>
      </c>
      <c r="NV52" s="170" t="e">
        <f t="shared" ca="1" si="98"/>
        <v>#N/A</v>
      </c>
      <c r="NW52" s="175" t="e">
        <f t="shared" ca="1" si="99"/>
        <v>#DIV/0!</v>
      </c>
      <c r="NX52" s="170" t="e">
        <f ca="1">MIN(Control!$C$72+$MU52, $NW52)</f>
        <v>#DIV/0!</v>
      </c>
      <c r="NY52" s="170" t="e">
        <f ca="1">IF($MT52&lt;=$NX52,MIN(Control!$C$72+$NB52,$NX52-$MT52),0)</f>
        <v>#DIV/0!</v>
      </c>
      <c r="NZ52" s="54" t="e">
        <f ca="1">IF(Control!$C$114=1,  $CX52*($MX52-Control!$C$127), 0)</f>
        <v>#DIV/0!</v>
      </c>
      <c r="OA52" s="170" t="e">
        <f t="shared" ca="1" si="181"/>
        <v>#DIV/0!</v>
      </c>
      <c r="OB52" s="170" t="e">
        <f ca="1">IF($NA52 &lt;=$NY52, MIN(Control!$C$72, $NY52-$NA52), 0)</f>
        <v>#DIV/0!</v>
      </c>
      <c r="OC52" s="168" t="e">
        <f t="shared" ca="1" si="100"/>
        <v>#DIV/0!</v>
      </c>
      <c r="OD52" s="168" t="e">
        <f t="shared" ca="1" si="182"/>
        <v>#DIV/0!</v>
      </c>
      <c r="OE52" s="170">
        <f ca="1">Control!$C$73*$I52</f>
        <v>0</v>
      </c>
      <c r="OF52" s="176" t="e">
        <f t="shared" ca="1" si="101"/>
        <v>#DIV/0!</v>
      </c>
      <c r="OG52" s="168" t="e">
        <f t="shared" ca="1" si="102"/>
        <v>#DIV/0!</v>
      </c>
      <c r="OH52" s="168" t="e">
        <f t="shared" ca="1" si="103"/>
        <v>#DIV/0!</v>
      </c>
      <c r="OI52" s="168" t="e">
        <f t="shared" ca="1" si="104"/>
        <v>#DIV/0!</v>
      </c>
      <c r="OJ52" s="168" t="e">
        <f t="shared" ca="1" si="105"/>
        <v>#DIV/0!</v>
      </c>
      <c r="OK52" s="204" t="e">
        <f t="shared" ca="1" si="183"/>
        <v>#DIV/0!</v>
      </c>
      <c r="OL52" s="177">
        <f>Control!$C$127</f>
        <v>0.15</v>
      </c>
      <c r="OM52" s="182" t="e">
        <f t="shared" ca="1" si="106"/>
        <v>#N/A</v>
      </c>
      <c r="ON52" s="177">
        <f>Control!$C$128</f>
        <v>0.35</v>
      </c>
      <c r="OO52" s="182" t="e">
        <f t="shared" ca="1" si="107"/>
        <v>#N/A</v>
      </c>
      <c r="OP52" s="138">
        <f t="shared" ca="1" si="184"/>
        <v>0</v>
      </c>
      <c r="OQ52" s="138" t="e">
        <f t="shared" ca="1" si="211"/>
        <v>#DIV/0!</v>
      </c>
      <c r="OR52" s="138" t="e">
        <f t="shared" ca="1" si="185"/>
        <v>#DIV/0!</v>
      </c>
      <c r="OS52" s="137" t="e">
        <f t="shared" ca="1" si="212"/>
        <v>#DIV/0!</v>
      </c>
      <c r="OT52" s="139" t="e">
        <f t="shared" ca="1" si="213"/>
        <v>#DIV/0!</v>
      </c>
      <c r="OU52" s="138" t="e">
        <f t="shared" ca="1" si="214"/>
        <v>#N/A</v>
      </c>
      <c r="OV52" s="138" t="e">
        <f t="shared" ca="1" si="215"/>
        <v>#DIV/0!</v>
      </c>
      <c r="OW52" s="138" t="e">
        <f t="shared" ca="1" si="186"/>
        <v>#DIV/0!</v>
      </c>
      <c r="OX52" s="138" t="e">
        <f t="shared" ca="1" si="187"/>
        <v>#DIV/0!</v>
      </c>
      <c r="OY52" s="138" t="e">
        <f t="shared" ca="1" si="188"/>
        <v>#DIV/0!</v>
      </c>
      <c r="OZ52" s="138" t="e">
        <f t="shared" ca="1" si="108"/>
        <v>#DIV/0!</v>
      </c>
      <c r="PA52" s="138" t="e">
        <f t="shared" ca="1" si="109"/>
        <v>#DIV/0!</v>
      </c>
      <c r="PB52" s="55">
        <f>IF(Control!$C$61="T", IF(Control!$C$65="F", IF($AH$6-Control!$C$60&lt;0,0,1), IF(365+$AH$6-Control!$C$60&lt;0,0,1)),0)</f>
        <v>0</v>
      </c>
      <c r="PC52" s="55">
        <f ca="1">IF(Control!$C$65="F", IF($AH$6-$HF52&lt;0,0,1), IF(365+$AH$6-$HF52&lt;0,0,1))</f>
        <v>1</v>
      </c>
      <c r="PD52" s="444">
        <f>Control!$C$118</f>
        <v>1500</v>
      </c>
      <c r="PE52" s="180" t="e">
        <f t="shared" ca="1" si="110"/>
        <v>#N/A</v>
      </c>
      <c r="PF52" s="445">
        <f t="shared" ca="1" si="189"/>
        <v>0.71612369323045078</v>
      </c>
      <c r="PT52" s="186"/>
      <c r="PU52" s="186"/>
      <c r="PV52" s="94"/>
      <c r="PW52" s="94"/>
      <c r="PX52" s="94"/>
      <c r="PY52" s="94"/>
      <c r="PZ52" s="94"/>
      <c r="QA52" s="94"/>
      <c r="QB52" s="94"/>
      <c r="QC52" s="94"/>
      <c r="QD52" s="94"/>
      <c r="QE52" s="94"/>
      <c r="QF52" s="94"/>
      <c r="QG52" s="94"/>
      <c r="QH52" s="94"/>
      <c r="QI52" s="94"/>
      <c r="QJ52" s="94"/>
      <c r="QK52" s="94"/>
      <c r="QL52" s="94"/>
      <c r="QM52" s="94"/>
      <c r="QN52" s="94"/>
      <c r="QO52" s="94"/>
      <c r="QP52" s="94"/>
    </row>
    <row r="53" spans="1:458" s="2" customFormat="1" x14ac:dyDescent="0.2">
      <c r="A53" s="395">
        <v>17</v>
      </c>
      <c r="B53" s="396">
        <v>2</v>
      </c>
      <c r="C53" s="387">
        <f ca="1">Weather_data!$B52</f>
        <v>0</v>
      </c>
      <c r="D53" s="388">
        <f ca="1">Weather_data!$F52</f>
        <v>0</v>
      </c>
      <c r="E53" s="388">
        <f ca="1">Weather_data!$E52</f>
        <v>0</v>
      </c>
      <c r="F53" s="388">
        <f t="shared" ca="1" si="111"/>
        <v>0</v>
      </c>
      <c r="G53" s="388">
        <f ca="1">AVERAGE($D53:$E53)+Control!$B$9</f>
        <v>0</v>
      </c>
      <c r="H53" s="388">
        <f ca="1">Weather_data!$G52</f>
        <v>0</v>
      </c>
      <c r="I53" s="388">
        <f ca="1">Weather_data!$I52</f>
        <v>0</v>
      </c>
      <c r="J53" s="388">
        <f ca="1">Weather_data!$H52</f>
        <v>0</v>
      </c>
      <c r="K53" s="389">
        <f ca="1">Weather_data!$D52</f>
        <v>0</v>
      </c>
      <c r="L53" s="388" t="e">
        <f t="shared" ca="1" si="112"/>
        <v>#N/A</v>
      </c>
      <c r="M53" s="388" t="e">
        <f t="shared" ca="1" si="0"/>
        <v>#N/A</v>
      </c>
      <c r="N53" s="388">
        <f t="shared" ca="1" si="1"/>
        <v>-3.5348252450755229E-3</v>
      </c>
      <c r="O53" s="388">
        <f t="shared" ca="1" si="113"/>
        <v>3.5348252450755228E-2</v>
      </c>
      <c r="P53" s="390">
        <v>3</v>
      </c>
      <c r="Q53" s="388">
        <f ca="1">MAX($G53-Control!$C$107,0)</f>
        <v>0</v>
      </c>
      <c r="R53" s="388">
        <f t="shared" ca="1" si="114"/>
        <v>0</v>
      </c>
      <c r="S53" s="388">
        <f t="shared" ca="1" si="2"/>
        <v>0</v>
      </c>
      <c r="T53" s="388">
        <f t="shared" ca="1" si="3"/>
        <v>0</v>
      </c>
      <c r="U53" s="59">
        <f t="shared" ca="1" si="4"/>
        <v>0</v>
      </c>
      <c r="V53" s="391">
        <f ca="1">MAX(0,MIN(Control!$C$100-Control!$C$99,$G53-Control!$C$99)*Control!$C$63)</f>
        <v>0</v>
      </c>
      <c r="W53" s="388">
        <f t="shared" ca="1" si="190"/>
        <v>0</v>
      </c>
      <c r="X53" s="388">
        <f t="shared" ca="1" si="115"/>
        <v>0.6110000000000001</v>
      </c>
      <c r="Y53" s="388">
        <f t="shared" ca="1" si="116"/>
        <v>0</v>
      </c>
      <c r="Z53" s="388">
        <f t="shared" ca="1" si="117"/>
        <v>0.61058800000000002</v>
      </c>
      <c r="AA53" s="388">
        <f t="shared" ca="1" si="5"/>
        <v>0.6018</v>
      </c>
      <c r="AB53" s="388">
        <f ca="1">101.3*EXP(-0.034*Control!$C$66/($G53+273))</f>
        <v>100.69623283836242</v>
      </c>
      <c r="AC53" s="392">
        <f t="shared" ca="1" si="6"/>
        <v>4.3460251046025113E-2</v>
      </c>
      <c r="AD53" s="392">
        <f t="shared" ca="1" si="7"/>
        <v>4.4450382862832649E-2</v>
      </c>
      <c r="AE53" s="388">
        <f t="shared" ca="1" si="8"/>
        <v>0</v>
      </c>
      <c r="AF53" s="388">
        <f ca="1">MAX(0,$G53-Control!$C$92)</f>
        <v>0</v>
      </c>
      <c r="AG53" s="393">
        <f t="shared" ca="1" si="118"/>
        <v>48</v>
      </c>
      <c r="AH53" s="389">
        <f t="shared" ca="1" si="9"/>
        <v>48</v>
      </c>
      <c r="AI53" s="388">
        <f t="shared" ca="1" si="119"/>
        <v>-0.21724453263143495</v>
      </c>
      <c r="AJ53" s="388">
        <f ca="1">IF(Control!$C$60&lt;=0,$HH53,$HI53)</f>
        <v>1</v>
      </c>
      <c r="AK53" s="388">
        <f t="shared" ca="1" si="10"/>
        <v>-0.55085460227327876</v>
      </c>
      <c r="AL53" s="388">
        <f t="shared" ca="1" si="11"/>
        <v>7.2136741025019544E-19</v>
      </c>
      <c r="AM53" s="388">
        <f t="shared" ca="1" si="12"/>
        <v>-0.55085460227327876</v>
      </c>
      <c r="AN53" s="388">
        <f t="shared" ca="1" si="13"/>
        <v>-0.20974932828243475</v>
      </c>
      <c r="AO53" s="388">
        <f ca="1">-0.10453/COS(Control!$B$8*PI()/180)*COS(AN53)</f>
        <v>-0.16606371296053038</v>
      </c>
      <c r="AP53" s="388">
        <f ca="1">ACOS(AO53-TAN(Control!$B$8*PI()/180)*TAN(AN53))</f>
        <v>1.4641837052005722</v>
      </c>
      <c r="AQ53" s="388">
        <f t="shared" ca="1" si="120"/>
        <v>0</v>
      </c>
      <c r="AR53" s="394">
        <f t="shared" ca="1" si="14"/>
        <v>0</v>
      </c>
      <c r="AS53" s="436">
        <f ca="1">IF(Control!$B$18=2,(IF(OR($AH53=Control!$B$175,$AH53=Control!$B$176,$AH53=Control!$B$177,$AH53=Control!$B$178,$AH53=Control!$B$179,$AH53=Control!$B$180,$AH53=Control!$B$181,$AH53=Control!$B$182,$AH53=Control!$B$183,$AH53=Control!$B$184,$AH53=Control!$B$185),1,0)),0)</f>
        <v>0</v>
      </c>
      <c r="AT53" s="436">
        <f>IF(Control!$B$20=8,IF(AND($AH53&gt;=Control!$B$172,$AH53&lt;=Control!$B$173),1,0),0)</f>
        <v>0</v>
      </c>
      <c r="AU53" s="436">
        <f>IF(Control!$B$20=8,IF($AV52=1,1*$AT53,IF($AT53=1,$AU52+1,$AU52)),0)</f>
        <v>0</v>
      </c>
      <c r="AV53" s="436">
        <f>IF(Control!$B$20=8,IF($AU53&gt;=Control!$B$174,1,0),0)</f>
        <v>0</v>
      </c>
      <c r="AW53" s="436">
        <f ca="1">IF(AND(Control!$B$18=2,Control!$B$171=1), $AV53, $AS53)</f>
        <v>0</v>
      </c>
      <c r="AX53" s="436" t="e">
        <f ca="1">IF(AND(Control!$B$18=1,$EU53&gt;=Control!$B$19),-$AY53,IF(AND(Control!$B$18=2,$AW53=1,$EU53&gt;$DS53),-$AY53, IF(Control!$C$108=0,0, IF(Control!$C$108&lt;&gt;0,1))))</f>
        <v>#N/A</v>
      </c>
      <c r="AY53" s="436" t="e">
        <f t="shared" ca="1" si="121"/>
        <v>#N/A</v>
      </c>
      <c r="AZ53" s="436" t="e">
        <f ca="1">IF(AND(Control!$B$18=1,$EB53&gt;Control!$B$19),$AZ52+1, IF(AND(Control!$B$18=2, $AW53=1, $EB53&gt;$DS53), $AZ52+1,$AZ52))</f>
        <v>#N/A</v>
      </c>
      <c r="BA53" s="587">
        <f>IF(Control!$C$81=0,1,IF($AH53&gt;=Control!$C$82,1,0))</f>
        <v>1</v>
      </c>
      <c r="BB53" s="140" t="e">
        <f ca="1">IF($BA53&gt;$BA52,Control!$C$83,IF($AW53&gt;0,$AW53*Control!$C$84,IF(AND(Control!$B$18=1,EN52&lt;&gt;0),Control!$C$84,0)))</f>
        <v>#N/A</v>
      </c>
      <c r="BC53" s="140" t="e">
        <f t="shared" ca="1" si="122"/>
        <v>#N/A</v>
      </c>
      <c r="BD53" s="140" t="e">
        <f ca="1">BC53*IF(OR($G53&lt;Control!$C$92,$G53&gt;Control!$C$95),0,IF(AND($G53&gt;=Control!$C$92,$G53&lt;=Control!$C$93),$G53-Control!$C$92,IF(AND($G53&gt;Control!$C$93,$G53&lt;=Control!$C$94),Control!$C$93-Control!$C$92,IF(AND($G53&gt;Control!$C$94,$G53&lt;=Control!$C$95),(Control!$C$93-Control!$C$92)*(Control!$C$94-$G53)/(Control!$C$95-Control!$C$94)))))</f>
        <v>#N/A</v>
      </c>
      <c r="BE53" s="140" t="e">
        <f t="shared" ca="1" si="123"/>
        <v>#N/A</v>
      </c>
      <c r="BF53" s="140" t="e">
        <f ca="1">IF($BE53&lt;=Control!$C$86,$BE53,Control!$C$86-$BE53)</f>
        <v>#N/A</v>
      </c>
      <c r="BG53" s="140" t="e">
        <f ca="1">IF(AND($AW53=1,Control!$C$84&lt;9),1,IF($BE53&gt;=Control!$C$86,0,$BC53))</f>
        <v>#N/A</v>
      </c>
      <c r="BH53" s="404" t="e">
        <f ca="1">IF($BG53=0,0,IF($BE53&lt;=Control!$C$86,$BC53*9*($BF53/Control!$C$86),0))</f>
        <v>#N/A</v>
      </c>
      <c r="BI53" s="140" t="e">
        <f ca="1">IF($BG53=1,0,IF($BE53&gt;=Control!$C$86,1,IF(AND($BB53&lt;21,$BB53&gt;=9),1,$BM52)))</f>
        <v>#N/A</v>
      </c>
      <c r="BJ53" s="140" t="e">
        <f ca="1">IF($BF53&lt;0,-$BF53,$BI53*IF(OR($G53&lt;Control!$C$92,$G53&gt;Control!$C$95),0,IF(AND($G53&gt;=Control!$C$92,$G53&lt;=Control!$C$93),$G53-Control!$C$92,IF(AND($G53&gt;Control!$C$93,$G53&lt;=Control!$C$94),Control!$C$93-Control!$C$92,IF(AND($G53&gt;Control!$C$94,$G53&lt;=Control!$C$95),(Control!$C$93-Control!$C$92)*(Control!$C$94-$G53)/(Control!$C$95-Control!$C$94))))))</f>
        <v>#N/A</v>
      </c>
      <c r="BK53" s="140" t="e">
        <f t="shared" ca="1" si="124"/>
        <v>#N/A</v>
      </c>
      <c r="BL53" s="140" t="e">
        <f ca="1">IF($BK53&lt;=Control!$C$87,$BK53,Control!$C$87-$BK53)</f>
        <v>#N/A</v>
      </c>
      <c r="BM53" s="140" t="e">
        <f ca="1">IF(AND($BB53&gt;=9,$BB53&lt;21),1,IF($BK53&gt;=Control!$C$87,0,$BI53))</f>
        <v>#N/A</v>
      </c>
      <c r="BN53" s="404" t="e">
        <f ca="1">IF($BM53=0,0,IF($BK53&lt;=Control!$C$87,$BI53*(9+(21-9)*($BL53/Control!$C$87)),0))</f>
        <v>#N/A</v>
      </c>
      <c r="BO53" s="140" t="e">
        <f ca="1">IF($BM53=1,0,IF($BK53&gt;=Control!$C$87,1,IF(AND($BB53&lt;30,$BB53&gt;=21),1,$BS52)))</f>
        <v>#N/A</v>
      </c>
      <c r="BP53" s="140" t="e">
        <f ca="1">IF($BL53&lt;0,-$BL53,$BO53*IF(OR($G53&lt;Control!$C$92,$G53&gt;Control!$C$95),0,IF(AND($G53&gt;=Control!$C$92,$G53&lt;=Control!$C$93),$G53-Control!$C$92,IF(AND($G53&gt;Control!$C$93,$G53&lt;=Control!$C$94),Control!$C$93-Control!$C$92,IF(AND($G53&gt;Control!$C$94,$G53&lt;=Control!$C$95),(Control!$C$93-Control!$C$92)*(Control!$C$94-$G53)/(Control!$C$95-Control!$C$94))))))</f>
        <v>#N/A</v>
      </c>
      <c r="BQ53" s="140" t="e">
        <f t="shared" ca="1" si="15"/>
        <v>#N/A</v>
      </c>
      <c r="BR53" s="140" t="e">
        <f ca="1">IF($BQ53&lt;=Control!$C$88,$BQ53,Control!$C$88-$BQ53)</f>
        <v>#N/A</v>
      </c>
      <c r="BS53" s="140" t="e">
        <f ca="1">IF(AND($BB53&gt;=21,$BB53&lt;30),1,IF($BQ53&gt;=Control!$C$88,0,$BO53))</f>
        <v>#N/A</v>
      </c>
      <c r="BT53" s="404" t="e">
        <f ca="1">IF($BS53=0,0,IF($BQ53&lt;=Control!$C$88,$BO53*(21+(30-21)*(BR53/Control!$C$88)),0))</f>
        <v>#N/A</v>
      </c>
      <c r="BU53" s="140" t="e">
        <f ca="1">IF(BG53+BM53+BS53=1,0,IF(OR(AND($BB53&lt;60,$BB53&gt;=30),$BQ53&gt;=Control!$C$88),1*$BA53,$BY52))</f>
        <v>#N/A</v>
      </c>
      <c r="BV53" s="140" t="e">
        <f ca="1">IF($BR53&lt;0,-$BR53,$BU53*IF(OR($G53&lt;Control!$C$92,$G53&gt;Control!$C$95),0,IF(AND($G53&gt;=Control!$C$92,$G53&lt;=Control!$C$93),$G53-Control!$C$92,IF(AND($G53&gt;Control!$C$93,$G53&lt;=Control!$C$94),Control!$C$93-Control!$C$92,IF(AND($G53&gt;Control!$C$94,$G53&lt;=Control!$C$95),(Control!$C$93-Control!$C$92)*(Control!$C$94-$G53)/(Control!$C$95-Control!$C$94))))))</f>
        <v>#N/A</v>
      </c>
      <c r="BW53" s="140" t="e">
        <f t="shared" ca="1" si="16"/>
        <v>#N/A</v>
      </c>
      <c r="BX53" s="140" t="e">
        <f ca="1">IF($BW53&lt;=Control!$C$89,$BW53,Control!$C$89-$BW53)</f>
        <v>#N/A</v>
      </c>
      <c r="BY53" s="140" t="e">
        <f ca="1">IF(AND($AJ53&gt;=30,$AJ53&lt;60),1,IF($BW53&gt;=Control!$C$89,0,$BU53))</f>
        <v>#N/A</v>
      </c>
      <c r="BZ53" s="404" t="e">
        <f ca="1">IF($BY53=0,0,IF($BW53&lt;=Control!$C$89,$BU53*(30+(60-30)*(BX53/Control!$C$89)),0))</f>
        <v>#N/A</v>
      </c>
      <c r="CA53" s="140" t="e">
        <f ca="1">IF($BG53+$BM53+$BS53+$BY53=1,0,IF(OR(AND($BB53&lt;65,$BB53&gt;=60),$BW53&gt;=Control!$C$89),1*$BA53,$CE52))</f>
        <v>#N/A</v>
      </c>
      <c r="CB53" s="140" t="e">
        <f ca="1">IF($BX53&lt;0,-$BX53,$CA53*IF(OR($G53&lt;Control!$C$92,$G53&gt;Control!$C$95),0,IF(AND($G53&gt;=Control!$C$92,$G53&lt;=Control!$C$93),$G53-Control!$C$92,IF(AND($G53&gt;Control!$C$93,$G53&lt;=Control!$C$94),Control!$C$93-Control!$C$92,IF(AND($G53&gt;Control!$C$94,$G53&lt;=Control!$C$95),(Control!$C$93-Control!$C$92)*(Control!$C$94-$G53)/(Control!$C$95-Control!$C$94))))))</f>
        <v>#N/A</v>
      </c>
      <c r="CC53" s="140" t="e">
        <f t="shared" ca="1" si="125"/>
        <v>#N/A</v>
      </c>
      <c r="CD53" s="140" t="e">
        <f ca="1">IF($CC53&lt;=Control!$C$90,$CC53,Control!$C$90-$CC53)</f>
        <v>#N/A</v>
      </c>
      <c r="CE53" s="140" t="e">
        <f ca="1">IF(AND($BB53&gt;=60,$BB53&lt;65),1,IF($CC53&gt;=Control!$C$90,0,$CA53))</f>
        <v>#N/A</v>
      </c>
      <c r="CF53" s="404" t="e">
        <f ca="1">IF($CE53=0,0,IF($CC53&lt;=Control!$C$90,$CA53*(60+(65-60)*(CD53/Control!$C$90)),0))</f>
        <v>#N/A</v>
      </c>
      <c r="CG53" s="140" t="e">
        <f ca="1">IF($BG53+$BM53+$BS53+$BY53+$CE53=1,0,IF(OR(AND($BB53&lt;90,$BB53&gt;=65),$CC53&gt;=Control!$C$90),$BA53,$CK52))</f>
        <v>#N/A</v>
      </c>
      <c r="CH53" s="140" t="e">
        <f ca="1">IF($CD53&lt;0,-$CD53,$CG53*IF(OR($G53&lt;Control!$C$92,$G53&gt;Control!$C$95),0,IF(AND($G53&gt;=Control!$C$92,$G53&lt;=Control!$C$93),$G53-Control!$C$92,IF(AND($G53&gt;Control!$C$93,$G53&lt;=Control!$C$94),Control!$C$93-Control!$C$92,IF(AND($G53&gt;Control!$C$94,$G53&lt;=Control!$C$95),(Control!$C$93-Control!$C$92)*(Control!$C$94-$G53)/(Control!$C$95-Control!$C$94))))))</f>
        <v>#N/A</v>
      </c>
      <c r="CI53" s="140" t="e">
        <f t="shared" ca="1" si="126"/>
        <v>#N/A</v>
      </c>
      <c r="CJ53" s="140" t="e">
        <f ca="1">IF($CI53&lt;=Control!$C$91,$CI53,Control!$C$91-$CI53)</f>
        <v>#N/A</v>
      </c>
      <c r="CK53" s="140" t="e">
        <f ca="1">IF(AND($BB53&gt;=65,$BB53&lt;90),1,IF($CI53&gt;=Control!$C$91,0,$CG53))</f>
        <v>#N/A</v>
      </c>
      <c r="CL53" s="404" t="e">
        <f ca="1">IF($CK53=0,0,IF($CI53&lt;=Control!$C$91,$CG53*(65+(90-65)*($CJ53/Control!$C$91)),0))</f>
        <v>#N/A</v>
      </c>
      <c r="CM53" s="140" t="e">
        <f ca="1">IF($BG53+$BM53+$BS53+$BY53+$CE53+$CK53=1,0,IF(OR($BB53&gt;=90,$CI53&gt;=Control!$C$91),$BA53,$CM52))</f>
        <v>#N/A</v>
      </c>
      <c r="CN53" s="140" t="e">
        <f t="shared" ca="1" si="127"/>
        <v>#N/A</v>
      </c>
      <c r="CO53" s="140" t="e">
        <f t="shared" ca="1" si="128"/>
        <v>#N/A</v>
      </c>
      <c r="CP53" s="140" t="e">
        <f t="shared" ca="1" si="129"/>
        <v>#N/A</v>
      </c>
      <c r="CQ53" s="141" t="e">
        <f ca="1">VLOOKUP($CP53,Control!$B$86:$G$91,6)</f>
        <v>#N/A</v>
      </c>
      <c r="CR53" s="141" t="e">
        <f ca="1">(1-$CQ53)*VLOOKUP($CP53,Control!$B$86:$D$91,3)</f>
        <v>#N/A</v>
      </c>
      <c r="CS53" s="141" t="e">
        <f ca="1">(1-$CQ53)*VLOOKUP($CP53,Control!$B$86:$E$91,4)</f>
        <v>#N/A</v>
      </c>
      <c r="CT53" s="141" t="e">
        <f ca="1">(1-$CQ53)*VLOOKUP($CP53,Control!$B$86:$F$91,5)</f>
        <v>#N/A</v>
      </c>
      <c r="CU53" s="141">
        <f t="shared" ca="1" si="130"/>
        <v>0</v>
      </c>
      <c r="CV53" s="583">
        <f t="shared" ca="1" si="131"/>
        <v>0</v>
      </c>
      <c r="CW53" s="142">
        <f t="shared" ca="1" si="132"/>
        <v>48</v>
      </c>
      <c r="CX53" s="612" t="e">
        <f ca="1">IF(Control!$C$114=1,(MIN(Control!$C$120*(IF($NT53-0.01&lt;0,0,1)),Control!$C$119-$CY53)))</f>
        <v>#DIV/0!</v>
      </c>
      <c r="CY53" s="143" t="e">
        <f t="shared" ca="1" si="133"/>
        <v>#N/A</v>
      </c>
      <c r="CZ53" s="144">
        <f t="shared" ca="1" si="17"/>
        <v>0</v>
      </c>
      <c r="DA53" s="144">
        <f t="shared" ca="1" si="18"/>
        <v>0</v>
      </c>
      <c r="DB53" s="144" t="e">
        <f t="shared" ca="1" si="19"/>
        <v>#N/A</v>
      </c>
      <c r="DC53" s="144" t="e">
        <f t="shared" ca="1" si="20"/>
        <v>#N/A</v>
      </c>
      <c r="DD53" s="144" t="e">
        <f t="shared" ca="1" si="216"/>
        <v>#N/A</v>
      </c>
      <c r="DE53" s="143" t="e">
        <f t="shared" ca="1" si="135"/>
        <v>#N/A</v>
      </c>
      <c r="DF53" s="145" t="e">
        <f ca="1">$DR53*EXP(-Control!$C$158*(1-$KH53))</f>
        <v>#N/A</v>
      </c>
      <c r="DG53" s="146" t="e">
        <f ca="1">IF(Control!$C$114=1, $DF53*$EY53, 0)</f>
        <v>#N/A</v>
      </c>
      <c r="DH53" s="147" t="e">
        <f t="shared" ca="1" si="136"/>
        <v>#N/A</v>
      </c>
      <c r="DI53" s="144" t="e">
        <f t="shared" ca="1" si="191"/>
        <v>#N/A</v>
      </c>
      <c r="DJ53" s="147" t="e">
        <f ca="1">$EF53*Control!$C$109</f>
        <v>#N/A</v>
      </c>
      <c r="DK53" s="144" t="e">
        <f t="shared" ca="1" si="137"/>
        <v>#N/A</v>
      </c>
      <c r="DL53" s="144" t="e">
        <f t="shared" ca="1" si="21"/>
        <v>#N/A</v>
      </c>
      <c r="DM53" s="144" t="e">
        <f ca="1">IF(Control!$C$114=1, (1-EXP(-Control!$C$96*$DK53))*$AR53, 0)</f>
        <v>#N/A</v>
      </c>
      <c r="DN53" s="144">
        <f t="shared" ca="1" si="138"/>
        <v>0</v>
      </c>
      <c r="DO53" s="148">
        <f>Control!$C$97</f>
        <v>4</v>
      </c>
      <c r="DP53" s="145" t="e">
        <f t="shared" ca="1" si="139"/>
        <v>#N/A</v>
      </c>
      <c r="DQ53" s="145" t="e">
        <f ca="1">IF(AND($CP53&gt;=0,$CP53&lt;=90),Control!$C$111,Control!$C$111)</f>
        <v>#N/A</v>
      </c>
      <c r="DR53" s="145" t="e">
        <f t="shared" ca="1" si="22"/>
        <v>#N/A</v>
      </c>
      <c r="DS53" s="143" t="e">
        <f ca="1">Control!$B$22/$DR53</f>
        <v>#N/A</v>
      </c>
      <c r="DT53" s="149" t="e">
        <f ca="1">IF(AND(Control!$C$114=1,$KH53&lt;1),$IM53*$DF53, 0)</f>
        <v>#N/A</v>
      </c>
      <c r="DU53" s="144" t="e">
        <f t="shared" ca="1" si="192"/>
        <v>#N/A</v>
      </c>
      <c r="DV53" s="144">
        <f ca="1">IF($G53-Control!$C$107&lt;=0, 0, 0.83*LN(MAX($G53, 3))-0.8924)</f>
        <v>0</v>
      </c>
      <c r="DW53" s="144" t="e">
        <f t="shared" ca="1" si="23"/>
        <v>#N/A</v>
      </c>
      <c r="DX53" s="150" t="e">
        <f ca="1">MAX(0.01*(1+$CU53/Control!$C$102),0.05*($DK53-Control!$C$97)/Control!$C$97)</f>
        <v>#N/A</v>
      </c>
      <c r="DY53" s="151" t="e">
        <f ca="1">IF(Control!$C$114=1, $DI53*$FS53, 0)</f>
        <v>#N/A</v>
      </c>
      <c r="DZ53" s="196" t="e">
        <f t="shared" ca="1" si="140"/>
        <v>#N/A</v>
      </c>
      <c r="EA53" s="152">
        <f t="shared" ca="1" si="141"/>
        <v>48</v>
      </c>
      <c r="EB53" s="153" t="e">
        <f t="shared" ca="1" si="217"/>
        <v>#N/A</v>
      </c>
      <c r="EC53" s="153" t="e">
        <f t="shared" ca="1" si="142"/>
        <v>#N/A</v>
      </c>
      <c r="ED53" s="154" t="e">
        <f ca="1">IF(Control!$C$114=1, $HM53*$FY53-$FD53, 0)</f>
        <v>#DIV/0!</v>
      </c>
      <c r="EE53" s="155" t="e">
        <f ca="1">IF(Control!$C$114=1, $HM53*$FZ53-$FF53, 0)</f>
        <v>#DIV/0!</v>
      </c>
      <c r="EF53" s="153" t="e">
        <f t="shared" ca="1" si="193"/>
        <v>#N/A</v>
      </c>
      <c r="EG53" s="155" t="e">
        <f ca="1">IF(Control!$C$114=1, $GX53*$FW53-$FI53, 0)</f>
        <v>#DIV/0!</v>
      </c>
      <c r="EH53" s="153" t="e">
        <f t="shared" ca="1" si="143"/>
        <v>#N/A</v>
      </c>
      <c r="EI53" s="156" t="e">
        <f t="shared" ca="1" si="144"/>
        <v>#N/A</v>
      </c>
      <c r="EJ53" s="155" t="e">
        <f ca="1">IF(Control!$C$114=1, $HM53*$GB53, 0)</f>
        <v>#DIV/0!</v>
      </c>
      <c r="EK53" s="153" t="e">
        <f t="shared" ca="1" si="194"/>
        <v>#N/A</v>
      </c>
      <c r="EL53" s="153" t="e">
        <f t="shared" ca="1" si="24"/>
        <v>#N/A</v>
      </c>
      <c r="EM53" s="153" t="e">
        <f t="shared" ca="1" si="25"/>
        <v>#N/A</v>
      </c>
      <c r="EN53" s="153" t="e">
        <f ca="1">IF(Control!$C$108=1,IF(AND(Control!$B$18=1,$EB53&gt;=Control!$B$19),$EB53-$DS53,IF(AND(Control!$B$18=2,$AW53=1,$EB53&gt;$DS53),$EB53-$DS53,0)))</f>
        <v>#N/A</v>
      </c>
      <c r="EO53" s="153" t="e">
        <f ca="1">IF(Control!$C$108=1,IF(AND(Control!$B$18=1,$EB53&gt;=Control!$B$19),$EF53,IF(AND(Control!$B$18=2,$AW53=1),$EF53,0)))</f>
        <v>#N/A</v>
      </c>
      <c r="EP53" s="153" t="e">
        <f ca="1">IF(Control!$C$108=1,IF(AND(Control!$B$18=1,$EB53&gt;=Control!$B$19),$EK53,IF(AND(Control!$B$18=2,$AW53=1),$EK53,0)))</f>
        <v>#N/A</v>
      </c>
      <c r="EQ53" s="153" t="e">
        <f t="shared" ca="1" si="145"/>
        <v>#N/A</v>
      </c>
      <c r="ER53" s="153" t="e">
        <f t="shared" ca="1" si="231"/>
        <v>#N/A</v>
      </c>
      <c r="ES53" s="153" t="e">
        <f t="shared" ca="1" si="196"/>
        <v>#N/A</v>
      </c>
      <c r="ET53" s="153" t="e">
        <f t="shared" ca="1" si="197"/>
        <v>#N/A</v>
      </c>
      <c r="EU53" s="153" t="e">
        <f t="shared" ca="1" si="198"/>
        <v>#N/A</v>
      </c>
      <c r="EV53" s="153" t="e">
        <f t="shared" ca="1" si="146"/>
        <v>#N/A</v>
      </c>
      <c r="EW53" s="153" t="e">
        <f t="shared" ca="1" si="218"/>
        <v>#N/A</v>
      </c>
      <c r="EX53" s="153" t="e">
        <f t="shared" ca="1" si="26"/>
        <v>#N/A</v>
      </c>
      <c r="EY53" s="157" t="e">
        <f t="shared" ca="1" si="147"/>
        <v>#DIV/0!</v>
      </c>
      <c r="EZ53" s="154" t="e">
        <f t="shared" ca="1" si="27"/>
        <v>#DIV/0!</v>
      </c>
      <c r="FA53" s="153" t="e">
        <f t="shared" ca="1" si="199"/>
        <v>#N/A</v>
      </c>
      <c r="FB53" s="153" t="e">
        <f t="shared" ca="1" si="28"/>
        <v>#N/A</v>
      </c>
      <c r="FC53" s="193" t="e">
        <f t="shared" ca="1" si="29"/>
        <v>#N/A</v>
      </c>
      <c r="FD53" s="158" t="e">
        <f t="shared" ca="1" si="200"/>
        <v>#N/A</v>
      </c>
      <c r="FE53" s="158" t="e">
        <f t="shared" ca="1" si="148"/>
        <v>#N/A</v>
      </c>
      <c r="FF53" s="159" t="e">
        <f t="shared" ca="1" si="30"/>
        <v>#N/A</v>
      </c>
      <c r="FG53" s="160" t="e">
        <f t="shared" ca="1" si="149"/>
        <v>#N/A</v>
      </c>
      <c r="FH53" s="158" t="e">
        <f t="shared" ca="1" si="150"/>
        <v>#N/A</v>
      </c>
      <c r="FI53" s="159" t="e">
        <f t="shared" ca="1" si="31"/>
        <v>#N/A</v>
      </c>
      <c r="FJ53" s="160" t="e">
        <f t="shared" ca="1" si="151"/>
        <v>#N/A</v>
      </c>
      <c r="FK53" s="160" t="e">
        <f t="shared" ca="1" si="32"/>
        <v>#N/A</v>
      </c>
      <c r="FL53" s="160" t="e">
        <f t="shared" ca="1" si="229"/>
        <v>#N/A</v>
      </c>
      <c r="FM53" s="160" t="e">
        <f t="shared" ca="1" si="33"/>
        <v>#N/A</v>
      </c>
      <c r="FN53" s="158">
        <f t="shared" ca="1" si="219"/>
        <v>0.01</v>
      </c>
      <c r="FO53" s="160">
        <f>Control!$C$101</f>
        <v>50</v>
      </c>
      <c r="FP53" s="150" t="e">
        <f t="shared" ca="1" si="34"/>
        <v>#N/A</v>
      </c>
      <c r="FQ53" s="150" t="e">
        <f ca="1">MAX(0,(Control!$C$112*(($DK53-Control!$C$97)/Control!$C$97)))</f>
        <v>#N/A</v>
      </c>
      <c r="FR53" s="150" t="e">
        <f ca="1">(1-$NT53)*Control!$C$113</f>
        <v>#DIV/0!</v>
      </c>
      <c r="FS53" s="198" t="e">
        <f t="shared" ca="1" si="35"/>
        <v>#N/A</v>
      </c>
      <c r="FT53" s="161">
        <f t="shared" ca="1" si="152"/>
        <v>48</v>
      </c>
      <c r="FU53" s="162" t="e">
        <f ca="1">IF(Control!$B$34=1,VLOOKUP($CP53,Control!$B$86:$G$91,6),Control!$B$35)</f>
        <v>#N/A</v>
      </c>
      <c r="FV53" s="162" t="e">
        <f t="shared" ca="1" si="36"/>
        <v>#DIV/0!</v>
      </c>
      <c r="FW53" s="162" t="e">
        <f ca="1">IF(Control!$B$31=1,$FU53*$FV53,  $FU53)</f>
        <v>#N/A</v>
      </c>
      <c r="FX53" s="162" t="e">
        <f ca="1">IF(Control!$B$34=1,VLOOKUP($CP53,Control!$B$86:$G$91,3),Control!$B$36)</f>
        <v>#N/A</v>
      </c>
      <c r="FY53" s="162" t="e">
        <f t="shared" ca="1" si="37"/>
        <v>#N/A</v>
      </c>
      <c r="FZ53" s="162" t="e">
        <f ca="1">IF(Control!$B$34=1,VLOOKUP($CP53,Control!$B$86:$G$91,4),Control!$B$37)</f>
        <v>#N/A</v>
      </c>
      <c r="GA53" s="162" t="e">
        <f t="shared" ca="1" si="38"/>
        <v>#N/A</v>
      </c>
      <c r="GB53" s="162" t="e">
        <f ca="1">IF(Control!$B$34=1,VLOOKUP($CP53,Control!$B$86:$G$91,5),Control!$B$38)</f>
        <v>#N/A</v>
      </c>
      <c r="GC53" s="162" t="e">
        <f t="shared" ca="1" si="153"/>
        <v>#N/A</v>
      </c>
      <c r="GD53" s="162">
        <f t="shared" ca="1" si="39"/>
        <v>1</v>
      </c>
      <c r="GE53" s="162">
        <f t="shared" ca="1" si="40"/>
        <v>1</v>
      </c>
      <c r="GF53" s="162">
        <f ca="1">IF(AND(Control!$C$104=1, Control!$C$62="F"),$GE53,1)</f>
        <v>1</v>
      </c>
      <c r="GG53" s="162" t="e">
        <f ca="1">IF(Control!$B$16=40,0,IF(AND(Control!$B$16&gt;40,Control!$B$16&lt;=360),(Control!$B$16-40)*((1-0)/(360-40)),IF(AND(Control!$B$16&gt;360,Control!$B$16&lt;=720),(1+(Control!$B$16-360)*((1.25-1)/(720-360))),IF(AND(Control!$B$16&gt;720,Control!$B$16&lt;=1000),(1.25+(Control!$B$16-720)*((1.35-1.25)/(1000-720))),IF(AND(Control!$B$16&gt;1000,Control!$B$16&lt;=2000),(1.35+(Control!$B$16-1000)*0))))))</f>
        <v>#N/A</v>
      </c>
      <c r="GH53" s="162" t="e">
        <f t="shared" ca="1" si="41"/>
        <v>#N/A</v>
      </c>
      <c r="GI53" s="162">
        <f t="shared" ca="1" si="201"/>
        <v>0</v>
      </c>
      <c r="GJ53" s="162">
        <f t="shared" ca="1" si="42"/>
        <v>0</v>
      </c>
      <c r="GK53" s="162">
        <f t="shared" ca="1" si="220"/>
        <v>1</v>
      </c>
      <c r="GL53" s="162">
        <f t="shared" ca="1" si="43"/>
        <v>1</v>
      </c>
      <c r="GM53" s="162" t="e">
        <f ca="1">MAX(0,MIN(1,1-Control!$C$156*(1.0001-$KH53)^2))</f>
        <v>#N/A</v>
      </c>
      <c r="GN53" s="162" t="e">
        <f ca="1">IF(Control!$B$26=1,$KU53,$KX53)</f>
        <v>#N/A</v>
      </c>
      <c r="GO53" s="162" t="e">
        <f ca="1">IF($CP53&lt;=60,Control!$C$105,IF($CP53&gt;=90,Control!$C$106,Control!$C$105+($CP53-60)*((Control!$C$106-Control!$C$105)/(90-60))))</f>
        <v>#N/A</v>
      </c>
      <c r="GP53" s="162" t="e">
        <f t="shared" ca="1" si="154"/>
        <v>#N/A</v>
      </c>
      <c r="GQ53" s="162" t="e">
        <f t="shared" ca="1" si="155"/>
        <v>#N/A</v>
      </c>
      <c r="GR53" s="163" t="e">
        <f t="shared" ca="1" si="44"/>
        <v>#DIV/0!</v>
      </c>
      <c r="GS53" s="162" t="e">
        <f t="shared" ca="1" si="45"/>
        <v>#DIV/0!</v>
      </c>
      <c r="GT53" s="164" t="e">
        <f t="shared" ca="1" si="156"/>
        <v>#N/A</v>
      </c>
      <c r="GU53" s="162" t="e">
        <f t="shared" ca="1" si="157"/>
        <v>#N/A</v>
      </c>
      <c r="GV53" s="162" t="e">
        <f t="shared" ca="1" si="46"/>
        <v>#N/A</v>
      </c>
      <c r="GW53" s="162" t="e">
        <f t="shared" ca="1" si="221"/>
        <v>#DIV/0!</v>
      </c>
      <c r="GX53" s="162" t="e">
        <f t="shared" ca="1" si="228"/>
        <v>#DIV/0!</v>
      </c>
      <c r="GY53" s="162" t="e">
        <f t="shared" ca="1" si="158"/>
        <v>#DIV/0!</v>
      </c>
      <c r="GZ53" s="165" t="e">
        <f t="shared" ca="1" si="159"/>
        <v>#N/A</v>
      </c>
      <c r="HA53" s="162" t="e">
        <f ca="1">IF(Control!$C$114=1, $DI53*$FS53, 0)</f>
        <v>#N/A</v>
      </c>
      <c r="HB53" s="162" t="e">
        <f ca="1">$FA53/Control!$C$64</f>
        <v>#N/A</v>
      </c>
      <c r="HC53" s="162" t="e">
        <f t="shared" ca="1" si="222"/>
        <v>#DIV/0!</v>
      </c>
      <c r="HD53" s="162">
        <f ca="1">-ASIN(SIN(23.45*Control!$C$139)*COS(2*Control!$C$138*($AH53+10)/365))</f>
        <v>-0.21724453263143495</v>
      </c>
      <c r="HE53" s="165">
        <f t="shared" ca="1" si="160"/>
        <v>0</v>
      </c>
      <c r="HF53" s="166">
        <f ca="1">IF(AND(Control!$C$61="T",$HE53&gt;=Control!$C$103,Control!$C$114=0),$AH53,Control!$C$59)</f>
        <v>1</v>
      </c>
      <c r="HG53" s="166">
        <f ca="1">IF(AND(Control!$C$61="T",$HE53&gt;=Control!$C$103,Control!$C$114=0),$HF53,Control!$C$59)</f>
        <v>1</v>
      </c>
      <c r="HH53" s="165">
        <f ca="1">IF(AND(OR(Control!$C$60&lt;=0, $AH53= Control!$C$59, Control!$C$60 &gt;0, $AH53 = Control!$C$60)), Control!$C$59, IF(Control!$C$60&gt;0, 0))</f>
        <v>1</v>
      </c>
      <c r="HI53" s="165">
        <f ca="1">IF(AND(OR(Control!$C$60&lt;=0, $AH53= Control!$C$59, Control!$C$60 &gt;0, $AH53 = Control!$C$60)), Control!$C$60, IF(Control!$C$60&lt;=0, 0))</f>
        <v>0</v>
      </c>
      <c r="HJ53" s="166">
        <f ca="1">IF(AND(Control!$C$62="F",$CV53&gt;=Control!$C$102),$AH53,0)</f>
        <v>0</v>
      </c>
      <c r="HK53" s="165" t="e">
        <f t="shared" ca="1" si="202"/>
        <v>#N/A</v>
      </c>
      <c r="HL53" s="166">
        <f ca="1">IF(AND(Control!$C$61="T",$HE53&gt;=Control!$C$103,Control!$C$114=0),$HF53,0)</f>
        <v>0</v>
      </c>
      <c r="HM53" s="201" t="e">
        <f t="shared" ca="1" si="47"/>
        <v>#DIV/0!</v>
      </c>
      <c r="HN53" s="215">
        <f t="shared" ca="1" si="161"/>
        <v>48</v>
      </c>
      <c r="HO53" s="216" t="e">
        <f ca="1">IF(AND($CP53&gt;=0, $CP53&lt;=90), Control!$C$152, Control!$C$152)</f>
        <v>#N/A</v>
      </c>
      <c r="HP53" s="216" t="e">
        <f t="shared" ca="1" si="48"/>
        <v>#N/A</v>
      </c>
      <c r="HQ53" s="217" t="e">
        <f ca="1">IF(OR(Control!$B$26=1,Control!$B$26=2),$KV53,$KS53)</f>
        <v>#DIV/0!</v>
      </c>
      <c r="HR53" s="218" t="e">
        <f t="shared" ca="1" si="223"/>
        <v>#DIV/0!</v>
      </c>
      <c r="HS53" s="216" t="e">
        <f ca="1">Control!$C$154*$HP53</f>
        <v>#N/A</v>
      </c>
      <c r="HT53" s="216" t="e">
        <f ca="1">Control!$C$155*$HP53</f>
        <v>#N/A</v>
      </c>
      <c r="HU53" s="217" t="e">
        <f ca="1">Control!$C$161*$FI53</f>
        <v>#N/A</v>
      </c>
      <c r="HV53" s="218" t="e">
        <f t="shared" ca="1" si="162"/>
        <v>#N/A</v>
      </c>
      <c r="HW53" s="218" t="e">
        <f ca="1">Control!$C$160*$FF53+$IP53*$EO53</f>
        <v>#N/A</v>
      </c>
      <c r="HX53" s="218" t="e">
        <f t="shared" ca="1" si="203"/>
        <v>#N/A</v>
      </c>
      <c r="HY53" s="219" t="e">
        <f ca="1">IF(Control!$C$114=1, $EB53*$FS53, 0)</f>
        <v>#N/A</v>
      </c>
      <c r="HZ53" s="91" t="e">
        <f t="shared" ca="1" si="49"/>
        <v>#N/A</v>
      </c>
      <c r="IA53" s="220" t="e">
        <f ca="1">Control!$C$153*$HO53</f>
        <v>#N/A</v>
      </c>
      <c r="IB53" s="218" t="e">
        <f t="shared" ca="1" si="50"/>
        <v>#N/A</v>
      </c>
      <c r="IC53" s="220" t="e">
        <f ca="1">Control!$C$153*$HT53</f>
        <v>#N/A</v>
      </c>
      <c r="ID53" s="218" t="e">
        <f t="shared" ca="1" si="51"/>
        <v>#N/A</v>
      </c>
      <c r="IE53" s="221" t="e">
        <f ca="1">($EB53*Control!$C$159+$EF53*Control!$C$160)/(IF($GZ53&lt;&gt;0,$GZ53,1))</f>
        <v>#N/A</v>
      </c>
      <c r="IF53" s="216" t="e">
        <f t="shared" ca="1" si="52"/>
        <v>#N/A</v>
      </c>
      <c r="IG53" s="91">
        <f ca="1">IF(OR(Control!$B$198=$AH53,Control!$B$199=$AH53, Control!$B$200=$AH53, Control!$B$201=$AH53, Control!$B$202=$AH53, Control!$B$203=$AH53, Control!$B$204=$AH53, Control!$B$205=$AH53, Control!$B$206=$AH53, Control!$B$207=$AH53), 1, 0)</f>
        <v>0</v>
      </c>
      <c r="IH53" s="91">
        <f ca="1">IF($IG53=0,0, VLOOKUP($AH53,Control!$B$198:$C$207,2))</f>
        <v>0</v>
      </c>
      <c r="II53" s="222">
        <f t="shared" ca="1" si="163"/>
        <v>0</v>
      </c>
      <c r="IJ53" s="91">
        <f>Control!$C$121</f>
        <v>0.7</v>
      </c>
      <c r="IK53" s="218">
        <f t="shared" ca="1" si="53"/>
        <v>0</v>
      </c>
      <c r="IL53" s="217" t="e">
        <f t="shared" ca="1" si="204"/>
        <v>#N/A</v>
      </c>
      <c r="IM53" s="223" t="e">
        <f ca="1">IF(AND(Control!$C$114=1,$KH53&lt;1),$EB53*Control!$C$148*(1-$KH53), 0)</f>
        <v>#N/A</v>
      </c>
      <c r="IN53" s="217" t="e">
        <f t="shared" ca="1" si="54"/>
        <v>#DIV/0!</v>
      </c>
      <c r="IO53" s="91" t="e">
        <f ca="1">MAX(0,$IL53-$EF53*Control!$C$160)</f>
        <v>#N/A</v>
      </c>
      <c r="IP53" s="220" t="e">
        <f t="shared" ca="1" si="55"/>
        <v>#N/A</v>
      </c>
      <c r="IQ53" s="217" t="e">
        <f t="shared" ca="1" si="164"/>
        <v>#N/A</v>
      </c>
      <c r="IR53" s="218" t="e">
        <f t="shared" ca="1" si="56"/>
        <v>#N/A</v>
      </c>
      <c r="IS53" s="217" t="e">
        <f ca="1">Control!$C$159*MAX(0,$FD53-$EN53)</f>
        <v>#N/A</v>
      </c>
      <c r="IT53" s="217" t="e">
        <f t="shared" ca="1" si="205"/>
        <v>#N/A</v>
      </c>
      <c r="IU53" s="217" t="e">
        <f t="shared" ca="1" si="165"/>
        <v>#N/A</v>
      </c>
      <c r="IV53" s="217" t="e">
        <f t="shared" ca="1" si="206"/>
        <v>#N/A</v>
      </c>
      <c r="IW53" s="217" t="e">
        <f ca="1">IF(OR($AW53=1,AND($AW53=0, Control!$B$18=1,$EN53&lt;&gt;0)), $IQ53-$IU53, $IQ53)</f>
        <v>#N/A</v>
      </c>
      <c r="IX53" s="218" t="e">
        <f t="shared" ca="1" si="57"/>
        <v>#N/A</v>
      </c>
      <c r="IY53" s="218" t="e">
        <f ca="1">MAX(0,$IQ53-$EB53*Control!$C$159)</f>
        <v>#N/A</v>
      </c>
      <c r="IZ53" s="218" t="e">
        <f t="shared" ca="1" si="58"/>
        <v>#N/A</v>
      </c>
      <c r="JA53" s="216" t="e">
        <f t="shared" ca="1" si="59"/>
        <v>#N/A</v>
      </c>
      <c r="JB53" s="217" t="e">
        <f t="shared" ca="1" si="60"/>
        <v>#N/A</v>
      </c>
      <c r="JC53" s="222" t="e">
        <f ca="1">MAX(Control!$C$157*$EK53-$JT53, 0)/Control!$C$162</f>
        <v>#N/A</v>
      </c>
      <c r="JD53" s="218" t="e">
        <f t="shared" ca="1" si="61"/>
        <v>#N/A</v>
      </c>
      <c r="JE53" s="218" t="e">
        <f t="shared" ca="1" si="62"/>
        <v>#N/A</v>
      </c>
      <c r="JF53" s="218" t="e">
        <f t="shared" ca="1" si="207"/>
        <v>#N/A</v>
      </c>
      <c r="JG53" s="218" t="e">
        <f t="shared" ca="1" si="63"/>
        <v>#N/A</v>
      </c>
      <c r="JH53" s="217" t="e">
        <f t="shared" ca="1" si="166"/>
        <v>#N/A</v>
      </c>
      <c r="JI53" s="217" t="e">
        <f t="shared" ca="1" si="167"/>
        <v>#N/A</v>
      </c>
      <c r="JJ53" s="217" t="e">
        <f t="shared" ca="1" si="224"/>
        <v>#N/A</v>
      </c>
      <c r="JK53" s="217" t="e">
        <f ca="1">IF(Control!$C$114=1,IF(Control!$B$24=0,MAX(0,$JI53)*$GN53/Control!$C$64,(MAX(0,MIN($JI53,$JJ53*$GN53/Control!$C$64),0))))</f>
        <v>#N/A</v>
      </c>
      <c r="JL53" s="217" t="e">
        <f ca="1">$IK53/Control!$C$64-$JK53+$HQ53</f>
        <v>#N/A</v>
      </c>
      <c r="JM53" s="217" t="e">
        <f ca="1">IF(Control!$C$114=1,($JB53/(IF($JI53&lt;&gt;0,$JI53,1)))*$JK53,0)</f>
        <v>#N/A</v>
      </c>
      <c r="JN53" s="217" t="e">
        <f ca="1">IF(Control!$C$114=1,($JG53/(IF($JI53&lt;&gt;0,$JI53,1)))*$JK53, 0)</f>
        <v>#N/A</v>
      </c>
      <c r="JO53" s="218" t="e">
        <f t="shared" ca="1" si="64"/>
        <v>#N/A</v>
      </c>
      <c r="JP53" s="218" t="e">
        <f ca="1">MIN(($IY53+$IO53)*Control!$C$151, $JF53-$EH53*Control!$C$161)</f>
        <v>#N/A</v>
      </c>
      <c r="JQ53" s="218" t="e">
        <f t="shared" ca="1" si="65"/>
        <v>#N/A</v>
      </c>
      <c r="JR53" s="217" t="e">
        <f ca="1">IF($CP53-Control!$C$150&lt;0, 0, $JQ53/Control!$C$162)</f>
        <v>#N/A</v>
      </c>
      <c r="JS53" s="218" t="e">
        <f t="shared" ca="1" si="66"/>
        <v>#N/A</v>
      </c>
      <c r="JT53" s="218" t="e">
        <f t="shared" ca="1" si="168"/>
        <v>#N/A</v>
      </c>
      <c r="JU53" s="218" t="e">
        <f t="shared" ca="1" si="67"/>
        <v>#N/A</v>
      </c>
      <c r="JV53" s="218" t="e">
        <f t="shared" ca="1" si="68"/>
        <v>#N/A</v>
      </c>
      <c r="JW53" s="216" t="e">
        <f t="shared" ca="1" si="69"/>
        <v>#N/A</v>
      </c>
      <c r="JX53" s="91" t="e">
        <f t="shared" ca="1" si="70"/>
        <v>#N/A</v>
      </c>
      <c r="JY53" s="218" t="e">
        <f t="shared" ca="1" si="71"/>
        <v>#N/A</v>
      </c>
      <c r="JZ53" s="217" t="e">
        <f ca="1">IF(Control!$C$114=1,($IZ53/(IF($JI53&lt;&gt;0,$JI53,1)))*$JK53, 0)</f>
        <v>#N/A</v>
      </c>
      <c r="KA53" s="218" t="e">
        <f t="shared" ca="1" si="225"/>
        <v>#N/A</v>
      </c>
      <c r="KB53" s="218" t="e">
        <f t="shared" ca="1" si="169"/>
        <v>#N/A</v>
      </c>
      <c r="KC53" s="218" t="e">
        <f t="shared" ca="1" si="72"/>
        <v>#N/A</v>
      </c>
      <c r="KD53" s="218" t="e">
        <f t="shared" ca="1" si="73"/>
        <v>#N/A</v>
      </c>
      <c r="KE53" s="218" t="e">
        <f t="shared" ca="1" si="74"/>
        <v>#N/A</v>
      </c>
      <c r="KF53" s="218" t="e">
        <f t="shared" ca="1" si="75"/>
        <v>#N/A</v>
      </c>
      <c r="KG53" s="216" t="e">
        <f t="shared" ca="1" si="76"/>
        <v>#N/A</v>
      </c>
      <c r="KH53" s="221" t="e">
        <f ca="1">IF(Control!$B$24=0,1,MAX(0.001,MIN(1,IF(($IF53-$IE53)&lt;&gt;0,($KG53-$IE53)/($IF53-$IE53),1))))</f>
        <v>#N/A</v>
      </c>
      <c r="KI53" s="222" t="e">
        <f ca="1">IF(Control!$C$114=1, $KI52+ $KH52, 0)</f>
        <v>#N/A</v>
      </c>
      <c r="KJ53" s="217" t="e">
        <f t="shared" ca="1" si="77"/>
        <v>#N/A</v>
      </c>
      <c r="KK53" s="218" t="e">
        <f t="shared" ca="1" si="78"/>
        <v>#N/A</v>
      </c>
      <c r="KL53" s="274" t="e">
        <f ca="1">IF(Control!$B$26=3,4000000000*EXP(-8400/($G53+273)),IF(Control!$B$26=4,4000000000*EXP(-8400/($G53+273))*($KT53),0))</f>
        <v>#DIV/0!</v>
      </c>
      <c r="KM53" s="274" t="e">
        <f ca="1">IF(Control!$B$26=3,5600000000000*EXP(-9800/($G53+273)),IF(Control!$B$26=4,5600000000000*EXP(-9800/($G53+273))*$KT53,0))</f>
        <v>#DIV/0!</v>
      </c>
      <c r="KN53" s="454" t="e">
        <f t="shared" ca="1" si="170"/>
        <v>#DIV/0!</v>
      </c>
      <c r="KO53" s="274" t="e">
        <f t="shared" ca="1" si="171"/>
        <v>#DIV/0!</v>
      </c>
      <c r="KP53" s="454" t="e">
        <f t="shared" ca="1" si="79"/>
        <v>#DIV/0!</v>
      </c>
      <c r="KQ53" s="454" t="e">
        <f t="shared" ca="1" si="80"/>
        <v>#DIV/0!</v>
      </c>
      <c r="KR53" s="454" t="e">
        <f t="shared" ca="1" si="81"/>
        <v>#DIV/0!</v>
      </c>
      <c r="KS53" s="454" t="e">
        <f t="shared" ca="1" si="82"/>
        <v>#DIV/0!</v>
      </c>
      <c r="KT53" s="455" t="e">
        <f t="shared" ca="1" si="83"/>
        <v>#DIV/0!</v>
      </c>
      <c r="KU53" s="456" t="e">
        <f ca="1">IF($CP53-Control!$C$149&lt;0, IF($NT53-0.01&lt;0,0,1),0)</f>
        <v>#N/A</v>
      </c>
      <c r="KV53" s="456" t="e">
        <f ca="1">IF(Control!$C$114=1,MAX(0,MIN(Control!$C$125*$KW53*$GN53,$KW53)))</f>
        <v>#DIV/0!</v>
      </c>
      <c r="KW53" s="456" t="e">
        <f t="shared" ca="1" si="208"/>
        <v>#DIV/0!</v>
      </c>
      <c r="KX53" s="457" t="e">
        <f ca="1">IF($CP53-Control!$C$149&lt;0, IF($MR53-$OM53&lt;0,0,1),0)</f>
        <v>#N/A</v>
      </c>
      <c r="KY53" s="167">
        <f t="shared" ca="1" si="172"/>
        <v>48</v>
      </c>
      <c r="KZ53" s="168">
        <f ca="1">1370*(1+0.033*COS(2*Control!$C$138*$AH53/365))</f>
        <v>1400.6349003703479</v>
      </c>
      <c r="LA53" s="169">
        <f t="shared" ca="1" si="173"/>
        <v>1.0223612880385406</v>
      </c>
      <c r="LB53" s="169">
        <f t="shared" ca="1" si="174"/>
        <v>-0.21854207241157836</v>
      </c>
      <c r="LC53" s="169">
        <f ca="1">ACOS(-TAN((2*Control!$B$8/360))*TAN(Calculations!$LB53))</f>
        <v>1.5047427322985216</v>
      </c>
      <c r="LD53" s="169">
        <f ca="1">((24*60)/PI())*0.082*$LA53*(($LC53*SIN(Control!$B$8*2*PI()/360))*SIN($LB53)+COS(Control!$B$8*2*PI()/360)*COS($LB53)*SIN($LC53))</f>
        <v>13.165990613287203</v>
      </c>
      <c r="LE53" s="170">
        <f t="shared" ca="1" si="84"/>
        <v>13.788298246706232</v>
      </c>
      <c r="LF53" s="170">
        <f ca="1">SIN(Control!$C$139*Control!$B$8)*SIN($HD53)</f>
        <v>-0.16984791807752583</v>
      </c>
      <c r="LG53" s="170">
        <f ca="1">COS(Control!$C$139*Control!$B$8)*COS($HD53)</f>
        <v>0.60118876136138777</v>
      </c>
      <c r="LH53" s="170">
        <f ca="1">12*(1+2*ASIN(MAX(-1,MIN(1,$LF53/$LG53))/Control!$C$138))</f>
        <v>9.8387906337691433</v>
      </c>
      <c r="LI53" s="170">
        <f ca="1">12*(1+2*ASIN(MAX(-1,MIN(1,(-SIN(-4*Control!$C$139)+$LF53)/$LG53))/Control!$C$138))</f>
        <v>10.727525046042638</v>
      </c>
      <c r="LJ53" s="168">
        <f ca="1">3600*($LH53*$LF53+24*$LG53*SQRT(1-$LK53*$LK53)/Control!$C$138)</f>
        <v>9844.3200601815715</v>
      </c>
      <c r="LK53" s="170">
        <f t="shared" ca="1" si="85"/>
        <v>-0.28252011513473141</v>
      </c>
      <c r="LL53" s="170">
        <f t="shared" ca="1" si="86"/>
        <v>0</v>
      </c>
      <c r="LM53" s="171">
        <f ca="1">Control!$C$145*$AB53</f>
        <v>6.6660906138995932E-2</v>
      </c>
      <c r="LN53" s="170">
        <f t="shared" ca="1" si="175"/>
        <v>0.54</v>
      </c>
      <c r="LO53" s="170">
        <f t="shared" ca="1" si="87"/>
        <v>0</v>
      </c>
      <c r="LP53" s="170">
        <f ca="1">Control!$C$140*((($D53+273.16)^4+($E53+273.16)^4)/2)*(0.34-0.14*SQRT($Y53))*(1.35*$AQ53/(0.75*$LD53)-0.35)</f>
        <v>-3.2464704755046001</v>
      </c>
      <c r="LQ53" s="170">
        <f ca="1">Control!$C$140*($G53+273)^4*(0.56-0.079*SQRT($Y53*10))*(0.1+0.9*$LO53)</f>
        <v>1.5241745131704001</v>
      </c>
      <c r="LR53" s="170">
        <f ca="1">$AQ53*(1-Control!$C$142)-$LQ53</f>
        <v>-1.5241745131704001</v>
      </c>
      <c r="LS53" s="170">
        <f ca="1">$AQ53*(1-Control!$C$143)-$LQ53</f>
        <v>-1.5241745131704001</v>
      </c>
      <c r="LT53" s="170">
        <f ca="1">$AQ53*(1-Control!$C$144)-$LQ53</f>
        <v>-1.5241745131704001</v>
      </c>
      <c r="LU53" s="169">
        <f ca="1">(1-Control!$C$144)*AQ53-LP53</f>
        <v>3.2464704755046001</v>
      </c>
      <c r="LV53" s="172">
        <f t="shared" ca="1" si="88"/>
        <v>0.79430000000000012</v>
      </c>
      <c r="LW53" s="170">
        <f t="shared" ca="1" si="89"/>
        <v>1.5886000000000002</v>
      </c>
      <c r="LX53" s="170">
        <f ca="1">($AC53*($LR53/Control!$C$141)+$LM53*$LV53)/($AC53+$LM53)</f>
        <v>0.23530094218323697</v>
      </c>
      <c r="LY53" s="170">
        <f ca="1">($AC53*($LS53/Control!$C$141)+$LM53*$LV53)/($AC53+$LM53)</f>
        <v>0.23530094218323697</v>
      </c>
      <c r="LZ53" s="170">
        <f t="shared" ca="1" si="90"/>
        <v>0.23530094218323697</v>
      </c>
      <c r="MA53" s="170">
        <f t="shared" ca="1" si="91"/>
        <v>0.23530094218323697</v>
      </c>
      <c r="MB53" s="170" t="e">
        <f t="shared" ca="1" si="92"/>
        <v>#N/A</v>
      </c>
      <c r="MC53" s="170">
        <f t="shared" ca="1" si="176"/>
        <v>0.6018</v>
      </c>
      <c r="MD53" s="170">
        <f t="shared" ca="1" si="93"/>
        <v>0.52989392535414004</v>
      </c>
      <c r="ME53" s="170">
        <f ca="1">($AC53*($LT53/Control!$C$141)+$LM53*$LW53)/($AC53+$LM53)</f>
        <v>0.71612369323045078</v>
      </c>
      <c r="MF53" s="170" t="e">
        <f ca="1">IF(Control!$B$16&gt;=1000,0.92,IF(AND(720&lt;=Control!$B$16,1000&gt;Control!$B$16),(0.95+(Control!$B$16-720)*((0.92-0.95)/(1000-720))),IF(AND(360&lt;=Control!$B$16,720&gt;Control!$B$16),(1+(Control!$B$16-360)*((0.95-1)/(720-360))),IF(AND(40&lt;=Control!$B$16,360&gt;Control!$B$16),(1.05+(Control!$B$16-40)*((1.05-1)/(360-40)))))))</f>
        <v>#N/A</v>
      </c>
      <c r="MG53" s="170">
        <f t="shared" ca="1" si="94"/>
        <v>0.71612369323045078</v>
      </c>
      <c r="MH53" s="170" t="e">
        <f t="shared" ca="1" si="232"/>
        <v>#N/A</v>
      </c>
      <c r="MI53" s="170" t="e">
        <f t="shared" ca="1" si="232"/>
        <v>#N/A</v>
      </c>
      <c r="MJ53" s="170" t="e">
        <f ca="1">MAX(0.0001, Control!$C$132*$MI53*$DL53)</f>
        <v>#N/A</v>
      </c>
      <c r="MK53" s="170">
        <f ca="1">1/(0.76+1.5*($MG53/10))-(5-Control!$C$110)*0.1</f>
        <v>1.002845988140797</v>
      </c>
      <c r="ML53" s="173">
        <f ca="1">IF(Control!$C$110&lt;3,$MK53+($MG53-0.6)/(Control!$C$110*(Control!$C$110+3)), MAX(0.1, MIN(0.95,$MK53)))</f>
        <v>0.95</v>
      </c>
      <c r="MM53" s="173">
        <f ca="1">IF(Control!$C$110&lt;3,$MK53+(($MI53/10)-0.6)/(Control!$C$110*(Control!$C$110+3)), MAX(0.1, MIN(0.95,$MK53)))</f>
        <v>0.95</v>
      </c>
      <c r="MN53" s="173">
        <f ca="1">(1-$MM53)*(Control!$C$128-Control!$C$127)+Control!$C$127</f>
        <v>0.16</v>
      </c>
      <c r="MO53" s="170" t="e">
        <f ca="1">MAX(0,MIN(1,($MS53-Control!$C$127)/($MN53-Control!$C$127)))</f>
        <v>#DIV/0!</v>
      </c>
      <c r="MP53" s="173" t="e">
        <f ca="1">1/(0.76+1.5*$MI53)-(5-Control!$C$110)*0.1</f>
        <v>#N/A</v>
      </c>
      <c r="MQ53" s="172" t="e">
        <f t="shared" ca="1" si="209"/>
        <v>#DIV/0!</v>
      </c>
      <c r="MR53" s="168" t="e">
        <f t="shared" ca="1" si="226"/>
        <v>#DIV/0!</v>
      </c>
      <c r="MS53" s="173" t="e">
        <f ca="1">MAX(Control!$C$127, MIN(Control!$C$135, $MR53/MAX(0.0001,$CY53)))</f>
        <v>#DIV/0!</v>
      </c>
      <c r="MT53" s="168" t="e">
        <f ca="1">(Control!$C$128-$MS53)*Control!$C$74</f>
        <v>#DIV/0!</v>
      </c>
      <c r="MU53" s="168" t="e">
        <f ca="1">(Control!$C$135-$MS53)*Control!$C$74</f>
        <v>#DIV/0!</v>
      </c>
      <c r="MV53" s="168" t="e">
        <f t="shared" ca="1" si="210"/>
        <v>#DIV/0!</v>
      </c>
      <c r="MW53" s="168" t="e">
        <f t="shared" ca="1" si="177"/>
        <v>#DIV/0!</v>
      </c>
      <c r="MX53" s="171" t="e">
        <f ca="1">MAX(Control!$C$127, MIN(Control!$C$135, $MW53/MAX(0.0001,Control!$C$119-$CY53)))</f>
        <v>#DIV/0!</v>
      </c>
      <c r="MY53" s="54" t="e">
        <f ca="1">IF(Control!$C$114=1, $CX53*$MX53, 0)</f>
        <v>#DIV/0!</v>
      </c>
      <c r="MZ53" s="54" t="e">
        <f t="shared" ca="1" si="178"/>
        <v>#N/A</v>
      </c>
      <c r="NA53" s="168" t="e">
        <f ca="1">(Control!$C$128-$MX53)*(Control!$C$119-Control!$C$74)</f>
        <v>#DIV/0!</v>
      </c>
      <c r="NB53" s="168" t="e">
        <f ca="1">(Control!$C$135-$MX53)*(Control!$C$119-Control!$C$74)</f>
        <v>#DIV/0!</v>
      </c>
      <c r="NC53" s="174" t="e">
        <f t="shared" ca="1" si="179"/>
        <v>#DIV/0!</v>
      </c>
      <c r="ND53" s="54">
        <f ca="1">IF(Control!$C$58=2, IF(OR(Control!$B$218=$AH53,Control!$B$219=$AH53, Control!$B$220=$AH53, Control!$B$221=$AH53, Control!$B$222=$AH53, Control!$B$223=$AH53, Control!$B$224=$AH53, Control!$B$225=$AH53, Control!$B$226=$AH53, Control!$B$227=$AH53, Control!$B$228=$AH53), 1, 0), 0)</f>
        <v>0</v>
      </c>
      <c r="NE53" s="54">
        <f ca="1">IF($ND53=0,0, VLOOKUP($AH53,Control!$B$218:$C$228,2))</f>
        <v>0</v>
      </c>
      <c r="NF53" s="168" t="e">
        <f ca="1">$CY53*(Control!$C$128-Control!$C$127)</f>
        <v>#N/A</v>
      </c>
      <c r="NG53" s="54" t="e">
        <f ca="1">IF(Control!$C$58=2, $NI52-$NJ52, 0)</f>
        <v>#DIV/0!</v>
      </c>
      <c r="NH53" s="54" t="e">
        <f ca="1">IF(AND(Control!$C$58=1, $MS52&lt;= ($MN52+0.02), $I52&lt;10), 0, IF(Control!$C$58=2, $NG52, 0))</f>
        <v>#DIV/0!</v>
      </c>
      <c r="NI53" s="54" t="e">
        <f ca="1">IF(Control!$C$58=2, $NE53+$NH53,0)</f>
        <v>#DIV/0!</v>
      </c>
      <c r="NJ53" s="54" t="e">
        <f ca="1">IF(AND(Control!$C$58=1, $MS53&lt;= ($MN53+0.02), $I53&lt;10), MAX(0, MIN(10, 0.7*($NF53-$MV53))), IF(Control!$C$58=2, MIN(10,$NI53),0))</f>
        <v>#DIV/0!</v>
      </c>
      <c r="NK53" s="54" t="e">
        <f t="shared" ca="1" si="96"/>
        <v>#DIV/0!</v>
      </c>
      <c r="NL53" s="173" t="e">
        <f ca="1">(1-Control!$C$73)*$I53+$NJ53</f>
        <v>#DIV/0!</v>
      </c>
      <c r="NM53" s="172" t="e">
        <f ca="1">IF($NL53&lt;0.5, $MB53* MAX(0, MIN(1, (SQRT($NC53)-SQRT($NC53-1))*Control!$C$71)),0)</f>
        <v>#DIV/0!</v>
      </c>
      <c r="NN53" s="170" t="e">
        <f ca="1">IF($NL53&gt;=5, $MB53, MAX(0,MIN($MB53, $NM53+$NL53,($MS53-Control!$C$129))))</f>
        <v>#DIV/0!</v>
      </c>
      <c r="NO53" s="54">
        <f>IF(Control!$C$133&lt;&gt;1, Control!$C$135-Control!$C$131, 0)</f>
        <v>0.38</v>
      </c>
      <c r="NP53" s="54" t="e">
        <f t="shared" ca="1" si="97"/>
        <v>#DIV/0!</v>
      </c>
      <c r="NQ53" s="173" t="e">
        <f ca="1">MAX(0,MIN(1,(Control!$C$135-$MS53)/(Control!$C$135-$NO53)))</f>
        <v>#DIV/0!</v>
      </c>
      <c r="NR53" s="170" t="e">
        <f ca="1">IF(Control!$C$133&lt;&gt;1, $NQ53+((1-$NP53/4)*(1-$NQ53)),1)</f>
        <v>#DIV/0!</v>
      </c>
      <c r="NS53" s="170" t="e">
        <f ca="1">IF(Control!$B$31=0,$MJ53,MAX(0,MIN($MV53,$MO53*$NR53*$MJ53)))</f>
        <v>#DIV/0!</v>
      </c>
      <c r="NT53" s="170" t="e">
        <f t="shared" ca="1" si="227"/>
        <v>#DIV/0!</v>
      </c>
      <c r="NU53" s="170" t="e">
        <f t="shared" ca="1" si="180"/>
        <v>#N/A</v>
      </c>
      <c r="NV53" s="170" t="e">
        <f t="shared" ca="1" si="98"/>
        <v>#N/A</v>
      </c>
      <c r="NW53" s="175" t="e">
        <f t="shared" ca="1" si="99"/>
        <v>#DIV/0!</v>
      </c>
      <c r="NX53" s="170" t="e">
        <f ca="1">MIN(Control!$C$72+$MU53, $NW53)</f>
        <v>#DIV/0!</v>
      </c>
      <c r="NY53" s="170" t="e">
        <f ca="1">IF($MT53&lt;=$NX53,MIN(Control!$C$72+$NB53,$NX53-$MT53),0)</f>
        <v>#DIV/0!</v>
      </c>
      <c r="NZ53" s="54" t="e">
        <f ca="1">IF(Control!$C$114=1,  $CX53*($MX53-Control!$C$127), 0)</f>
        <v>#DIV/0!</v>
      </c>
      <c r="OA53" s="170" t="e">
        <f t="shared" ca="1" si="181"/>
        <v>#DIV/0!</v>
      </c>
      <c r="OB53" s="170" t="e">
        <f ca="1">IF($NA53 &lt;=$NY53, MIN(Control!$C$72, $NY53-$NA53), 0)</f>
        <v>#DIV/0!</v>
      </c>
      <c r="OC53" s="168" t="e">
        <f t="shared" ca="1" si="100"/>
        <v>#DIV/0!</v>
      </c>
      <c r="OD53" s="168" t="e">
        <f t="shared" ca="1" si="182"/>
        <v>#DIV/0!</v>
      </c>
      <c r="OE53" s="170">
        <f ca="1">Control!$C$73*$I53</f>
        <v>0</v>
      </c>
      <c r="OF53" s="176" t="e">
        <f t="shared" ca="1" si="101"/>
        <v>#DIV/0!</v>
      </c>
      <c r="OG53" s="168" t="e">
        <f t="shared" ca="1" si="102"/>
        <v>#DIV/0!</v>
      </c>
      <c r="OH53" s="168" t="e">
        <f t="shared" ca="1" si="103"/>
        <v>#DIV/0!</v>
      </c>
      <c r="OI53" s="168" t="e">
        <f t="shared" ca="1" si="104"/>
        <v>#DIV/0!</v>
      </c>
      <c r="OJ53" s="168" t="e">
        <f t="shared" ca="1" si="105"/>
        <v>#DIV/0!</v>
      </c>
      <c r="OK53" s="204" t="e">
        <f t="shared" ca="1" si="183"/>
        <v>#DIV/0!</v>
      </c>
      <c r="OL53" s="177">
        <f>Control!$C$127</f>
        <v>0.15</v>
      </c>
      <c r="OM53" s="182" t="e">
        <f t="shared" ca="1" si="106"/>
        <v>#N/A</v>
      </c>
      <c r="ON53" s="177">
        <f>Control!$C$128</f>
        <v>0.35</v>
      </c>
      <c r="OO53" s="182" t="e">
        <f t="shared" ca="1" si="107"/>
        <v>#N/A</v>
      </c>
      <c r="OP53" s="138">
        <f t="shared" ca="1" si="184"/>
        <v>0</v>
      </c>
      <c r="OQ53" s="138" t="e">
        <f t="shared" ca="1" si="211"/>
        <v>#DIV/0!</v>
      </c>
      <c r="OR53" s="138" t="e">
        <f t="shared" ca="1" si="185"/>
        <v>#DIV/0!</v>
      </c>
      <c r="OS53" s="137" t="e">
        <f t="shared" ca="1" si="212"/>
        <v>#DIV/0!</v>
      </c>
      <c r="OT53" s="139" t="e">
        <f t="shared" ca="1" si="213"/>
        <v>#DIV/0!</v>
      </c>
      <c r="OU53" s="138" t="e">
        <f t="shared" ca="1" si="214"/>
        <v>#N/A</v>
      </c>
      <c r="OV53" s="138" t="e">
        <f t="shared" ca="1" si="215"/>
        <v>#DIV/0!</v>
      </c>
      <c r="OW53" s="138" t="e">
        <f t="shared" ca="1" si="186"/>
        <v>#DIV/0!</v>
      </c>
      <c r="OX53" s="138" t="e">
        <f t="shared" ca="1" si="187"/>
        <v>#DIV/0!</v>
      </c>
      <c r="OY53" s="138" t="e">
        <f t="shared" ca="1" si="188"/>
        <v>#DIV/0!</v>
      </c>
      <c r="OZ53" s="138" t="e">
        <f t="shared" ca="1" si="108"/>
        <v>#DIV/0!</v>
      </c>
      <c r="PA53" s="138" t="e">
        <f t="shared" ca="1" si="109"/>
        <v>#DIV/0!</v>
      </c>
      <c r="PB53" s="55">
        <f>IF(Control!$C$61="T", IF(Control!$C$65="F", IF($AH$6-Control!$C$60&lt;0,0,1), IF(365+$AH$6-Control!$C$60&lt;0,0,1)),0)</f>
        <v>0</v>
      </c>
      <c r="PC53" s="55">
        <f ca="1">IF(Control!$C$65="F", IF($AH$6-$HF53&lt;0,0,1), IF(365+$AH$6-$HF53&lt;0,0,1))</f>
        <v>1</v>
      </c>
      <c r="PD53" s="444">
        <f>Control!$C$118</f>
        <v>1500</v>
      </c>
      <c r="PE53" s="180" t="e">
        <f t="shared" ca="1" si="110"/>
        <v>#N/A</v>
      </c>
      <c r="PF53" s="445">
        <f t="shared" ca="1" si="189"/>
        <v>0.71612369323045078</v>
      </c>
      <c r="PT53" s="186"/>
      <c r="PU53" s="186"/>
      <c r="PV53" s="94"/>
      <c r="PW53" s="94"/>
      <c r="PX53" s="94"/>
      <c r="PY53" s="94"/>
      <c r="PZ53" s="94"/>
      <c r="QA53" s="94"/>
      <c r="QB53" s="94"/>
      <c r="QC53" s="94"/>
      <c r="QD53" s="94"/>
      <c r="QE53" s="94"/>
      <c r="QF53" s="94"/>
      <c r="QG53" s="94"/>
      <c r="QH53" s="94"/>
      <c r="QI53" s="94"/>
      <c r="QJ53" s="94"/>
      <c r="QK53" s="94"/>
      <c r="QL53" s="94"/>
      <c r="QM53" s="94"/>
      <c r="QN53" s="94"/>
      <c r="QO53" s="94"/>
      <c r="QP53" s="94"/>
    </row>
    <row r="54" spans="1:458" s="2" customFormat="1" x14ac:dyDescent="0.2">
      <c r="A54" s="395">
        <v>18</v>
      </c>
      <c r="B54" s="396">
        <v>2</v>
      </c>
      <c r="C54" s="387">
        <f ca="1">Weather_data!$B53</f>
        <v>0</v>
      </c>
      <c r="D54" s="388">
        <f ca="1">Weather_data!$F53</f>
        <v>0</v>
      </c>
      <c r="E54" s="388">
        <f ca="1">Weather_data!$E53</f>
        <v>0</v>
      </c>
      <c r="F54" s="388">
        <f t="shared" ca="1" si="111"/>
        <v>0</v>
      </c>
      <c r="G54" s="388">
        <f ca="1">AVERAGE($D54:$E54)+Control!$B$9</f>
        <v>0</v>
      </c>
      <c r="H54" s="388">
        <f ca="1">Weather_data!$G53</f>
        <v>0</v>
      </c>
      <c r="I54" s="388">
        <f ca="1">Weather_data!$I53</f>
        <v>0</v>
      </c>
      <c r="J54" s="388">
        <f ca="1">Weather_data!$H53</f>
        <v>0</v>
      </c>
      <c r="K54" s="389">
        <f ca="1">Weather_data!$D53</f>
        <v>0</v>
      </c>
      <c r="L54" s="388" t="e">
        <f t="shared" ca="1" si="112"/>
        <v>#N/A</v>
      </c>
      <c r="M54" s="388" t="e">
        <f t="shared" ca="1" si="0"/>
        <v>#N/A</v>
      </c>
      <c r="N54" s="388">
        <f t="shared" ca="1" si="1"/>
        <v>-3.1813427205679709E-3</v>
      </c>
      <c r="O54" s="388">
        <f t="shared" ca="1" si="113"/>
        <v>3.1813427205679708E-2</v>
      </c>
      <c r="P54" s="390">
        <v>3</v>
      </c>
      <c r="Q54" s="388">
        <f ca="1">MAX($G54-Control!$C$107,0)</f>
        <v>0</v>
      </c>
      <c r="R54" s="388">
        <f t="shared" ca="1" si="114"/>
        <v>0</v>
      </c>
      <c r="S54" s="388">
        <f t="shared" ca="1" si="2"/>
        <v>0</v>
      </c>
      <c r="T54" s="388">
        <f t="shared" ca="1" si="3"/>
        <v>0</v>
      </c>
      <c r="U54" s="59">
        <f t="shared" ca="1" si="4"/>
        <v>0</v>
      </c>
      <c r="V54" s="391">
        <f ca="1">MAX(0,MIN(Control!$C$100-Control!$C$99,$G54-Control!$C$99)*Control!$C$63)</f>
        <v>0</v>
      </c>
      <c r="W54" s="388">
        <f t="shared" ca="1" si="190"/>
        <v>0</v>
      </c>
      <c r="X54" s="388">
        <f t="shared" ca="1" si="115"/>
        <v>0.6110000000000001</v>
      </c>
      <c r="Y54" s="388">
        <f t="shared" ca="1" si="116"/>
        <v>0</v>
      </c>
      <c r="Z54" s="388">
        <f t="shared" ca="1" si="117"/>
        <v>0.61058800000000002</v>
      </c>
      <c r="AA54" s="388">
        <f t="shared" ca="1" si="5"/>
        <v>0.6018</v>
      </c>
      <c r="AB54" s="388">
        <f ca="1">101.3*EXP(-0.034*Control!$C$66/($G54+273))</f>
        <v>100.69623283836242</v>
      </c>
      <c r="AC54" s="392">
        <f t="shared" ca="1" si="6"/>
        <v>4.3460251046025113E-2</v>
      </c>
      <c r="AD54" s="392">
        <f t="shared" ca="1" si="7"/>
        <v>4.4450382862832649E-2</v>
      </c>
      <c r="AE54" s="388">
        <f t="shared" ca="1" si="8"/>
        <v>0</v>
      </c>
      <c r="AF54" s="388">
        <f ca="1">MAX(0,$G54-Control!$C$92)</f>
        <v>0</v>
      </c>
      <c r="AG54" s="393">
        <f t="shared" ca="1" si="118"/>
        <v>49</v>
      </c>
      <c r="AH54" s="389">
        <f t="shared" ca="1" si="9"/>
        <v>49</v>
      </c>
      <c r="AI54" s="388">
        <f t="shared" ca="1" si="119"/>
        <v>-0.21131876623225929</v>
      </c>
      <c r="AJ54" s="388">
        <f ca="1">IF(Control!$C$60&lt;=0,$HH54,$HI54)</f>
        <v>1</v>
      </c>
      <c r="AK54" s="388">
        <f t="shared" ca="1" si="10"/>
        <v>-0.53364039595223878</v>
      </c>
      <c r="AL54" s="388">
        <f t="shared" ca="1" si="11"/>
        <v>-1.2622732720179995E-18</v>
      </c>
      <c r="AM54" s="388">
        <f t="shared" ca="1" si="12"/>
        <v>-0.53364039595223878</v>
      </c>
      <c r="AN54" s="388">
        <f t="shared" ca="1" si="13"/>
        <v>-0.20375625591799118</v>
      </c>
      <c r="AO54" s="388">
        <f ca="1">-0.10453/COS(Control!$B$8*PI()/180)*COS(AN54)</f>
        <v>-0.16627259480576312</v>
      </c>
      <c r="AP54" s="388">
        <f ca="1">ACOS(AO54-TAN(Control!$B$8*PI()/180)*TAN(AN54))</f>
        <v>1.4724442378248046</v>
      </c>
      <c r="AQ54" s="388">
        <f t="shared" ca="1" si="120"/>
        <v>0</v>
      </c>
      <c r="AR54" s="394">
        <f t="shared" ca="1" si="14"/>
        <v>0</v>
      </c>
      <c r="AS54" s="436">
        <f ca="1">IF(Control!$B$18=2,(IF(OR($AH54=Control!$B$175,$AH54=Control!$B$176,$AH54=Control!$B$177,$AH54=Control!$B$178,$AH54=Control!$B$179,$AH54=Control!$B$180,$AH54=Control!$B$181,$AH54=Control!$B$182,$AH54=Control!$B$183,$AH54=Control!$B$184,$AH54=Control!$B$185),1,0)),0)</f>
        <v>0</v>
      </c>
      <c r="AT54" s="436">
        <f>IF(Control!$B$20=8,IF(AND($AH54&gt;=Control!$B$172,$AH54&lt;=Control!$B$173),1,0),0)</f>
        <v>0</v>
      </c>
      <c r="AU54" s="436">
        <f>IF(Control!$B$20=8,IF($AV53=1,1*$AT54,IF($AT54=1,$AU53+1,$AU53)),0)</f>
        <v>0</v>
      </c>
      <c r="AV54" s="436">
        <f>IF(Control!$B$20=8,IF($AU54&gt;=Control!$B$174,1,0),0)</f>
        <v>0</v>
      </c>
      <c r="AW54" s="436">
        <f ca="1">IF(AND(Control!$B$18=2,Control!$B$171=1), $AV54, $AS54)</f>
        <v>0</v>
      </c>
      <c r="AX54" s="436" t="e">
        <f ca="1">IF(AND(Control!$B$18=1,$EU54&gt;=Control!$B$19),-$AY54,IF(AND(Control!$B$18=2,$AW54=1,$EU54&gt;$DS54),-$AY54, IF(Control!$C$108=0,0, IF(Control!$C$108&lt;&gt;0,1))))</f>
        <v>#N/A</v>
      </c>
      <c r="AY54" s="436" t="e">
        <f t="shared" ca="1" si="121"/>
        <v>#N/A</v>
      </c>
      <c r="AZ54" s="436" t="e">
        <f ca="1">IF(AND(Control!$B$18=1,$EB54&gt;Control!$B$19),$AZ53+1, IF(AND(Control!$B$18=2, $AW54=1, $EB54&gt;$DS54), $AZ53+1,$AZ53))</f>
        <v>#N/A</v>
      </c>
      <c r="BA54" s="587">
        <f>IF(Control!$C$81=0,1,IF($AH54&gt;=Control!$C$82,1,0))</f>
        <v>1</v>
      </c>
      <c r="BB54" s="140" t="e">
        <f ca="1">IF($BA54&gt;$BA53,Control!$C$83,IF($AW54&gt;0,$AW54*Control!$C$84,IF(AND(Control!$B$18=1,EN53&lt;&gt;0),Control!$C$84,0)))</f>
        <v>#N/A</v>
      </c>
      <c r="BC54" s="140" t="e">
        <f t="shared" ca="1" si="122"/>
        <v>#N/A</v>
      </c>
      <c r="BD54" s="140" t="e">
        <f ca="1">BC54*IF(OR($G54&lt;Control!$C$92,$G54&gt;Control!$C$95),0,IF(AND($G54&gt;=Control!$C$92,$G54&lt;=Control!$C$93),$G54-Control!$C$92,IF(AND($G54&gt;Control!$C$93,$G54&lt;=Control!$C$94),Control!$C$93-Control!$C$92,IF(AND($G54&gt;Control!$C$94,$G54&lt;=Control!$C$95),(Control!$C$93-Control!$C$92)*(Control!$C$94-$G54)/(Control!$C$95-Control!$C$94)))))</f>
        <v>#N/A</v>
      </c>
      <c r="BE54" s="140" t="e">
        <f t="shared" ca="1" si="123"/>
        <v>#N/A</v>
      </c>
      <c r="BF54" s="140" t="e">
        <f ca="1">IF($BE54&lt;=Control!$C$86,$BE54,Control!$C$86-$BE54)</f>
        <v>#N/A</v>
      </c>
      <c r="BG54" s="140" t="e">
        <f ca="1">IF(AND($AW54=1,Control!$C$84&lt;9),1,IF($BE54&gt;=Control!$C$86,0,$BC54))</f>
        <v>#N/A</v>
      </c>
      <c r="BH54" s="404" t="e">
        <f ca="1">IF($BG54=0,0,IF($BE54&lt;=Control!$C$86,$BC54*9*($BF54/Control!$C$86),0))</f>
        <v>#N/A</v>
      </c>
      <c r="BI54" s="140" t="e">
        <f ca="1">IF($BG54=1,0,IF($BE54&gt;=Control!$C$86,1,IF(AND($BB54&lt;21,$BB54&gt;=9),1,$BM53)))</f>
        <v>#N/A</v>
      </c>
      <c r="BJ54" s="140" t="e">
        <f ca="1">IF($BF54&lt;0,-$BF54,$BI54*IF(OR($G54&lt;Control!$C$92,$G54&gt;Control!$C$95),0,IF(AND($G54&gt;=Control!$C$92,$G54&lt;=Control!$C$93),$G54-Control!$C$92,IF(AND($G54&gt;Control!$C$93,$G54&lt;=Control!$C$94),Control!$C$93-Control!$C$92,IF(AND($G54&gt;Control!$C$94,$G54&lt;=Control!$C$95),(Control!$C$93-Control!$C$92)*(Control!$C$94-$G54)/(Control!$C$95-Control!$C$94))))))</f>
        <v>#N/A</v>
      </c>
      <c r="BK54" s="140" t="e">
        <f t="shared" ca="1" si="124"/>
        <v>#N/A</v>
      </c>
      <c r="BL54" s="140" t="e">
        <f ca="1">IF($BK54&lt;=Control!$C$87,$BK54,Control!$C$87-$BK54)</f>
        <v>#N/A</v>
      </c>
      <c r="BM54" s="140" t="e">
        <f ca="1">IF(AND($BB54&gt;=9,$BB54&lt;21),1,IF($BK54&gt;=Control!$C$87,0,$BI54))</f>
        <v>#N/A</v>
      </c>
      <c r="BN54" s="404" t="e">
        <f ca="1">IF($BM54=0,0,IF($BK54&lt;=Control!$C$87,$BI54*(9+(21-9)*($BL54/Control!$C$87)),0))</f>
        <v>#N/A</v>
      </c>
      <c r="BO54" s="140" t="e">
        <f ca="1">IF($BM54=1,0,IF($BK54&gt;=Control!$C$87,1,IF(AND($BB54&lt;30,$BB54&gt;=21),1,$BS53)))</f>
        <v>#N/A</v>
      </c>
      <c r="BP54" s="140" t="e">
        <f ca="1">IF($BL54&lt;0,-$BL54,$BO54*IF(OR($G54&lt;Control!$C$92,$G54&gt;Control!$C$95),0,IF(AND($G54&gt;=Control!$C$92,$G54&lt;=Control!$C$93),$G54-Control!$C$92,IF(AND($G54&gt;Control!$C$93,$G54&lt;=Control!$C$94),Control!$C$93-Control!$C$92,IF(AND($G54&gt;Control!$C$94,$G54&lt;=Control!$C$95),(Control!$C$93-Control!$C$92)*(Control!$C$94-$G54)/(Control!$C$95-Control!$C$94))))))</f>
        <v>#N/A</v>
      </c>
      <c r="BQ54" s="140" t="e">
        <f t="shared" ca="1" si="15"/>
        <v>#N/A</v>
      </c>
      <c r="BR54" s="140" t="e">
        <f ca="1">IF($BQ54&lt;=Control!$C$88,$BQ54,Control!$C$88-$BQ54)</f>
        <v>#N/A</v>
      </c>
      <c r="BS54" s="140" t="e">
        <f ca="1">IF(AND($BB54&gt;=21,$BB54&lt;30),1,IF($BQ54&gt;=Control!$C$88,0,$BO54))</f>
        <v>#N/A</v>
      </c>
      <c r="BT54" s="404" t="e">
        <f ca="1">IF($BS54=0,0,IF($BQ54&lt;=Control!$C$88,$BO54*(21+(30-21)*(BR54/Control!$C$88)),0))</f>
        <v>#N/A</v>
      </c>
      <c r="BU54" s="140" t="e">
        <f ca="1">IF(BG54+BM54+BS54=1,0,IF(OR(AND($BB54&lt;60,$BB54&gt;=30),$BQ54&gt;=Control!$C$88),1*$BA54,$BY53))</f>
        <v>#N/A</v>
      </c>
      <c r="BV54" s="140" t="e">
        <f ca="1">IF($BR54&lt;0,-$BR54,$BU54*IF(OR($G54&lt;Control!$C$92,$G54&gt;Control!$C$95),0,IF(AND($G54&gt;=Control!$C$92,$G54&lt;=Control!$C$93),$G54-Control!$C$92,IF(AND($G54&gt;Control!$C$93,$G54&lt;=Control!$C$94),Control!$C$93-Control!$C$92,IF(AND($G54&gt;Control!$C$94,$G54&lt;=Control!$C$95),(Control!$C$93-Control!$C$92)*(Control!$C$94-$G54)/(Control!$C$95-Control!$C$94))))))</f>
        <v>#N/A</v>
      </c>
      <c r="BW54" s="140" t="e">
        <f t="shared" ca="1" si="16"/>
        <v>#N/A</v>
      </c>
      <c r="BX54" s="140" t="e">
        <f ca="1">IF($BW54&lt;=Control!$C$89,$BW54,Control!$C$89-$BW54)</f>
        <v>#N/A</v>
      </c>
      <c r="BY54" s="140" t="e">
        <f ca="1">IF(AND($AJ54&gt;=30,$AJ54&lt;60),1,IF($BW54&gt;=Control!$C$89,0,$BU54))</f>
        <v>#N/A</v>
      </c>
      <c r="BZ54" s="404" t="e">
        <f ca="1">IF($BY54=0,0,IF($BW54&lt;=Control!$C$89,$BU54*(30+(60-30)*(BX54/Control!$C$89)),0))</f>
        <v>#N/A</v>
      </c>
      <c r="CA54" s="140" t="e">
        <f ca="1">IF($BG54+$BM54+$BS54+$BY54=1,0,IF(OR(AND($BB54&lt;65,$BB54&gt;=60),$BW54&gt;=Control!$C$89),1*$BA54,$CE53))</f>
        <v>#N/A</v>
      </c>
      <c r="CB54" s="140" t="e">
        <f ca="1">IF($BX54&lt;0,-$BX54,$CA54*IF(OR($G54&lt;Control!$C$92,$G54&gt;Control!$C$95),0,IF(AND($G54&gt;=Control!$C$92,$G54&lt;=Control!$C$93),$G54-Control!$C$92,IF(AND($G54&gt;Control!$C$93,$G54&lt;=Control!$C$94),Control!$C$93-Control!$C$92,IF(AND($G54&gt;Control!$C$94,$G54&lt;=Control!$C$95),(Control!$C$93-Control!$C$92)*(Control!$C$94-$G54)/(Control!$C$95-Control!$C$94))))))</f>
        <v>#N/A</v>
      </c>
      <c r="CC54" s="140" t="e">
        <f t="shared" ca="1" si="125"/>
        <v>#N/A</v>
      </c>
      <c r="CD54" s="140" t="e">
        <f ca="1">IF($CC54&lt;=Control!$C$90,$CC54,Control!$C$90-$CC54)</f>
        <v>#N/A</v>
      </c>
      <c r="CE54" s="140" t="e">
        <f ca="1">IF(AND($BB54&gt;=60,$BB54&lt;65),1,IF($CC54&gt;=Control!$C$90,0,$CA54))</f>
        <v>#N/A</v>
      </c>
      <c r="CF54" s="404" t="e">
        <f ca="1">IF($CE54=0,0,IF($CC54&lt;=Control!$C$90,$CA54*(60+(65-60)*(CD54/Control!$C$90)),0))</f>
        <v>#N/A</v>
      </c>
      <c r="CG54" s="140" t="e">
        <f ca="1">IF($BG54+$BM54+$BS54+$BY54+$CE54=1,0,IF(OR(AND($BB54&lt;90,$BB54&gt;=65),$CC54&gt;=Control!$C$90),$BA54,$CK53))</f>
        <v>#N/A</v>
      </c>
      <c r="CH54" s="140" t="e">
        <f ca="1">IF($CD54&lt;0,-$CD54,$CG54*IF(OR($G54&lt;Control!$C$92,$G54&gt;Control!$C$95),0,IF(AND($G54&gt;=Control!$C$92,$G54&lt;=Control!$C$93),$G54-Control!$C$92,IF(AND($G54&gt;Control!$C$93,$G54&lt;=Control!$C$94),Control!$C$93-Control!$C$92,IF(AND($G54&gt;Control!$C$94,$G54&lt;=Control!$C$95),(Control!$C$93-Control!$C$92)*(Control!$C$94-$G54)/(Control!$C$95-Control!$C$94))))))</f>
        <v>#N/A</v>
      </c>
      <c r="CI54" s="140" t="e">
        <f t="shared" ca="1" si="126"/>
        <v>#N/A</v>
      </c>
      <c r="CJ54" s="140" t="e">
        <f ca="1">IF($CI54&lt;=Control!$C$91,$CI54,Control!$C$91-$CI54)</f>
        <v>#N/A</v>
      </c>
      <c r="CK54" s="140" t="e">
        <f ca="1">IF(AND($BB54&gt;=65,$BB54&lt;90),1,IF($CI54&gt;=Control!$C$91,0,$CG54))</f>
        <v>#N/A</v>
      </c>
      <c r="CL54" s="404" t="e">
        <f ca="1">IF($CK54=0,0,IF($CI54&lt;=Control!$C$91,$CG54*(65+(90-65)*($CJ54/Control!$C$91)),0))</f>
        <v>#N/A</v>
      </c>
      <c r="CM54" s="140" t="e">
        <f ca="1">IF($BG54+$BM54+$BS54+$BY54+$CE54+$CK54=1,0,IF(OR($BB54&gt;=90,$CI54&gt;=Control!$C$91),$BA54,$CM53))</f>
        <v>#N/A</v>
      </c>
      <c r="CN54" s="140" t="e">
        <f t="shared" ca="1" si="127"/>
        <v>#N/A</v>
      </c>
      <c r="CO54" s="140" t="e">
        <f t="shared" ca="1" si="128"/>
        <v>#N/A</v>
      </c>
      <c r="CP54" s="140" t="e">
        <f t="shared" ca="1" si="129"/>
        <v>#N/A</v>
      </c>
      <c r="CQ54" s="141" t="e">
        <f ca="1">VLOOKUP($CP54,Control!$B$86:$G$91,6)</f>
        <v>#N/A</v>
      </c>
      <c r="CR54" s="141" t="e">
        <f ca="1">(1-$CQ54)*VLOOKUP($CP54,Control!$B$86:$D$91,3)</f>
        <v>#N/A</v>
      </c>
      <c r="CS54" s="141" t="e">
        <f ca="1">(1-$CQ54)*VLOOKUP($CP54,Control!$B$86:$E$91,4)</f>
        <v>#N/A</v>
      </c>
      <c r="CT54" s="141" t="e">
        <f ca="1">(1-$CQ54)*VLOOKUP($CP54,Control!$B$86:$F$91,5)</f>
        <v>#N/A</v>
      </c>
      <c r="CU54" s="141">
        <f t="shared" ca="1" si="130"/>
        <v>0</v>
      </c>
      <c r="CV54" s="583">
        <f t="shared" ca="1" si="131"/>
        <v>0</v>
      </c>
      <c r="CW54" s="142">
        <f t="shared" ca="1" si="132"/>
        <v>49</v>
      </c>
      <c r="CX54" s="612" t="e">
        <f ca="1">IF(Control!$C$114=1,(MIN(Control!$C$120*(IF($NT54-0.01&lt;0,0,1)),Control!$C$119-$CY54)))</f>
        <v>#DIV/0!</v>
      </c>
      <c r="CY54" s="143" t="e">
        <f t="shared" ca="1" si="133"/>
        <v>#N/A</v>
      </c>
      <c r="CZ54" s="144">
        <f t="shared" ca="1" si="17"/>
        <v>0</v>
      </c>
      <c r="DA54" s="144">
        <f t="shared" ca="1" si="18"/>
        <v>0</v>
      </c>
      <c r="DB54" s="144" t="e">
        <f t="shared" ca="1" si="19"/>
        <v>#N/A</v>
      </c>
      <c r="DC54" s="144" t="e">
        <f t="shared" ca="1" si="20"/>
        <v>#N/A</v>
      </c>
      <c r="DD54" s="144" t="e">
        <f t="shared" ca="1" si="216"/>
        <v>#N/A</v>
      </c>
      <c r="DE54" s="143" t="e">
        <f t="shared" ca="1" si="135"/>
        <v>#N/A</v>
      </c>
      <c r="DF54" s="145" t="e">
        <f ca="1">$DR54*EXP(-Control!$C$158*(1-$KH54))</f>
        <v>#N/A</v>
      </c>
      <c r="DG54" s="146" t="e">
        <f ca="1">IF(Control!$C$114=1, $DF54*$EY54, 0)</f>
        <v>#N/A</v>
      </c>
      <c r="DH54" s="147" t="e">
        <f t="shared" ca="1" si="136"/>
        <v>#N/A</v>
      </c>
      <c r="DI54" s="144" t="e">
        <f t="shared" ca="1" si="191"/>
        <v>#N/A</v>
      </c>
      <c r="DJ54" s="147" t="e">
        <f ca="1">$EF54*Control!$C$109</f>
        <v>#N/A</v>
      </c>
      <c r="DK54" s="144" t="e">
        <f t="shared" ca="1" si="137"/>
        <v>#N/A</v>
      </c>
      <c r="DL54" s="144" t="e">
        <f t="shared" ca="1" si="21"/>
        <v>#N/A</v>
      </c>
      <c r="DM54" s="144" t="e">
        <f ca="1">IF(Control!$C$114=1, (1-EXP(-Control!$C$96*$DK54))*$AR54, 0)</f>
        <v>#N/A</v>
      </c>
      <c r="DN54" s="144">
        <f t="shared" ca="1" si="138"/>
        <v>0</v>
      </c>
      <c r="DO54" s="148">
        <f>Control!$C$97</f>
        <v>4</v>
      </c>
      <c r="DP54" s="145" t="e">
        <f t="shared" ca="1" si="139"/>
        <v>#N/A</v>
      </c>
      <c r="DQ54" s="145" t="e">
        <f ca="1">IF(AND($CP54&gt;=0,$CP54&lt;=90),Control!$C$111,Control!$C$111)</f>
        <v>#N/A</v>
      </c>
      <c r="DR54" s="145" t="e">
        <f t="shared" ca="1" si="22"/>
        <v>#N/A</v>
      </c>
      <c r="DS54" s="143" t="e">
        <f ca="1">Control!$B$22/$DR54</f>
        <v>#N/A</v>
      </c>
      <c r="DT54" s="149" t="e">
        <f ca="1">IF(AND(Control!$C$114=1,$KH54&lt;1),$IM54*$DF54, 0)</f>
        <v>#N/A</v>
      </c>
      <c r="DU54" s="144" t="e">
        <f t="shared" ca="1" si="192"/>
        <v>#N/A</v>
      </c>
      <c r="DV54" s="144">
        <f ca="1">IF($G54-Control!$C$107&lt;=0, 0, 0.83*LN(MAX($G54, 3))-0.8924)</f>
        <v>0</v>
      </c>
      <c r="DW54" s="144" t="e">
        <f t="shared" ca="1" si="23"/>
        <v>#N/A</v>
      </c>
      <c r="DX54" s="150" t="e">
        <f ca="1">MAX(0.01*(1+$CU54/Control!$C$102),0.05*($DK54-Control!$C$97)/Control!$C$97)</f>
        <v>#N/A</v>
      </c>
      <c r="DY54" s="151" t="e">
        <f ca="1">IF(Control!$C$114=1, $DI54*$FS54, 0)</f>
        <v>#N/A</v>
      </c>
      <c r="DZ54" s="196" t="e">
        <f t="shared" ca="1" si="140"/>
        <v>#N/A</v>
      </c>
      <c r="EA54" s="152">
        <f t="shared" ca="1" si="141"/>
        <v>49</v>
      </c>
      <c r="EB54" s="153" t="e">
        <f t="shared" ca="1" si="217"/>
        <v>#N/A</v>
      </c>
      <c r="EC54" s="153" t="e">
        <f t="shared" ca="1" si="142"/>
        <v>#N/A</v>
      </c>
      <c r="ED54" s="154" t="e">
        <f ca="1">IF(Control!$C$114=1, $HM54*$FY54-$FD54, 0)</f>
        <v>#DIV/0!</v>
      </c>
      <c r="EE54" s="155" t="e">
        <f ca="1">IF(Control!$C$114=1, $HM54*$FZ54-$FF54, 0)</f>
        <v>#DIV/0!</v>
      </c>
      <c r="EF54" s="153" t="e">
        <f t="shared" ca="1" si="193"/>
        <v>#N/A</v>
      </c>
      <c r="EG54" s="155" t="e">
        <f ca="1">IF(Control!$C$114=1, $GX54*$FW54-$FI54, 0)</f>
        <v>#DIV/0!</v>
      </c>
      <c r="EH54" s="153" t="e">
        <f t="shared" ca="1" si="143"/>
        <v>#N/A</v>
      </c>
      <c r="EI54" s="156" t="e">
        <f t="shared" ca="1" si="144"/>
        <v>#N/A</v>
      </c>
      <c r="EJ54" s="155" t="e">
        <f ca="1">IF(Control!$C$114=1, $HM54*$GB54, 0)</f>
        <v>#DIV/0!</v>
      </c>
      <c r="EK54" s="153" t="e">
        <f t="shared" ca="1" si="194"/>
        <v>#N/A</v>
      </c>
      <c r="EL54" s="153" t="e">
        <f t="shared" ca="1" si="24"/>
        <v>#N/A</v>
      </c>
      <c r="EM54" s="153" t="e">
        <f t="shared" ca="1" si="25"/>
        <v>#N/A</v>
      </c>
      <c r="EN54" s="153" t="e">
        <f ca="1">IF(Control!$C$108=1,IF(AND(Control!$B$18=1,$EB54&gt;=Control!$B$19),$EB54-$DS54,IF(AND(Control!$B$18=2,$AW54=1,$EB54&gt;$DS54),$EB54-$DS54,0)))</f>
        <v>#N/A</v>
      </c>
      <c r="EO54" s="153" t="e">
        <f ca="1">IF(Control!$C$108=1,IF(AND(Control!$B$18=1,$EB54&gt;=Control!$B$19),$EF54,IF(AND(Control!$B$18=2,$AW54=1),$EF54,0)))</f>
        <v>#N/A</v>
      </c>
      <c r="EP54" s="153" t="e">
        <f ca="1">IF(Control!$C$108=1,IF(AND(Control!$B$18=1,$EB54&gt;=Control!$B$19),$EK54,IF(AND(Control!$B$18=2,$AW54=1),$EK54,0)))</f>
        <v>#N/A</v>
      </c>
      <c r="EQ54" s="153" t="e">
        <f t="shared" ca="1" si="145"/>
        <v>#N/A</v>
      </c>
      <c r="ER54" s="153" t="e">
        <f t="shared" ca="1" si="231"/>
        <v>#N/A</v>
      </c>
      <c r="ES54" s="153" t="e">
        <f t="shared" ca="1" si="196"/>
        <v>#N/A</v>
      </c>
      <c r="ET54" s="153" t="e">
        <f t="shared" ca="1" si="197"/>
        <v>#N/A</v>
      </c>
      <c r="EU54" s="153" t="e">
        <f t="shared" ca="1" si="198"/>
        <v>#N/A</v>
      </c>
      <c r="EV54" s="153" t="e">
        <f t="shared" ca="1" si="146"/>
        <v>#N/A</v>
      </c>
      <c r="EW54" s="153" t="e">
        <f t="shared" ca="1" si="218"/>
        <v>#N/A</v>
      </c>
      <c r="EX54" s="153" t="e">
        <f t="shared" ca="1" si="26"/>
        <v>#N/A</v>
      </c>
      <c r="EY54" s="157" t="e">
        <f t="shared" ca="1" si="147"/>
        <v>#DIV/0!</v>
      </c>
      <c r="EZ54" s="154" t="e">
        <f t="shared" ca="1" si="27"/>
        <v>#DIV/0!</v>
      </c>
      <c r="FA54" s="153" t="e">
        <f t="shared" ca="1" si="199"/>
        <v>#N/A</v>
      </c>
      <c r="FB54" s="153" t="e">
        <f t="shared" ca="1" si="28"/>
        <v>#N/A</v>
      </c>
      <c r="FC54" s="193" t="e">
        <f t="shared" ca="1" si="29"/>
        <v>#N/A</v>
      </c>
      <c r="FD54" s="158" t="e">
        <f t="shared" ca="1" si="200"/>
        <v>#N/A</v>
      </c>
      <c r="FE54" s="158" t="e">
        <f t="shared" ca="1" si="148"/>
        <v>#N/A</v>
      </c>
      <c r="FF54" s="159" t="e">
        <f t="shared" ca="1" si="30"/>
        <v>#N/A</v>
      </c>
      <c r="FG54" s="160" t="e">
        <f t="shared" ca="1" si="149"/>
        <v>#N/A</v>
      </c>
      <c r="FH54" s="158" t="e">
        <f t="shared" ca="1" si="150"/>
        <v>#N/A</v>
      </c>
      <c r="FI54" s="159" t="e">
        <f t="shared" ca="1" si="31"/>
        <v>#N/A</v>
      </c>
      <c r="FJ54" s="160" t="e">
        <f t="shared" ca="1" si="151"/>
        <v>#N/A</v>
      </c>
      <c r="FK54" s="160" t="e">
        <f t="shared" ca="1" si="32"/>
        <v>#N/A</v>
      </c>
      <c r="FL54" s="160" t="e">
        <f t="shared" ca="1" si="229"/>
        <v>#N/A</v>
      </c>
      <c r="FM54" s="160" t="e">
        <f t="shared" ca="1" si="33"/>
        <v>#N/A</v>
      </c>
      <c r="FN54" s="158">
        <f t="shared" ca="1" si="219"/>
        <v>0.01</v>
      </c>
      <c r="FO54" s="160">
        <f>Control!$C$101</f>
        <v>50</v>
      </c>
      <c r="FP54" s="150" t="e">
        <f t="shared" ca="1" si="34"/>
        <v>#N/A</v>
      </c>
      <c r="FQ54" s="150" t="e">
        <f ca="1">MAX(0,(Control!$C$112*(($DK54-Control!$C$97)/Control!$C$97)))</f>
        <v>#N/A</v>
      </c>
      <c r="FR54" s="150" t="e">
        <f ca="1">(1-$NT54)*Control!$C$113</f>
        <v>#DIV/0!</v>
      </c>
      <c r="FS54" s="198" t="e">
        <f t="shared" ca="1" si="35"/>
        <v>#N/A</v>
      </c>
      <c r="FT54" s="161">
        <f t="shared" ca="1" si="152"/>
        <v>49</v>
      </c>
      <c r="FU54" s="162" t="e">
        <f ca="1">IF(Control!$B$34=1,VLOOKUP($CP54,Control!$B$86:$G$91,6),Control!$B$35)</f>
        <v>#N/A</v>
      </c>
      <c r="FV54" s="162" t="e">
        <f t="shared" ca="1" si="36"/>
        <v>#DIV/0!</v>
      </c>
      <c r="FW54" s="162" t="e">
        <f ca="1">IF(Control!$B$31=1,$FU54*$FV54,  $FU54)</f>
        <v>#N/A</v>
      </c>
      <c r="FX54" s="162" t="e">
        <f ca="1">IF(Control!$B$34=1,VLOOKUP($CP54,Control!$B$86:$G$91,3),Control!$B$36)</f>
        <v>#N/A</v>
      </c>
      <c r="FY54" s="162" t="e">
        <f t="shared" ca="1" si="37"/>
        <v>#N/A</v>
      </c>
      <c r="FZ54" s="162" t="e">
        <f ca="1">IF(Control!$B$34=1,VLOOKUP($CP54,Control!$B$86:$G$91,4),Control!$B$37)</f>
        <v>#N/A</v>
      </c>
      <c r="GA54" s="162" t="e">
        <f t="shared" ca="1" si="38"/>
        <v>#N/A</v>
      </c>
      <c r="GB54" s="162" t="e">
        <f ca="1">IF(Control!$B$34=1,VLOOKUP($CP54,Control!$B$86:$G$91,5),Control!$B$38)</f>
        <v>#N/A</v>
      </c>
      <c r="GC54" s="162" t="e">
        <f t="shared" ca="1" si="153"/>
        <v>#N/A</v>
      </c>
      <c r="GD54" s="162">
        <f t="shared" ca="1" si="39"/>
        <v>1</v>
      </c>
      <c r="GE54" s="162">
        <f t="shared" ca="1" si="40"/>
        <v>1</v>
      </c>
      <c r="GF54" s="162">
        <f ca="1">IF(AND(Control!$C$104=1, Control!$C$62="F"),$GE54,1)</f>
        <v>1</v>
      </c>
      <c r="GG54" s="162" t="e">
        <f ca="1">IF(Control!$B$16=40,0,IF(AND(Control!$B$16&gt;40,Control!$B$16&lt;=360),(Control!$B$16-40)*((1-0)/(360-40)),IF(AND(Control!$B$16&gt;360,Control!$B$16&lt;=720),(1+(Control!$B$16-360)*((1.25-1)/(720-360))),IF(AND(Control!$B$16&gt;720,Control!$B$16&lt;=1000),(1.25+(Control!$B$16-720)*((1.35-1.25)/(1000-720))),IF(AND(Control!$B$16&gt;1000,Control!$B$16&lt;=2000),(1.35+(Control!$B$16-1000)*0))))))</f>
        <v>#N/A</v>
      </c>
      <c r="GH54" s="162" t="e">
        <f t="shared" ca="1" si="41"/>
        <v>#N/A</v>
      </c>
      <c r="GI54" s="162">
        <f t="shared" ca="1" si="201"/>
        <v>0</v>
      </c>
      <c r="GJ54" s="162">
        <f t="shared" ca="1" si="42"/>
        <v>0</v>
      </c>
      <c r="GK54" s="162">
        <f t="shared" ca="1" si="220"/>
        <v>1</v>
      </c>
      <c r="GL54" s="162">
        <f t="shared" ca="1" si="43"/>
        <v>1</v>
      </c>
      <c r="GM54" s="162" t="e">
        <f ca="1">MAX(0,MIN(1,1-Control!$C$156*(1.0001-$KH54)^2))</f>
        <v>#N/A</v>
      </c>
      <c r="GN54" s="162" t="e">
        <f ca="1">IF(Control!$B$26=1,$KU54,$KX54)</f>
        <v>#N/A</v>
      </c>
      <c r="GO54" s="162" t="e">
        <f ca="1">IF($CP54&lt;=60,Control!$C$105,IF($CP54&gt;=90,Control!$C$106,Control!$C$105+($CP54-60)*((Control!$C$106-Control!$C$105)/(90-60))))</f>
        <v>#N/A</v>
      </c>
      <c r="GP54" s="162" t="e">
        <f t="shared" ca="1" si="154"/>
        <v>#N/A</v>
      </c>
      <c r="GQ54" s="162" t="e">
        <f t="shared" ca="1" si="155"/>
        <v>#N/A</v>
      </c>
      <c r="GR54" s="163" t="e">
        <f t="shared" ca="1" si="44"/>
        <v>#DIV/0!</v>
      </c>
      <c r="GS54" s="162" t="e">
        <f t="shared" ca="1" si="45"/>
        <v>#DIV/0!</v>
      </c>
      <c r="GT54" s="164" t="e">
        <f t="shared" ca="1" si="156"/>
        <v>#N/A</v>
      </c>
      <c r="GU54" s="162" t="e">
        <f t="shared" ca="1" si="157"/>
        <v>#N/A</v>
      </c>
      <c r="GV54" s="162" t="e">
        <f t="shared" ca="1" si="46"/>
        <v>#N/A</v>
      </c>
      <c r="GW54" s="162" t="e">
        <f t="shared" ca="1" si="221"/>
        <v>#DIV/0!</v>
      </c>
      <c r="GX54" s="162" t="e">
        <f t="shared" ca="1" si="228"/>
        <v>#DIV/0!</v>
      </c>
      <c r="GY54" s="162" t="e">
        <f t="shared" ca="1" si="158"/>
        <v>#DIV/0!</v>
      </c>
      <c r="GZ54" s="165" t="e">
        <f t="shared" ca="1" si="159"/>
        <v>#N/A</v>
      </c>
      <c r="HA54" s="162" t="e">
        <f ca="1">IF(Control!$C$114=1, $DI54*$FS54, 0)</f>
        <v>#N/A</v>
      </c>
      <c r="HB54" s="162" t="e">
        <f ca="1">$FA54/Control!$C$64</f>
        <v>#N/A</v>
      </c>
      <c r="HC54" s="162" t="e">
        <f t="shared" ca="1" si="222"/>
        <v>#DIV/0!</v>
      </c>
      <c r="HD54" s="162">
        <f ca="1">-ASIN(SIN(23.45*Control!$C$139)*COS(2*Control!$C$138*($AH54+10)/365))</f>
        <v>-0.21131876623225929</v>
      </c>
      <c r="HE54" s="165">
        <f t="shared" ca="1" si="160"/>
        <v>0</v>
      </c>
      <c r="HF54" s="166">
        <f ca="1">IF(AND(Control!$C$61="T",$HE54&gt;=Control!$C$103,Control!$C$114=0),$AH54,Control!$C$59)</f>
        <v>1</v>
      </c>
      <c r="HG54" s="166">
        <f ca="1">IF(AND(Control!$C$61="T",$HE54&gt;=Control!$C$103,Control!$C$114=0),$HF54,Control!$C$59)</f>
        <v>1</v>
      </c>
      <c r="HH54" s="165">
        <f ca="1">IF(AND(OR(Control!$C$60&lt;=0, $AH54= Control!$C$59, Control!$C$60 &gt;0, $AH54 = Control!$C$60)), Control!$C$59, IF(Control!$C$60&gt;0, 0))</f>
        <v>1</v>
      </c>
      <c r="HI54" s="165">
        <f ca="1">IF(AND(OR(Control!$C$60&lt;=0, $AH54= Control!$C$59, Control!$C$60 &gt;0, $AH54 = Control!$C$60)), Control!$C$60, IF(Control!$C$60&lt;=0, 0))</f>
        <v>0</v>
      </c>
      <c r="HJ54" s="166">
        <f ca="1">IF(AND(Control!$C$62="F",$CV54&gt;=Control!$C$102),$AH54,0)</f>
        <v>0</v>
      </c>
      <c r="HK54" s="165" t="e">
        <f t="shared" ca="1" si="202"/>
        <v>#N/A</v>
      </c>
      <c r="HL54" s="166">
        <f ca="1">IF(AND(Control!$C$61="T",$HE54&gt;=Control!$C$103,Control!$C$114=0),$HF54,0)</f>
        <v>0</v>
      </c>
      <c r="HM54" s="201" t="e">
        <f t="shared" ca="1" si="47"/>
        <v>#DIV/0!</v>
      </c>
      <c r="HN54" s="215">
        <f t="shared" ca="1" si="161"/>
        <v>49</v>
      </c>
      <c r="HO54" s="216" t="e">
        <f ca="1">IF(AND($CP54&gt;=0, $CP54&lt;=90), Control!$C$152, Control!$C$152)</f>
        <v>#N/A</v>
      </c>
      <c r="HP54" s="216" t="e">
        <f t="shared" ca="1" si="48"/>
        <v>#N/A</v>
      </c>
      <c r="HQ54" s="217" t="e">
        <f ca="1">IF(OR(Control!$B$26=1,Control!$B$26=2),$KV54,$KS54)</f>
        <v>#DIV/0!</v>
      </c>
      <c r="HR54" s="218" t="e">
        <f t="shared" ca="1" si="223"/>
        <v>#DIV/0!</v>
      </c>
      <c r="HS54" s="216" t="e">
        <f ca="1">Control!$C$154*$HP54</f>
        <v>#N/A</v>
      </c>
      <c r="HT54" s="216" t="e">
        <f ca="1">Control!$C$155*$HP54</f>
        <v>#N/A</v>
      </c>
      <c r="HU54" s="217" t="e">
        <f ca="1">Control!$C$161*$FI54</f>
        <v>#N/A</v>
      </c>
      <c r="HV54" s="218" t="e">
        <f t="shared" ca="1" si="162"/>
        <v>#N/A</v>
      </c>
      <c r="HW54" s="218" t="e">
        <f ca="1">Control!$C$160*$FF54+$IP54*$EO54</f>
        <v>#N/A</v>
      </c>
      <c r="HX54" s="218" t="e">
        <f t="shared" ca="1" si="203"/>
        <v>#N/A</v>
      </c>
      <c r="HY54" s="219" t="e">
        <f ca="1">IF(Control!$C$114=1, $EB54*$FS54, 0)</f>
        <v>#N/A</v>
      </c>
      <c r="HZ54" s="91" t="e">
        <f t="shared" ca="1" si="49"/>
        <v>#N/A</v>
      </c>
      <c r="IA54" s="220" t="e">
        <f ca="1">Control!$C$153*$HO54</f>
        <v>#N/A</v>
      </c>
      <c r="IB54" s="218" t="e">
        <f t="shared" ca="1" si="50"/>
        <v>#N/A</v>
      </c>
      <c r="IC54" s="220" t="e">
        <f ca="1">Control!$C$153*$HT54</f>
        <v>#N/A</v>
      </c>
      <c r="ID54" s="218" t="e">
        <f t="shared" ca="1" si="51"/>
        <v>#N/A</v>
      </c>
      <c r="IE54" s="221" t="e">
        <f ca="1">($EB54*Control!$C$159+$EF54*Control!$C$160)/(IF($GZ54&lt;&gt;0,$GZ54,1))</f>
        <v>#N/A</v>
      </c>
      <c r="IF54" s="216" t="e">
        <f t="shared" ca="1" si="52"/>
        <v>#N/A</v>
      </c>
      <c r="IG54" s="91">
        <f ca="1">IF(OR(Control!$B$198=$AH54,Control!$B$199=$AH54, Control!$B$200=$AH54, Control!$B$201=$AH54, Control!$B$202=$AH54, Control!$B$203=$AH54, Control!$B$204=$AH54, Control!$B$205=$AH54, Control!$B$206=$AH54, Control!$B$207=$AH54), 1, 0)</f>
        <v>0</v>
      </c>
      <c r="IH54" s="91">
        <f ca="1">IF($IG54=0,0, VLOOKUP($AH54,Control!$B$198:$C$207,2))</f>
        <v>0</v>
      </c>
      <c r="II54" s="222">
        <f t="shared" ca="1" si="163"/>
        <v>0</v>
      </c>
      <c r="IJ54" s="91">
        <f>Control!$C$121</f>
        <v>0.7</v>
      </c>
      <c r="IK54" s="218">
        <f t="shared" ca="1" si="53"/>
        <v>0</v>
      </c>
      <c r="IL54" s="217" t="e">
        <f t="shared" ca="1" si="204"/>
        <v>#N/A</v>
      </c>
      <c r="IM54" s="223" t="e">
        <f ca="1">IF(AND(Control!$C$114=1,$KH54&lt;1),$EB54*Control!$C$148*(1-$KH54), 0)</f>
        <v>#N/A</v>
      </c>
      <c r="IN54" s="217" t="e">
        <f t="shared" ca="1" si="54"/>
        <v>#DIV/0!</v>
      </c>
      <c r="IO54" s="91" t="e">
        <f ca="1">MAX(0,$IL54-$EF54*Control!$C$160)</f>
        <v>#N/A</v>
      </c>
      <c r="IP54" s="220" t="e">
        <f t="shared" ca="1" si="55"/>
        <v>#N/A</v>
      </c>
      <c r="IQ54" s="217" t="e">
        <f t="shared" ca="1" si="164"/>
        <v>#N/A</v>
      </c>
      <c r="IR54" s="218" t="e">
        <f t="shared" ca="1" si="56"/>
        <v>#N/A</v>
      </c>
      <c r="IS54" s="217" t="e">
        <f ca="1">Control!$C$159*MAX(0,$FD54-$EN54)</f>
        <v>#N/A</v>
      </c>
      <c r="IT54" s="217" t="e">
        <f t="shared" ca="1" si="205"/>
        <v>#N/A</v>
      </c>
      <c r="IU54" s="217" t="e">
        <f t="shared" ca="1" si="165"/>
        <v>#N/A</v>
      </c>
      <c r="IV54" s="217" t="e">
        <f t="shared" ca="1" si="206"/>
        <v>#N/A</v>
      </c>
      <c r="IW54" s="217" t="e">
        <f ca="1">IF(OR($AW54=1,AND($AW54=0, Control!$B$18=1,$EN54&lt;&gt;0)), $IQ54-$IU54, $IQ54)</f>
        <v>#N/A</v>
      </c>
      <c r="IX54" s="218" t="e">
        <f t="shared" ca="1" si="57"/>
        <v>#N/A</v>
      </c>
      <c r="IY54" s="218" t="e">
        <f ca="1">MAX(0,$IQ54-$EB54*Control!$C$159)</f>
        <v>#N/A</v>
      </c>
      <c r="IZ54" s="218" t="e">
        <f t="shared" ca="1" si="58"/>
        <v>#N/A</v>
      </c>
      <c r="JA54" s="216" t="e">
        <f t="shared" ca="1" si="59"/>
        <v>#N/A</v>
      </c>
      <c r="JB54" s="217" t="e">
        <f t="shared" ca="1" si="60"/>
        <v>#N/A</v>
      </c>
      <c r="JC54" s="222" t="e">
        <f ca="1">MAX(Control!$C$157*$EK54-$JT54, 0)/Control!$C$162</f>
        <v>#N/A</v>
      </c>
      <c r="JD54" s="218" t="e">
        <f t="shared" ca="1" si="61"/>
        <v>#N/A</v>
      </c>
      <c r="JE54" s="218" t="e">
        <f t="shared" ca="1" si="62"/>
        <v>#N/A</v>
      </c>
      <c r="JF54" s="218" t="e">
        <f t="shared" ca="1" si="207"/>
        <v>#N/A</v>
      </c>
      <c r="JG54" s="218" t="e">
        <f t="shared" ca="1" si="63"/>
        <v>#N/A</v>
      </c>
      <c r="JH54" s="217" t="e">
        <f t="shared" ca="1" si="166"/>
        <v>#N/A</v>
      </c>
      <c r="JI54" s="217" t="e">
        <f t="shared" ca="1" si="167"/>
        <v>#N/A</v>
      </c>
      <c r="JJ54" s="217" t="e">
        <f t="shared" ca="1" si="224"/>
        <v>#N/A</v>
      </c>
      <c r="JK54" s="217" t="e">
        <f ca="1">IF(Control!$C$114=1,IF(Control!$B$24=0,MAX(0,$JI54)*$GN54/Control!$C$64,(MAX(0,MIN($JI54,$JJ54*$GN54/Control!$C$64),0))))</f>
        <v>#N/A</v>
      </c>
      <c r="JL54" s="217" t="e">
        <f ca="1">$IK54/Control!$C$64-$JK54+$HQ54</f>
        <v>#N/A</v>
      </c>
      <c r="JM54" s="217" t="e">
        <f ca="1">IF(Control!$C$114=1,($JB54/(IF($JI54&lt;&gt;0,$JI54,1)))*$JK54,0)</f>
        <v>#N/A</v>
      </c>
      <c r="JN54" s="217" t="e">
        <f ca="1">IF(Control!$C$114=1,($JG54/(IF($JI54&lt;&gt;0,$JI54,1)))*$JK54, 0)</f>
        <v>#N/A</v>
      </c>
      <c r="JO54" s="218" t="e">
        <f t="shared" ca="1" si="64"/>
        <v>#N/A</v>
      </c>
      <c r="JP54" s="218" t="e">
        <f ca="1">MIN(($IY54+$IO54)*Control!$C$151, $JF54-$EH54*Control!$C$161)</f>
        <v>#N/A</v>
      </c>
      <c r="JQ54" s="218" t="e">
        <f t="shared" ca="1" si="65"/>
        <v>#N/A</v>
      </c>
      <c r="JR54" s="217" t="e">
        <f ca="1">IF($CP54-Control!$C$150&lt;0, 0, $JQ54/Control!$C$162)</f>
        <v>#N/A</v>
      </c>
      <c r="JS54" s="218" t="e">
        <f t="shared" ca="1" si="66"/>
        <v>#N/A</v>
      </c>
      <c r="JT54" s="218" t="e">
        <f t="shared" ca="1" si="168"/>
        <v>#N/A</v>
      </c>
      <c r="JU54" s="218" t="e">
        <f t="shared" ca="1" si="67"/>
        <v>#N/A</v>
      </c>
      <c r="JV54" s="218" t="e">
        <f t="shared" ca="1" si="68"/>
        <v>#N/A</v>
      </c>
      <c r="JW54" s="216" t="e">
        <f t="shared" ca="1" si="69"/>
        <v>#N/A</v>
      </c>
      <c r="JX54" s="91" t="e">
        <f t="shared" ca="1" si="70"/>
        <v>#N/A</v>
      </c>
      <c r="JY54" s="218" t="e">
        <f t="shared" ca="1" si="71"/>
        <v>#N/A</v>
      </c>
      <c r="JZ54" s="217" t="e">
        <f ca="1">IF(Control!$C$114=1,($IZ54/(IF($JI54&lt;&gt;0,$JI54,1)))*$JK54, 0)</f>
        <v>#N/A</v>
      </c>
      <c r="KA54" s="218" t="e">
        <f t="shared" ca="1" si="225"/>
        <v>#N/A</v>
      </c>
      <c r="KB54" s="218" t="e">
        <f t="shared" ca="1" si="169"/>
        <v>#N/A</v>
      </c>
      <c r="KC54" s="218" t="e">
        <f t="shared" ca="1" si="72"/>
        <v>#N/A</v>
      </c>
      <c r="KD54" s="218" t="e">
        <f t="shared" ca="1" si="73"/>
        <v>#N/A</v>
      </c>
      <c r="KE54" s="218" t="e">
        <f t="shared" ca="1" si="74"/>
        <v>#N/A</v>
      </c>
      <c r="KF54" s="218" t="e">
        <f t="shared" ca="1" si="75"/>
        <v>#N/A</v>
      </c>
      <c r="KG54" s="216" t="e">
        <f t="shared" ca="1" si="76"/>
        <v>#N/A</v>
      </c>
      <c r="KH54" s="221" t="e">
        <f ca="1">IF(Control!$B$24=0,1,MAX(0.001,MIN(1,IF(($IF54-$IE54)&lt;&gt;0,($KG54-$IE54)/($IF54-$IE54),1))))</f>
        <v>#N/A</v>
      </c>
      <c r="KI54" s="222" t="e">
        <f ca="1">IF(Control!$C$114=1, $KI53+ $KH53, 0)</f>
        <v>#N/A</v>
      </c>
      <c r="KJ54" s="217" t="e">
        <f t="shared" ca="1" si="77"/>
        <v>#N/A</v>
      </c>
      <c r="KK54" s="218" t="e">
        <f t="shared" ca="1" si="78"/>
        <v>#N/A</v>
      </c>
      <c r="KL54" s="274" t="e">
        <f ca="1">IF(Control!$B$26=3,4000000000*EXP(-8400/($G54+273)),IF(Control!$B$26=4,4000000000*EXP(-8400/($G54+273))*($KT54),0))</f>
        <v>#DIV/0!</v>
      </c>
      <c r="KM54" s="274" t="e">
        <f ca="1">IF(Control!$B$26=3,5600000000000*EXP(-9800/($G54+273)),IF(Control!$B$26=4,5600000000000*EXP(-9800/($G54+273))*$KT54,0))</f>
        <v>#DIV/0!</v>
      </c>
      <c r="KN54" s="454" t="e">
        <f t="shared" ca="1" si="170"/>
        <v>#DIV/0!</v>
      </c>
      <c r="KO54" s="274" t="e">
        <f t="shared" ca="1" si="171"/>
        <v>#DIV/0!</v>
      </c>
      <c r="KP54" s="454" t="e">
        <f t="shared" ca="1" si="79"/>
        <v>#DIV/0!</v>
      </c>
      <c r="KQ54" s="454" t="e">
        <f t="shared" ca="1" si="80"/>
        <v>#DIV/0!</v>
      </c>
      <c r="KR54" s="454" t="e">
        <f t="shared" ca="1" si="81"/>
        <v>#DIV/0!</v>
      </c>
      <c r="KS54" s="454" t="e">
        <f t="shared" ca="1" si="82"/>
        <v>#DIV/0!</v>
      </c>
      <c r="KT54" s="455" t="e">
        <f t="shared" ca="1" si="83"/>
        <v>#DIV/0!</v>
      </c>
      <c r="KU54" s="456" t="e">
        <f ca="1">IF($CP54-Control!$C$149&lt;0, IF($NT54-0.01&lt;0,0,1),0)</f>
        <v>#N/A</v>
      </c>
      <c r="KV54" s="456" t="e">
        <f ca="1">IF(Control!$C$114=1,MAX(0,MIN(Control!$C$125*$KW54*$GN54,$KW54)))</f>
        <v>#DIV/0!</v>
      </c>
      <c r="KW54" s="456" t="e">
        <f t="shared" ca="1" si="208"/>
        <v>#DIV/0!</v>
      </c>
      <c r="KX54" s="457" t="e">
        <f ca="1">IF($CP54-Control!$C$149&lt;0, IF($MR54-$OM54&lt;0,0,1),0)</f>
        <v>#N/A</v>
      </c>
      <c r="KY54" s="167">
        <f t="shared" ca="1" si="172"/>
        <v>49</v>
      </c>
      <c r="KZ54" s="168">
        <f ca="1">1370*(1+0.033*COS(2*Control!$C$138*$AH54/365))</f>
        <v>1400.0580459307057</v>
      </c>
      <c r="LA54" s="169">
        <f t="shared" ca="1" si="173"/>
        <v>1.0219402281328214</v>
      </c>
      <c r="LB54" s="169">
        <f t="shared" ca="1" si="174"/>
        <v>-0.21255874024516014</v>
      </c>
      <c r="LC54" s="169">
        <f ca="1">ACOS(-TAN((2*Control!$B$8/360))*TAN(Calculations!$LB54))</f>
        <v>1.5066102121373612</v>
      </c>
      <c r="LD54" s="169">
        <f ca="1">((24*60)/PI())*0.082*$LA54*(($LC54*SIN(Control!$B$8*2*PI()/360))*SIN($LB54)+COS(Control!$B$8*2*PI()/360)*COS($LB54)*SIN($LC54))</f>
        <v>13.447857783778449</v>
      </c>
      <c r="LE54" s="170">
        <f t="shared" ca="1" si="84"/>
        <v>14.040184927885932</v>
      </c>
      <c r="LF54" s="170">
        <f ca="1">SIN(Control!$C$139*Control!$B$8)*SIN($HD54)</f>
        <v>-0.16528514535395145</v>
      </c>
      <c r="LG54" s="170">
        <f ca="1">COS(Control!$C$139*Control!$B$8)*COS($HD54)</f>
        <v>0.60196454570981739</v>
      </c>
      <c r="LH54" s="170">
        <f ca="1">12*(1+2*ASIN(MAX(-1,MIN(1,$LF54/$LG54))/Control!$C$138))</f>
        <v>9.8997174069558049</v>
      </c>
      <c r="LI54" s="170">
        <f ca="1">12*(1+2*ASIN(MAX(-1,MIN(1,(-SIN(-4*Control!$C$139)+$LF54)/$LG54))/Control!$C$138))</f>
        <v>10.787149401664504</v>
      </c>
      <c r="LJ54" s="168">
        <f ca="1">3600*($LH54*$LF54+24*$LG54*SQRT(1-$LK54*$LK54)/Control!$C$138)</f>
        <v>10028.287733279334</v>
      </c>
      <c r="LK54" s="170">
        <f t="shared" ca="1" si="85"/>
        <v>-0.27457621305429619</v>
      </c>
      <c r="LL54" s="170">
        <f t="shared" ca="1" si="86"/>
        <v>0</v>
      </c>
      <c r="LM54" s="171">
        <f ca="1">Control!$C$145*$AB54</f>
        <v>6.6660906138995932E-2</v>
      </c>
      <c r="LN54" s="170">
        <f t="shared" ca="1" si="175"/>
        <v>0.54</v>
      </c>
      <c r="LO54" s="170">
        <f t="shared" ca="1" si="87"/>
        <v>0</v>
      </c>
      <c r="LP54" s="170">
        <f ca="1">Control!$C$140*((($D54+273.16)^4+($E54+273.16)^4)/2)*(0.34-0.14*SQRT($Y54))*(1.35*$AQ54/(0.75*$LD54)-0.35)</f>
        <v>-3.2464704755046001</v>
      </c>
      <c r="LQ54" s="170">
        <f ca="1">Control!$C$140*($G54+273)^4*(0.56-0.079*SQRT($Y54*10))*(0.1+0.9*$LO54)</f>
        <v>1.5241745131704001</v>
      </c>
      <c r="LR54" s="170">
        <f ca="1">$AQ54*(1-Control!$C$142)-$LQ54</f>
        <v>-1.5241745131704001</v>
      </c>
      <c r="LS54" s="170">
        <f ca="1">$AQ54*(1-Control!$C$143)-$LQ54</f>
        <v>-1.5241745131704001</v>
      </c>
      <c r="LT54" s="170">
        <f ca="1">$AQ54*(1-Control!$C$144)-$LQ54</f>
        <v>-1.5241745131704001</v>
      </c>
      <c r="LU54" s="169">
        <f ca="1">(1-Control!$C$144)*AQ54-LP54</f>
        <v>3.2464704755046001</v>
      </c>
      <c r="LV54" s="172">
        <f t="shared" ca="1" si="88"/>
        <v>0.79430000000000012</v>
      </c>
      <c r="LW54" s="170">
        <f t="shared" ca="1" si="89"/>
        <v>1.5886000000000002</v>
      </c>
      <c r="LX54" s="170">
        <f ca="1">($AC54*($LR54/Control!$C$141)+$LM54*$LV54)/($AC54+$LM54)</f>
        <v>0.23530094218323697</v>
      </c>
      <c r="LY54" s="170">
        <f ca="1">($AC54*($LS54/Control!$C$141)+$LM54*$LV54)/($AC54+$LM54)</f>
        <v>0.23530094218323697</v>
      </c>
      <c r="LZ54" s="170">
        <f t="shared" ca="1" si="90"/>
        <v>0.23530094218323697</v>
      </c>
      <c r="MA54" s="170">
        <f t="shared" ca="1" si="91"/>
        <v>0.23530094218323697</v>
      </c>
      <c r="MB54" s="170" t="e">
        <f t="shared" ca="1" si="92"/>
        <v>#N/A</v>
      </c>
      <c r="MC54" s="170">
        <f t="shared" ca="1" si="176"/>
        <v>0.6018</v>
      </c>
      <c r="MD54" s="170">
        <f t="shared" ca="1" si="93"/>
        <v>0.52989392535414004</v>
      </c>
      <c r="ME54" s="170">
        <f ca="1">($AC54*($LT54/Control!$C$141)+$LM54*$LW54)/($AC54+$LM54)</f>
        <v>0.71612369323045078</v>
      </c>
      <c r="MF54" s="170" t="e">
        <f ca="1">IF(Control!$B$16&gt;=1000,0.92,IF(AND(720&lt;=Control!$B$16,1000&gt;Control!$B$16),(0.95+(Control!$B$16-720)*((0.92-0.95)/(1000-720))),IF(AND(360&lt;=Control!$B$16,720&gt;Control!$B$16),(1+(Control!$B$16-360)*((0.95-1)/(720-360))),IF(AND(40&lt;=Control!$B$16,360&gt;Control!$B$16),(1.05+(Control!$B$16-40)*((1.05-1)/(360-40)))))))</f>
        <v>#N/A</v>
      </c>
      <c r="MG54" s="170">
        <f t="shared" ca="1" si="94"/>
        <v>0.71612369323045078</v>
      </c>
      <c r="MH54" s="170" t="e">
        <f t="shared" ca="1" si="232"/>
        <v>#N/A</v>
      </c>
      <c r="MI54" s="170" t="e">
        <f t="shared" ca="1" si="232"/>
        <v>#N/A</v>
      </c>
      <c r="MJ54" s="170" t="e">
        <f ca="1">MAX(0.0001, Control!$C$132*$MI54*$DL54)</f>
        <v>#N/A</v>
      </c>
      <c r="MK54" s="170">
        <f ca="1">1/(0.76+1.5*($MG54/10))-(5-Control!$C$110)*0.1</f>
        <v>1.002845988140797</v>
      </c>
      <c r="ML54" s="173">
        <f ca="1">IF(Control!$C$110&lt;3,$MK54+($MG54-0.6)/(Control!$C$110*(Control!$C$110+3)), MAX(0.1, MIN(0.95,$MK54)))</f>
        <v>0.95</v>
      </c>
      <c r="MM54" s="173">
        <f ca="1">IF(Control!$C$110&lt;3,$MK54+(($MI54/10)-0.6)/(Control!$C$110*(Control!$C$110+3)), MAX(0.1, MIN(0.95,$MK54)))</f>
        <v>0.95</v>
      </c>
      <c r="MN54" s="173">
        <f ca="1">(1-$MM54)*(Control!$C$128-Control!$C$127)+Control!$C$127</f>
        <v>0.16</v>
      </c>
      <c r="MO54" s="170" t="e">
        <f ca="1">MAX(0,MIN(1,($MS54-Control!$C$127)/($MN54-Control!$C$127)))</f>
        <v>#DIV/0!</v>
      </c>
      <c r="MP54" s="173" t="e">
        <f ca="1">1/(0.76+1.5*$MI54)-(5-Control!$C$110)*0.1</f>
        <v>#N/A</v>
      </c>
      <c r="MQ54" s="172" t="e">
        <f t="shared" ca="1" si="209"/>
        <v>#DIV/0!</v>
      </c>
      <c r="MR54" s="168" t="e">
        <f t="shared" ca="1" si="226"/>
        <v>#DIV/0!</v>
      </c>
      <c r="MS54" s="173" t="e">
        <f ca="1">MAX(Control!$C$127, MIN(Control!$C$135, $MR54/MAX(0.0001,$CY54)))</f>
        <v>#DIV/0!</v>
      </c>
      <c r="MT54" s="168" t="e">
        <f ca="1">(Control!$C$128-$MS54)*Control!$C$74</f>
        <v>#DIV/0!</v>
      </c>
      <c r="MU54" s="168" t="e">
        <f ca="1">(Control!$C$135-$MS54)*Control!$C$74</f>
        <v>#DIV/0!</v>
      </c>
      <c r="MV54" s="168" t="e">
        <f t="shared" ca="1" si="210"/>
        <v>#DIV/0!</v>
      </c>
      <c r="MW54" s="168" t="e">
        <f t="shared" ca="1" si="177"/>
        <v>#DIV/0!</v>
      </c>
      <c r="MX54" s="171" t="e">
        <f ca="1">MAX(Control!$C$127, MIN(Control!$C$135, $MW54/MAX(0.0001,Control!$C$119-$CY54)))</f>
        <v>#DIV/0!</v>
      </c>
      <c r="MY54" s="54" t="e">
        <f ca="1">IF(Control!$C$114=1, $CX54*$MX54, 0)</f>
        <v>#DIV/0!</v>
      </c>
      <c r="MZ54" s="54" t="e">
        <f t="shared" ca="1" si="178"/>
        <v>#N/A</v>
      </c>
      <c r="NA54" s="168" t="e">
        <f ca="1">(Control!$C$128-$MX54)*(Control!$C$119-Control!$C$74)</f>
        <v>#DIV/0!</v>
      </c>
      <c r="NB54" s="168" t="e">
        <f ca="1">(Control!$C$135-$MX54)*(Control!$C$119-Control!$C$74)</f>
        <v>#DIV/0!</v>
      </c>
      <c r="NC54" s="174" t="e">
        <f t="shared" ca="1" si="179"/>
        <v>#DIV/0!</v>
      </c>
      <c r="ND54" s="54">
        <f ca="1">IF(Control!$C$58=2, IF(OR(Control!$B$218=$AH54,Control!$B$219=$AH54, Control!$B$220=$AH54, Control!$B$221=$AH54, Control!$B$222=$AH54, Control!$B$223=$AH54, Control!$B$224=$AH54, Control!$B$225=$AH54, Control!$B$226=$AH54, Control!$B$227=$AH54, Control!$B$228=$AH54), 1, 0), 0)</f>
        <v>0</v>
      </c>
      <c r="NE54" s="54">
        <f ca="1">IF($ND54=0,0, VLOOKUP($AH54,Control!$B$218:$C$228,2))</f>
        <v>0</v>
      </c>
      <c r="NF54" s="168" t="e">
        <f ca="1">$CY54*(Control!$C$128-Control!$C$127)</f>
        <v>#N/A</v>
      </c>
      <c r="NG54" s="54" t="e">
        <f ca="1">IF(Control!$C$58=2, $NI53-$NJ53, 0)</f>
        <v>#DIV/0!</v>
      </c>
      <c r="NH54" s="54" t="e">
        <f ca="1">IF(AND(Control!$C$58=1, $MS53&lt;= ($MN53+0.02), $I53&lt;10), 0, IF(Control!$C$58=2, $NG53, 0))</f>
        <v>#DIV/0!</v>
      </c>
      <c r="NI54" s="54" t="e">
        <f ca="1">IF(Control!$C$58=2, $NE54+$NH54,0)</f>
        <v>#DIV/0!</v>
      </c>
      <c r="NJ54" s="54" t="e">
        <f ca="1">IF(AND(Control!$C$58=1, $MS54&lt;= ($MN54+0.02), $I54&lt;10), MAX(0, MIN(10, 0.7*($NF54-$MV54))), IF(Control!$C$58=2, MIN(10,$NI54),0))</f>
        <v>#DIV/0!</v>
      </c>
      <c r="NK54" s="54" t="e">
        <f t="shared" ca="1" si="96"/>
        <v>#DIV/0!</v>
      </c>
      <c r="NL54" s="173" t="e">
        <f ca="1">(1-Control!$C$73)*$I54+$NJ54</f>
        <v>#DIV/0!</v>
      </c>
      <c r="NM54" s="172" t="e">
        <f ca="1">IF($NL54&lt;0.5, $MB54* MAX(0, MIN(1, (SQRT($NC54)-SQRT($NC54-1))*Control!$C$71)),0)</f>
        <v>#DIV/0!</v>
      </c>
      <c r="NN54" s="170" t="e">
        <f ca="1">IF($NL54&gt;=5, $MB54, MAX(0,MIN($MB54, $NM54+$NL54,($MS54-Control!$C$129))))</f>
        <v>#DIV/0!</v>
      </c>
      <c r="NO54" s="54">
        <f>IF(Control!$C$133&lt;&gt;1, Control!$C$135-Control!$C$131, 0)</f>
        <v>0.38</v>
      </c>
      <c r="NP54" s="54" t="e">
        <f t="shared" ca="1" si="97"/>
        <v>#DIV/0!</v>
      </c>
      <c r="NQ54" s="173" t="e">
        <f ca="1">MAX(0,MIN(1,(Control!$C$135-$MS54)/(Control!$C$135-$NO54)))</f>
        <v>#DIV/0!</v>
      </c>
      <c r="NR54" s="170" t="e">
        <f ca="1">IF(Control!$C$133&lt;&gt;1, $NQ54+((1-$NP54/4)*(1-$NQ54)),1)</f>
        <v>#DIV/0!</v>
      </c>
      <c r="NS54" s="170" t="e">
        <f ca="1">IF(Control!$B$31=0,$MJ54,MAX(0,MIN($MV54,$MO54*$NR54*$MJ54)))</f>
        <v>#DIV/0!</v>
      </c>
      <c r="NT54" s="170" t="e">
        <f t="shared" ca="1" si="227"/>
        <v>#DIV/0!</v>
      </c>
      <c r="NU54" s="170" t="e">
        <f t="shared" ca="1" si="180"/>
        <v>#N/A</v>
      </c>
      <c r="NV54" s="170" t="e">
        <f t="shared" ca="1" si="98"/>
        <v>#N/A</v>
      </c>
      <c r="NW54" s="175" t="e">
        <f t="shared" ca="1" si="99"/>
        <v>#DIV/0!</v>
      </c>
      <c r="NX54" s="170" t="e">
        <f ca="1">MIN(Control!$C$72+$MU54, $NW54)</f>
        <v>#DIV/0!</v>
      </c>
      <c r="NY54" s="170" t="e">
        <f ca="1">IF($MT54&lt;=$NX54,MIN(Control!$C$72+$NB54,$NX54-$MT54),0)</f>
        <v>#DIV/0!</v>
      </c>
      <c r="NZ54" s="54" t="e">
        <f ca="1">IF(Control!$C$114=1,  $CX54*($MX54-Control!$C$127), 0)</f>
        <v>#DIV/0!</v>
      </c>
      <c r="OA54" s="170" t="e">
        <f t="shared" ca="1" si="181"/>
        <v>#DIV/0!</v>
      </c>
      <c r="OB54" s="170" t="e">
        <f ca="1">IF($NA54 &lt;=$NY54, MIN(Control!$C$72, $NY54-$NA54), 0)</f>
        <v>#DIV/0!</v>
      </c>
      <c r="OC54" s="168" t="e">
        <f t="shared" ca="1" si="100"/>
        <v>#DIV/0!</v>
      </c>
      <c r="OD54" s="168" t="e">
        <f t="shared" ca="1" si="182"/>
        <v>#DIV/0!</v>
      </c>
      <c r="OE54" s="170">
        <f ca="1">Control!$C$73*$I54</f>
        <v>0</v>
      </c>
      <c r="OF54" s="176" t="e">
        <f t="shared" ca="1" si="101"/>
        <v>#DIV/0!</v>
      </c>
      <c r="OG54" s="168" t="e">
        <f t="shared" ca="1" si="102"/>
        <v>#DIV/0!</v>
      </c>
      <c r="OH54" s="168" t="e">
        <f t="shared" ca="1" si="103"/>
        <v>#DIV/0!</v>
      </c>
      <c r="OI54" s="168" t="e">
        <f t="shared" ca="1" si="104"/>
        <v>#DIV/0!</v>
      </c>
      <c r="OJ54" s="168" t="e">
        <f t="shared" ca="1" si="105"/>
        <v>#DIV/0!</v>
      </c>
      <c r="OK54" s="204" t="e">
        <f t="shared" ca="1" si="183"/>
        <v>#DIV/0!</v>
      </c>
      <c r="OL54" s="177">
        <f>Control!$C$127</f>
        <v>0.15</v>
      </c>
      <c r="OM54" s="182" t="e">
        <f t="shared" ca="1" si="106"/>
        <v>#N/A</v>
      </c>
      <c r="ON54" s="177">
        <f>Control!$C$128</f>
        <v>0.35</v>
      </c>
      <c r="OO54" s="182" t="e">
        <f t="shared" ca="1" si="107"/>
        <v>#N/A</v>
      </c>
      <c r="OP54" s="138">
        <f t="shared" ca="1" si="184"/>
        <v>0</v>
      </c>
      <c r="OQ54" s="138" t="e">
        <f t="shared" ca="1" si="211"/>
        <v>#DIV/0!</v>
      </c>
      <c r="OR54" s="138" t="e">
        <f t="shared" ca="1" si="185"/>
        <v>#DIV/0!</v>
      </c>
      <c r="OS54" s="137" t="e">
        <f t="shared" ca="1" si="212"/>
        <v>#DIV/0!</v>
      </c>
      <c r="OT54" s="139" t="e">
        <f t="shared" ca="1" si="213"/>
        <v>#DIV/0!</v>
      </c>
      <c r="OU54" s="138" t="e">
        <f t="shared" ca="1" si="214"/>
        <v>#N/A</v>
      </c>
      <c r="OV54" s="138" t="e">
        <f t="shared" ca="1" si="215"/>
        <v>#DIV/0!</v>
      </c>
      <c r="OW54" s="138" t="e">
        <f t="shared" ca="1" si="186"/>
        <v>#DIV/0!</v>
      </c>
      <c r="OX54" s="138" t="e">
        <f t="shared" ca="1" si="187"/>
        <v>#DIV/0!</v>
      </c>
      <c r="OY54" s="138" t="e">
        <f t="shared" ca="1" si="188"/>
        <v>#DIV/0!</v>
      </c>
      <c r="OZ54" s="138" t="e">
        <f t="shared" ca="1" si="108"/>
        <v>#DIV/0!</v>
      </c>
      <c r="PA54" s="138" t="e">
        <f t="shared" ca="1" si="109"/>
        <v>#DIV/0!</v>
      </c>
      <c r="PB54" s="55">
        <f>IF(Control!$C$61="T", IF(Control!$C$65="F", IF($AH$6-Control!$C$60&lt;0,0,1), IF(365+$AH$6-Control!$C$60&lt;0,0,1)),0)</f>
        <v>0</v>
      </c>
      <c r="PC54" s="55">
        <f ca="1">IF(Control!$C$65="F", IF($AH$6-$HF54&lt;0,0,1), IF(365+$AH$6-$HF54&lt;0,0,1))</f>
        <v>1</v>
      </c>
      <c r="PD54" s="444">
        <f>Control!$C$118</f>
        <v>1500</v>
      </c>
      <c r="PE54" s="180" t="e">
        <f t="shared" ca="1" si="110"/>
        <v>#N/A</v>
      </c>
      <c r="PF54" s="445">
        <f t="shared" ca="1" si="189"/>
        <v>0.71612369323045078</v>
      </c>
      <c r="PT54" s="186"/>
      <c r="PU54" s="186"/>
      <c r="PV54" s="94"/>
      <c r="PW54" s="94"/>
      <c r="PX54" s="94"/>
      <c r="PY54" s="94"/>
      <c r="PZ54" s="94"/>
      <c r="QA54" s="94"/>
      <c r="QB54" s="94"/>
      <c r="QC54" s="94"/>
      <c r="QD54" s="94"/>
      <c r="QE54" s="94"/>
      <c r="QF54" s="94"/>
      <c r="QG54" s="94"/>
      <c r="QH54" s="94"/>
      <c r="QI54" s="94"/>
      <c r="QJ54" s="94"/>
      <c r="QK54" s="94"/>
      <c r="QL54" s="94"/>
      <c r="QM54" s="94"/>
      <c r="QN54" s="94"/>
      <c r="QO54" s="94"/>
      <c r="QP54" s="94"/>
    </row>
    <row r="55" spans="1:458" s="2" customFormat="1" x14ac:dyDescent="0.2">
      <c r="A55" s="395">
        <v>19</v>
      </c>
      <c r="B55" s="396">
        <v>2</v>
      </c>
      <c r="C55" s="387">
        <f ca="1">Weather_data!$B54</f>
        <v>0</v>
      </c>
      <c r="D55" s="388">
        <f ca="1">Weather_data!$F54</f>
        <v>0</v>
      </c>
      <c r="E55" s="388">
        <f ca="1">Weather_data!$E54</f>
        <v>0</v>
      </c>
      <c r="F55" s="388">
        <f t="shared" ca="1" si="111"/>
        <v>0</v>
      </c>
      <c r="G55" s="388">
        <f ca="1">AVERAGE($D55:$E55)+Control!$B$9</f>
        <v>0</v>
      </c>
      <c r="H55" s="388">
        <f ca="1">Weather_data!$G54</f>
        <v>0</v>
      </c>
      <c r="I55" s="388">
        <f ca="1">Weather_data!$I54</f>
        <v>0</v>
      </c>
      <c r="J55" s="388">
        <f ca="1">Weather_data!$H54</f>
        <v>0</v>
      </c>
      <c r="K55" s="389">
        <f ca="1">Weather_data!$D54</f>
        <v>0</v>
      </c>
      <c r="L55" s="388" t="e">
        <f t="shared" ca="1" si="112"/>
        <v>#N/A</v>
      </c>
      <c r="M55" s="388" t="e">
        <f t="shared" ca="1" si="0"/>
        <v>#N/A</v>
      </c>
      <c r="N55" s="388">
        <f t="shared" ca="1" si="1"/>
        <v>-2.8632084485111738E-3</v>
      </c>
      <c r="O55" s="388">
        <f t="shared" ca="1" si="113"/>
        <v>2.8632084485111738E-2</v>
      </c>
      <c r="P55" s="390">
        <v>3</v>
      </c>
      <c r="Q55" s="388">
        <f ca="1">MAX($G55-Control!$C$107,0)</f>
        <v>0</v>
      </c>
      <c r="R55" s="388">
        <f t="shared" ca="1" si="114"/>
        <v>0</v>
      </c>
      <c r="S55" s="388">
        <f t="shared" ca="1" si="2"/>
        <v>0</v>
      </c>
      <c r="T55" s="388">
        <f t="shared" ca="1" si="3"/>
        <v>0</v>
      </c>
      <c r="U55" s="59">
        <f t="shared" ca="1" si="4"/>
        <v>0</v>
      </c>
      <c r="V55" s="391">
        <f ca="1">MAX(0,MIN(Control!$C$100-Control!$C$99,$G55-Control!$C$99)*Control!$C$63)</f>
        <v>0</v>
      </c>
      <c r="W55" s="388">
        <f t="shared" ca="1" si="190"/>
        <v>0</v>
      </c>
      <c r="X55" s="388">
        <f t="shared" ca="1" si="115"/>
        <v>0.6110000000000001</v>
      </c>
      <c r="Y55" s="388">
        <f t="shared" ca="1" si="116"/>
        <v>0</v>
      </c>
      <c r="Z55" s="388">
        <f t="shared" ca="1" si="117"/>
        <v>0.61058800000000002</v>
      </c>
      <c r="AA55" s="388">
        <f t="shared" ca="1" si="5"/>
        <v>0.6018</v>
      </c>
      <c r="AB55" s="388">
        <f ca="1">101.3*EXP(-0.034*Control!$C$66/($G55+273))</f>
        <v>100.69623283836242</v>
      </c>
      <c r="AC55" s="392">
        <f t="shared" ca="1" si="6"/>
        <v>4.3460251046025113E-2</v>
      </c>
      <c r="AD55" s="392">
        <f t="shared" ca="1" si="7"/>
        <v>4.4450382862832649E-2</v>
      </c>
      <c r="AE55" s="388">
        <f t="shared" ca="1" si="8"/>
        <v>0</v>
      </c>
      <c r="AF55" s="388">
        <f ca="1">MAX(0,$G55-Control!$C$92)</f>
        <v>0</v>
      </c>
      <c r="AG55" s="393">
        <f t="shared" ca="1" si="118"/>
        <v>50</v>
      </c>
      <c r="AH55" s="389">
        <f t="shared" ca="1" si="9"/>
        <v>50</v>
      </c>
      <c r="AI55" s="388">
        <f t="shared" ca="1" si="119"/>
        <v>-0.20533703550631346</v>
      </c>
      <c r="AJ55" s="388">
        <f ca="1">IF(Control!$C$60&lt;=0,$HH55,$HI55)</f>
        <v>1</v>
      </c>
      <c r="AK55" s="388">
        <f t="shared" ca="1" si="10"/>
        <v>-0.5164261896311988</v>
      </c>
      <c r="AL55" s="388">
        <f t="shared" ca="1" si="11"/>
        <v>1.9836805809081424E-18</v>
      </c>
      <c r="AM55" s="388">
        <f t="shared" ca="1" si="12"/>
        <v>-0.5164261896311988</v>
      </c>
      <c r="AN55" s="388">
        <f t="shared" ca="1" si="13"/>
        <v>-0.19770944364253293</v>
      </c>
      <c r="AO55" s="388">
        <f ca="1">-0.10453/COS(Control!$B$8*PI()/180)*COS(AN55)</f>
        <v>-0.16647729712606935</v>
      </c>
      <c r="AP55" s="388">
        <f ca="1">ACOS(AO55-TAN(Control!$B$8*PI()/180)*TAN(AN55))</f>
        <v>1.4807457927445966</v>
      </c>
      <c r="AQ55" s="388">
        <f t="shared" ca="1" si="120"/>
        <v>0</v>
      </c>
      <c r="AR55" s="394">
        <f t="shared" ca="1" si="14"/>
        <v>0</v>
      </c>
      <c r="AS55" s="436">
        <f ca="1">IF(Control!$B$18=2,(IF(OR($AH55=Control!$B$175,$AH55=Control!$B$176,$AH55=Control!$B$177,$AH55=Control!$B$178,$AH55=Control!$B$179,$AH55=Control!$B$180,$AH55=Control!$B$181,$AH55=Control!$B$182,$AH55=Control!$B$183,$AH55=Control!$B$184,$AH55=Control!$B$185),1,0)),0)</f>
        <v>0</v>
      </c>
      <c r="AT55" s="436">
        <f>IF(Control!$B$20=8,IF(AND($AH55&gt;=Control!$B$172,$AH55&lt;=Control!$B$173),1,0),0)</f>
        <v>0</v>
      </c>
      <c r="AU55" s="436">
        <f>IF(Control!$B$20=8,IF($AV54=1,1*$AT55,IF($AT55=1,$AU54+1,$AU54)),0)</f>
        <v>0</v>
      </c>
      <c r="AV55" s="436">
        <f>IF(Control!$B$20=8,IF($AU55&gt;=Control!$B$174,1,0),0)</f>
        <v>0</v>
      </c>
      <c r="AW55" s="436">
        <f ca="1">IF(AND(Control!$B$18=2,Control!$B$171=1), $AV55, $AS55)</f>
        <v>0</v>
      </c>
      <c r="AX55" s="436" t="e">
        <f ca="1">IF(AND(Control!$B$18=1,$EU55&gt;=Control!$B$19),-$AY55,IF(AND(Control!$B$18=2,$AW55=1,$EU55&gt;$DS55),-$AY55, IF(Control!$C$108=0,0, IF(Control!$C$108&lt;&gt;0,1))))</f>
        <v>#N/A</v>
      </c>
      <c r="AY55" s="436" t="e">
        <f t="shared" ca="1" si="121"/>
        <v>#N/A</v>
      </c>
      <c r="AZ55" s="436" t="e">
        <f ca="1">IF(AND(Control!$B$18=1,$EB55&gt;Control!$B$19),$AZ54+1, IF(AND(Control!$B$18=2, $AW55=1, $EB55&gt;$DS55), $AZ54+1,$AZ54))</f>
        <v>#N/A</v>
      </c>
      <c r="BA55" s="587">
        <f>IF(Control!$C$81=0,1,IF($AH55&gt;=Control!$C$82,1,0))</f>
        <v>1</v>
      </c>
      <c r="BB55" s="140" t="e">
        <f ca="1">IF($BA55&gt;$BA54,Control!$C$83,IF($AW55&gt;0,$AW55*Control!$C$84,IF(AND(Control!$B$18=1,EN54&lt;&gt;0),Control!$C$84,0)))</f>
        <v>#N/A</v>
      </c>
      <c r="BC55" s="140" t="e">
        <f t="shared" ca="1" si="122"/>
        <v>#N/A</v>
      </c>
      <c r="BD55" s="140" t="e">
        <f ca="1">BC55*IF(OR($G55&lt;Control!$C$92,$G55&gt;Control!$C$95),0,IF(AND($G55&gt;=Control!$C$92,$G55&lt;=Control!$C$93),$G55-Control!$C$92,IF(AND($G55&gt;Control!$C$93,$G55&lt;=Control!$C$94),Control!$C$93-Control!$C$92,IF(AND($G55&gt;Control!$C$94,$G55&lt;=Control!$C$95),(Control!$C$93-Control!$C$92)*(Control!$C$94-$G55)/(Control!$C$95-Control!$C$94)))))</f>
        <v>#N/A</v>
      </c>
      <c r="BE55" s="140" t="e">
        <f t="shared" ca="1" si="123"/>
        <v>#N/A</v>
      </c>
      <c r="BF55" s="140" t="e">
        <f ca="1">IF($BE55&lt;=Control!$C$86,$BE55,Control!$C$86-$BE55)</f>
        <v>#N/A</v>
      </c>
      <c r="BG55" s="140" t="e">
        <f ca="1">IF(AND($AW55=1,Control!$C$84&lt;9),1,IF($BE55&gt;=Control!$C$86,0,$BC55))</f>
        <v>#N/A</v>
      </c>
      <c r="BH55" s="404" t="e">
        <f ca="1">IF($BG55=0,0,IF($BE55&lt;=Control!$C$86,$BC55*9*($BF55/Control!$C$86),0))</f>
        <v>#N/A</v>
      </c>
      <c r="BI55" s="140" t="e">
        <f ca="1">IF($BG55=1,0,IF($BE55&gt;=Control!$C$86,1,IF(AND($BB55&lt;21,$BB55&gt;=9),1,$BM54)))</f>
        <v>#N/A</v>
      </c>
      <c r="BJ55" s="140" t="e">
        <f ca="1">IF($BF55&lt;0,-$BF55,$BI55*IF(OR($G55&lt;Control!$C$92,$G55&gt;Control!$C$95),0,IF(AND($G55&gt;=Control!$C$92,$G55&lt;=Control!$C$93),$G55-Control!$C$92,IF(AND($G55&gt;Control!$C$93,$G55&lt;=Control!$C$94),Control!$C$93-Control!$C$92,IF(AND($G55&gt;Control!$C$94,$G55&lt;=Control!$C$95),(Control!$C$93-Control!$C$92)*(Control!$C$94-$G55)/(Control!$C$95-Control!$C$94))))))</f>
        <v>#N/A</v>
      </c>
      <c r="BK55" s="140" t="e">
        <f t="shared" ca="1" si="124"/>
        <v>#N/A</v>
      </c>
      <c r="BL55" s="140" t="e">
        <f ca="1">IF($BK55&lt;=Control!$C$87,$BK55,Control!$C$87-$BK55)</f>
        <v>#N/A</v>
      </c>
      <c r="BM55" s="140" t="e">
        <f ca="1">IF(AND($BB55&gt;=9,$BB55&lt;21),1,IF($BK55&gt;=Control!$C$87,0,$BI55))</f>
        <v>#N/A</v>
      </c>
      <c r="BN55" s="404" t="e">
        <f ca="1">IF($BM55=0,0,IF($BK55&lt;=Control!$C$87,$BI55*(9+(21-9)*($BL55/Control!$C$87)),0))</f>
        <v>#N/A</v>
      </c>
      <c r="BO55" s="140" t="e">
        <f ca="1">IF($BM55=1,0,IF($BK55&gt;=Control!$C$87,1,IF(AND($BB55&lt;30,$BB55&gt;=21),1,$BS54)))</f>
        <v>#N/A</v>
      </c>
      <c r="BP55" s="140" t="e">
        <f ca="1">IF($BL55&lt;0,-$BL55,$BO55*IF(OR($G55&lt;Control!$C$92,$G55&gt;Control!$C$95),0,IF(AND($G55&gt;=Control!$C$92,$G55&lt;=Control!$C$93),$G55-Control!$C$92,IF(AND($G55&gt;Control!$C$93,$G55&lt;=Control!$C$94),Control!$C$93-Control!$C$92,IF(AND($G55&gt;Control!$C$94,$G55&lt;=Control!$C$95),(Control!$C$93-Control!$C$92)*(Control!$C$94-$G55)/(Control!$C$95-Control!$C$94))))))</f>
        <v>#N/A</v>
      </c>
      <c r="BQ55" s="140" t="e">
        <f t="shared" ca="1" si="15"/>
        <v>#N/A</v>
      </c>
      <c r="BR55" s="140" t="e">
        <f ca="1">IF($BQ55&lt;=Control!$C$88,$BQ55,Control!$C$88-$BQ55)</f>
        <v>#N/A</v>
      </c>
      <c r="BS55" s="140" t="e">
        <f ca="1">IF(AND($BB55&gt;=21,$BB55&lt;30),1,IF($BQ55&gt;=Control!$C$88,0,$BO55))</f>
        <v>#N/A</v>
      </c>
      <c r="BT55" s="404" t="e">
        <f ca="1">IF($BS55=0,0,IF($BQ55&lt;=Control!$C$88,$BO55*(21+(30-21)*(BR55/Control!$C$88)),0))</f>
        <v>#N/A</v>
      </c>
      <c r="BU55" s="140" t="e">
        <f ca="1">IF(BG55+BM55+BS55=1,0,IF(OR(AND($BB55&lt;60,$BB55&gt;=30),$BQ55&gt;=Control!$C$88),1*$BA55,$BY54))</f>
        <v>#N/A</v>
      </c>
      <c r="BV55" s="140" t="e">
        <f ca="1">IF($BR55&lt;0,-$BR55,$BU55*IF(OR($G55&lt;Control!$C$92,$G55&gt;Control!$C$95),0,IF(AND($G55&gt;=Control!$C$92,$G55&lt;=Control!$C$93),$G55-Control!$C$92,IF(AND($G55&gt;Control!$C$93,$G55&lt;=Control!$C$94),Control!$C$93-Control!$C$92,IF(AND($G55&gt;Control!$C$94,$G55&lt;=Control!$C$95),(Control!$C$93-Control!$C$92)*(Control!$C$94-$G55)/(Control!$C$95-Control!$C$94))))))</f>
        <v>#N/A</v>
      </c>
      <c r="BW55" s="140" t="e">
        <f t="shared" ca="1" si="16"/>
        <v>#N/A</v>
      </c>
      <c r="BX55" s="140" t="e">
        <f ca="1">IF($BW55&lt;=Control!$C$89,$BW55,Control!$C$89-$BW55)</f>
        <v>#N/A</v>
      </c>
      <c r="BY55" s="140" t="e">
        <f ca="1">IF(AND($AJ55&gt;=30,$AJ55&lt;60),1,IF($BW55&gt;=Control!$C$89,0,$BU55))</f>
        <v>#N/A</v>
      </c>
      <c r="BZ55" s="404" t="e">
        <f ca="1">IF($BY55=0,0,IF($BW55&lt;=Control!$C$89,$BU55*(30+(60-30)*(BX55/Control!$C$89)),0))</f>
        <v>#N/A</v>
      </c>
      <c r="CA55" s="140" t="e">
        <f ca="1">IF($BG55+$BM55+$BS55+$BY55=1,0,IF(OR(AND($BB55&lt;65,$BB55&gt;=60),$BW55&gt;=Control!$C$89),1*$BA55,$CE54))</f>
        <v>#N/A</v>
      </c>
      <c r="CB55" s="140" t="e">
        <f ca="1">IF($BX55&lt;0,-$BX55,$CA55*IF(OR($G55&lt;Control!$C$92,$G55&gt;Control!$C$95),0,IF(AND($G55&gt;=Control!$C$92,$G55&lt;=Control!$C$93),$G55-Control!$C$92,IF(AND($G55&gt;Control!$C$93,$G55&lt;=Control!$C$94),Control!$C$93-Control!$C$92,IF(AND($G55&gt;Control!$C$94,$G55&lt;=Control!$C$95),(Control!$C$93-Control!$C$92)*(Control!$C$94-$G55)/(Control!$C$95-Control!$C$94))))))</f>
        <v>#N/A</v>
      </c>
      <c r="CC55" s="140" t="e">
        <f t="shared" ca="1" si="125"/>
        <v>#N/A</v>
      </c>
      <c r="CD55" s="140" t="e">
        <f ca="1">IF($CC55&lt;=Control!$C$90,$CC55,Control!$C$90-$CC55)</f>
        <v>#N/A</v>
      </c>
      <c r="CE55" s="140" t="e">
        <f ca="1">IF(AND($BB55&gt;=60,$BB55&lt;65),1,IF($CC55&gt;=Control!$C$90,0,$CA55))</f>
        <v>#N/A</v>
      </c>
      <c r="CF55" s="404" t="e">
        <f ca="1">IF($CE55=0,0,IF($CC55&lt;=Control!$C$90,$CA55*(60+(65-60)*(CD55/Control!$C$90)),0))</f>
        <v>#N/A</v>
      </c>
      <c r="CG55" s="140" t="e">
        <f ca="1">IF($BG55+$BM55+$BS55+$BY55+$CE55=1,0,IF(OR(AND($BB55&lt;90,$BB55&gt;=65),$CC55&gt;=Control!$C$90),$BA55,$CK54))</f>
        <v>#N/A</v>
      </c>
      <c r="CH55" s="140" t="e">
        <f ca="1">IF($CD55&lt;0,-$CD55,$CG55*IF(OR($G55&lt;Control!$C$92,$G55&gt;Control!$C$95),0,IF(AND($G55&gt;=Control!$C$92,$G55&lt;=Control!$C$93),$G55-Control!$C$92,IF(AND($G55&gt;Control!$C$93,$G55&lt;=Control!$C$94),Control!$C$93-Control!$C$92,IF(AND($G55&gt;Control!$C$94,$G55&lt;=Control!$C$95),(Control!$C$93-Control!$C$92)*(Control!$C$94-$G55)/(Control!$C$95-Control!$C$94))))))</f>
        <v>#N/A</v>
      </c>
      <c r="CI55" s="140" t="e">
        <f t="shared" ca="1" si="126"/>
        <v>#N/A</v>
      </c>
      <c r="CJ55" s="140" t="e">
        <f ca="1">IF($CI55&lt;=Control!$C$91,$CI55,Control!$C$91-$CI55)</f>
        <v>#N/A</v>
      </c>
      <c r="CK55" s="140" t="e">
        <f ca="1">IF(AND($BB55&gt;=65,$BB55&lt;90),1,IF($CI55&gt;=Control!$C$91,0,$CG55))</f>
        <v>#N/A</v>
      </c>
      <c r="CL55" s="404" t="e">
        <f ca="1">IF($CK55=0,0,IF($CI55&lt;=Control!$C$91,$CG55*(65+(90-65)*($CJ55/Control!$C$91)),0))</f>
        <v>#N/A</v>
      </c>
      <c r="CM55" s="140" t="e">
        <f ca="1">IF($BG55+$BM55+$BS55+$BY55+$CE55+$CK55=1,0,IF(OR($BB55&gt;=90,$CI55&gt;=Control!$C$91),$BA55,$CM54))</f>
        <v>#N/A</v>
      </c>
      <c r="CN55" s="140" t="e">
        <f t="shared" ca="1" si="127"/>
        <v>#N/A</v>
      </c>
      <c r="CO55" s="140" t="e">
        <f t="shared" ca="1" si="128"/>
        <v>#N/A</v>
      </c>
      <c r="CP55" s="140" t="e">
        <f t="shared" ca="1" si="129"/>
        <v>#N/A</v>
      </c>
      <c r="CQ55" s="141" t="e">
        <f ca="1">VLOOKUP($CP55,Control!$B$86:$G$91,6)</f>
        <v>#N/A</v>
      </c>
      <c r="CR55" s="141" t="e">
        <f ca="1">(1-$CQ55)*VLOOKUP($CP55,Control!$B$86:$D$91,3)</f>
        <v>#N/A</v>
      </c>
      <c r="CS55" s="141" t="e">
        <f ca="1">(1-$CQ55)*VLOOKUP($CP55,Control!$B$86:$E$91,4)</f>
        <v>#N/A</v>
      </c>
      <c r="CT55" s="141" t="e">
        <f ca="1">(1-$CQ55)*VLOOKUP($CP55,Control!$B$86:$F$91,5)</f>
        <v>#N/A</v>
      </c>
      <c r="CU55" s="141">
        <f t="shared" ca="1" si="130"/>
        <v>0</v>
      </c>
      <c r="CV55" s="583">
        <f t="shared" ca="1" si="131"/>
        <v>0</v>
      </c>
      <c r="CW55" s="142">
        <f t="shared" ca="1" si="132"/>
        <v>50</v>
      </c>
      <c r="CX55" s="612" t="e">
        <f ca="1">IF(Control!$C$114=1,(MIN(Control!$C$120*(IF($NT55-0.01&lt;0,0,1)),Control!$C$119-$CY55)))</f>
        <v>#DIV/0!</v>
      </c>
      <c r="CY55" s="143" t="e">
        <f t="shared" ca="1" si="133"/>
        <v>#N/A</v>
      </c>
      <c r="CZ55" s="144">
        <f t="shared" ca="1" si="17"/>
        <v>0</v>
      </c>
      <c r="DA55" s="144">
        <f t="shared" ca="1" si="18"/>
        <v>0</v>
      </c>
      <c r="DB55" s="144" t="e">
        <f t="shared" ca="1" si="19"/>
        <v>#N/A</v>
      </c>
      <c r="DC55" s="144" t="e">
        <f t="shared" ca="1" si="20"/>
        <v>#N/A</v>
      </c>
      <c r="DD55" s="144" t="e">
        <f t="shared" ca="1" si="216"/>
        <v>#N/A</v>
      </c>
      <c r="DE55" s="143" t="e">
        <f t="shared" ca="1" si="135"/>
        <v>#N/A</v>
      </c>
      <c r="DF55" s="145" t="e">
        <f ca="1">$DR55*EXP(-Control!$C$158*(1-$KH55))</f>
        <v>#N/A</v>
      </c>
      <c r="DG55" s="146" t="e">
        <f ca="1">IF(Control!$C$114=1, $DF55*$EY55, 0)</f>
        <v>#N/A</v>
      </c>
      <c r="DH55" s="147" t="e">
        <f t="shared" ca="1" si="136"/>
        <v>#N/A</v>
      </c>
      <c r="DI55" s="144" t="e">
        <f t="shared" ca="1" si="191"/>
        <v>#N/A</v>
      </c>
      <c r="DJ55" s="147" t="e">
        <f ca="1">$EF55*Control!$C$109</f>
        <v>#N/A</v>
      </c>
      <c r="DK55" s="144" t="e">
        <f t="shared" ca="1" si="137"/>
        <v>#N/A</v>
      </c>
      <c r="DL55" s="144" t="e">
        <f t="shared" ca="1" si="21"/>
        <v>#N/A</v>
      </c>
      <c r="DM55" s="144" t="e">
        <f ca="1">IF(Control!$C$114=1, (1-EXP(-Control!$C$96*$DK55))*$AR55, 0)</f>
        <v>#N/A</v>
      </c>
      <c r="DN55" s="144">
        <f t="shared" ca="1" si="138"/>
        <v>0</v>
      </c>
      <c r="DO55" s="148">
        <f>Control!$C$97</f>
        <v>4</v>
      </c>
      <c r="DP55" s="145" t="e">
        <f t="shared" ca="1" si="139"/>
        <v>#N/A</v>
      </c>
      <c r="DQ55" s="145" t="e">
        <f ca="1">IF(AND($CP55&gt;=0,$CP55&lt;=90),Control!$C$111,Control!$C$111)</f>
        <v>#N/A</v>
      </c>
      <c r="DR55" s="145" t="e">
        <f t="shared" ca="1" si="22"/>
        <v>#N/A</v>
      </c>
      <c r="DS55" s="143" t="e">
        <f ca="1">Control!$B$22/$DR55</f>
        <v>#N/A</v>
      </c>
      <c r="DT55" s="149" t="e">
        <f ca="1">IF(AND(Control!$C$114=1,$KH55&lt;1),$IM55*$DF55, 0)</f>
        <v>#N/A</v>
      </c>
      <c r="DU55" s="144" t="e">
        <f t="shared" ca="1" si="192"/>
        <v>#N/A</v>
      </c>
      <c r="DV55" s="144">
        <f ca="1">IF($G55-Control!$C$107&lt;=0, 0, 0.83*LN(MAX($G55, 3))-0.8924)</f>
        <v>0</v>
      </c>
      <c r="DW55" s="144" t="e">
        <f t="shared" ca="1" si="23"/>
        <v>#N/A</v>
      </c>
      <c r="DX55" s="150" t="e">
        <f ca="1">MAX(0.01*(1+$CU55/Control!$C$102),0.05*($DK55-Control!$C$97)/Control!$C$97)</f>
        <v>#N/A</v>
      </c>
      <c r="DY55" s="151" t="e">
        <f ca="1">IF(Control!$C$114=1, $DI55*$FS55, 0)</f>
        <v>#N/A</v>
      </c>
      <c r="DZ55" s="196" t="e">
        <f t="shared" ca="1" si="140"/>
        <v>#N/A</v>
      </c>
      <c r="EA55" s="152">
        <f t="shared" ca="1" si="141"/>
        <v>50</v>
      </c>
      <c r="EB55" s="153" t="e">
        <f t="shared" ca="1" si="217"/>
        <v>#N/A</v>
      </c>
      <c r="EC55" s="153" t="e">
        <f t="shared" ca="1" si="142"/>
        <v>#N/A</v>
      </c>
      <c r="ED55" s="154" t="e">
        <f ca="1">IF(Control!$C$114=1, $HM55*$FY55-$FD55, 0)</f>
        <v>#DIV/0!</v>
      </c>
      <c r="EE55" s="155" t="e">
        <f ca="1">IF(Control!$C$114=1, $HM55*$FZ55-$FF55, 0)</f>
        <v>#DIV/0!</v>
      </c>
      <c r="EF55" s="153" t="e">
        <f t="shared" ca="1" si="193"/>
        <v>#N/A</v>
      </c>
      <c r="EG55" s="155" t="e">
        <f ca="1">IF(Control!$C$114=1, $GX55*$FW55-$FI55, 0)</f>
        <v>#DIV/0!</v>
      </c>
      <c r="EH55" s="153" t="e">
        <f t="shared" ca="1" si="143"/>
        <v>#N/A</v>
      </c>
      <c r="EI55" s="156" t="e">
        <f t="shared" ca="1" si="144"/>
        <v>#N/A</v>
      </c>
      <c r="EJ55" s="155" t="e">
        <f ca="1">IF(Control!$C$114=1, $HM55*$GB55, 0)</f>
        <v>#DIV/0!</v>
      </c>
      <c r="EK55" s="153" t="e">
        <f t="shared" ca="1" si="194"/>
        <v>#N/A</v>
      </c>
      <c r="EL55" s="153" t="e">
        <f t="shared" ca="1" si="24"/>
        <v>#N/A</v>
      </c>
      <c r="EM55" s="153" t="e">
        <f t="shared" ca="1" si="25"/>
        <v>#N/A</v>
      </c>
      <c r="EN55" s="153" t="e">
        <f ca="1">IF(Control!$C$108=1,IF(AND(Control!$B$18=1,$EB55&gt;=Control!$B$19),$EB55-$DS55,IF(AND(Control!$B$18=2,$AW55=1,$EB55&gt;$DS55),$EB55-$DS55,0)))</f>
        <v>#N/A</v>
      </c>
      <c r="EO55" s="153" t="e">
        <f ca="1">IF(Control!$C$108=1,IF(AND(Control!$B$18=1,$EB55&gt;=Control!$B$19),$EF55,IF(AND(Control!$B$18=2,$AW55=1),$EF55,0)))</f>
        <v>#N/A</v>
      </c>
      <c r="EP55" s="153" t="e">
        <f ca="1">IF(Control!$C$108=1,IF(AND(Control!$B$18=1,$EB55&gt;=Control!$B$19),$EK55,IF(AND(Control!$B$18=2,$AW55=1),$EK55,0)))</f>
        <v>#N/A</v>
      </c>
      <c r="EQ55" s="153" t="e">
        <f t="shared" ca="1" si="145"/>
        <v>#N/A</v>
      </c>
      <c r="ER55" s="153" t="e">
        <f t="shared" ca="1" si="231"/>
        <v>#N/A</v>
      </c>
      <c r="ES55" s="153" t="e">
        <f t="shared" ca="1" si="196"/>
        <v>#N/A</v>
      </c>
      <c r="ET55" s="153" t="e">
        <f t="shared" ca="1" si="197"/>
        <v>#N/A</v>
      </c>
      <c r="EU55" s="153" t="e">
        <f t="shared" ca="1" si="198"/>
        <v>#N/A</v>
      </c>
      <c r="EV55" s="153" t="e">
        <f t="shared" ca="1" si="146"/>
        <v>#N/A</v>
      </c>
      <c r="EW55" s="153" t="e">
        <f t="shared" ca="1" si="218"/>
        <v>#N/A</v>
      </c>
      <c r="EX55" s="153" t="e">
        <f t="shared" ca="1" si="26"/>
        <v>#N/A</v>
      </c>
      <c r="EY55" s="157" t="e">
        <f t="shared" ca="1" si="147"/>
        <v>#DIV/0!</v>
      </c>
      <c r="EZ55" s="154" t="e">
        <f t="shared" ca="1" si="27"/>
        <v>#DIV/0!</v>
      </c>
      <c r="FA55" s="153" t="e">
        <f t="shared" ca="1" si="199"/>
        <v>#N/A</v>
      </c>
      <c r="FB55" s="153" t="e">
        <f t="shared" ca="1" si="28"/>
        <v>#N/A</v>
      </c>
      <c r="FC55" s="193" t="e">
        <f t="shared" ca="1" si="29"/>
        <v>#N/A</v>
      </c>
      <c r="FD55" s="158" t="e">
        <f t="shared" ca="1" si="200"/>
        <v>#N/A</v>
      </c>
      <c r="FE55" s="158" t="e">
        <f t="shared" ca="1" si="148"/>
        <v>#N/A</v>
      </c>
      <c r="FF55" s="159" t="e">
        <f t="shared" ca="1" si="30"/>
        <v>#N/A</v>
      </c>
      <c r="FG55" s="160" t="e">
        <f t="shared" ca="1" si="149"/>
        <v>#N/A</v>
      </c>
      <c r="FH55" s="158" t="e">
        <f t="shared" ca="1" si="150"/>
        <v>#N/A</v>
      </c>
      <c r="FI55" s="159" t="e">
        <f t="shared" ca="1" si="31"/>
        <v>#N/A</v>
      </c>
      <c r="FJ55" s="160" t="e">
        <f t="shared" ca="1" si="151"/>
        <v>#N/A</v>
      </c>
      <c r="FK55" s="160" t="e">
        <f t="shared" ca="1" si="32"/>
        <v>#N/A</v>
      </c>
      <c r="FL55" s="160" t="e">
        <f t="shared" ca="1" si="229"/>
        <v>#N/A</v>
      </c>
      <c r="FM55" s="160" t="e">
        <f t="shared" ca="1" si="33"/>
        <v>#N/A</v>
      </c>
      <c r="FN55" s="158">
        <f t="shared" ca="1" si="219"/>
        <v>0.01</v>
      </c>
      <c r="FO55" s="160">
        <f>Control!$C$101</f>
        <v>50</v>
      </c>
      <c r="FP55" s="150" t="e">
        <f t="shared" ca="1" si="34"/>
        <v>#N/A</v>
      </c>
      <c r="FQ55" s="150" t="e">
        <f ca="1">MAX(0,(Control!$C$112*(($DK55-Control!$C$97)/Control!$C$97)))</f>
        <v>#N/A</v>
      </c>
      <c r="FR55" s="150" t="e">
        <f ca="1">(1-$NT55)*Control!$C$113</f>
        <v>#DIV/0!</v>
      </c>
      <c r="FS55" s="198" t="e">
        <f t="shared" ca="1" si="35"/>
        <v>#N/A</v>
      </c>
      <c r="FT55" s="161">
        <f t="shared" ca="1" si="152"/>
        <v>50</v>
      </c>
      <c r="FU55" s="162" t="e">
        <f ca="1">IF(Control!$B$34=1,VLOOKUP($CP55,Control!$B$86:$G$91,6),Control!$B$35)</f>
        <v>#N/A</v>
      </c>
      <c r="FV55" s="162" t="e">
        <f t="shared" ca="1" si="36"/>
        <v>#DIV/0!</v>
      </c>
      <c r="FW55" s="162" t="e">
        <f ca="1">IF(Control!$B$31=1,$FU55*$FV55,  $FU55)</f>
        <v>#N/A</v>
      </c>
      <c r="FX55" s="162" t="e">
        <f ca="1">IF(Control!$B$34=1,VLOOKUP($CP55,Control!$B$86:$G$91,3),Control!$B$36)</f>
        <v>#N/A</v>
      </c>
      <c r="FY55" s="162" t="e">
        <f t="shared" ca="1" si="37"/>
        <v>#N/A</v>
      </c>
      <c r="FZ55" s="162" t="e">
        <f ca="1">IF(Control!$B$34=1,VLOOKUP($CP55,Control!$B$86:$G$91,4),Control!$B$37)</f>
        <v>#N/A</v>
      </c>
      <c r="GA55" s="162" t="e">
        <f t="shared" ca="1" si="38"/>
        <v>#N/A</v>
      </c>
      <c r="GB55" s="162" t="e">
        <f ca="1">IF(Control!$B$34=1,VLOOKUP($CP55,Control!$B$86:$G$91,5),Control!$B$38)</f>
        <v>#N/A</v>
      </c>
      <c r="GC55" s="162" t="e">
        <f t="shared" ca="1" si="153"/>
        <v>#N/A</v>
      </c>
      <c r="GD55" s="162">
        <f t="shared" ca="1" si="39"/>
        <v>1</v>
      </c>
      <c r="GE55" s="162">
        <f t="shared" ca="1" si="40"/>
        <v>1</v>
      </c>
      <c r="GF55" s="162">
        <f ca="1">IF(AND(Control!$C$104=1, Control!$C$62="F"),$GE55,1)</f>
        <v>1</v>
      </c>
      <c r="GG55" s="162" t="e">
        <f ca="1">IF(Control!$B$16=40,0,IF(AND(Control!$B$16&gt;40,Control!$B$16&lt;=360),(Control!$B$16-40)*((1-0)/(360-40)),IF(AND(Control!$B$16&gt;360,Control!$B$16&lt;=720),(1+(Control!$B$16-360)*((1.25-1)/(720-360))),IF(AND(Control!$B$16&gt;720,Control!$B$16&lt;=1000),(1.25+(Control!$B$16-720)*((1.35-1.25)/(1000-720))),IF(AND(Control!$B$16&gt;1000,Control!$B$16&lt;=2000),(1.35+(Control!$B$16-1000)*0))))))</f>
        <v>#N/A</v>
      </c>
      <c r="GH55" s="162" t="e">
        <f t="shared" ca="1" si="41"/>
        <v>#N/A</v>
      </c>
      <c r="GI55" s="162">
        <f t="shared" ca="1" si="201"/>
        <v>0</v>
      </c>
      <c r="GJ55" s="162">
        <f t="shared" ca="1" si="42"/>
        <v>0</v>
      </c>
      <c r="GK55" s="162">
        <f t="shared" ca="1" si="220"/>
        <v>1</v>
      </c>
      <c r="GL55" s="162">
        <f t="shared" ca="1" si="43"/>
        <v>1</v>
      </c>
      <c r="GM55" s="162" t="e">
        <f ca="1">MAX(0,MIN(1,1-Control!$C$156*(1.0001-$KH55)^2))</f>
        <v>#N/A</v>
      </c>
      <c r="GN55" s="162" t="e">
        <f ca="1">IF(Control!$B$26=1,$KU55,$KX55)</f>
        <v>#N/A</v>
      </c>
      <c r="GO55" s="162" t="e">
        <f ca="1">IF($CP55&lt;=60,Control!$C$105,IF($CP55&gt;=90,Control!$C$106,Control!$C$105+($CP55-60)*((Control!$C$106-Control!$C$105)/(90-60))))</f>
        <v>#N/A</v>
      </c>
      <c r="GP55" s="162" t="e">
        <f t="shared" ca="1" si="154"/>
        <v>#N/A</v>
      </c>
      <c r="GQ55" s="162" t="e">
        <f t="shared" ca="1" si="155"/>
        <v>#N/A</v>
      </c>
      <c r="GR55" s="163" t="e">
        <f t="shared" ca="1" si="44"/>
        <v>#DIV/0!</v>
      </c>
      <c r="GS55" s="162" t="e">
        <f t="shared" ca="1" si="45"/>
        <v>#DIV/0!</v>
      </c>
      <c r="GT55" s="164" t="e">
        <f t="shared" ca="1" si="156"/>
        <v>#N/A</v>
      </c>
      <c r="GU55" s="162" t="e">
        <f t="shared" ca="1" si="157"/>
        <v>#N/A</v>
      </c>
      <c r="GV55" s="162" t="e">
        <f t="shared" ca="1" si="46"/>
        <v>#N/A</v>
      </c>
      <c r="GW55" s="162" t="e">
        <f t="shared" ca="1" si="221"/>
        <v>#DIV/0!</v>
      </c>
      <c r="GX55" s="162" t="e">
        <f t="shared" ca="1" si="228"/>
        <v>#DIV/0!</v>
      </c>
      <c r="GY55" s="162" t="e">
        <f t="shared" ca="1" si="158"/>
        <v>#DIV/0!</v>
      </c>
      <c r="GZ55" s="165" t="e">
        <f t="shared" ca="1" si="159"/>
        <v>#N/A</v>
      </c>
      <c r="HA55" s="162" t="e">
        <f ca="1">IF(Control!$C$114=1, $DI55*$FS55, 0)</f>
        <v>#N/A</v>
      </c>
      <c r="HB55" s="162" t="e">
        <f ca="1">$FA55/Control!$C$64</f>
        <v>#N/A</v>
      </c>
      <c r="HC55" s="162" t="e">
        <f t="shared" ca="1" si="222"/>
        <v>#DIV/0!</v>
      </c>
      <c r="HD55" s="162">
        <f ca="1">-ASIN(SIN(23.45*Control!$C$139)*COS(2*Control!$C$138*($AH55+10)/365))</f>
        <v>-0.20533703550631346</v>
      </c>
      <c r="HE55" s="165">
        <f t="shared" ca="1" si="160"/>
        <v>0</v>
      </c>
      <c r="HF55" s="166">
        <f ca="1">IF(AND(Control!$C$61="T",$HE55&gt;=Control!$C$103,Control!$C$114=0),$AH55,Control!$C$59)</f>
        <v>1</v>
      </c>
      <c r="HG55" s="166">
        <f ca="1">IF(AND(Control!$C$61="T",$HE55&gt;=Control!$C$103,Control!$C$114=0),$HF55,Control!$C$59)</f>
        <v>1</v>
      </c>
      <c r="HH55" s="165">
        <f ca="1">IF(AND(OR(Control!$C$60&lt;=0, $AH55= Control!$C$59, Control!$C$60 &gt;0, $AH55 = Control!$C$60)), Control!$C$59, IF(Control!$C$60&gt;0, 0))</f>
        <v>1</v>
      </c>
      <c r="HI55" s="165">
        <f ca="1">IF(AND(OR(Control!$C$60&lt;=0, $AH55= Control!$C$59, Control!$C$60 &gt;0, $AH55 = Control!$C$60)), Control!$C$60, IF(Control!$C$60&lt;=0, 0))</f>
        <v>0</v>
      </c>
      <c r="HJ55" s="166">
        <f ca="1">IF(AND(Control!$C$62="F",$CV55&gt;=Control!$C$102),$AH55,0)</f>
        <v>0</v>
      </c>
      <c r="HK55" s="165" t="e">
        <f t="shared" ca="1" si="202"/>
        <v>#N/A</v>
      </c>
      <c r="HL55" s="166">
        <f ca="1">IF(AND(Control!$C$61="T",$HE55&gt;=Control!$C$103,Control!$C$114=0),$HF55,0)</f>
        <v>0</v>
      </c>
      <c r="HM55" s="201" t="e">
        <f t="shared" ca="1" si="47"/>
        <v>#DIV/0!</v>
      </c>
      <c r="HN55" s="215">
        <f t="shared" ca="1" si="161"/>
        <v>50</v>
      </c>
      <c r="HO55" s="216" t="e">
        <f ca="1">IF(AND($CP55&gt;=0, $CP55&lt;=90), Control!$C$152, Control!$C$152)</f>
        <v>#N/A</v>
      </c>
      <c r="HP55" s="216" t="e">
        <f t="shared" ca="1" si="48"/>
        <v>#N/A</v>
      </c>
      <c r="HQ55" s="217" t="e">
        <f ca="1">IF(OR(Control!$B$26=1,Control!$B$26=2),$KV55,$KS55)</f>
        <v>#DIV/0!</v>
      </c>
      <c r="HR55" s="218" t="e">
        <f t="shared" ca="1" si="223"/>
        <v>#DIV/0!</v>
      </c>
      <c r="HS55" s="216" t="e">
        <f ca="1">Control!$C$154*$HP55</f>
        <v>#N/A</v>
      </c>
      <c r="HT55" s="216" t="e">
        <f ca="1">Control!$C$155*$HP55</f>
        <v>#N/A</v>
      </c>
      <c r="HU55" s="217" t="e">
        <f ca="1">Control!$C$161*$FI55</f>
        <v>#N/A</v>
      </c>
      <c r="HV55" s="218" t="e">
        <f t="shared" ca="1" si="162"/>
        <v>#N/A</v>
      </c>
      <c r="HW55" s="218" t="e">
        <f ca="1">Control!$C$160*$FF55+$IP55*$EO55</f>
        <v>#N/A</v>
      </c>
      <c r="HX55" s="218" t="e">
        <f t="shared" ca="1" si="203"/>
        <v>#N/A</v>
      </c>
      <c r="HY55" s="219" t="e">
        <f ca="1">IF(Control!$C$114=1, $EB55*$FS55, 0)</f>
        <v>#N/A</v>
      </c>
      <c r="HZ55" s="91" t="e">
        <f t="shared" ca="1" si="49"/>
        <v>#N/A</v>
      </c>
      <c r="IA55" s="220" t="e">
        <f ca="1">Control!$C$153*$HO55</f>
        <v>#N/A</v>
      </c>
      <c r="IB55" s="218" t="e">
        <f t="shared" ca="1" si="50"/>
        <v>#N/A</v>
      </c>
      <c r="IC55" s="220" t="e">
        <f ca="1">Control!$C$153*$HT55</f>
        <v>#N/A</v>
      </c>
      <c r="ID55" s="218" t="e">
        <f t="shared" ca="1" si="51"/>
        <v>#N/A</v>
      </c>
      <c r="IE55" s="221" t="e">
        <f ca="1">($EB55*Control!$C$159+$EF55*Control!$C$160)/(IF($GZ55&lt;&gt;0,$GZ55,1))</f>
        <v>#N/A</v>
      </c>
      <c r="IF55" s="216" t="e">
        <f t="shared" ca="1" si="52"/>
        <v>#N/A</v>
      </c>
      <c r="IG55" s="91">
        <f ca="1">IF(OR(Control!$B$198=$AH55,Control!$B$199=$AH55, Control!$B$200=$AH55, Control!$B$201=$AH55, Control!$B$202=$AH55, Control!$B$203=$AH55, Control!$B$204=$AH55, Control!$B$205=$AH55, Control!$B$206=$AH55, Control!$B$207=$AH55), 1, 0)</f>
        <v>0</v>
      </c>
      <c r="IH55" s="91">
        <f ca="1">IF($IG55=0,0, VLOOKUP($AH55,Control!$B$198:$C$207,2))</f>
        <v>0</v>
      </c>
      <c r="II55" s="222">
        <f t="shared" ca="1" si="163"/>
        <v>0</v>
      </c>
      <c r="IJ55" s="91">
        <f>Control!$C$121</f>
        <v>0.7</v>
      </c>
      <c r="IK55" s="218">
        <f t="shared" ca="1" si="53"/>
        <v>0</v>
      </c>
      <c r="IL55" s="217" t="e">
        <f t="shared" ca="1" si="204"/>
        <v>#N/A</v>
      </c>
      <c r="IM55" s="223" t="e">
        <f ca="1">IF(AND(Control!$C$114=1,$KH55&lt;1),$EB55*Control!$C$148*(1-$KH55), 0)</f>
        <v>#N/A</v>
      </c>
      <c r="IN55" s="217" t="e">
        <f t="shared" ca="1" si="54"/>
        <v>#DIV/0!</v>
      </c>
      <c r="IO55" s="91" t="e">
        <f ca="1">MAX(0,$IL55-$EF55*Control!$C$160)</f>
        <v>#N/A</v>
      </c>
      <c r="IP55" s="220" t="e">
        <f t="shared" ca="1" si="55"/>
        <v>#N/A</v>
      </c>
      <c r="IQ55" s="217" t="e">
        <f t="shared" ca="1" si="164"/>
        <v>#N/A</v>
      </c>
      <c r="IR55" s="218" t="e">
        <f t="shared" ca="1" si="56"/>
        <v>#N/A</v>
      </c>
      <c r="IS55" s="217" t="e">
        <f ca="1">Control!$C$159*MAX(0,$FD55-$EN55)</f>
        <v>#N/A</v>
      </c>
      <c r="IT55" s="217" t="e">
        <f t="shared" ca="1" si="205"/>
        <v>#N/A</v>
      </c>
      <c r="IU55" s="217" t="e">
        <f t="shared" ca="1" si="165"/>
        <v>#N/A</v>
      </c>
      <c r="IV55" s="217" t="e">
        <f t="shared" ca="1" si="206"/>
        <v>#N/A</v>
      </c>
      <c r="IW55" s="217" t="e">
        <f ca="1">IF(OR($AW55=1,AND($AW55=0, Control!$B$18=1,$EN55&lt;&gt;0)), $IQ55-$IU55, $IQ55)</f>
        <v>#N/A</v>
      </c>
      <c r="IX55" s="218" t="e">
        <f t="shared" ca="1" si="57"/>
        <v>#N/A</v>
      </c>
      <c r="IY55" s="218" t="e">
        <f ca="1">MAX(0,$IQ55-$EB55*Control!$C$159)</f>
        <v>#N/A</v>
      </c>
      <c r="IZ55" s="218" t="e">
        <f t="shared" ca="1" si="58"/>
        <v>#N/A</v>
      </c>
      <c r="JA55" s="216" t="e">
        <f t="shared" ca="1" si="59"/>
        <v>#N/A</v>
      </c>
      <c r="JB55" s="217" t="e">
        <f t="shared" ca="1" si="60"/>
        <v>#N/A</v>
      </c>
      <c r="JC55" s="222" t="e">
        <f ca="1">MAX(Control!$C$157*$EK55-$JT55, 0)/Control!$C$162</f>
        <v>#N/A</v>
      </c>
      <c r="JD55" s="218" t="e">
        <f t="shared" ca="1" si="61"/>
        <v>#N/A</v>
      </c>
      <c r="JE55" s="218" t="e">
        <f t="shared" ca="1" si="62"/>
        <v>#N/A</v>
      </c>
      <c r="JF55" s="218" t="e">
        <f t="shared" ca="1" si="207"/>
        <v>#N/A</v>
      </c>
      <c r="JG55" s="218" t="e">
        <f t="shared" ca="1" si="63"/>
        <v>#N/A</v>
      </c>
      <c r="JH55" s="217" t="e">
        <f t="shared" ca="1" si="166"/>
        <v>#N/A</v>
      </c>
      <c r="JI55" s="217" t="e">
        <f t="shared" ca="1" si="167"/>
        <v>#N/A</v>
      </c>
      <c r="JJ55" s="217" t="e">
        <f t="shared" ca="1" si="224"/>
        <v>#N/A</v>
      </c>
      <c r="JK55" s="217" t="e">
        <f ca="1">IF(Control!$C$114=1,IF(Control!$B$24=0,MAX(0,$JI55)*$GN55/Control!$C$64,(MAX(0,MIN($JI55,$JJ55*$GN55/Control!$C$64),0))))</f>
        <v>#N/A</v>
      </c>
      <c r="JL55" s="217" t="e">
        <f ca="1">$IK55/Control!$C$64-$JK55+$HQ55</f>
        <v>#N/A</v>
      </c>
      <c r="JM55" s="217" t="e">
        <f ca="1">IF(Control!$C$114=1,($JB55/(IF($JI55&lt;&gt;0,$JI55,1)))*$JK55,0)</f>
        <v>#N/A</v>
      </c>
      <c r="JN55" s="217" t="e">
        <f ca="1">IF(Control!$C$114=1,($JG55/(IF($JI55&lt;&gt;0,$JI55,1)))*$JK55, 0)</f>
        <v>#N/A</v>
      </c>
      <c r="JO55" s="218" t="e">
        <f t="shared" ca="1" si="64"/>
        <v>#N/A</v>
      </c>
      <c r="JP55" s="218" t="e">
        <f ca="1">MIN(($IY55+$IO55)*Control!$C$151, $JF55-$EH55*Control!$C$161)</f>
        <v>#N/A</v>
      </c>
      <c r="JQ55" s="218" t="e">
        <f t="shared" ca="1" si="65"/>
        <v>#N/A</v>
      </c>
      <c r="JR55" s="217" t="e">
        <f ca="1">IF($CP55-Control!$C$150&lt;0, 0, $JQ55/Control!$C$162)</f>
        <v>#N/A</v>
      </c>
      <c r="JS55" s="218" t="e">
        <f t="shared" ca="1" si="66"/>
        <v>#N/A</v>
      </c>
      <c r="JT55" s="218" t="e">
        <f t="shared" ca="1" si="168"/>
        <v>#N/A</v>
      </c>
      <c r="JU55" s="218" t="e">
        <f t="shared" ca="1" si="67"/>
        <v>#N/A</v>
      </c>
      <c r="JV55" s="218" t="e">
        <f t="shared" ca="1" si="68"/>
        <v>#N/A</v>
      </c>
      <c r="JW55" s="216" t="e">
        <f t="shared" ca="1" si="69"/>
        <v>#N/A</v>
      </c>
      <c r="JX55" s="91" t="e">
        <f t="shared" ca="1" si="70"/>
        <v>#N/A</v>
      </c>
      <c r="JY55" s="218" t="e">
        <f t="shared" ca="1" si="71"/>
        <v>#N/A</v>
      </c>
      <c r="JZ55" s="217" t="e">
        <f ca="1">IF(Control!$C$114=1,($IZ55/(IF($JI55&lt;&gt;0,$JI55,1)))*$JK55, 0)</f>
        <v>#N/A</v>
      </c>
      <c r="KA55" s="218" t="e">
        <f t="shared" ca="1" si="225"/>
        <v>#N/A</v>
      </c>
      <c r="KB55" s="218" t="e">
        <f t="shared" ca="1" si="169"/>
        <v>#N/A</v>
      </c>
      <c r="KC55" s="218" t="e">
        <f t="shared" ca="1" si="72"/>
        <v>#N/A</v>
      </c>
      <c r="KD55" s="218" t="e">
        <f t="shared" ca="1" si="73"/>
        <v>#N/A</v>
      </c>
      <c r="KE55" s="218" t="e">
        <f t="shared" ca="1" si="74"/>
        <v>#N/A</v>
      </c>
      <c r="KF55" s="218" t="e">
        <f t="shared" ca="1" si="75"/>
        <v>#N/A</v>
      </c>
      <c r="KG55" s="216" t="e">
        <f t="shared" ca="1" si="76"/>
        <v>#N/A</v>
      </c>
      <c r="KH55" s="221" t="e">
        <f ca="1">IF(Control!$B$24=0,1,MAX(0.001,MIN(1,IF(($IF55-$IE55)&lt;&gt;0,($KG55-$IE55)/($IF55-$IE55),1))))</f>
        <v>#N/A</v>
      </c>
      <c r="KI55" s="222" t="e">
        <f ca="1">IF(Control!$C$114=1, $KI54+ $KH54, 0)</f>
        <v>#N/A</v>
      </c>
      <c r="KJ55" s="217" t="e">
        <f t="shared" ca="1" si="77"/>
        <v>#N/A</v>
      </c>
      <c r="KK55" s="218" t="e">
        <f t="shared" ca="1" si="78"/>
        <v>#N/A</v>
      </c>
      <c r="KL55" s="274" t="e">
        <f ca="1">IF(Control!$B$26=3,4000000000*EXP(-8400/($G55+273)),IF(Control!$B$26=4,4000000000*EXP(-8400/($G55+273))*($KT55),0))</f>
        <v>#DIV/0!</v>
      </c>
      <c r="KM55" s="274" t="e">
        <f ca="1">IF(Control!$B$26=3,5600000000000*EXP(-9800/($G55+273)),IF(Control!$B$26=4,5600000000000*EXP(-9800/($G55+273))*$KT55,0))</f>
        <v>#DIV/0!</v>
      </c>
      <c r="KN55" s="454" t="e">
        <f t="shared" ca="1" si="170"/>
        <v>#DIV/0!</v>
      </c>
      <c r="KO55" s="274" t="e">
        <f t="shared" ca="1" si="171"/>
        <v>#DIV/0!</v>
      </c>
      <c r="KP55" s="454" t="e">
        <f t="shared" ca="1" si="79"/>
        <v>#DIV/0!</v>
      </c>
      <c r="KQ55" s="454" t="e">
        <f t="shared" ca="1" si="80"/>
        <v>#DIV/0!</v>
      </c>
      <c r="KR55" s="454" t="e">
        <f t="shared" ca="1" si="81"/>
        <v>#DIV/0!</v>
      </c>
      <c r="KS55" s="454" t="e">
        <f t="shared" ca="1" si="82"/>
        <v>#DIV/0!</v>
      </c>
      <c r="KT55" s="455" t="e">
        <f t="shared" ca="1" si="83"/>
        <v>#DIV/0!</v>
      </c>
      <c r="KU55" s="456" t="e">
        <f ca="1">IF($CP55-Control!$C$149&lt;0, IF($NT55-0.01&lt;0,0,1),0)</f>
        <v>#N/A</v>
      </c>
      <c r="KV55" s="456" t="e">
        <f ca="1">IF(Control!$C$114=1,MAX(0,MIN(Control!$C$125*$KW55*$GN55,$KW55)))</f>
        <v>#DIV/0!</v>
      </c>
      <c r="KW55" s="456" t="e">
        <f t="shared" ca="1" si="208"/>
        <v>#DIV/0!</v>
      </c>
      <c r="KX55" s="457" t="e">
        <f ca="1">IF($CP55-Control!$C$149&lt;0, IF($MR55-$OM55&lt;0,0,1),0)</f>
        <v>#N/A</v>
      </c>
      <c r="KY55" s="167">
        <f t="shared" ca="1" si="172"/>
        <v>50</v>
      </c>
      <c r="KZ55" s="168">
        <f ca="1">1370*(1+0.033*COS(2*Control!$C$138*$AH55/365))</f>
        <v>1399.472284601693</v>
      </c>
      <c r="LA55" s="169">
        <f t="shared" ca="1" si="173"/>
        <v>1.0215126668639976</v>
      </c>
      <c r="LB55" s="169">
        <f t="shared" ca="1" si="174"/>
        <v>-0.2065124223366139</v>
      </c>
      <c r="LC55" s="169">
        <f ca="1">ACOS(-TAN((2*Control!$B$8/360))*TAN(Calculations!$LB55))</f>
        <v>1.5084922312749947</v>
      </c>
      <c r="LD55" s="169">
        <f ca="1">((24*60)/PI())*0.082*$LA55*(($LC55*SIN(Control!$B$8*2*PI()/360))*SIN($LB55)+COS(Control!$B$8*2*PI()/360)*COS($LB55)*SIN($LC55))</f>
        <v>13.732556276661221</v>
      </c>
      <c r="LE55" s="170">
        <f t="shared" ca="1" si="84"/>
        <v>14.29501732478327</v>
      </c>
      <c r="LF55" s="170">
        <f ca="1">SIN(Control!$C$139*Control!$B$8)*SIN($HD55)</f>
        <v>-0.16067339484560689</v>
      </c>
      <c r="LG55" s="170">
        <f ca="1">COS(Control!$C$139*Control!$B$8)*COS($HD55)</f>
        <v>0.60272621852779384</v>
      </c>
      <c r="LH55" s="170">
        <f ca="1">12*(1+2*ASIN(MAX(-1,MIN(1,$LF55/$LG55))/Control!$C$138))</f>
        <v>9.9610489916608476</v>
      </c>
      <c r="LI55" s="170">
        <f ca="1">12*(1+2*ASIN(MAX(-1,MIN(1,(-SIN(-4*Control!$C$139)+$LF55)/$LG55))/Control!$C$138))</f>
        <v>10.847207284985693</v>
      </c>
      <c r="LJ55" s="168">
        <f ca="1">3600*($LH55*$LF55+24*$LG55*SQRT(1-$LK55*$LK55)/Control!$C$138)</f>
        <v>10214.576938800761</v>
      </c>
      <c r="LK55" s="170">
        <f t="shared" ca="1" si="85"/>
        <v>-0.26657774277360008</v>
      </c>
      <c r="LL55" s="170">
        <f t="shared" ca="1" si="86"/>
        <v>0</v>
      </c>
      <c r="LM55" s="171">
        <f ca="1">Control!$C$145*$AB55</f>
        <v>6.6660906138995932E-2</v>
      </c>
      <c r="LN55" s="170">
        <f t="shared" ca="1" si="175"/>
        <v>0.54</v>
      </c>
      <c r="LO55" s="170">
        <f t="shared" ca="1" si="87"/>
        <v>0</v>
      </c>
      <c r="LP55" s="170">
        <f ca="1">Control!$C$140*((($D55+273.16)^4+($E55+273.16)^4)/2)*(0.34-0.14*SQRT($Y55))*(1.35*$AQ55/(0.75*$LD55)-0.35)</f>
        <v>-3.2464704755046001</v>
      </c>
      <c r="LQ55" s="170">
        <f ca="1">Control!$C$140*($G55+273)^4*(0.56-0.079*SQRT($Y55*10))*(0.1+0.9*$LO55)</f>
        <v>1.5241745131704001</v>
      </c>
      <c r="LR55" s="170">
        <f ca="1">$AQ55*(1-Control!$C$142)-$LQ55</f>
        <v>-1.5241745131704001</v>
      </c>
      <c r="LS55" s="170">
        <f ca="1">$AQ55*(1-Control!$C$143)-$LQ55</f>
        <v>-1.5241745131704001</v>
      </c>
      <c r="LT55" s="170">
        <f ca="1">$AQ55*(1-Control!$C$144)-$LQ55</f>
        <v>-1.5241745131704001</v>
      </c>
      <c r="LU55" s="169">
        <f ca="1">(1-Control!$C$144)*AQ55-LP55</f>
        <v>3.2464704755046001</v>
      </c>
      <c r="LV55" s="172">
        <f t="shared" ca="1" si="88"/>
        <v>0.79430000000000012</v>
      </c>
      <c r="LW55" s="170">
        <f t="shared" ca="1" si="89"/>
        <v>1.5886000000000002</v>
      </c>
      <c r="LX55" s="170">
        <f ca="1">($AC55*($LR55/Control!$C$141)+$LM55*$LV55)/($AC55+$LM55)</f>
        <v>0.23530094218323697</v>
      </c>
      <c r="LY55" s="170">
        <f ca="1">($AC55*($LS55/Control!$C$141)+$LM55*$LV55)/($AC55+$LM55)</f>
        <v>0.23530094218323697</v>
      </c>
      <c r="LZ55" s="170">
        <f t="shared" ca="1" si="90"/>
        <v>0.23530094218323697</v>
      </c>
      <c r="MA55" s="170">
        <f t="shared" ca="1" si="91"/>
        <v>0.23530094218323697</v>
      </c>
      <c r="MB55" s="170" t="e">
        <f t="shared" ca="1" si="92"/>
        <v>#N/A</v>
      </c>
      <c r="MC55" s="170">
        <f t="shared" ca="1" si="176"/>
        <v>0.6018</v>
      </c>
      <c r="MD55" s="170">
        <f t="shared" ca="1" si="93"/>
        <v>0.52989392535414004</v>
      </c>
      <c r="ME55" s="170">
        <f ca="1">($AC55*($LT55/Control!$C$141)+$LM55*$LW55)/($AC55+$LM55)</f>
        <v>0.71612369323045078</v>
      </c>
      <c r="MF55" s="170" t="e">
        <f ca="1">IF(Control!$B$16&gt;=1000,0.92,IF(AND(720&lt;=Control!$B$16,1000&gt;Control!$B$16),(0.95+(Control!$B$16-720)*((0.92-0.95)/(1000-720))),IF(AND(360&lt;=Control!$B$16,720&gt;Control!$B$16),(1+(Control!$B$16-360)*((0.95-1)/(720-360))),IF(AND(40&lt;=Control!$B$16,360&gt;Control!$B$16),(1.05+(Control!$B$16-40)*((1.05-1)/(360-40)))))))</f>
        <v>#N/A</v>
      </c>
      <c r="MG55" s="170">
        <f t="shared" ca="1" si="94"/>
        <v>0.71612369323045078</v>
      </c>
      <c r="MH55" s="170" t="e">
        <f t="shared" ca="1" si="232"/>
        <v>#N/A</v>
      </c>
      <c r="MI55" s="170" t="e">
        <f t="shared" ca="1" si="232"/>
        <v>#N/A</v>
      </c>
      <c r="MJ55" s="170" t="e">
        <f ca="1">MAX(0.0001, Control!$C$132*$MI55*$DL55)</f>
        <v>#N/A</v>
      </c>
      <c r="MK55" s="170">
        <f ca="1">1/(0.76+1.5*($MG55/10))-(5-Control!$C$110)*0.1</f>
        <v>1.002845988140797</v>
      </c>
      <c r="ML55" s="173">
        <f ca="1">IF(Control!$C$110&lt;3,$MK55+($MG55-0.6)/(Control!$C$110*(Control!$C$110+3)), MAX(0.1, MIN(0.95,$MK55)))</f>
        <v>0.95</v>
      </c>
      <c r="MM55" s="173">
        <f ca="1">IF(Control!$C$110&lt;3,$MK55+(($MI55/10)-0.6)/(Control!$C$110*(Control!$C$110+3)), MAX(0.1, MIN(0.95,$MK55)))</f>
        <v>0.95</v>
      </c>
      <c r="MN55" s="173">
        <f ca="1">(1-$MM55)*(Control!$C$128-Control!$C$127)+Control!$C$127</f>
        <v>0.16</v>
      </c>
      <c r="MO55" s="170" t="e">
        <f ca="1">MAX(0,MIN(1,($MS55-Control!$C$127)/($MN55-Control!$C$127)))</f>
        <v>#DIV/0!</v>
      </c>
      <c r="MP55" s="173" t="e">
        <f ca="1">1/(0.76+1.5*$MI55)-(5-Control!$C$110)*0.1</f>
        <v>#N/A</v>
      </c>
      <c r="MQ55" s="172" t="e">
        <f t="shared" ca="1" si="209"/>
        <v>#DIV/0!</v>
      </c>
      <c r="MR55" s="168" t="e">
        <f t="shared" ca="1" si="226"/>
        <v>#DIV/0!</v>
      </c>
      <c r="MS55" s="173" t="e">
        <f ca="1">MAX(Control!$C$127, MIN(Control!$C$135, $MR55/MAX(0.0001,$CY55)))</f>
        <v>#DIV/0!</v>
      </c>
      <c r="MT55" s="168" t="e">
        <f ca="1">(Control!$C$128-$MS55)*Control!$C$74</f>
        <v>#DIV/0!</v>
      </c>
      <c r="MU55" s="168" t="e">
        <f ca="1">(Control!$C$135-$MS55)*Control!$C$74</f>
        <v>#DIV/0!</v>
      </c>
      <c r="MV55" s="168" t="e">
        <f t="shared" ca="1" si="210"/>
        <v>#DIV/0!</v>
      </c>
      <c r="MW55" s="168" t="e">
        <f t="shared" ca="1" si="177"/>
        <v>#DIV/0!</v>
      </c>
      <c r="MX55" s="171" t="e">
        <f ca="1">MAX(Control!$C$127, MIN(Control!$C$135, $MW55/MAX(0.0001,Control!$C$119-$CY55)))</f>
        <v>#DIV/0!</v>
      </c>
      <c r="MY55" s="54" t="e">
        <f ca="1">IF(Control!$C$114=1, $CX55*$MX55, 0)</f>
        <v>#DIV/0!</v>
      </c>
      <c r="MZ55" s="54" t="e">
        <f t="shared" ca="1" si="178"/>
        <v>#N/A</v>
      </c>
      <c r="NA55" s="168" t="e">
        <f ca="1">(Control!$C$128-$MX55)*(Control!$C$119-Control!$C$74)</f>
        <v>#DIV/0!</v>
      </c>
      <c r="NB55" s="168" t="e">
        <f ca="1">(Control!$C$135-$MX55)*(Control!$C$119-Control!$C$74)</f>
        <v>#DIV/0!</v>
      </c>
      <c r="NC55" s="174" t="e">
        <f t="shared" ca="1" si="179"/>
        <v>#DIV/0!</v>
      </c>
      <c r="ND55" s="54">
        <f ca="1">IF(Control!$C$58=2, IF(OR(Control!$B$218=$AH55,Control!$B$219=$AH55, Control!$B$220=$AH55, Control!$B$221=$AH55, Control!$B$222=$AH55, Control!$B$223=$AH55, Control!$B$224=$AH55, Control!$B$225=$AH55, Control!$B$226=$AH55, Control!$B$227=$AH55, Control!$B$228=$AH55), 1, 0), 0)</f>
        <v>0</v>
      </c>
      <c r="NE55" s="54">
        <f ca="1">IF($ND55=0,0, VLOOKUP($AH55,Control!$B$218:$C$228,2))</f>
        <v>0</v>
      </c>
      <c r="NF55" s="168" t="e">
        <f ca="1">$CY55*(Control!$C$128-Control!$C$127)</f>
        <v>#N/A</v>
      </c>
      <c r="NG55" s="54" t="e">
        <f ca="1">IF(Control!$C$58=2, $NI54-$NJ54, 0)</f>
        <v>#DIV/0!</v>
      </c>
      <c r="NH55" s="54" t="e">
        <f ca="1">IF(AND(Control!$C$58=1, $MS54&lt;= ($MN54+0.02), $I54&lt;10), 0, IF(Control!$C$58=2, $NG54, 0))</f>
        <v>#DIV/0!</v>
      </c>
      <c r="NI55" s="54" t="e">
        <f ca="1">IF(Control!$C$58=2, $NE55+$NH55,0)</f>
        <v>#DIV/0!</v>
      </c>
      <c r="NJ55" s="54" t="e">
        <f ca="1">IF(AND(Control!$C$58=1, $MS55&lt;= ($MN55+0.02), $I55&lt;10), MAX(0, MIN(10, 0.7*($NF55-$MV55))), IF(Control!$C$58=2, MIN(10,$NI55),0))</f>
        <v>#DIV/0!</v>
      </c>
      <c r="NK55" s="54" t="e">
        <f t="shared" ca="1" si="96"/>
        <v>#DIV/0!</v>
      </c>
      <c r="NL55" s="173" t="e">
        <f ca="1">(1-Control!$C$73)*$I55+$NJ55</f>
        <v>#DIV/0!</v>
      </c>
      <c r="NM55" s="172" t="e">
        <f ca="1">IF($NL55&lt;0.5, $MB55* MAX(0, MIN(1, (SQRT($NC55)-SQRT($NC55-1))*Control!$C$71)),0)</f>
        <v>#DIV/0!</v>
      </c>
      <c r="NN55" s="170" t="e">
        <f ca="1">IF($NL55&gt;=5, $MB55, MAX(0,MIN($MB55, $NM55+$NL55,($MS55-Control!$C$129))))</f>
        <v>#DIV/0!</v>
      </c>
      <c r="NO55" s="54">
        <f>IF(Control!$C$133&lt;&gt;1, Control!$C$135-Control!$C$131, 0)</f>
        <v>0.38</v>
      </c>
      <c r="NP55" s="54" t="e">
        <f t="shared" ca="1" si="97"/>
        <v>#DIV/0!</v>
      </c>
      <c r="NQ55" s="173" t="e">
        <f ca="1">MAX(0,MIN(1,(Control!$C$135-$MS55)/(Control!$C$135-$NO55)))</f>
        <v>#DIV/0!</v>
      </c>
      <c r="NR55" s="170" t="e">
        <f ca="1">IF(Control!$C$133&lt;&gt;1, $NQ55+((1-$NP55/4)*(1-$NQ55)),1)</f>
        <v>#DIV/0!</v>
      </c>
      <c r="NS55" s="170" t="e">
        <f ca="1">IF(Control!$B$31=0,$MJ55,MAX(0,MIN($MV55,$MO55*$NR55*$MJ55)))</f>
        <v>#DIV/0!</v>
      </c>
      <c r="NT55" s="170" t="e">
        <f t="shared" ca="1" si="227"/>
        <v>#DIV/0!</v>
      </c>
      <c r="NU55" s="170" t="e">
        <f t="shared" ca="1" si="180"/>
        <v>#N/A</v>
      </c>
      <c r="NV55" s="170" t="e">
        <f t="shared" ca="1" si="98"/>
        <v>#N/A</v>
      </c>
      <c r="NW55" s="175" t="e">
        <f t="shared" ca="1" si="99"/>
        <v>#DIV/0!</v>
      </c>
      <c r="NX55" s="170" t="e">
        <f ca="1">MIN(Control!$C$72+$MU55, $NW55)</f>
        <v>#DIV/0!</v>
      </c>
      <c r="NY55" s="170" t="e">
        <f ca="1">IF($MT55&lt;=$NX55,MIN(Control!$C$72+$NB55,$NX55-$MT55),0)</f>
        <v>#DIV/0!</v>
      </c>
      <c r="NZ55" s="54" t="e">
        <f ca="1">IF(Control!$C$114=1,  $CX55*($MX55-Control!$C$127), 0)</f>
        <v>#DIV/0!</v>
      </c>
      <c r="OA55" s="170" t="e">
        <f t="shared" ca="1" si="181"/>
        <v>#DIV/0!</v>
      </c>
      <c r="OB55" s="170" t="e">
        <f ca="1">IF($NA55 &lt;=$NY55, MIN(Control!$C$72, $NY55-$NA55), 0)</f>
        <v>#DIV/0!</v>
      </c>
      <c r="OC55" s="168" t="e">
        <f t="shared" ca="1" si="100"/>
        <v>#DIV/0!</v>
      </c>
      <c r="OD55" s="168" t="e">
        <f t="shared" ca="1" si="182"/>
        <v>#DIV/0!</v>
      </c>
      <c r="OE55" s="170">
        <f ca="1">Control!$C$73*$I55</f>
        <v>0</v>
      </c>
      <c r="OF55" s="176" t="e">
        <f t="shared" ca="1" si="101"/>
        <v>#DIV/0!</v>
      </c>
      <c r="OG55" s="168" t="e">
        <f t="shared" ca="1" si="102"/>
        <v>#DIV/0!</v>
      </c>
      <c r="OH55" s="168" t="e">
        <f t="shared" ca="1" si="103"/>
        <v>#DIV/0!</v>
      </c>
      <c r="OI55" s="168" t="e">
        <f t="shared" ca="1" si="104"/>
        <v>#DIV/0!</v>
      </c>
      <c r="OJ55" s="168" t="e">
        <f t="shared" ca="1" si="105"/>
        <v>#DIV/0!</v>
      </c>
      <c r="OK55" s="204" t="e">
        <f t="shared" ca="1" si="183"/>
        <v>#DIV/0!</v>
      </c>
      <c r="OL55" s="177">
        <f>Control!$C$127</f>
        <v>0.15</v>
      </c>
      <c r="OM55" s="182" t="e">
        <f t="shared" ca="1" si="106"/>
        <v>#N/A</v>
      </c>
      <c r="ON55" s="177">
        <f>Control!$C$128</f>
        <v>0.35</v>
      </c>
      <c r="OO55" s="182" t="e">
        <f t="shared" ca="1" si="107"/>
        <v>#N/A</v>
      </c>
      <c r="OP55" s="138">
        <f t="shared" ca="1" si="184"/>
        <v>0</v>
      </c>
      <c r="OQ55" s="138" t="e">
        <f t="shared" ca="1" si="211"/>
        <v>#DIV/0!</v>
      </c>
      <c r="OR55" s="138" t="e">
        <f t="shared" ca="1" si="185"/>
        <v>#DIV/0!</v>
      </c>
      <c r="OS55" s="137" t="e">
        <f t="shared" ca="1" si="212"/>
        <v>#DIV/0!</v>
      </c>
      <c r="OT55" s="139" t="e">
        <f t="shared" ca="1" si="213"/>
        <v>#DIV/0!</v>
      </c>
      <c r="OU55" s="138" t="e">
        <f t="shared" ca="1" si="214"/>
        <v>#N/A</v>
      </c>
      <c r="OV55" s="138" t="e">
        <f t="shared" ca="1" si="215"/>
        <v>#DIV/0!</v>
      </c>
      <c r="OW55" s="138" t="e">
        <f t="shared" ca="1" si="186"/>
        <v>#DIV/0!</v>
      </c>
      <c r="OX55" s="138" t="e">
        <f t="shared" ca="1" si="187"/>
        <v>#DIV/0!</v>
      </c>
      <c r="OY55" s="138" t="e">
        <f t="shared" ca="1" si="188"/>
        <v>#DIV/0!</v>
      </c>
      <c r="OZ55" s="138" t="e">
        <f t="shared" ca="1" si="108"/>
        <v>#DIV/0!</v>
      </c>
      <c r="PA55" s="138" t="e">
        <f t="shared" ca="1" si="109"/>
        <v>#DIV/0!</v>
      </c>
      <c r="PB55" s="55">
        <f>IF(Control!$C$61="T", IF(Control!$C$65="F", IF($AH$6-Control!$C$60&lt;0,0,1), IF(365+$AH$6-Control!$C$60&lt;0,0,1)),0)</f>
        <v>0</v>
      </c>
      <c r="PC55" s="55">
        <f ca="1">IF(Control!$C$65="F", IF($AH$6-$HF55&lt;0,0,1), IF(365+$AH$6-$HF55&lt;0,0,1))</f>
        <v>1</v>
      </c>
      <c r="PD55" s="444">
        <f>Control!$C$118</f>
        <v>1500</v>
      </c>
      <c r="PE55" s="180" t="e">
        <f t="shared" ca="1" si="110"/>
        <v>#N/A</v>
      </c>
      <c r="PF55" s="445">
        <f t="shared" ca="1" si="189"/>
        <v>0.71612369323045078</v>
      </c>
      <c r="PT55" s="186"/>
      <c r="PU55" s="186"/>
      <c r="PV55" s="94"/>
      <c r="PW55" s="94"/>
      <c r="PX55" s="94"/>
      <c r="PY55" s="94"/>
      <c r="PZ55" s="94"/>
      <c r="QA55" s="94"/>
      <c r="QB55" s="94"/>
      <c r="QC55" s="94"/>
      <c r="QD55" s="94"/>
      <c r="QE55" s="94"/>
      <c r="QF55" s="94"/>
      <c r="QG55" s="94"/>
      <c r="QH55" s="94"/>
      <c r="QI55" s="94"/>
      <c r="QJ55" s="94"/>
      <c r="QK55" s="94"/>
      <c r="QL55" s="94"/>
      <c r="QM55" s="94"/>
      <c r="QN55" s="94"/>
      <c r="QO55" s="94"/>
      <c r="QP55" s="94"/>
    </row>
    <row r="56" spans="1:458" s="2" customFormat="1" x14ac:dyDescent="0.2">
      <c r="A56" s="395">
        <v>20</v>
      </c>
      <c r="B56" s="396">
        <v>2</v>
      </c>
      <c r="C56" s="387">
        <f ca="1">Weather_data!$B55</f>
        <v>0</v>
      </c>
      <c r="D56" s="388">
        <f ca="1">Weather_data!$F55</f>
        <v>0</v>
      </c>
      <c r="E56" s="388">
        <f ca="1">Weather_data!$E55</f>
        <v>0</v>
      </c>
      <c r="F56" s="388">
        <f t="shared" ca="1" si="111"/>
        <v>0</v>
      </c>
      <c r="G56" s="388">
        <f ca="1">AVERAGE($D56:$E56)+Control!$B$9</f>
        <v>0</v>
      </c>
      <c r="H56" s="388">
        <f ca="1">Weather_data!$G55</f>
        <v>0</v>
      </c>
      <c r="I56" s="388">
        <f ca="1">Weather_data!$I55</f>
        <v>0</v>
      </c>
      <c r="J56" s="388">
        <f ca="1">Weather_data!$H55</f>
        <v>0</v>
      </c>
      <c r="K56" s="389">
        <f ca="1">Weather_data!$D55</f>
        <v>0</v>
      </c>
      <c r="L56" s="388" t="e">
        <f t="shared" ca="1" si="112"/>
        <v>#N/A</v>
      </c>
      <c r="M56" s="388" t="e">
        <f t="shared" ca="1" si="0"/>
        <v>#N/A</v>
      </c>
      <c r="N56" s="388">
        <f t="shared" ca="1" si="1"/>
        <v>-2.5768876036600563E-3</v>
      </c>
      <c r="O56" s="388">
        <f t="shared" ca="1" si="113"/>
        <v>2.5768876036600562E-2</v>
      </c>
      <c r="P56" s="390">
        <v>3</v>
      </c>
      <c r="Q56" s="388">
        <f ca="1">MAX($G56-Control!$C$107,0)</f>
        <v>0</v>
      </c>
      <c r="R56" s="388">
        <f t="shared" ca="1" si="114"/>
        <v>0</v>
      </c>
      <c r="S56" s="388">
        <f t="shared" ca="1" si="2"/>
        <v>0</v>
      </c>
      <c r="T56" s="388">
        <f t="shared" ca="1" si="3"/>
        <v>0</v>
      </c>
      <c r="U56" s="59">
        <f t="shared" ca="1" si="4"/>
        <v>0</v>
      </c>
      <c r="V56" s="391">
        <f ca="1">MAX(0,MIN(Control!$C$100-Control!$C$99,$G56-Control!$C$99)*Control!$C$63)</f>
        <v>0</v>
      </c>
      <c r="W56" s="388">
        <f t="shared" ca="1" si="190"/>
        <v>0</v>
      </c>
      <c r="X56" s="388">
        <f t="shared" ca="1" si="115"/>
        <v>0.6110000000000001</v>
      </c>
      <c r="Y56" s="388">
        <f t="shared" ca="1" si="116"/>
        <v>0</v>
      </c>
      <c r="Z56" s="388">
        <f t="shared" ca="1" si="117"/>
        <v>0.61058800000000002</v>
      </c>
      <c r="AA56" s="388">
        <f t="shared" ca="1" si="5"/>
        <v>0.6018</v>
      </c>
      <c r="AB56" s="388">
        <f ca="1">101.3*EXP(-0.034*Control!$C$66/($G56+273))</f>
        <v>100.69623283836242</v>
      </c>
      <c r="AC56" s="392">
        <f t="shared" ca="1" si="6"/>
        <v>4.3460251046025113E-2</v>
      </c>
      <c r="AD56" s="392">
        <f t="shared" ca="1" si="7"/>
        <v>4.4450382862832649E-2</v>
      </c>
      <c r="AE56" s="388">
        <f t="shared" ca="1" si="8"/>
        <v>0</v>
      </c>
      <c r="AF56" s="388">
        <f ca="1">MAX(0,$G56-Control!$C$92)</f>
        <v>0</v>
      </c>
      <c r="AG56" s="393">
        <f t="shared" ca="1" si="118"/>
        <v>51</v>
      </c>
      <c r="AH56" s="389">
        <f t="shared" ca="1" si="9"/>
        <v>51</v>
      </c>
      <c r="AI56" s="388">
        <f t="shared" ca="1" si="119"/>
        <v>-0.19930110791329428</v>
      </c>
      <c r="AJ56" s="388">
        <f ca="1">IF(Control!$C$60&lt;=0,$HH56,$HI56)</f>
        <v>1</v>
      </c>
      <c r="AK56" s="388">
        <f t="shared" ca="1" si="10"/>
        <v>-0.49921198331015892</v>
      </c>
      <c r="AL56" s="388">
        <f t="shared" ca="1" si="11"/>
        <v>3.9898639947466563E-23</v>
      </c>
      <c r="AM56" s="388">
        <f t="shared" ca="1" si="12"/>
        <v>-0.49921198331015892</v>
      </c>
      <c r="AN56" s="388">
        <f t="shared" ca="1" si="13"/>
        <v>-0.19161065728566101</v>
      </c>
      <c r="AO56" s="388">
        <f ca="1">-0.10453/COS(Control!$B$8*PI()/180)*COS(AN56)</f>
        <v>-0.16667759314828645</v>
      </c>
      <c r="AP56" s="388">
        <f ca="1">ACOS(AO56-TAN(Control!$B$8*PI()/180)*TAN(AN56))</f>
        <v>1.4890863987538534</v>
      </c>
      <c r="AQ56" s="388">
        <f t="shared" ca="1" si="120"/>
        <v>0</v>
      </c>
      <c r="AR56" s="394">
        <f t="shared" ca="1" si="14"/>
        <v>0</v>
      </c>
      <c r="AS56" s="436">
        <f ca="1">IF(Control!$B$18=2,(IF(OR($AH56=Control!$B$175,$AH56=Control!$B$176,$AH56=Control!$B$177,$AH56=Control!$B$178,$AH56=Control!$B$179,$AH56=Control!$B$180,$AH56=Control!$B$181,$AH56=Control!$B$182,$AH56=Control!$B$183,$AH56=Control!$B$184,$AH56=Control!$B$185),1,0)),0)</f>
        <v>0</v>
      </c>
      <c r="AT56" s="436">
        <f>IF(Control!$B$20=8,IF(AND($AH56&gt;=Control!$B$172,$AH56&lt;=Control!$B$173),1,0),0)</f>
        <v>0</v>
      </c>
      <c r="AU56" s="436">
        <f>IF(Control!$B$20=8,IF($AV55=1,1*$AT56,IF($AT56=1,$AU55+1,$AU55)),0)</f>
        <v>0</v>
      </c>
      <c r="AV56" s="436">
        <f>IF(Control!$B$20=8,IF($AU56&gt;=Control!$B$174,1,0),0)</f>
        <v>0</v>
      </c>
      <c r="AW56" s="436">
        <f ca="1">IF(AND(Control!$B$18=2,Control!$B$171=1), $AV56, $AS56)</f>
        <v>0</v>
      </c>
      <c r="AX56" s="436" t="e">
        <f ca="1">IF(AND(Control!$B$18=1,$EU56&gt;=Control!$B$19),-$AY56,IF(AND(Control!$B$18=2,$AW56=1,$EU56&gt;$DS56),-$AY56, IF(Control!$C$108=0,0, IF(Control!$C$108&lt;&gt;0,1))))</f>
        <v>#N/A</v>
      </c>
      <c r="AY56" s="436" t="e">
        <f t="shared" ca="1" si="121"/>
        <v>#N/A</v>
      </c>
      <c r="AZ56" s="436" t="e">
        <f ca="1">IF(AND(Control!$B$18=1,$EB56&gt;Control!$B$19),$AZ55+1, IF(AND(Control!$B$18=2, $AW56=1, $EB56&gt;$DS56), $AZ55+1,$AZ55))</f>
        <v>#N/A</v>
      </c>
      <c r="BA56" s="587">
        <f>IF(Control!$C$81=0,1,IF($AH56&gt;=Control!$C$82,1,0))</f>
        <v>1</v>
      </c>
      <c r="BB56" s="140" t="e">
        <f ca="1">IF($BA56&gt;$BA55,Control!$C$83,IF($AW56&gt;0,$AW56*Control!$C$84,IF(AND(Control!$B$18=1,EN55&lt;&gt;0),Control!$C$84,0)))</f>
        <v>#N/A</v>
      </c>
      <c r="BC56" s="140" t="e">
        <f t="shared" ca="1" si="122"/>
        <v>#N/A</v>
      </c>
      <c r="BD56" s="140" t="e">
        <f ca="1">BC56*IF(OR($G56&lt;Control!$C$92,$G56&gt;Control!$C$95),0,IF(AND($G56&gt;=Control!$C$92,$G56&lt;=Control!$C$93),$G56-Control!$C$92,IF(AND($G56&gt;Control!$C$93,$G56&lt;=Control!$C$94),Control!$C$93-Control!$C$92,IF(AND($G56&gt;Control!$C$94,$G56&lt;=Control!$C$95),(Control!$C$93-Control!$C$92)*(Control!$C$94-$G56)/(Control!$C$95-Control!$C$94)))))</f>
        <v>#N/A</v>
      </c>
      <c r="BE56" s="140" t="e">
        <f t="shared" ca="1" si="123"/>
        <v>#N/A</v>
      </c>
      <c r="BF56" s="140" t="e">
        <f ca="1">IF($BE56&lt;=Control!$C$86,$BE56,Control!$C$86-$BE56)</f>
        <v>#N/A</v>
      </c>
      <c r="BG56" s="140" t="e">
        <f ca="1">IF(AND($AW56=1,Control!$C$84&lt;9),1,IF($BE56&gt;=Control!$C$86,0,$BC56))</f>
        <v>#N/A</v>
      </c>
      <c r="BH56" s="404" t="e">
        <f ca="1">IF($BG56=0,0,IF($BE56&lt;=Control!$C$86,$BC56*9*($BF56/Control!$C$86),0))</f>
        <v>#N/A</v>
      </c>
      <c r="BI56" s="140" t="e">
        <f ca="1">IF($BG56=1,0,IF($BE56&gt;=Control!$C$86,1,IF(AND($BB56&lt;21,$BB56&gt;=9),1,$BM55)))</f>
        <v>#N/A</v>
      </c>
      <c r="BJ56" s="140" t="e">
        <f ca="1">IF($BF56&lt;0,-$BF56,$BI56*IF(OR($G56&lt;Control!$C$92,$G56&gt;Control!$C$95),0,IF(AND($G56&gt;=Control!$C$92,$G56&lt;=Control!$C$93),$G56-Control!$C$92,IF(AND($G56&gt;Control!$C$93,$G56&lt;=Control!$C$94),Control!$C$93-Control!$C$92,IF(AND($G56&gt;Control!$C$94,$G56&lt;=Control!$C$95),(Control!$C$93-Control!$C$92)*(Control!$C$94-$G56)/(Control!$C$95-Control!$C$94))))))</f>
        <v>#N/A</v>
      </c>
      <c r="BK56" s="140" t="e">
        <f t="shared" ca="1" si="124"/>
        <v>#N/A</v>
      </c>
      <c r="BL56" s="140" t="e">
        <f ca="1">IF($BK56&lt;=Control!$C$87,$BK56,Control!$C$87-$BK56)</f>
        <v>#N/A</v>
      </c>
      <c r="BM56" s="140" t="e">
        <f ca="1">IF(AND($BB56&gt;=9,$BB56&lt;21),1,IF($BK56&gt;=Control!$C$87,0,$BI56))</f>
        <v>#N/A</v>
      </c>
      <c r="BN56" s="404" t="e">
        <f ca="1">IF($BM56=0,0,IF($BK56&lt;=Control!$C$87,$BI56*(9+(21-9)*($BL56/Control!$C$87)),0))</f>
        <v>#N/A</v>
      </c>
      <c r="BO56" s="140" t="e">
        <f ca="1">IF($BM56=1,0,IF($BK56&gt;=Control!$C$87,1,IF(AND($BB56&lt;30,$BB56&gt;=21),1,$BS55)))</f>
        <v>#N/A</v>
      </c>
      <c r="BP56" s="140" t="e">
        <f ca="1">IF($BL56&lt;0,-$BL56,$BO56*IF(OR($G56&lt;Control!$C$92,$G56&gt;Control!$C$95),0,IF(AND($G56&gt;=Control!$C$92,$G56&lt;=Control!$C$93),$G56-Control!$C$92,IF(AND($G56&gt;Control!$C$93,$G56&lt;=Control!$C$94),Control!$C$93-Control!$C$92,IF(AND($G56&gt;Control!$C$94,$G56&lt;=Control!$C$95),(Control!$C$93-Control!$C$92)*(Control!$C$94-$G56)/(Control!$C$95-Control!$C$94))))))</f>
        <v>#N/A</v>
      </c>
      <c r="BQ56" s="140" t="e">
        <f t="shared" ca="1" si="15"/>
        <v>#N/A</v>
      </c>
      <c r="BR56" s="140" t="e">
        <f ca="1">IF($BQ56&lt;=Control!$C$88,$BQ56,Control!$C$88-$BQ56)</f>
        <v>#N/A</v>
      </c>
      <c r="BS56" s="140" t="e">
        <f ca="1">IF(AND($BB56&gt;=21,$BB56&lt;30),1,IF($BQ56&gt;=Control!$C$88,0,$BO56))</f>
        <v>#N/A</v>
      </c>
      <c r="BT56" s="404" t="e">
        <f ca="1">IF($BS56=0,0,IF($BQ56&lt;=Control!$C$88,$BO56*(21+(30-21)*(BR56/Control!$C$88)),0))</f>
        <v>#N/A</v>
      </c>
      <c r="BU56" s="140" t="e">
        <f ca="1">IF(BG56+BM56+BS56=1,0,IF(OR(AND($BB56&lt;60,$BB56&gt;=30),$BQ56&gt;=Control!$C$88),1*$BA56,$BY55))</f>
        <v>#N/A</v>
      </c>
      <c r="BV56" s="140" t="e">
        <f ca="1">IF($BR56&lt;0,-$BR56,$BU56*IF(OR($G56&lt;Control!$C$92,$G56&gt;Control!$C$95),0,IF(AND($G56&gt;=Control!$C$92,$G56&lt;=Control!$C$93),$G56-Control!$C$92,IF(AND($G56&gt;Control!$C$93,$G56&lt;=Control!$C$94),Control!$C$93-Control!$C$92,IF(AND($G56&gt;Control!$C$94,$G56&lt;=Control!$C$95),(Control!$C$93-Control!$C$92)*(Control!$C$94-$G56)/(Control!$C$95-Control!$C$94))))))</f>
        <v>#N/A</v>
      </c>
      <c r="BW56" s="140" t="e">
        <f t="shared" ca="1" si="16"/>
        <v>#N/A</v>
      </c>
      <c r="BX56" s="140" t="e">
        <f ca="1">IF($BW56&lt;=Control!$C$89,$BW56,Control!$C$89-$BW56)</f>
        <v>#N/A</v>
      </c>
      <c r="BY56" s="140" t="e">
        <f ca="1">IF(AND($AJ56&gt;=30,$AJ56&lt;60),1,IF($BW56&gt;=Control!$C$89,0,$BU56))</f>
        <v>#N/A</v>
      </c>
      <c r="BZ56" s="404" t="e">
        <f ca="1">IF($BY56=0,0,IF($BW56&lt;=Control!$C$89,$BU56*(30+(60-30)*(BX56/Control!$C$89)),0))</f>
        <v>#N/A</v>
      </c>
      <c r="CA56" s="140" t="e">
        <f ca="1">IF($BG56+$BM56+$BS56+$BY56=1,0,IF(OR(AND($BB56&lt;65,$BB56&gt;=60),$BW56&gt;=Control!$C$89),1*$BA56,$CE55))</f>
        <v>#N/A</v>
      </c>
      <c r="CB56" s="140" t="e">
        <f ca="1">IF($BX56&lt;0,-$BX56,$CA56*IF(OR($G56&lt;Control!$C$92,$G56&gt;Control!$C$95),0,IF(AND($G56&gt;=Control!$C$92,$G56&lt;=Control!$C$93),$G56-Control!$C$92,IF(AND($G56&gt;Control!$C$93,$G56&lt;=Control!$C$94),Control!$C$93-Control!$C$92,IF(AND($G56&gt;Control!$C$94,$G56&lt;=Control!$C$95),(Control!$C$93-Control!$C$92)*(Control!$C$94-$G56)/(Control!$C$95-Control!$C$94))))))</f>
        <v>#N/A</v>
      </c>
      <c r="CC56" s="140" t="e">
        <f t="shared" ca="1" si="125"/>
        <v>#N/A</v>
      </c>
      <c r="CD56" s="140" t="e">
        <f ca="1">IF($CC56&lt;=Control!$C$90,$CC56,Control!$C$90-$CC56)</f>
        <v>#N/A</v>
      </c>
      <c r="CE56" s="140" t="e">
        <f ca="1">IF(AND($BB56&gt;=60,$BB56&lt;65),1,IF($CC56&gt;=Control!$C$90,0,$CA56))</f>
        <v>#N/A</v>
      </c>
      <c r="CF56" s="404" t="e">
        <f ca="1">IF($CE56=0,0,IF($CC56&lt;=Control!$C$90,$CA56*(60+(65-60)*(CD56/Control!$C$90)),0))</f>
        <v>#N/A</v>
      </c>
      <c r="CG56" s="140" t="e">
        <f ca="1">IF($BG56+$BM56+$BS56+$BY56+$CE56=1,0,IF(OR(AND($BB56&lt;90,$BB56&gt;=65),$CC56&gt;=Control!$C$90),$BA56,$CK55))</f>
        <v>#N/A</v>
      </c>
      <c r="CH56" s="140" t="e">
        <f ca="1">IF($CD56&lt;0,-$CD56,$CG56*IF(OR($G56&lt;Control!$C$92,$G56&gt;Control!$C$95),0,IF(AND($G56&gt;=Control!$C$92,$G56&lt;=Control!$C$93),$G56-Control!$C$92,IF(AND($G56&gt;Control!$C$93,$G56&lt;=Control!$C$94),Control!$C$93-Control!$C$92,IF(AND($G56&gt;Control!$C$94,$G56&lt;=Control!$C$95),(Control!$C$93-Control!$C$92)*(Control!$C$94-$G56)/(Control!$C$95-Control!$C$94))))))</f>
        <v>#N/A</v>
      </c>
      <c r="CI56" s="140" t="e">
        <f t="shared" ca="1" si="126"/>
        <v>#N/A</v>
      </c>
      <c r="CJ56" s="140" t="e">
        <f ca="1">IF($CI56&lt;=Control!$C$91,$CI56,Control!$C$91-$CI56)</f>
        <v>#N/A</v>
      </c>
      <c r="CK56" s="140" t="e">
        <f ca="1">IF(AND($BB56&gt;=65,$BB56&lt;90),1,IF($CI56&gt;=Control!$C$91,0,$CG56))</f>
        <v>#N/A</v>
      </c>
      <c r="CL56" s="404" t="e">
        <f ca="1">IF($CK56=0,0,IF($CI56&lt;=Control!$C$91,$CG56*(65+(90-65)*($CJ56/Control!$C$91)),0))</f>
        <v>#N/A</v>
      </c>
      <c r="CM56" s="140" t="e">
        <f ca="1">IF($BG56+$BM56+$BS56+$BY56+$CE56+$CK56=1,0,IF(OR($BB56&gt;=90,$CI56&gt;=Control!$C$91),$BA56,$CM55))</f>
        <v>#N/A</v>
      </c>
      <c r="CN56" s="140" t="e">
        <f t="shared" ca="1" si="127"/>
        <v>#N/A</v>
      </c>
      <c r="CO56" s="140" t="e">
        <f t="shared" ca="1" si="128"/>
        <v>#N/A</v>
      </c>
      <c r="CP56" s="140" t="e">
        <f t="shared" ca="1" si="129"/>
        <v>#N/A</v>
      </c>
      <c r="CQ56" s="141" t="e">
        <f ca="1">VLOOKUP($CP56,Control!$B$86:$G$91,6)</f>
        <v>#N/A</v>
      </c>
      <c r="CR56" s="141" t="e">
        <f ca="1">(1-$CQ56)*VLOOKUP($CP56,Control!$B$86:$D$91,3)</f>
        <v>#N/A</v>
      </c>
      <c r="CS56" s="141" t="e">
        <f ca="1">(1-$CQ56)*VLOOKUP($CP56,Control!$B$86:$E$91,4)</f>
        <v>#N/A</v>
      </c>
      <c r="CT56" s="141" t="e">
        <f ca="1">(1-$CQ56)*VLOOKUP($CP56,Control!$B$86:$F$91,5)</f>
        <v>#N/A</v>
      </c>
      <c r="CU56" s="141">
        <f t="shared" ca="1" si="130"/>
        <v>0</v>
      </c>
      <c r="CV56" s="583">
        <f t="shared" ca="1" si="131"/>
        <v>0</v>
      </c>
      <c r="CW56" s="142">
        <f t="shared" ca="1" si="132"/>
        <v>51</v>
      </c>
      <c r="CX56" s="612" t="e">
        <f ca="1">IF(Control!$C$114=1,(MIN(Control!$C$120*(IF($NT56-0.01&lt;0,0,1)),Control!$C$119-$CY56)))</f>
        <v>#DIV/0!</v>
      </c>
      <c r="CY56" s="143" t="e">
        <f t="shared" ca="1" si="133"/>
        <v>#N/A</v>
      </c>
      <c r="CZ56" s="144">
        <f t="shared" ca="1" si="17"/>
        <v>0</v>
      </c>
      <c r="DA56" s="144">
        <f t="shared" ca="1" si="18"/>
        <v>0</v>
      </c>
      <c r="DB56" s="144" t="e">
        <f t="shared" ca="1" si="19"/>
        <v>#N/A</v>
      </c>
      <c r="DC56" s="144" t="e">
        <f t="shared" ca="1" si="20"/>
        <v>#N/A</v>
      </c>
      <c r="DD56" s="144" t="e">
        <f t="shared" ca="1" si="216"/>
        <v>#N/A</v>
      </c>
      <c r="DE56" s="143" t="e">
        <f t="shared" ca="1" si="135"/>
        <v>#N/A</v>
      </c>
      <c r="DF56" s="145" t="e">
        <f ca="1">$DR56*EXP(-Control!$C$158*(1-$KH56))</f>
        <v>#N/A</v>
      </c>
      <c r="DG56" s="146" t="e">
        <f ca="1">IF(Control!$C$114=1, $DF56*$EY56, 0)</f>
        <v>#N/A</v>
      </c>
      <c r="DH56" s="147" t="e">
        <f t="shared" ca="1" si="136"/>
        <v>#N/A</v>
      </c>
      <c r="DI56" s="144" t="e">
        <f t="shared" ca="1" si="191"/>
        <v>#N/A</v>
      </c>
      <c r="DJ56" s="147" t="e">
        <f ca="1">$EF56*Control!$C$109</f>
        <v>#N/A</v>
      </c>
      <c r="DK56" s="144" t="e">
        <f t="shared" ca="1" si="137"/>
        <v>#N/A</v>
      </c>
      <c r="DL56" s="144" t="e">
        <f t="shared" ca="1" si="21"/>
        <v>#N/A</v>
      </c>
      <c r="DM56" s="144" t="e">
        <f ca="1">IF(Control!$C$114=1, (1-EXP(-Control!$C$96*$DK56))*$AR56, 0)</f>
        <v>#N/A</v>
      </c>
      <c r="DN56" s="144">
        <f t="shared" ca="1" si="138"/>
        <v>0</v>
      </c>
      <c r="DO56" s="148">
        <f>Control!$C$97</f>
        <v>4</v>
      </c>
      <c r="DP56" s="145" t="e">
        <f t="shared" ca="1" si="139"/>
        <v>#N/A</v>
      </c>
      <c r="DQ56" s="145" t="e">
        <f ca="1">IF(AND($CP56&gt;=0,$CP56&lt;=90),Control!$C$111,Control!$C$111)</f>
        <v>#N/A</v>
      </c>
      <c r="DR56" s="145" t="e">
        <f t="shared" ca="1" si="22"/>
        <v>#N/A</v>
      </c>
      <c r="DS56" s="143" t="e">
        <f ca="1">Control!$B$22/$DR56</f>
        <v>#N/A</v>
      </c>
      <c r="DT56" s="149" t="e">
        <f ca="1">IF(AND(Control!$C$114=1,$KH56&lt;1),$IM56*$DF56, 0)</f>
        <v>#N/A</v>
      </c>
      <c r="DU56" s="144" t="e">
        <f t="shared" ca="1" si="192"/>
        <v>#N/A</v>
      </c>
      <c r="DV56" s="144">
        <f ca="1">IF($G56-Control!$C$107&lt;=0, 0, 0.83*LN(MAX($G56, 3))-0.8924)</f>
        <v>0</v>
      </c>
      <c r="DW56" s="144" t="e">
        <f t="shared" ca="1" si="23"/>
        <v>#N/A</v>
      </c>
      <c r="DX56" s="150" t="e">
        <f ca="1">MAX(0.01*(1+$CU56/Control!$C$102),0.05*($DK56-Control!$C$97)/Control!$C$97)</f>
        <v>#N/A</v>
      </c>
      <c r="DY56" s="151" t="e">
        <f ca="1">IF(Control!$C$114=1, $DI56*$FS56, 0)</f>
        <v>#N/A</v>
      </c>
      <c r="DZ56" s="196" t="e">
        <f t="shared" ca="1" si="140"/>
        <v>#N/A</v>
      </c>
      <c r="EA56" s="152">
        <f t="shared" ca="1" si="141"/>
        <v>51</v>
      </c>
      <c r="EB56" s="153" t="e">
        <f t="shared" ca="1" si="217"/>
        <v>#N/A</v>
      </c>
      <c r="EC56" s="153" t="e">
        <f t="shared" ca="1" si="142"/>
        <v>#N/A</v>
      </c>
      <c r="ED56" s="154" t="e">
        <f ca="1">IF(Control!$C$114=1, $HM56*$FY56-$FD56, 0)</f>
        <v>#DIV/0!</v>
      </c>
      <c r="EE56" s="155" t="e">
        <f ca="1">IF(Control!$C$114=1, $HM56*$FZ56-$FF56, 0)</f>
        <v>#DIV/0!</v>
      </c>
      <c r="EF56" s="153" t="e">
        <f t="shared" ca="1" si="193"/>
        <v>#N/A</v>
      </c>
      <c r="EG56" s="155" t="e">
        <f ca="1">IF(Control!$C$114=1, $GX56*$FW56-$FI56, 0)</f>
        <v>#DIV/0!</v>
      </c>
      <c r="EH56" s="153" t="e">
        <f t="shared" ca="1" si="143"/>
        <v>#N/A</v>
      </c>
      <c r="EI56" s="156" t="e">
        <f t="shared" ca="1" si="144"/>
        <v>#N/A</v>
      </c>
      <c r="EJ56" s="155" t="e">
        <f ca="1">IF(Control!$C$114=1, $HM56*$GB56, 0)</f>
        <v>#DIV/0!</v>
      </c>
      <c r="EK56" s="153" t="e">
        <f t="shared" ca="1" si="194"/>
        <v>#N/A</v>
      </c>
      <c r="EL56" s="153" t="e">
        <f t="shared" ca="1" si="24"/>
        <v>#N/A</v>
      </c>
      <c r="EM56" s="153" t="e">
        <f t="shared" ca="1" si="25"/>
        <v>#N/A</v>
      </c>
      <c r="EN56" s="153" t="e">
        <f ca="1">IF(Control!$C$108=1,IF(AND(Control!$B$18=1,$EB56&gt;=Control!$B$19),$EB56-$DS56,IF(AND(Control!$B$18=2,$AW56=1,$EB56&gt;$DS56),$EB56-$DS56,0)))</f>
        <v>#N/A</v>
      </c>
      <c r="EO56" s="153" t="e">
        <f ca="1">IF(Control!$C$108=1,IF(AND(Control!$B$18=1,$EB56&gt;=Control!$B$19),$EF56,IF(AND(Control!$B$18=2,$AW56=1),$EF56,0)))</f>
        <v>#N/A</v>
      </c>
      <c r="EP56" s="153" t="e">
        <f ca="1">IF(Control!$C$108=1,IF(AND(Control!$B$18=1,$EB56&gt;=Control!$B$19),$EK56,IF(AND(Control!$B$18=2,$AW56=1),$EK56,0)))</f>
        <v>#N/A</v>
      </c>
      <c r="EQ56" s="153" t="e">
        <f t="shared" ca="1" si="145"/>
        <v>#N/A</v>
      </c>
      <c r="ER56" s="153" t="e">
        <f t="shared" ca="1" si="231"/>
        <v>#N/A</v>
      </c>
      <c r="ES56" s="153" t="e">
        <f t="shared" ca="1" si="196"/>
        <v>#N/A</v>
      </c>
      <c r="ET56" s="153" t="e">
        <f t="shared" ca="1" si="197"/>
        <v>#N/A</v>
      </c>
      <c r="EU56" s="153" t="e">
        <f t="shared" ca="1" si="198"/>
        <v>#N/A</v>
      </c>
      <c r="EV56" s="153" t="e">
        <f t="shared" ca="1" si="146"/>
        <v>#N/A</v>
      </c>
      <c r="EW56" s="153" t="e">
        <f t="shared" ca="1" si="218"/>
        <v>#N/A</v>
      </c>
      <c r="EX56" s="153" t="e">
        <f t="shared" ca="1" si="26"/>
        <v>#N/A</v>
      </c>
      <c r="EY56" s="157" t="e">
        <f t="shared" ca="1" si="147"/>
        <v>#DIV/0!</v>
      </c>
      <c r="EZ56" s="154" t="e">
        <f t="shared" ca="1" si="27"/>
        <v>#DIV/0!</v>
      </c>
      <c r="FA56" s="153" t="e">
        <f t="shared" ca="1" si="199"/>
        <v>#N/A</v>
      </c>
      <c r="FB56" s="153" t="e">
        <f t="shared" ca="1" si="28"/>
        <v>#N/A</v>
      </c>
      <c r="FC56" s="193" t="e">
        <f t="shared" ca="1" si="29"/>
        <v>#N/A</v>
      </c>
      <c r="FD56" s="158" t="e">
        <f t="shared" ca="1" si="200"/>
        <v>#N/A</v>
      </c>
      <c r="FE56" s="158" t="e">
        <f t="shared" ca="1" si="148"/>
        <v>#N/A</v>
      </c>
      <c r="FF56" s="159" t="e">
        <f t="shared" ca="1" si="30"/>
        <v>#N/A</v>
      </c>
      <c r="FG56" s="160" t="e">
        <f t="shared" ca="1" si="149"/>
        <v>#N/A</v>
      </c>
      <c r="FH56" s="158" t="e">
        <f t="shared" ca="1" si="150"/>
        <v>#N/A</v>
      </c>
      <c r="FI56" s="159" t="e">
        <f t="shared" ca="1" si="31"/>
        <v>#N/A</v>
      </c>
      <c r="FJ56" s="160" t="e">
        <f t="shared" ca="1" si="151"/>
        <v>#N/A</v>
      </c>
      <c r="FK56" s="160" t="e">
        <f t="shared" ca="1" si="32"/>
        <v>#N/A</v>
      </c>
      <c r="FL56" s="160" t="e">
        <f t="shared" ca="1" si="229"/>
        <v>#N/A</v>
      </c>
      <c r="FM56" s="160" t="e">
        <f t="shared" ca="1" si="33"/>
        <v>#N/A</v>
      </c>
      <c r="FN56" s="158">
        <f t="shared" ca="1" si="219"/>
        <v>0.01</v>
      </c>
      <c r="FO56" s="160">
        <f>Control!$C$101</f>
        <v>50</v>
      </c>
      <c r="FP56" s="150" t="e">
        <f t="shared" ca="1" si="34"/>
        <v>#N/A</v>
      </c>
      <c r="FQ56" s="150" t="e">
        <f ca="1">MAX(0,(Control!$C$112*(($DK56-Control!$C$97)/Control!$C$97)))</f>
        <v>#N/A</v>
      </c>
      <c r="FR56" s="150" t="e">
        <f ca="1">(1-$NT56)*Control!$C$113</f>
        <v>#DIV/0!</v>
      </c>
      <c r="FS56" s="198" t="e">
        <f t="shared" ca="1" si="35"/>
        <v>#N/A</v>
      </c>
      <c r="FT56" s="161">
        <f t="shared" ca="1" si="152"/>
        <v>51</v>
      </c>
      <c r="FU56" s="162" t="e">
        <f ca="1">IF(Control!$B$34=1,VLOOKUP($CP56,Control!$B$86:$G$91,6),Control!$B$35)</f>
        <v>#N/A</v>
      </c>
      <c r="FV56" s="162" t="e">
        <f t="shared" ca="1" si="36"/>
        <v>#DIV/0!</v>
      </c>
      <c r="FW56" s="162" t="e">
        <f ca="1">IF(Control!$B$31=1,$FU56*$FV56,  $FU56)</f>
        <v>#N/A</v>
      </c>
      <c r="FX56" s="162" t="e">
        <f ca="1">IF(Control!$B$34=1,VLOOKUP($CP56,Control!$B$86:$G$91,3),Control!$B$36)</f>
        <v>#N/A</v>
      </c>
      <c r="FY56" s="162" t="e">
        <f t="shared" ca="1" si="37"/>
        <v>#N/A</v>
      </c>
      <c r="FZ56" s="162" t="e">
        <f ca="1">IF(Control!$B$34=1,VLOOKUP($CP56,Control!$B$86:$G$91,4),Control!$B$37)</f>
        <v>#N/A</v>
      </c>
      <c r="GA56" s="162" t="e">
        <f t="shared" ca="1" si="38"/>
        <v>#N/A</v>
      </c>
      <c r="GB56" s="162" t="e">
        <f ca="1">IF(Control!$B$34=1,VLOOKUP($CP56,Control!$B$86:$G$91,5),Control!$B$38)</f>
        <v>#N/A</v>
      </c>
      <c r="GC56" s="162" t="e">
        <f t="shared" ca="1" si="153"/>
        <v>#N/A</v>
      </c>
      <c r="GD56" s="162">
        <f t="shared" ca="1" si="39"/>
        <v>1</v>
      </c>
      <c r="GE56" s="162">
        <f t="shared" ca="1" si="40"/>
        <v>1</v>
      </c>
      <c r="GF56" s="162">
        <f ca="1">IF(AND(Control!$C$104=1, Control!$C$62="F"),$GE56,1)</f>
        <v>1</v>
      </c>
      <c r="GG56" s="162" t="e">
        <f ca="1">IF(Control!$B$16=40,0,IF(AND(Control!$B$16&gt;40,Control!$B$16&lt;=360),(Control!$B$16-40)*((1-0)/(360-40)),IF(AND(Control!$B$16&gt;360,Control!$B$16&lt;=720),(1+(Control!$B$16-360)*((1.25-1)/(720-360))),IF(AND(Control!$B$16&gt;720,Control!$B$16&lt;=1000),(1.25+(Control!$B$16-720)*((1.35-1.25)/(1000-720))),IF(AND(Control!$B$16&gt;1000,Control!$B$16&lt;=2000),(1.35+(Control!$B$16-1000)*0))))))</f>
        <v>#N/A</v>
      </c>
      <c r="GH56" s="162" t="e">
        <f t="shared" ca="1" si="41"/>
        <v>#N/A</v>
      </c>
      <c r="GI56" s="162">
        <f t="shared" ca="1" si="201"/>
        <v>0</v>
      </c>
      <c r="GJ56" s="162">
        <f t="shared" ca="1" si="42"/>
        <v>0</v>
      </c>
      <c r="GK56" s="162">
        <f t="shared" ca="1" si="220"/>
        <v>1</v>
      </c>
      <c r="GL56" s="162">
        <f t="shared" ca="1" si="43"/>
        <v>1</v>
      </c>
      <c r="GM56" s="162" t="e">
        <f ca="1">MAX(0,MIN(1,1-Control!$C$156*(1.0001-$KH56)^2))</f>
        <v>#N/A</v>
      </c>
      <c r="GN56" s="162" t="e">
        <f ca="1">IF(Control!$B$26=1,$KU56,$KX56)</f>
        <v>#N/A</v>
      </c>
      <c r="GO56" s="162" t="e">
        <f ca="1">IF($CP56&lt;=60,Control!$C$105,IF($CP56&gt;=90,Control!$C$106,Control!$C$105+($CP56-60)*((Control!$C$106-Control!$C$105)/(90-60))))</f>
        <v>#N/A</v>
      </c>
      <c r="GP56" s="162" t="e">
        <f t="shared" ca="1" si="154"/>
        <v>#N/A</v>
      </c>
      <c r="GQ56" s="162" t="e">
        <f t="shared" ca="1" si="155"/>
        <v>#N/A</v>
      </c>
      <c r="GR56" s="163" t="e">
        <f t="shared" ca="1" si="44"/>
        <v>#DIV/0!</v>
      </c>
      <c r="GS56" s="162" t="e">
        <f t="shared" ca="1" si="45"/>
        <v>#DIV/0!</v>
      </c>
      <c r="GT56" s="164" t="e">
        <f t="shared" ca="1" si="156"/>
        <v>#N/A</v>
      </c>
      <c r="GU56" s="162" t="e">
        <f t="shared" ca="1" si="157"/>
        <v>#N/A</v>
      </c>
      <c r="GV56" s="162" t="e">
        <f t="shared" ca="1" si="46"/>
        <v>#N/A</v>
      </c>
      <c r="GW56" s="162" t="e">
        <f t="shared" ca="1" si="221"/>
        <v>#DIV/0!</v>
      </c>
      <c r="GX56" s="162" t="e">
        <f t="shared" ca="1" si="228"/>
        <v>#DIV/0!</v>
      </c>
      <c r="GY56" s="162" t="e">
        <f t="shared" ca="1" si="158"/>
        <v>#DIV/0!</v>
      </c>
      <c r="GZ56" s="165" t="e">
        <f t="shared" ca="1" si="159"/>
        <v>#N/A</v>
      </c>
      <c r="HA56" s="162" t="e">
        <f ca="1">IF(Control!$C$114=1, $DI56*$FS56, 0)</f>
        <v>#N/A</v>
      </c>
      <c r="HB56" s="162" t="e">
        <f ca="1">$FA56/Control!$C$64</f>
        <v>#N/A</v>
      </c>
      <c r="HC56" s="162" t="e">
        <f t="shared" ca="1" si="222"/>
        <v>#DIV/0!</v>
      </c>
      <c r="HD56" s="162">
        <f ca="1">-ASIN(SIN(23.45*Control!$C$139)*COS(2*Control!$C$138*($AH56+10)/365))</f>
        <v>-0.19930110791329428</v>
      </c>
      <c r="HE56" s="165">
        <f t="shared" ca="1" si="160"/>
        <v>0</v>
      </c>
      <c r="HF56" s="166">
        <f ca="1">IF(AND(Control!$C$61="T",$HE56&gt;=Control!$C$103,Control!$C$114=0),$AH56,Control!$C$59)</f>
        <v>1</v>
      </c>
      <c r="HG56" s="166">
        <f ca="1">IF(AND(Control!$C$61="T",$HE56&gt;=Control!$C$103,Control!$C$114=0),$HF56,Control!$C$59)</f>
        <v>1</v>
      </c>
      <c r="HH56" s="165">
        <f ca="1">IF(AND(OR(Control!$C$60&lt;=0, $AH56= Control!$C$59, Control!$C$60 &gt;0, $AH56 = Control!$C$60)), Control!$C$59, IF(Control!$C$60&gt;0, 0))</f>
        <v>1</v>
      </c>
      <c r="HI56" s="165">
        <f ca="1">IF(AND(OR(Control!$C$60&lt;=0, $AH56= Control!$C$59, Control!$C$60 &gt;0, $AH56 = Control!$C$60)), Control!$C$60, IF(Control!$C$60&lt;=0, 0))</f>
        <v>0</v>
      </c>
      <c r="HJ56" s="166">
        <f ca="1">IF(AND(Control!$C$62="F",$CV56&gt;=Control!$C$102),$AH56,0)</f>
        <v>0</v>
      </c>
      <c r="HK56" s="165" t="e">
        <f t="shared" ca="1" si="202"/>
        <v>#N/A</v>
      </c>
      <c r="HL56" s="166">
        <f ca="1">IF(AND(Control!$C$61="T",$HE56&gt;=Control!$C$103,Control!$C$114=0),$HF56,0)</f>
        <v>0</v>
      </c>
      <c r="HM56" s="201" t="e">
        <f t="shared" ca="1" si="47"/>
        <v>#DIV/0!</v>
      </c>
      <c r="HN56" s="215">
        <f t="shared" ca="1" si="161"/>
        <v>51</v>
      </c>
      <c r="HO56" s="216" t="e">
        <f ca="1">IF(AND($CP56&gt;=0, $CP56&lt;=90), Control!$C$152, Control!$C$152)</f>
        <v>#N/A</v>
      </c>
      <c r="HP56" s="216" t="e">
        <f t="shared" ca="1" si="48"/>
        <v>#N/A</v>
      </c>
      <c r="HQ56" s="217" t="e">
        <f ca="1">IF(OR(Control!$B$26=1,Control!$B$26=2),$KV56,$KS56)</f>
        <v>#DIV/0!</v>
      </c>
      <c r="HR56" s="218" t="e">
        <f t="shared" ca="1" si="223"/>
        <v>#DIV/0!</v>
      </c>
      <c r="HS56" s="216" t="e">
        <f ca="1">Control!$C$154*$HP56</f>
        <v>#N/A</v>
      </c>
      <c r="HT56" s="216" t="e">
        <f ca="1">Control!$C$155*$HP56</f>
        <v>#N/A</v>
      </c>
      <c r="HU56" s="217" t="e">
        <f ca="1">Control!$C$161*$FI56</f>
        <v>#N/A</v>
      </c>
      <c r="HV56" s="218" t="e">
        <f t="shared" ca="1" si="162"/>
        <v>#N/A</v>
      </c>
      <c r="HW56" s="218" t="e">
        <f ca="1">Control!$C$160*$FF56+$IP56*$EO56</f>
        <v>#N/A</v>
      </c>
      <c r="HX56" s="218" t="e">
        <f t="shared" ca="1" si="203"/>
        <v>#N/A</v>
      </c>
      <c r="HY56" s="219" t="e">
        <f ca="1">IF(Control!$C$114=1, $EB56*$FS56, 0)</f>
        <v>#N/A</v>
      </c>
      <c r="HZ56" s="91" t="e">
        <f t="shared" ca="1" si="49"/>
        <v>#N/A</v>
      </c>
      <c r="IA56" s="220" t="e">
        <f ca="1">Control!$C$153*$HO56</f>
        <v>#N/A</v>
      </c>
      <c r="IB56" s="218" t="e">
        <f t="shared" ca="1" si="50"/>
        <v>#N/A</v>
      </c>
      <c r="IC56" s="220" t="e">
        <f ca="1">Control!$C$153*$HT56</f>
        <v>#N/A</v>
      </c>
      <c r="ID56" s="218" t="e">
        <f t="shared" ca="1" si="51"/>
        <v>#N/A</v>
      </c>
      <c r="IE56" s="221" t="e">
        <f ca="1">($EB56*Control!$C$159+$EF56*Control!$C$160)/(IF($GZ56&lt;&gt;0,$GZ56,1))</f>
        <v>#N/A</v>
      </c>
      <c r="IF56" s="216" t="e">
        <f t="shared" ca="1" si="52"/>
        <v>#N/A</v>
      </c>
      <c r="IG56" s="91">
        <f ca="1">IF(OR(Control!$B$198=$AH56,Control!$B$199=$AH56, Control!$B$200=$AH56, Control!$B$201=$AH56, Control!$B$202=$AH56, Control!$B$203=$AH56, Control!$B$204=$AH56, Control!$B$205=$AH56, Control!$B$206=$AH56, Control!$B$207=$AH56), 1, 0)</f>
        <v>0</v>
      </c>
      <c r="IH56" s="91">
        <f ca="1">IF($IG56=0,0, VLOOKUP($AH56,Control!$B$198:$C$207,2))</f>
        <v>0</v>
      </c>
      <c r="II56" s="222">
        <f t="shared" ca="1" si="163"/>
        <v>0</v>
      </c>
      <c r="IJ56" s="91">
        <f>Control!$C$121</f>
        <v>0.7</v>
      </c>
      <c r="IK56" s="218">
        <f t="shared" ca="1" si="53"/>
        <v>0</v>
      </c>
      <c r="IL56" s="217" t="e">
        <f t="shared" ca="1" si="204"/>
        <v>#N/A</v>
      </c>
      <c r="IM56" s="223" t="e">
        <f ca="1">IF(AND(Control!$C$114=1,$KH56&lt;1),$EB56*Control!$C$148*(1-$KH56), 0)</f>
        <v>#N/A</v>
      </c>
      <c r="IN56" s="217" t="e">
        <f t="shared" ca="1" si="54"/>
        <v>#DIV/0!</v>
      </c>
      <c r="IO56" s="91" t="e">
        <f ca="1">MAX(0,$IL56-$EF56*Control!$C$160)</f>
        <v>#N/A</v>
      </c>
      <c r="IP56" s="220" t="e">
        <f t="shared" ca="1" si="55"/>
        <v>#N/A</v>
      </c>
      <c r="IQ56" s="217" t="e">
        <f t="shared" ca="1" si="164"/>
        <v>#N/A</v>
      </c>
      <c r="IR56" s="218" t="e">
        <f t="shared" ca="1" si="56"/>
        <v>#N/A</v>
      </c>
      <c r="IS56" s="217" t="e">
        <f ca="1">Control!$C$159*MAX(0,$FD56-$EN56)</f>
        <v>#N/A</v>
      </c>
      <c r="IT56" s="217" t="e">
        <f t="shared" ca="1" si="205"/>
        <v>#N/A</v>
      </c>
      <c r="IU56" s="217" t="e">
        <f t="shared" ca="1" si="165"/>
        <v>#N/A</v>
      </c>
      <c r="IV56" s="217" t="e">
        <f t="shared" ca="1" si="206"/>
        <v>#N/A</v>
      </c>
      <c r="IW56" s="217" t="e">
        <f ca="1">IF(OR($AW56=1,AND($AW56=0, Control!$B$18=1,$EN56&lt;&gt;0)), $IQ56-$IU56, $IQ56)</f>
        <v>#N/A</v>
      </c>
      <c r="IX56" s="218" t="e">
        <f t="shared" ca="1" si="57"/>
        <v>#N/A</v>
      </c>
      <c r="IY56" s="218" t="e">
        <f ca="1">MAX(0,$IQ56-$EB56*Control!$C$159)</f>
        <v>#N/A</v>
      </c>
      <c r="IZ56" s="218" t="e">
        <f t="shared" ca="1" si="58"/>
        <v>#N/A</v>
      </c>
      <c r="JA56" s="216" t="e">
        <f t="shared" ca="1" si="59"/>
        <v>#N/A</v>
      </c>
      <c r="JB56" s="217" t="e">
        <f t="shared" ca="1" si="60"/>
        <v>#N/A</v>
      </c>
      <c r="JC56" s="222" t="e">
        <f ca="1">MAX(Control!$C$157*$EK56-$JT56, 0)/Control!$C$162</f>
        <v>#N/A</v>
      </c>
      <c r="JD56" s="218" t="e">
        <f t="shared" ca="1" si="61"/>
        <v>#N/A</v>
      </c>
      <c r="JE56" s="218" t="e">
        <f t="shared" ca="1" si="62"/>
        <v>#N/A</v>
      </c>
      <c r="JF56" s="218" t="e">
        <f t="shared" ca="1" si="207"/>
        <v>#N/A</v>
      </c>
      <c r="JG56" s="218" t="e">
        <f t="shared" ca="1" si="63"/>
        <v>#N/A</v>
      </c>
      <c r="JH56" s="217" t="e">
        <f t="shared" ca="1" si="166"/>
        <v>#N/A</v>
      </c>
      <c r="JI56" s="217" t="e">
        <f t="shared" ca="1" si="167"/>
        <v>#N/A</v>
      </c>
      <c r="JJ56" s="217" t="e">
        <f t="shared" ca="1" si="224"/>
        <v>#N/A</v>
      </c>
      <c r="JK56" s="217" t="e">
        <f ca="1">IF(Control!$C$114=1,IF(Control!$B$24=0,MAX(0,$JI56)*$GN56/Control!$C$64,(MAX(0,MIN($JI56,$JJ56*$GN56/Control!$C$64),0))))</f>
        <v>#N/A</v>
      </c>
      <c r="JL56" s="217" t="e">
        <f ca="1">$IK56/Control!$C$64-$JK56+$HQ56</f>
        <v>#N/A</v>
      </c>
      <c r="JM56" s="217" t="e">
        <f ca="1">IF(Control!$C$114=1,($JB56/(IF($JI56&lt;&gt;0,$JI56,1)))*$JK56,0)</f>
        <v>#N/A</v>
      </c>
      <c r="JN56" s="217" t="e">
        <f ca="1">IF(Control!$C$114=1,($JG56/(IF($JI56&lt;&gt;0,$JI56,1)))*$JK56, 0)</f>
        <v>#N/A</v>
      </c>
      <c r="JO56" s="218" t="e">
        <f t="shared" ca="1" si="64"/>
        <v>#N/A</v>
      </c>
      <c r="JP56" s="218" t="e">
        <f ca="1">MIN(($IY56+$IO56)*Control!$C$151, $JF56-$EH56*Control!$C$161)</f>
        <v>#N/A</v>
      </c>
      <c r="JQ56" s="218" t="e">
        <f t="shared" ca="1" si="65"/>
        <v>#N/A</v>
      </c>
      <c r="JR56" s="217" t="e">
        <f ca="1">IF($CP56-Control!$C$150&lt;0, 0, $JQ56/Control!$C$162)</f>
        <v>#N/A</v>
      </c>
      <c r="JS56" s="218" t="e">
        <f t="shared" ca="1" si="66"/>
        <v>#N/A</v>
      </c>
      <c r="JT56" s="218" t="e">
        <f t="shared" ca="1" si="168"/>
        <v>#N/A</v>
      </c>
      <c r="JU56" s="218" t="e">
        <f t="shared" ca="1" si="67"/>
        <v>#N/A</v>
      </c>
      <c r="JV56" s="218" t="e">
        <f t="shared" ca="1" si="68"/>
        <v>#N/A</v>
      </c>
      <c r="JW56" s="216" t="e">
        <f t="shared" ca="1" si="69"/>
        <v>#N/A</v>
      </c>
      <c r="JX56" s="91" t="e">
        <f t="shared" ca="1" si="70"/>
        <v>#N/A</v>
      </c>
      <c r="JY56" s="218" t="e">
        <f t="shared" ca="1" si="71"/>
        <v>#N/A</v>
      </c>
      <c r="JZ56" s="217" t="e">
        <f ca="1">IF(Control!$C$114=1,($IZ56/(IF($JI56&lt;&gt;0,$JI56,1)))*$JK56, 0)</f>
        <v>#N/A</v>
      </c>
      <c r="KA56" s="218" t="e">
        <f t="shared" ca="1" si="225"/>
        <v>#N/A</v>
      </c>
      <c r="KB56" s="218" t="e">
        <f t="shared" ca="1" si="169"/>
        <v>#N/A</v>
      </c>
      <c r="KC56" s="218" t="e">
        <f t="shared" ca="1" si="72"/>
        <v>#N/A</v>
      </c>
      <c r="KD56" s="218" t="e">
        <f t="shared" ca="1" si="73"/>
        <v>#N/A</v>
      </c>
      <c r="KE56" s="218" t="e">
        <f t="shared" ca="1" si="74"/>
        <v>#N/A</v>
      </c>
      <c r="KF56" s="218" t="e">
        <f t="shared" ca="1" si="75"/>
        <v>#N/A</v>
      </c>
      <c r="KG56" s="216" t="e">
        <f t="shared" ca="1" si="76"/>
        <v>#N/A</v>
      </c>
      <c r="KH56" s="221" t="e">
        <f ca="1">IF(Control!$B$24=0,1,MAX(0.001,MIN(1,IF(($IF56-$IE56)&lt;&gt;0,($KG56-$IE56)/($IF56-$IE56),1))))</f>
        <v>#N/A</v>
      </c>
      <c r="KI56" s="222" t="e">
        <f ca="1">IF(Control!$C$114=1, $KI55+ $KH55, 0)</f>
        <v>#N/A</v>
      </c>
      <c r="KJ56" s="217" t="e">
        <f t="shared" ca="1" si="77"/>
        <v>#N/A</v>
      </c>
      <c r="KK56" s="218" t="e">
        <f t="shared" ca="1" si="78"/>
        <v>#N/A</v>
      </c>
      <c r="KL56" s="274" t="e">
        <f ca="1">IF(Control!$B$26=3,4000000000*EXP(-8400/($G56+273)),IF(Control!$B$26=4,4000000000*EXP(-8400/($G56+273))*($KT56),0))</f>
        <v>#DIV/0!</v>
      </c>
      <c r="KM56" s="274" t="e">
        <f ca="1">IF(Control!$B$26=3,5600000000000*EXP(-9800/($G56+273)),IF(Control!$B$26=4,5600000000000*EXP(-9800/($G56+273))*$KT56,0))</f>
        <v>#DIV/0!</v>
      </c>
      <c r="KN56" s="454" t="e">
        <f t="shared" ca="1" si="170"/>
        <v>#DIV/0!</v>
      </c>
      <c r="KO56" s="274" t="e">
        <f t="shared" ca="1" si="171"/>
        <v>#DIV/0!</v>
      </c>
      <c r="KP56" s="454" t="e">
        <f t="shared" ca="1" si="79"/>
        <v>#DIV/0!</v>
      </c>
      <c r="KQ56" s="454" t="e">
        <f t="shared" ca="1" si="80"/>
        <v>#DIV/0!</v>
      </c>
      <c r="KR56" s="454" t="e">
        <f t="shared" ca="1" si="81"/>
        <v>#DIV/0!</v>
      </c>
      <c r="KS56" s="454" t="e">
        <f t="shared" ca="1" si="82"/>
        <v>#DIV/0!</v>
      </c>
      <c r="KT56" s="455" t="e">
        <f t="shared" ca="1" si="83"/>
        <v>#DIV/0!</v>
      </c>
      <c r="KU56" s="456" t="e">
        <f ca="1">IF($CP56-Control!$C$149&lt;0, IF($NT56-0.01&lt;0,0,1),0)</f>
        <v>#N/A</v>
      </c>
      <c r="KV56" s="456" t="e">
        <f ca="1">IF(Control!$C$114=1,MAX(0,MIN(Control!$C$125*$KW56*$GN56,$KW56)))</f>
        <v>#DIV/0!</v>
      </c>
      <c r="KW56" s="456" t="e">
        <f t="shared" ca="1" si="208"/>
        <v>#DIV/0!</v>
      </c>
      <c r="KX56" s="457" t="e">
        <f ca="1">IF($CP56-Control!$C$149&lt;0, IF($MR56-$OM56&lt;0,0,1),0)</f>
        <v>#N/A</v>
      </c>
      <c r="KY56" s="167">
        <f t="shared" ca="1" si="172"/>
        <v>51</v>
      </c>
      <c r="KZ56" s="168">
        <f ca="1">1370*(1+0.033*COS(2*Control!$C$138*$AH56/365))</f>
        <v>1398.8777899578454</v>
      </c>
      <c r="LA56" s="169">
        <f t="shared" ca="1" si="173"/>
        <v>1.0210787309277003</v>
      </c>
      <c r="LB56" s="169">
        <f t="shared" ca="1" si="174"/>
        <v>-0.20040491034042621</v>
      </c>
      <c r="LC56" s="169">
        <f ca="1">ACOS(-TAN((2*Control!$B$8/360))*TAN(Calculations!$LB56))</f>
        <v>1.5103882407465952</v>
      </c>
      <c r="LD56" s="169">
        <f ca="1">((24*60)/PI())*0.082*$LA56*(($LC56*SIN(Control!$B$8*2*PI()/360))*SIN($LB56)+COS(Control!$B$8*2*PI()/360)*COS($LB56)*SIN($LC56))</f>
        <v>14.019983082502405</v>
      </c>
      <c r="LE56" s="170">
        <f t="shared" ca="1" si="84"/>
        <v>14.552729772675066</v>
      </c>
      <c r="LF56" s="170">
        <f ca="1">SIN(Control!$C$139*Control!$B$8)*SIN($HD56)</f>
        <v>-0.15601403312008852</v>
      </c>
      <c r="LG56" s="170">
        <f ca="1">COS(Control!$C$139*Control!$B$8)*COS($HD56)</f>
        <v>0.60347293219746678</v>
      </c>
      <c r="LH56" s="170">
        <f ca="1">12*(1+2*ASIN(MAX(-1,MIN(1,$LF56/$LG56))/Control!$C$138))</f>
        <v>10.022768095577588</v>
      </c>
      <c r="LI56" s="170">
        <f ca="1">12*(1+2*ASIN(MAX(-1,MIN(1,(-SIN(-4*Control!$C$139)+$LF56)/$LG56))/Control!$C$138))</f>
        <v>10.907682601550693</v>
      </c>
      <c r="LJ56" s="168">
        <f ca="1">3600*($LH56*$LF56+24*$LG56*SQRT(1-$LK56*$LK56)/Control!$C$138)</f>
        <v>10403.145919640063</v>
      </c>
      <c r="LK56" s="170">
        <f t="shared" ca="1" si="85"/>
        <v>-0.25852697742711356</v>
      </c>
      <c r="LL56" s="170">
        <f t="shared" ca="1" si="86"/>
        <v>0</v>
      </c>
      <c r="LM56" s="171">
        <f ca="1">Control!$C$145*$AB56</f>
        <v>6.6660906138995932E-2</v>
      </c>
      <c r="LN56" s="170">
        <f t="shared" ca="1" si="175"/>
        <v>0.54</v>
      </c>
      <c r="LO56" s="170">
        <f t="shared" ca="1" si="87"/>
        <v>0</v>
      </c>
      <c r="LP56" s="170">
        <f ca="1">Control!$C$140*((($D56+273.16)^4+($E56+273.16)^4)/2)*(0.34-0.14*SQRT($Y56))*(1.35*$AQ56/(0.75*$LD56)-0.35)</f>
        <v>-3.2464704755046001</v>
      </c>
      <c r="LQ56" s="170">
        <f ca="1">Control!$C$140*($G56+273)^4*(0.56-0.079*SQRT($Y56*10))*(0.1+0.9*$LO56)</f>
        <v>1.5241745131704001</v>
      </c>
      <c r="LR56" s="170">
        <f ca="1">$AQ56*(1-Control!$C$142)-$LQ56</f>
        <v>-1.5241745131704001</v>
      </c>
      <c r="LS56" s="170">
        <f ca="1">$AQ56*(1-Control!$C$143)-$LQ56</f>
        <v>-1.5241745131704001</v>
      </c>
      <c r="LT56" s="170">
        <f ca="1">$AQ56*(1-Control!$C$144)-$LQ56</f>
        <v>-1.5241745131704001</v>
      </c>
      <c r="LU56" s="169">
        <f ca="1">(1-Control!$C$144)*AQ56-LP56</f>
        <v>3.2464704755046001</v>
      </c>
      <c r="LV56" s="172">
        <f t="shared" ca="1" si="88"/>
        <v>0.79430000000000012</v>
      </c>
      <c r="LW56" s="170">
        <f t="shared" ca="1" si="89"/>
        <v>1.5886000000000002</v>
      </c>
      <c r="LX56" s="170">
        <f ca="1">($AC56*($LR56/Control!$C$141)+$LM56*$LV56)/($AC56+$LM56)</f>
        <v>0.23530094218323697</v>
      </c>
      <c r="LY56" s="170">
        <f ca="1">($AC56*($LS56/Control!$C$141)+$LM56*$LV56)/($AC56+$LM56)</f>
        <v>0.23530094218323697</v>
      </c>
      <c r="LZ56" s="170">
        <f t="shared" ca="1" si="90"/>
        <v>0.23530094218323697</v>
      </c>
      <c r="MA56" s="170">
        <f t="shared" ca="1" si="91"/>
        <v>0.23530094218323697</v>
      </c>
      <c r="MB56" s="170" t="e">
        <f t="shared" ca="1" si="92"/>
        <v>#N/A</v>
      </c>
      <c r="MC56" s="170">
        <f t="shared" ca="1" si="176"/>
        <v>0.6018</v>
      </c>
      <c r="MD56" s="170">
        <f t="shared" ca="1" si="93"/>
        <v>0.52989392535414004</v>
      </c>
      <c r="ME56" s="170">
        <f ca="1">($AC56*($LT56/Control!$C$141)+$LM56*$LW56)/($AC56+$LM56)</f>
        <v>0.71612369323045078</v>
      </c>
      <c r="MF56" s="170" t="e">
        <f ca="1">IF(Control!$B$16&gt;=1000,0.92,IF(AND(720&lt;=Control!$B$16,1000&gt;Control!$B$16),(0.95+(Control!$B$16-720)*((0.92-0.95)/(1000-720))),IF(AND(360&lt;=Control!$B$16,720&gt;Control!$B$16),(1+(Control!$B$16-360)*((0.95-1)/(720-360))),IF(AND(40&lt;=Control!$B$16,360&gt;Control!$B$16),(1.05+(Control!$B$16-40)*((1.05-1)/(360-40)))))))</f>
        <v>#N/A</v>
      </c>
      <c r="MG56" s="170">
        <f t="shared" ca="1" si="94"/>
        <v>0.71612369323045078</v>
      </c>
      <c r="MH56" s="170" t="e">
        <f t="shared" ca="1" si="232"/>
        <v>#N/A</v>
      </c>
      <c r="MI56" s="170" t="e">
        <f t="shared" ca="1" si="232"/>
        <v>#N/A</v>
      </c>
      <c r="MJ56" s="170" t="e">
        <f ca="1">MAX(0.0001, Control!$C$132*$MI56*$DL56)</f>
        <v>#N/A</v>
      </c>
      <c r="MK56" s="170">
        <f ca="1">1/(0.76+1.5*($MG56/10))-(5-Control!$C$110)*0.1</f>
        <v>1.002845988140797</v>
      </c>
      <c r="ML56" s="173">
        <f ca="1">IF(Control!$C$110&lt;3,$MK56+($MG56-0.6)/(Control!$C$110*(Control!$C$110+3)), MAX(0.1, MIN(0.95,$MK56)))</f>
        <v>0.95</v>
      </c>
      <c r="MM56" s="173">
        <f ca="1">IF(Control!$C$110&lt;3,$MK56+(($MI56/10)-0.6)/(Control!$C$110*(Control!$C$110+3)), MAX(0.1, MIN(0.95,$MK56)))</f>
        <v>0.95</v>
      </c>
      <c r="MN56" s="173">
        <f ca="1">(1-$MM56)*(Control!$C$128-Control!$C$127)+Control!$C$127</f>
        <v>0.16</v>
      </c>
      <c r="MO56" s="170" t="e">
        <f ca="1">MAX(0,MIN(1,($MS56-Control!$C$127)/($MN56-Control!$C$127)))</f>
        <v>#DIV/0!</v>
      </c>
      <c r="MP56" s="173" t="e">
        <f ca="1">1/(0.76+1.5*$MI56)-(5-Control!$C$110)*0.1</f>
        <v>#N/A</v>
      </c>
      <c r="MQ56" s="172" t="e">
        <f t="shared" ca="1" si="209"/>
        <v>#DIV/0!</v>
      </c>
      <c r="MR56" s="168" t="e">
        <f t="shared" ca="1" si="226"/>
        <v>#DIV/0!</v>
      </c>
      <c r="MS56" s="173" t="e">
        <f ca="1">MAX(Control!$C$127, MIN(Control!$C$135, $MR56/MAX(0.0001,$CY56)))</f>
        <v>#DIV/0!</v>
      </c>
      <c r="MT56" s="168" t="e">
        <f ca="1">(Control!$C$128-$MS56)*Control!$C$74</f>
        <v>#DIV/0!</v>
      </c>
      <c r="MU56" s="168" t="e">
        <f ca="1">(Control!$C$135-$MS56)*Control!$C$74</f>
        <v>#DIV/0!</v>
      </c>
      <c r="MV56" s="168" t="e">
        <f t="shared" ca="1" si="210"/>
        <v>#DIV/0!</v>
      </c>
      <c r="MW56" s="168" t="e">
        <f t="shared" ca="1" si="177"/>
        <v>#DIV/0!</v>
      </c>
      <c r="MX56" s="171" t="e">
        <f ca="1">MAX(Control!$C$127, MIN(Control!$C$135, $MW56/MAX(0.0001,Control!$C$119-$CY56)))</f>
        <v>#DIV/0!</v>
      </c>
      <c r="MY56" s="54" t="e">
        <f ca="1">IF(Control!$C$114=1, $CX56*$MX56, 0)</f>
        <v>#DIV/0!</v>
      </c>
      <c r="MZ56" s="54" t="e">
        <f t="shared" ca="1" si="178"/>
        <v>#N/A</v>
      </c>
      <c r="NA56" s="168" t="e">
        <f ca="1">(Control!$C$128-$MX56)*(Control!$C$119-Control!$C$74)</f>
        <v>#DIV/0!</v>
      </c>
      <c r="NB56" s="168" t="e">
        <f ca="1">(Control!$C$135-$MX56)*(Control!$C$119-Control!$C$74)</f>
        <v>#DIV/0!</v>
      </c>
      <c r="NC56" s="174" t="e">
        <f t="shared" ca="1" si="179"/>
        <v>#DIV/0!</v>
      </c>
      <c r="ND56" s="54">
        <f ca="1">IF(Control!$C$58=2, IF(OR(Control!$B$218=$AH56,Control!$B$219=$AH56, Control!$B$220=$AH56, Control!$B$221=$AH56, Control!$B$222=$AH56, Control!$B$223=$AH56, Control!$B$224=$AH56, Control!$B$225=$AH56, Control!$B$226=$AH56, Control!$B$227=$AH56, Control!$B$228=$AH56), 1, 0), 0)</f>
        <v>0</v>
      </c>
      <c r="NE56" s="54">
        <f ca="1">IF($ND56=0,0, VLOOKUP($AH56,Control!$B$218:$C$228,2))</f>
        <v>0</v>
      </c>
      <c r="NF56" s="168" t="e">
        <f ca="1">$CY56*(Control!$C$128-Control!$C$127)</f>
        <v>#N/A</v>
      </c>
      <c r="NG56" s="54" t="e">
        <f ca="1">IF(Control!$C$58=2, $NI55-$NJ55, 0)</f>
        <v>#DIV/0!</v>
      </c>
      <c r="NH56" s="54" t="e">
        <f ca="1">IF(AND(Control!$C$58=1, $MS55&lt;= ($MN55+0.02), $I55&lt;10), 0, IF(Control!$C$58=2, $NG55, 0))</f>
        <v>#DIV/0!</v>
      </c>
      <c r="NI56" s="54" t="e">
        <f ca="1">IF(Control!$C$58=2, $NE56+$NH56,0)</f>
        <v>#DIV/0!</v>
      </c>
      <c r="NJ56" s="54" t="e">
        <f ca="1">IF(AND(Control!$C$58=1, $MS56&lt;= ($MN56+0.02), $I56&lt;10), MAX(0, MIN(10, 0.7*($NF56-$MV56))), IF(Control!$C$58=2, MIN(10,$NI56),0))</f>
        <v>#DIV/0!</v>
      </c>
      <c r="NK56" s="54" t="e">
        <f t="shared" ca="1" si="96"/>
        <v>#DIV/0!</v>
      </c>
      <c r="NL56" s="173" t="e">
        <f ca="1">(1-Control!$C$73)*$I56+$NJ56</f>
        <v>#DIV/0!</v>
      </c>
      <c r="NM56" s="172" t="e">
        <f ca="1">IF($NL56&lt;0.5, $MB56* MAX(0, MIN(1, (SQRT($NC56)-SQRT($NC56-1))*Control!$C$71)),0)</f>
        <v>#DIV/0!</v>
      </c>
      <c r="NN56" s="170" t="e">
        <f ca="1">IF($NL56&gt;=5, $MB56, MAX(0,MIN($MB56, $NM56+$NL56,($MS56-Control!$C$129))))</f>
        <v>#DIV/0!</v>
      </c>
      <c r="NO56" s="54">
        <f>IF(Control!$C$133&lt;&gt;1, Control!$C$135-Control!$C$131, 0)</f>
        <v>0.38</v>
      </c>
      <c r="NP56" s="54" t="e">
        <f t="shared" ca="1" si="97"/>
        <v>#DIV/0!</v>
      </c>
      <c r="NQ56" s="173" t="e">
        <f ca="1">MAX(0,MIN(1,(Control!$C$135-$MS56)/(Control!$C$135-$NO56)))</f>
        <v>#DIV/0!</v>
      </c>
      <c r="NR56" s="170" t="e">
        <f ca="1">IF(Control!$C$133&lt;&gt;1, $NQ56+((1-$NP56/4)*(1-$NQ56)),1)</f>
        <v>#DIV/0!</v>
      </c>
      <c r="NS56" s="170" t="e">
        <f ca="1">IF(Control!$B$31=0,$MJ56,MAX(0,MIN($MV56,$MO56*$NR56*$MJ56)))</f>
        <v>#DIV/0!</v>
      </c>
      <c r="NT56" s="170" t="e">
        <f t="shared" ca="1" si="227"/>
        <v>#DIV/0!</v>
      </c>
      <c r="NU56" s="170" t="e">
        <f t="shared" ca="1" si="180"/>
        <v>#N/A</v>
      </c>
      <c r="NV56" s="170" t="e">
        <f t="shared" ca="1" si="98"/>
        <v>#N/A</v>
      </c>
      <c r="NW56" s="175" t="e">
        <f t="shared" ca="1" si="99"/>
        <v>#DIV/0!</v>
      </c>
      <c r="NX56" s="170" t="e">
        <f ca="1">MIN(Control!$C$72+$MU56, $NW56)</f>
        <v>#DIV/0!</v>
      </c>
      <c r="NY56" s="170" t="e">
        <f ca="1">IF($MT56&lt;=$NX56,MIN(Control!$C$72+$NB56,$NX56-$MT56),0)</f>
        <v>#DIV/0!</v>
      </c>
      <c r="NZ56" s="54" t="e">
        <f ca="1">IF(Control!$C$114=1,  $CX56*($MX56-Control!$C$127), 0)</f>
        <v>#DIV/0!</v>
      </c>
      <c r="OA56" s="170" t="e">
        <f t="shared" ca="1" si="181"/>
        <v>#DIV/0!</v>
      </c>
      <c r="OB56" s="170" t="e">
        <f ca="1">IF($NA56 &lt;=$NY56, MIN(Control!$C$72, $NY56-$NA56), 0)</f>
        <v>#DIV/0!</v>
      </c>
      <c r="OC56" s="168" t="e">
        <f t="shared" ca="1" si="100"/>
        <v>#DIV/0!</v>
      </c>
      <c r="OD56" s="168" t="e">
        <f t="shared" ca="1" si="182"/>
        <v>#DIV/0!</v>
      </c>
      <c r="OE56" s="170">
        <f ca="1">Control!$C$73*$I56</f>
        <v>0</v>
      </c>
      <c r="OF56" s="176" t="e">
        <f t="shared" ca="1" si="101"/>
        <v>#DIV/0!</v>
      </c>
      <c r="OG56" s="168" t="e">
        <f t="shared" ca="1" si="102"/>
        <v>#DIV/0!</v>
      </c>
      <c r="OH56" s="168" t="e">
        <f t="shared" ca="1" si="103"/>
        <v>#DIV/0!</v>
      </c>
      <c r="OI56" s="168" t="e">
        <f t="shared" ca="1" si="104"/>
        <v>#DIV/0!</v>
      </c>
      <c r="OJ56" s="168" t="e">
        <f t="shared" ca="1" si="105"/>
        <v>#DIV/0!</v>
      </c>
      <c r="OK56" s="204" t="e">
        <f t="shared" ca="1" si="183"/>
        <v>#DIV/0!</v>
      </c>
      <c r="OL56" s="177">
        <f>Control!$C$127</f>
        <v>0.15</v>
      </c>
      <c r="OM56" s="182" t="e">
        <f t="shared" ca="1" si="106"/>
        <v>#N/A</v>
      </c>
      <c r="ON56" s="177">
        <f>Control!$C$128</f>
        <v>0.35</v>
      </c>
      <c r="OO56" s="182" t="e">
        <f t="shared" ca="1" si="107"/>
        <v>#N/A</v>
      </c>
      <c r="OP56" s="138">
        <f t="shared" ca="1" si="184"/>
        <v>0</v>
      </c>
      <c r="OQ56" s="138" t="e">
        <f t="shared" ca="1" si="211"/>
        <v>#DIV/0!</v>
      </c>
      <c r="OR56" s="138" t="e">
        <f t="shared" ca="1" si="185"/>
        <v>#DIV/0!</v>
      </c>
      <c r="OS56" s="137" t="e">
        <f t="shared" ca="1" si="212"/>
        <v>#DIV/0!</v>
      </c>
      <c r="OT56" s="139" t="e">
        <f t="shared" ca="1" si="213"/>
        <v>#DIV/0!</v>
      </c>
      <c r="OU56" s="138" t="e">
        <f t="shared" ca="1" si="214"/>
        <v>#N/A</v>
      </c>
      <c r="OV56" s="138" t="e">
        <f t="shared" ca="1" si="215"/>
        <v>#DIV/0!</v>
      </c>
      <c r="OW56" s="138" t="e">
        <f t="shared" ca="1" si="186"/>
        <v>#DIV/0!</v>
      </c>
      <c r="OX56" s="138" t="e">
        <f t="shared" ca="1" si="187"/>
        <v>#DIV/0!</v>
      </c>
      <c r="OY56" s="138" t="e">
        <f t="shared" ca="1" si="188"/>
        <v>#DIV/0!</v>
      </c>
      <c r="OZ56" s="138" t="e">
        <f t="shared" ca="1" si="108"/>
        <v>#DIV/0!</v>
      </c>
      <c r="PA56" s="138" t="e">
        <f t="shared" ca="1" si="109"/>
        <v>#DIV/0!</v>
      </c>
      <c r="PB56" s="55">
        <f>IF(Control!$C$61="T", IF(Control!$C$65="F", IF($AH$6-Control!$C$60&lt;0,0,1), IF(365+$AH$6-Control!$C$60&lt;0,0,1)),0)</f>
        <v>0</v>
      </c>
      <c r="PC56" s="55">
        <f ca="1">IF(Control!$C$65="F", IF($AH$6-$HF56&lt;0,0,1), IF(365+$AH$6-$HF56&lt;0,0,1))</f>
        <v>1</v>
      </c>
      <c r="PD56" s="444">
        <f>Control!$C$118</f>
        <v>1500</v>
      </c>
      <c r="PE56" s="180" t="e">
        <f t="shared" ca="1" si="110"/>
        <v>#N/A</v>
      </c>
      <c r="PF56" s="445">
        <f t="shared" ca="1" si="189"/>
        <v>0.71612369323045078</v>
      </c>
      <c r="PT56" s="186"/>
      <c r="PU56" s="186"/>
      <c r="PV56" s="94"/>
      <c r="PW56" s="94"/>
      <c r="PX56" s="94"/>
      <c r="PY56" s="94"/>
      <c r="PZ56" s="94"/>
      <c r="QA56" s="94"/>
      <c r="QB56" s="94"/>
      <c r="QC56" s="94"/>
      <c r="QD56" s="94"/>
      <c r="QE56" s="94"/>
      <c r="QF56" s="94"/>
      <c r="QG56" s="94"/>
      <c r="QH56" s="94"/>
      <c r="QI56" s="94"/>
      <c r="QJ56" s="94"/>
      <c r="QK56" s="94"/>
      <c r="QL56" s="94"/>
      <c r="QM56" s="94"/>
      <c r="QN56" s="94"/>
      <c r="QO56" s="94"/>
      <c r="QP56" s="94"/>
    </row>
    <row r="57" spans="1:458" s="2" customFormat="1" x14ac:dyDescent="0.2">
      <c r="A57" s="395">
        <v>21</v>
      </c>
      <c r="B57" s="396">
        <v>2</v>
      </c>
      <c r="C57" s="387">
        <f ca="1">Weather_data!$B56</f>
        <v>0</v>
      </c>
      <c r="D57" s="388">
        <f ca="1">Weather_data!$F56</f>
        <v>0</v>
      </c>
      <c r="E57" s="388">
        <f ca="1">Weather_data!$E56</f>
        <v>0</v>
      </c>
      <c r="F57" s="388">
        <f t="shared" ca="1" si="111"/>
        <v>0</v>
      </c>
      <c r="G57" s="388">
        <f ca="1">AVERAGE($D57:$E57)+Control!$B$9</f>
        <v>0</v>
      </c>
      <c r="H57" s="388">
        <f ca="1">Weather_data!$G56</f>
        <v>0</v>
      </c>
      <c r="I57" s="388">
        <f ca="1">Weather_data!$I56</f>
        <v>0</v>
      </c>
      <c r="J57" s="388">
        <f ca="1">Weather_data!$H56</f>
        <v>0</v>
      </c>
      <c r="K57" s="389">
        <f ca="1">Weather_data!$D56</f>
        <v>0</v>
      </c>
      <c r="L57" s="388" t="e">
        <f t="shared" ca="1" si="112"/>
        <v>#N/A</v>
      </c>
      <c r="M57" s="388" t="e">
        <f t="shared" ca="1" si="0"/>
        <v>#N/A</v>
      </c>
      <c r="N57" s="388">
        <f t="shared" ca="1" si="1"/>
        <v>-2.3191988432940507E-3</v>
      </c>
      <c r="O57" s="388">
        <f t="shared" ca="1" si="113"/>
        <v>2.3191988432940507E-2</v>
      </c>
      <c r="P57" s="390">
        <v>3</v>
      </c>
      <c r="Q57" s="388">
        <f ca="1">MAX($G57-Control!$C$107,0)</f>
        <v>0</v>
      </c>
      <c r="R57" s="388">
        <f t="shared" ca="1" si="114"/>
        <v>0</v>
      </c>
      <c r="S57" s="388">
        <f t="shared" ca="1" si="2"/>
        <v>0</v>
      </c>
      <c r="T57" s="388">
        <f t="shared" ca="1" si="3"/>
        <v>0</v>
      </c>
      <c r="U57" s="59">
        <f t="shared" ca="1" si="4"/>
        <v>0</v>
      </c>
      <c r="V57" s="391">
        <f ca="1">MAX(0,MIN(Control!$C$100-Control!$C$99,$G57-Control!$C$99)*Control!$C$63)</f>
        <v>0</v>
      </c>
      <c r="W57" s="388">
        <f t="shared" ca="1" si="190"/>
        <v>0</v>
      </c>
      <c r="X57" s="388">
        <f t="shared" ca="1" si="115"/>
        <v>0.6110000000000001</v>
      </c>
      <c r="Y57" s="388">
        <f t="shared" ca="1" si="116"/>
        <v>0</v>
      </c>
      <c r="Z57" s="388">
        <f t="shared" ca="1" si="117"/>
        <v>0.61058800000000002</v>
      </c>
      <c r="AA57" s="388">
        <f t="shared" ca="1" si="5"/>
        <v>0.6018</v>
      </c>
      <c r="AB57" s="388">
        <f ca="1">101.3*EXP(-0.034*Control!$C$66/($G57+273))</f>
        <v>100.69623283836242</v>
      </c>
      <c r="AC57" s="392">
        <f t="shared" ca="1" si="6"/>
        <v>4.3460251046025113E-2</v>
      </c>
      <c r="AD57" s="392">
        <f t="shared" ca="1" si="7"/>
        <v>4.4450382862832649E-2</v>
      </c>
      <c r="AE57" s="388">
        <f t="shared" ca="1" si="8"/>
        <v>0</v>
      </c>
      <c r="AF57" s="388">
        <f ca="1">MAX(0,$G57-Control!$C$92)</f>
        <v>0</v>
      </c>
      <c r="AG57" s="393">
        <f t="shared" ca="1" si="118"/>
        <v>52</v>
      </c>
      <c r="AH57" s="389">
        <f t="shared" ca="1" si="9"/>
        <v>52</v>
      </c>
      <c r="AI57" s="388">
        <f t="shared" ca="1" si="119"/>
        <v>-0.19321275018265779</v>
      </c>
      <c r="AJ57" s="388">
        <f ca="1">IF(Control!$C$60&lt;=0,$HH57,$HI57)</f>
        <v>1</v>
      </c>
      <c r="AK57" s="388">
        <f t="shared" ca="1" si="10"/>
        <v>-0.48199777698911894</v>
      </c>
      <c r="AL57" s="388">
        <f t="shared" ca="1" si="11"/>
        <v>3.2459937515660895E-18</v>
      </c>
      <c r="AM57" s="388">
        <f t="shared" ca="1" si="12"/>
        <v>-0.48199777698911894</v>
      </c>
      <c r="AN57" s="388">
        <f t="shared" ca="1" si="13"/>
        <v>-0.18546166153230101</v>
      </c>
      <c r="AO57" s="388">
        <f ca="1">-0.10453/COS(Control!$B$8*PI()/180)*COS(AN57)</f>
        <v>-0.16687326176931849</v>
      </c>
      <c r="AP57" s="388">
        <f ca="1">ACOS(AO57-TAN(Control!$B$8*PI()/180)*TAN(AN57))</f>
        <v>1.4974641608132249</v>
      </c>
      <c r="AQ57" s="388">
        <f t="shared" ca="1" si="120"/>
        <v>0</v>
      </c>
      <c r="AR57" s="394">
        <f t="shared" ca="1" si="14"/>
        <v>0</v>
      </c>
      <c r="AS57" s="436">
        <f ca="1">IF(Control!$B$18=2,(IF(OR($AH57=Control!$B$175,$AH57=Control!$B$176,$AH57=Control!$B$177,$AH57=Control!$B$178,$AH57=Control!$B$179,$AH57=Control!$B$180,$AH57=Control!$B$181,$AH57=Control!$B$182,$AH57=Control!$B$183,$AH57=Control!$B$184,$AH57=Control!$B$185),1,0)),0)</f>
        <v>0</v>
      </c>
      <c r="AT57" s="436">
        <f>IF(Control!$B$20=8,IF(AND($AH57&gt;=Control!$B$172,$AH57&lt;=Control!$B$173),1,0),0)</f>
        <v>0</v>
      </c>
      <c r="AU57" s="436">
        <f>IF(Control!$B$20=8,IF($AV56=1,1*$AT57,IF($AT57=1,$AU56+1,$AU56)),0)</f>
        <v>0</v>
      </c>
      <c r="AV57" s="436">
        <f>IF(Control!$B$20=8,IF($AU57&gt;=Control!$B$174,1,0),0)</f>
        <v>0</v>
      </c>
      <c r="AW57" s="436">
        <f ca="1">IF(AND(Control!$B$18=2,Control!$B$171=1), $AV57, $AS57)</f>
        <v>0</v>
      </c>
      <c r="AX57" s="436" t="e">
        <f ca="1">IF(AND(Control!$B$18=1,$EU57&gt;=Control!$B$19),-$AY57,IF(AND(Control!$B$18=2,$AW57=1,$EU57&gt;$DS57),-$AY57, IF(Control!$C$108=0,0, IF(Control!$C$108&lt;&gt;0,1))))</f>
        <v>#N/A</v>
      </c>
      <c r="AY57" s="436" t="e">
        <f t="shared" ca="1" si="121"/>
        <v>#N/A</v>
      </c>
      <c r="AZ57" s="436" t="e">
        <f ca="1">IF(AND(Control!$B$18=1,$EB57&gt;Control!$B$19),$AZ56+1, IF(AND(Control!$B$18=2, $AW57=1, $EB57&gt;$DS57), $AZ56+1,$AZ56))</f>
        <v>#N/A</v>
      </c>
      <c r="BA57" s="587">
        <f>IF(Control!$C$81=0,1,IF($AH57&gt;=Control!$C$82,1,0))</f>
        <v>1</v>
      </c>
      <c r="BB57" s="140" t="e">
        <f ca="1">IF($BA57&gt;$BA56,Control!$C$83,IF($AW57&gt;0,$AW57*Control!$C$84,IF(AND(Control!$B$18=1,EN56&lt;&gt;0),Control!$C$84,0)))</f>
        <v>#N/A</v>
      </c>
      <c r="BC57" s="140" t="e">
        <f t="shared" ca="1" si="122"/>
        <v>#N/A</v>
      </c>
      <c r="BD57" s="140" t="e">
        <f ca="1">BC57*IF(OR($G57&lt;Control!$C$92,$G57&gt;Control!$C$95),0,IF(AND($G57&gt;=Control!$C$92,$G57&lt;=Control!$C$93),$G57-Control!$C$92,IF(AND($G57&gt;Control!$C$93,$G57&lt;=Control!$C$94),Control!$C$93-Control!$C$92,IF(AND($G57&gt;Control!$C$94,$G57&lt;=Control!$C$95),(Control!$C$93-Control!$C$92)*(Control!$C$94-$G57)/(Control!$C$95-Control!$C$94)))))</f>
        <v>#N/A</v>
      </c>
      <c r="BE57" s="140" t="e">
        <f t="shared" ca="1" si="123"/>
        <v>#N/A</v>
      </c>
      <c r="BF57" s="140" t="e">
        <f ca="1">IF($BE57&lt;=Control!$C$86,$BE57,Control!$C$86-$BE57)</f>
        <v>#N/A</v>
      </c>
      <c r="BG57" s="140" t="e">
        <f ca="1">IF(AND($AW57=1,Control!$C$84&lt;9),1,IF($BE57&gt;=Control!$C$86,0,$BC57))</f>
        <v>#N/A</v>
      </c>
      <c r="BH57" s="404" t="e">
        <f ca="1">IF($BG57=0,0,IF($BE57&lt;=Control!$C$86,$BC57*9*($BF57/Control!$C$86),0))</f>
        <v>#N/A</v>
      </c>
      <c r="BI57" s="140" t="e">
        <f ca="1">IF($BG57=1,0,IF($BE57&gt;=Control!$C$86,1,IF(AND($BB57&lt;21,$BB57&gt;=9),1,$BM56)))</f>
        <v>#N/A</v>
      </c>
      <c r="BJ57" s="140" t="e">
        <f ca="1">IF($BF57&lt;0,-$BF57,$BI57*IF(OR($G57&lt;Control!$C$92,$G57&gt;Control!$C$95),0,IF(AND($G57&gt;=Control!$C$92,$G57&lt;=Control!$C$93),$G57-Control!$C$92,IF(AND($G57&gt;Control!$C$93,$G57&lt;=Control!$C$94),Control!$C$93-Control!$C$92,IF(AND($G57&gt;Control!$C$94,$G57&lt;=Control!$C$95),(Control!$C$93-Control!$C$92)*(Control!$C$94-$G57)/(Control!$C$95-Control!$C$94))))))</f>
        <v>#N/A</v>
      </c>
      <c r="BK57" s="140" t="e">
        <f t="shared" ca="1" si="124"/>
        <v>#N/A</v>
      </c>
      <c r="BL57" s="140" t="e">
        <f ca="1">IF($BK57&lt;=Control!$C$87,$BK57,Control!$C$87-$BK57)</f>
        <v>#N/A</v>
      </c>
      <c r="BM57" s="140" t="e">
        <f ca="1">IF(AND($BB57&gt;=9,$BB57&lt;21),1,IF($BK57&gt;=Control!$C$87,0,$BI57))</f>
        <v>#N/A</v>
      </c>
      <c r="BN57" s="404" t="e">
        <f ca="1">IF($BM57=0,0,IF($BK57&lt;=Control!$C$87,$BI57*(9+(21-9)*($BL57/Control!$C$87)),0))</f>
        <v>#N/A</v>
      </c>
      <c r="BO57" s="140" t="e">
        <f ca="1">IF($BM57=1,0,IF($BK57&gt;=Control!$C$87,1,IF(AND($BB57&lt;30,$BB57&gt;=21),1,$BS56)))</f>
        <v>#N/A</v>
      </c>
      <c r="BP57" s="140" t="e">
        <f ca="1">IF($BL57&lt;0,-$BL57,$BO57*IF(OR($G57&lt;Control!$C$92,$G57&gt;Control!$C$95),0,IF(AND($G57&gt;=Control!$C$92,$G57&lt;=Control!$C$93),$G57-Control!$C$92,IF(AND($G57&gt;Control!$C$93,$G57&lt;=Control!$C$94),Control!$C$93-Control!$C$92,IF(AND($G57&gt;Control!$C$94,$G57&lt;=Control!$C$95),(Control!$C$93-Control!$C$92)*(Control!$C$94-$G57)/(Control!$C$95-Control!$C$94))))))</f>
        <v>#N/A</v>
      </c>
      <c r="BQ57" s="140" t="e">
        <f t="shared" ca="1" si="15"/>
        <v>#N/A</v>
      </c>
      <c r="BR57" s="140" t="e">
        <f ca="1">IF($BQ57&lt;=Control!$C$88,$BQ57,Control!$C$88-$BQ57)</f>
        <v>#N/A</v>
      </c>
      <c r="BS57" s="140" t="e">
        <f ca="1">IF(AND($BB57&gt;=21,$BB57&lt;30),1,IF($BQ57&gt;=Control!$C$88,0,$BO57))</f>
        <v>#N/A</v>
      </c>
      <c r="BT57" s="404" t="e">
        <f ca="1">IF($BS57=0,0,IF($BQ57&lt;=Control!$C$88,$BO57*(21+(30-21)*(BR57/Control!$C$88)),0))</f>
        <v>#N/A</v>
      </c>
      <c r="BU57" s="140" t="e">
        <f ca="1">IF(BG57+BM57+BS57=1,0,IF(OR(AND($BB57&lt;60,$BB57&gt;=30),$BQ57&gt;=Control!$C$88),1*$BA57,$BY56))</f>
        <v>#N/A</v>
      </c>
      <c r="BV57" s="140" t="e">
        <f ca="1">IF($BR57&lt;0,-$BR57,$BU57*IF(OR($G57&lt;Control!$C$92,$G57&gt;Control!$C$95),0,IF(AND($G57&gt;=Control!$C$92,$G57&lt;=Control!$C$93),$G57-Control!$C$92,IF(AND($G57&gt;Control!$C$93,$G57&lt;=Control!$C$94),Control!$C$93-Control!$C$92,IF(AND($G57&gt;Control!$C$94,$G57&lt;=Control!$C$95),(Control!$C$93-Control!$C$92)*(Control!$C$94-$G57)/(Control!$C$95-Control!$C$94))))))</f>
        <v>#N/A</v>
      </c>
      <c r="BW57" s="140" t="e">
        <f t="shared" ca="1" si="16"/>
        <v>#N/A</v>
      </c>
      <c r="BX57" s="140" t="e">
        <f ca="1">IF($BW57&lt;=Control!$C$89,$BW57,Control!$C$89-$BW57)</f>
        <v>#N/A</v>
      </c>
      <c r="BY57" s="140" t="e">
        <f ca="1">IF(AND($AJ57&gt;=30,$AJ57&lt;60),1,IF($BW57&gt;=Control!$C$89,0,$BU57))</f>
        <v>#N/A</v>
      </c>
      <c r="BZ57" s="404" t="e">
        <f ca="1">IF($BY57=0,0,IF($BW57&lt;=Control!$C$89,$BU57*(30+(60-30)*(BX57/Control!$C$89)),0))</f>
        <v>#N/A</v>
      </c>
      <c r="CA57" s="140" t="e">
        <f ca="1">IF($BG57+$BM57+$BS57+$BY57=1,0,IF(OR(AND($BB57&lt;65,$BB57&gt;=60),$BW57&gt;=Control!$C$89),1*$BA57,$CE56))</f>
        <v>#N/A</v>
      </c>
      <c r="CB57" s="140" t="e">
        <f ca="1">IF($BX57&lt;0,-$BX57,$CA57*IF(OR($G57&lt;Control!$C$92,$G57&gt;Control!$C$95),0,IF(AND($G57&gt;=Control!$C$92,$G57&lt;=Control!$C$93),$G57-Control!$C$92,IF(AND($G57&gt;Control!$C$93,$G57&lt;=Control!$C$94),Control!$C$93-Control!$C$92,IF(AND($G57&gt;Control!$C$94,$G57&lt;=Control!$C$95),(Control!$C$93-Control!$C$92)*(Control!$C$94-$G57)/(Control!$C$95-Control!$C$94))))))</f>
        <v>#N/A</v>
      </c>
      <c r="CC57" s="140" t="e">
        <f t="shared" ca="1" si="125"/>
        <v>#N/A</v>
      </c>
      <c r="CD57" s="140" t="e">
        <f ca="1">IF($CC57&lt;=Control!$C$90,$CC57,Control!$C$90-$CC57)</f>
        <v>#N/A</v>
      </c>
      <c r="CE57" s="140" t="e">
        <f ca="1">IF(AND($BB57&gt;=60,$BB57&lt;65),1,IF($CC57&gt;=Control!$C$90,0,$CA57))</f>
        <v>#N/A</v>
      </c>
      <c r="CF57" s="404" t="e">
        <f ca="1">IF($CE57=0,0,IF($CC57&lt;=Control!$C$90,$CA57*(60+(65-60)*(CD57/Control!$C$90)),0))</f>
        <v>#N/A</v>
      </c>
      <c r="CG57" s="140" t="e">
        <f ca="1">IF($BG57+$BM57+$BS57+$BY57+$CE57=1,0,IF(OR(AND($BB57&lt;90,$BB57&gt;=65),$CC57&gt;=Control!$C$90),$BA57,$CK56))</f>
        <v>#N/A</v>
      </c>
      <c r="CH57" s="140" t="e">
        <f ca="1">IF($CD57&lt;0,-$CD57,$CG57*IF(OR($G57&lt;Control!$C$92,$G57&gt;Control!$C$95),0,IF(AND($G57&gt;=Control!$C$92,$G57&lt;=Control!$C$93),$G57-Control!$C$92,IF(AND($G57&gt;Control!$C$93,$G57&lt;=Control!$C$94),Control!$C$93-Control!$C$92,IF(AND($G57&gt;Control!$C$94,$G57&lt;=Control!$C$95),(Control!$C$93-Control!$C$92)*(Control!$C$94-$G57)/(Control!$C$95-Control!$C$94))))))</f>
        <v>#N/A</v>
      </c>
      <c r="CI57" s="140" t="e">
        <f t="shared" ca="1" si="126"/>
        <v>#N/A</v>
      </c>
      <c r="CJ57" s="140" t="e">
        <f ca="1">IF($CI57&lt;=Control!$C$91,$CI57,Control!$C$91-$CI57)</f>
        <v>#N/A</v>
      </c>
      <c r="CK57" s="140" t="e">
        <f ca="1">IF(AND($BB57&gt;=65,$BB57&lt;90),1,IF($CI57&gt;=Control!$C$91,0,$CG57))</f>
        <v>#N/A</v>
      </c>
      <c r="CL57" s="404" t="e">
        <f ca="1">IF($CK57=0,0,IF($CI57&lt;=Control!$C$91,$CG57*(65+(90-65)*($CJ57/Control!$C$91)),0))</f>
        <v>#N/A</v>
      </c>
      <c r="CM57" s="140" t="e">
        <f ca="1">IF($BG57+$BM57+$BS57+$BY57+$CE57+$CK57=1,0,IF(OR($BB57&gt;=90,$CI57&gt;=Control!$C$91),$BA57,$CM56))</f>
        <v>#N/A</v>
      </c>
      <c r="CN57" s="140" t="e">
        <f t="shared" ca="1" si="127"/>
        <v>#N/A</v>
      </c>
      <c r="CO57" s="140" t="e">
        <f t="shared" ca="1" si="128"/>
        <v>#N/A</v>
      </c>
      <c r="CP57" s="140" t="e">
        <f t="shared" ca="1" si="129"/>
        <v>#N/A</v>
      </c>
      <c r="CQ57" s="141" t="e">
        <f ca="1">VLOOKUP($CP57,Control!$B$86:$G$91,6)</f>
        <v>#N/A</v>
      </c>
      <c r="CR57" s="141" t="e">
        <f ca="1">(1-$CQ57)*VLOOKUP($CP57,Control!$B$86:$D$91,3)</f>
        <v>#N/A</v>
      </c>
      <c r="CS57" s="141" t="e">
        <f ca="1">(1-$CQ57)*VLOOKUP($CP57,Control!$B$86:$E$91,4)</f>
        <v>#N/A</v>
      </c>
      <c r="CT57" s="141" t="e">
        <f ca="1">(1-$CQ57)*VLOOKUP($CP57,Control!$B$86:$F$91,5)</f>
        <v>#N/A</v>
      </c>
      <c r="CU57" s="141">
        <f t="shared" ca="1" si="130"/>
        <v>0</v>
      </c>
      <c r="CV57" s="583">
        <f t="shared" ca="1" si="131"/>
        <v>0</v>
      </c>
      <c r="CW57" s="142">
        <f t="shared" ca="1" si="132"/>
        <v>52</v>
      </c>
      <c r="CX57" s="612" t="e">
        <f ca="1">IF(Control!$C$114=1,(MIN(Control!$C$120*(IF($NT57-0.01&lt;0,0,1)),Control!$C$119-$CY57)))</f>
        <v>#DIV/0!</v>
      </c>
      <c r="CY57" s="143" t="e">
        <f t="shared" ca="1" si="133"/>
        <v>#N/A</v>
      </c>
      <c r="CZ57" s="144">
        <f t="shared" ca="1" si="17"/>
        <v>0</v>
      </c>
      <c r="DA57" s="144">
        <f t="shared" ca="1" si="18"/>
        <v>0</v>
      </c>
      <c r="DB57" s="144" t="e">
        <f t="shared" ca="1" si="19"/>
        <v>#N/A</v>
      </c>
      <c r="DC57" s="144" t="e">
        <f t="shared" ca="1" si="20"/>
        <v>#N/A</v>
      </c>
      <c r="DD57" s="144" t="e">
        <f t="shared" ca="1" si="216"/>
        <v>#N/A</v>
      </c>
      <c r="DE57" s="143" t="e">
        <f t="shared" ca="1" si="135"/>
        <v>#N/A</v>
      </c>
      <c r="DF57" s="145" t="e">
        <f ca="1">$DR57*EXP(-Control!$C$158*(1-$KH57))</f>
        <v>#N/A</v>
      </c>
      <c r="DG57" s="146" t="e">
        <f ca="1">IF(Control!$C$114=1, $DF57*$EY57, 0)</f>
        <v>#N/A</v>
      </c>
      <c r="DH57" s="147" t="e">
        <f t="shared" ca="1" si="136"/>
        <v>#N/A</v>
      </c>
      <c r="DI57" s="144" t="e">
        <f t="shared" ca="1" si="191"/>
        <v>#N/A</v>
      </c>
      <c r="DJ57" s="147" t="e">
        <f ca="1">$EF57*Control!$C$109</f>
        <v>#N/A</v>
      </c>
      <c r="DK57" s="144" t="e">
        <f t="shared" ca="1" si="137"/>
        <v>#N/A</v>
      </c>
      <c r="DL57" s="144" t="e">
        <f t="shared" ca="1" si="21"/>
        <v>#N/A</v>
      </c>
      <c r="DM57" s="144" t="e">
        <f ca="1">IF(Control!$C$114=1, (1-EXP(-Control!$C$96*$DK57))*$AR57, 0)</f>
        <v>#N/A</v>
      </c>
      <c r="DN57" s="144">
        <f t="shared" ca="1" si="138"/>
        <v>0</v>
      </c>
      <c r="DO57" s="148">
        <f>Control!$C$97</f>
        <v>4</v>
      </c>
      <c r="DP57" s="145" t="e">
        <f t="shared" ca="1" si="139"/>
        <v>#N/A</v>
      </c>
      <c r="DQ57" s="145" t="e">
        <f ca="1">IF(AND($CP57&gt;=0,$CP57&lt;=90),Control!$C$111,Control!$C$111)</f>
        <v>#N/A</v>
      </c>
      <c r="DR57" s="145" t="e">
        <f t="shared" ca="1" si="22"/>
        <v>#N/A</v>
      </c>
      <c r="DS57" s="143" t="e">
        <f ca="1">Control!$B$22/$DR57</f>
        <v>#N/A</v>
      </c>
      <c r="DT57" s="149" t="e">
        <f ca="1">IF(AND(Control!$C$114=1,$KH57&lt;1),$IM57*$DF57, 0)</f>
        <v>#N/A</v>
      </c>
      <c r="DU57" s="144" t="e">
        <f t="shared" ca="1" si="192"/>
        <v>#N/A</v>
      </c>
      <c r="DV57" s="144">
        <f ca="1">IF($G57-Control!$C$107&lt;=0, 0, 0.83*LN(MAX($G57, 3))-0.8924)</f>
        <v>0</v>
      </c>
      <c r="DW57" s="144" t="e">
        <f t="shared" ca="1" si="23"/>
        <v>#N/A</v>
      </c>
      <c r="DX57" s="150" t="e">
        <f ca="1">MAX(0.01*(1+$CU57/Control!$C$102),0.05*($DK57-Control!$C$97)/Control!$C$97)</f>
        <v>#N/A</v>
      </c>
      <c r="DY57" s="151" t="e">
        <f ca="1">IF(Control!$C$114=1, $DI57*$FS57, 0)</f>
        <v>#N/A</v>
      </c>
      <c r="DZ57" s="196" t="e">
        <f t="shared" ca="1" si="140"/>
        <v>#N/A</v>
      </c>
      <c r="EA57" s="152">
        <f t="shared" ca="1" si="141"/>
        <v>52</v>
      </c>
      <c r="EB57" s="153" t="e">
        <f t="shared" ca="1" si="217"/>
        <v>#N/A</v>
      </c>
      <c r="EC57" s="153" t="e">
        <f t="shared" ca="1" si="142"/>
        <v>#N/A</v>
      </c>
      <c r="ED57" s="154" t="e">
        <f ca="1">IF(Control!$C$114=1, $HM57*$FY57-$FD57, 0)</f>
        <v>#DIV/0!</v>
      </c>
      <c r="EE57" s="155" t="e">
        <f ca="1">IF(Control!$C$114=1, $HM57*$FZ57-$FF57, 0)</f>
        <v>#DIV/0!</v>
      </c>
      <c r="EF57" s="153" t="e">
        <f t="shared" ca="1" si="193"/>
        <v>#N/A</v>
      </c>
      <c r="EG57" s="155" t="e">
        <f ca="1">IF(Control!$C$114=1, $GX57*$FW57-$FI57, 0)</f>
        <v>#DIV/0!</v>
      </c>
      <c r="EH57" s="153" t="e">
        <f t="shared" ca="1" si="143"/>
        <v>#N/A</v>
      </c>
      <c r="EI57" s="156" t="e">
        <f t="shared" ca="1" si="144"/>
        <v>#N/A</v>
      </c>
      <c r="EJ57" s="155" t="e">
        <f ca="1">IF(Control!$C$114=1, $HM57*$GB57, 0)</f>
        <v>#DIV/0!</v>
      </c>
      <c r="EK57" s="153" t="e">
        <f t="shared" ca="1" si="194"/>
        <v>#N/A</v>
      </c>
      <c r="EL57" s="153" t="e">
        <f t="shared" ca="1" si="24"/>
        <v>#N/A</v>
      </c>
      <c r="EM57" s="153" t="e">
        <f t="shared" ca="1" si="25"/>
        <v>#N/A</v>
      </c>
      <c r="EN57" s="153" t="e">
        <f ca="1">IF(Control!$C$108=1,IF(AND(Control!$B$18=1,$EB57&gt;=Control!$B$19),$EB57-$DS57,IF(AND(Control!$B$18=2,$AW57=1,$EB57&gt;$DS57),$EB57-$DS57,0)))</f>
        <v>#N/A</v>
      </c>
      <c r="EO57" s="153" t="e">
        <f ca="1">IF(Control!$C$108=1,IF(AND(Control!$B$18=1,$EB57&gt;=Control!$B$19),$EF57,IF(AND(Control!$B$18=2,$AW57=1),$EF57,0)))</f>
        <v>#N/A</v>
      </c>
      <c r="EP57" s="153" t="e">
        <f ca="1">IF(Control!$C$108=1,IF(AND(Control!$B$18=1,$EB57&gt;=Control!$B$19),$EK57,IF(AND(Control!$B$18=2,$AW57=1),$EK57,0)))</f>
        <v>#N/A</v>
      </c>
      <c r="EQ57" s="153" t="e">
        <f t="shared" ca="1" si="145"/>
        <v>#N/A</v>
      </c>
      <c r="ER57" s="153" t="e">
        <f t="shared" ca="1" si="231"/>
        <v>#N/A</v>
      </c>
      <c r="ES57" s="153" t="e">
        <f t="shared" ca="1" si="196"/>
        <v>#N/A</v>
      </c>
      <c r="ET57" s="153" t="e">
        <f t="shared" ca="1" si="197"/>
        <v>#N/A</v>
      </c>
      <c r="EU57" s="153" t="e">
        <f t="shared" ca="1" si="198"/>
        <v>#N/A</v>
      </c>
      <c r="EV57" s="153" t="e">
        <f t="shared" ca="1" si="146"/>
        <v>#N/A</v>
      </c>
      <c r="EW57" s="153" t="e">
        <f t="shared" ca="1" si="218"/>
        <v>#N/A</v>
      </c>
      <c r="EX57" s="153" t="e">
        <f t="shared" ca="1" si="26"/>
        <v>#N/A</v>
      </c>
      <c r="EY57" s="157" t="e">
        <f t="shared" ca="1" si="147"/>
        <v>#DIV/0!</v>
      </c>
      <c r="EZ57" s="154" t="e">
        <f t="shared" ca="1" si="27"/>
        <v>#DIV/0!</v>
      </c>
      <c r="FA57" s="153" t="e">
        <f t="shared" ca="1" si="199"/>
        <v>#N/A</v>
      </c>
      <c r="FB57" s="153" t="e">
        <f t="shared" ca="1" si="28"/>
        <v>#N/A</v>
      </c>
      <c r="FC57" s="193" t="e">
        <f t="shared" ca="1" si="29"/>
        <v>#N/A</v>
      </c>
      <c r="FD57" s="158" t="e">
        <f t="shared" ca="1" si="200"/>
        <v>#N/A</v>
      </c>
      <c r="FE57" s="158" t="e">
        <f t="shared" ca="1" si="148"/>
        <v>#N/A</v>
      </c>
      <c r="FF57" s="159" t="e">
        <f t="shared" ca="1" si="30"/>
        <v>#N/A</v>
      </c>
      <c r="FG57" s="160" t="e">
        <f t="shared" ca="1" si="149"/>
        <v>#N/A</v>
      </c>
      <c r="FH57" s="158" t="e">
        <f t="shared" ca="1" si="150"/>
        <v>#N/A</v>
      </c>
      <c r="FI57" s="159" t="e">
        <f t="shared" ca="1" si="31"/>
        <v>#N/A</v>
      </c>
      <c r="FJ57" s="160" t="e">
        <f t="shared" ca="1" si="151"/>
        <v>#N/A</v>
      </c>
      <c r="FK57" s="160" t="e">
        <f t="shared" ca="1" si="32"/>
        <v>#N/A</v>
      </c>
      <c r="FL57" s="160" t="e">
        <f t="shared" ca="1" si="229"/>
        <v>#N/A</v>
      </c>
      <c r="FM57" s="160" t="e">
        <f t="shared" ca="1" si="33"/>
        <v>#N/A</v>
      </c>
      <c r="FN57" s="158">
        <f t="shared" ca="1" si="219"/>
        <v>0.01</v>
      </c>
      <c r="FO57" s="160">
        <f>Control!$C$101</f>
        <v>50</v>
      </c>
      <c r="FP57" s="150" t="e">
        <f t="shared" ca="1" si="34"/>
        <v>#N/A</v>
      </c>
      <c r="FQ57" s="150" t="e">
        <f ca="1">MAX(0,(Control!$C$112*(($DK57-Control!$C$97)/Control!$C$97)))</f>
        <v>#N/A</v>
      </c>
      <c r="FR57" s="150" t="e">
        <f ca="1">(1-$NT57)*Control!$C$113</f>
        <v>#DIV/0!</v>
      </c>
      <c r="FS57" s="198" t="e">
        <f t="shared" ca="1" si="35"/>
        <v>#N/A</v>
      </c>
      <c r="FT57" s="161">
        <f t="shared" ca="1" si="152"/>
        <v>52</v>
      </c>
      <c r="FU57" s="162" t="e">
        <f ca="1">IF(Control!$B$34=1,VLOOKUP($CP57,Control!$B$86:$G$91,6),Control!$B$35)</f>
        <v>#N/A</v>
      </c>
      <c r="FV57" s="162" t="e">
        <f t="shared" ca="1" si="36"/>
        <v>#DIV/0!</v>
      </c>
      <c r="FW57" s="162" t="e">
        <f ca="1">IF(Control!$B$31=1,$FU57*$FV57,  $FU57)</f>
        <v>#N/A</v>
      </c>
      <c r="FX57" s="162" t="e">
        <f ca="1">IF(Control!$B$34=1,VLOOKUP($CP57,Control!$B$86:$G$91,3),Control!$B$36)</f>
        <v>#N/A</v>
      </c>
      <c r="FY57" s="162" t="e">
        <f t="shared" ca="1" si="37"/>
        <v>#N/A</v>
      </c>
      <c r="FZ57" s="162" t="e">
        <f ca="1">IF(Control!$B$34=1,VLOOKUP($CP57,Control!$B$86:$G$91,4),Control!$B$37)</f>
        <v>#N/A</v>
      </c>
      <c r="GA57" s="162" t="e">
        <f t="shared" ca="1" si="38"/>
        <v>#N/A</v>
      </c>
      <c r="GB57" s="162" t="e">
        <f ca="1">IF(Control!$B$34=1,VLOOKUP($CP57,Control!$B$86:$G$91,5),Control!$B$38)</f>
        <v>#N/A</v>
      </c>
      <c r="GC57" s="162" t="e">
        <f t="shared" ca="1" si="153"/>
        <v>#N/A</v>
      </c>
      <c r="GD57" s="162">
        <f t="shared" ca="1" si="39"/>
        <v>1</v>
      </c>
      <c r="GE57" s="162">
        <f t="shared" ca="1" si="40"/>
        <v>1</v>
      </c>
      <c r="GF57" s="162">
        <f ca="1">IF(AND(Control!$C$104=1, Control!$C$62="F"),$GE57,1)</f>
        <v>1</v>
      </c>
      <c r="GG57" s="162" t="e">
        <f ca="1">IF(Control!$B$16=40,0,IF(AND(Control!$B$16&gt;40,Control!$B$16&lt;=360),(Control!$B$16-40)*((1-0)/(360-40)),IF(AND(Control!$B$16&gt;360,Control!$B$16&lt;=720),(1+(Control!$B$16-360)*((1.25-1)/(720-360))),IF(AND(Control!$B$16&gt;720,Control!$B$16&lt;=1000),(1.25+(Control!$B$16-720)*((1.35-1.25)/(1000-720))),IF(AND(Control!$B$16&gt;1000,Control!$B$16&lt;=2000),(1.35+(Control!$B$16-1000)*0))))))</f>
        <v>#N/A</v>
      </c>
      <c r="GH57" s="162" t="e">
        <f t="shared" ca="1" si="41"/>
        <v>#N/A</v>
      </c>
      <c r="GI57" s="162">
        <f t="shared" ca="1" si="201"/>
        <v>0</v>
      </c>
      <c r="GJ57" s="162">
        <f t="shared" ca="1" si="42"/>
        <v>0</v>
      </c>
      <c r="GK57" s="162">
        <f t="shared" ca="1" si="220"/>
        <v>1</v>
      </c>
      <c r="GL57" s="162">
        <f t="shared" ca="1" si="43"/>
        <v>1</v>
      </c>
      <c r="GM57" s="162" t="e">
        <f ca="1">MAX(0,MIN(1,1-Control!$C$156*(1.0001-$KH57)^2))</f>
        <v>#N/A</v>
      </c>
      <c r="GN57" s="162" t="e">
        <f ca="1">IF(Control!$B$26=1,$KU57,$KX57)</f>
        <v>#N/A</v>
      </c>
      <c r="GO57" s="162" t="e">
        <f ca="1">IF($CP57&lt;=60,Control!$C$105,IF($CP57&gt;=90,Control!$C$106,Control!$C$105+($CP57-60)*((Control!$C$106-Control!$C$105)/(90-60))))</f>
        <v>#N/A</v>
      </c>
      <c r="GP57" s="162" t="e">
        <f t="shared" ca="1" si="154"/>
        <v>#N/A</v>
      </c>
      <c r="GQ57" s="162" t="e">
        <f t="shared" ca="1" si="155"/>
        <v>#N/A</v>
      </c>
      <c r="GR57" s="163" t="e">
        <f t="shared" ca="1" si="44"/>
        <v>#DIV/0!</v>
      </c>
      <c r="GS57" s="162" t="e">
        <f t="shared" ca="1" si="45"/>
        <v>#DIV/0!</v>
      </c>
      <c r="GT57" s="164" t="e">
        <f t="shared" ca="1" si="156"/>
        <v>#N/A</v>
      </c>
      <c r="GU57" s="162" t="e">
        <f t="shared" ca="1" si="157"/>
        <v>#N/A</v>
      </c>
      <c r="GV57" s="162" t="e">
        <f t="shared" ca="1" si="46"/>
        <v>#N/A</v>
      </c>
      <c r="GW57" s="162" t="e">
        <f t="shared" ca="1" si="221"/>
        <v>#DIV/0!</v>
      </c>
      <c r="GX57" s="162" t="e">
        <f t="shared" ca="1" si="228"/>
        <v>#DIV/0!</v>
      </c>
      <c r="GY57" s="162" t="e">
        <f t="shared" ca="1" si="158"/>
        <v>#DIV/0!</v>
      </c>
      <c r="GZ57" s="165" t="e">
        <f t="shared" ca="1" si="159"/>
        <v>#N/A</v>
      </c>
      <c r="HA57" s="162" t="e">
        <f ca="1">IF(Control!$C$114=1, $DI57*$FS57, 0)</f>
        <v>#N/A</v>
      </c>
      <c r="HB57" s="162" t="e">
        <f ca="1">$FA57/Control!$C$64</f>
        <v>#N/A</v>
      </c>
      <c r="HC57" s="162" t="e">
        <f t="shared" ca="1" si="222"/>
        <v>#DIV/0!</v>
      </c>
      <c r="HD57" s="162">
        <f ca="1">-ASIN(SIN(23.45*Control!$C$139)*COS(2*Control!$C$138*($AH57+10)/365))</f>
        <v>-0.19321275018265779</v>
      </c>
      <c r="HE57" s="165">
        <f t="shared" ca="1" si="160"/>
        <v>0</v>
      </c>
      <c r="HF57" s="166">
        <f ca="1">IF(AND(Control!$C$61="T",$HE57&gt;=Control!$C$103,Control!$C$114=0),$AH57,Control!$C$59)</f>
        <v>1</v>
      </c>
      <c r="HG57" s="166">
        <f ca="1">IF(AND(Control!$C$61="T",$HE57&gt;=Control!$C$103,Control!$C$114=0),$HF57,Control!$C$59)</f>
        <v>1</v>
      </c>
      <c r="HH57" s="165">
        <f ca="1">IF(AND(OR(Control!$C$60&lt;=0, $AH57= Control!$C$59, Control!$C$60 &gt;0, $AH57 = Control!$C$60)), Control!$C$59, IF(Control!$C$60&gt;0, 0))</f>
        <v>1</v>
      </c>
      <c r="HI57" s="165">
        <f ca="1">IF(AND(OR(Control!$C$60&lt;=0, $AH57= Control!$C$59, Control!$C$60 &gt;0, $AH57 = Control!$C$60)), Control!$C$60, IF(Control!$C$60&lt;=0, 0))</f>
        <v>0</v>
      </c>
      <c r="HJ57" s="166">
        <f ca="1">IF(AND(Control!$C$62="F",$CV57&gt;=Control!$C$102),$AH57,0)</f>
        <v>0</v>
      </c>
      <c r="HK57" s="165" t="e">
        <f t="shared" ca="1" si="202"/>
        <v>#N/A</v>
      </c>
      <c r="HL57" s="166">
        <f ca="1">IF(AND(Control!$C$61="T",$HE57&gt;=Control!$C$103,Control!$C$114=0),$HF57,0)</f>
        <v>0</v>
      </c>
      <c r="HM57" s="201" t="e">
        <f t="shared" ca="1" si="47"/>
        <v>#DIV/0!</v>
      </c>
      <c r="HN57" s="215">
        <f t="shared" ca="1" si="161"/>
        <v>52</v>
      </c>
      <c r="HO57" s="216" t="e">
        <f ca="1">IF(AND($CP57&gt;=0, $CP57&lt;=90), Control!$C$152, Control!$C$152)</f>
        <v>#N/A</v>
      </c>
      <c r="HP57" s="216" t="e">
        <f t="shared" ca="1" si="48"/>
        <v>#N/A</v>
      </c>
      <c r="HQ57" s="217" t="e">
        <f ca="1">IF(OR(Control!$B$26=1,Control!$B$26=2),$KV57,$KS57)</f>
        <v>#DIV/0!</v>
      </c>
      <c r="HR57" s="218" t="e">
        <f t="shared" ca="1" si="223"/>
        <v>#DIV/0!</v>
      </c>
      <c r="HS57" s="216" t="e">
        <f ca="1">Control!$C$154*$HP57</f>
        <v>#N/A</v>
      </c>
      <c r="HT57" s="216" t="e">
        <f ca="1">Control!$C$155*$HP57</f>
        <v>#N/A</v>
      </c>
      <c r="HU57" s="217" t="e">
        <f ca="1">Control!$C$161*$FI57</f>
        <v>#N/A</v>
      </c>
      <c r="HV57" s="218" t="e">
        <f t="shared" ca="1" si="162"/>
        <v>#N/A</v>
      </c>
      <c r="HW57" s="218" t="e">
        <f ca="1">Control!$C$160*$FF57+$IP57*$EO57</f>
        <v>#N/A</v>
      </c>
      <c r="HX57" s="218" t="e">
        <f t="shared" ca="1" si="203"/>
        <v>#N/A</v>
      </c>
      <c r="HY57" s="219" t="e">
        <f ca="1">IF(Control!$C$114=1, $EB57*$FS57, 0)</f>
        <v>#N/A</v>
      </c>
      <c r="HZ57" s="91" t="e">
        <f t="shared" ca="1" si="49"/>
        <v>#N/A</v>
      </c>
      <c r="IA57" s="220" t="e">
        <f ca="1">Control!$C$153*$HO57</f>
        <v>#N/A</v>
      </c>
      <c r="IB57" s="218" t="e">
        <f t="shared" ca="1" si="50"/>
        <v>#N/A</v>
      </c>
      <c r="IC57" s="220" t="e">
        <f ca="1">Control!$C$153*$HT57</f>
        <v>#N/A</v>
      </c>
      <c r="ID57" s="218" t="e">
        <f t="shared" ca="1" si="51"/>
        <v>#N/A</v>
      </c>
      <c r="IE57" s="221" t="e">
        <f ca="1">($EB57*Control!$C$159+$EF57*Control!$C$160)/(IF($GZ57&lt;&gt;0,$GZ57,1))</f>
        <v>#N/A</v>
      </c>
      <c r="IF57" s="216" t="e">
        <f t="shared" ca="1" si="52"/>
        <v>#N/A</v>
      </c>
      <c r="IG57" s="91">
        <f ca="1">IF(OR(Control!$B$198=$AH57,Control!$B$199=$AH57, Control!$B$200=$AH57, Control!$B$201=$AH57, Control!$B$202=$AH57, Control!$B$203=$AH57, Control!$B$204=$AH57, Control!$B$205=$AH57, Control!$B$206=$AH57, Control!$B$207=$AH57), 1, 0)</f>
        <v>0</v>
      </c>
      <c r="IH57" s="91">
        <f ca="1">IF($IG57=0,0, VLOOKUP($AH57,Control!$B$198:$C$207,2))</f>
        <v>0</v>
      </c>
      <c r="II57" s="222">
        <f t="shared" ca="1" si="163"/>
        <v>0</v>
      </c>
      <c r="IJ57" s="91">
        <f>Control!$C$121</f>
        <v>0.7</v>
      </c>
      <c r="IK57" s="218">
        <f t="shared" ca="1" si="53"/>
        <v>0</v>
      </c>
      <c r="IL57" s="217" t="e">
        <f t="shared" ca="1" si="204"/>
        <v>#N/A</v>
      </c>
      <c r="IM57" s="223" t="e">
        <f ca="1">IF(AND(Control!$C$114=1,$KH57&lt;1),$EB57*Control!$C$148*(1-$KH57), 0)</f>
        <v>#N/A</v>
      </c>
      <c r="IN57" s="217" t="e">
        <f t="shared" ca="1" si="54"/>
        <v>#DIV/0!</v>
      </c>
      <c r="IO57" s="91" t="e">
        <f ca="1">MAX(0,$IL57-$EF57*Control!$C$160)</f>
        <v>#N/A</v>
      </c>
      <c r="IP57" s="220" t="e">
        <f t="shared" ca="1" si="55"/>
        <v>#N/A</v>
      </c>
      <c r="IQ57" s="217" t="e">
        <f t="shared" ca="1" si="164"/>
        <v>#N/A</v>
      </c>
      <c r="IR57" s="218" t="e">
        <f t="shared" ca="1" si="56"/>
        <v>#N/A</v>
      </c>
      <c r="IS57" s="217" t="e">
        <f ca="1">Control!$C$159*MAX(0,$FD57-$EN57)</f>
        <v>#N/A</v>
      </c>
      <c r="IT57" s="217" t="e">
        <f t="shared" ca="1" si="205"/>
        <v>#N/A</v>
      </c>
      <c r="IU57" s="217" t="e">
        <f t="shared" ca="1" si="165"/>
        <v>#N/A</v>
      </c>
      <c r="IV57" s="217" t="e">
        <f t="shared" ca="1" si="206"/>
        <v>#N/A</v>
      </c>
      <c r="IW57" s="217" t="e">
        <f ca="1">IF(OR($AW57=1,AND($AW57=0, Control!$B$18=1,$EN57&lt;&gt;0)), $IQ57-$IU57, $IQ57)</f>
        <v>#N/A</v>
      </c>
      <c r="IX57" s="218" t="e">
        <f t="shared" ca="1" si="57"/>
        <v>#N/A</v>
      </c>
      <c r="IY57" s="218" t="e">
        <f ca="1">MAX(0,$IQ57-$EB57*Control!$C$159)</f>
        <v>#N/A</v>
      </c>
      <c r="IZ57" s="218" t="e">
        <f t="shared" ca="1" si="58"/>
        <v>#N/A</v>
      </c>
      <c r="JA57" s="216" t="e">
        <f t="shared" ca="1" si="59"/>
        <v>#N/A</v>
      </c>
      <c r="JB57" s="217" t="e">
        <f t="shared" ca="1" si="60"/>
        <v>#N/A</v>
      </c>
      <c r="JC57" s="222" t="e">
        <f ca="1">MAX(Control!$C$157*$EK57-$JT57, 0)/Control!$C$162</f>
        <v>#N/A</v>
      </c>
      <c r="JD57" s="218" t="e">
        <f t="shared" ca="1" si="61"/>
        <v>#N/A</v>
      </c>
      <c r="JE57" s="218" t="e">
        <f t="shared" ca="1" si="62"/>
        <v>#N/A</v>
      </c>
      <c r="JF57" s="218" t="e">
        <f t="shared" ca="1" si="207"/>
        <v>#N/A</v>
      </c>
      <c r="JG57" s="218" t="e">
        <f t="shared" ca="1" si="63"/>
        <v>#N/A</v>
      </c>
      <c r="JH57" s="217" t="e">
        <f t="shared" ca="1" si="166"/>
        <v>#N/A</v>
      </c>
      <c r="JI57" s="217" t="e">
        <f t="shared" ca="1" si="167"/>
        <v>#N/A</v>
      </c>
      <c r="JJ57" s="217" t="e">
        <f t="shared" ca="1" si="224"/>
        <v>#N/A</v>
      </c>
      <c r="JK57" s="217" t="e">
        <f ca="1">IF(Control!$C$114=1,IF(Control!$B$24=0,MAX(0,$JI57)*$GN57/Control!$C$64,(MAX(0,MIN($JI57,$JJ57*$GN57/Control!$C$64),0))))</f>
        <v>#N/A</v>
      </c>
      <c r="JL57" s="217" t="e">
        <f ca="1">$IK57/Control!$C$64-$JK57+$HQ57</f>
        <v>#N/A</v>
      </c>
      <c r="JM57" s="217" t="e">
        <f ca="1">IF(Control!$C$114=1,($JB57/(IF($JI57&lt;&gt;0,$JI57,1)))*$JK57,0)</f>
        <v>#N/A</v>
      </c>
      <c r="JN57" s="217" t="e">
        <f ca="1">IF(Control!$C$114=1,($JG57/(IF($JI57&lt;&gt;0,$JI57,1)))*$JK57, 0)</f>
        <v>#N/A</v>
      </c>
      <c r="JO57" s="218" t="e">
        <f t="shared" ca="1" si="64"/>
        <v>#N/A</v>
      </c>
      <c r="JP57" s="218" t="e">
        <f ca="1">MIN(($IY57+$IO57)*Control!$C$151, $JF57-$EH57*Control!$C$161)</f>
        <v>#N/A</v>
      </c>
      <c r="JQ57" s="218" t="e">
        <f t="shared" ca="1" si="65"/>
        <v>#N/A</v>
      </c>
      <c r="JR57" s="217" t="e">
        <f ca="1">IF($CP57-Control!$C$150&lt;0, 0, $JQ57/Control!$C$162)</f>
        <v>#N/A</v>
      </c>
      <c r="JS57" s="218" t="e">
        <f t="shared" ca="1" si="66"/>
        <v>#N/A</v>
      </c>
      <c r="JT57" s="218" t="e">
        <f t="shared" ca="1" si="168"/>
        <v>#N/A</v>
      </c>
      <c r="JU57" s="218" t="e">
        <f t="shared" ca="1" si="67"/>
        <v>#N/A</v>
      </c>
      <c r="JV57" s="218" t="e">
        <f t="shared" ca="1" si="68"/>
        <v>#N/A</v>
      </c>
      <c r="JW57" s="216" t="e">
        <f t="shared" ca="1" si="69"/>
        <v>#N/A</v>
      </c>
      <c r="JX57" s="91" t="e">
        <f t="shared" ca="1" si="70"/>
        <v>#N/A</v>
      </c>
      <c r="JY57" s="218" t="e">
        <f t="shared" ca="1" si="71"/>
        <v>#N/A</v>
      </c>
      <c r="JZ57" s="217" t="e">
        <f ca="1">IF(Control!$C$114=1,($IZ57/(IF($JI57&lt;&gt;0,$JI57,1)))*$JK57, 0)</f>
        <v>#N/A</v>
      </c>
      <c r="KA57" s="218" t="e">
        <f t="shared" ca="1" si="225"/>
        <v>#N/A</v>
      </c>
      <c r="KB57" s="218" t="e">
        <f t="shared" ca="1" si="169"/>
        <v>#N/A</v>
      </c>
      <c r="KC57" s="218" t="e">
        <f t="shared" ca="1" si="72"/>
        <v>#N/A</v>
      </c>
      <c r="KD57" s="218" t="e">
        <f t="shared" ca="1" si="73"/>
        <v>#N/A</v>
      </c>
      <c r="KE57" s="218" t="e">
        <f t="shared" ca="1" si="74"/>
        <v>#N/A</v>
      </c>
      <c r="KF57" s="218" t="e">
        <f t="shared" ca="1" si="75"/>
        <v>#N/A</v>
      </c>
      <c r="KG57" s="216" t="e">
        <f t="shared" ca="1" si="76"/>
        <v>#N/A</v>
      </c>
      <c r="KH57" s="221" t="e">
        <f ca="1">IF(Control!$B$24=0,1,MAX(0.001,MIN(1,IF(($IF57-$IE57)&lt;&gt;0,($KG57-$IE57)/($IF57-$IE57),1))))</f>
        <v>#N/A</v>
      </c>
      <c r="KI57" s="222" t="e">
        <f ca="1">IF(Control!$C$114=1, $KI56+ $KH56, 0)</f>
        <v>#N/A</v>
      </c>
      <c r="KJ57" s="217" t="e">
        <f t="shared" ca="1" si="77"/>
        <v>#N/A</v>
      </c>
      <c r="KK57" s="218" t="e">
        <f t="shared" ca="1" si="78"/>
        <v>#N/A</v>
      </c>
      <c r="KL57" s="274" t="e">
        <f ca="1">IF(Control!$B$26=3,4000000000*EXP(-8400/($G57+273)),IF(Control!$B$26=4,4000000000*EXP(-8400/($G57+273))*($KT57),0))</f>
        <v>#DIV/0!</v>
      </c>
      <c r="KM57" s="274" t="e">
        <f ca="1">IF(Control!$B$26=3,5600000000000*EXP(-9800/($G57+273)),IF(Control!$B$26=4,5600000000000*EXP(-9800/($G57+273))*$KT57,0))</f>
        <v>#DIV/0!</v>
      </c>
      <c r="KN57" s="454" t="e">
        <f t="shared" ca="1" si="170"/>
        <v>#DIV/0!</v>
      </c>
      <c r="KO57" s="274" t="e">
        <f t="shared" ca="1" si="171"/>
        <v>#DIV/0!</v>
      </c>
      <c r="KP57" s="454" t="e">
        <f t="shared" ca="1" si="79"/>
        <v>#DIV/0!</v>
      </c>
      <c r="KQ57" s="454" t="e">
        <f t="shared" ca="1" si="80"/>
        <v>#DIV/0!</v>
      </c>
      <c r="KR57" s="454" t="e">
        <f t="shared" ca="1" si="81"/>
        <v>#DIV/0!</v>
      </c>
      <c r="KS57" s="454" t="e">
        <f t="shared" ca="1" si="82"/>
        <v>#DIV/0!</v>
      </c>
      <c r="KT57" s="455" t="e">
        <f t="shared" ca="1" si="83"/>
        <v>#DIV/0!</v>
      </c>
      <c r="KU57" s="456" t="e">
        <f ca="1">IF($CP57-Control!$C$149&lt;0, IF($NT57-0.01&lt;0,0,1),0)</f>
        <v>#N/A</v>
      </c>
      <c r="KV57" s="456" t="e">
        <f ca="1">IF(Control!$C$114=1,MAX(0,MIN(Control!$C$125*$KW57*$GN57,$KW57)))</f>
        <v>#DIV/0!</v>
      </c>
      <c r="KW57" s="456" t="e">
        <f t="shared" ca="1" si="208"/>
        <v>#DIV/0!</v>
      </c>
      <c r="KX57" s="457" t="e">
        <f ca="1">IF($CP57-Control!$C$149&lt;0, IF($MR57-$OM57&lt;0,0,1),0)</f>
        <v>#N/A</v>
      </c>
      <c r="KY57" s="167">
        <f t="shared" ca="1" si="172"/>
        <v>52</v>
      </c>
      <c r="KZ57" s="168">
        <f ca="1">1370*(1+0.033*COS(2*Control!$C$138*$AH57/365))</f>
        <v>1398.2747381615804</v>
      </c>
      <c r="LA57" s="169">
        <f t="shared" ca="1" si="173"/>
        <v>1.0206385489085132</v>
      </c>
      <c r="LB57" s="169">
        <f t="shared" ca="1" si="174"/>
        <v>-0.19423801404421248</v>
      </c>
      <c r="LC57" s="169">
        <f ca="1">ACOS(-TAN((2*Control!$B$8/360))*TAN(Calculations!$LB57))</f>
        <v>1.5122976987310308</v>
      </c>
      <c r="LD57" s="169">
        <f ca="1">((24*60)/PI())*0.082*$LA57*(($LC57*SIN(Control!$B$8*2*PI()/360))*SIN($LB57)+COS(Control!$B$8*2*PI()/360)*COS($LB57)*SIN($LC57))</f>
        <v>14.310033711827757</v>
      </c>
      <c r="LE57" s="170">
        <f t="shared" ca="1" si="84"/>
        <v>14.813255375438686</v>
      </c>
      <c r="LF57" s="170">
        <f ca="1">SIN(Control!$C$139*Control!$B$8)*SIN($HD57)</f>
        <v>-0.1513084408532899</v>
      </c>
      <c r="LG57" s="170">
        <f ca="1">COS(Control!$C$139*Control!$B$8)*COS($HD57)</f>
        <v>0.60420385879123772</v>
      </c>
      <c r="LH57" s="170">
        <f ca="1">12*(1+2*ASIN(MAX(-1,MIN(1,$LF57/$LG57))/Control!$C$138))</f>
        <v>10.084857830413835</v>
      </c>
      <c r="LI57" s="170">
        <f ca="1">12*(1+2*ASIN(MAX(-1,MIN(1,(-SIN(-4*Control!$C$139)+$LF57)/$LG57))/Control!$C$138))</f>
        <v>10.968559617105489</v>
      </c>
      <c r="LJ57" s="168">
        <f ca="1">3600*($LH57*$LF57+24*$LG57*SQRT(1-$LK57*$LK57)/Control!$C$138)</f>
        <v>10593.951940313829</v>
      </c>
      <c r="LK57" s="170">
        <f t="shared" ca="1" si="85"/>
        <v>-0.25042614119677353</v>
      </c>
      <c r="LL57" s="170">
        <f t="shared" ca="1" si="86"/>
        <v>0</v>
      </c>
      <c r="LM57" s="171">
        <f ca="1">Control!$C$145*$AB57</f>
        <v>6.6660906138995932E-2</v>
      </c>
      <c r="LN57" s="170">
        <f t="shared" ca="1" si="175"/>
        <v>0.54</v>
      </c>
      <c r="LO57" s="170">
        <f t="shared" ca="1" si="87"/>
        <v>0</v>
      </c>
      <c r="LP57" s="170">
        <f ca="1">Control!$C$140*((($D57+273.16)^4+($E57+273.16)^4)/2)*(0.34-0.14*SQRT($Y57))*(1.35*$AQ57/(0.75*$LD57)-0.35)</f>
        <v>-3.2464704755046001</v>
      </c>
      <c r="LQ57" s="170">
        <f ca="1">Control!$C$140*($G57+273)^4*(0.56-0.079*SQRT($Y57*10))*(0.1+0.9*$LO57)</f>
        <v>1.5241745131704001</v>
      </c>
      <c r="LR57" s="170">
        <f ca="1">$AQ57*(1-Control!$C$142)-$LQ57</f>
        <v>-1.5241745131704001</v>
      </c>
      <c r="LS57" s="170">
        <f ca="1">$AQ57*(1-Control!$C$143)-$LQ57</f>
        <v>-1.5241745131704001</v>
      </c>
      <c r="LT57" s="170">
        <f ca="1">$AQ57*(1-Control!$C$144)-$LQ57</f>
        <v>-1.5241745131704001</v>
      </c>
      <c r="LU57" s="169">
        <f ca="1">(1-Control!$C$144)*AQ57-LP57</f>
        <v>3.2464704755046001</v>
      </c>
      <c r="LV57" s="172">
        <f t="shared" ca="1" si="88"/>
        <v>0.79430000000000012</v>
      </c>
      <c r="LW57" s="170">
        <f t="shared" ca="1" si="89"/>
        <v>1.5886000000000002</v>
      </c>
      <c r="LX57" s="170">
        <f ca="1">($AC57*($LR57/Control!$C$141)+$LM57*$LV57)/($AC57+$LM57)</f>
        <v>0.23530094218323697</v>
      </c>
      <c r="LY57" s="170">
        <f ca="1">($AC57*($LS57/Control!$C$141)+$LM57*$LV57)/($AC57+$LM57)</f>
        <v>0.23530094218323697</v>
      </c>
      <c r="LZ57" s="170">
        <f t="shared" ca="1" si="90"/>
        <v>0.23530094218323697</v>
      </c>
      <c r="MA57" s="170">
        <f t="shared" ca="1" si="91"/>
        <v>0.23530094218323697</v>
      </c>
      <c r="MB57" s="170" t="e">
        <f t="shared" ca="1" si="92"/>
        <v>#N/A</v>
      </c>
      <c r="MC57" s="170">
        <f t="shared" ca="1" si="176"/>
        <v>0.6018</v>
      </c>
      <c r="MD57" s="170">
        <f t="shared" ca="1" si="93"/>
        <v>0.52989392535414004</v>
      </c>
      <c r="ME57" s="170">
        <f ca="1">($AC57*($LT57/Control!$C$141)+$LM57*$LW57)/($AC57+$LM57)</f>
        <v>0.71612369323045078</v>
      </c>
      <c r="MF57" s="170" t="e">
        <f ca="1">IF(Control!$B$16&gt;=1000,0.92,IF(AND(720&lt;=Control!$B$16,1000&gt;Control!$B$16),(0.95+(Control!$B$16-720)*((0.92-0.95)/(1000-720))),IF(AND(360&lt;=Control!$B$16,720&gt;Control!$B$16),(1+(Control!$B$16-360)*((0.95-1)/(720-360))),IF(AND(40&lt;=Control!$B$16,360&gt;Control!$B$16),(1.05+(Control!$B$16-40)*((1.05-1)/(360-40)))))))</f>
        <v>#N/A</v>
      </c>
      <c r="MG57" s="170">
        <f t="shared" ca="1" si="94"/>
        <v>0.71612369323045078</v>
      </c>
      <c r="MH57" s="170" t="e">
        <f t="shared" ca="1" si="232"/>
        <v>#N/A</v>
      </c>
      <c r="MI57" s="170" t="e">
        <f t="shared" ca="1" si="232"/>
        <v>#N/A</v>
      </c>
      <c r="MJ57" s="170" t="e">
        <f ca="1">MAX(0.0001, Control!$C$132*$MI57*$DL57)</f>
        <v>#N/A</v>
      </c>
      <c r="MK57" s="170">
        <f ca="1">1/(0.76+1.5*($MG57/10))-(5-Control!$C$110)*0.1</f>
        <v>1.002845988140797</v>
      </c>
      <c r="ML57" s="173">
        <f ca="1">IF(Control!$C$110&lt;3,$MK57+($MG57-0.6)/(Control!$C$110*(Control!$C$110+3)), MAX(0.1, MIN(0.95,$MK57)))</f>
        <v>0.95</v>
      </c>
      <c r="MM57" s="173">
        <f ca="1">IF(Control!$C$110&lt;3,$MK57+(($MI57/10)-0.6)/(Control!$C$110*(Control!$C$110+3)), MAX(0.1, MIN(0.95,$MK57)))</f>
        <v>0.95</v>
      </c>
      <c r="MN57" s="173">
        <f ca="1">(1-$MM57)*(Control!$C$128-Control!$C$127)+Control!$C$127</f>
        <v>0.16</v>
      </c>
      <c r="MO57" s="170" t="e">
        <f ca="1">MAX(0,MIN(1,($MS57-Control!$C$127)/($MN57-Control!$C$127)))</f>
        <v>#DIV/0!</v>
      </c>
      <c r="MP57" s="173" t="e">
        <f ca="1">1/(0.76+1.5*$MI57)-(5-Control!$C$110)*0.1</f>
        <v>#N/A</v>
      </c>
      <c r="MQ57" s="172" t="e">
        <f t="shared" ca="1" si="209"/>
        <v>#DIV/0!</v>
      </c>
      <c r="MR57" s="168" t="e">
        <f t="shared" ca="1" si="226"/>
        <v>#DIV/0!</v>
      </c>
      <c r="MS57" s="173" t="e">
        <f ca="1">MAX(Control!$C$127, MIN(Control!$C$135, $MR57/MAX(0.0001,$CY57)))</f>
        <v>#DIV/0!</v>
      </c>
      <c r="MT57" s="168" t="e">
        <f ca="1">(Control!$C$128-$MS57)*Control!$C$74</f>
        <v>#DIV/0!</v>
      </c>
      <c r="MU57" s="168" t="e">
        <f ca="1">(Control!$C$135-$MS57)*Control!$C$74</f>
        <v>#DIV/0!</v>
      </c>
      <c r="MV57" s="168" t="e">
        <f t="shared" ca="1" si="210"/>
        <v>#DIV/0!</v>
      </c>
      <c r="MW57" s="168" t="e">
        <f t="shared" ca="1" si="177"/>
        <v>#DIV/0!</v>
      </c>
      <c r="MX57" s="171" t="e">
        <f ca="1">MAX(Control!$C$127, MIN(Control!$C$135, $MW57/MAX(0.0001,Control!$C$119-$CY57)))</f>
        <v>#DIV/0!</v>
      </c>
      <c r="MY57" s="54" t="e">
        <f ca="1">IF(Control!$C$114=1, $CX57*$MX57, 0)</f>
        <v>#DIV/0!</v>
      </c>
      <c r="MZ57" s="54" t="e">
        <f t="shared" ca="1" si="178"/>
        <v>#N/A</v>
      </c>
      <c r="NA57" s="168" t="e">
        <f ca="1">(Control!$C$128-$MX57)*(Control!$C$119-Control!$C$74)</f>
        <v>#DIV/0!</v>
      </c>
      <c r="NB57" s="168" t="e">
        <f ca="1">(Control!$C$135-$MX57)*(Control!$C$119-Control!$C$74)</f>
        <v>#DIV/0!</v>
      </c>
      <c r="NC57" s="174" t="e">
        <f t="shared" ca="1" si="179"/>
        <v>#DIV/0!</v>
      </c>
      <c r="ND57" s="54">
        <f ca="1">IF(Control!$C$58=2, IF(OR(Control!$B$218=$AH57,Control!$B$219=$AH57, Control!$B$220=$AH57, Control!$B$221=$AH57, Control!$B$222=$AH57, Control!$B$223=$AH57, Control!$B$224=$AH57, Control!$B$225=$AH57, Control!$B$226=$AH57, Control!$B$227=$AH57, Control!$B$228=$AH57), 1, 0), 0)</f>
        <v>0</v>
      </c>
      <c r="NE57" s="54">
        <f ca="1">IF($ND57=0,0, VLOOKUP($AH57,Control!$B$218:$C$228,2))</f>
        <v>0</v>
      </c>
      <c r="NF57" s="168" t="e">
        <f ca="1">$CY57*(Control!$C$128-Control!$C$127)</f>
        <v>#N/A</v>
      </c>
      <c r="NG57" s="54" t="e">
        <f ca="1">IF(Control!$C$58=2, $NI56-$NJ56, 0)</f>
        <v>#DIV/0!</v>
      </c>
      <c r="NH57" s="54" t="e">
        <f ca="1">IF(AND(Control!$C$58=1, $MS56&lt;= ($MN56+0.02), $I56&lt;10), 0, IF(Control!$C$58=2, $NG56, 0))</f>
        <v>#DIV/0!</v>
      </c>
      <c r="NI57" s="54" t="e">
        <f ca="1">IF(Control!$C$58=2, $NE57+$NH57,0)</f>
        <v>#DIV/0!</v>
      </c>
      <c r="NJ57" s="54" t="e">
        <f ca="1">IF(AND(Control!$C$58=1, $MS57&lt;= ($MN57+0.02), $I57&lt;10), MAX(0, MIN(10, 0.7*($NF57-$MV57))), IF(Control!$C$58=2, MIN(10,$NI57),0))</f>
        <v>#DIV/0!</v>
      </c>
      <c r="NK57" s="54" t="e">
        <f t="shared" ca="1" si="96"/>
        <v>#DIV/0!</v>
      </c>
      <c r="NL57" s="173" t="e">
        <f ca="1">(1-Control!$C$73)*$I57+$NJ57</f>
        <v>#DIV/0!</v>
      </c>
      <c r="NM57" s="172" t="e">
        <f ca="1">IF($NL57&lt;0.5, $MB57* MAX(0, MIN(1, (SQRT($NC57)-SQRT($NC57-1))*Control!$C$71)),0)</f>
        <v>#DIV/0!</v>
      </c>
      <c r="NN57" s="170" t="e">
        <f ca="1">IF($NL57&gt;=5, $MB57, MAX(0,MIN($MB57, $NM57+$NL57,($MS57-Control!$C$129))))</f>
        <v>#DIV/0!</v>
      </c>
      <c r="NO57" s="54">
        <f>IF(Control!$C$133&lt;&gt;1, Control!$C$135-Control!$C$131, 0)</f>
        <v>0.38</v>
      </c>
      <c r="NP57" s="54" t="e">
        <f t="shared" ca="1" si="97"/>
        <v>#DIV/0!</v>
      </c>
      <c r="NQ57" s="173" t="e">
        <f ca="1">MAX(0,MIN(1,(Control!$C$135-$MS57)/(Control!$C$135-$NO57)))</f>
        <v>#DIV/0!</v>
      </c>
      <c r="NR57" s="170" t="e">
        <f ca="1">IF(Control!$C$133&lt;&gt;1, $NQ57+((1-$NP57/4)*(1-$NQ57)),1)</f>
        <v>#DIV/0!</v>
      </c>
      <c r="NS57" s="170" t="e">
        <f ca="1">IF(Control!$B$31=0,$MJ57,MAX(0,MIN($MV57,$MO57*$NR57*$MJ57)))</f>
        <v>#DIV/0!</v>
      </c>
      <c r="NT57" s="170" t="e">
        <f t="shared" ca="1" si="227"/>
        <v>#DIV/0!</v>
      </c>
      <c r="NU57" s="170" t="e">
        <f t="shared" ca="1" si="180"/>
        <v>#N/A</v>
      </c>
      <c r="NV57" s="170" t="e">
        <f t="shared" ca="1" si="98"/>
        <v>#N/A</v>
      </c>
      <c r="NW57" s="175" t="e">
        <f t="shared" ca="1" si="99"/>
        <v>#DIV/0!</v>
      </c>
      <c r="NX57" s="170" t="e">
        <f ca="1">MIN(Control!$C$72+$MU57, $NW57)</f>
        <v>#DIV/0!</v>
      </c>
      <c r="NY57" s="170" t="e">
        <f ca="1">IF($MT57&lt;=$NX57,MIN(Control!$C$72+$NB57,$NX57-$MT57),0)</f>
        <v>#DIV/0!</v>
      </c>
      <c r="NZ57" s="54" t="e">
        <f ca="1">IF(Control!$C$114=1,  $CX57*($MX57-Control!$C$127), 0)</f>
        <v>#DIV/0!</v>
      </c>
      <c r="OA57" s="170" t="e">
        <f t="shared" ca="1" si="181"/>
        <v>#DIV/0!</v>
      </c>
      <c r="OB57" s="170" t="e">
        <f ca="1">IF($NA57 &lt;=$NY57, MIN(Control!$C$72, $NY57-$NA57), 0)</f>
        <v>#DIV/0!</v>
      </c>
      <c r="OC57" s="168" t="e">
        <f t="shared" ca="1" si="100"/>
        <v>#DIV/0!</v>
      </c>
      <c r="OD57" s="168" t="e">
        <f t="shared" ca="1" si="182"/>
        <v>#DIV/0!</v>
      </c>
      <c r="OE57" s="170">
        <f ca="1">Control!$C$73*$I57</f>
        <v>0</v>
      </c>
      <c r="OF57" s="176" t="e">
        <f t="shared" ca="1" si="101"/>
        <v>#DIV/0!</v>
      </c>
      <c r="OG57" s="168" t="e">
        <f t="shared" ca="1" si="102"/>
        <v>#DIV/0!</v>
      </c>
      <c r="OH57" s="168" t="e">
        <f t="shared" ca="1" si="103"/>
        <v>#DIV/0!</v>
      </c>
      <c r="OI57" s="168" t="e">
        <f t="shared" ca="1" si="104"/>
        <v>#DIV/0!</v>
      </c>
      <c r="OJ57" s="168" t="e">
        <f t="shared" ca="1" si="105"/>
        <v>#DIV/0!</v>
      </c>
      <c r="OK57" s="204" t="e">
        <f t="shared" ca="1" si="183"/>
        <v>#DIV/0!</v>
      </c>
      <c r="OL57" s="177">
        <f>Control!$C$127</f>
        <v>0.15</v>
      </c>
      <c r="OM57" s="182" t="e">
        <f t="shared" ca="1" si="106"/>
        <v>#N/A</v>
      </c>
      <c r="ON57" s="177">
        <f>Control!$C$128</f>
        <v>0.35</v>
      </c>
      <c r="OO57" s="182" t="e">
        <f t="shared" ca="1" si="107"/>
        <v>#N/A</v>
      </c>
      <c r="OP57" s="138">
        <f t="shared" ca="1" si="184"/>
        <v>0</v>
      </c>
      <c r="OQ57" s="138" t="e">
        <f t="shared" ca="1" si="211"/>
        <v>#DIV/0!</v>
      </c>
      <c r="OR57" s="138" t="e">
        <f t="shared" ca="1" si="185"/>
        <v>#DIV/0!</v>
      </c>
      <c r="OS57" s="137" t="e">
        <f t="shared" ca="1" si="212"/>
        <v>#DIV/0!</v>
      </c>
      <c r="OT57" s="139" t="e">
        <f t="shared" ca="1" si="213"/>
        <v>#DIV/0!</v>
      </c>
      <c r="OU57" s="138" t="e">
        <f t="shared" ca="1" si="214"/>
        <v>#N/A</v>
      </c>
      <c r="OV57" s="138" t="e">
        <f t="shared" ca="1" si="215"/>
        <v>#DIV/0!</v>
      </c>
      <c r="OW57" s="138" t="e">
        <f t="shared" ca="1" si="186"/>
        <v>#DIV/0!</v>
      </c>
      <c r="OX57" s="138" t="e">
        <f t="shared" ca="1" si="187"/>
        <v>#DIV/0!</v>
      </c>
      <c r="OY57" s="138" t="e">
        <f t="shared" ca="1" si="188"/>
        <v>#DIV/0!</v>
      </c>
      <c r="OZ57" s="138" t="e">
        <f t="shared" ca="1" si="108"/>
        <v>#DIV/0!</v>
      </c>
      <c r="PA57" s="138" t="e">
        <f t="shared" ca="1" si="109"/>
        <v>#DIV/0!</v>
      </c>
      <c r="PB57" s="55">
        <f>IF(Control!$C$61="T", IF(Control!$C$65="F", IF($AH$6-Control!$C$60&lt;0,0,1), IF(365+$AH$6-Control!$C$60&lt;0,0,1)),0)</f>
        <v>0</v>
      </c>
      <c r="PC57" s="55">
        <f ca="1">IF(Control!$C$65="F", IF($AH$6-$HF57&lt;0,0,1), IF(365+$AH$6-$HF57&lt;0,0,1))</f>
        <v>1</v>
      </c>
      <c r="PD57" s="444">
        <f>Control!$C$118</f>
        <v>1500</v>
      </c>
      <c r="PE57" s="180" t="e">
        <f t="shared" ca="1" si="110"/>
        <v>#N/A</v>
      </c>
      <c r="PF57" s="445">
        <f t="shared" ca="1" si="189"/>
        <v>0.71612369323045078</v>
      </c>
      <c r="PT57" s="186"/>
      <c r="PU57" s="186"/>
      <c r="PV57" s="94"/>
      <c r="PW57" s="94"/>
      <c r="PX57" s="94"/>
      <c r="PY57" s="94"/>
      <c r="PZ57" s="94"/>
      <c r="QA57" s="94"/>
      <c r="QB57" s="94"/>
      <c r="QC57" s="94"/>
      <c r="QD57" s="94"/>
      <c r="QE57" s="94"/>
      <c r="QF57" s="94"/>
      <c r="QG57" s="94"/>
      <c r="QH57" s="94"/>
      <c r="QI57" s="94"/>
      <c r="QJ57" s="94"/>
      <c r="QK57" s="94"/>
      <c r="QL57" s="94"/>
      <c r="QM57" s="94"/>
      <c r="QN57" s="94"/>
      <c r="QO57" s="94"/>
      <c r="QP57" s="94"/>
    </row>
    <row r="58" spans="1:458" s="2" customFormat="1" x14ac:dyDescent="0.2">
      <c r="A58" s="395">
        <v>22</v>
      </c>
      <c r="B58" s="396">
        <v>2</v>
      </c>
      <c r="C58" s="387">
        <f ca="1">Weather_data!$B57</f>
        <v>0</v>
      </c>
      <c r="D58" s="388">
        <f ca="1">Weather_data!$F57</f>
        <v>0</v>
      </c>
      <c r="E58" s="388">
        <f ca="1">Weather_data!$E57</f>
        <v>0</v>
      </c>
      <c r="F58" s="388">
        <f t="shared" ca="1" si="111"/>
        <v>0</v>
      </c>
      <c r="G58" s="388">
        <f ca="1">AVERAGE($D58:$E58)+Control!$B$9</f>
        <v>0</v>
      </c>
      <c r="H58" s="388">
        <f ca="1">Weather_data!$G57</f>
        <v>0</v>
      </c>
      <c r="I58" s="388">
        <f ca="1">Weather_data!$I57</f>
        <v>0</v>
      </c>
      <c r="J58" s="388">
        <f ca="1">Weather_data!$H57</f>
        <v>0</v>
      </c>
      <c r="K58" s="389">
        <f ca="1">Weather_data!$D57</f>
        <v>0</v>
      </c>
      <c r="L58" s="388" t="e">
        <f t="shared" ca="1" si="112"/>
        <v>#N/A</v>
      </c>
      <c r="M58" s="388" t="e">
        <f t="shared" ca="1" si="0"/>
        <v>#N/A</v>
      </c>
      <c r="N58" s="388">
        <f t="shared" ca="1" si="1"/>
        <v>-2.0872789589646457E-3</v>
      </c>
      <c r="O58" s="388">
        <f t="shared" ca="1" si="113"/>
        <v>2.0872789589646456E-2</v>
      </c>
      <c r="P58" s="390">
        <v>3</v>
      </c>
      <c r="Q58" s="388">
        <f ca="1">MAX($G58-Control!$C$107,0)</f>
        <v>0</v>
      </c>
      <c r="R58" s="388">
        <f t="shared" ca="1" si="114"/>
        <v>0</v>
      </c>
      <c r="S58" s="388">
        <f t="shared" ca="1" si="2"/>
        <v>0</v>
      </c>
      <c r="T58" s="388">
        <f t="shared" ca="1" si="3"/>
        <v>0</v>
      </c>
      <c r="U58" s="59">
        <f t="shared" ca="1" si="4"/>
        <v>0</v>
      </c>
      <c r="V58" s="391">
        <f ca="1">MAX(0,MIN(Control!$C$100-Control!$C$99,$G58-Control!$C$99)*Control!$C$63)</f>
        <v>0</v>
      </c>
      <c r="W58" s="388">
        <f t="shared" ca="1" si="190"/>
        <v>0</v>
      </c>
      <c r="X58" s="388">
        <f t="shared" ca="1" si="115"/>
        <v>0.6110000000000001</v>
      </c>
      <c r="Y58" s="388">
        <f t="shared" ca="1" si="116"/>
        <v>0</v>
      </c>
      <c r="Z58" s="388">
        <f t="shared" ca="1" si="117"/>
        <v>0.61058800000000002</v>
      </c>
      <c r="AA58" s="388">
        <f t="shared" ca="1" si="5"/>
        <v>0.6018</v>
      </c>
      <c r="AB58" s="388">
        <f ca="1">101.3*EXP(-0.034*Control!$C$66/($G58+273))</f>
        <v>100.69623283836242</v>
      </c>
      <c r="AC58" s="392">
        <f t="shared" ca="1" si="6"/>
        <v>4.3460251046025113E-2</v>
      </c>
      <c r="AD58" s="392">
        <f t="shared" ca="1" si="7"/>
        <v>4.4450382862832649E-2</v>
      </c>
      <c r="AE58" s="388">
        <f t="shared" ca="1" si="8"/>
        <v>0</v>
      </c>
      <c r="AF58" s="388">
        <f ca="1">MAX(0,$G58-Control!$C$92)</f>
        <v>0</v>
      </c>
      <c r="AG58" s="393">
        <f t="shared" ca="1" si="118"/>
        <v>53</v>
      </c>
      <c r="AH58" s="389">
        <f t="shared" ca="1" si="9"/>
        <v>53</v>
      </c>
      <c r="AI58" s="388">
        <f t="shared" ca="1" si="119"/>
        <v>-0.18707372796612198</v>
      </c>
      <c r="AJ58" s="388">
        <f ca="1">IF(Control!$C$60&lt;=0,$HH58,$HI58)</f>
        <v>1</v>
      </c>
      <c r="AK58" s="388">
        <f t="shared" ca="1" si="10"/>
        <v>-0.46478357066807896</v>
      </c>
      <c r="AL58" s="388">
        <f t="shared" ca="1" si="11"/>
        <v>1.2623530692978945E-18</v>
      </c>
      <c r="AM58" s="388">
        <f t="shared" ca="1" si="12"/>
        <v>-0.46478357066807896</v>
      </c>
      <c r="AN58" s="388">
        <f t="shared" ca="1" si="13"/>
        <v>-0.17926421962020433</v>
      </c>
      <c r="AO58" s="388">
        <f ca="1">-0.10453/COS(Control!$B$8*PI()/180)*COS(AN58)</f>
        <v>-0.16706408774294065</v>
      </c>
      <c r="AP58" s="388">
        <f ca="1">ACOS(AO58-TAN(Control!$B$8*PI()/180)*TAN(AN58))</f>
        <v>1.5058772582041362</v>
      </c>
      <c r="AQ58" s="388">
        <f t="shared" ca="1" si="120"/>
        <v>0</v>
      </c>
      <c r="AR58" s="394">
        <f t="shared" ca="1" si="14"/>
        <v>0</v>
      </c>
      <c r="AS58" s="436">
        <f ca="1">IF(Control!$B$18=2,(IF(OR($AH58=Control!$B$175,$AH58=Control!$B$176,$AH58=Control!$B$177,$AH58=Control!$B$178,$AH58=Control!$B$179,$AH58=Control!$B$180,$AH58=Control!$B$181,$AH58=Control!$B$182,$AH58=Control!$B$183,$AH58=Control!$B$184,$AH58=Control!$B$185),1,0)),0)</f>
        <v>0</v>
      </c>
      <c r="AT58" s="436">
        <f>IF(Control!$B$20=8,IF(AND($AH58&gt;=Control!$B$172,$AH58&lt;=Control!$B$173),1,0),0)</f>
        <v>0</v>
      </c>
      <c r="AU58" s="436">
        <f>IF(Control!$B$20=8,IF($AV57=1,1*$AT58,IF($AT58=1,$AU57+1,$AU57)),0)</f>
        <v>0</v>
      </c>
      <c r="AV58" s="436">
        <f>IF(Control!$B$20=8,IF($AU58&gt;=Control!$B$174,1,0),0)</f>
        <v>0</v>
      </c>
      <c r="AW58" s="436">
        <f ca="1">IF(AND(Control!$B$18=2,Control!$B$171=1), $AV58, $AS58)</f>
        <v>0</v>
      </c>
      <c r="AX58" s="436" t="e">
        <f ca="1">IF(AND(Control!$B$18=1,$EU58&gt;=Control!$B$19),-$AY58,IF(AND(Control!$B$18=2,$AW58=1,$EU58&gt;$DS58),-$AY58, IF(Control!$C$108=0,0, IF(Control!$C$108&lt;&gt;0,1))))</f>
        <v>#N/A</v>
      </c>
      <c r="AY58" s="436" t="e">
        <f t="shared" ca="1" si="121"/>
        <v>#N/A</v>
      </c>
      <c r="AZ58" s="436" t="e">
        <f ca="1">IF(AND(Control!$B$18=1,$EB58&gt;Control!$B$19),$AZ57+1, IF(AND(Control!$B$18=2, $AW58=1, $EB58&gt;$DS58), $AZ57+1,$AZ57))</f>
        <v>#N/A</v>
      </c>
      <c r="BA58" s="587">
        <f>IF(Control!$C$81=0,1,IF($AH58&gt;=Control!$C$82,1,0))</f>
        <v>1</v>
      </c>
      <c r="BB58" s="140" t="e">
        <f ca="1">IF($BA58&gt;$BA57,Control!$C$83,IF($AW58&gt;0,$AW58*Control!$C$84,IF(AND(Control!$B$18=1,EN57&lt;&gt;0),Control!$C$84,0)))</f>
        <v>#N/A</v>
      </c>
      <c r="BC58" s="140" t="e">
        <f t="shared" ca="1" si="122"/>
        <v>#N/A</v>
      </c>
      <c r="BD58" s="140" t="e">
        <f ca="1">BC58*IF(OR($G58&lt;Control!$C$92,$G58&gt;Control!$C$95),0,IF(AND($G58&gt;=Control!$C$92,$G58&lt;=Control!$C$93),$G58-Control!$C$92,IF(AND($G58&gt;Control!$C$93,$G58&lt;=Control!$C$94),Control!$C$93-Control!$C$92,IF(AND($G58&gt;Control!$C$94,$G58&lt;=Control!$C$95),(Control!$C$93-Control!$C$92)*(Control!$C$94-$G58)/(Control!$C$95-Control!$C$94)))))</f>
        <v>#N/A</v>
      </c>
      <c r="BE58" s="140" t="e">
        <f t="shared" ca="1" si="123"/>
        <v>#N/A</v>
      </c>
      <c r="BF58" s="140" t="e">
        <f ca="1">IF($BE58&lt;=Control!$C$86,$BE58,Control!$C$86-$BE58)</f>
        <v>#N/A</v>
      </c>
      <c r="BG58" s="140" t="e">
        <f ca="1">IF(AND($AW58=1,Control!$C$84&lt;9),1,IF($BE58&gt;=Control!$C$86,0,$BC58))</f>
        <v>#N/A</v>
      </c>
      <c r="BH58" s="404" t="e">
        <f ca="1">IF($BG58=0,0,IF($BE58&lt;=Control!$C$86,$BC58*9*($BF58/Control!$C$86),0))</f>
        <v>#N/A</v>
      </c>
      <c r="BI58" s="140" t="e">
        <f ca="1">IF($BG58=1,0,IF($BE58&gt;=Control!$C$86,1,IF(AND($BB58&lt;21,$BB58&gt;=9),1,$BM57)))</f>
        <v>#N/A</v>
      </c>
      <c r="BJ58" s="140" t="e">
        <f ca="1">IF($BF58&lt;0,-$BF58,$BI58*IF(OR($G58&lt;Control!$C$92,$G58&gt;Control!$C$95),0,IF(AND($G58&gt;=Control!$C$92,$G58&lt;=Control!$C$93),$G58-Control!$C$92,IF(AND($G58&gt;Control!$C$93,$G58&lt;=Control!$C$94),Control!$C$93-Control!$C$92,IF(AND($G58&gt;Control!$C$94,$G58&lt;=Control!$C$95),(Control!$C$93-Control!$C$92)*(Control!$C$94-$G58)/(Control!$C$95-Control!$C$94))))))</f>
        <v>#N/A</v>
      </c>
      <c r="BK58" s="140" t="e">
        <f t="shared" ca="1" si="124"/>
        <v>#N/A</v>
      </c>
      <c r="BL58" s="140" t="e">
        <f ca="1">IF($BK58&lt;=Control!$C$87,$BK58,Control!$C$87-$BK58)</f>
        <v>#N/A</v>
      </c>
      <c r="BM58" s="140" t="e">
        <f ca="1">IF(AND($BB58&gt;=9,$BB58&lt;21),1,IF($BK58&gt;=Control!$C$87,0,$BI58))</f>
        <v>#N/A</v>
      </c>
      <c r="BN58" s="404" t="e">
        <f ca="1">IF($BM58=0,0,IF($BK58&lt;=Control!$C$87,$BI58*(9+(21-9)*($BL58/Control!$C$87)),0))</f>
        <v>#N/A</v>
      </c>
      <c r="BO58" s="140" t="e">
        <f ca="1">IF($BM58=1,0,IF($BK58&gt;=Control!$C$87,1,IF(AND($BB58&lt;30,$BB58&gt;=21),1,$BS57)))</f>
        <v>#N/A</v>
      </c>
      <c r="BP58" s="140" t="e">
        <f ca="1">IF($BL58&lt;0,-$BL58,$BO58*IF(OR($G58&lt;Control!$C$92,$G58&gt;Control!$C$95),0,IF(AND($G58&gt;=Control!$C$92,$G58&lt;=Control!$C$93),$G58-Control!$C$92,IF(AND($G58&gt;Control!$C$93,$G58&lt;=Control!$C$94),Control!$C$93-Control!$C$92,IF(AND($G58&gt;Control!$C$94,$G58&lt;=Control!$C$95),(Control!$C$93-Control!$C$92)*(Control!$C$94-$G58)/(Control!$C$95-Control!$C$94))))))</f>
        <v>#N/A</v>
      </c>
      <c r="BQ58" s="140" t="e">
        <f t="shared" ca="1" si="15"/>
        <v>#N/A</v>
      </c>
      <c r="BR58" s="140" t="e">
        <f ca="1">IF($BQ58&lt;=Control!$C$88,$BQ58,Control!$C$88-$BQ58)</f>
        <v>#N/A</v>
      </c>
      <c r="BS58" s="140" t="e">
        <f ca="1">IF(AND($BB58&gt;=21,$BB58&lt;30),1,IF($BQ58&gt;=Control!$C$88,0,$BO58))</f>
        <v>#N/A</v>
      </c>
      <c r="BT58" s="404" t="e">
        <f ca="1">IF($BS58=0,0,IF($BQ58&lt;=Control!$C$88,$BO58*(21+(30-21)*(BR58/Control!$C$88)),0))</f>
        <v>#N/A</v>
      </c>
      <c r="BU58" s="140" t="e">
        <f ca="1">IF(BG58+BM58+BS58=1,0,IF(OR(AND($BB58&lt;60,$BB58&gt;=30),$BQ58&gt;=Control!$C$88),1*$BA58,$BY57))</f>
        <v>#N/A</v>
      </c>
      <c r="BV58" s="140" t="e">
        <f ca="1">IF($BR58&lt;0,-$BR58,$BU58*IF(OR($G58&lt;Control!$C$92,$G58&gt;Control!$C$95),0,IF(AND($G58&gt;=Control!$C$92,$G58&lt;=Control!$C$93),$G58-Control!$C$92,IF(AND($G58&gt;Control!$C$93,$G58&lt;=Control!$C$94),Control!$C$93-Control!$C$92,IF(AND($G58&gt;Control!$C$94,$G58&lt;=Control!$C$95),(Control!$C$93-Control!$C$92)*(Control!$C$94-$G58)/(Control!$C$95-Control!$C$94))))))</f>
        <v>#N/A</v>
      </c>
      <c r="BW58" s="140" t="e">
        <f t="shared" ca="1" si="16"/>
        <v>#N/A</v>
      </c>
      <c r="BX58" s="140" t="e">
        <f ca="1">IF($BW58&lt;=Control!$C$89,$BW58,Control!$C$89-$BW58)</f>
        <v>#N/A</v>
      </c>
      <c r="BY58" s="140" t="e">
        <f ca="1">IF(AND($AJ58&gt;=30,$AJ58&lt;60),1,IF($BW58&gt;=Control!$C$89,0,$BU58))</f>
        <v>#N/A</v>
      </c>
      <c r="BZ58" s="404" t="e">
        <f ca="1">IF($BY58=0,0,IF($BW58&lt;=Control!$C$89,$BU58*(30+(60-30)*(BX58/Control!$C$89)),0))</f>
        <v>#N/A</v>
      </c>
      <c r="CA58" s="140" t="e">
        <f ca="1">IF($BG58+$BM58+$BS58+$BY58=1,0,IF(OR(AND($BB58&lt;65,$BB58&gt;=60),$BW58&gt;=Control!$C$89),1*$BA58,$CE57))</f>
        <v>#N/A</v>
      </c>
      <c r="CB58" s="140" t="e">
        <f ca="1">IF($BX58&lt;0,-$BX58,$CA58*IF(OR($G58&lt;Control!$C$92,$G58&gt;Control!$C$95),0,IF(AND($G58&gt;=Control!$C$92,$G58&lt;=Control!$C$93),$G58-Control!$C$92,IF(AND($G58&gt;Control!$C$93,$G58&lt;=Control!$C$94),Control!$C$93-Control!$C$92,IF(AND($G58&gt;Control!$C$94,$G58&lt;=Control!$C$95),(Control!$C$93-Control!$C$92)*(Control!$C$94-$G58)/(Control!$C$95-Control!$C$94))))))</f>
        <v>#N/A</v>
      </c>
      <c r="CC58" s="140" t="e">
        <f t="shared" ca="1" si="125"/>
        <v>#N/A</v>
      </c>
      <c r="CD58" s="140" t="e">
        <f ca="1">IF($CC58&lt;=Control!$C$90,$CC58,Control!$C$90-$CC58)</f>
        <v>#N/A</v>
      </c>
      <c r="CE58" s="140" t="e">
        <f ca="1">IF(AND($BB58&gt;=60,$BB58&lt;65),1,IF($CC58&gt;=Control!$C$90,0,$CA58))</f>
        <v>#N/A</v>
      </c>
      <c r="CF58" s="404" t="e">
        <f ca="1">IF($CE58=0,0,IF($CC58&lt;=Control!$C$90,$CA58*(60+(65-60)*(CD58/Control!$C$90)),0))</f>
        <v>#N/A</v>
      </c>
      <c r="CG58" s="140" t="e">
        <f ca="1">IF($BG58+$BM58+$BS58+$BY58+$CE58=1,0,IF(OR(AND($BB58&lt;90,$BB58&gt;=65),$CC58&gt;=Control!$C$90),$BA58,$CK57))</f>
        <v>#N/A</v>
      </c>
      <c r="CH58" s="140" t="e">
        <f ca="1">IF($CD58&lt;0,-$CD58,$CG58*IF(OR($G58&lt;Control!$C$92,$G58&gt;Control!$C$95),0,IF(AND($G58&gt;=Control!$C$92,$G58&lt;=Control!$C$93),$G58-Control!$C$92,IF(AND($G58&gt;Control!$C$93,$G58&lt;=Control!$C$94),Control!$C$93-Control!$C$92,IF(AND($G58&gt;Control!$C$94,$G58&lt;=Control!$C$95),(Control!$C$93-Control!$C$92)*(Control!$C$94-$G58)/(Control!$C$95-Control!$C$94))))))</f>
        <v>#N/A</v>
      </c>
      <c r="CI58" s="140" t="e">
        <f t="shared" ca="1" si="126"/>
        <v>#N/A</v>
      </c>
      <c r="CJ58" s="140" t="e">
        <f ca="1">IF($CI58&lt;=Control!$C$91,$CI58,Control!$C$91-$CI58)</f>
        <v>#N/A</v>
      </c>
      <c r="CK58" s="140" t="e">
        <f ca="1">IF(AND($BB58&gt;=65,$BB58&lt;90),1,IF($CI58&gt;=Control!$C$91,0,$CG58))</f>
        <v>#N/A</v>
      </c>
      <c r="CL58" s="404" t="e">
        <f ca="1">IF($CK58=0,0,IF($CI58&lt;=Control!$C$91,$CG58*(65+(90-65)*($CJ58/Control!$C$91)),0))</f>
        <v>#N/A</v>
      </c>
      <c r="CM58" s="140" t="e">
        <f ca="1">IF($BG58+$BM58+$BS58+$BY58+$CE58+$CK58=1,0,IF(OR($BB58&gt;=90,$CI58&gt;=Control!$C$91),$BA58,$CM57))</f>
        <v>#N/A</v>
      </c>
      <c r="CN58" s="140" t="e">
        <f t="shared" ca="1" si="127"/>
        <v>#N/A</v>
      </c>
      <c r="CO58" s="140" t="e">
        <f t="shared" ca="1" si="128"/>
        <v>#N/A</v>
      </c>
      <c r="CP58" s="140" t="e">
        <f t="shared" ca="1" si="129"/>
        <v>#N/A</v>
      </c>
      <c r="CQ58" s="141" t="e">
        <f ca="1">VLOOKUP($CP58,Control!$B$86:$G$91,6)</f>
        <v>#N/A</v>
      </c>
      <c r="CR58" s="141" t="e">
        <f ca="1">(1-$CQ58)*VLOOKUP($CP58,Control!$B$86:$D$91,3)</f>
        <v>#N/A</v>
      </c>
      <c r="CS58" s="141" t="e">
        <f ca="1">(1-$CQ58)*VLOOKUP($CP58,Control!$B$86:$E$91,4)</f>
        <v>#N/A</v>
      </c>
      <c r="CT58" s="141" t="e">
        <f ca="1">(1-$CQ58)*VLOOKUP($CP58,Control!$B$86:$F$91,5)</f>
        <v>#N/A</v>
      </c>
      <c r="CU58" s="141">
        <f t="shared" ca="1" si="130"/>
        <v>0</v>
      </c>
      <c r="CV58" s="583">
        <f t="shared" ca="1" si="131"/>
        <v>0</v>
      </c>
      <c r="CW58" s="142">
        <f t="shared" ca="1" si="132"/>
        <v>53</v>
      </c>
      <c r="CX58" s="612" t="e">
        <f ca="1">IF(Control!$C$114=1,(MIN(Control!$C$120*(IF($NT58-0.01&lt;0,0,1)),Control!$C$119-$CY58)))</f>
        <v>#DIV/0!</v>
      </c>
      <c r="CY58" s="143" t="e">
        <f t="shared" ca="1" si="133"/>
        <v>#N/A</v>
      </c>
      <c r="CZ58" s="144">
        <f t="shared" ca="1" si="17"/>
        <v>0</v>
      </c>
      <c r="DA58" s="144">
        <f t="shared" ca="1" si="18"/>
        <v>0</v>
      </c>
      <c r="DB58" s="144" t="e">
        <f t="shared" ca="1" si="19"/>
        <v>#N/A</v>
      </c>
      <c r="DC58" s="144" t="e">
        <f t="shared" ca="1" si="20"/>
        <v>#N/A</v>
      </c>
      <c r="DD58" s="144" t="e">
        <f t="shared" ca="1" si="216"/>
        <v>#N/A</v>
      </c>
      <c r="DE58" s="143" t="e">
        <f t="shared" ca="1" si="135"/>
        <v>#N/A</v>
      </c>
      <c r="DF58" s="145" t="e">
        <f ca="1">$DR58*EXP(-Control!$C$158*(1-$KH58))</f>
        <v>#N/A</v>
      </c>
      <c r="DG58" s="146" t="e">
        <f ca="1">IF(Control!$C$114=1, $DF58*$EY58, 0)</f>
        <v>#N/A</v>
      </c>
      <c r="DH58" s="147" t="e">
        <f t="shared" ca="1" si="136"/>
        <v>#N/A</v>
      </c>
      <c r="DI58" s="144" t="e">
        <f t="shared" ca="1" si="191"/>
        <v>#N/A</v>
      </c>
      <c r="DJ58" s="147" t="e">
        <f ca="1">$EF58*Control!$C$109</f>
        <v>#N/A</v>
      </c>
      <c r="DK58" s="144" t="e">
        <f t="shared" ca="1" si="137"/>
        <v>#N/A</v>
      </c>
      <c r="DL58" s="144" t="e">
        <f t="shared" ca="1" si="21"/>
        <v>#N/A</v>
      </c>
      <c r="DM58" s="144" t="e">
        <f ca="1">IF(Control!$C$114=1, (1-EXP(-Control!$C$96*$DK58))*$AR58, 0)</f>
        <v>#N/A</v>
      </c>
      <c r="DN58" s="144">
        <f t="shared" ca="1" si="138"/>
        <v>0</v>
      </c>
      <c r="DO58" s="148">
        <f>Control!$C$97</f>
        <v>4</v>
      </c>
      <c r="DP58" s="145" t="e">
        <f t="shared" ca="1" si="139"/>
        <v>#N/A</v>
      </c>
      <c r="DQ58" s="145" t="e">
        <f ca="1">IF(AND($CP58&gt;=0,$CP58&lt;=90),Control!$C$111,Control!$C$111)</f>
        <v>#N/A</v>
      </c>
      <c r="DR58" s="145" t="e">
        <f t="shared" ca="1" si="22"/>
        <v>#N/A</v>
      </c>
      <c r="DS58" s="143" t="e">
        <f ca="1">Control!$B$22/$DR58</f>
        <v>#N/A</v>
      </c>
      <c r="DT58" s="149" t="e">
        <f ca="1">IF(AND(Control!$C$114=1,$KH58&lt;1),$IM58*$DF58, 0)</f>
        <v>#N/A</v>
      </c>
      <c r="DU58" s="144" t="e">
        <f t="shared" ca="1" si="192"/>
        <v>#N/A</v>
      </c>
      <c r="DV58" s="144">
        <f ca="1">IF($G58-Control!$C$107&lt;=0, 0, 0.83*LN(MAX($G58, 3))-0.8924)</f>
        <v>0</v>
      </c>
      <c r="DW58" s="144" t="e">
        <f t="shared" ca="1" si="23"/>
        <v>#N/A</v>
      </c>
      <c r="DX58" s="150" t="e">
        <f ca="1">MAX(0.01*(1+$CU58/Control!$C$102),0.05*($DK58-Control!$C$97)/Control!$C$97)</f>
        <v>#N/A</v>
      </c>
      <c r="DY58" s="151" t="e">
        <f ca="1">IF(Control!$C$114=1, $DI58*$FS58, 0)</f>
        <v>#N/A</v>
      </c>
      <c r="DZ58" s="196" t="e">
        <f t="shared" ca="1" si="140"/>
        <v>#N/A</v>
      </c>
      <c r="EA58" s="152">
        <f t="shared" ca="1" si="141"/>
        <v>53</v>
      </c>
      <c r="EB58" s="153" t="e">
        <f t="shared" ca="1" si="217"/>
        <v>#N/A</v>
      </c>
      <c r="EC58" s="153" t="e">
        <f t="shared" ca="1" si="142"/>
        <v>#N/A</v>
      </c>
      <c r="ED58" s="154" t="e">
        <f ca="1">IF(Control!$C$114=1, $HM58*$FY58-$FD58, 0)</f>
        <v>#DIV/0!</v>
      </c>
      <c r="EE58" s="155" t="e">
        <f ca="1">IF(Control!$C$114=1, $HM58*$FZ58-$FF58, 0)</f>
        <v>#DIV/0!</v>
      </c>
      <c r="EF58" s="153" t="e">
        <f t="shared" ca="1" si="193"/>
        <v>#N/A</v>
      </c>
      <c r="EG58" s="155" t="e">
        <f ca="1">IF(Control!$C$114=1, $GX58*$FW58-$FI58, 0)</f>
        <v>#DIV/0!</v>
      </c>
      <c r="EH58" s="153" t="e">
        <f t="shared" ca="1" si="143"/>
        <v>#N/A</v>
      </c>
      <c r="EI58" s="156" t="e">
        <f t="shared" ca="1" si="144"/>
        <v>#N/A</v>
      </c>
      <c r="EJ58" s="155" t="e">
        <f ca="1">IF(Control!$C$114=1, $HM58*$GB58, 0)</f>
        <v>#DIV/0!</v>
      </c>
      <c r="EK58" s="153" t="e">
        <f t="shared" ca="1" si="194"/>
        <v>#N/A</v>
      </c>
      <c r="EL58" s="153" t="e">
        <f t="shared" ca="1" si="24"/>
        <v>#N/A</v>
      </c>
      <c r="EM58" s="153" t="e">
        <f t="shared" ca="1" si="25"/>
        <v>#N/A</v>
      </c>
      <c r="EN58" s="153" t="e">
        <f ca="1">IF(Control!$C$108=1,IF(AND(Control!$B$18=1,$EB58&gt;=Control!$B$19),$EB58-$DS58,IF(AND(Control!$B$18=2,$AW58=1,$EB58&gt;$DS58),$EB58-$DS58,0)))</f>
        <v>#N/A</v>
      </c>
      <c r="EO58" s="153" t="e">
        <f ca="1">IF(Control!$C$108=1,IF(AND(Control!$B$18=1,$EB58&gt;=Control!$B$19),$EF58,IF(AND(Control!$B$18=2,$AW58=1),$EF58,0)))</f>
        <v>#N/A</v>
      </c>
      <c r="EP58" s="153" t="e">
        <f ca="1">IF(Control!$C$108=1,IF(AND(Control!$B$18=1,$EB58&gt;=Control!$B$19),$EK58,IF(AND(Control!$B$18=2,$AW58=1),$EK58,0)))</f>
        <v>#N/A</v>
      </c>
      <c r="EQ58" s="153" t="e">
        <f t="shared" ca="1" si="145"/>
        <v>#N/A</v>
      </c>
      <c r="ER58" s="153" t="e">
        <f t="shared" ca="1" si="231"/>
        <v>#N/A</v>
      </c>
      <c r="ES58" s="153" t="e">
        <f t="shared" ca="1" si="196"/>
        <v>#N/A</v>
      </c>
      <c r="ET58" s="153" t="e">
        <f t="shared" ca="1" si="197"/>
        <v>#N/A</v>
      </c>
      <c r="EU58" s="153" t="e">
        <f t="shared" ca="1" si="198"/>
        <v>#N/A</v>
      </c>
      <c r="EV58" s="153" t="e">
        <f t="shared" ca="1" si="146"/>
        <v>#N/A</v>
      </c>
      <c r="EW58" s="153" t="e">
        <f t="shared" ca="1" si="218"/>
        <v>#N/A</v>
      </c>
      <c r="EX58" s="153" t="e">
        <f t="shared" ca="1" si="26"/>
        <v>#N/A</v>
      </c>
      <c r="EY58" s="157" t="e">
        <f t="shared" ca="1" si="147"/>
        <v>#DIV/0!</v>
      </c>
      <c r="EZ58" s="154" t="e">
        <f t="shared" ca="1" si="27"/>
        <v>#DIV/0!</v>
      </c>
      <c r="FA58" s="153" t="e">
        <f t="shared" ca="1" si="199"/>
        <v>#N/A</v>
      </c>
      <c r="FB58" s="153" t="e">
        <f t="shared" ca="1" si="28"/>
        <v>#N/A</v>
      </c>
      <c r="FC58" s="193" t="e">
        <f t="shared" ca="1" si="29"/>
        <v>#N/A</v>
      </c>
      <c r="FD58" s="158" t="e">
        <f t="shared" ca="1" si="200"/>
        <v>#N/A</v>
      </c>
      <c r="FE58" s="158" t="e">
        <f t="shared" ca="1" si="148"/>
        <v>#N/A</v>
      </c>
      <c r="FF58" s="159" t="e">
        <f t="shared" ca="1" si="30"/>
        <v>#N/A</v>
      </c>
      <c r="FG58" s="160" t="e">
        <f t="shared" ca="1" si="149"/>
        <v>#N/A</v>
      </c>
      <c r="FH58" s="158" t="e">
        <f t="shared" ca="1" si="150"/>
        <v>#N/A</v>
      </c>
      <c r="FI58" s="159" t="e">
        <f t="shared" ca="1" si="31"/>
        <v>#N/A</v>
      </c>
      <c r="FJ58" s="160" t="e">
        <f t="shared" ca="1" si="151"/>
        <v>#N/A</v>
      </c>
      <c r="FK58" s="160" t="e">
        <f t="shared" ca="1" si="32"/>
        <v>#N/A</v>
      </c>
      <c r="FL58" s="160" t="e">
        <f t="shared" ca="1" si="229"/>
        <v>#N/A</v>
      </c>
      <c r="FM58" s="160" t="e">
        <f t="shared" ca="1" si="33"/>
        <v>#N/A</v>
      </c>
      <c r="FN58" s="158">
        <f t="shared" ca="1" si="219"/>
        <v>0.01</v>
      </c>
      <c r="FO58" s="160">
        <f>Control!$C$101</f>
        <v>50</v>
      </c>
      <c r="FP58" s="150" t="e">
        <f t="shared" ca="1" si="34"/>
        <v>#N/A</v>
      </c>
      <c r="FQ58" s="150" t="e">
        <f ca="1">MAX(0,(Control!$C$112*(($DK58-Control!$C$97)/Control!$C$97)))</f>
        <v>#N/A</v>
      </c>
      <c r="FR58" s="150" t="e">
        <f ca="1">(1-$NT58)*Control!$C$113</f>
        <v>#DIV/0!</v>
      </c>
      <c r="FS58" s="198" t="e">
        <f t="shared" ca="1" si="35"/>
        <v>#N/A</v>
      </c>
      <c r="FT58" s="161">
        <f t="shared" ca="1" si="152"/>
        <v>53</v>
      </c>
      <c r="FU58" s="162" t="e">
        <f ca="1">IF(Control!$B$34=1,VLOOKUP($CP58,Control!$B$86:$G$91,6),Control!$B$35)</f>
        <v>#N/A</v>
      </c>
      <c r="FV58" s="162" t="e">
        <f t="shared" ca="1" si="36"/>
        <v>#DIV/0!</v>
      </c>
      <c r="FW58" s="162" t="e">
        <f ca="1">IF(Control!$B$31=1,$FU58*$FV58,  $FU58)</f>
        <v>#N/A</v>
      </c>
      <c r="FX58" s="162" t="e">
        <f ca="1">IF(Control!$B$34=1,VLOOKUP($CP58,Control!$B$86:$G$91,3),Control!$B$36)</f>
        <v>#N/A</v>
      </c>
      <c r="FY58" s="162" t="e">
        <f t="shared" ca="1" si="37"/>
        <v>#N/A</v>
      </c>
      <c r="FZ58" s="162" t="e">
        <f ca="1">IF(Control!$B$34=1,VLOOKUP($CP58,Control!$B$86:$G$91,4),Control!$B$37)</f>
        <v>#N/A</v>
      </c>
      <c r="GA58" s="162" t="e">
        <f t="shared" ca="1" si="38"/>
        <v>#N/A</v>
      </c>
      <c r="GB58" s="162" t="e">
        <f ca="1">IF(Control!$B$34=1,VLOOKUP($CP58,Control!$B$86:$G$91,5),Control!$B$38)</f>
        <v>#N/A</v>
      </c>
      <c r="GC58" s="162" t="e">
        <f t="shared" ca="1" si="153"/>
        <v>#N/A</v>
      </c>
      <c r="GD58" s="162">
        <f t="shared" ca="1" si="39"/>
        <v>1</v>
      </c>
      <c r="GE58" s="162">
        <f t="shared" ca="1" si="40"/>
        <v>1</v>
      </c>
      <c r="GF58" s="162">
        <f ca="1">IF(AND(Control!$C$104=1, Control!$C$62="F"),$GE58,1)</f>
        <v>1</v>
      </c>
      <c r="GG58" s="162" t="e">
        <f ca="1">IF(Control!$B$16=40,0,IF(AND(Control!$B$16&gt;40,Control!$B$16&lt;=360),(Control!$B$16-40)*((1-0)/(360-40)),IF(AND(Control!$B$16&gt;360,Control!$B$16&lt;=720),(1+(Control!$B$16-360)*((1.25-1)/(720-360))),IF(AND(Control!$B$16&gt;720,Control!$B$16&lt;=1000),(1.25+(Control!$B$16-720)*((1.35-1.25)/(1000-720))),IF(AND(Control!$B$16&gt;1000,Control!$B$16&lt;=2000),(1.35+(Control!$B$16-1000)*0))))))</f>
        <v>#N/A</v>
      </c>
      <c r="GH58" s="162" t="e">
        <f t="shared" ca="1" si="41"/>
        <v>#N/A</v>
      </c>
      <c r="GI58" s="162">
        <f t="shared" ca="1" si="201"/>
        <v>0</v>
      </c>
      <c r="GJ58" s="162">
        <f t="shared" ca="1" si="42"/>
        <v>0</v>
      </c>
      <c r="GK58" s="162">
        <f t="shared" ca="1" si="220"/>
        <v>1</v>
      </c>
      <c r="GL58" s="162">
        <f t="shared" ca="1" si="43"/>
        <v>1</v>
      </c>
      <c r="GM58" s="162" t="e">
        <f ca="1">MAX(0,MIN(1,1-Control!$C$156*(1.0001-$KH58)^2))</f>
        <v>#N/A</v>
      </c>
      <c r="GN58" s="162" t="e">
        <f ca="1">IF(Control!$B$26=1,$KU58,$KX58)</f>
        <v>#N/A</v>
      </c>
      <c r="GO58" s="162" t="e">
        <f ca="1">IF($CP58&lt;=60,Control!$C$105,IF($CP58&gt;=90,Control!$C$106,Control!$C$105+($CP58-60)*((Control!$C$106-Control!$C$105)/(90-60))))</f>
        <v>#N/A</v>
      </c>
      <c r="GP58" s="162" t="e">
        <f t="shared" ca="1" si="154"/>
        <v>#N/A</v>
      </c>
      <c r="GQ58" s="162" t="e">
        <f t="shared" ca="1" si="155"/>
        <v>#N/A</v>
      </c>
      <c r="GR58" s="163" t="e">
        <f t="shared" ca="1" si="44"/>
        <v>#DIV/0!</v>
      </c>
      <c r="GS58" s="162" t="e">
        <f t="shared" ca="1" si="45"/>
        <v>#DIV/0!</v>
      </c>
      <c r="GT58" s="164" t="e">
        <f t="shared" ca="1" si="156"/>
        <v>#N/A</v>
      </c>
      <c r="GU58" s="162" t="e">
        <f t="shared" ca="1" si="157"/>
        <v>#N/A</v>
      </c>
      <c r="GV58" s="162" t="e">
        <f t="shared" ca="1" si="46"/>
        <v>#N/A</v>
      </c>
      <c r="GW58" s="162" t="e">
        <f t="shared" ca="1" si="221"/>
        <v>#DIV/0!</v>
      </c>
      <c r="GX58" s="162" t="e">
        <f t="shared" ca="1" si="228"/>
        <v>#DIV/0!</v>
      </c>
      <c r="GY58" s="162" t="e">
        <f t="shared" ca="1" si="158"/>
        <v>#DIV/0!</v>
      </c>
      <c r="GZ58" s="165" t="e">
        <f t="shared" ca="1" si="159"/>
        <v>#N/A</v>
      </c>
      <c r="HA58" s="162" t="e">
        <f ca="1">IF(Control!$C$114=1, $DI58*$FS58, 0)</f>
        <v>#N/A</v>
      </c>
      <c r="HB58" s="162" t="e">
        <f ca="1">$FA58/Control!$C$64</f>
        <v>#N/A</v>
      </c>
      <c r="HC58" s="162" t="e">
        <f t="shared" ca="1" si="222"/>
        <v>#DIV/0!</v>
      </c>
      <c r="HD58" s="162">
        <f ca="1">-ASIN(SIN(23.45*Control!$C$139)*COS(2*Control!$C$138*($AH58+10)/365))</f>
        <v>-0.18707372796612198</v>
      </c>
      <c r="HE58" s="165">
        <f t="shared" ca="1" si="160"/>
        <v>0</v>
      </c>
      <c r="HF58" s="166">
        <f ca="1">IF(AND(Control!$C$61="T",$HE58&gt;=Control!$C$103,Control!$C$114=0),$AH58,Control!$C$59)</f>
        <v>1</v>
      </c>
      <c r="HG58" s="166">
        <f ca="1">IF(AND(Control!$C$61="T",$HE58&gt;=Control!$C$103,Control!$C$114=0),$HF58,Control!$C$59)</f>
        <v>1</v>
      </c>
      <c r="HH58" s="165">
        <f ca="1">IF(AND(OR(Control!$C$60&lt;=0, $AH58= Control!$C$59, Control!$C$60 &gt;0, $AH58 = Control!$C$60)), Control!$C$59, IF(Control!$C$60&gt;0, 0))</f>
        <v>1</v>
      </c>
      <c r="HI58" s="165">
        <f ca="1">IF(AND(OR(Control!$C$60&lt;=0, $AH58= Control!$C$59, Control!$C$60 &gt;0, $AH58 = Control!$C$60)), Control!$C$60, IF(Control!$C$60&lt;=0, 0))</f>
        <v>0</v>
      </c>
      <c r="HJ58" s="166">
        <f ca="1">IF(AND(Control!$C$62="F",$CV58&gt;=Control!$C$102),$AH58,0)</f>
        <v>0</v>
      </c>
      <c r="HK58" s="165" t="e">
        <f t="shared" ca="1" si="202"/>
        <v>#N/A</v>
      </c>
      <c r="HL58" s="166">
        <f ca="1">IF(AND(Control!$C$61="T",$HE58&gt;=Control!$C$103,Control!$C$114=0),$HF58,0)</f>
        <v>0</v>
      </c>
      <c r="HM58" s="201" t="e">
        <f t="shared" ca="1" si="47"/>
        <v>#DIV/0!</v>
      </c>
      <c r="HN58" s="215">
        <f t="shared" ca="1" si="161"/>
        <v>53</v>
      </c>
      <c r="HO58" s="216" t="e">
        <f ca="1">IF(AND($CP58&gt;=0, $CP58&lt;=90), Control!$C$152, Control!$C$152)</f>
        <v>#N/A</v>
      </c>
      <c r="HP58" s="216" t="e">
        <f t="shared" ca="1" si="48"/>
        <v>#N/A</v>
      </c>
      <c r="HQ58" s="217" t="e">
        <f ca="1">IF(OR(Control!$B$26=1,Control!$B$26=2),$KV58,$KS58)</f>
        <v>#DIV/0!</v>
      </c>
      <c r="HR58" s="218" t="e">
        <f t="shared" ca="1" si="223"/>
        <v>#DIV/0!</v>
      </c>
      <c r="HS58" s="216" t="e">
        <f ca="1">Control!$C$154*$HP58</f>
        <v>#N/A</v>
      </c>
      <c r="HT58" s="216" t="e">
        <f ca="1">Control!$C$155*$HP58</f>
        <v>#N/A</v>
      </c>
      <c r="HU58" s="217" t="e">
        <f ca="1">Control!$C$161*$FI58</f>
        <v>#N/A</v>
      </c>
      <c r="HV58" s="218" t="e">
        <f t="shared" ca="1" si="162"/>
        <v>#N/A</v>
      </c>
      <c r="HW58" s="218" t="e">
        <f ca="1">Control!$C$160*$FF58+$IP58*$EO58</f>
        <v>#N/A</v>
      </c>
      <c r="HX58" s="218" t="e">
        <f t="shared" ca="1" si="203"/>
        <v>#N/A</v>
      </c>
      <c r="HY58" s="219" t="e">
        <f ca="1">IF(Control!$C$114=1, $EB58*$FS58, 0)</f>
        <v>#N/A</v>
      </c>
      <c r="HZ58" s="91" t="e">
        <f t="shared" ca="1" si="49"/>
        <v>#N/A</v>
      </c>
      <c r="IA58" s="220" t="e">
        <f ca="1">Control!$C$153*$HO58</f>
        <v>#N/A</v>
      </c>
      <c r="IB58" s="218" t="e">
        <f t="shared" ca="1" si="50"/>
        <v>#N/A</v>
      </c>
      <c r="IC58" s="220" t="e">
        <f ca="1">Control!$C$153*$HT58</f>
        <v>#N/A</v>
      </c>
      <c r="ID58" s="218" t="e">
        <f t="shared" ca="1" si="51"/>
        <v>#N/A</v>
      </c>
      <c r="IE58" s="221" t="e">
        <f ca="1">($EB58*Control!$C$159+$EF58*Control!$C$160)/(IF($GZ58&lt;&gt;0,$GZ58,1))</f>
        <v>#N/A</v>
      </c>
      <c r="IF58" s="216" t="e">
        <f t="shared" ca="1" si="52"/>
        <v>#N/A</v>
      </c>
      <c r="IG58" s="91">
        <f ca="1">IF(OR(Control!$B$198=$AH58,Control!$B$199=$AH58, Control!$B$200=$AH58, Control!$B$201=$AH58, Control!$B$202=$AH58, Control!$B$203=$AH58, Control!$B$204=$AH58, Control!$B$205=$AH58, Control!$B$206=$AH58, Control!$B$207=$AH58), 1, 0)</f>
        <v>0</v>
      </c>
      <c r="IH58" s="91">
        <f ca="1">IF($IG58=0,0, VLOOKUP($AH58,Control!$B$198:$C$207,2))</f>
        <v>0</v>
      </c>
      <c r="II58" s="222">
        <f t="shared" ca="1" si="163"/>
        <v>0</v>
      </c>
      <c r="IJ58" s="91">
        <f>Control!$C$121</f>
        <v>0.7</v>
      </c>
      <c r="IK58" s="218">
        <f t="shared" ca="1" si="53"/>
        <v>0</v>
      </c>
      <c r="IL58" s="217" t="e">
        <f t="shared" ca="1" si="204"/>
        <v>#N/A</v>
      </c>
      <c r="IM58" s="223" t="e">
        <f ca="1">IF(AND(Control!$C$114=1,$KH58&lt;1),$EB58*Control!$C$148*(1-$KH58), 0)</f>
        <v>#N/A</v>
      </c>
      <c r="IN58" s="217" t="e">
        <f t="shared" ca="1" si="54"/>
        <v>#DIV/0!</v>
      </c>
      <c r="IO58" s="91" t="e">
        <f ca="1">MAX(0,$IL58-$EF58*Control!$C$160)</f>
        <v>#N/A</v>
      </c>
      <c r="IP58" s="220" t="e">
        <f t="shared" ca="1" si="55"/>
        <v>#N/A</v>
      </c>
      <c r="IQ58" s="217" t="e">
        <f t="shared" ca="1" si="164"/>
        <v>#N/A</v>
      </c>
      <c r="IR58" s="218" t="e">
        <f t="shared" ca="1" si="56"/>
        <v>#N/A</v>
      </c>
      <c r="IS58" s="217" t="e">
        <f ca="1">Control!$C$159*MAX(0,$FD58-$EN58)</f>
        <v>#N/A</v>
      </c>
      <c r="IT58" s="217" t="e">
        <f t="shared" ca="1" si="205"/>
        <v>#N/A</v>
      </c>
      <c r="IU58" s="217" t="e">
        <f t="shared" ca="1" si="165"/>
        <v>#N/A</v>
      </c>
      <c r="IV58" s="217" t="e">
        <f t="shared" ca="1" si="206"/>
        <v>#N/A</v>
      </c>
      <c r="IW58" s="217" t="e">
        <f ca="1">IF(OR($AW58=1,AND($AW58=0, Control!$B$18=1,$EN58&lt;&gt;0)), $IQ58-$IU58, $IQ58)</f>
        <v>#N/A</v>
      </c>
      <c r="IX58" s="218" t="e">
        <f t="shared" ca="1" si="57"/>
        <v>#N/A</v>
      </c>
      <c r="IY58" s="218" t="e">
        <f ca="1">MAX(0,$IQ58-$EB58*Control!$C$159)</f>
        <v>#N/A</v>
      </c>
      <c r="IZ58" s="218" t="e">
        <f t="shared" ca="1" si="58"/>
        <v>#N/A</v>
      </c>
      <c r="JA58" s="216" t="e">
        <f t="shared" ca="1" si="59"/>
        <v>#N/A</v>
      </c>
      <c r="JB58" s="217" t="e">
        <f t="shared" ca="1" si="60"/>
        <v>#N/A</v>
      </c>
      <c r="JC58" s="222" t="e">
        <f ca="1">MAX(Control!$C$157*$EK58-$JT58, 0)/Control!$C$162</f>
        <v>#N/A</v>
      </c>
      <c r="JD58" s="218" t="e">
        <f t="shared" ca="1" si="61"/>
        <v>#N/A</v>
      </c>
      <c r="JE58" s="218" t="e">
        <f t="shared" ca="1" si="62"/>
        <v>#N/A</v>
      </c>
      <c r="JF58" s="218" t="e">
        <f t="shared" ca="1" si="207"/>
        <v>#N/A</v>
      </c>
      <c r="JG58" s="218" t="e">
        <f t="shared" ca="1" si="63"/>
        <v>#N/A</v>
      </c>
      <c r="JH58" s="217" t="e">
        <f t="shared" ca="1" si="166"/>
        <v>#N/A</v>
      </c>
      <c r="JI58" s="217" t="e">
        <f t="shared" ca="1" si="167"/>
        <v>#N/A</v>
      </c>
      <c r="JJ58" s="217" t="e">
        <f t="shared" ca="1" si="224"/>
        <v>#N/A</v>
      </c>
      <c r="JK58" s="217" t="e">
        <f ca="1">IF(Control!$C$114=1,IF(Control!$B$24=0,MAX(0,$JI58)*$GN58/Control!$C$64,(MAX(0,MIN($JI58,$JJ58*$GN58/Control!$C$64),0))))</f>
        <v>#N/A</v>
      </c>
      <c r="JL58" s="217" t="e">
        <f ca="1">$IK58/Control!$C$64-$JK58+$HQ58</f>
        <v>#N/A</v>
      </c>
      <c r="JM58" s="217" t="e">
        <f ca="1">IF(Control!$C$114=1,($JB58/(IF($JI58&lt;&gt;0,$JI58,1)))*$JK58,0)</f>
        <v>#N/A</v>
      </c>
      <c r="JN58" s="217" t="e">
        <f ca="1">IF(Control!$C$114=1,($JG58/(IF($JI58&lt;&gt;0,$JI58,1)))*$JK58, 0)</f>
        <v>#N/A</v>
      </c>
      <c r="JO58" s="218" t="e">
        <f t="shared" ca="1" si="64"/>
        <v>#N/A</v>
      </c>
      <c r="JP58" s="218" t="e">
        <f ca="1">MIN(($IY58+$IO58)*Control!$C$151, $JF58-$EH58*Control!$C$161)</f>
        <v>#N/A</v>
      </c>
      <c r="JQ58" s="218" t="e">
        <f t="shared" ca="1" si="65"/>
        <v>#N/A</v>
      </c>
      <c r="JR58" s="217" t="e">
        <f ca="1">IF($CP58-Control!$C$150&lt;0, 0, $JQ58/Control!$C$162)</f>
        <v>#N/A</v>
      </c>
      <c r="JS58" s="218" t="e">
        <f t="shared" ca="1" si="66"/>
        <v>#N/A</v>
      </c>
      <c r="JT58" s="218" t="e">
        <f t="shared" ca="1" si="168"/>
        <v>#N/A</v>
      </c>
      <c r="JU58" s="218" t="e">
        <f t="shared" ca="1" si="67"/>
        <v>#N/A</v>
      </c>
      <c r="JV58" s="218" t="e">
        <f t="shared" ca="1" si="68"/>
        <v>#N/A</v>
      </c>
      <c r="JW58" s="216" t="e">
        <f t="shared" ca="1" si="69"/>
        <v>#N/A</v>
      </c>
      <c r="JX58" s="91" t="e">
        <f t="shared" ca="1" si="70"/>
        <v>#N/A</v>
      </c>
      <c r="JY58" s="218" t="e">
        <f t="shared" ca="1" si="71"/>
        <v>#N/A</v>
      </c>
      <c r="JZ58" s="217" t="e">
        <f ca="1">IF(Control!$C$114=1,($IZ58/(IF($JI58&lt;&gt;0,$JI58,1)))*$JK58, 0)</f>
        <v>#N/A</v>
      </c>
      <c r="KA58" s="218" t="e">
        <f t="shared" ca="1" si="225"/>
        <v>#N/A</v>
      </c>
      <c r="KB58" s="218" t="e">
        <f t="shared" ca="1" si="169"/>
        <v>#N/A</v>
      </c>
      <c r="KC58" s="218" t="e">
        <f t="shared" ca="1" si="72"/>
        <v>#N/A</v>
      </c>
      <c r="KD58" s="218" t="e">
        <f t="shared" ca="1" si="73"/>
        <v>#N/A</v>
      </c>
      <c r="KE58" s="218" t="e">
        <f t="shared" ca="1" si="74"/>
        <v>#N/A</v>
      </c>
      <c r="KF58" s="218" t="e">
        <f t="shared" ca="1" si="75"/>
        <v>#N/A</v>
      </c>
      <c r="KG58" s="216" t="e">
        <f t="shared" ca="1" si="76"/>
        <v>#N/A</v>
      </c>
      <c r="KH58" s="221" t="e">
        <f ca="1">IF(Control!$B$24=0,1,MAX(0.001,MIN(1,IF(($IF58-$IE58)&lt;&gt;0,($KG58-$IE58)/($IF58-$IE58),1))))</f>
        <v>#N/A</v>
      </c>
      <c r="KI58" s="222" t="e">
        <f ca="1">IF(Control!$C$114=1, $KI57+ $KH57, 0)</f>
        <v>#N/A</v>
      </c>
      <c r="KJ58" s="217" t="e">
        <f t="shared" ca="1" si="77"/>
        <v>#N/A</v>
      </c>
      <c r="KK58" s="218" t="e">
        <f t="shared" ca="1" si="78"/>
        <v>#N/A</v>
      </c>
      <c r="KL58" s="274" t="e">
        <f ca="1">IF(Control!$B$26=3,4000000000*EXP(-8400/($G58+273)),IF(Control!$B$26=4,4000000000*EXP(-8400/($G58+273))*($KT58),0))</f>
        <v>#DIV/0!</v>
      </c>
      <c r="KM58" s="274" t="e">
        <f ca="1">IF(Control!$B$26=3,5600000000000*EXP(-9800/($G58+273)),IF(Control!$B$26=4,5600000000000*EXP(-9800/($G58+273))*$KT58,0))</f>
        <v>#DIV/0!</v>
      </c>
      <c r="KN58" s="454" t="e">
        <f t="shared" ca="1" si="170"/>
        <v>#DIV/0!</v>
      </c>
      <c r="KO58" s="274" t="e">
        <f t="shared" ca="1" si="171"/>
        <v>#DIV/0!</v>
      </c>
      <c r="KP58" s="454" t="e">
        <f t="shared" ca="1" si="79"/>
        <v>#DIV/0!</v>
      </c>
      <c r="KQ58" s="454" t="e">
        <f t="shared" ca="1" si="80"/>
        <v>#DIV/0!</v>
      </c>
      <c r="KR58" s="454" t="e">
        <f t="shared" ca="1" si="81"/>
        <v>#DIV/0!</v>
      </c>
      <c r="KS58" s="454" t="e">
        <f t="shared" ca="1" si="82"/>
        <v>#DIV/0!</v>
      </c>
      <c r="KT58" s="455" t="e">
        <f t="shared" ca="1" si="83"/>
        <v>#DIV/0!</v>
      </c>
      <c r="KU58" s="456" t="e">
        <f ca="1">IF($CP58-Control!$C$149&lt;0, IF($NT58-0.01&lt;0,0,1),0)</f>
        <v>#N/A</v>
      </c>
      <c r="KV58" s="456" t="e">
        <f ca="1">IF(Control!$C$114=1,MAX(0,MIN(Control!$C$125*$KW58*$GN58,$KW58)))</f>
        <v>#DIV/0!</v>
      </c>
      <c r="KW58" s="456" t="e">
        <f t="shared" ca="1" si="208"/>
        <v>#DIV/0!</v>
      </c>
      <c r="KX58" s="457" t="e">
        <f ca="1">IF($CP58-Control!$C$149&lt;0, IF($MR58-$OM58&lt;0,0,1),0)</f>
        <v>#N/A</v>
      </c>
      <c r="KY58" s="167">
        <f t="shared" ca="1" si="172"/>
        <v>53</v>
      </c>
      <c r="KZ58" s="168">
        <f ca="1">1370*(1+0.033*COS(2*Control!$C$138*$AH58/365))</f>
        <v>1397.6633079109952</v>
      </c>
      <c r="LA58" s="169">
        <f t="shared" ca="1" si="173"/>
        <v>1.020192251241868</v>
      </c>
      <c r="LB58" s="169">
        <f t="shared" ca="1" si="174"/>
        <v>-0.18801356083243778</v>
      </c>
      <c r="LC58" s="169">
        <f ca="1">ACOS(-TAN((2*Control!$B$8/360))*TAN(Calculations!$LB58))</f>
        <v>1.5142200705804925</v>
      </c>
      <c r="LD58" s="169">
        <f ca="1">((24*60)/PI())*0.082*$LA58*(($LC58*SIN(Control!$B$8*2*PI()/360))*SIN($LB58)+COS(Control!$B$8*2*PI()/360)*COS($LB58)*SIN($LC58))</f>
        <v>14.602602259134045</v>
      </c>
      <c r="LE58" s="170">
        <f t="shared" ca="1" si="84"/>
        <v>15.076526010424137</v>
      </c>
      <c r="LF58" s="170">
        <f ca="1">SIN(Control!$C$139*Control!$B$8)*SIN($HD58)</f>
        <v>-0.14655801242027586</v>
      </c>
      <c r="LG58" s="170">
        <f ca="1">COS(Control!$C$139*Control!$B$8)*COS($HD58)</f>
        <v>0.60491819078572073</v>
      </c>
      <c r="LH58" s="170">
        <f ca="1">12*(1+2*ASIN(MAX(-1,MIN(1,$LF58/$LG58))/Control!$C$138))</f>
        <v>10.147301706858443</v>
      </c>
      <c r="LI58" s="170">
        <f ca="1">12*(1+2*ASIN(MAX(-1,MIN(1,(-SIN(-4*Control!$C$139)+$LF58)/$LG58))/Control!$C$138))</f>
        <v>11.029822952818824</v>
      </c>
      <c r="LJ58" s="168">
        <f ca="1">3600*($LH58*$LF58+24*$LG58*SQRT(1-$LK58*$LK58)/Control!$C$138)</f>
        <v>10786.951281534413</v>
      </c>
      <c r="LK58" s="170">
        <f t="shared" ca="1" si="85"/>
        <v>-0.24227740982613447</v>
      </c>
      <c r="LL58" s="170">
        <f t="shared" ca="1" si="86"/>
        <v>0</v>
      </c>
      <c r="LM58" s="171">
        <f ca="1">Control!$C$145*$AB58</f>
        <v>6.6660906138995932E-2</v>
      </c>
      <c r="LN58" s="170">
        <f t="shared" ca="1" si="175"/>
        <v>0.54</v>
      </c>
      <c r="LO58" s="170">
        <f t="shared" ca="1" si="87"/>
        <v>0</v>
      </c>
      <c r="LP58" s="170">
        <f ca="1">Control!$C$140*((($D58+273.16)^4+($E58+273.16)^4)/2)*(0.34-0.14*SQRT($Y58))*(1.35*$AQ58/(0.75*$LD58)-0.35)</f>
        <v>-3.2464704755046001</v>
      </c>
      <c r="LQ58" s="170">
        <f ca="1">Control!$C$140*($G58+273)^4*(0.56-0.079*SQRT($Y58*10))*(0.1+0.9*$LO58)</f>
        <v>1.5241745131704001</v>
      </c>
      <c r="LR58" s="170">
        <f ca="1">$AQ58*(1-Control!$C$142)-$LQ58</f>
        <v>-1.5241745131704001</v>
      </c>
      <c r="LS58" s="170">
        <f ca="1">$AQ58*(1-Control!$C$143)-$LQ58</f>
        <v>-1.5241745131704001</v>
      </c>
      <c r="LT58" s="170">
        <f ca="1">$AQ58*(1-Control!$C$144)-$LQ58</f>
        <v>-1.5241745131704001</v>
      </c>
      <c r="LU58" s="169">
        <f ca="1">(1-Control!$C$144)*AQ58-LP58</f>
        <v>3.2464704755046001</v>
      </c>
      <c r="LV58" s="172">
        <f t="shared" ca="1" si="88"/>
        <v>0.79430000000000012</v>
      </c>
      <c r="LW58" s="170">
        <f t="shared" ca="1" si="89"/>
        <v>1.5886000000000002</v>
      </c>
      <c r="LX58" s="170">
        <f ca="1">($AC58*($LR58/Control!$C$141)+$LM58*$LV58)/($AC58+$LM58)</f>
        <v>0.23530094218323697</v>
      </c>
      <c r="LY58" s="170">
        <f ca="1">($AC58*($LS58/Control!$C$141)+$LM58*$LV58)/($AC58+$LM58)</f>
        <v>0.23530094218323697</v>
      </c>
      <c r="LZ58" s="170">
        <f t="shared" ca="1" si="90"/>
        <v>0.23530094218323697</v>
      </c>
      <c r="MA58" s="170">
        <f t="shared" ca="1" si="91"/>
        <v>0.23530094218323697</v>
      </c>
      <c r="MB58" s="170" t="e">
        <f t="shared" ca="1" si="92"/>
        <v>#N/A</v>
      </c>
      <c r="MC58" s="170">
        <f t="shared" ca="1" si="176"/>
        <v>0.6018</v>
      </c>
      <c r="MD58" s="170">
        <f t="shared" ca="1" si="93"/>
        <v>0.52989392535414004</v>
      </c>
      <c r="ME58" s="170">
        <f ca="1">($AC58*($LT58/Control!$C$141)+$LM58*$LW58)/($AC58+$LM58)</f>
        <v>0.71612369323045078</v>
      </c>
      <c r="MF58" s="170" t="e">
        <f ca="1">IF(Control!$B$16&gt;=1000,0.92,IF(AND(720&lt;=Control!$B$16,1000&gt;Control!$B$16),(0.95+(Control!$B$16-720)*((0.92-0.95)/(1000-720))),IF(AND(360&lt;=Control!$B$16,720&gt;Control!$B$16),(1+(Control!$B$16-360)*((0.95-1)/(720-360))),IF(AND(40&lt;=Control!$B$16,360&gt;Control!$B$16),(1.05+(Control!$B$16-40)*((1.05-1)/(360-40)))))))</f>
        <v>#N/A</v>
      </c>
      <c r="MG58" s="170">
        <f t="shared" ca="1" si="94"/>
        <v>0.71612369323045078</v>
      </c>
      <c r="MH58" s="170" t="e">
        <f t="shared" ca="1" si="232"/>
        <v>#N/A</v>
      </c>
      <c r="MI58" s="170" t="e">
        <f t="shared" ca="1" si="232"/>
        <v>#N/A</v>
      </c>
      <c r="MJ58" s="170" t="e">
        <f ca="1">MAX(0.0001, Control!$C$132*$MI58*$DL58)</f>
        <v>#N/A</v>
      </c>
      <c r="MK58" s="170">
        <f ca="1">1/(0.76+1.5*($MG58/10))-(5-Control!$C$110)*0.1</f>
        <v>1.002845988140797</v>
      </c>
      <c r="ML58" s="173">
        <f ca="1">IF(Control!$C$110&lt;3,$MK58+($MG58-0.6)/(Control!$C$110*(Control!$C$110+3)), MAX(0.1, MIN(0.95,$MK58)))</f>
        <v>0.95</v>
      </c>
      <c r="MM58" s="173">
        <f ca="1">IF(Control!$C$110&lt;3,$MK58+(($MI58/10)-0.6)/(Control!$C$110*(Control!$C$110+3)), MAX(0.1, MIN(0.95,$MK58)))</f>
        <v>0.95</v>
      </c>
      <c r="MN58" s="173">
        <f ca="1">(1-$MM58)*(Control!$C$128-Control!$C$127)+Control!$C$127</f>
        <v>0.16</v>
      </c>
      <c r="MO58" s="170" t="e">
        <f ca="1">MAX(0,MIN(1,($MS58-Control!$C$127)/($MN58-Control!$C$127)))</f>
        <v>#DIV/0!</v>
      </c>
      <c r="MP58" s="173" t="e">
        <f ca="1">1/(0.76+1.5*$MI58)-(5-Control!$C$110)*0.1</f>
        <v>#N/A</v>
      </c>
      <c r="MQ58" s="172" t="e">
        <f t="shared" ca="1" si="209"/>
        <v>#DIV/0!</v>
      </c>
      <c r="MR58" s="168" t="e">
        <f t="shared" ca="1" si="226"/>
        <v>#DIV/0!</v>
      </c>
      <c r="MS58" s="173" t="e">
        <f ca="1">MAX(Control!$C$127, MIN(Control!$C$135, $MR58/MAX(0.0001,$CY58)))</f>
        <v>#DIV/0!</v>
      </c>
      <c r="MT58" s="168" t="e">
        <f ca="1">(Control!$C$128-$MS58)*Control!$C$74</f>
        <v>#DIV/0!</v>
      </c>
      <c r="MU58" s="168" t="e">
        <f ca="1">(Control!$C$135-$MS58)*Control!$C$74</f>
        <v>#DIV/0!</v>
      </c>
      <c r="MV58" s="168" t="e">
        <f t="shared" ca="1" si="210"/>
        <v>#DIV/0!</v>
      </c>
      <c r="MW58" s="168" t="e">
        <f t="shared" ca="1" si="177"/>
        <v>#DIV/0!</v>
      </c>
      <c r="MX58" s="171" t="e">
        <f ca="1">MAX(Control!$C$127, MIN(Control!$C$135, $MW58/MAX(0.0001,Control!$C$119-$CY58)))</f>
        <v>#DIV/0!</v>
      </c>
      <c r="MY58" s="54" t="e">
        <f ca="1">IF(Control!$C$114=1, $CX58*$MX58, 0)</f>
        <v>#DIV/0!</v>
      </c>
      <c r="MZ58" s="54" t="e">
        <f t="shared" ca="1" si="178"/>
        <v>#N/A</v>
      </c>
      <c r="NA58" s="168" t="e">
        <f ca="1">(Control!$C$128-$MX58)*(Control!$C$119-Control!$C$74)</f>
        <v>#DIV/0!</v>
      </c>
      <c r="NB58" s="168" t="e">
        <f ca="1">(Control!$C$135-$MX58)*(Control!$C$119-Control!$C$74)</f>
        <v>#DIV/0!</v>
      </c>
      <c r="NC58" s="174" t="e">
        <f t="shared" ca="1" si="179"/>
        <v>#DIV/0!</v>
      </c>
      <c r="ND58" s="54">
        <f ca="1">IF(Control!$C$58=2, IF(OR(Control!$B$218=$AH58,Control!$B$219=$AH58, Control!$B$220=$AH58, Control!$B$221=$AH58, Control!$B$222=$AH58, Control!$B$223=$AH58, Control!$B$224=$AH58, Control!$B$225=$AH58, Control!$B$226=$AH58, Control!$B$227=$AH58, Control!$B$228=$AH58), 1, 0), 0)</f>
        <v>0</v>
      </c>
      <c r="NE58" s="54">
        <f ca="1">IF($ND58=0,0, VLOOKUP($AH58,Control!$B$218:$C$228,2))</f>
        <v>0</v>
      </c>
      <c r="NF58" s="168" t="e">
        <f ca="1">$CY58*(Control!$C$128-Control!$C$127)</f>
        <v>#N/A</v>
      </c>
      <c r="NG58" s="54" t="e">
        <f ca="1">IF(Control!$C$58=2, $NI57-$NJ57, 0)</f>
        <v>#DIV/0!</v>
      </c>
      <c r="NH58" s="54" t="e">
        <f ca="1">IF(AND(Control!$C$58=1, $MS57&lt;= ($MN57+0.02), $I57&lt;10), 0, IF(Control!$C$58=2, $NG57, 0))</f>
        <v>#DIV/0!</v>
      </c>
      <c r="NI58" s="54" t="e">
        <f ca="1">IF(Control!$C$58=2, $NE58+$NH58,0)</f>
        <v>#DIV/0!</v>
      </c>
      <c r="NJ58" s="54" t="e">
        <f ca="1">IF(AND(Control!$C$58=1, $MS58&lt;= ($MN58+0.02), $I58&lt;10), MAX(0, MIN(10, 0.7*($NF58-$MV58))), IF(Control!$C$58=2, MIN(10,$NI58),0))</f>
        <v>#DIV/0!</v>
      </c>
      <c r="NK58" s="54" t="e">
        <f t="shared" ca="1" si="96"/>
        <v>#DIV/0!</v>
      </c>
      <c r="NL58" s="173" t="e">
        <f ca="1">(1-Control!$C$73)*$I58+$NJ58</f>
        <v>#DIV/0!</v>
      </c>
      <c r="NM58" s="172" t="e">
        <f ca="1">IF($NL58&lt;0.5, $MB58* MAX(0, MIN(1, (SQRT($NC58)-SQRT($NC58-1))*Control!$C$71)),0)</f>
        <v>#DIV/0!</v>
      </c>
      <c r="NN58" s="170" t="e">
        <f ca="1">IF($NL58&gt;=5, $MB58, MAX(0,MIN($MB58, $NM58+$NL58,($MS58-Control!$C$129))))</f>
        <v>#DIV/0!</v>
      </c>
      <c r="NO58" s="54">
        <f>IF(Control!$C$133&lt;&gt;1, Control!$C$135-Control!$C$131, 0)</f>
        <v>0.38</v>
      </c>
      <c r="NP58" s="54" t="e">
        <f t="shared" ca="1" si="97"/>
        <v>#DIV/0!</v>
      </c>
      <c r="NQ58" s="173" t="e">
        <f ca="1">MAX(0,MIN(1,(Control!$C$135-$MS58)/(Control!$C$135-$NO58)))</f>
        <v>#DIV/0!</v>
      </c>
      <c r="NR58" s="170" t="e">
        <f ca="1">IF(Control!$C$133&lt;&gt;1, $NQ58+((1-$NP58/4)*(1-$NQ58)),1)</f>
        <v>#DIV/0!</v>
      </c>
      <c r="NS58" s="170" t="e">
        <f ca="1">IF(Control!$B$31=0,$MJ58,MAX(0,MIN($MV58,$MO58*$NR58*$MJ58)))</f>
        <v>#DIV/0!</v>
      </c>
      <c r="NT58" s="170" t="e">
        <f t="shared" ca="1" si="227"/>
        <v>#DIV/0!</v>
      </c>
      <c r="NU58" s="170" t="e">
        <f t="shared" ca="1" si="180"/>
        <v>#N/A</v>
      </c>
      <c r="NV58" s="170" t="e">
        <f t="shared" ca="1" si="98"/>
        <v>#N/A</v>
      </c>
      <c r="NW58" s="175" t="e">
        <f t="shared" ca="1" si="99"/>
        <v>#DIV/0!</v>
      </c>
      <c r="NX58" s="170" t="e">
        <f ca="1">MIN(Control!$C$72+$MU58, $NW58)</f>
        <v>#DIV/0!</v>
      </c>
      <c r="NY58" s="170" t="e">
        <f ca="1">IF($MT58&lt;=$NX58,MIN(Control!$C$72+$NB58,$NX58-$MT58),0)</f>
        <v>#DIV/0!</v>
      </c>
      <c r="NZ58" s="54" t="e">
        <f ca="1">IF(Control!$C$114=1,  $CX58*($MX58-Control!$C$127), 0)</f>
        <v>#DIV/0!</v>
      </c>
      <c r="OA58" s="170" t="e">
        <f t="shared" ca="1" si="181"/>
        <v>#DIV/0!</v>
      </c>
      <c r="OB58" s="170" t="e">
        <f ca="1">IF($NA58 &lt;=$NY58, MIN(Control!$C$72, $NY58-$NA58), 0)</f>
        <v>#DIV/0!</v>
      </c>
      <c r="OC58" s="168" t="e">
        <f t="shared" ca="1" si="100"/>
        <v>#DIV/0!</v>
      </c>
      <c r="OD58" s="168" t="e">
        <f t="shared" ca="1" si="182"/>
        <v>#DIV/0!</v>
      </c>
      <c r="OE58" s="170">
        <f ca="1">Control!$C$73*$I58</f>
        <v>0</v>
      </c>
      <c r="OF58" s="176" t="e">
        <f t="shared" ca="1" si="101"/>
        <v>#DIV/0!</v>
      </c>
      <c r="OG58" s="168" t="e">
        <f t="shared" ca="1" si="102"/>
        <v>#DIV/0!</v>
      </c>
      <c r="OH58" s="168" t="e">
        <f t="shared" ca="1" si="103"/>
        <v>#DIV/0!</v>
      </c>
      <c r="OI58" s="168" t="e">
        <f t="shared" ca="1" si="104"/>
        <v>#DIV/0!</v>
      </c>
      <c r="OJ58" s="168" t="e">
        <f t="shared" ca="1" si="105"/>
        <v>#DIV/0!</v>
      </c>
      <c r="OK58" s="204" t="e">
        <f t="shared" ca="1" si="183"/>
        <v>#DIV/0!</v>
      </c>
      <c r="OL58" s="177">
        <f>Control!$C$127</f>
        <v>0.15</v>
      </c>
      <c r="OM58" s="182" t="e">
        <f t="shared" ca="1" si="106"/>
        <v>#N/A</v>
      </c>
      <c r="ON58" s="177">
        <f>Control!$C$128</f>
        <v>0.35</v>
      </c>
      <c r="OO58" s="182" t="e">
        <f t="shared" ca="1" si="107"/>
        <v>#N/A</v>
      </c>
      <c r="OP58" s="138">
        <f t="shared" ca="1" si="184"/>
        <v>0</v>
      </c>
      <c r="OQ58" s="138" t="e">
        <f t="shared" ca="1" si="211"/>
        <v>#DIV/0!</v>
      </c>
      <c r="OR58" s="138" t="e">
        <f t="shared" ca="1" si="185"/>
        <v>#DIV/0!</v>
      </c>
      <c r="OS58" s="137" t="e">
        <f t="shared" ca="1" si="212"/>
        <v>#DIV/0!</v>
      </c>
      <c r="OT58" s="139" t="e">
        <f t="shared" ca="1" si="213"/>
        <v>#DIV/0!</v>
      </c>
      <c r="OU58" s="138" t="e">
        <f t="shared" ca="1" si="214"/>
        <v>#N/A</v>
      </c>
      <c r="OV58" s="138" t="e">
        <f t="shared" ca="1" si="215"/>
        <v>#DIV/0!</v>
      </c>
      <c r="OW58" s="138" t="e">
        <f t="shared" ca="1" si="186"/>
        <v>#DIV/0!</v>
      </c>
      <c r="OX58" s="138" t="e">
        <f t="shared" ca="1" si="187"/>
        <v>#DIV/0!</v>
      </c>
      <c r="OY58" s="138" t="e">
        <f t="shared" ca="1" si="188"/>
        <v>#DIV/0!</v>
      </c>
      <c r="OZ58" s="138" t="e">
        <f t="shared" ca="1" si="108"/>
        <v>#DIV/0!</v>
      </c>
      <c r="PA58" s="138" t="e">
        <f t="shared" ca="1" si="109"/>
        <v>#DIV/0!</v>
      </c>
      <c r="PB58" s="55">
        <f>IF(Control!$C$61="T", IF(Control!$C$65="F", IF($AH$6-Control!$C$60&lt;0,0,1), IF(365+$AH$6-Control!$C$60&lt;0,0,1)),0)</f>
        <v>0</v>
      </c>
      <c r="PC58" s="55">
        <f ca="1">IF(Control!$C$65="F", IF($AH$6-$HF58&lt;0,0,1), IF(365+$AH$6-$HF58&lt;0,0,1))</f>
        <v>1</v>
      </c>
      <c r="PD58" s="444">
        <f>Control!$C$118</f>
        <v>1500</v>
      </c>
      <c r="PE58" s="180" t="e">
        <f t="shared" ca="1" si="110"/>
        <v>#N/A</v>
      </c>
      <c r="PF58" s="445">
        <f t="shared" ca="1" si="189"/>
        <v>0.71612369323045078</v>
      </c>
      <c r="PT58" s="186"/>
      <c r="PU58" s="186"/>
      <c r="PV58" s="94"/>
      <c r="PW58" s="94"/>
      <c r="PX58" s="94"/>
      <c r="PY58" s="94"/>
      <c r="PZ58" s="94"/>
      <c r="QA58" s="94"/>
      <c r="QB58" s="94"/>
      <c r="QC58" s="94"/>
      <c r="QD58" s="94"/>
      <c r="QE58" s="94"/>
      <c r="QF58" s="94"/>
      <c r="QG58" s="94"/>
      <c r="QH58" s="94"/>
      <c r="QI58" s="94"/>
      <c r="QJ58" s="94"/>
      <c r="QK58" s="94"/>
      <c r="QL58" s="94"/>
      <c r="QM58" s="94"/>
      <c r="QN58" s="94"/>
      <c r="QO58" s="94"/>
      <c r="QP58" s="94"/>
    </row>
    <row r="59" spans="1:458" s="2" customFormat="1" x14ac:dyDescent="0.2">
      <c r="A59" s="395">
        <v>23</v>
      </c>
      <c r="B59" s="396">
        <v>2</v>
      </c>
      <c r="C59" s="387">
        <f ca="1">Weather_data!$B58</f>
        <v>0</v>
      </c>
      <c r="D59" s="388">
        <f ca="1">Weather_data!$F58</f>
        <v>0</v>
      </c>
      <c r="E59" s="388">
        <f ca="1">Weather_data!$E58</f>
        <v>0</v>
      </c>
      <c r="F59" s="388">
        <f t="shared" ca="1" si="111"/>
        <v>0</v>
      </c>
      <c r="G59" s="388">
        <f ca="1">AVERAGE($D59:$E59)+Control!$B$9</f>
        <v>0</v>
      </c>
      <c r="H59" s="388">
        <f ca="1">Weather_data!$G58</f>
        <v>0</v>
      </c>
      <c r="I59" s="388">
        <f ca="1">Weather_data!$I58</f>
        <v>0</v>
      </c>
      <c r="J59" s="388">
        <f ca="1">Weather_data!$H58</f>
        <v>0</v>
      </c>
      <c r="K59" s="389">
        <f ca="1">Weather_data!$D58</f>
        <v>0</v>
      </c>
      <c r="L59" s="388" t="e">
        <f t="shared" ca="1" si="112"/>
        <v>#N/A</v>
      </c>
      <c r="M59" s="388" t="e">
        <f t="shared" ca="1" si="0"/>
        <v>#N/A</v>
      </c>
      <c r="N59" s="388">
        <f t="shared" ca="1" si="1"/>
        <v>-1.8785510630681811E-3</v>
      </c>
      <c r="O59" s="388">
        <f t="shared" ca="1" si="113"/>
        <v>1.8785510630681811E-2</v>
      </c>
      <c r="P59" s="390">
        <v>3</v>
      </c>
      <c r="Q59" s="388">
        <f ca="1">MAX($G59-Control!$C$107,0)</f>
        <v>0</v>
      </c>
      <c r="R59" s="388">
        <f t="shared" ca="1" si="114"/>
        <v>0</v>
      </c>
      <c r="S59" s="388">
        <f t="shared" ca="1" si="2"/>
        <v>0</v>
      </c>
      <c r="T59" s="388">
        <f t="shared" ca="1" si="3"/>
        <v>0</v>
      </c>
      <c r="U59" s="59">
        <f t="shared" ca="1" si="4"/>
        <v>0</v>
      </c>
      <c r="V59" s="391">
        <f ca="1">MAX(0,MIN(Control!$C$100-Control!$C$99,$G59-Control!$C$99)*Control!$C$63)</f>
        <v>0</v>
      </c>
      <c r="W59" s="388">
        <f t="shared" ca="1" si="190"/>
        <v>0</v>
      </c>
      <c r="X59" s="388">
        <f t="shared" ca="1" si="115"/>
        <v>0.6110000000000001</v>
      </c>
      <c r="Y59" s="388">
        <f t="shared" ca="1" si="116"/>
        <v>0</v>
      </c>
      <c r="Z59" s="388">
        <f t="shared" ca="1" si="117"/>
        <v>0.61058800000000002</v>
      </c>
      <c r="AA59" s="388">
        <f t="shared" ca="1" si="5"/>
        <v>0.6018</v>
      </c>
      <c r="AB59" s="388">
        <f ca="1">101.3*EXP(-0.034*Control!$C$66/($G59+273))</f>
        <v>100.69623283836242</v>
      </c>
      <c r="AC59" s="392">
        <f t="shared" ca="1" si="6"/>
        <v>4.3460251046025113E-2</v>
      </c>
      <c r="AD59" s="392">
        <f t="shared" ca="1" si="7"/>
        <v>4.4450382862832649E-2</v>
      </c>
      <c r="AE59" s="388">
        <f t="shared" ca="1" si="8"/>
        <v>0</v>
      </c>
      <c r="AF59" s="388">
        <f ca="1">MAX(0,$G59-Control!$C$92)</f>
        <v>0</v>
      </c>
      <c r="AG59" s="393">
        <f t="shared" ca="1" si="118"/>
        <v>54</v>
      </c>
      <c r="AH59" s="389">
        <f t="shared" ca="1" si="9"/>
        <v>54</v>
      </c>
      <c r="AI59" s="388">
        <f t="shared" ca="1" si="119"/>
        <v>-0.18088580552646336</v>
      </c>
      <c r="AJ59" s="388">
        <f ca="1">IF(Control!$C$60&lt;=0,$HH59,$HI59)</f>
        <v>1</v>
      </c>
      <c r="AK59" s="388">
        <f t="shared" ca="1" si="10"/>
        <v>-0.44756936434703903</v>
      </c>
      <c r="AL59" s="388">
        <f t="shared" ca="1" si="11"/>
        <v>-7.2128761297030043E-19</v>
      </c>
      <c r="AM59" s="388">
        <f t="shared" ca="1" si="12"/>
        <v>-0.44756936434703903</v>
      </c>
      <c r="AN59" s="388">
        <f t="shared" ca="1" si="13"/>
        <v>-0.17302009307231681</v>
      </c>
      <c r="AO59" s="388">
        <f ca="1">-0.10453/COS(Control!$B$8*PI()/180)*COS(AN59)</f>
        <v>-0.16724986185871302</v>
      </c>
      <c r="AP59" s="388">
        <f ca="1">ACOS(AO59-TAN(Control!$B$8*PI()/180)*TAN(AN59))</f>
        <v>1.5143239426009585</v>
      </c>
      <c r="AQ59" s="388">
        <f t="shared" ca="1" si="120"/>
        <v>0</v>
      </c>
      <c r="AR59" s="394">
        <f t="shared" ca="1" si="14"/>
        <v>0</v>
      </c>
      <c r="AS59" s="436">
        <f ca="1">IF(Control!$B$18=2,(IF(OR($AH59=Control!$B$175,$AH59=Control!$B$176,$AH59=Control!$B$177,$AH59=Control!$B$178,$AH59=Control!$B$179,$AH59=Control!$B$180,$AH59=Control!$B$181,$AH59=Control!$B$182,$AH59=Control!$B$183,$AH59=Control!$B$184,$AH59=Control!$B$185),1,0)),0)</f>
        <v>0</v>
      </c>
      <c r="AT59" s="436">
        <f>IF(Control!$B$20=8,IF(AND($AH59&gt;=Control!$B$172,$AH59&lt;=Control!$B$173),1,0),0)</f>
        <v>0</v>
      </c>
      <c r="AU59" s="436">
        <f>IF(Control!$B$20=8,IF($AV58=1,1*$AT59,IF($AT59=1,$AU58+1,$AU58)),0)</f>
        <v>0</v>
      </c>
      <c r="AV59" s="436">
        <f>IF(Control!$B$20=8,IF($AU59&gt;=Control!$B$174,1,0),0)</f>
        <v>0</v>
      </c>
      <c r="AW59" s="436">
        <f ca="1">IF(AND(Control!$B$18=2,Control!$B$171=1), $AV59, $AS59)</f>
        <v>0</v>
      </c>
      <c r="AX59" s="436" t="e">
        <f ca="1">IF(AND(Control!$B$18=1,$EU59&gt;=Control!$B$19),-$AY59,IF(AND(Control!$B$18=2,$AW59=1,$EU59&gt;$DS59),-$AY59, IF(Control!$C$108=0,0, IF(Control!$C$108&lt;&gt;0,1))))</f>
        <v>#N/A</v>
      </c>
      <c r="AY59" s="436" t="e">
        <f t="shared" ca="1" si="121"/>
        <v>#N/A</v>
      </c>
      <c r="AZ59" s="436" t="e">
        <f ca="1">IF(AND(Control!$B$18=1,$EB59&gt;Control!$B$19),$AZ58+1, IF(AND(Control!$B$18=2, $AW59=1, $EB59&gt;$DS59), $AZ58+1,$AZ58))</f>
        <v>#N/A</v>
      </c>
      <c r="BA59" s="587">
        <f>IF(Control!$C$81=0,1,IF($AH59&gt;=Control!$C$82,1,0))</f>
        <v>1</v>
      </c>
      <c r="BB59" s="140" t="e">
        <f ca="1">IF($BA59&gt;$BA58,Control!$C$83,IF($AW59&gt;0,$AW59*Control!$C$84,IF(AND(Control!$B$18=1,EN58&lt;&gt;0),Control!$C$84,0)))</f>
        <v>#N/A</v>
      </c>
      <c r="BC59" s="140" t="e">
        <f t="shared" ca="1" si="122"/>
        <v>#N/A</v>
      </c>
      <c r="BD59" s="140" t="e">
        <f ca="1">BC59*IF(OR($G59&lt;Control!$C$92,$G59&gt;Control!$C$95),0,IF(AND($G59&gt;=Control!$C$92,$G59&lt;=Control!$C$93),$G59-Control!$C$92,IF(AND($G59&gt;Control!$C$93,$G59&lt;=Control!$C$94),Control!$C$93-Control!$C$92,IF(AND($G59&gt;Control!$C$94,$G59&lt;=Control!$C$95),(Control!$C$93-Control!$C$92)*(Control!$C$94-$G59)/(Control!$C$95-Control!$C$94)))))</f>
        <v>#N/A</v>
      </c>
      <c r="BE59" s="140" t="e">
        <f t="shared" ca="1" si="123"/>
        <v>#N/A</v>
      </c>
      <c r="BF59" s="140" t="e">
        <f ca="1">IF($BE59&lt;=Control!$C$86,$BE59,Control!$C$86-$BE59)</f>
        <v>#N/A</v>
      </c>
      <c r="BG59" s="140" t="e">
        <f ca="1">IF(AND($AW59=1,Control!$C$84&lt;9),1,IF($BE59&gt;=Control!$C$86,0,$BC59))</f>
        <v>#N/A</v>
      </c>
      <c r="BH59" s="404" t="e">
        <f ca="1">IF($BG59=0,0,IF($BE59&lt;=Control!$C$86,$BC59*9*($BF59/Control!$C$86),0))</f>
        <v>#N/A</v>
      </c>
      <c r="BI59" s="140" t="e">
        <f ca="1">IF($BG59=1,0,IF($BE59&gt;=Control!$C$86,1,IF(AND($BB59&lt;21,$BB59&gt;=9),1,$BM58)))</f>
        <v>#N/A</v>
      </c>
      <c r="BJ59" s="140" t="e">
        <f ca="1">IF($BF59&lt;0,-$BF59,$BI59*IF(OR($G59&lt;Control!$C$92,$G59&gt;Control!$C$95),0,IF(AND($G59&gt;=Control!$C$92,$G59&lt;=Control!$C$93),$G59-Control!$C$92,IF(AND($G59&gt;Control!$C$93,$G59&lt;=Control!$C$94),Control!$C$93-Control!$C$92,IF(AND($G59&gt;Control!$C$94,$G59&lt;=Control!$C$95),(Control!$C$93-Control!$C$92)*(Control!$C$94-$G59)/(Control!$C$95-Control!$C$94))))))</f>
        <v>#N/A</v>
      </c>
      <c r="BK59" s="140" t="e">
        <f t="shared" ca="1" si="124"/>
        <v>#N/A</v>
      </c>
      <c r="BL59" s="140" t="e">
        <f ca="1">IF($BK59&lt;=Control!$C$87,$BK59,Control!$C$87-$BK59)</f>
        <v>#N/A</v>
      </c>
      <c r="BM59" s="140" t="e">
        <f ca="1">IF(AND($BB59&gt;=9,$BB59&lt;21),1,IF($BK59&gt;=Control!$C$87,0,$BI59))</f>
        <v>#N/A</v>
      </c>
      <c r="BN59" s="404" t="e">
        <f ca="1">IF($BM59=0,0,IF($BK59&lt;=Control!$C$87,$BI59*(9+(21-9)*($BL59/Control!$C$87)),0))</f>
        <v>#N/A</v>
      </c>
      <c r="BO59" s="140" t="e">
        <f ca="1">IF($BM59=1,0,IF($BK59&gt;=Control!$C$87,1,IF(AND($BB59&lt;30,$BB59&gt;=21),1,$BS58)))</f>
        <v>#N/A</v>
      </c>
      <c r="BP59" s="140" t="e">
        <f ca="1">IF($BL59&lt;0,-$BL59,$BO59*IF(OR($G59&lt;Control!$C$92,$G59&gt;Control!$C$95),0,IF(AND($G59&gt;=Control!$C$92,$G59&lt;=Control!$C$93),$G59-Control!$C$92,IF(AND($G59&gt;Control!$C$93,$G59&lt;=Control!$C$94),Control!$C$93-Control!$C$92,IF(AND($G59&gt;Control!$C$94,$G59&lt;=Control!$C$95),(Control!$C$93-Control!$C$92)*(Control!$C$94-$G59)/(Control!$C$95-Control!$C$94))))))</f>
        <v>#N/A</v>
      </c>
      <c r="BQ59" s="140" t="e">
        <f t="shared" ca="1" si="15"/>
        <v>#N/A</v>
      </c>
      <c r="BR59" s="140" t="e">
        <f ca="1">IF($BQ59&lt;=Control!$C$88,$BQ59,Control!$C$88-$BQ59)</f>
        <v>#N/A</v>
      </c>
      <c r="BS59" s="140" t="e">
        <f ca="1">IF(AND($BB59&gt;=21,$BB59&lt;30),1,IF($BQ59&gt;=Control!$C$88,0,$BO59))</f>
        <v>#N/A</v>
      </c>
      <c r="BT59" s="404" t="e">
        <f ca="1">IF($BS59=0,0,IF($BQ59&lt;=Control!$C$88,$BO59*(21+(30-21)*(BR59/Control!$C$88)),0))</f>
        <v>#N/A</v>
      </c>
      <c r="BU59" s="140" t="e">
        <f ca="1">IF(BG59+BM59+BS59=1,0,IF(OR(AND($BB59&lt;60,$BB59&gt;=30),$BQ59&gt;=Control!$C$88),1*$BA59,$BY58))</f>
        <v>#N/A</v>
      </c>
      <c r="BV59" s="140" t="e">
        <f ca="1">IF($BR59&lt;0,-$BR59,$BU59*IF(OR($G59&lt;Control!$C$92,$G59&gt;Control!$C$95),0,IF(AND($G59&gt;=Control!$C$92,$G59&lt;=Control!$C$93),$G59-Control!$C$92,IF(AND($G59&gt;Control!$C$93,$G59&lt;=Control!$C$94),Control!$C$93-Control!$C$92,IF(AND($G59&gt;Control!$C$94,$G59&lt;=Control!$C$95),(Control!$C$93-Control!$C$92)*(Control!$C$94-$G59)/(Control!$C$95-Control!$C$94))))))</f>
        <v>#N/A</v>
      </c>
      <c r="BW59" s="140" t="e">
        <f t="shared" ca="1" si="16"/>
        <v>#N/A</v>
      </c>
      <c r="BX59" s="140" t="e">
        <f ca="1">IF($BW59&lt;=Control!$C$89,$BW59,Control!$C$89-$BW59)</f>
        <v>#N/A</v>
      </c>
      <c r="BY59" s="140" t="e">
        <f ca="1">IF(AND($AJ59&gt;=30,$AJ59&lt;60),1,IF($BW59&gt;=Control!$C$89,0,$BU59))</f>
        <v>#N/A</v>
      </c>
      <c r="BZ59" s="404" t="e">
        <f ca="1">IF($BY59=0,0,IF($BW59&lt;=Control!$C$89,$BU59*(30+(60-30)*(BX59/Control!$C$89)),0))</f>
        <v>#N/A</v>
      </c>
      <c r="CA59" s="140" t="e">
        <f ca="1">IF($BG59+$BM59+$BS59+$BY59=1,0,IF(OR(AND($BB59&lt;65,$BB59&gt;=60),$BW59&gt;=Control!$C$89),1*$BA59,$CE58))</f>
        <v>#N/A</v>
      </c>
      <c r="CB59" s="140" t="e">
        <f ca="1">IF($BX59&lt;0,-$BX59,$CA59*IF(OR($G59&lt;Control!$C$92,$G59&gt;Control!$C$95),0,IF(AND($G59&gt;=Control!$C$92,$G59&lt;=Control!$C$93),$G59-Control!$C$92,IF(AND($G59&gt;Control!$C$93,$G59&lt;=Control!$C$94),Control!$C$93-Control!$C$92,IF(AND($G59&gt;Control!$C$94,$G59&lt;=Control!$C$95),(Control!$C$93-Control!$C$92)*(Control!$C$94-$G59)/(Control!$C$95-Control!$C$94))))))</f>
        <v>#N/A</v>
      </c>
      <c r="CC59" s="140" t="e">
        <f t="shared" ca="1" si="125"/>
        <v>#N/A</v>
      </c>
      <c r="CD59" s="140" t="e">
        <f ca="1">IF($CC59&lt;=Control!$C$90,$CC59,Control!$C$90-$CC59)</f>
        <v>#N/A</v>
      </c>
      <c r="CE59" s="140" t="e">
        <f ca="1">IF(AND($BB59&gt;=60,$BB59&lt;65),1,IF($CC59&gt;=Control!$C$90,0,$CA59))</f>
        <v>#N/A</v>
      </c>
      <c r="CF59" s="404" t="e">
        <f ca="1">IF($CE59=0,0,IF($CC59&lt;=Control!$C$90,$CA59*(60+(65-60)*(CD59/Control!$C$90)),0))</f>
        <v>#N/A</v>
      </c>
      <c r="CG59" s="140" t="e">
        <f ca="1">IF($BG59+$BM59+$BS59+$BY59+$CE59=1,0,IF(OR(AND($BB59&lt;90,$BB59&gt;=65),$CC59&gt;=Control!$C$90),$BA59,$CK58))</f>
        <v>#N/A</v>
      </c>
      <c r="CH59" s="140" t="e">
        <f ca="1">IF($CD59&lt;0,-$CD59,$CG59*IF(OR($G59&lt;Control!$C$92,$G59&gt;Control!$C$95),0,IF(AND($G59&gt;=Control!$C$92,$G59&lt;=Control!$C$93),$G59-Control!$C$92,IF(AND($G59&gt;Control!$C$93,$G59&lt;=Control!$C$94),Control!$C$93-Control!$C$92,IF(AND($G59&gt;Control!$C$94,$G59&lt;=Control!$C$95),(Control!$C$93-Control!$C$92)*(Control!$C$94-$G59)/(Control!$C$95-Control!$C$94))))))</f>
        <v>#N/A</v>
      </c>
      <c r="CI59" s="140" t="e">
        <f t="shared" ca="1" si="126"/>
        <v>#N/A</v>
      </c>
      <c r="CJ59" s="140" t="e">
        <f ca="1">IF($CI59&lt;=Control!$C$91,$CI59,Control!$C$91-$CI59)</f>
        <v>#N/A</v>
      </c>
      <c r="CK59" s="140" t="e">
        <f ca="1">IF(AND($BB59&gt;=65,$BB59&lt;90),1,IF($CI59&gt;=Control!$C$91,0,$CG59))</f>
        <v>#N/A</v>
      </c>
      <c r="CL59" s="404" t="e">
        <f ca="1">IF($CK59=0,0,IF($CI59&lt;=Control!$C$91,$CG59*(65+(90-65)*($CJ59/Control!$C$91)),0))</f>
        <v>#N/A</v>
      </c>
      <c r="CM59" s="140" t="e">
        <f ca="1">IF($BG59+$BM59+$BS59+$BY59+$CE59+$CK59=1,0,IF(OR($BB59&gt;=90,$CI59&gt;=Control!$C$91),$BA59,$CM58))</f>
        <v>#N/A</v>
      </c>
      <c r="CN59" s="140" t="e">
        <f t="shared" ca="1" si="127"/>
        <v>#N/A</v>
      </c>
      <c r="CO59" s="140" t="e">
        <f t="shared" ca="1" si="128"/>
        <v>#N/A</v>
      </c>
      <c r="CP59" s="140" t="e">
        <f t="shared" ca="1" si="129"/>
        <v>#N/A</v>
      </c>
      <c r="CQ59" s="141" t="e">
        <f ca="1">VLOOKUP($CP59,Control!$B$86:$G$91,6)</f>
        <v>#N/A</v>
      </c>
      <c r="CR59" s="141" t="e">
        <f ca="1">(1-$CQ59)*VLOOKUP($CP59,Control!$B$86:$D$91,3)</f>
        <v>#N/A</v>
      </c>
      <c r="CS59" s="141" t="e">
        <f ca="1">(1-$CQ59)*VLOOKUP($CP59,Control!$B$86:$E$91,4)</f>
        <v>#N/A</v>
      </c>
      <c r="CT59" s="141" t="e">
        <f ca="1">(1-$CQ59)*VLOOKUP($CP59,Control!$B$86:$F$91,5)</f>
        <v>#N/A</v>
      </c>
      <c r="CU59" s="141">
        <f t="shared" ca="1" si="130"/>
        <v>0</v>
      </c>
      <c r="CV59" s="583">
        <f t="shared" ca="1" si="131"/>
        <v>0</v>
      </c>
      <c r="CW59" s="142">
        <f t="shared" ca="1" si="132"/>
        <v>54</v>
      </c>
      <c r="CX59" s="612" t="e">
        <f ca="1">IF(Control!$C$114=1,(MIN(Control!$C$120*(IF($NT59-0.01&lt;0,0,1)),Control!$C$119-$CY59)))</f>
        <v>#DIV/0!</v>
      </c>
      <c r="CY59" s="143" t="e">
        <f t="shared" ca="1" si="133"/>
        <v>#N/A</v>
      </c>
      <c r="CZ59" s="144">
        <f t="shared" ca="1" si="17"/>
        <v>0</v>
      </c>
      <c r="DA59" s="144">
        <f t="shared" ca="1" si="18"/>
        <v>0</v>
      </c>
      <c r="DB59" s="144" t="e">
        <f t="shared" ca="1" si="19"/>
        <v>#N/A</v>
      </c>
      <c r="DC59" s="144" t="e">
        <f t="shared" ca="1" si="20"/>
        <v>#N/A</v>
      </c>
      <c r="DD59" s="144" t="e">
        <f t="shared" ca="1" si="216"/>
        <v>#N/A</v>
      </c>
      <c r="DE59" s="143" t="e">
        <f t="shared" ca="1" si="135"/>
        <v>#N/A</v>
      </c>
      <c r="DF59" s="145" t="e">
        <f ca="1">$DR59*EXP(-Control!$C$158*(1-$KH59))</f>
        <v>#N/A</v>
      </c>
      <c r="DG59" s="146" t="e">
        <f ca="1">IF(Control!$C$114=1, $DF59*$EY59, 0)</f>
        <v>#N/A</v>
      </c>
      <c r="DH59" s="147" t="e">
        <f t="shared" ca="1" si="136"/>
        <v>#N/A</v>
      </c>
      <c r="DI59" s="144" t="e">
        <f t="shared" ca="1" si="191"/>
        <v>#N/A</v>
      </c>
      <c r="DJ59" s="147" t="e">
        <f ca="1">$EF59*Control!$C$109</f>
        <v>#N/A</v>
      </c>
      <c r="DK59" s="144" t="e">
        <f t="shared" ca="1" si="137"/>
        <v>#N/A</v>
      </c>
      <c r="DL59" s="144" t="e">
        <f t="shared" ca="1" si="21"/>
        <v>#N/A</v>
      </c>
      <c r="DM59" s="144" t="e">
        <f ca="1">IF(Control!$C$114=1, (1-EXP(-Control!$C$96*$DK59))*$AR59, 0)</f>
        <v>#N/A</v>
      </c>
      <c r="DN59" s="144">
        <f t="shared" ca="1" si="138"/>
        <v>0</v>
      </c>
      <c r="DO59" s="148">
        <f>Control!$C$97</f>
        <v>4</v>
      </c>
      <c r="DP59" s="145" t="e">
        <f t="shared" ca="1" si="139"/>
        <v>#N/A</v>
      </c>
      <c r="DQ59" s="145" t="e">
        <f ca="1">IF(AND($CP59&gt;=0,$CP59&lt;=90),Control!$C$111,Control!$C$111)</f>
        <v>#N/A</v>
      </c>
      <c r="DR59" s="145" t="e">
        <f t="shared" ca="1" si="22"/>
        <v>#N/A</v>
      </c>
      <c r="DS59" s="143" t="e">
        <f ca="1">Control!$B$22/$DR59</f>
        <v>#N/A</v>
      </c>
      <c r="DT59" s="149" t="e">
        <f ca="1">IF(AND(Control!$C$114=1,$KH59&lt;1),$IM59*$DF59, 0)</f>
        <v>#N/A</v>
      </c>
      <c r="DU59" s="144" t="e">
        <f t="shared" ca="1" si="192"/>
        <v>#N/A</v>
      </c>
      <c r="DV59" s="144">
        <f ca="1">IF($G59-Control!$C$107&lt;=0, 0, 0.83*LN(MAX($G59, 3))-0.8924)</f>
        <v>0</v>
      </c>
      <c r="DW59" s="144" t="e">
        <f t="shared" ca="1" si="23"/>
        <v>#N/A</v>
      </c>
      <c r="DX59" s="150" t="e">
        <f ca="1">MAX(0.01*(1+$CU59/Control!$C$102),0.05*($DK59-Control!$C$97)/Control!$C$97)</f>
        <v>#N/A</v>
      </c>
      <c r="DY59" s="151" t="e">
        <f ca="1">IF(Control!$C$114=1, $DI59*$FS59, 0)</f>
        <v>#N/A</v>
      </c>
      <c r="DZ59" s="196" t="e">
        <f t="shared" ca="1" si="140"/>
        <v>#N/A</v>
      </c>
      <c r="EA59" s="152">
        <f t="shared" ca="1" si="141"/>
        <v>54</v>
      </c>
      <c r="EB59" s="153" t="e">
        <f t="shared" ca="1" si="217"/>
        <v>#N/A</v>
      </c>
      <c r="EC59" s="153" t="e">
        <f t="shared" ca="1" si="142"/>
        <v>#N/A</v>
      </c>
      <c r="ED59" s="154" t="e">
        <f ca="1">IF(Control!$C$114=1, $HM59*$FY59-$FD59, 0)</f>
        <v>#DIV/0!</v>
      </c>
      <c r="EE59" s="155" t="e">
        <f ca="1">IF(Control!$C$114=1, $HM59*$FZ59-$FF59, 0)</f>
        <v>#DIV/0!</v>
      </c>
      <c r="EF59" s="153" t="e">
        <f t="shared" ca="1" si="193"/>
        <v>#N/A</v>
      </c>
      <c r="EG59" s="155" t="e">
        <f ca="1">IF(Control!$C$114=1, $GX59*$FW59-$FI59, 0)</f>
        <v>#DIV/0!</v>
      </c>
      <c r="EH59" s="153" t="e">
        <f t="shared" ca="1" si="143"/>
        <v>#N/A</v>
      </c>
      <c r="EI59" s="156" t="e">
        <f t="shared" ca="1" si="144"/>
        <v>#N/A</v>
      </c>
      <c r="EJ59" s="155" t="e">
        <f ca="1">IF(Control!$C$114=1, $HM59*$GB59, 0)</f>
        <v>#DIV/0!</v>
      </c>
      <c r="EK59" s="153" t="e">
        <f t="shared" ca="1" si="194"/>
        <v>#N/A</v>
      </c>
      <c r="EL59" s="153" t="e">
        <f t="shared" ca="1" si="24"/>
        <v>#N/A</v>
      </c>
      <c r="EM59" s="153" t="e">
        <f t="shared" ca="1" si="25"/>
        <v>#N/A</v>
      </c>
      <c r="EN59" s="153" t="e">
        <f ca="1">IF(Control!$C$108=1,IF(AND(Control!$B$18=1,$EB59&gt;=Control!$B$19),$EB59-$DS59,IF(AND(Control!$B$18=2,$AW59=1,$EB59&gt;$DS59),$EB59-$DS59,0)))</f>
        <v>#N/A</v>
      </c>
      <c r="EO59" s="153" t="e">
        <f ca="1">IF(Control!$C$108=1,IF(AND(Control!$B$18=1,$EB59&gt;=Control!$B$19),$EF59,IF(AND(Control!$B$18=2,$AW59=1),$EF59,0)))</f>
        <v>#N/A</v>
      </c>
      <c r="EP59" s="153" t="e">
        <f ca="1">IF(Control!$C$108=1,IF(AND(Control!$B$18=1,$EB59&gt;=Control!$B$19),$EK59,IF(AND(Control!$B$18=2,$AW59=1),$EK59,0)))</f>
        <v>#N/A</v>
      </c>
      <c r="EQ59" s="153" t="e">
        <f t="shared" ca="1" si="145"/>
        <v>#N/A</v>
      </c>
      <c r="ER59" s="153" t="e">
        <f t="shared" ca="1" si="231"/>
        <v>#N/A</v>
      </c>
      <c r="ES59" s="153" t="e">
        <f t="shared" ca="1" si="196"/>
        <v>#N/A</v>
      </c>
      <c r="ET59" s="153" t="e">
        <f t="shared" ca="1" si="197"/>
        <v>#N/A</v>
      </c>
      <c r="EU59" s="153" t="e">
        <f t="shared" ca="1" si="198"/>
        <v>#N/A</v>
      </c>
      <c r="EV59" s="153" t="e">
        <f t="shared" ca="1" si="146"/>
        <v>#N/A</v>
      </c>
      <c r="EW59" s="153" t="e">
        <f t="shared" ca="1" si="218"/>
        <v>#N/A</v>
      </c>
      <c r="EX59" s="153" t="e">
        <f t="shared" ca="1" si="26"/>
        <v>#N/A</v>
      </c>
      <c r="EY59" s="157" t="e">
        <f t="shared" ca="1" si="147"/>
        <v>#DIV/0!</v>
      </c>
      <c r="EZ59" s="154" t="e">
        <f t="shared" ca="1" si="27"/>
        <v>#DIV/0!</v>
      </c>
      <c r="FA59" s="153" t="e">
        <f t="shared" ca="1" si="199"/>
        <v>#N/A</v>
      </c>
      <c r="FB59" s="153" t="e">
        <f t="shared" ca="1" si="28"/>
        <v>#N/A</v>
      </c>
      <c r="FC59" s="193" t="e">
        <f t="shared" ca="1" si="29"/>
        <v>#N/A</v>
      </c>
      <c r="FD59" s="158" t="e">
        <f t="shared" ca="1" si="200"/>
        <v>#N/A</v>
      </c>
      <c r="FE59" s="158" t="e">
        <f t="shared" ca="1" si="148"/>
        <v>#N/A</v>
      </c>
      <c r="FF59" s="159" t="e">
        <f t="shared" ca="1" si="30"/>
        <v>#N/A</v>
      </c>
      <c r="FG59" s="160" t="e">
        <f t="shared" ca="1" si="149"/>
        <v>#N/A</v>
      </c>
      <c r="FH59" s="158" t="e">
        <f t="shared" ca="1" si="150"/>
        <v>#N/A</v>
      </c>
      <c r="FI59" s="159" t="e">
        <f t="shared" ca="1" si="31"/>
        <v>#N/A</v>
      </c>
      <c r="FJ59" s="160" t="e">
        <f t="shared" ca="1" si="151"/>
        <v>#N/A</v>
      </c>
      <c r="FK59" s="160" t="e">
        <f t="shared" ca="1" si="32"/>
        <v>#N/A</v>
      </c>
      <c r="FL59" s="160" t="e">
        <f t="shared" ca="1" si="229"/>
        <v>#N/A</v>
      </c>
      <c r="FM59" s="160" t="e">
        <f t="shared" ca="1" si="33"/>
        <v>#N/A</v>
      </c>
      <c r="FN59" s="158">
        <f t="shared" ca="1" si="219"/>
        <v>0.01</v>
      </c>
      <c r="FO59" s="160">
        <f>Control!$C$101</f>
        <v>50</v>
      </c>
      <c r="FP59" s="150" t="e">
        <f t="shared" ca="1" si="34"/>
        <v>#N/A</v>
      </c>
      <c r="FQ59" s="150" t="e">
        <f ca="1">MAX(0,(Control!$C$112*(($DK59-Control!$C$97)/Control!$C$97)))</f>
        <v>#N/A</v>
      </c>
      <c r="FR59" s="150" t="e">
        <f ca="1">(1-$NT59)*Control!$C$113</f>
        <v>#DIV/0!</v>
      </c>
      <c r="FS59" s="198" t="e">
        <f t="shared" ca="1" si="35"/>
        <v>#N/A</v>
      </c>
      <c r="FT59" s="161">
        <f t="shared" ca="1" si="152"/>
        <v>54</v>
      </c>
      <c r="FU59" s="162" t="e">
        <f ca="1">IF(Control!$B$34=1,VLOOKUP($CP59,Control!$B$86:$G$91,6),Control!$B$35)</f>
        <v>#N/A</v>
      </c>
      <c r="FV59" s="162" t="e">
        <f t="shared" ca="1" si="36"/>
        <v>#DIV/0!</v>
      </c>
      <c r="FW59" s="162" t="e">
        <f ca="1">IF(Control!$B$31=1,$FU59*$FV59,  $FU59)</f>
        <v>#N/A</v>
      </c>
      <c r="FX59" s="162" t="e">
        <f ca="1">IF(Control!$B$34=1,VLOOKUP($CP59,Control!$B$86:$G$91,3),Control!$B$36)</f>
        <v>#N/A</v>
      </c>
      <c r="FY59" s="162" t="e">
        <f t="shared" ca="1" si="37"/>
        <v>#N/A</v>
      </c>
      <c r="FZ59" s="162" t="e">
        <f ca="1">IF(Control!$B$34=1,VLOOKUP($CP59,Control!$B$86:$G$91,4),Control!$B$37)</f>
        <v>#N/A</v>
      </c>
      <c r="GA59" s="162" t="e">
        <f t="shared" ca="1" si="38"/>
        <v>#N/A</v>
      </c>
      <c r="GB59" s="162" t="e">
        <f ca="1">IF(Control!$B$34=1,VLOOKUP($CP59,Control!$B$86:$G$91,5),Control!$B$38)</f>
        <v>#N/A</v>
      </c>
      <c r="GC59" s="162" t="e">
        <f t="shared" ca="1" si="153"/>
        <v>#N/A</v>
      </c>
      <c r="GD59" s="162">
        <f t="shared" ca="1" si="39"/>
        <v>1</v>
      </c>
      <c r="GE59" s="162">
        <f t="shared" ca="1" si="40"/>
        <v>1</v>
      </c>
      <c r="GF59" s="162">
        <f ca="1">IF(AND(Control!$C$104=1, Control!$C$62="F"),$GE59,1)</f>
        <v>1</v>
      </c>
      <c r="GG59" s="162" t="e">
        <f ca="1">IF(Control!$B$16=40,0,IF(AND(Control!$B$16&gt;40,Control!$B$16&lt;=360),(Control!$B$16-40)*((1-0)/(360-40)),IF(AND(Control!$B$16&gt;360,Control!$B$16&lt;=720),(1+(Control!$B$16-360)*((1.25-1)/(720-360))),IF(AND(Control!$B$16&gt;720,Control!$B$16&lt;=1000),(1.25+(Control!$B$16-720)*((1.35-1.25)/(1000-720))),IF(AND(Control!$B$16&gt;1000,Control!$B$16&lt;=2000),(1.35+(Control!$B$16-1000)*0))))))</f>
        <v>#N/A</v>
      </c>
      <c r="GH59" s="162" t="e">
        <f t="shared" ca="1" si="41"/>
        <v>#N/A</v>
      </c>
      <c r="GI59" s="162">
        <f t="shared" ca="1" si="201"/>
        <v>0</v>
      </c>
      <c r="GJ59" s="162">
        <f t="shared" ca="1" si="42"/>
        <v>0</v>
      </c>
      <c r="GK59" s="162">
        <f t="shared" ca="1" si="220"/>
        <v>1</v>
      </c>
      <c r="GL59" s="162">
        <f t="shared" ca="1" si="43"/>
        <v>1</v>
      </c>
      <c r="GM59" s="162" t="e">
        <f ca="1">MAX(0,MIN(1,1-Control!$C$156*(1.0001-$KH59)^2))</f>
        <v>#N/A</v>
      </c>
      <c r="GN59" s="162" t="e">
        <f ca="1">IF(Control!$B$26=1,$KU59,$KX59)</f>
        <v>#N/A</v>
      </c>
      <c r="GO59" s="162" t="e">
        <f ca="1">IF($CP59&lt;=60,Control!$C$105,IF($CP59&gt;=90,Control!$C$106,Control!$C$105+($CP59-60)*((Control!$C$106-Control!$C$105)/(90-60))))</f>
        <v>#N/A</v>
      </c>
      <c r="GP59" s="162" t="e">
        <f t="shared" ca="1" si="154"/>
        <v>#N/A</v>
      </c>
      <c r="GQ59" s="162" t="e">
        <f t="shared" ca="1" si="155"/>
        <v>#N/A</v>
      </c>
      <c r="GR59" s="163" t="e">
        <f t="shared" ca="1" si="44"/>
        <v>#DIV/0!</v>
      </c>
      <c r="GS59" s="162" t="e">
        <f t="shared" ca="1" si="45"/>
        <v>#DIV/0!</v>
      </c>
      <c r="GT59" s="164" t="e">
        <f t="shared" ca="1" si="156"/>
        <v>#N/A</v>
      </c>
      <c r="GU59" s="162" t="e">
        <f t="shared" ca="1" si="157"/>
        <v>#N/A</v>
      </c>
      <c r="GV59" s="162" t="e">
        <f t="shared" ca="1" si="46"/>
        <v>#N/A</v>
      </c>
      <c r="GW59" s="162" t="e">
        <f t="shared" ca="1" si="221"/>
        <v>#DIV/0!</v>
      </c>
      <c r="GX59" s="162" t="e">
        <f t="shared" ca="1" si="228"/>
        <v>#DIV/0!</v>
      </c>
      <c r="GY59" s="162" t="e">
        <f t="shared" ca="1" si="158"/>
        <v>#DIV/0!</v>
      </c>
      <c r="GZ59" s="165" t="e">
        <f t="shared" ca="1" si="159"/>
        <v>#N/A</v>
      </c>
      <c r="HA59" s="162" t="e">
        <f ca="1">IF(Control!$C$114=1, $DI59*$FS59, 0)</f>
        <v>#N/A</v>
      </c>
      <c r="HB59" s="162" t="e">
        <f ca="1">$FA59/Control!$C$64</f>
        <v>#N/A</v>
      </c>
      <c r="HC59" s="162" t="e">
        <f t="shared" ca="1" si="222"/>
        <v>#DIV/0!</v>
      </c>
      <c r="HD59" s="162">
        <f ca="1">-ASIN(SIN(23.45*Control!$C$139)*COS(2*Control!$C$138*($AH59+10)/365))</f>
        <v>-0.18088580552646336</v>
      </c>
      <c r="HE59" s="165">
        <f t="shared" ca="1" si="160"/>
        <v>0</v>
      </c>
      <c r="HF59" s="166">
        <f ca="1">IF(AND(Control!$C$61="T",$HE59&gt;=Control!$C$103,Control!$C$114=0),$AH59,Control!$C$59)</f>
        <v>1</v>
      </c>
      <c r="HG59" s="166">
        <f ca="1">IF(AND(Control!$C$61="T",$HE59&gt;=Control!$C$103,Control!$C$114=0),$HF59,Control!$C$59)</f>
        <v>1</v>
      </c>
      <c r="HH59" s="165">
        <f ca="1">IF(AND(OR(Control!$C$60&lt;=0, $AH59= Control!$C$59, Control!$C$60 &gt;0, $AH59 = Control!$C$60)), Control!$C$59, IF(Control!$C$60&gt;0, 0))</f>
        <v>1</v>
      </c>
      <c r="HI59" s="165">
        <f ca="1">IF(AND(OR(Control!$C$60&lt;=0, $AH59= Control!$C$59, Control!$C$60 &gt;0, $AH59 = Control!$C$60)), Control!$C$60, IF(Control!$C$60&lt;=0, 0))</f>
        <v>0</v>
      </c>
      <c r="HJ59" s="166">
        <f ca="1">IF(AND(Control!$C$62="F",$CV59&gt;=Control!$C$102),$AH59,0)</f>
        <v>0</v>
      </c>
      <c r="HK59" s="165" t="e">
        <f t="shared" ca="1" si="202"/>
        <v>#N/A</v>
      </c>
      <c r="HL59" s="166">
        <f ca="1">IF(AND(Control!$C$61="T",$HE59&gt;=Control!$C$103,Control!$C$114=0),$HF59,0)</f>
        <v>0</v>
      </c>
      <c r="HM59" s="201" t="e">
        <f t="shared" ca="1" si="47"/>
        <v>#DIV/0!</v>
      </c>
      <c r="HN59" s="215">
        <f t="shared" ca="1" si="161"/>
        <v>54</v>
      </c>
      <c r="HO59" s="216" t="e">
        <f ca="1">IF(AND($CP59&gt;=0, $CP59&lt;=90), Control!$C$152, Control!$C$152)</f>
        <v>#N/A</v>
      </c>
      <c r="HP59" s="216" t="e">
        <f t="shared" ca="1" si="48"/>
        <v>#N/A</v>
      </c>
      <c r="HQ59" s="217" t="e">
        <f ca="1">IF(OR(Control!$B$26=1,Control!$B$26=2),$KV59,$KS59)</f>
        <v>#DIV/0!</v>
      </c>
      <c r="HR59" s="218" t="e">
        <f t="shared" ca="1" si="223"/>
        <v>#DIV/0!</v>
      </c>
      <c r="HS59" s="216" t="e">
        <f ca="1">Control!$C$154*$HP59</f>
        <v>#N/A</v>
      </c>
      <c r="HT59" s="216" t="e">
        <f ca="1">Control!$C$155*$HP59</f>
        <v>#N/A</v>
      </c>
      <c r="HU59" s="217" t="e">
        <f ca="1">Control!$C$161*$FI59</f>
        <v>#N/A</v>
      </c>
      <c r="HV59" s="218" t="e">
        <f t="shared" ca="1" si="162"/>
        <v>#N/A</v>
      </c>
      <c r="HW59" s="218" t="e">
        <f ca="1">Control!$C$160*$FF59+$IP59*$EO59</f>
        <v>#N/A</v>
      </c>
      <c r="HX59" s="218" t="e">
        <f t="shared" ca="1" si="203"/>
        <v>#N/A</v>
      </c>
      <c r="HY59" s="219" t="e">
        <f ca="1">IF(Control!$C$114=1, $EB59*$FS59, 0)</f>
        <v>#N/A</v>
      </c>
      <c r="HZ59" s="91" t="e">
        <f t="shared" ca="1" si="49"/>
        <v>#N/A</v>
      </c>
      <c r="IA59" s="220" t="e">
        <f ca="1">Control!$C$153*$HO59</f>
        <v>#N/A</v>
      </c>
      <c r="IB59" s="218" t="e">
        <f t="shared" ca="1" si="50"/>
        <v>#N/A</v>
      </c>
      <c r="IC59" s="220" t="e">
        <f ca="1">Control!$C$153*$HT59</f>
        <v>#N/A</v>
      </c>
      <c r="ID59" s="218" t="e">
        <f t="shared" ca="1" si="51"/>
        <v>#N/A</v>
      </c>
      <c r="IE59" s="221" t="e">
        <f ca="1">($EB59*Control!$C$159+$EF59*Control!$C$160)/(IF($GZ59&lt;&gt;0,$GZ59,1))</f>
        <v>#N/A</v>
      </c>
      <c r="IF59" s="216" t="e">
        <f t="shared" ca="1" si="52"/>
        <v>#N/A</v>
      </c>
      <c r="IG59" s="91">
        <f ca="1">IF(OR(Control!$B$198=$AH59,Control!$B$199=$AH59, Control!$B$200=$AH59, Control!$B$201=$AH59, Control!$B$202=$AH59, Control!$B$203=$AH59, Control!$B$204=$AH59, Control!$B$205=$AH59, Control!$B$206=$AH59, Control!$B$207=$AH59), 1, 0)</f>
        <v>0</v>
      </c>
      <c r="IH59" s="91">
        <f ca="1">IF($IG59=0,0, VLOOKUP($AH59,Control!$B$198:$C$207,2))</f>
        <v>0</v>
      </c>
      <c r="II59" s="222">
        <f t="shared" ca="1" si="163"/>
        <v>0</v>
      </c>
      <c r="IJ59" s="91">
        <f>Control!$C$121</f>
        <v>0.7</v>
      </c>
      <c r="IK59" s="218">
        <f t="shared" ca="1" si="53"/>
        <v>0</v>
      </c>
      <c r="IL59" s="217" t="e">
        <f t="shared" ca="1" si="204"/>
        <v>#N/A</v>
      </c>
      <c r="IM59" s="223" t="e">
        <f ca="1">IF(AND(Control!$C$114=1,$KH59&lt;1),$EB59*Control!$C$148*(1-$KH59), 0)</f>
        <v>#N/A</v>
      </c>
      <c r="IN59" s="217" t="e">
        <f t="shared" ca="1" si="54"/>
        <v>#DIV/0!</v>
      </c>
      <c r="IO59" s="91" t="e">
        <f ca="1">MAX(0,$IL59-$EF59*Control!$C$160)</f>
        <v>#N/A</v>
      </c>
      <c r="IP59" s="220" t="e">
        <f t="shared" ca="1" si="55"/>
        <v>#N/A</v>
      </c>
      <c r="IQ59" s="217" t="e">
        <f t="shared" ca="1" si="164"/>
        <v>#N/A</v>
      </c>
      <c r="IR59" s="218" t="e">
        <f t="shared" ca="1" si="56"/>
        <v>#N/A</v>
      </c>
      <c r="IS59" s="217" t="e">
        <f ca="1">Control!$C$159*MAX(0,$FD59-$EN59)</f>
        <v>#N/A</v>
      </c>
      <c r="IT59" s="217" t="e">
        <f t="shared" ca="1" si="205"/>
        <v>#N/A</v>
      </c>
      <c r="IU59" s="217" t="e">
        <f t="shared" ca="1" si="165"/>
        <v>#N/A</v>
      </c>
      <c r="IV59" s="217" t="e">
        <f t="shared" ca="1" si="206"/>
        <v>#N/A</v>
      </c>
      <c r="IW59" s="217" t="e">
        <f ca="1">IF(OR($AW59=1,AND($AW59=0, Control!$B$18=1,$EN59&lt;&gt;0)), $IQ59-$IU59, $IQ59)</f>
        <v>#N/A</v>
      </c>
      <c r="IX59" s="218" t="e">
        <f t="shared" ca="1" si="57"/>
        <v>#N/A</v>
      </c>
      <c r="IY59" s="218" t="e">
        <f ca="1">MAX(0,$IQ59-$EB59*Control!$C$159)</f>
        <v>#N/A</v>
      </c>
      <c r="IZ59" s="218" t="e">
        <f t="shared" ca="1" si="58"/>
        <v>#N/A</v>
      </c>
      <c r="JA59" s="216" t="e">
        <f t="shared" ca="1" si="59"/>
        <v>#N/A</v>
      </c>
      <c r="JB59" s="217" t="e">
        <f t="shared" ca="1" si="60"/>
        <v>#N/A</v>
      </c>
      <c r="JC59" s="222" t="e">
        <f ca="1">MAX(Control!$C$157*$EK59-$JT59, 0)/Control!$C$162</f>
        <v>#N/A</v>
      </c>
      <c r="JD59" s="218" t="e">
        <f t="shared" ca="1" si="61"/>
        <v>#N/A</v>
      </c>
      <c r="JE59" s="218" t="e">
        <f t="shared" ca="1" si="62"/>
        <v>#N/A</v>
      </c>
      <c r="JF59" s="218" t="e">
        <f t="shared" ca="1" si="207"/>
        <v>#N/A</v>
      </c>
      <c r="JG59" s="218" t="e">
        <f t="shared" ca="1" si="63"/>
        <v>#N/A</v>
      </c>
      <c r="JH59" s="217" t="e">
        <f t="shared" ca="1" si="166"/>
        <v>#N/A</v>
      </c>
      <c r="JI59" s="217" t="e">
        <f t="shared" ca="1" si="167"/>
        <v>#N/A</v>
      </c>
      <c r="JJ59" s="217" t="e">
        <f t="shared" ca="1" si="224"/>
        <v>#N/A</v>
      </c>
      <c r="JK59" s="217" t="e">
        <f ca="1">IF(Control!$C$114=1,IF(Control!$B$24=0,MAX(0,$JI59)*$GN59/Control!$C$64,(MAX(0,MIN($JI59,$JJ59*$GN59/Control!$C$64),0))))</f>
        <v>#N/A</v>
      </c>
      <c r="JL59" s="217" t="e">
        <f ca="1">$IK59/Control!$C$64-$JK59+$HQ59</f>
        <v>#N/A</v>
      </c>
      <c r="JM59" s="217" t="e">
        <f ca="1">IF(Control!$C$114=1,($JB59/(IF($JI59&lt;&gt;0,$JI59,1)))*$JK59,0)</f>
        <v>#N/A</v>
      </c>
      <c r="JN59" s="217" t="e">
        <f ca="1">IF(Control!$C$114=1,($JG59/(IF($JI59&lt;&gt;0,$JI59,1)))*$JK59, 0)</f>
        <v>#N/A</v>
      </c>
      <c r="JO59" s="218" t="e">
        <f t="shared" ca="1" si="64"/>
        <v>#N/A</v>
      </c>
      <c r="JP59" s="218" t="e">
        <f ca="1">MIN(($IY59+$IO59)*Control!$C$151, $JF59-$EH59*Control!$C$161)</f>
        <v>#N/A</v>
      </c>
      <c r="JQ59" s="218" t="e">
        <f t="shared" ca="1" si="65"/>
        <v>#N/A</v>
      </c>
      <c r="JR59" s="217" t="e">
        <f ca="1">IF($CP59-Control!$C$150&lt;0, 0, $JQ59/Control!$C$162)</f>
        <v>#N/A</v>
      </c>
      <c r="JS59" s="218" t="e">
        <f t="shared" ca="1" si="66"/>
        <v>#N/A</v>
      </c>
      <c r="JT59" s="218" t="e">
        <f t="shared" ca="1" si="168"/>
        <v>#N/A</v>
      </c>
      <c r="JU59" s="218" t="e">
        <f t="shared" ca="1" si="67"/>
        <v>#N/A</v>
      </c>
      <c r="JV59" s="218" t="e">
        <f t="shared" ca="1" si="68"/>
        <v>#N/A</v>
      </c>
      <c r="JW59" s="216" t="e">
        <f t="shared" ca="1" si="69"/>
        <v>#N/A</v>
      </c>
      <c r="JX59" s="91" t="e">
        <f t="shared" ca="1" si="70"/>
        <v>#N/A</v>
      </c>
      <c r="JY59" s="218" t="e">
        <f t="shared" ca="1" si="71"/>
        <v>#N/A</v>
      </c>
      <c r="JZ59" s="217" t="e">
        <f ca="1">IF(Control!$C$114=1,($IZ59/(IF($JI59&lt;&gt;0,$JI59,1)))*$JK59, 0)</f>
        <v>#N/A</v>
      </c>
      <c r="KA59" s="218" t="e">
        <f t="shared" ca="1" si="225"/>
        <v>#N/A</v>
      </c>
      <c r="KB59" s="218" t="e">
        <f t="shared" ca="1" si="169"/>
        <v>#N/A</v>
      </c>
      <c r="KC59" s="218" t="e">
        <f t="shared" ca="1" si="72"/>
        <v>#N/A</v>
      </c>
      <c r="KD59" s="218" t="e">
        <f t="shared" ca="1" si="73"/>
        <v>#N/A</v>
      </c>
      <c r="KE59" s="218" t="e">
        <f t="shared" ca="1" si="74"/>
        <v>#N/A</v>
      </c>
      <c r="KF59" s="218" t="e">
        <f t="shared" ca="1" si="75"/>
        <v>#N/A</v>
      </c>
      <c r="KG59" s="216" t="e">
        <f t="shared" ca="1" si="76"/>
        <v>#N/A</v>
      </c>
      <c r="KH59" s="221" t="e">
        <f ca="1">IF(Control!$B$24=0,1,MAX(0.001,MIN(1,IF(($IF59-$IE59)&lt;&gt;0,($KG59-$IE59)/($IF59-$IE59),1))))</f>
        <v>#N/A</v>
      </c>
      <c r="KI59" s="222" t="e">
        <f ca="1">IF(Control!$C$114=1, $KI58+ $KH58, 0)</f>
        <v>#N/A</v>
      </c>
      <c r="KJ59" s="217" t="e">
        <f t="shared" ca="1" si="77"/>
        <v>#N/A</v>
      </c>
      <c r="KK59" s="218" t="e">
        <f t="shared" ca="1" si="78"/>
        <v>#N/A</v>
      </c>
      <c r="KL59" s="274" t="e">
        <f ca="1">IF(Control!$B$26=3,4000000000*EXP(-8400/($G59+273)),IF(Control!$B$26=4,4000000000*EXP(-8400/($G59+273))*($KT59),0))</f>
        <v>#DIV/0!</v>
      </c>
      <c r="KM59" s="274" t="e">
        <f ca="1">IF(Control!$B$26=3,5600000000000*EXP(-9800/($G59+273)),IF(Control!$B$26=4,5600000000000*EXP(-9800/($G59+273))*$KT59,0))</f>
        <v>#DIV/0!</v>
      </c>
      <c r="KN59" s="454" t="e">
        <f t="shared" ca="1" si="170"/>
        <v>#DIV/0!</v>
      </c>
      <c r="KO59" s="274" t="e">
        <f t="shared" ca="1" si="171"/>
        <v>#DIV/0!</v>
      </c>
      <c r="KP59" s="454" t="e">
        <f t="shared" ca="1" si="79"/>
        <v>#DIV/0!</v>
      </c>
      <c r="KQ59" s="454" t="e">
        <f t="shared" ca="1" si="80"/>
        <v>#DIV/0!</v>
      </c>
      <c r="KR59" s="454" t="e">
        <f t="shared" ca="1" si="81"/>
        <v>#DIV/0!</v>
      </c>
      <c r="KS59" s="454" t="e">
        <f t="shared" ca="1" si="82"/>
        <v>#DIV/0!</v>
      </c>
      <c r="KT59" s="455" t="e">
        <f t="shared" ca="1" si="83"/>
        <v>#DIV/0!</v>
      </c>
      <c r="KU59" s="456" t="e">
        <f ca="1">IF($CP59-Control!$C$149&lt;0, IF($NT59-0.01&lt;0,0,1),0)</f>
        <v>#N/A</v>
      </c>
      <c r="KV59" s="456" t="e">
        <f ca="1">IF(Control!$C$114=1,MAX(0,MIN(Control!$C$125*$KW59*$GN59,$KW59)))</f>
        <v>#DIV/0!</v>
      </c>
      <c r="KW59" s="456" t="e">
        <f t="shared" ca="1" si="208"/>
        <v>#DIV/0!</v>
      </c>
      <c r="KX59" s="457" t="e">
        <f ca="1">IF($CP59-Control!$C$149&lt;0, IF($MR59-$OM59&lt;0,0,1),0)</f>
        <v>#N/A</v>
      </c>
      <c r="KY59" s="167">
        <f t="shared" ca="1" si="172"/>
        <v>54</v>
      </c>
      <c r="KZ59" s="168">
        <f ca="1">1370*(1+0.033*COS(2*Control!$C$138*$AH59/365))</f>
        <v>1397.0436803869161</v>
      </c>
      <c r="LA59" s="169">
        <f t="shared" ca="1" si="173"/>
        <v>1.0197399701753953</v>
      </c>
      <c r="LB59" s="169">
        <f t="shared" ca="1" si="174"/>
        <v>-0.18173339514492348</v>
      </c>
      <c r="LC59" s="169">
        <f ca="1">ACOS(-TAN((2*Control!$B$8/360))*TAN(Calculations!$LB59))</f>
        <v>1.5161548288237592</v>
      </c>
      <c r="LD59" s="169">
        <f ca="1">((24*60)/PI())*0.082*$LA59*(($LC59*SIN(Control!$B$8*2*PI()/360))*SIN($LB59)+COS(Control!$B$8*2*PI()/360)*COS($LB59)*SIN($LC59))</f>
        <v>14.897581469582184</v>
      </c>
      <c r="LE59" s="170">
        <f t="shared" ca="1" si="84"/>
        <v>15.342472335845244</v>
      </c>
      <c r="LF59" s="170">
        <f ca="1">SIN(Control!$C$139*Control!$B$8)*SIN($HD59)</f>
        <v>-0.14176415548209692</v>
      </c>
      <c r="LG59" s="170">
        <f ca="1">COS(Control!$C$139*Control!$B$8)*COS($HD59)</f>
        <v>0.6056151417465877</v>
      </c>
      <c r="LH59" s="170">
        <f ca="1">12*(1+2*ASIN(MAX(-1,MIN(1,$LF59/$LG59))/Control!$C$138))</f>
        <v>10.210083628590159</v>
      </c>
      <c r="LI59" s="170">
        <f ca="1">12*(1+2*ASIN(MAX(-1,MIN(1,(-SIN(-4*Control!$C$139)+$LF59)/$LG59))/Control!$C$138))</f>
        <v>11.091457579598661</v>
      </c>
      <c r="LJ59" s="168">
        <f ca="1">3600*($LH59*$LF59+24*$LG59*SQRT(1-$LK59*$LK59)/Control!$C$138)</f>
        <v>10982.099236579412</v>
      </c>
      <c r="LK59" s="170">
        <f t="shared" ca="1" si="85"/>
        <v>-0.23408291125821357</v>
      </c>
      <c r="LL59" s="170">
        <f t="shared" ca="1" si="86"/>
        <v>0</v>
      </c>
      <c r="LM59" s="171">
        <f ca="1">Control!$C$145*$AB59</f>
        <v>6.6660906138995932E-2</v>
      </c>
      <c r="LN59" s="170">
        <f t="shared" ca="1" si="175"/>
        <v>0.54</v>
      </c>
      <c r="LO59" s="170">
        <f t="shared" ca="1" si="87"/>
        <v>0</v>
      </c>
      <c r="LP59" s="170">
        <f ca="1">Control!$C$140*((($D59+273.16)^4+($E59+273.16)^4)/2)*(0.34-0.14*SQRT($Y59))*(1.35*$AQ59/(0.75*$LD59)-0.35)</f>
        <v>-3.2464704755046001</v>
      </c>
      <c r="LQ59" s="170">
        <f ca="1">Control!$C$140*($G59+273)^4*(0.56-0.079*SQRT($Y59*10))*(0.1+0.9*$LO59)</f>
        <v>1.5241745131704001</v>
      </c>
      <c r="LR59" s="170">
        <f ca="1">$AQ59*(1-Control!$C$142)-$LQ59</f>
        <v>-1.5241745131704001</v>
      </c>
      <c r="LS59" s="170">
        <f ca="1">$AQ59*(1-Control!$C$143)-$LQ59</f>
        <v>-1.5241745131704001</v>
      </c>
      <c r="LT59" s="170">
        <f ca="1">$AQ59*(1-Control!$C$144)-$LQ59</f>
        <v>-1.5241745131704001</v>
      </c>
      <c r="LU59" s="169">
        <f ca="1">(1-Control!$C$144)*AQ59-LP59</f>
        <v>3.2464704755046001</v>
      </c>
      <c r="LV59" s="172">
        <f t="shared" ca="1" si="88"/>
        <v>0.79430000000000012</v>
      </c>
      <c r="LW59" s="170">
        <f t="shared" ca="1" si="89"/>
        <v>1.5886000000000002</v>
      </c>
      <c r="LX59" s="170">
        <f ca="1">($AC59*($LR59/Control!$C$141)+$LM59*$LV59)/($AC59+$LM59)</f>
        <v>0.23530094218323697</v>
      </c>
      <c r="LY59" s="170">
        <f ca="1">($AC59*($LS59/Control!$C$141)+$LM59*$LV59)/($AC59+$LM59)</f>
        <v>0.23530094218323697</v>
      </c>
      <c r="LZ59" s="170">
        <f t="shared" ca="1" si="90"/>
        <v>0.23530094218323697</v>
      </c>
      <c r="MA59" s="170">
        <f t="shared" ca="1" si="91"/>
        <v>0.23530094218323697</v>
      </c>
      <c r="MB59" s="170" t="e">
        <f t="shared" ca="1" si="92"/>
        <v>#N/A</v>
      </c>
      <c r="MC59" s="170">
        <f t="shared" ca="1" si="176"/>
        <v>0.6018</v>
      </c>
      <c r="MD59" s="170">
        <f t="shared" ca="1" si="93"/>
        <v>0.52989392535414004</v>
      </c>
      <c r="ME59" s="170">
        <f ca="1">($AC59*($LT59/Control!$C$141)+$LM59*$LW59)/($AC59+$LM59)</f>
        <v>0.71612369323045078</v>
      </c>
      <c r="MF59" s="170" t="e">
        <f ca="1">IF(Control!$B$16&gt;=1000,0.92,IF(AND(720&lt;=Control!$B$16,1000&gt;Control!$B$16),(0.95+(Control!$B$16-720)*((0.92-0.95)/(1000-720))),IF(AND(360&lt;=Control!$B$16,720&gt;Control!$B$16),(1+(Control!$B$16-360)*((0.95-1)/(720-360))),IF(AND(40&lt;=Control!$B$16,360&gt;Control!$B$16),(1.05+(Control!$B$16-40)*((1.05-1)/(360-40)))))))</f>
        <v>#N/A</v>
      </c>
      <c r="MG59" s="170">
        <f t="shared" ca="1" si="94"/>
        <v>0.71612369323045078</v>
      </c>
      <c r="MH59" s="170" t="e">
        <f t="shared" ca="1" si="232"/>
        <v>#N/A</v>
      </c>
      <c r="MI59" s="170" t="e">
        <f t="shared" ca="1" si="232"/>
        <v>#N/A</v>
      </c>
      <c r="MJ59" s="170" t="e">
        <f ca="1">MAX(0.0001, Control!$C$132*$MI59*$DL59)</f>
        <v>#N/A</v>
      </c>
      <c r="MK59" s="170">
        <f ca="1">1/(0.76+1.5*($MG59/10))-(5-Control!$C$110)*0.1</f>
        <v>1.002845988140797</v>
      </c>
      <c r="ML59" s="173">
        <f ca="1">IF(Control!$C$110&lt;3,$MK59+($MG59-0.6)/(Control!$C$110*(Control!$C$110+3)), MAX(0.1, MIN(0.95,$MK59)))</f>
        <v>0.95</v>
      </c>
      <c r="MM59" s="173">
        <f ca="1">IF(Control!$C$110&lt;3,$MK59+(($MI59/10)-0.6)/(Control!$C$110*(Control!$C$110+3)), MAX(0.1, MIN(0.95,$MK59)))</f>
        <v>0.95</v>
      </c>
      <c r="MN59" s="173">
        <f ca="1">(1-$MM59)*(Control!$C$128-Control!$C$127)+Control!$C$127</f>
        <v>0.16</v>
      </c>
      <c r="MO59" s="170" t="e">
        <f ca="1">MAX(0,MIN(1,($MS59-Control!$C$127)/($MN59-Control!$C$127)))</f>
        <v>#DIV/0!</v>
      </c>
      <c r="MP59" s="173" t="e">
        <f ca="1">1/(0.76+1.5*$MI59)-(5-Control!$C$110)*0.1</f>
        <v>#N/A</v>
      </c>
      <c r="MQ59" s="172" t="e">
        <f t="shared" ca="1" si="209"/>
        <v>#DIV/0!</v>
      </c>
      <c r="MR59" s="168" t="e">
        <f t="shared" ca="1" si="226"/>
        <v>#DIV/0!</v>
      </c>
      <c r="MS59" s="173" t="e">
        <f ca="1">MAX(Control!$C$127, MIN(Control!$C$135, $MR59/MAX(0.0001,$CY59)))</f>
        <v>#DIV/0!</v>
      </c>
      <c r="MT59" s="168" t="e">
        <f ca="1">(Control!$C$128-$MS59)*Control!$C$74</f>
        <v>#DIV/0!</v>
      </c>
      <c r="MU59" s="168" t="e">
        <f ca="1">(Control!$C$135-$MS59)*Control!$C$74</f>
        <v>#DIV/0!</v>
      </c>
      <c r="MV59" s="168" t="e">
        <f t="shared" ca="1" si="210"/>
        <v>#DIV/0!</v>
      </c>
      <c r="MW59" s="168" t="e">
        <f t="shared" ca="1" si="177"/>
        <v>#DIV/0!</v>
      </c>
      <c r="MX59" s="171" t="e">
        <f ca="1">MAX(Control!$C$127, MIN(Control!$C$135, $MW59/MAX(0.0001,Control!$C$119-$CY59)))</f>
        <v>#DIV/0!</v>
      </c>
      <c r="MY59" s="54" t="e">
        <f ca="1">IF(Control!$C$114=1, $CX59*$MX59, 0)</f>
        <v>#DIV/0!</v>
      </c>
      <c r="MZ59" s="54" t="e">
        <f t="shared" ca="1" si="178"/>
        <v>#N/A</v>
      </c>
      <c r="NA59" s="168" t="e">
        <f ca="1">(Control!$C$128-$MX59)*(Control!$C$119-Control!$C$74)</f>
        <v>#DIV/0!</v>
      </c>
      <c r="NB59" s="168" t="e">
        <f ca="1">(Control!$C$135-$MX59)*(Control!$C$119-Control!$C$74)</f>
        <v>#DIV/0!</v>
      </c>
      <c r="NC59" s="174" t="e">
        <f t="shared" ca="1" si="179"/>
        <v>#DIV/0!</v>
      </c>
      <c r="ND59" s="54">
        <f ca="1">IF(Control!$C$58=2, IF(OR(Control!$B$218=$AH59,Control!$B$219=$AH59, Control!$B$220=$AH59, Control!$B$221=$AH59, Control!$B$222=$AH59, Control!$B$223=$AH59, Control!$B$224=$AH59, Control!$B$225=$AH59, Control!$B$226=$AH59, Control!$B$227=$AH59, Control!$B$228=$AH59), 1, 0), 0)</f>
        <v>0</v>
      </c>
      <c r="NE59" s="54">
        <f ca="1">IF($ND59=0,0, VLOOKUP($AH59,Control!$B$218:$C$228,2))</f>
        <v>0</v>
      </c>
      <c r="NF59" s="168" t="e">
        <f ca="1">$CY59*(Control!$C$128-Control!$C$127)</f>
        <v>#N/A</v>
      </c>
      <c r="NG59" s="54" t="e">
        <f ca="1">IF(Control!$C$58=2, $NI58-$NJ58, 0)</f>
        <v>#DIV/0!</v>
      </c>
      <c r="NH59" s="54" t="e">
        <f ca="1">IF(AND(Control!$C$58=1, $MS58&lt;= ($MN58+0.02), $I58&lt;10), 0, IF(Control!$C$58=2, $NG58, 0))</f>
        <v>#DIV/0!</v>
      </c>
      <c r="NI59" s="54" t="e">
        <f ca="1">IF(Control!$C$58=2, $NE59+$NH59,0)</f>
        <v>#DIV/0!</v>
      </c>
      <c r="NJ59" s="54" t="e">
        <f ca="1">IF(AND(Control!$C$58=1, $MS59&lt;= ($MN59+0.02), $I59&lt;10), MAX(0, MIN(10, 0.7*($NF59-$MV59))), IF(Control!$C$58=2, MIN(10,$NI59),0))</f>
        <v>#DIV/0!</v>
      </c>
      <c r="NK59" s="54" t="e">
        <f t="shared" ca="1" si="96"/>
        <v>#DIV/0!</v>
      </c>
      <c r="NL59" s="173" t="e">
        <f ca="1">(1-Control!$C$73)*$I59+$NJ59</f>
        <v>#DIV/0!</v>
      </c>
      <c r="NM59" s="172" t="e">
        <f ca="1">IF($NL59&lt;0.5, $MB59* MAX(0, MIN(1, (SQRT($NC59)-SQRT($NC59-1))*Control!$C$71)),0)</f>
        <v>#DIV/0!</v>
      </c>
      <c r="NN59" s="170" t="e">
        <f ca="1">IF($NL59&gt;=5, $MB59, MAX(0,MIN($MB59, $NM59+$NL59,($MS59-Control!$C$129))))</f>
        <v>#DIV/0!</v>
      </c>
      <c r="NO59" s="54">
        <f>IF(Control!$C$133&lt;&gt;1, Control!$C$135-Control!$C$131, 0)</f>
        <v>0.38</v>
      </c>
      <c r="NP59" s="54" t="e">
        <f t="shared" ca="1" si="97"/>
        <v>#DIV/0!</v>
      </c>
      <c r="NQ59" s="173" t="e">
        <f ca="1">MAX(0,MIN(1,(Control!$C$135-$MS59)/(Control!$C$135-$NO59)))</f>
        <v>#DIV/0!</v>
      </c>
      <c r="NR59" s="170" t="e">
        <f ca="1">IF(Control!$C$133&lt;&gt;1, $NQ59+((1-$NP59/4)*(1-$NQ59)),1)</f>
        <v>#DIV/0!</v>
      </c>
      <c r="NS59" s="170" t="e">
        <f ca="1">IF(Control!$B$31=0,$MJ59,MAX(0,MIN($MV59,$MO59*$NR59*$MJ59)))</f>
        <v>#DIV/0!</v>
      </c>
      <c r="NT59" s="170" t="e">
        <f t="shared" ca="1" si="227"/>
        <v>#DIV/0!</v>
      </c>
      <c r="NU59" s="170" t="e">
        <f t="shared" ca="1" si="180"/>
        <v>#N/A</v>
      </c>
      <c r="NV59" s="170" t="e">
        <f t="shared" ca="1" si="98"/>
        <v>#N/A</v>
      </c>
      <c r="NW59" s="175" t="e">
        <f t="shared" ca="1" si="99"/>
        <v>#DIV/0!</v>
      </c>
      <c r="NX59" s="170" t="e">
        <f ca="1">MIN(Control!$C$72+$MU59, $NW59)</f>
        <v>#DIV/0!</v>
      </c>
      <c r="NY59" s="170" t="e">
        <f ca="1">IF($MT59&lt;=$NX59,MIN(Control!$C$72+$NB59,$NX59-$MT59),0)</f>
        <v>#DIV/0!</v>
      </c>
      <c r="NZ59" s="54" t="e">
        <f ca="1">IF(Control!$C$114=1,  $CX59*($MX59-Control!$C$127), 0)</f>
        <v>#DIV/0!</v>
      </c>
      <c r="OA59" s="170" t="e">
        <f t="shared" ca="1" si="181"/>
        <v>#DIV/0!</v>
      </c>
      <c r="OB59" s="170" t="e">
        <f ca="1">IF($NA59 &lt;=$NY59, MIN(Control!$C$72, $NY59-$NA59), 0)</f>
        <v>#DIV/0!</v>
      </c>
      <c r="OC59" s="168" t="e">
        <f t="shared" ca="1" si="100"/>
        <v>#DIV/0!</v>
      </c>
      <c r="OD59" s="168" t="e">
        <f t="shared" ca="1" si="182"/>
        <v>#DIV/0!</v>
      </c>
      <c r="OE59" s="170">
        <f ca="1">Control!$C$73*$I59</f>
        <v>0</v>
      </c>
      <c r="OF59" s="176" t="e">
        <f t="shared" ca="1" si="101"/>
        <v>#DIV/0!</v>
      </c>
      <c r="OG59" s="168" t="e">
        <f t="shared" ca="1" si="102"/>
        <v>#DIV/0!</v>
      </c>
      <c r="OH59" s="168" t="e">
        <f t="shared" ca="1" si="103"/>
        <v>#DIV/0!</v>
      </c>
      <c r="OI59" s="168" t="e">
        <f t="shared" ca="1" si="104"/>
        <v>#DIV/0!</v>
      </c>
      <c r="OJ59" s="168" t="e">
        <f t="shared" ca="1" si="105"/>
        <v>#DIV/0!</v>
      </c>
      <c r="OK59" s="204" t="e">
        <f t="shared" ca="1" si="183"/>
        <v>#DIV/0!</v>
      </c>
      <c r="OL59" s="177">
        <f>Control!$C$127</f>
        <v>0.15</v>
      </c>
      <c r="OM59" s="182" t="e">
        <f t="shared" ca="1" si="106"/>
        <v>#N/A</v>
      </c>
      <c r="ON59" s="177">
        <f>Control!$C$128</f>
        <v>0.35</v>
      </c>
      <c r="OO59" s="182" t="e">
        <f t="shared" ca="1" si="107"/>
        <v>#N/A</v>
      </c>
      <c r="OP59" s="138">
        <f t="shared" ca="1" si="184"/>
        <v>0</v>
      </c>
      <c r="OQ59" s="138" t="e">
        <f t="shared" ca="1" si="211"/>
        <v>#DIV/0!</v>
      </c>
      <c r="OR59" s="138" t="e">
        <f t="shared" ca="1" si="185"/>
        <v>#DIV/0!</v>
      </c>
      <c r="OS59" s="137" t="e">
        <f t="shared" ca="1" si="212"/>
        <v>#DIV/0!</v>
      </c>
      <c r="OT59" s="139" t="e">
        <f t="shared" ca="1" si="213"/>
        <v>#DIV/0!</v>
      </c>
      <c r="OU59" s="138" t="e">
        <f t="shared" ca="1" si="214"/>
        <v>#N/A</v>
      </c>
      <c r="OV59" s="138" t="e">
        <f t="shared" ca="1" si="215"/>
        <v>#DIV/0!</v>
      </c>
      <c r="OW59" s="138" t="e">
        <f t="shared" ca="1" si="186"/>
        <v>#DIV/0!</v>
      </c>
      <c r="OX59" s="138" t="e">
        <f t="shared" ca="1" si="187"/>
        <v>#DIV/0!</v>
      </c>
      <c r="OY59" s="138" t="e">
        <f t="shared" ca="1" si="188"/>
        <v>#DIV/0!</v>
      </c>
      <c r="OZ59" s="138" t="e">
        <f t="shared" ca="1" si="108"/>
        <v>#DIV/0!</v>
      </c>
      <c r="PA59" s="138" t="e">
        <f t="shared" ca="1" si="109"/>
        <v>#DIV/0!</v>
      </c>
      <c r="PB59" s="55">
        <f>IF(Control!$C$61="T", IF(Control!$C$65="F", IF($AH$6-Control!$C$60&lt;0,0,1), IF(365+$AH$6-Control!$C$60&lt;0,0,1)),0)</f>
        <v>0</v>
      </c>
      <c r="PC59" s="55">
        <f ca="1">IF(Control!$C$65="F", IF($AH$6-$HF59&lt;0,0,1), IF(365+$AH$6-$HF59&lt;0,0,1))</f>
        <v>1</v>
      </c>
      <c r="PD59" s="444">
        <f>Control!$C$118</f>
        <v>1500</v>
      </c>
      <c r="PE59" s="180" t="e">
        <f t="shared" ca="1" si="110"/>
        <v>#N/A</v>
      </c>
      <c r="PF59" s="445">
        <f t="shared" ca="1" si="189"/>
        <v>0.71612369323045078</v>
      </c>
      <c r="PT59" s="186"/>
      <c r="PU59" s="186"/>
      <c r="PV59" s="94"/>
      <c r="PW59" s="94"/>
      <c r="PX59" s="94"/>
      <c r="PY59" s="94"/>
      <c r="PZ59" s="94"/>
      <c r="QA59" s="94"/>
      <c r="QB59" s="94"/>
      <c r="QC59" s="94"/>
      <c r="QD59" s="94"/>
      <c r="QE59" s="94"/>
      <c r="QF59" s="94"/>
      <c r="QG59" s="94"/>
      <c r="QH59" s="94"/>
      <c r="QI59" s="94"/>
      <c r="QJ59" s="94"/>
      <c r="QK59" s="94"/>
      <c r="QL59" s="94"/>
      <c r="QM59" s="94"/>
      <c r="QN59" s="94"/>
      <c r="QO59" s="94"/>
      <c r="QP59" s="94"/>
    </row>
    <row r="60" spans="1:458" s="2" customFormat="1" x14ac:dyDescent="0.2">
      <c r="A60" s="395">
        <v>24</v>
      </c>
      <c r="B60" s="396">
        <v>2</v>
      </c>
      <c r="C60" s="387">
        <f ca="1">Weather_data!$B59</f>
        <v>0</v>
      </c>
      <c r="D60" s="388">
        <f ca="1">Weather_data!$F59</f>
        <v>0</v>
      </c>
      <c r="E60" s="388">
        <f ca="1">Weather_data!$E59</f>
        <v>0</v>
      </c>
      <c r="F60" s="388">
        <f t="shared" ca="1" si="111"/>
        <v>0</v>
      </c>
      <c r="G60" s="388">
        <f ca="1">AVERAGE($D60:$E60)+Control!$B$9</f>
        <v>0</v>
      </c>
      <c r="H60" s="388">
        <f ca="1">Weather_data!$G59</f>
        <v>0</v>
      </c>
      <c r="I60" s="388">
        <f ca="1">Weather_data!$I59</f>
        <v>0</v>
      </c>
      <c r="J60" s="388">
        <f ca="1">Weather_data!$H59</f>
        <v>0</v>
      </c>
      <c r="K60" s="389">
        <f ca="1">Weather_data!$D59</f>
        <v>0</v>
      </c>
      <c r="L60" s="388" t="e">
        <f t="shared" ca="1" si="112"/>
        <v>#N/A</v>
      </c>
      <c r="M60" s="388" t="e">
        <f t="shared" ca="1" si="0"/>
        <v>#N/A</v>
      </c>
      <c r="N60" s="388">
        <f t="shared" ca="1" si="1"/>
        <v>-1.6906959567613629E-3</v>
      </c>
      <c r="O60" s="388">
        <f t="shared" ca="1" si="113"/>
        <v>1.6906959567613629E-2</v>
      </c>
      <c r="P60" s="390">
        <v>3</v>
      </c>
      <c r="Q60" s="388">
        <f ca="1">MAX($G60-Control!$C$107,0)</f>
        <v>0</v>
      </c>
      <c r="R60" s="388">
        <f t="shared" ca="1" si="114"/>
        <v>0</v>
      </c>
      <c r="S60" s="388">
        <f t="shared" ca="1" si="2"/>
        <v>0</v>
      </c>
      <c r="T60" s="388">
        <f t="shared" ca="1" si="3"/>
        <v>0</v>
      </c>
      <c r="U60" s="59">
        <f t="shared" ca="1" si="4"/>
        <v>0</v>
      </c>
      <c r="V60" s="391">
        <f ca="1">MAX(0,MIN(Control!$C$100-Control!$C$99,$G60-Control!$C$99)*Control!$C$63)</f>
        <v>0</v>
      </c>
      <c r="W60" s="388">
        <f t="shared" ca="1" si="190"/>
        <v>0</v>
      </c>
      <c r="X60" s="388">
        <f t="shared" ca="1" si="115"/>
        <v>0.6110000000000001</v>
      </c>
      <c r="Y60" s="388">
        <f t="shared" ca="1" si="116"/>
        <v>0</v>
      </c>
      <c r="Z60" s="388">
        <f t="shared" ca="1" si="117"/>
        <v>0.61058800000000002</v>
      </c>
      <c r="AA60" s="388">
        <f t="shared" ca="1" si="5"/>
        <v>0.6018</v>
      </c>
      <c r="AB60" s="388">
        <f ca="1">101.3*EXP(-0.034*Control!$C$66/($G60+273))</f>
        <v>100.69623283836242</v>
      </c>
      <c r="AC60" s="392">
        <f t="shared" ca="1" si="6"/>
        <v>4.3460251046025113E-2</v>
      </c>
      <c r="AD60" s="392">
        <f t="shared" ca="1" si="7"/>
        <v>4.4450382862832649E-2</v>
      </c>
      <c r="AE60" s="388">
        <f t="shared" ca="1" si="8"/>
        <v>0</v>
      </c>
      <c r="AF60" s="388">
        <f ca="1">MAX(0,$G60-Control!$C$92)</f>
        <v>0</v>
      </c>
      <c r="AG60" s="393">
        <f t="shared" ca="1" si="118"/>
        <v>55</v>
      </c>
      <c r="AH60" s="389">
        <f t="shared" ca="1" si="9"/>
        <v>55</v>
      </c>
      <c r="AI60" s="388">
        <f t="shared" ca="1" si="119"/>
        <v>-0.17465074546149842</v>
      </c>
      <c r="AJ60" s="388">
        <f ca="1">IF(Control!$C$60&lt;=0,$HH60,$HI60)</f>
        <v>1</v>
      </c>
      <c r="AK60" s="388">
        <f t="shared" ca="1" si="10"/>
        <v>-0.43035515802599905</v>
      </c>
      <c r="AL60" s="388">
        <f t="shared" ca="1" si="11"/>
        <v>2.5246662399558417E-18</v>
      </c>
      <c r="AM60" s="388">
        <f t="shared" ca="1" si="12"/>
        <v>-0.43035515802599905</v>
      </c>
      <c r="AN60" s="388">
        <f t="shared" ca="1" si="13"/>
        <v>-0.16673104146286546</v>
      </c>
      <c r="AO60" s="388">
        <f ca="1">-0.10453/COS(Control!$B$8*PI()/180)*COS(AN60)</f>
        <v>-0.16743038111311812</v>
      </c>
      <c r="AP60" s="388">
        <f ca="1">ACOS(AO60-TAN(Control!$B$8*PI()/180)*TAN(AN60))</f>
        <v>1.5228025360705728</v>
      </c>
      <c r="AQ60" s="388">
        <f t="shared" ca="1" si="120"/>
        <v>0</v>
      </c>
      <c r="AR60" s="394">
        <f t="shared" ca="1" si="14"/>
        <v>0</v>
      </c>
      <c r="AS60" s="436">
        <f ca="1">IF(Control!$B$18=2,(IF(OR($AH60=Control!$B$175,$AH60=Control!$B$176,$AH60=Control!$B$177,$AH60=Control!$B$178,$AH60=Control!$B$179,$AH60=Control!$B$180,$AH60=Control!$B$181,$AH60=Control!$B$182,$AH60=Control!$B$183,$AH60=Control!$B$184,$AH60=Control!$B$185),1,0)),0)</f>
        <v>0</v>
      </c>
      <c r="AT60" s="436">
        <f>IF(Control!$B$20=8,IF(AND($AH60&gt;=Control!$B$172,$AH60&lt;=Control!$B$173),1,0),0)</f>
        <v>0</v>
      </c>
      <c r="AU60" s="436">
        <f>IF(Control!$B$20=8,IF($AV59=1,1*$AT60,IF($AT60=1,$AU59+1,$AU59)),0)</f>
        <v>0</v>
      </c>
      <c r="AV60" s="436">
        <f>IF(Control!$B$20=8,IF($AU60&gt;=Control!$B$174,1,0),0)</f>
        <v>0</v>
      </c>
      <c r="AW60" s="436">
        <f ca="1">IF(AND(Control!$B$18=2,Control!$B$171=1), $AV60, $AS60)</f>
        <v>0</v>
      </c>
      <c r="AX60" s="436" t="e">
        <f ca="1">IF(AND(Control!$B$18=1,$EU60&gt;=Control!$B$19),-$AY60,IF(AND(Control!$B$18=2,$AW60=1,$EU60&gt;$DS60),-$AY60, IF(Control!$C$108=0,0, IF(Control!$C$108&lt;&gt;0,1))))</f>
        <v>#N/A</v>
      </c>
      <c r="AY60" s="436" t="e">
        <f t="shared" ca="1" si="121"/>
        <v>#N/A</v>
      </c>
      <c r="AZ60" s="436" t="e">
        <f ca="1">IF(AND(Control!$B$18=1,$EB60&gt;Control!$B$19),$AZ59+1, IF(AND(Control!$B$18=2, $AW60=1, $EB60&gt;$DS60), $AZ59+1,$AZ59))</f>
        <v>#N/A</v>
      </c>
      <c r="BA60" s="587">
        <f>IF(Control!$C$81=0,1,IF($AH60&gt;=Control!$C$82,1,0))</f>
        <v>1</v>
      </c>
      <c r="BB60" s="140" t="e">
        <f ca="1">IF($BA60&gt;$BA59,Control!$C$83,IF($AW60&gt;0,$AW60*Control!$C$84,IF(AND(Control!$B$18=1,EN59&lt;&gt;0),Control!$C$84,0)))</f>
        <v>#N/A</v>
      </c>
      <c r="BC60" s="140" t="e">
        <f t="shared" ca="1" si="122"/>
        <v>#N/A</v>
      </c>
      <c r="BD60" s="140" t="e">
        <f ca="1">BC60*IF(OR($G60&lt;Control!$C$92,$G60&gt;Control!$C$95),0,IF(AND($G60&gt;=Control!$C$92,$G60&lt;=Control!$C$93),$G60-Control!$C$92,IF(AND($G60&gt;Control!$C$93,$G60&lt;=Control!$C$94),Control!$C$93-Control!$C$92,IF(AND($G60&gt;Control!$C$94,$G60&lt;=Control!$C$95),(Control!$C$93-Control!$C$92)*(Control!$C$94-$G60)/(Control!$C$95-Control!$C$94)))))</f>
        <v>#N/A</v>
      </c>
      <c r="BE60" s="140" t="e">
        <f t="shared" ca="1" si="123"/>
        <v>#N/A</v>
      </c>
      <c r="BF60" s="140" t="e">
        <f ca="1">IF($BE60&lt;=Control!$C$86,$BE60,Control!$C$86-$BE60)</f>
        <v>#N/A</v>
      </c>
      <c r="BG60" s="140" t="e">
        <f ca="1">IF(AND($AW60=1,Control!$C$84&lt;9),1,IF($BE60&gt;=Control!$C$86,0,$BC60))</f>
        <v>#N/A</v>
      </c>
      <c r="BH60" s="404" t="e">
        <f ca="1">IF($BG60=0,0,IF($BE60&lt;=Control!$C$86,$BC60*9*($BF60/Control!$C$86),0))</f>
        <v>#N/A</v>
      </c>
      <c r="BI60" s="140" t="e">
        <f ca="1">IF($BG60=1,0,IF($BE60&gt;=Control!$C$86,1,IF(AND($BB60&lt;21,$BB60&gt;=9),1,$BM59)))</f>
        <v>#N/A</v>
      </c>
      <c r="BJ60" s="140" t="e">
        <f ca="1">IF($BF60&lt;0,-$BF60,$BI60*IF(OR($G60&lt;Control!$C$92,$G60&gt;Control!$C$95),0,IF(AND($G60&gt;=Control!$C$92,$G60&lt;=Control!$C$93),$G60-Control!$C$92,IF(AND($G60&gt;Control!$C$93,$G60&lt;=Control!$C$94),Control!$C$93-Control!$C$92,IF(AND($G60&gt;Control!$C$94,$G60&lt;=Control!$C$95),(Control!$C$93-Control!$C$92)*(Control!$C$94-$G60)/(Control!$C$95-Control!$C$94))))))</f>
        <v>#N/A</v>
      </c>
      <c r="BK60" s="140" t="e">
        <f t="shared" ca="1" si="124"/>
        <v>#N/A</v>
      </c>
      <c r="BL60" s="140" t="e">
        <f ca="1">IF($BK60&lt;=Control!$C$87,$BK60,Control!$C$87-$BK60)</f>
        <v>#N/A</v>
      </c>
      <c r="BM60" s="140" t="e">
        <f ca="1">IF(AND($BB60&gt;=9,$BB60&lt;21),1,IF($BK60&gt;=Control!$C$87,0,$BI60))</f>
        <v>#N/A</v>
      </c>
      <c r="BN60" s="404" t="e">
        <f ca="1">IF($BM60=0,0,IF($BK60&lt;=Control!$C$87,$BI60*(9+(21-9)*($BL60/Control!$C$87)),0))</f>
        <v>#N/A</v>
      </c>
      <c r="BO60" s="140" t="e">
        <f ca="1">IF($BM60=1,0,IF($BK60&gt;=Control!$C$87,1,IF(AND($BB60&lt;30,$BB60&gt;=21),1,$BS59)))</f>
        <v>#N/A</v>
      </c>
      <c r="BP60" s="140" t="e">
        <f ca="1">IF($BL60&lt;0,-$BL60,$BO60*IF(OR($G60&lt;Control!$C$92,$G60&gt;Control!$C$95),0,IF(AND($G60&gt;=Control!$C$92,$G60&lt;=Control!$C$93),$G60-Control!$C$92,IF(AND($G60&gt;Control!$C$93,$G60&lt;=Control!$C$94),Control!$C$93-Control!$C$92,IF(AND($G60&gt;Control!$C$94,$G60&lt;=Control!$C$95),(Control!$C$93-Control!$C$92)*(Control!$C$94-$G60)/(Control!$C$95-Control!$C$94))))))</f>
        <v>#N/A</v>
      </c>
      <c r="BQ60" s="140" t="e">
        <f t="shared" ca="1" si="15"/>
        <v>#N/A</v>
      </c>
      <c r="BR60" s="140" t="e">
        <f ca="1">IF($BQ60&lt;=Control!$C$88,$BQ60,Control!$C$88-$BQ60)</f>
        <v>#N/A</v>
      </c>
      <c r="BS60" s="140" t="e">
        <f ca="1">IF(AND($BB60&gt;=21,$BB60&lt;30),1,IF($BQ60&gt;=Control!$C$88,0,$BO60))</f>
        <v>#N/A</v>
      </c>
      <c r="BT60" s="404" t="e">
        <f ca="1">IF($BS60=0,0,IF($BQ60&lt;=Control!$C$88,$BO60*(21+(30-21)*(BR60/Control!$C$88)),0))</f>
        <v>#N/A</v>
      </c>
      <c r="BU60" s="140" t="e">
        <f ca="1">IF(BG60+BM60+BS60=1,0,IF(OR(AND($BB60&lt;60,$BB60&gt;=30),$BQ60&gt;=Control!$C$88),1*$BA60,$BY59))</f>
        <v>#N/A</v>
      </c>
      <c r="BV60" s="140" t="e">
        <f ca="1">IF($BR60&lt;0,-$BR60,$BU60*IF(OR($G60&lt;Control!$C$92,$G60&gt;Control!$C$95),0,IF(AND($G60&gt;=Control!$C$92,$G60&lt;=Control!$C$93),$G60-Control!$C$92,IF(AND($G60&gt;Control!$C$93,$G60&lt;=Control!$C$94),Control!$C$93-Control!$C$92,IF(AND($G60&gt;Control!$C$94,$G60&lt;=Control!$C$95),(Control!$C$93-Control!$C$92)*(Control!$C$94-$G60)/(Control!$C$95-Control!$C$94))))))</f>
        <v>#N/A</v>
      </c>
      <c r="BW60" s="140" t="e">
        <f t="shared" ca="1" si="16"/>
        <v>#N/A</v>
      </c>
      <c r="BX60" s="140" t="e">
        <f ca="1">IF($BW60&lt;=Control!$C$89,$BW60,Control!$C$89-$BW60)</f>
        <v>#N/A</v>
      </c>
      <c r="BY60" s="140" t="e">
        <f ca="1">IF(AND($AJ60&gt;=30,$AJ60&lt;60),1,IF($BW60&gt;=Control!$C$89,0,$BU60))</f>
        <v>#N/A</v>
      </c>
      <c r="BZ60" s="404" t="e">
        <f ca="1">IF($BY60=0,0,IF($BW60&lt;=Control!$C$89,$BU60*(30+(60-30)*(BX60/Control!$C$89)),0))</f>
        <v>#N/A</v>
      </c>
      <c r="CA60" s="140" t="e">
        <f ca="1">IF($BG60+$BM60+$BS60+$BY60=1,0,IF(OR(AND($BB60&lt;65,$BB60&gt;=60),$BW60&gt;=Control!$C$89),1*$BA60,$CE59))</f>
        <v>#N/A</v>
      </c>
      <c r="CB60" s="140" t="e">
        <f ca="1">IF($BX60&lt;0,-$BX60,$CA60*IF(OR($G60&lt;Control!$C$92,$G60&gt;Control!$C$95),0,IF(AND($G60&gt;=Control!$C$92,$G60&lt;=Control!$C$93),$G60-Control!$C$92,IF(AND($G60&gt;Control!$C$93,$G60&lt;=Control!$C$94),Control!$C$93-Control!$C$92,IF(AND($G60&gt;Control!$C$94,$G60&lt;=Control!$C$95),(Control!$C$93-Control!$C$92)*(Control!$C$94-$G60)/(Control!$C$95-Control!$C$94))))))</f>
        <v>#N/A</v>
      </c>
      <c r="CC60" s="140" t="e">
        <f t="shared" ca="1" si="125"/>
        <v>#N/A</v>
      </c>
      <c r="CD60" s="140" t="e">
        <f ca="1">IF($CC60&lt;=Control!$C$90,$CC60,Control!$C$90-$CC60)</f>
        <v>#N/A</v>
      </c>
      <c r="CE60" s="140" t="e">
        <f ca="1">IF(AND($BB60&gt;=60,$BB60&lt;65),1,IF($CC60&gt;=Control!$C$90,0,$CA60))</f>
        <v>#N/A</v>
      </c>
      <c r="CF60" s="404" t="e">
        <f ca="1">IF($CE60=0,0,IF($CC60&lt;=Control!$C$90,$CA60*(60+(65-60)*(CD60/Control!$C$90)),0))</f>
        <v>#N/A</v>
      </c>
      <c r="CG60" s="140" t="e">
        <f ca="1">IF($BG60+$BM60+$BS60+$BY60+$CE60=1,0,IF(OR(AND($BB60&lt;90,$BB60&gt;=65),$CC60&gt;=Control!$C$90),$BA60,$CK59))</f>
        <v>#N/A</v>
      </c>
      <c r="CH60" s="140" t="e">
        <f ca="1">IF($CD60&lt;0,-$CD60,$CG60*IF(OR($G60&lt;Control!$C$92,$G60&gt;Control!$C$95),0,IF(AND($G60&gt;=Control!$C$92,$G60&lt;=Control!$C$93),$G60-Control!$C$92,IF(AND($G60&gt;Control!$C$93,$G60&lt;=Control!$C$94),Control!$C$93-Control!$C$92,IF(AND($G60&gt;Control!$C$94,$G60&lt;=Control!$C$95),(Control!$C$93-Control!$C$92)*(Control!$C$94-$G60)/(Control!$C$95-Control!$C$94))))))</f>
        <v>#N/A</v>
      </c>
      <c r="CI60" s="140" t="e">
        <f t="shared" ca="1" si="126"/>
        <v>#N/A</v>
      </c>
      <c r="CJ60" s="140" t="e">
        <f ca="1">IF($CI60&lt;=Control!$C$91,$CI60,Control!$C$91-$CI60)</f>
        <v>#N/A</v>
      </c>
      <c r="CK60" s="140" t="e">
        <f ca="1">IF(AND($BB60&gt;=65,$BB60&lt;90),1,IF($CI60&gt;=Control!$C$91,0,$CG60))</f>
        <v>#N/A</v>
      </c>
      <c r="CL60" s="404" t="e">
        <f ca="1">IF($CK60=0,0,IF($CI60&lt;=Control!$C$91,$CG60*(65+(90-65)*($CJ60/Control!$C$91)),0))</f>
        <v>#N/A</v>
      </c>
      <c r="CM60" s="140" t="e">
        <f ca="1">IF($BG60+$BM60+$BS60+$BY60+$CE60+$CK60=1,0,IF(OR($BB60&gt;=90,$CI60&gt;=Control!$C$91),$BA60,$CM59))</f>
        <v>#N/A</v>
      </c>
      <c r="CN60" s="140" t="e">
        <f t="shared" ca="1" si="127"/>
        <v>#N/A</v>
      </c>
      <c r="CO60" s="140" t="e">
        <f t="shared" ca="1" si="128"/>
        <v>#N/A</v>
      </c>
      <c r="CP60" s="140" t="e">
        <f t="shared" ca="1" si="129"/>
        <v>#N/A</v>
      </c>
      <c r="CQ60" s="141" t="e">
        <f ca="1">VLOOKUP($CP60,Control!$B$86:$G$91,6)</f>
        <v>#N/A</v>
      </c>
      <c r="CR60" s="141" t="e">
        <f ca="1">(1-$CQ60)*VLOOKUP($CP60,Control!$B$86:$D$91,3)</f>
        <v>#N/A</v>
      </c>
      <c r="CS60" s="141" t="e">
        <f ca="1">(1-$CQ60)*VLOOKUP($CP60,Control!$B$86:$E$91,4)</f>
        <v>#N/A</v>
      </c>
      <c r="CT60" s="141" t="e">
        <f ca="1">(1-$CQ60)*VLOOKUP($CP60,Control!$B$86:$F$91,5)</f>
        <v>#N/A</v>
      </c>
      <c r="CU60" s="141">
        <f t="shared" ca="1" si="130"/>
        <v>0</v>
      </c>
      <c r="CV60" s="583">
        <f t="shared" ca="1" si="131"/>
        <v>0</v>
      </c>
      <c r="CW60" s="142">
        <f t="shared" ca="1" si="132"/>
        <v>55</v>
      </c>
      <c r="CX60" s="612" t="e">
        <f ca="1">IF(Control!$C$114=1,(MIN(Control!$C$120*(IF($NT60-0.01&lt;0,0,1)),Control!$C$119-$CY60)))</f>
        <v>#DIV/0!</v>
      </c>
      <c r="CY60" s="143" t="e">
        <f t="shared" ca="1" si="133"/>
        <v>#N/A</v>
      </c>
      <c r="CZ60" s="144">
        <f t="shared" ca="1" si="17"/>
        <v>0</v>
      </c>
      <c r="DA60" s="144">
        <f t="shared" ca="1" si="18"/>
        <v>0</v>
      </c>
      <c r="DB60" s="144" t="e">
        <f t="shared" ca="1" si="19"/>
        <v>#N/A</v>
      </c>
      <c r="DC60" s="144" t="e">
        <f t="shared" ca="1" si="20"/>
        <v>#N/A</v>
      </c>
      <c r="DD60" s="144" t="e">
        <f t="shared" ca="1" si="216"/>
        <v>#N/A</v>
      </c>
      <c r="DE60" s="143" t="e">
        <f t="shared" ca="1" si="135"/>
        <v>#N/A</v>
      </c>
      <c r="DF60" s="145" t="e">
        <f ca="1">$DR60*EXP(-Control!$C$158*(1-$KH60))</f>
        <v>#N/A</v>
      </c>
      <c r="DG60" s="146" t="e">
        <f ca="1">IF(Control!$C$114=1, $DF60*$EY60, 0)</f>
        <v>#N/A</v>
      </c>
      <c r="DH60" s="147" t="e">
        <f t="shared" ca="1" si="136"/>
        <v>#N/A</v>
      </c>
      <c r="DI60" s="144" t="e">
        <f t="shared" ca="1" si="191"/>
        <v>#N/A</v>
      </c>
      <c r="DJ60" s="147" t="e">
        <f ca="1">$EF60*Control!$C$109</f>
        <v>#N/A</v>
      </c>
      <c r="DK60" s="144" t="e">
        <f t="shared" ca="1" si="137"/>
        <v>#N/A</v>
      </c>
      <c r="DL60" s="144" t="e">
        <f t="shared" ca="1" si="21"/>
        <v>#N/A</v>
      </c>
      <c r="DM60" s="144" t="e">
        <f ca="1">IF(Control!$C$114=1, (1-EXP(-Control!$C$96*$DK60))*$AR60, 0)</f>
        <v>#N/A</v>
      </c>
      <c r="DN60" s="144">
        <f t="shared" ca="1" si="138"/>
        <v>0</v>
      </c>
      <c r="DO60" s="148">
        <f>Control!$C$97</f>
        <v>4</v>
      </c>
      <c r="DP60" s="145" t="e">
        <f t="shared" ca="1" si="139"/>
        <v>#N/A</v>
      </c>
      <c r="DQ60" s="145" t="e">
        <f ca="1">IF(AND($CP60&gt;=0,$CP60&lt;=90),Control!$C$111,Control!$C$111)</f>
        <v>#N/A</v>
      </c>
      <c r="DR60" s="145" t="e">
        <f t="shared" ca="1" si="22"/>
        <v>#N/A</v>
      </c>
      <c r="DS60" s="143" t="e">
        <f ca="1">Control!$B$22/$DR60</f>
        <v>#N/A</v>
      </c>
      <c r="DT60" s="149" t="e">
        <f ca="1">IF(AND(Control!$C$114=1,$KH60&lt;1),$IM60*$DF60, 0)</f>
        <v>#N/A</v>
      </c>
      <c r="DU60" s="144" t="e">
        <f t="shared" ca="1" si="192"/>
        <v>#N/A</v>
      </c>
      <c r="DV60" s="144">
        <f ca="1">IF($G60-Control!$C$107&lt;=0, 0, 0.83*LN(MAX($G60, 3))-0.8924)</f>
        <v>0</v>
      </c>
      <c r="DW60" s="144" t="e">
        <f t="shared" ca="1" si="23"/>
        <v>#N/A</v>
      </c>
      <c r="DX60" s="150" t="e">
        <f ca="1">MAX(0.01*(1+$CU60/Control!$C$102),0.05*($DK60-Control!$C$97)/Control!$C$97)</f>
        <v>#N/A</v>
      </c>
      <c r="DY60" s="151" t="e">
        <f ca="1">IF(Control!$C$114=1, $DI60*$FS60, 0)</f>
        <v>#N/A</v>
      </c>
      <c r="DZ60" s="196" t="e">
        <f t="shared" ca="1" si="140"/>
        <v>#N/A</v>
      </c>
      <c r="EA60" s="152">
        <f t="shared" ca="1" si="141"/>
        <v>55</v>
      </c>
      <c r="EB60" s="153" t="e">
        <f t="shared" ca="1" si="217"/>
        <v>#N/A</v>
      </c>
      <c r="EC60" s="153" t="e">
        <f t="shared" ca="1" si="142"/>
        <v>#N/A</v>
      </c>
      <c r="ED60" s="154" t="e">
        <f ca="1">IF(Control!$C$114=1, $HM60*$FY60-$FD60, 0)</f>
        <v>#DIV/0!</v>
      </c>
      <c r="EE60" s="155" t="e">
        <f ca="1">IF(Control!$C$114=1, $HM60*$FZ60-$FF60, 0)</f>
        <v>#DIV/0!</v>
      </c>
      <c r="EF60" s="153" t="e">
        <f t="shared" ca="1" si="193"/>
        <v>#N/A</v>
      </c>
      <c r="EG60" s="155" t="e">
        <f ca="1">IF(Control!$C$114=1, $GX60*$FW60-$FI60, 0)</f>
        <v>#DIV/0!</v>
      </c>
      <c r="EH60" s="153" t="e">
        <f t="shared" ca="1" si="143"/>
        <v>#N/A</v>
      </c>
      <c r="EI60" s="156" t="e">
        <f t="shared" ca="1" si="144"/>
        <v>#N/A</v>
      </c>
      <c r="EJ60" s="155" t="e">
        <f ca="1">IF(Control!$C$114=1, $HM60*$GB60, 0)</f>
        <v>#DIV/0!</v>
      </c>
      <c r="EK60" s="153" t="e">
        <f t="shared" ca="1" si="194"/>
        <v>#N/A</v>
      </c>
      <c r="EL60" s="153" t="e">
        <f t="shared" ca="1" si="24"/>
        <v>#N/A</v>
      </c>
      <c r="EM60" s="153" t="e">
        <f t="shared" ca="1" si="25"/>
        <v>#N/A</v>
      </c>
      <c r="EN60" s="153" t="e">
        <f ca="1">IF(Control!$C$108=1,IF(AND(Control!$B$18=1,$EB60&gt;=Control!$B$19),$EB60-$DS60,IF(AND(Control!$B$18=2,$AW60=1,$EB60&gt;$DS60),$EB60-$DS60,0)))</f>
        <v>#N/A</v>
      </c>
      <c r="EO60" s="153" t="e">
        <f ca="1">IF(Control!$C$108=1,IF(AND(Control!$B$18=1,$EB60&gt;=Control!$B$19),$EF60,IF(AND(Control!$B$18=2,$AW60=1),$EF60,0)))</f>
        <v>#N/A</v>
      </c>
      <c r="EP60" s="153" t="e">
        <f ca="1">IF(Control!$C$108=1,IF(AND(Control!$B$18=1,$EB60&gt;=Control!$B$19),$EK60,IF(AND(Control!$B$18=2,$AW60=1),$EK60,0)))</f>
        <v>#N/A</v>
      </c>
      <c r="EQ60" s="153" t="e">
        <f t="shared" ca="1" si="145"/>
        <v>#N/A</v>
      </c>
      <c r="ER60" s="153" t="e">
        <f t="shared" ca="1" si="231"/>
        <v>#N/A</v>
      </c>
      <c r="ES60" s="153" t="e">
        <f t="shared" ca="1" si="196"/>
        <v>#N/A</v>
      </c>
      <c r="ET60" s="153" t="e">
        <f t="shared" ca="1" si="197"/>
        <v>#N/A</v>
      </c>
      <c r="EU60" s="153" t="e">
        <f t="shared" ca="1" si="198"/>
        <v>#N/A</v>
      </c>
      <c r="EV60" s="153" t="e">
        <f t="shared" ca="1" si="146"/>
        <v>#N/A</v>
      </c>
      <c r="EW60" s="153" t="e">
        <f t="shared" ca="1" si="218"/>
        <v>#N/A</v>
      </c>
      <c r="EX60" s="153" t="e">
        <f t="shared" ca="1" si="26"/>
        <v>#N/A</v>
      </c>
      <c r="EY60" s="157" t="e">
        <f t="shared" ca="1" si="147"/>
        <v>#DIV/0!</v>
      </c>
      <c r="EZ60" s="154" t="e">
        <f t="shared" ca="1" si="27"/>
        <v>#DIV/0!</v>
      </c>
      <c r="FA60" s="153" t="e">
        <f t="shared" ca="1" si="199"/>
        <v>#N/A</v>
      </c>
      <c r="FB60" s="153" t="e">
        <f t="shared" ca="1" si="28"/>
        <v>#N/A</v>
      </c>
      <c r="FC60" s="193" t="e">
        <f t="shared" ca="1" si="29"/>
        <v>#N/A</v>
      </c>
      <c r="FD60" s="158" t="e">
        <f t="shared" ca="1" si="200"/>
        <v>#N/A</v>
      </c>
      <c r="FE60" s="158" t="e">
        <f t="shared" ca="1" si="148"/>
        <v>#N/A</v>
      </c>
      <c r="FF60" s="159" t="e">
        <f t="shared" ca="1" si="30"/>
        <v>#N/A</v>
      </c>
      <c r="FG60" s="160" t="e">
        <f t="shared" ca="1" si="149"/>
        <v>#N/A</v>
      </c>
      <c r="FH60" s="158" t="e">
        <f t="shared" ca="1" si="150"/>
        <v>#N/A</v>
      </c>
      <c r="FI60" s="159" t="e">
        <f t="shared" ca="1" si="31"/>
        <v>#N/A</v>
      </c>
      <c r="FJ60" s="160" t="e">
        <f t="shared" ca="1" si="151"/>
        <v>#N/A</v>
      </c>
      <c r="FK60" s="160" t="e">
        <f t="shared" ca="1" si="32"/>
        <v>#N/A</v>
      </c>
      <c r="FL60" s="160" t="e">
        <f t="shared" ca="1" si="229"/>
        <v>#N/A</v>
      </c>
      <c r="FM60" s="160" t="e">
        <f t="shared" ca="1" si="33"/>
        <v>#N/A</v>
      </c>
      <c r="FN60" s="158">
        <f t="shared" ca="1" si="219"/>
        <v>0.01</v>
      </c>
      <c r="FO60" s="160">
        <f>Control!$C$101</f>
        <v>50</v>
      </c>
      <c r="FP60" s="150" t="e">
        <f t="shared" ca="1" si="34"/>
        <v>#N/A</v>
      </c>
      <c r="FQ60" s="150" t="e">
        <f ca="1">MAX(0,(Control!$C$112*(($DK60-Control!$C$97)/Control!$C$97)))</f>
        <v>#N/A</v>
      </c>
      <c r="FR60" s="150" t="e">
        <f ca="1">(1-$NT60)*Control!$C$113</f>
        <v>#DIV/0!</v>
      </c>
      <c r="FS60" s="198" t="e">
        <f t="shared" ca="1" si="35"/>
        <v>#N/A</v>
      </c>
      <c r="FT60" s="161">
        <f t="shared" ca="1" si="152"/>
        <v>55</v>
      </c>
      <c r="FU60" s="162" t="e">
        <f ca="1">IF(Control!$B$34=1,VLOOKUP($CP60,Control!$B$86:$G$91,6),Control!$B$35)</f>
        <v>#N/A</v>
      </c>
      <c r="FV60" s="162" t="e">
        <f t="shared" ca="1" si="36"/>
        <v>#DIV/0!</v>
      </c>
      <c r="FW60" s="162" t="e">
        <f ca="1">IF(Control!$B$31=1,$FU60*$FV60,  $FU60)</f>
        <v>#N/A</v>
      </c>
      <c r="FX60" s="162" t="e">
        <f ca="1">IF(Control!$B$34=1,VLOOKUP($CP60,Control!$B$86:$G$91,3),Control!$B$36)</f>
        <v>#N/A</v>
      </c>
      <c r="FY60" s="162" t="e">
        <f t="shared" ca="1" si="37"/>
        <v>#N/A</v>
      </c>
      <c r="FZ60" s="162" t="e">
        <f ca="1">IF(Control!$B$34=1,VLOOKUP($CP60,Control!$B$86:$G$91,4),Control!$B$37)</f>
        <v>#N/A</v>
      </c>
      <c r="GA60" s="162" t="e">
        <f t="shared" ca="1" si="38"/>
        <v>#N/A</v>
      </c>
      <c r="GB60" s="162" t="e">
        <f ca="1">IF(Control!$B$34=1,VLOOKUP($CP60,Control!$B$86:$G$91,5),Control!$B$38)</f>
        <v>#N/A</v>
      </c>
      <c r="GC60" s="162" t="e">
        <f t="shared" ca="1" si="153"/>
        <v>#N/A</v>
      </c>
      <c r="GD60" s="162">
        <f t="shared" ca="1" si="39"/>
        <v>1</v>
      </c>
      <c r="GE60" s="162">
        <f t="shared" ca="1" si="40"/>
        <v>1</v>
      </c>
      <c r="GF60" s="162">
        <f ca="1">IF(AND(Control!$C$104=1, Control!$C$62="F"),$GE60,1)</f>
        <v>1</v>
      </c>
      <c r="GG60" s="162" t="e">
        <f ca="1">IF(Control!$B$16=40,0,IF(AND(Control!$B$16&gt;40,Control!$B$16&lt;=360),(Control!$B$16-40)*((1-0)/(360-40)),IF(AND(Control!$B$16&gt;360,Control!$B$16&lt;=720),(1+(Control!$B$16-360)*((1.25-1)/(720-360))),IF(AND(Control!$B$16&gt;720,Control!$B$16&lt;=1000),(1.25+(Control!$B$16-720)*((1.35-1.25)/(1000-720))),IF(AND(Control!$B$16&gt;1000,Control!$B$16&lt;=2000),(1.35+(Control!$B$16-1000)*0))))))</f>
        <v>#N/A</v>
      </c>
      <c r="GH60" s="162" t="e">
        <f t="shared" ca="1" si="41"/>
        <v>#N/A</v>
      </c>
      <c r="GI60" s="162">
        <f t="shared" ca="1" si="201"/>
        <v>0</v>
      </c>
      <c r="GJ60" s="162">
        <f t="shared" ca="1" si="42"/>
        <v>0</v>
      </c>
      <c r="GK60" s="162">
        <f t="shared" ca="1" si="220"/>
        <v>1</v>
      </c>
      <c r="GL60" s="162">
        <f t="shared" ca="1" si="43"/>
        <v>1</v>
      </c>
      <c r="GM60" s="162" t="e">
        <f ca="1">MAX(0,MIN(1,1-Control!$C$156*(1.0001-$KH60)^2))</f>
        <v>#N/A</v>
      </c>
      <c r="GN60" s="162" t="e">
        <f ca="1">IF(Control!$B$26=1,$KU60,$KX60)</f>
        <v>#N/A</v>
      </c>
      <c r="GO60" s="162" t="e">
        <f ca="1">IF($CP60&lt;=60,Control!$C$105,IF($CP60&gt;=90,Control!$C$106,Control!$C$105+($CP60-60)*((Control!$C$106-Control!$C$105)/(90-60))))</f>
        <v>#N/A</v>
      </c>
      <c r="GP60" s="162" t="e">
        <f t="shared" ca="1" si="154"/>
        <v>#N/A</v>
      </c>
      <c r="GQ60" s="162" t="e">
        <f t="shared" ca="1" si="155"/>
        <v>#N/A</v>
      </c>
      <c r="GR60" s="163" t="e">
        <f t="shared" ca="1" si="44"/>
        <v>#DIV/0!</v>
      </c>
      <c r="GS60" s="162" t="e">
        <f t="shared" ca="1" si="45"/>
        <v>#DIV/0!</v>
      </c>
      <c r="GT60" s="164" t="e">
        <f t="shared" ca="1" si="156"/>
        <v>#N/A</v>
      </c>
      <c r="GU60" s="162" t="e">
        <f t="shared" ca="1" si="157"/>
        <v>#N/A</v>
      </c>
      <c r="GV60" s="162" t="e">
        <f t="shared" ca="1" si="46"/>
        <v>#N/A</v>
      </c>
      <c r="GW60" s="162" t="e">
        <f t="shared" ca="1" si="221"/>
        <v>#DIV/0!</v>
      </c>
      <c r="GX60" s="162" t="e">
        <f t="shared" ca="1" si="228"/>
        <v>#DIV/0!</v>
      </c>
      <c r="GY60" s="162" t="e">
        <f t="shared" ca="1" si="158"/>
        <v>#DIV/0!</v>
      </c>
      <c r="GZ60" s="165" t="e">
        <f t="shared" ca="1" si="159"/>
        <v>#N/A</v>
      </c>
      <c r="HA60" s="162" t="e">
        <f ca="1">IF(Control!$C$114=1, $DI60*$FS60, 0)</f>
        <v>#N/A</v>
      </c>
      <c r="HB60" s="162" t="e">
        <f ca="1">$FA60/Control!$C$64</f>
        <v>#N/A</v>
      </c>
      <c r="HC60" s="162" t="e">
        <f t="shared" ca="1" si="222"/>
        <v>#DIV/0!</v>
      </c>
      <c r="HD60" s="162">
        <f ca="1">-ASIN(SIN(23.45*Control!$C$139)*COS(2*Control!$C$138*($AH60+10)/365))</f>
        <v>-0.17465074546149842</v>
      </c>
      <c r="HE60" s="165">
        <f t="shared" ca="1" si="160"/>
        <v>0</v>
      </c>
      <c r="HF60" s="166">
        <f ca="1">IF(AND(Control!$C$61="T",$HE60&gt;=Control!$C$103,Control!$C$114=0),$AH60,Control!$C$59)</f>
        <v>1</v>
      </c>
      <c r="HG60" s="166">
        <f ca="1">IF(AND(Control!$C$61="T",$HE60&gt;=Control!$C$103,Control!$C$114=0),$HF60,Control!$C$59)</f>
        <v>1</v>
      </c>
      <c r="HH60" s="165">
        <f ca="1">IF(AND(OR(Control!$C$60&lt;=0, $AH60= Control!$C$59, Control!$C$60 &gt;0, $AH60 = Control!$C$60)), Control!$C$59, IF(Control!$C$60&gt;0, 0))</f>
        <v>1</v>
      </c>
      <c r="HI60" s="165">
        <f ca="1">IF(AND(OR(Control!$C$60&lt;=0, $AH60= Control!$C$59, Control!$C$60 &gt;0, $AH60 = Control!$C$60)), Control!$C$60, IF(Control!$C$60&lt;=0, 0))</f>
        <v>0</v>
      </c>
      <c r="HJ60" s="166">
        <f ca="1">IF(AND(Control!$C$62="F",$CV60&gt;=Control!$C$102),$AH60,0)</f>
        <v>0</v>
      </c>
      <c r="HK60" s="165" t="e">
        <f t="shared" ca="1" si="202"/>
        <v>#N/A</v>
      </c>
      <c r="HL60" s="166">
        <f ca="1">IF(AND(Control!$C$61="T",$HE60&gt;=Control!$C$103,Control!$C$114=0),$HF60,0)</f>
        <v>0</v>
      </c>
      <c r="HM60" s="201" t="e">
        <f t="shared" ca="1" si="47"/>
        <v>#DIV/0!</v>
      </c>
      <c r="HN60" s="215">
        <f t="shared" ca="1" si="161"/>
        <v>55</v>
      </c>
      <c r="HO60" s="216" t="e">
        <f ca="1">IF(AND($CP60&gt;=0, $CP60&lt;=90), Control!$C$152, Control!$C$152)</f>
        <v>#N/A</v>
      </c>
      <c r="HP60" s="216" t="e">
        <f t="shared" ca="1" si="48"/>
        <v>#N/A</v>
      </c>
      <c r="HQ60" s="217" t="e">
        <f ca="1">IF(OR(Control!$B$26=1,Control!$B$26=2),$KV60,$KS60)</f>
        <v>#DIV/0!</v>
      </c>
      <c r="HR60" s="218" t="e">
        <f t="shared" ca="1" si="223"/>
        <v>#DIV/0!</v>
      </c>
      <c r="HS60" s="216" t="e">
        <f ca="1">Control!$C$154*$HP60</f>
        <v>#N/A</v>
      </c>
      <c r="HT60" s="216" t="e">
        <f ca="1">Control!$C$155*$HP60</f>
        <v>#N/A</v>
      </c>
      <c r="HU60" s="217" t="e">
        <f ca="1">Control!$C$161*$FI60</f>
        <v>#N/A</v>
      </c>
      <c r="HV60" s="218" t="e">
        <f t="shared" ca="1" si="162"/>
        <v>#N/A</v>
      </c>
      <c r="HW60" s="218" t="e">
        <f ca="1">Control!$C$160*$FF60+$IP60*$EO60</f>
        <v>#N/A</v>
      </c>
      <c r="HX60" s="218" t="e">
        <f t="shared" ca="1" si="203"/>
        <v>#N/A</v>
      </c>
      <c r="HY60" s="219" t="e">
        <f ca="1">IF(Control!$C$114=1, $EB60*$FS60, 0)</f>
        <v>#N/A</v>
      </c>
      <c r="HZ60" s="91" t="e">
        <f t="shared" ca="1" si="49"/>
        <v>#N/A</v>
      </c>
      <c r="IA60" s="220" t="e">
        <f ca="1">Control!$C$153*$HO60</f>
        <v>#N/A</v>
      </c>
      <c r="IB60" s="218" t="e">
        <f t="shared" ca="1" si="50"/>
        <v>#N/A</v>
      </c>
      <c r="IC60" s="220" t="e">
        <f ca="1">Control!$C$153*$HT60</f>
        <v>#N/A</v>
      </c>
      <c r="ID60" s="218" t="e">
        <f t="shared" ca="1" si="51"/>
        <v>#N/A</v>
      </c>
      <c r="IE60" s="221" t="e">
        <f ca="1">($EB60*Control!$C$159+$EF60*Control!$C$160)/(IF($GZ60&lt;&gt;0,$GZ60,1))</f>
        <v>#N/A</v>
      </c>
      <c r="IF60" s="216" t="e">
        <f t="shared" ca="1" si="52"/>
        <v>#N/A</v>
      </c>
      <c r="IG60" s="91">
        <f ca="1">IF(OR(Control!$B$198=$AH60,Control!$B$199=$AH60, Control!$B$200=$AH60, Control!$B$201=$AH60, Control!$B$202=$AH60, Control!$B$203=$AH60, Control!$B$204=$AH60, Control!$B$205=$AH60, Control!$B$206=$AH60, Control!$B$207=$AH60), 1, 0)</f>
        <v>0</v>
      </c>
      <c r="IH60" s="91">
        <f ca="1">IF($IG60=0,0, VLOOKUP($AH60,Control!$B$198:$C$207,2))</f>
        <v>0</v>
      </c>
      <c r="II60" s="222">
        <f t="shared" ca="1" si="163"/>
        <v>0</v>
      </c>
      <c r="IJ60" s="91">
        <f>Control!$C$121</f>
        <v>0.7</v>
      </c>
      <c r="IK60" s="218">
        <f t="shared" ca="1" si="53"/>
        <v>0</v>
      </c>
      <c r="IL60" s="217" t="e">
        <f t="shared" ca="1" si="204"/>
        <v>#N/A</v>
      </c>
      <c r="IM60" s="223" t="e">
        <f ca="1">IF(AND(Control!$C$114=1,$KH60&lt;1),$EB60*Control!$C$148*(1-$KH60), 0)</f>
        <v>#N/A</v>
      </c>
      <c r="IN60" s="217" t="e">
        <f t="shared" ca="1" si="54"/>
        <v>#DIV/0!</v>
      </c>
      <c r="IO60" s="91" t="e">
        <f ca="1">MAX(0,$IL60-$EF60*Control!$C$160)</f>
        <v>#N/A</v>
      </c>
      <c r="IP60" s="220" t="e">
        <f t="shared" ca="1" si="55"/>
        <v>#N/A</v>
      </c>
      <c r="IQ60" s="217" t="e">
        <f t="shared" ca="1" si="164"/>
        <v>#N/A</v>
      </c>
      <c r="IR60" s="218" t="e">
        <f t="shared" ca="1" si="56"/>
        <v>#N/A</v>
      </c>
      <c r="IS60" s="217" t="e">
        <f ca="1">Control!$C$159*MAX(0,$FD60-$EN60)</f>
        <v>#N/A</v>
      </c>
      <c r="IT60" s="217" t="e">
        <f t="shared" ca="1" si="205"/>
        <v>#N/A</v>
      </c>
      <c r="IU60" s="217" t="e">
        <f t="shared" ca="1" si="165"/>
        <v>#N/A</v>
      </c>
      <c r="IV60" s="217" t="e">
        <f t="shared" ca="1" si="206"/>
        <v>#N/A</v>
      </c>
      <c r="IW60" s="217" t="e">
        <f ca="1">IF(OR($AW60=1,AND($AW60=0, Control!$B$18=1,$EN60&lt;&gt;0)), $IQ60-$IU60, $IQ60)</f>
        <v>#N/A</v>
      </c>
      <c r="IX60" s="218" t="e">
        <f t="shared" ca="1" si="57"/>
        <v>#N/A</v>
      </c>
      <c r="IY60" s="218" t="e">
        <f ca="1">MAX(0,$IQ60-$EB60*Control!$C$159)</f>
        <v>#N/A</v>
      </c>
      <c r="IZ60" s="218" t="e">
        <f t="shared" ca="1" si="58"/>
        <v>#N/A</v>
      </c>
      <c r="JA60" s="216" t="e">
        <f t="shared" ca="1" si="59"/>
        <v>#N/A</v>
      </c>
      <c r="JB60" s="217" t="e">
        <f t="shared" ca="1" si="60"/>
        <v>#N/A</v>
      </c>
      <c r="JC60" s="222" t="e">
        <f ca="1">MAX(Control!$C$157*$EK60-$JT60, 0)/Control!$C$162</f>
        <v>#N/A</v>
      </c>
      <c r="JD60" s="218" t="e">
        <f t="shared" ca="1" si="61"/>
        <v>#N/A</v>
      </c>
      <c r="JE60" s="218" t="e">
        <f t="shared" ca="1" si="62"/>
        <v>#N/A</v>
      </c>
      <c r="JF60" s="218" t="e">
        <f t="shared" ca="1" si="207"/>
        <v>#N/A</v>
      </c>
      <c r="JG60" s="218" t="e">
        <f t="shared" ca="1" si="63"/>
        <v>#N/A</v>
      </c>
      <c r="JH60" s="217" t="e">
        <f t="shared" ca="1" si="166"/>
        <v>#N/A</v>
      </c>
      <c r="JI60" s="217" t="e">
        <f t="shared" ca="1" si="167"/>
        <v>#N/A</v>
      </c>
      <c r="JJ60" s="217" t="e">
        <f t="shared" ca="1" si="224"/>
        <v>#N/A</v>
      </c>
      <c r="JK60" s="217" t="e">
        <f ca="1">IF(Control!$C$114=1,IF(Control!$B$24=0,MAX(0,$JI60)*$GN60/Control!$C$64,(MAX(0,MIN($JI60,$JJ60*$GN60/Control!$C$64),0))))</f>
        <v>#N/A</v>
      </c>
      <c r="JL60" s="217" t="e">
        <f ca="1">$IK60/Control!$C$64-$JK60+$HQ60</f>
        <v>#N/A</v>
      </c>
      <c r="JM60" s="217" t="e">
        <f ca="1">IF(Control!$C$114=1,($JB60/(IF($JI60&lt;&gt;0,$JI60,1)))*$JK60,0)</f>
        <v>#N/A</v>
      </c>
      <c r="JN60" s="217" t="e">
        <f ca="1">IF(Control!$C$114=1,($JG60/(IF($JI60&lt;&gt;0,$JI60,1)))*$JK60, 0)</f>
        <v>#N/A</v>
      </c>
      <c r="JO60" s="218" t="e">
        <f t="shared" ca="1" si="64"/>
        <v>#N/A</v>
      </c>
      <c r="JP60" s="218" t="e">
        <f ca="1">MIN(($IY60+$IO60)*Control!$C$151, $JF60-$EH60*Control!$C$161)</f>
        <v>#N/A</v>
      </c>
      <c r="JQ60" s="218" t="e">
        <f t="shared" ca="1" si="65"/>
        <v>#N/A</v>
      </c>
      <c r="JR60" s="217" t="e">
        <f ca="1">IF($CP60-Control!$C$150&lt;0, 0, $JQ60/Control!$C$162)</f>
        <v>#N/A</v>
      </c>
      <c r="JS60" s="218" t="e">
        <f t="shared" ca="1" si="66"/>
        <v>#N/A</v>
      </c>
      <c r="JT60" s="218" t="e">
        <f t="shared" ca="1" si="168"/>
        <v>#N/A</v>
      </c>
      <c r="JU60" s="218" t="e">
        <f t="shared" ca="1" si="67"/>
        <v>#N/A</v>
      </c>
      <c r="JV60" s="218" t="e">
        <f t="shared" ca="1" si="68"/>
        <v>#N/A</v>
      </c>
      <c r="JW60" s="216" t="e">
        <f t="shared" ca="1" si="69"/>
        <v>#N/A</v>
      </c>
      <c r="JX60" s="91" t="e">
        <f t="shared" ca="1" si="70"/>
        <v>#N/A</v>
      </c>
      <c r="JY60" s="218" t="e">
        <f t="shared" ca="1" si="71"/>
        <v>#N/A</v>
      </c>
      <c r="JZ60" s="217" t="e">
        <f ca="1">IF(Control!$C$114=1,($IZ60/(IF($JI60&lt;&gt;0,$JI60,1)))*$JK60, 0)</f>
        <v>#N/A</v>
      </c>
      <c r="KA60" s="218" t="e">
        <f t="shared" ca="1" si="225"/>
        <v>#N/A</v>
      </c>
      <c r="KB60" s="218" t="e">
        <f t="shared" ca="1" si="169"/>
        <v>#N/A</v>
      </c>
      <c r="KC60" s="218" t="e">
        <f t="shared" ca="1" si="72"/>
        <v>#N/A</v>
      </c>
      <c r="KD60" s="218" t="e">
        <f t="shared" ca="1" si="73"/>
        <v>#N/A</v>
      </c>
      <c r="KE60" s="218" t="e">
        <f t="shared" ca="1" si="74"/>
        <v>#N/A</v>
      </c>
      <c r="KF60" s="218" t="e">
        <f t="shared" ca="1" si="75"/>
        <v>#N/A</v>
      </c>
      <c r="KG60" s="216" t="e">
        <f t="shared" ca="1" si="76"/>
        <v>#N/A</v>
      </c>
      <c r="KH60" s="221" t="e">
        <f ca="1">IF(Control!$B$24=0,1,MAX(0.001,MIN(1,IF(($IF60-$IE60)&lt;&gt;0,($KG60-$IE60)/($IF60-$IE60),1))))</f>
        <v>#N/A</v>
      </c>
      <c r="KI60" s="222" t="e">
        <f ca="1">IF(Control!$C$114=1, $KI59+ $KH59, 0)</f>
        <v>#N/A</v>
      </c>
      <c r="KJ60" s="217" t="e">
        <f t="shared" ca="1" si="77"/>
        <v>#N/A</v>
      </c>
      <c r="KK60" s="218" t="e">
        <f t="shared" ca="1" si="78"/>
        <v>#N/A</v>
      </c>
      <c r="KL60" s="274" t="e">
        <f ca="1">IF(Control!$B$26=3,4000000000*EXP(-8400/($G60+273)),IF(Control!$B$26=4,4000000000*EXP(-8400/($G60+273))*($KT60),0))</f>
        <v>#DIV/0!</v>
      </c>
      <c r="KM60" s="274" t="e">
        <f ca="1">IF(Control!$B$26=3,5600000000000*EXP(-9800/($G60+273)),IF(Control!$B$26=4,5600000000000*EXP(-9800/($G60+273))*$KT60,0))</f>
        <v>#DIV/0!</v>
      </c>
      <c r="KN60" s="454" t="e">
        <f t="shared" ca="1" si="170"/>
        <v>#DIV/0!</v>
      </c>
      <c r="KO60" s="274" t="e">
        <f t="shared" ca="1" si="171"/>
        <v>#DIV/0!</v>
      </c>
      <c r="KP60" s="454" t="e">
        <f t="shared" ca="1" si="79"/>
        <v>#DIV/0!</v>
      </c>
      <c r="KQ60" s="454" t="e">
        <f t="shared" ca="1" si="80"/>
        <v>#DIV/0!</v>
      </c>
      <c r="KR60" s="454" t="e">
        <f t="shared" ca="1" si="81"/>
        <v>#DIV/0!</v>
      </c>
      <c r="KS60" s="454" t="e">
        <f t="shared" ca="1" si="82"/>
        <v>#DIV/0!</v>
      </c>
      <c r="KT60" s="455" t="e">
        <f t="shared" ca="1" si="83"/>
        <v>#DIV/0!</v>
      </c>
      <c r="KU60" s="456" t="e">
        <f ca="1">IF($CP60-Control!$C$149&lt;0, IF($NT60-0.01&lt;0,0,1),0)</f>
        <v>#N/A</v>
      </c>
      <c r="KV60" s="456" t="e">
        <f ca="1">IF(Control!$C$114=1,MAX(0,MIN(Control!$C$125*$KW60*$GN60,$KW60)))</f>
        <v>#DIV/0!</v>
      </c>
      <c r="KW60" s="456" t="e">
        <f t="shared" ca="1" si="208"/>
        <v>#DIV/0!</v>
      </c>
      <c r="KX60" s="457" t="e">
        <f ca="1">IF($CP60-Control!$C$149&lt;0, IF($MR60-$OM60&lt;0,0,1),0)</f>
        <v>#N/A</v>
      </c>
      <c r="KY60" s="167">
        <f t="shared" ca="1" si="172"/>
        <v>55</v>
      </c>
      <c r="KZ60" s="168">
        <f ca="1">1370*(1+0.033*COS(2*Control!$C$138*$AH60/365))</f>
        <v>1396.4160391992104</v>
      </c>
      <c r="LA60" s="169">
        <f t="shared" ca="1" si="173"/>
        <v>1.0192818397297361</v>
      </c>
      <c r="LB60" s="169">
        <f t="shared" ca="1" si="174"/>
        <v>-0.17539937793029978</v>
      </c>
      <c r="LC60" s="169">
        <f ca="1">ACOS(-TAN((2*Control!$B$8/360))*TAN(Calculations!$LB60))</f>
        <v>1.5181014531439578</v>
      </c>
      <c r="LD60" s="169">
        <f ca="1">((24*60)/PI())*0.082*$LA60*(($LC60*SIN(Control!$B$8*2*PI()/360))*SIN($LB60)+COS(Control!$B$8*2*PI()/360)*COS($LB60)*SIN($LC60))</f>
        <v>15.194862808260865</v>
      </c>
      <c r="LE60" s="170">
        <f t="shared" ca="1" si="84"/>
        <v>15.611023800596437</v>
      </c>
      <c r="LF60" s="170">
        <f ca="1">SIN(Control!$C$139*Control!$B$8)*SIN($HD60)</f>
        <v>-0.13692829056866737</v>
      </c>
      <c r="LG60" s="170">
        <f ca="1">COS(Control!$C$139*Control!$B$8)*COS($HD60)</f>
        <v>0.60629394698467787</v>
      </c>
      <c r="LH60" s="170">
        <f ca="1">12*(1+2*ASIN(MAX(-1,MIN(1,$LF60/$LG60))/Control!$C$138))</f>
        <v>10.273187885387369</v>
      </c>
      <c r="LI60" s="170">
        <f ca="1">12*(1+2*ASIN(MAX(-1,MIN(1,(-SIN(-4*Control!$C$139)+$LF60)/$LG60))/Control!$C$138))</f>
        <v>11.153448811555982</v>
      </c>
      <c r="LJ60" s="168">
        <f ca="1">3600*($LH60*$LF60+24*$LG60*SQRT(1-$LK60*$LK60)/Control!$C$138)</f>
        <v>11179.35010940489</v>
      </c>
      <c r="LK60" s="170">
        <f t="shared" ca="1" si="85"/>
        <v>-0.22584472638999939</v>
      </c>
      <c r="LL60" s="170">
        <f t="shared" ca="1" si="86"/>
        <v>0</v>
      </c>
      <c r="LM60" s="171">
        <f ca="1">Control!$C$145*$AB60</f>
        <v>6.6660906138995932E-2</v>
      </c>
      <c r="LN60" s="170">
        <f t="shared" ca="1" si="175"/>
        <v>0.54</v>
      </c>
      <c r="LO60" s="170">
        <f t="shared" ca="1" si="87"/>
        <v>0</v>
      </c>
      <c r="LP60" s="170">
        <f ca="1">Control!$C$140*((($D60+273.16)^4+($E60+273.16)^4)/2)*(0.34-0.14*SQRT($Y60))*(1.35*$AQ60/(0.75*$LD60)-0.35)</f>
        <v>-3.2464704755046001</v>
      </c>
      <c r="LQ60" s="170">
        <f ca="1">Control!$C$140*($G60+273)^4*(0.56-0.079*SQRT($Y60*10))*(0.1+0.9*$LO60)</f>
        <v>1.5241745131704001</v>
      </c>
      <c r="LR60" s="170">
        <f ca="1">$AQ60*(1-Control!$C$142)-$LQ60</f>
        <v>-1.5241745131704001</v>
      </c>
      <c r="LS60" s="170">
        <f ca="1">$AQ60*(1-Control!$C$143)-$LQ60</f>
        <v>-1.5241745131704001</v>
      </c>
      <c r="LT60" s="170">
        <f ca="1">$AQ60*(1-Control!$C$144)-$LQ60</f>
        <v>-1.5241745131704001</v>
      </c>
      <c r="LU60" s="169">
        <f ca="1">(1-Control!$C$144)*AQ60-LP60</f>
        <v>3.2464704755046001</v>
      </c>
      <c r="LV60" s="172">
        <f t="shared" ca="1" si="88"/>
        <v>0.79430000000000012</v>
      </c>
      <c r="LW60" s="170">
        <f t="shared" ca="1" si="89"/>
        <v>1.5886000000000002</v>
      </c>
      <c r="LX60" s="170">
        <f ca="1">($AC60*($LR60/Control!$C$141)+$LM60*$LV60)/($AC60+$LM60)</f>
        <v>0.23530094218323697</v>
      </c>
      <c r="LY60" s="170">
        <f ca="1">($AC60*($LS60/Control!$C$141)+$LM60*$LV60)/($AC60+$LM60)</f>
        <v>0.23530094218323697</v>
      </c>
      <c r="LZ60" s="170">
        <f t="shared" ca="1" si="90"/>
        <v>0.23530094218323697</v>
      </c>
      <c r="MA60" s="170">
        <f t="shared" ca="1" si="91"/>
        <v>0.23530094218323697</v>
      </c>
      <c r="MB60" s="170" t="e">
        <f t="shared" ca="1" si="92"/>
        <v>#N/A</v>
      </c>
      <c r="MC60" s="170">
        <f t="shared" ca="1" si="176"/>
        <v>0.6018</v>
      </c>
      <c r="MD60" s="170">
        <f t="shared" ca="1" si="93"/>
        <v>0.52989392535414004</v>
      </c>
      <c r="ME60" s="170">
        <f ca="1">($AC60*($LT60/Control!$C$141)+$LM60*$LW60)/($AC60+$LM60)</f>
        <v>0.71612369323045078</v>
      </c>
      <c r="MF60" s="170" t="e">
        <f ca="1">IF(Control!$B$16&gt;=1000,0.92,IF(AND(720&lt;=Control!$B$16,1000&gt;Control!$B$16),(0.95+(Control!$B$16-720)*((0.92-0.95)/(1000-720))),IF(AND(360&lt;=Control!$B$16,720&gt;Control!$B$16),(1+(Control!$B$16-360)*((0.95-1)/(720-360))),IF(AND(40&lt;=Control!$B$16,360&gt;Control!$B$16),(1.05+(Control!$B$16-40)*((1.05-1)/(360-40)))))))</f>
        <v>#N/A</v>
      </c>
      <c r="MG60" s="170">
        <f t="shared" ca="1" si="94"/>
        <v>0.71612369323045078</v>
      </c>
      <c r="MH60" s="170" t="e">
        <f t="shared" ca="1" si="232"/>
        <v>#N/A</v>
      </c>
      <c r="MI60" s="170" t="e">
        <f t="shared" ca="1" si="232"/>
        <v>#N/A</v>
      </c>
      <c r="MJ60" s="170" t="e">
        <f ca="1">MAX(0.0001, Control!$C$132*$MI60*$DL60)</f>
        <v>#N/A</v>
      </c>
      <c r="MK60" s="170">
        <f ca="1">1/(0.76+1.5*($MG60/10))-(5-Control!$C$110)*0.1</f>
        <v>1.002845988140797</v>
      </c>
      <c r="ML60" s="173">
        <f ca="1">IF(Control!$C$110&lt;3,$MK60+($MG60-0.6)/(Control!$C$110*(Control!$C$110+3)), MAX(0.1, MIN(0.95,$MK60)))</f>
        <v>0.95</v>
      </c>
      <c r="MM60" s="173">
        <f ca="1">IF(Control!$C$110&lt;3,$MK60+(($MI60/10)-0.6)/(Control!$C$110*(Control!$C$110+3)), MAX(0.1, MIN(0.95,$MK60)))</f>
        <v>0.95</v>
      </c>
      <c r="MN60" s="173">
        <f ca="1">(1-$MM60)*(Control!$C$128-Control!$C$127)+Control!$C$127</f>
        <v>0.16</v>
      </c>
      <c r="MO60" s="170" t="e">
        <f ca="1">MAX(0,MIN(1,($MS60-Control!$C$127)/($MN60-Control!$C$127)))</f>
        <v>#DIV/0!</v>
      </c>
      <c r="MP60" s="173" t="e">
        <f ca="1">1/(0.76+1.5*$MI60)-(5-Control!$C$110)*0.1</f>
        <v>#N/A</v>
      </c>
      <c r="MQ60" s="172" t="e">
        <f t="shared" ca="1" si="209"/>
        <v>#DIV/0!</v>
      </c>
      <c r="MR60" s="168" t="e">
        <f t="shared" ca="1" si="226"/>
        <v>#DIV/0!</v>
      </c>
      <c r="MS60" s="173" t="e">
        <f ca="1">MAX(Control!$C$127, MIN(Control!$C$135, $MR60/MAX(0.0001,$CY60)))</f>
        <v>#DIV/0!</v>
      </c>
      <c r="MT60" s="168" t="e">
        <f ca="1">(Control!$C$128-$MS60)*Control!$C$74</f>
        <v>#DIV/0!</v>
      </c>
      <c r="MU60" s="168" t="e">
        <f ca="1">(Control!$C$135-$MS60)*Control!$C$74</f>
        <v>#DIV/0!</v>
      </c>
      <c r="MV60" s="168" t="e">
        <f t="shared" ca="1" si="210"/>
        <v>#DIV/0!</v>
      </c>
      <c r="MW60" s="168" t="e">
        <f t="shared" ca="1" si="177"/>
        <v>#DIV/0!</v>
      </c>
      <c r="MX60" s="171" t="e">
        <f ca="1">MAX(Control!$C$127, MIN(Control!$C$135, $MW60/MAX(0.0001,Control!$C$119-$CY60)))</f>
        <v>#DIV/0!</v>
      </c>
      <c r="MY60" s="54" t="e">
        <f ca="1">IF(Control!$C$114=1, $CX60*$MX60, 0)</f>
        <v>#DIV/0!</v>
      </c>
      <c r="MZ60" s="54" t="e">
        <f t="shared" ca="1" si="178"/>
        <v>#N/A</v>
      </c>
      <c r="NA60" s="168" t="e">
        <f ca="1">(Control!$C$128-$MX60)*(Control!$C$119-Control!$C$74)</f>
        <v>#DIV/0!</v>
      </c>
      <c r="NB60" s="168" t="e">
        <f ca="1">(Control!$C$135-$MX60)*(Control!$C$119-Control!$C$74)</f>
        <v>#DIV/0!</v>
      </c>
      <c r="NC60" s="174" t="e">
        <f t="shared" ca="1" si="179"/>
        <v>#DIV/0!</v>
      </c>
      <c r="ND60" s="54">
        <f ca="1">IF(Control!$C$58=2, IF(OR(Control!$B$218=$AH60,Control!$B$219=$AH60, Control!$B$220=$AH60, Control!$B$221=$AH60, Control!$B$222=$AH60, Control!$B$223=$AH60, Control!$B$224=$AH60, Control!$B$225=$AH60, Control!$B$226=$AH60, Control!$B$227=$AH60, Control!$B$228=$AH60), 1, 0), 0)</f>
        <v>0</v>
      </c>
      <c r="NE60" s="54">
        <f ca="1">IF($ND60=0,0, VLOOKUP($AH60,Control!$B$218:$C$228,2))</f>
        <v>0</v>
      </c>
      <c r="NF60" s="168" t="e">
        <f ca="1">$CY60*(Control!$C$128-Control!$C$127)</f>
        <v>#N/A</v>
      </c>
      <c r="NG60" s="54" t="e">
        <f ca="1">IF(Control!$C$58=2, $NI59-$NJ59, 0)</f>
        <v>#DIV/0!</v>
      </c>
      <c r="NH60" s="54" t="e">
        <f ca="1">IF(AND(Control!$C$58=1, $MS59&lt;= ($MN59+0.02), $I59&lt;10), 0, IF(Control!$C$58=2, $NG59, 0))</f>
        <v>#DIV/0!</v>
      </c>
      <c r="NI60" s="54" t="e">
        <f ca="1">IF(Control!$C$58=2, $NE60+$NH60,0)</f>
        <v>#DIV/0!</v>
      </c>
      <c r="NJ60" s="54" t="e">
        <f ca="1">IF(AND(Control!$C$58=1, $MS60&lt;= ($MN60+0.02), $I60&lt;10), MAX(0, MIN(10, 0.7*($NF60-$MV60))), IF(Control!$C$58=2, MIN(10,$NI60),0))</f>
        <v>#DIV/0!</v>
      </c>
      <c r="NK60" s="54" t="e">
        <f t="shared" ca="1" si="96"/>
        <v>#DIV/0!</v>
      </c>
      <c r="NL60" s="173" t="e">
        <f ca="1">(1-Control!$C$73)*$I60+$NJ60</f>
        <v>#DIV/0!</v>
      </c>
      <c r="NM60" s="172" t="e">
        <f ca="1">IF($NL60&lt;0.5, $MB60* MAX(0, MIN(1, (SQRT($NC60)-SQRT($NC60-1))*Control!$C$71)),0)</f>
        <v>#DIV/0!</v>
      </c>
      <c r="NN60" s="170" t="e">
        <f ca="1">IF($NL60&gt;=5, $MB60, MAX(0,MIN($MB60, $NM60+$NL60,($MS60-Control!$C$129))))</f>
        <v>#DIV/0!</v>
      </c>
      <c r="NO60" s="54">
        <f>IF(Control!$C$133&lt;&gt;1, Control!$C$135-Control!$C$131, 0)</f>
        <v>0.38</v>
      </c>
      <c r="NP60" s="54" t="e">
        <f t="shared" ca="1" si="97"/>
        <v>#DIV/0!</v>
      </c>
      <c r="NQ60" s="173" t="e">
        <f ca="1">MAX(0,MIN(1,(Control!$C$135-$MS60)/(Control!$C$135-$NO60)))</f>
        <v>#DIV/0!</v>
      </c>
      <c r="NR60" s="170" t="e">
        <f ca="1">IF(Control!$C$133&lt;&gt;1, $NQ60+((1-$NP60/4)*(1-$NQ60)),1)</f>
        <v>#DIV/0!</v>
      </c>
      <c r="NS60" s="170" t="e">
        <f ca="1">IF(Control!$B$31=0,$MJ60,MAX(0,MIN($MV60,$MO60*$NR60*$MJ60)))</f>
        <v>#DIV/0!</v>
      </c>
      <c r="NT60" s="170" t="e">
        <f t="shared" ca="1" si="227"/>
        <v>#DIV/0!</v>
      </c>
      <c r="NU60" s="170" t="e">
        <f t="shared" ca="1" si="180"/>
        <v>#N/A</v>
      </c>
      <c r="NV60" s="170" t="e">
        <f t="shared" ca="1" si="98"/>
        <v>#N/A</v>
      </c>
      <c r="NW60" s="175" t="e">
        <f t="shared" ca="1" si="99"/>
        <v>#DIV/0!</v>
      </c>
      <c r="NX60" s="170" t="e">
        <f ca="1">MIN(Control!$C$72+$MU60, $NW60)</f>
        <v>#DIV/0!</v>
      </c>
      <c r="NY60" s="170" t="e">
        <f ca="1">IF($MT60&lt;=$NX60,MIN(Control!$C$72+$NB60,$NX60-$MT60),0)</f>
        <v>#DIV/0!</v>
      </c>
      <c r="NZ60" s="54" t="e">
        <f ca="1">IF(Control!$C$114=1,  $CX60*($MX60-Control!$C$127), 0)</f>
        <v>#DIV/0!</v>
      </c>
      <c r="OA60" s="170" t="e">
        <f t="shared" ca="1" si="181"/>
        <v>#DIV/0!</v>
      </c>
      <c r="OB60" s="170" t="e">
        <f ca="1">IF($NA60 &lt;=$NY60, MIN(Control!$C$72, $NY60-$NA60), 0)</f>
        <v>#DIV/0!</v>
      </c>
      <c r="OC60" s="168" t="e">
        <f t="shared" ca="1" si="100"/>
        <v>#DIV/0!</v>
      </c>
      <c r="OD60" s="168" t="e">
        <f t="shared" ca="1" si="182"/>
        <v>#DIV/0!</v>
      </c>
      <c r="OE60" s="170">
        <f ca="1">Control!$C$73*$I60</f>
        <v>0</v>
      </c>
      <c r="OF60" s="176" t="e">
        <f t="shared" ca="1" si="101"/>
        <v>#DIV/0!</v>
      </c>
      <c r="OG60" s="168" t="e">
        <f t="shared" ca="1" si="102"/>
        <v>#DIV/0!</v>
      </c>
      <c r="OH60" s="168" t="e">
        <f t="shared" ca="1" si="103"/>
        <v>#DIV/0!</v>
      </c>
      <c r="OI60" s="168" t="e">
        <f t="shared" ca="1" si="104"/>
        <v>#DIV/0!</v>
      </c>
      <c r="OJ60" s="168" t="e">
        <f t="shared" ca="1" si="105"/>
        <v>#DIV/0!</v>
      </c>
      <c r="OK60" s="204" t="e">
        <f t="shared" ca="1" si="183"/>
        <v>#DIV/0!</v>
      </c>
      <c r="OL60" s="177">
        <f>Control!$C$127</f>
        <v>0.15</v>
      </c>
      <c r="OM60" s="182" t="e">
        <f t="shared" ca="1" si="106"/>
        <v>#N/A</v>
      </c>
      <c r="ON60" s="177">
        <f>Control!$C$128</f>
        <v>0.35</v>
      </c>
      <c r="OO60" s="182" t="e">
        <f t="shared" ca="1" si="107"/>
        <v>#N/A</v>
      </c>
      <c r="OP60" s="138">
        <f t="shared" ca="1" si="184"/>
        <v>0</v>
      </c>
      <c r="OQ60" s="138" t="e">
        <f t="shared" ca="1" si="211"/>
        <v>#DIV/0!</v>
      </c>
      <c r="OR60" s="138" t="e">
        <f t="shared" ca="1" si="185"/>
        <v>#DIV/0!</v>
      </c>
      <c r="OS60" s="137" t="e">
        <f t="shared" ca="1" si="212"/>
        <v>#DIV/0!</v>
      </c>
      <c r="OT60" s="139" t="e">
        <f t="shared" ca="1" si="213"/>
        <v>#DIV/0!</v>
      </c>
      <c r="OU60" s="138" t="e">
        <f t="shared" ca="1" si="214"/>
        <v>#N/A</v>
      </c>
      <c r="OV60" s="138" t="e">
        <f t="shared" ca="1" si="215"/>
        <v>#DIV/0!</v>
      </c>
      <c r="OW60" s="138" t="e">
        <f t="shared" ca="1" si="186"/>
        <v>#DIV/0!</v>
      </c>
      <c r="OX60" s="138" t="e">
        <f t="shared" ca="1" si="187"/>
        <v>#DIV/0!</v>
      </c>
      <c r="OY60" s="138" t="e">
        <f t="shared" ca="1" si="188"/>
        <v>#DIV/0!</v>
      </c>
      <c r="OZ60" s="138" t="e">
        <f t="shared" ca="1" si="108"/>
        <v>#DIV/0!</v>
      </c>
      <c r="PA60" s="138" t="e">
        <f t="shared" ca="1" si="109"/>
        <v>#DIV/0!</v>
      </c>
      <c r="PB60" s="55">
        <f>IF(Control!$C$61="T", IF(Control!$C$65="F", IF($AH$6-Control!$C$60&lt;0,0,1), IF(365+$AH$6-Control!$C$60&lt;0,0,1)),0)</f>
        <v>0</v>
      </c>
      <c r="PC60" s="55">
        <f ca="1">IF(Control!$C$65="F", IF($AH$6-$HF60&lt;0,0,1), IF(365+$AH$6-$HF60&lt;0,0,1))</f>
        <v>1</v>
      </c>
      <c r="PD60" s="444">
        <f>Control!$C$118</f>
        <v>1500</v>
      </c>
      <c r="PE60" s="180" t="e">
        <f t="shared" ca="1" si="110"/>
        <v>#N/A</v>
      </c>
      <c r="PF60" s="445">
        <f t="shared" ca="1" si="189"/>
        <v>0.71612369323045078</v>
      </c>
      <c r="PT60" s="186"/>
      <c r="PU60" s="186"/>
      <c r="PV60" s="94"/>
      <c r="PW60" s="94"/>
      <c r="PX60" s="94"/>
      <c r="PY60" s="94"/>
      <c r="PZ60" s="94"/>
      <c r="QA60" s="94"/>
      <c r="QB60" s="94"/>
      <c r="QC60" s="94"/>
      <c r="QD60" s="94"/>
      <c r="QE60" s="94"/>
      <c r="QF60" s="94"/>
      <c r="QG60" s="94"/>
      <c r="QH60" s="94"/>
      <c r="QI60" s="94"/>
      <c r="QJ60" s="94"/>
      <c r="QK60" s="94"/>
      <c r="QL60" s="94"/>
      <c r="QM60" s="94"/>
      <c r="QN60" s="94"/>
      <c r="QO60" s="94"/>
      <c r="QP60" s="94"/>
    </row>
    <row r="61" spans="1:458" s="2" customFormat="1" x14ac:dyDescent="0.2">
      <c r="A61" s="395">
        <v>25</v>
      </c>
      <c r="B61" s="396">
        <v>2</v>
      </c>
      <c r="C61" s="387">
        <f ca="1">Weather_data!$B60</f>
        <v>0</v>
      </c>
      <c r="D61" s="388">
        <f ca="1">Weather_data!$F60</f>
        <v>0</v>
      </c>
      <c r="E61" s="388">
        <f ca="1">Weather_data!$E60</f>
        <v>0</v>
      </c>
      <c r="F61" s="388">
        <f t="shared" ca="1" si="111"/>
        <v>0</v>
      </c>
      <c r="G61" s="388">
        <f ca="1">AVERAGE($D61:$E61)+Control!$B$9</f>
        <v>0</v>
      </c>
      <c r="H61" s="388">
        <f ca="1">Weather_data!$G60</f>
        <v>0</v>
      </c>
      <c r="I61" s="388">
        <f ca="1">Weather_data!$I60</f>
        <v>0</v>
      </c>
      <c r="J61" s="388">
        <f ca="1">Weather_data!$H60</f>
        <v>0</v>
      </c>
      <c r="K61" s="389">
        <f ca="1">Weather_data!$D60</f>
        <v>0</v>
      </c>
      <c r="L61" s="388" t="e">
        <f t="shared" ca="1" si="112"/>
        <v>#N/A</v>
      </c>
      <c r="M61" s="388" t="e">
        <f t="shared" ca="1" si="0"/>
        <v>#N/A</v>
      </c>
      <c r="N61" s="388">
        <f t="shared" ca="1" si="1"/>
        <v>-1.5216263610852265E-3</v>
      </c>
      <c r="O61" s="388">
        <f t="shared" ca="1" si="113"/>
        <v>1.5216263610852265E-2</v>
      </c>
      <c r="P61" s="390">
        <v>3</v>
      </c>
      <c r="Q61" s="388">
        <f ca="1">MAX($G61-Control!$C$107,0)</f>
        <v>0</v>
      </c>
      <c r="R61" s="388">
        <f t="shared" ca="1" si="114"/>
        <v>0</v>
      </c>
      <c r="S61" s="388">
        <f t="shared" ca="1" si="2"/>
        <v>0</v>
      </c>
      <c r="T61" s="388">
        <f t="shared" ca="1" si="3"/>
        <v>0</v>
      </c>
      <c r="U61" s="59">
        <f t="shared" ca="1" si="4"/>
        <v>0</v>
      </c>
      <c r="V61" s="391">
        <f ca="1">MAX(0,MIN(Control!$C$100-Control!$C$99,$G61-Control!$C$99)*Control!$C$63)</f>
        <v>0</v>
      </c>
      <c r="W61" s="388">
        <f t="shared" ca="1" si="190"/>
        <v>0</v>
      </c>
      <c r="X61" s="388">
        <f t="shared" ca="1" si="115"/>
        <v>0.6110000000000001</v>
      </c>
      <c r="Y61" s="388">
        <f t="shared" ca="1" si="116"/>
        <v>0</v>
      </c>
      <c r="Z61" s="388">
        <f t="shared" ca="1" si="117"/>
        <v>0.61058800000000002</v>
      </c>
      <c r="AA61" s="388">
        <f t="shared" ca="1" si="5"/>
        <v>0.6018</v>
      </c>
      <c r="AB61" s="388">
        <f ca="1">101.3*EXP(-0.034*Control!$C$66/($G61+273))</f>
        <v>100.69623283836242</v>
      </c>
      <c r="AC61" s="392">
        <f t="shared" ca="1" si="6"/>
        <v>4.3460251046025113E-2</v>
      </c>
      <c r="AD61" s="392">
        <f t="shared" ca="1" si="7"/>
        <v>4.4450382862832649E-2</v>
      </c>
      <c r="AE61" s="388">
        <f t="shared" ca="1" si="8"/>
        <v>0</v>
      </c>
      <c r="AF61" s="388">
        <f ca="1">MAX(0,$G61-Control!$C$92)</f>
        <v>0</v>
      </c>
      <c r="AG61" s="393">
        <f t="shared" ca="1" si="118"/>
        <v>56</v>
      </c>
      <c r="AH61" s="389">
        <f t="shared" ca="1" si="9"/>
        <v>56</v>
      </c>
      <c r="AI61" s="388">
        <f t="shared" ca="1" si="119"/>
        <v>-0.16837030846210588</v>
      </c>
      <c r="AJ61" s="388">
        <f ca="1">IF(Control!$C$60&lt;=0,$HH61,$HI61)</f>
        <v>1</v>
      </c>
      <c r="AK61" s="388">
        <f t="shared" ca="1" si="10"/>
        <v>-0.41314095170495907</v>
      </c>
      <c r="AL61" s="388">
        <f t="shared" ca="1" si="11"/>
        <v>5.4102555768764658E-19</v>
      </c>
      <c r="AM61" s="388">
        <f t="shared" ca="1" si="12"/>
        <v>-0.41314095170495907</v>
      </c>
      <c r="AN61" s="388">
        <f t="shared" ca="1" si="13"/>
        <v>-0.16039882221598595</v>
      </c>
      <c r="AO61" s="388">
        <f ca="1">-0.10453/COS(Control!$B$8*PI()/180)*COS(AN61)</f>
        <v>-0.16760544887303991</v>
      </c>
      <c r="AP61" s="388">
        <f ca="1">ACOS(AO61-TAN(Control!$B$8*PI()/180)*TAN(AN61))</f>
        <v>1.5313114290078464</v>
      </c>
      <c r="AQ61" s="388">
        <f t="shared" ca="1" si="120"/>
        <v>0</v>
      </c>
      <c r="AR61" s="394">
        <f t="shared" ca="1" si="14"/>
        <v>0</v>
      </c>
      <c r="AS61" s="436">
        <f ca="1">IF(Control!$B$18=2,(IF(OR($AH61=Control!$B$175,$AH61=Control!$B$176,$AH61=Control!$B$177,$AH61=Control!$B$178,$AH61=Control!$B$179,$AH61=Control!$B$180,$AH61=Control!$B$181,$AH61=Control!$B$182,$AH61=Control!$B$183,$AH61=Control!$B$184,$AH61=Control!$B$185),1,0)),0)</f>
        <v>0</v>
      </c>
      <c r="AT61" s="436">
        <f>IF(Control!$B$20=8,IF(AND($AH61&gt;=Control!$B$172,$AH61&lt;=Control!$B$173),1,0),0)</f>
        <v>0</v>
      </c>
      <c r="AU61" s="436">
        <f>IF(Control!$B$20=8,IF($AV60=1,1*$AT61,IF($AT61=1,$AU60+1,$AU60)),0)</f>
        <v>0</v>
      </c>
      <c r="AV61" s="436">
        <f>IF(Control!$B$20=8,IF($AU61&gt;=Control!$B$174,1,0),0)</f>
        <v>0</v>
      </c>
      <c r="AW61" s="436">
        <f ca="1">IF(AND(Control!$B$18=2,Control!$B$171=1), $AV61, $AS61)</f>
        <v>0</v>
      </c>
      <c r="AX61" s="436" t="e">
        <f ca="1">IF(AND(Control!$B$18=1,$EU61&gt;=Control!$B$19),-$AY61,IF(AND(Control!$B$18=2,$AW61=1,$EU61&gt;$DS61),-$AY61, IF(Control!$C$108=0,0, IF(Control!$C$108&lt;&gt;0,1))))</f>
        <v>#N/A</v>
      </c>
      <c r="AY61" s="436" t="e">
        <f t="shared" ca="1" si="121"/>
        <v>#N/A</v>
      </c>
      <c r="AZ61" s="436" t="e">
        <f ca="1">IF(AND(Control!$B$18=1,$EB61&gt;Control!$B$19),$AZ60+1, IF(AND(Control!$B$18=2, $AW61=1, $EB61&gt;$DS61), $AZ60+1,$AZ60))</f>
        <v>#N/A</v>
      </c>
      <c r="BA61" s="587">
        <f>IF(Control!$C$81=0,1,IF($AH61&gt;=Control!$C$82,1,0))</f>
        <v>1</v>
      </c>
      <c r="BB61" s="140" t="e">
        <f ca="1">IF($BA61&gt;$BA60,Control!$C$83,IF($AW61&gt;0,$AW61*Control!$C$84,IF(AND(Control!$B$18=1,EN60&lt;&gt;0),Control!$C$84,0)))</f>
        <v>#N/A</v>
      </c>
      <c r="BC61" s="140" t="e">
        <f t="shared" ca="1" si="122"/>
        <v>#N/A</v>
      </c>
      <c r="BD61" s="140" t="e">
        <f ca="1">BC61*IF(OR($G61&lt;Control!$C$92,$G61&gt;Control!$C$95),0,IF(AND($G61&gt;=Control!$C$92,$G61&lt;=Control!$C$93),$G61-Control!$C$92,IF(AND($G61&gt;Control!$C$93,$G61&lt;=Control!$C$94),Control!$C$93-Control!$C$92,IF(AND($G61&gt;Control!$C$94,$G61&lt;=Control!$C$95),(Control!$C$93-Control!$C$92)*(Control!$C$94-$G61)/(Control!$C$95-Control!$C$94)))))</f>
        <v>#N/A</v>
      </c>
      <c r="BE61" s="140" t="e">
        <f t="shared" ca="1" si="123"/>
        <v>#N/A</v>
      </c>
      <c r="BF61" s="140" t="e">
        <f ca="1">IF($BE61&lt;=Control!$C$86,$BE61,Control!$C$86-$BE61)</f>
        <v>#N/A</v>
      </c>
      <c r="BG61" s="140" t="e">
        <f ca="1">IF(AND($AW61=1,Control!$C$84&lt;9),1,IF($BE61&gt;=Control!$C$86,0,$BC61))</f>
        <v>#N/A</v>
      </c>
      <c r="BH61" s="404" t="e">
        <f ca="1">IF($BG61=0,0,IF($BE61&lt;=Control!$C$86,$BC61*9*($BF61/Control!$C$86),0))</f>
        <v>#N/A</v>
      </c>
      <c r="BI61" s="140" t="e">
        <f ca="1">IF($BG61=1,0,IF($BE61&gt;=Control!$C$86,1,IF(AND($BB61&lt;21,$BB61&gt;=9),1,$BM60)))</f>
        <v>#N/A</v>
      </c>
      <c r="BJ61" s="140" t="e">
        <f ca="1">IF($BF61&lt;0,-$BF61,$BI61*IF(OR($G61&lt;Control!$C$92,$G61&gt;Control!$C$95),0,IF(AND($G61&gt;=Control!$C$92,$G61&lt;=Control!$C$93),$G61-Control!$C$92,IF(AND($G61&gt;Control!$C$93,$G61&lt;=Control!$C$94),Control!$C$93-Control!$C$92,IF(AND($G61&gt;Control!$C$94,$G61&lt;=Control!$C$95),(Control!$C$93-Control!$C$92)*(Control!$C$94-$G61)/(Control!$C$95-Control!$C$94))))))</f>
        <v>#N/A</v>
      </c>
      <c r="BK61" s="140" t="e">
        <f t="shared" ca="1" si="124"/>
        <v>#N/A</v>
      </c>
      <c r="BL61" s="140" t="e">
        <f ca="1">IF($BK61&lt;=Control!$C$87,$BK61,Control!$C$87-$BK61)</f>
        <v>#N/A</v>
      </c>
      <c r="BM61" s="140" t="e">
        <f ca="1">IF(AND($BB61&gt;=9,$BB61&lt;21),1,IF($BK61&gt;=Control!$C$87,0,$BI61))</f>
        <v>#N/A</v>
      </c>
      <c r="BN61" s="404" t="e">
        <f ca="1">IF($BM61=0,0,IF($BK61&lt;=Control!$C$87,$BI61*(9+(21-9)*($BL61/Control!$C$87)),0))</f>
        <v>#N/A</v>
      </c>
      <c r="BO61" s="140" t="e">
        <f ca="1">IF($BM61=1,0,IF($BK61&gt;=Control!$C$87,1,IF(AND($BB61&lt;30,$BB61&gt;=21),1,$BS60)))</f>
        <v>#N/A</v>
      </c>
      <c r="BP61" s="140" t="e">
        <f ca="1">IF($BL61&lt;0,-$BL61,$BO61*IF(OR($G61&lt;Control!$C$92,$G61&gt;Control!$C$95),0,IF(AND($G61&gt;=Control!$C$92,$G61&lt;=Control!$C$93),$G61-Control!$C$92,IF(AND($G61&gt;Control!$C$93,$G61&lt;=Control!$C$94),Control!$C$93-Control!$C$92,IF(AND($G61&gt;Control!$C$94,$G61&lt;=Control!$C$95),(Control!$C$93-Control!$C$92)*(Control!$C$94-$G61)/(Control!$C$95-Control!$C$94))))))</f>
        <v>#N/A</v>
      </c>
      <c r="BQ61" s="140" t="e">
        <f t="shared" ca="1" si="15"/>
        <v>#N/A</v>
      </c>
      <c r="BR61" s="140" t="e">
        <f ca="1">IF($BQ61&lt;=Control!$C$88,$BQ61,Control!$C$88-$BQ61)</f>
        <v>#N/A</v>
      </c>
      <c r="BS61" s="140" t="e">
        <f ca="1">IF(AND($BB61&gt;=21,$BB61&lt;30),1,IF($BQ61&gt;=Control!$C$88,0,$BO61))</f>
        <v>#N/A</v>
      </c>
      <c r="BT61" s="404" t="e">
        <f ca="1">IF($BS61=0,0,IF($BQ61&lt;=Control!$C$88,$BO61*(21+(30-21)*(BR61/Control!$C$88)),0))</f>
        <v>#N/A</v>
      </c>
      <c r="BU61" s="140" t="e">
        <f ca="1">IF(BG61+BM61+BS61=1,0,IF(OR(AND($BB61&lt;60,$BB61&gt;=30),$BQ61&gt;=Control!$C$88),1*$BA61,$BY60))</f>
        <v>#N/A</v>
      </c>
      <c r="BV61" s="140" t="e">
        <f ca="1">IF($BR61&lt;0,-$BR61,$BU61*IF(OR($G61&lt;Control!$C$92,$G61&gt;Control!$C$95),0,IF(AND($G61&gt;=Control!$C$92,$G61&lt;=Control!$C$93),$G61-Control!$C$92,IF(AND($G61&gt;Control!$C$93,$G61&lt;=Control!$C$94),Control!$C$93-Control!$C$92,IF(AND($G61&gt;Control!$C$94,$G61&lt;=Control!$C$95),(Control!$C$93-Control!$C$92)*(Control!$C$94-$G61)/(Control!$C$95-Control!$C$94))))))</f>
        <v>#N/A</v>
      </c>
      <c r="BW61" s="140" t="e">
        <f t="shared" ca="1" si="16"/>
        <v>#N/A</v>
      </c>
      <c r="BX61" s="140" t="e">
        <f ca="1">IF($BW61&lt;=Control!$C$89,$BW61,Control!$C$89-$BW61)</f>
        <v>#N/A</v>
      </c>
      <c r="BY61" s="140" t="e">
        <f ca="1">IF(AND($AJ61&gt;=30,$AJ61&lt;60),1,IF($BW61&gt;=Control!$C$89,0,$BU61))</f>
        <v>#N/A</v>
      </c>
      <c r="BZ61" s="404" t="e">
        <f ca="1">IF($BY61=0,0,IF($BW61&lt;=Control!$C$89,$BU61*(30+(60-30)*(BX61/Control!$C$89)),0))</f>
        <v>#N/A</v>
      </c>
      <c r="CA61" s="140" t="e">
        <f ca="1">IF($BG61+$BM61+$BS61+$BY61=1,0,IF(OR(AND($BB61&lt;65,$BB61&gt;=60),$BW61&gt;=Control!$C$89),1*$BA61,$CE60))</f>
        <v>#N/A</v>
      </c>
      <c r="CB61" s="140" t="e">
        <f ca="1">IF($BX61&lt;0,-$BX61,$CA61*IF(OR($G61&lt;Control!$C$92,$G61&gt;Control!$C$95),0,IF(AND($G61&gt;=Control!$C$92,$G61&lt;=Control!$C$93),$G61-Control!$C$92,IF(AND($G61&gt;Control!$C$93,$G61&lt;=Control!$C$94),Control!$C$93-Control!$C$92,IF(AND($G61&gt;Control!$C$94,$G61&lt;=Control!$C$95),(Control!$C$93-Control!$C$92)*(Control!$C$94-$G61)/(Control!$C$95-Control!$C$94))))))</f>
        <v>#N/A</v>
      </c>
      <c r="CC61" s="140" t="e">
        <f t="shared" ca="1" si="125"/>
        <v>#N/A</v>
      </c>
      <c r="CD61" s="140" t="e">
        <f ca="1">IF($CC61&lt;=Control!$C$90,$CC61,Control!$C$90-$CC61)</f>
        <v>#N/A</v>
      </c>
      <c r="CE61" s="140" t="e">
        <f ca="1">IF(AND($BB61&gt;=60,$BB61&lt;65),1,IF($CC61&gt;=Control!$C$90,0,$CA61))</f>
        <v>#N/A</v>
      </c>
      <c r="CF61" s="404" t="e">
        <f ca="1">IF($CE61=0,0,IF($CC61&lt;=Control!$C$90,$CA61*(60+(65-60)*(CD61/Control!$C$90)),0))</f>
        <v>#N/A</v>
      </c>
      <c r="CG61" s="140" t="e">
        <f ca="1">IF($BG61+$BM61+$BS61+$BY61+$CE61=1,0,IF(OR(AND($BB61&lt;90,$BB61&gt;=65),$CC61&gt;=Control!$C$90),$BA61,$CK60))</f>
        <v>#N/A</v>
      </c>
      <c r="CH61" s="140" t="e">
        <f ca="1">IF($CD61&lt;0,-$CD61,$CG61*IF(OR($G61&lt;Control!$C$92,$G61&gt;Control!$C$95),0,IF(AND($G61&gt;=Control!$C$92,$G61&lt;=Control!$C$93),$G61-Control!$C$92,IF(AND($G61&gt;Control!$C$93,$G61&lt;=Control!$C$94),Control!$C$93-Control!$C$92,IF(AND($G61&gt;Control!$C$94,$G61&lt;=Control!$C$95),(Control!$C$93-Control!$C$92)*(Control!$C$94-$G61)/(Control!$C$95-Control!$C$94))))))</f>
        <v>#N/A</v>
      </c>
      <c r="CI61" s="140" t="e">
        <f t="shared" ca="1" si="126"/>
        <v>#N/A</v>
      </c>
      <c r="CJ61" s="140" t="e">
        <f ca="1">IF($CI61&lt;=Control!$C$91,$CI61,Control!$C$91-$CI61)</f>
        <v>#N/A</v>
      </c>
      <c r="CK61" s="140" t="e">
        <f ca="1">IF(AND($BB61&gt;=65,$BB61&lt;90),1,IF($CI61&gt;=Control!$C$91,0,$CG61))</f>
        <v>#N/A</v>
      </c>
      <c r="CL61" s="404" t="e">
        <f ca="1">IF($CK61=0,0,IF($CI61&lt;=Control!$C$91,$CG61*(65+(90-65)*($CJ61/Control!$C$91)),0))</f>
        <v>#N/A</v>
      </c>
      <c r="CM61" s="140" t="e">
        <f ca="1">IF($BG61+$BM61+$BS61+$BY61+$CE61+$CK61=1,0,IF(OR($BB61&gt;=90,$CI61&gt;=Control!$C$91),$BA61,$CM60))</f>
        <v>#N/A</v>
      </c>
      <c r="CN61" s="140" t="e">
        <f t="shared" ca="1" si="127"/>
        <v>#N/A</v>
      </c>
      <c r="CO61" s="140" t="e">
        <f t="shared" ca="1" si="128"/>
        <v>#N/A</v>
      </c>
      <c r="CP61" s="140" t="e">
        <f t="shared" ca="1" si="129"/>
        <v>#N/A</v>
      </c>
      <c r="CQ61" s="141" t="e">
        <f ca="1">VLOOKUP($CP61,Control!$B$86:$G$91,6)</f>
        <v>#N/A</v>
      </c>
      <c r="CR61" s="141" t="e">
        <f ca="1">(1-$CQ61)*VLOOKUP($CP61,Control!$B$86:$D$91,3)</f>
        <v>#N/A</v>
      </c>
      <c r="CS61" s="141" t="e">
        <f ca="1">(1-$CQ61)*VLOOKUP($CP61,Control!$B$86:$E$91,4)</f>
        <v>#N/A</v>
      </c>
      <c r="CT61" s="141" t="e">
        <f ca="1">(1-$CQ61)*VLOOKUP($CP61,Control!$B$86:$F$91,5)</f>
        <v>#N/A</v>
      </c>
      <c r="CU61" s="141">
        <f t="shared" ca="1" si="130"/>
        <v>0</v>
      </c>
      <c r="CV61" s="583">
        <f t="shared" ca="1" si="131"/>
        <v>0</v>
      </c>
      <c r="CW61" s="142">
        <f t="shared" ca="1" si="132"/>
        <v>56</v>
      </c>
      <c r="CX61" s="612" t="e">
        <f ca="1">IF(Control!$C$114=1,(MIN(Control!$C$120*(IF($NT61-0.01&lt;0,0,1)),Control!$C$119-$CY61)))</f>
        <v>#DIV/0!</v>
      </c>
      <c r="CY61" s="143" t="e">
        <f t="shared" ca="1" si="133"/>
        <v>#N/A</v>
      </c>
      <c r="CZ61" s="144">
        <f t="shared" ca="1" si="17"/>
        <v>0</v>
      </c>
      <c r="DA61" s="144">
        <f t="shared" ca="1" si="18"/>
        <v>0</v>
      </c>
      <c r="DB61" s="144" t="e">
        <f t="shared" ca="1" si="19"/>
        <v>#N/A</v>
      </c>
      <c r="DC61" s="144" t="e">
        <f t="shared" ca="1" si="20"/>
        <v>#N/A</v>
      </c>
      <c r="DD61" s="144" t="e">
        <f t="shared" ca="1" si="216"/>
        <v>#N/A</v>
      </c>
      <c r="DE61" s="143" t="e">
        <f t="shared" ca="1" si="135"/>
        <v>#N/A</v>
      </c>
      <c r="DF61" s="145" t="e">
        <f ca="1">$DR61*EXP(-Control!$C$158*(1-$KH61))</f>
        <v>#N/A</v>
      </c>
      <c r="DG61" s="146" t="e">
        <f ca="1">IF(Control!$C$114=1, $DF61*$EY61, 0)</f>
        <v>#N/A</v>
      </c>
      <c r="DH61" s="147" t="e">
        <f t="shared" ca="1" si="136"/>
        <v>#N/A</v>
      </c>
      <c r="DI61" s="144" t="e">
        <f t="shared" ca="1" si="191"/>
        <v>#N/A</v>
      </c>
      <c r="DJ61" s="147" t="e">
        <f ca="1">$EF61*Control!$C$109</f>
        <v>#N/A</v>
      </c>
      <c r="DK61" s="144" t="e">
        <f t="shared" ca="1" si="137"/>
        <v>#N/A</v>
      </c>
      <c r="DL61" s="144" t="e">
        <f t="shared" ca="1" si="21"/>
        <v>#N/A</v>
      </c>
      <c r="DM61" s="144" t="e">
        <f ca="1">IF(Control!$C$114=1, (1-EXP(-Control!$C$96*$DK61))*$AR61, 0)</f>
        <v>#N/A</v>
      </c>
      <c r="DN61" s="144">
        <f t="shared" ca="1" si="138"/>
        <v>0</v>
      </c>
      <c r="DO61" s="148">
        <f>Control!$C$97</f>
        <v>4</v>
      </c>
      <c r="DP61" s="145" t="e">
        <f t="shared" ca="1" si="139"/>
        <v>#N/A</v>
      </c>
      <c r="DQ61" s="145" t="e">
        <f ca="1">IF(AND($CP61&gt;=0,$CP61&lt;=90),Control!$C$111,Control!$C$111)</f>
        <v>#N/A</v>
      </c>
      <c r="DR61" s="145" t="e">
        <f t="shared" ca="1" si="22"/>
        <v>#N/A</v>
      </c>
      <c r="DS61" s="143" t="e">
        <f ca="1">Control!$B$22/$DR61</f>
        <v>#N/A</v>
      </c>
      <c r="DT61" s="149" t="e">
        <f ca="1">IF(AND(Control!$C$114=1,$KH61&lt;1),$IM61*$DF61, 0)</f>
        <v>#N/A</v>
      </c>
      <c r="DU61" s="144" t="e">
        <f t="shared" ca="1" si="192"/>
        <v>#N/A</v>
      </c>
      <c r="DV61" s="144">
        <f ca="1">IF($G61-Control!$C$107&lt;=0, 0, 0.83*LN(MAX($G61, 3))-0.8924)</f>
        <v>0</v>
      </c>
      <c r="DW61" s="144" t="e">
        <f t="shared" ca="1" si="23"/>
        <v>#N/A</v>
      </c>
      <c r="DX61" s="150" t="e">
        <f ca="1">MAX(0.01*(1+$CU61/Control!$C$102),0.05*($DK61-Control!$C$97)/Control!$C$97)</f>
        <v>#N/A</v>
      </c>
      <c r="DY61" s="151" t="e">
        <f ca="1">IF(Control!$C$114=1, $DI61*$FS61, 0)</f>
        <v>#N/A</v>
      </c>
      <c r="DZ61" s="196" t="e">
        <f t="shared" ca="1" si="140"/>
        <v>#N/A</v>
      </c>
      <c r="EA61" s="152">
        <f t="shared" ca="1" si="141"/>
        <v>56</v>
      </c>
      <c r="EB61" s="153" t="e">
        <f t="shared" ca="1" si="217"/>
        <v>#N/A</v>
      </c>
      <c r="EC61" s="153" t="e">
        <f t="shared" ca="1" si="142"/>
        <v>#N/A</v>
      </c>
      <c r="ED61" s="154" t="e">
        <f ca="1">IF(Control!$C$114=1, $HM61*$FY61-$FD61, 0)</f>
        <v>#DIV/0!</v>
      </c>
      <c r="EE61" s="155" t="e">
        <f ca="1">IF(Control!$C$114=1, $HM61*$FZ61-$FF61, 0)</f>
        <v>#DIV/0!</v>
      </c>
      <c r="EF61" s="153" t="e">
        <f t="shared" ca="1" si="193"/>
        <v>#N/A</v>
      </c>
      <c r="EG61" s="155" t="e">
        <f ca="1">IF(Control!$C$114=1, $GX61*$FW61-$FI61, 0)</f>
        <v>#DIV/0!</v>
      </c>
      <c r="EH61" s="153" t="e">
        <f t="shared" ca="1" si="143"/>
        <v>#N/A</v>
      </c>
      <c r="EI61" s="156" t="e">
        <f t="shared" ca="1" si="144"/>
        <v>#N/A</v>
      </c>
      <c r="EJ61" s="155" t="e">
        <f ca="1">IF(Control!$C$114=1, $HM61*$GB61, 0)</f>
        <v>#DIV/0!</v>
      </c>
      <c r="EK61" s="153" t="e">
        <f t="shared" ca="1" si="194"/>
        <v>#N/A</v>
      </c>
      <c r="EL61" s="153" t="e">
        <f t="shared" ca="1" si="24"/>
        <v>#N/A</v>
      </c>
      <c r="EM61" s="153" t="e">
        <f t="shared" ca="1" si="25"/>
        <v>#N/A</v>
      </c>
      <c r="EN61" s="153" t="e">
        <f ca="1">IF(Control!$C$108=1,IF(AND(Control!$B$18=1,$EB61&gt;=Control!$B$19),$EB61-$DS61,IF(AND(Control!$B$18=2,$AW61=1,$EB61&gt;$DS61),$EB61-$DS61,0)))</f>
        <v>#N/A</v>
      </c>
      <c r="EO61" s="153" t="e">
        <f ca="1">IF(Control!$C$108=1,IF(AND(Control!$B$18=1,$EB61&gt;=Control!$B$19),$EF61,IF(AND(Control!$B$18=2,$AW61=1),$EF61,0)))</f>
        <v>#N/A</v>
      </c>
      <c r="EP61" s="153" t="e">
        <f ca="1">IF(Control!$C$108=1,IF(AND(Control!$B$18=1,$EB61&gt;=Control!$B$19),$EK61,IF(AND(Control!$B$18=2,$AW61=1),$EK61,0)))</f>
        <v>#N/A</v>
      </c>
      <c r="EQ61" s="153" t="e">
        <f t="shared" ca="1" si="145"/>
        <v>#N/A</v>
      </c>
      <c r="ER61" s="153" t="e">
        <f t="shared" ca="1" si="231"/>
        <v>#N/A</v>
      </c>
      <c r="ES61" s="153" t="e">
        <f t="shared" ca="1" si="196"/>
        <v>#N/A</v>
      </c>
      <c r="ET61" s="153" t="e">
        <f t="shared" ca="1" si="197"/>
        <v>#N/A</v>
      </c>
      <c r="EU61" s="153" t="e">
        <f t="shared" ca="1" si="198"/>
        <v>#N/A</v>
      </c>
      <c r="EV61" s="153" t="e">
        <f t="shared" ca="1" si="146"/>
        <v>#N/A</v>
      </c>
      <c r="EW61" s="153" t="e">
        <f t="shared" ca="1" si="218"/>
        <v>#N/A</v>
      </c>
      <c r="EX61" s="153" t="e">
        <f t="shared" ca="1" si="26"/>
        <v>#N/A</v>
      </c>
      <c r="EY61" s="157" t="e">
        <f t="shared" ca="1" si="147"/>
        <v>#DIV/0!</v>
      </c>
      <c r="EZ61" s="154" t="e">
        <f t="shared" ca="1" si="27"/>
        <v>#DIV/0!</v>
      </c>
      <c r="FA61" s="153" t="e">
        <f t="shared" ca="1" si="199"/>
        <v>#N/A</v>
      </c>
      <c r="FB61" s="153" t="e">
        <f t="shared" ca="1" si="28"/>
        <v>#N/A</v>
      </c>
      <c r="FC61" s="193" t="e">
        <f t="shared" ca="1" si="29"/>
        <v>#N/A</v>
      </c>
      <c r="FD61" s="158" t="e">
        <f t="shared" ca="1" si="200"/>
        <v>#N/A</v>
      </c>
      <c r="FE61" s="158" t="e">
        <f t="shared" ca="1" si="148"/>
        <v>#N/A</v>
      </c>
      <c r="FF61" s="159" t="e">
        <f t="shared" ca="1" si="30"/>
        <v>#N/A</v>
      </c>
      <c r="FG61" s="160" t="e">
        <f t="shared" ca="1" si="149"/>
        <v>#N/A</v>
      </c>
      <c r="FH61" s="158" t="e">
        <f t="shared" ca="1" si="150"/>
        <v>#N/A</v>
      </c>
      <c r="FI61" s="159" t="e">
        <f t="shared" ca="1" si="31"/>
        <v>#N/A</v>
      </c>
      <c r="FJ61" s="160" t="e">
        <f t="shared" ca="1" si="151"/>
        <v>#N/A</v>
      </c>
      <c r="FK61" s="160" t="e">
        <f t="shared" ca="1" si="32"/>
        <v>#N/A</v>
      </c>
      <c r="FL61" s="160" t="e">
        <f t="shared" ca="1" si="229"/>
        <v>#N/A</v>
      </c>
      <c r="FM61" s="160" t="e">
        <f t="shared" ca="1" si="33"/>
        <v>#N/A</v>
      </c>
      <c r="FN61" s="158">
        <f t="shared" ca="1" si="219"/>
        <v>0.01</v>
      </c>
      <c r="FO61" s="160">
        <f>Control!$C$101</f>
        <v>50</v>
      </c>
      <c r="FP61" s="150" t="e">
        <f t="shared" ca="1" si="34"/>
        <v>#N/A</v>
      </c>
      <c r="FQ61" s="150" t="e">
        <f ca="1">MAX(0,(Control!$C$112*(($DK61-Control!$C$97)/Control!$C$97)))</f>
        <v>#N/A</v>
      </c>
      <c r="FR61" s="150" t="e">
        <f ca="1">(1-$NT61)*Control!$C$113</f>
        <v>#DIV/0!</v>
      </c>
      <c r="FS61" s="198" t="e">
        <f t="shared" ca="1" si="35"/>
        <v>#N/A</v>
      </c>
      <c r="FT61" s="161">
        <f t="shared" ca="1" si="152"/>
        <v>56</v>
      </c>
      <c r="FU61" s="162" t="e">
        <f ca="1">IF(Control!$B$34=1,VLOOKUP($CP61,Control!$B$86:$G$91,6),Control!$B$35)</f>
        <v>#N/A</v>
      </c>
      <c r="FV61" s="162" t="e">
        <f t="shared" ca="1" si="36"/>
        <v>#DIV/0!</v>
      </c>
      <c r="FW61" s="162" t="e">
        <f ca="1">IF(Control!$B$31=1,$FU61*$FV61,  $FU61)</f>
        <v>#N/A</v>
      </c>
      <c r="FX61" s="162" t="e">
        <f ca="1">IF(Control!$B$34=1,VLOOKUP($CP61,Control!$B$86:$G$91,3),Control!$B$36)</f>
        <v>#N/A</v>
      </c>
      <c r="FY61" s="162" t="e">
        <f t="shared" ca="1" si="37"/>
        <v>#N/A</v>
      </c>
      <c r="FZ61" s="162" t="e">
        <f ca="1">IF(Control!$B$34=1,VLOOKUP($CP61,Control!$B$86:$G$91,4),Control!$B$37)</f>
        <v>#N/A</v>
      </c>
      <c r="GA61" s="162" t="e">
        <f t="shared" ca="1" si="38"/>
        <v>#N/A</v>
      </c>
      <c r="GB61" s="162" t="e">
        <f ca="1">IF(Control!$B$34=1,VLOOKUP($CP61,Control!$B$86:$G$91,5),Control!$B$38)</f>
        <v>#N/A</v>
      </c>
      <c r="GC61" s="162" t="e">
        <f t="shared" ca="1" si="153"/>
        <v>#N/A</v>
      </c>
      <c r="GD61" s="162">
        <f t="shared" ca="1" si="39"/>
        <v>1</v>
      </c>
      <c r="GE61" s="162">
        <f t="shared" ca="1" si="40"/>
        <v>1</v>
      </c>
      <c r="GF61" s="162">
        <f ca="1">IF(AND(Control!$C$104=1, Control!$C$62="F"),$GE61,1)</f>
        <v>1</v>
      </c>
      <c r="GG61" s="162" t="e">
        <f ca="1">IF(Control!$B$16=40,0,IF(AND(Control!$B$16&gt;40,Control!$B$16&lt;=360),(Control!$B$16-40)*((1-0)/(360-40)),IF(AND(Control!$B$16&gt;360,Control!$B$16&lt;=720),(1+(Control!$B$16-360)*((1.25-1)/(720-360))),IF(AND(Control!$B$16&gt;720,Control!$B$16&lt;=1000),(1.25+(Control!$B$16-720)*((1.35-1.25)/(1000-720))),IF(AND(Control!$B$16&gt;1000,Control!$B$16&lt;=2000),(1.35+(Control!$B$16-1000)*0))))))</f>
        <v>#N/A</v>
      </c>
      <c r="GH61" s="162" t="e">
        <f t="shared" ca="1" si="41"/>
        <v>#N/A</v>
      </c>
      <c r="GI61" s="162">
        <f t="shared" ca="1" si="201"/>
        <v>0</v>
      </c>
      <c r="GJ61" s="162">
        <f t="shared" ca="1" si="42"/>
        <v>0</v>
      </c>
      <c r="GK61" s="162">
        <f t="shared" ca="1" si="220"/>
        <v>1</v>
      </c>
      <c r="GL61" s="162">
        <f t="shared" ca="1" si="43"/>
        <v>1</v>
      </c>
      <c r="GM61" s="162" t="e">
        <f ca="1">MAX(0,MIN(1,1-Control!$C$156*(1.0001-$KH61)^2))</f>
        <v>#N/A</v>
      </c>
      <c r="GN61" s="162" t="e">
        <f ca="1">IF(Control!$B$26=1,$KU61,$KX61)</f>
        <v>#N/A</v>
      </c>
      <c r="GO61" s="162" t="e">
        <f ca="1">IF($CP61&lt;=60,Control!$C$105,IF($CP61&gt;=90,Control!$C$106,Control!$C$105+($CP61-60)*((Control!$C$106-Control!$C$105)/(90-60))))</f>
        <v>#N/A</v>
      </c>
      <c r="GP61" s="162" t="e">
        <f t="shared" ca="1" si="154"/>
        <v>#N/A</v>
      </c>
      <c r="GQ61" s="162" t="e">
        <f t="shared" ca="1" si="155"/>
        <v>#N/A</v>
      </c>
      <c r="GR61" s="163" t="e">
        <f t="shared" ca="1" si="44"/>
        <v>#DIV/0!</v>
      </c>
      <c r="GS61" s="162" t="e">
        <f t="shared" ca="1" si="45"/>
        <v>#DIV/0!</v>
      </c>
      <c r="GT61" s="164" t="e">
        <f t="shared" ca="1" si="156"/>
        <v>#N/A</v>
      </c>
      <c r="GU61" s="162" t="e">
        <f t="shared" ca="1" si="157"/>
        <v>#N/A</v>
      </c>
      <c r="GV61" s="162" t="e">
        <f t="shared" ca="1" si="46"/>
        <v>#N/A</v>
      </c>
      <c r="GW61" s="162" t="e">
        <f t="shared" ca="1" si="221"/>
        <v>#DIV/0!</v>
      </c>
      <c r="GX61" s="162" t="e">
        <f t="shared" ca="1" si="228"/>
        <v>#DIV/0!</v>
      </c>
      <c r="GY61" s="162" t="e">
        <f t="shared" ca="1" si="158"/>
        <v>#DIV/0!</v>
      </c>
      <c r="GZ61" s="165" t="e">
        <f t="shared" ca="1" si="159"/>
        <v>#N/A</v>
      </c>
      <c r="HA61" s="162" t="e">
        <f ca="1">IF(Control!$C$114=1, $DI61*$FS61, 0)</f>
        <v>#N/A</v>
      </c>
      <c r="HB61" s="162" t="e">
        <f ca="1">$FA61/Control!$C$64</f>
        <v>#N/A</v>
      </c>
      <c r="HC61" s="162" t="e">
        <f t="shared" ca="1" si="222"/>
        <v>#DIV/0!</v>
      </c>
      <c r="HD61" s="162">
        <f ca="1">-ASIN(SIN(23.45*Control!$C$139)*COS(2*Control!$C$138*($AH61+10)/365))</f>
        <v>-0.16837030846210588</v>
      </c>
      <c r="HE61" s="165">
        <f t="shared" ca="1" si="160"/>
        <v>0</v>
      </c>
      <c r="HF61" s="166">
        <f ca="1">IF(AND(Control!$C$61="T",$HE61&gt;=Control!$C$103,Control!$C$114=0),$AH61,Control!$C$59)</f>
        <v>1</v>
      </c>
      <c r="HG61" s="166">
        <f ca="1">IF(AND(Control!$C$61="T",$HE61&gt;=Control!$C$103,Control!$C$114=0),$HF61,Control!$C$59)</f>
        <v>1</v>
      </c>
      <c r="HH61" s="165">
        <f ca="1">IF(AND(OR(Control!$C$60&lt;=0, $AH61= Control!$C$59, Control!$C$60 &gt;0, $AH61 = Control!$C$60)), Control!$C$59, IF(Control!$C$60&gt;0, 0))</f>
        <v>1</v>
      </c>
      <c r="HI61" s="165">
        <f ca="1">IF(AND(OR(Control!$C$60&lt;=0, $AH61= Control!$C$59, Control!$C$60 &gt;0, $AH61 = Control!$C$60)), Control!$C$60, IF(Control!$C$60&lt;=0, 0))</f>
        <v>0</v>
      </c>
      <c r="HJ61" s="166">
        <f ca="1">IF(AND(Control!$C$62="F",$CV61&gt;=Control!$C$102),$AH61,0)</f>
        <v>0</v>
      </c>
      <c r="HK61" s="165" t="e">
        <f t="shared" ca="1" si="202"/>
        <v>#N/A</v>
      </c>
      <c r="HL61" s="166">
        <f ca="1">IF(AND(Control!$C$61="T",$HE61&gt;=Control!$C$103,Control!$C$114=0),$HF61,0)</f>
        <v>0</v>
      </c>
      <c r="HM61" s="201" t="e">
        <f t="shared" ca="1" si="47"/>
        <v>#DIV/0!</v>
      </c>
      <c r="HN61" s="215">
        <f t="shared" ca="1" si="161"/>
        <v>56</v>
      </c>
      <c r="HO61" s="216" t="e">
        <f ca="1">IF(AND($CP61&gt;=0, $CP61&lt;=90), Control!$C$152, Control!$C$152)</f>
        <v>#N/A</v>
      </c>
      <c r="HP61" s="216" t="e">
        <f t="shared" ca="1" si="48"/>
        <v>#N/A</v>
      </c>
      <c r="HQ61" s="217" t="e">
        <f ca="1">IF(OR(Control!$B$26=1,Control!$B$26=2),$KV61,$KS61)</f>
        <v>#DIV/0!</v>
      </c>
      <c r="HR61" s="218" t="e">
        <f t="shared" ca="1" si="223"/>
        <v>#DIV/0!</v>
      </c>
      <c r="HS61" s="216" t="e">
        <f ca="1">Control!$C$154*$HP61</f>
        <v>#N/A</v>
      </c>
      <c r="HT61" s="216" t="e">
        <f ca="1">Control!$C$155*$HP61</f>
        <v>#N/A</v>
      </c>
      <c r="HU61" s="217" t="e">
        <f ca="1">Control!$C$161*$FI61</f>
        <v>#N/A</v>
      </c>
      <c r="HV61" s="218" t="e">
        <f t="shared" ca="1" si="162"/>
        <v>#N/A</v>
      </c>
      <c r="HW61" s="218" t="e">
        <f ca="1">Control!$C$160*$FF61+$IP61*$EO61</f>
        <v>#N/A</v>
      </c>
      <c r="HX61" s="218" t="e">
        <f t="shared" ca="1" si="203"/>
        <v>#N/A</v>
      </c>
      <c r="HY61" s="219" t="e">
        <f ca="1">IF(Control!$C$114=1, $EB61*$FS61, 0)</f>
        <v>#N/A</v>
      </c>
      <c r="HZ61" s="91" t="e">
        <f t="shared" ca="1" si="49"/>
        <v>#N/A</v>
      </c>
      <c r="IA61" s="220" t="e">
        <f ca="1">Control!$C$153*$HO61</f>
        <v>#N/A</v>
      </c>
      <c r="IB61" s="218" t="e">
        <f t="shared" ca="1" si="50"/>
        <v>#N/A</v>
      </c>
      <c r="IC61" s="220" t="e">
        <f ca="1">Control!$C$153*$HT61</f>
        <v>#N/A</v>
      </c>
      <c r="ID61" s="218" t="e">
        <f t="shared" ca="1" si="51"/>
        <v>#N/A</v>
      </c>
      <c r="IE61" s="221" t="e">
        <f ca="1">($EB61*Control!$C$159+$EF61*Control!$C$160)/(IF($GZ61&lt;&gt;0,$GZ61,1))</f>
        <v>#N/A</v>
      </c>
      <c r="IF61" s="216" t="e">
        <f t="shared" ca="1" si="52"/>
        <v>#N/A</v>
      </c>
      <c r="IG61" s="91">
        <f ca="1">IF(OR(Control!$B$198=$AH61,Control!$B$199=$AH61, Control!$B$200=$AH61, Control!$B$201=$AH61, Control!$B$202=$AH61, Control!$B$203=$AH61, Control!$B$204=$AH61, Control!$B$205=$AH61, Control!$B$206=$AH61, Control!$B$207=$AH61), 1, 0)</f>
        <v>0</v>
      </c>
      <c r="IH61" s="91">
        <f ca="1">IF($IG61=0,0, VLOOKUP($AH61,Control!$B$198:$C$207,2))</f>
        <v>0</v>
      </c>
      <c r="II61" s="222">
        <f t="shared" ca="1" si="163"/>
        <v>0</v>
      </c>
      <c r="IJ61" s="91">
        <f>Control!$C$121</f>
        <v>0.7</v>
      </c>
      <c r="IK61" s="218">
        <f t="shared" ca="1" si="53"/>
        <v>0</v>
      </c>
      <c r="IL61" s="217" t="e">
        <f t="shared" ca="1" si="204"/>
        <v>#N/A</v>
      </c>
      <c r="IM61" s="223" t="e">
        <f ca="1">IF(AND(Control!$C$114=1,$KH61&lt;1),$EB61*Control!$C$148*(1-$KH61), 0)</f>
        <v>#N/A</v>
      </c>
      <c r="IN61" s="217" t="e">
        <f t="shared" ca="1" si="54"/>
        <v>#DIV/0!</v>
      </c>
      <c r="IO61" s="91" t="e">
        <f ca="1">MAX(0,$IL61-$EF61*Control!$C$160)</f>
        <v>#N/A</v>
      </c>
      <c r="IP61" s="220" t="e">
        <f t="shared" ca="1" si="55"/>
        <v>#N/A</v>
      </c>
      <c r="IQ61" s="217" t="e">
        <f t="shared" ca="1" si="164"/>
        <v>#N/A</v>
      </c>
      <c r="IR61" s="218" t="e">
        <f t="shared" ca="1" si="56"/>
        <v>#N/A</v>
      </c>
      <c r="IS61" s="217" t="e">
        <f ca="1">Control!$C$159*MAX(0,$FD61-$EN61)</f>
        <v>#N/A</v>
      </c>
      <c r="IT61" s="217" t="e">
        <f t="shared" ca="1" si="205"/>
        <v>#N/A</v>
      </c>
      <c r="IU61" s="217" t="e">
        <f t="shared" ca="1" si="165"/>
        <v>#N/A</v>
      </c>
      <c r="IV61" s="217" t="e">
        <f t="shared" ca="1" si="206"/>
        <v>#N/A</v>
      </c>
      <c r="IW61" s="217" t="e">
        <f ca="1">IF(OR($AW61=1,AND($AW61=0, Control!$B$18=1,$EN61&lt;&gt;0)), $IQ61-$IU61, $IQ61)</f>
        <v>#N/A</v>
      </c>
      <c r="IX61" s="218" t="e">
        <f t="shared" ca="1" si="57"/>
        <v>#N/A</v>
      </c>
      <c r="IY61" s="218" t="e">
        <f ca="1">MAX(0,$IQ61-$EB61*Control!$C$159)</f>
        <v>#N/A</v>
      </c>
      <c r="IZ61" s="218" t="e">
        <f t="shared" ca="1" si="58"/>
        <v>#N/A</v>
      </c>
      <c r="JA61" s="216" t="e">
        <f t="shared" ca="1" si="59"/>
        <v>#N/A</v>
      </c>
      <c r="JB61" s="217" t="e">
        <f t="shared" ca="1" si="60"/>
        <v>#N/A</v>
      </c>
      <c r="JC61" s="222" t="e">
        <f ca="1">MAX(Control!$C$157*$EK61-$JT61, 0)/Control!$C$162</f>
        <v>#N/A</v>
      </c>
      <c r="JD61" s="218" t="e">
        <f t="shared" ca="1" si="61"/>
        <v>#N/A</v>
      </c>
      <c r="JE61" s="218" t="e">
        <f t="shared" ca="1" si="62"/>
        <v>#N/A</v>
      </c>
      <c r="JF61" s="218" t="e">
        <f t="shared" ca="1" si="207"/>
        <v>#N/A</v>
      </c>
      <c r="JG61" s="218" t="e">
        <f t="shared" ca="1" si="63"/>
        <v>#N/A</v>
      </c>
      <c r="JH61" s="217" t="e">
        <f t="shared" ca="1" si="166"/>
        <v>#N/A</v>
      </c>
      <c r="JI61" s="217" t="e">
        <f t="shared" ca="1" si="167"/>
        <v>#N/A</v>
      </c>
      <c r="JJ61" s="217" t="e">
        <f t="shared" ca="1" si="224"/>
        <v>#N/A</v>
      </c>
      <c r="JK61" s="217" t="e">
        <f ca="1">IF(Control!$C$114=1,IF(Control!$B$24=0,MAX(0,$JI61)*$GN61/Control!$C$64,(MAX(0,MIN($JI61,$JJ61*$GN61/Control!$C$64),0))))</f>
        <v>#N/A</v>
      </c>
      <c r="JL61" s="217" t="e">
        <f ca="1">$IK61/Control!$C$64-$JK61+$HQ61</f>
        <v>#N/A</v>
      </c>
      <c r="JM61" s="217" t="e">
        <f ca="1">IF(Control!$C$114=1,($JB61/(IF($JI61&lt;&gt;0,$JI61,1)))*$JK61,0)</f>
        <v>#N/A</v>
      </c>
      <c r="JN61" s="217" t="e">
        <f ca="1">IF(Control!$C$114=1,($JG61/(IF($JI61&lt;&gt;0,$JI61,1)))*$JK61, 0)</f>
        <v>#N/A</v>
      </c>
      <c r="JO61" s="218" t="e">
        <f t="shared" ca="1" si="64"/>
        <v>#N/A</v>
      </c>
      <c r="JP61" s="218" t="e">
        <f ca="1">MIN(($IY61+$IO61)*Control!$C$151, $JF61-$EH61*Control!$C$161)</f>
        <v>#N/A</v>
      </c>
      <c r="JQ61" s="218" t="e">
        <f t="shared" ca="1" si="65"/>
        <v>#N/A</v>
      </c>
      <c r="JR61" s="217" t="e">
        <f ca="1">IF($CP61-Control!$C$150&lt;0, 0, $JQ61/Control!$C$162)</f>
        <v>#N/A</v>
      </c>
      <c r="JS61" s="218" t="e">
        <f t="shared" ca="1" si="66"/>
        <v>#N/A</v>
      </c>
      <c r="JT61" s="218" t="e">
        <f t="shared" ca="1" si="168"/>
        <v>#N/A</v>
      </c>
      <c r="JU61" s="218" t="e">
        <f t="shared" ca="1" si="67"/>
        <v>#N/A</v>
      </c>
      <c r="JV61" s="218" t="e">
        <f t="shared" ca="1" si="68"/>
        <v>#N/A</v>
      </c>
      <c r="JW61" s="216" t="e">
        <f t="shared" ca="1" si="69"/>
        <v>#N/A</v>
      </c>
      <c r="JX61" s="91" t="e">
        <f t="shared" ca="1" si="70"/>
        <v>#N/A</v>
      </c>
      <c r="JY61" s="218" t="e">
        <f t="shared" ca="1" si="71"/>
        <v>#N/A</v>
      </c>
      <c r="JZ61" s="217" t="e">
        <f ca="1">IF(Control!$C$114=1,($IZ61/(IF($JI61&lt;&gt;0,$JI61,1)))*$JK61, 0)</f>
        <v>#N/A</v>
      </c>
      <c r="KA61" s="218" t="e">
        <f t="shared" ca="1" si="225"/>
        <v>#N/A</v>
      </c>
      <c r="KB61" s="218" t="e">
        <f t="shared" ca="1" si="169"/>
        <v>#N/A</v>
      </c>
      <c r="KC61" s="218" t="e">
        <f t="shared" ca="1" si="72"/>
        <v>#N/A</v>
      </c>
      <c r="KD61" s="218" t="e">
        <f t="shared" ca="1" si="73"/>
        <v>#N/A</v>
      </c>
      <c r="KE61" s="218" t="e">
        <f t="shared" ca="1" si="74"/>
        <v>#N/A</v>
      </c>
      <c r="KF61" s="218" t="e">
        <f t="shared" ca="1" si="75"/>
        <v>#N/A</v>
      </c>
      <c r="KG61" s="216" t="e">
        <f t="shared" ca="1" si="76"/>
        <v>#N/A</v>
      </c>
      <c r="KH61" s="221" t="e">
        <f ca="1">IF(Control!$B$24=0,1,MAX(0.001,MIN(1,IF(($IF61-$IE61)&lt;&gt;0,($KG61-$IE61)/($IF61-$IE61),1))))</f>
        <v>#N/A</v>
      </c>
      <c r="KI61" s="222" t="e">
        <f ca="1">IF(Control!$C$114=1, $KI60+ $KH60, 0)</f>
        <v>#N/A</v>
      </c>
      <c r="KJ61" s="217" t="e">
        <f t="shared" ca="1" si="77"/>
        <v>#N/A</v>
      </c>
      <c r="KK61" s="218" t="e">
        <f t="shared" ca="1" si="78"/>
        <v>#N/A</v>
      </c>
      <c r="KL61" s="274" t="e">
        <f ca="1">IF(Control!$B$26=3,4000000000*EXP(-8400/($G61+273)),IF(Control!$B$26=4,4000000000*EXP(-8400/($G61+273))*($KT61),0))</f>
        <v>#DIV/0!</v>
      </c>
      <c r="KM61" s="274" t="e">
        <f ca="1">IF(Control!$B$26=3,5600000000000*EXP(-9800/($G61+273)),IF(Control!$B$26=4,5600000000000*EXP(-9800/($G61+273))*$KT61,0))</f>
        <v>#DIV/0!</v>
      </c>
      <c r="KN61" s="454" t="e">
        <f t="shared" ca="1" si="170"/>
        <v>#DIV/0!</v>
      </c>
      <c r="KO61" s="274" t="e">
        <f t="shared" ca="1" si="171"/>
        <v>#DIV/0!</v>
      </c>
      <c r="KP61" s="454" t="e">
        <f t="shared" ca="1" si="79"/>
        <v>#DIV/0!</v>
      </c>
      <c r="KQ61" s="454" t="e">
        <f t="shared" ca="1" si="80"/>
        <v>#DIV/0!</v>
      </c>
      <c r="KR61" s="454" t="e">
        <f t="shared" ca="1" si="81"/>
        <v>#DIV/0!</v>
      </c>
      <c r="KS61" s="454" t="e">
        <f t="shared" ca="1" si="82"/>
        <v>#DIV/0!</v>
      </c>
      <c r="KT61" s="455" t="e">
        <f t="shared" ca="1" si="83"/>
        <v>#DIV/0!</v>
      </c>
      <c r="KU61" s="456" t="e">
        <f ca="1">IF($CP61-Control!$C$149&lt;0, IF($NT61-0.01&lt;0,0,1),0)</f>
        <v>#N/A</v>
      </c>
      <c r="KV61" s="456" t="e">
        <f ca="1">IF(Control!$C$114=1,MAX(0,MIN(Control!$C$125*$KW61*$GN61,$KW61)))</f>
        <v>#DIV/0!</v>
      </c>
      <c r="KW61" s="456" t="e">
        <f t="shared" ca="1" si="208"/>
        <v>#DIV/0!</v>
      </c>
      <c r="KX61" s="457" t="e">
        <f ca="1">IF($CP61-Control!$C$149&lt;0, IF($MR61-$OM61&lt;0,0,1),0)</f>
        <v>#N/A</v>
      </c>
      <c r="KY61" s="167">
        <f t="shared" ca="1" si="172"/>
        <v>56</v>
      </c>
      <c r="KZ61" s="168">
        <f ca="1">1370*(1+0.033*COS(2*Control!$C$138*$AH61/365))</f>
        <v>1395.7805703323775</v>
      </c>
      <c r="LA61" s="169">
        <f t="shared" ca="1" si="173"/>
        <v>1.018817995658829</v>
      </c>
      <c r="LB61" s="169">
        <f t="shared" ca="1" si="174"/>
        <v>-0.16901338609456681</v>
      </c>
      <c r="LC61" s="169">
        <f ca="1">ACOS(-TAN((2*Control!$B$8/360))*TAN(Calculations!$LB61))</f>
        <v>1.5200594303317012</v>
      </c>
      <c r="LD61" s="169">
        <f ca="1">((24*60)/PI())*0.082*$LA61*(($LC61*SIN(Control!$B$8*2*PI()/360))*SIN($LB61)+COS(Control!$B$8*2*PI()/360)*COS($LB61)*SIN($LC61))</f>
        <v>15.494336531903247</v>
      </c>
      <c r="LE61" s="170">
        <f t="shared" ca="1" si="84"/>
        <v>15.882108656393154</v>
      </c>
      <c r="LF61" s="170">
        <f ca="1">SIN(Control!$C$139*Control!$B$8)*SIN($HD61)</f>
        <v>-0.13205185065782912</v>
      </c>
      <c r="LG61" s="170">
        <f ca="1">COS(Control!$C$139*Control!$B$8)*COS($HD61)</f>
        <v>0.60695386418378239</v>
      </c>
      <c r="LH61" s="170">
        <f ca="1">12*(1+2*ASIN(MAX(-1,MIN(1,$LF61/$LG61))/Control!$C$138))</f>
        <v>10.336599145395738</v>
      </c>
      <c r="LI61" s="170">
        <f ca="1">12*(1+2*ASIN(MAX(-1,MIN(1,(-SIN(-4*Control!$C$139)+$LF61)/$LG61))/Control!$C$138))</f>
        <v>11.215782298666623</v>
      </c>
      <c r="LJ61" s="168">
        <f ca="1">3600*($LH61*$LF61+24*$LG61*SQRT(1-$LK61*$LK61)/Control!$C$138)</f>
        <v>11378.657214443918</v>
      </c>
      <c r="LK61" s="170">
        <f t="shared" ca="1" si="85"/>
        <v>-0.21756488993674902</v>
      </c>
      <c r="LL61" s="170">
        <f t="shared" ca="1" si="86"/>
        <v>0</v>
      </c>
      <c r="LM61" s="171">
        <f ca="1">Control!$C$145*$AB61</f>
        <v>6.6660906138995932E-2</v>
      </c>
      <c r="LN61" s="170">
        <f t="shared" ca="1" si="175"/>
        <v>0.54</v>
      </c>
      <c r="LO61" s="170">
        <f t="shared" ca="1" si="87"/>
        <v>0</v>
      </c>
      <c r="LP61" s="170">
        <f ca="1">Control!$C$140*((($D61+273.16)^4+($E61+273.16)^4)/2)*(0.34-0.14*SQRT($Y61))*(1.35*$AQ61/(0.75*$LD61)-0.35)</f>
        <v>-3.2464704755046001</v>
      </c>
      <c r="LQ61" s="170">
        <f ca="1">Control!$C$140*($G61+273)^4*(0.56-0.079*SQRT($Y61*10))*(0.1+0.9*$LO61)</f>
        <v>1.5241745131704001</v>
      </c>
      <c r="LR61" s="170">
        <f ca="1">$AQ61*(1-Control!$C$142)-$LQ61</f>
        <v>-1.5241745131704001</v>
      </c>
      <c r="LS61" s="170">
        <f ca="1">$AQ61*(1-Control!$C$143)-$LQ61</f>
        <v>-1.5241745131704001</v>
      </c>
      <c r="LT61" s="170">
        <f ca="1">$AQ61*(1-Control!$C$144)-$LQ61</f>
        <v>-1.5241745131704001</v>
      </c>
      <c r="LU61" s="169">
        <f ca="1">(1-Control!$C$144)*AQ61-LP61</f>
        <v>3.2464704755046001</v>
      </c>
      <c r="LV61" s="172">
        <f t="shared" ca="1" si="88"/>
        <v>0.79430000000000012</v>
      </c>
      <c r="LW61" s="170">
        <f t="shared" ca="1" si="89"/>
        <v>1.5886000000000002</v>
      </c>
      <c r="LX61" s="170">
        <f ca="1">($AC61*($LR61/Control!$C$141)+$LM61*$LV61)/($AC61+$LM61)</f>
        <v>0.23530094218323697</v>
      </c>
      <c r="LY61" s="170">
        <f ca="1">($AC61*($LS61/Control!$C$141)+$LM61*$LV61)/($AC61+$LM61)</f>
        <v>0.23530094218323697</v>
      </c>
      <c r="LZ61" s="170">
        <f t="shared" ca="1" si="90"/>
        <v>0.23530094218323697</v>
      </c>
      <c r="MA61" s="170">
        <f t="shared" ca="1" si="91"/>
        <v>0.23530094218323697</v>
      </c>
      <c r="MB61" s="170" t="e">
        <f t="shared" ca="1" si="92"/>
        <v>#N/A</v>
      </c>
      <c r="MC61" s="170">
        <f t="shared" ca="1" si="176"/>
        <v>0.6018</v>
      </c>
      <c r="MD61" s="170">
        <f t="shared" ca="1" si="93"/>
        <v>0.52989392535414004</v>
      </c>
      <c r="ME61" s="170">
        <f ca="1">($AC61*($LT61/Control!$C$141)+$LM61*$LW61)/($AC61+$LM61)</f>
        <v>0.71612369323045078</v>
      </c>
      <c r="MF61" s="170" t="e">
        <f ca="1">IF(Control!$B$16&gt;=1000,0.92,IF(AND(720&lt;=Control!$B$16,1000&gt;Control!$B$16),(0.95+(Control!$B$16-720)*((0.92-0.95)/(1000-720))),IF(AND(360&lt;=Control!$B$16,720&gt;Control!$B$16),(1+(Control!$B$16-360)*((0.95-1)/(720-360))),IF(AND(40&lt;=Control!$B$16,360&gt;Control!$B$16),(1.05+(Control!$B$16-40)*((1.05-1)/(360-40)))))))</f>
        <v>#N/A</v>
      </c>
      <c r="MG61" s="170">
        <f t="shared" ca="1" si="94"/>
        <v>0.71612369323045078</v>
      </c>
      <c r="MH61" s="170" t="e">
        <f t="shared" ca="1" si="232"/>
        <v>#N/A</v>
      </c>
      <c r="MI61" s="170" t="e">
        <f t="shared" ca="1" si="232"/>
        <v>#N/A</v>
      </c>
      <c r="MJ61" s="170" t="e">
        <f ca="1">MAX(0.0001, Control!$C$132*$MI61*$DL61)</f>
        <v>#N/A</v>
      </c>
      <c r="MK61" s="170">
        <f ca="1">1/(0.76+1.5*($MG61/10))-(5-Control!$C$110)*0.1</f>
        <v>1.002845988140797</v>
      </c>
      <c r="ML61" s="173">
        <f ca="1">IF(Control!$C$110&lt;3,$MK61+($MG61-0.6)/(Control!$C$110*(Control!$C$110+3)), MAX(0.1, MIN(0.95,$MK61)))</f>
        <v>0.95</v>
      </c>
      <c r="MM61" s="173">
        <f ca="1">IF(Control!$C$110&lt;3,$MK61+(($MI61/10)-0.6)/(Control!$C$110*(Control!$C$110+3)), MAX(0.1, MIN(0.95,$MK61)))</f>
        <v>0.95</v>
      </c>
      <c r="MN61" s="173">
        <f ca="1">(1-$MM61)*(Control!$C$128-Control!$C$127)+Control!$C$127</f>
        <v>0.16</v>
      </c>
      <c r="MO61" s="170" t="e">
        <f ca="1">MAX(0,MIN(1,($MS61-Control!$C$127)/($MN61-Control!$C$127)))</f>
        <v>#DIV/0!</v>
      </c>
      <c r="MP61" s="173" t="e">
        <f ca="1">1/(0.76+1.5*$MI61)-(5-Control!$C$110)*0.1</f>
        <v>#N/A</v>
      </c>
      <c r="MQ61" s="172" t="e">
        <f t="shared" ca="1" si="209"/>
        <v>#DIV/0!</v>
      </c>
      <c r="MR61" s="168" t="e">
        <f t="shared" ca="1" si="226"/>
        <v>#DIV/0!</v>
      </c>
      <c r="MS61" s="173" t="e">
        <f ca="1">MAX(Control!$C$127, MIN(Control!$C$135, $MR61/MAX(0.0001,$CY61)))</f>
        <v>#DIV/0!</v>
      </c>
      <c r="MT61" s="168" t="e">
        <f ca="1">(Control!$C$128-$MS61)*Control!$C$74</f>
        <v>#DIV/0!</v>
      </c>
      <c r="MU61" s="168" t="e">
        <f ca="1">(Control!$C$135-$MS61)*Control!$C$74</f>
        <v>#DIV/0!</v>
      </c>
      <c r="MV61" s="168" t="e">
        <f t="shared" ca="1" si="210"/>
        <v>#DIV/0!</v>
      </c>
      <c r="MW61" s="168" t="e">
        <f t="shared" ca="1" si="177"/>
        <v>#DIV/0!</v>
      </c>
      <c r="MX61" s="171" t="e">
        <f ca="1">MAX(Control!$C$127, MIN(Control!$C$135, $MW61/MAX(0.0001,Control!$C$119-$CY61)))</f>
        <v>#DIV/0!</v>
      </c>
      <c r="MY61" s="54" t="e">
        <f ca="1">IF(Control!$C$114=1, $CX61*$MX61, 0)</f>
        <v>#DIV/0!</v>
      </c>
      <c r="MZ61" s="54" t="e">
        <f t="shared" ca="1" si="178"/>
        <v>#N/A</v>
      </c>
      <c r="NA61" s="168" t="e">
        <f ca="1">(Control!$C$128-$MX61)*(Control!$C$119-Control!$C$74)</f>
        <v>#DIV/0!</v>
      </c>
      <c r="NB61" s="168" t="e">
        <f ca="1">(Control!$C$135-$MX61)*(Control!$C$119-Control!$C$74)</f>
        <v>#DIV/0!</v>
      </c>
      <c r="NC61" s="174" t="e">
        <f t="shared" ca="1" si="179"/>
        <v>#DIV/0!</v>
      </c>
      <c r="ND61" s="54">
        <f ca="1">IF(Control!$C$58=2, IF(OR(Control!$B$218=$AH61,Control!$B$219=$AH61, Control!$B$220=$AH61, Control!$B$221=$AH61, Control!$B$222=$AH61, Control!$B$223=$AH61, Control!$B$224=$AH61, Control!$B$225=$AH61, Control!$B$226=$AH61, Control!$B$227=$AH61, Control!$B$228=$AH61), 1, 0), 0)</f>
        <v>0</v>
      </c>
      <c r="NE61" s="54">
        <f ca="1">IF($ND61=0,0, VLOOKUP($AH61,Control!$B$218:$C$228,2))</f>
        <v>0</v>
      </c>
      <c r="NF61" s="168" t="e">
        <f ca="1">$CY61*(Control!$C$128-Control!$C$127)</f>
        <v>#N/A</v>
      </c>
      <c r="NG61" s="54" t="e">
        <f ca="1">IF(Control!$C$58=2, $NI60-$NJ60, 0)</f>
        <v>#DIV/0!</v>
      </c>
      <c r="NH61" s="54" t="e">
        <f ca="1">IF(AND(Control!$C$58=1, $MS60&lt;= ($MN60+0.02), $I60&lt;10), 0, IF(Control!$C$58=2, $NG60, 0))</f>
        <v>#DIV/0!</v>
      </c>
      <c r="NI61" s="54" t="e">
        <f ca="1">IF(Control!$C$58=2, $NE61+$NH61,0)</f>
        <v>#DIV/0!</v>
      </c>
      <c r="NJ61" s="54" t="e">
        <f ca="1">IF(AND(Control!$C$58=1, $MS61&lt;= ($MN61+0.02), $I61&lt;10), MAX(0, MIN(10, 0.7*($NF61-$MV61))), IF(Control!$C$58=2, MIN(10,$NI61),0))</f>
        <v>#DIV/0!</v>
      </c>
      <c r="NK61" s="54" t="e">
        <f t="shared" ca="1" si="96"/>
        <v>#DIV/0!</v>
      </c>
      <c r="NL61" s="173" t="e">
        <f ca="1">(1-Control!$C$73)*$I61+$NJ61</f>
        <v>#DIV/0!</v>
      </c>
      <c r="NM61" s="172" t="e">
        <f ca="1">IF($NL61&lt;0.5, $MB61* MAX(0, MIN(1, (SQRT($NC61)-SQRT($NC61-1))*Control!$C$71)),0)</f>
        <v>#DIV/0!</v>
      </c>
      <c r="NN61" s="170" t="e">
        <f ca="1">IF($NL61&gt;=5, $MB61, MAX(0,MIN($MB61, $NM61+$NL61,($MS61-Control!$C$129))))</f>
        <v>#DIV/0!</v>
      </c>
      <c r="NO61" s="54">
        <f>IF(Control!$C$133&lt;&gt;1, Control!$C$135-Control!$C$131, 0)</f>
        <v>0.38</v>
      </c>
      <c r="NP61" s="54" t="e">
        <f t="shared" ca="1" si="97"/>
        <v>#DIV/0!</v>
      </c>
      <c r="NQ61" s="173" t="e">
        <f ca="1">MAX(0,MIN(1,(Control!$C$135-$MS61)/(Control!$C$135-$NO61)))</f>
        <v>#DIV/0!</v>
      </c>
      <c r="NR61" s="170" t="e">
        <f ca="1">IF(Control!$C$133&lt;&gt;1, $NQ61+((1-$NP61/4)*(1-$NQ61)),1)</f>
        <v>#DIV/0!</v>
      </c>
      <c r="NS61" s="170" t="e">
        <f ca="1">IF(Control!$B$31=0,$MJ61,MAX(0,MIN($MV61,$MO61*$NR61*$MJ61)))</f>
        <v>#DIV/0!</v>
      </c>
      <c r="NT61" s="170" t="e">
        <f t="shared" ca="1" si="227"/>
        <v>#DIV/0!</v>
      </c>
      <c r="NU61" s="170" t="e">
        <f t="shared" ca="1" si="180"/>
        <v>#N/A</v>
      </c>
      <c r="NV61" s="170" t="e">
        <f t="shared" ca="1" si="98"/>
        <v>#N/A</v>
      </c>
      <c r="NW61" s="175" t="e">
        <f t="shared" ca="1" si="99"/>
        <v>#DIV/0!</v>
      </c>
      <c r="NX61" s="170" t="e">
        <f ca="1">MIN(Control!$C$72+$MU61, $NW61)</f>
        <v>#DIV/0!</v>
      </c>
      <c r="NY61" s="170" t="e">
        <f ca="1">IF($MT61&lt;=$NX61,MIN(Control!$C$72+$NB61,$NX61-$MT61),0)</f>
        <v>#DIV/0!</v>
      </c>
      <c r="NZ61" s="54" t="e">
        <f ca="1">IF(Control!$C$114=1,  $CX61*($MX61-Control!$C$127), 0)</f>
        <v>#DIV/0!</v>
      </c>
      <c r="OA61" s="170" t="e">
        <f t="shared" ca="1" si="181"/>
        <v>#DIV/0!</v>
      </c>
      <c r="OB61" s="170" t="e">
        <f ca="1">IF($NA61 &lt;=$NY61, MIN(Control!$C$72, $NY61-$NA61), 0)</f>
        <v>#DIV/0!</v>
      </c>
      <c r="OC61" s="168" t="e">
        <f t="shared" ca="1" si="100"/>
        <v>#DIV/0!</v>
      </c>
      <c r="OD61" s="168" t="e">
        <f t="shared" ca="1" si="182"/>
        <v>#DIV/0!</v>
      </c>
      <c r="OE61" s="170">
        <f ca="1">Control!$C$73*$I61</f>
        <v>0</v>
      </c>
      <c r="OF61" s="176" t="e">
        <f t="shared" ca="1" si="101"/>
        <v>#DIV/0!</v>
      </c>
      <c r="OG61" s="168" t="e">
        <f t="shared" ca="1" si="102"/>
        <v>#DIV/0!</v>
      </c>
      <c r="OH61" s="168" t="e">
        <f t="shared" ca="1" si="103"/>
        <v>#DIV/0!</v>
      </c>
      <c r="OI61" s="168" t="e">
        <f t="shared" ca="1" si="104"/>
        <v>#DIV/0!</v>
      </c>
      <c r="OJ61" s="168" t="e">
        <f t="shared" ca="1" si="105"/>
        <v>#DIV/0!</v>
      </c>
      <c r="OK61" s="204" t="e">
        <f t="shared" ca="1" si="183"/>
        <v>#DIV/0!</v>
      </c>
      <c r="OL61" s="177">
        <f>Control!$C$127</f>
        <v>0.15</v>
      </c>
      <c r="OM61" s="182" t="e">
        <f t="shared" ca="1" si="106"/>
        <v>#N/A</v>
      </c>
      <c r="ON61" s="177">
        <f>Control!$C$128</f>
        <v>0.35</v>
      </c>
      <c r="OO61" s="182" t="e">
        <f t="shared" ca="1" si="107"/>
        <v>#N/A</v>
      </c>
      <c r="OP61" s="138">
        <f t="shared" ca="1" si="184"/>
        <v>0</v>
      </c>
      <c r="OQ61" s="138" t="e">
        <f t="shared" ca="1" si="211"/>
        <v>#DIV/0!</v>
      </c>
      <c r="OR61" s="138" t="e">
        <f t="shared" ca="1" si="185"/>
        <v>#DIV/0!</v>
      </c>
      <c r="OS61" s="137" t="e">
        <f t="shared" ca="1" si="212"/>
        <v>#DIV/0!</v>
      </c>
      <c r="OT61" s="139" t="e">
        <f t="shared" ca="1" si="213"/>
        <v>#DIV/0!</v>
      </c>
      <c r="OU61" s="138" t="e">
        <f t="shared" ca="1" si="214"/>
        <v>#N/A</v>
      </c>
      <c r="OV61" s="138" t="e">
        <f t="shared" ca="1" si="215"/>
        <v>#DIV/0!</v>
      </c>
      <c r="OW61" s="138" t="e">
        <f t="shared" ca="1" si="186"/>
        <v>#DIV/0!</v>
      </c>
      <c r="OX61" s="138" t="e">
        <f t="shared" ca="1" si="187"/>
        <v>#DIV/0!</v>
      </c>
      <c r="OY61" s="138" t="e">
        <f t="shared" ca="1" si="188"/>
        <v>#DIV/0!</v>
      </c>
      <c r="OZ61" s="138" t="e">
        <f t="shared" ca="1" si="108"/>
        <v>#DIV/0!</v>
      </c>
      <c r="PA61" s="138" t="e">
        <f t="shared" ca="1" si="109"/>
        <v>#DIV/0!</v>
      </c>
      <c r="PB61" s="55">
        <f>IF(Control!$C$61="T", IF(Control!$C$65="F", IF($AH$6-Control!$C$60&lt;0,0,1), IF(365+$AH$6-Control!$C$60&lt;0,0,1)),0)</f>
        <v>0</v>
      </c>
      <c r="PC61" s="55">
        <f ca="1">IF(Control!$C$65="F", IF($AH$6-$HF61&lt;0,0,1), IF(365+$AH$6-$HF61&lt;0,0,1))</f>
        <v>1</v>
      </c>
      <c r="PD61" s="444">
        <f>Control!$C$118</f>
        <v>1500</v>
      </c>
      <c r="PE61" s="180" t="e">
        <f t="shared" ca="1" si="110"/>
        <v>#N/A</v>
      </c>
      <c r="PF61" s="445">
        <f t="shared" ca="1" si="189"/>
        <v>0.71612369323045078</v>
      </c>
      <c r="PT61" s="186"/>
      <c r="PU61" s="186"/>
      <c r="PV61" s="94"/>
      <c r="PW61" s="94"/>
      <c r="PX61" s="94"/>
      <c r="PY61" s="94"/>
      <c r="PZ61" s="94"/>
      <c r="QA61" s="94"/>
      <c r="QB61" s="94"/>
      <c r="QC61" s="94"/>
      <c r="QD61" s="94"/>
      <c r="QE61" s="94"/>
      <c r="QF61" s="94"/>
      <c r="QG61" s="94"/>
      <c r="QH61" s="94"/>
      <c r="QI61" s="94"/>
      <c r="QJ61" s="94"/>
      <c r="QK61" s="94"/>
      <c r="QL61" s="94"/>
      <c r="QM61" s="94"/>
      <c r="QN61" s="94"/>
      <c r="QO61" s="94"/>
      <c r="QP61" s="94"/>
    </row>
    <row r="62" spans="1:458" s="2" customFormat="1" x14ac:dyDescent="0.2">
      <c r="A62" s="395">
        <v>26</v>
      </c>
      <c r="B62" s="396">
        <v>2</v>
      </c>
      <c r="C62" s="387">
        <f ca="1">Weather_data!$B61</f>
        <v>0</v>
      </c>
      <c r="D62" s="388">
        <f ca="1">Weather_data!$F61</f>
        <v>0</v>
      </c>
      <c r="E62" s="388">
        <f ca="1">Weather_data!$E61</f>
        <v>0</v>
      </c>
      <c r="F62" s="388">
        <f t="shared" ca="1" si="111"/>
        <v>0</v>
      </c>
      <c r="G62" s="388">
        <f ca="1">AVERAGE($D62:$E62)+Control!$B$9</f>
        <v>0</v>
      </c>
      <c r="H62" s="388">
        <f ca="1">Weather_data!$G61</f>
        <v>0</v>
      </c>
      <c r="I62" s="388">
        <f ca="1">Weather_data!$I61</f>
        <v>0</v>
      </c>
      <c r="J62" s="388">
        <f ca="1">Weather_data!$H61</f>
        <v>0</v>
      </c>
      <c r="K62" s="389">
        <f ca="1">Weather_data!$D61</f>
        <v>0</v>
      </c>
      <c r="L62" s="388" t="e">
        <f t="shared" ca="1" si="112"/>
        <v>#N/A</v>
      </c>
      <c r="M62" s="388" t="e">
        <f t="shared" ca="1" si="0"/>
        <v>#N/A</v>
      </c>
      <c r="N62" s="388">
        <f t="shared" ca="1" si="1"/>
        <v>-1.3694637249767039E-3</v>
      </c>
      <c r="O62" s="388">
        <f t="shared" ca="1" si="113"/>
        <v>1.3694637249767039E-2</v>
      </c>
      <c r="P62" s="390">
        <v>3</v>
      </c>
      <c r="Q62" s="388">
        <f ca="1">MAX($G62-Control!$C$107,0)</f>
        <v>0</v>
      </c>
      <c r="R62" s="388">
        <f t="shared" ca="1" si="114"/>
        <v>0</v>
      </c>
      <c r="S62" s="388">
        <f t="shared" ca="1" si="2"/>
        <v>0</v>
      </c>
      <c r="T62" s="388">
        <f t="shared" ca="1" si="3"/>
        <v>0</v>
      </c>
      <c r="U62" s="59">
        <f t="shared" ca="1" si="4"/>
        <v>0</v>
      </c>
      <c r="V62" s="391">
        <f ca="1">MAX(0,MIN(Control!$C$100-Control!$C$99,$G62-Control!$C$99)*Control!$C$63)</f>
        <v>0</v>
      </c>
      <c r="W62" s="388">
        <f t="shared" ca="1" si="190"/>
        <v>0</v>
      </c>
      <c r="X62" s="388">
        <f t="shared" ca="1" si="115"/>
        <v>0.6110000000000001</v>
      </c>
      <c r="Y62" s="388">
        <f t="shared" ca="1" si="116"/>
        <v>0</v>
      </c>
      <c r="Z62" s="388">
        <f t="shared" ca="1" si="117"/>
        <v>0.61058800000000002</v>
      </c>
      <c r="AA62" s="388">
        <f t="shared" ca="1" si="5"/>
        <v>0.6018</v>
      </c>
      <c r="AB62" s="388">
        <f ca="1">101.3*EXP(-0.034*Control!$C$66/($G62+273))</f>
        <v>100.69623283836242</v>
      </c>
      <c r="AC62" s="392">
        <f t="shared" ca="1" si="6"/>
        <v>4.3460251046025113E-2</v>
      </c>
      <c r="AD62" s="392">
        <f t="shared" ca="1" si="7"/>
        <v>4.4450382862832649E-2</v>
      </c>
      <c r="AE62" s="388">
        <f t="shared" ca="1" si="8"/>
        <v>0</v>
      </c>
      <c r="AF62" s="388">
        <f ca="1">MAX(0,$G62-Control!$C$92)</f>
        <v>0</v>
      </c>
      <c r="AG62" s="393">
        <f t="shared" ca="1" si="118"/>
        <v>57</v>
      </c>
      <c r="AH62" s="389">
        <f t="shared" ca="1" si="9"/>
        <v>57</v>
      </c>
      <c r="AI62" s="388">
        <f t="shared" ca="1" si="119"/>
        <v>-0.16204625310311643</v>
      </c>
      <c r="AJ62" s="388">
        <f ca="1">IF(Control!$C$60&lt;=0,$HH62,$HI62)</f>
        <v>1</v>
      </c>
      <c r="AK62" s="388">
        <f t="shared" ca="1" si="10"/>
        <v>-0.39592674538391909</v>
      </c>
      <c r="AL62" s="388">
        <f t="shared" ca="1" si="11"/>
        <v>-1.4426151245805483E-18</v>
      </c>
      <c r="AM62" s="388">
        <f t="shared" ca="1" si="12"/>
        <v>-0.39592674538391909</v>
      </c>
      <c r="AN62" s="388">
        <f t="shared" ca="1" si="13"/>
        <v>-0.15402519043568899</v>
      </c>
      <c r="AO62" s="388">
        <f ca="1">-0.10453/COS(Control!$B$8*PI()/180)*COS(AN62)</f>
        <v>-0.16777487503170754</v>
      </c>
      <c r="AP62" s="388">
        <f ca="1">ACOS(AO62-TAN(Control!$B$8*PI()/180)*TAN(AN62))</f>
        <v>1.5398490780148117</v>
      </c>
      <c r="AQ62" s="388">
        <f t="shared" ca="1" si="120"/>
        <v>0</v>
      </c>
      <c r="AR62" s="394">
        <f t="shared" ca="1" si="14"/>
        <v>0</v>
      </c>
      <c r="AS62" s="436">
        <f ca="1">IF(Control!$B$18=2,(IF(OR($AH62=Control!$B$175,$AH62=Control!$B$176,$AH62=Control!$B$177,$AH62=Control!$B$178,$AH62=Control!$B$179,$AH62=Control!$B$180,$AH62=Control!$B$181,$AH62=Control!$B$182,$AH62=Control!$B$183,$AH62=Control!$B$184,$AH62=Control!$B$185),1,0)),0)</f>
        <v>0</v>
      </c>
      <c r="AT62" s="436">
        <f>IF(Control!$B$20=8,IF(AND($AH62&gt;=Control!$B$172,$AH62&lt;=Control!$B$173),1,0),0)</f>
        <v>0</v>
      </c>
      <c r="AU62" s="436">
        <f>IF(Control!$B$20=8,IF($AV61=1,1*$AT62,IF($AT62=1,$AU61+1,$AU61)),0)</f>
        <v>0</v>
      </c>
      <c r="AV62" s="436">
        <f>IF(Control!$B$20=8,IF($AU62&gt;=Control!$B$174,1,0),0)</f>
        <v>0</v>
      </c>
      <c r="AW62" s="436">
        <f ca="1">IF(AND(Control!$B$18=2,Control!$B$171=1), $AV62, $AS62)</f>
        <v>0</v>
      </c>
      <c r="AX62" s="436" t="e">
        <f ca="1">IF(AND(Control!$B$18=1,$EU62&gt;=Control!$B$19),-$AY62,IF(AND(Control!$B$18=2,$AW62=1,$EU62&gt;$DS62),-$AY62, IF(Control!$C$108=0,0, IF(Control!$C$108&lt;&gt;0,1))))</f>
        <v>#N/A</v>
      </c>
      <c r="AY62" s="436" t="e">
        <f t="shared" ca="1" si="121"/>
        <v>#N/A</v>
      </c>
      <c r="AZ62" s="436" t="e">
        <f ca="1">IF(AND(Control!$B$18=1,$EB62&gt;Control!$B$19),$AZ61+1, IF(AND(Control!$B$18=2, $AW62=1, $EB62&gt;$DS62), $AZ61+1,$AZ61))</f>
        <v>#N/A</v>
      </c>
      <c r="BA62" s="587">
        <f>IF(Control!$C$81=0,1,IF($AH62&gt;=Control!$C$82,1,0))</f>
        <v>1</v>
      </c>
      <c r="BB62" s="140" t="e">
        <f ca="1">IF($BA62&gt;$BA61,Control!$C$83,IF($AW62&gt;0,$AW62*Control!$C$84,IF(AND(Control!$B$18=1,EN61&lt;&gt;0),Control!$C$84,0)))</f>
        <v>#N/A</v>
      </c>
      <c r="BC62" s="140" t="e">
        <f t="shared" ca="1" si="122"/>
        <v>#N/A</v>
      </c>
      <c r="BD62" s="140" t="e">
        <f ca="1">BC62*IF(OR($G62&lt;Control!$C$92,$G62&gt;Control!$C$95),0,IF(AND($G62&gt;=Control!$C$92,$G62&lt;=Control!$C$93),$G62-Control!$C$92,IF(AND($G62&gt;Control!$C$93,$G62&lt;=Control!$C$94),Control!$C$93-Control!$C$92,IF(AND($G62&gt;Control!$C$94,$G62&lt;=Control!$C$95),(Control!$C$93-Control!$C$92)*(Control!$C$94-$G62)/(Control!$C$95-Control!$C$94)))))</f>
        <v>#N/A</v>
      </c>
      <c r="BE62" s="140" t="e">
        <f t="shared" ca="1" si="123"/>
        <v>#N/A</v>
      </c>
      <c r="BF62" s="140" t="e">
        <f ca="1">IF($BE62&lt;=Control!$C$86,$BE62,Control!$C$86-$BE62)</f>
        <v>#N/A</v>
      </c>
      <c r="BG62" s="140" t="e">
        <f ca="1">IF(AND($AW62=1,Control!$C$84&lt;9),1,IF($BE62&gt;=Control!$C$86,0,$BC62))</f>
        <v>#N/A</v>
      </c>
      <c r="BH62" s="404" t="e">
        <f ca="1">IF($BG62=0,0,IF($BE62&lt;=Control!$C$86,$BC62*9*($BF62/Control!$C$86),0))</f>
        <v>#N/A</v>
      </c>
      <c r="BI62" s="140" t="e">
        <f ca="1">IF($BG62=1,0,IF($BE62&gt;=Control!$C$86,1,IF(AND($BB62&lt;21,$BB62&gt;=9),1,$BM61)))</f>
        <v>#N/A</v>
      </c>
      <c r="BJ62" s="140" t="e">
        <f ca="1">IF($BF62&lt;0,-$BF62,$BI62*IF(OR($G62&lt;Control!$C$92,$G62&gt;Control!$C$95),0,IF(AND($G62&gt;=Control!$C$92,$G62&lt;=Control!$C$93),$G62-Control!$C$92,IF(AND($G62&gt;Control!$C$93,$G62&lt;=Control!$C$94),Control!$C$93-Control!$C$92,IF(AND($G62&gt;Control!$C$94,$G62&lt;=Control!$C$95),(Control!$C$93-Control!$C$92)*(Control!$C$94-$G62)/(Control!$C$95-Control!$C$94))))))</f>
        <v>#N/A</v>
      </c>
      <c r="BK62" s="140" t="e">
        <f t="shared" ca="1" si="124"/>
        <v>#N/A</v>
      </c>
      <c r="BL62" s="140" t="e">
        <f ca="1">IF($BK62&lt;=Control!$C$87,$BK62,Control!$C$87-$BK62)</f>
        <v>#N/A</v>
      </c>
      <c r="BM62" s="140" t="e">
        <f ca="1">IF(AND($BB62&gt;=9,$BB62&lt;21),1,IF($BK62&gt;=Control!$C$87,0,$BI62))</f>
        <v>#N/A</v>
      </c>
      <c r="BN62" s="404" t="e">
        <f ca="1">IF($BM62=0,0,IF($BK62&lt;=Control!$C$87,$BI62*(9+(21-9)*($BL62/Control!$C$87)),0))</f>
        <v>#N/A</v>
      </c>
      <c r="BO62" s="140" t="e">
        <f ca="1">IF($BM62=1,0,IF($BK62&gt;=Control!$C$87,1,IF(AND($BB62&lt;30,$BB62&gt;=21),1,$BS61)))</f>
        <v>#N/A</v>
      </c>
      <c r="BP62" s="140" t="e">
        <f ca="1">IF($BL62&lt;0,-$BL62,$BO62*IF(OR($G62&lt;Control!$C$92,$G62&gt;Control!$C$95),0,IF(AND($G62&gt;=Control!$C$92,$G62&lt;=Control!$C$93),$G62-Control!$C$92,IF(AND($G62&gt;Control!$C$93,$G62&lt;=Control!$C$94),Control!$C$93-Control!$C$92,IF(AND($G62&gt;Control!$C$94,$G62&lt;=Control!$C$95),(Control!$C$93-Control!$C$92)*(Control!$C$94-$G62)/(Control!$C$95-Control!$C$94))))))</f>
        <v>#N/A</v>
      </c>
      <c r="BQ62" s="140" t="e">
        <f t="shared" ca="1" si="15"/>
        <v>#N/A</v>
      </c>
      <c r="BR62" s="140" t="e">
        <f ca="1">IF($BQ62&lt;=Control!$C$88,$BQ62,Control!$C$88-$BQ62)</f>
        <v>#N/A</v>
      </c>
      <c r="BS62" s="140" t="e">
        <f ca="1">IF(AND($BB62&gt;=21,$BB62&lt;30),1,IF($BQ62&gt;=Control!$C$88,0,$BO62))</f>
        <v>#N/A</v>
      </c>
      <c r="BT62" s="404" t="e">
        <f ca="1">IF($BS62=0,0,IF($BQ62&lt;=Control!$C$88,$BO62*(21+(30-21)*(BR62/Control!$C$88)),0))</f>
        <v>#N/A</v>
      </c>
      <c r="BU62" s="140" t="e">
        <f ca="1">IF(BG62+BM62+BS62=1,0,IF(OR(AND($BB62&lt;60,$BB62&gt;=30),$BQ62&gt;=Control!$C$88),1*$BA62,$BY61))</f>
        <v>#N/A</v>
      </c>
      <c r="BV62" s="140" t="e">
        <f ca="1">IF($BR62&lt;0,-$BR62,$BU62*IF(OR($G62&lt;Control!$C$92,$G62&gt;Control!$C$95),0,IF(AND($G62&gt;=Control!$C$92,$G62&lt;=Control!$C$93),$G62-Control!$C$92,IF(AND($G62&gt;Control!$C$93,$G62&lt;=Control!$C$94),Control!$C$93-Control!$C$92,IF(AND($G62&gt;Control!$C$94,$G62&lt;=Control!$C$95),(Control!$C$93-Control!$C$92)*(Control!$C$94-$G62)/(Control!$C$95-Control!$C$94))))))</f>
        <v>#N/A</v>
      </c>
      <c r="BW62" s="140" t="e">
        <f t="shared" ca="1" si="16"/>
        <v>#N/A</v>
      </c>
      <c r="BX62" s="140" t="e">
        <f ca="1">IF($BW62&lt;=Control!$C$89,$BW62,Control!$C$89-$BW62)</f>
        <v>#N/A</v>
      </c>
      <c r="BY62" s="140" t="e">
        <f ca="1">IF(AND($AJ62&gt;=30,$AJ62&lt;60),1,IF($BW62&gt;=Control!$C$89,0,$BU62))</f>
        <v>#N/A</v>
      </c>
      <c r="BZ62" s="404" t="e">
        <f ca="1">IF($BY62=0,0,IF($BW62&lt;=Control!$C$89,$BU62*(30+(60-30)*(BX62/Control!$C$89)),0))</f>
        <v>#N/A</v>
      </c>
      <c r="CA62" s="140" t="e">
        <f ca="1">IF($BG62+$BM62+$BS62+$BY62=1,0,IF(OR(AND($BB62&lt;65,$BB62&gt;=60),$BW62&gt;=Control!$C$89),1*$BA62,$CE61))</f>
        <v>#N/A</v>
      </c>
      <c r="CB62" s="140" t="e">
        <f ca="1">IF($BX62&lt;0,-$BX62,$CA62*IF(OR($G62&lt;Control!$C$92,$G62&gt;Control!$C$95),0,IF(AND($G62&gt;=Control!$C$92,$G62&lt;=Control!$C$93),$G62-Control!$C$92,IF(AND($G62&gt;Control!$C$93,$G62&lt;=Control!$C$94),Control!$C$93-Control!$C$92,IF(AND($G62&gt;Control!$C$94,$G62&lt;=Control!$C$95),(Control!$C$93-Control!$C$92)*(Control!$C$94-$G62)/(Control!$C$95-Control!$C$94))))))</f>
        <v>#N/A</v>
      </c>
      <c r="CC62" s="140" t="e">
        <f t="shared" ca="1" si="125"/>
        <v>#N/A</v>
      </c>
      <c r="CD62" s="140" t="e">
        <f ca="1">IF($CC62&lt;=Control!$C$90,$CC62,Control!$C$90-$CC62)</f>
        <v>#N/A</v>
      </c>
      <c r="CE62" s="140" t="e">
        <f ca="1">IF(AND($BB62&gt;=60,$BB62&lt;65),1,IF($CC62&gt;=Control!$C$90,0,$CA62))</f>
        <v>#N/A</v>
      </c>
      <c r="CF62" s="404" t="e">
        <f ca="1">IF($CE62=0,0,IF($CC62&lt;=Control!$C$90,$CA62*(60+(65-60)*(CD62/Control!$C$90)),0))</f>
        <v>#N/A</v>
      </c>
      <c r="CG62" s="140" t="e">
        <f ca="1">IF($BG62+$BM62+$BS62+$BY62+$CE62=1,0,IF(OR(AND($BB62&lt;90,$BB62&gt;=65),$CC62&gt;=Control!$C$90),$BA62,$CK61))</f>
        <v>#N/A</v>
      </c>
      <c r="CH62" s="140" t="e">
        <f ca="1">IF($CD62&lt;0,-$CD62,$CG62*IF(OR($G62&lt;Control!$C$92,$G62&gt;Control!$C$95),0,IF(AND($G62&gt;=Control!$C$92,$G62&lt;=Control!$C$93),$G62-Control!$C$92,IF(AND($G62&gt;Control!$C$93,$G62&lt;=Control!$C$94),Control!$C$93-Control!$C$92,IF(AND($G62&gt;Control!$C$94,$G62&lt;=Control!$C$95),(Control!$C$93-Control!$C$92)*(Control!$C$94-$G62)/(Control!$C$95-Control!$C$94))))))</f>
        <v>#N/A</v>
      </c>
      <c r="CI62" s="140" t="e">
        <f t="shared" ca="1" si="126"/>
        <v>#N/A</v>
      </c>
      <c r="CJ62" s="140" t="e">
        <f ca="1">IF($CI62&lt;=Control!$C$91,$CI62,Control!$C$91-$CI62)</f>
        <v>#N/A</v>
      </c>
      <c r="CK62" s="140" t="e">
        <f ca="1">IF(AND($BB62&gt;=65,$BB62&lt;90),1,IF($CI62&gt;=Control!$C$91,0,$CG62))</f>
        <v>#N/A</v>
      </c>
      <c r="CL62" s="404" t="e">
        <f ca="1">IF($CK62=0,0,IF($CI62&lt;=Control!$C$91,$CG62*(65+(90-65)*($CJ62/Control!$C$91)),0))</f>
        <v>#N/A</v>
      </c>
      <c r="CM62" s="140" t="e">
        <f ca="1">IF($BG62+$BM62+$BS62+$BY62+$CE62+$CK62=1,0,IF(OR($BB62&gt;=90,$CI62&gt;=Control!$C$91),$BA62,$CM61))</f>
        <v>#N/A</v>
      </c>
      <c r="CN62" s="140" t="e">
        <f t="shared" ca="1" si="127"/>
        <v>#N/A</v>
      </c>
      <c r="CO62" s="140" t="e">
        <f t="shared" ca="1" si="128"/>
        <v>#N/A</v>
      </c>
      <c r="CP62" s="140" t="e">
        <f t="shared" ca="1" si="129"/>
        <v>#N/A</v>
      </c>
      <c r="CQ62" s="141" t="e">
        <f ca="1">VLOOKUP($CP62,Control!$B$86:$G$91,6)</f>
        <v>#N/A</v>
      </c>
      <c r="CR62" s="141" t="e">
        <f ca="1">(1-$CQ62)*VLOOKUP($CP62,Control!$B$86:$D$91,3)</f>
        <v>#N/A</v>
      </c>
      <c r="CS62" s="141" t="e">
        <f ca="1">(1-$CQ62)*VLOOKUP($CP62,Control!$B$86:$E$91,4)</f>
        <v>#N/A</v>
      </c>
      <c r="CT62" s="141" t="e">
        <f ca="1">(1-$CQ62)*VLOOKUP($CP62,Control!$B$86:$F$91,5)</f>
        <v>#N/A</v>
      </c>
      <c r="CU62" s="141">
        <f t="shared" ca="1" si="130"/>
        <v>0</v>
      </c>
      <c r="CV62" s="583">
        <f t="shared" ca="1" si="131"/>
        <v>0</v>
      </c>
      <c r="CW62" s="142">
        <f t="shared" ca="1" si="132"/>
        <v>57</v>
      </c>
      <c r="CX62" s="612" t="e">
        <f ca="1">IF(Control!$C$114=1,(MIN(Control!$C$120*(IF($NT62-0.01&lt;0,0,1)),Control!$C$119-$CY62)))</f>
        <v>#DIV/0!</v>
      </c>
      <c r="CY62" s="143" t="e">
        <f t="shared" ca="1" si="133"/>
        <v>#N/A</v>
      </c>
      <c r="CZ62" s="144">
        <f t="shared" ca="1" si="17"/>
        <v>0</v>
      </c>
      <c r="DA62" s="144">
        <f t="shared" ca="1" si="18"/>
        <v>0</v>
      </c>
      <c r="DB62" s="144" t="e">
        <f t="shared" ca="1" si="19"/>
        <v>#N/A</v>
      </c>
      <c r="DC62" s="144" t="e">
        <f t="shared" ca="1" si="20"/>
        <v>#N/A</v>
      </c>
      <c r="DD62" s="144" t="e">
        <f t="shared" ca="1" si="216"/>
        <v>#N/A</v>
      </c>
      <c r="DE62" s="143" t="e">
        <f t="shared" ca="1" si="135"/>
        <v>#N/A</v>
      </c>
      <c r="DF62" s="145" t="e">
        <f ca="1">$DR62*EXP(-Control!$C$158*(1-$KH62))</f>
        <v>#N/A</v>
      </c>
      <c r="DG62" s="146" t="e">
        <f ca="1">IF(Control!$C$114=1, $DF62*$EY62, 0)</f>
        <v>#N/A</v>
      </c>
      <c r="DH62" s="147" t="e">
        <f t="shared" ca="1" si="136"/>
        <v>#N/A</v>
      </c>
      <c r="DI62" s="144" t="e">
        <f t="shared" ca="1" si="191"/>
        <v>#N/A</v>
      </c>
      <c r="DJ62" s="147" t="e">
        <f ca="1">$EF62*Control!$C$109</f>
        <v>#N/A</v>
      </c>
      <c r="DK62" s="144" t="e">
        <f t="shared" ca="1" si="137"/>
        <v>#N/A</v>
      </c>
      <c r="DL62" s="144" t="e">
        <f t="shared" ca="1" si="21"/>
        <v>#N/A</v>
      </c>
      <c r="DM62" s="144" t="e">
        <f ca="1">IF(Control!$C$114=1, (1-EXP(-Control!$C$96*$DK62))*$AR62, 0)</f>
        <v>#N/A</v>
      </c>
      <c r="DN62" s="144">
        <f t="shared" ca="1" si="138"/>
        <v>0</v>
      </c>
      <c r="DO62" s="148">
        <f>Control!$C$97</f>
        <v>4</v>
      </c>
      <c r="DP62" s="145" t="e">
        <f t="shared" ca="1" si="139"/>
        <v>#N/A</v>
      </c>
      <c r="DQ62" s="145" t="e">
        <f ca="1">IF(AND($CP62&gt;=0,$CP62&lt;=90),Control!$C$111,Control!$C$111)</f>
        <v>#N/A</v>
      </c>
      <c r="DR62" s="145" t="e">
        <f t="shared" ca="1" si="22"/>
        <v>#N/A</v>
      </c>
      <c r="DS62" s="143" t="e">
        <f ca="1">Control!$B$22/$DR62</f>
        <v>#N/A</v>
      </c>
      <c r="DT62" s="149" t="e">
        <f ca="1">IF(AND(Control!$C$114=1,$KH62&lt;1),$IM62*$DF62, 0)</f>
        <v>#N/A</v>
      </c>
      <c r="DU62" s="144" t="e">
        <f t="shared" ca="1" si="192"/>
        <v>#N/A</v>
      </c>
      <c r="DV62" s="144">
        <f ca="1">IF($G62-Control!$C$107&lt;=0, 0, 0.83*LN(MAX($G62, 3))-0.8924)</f>
        <v>0</v>
      </c>
      <c r="DW62" s="144" t="e">
        <f t="shared" ca="1" si="23"/>
        <v>#N/A</v>
      </c>
      <c r="DX62" s="150" t="e">
        <f ca="1">MAX(0.01*(1+$CU62/Control!$C$102),0.05*($DK62-Control!$C$97)/Control!$C$97)</f>
        <v>#N/A</v>
      </c>
      <c r="DY62" s="151" t="e">
        <f ca="1">IF(Control!$C$114=1, $DI62*$FS62, 0)</f>
        <v>#N/A</v>
      </c>
      <c r="DZ62" s="196" t="e">
        <f t="shared" ca="1" si="140"/>
        <v>#N/A</v>
      </c>
      <c r="EA62" s="152">
        <f t="shared" ca="1" si="141"/>
        <v>57</v>
      </c>
      <c r="EB62" s="153" t="e">
        <f t="shared" ca="1" si="217"/>
        <v>#N/A</v>
      </c>
      <c r="EC62" s="153" t="e">
        <f t="shared" ca="1" si="142"/>
        <v>#N/A</v>
      </c>
      <c r="ED62" s="154" t="e">
        <f ca="1">IF(Control!$C$114=1, $HM62*$FY62-$FD62, 0)</f>
        <v>#DIV/0!</v>
      </c>
      <c r="EE62" s="155" t="e">
        <f ca="1">IF(Control!$C$114=1, $HM62*$FZ62-$FF62, 0)</f>
        <v>#DIV/0!</v>
      </c>
      <c r="EF62" s="153" t="e">
        <f t="shared" ca="1" si="193"/>
        <v>#N/A</v>
      </c>
      <c r="EG62" s="155" t="e">
        <f ca="1">IF(Control!$C$114=1, $GX62*$FW62-$FI62, 0)</f>
        <v>#DIV/0!</v>
      </c>
      <c r="EH62" s="153" t="e">
        <f t="shared" ca="1" si="143"/>
        <v>#N/A</v>
      </c>
      <c r="EI62" s="156" t="e">
        <f t="shared" ca="1" si="144"/>
        <v>#N/A</v>
      </c>
      <c r="EJ62" s="155" t="e">
        <f ca="1">IF(Control!$C$114=1, $HM62*$GB62, 0)</f>
        <v>#DIV/0!</v>
      </c>
      <c r="EK62" s="153" t="e">
        <f t="shared" ca="1" si="194"/>
        <v>#N/A</v>
      </c>
      <c r="EL62" s="153" t="e">
        <f t="shared" ca="1" si="24"/>
        <v>#N/A</v>
      </c>
      <c r="EM62" s="153" t="e">
        <f t="shared" ca="1" si="25"/>
        <v>#N/A</v>
      </c>
      <c r="EN62" s="153" t="e">
        <f ca="1">IF(Control!$C$108=1,IF(AND(Control!$B$18=1,$EB62&gt;=Control!$B$19),$EB62-$DS62,IF(AND(Control!$B$18=2,$AW62=1,$EB62&gt;$DS62),$EB62-$DS62,0)))</f>
        <v>#N/A</v>
      </c>
      <c r="EO62" s="153" t="e">
        <f ca="1">IF(Control!$C$108=1,IF(AND(Control!$B$18=1,$EB62&gt;=Control!$B$19),$EF62,IF(AND(Control!$B$18=2,$AW62=1),$EF62,0)))</f>
        <v>#N/A</v>
      </c>
      <c r="EP62" s="153" t="e">
        <f ca="1">IF(Control!$C$108=1,IF(AND(Control!$B$18=1,$EB62&gt;=Control!$B$19),$EK62,IF(AND(Control!$B$18=2,$AW62=1),$EK62,0)))</f>
        <v>#N/A</v>
      </c>
      <c r="EQ62" s="153" t="e">
        <f t="shared" ca="1" si="145"/>
        <v>#N/A</v>
      </c>
      <c r="ER62" s="153" t="e">
        <f t="shared" ca="1" si="231"/>
        <v>#N/A</v>
      </c>
      <c r="ES62" s="153" t="e">
        <f t="shared" ca="1" si="196"/>
        <v>#N/A</v>
      </c>
      <c r="ET62" s="153" t="e">
        <f t="shared" ca="1" si="197"/>
        <v>#N/A</v>
      </c>
      <c r="EU62" s="153" t="e">
        <f t="shared" ca="1" si="198"/>
        <v>#N/A</v>
      </c>
      <c r="EV62" s="153" t="e">
        <f t="shared" ca="1" si="146"/>
        <v>#N/A</v>
      </c>
      <c r="EW62" s="153" t="e">
        <f t="shared" ca="1" si="218"/>
        <v>#N/A</v>
      </c>
      <c r="EX62" s="153" t="e">
        <f t="shared" ca="1" si="26"/>
        <v>#N/A</v>
      </c>
      <c r="EY62" s="157" t="e">
        <f t="shared" ca="1" si="147"/>
        <v>#DIV/0!</v>
      </c>
      <c r="EZ62" s="154" t="e">
        <f t="shared" ca="1" si="27"/>
        <v>#DIV/0!</v>
      </c>
      <c r="FA62" s="153" t="e">
        <f t="shared" ca="1" si="199"/>
        <v>#N/A</v>
      </c>
      <c r="FB62" s="153" t="e">
        <f t="shared" ca="1" si="28"/>
        <v>#N/A</v>
      </c>
      <c r="FC62" s="193" t="e">
        <f t="shared" ca="1" si="29"/>
        <v>#N/A</v>
      </c>
      <c r="FD62" s="158" t="e">
        <f t="shared" ca="1" si="200"/>
        <v>#N/A</v>
      </c>
      <c r="FE62" s="158" t="e">
        <f t="shared" ca="1" si="148"/>
        <v>#N/A</v>
      </c>
      <c r="FF62" s="159" t="e">
        <f t="shared" ca="1" si="30"/>
        <v>#N/A</v>
      </c>
      <c r="FG62" s="160" t="e">
        <f t="shared" ca="1" si="149"/>
        <v>#N/A</v>
      </c>
      <c r="FH62" s="158" t="e">
        <f t="shared" ca="1" si="150"/>
        <v>#N/A</v>
      </c>
      <c r="FI62" s="159" t="e">
        <f t="shared" ca="1" si="31"/>
        <v>#N/A</v>
      </c>
      <c r="FJ62" s="160" t="e">
        <f t="shared" ca="1" si="151"/>
        <v>#N/A</v>
      </c>
      <c r="FK62" s="160" t="e">
        <f t="shared" ca="1" si="32"/>
        <v>#N/A</v>
      </c>
      <c r="FL62" s="160" t="e">
        <f t="shared" ca="1" si="229"/>
        <v>#N/A</v>
      </c>
      <c r="FM62" s="160" t="e">
        <f t="shared" ca="1" si="33"/>
        <v>#N/A</v>
      </c>
      <c r="FN62" s="158">
        <f t="shared" ca="1" si="219"/>
        <v>0.01</v>
      </c>
      <c r="FO62" s="160">
        <f>Control!$C$101</f>
        <v>50</v>
      </c>
      <c r="FP62" s="150" t="e">
        <f t="shared" ca="1" si="34"/>
        <v>#N/A</v>
      </c>
      <c r="FQ62" s="150" t="e">
        <f ca="1">MAX(0,(Control!$C$112*(($DK62-Control!$C$97)/Control!$C$97)))</f>
        <v>#N/A</v>
      </c>
      <c r="FR62" s="150" t="e">
        <f ca="1">(1-$NT62)*Control!$C$113</f>
        <v>#DIV/0!</v>
      </c>
      <c r="FS62" s="198" t="e">
        <f t="shared" ca="1" si="35"/>
        <v>#N/A</v>
      </c>
      <c r="FT62" s="161">
        <f t="shared" ca="1" si="152"/>
        <v>57</v>
      </c>
      <c r="FU62" s="162" t="e">
        <f ca="1">IF(Control!$B$34=1,VLOOKUP($CP62,Control!$B$86:$G$91,6),Control!$B$35)</f>
        <v>#N/A</v>
      </c>
      <c r="FV62" s="162" t="e">
        <f t="shared" ca="1" si="36"/>
        <v>#DIV/0!</v>
      </c>
      <c r="FW62" s="162" t="e">
        <f ca="1">IF(Control!$B$31=1,$FU62*$FV62,  $FU62)</f>
        <v>#N/A</v>
      </c>
      <c r="FX62" s="162" t="e">
        <f ca="1">IF(Control!$B$34=1,VLOOKUP($CP62,Control!$B$86:$G$91,3),Control!$B$36)</f>
        <v>#N/A</v>
      </c>
      <c r="FY62" s="162" t="e">
        <f t="shared" ca="1" si="37"/>
        <v>#N/A</v>
      </c>
      <c r="FZ62" s="162" t="e">
        <f ca="1">IF(Control!$B$34=1,VLOOKUP($CP62,Control!$B$86:$G$91,4),Control!$B$37)</f>
        <v>#N/A</v>
      </c>
      <c r="GA62" s="162" t="e">
        <f t="shared" ca="1" si="38"/>
        <v>#N/A</v>
      </c>
      <c r="GB62" s="162" t="e">
        <f ca="1">IF(Control!$B$34=1,VLOOKUP($CP62,Control!$B$86:$G$91,5),Control!$B$38)</f>
        <v>#N/A</v>
      </c>
      <c r="GC62" s="162" t="e">
        <f t="shared" ca="1" si="153"/>
        <v>#N/A</v>
      </c>
      <c r="GD62" s="162">
        <f t="shared" ca="1" si="39"/>
        <v>1</v>
      </c>
      <c r="GE62" s="162">
        <f t="shared" ca="1" si="40"/>
        <v>1</v>
      </c>
      <c r="GF62" s="162">
        <f ca="1">IF(AND(Control!$C$104=1, Control!$C$62="F"),$GE62,1)</f>
        <v>1</v>
      </c>
      <c r="GG62" s="162" t="e">
        <f ca="1">IF(Control!$B$16=40,0,IF(AND(Control!$B$16&gt;40,Control!$B$16&lt;=360),(Control!$B$16-40)*((1-0)/(360-40)),IF(AND(Control!$B$16&gt;360,Control!$B$16&lt;=720),(1+(Control!$B$16-360)*((1.25-1)/(720-360))),IF(AND(Control!$B$16&gt;720,Control!$B$16&lt;=1000),(1.25+(Control!$B$16-720)*((1.35-1.25)/(1000-720))),IF(AND(Control!$B$16&gt;1000,Control!$B$16&lt;=2000),(1.35+(Control!$B$16-1000)*0))))))</f>
        <v>#N/A</v>
      </c>
      <c r="GH62" s="162" t="e">
        <f t="shared" ca="1" si="41"/>
        <v>#N/A</v>
      </c>
      <c r="GI62" s="162">
        <f t="shared" ca="1" si="201"/>
        <v>0</v>
      </c>
      <c r="GJ62" s="162">
        <f t="shared" ca="1" si="42"/>
        <v>0</v>
      </c>
      <c r="GK62" s="162">
        <f t="shared" ca="1" si="220"/>
        <v>1</v>
      </c>
      <c r="GL62" s="162">
        <f t="shared" ca="1" si="43"/>
        <v>1</v>
      </c>
      <c r="GM62" s="162" t="e">
        <f ca="1">MAX(0,MIN(1,1-Control!$C$156*(1.0001-$KH62)^2))</f>
        <v>#N/A</v>
      </c>
      <c r="GN62" s="162" t="e">
        <f ca="1">IF(Control!$B$26=1,$KU62,$KX62)</f>
        <v>#N/A</v>
      </c>
      <c r="GO62" s="162" t="e">
        <f ca="1">IF($CP62&lt;=60,Control!$C$105,IF($CP62&gt;=90,Control!$C$106,Control!$C$105+($CP62-60)*((Control!$C$106-Control!$C$105)/(90-60))))</f>
        <v>#N/A</v>
      </c>
      <c r="GP62" s="162" t="e">
        <f t="shared" ca="1" si="154"/>
        <v>#N/A</v>
      </c>
      <c r="GQ62" s="162" t="e">
        <f t="shared" ca="1" si="155"/>
        <v>#N/A</v>
      </c>
      <c r="GR62" s="163" t="e">
        <f t="shared" ca="1" si="44"/>
        <v>#DIV/0!</v>
      </c>
      <c r="GS62" s="162" t="e">
        <f t="shared" ca="1" si="45"/>
        <v>#DIV/0!</v>
      </c>
      <c r="GT62" s="164" t="e">
        <f t="shared" ca="1" si="156"/>
        <v>#N/A</v>
      </c>
      <c r="GU62" s="162" t="e">
        <f t="shared" ca="1" si="157"/>
        <v>#N/A</v>
      </c>
      <c r="GV62" s="162" t="e">
        <f t="shared" ca="1" si="46"/>
        <v>#N/A</v>
      </c>
      <c r="GW62" s="162" t="e">
        <f t="shared" ca="1" si="221"/>
        <v>#DIV/0!</v>
      </c>
      <c r="GX62" s="162" t="e">
        <f t="shared" ca="1" si="228"/>
        <v>#DIV/0!</v>
      </c>
      <c r="GY62" s="162" t="e">
        <f t="shared" ca="1" si="158"/>
        <v>#DIV/0!</v>
      </c>
      <c r="GZ62" s="165" t="e">
        <f t="shared" ca="1" si="159"/>
        <v>#N/A</v>
      </c>
      <c r="HA62" s="162" t="e">
        <f ca="1">IF(Control!$C$114=1, $DI62*$FS62, 0)</f>
        <v>#N/A</v>
      </c>
      <c r="HB62" s="162" t="e">
        <f ca="1">$FA62/Control!$C$64</f>
        <v>#N/A</v>
      </c>
      <c r="HC62" s="162" t="e">
        <f t="shared" ca="1" si="222"/>
        <v>#DIV/0!</v>
      </c>
      <c r="HD62" s="162">
        <f ca="1">-ASIN(SIN(23.45*Control!$C$139)*COS(2*Control!$C$138*($AH62+10)/365))</f>
        <v>-0.16204625310311643</v>
      </c>
      <c r="HE62" s="165">
        <f t="shared" ca="1" si="160"/>
        <v>0</v>
      </c>
      <c r="HF62" s="166">
        <f ca="1">IF(AND(Control!$C$61="T",$HE62&gt;=Control!$C$103,Control!$C$114=0),$AH62,Control!$C$59)</f>
        <v>1</v>
      </c>
      <c r="HG62" s="166">
        <f ca="1">IF(AND(Control!$C$61="T",$HE62&gt;=Control!$C$103,Control!$C$114=0),$HF62,Control!$C$59)</f>
        <v>1</v>
      </c>
      <c r="HH62" s="165">
        <f ca="1">IF(AND(OR(Control!$C$60&lt;=0, $AH62= Control!$C$59, Control!$C$60 &gt;0, $AH62 = Control!$C$60)), Control!$C$59, IF(Control!$C$60&gt;0, 0))</f>
        <v>1</v>
      </c>
      <c r="HI62" s="165">
        <f ca="1">IF(AND(OR(Control!$C$60&lt;=0, $AH62= Control!$C$59, Control!$C$60 &gt;0, $AH62 = Control!$C$60)), Control!$C$60, IF(Control!$C$60&lt;=0, 0))</f>
        <v>0</v>
      </c>
      <c r="HJ62" s="166">
        <f ca="1">IF(AND(Control!$C$62="F",$CV62&gt;=Control!$C$102),$AH62,0)</f>
        <v>0</v>
      </c>
      <c r="HK62" s="165" t="e">
        <f t="shared" ca="1" si="202"/>
        <v>#N/A</v>
      </c>
      <c r="HL62" s="166">
        <f ca="1">IF(AND(Control!$C$61="T",$HE62&gt;=Control!$C$103,Control!$C$114=0),$HF62,0)</f>
        <v>0</v>
      </c>
      <c r="HM62" s="201" t="e">
        <f t="shared" ca="1" si="47"/>
        <v>#DIV/0!</v>
      </c>
      <c r="HN62" s="215">
        <f t="shared" ca="1" si="161"/>
        <v>57</v>
      </c>
      <c r="HO62" s="216" t="e">
        <f ca="1">IF(AND($CP62&gt;=0, $CP62&lt;=90), Control!$C$152, Control!$C$152)</f>
        <v>#N/A</v>
      </c>
      <c r="HP62" s="216" t="e">
        <f t="shared" ca="1" si="48"/>
        <v>#N/A</v>
      </c>
      <c r="HQ62" s="217" t="e">
        <f ca="1">IF(OR(Control!$B$26=1,Control!$B$26=2),$KV62,$KS62)</f>
        <v>#DIV/0!</v>
      </c>
      <c r="HR62" s="218" t="e">
        <f t="shared" ca="1" si="223"/>
        <v>#DIV/0!</v>
      </c>
      <c r="HS62" s="216" t="e">
        <f ca="1">Control!$C$154*$HP62</f>
        <v>#N/A</v>
      </c>
      <c r="HT62" s="216" t="e">
        <f ca="1">Control!$C$155*$HP62</f>
        <v>#N/A</v>
      </c>
      <c r="HU62" s="217" t="e">
        <f ca="1">Control!$C$161*$FI62</f>
        <v>#N/A</v>
      </c>
      <c r="HV62" s="218" t="e">
        <f t="shared" ca="1" si="162"/>
        <v>#N/A</v>
      </c>
      <c r="HW62" s="218" t="e">
        <f ca="1">Control!$C$160*$FF62+$IP62*$EO62</f>
        <v>#N/A</v>
      </c>
      <c r="HX62" s="218" t="e">
        <f t="shared" ca="1" si="203"/>
        <v>#N/A</v>
      </c>
      <c r="HY62" s="219" t="e">
        <f ca="1">IF(Control!$C$114=1, $EB62*$FS62, 0)</f>
        <v>#N/A</v>
      </c>
      <c r="HZ62" s="91" t="e">
        <f t="shared" ca="1" si="49"/>
        <v>#N/A</v>
      </c>
      <c r="IA62" s="220" t="e">
        <f ca="1">Control!$C$153*$HO62</f>
        <v>#N/A</v>
      </c>
      <c r="IB62" s="218" t="e">
        <f t="shared" ca="1" si="50"/>
        <v>#N/A</v>
      </c>
      <c r="IC62" s="220" t="e">
        <f ca="1">Control!$C$153*$HT62</f>
        <v>#N/A</v>
      </c>
      <c r="ID62" s="218" t="e">
        <f t="shared" ca="1" si="51"/>
        <v>#N/A</v>
      </c>
      <c r="IE62" s="221" t="e">
        <f ca="1">($EB62*Control!$C$159+$EF62*Control!$C$160)/(IF($GZ62&lt;&gt;0,$GZ62,1))</f>
        <v>#N/A</v>
      </c>
      <c r="IF62" s="216" t="e">
        <f t="shared" ca="1" si="52"/>
        <v>#N/A</v>
      </c>
      <c r="IG62" s="91">
        <f ca="1">IF(OR(Control!$B$198=$AH62,Control!$B$199=$AH62, Control!$B$200=$AH62, Control!$B$201=$AH62, Control!$B$202=$AH62, Control!$B$203=$AH62, Control!$B$204=$AH62, Control!$B$205=$AH62, Control!$B$206=$AH62, Control!$B$207=$AH62), 1, 0)</f>
        <v>0</v>
      </c>
      <c r="IH62" s="91">
        <f ca="1">IF($IG62=0,0, VLOOKUP($AH62,Control!$B$198:$C$207,2))</f>
        <v>0</v>
      </c>
      <c r="II62" s="222">
        <f t="shared" ca="1" si="163"/>
        <v>0</v>
      </c>
      <c r="IJ62" s="91">
        <f>Control!$C$121</f>
        <v>0.7</v>
      </c>
      <c r="IK62" s="218">
        <f t="shared" ca="1" si="53"/>
        <v>0</v>
      </c>
      <c r="IL62" s="217" t="e">
        <f t="shared" ca="1" si="204"/>
        <v>#N/A</v>
      </c>
      <c r="IM62" s="223" t="e">
        <f ca="1">IF(AND(Control!$C$114=1,$KH62&lt;1),$EB62*Control!$C$148*(1-$KH62), 0)</f>
        <v>#N/A</v>
      </c>
      <c r="IN62" s="217" t="e">
        <f t="shared" ca="1" si="54"/>
        <v>#DIV/0!</v>
      </c>
      <c r="IO62" s="91" t="e">
        <f ca="1">MAX(0,$IL62-$EF62*Control!$C$160)</f>
        <v>#N/A</v>
      </c>
      <c r="IP62" s="220" t="e">
        <f t="shared" ca="1" si="55"/>
        <v>#N/A</v>
      </c>
      <c r="IQ62" s="217" t="e">
        <f t="shared" ca="1" si="164"/>
        <v>#N/A</v>
      </c>
      <c r="IR62" s="218" t="e">
        <f t="shared" ca="1" si="56"/>
        <v>#N/A</v>
      </c>
      <c r="IS62" s="217" t="e">
        <f ca="1">Control!$C$159*MAX(0,$FD62-$EN62)</f>
        <v>#N/A</v>
      </c>
      <c r="IT62" s="217" t="e">
        <f t="shared" ca="1" si="205"/>
        <v>#N/A</v>
      </c>
      <c r="IU62" s="217" t="e">
        <f t="shared" ca="1" si="165"/>
        <v>#N/A</v>
      </c>
      <c r="IV62" s="217" t="e">
        <f t="shared" ca="1" si="206"/>
        <v>#N/A</v>
      </c>
      <c r="IW62" s="217" t="e">
        <f ca="1">IF(OR($AW62=1,AND($AW62=0, Control!$B$18=1,$EN62&lt;&gt;0)), $IQ62-$IU62, $IQ62)</f>
        <v>#N/A</v>
      </c>
      <c r="IX62" s="218" t="e">
        <f t="shared" ca="1" si="57"/>
        <v>#N/A</v>
      </c>
      <c r="IY62" s="218" t="e">
        <f ca="1">MAX(0,$IQ62-$EB62*Control!$C$159)</f>
        <v>#N/A</v>
      </c>
      <c r="IZ62" s="218" t="e">
        <f t="shared" ca="1" si="58"/>
        <v>#N/A</v>
      </c>
      <c r="JA62" s="216" t="e">
        <f t="shared" ca="1" si="59"/>
        <v>#N/A</v>
      </c>
      <c r="JB62" s="217" t="e">
        <f t="shared" ca="1" si="60"/>
        <v>#N/A</v>
      </c>
      <c r="JC62" s="222" t="e">
        <f ca="1">MAX(Control!$C$157*$EK62-$JT62, 0)/Control!$C$162</f>
        <v>#N/A</v>
      </c>
      <c r="JD62" s="218" t="e">
        <f t="shared" ca="1" si="61"/>
        <v>#N/A</v>
      </c>
      <c r="JE62" s="218" t="e">
        <f t="shared" ca="1" si="62"/>
        <v>#N/A</v>
      </c>
      <c r="JF62" s="218" t="e">
        <f t="shared" ca="1" si="207"/>
        <v>#N/A</v>
      </c>
      <c r="JG62" s="218" t="e">
        <f t="shared" ca="1" si="63"/>
        <v>#N/A</v>
      </c>
      <c r="JH62" s="217" t="e">
        <f t="shared" ca="1" si="166"/>
        <v>#N/A</v>
      </c>
      <c r="JI62" s="217" t="e">
        <f t="shared" ca="1" si="167"/>
        <v>#N/A</v>
      </c>
      <c r="JJ62" s="217" t="e">
        <f t="shared" ca="1" si="224"/>
        <v>#N/A</v>
      </c>
      <c r="JK62" s="217" t="e">
        <f ca="1">IF(Control!$C$114=1,IF(Control!$B$24=0,MAX(0,$JI62)*$GN62/Control!$C$64,(MAX(0,MIN($JI62,$JJ62*$GN62/Control!$C$64),0))))</f>
        <v>#N/A</v>
      </c>
      <c r="JL62" s="217" t="e">
        <f ca="1">$IK62/Control!$C$64-$JK62+$HQ62</f>
        <v>#N/A</v>
      </c>
      <c r="JM62" s="217" t="e">
        <f ca="1">IF(Control!$C$114=1,($JB62/(IF($JI62&lt;&gt;0,$JI62,1)))*$JK62,0)</f>
        <v>#N/A</v>
      </c>
      <c r="JN62" s="217" t="e">
        <f ca="1">IF(Control!$C$114=1,($JG62/(IF($JI62&lt;&gt;0,$JI62,1)))*$JK62, 0)</f>
        <v>#N/A</v>
      </c>
      <c r="JO62" s="218" t="e">
        <f t="shared" ca="1" si="64"/>
        <v>#N/A</v>
      </c>
      <c r="JP62" s="218" t="e">
        <f ca="1">MIN(($IY62+$IO62)*Control!$C$151, $JF62-$EH62*Control!$C$161)</f>
        <v>#N/A</v>
      </c>
      <c r="JQ62" s="218" t="e">
        <f t="shared" ca="1" si="65"/>
        <v>#N/A</v>
      </c>
      <c r="JR62" s="217" t="e">
        <f ca="1">IF($CP62-Control!$C$150&lt;0, 0, $JQ62/Control!$C$162)</f>
        <v>#N/A</v>
      </c>
      <c r="JS62" s="218" t="e">
        <f t="shared" ca="1" si="66"/>
        <v>#N/A</v>
      </c>
      <c r="JT62" s="218" t="e">
        <f t="shared" ca="1" si="168"/>
        <v>#N/A</v>
      </c>
      <c r="JU62" s="218" t="e">
        <f t="shared" ca="1" si="67"/>
        <v>#N/A</v>
      </c>
      <c r="JV62" s="218" t="e">
        <f t="shared" ca="1" si="68"/>
        <v>#N/A</v>
      </c>
      <c r="JW62" s="216" t="e">
        <f t="shared" ca="1" si="69"/>
        <v>#N/A</v>
      </c>
      <c r="JX62" s="91" t="e">
        <f t="shared" ca="1" si="70"/>
        <v>#N/A</v>
      </c>
      <c r="JY62" s="218" t="e">
        <f t="shared" ca="1" si="71"/>
        <v>#N/A</v>
      </c>
      <c r="JZ62" s="217" t="e">
        <f ca="1">IF(Control!$C$114=1,($IZ62/(IF($JI62&lt;&gt;0,$JI62,1)))*$JK62, 0)</f>
        <v>#N/A</v>
      </c>
      <c r="KA62" s="218" t="e">
        <f t="shared" ca="1" si="225"/>
        <v>#N/A</v>
      </c>
      <c r="KB62" s="218" t="e">
        <f t="shared" ca="1" si="169"/>
        <v>#N/A</v>
      </c>
      <c r="KC62" s="218" t="e">
        <f t="shared" ca="1" si="72"/>
        <v>#N/A</v>
      </c>
      <c r="KD62" s="218" t="e">
        <f t="shared" ca="1" si="73"/>
        <v>#N/A</v>
      </c>
      <c r="KE62" s="218" t="e">
        <f t="shared" ca="1" si="74"/>
        <v>#N/A</v>
      </c>
      <c r="KF62" s="218" t="e">
        <f t="shared" ca="1" si="75"/>
        <v>#N/A</v>
      </c>
      <c r="KG62" s="216" t="e">
        <f t="shared" ca="1" si="76"/>
        <v>#N/A</v>
      </c>
      <c r="KH62" s="221" t="e">
        <f ca="1">IF(Control!$B$24=0,1,MAX(0.001,MIN(1,IF(($IF62-$IE62)&lt;&gt;0,($KG62-$IE62)/($IF62-$IE62),1))))</f>
        <v>#N/A</v>
      </c>
      <c r="KI62" s="222" t="e">
        <f ca="1">IF(Control!$C$114=1, $KI61+ $KH61, 0)</f>
        <v>#N/A</v>
      </c>
      <c r="KJ62" s="217" t="e">
        <f t="shared" ca="1" si="77"/>
        <v>#N/A</v>
      </c>
      <c r="KK62" s="218" t="e">
        <f t="shared" ca="1" si="78"/>
        <v>#N/A</v>
      </c>
      <c r="KL62" s="274" t="e">
        <f ca="1">IF(Control!$B$26=3,4000000000*EXP(-8400/($G62+273)),IF(Control!$B$26=4,4000000000*EXP(-8400/($G62+273))*($KT62),0))</f>
        <v>#DIV/0!</v>
      </c>
      <c r="KM62" s="274" t="e">
        <f ca="1">IF(Control!$B$26=3,5600000000000*EXP(-9800/($G62+273)),IF(Control!$B$26=4,5600000000000*EXP(-9800/($G62+273))*$KT62,0))</f>
        <v>#DIV/0!</v>
      </c>
      <c r="KN62" s="454" t="e">
        <f t="shared" ca="1" si="170"/>
        <v>#DIV/0!</v>
      </c>
      <c r="KO62" s="274" t="e">
        <f t="shared" ca="1" si="171"/>
        <v>#DIV/0!</v>
      </c>
      <c r="KP62" s="454" t="e">
        <f t="shared" ca="1" si="79"/>
        <v>#DIV/0!</v>
      </c>
      <c r="KQ62" s="454" t="e">
        <f t="shared" ca="1" si="80"/>
        <v>#DIV/0!</v>
      </c>
      <c r="KR62" s="454" t="e">
        <f t="shared" ca="1" si="81"/>
        <v>#DIV/0!</v>
      </c>
      <c r="KS62" s="454" t="e">
        <f t="shared" ca="1" si="82"/>
        <v>#DIV/0!</v>
      </c>
      <c r="KT62" s="455" t="e">
        <f t="shared" ca="1" si="83"/>
        <v>#DIV/0!</v>
      </c>
      <c r="KU62" s="456" t="e">
        <f ca="1">IF($CP62-Control!$C$149&lt;0, IF($NT62-0.01&lt;0,0,1),0)</f>
        <v>#N/A</v>
      </c>
      <c r="KV62" s="456" t="e">
        <f ca="1">IF(Control!$C$114=1,MAX(0,MIN(Control!$C$125*$KW62*$GN62,$KW62)))</f>
        <v>#DIV/0!</v>
      </c>
      <c r="KW62" s="456" t="e">
        <f t="shared" ca="1" si="208"/>
        <v>#DIV/0!</v>
      </c>
      <c r="KX62" s="457" t="e">
        <f ca="1">IF($CP62-Control!$C$149&lt;0, IF($MR62-$OM62&lt;0,0,1),0)</f>
        <v>#N/A</v>
      </c>
      <c r="KY62" s="167">
        <f t="shared" ca="1" si="172"/>
        <v>57</v>
      </c>
      <c r="KZ62" s="168">
        <f ca="1">1370*(1+0.033*COS(2*Control!$C$138*$AH62/365))</f>
        <v>1395.1374620904371</v>
      </c>
      <c r="LA62" s="169">
        <f t="shared" ca="1" si="173"/>
        <v>1.0183485754096824</v>
      </c>
      <c r="LB62" s="169">
        <f t="shared" ca="1" si="174"/>
        <v>-0.16257731194492642</v>
      </c>
      <c r="LC62" s="169">
        <f ca="1">ACOS(-TAN((2*Control!$B$8/360))*TAN(Calculations!$LB62))</f>
        <v>1.5220282542145045</v>
      </c>
      <c r="LD62" s="169">
        <f ca="1">((24*60)/PI())*0.082*$LA62*(($LC62*SIN(Control!$B$8*2*PI()/360))*SIN($LB62)+COS(Control!$B$8*2*PI()/360)*COS($LB62)*SIN($LC62))</f>
        <v>15.795891762932166</v>
      </c>
      <c r="LE62" s="170">
        <f t="shared" ca="1" si="84"/>
        <v>16.15565397212594</v>
      </c>
      <c r="LF62" s="170">
        <f ca="1">SIN(Control!$C$139*Control!$B$8)*SIN($HD62)</f>
        <v>-0.12713628075072789</v>
      </c>
      <c r="LG62" s="170">
        <f ca="1">COS(Control!$C$139*Control!$B$8)*COS($HD62)</f>
        <v>0.60759417400052917</v>
      </c>
      <c r="LH62" s="170">
        <f ca="1">12*(1+2*ASIN(MAX(-1,MIN(1,$LF62/$LG62))/Control!$C$138))</f>
        <v>10.400302446608906</v>
      </c>
      <c r="LI62" s="170">
        <f ca="1">12*(1+2*ASIN(MAX(-1,MIN(1,(-SIN(-4*Control!$C$139)+$LF62)/$LG62))/Control!$C$138))</f>
        <v>11.278444018680251</v>
      </c>
      <c r="LJ62" s="168">
        <f ca="1">3600*($LH62*$LF62+24*$LG62*SQRT(1-$LK62*$LK62)/Control!$C$138)</f>
        <v>11579.972878026467</v>
      </c>
      <c r="LK62" s="170">
        <f t="shared" ca="1" si="85"/>
        <v>-0.20924539139938686</v>
      </c>
      <c r="LL62" s="170">
        <f t="shared" ca="1" si="86"/>
        <v>0</v>
      </c>
      <c r="LM62" s="171">
        <f ca="1">Control!$C$145*$AB62</f>
        <v>6.6660906138995932E-2</v>
      </c>
      <c r="LN62" s="170">
        <f t="shared" ca="1" si="175"/>
        <v>0.54</v>
      </c>
      <c r="LO62" s="170">
        <f t="shared" ca="1" si="87"/>
        <v>0</v>
      </c>
      <c r="LP62" s="170">
        <f ca="1">Control!$C$140*((($D62+273.16)^4+($E62+273.16)^4)/2)*(0.34-0.14*SQRT($Y62))*(1.35*$AQ62/(0.75*$LD62)-0.35)</f>
        <v>-3.2464704755046001</v>
      </c>
      <c r="LQ62" s="170">
        <f ca="1">Control!$C$140*($G62+273)^4*(0.56-0.079*SQRT($Y62*10))*(0.1+0.9*$LO62)</f>
        <v>1.5241745131704001</v>
      </c>
      <c r="LR62" s="170">
        <f ca="1">$AQ62*(1-Control!$C$142)-$LQ62</f>
        <v>-1.5241745131704001</v>
      </c>
      <c r="LS62" s="170">
        <f ca="1">$AQ62*(1-Control!$C$143)-$LQ62</f>
        <v>-1.5241745131704001</v>
      </c>
      <c r="LT62" s="170">
        <f ca="1">$AQ62*(1-Control!$C$144)-$LQ62</f>
        <v>-1.5241745131704001</v>
      </c>
      <c r="LU62" s="169">
        <f ca="1">(1-Control!$C$144)*AQ62-LP62</f>
        <v>3.2464704755046001</v>
      </c>
      <c r="LV62" s="172">
        <f t="shared" ca="1" si="88"/>
        <v>0.79430000000000012</v>
      </c>
      <c r="LW62" s="170">
        <f t="shared" ca="1" si="89"/>
        <v>1.5886000000000002</v>
      </c>
      <c r="LX62" s="170">
        <f ca="1">($AC62*($LR62/Control!$C$141)+$LM62*$LV62)/($AC62+$LM62)</f>
        <v>0.23530094218323697</v>
      </c>
      <c r="LY62" s="170">
        <f ca="1">($AC62*($LS62/Control!$C$141)+$LM62*$LV62)/($AC62+$LM62)</f>
        <v>0.23530094218323697</v>
      </c>
      <c r="LZ62" s="170">
        <f t="shared" ca="1" si="90"/>
        <v>0.23530094218323697</v>
      </c>
      <c r="MA62" s="170">
        <f t="shared" ca="1" si="91"/>
        <v>0.23530094218323697</v>
      </c>
      <c r="MB62" s="170" t="e">
        <f t="shared" ca="1" si="92"/>
        <v>#N/A</v>
      </c>
      <c r="MC62" s="170">
        <f t="shared" ca="1" si="176"/>
        <v>0.6018</v>
      </c>
      <c r="MD62" s="170">
        <f t="shared" ca="1" si="93"/>
        <v>0.52989392535414004</v>
      </c>
      <c r="ME62" s="170">
        <f ca="1">($AC62*($LT62/Control!$C$141)+$LM62*$LW62)/($AC62+$LM62)</f>
        <v>0.71612369323045078</v>
      </c>
      <c r="MF62" s="170" t="e">
        <f ca="1">IF(Control!$B$16&gt;=1000,0.92,IF(AND(720&lt;=Control!$B$16,1000&gt;Control!$B$16),(0.95+(Control!$B$16-720)*((0.92-0.95)/(1000-720))),IF(AND(360&lt;=Control!$B$16,720&gt;Control!$B$16),(1+(Control!$B$16-360)*((0.95-1)/(720-360))),IF(AND(40&lt;=Control!$B$16,360&gt;Control!$B$16),(1.05+(Control!$B$16-40)*((1.05-1)/(360-40)))))))</f>
        <v>#N/A</v>
      </c>
      <c r="MG62" s="170">
        <f t="shared" ca="1" si="94"/>
        <v>0.71612369323045078</v>
      </c>
      <c r="MH62" s="170" t="e">
        <f t="shared" ca="1" si="232"/>
        <v>#N/A</v>
      </c>
      <c r="MI62" s="170" t="e">
        <f t="shared" ca="1" si="232"/>
        <v>#N/A</v>
      </c>
      <c r="MJ62" s="170" t="e">
        <f ca="1">MAX(0.0001, Control!$C$132*$MI62*$DL62)</f>
        <v>#N/A</v>
      </c>
      <c r="MK62" s="170">
        <f ca="1">1/(0.76+1.5*($MG62/10))-(5-Control!$C$110)*0.1</f>
        <v>1.002845988140797</v>
      </c>
      <c r="ML62" s="173">
        <f ca="1">IF(Control!$C$110&lt;3,$MK62+($MG62-0.6)/(Control!$C$110*(Control!$C$110+3)), MAX(0.1, MIN(0.95,$MK62)))</f>
        <v>0.95</v>
      </c>
      <c r="MM62" s="173">
        <f ca="1">IF(Control!$C$110&lt;3,$MK62+(($MI62/10)-0.6)/(Control!$C$110*(Control!$C$110+3)), MAX(0.1, MIN(0.95,$MK62)))</f>
        <v>0.95</v>
      </c>
      <c r="MN62" s="173">
        <f ca="1">(1-$MM62)*(Control!$C$128-Control!$C$127)+Control!$C$127</f>
        <v>0.16</v>
      </c>
      <c r="MO62" s="170" t="e">
        <f ca="1">MAX(0,MIN(1,($MS62-Control!$C$127)/($MN62-Control!$C$127)))</f>
        <v>#DIV/0!</v>
      </c>
      <c r="MP62" s="173" t="e">
        <f ca="1">1/(0.76+1.5*$MI62)-(5-Control!$C$110)*0.1</f>
        <v>#N/A</v>
      </c>
      <c r="MQ62" s="172" t="e">
        <f t="shared" ca="1" si="209"/>
        <v>#DIV/0!</v>
      </c>
      <c r="MR62" s="168" t="e">
        <f t="shared" ca="1" si="226"/>
        <v>#DIV/0!</v>
      </c>
      <c r="MS62" s="173" t="e">
        <f ca="1">MAX(Control!$C$127, MIN(Control!$C$135, $MR62/MAX(0.0001,$CY62)))</f>
        <v>#DIV/0!</v>
      </c>
      <c r="MT62" s="168" t="e">
        <f ca="1">(Control!$C$128-$MS62)*Control!$C$74</f>
        <v>#DIV/0!</v>
      </c>
      <c r="MU62" s="168" t="e">
        <f ca="1">(Control!$C$135-$MS62)*Control!$C$74</f>
        <v>#DIV/0!</v>
      </c>
      <c r="MV62" s="168" t="e">
        <f t="shared" ca="1" si="210"/>
        <v>#DIV/0!</v>
      </c>
      <c r="MW62" s="168" t="e">
        <f t="shared" ca="1" si="177"/>
        <v>#DIV/0!</v>
      </c>
      <c r="MX62" s="171" t="e">
        <f ca="1">MAX(Control!$C$127, MIN(Control!$C$135, $MW62/MAX(0.0001,Control!$C$119-$CY62)))</f>
        <v>#DIV/0!</v>
      </c>
      <c r="MY62" s="54" t="e">
        <f ca="1">IF(Control!$C$114=1, $CX62*$MX62, 0)</f>
        <v>#DIV/0!</v>
      </c>
      <c r="MZ62" s="54" t="e">
        <f t="shared" ca="1" si="178"/>
        <v>#N/A</v>
      </c>
      <c r="NA62" s="168" t="e">
        <f ca="1">(Control!$C$128-$MX62)*(Control!$C$119-Control!$C$74)</f>
        <v>#DIV/0!</v>
      </c>
      <c r="NB62" s="168" t="e">
        <f ca="1">(Control!$C$135-$MX62)*(Control!$C$119-Control!$C$74)</f>
        <v>#DIV/0!</v>
      </c>
      <c r="NC62" s="174" t="e">
        <f t="shared" ca="1" si="179"/>
        <v>#DIV/0!</v>
      </c>
      <c r="ND62" s="54">
        <f ca="1">IF(Control!$C$58=2, IF(OR(Control!$B$218=$AH62,Control!$B$219=$AH62, Control!$B$220=$AH62, Control!$B$221=$AH62, Control!$B$222=$AH62, Control!$B$223=$AH62, Control!$B$224=$AH62, Control!$B$225=$AH62, Control!$B$226=$AH62, Control!$B$227=$AH62, Control!$B$228=$AH62), 1, 0), 0)</f>
        <v>0</v>
      </c>
      <c r="NE62" s="54">
        <f ca="1">IF($ND62=0,0, VLOOKUP($AH62,Control!$B$218:$C$228,2))</f>
        <v>0</v>
      </c>
      <c r="NF62" s="168" t="e">
        <f ca="1">$CY62*(Control!$C$128-Control!$C$127)</f>
        <v>#N/A</v>
      </c>
      <c r="NG62" s="54" t="e">
        <f ca="1">IF(Control!$C$58=2, $NI61-$NJ61, 0)</f>
        <v>#DIV/0!</v>
      </c>
      <c r="NH62" s="54" t="e">
        <f ca="1">IF(AND(Control!$C$58=1, $MS61&lt;= ($MN61+0.02), $I61&lt;10), 0, IF(Control!$C$58=2, $NG61, 0))</f>
        <v>#DIV/0!</v>
      </c>
      <c r="NI62" s="54" t="e">
        <f ca="1">IF(Control!$C$58=2, $NE62+$NH62,0)</f>
        <v>#DIV/0!</v>
      </c>
      <c r="NJ62" s="54" t="e">
        <f ca="1">IF(AND(Control!$C$58=1, $MS62&lt;= ($MN62+0.02), $I62&lt;10), MAX(0, MIN(10, 0.7*($NF62-$MV62))), IF(Control!$C$58=2, MIN(10,$NI62),0))</f>
        <v>#DIV/0!</v>
      </c>
      <c r="NK62" s="54" t="e">
        <f t="shared" ca="1" si="96"/>
        <v>#DIV/0!</v>
      </c>
      <c r="NL62" s="173" t="e">
        <f ca="1">(1-Control!$C$73)*$I62+$NJ62</f>
        <v>#DIV/0!</v>
      </c>
      <c r="NM62" s="172" t="e">
        <f ca="1">IF($NL62&lt;0.5, $MB62* MAX(0, MIN(1, (SQRT($NC62)-SQRT($NC62-1))*Control!$C$71)),0)</f>
        <v>#DIV/0!</v>
      </c>
      <c r="NN62" s="170" t="e">
        <f ca="1">IF($NL62&gt;=5, $MB62, MAX(0,MIN($MB62, $NM62+$NL62,($MS62-Control!$C$129))))</f>
        <v>#DIV/0!</v>
      </c>
      <c r="NO62" s="54">
        <f>IF(Control!$C$133&lt;&gt;1, Control!$C$135-Control!$C$131, 0)</f>
        <v>0.38</v>
      </c>
      <c r="NP62" s="54" t="e">
        <f t="shared" ca="1" si="97"/>
        <v>#DIV/0!</v>
      </c>
      <c r="NQ62" s="173" t="e">
        <f ca="1">MAX(0,MIN(1,(Control!$C$135-$MS62)/(Control!$C$135-$NO62)))</f>
        <v>#DIV/0!</v>
      </c>
      <c r="NR62" s="170" t="e">
        <f ca="1">IF(Control!$C$133&lt;&gt;1, $NQ62+((1-$NP62/4)*(1-$NQ62)),1)</f>
        <v>#DIV/0!</v>
      </c>
      <c r="NS62" s="170" t="e">
        <f ca="1">IF(Control!$B$31=0,$MJ62,MAX(0,MIN($MV62,$MO62*$NR62*$MJ62)))</f>
        <v>#DIV/0!</v>
      </c>
      <c r="NT62" s="170" t="e">
        <f t="shared" ca="1" si="227"/>
        <v>#DIV/0!</v>
      </c>
      <c r="NU62" s="170" t="e">
        <f t="shared" ca="1" si="180"/>
        <v>#N/A</v>
      </c>
      <c r="NV62" s="170" t="e">
        <f t="shared" ca="1" si="98"/>
        <v>#N/A</v>
      </c>
      <c r="NW62" s="175" t="e">
        <f t="shared" ca="1" si="99"/>
        <v>#DIV/0!</v>
      </c>
      <c r="NX62" s="170" t="e">
        <f ca="1">MIN(Control!$C$72+$MU62, $NW62)</f>
        <v>#DIV/0!</v>
      </c>
      <c r="NY62" s="170" t="e">
        <f ca="1">IF($MT62&lt;=$NX62,MIN(Control!$C$72+$NB62,$NX62-$MT62),0)</f>
        <v>#DIV/0!</v>
      </c>
      <c r="NZ62" s="54" t="e">
        <f ca="1">IF(Control!$C$114=1,  $CX62*($MX62-Control!$C$127), 0)</f>
        <v>#DIV/0!</v>
      </c>
      <c r="OA62" s="170" t="e">
        <f t="shared" ca="1" si="181"/>
        <v>#DIV/0!</v>
      </c>
      <c r="OB62" s="170" t="e">
        <f ca="1">IF($NA62 &lt;=$NY62, MIN(Control!$C$72, $NY62-$NA62), 0)</f>
        <v>#DIV/0!</v>
      </c>
      <c r="OC62" s="168" t="e">
        <f t="shared" ca="1" si="100"/>
        <v>#DIV/0!</v>
      </c>
      <c r="OD62" s="168" t="e">
        <f t="shared" ca="1" si="182"/>
        <v>#DIV/0!</v>
      </c>
      <c r="OE62" s="170">
        <f ca="1">Control!$C$73*$I62</f>
        <v>0</v>
      </c>
      <c r="OF62" s="176" t="e">
        <f t="shared" ca="1" si="101"/>
        <v>#DIV/0!</v>
      </c>
      <c r="OG62" s="168" t="e">
        <f t="shared" ca="1" si="102"/>
        <v>#DIV/0!</v>
      </c>
      <c r="OH62" s="168" t="e">
        <f t="shared" ca="1" si="103"/>
        <v>#DIV/0!</v>
      </c>
      <c r="OI62" s="168" t="e">
        <f t="shared" ca="1" si="104"/>
        <v>#DIV/0!</v>
      </c>
      <c r="OJ62" s="168" t="e">
        <f t="shared" ca="1" si="105"/>
        <v>#DIV/0!</v>
      </c>
      <c r="OK62" s="204" t="e">
        <f t="shared" ca="1" si="183"/>
        <v>#DIV/0!</v>
      </c>
      <c r="OL62" s="177">
        <f>Control!$C$127</f>
        <v>0.15</v>
      </c>
      <c r="OM62" s="182" t="e">
        <f t="shared" ca="1" si="106"/>
        <v>#N/A</v>
      </c>
      <c r="ON62" s="177">
        <f>Control!$C$128</f>
        <v>0.35</v>
      </c>
      <c r="OO62" s="182" t="e">
        <f t="shared" ca="1" si="107"/>
        <v>#N/A</v>
      </c>
      <c r="OP62" s="138">
        <f t="shared" ca="1" si="184"/>
        <v>0</v>
      </c>
      <c r="OQ62" s="138" t="e">
        <f t="shared" ca="1" si="211"/>
        <v>#DIV/0!</v>
      </c>
      <c r="OR62" s="138" t="e">
        <f t="shared" ca="1" si="185"/>
        <v>#DIV/0!</v>
      </c>
      <c r="OS62" s="137" t="e">
        <f t="shared" ca="1" si="212"/>
        <v>#DIV/0!</v>
      </c>
      <c r="OT62" s="139" t="e">
        <f t="shared" ca="1" si="213"/>
        <v>#DIV/0!</v>
      </c>
      <c r="OU62" s="138" t="e">
        <f t="shared" ca="1" si="214"/>
        <v>#N/A</v>
      </c>
      <c r="OV62" s="138" t="e">
        <f t="shared" ca="1" si="215"/>
        <v>#DIV/0!</v>
      </c>
      <c r="OW62" s="138" t="e">
        <f t="shared" ca="1" si="186"/>
        <v>#DIV/0!</v>
      </c>
      <c r="OX62" s="138" t="e">
        <f t="shared" ca="1" si="187"/>
        <v>#DIV/0!</v>
      </c>
      <c r="OY62" s="138" t="e">
        <f t="shared" ca="1" si="188"/>
        <v>#DIV/0!</v>
      </c>
      <c r="OZ62" s="138" t="e">
        <f t="shared" ca="1" si="108"/>
        <v>#DIV/0!</v>
      </c>
      <c r="PA62" s="138" t="e">
        <f t="shared" ca="1" si="109"/>
        <v>#DIV/0!</v>
      </c>
      <c r="PB62" s="55">
        <f>IF(Control!$C$61="T", IF(Control!$C$65="F", IF($AH$6-Control!$C$60&lt;0,0,1), IF(365+$AH$6-Control!$C$60&lt;0,0,1)),0)</f>
        <v>0</v>
      </c>
      <c r="PC62" s="55">
        <f ca="1">IF(Control!$C$65="F", IF($AH$6-$HF62&lt;0,0,1), IF(365+$AH$6-$HF62&lt;0,0,1))</f>
        <v>1</v>
      </c>
      <c r="PD62" s="444">
        <f>Control!$C$118</f>
        <v>1500</v>
      </c>
      <c r="PE62" s="180" t="e">
        <f t="shared" ca="1" si="110"/>
        <v>#N/A</v>
      </c>
      <c r="PF62" s="445">
        <f t="shared" ca="1" si="189"/>
        <v>0.71612369323045078</v>
      </c>
      <c r="PT62" s="186"/>
      <c r="PU62" s="186"/>
      <c r="PV62" s="94"/>
      <c r="PW62" s="94"/>
      <c r="PX62" s="94"/>
      <c r="PY62" s="94"/>
      <c r="PZ62" s="94"/>
      <c r="QA62" s="94"/>
      <c r="QB62" s="94"/>
      <c r="QC62" s="94"/>
      <c r="QD62" s="94"/>
      <c r="QE62" s="94"/>
      <c r="QF62" s="94"/>
      <c r="QG62" s="94"/>
      <c r="QH62" s="94"/>
      <c r="QI62" s="94"/>
      <c r="QJ62" s="94"/>
      <c r="QK62" s="94"/>
      <c r="QL62" s="94"/>
      <c r="QM62" s="94"/>
      <c r="QN62" s="94"/>
      <c r="QO62" s="94"/>
      <c r="QP62" s="94"/>
    </row>
    <row r="63" spans="1:458" s="2" customFormat="1" x14ac:dyDescent="0.2">
      <c r="A63" s="395">
        <v>27</v>
      </c>
      <c r="B63" s="396">
        <v>2</v>
      </c>
      <c r="C63" s="387">
        <f ca="1">Weather_data!$B62</f>
        <v>0</v>
      </c>
      <c r="D63" s="388">
        <f ca="1">Weather_data!$F62</f>
        <v>0</v>
      </c>
      <c r="E63" s="388">
        <f ca="1">Weather_data!$E62</f>
        <v>0</v>
      </c>
      <c r="F63" s="388">
        <f t="shared" ca="1" si="111"/>
        <v>0</v>
      </c>
      <c r="G63" s="388">
        <f ca="1">AVERAGE($D63:$E63)+Control!$B$9</f>
        <v>0</v>
      </c>
      <c r="H63" s="388">
        <f ca="1">Weather_data!$G62</f>
        <v>0</v>
      </c>
      <c r="I63" s="388">
        <f ca="1">Weather_data!$I62</f>
        <v>0</v>
      </c>
      <c r="J63" s="388">
        <f ca="1">Weather_data!$H62</f>
        <v>0</v>
      </c>
      <c r="K63" s="389">
        <f ca="1">Weather_data!$D62</f>
        <v>0</v>
      </c>
      <c r="L63" s="388" t="e">
        <f t="shared" ca="1" si="112"/>
        <v>#N/A</v>
      </c>
      <c r="M63" s="388" t="e">
        <f t="shared" ca="1" si="0"/>
        <v>#N/A</v>
      </c>
      <c r="N63" s="388">
        <f t="shared" ca="1" si="1"/>
        <v>-1.2325173524790336E-3</v>
      </c>
      <c r="O63" s="388">
        <f t="shared" ca="1" si="113"/>
        <v>1.2325173524790336E-2</v>
      </c>
      <c r="P63" s="390">
        <v>3</v>
      </c>
      <c r="Q63" s="388">
        <f ca="1">MAX($G63-Control!$C$107,0)</f>
        <v>0</v>
      </c>
      <c r="R63" s="388">
        <f t="shared" ca="1" si="114"/>
        <v>0</v>
      </c>
      <c r="S63" s="388">
        <f t="shared" ca="1" si="2"/>
        <v>0</v>
      </c>
      <c r="T63" s="388">
        <f t="shared" ca="1" si="3"/>
        <v>0</v>
      </c>
      <c r="U63" s="59">
        <f t="shared" ca="1" si="4"/>
        <v>0</v>
      </c>
      <c r="V63" s="391">
        <f ca="1">MAX(0,MIN(Control!$C$100-Control!$C$99,$G63-Control!$C$99)*Control!$C$63)</f>
        <v>0</v>
      </c>
      <c r="W63" s="388">
        <f t="shared" ca="1" si="190"/>
        <v>0</v>
      </c>
      <c r="X63" s="388">
        <f t="shared" ca="1" si="115"/>
        <v>0.6110000000000001</v>
      </c>
      <c r="Y63" s="388">
        <f t="shared" ca="1" si="116"/>
        <v>0</v>
      </c>
      <c r="Z63" s="388">
        <f t="shared" ca="1" si="117"/>
        <v>0.61058800000000002</v>
      </c>
      <c r="AA63" s="388">
        <f t="shared" ca="1" si="5"/>
        <v>0.6018</v>
      </c>
      <c r="AB63" s="388">
        <f ca="1">101.3*EXP(-0.034*Control!$C$66/($G63+273))</f>
        <v>100.69623283836242</v>
      </c>
      <c r="AC63" s="392">
        <f t="shared" ca="1" si="6"/>
        <v>4.3460251046025113E-2</v>
      </c>
      <c r="AD63" s="392">
        <f t="shared" ca="1" si="7"/>
        <v>4.4450382862832649E-2</v>
      </c>
      <c r="AE63" s="388">
        <f t="shared" ca="1" si="8"/>
        <v>0</v>
      </c>
      <c r="AF63" s="388">
        <f ca="1">MAX(0,$G63-Control!$C$92)</f>
        <v>0</v>
      </c>
      <c r="AG63" s="393">
        <f t="shared" ca="1" si="118"/>
        <v>58</v>
      </c>
      <c r="AH63" s="389">
        <f t="shared" ca="1" si="9"/>
        <v>58</v>
      </c>
      <c r="AI63" s="388">
        <f t="shared" ca="1" si="119"/>
        <v>-0.15568033566587317</v>
      </c>
      <c r="AJ63" s="388">
        <f ca="1">IF(Control!$C$60&lt;=0,$HH63,$HI63)</f>
        <v>1</v>
      </c>
      <c r="AK63" s="388">
        <f t="shared" ca="1" si="10"/>
        <v>-0.37871253906287911</v>
      </c>
      <c r="AL63" s="388">
        <f t="shared" ca="1" si="11"/>
        <v>1.8033387283455939E-18</v>
      </c>
      <c r="AM63" s="388">
        <f t="shared" ca="1" si="12"/>
        <v>-0.37871253906287911</v>
      </c>
      <c r="AN63" s="388">
        <f t="shared" ca="1" si="13"/>
        <v>-0.14761189876594782</v>
      </c>
      <c r="AO63" s="388">
        <f ca="1">-0.10453/COS(Control!$B$8*PI()/180)*COS(AN63)</f>
        <v>-0.1679384761572294</v>
      </c>
      <c r="AP63" s="388">
        <f ca="1">ACOS(AO63-TAN(Control!$B$8*PI()/180)*TAN(AN63))</f>
        <v>1.5484140037306386</v>
      </c>
      <c r="AQ63" s="388">
        <f t="shared" ca="1" si="120"/>
        <v>0</v>
      </c>
      <c r="AR63" s="394">
        <f t="shared" ca="1" si="14"/>
        <v>0</v>
      </c>
      <c r="AS63" s="436">
        <f ca="1">IF(Control!$B$18=2,(IF(OR($AH63=Control!$B$175,$AH63=Control!$B$176,$AH63=Control!$B$177,$AH63=Control!$B$178,$AH63=Control!$B$179,$AH63=Control!$B$180,$AH63=Control!$B$181,$AH63=Control!$B$182,$AH63=Control!$B$183,$AH63=Control!$B$184,$AH63=Control!$B$185),1,0)),0)</f>
        <v>0</v>
      </c>
      <c r="AT63" s="436">
        <f>IF(Control!$B$20=8,IF(AND($AH63&gt;=Control!$B$172,$AH63&lt;=Control!$B$173),1,0),0)</f>
        <v>0</v>
      </c>
      <c r="AU63" s="436">
        <f>IF(Control!$B$20=8,IF($AV62=1,1*$AT63,IF($AT63=1,$AU62+1,$AU62)),0)</f>
        <v>0</v>
      </c>
      <c r="AV63" s="436">
        <f>IF(Control!$B$20=8,IF($AU63&gt;=Control!$B$174,1,0),0)</f>
        <v>0</v>
      </c>
      <c r="AW63" s="436">
        <f ca="1">IF(AND(Control!$B$18=2,Control!$B$171=1), $AV63, $AS63)</f>
        <v>0</v>
      </c>
      <c r="AX63" s="436" t="e">
        <f ca="1">IF(AND(Control!$B$18=1,$EU63&gt;=Control!$B$19),-$AY63,IF(AND(Control!$B$18=2,$AW63=1,$EU63&gt;$DS63),-$AY63, IF(Control!$C$108=0,0, IF(Control!$C$108&lt;&gt;0,1))))</f>
        <v>#N/A</v>
      </c>
      <c r="AY63" s="436" t="e">
        <f t="shared" ca="1" si="121"/>
        <v>#N/A</v>
      </c>
      <c r="AZ63" s="436" t="e">
        <f ca="1">IF(AND(Control!$B$18=1,$EB63&gt;Control!$B$19),$AZ62+1, IF(AND(Control!$B$18=2, $AW63=1, $EB63&gt;$DS63), $AZ62+1,$AZ62))</f>
        <v>#N/A</v>
      </c>
      <c r="BA63" s="587">
        <f>IF(Control!$C$81=0,1,IF($AH63&gt;=Control!$C$82,1,0))</f>
        <v>1</v>
      </c>
      <c r="BB63" s="140" t="e">
        <f ca="1">IF($BA63&gt;$BA62,Control!$C$83,IF($AW63&gt;0,$AW63*Control!$C$84,IF(AND(Control!$B$18=1,EN62&lt;&gt;0),Control!$C$84,0)))</f>
        <v>#N/A</v>
      </c>
      <c r="BC63" s="140" t="e">
        <f t="shared" ca="1" si="122"/>
        <v>#N/A</v>
      </c>
      <c r="BD63" s="140" t="e">
        <f ca="1">BC63*IF(OR($G63&lt;Control!$C$92,$G63&gt;Control!$C$95),0,IF(AND($G63&gt;=Control!$C$92,$G63&lt;=Control!$C$93),$G63-Control!$C$92,IF(AND($G63&gt;Control!$C$93,$G63&lt;=Control!$C$94),Control!$C$93-Control!$C$92,IF(AND($G63&gt;Control!$C$94,$G63&lt;=Control!$C$95),(Control!$C$93-Control!$C$92)*(Control!$C$94-$G63)/(Control!$C$95-Control!$C$94)))))</f>
        <v>#N/A</v>
      </c>
      <c r="BE63" s="140" t="e">
        <f t="shared" ca="1" si="123"/>
        <v>#N/A</v>
      </c>
      <c r="BF63" s="140" t="e">
        <f ca="1">IF($BE63&lt;=Control!$C$86,$BE63,Control!$C$86-$BE63)</f>
        <v>#N/A</v>
      </c>
      <c r="BG63" s="140" t="e">
        <f ca="1">IF(AND($AW63=1,Control!$C$84&lt;9),1,IF($BE63&gt;=Control!$C$86,0,$BC63))</f>
        <v>#N/A</v>
      </c>
      <c r="BH63" s="404" t="e">
        <f ca="1">IF($BG63=0,0,IF($BE63&lt;=Control!$C$86,$BC63*9*($BF63/Control!$C$86),0))</f>
        <v>#N/A</v>
      </c>
      <c r="BI63" s="140" t="e">
        <f ca="1">IF($BG63=1,0,IF($BE63&gt;=Control!$C$86,1,IF(AND($BB63&lt;21,$BB63&gt;=9),1,$BM62)))</f>
        <v>#N/A</v>
      </c>
      <c r="BJ63" s="140" t="e">
        <f ca="1">IF($BF63&lt;0,-$BF63,$BI63*IF(OR($G63&lt;Control!$C$92,$G63&gt;Control!$C$95),0,IF(AND($G63&gt;=Control!$C$92,$G63&lt;=Control!$C$93),$G63-Control!$C$92,IF(AND($G63&gt;Control!$C$93,$G63&lt;=Control!$C$94),Control!$C$93-Control!$C$92,IF(AND($G63&gt;Control!$C$94,$G63&lt;=Control!$C$95),(Control!$C$93-Control!$C$92)*(Control!$C$94-$G63)/(Control!$C$95-Control!$C$94))))))</f>
        <v>#N/A</v>
      </c>
      <c r="BK63" s="140" t="e">
        <f t="shared" ca="1" si="124"/>
        <v>#N/A</v>
      </c>
      <c r="BL63" s="140" t="e">
        <f ca="1">IF($BK63&lt;=Control!$C$87,$BK63,Control!$C$87-$BK63)</f>
        <v>#N/A</v>
      </c>
      <c r="BM63" s="140" t="e">
        <f ca="1">IF(AND($BB63&gt;=9,$BB63&lt;21),1,IF($BK63&gt;=Control!$C$87,0,$BI63))</f>
        <v>#N/A</v>
      </c>
      <c r="BN63" s="404" t="e">
        <f ca="1">IF($BM63=0,0,IF($BK63&lt;=Control!$C$87,$BI63*(9+(21-9)*($BL63/Control!$C$87)),0))</f>
        <v>#N/A</v>
      </c>
      <c r="BO63" s="140" t="e">
        <f ca="1">IF($BM63=1,0,IF($BK63&gt;=Control!$C$87,1,IF(AND($BB63&lt;30,$BB63&gt;=21),1,$BS62)))</f>
        <v>#N/A</v>
      </c>
      <c r="BP63" s="140" t="e">
        <f ca="1">IF($BL63&lt;0,-$BL63,$BO63*IF(OR($G63&lt;Control!$C$92,$G63&gt;Control!$C$95),0,IF(AND($G63&gt;=Control!$C$92,$G63&lt;=Control!$C$93),$G63-Control!$C$92,IF(AND($G63&gt;Control!$C$93,$G63&lt;=Control!$C$94),Control!$C$93-Control!$C$92,IF(AND($G63&gt;Control!$C$94,$G63&lt;=Control!$C$95),(Control!$C$93-Control!$C$92)*(Control!$C$94-$G63)/(Control!$C$95-Control!$C$94))))))</f>
        <v>#N/A</v>
      </c>
      <c r="BQ63" s="140" t="e">
        <f t="shared" ca="1" si="15"/>
        <v>#N/A</v>
      </c>
      <c r="BR63" s="140" t="e">
        <f ca="1">IF($BQ63&lt;=Control!$C$88,$BQ63,Control!$C$88-$BQ63)</f>
        <v>#N/A</v>
      </c>
      <c r="BS63" s="140" t="e">
        <f ca="1">IF(AND($BB63&gt;=21,$BB63&lt;30),1,IF($BQ63&gt;=Control!$C$88,0,$BO63))</f>
        <v>#N/A</v>
      </c>
      <c r="BT63" s="404" t="e">
        <f ca="1">IF($BS63=0,0,IF($BQ63&lt;=Control!$C$88,$BO63*(21+(30-21)*(BR63/Control!$C$88)),0))</f>
        <v>#N/A</v>
      </c>
      <c r="BU63" s="140" t="e">
        <f ca="1">IF(BG63+BM63+BS63=1,0,IF(OR(AND($BB63&lt;60,$BB63&gt;=30),$BQ63&gt;=Control!$C$88),1*$BA63,$BY62))</f>
        <v>#N/A</v>
      </c>
      <c r="BV63" s="140" t="e">
        <f ca="1">IF($BR63&lt;0,-$BR63,$BU63*IF(OR($G63&lt;Control!$C$92,$G63&gt;Control!$C$95),0,IF(AND($G63&gt;=Control!$C$92,$G63&lt;=Control!$C$93),$G63-Control!$C$92,IF(AND($G63&gt;Control!$C$93,$G63&lt;=Control!$C$94),Control!$C$93-Control!$C$92,IF(AND($G63&gt;Control!$C$94,$G63&lt;=Control!$C$95),(Control!$C$93-Control!$C$92)*(Control!$C$94-$G63)/(Control!$C$95-Control!$C$94))))))</f>
        <v>#N/A</v>
      </c>
      <c r="BW63" s="140" t="e">
        <f t="shared" ca="1" si="16"/>
        <v>#N/A</v>
      </c>
      <c r="BX63" s="140" t="e">
        <f ca="1">IF($BW63&lt;=Control!$C$89,$BW63,Control!$C$89-$BW63)</f>
        <v>#N/A</v>
      </c>
      <c r="BY63" s="140" t="e">
        <f ca="1">IF(AND($AJ63&gt;=30,$AJ63&lt;60),1,IF($BW63&gt;=Control!$C$89,0,$BU63))</f>
        <v>#N/A</v>
      </c>
      <c r="BZ63" s="404" t="e">
        <f ca="1">IF($BY63=0,0,IF($BW63&lt;=Control!$C$89,$BU63*(30+(60-30)*(BX63/Control!$C$89)),0))</f>
        <v>#N/A</v>
      </c>
      <c r="CA63" s="140" t="e">
        <f ca="1">IF($BG63+$BM63+$BS63+$BY63=1,0,IF(OR(AND($BB63&lt;65,$BB63&gt;=60),$BW63&gt;=Control!$C$89),1*$BA63,$CE62))</f>
        <v>#N/A</v>
      </c>
      <c r="CB63" s="140" t="e">
        <f ca="1">IF($BX63&lt;0,-$BX63,$CA63*IF(OR($G63&lt;Control!$C$92,$G63&gt;Control!$C$95),0,IF(AND($G63&gt;=Control!$C$92,$G63&lt;=Control!$C$93),$G63-Control!$C$92,IF(AND($G63&gt;Control!$C$93,$G63&lt;=Control!$C$94),Control!$C$93-Control!$C$92,IF(AND($G63&gt;Control!$C$94,$G63&lt;=Control!$C$95),(Control!$C$93-Control!$C$92)*(Control!$C$94-$G63)/(Control!$C$95-Control!$C$94))))))</f>
        <v>#N/A</v>
      </c>
      <c r="CC63" s="140" t="e">
        <f t="shared" ca="1" si="125"/>
        <v>#N/A</v>
      </c>
      <c r="CD63" s="140" t="e">
        <f ca="1">IF($CC63&lt;=Control!$C$90,$CC63,Control!$C$90-$CC63)</f>
        <v>#N/A</v>
      </c>
      <c r="CE63" s="140" t="e">
        <f ca="1">IF(AND($BB63&gt;=60,$BB63&lt;65),1,IF($CC63&gt;=Control!$C$90,0,$CA63))</f>
        <v>#N/A</v>
      </c>
      <c r="CF63" s="404" t="e">
        <f ca="1">IF($CE63=0,0,IF($CC63&lt;=Control!$C$90,$CA63*(60+(65-60)*(CD63/Control!$C$90)),0))</f>
        <v>#N/A</v>
      </c>
      <c r="CG63" s="140" t="e">
        <f ca="1">IF($BG63+$BM63+$BS63+$BY63+$CE63=1,0,IF(OR(AND($BB63&lt;90,$BB63&gt;=65),$CC63&gt;=Control!$C$90),$BA63,$CK62))</f>
        <v>#N/A</v>
      </c>
      <c r="CH63" s="140" t="e">
        <f ca="1">IF($CD63&lt;0,-$CD63,$CG63*IF(OR($G63&lt;Control!$C$92,$G63&gt;Control!$C$95),0,IF(AND($G63&gt;=Control!$C$92,$G63&lt;=Control!$C$93),$G63-Control!$C$92,IF(AND($G63&gt;Control!$C$93,$G63&lt;=Control!$C$94),Control!$C$93-Control!$C$92,IF(AND($G63&gt;Control!$C$94,$G63&lt;=Control!$C$95),(Control!$C$93-Control!$C$92)*(Control!$C$94-$G63)/(Control!$C$95-Control!$C$94))))))</f>
        <v>#N/A</v>
      </c>
      <c r="CI63" s="140" t="e">
        <f t="shared" ca="1" si="126"/>
        <v>#N/A</v>
      </c>
      <c r="CJ63" s="140" t="e">
        <f ca="1">IF($CI63&lt;=Control!$C$91,$CI63,Control!$C$91-$CI63)</f>
        <v>#N/A</v>
      </c>
      <c r="CK63" s="140" t="e">
        <f ca="1">IF(AND($BB63&gt;=65,$BB63&lt;90),1,IF($CI63&gt;=Control!$C$91,0,$CG63))</f>
        <v>#N/A</v>
      </c>
      <c r="CL63" s="404" t="e">
        <f ca="1">IF($CK63=0,0,IF($CI63&lt;=Control!$C$91,$CG63*(65+(90-65)*($CJ63/Control!$C$91)),0))</f>
        <v>#N/A</v>
      </c>
      <c r="CM63" s="140" t="e">
        <f ca="1">IF($BG63+$BM63+$BS63+$BY63+$CE63+$CK63=1,0,IF(OR($BB63&gt;=90,$CI63&gt;=Control!$C$91),$BA63,$CM62))</f>
        <v>#N/A</v>
      </c>
      <c r="CN63" s="140" t="e">
        <f t="shared" ca="1" si="127"/>
        <v>#N/A</v>
      </c>
      <c r="CO63" s="140" t="e">
        <f t="shared" ca="1" si="128"/>
        <v>#N/A</v>
      </c>
      <c r="CP63" s="140" t="e">
        <f t="shared" ca="1" si="129"/>
        <v>#N/A</v>
      </c>
      <c r="CQ63" s="141" t="e">
        <f ca="1">VLOOKUP($CP63,Control!$B$86:$G$91,6)</f>
        <v>#N/A</v>
      </c>
      <c r="CR63" s="141" t="e">
        <f ca="1">(1-$CQ63)*VLOOKUP($CP63,Control!$B$86:$D$91,3)</f>
        <v>#N/A</v>
      </c>
      <c r="CS63" s="141" t="e">
        <f ca="1">(1-$CQ63)*VLOOKUP($CP63,Control!$B$86:$E$91,4)</f>
        <v>#N/A</v>
      </c>
      <c r="CT63" s="141" t="e">
        <f ca="1">(1-$CQ63)*VLOOKUP($CP63,Control!$B$86:$F$91,5)</f>
        <v>#N/A</v>
      </c>
      <c r="CU63" s="141">
        <f t="shared" ca="1" si="130"/>
        <v>0</v>
      </c>
      <c r="CV63" s="583">
        <f t="shared" ca="1" si="131"/>
        <v>0</v>
      </c>
      <c r="CW63" s="142">
        <f t="shared" ca="1" si="132"/>
        <v>58</v>
      </c>
      <c r="CX63" s="612" t="e">
        <f ca="1">IF(Control!$C$114=1,(MIN(Control!$C$120*(IF($NT63-0.01&lt;0,0,1)),Control!$C$119-$CY63)))</f>
        <v>#DIV/0!</v>
      </c>
      <c r="CY63" s="143" t="e">
        <f t="shared" ca="1" si="133"/>
        <v>#N/A</v>
      </c>
      <c r="CZ63" s="144">
        <f t="shared" ca="1" si="17"/>
        <v>0</v>
      </c>
      <c r="DA63" s="144">
        <f t="shared" ca="1" si="18"/>
        <v>0</v>
      </c>
      <c r="DB63" s="144" t="e">
        <f t="shared" ca="1" si="19"/>
        <v>#N/A</v>
      </c>
      <c r="DC63" s="144" t="e">
        <f t="shared" ca="1" si="20"/>
        <v>#N/A</v>
      </c>
      <c r="DD63" s="144" t="e">
        <f t="shared" ca="1" si="216"/>
        <v>#N/A</v>
      </c>
      <c r="DE63" s="143" t="e">
        <f t="shared" ca="1" si="135"/>
        <v>#N/A</v>
      </c>
      <c r="DF63" s="145" t="e">
        <f ca="1">$DR63*EXP(-Control!$C$158*(1-$KH63))</f>
        <v>#N/A</v>
      </c>
      <c r="DG63" s="146" t="e">
        <f ca="1">IF(Control!$C$114=1, $DF63*$EY63, 0)</f>
        <v>#N/A</v>
      </c>
      <c r="DH63" s="147" t="e">
        <f t="shared" ca="1" si="136"/>
        <v>#N/A</v>
      </c>
      <c r="DI63" s="144" t="e">
        <f t="shared" ca="1" si="191"/>
        <v>#N/A</v>
      </c>
      <c r="DJ63" s="147" t="e">
        <f ca="1">$EF63*Control!$C$109</f>
        <v>#N/A</v>
      </c>
      <c r="DK63" s="144" t="e">
        <f t="shared" ca="1" si="137"/>
        <v>#N/A</v>
      </c>
      <c r="DL63" s="144" t="e">
        <f t="shared" ca="1" si="21"/>
        <v>#N/A</v>
      </c>
      <c r="DM63" s="144" t="e">
        <f ca="1">IF(Control!$C$114=1, (1-EXP(-Control!$C$96*$DK63))*$AR63, 0)</f>
        <v>#N/A</v>
      </c>
      <c r="DN63" s="144">
        <f t="shared" ca="1" si="138"/>
        <v>0</v>
      </c>
      <c r="DO63" s="148">
        <f>Control!$C$97</f>
        <v>4</v>
      </c>
      <c r="DP63" s="145" t="e">
        <f t="shared" ca="1" si="139"/>
        <v>#N/A</v>
      </c>
      <c r="DQ63" s="145" t="e">
        <f ca="1">IF(AND($CP63&gt;=0,$CP63&lt;=90),Control!$C$111,Control!$C$111)</f>
        <v>#N/A</v>
      </c>
      <c r="DR63" s="145" t="e">
        <f t="shared" ca="1" si="22"/>
        <v>#N/A</v>
      </c>
      <c r="DS63" s="143" t="e">
        <f ca="1">Control!$B$22/$DR63</f>
        <v>#N/A</v>
      </c>
      <c r="DT63" s="149" t="e">
        <f ca="1">IF(AND(Control!$C$114=1,$KH63&lt;1),$IM63*$DF63, 0)</f>
        <v>#N/A</v>
      </c>
      <c r="DU63" s="144" t="e">
        <f t="shared" ca="1" si="192"/>
        <v>#N/A</v>
      </c>
      <c r="DV63" s="144">
        <f ca="1">IF($G63-Control!$C$107&lt;=0, 0, 0.83*LN(MAX($G63, 3))-0.8924)</f>
        <v>0</v>
      </c>
      <c r="DW63" s="144" t="e">
        <f t="shared" ca="1" si="23"/>
        <v>#N/A</v>
      </c>
      <c r="DX63" s="150" t="e">
        <f ca="1">MAX(0.01*(1+$CU63/Control!$C$102),0.05*($DK63-Control!$C$97)/Control!$C$97)</f>
        <v>#N/A</v>
      </c>
      <c r="DY63" s="151" t="e">
        <f ca="1">IF(Control!$C$114=1, $DI63*$FS63, 0)</f>
        <v>#N/A</v>
      </c>
      <c r="DZ63" s="196" t="e">
        <f t="shared" ca="1" si="140"/>
        <v>#N/A</v>
      </c>
      <c r="EA63" s="152">
        <f t="shared" ca="1" si="141"/>
        <v>58</v>
      </c>
      <c r="EB63" s="153" t="e">
        <f t="shared" ca="1" si="217"/>
        <v>#N/A</v>
      </c>
      <c r="EC63" s="153" t="e">
        <f t="shared" ca="1" si="142"/>
        <v>#N/A</v>
      </c>
      <c r="ED63" s="154" t="e">
        <f ca="1">IF(Control!$C$114=1, $HM63*$FY63-$FD63, 0)</f>
        <v>#DIV/0!</v>
      </c>
      <c r="EE63" s="155" t="e">
        <f ca="1">IF(Control!$C$114=1, $HM63*$FZ63-$FF63, 0)</f>
        <v>#DIV/0!</v>
      </c>
      <c r="EF63" s="153" t="e">
        <f t="shared" ca="1" si="193"/>
        <v>#N/A</v>
      </c>
      <c r="EG63" s="155" t="e">
        <f ca="1">IF(Control!$C$114=1, $GX63*$FW63-$FI63, 0)</f>
        <v>#DIV/0!</v>
      </c>
      <c r="EH63" s="153" t="e">
        <f t="shared" ca="1" si="143"/>
        <v>#N/A</v>
      </c>
      <c r="EI63" s="156" t="e">
        <f t="shared" ca="1" si="144"/>
        <v>#N/A</v>
      </c>
      <c r="EJ63" s="155" t="e">
        <f ca="1">IF(Control!$C$114=1, $HM63*$GB63, 0)</f>
        <v>#DIV/0!</v>
      </c>
      <c r="EK63" s="153" t="e">
        <f t="shared" ca="1" si="194"/>
        <v>#N/A</v>
      </c>
      <c r="EL63" s="153" t="e">
        <f t="shared" ca="1" si="24"/>
        <v>#N/A</v>
      </c>
      <c r="EM63" s="153" t="e">
        <f t="shared" ca="1" si="25"/>
        <v>#N/A</v>
      </c>
      <c r="EN63" s="153" t="e">
        <f ca="1">IF(Control!$C$108=1,IF(AND(Control!$B$18=1,$EB63&gt;=Control!$B$19),$EB63-$DS63,IF(AND(Control!$B$18=2,$AW63=1,$EB63&gt;$DS63),$EB63-$DS63,0)))</f>
        <v>#N/A</v>
      </c>
      <c r="EO63" s="153" t="e">
        <f ca="1">IF(Control!$C$108=1,IF(AND(Control!$B$18=1,$EB63&gt;=Control!$B$19),$EF63,IF(AND(Control!$B$18=2,$AW63=1),$EF63,0)))</f>
        <v>#N/A</v>
      </c>
      <c r="EP63" s="153" t="e">
        <f ca="1">IF(Control!$C$108=1,IF(AND(Control!$B$18=1,$EB63&gt;=Control!$B$19),$EK63,IF(AND(Control!$B$18=2,$AW63=1),$EK63,0)))</f>
        <v>#N/A</v>
      </c>
      <c r="EQ63" s="153" t="e">
        <f t="shared" ca="1" si="145"/>
        <v>#N/A</v>
      </c>
      <c r="ER63" s="153" t="e">
        <f t="shared" ca="1" si="231"/>
        <v>#N/A</v>
      </c>
      <c r="ES63" s="153" t="e">
        <f t="shared" ca="1" si="196"/>
        <v>#N/A</v>
      </c>
      <c r="ET63" s="153" t="e">
        <f t="shared" ca="1" si="197"/>
        <v>#N/A</v>
      </c>
      <c r="EU63" s="153" t="e">
        <f t="shared" ca="1" si="198"/>
        <v>#N/A</v>
      </c>
      <c r="EV63" s="153" t="e">
        <f t="shared" ca="1" si="146"/>
        <v>#N/A</v>
      </c>
      <c r="EW63" s="153" t="e">
        <f t="shared" ca="1" si="218"/>
        <v>#N/A</v>
      </c>
      <c r="EX63" s="153" t="e">
        <f t="shared" ca="1" si="26"/>
        <v>#N/A</v>
      </c>
      <c r="EY63" s="157" t="e">
        <f t="shared" ca="1" si="147"/>
        <v>#DIV/0!</v>
      </c>
      <c r="EZ63" s="154" t="e">
        <f t="shared" ca="1" si="27"/>
        <v>#DIV/0!</v>
      </c>
      <c r="FA63" s="153" t="e">
        <f t="shared" ca="1" si="199"/>
        <v>#N/A</v>
      </c>
      <c r="FB63" s="153" t="e">
        <f t="shared" ca="1" si="28"/>
        <v>#N/A</v>
      </c>
      <c r="FC63" s="193" t="e">
        <f t="shared" ca="1" si="29"/>
        <v>#N/A</v>
      </c>
      <c r="FD63" s="158" t="e">
        <f t="shared" ca="1" si="200"/>
        <v>#N/A</v>
      </c>
      <c r="FE63" s="158" t="e">
        <f t="shared" ca="1" si="148"/>
        <v>#N/A</v>
      </c>
      <c r="FF63" s="159" t="e">
        <f t="shared" ca="1" si="30"/>
        <v>#N/A</v>
      </c>
      <c r="FG63" s="160" t="e">
        <f t="shared" ca="1" si="149"/>
        <v>#N/A</v>
      </c>
      <c r="FH63" s="158" t="e">
        <f t="shared" ca="1" si="150"/>
        <v>#N/A</v>
      </c>
      <c r="FI63" s="159" t="e">
        <f t="shared" ca="1" si="31"/>
        <v>#N/A</v>
      </c>
      <c r="FJ63" s="160" t="e">
        <f t="shared" ca="1" si="151"/>
        <v>#N/A</v>
      </c>
      <c r="FK63" s="160" t="e">
        <f t="shared" ca="1" si="32"/>
        <v>#N/A</v>
      </c>
      <c r="FL63" s="160" t="e">
        <f t="shared" ca="1" si="229"/>
        <v>#N/A</v>
      </c>
      <c r="FM63" s="160" t="e">
        <f t="shared" ca="1" si="33"/>
        <v>#N/A</v>
      </c>
      <c r="FN63" s="158">
        <f t="shared" ca="1" si="219"/>
        <v>0.01</v>
      </c>
      <c r="FO63" s="160">
        <f>Control!$C$101</f>
        <v>50</v>
      </c>
      <c r="FP63" s="150" t="e">
        <f t="shared" ca="1" si="34"/>
        <v>#N/A</v>
      </c>
      <c r="FQ63" s="150" t="e">
        <f ca="1">MAX(0,(Control!$C$112*(($DK63-Control!$C$97)/Control!$C$97)))</f>
        <v>#N/A</v>
      </c>
      <c r="FR63" s="150" t="e">
        <f ca="1">(1-$NT63)*Control!$C$113</f>
        <v>#DIV/0!</v>
      </c>
      <c r="FS63" s="198" t="e">
        <f t="shared" ca="1" si="35"/>
        <v>#N/A</v>
      </c>
      <c r="FT63" s="161">
        <f t="shared" ca="1" si="152"/>
        <v>58</v>
      </c>
      <c r="FU63" s="162" t="e">
        <f ca="1">IF(Control!$B$34=1,VLOOKUP($CP63,Control!$B$86:$G$91,6),Control!$B$35)</f>
        <v>#N/A</v>
      </c>
      <c r="FV63" s="162" t="e">
        <f t="shared" ca="1" si="36"/>
        <v>#DIV/0!</v>
      </c>
      <c r="FW63" s="162" t="e">
        <f ca="1">IF(Control!$B$31=1,$FU63*$FV63,  $FU63)</f>
        <v>#N/A</v>
      </c>
      <c r="FX63" s="162" t="e">
        <f ca="1">IF(Control!$B$34=1,VLOOKUP($CP63,Control!$B$86:$G$91,3),Control!$B$36)</f>
        <v>#N/A</v>
      </c>
      <c r="FY63" s="162" t="e">
        <f t="shared" ca="1" si="37"/>
        <v>#N/A</v>
      </c>
      <c r="FZ63" s="162" t="e">
        <f ca="1">IF(Control!$B$34=1,VLOOKUP($CP63,Control!$B$86:$G$91,4),Control!$B$37)</f>
        <v>#N/A</v>
      </c>
      <c r="GA63" s="162" t="e">
        <f t="shared" ca="1" si="38"/>
        <v>#N/A</v>
      </c>
      <c r="GB63" s="162" t="e">
        <f ca="1">IF(Control!$B$34=1,VLOOKUP($CP63,Control!$B$86:$G$91,5),Control!$B$38)</f>
        <v>#N/A</v>
      </c>
      <c r="GC63" s="162" t="e">
        <f t="shared" ca="1" si="153"/>
        <v>#N/A</v>
      </c>
      <c r="GD63" s="162">
        <f t="shared" ca="1" si="39"/>
        <v>1</v>
      </c>
      <c r="GE63" s="162">
        <f t="shared" ca="1" si="40"/>
        <v>1</v>
      </c>
      <c r="GF63" s="162">
        <f ca="1">IF(AND(Control!$C$104=1, Control!$C$62="F"),$GE63,1)</f>
        <v>1</v>
      </c>
      <c r="GG63" s="162" t="e">
        <f ca="1">IF(Control!$B$16=40,0,IF(AND(Control!$B$16&gt;40,Control!$B$16&lt;=360),(Control!$B$16-40)*((1-0)/(360-40)),IF(AND(Control!$B$16&gt;360,Control!$B$16&lt;=720),(1+(Control!$B$16-360)*((1.25-1)/(720-360))),IF(AND(Control!$B$16&gt;720,Control!$B$16&lt;=1000),(1.25+(Control!$B$16-720)*((1.35-1.25)/(1000-720))),IF(AND(Control!$B$16&gt;1000,Control!$B$16&lt;=2000),(1.35+(Control!$B$16-1000)*0))))))</f>
        <v>#N/A</v>
      </c>
      <c r="GH63" s="162" t="e">
        <f t="shared" ca="1" si="41"/>
        <v>#N/A</v>
      </c>
      <c r="GI63" s="162">
        <f t="shared" ca="1" si="201"/>
        <v>0</v>
      </c>
      <c r="GJ63" s="162">
        <f t="shared" ca="1" si="42"/>
        <v>0</v>
      </c>
      <c r="GK63" s="162">
        <f t="shared" ca="1" si="220"/>
        <v>1</v>
      </c>
      <c r="GL63" s="162">
        <f t="shared" ca="1" si="43"/>
        <v>1</v>
      </c>
      <c r="GM63" s="162" t="e">
        <f ca="1">MAX(0,MIN(1,1-Control!$C$156*(1.0001-$KH63)^2))</f>
        <v>#N/A</v>
      </c>
      <c r="GN63" s="162" t="e">
        <f ca="1">IF(Control!$B$26=1,$KU63,$KX63)</f>
        <v>#N/A</v>
      </c>
      <c r="GO63" s="162" t="e">
        <f ca="1">IF($CP63&lt;=60,Control!$C$105,IF($CP63&gt;=90,Control!$C$106,Control!$C$105+($CP63-60)*((Control!$C$106-Control!$C$105)/(90-60))))</f>
        <v>#N/A</v>
      </c>
      <c r="GP63" s="162" t="e">
        <f t="shared" ca="1" si="154"/>
        <v>#N/A</v>
      </c>
      <c r="GQ63" s="162" t="e">
        <f t="shared" ca="1" si="155"/>
        <v>#N/A</v>
      </c>
      <c r="GR63" s="163" t="e">
        <f t="shared" ca="1" si="44"/>
        <v>#DIV/0!</v>
      </c>
      <c r="GS63" s="162" t="e">
        <f t="shared" ca="1" si="45"/>
        <v>#DIV/0!</v>
      </c>
      <c r="GT63" s="164" t="e">
        <f t="shared" ca="1" si="156"/>
        <v>#N/A</v>
      </c>
      <c r="GU63" s="162" t="e">
        <f t="shared" ca="1" si="157"/>
        <v>#N/A</v>
      </c>
      <c r="GV63" s="162" t="e">
        <f t="shared" ca="1" si="46"/>
        <v>#N/A</v>
      </c>
      <c r="GW63" s="162" t="e">
        <f t="shared" ca="1" si="221"/>
        <v>#DIV/0!</v>
      </c>
      <c r="GX63" s="162" t="e">
        <f t="shared" ca="1" si="228"/>
        <v>#DIV/0!</v>
      </c>
      <c r="GY63" s="162" t="e">
        <f t="shared" ca="1" si="158"/>
        <v>#DIV/0!</v>
      </c>
      <c r="GZ63" s="165" t="e">
        <f t="shared" ca="1" si="159"/>
        <v>#N/A</v>
      </c>
      <c r="HA63" s="162" t="e">
        <f ca="1">IF(Control!$C$114=1, $DI63*$FS63, 0)</f>
        <v>#N/A</v>
      </c>
      <c r="HB63" s="162" t="e">
        <f ca="1">$FA63/Control!$C$64</f>
        <v>#N/A</v>
      </c>
      <c r="HC63" s="162" t="e">
        <f t="shared" ca="1" si="222"/>
        <v>#DIV/0!</v>
      </c>
      <c r="HD63" s="162">
        <f ca="1">-ASIN(SIN(23.45*Control!$C$139)*COS(2*Control!$C$138*($AH63+10)/365))</f>
        <v>-0.15568033566587317</v>
      </c>
      <c r="HE63" s="165">
        <f t="shared" ca="1" si="160"/>
        <v>0</v>
      </c>
      <c r="HF63" s="166">
        <f ca="1">IF(AND(Control!$C$61="T",$HE63&gt;=Control!$C$103,Control!$C$114=0),$AH63,Control!$C$59)</f>
        <v>1</v>
      </c>
      <c r="HG63" s="166">
        <f ca="1">IF(AND(Control!$C$61="T",$HE63&gt;=Control!$C$103,Control!$C$114=0),$HF63,Control!$C$59)</f>
        <v>1</v>
      </c>
      <c r="HH63" s="165">
        <f ca="1">IF(AND(OR(Control!$C$60&lt;=0, $AH63= Control!$C$59, Control!$C$60 &gt;0, $AH63 = Control!$C$60)), Control!$C$59, IF(Control!$C$60&gt;0, 0))</f>
        <v>1</v>
      </c>
      <c r="HI63" s="165">
        <f ca="1">IF(AND(OR(Control!$C$60&lt;=0, $AH63= Control!$C$59, Control!$C$60 &gt;0, $AH63 = Control!$C$60)), Control!$C$60, IF(Control!$C$60&lt;=0, 0))</f>
        <v>0</v>
      </c>
      <c r="HJ63" s="166">
        <f ca="1">IF(AND(Control!$C$62="F",$CV63&gt;=Control!$C$102),$AH63,0)</f>
        <v>0</v>
      </c>
      <c r="HK63" s="165" t="e">
        <f t="shared" ca="1" si="202"/>
        <v>#N/A</v>
      </c>
      <c r="HL63" s="166">
        <f ca="1">IF(AND(Control!$C$61="T",$HE63&gt;=Control!$C$103,Control!$C$114=0),$HF63,0)</f>
        <v>0</v>
      </c>
      <c r="HM63" s="201" t="e">
        <f t="shared" ca="1" si="47"/>
        <v>#DIV/0!</v>
      </c>
      <c r="HN63" s="215">
        <f t="shared" ca="1" si="161"/>
        <v>58</v>
      </c>
      <c r="HO63" s="216" t="e">
        <f ca="1">IF(AND($CP63&gt;=0, $CP63&lt;=90), Control!$C$152, Control!$C$152)</f>
        <v>#N/A</v>
      </c>
      <c r="HP63" s="216" t="e">
        <f t="shared" ca="1" si="48"/>
        <v>#N/A</v>
      </c>
      <c r="HQ63" s="217" t="e">
        <f ca="1">IF(OR(Control!$B$26=1,Control!$B$26=2),$KV63,$KS63)</f>
        <v>#DIV/0!</v>
      </c>
      <c r="HR63" s="218" t="e">
        <f t="shared" ca="1" si="223"/>
        <v>#DIV/0!</v>
      </c>
      <c r="HS63" s="216" t="e">
        <f ca="1">Control!$C$154*$HP63</f>
        <v>#N/A</v>
      </c>
      <c r="HT63" s="216" t="e">
        <f ca="1">Control!$C$155*$HP63</f>
        <v>#N/A</v>
      </c>
      <c r="HU63" s="217" t="e">
        <f ca="1">Control!$C$161*$FI63</f>
        <v>#N/A</v>
      </c>
      <c r="HV63" s="218" t="e">
        <f t="shared" ca="1" si="162"/>
        <v>#N/A</v>
      </c>
      <c r="HW63" s="218" t="e">
        <f ca="1">Control!$C$160*$FF63+$IP63*$EO63</f>
        <v>#N/A</v>
      </c>
      <c r="HX63" s="218" t="e">
        <f t="shared" ca="1" si="203"/>
        <v>#N/A</v>
      </c>
      <c r="HY63" s="219" t="e">
        <f ca="1">IF(Control!$C$114=1, $EB63*$FS63, 0)</f>
        <v>#N/A</v>
      </c>
      <c r="HZ63" s="91" t="e">
        <f t="shared" ca="1" si="49"/>
        <v>#N/A</v>
      </c>
      <c r="IA63" s="220" t="e">
        <f ca="1">Control!$C$153*$HO63</f>
        <v>#N/A</v>
      </c>
      <c r="IB63" s="218" t="e">
        <f t="shared" ca="1" si="50"/>
        <v>#N/A</v>
      </c>
      <c r="IC63" s="220" t="e">
        <f ca="1">Control!$C$153*$HT63</f>
        <v>#N/A</v>
      </c>
      <c r="ID63" s="218" t="e">
        <f t="shared" ca="1" si="51"/>
        <v>#N/A</v>
      </c>
      <c r="IE63" s="221" t="e">
        <f ca="1">($EB63*Control!$C$159+$EF63*Control!$C$160)/(IF($GZ63&lt;&gt;0,$GZ63,1))</f>
        <v>#N/A</v>
      </c>
      <c r="IF63" s="216" t="e">
        <f t="shared" ca="1" si="52"/>
        <v>#N/A</v>
      </c>
      <c r="IG63" s="91">
        <f ca="1">IF(OR(Control!$B$198=$AH63,Control!$B$199=$AH63, Control!$B$200=$AH63, Control!$B$201=$AH63, Control!$B$202=$AH63, Control!$B$203=$AH63, Control!$B$204=$AH63, Control!$B$205=$AH63, Control!$B$206=$AH63, Control!$B$207=$AH63), 1, 0)</f>
        <v>0</v>
      </c>
      <c r="IH63" s="91">
        <f ca="1">IF($IG63=0,0, VLOOKUP($AH63,Control!$B$198:$C$207,2))</f>
        <v>0</v>
      </c>
      <c r="II63" s="222">
        <f t="shared" ca="1" si="163"/>
        <v>0</v>
      </c>
      <c r="IJ63" s="91">
        <f>Control!$C$121</f>
        <v>0.7</v>
      </c>
      <c r="IK63" s="218">
        <f t="shared" ca="1" si="53"/>
        <v>0</v>
      </c>
      <c r="IL63" s="217" t="e">
        <f t="shared" ca="1" si="204"/>
        <v>#N/A</v>
      </c>
      <c r="IM63" s="223" t="e">
        <f ca="1">IF(AND(Control!$C$114=1,$KH63&lt;1),$EB63*Control!$C$148*(1-$KH63), 0)</f>
        <v>#N/A</v>
      </c>
      <c r="IN63" s="217" t="e">
        <f t="shared" ca="1" si="54"/>
        <v>#DIV/0!</v>
      </c>
      <c r="IO63" s="91" t="e">
        <f ca="1">MAX(0,$IL63-$EF63*Control!$C$160)</f>
        <v>#N/A</v>
      </c>
      <c r="IP63" s="220" t="e">
        <f t="shared" ca="1" si="55"/>
        <v>#N/A</v>
      </c>
      <c r="IQ63" s="217" t="e">
        <f t="shared" ca="1" si="164"/>
        <v>#N/A</v>
      </c>
      <c r="IR63" s="218" t="e">
        <f t="shared" ca="1" si="56"/>
        <v>#N/A</v>
      </c>
      <c r="IS63" s="217" t="e">
        <f ca="1">Control!$C$159*MAX(0,$FD63-$EN63)</f>
        <v>#N/A</v>
      </c>
      <c r="IT63" s="217" t="e">
        <f t="shared" ca="1" si="205"/>
        <v>#N/A</v>
      </c>
      <c r="IU63" s="217" t="e">
        <f t="shared" ca="1" si="165"/>
        <v>#N/A</v>
      </c>
      <c r="IV63" s="217" t="e">
        <f t="shared" ca="1" si="206"/>
        <v>#N/A</v>
      </c>
      <c r="IW63" s="217" t="e">
        <f ca="1">IF(OR($AW63=1,AND($AW63=0, Control!$B$18=1,$EN63&lt;&gt;0)), $IQ63-$IU63, $IQ63)</f>
        <v>#N/A</v>
      </c>
      <c r="IX63" s="218" t="e">
        <f t="shared" ca="1" si="57"/>
        <v>#N/A</v>
      </c>
      <c r="IY63" s="218" t="e">
        <f ca="1">MAX(0,$IQ63-$EB63*Control!$C$159)</f>
        <v>#N/A</v>
      </c>
      <c r="IZ63" s="218" t="e">
        <f t="shared" ca="1" si="58"/>
        <v>#N/A</v>
      </c>
      <c r="JA63" s="216" t="e">
        <f t="shared" ca="1" si="59"/>
        <v>#N/A</v>
      </c>
      <c r="JB63" s="217" t="e">
        <f t="shared" ca="1" si="60"/>
        <v>#N/A</v>
      </c>
      <c r="JC63" s="222" t="e">
        <f ca="1">MAX(Control!$C$157*$EK63-$JT63, 0)/Control!$C$162</f>
        <v>#N/A</v>
      </c>
      <c r="JD63" s="218" t="e">
        <f t="shared" ca="1" si="61"/>
        <v>#N/A</v>
      </c>
      <c r="JE63" s="218" t="e">
        <f t="shared" ca="1" si="62"/>
        <v>#N/A</v>
      </c>
      <c r="JF63" s="218" t="e">
        <f t="shared" ca="1" si="207"/>
        <v>#N/A</v>
      </c>
      <c r="JG63" s="218" t="e">
        <f t="shared" ca="1" si="63"/>
        <v>#N/A</v>
      </c>
      <c r="JH63" s="217" t="e">
        <f t="shared" ca="1" si="166"/>
        <v>#N/A</v>
      </c>
      <c r="JI63" s="217" t="e">
        <f t="shared" ca="1" si="167"/>
        <v>#N/A</v>
      </c>
      <c r="JJ63" s="217" t="e">
        <f t="shared" ca="1" si="224"/>
        <v>#N/A</v>
      </c>
      <c r="JK63" s="217" t="e">
        <f ca="1">IF(Control!$C$114=1,IF(Control!$B$24=0,MAX(0,$JI63)*$GN63/Control!$C$64,(MAX(0,MIN($JI63,$JJ63*$GN63/Control!$C$64),0))))</f>
        <v>#N/A</v>
      </c>
      <c r="JL63" s="217" t="e">
        <f ca="1">$IK63/Control!$C$64-$JK63+$HQ63</f>
        <v>#N/A</v>
      </c>
      <c r="JM63" s="217" t="e">
        <f ca="1">IF(Control!$C$114=1,($JB63/(IF($JI63&lt;&gt;0,$JI63,1)))*$JK63,0)</f>
        <v>#N/A</v>
      </c>
      <c r="JN63" s="217" t="e">
        <f ca="1">IF(Control!$C$114=1,($JG63/(IF($JI63&lt;&gt;0,$JI63,1)))*$JK63, 0)</f>
        <v>#N/A</v>
      </c>
      <c r="JO63" s="218" t="e">
        <f t="shared" ca="1" si="64"/>
        <v>#N/A</v>
      </c>
      <c r="JP63" s="218" t="e">
        <f ca="1">MIN(($IY63+$IO63)*Control!$C$151, $JF63-$EH63*Control!$C$161)</f>
        <v>#N/A</v>
      </c>
      <c r="JQ63" s="218" t="e">
        <f t="shared" ca="1" si="65"/>
        <v>#N/A</v>
      </c>
      <c r="JR63" s="217" t="e">
        <f ca="1">IF($CP63-Control!$C$150&lt;0, 0, $JQ63/Control!$C$162)</f>
        <v>#N/A</v>
      </c>
      <c r="JS63" s="218" t="e">
        <f t="shared" ca="1" si="66"/>
        <v>#N/A</v>
      </c>
      <c r="JT63" s="218" t="e">
        <f t="shared" ca="1" si="168"/>
        <v>#N/A</v>
      </c>
      <c r="JU63" s="218" t="e">
        <f t="shared" ca="1" si="67"/>
        <v>#N/A</v>
      </c>
      <c r="JV63" s="218" t="e">
        <f t="shared" ca="1" si="68"/>
        <v>#N/A</v>
      </c>
      <c r="JW63" s="216" t="e">
        <f t="shared" ca="1" si="69"/>
        <v>#N/A</v>
      </c>
      <c r="JX63" s="91" t="e">
        <f t="shared" ca="1" si="70"/>
        <v>#N/A</v>
      </c>
      <c r="JY63" s="218" t="e">
        <f t="shared" ca="1" si="71"/>
        <v>#N/A</v>
      </c>
      <c r="JZ63" s="217" t="e">
        <f ca="1">IF(Control!$C$114=1,($IZ63/(IF($JI63&lt;&gt;0,$JI63,1)))*$JK63, 0)</f>
        <v>#N/A</v>
      </c>
      <c r="KA63" s="218" t="e">
        <f t="shared" ca="1" si="225"/>
        <v>#N/A</v>
      </c>
      <c r="KB63" s="218" t="e">
        <f t="shared" ca="1" si="169"/>
        <v>#N/A</v>
      </c>
      <c r="KC63" s="218" t="e">
        <f t="shared" ca="1" si="72"/>
        <v>#N/A</v>
      </c>
      <c r="KD63" s="218" t="e">
        <f t="shared" ca="1" si="73"/>
        <v>#N/A</v>
      </c>
      <c r="KE63" s="218" t="e">
        <f t="shared" ca="1" si="74"/>
        <v>#N/A</v>
      </c>
      <c r="KF63" s="218" t="e">
        <f t="shared" ca="1" si="75"/>
        <v>#N/A</v>
      </c>
      <c r="KG63" s="216" t="e">
        <f t="shared" ca="1" si="76"/>
        <v>#N/A</v>
      </c>
      <c r="KH63" s="221" t="e">
        <f ca="1">IF(Control!$B$24=0,1,MAX(0.001,MIN(1,IF(($IF63-$IE63)&lt;&gt;0,($KG63-$IE63)/($IF63-$IE63),1))))</f>
        <v>#N/A</v>
      </c>
      <c r="KI63" s="222" t="e">
        <f ca="1">IF(Control!$C$114=1, $KI62+ $KH62, 0)</f>
        <v>#N/A</v>
      </c>
      <c r="KJ63" s="217" t="e">
        <f t="shared" ca="1" si="77"/>
        <v>#N/A</v>
      </c>
      <c r="KK63" s="218" t="e">
        <f t="shared" ca="1" si="78"/>
        <v>#N/A</v>
      </c>
      <c r="KL63" s="274" t="e">
        <f ca="1">IF(Control!$B$26=3,4000000000*EXP(-8400/($G63+273)),IF(Control!$B$26=4,4000000000*EXP(-8400/($G63+273))*($KT63),0))</f>
        <v>#DIV/0!</v>
      </c>
      <c r="KM63" s="274" t="e">
        <f ca="1">IF(Control!$B$26=3,5600000000000*EXP(-9800/($G63+273)),IF(Control!$B$26=4,5600000000000*EXP(-9800/($G63+273))*$KT63,0))</f>
        <v>#DIV/0!</v>
      </c>
      <c r="KN63" s="454" t="e">
        <f t="shared" ca="1" si="170"/>
        <v>#DIV/0!</v>
      </c>
      <c r="KO63" s="274" t="e">
        <f t="shared" ca="1" si="171"/>
        <v>#DIV/0!</v>
      </c>
      <c r="KP63" s="454" t="e">
        <f t="shared" ca="1" si="79"/>
        <v>#DIV/0!</v>
      </c>
      <c r="KQ63" s="454" t="e">
        <f t="shared" ca="1" si="80"/>
        <v>#DIV/0!</v>
      </c>
      <c r="KR63" s="454" t="e">
        <f t="shared" ca="1" si="81"/>
        <v>#DIV/0!</v>
      </c>
      <c r="KS63" s="454" t="e">
        <f t="shared" ca="1" si="82"/>
        <v>#DIV/0!</v>
      </c>
      <c r="KT63" s="455" t="e">
        <f t="shared" ca="1" si="83"/>
        <v>#DIV/0!</v>
      </c>
      <c r="KU63" s="456" t="e">
        <f ca="1">IF($CP63-Control!$C$149&lt;0, IF($NT63-0.01&lt;0,0,1),0)</f>
        <v>#N/A</v>
      </c>
      <c r="KV63" s="456" t="e">
        <f ca="1">IF(Control!$C$114=1,MAX(0,MIN(Control!$C$125*$KW63*$GN63,$KW63)))</f>
        <v>#DIV/0!</v>
      </c>
      <c r="KW63" s="456" t="e">
        <f t="shared" ca="1" si="208"/>
        <v>#DIV/0!</v>
      </c>
      <c r="KX63" s="457" t="e">
        <f ca="1">IF($CP63-Control!$C$149&lt;0, IF($MR63-$OM63&lt;0,0,1),0)</f>
        <v>#N/A</v>
      </c>
      <c r="KY63" s="167">
        <f t="shared" ca="1" si="172"/>
        <v>58</v>
      </c>
      <c r="KZ63" s="168">
        <f ca="1">1370*(1+0.033*COS(2*Control!$C$138*$AH63/365))</f>
        <v>1394.4869050411321</v>
      </c>
      <c r="LA63" s="169">
        <f t="shared" ca="1" si="173"/>
        <v>1.0178737180816473</v>
      </c>
      <c r="LB63" s="169">
        <f t="shared" ca="1" si="174"/>
        <v>-0.15609306262905087</v>
      </c>
      <c r="LC63" s="169">
        <f ca="1">ACOS(-TAN((2*Control!$B$8/360))*TAN(Calculations!$LB63))</f>
        <v>1.5240074255633997</v>
      </c>
      <c r="LD63" s="169">
        <f ca="1">((24*60)/PI())*0.082*$LA63*(($LC63*SIN(Control!$B$8*2*PI()/360))*SIN($LB63)+COS(Control!$B$8*2*PI()/360)*COS($LB63)*SIN($LC63))</f>
        <v>16.099416565702697</v>
      </c>
      <c r="LE63" s="170">
        <f t="shared" ca="1" si="84"/>
        <v>16.431585650312616</v>
      </c>
      <c r="LF63" s="170">
        <f ca="1">SIN(Control!$C$139*Control!$B$8)*SIN($HD63)</f>
        <v>-0.12218303744362591</v>
      </c>
      <c r="LG63" s="170">
        <f ca="1">COS(Control!$C$139*Control!$B$8)*COS($HD63)</f>
        <v>0.60821418063681276</v>
      </c>
      <c r="LH63" s="170">
        <f ca="1">12*(1+2*ASIN(MAX(-1,MIN(1,$LF63/$LG63))/Control!$C$138))</f>
        <v>10.464283187615393</v>
      </c>
      <c r="LI63" s="170">
        <f ca="1">12*(1+2*ASIN(MAX(-1,MIN(1,(-SIN(-4*Control!$C$139)+$LF63)/$LG63))/Control!$C$138))</f>
        <v>11.34142026832389</v>
      </c>
      <c r="LJ63" s="168">
        <f ca="1">3600*($LH63*$LF63+24*$LG63*SQRT(1-$LK63*$LK63)/Control!$C$138)</f>
        <v>11783.248441352662</v>
      </c>
      <c r="LK63" s="170">
        <f t="shared" ca="1" si="85"/>
        <v>-0.20088817612851076</v>
      </c>
      <c r="LL63" s="170">
        <f t="shared" ca="1" si="86"/>
        <v>0</v>
      </c>
      <c r="LM63" s="171">
        <f ca="1">Control!$C$145*$AB63</f>
        <v>6.6660906138995932E-2</v>
      </c>
      <c r="LN63" s="170">
        <f t="shared" ca="1" si="175"/>
        <v>0.54</v>
      </c>
      <c r="LO63" s="170">
        <f t="shared" ca="1" si="87"/>
        <v>0</v>
      </c>
      <c r="LP63" s="170">
        <f ca="1">Control!$C$140*((($D63+273.16)^4+($E63+273.16)^4)/2)*(0.34-0.14*SQRT($Y63))*(1.35*$AQ63/(0.75*$LD63)-0.35)</f>
        <v>-3.2464704755046001</v>
      </c>
      <c r="LQ63" s="170">
        <f ca="1">Control!$C$140*($G63+273)^4*(0.56-0.079*SQRT($Y63*10))*(0.1+0.9*$LO63)</f>
        <v>1.5241745131704001</v>
      </c>
      <c r="LR63" s="170">
        <f ca="1">$AQ63*(1-Control!$C$142)-$LQ63</f>
        <v>-1.5241745131704001</v>
      </c>
      <c r="LS63" s="170">
        <f ca="1">$AQ63*(1-Control!$C$143)-$LQ63</f>
        <v>-1.5241745131704001</v>
      </c>
      <c r="LT63" s="170">
        <f ca="1">$AQ63*(1-Control!$C$144)-$LQ63</f>
        <v>-1.5241745131704001</v>
      </c>
      <c r="LU63" s="169">
        <f ca="1">(1-Control!$C$144)*AQ63-LP63</f>
        <v>3.2464704755046001</v>
      </c>
      <c r="LV63" s="172">
        <f t="shared" ca="1" si="88"/>
        <v>0.79430000000000012</v>
      </c>
      <c r="LW63" s="170">
        <f t="shared" ca="1" si="89"/>
        <v>1.5886000000000002</v>
      </c>
      <c r="LX63" s="170">
        <f ca="1">($AC63*($LR63/Control!$C$141)+$LM63*$LV63)/($AC63+$LM63)</f>
        <v>0.23530094218323697</v>
      </c>
      <c r="LY63" s="170">
        <f ca="1">($AC63*($LS63/Control!$C$141)+$LM63*$LV63)/($AC63+$LM63)</f>
        <v>0.23530094218323697</v>
      </c>
      <c r="LZ63" s="170">
        <f t="shared" ca="1" si="90"/>
        <v>0.23530094218323697</v>
      </c>
      <c r="MA63" s="170">
        <f t="shared" ca="1" si="91"/>
        <v>0.23530094218323697</v>
      </c>
      <c r="MB63" s="170" t="e">
        <f t="shared" ca="1" si="92"/>
        <v>#N/A</v>
      </c>
      <c r="MC63" s="170">
        <f t="shared" ca="1" si="176"/>
        <v>0.6018</v>
      </c>
      <c r="MD63" s="170">
        <f t="shared" ca="1" si="93"/>
        <v>0.52989392535414004</v>
      </c>
      <c r="ME63" s="170">
        <f ca="1">($AC63*($LT63/Control!$C$141)+$LM63*$LW63)/($AC63+$LM63)</f>
        <v>0.71612369323045078</v>
      </c>
      <c r="MF63" s="170" t="e">
        <f ca="1">IF(Control!$B$16&gt;=1000,0.92,IF(AND(720&lt;=Control!$B$16,1000&gt;Control!$B$16),(0.95+(Control!$B$16-720)*((0.92-0.95)/(1000-720))),IF(AND(360&lt;=Control!$B$16,720&gt;Control!$B$16),(1+(Control!$B$16-360)*((0.95-1)/(720-360))),IF(AND(40&lt;=Control!$B$16,360&gt;Control!$B$16),(1.05+(Control!$B$16-40)*((1.05-1)/(360-40)))))))</f>
        <v>#N/A</v>
      </c>
      <c r="MG63" s="170">
        <f t="shared" ca="1" si="94"/>
        <v>0.71612369323045078</v>
      </c>
      <c r="MH63" s="170" t="e">
        <f t="shared" ca="1" si="232"/>
        <v>#N/A</v>
      </c>
      <c r="MI63" s="170" t="e">
        <f t="shared" ca="1" si="232"/>
        <v>#N/A</v>
      </c>
      <c r="MJ63" s="170" t="e">
        <f ca="1">MAX(0.0001, Control!$C$132*$MI63*$DL63)</f>
        <v>#N/A</v>
      </c>
      <c r="MK63" s="170">
        <f ca="1">1/(0.76+1.5*($MG63/10))-(5-Control!$C$110)*0.1</f>
        <v>1.002845988140797</v>
      </c>
      <c r="ML63" s="173">
        <f ca="1">IF(Control!$C$110&lt;3,$MK63+($MG63-0.6)/(Control!$C$110*(Control!$C$110+3)), MAX(0.1, MIN(0.95,$MK63)))</f>
        <v>0.95</v>
      </c>
      <c r="MM63" s="173">
        <f ca="1">IF(Control!$C$110&lt;3,$MK63+(($MI63/10)-0.6)/(Control!$C$110*(Control!$C$110+3)), MAX(0.1, MIN(0.95,$MK63)))</f>
        <v>0.95</v>
      </c>
      <c r="MN63" s="173">
        <f ca="1">(1-$MM63)*(Control!$C$128-Control!$C$127)+Control!$C$127</f>
        <v>0.16</v>
      </c>
      <c r="MO63" s="170" t="e">
        <f ca="1">MAX(0,MIN(1,($MS63-Control!$C$127)/($MN63-Control!$C$127)))</f>
        <v>#DIV/0!</v>
      </c>
      <c r="MP63" s="173" t="e">
        <f ca="1">1/(0.76+1.5*$MI63)-(5-Control!$C$110)*0.1</f>
        <v>#N/A</v>
      </c>
      <c r="MQ63" s="172" t="e">
        <f t="shared" ca="1" si="209"/>
        <v>#DIV/0!</v>
      </c>
      <c r="MR63" s="168" t="e">
        <f t="shared" ca="1" si="226"/>
        <v>#DIV/0!</v>
      </c>
      <c r="MS63" s="173" t="e">
        <f ca="1">MAX(Control!$C$127, MIN(Control!$C$135, $MR63/MAX(0.0001,$CY63)))</f>
        <v>#DIV/0!</v>
      </c>
      <c r="MT63" s="168" t="e">
        <f ca="1">(Control!$C$128-$MS63)*Control!$C$74</f>
        <v>#DIV/0!</v>
      </c>
      <c r="MU63" s="168" t="e">
        <f ca="1">(Control!$C$135-$MS63)*Control!$C$74</f>
        <v>#DIV/0!</v>
      </c>
      <c r="MV63" s="168" t="e">
        <f t="shared" ca="1" si="210"/>
        <v>#DIV/0!</v>
      </c>
      <c r="MW63" s="168" t="e">
        <f t="shared" ca="1" si="177"/>
        <v>#DIV/0!</v>
      </c>
      <c r="MX63" s="171" t="e">
        <f ca="1">MAX(Control!$C$127, MIN(Control!$C$135, $MW63/MAX(0.0001,Control!$C$119-$CY63)))</f>
        <v>#DIV/0!</v>
      </c>
      <c r="MY63" s="54" t="e">
        <f ca="1">IF(Control!$C$114=1, $CX63*$MX63, 0)</f>
        <v>#DIV/0!</v>
      </c>
      <c r="MZ63" s="54" t="e">
        <f t="shared" ca="1" si="178"/>
        <v>#N/A</v>
      </c>
      <c r="NA63" s="168" t="e">
        <f ca="1">(Control!$C$128-$MX63)*(Control!$C$119-Control!$C$74)</f>
        <v>#DIV/0!</v>
      </c>
      <c r="NB63" s="168" t="e">
        <f ca="1">(Control!$C$135-$MX63)*(Control!$C$119-Control!$C$74)</f>
        <v>#DIV/0!</v>
      </c>
      <c r="NC63" s="174" t="e">
        <f t="shared" ca="1" si="179"/>
        <v>#DIV/0!</v>
      </c>
      <c r="ND63" s="54">
        <f ca="1">IF(Control!$C$58=2, IF(OR(Control!$B$218=$AH63,Control!$B$219=$AH63, Control!$B$220=$AH63, Control!$B$221=$AH63, Control!$B$222=$AH63, Control!$B$223=$AH63, Control!$B$224=$AH63, Control!$B$225=$AH63, Control!$B$226=$AH63, Control!$B$227=$AH63, Control!$B$228=$AH63), 1, 0), 0)</f>
        <v>0</v>
      </c>
      <c r="NE63" s="54">
        <f ca="1">IF($ND63=0,0, VLOOKUP($AH63,Control!$B$218:$C$228,2))</f>
        <v>0</v>
      </c>
      <c r="NF63" s="168" t="e">
        <f ca="1">$CY63*(Control!$C$128-Control!$C$127)</f>
        <v>#N/A</v>
      </c>
      <c r="NG63" s="54" t="e">
        <f ca="1">IF(Control!$C$58=2, $NI62-$NJ62, 0)</f>
        <v>#DIV/0!</v>
      </c>
      <c r="NH63" s="54" t="e">
        <f ca="1">IF(AND(Control!$C$58=1, $MS62&lt;= ($MN62+0.02), $I62&lt;10), 0, IF(Control!$C$58=2, $NG62, 0))</f>
        <v>#DIV/0!</v>
      </c>
      <c r="NI63" s="54" t="e">
        <f ca="1">IF(Control!$C$58=2, $NE63+$NH63,0)</f>
        <v>#DIV/0!</v>
      </c>
      <c r="NJ63" s="54" t="e">
        <f ca="1">IF(AND(Control!$C$58=1, $MS63&lt;= ($MN63+0.02), $I63&lt;10), MAX(0, MIN(10, 0.7*($NF63-$MV63))), IF(Control!$C$58=2, MIN(10,$NI63),0))</f>
        <v>#DIV/0!</v>
      </c>
      <c r="NK63" s="54" t="e">
        <f t="shared" ca="1" si="96"/>
        <v>#DIV/0!</v>
      </c>
      <c r="NL63" s="173" t="e">
        <f ca="1">(1-Control!$C$73)*$I63+$NJ63</f>
        <v>#DIV/0!</v>
      </c>
      <c r="NM63" s="172" t="e">
        <f ca="1">IF($NL63&lt;0.5, $MB63* MAX(0, MIN(1, (SQRT($NC63)-SQRT($NC63-1))*Control!$C$71)),0)</f>
        <v>#DIV/0!</v>
      </c>
      <c r="NN63" s="170" t="e">
        <f ca="1">IF($NL63&gt;=5, $MB63, MAX(0,MIN($MB63, $NM63+$NL63,($MS63-Control!$C$129))))</f>
        <v>#DIV/0!</v>
      </c>
      <c r="NO63" s="54">
        <f>IF(Control!$C$133&lt;&gt;1, Control!$C$135-Control!$C$131, 0)</f>
        <v>0.38</v>
      </c>
      <c r="NP63" s="54" t="e">
        <f t="shared" ca="1" si="97"/>
        <v>#DIV/0!</v>
      </c>
      <c r="NQ63" s="173" t="e">
        <f ca="1">MAX(0,MIN(1,(Control!$C$135-$MS63)/(Control!$C$135-$NO63)))</f>
        <v>#DIV/0!</v>
      </c>
      <c r="NR63" s="170" t="e">
        <f ca="1">IF(Control!$C$133&lt;&gt;1, $NQ63+((1-$NP63/4)*(1-$NQ63)),1)</f>
        <v>#DIV/0!</v>
      </c>
      <c r="NS63" s="170" t="e">
        <f ca="1">IF(Control!$B$31=0,$MJ63,MAX(0,MIN($MV63,$MO63*$NR63*$MJ63)))</f>
        <v>#DIV/0!</v>
      </c>
      <c r="NT63" s="170" t="e">
        <f t="shared" ca="1" si="227"/>
        <v>#DIV/0!</v>
      </c>
      <c r="NU63" s="170" t="e">
        <f t="shared" ca="1" si="180"/>
        <v>#N/A</v>
      </c>
      <c r="NV63" s="170" t="e">
        <f t="shared" ca="1" si="98"/>
        <v>#N/A</v>
      </c>
      <c r="NW63" s="175" t="e">
        <f t="shared" ca="1" si="99"/>
        <v>#DIV/0!</v>
      </c>
      <c r="NX63" s="170" t="e">
        <f ca="1">MIN(Control!$C$72+$MU63, $NW63)</f>
        <v>#DIV/0!</v>
      </c>
      <c r="NY63" s="170" t="e">
        <f ca="1">IF($MT63&lt;=$NX63,MIN(Control!$C$72+$NB63,$NX63-$MT63),0)</f>
        <v>#DIV/0!</v>
      </c>
      <c r="NZ63" s="54" t="e">
        <f ca="1">IF(Control!$C$114=1,  $CX63*($MX63-Control!$C$127), 0)</f>
        <v>#DIV/0!</v>
      </c>
      <c r="OA63" s="170" t="e">
        <f t="shared" ca="1" si="181"/>
        <v>#DIV/0!</v>
      </c>
      <c r="OB63" s="170" t="e">
        <f ca="1">IF($NA63 &lt;=$NY63, MIN(Control!$C$72, $NY63-$NA63), 0)</f>
        <v>#DIV/0!</v>
      </c>
      <c r="OC63" s="168" t="e">
        <f t="shared" ca="1" si="100"/>
        <v>#DIV/0!</v>
      </c>
      <c r="OD63" s="168" t="e">
        <f t="shared" ca="1" si="182"/>
        <v>#DIV/0!</v>
      </c>
      <c r="OE63" s="170">
        <f ca="1">Control!$C$73*$I63</f>
        <v>0</v>
      </c>
      <c r="OF63" s="176" t="e">
        <f t="shared" ca="1" si="101"/>
        <v>#DIV/0!</v>
      </c>
      <c r="OG63" s="168" t="e">
        <f t="shared" ca="1" si="102"/>
        <v>#DIV/0!</v>
      </c>
      <c r="OH63" s="168" t="e">
        <f t="shared" ca="1" si="103"/>
        <v>#DIV/0!</v>
      </c>
      <c r="OI63" s="168" t="e">
        <f t="shared" ca="1" si="104"/>
        <v>#DIV/0!</v>
      </c>
      <c r="OJ63" s="168" t="e">
        <f t="shared" ca="1" si="105"/>
        <v>#DIV/0!</v>
      </c>
      <c r="OK63" s="204" t="e">
        <f t="shared" ca="1" si="183"/>
        <v>#DIV/0!</v>
      </c>
      <c r="OL63" s="177">
        <f>Control!$C$127</f>
        <v>0.15</v>
      </c>
      <c r="OM63" s="182" t="e">
        <f t="shared" ca="1" si="106"/>
        <v>#N/A</v>
      </c>
      <c r="ON63" s="177">
        <f>Control!$C$128</f>
        <v>0.35</v>
      </c>
      <c r="OO63" s="182" t="e">
        <f t="shared" ca="1" si="107"/>
        <v>#N/A</v>
      </c>
      <c r="OP63" s="138">
        <f t="shared" ca="1" si="184"/>
        <v>0</v>
      </c>
      <c r="OQ63" s="138" t="e">
        <f t="shared" ca="1" si="211"/>
        <v>#DIV/0!</v>
      </c>
      <c r="OR63" s="138" t="e">
        <f t="shared" ca="1" si="185"/>
        <v>#DIV/0!</v>
      </c>
      <c r="OS63" s="137" t="e">
        <f t="shared" ca="1" si="212"/>
        <v>#DIV/0!</v>
      </c>
      <c r="OT63" s="139" t="e">
        <f t="shared" ca="1" si="213"/>
        <v>#DIV/0!</v>
      </c>
      <c r="OU63" s="138" t="e">
        <f t="shared" ca="1" si="214"/>
        <v>#N/A</v>
      </c>
      <c r="OV63" s="138" t="e">
        <f t="shared" ca="1" si="215"/>
        <v>#DIV/0!</v>
      </c>
      <c r="OW63" s="138" t="e">
        <f t="shared" ca="1" si="186"/>
        <v>#DIV/0!</v>
      </c>
      <c r="OX63" s="138" t="e">
        <f t="shared" ca="1" si="187"/>
        <v>#DIV/0!</v>
      </c>
      <c r="OY63" s="138" t="e">
        <f t="shared" ca="1" si="188"/>
        <v>#DIV/0!</v>
      </c>
      <c r="OZ63" s="138" t="e">
        <f t="shared" ca="1" si="108"/>
        <v>#DIV/0!</v>
      </c>
      <c r="PA63" s="138" t="e">
        <f t="shared" ca="1" si="109"/>
        <v>#DIV/0!</v>
      </c>
      <c r="PB63" s="55">
        <f>IF(Control!$C$61="T", IF(Control!$C$65="F", IF($AH$6-Control!$C$60&lt;0,0,1), IF(365+$AH$6-Control!$C$60&lt;0,0,1)),0)</f>
        <v>0</v>
      </c>
      <c r="PC63" s="55">
        <f ca="1">IF(Control!$C$65="F", IF($AH$6-$HF63&lt;0,0,1), IF(365+$AH$6-$HF63&lt;0,0,1))</f>
        <v>1</v>
      </c>
      <c r="PD63" s="444">
        <f>Control!$C$118</f>
        <v>1500</v>
      </c>
      <c r="PE63" s="180" t="e">
        <f t="shared" ca="1" si="110"/>
        <v>#N/A</v>
      </c>
      <c r="PF63" s="445">
        <f t="shared" ca="1" si="189"/>
        <v>0.71612369323045078</v>
      </c>
      <c r="PT63" s="186"/>
      <c r="PU63" s="186"/>
      <c r="PV63" s="94"/>
      <c r="PW63" s="94"/>
      <c r="PX63" s="94"/>
      <c r="PY63" s="94"/>
      <c r="PZ63" s="94"/>
      <c r="QA63" s="94"/>
      <c r="QB63" s="94"/>
      <c r="QC63" s="94"/>
      <c r="QD63" s="94"/>
      <c r="QE63" s="94"/>
      <c r="QF63" s="94"/>
      <c r="QG63" s="94"/>
      <c r="QH63" s="94"/>
      <c r="QI63" s="94"/>
      <c r="QJ63" s="94"/>
      <c r="QK63" s="94"/>
      <c r="QL63" s="94"/>
      <c r="QM63" s="94"/>
      <c r="QN63" s="94"/>
      <c r="QO63" s="94"/>
      <c r="QP63" s="94"/>
    </row>
    <row r="64" spans="1:458" s="2" customFormat="1" x14ac:dyDescent="0.2">
      <c r="A64" s="395">
        <v>28</v>
      </c>
      <c r="B64" s="396">
        <v>2</v>
      </c>
      <c r="C64" s="387">
        <f ca="1">Weather_data!$B63</f>
        <v>0</v>
      </c>
      <c r="D64" s="388">
        <f ca="1">Weather_data!$F63</f>
        <v>0</v>
      </c>
      <c r="E64" s="388">
        <f ca="1">Weather_data!$E63</f>
        <v>0</v>
      </c>
      <c r="F64" s="388">
        <f t="shared" ca="1" si="111"/>
        <v>0</v>
      </c>
      <c r="G64" s="388">
        <f ca="1">AVERAGE($D64:$E64)+Control!$B$9</f>
        <v>0</v>
      </c>
      <c r="H64" s="388">
        <f ca="1">Weather_data!$G63</f>
        <v>0</v>
      </c>
      <c r="I64" s="388">
        <f ca="1">Weather_data!$I63</f>
        <v>0</v>
      </c>
      <c r="J64" s="388">
        <f ca="1">Weather_data!$H63</f>
        <v>0</v>
      </c>
      <c r="K64" s="389">
        <f ca="1">Weather_data!$D63</f>
        <v>0</v>
      </c>
      <c r="L64" s="388" t="e">
        <f t="shared" ca="1" si="112"/>
        <v>#N/A</v>
      </c>
      <c r="M64" s="388" t="e">
        <f t="shared" ca="1" si="0"/>
        <v>#N/A</v>
      </c>
      <c r="N64" s="388">
        <f t="shared" ca="1" si="1"/>
        <v>-1.1092656172311303E-3</v>
      </c>
      <c r="O64" s="388">
        <f t="shared" ca="1" si="113"/>
        <v>1.1092656172311303E-2</v>
      </c>
      <c r="P64" s="390">
        <v>3</v>
      </c>
      <c r="Q64" s="388">
        <f ca="1">MAX($G64-Control!$C$107,0)</f>
        <v>0</v>
      </c>
      <c r="R64" s="388">
        <f t="shared" ca="1" si="114"/>
        <v>0</v>
      </c>
      <c r="S64" s="388">
        <f t="shared" ca="1" si="2"/>
        <v>0</v>
      </c>
      <c r="T64" s="388">
        <f t="shared" ca="1" si="3"/>
        <v>0</v>
      </c>
      <c r="U64" s="59">
        <f t="shared" ca="1" si="4"/>
        <v>0</v>
      </c>
      <c r="V64" s="391">
        <f ca="1">MAX(0,MIN(Control!$C$100-Control!$C$99,$G64-Control!$C$99)*Control!$C$63)</f>
        <v>0</v>
      </c>
      <c r="W64" s="388">
        <f t="shared" ca="1" si="190"/>
        <v>0</v>
      </c>
      <c r="X64" s="388">
        <f t="shared" ca="1" si="115"/>
        <v>0.6110000000000001</v>
      </c>
      <c r="Y64" s="388">
        <f t="shared" ca="1" si="116"/>
        <v>0</v>
      </c>
      <c r="Z64" s="388">
        <f t="shared" ca="1" si="117"/>
        <v>0.61058800000000002</v>
      </c>
      <c r="AA64" s="388">
        <f t="shared" ca="1" si="5"/>
        <v>0.6018</v>
      </c>
      <c r="AB64" s="388">
        <f ca="1">101.3*EXP(-0.034*Control!$C$66/($G64+273))</f>
        <v>100.69623283836242</v>
      </c>
      <c r="AC64" s="392">
        <f t="shared" ca="1" si="6"/>
        <v>4.3460251046025113E-2</v>
      </c>
      <c r="AD64" s="392">
        <f t="shared" ca="1" si="7"/>
        <v>4.4450382862832649E-2</v>
      </c>
      <c r="AE64" s="388">
        <f t="shared" ca="1" si="8"/>
        <v>0</v>
      </c>
      <c r="AF64" s="388">
        <f ca="1">MAX(0,$G64-Control!$C$92)</f>
        <v>0</v>
      </c>
      <c r="AG64" s="393">
        <f t="shared" ca="1" si="118"/>
        <v>59</v>
      </c>
      <c r="AH64" s="389">
        <f t="shared" ca="1" si="9"/>
        <v>59</v>
      </c>
      <c r="AI64" s="388">
        <f t="shared" ca="1" si="119"/>
        <v>-0.14927430999124539</v>
      </c>
      <c r="AJ64" s="388">
        <f ca="1">IF(Control!$C$60&lt;=0,$HH64,$HI64)</f>
        <v>1</v>
      </c>
      <c r="AK64" s="388">
        <f t="shared" ca="1" si="10"/>
        <v>-0.36149833274183923</v>
      </c>
      <c r="AL64" s="388">
        <f t="shared" ca="1" si="11"/>
        <v>-1.803019539226014E-19</v>
      </c>
      <c r="AM64" s="388">
        <f t="shared" ca="1" si="12"/>
        <v>-0.36149833274183923</v>
      </c>
      <c r="AN64" s="388">
        <f t="shared" ca="1" si="13"/>
        <v>-0.14116069727967284</v>
      </c>
      <c r="AO64" s="388">
        <f ca="1">-0.10453/COS(Control!$B$8*PI()/180)*COS(AN64)</f>
        <v>-0.16809607563384465</v>
      </c>
      <c r="AP64" s="388">
        <f ca="1">ACOS(AO64-TAN(Control!$B$8*PI()/180)*TAN(AN64))</f>
        <v>1.5570047886188243</v>
      </c>
      <c r="AQ64" s="388">
        <f t="shared" ca="1" si="120"/>
        <v>0</v>
      </c>
      <c r="AR64" s="394">
        <f t="shared" ca="1" si="14"/>
        <v>0</v>
      </c>
      <c r="AS64" s="436">
        <f ca="1">IF(Control!$B$18=2,(IF(OR($AH64=Control!$B$175,$AH64=Control!$B$176,$AH64=Control!$B$177,$AH64=Control!$B$178,$AH64=Control!$B$179,$AH64=Control!$B$180,$AH64=Control!$B$181,$AH64=Control!$B$182,$AH64=Control!$B$183,$AH64=Control!$B$184,$AH64=Control!$B$185),1,0)),0)</f>
        <v>0</v>
      </c>
      <c r="AT64" s="436">
        <f>IF(Control!$B$20=8,IF(AND($AH64&gt;=Control!$B$172,$AH64&lt;=Control!$B$173),1,0),0)</f>
        <v>0</v>
      </c>
      <c r="AU64" s="436">
        <f>IF(Control!$B$20=8,IF($AV63=1,1*$AT64,IF($AT64=1,$AU63+1,$AU63)),0)</f>
        <v>0</v>
      </c>
      <c r="AV64" s="436">
        <f>IF(Control!$B$20=8,IF($AU64&gt;=Control!$B$174,1,0),0)</f>
        <v>0</v>
      </c>
      <c r="AW64" s="436">
        <f ca="1">IF(AND(Control!$B$18=2,Control!$B$171=1), $AV64, $AS64)</f>
        <v>0</v>
      </c>
      <c r="AX64" s="436" t="e">
        <f ca="1">IF(AND(Control!$B$18=1,$EU64&gt;=Control!$B$19),-$AY64,IF(AND(Control!$B$18=2,$AW64=1,$EU64&gt;$DS64),-$AY64, IF(Control!$C$108=0,0, IF(Control!$C$108&lt;&gt;0,1))))</f>
        <v>#N/A</v>
      </c>
      <c r="AY64" s="436" t="e">
        <f t="shared" ca="1" si="121"/>
        <v>#N/A</v>
      </c>
      <c r="AZ64" s="436" t="e">
        <f ca="1">IF(AND(Control!$B$18=1,$EB64&gt;Control!$B$19),$AZ63+1, IF(AND(Control!$B$18=2, $AW64=1, $EB64&gt;$DS64), $AZ63+1,$AZ63))</f>
        <v>#N/A</v>
      </c>
      <c r="BA64" s="587">
        <f>IF(Control!$C$81=0,1,IF($AH64&gt;=Control!$C$82,1,0))</f>
        <v>1</v>
      </c>
      <c r="BB64" s="140" t="e">
        <f ca="1">IF($BA64&gt;$BA63,Control!$C$83,IF($AW64&gt;0,$AW64*Control!$C$84,IF(AND(Control!$B$18=1,EN63&lt;&gt;0),Control!$C$84,0)))</f>
        <v>#N/A</v>
      </c>
      <c r="BC64" s="140" t="e">
        <f t="shared" ca="1" si="122"/>
        <v>#N/A</v>
      </c>
      <c r="BD64" s="140" t="e">
        <f ca="1">BC64*IF(OR($G64&lt;Control!$C$92,$G64&gt;Control!$C$95),0,IF(AND($G64&gt;=Control!$C$92,$G64&lt;=Control!$C$93),$G64-Control!$C$92,IF(AND($G64&gt;Control!$C$93,$G64&lt;=Control!$C$94),Control!$C$93-Control!$C$92,IF(AND($G64&gt;Control!$C$94,$G64&lt;=Control!$C$95),(Control!$C$93-Control!$C$92)*(Control!$C$94-$G64)/(Control!$C$95-Control!$C$94)))))</f>
        <v>#N/A</v>
      </c>
      <c r="BE64" s="140" t="e">
        <f t="shared" ca="1" si="123"/>
        <v>#N/A</v>
      </c>
      <c r="BF64" s="140" t="e">
        <f ca="1">IF($BE64&lt;=Control!$C$86,$BE64,Control!$C$86-$BE64)</f>
        <v>#N/A</v>
      </c>
      <c r="BG64" s="140" t="e">
        <f ca="1">IF(AND($AW64=1,Control!$C$84&lt;9),1,IF($BE64&gt;=Control!$C$86,0,$BC64))</f>
        <v>#N/A</v>
      </c>
      <c r="BH64" s="404" t="e">
        <f ca="1">IF($BG64=0,0,IF($BE64&lt;=Control!$C$86,$BC64*9*($BF64/Control!$C$86),0))</f>
        <v>#N/A</v>
      </c>
      <c r="BI64" s="140" t="e">
        <f ca="1">IF($BG64=1,0,IF($BE64&gt;=Control!$C$86,1,IF(AND($BB64&lt;21,$BB64&gt;=9),1,$BM63)))</f>
        <v>#N/A</v>
      </c>
      <c r="BJ64" s="140" t="e">
        <f ca="1">IF($BF64&lt;0,-$BF64,$BI64*IF(OR($G64&lt;Control!$C$92,$G64&gt;Control!$C$95),0,IF(AND($G64&gt;=Control!$C$92,$G64&lt;=Control!$C$93),$G64-Control!$C$92,IF(AND($G64&gt;Control!$C$93,$G64&lt;=Control!$C$94),Control!$C$93-Control!$C$92,IF(AND($G64&gt;Control!$C$94,$G64&lt;=Control!$C$95),(Control!$C$93-Control!$C$92)*(Control!$C$94-$G64)/(Control!$C$95-Control!$C$94))))))</f>
        <v>#N/A</v>
      </c>
      <c r="BK64" s="140" t="e">
        <f t="shared" ca="1" si="124"/>
        <v>#N/A</v>
      </c>
      <c r="BL64" s="140" t="e">
        <f ca="1">IF($BK64&lt;=Control!$C$87,$BK64,Control!$C$87-$BK64)</f>
        <v>#N/A</v>
      </c>
      <c r="BM64" s="140" t="e">
        <f ca="1">IF(AND($BB64&gt;=9,$BB64&lt;21),1,IF($BK64&gt;=Control!$C$87,0,$BI64))</f>
        <v>#N/A</v>
      </c>
      <c r="BN64" s="404" t="e">
        <f ca="1">IF($BM64=0,0,IF($BK64&lt;=Control!$C$87,$BI64*(9+(21-9)*($BL64/Control!$C$87)),0))</f>
        <v>#N/A</v>
      </c>
      <c r="BO64" s="140" t="e">
        <f ca="1">IF($BM64=1,0,IF($BK64&gt;=Control!$C$87,1,IF(AND($BB64&lt;30,$BB64&gt;=21),1,$BS63)))</f>
        <v>#N/A</v>
      </c>
      <c r="BP64" s="140" t="e">
        <f ca="1">IF($BL64&lt;0,-$BL64,$BO64*IF(OR($G64&lt;Control!$C$92,$G64&gt;Control!$C$95),0,IF(AND($G64&gt;=Control!$C$92,$G64&lt;=Control!$C$93),$G64-Control!$C$92,IF(AND($G64&gt;Control!$C$93,$G64&lt;=Control!$C$94),Control!$C$93-Control!$C$92,IF(AND($G64&gt;Control!$C$94,$G64&lt;=Control!$C$95),(Control!$C$93-Control!$C$92)*(Control!$C$94-$G64)/(Control!$C$95-Control!$C$94))))))</f>
        <v>#N/A</v>
      </c>
      <c r="BQ64" s="140" t="e">
        <f t="shared" ca="1" si="15"/>
        <v>#N/A</v>
      </c>
      <c r="BR64" s="140" t="e">
        <f ca="1">IF($BQ64&lt;=Control!$C$88,$BQ64,Control!$C$88-$BQ64)</f>
        <v>#N/A</v>
      </c>
      <c r="BS64" s="140" t="e">
        <f ca="1">IF(AND($BB64&gt;=21,$BB64&lt;30),1,IF($BQ64&gt;=Control!$C$88,0,$BO64))</f>
        <v>#N/A</v>
      </c>
      <c r="BT64" s="404" t="e">
        <f ca="1">IF($BS64=0,0,IF($BQ64&lt;=Control!$C$88,$BO64*(21+(30-21)*(BR64/Control!$C$88)),0))</f>
        <v>#N/A</v>
      </c>
      <c r="BU64" s="140" t="e">
        <f ca="1">IF(BG64+BM64+BS64=1,0,IF(OR(AND($BB64&lt;60,$BB64&gt;=30),$BQ64&gt;=Control!$C$88),1*$BA64,$BY63))</f>
        <v>#N/A</v>
      </c>
      <c r="BV64" s="140" t="e">
        <f ca="1">IF($BR64&lt;0,-$BR64,$BU64*IF(OR($G64&lt;Control!$C$92,$G64&gt;Control!$C$95),0,IF(AND($G64&gt;=Control!$C$92,$G64&lt;=Control!$C$93),$G64-Control!$C$92,IF(AND($G64&gt;Control!$C$93,$G64&lt;=Control!$C$94),Control!$C$93-Control!$C$92,IF(AND($G64&gt;Control!$C$94,$G64&lt;=Control!$C$95),(Control!$C$93-Control!$C$92)*(Control!$C$94-$G64)/(Control!$C$95-Control!$C$94))))))</f>
        <v>#N/A</v>
      </c>
      <c r="BW64" s="140" t="e">
        <f t="shared" ca="1" si="16"/>
        <v>#N/A</v>
      </c>
      <c r="BX64" s="140" t="e">
        <f ca="1">IF($BW64&lt;=Control!$C$89,$BW64,Control!$C$89-$BW64)</f>
        <v>#N/A</v>
      </c>
      <c r="BY64" s="140" t="e">
        <f ca="1">IF(AND($AJ64&gt;=30,$AJ64&lt;60),1,IF($BW64&gt;=Control!$C$89,0,$BU64))</f>
        <v>#N/A</v>
      </c>
      <c r="BZ64" s="404" t="e">
        <f ca="1">IF($BY64=0,0,IF($BW64&lt;=Control!$C$89,$BU64*(30+(60-30)*(BX64/Control!$C$89)),0))</f>
        <v>#N/A</v>
      </c>
      <c r="CA64" s="140" t="e">
        <f ca="1">IF($BG64+$BM64+$BS64+$BY64=1,0,IF(OR(AND($BB64&lt;65,$BB64&gt;=60),$BW64&gt;=Control!$C$89),1*$BA64,$CE63))</f>
        <v>#N/A</v>
      </c>
      <c r="CB64" s="140" t="e">
        <f ca="1">IF($BX64&lt;0,-$BX64,$CA64*IF(OR($G64&lt;Control!$C$92,$G64&gt;Control!$C$95),0,IF(AND($G64&gt;=Control!$C$92,$G64&lt;=Control!$C$93),$G64-Control!$C$92,IF(AND($G64&gt;Control!$C$93,$G64&lt;=Control!$C$94),Control!$C$93-Control!$C$92,IF(AND($G64&gt;Control!$C$94,$G64&lt;=Control!$C$95),(Control!$C$93-Control!$C$92)*(Control!$C$94-$G64)/(Control!$C$95-Control!$C$94))))))</f>
        <v>#N/A</v>
      </c>
      <c r="CC64" s="140" t="e">
        <f t="shared" ca="1" si="125"/>
        <v>#N/A</v>
      </c>
      <c r="CD64" s="140" t="e">
        <f ca="1">IF($CC64&lt;=Control!$C$90,$CC64,Control!$C$90-$CC64)</f>
        <v>#N/A</v>
      </c>
      <c r="CE64" s="140" t="e">
        <f ca="1">IF(AND($BB64&gt;=60,$BB64&lt;65),1,IF($CC64&gt;=Control!$C$90,0,$CA64))</f>
        <v>#N/A</v>
      </c>
      <c r="CF64" s="404" t="e">
        <f ca="1">IF($CE64=0,0,IF($CC64&lt;=Control!$C$90,$CA64*(60+(65-60)*(CD64/Control!$C$90)),0))</f>
        <v>#N/A</v>
      </c>
      <c r="CG64" s="140" t="e">
        <f ca="1">IF($BG64+$BM64+$BS64+$BY64+$CE64=1,0,IF(OR(AND($BB64&lt;90,$BB64&gt;=65),$CC64&gt;=Control!$C$90),$BA64,$CK63))</f>
        <v>#N/A</v>
      </c>
      <c r="CH64" s="140" t="e">
        <f ca="1">IF($CD64&lt;0,-$CD64,$CG64*IF(OR($G64&lt;Control!$C$92,$G64&gt;Control!$C$95),0,IF(AND($G64&gt;=Control!$C$92,$G64&lt;=Control!$C$93),$G64-Control!$C$92,IF(AND($G64&gt;Control!$C$93,$G64&lt;=Control!$C$94),Control!$C$93-Control!$C$92,IF(AND($G64&gt;Control!$C$94,$G64&lt;=Control!$C$95),(Control!$C$93-Control!$C$92)*(Control!$C$94-$G64)/(Control!$C$95-Control!$C$94))))))</f>
        <v>#N/A</v>
      </c>
      <c r="CI64" s="140" t="e">
        <f t="shared" ca="1" si="126"/>
        <v>#N/A</v>
      </c>
      <c r="CJ64" s="140" t="e">
        <f ca="1">IF($CI64&lt;=Control!$C$91,$CI64,Control!$C$91-$CI64)</f>
        <v>#N/A</v>
      </c>
      <c r="CK64" s="140" t="e">
        <f ca="1">IF(AND($BB64&gt;=65,$BB64&lt;90),1,IF($CI64&gt;=Control!$C$91,0,$CG64))</f>
        <v>#N/A</v>
      </c>
      <c r="CL64" s="404" t="e">
        <f ca="1">IF($CK64=0,0,IF($CI64&lt;=Control!$C$91,$CG64*(65+(90-65)*($CJ64/Control!$C$91)),0))</f>
        <v>#N/A</v>
      </c>
      <c r="CM64" s="140" t="e">
        <f ca="1">IF($BG64+$BM64+$BS64+$BY64+$CE64+$CK64=1,0,IF(OR($BB64&gt;=90,$CI64&gt;=Control!$C$91),$BA64,$CM63))</f>
        <v>#N/A</v>
      </c>
      <c r="CN64" s="140" t="e">
        <f t="shared" ca="1" si="127"/>
        <v>#N/A</v>
      </c>
      <c r="CO64" s="140" t="e">
        <f t="shared" ca="1" si="128"/>
        <v>#N/A</v>
      </c>
      <c r="CP64" s="140" t="e">
        <f t="shared" ca="1" si="129"/>
        <v>#N/A</v>
      </c>
      <c r="CQ64" s="141" t="e">
        <f ca="1">VLOOKUP($CP64,Control!$B$86:$G$91,6)</f>
        <v>#N/A</v>
      </c>
      <c r="CR64" s="141" t="e">
        <f ca="1">(1-$CQ64)*VLOOKUP($CP64,Control!$B$86:$D$91,3)</f>
        <v>#N/A</v>
      </c>
      <c r="CS64" s="141" t="e">
        <f ca="1">(1-$CQ64)*VLOOKUP($CP64,Control!$B$86:$E$91,4)</f>
        <v>#N/A</v>
      </c>
      <c r="CT64" s="141" t="e">
        <f ca="1">(1-$CQ64)*VLOOKUP($CP64,Control!$B$86:$F$91,5)</f>
        <v>#N/A</v>
      </c>
      <c r="CU64" s="141">
        <f t="shared" ca="1" si="130"/>
        <v>0</v>
      </c>
      <c r="CV64" s="583">
        <f t="shared" ca="1" si="131"/>
        <v>0</v>
      </c>
      <c r="CW64" s="142">
        <f t="shared" ca="1" si="132"/>
        <v>59</v>
      </c>
      <c r="CX64" s="612" t="e">
        <f ca="1">IF(Control!$C$114=1,(MIN(Control!$C$120*(IF($NT64-0.01&lt;0,0,1)),Control!$C$119-$CY64)))</f>
        <v>#DIV/0!</v>
      </c>
      <c r="CY64" s="143" t="e">
        <f t="shared" ca="1" si="133"/>
        <v>#N/A</v>
      </c>
      <c r="CZ64" s="144">
        <f t="shared" ca="1" si="17"/>
        <v>0</v>
      </c>
      <c r="DA64" s="144">
        <f t="shared" ca="1" si="18"/>
        <v>0</v>
      </c>
      <c r="DB64" s="144" t="e">
        <f t="shared" ca="1" si="19"/>
        <v>#N/A</v>
      </c>
      <c r="DC64" s="144" t="e">
        <f t="shared" ca="1" si="20"/>
        <v>#N/A</v>
      </c>
      <c r="DD64" s="144" t="e">
        <f t="shared" ca="1" si="216"/>
        <v>#N/A</v>
      </c>
      <c r="DE64" s="143" t="e">
        <f t="shared" ca="1" si="135"/>
        <v>#N/A</v>
      </c>
      <c r="DF64" s="145" t="e">
        <f ca="1">$DR64*EXP(-Control!$C$158*(1-$KH64))</f>
        <v>#N/A</v>
      </c>
      <c r="DG64" s="146" t="e">
        <f ca="1">IF(Control!$C$114=1, $DF64*$EY64, 0)</f>
        <v>#N/A</v>
      </c>
      <c r="DH64" s="147" t="e">
        <f t="shared" ca="1" si="136"/>
        <v>#N/A</v>
      </c>
      <c r="DI64" s="144" t="e">
        <f t="shared" ca="1" si="191"/>
        <v>#N/A</v>
      </c>
      <c r="DJ64" s="147" t="e">
        <f ca="1">$EF64*Control!$C$109</f>
        <v>#N/A</v>
      </c>
      <c r="DK64" s="144" t="e">
        <f t="shared" ca="1" si="137"/>
        <v>#N/A</v>
      </c>
      <c r="DL64" s="144" t="e">
        <f t="shared" ca="1" si="21"/>
        <v>#N/A</v>
      </c>
      <c r="DM64" s="144" t="e">
        <f ca="1">IF(Control!$C$114=1, (1-EXP(-Control!$C$96*$DK64))*$AR64, 0)</f>
        <v>#N/A</v>
      </c>
      <c r="DN64" s="144">
        <f t="shared" ca="1" si="138"/>
        <v>0</v>
      </c>
      <c r="DO64" s="148">
        <f>Control!$C$97</f>
        <v>4</v>
      </c>
      <c r="DP64" s="145" t="e">
        <f t="shared" ca="1" si="139"/>
        <v>#N/A</v>
      </c>
      <c r="DQ64" s="145" t="e">
        <f ca="1">IF(AND($CP64&gt;=0,$CP64&lt;=90),Control!$C$111,Control!$C$111)</f>
        <v>#N/A</v>
      </c>
      <c r="DR64" s="145" t="e">
        <f t="shared" ca="1" si="22"/>
        <v>#N/A</v>
      </c>
      <c r="DS64" s="143" t="e">
        <f ca="1">Control!$B$22/$DR64</f>
        <v>#N/A</v>
      </c>
      <c r="DT64" s="149" t="e">
        <f ca="1">IF(AND(Control!$C$114=1,$KH64&lt;1),$IM64*$DF64, 0)</f>
        <v>#N/A</v>
      </c>
      <c r="DU64" s="144" t="e">
        <f t="shared" ca="1" si="192"/>
        <v>#N/A</v>
      </c>
      <c r="DV64" s="144">
        <f ca="1">IF($G64-Control!$C$107&lt;=0, 0, 0.83*LN(MAX($G64, 3))-0.8924)</f>
        <v>0</v>
      </c>
      <c r="DW64" s="144" t="e">
        <f t="shared" ca="1" si="23"/>
        <v>#N/A</v>
      </c>
      <c r="DX64" s="150" t="e">
        <f ca="1">MAX(0.01*(1+$CU64/Control!$C$102),0.05*($DK64-Control!$C$97)/Control!$C$97)</f>
        <v>#N/A</v>
      </c>
      <c r="DY64" s="151" t="e">
        <f ca="1">IF(Control!$C$114=1, $DI64*$FS64, 0)</f>
        <v>#N/A</v>
      </c>
      <c r="DZ64" s="196" t="e">
        <f t="shared" ca="1" si="140"/>
        <v>#N/A</v>
      </c>
      <c r="EA64" s="152">
        <f t="shared" ca="1" si="141"/>
        <v>59</v>
      </c>
      <c r="EB64" s="153" t="e">
        <f t="shared" ca="1" si="217"/>
        <v>#N/A</v>
      </c>
      <c r="EC64" s="153" t="e">
        <f t="shared" ca="1" si="142"/>
        <v>#N/A</v>
      </c>
      <c r="ED64" s="154" t="e">
        <f ca="1">IF(Control!$C$114=1, $HM64*$FY64-$FD64, 0)</f>
        <v>#DIV/0!</v>
      </c>
      <c r="EE64" s="155" t="e">
        <f ca="1">IF(Control!$C$114=1, $HM64*$FZ64-$FF64, 0)</f>
        <v>#DIV/0!</v>
      </c>
      <c r="EF64" s="153" t="e">
        <f t="shared" ca="1" si="193"/>
        <v>#N/A</v>
      </c>
      <c r="EG64" s="155" t="e">
        <f ca="1">IF(Control!$C$114=1, $GX64*$FW64-$FI64, 0)</f>
        <v>#DIV/0!</v>
      </c>
      <c r="EH64" s="153" t="e">
        <f t="shared" ca="1" si="143"/>
        <v>#N/A</v>
      </c>
      <c r="EI64" s="156" t="e">
        <f t="shared" ca="1" si="144"/>
        <v>#N/A</v>
      </c>
      <c r="EJ64" s="155" t="e">
        <f ca="1">IF(Control!$C$114=1, $HM64*$GB64, 0)</f>
        <v>#DIV/0!</v>
      </c>
      <c r="EK64" s="153" t="e">
        <f t="shared" ca="1" si="194"/>
        <v>#N/A</v>
      </c>
      <c r="EL64" s="153" t="e">
        <f t="shared" ca="1" si="24"/>
        <v>#N/A</v>
      </c>
      <c r="EM64" s="153" t="e">
        <f t="shared" ca="1" si="25"/>
        <v>#N/A</v>
      </c>
      <c r="EN64" s="153" t="e">
        <f ca="1">IF(Control!$C$108=1,IF(AND(Control!$B$18=1,$EB64&gt;=Control!$B$19),$EB64-$DS64,IF(AND(Control!$B$18=2,$AW64=1,$EB64&gt;$DS64),$EB64-$DS64,0)))</f>
        <v>#N/A</v>
      </c>
      <c r="EO64" s="153" t="e">
        <f ca="1">IF(Control!$C$108=1,IF(AND(Control!$B$18=1,$EB64&gt;=Control!$B$19),$EF64,IF(AND(Control!$B$18=2,$AW64=1),$EF64,0)))</f>
        <v>#N/A</v>
      </c>
      <c r="EP64" s="153" t="e">
        <f ca="1">IF(Control!$C$108=1,IF(AND(Control!$B$18=1,$EB64&gt;=Control!$B$19),$EK64,IF(AND(Control!$B$18=2,$AW64=1),$EK64,0)))</f>
        <v>#N/A</v>
      </c>
      <c r="EQ64" s="153" t="e">
        <f t="shared" ca="1" si="145"/>
        <v>#N/A</v>
      </c>
      <c r="ER64" s="153" t="e">
        <f t="shared" ca="1" si="231"/>
        <v>#N/A</v>
      </c>
      <c r="ES64" s="153" t="e">
        <f t="shared" ca="1" si="196"/>
        <v>#N/A</v>
      </c>
      <c r="ET64" s="153" t="e">
        <f t="shared" ca="1" si="197"/>
        <v>#N/A</v>
      </c>
      <c r="EU64" s="153" t="e">
        <f t="shared" ca="1" si="198"/>
        <v>#N/A</v>
      </c>
      <c r="EV64" s="153" t="e">
        <f t="shared" ca="1" si="146"/>
        <v>#N/A</v>
      </c>
      <c r="EW64" s="153" t="e">
        <f t="shared" ca="1" si="218"/>
        <v>#N/A</v>
      </c>
      <c r="EX64" s="153" t="e">
        <f t="shared" ca="1" si="26"/>
        <v>#N/A</v>
      </c>
      <c r="EY64" s="157" t="e">
        <f t="shared" ca="1" si="147"/>
        <v>#DIV/0!</v>
      </c>
      <c r="EZ64" s="154" t="e">
        <f t="shared" ca="1" si="27"/>
        <v>#DIV/0!</v>
      </c>
      <c r="FA64" s="153" t="e">
        <f t="shared" ca="1" si="199"/>
        <v>#N/A</v>
      </c>
      <c r="FB64" s="153" t="e">
        <f t="shared" ca="1" si="28"/>
        <v>#N/A</v>
      </c>
      <c r="FC64" s="193" t="e">
        <f t="shared" ca="1" si="29"/>
        <v>#N/A</v>
      </c>
      <c r="FD64" s="158" t="e">
        <f t="shared" ca="1" si="200"/>
        <v>#N/A</v>
      </c>
      <c r="FE64" s="158" t="e">
        <f t="shared" ca="1" si="148"/>
        <v>#N/A</v>
      </c>
      <c r="FF64" s="159" t="e">
        <f t="shared" ca="1" si="30"/>
        <v>#N/A</v>
      </c>
      <c r="FG64" s="160" t="e">
        <f t="shared" ca="1" si="149"/>
        <v>#N/A</v>
      </c>
      <c r="FH64" s="158" t="e">
        <f t="shared" ca="1" si="150"/>
        <v>#N/A</v>
      </c>
      <c r="FI64" s="159" t="e">
        <f t="shared" ca="1" si="31"/>
        <v>#N/A</v>
      </c>
      <c r="FJ64" s="160" t="e">
        <f t="shared" ca="1" si="151"/>
        <v>#N/A</v>
      </c>
      <c r="FK64" s="160" t="e">
        <f t="shared" ca="1" si="32"/>
        <v>#N/A</v>
      </c>
      <c r="FL64" s="160" t="e">
        <f t="shared" ca="1" si="229"/>
        <v>#N/A</v>
      </c>
      <c r="FM64" s="160" t="e">
        <f t="shared" ca="1" si="33"/>
        <v>#N/A</v>
      </c>
      <c r="FN64" s="158">
        <f t="shared" ca="1" si="219"/>
        <v>0.01</v>
      </c>
      <c r="FO64" s="160">
        <f>Control!$C$101</f>
        <v>50</v>
      </c>
      <c r="FP64" s="150" t="e">
        <f t="shared" ca="1" si="34"/>
        <v>#N/A</v>
      </c>
      <c r="FQ64" s="150" t="e">
        <f ca="1">MAX(0,(Control!$C$112*(($DK64-Control!$C$97)/Control!$C$97)))</f>
        <v>#N/A</v>
      </c>
      <c r="FR64" s="150" t="e">
        <f ca="1">(1-$NT64)*Control!$C$113</f>
        <v>#DIV/0!</v>
      </c>
      <c r="FS64" s="198" t="e">
        <f t="shared" ca="1" si="35"/>
        <v>#N/A</v>
      </c>
      <c r="FT64" s="161">
        <f t="shared" ca="1" si="152"/>
        <v>59</v>
      </c>
      <c r="FU64" s="162" t="e">
        <f ca="1">IF(Control!$B$34=1,VLOOKUP($CP64,Control!$B$86:$G$91,6),Control!$B$35)</f>
        <v>#N/A</v>
      </c>
      <c r="FV64" s="162" t="e">
        <f t="shared" ca="1" si="36"/>
        <v>#DIV/0!</v>
      </c>
      <c r="FW64" s="162" t="e">
        <f ca="1">IF(Control!$B$31=1,$FU64*$FV64,  $FU64)</f>
        <v>#N/A</v>
      </c>
      <c r="FX64" s="162" t="e">
        <f ca="1">IF(Control!$B$34=1,VLOOKUP($CP64,Control!$B$86:$G$91,3),Control!$B$36)</f>
        <v>#N/A</v>
      </c>
      <c r="FY64" s="162" t="e">
        <f t="shared" ca="1" si="37"/>
        <v>#N/A</v>
      </c>
      <c r="FZ64" s="162" t="e">
        <f ca="1">IF(Control!$B$34=1,VLOOKUP($CP64,Control!$B$86:$G$91,4),Control!$B$37)</f>
        <v>#N/A</v>
      </c>
      <c r="GA64" s="162" t="e">
        <f t="shared" ca="1" si="38"/>
        <v>#N/A</v>
      </c>
      <c r="GB64" s="162" t="e">
        <f ca="1">IF(Control!$B$34=1,VLOOKUP($CP64,Control!$B$86:$G$91,5),Control!$B$38)</f>
        <v>#N/A</v>
      </c>
      <c r="GC64" s="162" t="e">
        <f t="shared" ca="1" si="153"/>
        <v>#N/A</v>
      </c>
      <c r="GD64" s="162">
        <f t="shared" ca="1" si="39"/>
        <v>1</v>
      </c>
      <c r="GE64" s="162">
        <f t="shared" ca="1" si="40"/>
        <v>1</v>
      </c>
      <c r="GF64" s="162">
        <f ca="1">IF(AND(Control!$C$104=1, Control!$C$62="F"),$GE64,1)</f>
        <v>1</v>
      </c>
      <c r="GG64" s="162" t="e">
        <f ca="1">IF(Control!$B$16=40,0,IF(AND(Control!$B$16&gt;40,Control!$B$16&lt;=360),(Control!$B$16-40)*((1-0)/(360-40)),IF(AND(Control!$B$16&gt;360,Control!$B$16&lt;=720),(1+(Control!$B$16-360)*((1.25-1)/(720-360))),IF(AND(Control!$B$16&gt;720,Control!$B$16&lt;=1000),(1.25+(Control!$B$16-720)*((1.35-1.25)/(1000-720))),IF(AND(Control!$B$16&gt;1000,Control!$B$16&lt;=2000),(1.35+(Control!$B$16-1000)*0))))))</f>
        <v>#N/A</v>
      </c>
      <c r="GH64" s="162" t="e">
        <f t="shared" ca="1" si="41"/>
        <v>#N/A</v>
      </c>
      <c r="GI64" s="162">
        <f t="shared" ca="1" si="201"/>
        <v>0</v>
      </c>
      <c r="GJ64" s="162">
        <f t="shared" ca="1" si="42"/>
        <v>0</v>
      </c>
      <c r="GK64" s="162">
        <f t="shared" ca="1" si="220"/>
        <v>1</v>
      </c>
      <c r="GL64" s="162">
        <f t="shared" ca="1" si="43"/>
        <v>1</v>
      </c>
      <c r="GM64" s="162" t="e">
        <f ca="1">MAX(0,MIN(1,1-Control!$C$156*(1.0001-$KH64)^2))</f>
        <v>#N/A</v>
      </c>
      <c r="GN64" s="162" t="e">
        <f ca="1">IF(Control!$B$26=1,$KU64,$KX64)</f>
        <v>#N/A</v>
      </c>
      <c r="GO64" s="162" t="e">
        <f ca="1">IF($CP64&lt;=60,Control!$C$105,IF($CP64&gt;=90,Control!$C$106,Control!$C$105+($CP64-60)*((Control!$C$106-Control!$C$105)/(90-60))))</f>
        <v>#N/A</v>
      </c>
      <c r="GP64" s="162" t="e">
        <f t="shared" ca="1" si="154"/>
        <v>#N/A</v>
      </c>
      <c r="GQ64" s="162" t="e">
        <f t="shared" ca="1" si="155"/>
        <v>#N/A</v>
      </c>
      <c r="GR64" s="163" t="e">
        <f t="shared" ca="1" si="44"/>
        <v>#DIV/0!</v>
      </c>
      <c r="GS64" s="162" t="e">
        <f t="shared" ca="1" si="45"/>
        <v>#DIV/0!</v>
      </c>
      <c r="GT64" s="164" t="e">
        <f t="shared" ca="1" si="156"/>
        <v>#N/A</v>
      </c>
      <c r="GU64" s="162" t="e">
        <f t="shared" ca="1" si="157"/>
        <v>#N/A</v>
      </c>
      <c r="GV64" s="162" t="e">
        <f t="shared" ca="1" si="46"/>
        <v>#N/A</v>
      </c>
      <c r="GW64" s="162" t="e">
        <f t="shared" ca="1" si="221"/>
        <v>#DIV/0!</v>
      </c>
      <c r="GX64" s="162" t="e">
        <f t="shared" ca="1" si="228"/>
        <v>#DIV/0!</v>
      </c>
      <c r="GY64" s="162" t="e">
        <f t="shared" ca="1" si="158"/>
        <v>#DIV/0!</v>
      </c>
      <c r="GZ64" s="165" t="e">
        <f t="shared" ca="1" si="159"/>
        <v>#N/A</v>
      </c>
      <c r="HA64" s="162" t="e">
        <f ca="1">IF(Control!$C$114=1, $DI64*$FS64, 0)</f>
        <v>#N/A</v>
      </c>
      <c r="HB64" s="162" t="e">
        <f ca="1">$FA64/Control!$C$64</f>
        <v>#N/A</v>
      </c>
      <c r="HC64" s="162" t="e">
        <f t="shared" ca="1" si="222"/>
        <v>#DIV/0!</v>
      </c>
      <c r="HD64" s="162">
        <f ca="1">-ASIN(SIN(23.45*Control!$C$139)*COS(2*Control!$C$138*($AH64+10)/365))</f>
        <v>-0.14927430999124539</v>
      </c>
      <c r="HE64" s="165">
        <f t="shared" ca="1" si="160"/>
        <v>0</v>
      </c>
      <c r="HF64" s="166">
        <f ca="1">IF(AND(Control!$C$61="T",$HE64&gt;=Control!$C$103,Control!$C$114=0),$AH64,Control!$C$59)</f>
        <v>1</v>
      </c>
      <c r="HG64" s="166">
        <f ca="1">IF(AND(Control!$C$61="T",$HE64&gt;=Control!$C$103,Control!$C$114=0),$HF64,Control!$C$59)</f>
        <v>1</v>
      </c>
      <c r="HH64" s="165">
        <f ca="1">IF(AND(OR(Control!$C$60&lt;=0, $AH64= Control!$C$59, Control!$C$60 &gt;0, $AH64 = Control!$C$60)), Control!$C$59, IF(Control!$C$60&gt;0, 0))</f>
        <v>1</v>
      </c>
      <c r="HI64" s="165">
        <f ca="1">IF(AND(OR(Control!$C$60&lt;=0, $AH64= Control!$C$59, Control!$C$60 &gt;0, $AH64 = Control!$C$60)), Control!$C$60, IF(Control!$C$60&lt;=0, 0))</f>
        <v>0</v>
      </c>
      <c r="HJ64" s="166">
        <f ca="1">IF(AND(Control!$C$62="F",$CV64&gt;=Control!$C$102),$AH64,0)</f>
        <v>0</v>
      </c>
      <c r="HK64" s="165" t="e">
        <f t="shared" ca="1" si="202"/>
        <v>#N/A</v>
      </c>
      <c r="HL64" s="166">
        <f ca="1">IF(AND(Control!$C$61="T",$HE64&gt;=Control!$C$103,Control!$C$114=0),$HF64,0)</f>
        <v>0</v>
      </c>
      <c r="HM64" s="201" t="e">
        <f t="shared" ca="1" si="47"/>
        <v>#DIV/0!</v>
      </c>
      <c r="HN64" s="215">
        <f t="shared" ca="1" si="161"/>
        <v>59</v>
      </c>
      <c r="HO64" s="216" t="e">
        <f ca="1">IF(AND($CP64&gt;=0, $CP64&lt;=90), Control!$C$152, Control!$C$152)</f>
        <v>#N/A</v>
      </c>
      <c r="HP64" s="216" t="e">
        <f t="shared" ca="1" si="48"/>
        <v>#N/A</v>
      </c>
      <c r="HQ64" s="217" t="e">
        <f ca="1">IF(OR(Control!$B$26=1,Control!$B$26=2),$KV64,$KS64)</f>
        <v>#DIV/0!</v>
      </c>
      <c r="HR64" s="218" t="e">
        <f t="shared" ca="1" si="223"/>
        <v>#DIV/0!</v>
      </c>
      <c r="HS64" s="216" t="e">
        <f ca="1">Control!$C$154*$HP64</f>
        <v>#N/A</v>
      </c>
      <c r="HT64" s="216" t="e">
        <f ca="1">Control!$C$155*$HP64</f>
        <v>#N/A</v>
      </c>
      <c r="HU64" s="217" t="e">
        <f ca="1">Control!$C$161*$FI64</f>
        <v>#N/A</v>
      </c>
      <c r="HV64" s="218" t="e">
        <f t="shared" ca="1" si="162"/>
        <v>#N/A</v>
      </c>
      <c r="HW64" s="218" t="e">
        <f ca="1">Control!$C$160*$FF64+$IP64*$EO64</f>
        <v>#N/A</v>
      </c>
      <c r="HX64" s="218" t="e">
        <f t="shared" ca="1" si="203"/>
        <v>#N/A</v>
      </c>
      <c r="HY64" s="219" t="e">
        <f ca="1">IF(Control!$C$114=1, $EB64*$FS64, 0)</f>
        <v>#N/A</v>
      </c>
      <c r="HZ64" s="91" t="e">
        <f t="shared" ca="1" si="49"/>
        <v>#N/A</v>
      </c>
      <c r="IA64" s="220" t="e">
        <f ca="1">Control!$C$153*$HO64</f>
        <v>#N/A</v>
      </c>
      <c r="IB64" s="218" t="e">
        <f t="shared" ca="1" si="50"/>
        <v>#N/A</v>
      </c>
      <c r="IC64" s="220" t="e">
        <f ca="1">Control!$C$153*$HT64</f>
        <v>#N/A</v>
      </c>
      <c r="ID64" s="218" t="e">
        <f t="shared" ca="1" si="51"/>
        <v>#N/A</v>
      </c>
      <c r="IE64" s="221" t="e">
        <f ca="1">($EB64*Control!$C$159+$EF64*Control!$C$160)/(IF($GZ64&lt;&gt;0,$GZ64,1))</f>
        <v>#N/A</v>
      </c>
      <c r="IF64" s="216" t="e">
        <f t="shared" ca="1" si="52"/>
        <v>#N/A</v>
      </c>
      <c r="IG64" s="91">
        <f ca="1">IF(OR(Control!$B$198=$AH64,Control!$B$199=$AH64, Control!$B$200=$AH64, Control!$B$201=$AH64, Control!$B$202=$AH64, Control!$B$203=$AH64, Control!$B$204=$AH64, Control!$B$205=$AH64, Control!$B$206=$AH64, Control!$B$207=$AH64), 1, 0)</f>
        <v>0</v>
      </c>
      <c r="IH64" s="91">
        <f ca="1">IF($IG64=0,0, VLOOKUP($AH64,Control!$B$198:$C$207,2))</f>
        <v>0</v>
      </c>
      <c r="II64" s="222">
        <f t="shared" ca="1" si="163"/>
        <v>0</v>
      </c>
      <c r="IJ64" s="91">
        <f>Control!$C$121</f>
        <v>0.7</v>
      </c>
      <c r="IK64" s="218">
        <f t="shared" ca="1" si="53"/>
        <v>0</v>
      </c>
      <c r="IL64" s="217" t="e">
        <f t="shared" ca="1" si="204"/>
        <v>#N/A</v>
      </c>
      <c r="IM64" s="223" t="e">
        <f ca="1">IF(AND(Control!$C$114=1,$KH64&lt;1),$EB64*Control!$C$148*(1-$KH64), 0)</f>
        <v>#N/A</v>
      </c>
      <c r="IN64" s="217" t="e">
        <f t="shared" ca="1" si="54"/>
        <v>#DIV/0!</v>
      </c>
      <c r="IO64" s="91" t="e">
        <f ca="1">MAX(0,$IL64-$EF64*Control!$C$160)</f>
        <v>#N/A</v>
      </c>
      <c r="IP64" s="220" t="e">
        <f t="shared" ca="1" si="55"/>
        <v>#N/A</v>
      </c>
      <c r="IQ64" s="217" t="e">
        <f t="shared" ca="1" si="164"/>
        <v>#N/A</v>
      </c>
      <c r="IR64" s="218" t="e">
        <f t="shared" ca="1" si="56"/>
        <v>#N/A</v>
      </c>
      <c r="IS64" s="217" t="e">
        <f ca="1">Control!$C$159*MAX(0,$FD64-$EN64)</f>
        <v>#N/A</v>
      </c>
      <c r="IT64" s="217" t="e">
        <f t="shared" ca="1" si="205"/>
        <v>#N/A</v>
      </c>
      <c r="IU64" s="217" t="e">
        <f t="shared" ca="1" si="165"/>
        <v>#N/A</v>
      </c>
      <c r="IV64" s="217" t="e">
        <f t="shared" ca="1" si="206"/>
        <v>#N/A</v>
      </c>
      <c r="IW64" s="217" t="e">
        <f ca="1">IF(OR($AW64=1,AND($AW64=0, Control!$B$18=1,$EN64&lt;&gt;0)), $IQ64-$IU64, $IQ64)</f>
        <v>#N/A</v>
      </c>
      <c r="IX64" s="218" t="e">
        <f t="shared" ca="1" si="57"/>
        <v>#N/A</v>
      </c>
      <c r="IY64" s="218" t="e">
        <f ca="1">MAX(0,$IQ64-$EB64*Control!$C$159)</f>
        <v>#N/A</v>
      </c>
      <c r="IZ64" s="218" t="e">
        <f t="shared" ca="1" si="58"/>
        <v>#N/A</v>
      </c>
      <c r="JA64" s="216" t="e">
        <f t="shared" ca="1" si="59"/>
        <v>#N/A</v>
      </c>
      <c r="JB64" s="217" t="e">
        <f t="shared" ca="1" si="60"/>
        <v>#N/A</v>
      </c>
      <c r="JC64" s="222" t="e">
        <f ca="1">MAX(Control!$C$157*$EK64-$JT64, 0)/Control!$C$162</f>
        <v>#N/A</v>
      </c>
      <c r="JD64" s="218" t="e">
        <f t="shared" ca="1" si="61"/>
        <v>#N/A</v>
      </c>
      <c r="JE64" s="218" t="e">
        <f t="shared" ca="1" si="62"/>
        <v>#N/A</v>
      </c>
      <c r="JF64" s="218" t="e">
        <f t="shared" ca="1" si="207"/>
        <v>#N/A</v>
      </c>
      <c r="JG64" s="218" t="e">
        <f t="shared" ca="1" si="63"/>
        <v>#N/A</v>
      </c>
      <c r="JH64" s="217" t="e">
        <f t="shared" ca="1" si="166"/>
        <v>#N/A</v>
      </c>
      <c r="JI64" s="217" t="e">
        <f t="shared" ca="1" si="167"/>
        <v>#N/A</v>
      </c>
      <c r="JJ64" s="217" t="e">
        <f t="shared" ca="1" si="224"/>
        <v>#N/A</v>
      </c>
      <c r="JK64" s="217" t="e">
        <f ca="1">IF(Control!$C$114=1,IF(Control!$B$24=0,MAX(0,$JI64)*$GN64/Control!$C$64,(MAX(0,MIN($JI64,$JJ64*$GN64/Control!$C$64),0))))</f>
        <v>#N/A</v>
      </c>
      <c r="JL64" s="217" t="e">
        <f ca="1">$IK64/Control!$C$64-$JK64+$HQ64</f>
        <v>#N/A</v>
      </c>
      <c r="JM64" s="217" t="e">
        <f ca="1">IF(Control!$C$114=1,($JB64/(IF($JI64&lt;&gt;0,$JI64,1)))*$JK64,0)</f>
        <v>#N/A</v>
      </c>
      <c r="JN64" s="217" t="e">
        <f ca="1">IF(Control!$C$114=1,($JG64/(IF($JI64&lt;&gt;0,$JI64,1)))*$JK64, 0)</f>
        <v>#N/A</v>
      </c>
      <c r="JO64" s="218" t="e">
        <f t="shared" ca="1" si="64"/>
        <v>#N/A</v>
      </c>
      <c r="JP64" s="218" t="e">
        <f ca="1">MIN(($IY64+$IO64)*Control!$C$151, $JF64-$EH64*Control!$C$161)</f>
        <v>#N/A</v>
      </c>
      <c r="JQ64" s="218" t="e">
        <f t="shared" ca="1" si="65"/>
        <v>#N/A</v>
      </c>
      <c r="JR64" s="217" t="e">
        <f ca="1">IF($CP64-Control!$C$150&lt;0, 0, $JQ64/Control!$C$162)</f>
        <v>#N/A</v>
      </c>
      <c r="JS64" s="218" t="e">
        <f t="shared" ca="1" si="66"/>
        <v>#N/A</v>
      </c>
      <c r="JT64" s="218" t="e">
        <f t="shared" ca="1" si="168"/>
        <v>#N/A</v>
      </c>
      <c r="JU64" s="218" t="e">
        <f t="shared" ca="1" si="67"/>
        <v>#N/A</v>
      </c>
      <c r="JV64" s="218" t="e">
        <f t="shared" ca="1" si="68"/>
        <v>#N/A</v>
      </c>
      <c r="JW64" s="216" t="e">
        <f t="shared" ca="1" si="69"/>
        <v>#N/A</v>
      </c>
      <c r="JX64" s="91" t="e">
        <f t="shared" ca="1" si="70"/>
        <v>#N/A</v>
      </c>
      <c r="JY64" s="218" t="e">
        <f t="shared" ca="1" si="71"/>
        <v>#N/A</v>
      </c>
      <c r="JZ64" s="217" t="e">
        <f ca="1">IF(Control!$C$114=1,($IZ64/(IF($JI64&lt;&gt;0,$JI64,1)))*$JK64, 0)</f>
        <v>#N/A</v>
      </c>
      <c r="KA64" s="218" t="e">
        <f t="shared" ca="1" si="225"/>
        <v>#N/A</v>
      </c>
      <c r="KB64" s="218" t="e">
        <f t="shared" ca="1" si="169"/>
        <v>#N/A</v>
      </c>
      <c r="KC64" s="218" t="e">
        <f t="shared" ca="1" si="72"/>
        <v>#N/A</v>
      </c>
      <c r="KD64" s="218" t="e">
        <f t="shared" ca="1" si="73"/>
        <v>#N/A</v>
      </c>
      <c r="KE64" s="218" t="e">
        <f t="shared" ca="1" si="74"/>
        <v>#N/A</v>
      </c>
      <c r="KF64" s="218" t="e">
        <f t="shared" ca="1" si="75"/>
        <v>#N/A</v>
      </c>
      <c r="KG64" s="216" t="e">
        <f t="shared" ca="1" si="76"/>
        <v>#N/A</v>
      </c>
      <c r="KH64" s="221" t="e">
        <f ca="1">IF(Control!$B$24=0,1,MAX(0.001,MIN(1,IF(($IF64-$IE64)&lt;&gt;0,($KG64-$IE64)/($IF64-$IE64),1))))</f>
        <v>#N/A</v>
      </c>
      <c r="KI64" s="222" t="e">
        <f ca="1">IF(Control!$C$114=1, $KI63+ $KH63, 0)</f>
        <v>#N/A</v>
      </c>
      <c r="KJ64" s="217" t="e">
        <f t="shared" ca="1" si="77"/>
        <v>#N/A</v>
      </c>
      <c r="KK64" s="218" t="e">
        <f t="shared" ca="1" si="78"/>
        <v>#N/A</v>
      </c>
      <c r="KL64" s="274" t="e">
        <f ca="1">IF(Control!$B$26=3,4000000000*EXP(-8400/($G64+273)),IF(Control!$B$26=4,4000000000*EXP(-8400/($G64+273))*($KT64),0))</f>
        <v>#DIV/0!</v>
      </c>
      <c r="KM64" s="274" t="e">
        <f ca="1">IF(Control!$B$26=3,5600000000000*EXP(-9800/($G64+273)),IF(Control!$B$26=4,5600000000000*EXP(-9800/($G64+273))*$KT64,0))</f>
        <v>#DIV/0!</v>
      </c>
      <c r="KN64" s="454" t="e">
        <f t="shared" ca="1" si="170"/>
        <v>#DIV/0!</v>
      </c>
      <c r="KO64" s="274" t="e">
        <f t="shared" ca="1" si="171"/>
        <v>#DIV/0!</v>
      </c>
      <c r="KP64" s="454" t="e">
        <f t="shared" ca="1" si="79"/>
        <v>#DIV/0!</v>
      </c>
      <c r="KQ64" s="454" t="e">
        <f t="shared" ca="1" si="80"/>
        <v>#DIV/0!</v>
      </c>
      <c r="KR64" s="454" t="e">
        <f t="shared" ca="1" si="81"/>
        <v>#DIV/0!</v>
      </c>
      <c r="KS64" s="454" t="e">
        <f t="shared" ca="1" si="82"/>
        <v>#DIV/0!</v>
      </c>
      <c r="KT64" s="455" t="e">
        <f t="shared" ca="1" si="83"/>
        <v>#DIV/0!</v>
      </c>
      <c r="KU64" s="456" t="e">
        <f ca="1">IF($CP64-Control!$C$149&lt;0, IF($NT64-0.01&lt;0,0,1),0)</f>
        <v>#N/A</v>
      </c>
      <c r="KV64" s="456" t="e">
        <f ca="1">IF(Control!$C$114=1,MAX(0,MIN(Control!$C$125*$KW64*$GN64,$KW64)))</f>
        <v>#DIV/0!</v>
      </c>
      <c r="KW64" s="456" t="e">
        <f t="shared" ca="1" si="208"/>
        <v>#DIV/0!</v>
      </c>
      <c r="KX64" s="457" t="e">
        <f ca="1">IF($CP64-Control!$C$149&lt;0, IF($MR64-$OM64&lt;0,0,1),0)</f>
        <v>#N/A</v>
      </c>
      <c r="KY64" s="167">
        <f t="shared" ca="1" si="172"/>
        <v>59</v>
      </c>
      <c r="KZ64" s="168">
        <f ca="1">1370*(1+0.033*COS(2*Control!$C$138*$AH64/365))</f>
        <v>1393.8290919594585</v>
      </c>
      <c r="LA64" s="169">
        <f t="shared" ca="1" si="173"/>
        <v>1.0173935643851983</v>
      </c>
      <c r="LB64" s="169">
        <f t="shared" ca="1" si="174"/>
        <v>-0.14956255956995423</v>
      </c>
      <c r="LC64" s="169">
        <f ca="1">ACOS(-TAN((2*Control!$B$8/360))*TAN(Calculations!$LB64))</f>
        <v>1.5259964519776772</v>
      </c>
      <c r="LD64" s="169">
        <f ca="1">((24*60)/PI())*0.082*$LA64*(($LC64*SIN(Control!$B$8*2*PI()/360))*SIN($LB64)+COS(Control!$B$8*2*PI()/360)*COS($LB64)*SIN($LC64))</f>
        <v>16.40479802480489</v>
      </c>
      <c r="LE64" s="170">
        <f t="shared" ca="1" si="84"/>
        <v>16.709828445528025</v>
      </c>
      <c r="LF64" s="170">
        <f ca="1">SIN(Control!$C$139*Control!$B$8)*SIN($HD64)</f>
        <v>-0.11719358849627924</v>
      </c>
      <c r="LG64" s="170">
        <f ca="1">COS(Control!$C$139*Control!$B$8)*COS($HD64)</f>
        <v>0.60881321238522246</v>
      </c>
      <c r="LH64" s="170">
        <f ca="1">12*(1+2*ASIN(MAX(-1,MIN(1,$LF64/$LG64))/Control!$C$138))</f>
        <v>10.528527117662907</v>
      </c>
      <c r="LI64" s="170">
        <f ca="1">12*(1+2*ASIN(MAX(-1,MIN(1,(-SIN(-4*Control!$C$139)+$LF64)/$LG64))/Control!$C$138))</f>
        <v>11.404697653845638</v>
      </c>
      <c r="LJ64" s="168">
        <f ca="1">3600*($LH64*$LF64+24*$LG64*SQRT(1-$LK64*$LK64)/Control!$C$138)</f>
        <v>11988.434264947926</v>
      </c>
      <c r="LK64" s="170">
        <f t="shared" ca="1" si="85"/>
        <v>-0.19249514647872948</v>
      </c>
      <c r="LL64" s="170">
        <f t="shared" ca="1" si="86"/>
        <v>0</v>
      </c>
      <c r="LM64" s="171">
        <f ca="1">Control!$C$145*$AB64</f>
        <v>6.6660906138995932E-2</v>
      </c>
      <c r="LN64" s="170">
        <f t="shared" ca="1" si="175"/>
        <v>0.54</v>
      </c>
      <c r="LO64" s="170">
        <f t="shared" ca="1" si="87"/>
        <v>0</v>
      </c>
      <c r="LP64" s="170">
        <f ca="1">Control!$C$140*((($D64+273.16)^4+($E64+273.16)^4)/2)*(0.34-0.14*SQRT($Y64))*(1.35*$AQ64/(0.75*$LD64)-0.35)</f>
        <v>-3.2464704755046001</v>
      </c>
      <c r="LQ64" s="170">
        <f ca="1">Control!$C$140*($G64+273)^4*(0.56-0.079*SQRT($Y64*10))*(0.1+0.9*$LO64)</f>
        <v>1.5241745131704001</v>
      </c>
      <c r="LR64" s="170">
        <f ca="1">$AQ64*(1-Control!$C$142)-$LQ64</f>
        <v>-1.5241745131704001</v>
      </c>
      <c r="LS64" s="170">
        <f ca="1">$AQ64*(1-Control!$C$143)-$LQ64</f>
        <v>-1.5241745131704001</v>
      </c>
      <c r="LT64" s="170">
        <f ca="1">$AQ64*(1-Control!$C$144)-$LQ64</f>
        <v>-1.5241745131704001</v>
      </c>
      <c r="LU64" s="169">
        <f ca="1">(1-Control!$C$144)*AQ64-LP64</f>
        <v>3.2464704755046001</v>
      </c>
      <c r="LV64" s="172">
        <f t="shared" ca="1" si="88"/>
        <v>0.79430000000000012</v>
      </c>
      <c r="LW64" s="170">
        <f t="shared" ca="1" si="89"/>
        <v>1.5886000000000002</v>
      </c>
      <c r="LX64" s="170">
        <f ca="1">($AC64*($LR64/Control!$C$141)+$LM64*$LV64)/($AC64+$LM64)</f>
        <v>0.23530094218323697</v>
      </c>
      <c r="LY64" s="170">
        <f ca="1">($AC64*($LS64/Control!$C$141)+$LM64*$LV64)/($AC64+$LM64)</f>
        <v>0.23530094218323697</v>
      </c>
      <c r="LZ64" s="170">
        <f t="shared" ca="1" si="90"/>
        <v>0.23530094218323697</v>
      </c>
      <c r="MA64" s="170">
        <f t="shared" ca="1" si="91"/>
        <v>0.23530094218323697</v>
      </c>
      <c r="MB64" s="170" t="e">
        <f t="shared" ca="1" si="92"/>
        <v>#N/A</v>
      </c>
      <c r="MC64" s="170">
        <f t="shared" ca="1" si="176"/>
        <v>0.6018</v>
      </c>
      <c r="MD64" s="170">
        <f t="shared" ca="1" si="93"/>
        <v>0.52989392535414004</v>
      </c>
      <c r="ME64" s="170">
        <f ca="1">($AC64*($LT64/Control!$C$141)+$LM64*$LW64)/($AC64+$LM64)</f>
        <v>0.71612369323045078</v>
      </c>
      <c r="MF64" s="170" t="e">
        <f ca="1">IF(Control!$B$16&gt;=1000,0.92,IF(AND(720&lt;=Control!$B$16,1000&gt;Control!$B$16),(0.95+(Control!$B$16-720)*((0.92-0.95)/(1000-720))),IF(AND(360&lt;=Control!$B$16,720&gt;Control!$B$16),(1+(Control!$B$16-360)*((0.95-1)/(720-360))),IF(AND(40&lt;=Control!$B$16,360&gt;Control!$B$16),(1.05+(Control!$B$16-40)*((1.05-1)/(360-40)))))))</f>
        <v>#N/A</v>
      </c>
      <c r="MG64" s="170">
        <f t="shared" ca="1" si="94"/>
        <v>0.71612369323045078</v>
      </c>
      <c r="MH64" s="170" t="e">
        <f t="shared" ca="1" si="232"/>
        <v>#N/A</v>
      </c>
      <c r="MI64" s="170" t="e">
        <f t="shared" ca="1" si="232"/>
        <v>#N/A</v>
      </c>
      <c r="MJ64" s="170" t="e">
        <f ca="1">MAX(0.0001, Control!$C$132*$MI64*$DL64)</f>
        <v>#N/A</v>
      </c>
      <c r="MK64" s="170">
        <f ca="1">1/(0.76+1.5*($MG64/10))-(5-Control!$C$110)*0.1</f>
        <v>1.002845988140797</v>
      </c>
      <c r="ML64" s="173">
        <f ca="1">IF(Control!$C$110&lt;3,$MK64+($MG64-0.6)/(Control!$C$110*(Control!$C$110+3)), MAX(0.1, MIN(0.95,$MK64)))</f>
        <v>0.95</v>
      </c>
      <c r="MM64" s="173">
        <f ca="1">IF(Control!$C$110&lt;3,$MK64+(($MI64/10)-0.6)/(Control!$C$110*(Control!$C$110+3)), MAX(0.1, MIN(0.95,$MK64)))</f>
        <v>0.95</v>
      </c>
      <c r="MN64" s="173">
        <f ca="1">(1-$MM64)*(Control!$C$128-Control!$C$127)+Control!$C$127</f>
        <v>0.16</v>
      </c>
      <c r="MO64" s="170" t="e">
        <f ca="1">MAX(0,MIN(1,($MS64-Control!$C$127)/($MN64-Control!$C$127)))</f>
        <v>#DIV/0!</v>
      </c>
      <c r="MP64" s="173" t="e">
        <f ca="1">1/(0.76+1.5*$MI64)-(5-Control!$C$110)*0.1</f>
        <v>#N/A</v>
      </c>
      <c r="MQ64" s="172" t="e">
        <f t="shared" ca="1" si="209"/>
        <v>#DIV/0!</v>
      </c>
      <c r="MR64" s="168" t="e">
        <f t="shared" ca="1" si="226"/>
        <v>#DIV/0!</v>
      </c>
      <c r="MS64" s="173" t="e">
        <f ca="1">MAX(Control!$C$127, MIN(Control!$C$135, $MR64/MAX(0.0001,$CY64)))</f>
        <v>#DIV/0!</v>
      </c>
      <c r="MT64" s="168" t="e">
        <f ca="1">(Control!$C$128-$MS64)*Control!$C$74</f>
        <v>#DIV/0!</v>
      </c>
      <c r="MU64" s="168" t="e">
        <f ca="1">(Control!$C$135-$MS64)*Control!$C$74</f>
        <v>#DIV/0!</v>
      </c>
      <c r="MV64" s="168" t="e">
        <f t="shared" ca="1" si="210"/>
        <v>#DIV/0!</v>
      </c>
      <c r="MW64" s="168" t="e">
        <f t="shared" ca="1" si="177"/>
        <v>#DIV/0!</v>
      </c>
      <c r="MX64" s="171" t="e">
        <f ca="1">MAX(Control!$C$127, MIN(Control!$C$135, $MW64/MAX(0.0001,Control!$C$119-$CY64)))</f>
        <v>#DIV/0!</v>
      </c>
      <c r="MY64" s="54" t="e">
        <f ca="1">IF(Control!$C$114=1, $CX64*$MX64, 0)</f>
        <v>#DIV/0!</v>
      </c>
      <c r="MZ64" s="54" t="e">
        <f t="shared" ca="1" si="178"/>
        <v>#N/A</v>
      </c>
      <c r="NA64" s="168" t="e">
        <f ca="1">(Control!$C$128-$MX64)*(Control!$C$119-Control!$C$74)</f>
        <v>#DIV/0!</v>
      </c>
      <c r="NB64" s="168" t="e">
        <f ca="1">(Control!$C$135-$MX64)*(Control!$C$119-Control!$C$74)</f>
        <v>#DIV/0!</v>
      </c>
      <c r="NC64" s="174" t="e">
        <f t="shared" ca="1" si="179"/>
        <v>#DIV/0!</v>
      </c>
      <c r="ND64" s="54">
        <f ca="1">IF(Control!$C$58=2, IF(OR(Control!$B$218=$AH64,Control!$B$219=$AH64, Control!$B$220=$AH64, Control!$B$221=$AH64, Control!$B$222=$AH64, Control!$B$223=$AH64, Control!$B$224=$AH64, Control!$B$225=$AH64, Control!$B$226=$AH64, Control!$B$227=$AH64, Control!$B$228=$AH64), 1, 0), 0)</f>
        <v>0</v>
      </c>
      <c r="NE64" s="54">
        <f ca="1">IF($ND64=0,0, VLOOKUP($AH64,Control!$B$218:$C$228,2))</f>
        <v>0</v>
      </c>
      <c r="NF64" s="168" t="e">
        <f ca="1">$CY64*(Control!$C$128-Control!$C$127)</f>
        <v>#N/A</v>
      </c>
      <c r="NG64" s="54" t="e">
        <f ca="1">IF(Control!$C$58=2, $NI63-$NJ63, 0)</f>
        <v>#DIV/0!</v>
      </c>
      <c r="NH64" s="54" t="e">
        <f ca="1">IF(AND(Control!$C$58=1, $MS63&lt;= ($MN63+0.02), $I63&lt;10), 0, IF(Control!$C$58=2, $NG63, 0))</f>
        <v>#DIV/0!</v>
      </c>
      <c r="NI64" s="54" t="e">
        <f ca="1">IF(Control!$C$58=2, $NE64+$NH64,0)</f>
        <v>#DIV/0!</v>
      </c>
      <c r="NJ64" s="54" t="e">
        <f ca="1">IF(AND(Control!$C$58=1, $MS64&lt;= ($MN64+0.02), $I64&lt;10), MAX(0, MIN(10, 0.7*($NF64-$MV64))), IF(Control!$C$58=2, MIN(10,$NI64),0))</f>
        <v>#DIV/0!</v>
      </c>
      <c r="NK64" s="54" t="e">
        <f t="shared" ca="1" si="96"/>
        <v>#DIV/0!</v>
      </c>
      <c r="NL64" s="173" t="e">
        <f ca="1">(1-Control!$C$73)*$I64+$NJ64</f>
        <v>#DIV/0!</v>
      </c>
      <c r="NM64" s="172" t="e">
        <f ca="1">IF($NL64&lt;0.5, $MB64* MAX(0, MIN(1, (SQRT($NC64)-SQRT($NC64-1))*Control!$C$71)),0)</f>
        <v>#DIV/0!</v>
      </c>
      <c r="NN64" s="170" t="e">
        <f ca="1">IF($NL64&gt;=5, $MB64, MAX(0,MIN($MB64, $NM64+$NL64,($MS64-Control!$C$129))))</f>
        <v>#DIV/0!</v>
      </c>
      <c r="NO64" s="54">
        <f>IF(Control!$C$133&lt;&gt;1, Control!$C$135-Control!$C$131, 0)</f>
        <v>0.38</v>
      </c>
      <c r="NP64" s="54" t="e">
        <f t="shared" ca="1" si="97"/>
        <v>#DIV/0!</v>
      </c>
      <c r="NQ64" s="173" t="e">
        <f ca="1">MAX(0,MIN(1,(Control!$C$135-$MS64)/(Control!$C$135-$NO64)))</f>
        <v>#DIV/0!</v>
      </c>
      <c r="NR64" s="170" t="e">
        <f ca="1">IF(Control!$C$133&lt;&gt;1, $NQ64+((1-$NP64/4)*(1-$NQ64)),1)</f>
        <v>#DIV/0!</v>
      </c>
      <c r="NS64" s="170" t="e">
        <f ca="1">IF(Control!$B$31=0,$MJ64,MAX(0,MIN($MV64,$MO64*$NR64*$MJ64)))</f>
        <v>#DIV/0!</v>
      </c>
      <c r="NT64" s="170" t="e">
        <f t="shared" ca="1" si="227"/>
        <v>#DIV/0!</v>
      </c>
      <c r="NU64" s="170" t="e">
        <f t="shared" ca="1" si="180"/>
        <v>#N/A</v>
      </c>
      <c r="NV64" s="170" t="e">
        <f t="shared" ca="1" si="98"/>
        <v>#N/A</v>
      </c>
      <c r="NW64" s="175" t="e">
        <f t="shared" ca="1" si="99"/>
        <v>#DIV/0!</v>
      </c>
      <c r="NX64" s="170" t="e">
        <f ca="1">MIN(Control!$C$72+$MU64, $NW64)</f>
        <v>#DIV/0!</v>
      </c>
      <c r="NY64" s="170" t="e">
        <f ca="1">IF($MT64&lt;=$NX64,MIN(Control!$C$72+$NB64,$NX64-$MT64),0)</f>
        <v>#DIV/0!</v>
      </c>
      <c r="NZ64" s="54" t="e">
        <f ca="1">IF(Control!$C$114=1,  $CX64*($MX64-Control!$C$127), 0)</f>
        <v>#DIV/0!</v>
      </c>
      <c r="OA64" s="170" t="e">
        <f t="shared" ca="1" si="181"/>
        <v>#DIV/0!</v>
      </c>
      <c r="OB64" s="170" t="e">
        <f ca="1">IF($NA64 &lt;=$NY64, MIN(Control!$C$72, $NY64-$NA64), 0)</f>
        <v>#DIV/0!</v>
      </c>
      <c r="OC64" s="168" t="e">
        <f t="shared" ca="1" si="100"/>
        <v>#DIV/0!</v>
      </c>
      <c r="OD64" s="168" t="e">
        <f t="shared" ca="1" si="182"/>
        <v>#DIV/0!</v>
      </c>
      <c r="OE64" s="170">
        <f ca="1">Control!$C$73*$I64</f>
        <v>0</v>
      </c>
      <c r="OF64" s="176" t="e">
        <f t="shared" ca="1" si="101"/>
        <v>#DIV/0!</v>
      </c>
      <c r="OG64" s="168" t="e">
        <f t="shared" ca="1" si="102"/>
        <v>#DIV/0!</v>
      </c>
      <c r="OH64" s="168" t="e">
        <f t="shared" ca="1" si="103"/>
        <v>#DIV/0!</v>
      </c>
      <c r="OI64" s="168" t="e">
        <f t="shared" ca="1" si="104"/>
        <v>#DIV/0!</v>
      </c>
      <c r="OJ64" s="168" t="e">
        <f t="shared" ca="1" si="105"/>
        <v>#DIV/0!</v>
      </c>
      <c r="OK64" s="204" t="e">
        <f t="shared" ca="1" si="183"/>
        <v>#DIV/0!</v>
      </c>
      <c r="OL64" s="177">
        <f>Control!$C$127</f>
        <v>0.15</v>
      </c>
      <c r="OM64" s="182" t="e">
        <f t="shared" ca="1" si="106"/>
        <v>#N/A</v>
      </c>
      <c r="ON64" s="177">
        <f>Control!$C$128</f>
        <v>0.35</v>
      </c>
      <c r="OO64" s="182" t="e">
        <f t="shared" ca="1" si="107"/>
        <v>#N/A</v>
      </c>
      <c r="OP64" s="138">
        <f t="shared" ca="1" si="184"/>
        <v>0</v>
      </c>
      <c r="OQ64" s="138" t="e">
        <f t="shared" ca="1" si="211"/>
        <v>#DIV/0!</v>
      </c>
      <c r="OR64" s="138" t="e">
        <f t="shared" ca="1" si="185"/>
        <v>#DIV/0!</v>
      </c>
      <c r="OS64" s="137" t="e">
        <f t="shared" ca="1" si="212"/>
        <v>#DIV/0!</v>
      </c>
      <c r="OT64" s="139" t="e">
        <f t="shared" ca="1" si="213"/>
        <v>#DIV/0!</v>
      </c>
      <c r="OU64" s="138" t="e">
        <f t="shared" ca="1" si="214"/>
        <v>#N/A</v>
      </c>
      <c r="OV64" s="138" t="e">
        <f t="shared" ca="1" si="215"/>
        <v>#DIV/0!</v>
      </c>
      <c r="OW64" s="138" t="e">
        <f t="shared" ca="1" si="186"/>
        <v>#DIV/0!</v>
      </c>
      <c r="OX64" s="138" t="e">
        <f t="shared" ca="1" si="187"/>
        <v>#DIV/0!</v>
      </c>
      <c r="OY64" s="138" t="e">
        <f t="shared" ca="1" si="188"/>
        <v>#DIV/0!</v>
      </c>
      <c r="OZ64" s="138" t="e">
        <f t="shared" ca="1" si="108"/>
        <v>#DIV/0!</v>
      </c>
      <c r="PA64" s="138" t="e">
        <f t="shared" ca="1" si="109"/>
        <v>#DIV/0!</v>
      </c>
      <c r="PB64" s="55">
        <f>IF(Control!$C$61="T", IF(Control!$C$65="F", IF($AH$6-Control!$C$60&lt;0,0,1), IF(365+$AH$6-Control!$C$60&lt;0,0,1)),0)</f>
        <v>0</v>
      </c>
      <c r="PC64" s="55">
        <f ca="1">IF(Control!$C$65="F", IF($AH$6-$HF64&lt;0,0,1), IF(365+$AH$6-$HF64&lt;0,0,1))</f>
        <v>1</v>
      </c>
      <c r="PD64" s="444">
        <f>Control!$C$118</f>
        <v>1500</v>
      </c>
      <c r="PE64" s="180" t="e">
        <f t="shared" ca="1" si="110"/>
        <v>#N/A</v>
      </c>
      <c r="PF64" s="445">
        <f t="shared" ca="1" si="189"/>
        <v>0.71612369323045078</v>
      </c>
      <c r="PT64" s="186"/>
      <c r="PU64" s="186"/>
      <c r="PV64" s="94"/>
      <c r="PW64" s="94"/>
      <c r="PX64" s="94"/>
      <c r="PY64" s="94"/>
      <c r="PZ64" s="94"/>
      <c r="QA64" s="94"/>
      <c r="QB64" s="94"/>
      <c r="QC64" s="94"/>
      <c r="QD64" s="94"/>
      <c r="QE64" s="94"/>
      <c r="QF64" s="94"/>
      <c r="QG64" s="94"/>
      <c r="QH64" s="94"/>
      <c r="QI64" s="94"/>
      <c r="QJ64" s="94"/>
      <c r="QK64" s="94"/>
      <c r="QL64" s="94"/>
      <c r="QM64" s="94"/>
      <c r="QN64" s="94"/>
      <c r="QO64" s="94"/>
      <c r="QP64" s="94"/>
    </row>
    <row r="65" spans="1:458" s="2" customFormat="1" x14ac:dyDescent="0.2">
      <c r="A65" s="395">
        <v>1</v>
      </c>
      <c r="B65" s="396">
        <v>3</v>
      </c>
      <c r="C65" s="387">
        <f ca="1">Weather_data!$B64</f>
        <v>0</v>
      </c>
      <c r="D65" s="388">
        <f ca="1">Weather_data!$F64</f>
        <v>0</v>
      </c>
      <c r="E65" s="388">
        <f ca="1">Weather_data!$E64</f>
        <v>0</v>
      </c>
      <c r="F65" s="388">
        <f t="shared" ca="1" si="111"/>
        <v>0</v>
      </c>
      <c r="G65" s="388">
        <f ca="1">AVERAGE($D65:$E65)+Control!$B$9</f>
        <v>0</v>
      </c>
      <c r="H65" s="388">
        <f ca="1">Weather_data!$G64</f>
        <v>0</v>
      </c>
      <c r="I65" s="388">
        <f ca="1">Weather_data!$I64</f>
        <v>0</v>
      </c>
      <c r="J65" s="388">
        <f ca="1">Weather_data!$H64</f>
        <v>0</v>
      </c>
      <c r="K65" s="389">
        <f ca="1">Weather_data!$D64</f>
        <v>0</v>
      </c>
      <c r="L65" s="388" t="e">
        <f t="shared" ca="1" si="112"/>
        <v>#N/A</v>
      </c>
      <c r="M65" s="388" t="e">
        <f t="shared" ca="1" si="0"/>
        <v>#N/A</v>
      </c>
      <c r="N65" s="388">
        <f t="shared" ca="1" si="1"/>
        <v>-9.9833905550801723E-4</v>
      </c>
      <c r="O65" s="388">
        <f t="shared" ca="1" si="113"/>
        <v>9.9833905550801728E-3</v>
      </c>
      <c r="P65" s="390">
        <v>3</v>
      </c>
      <c r="Q65" s="388">
        <f ca="1">MAX($G65-Control!$C$107,0)</f>
        <v>0</v>
      </c>
      <c r="R65" s="388">
        <f t="shared" ca="1" si="114"/>
        <v>0</v>
      </c>
      <c r="S65" s="388">
        <f t="shared" ca="1" si="2"/>
        <v>0</v>
      </c>
      <c r="T65" s="388">
        <f t="shared" ca="1" si="3"/>
        <v>0</v>
      </c>
      <c r="U65" s="59">
        <f t="shared" ca="1" si="4"/>
        <v>0</v>
      </c>
      <c r="V65" s="391">
        <f ca="1">MAX(0,MIN(Control!$C$100-Control!$C$99,$G65-Control!$C$99)*Control!$C$63)</f>
        <v>0</v>
      </c>
      <c r="W65" s="388">
        <f t="shared" ca="1" si="190"/>
        <v>0</v>
      </c>
      <c r="X65" s="388">
        <f t="shared" ca="1" si="115"/>
        <v>0.6110000000000001</v>
      </c>
      <c r="Y65" s="388">
        <f t="shared" ca="1" si="116"/>
        <v>0</v>
      </c>
      <c r="Z65" s="388">
        <f t="shared" ca="1" si="117"/>
        <v>0.61058800000000002</v>
      </c>
      <c r="AA65" s="388">
        <f t="shared" ca="1" si="5"/>
        <v>0.6018</v>
      </c>
      <c r="AB65" s="388">
        <f ca="1">101.3*EXP(-0.034*Control!$C$66/($G65+273))</f>
        <v>100.69623283836242</v>
      </c>
      <c r="AC65" s="392">
        <f t="shared" ca="1" si="6"/>
        <v>4.3460251046025113E-2</v>
      </c>
      <c r="AD65" s="392">
        <f t="shared" ca="1" si="7"/>
        <v>4.4450382862832649E-2</v>
      </c>
      <c r="AE65" s="388">
        <f t="shared" ca="1" si="8"/>
        <v>0</v>
      </c>
      <c r="AF65" s="388">
        <f ca="1">MAX(0,$G65-Control!$C$92)</f>
        <v>0</v>
      </c>
      <c r="AG65" s="393">
        <f t="shared" ca="1" si="118"/>
        <v>61</v>
      </c>
      <c r="AH65" s="389">
        <f t="shared" ca="1" si="9"/>
        <v>61</v>
      </c>
      <c r="AI65" s="388">
        <f t="shared" ca="1" si="119"/>
        <v>-0.13634893641233339</v>
      </c>
      <c r="AJ65" s="388">
        <f ca="1">IF(Control!$C$60&lt;=0,$HH65,$HI65)</f>
        <v>1</v>
      </c>
      <c r="AK65" s="388">
        <f t="shared" ca="1" si="10"/>
        <v>-0.32706992009975927</v>
      </c>
      <c r="AL65" s="388">
        <f t="shared" ca="1" si="11"/>
        <v>1.0820112167353457E-18</v>
      </c>
      <c r="AM65" s="388">
        <f t="shared" ca="1" si="12"/>
        <v>-0.32706992009975927</v>
      </c>
      <c r="AN65" s="388">
        <f t="shared" ca="1" si="13"/>
        <v>-0.1281515518199437</v>
      </c>
      <c r="AO65" s="388">
        <f ca="1">-0.10453/COS(Control!$B$8*PI()/180)*COS(AN65)</f>
        <v>-0.16839259805552609</v>
      </c>
      <c r="AP65" s="388">
        <f ca="1">ACOS(AO65-TAN(Control!$B$8*PI()/180)*TAN(AN65))</f>
        <v>1.5742585613570581</v>
      </c>
      <c r="AQ65" s="388">
        <f t="shared" ca="1" si="120"/>
        <v>0</v>
      </c>
      <c r="AR65" s="394">
        <f t="shared" ca="1" si="14"/>
        <v>0</v>
      </c>
      <c r="AS65" s="436">
        <f ca="1">IF(Control!$B$18=2,(IF(OR($AH65=Control!$B$175,$AH65=Control!$B$176,$AH65=Control!$B$177,$AH65=Control!$B$178,$AH65=Control!$B$179,$AH65=Control!$B$180,$AH65=Control!$B$181,$AH65=Control!$B$182,$AH65=Control!$B$183,$AH65=Control!$B$184,$AH65=Control!$B$185),1,0)),0)</f>
        <v>0</v>
      </c>
      <c r="AT65" s="436">
        <f>IF(Control!$B$20=8,IF(AND($AH65&gt;=Control!$B$172,$AH65&lt;=Control!$B$173),1,0),0)</f>
        <v>0</v>
      </c>
      <c r="AU65" s="436">
        <f>IF(Control!$B$20=8,IF($AV64=1,1*$AT65,IF($AT65=1,$AU64+1,$AU64)),0)</f>
        <v>0</v>
      </c>
      <c r="AV65" s="436">
        <f>IF(Control!$B$20=8,IF($AU65&gt;=Control!$B$174,1,0),0)</f>
        <v>0</v>
      </c>
      <c r="AW65" s="436">
        <f ca="1">IF(AND(Control!$B$18=2,Control!$B$171=1), $AV65, $AS65)</f>
        <v>0</v>
      </c>
      <c r="AX65" s="436" t="e">
        <f ca="1">IF(AND(Control!$B$18=1,$EU65&gt;=Control!$B$19),-$AY65,IF(AND(Control!$B$18=2,$AW65=1,$EU65&gt;$DS65),-$AY65, IF(Control!$C$108=0,0, IF(Control!$C$108&lt;&gt;0,1))))</f>
        <v>#N/A</v>
      </c>
      <c r="AY65" s="436" t="e">
        <f t="shared" ca="1" si="121"/>
        <v>#N/A</v>
      </c>
      <c r="AZ65" s="436" t="e">
        <f ca="1">IF(AND(Control!$B$18=1,$EB65&gt;Control!$B$19),$AZ64+1, IF(AND(Control!$B$18=2, $AW65=1, $EB65&gt;$DS65), $AZ64+1,$AZ64))</f>
        <v>#N/A</v>
      </c>
      <c r="BA65" s="587">
        <f>IF(Control!$C$81=0,1,IF($AH65&gt;=Control!$C$82,1,0))</f>
        <v>1</v>
      </c>
      <c r="BB65" s="140" t="e">
        <f ca="1">IF($BA65&gt;$BA64,Control!$C$83,IF($AW65&gt;0,$AW65*Control!$C$84,IF(AND(Control!$B$18=1,EN64&lt;&gt;0),Control!$C$84,0)))</f>
        <v>#N/A</v>
      </c>
      <c r="BC65" s="140" t="e">
        <f t="shared" ca="1" si="122"/>
        <v>#N/A</v>
      </c>
      <c r="BD65" s="140" t="e">
        <f ca="1">BC65*IF(OR($G65&lt;Control!$C$92,$G65&gt;Control!$C$95),0,IF(AND($G65&gt;=Control!$C$92,$G65&lt;=Control!$C$93),$G65-Control!$C$92,IF(AND($G65&gt;Control!$C$93,$G65&lt;=Control!$C$94),Control!$C$93-Control!$C$92,IF(AND($G65&gt;Control!$C$94,$G65&lt;=Control!$C$95),(Control!$C$93-Control!$C$92)*(Control!$C$94-$G65)/(Control!$C$95-Control!$C$94)))))</f>
        <v>#N/A</v>
      </c>
      <c r="BE65" s="140" t="e">
        <f t="shared" ca="1" si="123"/>
        <v>#N/A</v>
      </c>
      <c r="BF65" s="140" t="e">
        <f ca="1">IF($BE65&lt;=Control!$C$86,$BE65,Control!$C$86-$BE65)</f>
        <v>#N/A</v>
      </c>
      <c r="BG65" s="140" t="e">
        <f ca="1">IF(AND($AW65=1,Control!$C$84&lt;9),1,IF($BE65&gt;=Control!$C$86,0,$BC65))</f>
        <v>#N/A</v>
      </c>
      <c r="BH65" s="404" t="e">
        <f ca="1">IF($BG65=0,0,IF($BE65&lt;=Control!$C$86,$BC65*9*($BF65/Control!$C$86),0))</f>
        <v>#N/A</v>
      </c>
      <c r="BI65" s="140" t="e">
        <f ca="1">IF($BG65=1,0,IF($BE65&gt;=Control!$C$86,1,IF(AND($BB65&lt;21,$BB65&gt;=9),1,$BM64)))</f>
        <v>#N/A</v>
      </c>
      <c r="BJ65" s="140" t="e">
        <f ca="1">IF($BF65&lt;0,-$BF65,$BI65*IF(OR($G65&lt;Control!$C$92,$G65&gt;Control!$C$95),0,IF(AND($G65&gt;=Control!$C$92,$G65&lt;=Control!$C$93),$G65-Control!$C$92,IF(AND($G65&gt;Control!$C$93,$G65&lt;=Control!$C$94),Control!$C$93-Control!$C$92,IF(AND($G65&gt;Control!$C$94,$G65&lt;=Control!$C$95),(Control!$C$93-Control!$C$92)*(Control!$C$94-$G65)/(Control!$C$95-Control!$C$94))))))</f>
        <v>#N/A</v>
      </c>
      <c r="BK65" s="140" t="e">
        <f t="shared" ca="1" si="124"/>
        <v>#N/A</v>
      </c>
      <c r="BL65" s="140" t="e">
        <f ca="1">IF($BK65&lt;=Control!$C$87,$BK65,Control!$C$87-$BK65)</f>
        <v>#N/A</v>
      </c>
      <c r="BM65" s="140" t="e">
        <f ca="1">IF(AND($BB65&gt;=9,$BB65&lt;21),1,IF($BK65&gt;=Control!$C$87,0,$BI65))</f>
        <v>#N/A</v>
      </c>
      <c r="BN65" s="404" t="e">
        <f ca="1">IF($BM65=0,0,IF($BK65&lt;=Control!$C$87,$BI65*(9+(21-9)*($BL65/Control!$C$87)),0))</f>
        <v>#N/A</v>
      </c>
      <c r="BO65" s="140" t="e">
        <f ca="1">IF($BM65=1,0,IF($BK65&gt;=Control!$C$87,1,IF(AND($BB65&lt;30,$BB65&gt;=21),1,$BS64)))</f>
        <v>#N/A</v>
      </c>
      <c r="BP65" s="140" t="e">
        <f ca="1">IF($BL65&lt;0,-$BL65,$BO65*IF(OR($G65&lt;Control!$C$92,$G65&gt;Control!$C$95),0,IF(AND($G65&gt;=Control!$C$92,$G65&lt;=Control!$C$93),$G65-Control!$C$92,IF(AND($G65&gt;Control!$C$93,$G65&lt;=Control!$C$94),Control!$C$93-Control!$C$92,IF(AND($G65&gt;Control!$C$94,$G65&lt;=Control!$C$95),(Control!$C$93-Control!$C$92)*(Control!$C$94-$G65)/(Control!$C$95-Control!$C$94))))))</f>
        <v>#N/A</v>
      </c>
      <c r="BQ65" s="140" t="e">
        <f t="shared" ca="1" si="15"/>
        <v>#N/A</v>
      </c>
      <c r="BR65" s="140" t="e">
        <f ca="1">IF($BQ65&lt;=Control!$C$88,$BQ65,Control!$C$88-$BQ65)</f>
        <v>#N/A</v>
      </c>
      <c r="BS65" s="140" t="e">
        <f ca="1">IF(AND($BB65&gt;=21,$BB65&lt;30),1,IF($BQ65&gt;=Control!$C$88,0,$BO65))</f>
        <v>#N/A</v>
      </c>
      <c r="BT65" s="404" t="e">
        <f ca="1">IF($BS65=0,0,IF($BQ65&lt;=Control!$C$88,$BO65*(21+(30-21)*(BR65/Control!$C$88)),0))</f>
        <v>#N/A</v>
      </c>
      <c r="BU65" s="140" t="e">
        <f ca="1">IF(BG65+BM65+BS65=1,0,IF(OR(AND($BB65&lt;60,$BB65&gt;=30),$BQ65&gt;=Control!$C$88),1*$BA65,$BY64))</f>
        <v>#N/A</v>
      </c>
      <c r="BV65" s="140" t="e">
        <f ca="1">IF($BR65&lt;0,-$BR65,$BU65*IF(OR($G65&lt;Control!$C$92,$G65&gt;Control!$C$95),0,IF(AND($G65&gt;=Control!$C$92,$G65&lt;=Control!$C$93),$G65-Control!$C$92,IF(AND($G65&gt;Control!$C$93,$G65&lt;=Control!$C$94),Control!$C$93-Control!$C$92,IF(AND($G65&gt;Control!$C$94,$G65&lt;=Control!$C$95),(Control!$C$93-Control!$C$92)*(Control!$C$94-$G65)/(Control!$C$95-Control!$C$94))))))</f>
        <v>#N/A</v>
      </c>
      <c r="BW65" s="140" t="e">
        <f t="shared" ca="1" si="16"/>
        <v>#N/A</v>
      </c>
      <c r="BX65" s="140" t="e">
        <f ca="1">IF($BW65&lt;=Control!$C$89,$BW65,Control!$C$89-$BW65)</f>
        <v>#N/A</v>
      </c>
      <c r="BY65" s="140" t="e">
        <f ca="1">IF(AND($AJ65&gt;=30,$AJ65&lt;60),1,IF($BW65&gt;=Control!$C$89,0,$BU65))</f>
        <v>#N/A</v>
      </c>
      <c r="BZ65" s="404" t="e">
        <f ca="1">IF($BY65=0,0,IF($BW65&lt;=Control!$C$89,$BU65*(30+(60-30)*(BX65/Control!$C$89)),0))</f>
        <v>#N/A</v>
      </c>
      <c r="CA65" s="140" t="e">
        <f ca="1">IF($BG65+$BM65+$BS65+$BY65=1,0,IF(OR(AND($BB65&lt;65,$BB65&gt;=60),$BW65&gt;=Control!$C$89),1*$BA65,$CE64))</f>
        <v>#N/A</v>
      </c>
      <c r="CB65" s="140" t="e">
        <f ca="1">IF($BX65&lt;0,-$BX65,$CA65*IF(OR($G65&lt;Control!$C$92,$G65&gt;Control!$C$95),0,IF(AND($G65&gt;=Control!$C$92,$G65&lt;=Control!$C$93),$G65-Control!$C$92,IF(AND($G65&gt;Control!$C$93,$G65&lt;=Control!$C$94),Control!$C$93-Control!$C$92,IF(AND($G65&gt;Control!$C$94,$G65&lt;=Control!$C$95),(Control!$C$93-Control!$C$92)*(Control!$C$94-$G65)/(Control!$C$95-Control!$C$94))))))</f>
        <v>#N/A</v>
      </c>
      <c r="CC65" s="140" t="e">
        <f t="shared" ca="1" si="125"/>
        <v>#N/A</v>
      </c>
      <c r="CD65" s="140" t="e">
        <f ca="1">IF($CC65&lt;=Control!$C$90,$CC65,Control!$C$90-$CC65)</f>
        <v>#N/A</v>
      </c>
      <c r="CE65" s="140" t="e">
        <f ca="1">IF(AND($BB65&gt;=60,$BB65&lt;65),1,IF($CC65&gt;=Control!$C$90,0,$CA65))</f>
        <v>#N/A</v>
      </c>
      <c r="CF65" s="404" t="e">
        <f ca="1">IF($CE65=0,0,IF($CC65&lt;=Control!$C$90,$CA65*(60+(65-60)*(CD65/Control!$C$90)),0))</f>
        <v>#N/A</v>
      </c>
      <c r="CG65" s="140" t="e">
        <f ca="1">IF($BG65+$BM65+$BS65+$BY65+$CE65=1,0,IF(OR(AND($BB65&lt;90,$BB65&gt;=65),$CC65&gt;=Control!$C$90),$BA65,$CK64))</f>
        <v>#N/A</v>
      </c>
      <c r="CH65" s="140" t="e">
        <f ca="1">IF($CD65&lt;0,-$CD65,$CG65*IF(OR($G65&lt;Control!$C$92,$G65&gt;Control!$C$95),0,IF(AND($G65&gt;=Control!$C$92,$G65&lt;=Control!$C$93),$G65-Control!$C$92,IF(AND($G65&gt;Control!$C$93,$G65&lt;=Control!$C$94),Control!$C$93-Control!$C$92,IF(AND($G65&gt;Control!$C$94,$G65&lt;=Control!$C$95),(Control!$C$93-Control!$C$92)*(Control!$C$94-$G65)/(Control!$C$95-Control!$C$94))))))</f>
        <v>#N/A</v>
      </c>
      <c r="CI65" s="140" t="e">
        <f t="shared" ca="1" si="126"/>
        <v>#N/A</v>
      </c>
      <c r="CJ65" s="140" t="e">
        <f ca="1">IF($CI65&lt;=Control!$C$91,$CI65,Control!$C$91-$CI65)</f>
        <v>#N/A</v>
      </c>
      <c r="CK65" s="140" t="e">
        <f ca="1">IF(AND($BB65&gt;=65,$BB65&lt;90),1,IF($CI65&gt;=Control!$C$91,0,$CG65))</f>
        <v>#N/A</v>
      </c>
      <c r="CL65" s="404" t="e">
        <f ca="1">IF($CK65=0,0,IF($CI65&lt;=Control!$C$91,$CG65*(65+(90-65)*($CJ65/Control!$C$91)),0))</f>
        <v>#N/A</v>
      </c>
      <c r="CM65" s="140" t="e">
        <f ca="1">IF($BG65+$BM65+$BS65+$BY65+$CE65+$CK65=1,0,IF(OR($BB65&gt;=90,$CI65&gt;=Control!$C$91),$BA65,$CM64))</f>
        <v>#N/A</v>
      </c>
      <c r="CN65" s="140" t="e">
        <f t="shared" ca="1" si="127"/>
        <v>#N/A</v>
      </c>
      <c r="CO65" s="140" t="e">
        <f t="shared" ca="1" si="128"/>
        <v>#N/A</v>
      </c>
      <c r="CP65" s="140" t="e">
        <f t="shared" ca="1" si="129"/>
        <v>#N/A</v>
      </c>
      <c r="CQ65" s="141" t="e">
        <f ca="1">VLOOKUP($CP65,Control!$B$86:$G$91,6)</f>
        <v>#N/A</v>
      </c>
      <c r="CR65" s="141" t="e">
        <f ca="1">(1-$CQ65)*VLOOKUP($CP65,Control!$B$86:$D$91,3)</f>
        <v>#N/A</v>
      </c>
      <c r="CS65" s="141" t="e">
        <f ca="1">(1-$CQ65)*VLOOKUP($CP65,Control!$B$86:$E$91,4)</f>
        <v>#N/A</v>
      </c>
      <c r="CT65" s="141" t="e">
        <f ca="1">(1-$CQ65)*VLOOKUP($CP65,Control!$B$86:$F$91,5)</f>
        <v>#N/A</v>
      </c>
      <c r="CU65" s="141">
        <f t="shared" ca="1" si="130"/>
        <v>0</v>
      </c>
      <c r="CV65" s="583">
        <f t="shared" ca="1" si="131"/>
        <v>0</v>
      </c>
      <c r="CW65" s="142">
        <f t="shared" ca="1" si="132"/>
        <v>61</v>
      </c>
      <c r="CX65" s="612" t="e">
        <f ca="1">IF(Control!$C$114=1,(MIN(Control!$C$120*(IF($NT65-0.01&lt;0,0,1)),Control!$C$119-$CY65)))</f>
        <v>#DIV/0!</v>
      </c>
      <c r="CY65" s="143" t="e">
        <f t="shared" ca="1" si="133"/>
        <v>#N/A</v>
      </c>
      <c r="CZ65" s="144">
        <f t="shared" ca="1" si="17"/>
        <v>0</v>
      </c>
      <c r="DA65" s="144">
        <f t="shared" ca="1" si="18"/>
        <v>0</v>
      </c>
      <c r="DB65" s="144" t="e">
        <f t="shared" ca="1" si="19"/>
        <v>#N/A</v>
      </c>
      <c r="DC65" s="144" t="e">
        <f t="shared" ca="1" si="20"/>
        <v>#N/A</v>
      </c>
      <c r="DD65" s="144" t="e">
        <f t="shared" ca="1" si="216"/>
        <v>#N/A</v>
      </c>
      <c r="DE65" s="143" t="e">
        <f t="shared" ca="1" si="135"/>
        <v>#N/A</v>
      </c>
      <c r="DF65" s="145" t="e">
        <f ca="1">$DR65*EXP(-Control!$C$158*(1-$KH65))</f>
        <v>#N/A</v>
      </c>
      <c r="DG65" s="146" t="e">
        <f ca="1">IF(Control!$C$114=1, $DF65*$EY65, 0)</f>
        <v>#N/A</v>
      </c>
      <c r="DH65" s="147" t="e">
        <f t="shared" ca="1" si="136"/>
        <v>#N/A</v>
      </c>
      <c r="DI65" s="144" t="e">
        <f t="shared" ca="1" si="191"/>
        <v>#N/A</v>
      </c>
      <c r="DJ65" s="147" t="e">
        <f ca="1">$EF65*Control!$C$109</f>
        <v>#N/A</v>
      </c>
      <c r="DK65" s="144" t="e">
        <f t="shared" ca="1" si="137"/>
        <v>#N/A</v>
      </c>
      <c r="DL65" s="144" t="e">
        <f t="shared" ca="1" si="21"/>
        <v>#N/A</v>
      </c>
      <c r="DM65" s="144" t="e">
        <f ca="1">IF(Control!$C$114=1, (1-EXP(-Control!$C$96*$DK65))*$AR65, 0)</f>
        <v>#N/A</v>
      </c>
      <c r="DN65" s="144">
        <f t="shared" ca="1" si="138"/>
        <v>0</v>
      </c>
      <c r="DO65" s="148">
        <f>Control!$C$97</f>
        <v>4</v>
      </c>
      <c r="DP65" s="145" t="e">
        <f t="shared" ca="1" si="139"/>
        <v>#N/A</v>
      </c>
      <c r="DQ65" s="145" t="e">
        <f ca="1">IF(AND($CP65&gt;=0,$CP65&lt;=90),Control!$C$111,Control!$C$111)</f>
        <v>#N/A</v>
      </c>
      <c r="DR65" s="145" t="e">
        <f t="shared" ca="1" si="22"/>
        <v>#N/A</v>
      </c>
      <c r="DS65" s="143" t="e">
        <f ca="1">Control!$B$22/$DR65</f>
        <v>#N/A</v>
      </c>
      <c r="DT65" s="149" t="e">
        <f ca="1">IF(AND(Control!$C$114=1,$KH65&lt;1),$IM65*$DF65, 0)</f>
        <v>#N/A</v>
      </c>
      <c r="DU65" s="144" t="e">
        <f t="shared" ca="1" si="192"/>
        <v>#N/A</v>
      </c>
      <c r="DV65" s="144">
        <f ca="1">IF($G65-Control!$C$107&lt;=0, 0, 0.83*LN(MAX($G65, 3))-0.8924)</f>
        <v>0</v>
      </c>
      <c r="DW65" s="144" t="e">
        <f t="shared" ca="1" si="23"/>
        <v>#N/A</v>
      </c>
      <c r="DX65" s="150" t="e">
        <f ca="1">MAX(0.01*(1+$CU65/Control!$C$102),0.05*($DK65-Control!$C$97)/Control!$C$97)</f>
        <v>#N/A</v>
      </c>
      <c r="DY65" s="151" t="e">
        <f ca="1">IF(Control!$C$114=1, $DI65*$FS65, 0)</f>
        <v>#N/A</v>
      </c>
      <c r="DZ65" s="196" t="e">
        <f t="shared" ca="1" si="140"/>
        <v>#N/A</v>
      </c>
      <c r="EA65" s="152">
        <f t="shared" ca="1" si="141"/>
        <v>61</v>
      </c>
      <c r="EB65" s="153" t="e">
        <f t="shared" ca="1" si="217"/>
        <v>#N/A</v>
      </c>
      <c r="EC65" s="153" t="e">
        <f t="shared" ca="1" si="142"/>
        <v>#N/A</v>
      </c>
      <c r="ED65" s="154" t="e">
        <f ca="1">IF(Control!$C$114=1, $HM65*$FY65-$FD65, 0)</f>
        <v>#DIV/0!</v>
      </c>
      <c r="EE65" s="155" t="e">
        <f ca="1">IF(Control!$C$114=1, $HM65*$FZ65-$FF65, 0)</f>
        <v>#DIV/0!</v>
      </c>
      <c r="EF65" s="153" t="e">
        <f t="shared" ca="1" si="193"/>
        <v>#N/A</v>
      </c>
      <c r="EG65" s="155" t="e">
        <f ca="1">IF(Control!$C$114=1, $GX65*$FW65-$FI65, 0)</f>
        <v>#DIV/0!</v>
      </c>
      <c r="EH65" s="153" t="e">
        <f t="shared" ca="1" si="143"/>
        <v>#N/A</v>
      </c>
      <c r="EI65" s="156" t="e">
        <f t="shared" ca="1" si="144"/>
        <v>#N/A</v>
      </c>
      <c r="EJ65" s="155" t="e">
        <f ca="1">IF(Control!$C$114=1, $HM65*$GB65, 0)</f>
        <v>#DIV/0!</v>
      </c>
      <c r="EK65" s="153" t="e">
        <f t="shared" ca="1" si="194"/>
        <v>#N/A</v>
      </c>
      <c r="EL65" s="153" t="e">
        <f t="shared" ca="1" si="24"/>
        <v>#N/A</v>
      </c>
      <c r="EM65" s="153" t="e">
        <f t="shared" ca="1" si="25"/>
        <v>#N/A</v>
      </c>
      <c r="EN65" s="153" t="e">
        <f ca="1">IF(Control!$C$108=1,IF(AND(Control!$B$18=1,$EB65&gt;=Control!$B$19),$EB65-$DS65,IF(AND(Control!$B$18=2,$AW65=1,$EB65&gt;$DS65),$EB65-$DS65,0)))</f>
        <v>#N/A</v>
      </c>
      <c r="EO65" s="153" t="e">
        <f ca="1">IF(Control!$C$108=1,IF(AND(Control!$B$18=1,$EB65&gt;=Control!$B$19),$EF65,IF(AND(Control!$B$18=2,$AW65=1),$EF65,0)))</f>
        <v>#N/A</v>
      </c>
      <c r="EP65" s="153" t="e">
        <f ca="1">IF(Control!$C$108=1,IF(AND(Control!$B$18=1,$EB65&gt;=Control!$B$19),$EK65,IF(AND(Control!$B$18=2,$AW65=1),$EK65,0)))</f>
        <v>#N/A</v>
      </c>
      <c r="EQ65" s="153" t="e">
        <f t="shared" ca="1" si="145"/>
        <v>#N/A</v>
      </c>
      <c r="ER65" s="153" t="e">
        <f t="shared" ca="1" si="231"/>
        <v>#N/A</v>
      </c>
      <c r="ES65" s="153" t="e">
        <f t="shared" ca="1" si="196"/>
        <v>#N/A</v>
      </c>
      <c r="ET65" s="153" t="e">
        <f t="shared" ca="1" si="197"/>
        <v>#N/A</v>
      </c>
      <c r="EU65" s="153" t="e">
        <f t="shared" ca="1" si="198"/>
        <v>#N/A</v>
      </c>
      <c r="EV65" s="153" t="e">
        <f t="shared" ca="1" si="146"/>
        <v>#N/A</v>
      </c>
      <c r="EW65" s="153" t="e">
        <f t="shared" ca="1" si="218"/>
        <v>#N/A</v>
      </c>
      <c r="EX65" s="153" t="e">
        <f t="shared" ca="1" si="26"/>
        <v>#N/A</v>
      </c>
      <c r="EY65" s="157" t="e">
        <f t="shared" ca="1" si="147"/>
        <v>#DIV/0!</v>
      </c>
      <c r="EZ65" s="154" t="e">
        <f t="shared" ca="1" si="27"/>
        <v>#DIV/0!</v>
      </c>
      <c r="FA65" s="153" t="e">
        <f t="shared" ca="1" si="199"/>
        <v>#N/A</v>
      </c>
      <c r="FB65" s="153" t="e">
        <f t="shared" ca="1" si="28"/>
        <v>#N/A</v>
      </c>
      <c r="FC65" s="193" t="e">
        <f t="shared" ca="1" si="29"/>
        <v>#N/A</v>
      </c>
      <c r="FD65" s="158" t="e">
        <f t="shared" ca="1" si="200"/>
        <v>#N/A</v>
      </c>
      <c r="FE65" s="158" t="e">
        <f t="shared" ca="1" si="148"/>
        <v>#N/A</v>
      </c>
      <c r="FF65" s="159" t="e">
        <f t="shared" ca="1" si="30"/>
        <v>#N/A</v>
      </c>
      <c r="FG65" s="160" t="e">
        <f t="shared" ca="1" si="149"/>
        <v>#N/A</v>
      </c>
      <c r="FH65" s="158" t="e">
        <f t="shared" ca="1" si="150"/>
        <v>#N/A</v>
      </c>
      <c r="FI65" s="159" t="e">
        <f t="shared" ca="1" si="31"/>
        <v>#N/A</v>
      </c>
      <c r="FJ65" s="160" t="e">
        <f t="shared" ca="1" si="151"/>
        <v>#N/A</v>
      </c>
      <c r="FK65" s="160" t="e">
        <f t="shared" ca="1" si="32"/>
        <v>#N/A</v>
      </c>
      <c r="FL65" s="160" t="e">
        <f t="shared" ca="1" si="229"/>
        <v>#N/A</v>
      </c>
      <c r="FM65" s="160" t="e">
        <f t="shared" ca="1" si="33"/>
        <v>#N/A</v>
      </c>
      <c r="FN65" s="158">
        <f t="shared" ca="1" si="219"/>
        <v>0.01</v>
      </c>
      <c r="FO65" s="160">
        <f>Control!$C$101</f>
        <v>50</v>
      </c>
      <c r="FP65" s="150" t="e">
        <f t="shared" ca="1" si="34"/>
        <v>#N/A</v>
      </c>
      <c r="FQ65" s="150" t="e">
        <f ca="1">MAX(0,(Control!$C$112*(($DK65-Control!$C$97)/Control!$C$97)))</f>
        <v>#N/A</v>
      </c>
      <c r="FR65" s="150" t="e">
        <f ca="1">(1-$NT65)*Control!$C$113</f>
        <v>#DIV/0!</v>
      </c>
      <c r="FS65" s="198" t="e">
        <f t="shared" ca="1" si="35"/>
        <v>#N/A</v>
      </c>
      <c r="FT65" s="161">
        <f t="shared" ca="1" si="152"/>
        <v>61</v>
      </c>
      <c r="FU65" s="162" t="e">
        <f ca="1">IF(Control!$B$34=1,VLOOKUP($CP65,Control!$B$86:$G$91,6),Control!$B$35)</f>
        <v>#N/A</v>
      </c>
      <c r="FV65" s="162" t="e">
        <f t="shared" ca="1" si="36"/>
        <v>#DIV/0!</v>
      </c>
      <c r="FW65" s="162" t="e">
        <f ca="1">IF(Control!$B$31=1,$FU65*$FV65,  $FU65)</f>
        <v>#N/A</v>
      </c>
      <c r="FX65" s="162" t="e">
        <f ca="1">IF(Control!$B$34=1,VLOOKUP($CP65,Control!$B$86:$G$91,3),Control!$B$36)</f>
        <v>#N/A</v>
      </c>
      <c r="FY65" s="162" t="e">
        <f t="shared" ca="1" si="37"/>
        <v>#N/A</v>
      </c>
      <c r="FZ65" s="162" t="e">
        <f ca="1">IF(Control!$B$34=1,VLOOKUP($CP65,Control!$B$86:$G$91,4),Control!$B$37)</f>
        <v>#N/A</v>
      </c>
      <c r="GA65" s="162" t="e">
        <f t="shared" ca="1" si="38"/>
        <v>#N/A</v>
      </c>
      <c r="GB65" s="162" t="e">
        <f ca="1">IF(Control!$B$34=1,VLOOKUP($CP65,Control!$B$86:$G$91,5),Control!$B$38)</f>
        <v>#N/A</v>
      </c>
      <c r="GC65" s="162" t="e">
        <f t="shared" ca="1" si="153"/>
        <v>#N/A</v>
      </c>
      <c r="GD65" s="162">
        <f t="shared" ca="1" si="39"/>
        <v>1</v>
      </c>
      <c r="GE65" s="162">
        <f t="shared" ca="1" si="40"/>
        <v>1</v>
      </c>
      <c r="GF65" s="162">
        <f ca="1">IF(AND(Control!$C$104=1, Control!$C$62="F"),$GE65,1)</f>
        <v>1</v>
      </c>
      <c r="GG65" s="162" t="e">
        <f ca="1">IF(Control!$B$16=40,0,IF(AND(Control!$B$16&gt;40,Control!$B$16&lt;=360),(Control!$B$16-40)*((1-0)/(360-40)),IF(AND(Control!$B$16&gt;360,Control!$B$16&lt;=720),(1+(Control!$B$16-360)*((1.25-1)/(720-360))),IF(AND(Control!$B$16&gt;720,Control!$B$16&lt;=1000),(1.25+(Control!$B$16-720)*((1.35-1.25)/(1000-720))),IF(AND(Control!$B$16&gt;1000,Control!$B$16&lt;=2000),(1.35+(Control!$B$16-1000)*0))))))</f>
        <v>#N/A</v>
      </c>
      <c r="GH65" s="162" t="e">
        <f t="shared" ca="1" si="41"/>
        <v>#N/A</v>
      </c>
      <c r="GI65" s="162">
        <f t="shared" ca="1" si="201"/>
        <v>0</v>
      </c>
      <c r="GJ65" s="162">
        <f t="shared" ca="1" si="42"/>
        <v>0</v>
      </c>
      <c r="GK65" s="162">
        <f t="shared" ca="1" si="220"/>
        <v>1</v>
      </c>
      <c r="GL65" s="162">
        <f t="shared" ca="1" si="43"/>
        <v>1</v>
      </c>
      <c r="GM65" s="162" t="e">
        <f ca="1">MAX(0,MIN(1,1-Control!$C$156*(1.0001-$KH65)^2))</f>
        <v>#N/A</v>
      </c>
      <c r="GN65" s="162" t="e">
        <f ca="1">IF(Control!$B$26=1,$KU65,$KX65)</f>
        <v>#N/A</v>
      </c>
      <c r="GO65" s="162" t="e">
        <f ca="1">IF($CP65&lt;=60,Control!$C$105,IF($CP65&gt;=90,Control!$C$106,Control!$C$105+($CP65-60)*((Control!$C$106-Control!$C$105)/(90-60))))</f>
        <v>#N/A</v>
      </c>
      <c r="GP65" s="162" t="e">
        <f t="shared" ca="1" si="154"/>
        <v>#N/A</v>
      </c>
      <c r="GQ65" s="162" t="e">
        <f t="shared" ca="1" si="155"/>
        <v>#N/A</v>
      </c>
      <c r="GR65" s="163" t="e">
        <f t="shared" ca="1" si="44"/>
        <v>#DIV/0!</v>
      </c>
      <c r="GS65" s="162" t="e">
        <f t="shared" ca="1" si="45"/>
        <v>#DIV/0!</v>
      </c>
      <c r="GT65" s="164" t="e">
        <f t="shared" ca="1" si="156"/>
        <v>#N/A</v>
      </c>
      <c r="GU65" s="162" t="e">
        <f t="shared" ca="1" si="157"/>
        <v>#N/A</v>
      </c>
      <c r="GV65" s="162" t="e">
        <f t="shared" ca="1" si="46"/>
        <v>#N/A</v>
      </c>
      <c r="GW65" s="162" t="e">
        <f t="shared" ca="1" si="221"/>
        <v>#DIV/0!</v>
      </c>
      <c r="GX65" s="162" t="e">
        <f t="shared" ca="1" si="228"/>
        <v>#DIV/0!</v>
      </c>
      <c r="GY65" s="162" t="e">
        <f t="shared" ca="1" si="158"/>
        <v>#DIV/0!</v>
      </c>
      <c r="GZ65" s="165" t="e">
        <f t="shared" ca="1" si="159"/>
        <v>#N/A</v>
      </c>
      <c r="HA65" s="162" t="e">
        <f ca="1">IF(Control!$C$114=1, $DI65*$FS65, 0)</f>
        <v>#N/A</v>
      </c>
      <c r="HB65" s="162" t="e">
        <f ca="1">$FA65/Control!$C$64</f>
        <v>#N/A</v>
      </c>
      <c r="HC65" s="162" t="e">
        <f t="shared" ca="1" si="222"/>
        <v>#DIV/0!</v>
      </c>
      <c r="HD65" s="162">
        <f ca="1">-ASIN(SIN(23.45*Control!$C$139)*COS(2*Control!$C$138*($AH65+10)/365))</f>
        <v>-0.13634893641233339</v>
      </c>
      <c r="HE65" s="165">
        <f t="shared" ca="1" si="160"/>
        <v>0</v>
      </c>
      <c r="HF65" s="166">
        <f ca="1">IF(AND(Control!$C$61="T",$HE65&gt;=Control!$C$103,Control!$C$114=0),$AH65,Control!$C$59)</f>
        <v>1</v>
      </c>
      <c r="HG65" s="166">
        <f ca="1">IF(AND(Control!$C$61="T",$HE65&gt;=Control!$C$103,Control!$C$114=0),$HF65,Control!$C$59)</f>
        <v>1</v>
      </c>
      <c r="HH65" s="165">
        <f ca="1">IF(AND(OR(Control!$C$60&lt;=0, $AH65= Control!$C$59, Control!$C$60 &gt;0, $AH65 = Control!$C$60)), Control!$C$59, IF(Control!$C$60&gt;0, 0))</f>
        <v>1</v>
      </c>
      <c r="HI65" s="165">
        <f ca="1">IF(AND(OR(Control!$C$60&lt;=0, $AH65= Control!$C$59, Control!$C$60 &gt;0, $AH65 = Control!$C$60)), Control!$C$60, IF(Control!$C$60&lt;=0, 0))</f>
        <v>0</v>
      </c>
      <c r="HJ65" s="166">
        <f ca="1">IF(AND(Control!$C$62="F",$CV65&gt;=Control!$C$102),$AH65,0)</f>
        <v>0</v>
      </c>
      <c r="HK65" s="165" t="e">
        <f t="shared" ca="1" si="202"/>
        <v>#N/A</v>
      </c>
      <c r="HL65" s="166">
        <f ca="1">IF(AND(Control!$C$61="T",$HE65&gt;=Control!$C$103,Control!$C$114=0),$HF65,0)</f>
        <v>0</v>
      </c>
      <c r="HM65" s="201" t="e">
        <f t="shared" ca="1" si="47"/>
        <v>#DIV/0!</v>
      </c>
      <c r="HN65" s="215">
        <f t="shared" ca="1" si="161"/>
        <v>61</v>
      </c>
      <c r="HO65" s="216" t="e">
        <f ca="1">IF(AND($CP65&gt;=0, $CP65&lt;=90), Control!$C$152, Control!$C$152)</f>
        <v>#N/A</v>
      </c>
      <c r="HP65" s="216" t="e">
        <f t="shared" ca="1" si="48"/>
        <v>#N/A</v>
      </c>
      <c r="HQ65" s="217" t="e">
        <f ca="1">IF(OR(Control!$B$26=1,Control!$B$26=2),$KV65,$KS65)</f>
        <v>#DIV/0!</v>
      </c>
      <c r="HR65" s="218" t="e">
        <f t="shared" ca="1" si="223"/>
        <v>#DIV/0!</v>
      </c>
      <c r="HS65" s="216" t="e">
        <f ca="1">Control!$C$154*$HP65</f>
        <v>#N/A</v>
      </c>
      <c r="HT65" s="216" t="e">
        <f ca="1">Control!$C$155*$HP65</f>
        <v>#N/A</v>
      </c>
      <c r="HU65" s="217" t="e">
        <f ca="1">Control!$C$161*$FI65</f>
        <v>#N/A</v>
      </c>
      <c r="HV65" s="218" t="e">
        <f t="shared" ca="1" si="162"/>
        <v>#N/A</v>
      </c>
      <c r="HW65" s="218" t="e">
        <f ca="1">Control!$C$160*$FF65+$IP65*$EO65</f>
        <v>#N/A</v>
      </c>
      <c r="HX65" s="218" t="e">
        <f t="shared" ca="1" si="203"/>
        <v>#N/A</v>
      </c>
      <c r="HY65" s="219" t="e">
        <f ca="1">IF(Control!$C$114=1, $EB65*$FS65, 0)</f>
        <v>#N/A</v>
      </c>
      <c r="HZ65" s="91" t="e">
        <f t="shared" ca="1" si="49"/>
        <v>#N/A</v>
      </c>
      <c r="IA65" s="220" t="e">
        <f ca="1">Control!$C$153*$HO65</f>
        <v>#N/A</v>
      </c>
      <c r="IB65" s="218" t="e">
        <f t="shared" ca="1" si="50"/>
        <v>#N/A</v>
      </c>
      <c r="IC65" s="220" t="e">
        <f ca="1">Control!$C$153*$HT65</f>
        <v>#N/A</v>
      </c>
      <c r="ID65" s="218" t="e">
        <f t="shared" ca="1" si="51"/>
        <v>#N/A</v>
      </c>
      <c r="IE65" s="221" t="e">
        <f ca="1">($EB65*Control!$C$159+$EF65*Control!$C$160)/(IF($GZ65&lt;&gt;0,$GZ65,1))</f>
        <v>#N/A</v>
      </c>
      <c r="IF65" s="216" t="e">
        <f t="shared" ca="1" si="52"/>
        <v>#N/A</v>
      </c>
      <c r="IG65" s="91">
        <f ca="1">IF(OR(Control!$B$198=$AH65,Control!$B$199=$AH65, Control!$B$200=$AH65, Control!$B$201=$AH65, Control!$B$202=$AH65, Control!$B$203=$AH65, Control!$B$204=$AH65, Control!$B$205=$AH65, Control!$B$206=$AH65, Control!$B$207=$AH65), 1, 0)</f>
        <v>0</v>
      </c>
      <c r="IH65" s="91">
        <f ca="1">IF($IG65=0,0, VLOOKUP($AH65,Control!$B$198:$C$207,2))</f>
        <v>0</v>
      </c>
      <c r="II65" s="222">
        <f t="shared" ca="1" si="163"/>
        <v>0</v>
      </c>
      <c r="IJ65" s="91">
        <f>Control!$C$121</f>
        <v>0.7</v>
      </c>
      <c r="IK65" s="218">
        <f t="shared" ca="1" si="53"/>
        <v>0</v>
      </c>
      <c r="IL65" s="217" t="e">
        <f t="shared" ca="1" si="204"/>
        <v>#N/A</v>
      </c>
      <c r="IM65" s="223" t="e">
        <f ca="1">IF(AND(Control!$C$114=1,$KH65&lt;1),$EB65*Control!$C$148*(1-$KH65), 0)</f>
        <v>#N/A</v>
      </c>
      <c r="IN65" s="217" t="e">
        <f t="shared" ca="1" si="54"/>
        <v>#DIV/0!</v>
      </c>
      <c r="IO65" s="91" t="e">
        <f ca="1">MAX(0,$IL65-$EF65*Control!$C$160)</f>
        <v>#N/A</v>
      </c>
      <c r="IP65" s="220" t="e">
        <f t="shared" ca="1" si="55"/>
        <v>#N/A</v>
      </c>
      <c r="IQ65" s="217" t="e">
        <f t="shared" ca="1" si="164"/>
        <v>#N/A</v>
      </c>
      <c r="IR65" s="218" t="e">
        <f t="shared" ca="1" si="56"/>
        <v>#N/A</v>
      </c>
      <c r="IS65" s="217" t="e">
        <f ca="1">Control!$C$159*MAX(0,$FD65-$EN65)</f>
        <v>#N/A</v>
      </c>
      <c r="IT65" s="217" t="e">
        <f t="shared" ca="1" si="205"/>
        <v>#N/A</v>
      </c>
      <c r="IU65" s="217" t="e">
        <f t="shared" ca="1" si="165"/>
        <v>#N/A</v>
      </c>
      <c r="IV65" s="217" t="e">
        <f t="shared" ca="1" si="206"/>
        <v>#N/A</v>
      </c>
      <c r="IW65" s="217" t="e">
        <f ca="1">IF(OR($AW65=1,AND($AW65=0, Control!$B$18=1,$EN65&lt;&gt;0)), $IQ65-$IU65, $IQ65)</f>
        <v>#N/A</v>
      </c>
      <c r="IX65" s="218" t="e">
        <f t="shared" ca="1" si="57"/>
        <v>#N/A</v>
      </c>
      <c r="IY65" s="218" t="e">
        <f ca="1">MAX(0,$IQ65-$EB65*Control!$C$159)</f>
        <v>#N/A</v>
      </c>
      <c r="IZ65" s="218" t="e">
        <f t="shared" ca="1" si="58"/>
        <v>#N/A</v>
      </c>
      <c r="JA65" s="216" t="e">
        <f t="shared" ca="1" si="59"/>
        <v>#N/A</v>
      </c>
      <c r="JB65" s="217" t="e">
        <f t="shared" ca="1" si="60"/>
        <v>#N/A</v>
      </c>
      <c r="JC65" s="222" t="e">
        <f ca="1">MAX(Control!$C$157*$EK65-$JT65, 0)/Control!$C$162</f>
        <v>#N/A</v>
      </c>
      <c r="JD65" s="218" t="e">
        <f t="shared" ca="1" si="61"/>
        <v>#N/A</v>
      </c>
      <c r="JE65" s="218" t="e">
        <f t="shared" ca="1" si="62"/>
        <v>#N/A</v>
      </c>
      <c r="JF65" s="218" t="e">
        <f t="shared" ca="1" si="207"/>
        <v>#N/A</v>
      </c>
      <c r="JG65" s="218" t="e">
        <f t="shared" ca="1" si="63"/>
        <v>#N/A</v>
      </c>
      <c r="JH65" s="217" t="e">
        <f t="shared" ca="1" si="166"/>
        <v>#N/A</v>
      </c>
      <c r="JI65" s="217" t="e">
        <f t="shared" ca="1" si="167"/>
        <v>#N/A</v>
      </c>
      <c r="JJ65" s="217" t="e">
        <f t="shared" ca="1" si="224"/>
        <v>#N/A</v>
      </c>
      <c r="JK65" s="217" t="e">
        <f ca="1">IF(Control!$C$114=1,IF(Control!$B$24=0,MAX(0,$JI65)*$GN65/Control!$C$64,(MAX(0,MIN($JI65,$JJ65*$GN65/Control!$C$64),0))))</f>
        <v>#N/A</v>
      </c>
      <c r="JL65" s="217" t="e">
        <f ca="1">$IK65/Control!$C$64-$JK65+$HQ65</f>
        <v>#N/A</v>
      </c>
      <c r="JM65" s="217" t="e">
        <f ca="1">IF(Control!$C$114=1,($JB65/(IF($JI65&lt;&gt;0,$JI65,1)))*$JK65,0)</f>
        <v>#N/A</v>
      </c>
      <c r="JN65" s="217" t="e">
        <f ca="1">IF(Control!$C$114=1,($JG65/(IF($JI65&lt;&gt;0,$JI65,1)))*$JK65, 0)</f>
        <v>#N/A</v>
      </c>
      <c r="JO65" s="218" t="e">
        <f t="shared" ca="1" si="64"/>
        <v>#N/A</v>
      </c>
      <c r="JP65" s="218" t="e">
        <f ca="1">MIN(($IY65+$IO65)*Control!$C$151, $JF65-$EH65*Control!$C$161)</f>
        <v>#N/A</v>
      </c>
      <c r="JQ65" s="218" t="e">
        <f t="shared" ca="1" si="65"/>
        <v>#N/A</v>
      </c>
      <c r="JR65" s="217" t="e">
        <f ca="1">IF($CP65-Control!$C$150&lt;0, 0, $JQ65/Control!$C$162)</f>
        <v>#N/A</v>
      </c>
      <c r="JS65" s="218" t="e">
        <f t="shared" ca="1" si="66"/>
        <v>#N/A</v>
      </c>
      <c r="JT65" s="218" t="e">
        <f t="shared" ca="1" si="168"/>
        <v>#N/A</v>
      </c>
      <c r="JU65" s="218" t="e">
        <f t="shared" ca="1" si="67"/>
        <v>#N/A</v>
      </c>
      <c r="JV65" s="218" t="e">
        <f t="shared" ca="1" si="68"/>
        <v>#N/A</v>
      </c>
      <c r="JW65" s="216" t="e">
        <f t="shared" ca="1" si="69"/>
        <v>#N/A</v>
      </c>
      <c r="JX65" s="91" t="e">
        <f t="shared" ca="1" si="70"/>
        <v>#N/A</v>
      </c>
      <c r="JY65" s="218" t="e">
        <f t="shared" ca="1" si="71"/>
        <v>#N/A</v>
      </c>
      <c r="JZ65" s="217" t="e">
        <f ca="1">IF(Control!$C$114=1,($IZ65/(IF($JI65&lt;&gt;0,$JI65,1)))*$JK65, 0)</f>
        <v>#N/A</v>
      </c>
      <c r="KA65" s="218" t="e">
        <f t="shared" ca="1" si="225"/>
        <v>#N/A</v>
      </c>
      <c r="KB65" s="218" t="e">
        <f t="shared" ca="1" si="169"/>
        <v>#N/A</v>
      </c>
      <c r="KC65" s="218" t="e">
        <f t="shared" ca="1" si="72"/>
        <v>#N/A</v>
      </c>
      <c r="KD65" s="218" t="e">
        <f t="shared" ca="1" si="73"/>
        <v>#N/A</v>
      </c>
      <c r="KE65" s="218" t="e">
        <f t="shared" ca="1" si="74"/>
        <v>#N/A</v>
      </c>
      <c r="KF65" s="218" t="e">
        <f t="shared" ca="1" si="75"/>
        <v>#N/A</v>
      </c>
      <c r="KG65" s="216" t="e">
        <f t="shared" ca="1" si="76"/>
        <v>#N/A</v>
      </c>
      <c r="KH65" s="221" t="e">
        <f ca="1">IF(Control!$B$24=0,1,MAX(0.001,MIN(1,IF(($IF65-$IE65)&lt;&gt;0,($KG65-$IE65)/($IF65-$IE65),1))))</f>
        <v>#N/A</v>
      </c>
      <c r="KI65" s="222" t="e">
        <f ca="1">IF(Control!$C$114=1, $KI64+ $KH64, 0)</f>
        <v>#N/A</v>
      </c>
      <c r="KJ65" s="217" t="e">
        <f t="shared" ca="1" si="77"/>
        <v>#N/A</v>
      </c>
      <c r="KK65" s="218" t="e">
        <f t="shared" ca="1" si="78"/>
        <v>#N/A</v>
      </c>
      <c r="KL65" s="274" t="e">
        <f ca="1">IF(Control!$B$26=3,4000000000*EXP(-8400/($G65+273)),IF(Control!$B$26=4,4000000000*EXP(-8400/($G65+273))*($KT65),0))</f>
        <v>#DIV/0!</v>
      </c>
      <c r="KM65" s="274" t="e">
        <f ca="1">IF(Control!$B$26=3,5600000000000*EXP(-9800/($G65+273)),IF(Control!$B$26=4,5600000000000*EXP(-9800/($G65+273))*$KT65,0))</f>
        <v>#DIV/0!</v>
      </c>
      <c r="KN65" s="454" t="e">
        <f t="shared" ca="1" si="170"/>
        <v>#DIV/0!</v>
      </c>
      <c r="KO65" s="274" t="e">
        <f t="shared" ca="1" si="171"/>
        <v>#DIV/0!</v>
      </c>
      <c r="KP65" s="454" t="e">
        <f t="shared" ca="1" si="79"/>
        <v>#DIV/0!</v>
      </c>
      <c r="KQ65" s="454" t="e">
        <f t="shared" ca="1" si="80"/>
        <v>#DIV/0!</v>
      </c>
      <c r="KR65" s="454" t="e">
        <f t="shared" ca="1" si="81"/>
        <v>#DIV/0!</v>
      </c>
      <c r="KS65" s="454" t="e">
        <f t="shared" ca="1" si="82"/>
        <v>#DIV/0!</v>
      </c>
      <c r="KT65" s="455" t="e">
        <f t="shared" ca="1" si="83"/>
        <v>#DIV/0!</v>
      </c>
      <c r="KU65" s="456" t="e">
        <f ca="1">IF($CP65-Control!$C$149&lt;0, IF($NT65-0.01&lt;0,0,1),0)</f>
        <v>#N/A</v>
      </c>
      <c r="KV65" s="456" t="e">
        <f ca="1">IF(Control!$C$114=1,MAX(0,MIN(Control!$C$125*$KW65*$GN65,$KW65)))</f>
        <v>#DIV/0!</v>
      </c>
      <c r="KW65" s="456" t="e">
        <f t="shared" ca="1" si="208"/>
        <v>#DIV/0!</v>
      </c>
      <c r="KX65" s="457" t="e">
        <f ca="1">IF($CP65-Control!$C$149&lt;0, IF($MR65-$OM65&lt;0,0,1),0)</f>
        <v>#N/A</v>
      </c>
      <c r="KY65" s="167">
        <f t="shared" ca="1" si="172"/>
        <v>61</v>
      </c>
      <c r="KZ65" s="168">
        <f ca="1">1370*(1+0.033*COS(2*Control!$C$138*$AH65/365))</f>
        <v>1392.4924794918707</v>
      </c>
      <c r="LA65" s="169">
        <f t="shared" ca="1" si="173"/>
        <v>1.0164179385339369</v>
      </c>
      <c r="LB65" s="169">
        <f t="shared" ca="1" si="174"/>
        <v>-0.13637054587064404</v>
      </c>
      <c r="LC65" s="169">
        <f ca="1">ACOS(-TAN((2*Control!$B$8/360))*TAN(Calculations!$LB65))</f>
        <v>1.5300021337036913</v>
      </c>
      <c r="LD65" s="169">
        <f ca="1">((24*60)/PI())*0.082*$LA65*(($LC65*SIN(Control!$B$8*2*PI()/360))*SIN($LB65)+COS(Control!$B$8*2*PI()/360)*COS($LB65)*SIN($LC65))</f>
        <v>17.020674834625684</v>
      </c>
      <c r="LE65" s="170">
        <f t="shared" ca="1" si="84"/>
        <v>17.272940789057401</v>
      </c>
      <c r="LF65" s="170">
        <f ca="1">SIN(Control!$C$139*Control!$B$8)*SIN($HD65)</f>
        <v>-0.10711199792457912</v>
      </c>
      <c r="LG65" s="170">
        <f ca="1">COS(Control!$C$139*Control!$B$8)*COS($HD65)</f>
        <v>0.60994578792951426</v>
      </c>
      <c r="LH65" s="170">
        <f ca="1">12*(1+2*ASIN(MAX(-1,MIN(1,$LF65/$LG65))/Control!$C$138))</f>
        <v>10.657749231165344</v>
      </c>
      <c r="LI65" s="170">
        <f ca="1">12*(1+2*ASIN(MAX(-1,MIN(1,(-SIN(-4*Control!$C$139)+$LF65)/$LG65))/Control!$C$138))</f>
        <v>11.532103744112678</v>
      </c>
      <c r="LJ65" s="168">
        <f ca="1">3600*($LH65*$LF65+24*$LG65*SQRT(1-$LK65*$LK65)/Control!$C$138)</f>
        <v>12404.33326818426</v>
      </c>
      <c r="LK65" s="170">
        <f t="shared" ca="1" si="85"/>
        <v>-0.17560904599107921</v>
      </c>
      <c r="LL65" s="170">
        <f t="shared" ca="1" si="86"/>
        <v>0</v>
      </c>
      <c r="LM65" s="171">
        <f ca="1">Control!$C$145*$AB65</f>
        <v>6.6660906138995932E-2</v>
      </c>
      <c r="LN65" s="170">
        <f t="shared" ca="1" si="175"/>
        <v>0.54</v>
      </c>
      <c r="LO65" s="170">
        <f t="shared" ca="1" si="87"/>
        <v>0</v>
      </c>
      <c r="LP65" s="170">
        <f ca="1">Control!$C$140*((($D65+273.16)^4+($E65+273.16)^4)/2)*(0.34-0.14*SQRT($Y65))*(1.35*$AQ65/(0.75*$LD65)-0.35)</f>
        <v>-3.2464704755046001</v>
      </c>
      <c r="LQ65" s="170">
        <f ca="1">Control!$C$140*($G65+273)^4*(0.56-0.079*SQRT($Y65*10))*(0.1+0.9*$LO65)</f>
        <v>1.5241745131704001</v>
      </c>
      <c r="LR65" s="170">
        <f ca="1">$AQ65*(1-Control!$C$142)-$LQ65</f>
        <v>-1.5241745131704001</v>
      </c>
      <c r="LS65" s="170">
        <f ca="1">$AQ65*(1-Control!$C$143)-$LQ65</f>
        <v>-1.5241745131704001</v>
      </c>
      <c r="LT65" s="170">
        <f ca="1">$AQ65*(1-Control!$C$144)-$LQ65</f>
        <v>-1.5241745131704001</v>
      </c>
      <c r="LU65" s="169">
        <f ca="1">(1-Control!$C$144)*AQ65-LP65</f>
        <v>3.2464704755046001</v>
      </c>
      <c r="LV65" s="172">
        <f t="shared" ca="1" si="88"/>
        <v>0.79430000000000012</v>
      </c>
      <c r="LW65" s="170">
        <f t="shared" ca="1" si="89"/>
        <v>1.5886000000000002</v>
      </c>
      <c r="LX65" s="170">
        <f ca="1">($AC65*($LR65/Control!$C$141)+$LM65*$LV65)/($AC65+$LM65)</f>
        <v>0.23530094218323697</v>
      </c>
      <c r="LY65" s="170">
        <f ca="1">($AC65*($LS65/Control!$C$141)+$LM65*$LV65)/($AC65+$LM65)</f>
        <v>0.23530094218323697</v>
      </c>
      <c r="LZ65" s="170">
        <f t="shared" ca="1" si="90"/>
        <v>0.23530094218323697</v>
      </c>
      <c r="MA65" s="170">
        <f t="shared" ca="1" si="91"/>
        <v>0.23530094218323697</v>
      </c>
      <c r="MB65" s="170" t="e">
        <f t="shared" ca="1" si="92"/>
        <v>#N/A</v>
      </c>
      <c r="MC65" s="170">
        <f t="shared" ca="1" si="176"/>
        <v>0.6018</v>
      </c>
      <c r="MD65" s="170">
        <f t="shared" ca="1" si="93"/>
        <v>0.52989392535414004</v>
      </c>
      <c r="ME65" s="170">
        <f ca="1">($AC65*($LT65/Control!$C$141)+$LM65*$LW65)/($AC65+$LM65)</f>
        <v>0.71612369323045078</v>
      </c>
      <c r="MF65" s="170" t="e">
        <f ca="1">IF(Control!$B$16&gt;=1000,0.92,IF(AND(720&lt;=Control!$B$16,1000&gt;Control!$B$16),(0.95+(Control!$B$16-720)*((0.92-0.95)/(1000-720))),IF(AND(360&lt;=Control!$B$16,720&gt;Control!$B$16),(1+(Control!$B$16-360)*((0.95-1)/(720-360))),IF(AND(40&lt;=Control!$B$16,360&gt;Control!$B$16),(1.05+(Control!$B$16-40)*((1.05-1)/(360-40)))))))</f>
        <v>#N/A</v>
      </c>
      <c r="MG65" s="170">
        <f t="shared" ca="1" si="94"/>
        <v>0.71612369323045078</v>
      </c>
      <c r="MH65" s="170" t="e">
        <f t="shared" ca="1" si="232"/>
        <v>#N/A</v>
      </c>
      <c r="MI65" s="170" t="e">
        <f t="shared" ca="1" si="232"/>
        <v>#N/A</v>
      </c>
      <c r="MJ65" s="170" t="e">
        <f ca="1">MAX(0.0001, Control!$C$132*$MI65*$DL65)</f>
        <v>#N/A</v>
      </c>
      <c r="MK65" s="170">
        <f ca="1">1/(0.76+1.5*($MG65/10))-(5-Control!$C$110)*0.1</f>
        <v>1.002845988140797</v>
      </c>
      <c r="ML65" s="173">
        <f ca="1">IF(Control!$C$110&lt;3,$MK65+($MG65-0.6)/(Control!$C$110*(Control!$C$110+3)), MAX(0.1, MIN(0.95,$MK65)))</f>
        <v>0.95</v>
      </c>
      <c r="MM65" s="173">
        <f ca="1">IF(Control!$C$110&lt;3,$MK65+(($MI65/10)-0.6)/(Control!$C$110*(Control!$C$110+3)), MAX(0.1, MIN(0.95,$MK65)))</f>
        <v>0.95</v>
      </c>
      <c r="MN65" s="173">
        <f ca="1">(1-$MM65)*(Control!$C$128-Control!$C$127)+Control!$C$127</f>
        <v>0.16</v>
      </c>
      <c r="MO65" s="170" t="e">
        <f ca="1">MAX(0,MIN(1,($MS65-Control!$C$127)/($MN65-Control!$C$127)))</f>
        <v>#DIV/0!</v>
      </c>
      <c r="MP65" s="173" t="e">
        <f ca="1">1/(0.76+1.5*$MI65)-(5-Control!$C$110)*0.1</f>
        <v>#N/A</v>
      </c>
      <c r="MQ65" s="172" t="e">
        <f t="shared" ca="1" si="209"/>
        <v>#DIV/0!</v>
      </c>
      <c r="MR65" s="168" t="e">
        <f t="shared" ca="1" si="226"/>
        <v>#DIV/0!</v>
      </c>
      <c r="MS65" s="173" t="e">
        <f ca="1">MAX(Control!$C$127, MIN(Control!$C$135, $MR65/MAX(0.0001,$CY65)))</f>
        <v>#DIV/0!</v>
      </c>
      <c r="MT65" s="168" t="e">
        <f ca="1">(Control!$C$128-$MS65)*Control!$C$74</f>
        <v>#DIV/0!</v>
      </c>
      <c r="MU65" s="168" t="e">
        <f ca="1">(Control!$C$135-$MS65)*Control!$C$74</f>
        <v>#DIV/0!</v>
      </c>
      <c r="MV65" s="168" t="e">
        <f t="shared" ca="1" si="210"/>
        <v>#DIV/0!</v>
      </c>
      <c r="MW65" s="168" t="e">
        <f t="shared" ca="1" si="177"/>
        <v>#DIV/0!</v>
      </c>
      <c r="MX65" s="171" t="e">
        <f ca="1">MAX(Control!$C$127, MIN(Control!$C$135, $MW65/MAX(0.0001,Control!$C$119-$CY65)))</f>
        <v>#DIV/0!</v>
      </c>
      <c r="MY65" s="54" t="e">
        <f ca="1">IF(Control!$C$114=1, $CX65*$MX65, 0)</f>
        <v>#DIV/0!</v>
      </c>
      <c r="MZ65" s="54" t="e">
        <f t="shared" ca="1" si="178"/>
        <v>#N/A</v>
      </c>
      <c r="NA65" s="168" t="e">
        <f ca="1">(Control!$C$128-$MX65)*(Control!$C$119-Control!$C$74)</f>
        <v>#DIV/0!</v>
      </c>
      <c r="NB65" s="168" t="e">
        <f ca="1">(Control!$C$135-$MX65)*(Control!$C$119-Control!$C$74)</f>
        <v>#DIV/0!</v>
      </c>
      <c r="NC65" s="174" t="e">
        <f t="shared" ca="1" si="179"/>
        <v>#DIV/0!</v>
      </c>
      <c r="ND65" s="54">
        <f ca="1">IF(Control!$C$58=2, IF(OR(Control!$B$218=$AH65,Control!$B$219=$AH65, Control!$B$220=$AH65, Control!$B$221=$AH65, Control!$B$222=$AH65, Control!$B$223=$AH65, Control!$B$224=$AH65, Control!$B$225=$AH65, Control!$B$226=$AH65, Control!$B$227=$AH65, Control!$B$228=$AH65), 1, 0), 0)</f>
        <v>0</v>
      </c>
      <c r="NE65" s="54">
        <f ca="1">IF($ND65=0,0, VLOOKUP($AH65,Control!$B$218:$C$228,2))</f>
        <v>0</v>
      </c>
      <c r="NF65" s="168" t="e">
        <f ca="1">$CY65*(Control!$C$128-Control!$C$127)</f>
        <v>#N/A</v>
      </c>
      <c r="NG65" s="54" t="e">
        <f ca="1">IF(Control!$C$58=2, $NI64-$NJ64, 0)</f>
        <v>#DIV/0!</v>
      </c>
      <c r="NH65" s="54" t="e">
        <f ca="1">IF(AND(Control!$C$58=1, $MS64&lt;= ($MN64+0.02), $I64&lt;10), 0, IF(Control!$C$58=2, $NG64, 0))</f>
        <v>#DIV/0!</v>
      </c>
      <c r="NI65" s="54" t="e">
        <f ca="1">IF(Control!$C$58=2, $NE65+$NH65,0)</f>
        <v>#DIV/0!</v>
      </c>
      <c r="NJ65" s="54" t="e">
        <f ca="1">IF(AND(Control!$C$58=1, $MS65&lt;= ($MN65+0.02), $I65&lt;10), MAX(0, MIN(10, 0.7*($NF65-$MV65))), IF(Control!$C$58=2, MIN(10,$NI65),0))</f>
        <v>#DIV/0!</v>
      </c>
      <c r="NK65" s="54" t="e">
        <f t="shared" ca="1" si="96"/>
        <v>#DIV/0!</v>
      </c>
      <c r="NL65" s="173" t="e">
        <f ca="1">(1-Control!$C$73)*$I65+$NJ65</f>
        <v>#DIV/0!</v>
      </c>
      <c r="NM65" s="172" t="e">
        <f ca="1">IF($NL65&lt;0.5, $MB65* MAX(0, MIN(1, (SQRT($NC65)-SQRT($NC65-1))*Control!$C$71)),0)</f>
        <v>#DIV/0!</v>
      </c>
      <c r="NN65" s="170" t="e">
        <f ca="1">IF($NL65&gt;=5, $MB65, MAX(0,MIN($MB65, $NM65+$NL65,($MS65-Control!$C$129))))</f>
        <v>#DIV/0!</v>
      </c>
      <c r="NO65" s="54">
        <f>IF(Control!$C$133&lt;&gt;1, Control!$C$135-Control!$C$131, 0)</f>
        <v>0.38</v>
      </c>
      <c r="NP65" s="54" t="e">
        <f t="shared" ca="1" si="97"/>
        <v>#DIV/0!</v>
      </c>
      <c r="NQ65" s="173" t="e">
        <f ca="1">MAX(0,MIN(1,(Control!$C$135-$MS65)/(Control!$C$135-$NO65)))</f>
        <v>#DIV/0!</v>
      </c>
      <c r="NR65" s="170" t="e">
        <f ca="1">IF(Control!$C$133&lt;&gt;1, $NQ65+((1-$NP65/4)*(1-$NQ65)),1)</f>
        <v>#DIV/0!</v>
      </c>
      <c r="NS65" s="170" t="e">
        <f ca="1">IF(Control!$B$31=0,$MJ65,MAX(0,MIN($MV65,$MO65*$NR65*$MJ65)))</f>
        <v>#DIV/0!</v>
      </c>
      <c r="NT65" s="170" t="e">
        <f t="shared" ca="1" si="227"/>
        <v>#DIV/0!</v>
      </c>
      <c r="NU65" s="170" t="e">
        <f t="shared" ca="1" si="180"/>
        <v>#N/A</v>
      </c>
      <c r="NV65" s="170" t="e">
        <f t="shared" ca="1" si="98"/>
        <v>#N/A</v>
      </c>
      <c r="NW65" s="175" t="e">
        <f t="shared" ca="1" si="99"/>
        <v>#DIV/0!</v>
      </c>
      <c r="NX65" s="170" t="e">
        <f ca="1">MIN(Control!$C$72+$MU65, $NW65)</f>
        <v>#DIV/0!</v>
      </c>
      <c r="NY65" s="170" t="e">
        <f ca="1">IF($MT65&lt;=$NX65,MIN(Control!$C$72+$NB65,$NX65-$MT65),0)</f>
        <v>#DIV/0!</v>
      </c>
      <c r="NZ65" s="54" t="e">
        <f ca="1">IF(Control!$C$114=1,  $CX65*($MX65-Control!$C$127), 0)</f>
        <v>#DIV/0!</v>
      </c>
      <c r="OA65" s="170" t="e">
        <f t="shared" ca="1" si="181"/>
        <v>#DIV/0!</v>
      </c>
      <c r="OB65" s="170" t="e">
        <f ca="1">IF($NA65 &lt;=$NY65, MIN(Control!$C$72, $NY65-$NA65), 0)</f>
        <v>#DIV/0!</v>
      </c>
      <c r="OC65" s="168" t="e">
        <f t="shared" ca="1" si="100"/>
        <v>#DIV/0!</v>
      </c>
      <c r="OD65" s="168" t="e">
        <f t="shared" ca="1" si="182"/>
        <v>#DIV/0!</v>
      </c>
      <c r="OE65" s="170">
        <f ca="1">Control!$C$73*$I65</f>
        <v>0</v>
      </c>
      <c r="OF65" s="176" t="e">
        <f t="shared" ca="1" si="101"/>
        <v>#DIV/0!</v>
      </c>
      <c r="OG65" s="168" t="e">
        <f t="shared" ca="1" si="102"/>
        <v>#DIV/0!</v>
      </c>
      <c r="OH65" s="168" t="e">
        <f t="shared" ca="1" si="103"/>
        <v>#DIV/0!</v>
      </c>
      <c r="OI65" s="168" t="e">
        <f t="shared" ca="1" si="104"/>
        <v>#DIV/0!</v>
      </c>
      <c r="OJ65" s="168" t="e">
        <f t="shared" ca="1" si="105"/>
        <v>#DIV/0!</v>
      </c>
      <c r="OK65" s="204" t="e">
        <f t="shared" ca="1" si="183"/>
        <v>#DIV/0!</v>
      </c>
      <c r="OL65" s="177">
        <f>Control!$C$127</f>
        <v>0.15</v>
      </c>
      <c r="OM65" s="182" t="e">
        <f t="shared" ca="1" si="106"/>
        <v>#N/A</v>
      </c>
      <c r="ON65" s="177">
        <f>Control!$C$128</f>
        <v>0.35</v>
      </c>
      <c r="OO65" s="182" t="e">
        <f t="shared" ca="1" si="107"/>
        <v>#N/A</v>
      </c>
      <c r="OP65" s="138">
        <f t="shared" ca="1" si="184"/>
        <v>0</v>
      </c>
      <c r="OQ65" s="138" t="e">
        <f t="shared" ca="1" si="211"/>
        <v>#DIV/0!</v>
      </c>
      <c r="OR65" s="138" t="e">
        <f t="shared" ca="1" si="185"/>
        <v>#DIV/0!</v>
      </c>
      <c r="OS65" s="137" t="e">
        <f t="shared" ca="1" si="212"/>
        <v>#DIV/0!</v>
      </c>
      <c r="OT65" s="139" t="e">
        <f t="shared" ca="1" si="213"/>
        <v>#DIV/0!</v>
      </c>
      <c r="OU65" s="138" t="e">
        <f t="shared" ca="1" si="214"/>
        <v>#N/A</v>
      </c>
      <c r="OV65" s="138" t="e">
        <f t="shared" ca="1" si="215"/>
        <v>#DIV/0!</v>
      </c>
      <c r="OW65" s="138" t="e">
        <f t="shared" ca="1" si="186"/>
        <v>#DIV/0!</v>
      </c>
      <c r="OX65" s="138" t="e">
        <f t="shared" ca="1" si="187"/>
        <v>#DIV/0!</v>
      </c>
      <c r="OY65" s="138" t="e">
        <f t="shared" ca="1" si="188"/>
        <v>#DIV/0!</v>
      </c>
      <c r="OZ65" s="138" t="e">
        <f t="shared" ca="1" si="108"/>
        <v>#DIV/0!</v>
      </c>
      <c r="PA65" s="138" t="e">
        <f t="shared" ca="1" si="109"/>
        <v>#DIV/0!</v>
      </c>
      <c r="PB65" s="55">
        <f>IF(Control!$C$61="T", IF(Control!$C$65="F", IF($AH$6-Control!$C$60&lt;0,0,1), IF(365+$AH$6-Control!$C$60&lt;0,0,1)),0)</f>
        <v>0</v>
      </c>
      <c r="PC65" s="55">
        <f ca="1">IF(Control!$C$65="F", IF($AH$6-$HF65&lt;0,0,1), IF(365+$AH$6-$HF65&lt;0,0,1))</f>
        <v>1</v>
      </c>
      <c r="PD65" s="444">
        <f>Control!$C$118</f>
        <v>1500</v>
      </c>
      <c r="PE65" s="180" t="e">
        <f t="shared" ca="1" si="110"/>
        <v>#N/A</v>
      </c>
      <c r="PF65" s="445">
        <f t="shared" ca="1" si="189"/>
        <v>0.71612369323045078</v>
      </c>
      <c r="PT65" s="186"/>
      <c r="PU65" s="186"/>
      <c r="PV65" s="94"/>
      <c r="PW65" s="94"/>
      <c r="PX65" s="94"/>
      <c r="PY65" s="94"/>
      <c r="PZ65" s="94"/>
      <c r="QA65" s="94"/>
      <c r="QB65" s="94"/>
      <c r="QC65" s="94"/>
      <c r="QD65" s="94"/>
      <c r="QE65" s="94"/>
      <c r="QF65" s="94"/>
      <c r="QG65" s="94"/>
      <c r="QH65" s="94"/>
      <c r="QI65" s="94"/>
      <c r="QJ65" s="94"/>
      <c r="QK65" s="94"/>
      <c r="QL65" s="94"/>
      <c r="QM65" s="94"/>
      <c r="QN65" s="94"/>
      <c r="QO65" s="94"/>
      <c r="QP65" s="94"/>
    </row>
    <row r="66" spans="1:458" s="2" customFormat="1" x14ac:dyDescent="0.2">
      <c r="A66" s="395">
        <v>2</v>
      </c>
      <c r="B66" s="396">
        <v>3</v>
      </c>
      <c r="C66" s="387">
        <f ca="1">Weather_data!$B65</f>
        <v>0</v>
      </c>
      <c r="D66" s="388">
        <f ca="1">Weather_data!$F65</f>
        <v>0</v>
      </c>
      <c r="E66" s="388">
        <f ca="1">Weather_data!$E65</f>
        <v>0</v>
      </c>
      <c r="F66" s="388">
        <f t="shared" ca="1" si="111"/>
        <v>0</v>
      </c>
      <c r="G66" s="388">
        <f ca="1">AVERAGE($D66:$E66)+Control!$B$9</f>
        <v>0</v>
      </c>
      <c r="H66" s="388">
        <f ca="1">Weather_data!$G65</f>
        <v>0</v>
      </c>
      <c r="I66" s="388">
        <f ca="1">Weather_data!$I65</f>
        <v>0</v>
      </c>
      <c r="J66" s="388">
        <f ca="1">Weather_data!$H65</f>
        <v>0</v>
      </c>
      <c r="K66" s="389">
        <f ca="1">Weather_data!$D65</f>
        <v>0</v>
      </c>
      <c r="L66" s="388" t="e">
        <f t="shared" ca="1" si="112"/>
        <v>#N/A</v>
      </c>
      <c r="M66" s="388" t="e">
        <f t="shared" ca="1" si="0"/>
        <v>#N/A</v>
      </c>
      <c r="N66" s="388">
        <f t="shared" ca="1" si="1"/>
        <v>-8.9850514995721555E-4</v>
      </c>
      <c r="O66" s="388">
        <f t="shared" ca="1" si="113"/>
        <v>8.9850514995721553E-3</v>
      </c>
      <c r="P66" s="390">
        <v>3</v>
      </c>
      <c r="Q66" s="388">
        <f ca="1">MAX($G66-Control!$C$107,0)</f>
        <v>0</v>
      </c>
      <c r="R66" s="388">
        <f t="shared" ca="1" si="114"/>
        <v>0</v>
      </c>
      <c r="S66" s="388">
        <f t="shared" ca="1" si="2"/>
        <v>0</v>
      </c>
      <c r="T66" s="388">
        <f t="shared" ca="1" si="3"/>
        <v>0</v>
      </c>
      <c r="U66" s="59">
        <f t="shared" ca="1" si="4"/>
        <v>0</v>
      </c>
      <c r="V66" s="391">
        <f ca="1">MAX(0,MIN(Control!$C$100-Control!$C$99,$G66-Control!$C$99)*Control!$C$63)</f>
        <v>0</v>
      </c>
      <c r="W66" s="388">
        <f t="shared" ca="1" si="190"/>
        <v>0</v>
      </c>
      <c r="X66" s="388">
        <f t="shared" ca="1" si="115"/>
        <v>0.6110000000000001</v>
      </c>
      <c r="Y66" s="388">
        <f t="shared" ca="1" si="116"/>
        <v>0</v>
      </c>
      <c r="Z66" s="388">
        <f t="shared" ca="1" si="117"/>
        <v>0.61058800000000002</v>
      </c>
      <c r="AA66" s="388">
        <f t="shared" ca="1" si="5"/>
        <v>0.6018</v>
      </c>
      <c r="AB66" s="388">
        <f ca="1">101.3*EXP(-0.034*Control!$C$66/($G66+273))</f>
        <v>100.69623283836242</v>
      </c>
      <c r="AC66" s="392">
        <f t="shared" ca="1" si="6"/>
        <v>4.3460251046025113E-2</v>
      </c>
      <c r="AD66" s="392">
        <f t="shared" ca="1" si="7"/>
        <v>4.4450382862832649E-2</v>
      </c>
      <c r="AE66" s="388">
        <f t="shared" ca="1" si="8"/>
        <v>0</v>
      </c>
      <c r="AF66" s="388">
        <f ca="1">MAX(0,$G66-Control!$C$92)</f>
        <v>0</v>
      </c>
      <c r="AG66" s="393">
        <f t="shared" ca="1" si="118"/>
        <v>62</v>
      </c>
      <c r="AH66" s="389">
        <f t="shared" ca="1" si="9"/>
        <v>62</v>
      </c>
      <c r="AI66" s="388">
        <f t="shared" ca="1" si="119"/>
        <v>-0.12983308306617528</v>
      </c>
      <c r="AJ66" s="388">
        <f ca="1">IF(Control!$C$60&lt;=0,$HH66,$HI66)</f>
        <v>1</v>
      </c>
      <c r="AK66" s="388">
        <f t="shared" ca="1" si="10"/>
        <v>-0.30985571377871934</v>
      </c>
      <c r="AL66" s="388">
        <f t="shared" ca="1" si="11"/>
        <v>-9.0162946553284929E-19</v>
      </c>
      <c r="AM66" s="388">
        <f t="shared" ca="1" si="12"/>
        <v>-0.30985571377871934</v>
      </c>
      <c r="AN66" s="388">
        <f t="shared" ca="1" si="13"/>
        <v>-0.12159709451725689</v>
      </c>
      <c r="AO66" s="388">
        <f ca="1">-0.10453/COS(Control!$B$8*PI()/180)*COS(AN66)</f>
        <v>-0.16853120302160376</v>
      </c>
      <c r="AP66" s="388">
        <f ca="1">ACOS(AO66-TAN(Control!$B$8*PI()/180)*TAN(AN66))</f>
        <v>1.5829190028525049</v>
      </c>
      <c r="AQ66" s="388">
        <f t="shared" ca="1" si="120"/>
        <v>0</v>
      </c>
      <c r="AR66" s="394">
        <f t="shared" ca="1" si="14"/>
        <v>0</v>
      </c>
      <c r="AS66" s="436">
        <f ca="1">IF(Control!$B$18=2,(IF(OR($AH66=Control!$B$175,$AH66=Control!$B$176,$AH66=Control!$B$177,$AH66=Control!$B$178,$AH66=Control!$B$179,$AH66=Control!$B$180,$AH66=Control!$B$181,$AH66=Control!$B$182,$AH66=Control!$B$183,$AH66=Control!$B$184,$AH66=Control!$B$185),1,0)),0)</f>
        <v>0</v>
      </c>
      <c r="AT66" s="436">
        <f>IF(Control!$B$20=8,IF(AND($AH66&gt;=Control!$B$172,$AH66&lt;=Control!$B$173),1,0),0)</f>
        <v>0</v>
      </c>
      <c r="AU66" s="436">
        <f>IF(Control!$B$20=8,IF($AV65=1,1*$AT66,IF($AT66=1,$AU65+1,$AU65)),0)</f>
        <v>0</v>
      </c>
      <c r="AV66" s="436">
        <f>IF(Control!$B$20=8,IF($AU66&gt;=Control!$B$174,1,0),0)</f>
        <v>0</v>
      </c>
      <c r="AW66" s="436">
        <f ca="1">IF(AND(Control!$B$18=2,Control!$B$171=1), $AV66, $AS66)</f>
        <v>0</v>
      </c>
      <c r="AX66" s="436" t="e">
        <f ca="1">IF(AND(Control!$B$18=1,$EU66&gt;=Control!$B$19),-$AY66,IF(AND(Control!$B$18=2,$AW66=1,$EU66&gt;$DS66),-$AY66, IF(Control!$C$108=0,0, IF(Control!$C$108&lt;&gt;0,1))))</f>
        <v>#N/A</v>
      </c>
      <c r="AY66" s="436" t="e">
        <f t="shared" ca="1" si="121"/>
        <v>#N/A</v>
      </c>
      <c r="AZ66" s="436" t="e">
        <f ca="1">IF(AND(Control!$B$18=1,$EB66&gt;Control!$B$19),$AZ65+1, IF(AND(Control!$B$18=2, $AW66=1, $EB66&gt;$DS66), $AZ65+1,$AZ65))</f>
        <v>#N/A</v>
      </c>
      <c r="BA66" s="587">
        <f>IF(Control!$C$81=0,1,IF($AH66&gt;=Control!$C$82,1,0))</f>
        <v>1</v>
      </c>
      <c r="BB66" s="140" t="e">
        <f ca="1">IF($BA66&gt;$BA65,Control!$C$83,IF($AW66&gt;0,$AW66*Control!$C$84,IF(AND(Control!$B$18=1,EN65&lt;&gt;0),Control!$C$84,0)))</f>
        <v>#N/A</v>
      </c>
      <c r="BC66" s="140" t="e">
        <f t="shared" ca="1" si="122"/>
        <v>#N/A</v>
      </c>
      <c r="BD66" s="140" t="e">
        <f ca="1">BC66*IF(OR($G66&lt;Control!$C$92,$G66&gt;Control!$C$95),0,IF(AND($G66&gt;=Control!$C$92,$G66&lt;=Control!$C$93),$G66-Control!$C$92,IF(AND($G66&gt;Control!$C$93,$G66&lt;=Control!$C$94),Control!$C$93-Control!$C$92,IF(AND($G66&gt;Control!$C$94,$G66&lt;=Control!$C$95),(Control!$C$93-Control!$C$92)*(Control!$C$94-$G66)/(Control!$C$95-Control!$C$94)))))</f>
        <v>#N/A</v>
      </c>
      <c r="BE66" s="140" t="e">
        <f t="shared" ca="1" si="123"/>
        <v>#N/A</v>
      </c>
      <c r="BF66" s="140" t="e">
        <f ca="1">IF($BE66&lt;=Control!$C$86,$BE66,Control!$C$86-$BE66)</f>
        <v>#N/A</v>
      </c>
      <c r="BG66" s="140" t="e">
        <f ca="1">IF(AND($AW66=1,Control!$C$84&lt;9),1,IF($BE66&gt;=Control!$C$86,0,$BC66))</f>
        <v>#N/A</v>
      </c>
      <c r="BH66" s="404" t="e">
        <f ca="1">IF($BG66=0,0,IF($BE66&lt;=Control!$C$86,$BC66*9*($BF66/Control!$C$86),0))</f>
        <v>#N/A</v>
      </c>
      <c r="BI66" s="140" t="e">
        <f ca="1">IF($BG66=1,0,IF($BE66&gt;=Control!$C$86,1,IF(AND($BB66&lt;21,$BB66&gt;=9),1,$BM65)))</f>
        <v>#N/A</v>
      </c>
      <c r="BJ66" s="140" t="e">
        <f ca="1">IF($BF66&lt;0,-$BF66,$BI66*IF(OR($G66&lt;Control!$C$92,$G66&gt;Control!$C$95),0,IF(AND($G66&gt;=Control!$C$92,$G66&lt;=Control!$C$93),$G66-Control!$C$92,IF(AND($G66&gt;Control!$C$93,$G66&lt;=Control!$C$94),Control!$C$93-Control!$C$92,IF(AND($G66&gt;Control!$C$94,$G66&lt;=Control!$C$95),(Control!$C$93-Control!$C$92)*(Control!$C$94-$G66)/(Control!$C$95-Control!$C$94))))))</f>
        <v>#N/A</v>
      </c>
      <c r="BK66" s="140" t="e">
        <f t="shared" ca="1" si="124"/>
        <v>#N/A</v>
      </c>
      <c r="BL66" s="140" t="e">
        <f ca="1">IF($BK66&lt;=Control!$C$87,$BK66,Control!$C$87-$BK66)</f>
        <v>#N/A</v>
      </c>
      <c r="BM66" s="140" t="e">
        <f ca="1">IF(AND($BB66&gt;=9,$BB66&lt;21),1,IF($BK66&gt;=Control!$C$87,0,$BI66))</f>
        <v>#N/A</v>
      </c>
      <c r="BN66" s="404" t="e">
        <f ca="1">IF($BM66=0,0,IF($BK66&lt;=Control!$C$87,$BI66*(9+(21-9)*($BL66/Control!$C$87)),0))</f>
        <v>#N/A</v>
      </c>
      <c r="BO66" s="140" t="e">
        <f ca="1">IF($BM66=1,0,IF($BK66&gt;=Control!$C$87,1,IF(AND($BB66&lt;30,$BB66&gt;=21),1,$BS65)))</f>
        <v>#N/A</v>
      </c>
      <c r="BP66" s="140" t="e">
        <f ca="1">IF($BL66&lt;0,-$BL66,$BO66*IF(OR($G66&lt;Control!$C$92,$G66&gt;Control!$C$95),0,IF(AND($G66&gt;=Control!$C$92,$G66&lt;=Control!$C$93),$G66-Control!$C$92,IF(AND($G66&gt;Control!$C$93,$G66&lt;=Control!$C$94),Control!$C$93-Control!$C$92,IF(AND($G66&gt;Control!$C$94,$G66&lt;=Control!$C$95),(Control!$C$93-Control!$C$92)*(Control!$C$94-$G66)/(Control!$C$95-Control!$C$94))))))</f>
        <v>#N/A</v>
      </c>
      <c r="BQ66" s="140" t="e">
        <f t="shared" ca="1" si="15"/>
        <v>#N/A</v>
      </c>
      <c r="BR66" s="140" t="e">
        <f ca="1">IF($BQ66&lt;=Control!$C$88,$BQ66,Control!$C$88-$BQ66)</f>
        <v>#N/A</v>
      </c>
      <c r="BS66" s="140" t="e">
        <f ca="1">IF(AND($BB66&gt;=21,$BB66&lt;30),1,IF($BQ66&gt;=Control!$C$88,0,$BO66))</f>
        <v>#N/A</v>
      </c>
      <c r="BT66" s="404" t="e">
        <f ca="1">IF($BS66=0,0,IF($BQ66&lt;=Control!$C$88,$BO66*(21+(30-21)*(BR66/Control!$C$88)),0))</f>
        <v>#N/A</v>
      </c>
      <c r="BU66" s="140" t="e">
        <f ca="1">IF(BG66+BM66+BS66=1,0,IF(OR(AND($BB66&lt;60,$BB66&gt;=30),$BQ66&gt;=Control!$C$88),1*$BA66,$BY65))</f>
        <v>#N/A</v>
      </c>
      <c r="BV66" s="140" t="e">
        <f ca="1">IF($BR66&lt;0,-$BR66,$BU66*IF(OR($G66&lt;Control!$C$92,$G66&gt;Control!$C$95),0,IF(AND($G66&gt;=Control!$C$92,$G66&lt;=Control!$C$93),$G66-Control!$C$92,IF(AND($G66&gt;Control!$C$93,$G66&lt;=Control!$C$94),Control!$C$93-Control!$C$92,IF(AND($G66&gt;Control!$C$94,$G66&lt;=Control!$C$95),(Control!$C$93-Control!$C$92)*(Control!$C$94-$G66)/(Control!$C$95-Control!$C$94))))))</f>
        <v>#N/A</v>
      </c>
      <c r="BW66" s="140" t="e">
        <f t="shared" ca="1" si="16"/>
        <v>#N/A</v>
      </c>
      <c r="BX66" s="140" t="e">
        <f ca="1">IF($BW66&lt;=Control!$C$89,$BW66,Control!$C$89-$BW66)</f>
        <v>#N/A</v>
      </c>
      <c r="BY66" s="140" t="e">
        <f ca="1">IF(AND($AJ66&gt;=30,$AJ66&lt;60),1,IF($BW66&gt;=Control!$C$89,0,$BU66))</f>
        <v>#N/A</v>
      </c>
      <c r="BZ66" s="404" t="e">
        <f ca="1">IF($BY66=0,0,IF($BW66&lt;=Control!$C$89,$BU66*(30+(60-30)*(BX66/Control!$C$89)),0))</f>
        <v>#N/A</v>
      </c>
      <c r="CA66" s="140" t="e">
        <f ca="1">IF($BG66+$BM66+$BS66+$BY66=1,0,IF(OR(AND($BB66&lt;65,$BB66&gt;=60),$BW66&gt;=Control!$C$89),1*$BA66,$CE65))</f>
        <v>#N/A</v>
      </c>
      <c r="CB66" s="140" t="e">
        <f ca="1">IF($BX66&lt;0,-$BX66,$CA66*IF(OR($G66&lt;Control!$C$92,$G66&gt;Control!$C$95),0,IF(AND($G66&gt;=Control!$C$92,$G66&lt;=Control!$C$93),$G66-Control!$C$92,IF(AND($G66&gt;Control!$C$93,$G66&lt;=Control!$C$94),Control!$C$93-Control!$C$92,IF(AND($G66&gt;Control!$C$94,$G66&lt;=Control!$C$95),(Control!$C$93-Control!$C$92)*(Control!$C$94-$G66)/(Control!$C$95-Control!$C$94))))))</f>
        <v>#N/A</v>
      </c>
      <c r="CC66" s="140" t="e">
        <f t="shared" ca="1" si="125"/>
        <v>#N/A</v>
      </c>
      <c r="CD66" s="140" t="e">
        <f ca="1">IF($CC66&lt;=Control!$C$90,$CC66,Control!$C$90-$CC66)</f>
        <v>#N/A</v>
      </c>
      <c r="CE66" s="140" t="e">
        <f ca="1">IF(AND($BB66&gt;=60,$BB66&lt;65),1,IF($CC66&gt;=Control!$C$90,0,$CA66))</f>
        <v>#N/A</v>
      </c>
      <c r="CF66" s="404" t="e">
        <f ca="1">IF($CE66=0,0,IF($CC66&lt;=Control!$C$90,$CA66*(60+(65-60)*(CD66/Control!$C$90)),0))</f>
        <v>#N/A</v>
      </c>
      <c r="CG66" s="140" t="e">
        <f ca="1">IF($BG66+$BM66+$BS66+$BY66+$CE66=1,0,IF(OR(AND($BB66&lt;90,$BB66&gt;=65),$CC66&gt;=Control!$C$90),$BA66,$CK65))</f>
        <v>#N/A</v>
      </c>
      <c r="CH66" s="140" t="e">
        <f ca="1">IF($CD66&lt;0,-$CD66,$CG66*IF(OR($G66&lt;Control!$C$92,$G66&gt;Control!$C$95),0,IF(AND($G66&gt;=Control!$C$92,$G66&lt;=Control!$C$93),$G66-Control!$C$92,IF(AND($G66&gt;Control!$C$93,$G66&lt;=Control!$C$94),Control!$C$93-Control!$C$92,IF(AND($G66&gt;Control!$C$94,$G66&lt;=Control!$C$95),(Control!$C$93-Control!$C$92)*(Control!$C$94-$G66)/(Control!$C$95-Control!$C$94))))))</f>
        <v>#N/A</v>
      </c>
      <c r="CI66" s="140" t="e">
        <f t="shared" ca="1" si="126"/>
        <v>#N/A</v>
      </c>
      <c r="CJ66" s="140" t="e">
        <f ca="1">IF($CI66&lt;=Control!$C$91,$CI66,Control!$C$91-$CI66)</f>
        <v>#N/A</v>
      </c>
      <c r="CK66" s="140" t="e">
        <f ca="1">IF(AND($BB66&gt;=65,$BB66&lt;90),1,IF($CI66&gt;=Control!$C$91,0,$CG66))</f>
        <v>#N/A</v>
      </c>
      <c r="CL66" s="404" t="e">
        <f ca="1">IF($CK66=0,0,IF($CI66&lt;=Control!$C$91,$CG66*(65+(90-65)*($CJ66/Control!$C$91)),0))</f>
        <v>#N/A</v>
      </c>
      <c r="CM66" s="140" t="e">
        <f ca="1">IF($BG66+$BM66+$BS66+$BY66+$CE66+$CK66=1,0,IF(OR($BB66&gt;=90,$CI66&gt;=Control!$C$91),$BA66,$CM65))</f>
        <v>#N/A</v>
      </c>
      <c r="CN66" s="140" t="e">
        <f t="shared" ca="1" si="127"/>
        <v>#N/A</v>
      </c>
      <c r="CO66" s="140" t="e">
        <f t="shared" ca="1" si="128"/>
        <v>#N/A</v>
      </c>
      <c r="CP66" s="140" t="e">
        <f t="shared" ca="1" si="129"/>
        <v>#N/A</v>
      </c>
      <c r="CQ66" s="141" t="e">
        <f ca="1">VLOOKUP($CP66,Control!$B$86:$G$91,6)</f>
        <v>#N/A</v>
      </c>
      <c r="CR66" s="141" t="e">
        <f ca="1">(1-$CQ66)*VLOOKUP($CP66,Control!$B$86:$D$91,3)</f>
        <v>#N/A</v>
      </c>
      <c r="CS66" s="141" t="e">
        <f ca="1">(1-$CQ66)*VLOOKUP($CP66,Control!$B$86:$E$91,4)</f>
        <v>#N/A</v>
      </c>
      <c r="CT66" s="141" t="e">
        <f ca="1">(1-$CQ66)*VLOOKUP($CP66,Control!$B$86:$F$91,5)</f>
        <v>#N/A</v>
      </c>
      <c r="CU66" s="141">
        <f t="shared" ca="1" si="130"/>
        <v>0</v>
      </c>
      <c r="CV66" s="583">
        <f t="shared" ca="1" si="131"/>
        <v>0</v>
      </c>
      <c r="CW66" s="142">
        <f t="shared" ca="1" si="132"/>
        <v>62</v>
      </c>
      <c r="CX66" s="612" t="e">
        <f ca="1">IF(Control!$C$114=1,(MIN(Control!$C$120*(IF($NT66-0.01&lt;0,0,1)),Control!$C$119-$CY66)))</f>
        <v>#DIV/0!</v>
      </c>
      <c r="CY66" s="143" t="e">
        <f t="shared" ca="1" si="133"/>
        <v>#N/A</v>
      </c>
      <c r="CZ66" s="144">
        <f t="shared" ca="1" si="17"/>
        <v>0</v>
      </c>
      <c r="DA66" s="144">
        <f t="shared" ca="1" si="18"/>
        <v>0</v>
      </c>
      <c r="DB66" s="144" t="e">
        <f t="shared" ca="1" si="19"/>
        <v>#N/A</v>
      </c>
      <c r="DC66" s="144" t="e">
        <f t="shared" ca="1" si="20"/>
        <v>#N/A</v>
      </c>
      <c r="DD66" s="144" t="e">
        <f t="shared" ca="1" si="216"/>
        <v>#N/A</v>
      </c>
      <c r="DE66" s="143" t="e">
        <f t="shared" ca="1" si="135"/>
        <v>#N/A</v>
      </c>
      <c r="DF66" s="145" t="e">
        <f ca="1">$DR66*EXP(-Control!$C$158*(1-$KH66))</f>
        <v>#N/A</v>
      </c>
      <c r="DG66" s="146" t="e">
        <f ca="1">IF(Control!$C$114=1, $DF66*$EY66, 0)</f>
        <v>#N/A</v>
      </c>
      <c r="DH66" s="147" t="e">
        <f t="shared" ca="1" si="136"/>
        <v>#N/A</v>
      </c>
      <c r="DI66" s="144" t="e">
        <f t="shared" ca="1" si="191"/>
        <v>#N/A</v>
      </c>
      <c r="DJ66" s="147" t="e">
        <f ca="1">$EF66*Control!$C$109</f>
        <v>#N/A</v>
      </c>
      <c r="DK66" s="144" t="e">
        <f t="shared" ca="1" si="137"/>
        <v>#N/A</v>
      </c>
      <c r="DL66" s="144" t="e">
        <f t="shared" ca="1" si="21"/>
        <v>#N/A</v>
      </c>
      <c r="DM66" s="144" t="e">
        <f ca="1">IF(Control!$C$114=1, (1-EXP(-Control!$C$96*$DK66))*$AR66, 0)</f>
        <v>#N/A</v>
      </c>
      <c r="DN66" s="144">
        <f t="shared" ca="1" si="138"/>
        <v>0</v>
      </c>
      <c r="DO66" s="148">
        <f>Control!$C$97</f>
        <v>4</v>
      </c>
      <c r="DP66" s="145" t="e">
        <f t="shared" ca="1" si="139"/>
        <v>#N/A</v>
      </c>
      <c r="DQ66" s="145" t="e">
        <f ca="1">IF(AND($CP66&gt;=0,$CP66&lt;=90),Control!$C$111,Control!$C$111)</f>
        <v>#N/A</v>
      </c>
      <c r="DR66" s="145" t="e">
        <f t="shared" ca="1" si="22"/>
        <v>#N/A</v>
      </c>
      <c r="DS66" s="143" t="e">
        <f ca="1">Control!$B$22/$DR66</f>
        <v>#N/A</v>
      </c>
      <c r="DT66" s="149" t="e">
        <f ca="1">IF(AND(Control!$C$114=1,$KH66&lt;1),$IM66*$DF66, 0)</f>
        <v>#N/A</v>
      </c>
      <c r="DU66" s="144" t="e">
        <f t="shared" ca="1" si="192"/>
        <v>#N/A</v>
      </c>
      <c r="DV66" s="144">
        <f ca="1">IF($G66-Control!$C$107&lt;=0, 0, 0.83*LN(MAX($G66, 3))-0.8924)</f>
        <v>0</v>
      </c>
      <c r="DW66" s="144" t="e">
        <f t="shared" ca="1" si="23"/>
        <v>#N/A</v>
      </c>
      <c r="DX66" s="150" t="e">
        <f ca="1">MAX(0.01*(1+$CU66/Control!$C$102),0.05*($DK66-Control!$C$97)/Control!$C$97)</f>
        <v>#N/A</v>
      </c>
      <c r="DY66" s="151" t="e">
        <f ca="1">IF(Control!$C$114=1, $DI66*$FS66, 0)</f>
        <v>#N/A</v>
      </c>
      <c r="DZ66" s="196" t="e">
        <f t="shared" ca="1" si="140"/>
        <v>#N/A</v>
      </c>
      <c r="EA66" s="152">
        <f t="shared" ca="1" si="141"/>
        <v>62</v>
      </c>
      <c r="EB66" s="153" t="e">
        <f t="shared" ca="1" si="217"/>
        <v>#N/A</v>
      </c>
      <c r="EC66" s="153" t="e">
        <f t="shared" ca="1" si="142"/>
        <v>#N/A</v>
      </c>
      <c r="ED66" s="154" t="e">
        <f ca="1">IF(Control!$C$114=1, $HM66*$FY66-$FD66, 0)</f>
        <v>#DIV/0!</v>
      </c>
      <c r="EE66" s="155" t="e">
        <f ca="1">IF(Control!$C$114=1, $HM66*$FZ66-$FF66, 0)</f>
        <v>#DIV/0!</v>
      </c>
      <c r="EF66" s="153" t="e">
        <f t="shared" ca="1" si="193"/>
        <v>#N/A</v>
      </c>
      <c r="EG66" s="155" t="e">
        <f ca="1">IF(Control!$C$114=1, $GX66*$FW66-$FI66, 0)</f>
        <v>#DIV/0!</v>
      </c>
      <c r="EH66" s="153" t="e">
        <f t="shared" ca="1" si="143"/>
        <v>#N/A</v>
      </c>
      <c r="EI66" s="156" t="e">
        <f t="shared" ca="1" si="144"/>
        <v>#N/A</v>
      </c>
      <c r="EJ66" s="155" t="e">
        <f ca="1">IF(Control!$C$114=1, $HM66*$GB66, 0)</f>
        <v>#DIV/0!</v>
      </c>
      <c r="EK66" s="153" t="e">
        <f t="shared" ca="1" si="194"/>
        <v>#N/A</v>
      </c>
      <c r="EL66" s="153" t="e">
        <f t="shared" ca="1" si="24"/>
        <v>#N/A</v>
      </c>
      <c r="EM66" s="153" t="e">
        <f t="shared" ca="1" si="25"/>
        <v>#N/A</v>
      </c>
      <c r="EN66" s="153" t="e">
        <f ca="1">IF(Control!$C$108=1,IF(AND(Control!$B$18=1,$EB66&gt;=Control!$B$19),$EB66-$DS66,IF(AND(Control!$B$18=2,$AW66=1,$EB66&gt;$DS66),$EB66-$DS66,0)))</f>
        <v>#N/A</v>
      </c>
      <c r="EO66" s="153" t="e">
        <f ca="1">IF(Control!$C$108=1,IF(AND(Control!$B$18=1,$EB66&gt;=Control!$B$19),$EF66,IF(AND(Control!$B$18=2,$AW66=1),$EF66,0)))</f>
        <v>#N/A</v>
      </c>
      <c r="EP66" s="153" t="e">
        <f ca="1">IF(Control!$C$108=1,IF(AND(Control!$B$18=1,$EB66&gt;=Control!$B$19),$EK66,IF(AND(Control!$B$18=2,$AW66=1),$EK66,0)))</f>
        <v>#N/A</v>
      </c>
      <c r="EQ66" s="153" t="e">
        <f t="shared" ca="1" si="145"/>
        <v>#N/A</v>
      </c>
      <c r="ER66" s="153" t="e">
        <f t="shared" ca="1" si="231"/>
        <v>#N/A</v>
      </c>
      <c r="ES66" s="153" t="e">
        <f t="shared" ca="1" si="196"/>
        <v>#N/A</v>
      </c>
      <c r="ET66" s="153" t="e">
        <f t="shared" ca="1" si="197"/>
        <v>#N/A</v>
      </c>
      <c r="EU66" s="153" t="e">
        <f t="shared" ca="1" si="198"/>
        <v>#N/A</v>
      </c>
      <c r="EV66" s="153" t="e">
        <f t="shared" ca="1" si="146"/>
        <v>#N/A</v>
      </c>
      <c r="EW66" s="153" t="e">
        <f t="shared" ca="1" si="218"/>
        <v>#N/A</v>
      </c>
      <c r="EX66" s="153" t="e">
        <f t="shared" ca="1" si="26"/>
        <v>#N/A</v>
      </c>
      <c r="EY66" s="157" t="e">
        <f t="shared" ca="1" si="147"/>
        <v>#DIV/0!</v>
      </c>
      <c r="EZ66" s="154" t="e">
        <f t="shared" ca="1" si="27"/>
        <v>#DIV/0!</v>
      </c>
      <c r="FA66" s="153" t="e">
        <f t="shared" ca="1" si="199"/>
        <v>#N/A</v>
      </c>
      <c r="FB66" s="153" t="e">
        <f t="shared" ca="1" si="28"/>
        <v>#N/A</v>
      </c>
      <c r="FC66" s="193" t="e">
        <f t="shared" ca="1" si="29"/>
        <v>#N/A</v>
      </c>
      <c r="FD66" s="158" t="e">
        <f t="shared" ca="1" si="200"/>
        <v>#N/A</v>
      </c>
      <c r="FE66" s="158" t="e">
        <f t="shared" ca="1" si="148"/>
        <v>#N/A</v>
      </c>
      <c r="FF66" s="159" t="e">
        <f t="shared" ca="1" si="30"/>
        <v>#N/A</v>
      </c>
      <c r="FG66" s="160" t="e">
        <f t="shared" ca="1" si="149"/>
        <v>#N/A</v>
      </c>
      <c r="FH66" s="158" t="e">
        <f t="shared" ca="1" si="150"/>
        <v>#N/A</v>
      </c>
      <c r="FI66" s="159" t="e">
        <f t="shared" ca="1" si="31"/>
        <v>#N/A</v>
      </c>
      <c r="FJ66" s="160" t="e">
        <f t="shared" ca="1" si="151"/>
        <v>#N/A</v>
      </c>
      <c r="FK66" s="160" t="e">
        <f t="shared" ca="1" si="32"/>
        <v>#N/A</v>
      </c>
      <c r="FL66" s="160" t="e">
        <f t="shared" ca="1" si="229"/>
        <v>#N/A</v>
      </c>
      <c r="FM66" s="160" t="e">
        <f t="shared" ca="1" si="33"/>
        <v>#N/A</v>
      </c>
      <c r="FN66" s="158">
        <f t="shared" ca="1" si="219"/>
        <v>0.01</v>
      </c>
      <c r="FO66" s="160">
        <f>Control!$C$101</f>
        <v>50</v>
      </c>
      <c r="FP66" s="150" t="e">
        <f t="shared" ca="1" si="34"/>
        <v>#N/A</v>
      </c>
      <c r="FQ66" s="150" t="e">
        <f ca="1">MAX(0,(Control!$C$112*(($DK66-Control!$C$97)/Control!$C$97)))</f>
        <v>#N/A</v>
      </c>
      <c r="FR66" s="150" t="e">
        <f ca="1">(1-$NT66)*Control!$C$113</f>
        <v>#DIV/0!</v>
      </c>
      <c r="FS66" s="198" t="e">
        <f t="shared" ca="1" si="35"/>
        <v>#N/A</v>
      </c>
      <c r="FT66" s="161">
        <f t="shared" ca="1" si="152"/>
        <v>62</v>
      </c>
      <c r="FU66" s="162" t="e">
        <f ca="1">IF(Control!$B$34=1,VLOOKUP($CP66,Control!$B$86:$G$91,6),Control!$B$35)</f>
        <v>#N/A</v>
      </c>
      <c r="FV66" s="162" t="e">
        <f t="shared" ca="1" si="36"/>
        <v>#DIV/0!</v>
      </c>
      <c r="FW66" s="162" t="e">
        <f ca="1">IF(Control!$B$31=1,$FU66*$FV66,  $FU66)</f>
        <v>#N/A</v>
      </c>
      <c r="FX66" s="162" t="e">
        <f ca="1">IF(Control!$B$34=1,VLOOKUP($CP66,Control!$B$86:$G$91,3),Control!$B$36)</f>
        <v>#N/A</v>
      </c>
      <c r="FY66" s="162" t="e">
        <f t="shared" ca="1" si="37"/>
        <v>#N/A</v>
      </c>
      <c r="FZ66" s="162" t="e">
        <f ca="1">IF(Control!$B$34=1,VLOOKUP($CP66,Control!$B$86:$G$91,4),Control!$B$37)</f>
        <v>#N/A</v>
      </c>
      <c r="GA66" s="162" t="e">
        <f t="shared" ca="1" si="38"/>
        <v>#N/A</v>
      </c>
      <c r="GB66" s="162" t="e">
        <f ca="1">IF(Control!$B$34=1,VLOOKUP($CP66,Control!$B$86:$G$91,5),Control!$B$38)</f>
        <v>#N/A</v>
      </c>
      <c r="GC66" s="162" t="e">
        <f t="shared" ca="1" si="153"/>
        <v>#N/A</v>
      </c>
      <c r="GD66" s="162">
        <f t="shared" ca="1" si="39"/>
        <v>1</v>
      </c>
      <c r="GE66" s="162">
        <f t="shared" ca="1" si="40"/>
        <v>1</v>
      </c>
      <c r="GF66" s="162">
        <f ca="1">IF(AND(Control!$C$104=1, Control!$C$62="F"),$GE66,1)</f>
        <v>1</v>
      </c>
      <c r="GG66" s="162" t="e">
        <f ca="1">IF(Control!$B$16=40,0,IF(AND(Control!$B$16&gt;40,Control!$B$16&lt;=360),(Control!$B$16-40)*((1-0)/(360-40)),IF(AND(Control!$B$16&gt;360,Control!$B$16&lt;=720),(1+(Control!$B$16-360)*((1.25-1)/(720-360))),IF(AND(Control!$B$16&gt;720,Control!$B$16&lt;=1000),(1.25+(Control!$B$16-720)*((1.35-1.25)/(1000-720))),IF(AND(Control!$B$16&gt;1000,Control!$B$16&lt;=2000),(1.35+(Control!$B$16-1000)*0))))))</f>
        <v>#N/A</v>
      </c>
      <c r="GH66" s="162" t="e">
        <f t="shared" ca="1" si="41"/>
        <v>#N/A</v>
      </c>
      <c r="GI66" s="162">
        <f t="shared" ca="1" si="201"/>
        <v>0</v>
      </c>
      <c r="GJ66" s="162">
        <f t="shared" ca="1" si="42"/>
        <v>0</v>
      </c>
      <c r="GK66" s="162">
        <f t="shared" ca="1" si="220"/>
        <v>1</v>
      </c>
      <c r="GL66" s="162">
        <f t="shared" ca="1" si="43"/>
        <v>1</v>
      </c>
      <c r="GM66" s="162" t="e">
        <f ca="1">MAX(0,MIN(1,1-Control!$C$156*(1.0001-$KH66)^2))</f>
        <v>#N/A</v>
      </c>
      <c r="GN66" s="162" t="e">
        <f ca="1">IF(Control!$B$26=1,$KU66,$KX66)</f>
        <v>#N/A</v>
      </c>
      <c r="GO66" s="162" t="e">
        <f ca="1">IF($CP66&lt;=60,Control!$C$105,IF($CP66&gt;=90,Control!$C$106,Control!$C$105+($CP66-60)*((Control!$C$106-Control!$C$105)/(90-60))))</f>
        <v>#N/A</v>
      </c>
      <c r="GP66" s="162" t="e">
        <f t="shared" ca="1" si="154"/>
        <v>#N/A</v>
      </c>
      <c r="GQ66" s="162" t="e">
        <f t="shared" ca="1" si="155"/>
        <v>#N/A</v>
      </c>
      <c r="GR66" s="163" t="e">
        <f t="shared" ca="1" si="44"/>
        <v>#DIV/0!</v>
      </c>
      <c r="GS66" s="162" t="e">
        <f t="shared" ca="1" si="45"/>
        <v>#DIV/0!</v>
      </c>
      <c r="GT66" s="164" t="e">
        <f t="shared" ca="1" si="156"/>
        <v>#N/A</v>
      </c>
      <c r="GU66" s="162" t="e">
        <f t="shared" ca="1" si="157"/>
        <v>#N/A</v>
      </c>
      <c r="GV66" s="162" t="e">
        <f t="shared" ca="1" si="46"/>
        <v>#N/A</v>
      </c>
      <c r="GW66" s="162" t="e">
        <f t="shared" ca="1" si="221"/>
        <v>#DIV/0!</v>
      </c>
      <c r="GX66" s="162" t="e">
        <f t="shared" ca="1" si="228"/>
        <v>#DIV/0!</v>
      </c>
      <c r="GY66" s="162" t="e">
        <f t="shared" ca="1" si="158"/>
        <v>#DIV/0!</v>
      </c>
      <c r="GZ66" s="165" t="e">
        <f t="shared" ca="1" si="159"/>
        <v>#N/A</v>
      </c>
      <c r="HA66" s="162" t="e">
        <f ca="1">IF(Control!$C$114=1, $DI66*$FS66, 0)</f>
        <v>#N/A</v>
      </c>
      <c r="HB66" s="162" t="e">
        <f ca="1">$FA66/Control!$C$64</f>
        <v>#N/A</v>
      </c>
      <c r="HC66" s="162" t="e">
        <f t="shared" ca="1" si="222"/>
        <v>#DIV/0!</v>
      </c>
      <c r="HD66" s="162">
        <f ca="1">-ASIN(SIN(23.45*Control!$C$139)*COS(2*Control!$C$138*($AH66+10)/365))</f>
        <v>-0.12983308306617528</v>
      </c>
      <c r="HE66" s="165">
        <f t="shared" ca="1" si="160"/>
        <v>0</v>
      </c>
      <c r="HF66" s="166">
        <f ca="1">IF(AND(Control!$C$61="T",$HE66&gt;=Control!$C$103,Control!$C$114=0),$AH66,Control!$C$59)</f>
        <v>1</v>
      </c>
      <c r="HG66" s="166">
        <f ca="1">IF(AND(Control!$C$61="T",$HE66&gt;=Control!$C$103,Control!$C$114=0),$HF66,Control!$C$59)</f>
        <v>1</v>
      </c>
      <c r="HH66" s="165">
        <f ca="1">IF(AND(OR(Control!$C$60&lt;=0, $AH66= Control!$C$59, Control!$C$60 &gt;0, $AH66 = Control!$C$60)), Control!$C$59, IF(Control!$C$60&gt;0, 0))</f>
        <v>1</v>
      </c>
      <c r="HI66" s="165">
        <f ca="1">IF(AND(OR(Control!$C$60&lt;=0, $AH66= Control!$C$59, Control!$C$60 &gt;0, $AH66 = Control!$C$60)), Control!$C$60, IF(Control!$C$60&lt;=0, 0))</f>
        <v>0</v>
      </c>
      <c r="HJ66" s="166">
        <f ca="1">IF(AND(Control!$C$62="F",$CV66&gt;=Control!$C$102),$AH66,0)</f>
        <v>0</v>
      </c>
      <c r="HK66" s="165" t="e">
        <f t="shared" ca="1" si="202"/>
        <v>#N/A</v>
      </c>
      <c r="HL66" s="166">
        <f ca="1">IF(AND(Control!$C$61="T",$HE66&gt;=Control!$C$103,Control!$C$114=0),$HF66,0)</f>
        <v>0</v>
      </c>
      <c r="HM66" s="201" t="e">
        <f t="shared" ca="1" si="47"/>
        <v>#DIV/0!</v>
      </c>
      <c r="HN66" s="215">
        <f t="shared" ca="1" si="161"/>
        <v>62</v>
      </c>
      <c r="HO66" s="216" t="e">
        <f ca="1">IF(AND($CP66&gt;=0, $CP66&lt;=90), Control!$C$152, Control!$C$152)</f>
        <v>#N/A</v>
      </c>
      <c r="HP66" s="216" t="e">
        <f t="shared" ca="1" si="48"/>
        <v>#N/A</v>
      </c>
      <c r="HQ66" s="217" t="e">
        <f ca="1">IF(OR(Control!$B$26=1,Control!$B$26=2),$KV66,$KS66)</f>
        <v>#DIV/0!</v>
      </c>
      <c r="HR66" s="218" t="e">
        <f t="shared" ca="1" si="223"/>
        <v>#DIV/0!</v>
      </c>
      <c r="HS66" s="216" t="e">
        <f ca="1">Control!$C$154*$HP66</f>
        <v>#N/A</v>
      </c>
      <c r="HT66" s="216" t="e">
        <f ca="1">Control!$C$155*$HP66</f>
        <v>#N/A</v>
      </c>
      <c r="HU66" s="217" t="e">
        <f ca="1">Control!$C$161*$FI66</f>
        <v>#N/A</v>
      </c>
      <c r="HV66" s="218" t="e">
        <f t="shared" ca="1" si="162"/>
        <v>#N/A</v>
      </c>
      <c r="HW66" s="218" t="e">
        <f ca="1">Control!$C$160*$FF66+$IP66*$EO66</f>
        <v>#N/A</v>
      </c>
      <c r="HX66" s="218" t="e">
        <f t="shared" ca="1" si="203"/>
        <v>#N/A</v>
      </c>
      <c r="HY66" s="219" t="e">
        <f ca="1">IF(Control!$C$114=1, $EB66*$FS66, 0)</f>
        <v>#N/A</v>
      </c>
      <c r="HZ66" s="91" t="e">
        <f t="shared" ca="1" si="49"/>
        <v>#N/A</v>
      </c>
      <c r="IA66" s="220" t="e">
        <f ca="1">Control!$C$153*$HO66</f>
        <v>#N/A</v>
      </c>
      <c r="IB66" s="218" t="e">
        <f t="shared" ca="1" si="50"/>
        <v>#N/A</v>
      </c>
      <c r="IC66" s="220" t="e">
        <f ca="1">Control!$C$153*$HT66</f>
        <v>#N/A</v>
      </c>
      <c r="ID66" s="218" t="e">
        <f t="shared" ca="1" si="51"/>
        <v>#N/A</v>
      </c>
      <c r="IE66" s="221" t="e">
        <f ca="1">($EB66*Control!$C$159+$EF66*Control!$C$160)/(IF($GZ66&lt;&gt;0,$GZ66,1))</f>
        <v>#N/A</v>
      </c>
      <c r="IF66" s="216" t="e">
        <f t="shared" ca="1" si="52"/>
        <v>#N/A</v>
      </c>
      <c r="IG66" s="91">
        <f ca="1">IF(OR(Control!$B$198=$AH66,Control!$B$199=$AH66, Control!$B$200=$AH66, Control!$B$201=$AH66, Control!$B$202=$AH66, Control!$B$203=$AH66, Control!$B$204=$AH66, Control!$B$205=$AH66, Control!$B$206=$AH66, Control!$B$207=$AH66), 1, 0)</f>
        <v>0</v>
      </c>
      <c r="IH66" s="91">
        <f ca="1">IF($IG66=0,0, VLOOKUP($AH66,Control!$B$198:$C$207,2))</f>
        <v>0</v>
      </c>
      <c r="II66" s="222">
        <f t="shared" ca="1" si="163"/>
        <v>0</v>
      </c>
      <c r="IJ66" s="91">
        <f>Control!$C$121</f>
        <v>0.7</v>
      </c>
      <c r="IK66" s="218">
        <f t="shared" ca="1" si="53"/>
        <v>0</v>
      </c>
      <c r="IL66" s="217" t="e">
        <f t="shared" ca="1" si="204"/>
        <v>#N/A</v>
      </c>
      <c r="IM66" s="223" t="e">
        <f ca="1">IF(AND(Control!$C$114=1,$KH66&lt;1),$EB66*Control!$C$148*(1-$KH66), 0)</f>
        <v>#N/A</v>
      </c>
      <c r="IN66" s="217" t="e">
        <f t="shared" ca="1" si="54"/>
        <v>#DIV/0!</v>
      </c>
      <c r="IO66" s="91" t="e">
        <f ca="1">MAX(0,$IL66-$EF66*Control!$C$160)</f>
        <v>#N/A</v>
      </c>
      <c r="IP66" s="220" t="e">
        <f t="shared" ca="1" si="55"/>
        <v>#N/A</v>
      </c>
      <c r="IQ66" s="217" t="e">
        <f t="shared" ca="1" si="164"/>
        <v>#N/A</v>
      </c>
      <c r="IR66" s="218" t="e">
        <f t="shared" ca="1" si="56"/>
        <v>#N/A</v>
      </c>
      <c r="IS66" s="217" t="e">
        <f ca="1">Control!$C$159*MAX(0,$FD66-$EN66)</f>
        <v>#N/A</v>
      </c>
      <c r="IT66" s="217" t="e">
        <f t="shared" ca="1" si="205"/>
        <v>#N/A</v>
      </c>
      <c r="IU66" s="217" t="e">
        <f t="shared" ca="1" si="165"/>
        <v>#N/A</v>
      </c>
      <c r="IV66" s="217" t="e">
        <f t="shared" ca="1" si="206"/>
        <v>#N/A</v>
      </c>
      <c r="IW66" s="217" t="e">
        <f ca="1">IF(OR($AW66=1,AND($AW66=0, Control!$B$18=1,$EN66&lt;&gt;0)), $IQ66-$IU66, $IQ66)</f>
        <v>#N/A</v>
      </c>
      <c r="IX66" s="218" t="e">
        <f t="shared" ca="1" si="57"/>
        <v>#N/A</v>
      </c>
      <c r="IY66" s="218" t="e">
        <f ca="1">MAX(0,$IQ66-$EB66*Control!$C$159)</f>
        <v>#N/A</v>
      </c>
      <c r="IZ66" s="218" t="e">
        <f t="shared" ca="1" si="58"/>
        <v>#N/A</v>
      </c>
      <c r="JA66" s="216" t="e">
        <f t="shared" ca="1" si="59"/>
        <v>#N/A</v>
      </c>
      <c r="JB66" s="217" t="e">
        <f t="shared" ca="1" si="60"/>
        <v>#N/A</v>
      </c>
      <c r="JC66" s="222" t="e">
        <f ca="1">MAX(Control!$C$157*$EK66-$JT66, 0)/Control!$C$162</f>
        <v>#N/A</v>
      </c>
      <c r="JD66" s="218" t="e">
        <f t="shared" ca="1" si="61"/>
        <v>#N/A</v>
      </c>
      <c r="JE66" s="218" t="e">
        <f t="shared" ca="1" si="62"/>
        <v>#N/A</v>
      </c>
      <c r="JF66" s="218" t="e">
        <f t="shared" ca="1" si="207"/>
        <v>#N/A</v>
      </c>
      <c r="JG66" s="218" t="e">
        <f t="shared" ca="1" si="63"/>
        <v>#N/A</v>
      </c>
      <c r="JH66" s="217" t="e">
        <f t="shared" ca="1" si="166"/>
        <v>#N/A</v>
      </c>
      <c r="JI66" s="217" t="e">
        <f t="shared" ca="1" si="167"/>
        <v>#N/A</v>
      </c>
      <c r="JJ66" s="217" t="e">
        <f t="shared" ca="1" si="224"/>
        <v>#N/A</v>
      </c>
      <c r="JK66" s="217" t="e">
        <f ca="1">IF(Control!$C$114=1,IF(Control!$B$24=0,MAX(0,$JI66)*$GN66/Control!$C$64,(MAX(0,MIN($JI66,$JJ66*$GN66/Control!$C$64),0))))</f>
        <v>#N/A</v>
      </c>
      <c r="JL66" s="217" t="e">
        <f ca="1">$IK66/Control!$C$64-$JK66+$HQ66</f>
        <v>#N/A</v>
      </c>
      <c r="JM66" s="217" t="e">
        <f ca="1">IF(Control!$C$114=1,($JB66/(IF($JI66&lt;&gt;0,$JI66,1)))*$JK66,0)</f>
        <v>#N/A</v>
      </c>
      <c r="JN66" s="217" t="e">
        <f ca="1">IF(Control!$C$114=1,($JG66/(IF($JI66&lt;&gt;0,$JI66,1)))*$JK66, 0)</f>
        <v>#N/A</v>
      </c>
      <c r="JO66" s="218" t="e">
        <f t="shared" ca="1" si="64"/>
        <v>#N/A</v>
      </c>
      <c r="JP66" s="218" t="e">
        <f ca="1">MIN(($IY66+$IO66)*Control!$C$151, $JF66-$EH66*Control!$C$161)</f>
        <v>#N/A</v>
      </c>
      <c r="JQ66" s="218" t="e">
        <f t="shared" ca="1" si="65"/>
        <v>#N/A</v>
      </c>
      <c r="JR66" s="217" t="e">
        <f ca="1">IF($CP66-Control!$C$150&lt;0, 0, $JQ66/Control!$C$162)</f>
        <v>#N/A</v>
      </c>
      <c r="JS66" s="218" t="e">
        <f t="shared" ca="1" si="66"/>
        <v>#N/A</v>
      </c>
      <c r="JT66" s="218" t="e">
        <f t="shared" ca="1" si="168"/>
        <v>#N/A</v>
      </c>
      <c r="JU66" s="218" t="e">
        <f t="shared" ca="1" si="67"/>
        <v>#N/A</v>
      </c>
      <c r="JV66" s="218" t="e">
        <f t="shared" ca="1" si="68"/>
        <v>#N/A</v>
      </c>
      <c r="JW66" s="216" t="e">
        <f t="shared" ca="1" si="69"/>
        <v>#N/A</v>
      </c>
      <c r="JX66" s="91" t="e">
        <f t="shared" ca="1" si="70"/>
        <v>#N/A</v>
      </c>
      <c r="JY66" s="218" t="e">
        <f t="shared" ca="1" si="71"/>
        <v>#N/A</v>
      </c>
      <c r="JZ66" s="217" t="e">
        <f ca="1">IF(Control!$C$114=1,($IZ66/(IF($JI66&lt;&gt;0,$JI66,1)))*$JK66, 0)</f>
        <v>#N/A</v>
      </c>
      <c r="KA66" s="218" t="e">
        <f t="shared" ca="1" si="225"/>
        <v>#N/A</v>
      </c>
      <c r="KB66" s="218" t="e">
        <f t="shared" ca="1" si="169"/>
        <v>#N/A</v>
      </c>
      <c r="KC66" s="218" t="e">
        <f t="shared" ca="1" si="72"/>
        <v>#N/A</v>
      </c>
      <c r="KD66" s="218" t="e">
        <f t="shared" ca="1" si="73"/>
        <v>#N/A</v>
      </c>
      <c r="KE66" s="218" t="e">
        <f t="shared" ca="1" si="74"/>
        <v>#N/A</v>
      </c>
      <c r="KF66" s="218" t="e">
        <f t="shared" ca="1" si="75"/>
        <v>#N/A</v>
      </c>
      <c r="KG66" s="216" t="e">
        <f t="shared" ca="1" si="76"/>
        <v>#N/A</v>
      </c>
      <c r="KH66" s="221" t="e">
        <f ca="1">IF(Control!$B$24=0,1,MAX(0.001,MIN(1,IF(($IF66-$IE66)&lt;&gt;0,($KG66-$IE66)/($IF66-$IE66),1))))</f>
        <v>#N/A</v>
      </c>
      <c r="KI66" s="222" t="e">
        <f ca="1">IF(Control!$C$114=1, $KI65+ $KH65, 0)</f>
        <v>#N/A</v>
      </c>
      <c r="KJ66" s="217" t="e">
        <f t="shared" ca="1" si="77"/>
        <v>#N/A</v>
      </c>
      <c r="KK66" s="218" t="e">
        <f t="shared" ca="1" si="78"/>
        <v>#N/A</v>
      </c>
      <c r="KL66" s="274" t="e">
        <f ca="1">IF(Control!$B$26=3,4000000000*EXP(-8400/($G66+273)),IF(Control!$B$26=4,4000000000*EXP(-8400/($G66+273))*($KT66),0))</f>
        <v>#DIV/0!</v>
      </c>
      <c r="KM66" s="274" t="e">
        <f ca="1">IF(Control!$B$26=3,5600000000000*EXP(-9800/($G66+273)),IF(Control!$B$26=4,5600000000000*EXP(-9800/($G66+273))*$KT66,0))</f>
        <v>#DIV/0!</v>
      </c>
      <c r="KN66" s="454" t="e">
        <f t="shared" ca="1" si="170"/>
        <v>#DIV/0!</v>
      </c>
      <c r="KO66" s="274" t="e">
        <f t="shared" ca="1" si="171"/>
        <v>#DIV/0!</v>
      </c>
      <c r="KP66" s="454" t="e">
        <f t="shared" ca="1" si="79"/>
        <v>#DIV/0!</v>
      </c>
      <c r="KQ66" s="454" t="e">
        <f t="shared" ca="1" si="80"/>
        <v>#DIV/0!</v>
      </c>
      <c r="KR66" s="454" t="e">
        <f t="shared" ca="1" si="81"/>
        <v>#DIV/0!</v>
      </c>
      <c r="KS66" s="454" t="e">
        <f t="shared" ca="1" si="82"/>
        <v>#DIV/0!</v>
      </c>
      <c r="KT66" s="455" t="e">
        <f t="shared" ca="1" si="83"/>
        <v>#DIV/0!</v>
      </c>
      <c r="KU66" s="456" t="e">
        <f ca="1">IF($CP66-Control!$C$149&lt;0, IF($NT66-0.01&lt;0,0,1),0)</f>
        <v>#N/A</v>
      </c>
      <c r="KV66" s="456" t="e">
        <f ca="1">IF(Control!$C$114=1,MAX(0,MIN(Control!$C$125*$KW66*$GN66,$KW66)))</f>
        <v>#DIV/0!</v>
      </c>
      <c r="KW66" s="456" t="e">
        <f t="shared" ca="1" si="208"/>
        <v>#DIV/0!</v>
      </c>
      <c r="KX66" s="457" t="e">
        <f ca="1">IF($CP66-Control!$C$149&lt;0, IF($MR66-$OM66&lt;0,0,1),0)</f>
        <v>#N/A</v>
      </c>
      <c r="KY66" s="167">
        <f t="shared" ca="1" si="172"/>
        <v>62</v>
      </c>
      <c r="KZ66" s="168">
        <f ca="1">1370*(1+0.033*COS(2*Control!$C$138*$AH66/365))</f>
        <v>1391.8140761749291</v>
      </c>
      <c r="LA66" s="169">
        <f t="shared" ca="1" si="173"/>
        <v>1.0159227554781203</v>
      </c>
      <c r="LB66" s="169">
        <f t="shared" ca="1" si="174"/>
        <v>-0.12971294430879665</v>
      </c>
      <c r="LC66" s="169">
        <f ca="1">ACOS(-TAN((2*Control!$B$8/360))*TAN(Calculations!$LB66))</f>
        <v>1.5320178370305808</v>
      </c>
      <c r="LD66" s="169">
        <f ca="1">((24*60)/PI())*0.082*$LA66*(($LC66*SIN(Control!$B$8*2*PI()/360))*SIN($LB66)+COS(Control!$B$8*2*PI()/360)*COS($LB66)*SIN($LC66))</f>
        <v>17.330940186364934</v>
      </c>
      <c r="LE66" s="170">
        <f t="shared" ca="1" si="84"/>
        <v>17.55765429786819</v>
      </c>
      <c r="LF66" s="170">
        <f ca="1">SIN(Control!$C$139*Control!$B$8)*SIN($HD66)</f>
        <v>-0.10202284370706191</v>
      </c>
      <c r="LG66" s="170">
        <f ca="1">COS(Control!$C$139*Control!$B$8)*COS($HD66)</f>
        <v>0.61047811330415569</v>
      </c>
      <c r="LH66" s="170">
        <f ca="1">12*(1+2*ASIN(MAX(-1,MIN(1,$LF66/$LG66))/Control!$C$138))</f>
        <v>10.722700568399073</v>
      </c>
      <c r="LI66" s="170">
        <f ca="1">12*(1+2*ASIN(MAX(-1,MIN(1,(-SIN(-4*Control!$C$139)+$LF66)/$LG66))/Control!$C$138))</f>
        <v>11.596207115476858</v>
      </c>
      <c r="LJ66" s="168">
        <f ca="1">3600*($LH66*$LF66+24*$LG66*SQRT(1-$LK66*$LK66)/Control!$C$138)</f>
        <v>12614.942324855083</v>
      </c>
      <c r="LK66" s="170">
        <f t="shared" ca="1" si="85"/>
        <v>-0.16711957641670855</v>
      </c>
      <c r="LL66" s="170">
        <f t="shared" ca="1" si="86"/>
        <v>0</v>
      </c>
      <c r="LM66" s="171">
        <f ca="1">Control!$C$145*$AB66</f>
        <v>6.6660906138995932E-2</v>
      </c>
      <c r="LN66" s="170">
        <f t="shared" ca="1" si="175"/>
        <v>0.54</v>
      </c>
      <c r="LO66" s="170">
        <f t="shared" ca="1" si="87"/>
        <v>0</v>
      </c>
      <c r="LP66" s="170">
        <f ca="1">Control!$C$140*((($D66+273.16)^4+($E66+273.16)^4)/2)*(0.34-0.14*SQRT($Y66))*(1.35*$AQ66/(0.75*$LD66)-0.35)</f>
        <v>-3.2464704755046001</v>
      </c>
      <c r="LQ66" s="170">
        <f ca="1">Control!$C$140*($G66+273)^4*(0.56-0.079*SQRT($Y66*10))*(0.1+0.9*$LO66)</f>
        <v>1.5241745131704001</v>
      </c>
      <c r="LR66" s="170">
        <f ca="1">$AQ66*(1-Control!$C$142)-$LQ66</f>
        <v>-1.5241745131704001</v>
      </c>
      <c r="LS66" s="170">
        <f ca="1">$AQ66*(1-Control!$C$143)-$LQ66</f>
        <v>-1.5241745131704001</v>
      </c>
      <c r="LT66" s="170">
        <f ca="1">$AQ66*(1-Control!$C$144)-$LQ66</f>
        <v>-1.5241745131704001</v>
      </c>
      <c r="LU66" s="169">
        <f ca="1">(1-Control!$C$144)*AQ66-LP66</f>
        <v>3.2464704755046001</v>
      </c>
      <c r="LV66" s="172">
        <f t="shared" ca="1" si="88"/>
        <v>0.79430000000000012</v>
      </c>
      <c r="LW66" s="170">
        <f t="shared" ca="1" si="89"/>
        <v>1.5886000000000002</v>
      </c>
      <c r="LX66" s="170">
        <f ca="1">($AC66*($LR66/Control!$C$141)+$LM66*$LV66)/($AC66+$LM66)</f>
        <v>0.23530094218323697</v>
      </c>
      <c r="LY66" s="170">
        <f ca="1">($AC66*($LS66/Control!$C$141)+$LM66*$LV66)/($AC66+$LM66)</f>
        <v>0.23530094218323697</v>
      </c>
      <c r="LZ66" s="170">
        <f t="shared" ca="1" si="90"/>
        <v>0.23530094218323697</v>
      </c>
      <c r="MA66" s="170">
        <f t="shared" ca="1" si="91"/>
        <v>0.23530094218323697</v>
      </c>
      <c r="MB66" s="170" t="e">
        <f t="shared" ca="1" si="92"/>
        <v>#N/A</v>
      </c>
      <c r="MC66" s="170">
        <f t="shared" ca="1" si="176"/>
        <v>0.6018</v>
      </c>
      <c r="MD66" s="170">
        <f t="shared" ca="1" si="93"/>
        <v>0.52989392535414004</v>
      </c>
      <c r="ME66" s="170">
        <f ca="1">($AC66*($LT66/Control!$C$141)+$LM66*$LW66)/($AC66+$LM66)</f>
        <v>0.71612369323045078</v>
      </c>
      <c r="MF66" s="170" t="e">
        <f ca="1">IF(Control!$B$16&gt;=1000,0.92,IF(AND(720&lt;=Control!$B$16,1000&gt;Control!$B$16),(0.95+(Control!$B$16-720)*((0.92-0.95)/(1000-720))),IF(AND(360&lt;=Control!$B$16,720&gt;Control!$B$16),(1+(Control!$B$16-360)*((0.95-1)/(720-360))),IF(AND(40&lt;=Control!$B$16,360&gt;Control!$B$16),(1.05+(Control!$B$16-40)*((1.05-1)/(360-40)))))))</f>
        <v>#N/A</v>
      </c>
      <c r="MG66" s="170">
        <f t="shared" ca="1" si="94"/>
        <v>0.71612369323045078</v>
      </c>
      <c r="MH66" s="170" t="e">
        <f t="shared" ref="MH66:MI85" ca="1" si="233">$MG66*$MF66</f>
        <v>#N/A</v>
      </c>
      <c r="MI66" s="170" t="e">
        <f t="shared" ca="1" si="233"/>
        <v>#N/A</v>
      </c>
      <c r="MJ66" s="170" t="e">
        <f ca="1">MAX(0.0001, Control!$C$132*$MI66*$DL66)</f>
        <v>#N/A</v>
      </c>
      <c r="MK66" s="170">
        <f ca="1">1/(0.76+1.5*($MG66/10))-(5-Control!$C$110)*0.1</f>
        <v>1.002845988140797</v>
      </c>
      <c r="ML66" s="173">
        <f ca="1">IF(Control!$C$110&lt;3,$MK66+($MG66-0.6)/(Control!$C$110*(Control!$C$110+3)), MAX(0.1, MIN(0.95,$MK66)))</f>
        <v>0.95</v>
      </c>
      <c r="MM66" s="173">
        <f ca="1">IF(Control!$C$110&lt;3,$MK66+(($MI66/10)-0.6)/(Control!$C$110*(Control!$C$110+3)), MAX(0.1, MIN(0.95,$MK66)))</f>
        <v>0.95</v>
      </c>
      <c r="MN66" s="173">
        <f ca="1">(1-$MM66)*(Control!$C$128-Control!$C$127)+Control!$C$127</f>
        <v>0.16</v>
      </c>
      <c r="MO66" s="170" t="e">
        <f ca="1">MAX(0,MIN(1,($MS66-Control!$C$127)/($MN66-Control!$C$127)))</f>
        <v>#DIV/0!</v>
      </c>
      <c r="MP66" s="173" t="e">
        <f ca="1">1/(0.76+1.5*$MI66)-(5-Control!$C$110)*0.1</f>
        <v>#N/A</v>
      </c>
      <c r="MQ66" s="172" t="e">
        <f t="shared" ca="1" si="209"/>
        <v>#DIV/0!</v>
      </c>
      <c r="MR66" s="168" t="e">
        <f t="shared" ca="1" si="226"/>
        <v>#DIV/0!</v>
      </c>
      <c r="MS66" s="173" t="e">
        <f ca="1">MAX(Control!$C$127, MIN(Control!$C$135, $MR66/MAX(0.0001,$CY66)))</f>
        <v>#DIV/0!</v>
      </c>
      <c r="MT66" s="168" t="e">
        <f ca="1">(Control!$C$128-$MS66)*Control!$C$74</f>
        <v>#DIV/0!</v>
      </c>
      <c r="MU66" s="168" t="e">
        <f ca="1">(Control!$C$135-$MS66)*Control!$C$74</f>
        <v>#DIV/0!</v>
      </c>
      <c r="MV66" s="168" t="e">
        <f t="shared" ca="1" si="210"/>
        <v>#DIV/0!</v>
      </c>
      <c r="MW66" s="168" t="e">
        <f t="shared" ca="1" si="177"/>
        <v>#DIV/0!</v>
      </c>
      <c r="MX66" s="171" t="e">
        <f ca="1">MAX(Control!$C$127, MIN(Control!$C$135, $MW66/MAX(0.0001,Control!$C$119-$CY66)))</f>
        <v>#DIV/0!</v>
      </c>
      <c r="MY66" s="54" t="e">
        <f ca="1">IF(Control!$C$114=1, $CX66*$MX66, 0)</f>
        <v>#DIV/0!</v>
      </c>
      <c r="MZ66" s="54" t="e">
        <f t="shared" ca="1" si="178"/>
        <v>#N/A</v>
      </c>
      <c r="NA66" s="168" t="e">
        <f ca="1">(Control!$C$128-$MX66)*(Control!$C$119-Control!$C$74)</f>
        <v>#DIV/0!</v>
      </c>
      <c r="NB66" s="168" t="e">
        <f ca="1">(Control!$C$135-$MX66)*(Control!$C$119-Control!$C$74)</f>
        <v>#DIV/0!</v>
      </c>
      <c r="NC66" s="174" t="e">
        <f t="shared" ca="1" si="179"/>
        <v>#DIV/0!</v>
      </c>
      <c r="ND66" s="54">
        <f ca="1">IF(Control!$C$58=2, IF(OR(Control!$B$218=$AH66,Control!$B$219=$AH66, Control!$B$220=$AH66, Control!$B$221=$AH66, Control!$B$222=$AH66, Control!$B$223=$AH66, Control!$B$224=$AH66, Control!$B$225=$AH66, Control!$B$226=$AH66, Control!$B$227=$AH66, Control!$B$228=$AH66), 1, 0), 0)</f>
        <v>0</v>
      </c>
      <c r="NE66" s="54">
        <f ca="1">IF($ND66=0,0, VLOOKUP($AH66,Control!$B$218:$C$228,2))</f>
        <v>0</v>
      </c>
      <c r="NF66" s="168" t="e">
        <f ca="1">$CY66*(Control!$C$128-Control!$C$127)</f>
        <v>#N/A</v>
      </c>
      <c r="NG66" s="54" t="e">
        <f ca="1">IF(Control!$C$58=2, $NI65-$NJ65, 0)</f>
        <v>#DIV/0!</v>
      </c>
      <c r="NH66" s="54" t="e">
        <f ca="1">IF(AND(Control!$C$58=1, $MS65&lt;= ($MN65+0.02), $I65&lt;10), 0, IF(Control!$C$58=2, $NG65, 0))</f>
        <v>#DIV/0!</v>
      </c>
      <c r="NI66" s="54" t="e">
        <f ca="1">IF(Control!$C$58=2, $NE66+$NH66,0)</f>
        <v>#DIV/0!</v>
      </c>
      <c r="NJ66" s="54" t="e">
        <f ca="1">IF(AND(Control!$C$58=1, $MS66&lt;= ($MN66+0.02), $I66&lt;10), MAX(0, MIN(10, 0.7*($NF66-$MV66))), IF(Control!$C$58=2, MIN(10,$NI66),0))</f>
        <v>#DIV/0!</v>
      </c>
      <c r="NK66" s="54" t="e">
        <f t="shared" ca="1" si="96"/>
        <v>#DIV/0!</v>
      </c>
      <c r="NL66" s="173" t="e">
        <f ca="1">(1-Control!$C$73)*$I66+$NJ66</f>
        <v>#DIV/0!</v>
      </c>
      <c r="NM66" s="172" t="e">
        <f ca="1">IF($NL66&lt;0.5, $MB66* MAX(0, MIN(1, (SQRT($NC66)-SQRT($NC66-1))*Control!$C$71)),0)</f>
        <v>#DIV/0!</v>
      </c>
      <c r="NN66" s="170" t="e">
        <f ca="1">IF($NL66&gt;=5, $MB66, MAX(0,MIN($MB66, $NM66+$NL66,($MS66-Control!$C$129))))</f>
        <v>#DIV/0!</v>
      </c>
      <c r="NO66" s="54">
        <f>IF(Control!$C$133&lt;&gt;1, Control!$C$135-Control!$C$131, 0)</f>
        <v>0.38</v>
      </c>
      <c r="NP66" s="54" t="e">
        <f t="shared" ca="1" si="97"/>
        <v>#DIV/0!</v>
      </c>
      <c r="NQ66" s="173" t="e">
        <f ca="1">MAX(0,MIN(1,(Control!$C$135-$MS66)/(Control!$C$135-$NO66)))</f>
        <v>#DIV/0!</v>
      </c>
      <c r="NR66" s="170" t="e">
        <f ca="1">IF(Control!$C$133&lt;&gt;1, $NQ66+((1-$NP66/4)*(1-$NQ66)),1)</f>
        <v>#DIV/0!</v>
      </c>
      <c r="NS66" s="170" t="e">
        <f ca="1">IF(Control!$B$31=0,$MJ66,MAX(0,MIN($MV66,$MO66*$NR66*$MJ66)))</f>
        <v>#DIV/0!</v>
      </c>
      <c r="NT66" s="170" t="e">
        <f t="shared" ca="1" si="227"/>
        <v>#DIV/0!</v>
      </c>
      <c r="NU66" s="170" t="e">
        <f t="shared" ca="1" si="180"/>
        <v>#N/A</v>
      </c>
      <c r="NV66" s="170" t="e">
        <f t="shared" ca="1" si="98"/>
        <v>#N/A</v>
      </c>
      <c r="NW66" s="175" t="e">
        <f t="shared" ca="1" si="99"/>
        <v>#DIV/0!</v>
      </c>
      <c r="NX66" s="170" t="e">
        <f ca="1">MIN(Control!$C$72+$MU66, $NW66)</f>
        <v>#DIV/0!</v>
      </c>
      <c r="NY66" s="170" t="e">
        <f ca="1">IF($MT66&lt;=$NX66,MIN(Control!$C$72+$NB66,$NX66-$MT66),0)</f>
        <v>#DIV/0!</v>
      </c>
      <c r="NZ66" s="54" t="e">
        <f ca="1">IF(Control!$C$114=1,  $CX66*($MX66-Control!$C$127), 0)</f>
        <v>#DIV/0!</v>
      </c>
      <c r="OA66" s="170" t="e">
        <f t="shared" ca="1" si="181"/>
        <v>#DIV/0!</v>
      </c>
      <c r="OB66" s="170" t="e">
        <f ca="1">IF($NA66 &lt;=$NY66, MIN(Control!$C$72, $NY66-$NA66), 0)</f>
        <v>#DIV/0!</v>
      </c>
      <c r="OC66" s="168" t="e">
        <f t="shared" ca="1" si="100"/>
        <v>#DIV/0!</v>
      </c>
      <c r="OD66" s="168" t="e">
        <f t="shared" ca="1" si="182"/>
        <v>#DIV/0!</v>
      </c>
      <c r="OE66" s="170">
        <f ca="1">Control!$C$73*$I66</f>
        <v>0</v>
      </c>
      <c r="OF66" s="176" t="e">
        <f t="shared" ca="1" si="101"/>
        <v>#DIV/0!</v>
      </c>
      <c r="OG66" s="168" t="e">
        <f t="shared" ca="1" si="102"/>
        <v>#DIV/0!</v>
      </c>
      <c r="OH66" s="168" t="e">
        <f t="shared" ca="1" si="103"/>
        <v>#DIV/0!</v>
      </c>
      <c r="OI66" s="168" t="e">
        <f t="shared" ca="1" si="104"/>
        <v>#DIV/0!</v>
      </c>
      <c r="OJ66" s="168" t="e">
        <f t="shared" ca="1" si="105"/>
        <v>#DIV/0!</v>
      </c>
      <c r="OK66" s="204" t="e">
        <f t="shared" ca="1" si="183"/>
        <v>#DIV/0!</v>
      </c>
      <c r="OL66" s="177">
        <f>Control!$C$127</f>
        <v>0.15</v>
      </c>
      <c r="OM66" s="182" t="e">
        <f t="shared" ca="1" si="106"/>
        <v>#N/A</v>
      </c>
      <c r="ON66" s="177">
        <f>Control!$C$128</f>
        <v>0.35</v>
      </c>
      <c r="OO66" s="182" t="e">
        <f t="shared" ca="1" si="107"/>
        <v>#N/A</v>
      </c>
      <c r="OP66" s="138">
        <f t="shared" ca="1" si="184"/>
        <v>0</v>
      </c>
      <c r="OQ66" s="138" t="e">
        <f t="shared" ca="1" si="211"/>
        <v>#DIV/0!</v>
      </c>
      <c r="OR66" s="138" t="e">
        <f t="shared" ca="1" si="185"/>
        <v>#DIV/0!</v>
      </c>
      <c r="OS66" s="137" t="e">
        <f t="shared" ca="1" si="212"/>
        <v>#DIV/0!</v>
      </c>
      <c r="OT66" s="139" t="e">
        <f t="shared" ca="1" si="213"/>
        <v>#DIV/0!</v>
      </c>
      <c r="OU66" s="138" t="e">
        <f t="shared" ca="1" si="214"/>
        <v>#N/A</v>
      </c>
      <c r="OV66" s="138" t="e">
        <f t="shared" ca="1" si="215"/>
        <v>#DIV/0!</v>
      </c>
      <c r="OW66" s="138" t="e">
        <f t="shared" ca="1" si="186"/>
        <v>#DIV/0!</v>
      </c>
      <c r="OX66" s="138" t="e">
        <f t="shared" ca="1" si="187"/>
        <v>#DIV/0!</v>
      </c>
      <c r="OY66" s="138" t="e">
        <f t="shared" ca="1" si="188"/>
        <v>#DIV/0!</v>
      </c>
      <c r="OZ66" s="138" t="e">
        <f t="shared" ca="1" si="108"/>
        <v>#DIV/0!</v>
      </c>
      <c r="PA66" s="138" t="e">
        <f t="shared" ca="1" si="109"/>
        <v>#DIV/0!</v>
      </c>
      <c r="PB66" s="55">
        <f>IF(Control!$C$61="T", IF(Control!$C$65="F", IF($AH$6-Control!$C$60&lt;0,0,1), IF(365+$AH$6-Control!$C$60&lt;0,0,1)),0)</f>
        <v>0</v>
      </c>
      <c r="PC66" s="55">
        <f ca="1">IF(Control!$C$65="F", IF($AH$6-$HF66&lt;0,0,1), IF(365+$AH$6-$HF66&lt;0,0,1))</f>
        <v>1</v>
      </c>
      <c r="PD66" s="444">
        <f>Control!$C$118</f>
        <v>1500</v>
      </c>
      <c r="PE66" s="180" t="e">
        <f t="shared" ca="1" si="110"/>
        <v>#N/A</v>
      </c>
      <c r="PF66" s="445">
        <f t="shared" ca="1" si="189"/>
        <v>0.71612369323045078</v>
      </c>
      <c r="PT66" s="186"/>
      <c r="PU66" s="186"/>
      <c r="PV66" s="94"/>
      <c r="PW66" s="94"/>
      <c r="PX66" s="94"/>
      <c r="PY66" s="94"/>
      <c r="PZ66" s="94"/>
      <c r="QA66" s="94"/>
      <c r="QB66" s="94"/>
      <c r="QC66" s="94"/>
      <c r="QD66" s="94"/>
      <c r="QE66" s="94"/>
      <c r="QF66" s="94"/>
      <c r="QG66" s="94"/>
      <c r="QH66" s="94"/>
      <c r="QI66" s="94"/>
      <c r="QJ66" s="94"/>
      <c r="QK66" s="94"/>
      <c r="QL66" s="94"/>
      <c r="QM66" s="94"/>
      <c r="QN66" s="94"/>
      <c r="QO66" s="94"/>
      <c r="QP66" s="94"/>
    </row>
    <row r="67" spans="1:458" s="2" customFormat="1" x14ac:dyDescent="0.2">
      <c r="A67" s="395">
        <v>3</v>
      </c>
      <c r="B67" s="396">
        <v>3</v>
      </c>
      <c r="C67" s="387">
        <f ca="1">Weather_data!$B66</f>
        <v>0</v>
      </c>
      <c r="D67" s="388">
        <f ca="1">Weather_data!$F66</f>
        <v>0</v>
      </c>
      <c r="E67" s="388">
        <f ca="1">Weather_data!$E66</f>
        <v>0</v>
      </c>
      <c r="F67" s="388">
        <f t="shared" ca="1" si="111"/>
        <v>0</v>
      </c>
      <c r="G67" s="388">
        <f ca="1">AVERAGE($D67:$E67)+Control!$B$9</f>
        <v>0</v>
      </c>
      <c r="H67" s="388">
        <f ca="1">Weather_data!$G66</f>
        <v>0</v>
      </c>
      <c r="I67" s="388">
        <f ca="1">Weather_data!$I66</f>
        <v>0</v>
      </c>
      <c r="J67" s="388">
        <f ca="1">Weather_data!$H66</f>
        <v>0</v>
      </c>
      <c r="K67" s="389">
        <f ca="1">Weather_data!$D66</f>
        <v>0</v>
      </c>
      <c r="L67" s="388" t="e">
        <f t="shared" ca="1" si="112"/>
        <v>#N/A</v>
      </c>
      <c r="M67" s="388" t="e">
        <f t="shared" ca="1" si="0"/>
        <v>#N/A</v>
      </c>
      <c r="N67" s="388">
        <f t="shared" ca="1" si="1"/>
        <v>-8.0865463496149399E-4</v>
      </c>
      <c r="O67" s="388">
        <f t="shared" ca="1" si="113"/>
        <v>8.0865463496149394E-3</v>
      </c>
      <c r="P67" s="390">
        <v>3</v>
      </c>
      <c r="Q67" s="388">
        <f ca="1">MAX($G67-Control!$C$107,0)</f>
        <v>0</v>
      </c>
      <c r="R67" s="388">
        <f t="shared" ca="1" si="114"/>
        <v>0</v>
      </c>
      <c r="S67" s="388">
        <f t="shared" ca="1" si="2"/>
        <v>0</v>
      </c>
      <c r="T67" s="388">
        <f t="shared" ca="1" si="3"/>
        <v>0</v>
      </c>
      <c r="U67" s="59">
        <f t="shared" ca="1" si="4"/>
        <v>0</v>
      </c>
      <c r="V67" s="391">
        <f ca="1">MAX(0,MIN(Control!$C$100-Control!$C$99,$G67-Control!$C$99)*Control!$C$63)</f>
        <v>0</v>
      </c>
      <c r="W67" s="388">
        <f t="shared" ca="1" si="190"/>
        <v>0</v>
      </c>
      <c r="X67" s="388">
        <f t="shared" ca="1" si="115"/>
        <v>0.6110000000000001</v>
      </c>
      <c r="Y67" s="388">
        <f t="shared" ca="1" si="116"/>
        <v>0</v>
      </c>
      <c r="Z67" s="388">
        <f t="shared" ca="1" si="117"/>
        <v>0.61058800000000002</v>
      </c>
      <c r="AA67" s="388">
        <f t="shared" ca="1" si="5"/>
        <v>0.6018</v>
      </c>
      <c r="AB67" s="388">
        <f ca="1">101.3*EXP(-0.034*Control!$C$66/($G67+273))</f>
        <v>100.69623283836242</v>
      </c>
      <c r="AC67" s="392">
        <f t="shared" ca="1" si="6"/>
        <v>4.3460251046025113E-2</v>
      </c>
      <c r="AD67" s="392">
        <f t="shared" ca="1" si="7"/>
        <v>4.4450382862832649E-2</v>
      </c>
      <c r="AE67" s="388">
        <f t="shared" ca="1" si="8"/>
        <v>0</v>
      </c>
      <c r="AF67" s="388">
        <f ca="1">MAX(0,$G67-Control!$C$92)</f>
        <v>0</v>
      </c>
      <c r="AG67" s="393">
        <f t="shared" ca="1" si="118"/>
        <v>63</v>
      </c>
      <c r="AH67" s="389">
        <f t="shared" ca="1" si="9"/>
        <v>63</v>
      </c>
      <c r="AI67" s="388">
        <f t="shared" ca="1" si="119"/>
        <v>-0.12328411049823619</v>
      </c>
      <c r="AJ67" s="388">
        <f ca="1">IF(Control!$C$60&lt;=0,$HH67,$HI67)</f>
        <v>1</v>
      </c>
      <c r="AK67" s="388">
        <f t="shared" ca="1" si="10"/>
        <v>-0.29264150745767936</v>
      </c>
      <c r="AL67" s="388">
        <f t="shared" ca="1" si="11"/>
        <v>2.3443243873932927E-18</v>
      </c>
      <c r="AM67" s="388">
        <f t="shared" ca="1" si="12"/>
        <v>-0.29264150745767936</v>
      </c>
      <c r="AN67" s="388">
        <f t="shared" ca="1" si="13"/>
        <v>-0.11501170069974295</v>
      </c>
      <c r="AO67" s="388">
        <f ca="1">-0.10453/COS(Control!$B$8*PI()/180)*COS(AN67)</f>
        <v>-0.16866317061437469</v>
      </c>
      <c r="AP67" s="388">
        <f ca="1">ACOS(AO67-TAN(Control!$B$8*PI()/180)*TAN(AN67))</f>
        <v>1.5916002061697725</v>
      </c>
      <c r="AQ67" s="388">
        <f t="shared" ca="1" si="120"/>
        <v>0</v>
      </c>
      <c r="AR67" s="394">
        <f t="shared" ca="1" si="14"/>
        <v>0</v>
      </c>
      <c r="AS67" s="436">
        <f ca="1">IF(Control!$B$18=2,(IF(OR($AH67=Control!$B$175,$AH67=Control!$B$176,$AH67=Control!$B$177,$AH67=Control!$B$178,$AH67=Control!$B$179,$AH67=Control!$B$180,$AH67=Control!$B$181,$AH67=Control!$B$182,$AH67=Control!$B$183,$AH67=Control!$B$184,$AH67=Control!$B$185),1,0)),0)</f>
        <v>0</v>
      </c>
      <c r="AT67" s="436">
        <f>IF(Control!$B$20=8,IF(AND($AH67&gt;=Control!$B$172,$AH67&lt;=Control!$B$173),1,0),0)</f>
        <v>0</v>
      </c>
      <c r="AU67" s="436">
        <f>IF(Control!$B$20=8,IF($AV66=1,1*$AT67,IF($AT67=1,$AU66+1,$AU66)),0)</f>
        <v>0</v>
      </c>
      <c r="AV67" s="436">
        <f>IF(Control!$B$20=8,IF($AU67&gt;=Control!$B$174,1,0),0)</f>
        <v>0</v>
      </c>
      <c r="AW67" s="436">
        <f ca="1">IF(AND(Control!$B$18=2,Control!$B$171=1), $AV67, $AS67)</f>
        <v>0</v>
      </c>
      <c r="AX67" s="436" t="e">
        <f ca="1">IF(AND(Control!$B$18=1,$EU67&gt;=Control!$B$19),-$AY67,IF(AND(Control!$B$18=2,$AW67=1,$EU67&gt;$DS67),-$AY67, IF(Control!$C$108=0,0, IF(Control!$C$108&lt;&gt;0,1))))</f>
        <v>#N/A</v>
      </c>
      <c r="AY67" s="436" t="e">
        <f t="shared" ca="1" si="121"/>
        <v>#N/A</v>
      </c>
      <c r="AZ67" s="436" t="e">
        <f ca="1">IF(AND(Control!$B$18=1,$EB67&gt;Control!$B$19),$AZ66+1, IF(AND(Control!$B$18=2, $AW67=1, $EB67&gt;$DS67), $AZ66+1,$AZ66))</f>
        <v>#N/A</v>
      </c>
      <c r="BA67" s="587">
        <f>IF(Control!$C$81=0,1,IF($AH67&gt;=Control!$C$82,1,0))</f>
        <v>1</v>
      </c>
      <c r="BB67" s="140" t="e">
        <f ca="1">IF($BA67&gt;$BA66,Control!$C$83,IF($AW67&gt;0,$AW67*Control!$C$84,IF(AND(Control!$B$18=1,EN66&lt;&gt;0),Control!$C$84,0)))</f>
        <v>#N/A</v>
      </c>
      <c r="BC67" s="140" t="e">
        <f t="shared" ca="1" si="122"/>
        <v>#N/A</v>
      </c>
      <c r="BD67" s="140" t="e">
        <f ca="1">BC67*IF(OR($G67&lt;Control!$C$92,$G67&gt;Control!$C$95),0,IF(AND($G67&gt;=Control!$C$92,$G67&lt;=Control!$C$93),$G67-Control!$C$92,IF(AND($G67&gt;Control!$C$93,$G67&lt;=Control!$C$94),Control!$C$93-Control!$C$92,IF(AND($G67&gt;Control!$C$94,$G67&lt;=Control!$C$95),(Control!$C$93-Control!$C$92)*(Control!$C$94-$G67)/(Control!$C$95-Control!$C$94)))))</f>
        <v>#N/A</v>
      </c>
      <c r="BE67" s="140" t="e">
        <f t="shared" ca="1" si="123"/>
        <v>#N/A</v>
      </c>
      <c r="BF67" s="140" t="e">
        <f ca="1">IF($BE67&lt;=Control!$C$86,$BE67,Control!$C$86-$BE67)</f>
        <v>#N/A</v>
      </c>
      <c r="BG67" s="140" t="e">
        <f ca="1">IF(AND($AW67=1,Control!$C$84&lt;9),1,IF($BE67&gt;=Control!$C$86,0,$BC67))</f>
        <v>#N/A</v>
      </c>
      <c r="BH67" s="404" t="e">
        <f ca="1">IF($BG67=0,0,IF($BE67&lt;=Control!$C$86,$BC67*9*($BF67/Control!$C$86),0))</f>
        <v>#N/A</v>
      </c>
      <c r="BI67" s="140" t="e">
        <f ca="1">IF($BG67=1,0,IF($BE67&gt;=Control!$C$86,1,IF(AND($BB67&lt;21,$BB67&gt;=9),1,$BM66)))</f>
        <v>#N/A</v>
      </c>
      <c r="BJ67" s="140" t="e">
        <f ca="1">IF($BF67&lt;0,-$BF67,$BI67*IF(OR($G67&lt;Control!$C$92,$G67&gt;Control!$C$95),0,IF(AND($G67&gt;=Control!$C$92,$G67&lt;=Control!$C$93),$G67-Control!$C$92,IF(AND($G67&gt;Control!$C$93,$G67&lt;=Control!$C$94),Control!$C$93-Control!$C$92,IF(AND($G67&gt;Control!$C$94,$G67&lt;=Control!$C$95),(Control!$C$93-Control!$C$92)*(Control!$C$94-$G67)/(Control!$C$95-Control!$C$94))))))</f>
        <v>#N/A</v>
      </c>
      <c r="BK67" s="140" t="e">
        <f t="shared" ca="1" si="124"/>
        <v>#N/A</v>
      </c>
      <c r="BL67" s="140" t="e">
        <f ca="1">IF($BK67&lt;=Control!$C$87,$BK67,Control!$C$87-$BK67)</f>
        <v>#N/A</v>
      </c>
      <c r="BM67" s="140" t="e">
        <f ca="1">IF(AND($BB67&gt;=9,$BB67&lt;21),1,IF($BK67&gt;=Control!$C$87,0,$BI67))</f>
        <v>#N/A</v>
      </c>
      <c r="BN67" s="404" t="e">
        <f ca="1">IF($BM67=0,0,IF($BK67&lt;=Control!$C$87,$BI67*(9+(21-9)*($BL67/Control!$C$87)),0))</f>
        <v>#N/A</v>
      </c>
      <c r="BO67" s="140" t="e">
        <f ca="1">IF($BM67=1,0,IF($BK67&gt;=Control!$C$87,1,IF(AND($BB67&lt;30,$BB67&gt;=21),1,$BS66)))</f>
        <v>#N/A</v>
      </c>
      <c r="BP67" s="140" t="e">
        <f ca="1">IF($BL67&lt;0,-$BL67,$BO67*IF(OR($G67&lt;Control!$C$92,$G67&gt;Control!$C$95),0,IF(AND($G67&gt;=Control!$C$92,$G67&lt;=Control!$C$93),$G67-Control!$C$92,IF(AND($G67&gt;Control!$C$93,$G67&lt;=Control!$C$94),Control!$C$93-Control!$C$92,IF(AND($G67&gt;Control!$C$94,$G67&lt;=Control!$C$95),(Control!$C$93-Control!$C$92)*(Control!$C$94-$G67)/(Control!$C$95-Control!$C$94))))))</f>
        <v>#N/A</v>
      </c>
      <c r="BQ67" s="140" t="e">
        <f t="shared" ca="1" si="15"/>
        <v>#N/A</v>
      </c>
      <c r="BR67" s="140" t="e">
        <f ca="1">IF($BQ67&lt;=Control!$C$88,$BQ67,Control!$C$88-$BQ67)</f>
        <v>#N/A</v>
      </c>
      <c r="BS67" s="140" t="e">
        <f ca="1">IF(AND($BB67&gt;=21,$BB67&lt;30),1,IF($BQ67&gt;=Control!$C$88,0,$BO67))</f>
        <v>#N/A</v>
      </c>
      <c r="BT67" s="404" t="e">
        <f ca="1">IF($BS67=0,0,IF($BQ67&lt;=Control!$C$88,$BO67*(21+(30-21)*(BR67/Control!$C$88)),0))</f>
        <v>#N/A</v>
      </c>
      <c r="BU67" s="140" t="e">
        <f ca="1">IF(BG67+BM67+BS67=1,0,IF(OR(AND($BB67&lt;60,$BB67&gt;=30),$BQ67&gt;=Control!$C$88),1*$BA67,$BY66))</f>
        <v>#N/A</v>
      </c>
      <c r="BV67" s="140" t="e">
        <f ca="1">IF($BR67&lt;0,-$BR67,$BU67*IF(OR($G67&lt;Control!$C$92,$G67&gt;Control!$C$95),0,IF(AND($G67&gt;=Control!$C$92,$G67&lt;=Control!$C$93),$G67-Control!$C$92,IF(AND($G67&gt;Control!$C$93,$G67&lt;=Control!$C$94),Control!$C$93-Control!$C$92,IF(AND($G67&gt;Control!$C$94,$G67&lt;=Control!$C$95),(Control!$C$93-Control!$C$92)*(Control!$C$94-$G67)/(Control!$C$95-Control!$C$94))))))</f>
        <v>#N/A</v>
      </c>
      <c r="BW67" s="140" t="e">
        <f t="shared" ca="1" si="16"/>
        <v>#N/A</v>
      </c>
      <c r="BX67" s="140" t="e">
        <f ca="1">IF($BW67&lt;=Control!$C$89,$BW67,Control!$C$89-$BW67)</f>
        <v>#N/A</v>
      </c>
      <c r="BY67" s="140" t="e">
        <f ca="1">IF(AND($AJ67&gt;=30,$AJ67&lt;60),1,IF($BW67&gt;=Control!$C$89,0,$BU67))</f>
        <v>#N/A</v>
      </c>
      <c r="BZ67" s="404" t="e">
        <f ca="1">IF($BY67=0,0,IF($BW67&lt;=Control!$C$89,$BU67*(30+(60-30)*(BX67/Control!$C$89)),0))</f>
        <v>#N/A</v>
      </c>
      <c r="CA67" s="140" t="e">
        <f ca="1">IF($BG67+$BM67+$BS67+$BY67=1,0,IF(OR(AND($BB67&lt;65,$BB67&gt;=60),$BW67&gt;=Control!$C$89),1*$BA67,$CE66))</f>
        <v>#N/A</v>
      </c>
      <c r="CB67" s="140" t="e">
        <f ca="1">IF($BX67&lt;0,-$BX67,$CA67*IF(OR($G67&lt;Control!$C$92,$G67&gt;Control!$C$95),0,IF(AND($G67&gt;=Control!$C$92,$G67&lt;=Control!$C$93),$G67-Control!$C$92,IF(AND($G67&gt;Control!$C$93,$G67&lt;=Control!$C$94),Control!$C$93-Control!$C$92,IF(AND($G67&gt;Control!$C$94,$G67&lt;=Control!$C$95),(Control!$C$93-Control!$C$92)*(Control!$C$94-$G67)/(Control!$C$95-Control!$C$94))))))</f>
        <v>#N/A</v>
      </c>
      <c r="CC67" s="140" t="e">
        <f t="shared" ca="1" si="125"/>
        <v>#N/A</v>
      </c>
      <c r="CD67" s="140" t="e">
        <f ca="1">IF($CC67&lt;=Control!$C$90,$CC67,Control!$C$90-$CC67)</f>
        <v>#N/A</v>
      </c>
      <c r="CE67" s="140" t="e">
        <f ca="1">IF(AND($BB67&gt;=60,$BB67&lt;65),1,IF($CC67&gt;=Control!$C$90,0,$CA67))</f>
        <v>#N/A</v>
      </c>
      <c r="CF67" s="404" t="e">
        <f ca="1">IF($CE67=0,0,IF($CC67&lt;=Control!$C$90,$CA67*(60+(65-60)*(CD67/Control!$C$90)),0))</f>
        <v>#N/A</v>
      </c>
      <c r="CG67" s="140" t="e">
        <f ca="1">IF($BG67+$BM67+$BS67+$BY67+$CE67=1,0,IF(OR(AND($BB67&lt;90,$BB67&gt;=65),$CC67&gt;=Control!$C$90),$BA67,$CK66))</f>
        <v>#N/A</v>
      </c>
      <c r="CH67" s="140" t="e">
        <f ca="1">IF($CD67&lt;0,-$CD67,$CG67*IF(OR($G67&lt;Control!$C$92,$G67&gt;Control!$C$95),0,IF(AND($G67&gt;=Control!$C$92,$G67&lt;=Control!$C$93),$G67-Control!$C$92,IF(AND($G67&gt;Control!$C$93,$G67&lt;=Control!$C$94),Control!$C$93-Control!$C$92,IF(AND($G67&gt;Control!$C$94,$G67&lt;=Control!$C$95),(Control!$C$93-Control!$C$92)*(Control!$C$94-$G67)/(Control!$C$95-Control!$C$94))))))</f>
        <v>#N/A</v>
      </c>
      <c r="CI67" s="140" t="e">
        <f t="shared" ca="1" si="126"/>
        <v>#N/A</v>
      </c>
      <c r="CJ67" s="140" t="e">
        <f ca="1">IF($CI67&lt;=Control!$C$91,$CI67,Control!$C$91-$CI67)</f>
        <v>#N/A</v>
      </c>
      <c r="CK67" s="140" t="e">
        <f ca="1">IF(AND($BB67&gt;=65,$BB67&lt;90),1,IF($CI67&gt;=Control!$C$91,0,$CG67))</f>
        <v>#N/A</v>
      </c>
      <c r="CL67" s="404" t="e">
        <f ca="1">IF($CK67=0,0,IF($CI67&lt;=Control!$C$91,$CG67*(65+(90-65)*($CJ67/Control!$C$91)),0))</f>
        <v>#N/A</v>
      </c>
      <c r="CM67" s="140" t="e">
        <f ca="1">IF($BG67+$BM67+$BS67+$BY67+$CE67+$CK67=1,0,IF(OR($BB67&gt;=90,$CI67&gt;=Control!$C$91),$BA67,$CM66))</f>
        <v>#N/A</v>
      </c>
      <c r="CN67" s="140" t="e">
        <f t="shared" ca="1" si="127"/>
        <v>#N/A</v>
      </c>
      <c r="CO67" s="140" t="e">
        <f t="shared" ca="1" si="128"/>
        <v>#N/A</v>
      </c>
      <c r="CP67" s="140" t="e">
        <f t="shared" ca="1" si="129"/>
        <v>#N/A</v>
      </c>
      <c r="CQ67" s="141" t="e">
        <f ca="1">VLOOKUP($CP67,Control!$B$86:$G$91,6)</f>
        <v>#N/A</v>
      </c>
      <c r="CR67" s="141" t="e">
        <f ca="1">(1-$CQ67)*VLOOKUP($CP67,Control!$B$86:$D$91,3)</f>
        <v>#N/A</v>
      </c>
      <c r="CS67" s="141" t="e">
        <f ca="1">(1-$CQ67)*VLOOKUP($CP67,Control!$B$86:$E$91,4)</f>
        <v>#N/A</v>
      </c>
      <c r="CT67" s="141" t="e">
        <f ca="1">(1-$CQ67)*VLOOKUP($CP67,Control!$B$86:$F$91,5)</f>
        <v>#N/A</v>
      </c>
      <c r="CU67" s="141">
        <f t="shared" ca="1" si="130"/>
        <v>0</v>
      </c>
      <c r="CV67" s="583">
        <f t="shared" ca="1" si="131"/>
        <v>0</v>
      </c>
      <c r="CW67" s="142">
        <f t="shared" ca="1" si="132"/>
        <v>63</v>
      </c>
      <c r="CX67" s="612" t="e">
        <f ca="1">IF(Control!$C$114=1,(MIN(Control!$C$120*(IF($NT67-0.01&lt;0,0,1)),Control!$C$119-$CY67)))</f>
        <v>#DIV/0!</v>
      </c>
      <c r="CY67" s="143" t="e">
        <f t="shared" ca="1" si="133"/>
        <v>#N/A</v>
      </c>
      <c r="CZ67" s="144">
        <f t="shared" ca="1" si="17"/>
        <v>0</v>
      </c>
      <c r="DA67" s="144">
        <f t="shared" ca="1" si="18"/>
        <v>0</v>
      </c>
      <c r="DB67" s="144" t="e">
        <f t="shared" ca="1" si="19"/>
        <v>#N/A</v>
      </c>
      <c r="DC67" s="144" t="e">
        <f t="shared" ca="1" si="20"/>
        <v>#N/A</v>
      </c>
      <c r="DD67" s="144" t="e">
        <f t="shared" ca="1" si="216"/>
        <v>#N/A</v>
      </c>
      <c r="DE67" s="143" t="e">
        <f t="shared" ca="1" si="135"/>
        <v>#N/A</v>
      </c>
      <c r="DF67" s="145" t="e">
        <f ca="1">$DR67*EXP(-Control!$C$158*(1-$KH67))</f>
        <v>#N/A</v>
      </c>
      <c r="DG67" s="146" t="e">
        <f ca="1">IF(Control!$C$114=1, $DF67*$EY67, 0)</f>
        <v>#N/A</v>
      </c>
      <c r="DH67" s="147" t="e">
        <f t="shared" ca="1" si="136"/>
        <v>#N/A</v>
      </c>
      <c r="DI67" s="144" t="e">
        <f t="shared" ca="1" si="191"/>
        <v>#N/A</v>
      </c>
      <c r="DJ67" s="147" t="e">
        <f ca="1">$EF67*Control!$C$109</f>
        <v>#N/A</v>
      </c>
      <c r="DK67" s="144" t="e">
        <f t="shared" ca="1" si="137"/>
        <v>#N/A</v>
      </c>
      <c r="DL67" s="144" t="e">
        <f t="shared" ca="1" si="21"/>
        <v>#N/A</v>
      </c>
      <c r="DM67" s="144" t="e">
        <f ca="1">IF(Control!$C$114=1, (1-EXP(-Control!$C$96*$DK67))*$AR67, 0)</f>
        <v>#N/A</v>
      </c>
      <c r="DN67" s="144">
        <f t="shared" ca="1" si="138"/>
        <v>0</v>
      </c>
      <c r="DO67" s="148">
        <f>Control!$C$97</f>
        <v>4</v>
      </c>
      <c r="DP67" s="145" t="e">
        <f t="shared" ca="1" si="139"/>
        <v>#N/A</v>
      </c>
      <c r="DQ67" s="145" t="e">
        <f ca="1">IF(AND($CP67&gt;=0,$CP67&lt;=90),Control!$C$111,Control!$C$111)</f>
        <v>#N/A</v>
      </c>
      <c r="DR67" s="145" t="e">
        <f t="shared" ca="1" si="22"/>
        <v>#N/A</v>
      </c>
      <c r="DS67" s="143" t="e">
        <f ca="1">Control!$B$22/$DR67</f>
        <v>#N/A</v>
      </c>
      <c r="DT67" s="149" t="e">
        <f ca="1">IF(AND(Control!$C$114=1,$KH67&lt;1),$IM67*$DF67, 0)</f>
        <v>#N/A</v>
      </c>
      <c r="DU67" s="144" t="e">
        <f t="shared" ca="1" si="192"/>
        <v>#N/A</v>
      </c>
      <c r="DV67" s="144">
        <f ca="1">IF($G67-Control!$C$107&lt;=0, 0, 0.83*LN(MAX($G67, 3))-0.8924)</f>
        <v>0</v>
      </c>
      <c r="DW67" s="144" t="e">
        <f t="shared" ca="1" si="23"/>
        <v>#N/A</v>
      </c>
      <c r="DX67" s="150" t="e">
        <f ca="1">MAX(0.01*(1+$CU67/Control!$C$102),0.05*($DK67-Control!$C$97)/Control!$C$97)</f>
        <v>#N/A</v>
      </c>
      <c r="DY67" s="151" t="e">
        <f ca="1">IF(Control!$C$114=1, $DI67*$FS67, 0)</f>
        <v>#N/A</v>
      </c>
      <c r="DZ67" s="196" t="e">
        <f t="shared" ca="1" si="140"/>
        <v>#N/A</v>
      </c>
      <c r="EA67" s="152">
        <f t="shared" ca="1" si="141"/>
        <v>63</v>
      </c>
      <c r="EB67" s="153" t="e">
        <f t="shared" ca="1" si="217"/>
        <v>#N/A</v>
      </c>
      <c r="EC67" s="153" t="e">
        <f t="shared" ca="1" si="142"/>
        <v>#N/A</v>
      </c>
      <c r="ED67" s="154" t="e">
        <f ca="1">IF(Control!$C$114=1, $HM67*$FY67-$FD67, 0)</f>
        <v>#DIV/0!</v>
      </c>
      <c r="EE67" s="155" t="e">
        <f ca="1">IF(Control!$C$114=1, $HM67*$FZ67-$FF67, 0)</f>
        <v>#DIV/0!</v>
      </c>
      <c r="EF67" s="153" t="e">
        <f t="shared" ca="1" si="193"/>
        <v>#N/A</v>
      </c>
      <c r="EG67" s="155" t="e">
        <f ca="1">IF(Control!$C$114=1, $GX67*$FW67-$FI67, 0)</f>
        <v>#DIV/0!</v>
      </c>
      <c r="EH67" s="153" t="e">
        <f t="shared" ca="1" si="143"/>
        <v>#N/A</v>
      </c>
      <c r="EI67" s="156" t="e">
        <f t="shared" ca="1" si="144"/>
        <v>#N/A</v>
      </c>
      <c r="EJ67" s="155" t="e">
        <f ca="1">IF(Control!$C$114=1, $HM67*$GB67, 0)</f>
        <v>#DIV/0!</v>
      </c>
      <c r="EK67" s="153" t="e">
        <f t="shared" ca="1" si="194"/>
        <v>#N/A</v>
      </c>
      <c r="EL67" s="153" t="e">
        <f t="shared" ca="1" si="24"/>
        <v>#N/A</v>
      </c>
      <c r="EM67" s="153" t="e">
        <f t="shared" ca="1" si="25"/>
        <v>#N/A</v>
      </c>
      <c r="EN67" s="153" t="e">
        <f ca="1">IF(Control!$C$108=1,IF(AND(Control!$B$18=1,$EB67&gt;=Control!$B$19),$EB67-$DS67,IF(AND(Control!$B$18=2,$AW67=1,$EB67&gt;$DS67),$EB67-$DS67,0)))</f>
        <v>#N/A</v>
      </c>
      <c r="EO67" s="153" t="e">
        <f ca="1">IF(Control!$C$108=1,IF(AND(Control!$B$18=1,$EB67&gt;=Control!$B$19),$EF67,IF(AND(Control!$B$18=2,$AW67=1),$EF67,0)))</f>
        <v>#N/A</v>
      </c>
      <c r="EP67" s="153" t="e">
        <f ca="1">IF(Control!$C$108=1,IF(AND(Control!$B$18=1,$EB67&gt;=Control!$B$19),$EK67,IF(AND(Control!$B$18=2,$AW67=1),$EK67,0)))</f>
        <v>#N/A</v>
      </c>
      <c r="EQ67" s="153" t="e">
        <f t="shared" ca="1" si="145"/>
        <v>#N/A</v>
      </c>
      <c r="ER67" s="153" t="e">
        <f t="shared" ca="1" si="231"/>
        <v>#N/A</v>
      </c>
      <c r="ES67" s="153" t="e">
        <f t="shared" ca="1" si="196"/>
        <v>#N/A</v>
      </c>
      <c r="ET67" s="153" t="e">
        <f t="shared" ca="1" si="197"/>
        <v>#N/A</v>
      </c>
      <c r="EU67" s="153" t="e">
        <f t="shared" ca="1" si="198"/>
        <v>#N/A</v>
      </c>
      <c r="EV67" s="153" t="e">
        <f t="shared" ca="1" si="146"/>
        <v>#N/A</v>
      </c>
      <c r="EW67" s="153" t="e">
        <f t="shared" ca="1" si="218"/>
        <v>#N/A</v>
      </c>
      <c r="EX67" s="153" t="e">
        <f t="shared" ca="1" si="26"/>
        <v>#N/A</v>
      </c>
      <c r="EY67" s="157" t="e">
        <f t="shared" ca="1" si="147"/>
        <v>#DIV/0!</v>
      </c>
      <c r="EZ67" s="154" t="e">
        <f t="shared" ca="1" si="27"/>
        <v>#DIV/0!</v>
      </c>
      <c r="FA67" s="153" t="e">
        <f t="shared" ca="1" si="199"/>
        <v>#N/A</v>
      </c>
      <c r="FB67" s="153" t="e">
        <f t="shared" ca="1" si="28"/>
        <v>#N/A</v>
      </c>
      <c r="FC67" s="193" t="e">
        <f t="shared" ca="1" si="29"/>
        <v>#N/A</v>
      </c>
      <c r="FD67" s="158" t="e">
        <f t="shared" ca="1" si="200"/>
        <v>#N/A</v>
      </c>
      <c r="FE67" s="158" t="e">
        <f t="shared" ca="1" si="148"/>
        <v>#N/A</v>
      </c>
      <c r="FF67" s="159" t="e">
        <f t="shared" ca="1" si="30"/>
        <v>#N/A</v>
      </c>
      <c r="FG67" s="160" t="e">
        <f t="shared" ca="1" si="149"/>
        <v>#N/A</v>
      </c>
      <c r="FH67" s="158" t="e">
        <f t="shared" ca="1" si="150"/>
        <v>#N/A</v>
      </c>
      <c r="FI67" s="159" t="e">
        <f t="shared" ca="1" si="31"/>
        <v>#N/A</v>
      </c>
      <c r="FJ67" s="160" t="e">
        <f t="shared" ca="1" si="151"/>
        <v>#N/A</v>
      </c>
      <c r="FK67" s="160" t="e">
        <f t="shared" ca="1" si="32"/>
        <v>#N/A</v>
      </c>
      <c r="FL67" s="160" t="e">
        <f t="shared" ca="1" si="229"/>
        <v>#N/A</v>
      </c>
      <c r="FM67" s="160" t="e">
        <f t="shared" ca="1" si="33"/>
        <v>#N/A</v>
      </c>
      <c r="FN67" s="158">
        <f t="shared" ca="1" si="219"/>
        <v>0.01</v>
      </c>
      <c r="FO67" s="160">
        <f>Control!$C$101</f>
        <v>50</v>
      </c>
      <c r="FP67" s="150" t="e">
        <f t="shared" ca="1" si="34"/>
        <v>#N/A</v>
      </c>
      <c r="FQ67" s="150" t="e">
        <f ca="1">MAX(0,(Control!$C$112*(($DK67-Control!$C$97)/Control!$C$97)))</f>
        <v>#N/A</v>
      </c>
      <c r="FR67" s="150" t="e">
        <f ca="1">(1-$NT67)*Control!$C$113</f>
        <v>#DIV/0!</v>
      </c>
      <c r="FS67" s="198" t="e">
        <f t="shared" ca="1" si="35"/>
        <v>#N/A</v>
      </c>
      <c r="FT67" s="161">
        <f t="shared" ca="1" si="152"/>
        <v>63</v>
      </c>
      <c r="FU67" s="162" t="e">
        <f ca="1">IF(Control!$B$34=1,VLOOKUP($CP67,Control!$B$86:$G$91,6),Control!$B$35)</f>
        <v>#N/A</v>
      </c>
      <c r="FV67" s="162" t="e">
        <f t="shared" ca="1" si="36"/>
        <v>#DIV/0!</v>
      </c>
      <c r="FW67" s="162" t="e">
        <f ca="1">IF(Control!$B$31=1,$FU67*$FV67,  $FU67)</f>
        <v>#N/A</v>
      </c>
      <c r="FX67" s="162" t="e">
        <f ca="1">IF(Control!$B$34=1,VLOOKUP($CP67,Control!$B$86:$G$91,3),Control!$B$36)</f>
        <v>#N/A</v>
      </c>
      <c r="FY67" s="162" t="e">
        <f t="shared" ca="1" si="37"/>
        <v>#N/A</v>
      </c>
      <c r="FZ67" s="162" t="e">
        <f ca="1">IF(Control!$B$34=1,VLOOKUP($CP67,Control!$B$86:$G$91,4),Control!$B$37)</f>
        <v>#N/A</v>
      </c>
      <c r="GA67" s="162" t="e">
        <f t="shared" ca="1" si="38"/>
        <v>#N/A</v>
      </c>
      <c r="GB67" s="162" t="e">
        <f ca="1">IF(Control!$B$34=1,VLOOKUP($CP67,Control!$B$86:$G$91,5),Control!$B$38)</f>
        <v>#N/A</v>
      </c>
      <c r="GC67" s="162" t="e">
        <f t="shared" ca="1" si="153"/>
        <v>#N/A</v>
      </c>
      <c r="GD67" s="162">
        <f t="shared" ca="1" si="39"/>
        <v>1</v>
      </c>
      <c r="GE67" s="162">
        <f t="shared" ca="1" si="40"/>
        <v>1</v>
      </c>
      <c r="GF67" s="162">
        <f ca="1">IF(AND(Control!$C$104=1, Control!$C$62="F"),$GE67,1)</f>
        <v>1</v>
      </c>
      <c r="GG67" s="162" t="e">
        <f ca="1">IF(Control!$B$16=40,0,IF(AND(Control!$B$16&gt;40,Control!$B$16&lt;=360),(Control!$B$16-40)*((1-0)/(360-40)),IF(AND(Control!$B$16&gt;360,Control!$B$16&lt;=720),(1+(Control!$B$16-360)*((1.25-1)/(720-360))),IF(AND(Control!$B$16&gt;720,Control!$B$16&lt;=1000),(1.25+(Control!$B$16-720)*((1.35-1.25)/(1000-720))),IF(AND(Control!$B$16&gt;1000,Control!$B$16&lt;=2000),(1.35+(Control!$B$16-1000)*0))))))</f>
        <v>#N/A</v>
      </c>
      <c r="GH67" s="162" t="e">
        <f t="shared" ca="1" si="41"/>
        <v>#N/A</v>
      </c>
      <c r="GI67" s="162">
        <f t="shared" ca="1" si="201"/>
        <v>0</v>
      </c>
      <c r="GJ67" s="162">
        <f t="shared" ca="1" si="42"/>
        <v>0</v>
      </c>
      <c r="GK67" s="162">
        <f t="shared" ca="1" si="220"/>
        <v>1</v>
      </c>
      <c r="GL67" s="162">
        <f t="shared" ca="1" si="43"/>
        <v>1</v>
      </c>
      <c r="GM67" s="162" t="e">
        <f ca="1">MAX(0,MIN(1,1-Control!$C$156*(1.0001-$KH67)^2))</f>
        <v>#N/A</v>
      </c>
      <c r="GN67" s="162" t="e">
        <f ca="1">IF(Control!$B$26=1,$KU67,$KX67)</f>
        <v>#N/A</v>
      </c>
      <c r="GO67" s="162" t="e">
        <f ca="1">IF($CP67&lt;=60,Control!$C$105,IF($CP67&gt;=90,Control!$C$106,Control!$C$105+($CP67-60)*((Control!$C$106-Control!$C$105)/(90-60))))</f>
        <v>#N/A</v>
      </c>
      <c r="GP67" s="162" t="e">
        <f t="shared" ca="1" si="154"/>
        <v>#N/A</v>
      </c>
      <c r="GQ67" s="162" t="e">
        <f t="shared" ca="1" si="155"/>
        <v>#N/A</v>
      </c>
      <c r="GR67" s="163" t="e">
        <f t="shared" ca="1" si="44"/>
        <v>#DIV/0!</v>
      </c>
      <c r="GS67" s="162" t="e">
        <f t="shared" ca="1" si="45"/>
        <v>#DIV/0!</v>
      </c>
      <c r="GT67" s="164" t="e">
        <f t="shared" ca="1" si="156"/>
        <v>#N/A</v>
      </c>
      <c r="GU67" s="162" t="e">
        <f t="shared" ca="1" si="157"/>
        <v>#N/A</v>
      </c>
      <c r="GV67" s="162" t="e">
        <f t="shared" ca="1" si="46"/>
        <v>#N/A</v>
      </c>
      <c r="GW67" s="162" t="e">
        <f t="shared" ca="1" si="221"/>
        <v>#DIV/0!</v>
      </c>
      <c r="GX67" s="162" t="e">
        <f t="shared" ca="1" si="228"/>
        <v>#DIV/0!</v>
      </c>
      <c r="GY67" s="162" t="e">
        <f t="shared" ca="1" si="158"/>
        <v>#DIV/0!</v>
      </c>
      <c r="GZ67" s="165" t="e">
        <f t="shared" ca="1" si="159"/>
        <v>#N/A</v>
      </c>
      <c r="HA67" s="162" t="e">
        <f ca="1">IF(Control!$C$114=1, $DI67*$FS67, 0)</f>
        <v>#N/A</v>
      </c>
      <c r="HB67" s="162" t="e">
        <f ca="1">$FA67/Control!$C$64</f>
        <v>#N/A</v>
      </c>
      <c r="HC67" s="162" t="e">
        <f t="shared" ca="1" si="222"/>
        <v>#DIV/0!</v>
      </c>
      <c r="HD67" s="162">
        <f ca="1">-ASIN(SIN(23.45*Control!$C$139)*COS(2*Control!$C$138*($AH67+10)/365))</f>
        <v>-0.12328411049823619</v>
      </c>
      <c r="HE67" s="165">
        <f t="shared" ca="1" si="160"/>
        <v>0</v>
      </c>
      <c r="HF67" s="166">
        <f ca="1">IF(AND(Control!$C$61="T",$HE67&gt;=Control!$C$103,Control!$C$114=0),$AH67,Control!$C$59)</f>
        <v>1</v>
      </c>
      <c r="HG67" s="166">
        <f ca="1">IF(AND(Control!$C$61="T",$HE67&gt;=Control!$C$103,Control!$C$114=0),$HF67,Control!$C$59)</f>
        <v>1</v>
      </c>
      <c r="HH67" s="165">
        <f ca="1">IF(AND(OR(Control!$C$60&lt;=0, $AH67= Control!$C$59, Control!$C$60 &gt;0, $AH67 = Control!$C$60)), Control!$C$59, IF(Control!$C$60&gt;0, 0))</f>
        <v>1</v>
      </c>
      <c r="HI67" s="165">
        <f ca="1">IF(AND(OR(Control!$C$60&lt;=0, $AH67= Control!$C$59, Control!$C$60 &gt;0, $AH67 = Control!$C$60)), Control!$C$60, IF(Control!$C$60&lt;=0, 0))</f>
        <v>0</v>
      </c>
      <c r="HJ67" s="166">
        <f ca="1">IF(AND(Control!$C$62="F",$CV67&gt;=Control!$C$102),$AH67,0)</f>
        <v>0</v>
      </c>
      <c r="HK67" s="165" t="e">
        <f t="shared" ca="1" si="202"/>
        <v>#N/A</v>
      </c>
      <c r="HL67" s="166">
        <f ca="1">IF(AND(Control!$C$61="T",$HE67&gt;=Control!$C$103,Control!$C$114=0),$HF67,0)</f>
        <v>0</v>
      </c>
      <c r="HM67" s="201" t="e">
        <f t="shared" ca="1" si="47"/>
        <v>#DIV/0!</v>
      </c>
      <c r="HN67" s="215">
        <f t="shared" ca="1" si="161"/>
        <v>63</v>
      </c>
      <c r="HO67" s="216" t="e">
        <f ca="1">IF(AND($CP67&gt;=0, $CP67&lt;=90), Control!$C$152, Control!$C$152)</f>
        <v>#N/A</v>
      </c>
      <c r="HP67" s="216" t="e">
        <f t="shared" ca="1" si="48"/>
        <v>#N/A</v>
      </c>
      <c r="HQ67" s="217" t="e">
        <f ca="1">IF(OR(Control!$B$26=1,Control!$B$26=2),$KV67,$KS67)</f>
        <v>#DIV/0!</v>
      </c>
      <c r="HR67" s="218" t="e">
        <f t="shared" ca="1" si="223"/>
        <v>#DIV/0!</v>
      </c>
      <c r="HS67" s="216" t="e">
        <f ca="1">Control!$C$154*$HP67</f>
        <v>#N/A</v>
      </c>
      <c r="HT67" s="216" t="e">
        <f ca="1">Control!$C$155*$HP67</f>
        <v>#N/A</v>
      </c>
      <c r="HU67" s="217" t="e">
        <f ca="1">Control!$C$161*$FI67</f>
        <v>#N/A</v>
      </c>
      <c r="HV67" s="218" t="e">
        <f t="shared" ca="1" si="162"/>
        <v>#N/A</v>
      </c>
      <c r="HW67" s="218" t="e">
        <f ca="1">Control!$C$160*$FF67+$IP67*$EO67</f>
        <v>#N/A</v>
      </c>
      <c r="HX67" s="218" t="e">
        <f t="shared" ca="1" si="203"/>
        <v>#N/A</v>
      </c>
      <c r="HY67" s="219" t="e">
        <f ca="1">IF(Control!$C$114=1, $EB67*$FS67, 0)</f>
        <v>#N/A</v>
      </c>
      <c r="HZ67" s="91" t="e">
        <f t="shared" ca="1" si="49"/>
        <v>#N/A</v>
      </c>
      <c r="IA67" s="220" t="e">
        <f ca="1">Control!$C$153*$HO67</f>
        <v>#N/A</v>
      </c>
      <c r="IB67" s="218" t="e">
        <f t="shared" ca="1" si="50"/>
        <v>#N/A</v>
      </c>
      <c r="IC67" s="220" t="e">
        <f ca="1">Control!$C$153*$HT67</f>
        <v>#N/A</v>
      </c>
      <c r="ID67" s="218" t="e">
        <f t="shared" ca="1" si="51"/>
        <v>#N/A</v>
      </c>
      <c r="IE67" s="221" t="e">
        <f ca="1">($EB67*Control!$C$159+$EF67*Control!$C$160)/(IF($GZ67&lt;&gt;0,$GZ67,1))</f>
        <v>#N/A</v>
      </c>
      <c r="IF67" s="216" t="e">
        <f t="shared" ca="1" si="52"/>
        <v>#N/A</v>
      </c>
      <c r="IG67" s="91">
        <f ca="1">IF(OR(Control!$B$198=$AH67,Control!$B$199=$AH67, Control!$B$200=$AH67, Control!$B$201=$AH67, Control!$B$202=$AH67, Control!$B$203=$AH67, Control!$B$204=$AH67, Control!$B$205=$AH67, Control!$B$206=$AH67, Control!$B$207=$AH67), 1, 0)</f>
        <v>0</v>
      </c>
      <c r="IH67" s="91">
        <f ca="1">IF($IG67=0,0, VLOOKUP($AH67,Control!$B$198:$C$207,2))</f>
        <v>0</v>
      </c>
      <c r="II67" s="222">
        <f t="shared" ca="1" si="163"/>
        <v>0</v>
      </c>
      <c r="IJ67" s="91">
        <f>Control!$C$121</f>
        <v>0.7</v>
      </c>
      <c r="IK67" s="218">
        <f t="shared" ca="1" si="53"/>
        <v>0</v>
      </c>
      <c r="IL67" s="217" t="e">
        <f t="shared" ca="1" si="204"/>
        <v>#N/A</v>
      </c>
      <c r="IM67" s="223" t="e">
        <f ca="1">IF(AND(Control!$C$114=1,$KH67&lt;1),$EB67*Control!$C$148*(1-$KH67), 0)</f>
        <v>#N/A</v>
      </c>
      <c r="IN67" s="217" t="e">
        <f t="shared" ca="1" si="54"/>
        <v>#DIV/0!</v>
      </c>
      <c r="IO67" s="91" t="e">
        <f ca="1">MAX(0,$IL67-$EF67*Control!$C$160)</f>
        <v>#N/A</v>
      </c>
      <c r="IP67" s="220" t="e">
        <f t="shared" ca="1" si="55"/>
        <v>#N/A</v>
      </c>
      <c r="IQ67" s="217" t="e">
        <f t="shared" ca="1" si="164"/>
        <v>#N/A</v>
      </c>
      <c r="IR67" s="218" t="e">
        <f t="shared" ca="1" si="56"/>
        <v>#N/A</v>
      </c>
      <c r="IS67" s="217" t="e">
        <f ca="1">Control!$C$159*MAX(0,$FD67-$EN67)</f>
        <v>#N/A</v>
      </c>
      <c r="IT67" s="217" t="e">
        <f t="shared" ca="1" si="205"/>
        <v>#N/A</v>
      </c>
      <c r="IU67" s="217" t="e">
        <f t="shared" ca="1" si="165"/>
        <v>#N/A</v>
      </c>
      <c r="IV67" s="217" t="e">
        <f t="shared" ca="1" si="206"/>
        <v>#N/A</v>
      </c>
      <c r="IW67" s="217" t="e">
        <f ca="1">IF(OR($AW67=1,AND($AW67=0, Control!$B$18=1,$EN67&lt;&gt;0)), $IQ67-$IU67, $IQ67)</f>
        <v>#N/A</v>
      </c>
      <c r="IX67" s="218" t="e">
        <f t="shared" ca="1" si="57"/>
        <v>#N/A</v>
      </c>
      <c r="IY67" s="218" t="e">
        <f ca="1">MAX(0,$IQ67-$EB67*Control!$C$159)</f>
        <v>#N/A</v>
      </c>
      <c r="IZ67" s="218" t="e">
        <f t="shared" ca="1" si="58"/>
        <v>#N/A</v>
      </c>
      <c r="JA67" s="216" t="e">
        <f t="shared" ca="1" si="59"/>
        <v>#N/A</v>
      </c>
      <c r="JB67" s="217" t="e">
        <f t="shared" ca="1" si="60"/>
        <v>#N/A</v>
      </c>
      <c r="JC67" s="222" t="e">
        <f ca="1">MAX(Control!$C$157*$EK67-$JT67, 0)/Control!$C$162</f>
        <v>#N/A</v>
      </c>
      <c r="JD67" s="218" t="e">
        <f t="shared" ca="1" si="61"/>
        <v>#N/A</v>
      </c>
      <c r="JE67" s="218" t="e">
        <f t="shared" ca="1" si="62"/>
        <v>#N/A</v>
      </c>
      <c r="JF67" s="218" t="e">
        <f t="shared" ca="1" si="207"/>
        <v>#N/A</v>
      </c>
      <c r="JG67" s="218" t="e">
        <f t="shared" ca="1" si="63"/>
        <v>#N/A</v>
      </c>
      <c r="JH67" s="217" t="e">
        <f t="shared" ca="1" si="166"/>
        <v>#N/A</v>
      </c>
      <c r="JI67" s="217" t="e">
        <f t="shared" ca="1" si="167"/>
        <v>#N/A</v>
      </c>
      <c r="JJ67" s="217" t="e">
        <f t="shared" ca="1" si="224"/>
        <v>#N/A</v>
      </c>
      <c r="JK67" s="217" t="e">
        <f ca="1">IF(Control!$C$114=1,IF(Control!$B$24=0,MAX(0,$JI67)*$GN67/Control!$C$64,(MAX(0,MIN($JI67,$JJ67*$GN67/Control!$C$64),0))))</f>
        <v>#N/A</v>
      </c>
      <c r="JL67" s="217" t="e">
        <f ca="1">$IK67/Control!$C$64-$JK67+$HQ67</f>
        <v>#N/A</v>
      </c>
      <c r="JM67" s="217" t="e">
        <f ca="1">IF(Control!$C$114=1,($JB67/(IF($JI67&lt;&gt;0,$JI67,1)))*$JK67,0)</f>
        <v>#N/A</v>
      </c>
      <c r="JN67" s="217" t="e">
        <f ca="1">IF(Control!$C$114=1,($JG67/(IF($JI67&lt;&gt;0,$JI67,1)))*$JK67, 0)</f>
        <v>#N/A</v>
      </c>
      <c r="JO67" s="218" t="e">
        <f t="shared" ca="1" si="64"/>
        <v>#N/A</v>
      </c>
      <c r="JP67" s="218" t="e">
        <f ca="1">MIN(($IY67+$IO67)*Control!$C$151, $JF67-$EH67*Control!$C$161)</f>
        <v>#N/A</v>
      </c>
      <c r="JQ67" s="218" t="e">
        <f t="shared" ca="1" si="65"/>
        <v>#N/A</v>
      </c>
      <c r="JR67" s="217" t="e">
        <f ca="1">IF($CP67-Control!$C$150&lt;0, 0, $JQ67/Control!$C$162)</f>
        <v>#N/A</v>
      </c>
      <c r="JS67" s="218" t="e">
        <f t="shared" ca="1" si="66"/>
        <v>#N/A</v>
      </c>
      <c r="JT67" s="218" t="e">
        <f t="shared" ca="1" si="168"/>
        <v>#N/A</v>
      </c>
      <c r="JU67" s="218" t="e">
        <f t="shared" ca="1" si="67"/>
        <v>#N/A</v>
      </c>
      <c r="JV67" s="218" t="e">
        <f t="shared" ca="1" si="68"/>
        <v>#N/A</v>
      </c>
      <c r="JW67" s="216" t="e">
        <f t="shared" ca="1" si="69"/>
        <v>#N/A</v>
      </c>
      <c r="JX67" s="91" t="e">
        <f t="shared" ca="1" si="70"/>
        <v>#N/A</v>
      </c>
      <c r="JY67" s="218" t="e">
        <f t="shared" ca="1" si="71"/>
        <v>#N/A</v>
      </c>
      <c r="JZ67" s="217" t="e">
        <f ca="1">IF(Control!$C$114=1,($IZ67/(IF($JI67&lt;&gt;0,$JI67,1)))*$JK67, 0)</f>
        <v>#N/A</v>
      </c>
      <c r="KA67" s="218" t="e">
        <f t="shared" ca="1" si="225"/>
        <v>#N/A</v>
      </c>
      <c r="KB67" s="218" t="e">
        <f t="shared" ca="1" si="169"/>
        <v>#N/A</v>
      </c>
      <c r="KC67" s="218" t="e">
        <f t="shared" ca="1" si="72"/>
        <v>#N/A</v>
      </c>
      <c r="KD67" s="218" t="e">
        <f t="shared" ca="1" si="73"/>
        <v>#N/A</v>
      </c>
      <c r="KE67" s="218" t="e">
        <f t="shared" ca="1" si="74"/>
        <v>#N/A</v>
      </c>
      <c r="KF67" s="218" t="e">
        <f t="shared" ca="1" si="75"/>
        <v>#N/A</v>
      </c>
      <c r="KG67" s="216" t="e">
        <f t="shared" ca="1" si="76"/>
        <v>#N/A</v>
      </c>
      <c r="KH67" s="221" t="e">
        <f ca="1">IF(Control!$B$24=0,1,MAX(0.001,MIN(1,IF(($IF67-$IE67)&lt;&gt;0,($KG67-$IE67)/($IF67-$IE67),1))))</f>
        <v>#N/A</v>
      </c>
      <c r="KI67" s="222" t="e">
        <f ca="1">IF(Control!$C$114=1, $KI66+ $KH66, 0)</f>
        <v>#N/A</v>
      </c>
      <c r="KJ67" s="217" t="e">
        <f t="shared" ca="1" si="77"/>
        <v>#N/A</v>
      </c>
      <c r="KK67" s="218" t="e">
        <f t="shared" ca="1" si="78"/>
        <v>#N/A</v>
      </c>
      <c r="KL67" s="274" t="e">
        <f ca="1">IF(Control!$B$26=3,4000000000*EXP(-8400/($G67+273)),IF(Control!$B$26=4,4000000000*EXP(-8400/($G67+273))*($KT67),0))</f>
        <v>#DIV/0!</v>
      </c>
      <c r="KM67" s="274" t="e">
        <f ca="1">IF(Control!$B$26=3,5600000000000*EXP(-9800/($G67+273)),IF(Control!$B$26=4,5600000000000*EXP(-9800/($G67+273))*$KT67,0))</f>
        <v>#DIV/0!</v>
      </c>
      <c r="KN67" s="454" t="e">
        <f t="shared" ca="1" si="170"/>
        <v>#DIV/0!</v>
      </c>
      <c r="KO67" s="274" t="e">
        <f t="shared" ca="1" si="171"/>
        <v>#DIV/0!</v>
      </c>
      <c r="KP67" s="454" t="e">
        <f t="shared" ca="1" si="79"/>
        <v>#DIV/0!</v>
      </c>
      <c r="KQ67" s="454" t="e">
        <f t="shared" ca="1" si="80"/>
        <v>#DIV/0!</v>
      </c>
      <c r="KR67" s="454" t="e">
        <f t="shared" ca="1" si="81"/>
        <v>#DIV/0!</v>
      </c>
      <c r="KS67" s="454" t="e">
        <f t="shared" ca="1" si="82"/>
        <v>#DIV/0!</v>
      </c>
      <c r="KT67" s="455" t="e">
        <f t="shared" ca="1" si="83"/>
        <v>#DIV/0!</v>
      </c>
      <c r="KU67" s="456" t="e">
        <f ca="1">IF($CP67-Control!$C$149&lt;0, IF($NT67-0.01&lt;0,0,1),0)</f>
        <v>#N/A</v>
      </c>
      <c r="KV67" s="456" t="e">
        <f ca="1">IF(Control!$C$114=1,MAX(0,MIN(Control!$C$125*$KW67*$GN67,$KW67)))</f>
        <v>#DIV/0!</v>
      </c>
      <c r="KW67" s="456" t="e">
        <f t="shared" ca="1" si="208"/>
        <v>#DIV/0!</v>
      </c>
      <c r="KX67" s="457" t="e">
        <f ca="1">IF($CP67-Control!$C$149&lt;0, IF($MR67-$OM67&lt;0,0,1),0)</f>
        <v>#N/A</v>
      </c>
      <c r="KY67" s="167">
        <f t="shared" ca="1" si="172"/>
        <v>63</v>
      </c>
      <c r="KZ67" s="168">
        <f ca="1">1370*(1+0.033*COS(2*Control!$C$138*$AH67/365))</f>
        <v>1391.1292088462005</v>
      </c>
      <c r="LA67" s="169">
        <f t="shared" ca="1" si="173"/>
        <v>1.015422854166214</v>
      </c>
      <c r="LB67" s="169">
        <f t="shared" ca="1" si="174"/>
        <v>-0.12301690600211586</v>
      </c>
      <c r="LC67" s="169">
        <f ca="1">ACOS(-TAN((2*Control!$B$8/360))*TAN(Calculations!$LB67))</f>
        <v>1.5340414910846247</v>
      </c>
      <c r="LD67" s="169">
        <f ca="1">((24*60)/PI())*0.082*$LA67*(($LC67*SIN(Control!$B$8*2*PI()/360))*SIN($LB67)+COS(Control!$B$8*2*PI()/360)*COS($LB67)*SIN($LC67))</f>
        <v>17.642602365139926</v>
      </c>
      <c r="LE67" s="170">
        <f t="shared" ca="1" si="84"/>
        <v>17.844366893398043</v>
      </c>
      <c r="LF67" s="170">
        <f ca="1">SIN(Control!$C$139*Control!$B$8)*SIN($HD67)</f>
        <v>-9.6903457777735305E-2</v>
      </c>
      <c r="LG67" s="170">
        <f ca="1">COS(Control!$C$139*Control!$B$8)*COS($HD67)</f>
        <v>0.6109870278577233</v>
      </c>
      <c r="LH67" s="170">
        <f ca="1">12*(1+2*ASIN(MAX(-1,MIN(1,$LF67/$LG67))/Control!$C$138))</f>
        <v>10.787861378335684</v>
      </c>
      <c r="LI67" s="170">
        <f ca="1">12*(1+2*ASIN(MAX(-1,MIN(1,(-SIN(-4*Control!$C$139)+$LF67)/$LG67))/Control!$C$138))</f>
        <v>11.660560933098665</v>
      </c>
      <c r="LJ67" s="168">
        <f ca="1">3600*($LH67*$LF67+24*$LG67*SQRT(1-$LK67*$LK67)/Control!$C$138)</f>
        <v>12827.253413935661</v>
      </c>
      <c r="LK67" s="170">
        <f t="shared" ca="1" si="85"/>
        <v>-0.15860149783785688</v>
      </c>
      <c r="LL67" s="170">
        <f t="shared" ca="1" si="86"/>
        <v>0</v>
      </c>
      <c r="LM67" s="171">
        <f ca="1">Control!$C$145*$AB67</f>
        <v>6.6660906138995932E-2</v>
      </c>
      <c r="LN67" s="170">
        <f t="shared" ca="1" si="175"/>
        <v>0.54</v>
      </c>
      <c r="LO67" s="170">
        <f t="shared" ca="1" si="87"/>
        <v>0</v>
      </c>
      <c r="LP67" s="170">
        <f ca="1">Control!$C$140*((($D67+273.16)^4+($E67+273.16)^4)/2)*(0.34-0.14*SQRT($Y67))*(1.35*$AQ67/(0.75*$LD67)-0.35)</f>
        <v>-3.2464704755046001</v>
      </c>
      <c r="LQ67" s="170">
        <f ca="1">Control!$C$140*($G67+273)^4*(0.56-0.079*SQRT($Y67*10))*(0.1+0.9*$LO67)</f>
        <v>1.5241745131704001</v>
      </c>
      <c r="LR67" s="170">
        <f ca="1">$AQ67*(1-Control!$C$142)-$LQ67</f>
        <v>-1.5241745131704001</v>
      </c>
      <c r="LS67" s="170">
        <f ca="1">$AQ67*(1-Control!$C$143)-$LQ67</f>
        <v>-1.5241745131704001</v>
      </c>
      <c r="LT67" s="170">
        <f ca="1">$AQ67*(1-Control!$C$144)-$LQ67</f>
        <v>-1.5241745131704001</v>
      </c>
      <c r="LU67" s="169">
        <f ca="1">(1-Control!$C$144)*AQ67-LP67</f>
        <v>3.2464704755046001</v>
      </c>
      <c r="LV67" s="172">
        <f t="shared" ca="1" si="88"/>
        <v>0.79430000000000012</v>
      </c>
      <c r="LW67" s="170">
        <f t="shared" ca="1" si="89"/>
        <v>1.5886000000000002</v>
      </c>
      <c r="LX67" s="170">
        <f ca="1">($AC67*($LR67/Control!$C$141)+$LM67*$LV67)/($AC67+$LM67)</f>
        <v>0.23530094218323697</v>
      </c>
      <c r="LY67" s="170">
        <f ca="1">($AC67*($LS67/Control!$C$141)+$LM67*$LV67)/($AC67+$LM67)</f>
        <v>0.23530094218323697</v>
      </c>
      <c r="LZ67" s="170">
        <f t="shared" ca="1" si="90"/>
        <v>0.23530094218323697</v>
      </c>
      <c r="MA67" s="170">
        <f t="shared" ca="1" si="91"/>
        <v>0.23530094218323697</v>
      </c>
      <c r="MB67" s="170" t="e">
        <f t="shared" ca="1" si="92"/>
        <v>#N/A</v>
      </c>
      <c r="MC67" s="170">
        <f t="shared" ca="1" si="176"/>
        <v>0.6018</v>
      </c>
      <c r="MD67" s="170">
        <f t="shared" ca="1" si="93"/>
        <v>0.52989392535414004</v>
      </c>
      <c r="ME67" s="170">
        <f ca="1">($AC67*($LT67/Control!$C$141)+$LM67*$LW67)/($AC67+$LM67)</f>
        <v>0.71612369323045078</v>
      </c>
      <c r="MF67" s="170" t="e">
        <f ca="1">IF(Control!$B$16&gt;=1000,0.92,IF(AND(720&lt;=Control!$B$16,1000&gt;Control!$B$16),(0.95+(Control!$B$16-720)*((0.92-0.95)/(1000-720))),IF(AND(360&lt;=Control!$B$16,720&gt;Control!$B$16),(1+(Control!$B$16-360)*((0.95-1)/(720-360))),IF(AND(40&lt;=Control!$B$16,360&gt;Control!$B$16),(1.05+(Control!$B$16-40)*((1.05-1)/(360-40)))))))</f>
        <v>#N/A</v>
      </c>
      <c r="MG67" s="170">
        <f t="shared" ca="1" si="94"/>
        <v>0.71612369323045078</v>
      </c>
      <c r="MH67" s="170" t="e">
        <f t="shared" ca="1" si="233"/>
        <v>#N/A</v>
      </c>
      <c r="MI67" s="170" t="e">
        <f t="shared" ca="1" si="233"/>
        <v>#N/A</v>
      </c>
      <c r="MJ67" s="170" t="e">
        <f ca="1">MAX(0.0001, Control!$C$132*$MI67*$DL67)</f>
        <v>#N/A</v>
      </c>
      <c r="MK67" s="170">
        <f ca="1">1/(0.76+1.5*($MG67/10))-(5-Control!$C$110)*0.1</f>
        <v>1.002845988140797</v>
      </c>
      <c r="ML67" s="173">
        <f ca="1">IF(Control!$C$110&lt;3,$MK67+($MG67-0.6)/(Control!$C$110*(Control!$C$110+3)), MAX(0.1, MIN(0.95,$MK67)))</f>
        <v>0.95</v>
      </c>
      <c r="MM67" s="173">
        <f ca="1">IF(Control!$C$110&lt;3,$MK67+(($MI67/10)-0.6)/(Control!$C$110*(Control!$C$110+3)), MAX(0.1, MIN(0.95,$MK67)))</f>
        <v>0.95</v>
      </c>
      <c r="MN67" s="173">
        <f ca="1">(1-$MM67)*(Control!$C$128-Control!$C$127)+Control!$C$127</f>
        <v>0.16</v>
      </c>
      <c r="MO67" s="170" t="e">
        <f ca="1">MAX(0,MIN(1,($MS67-Control!$C$127)/($MN67-Control!$C$127)))</f>
        <v>#DIV/0!</v>
      </c>
      <c r="MP67" s="173" t="e">
        <f ca="1">1/(0.76+1.5*$MI67)-(5-Control!$C$110)*0.1</f>
        <v>#N/A</v>
      </c>
      <c r="MQ67" s="172" t="e">
        <f t="shared" ca="1" si="209"/>
        <v>#DIV/0!</v>
      </c>
      <c r="MR67" s="168" t="e">
        <f t="shared" ca="1" si="226"/>
        <v>#DIV/0!</v>
      </c>
      <c r="MS67" s="173" t="e">
        <f ca="1">MAX(Control!$C$127, MIN(Control!$C$135, $MR67/MAX(0.0001,$CY67)))</f>
        <v>#DIV/0!</v>
      </c>
      <c r="MT67" s="168" t="e">
        <f ca="1">(Control!$C$128-$MS67)*Control!$C$74</f>
        <v>#DIV/0!</v>
      </c>
      <c r="MU67" s="168" t="e">
        <f ca="1">(Control!$C$135-$MS67)*Control!$C$74</f>
        <v>#DIV/0!</v>
      </c>
      <c r="MV67" s="168" t="e">
        <f t="shared" ca="1" si="210"/>
        <v>#DIV/0!</v>
      </c>
      <c r="MW67" s="168" t="e">
        <f t="shared" ca="1" si="177"/>
        <v>#DIV/0!</v>
      </c>
      <c r="MX67" s="171" t="e">
        <f ca="1">MAX(Control!$C$127, MIN(Control!$C$135, $MW67/MAX(0.0001,Control!$C$119-$CY67)))</f>
        <v>#DIV/0!</v>
      </c>
      <c r="MY67" s="54" t="e">
        <f ca="1">IF(Control!$C$114=1, $CX67*$MX67, 0)</f>
        <v>#DIV/0!</v>
      </c>
      <c r="MZ67" s="54" t="e">
        <f t="shared" ca="1" si="178"/>
        <v>#N/A</v>
      </c>
      <c r="NA67" s="168" t="e">
        <f ca="1">(Control!$C$128-$MX67)*(Control!$C$119-Control!$C$74)</f>
        <v>#DIV/0!</v>
      </c>
      <c r="NB67" s="168" t="e">
        <f ca="1">(Control!$C$135-$MX67)*(Control!$C$119-Control!$C$74)</f>
        <v>#DIV/0!</v>
      </c>
      <c r="NC67" s="174" t="e">
        <f t="shared" ca="1" si="179"/>
        <v>#DIV/0!</v>
      </c>
      <c r="ND67" s="54">
        <f ca="1">IF(Control!$C$58=2, IF(OR(Control!$B$218=$AH67,Control!$B$219=$AH67, Control!$B$220=$AH67, Control!$B$221=$AH67, Control!$B$222=$AH67, Control!$B$223=$AH67, Control!$B$224=$AH67, Control!$B$225=$AH67, Control!$B$226=$AH67, Control!$B$227=$AH67, Control!$B$228=$AH67), 1, 0), 0)</f>
        <v>0</v>
      </c>
      <c r="NE67" s="54">
        <f ca="1">IF($ND67=0,0, VLOOKUP($AH67,Control!$B$218:$C$228,2))</f>
        <v>0</v>
      </c>
      <c r="NF67" s="168" t="e">
        <f ca="1">$CY67*(Control!$C$128-Control!$C$127)</f>
        <v>#N/A</v>
      </c>
      <c r="NG67" s="54" t="e">
        <f ca="1">IF(Control!$C$58=2, $NI66-$NJ66, 0)</f>
        <v>#DIV/0!</v>
      </c>
      <c r="NH67" s="54" t="e">
        <f ca="1">IF(AND(Control!$C$58=1, $MS66&lt;= ($MN66+0.02), $I66&lt;10), 0, IF(Control!$C$58=2, $NG66, 0))</f>
        <v>#DIV/0!</v>
      </c>
      <c r="NI67" s="54" t="e">
        <f ca="1">IF(Control!$C$58=2, $NE67+$NH67,0)</f>
        <v>#DIV/0!</v>
      </c>
      <c r="NJ67" s="54" t="e">
        <f ca="1">IF(AND(Control!$C$58=1, $MS67&lt;= ($MN67+0.02), $I67&lt;10), MAX(0, MIN(10, 0.7*($NF67-$MV67))), IF(Control!$C$58=2, MIN(10,$NI67),0))</f>
        <v>#DIV/0!</v>
      </c>
      <c r="NK67" s="54" t="e">
        <f t="shared" ca="1" si="96"/>
        <v>#DIV/0!</v>
      </c>
      <c r="NL67" s="173" t="e">
        <f ca="1">(1-Control!$C$73)*$I67+$NJ67</f>
        <v>#DIV/0!</v>
      </c>
      <c r="NM67" s="172" t="e">
        <f ca="1">IF($NL67&lt;0.5, $MB67* MAX(0, MIN(1, (SQRT($NC67)-SQRT($NC67-1))*Control!$C$71)),0)</f>
        <v>#DIV/0!</v>
      </c>
      <c r="NN67" s="170" t="e">
        <f ca="1">IF($NL67&gt;=5, $MB67, MAX(0,MIN($MB67, $NM67+$NL67,($MS67-Control!$C$129))))</f>
        <v>#DIV/0!</v>
      </c>
      <c r="NO67" s="54">
        <f>IF(Control!$C$133&lt;&gt;1, Control!$C$135-Control!$C$131, 0)</f>
        <v>0.38</v>
      </c>
      <c r="NP67" s="54" t="e">
        <f t="shared" ca="1" si="97"/>
        <v>#DIV/0!</v>
      </c>
      <c r="NQ67" s="173" t="e">
        <f ca="1">MAX(0,MIN(1,(Control!$C$135-$MS67)/(Control!$C$135-$NO67)))</f>
        <v>#DIV/0!</v>
      </c>
      <c r="NR67" s="170" t="e">
        <f ca="1">IF(Control!$C$133&lt;&gt;1, $NQ67+((1-$NP67/4)*(1-$NQ67)),1)</f>
        <v>#DIV/0!</v>
      </c>
      <c r="NS67" s="170" t="e">
        <f ca="1">IF(Control!$B$31=0,$MJ67,MAX(0,MIN($MV67,$MO67*$NR67*$MJ67)))</f>
        <v>#DIV/0!</v>
      </c>
      <c r="NT67" s="170" t="e">
        <f t="shared" ca="1" si="227"/>
        <v>#DIV/0!</v>
      </c>
      <c r="NU67" s="170" t="e">
        <f t="shared" ca="1" si="180"/>
        <v>#N/A</v>
      </c>
      <c r="NV67" s="170" t="e">
        <f t="shared" ca="1" si="98"/>
        <v>#N/A</v>
      </c>
      <c r="NW67" s="175" t="e">
        <f t="shared" ca="1" si="99"/>
        <v>#DIV/0!</v>
      </c>
      <c r="NX67" s="170" t="e">
        <f ca="1">MIN(Control!$C$72+$MU67, $NW67)</f>
        <v>#DIV/0!</v>
      </c>
      <c r="NY67" s="170" t="e">
        <f ca="1">IF($MT67&lt;=$NX67,MIN(Control!$C$72+$NB67,$NX67-$MT67),0)</f>
        <v>#DIV/0!</v>
      </c>
      <c r="NZ67" s="54" t="e">
        <f ca="1">IF(Control!$C$114=1,  $CX67*($MX67-Control!$C$127), 0)</f>
        <v>#DIV/0!</v>
      </c>
      <c r="OA67" s="170" t="e">
        <f t="shared" ca="1" si="181"/>
        <v>#DIV/0!</v>
      </c>
      <c r="OB67" s="170" t="e">
        <f ca="1">IF($NA67 &lt;=$NY67, MIN(Control!$C$72, $NY67-$NA67), 0)</f>
        <v>#DIV/0!</v>
      </c>
      <c r="OC67" s="168" t="e">
        <f t="shared" ca="1" si="100"/>
        <v>#DIV/0!</v>
      </c>
      <c r="OD67" s="168" t="e">
        <f t="shared" ca="1" si="182"/>
        <v>#DIV/0!</v>
      </c>
      <c r="OE67" s="170">
        <f ca="1">Control!$C$73*$I67</f>
        <v>0</v>
      </c>
      <c r="OF67" s="176" t="e">
        <f t="shared" ca="1" si="101"/>
        <v>#DIV/0!</v>
      </c>
      <c r="OG67" s="168" t="e">
        <f t="shared" ca="1" si="102"/>
        <v>#DIV/0!</v>
      </c>
      <c r="OH67" s="168" t="e">
        <f t="shared" ca="1" si="103"/>
        <v>#DIV/0!</v>
      </c>
      <c r="OI67" s="168" t="e">
        <f t="shared" ca="1" si="104"/>
        <v>#DIV/0!</v>
      </c>
      <c r="OJ67" s="168" t="e">
        <f t="shared" ca="1" si="105"/>
        <v>#DIV/0!</v>
      </c>
      <c r="OK67" s="204" t="e">
        <f t="shared" ca="1" si="183"/>
        <v>#DIV/0!</v>
      </c>
      <c r="OL67" s="177">
        <f>Control!$C$127</f>
        <v>0.15</v>
      </c>
      <c r="OM67" s="182" t="e">
        <f t="shared" ca="1" si="106"/>
        <v>#N/A</v>
      </c>
      <c r="ON67" s="177">
        <f>Control!$C$128</f>
        <v>0.35</v>
      </c>
      <c r="OO67" s="182" t="e">
        <f t="shared" ca="1" si="107"/>
        <v>#N/A</v>
      </c>
      <c r="OP67" s="138">
        <f t="shared" ca="1" si="184"/>
        <v>0</v>
      </c>
      <c r="OQ67" s="138" t="e">
        <f t="shared" ca="1" si="211"/>
        <v>#DIV/0!</v>
      </c>
      <c r="OR67" s="138" t="e">
        <f t="shared" ca="1" si="185"/>
        <v>#DIV/0!</v>
      </c>
      <c r="OS67" s="137" t="e">
        <f t="shared" ca="1" si="212"/>
        <v>#DIV/0!</v>
      </c>
      <c r="OT67" s="139" t="e">
        <f t="shared" ca="1" si="213"/>
        <v>#DIV/0!</v>
      </c>
      <c r="OU67" s="138" t="e">
        <f t="shared" ca="1" si="214"/>
        <v>#N/A</v>
      </c>
      <c r="OV67" s="138" t="e">
        <f t="shared" ca="1" si="215"/>
        <v>#DIV/0!</v>
      </c>
      <c r="OW67" s="138" t="e">
        <f t="shared" ca="1" si="186"/>
        <v>#DIV/0!</v>
      </c>
      <c r="OX67" s="138" t="e">
        <f t="shared" ca="1" si="187"/>
        <v>#DIV/0!</v>
      </c>
      <c r="OY67" s="138" t="e">
        <f t="shared" ca="1" si="188"/>
        <v>#DIV/0!</v>
      </c>
      <c r="OZ67" s="138" t="e">
        <f t="shared" ca="1" si="108"/>
        <v>#DIV/0!</v>
      </c>
      <c r="PA67" s="138" t="e">
        <f t="shared" ca="1" si="109"/>
        <v>#DIV/0!</v>
      </c>
      <c r="PB67" s="55">
        <f>IF(Control!$C$61="T", IF(Control!$C$65="F", IF($AH$6-Control!$C$60&lt;0,0,1), IF(365+$AH$6-Control!$C$60&lt;0,0,1)),0)</f>
        <v>0</v>
      </c>
      <c r="PC67" s="55">
        <f ca="1">IF(Control!$C$65="F", IF($AH$6-$HF67&lt;0,0,1), IF(365+$AH$6-$HF67&lt;0,0,1))</f>
        <v>1</v>
      </c>
      <c r="PD67" s="444">
        <f>Control!$C$118</f>
        <v>1500</v>
      </c>
      <c r="PE67" s="180" t="e">
        <f t="shared" ca="1" si="110"/>
        <v>#N/A</v>
      </c>
      <c r="PF67" s="445">
        <f t="shared" ca="1" si="189"/>
        <v>0.71612369323045078</v>
      </c>
      <c r="PT67" s="186"/>
      <c r="PU67" s="186"/>
      <c r="PV67" s="94"/>
      <c r="PW67" s="94"/>
      <c r="PX67" s="94"/>
      <c r="PY67" s="94"/>
      <c r="PZ67" s="94"/>
      <c r="QA67" s="94"/>
      <c r="QB67" s="94"/>
      <c r="QC67" s="94"/>
      <c r="QD67" s="94"/>
      <c r="QE67" s="94"/>
      <c r="QF67" s="94"/>
      <c r="QG67" s="94"/>
      <c r="QH67" s="94"/>
      <c r="QI67" s="94"/>
      <c r="QJ67" s="94"/>
      <c r="QK67" s="94"/>
      <c r="QL67" s="94"/>
      <c r="QM67" s="94"/>
      <c r="QN67" s="94"/>
      <c r="QO67" s="94"/>
      <c r="QP67" s="94"/>
    </row>
    <row r="68" spans="1:458" s="2" customFormat="1" x14ac:dyDescent="0.2">
      <c r="A68" s="395">
        <v>4</v>
      </c>
      <c r="B68" s="396">
        <v>3</v>
      </c>
      <c r="C68" s="387">
        <f ca="1">Weather_data!$B67</f>
        <v>0</v>
      </c>
      <c r="D68" s="388">
        <f ca="1">Weather_data!$F67</f>
        <v>0</v>
      </c>
      <c r="E68" s="388">
        <f ca="1">Weather_data!$E67</f>
        <v>0</v>
      </c>
      <c r="F68" s="388">
        <f t="shared" ca="1" si="111"/>
        <v>0</v>
      </c>
      <c r="G68" s="388">
        <f ca="1">AVERAGE($D68:$E68)+Control!$B$9</f>
        <v>0</v>
      </c>
      <c r="H68" s="388">
        <f ca="1">Weather_data!$G67</f>
        <v>0</v>
      </c>
      <c r="I68" s="388">
        <f ca="1">Weather_data!$I67</f>
        <v>0</v>
      </c>
      <c r="J68" s="388">
        <f ca="1">Weather_data!$H67</f>
        <v>0</v>
      </c>
      <c r="K68" s="389">
        <f ca="1">Weather_data!$D67</f>
        <v>0</v>
      </c>
      <c r="L68" s="388" t="e">
        <f t="shared" ca="1" si="112"/>
        <v>#N/A</v>
      </c>
      <c r="M68" s="388" t="e">
        <f t="shared" ca="1" si="0"/>
        <v>#N/A</v>
      </c>
      <c r="N68" s="388">
        <f t="shared" ca="1" si="1"/>
        <v>-7.2778917146534459E-4</v>
      </c>
      <c r="O68" s="388">
        <f t="shared" ca="1" si="113"/>
        <v>7.2778917146534457E-3</v>
      </c>
      <c r="P68" s="390">
        <v>3</v>
      </c>
      <c r="Q68" s="388">
        <f ca="1">MAX($G68-Control!$C$107,0)</f>
        <v>0</v>
      </c>
      <c r="R68" s="388">
        <f t="shared" ca="1" si="114"/>
        <v>0</v>
      </c>
      <c r="S68" s="388">
        <f t="shared" ca="1" si="2"/>
        <v>0</v>
      </c>
      <c r="T68" s="388">
        <f t="shared" ca="1" si="3"/>
        <v>0</v>
      </c>
      <c r="U68" s="59">
        <f t="shared" ca="1" si="4"/>
        <v>0</v>
      </c>
      <c r="V68" s="391">
        <f ca="1">MAX(0,MIN(Control!$C$100-Control!$C$99,$G68-Control!$C$99)*Control!$C$63)</f>
        <v>0</v>
      </c>
      <c r="W68" s="388">
        <f t="shared" ca="1" si="190"/>
        <v>0</v>
      </c>
      <c r="X68" s="388">
        <f t="shared" ca="1" si="115"/>
        <v>0.6110000000000001</v>
      </c>
      <c r="Y68" s="388">
        <f t="shared" ca="1" si="116"/>
        <v>0</v>
      </c>
      <c r="Z68" s="388">
        <f t="shared" ca="1" si="117"/>
        <v>0.61058800000000002</v>
      </c>
      <c r="AA68" s="388">
        <f t="shared" ca="1" si="5"/>
        <v>0.6018</v>
      </c>
      <c r="AB68" s="388">
        <f ca="1">101.3*EXP(-0.034*Control!$C$66/($G68+273))</f>
        <v>100.69623283836242</v>
      </c>
      <c r="AC68" s="392">
        <f t="shared" ca="1" si="6"/>
        <v>4.3460251046025113E-2</v>
      </c>
      <c r="AD68" s="392">
        <f t="shared" ca="1" si="7"/>
        <v>4.4450382862832649E-2</v>
      </c>
      <c r="AE68" s="388">
        <f t="shared" ca="1" si="8"/>
        <v>0</v>
      </c>
      <c r="AF68" s="388">
        <f ca="1">MAX(0,$G68-Control!$C$92)</f>
        <v>0</v>
      </c>
      <c r="AG68" s="393">
        <f t="shared" ca="1" si="118"/>
        <v>64</v>
      </c>
      <c r="AH68" s="389">
        <f t="shared" ca="1" si="9"/>
        <v>64</v>
      </c>
      <c r="AI68" s="388">
        <f t="shared" ca="1" si="119"/>
        <v>-0.11670375912131235</v>
      </c>
      <c r="AJ68" s="388">
        <f ca="1">IF(Control!$C$60&lt;=0,$HH68,$HI68)</f>
        <v>1</v>
      </c>
      <c r="AK68" s="388">
        <f t="shared" ca="1" si="10"/>
        <v>-0.27542730113663938</v>
      </c>
      <c r="AL68" s="388">
        <f t="shared" ca="1" si="11"/>
        <v>3.6068370512509772E-19</v>
      </c>
      <c r="AM68" s="388">
        <f t="shared" ca="1" si="12"/>
        <v>-0.27542730113663938</v>
      </c>
      <c r="AN68" s="388">
        <f t="shared" ca="1" si="13"/>
        <v>-0.10839710684326267</v>
      </c>
      <c r="AO68" s="388">
        <f ca="1">-0.10453/COS(Control!$B$8*PI()/180)*COS(AN68)</f>
        <v>-0.16878836017159238</v>
      </c>
      <c r="AP68" s="388">
        <f ca="1">ACOS(AO68-TAN(Control!$B$8*PI()/180)*TAN(AN68))</f>
        <v>1.6003010285742043</v>
      </c>
      <c r="AQ68" s="388">
        <f t="shared" ca="1" si="120"/>
        <v>0</v>
      </c>
      <c r="AR68" s="394">
        <f t="shared" ca="1" si="14"/>
        <v>0</v>
      </c>
      <c r="AS68" s="436">
        <f ca="1">IF(Control!$B$18=2,(IF(OR($AH68=Control!$B$175,$AH68=Control!$B$176,$AH68=Control!$B$177,$AH68=Control!$B$178,$AH68=Control!$B$179,$AH68=Control!$B$180,$AH68=Control!$B$181,$AH68=Control!$B$182,$AH68=Control!$B$183,$AH68=Control!$B$184,$AH68=Control!$B$185),1,0)),0)</f>
        <v>0</v>
      </c>
      <c r="AT68" s="436">
        <f>IF(Control!$B$20=8,IF(AND($AH68&gt;=Control!$B$172,$AH68&lt;=Control!$B$173),1,0),0)</f>
        <v>0</v>
      </c>
      <c r="AU68" s="436">
        <f>IF(Control!$B$20=8,IF($AV67=1,1*$AT68,IF($AT68=1,$AU67+1,$AU67)),0)</f>
        <v>0</v>
      </c>
      <c r="AV68" s="436">
        <f>IF(Control!$B$20=8,IF($AU68&gt;=Control!$B$174,1,0),0)</f>
        <v>0</v>
      </c>
      <c r="AW68" s="436">
        <f ca="1">IF(AND(Control!$B$18=2,Control!$B$171=1), $AV68, $AS68)</f>
        <v>0</v>
      </c>
      <c r="AX68" s="436" t="e">
        <f ca="1">IF(AND(Control!$B$18=1,$EU68&gt;=Control!$B$19),-$AY68,IF(AND(Control!$B$18=2,$AW68=1,$EU68&gt;$DS68),-$AY68, IF(Control!$C$108=0,0, IF(Control!$C$108&lt;&gt;0,1))))</f>
        <v>#N/A</v>
      </c>
      <c r="AY68" s="436" t="e">
        <f t="shared" ca="1" si="121"/>
        <v>#N/A</v>
      </c>
      <c r="AZ68" s="436" t="e">
        <f ca="1">IF(AND(Control!$B$18=1,$EB68&gt;Control!$B$19),$AZ67+1, IF(AND(Control!$B$18=2, $AW68=1, $EB68&gt;$DS68), $AZ67+1,$AZ67))</f>
        <v>#N/A</v>
      </c>
      <c r="BA68" s="587">
        <f>IF(Control!$C$81=0,1,IF($AH68&gt;=Control!$C$82,1,0))</f>
        <v>1</v>
      </c>
      <c r="BB68" s="140" t="e">
        <f ca="1">IF($BA68&gt;$BA67,Control!$C$83,IF($AW68&gt;0,$AW68*Control!$C$84,IF(AND(Control!$B$18=1,EN67&lt;&gt;0),Control!$C$84,0)))</f>
        <v>#N/A</v>
      </c>
      <c r="BC68" s="140" t="e">
        <f t="shared" ca="1" si="122"/>
        <v>#N/A</v>
      </c>
      <c r="BD68" s="140" t="e">
        <f ca="1">BC68*IF(OR($G68&lt;Control!$C$92,$G68&gt;Control!$C$95),0,IF(AND($G68&gt;=Control!$C$92,$G68&lt;=Control!$C$93),$G68-Control!$C$92,IF(AND($G68&gt;Control!$C$93,$G68&lt;=Control!$C$94),Control!$C$93-Control!$C$92,IF(AND($G68&gt;Control!$C$94,$G68&lt;=Control!$C$95),(Control!$C$93-Control!$C$92)*(Control!$C$94-$G68)/(Control!$C$95-Control!$C$94)))))</f>
        <v>#N/A</v>
      </c>
      <c r="BE68" s="140" t="e">
        <f t="shared" ca="1" si="123"/>
        <v>#N/A</v>
      </c>
      <c r="BF68" s="140" t="e">
        <f ca="1">IF($BE68&lt;=Control!$C$86,$BE68,Control!$C$86-$BE68)</f>
        <v>#N/A</v>
      </c>
      <c r="BG68" s="140" t="e">
        <f ca="1">IF(AND($AW68=1,Control!$C$84&lt;9),1,IF($BE68&gt;=Control!$C$86,0,$BC68))</f>
        <v>#N/A</v>
      </c>
      <c r="BH68" s="404" t="e">
        <f ca="1">IF($BG68=0,0,IF($BE68&lt;=Control!$C$86,$BC68*9*($BF68/Control!$C$86),0))</f>
        <v>#N/A</v>
      </c>
      <c r="BI68" s="140" t="e">
        <f ca="1">IF($BG68=1,0,IF($BE68&gt;=Control!$C$86,1,IF(AND($BB68&lt;21,$BB68&gt;=9),1,$BM67)))</f>
        <v>#N/A</v>
      </c>
      <c r="BJ68" s="140" t="e">
        <f ca="1">IF($BF68&lt;0,-$BF68,$BI68*IF(OR($G68&lt;Control!$C$92,$G68&gt;Control!$C$95),0,IF(AND($G68&gt;=Control!$C$92,$G68&lt;=Control!$C$93),$G68-Control!$C$92,IF(AND($G68&gt;Control!$C$93,$G68&lt;=Control!$C$94),Control!$C$93-Control!$C$92,IF(AND($G68&gt;Control!$C$94,$G68&lt;=Control!$C$95),(Control!$C$93-Control!$C$92)*(Control!$C$94-$G68)/(Control!$C$95-Control!$C$94))))))</f>
        <v>#N/A</v>
      </c>
      <c r="BK68" s="140" t="e">
        <f t="shared" ca="1" si="124"/>
        <v>#N/A</v>
      </c>
      <c r="BL68" s="140" t="e">
        <f ca="1">IF($BK68&lt;=Control!$C$87,$BK68,Control!$C$87-$BK68)</f>
        <v>#N/A</v>
      </c>
      <c r="BM68" s="140" t="e">
        <f ca="1">IF(AND($BB68&gt;=9,$BB68&lt;21),1,IF($BK68&gt;=Control!$C$87,0,$BI68))</f>
        <v>#N/A</v>
      </c>
      <c r="BN68" s="404" t="e">
        <f ca="1">IF($BM68=0,0,IF($BK68&lt;=Control!$C$87,$BI68*(9+(21-9)*($BL68/Control!$C$87)),0))</f>
        <v>#N/A</v>
      </c>
      <c r="BO68" s="140" t="e">
        <f ca="1">IF($BM68=1,0,IF($BK68&gt;=Control!$C$87,1,IF(AND($BB68&lt;30,$BB68&gt;=21),1,$BS67)))</f>
        <v>#N/A</v>
      </c>
      <c r="BP68" s="140" t="e">
        <f ca="1">IF($BL68&lt;0,-$BL68,$BO68*IF(OR($G68&lt;Control!$C$92,$G68&gt;Control!$C$95),0,IF(AND($G68&gt;=Control!$C$92,$G68&lt;=Control!$C$93),$G68-Control!$C$92,IF(AND($G68&gt;Control!$C$93,$G68&lt;=Control!$C$94),Control!$C$93-Control!$C$92,IF(AND($G68&gt;Control!$C$94,$G68&lt;=Control!$C$95),(Control!$C$93-Control!$C$92)*(Control!$C$94-$G68)/(Control!$C$95-Control!$C$94))))))</f>
        <v>#N/A</v>
      </c>
      <c r="BQ68" s="140" t="e">
        <f t="shared" ca="1" si="15"/>
        <v>#N/A</v>
      </c>
      <c r="BR68" s="140" t="e">
        <f ca="1">IF($BQ68&lt;=Control!$C$88,$BQ68,Control!$C$88-$BQ68)</f>
        <v>#N/A</v>
      </c>
      <c r="BS68" s="140" t="e">
        <f ca="1">IF(AND($BB68&gt;=21,$BB68&lt;30),1,IF($BQ68&gt;=Control!$C$88,0,$BO68))</f>
        <v>#N/A</v>
      </c>
      <c r="BT68" s="404" t="e">
        <f ca="1">IF($BS68=0,0,IF($BQ68&lt;=Control!$C$88,$BO68*(21+(30-21)*(BR68/Control!$C$88)),0))</f>
        <v>#N/A</v>
      </c>
      <c r="BU68" s="140" t="e">
        <f ca="1">IF(BG68+BM68+BS68=1,0,IF(OR(AND($BB68&lt;60,$BB68&gt;=30),$BQ68&gt;=Control!$C$88),1*$BA68,$BY67))</f>
        <v>#N/A</v>
      </c>
      <c r="BV68" s="140" t="e">
        <f ca="1">IF($BR68&lt;0,-$BR68,$BU68*IF(OR($G68&lt;Control!$C$92,$G68&gt;Control!$C$95),0,IF(AND($G68&gt;=Control!$C$92,$G68&lt;=Control!$C$93),$G68-Control!$C$92,IF(AND($G68&gt;Control!$C$93,$G68&lt;=Control!$C$94),Control!$C$93-Control!$C$92,IF(AND($G68&gt;Control!$C$94,$G68&lt;=Control!$C$95),(Control!$C$93-Control!$C$92)*(Control!$C$94-$G68)/(Control!$C$95-Control!$C$94))))))</f>
        <v>#N/A</v>
      </c>
      <c r="BW68" s="140" t="e">
        <f t="shared" ca="1" si="16"/>
        <v>#N/A</v>
      </c>
      <c r="BX68" s="140" t="e">
        <f ca="1">IF($BW68&lt;=Control!$C$89,$BW68,Control!$C$89-$BW68)</f>
        <v>#N/A</v>
      </c>
      <c r="BY68" s="140" t="e">
        <f ca="1">IF(AND($AJ68&gt;=30,$AJ68&lt;60),1,IF($BW68&gt;=Control!$C$89,0,$BU68))</f>
        <v>#N/A</v>
      </c>
      <c r="BZ68" s="404" t="e">
        <f ca="1">IF($BY68=0,0,IF($BW68&lt;=Control!$C$89,$BU68*(30+(60-30)*(BX68/Control!$C$89)),0))</f>
        <v>#N/A</v>
      </c>
      <c r="CA68" s="140" t="e">
        <f ca="1">IF($BG68+$BM68+$BS68+$BY68=1,0,IF(OR(AND($BB68&lt;65,$BB68&gt;=60),$BW68&gt;=Control!$C$89),1*$BA68,$CE67))</f>
        <v>#N/A</v>
      </c>
      <c r="CB68" s="140" t="e">
        <f ca="1">IF($BX68&lt;0,-$BX68,$CA68*IF(OR($G68&lt;Control!$C$92,$G68&gt;Control!$C$95),0,IF(AND($G68&gt;=Control!$C$92,$G68&lt;=Control!$C$93),$G68-Control!$C$92,IF(AND($G68&gt;Control!$C$93,$G68&lt;=Control!$C$94),Control!$C$93-Control!$C$92,IF(AND($G68&gt;Control!$C$94,$G68&lt;=Control!$C$95),(Control!$C$93-Control!$C$92)*(Control!$C$94-$G68)/(Control!$C$95-Control!$C$94))))))</f>
        <v>#N/A</v>
      </c>
      <c r="CC68" s="140" t="e">
        <f t="shared" ca="1" si="125"/>
        <v>#N/A</v>
      </c>
      <c r="CD68" s="140" t="e">
        <f ca="1">IF($CC68&lt;=Control!$C$90,$CC68,Control!$C$90-$CC68)</f>
        <v>#N/A</v>
      </c>
      <c r="CE68" s="140" t="e">
        <f ca="1">IF(AND($BB68&gt;=60,$BB68&lt;65),1,IF($CC68&gt;=Control!$C$90,0,$CA68))</f>
        <v>#N/A</v>
      </c>
      <c r="CF68" s="404" t="e">
        <f ca="1">IF($CE68=0,0,IF($CC68&lt;=Control!$C$90,$CA68*(60+(65-60)*(CD68/Control!$C$90)),0))</f>
        <v>#N/A</v>
      </c>
      <c r="CG68" s="140" t="e">
        <f ca="1">IF($BG68+$BM68+$BS68+$BY68+$CE68=1,0,IF(OR(AND($BB68&lt;90,$BB68&gt;=65),$CC68&gt;=Control!$C$90),$BA68,$CK67))</f>
        <v>#N/A</v>
      </c>
      <c r="CH68" s="140" t="e">
        <f ca="1">IF($CD68&lt;0,-$CD68,$CG68*IF(OR($G68&lt;Control!$C$92,$G68&gt;Control!$C$95),0,IF(AND($G68&gt;=Control!$C$92,$G68&lt;=Control!$C$93),$G68-Control!$C$92,IF(AND($G68&gt;Control!$C$93,$G68&lt;=Control!$C$94),Control!$C$93-Control!$C$92,IF(AND($G68&gt;Control!$C$94,$G68&lt;=Control!$C$95),(Control!$C$93-Control!$C$92)*(Control!$C$94-$G68)/(Control!$C$95-Control!$C$94))))))</f>
        <v>#N/A</v>
      </c>
      <c r="CI68" s="140" t="e">
        <f t="shared" ca="1" si="126"/>
        <v>#N/A</v>
      </c>
      <c r="CJ68" s="140" t="e">
        <f ca="1">IF($CI68&lt;=Control!$C$91,$CI68,Control!$C$91-$CI68)</f>
        <v>#N/A</v>
      </c>
      <c r="CK68" s="140" t="e">
        <f ca="1">IF(AND($BB68&gt;=65,$BB68&lt;90),1,IF($CI68&gt;=Control!$C$91,0,$CG68))</f>
        <v>#N/A</v>
      </c>
      <c r="CL68" s="404" t="e">
        <f ca="1">IF($CK68=0,0,IF($CI68&lt;=Control!$C$91,$CG68*(65+(90-65)*($CJ68/Control!$C$91)),0))</f>
        <v>#N/A</v>
      </c>
      <c r="CM68" s="140" t="e">
        <f ca="1">IF($BG68+$BM68+$BS68+$BY68+$CE68+$CK68=1,0,IF(OR($BB68&gt;=90,$CI68&gt;=Control!$C$91),$BA68,$CM67))</f>
        <v>#N/A</v>
      </c>
      <c r="CN68" s="140" t="e">
        <f t="shared" ca="1" si="127"/>
        <v>#N/A</v>
      </c>
      <c r="CO68" s="140" t="e">
        <f t="shared" ca="1" si="128"/>
        <v>#N/A</v>
      </c>
      <c r="CP68" s="140" t="e">
        <f t="shared" ca="1" si="129"/>
        <v>#N/A</v>
      </c>
      <c r="CQ68" s="141" t="e">
        <f ca="1">VLOOKUP($CP68,Control!$B$86:$G$91,6)</f>
        <v>#N/A</v>
      </c>
      <c r="CR68" s="141" t="e">
        <f ca="1">(1-$CQ68)*VLOOKUP($CP68,Control!$B$86:$D$91,3)</f>
        <v>#N/A</v>
      </c>
      <c r="CS68" s="141" t="e">
        <f ca="1">(1-$CQ68)*VLOOKUP($CP68,Control!$B$86:$E$91,4)</f>
        <v>#N/A</v>
      </c>
      <c r="CT68" s="141" t="e">
        <f ca="1">(1-$CQ68)*VLOOKUP($CP68,Control!$B$86:$F$91,5)</f>
        <v>#N/A</v>
      </c>
      <c r="CU68" s="141">
        <f t="shared" ca="1" si="130"/>
        <v>0</v>
      </c>
      <c r="CV68" s="583">
        <f t="shared" ca="1" si="131"/>
        <v>0</v>
      </c>
      <c r="CW68" s="142">
        <f t="shared" ca="1" si="132"/>
        <v>64</v>
      </c>
      <c r="CX68" s="612" t="e">
        <f ca="1">IF(Control!$C$114=1,(MIN(Control!$C$120*(IF($NT68-0.01&lt;0,0,1)),Control!$C$119-$CY68)))</f>
        <v>#DIV/0!</v>
      </c>
      <c r="CY68" s="143" t="e">
        <f t="shared" ca="1" si="133"/>
        <v>#N/A</v>
      </c>
      <c r="CZ68" s="144">
        <f t="shared" ca="1" si="17"/>
        <v>0</v>
      </c>
      <c r="DA68" s="144">
        <f t="shared" ca="1" si="18"/>
        <v>0</v>
      </c>
      <c r="DB68" s="144" t="e">
        <f t="shared" ca="1" si="19"/>
        <v>#N/A</v>
      </c>
      <c r="DC68" s="144" t="e">
        <f t="shared" ca="1" si="20"/>
        <v>#N/A</v>
      </c>
      <c r="DD68" s="144" t="e">
        <f t="shared" ca="1" si="216"/>
        <v>#N/A</v>
      </c>
      <c r="DE68" s="143" t="e">
        <f t="shared" ca="1" si="135"/>
        <v>#N/A</v>
      </c>
      <c r="DF68" s="145" t="e">
        <f ca="1">$DR68*EXP(-Control!$C$158*(1-$KH68))</f>
        <v>#N/A</v>
      </c>
      <c r="DG68" s="146" t="e">
        <f ca="1">IF(Control!$C$114=1, $DF68*$EY68, 0)</f>
        <v>#N/A</v>
      </c>
      <c r="DH68" s="147" t="e">
        <f t="shared" ca="1" si="136"/>
        <v>#N/A</v>
      </c>
      <c r="DI68" s="144" t="e">
        <f t="shared" ca="1" si="191"/>
        <v>#N/A</v>
      </c>
      <c r="DJ68" s="147" t="e">
        <f ca="1">$EF68*Control!$C$109</f>
        <v>#N/A</v>
      </c>
      <c r="DK68" s="144" t="e">
        <f t="shared" ca="1" si="137"/>
        <v>#N/A</v>
      </c>
      <c r="DL68" s="144" t="e">
        <f t="shared" ca="1" si="21"/>
        <v>#N/A</v>
      </c>
      <c r="DM68" s="144" t="e">
        <f ca="1">IF(Control!$C$114=1, (1-EXP(-Control!$C$96*$DK68))*$AR68, 0)</f>
        <v>#N/A</v>
      </c>
      <c r="DN68" s="144">
        <f t="shared" ca="1" si="138"/>
        <v>0</v>
      </c>
      <c r="DO68" s="148">
        <f>Control!$C$97</f>
        <v>4</v>
      </c>
      <c r="DP68" s="145" t="e">
        <f t="shared" ca="1" si="139"/>
        <v>#N/A</v>
      </c>
      <c r="DQ68" s="145" t="e">
        <f ca="1">IF(AND($CP68&gt;=0,$CP68&lt;=90),Control!$C$111,Control!$C$111)</f>
        <v>#N/A</v>
      </c>
      <c r="DR68" s="145" t="e">
        <f t="shared" ca="1" si="22"/>
        <v>#N/A</v>
      </c>
      <c r="DS68" s="143" t="e">
        <f ca="1">Control!$B$22/$DR68</f>
        <v>#N/A</v>
      </c>
      <c r="DT68" s="149" t="e">
        <f ca="1">IF(AND(Control!$C$114=1,$KH68&lt;1),$IM68*$DF68, 0)</f>
        <v>#N/A</v>
      </c>
      <c r="DU68" s="144" t="e">
        <f t="shared" ca="1" si="192"/>
        <v>#N/A</v>
      </c>
      <c r="DV68" s="144">
        <f ca="1">IF($G68-Control!$C$107&lt;=0, 0, 0.83*LN(MAX($G68, 3))-0.8924)</f>
        <v>0</v>
      </c>
      <c r="DW68" s="144" t="e">
        <f t="shared" ca="1" si="23"/>
        <v>#N/A</v>
      </c>
      <c r="DX68" s="150" t="e">
        <f ca="1">MAX(0.01*(1+$CU68/Control!$C$102),0.05*($DK68-Control!$C$97)/Control!$C$97)</f>
        <v>#N/A</v>
      </c>
      <c r="DY68" s="151" t="e">
        <f ca="1">IF(Control!$C$114=1, $DI68*$FS68, 0)</f>
        <v>#N/A</v>
      </c>
      <c r="DZ68" s="196" t="e">
        <f t="shared" ca="1" si="140"/>
        <v>#N/A</v>
      </c>
      <c r="EA68" s="152">
        <f t="shared" ca="1" si="141"/>
        <v>64</v>
      </c>
      <c r="EB68" s="153" t="e">
        <f t="shared" ca="1" si="217"/>
        <v>#N/A</v>
      </c>
      <c r="EC68" s="153" t="e">
        <f t="shared" ca="1" si="142"/>
        <v>#N/A</v>
      </c>
      <c r="ED68" s="154" t="e">
        <f ca="1">IF(Control!$C$114=1, $HM68*$FY68-$FD68, 0)</f>
        <v>#DIV/0!</v>
      </c>
      <c r="EE68" s="155" t="e">
        <f ca="1">IF(Control!$C$114=1, $HM68*$FZ68-$FF68, 0)</f>
        <v>#DIV/0!</v>
      </c>
      <c r="EF68" s="153" t="e">
        <f t="shared" ca="1" si="193"/>
        <v>#N/A</v>
      </c>
      <c r="EG68" s="155" t="e">
        <f ca="1">IF(Control!$C$114=1, $GX68*$FW68-$FI68, 0)</f>
        <v>#DIV/0!</v>
      </c>
      <c r="EH68" s="153" t="e">
        <f t="shared" ca="1" si="143"/>
        <v>#N/A</v>
      </c>
      <c r="EI68" s="156" t="e">
        <f t="shared" ca="1" si="144"/>
        <v>#N/A</v>
      </c>
      <c r="EJ68" s="155" t="e">
        <f ca="1">IF(Control!$C$114=1, $HM68*$GB68, 0)</f>
        <v>#DIV/0!</v>
      </c>
      <c r="EK68" s="153" t="e">
        <f t="shared" ca="1" si="194"/>
        <v>#N/A</v>
      </c>
      <c r="EL68" s="153" t="e">
        <f t="shared" ca="1" si="24"/>
        <v>#N/A</v>
      </c>
      <c r="EM68" s="153" t="e">
        <f t="shared" ca="1" si="25"/>
        <v>#N/A</v>
      </c>
      <c r="EN68" s="153" t="e">
        <f ca="1">IF(Control!$C$108=1,IF(AND(Control!$B$18=1,$EB68&gt;=Control!$B$19),$EB68-$DS68,IF(AND(Control!$B$18=2,$AW68=1,$EB68&gt;$DS68),$EB68-$DS68,0)))</f>
        <v>#N/A</v>
      </c>
      <c r="EO68" s="153" t="e">
        <f ca="1">IF(Control!$C$108=1,IF(AND(Control!$B$18=1,$EB68&gt;=Control!$B$19),$EF68,IF(AND(Control!$B$18=2,$AW68=1),$EF68,0)))</f>
        <v>#N/A</v>
      </c>
      <c r="EP68" s="153" t="e">
        <f ca="1">IF(Control!$C$108=1,IF(AND(Control!$B$18=1,$EB68&gt;=Control!$B$19),$EK68,IF(AND(Control!$B$18=2,$AW68=1),$EK68,0)))</f>
        <v>#N/A</v>
      </c>
      <c r="EQ68" s="153" t="e">
        <f t="shared" ca="1" si="145"/>
        <v>#N/A</v>
      </c>
      <c r="ER68" s="153" t="e">
        <f t="shared" ca="1" si="231"/>
        <v>#N/A</v>
      </c>
      <c r="ES68" s="153" t="e">
        <f t="shared" ca="1" si="196"/>
        <v>#N/A</v>
      </c>
      <c r="ET68" s="153" t="e">
        <f t="shared" ca="1" si="197"/>
        <v>#N/A</v>
      </c>
      <c r="EU68" s="153" t="e">
        <f t="shared" ca="1" si="198"/>
        <v>#N/A</v>
      </c>
      <c r="EV68" s="153" t="e">
        <f t="shared" ca="1" si="146"/>
        <v>#N/A</v>
      </c>
      <c r="EW68" s="153" t="e">
        <f t="shared" ca="1" si="218"/>
        <v>#N/A</v>
      </c>
      <c r="EX68" s="153" t="e">
        <f t="shared" ca="1" si="26"/>
        <v>#N/A</v>
      </c>
      <c r="EY68" s="157" t="e">
        <f t="shared" ca="1" si="147"/>
        <v>#DIV/0!</v>
      </c>
      <c r="EZ68" s="154" t="e">
        <f t="shared" ca="1" si="27"/>
        <v>#DIV/0!</v>
      </c>
      <c r="FA68" s="153" t="e">
        <f t="shared" ca="1" si="199"/>
        <v>#N/A</v>
      </c>
      <c r="FB68" s="153" t="e">
        <f t="shared" ca="1" si="28"/>
        <v>#N/A</v>
      </c>
      <c r="FC68" s="193" t="e">
        <f t="shared" ca="1" si="29"/>
        <v>#N/A</v>
      </c>
      <c r="FD68" s="158" t="e">
        <f t="shared" ca="1" si="200"/>
        <v>#N/A</v>
      </c>
      <c r="FE68" s="158" t="e">
        <f t="shared" ca="1" si="148"/>
        <v>#N/A</v>
      </c>
      <c r="FF68" s="159" t="e">
        <f t="shared" ca="1" si="30"/>
        <v>#N/A</v>
      </c>
      <c r="FG68" s="160" t="e">
        <f t="shared" ca="1" si="149"/>
        <v>#N/A</v>
      </c>
      <c r="FH68" s="158" t="e">
        <f t="shared" ca="1" si="150"/>
        <v>#N/A</v>
      </c>
      <c r="FI68" s="159" t="e">
        <f t="shared" ca="1" si="31"/>
        <v>#N/A</v>
      </c>
      <c r="FJ68" s="160" t="e">
        <f t="shared" ca="1" si="151"/>
        <v>#N/A</v>
      </c>
      <c r="FK68" s="160" t="e">
        <f t="shared" ca="1" si="32"/>
        <v>#N/A</v>
      </c>
      <c r="FL68" s="160" t="e">
        <f t="shared" ca="1" si="229"/>
        <v>#N/A</v>
      </c>
      <c r="FM68" s="160" t="e">
        <f t="shared" ca="1" si="33"/>
        <v>#N/A</v>
      </c>
      <c r="FN68" s="158">
        <f t="shared" ca="1" si="219"/>
        <v>0.01</v>
      </c>
      <c r="FO68" s="160">
        <f>Control!$C$101</f>
        <v>50</v>
      </c>
      <c r="FP68" s="150" t="e">
        <f t="shared" ca="1" si="34"/>
        <v>#N/A</v>
      </c>
      <c r="FQ68" s="150" t="e">
        <f ca="1">MAX(0,(Control!$C$112*(($DK68-Control!$C$97)/Control!$C$97)))</f>
        <v>#N/A</v>
      </c>
      <c r="FR68" s="150" t="e">
        <f ca="1">(1-$NT68)*Control!$C$113</f>
        <v>#DIV/0!</v>
      </c>
      <c r="FS68" s="198" t="e">
        <f t="shared" ca="1" si="35"/>
        <v>#N/A</v>
      </c>
      <c r="FT68" s="161">
        <f t="shared" ca="1" si="152"/>
        <v>64</v>
      </c>
      <c r="FU68" s="162" t="e">
        <f ca="1">IF(Control!$B$34=1,VLOOKUP($CP68,Control!$B$86:$G$91,6),Control!$B$35)</f>
        <v>#N/A</v>
      </c>
      <c r="FV68" s="162" t="e">
        <f t="shared" ca="1" si="36"/>
        <v>#DIV/0!</v>
      </c>
      <c r="FW68" s="162" t="e">
        <f ca="1">IF(Control!$B$31=1,$FU68*$FV68,  $FU68)</f>
        <v>#N/A</v>
      </c>
      <c r="FX68" s="162" t="e">
        <f ca="1">IF(Control!$B$34=1,VLOOKUP($CP68,Control!$B$86:$G$91,3),Control!$B$36)</f>
        <v>#N/A</v>
      </c>
      <c r="FY68" s="162" t="e">
        <f t="shared" ca="1" si="37"/>
        <v>#N/A</v>
      </c>
      <c r="FZ68" s="162" t="e">
        <f ca="1">IF(Control!$B$34=1,VLOOKUP($CP68,Control!$B$86:$G$91,4),Control!$B$37)</f>
        <v>#N/A</v>
      </c>
      <c r="GA68" s="162" t="e">
        <f t="shared" ca="1" si="38"/>
        <v>#N/A</v>
      </c>
      <c r="GB68" s="162" t="e">
        <f ca="1">IF(Control!$B$34=1,VLOOKUP($CP68,Control!$B$86:$G$91,5),Control!$B$38)</f>
        <v>#N/A</v>
      </c>
      <c r="GC68" s="162" t="e">
        <f t="shared" ca="1" si="153"/>
        <v>#N/A</v>
      </c>
      <c r="GD68" s="162">
        <f t="shared" ca="1" si="39"/>
        <v>1</v>
      </c>
      <c r="GE68" s="162">
        <f t="shared" ca="1" si="40"/>
        <v>1</v>
      </c>
      <c r="GF68" s="162">
        <f ca="1">IF(AND(Control!$C$104=1, Control!$C$62="F"),$GE68,1)</f>
        <v>1</v>
      </c>
      <c r="GG68" s="162" t="e">
        <f ca="1">IF(Control!$B$16=40,0,IF(AND(Control!$B$16&gt;40,Control!$B$16&lt;=360),(Control!$B$16-40)*((1-0)/(360-40)),IF(AND(Control!$B$16&gt;360,Control!$B$16&lt;=720),(1+(Control!$B$16-360)*((1.25-1)/(720-360))),IF(AND(Control!$B$16&gt;720,Control!$B$16&lt;=1000),(1.25+(Control!$B$16-720)*((1.35-1.25)/(1000-720))),IF(AND(Control!$B$16&gt;1000,Control!$B$16&lt;=2000),(1.35+(Control!$B$16-1000)*0))))))</f>
        <v>#N/A</v>
      </c>
      <c r="GH68" s="162" t="e">
        <f t="shared" ca="1" si="41"/>
        <v>#N/A</v>
      </c>
      <c r="GI68" s="162">
        <f t="shared" ca="1" si="201"/>
        <v>0</v>
      </c>
      <c r="GJ68" s="162">
        <f t="shared" ca="1" si="42"/>
        <v>0</v>
      </c>
      <c r="GK68" s="162">
        <f t="shared" ca="1" si="220"/>
        <v>1</v>
      </c>
      <c r="GL68" s="162">
        <f t="shared" ca="1" si="43"/>
        <v>1</v>
      </c>
      <c r="GM68" s="162" t="e">
        <f ca="1">MAX(0,MIN(1,1-Control!$C$156*(1.0001-$KH68)^2))</f>
        <v>#N/A</v>
      </c>
      <c r="GN68" s="162" t="e">
        <f ca="1">IF(Control!$B$26=1,$KU68,$KX68)</f>
        <v>#N/A</v>
      </c>
      <c r="GO68" s="162" t="e">
        <f ca="1">IF($CP68&lt;=60,Control!$C$105,IF($CP68&gt;=90,Control!$C$106,Control!$C$105+($CP68-60)*((Control!$C$106-Control!$C$105)/(90-60))))</f>
        <v>#N/A</v>
      </c>
      <c r="GP68" s="162" t="e">
        <f t="shared" ca="1" si="154"/>
        <v>#N/A</v>
      </c>
      <c r="GQ68" s="162" t="e">
        <f t="shared" ca="1" si="155"/>
        <v>#N/A</v>
      </c>
      <c r="GR68" s="163" t="e">
        <f t="shared" ca="1" si="44"/>
        <v>#DIV/0!</v>
      </c>
      <c r="GS68" s="162" t="e">
        <f t="shared" ca="1" si="45"/>
        <v>#DIV/0!</v>
      </c>
      <c r="GT68" s="164" t="e">
        <f t="shared" ca="1" si="156"/>
        <v>#N/A</v>
      </c>
      <c r="GU68" s="162" t="e">
        <f t="shared" ca="1" si="157"/>
        <v>#N/A</v>
      </c>
      <c r="GV68" s="162" t="e">
        <f t="shared" ca="1" si="46"/>
        <v>#N/A</v>
      </c>
      <c r="GW68" s="162" t="e">
        <f t="shared" ca="1" si="221"/>
        <v>#DIV/0!</v>
      </c>
      <c r="GX68" s="162" t="e">
        <f t="shared" ca="1" si="228"/>
        <v>#DIV/0!</v>
      </c>
      <c r="GY68" s="162" t="e">
        <f t="shared" ca="1" si="158"/>
        <v>#DIV/0!</v>
      </c>
      <c r="GZ68" s="165" t="e">
        <f t="shared" ca="1" si="159"/>
        <v>#N/A</v>
      </c>
      <c r="HA68" s="162" t="e">
        <f ca="1">IF(Control!$C$114=1, $DI68*$FS68, 0)</f>
        <v>#N/A</v>
      </c>
      <c r="HB68" s="162" t="e">
        <f ca="1">$FA68/Control!$C$64</f>
        <v>#N/A</v>
      </c>
      <c r="HC68" s="162" t="e">
        <f t="shared" ca="1" si="222"/>
        <v>#DIV/0!</v>
      </c>
      <c r="HD68" s="162">
        <f ca="1">-ASIN(SIN(23.45*Control!$C$139)*COS(2*Control!$C$138*($AH68+10)/365))</f>
        <v>-0.11670375912131235</v>
      </c>
      <c r="HE68" s="165">
        <f t="shared" ca="1" si="160"/>
        <v>0</v>
      </c>
      <c r="HF68" s="166">
        <f ca="1">IF(AND(Control!$C$61="T",$HE68&gt;=Control!$C$103,Control!$C$114=0),$AH68,Control!$C$59)</f>
        <v>1</v>
      </c>
      <c r="HG68" s="166">
        <f ca="1">IF(AND(Control!$C$61="T",$HE68&gt;=Control!$C$103,Control!$C$114=0),$HF68,Control!$C$59)</f>
        <v>1</v>
      </c>
      <c r="HH68" s="165">
        <f ca="1">IF(AND(OR(Control!$C$60&lt;=0, $AH68= Control!$C$59, Control!$C$60 &gt;0, $AH68 = Control!$C$60)), Control!$C$59, IF(Control!$C$60&gt;0, 0))</f>
        <v>1</v>
      </c>
      <c r="HI68" s="165">
        <f ca="1">IF(AND(OR(Control!$C$60&lt;=0, $AH68= Control!$C$59, Control!$C$60 &gt;0, $AH68 = Control!$C$60)), Control!$C$60, IF(Control!$C$60&lt;=0, 0))</f>
        <v>0</v>
      </c>
      <c r="HJ68" s="166">
        <f ca="1">IF(AND(Control!$C$62="F",$CV68&gt;=Control!$C$102),$AH68,0)</f>
        <v>0</v>
      </c>
      <c r="HK68" s="165" t="e">
        <f t="shared" ca="1" si="202"/>
        <v>#N/A</v>
      </c>
      <c r="HL68" s="166">
        <f ca="1">IF(AND(Control!$C$61="T",$HE68&gt;=Control!$C$103,Control!$C$114=0),$HF68,0)</f>
        <v>0</v>
      </c>
      <c r="HM68" s="201" t="e">
        <f t="shared" ca="1" si="47"/>
        <v>#DIV/0!</v>
      </c>
      <c r="HN68" s="215">
        <f t="shared" ca="1" si="161"/>
        <v>64</v>
      </c>
      <c r="HO68" s="216" t="e">
        <f ca="1">IF(AND($CP68&gt;=0, $CP68&lt;=90), Control!$C$152, Control!$C$152)</f>
        <v>#N/A</v>
      </c>
      <c r="HP68" s="216" t="e">
        <f t="shared" ca="1" si="48"/>
        <v>#N/A</v>
      </c>
      <c r="HQ68" s="217" t="e">
        <f ca="1">IF(OR(Control!$B$26=1,Control!$B$26=2),$KV68,$KS68)</f>
        <v>#DIV/0!</v>
      </c>
      <c r="HR68" s="218" t="e">
        <f t="shared" ca="1" si="223"/>
        <v>#DIV/0!</v>
      </c>
      <c r="HS68" s="216" t="e">
        <f ca="1">Control!$C$154*$HP68</f>
        <v>#N/A</v>
      </c>
      <c r="HT68" s="216" t="e">
        <f ca="1">Control!$C$155*$HP68</f>
        <v>#N/A</v>
      </c>
      <c r="HU68" s="217" t="e">
        <f ca="1">Control!$C$161*$FI68</f>
        <v>#N/A</v>
      </c>
      <c r="HV68" s="218" t="e">
        <f t="shared" ca="1" si="162"/>
        <v>#N/A</v>
      </c>
      <c r="HW68" s="218" t="e">
        <f ca="1">Control!$C$160*$FF68+$IP68*$EO68</f>
        <v>#N/A</v>
      </c>
      <c r="HX68" s="218" t="e">
        <f t="shared" ca="1" si="203"/>
        <v>#N/A</v>
      </c>
      <c r="HY68" s="219" t="e">
        <f ca="1">IF(Control!$C$114=1, $EB68*$FS68, 0)</f>
        <v>#N/A</v>
      </c>
      <c r="HZ68" s="91" t="e">
        <f t="shared" ca="1" si="49"/>
        <v>#N/A</v>
      </c>
      <c r="IA68" s="220" t="e">
        <f ca="1">Control!$C$153*$HO68</f>
        <v>#N/A</v>
      </c>
      <c r="IB68" s="218" t="e">
        <f t="shared" ca="1" si="50"/>
        <v>#N/A</v>
      </c>
      <c r="IC68" s="220" t="e">
        <f ca="1">Control!$C$153*$HT68</f>
        <v>#N/A</v>
      </c>
      <c r="ID68" s="218" t="e">
        <f t="shared" ca="1" si="51"/>
        <v>#N/A</v>
      </c>
      <c r="IE68" s="221" t="e">
        <f ca="1">($EB68*Control!$C$159+$EF68*Control!$C$160)/(IF($GZ68&lt;&gt;0,$GZ68,1))</f>
        <v>#N/A</v>
      </c>
      <c r="IF68" s="216" t="e">
        <f t="shared" ca="1" si="52"/>
        <v>#N/A</v>
      </c>
      <c r="IG68" s="91">
        <f ca="1">IF(OR(Control!$B$198=$AH68,Control!$B$199=$AH68, Control!$B$200=$AH68, Control!$B$201=$AH68, Control!$B$202=$AH68, Control!$B$203=$AH68, Control!$B$204=$AH68, Control!$B$205=$AH68, Control!$B$206=$AH68, Control!$B$207=$AH68), 1, 0)</f>
        <v>0</v>
      </c>
      <c r="IH68" s="91">
        <f ca="1">IF($IG68=0,0, VLOOKUP($AH68,Control!$B$198:$C$207,2))</f>
        <v>0</v>
      </c>
      <c r="II68" s="222">
        <f t="shared" ca="1" si="163"/>
        <v>0</v>
      </c>
      <c r="IJ68" s="91">
        <f>Control!$C$121</f>
        <v>0.7</v>
      </c>
      <c r="IK68" s="218">
        <f t="shared" ca="1" si="53"/>
        <v>0</v>
      </c>
      <c r="IL68" s="217" t="e">
        <f t="shared" ca="1" si="204"/>
        <v>#N/A</v>
      </c>
      <c r="IM68" s="223" t="e">
        <f ca="1">IF(AND(Control!$C$114=1,$KH68&lt;1),$EB68*Control!$C$148*(1-$KH68), 0)</f>
        <v>#N/A</v>
      </c>
      <c r="IN68" s="217" t="e">
        <f t="shared" ca="1" si="54"/>
        <v>#DIV/0!</v>
      </c>
      <c r="IO68" s="91" t="e">
        <f ca="1">MAX(0,$IL68-$EF68*Control!$C$160)</f>
        <v>#N/A</v>
      </c>
      <c r="IP68" s="220" t="e">
        <f t="shared" ca="1" si="55"/>
        <v>#N/A</v>
      </c>
      <c r="IQ68" s="217" t="e">
        <f t="shared" ca="1" si="164"/>
        <v>#N/A</v>
      </c>
      <c r="IR68" s="218" t="e">
        <f t="shared" ca="1" si="56"/>
        <v>#N/A</v>
      </c>
      <c r="IS68" s="217" t="e">
        <f ca="1">Control!$C$159*MAX(0,$FD68-$EN68)</f>
        <v>#N/A</v>
      </c>
      <c r="IT68" s="217" t="e">
        <f t="shared" ca="1" si="205"/>
        <v>#N/A</v>
      </c>
      <c r="IU68" s="217" t="e">
        <f t="shared" ca="1" si="165"/>
        <v>#N/A</v>
      </c>
      <c r="IV68" s="217" t="e">
        <f t="shared" ca="1" si="206"/>
        <v>#N/A</v>
      </c>
      <c r="IW68" s="217" t="e">
        <f ca="1">IF(OR($AW68=1,AND($AW68=0, Control!$B$18=1,$EN68&lt;&gt;0)), $IQ68-$IU68, $IQ68)</f>
        <v>#N/A</v>
      </c>
      <c r="IX68" s="218" t="e">
        <f t="shared" ca="1" si="57"/>
        <v>#N/A</v>
      </c>
      <c r="IY68" s="218" t="e">
        <f ca="1">MAX(0,$IQ68-$EB68*Control!$C$159)</f>
        <v>#N/A</v>
      </c>
      <c r="IZ68" s="218" t="e">
        <f t="shared" ca="1" si="58"/>
        <v>#N/A</v>
      </c>
      <c r="JA68" s="216" t="e">
        <f t="shared" ca="1" si="59"/>
        <v>#N/A</v>
      </c>
      <c r="JB68" s="217" t="e">
        <f t="shared" ca="1" si="60"/>
        <v>#N/A</v>
      </c>
      <c r="JC68" s="222" t="e">
        <f ca="1">MAX(Control!$C$157*$EK68-$JT68, 0)/Control!$C$162</f>
        <v>#N/A</v>
      </c>
      <c r="JD68" s="218" t="e">
        <f t="shared" ca="1" si="61"/>
        <v>#N/A</v>
      </c>
      <c r="JE68" s="218" t="e">
        <f t="shared" ca="1" si="62"/>
        <v>#N/A</v>
      </c>
      <c r="JF68" s="218" t="e">
        <f t="shared" ca="1" si="207"/>
        <v>#N/A</v>
      </c>
      <c r="JG68" s="218" t="e">
        <f t="shared" ca="1" si="63"/>
        <v>#N/A</v>
      </c>
      <c r="JH68" s="217" t="e">
        <f t="shared" ca="1" si="166"/>
        <v>#N/A</v>
      </c>
      <c r="JI68" s="217" t="e">
        <f t="shared" ca="1" si="167"/>
        <v>#N/A</v>
      </c>
      <c r="JJ68" s="217" t="e">
        <f t="shared" ca="1" si="224"/>
        <v>#N/A</v>
      </c>
      <c r="JK68" s="217" t="e">
        <f ca="1">IF(Control!$C$114=1,IF(Control!$B$24=0,MAX(0,$JI68)*$GN68/Control!$C$64,(MAX(0,MIN($JI68,$JJ68*$GN68/Control!$C$64),0))))</f>
        <v>#N/A</v>
      </c>
      <c r="JL68" s="217" t="e">
        <f ca="1">$IK68/Control!$C$64-$JK68+$HQ68</f>
        <v>#N/A</v>
      </c>
      <c r="JM68" s="217" t="e">
        <f ca="1">IF(Control!$C$114=1,($JB68/(IF($JI68&lt;&gt;0,$JI68,1)))*$JK68,0)</f>
        <v>#N/A</v>
      </c>
      <c r="JN68" s="217" t="e">
        <f ca="1">IF(Control!$C$114=1,($JG68/(IF($JI68&lt;&gt;0,$JI68,1)))*$JK68, 0)</f>
        <v>#N/A</v>
      </c>
      <c r="JO68" s="218" t="e">
        <f t="shared" ca="1" si="64"/>
        <v>#N/A</v>
      </c>
      <c r="JP68" s="218" t="e">
        <f ca="1">MIN(($IY68+$IO68)*Control!$C$151, $JF68-$EH68*Control!$C$161)</f>
        <v>#N/A</v>
      </c>
      <c r="JQ68" s="218" t="e">
        <f t="shared" ca="1" si="65"/>
        <v>#N/A</v>
      </c>
      <c r="JR68" s="217" t="e">
        <f ca="1">IF($CP68-Control!$C$150&lt;0, 0, $JQ68/Control!$C$162)</f>
        <v>#N/A</v>
      </c>
      <c r="JS68" s="218" t="e">
        <f t="shared" ca="1" si="66"/>
        <v>#N/A</v>
      </c>
      <c r="JT68" s="218" t="e">
        <f t="shared" ca="1" si="168"/>
        <v>#N/A</v>
      </c>
      <c r="JU68" s="218" t="e">
        <f t="shared" ca="1" si="67"/>
        <v>#N/A</v>
      </c>
      <c r="JV68" s="218" t="e">
        <f t="shared" ca="1" si="68"/>
        <v>#N/A</v>
      </c>
      <c r="JW68" s="216" t="e">
        <f t="shared" ca="1" si="69"/>
        <v>#N/A</v>
      </c>
      <c r="JX68" s="91" t="e">
        <f t="shared" ca="1" si="70"/>
        <v>#N/A</v>
      </c>
      <c r="JY68" s="218" t="e">
        <f t="shared" ca="1" si="71"/>
        <v>#N/A</v>
      </c>
      <c r="JZ68" s="217" t="e">
        <f ca="1">IF(Control!$C$114=1,($IZ68/(IF($JI68&lt;&gt;0,$JI68,1)))*$JK68, 0)</f>
        <v>#N/A</v>
      </c>
      <c r="KA68" s="218" t="e">
        <f t="shared" ca="1" si="225"/>
        <v>#N/A</v>
      </c>
      <c r="KB68" s="218" t="e">
        <f t="shared" ca="1" si="169"/>
        <v>#N/A</v>
      </c>
      <c r="KC68" s="218" t="e">
        <f t="shared" ca="1" si="72"/>
        <v>#N/A</v>
      </c>
      <c r="KD68" s="218" t="e">
        <f t="shared" ca="1" si="73"/>
        <v>#N/A</v>
      </c>
      <c r="KE68" s="218" t="e">
        <f t="shared" ca="1" si="74"/>
        <v>#N/A</v>
      </c>
      <c r="KF68" s="218" t="e">
        <f t="shared" ca="1" si="75"/>
        <v>#N/A</v>
      </c>
      <c r="KG68" s="216" t="e">
        <f t="shared" ca="1" si="76"/>
        <v>#N/A</v>
      </c>
      <c r="KH68" s="221" t="e">
        <f ca="1">IF(Control!$B$24=0,1,MAX(0.001,MIN(1,IF(($IF68-$IE68)&lt;&gt;0,($KG68-$IE68)/($IF68-$IE68),1))))</f>
        <v>#N/A</v>
      </c>
      <c r="KI68" s="222" t="e">
        <f ca="1">IF(Control!$C$114=1, $KI67+ $KH67, 0)</f>
        <v>#N/A</v>
      </c>
      <c r="KJ68" s="217" t="e">
        <f t="shared" ca="1" si="77"/>
        <v>#N/A</v>
      </c>
      <c r="KK68" s="218" t="e">
        <f t="shared" ca="1" si="78"/>
        <v>#N/A</v>
      </c>
      <c r="KL68" s="274" t="e">
        <f ca="1">IF(Control!$B$26=3,4000000000*EXP(-8400/($G68+273)),IF(Control!$B$26=4,4000000000*EXP(-8400/($G68+273))*($KT68),0))</f>
        <v>#DIV/0!</v>
      </c>
      <c r="KM68" s="274" t="e">
        <f ca="1">IF(Control!$B$26=3,5600000000000*EXP(-9800/($G68+273)),IF(Control!$B$26=4,5600000000000*EXP(-9800/($G68+273))*$KT68,0))</f>
        <v>#DIV/0!</v>
      </c>
      <c r="KN68" s="454" t="e">
        <f t="shared" ca="1" si="170"/>
        <v>#DIV/0!</v>
      </c>
      <c r="KO68" s="274" t="e">
        <f t="shared" ca="1" si="171"/>
        <v>#DIV/0!</v>
      </c>
      <c r="KP68" s="454" t="e">
        <f t="shared" ca="1" si="79"/>
        <v>#DIV/0!</v>
      </c>
      <c r="KQ68" s="454" t="e">
        <f t="shared" ca="1" si="80"/>
        <v>#DIV/0!</v>
      </c>
      <c r="KR68" s="454" t="e">
        <f t="shared" ca="1" si="81"/>
        <v>#DIV/0!</v>
      </c>
      <c r="KS68" s="454" t="e">
        <f t="shared" ca="1" si="82"/>
        <v>#DIV/0!</v>
      </c>
      <c r="KT68" s="455" t="e">
        <f t="shared" ca="1" si="83"/>
        <v>#DIV/0!</v>
      </c>
      <c r="KU68" s="456" t="e">
        <f ca="1">IF($CP68-Control!$C$149&lt;0, IF($NT68-0.01&lt;0,0,1),0)</f>
        <v>#N/A</v>
      </c>
      <c r="KV68" s="456" t="e">
        <f ca="1">IF(Control!$C$114=1,MAX(0,MIN(Control!$C$125*$KW68*$GN68,$KW68)))</f>
        <v>#DIV/0!</v>
      </c>
      <c r="KW68" s="456" t="e">
        <f t="shared" ca="1" si="208"/>
        <v>#DIV/0!</v>
      </c>
      <c r="KX68" s="457" t="e">
        <f ca="1">IF($CP68-Control!$C$149&lt;0, IF($MR68-$OM68&lt;0,0,1),0)</f>
        <v>#N/A</v>
      </c>
      <c r="KY68" s="167">
        <f t="shared" ca="1" si="172"/>
        <v>64</v>
      </c>
      <c r="KZ68" s="168">
        <f ca="1">1370*(1+0.033*COS(2*Control!$C$138*$AH68/365))</f>
        <v>1390.4380804476036</v>
      </c>
      <c r="LA68" s="169">
        <f t="shared" ca="1" si="173"/>
        <v>1.0149183827297661</v>
      </c>
      <c r="LB68" s="169">
        <f t="shared" ca="1" si="174"/>
        <v>-0.11628441513126445</v>
      </c>
      <c r="LC68" s="169">
        <f ca="1">ACOS(-TAN((2*Control!$B$8/360))*TAN(Calculations!$LB68))</f>
        <v>1.5360726351779814</v>
      </c>
      <c r="LD68" s="169">
        <f ca="1">((24*60)/PI())*0.082*$LA68*(($LC68*SIN(Control!$B$8*2*PI()/360))*SIN($LB68)+COS(Control!$B$8*2*PI()/360)*COS($LB68)*SIN($LC68))</f>
        <v>17.955544793049224</v>
      </c>
      <c r="LE68" s="170">
        <f t="shared" ca="1" si="84"/>
        <v>18.132997927405441</v>
      </c>
      <c r="LF68" s="170">
        <f ca="1">SIN(Control!$C$139*Control!$B$8)*SIN($HD68)</f>
        <v>-9.175535712823002E-2</v>
      </c>
      <c r="LG68" s="170">
        <f ca="1">COS(Control!$C$139*Control!$B$8)*COS($HD68)</f>
        <v>0.61147198760515675</v>
      </c>
      <c r="LH68" s="170">
        <f ca="1">12*(1+2*ASIN(MAX(-1,MIN(1,$LF68/$LG68))/Control!$C$138))</f>
        <v>10.853218993901699</v>
      </c>
      <c r="LI68" s="170">
        <f ca="1">12*(1+2*ASIN(MAX(-1,MIN(1,(-SIN(-4*Control!$C$139)+$LF68)/$LG68))/Control!$C$138))</f>
        <v>11.725153188848129</v>
      </c>
      <c r="LJ68" s="168">
        <f ca="1">3600*($LH68*$LF68+24*$LG68*SQRT(1-$LK68*$LK68)/Control!$C$138)</f>
        <v>13041.212106020675</v>
      </c>
      <c r="LK68" s="170">
        <f t="shared" ca="1" si="85"/>
        <v>-0.15005651769526165</v>
      </c>
      <c r="LL68" s="170">
        <f t="shared" ca="1" si="86"/>
        <v>0</v>
      </c>
      <c r="LM68" s="171">
        <f ca="1">Control!$C$145*$AB68</f>
        <v>6.6660906138995932E-2</v>
      </c>
      <c r="LN68" s="170">
        <f t="shared" ca="1" si="175"/>
        <v>0.54</v>
      </c>
      <c r="LO68" s="170">
        <f t="shared" ca="1" si="87"/>
        <v>0</v>
      </c>
      <c r="LP68" s="170">
        <f ca="1">Control!$C$140*((($D68+273.16)^4+($E68+273.16)^4)/2)*(0.34-0.14*SQRT($Y68))*(1.35*$AQ68/(0.75*$LD68)-0.35)</f>
        <v>-3.2464704755046001</v>
      </c>
      <c r="LQ68" s="170">
        <f ca="1">Control!$C$140*($G68+273)^4*(0.56-0.079*SQRT($Y68*10))*(0.1+0.9*$LO68)</f>
        <v>1.5241745131704001</v>
      </c>
      <c r="LR68" s="170">
        <f ca="1">$AQ68*(1-Control!$C$142)-$LQ68</f>
        <v>-1.5241745131704001</v>
      </c>
      <c r="LS68" s="170">
        <f ca="1">$AQ68*(1-Control!$C$143)-$LQ68</f>
        <v>-1.5241745131704001</v>
      </c>
      <c r="LT68" s="170">
        <f ca="1">$AQ68*(1-Control!$C$144)-$LQ68</f>
        <v>-1.5241745131704001</v>
      </c>
      <c r="LU68" s="169">
        <f ca="1">(1-Control!$C$144)*AQ68-LP68</f>
        <v>3.2464704755046001</v>
      </c>
      <c r="LV68" s="172">
        <f t="shared" ca="1" si="88"/>
        <v>0.79430000000000012</v>
      </c>
      <c r="LW68" s="170">
        <f t="shared" ca="1" si="89"/>
        <v>1.5886000000000002</v>
      </c>
      <c r="LX68" s="170">
        <f ca="1">($AC68*($LR68/Control!$C$141)+$LM68*$LV68)/($AC68+$LM68)</f>
        <v>0.23530094218323697</v>
      </c>
      <c r="LY68" s="170">
        <f ca="1">($AC68*($LS68/Control!$C$141)+$LM68*$LV68)/($AC68+$LM68)</f>
        <v>0.23530094218323697</v>
      </c>
      <c r="LZ68" s="170">
        <f t="shared" ca="1" si="90"/>
        <v>0.23530094218323697</v>
      </c>
      <c r="MA68" s="170">
        <f t="shared" ca="1" si="91"/>
        <v>0.23530094218323697</v>
      </c>
      <c r="MB68" s="170" t="e">
        <f t="shared" ca="1" si="92"/>
        <v>#N/A</v>
      </c>
      <c r="MC68" s="170">
        <f t="shared" ca="1" si="176"/>
        <v>0.6018</v>
      </c>
      <c r="MD68" s="170">
        <f t="shared" ca="1" si="93"/>
        <v>0.52989392535414004</v>
      </c>
      <c r="ME68" s="170">
        <f ca="1">($AC68*($LT68/Control!$C$141)+$LM68*$LW68)/($AC68+$LM68)</f>
        <v>0.71612369323045078</v>
      </c>
      <c r="MF68" s="170" t="e">
        <f ca="1">IF(Control!$B$16&gt;=1000,0.92,IF(AND(720&lt;=Control!$B$16,1000&gt;Control!$B$16),(0.95+(Control!$B$16-720)*((0.92-0.95)/(1000-720))),IF(AND(360&lt;=Control!$B$16,720&gt;Control!$B$16),(1+(Control!$B$16-360)*((0.95-1)/(720-360))),IF(AND(40&lt;=Control!$B$16,360&gt;Control!$B$16),(1.05+(Control!$B$16-40)*((1.05-1)/(360-40)))))))</f>
        <v>#N/A</v>
      </c>
      <c r="MG68" s="170">
        <f t="shared" ca="1" si="94"/>
        <v>0.71612369323045078</v>
      </c>
      <c r="MH68" s="170" t="e">
        <f t="shared" ca="1" si="233"/>
        <v>#N/A</v>
      </c>
      <c r="MI68" s="170" t="e">
        <f t="shared" ca="1" si="233"/>
        <v>#N/A</v>
      </c>
      <c r="MJ68" s="170" t="e">
        <f ca="1">MAX(0.0001, Control!$C$132*$MI68*$DL68)</f>
        <v>#N/A</v>
      </c>
      <c r="MK68" s="170">
        <f ca="1">1/(0.76+1.5*($MG68/10))-(5-Control!$C$110)*0.1</f>
        <v>1.002845988140797</v>
      </c>
      <c r="ML68" s="173">
        <f ca="1">IF(Control!$C$110&lt;3,$MK68+($MG68-0.6)/(Control!$C$110*(Control!$C$110+3)), MAX(0.1, MIN(0.95,$MK68)))</f>
        <v>0.95</v>
      </c>
      <c r="MM68" s="173">
        <f ca="1">IF(Control!$C$110&lt;3,$MK68+(($MI68/10)-0.6)/(Control!$C$110*(Control!$C$110+3)), MAX(0.1, MIN(0.95,$MK68)))</f>
        <v>0.95</v>
      </c>
      <c r="MN68" s="173">
        <f ca="1">(1-$MM68)*(Control!$C$128-Control!$C$127)+Control!$C$127</f>
        <v>0.16</v>
      </c>
      <c r="MO68" s="170" t="e">
        <f ca="1">MAX(0,MIN(1,($MS68-Control!$C$127)/($MN68-Control!$C$127)))</f>
        <v>#DIV/0!</v>
      </c>
      <c r="MP68" s="173" t="e">
        <f ca="1">1/(0.76+1.5*$MI68)-(5-Control!$C$110)*0.1</f>
        <v>#N/A</v>
      </c>
      <c r="MQ68" s="172" t="e">
        <f t="shared" ca="1" si="209"/>
        <v>#DIV/0!</v>
      </c>
      <c r="MR68" s="168" t="e">
        <f t="shared" ca="1" si="226"/>
        <v>#DIV/0!</v>
      </c>
      <c r="MS68" s="173" t="e">
        <f ca="1">MAX(Control!$C$127, MIN(Control!$C$135, $MR68/MAX(0.0001,$CY68)))</f>
        <v>#DIV/0!</v>
      </c>
      <c r="MT68" s="168" t="e">
        <f ca="1">(Control!$C$128-$MS68)*Control!$C$74</f>
        <v>#DIV/0!</v>
      </c>
      <c r="MU68" s="168" t="e">
        <f ca="1">(Control!$C$135-$MS68)*Control!$C$74</f>
        <v>#DIV/0!</v>
      </c>
      <c r="MV68" s="168" t="e">
        <f t="shared" ca="1" si="210"/>
        <v>#DIV/0!</v>
      </c>
      <c r="MW68" s="168" t="e">
        <f t="shared" ca="1" si="177"/>
        <v>#DIV/0!</v>
      </c>
      <c r="MX68" s="171" t="e">
        <f ca="1">MAX(Control!$C$127, MIN(Control!$C$135, $MW68/MAX(0.0001,Control!$C$119-$CY68)))</f>
        <v>#DIV/0!</v>
      </c>
      <c r="MY68" s="54" t="e">
        <f ca="1">IF(Control!$C$114=1, $CX68*$MX68, 0)</f>
        <v>#DIV/0!</v>
      </c>
      <c r="MZ68" s="54" t="e">
        <f t="shared" ca="1" si="178"/>
        <v>#N/A</v>
      </c>
      <c r="NA68" s="168" t="e">
        <f ca="1">(Control!$C$128-$MX68)*(Control!$C$119-Control!$C$74)</f>
        <v>#DIV/0!</v>
      </c>
      <c r="NB68" s="168" t="e">
        <f ca="1">(Control!$C$135-$MX68)*(Control!$C$119-Control!$C$74)</f>
        <v>#DIV/0!</v>
      </c>
      <c r="NC68" s="174" t="e">
        <f t="shared" ca="1" si="179"/>
        <v>#DIV/0!</v>
      </c>
      <c r="ND68" s="54">
        <f ca="1">IF(Control!$C$58=2, IF(OR(Control!$B$218=$AH68,Control!$B$219=$AH68, Control!$B$220=$AH68, Control!$B$221=$AH68, Control!$B$222=$AH68, Control!$B$223=$AH68, Control!$B$224=$AH68, Control!$B$225=$AH68, Control!$B$226=$AH68, Control!$B$227=$AH68, Control!$B$228=$AH68), 1, 0), 0)</f>
        <v>0</v>
      </c>
      <c r="NE68" s="54">
        <f ca="1">IF($ND68=0,0, VLOOKUP($AH68,Control!$B$218:$C$228,2))</f>
        <v>0</v>
      </c>
      <c r="NF68" s="168" t="e">
        <f ca="1">$CY68*(Control!$C$128-Control!$C$127)</f>
        <v>#N/A</v>
      </c>
      <c r="NG68" s="54" t="e">
        <f ca="1">IF(Control!$C$58=2, $NI67-$NJ67, 0)</f>
        <v>#DIV/0!</v>
      </c>
      <c r="NH68" s="54" t="e">
        <f ca="1">IF(AND(Control!$C$58=1, $MS67&lt;= ($MN67+0.02), $I67&lt;10), 0, IF(Control!$C$58=2, $NG67, 0))</f>
        <v>#DIV/0!</v>
      </c>
      <c r="NI68" s="54" t="e">
        <f ca="1">IF(Control!$C$58=2, $NE68+$NH68,0)</f>
        <v>#DIV/0!</v>
      </c>
      <c r="NJ68" s="54" t="e">
        <f ca="1">IF(AND(Control!$C$58=1, $MS68&lt;= ($MN68+0.02), $I68&lt;10), MAX(0, MIN(10, 0.7*($NF68-$MV68))), IF(Control!$C$58=2, MIN(10,$NI68),0))</f>
        <v>#DIV/0!</v>
      </c>
      <c r="NK68" s="54" t="e">
        <f t="shared" ca="1" si="96"/>
        <v>#DIV/0!</v>
      </c>
      <c r="NL68" s="173" t="e">
        <f ca="1">(1-Control!$C$73)*$I68+$NJ68</f>
        <v>#DIV/0!</v>
      </c>
      <c r="NM68" s="172" t="e">
        <f ca="1">IF($NL68&lt;0.5, $MB68* MAX(0, MIN(1, (SQRT($NC68)-SQRT($NC68-1))*Control!$C$71)),0)</f>
        <v>#DIV/0!</v>
      </c>
      <c r="NN68" s="170" t="e">
        <f ca="1">IF($NL68&gt;=5, $MB68, MAX(0,MIN($MB68, $NM68+$NL68,($MS68-Control!$C$129))))</f>
        <v>#DIV/0!</v>
      </c>
      <c r="NO68" s="54">
        <f>IF(Control!$C$133&lt;&gt;1, Control!$C$135-Control!$C$131, 0)</f>
        <v>0.38</v>
      </c>
      <c r="NP68" s="54" t="e">
        <f t="shared" ca="1" si="97"/>
        <v>#DIV/0!</v>
      </c>
      <c r="NQ68" s="173" t="e">
        <f ca="1">MAX(0,MIN(1,(Control!$C$135-$MS68)/(Control!$C$135-$NO68)))</f>
        <v>#DIV/0!</v>
      </c>
      <c r="NR68" s="170" t="e">
        <f ca="1">IF(Control!$C$133&lt;&gt;1, $NQ68+((1-$NP68/4)*(1-$NQ68)),1)</f>
        <v>#DIV/0!</v>
      </c>
      <c r="NS68" s="170" t="e">
        <f ca="1">IF(Control!$B$31=0,$MJ68,MAX(0,MIN($MV68,$MO68*$NR68*$MJ68)))</f>
        <v>#DIV/0!</v>
      </c>
      <c r="NT68" s="170" t="e">
        <f t="shared" ca="1" si="227"/>
        <v>#DIV/0!</v>
      </c>
      <c r="NU68" s="170" t="e">
        <f t="shared" ca="1" si="180"/>
        <v>#N/A</v>
      </c>
      <c r="NV68" s="170" t="e">
        <f t="shared" ca="1" si="98"/>
        <v>#N/A</v>
      </c>
      <c r="NW68" s="175" t="e">
        <f t="shared" ca="1" si="99"/>
        <v>#DIV/0!</v>
      </c>
      <c r="NX68" s="170" t="e">
        <f ca="1">MIN(Control!$C$72+$MU68, $NW68)</f>
        <v>#DIV/0!</v>
      </c>
      <c r="NY68" s="170" t="e">
        <f ca="1">IF($MT68&lt;=$NX68,MIN(Control!$C$72+$NB68,$NX68-$MT68),0)</f>
        <v>#DIV/0!</v>
      </c>
      <c r="NZ68" s="54" t="e">
        <f ca="1">IF(Control!$C$114=1,  $CX68*($MX68-Control!$C$127), 0)</f>
        <v>#DIV/0!</v>
      </c>
      <c r="OA68" s="170" t="e">
        <f t="shared" ca="1" si="181"/>
        <v>#DIV/0!</v>
      </c>
      <c r="OB68" s="170" t="e">
        <f ca="1">IF($NA68 &lt;=$NY68, MIN(Control!$C$72, $NY68-$NA68), 0)</f>
        <v>#DIV/0!</v>
      </c>
      <c r="OC68" s="168" t="e">
        <f t="shared" ca="1" si="100"/>
        <v>#DIV/0!</v>
      </c>
      <c r="OD68" s="168" t="e">
        <f t="shared" ca="1" si="182"/>
        <v>#DIV/0!</v>
      </c>
      <c r="OE68" s="170">
        <f ca="1">Control!$C$73*$I68</f>
        <v>0</v>
      </c>
      <c r="OF68" s="176" t="e">
        <f t="shared" ca="1" si="101"/>
        <v>#DIV/0!</v>
      </c>
      <c r="OG68" s="168" t="e">
        <f t="shared" ca="1" si="102"/>
        <v>#DIV/0!</v>
      </c>
      <c r="OH68" s="168" t="e">
        <f t="shared" ca="1" si="103"/>
        <v>#DIV/0!</v>
      </c>
      <c r="OI68" s="168" t="e">
        <f t="shared" ca="1" si="104"/>
        <v>#DIV/0!</v>
      </c>
      <c r="OJ68" s="168" t="e">
        <f t="shared" ca="1" si="105"/>
        <v>#DIV/0!</v>
      </c>
      <c r="OK68" s="204" t="e">
        <f t="shared" ca="1" si="183"/>
        <v>#DIV/0!</v>
      </c>
      <c r="OL68" s="177">
        <f>Control!$C$127</f>
        <v>0.15</v>
      </c>
      <c r="OM68" s="182" t="e">
        <f t="shared" ca="1" si="106"/>
        <v>#N/A</v>
      </c>
      <c r="ON68" s="177">
        <f>Control!$C$128</f>
        <v>0.35</v>
      </c>
      <c r="OO68" s="182" t="e">
        <f t="shared" ca="1" si="107"/>
        <v>#N/A</v>
      </c>
      <c r="OP68" s="138">
        <f t="shared" ca="1" si="184"/>
        <v>0</v>
      </c>
      <c r="OQ68" s="138" t="e">
        <f t="shared" ca="1" si="211"/>
        <v>#DIV/0!</v>
      </c>
      <c r="OR68" s="138" t="e">
        <f t="shared" ca="1" si="185"/>
        <v>#DIV/0!</v>
      </c>
      <c r="OS68" s="137" t="e">
        <f t="shared" ca="1" si="212"/>
        <v>#DIV/0!</v>
      </c>
      <c r="OT68" s="139" t="e">
        <f t="shared" ca="1" si="213"/>
        <v>#DIV/0!</v>
      </c>
      <c r="OU68" s="138" t="e">
        <f t="shared" ca="1" si="214"/>
        <v>#N/A</v>
      </c>
      <c r="OV68" s="138" t="e">
        <f t="shared" ca="1" si="215"/>
        <v>#DIV/0!</v>
      </c>
      <c r="OW68" s="138" t="e">
        <f t="shared" ca="1" si="186"/>
        <v>#DIV/0!</v>
      </c>
      <c r="OX68" s="138" t="e">
        <f t="shared" ca="1" si="187"/>
        <v>#DIV/0!</v>
      </c>
      <c r="OY68" s="138" t="e">
        <f t="shared" ca="1" si="188"/>
        <v>#DIV/0!</v>
      </c>
      <c r="OZ68" s="138" t="e">
        <f t="shared" ca="1" si="108"/>
        <v>#DIV/0!</v>
      </c>
      <c r="PA68" s="138" t="e">
        <f t="shared" ca="1" si="109"/>
        <v>#DIV/0!</v>
      </c>
      <c r="PB68" s="55">
        <f>IF(Control!$C$61="T", IF(Control!$C$65="F", IF($AH$6-Control!$C$60&lt;0,0,1), IF(365+$AH$6-Control!$C$60&lt;0,0,1)),0)</f>
        <v>0</v>
      </c>
      <c r="PC68" s="55">
        <f ca="1">IF(Control!$C$65="F", IF($AH$6-$HF68&lt;0,0,1), IF(365+$AH$6-$HF68&lt;0,0,1))</f>
        <v>1</v>
      </c>
      <c r="PD68" s="444">
        <f>Control!$C$118</f>
        <v>1500</v>
      </c>
      <c r="PE68" s="180" t="e">
        <f t="shared" ca="1" si="110"/>
        <v>#N/A</v>
      </c>
      <c r="PF68" s="445">
        <f t="shared" ca="1" si="189"/>
        <v>0.71612369323045078</v>
      </c>
      <c r="PT68" s="186"/>
      <c r="PU68" s="186"/>
      <c r="PV68" s="94"/>
      <c r="PW68" s="94"/>
      <c r="PX68" s="94"/>
      <c r="PY68" s="94"/>
      <c r="PZ68" s="94"/>
      <c r="QA68" s="94"/>
      <c r="QB68" s="94"/>
      <c r="QC68" s="94"/>
      <c r="QD68" s="94"/>
      <c r="QE68" s="94"/>
      <c r="QF68" s="94"/>
      <c r="QG68" s="94"/>
      <c r="QH68" s="94"/>
      <c r="QI68" s="94"/>
      <c r="QJ68" s="94"/>
      <c r="QK68" s="94"/>
      <c r="QL68" s="94"/>
      <c r="QM68" s="94"/>
      <c r="QN68" s="94"/>
      <c r="QO68" s="94"/>
      <c r="QP68" s="94"/>
    </row>
    <row r="69" spans="1:458" s="2" customFormat="1" x14ac:dyDescent="0.2">
      <c r="A69" s="395">
        <v>5</v>
      </c>
      <c r="B69" s="396">
        <v>3</v>
      </c>
      <c r="C69" s="387">
        <f ca="1">Weather_data!$B68</f>
        <v>0</v>
      </c>
      <c r="D69" s="388">
        <f ca="1">Weather_data!$F68</f>
        <v>0</v>
      </c>
      <c r="E69" s="388">
        <f ca="1">Weather_data!$E68</f>
        <v>0</v>
      </c>
      <c r="F69" s="388">
        <f t="shared" ca="1" si="111"/>
        <v>0</v>
      </c>
      <c r="G69" s="388">
        <f ca="1">AVERAGE($D69:$E69)+Control!$B$9</f>
        <v>0</v>
      </c>
      <c r="H69" s="388">
        <f ca="1">Weather_data!$G68</f>
        <v>0</v>
      </c>
      <c r="I69" s="388">
        <f ca="1">Weather_data!$I68</f>
        <v>0</v>
      </c>
      <c r="J69" s="388">
        <f ca="1">Weather_data!$H68</f>
        <v>0</v>
      </c>
      <c r="K69" s="389">
        <f ca="1">Weather_data!$D68</f>
        <v>0</v>
      </c>
      <c r="L69" s="388" t="e">
        <f t="shared" ca="1" si="112"/>
        <v>#N/A</v>
      </c>
      <c r="M69" s="388" t="e">
        <f t="shared" ca="1" si="0"/>
        <v>#N/A</v>
      </c>
      <c r="N69" s="388">
        <f t="shared" ca="1" si="1"/>
        <v>-6.5501025431881008E-4</v>
      </c>
      <c r="O69" s="388">
        <f t="shared" ca="1" si="113"/>
        <v>6.5501025431881008E-3</v>
      </c>
      <c r="P69" s="390">
        <v>3</v>
      </c>
      <c r="Q69" s="388">
        <f ca="1">MAX($G69-Control!$C$107,0)</f>
        <v>0</v>
      </c>
      <c r="R69" s="388">
        <f t="shared" ca="1" si="114"/>
        <v>0</v>
      </c>
      <c r="S69" s="388">
        <f t="shared" ca="1" si="2"/>
        <v>0</v>
      </c>
      <c r="T69" s="388">
        <f t="shared" ca="1" si="3"/>
        <v>0</v>
      </c>
      <c r="U69" s="59">
        <f t="shared" ca="1" si="4"/>
        <v>0</v>
      </c>
      <c r="V69" s="391">
        <f ca="1">MAX(0,MIN(Control!$C$100-Control!$C$99,$G69-Control!$C$99)*Control!$C$63)</f>
        <v>0</v>
      </c>
      <c r="W69" s="388">
        <f t="shared" ca="1" si="190"/>
        <v>0</v>
      </c>
      <c r="X69" s="388">
        <f t="shared" ca="1" si="115"/>
        <v>0.6110000000000001</v>
      </c>
      <c r="Y69" s="388">
        <f t="shared" ca="1" si="116"/>
        <v>0</v>
      </c>
      <c r="Z69" s="388">
        <f t="shared" ca="1" si="117"/>
        <v>0.61058800000000002</v>
      </c>
      <c r="AA69" s="388">
        <f t="shared" ca="1" si="5"/>
        <v>0.6018</v>
      </c>
      <c r="AB69" s="388">
        <f ca="1">101.3*EXP(-0.034*Control!$C$66/($G69+273))</f>
        <v>100.69623283836242</v>
      </c>
      <c r="AC69" s="392">
        <f t="shared" ca="1" si="6"/>
        <v>4.3460251046025113E-2</v>
      </c>
      <c r="AD69" s="392">
        <f t="shared" ca="1" si="7"/>
        <v>4.4450382862832649E-2</v>
      </c>
      <c r="AE69" s="388">
        <f t="shared" ca="1" si="8"/>
        <v>0</v>
      </c>
      <c r="AF69" s="388">
        <f ca="1">MAX(0,$G69-Control!$C$92)</f>
        <v>0</v>
      </c>
      <c r="AG69" s="393">
        <f t="shared" ca="1" si="118"/>
        <v>65</v>
      </c>
      <c r="AH69" s="389">
        <f t="shared" ca="1" si="9"/>
        <v>65</v>
      </c>
      <c r="AI69" s="388">
        <f t="shared" ca="1" si="119"/>
        <v>-0.11009376659572791</v>
      </c>
      <c r="AJ69" s="388">
        <f ca="1">IF(Control!$C$60&lt;=0,$HH69,$HI69)</f>
        <v>1</v>
      </c>
      <c r="AK69" s="388">
        <f t="shared" ca="1" si="10"/>
        <v>-0.2582130948155994</v>
      </c>
      <c r="AL69" s="388">
        <f t="shared" ca="1" si="11"/>
        <v>-1.6229569771430973E-18</v>
      </c>
      <c r="AM69" s="388">
        <f t="shared" ca="1" si="12"/>
        <v>-0.2582130948155994</v>
      </c>
      <c r="AN69" s="388">
        <f t="shared" ca="1" si="13"/>
        <v>-0.10175504672308332</v>
      </c>
      <c r="AO69" s="388">
        <f ca="1">-0.10453/COS(Control!$B$8*PI()/180)*COS(AN69)</f>
        <v>-0.16890663854887072</v>
      </c>
      <c r="AP69" s="388">
        <f ca="1">ACOS(AO69-TAN(Control!$B$8*PI()/180)*TAN(AN69))</f>
        <v>1.6090203752612962</v>
      </c>
      <c r="AQ69" s="388">
        <f t="shared" ca="1" si="120"/>
        <v>0</v>
      </c>
      <c r="AR69" s="394">
        <f t="shared" ca="1" si="14"/>
        <v>0</v>
      </c>
      <c r="AS69" s="436">
        <f ca="1">IF(Control!$B$18=2,(IF(OR($AH69=Control!$B$175,$AH69=Control!$B$176,$AH69=Control!$B$177,$AH69=Control!$B$178,$AH69=Control!$B$179,$AH69=Control!$B$180,$AH69=Control!$B$181,$AH69=Control!$B$182,$AH69=Control!$B$183,$AH69=Control!$B$184,$AH69=Control!$B$185),1,0)),0)</f>
        <v>0</v>
      </c>
      <c r="AT69" s="436">
        <f>IF(Control!$B$20=8,IF(AND($AH69&gt;=Control!$B$172,$AH69&lt;=Control!$B$173),1,0),0)</f>
        <v>0</v>
      </c>
      <c r="AU69" s="436">
        <f>IF(Control!$B$20=8,IF($AV68=1,1*$AT69,IF($AT69=1,$AU68+1,$AU68)),0)</f>
        <v>0</v>
      </c>
      <c r="AV69" s="436">
        <f>IF(Control!$B$20=8,IF($AU69&gt;=Control!$B$174,1,0),0)</f>
        <v>0</v>
      </c>
      <c r="AW69" s="436">
        <f ca="1">IF(AND(Control!$B$18=2,Control!$B$171=1), $AV69, $AS69)</f>
        <v>0</v>
      </c>
      <c r="AX69" s="436" t="e">
        <f ca="1">IF(AND(Control!$B$18=1,$EU69&gt;=Control!$B$19),-$AY69,IF(AND(Control!$B$18=2,$AW69=1,$EU69&gt;$DS69),-$AY69, IF(Control!$C$108=0,0, IF(Control!$C$108&lt;&gt;0,1))))</f>
        <v>#N/A</v>
      </c>
      <c r="AY69" s="436" t="e">
        <f t="shared" ca="1" si="121"/>
        <v>#N/A</v>
      </c>
      <c r="AZ69" s="436" t="e">
        <f ca="1">IF(AND(Control!$B$18=1,$EB69&gt;Control!$B$19),$AZ68+1, IF(AND(Control!$B$18=2, $AW69=1, $EB69&gt;$DS69), $AZ68+1,$AZ68))</f>
        <v>#N/A</v>
      </c>
      <c r="BA69" s="587">
        <f>IF(Control!$C$81=0,1,IF($AH69&gt;=Control!$C$82,1,0))</f>
        <v>1</v>
      </c>
      <c r="BB69" s="140" t="e">
        <f ca="1">IF($BA69&gt;$BA68,Control!$C$83,IF($AW69&gt;0,$AW69*Control!$C$84,IF(AND(Control!$B$18=1,EN68&lt;&gt;0),Control!$C$84,0)))</f>
        <v>#N/A</v>
      </c>
      <c r="BC69" s="140" t="e">
        <f t="shared" ca="1" si="122"/>
        <v>#N/A</v>
      </c>
      <c r="BD69" s="140" t="e">
        <f ca="1">BC69*IF(OR($G69&lt;Control!$C$92,$G69&gt;Control!$C$95),0,IF(AND($G69&gt;=Control!$C$92,$G69&lt;=Control!$C$93),$G69-Control!$C$92,IF(AND($G69&gt;Control!$C$93,$G69&lt;=Control!$C$94),Control!$C$93-Control!$C$92,IF(AND($G69&gt;Control!$C$94,$G69&lt;=Control!$C$95),(Control!$C$93-Control!$C$92)*(Control!$C$94-$G69)/(Control!$C$95-Control!$C$94)))))</f>
        <v>#N/A</v>
      </c>
      <c r="BE69" s="140" t="e">
        <f t="shared" ca="1" si="123"/>
        <v>#N/A</v>
      </c>
      <c r="BF69" s="140" t="e">
        <f ca="1">IF($BE69&lt;=Control!$C$86,$BE69,Control!$C$86-$BE69)</f>
        <v>#N/A</v>
      </c>
      <c r="BG69" s="140" t="e">
        <f ca="1">IF(AND($AW69=1,Control!$C$84&lt;9),1,IF($BE69&gt;=Control!$C$86,0,$BC69))</f>
        <v>#N/A</v>
      </c>
      <c r="BH69" s="404" t="e">
        <f ca="1">IF($BG69=0,0,IF($BE69&lt;=Control!$C$86,$BC69*9*($BF69/Control!$C$86),0))</f>
        <v>#N/A</v>
      </c>
      <c r="BI69" s="140" t="e">
        <f ca="1">IF($BG69=1,0,IF($BE69&gt;=Control!$C$86,1,IF(AND($BB69&lt;21,$BB69&gt;=9),1,$BM68)))</f>
        <v>#N/A</v>
      </c>
      <c r="BJ69" s="140" t="e">
        <f ca="1">IF($BF69&lt;0,-$BF69,$BI69*IF(OR($G69&lt;Control!$C$92,$G69&gt;Control!$C$95),0,IF(AND($G69&gt;=Control!$C$92,$G69&lt;=Control!$C$93),$G69-Control!$C$92,IF(AND($G69&gt;Control!$C$93,$G69&lt;=Control!$C$94),Control!$C$93-Control!$C$92,IF(AND($G69&gt;Control!$C$94,$G69&lt;=Control!$C$95),(Control!$C$93-Control!$C$92)*(Control!$C$94-$G69)/(Control!$C$95-Control!$C$94))))))</f>
        <v>#N/A</v>
      </c>
      <c r="BK69" s="140" t="e">
        <f t="shared" ca="1" si="124"/>
        <v>#N/A</v>
      </c>
      <c r="BL69" s="140" t="e">
        <f ca="1">IF($BK69&lt;=Control!$C$87,$BK69,Control!$C$87-$BK69)</f>
        <v>#N/A</v>
      </c>
      <c r="BM69" s="140" t="e">
        <f ca="1">IF(AND($BB69&gt;=9,$BB69&lt;21),1,IF($BK69&gt;=Control!$C$87,0,$BI69))</f>
        <v>#N/A</v>
      </c>
      <c r="BN69" s="404" t="e">
        <f ca="1">IF($BM69=0,0,IF($BK69&lt;=Control!$C$87,$BI69*(9+(21-9)*($BL69/Control!$C$87)),0))</f>
        <v>#N/A</v>
      </c>
      <c r="BO69" s="140" t="e">
        <f ca="1">IF($BM69=1,0,IF($BK69&gt;=Control!$C$87,1,IF(AND($BB69&lt;30,$BB69&gt;=21),1,$BS68)))</f>
        <v>#N/A</v>
      </c>
      <c r="BP69" s="140" t="e">
        <f ca="1">IF($BL69&lt;0,-$BL69,$BO69*IF(OR($G69&lt;Control!$C$92,$G69&gt;Control!$C$95),0,IF(AND($G69&gt;=Control!$C$92,$G69&lt;=Control!$C$93),$G69-Control!$C$92,IF(AND($G69&gt;Control!$C$93,$G69&lt;=Control!$C$94),Control!$C$93-Control!$C$92,IF(AND($G69&gt;Control!$C$94,$G69&lt;=Control!$C$95),(Control!$C$93-Control!$C$92)*(Control!$C$94-$G69)/(Control!$C$95-Control!$C$94))))))</f>
        <v>#N/A</v>
      </c>
      <c r="BQ69" s="140" t="e">
        <f t="shared" ca="1" si="15"/>
        <v>#N/A</v>
      </c>
      <c r="BR69" s="140" t="e">
        <f ca="1">IF($BQ69&lt;=Control!$C$88,$BQ69,Control!$C$88-$BQ69)</f>
        <v>#N/A</v>
      </c>
      <c r="BS69" s="140" t="e">
        <f ca="1">IF(AND($BB69&gt;=21,$BB69&lt;30),1,IF($BQ69&gt;=Control!$C$88,0,$BO69))</f>
        <v>#N/A</v>
      </c>
      <c r="BT69" s="404" t="e">
        <f ca="1">IF($BS69=0,0,IF($BQ69&lt;=Control!$C$88,$BO69*(21+(30-21)*(BR69/Control!$C$88)),0))</f>
        <v>#N/A</v>
      </c>
      <c r="BU69" s="140" t="e">
        <f ca="1">IF(BG69+BM69+BS69=1,0,IF(OR(AND($BB69&lt;60,$BB69&gt;=30),$BQ69&gt;=Control!$C$88),1*$BA69,$BY68))</f>
        <v>#N/A</v>
      </c>
      <c r="BV69" s="140" t="e">
        <f ca="1">IF($BR69&lt;0,-$BR69,$BU69*IF(OR($G69&lt;Control!$C$92,$G69&gt;Control!$C$95),0,IF(AND($G69&gt;=Control!$C$92,$G69&lt;=Control!$C$93),$G69-Control!$C$92,IF(AND($G69&gt;Control!$C$93,$G69&lt;=Control!$C$94),Control!$C$93-Control!$C$92,IF(AND($G69&gt;Control!$C$94,$G69&lt;=Control!$C$95),(Control!$C$93-Control!$C$92)*(Control!$C$94-$G69)/(Control!$C$95-Control!$C$94))))))</f>
        <v>#N/A</v>
      </c>
      <c r="BW69" s="140" t="e">
        <f t="shared" ca="1" si="16"/>
        <v>#N/A</v>
      </c>
      <c r="BX69" s="140" t="e">
        <f ca="1">IF($BW69&lt;=Control!$C$89,$BW69,Control!$C$89-$BW69)</f>
        <v>#N/A</v>
      </c>
      <c r="BY69" s="140" t="e">
        <f ca="1">IF(AND($AJ69&gt;=30,$AJ69&lt;60),1,IF($BW69&gt;=Control!$C$89,0,$BU69))</f>
        <v>#N/A</v>
      </c>
      <c r="BZ69" s="404" t="e">
        <f ca="1">IF($BY69=0,0,IF($BW69&lt;=Control!$C$89,$BU69*(30+(60-30)*(BX69/Control!$C$89)),0))</f>
        <v>#N/A</v>
      </c>
      <c r="CA69" s="140" t="e">
        <f ca="1">IF($BG69+$BM69+$BS69+$BY69=1,0,IF(OR(AND($BB69&lt;65,$BB69&gt;=60),$BW69&gt;=Control!$C$89),1*$BA69,$CE68))</f>
        <v>#N/A</v>
      </c>
      <c r="CB69" s="140" t="e">
        <f ca="1">IF($BX69&lt;0,-$BX69,$CA69*IF(OR($G69&lt;Control!$C$92,$G69&gt;Control!$C$95),0,IF(AND($G69&gt;=Control!$C$92,$G69&lt;=Control!$C$93),$G69-Control!$C$92,IF(AND($G69&gt;Control!$C$93,$G69&lt;=Control!$C$94),Control!$C$93-Control!$C$92,IF(AND($G69&gt;Control!$C$94,$G69&lt;=Control!$C$95),(Control!$C$93-Control!$C$92)*(Control!$C$94-$G69)/(Control!$C$95-Control!$C$94))))))</f>
        <v>#N/A</v>
      </c>
      <c r="CC69" s="140" t="e">
        <f t="shared" ca="1" si="125"/>
        <v>#N/A</v>
      </c>
      <c r="CD69" s="140" t="e">
        <f ca="1">IF($CC69&lt;=Control!$C$90,$CC69,Control!$C$90-$CC69)</f>
        <v>#N/A</v>
      </c>
      <c r="CE69" s="140" t="e">
        <f ca="1">IF(AND($BB69&gt;=60,$BB69&lt;65),1,IF($CC69&gt;=Control!$C$90,0,$CA69))</f>
        <v>#N/A</v>
      </c>
      <c r="CF69" s="404" t="e">
        <f ca="1">IF($CE69=0,0,IF($CC69&lt;=Control!$C$90,$CA69*(60+(65-60)*(CD69/Control!$C$90)),0))</f>
        <v>#N/A</v>
      </c>
      <c r="CG69" s="140" t="e">
        <f ca="1">IF($BG69+$BM69+$BS69+$BY69+$CE69=1,0,IF(OR(AND($BB69&lt;90,$BB69&gt;=65),$CC69&gt;=Control!$C$90),$BA69,$CK68))</f>
        <v>#N/A</v>
      </c>
      <c r="CH69" s="140" t="e">
        <f ca="1">IF($CD69&lt;0,-$CD69,$CG69*IF(OR($G69&lt;Control!$C$92,$G69&gt;Control!$C$95),0,IF(AND($G69&gt;=Control!$C$92,$G69&lt;=Control!$C$93),$G69-Control!$C$92,IF(AND($G69&gt;Control!$C$93,$G69&lt;=Control!$C$94),Control!$C$93-Control!$C$92,IF(AND($G69&gt;Control!$C$94,$G69&lt;=Control!$C$95),(Control!$C$93-Control!$C$92)*(Control!$C$94-$G69)/(Control!$C$95-Control!$C$94))))))</f>
        <v>#N/A</v>
      </c>
      <c r="CI69" s="140" t="e">
        <f t="shared" ca="1" si="126"/>
        <v>#N/A</v>
      </c>
      <c r="CJ69" s="140" t="e">
        <f ca="1">IF($CI69&lt;=Control!$C$91,$CI69,Control!$C$91-$CI69)</f>
        <v>#N/A</v>
      </c>
      <c r="CK69" s="140" t="e">
        <f ca="1">IF(AND($BB69&gt;=65,$BB69&lt;90),1,IF($CI69&gt;=Control!$C$91,0,$CG69))</f>
        <v>#N/A</v>
      </c>
      <c r="CL69" s="404" t="e">
        <f ca="1">IF($CK69=0,0,IF($CI69&lt;=Control!$C$91,$CG69*(65+(90-65)*($CJ69/Control!$C$91)),0))</f>
        <v>#N/A</v>
      </c>
      <c r="CM69" s="140" t="e">
        <f ca="1">IF($BG69+$BM69+$BS69+$BY69+$CE69+$CK69=1,0,IF(OR($BB69&gt;=90,$CI69&gt;=Control!$C$91),$BA69,$CM68))</f>
        <v>#N/A</v>
      </c>
      <c r="CN69" s="140" t="e">
        <f t="shared" ca="1" si="127"/>
        <v>#N/A</v>
      </c>
      <c r="CO69" s="140" t="e">
        <f t="shared" ca="1" si="128"/>
        <v>#N/A</v>
      </c>
      <c r="CP69" s="140" t="e">
        <f t="shared" ca="1" si="129"/>
        <v>#N/A</v>
      </c>
      <c r="CQ69" s="141" t="e">
        <f ca="1">VLOOKUP($CP69,Control!$B$86:$G$91,6)</f>
        <v>#N/A</v>
      </c>
      <c r="CR69" s="141" t="e">
        <f ca="1">(1-$CQ69)*VLOOKUP($CP69,Control!$B$86:$D$91,3)</f>
        <v>#N/A</v>
      </c>
      <c r="CS69" s="141" t="e">
        <f ca="1">(1-$CQ69)*VLOOKUP($CP69,Control!$B$86:$E$91,4)</f>
        <v>#N/A</v>
      </c>
      <c r="CT69" s="141" t="e">
        <f ca="1">(1-$CQ69)*VLOOKUP($CP69,Control!$B$86:$F$91,5)</f>
        <v>#N/A</v>
      </c>
      <c r="CU69" s="141">
        <f t="shared" ca="1" si="130"/>
        <v>0</v>
      </c>
      <c r="CV69" s="583">
        <f t="shared" ca="1" si="131"/>
        <v>0</v>
      </c>
      <c r="CW69" s="142">
        <f t="shared" ca="1" si="132"/>
        <v>65</v>
      </c>
      <c r="CX69" s="612" t="e">
        <f ca="1">IF(Control!$C$114=1,(MIN(Control!$C$120*(IF($NT69-0.01&lt;0,0,1)),Control!$C$119-$CY69)))</f>
        <v>#DIV/0!</v>
      </c>
      <c r="CY69" s="143" t="e">
        <f t="shared" ca="1" si="133"/>
        <v>#N/A</v>
      </c>
      <c r="CZ69" s="144">
        <f t="shared" ca="1" si="17"/>
        <v>0</v>
      </c>
      <c r="DA69" s="144">
        <f t="shared" ca="1" si="18"/>
        <v>0</v>
      </c>
      <c r="DB69" s="144" t="e">
        <f t="shared" ca="1" si="19"/>
        <v>#N/A</v>
      </c>
      <c r="DC69" s="144" t="e">
        <f t="shared" ca="1" si="20"/>
        <v>#N/A</v>
      </c>
      <c r="DD69" s="144" t="e">
        <f t="shared" ca="1" si="216"/>
        <v>#N/A</v>
      </c>
      <c r="DE69" s="143" t="e">
        <f t="shared" ca="1" si="135"/>
        <v>#N/A</v>
      </c>
      <c r="DF69" s="145" t="e">
        <f ca="1">$DR69*EXP(-Control!$C$158*(1-$KH69))</f>
        <v>#N/A</v>
      </c>
      <c r="DG69" s="146" t="e">
        <f ca="1">IF(Control!$C$114=1, $DF69*$EY69, 0)</f>
        <v>#N/A</v>
      </c>
      <c r="DH69" s="147" t="e">
        <f t="shared" ca="1" si="136"/>
        <v>#N/A</v>
      </c>
      <c r="DI69" s="144" t="e">
        <f t="shared" ca="1" si="191"/>
        <v>#N/A</v>
      </c>
      <c r="DJ69" s="147" t="e">
        <f ca="1">$EF69*Control!$C$109</f>
        <v>#N/A</v>
      </c>
      <c r="DK69" s="144" t="e">
        <f t="shared" ca="1" si="137"/>
        <v>#N/A</v>
      </c>
      <c r="DL69" s="144" t="e">
        <f t="shared" ca="1" si="21"/>
        <v>#N/A</v>
      </c>
      <c r="DM69" s="144" t="e">
        <f ca="1">IF(Control!$C$114=1, (1-EXP(-Control!$C$96*$DK69))*$AR69, 0)</f>
        <v>#N/A</v>
      </c>
      <c r="DN69" s="144">
        <f t="shared" ca="1" si="138"/>
        <v>0</v>
      </c>
      <c r="DO69" s="148">
        <f>Control!$C$97</f>
        <v>4</v>
      </c>
      <c r="DP69" s="145" t="e">
        <f t="shared" ca="1" si="139"/>
        <v>#N/A</v>
      </c>
      <c r="DQ69" s="145" t="e">
        <f ca="1">IF(AND($CP69&gt;=0,$CP69&lt;=90),Control!$C$111,Control!$C$111)</f>
        <v>#N/A</v>
      </c>
      <c r="DR69" s="145" t="e">
        <f t="shared" ca="1" si="22"/>
        <v>#N/A</v>
      </c>
      <c r="DS69" s="143" t="e">
        <f ca="1">Control!$B$22/$DR69</f>
        <v>#N/A</v>
      </c>
      <c r="DT69" s="149" t="e">
        <f ca="1">IF(AND(Control!$C$114=1,$KH69&lt;1),$IM69*$DF69, 0)</f>
        <v>#N/A</v>
      </c>
      <c r="DU69" s="144" t="e">
        <f t="shared" ca="1" si="192"/>
        <v>#N/A</v>
      </c>
      <c r="DV69" s="144">
        <f ca="1">IF($G69-Control!$C$107&lt;=0, 0, 0.83*LN(MAX($G69, 3))-0.8924)</f>
        <v>0</v>
      </c>
      <c r="DW69" s="144" t="e">
        <f t="shared" ca="1" si="23"/>
        <v>#N/A</v>
      </c>
      <c r="DX69" s="150" t="e">
        <f ca="1">MAX(0.01*(1+$CU69/Control!$C$102),0.05*($DK69-Control!$C$97)/Control!$C$97)</f>
        <v>#N/A</v>
      </c>
      <c r="DY69" s="151" t="e">
        <f ca="1">IF(Control!$C$114=1, $DI69*$FS69, 0)</f>
        <v>#N/A</v>
      </c>
      <c r="DZ69" s="196" t="e">
        <f t="shared" ca="1" si="140"/>
        <v>#N/A</v>
      </c>
      <c r="EA69" s="152">
        <f t="shared" ca="1" si="141"/>
        <v>65</v>
      </c>
      <c r="EB69" s="153" t="e">
        <f t="shared" ca="1" si="217"/>
        <v>#N/A</v>
      </c>
      <c r="EC69" s="153" t="e">
        <f t="shared" ca="1" si="142"/>
        <v>#N/A</v>
      </c>
      <c r="ED69" s="154" t="e">
        <f ca="1">IF(Control!$C$114=1, $HM69*$FY69-$FD69, 0)</f>
        <v>#DIV/0!</v>
      </c>
      <c r="EE69" s="155" t="e">
        <f ca="1">IF(Control!$C$114=1, $HM69*$FZ69-$FF69, 0)</f>
        <v>#DIV/0!</v>
      </c>
      <c r="EF69" s="153" t="e">
        <f t="shared" ca="1" si="193"/>
        <v>#N/A</v>
      </c>
      <c r="EG69" s="155" t="e">
        <f ca="1">IF(Control!$C$114=1, $GX69*$FW69-$FI69, 0)</f>
        <v>#DIV/0!</v>
      </c>
      <c r="EH69" s="153" t="e">
        <f t="shared" ca="1" si="143"/>
        <v>#N/A</v>
      </c>
      <c r="EI69" s="156" t="e">
        <f t="shared" ca="1" si="144"/>
        <v>#N/A</v>
      </c>
      <c r="EJ69" s="155" t="e">
        <f ca="1">IF(Control!$C$114=1, $HM69*$GB69, 0)</f>
        <v>#DIV/0!</v>
      </c>
      <c r="EK69" s="153" t="e">
        <f t="shared" ca="1" si="194"/>
        <v>#N/A</v>
      </c>
      <c r="EL69" s="153" t="e">
        <f t="shared" ca="1" si="24"/>
        <v>#N/A</v>
      </c>
      <c r="EM69" s="153" t="e">
        <f t="shared" ca="1" si="25"/>
        <v>#N/A</v>
      </c>
      <c r="EN69" s="153" t="e">
        <f ca="1">IF(Control!$C$108=1,IF(AND(Control!$B$18=1,$EB69&gt;=Control!$B$19),$EB69-$DS69,IF(AND(Control!$B$18=2,$AW69=1,$EB69&gt;$DS69),$EB69-$DS69,0)))</f>
        <v>#N/A</v>
      </c>
      <c r="EO69" s="153" t="e">
        <f ca="1">IF(Control!$C$108=1,IF(AND(Control!$B$18=1,$EB69&gt;=Control!$B$19),$EF69,IF(AND(Control!$B$18=2,$AW69=1),$EF69,0)))</f>
        <v>#N/A</v>
      </c>
      <c r="EP69" s="153" t="e">
        <f ca="1">IF(Control!$C$108=1,IF(AND(Control!$B$18=1,$EB69&gt;=Control!$B$19),$EK69,IF(AND(Control!$B$18=2,$AW69=1),$EK69,0)))</f>
        <v>#N/A</v>
      </c>
      <c r="EQ69" s="153" t="e">
        <f t="shared" ca="1" si="145"/>
        <v>#N/A</v>
      </c>
      <c r="ER69" s="153" t="e">
        <f t="shared" ca="1" si="231"/>
        <v>#N/A</v>
      </c>
      <c r="ES69" s="153" t="e">
        <f t="shared" ca="1" si="196"/>
        <v>#N/A</v>
      </c>
      <c r="ET69" s="153" t="e">
        <f t="shared" ca="1" si="197"/>
        <v>#N/A</v>
      </c>
      <c r="EU69" s="153" t="e">
        <f t="shared" ca="1" si="198"/>
        <v>#N/A</v>
      </c>
      <c r="EV69" s="153" t="e">
        <f t="shared" ca="1" si="146"/>
        <v>#N/A</v>
      </c>
      <c r="EW69" s="153" t="e">
        <f t="shared" ca="1" si="218"/>
        <v>#N/A</v>
      </c>
      <c r="EX69" s="153" t="e">
        <f t="shared" ca="1" si="26"/>
        <v>#N/A</v>
      </c>
      <c r="EY69" s="157" t="e">
        <f t="shared" ca="1" si="147"/>
        <v>#DIV/0!</v>
      </c>
      <c r="EZ69" s="154" t="e">
        <f t="shared" ca="1" si="27"/>
        <v>#DIV/0!</v>
      </c>
      <c r="FA69" s="153" t="e">
        <f t="shared" ca="1" si="199"/>
        <v>#N/A</v>
      </c>
      <c r="FB69" s="153" t="e">
        <f t="shared" ca="1" si="28"/>
        <v>#N/A</v>
      </c>
      <c r="FC69" s="193" t="e">
        <f t="shared" ca="1" si="29"/>
        <v>#N/A</v>
      </c>
      <c r="FD69" s="158" t="e">
        <f t="shared" ca="1" si="200"/>
        <v>#N/A</v>
      </c>
      <c r="FE69" s="158" t="e">
        <f t="shared" ca="1" si="148"/>
        <v>#N/A</v>
      </c>
      <c r="FF69" s="159" t="e">
        <f t="shared" ca="1" si="30"/>
        <v>#N/A</v>
      </c>
      <c r="FG69" s="160" t="e">
        <f t="shared" ca="1" si="149"/>
        <v>#N/A</v>
      </c>
      <c r="FH69" s="158" t="e">
        <f t="shared" ca="1" si="150"/>
        <v>#N/A</v>
      </c>
      <c r="FI69" s="159" t="e">
        <f t="shared" ca="1" si="31"/>
        <v>#N/A</v>
      </c>
      <c r="FJ69" s="160" t="e">
        <f t="shared" ca="1" si="151"/>
        <v>#N/A</v>
      </c>
      <c r="FK69" s="160" t="e">
        <f t="shared" ca="1" si="32"/>
        <v>#N/A</v>
      </c>
      <c r="FL69" s="160" t="e">
        <f t="shared" ca="1" si="229"/>
        <v>#N/A</v>
      </c>
      <c r="FM69" s="160" t="e">
        <f t="shared" ca="1" si="33"/>
        <v>#N/A</v>
      </c>
      <c r="FN69" s="158">
        <f t="shared" ca="1" si="219"/>
        <v>0.01</v>
      </c>
      <c r="FO69" s="160">
        <f>Control!$C$101</f>
        <v>50</v>
      </c>
      <c r="FP69" s="150" t="e">
        <f t="shared" ca="1" si="34"/>
        <v>#N/A</v>
      </c>
      <c r="FQ69" s="150" t="e">
        <f ca="1">MAX(0,(Control!$C$112*(($DK69-Control!$C$97)/Control!$C$97)))</f>
        <v>#N/A</v>
      </c>
      <c r="FR69" s="150" t="e">
        <f ca="1">(1-$NT69)*Control!$C$113</f>
        <v>#DIV/0!</v>
      </c>
      <c r="FS69" s="198" t="e">
        <f t="shared" ca="1" si="35"/>
        <v>#N/A</v>
      </c>
      <c r="FT69" s="161">
        <f t="shared" ca="1" si="152"/>
        <v>65</v>
      </c>
      <c r="FU69" s="162" t="e">
        <f ca="1">IF(Control!$B$34=1,VLOOKUP($CP69,Control!$B$86:$G$91,6),Control!$B$35)</f>
        <v>#N/A</v>
      </c>
      <c r="FV69" s="162" t="e">
        <f t="shared" ca="1" si="36"/>
        <v>#DIV/0!</v>
      </c>
      <c r="FW69" s="162" t="e">
        <f ca="1">IF(Control!$B$31=1,$FU69*$FV69,  $FU69)</f>
        <v>#N/A</v>
      </c>
      <c r="FX69" s="162" t="e">
        <f ca="1">IF(Control!$B$34=1,VLOOKUP($CP69,Control!$B$86:$G$91,3),Control!$B$36)</f>
        <v>#N/A</v>
      </c>
      <c r="FY69" s="162" t="e">
        <f t="shared" ca="1" si="37"/>
        <v>#N/A</v>
      </c>
      <c r="FZ69" s="162" t="e">
        <f ca="1">IF(Control!$B$34=1,VLOOKUP($CP69,Control!$B$86:$G$91,4),Control!$B$37)</f>
        <v>#N/A</v>
      </c>
      <c r="GA69" s="162" t="e">
        <f t="shared" ca="1" si="38"/>
        <v>#N/A</v>
      </c>
      <c r="GB69" s="162" t="e">
        <f ca="1">IF(Control!$B$34=1,VLOOKUP($CP69,Control!$B$86:$G$91,5),Control!$B$38)</f>
        <v>#N/A</v>
      </c>
      <c r="GC69" s="162" t="e">
        <f t="shared" ca="1" si="153"/>
        <v>#N/A</v>
      </c>
      <c r="GD69" s="162">
        <f t="shared" ca="1" si="39"/>
        <v>1</v>
      </c>
      <c r="GE69" s="162">
        <f t="shared" ca="1" si="40"/>
        <v>1</v>
      </c>
      <c r="GF69" s="162">
        <f ca="1">IF(AND(Control!$C$104=1, Control!$C$62="F"),$GE69,1)</f>
        <v>1</v>
      </c>
      <c r="GG69" s="162" t="e">
        <f ca="1">IF(Control!$B$16=40,0,IF(AND(Control!$B$16&gt;40,Control!$B$16&lt;=360),(Control!$B$16-40)*((1-0)/(360-40)),IF(AND(Control!$B$16&gt;360,Control!$B$16&lt;=720),(1+(Control!$B$16-360)*((1.25-1)/(720-360))),IF(AND(Control!$B$16&gt;720,Control!$B$16&lt;=1000),(1.25+(Control!$B$16-720)*((1.35-1.25)/(1000-720))),IF(AND(Control!$B$16&gt;1000,Control!$B$16&lt;=2000),(1.35+(Control!$B$16-1000)*0))))))</f>
        <v>#N/A</v>
      </c>
      <c r="GH69" s="162" t="e">
        <f t="shared" ca="1" si="41"/>
        <v>#N/A</v>
      </c>
      <c r="GI69" s="162">
        <f t="shared" ca="1" si="201"/>
        <v>0</v>
      </c>
      <c r="GJ69" s="162">
        <f t="shared" ca="1" si="42"/>
        <v>0</v>
      </c>
      <c r="GK69" s="162">
        <f t="shared" ca="1" si="220"/>
        <v>1</v>
      </c>
      <c r="GL69" s="162">
        <f t="shared" ca="1" si="43"/>
        <v>1</v>
      </c>
      <c r="GM69" s="162" t="e">
        <f ca="1">MAX(0,MIN(1,1-Control!$C$156*(1.0001-$KH69)^2))</f>
        <v>#N/A</v>
      </c>
      <c r="GN69" s="162" t="e">
        <f ca="1">IF(Control!$B$26=1,$KU69,$KX69)</f>
        <v>#N/A</v>
      </c>
      <c r="GO69" s="162" t="e">
        <f ca="1">IF($CP69&lt;=60,Control!$C$105,IF($CP69&gt;=90,Control!$C$106,Control!$C$105+($CP69-60)*((Control!$C$106-Control!$C$105)/(90-60))))</f>
        <v>#N/A</v>
      </c>
      <c r="GP69" s="162" t="e">
        <f t="shared" ca="1" si="154"/>
        <v>#N/A</v>
      </c>
      <c r="GQ69" s="162" t="e">
        <f t="shared" ca="1" si="155"/>
        <v>#N/A</v>
      </c>
      <c r="GR69" s="163" t="e">
        <f t="shared" ca="1" si="44"/>
        <v>#DIV/0!</v>
      </c>
      <c r="GS69" s="162" t="e">
        <f t="shared" ca="1" si="45"/>
        <v>#DIV/0!</v>
      </c>
      <c r="GT69" s="164" t="e">
        <f t="shared" ca="1" si="156"/>
        <v>#N/A</v>
      </c>
      <c r="GU69" s="162" t="e">
        <f t="shared" ca="1" si="157"/>
        <v>#N/A</v>
      </c>
      <c r="GV69" s="162" t="e">
        <f t="shared" ca="1" si="46"/>
        <v>#N/A</v>
      </c>
      <c r="GW69" s="162" t="e">
        <f t="shared" ca="1" si="221"/>
        <v>#DIV/0!</v>
      </c>
      <c r="GX69" s="162" t="e">
        <f t="shared" ca="1" si="228"/>
        <v>#DIV/0!</v>
      </c>
      <c r="GY69" s="162" t="e">
        <f t="shared" ca="1" si="158"/>
        <v>#DIV/0!</v>
      </c>
      <c r="GZ69" s="165" t="e">
        <f t="shared" ca="1" si="159"/>
        <v>#N/A</v>
      </c>
      <c r="HA69" s="162" t="e">
        <f ca="1">IF(Control!$C$114=1, $DI69*$FS69, 0)</f>
        <v>#N/A</v>
      </c>
      <c r="HB69" s="162" t="e">
        <f ca="1">$FA69/Control!$C$64</f>
        <v>#N/A</v>
      </c>
      <c r="HC69" s="162" t="e">
        <f t="shared" ca="1" si="222"/>
        <v>#DIV/0!</v>
      </c>
      <c r="HD69" s="162">
        <f ca="1">-ASIN(SIN(23.45*Control!$C$139)*COS(2*Control!$C$138*($AH69+10)/365))</f>
        <v>-0.11009376659572791</v>
      </c>
      <c r="HE69" s="165">
        <f t="shared" ca="1" si="160"/>
        <v>0</v>
      </c>
      <c r="HF69" s="166">
        <f ca="1">IF(AND(Control!$C$61="T",$HE69&gt;=Control!$C$103,Control!$C$114=0),$AH69,Control!$C$59)</f>
        <v>1</v>
      </c>
      <c r="HG69" s="166">
        <f ca="1">IF(AND(Control!$C$61="T",$HE69&gt;=Control!$C$103,Control!$C$114=0),$HF69,Control!$C$59)</f>
        <v>1</v>
      </c>
      <c r="HH69" s="165">
        <f ca="1">IF(AND(OR(Control!$C$60&lt;=0, $AH69= Control!$C$59, Control!$C$60 &gt;0, $AH69 = Control!$C$60)), Control!$C$59, IF(Control!$C$60&gt;0, 0))</f>
        <v>1</v>
      </c>
      <c r="HI69" s="165">
        <f ca="1">IF(AND(OR(Control!$C$60&lt;=0, $AH69= Control!$C$59, Control!$C$60 &gt;0, $AH69 = Control!$C$60)), Control!$C$60, IF(Control!$C$60&lt;=0, 0))</f>
        <v>0</v>
      </c>
      <c r="HJ69" s="166">
        <f ca="1">IF(AND(Control!$C$62="F",$CV69&gt;=Control!$C$102),$AH69,0)</f>
        <v>0</v>
      </c>
      <c r="HK69" s="165" t="e">
        <f t="shared" ca="1" si="202"/>
        <v>#N/A</v>
      </c>
      <c r="HL69" s="166">
        <f ca="1">IF(AND(Control!$C$61="T",$HE69&gt;=Control!$C$103,Control!$C$114=0),$HF69,0)</f>
        <v>0</v>
      </c>
      <c r="HM69" s="201" t="e">
        <f t="shared" ca="1" si="47"/>
        <v>#DIV/0!</v>
      </c>
      <c r="HN69" s="215">
        <f t="shared" ca="1" si="161"/>
        <v>65</v>
      </c>
      <c r="HO69" s="216" t="e">
        <f ca="1">IF(AND($CP69&gt;=0, $CP69&lt;=90), Control!$C$152, Control!$C$152)</f>
        <v>#N/A</v>
      </c>
      <c r="HP69" s="216" t="e">
        <f t="shared" ca="1" si="48"/>
        <v>#N/A</v>
      </c>
      <c r="HQ69" s="217" t="e">
        <f ca="1">IF(OR(Control!$B$26=1,Control!$B$26=2),$KV69,$KS69)</f>
        <v>#DIV/0!</v>
      </c>
      <c r="HR69" s="218" t="e">
        <f t="shared" ca="1" si="223"/>
        <v>#DIV/0!</v>
      </c>
      <c r="HS69" s="216" t="e">
        <f ca="1">Control!$C$154*$HP69</f>
        <v>#N/A</v>
      </c>
      <c r="HT69" s="216" t="e">
        <f ca="1">Control!$C$155*$HP69</f>
        <v>#N/A</v>
      </c>
      <c r="HU69" s="217" t="e">
        <f ca="1">Control!$C$161*$FI69</f>
        <v>#N/A</v>
      </c>
      <c r="HV69" s="218" t="e">
        <f t="shared" ca="1" si="162"/>
        <v>#N/A</v>
      </c>
      <c r="HW69" s="218" t="e">
        <f ca="1">Control!$C$160*$FF69+$IP69*$EO69</f>
        <v>#N/A</v>
      </c>
      <c r="HX69" s="218" t="e">
        <f t="shared" ca="1" si="203"/>
        <v>#N/A</v>
      </c>
      <c r="HY69" s="219" t="e">
        <f ca="1">IF(Control!$C$114=1, $EB69*$FS69, 0)</f>
        <v>#N/A</v>
      </c>
      <c r="HZ69" s="91" t="e">
        <f t="shared" ca="1" si="49"/>
        <v>#N/A</v>
      </c>
      <c r="IA69" s="220" t="e">
        <f ca="1">Control!$C$153*$HO69</f>
        <v>#N/A</v>
      </c>
      <c r="IB69" s="218" t="e">
        <f t="shared" ca="1" si="50"/>
        <v>#N/A</v>
      </c>
      <c r="IC69" s="220" t="e">
        <f ca="1">Control!$C$153*$HT69</f>
        <v>#N/A</v>
      </c>
      <c r="ID69" s="218" t="e">
        <f t="shared" ca="1" si="51"/>
        <v>#N/A</v>
      </c>
      <c r="IE69" s="221" t="e">
        <f ca="1">($EB69*Control!$C$159+$EF69*Control!$C$160)/(IF($GZ69&lt;&gt;0,$GZ69,1))</f>
        <v>#N/A</v>
      </c>
      <c r="IF69" s="216" t="e">
        <f t="shared" ca="1" si="52"/>
        <v>#N/A</v>
      </c>
      <c r="IG69" s="91">
        <f ca="1">IF(OR(Control!$B$198=$AH69,Control!$B$199=$AH69, Control!$B$200=$AH69, Control!$B$201=$AH69, Control!$B$202=$AH69, Control!$B$203=$AH69, Control!$B$204=$AH69, Control!$B$205=$AH69, Control!$B$206=$AH69, Control!$B$207=$AH69), 1, 0)</f>
        <v>0</v>
      </c>
      <c r="IH69" s="91">
        <f ca="1">IF($IG69=0,0, VLOOKUP($AH69,Control!$B$198:$C$207,2))</f>
        <v>0</v>
      </c>
      <c r="II69" s="222">
        <f t="shared" ca="1" si="163"/>
        <v>0</v>
      </c>
      <c r="IJ69" s="91">
        <f>Control!$C$121</f>
        <v>0.7</v>
      </c>
      <c r="IK69" s="218">
        <f t="shared" ca="1" si="53"/>
        <v>0</v>
      </c>
      <c r="IL69" s="217" t="e">
        <f t="shared" ca="1" si="204"/>
        <v>#N/A</v>
      </c>
      <c r="IM69" s="223" t="e">
        <f ca="1">IF(AND(Control!$C$114=1,$KH69&lt;1),$EB69*Control!$C$148*(1-$KH69), 0)</f>
        <v>#N/A</v>
      </c>
      <c r="IN69" s="217" t="e">
        <f t="shared" ca="1" si="54"/>
        <v>#DIV/0!</v>
      </c>
      <c r="IO69" s="91" t="e">
        <f ca="1">MAX(0,$IL69-$EF69*Control!$C$160)</f>
        <v>#N/A</v>
      </c>
      <c r="IP69" s="220" t="e">
        <f t="shared" ca="1" si="55"/>
        <v>#N/A</v>
      </c>
      <c r="IQ69" s="217" t="e">
        <f t="shared" ca="1" si="164"/>
        <v>#N/A</v>
      </c>
      <c r="IR69" s="218" t="e">
        <f t="shared" ca="1" si="56"/>
        <v>#N/A</v>
      </c>
      <c r="IS69" s="217" t="e">
        <f ca="1">Control!$C$159*MAX(0,$FD69-$EN69)</f>
        <v>#N/A</v>
      </c>
      <c r="IT69" s="217" t="e">
        <f t="shared" ca="1" si="205"/>
        <v>#N/A</v>
      </c>
      <c r="IU69" s="217" t="e">
        <f t="shared" ca="1" si="165"/>
        <v>#N/A</v>
      </c>
      <c r="IV69" s="217" t="e">
        <f t="shared" ca="1" si="206"/>
        <v>#N/A</v>
      </c>
      <c r="IW69" s="217" t="e">
        <f ca="1">IF(OR($AW69=1,AND($AW69=0, Control!$B$18=1,$EN69&lt;&gt;0)), $IQ69-$IU69, $IQ69)</f>
        <v>#N/A</v>
      </c>
      <c r="IX69" s="218" t="e">
        <f t="shared" ca="1" si="57"/>
        <v>#N/A</v>
      </c>
      <c r="IY69" s="218" t="e">
        <f ca="1">MAX(0,$IQ69-$EB69*Control!$C$159)</f>
        <v>#N/A</v>
      </c>
      <c r="IZ69" s="218" t="e">
        <f t="shared" ca="1" si="58"/>
        <v>#N/A</v>
      </c>
      <c r="JA69" s="216" t="e">
        <f t="shared" ca="1" si="59"/>
        <v>#N/A</v>
      </c>
      <c r="JB69" s="217" t="e">
        <f t="shared" ca="1" si="60"/>
        <v>#N/A</v>
      </c>
      <c r="JC69" s="222" t="e">
        <f ca="1">MAX(Control!$C$157*$EK69-$JT69, 0)/Control!$C$162</f>
        <v>#N/A</v>
      </c>
      <c r="JD69" s="218" t="e">
        <f t="shared" ca="1" si="61"/>
        <v>#N/A</v>
      </c>
      <c r="JE69" s="218" t="e">
        <f t="shared" ca="1" si="62"/>
        <v>#N/A</v>
      </c>
      <c r="JF69" s="218" t="e">
        <f t="shared" ca="1" si="207"/>
        <v>#N/A</v>
      </c>
      <c r="JG69" s="218" t="e">
        <f t="shared" ca="1" si="63"/>
        <v>#N/A</v>
      </c>
      <c r="JH69" s="217" t="e">
        <f t="shared" ca="1" si="166"/>
        <v>#N/A</v>
      </c>
      <c r="JI69" s="217" t="e">
        <f t="shared" ca="1" si="167"/>
        <v>#N/A</v>
      </c>
      <c r="JJ69" s="217" t="e">
        <f t="shared" ca="1" si="224"/>
        <v>#N/A</v>
      </c>
      <c r="JK69" s="217" t="e">
        <f ca="1">IF(Control!$C$114=1,IF(Control!$B$24=0,MAX(0,$JI69)*$GN69/Control!$C$64,(MAX(0,MIN($JI69,$JJ69*$GN69/Control!$C$64),0))))</f>
        <v>#N/A</v>
      </c>
      <c r="JL69" s="217" t="e">
        <f ca="1">$IK69/Control!$C$64-$JK69+$HQ69</f>
        <v>#N/A</v>
      </c>
      <c r="JM69" s="217" t="e">
        <f ca="1">IF(Control!$C$114=1,($JB69/(IF($JI69&lt;&gt;0,$JI69,1)))*$JK69,0)</f>
        <v>#N/A</v>
      </c>
      <c r="JN69" s="217" t="e">
        <f ca="1">IF(Control!$C$114=1,($JG69/(IF($JI69&lt;&gt;0,$JI69,1)))*$JK69, 0)</f>
        <v>#N/A</v>
      </c>
      <c r="JO69" s="218" t="e">
        <f t="shared" ca="1" si="64"/>
        <v>#N/A</v>
      </c>
      <c r="JP69" s="218" t="e">
        <f ca="1">MIN(($IY69+$IO69)*Control!$C$151, $JF69-$EH69*Control!$C$161)</f>
        <v>#N/A</v>
      </c>
      <c r="JQ69" s="218" t="e">
        <f t="shared" ca="1" si="65"/>
        <v>#N/A</v>
      </c>
      <c r="JR69" s="217" t="e">
        <f ca="1">IF($CP69-Control!$C$150&lt;0, 0, $JQ69/Control!$C$162)</f>
        <v>#N/A</v>
      </c>
      <c r="JS69" s="218" t="e">
        <f t="shared" ca="1" si="66"/>
        <v>#N/A</v>
      </c>
      <c r="JT69" s="218" t="e">
        <f t="shared" ca="1" si="168"/>
        <v>#N/A</v>
      </c>
      <c r="JU69" s="218" t="e">
        <f t="shared" ca="1" si="67"/>
        <v>#N/A</v>
      </c>
      <c r="JV69" s="218" t="e">
        <f t="shared" ca="1" si="68"/>
        <v>#N/A</v>
      </c>
      <c r="JW69" s="216" t="e">
        <f t="shared" ca="1" si="69"/>
        <v>#N/A</v>
      </c>
      <c r="JX69" s="91" t="e">
        <f t="shared" ca="1" si="70"/>
        <v>#N/A</v>
      </c>
      <c r="JY69" s="218" t="e">
        <f t="shared" ca="1" si="71"/>
        <v>#N/A</v>
      </c>
      <c r="JZ69" s="217" t="e">
        <f ca="1">IF(Control!$C$114=1,($IZ69/(IF($JI69&lt;&gt;0,$JI69,1)))*$JK69, 0)</f>
        <v>#N/A</v>
      </c>
      <c r="KA69" s="218" t="e">
        <f t="shared" ca="1" si="225"/>
        <v>#N/A</v>
      </c>
      <c r="KB69" s="218" t="e">
        <f t="shared" ca="1" si="169"/>
        <v>#N/A</v>
      </c>
      <c r="KC69" s="218" t="e">
        <f t="shared" ca="1" si="72"/>
        <v>#N/A</v>
      </c>
      <c r="KD69" s="218" t="e">
        <f t="shared" ca="1" si="73"/>
        <v>#N/A</v>
      </c>
      <c r="KE69" s="218" t="e">
        <f t="shared" ca="1" si="74"/>
        <v>#N/A</v>
      </c>
      <c r="KF69" s="218" t="e">
        <f t="shared" ca="1" si="75"/>
        <v>#N/A</v>
      </c>
      <c r="KG69" s="216" t="e">
        <f t="shared" ca="1" si="76"/>
        <v>#N/A</v>
      </c>
      <c r="KH69" s="221" t="e">
        <f ca="1">IF(Control!$B$24=0,1,MAX(0.001,MIN(1,IF(($IF69-$IE69)&lt;&gt;0,($KG69-$IE69)/($IF69-$IE69),1))))</f>
        <v>#N/A</v>
      </c>
      <c r="KI69" s="222" t="e">
        <f ca="1">IF(Control!$C$114=1, $KI68+ $KH68, 0)</f>
        <v>#N/A</v>
      </c>
      <c r="KJ69" s="217" t="e">
        <f t="shared" ca="1" si="77"/>
        <v>#N/A</v>
      </c>
      <c r="KK69" s="218" t="e">
        <f t="shared" ca="1" si="78"/>
        <v>#N/A</v>
      </c>
      <c r="KL69" s="274" t="e">
        <f ca="1">IF(Control!$B$26=3,4000000000*EXP(-8400/($G69+273)),IF(Control!$B$26=4,4000000000*EXP(-8400/($G69+273))*($KT69),0))</f>
        <v>#DIV/0!</v>
      </c>
      <c r="KM69" s="274" t="e">
        <f ca="1">IF(Control!$B$26=3,5600000000000*EXP(-9800/($G69+273)),IF(Control!$B$26=4,5600000000000*EXP(-9800/($G69+273))*$KT69,0))</f>
        <v>#DIV/0!</v>
      </c>
      <c r="KN69" s="454" t="e">
        <f t="shared" ca="1" si="170"/>
        <v>#DIV/0!</v>
      </c>
      <c r="KO69" s="274" t="e">
        <f t="shared" ca="1" si="171"/>
        <v>#DIV/0!</v>
      </c>
      <c r="KP69" s="454" t="e">
        <f t="shared" ca="1" si="79"/>
        <v>#DIV/0!</v>
      </c>
      <c r="KQ69" s="454" t="e">
        <f t="shared" ca="1" si="80"/>
        <v>#DIV/0!</v>
      </c>
      <c r="KR69" s="454" t="e">
        <f t="shared" ca="1" si="81"/>
        <v>#DIV/0!</v>
      </c>
      <c r="KS69" s="454" t="e">
        <f t="shared" ca="1" si="82"/>
        <v>#DIV/0!</v>
      </c>
      <c r="KT69" s="455" t="e">
        <f t="shared" ca="1" si="83"/>
        <v>#DIV/0!</v>
      </c>
      <c r="KU69" s="456" t="e">
        <f ca="1">IF($CP69-Control!$C$149&lt;0, IF($NT69-0.01&lt;0,0,1),0)</f>
        <v>#N/A</v>
      </c>
      <c r="KV69" s="456" t="e">
        <f ca="1">IF(Control!$C$114=1,MAX(0,MIN(Control!$C$125*$KW69*$GN69,$KW69)))</f>
        <v>#DIV/0!</v>
      </c>
      <c r="KW69" s="456" t="e">
        <f t="shared" ca="1" si="208"/>
        <v>#DIV/0!</v>
      </c>
      <c r="KX69" s="457" t="e">
        <f ca="1">IF($CP69-Control!$C$149&lt;0, IF($MR69-$OM69&lt;0,0,1),0)</f>
        <v>#N/A</v>
      </c>
      <c r="KY69" s="167">
        <f t="shared" ca="1" si="172"/>
        <v>65</v>
      </c>
      <c r="KZ69" s="168">
        <f ca="1">1370*(1+0.033*COS(2*Control!$C$138*$AH69/365))</f>
        <v>1389.7408957763564</v>
      </c>
      <c r="LA69" s="169">
        <f t="shared" ca="1" si="173"/>
        <v>1.0144094906545502</v>
      </c>
      <c r="LB69" s="169">
        <f t="shared" ca="1" si="174"/>
        <v>-0.10951746667858643</v>
      </c>
      <c r="LC69" s="169">
        <f ca="1">ACOS(-TAN((2*Control!$B$8/360))*TAN(Calculations!$LB69))</f>
        <v>1.538110814353044</v>
      </c>
      <c r="LD69" s="169">
        <f ca="1">((24*60)/PI())*0.082*$LA69*(($LC69*SIN(Control!$B$8*2*PI()/360))*SIN($LB69)+COS(Control!$B$8*2*PI()/360)*COS($LB69)*SIN($LC69))</f>
        <v>18.269650417134013</v>
      </c>
      <c r="LE69" s="170">
        <f t="shared" ca="1" si="84"/>
        <v>18.423465748782775</v>
      </c>
      <c r="LF69" s="170">
        <f ca="1">SIN(Control!$C$139*Control!$B$8)*SIN($HD69)</f>
        <v>-8.6580067259007937E-2</v>
      </c>
      <c r="LG69" s="170">
        <f ca="1">COS(Control!$C$139*Control!$B$8)*COS($HD69)</f>
        <v>0.61193247538362971</v>
      </c>
      <c r="LH69" s="170">
        <f ca="1">12*(1+2*ASIN(MAX(-1,MIN(1,$LF69/$LG69))/Control!$C$138))</f>
        <v>10.918761027326397</v>
      </c>
      <c r="LI69" s="170">
        <f ca="1">12*(1+2*ASIN(MAX(-1,MIN(1,(-SIN(-4*Control!$C$139)+$LF69)/$LG69))/Control!$C$138))</f>
        <v>11.789972115837507</v>
      </c>
      <c r="LJ69" s="168">
        <f ca="1">3600*($LH69*$LF69+24*$LG69*SQRT(1-$LK69*$LK69)/Control!$C$138)</f>
        <v>13256.763044661504</v>
      </c>
      <c r="LK69" s="170">
        <f t="shared" ca="1" si="85"/>
        <v>-0.14148630893421629</v>
      </c>
      <c r="LL69" s="170">
        <f t="shared" ca="1" si="86"/>
        <v>0</v>
      </c>
      <c r="LM69" s="171">
        <f ca="1">Control!$C$145*$AB69</f>
        <v>6.6660906138995932E-2</v>
      </c>
      <c r="LN69" s="170">
        <f t="shared" ca="1" si="175"/>
        <v>0.54</v>
      </c>
      <c r="LO69" s="170">
        <f t="shared" ca="1" si="87"/>
        <v>0</v>
      </c>
      <c r="LP69" s="170">
        <f ca="1">Control!$C$140*((($D69+273.16)^4+($E69+273.16)^4)/2)*(0.34-0.14*SQRT($Y69))*(1.35*$AQ69/(0.75*$LD69)-0.35)</f>
        <v>-3.2464704755046001</v>
      </c>
      <c r="LQ69" s="170">
        <f ca="1">Control!$C$140*($G69+273)^4*(0.56-0.079*SQRT($Y69*10))*(0.1+0.9*$LO69)</f>
        <v>1.5241745131704001</v>
      </c>
      <c r="LR69" s="170">
        <f ca="1">$AQ69*(1-Control!$C$142)-$LQ69</f>
        <v>-1.5241745131704001</v>
      </c>
      <c r="LS69" s="170">
        <f ca="1">$AQ69*(1-Control!$C$143)-$LQ69</f>
        <v>-1.5241745131704001</v>
      </c>
      <c r="LT69" s="170">
        <f ca="1">$AQ69*(1-Control!$C$144)-$LQ69</f>
        <v>-1.5241745131704001</v>
      </c>
      <c r="LU69" s="169">
        <f ca="1">(1-Control!$C$144)*AQ69-LP69</f>
        <v>3.2464704755046001</v>
      </c>
      <c r="LV69" s="172">
        <f t="shared" ca="1" si="88"/>
        <v>0.79430000000000012</v>
      </c>
      <c r="LW69" s="170">
        <f t="shared" ca="1" si="89"/>
        <v>1.5886000000000002</v>
      </c>
      <c r="LX69" s="170">
        <f ca="1">($AC69*($LR69/Control!$C$141)+$LM69*$LV69)/($AC69+$LM69)</f>
        <v>0.23530094218323697</v>
      </c>
      <c r="LY69" s="170">
        <f ca="1">($AC69*($LS69/Control!$C$141)+$LM69*$LV69)/($AC69+$LM69)</f>
        <v>0.23530094218323697</v>
      </c>
      <c r="LZ69" s="170">
        <f t="shared" ca="1" si="90"/>
        <v>0.23530094218323697</v>
      </c>
      <c r="MA69" s="170">
        <f t="shared" ca="1" si="91"/>
        <v>0.23530094218323697</v>
      </c>
      <c r="MB69" s="170" t="e">
        <f t="shared" ca="1" si="92"/>
        <v>#N/A</v>
      </c>
      <c r="MC69" s="170">
        <f t="shared" ca="1" si="176"/>
        <v>0.6018</v>
      </c>
      <c r="MD69" s="170">
        <f t="shared" ca="1" si="93"/>
        <v>0.52989392535414004</v>
      </c>
      <c r="ME69" s="170">
        <f ca="1">($AC69*($LT69/Control!$C$141)+$LM69*$LW69)/($AC69+$LM69)</f>
        <v>0.71612369323045078</v>
      </c>
      <c r="MF69" s="170" t="e">
        <f ca="1">IF(Control!$B$16&gt;=1000,0.92,IF(AND(720&lt;=Control!$B$16,1000&gt;Control!$B$16),(0.95+(Control!$B$16-720)*((0.92-0.95)/(1000-720))),IF(AND(360&lt;=Control!$B$16,720&gt;Control!$B$16),(1+(Control!$B$16-360)*((0.95-1)/(720-360))),IF(AND(40&lt;=Control!$B$16,360&gt;Control!$B$16),(1.05+(Control!$B$16-40)*((1.05-1)/(360-40)))))))</f>
        <v>#N/A</v>
      </c>
      <c r="MG69" s="170">
        <f t="shared" ca="1" si="94"/>
        <v>0.71612369323045078</v>
      </c>
      <c r="MH69" s="170" t="e">
        <f t="shared" ca="1" si="233"/>
        <v>#N/A</v>
      </c>
      <c r="MI69" s="170" t="e">
        <f t="shared" ca="1" si="233"/>
        <v>#N/A</v>
      </c>
      <c r="MJ69" s="170" t="e">
        <f ca="1">MAX(0.0001, Control!$C$132*$MI69*$DL69)</f>
        <v>#N/A</v>
      </c>
      <c r="MK69" s="170">
        <f ca="1">1/(0.76+1.5*($MG69/10))-(5-Control!$C$110)*0.1</f>
        <v>1.002845988140797</v>
      </c>
      <c r="ML69" s="173">
        <f ca="1">IF(Control!$C$110&lt;3,$MK69+($MG69-0.6)/(Control!$C$110*(Control!$C$110+3)), MAX(0.1, MIN(0.95,$MK69)))</f>
        <v>0.95</v>
      </c>
      <c r="MM69" s="173">
        <f ca="1">IF(Control!$C$110&lt;3,$MK69+(($MI69/10)-0.6)/(Control!$C$110*(Control!$C$110+3)), MAX(0.1, MIN(0.95,$MK69)))</f>
        <v>0.95</v>
      </c>
      <c r="MN69" s="173">
        <f ca="1">(1-$MM69)*(Control!$C$128-Control!$C$127)+Control!$C$127</f>
        <v>0.16</v>
      </c>
      <c r="MO69" s="170" t="e">
        <f ca="1">MAX(0,MIN(1,($MS69-Control!$C$127)/($MN69-Control!$C$127)))</f>
        <v>#DIV/0!</v>
      </c>
      <c r="MP69" s="173" t="e">
        <f ca="1">1/(0.76+1.5*$MI69)-(5-Control!$C$110)*0.1</f>
        <v>#N/A</v>
      </c>
      <c r="MQ69" s="172" t="e">
        <f t="shared" ca="1" si="209"/>
        <v>#DIV/0!</v>
      </c>
      <c r="MR69" s="168" t="e">
        <f t="shared" ca="1" si="226"/>
        <v>#DIV/0!</v>
      </c>
      <c r="MS69" s="173" t="e">
        <f ca="1">MAX(Control!$C$127, MIN(Control!$C$135, $MR69/MAX(0.0001,$CY69)))</f>
        <v>#DIV/0!</v>
      </c>
      <c r="MT69" s="168" t="e">
        <f ca="1">(Control!$C$128-$MS69)*Control!$C$74</f>
        <v>#DIV/0!</v>
      </c>
      <c r="MU69" s="168" t="e">
        <f ca="1">(Control!$C$135-$MS69)*Control!$C$74</f>
        <v>#DIV/0!</v>
      </c>
      <c r="MV69" s="168" t="e">
        <f t="shared" ca="1" si="210"/>
        <v>#DIV/0!</v>
      </c>
      <c r="MW69" s="168" t="e">
        <f t="shared" ca="1" si="177"/>
        <v>#DIV/0!</v>
      </c>
      <c r="MX69" s="171" t="e">
        <f ca="1">MAX(Control!$C$127, MIN(Control!$C$135, $MW69/MAX(0.0001,Control!$C$119-$CY69)))</f>
        <v>#DIV/0!</v>
      </c>
      <c r="MY69" s="54" t="e">
        <f ca="1">IF(Control!$C$114=1, $CX69*$MX69, 0)</f>
        <v>#DIV/0!</v>
      </c>
      <c r="MZ69" s="54" t="e">
        <f t="shared" ca="1" si="178"/>
        <v>#N/A</v>
      </c>
      <c r="NA69" s="168" t="e">
        <f ca="1">(Control!$C$128-$MX69)*(Control!$C$119-Control!$C$74)</f>
        <v>#DIV/0!</v>
      </c>
      <c r="NB69" s="168" t="e">
        <f ca="1">(Control!$C$135-$MX69)*(Control!$C$119-Control!$C$74)</f>
        <v>#DIV/0!</v>
      </c>
      <c r="NC69" s="174" t="e">
        <f t="shared" ca="1" si="179"/>
        <v>#DIV/0!</v>
      </c>
      <c r="ND69" s="54">
        <f ca="1">IF(Control!$C$58=2, IF(OR(Control!$B$218=$AH69,Control!$B$219=$AH69, Control!$B$220=$AH69, Control!$B$221=$AH69, Control!$B$222=$AH69, Control!$B$223=$AH69, Control!$B$224=$AH69, Control!$B$225=$AH69, Control!$B$226=$AH69, Control!$B$227=$AH69, Control!$B$228=$AH69), 1, 0), 0)</f>
        <v>0</v>
      </c>
      <c r="NE69" s="54">
        <f ca="1">IF($ND69=0,0, VLOOKUP($AH69,Control!$B$218:$C$228,2))</f>
        <v>0</v>
      </c>
      <c r="NF69" s="168" t="e">
        <f ca="1">$CY69*(Control!$C$128-Control!$C$127)</f>
        <v>#N/A</v>
      </c>
      <c r="NG69" s="54" t="e">
        <f ca="1">IF(Control!$C$58=2, $NI68-$NJ68, 0)</f>
        <v>#DIV/0!</v>
      </c>
      <c r="NH69" s="54" t="e">
        <f ca="1">IF(AND(Control!$C$58=1, $MS68&lt;= ($MN68+0.02), $I68&lt;10), 0, IF(Control!$C$58=2, $NG68, 0))</f>
        <v>#DIV/0!</v>
      </c>
      <c r="NI69" s="54" t="e">
        <f ca="1">IF(Control!$C$58=2, $NE69+$NH69,0)</f>
        <v>#DIV/0!</v>
      </c>
      <c r="NJ69" s="54" t="e">
        <f ca="1">IF(AND(Control!$C$58=1, $MS69&lt;= ($MN69+0.02), $I69&lt;10), MAX(0, MIN(10, 0.7*($NF69-$MV69))), IF(Control!$C$58=2, MIN(10,$NI69),0))</f>
        <v>#DIV/0!</v>
      </c>
      <c r="NK69" s="54" t="e">
        <f t="shared" ca="1" si="96"/>
        <v>#DIV/0!</v>
      </c>
      <c r="NL69" s="173" t="e">
        <f ca="1">(1-Control!$C$73)*$I69+$NJ69</f>
        <v>#DIV/0!</v>
      </c>
      <c r="NM69" s="172" t="e">
        <f ca="1">IF($NL69&lt;0.5, $MB69* MAX(0, MIN(1, (SQRT($NC69)-SQRT($NC69-1))*Control!$C$71)),0)</f>
        <v>#DIV/0!</v>
      </c>
      <c r="NN69" s="170" t="e">
        <f ca="1">IF($NL69&gt;=5, $MB69, MAX(0,MIN($MB69, $NM69+$NL69,($MS69-Control!$C$129))))</f>
        <v>#DIV/0!</v>
      </c>
      <c r="NO69" s="54">
        <f>IF(Control!$C$133&lt;&gt;1, Control!$C$135-Control!$C$131, 0)</f>
        <v>0.38</v>
      </c>
      <c r="NP69" s="54" t="e">
        <f t="shared" ca="1" si="97"/>
        <v>#DIV/0!</v>
      </c>
      <c r="NQ69" s="173" t="e">
        <f ca="1">MAX(0,MIN(1,(Control!$C$135-$MS69)/(Control!$C$135-$NO69)))</f>
        <v>#DIV/0!</v>
      </c>
      <c r="NR69" s="170" t="e">
        <f ca="1">IF(Control!$C$133&lt;&gt;1, $NQ69+((1-$NP69/4)*(1-$NQ69)),1)</f>
        <v>#DIV/0!</v>
      </c>
      <c r="NS69" s="170" t="e">
        <f ca="1">IF(Control!$B$31=0,$MJ69,MAX(0,MIN($MV69,$MO69*$NR69*$MJ69)))</f>
        <v>#DIV/0!</v>
      </c>
      <c r="NT69" s="170" t="e">
        <f t="shared" ca="1" si="227"/>
        <v>#DIV/0!</v>
      </c>
      <c r="NU69" s="170" t="e">
        <f t="shared" ca="1" si="180"/>
        <v>#N/A</v>
      </c>
      <c r="NV69" s="170" t="e">
        <f t="shared" ca="1" si="98"/>
        <v>#N/A</v>
      </c>
      <c r="NW69" s="175" t="e">
        <f t="shared" ca="1" si="99"/>
        <v>#DIV/0!</v>
      </c>
      <c r="NX69" s="170" t="e">
        <f ca="1">MIN(Control!$C$72+$MU69, $NW69)</f>
        <v>#DIV/0!</v>
      </c>
      <c r="NY69" s="170" t="e">
        <f ca="1">IF($MT69&lt;=$NX69,MIN(Control!$C$72+$NB69,$NX69-$MT69),0)</f>
        <v>#DIV/0!</v>
      </c>
      <c r="NZ69" s="54" t="e">
        <f ca="1">IF(Control!$C$114=1,  $CX69*($MX69-Control!$C$127), 0)</f>
        <v>#DIV/0!</v>
      </c>
      <c r="OA69" s="170" t="e">
        <f t="shared" ca="1" si="181"/>
        <v>#DIV/0!</v>
      </c>
      <c r="OB69" s="170" t="e">
        <f ca="1">IF($NA69 &lt;=$NY69, MIN(Control!$C$72, $NY69-$NA69), 0)</f>
        <v>#DIV/0!</v>
      </c>
      <c r="OC69" s="168" t="e">
        <f t="shared" ca="1" si="100"/>
        <v>#DIV/0!</v>
      </c>
      <c r="OD69" s="168" t="e">
        <f t="shared" ca="1" si="182"/>
        <v>#DIV/0!</v>
      </c>
      <c r="OE69" s="170">
        <f ca="1">Control!$C$73*$I69</f>
        <v>0</v>
      </c>
      <c r="OF69" s="176" t="e">
        <f t="shared" ca="1" si="101"/>
        <v>#DIV/0!</v>
      </c>
      <c r="OG69" s="168" t="e">
        <f t="shared" ca="1" si="102"/>
        <v>#DIV/0!</v>
      </c>
      <c r="OH69" s="168" t="e">
        <f t="shared" ca="1" si="103"/>
        <v>#DIV/0!</v>
      </c>
      <c r="OI69" s="168" t="e">
        <f t="shared" ca="1" si="104"/>
        <v>#DIV/0!</v>
      </c>
      <c r="OJ69" s="168" t="e">
        <f t="shared" ca="1" si="105"/>
        <v>#DIV/0!</v>
      </c>
      <c r="OK69" s="204" t="e">
        <f t="shared" ca="1" si="183"/>
        <v>#DIV/0!</v>
      </c>
      <c r="OL69" s="177">
        <f>Control!$C$127</f>
        <v>0.15</v>
      </c>
      <c r="OM69" s="182" t="e">
        <f t="shared" ca="1" si="106"/>
        <v>#N/A</v>
      </c>
      <c r="ON69" s="177">
        <f>Control!$C$128</f>
        <v>0.35</v>
      </c>
      <c r="OO69" s="182" t="e">
        <f t="shared" ca="1" si="107"/>
        <v>#N/A</v>
      </c>
      <c r="OP69" s="138">
        <f t="shared" ca="1" si="184"/>
        <v>0</v>
      </c>
      <c r="OQ69" s="138" t="e">
        <f t="shared" ca="1" si="211"/>
        <v>#DIV/0!</v>
      </c>
      <c r="OR69" s="138" t="e">
        <f t="shared" ca="1" si="185"/>
        <v>#DIV/0!</v>
      </c>
      <c r="OS69" s="137" t="e">
        <f t="shared" ca="1" si="212"/>
        <v>#DIV/0!</v>
      </c>
      <c r="OT69" s="139" t="e">
        <f t="shared" ca="1" si="213"/>
        <v>#DIV/0!</v>
      </c>
      <c r="OU69" s="138" t="e">
        <f t="shared" ca="1" si="214"/>
        <v>#N/A</v>
      </c>
      <c r="OV69" s="138" t="e">
        <f t="shared" ca="1" si="215"/>
        <v>#DIV/0!</v>
      </c>
      <c r="OW69" s="138" t="e">
        <f t="shared" ca="1" si="186"/>
        <v>#DIV/0!</v>
      </c>
      <c r="OX69" s="138" t="e">
        <f t="shared" ca="1" si="187"/>
        <v>#DIV/0!</v>
      </c>
      <c r="OY69" s="138" t="e">
        <f t="shared" ca="1" si="188"/>
        <v>#DIV/0!</v>
      </c>
      <c r="OZ69" s="138" t="e">
        <f t="shared" ca="1" si="108"/>
        <v>#DIV/0!</v>
      </c>
      <c r="PA69" s="138" t="e">
        <f t="shared" ca="1" si="109"/>
        <v>#DIV/0!</v>
      </c>
      <c r="PB69" s="55">
        <f>IF(Control!$C$61="T", IF(Control!$C$65="F", IF($AH$6-Control!$C$60&lt;0,0,1), IF(365+$AH$6-Control!$C$60&lt;0,0,1)),0)</f>
        <v>0</v>
      </c>
      <c r="PC69" s="55">
        <f ca="1">IF(Control!$C$65="F", IF($AH$6-$HF69&lt;0,0,1), IF(365+$AH$6-$HF69&lt;0,0,1))</f>
        <v>1</v>
      </c>
      <c r="PD69" s="444">
        <f>Control!$C$118</f>
        <v>1500</v>
      </c>
      <c r="PE69" s="180" t="e">
        <f t="shared" ca="1" si="110"/>
        <v>#N/A</v>
      </c>
      <c r="PF69" s="445">
        <f t="shared" ca="1" si="189"/>
        <v>0.71612369323045078</v>
      </c>
      <c r="PT69" s="186"/>
      <c r="PU69" s="186"/>
      <c r="PV69" s="94"/>
      <c r="PW69" s="94"/>
      <c r="PX69" s="94"/>
      <c r="PY69" s="94"/>
      <c r="PZ69" s="94"/>
      <c r="QA69" s="94"/>
      <c r="QB69" s="94"/>
      <c r="QC69" s="94"/>
      <c r="QD69" s="94"/>
      <c r="QE69" s="94"/>
      <c r="QF69" s="94"/>
      <c r="QG69" s="94"/>
      <c r="QH69" s="94"/>
      <c r="QI69" s="94"/>
      <c r="QJ69" s="94"/>
      <c r="QK69" s="94"/>
      <c r="QL69" s="94"/>
      <c r="QM69" s="94"/>
      <c r="QN69" s="94"/>
      <c r="QO69" s="94"/>
      <c r="QP69" s="94"/>
    </row>
    <row r="70" spans="1:458" s="2" customFormat="1" x14ac:dyDescent="0.2">
      <c r="A70" s="395">
        <v>6</v>
      </c>
      <c r="B70" s="396">
        <v>3</v>
      </c>
      <c r="C70" s="387">
        <f ca="1">Weather_data!$B69</f>
        <v>0</v>
      </c>
      <c r="D70" s="388">
        <f ca="1">Weather_data!$F69</f>
        <v>0</v>
      </c>
      <c r="E70" s="388">
        <f ca="1">Weather_data!$E69</f>
        <v>0</v>
      </c>
      <c r="F70" s="388">
        <f t="shared" ca="1" si="111"/>
        <v>0</v>
      </c>
      <c r="G70" s="388">
        <f ca="1">AVERAGE($D70:$E70)+Control!$B$9</f>
        <v>0</v>
      </c>
      <c r="H70" s="388">
        <f ca="1">Weather_data!$G69</f>
        <v>0</v>
      </c>
      <c r="I70" s="388">
        <f ca="1">Weather_data!$I69</f>
        <v>0</v>
      </c>
      <c r="J70" s="388">
        <f ca="1">Weather_data!$H69</f>
        <v>0</v>
      </c>
      <c r="K70" s="389">
        <f ca="1">Weather_data!$D69</f>
        <v>0</v>
      </c>
      <c r="L70" s="388" t="e">
        <f t="shared" ca="1" si="112"/>
        <v>#N/A</v>
      </c>
      <c r="M70" s="388" t="e">
        <f t="shared" ref="M70:M133" ca="1" si="234">($EX70/10)/IF($L70&lt;&gt;0, $L70, 1)</f>
        <v>#N/A</v>
      </c>
      <c r="N70" s="388">
        <f t="shared" ref="N70:N133" ca="1" si="235">($G70-$O70)/10</f>
        <v>-5.8950922888692905E-4</v>
      </c>
      <c r="O70" s="388">
        <f t="shared" ca="1" si="113"/>
        <v>5.8950922888692907E-3</v>
      </c>
      <c r="P70" s="390">
        <v>3</v>
      </c>
      <c r="Q70" s="388">
        <f ca="1">MAX($G70-Control!$C$107,0)</f>
        <v>0</v>
      </c>
      <c r="R70" s="388">
        <f t="shared" ca="1" si="114"/>
        <v>0</v>
      </c>
      <c r="S70" s="388">
        <f t="shared" ref="S70:S133" ca="1" si="236">MAX(0, $R70)</f>
        <v>0</v>
      </c>
      <c r="T70" s="388">
        <f t="shared" ref="T70:T133" ca="1" si="237">$S70*$PC70</f>
        <v>0</v>
      </c>
      <c r="U70" s="59">
        <f t="shared" ref="U70:U133" ca="1" si="238">$S70*$PC70*$GF70</f>
        <v>0</v>
      </c>
      <c r="V70" s="391">
        <f ca="1">MAX(0,MIN(Control!$C$100-Control!$C$99,$G70-Control!$C$99)*Control!$C$63)</f>
        <v>0</v>
      </c>
      <c r="W70" s="388">
        <f t="shared" ca="1" si="190"/>
        <v>0</v>
      </c>
      <c r="X70" s="388">
        <f t="shared" ca="1" si="115"/>
        <v>0.6110000000000001</v>
      </c>
      <c r="Y70" s="388">
        <f t="shared" ref="Y70:Y133" ca="1" si="239">MIN($H70,$X70)</f>
        <v>0</v>
      </c>
      <c r="Z70" s="388">
        <f t="shared" ca="1" si="117"/>
        <v>0.61058800000000002</v>
      </c>
      <c r="AA70" s="388">
        <f t="shared" ref="AA70:AA133" ca="1" si="240">(0.6018*EXP((17.27*D70)/(D70+237.3))+0.6018*EXP((17.27*E70)/(E70+237.3)))/2</f>
        <v>0.6018</v>
      </c>
      <c r="AB70" s="388">
        <f ca="1">101.3*EXP(-0.034*Control!$C$66/($G70+273))</f>
        <v>100.69623283836242</v>
      </c>
      <c r="AC70" s="392">
        <f t="shared" ref="AC70:AC133" ca="1" si="241">(239*17*$X70/($G70+239)^2)</f>
        <v>4.3460251046025113E-2</v>
      </c>
      <c r="AD70" s="392">
        <f t="shared" ref="AD70:AD133" ca="1" si="242">4098*(0.6108*EXP((17.27*G70)/(G70+237.3)))/(G70+237.3)^2</f>
        <v>4.4450382862832649E-2</v>
      </c>
      <c r="AE70" s="388">
        <f t="shared" ref="AE70:AE133" ca="1" si="243">$Y70/$Z70</f>
        <v>0</v>
      </c>
      <c r="AF70" s="388">
        <f ca="1">MAX(0,$G70-Control!$C$92)</f>
        <v>0</v>
      </c>
      <c r="AG70" s="393">
        <f t="shared" ref="AG70:AG133" ca="1" si="244">DATE($C70,$B70,$A70)</f>
        <v>66</v>
      </c>
      <c r="AH70" s="389">
        <f t="shared" ref="AH70:AH133" ca="1" si="245">$AG70+1-DATE($C70,1,1)</f>
        <v>66</v>
      </c>
      <c r="AI70" s="388">
        <f t="shared" ca="1" si="119"/>
        <v>-0.10345586786061249</v>
      </c>
      <c r="AJ70" s="388">
        <f ca="1">IF(Control!$C$60&lt;=0,$HH70,$HI70)</f>
        <v>1</v>
      </c>
      <c r="AK70" s="388">
        <f t="shared" ref="AK70:AK133" ca="1" si="246">(2*PI()*(AH70-80)/365)</f>
        <v>-0.24099888849455947</v>
      </c>
      <c r="AL70" s="388">
        <f t="shared" ref="AL70:AL133" ca="1" si="247">0.03358*(SIN(2*PI()*AH70)-SIN(2*PI()*80))/365</f>
        <v>1.6229968757830447E-18</v>
      </c>
      <c r="AM70" s="388">
        <f t="shared" ref="AM70:AM133" ca="1" si="248">AK70+AL70</f>
        <v>-0.24099888849455947</v>
      </c>
      <c r="AN70" s="388">
        <f t="shared" ref="AN70:AN133" ca="1" si="249">ASIN(0.3978*SIN(AM70))</f>
        <v>-9.5087251470020673E-2</v>
      </c>
      <c r="AO70" s="388">
        <f ca="1">-0.10453/COS(Control!$B$8*PI()/180)*COS(AN70)</f>
        <v>-0.16901788021350245</v>
      </c>
      <c r="AP70" s="388">
        <f ca="1">ACOS(AO70-TAN(Control!$B$8*PI()/180)*TAN(AN70))</f>
        <v>1.6177571969731157</v>
      </c>
      <c r="AQ70" s="388">
        <f t="shared" ca="1" si="120"/>
        <v>0</v>
      </c>
      <c r="AR70" s="394">
        <f t="shared" ref="AR70:AR133" ca="1" si="250">$AQ70*0.5</f>
        <v>0</v>
      </c>
      <c r="AS70" s="436">
        <f ca="1">IF(Control!$B$18=2,(IF(OR($AH70=Control!$B$175,$AH70=Control!$B$176,$AH70=Control!$B$177,$AH70=Control!$B$178,$AH70=Control!$B$179,$AH70=Control!$B$180,$AH70=Control!$B$181,$AH70=Control!$B$182,$AH70=Control!$B$183,$AH70=Control!$B$184,$AH70=Control!$B$185),1,0)),0)</f>
        <v>0</v>
      </c>
      <c r="AT70" s="436">
        <f>IF(Control!$B$20=8,IF(AND($AH70&gt;=Control!$B$172,$AH70&lt;=Control!$B$173),1,0),0)</f>
        <v>0</v>
      </c>
      <c r="AU70" s="436">
        <f>IF(Control!$B$20=8,IF($AV69=1,1*$AT70,IF($AT70=1,$AU69+1,$AU69)),0)</f>
        <v>0</v>
      </c>
      <c r="AV70" s="436">
        <f>IF(Control!$B$20=8,IF($AU70&gt;=Control!$B$174,1,0),0)</f>
        <v>0</v>
      </c>
      <c r="AW70" s="436">
        <f ca="1">IF(AND(Control!$B$18=2,Control!$B$171=1), $AV70, $AS70)</f>
        <v>0</v>
      </c>
      <c r="AX70" s="436" t="e">
        <f ca="1">IF(AND(Control!$B$18=1,$EU70&gt;=Control!$B$19),-$AY70,IF(AND(Control!$B$18=2,$AW70=1,$EU70&gt;$DS70),-$AY70, IF(Control!$C$108=0,0, IF(Control!$C$108&lt;&gt;0,1))))</f>
        <v>#N/A</v>
      </c>
      <c r="AY70" s="436" t="e">
        <f t="shared" ca="1" si="121"/>
        <v>#N/A</v>
      </c>
      <c r="AZ70" s="436" t="e">
        <f ca="1">IF(AND(Control!$B$18=1,$EB70&gt;Control!$B$19),$AZ69+1, IF(AND(Control!$B$18=2, $AW70=1, $EB70&gt;$DS70), $AZ69+1,$AZ69))</f>
        <v>#N/A</v>
      </c>
      <c r="BA70" s="587">
        <f>IF(Control!$C$81=0,1,IF($AH70&gt;=Control!$C$82,1,0))</f>
        <v>1</v>
      </c>
      <c r="BB70" s="140" t="e">
        <f ca="1">IF($BA70&gt;$BA69,Control!$C$83,IF($AW70&gt;0,$AW70*Control!$C$84,IF(AND(Control!$B$18=1,EN69&lt;&gt;0),Control!$C$84,0)))</f>
        <v>#N/A</v>
      </c>
      <c r="BC70" s="140" t="e">
        <f t="shared" ca="1" si="122"/>
        <v>#N/A</v>
      </c>
      <c r="BD70" s="140" t="e">
        <f ca="1">BC70*IF(OR($G70&lt;Control!$C$92,$G70&gt;Control!$C$95),0,IF(AND($G70&gt;=Control!$C$92,$G70&lt;=Control!$C$93),$G70-Control!$C$92,IF(AND($G70&gt;Control!$C$93,$G70&lt;=Control!$C$94),Control!$C$93-Control!$C$92,IF(AND($G70&gt;Control!$C$94,$G70&lt;=Control!$C$95),(Control!$C$93-Control!$C$92)*(Control!$C$94-$G70)/(Control!$C$95-Control!$C$94)))))</f>
        <v>#N/A</v>
      </c>
      <c r="BE70" s="140" t="e">
        <f t="shared" ca="1" si="123"/>
        <v>#N/A</v>
      </c>
      <c r="BF70" s="140" t="e">
        <f ca="1">IF($BE70&lt;=Control!$C$86,$BE70,Control!$C$86-$BE70)</f>
        <v>#N/A</v>
      </c>
      <c r="BG70" s="140" t="e">
        <f ca="1">IF(AND($AW70=1,Control!$C$84&lt;9),1,IF($BE70&gt;=Control!$C$86,0,$BC70))</f>
        <v>#N/A</v>
      </c>
      <c r="BH70" s="404" t="e">
        <f ca="1">IF($BG70=0,0,IF($BE70&lt;=Control!$C$86,$BC70*9*($BF70/Control!$C$86),0))</f>
        <v>#N/A</v>
      </c>
      <c r="BI70" s="140" t="e">
        <f ca="1">IF($BG70=1,0,IF($BE70&gt;=Control!$C$86,1,IF(AND($BB70&lt;21,$BB70&gt;=9),1,$BM69)))</f>
        <v>#N/A</v>
      </c>
      <c r="BJ70" s="140" t="e">
        <f ca="1">IF($BF70&lt;0,-$BF70,$BI70*IF(OR($G70&lt;Control!$C$92,$G70&gt;Control!$C$95),0,IF(AND($G70&gt;=Control!$C$92,$G70&lt;=Control!$C$93),$G70-Control!$C$92,IF(AND($G70&gt;Control!$C$93,$G70&lt;=Control!$C$94),Control!$C$93-Control!$C$92,IF(AND($G70&gt;Control!$C$94,$G70&lt;=Control!$C$95),(Control!$C$93-Control!$C$92)*(Control!$C$94-$G70)/(Control!$C$95-Control!$C$94))))))</f>
        <v>#N/A</v>
      </c>
      <c r="BK70" s="140" t="e">
        <f t="shared" ca="1" si="124"/>
        <v>#N/A</v>
      </c>
      <c r="BL70" s="140" t="e">
        <f ca="1">IF($BK70&lt;=Control!$C$87,$BK70,Control!$C$87-$BK70)</f>
        <v>#N/A</v>
      </c>
      <c r="BM70" s="140" t="e">
        <f ca="1">IF(AND($BB70&gt;=9,$BB70&lt;21),1,IF($BK70&gt;=Control!$C$87,0,$BI70))</f>
        <v>#N/A</v>
      </c>
      <c r="BN70" s="404" t="e">
        <f ca="1">IF($BM70=0,0,IF($BK70&lt;=Control!$C$87,$BI70*(9+(21-9)*($BL70/Control!$C$87)),0))</f>
        <v>#N/A</v>
      </c>
      <c r="BO70" s="140" t="e">
        <f ca="1">IF($BM70=1,0,IF($BK70&gt;=Control!$C$87,1,IF(AND($BB70&lt;30,$BB70&gt;=21),1,$BS69)))</f>
        <v>#N/A</v>
      </c>
      <c r="BP70" s="140" t="e">
        <f ca="1">IF($BL70&lt;0,-$BL70,$BO70*IF(OR($G70&lt;Control!$C$92,$G70&gt;Control!$C$95),0,IF(AND($G70&gt;=Control!$C$92,$G70&lt;=Control!$C$93),$G70-Control!$C$92,IF(AND($G70&gt;Control!$C$93,$G70&lt;=Control!$C$94),Control!$C$93-Control!$C$92,IF(AND($G70&gt;Control!$C$94,$G70&lt;=Control!$C$95),(Control!$C$93-Control!$C$92)*(Control!$C$94-$G70)/(Control!$C$95-Control!$C$94))))))</f>
        <v>#N/A</v>
      </c>
      <c r="BQ70" s="140" t="e">
        <f t="shared" ref="BQ70:BQ133" ca="1" si="251">IF(AND($BO70*$BB70&gt;=21,$BO70*$BB70&lt;30),$BP70,IF($BO70=1,$BQ69+$BP70,0))</f>
        <v>#N/A</v>
      </c>
      <c r="BR70" s="140" t="e">
        <f ca="1">IF($BQ70&lt;=Control!$C$88,$BQ70,Control!$C$88-$BQ70)</f>
        <v>#N/A</v>
      </c>
      <c r="BS70" s="140" t="e">
        <f ca="1">IF(AND($BB70&gt;=21,$BB70&lt;30),1,IF($BQ70&gt;=Control!$C$88,0,$BO70))</f>
        <v>#N/A</v>
      </c>
      <c r="BT70" s="404" t="e">
        <f ca="1">IF($BS70=0,0,IF($BQ70&lt;=Control!$C$88,$BO70*(21+(30-21)*(BR70/Control!$C$88)),0))</f>
        <v>#N/A</v>
      </c>
      <c r="BU70" s="140" t="e">
        <f ca="1">IF(BG70+BM70+BS70=1,0,IF(OR(AND($BB70&lt;60,$BB70&gt;=30),$BQ70&gt;=Control!$C$88),1*$BA70,$BY69))</f>
        <v>#N/A</v>
      </c>
      <c r="BV70" s="140" t="e">
        <f ca="1">IF($BR70&lt;0,-$BR70,$BU70*IF(OR($G70&lt;Control!$C$92,$G70&gt;Control!$C$95),0,IF(AND($G70&gt;=Control!$C$92,$G70&lt;=Control!$C$93),$G70-Control!$C$92,IF(AND($G70&gt;Control!$C$93,$G70&lt;=Control!$C$94),Control!$C$93-Control!$C$92,IF(AND($G70&gt;Control!$C$94,$G70&lt;=Control!$C$95),(Control!$C$93-Control!$C$92)*(Control!$C$94-$G70)/(Control!$C$95-Control!$C$94))))))</f>
        <v>#N/A</v>
      </c>
      <c r="BW70" s="140" t="e">
        <f t="shared" ref="BW70:BW133" ca="1" si="252">IF(AND($BO70*$BB70&gt;=30,$BO70*$BB70&lt;60),$BV70,IF($BU70=1,$BW69+$BV70,0))</f>
        <v>#N/A</v>
      </c>
      <c r="BX70" s="140" t="e">
        <f ca="1">IF($BW70&lt;=Control!$C$89,$BW70,Control!$C$89-$BW70)</f>
        <v>#N/A</v>
      </c>
      <c r="BY70" s="140" t="e">
        <f ca="1">IF(AND($AJ70&gt;=30,$AJ70&lt;60),1,IF($BW70&gt;=Control!$C$89,0,$BU70))</f>
        <v>#N/A</v>
      </c>
      <c r="BZ70" s="404" t="e">
        <f ca="1">IF($BY70=0,0,IF($BW70&lt;=Control!$C$89,$BU70*(30+(60-30)*(BX70/Control!$C$89)),0))</f>
        <v>#N/A</v>
      </c>
      <c r="CA70" s="140" t="e">
        <f ca="1">IF($BG70+$BM70+$BS70+$BY70=1,0,IF(OR(AND($BB70&lt;65,$BB70&gt;=60),$BW70&gt;=Control!$C$89),1*$BA70,$CE69))</f>
        <v>#N/A</v>
      </c>
      <c r="CB70" s="140" t="e">
        <f ca="1">IF($BX70&lt;0,-$BX70,$CA70*IF(OR($G70&lt;Control!$C$92,$G70&gt;Control!$C$95),0,IF(AND($G70&gt;=Control!$C$92,$G70&lt;=Control!$C$93),$G70-Control!$C$92,IF(AND($G70&gt;Control!$C$93,$G70&lt;=Control!$C$94),Control!$C$93-Control!$C$92,IF(AND($G70&gt;Control!$C$94,$G70&lt;=Control!$C$95),(Control!$C$93-Control!$C$92)*(Control!$C$94-$G70)/(Control!$C$95-Control!$C$94))))))</f>
        <v>#N/A</v>
      </c>
      <c r="CC70" s="140" t="e">
        <f t="shared" ca="1" si="125"/>
        <v>#N/A</v>
      </c>
      <c r="CD70" s="140" t="e">
        <f ca="1">IF($CC70&lt;=Control!$C$90,$CC70,Control!$C$90-$CC70)</f>
        <v>#N/A</v>
      </c>
      <c r="CE70" s="140" t="e">
        <f ca="1">IF(AND($BB70&gt;=60,$BB70&lt;65),1,IF($CC70&gt;=Control!$C$90,0,$CA70))</f>
        <v>#N/A</v>
      </c>
      <c r="CF70" s="404" t="e">
        <f ca="1">IF($CE70=0,0,IF($CC70&lt;=Control!$C$90,$CA70*(60+(65-60)*(CD70/Control!$C$90)),0))</f>
        <v>#N/A</v>
      </c>
      <c r="CG70" s="140" t="e">
        <f ca="1">IF($BG70+$BM70+$BS70+$BY70+$CE70=1,0,IF(OR(AND($BB70&lt;90,$BB70&gt;=65),$CC70&gt;=Control!$C$90),$BA70,$CK69))</f>
        <v>#N/A</v>
      </c>
      <c r="CH70" s="140" t="e">
        <f ca="1">IF($CD70&lt;0,-$CD70,$CG70*IF(OR($G70&lt;Control!$C$92,$G70&gt;Control!$C$95),0,IF(AND($G70&gt;=Control!$C$92,$G70&lt;=Control!$C$93),$G70-Control!$C$92,IF(AND($G70&gt;Control!$C$93,$G70&lt;=Control!$C$94),Control!$C$93-Control!$C$92,IF(AND($G70&gt;Control!$C$94,$G70&lt;=Control!$C$95),(Control!$C$93-Control!$C$92)*(Control!$C$94-$G70)/(Control!$C$95-Control!$C$94))))))</f>
        <v>#N/A</v>
      </c>
      <c r="CI70" s="140" t="e">
        <f t="shared" ca="1" si="126"/>
        <v>#N/A</v>
      </c>
      <c r="CJ70" s="140" t="e">
        <f ca="1">IF($CI70&lt;=Control!$C$91,$CI70,Control!$C$91-$CI70)</f>
        <v>#N/A</v>
      </c>
      <c r="CK70" s="140" t="e">
        <f ca="1">IF(AND($BB70&gt;=65,$BB70&lt;90),1,IF($CI70&gt;=Control!$C$91,0,$CG70))</f>
        <v>#N/A</v>
      </c>
      <c r="CL70" s="404" t="e">
        <f ca="1">IF($CK70=0,0,IF($CI70&lt;=Control!$C$91,$CG70*(65+(90-65)*($CJ70/Control!$C$91)),0))</f>
        <v>#N/A</v>
      </c>
      <c r="CM70" s="140" t="e">
        <f ca="1">IF($BG70+$BM70+$BS70+$BY70+$CE70+$CK70=1,0,IF(OR($BB70&gt;=90,$CI70&gt;=Control!$C$91),$BA70,$CM69))</f>
        <v>#N/A</v>
      </c>
      <c r="CN70" s="140" t="e">
        <f t="shared" ca="1" si="127"/>
        <v>#N/A</v>
      </c>
      <c r="CO70" s="140" t="e">
        <f t="shared" ca="1" si="128"/>
        <v>#N/A</v>
      </c>
      <c r="CP70" s="140" t="e">
        <f t="shared" ca="1" si="129"/>
        <v>#N/A</v>
      </c>
      <c r="CQ70" s="141" t="e">
        <f ca="1">VLOOKUP($CP70,Control!$B$86:$G$91,6)</f>
        <v>#N/A</v>
      </c>
      <c r="CR70" s="141" t="e">
        <f ca="1">(1-$CQ70)*VLOOKUP($CP70,Control!$B$86:$D$91,3)</f>
        <v>#N/A</v>
      </c>
      <c r="CS70" s="141" t="e">
        <f ca="1">(1-$CQ70)*VLOOKUP($CP70,Control!$B$86:$E$91,4)</f>
        <v>#N/A</v>
      </c>
      <c r="CT70" s="141" t="e">
        <f ca="1">(1-$CQ70)*VLOOKUP($CP70,Control!$B$86:$F$91,5)</f>
        <v>#N/A</v>
      </c>
      <c r="CU70" s="141">
        <f t="shared" ca="1" si="130"/>
        <v>0</v>
      </c>
      <c r="CV70" s="583">
        <f t="shared" ca="1" si="131"/>
        <v>0</v>
      </c>
      <c r="CW70" s="142">
        <f t="shared" ca="1" si="132"/>
        <v>66</v>
      </c>
      <c r="CX70" s="612" t="e">
        <f ca="1">IF(Control!$C$114=1,(MIN(Control!$C$120*(IF($NT70-0.01&lt;0,0,1)),Control!$C$119-$CY70)))</f>
        <v>#DIV/0!</v>
      </c>
      <c r="CY70" s="143" t="e">
        <f t="shared" ca="1" si="133"/>
        <v>#N/A</v>
      </c>
      <c r="CZ70" s="144">
        <f t="shared" ref="CZ70:CZ133" ca="1" si="253">IF($O70&lt;=3,0,IF(AND($O70&gt;3,$O70&lt;=8),($O70-3)*((1-0)/(8-3)),IF(AND($O70&gt;8,$O70&lt;=30),1,IF(AND($O70&gt;30,$O70&lt;=35),(1+($O70-30)*((0-1)/(35-30))),IF(AND($O70&gt;35,$O70&lt;=40),0)))))</f>
        <v>0</v>
      </c>
      <c r="DA70" s="144">
        <f t="shared" ref="DA70:DA133" ca="1" si="254">IF($CZ70&lt;=0, 0, $O70*0.01)</f>
        <v>0</v>
      </c>
      <c r="DB70" s="144" t="e">
        <f t="shared" ref="DB70:DB133" ca="1" si="255">$KH70*0.693</f>
        <v>#N/A</v>
      </c>
      <c r="DC70" s="144" t="e">
        <f t="shared" ref="DC70:DC133" ca="1" si="256">IF($AY70&lt;8,MAX(0,0.335-0.067*$DK70)*$CZ70,MAX(0,MIN($DB70,0.867-0.183*$DK70))*$CZ70)</f>
        <v>#N/A</v>
      </c>
      <c r="DD70" s="144" t="e">
        <f t="shared" ca="1" si="216"/>
        <v>#N/A</v>
      </c>
      <c r="DE70" s="143" t="e">
        <f t="shared" ca="1" si="135"/>
        <v>#N/A</v>
      </c>
      <c r="DF70" s="145" t="e">
        <f ca="1">$DR70*EXP(-Control!$C$158*(1-$KH70))</f>
        <v>#N/A</v>
      </c>
      <c r="DG70" s="146" t="e">
        <f ca="1">IF(Control!$C$114=1, $DF70*$EY70, 0)</f>
        <v>#N/A</v>
      </c>
      <c r="DH70" s="147" t="e">
        <f t="shared" ca="1" si="136"/>
        <v>#N/A</v>
      </c>
      <c r="DI70" s="144" t="e">
        <f t="shared" ca="1" si="191"/>
        <v>#N/A</v>
      </c>
      <c r="DJ70" s="147" t="e">
        <f ca="1">$EF70*Control!$C$109</f>
        <v>#N/A</v>
      </c>
      <c r="DK70" s="144" t="e">
        <f t="shared" ca="1" si="137"/>
        <v>#N/A</v>
      </c>
      <c r="DL70" s="144" t="e">
        <f t="shared" ref="DL70:DL133" ca="1" si="257">$DM70/$AR70</f>
        <v>#N/A</v>
      </c>
      <c r="DM70" s="144" t="e">
        <f ca="1">IF(Control!$C$114=1, (1-EXP(-Control!$C$96*$DK70))*$AR70, 0)</f>
        <v>#N/A</v>
      </c>
      <c r="DN70" s="144">
        <f t="shared" ca="1" si="138"/>
        <v>0</v>
      </c>
      <c r="DO70" s="148">
        <f>Control!$C$97</f>
        <v>4</v>
      </c>
      <c r="DP70" s="145" t="e">
        <f t="shared" ca="1" si="139"/>
        <v>#N/A</v>
      </c>
      <c r="DQ70" s="145" t="e">
        <f ca="1">IF(AND($CP70&gt;=0,$CP70&lt;=90),Control!$C$111,Control!$C$111)</f>
        <v>#N/A</v>
      </c>
      <c r="DR70" s="145" t="e">
        <f t="shared" ref="DR70:DR133" ca="1" si="258">$DQ70</f>
        <v>#N/A</v>
      </c>
      <c r="DS70" s="143" t="e">
        <f ca="1">Control!$B$22/$DR70</f>
        <v>#N/A</v>
      </c>
      <c r="DT70" s="149" t="e">
        <f ca="1">IF(AND(Control!$C$114=1,$KH70&lt;1),$IM70*$DF70, 0)</f>
        <v>#N/A</v>
      </c>
      <c r="DU70" s="144" t="e">
        <f t="shared" ca="1" si="192"/>
        <v>#N/A</v>
      </c>
      <c r="DV70" s="144">
        <f ca="1">IF($G70-Control!$C$107&lt;=0, 0, 0.83*LN(MAX($G70, 3))-0.8924)</f>
        <v>0</v>
      </c>
      <c r="DW70" s="144" t="e">
        <f t="shared" ref="DW70:DW133" ca="1" si="259">IF(($EN70-0.1)&lt;0,$DV70,(-$DU70))</f>
        <v>#N/A</v>
      </c>
      <c r="DX70" s="150" t="e">
        <f ca="1">MAX(0.01*(1+$CU70/Control!$C$102),0.05*($DK70-Control!$C$97)/Control!$C$97)</f>
        <v>#N/A</v>
      </c>
      <c r="DY70" s="151" t="e">
        <f ca="1">IF(Control!$C$114=1, $DI70*$FS70, 0)</f>
        <v>#N/A</v>
      </c>
      <c r="DZ70" s="196" t="e">
        <f t="shared" ca="1" si="140"/>
        <v>#N/A</v>
      </c>
      <c r="EA70" s="152">
        <f t="shared" ca="1" si="141"/>
        <v>66</v>
      </c>
      <c r="EB70" s="153" t="e">
        <f t="shared" ca="1" si="217"/>
        <v>#N/A</v>
      </c>
      <c r="EC70" s="153" t="e">
        <f t="shared" ca="1" si="142"/>
        <v>#N/A</v>
      </c>
      <c r="ED70" s="154" t="e">
        <f ca="1">IF(Control!$C$114=1, $HM70*$FY70-$FD70, 0)</f>
        <v>#DIV/0!</v>
      </c>
      <c r="EE70" s="155" t="e">
        <f ca="1">IF(Control!$C$114=1, $HM70*$FZ70-$FF70, 0)</f>
        <v>#DIV/0!</v>
      </c>
      <c r="EF70" s="153" t="e">
        <f t="shared" ca="1" si="193"/>
        <v>#N/A</v>
      </c>
      <c r="EG70" s="155" t="e">
        <f ca="1">IF(Control!$C$114=1, $GX70*$FW70-$FI70, 0)</f>
        <v>#DIV/0!</v>
      </c>
      <c r="EH70" s="153" t="e">
        <f t="shared" ca="1" si="143"/>
        <v>#N/A</v>
      </c>
      <c r="EI70" s="156" t="e">
        <f t="shared" ca="1" si="144"/>
        <v>#N/A</v>
      </c>
      <c r="EJ70" s="155" t="e">
        <f ca="1">IF(Control!$C$114=1, $HM70*$GB70, 0)</f>
        <v>#DIV/0!</v>
      </c>
      <c r="EK70" s="153" t="e">
        <f t="shared" ca="1" si="194"/>
        <v>#N/A</v>
      </c>
      <c r="EL70" s="153" t="e">
        <f t="shared" ref="EL70:EL133" ca="1" si="260">$EB70+$EF70+$EK70</f>
        <v>#N/A</v>
      </c>
      <c r="EM70" s="153" t="e">
        <f t="shared" ref="EM70:EM133" ca="1" si="261">MAX(0,$EB70-$DS70)</f>
        <v>#N/A</v>
      </c>
      <c r="EN70" s="153" t="e">
        <f ca="1">IF(Control!$C$108=1,IF(AND(Control!$B$18=1,$EB70&gt;=Control!$B$19),$EB70-$DS70,IF(AND(Control!$B$18=2,$AW70=1,$EB70&gt;$DS70),$EB70-$DS70,0)))</f>
        <v>#N/A</v>
      </c>
      <c r="EO70" s="153" t="e">
        <f ca="1">IF(Control!$C$108=1,IF(AND(Control!$B$18=1,$EB70&gt;=Control!$B$19),$EF70,IF(AND(Control!$B$18=2,$AW70=1),$EF70,0)))</f>
        <v>#N/A</v>
      </c>
      <c r="EP70" s="153" t="e">
        <f ca="1">IF(Control!$C$108=1,IF(AND(Control!$B$18=1,$EB70&gt;=Control!$B$19),$EK70,IF(AND(Control!$B$18=2,$AW70=1),$EK70,0)))</f>
        <v>#N/A</v>
      </c>
      <c r="EQ70" s="153" t="e">
        <f t="shared" ca="1" si="145"/>
        <v>#N/A</v>
      </c>
      <c r="ER70" s="153" t="e">
        <f t="shared" ca="1" si="231"/>
        <v>#N/A</v>
      </c>
      <c r="ES70" s="153" t="e">
        <f t="shared" ca="1" si="196"/>
        <v>#N/A</v>
      </c>
      <c r="ET70" s="153" t="e">
        <f t="shared" ca="1" si="197"/>
        <v>#N/A</v>
      </c>
      <c r="EU70" s="153" t="e">
        <f t="shared" ca="1" si="198"/>
        <v>#N/A</v>
      </c>
      <c r="EV70" s="153" t="e">
        <f t="shared" ref="EV70:EV133" ca="1" si="262">ER70+EB70</f>
        <v>#N/A</v>
      </c>
      <c r="EW70" s="153" t="e">
        <f t="shared" ref="EW70:EW133" ca="1" si="263">$ER70+MAX(0,$EM70)</f>
        <v>#N/A</v>
      </c>
      <c r="EX70" s="153" t="e">
        <f t="shared" ref="EX70:EX133" ca="1" si="264">$ER70+$EC70</f>
        <v>#N/A</v>
      </c>
      <c r="EY70" s="157" t="e">
        <f t="shared" ref="EY70:EY133" ca="1" si="265">$GX70*$FY70*(1-$FW70)</f>
        <v>#DIV/0!</v>
      </c>
      <c r="EZ70" s="154" t="e">
        <f t="shared" ref="EZ70:EZ133" ca="1" si="266">$EY70-$FD70</f>
        <v>#DIV/0!</v>
      </c>
      <c r="FA70" s="153" t="e">
        <f t="shared" ca="1" si="199"/>
        <v>#N/A</v>
      </c>
      <c r="FB70" s="153" t="e">
        <f t="shared" ref="FB70:FB133" ca="1" si="267">$ER70+$EC70</f>
        <v>#N/A</v>
      </c>
      <c r="FC70" s="193" t="e">
        <f t="shared" ref="FC70:FC133" ca="1" si="268">$EB70+$FM70</f>
        <v>#N/A</v>
      </c>
      <c r="FD70" s="158" t="e">
        <f t="shared" ca="1" si="200"/>
        <v>#N/A</v>
      </c>
      <c r="FE70" s="158" t="e">
        <f t="shared" ca="1" si="148"/>
        <v>#N/A</v>
      </c>
      <c r="FF70" s="159" t="e">
        <f t="shared" ref="FF70:FF133" ca="1" si="269">$EF70*$FE70</f>
        <v>#N/A</v>
      </c>
      <c r="FG70" s="160" t="e">
        <f t="shared" ca="1" si="149"/>
        <v>#N/A</v>
      </c>
      <c r="FH70" s="158" t="e">
        <f t="shared" ca="1" si="150"/>
        <v>#N/A</v>
      </c>
      <c r="FI70" s="159" t="e">
        <f t="shared" ref="FI70:FI133" ca="1" si="270">$FH70*$EH70</f>
        <v>#N/A</v>
      </c>
      <c r="FJ70" s="160" t="e">
        <f t="shared" ca="1" si="151"/>
        <v>#N/A</v>
      </c>
      <c r="FK70" s="160" t="e">
        <f t="shared" ref="FK70:FK133" ca="1" si="271">$EI70-$FG70</f>
        <v>#N/A</v>
      </c>
      <c r="FL70" s="160" t="e">
        <f t="shared" ca="1" si="229"/>
        <v>#N/A</v>
      </c>
      <c r="FM70" s="160" t="e">
        <f t="shared" ref="FM70:FM133" ca="1" si="272">$FL70-$ER70</f>
        <v>#N/A</v>
      </c>
      <c r="FN70" s="158">
        <f t="shared" ca="1" si="219"/>
        <v>0.01</v>
      </c>
      <c r="FO70" s="160">
        <f>Control!$C$101</f>
        <v>50</v>
      </c>
      <c r="FP70" s="150" t="e">
        <f t="shared" ref="FP70:FP133" ca="1" si="273">IF($CP70&lt;$FO70, 0, $FN70)</f>
        <v>#N/A</v>
      </c>
      <c r="FQ70" s="150" t="e">
        <f ca="1">MAX(0,(Control!$C$112*(($DK70-Control!$C$97)/Control!$C$97)))</f>
        <v>#N/A</v>
      </c>
      <c r="FR70" s="150" t="e">
        <f ca="1">(1-$NT70)*Control!$C$113</f>
        <v>#DIV/0!</v>
      </c>
      <c r="FS70" s="198" t="e">
        <f t="shared" ref="FS70:FS133" ca="1" si="274">MAX($FP70,$FQ70,$FR70)</f>
        <v>#N/A</v>
      </c>
      <c r="FT70" s="161">
        <f t="shared" ca="1" si="152"/>
        <v>66</v>
      </c>
      <c r="FU70" s="162" t="e">
        <f ca="1">IF(Control!$B$34=1,VLOOKUP($CP70,Control!$B$86:$G$91,6),Control!$B$35)</f>
        <v>#N/A</v>
      </c>
      <c r="FV70" s="162" t="e">
        <f t="shared" ref="FV70:FV133" ca="1" si="275">IF(AND($NT70&lt;=0,$NT70&gt;=-1),1.6,IF(AND($NT70&lt;1,$NT70&gt;=1.2),1,(1.6+($NT70)*((1-1.6)/(1-0)))))</f>
        <v>#DIV/0!</v>
      </c>
      <c r="FW70" s="162" t="e">
        <f ca="1">IF(Control!$B$31=1,$FU70*$FV70,  $FU70)</f>
        <v>#N/A</v>
      </c>
      <c r="FX70" s="162" t="e">
        <f ca="1">IF(Control!$B$34=1,VLOOKUP($CP70,Control!$B$86:$G$91,3),Control!$B$36)</f>
        <v>#N/A</v>
      </c>
      <c r="FY70" s="162" t="e">
        <f t="shared" ref="FY70:FY133" ca="1" si="276">$FX70</f>
        <v>#N/A</v>
      </c>
      <c r="FZ70" s="162" t="e">
        <f ca="1">IF(Control!$B$34=1,VLOOKUP($CP70,Control!$B$86:$G$91,4),Control!$B$37)</f>
        <v>#N/A</v>
      </c>
      <c r="GA70" s="162" t="e">
        <f t="shared" ref="GA70:GA133" ca="1" si="277">$FZ70</f>
        <v>#N/A</v>
      </c>
      <c r="GB70" s="162" t="e">
        <f ca="1">IF(Control!$B$34=1,VLOOKUP($CP70,Control!$B$86:$G$91,5),Control!$B$38)</f>
        <v>#N/A</v>
      </c>
      <c r="GC70" s="162" t="e">
        <f t="shared" ca="1" si="153"/>
        <v>#N/A</v>
      </c>
      <c r="GD70" s="162">
        <f t="shared" ref="GD70:GD133" ca="1" si="278">IF(AND(0&lt;=$LI70, $LI70&lt;=18), 1, 0.5)</f>
        <v>1</v>
      </c>
      <c r="GE70" s="162">
        <f t="shared" ref="GE70:GE133" ca="1" si="279">$GD70</f>
        <v>1</v>
      </c>
      <c r="GF70" s="162">
        <f ca="1">IF(AND(Control!$C$104=1, Control!$C$62="F"),$GE70,1)</f>
        <v>1</v>
      </c>
      <c r="GG70" s="162" t="e">
        <f ca="1">IF(Control!$B$16=40,0,IF(AND(Control!$B$16&gt;40,Control!$B$16&lt;=360),(Control!$B$16-40)*((1-0)/(360-40)),IF(AND(Control!$B$16&gt;360,Control!$B$16&lt;=720),(1+(Control!$B$16-360)*((1.25-1)/(720-360))),IF(AND(Control!$B$16&gt;720,Control!$B$16&lt;=1000),(1.25+(Control!$B$16-720)*((1.35-1.25)/(1000-720))),IF(AND(Control!$B$16&gt;1000,Control!$B$16&lt;=2000),(1.35+(Control!$B$16-1000)*0))))))</f>
        <v>#N/A</v>
      </c>
      <c r="GH70" s="162" t="e">
        <f t="shared" ref="GH70:GH133" ca="1" si="280">$GG70</f>
        <v>#N/A</v>
      </c>
      <c r="GI70" s="162">
        <f t="shared" ca="1" si="201"/>
        <v>0</v>
      </c>
      <c r="GJ70" s="162">
        <f t="shared" ref="GJ70:GJ133" ca="1" si="281">$CZ70*$GI70</f>
        <v>0</v>
      </c>
      <c r="GK70" s="162">
        <f t="shared" ca="1" si="220"/>
        <v>1</v>
      </c>
      <c r="GL70" s="162">
        <f t="shared" ref="GL70:GL133" ca="1" si="282">$GK70</f>
        <v>1</v>
      </c>
      <c r="GM70" s="162" t="e">
        <f ca="1">MAX(0,MIN(1,1-Control!$C$156*(1.0001-$KH70)^2))</f>
        <v>#N/A</v>
      </c>
      <c r="GN70" s="162" t="e">
        <f ca="1">IF(Control!$B$26=1,$KU70,$KX70)</f>
        <v>#N/A</v>
      </c>
      <c r="GO70" s="162" t="e">
        <f ca="1">IF($CP70&lt;=60,Control!$C$105,IF($CP70&gt;=90,Control!$C$106,Control!$C$105+($CP70-60)*((Control!$C$106-Control!$C$105)/(90-60))))</f>
        <v>#N/A</v>
      </c>
      <c r="GP70" s="162" t="e">
        <f t="shared" ref="GP70:GP133" ca="1" si="283">$GJ70*$GH70*$GL70</f>
        <v>#N/A</v>
      </c>
      <c r="GQ70" s="162" t="e">
        <f t="shared" ca="1" si="155"/>
        <v>#N/A</v>
      </c>
      <c r="GR70" s="163" t="e">
        <f t="shared" ref="GR70:GR133" ca="1" si="284">IF(AND($NT70&lt;=$GM70,$EN70=0),10*$GP70*$GO70*$DM70*$NT70,IF(AND($NT70&gt;$GM70,$EN70=0),10*$GP70*$GO70*$DM70*$GM70,0))</f>
        <v>#DIV/0!</v>
      </c>
      <c r="GS70" s="162" t="e">
        <f t="shared" ref="GS70:GS133" ca="1" si="285">$GR70+$FA70</f>
        <v>#DIV/0!</v>
      </c>
      <c r="GT70" s="164" t="e">
        <f t="shared" ca="1" si="156"/>
        <v>#N/A</v>
      </c>
      <c r="GU70" s="162" t="e">
        <f t="shared" ca="1" si="157"/>
        <v>#N/A</v>
      </c>
      <c r="GV70" s="162" t="e">
        <f t="shared" ref="GV70:GV133" ca="1" si="286">IF($EN70&lt;=0,$GT70*(1/$DF70)*(1/$FY70)*(1/(1-$FW70)),0)</f>
        <v>#N/A</v>
      </c>
      <c r="GW70" s="162" t="e">
        <f t="shared" ref="GW70:GW133" ca="1" si="287">IF($GS70-$GV70&lt;=0,0,$GS70-$GV70)</f>
        <v>#DIV/0!</v>
      </c>
      <c r="GX70" s="162" t="e">
        <f t="shared" ca="1" si="228"/>
        <v>#DIV/0!</v>
      </c>
      <c r="GY70" s="162" t="e">
        <f t="shared" ca="1" si="158"/>
        <v>#DIV/0!</v>
      </c>
      <c r="GZ70" s="165" t="e">
        <f t="shared" ref="GZ70:GZ133" ca="1" si="288">$EF70+$EB70</f>
        <v>#N/A</v>
      </c>
      <c r="HA70" s="162" t="e">
        <f ca="1">IF(Control!$C$114=1, $DI70*$FS70, 0)</f>
        <v>#N/A</v>
      </c>
      <c r="HB70" s="162" t="e">
        <f ca="1">$FA70/Control!$C$64</f>
        <v>#N/A</v>
      </c>
      <c r="HC70" s="162" t="e">
        <f t="shared" ref="HC70:HC133" ca="1" si="289">$GW70-$HB70</f>
        <v>#DIV/0!</v>
      </c>
      <c r="HD70" s="162">
        <f ca="1">-ASIN(SIN(23.45*Control!$C$139)*COS(2*Control!$C$138*($AH70+10)/365))</f>
        <v>-0.10345586786061249</v>
      </c>
      <c r="HE70" s="165">
        <f t="shared" ca="1" si="160"/>
        <v>0</v>
      </c>
      <c r="HF70" s="166">
        <f ca="1">IF(AND(Control!$C$61="T",$HE70&gt;=Control!$C$103,Control!$C$114=0),$AH70,Control!$C$59)</f>
        <v>1</v>
      </c>
      <c r="HG70" s="166">
        <f ca="1">IF(AND(Control!$C$61="T",$HE70&gt;=Control!$C$103,Control!$C$114=0),$HF70,Control!$C$59)</f>
        <v>1</v>
      </c>
      <c r="HH70" s="165">
        <f ca="1">IF(AND(OR(Control!$C$60&lt;=0, $AH70= Control!$C$59, Control!$C$60 &gt;0, $AH70 = Control!$C$60)), Control!$C$59, IF(Control!$C$60&gt;0, 0))</f>
        <v>1</v>
      </c>
      <c r="HI70" s="165">
        <f ca="1">IF(AND(OR(Control!$C$60&lt;=0, $AH70= Control!$C$59, Control!$C$60 &gt;0, $AH70 = Control!$C$60)), Control!$C$60, IF(Control!$C$60&lt;=0, 0))</f>
        <v>0</v>
      </c>
      <c r="HJ70" s="166">
        <f ca="1">IF(AND(Control!$C$62="F",$CV70&gt;=Control!$C$102),$AH70,0)</f>
        <v>0</v>
      </c>
      <c r="HK70" s="165" t="e">
        <f t="shared" ca="1" si="202"/>
        <v>#N/A</v>
      </c>
      <c r="HL70" s="166">
        <f ca="1">IF(AND(Control!$C$61="T",$HE70&gt;=Control!$C$103,Control!$C$114=0),$HF70,0)</f>
        <v>0</v>
      </c>
      <c r="HM70" s="201" t="e">
        <f t="shared" ref="HM70:HM133" ca="1" si="290">$GX70*(1-$FW70)</f>
        <v>#DIV/0!</v>
      </c>
      <c r="HN70" s="215">
        <f t="shared" ca="1" si="161"/>
        <v>66</v>
      </c>
      <c r="HO70" s="216" t="e">
        <f ca="1">IF(AND($CP70&gt;=0, $CP70&lt;=90), Control!$C$152, Control!$C$152)</f>
        <v>#N/A</v>
      </c>
      <c r="HP70" s="216" t="e">
        <f t="shared" ref="HP70:HP133" ca="1" si="291">$HO70</f>
        <v>#N/A</v>
      </c>
      <c r="HQ70" s="217" t="e">
        <f ca="1">IF(OR(Control!$B$26=1,Control!$B$26=2),$KV70,$KS70)</f>
        <v>#DIV/0!</v>
      </c>
      <c r="HR70" s="218" t="e">
        <f t="shared" ca="1" si="223"/>
        <v>#DIV/0!</v>
      </c>
      <c r="HS70" s="216" t="e">
        <f ca="1">Control!$C$154*$HP70</f>
        <v>#N/A</v>
      </c>
      <c r="HT70" s="216" t="e">
        <f ca="1">Control!$C$155*$HP70</f>
        <v>#N/A</v>
      </c>
      <c r="HU70" s="217" t="e">
        <f ca="1">Control!$C$161*$FI70</f>
        <v>#N/A</v>
      </c>
      <c r="HV70" s="218" t="e">
        <f t="shared" ca="1" si="162"/>
        <v>#N/A</v>
      </c>
      <c r="HW70" s="218" t="e">
        <f ca="1">Control!$C$160*$FF70+$IP70*$EO70</f>
        <v>#N/A</v>
      </c>
      <c r="HX70" s="218" t="e">
        <f t="shared" ca="1" si="203"/>
        <v>#N/A</v>
      </c>
      <c r="HY70" s="219" t="e">
        <f ca="1">IF(Control!$C$114=1, $EB70*$FS70, 0)</f>
        <v>#N/A</v>
      </c>
      <c r="HZ70" s="91" t="e">
        <f t="shared" ref="HZ70:HZ133" ca="1" si="292">$KA70</f>
        <v>#N/A</v>
      </c>
      <c r="IA70" s="220" t="e">
        <f ca="1">Control!$C$153*$HO70</f>
        <v>#N/A</v>
      </c>
      <c r="IB70" s="218" t="e">
        <f t="shared" ref="IB70:IB133" ca="1" si="293">$IA70*$EB70</f>
        <v>#N/A</v>
      </c>
      <c r="IC70" s="220" t="e">
        <f ca="1">Control!$C$153*$HT70</f>
        <v>#N/A</v>
      </c>
      <c r="ID70" s="218" t="e">
        <f t="shared" ref="ID70:ID133" ca="1" si="294">$IC70*$EF70</f>
        <v>#N/A</v>
      </c>
      <c r="IE70" s="221" t="e">
        <f ca="1">($EB70*Control!$C$159+$EF70*Control!$C$160)/(IF($GZ70&lt;&gt;0,$GZ70,1))</f>
        <v>#N/A</v>
      </c>
      <c r="IF70" s="216" t="e">
        <f t="shared" ref="IF70:IF133" ca="1" si="295">($IB70+$ID70)/IF($GZ70&lt;&gt;0, $GZ70,1)</f>
        <v>#N/A</v>
      </c>
      <c r="IG70" s="91">
        <f ca="1">IF(OR(Control!$B$198=$AH70,Control!$B$199=$AH70, Control!$B$200=$AH70, Control!$B$201=$AH70, Control!$B$202=$AH70, Control!$B$203=$AH70, Control!$B$204=$AH70, Control!$B$205=$AH70, Control!$B$206=$AH70, Control!$B$207=$AH70), 1, 0)</f>
        <v>0</v>
      </c>
      <c r="IH70" s="91">
        <f ca="1">IF($IG70=0,0, VLOOKUP($AH70,Control!$B$198:$C$207,2))</f>
        <v>0</v>
      </c>
      <c r="II70" s="222">
        <f t="shared" ca="1" si="163"/>
        <v>0</v>
      </c>
      <c r="IJ70" s="91">
        <f>Control!$C$121</f>
        <v>0.7</v>
      </c>
      <c r="IK70" s="218">
        <f t="shared" ref="IK70:IK133" ca="1" si="296">$IH70*$IJ70</f>
        <v>0</v>
      </c>
      <c r="IL70" s="217" t="e">
        <f t="shared" ca="1" si="204"/>
        <v>#N/A</v>
      </c>
      <c r="IM70" s="223" t="e">
        <f ca="1">IF(AND(Control!$C$114=1,$KH70&lt;1),$EB70*Control!$C$148*(1-$KH70), 0)</f>
        <v>#N/A</v>
      </c>
      <c r="IN70" s="217" t="e">
        <f t="shared" ref="IN70:IN133" ca="1" si="297">MIN($NT70, $KH70)</f>
        <v>#DIV/0!</v>
      </c>
      <c r="IO70" s="91" t="e">
        <f ca="1">MAX(0,$IL70-$EF70*Control!$C$160)</f>
        <v>#N/A</v>
      </c>
      <c r="IP70" s="220" t="e">
        <f t="shared" ref="IP70:IP133" ca="1" si="298">$IL70/IF($EF70&lt;&gt;0, $EF70, 1)</f>
        <v>#N/A</v>
      </c>
      <c r="IQ70" s="217" t="e">
        <f t="shared" ca="1" si="164"/>
        <v>#N/A</v>
      </c>
      <c r="IR70" s="218" t="e">
        <f t="shared" ref="IR70:IR133" ca="1" si="299">$IQ70+$IL70</f>
        <v>#N/A</v>
      </c>
      <c r="IS70" s="217" t="e">
        <f ca="1">Control!$C$159*MAX(0,$FD70-$EN70)</f>
        <v>#N/A</v>
      </c>
      <c r="IT70" s="217" t="e">
        <f t="shared" ca="1" si="205"/>
        <v>#N/A</v>
      </c>
      <c r="IU70" s="217" t="e">
        <f t="shared" ca="1" si="165"/>
        <v>#N/A</v>
      </c>
      <c r="IV70" s="217" t="e">
        <f t="shared" ca="1" si="206"/>
        <v>#N/A</v>
      </c>
      <c r="IW70" s="217" t="e">
        <f ca="1">IF(OR($AW70=1,AND($AW70=0, Control!$B$18=1,$EN70&lt;&gt;0)), $IQ70-$IU70, $IQ70)</f>
        <v>#N/A</v>
      </c>
      <c r="IX70" s="218" t="e">
        <f t="shared" ref="IX70:IX133" ca="1" si="300">$HX70+$HV70+$IV70</f>
        <v>#N/A</v>
      </c>
      <c r="IY70" s="218" t="e">
        <f ca="1">MAX(0,$IQ70-$EB70*Control!$C$159)</f>
        <v>#N/A</v>
      </c>
      <c r="IZ70" s="218" t="e">
        <f t="shared" ref="IZ70:IZ133" ca="1" si="301">MAX($HO70*$EB70-$IQ70,0)</f>
        <v>#N/A</v>
      </c>
      <c r="JA70" s="216" t="e">
        <f t="shared" ref="JA70:JA133" ca="1" si="302">$IQ70/IF($EB70&lt;&gt;0, $EB70, 1)</f>
        <v>#N/A</v>
      </c>
      <c r="JB70" s="217" t="e">
        <f t="shared" ref="JB70:JB133" ca="1" si="303">MAX($HT70*$EF70-$IL70, 0)</f>
        <v>#N/A</v>
      </c>
      <c r="JC70" s="222" t="e">
        <f ca="1">MAX(Control!$C$157*$EK70-$JT70, 0)/Control!$C$162</f>
        <v>#N/A</v>
      </c>
      <c r="JD70" s="218" t="e">
        <f t="shared" ref="JD70:JD133" ca="1" si="304">$JT70/IF($EK70&lt;&gt;0, $EK70, 1)</f>
        <v>#N/A</v>
      </c>
      <c r="JE70" s="218" t="e">
        <f t="shared" ref="JE70:JE133" ca="1" si="305">$IQ70+$IL70+$JT70</f>
        <v>#N/A</v>
      </c>
      <c r="JF70" s="218" t="e">
        <f t="shared" ca="1" si="207"/>
        <v>#N/A</v>
      </c>
      <c r="JG70" s="218" t="e">
        <f t="shared" ref="JG70:JG133" ca="1" si="306">MAX($HS70*$EH70-$JF70, 0)</f>
        <v>#N/A</v>
      </c>
      <c r="JH70" s="217" t="e">
        <f t="shared" ca="1" si="166"/>
        <v>#N/A</v>
      </c>
      <c r="JI70" s="217" t="e">
        <f t="shared" ca="1" si="167"/>
        <v>#N/A</v>
      </c>
      <c r="JJ70" s="217" t="e">
        <f t="shared" ca="1" si="224"/>
        <v>#N/A</v>
      </c>
      <c r="JK70" s="217" t="e">
        <f ca="1">IF(Control!$C$114=1,IF(Control!$B$24=0,MAX(0,$JI70)*$GN70/Control!$C$64,(MAX(0,MIN($JI70,$JJ70*$GN70/Control!$C$64),0))))</f>
        <v>#N/A</v>
      </c>
      <c r="JL70" s="217" t="e">
        <f ca="1">$IK70/Control!$C$64-$JK70+$HQ70</f>
        <v>#N/A</v>
      </c>
      <c r="JM70" s="217" t="e">
        <f ca="1">IF(Control!$C$114=1,($JB70/(IF($JI70&lt;&gt;0,$JI70,1)))*$JK70,0)</f>
        <v>#N/A</v>
      </c>
      <c r="JN70" s="217" t="e">
        <f ca="1">IF(Control!$C$114=1,($JG70/(IF($JI70&lt;&gt;0,$JI70,1)))*$JK70, 0)</f>
        <v>#N/A</v>
      </c>
      <c r="JO70" s="218" t="e">
        <f t="shared" ref="JO70:JO133" ca="1" si="307">$IQ70+$IL70+$JF70+$JT70</f>
        <v>#N/A</v>
      </c>
      <c r="JP70" s="218" t="e">
        <f ca="1">MIN(($IY70+$IO70)*Control!$C$151, $JF70-$EH70*Control!$C$161)</f>
        <v>#N/A</v>
      </c>
      <c r="JQ70" s="218" t="e">
        <f t="shared" ref="JQ70:JQ133" ca="1" si="308">$JP70+$IO70+$IY70</f>
        <v>#N/A</v>
      </c>
      <c r="JR70" s="217" t="e">
        <f ca="1">IF($CP70-Control!$C$150&lt;0, 0, $JQ70/Control!$C$162)</f>
        <v>#N/A</v>
      </c>
      <c r="JS70" s="218" t="e">
        <f t="shared" ref="JS70:JS133" ca="1" si="309">MIN($JC70,$JR70)</f>
        <v>#N/A</v>
      </c>
      <c r="JT70" s="218" t="e">
        <f t="shared" ca="1" si="168"/>
        <v>#N/A</v>
      </c>
      <c r="JU70" s="218" t="e">
        <f t="shared" ref="JU70:JU133" ca="1" si="310">$JS70*$JP70/(IF($JQ70&lt;&gt;0,$JQ70,1))</f>
        <v>#N/A</v>
      </c>
      <c r="JV70" s="218" t="e">
        <f t="shared" ref="JV70:JV133" ca="1" si="311">$JN70-$JU70-$HU70</f>
        <v>#N/A</v>
      </c>
      <c r="JW70" s="216" t="e">
        <f t="shared" ref="JW70:JW133" ca="1" si="312">$JF70/IF($EH70&lt;&gt;0, $EH70, 1)</f>
        <v>#N/A</v>
      </c>
      <c r="JX70" s="91" t="e">
        <f t="shared" ref="JX70:JX133" ca="1" si="313">$JE70/(IF($EL70&lt;&gt;0,$EL70,1))</f>
        <v>#N/A</v>
      </c>
      <c r="JY70" s="218" t="e">
        <f t="shared" ref="JY70:JY133" ca="1" si="314">$JF70+$HV70</f>
        <v>#N/A</v>
      </c>
      <c r="JZ70" s="217" t="e">
        <f ca="1">IF(Control!$C$114=1,($IZ70/(IF($JI70&lt;&gt;0,$JI70,1)))*$JK70, 0)</f>
        <v>#N/A</v>
      </c>
      <c r="KA70" s="218" t="e">
        <f t="shared" ca="1" si="225"/>
        <v>#N/A</v>
      </c>
      <c r="KB70" s="218" t="e">
        <f t="shared" ca="1" si="169"/>
        <v>#N/A</v>
      </c>
      <c r="KC70" s="218" t="e">
        <f t="shared" ref="KC70:KC133" ca="1" si="315">$JS70*$IO70/(IF($JQ70&lt;&gt;0,$JQ70,1))</f>
        <v>#N/A</v>
      </c>
      <c r="KD70" s="218" t="e">
        <f t="shared" ref="KD70:KD133" ca="1" si="316">$JM70-$KC70-$HW70</f>
        <v>#N/A</v>
      </c>
      <c r="KE70" s="218" t="e">
        <f t="shared" ref="KE70:KE133" ca="1" si="317">$JS70*$IY70/(IF($JQ70&lt;&gt;0,$JQ70,1))</f>
        <v>#N/A</v>
      </c>
      <c r="KF70" s="218" t="e">
        <f t="shared" ref="KF70:KF133" ca="1" si="318">$JZ70-$KE70-$IU70</f>
        <v>#N/A</v>
      </c>
      <c r="KG70" s="216" t="e">
        <f t="shared" ref="KG70:KG133" ca="1" si="319">$IR70/IF($GZ70&lt;&gt;0, $GZ70, 1)</f>
        <v>#N/A</v>
      </c>
      <c r="KH70" s="221" t="e">
        <f ca="1">IF(Control!$B$24=0,1,MAX(0.001,MIN(1,IF(($IF70-$IE70)&lt;&gt;0,($KG70-$IE70)/($IF70-$IE70),1))))</f>
        <v>#N/A</v>
      </c>
      <c r="KI70" s="222" t="e">
        <f ca="1">IF(Control!$C$114=1, $KI69+ $KH69, 0)</f>
        <v>#N/A</v>
      </c>
      <c r="KJ70" s="217" t="e">
        <f t="shared" ref="KJ70:KJ133" ca="1" si="320">IF($AH70&gt;$HF70, $KI70/($AH70-$HF70), $KI70/($AH70+365-$HF70))</f>
        <v>#N/A</v>
      </c>
      <c r="KK70" s="218" t="e">
        <f t="shared" ref="KK70:KK133" ca="1" si="321">$KA70+ ($IQ70+$IL70+$JF70+$JT70)-($IQ70+$IL70+$JF70+$JT70+$IV70+$HV70+$HX70)</f>
        <v>#N/A</v>
      </c>
      <c r="KL70" s="274" t="e">
        <f ca="1">IF(Control!$B$26=3,4000000000*EXP(-8400/($G70+273)),IF(Control!$B$26=4,4000000000*EXP(-8400/($G70+273))*($KT70),0))</f>
        <v>#DIV/0!</v>
      </c>
      <c r="KM70" s="274" t="e">
        <f ca="1">IF(Control!$B$26=3,5600000000000*EXP(-9800/($G70+273)),IF(Control!$B$26=4,5600000000000*EXP(-9800/($G70+273))*$KT70,0))</f>
        <v>#DIV/0!</v>
      </c>
      <c r="KN70" s="454" t="e">
        <f t="shared" ca="1" si="170"/>
        <v>#DIV/0!</v>
      </c>
      <c r="KO70" s="274" t="e">
        <f t="shared" ca="1" si="171"/>
        <v>#DIV/0!</v>
      </c>
      <c r="KP70" s="454" t="e">
        <f t="shared" ref="KP70:KP133" ca="1" si="322">$KO70+$KN70</f>
        <v>#DIV/0!</v>
      </c>
      <c r="KQ70" s="454" t="e">
        <f t="shared" ref="KQ70:KQ133" ca="1" si="323">$KN70-$KN71</f>
        <v>#DIV/0!</v>
      </c>
      <c r="KR70" s="454" t="e">
        <f t="shared" ref="KR70:KR133" ca="1" si="324">$KO70-$KO71</f>
        <v>#DIV/0!</v>
      </c>
      <c r="KS70" s="454" t="e">
        <f t="shared" ref="KS70:KS133" ca="1" si="325">$KQ70+$KR70</f>
        <v>#DIV/0!</v>
      </c>
      <c r="KT70" s="455" t="e">
        <f t="shared" ref="KT70:KT133" ca="1" si="326">$MV70/$OO70</f>
        <v>#DIV/0!</v>
      </c>
      <c r="KU70" s="456" t="e">
        <f ca="1">IF($CP70-Control!$C$149&lt;0, IF($NT70-0.01&lt;0,0,1),0)</f>
        <v>#N/A</v>
      </c>
      <c r="KV70" s="456" t="e">
        <f ca="1">IF(Control!$C$114=1,MAX(0,MIN(Control!$C$125*$KW70*$GN70,$KW70)))</f>
        <v>#DIV/0!</v>
      </c>
      <c r="KW70" s="456" t="e">
        <f t="shared" ca="1" si="208"/>
        <v>#DIV/0!</v>
      </c>
      <c r="KX70" s="457" t="e">
        <f ca="1">IF($CP70-Control!$C$149&lt;0, IF($MR70-$OM70&lt;0,0,1),0)</f>
        <v>#N/A</v>
      </c>
      <c r="KY70" s="167">
        <f t="shared" ca="1" si="172"/>
        <v>66</v>
      </c>
      <c r="KZ70" s="168">
        <f ca="1">1370*(1+0.033*COS(2*Control!$C$138*$AH70/365))</f>
        <v>1389.0378614242898</v>
      </c>
      <c r="LA70" s="169">
        <f t="shared" ca="1" si="173"/>
        <v>1.013896328736271</v>
      </c>
      <c r="LB70" s="169">
        <f t="shared" ca="1" si="174"/>
        <v>-0.10271806583695095</v>
      </c>
      <c r="LC70" s="169">
        <f ca="1">ACOS(-TAN((2*Control!$B$8/360))*TAN(Calculations!$LB70))</f>
        <v>1.5401555791405139</v>
      </c>
      <c r="LD70" s="169">
        <f ca="1">((24*60)/PI())*0.082*$LA70*(($LC70*SIN(Control!$B$8*2*PI()/360))*SIN($LB70)+COS(Control!$B$8*2*PI()/360)*COS($LB70)*SIN($LC70))</f>
        <v>18.584801797820205</v>
      </c>
      <c r="LE70" s="170">
        <f t="shared" ref="LE70:LE133" ca="1" si="327">(MAX(0.0001,$KZ70*$LJ70))/1000000</f>
        <v>18.715687732309458</v>
      </c>
      <c r="LF70" s="170">
        <f ca="1">SIN(Control!$C$139*Control!$B$8)*SIN($HD70)</f>
        <v>-8.1379121727321424E-2</v>
      </c>
      <c r="LG70" s="170">
        <f ca="1">COS(Control!$C$139*Control!$B$8)*COS($HD70)</f>
        <v>0.61236800122192681</v>
      </c>
      <c r="LH70" s="170">
        <f ca="1">12*(1+2*ASIN(MAX(-1,MIN(1,$LF70/$LG70))/Control!$C$138))</f>
        <v>10.984475356678153</v>
      </c>
      <c r="LI70" s="170">
        <f ca="1">12*(1+2*ASIN(MAX(-1,MIN(1,(-SIN(-4*Control!$C$139)+$LF70)/$LG70))/Control!$C$138))</f>
        <v>11.855006175463298</v>
      </c>
      <c r="LJ70" s="168">
        <f ca="1">3600*($LH70*$LF70+24*$LG70*SQRT(1-$LK70*$LK70)/Control!$C$138)</f>
        <v>13473.849959077999</v>
      </c>
      <c r="LK70" s="170">
        <f t="shared" ref="LK70:LK133" ca="1" si="328">MAX(-1,MIN(1,$LF70/$LG70))</f>
        <v>-0.13289251163505686</v>
      </c>
      <c r="LL70" s="170">
        <f t="shared" ref="LL70:LL133" ca="1" si="329">$AQ70/$LE70</f>
        <v>0</v>
      </c>
      <c r="LM70" s="171">
        <f ca="1">Control!$C$145*$AB70</f>
        <v>6.6660906138995932E-2</v>
      </c>
      <c r="LN70" s="170">
        <f t="shared" ca="1" si="175"/>
        <v>0.54</v>
      </c>
      <c r="LO70" s="170">
        <f t="shared" ref="LO70:LO133" ca="1" si="330">MAX(0,MIN(1,($LL70-0.2)/0.56))</f>
        <v>0</v>
      </c>
      <c r="LP70" s="170">
        <f ca="1">Control!$C$140*((($D70+273.16)^4+($E70+273.16)^4)/2)*(0.34-0.14*SQRT($Y70))*(1.35*$AQ70/(0.75*$LD70)-0.35)</f>
        <v>-3.2464704755046001</v>
      </c>
      <c r="LQ70" s="170">
        <f ca="1">Control!$C$140*($G70+273)^4*(0.56-0.079*SQRT($Y70*10))*(0.1+0.9*$LO70)</f>
        <v>1.5241745131704001</v>
      </c>
      <c r="LR70" s="170">
        <f ca="1">$AQ70*(1-Control!$C$142)-$LQ70</f>
        <v>-1.5241745131704001</v>
      </c>
      <c r="LS70" s="170">
        <f ca="1">$AQ70*(1-Control!$C$143)-$LQ70</f>
        <v>-1.5241745131704001</v>
      </c>
      <c r="LT70" s="170">
        <f ca="1">$AQ70*(1-Control!$C$144)-$LQ70</f>
        <v>-1.5241745131704001</v>
      </c>
      <c r="LU70" s="169">
        <f ca="1">(1-Control!$C$144)*AQ70-LP70</f>
        <v>3.2464704755046001</v>
      </c>
      <c r="LV70" s="172">
        <f t="shared" ref="LV70:LV133" ca="1" si="331">10*0.26*($X70-$Y70)*(0.5+$LN70*$J70)</f>
        <v>0.79430000000000012</v>
      </c>
      <c r="LW70" s="170">
        <f t="shared" ref="LW70:LW133" ca="1" si="332">10*0.26*($X70-$Y70)*(1+$LN70*$J70)</f>
        <v>1.5886000000000002</v>
      </c>
      <c r="LX70" s="170">
        <f ca="1">($AC70*($LR70/Control!$C$141)+$LM70*$LV70)/($AC70+$LM70)</f>
        <v>0.23530094218323697</v>
      </c>
      <c r="LY70" s="170">
        <f ca="1">($AC70*($LS70/Control!$C$141)+$LM70*$LV70)/($AC70+$LM70)</f>
        <v>0.23530094218323697</v>
      </c>
      <c r="LZ70" s="170">
        <f t="shared" ref="LZ70:LZ133" ca="1" si="333">MAX(0,$LX70)</f>
        <v>0.23530094218323697</v>
      </c>
      <c r="MA70" s="170">
        <f t="shared" ref="MA70:MA133" ca="1" si="334">MAX(0,$LY70)</f>
        <v>0.23530094218323697</v>
      </c>
      <c r="MB70" s="170" t="e">
        <f t="shared" ref="MB70:MB133" ca="1" si="335" xml:space="preserve"> $MA70*(1-$DL70)</f>
        <v>#N/A</v>
      </c>
      <c r="MC70" s="170">
        <f t="shared" ca="1" si="176"/>
        <v>0.6018</v>
      </c>
      <c r="MD70" s="170">
        <f t="shared" ref="MD70:MD133" ca="1" si="336">(0.408*AD70*$LU70+$LM70*(900/($G70+273)*$J70*$MC70))/($AD70+$LM70*(1+0.34*$J70))</f>
        <v>0.52989392535414004</v>
      </c>
      <c r="ME70" s="170">
        <f ca="1">($AC70*($LT70/Control!$C$141)+$LM70*$LW70)/($AC70+$LM70)</f>
        <v>0.71612369323045078</v>
      </c>
      <c r="MF70" s="170" t="e">
        <f ca="1">IF(Control!$B$16&gt;=1000,0.92,IF(AND(720&lt;=Control!$B$16,1000&gt;Control!$B$16),(0.95+(Control!$B$16-720)*((0.92-0.95)/(1000-720))),IF(AND(360&lt;=Control!$B$16,720&gt;Control!$B$16),(1+(Control!$B$16-360)*((0.95-1)/(720-360))),IF(AND(40&lt;=Control!$B$16,360&gt;Control!$B$16),(1.05+(Control!$B$16-40)*((1.05-1)/(360-40)))))))</f>
        <v>#N/A</v>
      </c>
      <c r="MG70" s="170">
        <f t="shared" ref="MG70:MG133" ca="1" si="337">MAX(0,$ME70)</f>
        <v>0.71612369323045078</v>
      </c>
      <c r="MH70" s="170" t="e">
        <f t="shared" ca="1" si="233"/>
        <v>#N/A</v>
      </c>
      <c r="MI70" s="170" t="e">
        <f t="shared" ca="1" si="233"/>
        <v>#N/A</v>
      </c>
      <c r="MJ70" s="170" t="e">
        <f ca="1">MAX(0.0001, Control!$C$132*$MI70*$DL70)</f>
        <v>#N/A</v>
      </c>
      <c r="MK70" s="170">
        <f ca="1">1/(0.76+1.5*($MG70/10))-(5-Control!$C$110)*0.1</f>
        <v>1.002845988140797</v>
      </c>
      <c r="ML70" s="173">
        <f ca="1">IF(Control!$C$110&lt;3,$MK70+($MG70-0.6)/(Control!$C$110*(Control!$C$110+3)), MAX(0.1, MIN(0.95,$MK70)))</f>
        <v>0.95</v>
      </c>
      <c r="MM70" s="173">
        <f ca="1">IF(Control!$C$110&lt;3,$MK70+(($MI70/10)-0.6)/(Control!$C$110*(Control!$C$110+3)), MAX(0.1, MIN(0.95,$MK70)))</f>
        <v>0.95</v>
      </c>
      <c r="MN70" s="173">
        <f ca="1">(1-$MM70)*(Control!$C$128-Control!$C$127)+Control!$C$127</f>
        <v>0.16</v>
      </c>
      <c r="MO70" s="170" t="e">
        <f ca="1">MAX(0,MIN(1,($MS70-Control!$C$127)/($MN70-Control!$C$127)))</f>
        <v>#DIV/0!</v>
      </c>
      <c r="MP70" s="173" t="e">
        <f ca="1">1/(0.76+1.5*$MI70)-(5-Control!$C$110)*0.1</f>
        <v>#N/A</v>
      </c>
      <c r="MQ70" s="172" t="e">
        <f t="shared" ca="1" si="209"/>
        <v>#DIV/0!</v>
      </c>
      <c r="MR70" s="168" t="e">
        <f t="shared" ca="1" si="226"/>
        <v>#DIV/0!</v>
      </c>
      <c r="MS70" s="173" t="e">
        <f ca="1">MAX(Control!$C$127, MIN(Control!$C$135, $MR70/MAX(0.0001,$CY70)))</f>
        <v>#DIV/0!</v>
      </c>
      <c r="MT70" s="168" t="e">
        <f ca="1">(Control!$C$128-$MS70)*Control!$C$74</f>
        <v>#DIV/0!</v>
      </c>
      <c r="MU70" s="168" t="e">
        <f ca="1">(Control!$C$135-$MS70)*Control!$C$74</f>
        <v>#DIV/0!</v>
      </c>
      <c r="MV70" s="168" t="e">
        <f t="shared" ca="1" si="210"/>
        <v>#DIV/0!</v>
      </c>
      <c r="MW70" s="168" t="e">
        <f t="shared" ca="1" si="177"/>
        <v>#DIV/0!</v>
      </c>
      <c r="MX70" s="171" t="e">
        <f ca="1">MAX(Control!$C$127, MIN(Control!$C$135, $MW70/MAX(0.0001,Control!$C$119-$CY70)))</f>
        <v>#DIV/0!</v>
      </c>
      <c r="MY70" s="54" t="e">
        <f ca="1">IF(Control!$C$114=1, $CX70*$MX70, 0)</f>
        <v>#DIV/0!</v>
      </c>
      <c r="MZ70" s="54" t="e">
        <f t="shared" ca="1" si="178"/>
        <v>#N/A</v>
      </c>
      <c r="NA70" s="168" t="e">
        <f ca="1">(Control!$C$128-$MX70)*(Control!$C$119-Control!$C$74)</f>
        <v>#DIV/0!</v>
      </c>
      <c r="NB70" s="168" t="e">
        <f ca="1">(Control!$C$135-$MX70)*(Control!$C$119-Control!$C$74)</f>
        <v>#DIV/0!</v>
      </c>
      <c r="NC70" s="174" t="e">
        <f t="shared" ca="1" si="179"/>
        <v>#DIV/0!</v>
      </c>
      <c r="ND70" s="54">
        <f ca="1">IF(Control!$C$58=2, IF(OR(Control!$B$218=$AH70,Control!$B$219=$AH70, Control!$B$220=$AH70, Control!$B$221=$AH70, Control!$B$222=$AH70, Control!$B$223=$AH70, Control!$B$224=$AH70, Control!$B$225=$AH70, Control!$B$226=$AH70, Control!$B$227=$AH70, Control!$B$228=$AH70), 1, 0), 0)</f>
        <v>0</v>
      </c>
      <c r="NE70" s="54">
        <f ca="1">IF($ND70=0,0, VLOOKUP($AH70,Control!$B$218:$C$228,2))</f>
        <v>0</v>
      </c>
      <c r="NF70" s="168" t="e">
        <f ca="1">$CY70*(Control!$C$128-Control!$C$127)</f>
        <v>#N/A</v>
      </c>
      <c r="NG70" s="54" t="e">
        <f ca="1">IF(Control!$C$58=2, $NI69-$NJ69, 0)</f>
        <v>#DIV/0!</v>
      </c>
      <c r="NH70" s="54" t="e">
        <f ca="1">IF(AND(Control!$C$58=1, $MS69&lt;= ($MN69+0.02), $I69&lt;10), 0, IF(Control!$C$58=2, $NG69, 0))</f>
        <v>#DIV/0!</v>
      </c>
      <c r="NI70" s="54" t="e">
        <f ca="1">IF(Control!$C$58=2, $NE70+$NH70,0)</f>
        <v>#DIV/0!</v>
      </c>
      <c r="NJ70" s="54" t="e">
        <f ca="1">IF(AND(Control!$C$58=1, $MS70&lt;= ($MN70+0.02), $I70&lt;10), MAX(0, MIN(10, 0.7*($NF70-$MV70))), IF(Control!$C$58=2, MIN(10,$NI70),0))</f>
        <v>#DIV/0!</v>
      </c>
      <c r="NK70" s="54" t="e">
        <f t="shared" ref="NK70:NK133" ca="1" si="338">$NJ70+$NH70</f>
        <v>#DIV/0!</v>
      </c>
      <c r="NL70" s="173" t="e">
        <f ca="1">(1-Control!$C$73)*$I70+$NJ70</f>
        <v>#DIV/0!</v>
      </c>
      <c r="NM70" s="172" t="e">
        <f ca="1">IF($NL70&lt;0.5, $MB70* MAX(0, MIN(1, (SQRT($NC70)-SQRT($NC70-1))*Control!$C$71)),0)</f>
        <v>#DIV/0!</v>
      </c>
      <c r="NN70" s="170" t="e">
        <f ca="1">IF($NL70&gt;=5, $MB70, MAX(0,MIN($MB70, $NM70+$NL70,($MS70-Control!$C$129))))</f>
        <v>#DIV/0!</v>
      </c>
      <c r="NO70" s="54">
        <f>IF(Control!$C$133&lt;&gt;1, Control!$C$135-Control!$C$131, 0)</f>
        <v>0.38</v>
      </c>
      <c r="NP70" s="54" t="e">
        <f t="shared" ref="NP70:NP133" ca="1" si="339">IF($MS70&gt;=$NO70,MIN($AH69+1,4),0)</f>
        <v>#DIV/0!</v>
      </c>
      <c r="NQ70" s="173" t="e">
        <f ca="1">MAX(0,MIN(1,(Control!$C$135-$MS70)/(Control!$C$135-$NO70)))</f>
        <v>#DIV/0!</v>
      </c>
      <c r="NR70" s="170" t="e">
        <f ca="1">IF(Control!$C$133&lt;&gt;1, $NQ70+((1-$NP70/4)*(1-$NQ70)),1)</f>
        <v>#DIV/0!</v>
      </c>
      <c r="NS70" s="170" t="e">
        <f ca="1">IF(Control!$B$31=0,$MJ70,MAX(0,MIN($MV70,$MO70*$NR70*$MJ70)))</f>
        <v>#DIV/0!</v>
      </c>
      <c r="NT70" s="170" t="e">
        <f t="shared" ca="1" si="227"/>
        <v>#DIV/0!</v>
      </c>
      <c r="NU70" s="170" t="e">
        <f t="shared" ca="1" si="180"/>
        <v>#N/A</v>
      </c>
      <c r="NV70" s="170" t="e">
        <f t="shared" ref="NV70:NV133" ca="1" si="340">IF($AH70&gt;$HF70, $NU70/($AH70-$HF70), $NU70/($AH70+365-$HF70))</f>
        <v>#N/A</v>
      </c>
      <c r="NW70" s="175" t="e">
        <f t="shared" ref="NW70:NW133" ca="1" si="341">$NL70-$NN70-$NS70</f>
        <v>#DIV/0!</v>
      </c>
      <c r="NX70" s="170" t="e">
        <f ca="1">MIN(Control!$C$72+$MU70, $NW70)</f>
        <v>#DIV/0!</v>
      </c>
      <c r="NY70" s="170" t="e">
        <f ca="1">IF($MT70&lt;=$NX70,MIN(Control!$C$72+$NB70,$NX70-$MT70),0)</f>
        <v>#DIV/0!</v>
      </c>
      <c r="NZ70" s="54" t="e">
        <f ca="1">IF(Control!$C$114=1,  $CX70*($MX70-Control!$C$127), 0)</f>
        <v>#DIV/0!</v>
      </c>
      <c r="OA70" s="170" t="e">
        <f t="shared" ref="OA70:OA133" ca="1" si="342">$NX70-$NY70+$NZ70</f>
        <v>#DIV/0!</v>
      </c>
      <c r="OB70" s="170" t="e">
        <f ca="1">IF($NA70 &lt;=$NY70, MIN(Control!$C$72, $NY70-$NA70), 0)</f>
        <v>#DIV/0!</v>
      </c>
      <c r="OC70" s="168" t="e">
        <f t="shared" ref="OC70:OC133" ca="1" si="343">$NY70-$OB70-$NZ70</f>
        <v>#DIV/0!</v>
      </c>
      <c r="OD70" s="168" t="e">
        <f t="shared" ca="1" si="182"/>
        <v>#DIV/0!</v>
      </c>
      <c r="OE70" s="170">
        <f ca="1">Control!$C$73*$I70</f>
        <v>0</v>
      </c>
      <c r="OF70" s="176" t="e">
        <f t="shared" ref="OF70:OF133" ca="1" si="344">$OE70+MAX(0,$NW70-$NX70)</f>
        <v>#DIV/0!</v>
      </c>
      <c r="OG70" s="168" t="e">
        <f t="shared" ref="OG70:OG133" ca="1" si="345">$MV$6-$MV70</f>
        <v>#DIV/0!</v>
      </c>
      <c r="OH70" s="168" t="e">
        <f t="shared" ref="OH70:OH133" ca="1" si="346">$OD$6-$OD70</f>
        <v>#DIV/0!</v>
      </c>
      <c r="OI70" s="168" t="e">
        <f t="shared" ref="OI70:OI133" ca="1" si="347">$NX70-$NY70+$MY70</f>
        <v>#DIV/0!</v>
      </c>
      <c r="OJ70" s="168" t="e">
        <f t="shared" ref="OJ70:OJ133" ca="1" si="348">$NY70-$OB70-$MY70</f>
        <v>#DIV/0!</v>
      </c>
      <c r="OK70" s="204" t="e">
        <f t="shared" ref="OK70:OK133" ca="1" si="349">$OG70+$OH70</f>
        <v>#DIV/0!</v>
      </c>
      <c r="OL70" s="177">
        <f>Control!$C$127</f>
        <v>0.15</v>
      </c>
      <c r="OM70" s="182" t="e">
        <f t="shared" ref="OM70:OM133" ca="1" si="350">$OL70*$CY70</f>
        <v>#N/A</v>
      </c>
      <c r="ON70" s="177">
        <f>Control!$C$128</f>
        <v>0.35</v>
      </c>
      <c r="OO70" s="182" t="e">
        <f t="shared" ref="OO70:OO133" ca="1" si="351">$ON70*$CY70</f>
        <v>#N/A</v>
      </c>
      <c r="OP70" s="138">
        <f t="shared" ca="1" si="184"/>
        <v>0</v>
      </c>
      <c r="OQ70" s="138" t="e">
        <f t="shared" ca="1" si="211"/>
        <v>#DIV/0!</v>
      </c>
      <c r="OR70" s="138" t="e">
        <f t="shared" ca="1" si="185"/>
        <v>#DIV/0!</v>
      </c>
      <c r="OS70" s="137" t="e">
        <f t="shared" ca="1" si="212"/>
        <v>#DIV/0!</v>
      </c>
      <c r="OT70" s="139" t="e">
        <f t="shared" ca="1" si="213"/>
        <v>#DIV/0!</v>
      </c>
      <c r="OU70" s="138" t="e">
        <f t="shared" ca="1" si="214"/>
        <v>#N/A</v>
      </c>
      <c r="OV70" s="138" t="e">
        <f t="shared" ca="1" si="215"/>
        <v>#DIV/0!</v>
      </c>
      <c r="OW70" s="138" t="e">
        <f t="shared" ca="1" si="186"/>
        <v>#DIV/0!</v>
      </c>
      <c r="OX70" s="138" t="e">
        <f t="shared" ca="1" si="187"/>
        <v>#DIV/0!</v>
      </c>
      <c r="OY70" s="138" t="e">
        <f t="shared" ca="1" si="188"/>
        <v>#DIV/0!</v>
      </c>
      <c r="OZ70" s="138" t="e">
        <f t="shared" ref="OZ70:OZ133" ca="1" si="352">ABS($MR70-$NS70-$NN70+$I70+$MY70+$NK70-$OF70-$NY70-$OX70)</f>
        <v>#DIV/0!</v>
      </c>
      <c r="PA70" s="138" t="e">
        <f t="shared" ref="PA70:PA133" ca="1" si="353">ABS($MW70+$NY70-$OB70-$MY70-$OY70)</f>
        <v>#DIV/0!</v>
      </c>
      <c r="PB70" s="55">
        <f>IF(Control!$C$61="T", IF(Control!$C$65="F", IF($AH$6-Control!$C$60&lt;0,0,1), IF(365+$AH$6-Control!$C$60&lt;0,0,1)),0)</f>
        <v>0</v>
      </c>
      <c r="PC70" s="55">
        <f ca="1">IF(Control!$C$65="F", IF($AH$6-$HF70&lt;0,0,1), IF(365+$AH$6-$HF70&lt;0,0,1))</f>
        <v>1</v>
      </c>
      <c r="PD70" s="444">
        <f>Control!$C$118</f>
        <v>1500</v>
      </c>
      <c r="PE70" s="180" t="e">
        <f t="shared" ref="PE70:PE133" ca="1" si="354">$CY70*($ON70-$MS70)</f>
        <v>#N/A</v>
      </c>
      <c r="PF70" s="445">
        <f t="shared" ca="1" si="189"/>
        <v>0.71612369323045078</v>
      </c>
      <c r="PT70" s="186"/>
      <c r="PU70" s="186"/>
      <c r="PV70" s="94"/>
      <c r="PW70" s="94"/>
      <c r="PX70" s="94"/>
      <c r="PY70" s="94"/>
      <c r="PZ70" s="94"/>
      <c r="QA70" s="94"/>
      <c r="QB70" s="94"/>
      <c r="QC70" s="94"/>
      <c r="QD70" s="94"/>
      <c r="QE70" s="94"/>
      <c r="QF70" s="94"/>
      <c r="QG70" s="94"/>
      <c r="QH70" s="94"/>
      <c r="QI70" s="94"/>
      <c r="QJ70" s="94"/>
      <c r="QK70" s="94"/>
      <c r="QL70" s="94"/>
      <c r="QM70" s="94"/>
      <c r="QN70" s="94"/>
      <c r="QO70" s="94"/>
      <c r="QP70" s="94"/>
    </row>
    <row r="71" spans="1:458" s="2" customFormat="1" x14ac:dyDescent="0.2">
      <c r="A71" s="395">
        <v>7</v>
      </c>
      <c r="B71" s="396">
        <v>3</v>
      </c>
      <c r="C71" s="387">
        <f ca="1">Weather_data!$B70</f>
        <v>0</v>
      </c>
      <c r="D71" s="388">
        <f ca="1">Weather_data!$F70</f>
        <v>0</v>
      </c>
      <c r="E71" s="388">
        <f ca="1">Weather_data!$E70</f>
        <v>0</v>
      </c>
      <c r="F71" s="388">
        <f t="shared" ref="F71:F134" ca="1" si="355">$D71-$E71</f>
        <v>0</v>
      </c>
      <c r="G71" s="388">
        <f ca="1">AVERAGE($D71:$E71)+Control!$B$9</f>
        <v>0</v>
      </c>
      <c r="H71" s="388">
        <f ca="1">Weather_data!$G70</f>
        <v>0</v>
      </c>
      <c r="I71" s="388">
        <f ca="1">Weather_data!$I70</f>
        <v>0</v>
      </c>
      <c r="J71" s="388">
        <f ca="1">Weather_data!$H70</f>
        <v>0</v>
      </c>
      <c r="K71" s="389">
        <f ca="1">Weather_data!$D70</f>
        <v>0</v>
      </c>
      <c r="L71" s="388" t="e">
        <f t="shared" ref="L71:L134" ca="1" si="356">$L70+$DM70</f>
        <v>#N/A</v>
      </c>
      <c r="M71" s="388" t="e">
        <f t="shared" ca="1" si="234"/>
        <v>#N/A</v>
      </c>
      <c r="N71" s="388">
        <f t="shared" ca="1" si="235"/>
        <v>-5.3055830599823617E-4</v>
      </c>
      <c r="O71" s="388">
        <f t="shared" ref="O71:O134" ca="1" si="357">$O70+$N70</f>
        <v>5.305583059982362E-3</v>
      </c>
      <c r="P71" s="390">
        <v>3</v>
      </c>
      <c r="Q71" s="388">
        <f ca="1">MAX($G71-Control!$C$107,0)</f>
        <v>0</v>
      </c>
      <c r="R71" s="388">
        <f t="shared" ref="R71:R134" ca="1" si="358">IF($G71&lt;=3,0,IF(33&gt;=$G71&gt;3,0+($G71-3)*((30-0)/(33-3)),IF($G71&gt;33,30)))</f>
        <v>0</v>
      </c>
      <c r="S71" s="388">
        <f t="shared" ca="1" si="236"/>
        <v>0</v>
      </c>
      <c r="T71" s="388">
        <f t="shared" ca="1" si="237"/>
        <v>0</v>
      </c>
      <c r="U71" s="59">
        <f t="shared" ca="1" si="238"/>
        <v>0</v>
      </c>
      <c r="V71" s="391">
        <f ca="1">MAX(0,MIN(Control!$C$100-Control!$C$99,$G71-Control!$C$99)*Control!$C$63)</f>
        <v>0</v>
      </c>
      <c r="W71" s="388">
        <f t="shared" ref="W71:W134" ca="1" si="359">$D71-0.25*($D71-$E71)</f>
        <v>0</v>
      </c>
      <c r="X71" s="388">
        <f t="shared" ref="X71:X134" ca="1" si="360">6.11*0.1*EXP(17.4*$G71/($G71+239))</f>
        <v>0.6110000000000001</v>
      </c>
      <c r="Y71" s="388">
        <f t="shared" ca="1" si="239"/>
        <v>0</v>
      </c>
      <c r="Z71" s="388">
        <f t="shared" ref="Z71:Z134" ca="1" si="361">6.10588*0.1*EXP((17.32491*$G71)/($G71+238.102))</f>
        <v>0.61058800000000002</v>
      </c>
      <c r="AA71" s="388">
        <f t="shared" ca="1" si="240"/>
        <v>0.6018</v>
      </c>
      <c r="AB71" s="388">
        <f ca="1">101.3*EXP(-0.034*Control!$C$66/($G71+273))</f>
        <v>100.69623283836242</v>
      </c>
      <c r="AC71" s="392">
        <f t="shared" ca="1" si="241"/>
        <v>4.3460251046025113E-2</v>
      </c>
      <c r="AD71" s="392">
        <f t="shared" ca="1" si="242"/>
        <v>4.4450382862832649E-2</v>
      </c>
      <c r="AE71" s="388">
        <f t="shared" ca="1" si="243"/>
        <v>0</v>
      </c>
      <c r="AF71" s="388">
        <f ca="1">MAX(0,$G71-Control!$C$92)</f>
        <v>0</v>
      </c>
      <c r="AG71" s="393">
        <f t="shared" ca="1" si="244"/>
        <v>67</v>
      </c>
      <c r="AH71" s="389">
        <f t="shared" ca="1" si="245"/>
        <v>67</v>
      </c>
      <c r="AI71" s="388">
        <f t="shared" ref="AI71:AI134" ca="1" si="362">$HD71</f>
        <v>-9.6791795185625529E-2</v>
      </c>
      <c r="AJ71" s="388">
        <f ca="1">IF(Control!$C$60&lt;=0,$HH71,$HI71)</f>
        <v>1</v>
      </c>
      <c r="AK71" s="388">
        <f t="shared" ca="1" si="246"/>
        <v>-0.22378468217351952</v>
      </c>
      <c r="AL71" s="388">
        <f t="shared" ca="1" si="247"/>
        <v>-3.6064380648515021E-19</v>
      </c>
      <c r="AM71" s="388">
        <f t="shared" ca="1" si="248"/>
        <v>-0.22378468217351952</v>
      </c>
      <c r="AN71" s="388">
        <f t="shared" ca="1" si="249"/>
        <v>-8.8395449645459881E-2</v>
      </c>
      <c r="AO71" s="388">
        <f ca="1">-0.10453/COS(Control!$B$8*PI()/180)*COS(AN71)</f>
        <v>-0.16912196733198104</v>
      </c>
      <c r="AP71" s="388">
        <f ca="1">ACOS(AO71-TAN(Control!$B$8*PI()/180)*TAN(AN71))</f>
        <v>1.6265104876022713</v>
      </c>
      <c r="AQ71" s="388">
        <f t="shared" ref="AQ71:AQ134" ca="1" si="363">$K71/1000</f>
        <v>0</v>
      </c>
      <c r="AR71" s="394">
        <f t="shared" ca="1" si="250"/>
        <v>0</v>
      </c>
      <c r="AS71" s="436">
        <f ca="1">IF(Control!$B$18=2,(IF(OR($AH71=Control!$B$175,$AH71=Control!$B$176,$AH71=Control!$B$177,$AH71=Control!$B$178,$AH71=Control!$B$179,$AH71=Control!$B$180,$AH71=Control!$B$181,$AH71=Control!$B$182,$AH71=Control!$B$183,$AH71=Control!$B$184,$AH71=Control!$B$185),1,0)),0)</f>
        <v>0</v>
      </c>
      <c r="AT71" s="436">
        <f>IF(Control!$B$20=8,IF(AND($AH71&gt;=Control!$B$172,$AH71&lt;=Control!$B$173),1,0),0)</f>
        <v>0</v>
      </c>
      <c r="AU71" s="436">
        <f>IF(Control!$B$20=8,IF($AV70=1,1*$AT71,IF($AT71=1,$AU70+1,$AU70)),0)</f>
        <v>0</v>
      </c>
      <c r="AV71" s="436">
        <f>IF(Control!$B$20=8,IF($AU71&gt;=Control!$B$174,1,0),0)</f>
        <v>0</v>
      </c>
      <c r="AW71" s="436">
        <f ca="1">IF(AND(Control!$B$18=2,Control!$B$171=1), $AV71, $AS71)</f>
        <v>0</v>
      </c>
      <c r="AX71" s="436" t="e">
        <f ca="1">IF(AND(Control!$B$18=1,$EU71&gt;=Control!$B$19),-$AY71,IF(AND(Control!$B$18=2,$AW71=1,$EU71&gt;$DS71),-$AY71, IF(Control!$C$108=0,0, IF(Control!$C$108&lt;&gt;0,1))))</f>
        <v>#N/A</v>
      </c>
      <c r="AY71" s="436" t="e">
        <f t="shared" ref="AY71:AY134" ca="1" si="364">$AY70+$AX70</f>
        <v>#N/A</v>
      </c>
      <c r="AZ71" s="436" t="e">
        <f ca="1">IF(AND(Control!$B$18=1,$EB71&gt;Control!$B$19),$AZ70+1, IF(AND(Control!$B$18=2, $AW71=1, $EB71&gt;$DS71), $AZ70+1,$AZ70))</f>
        <v>#N/A</v>
      </c>
      <c r="BA71" s="587">
        <f>IF(Control!$C$81=0,1,IF($AH71&gt;=Control!$C$82,1,0))</f>
        <v>1</v>
      </c>
      <c r="BB71" s="140" t="e">
        <f ca="1">IF($BA71&gt;$BA70,Control!$C$83,IF($AW71&gt;0,$AW71*Control!$C$84,IF(AND(Control!$B$18=1,EN70&lt;&gt;0),Control!$C$84,0)))</f>
        <v>#N/A</v>
      </c>
      <c r="BC71" s="140" t="e">
        <f t="shared" ref="BC71:BC134" ca="1" si="365">IF($BA71=0,0,IF(AND($BB71&gt;0,$BB71&lt;9),1,$BG70))</f>
        <v>#N/A</v>
      </c>
      <c r="BD71" s="140" t="e">
        <f ca="1">BC71*IF(OR($G71&lt;Control!$C$92,$G71&gt;Control!$C$95),0,IF(AND($G71&gt;=Control!$C$92,$G71&lt;=Control!$C$93),$G71-Control!$C$92,IF(AND($G71&gt;Control!$C$93,$G71&lt;=Control!$C$94),Control!$C$93-Control!$C$92,IF(AND($G71&gt;Control!$C$94,$G71&lt;=Control!$C$95),(Control!$C$93-Control!$C$92)*(Control!$C$94-$G71)/(Control!$C$95-Control!$C$94)))))</f>
        <v>#N/A</v>
      </c>
      <c r="BE71" s="140" t="e">
        <f t="shared" ref="BE71:BE134" ca="1" si="366">IF($BC71=0,0,$BF70+$BD71)</f>
        <v>#N/A</v>
      </c>
      <c r="BF71" s="140" t="e">
        <f ca="1">IF($BE71&lt;=Control!$C$86,$BE71,Control!$C$86-$BE71)</f>
        <v>#N/A</v>
      </c>
      <c r="BG71" s="140" t="e">
        <f ca="1">IF(AND($AW71=1,Control!$C$84&lt;9),1,IF($BE71&gt;=Control!$C$86,0,$BC71))</f>
        <v>#N/A</v>
      </c>
      <c r="BH71" s="404" t="e">
        <f ca="1">IF($BG71=0,0,IF($BE71&lt;=Control!$C$86,$BC71*9*($BF71/Control!$C$86),0))</f>
        <v>#N/A</v>
      </c>
      <c r="BI71" s="140" t="e">
        <f ca="1">IF($BG71=1,0,IF($BE71&gt;=Control!$C$86,1,IF(AND($BB71&lt;21,$BB71&gt;=9),1,$BM70)))</f>
        <v>#N/A</v>
      </c>
      <c r="BJ71" s="140" t="e">
        <f ca="1">IF($BF71&lt;0,-$BF71,$BI71*IF(OR($G71&lt;Control!$C$92,$G71&gt;Control!$C$95),0,IF(AND($G71&gt;=Control!$C$92,$G71&lt;=Control!$C$93),$G71-Control!$C$92,IF(AND($G71&gt;Control!$C$93,$G71&lt;=Control!$C$94),Control!$C$93-Control!$C$92,IF(AND($G71&gt;Control!$C$94,$G71&lt;=Control!$C$95),(Control!$C$93-Control!$C$92)*(Control!$C$94-$G71)/(Control!$C$95-Control!$C$94))))))</f>
        <v>#N/A</v>
      </c>
      <c r="BK71" s="140" t="e">
        <f t="shared" ref="BK71:BK134" ca="1" si="367">IF($BI71=0,0,IF($BF71&lt;0,$BL70+$BJ71-$BF71,$BL70+$BJ71))</f>
        <v>#N/A</v>
      </c>
      <c r="BL71" s="140" t="e">
        <f ca="1">IF($BK71&lt;=Control!$C$87,$BK71,Control!$C$87-$BK71)</f>
        <v>#N/A</v>
      </c>
      <c r="BM71" s="140" t="e">
        <f ca="1">IF(AND($BB71&gt;=9,$BB71&lt;21),1,IF($BK71&gt;=Control!$C$87,0,$BI71))</f>
        <v>#N/A</v>
      </c>
      <c r="BN71" s="404" t="e">
        <f ca="1">IF($BM71=0,0,IF($BK71&lt;=Control!$C$87,$BI71*(9+(21-9)*($BL71/Control!$C$87)),0))</f>
        <v>#N/A</v>
      </c>
      <c r="BO71" s="140" t="e">
        <f ca="1">IF($BM71=1,0,IF($BK71&gt;=Control!$C$87,1,IF(AND($BB71&lt;30,$BB71&gt;=21),1,$BS70)))</f>
        <v>#N/A</v>
      </c>
      <c r="BP71" s="140" t="e">
        <f ca="1">IF($BL71&lt;0,-$BL71,$BO71*IF(OR($G71&lt;Control!$C$92,$G71&gt;Control!$C$95),0,IF(AND($G71&gt;=Control!$C$92,$G71&lt;=Control!$C$93),$G71-Control!$C$92,IF(AND($G71&gt;Control!$C$93,$G71&lt;=Control!$C$94),Control!$C$93-Control!$C$92,IF(AND($G71&gt;Control!$C$94,$G71&lt;=Control!$C$95),(Control!$C$93-Control!$C$92)*(Control!$C$94-$G71)/(Control!$C$95-Control!$C$94))))))</f>
        <v>#N/A</v>
      </c>
      <c r="BQ71" s="140" t="e">
        <f t="shared" ca="1" si="251"/>
        <v>#N/A</v>
      </c>
      <c r="BR71" s="140" t="e">
        <f ca="1">IF($BQ71&lt;=Control!$C$88,$BQ71,Control!$C$88-$BQ71)</f>
        <v>#N/A</v>
      </c>
      <c r="BS71" s="140" t="e">
        <f ca="1">IF(AND($BB71&gt;=21,$BB71&lt;30),1,IF($BQ71&gt;=Control!$C$88,0,$BO71))</f>
        <v>#N/A</v>
      </c>
      <c r="BT71" s="404" t="e">
        <f ca="1">IF($BS71=0,0,IF($BQ71&lt;=Control!$C$88,$BO71*(21+(30-21)*(BR71/Control!$C$88)),0))</f>
        <v>#N/A</v>
      </c>
      <c r="BU71" s="140" t="e">
        <f ca="1">IF(BG71+BM71+BS71=1,0,IF(OR(AND($BB71&lt;60,$BB71&gt;=30),$BQ71&gt;=Control!$C$88),1*$BA71,$BY70))</f>
        <v>#N/A</v>
      </c>
      <c r="BV71" s="140" t="e">
        <f ca="1">IF($BR71&lt;0,-$BR71,$BU71*IF(OR($G71&lt;Control!$C$92,$G71&gt;Control!$C$95),0,IF(AND($G71&gt;=Control!$C$92,$G71&lt;=Control!$C$93),$G71-Control!$C$92,IF(AND($G71&gt;Control!$C$93,$G71&lt;=Control!$C$94),Control!$C$93-Control!$C$92,IF(AND($G71&gt;Control!$C$94,$G71&lt;=Control!$C$95),(Control!$C$93-Control!$C$92)*(Control!$C$94-$G71)/(Control!$C$95-Control!$C$94))))))</f>
        <v>#N/A</v>
      </c>
      <c r="BW71" s="140" t="e">
        <f t="shared" ca="1" si="252"/>
        <v>#N/A</v>
      </c>
      <c r="BX71" s="140" t="e">
        <f ca="1">IF($BW71&lt;=Control!$C$89,$BW71,Control!$C$89-$BW71)</f>
        <v>#N/A</v>
      </c>
      <c r="BY71" s="140" t="e">
        <f ca="1">IF(AND($AJ71&gt;=30,$AJ71&lt;60),1,IF($BW71&gt;=Control!$C$89,0,$BU71))</f>
        <v>#N/A</v>
      </c>
      <c r="BZ71" s="404" t="e">
        <f ca="1">IF($BY71=0,0,IF($BW71&lt;=Control!$C$89,$BU71*(30+(60-30)*(BX71/Control!$C$89)),0))</f>
        <v>#N/A</v>
      </c>
      <c r="CA71" s="140" t="e">
        <f ca="1">IF($BG71+$BM71+$BS71+$BY71=1,0,IF(OR(AND($BB71&lt;65,$BB71&gt;=60),$BW71&gt;=Control!$C$89),1*$BA71,$CE70))</f>
        <v>#N/A</v>
      </c>
      <c r="CB71" s="140" t="e">
        <f ca="1">IF($BX71&lt;0,-$BX71,$CA71*IF(OR($G71&lt;Control!$C$92,$G71&gt;Control!$C$95),0,IF(AND($G71&gt;=Control!$C$92,$G71&lt;=Control!$C$93),$G71-Control!$C$92,IF(AND($G71&gt;Control!$C$93,$G71&lt;=Control!$C$94),Control!$C$93-Control!$C$92,IF(AND($G71&gt;Control!$C$94,$G71&lt;=Control!$C$95),(Control!$C$93-Control!$C$92)*(Control!$C$94-$G71)/(Control!$C$95-Control!$C$94))))))</f>
        <v>#N/A</v>
      </c>
      <c r="CC71" s="140" t="e">
        <f t="shared" ref="CC71:CC134" ca="1" si="368">IF($CA71=1,$CC70+$CB71,0)</f>
        <v>#N/A</v>
      </c>
      <c r="CD71" s="140" t="e">
        <f ca="1">IF($CC71&lt;=Control!$C$90,$CC71,Control!$C$90-$CC71)</f>
        <v>#N/A</v>
      </c>
      <c r="CE71" s="140" t="e">
        <f ca="1">IF(AND($BB71&gt;=60,$BB71&lt;65),1,IF($CC71&gt;=Control!$C$90,0,$CA71))</f>
        <v>#N/A</v>
      </c>
      <c r="CF71" s="404" t="e">
        <f ca="1">IF($CE71=0,0,IF($CC71&lt;=Control!$C$90,$CA71*(60+(65-60)*(CD71/Control!$C$90)),0))</f>
        <v>#N/A</v>
      </c>
      <c r="CG71" s="140" t="e">
        <f ca="1">IF($BG71+$BM71+$BS71+$BY71+$CE71=1,0,IF(OR(AND($BB71&lt;90,$BB71&gt;=65),$CC71&gt;=Control!$C$90),$BA71,$CK70))</f>
        <v>#N/A</v>
      </c>
      <c r="CH71" s="140" t="e">
        <f ca="1">IF($CD71&lt;0,-$CD71,$CG71*IF(OR($G71&lt;Control!$C$92,$G71&gt;Control!$C$95),0,IF(AND($G71&gt;=Control!$C$92,$G71&lt;=Control!$C$93),$G71-Control!$C$92,IF(AND($G71&gt;Control!$C$93,$G71&lt;=Control!$C$94),Control!$C$93-Control!$C$92,IF(AND($G71&gt;Control!$C$94,$G71&lt;=Control!$C$95),(Control!$C$93-Control!$C$92)*(Control!$C$94-$G71)/(Control!$C$95-Control!$C$94))))))</f>
        <v>#N/A</v>
      </c>
      <c r="CI71" s="140" t="e">
        <f t="shared" ref="CI71:CI134" ca="1" si="369">IF($CG71=1,$CI70+$CH71,0)</f>
        <v>#N/A</v>
      </c>
      <c r="CJ71" s="140" t="e">
        <f ca="1">IF($CI71&lt;=Control!$C$91,$CI71,Control!$C$91-$CI71)</f>
        <v>#N/A</v>
      </c>
      <c r="CK71" s="140" t="e">
        <f ca="1">IF(AND($BB71&gt;=65,$BB71&lt;90),1,IF($CI71&gt;=Control!$C$91,0,$CG71))</f>
        <v>#N/A</v>
      </c>
      <c r="CL71" s="404" t="e">
        <f ca="1">IF($CK71=0,0,IF($CI71&lt;=Control!$C$91,$CG71*(65+(90-65)*($CJ71/Control!$C$91)),0))</f>
        <v>#N/A</v>
      </c>
      <c r="CM71" s="140" t="e">
        <f ca="1">IF($BG71+$BM71+$BS71+$BY71+$CE71+$CK71=1,0,IF(OR($BB71&gt;=90,$CI71&gt;=Control!$C$91),$BA71,$CM70))</f>
        <v>#N/A</v>
      </c>
      <c r="CN71" s="140" t="e">
        <f t="shared" ref="CN71:CN134" ca="1" si="370">CM71*90</f>
        <v>#N/A</v>
      </c>
      <c r="CO71" s="140" t="e">
        <f t="shared" ref="CO71:CO134" ca="1" si="371">MAX(0.0001,$BF71+$BL71+$BR71+$BX71+$CD71+$CJ71)</f>
        <v>#N/A</v>
      </c>
      <c r="CP71" s="140" t="e">
        <f t="shared" ref="CP71:CP134" ca="1" si="372">BH71+BN71+BT71+BZ71+CF71+CL71+CN71</f>
        <v>#N/A</v>
      </c>
      <c r="CQ71" s="141" t="e">
        <f ca="1">VLOOKUP($CP71,Control!$B$86:$G$91,6)</f>
        <v>#N/A</v>
      </c>
      <c r="CR71" s="141" t="e">
        <f ca="1">(1-$CQ71)*VLOOKUP($CP71,Control!$B$86:$D$91,3)</f>
        <v>#N/A</v>
      </c>
      <c r="CS71" s="141" t="e">
        <f ca="1">(1-$CQ71)*VLOOKUP($CP71,Control!$B$86:$E$91,4)</f>
        <v>#N/A</v>
      </c>
      <c r="CT71" s="141" t="e">
        <f ca="1">(1-$CQ71)*VLOOKUP($CP71,Control!$B$86:$F$91,5)</f>
        <v>#N/A</v>
      </c>
      <c r="CU71" s="141">
        <f t="shared" ref="CU71:CU134" ca="1" si="373">$CU70+$T70</f>
        <v>0</v>
      </c>
      <c r="CV71" s="583">
        <f t="shared" ref="CV71:CV134" ca="1" si="374">$CV70+$U70</f>
        <v>0</v>
      </c>
      <c r="CW71" s="142">
        <f t="shared" ref="CW71:CW134" ca="1" si="375">$AG71</f>
        <v>67</v>
      </c>
      <c r="CX71" s="612" t="e">
        <f ca="1">IF(Control!$C$114=1,(MIN(Control!$C$120*(IF($NT71-0.01&lt;0,0,1)),Control!$C$119-$CY71)))</f>
        <v>#DIV/0!</v>
      </c>
      <c r="CY71" s="143" t="e">
        <f t="shared" ref="CY71:CY134" ca="1" si="376">$CY70+$CX70</f>
        <v>#N/A</v>
      </c>
      <c r="CZ71" s="144">
        <f t="shared" ca="1" si="253"/>
        <v>0</v>
      </c>
      <c r="DA71" s="144">
        <f t="shared" ca="1" si="254"/>
        <v>0</v>
      </c>
      <c r="DB71" s="144" t="e">
        <f t="shared" ca="1" si="255"/>
        <v>#N/A</v>
      </c>
      <c r="DC71" s="144" t="e">
        <f t="shared" ca="1" si="256"/>
        <v>#N/A</v>
      </c>
      <c r="DD71" s="144" t="e">
        <f t="shared" ca="1" si="216"/>
        <v>#N/A</v>
      </c>
      <c r="DE71" s="143" t="e">
        <f t="shared" ref="DE71:DE134" ca="1" si="377">$DE70+$DD70</f>
        <v>#N/A</v>
      </c>
      <c r="DF71" s="145" t="e">
        <f ca="1">$DR71*EXP(-Control!$C$158*(1-$KH71))</f>
        <v>#N/A</v>
      </c>
      <c r="DG71" s="146" t="e">
        <f ca="1">IF(Control!$C$114=1, $DF71*$EY71, 0)</f>
        <v>#N/A</v>
      </c>
      <c r="DH71" s="147" t="e">
        <f t="shared" ref="DH71:DH134" ca="1" si="378">$DG71-$DZ71</f>
        <v>#N/A</v>
      </c>
      <c r="DI71" s="144" t="e">
        <f t="shared" ca="1" si="191"/>
        <v>#N/A</v>
      </c>
      <c r="DJ71" s="147" t="e">
        <f ca="1">$EF71*Control!$C$109</f>
        <v>#N/A</v>
      </c>
      <c r="DK71" s="144" t="e">
        <f t="shared" ref="DK71:DK134" ca="1" si="379">$DI71+$DJ71</f>
        <v>#N/A</v>
      </c>
      <c r="DL71" s="144" t="e">
        <f t="shared" ca="1" si="257"/>
        <v>#N/A</v>
      </c>
      <c r="DM71" s="144" t="e">
        <f ca="1">IF(Control!$C$114=1, (1-EXP(-Control!$C$96*$DK71))*$AR71, 0)</f>
        <v>#N/A</v>
      </c>
      <c r="DN71" s="144">
        <f t="shared" ref="DN71:DN134" ca="1" si="380">$DN70+$AR70</f>
        <v>0</v>
      </c>
      <c r="DO71" s="148">
        <f>Control!$C$97</f>
        <v>4</v>
      </c>
      <c r="DP71" s="145" t="e">
        <f t="shared" ref="DP71:DP134" ca="1" si="381">$DI71/MAX(0.1,$EB71)</f>
        <v>#N/A</v>
      </c>
      <c r="DQ71" s="145" t="e">
        <f ca="1">IF(AND($CP71&gt;=0,$CP71&lt;=90),Control!$C$111,Control!$C$111)</f>
        <v>#N/A</v>
      </c>
      <c r="DR71" s="145" t="e">
        <f t="shared" ca="1" si="258"/>
        <v>#N/A</v>
      </c>
      <c r="DS71" s="143" t="e">
        <f ca="1">Control!$B$22/$DR71</f>
        <v>#N/A</v>
      </c>
      <c r="DT71" s="149" t="e">
        <f ca="1">IF(AND(Control!$C$114=1,$KH71&lt;1),$IM71*$DF71, 0)</f>
        <v>#N/A</v>
      </c>
      <c r="DU71" s="144" t="e">
        <f t="shared" ref="DU71:DU134" ca="1" si="382">$DU70+$DW70</f>
        <v>#N/A</v>
      </c>
      <c r="DV71" s="144">
        <f ca="1">IF($G71-Control!$C$107&lt;=0, 0, 0.83*LN(MAX($G71, 3))-0.8924)</f>
        <v>0</v>
      </c>
      <c r="DW71" s="144" t="e">
        <f t="shared" ca="1" si="259"/>
        <v>#N/A</v>
      </c>
      <c r="DX71" s="150" t="e">
        <f ca="1">MAX(0.01*(1+$CU71/Control!$C$102),0.05*($DK71-Control!$C$97)/Control!$C$97)</f>
        <v>#N/A</v>
      </c>
      <c r="DY71" s="151" t="e">
        <f ca="1">IF(Control!$C$114=1, $DI71*$FS71, 0)</f>
        <v>#N/A</v>
      </c>
      <c r="DZ71" s="196" t="e">
        <f t="shared" ref="DZ71:DZ134" ca="1" si="383">IF($EN71&lt;=0, MIN(($DI71-0.08), $DY71+$DT71), $EN71*$DP71)</f>
        <v>#N/A</v>
      </c>
      <c r="EA71" s="152">
        <f t="shared" ref="EA71:EA134" ca="1" si="384">$AG71</f>
        <v>67</v>
      </c>
      <c r="EB71" s="153" t="e">
        <f t="shared" ref="EB71:EB134" ca="1" si="385">$EB70+$ED70</f>
        <v>#N/A</v>
      </c>
      <c r="EC71" s="153" t="e">
        <f t="shared" ref="EC71:EC134" ca="1" si="386">$EL71+$FM71+$FG71</f>
        <v>#N/A</v>
      </c>
      <c r="ED71" s="154" t="e">
        <f ca="1">IF(Control!$C$114=1, $HM71*$FY71-$FD71, 0)</f>
        <v>#DIV/0!</v>
      </c>
      <c r="EE71" s="155" t="e">
        <f ca="1">IF(Control!$C$114=1, $HM71*$FZ71-$FF71, 0)</f>
        <v>#DIV/0!</v>
      </c>
      <c r="EF71" s="153" t="e">
        <f t="shared" ca="1" si="193"/>
        <v>#N/A</v>
      </c>
      <c r="EG71" s="155" t="e">
        <f ca="1">IF(Control!$C$114=1, $GX71*$FW71-$FI71, 0)</f>
        <v>#DIV/0!</v>
      </c>
      <c r="EH71" s="153" t="e">
        <f t="shared" ref="EH71:EH134" ca="1" si="387">$EH70+$EG70</f>
        <v>#N/A</v>
      </c>
      <c r="EI71" s="156" t="e">
        <f t="shared" ref="EI71:EI134" ca="1" si="388">-$EH71</f>
        <v>#N/A</v>
      </c>
      <c r="EJ71" s="155" t="e">
        <f ca="1">IF(Control!$C$114=1, $HM71*$GB71, 0)</f>
        <v>#DIV/0!</v>
      </c>
      <c r="EK71" s="153" t="e">
        <f t="shared" ca="1" si="194"/>
        <v>#N/A</v>
      </c>
      <c r="EL71" s="153" t="e">
        <f t="shared" ca="1" si="260"/>
        <v>#N/A</v>
      </c>
      <c r="EM71" s="153" t="e">
        <f t="shared" ca="1" si="261"/>
        <v>#N/A</v>
      </c>
      <c r="EN71" s="153" t="e">
        <f ca="1">IF(Control!$C$108=1,IF(AND(Control!$B$18=1,$EB71&gt;=Control!$B$19),$EB71-$DS71,IF(AND(Control!$B$18=2,$AW71=1,$EB71&gt;$DS71),$EB71-$DS71,0)))</f>
        <v>#N/A</v>
      </c>
      <c r="EO71" s="153" t="e">
        <f ca="1">IF(Control!$C$108=1,IF(AND(Control!$B$18=1,$EB71&gt;=Control!$B$19),$EF71,IF(AND(Control!$B$18=2,$AW71=1),$EF71,0)))</f>
        <v>#N/A</v>
      </c>
      <c r="EP71" s="153" t="e">
        <f ca="1">IF(Control!$C$108=1,IF(AND(Control!$B$18=1,$EB71&gt;=Control!$B$19),$EK71,IF(AND(Control!$B$18=2,$AW71=1),$EK71,0)))</f>
        <v>#N/A</v>
      </c>
      <c r="EQ71" s="153" t="e">
        <f t="shared" ref="EQ71:EQ134" ca="1" si="389">$EN71+$EO71+$EP71</f>
        <v>#N/A</v>
      </c>
      <c r="ER71" s="153" t="e">
        <f t="shared" ref="ER71:ER133" ca="1" si="390">$ER70+$EN70</f>
        <v>#N/A</v>
      </c>
      <c r="ES71" s="153" t="e">
        <f t="shared" ca="1" si="196"/>
        <v>#N/A</v>
      </c>
      <c r="ET71" s="153" t="e">
        <f t="shared" ca="1" si="197"/>
        <v>#N/A</v>
      </c>
      <c r="EU71" s="153" t="e">
        <f t="shared" ref="EU71:EU134" ca="1" si="391">ER71+ES71+ET71</f>
        <v>#N/A</v>
      </c>
      <c r="EV71" s="153" t="e">
        <f t="shared" ca="1" si="262"/>
        <v>#N/A</v>
      </c>
      <c r="EW71" s="153" t="e">
        <f t="shared" ca="1" si="263"/>
        <v>#N/A</v>
      </c>
      <c r="EX71" s="153" t="e">
        <f t="shared" ca="1" si="264"/>
        <v>#N/A</v>
      </c>
      <c r="EY71" s="157" t="e">
        <f t="shared" ca="1" si="265"/>
        <v>#DIV/0!</v>
      </c>
      <c r="EZ71" s="154" t="e">
        <f t="shared" ca="1" si="266"/>
        <v>#DIV/0!</v>
      </c>
      <c r="FA71" s="153" t="e">
        <f t="shared" ref="FA71:FA134" ca="1" si="392">$FA70+$HC70</f>
        <v>#N/A</v>
      </c>
      <c r="FB71" s="153" t="e">
        <f t="shared" ca="1" si="267"/>
        <v>#N/A</v>
      </c>
      <c r="FC71" s="193" t="e">
        <f t="shared" ca="1" si="268"/>
        <v>#N/A</v>
      </c>
      <c r="FD71" s="158" t="e">
        <f t="shared" ref="FD71:FD134" ca="1" si="393">IF($EN71&lt;=0, MIN(($DI71-0.08)/$DF71, $HY71+$IM71), $EN71)</f>
        <v>#N/A</v>
      </c>
      <c r="FE71" s="158" t="e">
        <f t="shared" ref="FE71:FE134" ca="1" si="394">IF(AND($CP71&gt;=0, $CP71&lt;=90),0,0)</f>
        <v>#N/A</v>
      </c>
      <c r="FF71" s="159" t="e">
        <f t="shared" ca="1" si="269"/>
        <v>#N/A</v>
      </c>
      <c r="FG71" s="160" t="e">
        <f t="shared" ref="FG71:FG134" ca="1" si="395">$FG70+$FF70</f>
        <v>#N/A</v>
      </c>
      <c r="FH71" s="158" t="e">
        <f t="shared" ref="FH71:FH134" ca="1" si="396">IF(AND($CP71&gt;=0, $CP71&lt;=90), 0,0)</f>
        <v>#N/A</v>
      </c>
      <c r="FI71" s="159" t="e">
        <f t="shared" ca="1" si="270"/>
        <v>#N/A</v>
      </c>
      <c r="FJ71" s="160" t="e">
        <f t="shared" ref="FJ71:FJ134" ca="1" si="397">$FJ70+$FI70</f>
        <v>#N/A</v>
      </c>
      <c r="FK71" s="160" t="e">
        <f t="shared" ca="1" si="271"/>
        <v>#N/A</v>
      </c>
      <c r="FL71" s="160" t="e">
        <f t="shared" ca="1" si="229"/>
        <v>#N/A</v>
      </c>
      <c r="FM71" s="160" t="e">
        <f t="shared" ca="1" si="272"/>
        <v>#N/A</v>
      </c>
      <c r="FN71" s="158">
        <f t="shared" ref="FN71:FN134" ca="1" si="398">IF(AND($G71&lt;=50,$G71&gt;=30),(0.05+($G71-30)*((0.09-0.05)/(50-30))),IF(AND($G71&lt;30,$G71&gt;=15),(0.02+($G71-15)*((0.05-0.02)/(30-15))),IF(AND($G71&lt;15,$G71&gt;=10),(0.01+($G71-10)*((0.02-0.01)/(15-10))),IF(AND($G71&lt;10,$G71&gt;=-10),($G71+10)*((0.02-0)/(10+10)),IF($G71=-10,0)))))</f>
        <v>0.01</v>
      </c>
      <c r="FO71" s="160">
        <f>Control!$C$101</f>
        <v>50</v>
      </c>
      <c r="FP71" s="150" t="e">
        <f t="shared" ca="1" si="273"/>
        <v>#N/A</v>
      </c>
      <c r="FQ71" s="150" t="e">
        <f ca="1">MAX(0,(Control!$C$112*(($DK71-Control!$C$97)/Control!$C$97)))</f>
        <v>#N/A</v>
      </c>
      <c r="FR71" s="150" t="e">
        <f ca="1">(1-$NT71)*Control!$C$113</f>
        <v>#DIV/0!</v>
      </c>
      <c r="FS71" s="198" t="e">
        <f t="shared" ca="1" si="274"/>
        <v>#N/A</v>
      </c>
      <c r="FT71" s="161">
        <f t="shared" ref="FT71:FT134" ca="1" si="399">$AG71</f>
        <v>67</v>
      </c>
      <c r="FU71" s="162" t="e">
        <f ca="1">IF(Control!$B$34=1,VLOOKUP($CP71,Control!$B$86:$G$91,6),Control!$B$35)</f>
        <v>#N/A</v>
      </c>
      <c r="FV71" s="162" t="e">
        <f t="shared" ca="1" si="275"/>
        <v>#DIV/0!</v>
      </c>
      <c r="FW71" s="162" t="e">
        <f ca="1">IF(Control!$B$31=1,$FU71*$FV71,  $FU71)</f>
        <v>#N/A</v>
      </c>
      <c r="FX71" s="162" t="e">
        <f ca="1">IF(Control!$B$34=1,VLOOKUP($CP71,Control!$B$86:$G$91,3),Control!$B$36)</f>
        <v>#N/A</v>
      </c>
      <c r="FY71" s="162" t="e">
        <f t="shared" ca="1" si="276"/>
        <v>#N/A</v>
      </c>
      <c r="FZ71" s="162" t="e">
        <f ca="1">IF(Control!$B$34=1,VLOOKUP($CP71,Control!$B$86:$G$91,4),Control!$B$37)</f>
        <v>#N/A</v>
      </c>
      <c r="GA71" s="162" t="e">
        <f t="shared" ca="1" si="277"/>
        <v>#N/A</v>
      </c>
      <c r="GB71" s="162" t="e">
        <f ca="1">IF(Control!$B$34=1,VLOOKUP($CP71,Control!$B$86:$G$91,5),Control!$B$38)</f>
        <v>#N/A</v>
      </c>
      <c r="GC71" s="162" t="e">
        <f t="shared" ref="GC71:GC134" ca="1" si="400">$GB71</f>
        <v>#N/A</v>
      </c>
      <c r="GD71" s="162">
        <f t="shared" ca="1" si="278"/>
        <v>1</v>
      </c>
      <c r="GE71" s="162">
        <f t="shared" ca="1" si="279"/>
        <v>1</v>
      </c>
      <c r="GF71" s="162">
        <f ca="1">IF(AND(Control!$C$104=1, Control!$C$62="F"),$GE71,1)</f>
        <v>1</v>
      </c>
      <c r="GG71" s="162" t="e">
        <f ca="1">IF(Control!$B$16=40,0,IF(AND(Control!$B$16&gt;40,Control!$B$16&lt;=360),(Control!$B$16-40)*((1-0)/(360-40)),IF(AND(Control!$B$16&gt;360,Control!$B$16&lt;=720),(1+(Control!$B$16-360)*((1.25-1)/(720-360))),IF(AND(Control!$B$16&gt;720,Control!$B$16&lt;=1000),(1.25+(Control!$B$16-720)*((1.35-1.25)/(1000-720))),IF(AND(Control!$B$16&gt;1000,Control!$B$16&lt;=2000),(1.35+(Control!$B$16-1000)*0))))))</f>
        <v>#N/A</v>
      </c>
      <c r="GH71" s="162" t="e">
        <f t="shared" ca="1" si="280"/>
        <v>#N/A</v>
      </c>
      <c r="GI71" s="162">
        <f t="shared" ref="GI71:GI134" ca="1" si="401">IF($E71&lt;=0,0,IF(AND($E71&gt;=3,$E71&lt;=30),1,(($E71-0)*((1-0)/(3-0)))))</f>
        <v>0</v>
      </c>
      <c r="GJ71" s="162">
        <f t="shared" ca="1" si="281"/>
        <v>0</v>
      </c>
      <c r="GK71" s="162">
        <f t="shared" ref="GK71:GK134" ca="1" si="402">IF(AND($AR71&gt;=0,$AR71&lt;=10),1,IF(AND($AR71&gt;=40,$AR71&lt;=42),0.33,((1+($AR71-10)*((0.33-1)/(40-10))))))</f>
        <v>1</v>
      </c>
      <c r="GL71" s="162">
        <f t="shared" ca="1" si="282"/>
        <v>1</v>
      </c>
      <c r="GM71" s="162" t="e">
        <f ca="1">MAX(0,MIN(1,1-Control!$C$156*(1.0001-$KH71)^2))</f>
        <v>#N/A</v>
      </c>
      <c r="GN71" s="162" t="e">
        <f ca="1">IF(Control!$B$26=1,$KU71,$KX71)</f>
        <v>#N/A</v>
      </c>
      <c r="GO71" s="162" t="e">
        <f ca="1">IF($CP71&lt;=60,Control!$C$105,IF($CP71&gt;=90,Control!$C$106,Control!$C$105+($CP71-60)*((Control!$C$106-Control!$C$105)/(90-60))))</f>
        <v>#N/A</v>
      </c>
      <c r="GP71" s="162" t="e">
        <f t="shared" ca="1" si="283"/>
        <v>#N/A</v>
      </c>
      <c r="GQ71" s="162" t="e">
        <f t="shared" ref="GQ71:GQ134" ca="1" si="403">GN71*GO71*GP71</f>
        <v>#N/A</v>
      </c>
      <c r="GR71" s="163" t="e">
        <f t="shared" ca="1" si="284"/>
        <v>#DIV/0!</v>
      </c>
      <c r="GS71" s="162" t="e">
        <f t="shared" ca="1" si="285"/>
        <v>#DIV/0!</v>
      </c>
      <c r="GT71" s="164" t="e">
        <f t="shared" ref="GT71:GT134" ca="1" si="404">($DE71*10000*($DV71*0.31))*0.00000001</f>
        <v>#N/A</v>
      </c>
      <c r="GU71" s="162" t="e">
        <f t="shared" ref="GU71:GU134" ca="1" si="405">IF($EN71&lt;=0,$GT71*(1/$DF71),0)</f>
        <v>#N/A</v>
      </c>
      <c r="GV71" s="162" t="e">
        <f t="shared" ca="1" si="286"/>
        <v>#N/A</v>
      </c>
      <c r="GW71" s="162" t="e">
        <f t="shared" ca="1" si="287"/>
        <v>#DIV/0!</v>
      </c>
      <c r="GX71" s="162" t="e">
        <f t="shared" ref="GX71:GX134" ca="1" si="406">IF($GS71-$GV71&lt;=0, $GS71, $GV71)</f>
        <v>#DIV/0!</v>
      </c>
      <c r="GY71" s="162" t="e">
        <f t="shared" ref="GY71:GY134" ca="1" si="407">IF($GS71-$GU71&lt;=0, $GS71, $GU71)</f>
        <v>#DIV/0!</v>
      </c>
      <c r="GZ71" s="165" t="e">
        <f t="shared" ca="1" si="288"/>
        <v>#N/A</v>
      </c>
      <c r="HA71" s="162" t="e">
        <f ca="1">IF(Control!$C$114=1, $DI71*$FS71, 0)</f>
        <v>#N/A</v>
      </c>
      <c r="HB71" s="162" t="e">
        <f ca="1">$FA71/Control!$C$64</f>
        <v>#N/A</v>
      </c>
      <c r="HC71" s="162" t="e">
        <f t="shared" ca="1" si="289"/>
        <v>#DIV/0!</v>
      </c>
      <c r="HD71" s="162">
        <f ca="1">-ASIN(SIN(23.45*Control!$C$139)*COS(2*Control!$C$138*($AH71+10)/365))</f>
        <v>-9.6791795185625529E-2</v>
      </c>
      <c r="HE71" s="165">
        <f t="shared" ref="HE71:HE134" ca="1" si="408">$HE70+$V71</f>
        <v>0</v>
      </c>
      <c r="HF71" s="166">
        <f ca="1">IF(AND(Control!$C$61="T",$HE71&gt;=Control!$C$103,Control!$C$114=0),$AH71,Control!$C$59)</f>
        <v>1</v>
      </c>
      <c r="HG71" s="166">
        <f ca="1">IF(AND(Control!$C$61="T",$HE71&gt;=Control!$C$103,Control!$C$114=0),$HF71,Control!$C$59)</f>
        <v>1</v>
      </c>
      <c r="HH71" s="165">
        <f ca="1">IF(AND(OR(Control!$C$60&lt;=0, $AH71= Control!$C$59, Control!$C$60 &gt;0, $AH71 = Control!$C$60)), Control!$C$59, IF(Control!$C$60&gt;0, 0))</f>
        <v>1</v>
      </c>
      <c r="HI71" s="165">
        <f ca="1">IF(AND(OR(Control!$C$60&lt;=0, $AH71= Control!$C$59, Control!$C$60 &gt;0, $AH71 = Control!$C$60)), Control!$C$60, IF(Control!$C$60&lt;=0, 0))</f>
        <v>0</v>
      </c>
      <c r="HJ71" s="166">
        <f ca="1">IF(AND(Control!$C$62="F",$CV71&gt;=Control!$C$102),$AH71,0)</f>
        <v>0</v>
      </c>
      <c r="HK71" s="165" t="e">
        <f t="shared" ca="1" si="202"/>
        <v>#N/A</v>
      </c>
      <c r="HL71" s="166">
        <f ca="1">IF(AND(Control!$C$61="T",$HE71&gt;=Control!$C$103,Control!$C$114=0),$HF71,0)</f>
        <v>0</v>
      </c>
      <c r="HM71" s="201" t="e">
        <f t="shared" ca="1" si="290"/>
        <v>#DIV/0!</v>
      </c>
      <c r="HN71" s="215">
        <f t="shared" ref="HN71:HN134" ca="1" si="409">$CW71</f>
        <v>67</v>
      </c>
      <c r="HO71" s="216" t="e">
        <f ca="1">IF(AND($CP71&gt;=0, $CP71&lt;=90), Control!$C$152, Control!$C$152)</f>
        <v>#N/A</v>
      </c>
      <c r="HP71" s="216" t="e">
        <f t="shared" ca="1" si="291"/>
        <v>#N/A</v>
      </c>
      <c r="HQ71" s="217" t="e">
        <f ca="1">IF(OR(Control!$B$26=1,Control!$B$26=2),$KV71,$KS71)</f>
        <v>#DIV/0!</v>
      </c>
      <c r="HR71" s="218" t="e">
        <f t="shared" ca="1" si="223"/>
        <v>#DIV/0!</v>
      </c>
      <c r="HS71" s="216" t="e">
        <f ca="1">Control!$C$154*$HP71</f>
        <v>#N/A</v>
      </c>
      <c r="HT71" s="216" t="e">
        <f ca="1">Control!$C$155*$HP71</f>
        <v>#N/A</v>
      </c>
      <c r="HU71" s="217" t="e">
        <f ca="1">Control!$C$161*$FI71</f>
        <v>#N/A</v>
      </c>
      <c r="HV71" s="218" t="e">
        <f t="shared" ref="HV71:HV134" ca="1" si="410">$HV70+$HU70</f>
        <v>#N/A</v>
      </c>
      <c r="HW71" s="218" t="e">
        <f ca="1">Control!$C$160*$FF71+$IP71*$EO71</f>
        <v>#N/A</v>
      </c>
      <c r="HX71" s="218" t="e">
        <f t="shared" ca="1" si="203"/>
        <v>#N/A</v>
      </c>
      <c r="HY71" s="219" t="e">
        <f ca="1">IF(Control!$C$114=1, $EB71*$FS71, 0)</f>
        <v>#N/A</v>
      </c>
      <c r="HZ71" s="91" t="e">
        <f t="shared" ca="1" si="292"/>
        <v>#N/A</v>
      </c>
      <c r="IA71" s="220" t="e">
        <f ca="1">Control!$C$153*$HO71</f>
        <v>#N/A</v>
      </c>
      <c r="IB71" s="218" t="e">
        <f t="shared" ca="1" si="293"/>
        <v>#N/A</v>
      </c>
      <c r="IC71" s="220" t="e">
        <f ca="1">Control!$C$153*$HT71</f>
        <v>#N/A</v>
      </c>
      <c r="ID71" s="218" t="e">
        <f t="shared" ca="1" si="294"/>
        <v>#N/A</v>
      </c>
      <c r="IE71" s="221" t="e">
        <f ca="1">($EB71*Control!$C$159+$EF71*Control!$C$160)/(IF($GZ71&lt;&gt;0,$GZ71,1))</f>
        <v>#N/A</v>
      </c>
      <c r="IF71" s="216" t="e">
        <f t="shared" ca="1" si="295"/>
        <v>#N/A</v>
      </c>
      <c r="IG71" s="91">
        <f ca="1">IF(OR(Control!$B$198=$AH71,Control!$B$199=$AH71, Control!$B$200=$AH71, Control!$B$201=$AH71, Control!$B$202=$AH71, Control!$B$203=$AH71, Control!$B$204=$AH71, Control!$B$205=$AH71, Control!$B$206=$AH71, Control!$B$207=$AH71), 1, 0)</f>
        <v>0</v>
      </c>
      <c r="IH71" s="91">
        <f ca="1">IF($IG71=0,0, VLOOKUP($AH71,Control!$B$198:$C$207,2))</f>
        <v>0</v>
      </c>
      <c r="II71" s="222">
        <f t="shared" ref="II71:II134" ca="1" si="411">$II70+$IH71</f>
        <v>0</v>
      </c>
      <c r="IJ71" s="91">
        <f>Control!$C$121</f>
        <v>0.7</v>
      </c>
      <c r="IK71" s="218">
        <f t="shared" ca="1" si="296"/>
        <v>0</v>
      </c>
      <c r="IL71" s="217" t="e">
        <f t="shared" ca="1" si="204"/>
        <v>#N/A</v>
      </c>
      <c r="IM71" s="223" t="e">
        <f ca="1">IF(AND(Control!$C$114=1,$KH71&lt;1),$EB71*Control!$C$148*(1-$KH71), 0)</f>
        <v>#N/A</v>
      </c>
      <c r="IN71" s="217" t="e">
        <f t="shared" ca="1" si="297"/>
        <v>#DIV/0!</v>
      </c>
      <c r="IO71" s="91" t="e">
        <f ca="1">MAX(0,$IL71-$EF71*Control!$C$160)</f>
        <v>#N/A</v>
      </c>
      <c r="IP71" s="220" t="e">
        <f t="shared" ca="1" si="298"/>
        <v>#N/A</v>
      </c>
      <c r="IQ71" s="217" t="e">
        <f t="shared" ref="IQ71:IQ134" ca="1" si="412">$IQ70+$KF70</f>
        <v>#N/A</v>
      </c>
      <c r="IR71" s="218" t="e">
        <f t="shared" ca="1" si="299"/>
        <v>#N/A</v>
      </c>
      <c r="IS71" s="217" t="e">
        <f ca="1">Control!$C$159*MAX(0,$FD71-$EN71)</f>
        <v>#N/A</v>
      </c>
      <c r="IT71" s="217" t="e">
        <f t="shared" ca="1" si="205"/>
        <v>#N/A</v>
      </c>
      <c r="IU71" s="217" t="e">
        <f t="shared" ref="IU71:IU134" ca="1" si="413">$KG71*$EN71</f>
        <v>#N/A</v>
      </c>
      <c r="IV71" s="217" t="e">
        <f t="shared" ca="1" si="206"/>
        <v>#N/A</v>
      </c>
      <c r="IW71" s="217" t="e">
        <f ca="1">IF(OR($AW71=1,AND($AW71=0, Control!$B$18=1,$EN71&lt;&gt;0)), $IQ71-$IU71, $IQ71)</f>
        <v>#N/A</v>
      </c>
      <c r="IX71" s="218" t="e">
        <f t="shared" ca="1" si="300"/>
        <v>#N/A</v>
      </c>
      <c r="IY71" s="218" t="e">
        <f ca="1">MAX(0,$IQ71-$EB71*Control!$C$159)</f>
        <v>#N/A</v>
      </c>
      <c r="IZ71" s="218" t="e">
        <f t="shared" ca="1" si="301"/>
        <v>#N/A</v>
      </c>
      <c r="JA71" s="216" t="e">
        <f t="shared" ca="1" si="302"/>
        <v>#N/A</v>
      </c>
      <c r="JB71" s="217" t="e">
        <f t="shared" ca="1" si="303"/>
        <v>#N/A</v>
      </c>
      <c r="JC71" s="222" t="e">
        <f ca="1">MAX(Control!$C$157*$EK71-$JT71, 0)/Control!$C$162</f>
        <v>#N/A</v>
      </c>
      <c r="JD71" s="218" t="e">
        <f t="shared" ca="1" si="304"/>
        <v>#N/A</v>
      </c>
      <c r="JE71" s="218" t="e">
        <f t="shared" ca="1" si="305"/>
        <v>#N/A</v>
      </c>
      <c r="JF71" s="218" t="e">
        <f t="shared" ref="JF71:JF134" ca="1" si="414">$JF70+$JV70</f>
        <v>#N/A</v>
      </c>
      <c r="JG71" s="218" t="e">
        <f t="shared" ca="1" si="306"/>
        <v>#N/A</v>
      </c>
      <c r="JH71" s="217" t="e">
        <f t="shared" ref="JH71:JH134" ca="1" si="415">$IS71</f>
        <v>#N/A</v>
      </c>
      <c r="JI71" s="217" t="e">
        <f t="shared" ref="JI71:JI134" ca="1" si="416">MAX(0, $IZ71+$JB71+$JG71-JH71)</f>
        <v>#N/A</v>
      </c>
      <c r="JJ71" s="217" t="e">
        <f t="shared" ca="1" si="224"/>
        <v>#N/A</v>
      </c>
      <c r="JK71" s="217" t="e">
        <f ca="1">IF(Control!$C$114=1,IF(Control!$B$24=0,MAX(0,$JI71)*$GN71/Control!$C$64,(MAX(0,MIN($JI71,$JJ71*$GN71/Control!$C$64),0))))</f>
        <v>#N/A</v>
      </c>
      <c r="JL71" s="217" t="e">
        <f ca="1">$IK71/Control!$C$64-$JK71+$HQ71</f>
        <v>#N/A</v>
      </c>
      <c r="JM71" s="217" t="e">
        <f ca="1">IF(Control!$C$114=1,($JB71/(IF($JI71&lt;&gt;0,$JI71,1)))*$JK71,0)</f>
        <v>#N/A</v>
      </c>
      <c r="JN71" s="217" t="e">
        <f ca="1">IF(Control!$C$114=1,($JG71/(IF($JI71&lt;&gt;0,$JI71,1)))*$JK71, 0)</f>
        <v>#N/A</v>
      </c>
      <c r="JO71" s="218" t="e">
        <f t="shared" ca="1" si="307"/>
        <v>#N/A</v>
      </c>
      <c r="JP71" s="218" t="e">
        <f ca="1">MIN(($IY71+$IO71)*Control!$C$151, $JF71-$EH71*Control!$C$161)</f>
        <v>#N/A</v>
      </c>
      <c r="JQ71" s="218" t="e">
        <f t="shared" ca="1" si="308"/>
        <v>#N/A</v>
      </c>
      <c r="JR71" s="217" t="e">
        <f ca="1">IF($CP71-Control!$C$150&lt;0, 0, $JQ71/Control!$C$162)</f>
        <v>#N/A</v>
      </c>
      <c r="JS71" s="218" t="e">
        <f t="shared" ca="1" si="309"/>
        <v>#N/A</v>
      </c>
      <c r="JT71" s="218" t="e">
        <f t="shared" ref="JT71:JT134" ca="1" si="417">$JT70+$JS70</f>
        <v>#N/A</v>
      </c>
      <c r="JU71" s="218" t="e">
        <f t="shared" ca="1" si="310"/>
        <v>#N/A</v>
      </c>
      <c r="JV71" s="218" t="e">
        <f t="shared" ca="1" si="311"/>
        <v>#N/A</v>
      </c>
      <c r="JW71" s="216" t="e">
        <f t="shared" ca="1" si="312"/>
        <v>#N/A</v>
      </c>
      <c r="JX71" s="91" t="e">
        <f t="shared" ca="1" si="313"/>
        <v>#N/A</v>
      </c>
      <c r="JY71" s="218" t="e">
        <f t="shared" ca="1" si="314"/>
        <v>#N/A</v>
      </c>
      <c r="JZ71" s="217" t="e">
        <f ca="1">IF(Control!$C$114=1,($IZ71/(IF($JI71&lt;&gt;0,$JI71,1)))*$JK71, 0)</f>
        <v>#N/A</v>
      </c>
      <c r="KA71" s="218" t="e">
        <f t="shared" ca="1" si="225"/>
        <v>#N/A</v>
      </c>
      <c r="KB71" s="218" t="e">
        <f t="shared" ref="KB71:KB134" ca="1" si="418">$IV71+$IW71+$HX71+$IL71+$JF71</f>
        <v>#N/A</v>
      </c>
      <c r="KC71" s="218" t="e">
        <f t="shared" ca="1" si="315"/>
        <v>#N/A</v>
      </c>
      <c r="KD71" s="218" t="e">
        <f t="shared" ca="1" si="316"/>
        <v>#N/A</v>
      </c>
      <c r="KE71" s="218" t="e">
        <f t="shared" ca="1" si="317"/>
        <v>#N/A</v>
      </c>
      <c r="KF71" s="218" t="e">
        <f t="shared" ca="1" si="318"/>
        <v>#N/A</v>
      </c>
      <c r="KG71" s="216" t="e">
        <f t="shared" ca="1" si="319"/>
        <v>#N/A</v>
      </c>
      <c r="KH71" s="221" t="e">
        <f ca="1">IF(Control!$B$24=0,1,MAX(0.001,MIN(1,IF(($IF71-$IE71)&lt;&gt;0,($KG71-$IE71)/($IF71-$IE71),1))))</f>
        <v>#N/A</v>
      </c>
      <c r="KI71" s="222" t="e">
        <f ca="1">IF(Control!$C$114=1, $KI70+ $KH70, 0)</f>
        <v>#N/A</v>
      </c>
      <c r="KJ71" s="217" t="e">
        <f t="shared" ca="1" si="320"/>
        <v>#N/A</v>
      </c>
      <c r="KK71" s="218" t="e">
        <f t="shared" ca="1" si="321"/>
        <v>#N/A</v>
      </c>
      <c r="KL71" s="274" t="e">
        <f ca="1">IF(Control!$B$26=3,4000000000*EXP(-8400/($G71+273)),IF(Control!$B$26=4,4000000000*EXP(-8400/($G71+273))*($KT71),0))</f>
        <v>#DIV/0!</v>
      </c>
      <c r="KM71" s="274" t="e">
        <f ca="1">IF(Control!$B$26=3,5600000000000*EXP(-9800/($G71+273)),IF(Control!$B$26=4,5600000000000*EXP(-9800/($G71+273))*$KT71,0))</f>
        <v>#DIV/0!</v>
      </c>
      <c r="KN71" s="454" t="e">
        <f t="shared" ref="KN71:KN134" ca="1" si="419">$KN70-$KN70*(1-EXP(-$KL70))</f>
        <v>#DIV/0!</v>
      </c>
      <c r="KO71" s="274" t="e">
        <f t="shared" ref="KO71:KO134" ca="1" si="420">$KO70-$KO70*(1-EXP(-$KM70))</f>
        <v>#DIV/0!</v>
      </c>
      <c r="KP71" s="454" t="e">
        <f t="shared" ca="1" si="322"/>
        <v>#DIV/0!</v>
      </c>
      <c r="KQ71" s="454" t="e">
        <f t="shared" ca="1" si="323"/>
        <v>#DIV/0!</v>
      </c>
      <c r="KR71" s="454" t="e">
        <f t="shared" ca="1" si="324"/>
        <v>#DIV/0!</v>
      </c>
      <c r="KS71" s="454" t="e">
        <f t="shared" ca="1" si="325"/>
        <v>#DIV/0!</v>
      </c>
      <c r="KT71" s="455" t="e">
        <f t="shared" ca="1" si="326"/>
        <v>#DIV/0!</v>
      </c>
      <c r="KU71" s="456" t="e">
        <f ca="1">IF($CP71-Control!$C$149&lt;0, IF($NT71-0.01&lt;0,0,1),0)</f>
        <v>#N/A</v>
      </c>
      <c r="KV71" s="456" t="e">
        <f ca="1">IF(Control!$C$114=1,MAX(0,MIN(Control!$C$125*$KW71*$GN71,$KW71)))</f>
        <v>#DIV/0!</v>
      </c>
      <c r="KW71" s="456" t="e">
        <f t="shared" ca="1" si="208"/>
        <v>#DIV/0!</v>
      </c>
      <c r="KX71" s="457" t="e">
        <f ca="1">IF($CP71-Control!$C$149&lt;0, IF($MR71-$OM71&lt;0,0,1),0)</f>
        <v>#N/A</v>
      </c>
      <c r="KY71" s="167">
        <f t="shared" ref="KY71:KY134" ca="1" si="421">$AG71</f>
        <v>67</v>
      </c>
      <c r="KZ71" s="168">
        <f ca="1">1370*(1+0.033*COS(2*Control!$C$138*$AH71/365))</f>
        <v>1388.3291857166294</v>
      </c>
      <c r="LA71" s="169">
        <f t="shared" ref="LA71:LA134" ca="1" si="422">1+0.033*COS((2*PI()/365)*$AH71)</f>
        <v>1.0133790490358798</v>
      </c>
      <c r="LB71" s="169">
        <f t="shared" ref="LB71:LB134" ca="1" si="423">0.409*SIN((2*PI()*$AH71/365)-1.39)</f>
        <v>-9.588822741557064E-2</v>
      </c>
      <c r="LC71" s="169">
        <f ca="1">ACOS(-TAN((2*Control!$B$8/360))*TAN(Calculations!$LB71))</f>
        <v>1.5422064853031401</v>
      </c>
      <c r="LD71" s="169">
        <f ca="1">((24*60)/PI())*0.082*$LA71*(($LC71*SIN(Control!$B$8*2*PI()/360))*SIN($LB71)+COS(Control!$B$8*2*PI()/360)*COS($LB71)*SIN($LC71))</f>
        <v>18.900881198147957</v>
      </c>
      <c r="LE71" s="170">
        <f t="shared" ca="1" si="327"/>
        <v>19.009580308384667</v>
      </c>
      <c r="LF71" s="170">
        <f ca="1">SIN(Control!$C$139*Control!$B$8)*SIN($HD71)</f>
        <v>-7.6154061692784478E-2</v>
      </c>
      <c r="LG71" s="170">
        <f ca="1">COS(Control!$C$139*Control!$B$8)*COS($HD71)</f>
        <v>0.61277810268646404</v>
      </c>
      <c r="LH71" s="170">
        <f ca="1">12*(1+2*ASIN(MAX(-1,MIN(1,$LF71/$LG71))/Control!$C$138))</f>
        <v>11.050350112049307</v>
      </c>
      <c r="LI71" s="170">
        <f ca="1">12*(1+2*ASIN(MAX(-1,MIN(1,(-SIN(-4*Control!$C$139)+$LF71)/$LG71))/Control!$C$138))</f>
        <v>11.920244044084541</v>
      </c>
      <c r="LJ71" s="168">
        <f ca="1">3600*($LH71*$LF71+24*$LG71*SQRT(1-$LK71*$LK71)/Control!$C$138)</f>
        <v>13692.415677750289</v>
      </c>
      <c r="LK71" s="170">
        <f t="shared" ca="1" si="328"/>
        <v>-0.12427673469224748</v>
      </c>
      <c r="LL71" s="170">
        <f t="shared" ca="1" si="329"/>
        <v>0</v>
      </c>
      <c r="LM71" s="171">
        <f ca="1">Control!$C$145*$AB71</f>
        <v>6.6660906138995932E-2</v>
      </c>
      <c r="LN71" s="170">
        <f t="shared" ref="LN71:LN134" ca="1" si="424">0.54+0.35*MAX(0,MIN(1,$F71-12)/4)</f>
        <v>0.54</v>
      </c>
      <c r="LO71" s="170">
        <f t="shared" ca="1" si="330"/>
        <v>0</v>
      </c>
      <c r="LP71" s="170">
        <f ca="1">Control!$C$140*((($D71+273.16)^4+($E71+273.16)^4)/2)*(0.34-0.14*SQRT($Y71))*(1.35*$AQ71/(0.75*$LD71)-0.35)</f>
        <v>-3.2464704755046001</v>
      </c>
      <c r="LQ71" s="170">
        <f ca="1">Control!$C$140*($G71+273)^4*(0.56-0.079*SQRT($Y71*10))*(0.1+0.9*$LO71)</f>
        <v>1.5241745131704001</v>
      </c>
      <c r="LR71" s="170">
        <f ca="1">$AQ71*(1-Control!$C$142)-$LQ71</f>
        <v>-1.5241745131704001</v>
      </c>
      <c r="LS71" s="170">
        <f ca="1">$AQ71*(1-Control!$C$143)-$LQ71</f>
        <v>-1.5241745131704001</v>
      </c>
      <c r="LT71" s="170">
        <f ca="1">$AQ71*(1-Control!$C$144)-$LQ71</f>
        <v>-1.5241745131704001</v>
      </c>
      <c r="LU71" s="169">
        <f ca="1">(1-Control!$C$144)*AQ71-LP71</f>
        <v>3.2464704755046001</v>
      </c>
      <c r="LV71" s="172">
        <f t="shared" ca="1" si="331"/>
        <v>0.79430000000000012</v>
      </c>
      <c r="LW71" s="170">
        <f t="shared" ca="1" si="332"/>
        <v>1.5886000000000002</v>
      </c>
      <c r="LX71" s="170">
        <f ca="1">($AC71*($LR71/Control!$C$141)+$LM71*$LV71)/($AC71+$LM71)</f>
        <v>0.23530094218323697</v>
      </c>
      <c r="LY71" s="170">
        <f ca="1">($AC71*($LS71/Control!$C$141)+$LM71*$LV71)/($AC71+$LM71)</f>
        <v>0.23530094218323697</v>
      </c>
      <c r="LZ71" s="170">
        <f t="shared" ca="1" si="333"/>
        <v>0.23530094218323697</v>
      </c>
      <c r="MA71" s="170">
        <f t="shared" ca="1" si="334"/>
        <v>0.23530094218323697</v>
      </c>
      <c r="MB71" s="170" t="e">
        <f t="shared" ca="1" si="335"/>
        <v>#N/A</v>
      </c>
      <c r="MC71" s="170">
        <f t="shared" ref="MC71:MC134" ca="1" si="425">$AA71-$Y71</f>
        <v>0.6018</v>
      </c>
      <c r="MD71" s="170">
        <f t="shared" ca="1" si="336"/>
        <v>0.52989392535414004</v>
      </c>
      <c r="ME71" s="170">
        <f ca="1">($AC71*($LT71/Control!$C$141)+$LM71*$LW71)/($AC71+$LM71)</f>
        <v>0.71612369323045078</v>
      </c>
      <c r="MF71" s="170" t="e">
        <f ca="1">IF(Control!$B$16&gt;=1000,0.92,IF(AND(720&lt;=Control!$B$16,1000&gt;Control!$B$16),(0.95+(Control!$B$16-720)*((0.92-0.95)/(1000-720))),IF(AND(360&lt;=Control!$B$16,720&gt;Control!$B$16),(1+(Control!$B$16-360)*((0.95-1)/(720-360))),IF(AND(40&lt;=Control!$B$16,360&gt;Control!$B$16),(1.05+(Control!$B$16-40)*((1.05-1)/(360-40)))))))</f>
        <v>#N/A</v>
      </c>
      <c r="MG71" s="170">
        <f t="shared" ca="1" si="337"/>
        <v>0.71612369323045078</v>
      </c>
      <c r="MH71" s="170" t="e">
        <f t="shared" ca="1" si="233"/>
        <v>#N/A</v>
      </c>
      <c r="MI71" s="170" t="e">
        <f t="shared" ca="1" si="233"/>
        <v>#N/A</v>
      </c>
      <c r="MJ71" s="170" t="e">
        <f ca="1">MAX(0.0001, Control!$C$132*$MI71*$DL71)</f>
        <v>#N/A</v>
      </c>
      <c r="MK71" s="170">
        <f ca="1">1/(0.76+1.5*($MG71/10))-(5-Control!$C$110)*0.1</f>
        <v>1.002845988140797</v>
      </c>
      <c r="ML71" s="173">
        <f ca="1">IF(Control!$C$110&lt;3,$MK71+($MG71-0.6)/(Control!$C$110*(Control!$C$110+3)), MAX(0.1, MIN(0.95,$MK71)))</f>
        <v>0.95</v>
      </c>
      <c r="MM71" s="173">
        <f ca="1">IF(Control!$C$110&lt;3,$MK71+(($MI71/10)-0.6)/(Control!$C$110*(Control!$C$110+3)), MAX(0.1, MIN(0.95,$MK71)))</f>
        <v>0.95</v>
      </c>
      <c r="MN71" s="173">
        <f ca="1">(1-$MM71)*(Control!$C$128-Control!$C$127)+Control!$C$127</f>
        <v>0.16</v>
      </c>
      <c r="MO71" s="170" t="e">
        <f ca="1">MAX(0,MIN(1,($MS71-Control!$C$127)/($MN71-Control!$C$127)))</f>
        <v>#DIV/0!</v>
      </c>
      <c r="MP71" s="173" t="e">
        <f ca="1">1/(0.76+1.5*$MI71)-(5-Control!$C$110)*0.1</f>
        <v>#N/A</v>
      </c>
      <c r="MQ71" s="172" t="e">
        <f t="shared" ca="1" si="209"/>
        <v>#DIV/0!</v>
      </c>
      <c r="MR71" s="168" t="e">
        <f t="shared" ref="MR71:MR134" ca="1" si="426">$MR70+$OI70</f>
        <v>#DIV/0!</v>
      </c>
      <c r="MS71" s="173" t="e">
        <f ca="1">MAX(Control!$C$127, MIN(Control!$C$135, $MR71/MAX(0.0001,$CY71)))</f>
        <v>#DIV/0!</v>
      </c>
      <c r="MT71" s="168" t="e">
        <f ca="1">(Control!$C$128-$MS71)*Control!$C$74</f>
        <v>#DIV/0!</v>
      </c>
      <c r="MU71" s="168" t="e">
        <f ca="1">(Control!$C$135-$MS71)*Control!$C$74</f>
        <v>#DIV/0!</v>
      </c>
      <c r="MV71" s="168" t="e">
        <f t="shared" ref="MV71:MV134" ca="1" si="427">$MV70+$OA70</f>
        <v>#DIV/0!</v>
      </c>
      <c r="MW71" s="168" t="e">
        <f t="shared" ref="MW71:MW134" ca="1" si="428">$MW70+$OJ70</f>
        <v>#DIV/0!</v>
      </c>
      <c r="MX71" s="171" t="e">
        <f ca="1">MAX(Control!$C$127, MIN(Control!$C$135, $MW71/MAX(0.0001,Control!$C$119-$CY71)))</f>
        <v>#DIV/0!</v>
      </c>
      <c r="MY71" s="54" t="e">
        <f ca="1">IF(Control!$C$114=1, $CX71*$MX71, 0)</f>
        <v>#DIV/0!</v>
      </c>
      <c r="MZ71" s="54" t="e">
        <f t="shared" ref="MZ71:MZ134" ca="1" si="429">$MZ70+$MY70</f>
        <v>#N/A</v>
      </c>
      <c r="NA71" s="168" t="e">
        <f ca="1">(Control!$C$128-$MX71)*(Control!$C$119-Control!$C$74)</f>
        <v>#DIV/0!</v>
      </c>
      <c r="NB71" s="168" t="e">
        <f ca="1">(Control!$C$135-$MX71)*(Control!$C$119-Control!$C$74)</f>
        <v>#DIV/0!</v>
      </c>
      <c r="NC71" s="174" t="e">
        <f t="shared" ref="NC71:NC134" ca="1" si="430">IF($NL70&gt;=5, 1, $NC70+1)</f>
        <v>#DIV/0!</v>
      </c>
      <c r="ND71" s="54">
        <f ca="1">IF(Control!$C$58=2, IF(OR(Control!$B$218=$AH71,Control!$B$219=$AH71, Control!$B$220=$AH71, Control!$B$221=$AH71, Control!$B$222=$AH71, Control!$B$223=$AH71, Control!$B$224=$AH71, Control!$B$225=$AH71, Control!$B$226=$AH71, Control!$B$227=$AH71, Control!$B$228=$AH71), 1, 0), 0)</f>
        <v>0</v>
      </c>
      <c r="NE71" s="54">
        <f ca="1">IF($ND71=0,0, VLOOKUP($AH71,Control!$B$218:$C$228,2))</f>
        <v>0</v>
      </c>
      <c r="NF71" s="168" t="e">
        <f ca="1">$CY71*(Control!$C$128-Control!$C$127)</f>
        <v>#N/A</v>
      </c>
      <c r="NG71" s="54" t="e">
        <f ca="1">IF(Control!$C$58=2, $NI70-$NJ70, 0)</f>
        <v>#DIV/0!</v>
      </c>
      <c r="NH71" s="54" t="e">
        <f ca="1">IF(AND(Control!$C$58=1, $MS70&lt;= ($MN70+0.02), $I70&lt;10), 0, IF(Control!$C$58=2, $NG70, 0))</f>
        <v>#DIV/0!</v>
      </c>
      <c r="NI71" s="54" t="e">
        <f ca="1">IF(Control!$C$58=2, $NE71+$NH71,0)</f>
        <v>#DIV/0!</v>
      </c>
      <c r="NJ71" s="54" t="e">
        <f ca="1">IF(AND(Control!$C$58=1, $MS71&lt;= ($MN71+0.02), $I71&lt;10), MAX(0, MIN(10, 0.7*($NF71-$MV71))), IF(Control!$C$58=2, MIN(10,$NI71),0))</f>
        <v>#DIV/0!</v>
      </c>
      <c r="NK71" s="54" t="e">
        <f t="shared" ca="1" si="338"/>
        <v>#DIV/0!</v>
      </c>
      <c r="NL71" s="173" t="e">
        <f ca="1">(1-Control!$C$73)*$I71+$NJ71</f>
        <v>#DIV/0!</v>
      </c>
      <c r="NM71" s="172" t="e">
        <f ca="1">IF($NL71&lt;0.5, $MB71* MAX(0, MIN(1, (SQRT($NC71)-SQRT($NC71-1))*Control!$C$71)),0)</f>
        <v>#DIV/0!</v>
      </c>
      <c r="NN71" s="170" t="e">
        <f ca="1">IF($NL71&gt;=5, $MB71, MAX(0,MIN($MB71, $NM71+$NL71,($MS71-Control!$C$129))))</f>
        <v>#DIV/0!</v>
      </c>
      <c r="NO71" s="54">
        <f>IF(Control!$C$133&lt;&gt;1, Control!$C$135-Control!$C$131, 0)</f>
        <v>0.38</v>
      </c>
      <c r="NP71" s="54" t="e">
        <f t="shared" ca="1" si="339"/>
        <v>#DIV/0!</v>
      </c>
      <c r="NQ71" s="173" t="e">
        <f ca="1">MAX(0,MIN(1,(Control!$C$135-$MS71)/(Control!$C$135-$NO71)))</f>
        <v>#DIV/0!</v>
      </c>
      <c r="NR71" s="170" t="e">
        <f ca="1">IF(Control!$C$133&lt;&gt;1, $NQ71+((1-$NP71/4)*(1-$NQ71)),1)</f>
        <v>#DIV/0!</v>
      </c>
      <c r="NS71" s="170" t="e">
        <f ca="1">IF(Control!$B$31=0,$MJ71,MAX(0,MIN($MV71,$MO71*$NR71*$MJ71)))</f>
        <v>#DIV/0!</v>
      </c>
      <c r="NT71" s="170" t="e">
        <f t="shared" ca="1" si="227"/>
        <v>#DIV/0!</v>
      </c>
      <c r="NU71" s="170" t="e">
        <f t="shared" ref="NU71:NU134" ca="1" si="431">$NU70+$NT71</f>
        <v>#N/A</v>
      </c>
      <c r="NV71" s="170" t="e">
        <f t="shared" ca="1" si="340"/>
        <v>#N/A</v>
      </c>
      <c r="NW71" s="175" t="e">
        <f t="shared" ca="1" si="341"/>
        <v>#DIV/0!</v>
      </c>
      <c r="NX71" s="170" t="e">
        <f ca="1">MIN(Control!$C$72+$MU71, $NW71)</f>
        <v>#DIV/0!</v>
      </c>
      <c r="NY71" s="170" t="e">
        <f ca="1">IF($MT71&lt;=$NX71,MIN(Control!$C$72+$NB71,$NX71-$MT71),0)</f>
        <v>#DIV/0!</v>
      </c>
      <c r="NZ71" s="54" t="e">
        <f ca="1">IF(Control!$C$114=1,  $CX71*($MX71-Control!$C$127), 0)</f>
        <v>#DIV/0!</v>
      </c>
      <c r="OA71" s="170" t="e">
        <f t="shared" ca="1" si="342"/>
        <v>#DIV/0!</v>
      </c>
      <c r="OB71" s="170" t="e">
        <f ca="1">IF($NA71 &lt;=$NY71, MIN(Control!$C$72, $NY71-$NA71), 0)</f>
        <v>#DIV/0!</v>
      </c>
      <c r="OC71" s="168" t="e">
        <f t="shared" ca="1" si="343"/>
        <v>#DIV/0!</v>
      </c>
      <c r="OD71" s="168" t="e">
        <f t="shared" ref="OD71:OD134" ca="1" si="432">$OD70+$OC70</f>
        <v>#DIV/0!</v>
      </c>
      <c r="OE71" s="170">
        <f ca="1">Control!$C$73*$I71</f>
        <v>0</v>
      </c>
      <c r="OF71" s="176" t="e">
        <f t="shared" ca="1" si="344"/>
        <v>#DIV/0!</v>
      </c>
      <c r="OG71" s="168" t="e">
        <f t="shared" ca="1" si="345"/>
        <v>#DIV/0!</v>
      </c>
      <c r="OH71" s="168" t="e">
        <f t="shared" ca="1" si="346"/>
        <v>#DIV/0!</v>
      </c>
      <c r="OI71" s="168" t="e">
        <f t="shared" ca="1" si="347"/>
        <v>#DIV/0!</v>
      </c>
      <c r="OJ71" s="168" t="e">
        <f t="shared" ca="1" si="348"/>
        <v>#DIV/0!</v>
      </c>
      <c r="OK71" s="204" t="e">
        <f t="shared" ca="1" si="349"/>
        <v>#DIV/0!</v>
      </c>
      <c r="OL71" s="177">
        <f>Control!$C$127</f>
        <v>0.15</v>
      </c>
      <c r="OM71" s="182" t="e">
        <f t="shared" ca="1" si="350"/>
        <v>#N/A</v>
      </c>
      <c r="ON71" s="177">
        <f>Control!$C$128</f>
        <v>0.35</v>
      </c>
      <c r="OO71" s="182" t="e">
        <f t="shared" ca="1" si="351"/>
        <v>#N/A</v>
      </c>
      <c r="OP71" s="138">
        <f t="shared" ref="OP71:OP134" ca="1" si="433">$OP70+$I70</f>
        <v>0</v>
      </c>
      <c r="OQ71" s="138" t="e">
        <f t="shared" ca="1" si="211"/>
        <v>#DIV/0!</v>
      </c>
      <c r="OR71" s="138" t="e">
        <f t="shared" ref="OR71:OR134" ca="1" si="434">$OP71+$OQ71</f>
        <v>#DIV/0!</v>
      </c>
      <c r="OS71" s="137" t="e">
        <f t="shared" ca="1" si="212"/>
        <v>#DIV/0!</v>
      </c>
      <c r="OT71" s="139" t="e">
        <f t="shared" ca="1" si="213"/>
        <v>#DIV/0!</v>
      </c>
      <c r="OU71" s="138" t="e">
        <f t="shared" ca="1" si="214"/>
        <v>#N/A</v>
      </c>
      <c r="OV71" s="138" t="e">
        <f t="shared" ca="1" si="215"/>
        <v>#DIV/0!</v>
      </c>
      <c r="OW71" s="138" t="e">
        <f t="shared" ref="OW71:OW134" ca="1" si="435">$OW70+$OI71</f>
        <v>#DIV/0!</v>
      </c>
      <c r="OX71" s="138" t="e">
        <f t="shared" ref="OX71:OX134" ca="1" si="436">$OX70+$OI70</f>
        <v>#DIV/0!</v>
      </c>
      <c r="OY71" s="138" t="e">
        <f t="shared" ref="OY71:OY134" ca="1" si="437">$OY70+$OJ70</f>
        <v>#DIV/0!</v>
      </c>
      <c r="OZ71" s="138" t="e">
        <f t="shared" ca="1" si="352"/>
        <v>#DIV/0!</v>
      </c>
      <c r="PA71" s="138" t="e">
        <f t="shared" ca="1" si="353"/>
        <v>#DIV/0!</v>
      </c>
      <c r="PB71" s="55">
        <f>IF(Control!$C$61="T", IF(Control!$C$65="F", IF($AH$6-Control!$C$60&lt;0,0,1), IF(365+$AH$6-Control!$C$60&lt;0,0,1)),0)</f>
        <v>0</v>
      </c>
      <c r="PC71" s="55">
        <f ca="1">IF(Control!$C$65="F", IF($AH$6-$HF71&lt;0,0,1), IF(365+$AH$6-$HF71&lt;0,0,1))</f>
        <v>1</v>
      </c>
      <c r="PD71" s="444">
        <f>Control!$C$118</f>
        <v>1500</v>
      </c>
      <c r="PE71" s="180" t="e">
        <f t="shared" ca="1" si="354"/>
        <v>#N/A</v>
      </c>
      <c r="PF71" s="445">
        <f t="shared" ref="PF71:PF134" ca="1" si="438">$ME71</f>
        <v>0.71612369323045078</v>
      </c>
      <c r="PT71" s="186"/>
      <c r="PU71" s="186"/>
      <c r="PV71" s="94"/>
      <c r="PW71" s="94"/>
      <c r="PX71" s="94"/>
      <c r="PY71" s="94"/>
      <c r="PZ71" s="94"/>
      <c r="QA71" s="94"/>
      <c r="QB71" s="94"/>
      <c r="QC71" s="94"/>
      <c r="QD71" s="94"/>
      <c r="QE71" s="94"/>
      <c r="QF71" s="94"/>
      <c r="QG71" s="94"/>
      <c r="QH71" s="94"/>
      <c r="QI71" s="94"/>
      <c r="QJ71" s="94"/>
      <c r="QK71" s="94"/>
      <c r="QL71" s="94"/>
      <c r="QM71" s="94"/>
      <c r="QN71" s="94"/>
      <c r="QO71" s="94"/>
      <c r="QP71" s="94"/>
    </row>
    <row r="72" spans="1:458" s="2" customFormat="1" x14ac:dyDescent="0.2">
      <c r="A72" s="395">
        <v>8</v>
      </c>
      <c r="B72" s="396">
        <v>3</v>
      </c>
      <c r="C72" s="387">
        <f ca="1">Weather_data!$B71</f>
        <v>0</v>
      </c>
      <c r="D72" s="388">
        <f ca="1">Weather_data!$F71</f>
        <v>0</v>
      </c>
      <c r="E72" s="388">
        <f ca="1">Weather_data!$E71</f>
        <v>0</v>
      </c>
      <c r="F72" s="388">
        <f t="shared" ca="1" si="355"/>
        <v>0</v>
      </c>
      <c r="G72" s="388">
        <f ca="1">AVERAGE($D72:$E72)+Control!$B$9</f>
        <v>0</v>
      </c>
      <c r="H72" s="388">
        <f ca="1">Weather_data!$G71</f>
        <v>0</v>
      </c>
      <c r="I72" s="388">
        <f ca="1">Weather_data!$I71</f>
        <v>0</v>
      </c>
      <c r="J72" s="388">
        <f ca="1">Weather_data!$H71</f>
        <v>0</v>
      </c>
      <c r="K72" s="389">
        <f ca="1">Weather_data!$D71</f>
        <v>0</v>
      </c>
      <c r="L72" s="388" t="e">
        <f t="shared" ca="1" si="356"/>
        <v>#N/A</v>
      </c>
      <c r="M72" s="388" t="e">
        <f t="shared" ca="1" si="234"/>
        <v>#N/A</v>
      </c>
      <c r="N72" s="388">
        <f t="shared" ca="1" si="235"/>
        <v>-4.7750247539841262E-4</v>
      </c>
      <c r="O72" s="388">
        <f t="shared" ca="1" si="357"/>
        <v>4.7750247539841261E-3</v>
      </c>
      <c r="P72" s="390">
        <v>3</v>
      </c>
      <c r="Q72" s="388">
        <f ca="1">MAX($G72-Control!$C$107,0)</f>
        <v>0</v>
      </c>
      <c r="R72" s="388">
        <f t="shared" ca="1" si="358"/>
        <v>0</v>
      </c>
      <c r="S72" s="388">
        <f t="shared" ca="1" si="236"/>
        <v>0</v>
      </c>
      <c r="T72" s="388">
        <f t="shared" ca="1" si="237"/>
        <v>0</v>
      </c>
      <c r="U72" s="59">
        <f t="shared" ca="1" si="238"/>
        <v>0</v>
      </c>
      <c r="V72" s="391">
        <f ca="1">MAX(0,MIN(Control!$C$100-Control!$C$99,$G72-Control!$C$99)*Control!$C$63)</f>
        <v>0</v>
      </c>
      <c r="W72" s="388">
        <f t="shared" ca="1" si="359"/>
        <v>0</v>
      </c>
      <c r="X72" s="388">
        <f t="shared" ca="1" si="360"/>
        <v>0.6110000000000001</v>
      </c>
      <c r="Y72" s="388">
        <f t="shared" ca="1" si="239"/>
        <v>0</v>
      </c>
      <c r="Z72" s="388">
        <f t="shared" ca="1" si="361"/>
        <v>0.61058800000000002</v>
      </c>
      <c r="AA72" s="388">
        <f t="shared" ca="1" si="240"/>
        <v>0.6018</v>
      </c>
      <c r="AB72" s="388">
        <f ca="1">101.3*EXP(-0.034*Control!$C$66/($G72+273))</f>
        <v>100.69623283836242</v>
      </c>
      <c r="AC72" s="392">
        <f t="shared" ca="1" si="241"/>
        <v>4.3460251046025113E-2</v>
      </c>
      <c r="AD72" s="392">
        <f t="shared" ca="1" si="242"/>
        <v>4.4450382862832649E-2</v>
      </c>
      <c r="AE72" s="388">
        <f t="shared" ca="1" si="243"/>
        <v>0</v>
      </c>
      <c r="AF72" s="388">
        <f ca="1">MAX(0,$G72-Control!$C$92)</f>
        <v>0</v>
      </c>
      <c r="AG72" s="393">
        <f t="shared" ca="1" si="244"/>
        <v>68</v>
      </c>
      <c r="AH72" s="389">
        <f t="shared" ca="1" si="245"/>
        <v>68</v>
      </c>
      <c r="AI72" s="388">
        <f t="shared" ca="1" si="362"/>
        <v>-9.0103278241884494E-2</v>
      </c>
      <c r="AJ72" s="388">
        <f ca="1">IF(Control!$C$60&lt;=0,$HH72,$HI72)</f>
        <v>1</v>
      </c>
      <c r="AK72" s="388">
        <f t="shared" ca="1" si="246"/>
        <v>-0.20657047585247953</v>
      </c>
      <c r="AL72" s="388">
        <f t="shared" ca="1" si="247"/>
        <v>2.8853100464409919E-18</v>
      </c>
      <c r="AM72" s="388">
        <f t="shared" ca="1" si="248"/>
        <v>-0.20657047585247953</v>
      </c>
      <c r="AN72" s="388">
        <f t="shared" ca="1" si="249"/>
        <v>-8.1681367334018706E-2</v>
      </c>
      <c r="AO72" s="388">
        <f ca="1">-0.10453/COS(Control!$B$8*PI()/180)*COS(AN72)</f>
        <v>-0.16921878985133504</v>
      </c>
      <c r="AP72" s="388">
        <f ca="1">ACOS(AO72-TAN(Control!$B$8*PI()/180)*TAN(AN72))</f>
        <v>1.6352792817850137</v>
      </c>
      <c r="AQ72" s="388">
        <f t="shared" ca="1" si="363"/>
        <v>0</v>
      </c>
      <c r="AR72" s="394">
        <f t="shared" ca="1" si="250"/>
        <v>0</v>
      </c>
      <c r="AS72" s="436">
        <f ca="1">IF(Control!$B$18=2,(IF(OR($AH72=Control!$B$175,$AH72=Control!$B$176,$AH72=Control!$B$177,$AH72=Control!$B$178,$AH72=Control!$B$179,$AH72=Control!$B$180,$AH72=Control!$B$181,$AH72=Control!$B$182,$AH72=Control!$B$183,$AH72=Control!$B$184,$AH72=Control!$B$185),1,0)),0)</f>
        <v>0</v>
      </c>
      <c r="AT72" s="436">
        <f>IF(Control!$B$20=8,IF(AND($AH72&gt;=Control!$B$172,$AH72&lt;=Control!$B$173),1,0),0)</f>
        <v>0</v>
      </c>
      <c r="AU72" s="436">
        <f>IF(Control!$B$20=8,IF($AV71=1,1*$AT72,IF($AT72=1,$AU71+1,$AU71)),0)</f>
        <v>0</v>
      </c>
      <c r="AV72" s="436">
        <f>IF(Control!$B$20=8,IF($AU72&gt;=Control!$B$174,1,0),0)</f>
        <v>0</v>
      </c>
      <c r="AW72" s="436">
        <f ca="1">IF(AND(Control!$B$18=2,Control!$B$171=1), $AV72, $AS72)</f>
        <v>0</v>
      </c>
      <c r="AX72" s="436" t="e">
        <f ca="1">IF(AND(Control!$B$18=1,$EU72&gt;=Control!$B$19),-$AY72,IF(AND(Control!$B$18=2,$AW72=1,$EU72&gt;$DS72),-$AY72, IF(Control!$C$108=0,0, IF(Control!$C$108&lt;&gt;0,1))))</f>
        <v>#N/A</v>
      </c>
      <c r="AY72" s="436" t="e">
        <f t="shared" ca="1" si="364"/>
        <v>#N/A</v>
      </c>
      <c r="AZ72" s="436" t="e">
        <f ca="1">IF(AND(Control!$B$18=1,$EB72&gt;Control!$B$19),$AZ71+1, IF(AND(Control!$B$18=2, $AW72=1, $EB72&gt;$DS72), $AZ71+1,$AZ71))</f>
        <v>#N/A</v>
      </c>
      <c r="BA72" s="587">
        <f>IF(Control!$C$81=0,1,IF($AH72&gt;=Control!$C$82,1,0))</f>
        <v>1</v>
      </c>
      <c r="BB72" s="140" t="e">
        <f ca="1">IF($BA72&gt;$BA71,Control!$C$83,IF($AW72&gt;0,$AW72*Control!$C$84,IF(AND(Control!$B$18=1,EN71&lt;&gt;0),Control!$C$84,0)))</f>
        <v>#N/A</v>
      </c>
      <c r="BC72" s="140" t="e">
        <f t="shared" ca="1" si="365"/>
        <v>#N/A</v>
      </c>
      <c r="BD72" s="140" t="e">
        <f ca="1">BC72*IF(OR($G72&lt;Control!$C$92,$G72&gt;Control!$C$95),0,IF(AND($G72&gt;=Control!$C$92,$G72&lt;=Control!$C$93),$G72-Control!$C$92,IF(AND($G72&gt;Control!$C$93,$G72&lt;=Control!$C$94),Control!$C$93-Control!$C$92,IF(AND($G72&gt;Control!$C$94,$G72&lt;=Control!$C$95),(Control!$C$93-Control!$C$92)*(Control!$C$94-$G72)/(Control!$C$95-Control!$C$94)))))</f>
        <v>#N/A</v>
      </c>
      <c r="BE72" s="140" t="e">
        <f t="shared" ca="1" si="366"/>
        <v>#N/A</v>
      </c>
      <c r="BF72" s="140" t="e">
        <f ca="1">IF($BE72&lt;=Control!$C$86,$BE72,Control!$C$86-$BE72)</f>
        <v>#N/A</v>
      </c>
      <c r="BG72" s="140" t="e">
        <f ca="1">IF(AND($AW72=1,Control!$C$84&lt;9),1,IF($BE72&gt;=Control!$C$86,0,$BC72))</f>
        <v>#N/A</v>
      </c>
      <c r="BH72" s="404" t="e">
        <f ca="1">IF($BG72=0,0,IF($BE72&lt;=Control!$C$86,$BC72*9*($BF72/Control!$C$86),0))</f>
        <v>#N/A</v>
      </c>
      <c r="BI72" s="140" t="e">
        <f ca="1">IF($BG72=1,0,IF($BE72&gt;=Control!$C$86,1,IF(AND($BB72&lt;21,$BB72&gt;=9),1,$BM71)))</f>
        <v>#N/A</v>
      </c>
      <c r="BJ72" s="140" t="e">
        <f ca="1">IF($BF72&lt;0,-$BF72,$BI72*IF(OR($G72&lt;Control!$C$92,$G72&gt;Control!$C$95),0,IF(AND($G72&gt;=Control!$C$92,$G72&lt;=Control!$C$93),$G72-Control!$C$92,IF(AND($G72&gt;Control!$C$93,$G72&lt;=Control!$C$94),Control!$C$93-Control!$C$92,IF(AND($G72&gt;Control!$C$94,$G72&lt;=Control!$C$95),(Control!$C$93-Control!$C$92)*(Control!$C$94-$G72)/(Control!$C$95-Control!$C$94))))))</f>
        <v>#N/A</v>
      </c>
      <c r="BK72" s="140" t="e">
        <f t="shared" ca="1" si="367"/>
        <v>#N/A</v>
      </c>
      <c r="BL72" s="140" t="e">
        <f ca="1">IF($BK72&lt;=Control!$C$87,$BK72,Control!$C$87-$BK72)</f>
        <v>#N/A</v>
      </c>
      <c r="BM72" s="140" t="e">
        <f ca="1">IF(AND($BB72&gt;=9,$BB72&lt;21),1,IF($BK72&gt;=Control!$C$87,0,$BI72))</f>
        <v>#N/A</v>
      </c>
      <c r="BN72" s="404" t="e">
        <f ca="1">IF($BM72=0,0,IF($BK72&lt;=Control!$C$87,$BI72*(9+(21-9)*($BL72/Control!$C$87)),0))</f>
        <v>#N/A</v>
      </c>
      <c r="BO72" s="140" t="e">
        <f ca="1">IF($BM72=1,0,IF($BK72&gt;=Control!$C$87,1,IF(AND($BB72&lt;30,$BB72&gt;=21),1,$BS71)))</f>
        <v>#N/A</v>
      </c>
      <c r="BP72" s="140" t="e">
        <f ca="1">IF($BL72&lt;0,-$BL72,$BO72*IF(OR($G72&lt;Control!$C$92,$G72&gt;Control!$C$95),0,IF(AND($G72&gt;=Control!$C$92,$G72&lt;=Control!$C$93),$G72-Control!$C$92,IF(AND($G72&gt;Control!$C$93,$G72&lt;=Control!$C$94),Control!$C$93-Control!$C$92,IF(AND($G72&gt;Control!$C$94,$G72&lt;=Control!$C$95),(Control!$C$93-Control!$C$92)*(Control!$C$94-$G72)/(Control!$C$95-Control!$C$94))))))</f>
        <v>#N/A</v>
      </c>
      <c r="BQ72" s="140" t="e">
        <f t="shared" ca="1" si="251"/>
        <v>#N/A</v>
      </c>
      <c r="BR72" s="140" t="e">
        <f ca="1">IF($BQ72&lt;=Control!$C$88,$BQ72,Control!$C$88-$BQ72)</f>
        <v>#N/A</v>
      </c>
      <c r="BS72" s="140" t="e">
        <f ca="1">IF(AND($BB72&gt;=21,$BB72&lt;30),1,IF($BQ72&gt;=Control!$C$88,0,$BO72))</f>
        <v>#N/A</v>
      </c>
      <c r="BT72" s="404" t="e">
        <f ca="1">IF($BS72=0,0,IF($BQ72&lt;=Control!$C$88,$BO72*(21+(30-21)*(BR72/Control!$C$88)),0))</f>
        <v>#N/A</v>
      </c>
      <c r="BU72" s="140" t="e">
        <f ca="1">IF(BG72+BM72+BS72=1,0,IF(OR(AND($BB72&lt;60,$BB72&gt;=30),$BQ72&gt;=Control!$C$88),1*$BA72,$BY71))</f>
        <v>#N/A</v>
      </c>
      <c r="BV72" s="140" t="e">
        <f ca="1">IF($BR72&lt;0,-$BR72,$BU72*IF(OR($G72&lt;Control!$C$92,$G72&gt;Control!$C$95),0,IF(AND($G72&gt;=Control!$C$92,$G72&lt;=Control!$C$93),$G72-Control!$C$92,IF(AND($G72&gt;Control!$C$93,$G72&lt;=Control!$C$94),Control!$C$93-Control!$C$92,IF(AND($G72&gt;Control!$C$94,$G72&lt;=Control!$C$95),(Control!$C$93-Control!$C$92)*(Control!$C$94-$G72)/(Control!$C$95-Control!$C$94))))))</f>
        <v>#N/A</v>
      </c>
      <c r="BW72" s="140" t="e">
        <f t="shared" ca="1" si="252"/>
        <v>#N/A</v>
      </c>
      <c r="BX72" s="140" t="e">
        <f ca="1">IF($BW72&lt;=Control!$C$89,$BW72,Control!$C$89-$BW72)</f>
        <v>#N/A</v>
      </c>
      <c r="BY72" s="140" t="e">
        <f ca="1">IF(AND($AJ72&gt;=30,$AJ72&lt;60),1,IF($BW72&gt;=Control!$C$89,0,$BU72))</f>
        <v>#N/A</v>
      </c>
      <c r="BZ72" s="404" t="e">
        <f ca="1">IF($BY72=0,0,IF($BW72&lt;=Control!$C$89,$BU72*(30+(60-30)*(BX72/Control!$C$89)),0))</f>
        <v>#N/A</v>
      </c>
      <c r="CA72" s="140" t="e">
        <f ca="1">IF($BG72+$BM72+$BS72+$BY72=1,0,IF(OR(AND($BB72&lt;65,$BB72&gt;=60),$BW72&gt;=Control!$C$89),1*$BA72,$CE71))</f>
        <v>#N/A</v>
      </c>
      <c r="CB72" s="140" t="e">
        <f ca="1">IF($BX72&lt;0,-$BX72,$CA72*IF(OR($G72&lt;Control!$C$92,$G72&gt;Control!$C$95),0,IF(AND($G72&gt;=Control!$C$92,$G72&lt;=Control!$C$93),$G72-Control!$C$92,IF(AND($G72&gt;Control!$C$93,$G72&lt;=Control!$C$94),Control!$C$93-Control!$C$92,IF(AND($G72&gt;Control!$C$94,$G72&lt;=Control!$C$95),(Control!$C$93-Control!$C$92)*(Control!$C$94-$G72)/(Control!$C$95-Control!$C$94))))))</f>
        <v>#N/A</v>
      </c>
      <c r="CC72" s="140" t="e">
        <f t="shared" ca="1" si="368"/>
        <v>#N/A</v>
      </c>
      <c r="CD72" s="140" t="e">
        <f ca="1">IF($CC72&lt;=Control!$C$90,$CC72,Control!$C$90-$CC72)</f>
        <v>#N/A</v>
      </c>
      <c r="CE72" s="140" t="e">
        <f ca="1">IF(AND($BB72&gt;=60,$BB72&lt;65),1,IF($CC72&gt;=Control!$C$90,0,$CA72))</f>
        <v>#N/A</v>
      </c>
      <c r="CF72" s="404" t="e">
        <f ca="1">IF($CE72=0,0,IF($CC72&lt;=Control!$C$90,$CA72*(60+(65-60)*(CD72/Control!$C$90)),0))</f>
        <v>#N/A</v>
      </c>
      <c r="CG72" s="140" t="e">
        <f ca="1">IF($BG72+$BM72+$BS72+$BY72+$CE72=1,0,IF(OR(AND($BB72&lt;90,$BB72&gt;=65),$CC72&gt;=Control!$C$90),$BA72,$CK71))</f>
        <v>#N/A</v>
      </c>
      <c r="CH72" s="140" t="e">
        <f ca="1">IF($CD72&lt;0,-$CD72,$CG72*IF(OR($G72&lt;Control!$C$92,$G72&gt;Control!$C$95),0,IF(AND($G72&gt;=Control!$C$92,$G72&lt;=Control!$C$93),$G72-Control!$C$92,IF(AND($G72&gt;Control!$C$93,$G72&lt;=Control!$C$94),Control!$C$93-Control!$C$92,IF(AND($G72&gt;Control!$C$94,$G72&lt;=Control!$C$95),(Control!$C$93-Control!$C$92)*(Control!$C$94-$G72)/(Control!$C$95-Control!$C$94))))))</f>
        <v>#N/A</v>
      </c>
      <c r="CI72" s="140" t="e">
        <f t="shared" ca="1" si="369"/>
        <v>#N/A</v>
      </c>
      <c r="CJ72" s="140" t="e">
        <f ca="1">IF($CI72&lt;=Control!$C$91,$CI72,Control!$C$91-$CI72)</f>
        <v>#N/A</v>
      </c>
      <c r="CK72" s="140" t="e">
        <f ca="1">IF(AND($BB72&gt;=65,$BB72&lt;90),1,IF($CI72&gt;=Control!$C$91,0,$CG72))</f>
        <v>#N/A</v>
      </c>
      <c r="CL72" s="404" t="e">
        <f ca="1">IF($CK72=0,0,IF($CI72&lt;=Control!$C$91,$CG72*(65+(90-65)*($CJ72/Control!$C$91)),0))</f>
        <v>#N/A</v>
      </c>
      <c r="CM72" s="140" t="e">
        <f ca="1">IF($BG72+$BM72+$BS72+$BY72+$CE72+$CK72=1,0,IF(OR($BB72&gt;=90,$CI72&gt;=Control!$C$91),$BA72,$CM71))</f>
        <v>#N/A</v>
      </c>
      <c r="CN72" s="140" t="e">
        <f t="shared" ca="1" si="370"/>
        <v>#N/A</v>
      </c>
      <c r="CO72" s="140" t="e">
        <f t="shared" ca="1" si="371"/>
        <v>#N/A</v>
      </c>
      <c r="CP72" s="140" t="e">
        <f t="shared" ca="1" si="372"/>
        <v>#N/A</v>
      </c>
      <c r="CQ72" s="141" t="e">
        <f ca="1">VLOOKUP($CP72,Control!$B$86:$G$91,6)</f>
        <v>#N/A</v>
      </c>
      <c r="CR72" s="141" t="e">
        <f ca="1">(1-$CQ72)*VLOOKUP($CP72,Control!$B$86:$D$91,3)</f>
        <v>#N/A</v>
      </c>
      <c r="CS72" s="141" t="e">
        <f ca="1">(1-$CQ72)*VLOOKUP($CP72,Control!$B$86:$E$91,4)</f>
        <v>#N/A</v>
      </c>
      <c r="CT72" s="141" t="e">
        <f ca="1">(1-$CQ72)*VLOOKUP($CP72,Control!$B$86:$F$91,5)</f>
        <v>#N/A</v>
      </c>
      <c r="CU72" s="141">
        <f t="shared" ca="1" si="373"/>
        <v>0</v>
      </c>
      <c r="CV72" s="583">
        <f t="shared" ca="1" si="374"/>
        <v>0</v>
      </c>
      <c r="CW72" s="142">
        <f t="shared" ca="1" si="375"/>
        <v>68</v>
      </c>
      <c r="CX72" s="612" t="e">
        <f ca="1">IF(Control!$C$114=1,(MIN(Control!$C$120*(IF($NT72-0.01&lt;0,0,1)),Control!$C$119-$CY72)))</f>
        <v>#DIV/0!</v>
      </c>
      <c r="CY72" s="143" t="e">
        <f t="shared" ca="1" si="376"/>
        <v>#N/A</v>
      </c>
      <c r="CZ72" s="144">
        <f t="shared" ca="1" si="253"/>
        <v>0</v>
      </c>
      <c r="DA72" s="144">
        <f t="shared" ca="1" si="254"/>
        <v>0</v>
      </c>
      <c r="DB72" s="144" t="e">
        <f t="shared" ca="1" si="255"/>
        <v>#N/A</v>
      </c>
      <c r="DC72" s="144" t="e">
        <f t="shared" ca="1" si="256"/>
        <v>#N/A</v>
      </c>
      <c r="DD72" s="144" t="e">
        <f t="shared" ca="1" si="216"/>
        <v>#N/A</v>
      </c>
      <c r="DE72" s="143" t="e">
        <f t="shared" ca="1" si="377"/>
        <v>#N/A</v>
      </c>
      <c r="DF72" s="145" t="e">
        <f ca="1">$DR72*EXP(-Control!$C$158*(1-$KH72))</f>
        <v>#N/A</v>
      </c>
      <c r="DG72" s="146" t="e">
        <f ca="1">IF(Control!$C$114=1, $DF72*$EY72, 0)</f>
        <v>#N/A</v>
      </c>
      <c r="DH72" s="147" t="e">
        <f t="shared" ca="1" si="378"/>
        <v>#N/A</v>
      </c>
      <c r="DI72" s="144" t="e">
        <f t="shared" ref="DI72:DI135" ca="1" si="439">IF($DI71+$DH71&lt;0,0,$DI71+$DH71)</f>
        <v>#N/A</v>
      </c>
      <c r="DJ72" s="147" t="e">
        <f ca="1">$EF72*Control!$C$109</f>
        <v>#N/A</v>
      </c>
      <c r="DK72" s="144" t="e">
        <f t="shared" ca="1" si="379"/>
        <v>#N/A</v>
      </c>
      <c r="DL72" s="144" t="e">
        <f t="shared" ca="1" si="257"/>
        <v>#N/A</v>
      </c>
      <c r="DM72" s="144" t="e">
        <f ca="1">IF(Control!$C$114=1, (1-EXP(-Control!$C$96*$DK72))*$AR72, 0)</f>
        <v>#N/A</v>
      </c>
      <c r="DN72" s="144">
        <f t="shared" ca="1" si="380"/>
        <v>0</v>
      </c>
      <c r="DO72" s="148">
        <f>Control!$C$97</f>
        <v>4</v>
      </c>
      <c r="DP72" s="145" t="e">
        <f t="shared" ca="1" si="381"/>
        <v>#N/A</v>
      </c>
      <c r="DQ72" s="145" t="e">
        <f ca="1">IF(AND($CP72&gt;=0,$CP72&lt;=90),Control!$C$111,Control!$C$111)</f>
        <v>#N/A</v>
      </c>
      <c r="DR72" s="145" t="e">
        <f t="shared" ca="1" si="258"/>
        <v>#N/A</v>
      </c>
      <c r="DS72" s="143" t="e">
        <f ca="1">Control!$B$22/$DR72</f>
        <v>#N/A</v>
      </c>
      <c r="DT72" s="149" t="e">
        <f ca="1">IF(AND(Control!$C$114=1,$KH72&lt;1),$IM72*$DF72, 0)</f>
        <v>#N/A</v>
      </c>
      <c r="DU72" s="144" t="e">
        <f t="shared" ca="1" si="382"/>
        <v>#N/A</v>
      </c>
      <c r="DV72" s="144">
        <f ca="1">IF($G72-Control!$C$107&lt;=0, 0, 0.83*LN(MAX($G72, 3))-0.8924)</f>
        <v>0</v>
      </c>
      <c r="DW72" s="144" t="e">
        <f t="shared" ca="1" si="259"/>
        <v>#N/A</v>
      </c>
      <c r="DX72" s="150" t="e">
        <f ca="1">MAX(0.01*(1+$CU72/Control!$C$102),0.05*($DK72-Control!$C$97)/Control!$C$97)</f>
        <v>#N/A</v>
      </c>
      <c r="DY72" s="151" t="e">
        <f ca="1">IF(Control!$C$114=1, $DI72*$FS72, 0)</f>
        <v>#N/A</v>
      </c>
      <c r="DZ72" s="196" t="e">
        <f t="shared" ca="1" si="383"/>
        <v>#N/A</v>
      </c>
      <c r="EA72" s="152">
        <f t="shared" ca="1" si="384"/>
        <v>68</v>
      </c>
      <c r="EB72" s="153" t="e">
        <f t="shared" ca="1" si="385"/>
        <v>#N/A</v>
      </c>
      <c r="EC72" s="153" t="e">
        <f t="shared" ca="1" si="386"/>
        <v>#N/A</v>
      </c>
      <c r="ED72" s="154" t="e">
        <f ca="1">IF(Control!$C$114=1, $HM72*$FY72-$FD72, 0)</f>
        <v>#DIV/0!</v>
      </c>
      <c r="EE72" s="155" t="e">
        <f ca="1">IF(Control!$C$114=1, $HM72*$FZ72-$FF72, 0)</f>
        <v>#DIV/0!</v>
      </c>
      <c r="EF72" s="153" t="e">
        <f t="shared" ref="EF72:EF135" ca="1" si="440">$EF71+$EE71-$EO71</f>
        <v>#N/A</v>
      </c>
      <c r="EG72" s="155" t="e">
        <f ca="1">IF(Control!$C$114=1, $GX72*$FW72-$FI72, 0)</f>
        <v>#DIV/0!</v>
      </c>
      <c r="EH72" s="153" t="e">
        <f t="shared" ca="1" si="387"/>
        <v>#N/A</v>
      </c>
      <c r="EI72" s="156" t="e">
        <f t="shared" ca="1" si="388"/>
        <v>#N/A</v>
      </c>
      <c r="EJ72" s="155" t="e">
        <f ca="1">IF(Control!$C$114=1, $HM72*$GB72, 0)</f>
        <v>#DIV/0!</v>
      </c>
      <c r="EK72" s="153" t="e">
        <f t="shared" ref="EK72:EK135" ca="1" si="441">$EK71+$EJ71-$EP71</f>
        <v>#N/A</v>
      </c>
      <c r="EL72" s="153" t="e">
        <f t="shared" ca="1" si="260"/>
        <v>#N/A</v>
      </c>
      <c r="EM72" s="153" t="e">
        <f t="shared" ca="1" si="261"/>
        <v>#N/A</v>
      </c>
      <c r="EN72" s="153" t="e">
        <f ca="1">IF(Control!$C$108=1,IF(AND(Control!$B$18=1,$EB72&gt;=Control!$B$19),$EB72-$DS72,IF(AND(Control!$B$18=2,$AW72=1,$EB72&gt;$DS72),$EB72-$DS72,0)))</f>
        <v>#N/A</v>
      </c>
      <c r="EO72" s="153" t="e">
        <f ca="1">IF(Control!$C$108=1,IF(AND(Control!$B$18=1,$EB72&gt;=Control!$B$19),$EF72,IF(AND(Control!$B$18=2,$AW72=1),$EF72,0)))</f>
        <v>#N/A</v>
      </c>
      <c r="EP72" s="153" t="e">
        <f ca="1">IF(Control!$C$108=1,IF(AND(Control!$B$18=1,$EB72&gt;=Control!$B$19),$EK72,IF(AND(Control!$B$18=2,$AW72=1),$EK72,0)))</f>
        <v>#N/A</v>
      </c>
      <c r="EQ72" s="153" t="e">
        <f t="shared" ca="1" si="389"/>
        <v>#N/A</v>
      </c>
      <c r="ER72" s="153" t="e">
        <f t="shared" ca="1" si="390"/>
        <v>#N/A</v>
      </c>
      <c r="ES72" s="153" t="e">
        <f t="shared" ref="ES72:ES135" ca="1" si="442">$ES71+$EO71</f>
        <v>#N/A</v>
      </c>
      <c r="ET72" s="153" t="e">
        <f t="shared" ref="ET72:ET135" ca="1" si="443">$ET71+$EP71</f>
        <v>#N/A</v>
      </c>
      <c r="EU72" s="153" t="e">
        <f t="shared" ca="1" si="391"/>
        <v>#N/A</v>
      </c>
      <c r="EV72" s="153" t="e">
        <f t="shared" ca="1" si="262"/>
        <v>#N/A</v>
      </c>
      <c r="EW72" s="153" t="e">
        <f t="shared" ca="1" si="263"/>
        <v>#N/A</v>
      </c>
      <c r="EX72" s="153" t="e">
        <f t="shared" ca="1" si="264"/>
        <v>#N/A</v>
      </c>
      <c r="EY72" s="157" t="e">
        <f t="shared" ca="1" si="265"/>
        <v>#DIV/0!</v>
      </c>
      <c r="EZ72" s="154" t="e">
        <f t="shared" ca="1" si="266"/>
        <v>#DIV/0!</v>
      </c>
      <c r="FA72" s="153" t="e">
        <f t="shared" ca="1" si="392"/>
        <v>#N/A</v>
      </c>
      <c r="FB72" s="153" t="e">
        <f t="shared" ca="1" si="267"/>
        <v>#N/A</v>
      </c>
      <c r="FC72" s="193" t="e">
        <f t="shared" ca="1" si="268"/>
        <v>#N/A</v>
      </c>
      <c r="FD72" s="158" t="e">
        <f t="shared" ca="1" si="393"/>
        <v>#N/A</v>
      </c>
      <c r="FE72" s="158" t="e">
        <f t="shared" ca="1" si="394"/>
        <v>#N/A</v>
      </c>
      <c r="FF72" s="159" t="e">
        <f t="shared" ca="1" si="269"/>
        <v>#N/A</v>
      </c>
      <c r="FG72" s="160" t="e">
        <f t="shared" ca="1" si="395"/>
        <v>#N/A</v>
      </c>
      <c r="FH72" s="158" t="e">
        <f t="shared" ca="1" si="396"/>
        <v>#N/A</v>
      </c>
      <c r="FI72" s="159" t="e">
        <f t="shared" ca="1" si="270"/>
        <v>#N/A</v>
      </c>
      <c r="FJ72" s="160" t="e">
        <f t="shared" ca="1" si="397"/>
        <v>#N/A</v>
      </c>
      <c r="FK72" s="160" t="e">
        <f t="shared" ca="1" si="271"/>
        <v>#N/A</v>
      </c>
      <c r="FL72" s="160" t="e">
        <f t="shared" ref="FL72:FL135" ca="1" si="444">$FL71+$FD71</f>
        <v>#N/A</v>
      </c>
      <c r="FM72" s="160" t="e">
        <f t="shared" ca="1" si="272"/>
        <v>#N/A</v>
      </c>
      <c r="FN72" s="158">
        <f t="shared" ca="1" si="398"/>
        <v>0.01</v>
      </c>
      <c r="FO72" s="160">
        <f>Control!$C$101</f>
        <v>50</v>
      </c>
      <c r="FP72" s="150" t="e">
        <f t="shared" ca="1" si="273"/>
        <v>#N/A</v>
      </c>
      <c r="FQ72" s="150" t="e">
        <f ca="1">MAX(0,(Control!$C$112*(($DK72-Control!$C$97)/Control!$C$97)))</f>
        <v>#N/A</v>
      </c>
      <c r="FR72" s="150" t="e">
        <f ca="1">(1-$NT72)*Control!$C$113</f>
        <v>#DIV/0!</v>
      </c>
      <c r="FS72" s="198" t="e">
        <f t="shared" ca="1" si="274"/>
        <v>#N/A</v>
      </c>
      <c r="FT72" s="161">
        <f t="shared" ca="1" si="399"/>
        <v>68</v>
      </c>
      <c r="FU72" s="162" t="e">
        <f ca="1">IF(Control!$B$34=1,VLOOKUP($CP72,Control!$B$86:$G$91,6),Control!$B$35)</f>
        <v>#N/A</v>
      </c>
      <c r="FV72" s="162" t="e">
        <f t="shared" ca="1" si="275"/>
        <v>#DIV/0!</v>
      </c>
      <c r="FW72" s="162" t="e">
        <f ca="1">IF(Control!$B$31=1,$FU72*$FV72,  $FU72)</f>
        <v>#N/A</v>
      </c>
      <c r="FX72" s="162" t="e">
        <f ca="1">IF(Control!$B$34=1,VLOOKUP($CP72,Control!$B$86:$G$91,3),Control!$B$36)</f>
        <v>#N/A</v>
      </c>
      <c r="FY72" s="162" t="e">
        <f t="shared" ca="1" si="276"/>
        <v>#N/A</v>
      </c>
      <c r="FZ72" s="162" t="e">
        <f ca="1">IF(Control!$B$34=1,VLOOKUP($CP72,Control!$B$86:$G$91,4),Control!$B$37)</f>
        <v>#N/A</v>
      </c>
      <c r="GA72" s="162" t="e">
        <f t="shared" ca="1" si="277"/>
        <v>#N/A</v>
      </c>
      <c r="GB72" s="162" t="e">
        <f ca="1">IF(Control!$B$34=1,VLOOKUP($CP72,Control!$B$86:$G$91,5),Control!$B$38)</f>
        <v>#N/A</v>
      </c>
      <c r="GC72" s="162" t="e">
        <f t="shared" ca="1" si="400"/>
        <v>#N/A</v>
      </c>
      <c r="GD72" s="162">
        <f t="shared" ca="1" si="278"/>
        <v>1</v>
      </c>
      <c r="GE72" s="162">
        <f t="shared" ca="1" si="279"/>
        <v>1</v>
      </c>
      <c r="GF72" s="162">
        <f ca="1">IF(AND(Control!$C$104=1, Control!$C$62="F"),$GE72,1)</f>
        <v>1</v>
      </c>
      <c r="GG72" s="162" t="e">
        <f ca="1">IF(Control!$B$16=40,0,IF(AND(Control!$B$16&gt;40,Control!$B$16&lt;=360),(Control!$B$16-40)*((1-0)/(360-40)),IF(AND(Control!$B$16&gt;360,Control!$B$16&lt;=720),(1+(Control!$B$16-360)*((1.25-1)/(720-360))),IF(AND(Control!$B$16&gt;720,Control!$B$16&lt;=1000),(1.25+(Control!$B$16-720)*((1.35-1.25)/(1000-720))),IF(AND(Control!$B$16&gt;1000,Control!$B$16&lt;=2000),(1.35+(Control!$B$16-1000)*0))))))</f>
        <v>#N/A</v>
      </c>
      <c r="GH72" s="162" t="e">
        <f t="shared" ca="1" si="280"/>
        <v>#N/A</v>
      </c>
      <c r="GI72" s="162">
        <f t="shared" ca="1" si="401"/>
        <v>0</v>
      </c>
      <c r="GJ72" s="162">
        <f t="shared" ca="1" si="281"/>
        <v>0</v>
      </c>
      <c r="GK72" s="162">
        <f t="shared" ca="1" si="402"/>
        <v>1</v>
      </c>
      <c r="GL72" s="162">
        <f t="shared" ca="1" si="282"/>
        <v>1</v>
      </c>
      <c r="GM72" s="162" t="e">
        <f ca="1">MAX(0,MIN(1,1-Control!$C$156*(1.0001-$KH72)^2))</f>
        <v>#N/A</v>
      </c>
      <c r="GN72" s="162" t="e">
        <f ca="1">IF(Control!$B$26=1,$KU72,$KX72)</f>
        <v>#N/A</v>
      </c>
      <c r="GO72" s="162" t="e">
        <f ca="1">IF($CP72&lt;=60,Control!$C$105,IF($CP72&gt;=90,Control!$C$106,Control!$C$105+($CP72-60)*((Control!$C$106-Control!$C$105)/(90-60))))</f>
        <v>#N/A</v>
      </c>
      <c r="GP72" s="162" t="e">
        <f t="shared" ca="1" si="283"/>
        <v>#N/A</v>
      </c>
      <c r="GQ72" s="162" t="e">
        <f t="shared" ca="1" si="403"/>
        <v>#N/A</v>
      </c>
      <c r="GR72" s="163" t="e">
        <f t="shared" ca="1" si="284"/>
        <v>#DIV/0!</v>
      </c>
      <c r="GS72" s="162" t="e">
        <f t="shared" ca="1" si="285"/>
        <v>#DIV/0!</v>
      </c>
      <c r="GT72" s="164" t="e">
        <f t="shared" ca="1" si="404"/>
        <v>#N/A</v>
      </c>
      <c r="GU72" s="162" t="e">
        <f t="shared" ca="1" si="405"/>
        <v>#N/A</v>
      </c>
      <c r="GV72" s="162" t="e">
        <f t="shared" ca="1" si="286"/>
        <v>#N/A</v>
      </c>
      <c r="GW72" s="162" t="e">
        <f t="shared" ca="1" si="287"/>
        <v>#DIV/0!</v>
      </c>
      <c r="GX72" s="162" t="e">
        <f t="shared" ca="1" si="406"/>
        <v>#DIV/0!</v>
      </c>
      <c r="GY72" s="162" t="e">
        <f t="shared" ca="1" si="407"/>
        <v>#DIV/0!</v>
      </c>
      <c r="GZ72" s="165" t="e">
        <f t="shared" ca="1" si="288"/>
        <v>#N/A</v>
      </c>
      <c r="HA72" s="162" t="e">
        <f ca="1">IF(Control!$C$114=1, $DI72*$FS72, 0)</f>
        <v>#N/A</v>
      </c>
      <c r="HB72" s="162" t="e">
        <f ca="1">$FA72/Control!$C$64</f>
        <v>#N/A</v>
      </c>
      <c r="HC72" s="162" t="e">
        <f t="shared" ca="1" si="289"/>
        <v>#DIV/0!</v>
      </c>
      <c r="HD72" s="162">
        <f ca="1">-ASIN(SIN(23.45*Control!$C$139)*COS(2*Control!$C$138*($AH72+10)/365))</f>
        <v>-9.0103278241884494E-2</v>
      </c>
      <c r="HE72" s="165">
        <f t="shared" ca="1" si="408"/>
        <v>0</v>
      </c>
      <c r="HF72" s="166">
        <f ca="1">IF(AND(Control!$C$61="T",$HE72&gt;=Control!$C$103,Control!$C$114=0),$AH72,Control!$C$59)</f>
        <v>1</v>
      </c>
      <c r="HG72" s="166">
        <f ca="1">IF(AND(Control!$C$61="T",$HE72&gt;=Control!$C$103,Control!$C$114=0),$HF72,Control!$C$59)</f>
        <v>1</v>
      </c>
      <c r="HH72" s="165">
        <f ca="1">IF(AND(OR(Control!$C$60&lt;=0, $AH72= Control!$C$59, Control!$C$60 &gt;0, $AH72 = Control!$C$60)), Control!$C$59, IF(Control!$C$60&gt;0, 0))</f>
        <v>1</v>
      </c>
      <c r="HI72" s="165">
        <f ca="1">IF(AND(OR(Control!$C$60&lt;=0, $AH72= Control!$C$59, Control!$C$60 &gt;0, $AH72 = Control!$C$60)), Control!$C$60, IF(Control!$C$60&lt;=0, 0))</f>
        <v>0</v>
      </c>
      <c r="HJ72" s="166">
        <f ca="1">IF(AND(Control!$C$62="F",$CV72&gt;=Control!$C$102),$AH72,0)</f>
        <v>0</v>
      </c>
      <c r="HK72" s="165" t="e">
        <f t="shared" ref="HK72:HK135" ca="1" si="445">$HK71+$GX71</f>
        <v>#N/A</v>
      </c>
      <c r="HL72" s="166">
        <f ca="1">IF(AND(Control!$C$61="T",$HE72&gt;=Control!$C$103,Control!$C$114=0),$HF72,0)</f>
        <v>0</v>
      </c>
      <c r="HM72" s="201" t="e">
        <f t="shared" ca="1" si="290"/>
        <v>#DIV/0!</v>
      </c>
      <c r="HN72" s="215">
        <f t="shared" ca="1" si="409"/>
        <v>68</v>
      </c>
      <c r="HO72" s="216" t="e">
        <f ca="1">IF(AND($CP72&gt;=0, $CP72&lt;=90), Control!$C$152, Control!$C$152)</f>
        <v>#N/A</v>
      </c>
      <c r="HP72" s="216" t="e">
        <f t="shared" ca="1" si="291"/>
        <v>#N/A</v>
      </c>
      <c r="HQ72" s="217" t="e">
        <f ca="1">IF(OR(Control!$B$26=1,Control!$B$26=2),$KV72,$KS72)</f>
        <v>#DIV/0!</v>
      </c>
      <c r="HR72" s="218" t="e">
        <f t="shared" ref="HR72:HR135" ca="1" si="446">$HR71-$HQ71</f>
        <v>#DIV/0!</v>
      </c>
      <c r="HS72" s="216" t="e">
        <f ca="1">Control!$C$154*$HP72</f>
        <v>#N/A</v>
      </c>
      <c r="HT72" s="216" t="e">
        <f ca="1">Control!$C$155*$HP72</f>
        <v>#N/A</v>
      </c>
      <c r="HU72" s="217" t="e">
        <f ca="1">Control!$C$161*$FI72</f>
        <v>#N/A</v>
      </c>
      <c r="HV72" s="218" t="e">
        <f t="shared" ca="1" si="410"/>
        <v>#N/A</v>
      </c>
      <c r="HW72" s="218" t="e">
        <f ca="1">Control!$C$160*$FF72+$IP72*$EO72</f>
        <v>#N/A</v>
      </c>
      <c r="HX72" s="218" t="e">
        <f t="shared" ref="HX72:HX135" ca="1" si="447">$HX71+$HW71</f>
        <v>#N/A</v>
      </c>
      <c r="HY72" s="219" t="e">
        <f ca="1">IF(Control!$C$114=1, $EB72*$FS72, 0)</f>
        <v>#N/A</v>
      </c>
      <c r="HZ72" s="91" t="e">
        <f t="shared" ca="1" si="292"/>
        <v>#N/A</v>
      </c>
      <c r="IA72" s="220" t="e">
        <f ca="1">Control!$C$153*$HO72</f>
        <v>#N/A</v>
      </c>
      <c r="IB72" s="218" t="e">
        <f t="shared" ca="1" si="293"/>
        <v>#N/A</v>
      </c>
      <c r="IC72" s="220" t="e">
        <f ca="1">Control!$C$153*$HT72</f>
        <v>#N/A</v>
      </c>
      <c r="ID72" s="218" t="e">
        <f t="shared" ca="1" si="294"/>
        <v>#N/A</v>
      </c>
      <c r="IE72" s="221" t="e">
        <f ca="1">($EB72*Control!$C$159+$EF72*Control!$C$160)/(IF($GZ72&lt;&gt;0,$GZ72,1))</f>
        <v>#N/A</v>
      </c>
      <c r="IF72" s="216" t="e">
        <f t="shared" ca="1" si="295"/>
        <v>#N/A</v>
      </c>
      <c r="IG72" s="91">
        <f ca="1">IF(OR(Control!$B$198=$AH72,Control!$B$199=$AH72, Control!$B$200=$AH72, Control!$B$201=$AH72, Control!$B$202=$AH72, Control!$B$203=$AH72, Control!$B$204=$AH72, Control!$B$205=$AH72, Control!$B$206=$AH72, Control!$B$207=$AH72), 1, 0)</f>
        <v>0</v>
      </c>
      <c r="IH72" s="91">
        <f ca="1">IF($IG72=0,0, VLOOKUP($AH72,Control!$B$198:$C$207,2))</f>
        <v>0</v>
      </c>
      <c r="II72" s="222">
        <f t="shared" ca="1" si="411"/>
        <v>0</v>
      </c>
      <c r="IJ72" s="91">
        <f>Control!$C$121</f>
        <v>0.7</v>
      </c>
      <c r="IK72" s="218">
        <f t="shared" ca="1" si="296"/>
        <v>0</v>
      </c>
      <c r="IL72" s="217" t="e">
        <f t="shared" ref="IL72:IL135" ca="1" si="448">$IL71+$KD71</f>
        <v>#N/A</v>
      </c>
      <c r="IM72" s="223" t="e">
        <f ca="1">IF(AND(Control!$C$114=1,$KH72&lt;1),$EB72*Control!$C$148*(1-$KH72), 0)</f>
        <v>#N/A</v>
      </c>
      <c r="IN72" s="217" t="e">
        <f t="shared" ca="1" si="297"/>
        <v>#DIV/0!</v>
      </c>
      <c r="IO72" s="91" t="e">
        <f ca="1">MAX(0,$IL72-$EF72*Control!$C$160)</f>
        <v>#N/A</v>
      </c>
      <c r="IP72" s="220" t="e">
        <f t="shared" ca="1" si="298"/>
        <v>#N/A</v>
      </c>
      <c r="IQ72" s="217" t="e">
        <f t="shared" ca="1" si="412"/>
        <v>#N/A</v>
      </c>
      <c r="IR72" s="218" t="e">
        <f t="shared" ca="1" si="299"/>
        <v>#N/A</v>
      </c>
      <c r="IS72" s="217" t="e">
        <f ca="1">Control!$C$159*MAX(0,$FD72-$EN72)</f>
        <v>#N/A</v>
      </c>
      <c r="IT72" s="217" t="e">
        <f t="shared" ref="IT72:IT135" ca="1" si="449">$IT71+$IS72</f>
        <v>#N/A</v>
      </c>
      <c r="IU72" s="217" t="e">
        <f t="shared" ca="1" si="413"/>
        <v>#N/A</v>
      </c>
      <c r="IV72" s="217" t="e">
        <f t="shared" ref="IV72:IV135" ca="1" si="450">$IV71+$IU72</f>
        <v>#N/A</v>
      </c>
      <c r="IW72" s="217" t="e">
        <f ca="1">IF(OR($AW72=1,AND($AW72=0, Control!$B$18=1,$EN72&lt;&gt;0)), $IQ72-$IU72, $IQ72)</f>
        <v>#N/A</v>
      </c>
      <c r="IX72" s="218" t="e">
        <f t="shared" ca="1" si="300"/>
        <v>#N/A</v>
      </c>
      <c r="IY72" s="218" t="e">
        <f ca="1">MAX(0,$IQ72-$EB72*Control!$C$159)</f>
        <v>#N/A</v>
      </c>
      <c r="IZ72" s="218" t="e">
        <f t="shared" ca="1" si="301"/>
        <v>#N/A</v>
      </c>
      <c r="JA72" s="216" t="e">
        <f t="shared" ca="1" si="302"/>
        <v>#N/A</v>
      </c>
      <c r="JB72" s="217" t="e">
        <f t="shared" ca="1" si="303"/>
        <v>#N/A</v>
      </c>
      <c r="JC72" s="222" t="e">
        <f ca="1">MAX(Control!$C$157*$EK72-$JT72, 0)/Control!$C$162</f>
        <v>#N/A</v>
      </c>
      <c r="JD72" s="218" t="e">
        <f t="shared" ca="1" si="304"/>
        <v>#N/A</v>
      </c>
      <c r="JE72" s="218" t="e">
        <f t="shared" ca="1" si="305"/>
        <v>#N/A</v>
      </c>
      <c r="JF72" s="218" t="e">
        <f t="shared" ca="1" si="414"/>
        <v>#N/A</v>
      </c>
      <c r="JG72" s="218" t="e">
        <f t="shared" ca="1" si="306"/>
        <v>#N/A</v>
      </c>
      <c r="JH72" s="217" t="e">
        <f t="shared" ca="1" si="415"/>
        <v>#N/A</v>
      </c>
      <c r="JI72" s="217" t="e">
        <f t="shared" ca="1" si="416"/>
        <v>#N/A</v>
      </c>
      <c r="JJ72" s="217" t="e">
        <f t="shared" ref="JJ72:JJ135" ca="1" si="451">$JJ71+$JL71</f>
        <v>#N/A</v>
      </c>
      <c r="JK72" s="217" t="e">
        <f ca="1">IF(Control!$C$114=1,IF(Control!$B$24=0,MAX(0,$JI72)*$GN72/Control!$C$64,(MAX(0,MIN($JI72,$JJ72*$GN72/Control!$C$64),0))))</f>
        <v>#N/A</v>
      </c>
      <c r="JL72" s="217" t="e">
        <f ca="1">$IK72/Control!$C$64-$JK72+$HQ72</f>
        <v>#N/A</v>
      </c>
      <c r="JM72" s="217" t="e">
        <f ca="1">IF(Control!$C$114=1,($JB72/(IF($JI72&lt;&gt;0,$JI72,1)))*$JK72,0)</f>
        <v>#N/A</v>
      </c>
      <c r="JN72" s="217" t="e">
        <f ca="1">IF(Control!$C$114=1,($JG72/(IF($JI72&lt;&gt;0,$JI72,1)))*$JK72, 0)</f>
        <v>#N/A</v>
      </c>
      <c r="JO72" s="218" t="e">
        <f t="shared" ca="1" si="307"/>
        <v>#N/A</v>
      </c>
      <c r="JP72" s="218" t="e">
        <f ca="1">MIN(($IY72+$IO72)*Control!$C$151, $JF72-$EH72*Control!$C$161)</f>
        <v>#N/A</v>
      </c>
      <c r="JQ72" s="218" t="e">
        <f t="shared" ca="1" si="308"/>
        <v>#N/A</v>
      </c>
      <c r="JR72" s="217" t="e">
        <f ca="1">IF($CP72-Control!$C$150&lt;0, 0, $JQ72/Control!$C$162)</f>
        <v>#N/A</v>
      </c>
      <c r="JS72" s="218" t="e">
        <f t="shared" ca="1" si="309"/>
        <v>#N/A</v>
      </c>
      <c r="JT72" s="218" t="e">
        <f t="shared" ca="1" si="417"/>
        <v>#N/A</v>
      </c>
      <c r="JU72" s="218" t="e">
        <f t="shared" ca="1" si="310"/>
        <v>#N/A</v>
      </c>
      <c r="JV72" s="218" t="e">
        <f t="shared" ca="1" si="311"/>
        <v>#N/A</v>
      </c>
      <c r="JW72" s="216" t="e">
        <f t="shared" ca="1" si="312"/>
        <v>#N/A</v>
      </c>
      <c r="JX72" s="91" t="e">
        <f t="shared" ca="1" si="313"/>
        <v>#N/A</v>
      </c>
      <c r="JY72" s="218" t="e">
        <f t="shared" ca="1" si="314"/>
        <v>#N/A</v>
      </c>
      <c r="JZ72" s="217" t="e">
        <f ca="1">IF(Control!$C$114=1,($IZ72/(IF($JI72&lt;&gt;0,$JI72,1)))*$JK72, 0)</f>
        <v>#N/A</v>
      </c>
      <c r="KA72" s="218" t="e">
        <f t="shared" ref="KA72:KA135" ca="1" si="452">KA71+JK71</f>
        <v>#N/A</v>
      </c>
      <c r="KB72" s="218" t="e">
        <f t="shared" ca="1" si="418"/>
        <v>#N/A</v>
      </c>
      <c r="KC72" s="218" t="e">
        <f t="shared" ca="1" si="315"/>
        <v>#N/A</v>
      </c>
      <c r="KD72" s="218" t="e">
        <f t="shared" ca="1" si="316"/>
        <v>#N/A</v>
      </c>
      <c r="KE72" s="218" t="e">
        <f t="shared" ca="1" si="317"/>
        <v>#N/A</v>
      </c>
      <c r="KF72" s="218" t="e">
        <f t="shared" ca="1" si="318"/>
        <v>#N/A</v>
      </c>
      <c r="KG72" s="216" t="e">
        <f t="shared" ca="1" si="319"/>
        <v>#N/A</v>
      </c>
      <c r="KH72" s="221" t="e">
        <f ca="1">IF(Control!$B$24=0,1,MAX(0.001,MIN(1,IF(($IF72-$IE72)&lt;&gt;0,($KG72-$IE72)/($IF72-$IE72),1))))</f>
        <v>#N/A</v>
      </c>
      <c r="KI72" s="222" t="e">
        <f ca="1">IF(Control!$C$114=1, $KI71+ $KH71, 0)</f>
        <v>#N/A</v>
      </c>
      <c r="KJ72" s="217" t="e">
        <f t="shared" ca="1" si="320"/>
        <v>#N/A</v>
      </c>
      <c r="KK72" s="218" t="e">
        <f t="shared" ca="1" si="321"/>
        <v>#N/A</v>
      </c>
      <c r="KL72" s="274" t="e">
        <f ca="1">IF(Control!$B$26=3,4000000000*EXP(-8400/($G72+273)),IF(Control!$B$26=4,4000000000*EXP(-8400/($G72+273))*($KT72),0))</f>
        <v>#DIV/0!</v>
      </c>
      <c r="KM72" s="274" t="e">
        <f ca="1">IF(Control!$B$26=3,5600000000000*EXP(-9800/($G72+273)),IF(Control!$B$26=4,5600000000000*EXP(-9800/($G72+273))*$KT72,0))</f>
        <v>#DIV/0!</v>
      </c>
      <c r="KN72" s="454" t="e">
        <f t="shared" ca="1" si="419"/>
        <v>#DIV/0!</v>
      </c>
      <c r="KO72" s="274" t="e">
        <f t="shared" ca="1" si="420"/>
        <v>#DIV/0!</v>
      </c>
      <c r="KP72" s="454" t="e">
        <f t="shared" ca="1" si="322"/>
        <v>#DIV/0!</v>
      </c>
      <c r="KQ72" s="454" t="e">
        <f t="shared" ca="1" si="323"/>
        <v>#DIV/0!</v>
      </c>
      <c r="KR72" s="454" t="e">
        <f t="shared" ca="1" si="324"/>
        <v>#DIV/0!</v>
      </c>
      <c r="KS72" s="454" t="e">
        <f t="shared" ca="1" si="325"/>
        <v>#DIV/0!</v>
      </c>
      <c r="KT72" s="455" t="e">
        <f t="shared" ca="1" si="326"/>
        <v>#DIV/0!</v>
      </c>
      <c r="KU72" s="456" t="e">
        <f ca="1">IF($CP72-Control!$C$149&lt;0, IF($NT72-0.01&lt;0,0,1),0)</f>
        <v>#N/A</v>
      </c>
      <c r="KV72" s="456" t="e">
        <f ca="1">IF(Control!$C$114=1,MAX(0,MIN(Control!$C$125*$KW72*$GN72,$KW72)))</f>
        <v>#DIV/0!</v>
      </c>
      <c r="KW72" s="456" t="e">
        <f t="shared" ref="KW72:KW135" ca="1" si="453">KW71-KV71</f>
        <v>#DIV/0!</v>
      </c>
      <c r="KX72" s="457" t="e">
        <f ca="1">IF($CP72-Control!$C$149&lt;0, IF($MR72-$OM72&lt;0,0,1),0)</f>
        <v>#N/A</v>
      </c>
      <c r="KY72" s="167">
        <f t="shared" ca="1" si="421"/>
        <v>68</v>
      </c>
      <c r="KZ72" s="168">
        <f ca="1">1370*(1+0.033*COS(2*Control!$C$138*$AH72/365))</f>
        <v>1387.6150786502637</v>
      </c>
      <c r="LA72" s="169">
        <f t="shared" ca="1" si="422"/>
        <v>1.012857804834516</v>
      </c>
      <c r="LB72" s="169">
        <f t="shared" ca="1" si="423"/>
        <v>-8.9029975242969572E-2</v>
      </c>
      <c r="LC72" s="169">
        <f ca="1">ACOS(-TAN((2*Control!$B$8/360))*TAN(Calculations!$LB72))</f>
        <v>1.5442630935660471</v>
      </c>
      <c r="LD72" s="169">
        <f ca="1">((24*60)/PI())*0.082*$LA72*(($LC72*SIN(Control!$B$8*2*PI()/360))*SIN($LB72)+COS(Control!$B$8*2*PI()/360)*COS($LB72)*SIN($LC72))</f>
        <v>19.217770673614332</v>
      </c>
      <c r="LE72" s="170">
        <f t="shared" ca="1" si="327"/>
        <v>19.305058993623632</v>
      </c>
      <c r="LF72" s="170">
        <f ca="1">SIN(Control!$C$139*Control!$B$8)*SIN($HD72)</f>
        <v>-7.0906435460692557E-2</v>
      </c>
      <c r="LG72" s="170">
        <f ca="1">COS(Control!$C$139*Control!$B$8)*COS($HD72)</f>
        <v>0.61316234520436974</v>
      </c>
      <c r="LH72" s="170">
        <f ca="1">12*(1+2*ASIN(MAX(-1,MIN(1,$LF72/$LG72))/Control!$C$138))</f>
        <v>11.116373661421349</v>
      </c>
      <c r="LI72" s="170">
        <f ca="1">12*(1+2*ASIN(MAX(-1,MIN(1,(-SIN(-4*Control!$C$139)+$LF72)/$LG72))/Control!$C$138))</f>
        <v>11.985674599365987</v>
      </c>
      <c r="LJ72" s="168">
        <f ca="1">3600*($LH72*$LF72+24*$LG72*SQRT(1-$LK72*$LK72)/Control!$C$138)</f>
        <v>13912.40214282026</v>
      </c>
      <c r="LK72" s="170">
        <f t="shared" ca="1" si="328"/>
        <v>-0.1156405575379211</v>
      </c>
      <c r="LL72" s="170">
        <f t="shared" ca="1" si="329"/>
        <v>0</v>
      </c>
      <c r="LM72" s="171">
        <f ca="1">Control!$C$145*$AB72</f>
        <v>6.6660906138995932E-2</v>
      </c>
      <c r="LN72" s="170">
        <f t="shared" ca="1" si="424"/>
        <v>0.54</v>
      </c>
      <c r="LO72" s="170">
        <f t="shared" ca="1" si="330"/>
        <v>0</v>
      </c>
      <c r="LP72" s="170">
        <f ca="1">Control!$C$140*((($D72+273.16)^4+($E72+273.16)^4)/2)*(0.34-0.14*SQRT($Y72))*(1.35*$AQ72/(0.75*$LD72)-0.35)</f>
        <v>-3.2464704755046001</v>
      </c>
      <c r="LQ72" s="170">
        <f ca="1">Control!$C$140*($G72+273)^4*(0.56-0.079*SQRT($Y72*10))*(0.1+0.9*$LO72)</f>
        <v>1.5241745131704001</v>
      </c>
      <c r="LR72" s="170">
        <f ca="1">$AQ72*(1-Control!$C$142)-$LQ72</f>
        <v>-1.5241745131704001</v>
      </c>
      <c r="LS72" s="170">
        <f ca="1">$AQ72*(1-Control!$C$143)-$LQ72</f>
        <v>-1.5241745131704001</v>
      </c>
      <c r="LT72" s="170">
        <f ca="1">$AQ72*(1-Control!$C$144)-$LQ72</f>
        <v>-1.5241745131704001</v>
      </c>
      <c r="LU72" s="169">
        <f ca="1">(1-Control!$C$144)*AQ72-LP72</f>
        <v>3.2464704755046001</v>
      </c>
      <c r="LV72" s="172">
        <f t="shared" ca="1" si="331"/>
        <v>0.79430000000000012</v>
      </c>
      <c r="LW72" s="170">
        <f t="shared" ca="1" si="332"/>
        <v>1.5886000000000002</v>
      </c>
      <c r="LX72" s="170">
        <f ca="1">($AC72*($LR72/Control!$C$141)+$LM72*$LV72)/($AC72+$LM72)</f>
        <v>0.23530094218323697</v>
      </c>
      <c r="LY72" s="170">
        <f ca="1">($AC72*($LS72/Control!$C$141)+$LM72*$LV72)/($AC72+$LM72)</f>
        <v>0.23530094218323697</v>
      </c>
      <c r="LZ72" s="170">
        <f t="shared" ca="1" si="333"/>
        <v>0.23530094218323697</v>
      </c>
      <c r="MA72" s="170">
        <f t="shared" ca="1" si="334"/>
        <v>0.23530094218323697</v>
      </c>
      <c r="MB72" s="170" t="e">
        <f t="shared" ca="1" si="335"/>
        <v>#N/A</v>
      </c>
      <c r="MC72" s="170">
        <f t="shared" ca="1" si="425"/>
        <v>0.6018</v>
      </c>
      <c r="MD72" s="170">
        <f t="shared" ca="1" si="336"/>
        <v>0.52989392535414004</v>
      </c>
      <c r="ME72" s="170">
        <f ca="1">($AC72*($LT72/Control!$C$141)+$LM72*$LW72)/($AC72+$LM72)</f>
        <v>0.71612369323045078</v>
      </c>
      <c r="MF72" s="170" t="e">
        <f ca="1">IF(Control!$B$16&gt;=1000,0.92,IF(AND(720&lt;=Control!$B$16,1000&gt;Control!$B$16),(0.95+(Control!$B$16-720)*((0.92-0.95)/(1000-720))),IF(AND(360&lt;=Control!$B$16,720&gt;Control!$B$16),(1+(Control!$B$16-360)*((0.95-1)/(720-360))),IF(AND(40&lt;=Control!$B$16,360&gt;Control!$B$16),(1.05+(Control!$B$16-40)*((1.05-1)/(360-40)))))))</f>
        <v>#N/A</v>
      </c>
      <c r="MG72" s="170">
        <f t="shared" ca="1" si="337"/>
        <v>0.71612369323045078</v>
      </c>
      <c r="MH72" s="170" t="e">
        <f t="shared" ca="1" si="233"/>
        <v>#N/A</v>
      </c>
      <c r="MI72" s="170" t="e">
        <f t="shared" ca="1" si="233"/>
        <v>#N/A</v>
      </c>
      <c r="MJ72" s="170" t="e">
        <f ca="1">MAX(0.0001, Control!$C$132*$MI72*$DL72)</f>
        <v>#N/A</v>
      </c>
      <c r="MK72" s="170">
        <f ca="1">1/(0.76+1.5*($MG72/10))-(5-Control!$C$110)*0.1</f>
        <v>1.002845988140797</v>
      </c>
      <c r="ML72" s="173">
        <f ca="1">IF(Control!$C$110&lt;3,$MK72+($MG72-0.6)/(Control!$C$110*(Control!$C$110+3)), MAX(0.1, MIN(0.95,$MK72)))</f>
        <v>0.95</v>
      </c>
      <c r="MM72" s="173">
        <f ca="1">IF(Control!$C$110&lt;3,$MK72+(($MI72/10)-0.6)/(Control!$C$110*(Control!$C$110+3)), MAX(0.1, MIN(0.95,$MK72)))</f>
        <v>0.95</v>
      </c>
      <c r="MN72" s="173">
        <f ca="1">(1-$MM72)*(Control!$C$128-Control!$C$127)+Control!$C$127</f>
        <v>0.16</v>
      </c>
      <c r="MO72" s="170" t="e">
        <f ca="1">MAX(0,MIN(1,($MS72-Control!$C$127)/($MN72-Control!$C$127)))</f>
        <v>#DIV/0!</v>
      </c>
      <c r="MP72" s="173" t="e">
        <f ca="1">1/(0.76+1.5*$MI72)-(5-Control!$C$110)*0.1</f>
        <v>#N/A</v>
      </c>
      <c r="MQ72" s="172" t="e">
        <f t="shared" ref="MQ72:MQ135" ca="1" si="454">$MQ71+$NL71</f>
        <v>#DIV/0!</v>
      </c>
      <c r="MR72" s="168" t="e">
        <f t="shared" ca="1" si="426"/>
        <v>#DIV/0!</v>
      </c>
      <c r="MS72" s="173" t="e">
        <f ca="1">MAX(Control!$C$127, MIN(Control!$C$135, $MR72/MAX(0.0001,$CY72)))</f>
        <v>#DIV/0!</v>
      </c>
      <c r="MT72" s="168" t="e">
        <f ca="1">(Control!$C$128-$MS72)*Control!$C$74</f>
        <v>#DIV/0!</v>
      </c>
      <c r="MU72" s="168" t="e">
        <f ca="1">(Control!$C$135-$MS72)*Control!$C$74</f>
        <v>#DIV/0!</v>
      </c>
      <c r="MV72" s="168" t="e">
        <f t="shared" ca="1" si="427"/>
        <v>#DIV/0!</v>
      </c>
      <c r="MW72" s="168" t="e">
        <f t="shared" ca="1" si="428"/>
        <v>#DIV/0!</v>
      </c>
      <c r="MX72" s="171" t="e">
        <f ca="1">MAX(Control!$C$127, MIN(Control!$C$135, $MW72/MAX(0.0001,Control!$C$119-$CY72)))</f>
        <v>#DIV/0!</v>
      </c>
      <c r="MY72" s="54" t="e">
        <f ca="1">IF(Control!$C$114=1, $CX72*$MX72, 0)</f>
        <v>#DIV/0!</v>
      </c>
      <c r="MZ72" s="54" t="e">
        <f t="shared" ca="1" si="429"/>
        <v>#N/A</v>
      </c>
      <c r="NA72" s="168" t="e">
        <f ca="1">(Control!$C$128-$MX72)*(Control!$C$119-Control!$C$74)</f>
        <v>#DIV/0!</v>
      </c>
      <c r="NB72" s="168" t="e">
        <f ca="1">(Control!$C$135-$MX72)*(Control!$C$119-Control!$C$74)</f>
        <v>#DIV/0!</v>
      </c>
      <c r="NC72" s="174" t="e">
        <f t="shared" ca="1" si="430"/>
        <v>#DIV/0!</v>
      </c>
      <c r="ND72" s="54">
        <f ca="1">IF(Control!$C$58=2, IF(OR(Control!$B$218=$AH72,Control!$B$219=$AH72, Control!$B$220=$AH72, Control!$B$221=$AH72, Control!$B$222=$AH72, Control!$B$223=$AH72, Control!$B$224=$AH72, Control!$B$225=$AH72, Control!$B$226=$AH72, Control!$B$227=$AH72, Control!$B$228=$AH72), 1, 0), 0)</f>
        <v>0</v>
      </c>
      <c r="NE72" s="54">
        <f ca="1">IF($ND72=0,0, VLOOKUP($AH72,Control!$B$218:$C$228,2))</f>
        <v>0</v>
      </c>
      <c r="NF72" s="168" t="e">
        <f ca="1">$CY72*(Control!$C$128-Control!$C$127)</f>
        <v>#N/A</v>
      </c>
      <c r="NG72" s="54" t="e">
        <f ca="1">IF(Control!$C$58=2, $NI71-$NJ71, 0)</f>
        <v>#DIV/0!</v>
      </c>
      <c r="NH72" s="54" t="e">
        <f ca="1">IF(AND(Control!$C$58=1, $MS71&lt;= ($MN71+0.02), $I71&lt;10), 0, IF(Control!$C$58=2, $NG71, 0))</f>
        <v>#DIV/0!</v>
      </c>
      <c r="NI72" s="54" t="e">
        <f ca="1">IF(Control!$C$58=2, $NE72+$NH72,0)</f>
        <v>#DIV/0!</v>
      </c>
      <c r="NJ72" s="54" t="e">
        <f ca="1">IF(AND(Control!$C$58=1, $MS72&lt;= ($MN72+0.02), $I72&lt;10), MAX(0, MIN(10, 0.7*($NF72-$MV72))), IF(Control!$C$58=2, MIN(10,$NI72),0))</f>
        <v>#DIV/0!</v>
      </c>
      <c r="NK72" s="54" t="e">
        <f t="shared" ca="1" si="338"/>
        <v>#DIV/0!</v>
      </c>
      <c r="NL72" s="173" t="e">
        <f ca="1">(1-Control!$C$73)*$I72+$NJ72</f>
        <v>#DIV/0!</v>
      </c>
      <c r="NM72" s="172" t="e">
        <f ca="1">IF($NL72&lt;0.5, $MB72* MAX(0, MIN(1, (SQRT($NC72)-SQRT($NC72-1))*Control!$C$71)),0)</f>
        <v>#DIV/0!</v>
      </c>
      <c r="NN72" s="170" t="e">
        <f ca="1">IF($NL72&gt;=5, $MB72, MAX(0,MIN($MB72, $NM72+$NL72,($MS72-Control!$C$129))))</f>
        <v>#DIV/0!</v>
      </c>
      <c r="NO72" s="54">
        <f>IF(Control!$C$133&lt;&gt;1, Control!$C$135-Control!$C$131, 0)</f>
        <v>0.38</v>
      </c>
      <c r="NP72" s="54" t="e">
        <f t="shared" ca="1" si="339"/>
        <v>#DIV/0!</v>
      </c>
      <c r="NQ72" s="173" t="e">
        <f ca="1">MAX(0,MIN(1,(Control!$C$135-$MS72)/(Control!$C$135-$NO72)))</f>
        <v>#DIV/0!</v>
      </c>
      <c r="NR72" s="170" t="e">
        <f ca="1">IF(Control!$C$133&lt;&gt;1, $NQ72+((1-$NP72/4)*(1-$NQ72)),1)</f>
        <v>#DIV/0!</v>
      </c>
      <c r="NS72" s="170" t="e">
        <f ca="1">IF(Control!$B$31=0,$MJ72,MAX(0,MIN($MV72,$MO72*$NR72*$MJ72)))</f>
        <v>#DIV/0!</v>
      </c>
      <c r="NT72" s="170" t="e">
        <f t="shared" ref="NT72:NT135" ca="1" si="455">$NS72/$MJ72</f>
        <v>#DIV/0!</v>
      </c>
      <c r="NU72" s="170" t="e">
        <f t="shared" ca="1" si="431"/>
        <v>#N/A</v>
      </c>
      <c r="NV72" s="170" t="e">
        <f t="shared" ca="1" si="340"/>
        <v>#N/A</v>
      </c>
      <c r="NW72" s="175" t="e">
        <f t="shared" ca="1" si="341"/>
        <v>#DIV/0!</v>
      </c>
      <c r="NX72" s="170" t="e">
        <f ca="1">MIN(Control!$C$72+$MU72, $NW72)</f>
        <v>#DIV/0!</v>
      </c>
      <c r="NY72" s="170" t="e">
        <f ca="1">IF($MT72&lt;=$NX72,MIN(Control!$C$72+$NB72,$NX72-$MT72),0)</f>
        <v>#DIV/0!</v>
      </c>
      <c r="NZ72" s="54" t="e">
        <f ca="1">IF(Control!$C$114=1,  $CX72*($MX72-Control!$C$127), 0)</f>
        <v>#DIV/0!</v>
      </c>
      <c r="OA72" s="170" t="e">
        <f t="shared" ca="1" si="342"/>
        <v>#DIV/0!</v>
      </c>
      <c r="OB72" s="170" t="e">
        <f ca="1">IF($NA72 &lt;=$NY72, MIN(Control!$C$72, $NY72-$NA72), 0)</f>
        <v>#DIV/0!</v>
      </c>
      <c r="OC72" s="168" t="e">
        <f t="shared" ca="1" si="343"/>
        <v>#DIV/0!</v>
      </c>
      <c r="OD72" s="168" t="e">
        <f t="shared" ca="1" si="432"/>
        <v>#DIV/0!</v>
      </c>
      <c r="OE72" s="170">
        <f ca="1">Control!$C$73*$I72</f>
        <v>0</v>
      </c>
      <c r="OF72" s="176" t="e">
        <f t="shared" ca="1" si="344"/>
        <v>#DIV/0!</v>
      </c>
      <c r="OG72" s="168" t="e">
        <f t="shared" ca="1" si="345"/>
        <v>#DIV/0!</v>
      </c>
      <c r="OH72" s="168" t="e">
        <f t="shared" ca="1" si="346"/>
        <v>#DIV/0!</v>
      </c>
      <c r="OI72" s="168" t="e">
        <f t="shared" ca="1" si="347"/>
        <v>#DIV/0!</v>
      </c>
      <c r="OJ72" s="168" t="e">
        <f t="shared" ca="1" si="348"/>
        <v>#DIV/0!</v>
      </c>
      <c r="OK72" s="204" t="e">
        <f t="shared" ca="1" si="349"/>
        <v>#DIV/0!</v>
      </c>
      <c r="OL72" s="177">
        <f>Control!$C$127</f>
        <v>0.15</v>
      </c>
      <c r="OM72" s="182" t="e">
        <f t="shared" ca="1" si="350"/>
        <v>#N/A</v>
      </c>
      <c r="ON72" s="177">
        <f>Control!$C$128</f>
        <v>0.35</v>
      </c>
      <c r="OO72" s="182" t="e">
        <f t="shared" ca="1" si="351"/>
        <v>#N/A</v>
      </c>
      <c r="OP72" s="138">
        <f t="shared" ca="1" si="433"/>
        <v>0</v>
      </c>
      <c r="OQ72" s="138" t="e">
        <f t="shared" ref="OQ72:OQ135" ca="1" si="456">$OQ71+$NJ71</f>
        <v>#DIV/0!</v>
      </c>
      <c r="OR72" s="138" t="e">
        <f t="shared" ca="1" si="434"/>
        <v>#DIV/0!</v>
      </c>
      <c r="OS72" s="137" t="e">
        <f t="shared" ref="OS72:OS135" ca="1" si="457">$OS71+$OF71</f>
        <v>#DIV/0!</v>
      </c>
      <c r="OT72" s="139" t="e">
        <f t="shared" ref="OT72:OT135" ca="1" si="458">$OT71+$OB71</f>
        <v>#DIV/0!</v>
      </c>
      <c r="OU72" s="138" t="e">
        <f t="shared" ref="OU72:OU135" ca="1" si="459">$OU71+$NS71</f>
        <v>#N/A</v>
      </c>
      <c r="OV72" s="138" t="e">
        <f t="shared" ref="OV72:OV135" ca="1" si="460">$OV71+$NN71</f>
        <v>#DIV/0!</v>
      </c>
      <c r="OW72" s="138" t="e">
        <f t="shared" ca="1" si="435"/>
        <v>#DIV/0!</v>
      </c>
      <c r="OX72" s="138" t="e">
        <f t="shared" ca="1" si="436"/>
        <v>#DIV/0!</v>
      </c>
      <c r="OY72" s="138" t="e">
        <f t="shared" ca="1" si="437"/>
        <v>#DIV/0!</v>
      </c>
      <c r="OZ72" s="138" t="e">
        <f t="shared" ca="1" si="352"/>
        <v>#DIV/0!</v>
      </c>
      <c r="PA72" s="138" t="e">
        <f t="shared" ca="1" si="353"/>
        <v>#DIV/0!</v>
      </c>
      <c r="PB72" s="55">
        <f>IF(Control!$C$61="T", IF(Control!$C$65="F", IF($AH$6-Control!$C$60&lt;0,0,1), IF(365+$AH$6-Control!$C$60&lt;0,0,1)),0)</f>
        <v>0</v>
      </c>
      <c r="PC72" s="55">
        <f ca="1">IF(Control!$C$65="F", IF($AH$6-$HF72&lt;0,0,1), IF(365+$AH$6-$HF72&lt;0,0,1))</f>
        <v>1</v>
      </c>
      <c r="PD72" s="444">
        <f>Control!$C$118</f>
        <v>1500</v>
      </c>
      <c r="PE72" s="180" t="e">
        <f t="shared" ca="1" si="354"/>
        <v>#N/A</v>
      </c>
      <c r="PF72" s="445">
        <f t="shared" ca="1" si="438"/>
        <v>0.71612369323045078</v>
      </c>
      <c r="PT72" s="186"/>
      <c r="PU72" s="186"/>
      <c r="PV72" s="94"/>
      <c r="PW72" s="94"/>
      <c r="PX72" s="94"/>
      <c r="PY72" s="94"/>
      <c r="PZ72" s="94"/>
      <c r="QA72" s="94"/>
      <c r="QB72" s="94"/>
      <c r="QC72" s="94"/>
      <c r="QD72" s="94"/>
      <c r="QE72" s="94"/>
      <c r="QF72" s="94"/>
      <c r="QG72" s="94"/>
      <c r="QH72" s="94"/>
      <c r="QI72" s="94"/>
      <c r="QJ72" s="94"/>
      <c r="QK72" s="94"/>
      <c r="QL72" s="94"/>
      <c r="QM72" s="94"/>
      <c r="QN72" s="94"/>
      <c r="QO72" s="94"/>
      <c r="QP72" s="94"/>
    </row>
    <row r="73" spans="1:458" s="2" customFormat="1" x14ac:dyDescent="0.2">
      <c r="A73" s="395">
        <v>9</v>
      </c>
      <c r="B73" s="396">
        <v>3</v>
      </c>
      <c r="C73" s="387">
        <f ca="1">Weather_data!$B72</f>
        <v>0</v>
      </c>
      <c r="D73" s="388">
        <f ca="1">Weather_data!$F72</f>
        <v>0</v>
      </c>
      <c r="E73" s="388">
        <f ca="1">Weather_data!$E72</f>
        <v>0</v>
      </c>
      <c r="F73" s="388">
        <f t="shared" ca="1" si="355"/>
        <v>0</v>
      </c>
      <c r="G73" s="388">
        <f ca="1">AVERAGE($D73:$E73)+Control!$B$9</f>
        <v>0</v>
      </c>
      <c r="H73" s="388">
        <f ca="1">Weather_data!$G72</f>
        <v>0</v>
      </c>
      <c r="I73" s="388">
        <f ca="1">Weather_data!$I72</f>
        <v>0</v>
      </c>
      <c r="J73" s="388">
        <f ca="1">Weather_data!$H72</f>
        <v>0</v>
      </c>
      <c r="K73" s="389">
        <f ca="1">Weather_data!$D72</f>
        <v>0</v>
      </c>
      <c r="L73" s="388" t="e">
        <f t="shared" ca="1" si="356"/>
        <v>#N/A</v>
      </c>
      <c r="M73" s="388" t="e">
        <f t="shared" ca="1" si="234"/>
        <v>#N/A</v>
      </c>
      <c r="N73" s="388">
        <f t="shared" ca="1" si="235"/>
        <v>-4.2975222785857135E-4</v>
      </c>
      <c r="O73" s="388">
        <f t="shared" ca="1" si="357"/>
        <v>4.2975222785857133E-3</v>
      </c>
      <c r="P73" s="390">
        <v>3</v>
      </c>
      <c r="Q73" s="388">
        <f ca="1">MAX($G73-Control!$C$107,0)</f>
        <v>0</v>
      </c>
      <c r="R73" s="388">
        <f t="shared" ca="1" si="358"/>
        <v>0</v>
      </c>
      <c r="S73" s="388">
        <f t="shared" ca="1" si="236"/>
        <v>0</v>
      </c>
      <c r="T73" s="388">
        <f t="shared" ca="1" si="237"/>
        <v>0</v>
      </c>
      <c r="U73" s="59">
        <f t="shared" ca="1" si="238"/>
        <v>0</v>
      </c>
      <c r="V73" s="391">
        <f ca="1">MAX(0,MIN(Control!$C$100-Control!$C$99,$G73-Control!$C$99)*Control!$C$63)</f>
        <v>0</v>
      </c>
      <c r="W73" s="388">
        <f t="shared" ca="1" si="359"/>
        <v>0</v>
      </c>
      <c r="X73" s="388">
        <f t="shared" ca="1" si="360"/>
        <v>0.6110000000000001</v>
      </c>
      <c r="Y73" s="388">
        <f t="shared" ca="1" si="239"/>
        <v>0</v>
      </c>
      <c r="Z73" s="388">
        <f t="shared" ca="1" si="361"/>
        <v>0.61058800000000002</v>
      </c>
      <c r="AA73" s="388">
        <f t="shared" ca="1" si="240"/>
        <v>0.6018</v>
      </c>
      <c r="AB73" s="388">
        <f ca="1">101.3*EXP(-0.034*Control!$C$66/($G73+273))</f>
        <v>100.69623283836242</v>
      </c>
      <c r="AC73" s="392">
        <f t="shared" ca="1" si="241"/>
        <v>4.3460251046025113E-2</v>
      </c>
      <c r="AD73" s="392">
        <f t="shared" ca="1" si="242"/>
        <v>4.4450382862832649E-2</v>
      </c>
      <c r="AE73" s="388">
        <f t="shared" ca="1" si="243"/>
        <v>0</v>
      </c>
      <c r="AF73" s="388">
        <f ca="1">MAX(0,$G73-Control!$C$92)</f>
        <v>0</v>
      </c>
      <c r="AG73" s="393">
        <f t="shared" ca="1" si="244"/>
        <v>69</v>
      </c>
      <c r="AH73" s="389">
        <f t="shared" ca="1" si="245"/>
        <v>69</v>
      </c>
      <c r="AI73" s="388">
        <f t="shared" ca="1" si="362"/>
        <v>-8.3392044190853692E-2</v>
      </c>
      <c r="AJ73" s="388">
        <f ca="1">IF(Control!$C$60&lt;=0,$HH73,$HI73)</f>
        <v>1</v>
      </c>
      <c r="AK73" s="388">
        <f t="shared" ca="1" si="246"/>
        <v>-0.18935626953143955</v>
      </c>
      <c r="AL73" s="388">
        <f t="shared" ca="1" si="247"/>
        <v>9.0166936417279694E-19</v>
      </c>
      <c r="AM73" s="388">
        <f t="shared" ca="1" si="248"/>
        <v>-0.18935626953143955</v>
      </c>
      <c r="AN73" s="388">
        <f t="shared" ca="1" si="249"/>
        <v>-7.4946728252624439E-2</v>
      </c>
      <c r="AO73" s="388">
        <f ca="1">-0.10453/COS(Control!$B$8*PI()/180)*COS(AN73)</f>
        <v>-0.16930824557437862</v>
      </c>
      <c r="AP73" s="388">
        <f ca="1">ACOS(AO73-TAN(Control!$B$8*PI()/180)*TAN(AN73))</f>
        <v>1.6440626524846564</v>
      </c>
      <c r="AQ73" s="388">
        <f t="shared" ca="1" si="363"/>
        <v>0</v>
      </c>
      <c r="AR73" s="394">
        <f t="shared" ca="1" si="250"/>
        <v>0</v>
      </c>
      <c r="AS73" s="436">
        <f ca="1">IF(Control!$B$18=2,(IF(OR($AH73=Control!$B$175,$AH73=Control!$B$176,$AH73=Control!$B$177,$AH73=Control!$B$178,$AH73=Control!$B$179,$AH73=Control!$B$180,$AH73=Control!$B$181,$AH73=Control!$B$182,$AH73=Control!$B$183,$AH73=Control!$B$184,$AH73=Control!$B$185),1,0)),0)</f>
        <v>0</v>
      </c>
      <c r="AT73" s="436">
        <f>IF(Control!$B$20=8,IF(AND($AH73&gt;=Control!$B$172,$AH73&lt;=Control!$B$173),1,0),0)</f>
        <v>0</v>
      </c>
      <c r="AU73" s="436">
        <f>IF(Control!$B$20=8,IF($AV72=1,1*$AT73,IF($AT73=1,$AU72+1,$AU72)),0)</f>
        <v>0</v>
      </c>
      <c r="AV73" s="436">
        <f>IF(Control!$B$20=8,IF($AU73&gt;=Control!$B$174,1,0),0)</f>
        <v>0</v>
      </c>
      <c r="AW73" s="436">
        <f ca="1">IF(AND(Control!$B$18=2,Control!$B$171=1), $AV73, $AS73)</f>
        <v>0</v>
      </c>
      <c r="AX73" s="436" t="e">
        <f ca="1">IF(AND(Control!$B$18=1,$EU73&gt;=Control!$B$19),-$AY73,IF(AND(Control!$B$18=2,$AW73=1,$EU73&gt;$DS73),-$AY73, IF(Control!$C$108=0,0, IF(Control!$C$108&lt;&gt;0,1))))</f>
        <v>#N/A</v>
      </c>
      <c r="AY73" s="436" t="e">
        <f t="shared" ca="1" si="364"/>
        <v>#N/A</v>
      </c>
      <c r="AZ73" s="436" t="e">
        <f ca="1">IF(AND(Control!$B$18=1,$EB73&gt;Control!$B$19),$AZ72+1, IF(AND(Control!$B$18=2, $AW73=1, $EB73&gt;$DS73), $AZ72+1,$AZ72))</f>
        <v>#N/A</v>
      </c>
      <c r="BA73" s="587">
        <f>IF(Control!$C$81=0,1,IF($AH73&gt;=Control!$C$82,1,0))</f>
        <v>1</v>
      </c>
      <c r="BB73" s="140" t="e">
        <f ca="1">IF($BA73&gt;$BA72,Control!$C$83,IF($AW73&gt;0,$AW73*Control!$C$84,IF(AND(Control!$B$18=1,EN72&lt;&gt;0),Control!$C$84,0)))</f>
        <v>#N/A</v>
      </c>
      <c r="BC73" s="140" t="e">
        <f t="shared" ca="1" si="365"/>
        <v>#N/A</v>
      </c>
      <c r="BD73" s="140" t="e">
        <f ca="1">BC73*IF(OR($G73&lt;Control!$C$92,$G73&gt;Control!$C$95),0,IF(AND($G73&gt;=Control!$C$92,$G73&lt;=Control!$C$93),$G73-Control!$C$92,IF(AND($G73&gt;Control!$C$93,$G73&lt;=Control!$C$94),Control!$C$93-Control!$C$92,IF(AND($G73&gt;Control!$C$94,$G73&lt;=Control!$C$95),(Control!$C$93-Control!$C$92)*(Control!$C$94-$G73)/(Control!$C$95-Control!$C$94)))))</f>
        <v>#N/A</v>
      </c>
      <c r="BE73" s="140" t="e">
        <f t="shared" ca="1" si="366"/>
        <v>#N/A</v>
      </c>
      <c r="BF73" s="140" t="e">
        <f ca="1">IF($BE73&lt;=Control!$C$86,$BE73,Control!$C$86-$BE73)</f>
        <v>#N/A</v>
      </c>
      <c r="BG73" s="140" t="e">
        <f ca="1">IF(AND($AW73=1,Control!$C$84&lt;9),1,IF($BE73&gt;=Control!$C$86,0,$BC73))</f>
        <v>#N/A</v>
      </c>
      <c r="BH73" s="404" t="e">
        <f ca="1">IF($BG73=0,0,IF($BE73&lt;=Control!$C$86,$BC73*9*($BF73/Control!$C$86),0))</f>
        <v>#N/A</v>
      </c>
      <c r="BI73" s="140" t="e">
        <f ca="1">IF($BG73=1,0,IF($BE73&gt;=Control!$C$86,1,IF(AND($BB73&lt;21,$BB73&gt;=9),1,$BM72)))</f>
        <v>#N/A</v>
      </c>
      <c r="BJ73" s="140" t="e">
        <f ca="1">IF($BF73&lt;0,-$BF73,$BI73*IF(OR($G73&lt;Control!$C$92,$G73&gt;Control!$C$95),0,IF(AND($G73&gt;=Control!$C$92,$G73&lt;=Control!$C$93),$G73-Control!$C$92,IF(AND($G73&gt;Control!$C$93,$G73&lt;=Control!$C$94),Control!$C$93-Control!$C$92,IF(AND($G73&gt;Control!$C$94,$G73&lt;=Control!$C$95),(Control!$C$93-Control!$C$92)*(Control!$C$94-$G73)/(Control!$C$95-Control!$C$94))))))</f>
        <v>#N/A</v>
      </c>
      <c r="BK73" s="140" t="e">
        <f t="shared" ca="1" si="367"/>
        <v>#N/A</v>
      </c>
      <c r="BL73" s="140" t="e">
        <f ca="1">IF($BK73&lt;=Control!$C$87,$BK73,Control!$C$87-$BK73)</f>
        <v>#N/A</v>
      </c>
      <c r="BM73" s="140" t="e">
        <f ca="1">IF(AND($BB73&gt;=9,$BB73&lt;21),1,IF($BK73&gt;=Control!$C$87,0,$BI73))</f>
        <v>#N/A</v>
      </c>
      <c r="BN73" s="404" t="e">
        <f ca="1">IF($BM73=0,0,IF($BK73&lt;=Control!$C$87,$BI73*(9+(21-9)*($BL73/Control!$C$87)),0))</f>
        <v>#N/A</v>
      </c>
      <c r="BO73" s="140" t="e">
        <f ca="1">IF($BM73=1,0,IF($BK73&gt;=Control!$C$87,1,IF(AND($BB73&lt;30,$BB73&gt;=21),1,$BS72)))</f>
        <v>#N/A</v>
      </c>
      <c r="BP73" s="140" t="e">
        <f ca="1">IF($BL73&lt;0,-$BL73,$BO73*IF(OR($G73&lt;Control!$C$92,$G73&gt;Control!$C$95),0,IF(AND($G73&gt;=Control!$C$92,$G73&lt;=Control!$C$93),$G73-Control!$C$92,IF(AND($G73&gt;Control!$C$93,$G73&lt;=Control!$C$94),Control!$C$93-Control!$C$92,IF(AND($G73&gt;Control!$C$94,$G73&lt;=Control!$C$95),(Control!$C$93-Control!$C$92)*(Control!$C$94-$G73)/(Control!$C$95-Control!$C$94))))))</f>
        <v>#N/A</v>
      </c>
      <c r="BQ73" s="140" t="e">
        <f t="shared" ca="1" si="251"/>
        <v>#N/A</v>
      </c>
      <c r="BR73" s="140" t="e">
        <f ca="1">IF($BQ73&lt;=Control!$C$88,$BQ73,Control!$C$88-$BQ73)</f>
        <v>#N/A</v>
      </c>
      <c r="BS73" s="140" t="e">
        <f ca="1">IF(AND($BB73&gt;=21,$BB73&lt;30),1,IF($BQ73&gt;=Control!$C$88,0,$BO73))</f>
        <v>#N/A</v>
      </c>
      <c r="BT73" s="404" t="e">
        <f ca="1">IF($BS73=0,0,IF($BQ73&lt;=Control!$C$88,$BO73*(21+(30-21)*(BR73/Control!$C$88)),0))</f>
        <v>#N/A</v>
      </c>
      <c r="BU73" s="140" t="e">
        <f ca="1">IF(BG73+BM73+BS73=1,0,IF(OR(AND($BB73&lt;60,$BB73&gt;=30),$BQ73&gt;=Control!$C$88),1*$BA73,$BY72))</f>
        <v>#N/A</v>
      </c>
      <c r="BV73" s="140" t="e">
        <f ca="1">IF($BR73&lt;0,-$BR73,$BU73*IF(OR($G73&lt;Control!$C$92,$G73&gt;Control!$C$95),0,IF(AND($G73&gt;=Control!$C$92,$G73&lt;=Control!$C$93),$G73-Control!$C$92,IF(AND($G73&gt;Control!$C$93,$G73&lt;=Control!$C$94),Control!$C$93-Control!$C$92,IF(AND($G73&gt;Control!$C$94,$G73&lt;=Control!$C$95),(Control!$C$93-Control!$C$92)*(Control!$C$94-$G73)/(Control!$C$95-Control!$C$94))))))</f>
        <v>#N/A</v>
      </c>
      <c r="BW73" s="140" t="e">
        <f t="shared" ca="1" si="252"/>
        <v>#N/A</v>
      </c>
      <c r="BX73" s="140" t="e">
        <f ca="1">IF($BW73&lt;=Control!$C$89,$BW73,Control!$C$89-$BW73)</f>
        <v>#N/A</v>
      </c>
      <c r="BY73" s="140" t="e">
        <f ca="1">IF(AND($AJ73&gt;=30,$AJ73&lt;60),1,IF($BW73&gt;=Control!$C$89,0,$BU73))</f>
        <v>#N/A</v>
      </c>
      <c r="BZ73" s="404" t="e">
        <f ca="1">IF($BY73=0,0,IF($BW73&lt;=Control!$C$89,$BU73*(30+(60-30)*(BX73/Control!$C$89)),0))</f>
        <v>#N/A</v>
      </c>
      <c r="CA73" s="140" t="e">
        <f ca="1">IF($BG73+$BM73+$BS73+$BY73=1,0,IF(OR(AND($BB73&lt;65,$BB73&gt;=60),$BW73&gt;=Control!$C$89),1*$BA73,$CE72))</f>
        <v>#N/A</v>
      </c>
      <c r="CB73" s="140" t="e">
        <f ca="1">IF($BX73&lt;0,-$BX73,$CA73*IF(OR($G73&lt;Control!$C$92,$G73&gt;Control!$C$95),0,IF(AND($G73&gt;=Control!$C$92,$G73&lt;=Control!$C$93),$G73-Control!$C$92,IF(AND($G73&gt;Control!$C$93,$G73&lt;=Control!$C$94),Control!$C$93-Control!$C$92,IF(AND($G73&gt;Control!$C$94,$G73&lt;=Control!$C$95),(Control!$C$93-Control!$C$92)*(Control!$C$94-$G73)/(Control!$C$95-Control!$C$94))))))</f>
        <v>#N/A</v>
      </c>
      <c r="CC73" s="140" t="e">
        <f t="shared" ca="1" si="368"/>
        <v>#N/A</v>
      </c>
      <c r="CD73" s="140" t="e">
        <f ca="1">IF($CC73&lt;=Control!$C$90,$CC73,Control!$C$90-$CC73)</f>
        <v>#N/A</v>
      </c>
      <c r="CE73" s="140" t="e">
        <f ca="1">IF(AND($BB73&gt;=60,$BB73&lt;65),1,IF($CC73&gt;=Control!$C$90,0,$CA73))</f>
        <v>#N/A</v>
      </c>
      <c r="CF73" s="404" t="e">
        <f ca="1">IF($CE73=0,0,IF($CC73&lt;=Control!$C$90,$CA73*(60+(65-60)*(CD73/Control!$C$90)),0))</f>
        <v>#N/A</v>
      </c>
      <c r="CG73" s="140" t="e">
        <f ca="1">IF($BG73+$BM73+$BS73+$BY73+$CE73=1,0,IF(OR(AND($BB73&lt;90,$BB73&gt;=65),$CC73&gt;=Control!$C$90),$BA73,$CK72))</f>
        <v>#N/A</v>
      </c>
      <c r="CH73" s="140" t="e">
        <f ca="1">IF($CD73&lt;0,-$CD73,$CG73*IF(OR($G73&lt;Control!$C$92,$G73&gt;Control!$C$95),0,IF(AND($G73&gt;=Control!$C$92,$G73&lt;=Control!$C$93),$G73-Control!$C$92,IF(AND($G73&gt;Control!$C$93,$G73&lt;=Control!$C$94),Control!$C$93-Control!$C$92,IF(AND($G73&gt;Control!$C$94,$G73&lt;=Control!$C$95),(Control!$C$93-Control!$C$92)*(Control!$C$94-$G73)/(Control!$C$95-Control!$C$94))))))</f>
        <v>#N/A</v>
      </c>
      <c r="CI73" s="140" t="e">
        <f t="shared" ca="1" si="369"/>
        <v>#N/A</v>
      </c>
      <c r="CJ73" s="140" t="e">
        <f ca="1">IF($CI73&lt;=Control!$C$91,$CI73,Control!$C$91-$CI73)</f>
        <v>#N/A</v>
      </c>
      <c r="CK73" s="140" t="e">
        <f ca="1">IF(AND($BB73&gt;=65,$BB73&lt;90),1,IF($CI73&gt;=Control!$C$91,0,$CG73))</f>
        <v>#N/A</v>
      </c>
      <c r="CL73" s="404" t="e">
        <f ca="1">IF($CK73=0,0,IF($CI73&lt;=Control!$C$91,$CG73*(65+(90-65)*($CJ73/Control!$C$91)),0))</f>
        <v>#N/A</v>
      </c>
      <c r="CM73" s="140" t="e">
        <f ca="1">IF($BG73+$BM73+$BS73+$BY73+$CE73+$CK73=1,0,IF(OR($BB73&gt;=90,$CI73&gt;=Control!$C$91),$BA73,$CM72))</f>
        <v>#N/A</v>
      </c>
      <c r="CN73" s="140" t="e">
        <f t="shared" ca="1" si="370"/>
        <v>#N/A</v>
      </c>
      <c r="CO73" s="140" t="e">
        <f t="shared" ca="1" si="371"/>
        <v>#N/A</v>
      </c>
      <c r="CP73" s="140" t="e">
        <f t="shared" ca="1" si="372"/>
        <v>#N/A</v>
      </c>
      <c r="CQ73" s="141" t="e">
        <f ca="1">VLOOKUP($CP73,Control!$B$86:$G$91,6)</f>
        <v>#N/A</v>
      </c>
      <c r="CR73" s="141" t="e">
        <f ca="1">(1-$CQ73)*VLOOKUP($CP73,Control!$B$86:$D$91,3)</f>
        <v>#N/A</v>
      </c>
      <c r="CS73" s="141" t="e">
        <f ca="1">(1-$CQ73)*VLOOKUP($CP73,Control!$B$86:$E$91,4)</f>
        <v>#N/A</v>
      </c>
      <c r="CT73" s="141" t="e">
        <f ca="1">(1-$CQ73)*VLOOKUP($CP73,Control!$B$86:$F$91,5)</f>
        <v>#N/A</v>
      </c>
      <c r="CU73" s="141">
        <f t="shared" ca="1" si="373"/>
        <v>0</v>
      </c>
      <c r="CV73" s="583">
        <f t="shared" ca="1" si="374"/>
        <v>0</v>
      </c>
      <c r="CW73" s="142">
        <f t="shared" ca="1" si="375"/>
        <v>69</v>
      </c>
      <c r="CX73" s="612" t="e">
        <f ca="1">IF(Control!$C$114=1,(MIN(Control!$C$120*(IF($NT73-0.01&lt;0,0,1)),Control!$C$119-$CY73)))</f>
        <v>#DIV/0!</v>
      </c>
      <c r="CY73" s="143" t="e">
        <f t="shared" ca="1" si="376"/>
        <v>#N/A</v>
      </c>
      <c r="CZ73" s="144">
        <f t="shared" ca="1" si="253"/>
        <v>0</v>
      </c>
      <c r="DA73" s="144">
        <f t="shared" ca="1" si="254"/>
        <v>0</v>
      </c>
      <c r="DB73" s="144" t="e">
        <f t="shared" ca="1" si="255"/>
        <v>#N/A</v>
      </c>
      <c r="DC73" s="144" t="e">
        <f t="shared" ca="1" si="256"/>
        <v>#N/A</v>
      </c>
      <c r="DD73" s="144" t="e">
        <f t="shared" ref="DD73:DD136" ca="1" si="461">IF($DE72&lt;14000,(($DC72-$DX72)*$DA72*$DE72),(-$DX72*$DA72*$DE72))</f>
        <v>#N/A</v>
      </c>
      <c r="DE73" s="143" t="e">
        <f t="shared" ca="1" si="377"/>
        <v>#N/A</v>
      </c>
      <c r="DF73" s="145" t="e">
        <f ca="1">$DR73*EXP(-Control!$C$158*(1-$KH73))</f>
        <v>#N/A</v>
      </c>
      <c r="DG73" s="146" t="e">
        <f ca="1">IF(Control!$C$114=1, $DF73*$EY73, 0)</f>
        <v>#N/A</v>
      </c>
      <c r="DH73" s="147" t="e">
        <f t="shared" ca="1" si="378"/>
        <v>#N/A</v>
      </c>
      <c r="DI73" s="144" t="e">
        <f t="shared" ca="1" si="439"/>
        <v>#N/A</v>
      </c>
      <c r="DJ73" s="147" t="e">
        <f ca="1">$EF73*Control!$C$109</f>
        <v>#N/A</v>
      </c>
      <c r="DK73" s="144" t="e">
        <f t="shared" ca="1" si="379"/>
        <v>#N/A</v>
      </c>
      <c r="DL73" s="144" t="e">
        <f t="shared" ca="1" si="257"/>
        <v>#N/A</v>
      </c>
      <c r="DM73" s="144" t="e">
        <f ca="1">IF(Control!$C$114=1, (1-EXP(-Control!$C$96*$DK73))*$AR73, 0)</f>
        <v>#N/A</v>
      </c>
      <c r="DN73" s="144">
        <f t="shared" ca="1" si="380"/>
        <v>0</v>
      </c>
      <c r="DO73" s="148">
        <f>Control!$C$97</f>
        <v>4</v>
      </c>
      <c r="DP73" s="145" t="e">
        <f t="shared" ca="1" si="381"/>
        <v>#N/A</v>
      </c>
      <c r="DQ73" s="145" t="e">
        <f ca="1">IF(AND($CP73&gt;=0,$CP73&lt;=90),Control!$C$111,Control!$C$111)</f>
        <v>#N/A</v>
      </c>
      <c r="DR73" s="145" t="e">
        <f t="shared" ca="1" si="258"/>
        <v>#N/A</v>
      </c>
      <c r="DS73" s="143" t="e">
        <f ca="1">Control!$B$22/$DR73</f>
        <v>#N/A</v>
      </c>
      <c r="DT73" s="149" t="e">
        <f ca="1">IF(AND(Control!$C$114=1,$KH73&lt;1),$IM73*$DF73, 0)</f>
        <v>#N/A</v>
      </c>
      <c r="DU73" s="144" t="e">
        <f t="shared" ca="1" si="382"/>
        <v>#N/A</v>
      </c>
      <c r="DV73" s="144">
        <f ca="1">IF($G73-Control!$C$107&lt;=0, 0, 0.83*LN(MAX($G73, 3))-0.8924)</f>
        <v>0</v>
      </c>
      <c r="DW73" s="144" t="e">
        <f t="shared" ca="1" si="259"/>
        <v>#N/A</v>
      </c>
      <c r="DX73" s="150" t="e">
        <f ca="1">MAX(0.01*(1+$CU73/Control!$C$102),0.05*($DK73-Control!$C$97)/Control!$C$97)</f>
        <v>#N/A</v>
      </c>
      <c r="DY73" s="151" t="e">
        <f ca="1">IF(Control!$C$114=1, $DI73*$FS73, 0)</f>
        <v>#N/A</v>
      </c>
      <c r="DZ73" s="196" t="e">
        <f t="shared" ca="1" si="383"/>
        <v>#N/A</v>
      </c>
      <c r="EA73" s="152">
        <f t="shared" ca="1" si="384"/>
        <v>69</v>
      </c>
      <c r="EB73" s="153" t="e">
        <f t="shared" ca="1" si="385"/>
        <v>#N/A</v>
      </c>
      <c r="EC73" s="153" t="e">
        <f t="shared" ca="1" si="386"/>
        <v>#N/A</v>
      </c>
      <c r="ED73" s="154" t="e">
        <f ca="1">IF(Control!$C$114=1, $HM73*$FY73-$FD73, 0)</f>
        <v>#DIV/0!</v>
      </c>
      <c r="EE73" s="155" t="e">
        <f ca="1">IF(Control!$C$114=1, $HM73*$FZ73-$FF73, 0)</f>
        <v>#DIV/0!</v>
      </c>
      <c r="EF73" s="153" t="e">
        <f t="shared" ca="1" si="440"/>
        <v>#N/A</v>
      </c>
      <c r="EG73" s="155" t="e">
        <f ca="1">IF(Control!$C$114=1, $GX73*$FW73-$FI73, 0)</f>
        <v>#DIV/0!</v>
      </c>
      <c r="EH73" s="153" t="e">
        <f t="shared" ca="1" si="387"/>
        <v>#N/A</v>
      </c>
      <c r="EI73" s="156" t="e">
        <f t="shared" ca="1" si="388"/>
        <v>#N/A</v>
      </c>
      <c r="EJ73" s="155" t="e">
        <f ca="1">IF(Control!$C$114=1, $HM73*$GB73, 0)</f>
        <v>#DIV/0!</v>
      </c>
      <c r="EK73" s="153" t="e">
        <f t="shared" ca="1" si="441"/>
        <v>#N/A</v>
      </c>
      <c r="EL73" s="153" t="e">
        <f t="shared" ca="1" si="260"/>
        <v>#N/A</v>
      </c>
      <c r="EM73" s="153" t="e">
        <f t="shared" ca="1" si="261"/>
        <v>#N/A</v>
      </c>
      <c r="EN73" s="153" t="e">
        <f ca="1">IF(Control!$C$108=1,IF(AND(Control!$B$18=1,$EB73&gt;=Control!$B$19),$EB73-$DS73,IF(AND(Control!$B$18=2,$AW73=1,$EB73&gt;$DS73),$EB73-$DS73,0)))</f>
        <v>#N/A</v>
      </c>
      <c r="EO73" s="153" t="e">
        <f ca="1">IF(Control!$C$108=1,IF(AND(Control!$B$18=1,$EB73&gt;=Control!$B$19),$EF73,IF(AND(Control!$B$18=2,$AW73=1),$EF73,0)))</f>
        <v>#N/A</v>
      </c>
      <c r="EP73" s="153" t="e">
        <f ca="1">IF(Control!$C$108=1,IF(AND(Control!$B$18=1,$EB73&gt;=Control!$B$19),$EK73,IF(AND(Control!$B$18=2,$AW73=1),$EK73,0)))</f>
        <v>#N/A</v>
      </c>
      <c r="EQ73" s="153" t="e">
        <f t="shared" ca="1" si="389"/>
        <v>#N/A</v>
      </c>
      <c r="ER73" s="153" t="e">
        <f t="shared" ca="1" si="390"/>
        <v>#N/A</v>
      </c>
      <c r="ES73" s="153" t="e">
        <f t="shared" ca="1" si="442"/>
        <v>#N/A</v>
      </c>
      <c r="ET73" s="153" t="e">
        <f t="shared" ca="1" si="443"/>
        <v>#N/A</v>
      </c>
      <c r="EU73" s="153" t="e">
        <f t="shared" ca="1" si="391"/>
        <v>#N/A</v>
      </c>
      <c r="EV73" s="153" t="e">
        <f t="shared" ca="1" si="262"/>
        <v>#N/A</v>
      </c>
      <c r="EW73" s="153" t="e">
        <f t="shared" ca="1" si="263"/>
        <v>#N/A</v>
      </c>
      <c r="EX73" s="153" t="e">
        <f t="shared" ca="1" si="264"/>
        <v>#N/A</v>
      </c>
      <c r="EY73" s="157" t="e">
        <f t="shared" ca="1" si="265"/>
        <v>#DIV/0!</v>
      </c>
      <c r="EZ73" s="154" t="e">
        <f t="shared" ca="1" si="266"/>
        <v>#DIV/0!</v>
      </c>
      <c r="FA73" s="153" t="e">
        <f t="shared" ca="1" si="392"/>
        <v>#N/A</v>
      </c>
      <c r="FB73" s="153" t="e">
        <f t="shared" ca="1" si="267"/>
        <v>#N/A</v>
      </c>
      <c r="FC73" s="193" t="e">
        <f t="shared" ca="1" si="268"/>
        <v>#N/A</v>
      </c>
      <c r="FD73" s="158" t="e">
        <f t="shared" ca="1" si="393"/>
        <v>#N/A</v>
      </c>
      <c r="FE73" s="158" t="e">
        <f t="shared" ca="1" si="394"/>
        <v>#N/A</v>
      </c>
      <c r="FF73" s="159" t="e">
        <f t="shared" ca="1" si="269"/>
        <v>#N/A</v>
      </c>
      <c r="FG73" s="160" t="e">
        <f t="shared" ca="1" si="395"/>
        <v>#N/A</v>
      </c>
      <c r="FH73" s="158" t="e">
        <f t="shared" ca="1" si="396"/>
        <v>#N/A</v>
      </c>
      <c r="FI73" s="159" t="e">
        <f t="shared" ca="1" si="270"/>
        <v>#N/A</v>
      </c>
      <c r="FJ73" s="160" t="e">
        <f t="shared" ca="1" si="397"/>
        <v>#N/A</v>
      </c>
      <c r="FK73" s="160" t="e">
        <f t="shared" ca="1" si="271"/>
        <v>#N/A</v>
      </c>
      <c r="FL73" s="160" t="e">
        <f t="shared" ca="1" si="444"/>
        <v>#N/A</v>
      </c>
      <c r="FM73" s="160" t="e">
        <f t="shared" ca="1" si="272"/>
        <v>#N/A</v>
      </c>
      <c r="FN73" s="158">
        <f t="shared" ca="1" si="398"/>
        <v>0.01</v>
      </c>
      <c r="FO73" s="160">
        <f>Control!$C$101</f>
        <v>50</v>
      </c>
      <c r="FP73" s="150" t="e">
        <f t="shared" ca="1" si="273"/>
        <v>#N/A</v>
      </c>
      <c r="FQ73" s="150" t="e">
        <f ca="1">MAX(0,(Control!$C$112*(($DK73-Control!$C$97)/Control!$C$97)))</f>
        <v>#N/A</v>
      </c>
      <c r="FR73" s="150" t="e">
        <f ca="1">(1-$NT73)*Control!$C$113</f>
        <v>#DIV/0!</v>
      </c>
      <c r="FS73" s="198" t="e">
        <f t="shared" ca="1" si="274"/>
        <v>#N/A</v>
      </c>
      <c r="FT73" s="161">
        <f t="shared" ca="1" si="399"/>
        <v>69</v>
      </c>
      <c r="FU73" s="162" t="e">
        <f ca="1">IF(Control!$B$34=1,VLOOKUP($CP73,Control!$B$86:$G$91,6),Control!$B$35)</f>
        <v>#N/A</v>
      </c>
      <c r="FV73" s="162" t="e">
        <f t="shared" ca="1" si="275"/>
        <v>#DIV/0!</v>
      </c>
      <c r="FW73" s="162" t="e">
        <f ca="1">IF(Control!$B$31=1,$FU73*$FV73,  $FU73)</f>
        <v>#N/A</v>
      </c>
      <c r="FX73" s="162" t="e">
        <f ca="1">IF(Control!$B$34=1,VLOOKUP($CP73,Control!$B$86:$G$91,3),Control!$B$36)</f>
        <v>#N/A</v>
      </c>
      <c r="FY73" s="162" t="e">
        <f t="shared" ca="1" si="276"/>
        <v>#N/A</v>
      </c>
      <c r="FZ73" s="162" t="e">
        <f ca="1">IF(Control!$B$34=1,VLOOKUP($CP73,Control!$B$86:$G$91,4),Control!$B$37)</f>
        <v>#N/A</v>
      </c>
      <c r="GA73" s="162" t="e">
        <f t="shared" ca="1" si="277"/>
        <v>#N/A</v>
      </c>
      <c r="GB73" s="162" t="e">
        <f ca="1">IF(Control!$B$34=1,VLOOKUP($CP73,Control!$B$86:$G$91,5),Control!$B$38)</f>
        <v>#N/A</v>
      </c>
      <c r="GC73" s="162" t="e">
        <f t="shared" ca="1" si="400"/>
        <v>#N/A</v>
      </c>
      <c r="GD73" s="162">
        <f t="shared" ca="1" si="278"/>
        <v>1</v>
      </c>
      <c r="GE73" s="162">
        <f t="shared" ca="1" si="279"/>
        <v>1</v>
      </c>
      <c r="GF73" s="162">
        <f ca="1">IF(AND(Control!$C$104=1, Control!$C$62="F"),$GE73,1)</f>
        <v>1</v>
      </c>
      <c r="GG73" s="162" t="e">
        <f ca="1">IF(Control!$B$16=40,0,IF(AND(Control!$B$16&gt;40,Control!$B$16&lt;=360),(Control!$B$16-40)*((1-0)/(360-40)),IF(AND(Control!$B$16&gt;360,Control!$B$16&lt;=720),(1+(Control!$B$16-360)*((1.25-1)/(720-360))),IF(AND(Control!$B$16&gt;720,Control!$B$16&lt;=1000),(1.25+(Control!$B$16-720)*((1.35-1.25)/(1000-720))),IF(AND(Control!$B$16&gt;1000,Control!$B$16&lt;=2000),(1.35+(Control!$B$16-1000)*0))))))</f>
        <v>#N/A</v>
      </c>
      <c r="GH73" s="162" t="e">
        <f t="shared" ca="1" si="280"/>
        <v>#N/A</v>
      </c>
      <c r="GI73" s="162">
        <f t="shared" ca="1" si="401"/>
        <v>0</v>
      </c>
      <c r="GJ73" s="162">
        <f t="shared" ca="1" si="281"/>
        <v>0</v>
      </c>
      <c r="GK73" s="162">
        <f t="shared" ca="1" si="402"/>
        <v>1</v>
      </c>
      <c r="GL73" s="162">
        <f t="shared" ca="1" si="282"/>
        <v>1</v>
      </c>
      <c r="GM73" s="162" t="e">
        <f ca="1">MAX(0,MIN(1,1-Control!$C$156*(1.0001-$KH73)^2))</f>
        <v>#N/A</v>
      </c>
      <c r="GN73" s="162" t="e">
        <f ca="1">IF(Control!$B$26=1,$KU73,$KX73)</f>
        <v>#N/A</v>
      </c>
      <c r="GO73" s="162" t="e">
        <f ca="1">IF($CP73&lt;=60,Control!$C$105,IF($CP73&gt;=90,Control!$C$106,Control!$C$105+($CP73-60)*((Control!$C$106-Control!$C$105)/(90-60))))</f>
        <v>#N/A</v>
      </c>
      <c r="GP73" s="162" t="e">
        <f t="shared" ca="1" si="283"/>
        <v>#N/A</v>
      </c>
      <c r="GQ73" s="162" t="e">
        <f t="shared" ca="1" si="403"/>
        <v>#N/A</v>
      </c>
      <c r="GR73" s="163" t="e">
        <f t="shared" ca="1" si="284"/>
        <v>#DIV/0!</v>
      </c>
      <c r="GS73" s="162" t="e">
        <f t="shared" ca="1" si="285"/>
        <v>#DIV/0!</v>
      </c>
      <c r="GT73" s="164" t="e">
        <f t="shared" ca="1" si="404"/>
        <v>#N/A</v>
      </c>
      <c r="GU73" s="162" t="e">
        <f t="shared" ca="1" si="405"/>
        <v>#N/A</v>
      </c>
      <c r="GV73" s="162" t="e">
        <f t="shared" ca="1" si="286"/>
        <v>#N/A</v>
      </c>
      <c r="GW73" s="162" t="e">
        <f t="shared" ca="1" si="287"/>
        <v>#DIV/0!</v>
      </c>
      <c r="GX73" s="162" t="e">
        <f t="shared" ca="1" si="406"/>
        <v>#DIV/0!</v>
      </c>
      <c r="GY73" s="162" t="e">
        <f t="shared" ca="1" si="407"/>
        <v>#DIV/0!</v>
      </c>
      <c r="GZ73" s="165" t="e">
        <f t="shared" ca="1" si="288"/>
        <v>#N/A</v>
      </c>
      <c r="HA73" s="162" t="e">
        <f ca="1">IF(Control!$C$114=1, $DI73*$FS73, 0)</f>
        <v>#N/A</v>
      </c>
      <c r="HB73" s="162" t="e">
        <f ca="1">$FA73/Control!$C$64</f>
        <v>#N/A</v>
      </c>
      <c r="HC73" s="162" t="e">
        <f t="shared" ca="1" si="289"/>
        <v>#DIV/0!</v>
      </c>
      <c r="HD73" s="162">
        <f ca="1">-ASIN(SIN(23.45*Control!$C$139)*COS(2*Control!$C$138*($AH73+10)/365))</f>
        <v>-8.3392044190853692E-2</v>
      </c>
      <c r="HE73" s="165">
        <f t="shared" ca="1" si="408"/>
        <v>0</v>
      </c>
      <c r="HF73" s="166">
        <f ca="1">IF(AND(Control!$C$61="T",$HE73&gt;=Control!$C$103,Control!$C$114=0),$AH73,Control!$C$59)</f>
        <v>1</v>
      </c>
      <c r="HG73" s="166">
        <f ca="1">IF(AND(Control!$C$61="T",$HE73&gt;=Control!$C$103,Control!$C$114=0),$HF73,Control!$C$59)</f>
        <v>1</v>
      </c>
      <c r="HH73" s="165">
        <f ca="1">IF(AND(OR(Control!$C$60&lt;=0, $AH73= Control!$C$59, Control!$C$60 &gt;0, $AH73 = Control!$C$60)), Control!$C$59, IF(Control!$C$60&gt;0, 0))</f>
        <v>1</v>
      </c>
      <c r="HI73" s="165">
        <f ca="1">IF(AND(OR(Control!$C$60&lt;=0, $AH73= Control!$C$59, Control!$C$60 &gt;0, $AH73 = Control!$C$60)), Control!$C$60, IF(Control!$C$60&lt;=0, 0))</f>
        <v>0</v>
      </c>
      <c r="HJ73" s="166">
        <f ca="1">IF(AND(Control!$C$62="F",$CV73&gt;=Control!$C$102),$AH73,0)</f>
        <v>0</v>
      </c>
      <c r="HK73" s="165" t="e">
        <f t="shared" ca="1" si="445"/>
        <v>#N/A</v>
      </c>
      <c r="HL73" s="166">
        <f ca="1">IF(AND(Control!$C$61="T",$HE73&gt;=Control!$C$103,Control!$C$114=0),$HF73,0)</f>
        <v>0</v>
      </c>
      <c r="HM73" s="201" t="e">
        <f t="shared" ca="1" si="290"/>
        <v>#DIV/0!</v>
      </c>
      <c r="HN73" s="215">
        <f t="shared" ca="1" si="409"/>
        <v>69</v>
      </c>
      <c r="HO73" s="216" t="e">
        <f ca="1">IF(AND($CP73&gt;=0, $CP73&lt;=90), Control!$C$152, Control!$C$152)</f>
        <v>#N/A</v>
      </c>
      <c r="HP73" s="216" t="e">
        <f t="shared" ca="1" si="291"/>
        <v>#N/A</v>
      </c>
      <c r="HQ73" s="217" t="e">
        <f ca="1">IF(OR(Control!$B$26=1,Control!$B$26=2),$KV73,$KS73)</f>
        <v>#DIV/0!</v>
      </c>
      <c r="HR73" s="218" t="e">
        <f t="shared" ca="1" si="446"/>
        <v>#DIV/0!</v>
      </c>
      <c r="HS73" s="216" t="e">
        <f ca="1">Control!$C$154*$HP73</f>
        <v>#N/A</v>
      </c>
      <c r="HT73" s="216" t="e">
        <f ca="1">Control!$C$155*$HP73</f>
        <v>#N/A</v>
      </c>
      <c r="HU73" s="217" t="e">
        <f ca="1">Control!$C$161*$FI73</f>
        <v>#N/A</v>
      </c>
      <c r="HV73" s="218" t="e">
        <f t="shared" ca="1" si="410"/>
        <v>#N/A</v>
      </c>
      <c r="HW73" s="218" t="e">
        <f ca="1">Control!$C$160*$FF73+$IP73*$EO73</f>
        <v>#N/A</v>
      </c>
      <c r="HX73" s="218" t="e">
        <f t="shared" ca="1" si="447"/>
        <v>#N/A</v>
      </c>
      <c r="HY73" s="219" t="e">
        <f ca="1">IF(Control!$C$114=1, $EB73*$FS73, 0)</f>
        <v>#N/A</v>
      </c>
      <c r="HZ73" s="91" t="e">
        <f t="shared" ca="1" si="292"/>
        <v>#N/A</v>
      </c>
      <c r="IA73" s="220" t="e">
        <f ca="1">Control!$C$153*$HO73</f>
        <v>#N/A</v>
      </c>
      <c r="IB73" s="218" t="e">
        <f t="shared" ca="1" si="293"/>
        <v>#N/A</v>
      </c>
      <c r="IC73" s="220" t="e">
        <f ca="1">Control!$C$153*$HT73</f>
        <v>#N/A</v>
      </c>
      <c r="ID73" s="218" t="e">
        <f t="shared" ca="1" si="294"/>
        <v>#N/A</v>
      </c>
      <c r="IE73" s="221" t="e">
        <f ca="1">($EB73*Control!$C$159+$EF73*Control!$C$160)/(IF($GZ73&lt;&gt;0,$GZ73,1))</f>
        <v>#N/A</v>
      </c>
      <c r="IF73" s="216" t="e">
        <f t="shared" ca="1" si="295"/>
        <v>#N/A</v>
      </c>
      <c r="IG73" s="91">
        <f ca="1">IF(OR(Control!$B$198=$AH73,Control!$B$199=$AH73, Control!$B$200=$AH73, Control!$B$201=$AH73, Control!$B$202=$AH73, Control!$B$203=$AH73, Control!$B$204=$AH73, Control!$B$205=$AH73, Control!$B$206=$AH73, Control!$B$207=$AH73), 1, 0)</f>
        <v>0</v>
      </c>
      <c r="IH73" s="91">
        <f ca="1">IF($IG73=0,0, VLOOKUP($AH73,Control!$B$198:$C$207,2))</f>
        <v>0</v>
      </c>
      <c r="II73" s="222">
        <f t="shared" ca="1" si="411"/>
        <v>0</v>
      </c>
      <c r="IJ73" s="91">
        <f>Control!$C$121</f>
        <v>0.7</v>
      </c>
      <c r="IK73" s="218">
        <f t="shared" ca="1" si="296"/>
        <v>0</v>
      </c>
      <c r="IL73" s="217" t="e">
        <f t="shared" ca="1" si="448"/>
        <v>#N/A</v>
      </c>
      <c r="IM73" s="223" t="e">
        <f ca="1">IF(AND(Control!$C$114=1,$KH73&lt;1),$EB73*Control!$C$148*(1-$KH73), 0)</f>
        <v>#N/A</v>
      </c>
      <c r="IN73" s="217" t="e">
        <f t="shared" ca="1" si="297"/>
        <v>#DIV/0!</v>
      </c>
      <c r="IO73" s="91" t="e">
        <f ca="1">MAX(0,$IL73-$EF73*Control!$C$160)</f>
        <v>#N/A</v>
      </c>
      <c r="IP73" s="220" t="e">
        <f t="shared" ca="1" si="298"/>
        <v>#N/A</v>
      </c>
      <c r="IQ73" s="217" t="e">
        <f t="shared" ca="1" si="412"/>
        <v>#N/A</v>
      </c>
      <c r="IR73" s="218" t="e">
        <f t="shared" ca="1" si="299"/>
        <v>#N/A</v>
      </c>
      <c r="IS73" s="217" t="e">
        <f ca="1">Control!$C$159*MAX(0,$FD73-$EN73)</f>
        <v>#N/A</v>
      </c>
      <c r="IT73" s="217" t="e">
        <f t="shared" ca="1" si="449"/>
        <v>#N/A</v>
      </c>
      <c r="IU73" s="217" t="e">
        <f t="shared" ca="1" si="413"/>
        <v>#N/A</v>
      </c>
      <c r="IV73" s="217" t="e">
        <f t="shared" ca="1" si="450"/>
        <v>#N/A</v>
      </c>
      <c r="IW73" s="217" t="e">
        <f ca="1">IF(OR($AW73=1,AND($AW73=0, Control!$B$18=1,$EN73&lt;&gt;0)), $IQ73-$IU73, $IQ73)</f>
        <v>#N/A</v>
      </c>
      <c r="IX73" s="218" t="e">
        <f t="shared" ca="1" si="300"/>
        <v>#N/A</v>
      </c>
      <c r="IY73" s="218" t="e">
        <f ca="1">MAX(0,$IQ73-$EB73*Control!$C$159)</f>
        <v>#N/A</v>
      </c>
      <c r="IZ73" s="218" t="e">
        <f t="shared" ca="1" si="301"/>
        <v>#N/A</v>
      </c>
      <c r="JA73" s="216" t="e">
        <f t="shared" ca="1" si="302"/>
        <v>#N/A</v>
      </c>
      <c r="JB73" s="217" t="e">
        <f t="shared" ca="1" si="303"/>
        <v>#N/A</v>
      </c>
      <c r="JC73" s="222" t="e">
        <f ca="1">MAX(Control!$C$157*$EK73-$JT73, 0)/Control!$C$162</f>
        <v>#N/A</v>
      </c>
      <c r="JD73" s="218" t="e">
        <f t="shared" ca="1" si="304"/>
        <v>#N/A</v>
      </c>
      <c r="JE73" s="218" t="e">
        <f t="shared" ca="1" si="305"/>
        <v>#N/A</v>
      </c>
      <c r="JF73" s="218" t="e">
        <f t="shared" ca="1" si="414"/>
        <v>#N/A</v>
      </c>
      <c r="JG73" s="218" t="e">
        <f t="shared" ca="1" si="306"/>
        <v>#N/A</v>
      </c>
      <c r="JH73" s="217" t="e">
        <f t="shared" ca="1" si="415"/>
        <v>#N/A</v>
      </c>
      <c r="JI73" s="217" t="e">
        <f t="shared" ca="1" si="416"/>
        <v>#N/A</v>
      </c>
      <c r="JJ73" s="217" t="e">
        <f t="shared" ca="1" si="451"/>
        <v>#N/A</v>
      </c>
      <c r="JK73" s="217" t="e">
        <f ca="1">IF(Control!$C$114=1,IF(Control!$B$24=0,MAX(0,$JI73)*$GN73/Control!$C$64,(MAX(0,MIN($JI73,$JJ73*$GN73/Control!$C$64),0))))</f>
        <v>#N/A</v>
      </c>
      <c r="JL73" s="217" t="e">
        <f ca="1">$IK73/Control!$C$64-$JK73+$HQ73</f>
        <v>#N/A</v>
      </c>
      <c r="JM73" s="217" t="e">
        <f ca="1">IF(Control!$C$114=1,($JB73/(IF($JI73&lt;&gt;0,$JI73,1)))*$JK73,0)</f>
        <v>#N/A</v>
      </c>
      <c r="JN73" s="217" t="e">
        <f ca="1">IF(Control!$C$114=1,($JG73/(IF($JI73&lt;&gt;0,$JI73,1)))*$JK73, 0)</f>
        <v>#N/A</v>
      </c>
      <c r="JO73" s="218" t="e">
        <f t="shared" ca="1" si="307"/>
        <v>#N/A</v>
      </c>
      <c r="JP73" s="218" t="e">
        <f ca="1">MIN(($IY73+$IO73)*Control!$C$151, $JF73-$EH73*Control!$C$161)</f>
        <v>#N/A</v>
      </c>
      <c r="JQ73" s="218" t="e">
        <f t="shared" ca="1" si="308"/>
        <v>#N/A</v>
      </c>
      <c r="JR73" s="217" t="e">
        <f ca="1">IF($CP73-Control!$C$150&lt;0, 0, $JQ73/Control!$C$162)</f>
        <v>#N/A</v>
      </c>
      <c r="JS73" s="218" t="e">
        <f t="shared" ca="1" si="309"/>
        <v>#N/A</v>
      </c>
      <c r="JT73" s="218" t="e">
        <f t="shared" ca="1" si="417"/>
        <v>#N/A</v>
      </c>
      <c r="JU73" s="218" t="e">
        <f t="shared" ca="1" si="310"/>
        <v>#N/A</v>
      </c>
      <c r="JV73" s="218" t="e">
        <f t="shared" ca="1" si="311"/>
        <v>#N/A</v>
      </c>
      <c r="JW73" s="216" t="e">
        <f t="shared" ca="1" si="312"/>
        <v>#N/A</v>
      </c>
      <c r="JX73" s="91" t="e">
        <f t="shared" ca="1" si="313"/>
        <v>#N/A</v>
      </c>
      <c r="JY73" s="218" t="e">
        <f t="shared" ca="1" si="314"/>
        <v>#N/A</v>
      </c>
      <c r="JZ73" s="217" t="e">
        <f ca="1">IF(Control!$C$114=1,($IZ73/(IF($JI73&lt;&gt;0,$JI73,1)))*$JK73, 0)</f>
        <v>#N/A</v>
      </c>
      <c r="KA73" s="218" t="e">
        <f t="shared" ca="1" si="452"/>
        <v>#N/A</v>
      </c>
      <c r="KB73" s="218" t="e">
        <f t="shared" ca="1" si="418"/>
        <v>#N/A</v>
      </c>
      <c r="KC73" s="218" t="e">
        <f t="shared" ca="1" si="315"/>
        <v>#N/A</v>
      </c>
      <c r="KD73" s="218" t="e">
        <f t="shared" ca="1" si="316"/>
        <v>#N/A</v>
      </c>
      <c r="KE73" s="218" t="e">
        <f t="shared" ca="1" si="317"/>
        <v>#N/A</v>
      </c>
      <c r="KF73" s="218" t="e">
        <f t="shared" ca="1" si="318"/>
        <v>#N/A</v>
      </c>
      <c r="KG73" s="216" t="e">
        <f t="shared" ca="1" si="319"/>
        <v>#N/A</v>
      </c>
      <c r="KH73" s="221" t="e">
        <f ca="1">IF(Control!$B$24=0,1,MAX(0.001,MIN(1,IF(($IF73-$IE73)&lt;&gt;0,($KG73-$IE73)/($IF73-$IE73),1))))</f>
        <v>#N/A</v>
      </c>
      <c r="KI73" s="222" t="e">
        <f ca="1">IF(Control!$C$114=1, $KI72+ $KH72, 0)</f>
        <v>#N/A</v>
      </c>
      <c r="KJ73" s="217" t="e">
        <f t="shared" ca="1" si="320"/>
        <v>#N/A</v>
      </c>
      <c r="KK73" s="218" t="e">
        <f t="shared" ca="1" si="321"/>
        <v>#N/A</v>
      </c>
      <c r="KL73" s="274" t="e">
        <f ca="1">IF(Control!$B$26=3,4000000000*EXP(-8400/($G73+273)),IF(Control!$B$26=4,4000000000*EXP(-8400/($G73+273))*($KT73),0))</f>
        <v>#DIV/0!</v>
      </c>
      <c r="KM73" s="274" t="e">
        <f ca="1">IF(Control!$B$26=3,5600000000000*EXP(-9800/($G73+273)),IF(Control!$B$26=4,5600000000000*EXP(-9800/($G73+273))*$KT73,0))</f>
        <v>#DIV/0!</v>
      </c>
      <c r="KN73" s="454" t="e">
        <f t="shared" ca="1" si="419"/>
        <v>#DIV/0!</v>
      </c>
      <c r="KO73" s="274" t="e">
        <f t="shared" ca="1" si="420"/>
        <v>#DIV/0!</v>
      </c>
      <c r="KP73" s="454" t="e">
        <f t="shared" ca="1" si="322"/>
        <v>#DIV/0!</v>
      </c>
      <c r="KQ73" s="454" t="e">
        <f t="shared" ca="1" si="323"/>
        <v>#DIV/0!</v>
      </c>
      <c r="KR73" s="454" t="e">
        <f t="shared" ca="1" si="324"/>
        <v>#DIV/0!</v>
      </c>
      <c r="KS73" s="454" t="e">
        <f t="shared" ca="1" si="325"/>
        <v>#DIV/0!</v>
      </c>
      <c r="KT73" s="455" t="e">
        <f t="shared" ca="1" si="326"/>
        <v>#DIV/0!</v>
      </c>
      <c r="KU73" s="456" t="e">
        <f ca="1">IF($CP73-Control!$C$149&lt;0, IF($NT73-0.01&lt;0,0,1),0)</f>
        <v>#N/A</v>
      </c>
      <c r="KV73" s="456" t="e">
        <f ca="1">IF(Control!$C$114=1,MAX(0,MIN(Control!$C$125*$KW73*$GN73,$KW73)))</f>
        <v>#DIV/0!</v>
      </c>
      <c r="KW73" s="456" t="e">
        <f t="shared" ca="1" si="453"/>
        <v>#DIV/0!</v>
      </c>
      <c r="KX73" s="457" t="e">
        <f ca="1">IF($CP73-Control!$C$149&lt;0, IF($MR73-$OM73&lt;0,0,1),0)</f>
        <v>#N/A</v>
      </c>
      <c r="KY73" s="167">
        <f t="shared" ca="1" si="421"/>
        <v>69</v>
      </c>
      <c r="KZ73" s="168">
        <f ca="1">1370*(1+0.033*COS(2*Control!$C$138*$AH73/365))</f>
        <v>1386.8957518315185</v>
      </c>
      <c r="LA73" s="169">
        <f t="shared" ca="1" si="422"/>
        <v>1.0123327505880855</v>
      </c>
      <c r="LB73" s="169">
        <f t="shared" ca="1" si="423"/>
        <v>-8.2145341567279873E-2</v>
      </c>
      <c r="LC73" s="169">
        <f ca="1">ACOS(-TAN((2*Control!$B$8/360))*TAN(Calculations!$LB73))</f>
        <v>1.5463249693345649</v>
      </c>
      <c r="LD73" s="169">
        <f ca="1">((24*60)/PI())*0.082*$LA73*(($LC73*SIN(Control!$B$8*2*PI()/360))*SIN($LB73)+COS(Control!$B$8*2*PI()/360)*COS($LB73)*SIN($LC73))</f>
        <v>19.53535216245303</v>
      </c>
      <c r="LE73" s="170">
        <f t="shared" ca="1" si="327"/>
        <v>19.602038422205339</v>
      </c>
      <c r="LF73" s="170">
        <f ca="1">SIN(Control!$C$139*Control!$B$8)*SIN($HD73)</f>
        <v>-6.5637798023223531E-2</v>
      </c>
      <c r="LG73" s="170">
        <f ca="1">COS(Control!$C$139*Control!$B$8)*COS($HD73)</f>
        <v>0.61352032236402332</v>
      </c>
      <c r="LH73" s="170">
        <f ca="1">12*(1+2*ASIN(MAX(-1,MIN(1,$LF73/$LG73))/Control!$C$138))</f>
        <v>11.182534596240394</v>
      </c>
      <c r="LI73" s="170">
        <f ca="1">12*(1+2*ASIN(MAX(-1,MIN(1,(-SIN(-4*Control!$C$139)+$LF73)/$LG73))/Control!$C$138))</f>
        <v>12.051286906313049</v>
      </c>
      <c r="LJ73" s="168">
        <f ca="1">3600*($LH73*$LF73+24*$LG73*SQRT(1-$LK73*$LK73)/Control!$C$138)</f>
        <v>14133.750425234999</v>
      </c>
      <c r="LK73" s="170">
        <f t="shared" ca="1" si="328"/>
        <v>-0.1069855319059477</v>
      </c>
      <c r="LL73" s="170">
        <f t="shared" ca="1" si="329"/>
        <v>0</v>
      </c>
      <c r="LM73" s="171">
        <f ca="1">Control!$C$145*$AB73</f>
        <v>6.6660906138995932E-2</v>
      </c>
      <c r="LN73" s="170">
        <f t="shared" ca="1" si="424"/>
        <v>0.54</v>
      </c>
      <c r="LO73" s="170">
        <f t="shared" ca="1" si="330"/>
        <v>0</v>
      </c>
      <c r="LP73" s="170">
        <f ca="1">Control!$C$140*((($D73+273.16)^4+($E73+273.16)^4)/2)*(0.34-0.14*SQRT($Y73))*(1.35*$AQ73/(0.75*$LD73)-0.35)</f>
        <v>-3.2464704755046001</v>
      </c>
      <c r="LQ73" s="170">
        <f ca="1">Control!$C$140*($G73+273)^4*(0.56-0.079*SQRT($Y73*10))*(0.1+0.9*$LO73)</f>
        <v>1.5241745131704001</v>
      </c>
      <c r="LR73" s="170">
        <f ca="1">$AQ73*(1-Control!$C$142)-$LQ73</f>
        <v>-1.5241745131704001</v>
      </c>
      <c r="LS73" s="170">
        <f ca="1">$AQ73*(1-Control!$C$143)-$LQ73</f>
        <v>-1.5241745131704001</v>
      </c>
      <c r="LT73" s="170">
        <f ca="1">$AQ73*(1-Control!$C$144)-$LQ73</f>
        <v>-1.5241745131704001</v>
      </c>
      <c r="LU73" s="169">
        <f ca="1">(1-Control!$C$144)*AQ73-LP73</f>
        <v>3.2464704755046001</v>
      </c>
      <c r="LV73" s="172">
        <f t="shared" ca="1" si="331"/>
        <v>0.79430000000000012</v>
      </c>
      <c r="LW73" s="170">
        <f t="shared" ca="1" si="332"/>
        <v>1.5886000000000002</v>
      </c>
      <c r="LX73" s="170">
        <f ca="1">($AC73*($LR73/Control!$C$141)+$LM73*$LV73)/($AC73+$LM73)</f>
        <v>0.23530094218323697</v>
      </c>
      <c r="LY73" s="170">
        <f ca="1">($AC73*($LS73/Control!$C$141)+$LM73*$LV73)/($AC73+$LM73)</f>
        <v>0.23530094218323697</v>
      </c>
      <c r="LZ73" s="170">
        <f t="shared" ca="1" si="333"/>
        <v>0.23530094218323697</v>
      </c>
      <c r="MA73" s="170">
        <f t="shared" ca="1" si="334"/>
        <v>0.23530094218323697</v>
      </c>
      <c r="MB73" s="170" t="e">
        <f t="shared" ca="1" si="335"/>
        <v>#N/A</v>
      </c>
      <c r="MC73" s="170">
        <f t="shared" ca="1" si="425"/>
        <v>0.6018</v>
      </c>
      <c r="MD73" s="170">
        <f t="shared" ca="1" si="336"/>
        <v>0.52989392535414004</v>
      </c>
      <c r="ME73" s="170">
        <f ca="1">($AC73*($LT73/Control!$C$141)+$LM73*$LW73)/($AC73+$LM73)</f>
        <v>0.71612369323045078</v>
      </c>
      <c r="MF73" s="170" t="e">
        <f ca="1">IF(Control!$B$16&gt;=1000,0.92,IF(AND(720&lt;=Control!$B$16,1000&gt;Control!$B$16),(0.95+(Control!$B$16-720)*((0.92-0.95)/(1000-720))),IF(AND(360&lt;=Control!$B$16,720&gt;Control!$B$16),(1+(Control!$B$16-360)*((0.95-1)/(720-360))),IF(AND(40&lt;=Control!$B$16,360&gt;Control!$B$16),(1.05+(Control!$B$16-40)*((1.05-1)/(360-40)))))))</f>
        <v>#N/A</v>
      </c>
      <c r="MG73" s="170">
        <f t="shared" ca="1" si="337"/>
        <v>0.71612369323045078</v>
      </c>
      <c r="MH73" s="170" t="e">
        <f t="shared" ca="1" si="233"/>
        <v>#N/A</v>
      </c>
      <c r="MI73" s="170" t="e">
        <f t="shared" ca="1" si="233"/>
        <v>#N/A</v>
      </c>
      <c r="MJ73" s="170" t="e">
        <f ca="1">MAX(0.0001, Control!$C$132*$MI73*$DL73)</f>
        <v>#N/A</v>
      </c>
      <c r="MK73" s="170">
        <f ca="1">1/(0.76+1.5*($MG73/10))-(5-Control!$C$110)*0.1</f>
        <v>1.002845988140797</v>
      </c>
      <c r="ML73" s="173">
        <f ca="1">IF(Control!$C$110&lt;3,$MK73+($MG73-0.6)/(Control!$C$110*(Control!$C$110+3)), MAX(0.1, MIN(0.95,$MK73)))</f>
        <v>0.95</v>
      </c>
      <c r="MM73" s="173">
        <f ca="1">IF(Control!$C$110&lt;3,$MK73+(($MI73/10)-0.6)/(Control!$C$110*(Control!$C$110+3)), MAX(0.1, MIN(0.95,$MK73)))</f>
        <v>0.95</v>
      </c>
      <c r="MN73" s="173">
        <f ca="1">(1-$MM73)*(Control!$C$128-Control!$C$127)+Control!$C$127</f>
        <v>0.16</v>
      </c>
      <c r="MO73" s="170" t="e">
        <f ca="1">MAX(0,MIN(1,($MS73-Control!$C$127)/($MN73-Control!$C$127)))</f>
        <v>#DIV/0!</v>
      </c>
      <c r="MP73" s="173" t="e">
        <f ca="1">1/(0.76+1.5*$MI73)-(5-Control!$C$110)*0.1</f>
        <v>#N/A</v>
      </c>
      <c r="MQ73" s="172" t="e">
        <f t="shared" ca="1" si="454"/>
        <v>#DIV/0!</v>
      </c>
      <c r="MR73" s="168" t="e">
        <f t="shared" ca="1" si="426"/>
        <v>#DIV/0!</v>
      </c>
      <c r="MS73" s="173" t="e">
        <f ca="1">MAX(Control!$C$127, MIN(Control!$C$135, $MR73/MAX(0.0001,$CY73)))</f>
        <v>#DIV/0!</v>
      </c>
      <c r="MT73" s="168" t="e">
        <f ca="1">(Control!$C$128-$MS73)*Control!$C$74</f>
        <v>#DIV/0!</v>
      </c>
      <c r="MU73" s="168" t="e">
        <f ca="1">(Control!$C$135-$MS73)*Control!$C$74</f>
        <v>#DIV/0!</v>
      </c>
      <c r="MV73" s="168" t="e">
        <f t="shared" ca="1" si="427"/>
        <v>#DIV/0!</v>
      </c>
      <c r="MW73" s="168" t="e">
        <f t="shared" ca="1" si="428"/>
        <v>#DIV/0!</v>
      </c>
      <c r="MX73" s="171" t="e">
        <f ca="1">MAX(Control!$C$127, MIN(Control!$C$135, $MW73/MAX(0.0001,Control!$C$119-$CY73)))</f>
        <v>#DIV/0!</v>
      </c>
      <c r="MY73" s="54" t="e">
        <f ca="1">IF(Control!$C$114=1, $CX73*$MX73, 0)</f>
        <v>#DIV/0!</v>
      </c>
      <c r="MZ73" s="54" t="e">
        <f t="shared" ca="1" si="429"/>
        <v>#N/A</v>
      </c>
      <c r="NA73" s="168" t="e">
        <f ca="1">(Control!$C$128-$MX73)*(Control!$C$119-Control!$C$74)</f>
        <v>#DIV/0!</v>
      </c>
      <c r="NB73" s="168" t="e">
        <f ca="1">(Control!$C$135-$MX73)*(Control!$C$119-Control!$C$74)</f>
        <v>#DIV/0!</v>
      </c>
      <c r="NC73" s="174" t="e">
        <f t="shared" ca="1" si="430"/>
        <v>#DIV/0!</v>
      </c>
      <c r="ND73" s="54">
        <f ca="1">IF(Control!$C$58=2, IF(OR(Control!$B$218=$AH73,Control!$B$219=$AH73, Control!$B$220=$AH73, Control!$B$221=$AH73, Control!$B$222=$AH73, Control!$B$223=$AH73, Control!$B$224=$AH73, Control!$B$225=$AH73, Control!$B$226=$AH73, Control!$B$227=$AH73, Control!$B$228=$AH73), 1, 0), 0)</f>
        <v>0</v>
      </c>
      <c r="NE73" s="54">
        <f ca="1">IF($ND73=0,0, VLOOKUP($AH73,Control!$B$218:$C$228,2))</f>
        <v>0</v>
      </c>
      <c r="NF73" s="168" t="e">
        <f ca="1">$CY73*(Control!$C$128-Control!$C$127)</f>
        <v>#N/A</v>
      </c>
      <c r="NG73" s="54" t="e">
        <f ca="1">IF(Control!$C$58=2, $NI72-$NJ72, 0)</f>
        <v>#DIV/0!</v>
      </c>
      <c r="NH73" s="54" t="e">
        <f ca="1">IF(AND(Control!$C$58=1, $MS72&lt;= ($MN72+0.02), $I72&lt;10), 0, IF(Control!$C$58=2, $NG72, 0))</f>
        <v>#DIV/0!</v>
      </c>
      <c r="NI73" s="54" t="e">
        <f ca="1">IF(Control!$C$58=2, $NE73+$NH73,0)</f>
        <v>#DIV/0!</v>
      </c>
      <c r="NJ73" s="54" t="e">
        <f ca="1">IF(AND(Control!$C$58=1, $MS73&lt;= ($MN73+0.02), $I73&lt;10), MAX(0, MIN(10, 0.7*($NF73-$MV73))), IF(Control!$C$58=2, MIN(10,$NI73),0))</f>
        <v>#DIV/0!</v>
      </c>
      <c r="NK73" s="54" t="e">
        <f t="shared" ca="1" si="338"/>
        <v>#DIV/0!</v>
      </c>
      <c r="NL73" s="173" t="e">
        <f ca="1">(1-Control!$C$73)*$I73+$NJ73</f>
        <v>#DIV/0!</v>
      </c>
      <c r="NM73" s="172" t="e">
        <f ca="1">IF($NL73&lt;0.5, $MB73* MAX(0, MIN(1, (SQRT($NC73)-SQRT($NC73-1))*Control!$C$71)),0)</f>
        <v>#DIV/0!</v>
      </c>
      <c r="NN73" s="170" t="e">
        <f ca="1">IF($NL73&gt;=5, $MB73, MAX(0,MIN($MB73, $NM73+$NL73,($MS73-Control!$C$129))))</f>
        <v>#DIV/0!</v>
      </c>
      <c r="NO73" s="54">
        <f>IF(Control!$C$133&lt;&gt;1, Control!$C$135-Control!$C$131, 0)</f>
        <v>0.38</v>
      </c>
      <c r="NP73" s="54" t="e">
        <f t="shared" ca="1" si="339"/>
        <v>#DIV/0!</v>
      </c>
      <c r="NQ73" s="173" t="e">
        <f ca="1">MAX(0,MIN(1,(Control!$C$135-$MS73)/(Control!$C$135-$NO73)))</f>
        <v>#DIV/0!</v>
      </c>
      <c r="NR73" s="170" t="e">
        <f ca="1">IF(Control!$C$133&lt;&gt;1, $NQ73+((1-$NP73/4)*(1-$NQ73)),1)</f>
        <v>#DIV/0!</v>
      </c>
      <c r="NS73" s="170" t="e">
        <f ca="1">IF(Control!$B$31=0,$MJ73,MAX(0,MIN($MV73,$MO73*$NR73*$MJ73)))</f>
        <v>#DIV/0!</v>
      </c>
      <c r="NT73" s="170" t="e">
        <f t="shared" ca="1" si="455"/>
        <v>#DIV/0!</v>
      </c>
      <c r="NU73" s="170" t="e">
        <f t="shared" ca="1" si="431"/>
        <v>#N/A</v>
      </c>
      <c r="NV73" s="170" t="e">
        <f t="shared" ca="1" si="340"/>
        <v>#N/A</v>
      </c>
      <c r="NW73" s="175" t="e">
        <f t="shared" ca="1" si="341"/>
        <v>#DIV/0!</v>
      </c>
      <c r="NX73" s="170" t="e">
        <f ca="1">MIN(Control!$C$72+$MU73, $NW73)</f>
        <v>#DIV/0!</v>
      </c>
      <c r="NY73" s="170" t="e">
        <f ca="1">IF($MT73&lt;=$NX73,MIN(Control!$C$72+$NB73,$NX73-$MT73),0)</f>
        <v>#DIV/0!</v>
      </c>
      <c r="NZ73" s="54" t="e">
        <f ca="1">IF(Control!$C$114=1,  $CX73*($MX73-Control!$C$127), 0)</f>
        <v>#DIV/0!</v>
      </c>
      <c r="OA73" s="170" t="e">
        <f t="shared" ca="1" si="342"/>
        <v>#DIV/0!</v>
      </c>
      <c r="OB73" s="170" t="e">
        <f ca="1">IF($NA73 &lt;=$NY73, MIN(Control!$C$72, $NY73-$NA73), 0)</f>
        <v>#DIV/0!</v>
      </c>
      <c r="OC73" s="168" t="e">
        <f t="shared" ca="1" si="343"/>
        <v>#DIV/0!</v>
      </c>
      <c r="OD73" s="168" t="e">
        <f t="shared" ca="1" si="432"/>
        <v>#DIV/0!</v>
      </c>
      <c r="OE73" s="170">
        <f ca="1">Control!$C$73*$I73</f>
        <v>0</v>
      </c>
      <c r="OF73" s="176" t="e">
        <f t="shared" ca="1" si="344"/>
        <v>#DIV/0!</v>
      </c>
      <c r="OG73" s="168" t="e">
        <f t="shared" ca="1" si="345"/>
        <v>#DIV/0!</v>
      </c>
      <c r="OH73" s="168" t="e">
        <f t="shared" ca="1" si="346"/>
        <v>#DIV/0!</v>
      </c>
      <c r="OI73" s="168" t="e">
        <f t="shared" ca="1" si="347"/>
        <v>#DIV/0!</v>
      </c>
      <c r="OJ73" s="168" t="e">
        <f t="shared" ca="1" si="348"/>
        <v>#DIV/0!</v>
      </c>
      <c r="OK73" s="204" t="e">
        <f t="shared" ca="1" si="349"/>
        <v>#DIV/0!</v>
      </c>
      <c r="OL73" s="177">
        <f>Control!$C$127</f>
        <v>0.15</v>
      </c>
      <c r="OM73" s="182" t="e">
        <f t="shared" ca="1" si="350"/>
        <v>#N/A</v>
      </c>
      <c r="ON73" s="177">
        <f>Control!$C$128</f>
        <v>0.35</v>
      </c>
      <c r="OO73" s="182" t="e">
        <f t="shared" ca="1" si="351"/>
        <v>#N/A</v>
      </c>
      <c r="OP73" s="138">
        <f t="shared" ca="1" si="433"/>
        <v>0</v>
      </c>
      <c r="OQ73" s="138" t="e">
        <f t="shared" ca="1" si="456"/>
        <v>#DIV/0!</v>
      </c>
      <c r="OR73" s="138" t="e">
        <f t="shared" ca="1" si="434"/>
        <v>#DIV/0!</v>
      </c>
      <c r="OS73" s="137" t="e">
        <f t="shared" ca="1" si="457"/>
        <v>#DIV/0!</v>
      </c>
      <c r="OT73" s="139" t="e">
        <f t="shared" ca="1" si="458"/>
        <v>#DIV/0!</v>
      </c>
      <c r="OU73" s="138" t="e">
        <f t="shared" ca="1" si="459"/>
        <v>#N/A</v>
      </c>
      <c r="OV73" s="138" t="e">
        <f t="shared" ca="1" si="460"/>
        <v>#DIV/0!</v>
      </c>
      <c r="OW73" s="138" t="e">
        <f t="shared" ca="1" si="435"/>
        <v>#DIV/0!</v>
      </c>
      <c r="OX73" s="138" t="e">
        <f t="shared" ca="1" si="436"/>
        <v>#DIV/0!</v>
      </c>
      <c r="OY73" s="138" t="e">
        <f t="shared" ca="1" si="437"/>
        <v>#DIV/0!</v>
      </c>
      <c r="OZ73" s="138" t="e">
        <f t="shared" ca="1" si="352"/>
        <v>#DIV/0!</v>
      </c>
      <c r="PA73" s="138" t="e">
        <f t="shared" ca="1" si="353"/>
        <v>#DIV/0!</v>
      </c>
      <c r="PB73" s="55">
        <f>IF(Control!$C$61="T", IF(Control!$C$65="F", IF($AH$6-Control!$C$60&lt;0,0,1), IF(365+$AH$6-Control!$C$60&lt;0,0,1)),0)</f>
        <v>0</v>
      </c>
      <c r="PC73" s="55">
        <f ca="1">IF(Control!$C$65="F", IF($AH$6-$HF73&lt;0,0,1), IF(365+$AH$6-$HF73&lt;0,0,1))</f>
        <v>1</v>
      </c>
      <c r="PD73" s="444">
        <f>Control!$C$118</f>
        <v>1500</v>
      </c>
      <c r="PE73" s="180" t="e">
        <f t="shared" ca="1" si="354"/>
        <v>#N/A</v>
      </c>
      <c r="PF73" s="445">
        <f t="shared" ca="1" si="438"/>
        <v>0.71612369323045078</v>
      </c>
      <c r="PT73" s="186"/>
      <c r="PU73" s="186"/>
      <c r="PV73" s="94"/>
      <c r="PW73" s="94"/>
      <c r="PX73" s="94"/>
      <c r="PY73" s="94"/>
      <c r="PZ73" s="94"/>
      <c r="QA73" s="94"/>
      <c r="QB73" s="94"/>
      <c r="QC73" s="94"/>
      <c r="QD73" s="94"/>
      <c r="QE73" s="94"/>
      <c r="QF73" s="94"/>
      <c r="QG73" s="94"/>
      <c r="QH73" s="94"/>
      <c r="QI73" s="94"/>
      <c r="QJ73" s="94"/>
      <c r="QK73" s="94"/>
      <c r="QL73" s="94"/>
      <c r="QM73" s="94"/>
      <c r="QN73" s="94"/>
      <c r="QO73" s="94"/>
      <c r="QP73" s="94"/>
    </row>
    <row r="74" spans="1:458" s="2" customFormat="1" x14ac:dyDescent="0.2">
      <c r="A74" s="395">
        <v>10</v>
      </c>
      <c r="B74" s="396">
        <v>3</v>
      </c>
      <c r="C74" s="387">
        <f ca="1">Weather_data!$B73</f>
        <v>0</v>
      </c>
      <c r="D74" s="388">
        <f ca="1">Weather_data!$F73</f>
        <v>0</v>
      </c>
      <c r="E74" s="388">
        <f ca="1">Weather_data!$E73</f>
        <v>0</v>
      </c>
      <c r="F74" s="388">
        <f t="shared" ca="1" si="355"/>
        <v>0</v>
      </c>
      <c r="G74" s="388">
        <f ca="1">AVERAGE($D74:$E74)+Control!$B$9</f>
        <v>0</v>
      </c>
      <c r="H74" s="388">
        <f ca="1">Weather_data!$G73</f>
        <v>0</v>
      </c>
      <c r="I74" s="388">
        <f ca="1">Weather_data!$I73</f>
        <v>0</v>
      </c>
      <c r="J74" s="388">
        <f ca="1">Weather_data!$H73</f>
        <v>0</v>
      </c>
      <c r="K74" s="389">
        <f ca="1">Weather_data!$D73</f>
        <v>0</v>
      </c>
      <c r="L74" s="388" t="e">
        <f t="shared" ca="1" si="356"/>
        <v>#N/A</v>
      </c>
      <c r="M74" s="388" t="e">
        <f t="shared" ca="1" si="234"/>
        <v>#N/A</v>
      </c>
      <c r="N74" s="388">
        <f t="shared" ca="1" si="235"/>
        <v>-3.8677700507271421E-4</v>
      </c>
      <c r="O74" s="388">
        <f t="shared" ca="1" si="357"/>
        <v>3.8677700507271421E-3</v>
      </c>
      <c r="P74" s="390">
        <v>3</v>
      </c>
      <c r="Q74" s="388">
        <f ca="1">MAX($G74-Control!$C$107,0)</f>
        <v>0</v>
      </c>
      <c r="R74" s="388">
        <f t="shared" ca="1" si="358"/>
        <v>0</v>
      </c>
      <c r="S74" s="388">
        <f t="shared" ca="1" si="236"/>
        <v>0</v>
      </c>
      <c r="T74" s="388">
        <f t="shared" ca="1" si="237"/>
        <v>0</v>
      </c>
      <c r="U74" s="59">
        <f t="shared" ca="1" si="238"/>
        <v>0</v>
      </c>
      <c r="V74" s="391">
        <f ca="1">MAX(0,MIN(Control!$C$100-Control!$C$99,$G74-Control!$C$99)*Control!$C$63)</f>
        <v>0</v>
      </c>
      <c r="W74" s="388">
        <f t="shared" ca="1" si="359"/>
        <v>0</v>
      </c>
      <c r="X74" s="388">
        <f t="shared" ca="1" si="360"/>
        <v>0.6110000000000001</v>
      </c>
      <c r="Y74" s="388">
        <f t="shared" ca="1" si="239"/>
        <v>0</v>
      </c>
      <c r="Z74" s="388">
        <f t="shared" ca="1" si="361"/>
        <v>0.61058800000000002</v>
      </c>
      <c r="AA74" s="388">
        <f t="shared" ca="1" si="240"/>
        <v>0.6018</v>
      </c>
      <c r="AB74" s="388">
        <f ca="1">101.3*EXP(-0.034*Control!$C$66/($G74+273))</f>
        <v>100.69623283836242</v>
      </c>
      <c r="AC74" s="392">
        <f t="shared" ca="1" si="241"/>
        <v>4.3460251046025113E-2</v>
      </c>
      <c r="AD74" s="392">
        <f t="shared" ca="1" si="242"/>
        <v>4.4450382862832649E-2</v>
      </c>
      <c r="AE74" s="388">
        <f t="shared" ca="1" si="243"/>
        <v>0</v>
      </c>
      <c r="AF74" s="388">
        <f ca="1">MAX(0,$G74-Control!$C$92)</f>
        <v>0</v>
      </c>
      <c r="AG74" s="393">
        <f t="shared" ca="1" si="244"/>
        <v>70</v>
      </c>
      <c r="AH74" s="389">
        <f t="shared" ca="1" si="245"/>
        <v>70</v>
      </c>
      <c r="AI74" s="388">
        <f t="shared" ca="1" si="362"/>
        <v>-7.6659817789965543E-2</v>
      </c>
      <c r="AJ74" s="388">
        <f ca="1">IF(Control!$C$60&lt;=0,$HH74,$HI74)</f>
        <v>1</v>
      </c>
      <c r="AK74" s="388">
        <f t="shared" ca="1" si="246"/>
        <v>-0.17214206321039963</v>
      </c>
      <c r="AL74" s="388">
        <f t="shared" ca="1" si="247"/>
        <v>-1.0819713180953982E-18</v>
      </c>
      <c r="AM74" s="388">
        <f t="shared" ca="1" si="248"/>
        <v>-0.17214206321039963</v>
      </c>
      <c r="AN74" s="388">
        <f t="shared" ca="1" si="249"/>
        <v>-6.8193253874784671E-2</v>
      </c>
      <c r="AO74" s="388">
        <f ca="1">-0.10453/COS(Control!$B$8*PI()/180)*COS(AN74)</f>
        <v>-0.16939024022897559</v>
      </c>
      <c r="AP74" s="388">
        <f ca="1">ACOS(AO74-TAN(Control!$B$8*PI()/180)*TAN(AN74))</f>
        <v>1.6528597085661241</v>
      </c>
      <c r="AQ74" s="388">
        <f t="shared" ca="1" si="363"/>
        <v>0</v>
      </c>
      <c r="AR74" s="394">
        <f t="shared" ca="1" si="250"/>
        <v>0</v>
      </c>
      <c r="AS74" s="436">
        <f ca="1">IF(Control!$B$18=2,(IF(OR($AH74=Control!$B$175,$AH74=Control!$B$176,$AH74=Control!$B$177,$AH74=Control!$B$178,$AH74=Control!$B$179,$AH74=Control!$B$180,$AH74=Control!$B$181,$AH74=Control!$B$182,$AH74=Control!$B$183,$AH74=Control!$B$184,$AH74=Control!$B$185),1,0)),0)</f>
        <v>0</v>
      </c>
      <c r="AT74" s="436">
        <f>IF(Control!$B$20=8,IF(AND($AH74&gt;=Control!$B$172,$AH74&lt;=Control!$B$173),1,0),0)</f>
        <v>0</v>
      </c>
      <c r="AU74" s="436">
        <f>IF(Control!$B$20=8,IF($AV73=1,1*$AT74,IF($AT74=1,$AU73+1,$AU73)),0)</f>
        <v>0</v>
      </c>
      <c r="AV74" s="436">
        <f>IF(Control!$B$20=8,IF($AU74&gt;=Control!$B$174,1,0),0)</f>
        <v>0</v>
      </c>
      <c r="AW74" s="436">
        <f ca="1">IF(AND(Control!$B$18=2,Control!$B$171=1), $AV74, $AS74)</f>
        <v>0</v>
      </c>
      <c r="AX74" s="436" t="e">
        <f ca="1">IF(AND(Control!$B$18=1,$EU74&gt;=Control!$B$19),-$AY74,IF(AND(Control!$B$18=2,$AW74=1,$EU74&gt;$DS74),-$AY74, IF(Control!$C$108=0,0, IF(Control!$C$108&lt;&gt;0,1))))</f>
        <v>#N/A</v>
      </c>
      <c r="AY74" s="436" t="e">
        <f t="shared" ca="1" si="364"/>
        <v>#N/A</v>
      </c>
      <c r="AZ74" s="436" t="e">
        <f ca="1">IF(AND(Control!$B$18=1,$EB74&gt;Control!$B$19),$AZ73+1, IF(AND(Control!$B$18=2, $AW74=1, $EB74&gt;$DS74), $AZ73+1,$AZ73))</f>
        <v>#N/A</v>
      </c>
      <c r="BA74" s="587">
        <f>IF(Control!$C$81=0,1,IF($AH74&gt;=Control!$C$82,1,0))</f>
        <v>1</v>
      </c>
      <c r="BB74" s="140" t="e">
        <f ca="1">IF($BA74&gt;$BA73,Control!$C$83,IF($AW74&gt;0,$AW74*Control!$C$84,IF(AND(Control!$B$18=1,EN73&lt;&gt;0),Control!$C$84,0)))</f>
        <v>#N/A</v>
      </c>
      <c r="BC74" s="140" t="e">
        <f t="shared" ca="1" si="365"/>
        <v>#N/A</v>
      </c>
      <c r="BD74" s="140" t="e">
        <f ca="1">BC74*IF(OR($G74&lt;Control!$C$92,$G74&gt;Control!$C$95),0,IF(AND($G74&gt;=Control!$C$92,$G74&lt;=Control!$C$93),$G74-Control!$C$92,IF(AND($G74&gt;Control!$C$93,$G74&lt;=Control!$C$94),Control!$C$93-Control!$C$92,IF(AND($G74&gt;Control!$C$94,$G74&lt;=Control!$C$95),(Control!$C$93-Control!$C$92)*(Control!$C$94-$G74)/(Control!$C$95-Control!$C$94)))))</f>
        <v>#N/A</v>
      </c>
      <c r="BE74" s="140" t="e">
        <f t="shared" ca="1" si="366"/>
        <v>#N/A</v>
      </c>
      <c r="BF74" s="140" t="e">
        <f ca="1">IF($BE74&lt;=Control!$C$86,$BE74,Control!$C$86-$BE74)</f>
        <v>#N/A</v>
      </c>
      <c r="BG74" s="140" t="e">
        <f ca="1">IF(AND($AW74=1,Control!$C$84&lt;9),1,IF($BE74&gt;=Control!$C$86,0,$BC74))</f>
        <v>#N/A</v>
      </c>
      <c r="BH74" s="404" t="e">
        <f ca="1">IF($BG74=0,0,IF($BE74&lt;=Control!$C$86,$BC74*9*($BF74/Control!$C$86),0))</f>
        <v>#N/A</v>
      </c>
      <c r="BI74" s="140" t="e">
        <f ca="1">IF($BG74=1,0,IF($BE74&gt;=Control!$C$86,1,IF(AND($BB74&lt;21,$BB74&gt;=9),1,$BM73)))</f>
        <v>#N/A</v>
      </c>
      <c r="BJ74" s="140" t="e">
        <f ca="1">IF($BF74&lt;0,-$BF74,$BI74*IF(OR($G74&lt;Control!$C$92,$G74&gt;Control!$C$95),0,IF(AND($G74&gt;=Control!$C$92,$G74&lt;=Control!$C$93),$G74-Control!$C$92,IF(AND($G74&gt;Control!$C$93,$G74&lt;=Control!$C$94),Control!$C$93-Control!$C$92,IF(AND($G74&gt;Control!$C$94,$G74&lt;=Control!$C$95),(Control!$C$93-Control!$C$92)*(Control!$C$94-$G74)/(Control!$C$95-Control!$C$94))))))</f>
        <v>#N/A</v>
      </c>
      <c r="BK74" s="140" t="e">
        <f t="shared" ca="1" si="367"/>
        <v>#N/A</v>
      </c>
      <c r="BL74" s="140" t="e">
        <f ca="1">IF($BK74&lt;=Control!$C$87,$BK74,Control!$C$87-$BK74)</f>
        <v>#N/A</v>
      </c>
      <c r="BM74" s="140" t="e">
        <f ca="1">IF(AND($BB74&gt;=9,$BB74&lt;21),1,IF($BK74&gt;=Control!$C$87,0,$BI74))</f>
        <v>#N/A</v>
      </c>
      <c r="BN74" s="404" t="e">
        <f ca="1">IF($BM74=0,0,IF($BK74&lt;=Control!$C$87,$BI74*(9+(21-9)*($BL74/Control!$C$87)),0))</f>
        <v>#N/A</v>
      </c>
      <c r="BO74" s="140" t="e">
        <f ca="1">IF($BM74=1,0,IF($BK74&gt;=Control!$C$87,1,IF(AND($BB74&lt;30,$BB74&gt;=21),1,$BS73)))</f>
        <v>#N/A</v>
      </c>
      <c r="BP74" s="140" t="e">
        <f ca="1">IF($BL74&lt;0,-$BL74,$BO74*IF(OR($G74&lt;Control!$C$92,$G74&gt;Control!$C$95),0,IF(AND($G74&gt;=Control!$C$92,$G74&lt;=Control!$C$93),$G74-Control!$C$92,IF(AND($G74&gt;Control!$C$93,$G74&lt;=Control!$C$94),Control!$C$93-Control!$C$92,IF(AND($G74&gt;Control!$C$94,$G74&lt;=Control!$C$95),(Control!$C$93-Control!$C$92)*(Control!$C$94-$G74)/(Control!$C$95-Control!$C$94))))))</f>
        <v>#N/A</v>
      </c>
      <c r="BQ74" s="140" t="e">
        <f t="shared" ca="1" si="251"/>
        <v>#N/A</v>
      </c>
      <c r="BR74" s="140" t="e">
        <f ca="1">IF($BQ74&lt;=Control!$C$88,$BQ74,Control!$C$88-$BQ74)</f>
        <v>#N/A</v>
      </c>
      <c r="BS74" s="140" t="e">
        <f ca="1">IF(AND($BB74&gt;=21,$BB74&lt;30),1,IF($BQ74&gt;=Control!$C$88,0,$BO74))</f>
        <v>#N/A</v>
      </c>
      <c r="BT74" s="404" t="e">
        <f ca="1">IF($BS74=0,0,IF($BQ74&lt;=Control!$C$88,$BO74*(21+(30-21)*(BR74/Control!$C$88)),0))</f>
        <v>#N/A</v>
      </c>
      <c r="BU74" s="140" t="e">
        <f ca="1">IF(BG74+BM74+BS74=1,0,IF(OR(AND($BB74&lt;60,$BB74&gt;=30),$BQ74&gt;=Control!$C$88),1*$BA74,$BY73))</f>
        <v>#N/A</v>
      </c>
      <c r="BV74" s="140" t="e">
        <f ca="1">IF($BR74&lt;0,-$BR74,$BU74*IF(OR($G74&lt;Control!$C$92,$G74&gt;Control!$C$95),0,IF(AND($G74&gt;=Control!$C$92,$G74&lt;=Control!$C$93),$G74-Control!$C$92,IF(AND($G74&gt;Control!$C$93,$G74&lt;=Control!$C$94),Control!$C$93-Control!$C$92,IF(AND($G74&gt;Control!$C$94,$G74&lt;=Control!$C$95),(Control!$C$93-Control!$C$92)*(Control!$C$94-$G74)/(Control!$C$95-Control!$C$94))))))</f>
        <v>#N/A</v>
      </c>
      <c r="BW74" s="140" t="e">
        <f t="shared" ca="1" si="252"/>
        <v>#N/A</v>
      </c>
      <c r="BX74" s="140" t="e">
        <f ca="1">IF($BW74&lt;=Control!$C$89,$BW74,Control!$C$89-$BW74)</f>
        <v>#N/A</v>
      </c>
      <c r="BY74" s="140" t="e">
        <f ca="1">IF(AND($AJ74&gt;=30,$AJ74&lt;60),1,IF($BW74&gt;=Control!$C$89,0,$BU74))</f>
        <v>#N/A</v>
      </c>
      <c r="BZ74" s="404" t="e">
        <f ca="1">IF($BY74=0,0,IF($BW74&lt;=Control!$C$89,$BU74*(30+(60-30)*(BX74/Control!$C$89)),0))</f>
        <v>#N/A</v>
      </c>
      <c r="CA74" s="140" t="e">
        <f ca="1">IF($BG74+$BM74+$BS74+$BY74=1,0,IF(OR(AND($BB74&lt;65,$BB74&gt;=60),$BW74&gt;=Control!$C$89),1*$BA74,$CE73))</f>
        <v>#N/A</v>
      </c>
      <c r="CB74" s="140" t="e">
        <f ca="1">IF($BX74&lt;0,-$BX74,$CA74*IF(OR($G74&lt;Control!$C$92,$G74&gt;Control!$C$95),0,IF(AND($G74&gt;=Control!$C$92,$G74&lt;=Control!$C$93),$G74-Control!$C$92,IF(AND($G74&gt;Control!$C$93,$G74&lt;=Control!$C$94),Control!$C$93-Control!$C$92,IF(AND($G74&gt;Control!$C$94,$G74&lt;=Control!$C$95),(Control!$C$93-Control!$C$92)*(Control!$C$94-$G74)/(Control!$C$95-Control!$C$94))))))</f>
        <v>#N/A</v>
      </c>
      <c r="CC74" s="140" t="e">
        <f t="shared" ca="1" si="368"/>
        <v>#N/A</v>
      </c>
      <c r="CD74" s="140" t="e">
        <f ca="1">IF($CC74&lt;=Control!$C$90,$CC74,Control!$C$90-$CC74)</f>
        <v>#N/A</v>
      </c>
      <c r="CE74" s="140" t="e">
        <f ca="1">IF(AND($BB74&gt;=60,$BB74&lt;65),1,IF($CC74&gt;=Control!$C$90,0,$CA74))</f>
        <v>#N/A</v>
      </c>
      <c r="CF74" s="404" t="e">
        <f ca="1">IF($CE74=0,0,IF($CC74&lt;=Control!$C$90,$CA74*(60+(65-60)*(CD74/Control!$C$90)),0))</f>
        <v>#N/A</v>
      </c>
      <c r="CG74" s="140" t="e">
        <f ca="1">IF($BG74+$BM74+$BS74+$BY74+$CE74=1,0,IF(OR(AND($BB74&lt;90,$BB74&gt;=65),$CC74&gt;=Control!$C$90),$BA74,$CK73))</f>
        <v>#N/A</v>
      </c>
      <c r="CH74" s="140" t="e">
        <f ca="1">IF($CD74&lt;0,-$CD74,$CG74*IF(OR($G74&lt;Control!$C$92,$G74&gt;Control!$C$95),0,IF(AND($G74&gt;=Control!$C$92,$G74&lt;=Control!$C$93),$G74-Control!$C$92,IF(AND($G74&gt;Control!$C$93,$G74&lt;=Control!$C$94),Control!$C$93-Control!$C$92,IF(AND($G74&gt;Control!$C$94,$G74&lt;=Control!$C$95),(Control!$C$93-Control!$C$92)*(Control!$C$94-$G74)/(Control!$C$95-Control!$C$94))))))</f>
        <v>#N/A</v>
      </c>
      <c r="CI74" s="140" t="e">
        <f t="shared" ca="1" si="369"/>
        <v>#N/A</v>
      </c>
      <c r="CJ74" s="140" t="e">
        <f ca="1">IF($CI74&lt;=Control!$C$91,$CI74,Control!$C$91-$CI74)</f>
        <v>#N/A</v>
      </c>
      <c r="CK74" s="140" t="e">
        <f ca="1">IF(AND($BB74&gt;=65,$BB74&lt;90),1,IF($CI74&gt;=Control!$C$91,0,$CG74))</f>
        <v>#N/A</v>
      </c>
      <c r="CL74" s="404" t="e">
        <f ca="1">IF($CK74=0,0,IF($CI74&lt;=Control!$C$91,$CG74*(65+(90-65)*($CJ74/Control!$C$91)),0))</f>
        <v>#N/A</v>
      </c>
      <c r="CM74" s="140" t="e">
        <f ca="1">IF($BG74+$BM74+$BS74+$BY74+$CE74+$CK74=1,0,IF(OR($BB74&gt;=90,$CI74&gt;=Control!$C$91),$BA74,$CM73))</f>
        <v>#N/A</v>
      </c>
      <c r="CN74" s="140" t="e">
        <f t="shared" ca="1" si="370"/>
        <v>#N/A</v>
      </c>
      <c r="CO74" s="140" t="e">
        <f t="shared" ca="1" si="371"/>
        <v>#N/A</v>
      </c>
      <c r="CP74" s="140" t="e">
        <f t="shared" ca="1" si="372"/>
        <v>#N/A</v>
      </c>
      <c r="CQ74" s="141" t="e">
        <f ca="1">VLOOKUP($CP74,Control!$B$86:$G$91,6)</f>
        <v>#N/A</v>
      </c>
      <c r="CR74" s="141" t="e">
        <f ca="1">(1-$CQ74)*VLOOKUP($CP74,Control!$B$86:$D$91,3)</f>
        <v>#N/A</v>
      </c>
      <c r="CS74" s="141" t="e">
        <f ca="1">(1-$CQ74)*VLOOKUP($CP74,Control!$B$86:$E$91,4)</f>
        <v>#N/A</v>
      </c>
      <c r="CT74" s="141" t="e">
        <f ca="1">(1-$CQ74)*VLOOKUP($CP74,Control!$B$86:$F$91,5)</f>
        <v>#N/A</v>
      </c>
      <c r="CU74" s="141">
        <f t="shared" ca="1" si="373"/>
        <v>0</v>
      </c>
      <c r="CV74" s="583">
        <f t="shared" ca="1" si="374"/>
        <v>0</v>
      </c>
      <c r="CW74" s="142">
        <f t="shared" ca="1" si="375"/>
        <v>70</v>
      </c>
      <c r="CX74" s="612" t="e">
        <f ca="1">IF(Control!$C$114=1,(MIN(Control!$C$120*(IF($NT74-0.01&lt;0,0,1)),Control!$C$119-$CY74)))</f>
        <v>#DIV/0!</v>
      </c>
      <c r="CY74" s="143" t="e">
        <f t="shared" ca="1" si="376"/>
        <v>#N/A</v>
      </c>
      <c r="CZ74" s="144">
        <f t="shared" ca="1" si="253"/>
        <v>0</v>
      </c>
      <c r="DA74" s="144">
        <f t="shared" ca="1" si="254"/>
        <v>0</v>
      </c>
      <c r="DB74" s="144" t="e">
        <f t="shared" ca="1" si="255"/>
        <v>#N/A</v>
      </c>
      <c r="DC74" s="144" t="e">
        <f t="shared" ca="1" si="256"/>
        <v>#N/A</v>
      </c>
      <c r="DD74" s="144" t="e">
        <f t="shared" ca="1" si="461"/>
        <v>#N/A</v>
      </c>
      <c r="DE74" s="143" t="e">
        <f t="shared" ca="1" si="377"/>
        <v>#N/A</v>
      </c>
      <c r="DF74" s="145" t="e">
        <f ca="1">$DR74*EXP(-Control!$C$158*(1-$KH74))</f>
        <v>#N/A</v>
      </c>
      <c r="DG74" s="146" t="e">
        <f ca="1">IF(Control!$C$114=1, $DF74*$EY74, 0)</f>
        <v>#N/A</v>
      </c>
      <c r="DH74" s="147" t="e">
        <f t="shared" ca="1" si="378"/>
        <v>#N/A</v>
      </c>
      <c r="DI74" s="144" t="e">
        <f t="shared" ca="1" si="439"/>
        <v>#N/A</v>
      </c>
      <c r="DJ74" s="147" t="e">
        <f ca="1">$EF74*Control!$C$109</f>
        <v>#N/A</v>
      </c>
      <c r="DK74" s="144" t="e">
        <f t="shared" ca="1" si="379"/>
        <v>#N/A</v>
      </c>
      <c r="DL74" s="144" t="e">
        <f t="shared" ca="1" si="257"/>
        <v>#N/A</v>
      </c>
      <c r="DM74" s="144" t="e">
        <f ca="1">IF(Control!$C$114=1, (1-EXP(-Control!$C$96*$DK74))*$AR74, 0)</f>
        <v>#N/A</v>
      </c>
      <c r="DN74" s="144">
        <f t="shared" ca="1" si="380"/>
        <v>0</v>
      </c>
      <c r="DO74" s="148">
        <f>Control!$C$97</f>
        <v>4</v>
      </c>
      <c r="DP74" s="145" t="e">
        <f t="shared" ca="1" si="381"/>
        <v>#N/A</v>
      </c>
      <c r="DQ74" s="145" t="e">
        <f ca="1">IF(AND($CP74&gt;=0,$CP74&lt;=90),Control!$C$111,Control!$C$111)</f>
        <v>#N/A</v>
      </c>
      <c r="DR74" s="145" t="e">
        <f t="shared" ca="1" si="258"/>
        <v>#N/A</v>
      </c>
      <c r="DS74" s="143" t="e">
        <f ca="1">Control!$B$22/$DR74</f>
        <v>#N/A</v>
      </c>
      <c r="DT74" s="149" t="e">
        <f ca="1">IF(AND(Control!$C$114=1,$KH74&lt;1),$IM74*$DF74, 0)</f>
        <v>#N/A</v>
      </c>
      <c r="DU74" s="144" t="e">
        <f t="shared" ca="1" si="382"/>
        <v>#N/A</v>
      </c>
      <c r="DV74" s="144">
        <f ca="1">IF($G74-Control!$C$107&lt;=0, 0, 0.83*LN(MAX($G74, 3))-0.8924)</f>
        <v>0</v>
      </c>
      <c r="DW74" s="144" t="e">
        <f t="shared" ca="1" si="259"/>
        <v>#N/A</v>
      </c>
      <c r="DX74" s="150" t="e">
        <f ca="1">MAX(0.01*(1+$CU74/Control!$C$102),0.05*($DK74-Control!$C$97)/Control!$C$97)</f>
        <v>#N/A</v>
      </c>
      <c r="DY74" s="151" t="e">
        <f ca="1">IF(Control!$C$114=1, $DI74*$FS74, 0)</f>
        <v>#N/A</v>
      </c>
      <c r="DZ74" s="196" t="e">
        <f t="shared" ca="1" si="383"/>
        <v>#N/A</v>
      </c>
      <c r="EA74" s="152">
        <f t="shared" ca="1" si="384"/>
        <v>70</v>
      </c>
      <c r="EB74" s="153" t="e">
        <f t="shared" ca="1" si="385"/>
        <v>#N/A</v>
      </c>
      <c r="EC74" s="153" t="e">
        <f t="shared" ca="1" si="386"/>
        <v>#N/A</v>
      </c>
      <c r="ED74" s="154" t="e">
        <f ca="1">IF(Control!$C$114=1, $HM74*$FY74-$FD74, 0)</f>
        <v>#DIV/0!</v>
      </c>
      <c r="EE74" s="155" t="e">
        <f ca="1">IF(Control!$C$114=1, $HM74*$FZ74-$FF74, 0)</f>
        <v>#DIV/0!</v>
      </c>
      <c r="EF74" s="153" t="e">
        <f t="shared" ca="1" si="440"/>
        <v>#N/A</v>
      </c>
      <c r="EG74" s="155" t="e">
        <f ca="1">IF(Control!$C$114=1, $GX74*$FW74-$FI74, 0)</f>
        <v>#DIV/0!</v>
      </c>
      <c r="EH74" s="153" t="e">
        <f t="shared" ca="1" si="387"/>
        <v>#N/A</v>
      </c>
      <c r="EI74" s="156" t="e">
        <f t="shared" ca="1" si="388"/>
        <v>#N/A</v>
      </c>
      <c r="EJ74" s="155" t="e">
        <f ca="1">IF(Control!$C$114=1, $HM74*$GB74, 0)</f>
        <v>#DIV/0!</v>
      </c>
      <c r="EK74" s="153" t="e">
        <f t="shared" ca="1" si="441"/>
        <v>#N/A</v>
      </c>
      <c r="EL74" s="153" t="e">
        <f t="shared" ca="1" si="260"/>
        <v>#N/A</v>
      </c>
      <c r="EM74" s="153" t="e">
        <f t="shared" ca="1" si="261"/>
        <v>#N/A</v>
      </c>
      <c r="EN74" s="153" t="e">
        <f ca="1">IF(Control!$C$108=1,IF(AND(Control!$B$18=1,$EB74&gt;=Control!$B$19),$EB74-$DS74,IF(AND(Control!$B$18=2,$AW74=1,$EB74&gt;$DS74),$EB74-$DS74,0)))</f>
        <v>#N/A</v>
      </c>
      <c r="EO74" s="153" t="e">
        <f ca="1">IF(Control!$C$108=1,IF(AND(Control!$B$18=1,$EB74&gt;=Control!$B$19),$EF74,IF(AND(Control!$B$18=2,$AW74=1),$EF74,0)))</f>
        <v>#N/A</v>
      </c>
      <c r="EP74" s="153" t="e">
        <f ca="1">IF(Control!$C$108=1,IF(AND(Control!$B$18=1,$EB74&gt;=Control!$B$19),$EK74,IF(AND(Control!$B$18=2,$AW74=1),$EK74,0)))</f>
        <v>#N/A</v>
      </c>
      <c r="EQ74" s="153" t="e">
        <f t="shared" ca="1" si="389"/>
        <v>#N/A</v>
      </c>
      <c r="ER74" s="153" t="e">
        <f t="shared" ca="1" si="390"/>
        <v>#N/A</v>
      </c>
      <c r="ES74" s="153" t="e">
        <f t="shared" ca="1" si="442"/>
        <v>#N/A</v>
      </c>
      <c r="ET74" s="153" t="e">
        <f t="shared" ca="1" si="443"/>
        <v>#N/A</v>
      </c>
      <c r="EU74" s="153" t="e">
        <f t="shared" ca="1" si="391"/>
        <v>#N/A</v>
      </c>
      <c r="EV74" s="153" t="e">
        <f t="shared" ca="1" si="262"/>
        <v>#N/A</v>
      </c>
      <c r="EW74" s="153" t="e">
        <f t="shared" ca="1" si="263"/>
        <v>#N/A</v>
      </c>
      <c r="EX74" s="153" t="e">
        <f t="shared" ca="1" si="264"/>
        <v>#N/A</v>
      </c>
      <c r="EY74" s="157" t="e">
        <f t="shared" ca="1" si="265"/>
        <v>#DIV/0!</v>
      </c>
      <c r="EZ74" s="154" t="e">
        <f t="shared" ca="1" si="266"/>
        <v>#DIV/0!</v>
      </c>
      <c r="FA74" s="153" t="e">
        <f t="shared" ca="1" si="392"/>
        <v>#N/A</v>
      </c>
      <c r="FB74" s="153" t="e">
        <f t="shared" ca="1" si="267"/>
        <v>#N/A</v>
      </c>
      <c r="FC74" s="193" t="e">
        <f t="shared" ca="1" si="268"/>
        <v>#N/A</v>
      </c>
      <c r="FD74" s="158" t="e">
        <f t="shared" ca="1" si="393"/>
        <v>#N/A</v>
      </c>
      <c r="FE74" s="158" t="e">
        <f t="shared" ca="1" si="394"/>
        <v>#N/A</v>
      </c>
      <c r="FF74" s="159" t="e">
        <f t="shared" ca="1" si="269"/>
        <v>#N/A</v>
      </c>
      <c r="FG74" s="160" t="e">
        <f t="shared" ca="1" si="395"/>
        <v>#N/A</v>
      </c>
      <c r="FH74" s="158" t="e">
        <f t="shared" ca="1" si="396"/>
        <v>#N/A</v>
      </c>
      <c r="FI74" s="159" t="e">
        <f t="shared" ca="1" si="270"/>
        <v>#N/A</v>
      </c>
      <c r="FJ74" s="160" t="e">
        <f t="shared" ca="1" si="397"/>
        <v>#N/A</v>
      </c>
      <c r="FK74" s="160" t="e">
        <f t="shared" ca="1" si="271"/>
        <v>#N/A</v>
      </c>
      <c r="FL74" s="160" t="e">
        <f t="shared" ca="1" si="444"/>
        <v>#N/A</v>
      </c>
      <c r="FM74" s="160" t="e">
        <f t="shared" ca="1" si="272"/>
        <v>#N/A</v>
      </c>
      <c r="FN74" s="158">
        <f t="shared" ca="1" si="398"/>
        <v>0.01</v>
      </c>
      <c r="FO74" s="160">
        <f>Control!$C$101</f>
        <v>50</v>
      </c>
      <c r="FP74" s="150" t="e">
        <f t="shared" ca="1" si="273"/>
        <v>#N/A</v>
      </c>
      <c r="FQ74" s="150" t="e">
        <f ca="1">MAX(0,(Control!$C$112*(($DK74-Control!$C$97)/Control!$C$97)))</f>
        <v>#N/A</v>
      </c>
      <c r="FR74" s="150" t="e">
        <f ca="1">(1-$NT74)*Control!$C$113</f>
        <v>#DIV/0!</v>
      </c>
      <c r="FS74" s="198" t="e">
        <f t="shared" ca="1" si="274"/>
        <v>#N/A</v>
      </c>
      <c r="FT74" s="161">
        <f t="shared" ca="1" si="399"/>
        <v>70</v>
      </c>
      <c r="FU74" s="162" t="e">
        <f ca="1">IF(Control!$B$34=1,VLOOKUP($CP74,Control!$B$86:$G$91,6),Control!$B$35)</f>
        <v>#N/A</v>
      </c>
      <c r="FV74" s="162" t="e">
        <f t="shared" ca="1" si="275"/>
        <v>#DIV/0!</v>
      </c>
      <c r="FW74" s="162" t="e">
        <f ca="1">IF(Control!$B$31=1,$FU74*$FV74,  $FU74)</f>
        <v>#N/A</v>
      </c>
      <c r="FX74" s="162" t="e">
        <f ca="1">IF(Control!$B$34=1,VLOOKUP($CP74,Control!$B$86:$G$91,3),Control!$B$36)</f>
        <v>#N/A</v>
      </c>
      <c r="FY74" s="162" t="e">
        <f t="shared" ca="1" si="276"/>
        <v>#N/A</v>
      </c>
      <c r="FZ74" s="162" t="e">
        <f ca="1">IF(Control!$B$34=1,VLOOKUP($CP74,Control!$B$86:$G$91,4),Control!$B$37)</f>
        <v>#N/A</v>
      </c>
      <c r="GA74" s="162" t="e">
        <f t="shared" ca="1" si="277"/>
        <v>#N/A</v>
      </c>
      <c r="GB74" s="162" t="e">
        <f ca="1">IF(Control!$B$34=1,VLOOKUP($CP74,Control!$B$86:$G$91,5),Control!$B$38)</f>
        <v>#N/A</v>
      </c>
      <c r="GC74" s="162" t="e">
        <f t="shared" ca="1" si="400"/>
        <v>#N/A</v>
      </c>
      <c r="GD74" s="162">
        <f t="shared" ca="1" si="278"/>
        <v>1</v>
      </c>
      <c r="GE74" s="162">
        <f t="shared" ca="1" si="279"/>
        <v>1</v>
      </c>
      <c r="GF74" s="162">
        <f ca="1">IF(AND(Control!$C$104=1, Control!$C$62="F"),$GE74,1)</f>
        <v>1</v>
      </c>
      <c r="GG74" s="162" t="e">
        <f ca="1">IF(Control!$B$16=40,0,IF(AND(Control!$B$16&gt;40,Control!$B$16&lt;=360),(Control!$B$16-40)*((1-0)/(360-40)),IF(AND(Control!$B$16&gt;360,Control!$B$16&lt;=720),(1+(Control!$B$16-360)*((1.25-1)/(720-360))),IF(AND(Control!$B$16&gt;720,Control!$B$16&lt;=1000),(1.25+(Control!$B$16-720)*((1.35-1.25)/(1000-720))),IF(AND(Control!$B$16&gt;1000,Control!$B$16&lt;=2000),(1.35+(Control!$B$16-1000)*0))))))</f>
        <v>#N/A</v>
      </c>
      <c r="GH74" s="162" t="e">
        <f t="shared" ca="1" si="280"/>
        <v>#N/A</v>
      </c>
      <c r="GI74" s="162">
        <f t="shared" ca="1" si="401"/>
        <v>0</v>
      </c>
      <c r="GJ74" s="162">
        <f t="shared" ca="1" si="281"/>
        <v>0</v>
      </c>
      <c r="GK74" s="162">
        <f t="shared" ca="1" si="402"/>
        <v>1</v>
      </c>
      <c r="GL74" s="162">
        <f t="shared" ca="1" si="282"/>
        <v>1</v>
      </c>
      <c r="GM74" s="162" t="e">
        <f ca="1">MAX(0,MIN(1,1-Control!$C$156*(1.0001-$KH74)^2))</f>
        <v>#N/A</v>
      </c>
      <c r="GN74" s="162" t="e">
        <f ca="1">IF(Control!$B$26=1,$KU74,$KX74)</f>
        <v>#N/A</v>
      </c>
      <c r="GO74" s="162" t="e">
        <f ca="1">IF($CP74&lt;=60,Control!$C$105,IF($CP74&gt;=90,Control!$C$106,Control!$C$105+($CP74-60)*((Control!$C$106-Control!$C$105)/(90-60))))</f>
        <v>#N/A</v>
      </c>
      <c r="GP74" s="162" t="e">
        <f t="shared" ca="1" si="283"/>
        <v>#N/A</v>
      </c>
      <c r="GQ74" s="162" t="e">
        <f t="shared" ca="1" si="403"/>
        <v>#N/A</v>
      </c>
      <c r="GR74" s="163" t="e">
        <f t="shared" ca="1" si="284"/>
        <v>#DIV/0!</v>
      </c>
      <c r="GS74" s="162" t="e">
        <f t="shared" ca="1" si="285"/>
        <v>#DIV/0!</v>
      </c>
      <c r="GT74" s="164" t="e">
        <f t="shared" ca="1" si="404"/>
        <v>#N/A</v>
      </c>
      <c r="GU74" s="162" t="e">
        <f t="shared" ca="1" si="405"/>
        <v>#N/A</v>
      </c>
      <c r="GV74" s="162" t="e">
        <f t="shared" ca="1" si="286"/>
        <v>#N/A</v>
      </c>
      <c r="GW74" s="162" t="e">
        <f t="shared" ca="1" si="287"/>
        <v>#DIV/0!</v>
      </c>
      <c r="GX74" s="162" t="e">
        <f t="shared" ca="1" si="406"/>
        <v>#DIV/0!</v>
      </c>
      <c r="GY74" s="162" t="e">
        <f t="shared" ca="1" si="407"/>
        <v>#DIV/0!</v>
      </c>
      <c r="GZ74" s="165" t="e">
        <f t="shared" ca="1" si="288"/>
        <v>#N/A</v>
      </c>
      <c r="HA74" s="162" t="e">
        <f ca="1">IF(Control!$C$114=1, $DI74*$FS74, 0)</f>
        <v>#N/A</v>
      </c>
      <c r="HB74" s="162" t="e">
        <f ca="1">$FA74/Control!$C$64</f>
        <v>#N/A</v>
      </c>
      <c r="HC74" s="162" t="e">
        <f t="shared" ca="1" si="289"/>
        <v>#DIV/0!</v>
      </c>
      <c r="HD74" s="162">
        <f ca="1">-ASIN(SIN(23.45*Control!$C$139)*COS(2*Control!$C$138*($AH74+10)/365))</f>
        <v>-7.6659817789965543E-2</v>
      </c>
      <c r="HE74" s="165">
        <f t="shared" ca="1" si="408"/>
        <v>0</v>
      </c>
      <c r="HF74" s="166">
        <f ca="1">IF(AND(Control!$C$61="T",$HE74&gt;=Control!$C$103,Control!$C$114=0),$AH74,Control!$C$59)</f>
        <v>1</v>
      </c>
      <c r="HG74" s="166">
        <f ca="1">IF(AND(Control!$C$61="T",$HE74&gt;=Control!$C$103,Control!$C$114=0),$HF74,Control!$C$59)</f>
        <v>1</v>
      </c>
      <c r="HH74" s="165">
        <f ca="1">IF(AND(OR(Control!$C$60&lt;=0, $AH74= Control!$C$59, Control!$C$60 &gt;0, $AH74 = Control!$C$60)), Control!$C$59, IF(Control!$C$60&gt;0, 0))</f>
        <v>1</v>
      </c>
      <c r="HI74" s="165">
        <f ca="1">IF(AND(OR(Control!$C$60&lt;=0, $AH74= Control!$C$59, Control!$C$60 &gt;0, $AH74 = Control!$C$60)), Control!$C$60, IF(Control!$C$60&lt;=0, 0))</f>
        <v>0</v>
      </c>
      <c r="HJ74" s="166">
        <f ca="1">IF(AND(Control!$C$62="F",$CV74&gt;=Control!$C$102),$AH74,0)</f>
        <v>0</v>
      </c>
      <c r="HK74" s="165" t="e">
        <f t="shared" ca="1" si="445"/>
        <v>#N/A</v>
      </c>
      <c r="HL74" s="166">
        <f ca="1">IF(AND(Control!$C$61="T",$HE74&gt;=Control!$C$103,Control!$C$114=0),$HF74,0)</f>
        <v>0</v>
      </c>
      <c r="HM74" s="201" t="e">
        <f t="shared" ca="1" si="290"/>
        <v>#DIV/0!</v>
      </c>
      <c r="HN74" s="215">
        <f t="shared" ca="1" si="409"/>
        <v>70</v>
      </c>
      <c r="HO74" s="216" t="e">
        <f ca="1">IF(AND($CP74&gt;=0, $CP74&lt;=90), Control!$C$152, Control!$C$152)</f>
        <v>#N/A</v>
      </c>
      <c r="HP74" s="216" t="e">
        <f t="shared" ca="1" si="291"/>
        <v>#N/A</v>
      </c>
      <c r="HQ74" s="217" t="e">
        <f ca="1">IF(OR(Control!$B$26=1,Control!$B$26=2),$KV74,$KS74)</f>
        <v>#DIV/0!</v>
      </c>
      <c r="HR74" s="218" t="e">
        <f t="shared" ca="1" si="446"/>
        <v>#DIV/0!</v>
      </c>
      <c r="HS74" s="216" t="e">
        <f ca="1">Control!$C$154*$HP74</f>
        <v>#N/A</v>
      </c>
      <c r="HT74" s="216" t="e">
        <f ca="1">Control!$C$155*$HP74</f>
        <v>#N/A</v>
      </c>
      <c r="HU74" s="217" t="e">
        <f ca="1">Control!$C$161*$FI74</f>
        <v>#N/A</v>
      </c>
      <c r="HV74" s="218" t="e">
        <f t="shared" ca="1" si="410"/>
        <v>#N/A</v>
      </c>
      <c r="HW74" s="218" t="e">
        <f ca="1">Control!$C$160*$FF74+$IP74*$EO74</f>
        <v>#N/A</v>
      </c>
      <c r="HX74" s="218" t="e">
        <f t="shared" ca="1" si="447"/>
        <v>#N/A</v>
      </c>
      <c r="HY74" s="219" t="e">
        <f ca="1">IF(Control!$C$114=1, $EB74*$FS74, 0)</f>
        <v>#N/A</v>
      </c>
      <c r="HZ74" s="91" t="e">
        <f t="shared" ca="1" si="292"/>
        <v>#N/A</v>
      </c>
      <c r="IA74" s="220" t="e">
        <f ca="1">Control!$C$153*$HO74</f>
        <v>#N/A</v>
      </c>
      <c r="IB74" s="218" t="e">
        <f t="shared" ca="1" si="293"/>
        <v>#N/A</v>
      </c>
      <c r="IC74" s="220" t="e">
        <f ca="1">Control!$C$153*$HT74</f>
        <v>#N/A</v>
      </c>
      <c r="ID74" s="218" t="e">
        <f t="shared" ca="1" si="294"/>
        <v>#N/A</v>
      </c>
      <c r="IE74" s="221" t="e">
        <f ca="1">($EB74*Control!$C$159+$EF74*Control!$C$160)/(IF($GZ74&lt;&gt;0,$GZ74,1))</f>
        <v>#N/A</v>
      </c>
      <c r="IF74" s="216" t="e">
        <f t="shared" ca="1" si="295"/>
        <v>#N/A</v>
      </c>
      <c r="IG74" s="91">
        <f ca="1">IF(OR(Control!$B$198=$AH74,Control!$B$199=$AH74, Control!$B$200=$AH74, Control!$B$201=$AH74, Control!$B$202=$AH74, Control!$B$203=$AH74, Control!$B$204=$AH74, Control!$B$205=$AH74, Control!$B$206=$AH74, Control!$B$207=$AH74), 1, 0)</f>
        <v>0</v>
      </c>
      <c r="IH74" s="91">
        <f ca="1">IF($IG74=0,0, VLOOKUP($AH74,Control!$B$198:$C$207,2))</f>
        <v>0</v>
      </c>
      <c r="II74" s="222">
        <f t="shared" ca="1" si="411"/>
        <v>0</v>
      </c>
      <c r="IJ74" s="91">
        <f>Control!$C$121</f>
        <v>0.7</v>
      </c>
      <c r="IK74" s="218">
        <f t="shared" ca="1" si="296"/>
        <v>0</v>
      </c>
      <c r="IL74" s="217" t="e">
        <f t="shared" ca="1" si="448"/>
        <v>#N/A</v>
      </c>
      <c r="IM74" s="223" t="e">
        <f ca="1">IF(AND(Control!$C$114=1,$KH74&lt;1),$EB74*Control!$C$148*(1-$KH74), 0)</f>
        <v>#N/A</v>
      </c>
      <c r="IN74" s="217" t="e">
        <f t="shared" ca="1" si="297"/>
        <v>#DIV/0!</v>
      </c>
      <c r="IO74" s="91" t="e">
        <f ca="1">MAX(0,$IL74-$EF74*Control!$C$160)</f>
        <v>#N/A</v>
      </c>
      <c r="IP74" s="220" t="e">
        <f t="shared" ca="1" si="298"/>
        <v>#N/A</v>
      </c>
      <c r="IQ74" s="217" t="e">
        <f t="shared" ca="1" si="412"/>
        <v>#N/A</v>
      </c>
      <c r="IR74" s="218" t="e">
        <f t="shared" ca="1" si="299"/>
        <v>#N/A</v>
      </c>
      <c r="IS74" s="217" t="e">
        <f ca="1">Control!$C$159*MAX(0,$FD74-$EN74)</f>
        <v>#N/A</v>
      </c>
      <c r="IT74" s="217" t="e">
        <f t="shared" ca="1" si="449"/>
        <v>#N/A</v>
      </c>
      <c r="IU74" s="217" t="e">
        <f t="shared" ca="1" si="413"/>
        <v>#N/A</v>
      </c>
      <c r="IV74" s="217" t="e">
        <f t="shared" ca="1" si="450"/>
        <v>#N/A</v>
      </c>
      <c r="IW74" s="217" t="e">
        <f ca="1">IF(OR($AW74=1,AND($AW74=0, Control!$B$18=1,$EN74&lt;&gt;0)), $IQ74-$IU74, $IQ74)</f>
        <v>#N/A</v>
      </c>
      <c r="IX74" s="218" t="e">
        <f t="shared" ca="1" si="300"/>
        <v>#N/A</v>
      </c>
      <c r="IY74" s="218" t="e">
        <f ca="1">MAX(0,$IQ74-$EB74*Control!$C$159)</f>
        <v>#N/A</v>
      </c>
      <c r="IZ74" s="218" t="e">
        <f t="shared" ca="1" si="301"/>
        <v>#N/A</v>
      </c>
      <c r="JA74" s="216" t="e">
        <f t="shared" ca="1" si="302"/>
        <v>#N/A</v>
      </c>
      <c r="JB74" s="217" t="e">
        <f t="shared" ca="1" si="303"/>
        <v>#N/A</v>
      </c>
      <c r="JC74" s="222" t="e">
        <f ca="1">MAX(Control!$C$157*$EK74-$JT74, 0)/Control!$C$162</f>
        <v>#N/A</v>
      </c>
      <c r="JD74" s="218" t="e">
        <f t="shared" ca="1" si="304"/>
        <v>#N/A</v>
      </c>
      <c r="JE74" s="218" t="e">
        <f t="shared" ca="1" si="305"/>
        <v>#N/A</v>
      </c>
      <c r="JF74" s="218" t="e">
        <f t="shared" ca="1" si="414"/>
        <v>#N/A</v>
      </c>
      <c r="JG74" s="218" t="e">
        <f t="shared" ca="1" si="306"/>
        <v>#N/A</v>
      </c>
      <c r="JH74" s="217" t="e">
        <f t="shared" ca="1" si="415"/>
        <v>#N/A</v>
      </c>
      <c r="JI74" s="217" t="e">
        <f t="shared" ca="1" si="416"/>
        <v>#N/A</v>
      </c>
      <c r="JJ74" s="217" t="e">
        <f t="shared" ca="1" si="451"/>
        <v>#N/A</v>
      </c>
      <c r="JK74" s="217" t="e">
        <f ca="1">IF(Control!$C$114=1,IF(Control!$B$24=0,MAX(0,$JI74)*$GN74/Control!$C$64,(MAX(0,MIN($JI74,$JJ74*$GN74/Control!$C$64),0))))</f>
        <v>#N/A</v>
      </c>
      <c r="JL74" s="217" t="e">
        <f ca="1">$IK74/Control!$C$64-$JK74+$HQ74</f>
        <v>#N/A</v>
      </c>
      <c r="JM74" s="217" t="e">
        <f ca="1">IF(Control!$C$114=1,($JB74/(IF($JI74&lt;&gt;0,$JI74,1)))*$JK74,0)</f>
        <v>#N/A</v>
      </c>
      <c r="JN74" s="217" t="e">
        <f ca="1">IF(Control!$C$114=1,($JG74/(IF($JI74&lt;&gt;0,$JI74,1)))*$JK74, 0)</f>
        <v>#N/A</v>
      </c>
      <c r="JO74" s="218" t="e">
        <f t="shared" ca="1" si="307"/>
        <v>#N/A</v>
      </c>
      <c r="JP74" s="218" t="e">
        <f ca="1">MIN(($IY74+$IO74)*Control!$C$151, $JF74-$EH74*Control!$C$161)</f>
        <v>#N/A</v>
      </c>
      <c r="JQ74" s="218" t="e">
        <f t="shared" ca="1" si="308"/>
        <v>#N/A</v>
      </c>
      <c r="JR74" s="217" t="e">
        <f ca="1">IF($CP74-Control!$C$150&lt;0, 0, $JQ74/Control!$C$162)</f>
        <v>#N/A</v>
      </c>
      <c r="JS74" s="218" t="e">
        <f t="shared" ca="1" si="309"/>
        <v>#N/A</v>
      </c>
      <c r="JT74" s="218" t="e">
        <f t="shared" ca="1" si="417"/>
        <v>#N/A</v>
      </c>
      <c r="JU74" s="218" t="e">
        <f t="shared" ca="1" si="310"/>
        <v>#N/A</v>
      </c>
      <c r="JV74" s="218" t="e">
        <f t="shared" ca="1" si="311"/>
        <v>#N/A</v>
      </c>
      <c r="JW74" s="216" t="e">
        <f t="shared" ca="1" si="312"/>
        <v>#N/A</v>
      </c>
      <c r="JX74" s="91" t="e">
        <f t="shared" ca="1" si="313"/>
        <v>#N/A</v>
      </c>
      <c r="JY74" s="218" t="e">
        <f t="shared" ca="1" si="314"/>
        <v>#N/A</v>
      </c>
      <c r="JZ74" s="217" t="e">
        <f ca="1">IF(Control!$C$114=1,($IZ74/(IF($JI74&lt;&gt;0,$JI74,1)))*$JK74, 0)</f>
        <v>#N/A</v>
      </c>
      <c r="KA74" s="218" t="e">
        <f t="shared" ca="1" si="452"/>
        <v>#N/A</v>
      </c>
      <c r="KB74" s="218" t="e">
        <f t="shared" ca="1" si="418"/>
        <v>#N/A</v>
      </c>
      <c r="KC74" s="218" t="e">
        <f t="shared" ca="1" si="315"/>
        <v>#N/A</v>
      </c>
      <c r="KD74" s="218" t="e">
        <f t="shared" ca="1" si="316"/>
        <v>#N/A</v>
      </c>
      <c r="KE74" s="218" t="e">
        <f t="shared" ca="1" si="317"/>
        <v>#N/A</v>
      </c>
      <c r="KF74" s="218" t="e">
        <f t="shared" ca="1" si="318"/>
        <v>#N/A</v>
      </c>
      <c r="KG74" s="216" t="e">
        <f t="shared" ca="1" si="319"/>
        <v>#N/A</v>
      </c>
      <c r="KH74" s="221" t="e">
        <f ca="1">IF(Control!$B$24=0,1,MAX(0.001,MIN(1,IF(($IF74-$IE74)&lt;&gt;0,($KG74-$IE74)/($IF74-$IE74),1))))</f>
        <v>#N/A</v>
      </c>
      <c r="KI74" s="222" t="e">
        <f ca="1">IF(Control!$C$114=1, $KI73+ $KH73, 0)</f>
        <v>#N/A</v>
      </c>
      <c r="KJ74" s="217" t="e">
        <f t="shared" ca="1" si="320"/>
        <v>#N/A</v>
      </c>
      <c r="KK74" s="218" t="e">
        <f t="shared" ca="1" si="321"/>
        <v>#N/A</v>
      </c>
      <c r="KL74" s="274" t="e">
        <f ca="1">IF(Control!$B$26=3,4000000000*EXP(-8400/($G74+273)),IF(Control!$B$26=4,4000000000*EXP(-8400/($G74+273))*($KT74),0))</f>
        <v>#DIV/0!</v>
      </c>
      <c r="KM74" s="274" t="e">
        <f ca="1">IF(Control!$B$26=3,5600000000000*EXP(-9800/($G74+273)),IF(Control!$B$26=4,5600000000000*EXP(-9800/($G74+273))*$KT74,0))</f>
        <v>#DIV/0!</v>
      </c>
      <c r="KN74" s="454" t="e">
        <f t="shared" ca="1" si="419"/>
        <v>#DIV/0!</v>
      </c>
      <c r="KO74" s="274" t="e">
        <f t="shared" ca="1" si="420"/>
        <v>#DIV/0!</v>
      </c>
      <c r="KP74" s="454" t="e">
        <f t="shared" ca="1" si="322"/>
        <v>#DIV/0!</v>
      </c>
      <c r="KQ74" s="454" t="e">
        <f t="shared" ca="1" si="323"/>
        <v>#DIV/0!</v>
      </c>
      <c r="KR74" s="454" t="e">
        <f t="shared" ca="1" si="324"/>
        <v>#DIV/0!</v>
      </c>
      <c r="KS74" s="454" t="e">
        <f t="shared" ca="1" si="325"/>
        <v>#DIV/0!</v>
      </c>
      <c r="KT74" s="455" t="e">
        <f t="shared" ca="1" si="326"/>
        <v>#DIV/0!</v>
      </c>
      <c r="KU74" s="456" t="e">
        <f ca="1">IF($CP74-Control!$C$149&lt;0, IF($NT74-0.01&lt;0,0,1),0)</f>
        <v>#N/A</v>
      </c>
      <c r="KV74" s="456" t="e">
        <f ca="1">IF(Control!$C$114=1,MAX(0,MIN(Control!$C$125*$KW74*$GN74,$KW74)))</f>
        <v>#DIV/0!</v>
      </c>
      <c r="KW74" s="456" t="e">
        <f t="shared" ca="1" si="453"/>
        <v>#DIV/0!</v>
      </c>
      <c r="KX74" s="457" t="e">
        <f ca="1">IF($CP74-Control!$C$149&lt;0, IF($MR74-$OM74&lt;0,0,1),0)</f>
        <v>#N/A</v>
      </c>
      <c r="KY74" s="167">
        <f t="shared" ca="1" si="421"/>
        <v>70</v>
      </c>
      <c r="KZ74" s="168">
        <f ca="1">1370*(1+0.033*COS(2*Control!$C$138*$AH74/365))</f>
        <v>1386.1714184134503</v>
      </c>
      <c r="LA74" s="169">
        <f t="shared" ca="1" si="422"/>
        <v>1.0118040418814931</v>
      </c>
      <c r="LB74" s="169">
        <f t="shared" ca="1" si="423"/>
        <v>-7.5236366454042039E-2</v>
      </c>
      <c r="LC74" s="169">
        <f ca="1">ACOS(-TAN((2*Control!$B$8/360))*TAN(Calculations!$LB74))</f>
        <v>1.548391682400468</v>
      </c>
      <c r="LD74" s="169">
        <f ca="1">((24*60)/PI())*0.082*$LA74*(($LC74*SIN(Control!$B$8*2*PI()/360))*SIN($LB74)+COS(Control!$B$8*2*PI()/360)*COS($LB74)*SIN($LC74))</f>
        <v>19.853507576173815</v>
      </c>
      <c r="LE74" s="170">
        <f t="shared" ca="1" si="327"/>
        <v>19.900432377864032</v>
      </c>
      <c r="LF74" s="170">
        <f ca="1">SIN(Control!$C$139*Control!$B$8)*SIN($HD74)</f>
        <v>-6.0349710598658034E-2</v>
      </c>
      <c r="LG74" s="170">
        <f ca="1">COS(Control!$C$139*Control!$B$8)*COS($HD74)</f>
        <v>0.61385165619343596</v>
      </c>
      <c r="LH74" s="170">
        <f ca="1">12*(1+2*ASIN(MAX(-1,MIN(1,$LF74/$LG74))/Control!$C$138))</f>
        <v>11.248821716730895</v>
      </c>
      <c r="LI74" s="170">
        <f ca="1">12*(1+2*ASIN(MAX(-1,MIN(1,(-SIN(-4*Control!$C$139)+$LF74)/$LG74))/Control!$C$138))</f>
        <v>12.117070203023712</v>
      </c>
      <c r="LJ74" s="168">
        <f ca="1">3600*($LH74*$LF74+24*$LG74*SQRT(1-$LK74*$LK74)/Control!$C$138)</f>
        <v>14356.400740567266</v>
      </c>
      <c r="LK74" s="170">
        <f t="shared" ca="1" si="328"/>
        <v>-9.8313183632823375E-2</v>
      </c>
      <c r="LL74" s="170">
        <f t="shared" ca="1" si="329"/>
        <v>0</v>
      </c>
      <c r="LM74" s="171">
        <f ca="1">Control!$C$145*$AB74</f>
        <v>6.6660906138995932E-2</v>
      </c>
      <c r="LN74" s="170">
        <f t="shared" ca="1" si="424"/>
        <v>0.54</v>
      </c>
      <c r="LO74" s="170">
        <f t="shared" ca="1" si="330"/>
        <v>0</v>
      </c>
      <c r="LP74" s="170">
        <f ca="1">Control!$C$140*((($D74+273.16)^4+($E74+273.16)^4)/2)*(0.34-0.14*SQRT($Y74))*(1.35*$AQ74/(0.75*$LD74)-0.35)</f>
        <v>-3.2464704755046001</v>
      </c>
      <c r="LQ74" s="170">
        <f ca="1">Control!$C$140*($G74+273)^4*(0.56-0.079*SQRT($Y74*10))*(0.1+0.9*$LO74)</f>
        <v>1.5241745131704001</v>
      </c>
      <c r="LR74" s="170">
        <f ca="1">$AQ74*(1-Control!$C$142)-$LQ74</f>
        <v>-1.5241745131704001</v>
      </c>
      <c r="LS74" s="170">
        <f ca="1">$AQ74*(1-Control!$C$143)-$LQ74</f>
        <v>-1.5241745131704001</v>
      </c>
      <c r="LT74" s="170">
        <f ca="1">$AQ74*(1-Control!$C$144)-$LQ74</f>
        <v>-1.5241745131704001</v>
      </c>
      <c r="LU74" s="169">
        <f ca="1">(1-Control!$C$144)*AQ74-LP74</f>
        <v>3.2464704755046001</v>
      </c>
      <c r="LV74" s="172">
        <f t="shared" ca="1" si="331"/>
        <v>0.79430000000000012</v>
      </c>
      <c r="LW74" s="170">
        <f t="shared" ca="1" si="332"/>
        <v>1.5886000000000002</v>
      </c>
      <c r="LX74" s="170">
        <f ca="1">($AC74*($LR74/Control!$C$141)+$LM74*$LV74)/($AC74+$LM74)</f>
        <v>0.23530094218323697</v>
      </c>
      <c r="LY74" s="170">
        <f ca="1">($AC74*($LS74/Control!$C$141)+$LM74*$LV74)/($AC74+$LM74)</f>
        <v>0.23530094218323697</v>
      </c>
      <c r="LZ74" s="170">
        <f t="shared" ca="1" si="333"/>
        <v>0.23530094218323697</v>
      </c>
      <c r="MA74" s="170">
        <f t="shared" ca="1" si="334"/>
        <v>0.23530094218323697</v>
      </c>
      <c r="MB74" s="170" t="e">
        <f t="shared" ca="1" si="335"/>
        <v>#N/A</v>
      </c>
      <c r="MC74" s="170">
        <f t="shared" ca="1" si="425"/>
        <v>0.6018</v>
      </c>
      <c r="MD74" s="170">
        <f t="shared" ca="1" si="336"/>
        <v>0.52989392535414004</v>
      </c>
      <c r="ME74" s="170">
        <f ca="1">($AC74*($LT74/Control!$C$141)+$LM74*$LW74)/($AC74+$LM74)</f>
        <v>0.71612369323045078</v>
      </c>
      <c r="MF74" s="170" t="e">
        <f ca="1">IF(Control!$B$16&gt;=1000,0.92,IF(AND(720&lt;=Control!$B$16,1000&gt;Control!$B$16),(0.95+(Control!$B$16-720)*((0.92-0.95)/(1000-720))),IF(AND(360&lt;=Control!$B$16,720&gt;Control!$B$16),(1+(Control!$B$16-360)*((0.95-1)/(720-360))),IF(AND(40&lt;=Control!$B$16,360&gt;Control!$B$16),(1.05+(Control!$B$16-40)*((1.05-1)/(360-40)))))))</f>
        <v>#N/A</v>
      </c>
      <c r="MG74" s="170">
        <f t="shared" ca="1" si="337"/>
        <v>0.71612369323045078</v>
      </c>
      <c r="MH74" s="170" t="e">
        <f t="shared" ca="1" si="233"/>
        <v>#N/A</v>
      </c>
      <c r="MI74" s="170" t="e">
        <f t="shared" ca="1" si="233"/>
        <v>#N/A</v>
      </c>
      <c r="MJ74" s="170" t="e">
        <f ca="1">MAX(0.0001, Control!$C$132*$MI74*$DL74)</f>
        <v>#N/A</v>
      </c>
      <c r="MK74" s="170">
        <f ca="1">1/(0.76+1.5*($MG74/10))-(5-Control!$C$110)*0.1</f>
        <v>1.002845988140797</v>
      </c>
      <c r="ML74" s="173">
        <f ca="1">IF(Control!$C$110&lt;3,$MK74+($MG74-0.6)/(Control!$C$110*(Control!$C$110+3)), MAX(0.1, MIN(0.95,$MK74)))</f>
        <v>0.95</v>
      </c>
      <c r="MM74" s="173">
        <f ca="1">IF(Control!$C$110&lt;3,$MK74+(($MI74/10)-0.6)/(Control!$C$110*(Control!$C$110+3)), MAX(0.1, MIN(0.95,$MK74)))</f>
        <v>0.95</v>
      </c>
      <c r="MN74" s="173">
        <f ca="1">(1-$MM74)*(Control!$C$128-Control!$C$127)+Control!$C$127</f>
        <v>0.16</v>
      </c>
      <c r="MO74" s="170" t="e">
        <f ca="1">MAX(0,MIN(1,($MS74-Control!$C$127)/($MN74-Control!$C$127)))</f>
        <v>#DIV/0!</v>
      </c>
      <c r="MP74" s="173" t="e">
        <f ca="1">1/(0.76+1.5*$MI74)-(5-Control!$C$110)*0.1</f>
        <v>#N/A</v>
      </c>
      <c r="MQ74" s="172" t="e">
        <f t="shared" ca="1" si="454"/>
        <v>#DIV/0!</v>
      </c>
      <c r="MR74" s="168" t="e">
        <f t="shared" ca="1" si="426"/>
        <v>#DIV/0!</v>
      </c>
      <c r="MS74" s="173" t="e">
        <f ca="1">MAX(Control!$C$127, MIN(Control!$C$135, $MR74/MAX(0.0001,$CY74)))</f>
        <v>#DIV/0!</v>
      </c>
      <c r="MT74" s="168" t="e">
        <f ca="1">(Control!$C$128-$MS74)*Control!$C$74</f>
        <v>#DIV/0!</v>
      </c>
      <c r="MU74" s="168" t="e">
        <f ca="1">(Control!$C$135-$MS74)*Control!$C$74</f>
        <v>#DIV/0!</v>
      </c>
      <c r="MV74" s="168" t="e">
        <f t="shared" ca="1" si="427"/>
        <v>#DIV/0!</v>
      </c>
      <c r="MW74" s="168" t="e">
        <f t="shared" ca="1" si="428"/>
        <v>#DIV/0!</v>
      </c>
      <c r="MX74" s="171" t="e">
        <f ca="1">MAX(Control!$C$127, MIN(Control!$C$135, $MW74/MAX(0.0001,Control!$C$119-$CY74)))</f>
        <v>#DIV/0!</v>
      </c>
      <c r="MY74" s="54" t="e">
        <f ca="1">IF(Control!$C$114=1, $CX74*$MX74, 0)</f>
        <v>#DIV/0!</v>
      </c>
      <c r="MZ74" s="54" t="e">
        <f t="shared" ca="1" si="429"/>
        <v>#N/A</v>
      </c>
      <c r="NA74" s="168" t="e">
        <f ca="1">(Control!$C$128-$MX74)*(Control!$C$119-Control!$C$74)</f>
        <v>#DIV/0!</v>
      </c>
      <c r="NB74" s="168" t="e">
        <f ca="1">(Control!$C$135-$MX74)*(Control!$C$119-Control!$C$74)</f>
        <v>#DIV/0!</v>
      </c>
      <c r="NC74" s="174" t="e">
        <f t="shared" ca="1" si="430"/>
        <v>#DIV/0!</v>
      </c>
      <c r="ND74" s="54">
        <f ca="1">IF(Control!$C$58=2, IF(OR(Control!$B$218=$AH74,Control!$B$219=$AH74, Control!$B$220=$AH74, Control!$B$221=$AH74, Control!$B$222=$AH74, Control!$B$223=$AH74, Control!$B$224=$AH74, Control!$B$225=$AH74, Control!$B$226=$AH74, Control!$B$227=$AH74, Control!$B$228=$AH74), 1, 0), 0)</f>
        <v>0</v>
      </c>
      <c r="NE74" s="54">
        <f ca="1">IF($ND74=0,0, VLOOKUP($AH74,Control!$B$218:$C$228,2))</f>
        <v>0</v>
      </c>
      <c r="NF74" s="168" t="e">
        <f ca="1">$CY74*(Control!$C$128-Control!$C$127)</f>
        <v>#N/A</v>
      </c>
      <c r="NG74" s="54" t="e">
        <f ca="1">IF(Control!$C$58=2, $NI73-$NJ73, 0)</f>
        <v>#DIV/0!</v>
      </c>
      <c r="NH74" s="54" t="e">
        <f ca="1">IF(AND(Control!$C$58=1, $MS73&lt;= ($MN73+0.02), $I73&lt;10), 0, IF(Control!$C$58=2, $NG73, 0))</f>
        <v>#DIV/0!</v>
      </c>
      <c r="NI74" s="54" t="e">
        <f ca="1">IF(Control!$C$58=2, $NE74+$NH74,0)</f>
        <v>#DIV/0!</v>
      </c>
      <c r="NJ74" s="54" t="e">
        <f ca="1">IF(AND(Control!$C$58=1, $MS74&lt;= ($MN74+0.02), $I74&lt;10), MAX(0, MIN(10, 0.7*($NF74-$MV74))), IF(Control!$C$58=2, MIN(10,$NI74),0))</f>
        <v>#DIV/0!</v>
      </c>
      <c r="NK74" s="54" t="e">
        <f t="shared" ca="1" si="338"/>
        <v>#DIV/0!</v>
      </c>
      <c r="NL74" s="173" t="e">
        <f ca="1">(1-Control!$C$73)*$I74+$NJ74</f>
        <v>#DIV/0!</v>
      </c>
      <c r="NM74" s="172" t="e">
        <f ca="1">IF($NL74&lt;0.5, $MB74* MAX(0, MIN(1, (SQRT($NC74)-SQRT($NC74-1))*Control!$C$71)),0)</f>
        <v>#DIV/0!</v>
      </c>
      <c r="NN74" s="170" t="e">
        <f ca="1">IF($NL74&gt;=5, $MB74, MAX(0,MIN($MB74, $NM74+$NL74,($MS74-Control!$C$129))))</f>
        <v>#DIV/0!</v>
      </c>
      <c r="NO74" s="54">
        <f>IF(Control!$C$133&lt;&gt;1, Control!$C$135-Control!$C$131, 0)</f>
        <v>0.38</v>
      </c>
      <c r="NP74" s="54" t="e">
        <f t="shared" ca="1" si="339"/>
        <v>#DIV/0!</v>
      </c>
      <c r="NQ74" s="173" t="e">
        <f ca="1">MAX(0,MIN(1,(Control!$C$135-$MS74)/(Control!$C$135-$NO74)))</f>
        <v>#DIV/0!</v>
      </c>
      <c r="NR74" s="170" t="e">
        <f ca="1">IF(Control!$C$133&lt;&gt;1, $NQ74+((1-$NP74/4)*(1-$NQ74)),1)</f>
        <v>#DIV/0!</v>
      </c>
      <c r="NS74" s="170" t="e">
        <f ca="1">IF(Control!$B$31=0,$MJ74,MAX(0,MIN($MV74,$MO74*$NR74*$MJ74)))</f>
        <v>#DIV/0!</v>
      </c>
      <c r="NT74" s="170" t="e">
        <f t="shared" ca="1" si="455"/>
        <v>#DIV/0!</v>
      </c>
      <c r="NU74" s="170" t="e">
        <f t="shared" ca="1" si="431"/>
        <v>#N/A</v>
      </c>
      <c r="NV74" s="170" t="e">
        <f t="shared" ca="1" si="340"/>
        <v>#N/A</v>
      </c>
      <c r="NW74" s="175" t="e">
        <f t="shared" ca="1" si="341"/>
        <v>#DIV/0!</v>
      </c>
      <c r="NX74" s="170" t="e">
        <f ca="1">MIN(Control!$C$72+$MU74, $NW74)</f>
        <v>#DIV/0!</v>
      </c>
      <c r="NY74" s="170" t="e">
        <f ca="1">IF($MT74&lt;=$NX74,MIN(Control!$C$72+$NB74,$NX74-$MT74),0)</f>
        <v>#DIV/0!</v>
      </c>
      <c r="NZ74" s="54" t="e">
        <f ca="1">IF(Control!$C$114=1,  $CX74*($MX74-Control!$C$127), 0)</f>
        <v>#DIV/0!</v>
      </c>
      <c r="OA74" s="170" t="e">
        <f t="shared" ca="1" si="342"/>
        <v>#DIV/0!</v>
      </c>
      <c r="OB74" s="170" t="e">
        <f ca="1">IF($NA74 &lt;=$NY74, MIN(Control!$C$72, $NY74-$NA74), 0)</f>
        <v>#DIV/0!</v>
      </c>
      <c r="OC74" s="168" t="e">
        <f t="shared" ca="1" si="343"/>
        <v>#DIV/0!</v>
      </c>
      <c r="OD74" s="168" t="e">
        <f t="shared" ca="1" si="432"/>
        <v>#DIV/0!</v>
      </c>
      <c r="OE74" s="170">
        <f ca="1">Control!$C$73*$I74</f>
        <v>0</v>
      </c>
      <c r="OF74" s="176" t="e">
        <f t="shared" ca="1" si="344"/>
        <v>#DIV/0!</v>
      </c>
      <c r="OG74" s="168" t="e">
        <f t="shared" ca="1" si="345"/>
        <v>#DIV/0!</v>
      </c>
      <c r="OH74" s="168" t="e">
        <f t="shared" ca="1" si="346"/>
        <v>#DIV/0!</v>
      </c>
      <c r="OI74" s="168" t="e">
        <f t="shared" ca="1" si="347"/>
        <v>#DIV/0!</v>
      </c>
      <c r="OJ74" s="168" t="e">
        <f t="shared" ca="1" si="348"/>
        <v>#DIV/0!</v>
      </c>
      <c r="OK74" s="204" t="e">
        <f t="shared" ca="1" si="349"/>
        <v>#DIV/0!</v>
      </c>
      <c r="OL74" s="177">
        <f>Control!$C$127</f>
        <v>0.15</v>
      </c>
      <c r="OM74" s="182" t="e">
        <f t="shared" ca="1" si="350"/>
        <v>#N/A</v>
      </c>
      <c r="ON74" s="177">
        <f>Control!$C$128</f>
        <v>0.35</v>
      </c>
      <c r="OO74" s="182" t="e">
        <f t="shared" ca="1" si="351"/>
        <v>#N/A</v>
      </c>
      <c r="OP74" s="138">
        <f t="shared" ca="1" si="433"/>
        <v>0</v>
      </c>
      <c r="OQ74" s="138" t="e">
        <f t="shared" ca="1" si="456"/>
        <v>#DIV/0!</v>
      </c>
      <c r="OR74" s="138" t="e">
        <f t="shared" ca="1" si="434"/>
        <v>#DIV/0!</v>
      </c>
      <c r="OS74" s="137" t="e">
        <f t="shared" ca="1" si="457"/>
        <v>#DIV/0!</v>
      </c>
      <c r="OT74" s="139" t="e">
        <f t="shared" ca="1" si="458"/>
        <v>#DIV/0!</v>
      </c>
      <c r="OU74" s="138" t="e">
        <f t="shared" ca="1" si="459"/>
        <v>#N/A</v>
      </c>
      <c r="OV74" s="138" t="e">
        <f t="shared" ca="1" si="460"/>
        <v>#DIV/0!</v>
      </c>
      <c r="OW74" s="138" t="e">
        <f t="shared" ca="1" si="435"/>
        <v>#DIV/0!</v>
      </c>
      <c r="OX74" s="138" t="e">
        <f t="shared" ca="1" si="436"/>
        <v>#DIV/0!</v>
      </c>
      <c r="OY74" s="138" t="e">
        <f t="shared" ca="1" si="437"/>
        <v>#DIV/0!</v>
      </c>
      <c r="OZ74" s="138" t="e">
        <f t="shared" ca="1" si="352"/>
        <v>#DIV/0!</v>
      </c>
      <c r="PA74" s="138" t="e">
        <f t="shared" ca="1" si="353"/>
        <v>#DIV/0!</v>
      </c>
      <c r="PB74" s="55">
        <f>IF(Control!$C$61="T", IF(Control!$C$65="F", IF($AH$6-Control!$C$60&lt;0,0,1), IF(365+$AH$6-Control!$C$60&lt;0,0,1)),0)</f>
        <v>0</v>
      </c>
      <c r="PC74" s="55">
        <f ca="1">IF(Control!$C$65="F", IF($AH$6-$HF74&lt;0,0,1), IF(365+$AH$6-$HF74&lt;0,0,1))</f>
        <v>1</v>
      </c>
      <c r="PD74" s="444">
        <f>Control!$C$118</f>
        <v>1500</v>
      </c>
      <c r="PE74" s="180" t="e">
        <f t="shared" ca="1" si="354"/>
        <v>#N/A</v>
      </c>
      <c r="PF74" s="445">
        <f t="shared" ca="1" si="438"/>
        <v>0.71612369323045078</v>
      </c>
      <c r="PT74" s="186"/>
      <c r="PU74" s="186"/>
      <c r="PV74" s="94"/>
      <c r="PW74" s="94"/>
      <c r="PX74" s="94"/>
      <c r="PY74" s="94"/>
      <c r="PZ74" s="94"/>
      <c r="QA74" s="94"/>
      <c r="QB74" s="94"/>
      <c r="QC74" s="94"/>
      <c r="QD74" s="94"/>
      <c r="QE74" s="94"/>
      <c r="QF74" s="94"/>
      <c r="QG74" s="94"/>
      <c r="QH74" s="94"/>
      <c r="QI74" s="94"/>
      <c r="QJ74" s="94"/>
      <c r="QK74" s="94"/>
      <c r="QL74" s="94"/>
      <c r="QM74" s="94"/>
      <c r="QN74" s="94"/>
      <c r="QO74" s="94"/>
      <c r="QP74" s="94"/>
    </row>
    <row r="75" spans="1:458" s="2" customFormat="1" x14ac:dyDescent="0.2">
      <c r="A75" s="395">
        <v>11</v>
      </c>
      <c r="B75" s="396">
        <v>3</v>
      </c>
      <c r="C75" s="387">
        <f ca="1">Weather_data!$B74</f>
        <v>0</v>
      </c>
      <c r="D75" s="388">
        <f ca="1">Weather_data!$F74</f>
        <v>0</v>
      </c>
      <c r="E75" s="388">
        <f ca="1">Weather_data!$E74</f>
        <v>0</v>
      </c>
      <c r="F75" s="388">
        <f t="shared" ca="1" si="355"/>
        <v>0</v>
      </c>
      <c r="G75" s="388">
        <f ca="1">AVERAGE($D75:$E75)+Control!$B$9</f>
        <v>0</v>
      </c>
      <c r="H75" s="388">
        <f ca="1">Weather_data!$G74</f>
        <v>0</v>
      </c>
      <c r="I75" s="388">
        <f ca="1">Weather_data!$I74</f>
        <v>0</v>
      </c>
      <c r="J75" s="388">
        <f ca="1">Weather_data!$H74</f>
        <v>0</v>
      </c>
      <c r="K75" s="389">
        <f ca="1">Weather_data!$D74</f>
        <v>0</v>
      </c>
      <c r="L75" s="388" t="e">
        <f t="shared" ca="1" si="356"/>
        <v>#N/A</v>
      </c>
      <c r="M75" s="388" t="e">
        <f t="shared" ca="1" si="234"/>
        <v>#N/A</v>
      </c>
      <c r="N75" s="388">
        <f t="shared" ca="1" si="235"/>
        <v>-3.4809930456544279E-4</v>
      </c>
      <c r="O75" s="388">
        <f t="shared" ca="1" si="357"/>
        <v>3.4809930456544281E-3</v>
      </c>
      <c r="P75" s="390">
        <v>3</v>
      </c>
      <c r="Q75" s="388">
        <f ca="1">MAX($G75-Control!$C$107,0)</f>
        <v>0</v>
      </c>
      <c r="R75" s="388">
        <f t="shared" ca="1" si="358"/>
        <v>0</v>
      </c>
      <c r="S75" s="388">
        <f t="shared" ca="1" si="236"/>
        <v>0</v>
      </c>
      <c r="T75" s="388">
        <f t="shared" ca="1" si="237"/>
        <v>0</v>
      </c>
      <c r="U75" s="59">
        <f t="shared" ca="1" si="238"/>
        <v>0</v>
      </c>
      <c r="V75" s="391">
        <f ca="1">MAX(0,MIN(Control!$C$100-Control!$C$99,$G75-Control!$C$99)*Control!$C$63)</f>
        <v>0</v>
      </c>
      <c r="W75" s="388">
        <f t="shared" ca="1" si="359"/>
        <v>0</v>
      </c>
      <c r="X75" s="388">
        <f t="shared" ca="1" si="360"/>
        <v>0.6110000000000001</v>
      </c>
      <c r="Y75" s="388">
        <f t="shared" ca="1" si="239"/>
        <v>0</v>
      </c>
      <c r="Z75" s="388">
        <f t="shared" ca="1" si="361"/>
        <v>0.61058800000000002</v>
      </c>
      <c r="AA75" s="388">
        <f t="shared" ca="1" si="240"/>
        <v>0.6018</v>
      </c>
      <c r="AB75" s="388">
        <f ca="1">101.3*EXP(-0.034*Control!$C$66/($G75+273))</f>
        <v>100.69623283836242</v>
      </c>
      <c r="AC75" s="392">
        <f t="shared" ca="1" si="241"/>
        <v>4.3460251046025113E-2</v>
      </c>
      <c r="AD75" s="392">
        <f t="shared" ca="1" si="242"/>
        <v>4.4450382862832649E-2</v>
      </c>
      <c r="AE75" s="388">
        <f t="shared" ca="1" si="243"/>
        <v>0</v>
      </c>
      <c r="AF75" s="388">
        <f ca="1">MAX(0,$G75-Control!$C$92)</f>
        <v>0</v>
      </c>
      <c r="AG75" s="393">
        <f t="shared" ca="1" si="244"/>
        <v>71</v>
      </c>
      <c r="AH75" s="389">
        <f t="shared" ca="1" si="245"/>
        <v>71</v>
      </c>
      <c r="AI75" s="388">
        <f t="shared" ca="1" si="362"/>
        <v>-6.99083215137489E-2</v>
      </c>
      <c r="AJ75" s="388">
        <f ca="1">IF(Control!$C$60&lt;=0,$HH75,$HI75)</f>
        <v>1</v>
      </c>
      <c r="AK75" s="388">
        <f t="shared" ca="1" si="246"/>
        <v>-0.15492785688935967</v>
      </c>
      <c r="AL75" s="388">
        <f t="shared" ca="1" si="247"/>
        <v>2.1639825348307441E-18</v>
      </c>
      <c r="AM75" s="388">
        <f t="shared" ca="1" si="248"/>
        <v>-0.15492785688935967</v>
      </c>
      <c r="AN75" s="388">
        <f t="shared" ca="1" si="249"/>
        <v>-6.142266356883945E-2</v>
      </c>
      <c r="AO75" s="388">
        <f ca="1">-0.10453/COS(Control!$B$8*PI()/180)*COS(AN75)</f>
        <v>-0.16946468753141036</v>
      </c>
      <c r="AP75" s="388">
        <f ca="1">ACOS(AO75-TAN(Control!$B$8*PI()/180)*TAN(AN75))</f>
        <v>1.6616695923620899</v>
      </c>
      <c r="AQ75" s="388">
        <f t="shared" ca="1" si="363"/>
        <v>0</v>
      </c>
      <c r="AR75" s="394">
        <f t="shared" ca="1" si="250"/>
        <v>0</v>
      </c>
      <c r="AS75" s="436">
        <f ca="1">IF(Control!$B$18=2,(IF(OR($AH75=Control!$B$175,$AH75=Control!$B$176,$AH75=Control!$B$177,$AH75=Control!$B$178,$AH75=Control!$B$179,$AH75=Control!$B$180,$AH75=Control!$B$181,$AH75=Control!$B$182,$AH75=Control!$B$183,$AH75=Control!$B$184,$AH75=Control!$B$185),1,0)),0)</f>
        <v>0</v>
      </c>
      <c r="AT75" s="436">
        <f>IF(Control!$B$20=8,IF(AND($AH75&gt;=Control!$B$172,$AH75&lt;=Control!$B$173),1,0),0)</f>
        <v>0</v>
      </c>
      <c r="AU75" s="436">
        <f>IF(Control!$B$20=8,IF($AV74=1,1*$AT75,IF($AT75=1,$AU74+1,$AU74)),0)</f>
        <v>0</v>
      </c>
      <c r="AV75" s="436">
        <f>IF(Control!$B$20=8,IF($AU75&gt;=Control!$B$174,1,0),0)</f>
        <v>0</v>
      </c>
      <c r="AW75" s="436">
        <f ca="1">IF(AND(Control!$B$18=2,Control!$B$171=1), $AV75, $AS75)</f>
        <v>0</v>
      </c>
      <c r="AX75" s="436" t="e">
        <f ca="1">IF(AND(Control!$B$18=1,$EU75&gt;=Control!$B$19),-$AY75,IF(AND(Control!$B$18=2,$AW75=1,$EU75&gt;$DS75),-$AY75, IF(Control!$C$108=0,0, IF(Control!$C$108&lt;&gt;0,1))))</f>
        <v>#N/A</v>
      </c>
      <c r="AY75" s="436" t="e">
        <f t="shared" ca="1" si="364"/>
        <v>#N/A</v>
      </c>
      <c r="AZ75" s="436" t="e">
        <f ca="1">IF(AND(Control!$B$18=1,$EB75&gt;Control!$B$19),$AZ74+1, IF(AND(Control!$B$18=2, $AW75=1, $EB75&gt;$DS75), $AZ74+1,$AZ74))</f>
        <v>#N/A</v>
      </c>
      <c r="BA75" s="587">
        <f>IF(Control!$C$81=0,1,IF($AH75&gt;=Control!$C$82,1,0))</f>
        <v>1</v>
      </c>
      <c r="BB75" s="140" t="e">
        <f ca="1">IF($BA75&gt;$BA74,Control!$C$83,IF($AW75&gt;0,$AW75*Control!$C$84,IF(AND(Control!$B$18=1,EN74&lt;&gt;0),Control!$C$84,0)))</f>
        <v>#N/A</v>
      </c>
      <c r="BC75" s="140" t="e">
        <f t="shared" ca="1" si="365"/>
        <v>#N/A</v>
      </c>
      <c r="BD75" s="140" t="e">
        <f ca="1">BC75*IF(OR($G75&lt;Control!$C$92,$G75&gt;Control!$C$95),0,IF(AND($G75&gt;=Control!$C$92,$G75&lt;=Control!$C$93),$G75-Control!$C$92,IF(AND($G75&gt;Control!$C$93,$G75&lt;=Control!$C$94),Control!$C$93-Control!$C$92,IF(AND($G75&gt;Control!$C$94,$G75&lt;=Control!$C$95),(Control!$C$93-Control!$C$92)*(Control!$C$94-$G75)/(Control!$C$95-Control!$C$94)))))</f>
        <v>#N/A</v>
      </c>
      <c r="BE75" s="140" t="e">
        <f t="shared" ca="1" si="366"/>
        <v>#N/A</v>
      </c>
      <c r="BF75" s="140" t="e">
        <f ca="1">IF($BE75&lt;=Control!$C$86,$BE75,Control!$C$86-$BE75)</f>
        <v>#N/A</v>
      </c>
      <c r="BG75" s="140" t="e">
        <f ca="1">IF(AND($AW75=1,Control!$C$84&lt;9),1,IF($BE75&gt;=Control!$C$86,0,$BC75))</f>
        <v>#N/A</v>
      </c>
      <c r="BH75" s="404" t="e">
        <f ca="1">IF($BG75=0,0,IF($BE75&lt;=Control!$C$86,$BC75*9*($BF75/Control!$C$86),0))</f>
        <v>#N/A</v>
      </c>
      <c r="BI75" s="140" t="e">
        <f ca="1">IF($BG75=1,0,IF($BE75&gt;=Control!$C$86,1,IF(AND($BB75&lt;21,$BB75&gt;=9),1,$BM74)))</f>
        <v>#N/A</v>
      </c>
      <c r="BJ75" s="140" t="e">
        <f ca="1">IF($BF75&lt;0,-$BF75,$BI75*IF(OR($G75&lt;Control!$C$92,$G75&gt;Control!$C$95),0,IF(AND($G75&gt;=Control!$C$92,$G75&lt;=Control!$C$93),$G75-Control!$C$92,IF(AND($G75&gt;Control!$C$93,$G75&lt;=Control!$C$94),Control!$C$93-Control!$C$92,IF(AND($G75&gt;Control!$C$94,$G75&lt;=Control!$C$95),(Control!$C$93-Control!$C$92)*(Control!$C$94-$G75)/(Control!$C$95-Control!$C$94))))))</f>
        <v>#N/A</v>
      </c>
      <c r="BK75" s="140" t="e">
        <f t="shared" ca="1" si="367"/>
        <v>#N/A</v>
      </c>
      <c r="BL75" s="140" t="e">
        <f ca="1">IF($BK75&lt;=Control!$C$87,$BK75,Control!$C$87-$BK75)</f>
        <v>#N/A</v>
      </c>
      <c r="BM75" s="140" t="e">
        <f ca="1">IF(AND($BB75&gt;=9,$BB75&lt;21),1,IF($BK75&gt;=Control!$C$87,0,$BI75))</f>
        <v>#N/A</v>
      </c>
      <c r="BN75" s="404" t="e">
        <f ca="1">IF($BM75=0,0,IF($BK75&lt;=Control!$C$87,$BI75*(9+(21-9)*($BL75/Control!$C$87)),0))</f>
        <v>#N/A</v>
      </c>
      <c r="BO75" s="140" t="e">
        <f ca="1">IF($BM75=1,0,IF($BK75&gt;=Control!$C$87,1,IF(AND($BB75&lt;30,$BB75&gt;=21),1,$BS74)))</f>
        <v>#N/A</v>
      </c>
      <c r="BP75" s="140" t="e">
        <f ca="1">IF($BL75&lt;0,-$BL75,$BO75*IF(OR($G75&lt;Control!$C$92,$G75&gt;Control!$C$95),0,IF(AND($G75&gt;=Control!$C$92,$G75&lt;=Control!$C$93),$G75-Control!$C$92,IF(AND($G75&gt;Control!$C$93,$G75&lt;=Control!$C$94),Control!$C$93-Control!$C$92,IF(AND($G75&gt;Control!$C$94,$G75&lt;=Control!$C$95),(Control!$C$93-Control!$C$92)*(Control!$C$94-$G75)/(Control!$C$95-Control!$C$94))))))</f>
        <v>#N/A</v>
      </c>
      <c r="BQ75" s="140" t="e">
        <f t="shared" ca="1" si="251"/>
        <v>#N/A</v>
      </c>
      <c r="BR75" s="140" t="e">
        <f ca="1">IF($BQ75&lt;=Control!$C$88,$BQ75,Control!$C$88-$BQ75)</f>
        <v>#N/A</v>
      </c>
      <c r="BS75" s="140" t="e">
        <f ca="1">IF(AND($BB75&gt;=21,$BB75&lt;30),1,IF($BQ75&gt;=Control!$C$88,0,$BO75))</f>
        <v>#N/A</v>
      </c>
      <c r="BT75" s="404" t="e">
        <f ca="1">IF($BS75=0,0,IF($BQ75&lt;=Control!$C$88,$BO75*(21+(30-21)*(BR75/Control!$C$88)),0))</f>
        <v>#N/A</v>
      </c>
      <c r="BU75" s="140" t="e">
        <f ca="1">IF(BG75+BM75+BS75=1,0,IF(OR(AND($BB75&lt;60,$BB75&gt;=30),$BQ75&gt;=Control!$C$88),1*$BA75,$BY74))</f>
        <v>#N/A</v>
      </c>
      <c r="BV75" s="140" t="e">
        <f ca="1">IF($BR75&lt;0,-$BR75,$BU75*IF(OR($G75&lt;Control!$C$92,$G75&gt;Control!$C$95),0,IF(AND($G75&gt;=Control!$C$92,$G75&lt;=Control!$C$93),$G75-Control!$C$92,IF(AND($G75&gt;Control!$C$93,$G75&lt;=Control!$C$94),Control!$C$93-Control!$C$92,IF(AND($G75&gt;Control!$C$94,$G75&lt;=Control!$C$95),(Control!$C$93-Control!$C$92)*(Control!$C$94-$G75)/(Control!$C$95-Control!$C$94))))))</f>
        <v>#N/A</v>
      </c>
      <c r="BW75" s="140" t="e">
        <f t="shared" ca="1" si="252"/>
        <v>#N/A</v>
      </c>
      <c r="BX75" s="140" t="e">
        <f ca="1">IF($BW75&lt;=Control!$C$89,$BW75,Control!$C$89-$BW75)</f>
        <v>#N/A</v>
      </c>
      <c r="BY75" s="140" t="e">
        <f ca="1">IF(AND($AJ75&gt;=30,$AJ75&lt;60),1,IF($BW75&gt;=Control!$C$89,0,$BU75))</f>
        <v>#N/A</v>
      </c>
      <c r="BZ75" s="404" t="e">
        <f ca="1">IF($BY75=0,0,IF($BW75&lt;=Control!$C$89,$BU75*(30+(60-30)*(BX75/Control!$C$89)),0))</f>
        <v>#N/A</v>
      </c>
      <c r="CA75" s="140" t="e">
        <f ca="1">IF($BG75+$BM75+$BS75+$BY75=1,0,IF(OR(AND($BB75&lt;65,$BB75&gt;=60),$BW75&gt;=Control!$C$89),1*$BA75,$CE74))</f>
        <v>#N/A</v>
      </c>
      <c r="CB75" s="140" t="e">
        <f ca="1">IF($BX75&lt;0,-$BX75,$CA75*IF(OR($G75&lt;Control!$C$92,$G75&gt;Control!$C$95),0,IF(AND($G75&gt;=Control!$C$92,$G75&lt;=Control!$C$93),$G75-Control!$C$92,IF(AND($G75&gt;Control!$C$93,$G75&lt;=Control!$C$94),Control!$C$93-Control!$C$92,IF(AND($G75&gt;Control!$C$94,$G75&lt;=Control!$C$95),(Control!$C$93-Control!$C$92)*(Control!$C$94-$G75)/(Control!$C$95-Control!$C$94))))))</f>
        <v>#N/A</v>
      </c>
      <c r="CC75" s="140" t="e">
        <f t="shared" ca="1" si="368"/>
        <v>#N/A</v>
      </c>
      <c r="CD75" s="140" t="e">
        <f ca="1">IF($CC75&lt;=Control!$C$90,$CC75,Control!$C$90-$CC75)</f>
        <v>#N/A</v>
      </c>
      <c r="CE75" s="140" t="e">
        <f ca="1">IF(AND($BB75&gt;=60,$BB75&lt;65),1,IF($CC75&gt;=Control!$C$90,0,$CA75))</f>
        <v>#N/A</v>
      </c>
      <c r="CF75" s="404" t="e">
        <f ca="1">IF($CE75=0,0,IF($CC75&lt;=Control!$C$90,$CA75*(60+(65-60)*(CD75/Control!$C$90)),0))</f>
        <v>#N/A</v>
      </c>
      <c r="CG75" s="140" t="e">
        <f ca="1">IF($BG75+$BM75+$BS75+$BY75+$CE75=1,0,IF(OR(AND($BB75&lt;90,$BB75&gt;=65),$CC75&gt;=Control!$C$90),$BA75,$CK74))</f>
        <v>#N/A</v>
      </c>
      <c r="CH75" s="140" t="e">
        <f ca="1">IF($CD75&lt;0,-$CD75,$CG75*IF(OR($G75&lt;Control!$C$92,$G75&gt;Control!$C$95),0,IF(AND($G75&gt;=Control!$C$92,$G75&lt;=Control!$C$93),$G75-Control!$C$92,IF(AND($G75&gt;Control!$C$93,$G75&lt;=Control!$C$94),Control!$C$93-Control!$C$92,IF(AND($G75&gt;Control!$C$94,$G75&lt;=Control!$C$95),(Control!$C$93-Control!$C$92)*(Control!$C$94-$G75)/(Control!$C$95-Control!$C$94))))))</f>
        <v>#N/A</v>
      </c>
      <c r="CI75" s="140" t="e">
        <f t="shared" ca="1" si="369"/>
        <v>#N/A</v>
      </c>
      <c r="CJ75" s="140" t="e">
        <f ca="1">IF($CI75&lt;=Control!$C$91,$CI75,Control!$C$91-$CI75)</f>
        <v>#N/A</v>
      </c>
      <c r="CK75" s="140" t="e">
        <f ca="1">IF(AND($BB75&gt;=65,$BB75&lt;90),1,IF($CI75&gt;=Control!$C$91,0,$CG75))</f>
        <v>#N/A</v>
      </c>
      <c r="CL75" s="404" t="e">
        <f ca="1">IF($CK75=0,0,IF($CI75&lt;=Control!$C$91,$CG75*(65+(90-65)*($CJ75/Control!$C$91)),0))</f>
        <v>#N/A</v>
      </c>
      <c r="CM75" s="140" t="e">
        <f ca="1">IF($BG75+$BM75+$BS75+$BY75+$CE75+$CK75=1,0,IF(OR($BB75&gt;=90,$CI75&gt;=Control!$C$91),$BA75,$CM74))</f>
        <v>#N/A</v>
      </c>
      <c r="CN75" s="140" t="e">
        <f t="shared" ca="1" si="370"/>
        <v>#N/A</v>
      </c>
      <c r="CO75" s="140" t="e">
        <f t="shared" ca="1" si="371"/>
        <v>#N/A</v>
      </c>
      <c r="CP75" s="140" t="e">
        <f t="shared" ca="1" si="372"/>
        <v>#N/A</v>
      </c>
      <c r="CQ75" s="141" t="e">
        <f ca="1">VLOOKUP($CP75,Control!$B$86:$G$91,6)</f>
        <v>#N/A</v>
      </c>
      <c r="CR75" s="141" t="e">
        <f ca="1">(1-$CQ75)*VLOOKUP($CP75,Control!$B$86:$D$91,3)</f>
        <v>#N/A</v>
      </c>
      <c r="CS75" s="141" t="e">
        <f ca="1">(1-$CQ75)*VLOOKUP($CP75,Control!$B$86:$E$91,4)</f>
        <v>#N/A</v>
      </c>
      <c r="CT75" s="141" t="e">
        <f ca="1">(1-$CQ75)*VLOOKUP($CP75,Control!$B$86:$F$91,5)</f>
        <v>#N/A</v>
      </c>
      <c r="CU75" s="141">
        <f t="shared" ca="1" si="373"/>
        <v>0</v>
      </c>
      <c r="CV75" s="583">
        <f t="shared" ca="1" si="374"/>
        <v>0</v>
      </c>
      <c r="CW75" s="142">
        <f t="shared" ca="1" si="375"/>
        <v>71</v>
      </c>
      <c r="CX75" s="612" t="e">
        <f ca="1">IF(Control!$C$114=1,(MIN(Control!$C$120*(IF($NT75-0.01&lt;0,0,1)),Control!$C$119-$CY75)))</f>
        <v>#DIV/0!</v>
      </c>
      <c r="CY75" s="143" t="e">
        <f t="shared" ca="1" si="376"/>
        <v>#N/A</v>
      </c>
      <c r="CZ75" s="144">
        <f t="shared" ca="1" si="253"/>
        <v>0</v>
      </c>
      <c r="DA75" s="144">
        <f t="shared" ca="1" si="254"/>
        <v>0</v>
      </c>
      <c r="DB75" s="144" t="e">
        <f t="shared" ca="1" si="255"/>
        <v>#N/A</v>
      </c>
      <c r="DC75" s="144" t="e">
        <f t="shared" ca="1" si="256"/>
        <v>#N/A</v>
      </c>
      <c r="DD75" s="144" t="e">
        <f t="shared" ca="1" si="461"/>
        <v>#N/A</v>
      </c>
      <c r="DE75" s="143" t="e">
        <f t="shared" ca="1" si="377"/>
        <v>#N/A</v>
      </c>
      <c r="DF75" s="145" t="e">
        <f ca="1">$DR75*EXP(-Control!$C$158*(1-$KH75))</f>
        <v>#N/A</v>
      </c>
      <c r="DG75" s="146" t="e">
        <f ca="1">IF(Control!$C$114=1, $DF75*$EY75, 0)</f>
        <v>#N/A</v>
      </c>
      <c r="DH75" s="147" t="e">
        <f t="shared" ca="1" si="378"/>
        <v>#N/A</v>
      </c>
      <c r="DI75" s="144" t="e">
        <f t="shared" ca="1" si="439"/>
        <v>#N/A</v>
      </c>
      <c r="DJ75" s="147" t="e">
        <f ca="1">$EF75*Control!$C$109</f>
        <v>#N/A</v>
      </c>
      <c r="DK75" s="144" t="e">
        <f t="shared" ca="1" si="379"/>
        <v>#N/A</v>
      </c>
      <c r="DL75" s="144" t="e">
        <f t="shared" ca="1" si="257"/>
        <v>#N/A</v>
      </c>
      <c r="DM75" s="144" t="e">
        <f ca="1">IF(Control!$C$114=1, (1-EXP(-Control!$C$96*$DK75))*$AR75, 0)</f>
        <v>#N/A</v>
      </c>
      <c r="DN75" s="144">
        <f t="shared" ca="1" si="380"/>
        <v>0</v>
      </c>
      <c r="DO75" s="148">
        <f>Control!$C$97</f>
        <v>4</v>
      </c>
      <c r="DP75" s="145" t="e">
        <f t="shared" ca="1" si="381"/>
        <v>#N/A</v>
      </c>
      <c r="DQ75" s="145" t="e">
        <f ca="1">IF(AND($CP75&gt;=0,$CP75&lt;=90),Control!$C$111,Control!$C$111)</f>
        <v>#N/A</v>
      </c>
      <c r="DR75" s="145" t="e">
        <f t="shared" ca="1" si="258"/>
        <v>#N/A</v>
      </c>
      <c r="DS75" s="143" t="e">
        <f ca="1">Control!$B$22/$DR75</f>
        <v>#N/A</v>
      </c>
      <c r="DT75" s="149" t="e">
        <f ca="1">IF(AND(Control!$C$114=1,$KH75&lt;1),$IM75*$DF75, 0)</f>
        <v>#N/A</v>
      </c>
      <c r="DU75" s="144" t="e">
        <f t="shared" ca="1" si="382"/>
        <v>#N/A</v>
      </c>
      <c r="DV75" s="144">
        <f ca="1">IF($G75-Control!$C$107&lt;=0, 0, 0.83*LN(MAX($G75, 3))-0.8924)</f>
        <v>0</v>
      </c>
      <c r="DW75" s="144" t="e">
        <f t="shared" ca="1" si="259"/>
        <v>#N/A</v>
      </c>
      <c r="DX75" s="150" t="e">
        <f ca="1">MAX(0.01*(1+$CU75/Control!$C$102),0.05*($DK75-Control!$C$97)/Control!$C$97)</f>
        <v>#N/A</v>
      </c>
      <c r="DY75" s="151" t="e">
        <f ca="1">IF(Control!$C$114=1, $DI75*$FS75, 0)</f>
        <v>#N/A</v>
      </c>
      <c r="DZ75" s="196" t="e">
        <f t="shared" ca="1" si="383"/>
        <v>#N/A</v>
      </c>
      <c r="EA75" s="152">
        <f t="shared" ca="1" si="384"/>
        <v>71</v>
      </c>
      <c r="EB75" s="153" t="e">
        <f t="shared" ca="1" si="385"/>
        <v>#N/A</v>
      </c>
      <c r="EC75" s="153" t="e">
        <f t="shared" ca="1" si="386"/>
        <v>#N/A</v>
      </c>
      <c r="ED75" s="154" t="e">
        <f ca="1">IF(Control!$C$114=1, $HM75*$FY75-$FD75, 0)</f>
        <v>#DIV/0!</v>
      </c>
      <c r="EE75" s="155" t="e">
        <f ca="1">IF(Control!$C$114=1, $HM75*$FZ75-$FF75, 0)</f>
        <v>#DIV/0!</v>
      </c>
      <c r="EF75" s="153" t="e">
        <f t="shared" ca="1" si="440"/>
        <v>#N/A</v>
      </c>
      <c r="EG75" s="155" t="e">
        <f ca="1">IF(Control!$C$114=1, $GX75*$FW75-$FI75, 0)</f>
        <v>#DIV/0!</v>
      </c>
      <c r="EH75" s="153" t="e">
        <f t="shared" ca="1" si="387"/>
        <v>#N/A</v>
      </c>
      <c r="EI75" s="156" t="e">
        <f t="shared" ca="1" si="388"/>
        <v>#N/A</v>
      </c>
      <c r="EJ75" s="155" t="e">
        <f ca="1">IF(Control!$C$114=1, $HM75*$GB75, 0)</f>
        <v>#DIV/0!</v>
      </c>
      <c r="EK75" s="153" t="e">
        <f t="shared" ca="1" si="441"/>
        <v>#N/A</v>
      </c>
      <c r="EL75" s="153" t="e">
        <f t="shared" ca="1" si="260"/>
        <v>#N/A</v>
      </c>
      <c r="EM75" s="153" t="e">
        <f t="shared" ca="1" si="261"/>
        <v>#N/A</v>
      </c>
      <c r="EN75" s="153" t="e">
        <f ca="1">IF(Control!$C$108=1,IF(AND(Control!$B$18=1,$EB75&gt;=Control!$B$19),$EB75-$DS75,IF(AND(Control!$B$18=2,$AW75=1,$EB75&gt;$DS75),$EB75-$DS75,0)))</f>
        <v>#N/A</v>
      </c>
      <c r="EO75" s="153" t="e">
        <f ca="1">IF(Control!$C$108=1,IF(AND(Control!$B$18=1,$EB75&gt;=Control!$B$19),$EF75,IF(AND(Control!$B$18=2,$AW75=1),$EF75,0)))</f>
        <v>#N/A</v>
      </c>
      <c r="EP75" s="153" t="e">
        <f ca="1">IF(Control!$C$108=1,IF(AND(Control!$B$18=1,$EB75&gt;=Control!$B$19),$EK75,IF(AND(Control!$B$18=2,$AW75=1),$EK75,0)))</f>
        <v>#N/A</v>
      </c>
      <c r="EQ75" s="153" t="e">
        <f t="shared" ca="1" si="389"/>
        <v>#N/A</v>
      </c>
      <c r="ER75" s="153" t="e">
        <f t="shared" ca="1" si="390"/>
        <v>#N/A</v>
      </c>
      <c r="ES75" s="153" t="e">
        <f t="shared" ca="1" si="442"/>
        <v>#N/A</v>
      </c>
      <c r="ET75" s="153" t="e">
        <f t="shared" ca="1" si="443"/>
        <v>#N/A</v>
      </c>
      <c r="EU75" s="153" t="e">
        <f t="shared" ca="1" si="391"/>
        <v>#N/A</v>
      </c>
      <c r="EV75" s="153" t="e">
        <f t="shared" ca="1" si="262"/>
        <v>#N/A</v>
      </c>
      <c r="EW75" s="153" t="e">
        <f t="shared" ca="1" si="263"/>
        <v>#N/A</v>
      </c>
      <c r="EX75" s="153" t="e">
        <f t="shared" ca="1" si="264"/>
        <v>#N/A</v>
      </c>
      <c r="EY75" s="157" t="e">
        <f t="shared" ca="1" si="265"/>
        <v>#DIV/0!</v>
      </c>
      <c r="EZ75" s="154" t="e">
        <f t="shared" ca="1" si="266"/>
        <v>#DIV/0!</v>
      </c>
      <c r="FA75" s="153" t="e">
        <f t="shared" ca="1" si="392"/>
        <v>#N/A</v>
      </c>
      <c r="FB75" s="153" t="e">
        <f t="shared" ca="1" si="267"/>
        <v>#N/A</v>
      </c>
      <c r="FC75" s="193" t="e">
        <f t="shared" ca="1" si="268"/>
        <v>#N/A</v>
      </c>
      <c r="FD75" s="158" t="e">
        <f t="shared" ca="1" si="393"/>
        <v>#N/A</v>
      </c>
      <c r="FE75" s="158" t="e">
        <f t="shared" ca="1" si="394"/>
        <v>#N/A</v>
      </c>
      <c r="FF75" s="159" t="e">
        <f t="shared" ca="1" si="269"/>
        <v>#N/A</v>
      </c>
      <c r="FG75" s="160" t="e">
        <f t="shared" ca="1" si="395"/>
        <v>#N/A</v>
      </c>
      <c r="FH75" s="158" t="e">
        <f t="shared" ca="1" si="396"/>
        <v>#N/A</v>
      </c>
      <c r="FI75" s="159" t="e">
        <f t="shared" ca="1" si="270"/>
        <v>#N/A</v>
      </c>
      <c r="FJ75" s="160" t="e">
        <f t="shared" ca="1" si="397"/>
        <v>#N/A</v>
      </c>
      <c r="FK75" s="160" t="e">
        <f t="shared" ca="1" si="271"/>
        <v>#N/A</v>
      </c>
      <c r="FL75" s="160" t="e">
        <f t="shared" ca="1" si="444"/>
        <v>#N/A</v>
      </c>
      <c r="FM75" s="160" t="e">
        <f t="shared" ca="1" si="272"/>
        <v>#N/A</v>
      </c>
      <c r="FN75" s="158">
        <f t="shared" ca="1" si="398"/>
        <v>0.01</v>
      </c>
      <c r="FO75" s="160">
        <f>Control!$C$101</f>
        <v>50</v>
      </c>
      <c r="FP75" s="150" t="e">
        <f t="shared" ca="1" si="273"/>
        <v>#N/A</v>
      </c>
      <c r="FQ75" s="150" t="e">
        <f ca="1">MAX(0,(Control!$C$112*(($DK75-Control!$C$97)/Control!$C$97)))</f>
        <v>#N/A</v>
      </c>
      <c r="FR75" s="150" t="e">
        <f ca="1">(1-$NT75)*Control!$C$113</f>
        <v>#DIV/0!</v>
      </c>
      <c r="FS75" s="198" t="e">
        <f t="shared" ca="1" si="274"/>
        <v>#N/A</v>
      </c>
      <c r="FT75" s="161">
        <f t="shared" ca="1" si="399"/>
        <v>71</v>
      </c>
      <c r="FU75" s="162" t="e">
        <f ca="1">IF(Control!$B$34=1,VLOOKUP($CP75,Control!$B$86:$G$91,6),Control!$B$35)</f>
        <v>#N/A</v>
      </c>
      <c r="FV75" s="162" t="e">
        <f t="shared" ca="1" si="275"/>
        <v>#DIV/0!</v>
      </c>
      <c r="FW75" s="162" t="e">
        <f ca="1">IF(Control!$B$31=1,$FU75*$FV75,  $FU75)</f>
        <v>#N/A</v>
      </c>
      <c r="FX75" s="162" t="e">
        <f ca="1">IF(Control!$B$34=1,VLOOKUP($CP75,Control!$B$86:$G$91,3),Control!$B$36)</f>
        <v>#N/A</v>
      </c>
      <c r="FY75" s="162" t="e">
        <f t="shared" ca="1" si="276"/>
        <v>#N/A</v>
      </c>
      <c r="FZ75" s="162" t="e">
        <f ca="1">IF(Control!$B$34=1,VLOOKUP($CP75,Control!$B$86:$G$91,4),Control!$B$37)</f>
        <v>#N/A</v>
      </c>
      <c r="GA75" s="162" t="e">
        <f t="shared" ca="1" si="277"/>
        <v>#N/A</v>
      </c>
      <c r="GB75" s="162" t="e">
        <f ca="1">IF(Control!$B$34=1,VLOOKUP($CP75,Control!$B$86:$G$91,5),Control!$B$38)</f>
        <v>#N/A</v>
      </c>
      <c r="GC75" s="162" t="e">
        <f t="shared" ca="1" si="400"/>
        <v>#N/A</v>
      </c>
      <c r="GD75" s="162">
        <f t="shared" ca="1" si="278"/>
        <v>1</v>
      </c>
      <c r="GE75" s="162">
        <f t="shared" ca="1" si="279"/>
        <v>1</v>
      </c>
      <c r="GF75" s="162">
        <f ca="1">IF(AND(Control!$C$104=1, Control!$C$62="F"),$GE75,1)</f>
        <v>1</v>
      </c>
      <c r="GG75" s="162" t="e">
        <f ca="1">IF(Control!$B$16=40,0,IF(AND(Control!$B$16&gt;40,Control!$B$16&lt;=360),(Control!$B$16-40)*((1-0)/(360-40)),IF(AND(Control!$B$16&gt;360,Control!$B$16&lt;=720),(1+(Control!$B$16-360)*((1.25-1)/(720-360))),IF(AND(Control!$B$16&gt;720,Control!$B$16&lt;=1000),(1.25+(Control!$B$16-720)*((1.35-1.25)/(1000-720))),IF(AND(Control!$B$16&gt;1000,Control!$B$16&lt;=2000),(1.35+(Control!$B$16-1000)*0))))))</f>
        <v>#N/A</v>
      </c>
      <c r="GH75" s="162" t="e">
        <f t="shared" ca="1" si="280"/>
        <v>#N/A</v>
      </c>
      <c r="GI75" s="162">
        <f t="shared" ca="1" si="401"/>
        <v>0</v>
      </c>
      <c r="GJ75" s="162">
        <f t="shared" ca="1" si="281"/>
        <v>0</v>
      </c>
      <c r="GK75" s="162">
        <f t="shared" ca="1" si="402"/>
        <v>1</v>
      </c>
      <c r="GL75" s="162">
        <f t="shared" ca="1" si="282"/>
        <v>1</v>
      </c>
      <c r="GM75" s="162" t="e">
        <f ca="1">MAX(0,MIN(1,1-Control!$C$156*(1.0001-$KH75)^2))</f>
        <v>#N/A</v>
      </c>
      <c r="GN75" s="162" t="e">
        <f ca="1">IF(Control!$B$26=1,$KU75,$KX75)</f>
        <v>#N/A</v>
      </c>
      <c r="GO75" s="162" t="e">
        <f ca="1">IF($CP75&lt;=60,Control!$C$105,IF($CP75&gt;=90,Control!$C$106,Control!$C$105+($CP75-60)*((Control!$C$106-Control!$C$105)/(90-60))))</f>
        <v>#N/A</v>
      </c>
      <c r="GP75" s="162" t="e">
        <f t="shared" ca="1" si="283"/>
        <v>#N/A</v>
      </c>
      <c r="GQ75" s="162" t="e">
        <f t="shared" ca="1" si="403"/>
        <v>#N/A</v>
      </c>
      <c r="GR75" s="163" t="e">
        <f t="shared" ca="1" si="284"/>
        <v>#DIV/0!</v>
      </c>
      <c r="GS75" s="162" t="e">
        <f t="shared" ca="1" si="285"/>
        <v>#DIV/0!</v>
      </c>
      <c r="GT75" s="164" t="e">
        <f t="shared" ca="1" si="404"/>
        <v>#N/A</v>
      </c>
      <c r="GU75" s="162" t="e">
        <f t="shared" ca="1" si="405"/>
        <v>#N/A</v>
      </c>
      <c r="GV75" s="162" t="e">
        <f t="shared" ca="1" si="286"/>
        <v>#N/A</v>
      </c>
      <c r="GW75" s="162" t="e">
        <f t="shared" ca="1" si="287"/>
        <v>#DIV/0!</v>
      </c>
      <c r="GX75" s="162" t="e">
        <f t="shared" ca="1" si="406"/>
        <v>#DIV/0!</v>
      </c>
      <c r="GY75" s="162" t="e">
        <f t="shared" ca="1" si="407"/>
        <v>#DIV/0!</v>
      </c>
      <c r="GZ75" s="165" t="e">
        <f t="shared" ca="1" si="288"/>
        <v>#N/A</v>
      </c>
      <c r="HA75" s="162" t="e">
        <f ca="1">IF(Control!$C$114=1, $DI75*$FS75, 0)</f>
        <v>#N/A</v>
      </c>
      <c r="HB75" s="162" t="e">
        <f ca="1">$FA75/Control!$C$64</f>
        <v>#N/A</v>
      </c>
      <c r="HC75" s="162" t="e">
        <f t="shared" ca="1" si="289"/>
        <v>#DIV/0!</v>
      </c>
      <c r="HD75" s="162">
        <f ca="1">-ASIN(SIN(23.45*Control!$C$139)*COS(2*Control!$C$138*($AH75+10)/365))</f>
        <v>-6.99083215137489E-2</v>
      </c>
      <c r="HE75" s="165">
        <f t="shared" ca="1" si="408"/>
        <v>0</v>
      </c>
      <c r="HF75" s="166">
        <f ca="1">IF(AND(Control!$C$61="T",$HE75&gt;=Control!$C$103,Control!$C$114=0),$AH75,Control!$C$59)</f>
        <v>1</v>
      </c>
      <c r="HG75" s="166">
        <f ca="1">IF(AND(Control!$C$61="T",$HE75&gt;=Control!$C$103,Control!$C$114=0),$HF75,Control!$C$59)</f>
        <v>1</v>
      </c>
      <c r="HH75" s="165">
        <f ca="1">IF(AND(OR(Control!$C$60&lt;=0, $AH75= Control!$C$59, Control!$C$60 &gt;0, $AH75 = Control!$C$60)), Control!$C$59, IF(Control!$C$60&gt;0, 0))</f>
        <v>1</v>
      </c>
      <c r="HI75" s="165">
        <f ca="1">IF(AND(OR(Control!$C$60&lt;=0, $AH75= Control!$C$59, Control!$C$60 &gt;0, $AH75 = Control!$C$60)), Control!$C$60, IF(Control!$C$60&lt;=0, 0))</f>
        <v>0</v>
      </c>
      <c r="HJ75" s="166">
        <f ca="1">IF(AND(Control!$C$62="F",$CV75&gt;=Control!$C$102),$AH75,0)</f>
        <v>0</v>
      </c>
      <c r="HK75" s="165" t="e">
        <f t="shared" ca="1" si="445"/>
        <v>#N/A</v>
      </c>
      <c r="HL75" s="166">
        <f ca="1">IF(AND(Control!$C$61="T",$HE75&gt;=Control!$C$103,Control!$C$114=0),$HF75,0)</f>
        <v>0</v>
      </c>
      <c r="HM75" s="201" t="e">
        <f t="shared" ca="1" si="290"/>
        <v>#DIV/0!</v>
      </c>
      <c r="HN75" s="215">
        <f t="shared" ca="1" si="409"/>
        <v>71</v>
      </c>
      <c r="HO75" s="216" t="e">
        <f ca="1">IF(AND($CP75&gt;=0, $CP75&lt;=90), Control!$C$152, Control!$C$152)</f>
        <v>#N/A</v>
      </c>
      <c r="HP75" s="216" t="e">
        <f t="shared" ca="1" si="291"/>
        <v>#N/A</v>
      </c>
      <c r="HQ75" s="217" t="e">
        <f ca="1">IF(OR(Control!$B$26=1,Control!$B$26=2),$KV75,$KS75)</f>
        <v>#DIV/0!</v>
      </c>
      <c r="HR75" s="218" t="e">
        <f t="shared" ca="1" si="446"/>
        <v>#DIV/0!</v>
      </c>
      <c r="HS75" s="216" t="e">
        <f ca="1">Control!$C$154*$HP75</f>
        <v>#N/A</v>
      </c>
      <c r="HT75" s="216" t="e">
        <f ca="1">Control!$C$155*$HP75</f>
        <v>#N/A</v>
      </c>
      <c r="HU75" s="217" t="e">
        <f ca="1">Control!$C$161*$FI75</f>
        <v>#N/A</v>
      </c>
      <c r="HV75" s="218" t="e">
        <f t="shared" ca="1" si="410"/>
        <v>#N/A</v>
      </c>
      <c r="HW75" s="218" t="e">
        <f ca="1">Control!$C$160*$FF75+$IP75*$EO75</f>
        <v>#N/A</v>
      </c>
      <c r="HX75" s="218" t="e">
        <f t="shared" ca="1" si="447"/>
        <v>#N/A</v>
      </c>
      <c r="HY75" s="219" t="e">
        <f ca="1">IF(Control!$C$114=1, $EB75*$FS75, 0)</f>
        <v>#N/A</v>
      </c>
      <c r="HZ75" s="91" t="e">
        <f t="shared" ca="1" si="292"/>
        <v>#N/A</v>
      </c>
      <c r="IA75" s="220" t="e">
        <f ca="1">Control!$C$153*$HO75</f>
        <v>#N/A</v>
      </c>
      <c r="IB75" s="218" t="e">
        <f t="shared" ca="1" si="293"/>
        <v>#N/A</v>
      </c>
      <c r="IC75" s="220" t="e">
        <f ca="1">Control!$C$153*$HT75</f>
        <v>#N/A</v>
      </c>
      <c r="ID75" s="218" t="e">
        <f t="shared" ca="1" si="294"/>
        <v>#N/A</v>
      </c>
      <c r="IE75" s="221" t="e">
        <f ca="1">($EB75*Control!$C$159+$EF75*Control!$C$160)/(IF($GZ75&lt;&gt;0,$GZ75,1))</f>
        <v>#N/A</v>
      </c>
      <c r="IF75" s="216" t="e">
        <f t="shared" ca="1" si="295"/>
        <v>#N/A</v>
      </c>
      <c r="IG75" s="91">
        <f ca="1">IF(OR(Control!$B$198=$AH75,Control!$B$199=$AH75, Control!$B$200=$AH75, Control!$B$201=$AH75, Control!$B$202=$AH75, Control!$B$203=$AH75, Control!$B$204=$AH75, Control!$B$205=$AH75, Control!$B$206=$AH75, Control!$B$207=$AH75), 1, 0)</f>
        <v>0</v>
      </c>
      <c r="IH75" s="91">
        <f ca="1">IF($IG75=0,0, VLOOKUP($AH75,Control!$B$198:$C$207,2))</f>
        <v>0</v>
      </c>
      <c r="II75" s="222">
        <f t="shared" ca="1" si="411"/>
        <v>0</v>
      </c>
      <c r="IJ75" s="91">
        <f>Control!$C$121</f>
        <v>0.7</v>
      </c>
      <c r="IK75" s="218">
        <f t="shared" ca="1" si="296"/>
        <v>0</v>
      </c>
      <c r="IL75" s="217" t="e">
        <f t="shared" ca="1" si="448"/>
        <v>#N/A</v>
      </c>
      <c r="IM75" s="223" t="e">
        <f ca="1">IF(AND(Control!$C$114=1,$KH75&lt;1),$EB75*Control!$C$148*(1-$KH75), 0)</f>
        <v>#N/A</v>
      </c>
      <c r="IN75" s="217" t="e">
        <f t="shared" ca="1" si="297"/>
        <v>#DIV/0!</v>
      </c>
      <c r="IO75" s="91" t="e">
        <f ca="1">MAX(0,$IL75-$EF75*Control!$C$160)</f>
        <v>#N/A</v>
      </c>
      <c r="IP75" s="220" t="e">
        <f t="shared" ca="1" si="298"/>
        <v>#N/A</v>
      </c>
      <c r="IQ75" s="217" t="e">
        <f t="shared" ca="1" si="412"/>
        <v>#N/A</v>
      </c>
      <c r="IR75" s="218" t="e">
        <f t="shared" ca="1" si="299"/>
        <v>#N/A</v>
      </c>
      <c r="IS75" s="217" t="e">
        <f ca="1">Control!$C$159*MAX(0,$FD75-$EN75)</f>
        <v>#N/A</v>
      </c>
      <c r="IT75" s="217" t="e">
        <f t="shared" ca="1" si="449"/>
        <v>#N/A</v>
      </c>
      <c r="IU75" s="217" t="e">
        <f t="shared" ca="1" si="413"/>
        <v>#N/A</v>
      </c>
      <c r="IV75" s="217" t="e">
        <f t="shared" ca="1" si="450"/>
        <v>#N/A</v>
      </c>
      <c r="IW75" s="217" t="e">
        <f ca="1">IF(OR($AW75=1,AND($AW75=0, Control!$B$18=1,$EN75&lt;&gt;0)), $IQ75-$IU75, $IQ75)</f>
        <v>#N/A</v>
      </c>
      <c r="IX75" s="218" t="e">
        <f t="shared" ca="1" si="300"/>
        <v>#N/A</v>
      </c>
      <c r="IY75" s="218" t="e">
        <f ca="1">MAX(0,$IQ75-$EB75*Control!$C$159)</f>
        <v>#N/A</v>
      </c>
      <c r="IZ75" s="218" t="e">
        <f t="shared" ca="1" si="301"/>
        <v>#N/A</v>
      </c>
      <c r="JA75" s="216" t="e">
        <f t="shared" ca="1" si="302"/>
        <v>#N/A</v>
      </c>
      <c r="JB75" s="217" t="e">
        <f t="shared" ca="1" si="303"/>
        <v>#N/A</v>
      </c>
      <c r="JC75" s="222" t="e">
        <f ca="1">MAX(Control!$C$157*$EK75-$JT75, 0)/Control!$C$162</f>
        <v>#N/A</v>
      </c>
      <c r="JD75" s="218" t="e">
        <f t="shared" ca="1" si="304"/>
        <v>#N/A</v>
      </c>
      <c r="JE75" s="218" t="e">
        <f t="shared" ca="1" si="305"/>
        <v>#N/A</v>
      </c>
      <c r="JF75" s="218" t="e">
        <f t="shared" ca="1" si="414"/>
        <v>#N/A</v>
      </c>
      <c r="JG75" s="218" t="e">
        <f t="shared" ca="1" si="306"/>
        <v>#N/A</v>
      </c>
      <c r="JH75" s="217" t="e">
        <f t="shared" ca="1" si="415"/>
        <v>#N/A</v>
      </c>
      <c r="JI75" s="217" t="e">
        <f t="shared" ca="1" si="416"/>
        <v>#N/A</v>
      </c>
      <c r="JJ75" s="217" t="e">
        <f t="shared" ca="1" si="451"/>
        <v>#N/A</v>
      </c>
      <c r="JK75" s="217" t="e">
        <f ca="1">IF(Control!$C$114=1,IF(Control!$B$24=0,MAX(0,$JI75)*$GN75/Control!$C$64,(MAX(0,MIN($JI75,$JJ75*$GN75/Control!$C$64),0))))</f>
        <v>#N/A</v>
      </c>
      <c r="JL75" s="217" t="e">
        <f ca="1">$IK75/Control!$C$64-$JK75+$HQ75</f>
        <v>#N/A</v>
      </c>
      <c r="JM75" s="217" t="e">
        <f ca="1">IF(Control!$C$114=1,($JB75/(IF($JI75&lt;&gt;0,$JI75,1)))*$JK75,0)</f>
        <v>#N/A</v>
      </c>
      <c r="JN75" s="217" t="e">
        <f ca="1">IF(Control!$C$114=1,($JG75/(IF($JI75&lt;&gt;0,$JI75,1)))*$JK75, 0)</f>
        <v>#N/A</v>
      </c>
      <c r="JO75" s="218" t="e">
        <f t="shared" ca="1" si="307"/>
        <v>#N/A</v>
      </c>
      <c r="JP75" s="218" t="e">
        <f ca="1">MIN(($IY75+$IO75)*Control!$C$151, $JF75-$EH75*Control!$C$161)</f>
        <v>#N/A</v>
      </c>
      <c r="JQ75" s="218" t="e">
        <f t="shared" ca="1" si="308"/>
        <v>#N/A</v>
      </c>
      <c r="JR75" s="217" t="e">
        <f ca="1">IF($CP75-Control!$C$150&lt;0, 0, $JQ75/Control!$C$162)</f>
        <v>#N/A</v>
      </c>
      <c r="JS75" s="218" t="e">
        <f t="shared" ca="1" si="309"/>
        <v>#N/A</v>
      </c>
      <c r="JT75" s="218" t="e">
        <f t="shared" ca="1" si="417"/>
        <v>#N/A</v>
      </c>
      <c r="JU75" s="218" t="e">
        <f t="shared" ca="1" si="310"/>
        <v>#N/A</v>
      </c>
      <c r="JV75" s="218" t="e">
        <f t="shared" ca="1" si="311"/>
        <v>#N/A</v>
      </c>
      <c r="JW75" s="216" t="e">
        <f t="shared" ca="1" si="312"/>
        <v>#N/A</v>
      </c>
      <c r="JX75" s="91" t="e">
        <f t="shared" ca="1" si="313"/>
        <v>#N/A</v>
      </c>
      <c r="JY75" s="218" t="e">
        <f t="shared" ca="1" si="314"/>
        <v>#N/A</v>
      </c>
      <c r="JZ75" s="217" t="e">
        <f ca="1">IF(Control!$C$114=1,($IZ75/(IF($JI75&lt;&gt;0,$JI75,1)))*$JK75, 0)</f>
        <v>#N/A</v>
      </c>
      <c r="KA75" s="218" t="e">
        <f t="shared" ca="1" si="452"/>
        <v>#N/A</v>
      </c>
      <c r="KB75" s="218" t="e">
        <f t="shared" ca="1" si="418"/>
        <v>#N/A</v>
      </c>
      <c r="KC75" s="218" t="e">
        <f t="shared" ca="1" si="315"/>
        <v>#N/A</v>
      </c>
      <c r="KD75" s="218" t="e">
        <f t="shared" ca="1" si="316"/>
        <v>#N/A</v>
      </c>
      <c r="KE75" s="218" t="e">
        <f t="shared" ca="1" si="317"/>
        <v>#N/A</v>
      </c>
      <c r="KF75" s="218" t="e">
        <f t="shared" ca="1" si="318"/>
        <v>#N/A</v>
      </c>
      <c r="KG75" s="216" t="e">
        <f t="shared" ca="1" si="319"/>
        <v>#N/A</v>
      </c>
      <c r="KH75" s="221" t="e">
        <f ca="1">IF(Control!$B$24=0,1,MAX(0.001,MIN(1,IF(($IF75-$IE75)&lt;&gt;0,($KG75-$IE75)/($IF75-$IE75),1))))</f>
        <v>#N/A</v>
      </c>
      <c r="KI75" s="222" t="e">
        <f ca="1">IF(Control!$C$114=1, $KI74+ $KH74, 0)</f>
        <v>#N/A</v>
      </c>
      <c r="KJ75" s="217" t="e">
        <f t="shared" ca="1" si="320"/>
        <v>#N/A</v>
      </c>
      <c r="KK75" s="218" t="e">
        <f t="shared" ca="1" si="321"/>
        <v>#N/A</v>
      </c>
      <c r="KL75" s="274" t="e">
        <f ca="1">IF(Control!$B$26=3,4000000000*EXP(-8400/($G75+273)),IF(Control!$B$26=4,4000000000*EXP(-8400/($G75+273))*($KT75),0))</f>
        <v>#DIV/0!</v>
      </c>
      <c r="KM75" s="274" t="e">
        <f ca="1">IF(Control!$B$26=3,5600000000000*EXP(-9800/($G75+273)),IF(Control!$B$26=4,5600000000000*EXP(-9800/($G75+273))*$KT75,0))</f>
        <v>#DIV/0!</v>
      </c>
      <c r="KN75" s="454" t="e">
        <f t="shared" ca="1" si="419"/>
        <v>#DIV/0!</v>
      </c>
      <c r="KO75" s="274" t="e">
        <f t="shared" ca="1" si="420"/>
        <v>#DIV/0!</v>
      </c>
      <c r="KP75" s="454" t="e">
        <f t="shared" ca="1" si="322"/>
        <v>#DIV/0!</v>
      </c>
      <c r="KQ75" s="454" t="e">
        <f t="shared" ca="1" si="323"/>
        <v>#DIV/0!</v>
      </c>
      <c r="KR75" s="454" t="e">
        <f t="shared" ca="1" si="324"/>
        <v>#DIV/0!</v>
      </c>
      <c r="KS75" s="454" t="e">
        <f t="shared" ca="1" si="325"/>
        <v>#DIV/0!</v>
      </c>
      <c r="KT75" s="455" t="e">
        <f t="shared" ca="1" si="326"/>
        <v>#DIV/0!</v>
      </c>
      <c r="KU75" s="456" t="e">
        <f ca="1">IF($CP75-Control!$C$149&lt;0, IF($NT75-0.01&lt;0,0,1),0)</f>
        <v>#N/A</v>
      </c>
      <c r="KV75" s="456" t="e">
        <f ca="1">IF(Control!$C$114=1,MAX(0,MIN(Control!$C$125*$KW75*$GN75,$KW75)))</f>
        <v>#DIV/0!</v>
      </c>
      <c r="KW75" s="456" t="e">
        <f t="shared" ca="1" si="453"/>
        <v>#DIV/0!</v>
      </c>
      <c r="KX75" s="457" t="e">
        <f ca="1">IF($CP75-Control!$C$149&lt;0, IF($MR75-$OM75&lt;0,0,1),0)</f>
        <v>#N/A</v>
      </c>
      <c r="KY75" s="167">
        <f t="shared" ca="1" si="421"/>
        <v>71</v>
      </c>
      <c r="KZ75" s="168">
        <f ca="1">1370*(1+0.033*COS(2*Control!$C$138*$AH75/365))</f>
        <v>1385.442293032688</v>
      </c>
      <c r="LA75" s="169">
        <f t="shared" ca="1" si="422"/>
        <v>1.0112718353825392</v>
      </c>
      <c r="LB75" s="169">
        <f t="shared" ca="1" si="423"/>
        <v>-6.8305097181690172E-2</v>
      </c>
      <c r="LC75" s="169">
        <f ca="1">ACOS(-TAN((2*Control!$B$8/360))*TAN(Calculations!$LB75))</f>
        <v>1.5504628066375159</v>
      </c>
      <c r="LD75" s="169">
        <f ca="1">((24*60)/PI())*0.082*$LA75*(($LC75*SIN(Control!$B$8*2*PI()/360))*SIN($LB75)+COS(Control!$B$8*2*PI()/360)*COS($LB75)*SIN($LC75))</f>
        <v>20.172118890183576</v>
      </c>
      <c r="LE75" s="170">
        <f t="shared" ca="1" si="327"/>
        <v>20.200153826421818</v>
      </c>
      <c r="LF75" s="170">
        <f ca="1">SIN(Control!$C$139*Control!$B$8)*SIN($HD75)</f>
        <v>-5.5043740168754587E-2</v>
      </c>
      <c r="LG75" s="170">
        <f ca="1">COS(Control!$C$139*Control!$B$8)*COS($HD75)</f>
        <v>0.6141559974168308</v>
      </c>
      <c r="LH75" s="170">
        <f ca="1">12*(1+2*ASIN(MAX(-1,MIN(1,$LF75/$LG75))/Control!$C$138))</f>
        <v>11.315224016973884</v>
      </c>
      <c r="LI75" s="170">
        <f ca="1">12*(1+2*ASIN(MAX(-1,MIN(1,(-SIN(-4*Control!$C$139)+$LF75)/$LG75))/Control!$C$138))</f>
        <v>12.183013886181094</v>
      </c>
      <c r="LJ75" s="168">
        <f ca="1">3600*($LH75*$LF75+24*$LG75*SQRT(1-$LK75*$LK75)/Control!$C$138)</f>
        <v>14580.292465451117</v>
      </c>
      <c r="LK75" s="170">
        <f t="shared" ca="1" si="328"/>
        <v>-8.962501449187367E-2</v>
      </c>
      <c r="LL75" s="170">
        <f t="shared" ca="1" si="329"/>
        <v>0</v>
      </c>
      <c r="LM75" s="171">
        <f ca="1">Control!$C$145*$AB75</f>
        <v>6.6660906138995932E-2</v>
      </c>
      <c r="LN75" s="170">
        <f t="shared" ca="1" si="424"/>
        <v>0.54</v>
      </c>
      <c r="LO75" s="170">
        <f t="shared" ca="1" si="330"/>
        <v>0</v>
      </c>
      <c r="LP75" s="170">
        <f ca="1">Control!$C$140*((($D75+273.16)^4+($E75+273.16)^4)/2)*(0.34-0.14*SQRT($Y75))*(1.35*$AQ75/(0.75*$LD75)-0.35)</f>
        <v>-3.2464704755046001</v>
      </c>
      <c r="LQ75" s="170">
        <f ca="1">Control!$C$140*($G75+273)^4*(0.56-0.079*SQRT($Y75*10))*(0.1+0.9*$LO75)</f>
        <v>1.5241745131704001</v>
      </c>
      <c r="LR75" s="170">
        <f ca="1">$AQ75*(1-Control!$C$142)-$LQ75</f>
        <v>-1.5241745131704001</v>
      </c>
      <c r="LS75" s="170">
        <f ca="1">$AQ75*(1-Control!$C$143)-$LQ75</f>
        <v>-1.5241745131704001</v>
      </c>
      <c r="LT75" s="170">
        <f ca="1">$AQ75*(1-Control!$C$144)-$LQ75</f>
        <v>-1.5241745131704001</v>
      </c>
      <c r="LU75" s="169">
        <f ca="1">(1-Control!$C$144)*AQ75-LP75</f>
        <v>3.2464704755046001</v>
      </c>
      <c r="LV75" s="172">
        <f t="shared" ca="1" si="331"/>
        <v>0.79430000000000012</v>
      </c>
      <c r="LW75" s="170">
        <f t="shared" ca="1" si="332"/>
        <v>1.5886000000000002</v>
      </c>
      <c r="LX75" s="170">
        <f ca="1">($AC75*($LR75/Control!$C$141)+$LM75*$LV75)/($AC75+$LM75)</f>
        <v>0.23530094218323697</v>
      </c>
      <c r="LY75" s="170">
        <f ca="1">($AC75*($LS75/Control!$C$141)+$LM75*$LV75)/($AC75+$LM75)</f>
        <v>0.23530094218323697</v>
      </c>
      <c r="LZ75" s="170">
        <f t="shared" ca="1" si="333"/>
        <v>0.23530094218323697</v>
      </c>
      <c r="MA75" s="170">
        <f t="shared" ca="1" si="334"/>
        <v>0.23530094218323697</v>
      </c>
      <c r="MB75" s="170" t="e">
        <f t="shared" ca="1" si="335"/>
        <v>#N/A</v>
      </c>
      <c r="MC75" s="170">
        <f t="shared" ca="1" si="425"/>
        <v>0.6018</v>
      </c>
      <c r="MD75" s="170">
        <f t="shared" ca="1" si="336"/>
        <v>0.52989392535414004</v>
      </c>
      <c r="ME75" s="170">
        <f ca="1">($AC75*($LT75/Control!$C$141)+$LM75*$LW75)/($AC75+$LM75)</f>
        <v>0.71612369323045078</v>
      </c>
      <c r="MF75" s="170" t="e">
        <f ca="1">IF(Control!$B$16&gt;=1000,0.92,IF(AND(720&lt;=Control!$B$16,1000&gt;Control!$B$16),(0.95+(Control!$B$16-720)*((0.92-0.95)/(1000-720))),IF(AND(360&lt;=Control!$B$16,720&gt;Control!$B$16),(1+(Control!$B$16-360)*((0.95-1)/(720-360))),IF(AND(40&lt;=Control!$B$16,360&gt;Control!$B$16),(1.05+(Control!$B$16-40)*((1.05-1)/(360-40)))))))</f>
        <v>#N/A</v>
      </c>
      <c r="MG75" s="170">
        <f t="shared" ca="1" si="337"/>
        <v>0.71612369323045078</v>
      </c>
      <c r="MH75" s="170" t="e">
        <f t="shared" ca="1" si="233"/>
        <v>#N/A</v>
      </c>
      <c r="MI75" s="170" t="e">
        <f t="shared" ca="1" si="233"/>
        <v>#N/A</v>
      </c>
      <c r="MJ75" s="170" t="e">
        <f ca="1">MAX(0.0001, Control!$C$132*$MI75*$DL75)</f>
        <v>#N/A</v>
      </c>
      <c r="MK75" s="170">
        <f ca="1">1/(0.76+1.5*($MG75/10))-(5-Control!$C$110)*0.1</f>
        <v>1.002845988140797</v>
      </c>
      <c r="ML75" s="173">
        <f ca="1">IF(Control!$C$110&lt;3,$MK75+($MG75-0.6)/(Control!$C$110*(Control!$C$110+3)), MAX(0.1, MIN(0.95,$MK75)))</f>
        <v>0.95</v>
      </c>
      <c r="MM75" s="173">
        <f ca="1">IF(Control!$C$110&lt;3,$MK75+(($MI75/10)-0.6)/(Control!$C$110*(Control!$C$110+3)), MAX(0.1, MIN(0.95,$MK75)))</f>
        <v>0.95</v>
      </c>
      <c r="MN75" s="173">
        <f ca="1">(1-$MM75)*(Control!$C$128-Control!$C$127)+Control!$C$127</f>
        <v>0.16</v>
      </c>
      <c r="MO75" s="170" t="e">
        <f ca="1">MAX(0,MIN(1,($MS75-Control!$C$127)/($MN75-Control!$C$127)))</f>
        <v>#DIV/0!</v>
      </c>
      <c r="MP75" s="173" t="e">
        <f ca="1">1/(0.76+1.5*$MI75)-(5-Control!$C$110)*0.1</f>
        <v>#N/A</v>
      </c>
      <c r="MQ75" s="172" t="e">
        <f t="shared" ca="1" si="454"/>
        <v>#DIV/0!</v>
      </c>
      <c r="MR75" s="168" t="e">
        <f t="shared" ca="1" si="426"/>
        <v>#DIV/0!</v>
      </c>
      <c r="MS75" s="173" t="e">
        <f ca="1">MAX(Control!$C$127, MIN(Control!$C$135, $MR75/MAX(0.0001,$CY75)))</f>
        <v>#DIV/0!</v>
      </c>
      <c r="MT75" s="168" t="e">
        <f ca="1">(Control!$C$128-$MS75)*Control!$C$74</f>
        <v>#DIV/0!</v>
      </c>
      <c r="MU75" s="168" t="e">
        <f ca="1">(Control!$C$135-$MS75)*Control!$C$74</f>
        <v>#DIV/0!</v>
      </c>
      <c r="MV75" s="168" t="e">
        <f t="shared" ca="1" si="427"/>
        <v>#DIV/0!</v>
      </c>
      <c r="MW75" s="168" t="e">
        <f t="shared" ca="1" si="428"/>
        <v>#DIV/0!</v>
      </c>
      <c r="MX75" s="171" t="e">
        <f ca="1">MAX(Control!$C$127, MIN(Control!$C$135, $MW75/MAX(0.0001,Control!$C$119-$CY75)))</f>
        <v>#DIV/0!</v>
      </c>
      <c r="MY75" s="54" t="e">
        <f ca="1">IF(Control!$C$114=1, $CX75*$MX75, 0)</f>
        <v>#DIV/0!</v>
      </c>
      <c r="MZ75" s="54" t="e">
        <f t="shared" ca="1" si="429"/>
        <v>#N/A</v>
      </c>
      <c r="NA75" s="168" t="e">
        <f ca="1">(Control!$C$128-$MX75)*(Control!$C$119-Control!$C$74)</f>
        <v>#DIV/0!</v>
      </c>
      <c r="NB75" s="168" t="e">
        <f ca="1">(Control!$C$135-$MX75)*(Control!$C$119-Control!$C$74)</f>
        <v>#DIV/0!</v>
      </c>
      <c r="NC75" s="174" t="e">
        <f t="shared" ca="1" si="430"/>
        <v>#DIV/0!</v>
      </c>
      <c r="ND75" s="54">
        <f ca="1">IF(Control!$C$58=2, IF(OR(Control!$B$218=$AH75,Control!$B$219=$AH75, Control!$B$220=$AH75, Control!$B$221=$AH75, Control!$B$222=$AH75, Control!$B$223=$AH75, Control!$B$224=$AH75, Control!$B$225=$AH75, Control!$B$226=$AH75, Control!$B$227=$AH75, Control!$B$228=$AH75), 1, 0), 0)</f>
        <v>0</v>
      </c>
      <c r="NE75" s="54">
        <f ca="1">IF($ND75=0,0, VLOOKUP($AH75,Control!$B$218:$C$228,2))</f>
        <v>0</v>
      </c>
      <c r="NF75" s="168" t="e">
        <f ca="1">$CY75*(Control!$C$128-Control!$C$127)</f>
        <v>#N/A</v>
      </c>
      <c r="NG75" s="54" t="e">
        <f ca="1">IF(Control!$C$58=2, $NI74-$NJ74, 0)</f>
        <v>#DIV/0!</v>
      </c>
      <c r="NH75" s="54" t="e">
        <f ca="1">IF(AND(Control!$C$58=1, $MS74&lt;= ($MN74+0.02), $I74&lt;10), 0, IF(Control!$C$58=2, $NG74, 0))</f>
        <v>#DIV/0!</v>
      </c>
      <c r="NI75" s="54" t="e">
        <f ca="1">IF(Control!$C$58=2, $NE75+$NH75,0)</f>
        <v>#DIV/0!</v>
      </c>
      <c r="NJ75" s="54" t="e">
        <f ca="1">IF(AND(Control!$C$58=1, $MS75&lt;= ($MN75+0.02), $I75&lt;10), MAX(0, MIN(10, 0.7*($NF75-$MV75))), IF(Control!$C$58=2, MIN(10,$NI75),0))</f>
        <v>#DIV/0!</v>
      </c>
      <c r="NK75" s="54" t="e">
        <f t="shared" ca="1" si="338"/>
        <v>#DIV/0!</v>
      </c>
      <c r="NL75" s="173" t="e">
        <f ca="1">(1-Control!$C$73)*$I75+$NJ75</f>
        <v>#DIV/0!</v>
      </c>
      <c r="NM75" s="172" t="e">
        <f ca="1">IF($NL75&lt;0.5, $MB75* MAX(0, MIN(1, (SQRT($NC75)-SQRT($NC75-1))*Control!$C$71)),0)</f>
        <v>#DIV/0!</v>
      </c>
      <c r="NN75" s="170" t="e">
        <f ca="1">IF($NL75&gt;=5, $MB75, MAX(0,MIN($MB75, $NM75+$NL75,($MS75-Control!$C$129))))</f>
        <v>#DIV/0!</v>
      </c>
      <c r="NO75" s="54">
        <f>IF(Control!$C$133&lt;&gt;1, Control!$C$135-Control!$C$131, 0)</f>
        <v>0.38</v>
      </c>
      <c r="NP75" s="54" t="e">
        <f t="shared" ca="1" si="339"/>
        <v>#DIV/0!</v>
      </c>
      <c r="NQ75" s="173" t="e">
        <f ca="1">MAX(0,MIN(1,(Control!$C$135-$MS75)/(Control!$C$135-$NO75)))</f>
        <v>#DIV/0!</v>
      </c>
      <c r="NR75" s="170" t="e">
        <f ca="1">IF(Control!$C$133&lt;&gt;1, $NQ75+((1-$NP75/4)*(1-$NQ75)),1)</f>
        <v>#DIV/0!</v>
      </c>
      <c r="NS75" s="170" t="e">
        <f ca="1">IF(Control!$B$31=0,$MJ75,MAX(0,MIN($MV75,$MO75*$NR75*$MJ75)))</f>
        <v>#DIV/0!</v>
      </c>
      <c r="NT75" s="170" t="e">
        <f t="shared" ca="1" si="455"/>
        <v>#DIV/0!</v>
      </c>
      <c r="NU75" s="170" t="e">
        <f t="shared" ca="1" si="431"/>
        <v>#N/A</v>
      </c>
      <c r="NV75" s="170" t="e">
        <f t="shared" ca="1" si="340"/>
        <v>#N/A</v>
      </c>
      <c r="NW75" s="175" t="e">
        <f t="shared" ca="1" si="341"/>
        <v>#DIV/0!</v>
      </c>
      <c r="NX75" s="170" t="e">
        <f ca="1">MIN(Control!$C$72+$MU75, $NW75)</f>
        <v>#DIV/0!</v>
      </c>
      <c r="NY75" s="170" t="e">
        <f ca="1">IF($MT75&lt;=$NX75,MIN(Control!$C$72+$NB75,$NX75-$MT75),0)</f>
        <v>#DIV/0!</v>
      </c>
      <c r="NZ75" s="54" t="e">
        <f ca="1">IF(Control!$C$114=1,  $CX75*($MX75-Control!$C$127), 0)</f>
        <v>#DIV/0!</v>
      </c>
      <c r="OA75" s="170" t="e">
        <f t="shared" ca="1" si="342"/>
        <v>#DIV/0!</v>
      </c>
      <c r="OB75" s="170" t="e">
        <f ca="1">IF($NA75 &lt;=$NY75, MIN(Control!$C$72, $NY75-$NA75), 0)</f>
        <v>#DIV/0!</v>
      </c>
      <c r="OC75" s="168" t="e">
        <f t="shared" ca="1" si="343"/>
        <v>#DIV/0!</v>
      </c>
      <c r="OD75" s="168" t="e">
        <f t="shared" ca="1" si="432"/>
        <v>#DIV/0!</v>
      </c>
      <c r="OE75" s="170">
        <f ca="1">Control!$C$73*$I75</f>
        <v>0</v>
      </c>
      <c r="OF75" s="176" t="e">
        <f t="shared" ca="1" si="344"/>
        <v>#DIV/0!</v>
      </c>
      <c r="OG75" s="168" t="e">
        <f t="shared" ca="1" si="345"/>
        <v>#DIV/0!</v>
      </c>
      <c r="OH75" s="168" t="e">
        <f t="shared" ca="1" si="346"/>
        <v>#DIV/0!</v>
      </c>
      <c r="OI75" s="168" t="e">
        <f t="shared" ca="1" si="347"/>
        <v>#DIV/0!</v>
      </c>
      <c r="OJ75" s="168" t="e">
        <f t="shared" ca="1" si="348"/>
        <v>#DIV/0!</v>
      </c>
      <c r="OK75" s="204" t="e">
        <f t="shared" ca="1" si="349"/>
        <v>#DIV/0!</v>
      </c>
      <c r="OL75" s="177">
        <f>Control!$C$127</f>
        <v>0.15</v>
      </c>
      <c r="OM75" s="182" t="e">
        <f t="shared" ca="1" si="350"/>
        <v>#N/A</v>
      </c>
      <c r="ON75" s="177">
        <f>Control!$C$128</f>
        <v>0.35</v>
      </c>
      <c r="OO75" s="182" t="e">
        <f t="shared" ca="1" si="351"/>
        <v>#N/A</v>
      </c>
      <c r="OP75" s="138">
        <f t="shared" ca="1" si="433"/>
        <v>0</v>
      </c>
      <c r="OQ75" s="138" t="e">
        <f t="shared" ca="1" si="456"/>
        <v>#DIV/0!</v>
      </c>
      <c r="OR75" s="138" t="e">
        <f t="shared" ca="1" si="434"/>
        <v>#DIV/0!</v>
      </c>
      <c r="OS75" s="137" t="e">
        <f t="shared" ca="1" si="457"/>
        <v>#DIV/0!</v>
      </c>
      <c r="OT75" s="139" t="e">
        <f t="shared" ca="1" si="458"/>
        <v>#DIV/0!</v>
      </c>
      <c r="OU75" s="138" t="e">
        <f t="shared" ca="1" si="459"/>
        <v>#N/A</v>
      </c>
      <c r="OV75" s="138" t="e">
        <f t="shared" ca="1" si="460"/>
        <v>#DIV/0!</v>
      </c>
      <c r="OW75" s="138" t="e">
        <f t="shared" ca="1" si="435"/>
        <v>#DIV/0!</v>
      </c>
      <c r="OX75" s="138" t="e">
        <f t="shared" ca="1" si="436"/>
        <v>#DIV/0!</v>
      </c>
      <c r="OY75" s="138" t="e">
        <f t="shared" ca="1" si="437"/>
        <v>#DIV/0!</v>
      </c>
      <c r="OZ75" s="138" t="e">
        <f t="shared" ca="1" si="352"/>
        <v>#DIV/0!</v>
      </c>
      <c r="PA75" s="138" t="e">
        <f t="shared" ca="1" si="353"/>
        <v>#DIV/0!</v>
      </c>
      <c r="PB75" s="55">
        <f>IF(Control!$C$61="T", IF(Control!$C$65="F", IF($AH$6-Control!$C$60&lt;0,0,1), IF(365+$AH$6-Control!$C$60&lt;0,0,1)),0)</f>
        <v>0</v>
      </c>
      <c r="PC75" s="55">
        <f ca="1">IF(Control!$C$65="F", IF($AH$6-$HF75&lt;0,0,1), IF(365+$AH$6-$HF75&lt;0,0,1))</f>
        <v>1</v>
      </c>
      <c r="PD75" s="444">
        <f>Control!$C$118</f>
        <v>1500</v>
      </c>
      <c r="PE75" s="180" t="e">
        <f t="shared" ca="1" si="354"/>
        <v>#N/A</v>
      </c>
      <c r="PF75" s="445">
        <f t="shared" ca="1" si="438"/>
        <v>0.71612369323045078</v>
      </c>
      <c r="PT75" s="186"/>
      <c r="PU75" s="186"/>
      <c r="PV75" s="94"/>
      <c r="PW75" s="94"/>
      <c r="PX75" s="94"/>
      <c r="PY75" s="94"/>
      <c r="PZ75" s="94"/>
      <c r="QA75" s="94"/>
      <c r="QB75" s="94"/>
      <c r="QC75" s="94"/>
      <c r="QD75" s="94"/>
      <c r="QE75" s="94"/>
      <c r="QF75" s="94"/>
      <c r="QG75" s="94"/>
      <c r="QH75" s="94"/>
      <c r="QI75" s="94"/>
      <c r="QJ75" s="94"/>
      <c r="QK75" s="94"/>
      <c r="QL75" s="94"/>
      <c r="QM75" s="94"/>
      <c r="QN75" s="94"/>
      <c r="QO75" s="94"/>
      <c r="QP75" s="94"/>
    </row>
    <row r="76" spans="1:458" s="2" customFormat="1" x14ac:dyDescent="0.2">
      <c r="A76" s="395">
        <v>12</v>
      </c>
      <c r="B76" s="396">
        <v>3</v>
      </c>
      <c r="C76" s="387">
        <f ca="1">Weather_data!$B75</f>
        <v>0</v>
      </c>
      <c r="D76" s="388">
        <f ca="1">Weather_data!$F75</f>
        <v>0</v>
      </c>
      <c r="E76" s="388">
        <f ca="1">Weather_data!$E75</f>
        <v>0</v>
      </c>
      <c r="F76" s="388">
        <f t="shared" ca="1" si="355"/>
        <v>0</v>
      </c>
      <c r="G76" s="388">
        <f ca="1">AVERAGE($D76:$E76)+Control!$B$9</f>
        <v>0</v>
      </c>
      <c r="H76" s="388">
        <f ca="1">Weather_data!$G75</f>
        <v>0</v>
      </c>
      <c r="I76" s="388">
        <f ca="1">Weather_data!$I75</f>
        <v>0</v>
      </c>
      <c r="J76" s="388">
        <f ca="1">Weather_data!$H75</f>
        <v>0</v>
      </c>
      <c r="K76" s="389">
        <f ca="1">Weather_data!$D75</f>
        <v>0</v>
      </c>
      <c r="L76" s="388" t="e">
        <f t="shared" ca="1" si="356"/>
        <v>#N/A</v>
      </c>
      <c r="M76" s="388" t="e">
        <f t="shared" ca="1" si="234"/>
        <v>#N/A</v>
      </c>
      <c r="N76" s="388">
        <f t="shared" ca="1" si="235"/>
        <v>-3.132893741088985E-4</v>
      </c>
      <c r="O76" s="388">
        <f t="shared" ca="1" si="357"/>
        <v>3.1328937410889852E-3</v>
      </c>
      <c r="P76" s="390">
        <v>3</v>
      </c>
      <c r="Q76" s="388">
        <f ca="1">MAX($G76-Control!$C$107,0)</f>
        <v>0</v>
      </c>
      <c r="R76" s="388">
        <f t="shared" ca="1" si="358"/>
        <v>0</v>
      </c>
      <c r="S76" s="388">
        <f t="shared" ca="1" si="236"/>
        <v>0</v>
      </c>
      <c r="T76" s="388">
        <f t="shared" ca="1" si="237"/>
        <v>0</v>
      </c>
      <c r="U76" s="59">
        <f t="shared" ca="1" si="238"/>
        <v>0</v>
      </c>
      <c r="V76" s="391">
        <f ca="1">MAX(0,MIN(Control!$C$100-Control!$C$99,$G76-Control!$C$99)*Control!$C$63)</f>
        <v>0</v>
      </c>
      <c r="W76" s="388">
        <f t="shared" ca="1" si="359"/>
        <v>0</v>
      </c>
      <c r="X76" s="388">
        <f t="shared" ca="1" si="360"/>
        <v>0.6110000000000001</v>
      </c>
      <c r="Y76" s="388">
        <f t="shared" ca="1" si="239"/>
        <v>0</v>
      </c>
      <c r="Z76" s="388">
        <f t="shared" ca="1" si="361"/>
        <v>0.61058800000000002</v>
      </c>
      <c r="AA76" s="388">
        <f t="shared" ca="1" si="240"/>
        <v>0.6018</v>
      </c>
      <c r="AB76" s="388">
        <f ca="1">101.3*EXP(-0.034*Control!$C$66/($G76+273))</f>
        <v>100.69623283836242</v>
      </c>
      <c r="AC76" s="392">
        <f t="shared" ca="1" si="241"/>
        <v>4.3460251046025113E-2</v>
      </c>
      <c r="AD76" s="392">
        <f t="shared" ca="1" si="242"/>
        <v>4.4450382862832649E-2</v>
      </c>
      <c r="AE76" s="388">
        <f t="shared" ca="1" si="243"/>
        <v>0</v>
      </c>
      <c r="AF76" s="388">
        <f ca="1">MAX(0,$G76-Control!$C$92)</f>
        <v>0</v>
      </c>
      <c r="AG76" s="393">
        <f t="shared" ca="1" si="244"/>
        <v>72</v>
      </c>
      <c r="AH76" s="389">
        <f t="shared" ca="1" si="245"/>
        <v>72</v>
      </c>
      <c r="AI76" s="388">
        <f t="shared" ca="1" si="362"/>
        <v>-6.3139275689250152E-2</v>
      </c>
      <c r="AJ76" s="388">
        <f ca="1">IF(Control!$C$60&lt;=0,$HH76,$HI76)</f>
        <v>1</v>
      </c>
      <c r="AK76" s="388">
        <f t="shared" ca="1" si="246"/>
        <v>-0.13771365056831969</v>
      </c>
      <c r="AL76" s="388">
        <f t="shared" ca="1" si="247"/>
        <v>1.8034185256254886E-19</v>
      </c>
      <c r="AM76" s="388">
        <f t="shared" ca="1" si="248"/>
        <v>-0.13771365056831969</v>
      </c>
      <c r="AN76" s="388">
        <f t="shared" ca="1" si="249"/>
        <v>-5.4636674748992795E-2</v>
      </c>
      <c r="AO76" s="388">
        <f ca="1">-0.10453/COS(Control!$B$8*PI()/180)*COS(AN76)</f>
        <v>-0.16953150924395052</v>
      </c>
      <c r="AP76" s="388">
        <f ca="1">ACOS(AO76-TAN(Control!$B$8*PI()/180)*TAN(AN76))</f>
        <v>1.6704914772308379</v>
      </c>
      <c r="AQ76" s="388">
        <f t="shared" ca="1" si="363"/>
        <v>0</v>
      </c>
      <c r="AR76" s="394">
        <f t="shared" ca="1" si="250"/>
        <v>0</v>
      </c>
      <c r="AS76" s="436">
        <f ca="1">IF(Control!$B$18=2,(IF(OR($AH76=Control!$B$175,$AH76=Control!$B$176,$AH76=Control!$B$177,$AH76=Control!$B$178,$AH76=Control!$B$179,$AH76=Control!$B$180,$AH76=Control!$B$181,$AH76=Control!$B$182,$AH76=Control!$B$183,$AH76=Control!$B$184,$AH76=Control!$B$185),1,0)),0)</f>
        <v>0</v>
      </c>
      <c r="AT76" s="436">
        <f>IF(Control!$B$20=8,IF(AND($AH76&gt;=Control!$B$172,$AH76&lt;=Control!$B$173),1,0),0)</f>
        <v>0</v>
      </c>
      <c r="AU76" s="436">
        <f>IF(Control!$B$20=8,IF($AV75=1,1*$AT76,IF($AT76=1,$AU75+1,$AU75)),0)</f>
        <v>0</v>
      </c>
      <c r="AV76" s="436">
        <f>IF(Control!$B$20=8,IF($AU76&gt;=Control!$B$174,1,0),0)</f>
        <v>0</v>
      </c>
      <c r="AW76" s="436">
        <f ca="1">IF(AND(Control!$B$18=2,Control!$B$171=1), $AV76, $AS76)</f>
        <v>0</v>
      </c>
      <c r="AX76" s="436" t="e">
        <f ca="1">IF(AND(Control!$B$18=1,$EU76&gt;=Control!$B$19),-$AY76,IF(AND(Control!$B$18=2,$AW76=1,$EU76&gt;$DS76),-$AY76, IF(Control!$C$108=0,0, IF(Control!$C$108&lt;&gt;0,1))))</f>
        <v>#N/A</v>
      </c>
      <c r="AY76" s="436" t="e">
        <f t="shared" ca="1" si="364"/>
        <v>#N/A</v>
      </c>
      <c r="AZ76" s="436" t="e">
        <f ca="1">IF(AND(Control!$B$18=1,$EB76&gt;Control!$B$19),$AZ75+1, IF(AND(Control!$B$18=2, $AW76=1, $EB76&gt;$DS76), $AZ75+1,$AZ75))</f>
        <v>#N/A</v>
      </c>
      <c r="BA76" s="587">
        <f>IF(Control!$C$81=0,1,IF($AH76&gt;=Control!$C$82,1,0))</f>
        <v>1</v>
      </c>
      <c r="BB76" s="140" t="e">
        <f ca="1">IF($BA76&gt;$BA75,Control!$C$83,IF($AW76&gt;0,$AW76*Control!$C$84,IF(AND(Control!$B$18=1,EN75&lt;&gt;0),Control!$C$84,0)))</f>
        <v>#N/A</v>
      </c>
      <c r="BC76" s="140" t="e">
        <f t="shared" ca="1" si="365"/>
        <v>#N/A</v>
      </c>
      <c r="BD76" s="140" t="e">
        <f ca="1">BC76*IF(OR($G76&lt;Control!$C$92,$G76&gt;Control!$C$95),0,IF(AND($G76&gt;=Control!$C$92,$G76&lt;=Control!$C$93),$G76-Control!$C$92,IF(AND($G76&gt;Control!$C$93,$G76&lt;=Control!$C$94),Control!$C$93-Control!$C$92,IF(AND($G76&gt;Control!$C$94,$G76&lt;=Control!$C$95),(Control!$C$93-Control!$C$92)*(Control!$C$94-$G76)/(Control!$C$95-Control!$C$94)))))</f>
        <v>#N/A</v>
      </c>
      <c r="BE76" s="140" t="e">
        <f t="shared" ca="1" si="366"/>
        <v>#N/A</v>
      </c>
      <c r="BF76" s="140" t="e">
        <f ca="1">IF($BE76&lt;=Control!$C$86,$BE76,Control!$C$86-$BE76)</f>
        <v>#N/A</v>
      </c>
      <c r="BG76" s="140" t="e">
        <f ca="1">IF(AND($AW76=1,Control!$C$84&lt;9),1,IF($BE76&gt;=Control!$C$86,0,$BC76))</f>
        <v>#N/A</v>
      </c>
      <c r="BH76" s="404" t="e">
        <f ca="1">IF($BG76=0,0,IF($BE76&lt;=Control!$C$86,$BC76*9*($BF76/Control!$C$86),0))</f>
        <v>#N/A</v>
      </c>
      <c r="BI76" s="140" t="e">
        <f ca="1">IF($BG76=1,0,IF($BE76&gt;=Control!$C$86,1,IF(AND($BB76&lt;21,$BB76&gt;=9),1,$BM75)))</f>
        <v>#N/A</v>
      </c>
      <c r="BJ76" s="140" t="e">
        <f ca="1">IF($BF76&lt;0,-$BF76,$BI76*IF(OR($G76&lt;Control!$C$92,$G76&gt;Control!$C$95),0,IF(AND($G76&gt;=Control!$C$92,$G76&lt;=Control!$C$93),$G76-Control!$C$92,IF(AND($G76&gt;Control!$C$93,$G76&lt;=Control!$C$94),Control!$C$93-Control!$C$92,IF(AND($G76&gt;Control!$C$94,$G76&lt;=Control!$C$95),(Control!$C$93-Control!$C$92)*(Control!$C$94-$G76)/(Control!$C$95-Control!$C$94))))))</f>
        <v>#N/A</v>
      </c>
      <c r="BK76" s="140" t="e">
        <f t="shared" ca="1" si="367"/>
        <v>#N/A</v>
      </c>
      <c r="BL76" s="140" t="e">
        <f ca="1">IF($BK76&lt;=Control!$C$87,$BK76,Control!$C$87-$BK76)</f>
        <v>#N/A</v>
      </c>
      <c r="BM76" s="140" t="e">
        <f ca="1">IF(AND($BB76&gt;=9,$BB76&lt;21),1,IF($BK76&gt;=Control!$C$87,0,$BI76))</f>
        <v>#N/A</v>
      </c>
      <c r="BN76" s="404" t="e">
        <f ca="1">IF($BM76=0,0,IF($BK76&lt;=Control!$C$87,$BI76*(9+(21-9)*($BL76/Control!$C$87)),0))</f>
        <v>#N/A</v>
      </c>
      <c r="BO76" s="140" t="e">
        <f ca="1">IF($BM76=1,0,IF($BK76&gt;=Control!$C$87,1,IF(AND($BB76&lt;30,$BB76&gt;=21),1,$BS75)))</f>
        <v>#N/A</v>
      </c>
      <c r="BP76" s="140" t="e">
        <f ca="1">IF($BL76&lt;0,-$BL76,$BO76*IF(OR($G76&lt;Control!$C$92,$G76&gt;Control!$C$95),0,IF(AND($G76&gt;=Control!$C$92,$G76&lt;=Control!$C$93),$G76-Control!$C$92,IF(AND($G76&gt;Control!$C$93,$G76&lt;=Control!$C$94),Control!$C$93-Control!$C$92,IF(AND($G76&gt;Control!$C$94,$G76&lt;=Control!$C$95),(Control!$C$93-Control!$C$92)*(Control!$C$94-$G76)/(Control!$C$95-Control!$C$94))))))</f>
        <v>#N/A</v>
      </c>
      <c r="BQ76" s="140" t="e">
        <f t="shared" ca="1" si="251"/>
        <v>#N/A</v>
      </c>
      <c r="BR76" s="140" t="e">
        <f ca="1">IF($BQ76&lt;=Control!$C$88,$BQ76,Control!$C$88-$BQ76)</f>
        <v>#N/A</v>
      </c>
      <c r="BS76" s="140" t="e">
        <f ca="1">IF(AND($BB76&gt;=21,$BB76&lt;30),1,IF($BQ76&gt;=Control!$C$88,0,$BO76))</f>
        <v>#N/A</v>
      </c>
      <c r="BT76" s="404" t="e">
        <f ca="1">IF($BS76=0,0,IF($BQ76&lt;=Control!$C$88,$BO76*(21+(30-21)*(BR76/Control!$C$88)),0))</f>
        <v>#N/A</v>
      </c>
      <c r="BU76" s="140" t="e">
        <f ca="1">IF(BG76+BM76+BS76=1,0,IF(OR(AND($BB76&lt;60,$BB76&gt;=30),$BQ76&gt;=Control!$C$88),1*$BA76,$BY75))</f>
        <v>#N/A</v>
      </c>
      <c r="BV76" s="140" t="e">
        <f ca="1">IF($BR76&lt;0,-$BR76,$BU76*IF(OR($G76&lt;Control!$C$92,$G76&gt;Control!$C$95),0,IF(AND($G76&gt;=Control!$C$92,$G76&lt;=Control!$C$93),$G76-Control!$C$92,IF(AND($G76&gt;Control!$C$93,$G76&lt;=Control!$C$94),Control!$C$93-Control!$C$92,IF(AND($G76&gt;Control!$C$94,$G76&lt;=Control!$C$95),(Control!$C$93-Control!$C$92)*(Control!$C$94-$G76)/(Control!$C$95-Control!$C$94))))))</f>
        <v>#N/A</v>
      </c>
      <c r="BW76" s="140" t="e">
        <f t="shared" ca="1" si="252"/>
        <v>#N/A</v>
      </c>
      <c r="BX76" s="140" t="e">
        <f ca="1">IF($BW76&lt;=Control!$C$89,$BW76,Control!$C$89-$BW76)</f>
        <v>#N/A</v>
      </c>
      <c r="BY76" s="140" t="e">
        <f ca="1">IF(AND($AJ76&gt;=30,$AJ76&lt;60),1,IF($BW76&gt;=Control!$C$89,0,$BU76))</f>
        <v>#N/A</v>
      </c>
      <c r="BZ76" s="404" t="e">
        <f ca="1">IF($BY76=0,0,IF($BW76&lt;=Control!$C$89,$BU76*(30+(60-30)*(BX76/Control!$C$89)),0))</f>
        <v>#N/A</v>
      </c>
      <c r="CA76" s="140" t="e">
        <f ca="1">IF($BG76+$BM76+$BS76+$BY76=1,0,IF(OR(AND($BB76&lt;65,$BB76&gt;=60),$BW76&gt;=Control!$C$89),1*$BA76,$CE75))</f>
        <v>#N/A</v>
      </c>
      <c r="CB76" s="140" t="e">
        <f ca="1">IF($BX76&lt;0,-$BX76,$CA76*IF(OR($G76&lt;Control!$C$92,$G76&gt;Control!$C$95),0,IF(AND($G76&gt;=Control!$C$92,$G76&lt;=Control!$C$93),$G76-Control!$C$92,IF(AND($G76&gt;Control!$C$93,$G76&lt;=Control!$C$94),Control!$C$93-Control!$C$92,IF(AND($G76&gt;Control!$C$94,$G76&lt;=Control!$C$95),(Control!$C$93-Control!$C$92)*(Control!$C$94-$G76)/(Control!$C$95-Control!$C$94))))))</f>
        <v>#N/A</v>
      </c>
      <c r="CC76" s="140" t="e">
        <f t="shared" ca="1" si="368"/>
        <v>#N/A</v>
      </c>
      <c r="CD76" s="140" t="e">
        <f ca="1">IF($CC76&lt;=Control!$C$90,$CC76,Control!$C$90-$CC76)</f>
        <v>#N/A</v>
      </c>
      <c r="CE76" s="140" t="e">
        <f ca="1">IF(AND($BB76&gt;=60,$BB76&lt;65),1,IF($CC76&gt;=Control!$C$90,0,$CA76))</f>
        <v>#N/A</v>
      </c>
      <c r="CF76" s="404" t="e">
        <f ca="1">IF($CE76=0,0,IF($CC76&lt;=Control!$C$90,$CA76*(60+(65-60)*(CD76/Control!$C$90)),0))</f>
        <v>#N/A</v>
      </c>
      <c r="CG76" s="140" t="e">
        <f ca="1">IF($BG76+$BM76+$BS76+$BY76+$CE76=1,0,IF(OR(AND($BB76&lt;90,$BB76&gt;=65),$CC76&gt;=Control!$C$90),$BA76,$CK75))</f>
        <v>#N/A</v>
      </c>
      <c r="CH76" s="140" t="e">
        <f ca="1">IF($CD76&lt;0,-$CD76,$CG76*IF(OR($G76&lt;Control!$C$92,$G76&gt;Control!$C$95),0,IF(AND($G76&gt;=Control!$C$92,$G76&lt;=Control!$C$93),$G76-Control!$C$92,IF(AND($G76&gt;Control!$C$93,$G76&lt;=Control!$C$94),Control!$C$93-Control!$C$92,IF(AND($G76&gt;Control!$C$94,$G76&lt;=Control!$C$95),(Control!$C$93-Control!$C$92)*(Control!$C$94-$G76)/(Control!$C$95-Control!$C$94))))))</f>
        <v>#N/A</v>
      </c>
      <c r="CI76" s="140" t="e">
        <f t="shared" ca="1" si="369"/>
        <v>#N/A</v>
      </c>
      <c r="CJ76" s="140" t="e">
        <f ca="1">IF($CI76&lt;=Control!$C$91,$CI76,Control!$C$91-$CI76)</f>
        <v>#N/A</v>
      </c>
      <c r="CK76" s="140" t="e">
        <f ca="1">IF(AND($BB76&gt;=65,$BB76&lt;90),1,IF($CI76&gt;=Control!$C$91,0,$CG76))</f>
        <v>#N/A</v>
      </c>
      <c r="CL76" s="404" t="e">
        <f ca="1">IF($CK76=0,0,IF($CI76&lt;=Control!$C$91,$CG76*(65+(90-65)*($CJ76/Control!$C$91)),0))</f>
        <v>#N/A</v>
      </c>
      <c r="CM76" s="140" t="e">
        <f ca="1">IF($BG76+$BM76+$BS76+$BY76+$CE76+$CK76=1,0,IF(OR($BB76&gt;=90,$CI76&gt;=Control!$C$91),$BA76,$CM75))</f>
        <v>#N/A</v>
      </c>
      <c r="CN76" s="140" t="e">
        <f t="shared" ca="1" si="370"/>
        <v>#N/A</v>
      </c>
      <c r="CO76" s="140" t="e">
        <f t="shared" ca="1" si="371"/>
        <v>#N/A</v>
      </c>
      <c r="CP76" s="140" t="e">
        <f t="shared" ca="1" si="372"/>
        <v>#N/A</v>
      </c>
      <c r="CQ76" s="141" t="e">
        <f ca="1">VLOOKUP($CP76,Control!$B$86:$G$91,6)</f>
        <v>#N/A</v>
      </c>
      <c r="CR76" s="141" t="e">
        <f ca="1">(1-$CQ76)*VLOOKUP($CP76,Control!$B$86:$D$91,3)</f>
        <v>#N/A</v>
      </c>
      <c r="CS76" s="141" t="e">
        <f ca="1">(1-$CQ76)*VLOOKUP($CP76,Control!$B$86:$E$91,4)</f>
        <v>#N/A</v>
      </c>
      <c r="CT76" s="141" t="e">
        <f ca="1">(1-$CQ76)*VLOOKUP($CP76,Control!$B$86:$F$91,5)</f>
        <v>#N/A</v>
      </c>
      <c r="CU76" s="141">
        <f t="shared" ca="1" si="373"/>
        <v>0</v>
      </c>
      <c r="CV76" s="583">
        <f t="shared" ca="1" si="374"/>
        <v>0</v>
      </c>
      <c r="CW76" s="142">
        <f t="shared" ca="1" si="375"/>
        <v>72</v>
      </c>
      <c r="CX76" s="612" t="e">
        <f ca="1">IF(Control!$C$114=1,(MIN(Control!$C$120*(IF($NT76-0.01&lt;0,0,1)),Control!$C$119-$CY76)))</f>
        <v>#DIV/0!</v>
      </c>
      <c r="CY76" s="143" t="e">
        <f t="shared" ca="1" si="376"/>
        <v>#N/A</v>
      </c>
      <c r="CZ76" s="144">
        <f t="shared" ca="1" si="253"/>
        <v>0</v>
      </c>
      <c r="DA76" s="144">
        <f t="shared" ca="1" si="254"/>
        <v>0</v>
      </c>
      <c r="DB76" s="144" t="e">
        <f t="shared" ca="1" si="255"/>
        <v>#N/A</v>
      </c>
      <c r="DC76" s="144" t="e">
        <f t="shared" ca="1" si="256"/>
        <v>#N/A</v>
      </c>
      <c r="DD76" s="144" t="e">
        <f t="shared" ca="1" si="461"/>
        <v>#N/A</v>
      </c>
      <c r="DE76" s="143" t="e">
        <f t="shared" ca="1" si="377"/>
        <v>#N/A</v>
      </c>
      <c r="DF76" s="145" t="e">
        <f ca="1">$DR76*EXP(-Control!$C$158*(1-$KH76))</f>
        <v>#N/A</v>
      </c>
      <c r="DG76" s="146" t="e">
        <f ca="1">IF(Control!$C$114=1, $DF76*$EY76, 0)</f>
        <v>#N/A</v>
      </c>
      <c r="DH76" s="147" t="e">
        <f t="shared" ca="1" si="378"/>
        <v>#N/A</v>
      </c>
      <c r="DI76" s="144" t="e">
        <f t="shared" ca="1" si="439"/>
        <v>#N/A</v>
      </c>
      <c r="DJ76" s="147" t="e">
        <f ca="1">$EF76*Control!$C$109</f>
        <v>#N/A</v>
      </c>
      <c r="DK76" s="144" t="e">
        <f t="shared" ca="1" si="379"/>
        <v>#N/A</v>
      </c>
      <c r="DL76" s="144" t="e">
        <f t="shared" ca="1" si="257"/>
        <v>#N/A</v>
      </c>
      <c r="DM76" s="144" t="e">
        <f ca="1">IF(Control!$C$114=1, (1-EXP(-Control!$C$96*$DK76))*$AR76, 0)</f>
        <v>#N/A</v>
      </c>
      <c r="DN76" s="144">
        <f t="shared" ca="1" si="380"/>
        <v>0</v>
      </c>
      <c r="DO76" s="148">
        <f>Control!$C$97</f>
        <v>4</v>
      </c>
      <c r="DP76" s="145" t="e">
        <f t="shared" ca="1" si="381"/>
        <v>#N/A</v>
      </c>
      <c r="DQ76" s="145" t="e">
        <f ca="1">IF(AND($CP76&gt;=0,$CP76&lt;=90),Control!$C$111,Control!$C$111)</f>
        <v>#N/A</v>
      </c>
      <c r="DR76" s="145" t="e">
        <f t="shared" ca="1" si="258"/>
        <v>#N/A</v>
      </c>
      <c r="DS76" s="143" t="e">
        <f ca="1">Control!$B$22/$DR76</f>
        <v>#N/A</v>
      </c>
      <c r="DT76" s="149" t="e">
        <f ca="1">IF(AND(Control!$C$114=1,$KH76&lt;1),$IM76*$DF76, 0)</f>
        <v>#N/A</v>
      </c>
      <c r="DU76" s="144" t="e">
        <f t="shared" ca="1" si="382"/>
        <v>#N/A</v>
      </c>
      <c r="DV76" s="144">
        <f ca="1">IF($G76-Control!$C$107&lt;=0, 0, 0.83*LN(MAX($G76, 3))-0.8924)</f>
        <v>0</v>
      </c>
      <c r="DW76" s="144" t="e">
        <f t="shared" ca="1" si="259"/>
        <v>#N/A</v>
      </c>
      <c r="DX76" s="150" t="e">
        <f ca="1">MAX(0.01*(1+$CU76/Control!$C$102),0.05*($DK76-Control!$C$97)/Control!$C$97)</f>
        <v>#N/A</v>
      </c>
      <c r="DY76" s="151" t="e">
        <f ca="1">IF(Control!$C$114=1, $DI76*$FS76, 0)</f>
        <v>#N/A</v>
      </c>
      <c r="DZ76" s="196" t="e">
        <f t="shared" ca="1" si="383"/>
        <v>#N/A</v>
      </c>
      <c r="EA76" s="152">
        <f t="shared" ca="1" si="384"/>
        <v>72</v>
      </c>
      <c r="EB76" s="153" t="e">
        <f t="shared" ca="1" si="385"/>
        <v>#N/A</v>
      </c>
      <c r="EC76" s="153" t="e">
        <f t="shared" ca="1" si="386"/>
        <v>#N/A</v>
      </c>
      <c r="ED76" s="154" t="e">
        <f ca="1">IF(Control!$C$114=1, $HM76*$FY76-$FD76, 0)</f>
        <v>#DIV/0!</v>
      </c>
      <c r="EE76" s="155" t="e">
        <f ca="1">IF(Control!$C$114=1, $HM76*$FZ76-$FF76, 0)</f>
        <v>#DIV/0!</v>
      </c>
      <c r="EF76" s="153" t="e">
        <f t="shared" ca="1" si="440"/>
        <v>#N/A</v>
      </c>
      <c r="EG76" s="155" t="e">
        <f ca="1">IF(Control!$C$114=1, $GX76*$FW76-$FI76, 0)</f>
        <v>#DIV/0!</v>
      </c>
      <c r="EH76" s="153" t="e">
        <f t="shared" ca="1" si="387"/>
        <v>#N/A</v>
      </c>
      <c r="EI76" s="156" t="e">
        <f t="shared" ca="1" si="388"/>
        <v>#N/A</v>
      </c>
      <c r="EJ76" s="155" t="e">
        <f ca="1">IF(Control!$C$114=1, $HM76*$GB76, 0)</f>
        <v>#DIV/0!</v>
      </c>
      <c r="EK76" s="153" t="e">
        <f t="shared" ca="1" si="441"/>
        <v>#N/A</v>
      </c>
      <c r="EL76" s="153" t="e">
        <f t="shared" ca="1" si="260"/>
        <v>#N/A</v>
      </c>
      <c r="EM76" s="153" t="e">
        <f t="shared" ca="1" si="261"/>
        <v>#N/A</v>
      </c>
      <c r="EN76" s="153" t="e">
        <f ca="1">IF(Control!$C$108=1,IF(AND(Control!$B$18=1,$EB76&gt;=Control!$B$19),$EB76-$DS76,IF(AND(Control!$B$18=2,$AW76=1,$EB76&gt;$DS76),$EB76-$DS76,0)))</f>
        <v>#N/A</v>
      </c>
      <c r="EO76" s="153" t="e">
        <f ca="1">IF(Control!$C$108=1,IF(AND(Control!$B$18=1,$EB76&gt;=Control!$B$19),$EF76,IF(AND(Control!$B$18=2,$AW76=1),$EF76,0)))</f>
        <v>#N/A</v>
      </c>
      <c r="EP76" s="153" t="e">
        <f ca="1">IF(Control!$C$108=1,IF(AND(Control!$B$18=1,$EB76&gt;=Control!$B$19),$EK76,IF(AND(Control!$B$18=2,$AW76=1),$EK76,0)))</f>
        <v>#N/A</v>
      </c>
      <c r="EQ76" s="153" t="e">
        <f t="shared" ca="1" si="389"/>
        <v>#N/A</v>
      </c>
      <c r="ER76" s="153" t="e">
        <f t="shared" ca="1" si="390"/>
        <v>#N/A</v>
      </c>
      <c r="ES76" s="153" t="e">
        <f t="shared" ca="1" si="442"/>
        <v>#N/A</v>
      </c>
      <c r="ET76" s="153" t="e">
        <f t="shared" ca="1" si="443"/>
        <v>#N/A</v>
      </c>
      <c r="EU76" s="153" t="e">
        <f t="shared" ca="1" si="391"/>
        <v>#N/A</v>
      </c>
      <c r="EV76" s="153" t="e">
        <f t="shared" ca="1" si="262"/>
        <v>#N/A</v>
      </c>
      <c r="EW76" s="153" t="e">
        <f t="shared" ca="1" si="263"/>
        <v>#N/A</v>
      </c>
      <c r="EX76" s="153" t="e">
        <f t="shared" ca="1" si="264"/>
        <v>#N/A</v>
      </c>
      <c r="EY76" s="157" t="e">
        <f t="shared" ca="1" si="265"/>
        <v>#DIV/0!</v>
      </c>
      <c r="EZ76" s="154" t="e">
        <f t="shared" ca="1" si="266"/>
        <v>#DIV/0!</v>
      </c>
      <c r="FA76" s="153" t="e">
        <f t="shared" ca="1" si="392"/>
        <v>#N/A</v>
      </c>
      <c r="FB76" s="153" t="e">
        <f t="shared" ca="1" si="267"/>
        <v>#N/A</v>
      </c>
      <c r="FC76" s="193" t="e">
        <f t="shared" ca="1" si="268"/>
        <v>#N/A</v>
      </c>
      <c r="FD76" s="158" t="e">
        <f t="shared" ca="1" si="393"/>
        <v>#N/A</v>
      </c>
      <c r="FE76" s="158" t="e">
        <f t="shared" ca="1" si="394"/>
        <v>#N/A</v>
      </c>
      <c r="FF76" s="159" t="e">
        <f t="shared" ca="1" si="269"/>
        <v>#N/A</v>
      </c>
      <c r="FG76" s="160" t="e">
        <f t="shared" ca="1" si="395"/>
        <v>#N/A</v>
      </c>
      <c r="FH76" s="158" t="e">
        <f t="shared" ca="1" si="396"/>
        <v>#N/A</v>
      </c>
      <c r="FI76" s="159" t="e">
        <f t="shared" ca="1" si="270"/>
        <v>#N/A</v>
      </c>
      <c r="FJ76" s="160" t="e">
        <f t="shared" ca="1" si="397"/>
        <v>#N/A</v>
      </c>
      <c r="FK76" s="160" t="e">
        <f t="shared" ca="1" si="271"/>
        <v>#N/A</v>
      </c>
      <c r="FL76" s="160" t="e">
        <f t="shared" ca="1" si="444"/>
        <v>#N/A</v>
      </c>
      <c r="FM76" s="160" t="e">
        <f t="shared" ca="1" si="272"/>
        <v>#N/A</v>
      </c>
      <c r="FN76" s="158">
        <f t="shared" ca="1" si="398"/>
        <v>0.01</v>
      </c>
      <c r="FO76" s="160">
        <f>Control!$C$101</f>
        <v>50</v>
      </c>
      <c r="FP76" s="150" t="e">
        <f t="shared" ca="1" si="273"/>
        <v>#N/A</v>
      </c>
      <c r="FQ76" s="150" t="e">
        <f ca="1">MAX(0,(Control!$C$112*(($DK76-Control!$C$97)/Control!$C$97)))</f>
        <v>#N/A</v>
      </c>
      <c r="FR76" s="150" t="e">
        <f ca="1">(1-$NT76)*Control!$C$113</f>
        <v>#DIV/0!</v>
      </c>
      <c r="FS76" s="198" t="e">
        <f t="shared" ca="1" si="274"/>
        <v>#N/A</v>
      </c>
      <c r="FT76" s="161">
        <f t="shared" ca="1" si="399"/>
        <v>72</v>
      </c>
      <c r="FU76" s="162" t="e">
        <f ca="1">IF(Control!$B$34=1,VLOOKUP($CP76,Control!$B$86:$G$91,6),Control!$B$35)</f>
        <v>#N/A</v>
      </c>
      <c r="FV76" s="162" t="e">
        <f t="shared" ca="1" si="275"/>
        <v>#DIV/0!</v>
      </c>
      <c r="FW76" s="162" t="e">
        <f ca="1">IF(Control!$B$31=1,$FU76*$FV76,  $FU76)</f>
        <v>#N/A</v>
      </c>
      <c r="FX76" s="162" t="e">
        <f ca="1">IF(Control!$B$34=1,VLOOKUP($CP76,Control!$B$86:$G$91,3),Control!$B$36)</f>
        <v>#N/A</v>
      </c>
      <c r="FY76" s="162" t="e">
        <f t="shared" ca="1" si="276"/>
        <v>#N/A</v>
      </c>
      <c r="FZ76" s="162" t="e">
        <f ca="1">IF(Control!$B$34=1,VLOOKUP($CP76,Control!$B$86:$G$91,4),Control!$B$37)</f>
        <v>#N/A</v>
      </c>
      <c r="GA76" s="162" t="e">
        <f t="shared" ca="1" si="277"/>
        <v>#N/A</v>
      </c>
      <c r="GB76" s="162" t="e">
        <f ca="1">IF(Control!$B$34=1,VLOOKUP($CP76,Control!$B$86:$G$91,5),Control!$B$38)</f>
        <v>#N/A</v>
      </c>
      <c r="GC76" s="162" t="e">
        <f t="shared" ca="1" si="400"/>
        <v>#N/A</v>
      </c>
      <c r="GD76" s="162">
        <f t="shared" ca="1" si="278"/>
        <v>1</v>
      </c>
      <c r="GE76" s="162">
        <f t="shared" ca="1" si="279"/>
        <v>1</v>
      </c>
      <c r="GF76" s="162">
        <f ca="1">IF(AND(Control!$C$104=1, Control!$C$62="F"),$GE76,1)</f>
        <v>1</v>
      </c>
      <c r="GG76" s="162" t="e">
        <f ca="1">IF(Control!$B$16=40,0,IF(AND(Control!$B$16&gt;40,Control!$B$16&lt;=360),(Control!$B$16-40)*((1-0)/(360-40)),IF(AND(Control!$B$16&gt;360,Control!$B$16&lt;=720),(1+(Control!$B$16-360)*((1.25-1)/(720-360))),IF(AND(Control!$B$16&gt;720,Control!$B$16&lt;=1000),(1.25+(Control!$B$16-720)*((1.35-1.25)/(1000-720))),IF(AND(Control!$B$16&gt;1000,Control!$B$16&lt;=2000),(1.35+(Control!$B$16-1000)*0))))))</f>
        <v>#N/A</v>
      </c>
      <c r="GH76" s="162" t="e">
        <f t="shared" ca="1" si="280"/>
        <v>#N/A</v>
      </c>
      <c r="GI76" s="162">
        <f t="shared" ca="1" si="401"/>
        <v>0</v>
      </c>
      <c r="GJ76" s="162">
        <f t="shared" ca="1" si="281"/>
        <v>0</v>
      </c>
      <c r="GK76" s="162">
        <f t="shared" ca="1" si="402"/>
        <v>1</v>
      </c>
      <c r="GL76" s="162">
        <f t="shared" ca="1" si="282"/>
        <v>1</v>
      </c>
      <c r="GM76" s="162" t="e">
        <f ca="1">MAX(0,MIN(1,1-Control!$C$156*(1.0001-$KH76)^2))</f>
        <v>#N/A</v>
      </c>
      <c r="GN76" s="162" t="e">
        <f ca="1">IF(Control!$B$26=1,$KU76,$KX76)</f>
        <v>#N/A</v>
      </c>
      <c r="GO76" s="162" t="e">
        <f ca="1">IF($CP76&lt;=60,Control!$C$105,IF($CP76&gt;=90,Control!$C$106,Control!$C$105+($CP76-60)*((Control!$C$106-Control!$C$105)/(90-60))))</f>
        <v>#N/A</v>
      </c>
      <c r="GP76" s="162" t="e">
        <f t="shared" ca="1" si="283"/>
        <v>#N/A</v>
      </c>
      <c r="GQ76" s="162" t="e">
        <f t="shared" ca="1" si="403"/>
        <v>#N/A</v>
      </c>
      <c r="GR76" s="163" t="e">
        <f t="shared" ca="1" si="284"/>
        <v>#DIV/0!</v>
      </c>
      <c r="GS76" s="162" t="e">
        <f t="shared" ca="1" si="285"/>
        <v>#DIV/0!</v>
      </c>
      <c r="GT76" s="164" t="e">
        <f t="shared" ca="1" si="404"/>
        <v>#N/A</v>
      </c>
      <c r="GU76" s="162" t="e">
        <f t="shared" ca="1" si="405"/>
        <v>#N/A</v>
      </c>
      <c r="GV76" s="162" t="e">
        <f t="shared" ca="1" si="286"/>
        <v>#N/A</v>
      </c>
      <c r="GW76" s="162" t="e">
        <f t="shared" ca="1" si="287"/>
        <v>#DIV/0!</v>
      </c>
      <c r="GX76" s="162" t="e">
        <f t="shared" ca="1" si="406"/>
        <v>#DIV/0!</v>
      </c>
      <c r="GY76" s="162" t="e">
        <f t="shared" ca="1" si="407"/>
        <v>#DIV/0!</v>
      </c>
      <c r="GZ76" s="165" t="e">
        <f t="shared" ca="1" si="288"/>
        <v>#N/A</v>
      </c>
      <c r="HA76" s="162" t="e">
        <f ca="1">IF(Control!$C$114=1, $DI76*$FS76, 0)</f>
        <v>#N/A</v>
      </c>
      <c r="HB76" s="162" t="e">
        <f ca="1">$FA76/Control!$C$64</f>
        <v>#N/A</v>
      </c>
      <c r="HC76" s="162" t="e">
        <f t="shared" ca="1" si="289"/>
        <v>#DIV/0!</v>
      </c>
      <c r="HD76" s="162">
        <f ca="1">-ASIN(SIN(23.45*Control!$C$139)*COS(2*Control!$C$138*($AH76+10)/365))</f>
        <v>-6.3139275689250152E-2</v>
      </c>
      <c r="HE76" s="165">
        <f t="shared" ca="1" si="408"/>
        <v>0</v>
      </c>
      <c r="HF76" s="166">
        <f ca="1">IF(AND(Control!$C$61="T",$HE76&gt;=Control!$C$103,Control!$C$114=0),$AH76,Control!$C$59)</f>
        <v>1</v>
      </c>
      <c r="HG76" s="166">
        <f ca="1">IF(AND(Control!$C$61="T",$HE76&gt;=Control!$C$103,Control!$C$114=0),$HF76,Control!$C$59)</f>
        <v>1</v>
      </c>
      <c r="HH76" s="165">
        <f ca="1">IF(AND(OR(Control!$C$60&lt;=0, $AH76= Control!$C$59, Control!$C$60 &gt;0, $AH76 = Control!$C$60)), Control!$C$59, IF(Control!$C$60&gt;0, 0))</f>
        <v>1</v>
      </c>
      <c r="HI76" s="165">
        <f ca="1">IF(AND(OR(Control!$C$60&lt;=0, $AH76= Control!$C$59, Control!$C$60 &gt;0, $AH76 = Control!$C$60)), Control!$C$60, IF(Control!$C$60&lt;=0, 0))</f>
        <v>0</v>
      </c>
      <c r="HJ76" s="166">
        <f ca="1">IF(AND(Control!$C$62="F",$CV76&gt;=Control!$C$102),$AH76,0)</f>
        <v>0</v>
      </c>
      <c r="HK76" s="165" t="e">
        <f t="shared" ca="1" si="445"/>
        <v>#N/A</v>
      </c>
      <c r="HL76" s="166">
        <f ca="1">IF(AND(Control!$C$61="T",$HE76&gt;=Control!$C$103,Control!$C$114=0),$HF76,0)</f>
        <v>0</v>
      </c>
      <c r="HM76" s="201" t="e">
        <f t="shared" ca="1" si="290"/>
        <v>#DIV/0!</v>
      </c>
      <c r="HN76" s="215">
        <f t="shared" ca="1" si="409"/>
        <v>72</v>
      </c>
      <c r="HO76" s="216" t="e">
        <f ca="1">IF(AND($CP76&gt;=0, $CP76&lt;=90), Control!$C$152, Control!$C$152)</f>
        <v>#N/A</v>
      </c>
      <c r="HP76" s="216" t="e">
        <f t="shared" ca="1" si="291"/>
        <v>#N/A</v>
      </c>
      <c r="HQ76" s="217" t="e">
        <f ca="1">IF(OR(Control!$B$26=1,Control!$B$26=2),$KV76,$KS76)</f>
        <v>#DIV/0!</v>
      </c>
      <c r="HR76" s="218" t="e">
        <f t="shared" ca="1" si="446"/>
        <v>#DIV/0!</v>
      </c>
      <c r="HS76" s="216" t="e">
        <f ca="1">Control!$C$154*$HP76</f>
        <v>#N/A</v>
      </c>
      <c r="HT76" s="216" t="e">
        <f ca="1">Control!$C$155*$HP76</f>
        <v>#N/A</v>
      </c>
      <c r="HU76" s="217" t="e">
        <f ca="1">Control!$C$161*$FI76</f>
        <v>#N/A</v>
      </c>
      <c r="HV76" s="218" t="e">
        <f t="shared" ca="1" si="410"/>
        <v>#N/A</v>
      </c>
      <c r="HW76" s="218" t="e">
        <f ca="1">Control!$C$160*$FF76+$IP76*$EO76</f>
        <v>#N/A</v>
      </c>
      <c r="HX76" s="218" t="e">
        <f t="shared" ca="1" si="447"/>
        <v>#N/A</v>
      </c>
      <c r="HY76" s="219" t="e">
        <f ca="1">IF(Control!$C$114=1, $EB76*$FS76, 0)</f>
        <v>#N/A</v>
      </c>
      <c r="HZ76" s="91" t="e">
        <f t="shared" ca="1" si="292"/>
        <v>#N/A</v>
      </c>
      <c r="IA76" s="220" t="e">
        <f ca="1">Control!$C$153*$HO76</f>
        <v>#N/A</v>
      </c>
      <c r="IB76" s="218" t="e">
        <f t="shared" ca="1" si="293"/>
        <v>#N/A</v>
      </c>
      <c r="IC76" s="220" t="e">
        <f ca="1">Control!$C$153*$HT76</f>
        <v>#N/A</v>
      </c>
      <c r="ID76" s="218" t="e">
        <f t="shared" ca="1" si="294"/>
        <v>#N/A</v>
      </c>
      <c r="IE76" s="221" t="e">
        <f ca="1">($EB76*Control!$C$159+$EF76*Control!$C$160)/(IF($GZ76&lt;&gt;0,$GZ76,1))</f>
        <v>#N/A</v>
      </c>
      <c r="IF76" s="216" t="e">
        <f t="shared" ca="1" si="295"/>
        <v>#N/A</v>
      </c>
      <c r="IG76" s="91">
        <f ca="1">IF(OR(Control!$B$198=$AH76,Control!$B$199=$AH76, Control!$B$200=$AH76, Control!$B$201=$AH76, Control!$B$202=$AH76, Control!$B$203=$AH76, Control!$B$204=$AH76, Control!$B$205=$AH76, Control!$B$206=$AH76, Control!$B$207=$AH76), 1, 0)</f>
        <v>0</v>
      </c>
      <c r="IH76" s="91">
        <f ca="1">IF($IG76=0,0, VLOOKUP($AH76,Control!$B$198:$C$207,2))</f>
        <v>0</v>
      </c>
      <c r="II76" s="222">
        <f t="shared" ca="1" si="411"/>
        <v>0</v>
      </c>
      <c r="IJ76" s="91">
        <f>Control!$C$121</f>
        <v>0.7</v>
      </c>
      <c r="IK76" s="218">
        <f t="shared" ca="1" si="296"/>
        <v>0</v>
      </c>
      <c r="IL76" s="217" t="e">
        <f t="shared" ca="1" si="448"/>
        <v>#N/A</v>
      </c>
      <c r="IM76" s="223" t="e">
        <f ca="1">IF(AND(Control!$C$114=1,$KH76&lt;1),$EB76*Control!$C$148*(1-$KH76), 0)</f>
        <v>#N/A</v>
      </c>
      <c r="IN76" s="217" t="e">
        <f t="shared" ca="1" si="297"/>
        <v>#DIV/0!</v>
      </c>
      <c r="IO76" s="91" t="e">
        <f ca="1">MAX(0,$IL76-$EF76*Control!$C$160)</f>
        <v>#N/A</v>
      </c>
      <c r="IP76" s="220" t="e">
        <f t="shared" ca="1" si="298"/>
        <v>#N/A</v>
      </c>
      <c r="IQ76" s="217" t="e">
        <f t="shared" ca="1" si="412"/>
        <v>#N/A</v>
      </c>
      <c r="IR76" s="218" t="e">
        <f t="shared" ca="1" si="299"/>
        <v>#N/A</v>
      </c>
      <c r="IS76" s="217" t="e">
        <f ca="1">Control!$C$159*MAX(0,$FD76-$EN76)</f>
        <v>#N/A</v>
      </c>
      <c r="IT76" s="217" t="e">
        <f t="shared" ca="1" si="449"/>
        <v>#N/A</v>
      </c>
      <c r="IU76" s="217" t="e">
        <f t="shared" ca="1" si="413"/>
        <v>#N/A</v>
      </c>
      <c r="IV76" s="217" t="e">
        <f t="shared" ca="1" si="450"/>
        <v>#N/A</v>
      </c>
      <c r="IW76" s="217" t="e">
        <f ca="1">IF(OR($AW76=1,AND($AW76=0, Control!$B$18=1,$EN76&lt;&gt;0)), $IQ76-$IU76, $IQ76)</f>
        <v>#N/A</v>
      </c>
      <c r="IX76" s="218" t="e">
        <f t="shared" ca="1" si="300"/>
        <v>#N/A</v>
      </c>
      <c r="IY76" s="218" t="e">
        <f ca="1">MAX(0,$IQ76-$EB76*Control!$C$159)</f>
        <v>#N/A</v>
      </c>
      <c r="IZ76" s="218" t="e">
        <f t="shared" ca="1" si="301"/>
        <v>#N/A</v>
      </c>
      <c r="JA76" s="216" t="e">
        <f t="shared" ca="1" si="302"/>
        <v>#N/A</v>
      </c>
      <c r="JB76" s="217" t="e">
        <f t="shared" ca="1" si="303"/>
        <v>#N/A</v>
      </c>
      <c r="JC76" s="222" t="e">
        <f ca="1">MAX(Control!$C$157*$EK76-$JT76, 0)/Control!$C$162</f>
        <v>#N/A</v>
      </c>
      <c r="JD76" s="218" t="e">
        <f t="shared" ca="1" si="304"/>
        <v>#N/A</v>
      </c>
      <c r="JE76" s="218" t="e">
        <f t="shared" ca="1" si="305"/>
        <v>#N/A</v>
      </c>
      <c r="JF76" s="218" t="e">
        <f t="shared" ca="1" si="414"/>
        <v>#N/A</v>
      </c>
      <c r="JG76" s="218" t="e">
        <f t="shared" ca="1" si="306"/>
        <v>#N/A</v>
      </c>
      <c r="JH76" s="217" t="e">
        <f t="shared" ca="1" si="415"/>
        <v>#N/A</v>
      </c>
      <c r="JI76" s="217" t="e">
        <f t="shared" ca="1" si="416"/>
        <v>#N/A</v>
      </c>
      <c r="JJ76" s="217" t="e">
        <f t="shared" ca="1" si="451"/>
        <v>#N/A</v>
      </c>
      <c r="JK76" s="217" t="e">
        <f ca="1">IF(Control!$C$114=1,IF(Control!$B$24=0,MAX(0,$JI76)*$GN76/Control!$C$64,(MAX(0,MIN($JI76,$JJ76*$GN76/Control!$C$64),0))))</f>
        <v>#N/A</v>
      </c>
      <c r="JL76" s="217" t="e">
        <f ca="1">$IK76/Control!$C$64-$JK76+$HQ76</f>
        <v>#N/A</v>
      </c>
      <c r="JM76" s="217" t="e">
        <f ca="1">IF(Control!$C$114=1,($JB76/(IF($JI76&lt;&gt;0,$JI76,1)))*$JK76,0)</f>
        <v>#N/A</v>
      </c>
      <c r="JN76" s="217" t="e">
        <f ca="1">IF(Control!$C$114=1,($JG76/(IF($JI76&lt;&gt;0,$JI76,1)))*$JK76, 0)</f>
        <v>#N/A</v>
      </c>
      <c r="JO76" s="218" t="e">
        <f t="shared" ca="1" si="307"/>
        <v>#N/A</v>
      </c>
      <c r="JP76" s="218" t="e">
        <f ca="1">MIN(($IY76+$IO76)*Control!$C$151, $JF76-$EH76*Control!$C$161)</f>
        <v>#N/A</v>
      </c>
      <c r="JQ76" s="218" t="e">
        <f t="shared" ca="1" si="308"/>
        <v>#N/A</v>
      </c>
      <c r="JR76" s="217" t="e">
        <f ca="1">IF($CP76-Control!$C$150&lt;0, 0, $JQ76/Control!$C$162)</f>
        <v>#N/A</v>
      </c>
      <c r="JS76" s="218" t="e">
        <f t="shared" ca="1" si="309"/>
        <v>#N/A</v>
      </c>
      <c r="JT76" s="218" t="e">
        <f t="shared" ca="1" si="417"/>
        <v>#N/A</v>
      </c>
      <c r="JU76" s="218" t="e">
        <f t="shared" ca="1" si="310"/>
        <v>#N/A</v>
      </c>
      <c r="JV76" s="218" t="e">
        <f t="shared" ca="1" si="311"/>
        <v>#N/A</v>
      </c>
      <c r="JW76" s="216" t="e">
        <f t="shared" ca="1" si="312"/>
        <v>#N/A</v>
      </c>
      <c r="JX76" s="91" t="e">
        <f t="shared" ca="1" si="313"/>
        <v>#N/A</v>
      </c>
      <c r="JY76" s="218" t="e">
        <f t="shared" ca="1" si="314"/>
        <v>#N/A</v>
      </c>
      <c r="JZ76" s="217" t="e">
        <f ca="1">IF(Control!$C$114=1,($IZ76/(IF($JI76&lt;&gt;0,$JI76,1)))*$JK76, 0)</f>
        <v>#N/A</v>
      </c>
      <c r="KA76" s="218" t="e">
        <f t="shared" ca="1" si="452"/>
        <v>#N/A</v>
      </c>
      <c r="KB76" s="218" t="e">
        <f t="shared" ca="1" si="418"/>
        <v>#N/A</v>
      </c>
      <c r="KC76" s="218" t="e">
        <f t="shared" ca="1" si="315"/>
        <v>#N/A</v>
      </c>
      <c r="KD76" s="218" t="e">
        <f t="shared" ca="1" si="316"/>
        <v>#N/A</v>
      </c>
      <c r="KE76" s="218" t="e">
        <f t="shared" ca="1" si="317"/>
        <v>#N/A</v>
      </c>
      <c r="KF76" s="218" t="e">
        <f t="shared" ca="1" si="318"/>
        <v>#N/A</v>
      </c>
      <c r="KG76" s="216" t="e">
        <f t="shared" ca="1" si="319"/>
        <v>#N/A</v>
      </c>
      <c r="KH76" s="221" t="e">
        <f ca="1">IF(Control!$B$24=0,1,MAX(0.001,MIN(1,IF(($IF76-$IE76)&lt;&gt;0,($KG76-$IE76)/($IF76-$IE76),1))))</f>
        <v>#N/A</v>
      </c>
      <c r="KI76" s="222" t="e">
        <f ca="1">IF(Control!$C$114=1, $KI75+ $KH75, 0)</f>
        <v>#N/A</v>
      </c>
      <c r="KJ76" s="217" t="e">
        <f t="shared" ca="1" si="320"/>
        <v>#N/A</v>
      </c>
      <c r="KK76" s="218" t="e">
        <f t="shared" ca="1" si="321"/>
        <v>#N/A</v>
      </c>
      <c r="KL76" s="274" t="e">
        <f ca="1">IF(Control!$B$26=3,4000000000*EXP(-8400/($G76+273)),IF(Control!$B$26=4,4000000000*EXP(-8400/($G76+273))*($KT76),0))</f>
        <v>#DIV/0!</v>
      </c>
      <c r="KM76" s="274" t="e">
        <f ca="1">IF(Control!$B$26=3,5600000000000*EXP(-9800/($G76+273)),IF(Control!$B$26=4,5600000000000*EXP(-9800/($G76+273))*$KT76,0))</f>
        <v>#DIV/0!</v>
      </c>
      <c r="KN76" s="454" t="e">
        <f t="shared" ca="1" si="419"/>
        <v>#DIV/0!</v>
      </c>
      <c r="KO76" s="274" t="e">
        <f t="shared" ca="1" si="420"/>
        <v>#DIV/0!</v>
      </c>
      <c r="KP76" s="454" t="e">
        <f t="shared" ca="1" si="322"/>
        <v>#DIV/0!</v>
      </c>
      <c r="KQ76" s="454" t="e">
        <f t="shared" ca="1" si="323"/>
        <v>#DIV/0!</v>
      </c>
      <c r="KR76" s="454" t="e">
        <f t="shared" ca="1" si="324"/>
        <v>#DIV/0!</v>
      </c>
      <c r="KS76" s="454" t="e">
        <f t="shared" ca="1" si="325"/>
        <v>#DIV/0!</v>
      </c>
      <c r="KT76" s="455" t="e">
        <f t="shared" ca="1" si="326"/>
        <v>#DIV/0!</v>
      </c>
      <c r="KU76" s="456" t="e">
        <f ca="1">IF($CP76-Control!$C$149&lt;0, IF($NT76-0.01&lt;0,0,1),0)</f>
        <v>#N/A</v>
      </c>
      <c r="KV76" s="456" t="e">
        <f ca="1">IF(Control!$C$114=1,MAX(0,MIN(Control!$C$125*$KW76*$GN76,$KW76)))</f>
        <v>#DIV/0!</v>
      </c>
      <c r="KW76" s="456" t="e">
        <f t="shared" ca="1" si="453"/>
        <v>#DIV/0!</v>
      </c>
      <c r="KX76" s="457" t="e">
        <f ca="1">IF($CP76-Control!$C$149&lt;0, IF($MR76-$OM76&lt;0,0,1),0)</f>
        <v>#N/A</v>
      </c>
      <c r="KY76" s="167">
        <f t="shared" ca="1" si="421"/>
        <v>72</v>
      </c>
      <c r="KZ76" s="168">
        <f ca="1">1370*(1+0.033*COS(2*Control!$C$138*$AH76/365))</f>
        <v>1384.7085917458278</v>
      </c>
      <c r="LA76" s="169">
        <f t="shared" ca="1" si="422"/>
        <v>1.0107362887954954</v>
      </c>
      <c r="LB76" s="169">
        <f t="shared" ca="1" si="423"/>
        <v>-6.1353587634898551E-2</v>
      </c>
      <c r="LC76" s="169">
        <f ca="1">ACOS(-TAN((2*Control!$B$8/360))*TAN(Calculations!$LB76))</f>
        <v>1.5525379196871829</v>
      </c>
      <c r="LD76" s="169">
        <f ca="1">((24*60)/PI())*0.082*$LA76*(($LC76*SIN(Control!$B$8*2*PI()/360))*SIN($LB76)+COS(Control!$B$8*2*PI()/360)*COS($LB76)*SIN($LC76))</f>
        <v>20.491068234310294</v>
      </c>
      <c r="LE76" s="170">
        <f t="shared" ca="1" si="327"/>
        <v>20.501114948764585</v>
      </c>
      <c r="LF76" s="170">
        <f ca="1">SIN(Control!$C$139*Control!$B$8)*SIN($HD76)</f>
        <v>-4.9721459014416894E-2</v>
      </c>
      <c r="LG76" s="170">
        <f ca="1">COS(Control!$C$139*Control!$B$8)*COS($HD76)</f>
        <v>0.61443302568976732</v>
      </c>
      <c r="LH76" s="170">
        <f ca="1">12*(1+2*ASIN(MAX(-1,MIN(1,$LF76/$LG76))/Control!$C$138))</f>
        <v>11.381730669774345</v>
      </c>
      <c r="LI76" s="170">
        <f ca="1">12*(1+2*ASIN(MAX(-1,MIN(1,(-SIN(-4*Control!$C$139)+$LF76)/$LG76))/Control!$C$138))</f>
        <v>12.249107496308943</v>
      </c>
      <c r="LJ76" s="168">
        <f ca="1">3600*($LH76*$LF76+24*$LG76*SQRT(1-$LK76*$LK76)/Control!$C$138)</f>
        <v>14805.36415457419</v>
      </c>
      <c r="LK76" s="170">
        <f t="shared" ca="1" si="328"/>
        <v>-8.0922504057458822E-2</v>
      </c>
      <c r="LL76" s="170">
        <f t="shared" ca="1" si="329"/>
        <v>0</v>
      </c>
      <c r="LM76" s="171">
        <f ca="1">Control!$C$145*$AB76</f>
        <v>6.6660906138995932E-2</v>
      </c>
      <c r="LN76" s="170">
        <f t="shared" ca="1" si="424"/>
        <v>0.54</v>
      </c>
      <c r="LO76" s="170">
        <f t="shared" ca="1" si="330"/>
        <v>0</v>
      </c>
      <c r="LP76" s="170">
        <f ca="1">Control!$C$140*((($D76+273.16)^4+($E76+273.16)^4)/2)*(0.34-0.14*SQRT($Y76))*(1.35*$AQ76/(0.75*$LD76)-0.35)</f>
        <v>-3.2464704755046001</v>
      </c>
      <c r="LQ76" s="170">
        <f ca="1">Control!$C$140*($G76+273)^4*(0.56-0.079*SQRT($Y76*10))*(0.1+0.9*$LO76)</f>
        <v>1.5241745131704001</v>
      </c>
      <c r="LR76" s="170">
        <f ca="1">$AQ76*(1-Control!$C$142)-$LQ76</f>
        <v>-1.5241745131704001</v>
      </c>
      <c r="LS76" s="170">
        <f ca="1">$AQ76*(1-Control!$C$143)-$LQ76</f>
        <v>-1.5241745131704001</v>
      </c>
      <c r="LT76" s="170">
        <f ca="1">$AQ76*(1-Control!$C$144)-$LQ76</f>
        <v>-1.5241745131704001</v>
      </c>
      <c r="LU76" s="169">
        <f ca="1">(1-Control!$C$144)*AQ76-LP76</f>
        <v>3.2464704755046001</v>
      </c>
      <c r="LV76" s="172">
        <f t="shared" ca="1" si="331"/>
        <v>0.79430000000000012</v>
      </c>
      <c r="LW76" s="170">
        <f t="shared" ca="1" si="332"/>
        <v>1.5886000000000002</v>
      </c>
      <c r="LX76" s="170">
        <f ca="1">($AC76*($LR76/Control!$C$141)+$LM76*$LV76)/($AC76+$LM76)</f>
        <v>0.23530094218323697</v>
      </c>
      <c r="LY76" s="170">
        <f ca="1">($AC76*($LS76/Control!$C$141)+$LM76*$LV76)/($AC76+$LM76)</f>
        <v>0.23530094218323697</v>
      </c>
      <c r="LZ76" s="170">
        <f t="shared" ca="1" si="333"/>
        <v>0.23530094218323697</v>
      </c>
      <c r="MA76" s="170">
        <f t="shared" ca="1" si="334"/>
        <v>0.23530094218323697</v>
      </c>
      <c r="MB76" s="170" t="e">
        <f t="shared" ca="1" si="335"/>
        <v>#N/A</v>
      </c>
      <c r="MC76" s="170">
        <f t="shared" ca="1" si="425"/>
        <v>0.6018</v>
      </c>
      <c r="MD76" s="170">
        <f t="shared" ca="1" si="336"/>
        <v>0.52989392535414004</v>
      </c>
      <c r="ME76" s="170">
        <f ca="1">($AC76*($LT76/Control!$C$141)+$LM76*$LW76)/($AC76+$LM76)</f>
        <v>0.71612369323045078</v>
      </c>
      <c r="MF76" s="170" t="e">
        <f ca="1">IF(Control!$B$16&gt;=1000,0.92,IF(AND(720&lt;=Control!$B$16,1000&gt;Control!$B$16),(0.95+(Control!$B$16-720)*((0.92-0.95)/(1000-720))),IF(AND(360&lt;=Control!$B$16,720&gt;Control!$B$16),(1+(Control!$B$16-360)*((0.95-1)/(720-360))),IF(AND(40&lt;=Control!$B$16,360&gt;Control!$B$16),(1.05+(Control!$B$16-40)*((1.05-1)/(360-40)))))))</f>
        <v>#N/A</v>
      </c>
      <c r="MG76" s="170">
        <f t="shared" ca="1" si="337"/>
        <v>0.71612369323045078</v>
      </c>
      <c r="MH76" s="170" t="e">
        <f t="shared" ca="1" si="233"/>
        <v>#N/A</v>
      </c>
      <c r="MI76" s="170" t="e">
        <f t="shared" ca="1" si="233"/>
        <v>#N/A</v>
      </c>
      <c r="MJ76" s="170" t="e">
        <f ca="1">MAX(0.0001, Control!$C$132*$MI76*$DL76)</f>
        <v>#N/A</v>
      </c>
      <c r="MK76" s="170">
        <f ca="1">1/(0.76+1.5*($MG76/10))-(5-Control!$C$110)*0.1</f>
        <v>1.002845988140797</v>
      </c>
      <c r="ML76" s="173">
        <f ca="1">IF(Control!$C$110&lt;3,$MK76+($MG76-0.6)/(Control!$C$110*(Control!$C$110+3)), MAX(0.1, MIN(0.95,$MK76)))</f>
        <v>0.95</v>
      </c>
      <c r="MM76" s="173">
        <f ca="1">IF(Control!$C$110&lt;3,$MK76+(($MI76/10)-0.6)/(Control!$C$110*(Control!$C$110+3)), MAX(0.1, MIN(0.95,$MK76)))</f>
        <v>0.95</v>
      </c>
      <c r="MN76" s="173">
        <f ca="1">(1-$MM76)*(Control!$C$128-Control!$C$127)+Control!$C$127</f>
        <v>0.16</v>
      </c>
      <c r="MO76" s="170" t="e">
        <f ca="1">MAX(0,MIN(1,($MS76-Control!$C$127)/($MN76-Control!$C$127)))</f>
        <v>#DIV/0!</v>
      </c>
      <c r="MP76" s="173" t="e">
        <f ca="1">1/(0.76+1.5*$MI76)-(5-Control!$C$110)*0.1</f>
        <v>#N/A</v>
      </c>
      <c r="MQ76" s="172" t="e">
        <f t="shared" ca="1" si="454"/>
        <v>#DIV/0!</v>
      </c>
      <c r="MR76" s="168" t="e">
        <f t="shared" ca="1" si="426"/>
        <v>#DIV/0!</v>
      </c>
      <c r="MS76" s="173" t="e">
        <f ca="1">MAX(Control!$C$127, MIN(Control!$C$135, $MR76/MAX(0.0001,$CY76)))</f>
        <v>#DIV/0!</v>
      </c>
      <c r="MT76" s="168" t="e">
        <f ca="1">(Control!$C$128-$MS76)*Control!$C$74</f>
        <v>#DIV/0!</v>
      </c>
      <c r="MU76" s="168" t="e">
        <f ca="1">(Control!$C$135-$MS76)*Control!$C$74</f>
        <v>#DIV/0!</v>
      </c>
      <c r="MV76" s="168" t="e">
        <f t="shared" ca="1" si="427"/>
        <v>#DIV/0!</v>
      </c>
      <c r="MW76" s="168" t="e">
        <f t="shared" ca="1" si="428"/>
        <v>#DIV/0!</v>
      </c>
      <c r="MX76" s="171" t="e">
        <f ca="1">MAX(Control!$C$127, MIN(Control!$C$135, $MW76/MAX(0.0001,Control!$C$119-$CY76)))</f>
        <v>#DIV/0!</v>
      </c>
      <c r="MY76" s="54" t="e">
        <f ca="1">IF(Control!$C$114=1, $CX76*$MX76, 0)</f>
        <v>#DIV/0!</v>
      </c>
      <c r="MZ76" s="54" t="e">
        <f t="shared" ca="1" si="429"/>
        <v>#N/A</v>
      </c>
      <c r="NA76" s="168" t="e">
        <f ca="1">(Control!$C$128-$MX76)*(Control!$C$119-Control!$C$74)</f>
        <v>#DIV/0!</v>
      </c>
      <c r="NB76" s="168" t="e">
        <f ca="1">(Control!$C$135-$MX76)*(Control!$C$119-Control!$C$74)</f>
        <v>#DIV/0!</v>
      </c>
      <c r="NC76" s="174" t="e">
        <f t="shared" ca="1" si="430"/>
        <v>#DIV/0!</v>
      </c>
      <c r="ND76" s="54">
        <f ca="1">IF(Control!$C$58=2, IF(OR(Control!$B$218=$AH76,Control!$B$219=$AH76, Control!$B$220=$AH76, Control!$B$221=$AH76, Control!$B$222=$AH76, Control!$B$223=$AH76, Control!$B$224=$AH76, Control!$B$225=$AH76, Control!$B$226=$AH76, Control!$B$227=$AH76, Control!$B$228=$AH76), 1, 0), 0)</f>
        <v>0</v>
      </c>
      <c r="NE76" s="54">
        <f ca="1">IF($ND76=0,0, VLOOKUP($AH76,Control!$B$218:$C$228,2))</f>
        <v>0</v>
      </c>
      <c r="NF76" s="168" t="e">
        <f ca="1">$CY76*(Control!$C$128-Control!$C$127)</f>
        <v>#N/A</v>
      </c>
      <c r="NG76" s="54" t="e">
        <f ca="1">IF(Control!$C$58=2, $NI75-$NJ75, 0)</f>
        <v>#DIV/0!</v>
      </c>
      <c r="NH76" s="54" t="e">
        <f ca="1">IF(AND(Control!$C$58=1, $MS75&lt;= ($MN75+0.02), $I75&lt;10), 0, IF(Control!$C$58=2, $NG75, 0))</f>
        <v>#DIV/0!</v>
      </c>
      <c r="NI76" s="54" t="e">
        <f ca="1">IF(Control!$C$58=2, $NE76+$NH76,0)</f>
        <v>#DIV/0!</v>
      </c>
      <c r="NJ76" s="54" t="e">
        <f ca="1">IF(AND(Control!$C$58=1, $MS76&lt;= ($MN76+0.02), $I76&lt;10), MAX(0, MIN(10, 0.7*($NF76-$MV76))), IF(Control!$C$58=2, MIN(10,$NI76),0))</f>
        <v>#DIV/0!</v>
      </c>
      <c r="NK76" s="54" t="e">
        <f t="shared" ca="1" si="338"/>
        <v>#DIV/0!</v>
      </c>
      <c r="NL76" s="173" t="e">
        <f ca="1">(1-Control!$C$73)*$I76+$NJ76</f>
        <v>#DIV/0!</v>
      </c>
      <c r="NM76" s="172" t="e">
        <f ca="1">IF($NL76&lt;0.5, $MB76* MAX(0, MIN(1, (SQRT($NC76)-SQRT($NC76-1))*Control!$C$71)),0)</f>
        <v>#DIV/0!</v>
      </c>
      <c r="NN76" s="170" t="e">
        <f ca="1">IF($NL76&gt;=5, $MB76, MAX(0,MIN($MB76, $NM76+$NL76,($MS76-Control!$C$129))))</f>
        <v>#DIV/0!</v>
      </c>
      <c r="NO76" s="54">
        <f>IF(Control!$C$133&lt;&gt;1, Control!$C$135-Control!$C$131, 0)</f>
        <v>0.38</v>
      </c>
      <c r="NP76" s="54" t="e">
        <f t="shared" ca="1" si="339"/>
        <v>#DIV/0!</v>
      </c>
      <c r="NQ76" s="173" t="e">
        <f ca="1">MAX(0,MIN(1,(Control!$C$135-$MS76)/(Control!$C$135-$NO76)))</f>
        <v>#DIV/0!</v>
      </c>
      <c r="NR76" s="170" t="e">
        <f ca="1">IF(Control!$C$133&lt;&gt;1, $NQ76+((1-$NP76/4)*(1-$NQ76)),1)</f>
        <v>#DIV/0!</v>
      </c>
      <c r="NS76" s="170" t="e">
        <f ca="1">IF(Control!$B$31=0,$MJ76,MAX(0,MIN($MV76,$MO76*$NR76*$MJ76)))</f>
        <v>#DIV/0!</v>
      </c>
      <c r="NT76" s="170" t="e">
        <f t="shared" ca="1" si="455"/>
        <v>#DIV/0!</v>
      </c>
      <c r="NU76" s="170" t="e">
        <f t="shared" ca="1" si="431"/>
        <v>#N/A</v>
      </c>
      <c r="NV76" s="170" t="e">
        <f t="shared" ca="1" si="340"/>
        <v>#N/A</v>
      </c>
      <c r="NW76" s="175" t="e">
        <f t="shared" ca="1" si="341"/>
        <v>#DIV/0!</v>
      </c>
      <c r="NX76" s="170" t="e">
        <f ca="1">MIN(Control!$C$72+$MU76, $NW76)</f>
        <v>#DIV/0!</v>
      </c>
      <c r="NY76" s="170" t="e">
        <f ca="1">IF($MT76&lt;=$NX76,MIN(Control!$C$72+$NB76,$NX76-$MT76),0)</f>
        <v>#DIV/0!</v>
      </c>
      <c r="NZ76" s="54" t="e">
        <f ca="1">IF(Control!$C$114=1,  $CX76*($MX76-Control!$C$127), 0)</f>
        <v>#DIV/0!</v>
      </c>
      <c r="OA76" s="170" t="e">
        <f t="shared" ca="1" si="342"/>
        <v>#DIV/0!</v>
      </c>
      <c r="OB76" s="170" t="e">
        <f ca="1">IF($NA76 &lt;=$NY76, MIN(Control!$C$72, $NY76-$NA76), 0)</f>
        <v>#DIV/0!</v>
      </c>
      <c r="OC76" s="168" t="e">
        <f t="shared" ca="1" si="343"/>
        <v>#DIV/0!</v>
      </c>
      <c r="OD76" s="168" t="e">
        <f t="shared" ca="1" si="432"/>
        <v>#DIV/0!</v>
      </c>
      <c r="OE76" s="170">
        <f ca="1">Control!$C$73*$I76</f>
        <v>0</v>
      </c>
      <c r="OF76" s="176" t="e">
        <f t="shared" ca="1" si="344"/>
        <v>#DIV/0!</v>
      </c>
      <c r="OG76" s="168" t="e">
        <f t="shared" ca="1" si="345"/>
        <v>#DIV/0!</v>
      </c>
      <c r="OH76" s="168" t="e">
        <f t="shared" ca="1" si="346"/>
        <v>#DIV/0!</v>
      </c>
      <c r="OI76" s="168" t="e">
        <f t="shared" ca="1" si="347"/>
        <v>#DIV/0!</v>
      </c>
      <c r="OJ76" s="168" t="e">
        <f t="shared" ca="1" si="348"/>
        <v>#DIV/0!</v>
      </c>
      <c r="OK76" s="204" t="e">
        <f t="shared" ca="1" si="349"/>
        <v>#DIV/0!</v>
      </c>
      <c r="OL76" s="177">
        <f>Control!$C$127</f>
        <v>0.15</v>
      </c>
      <c r="OM76" s="182" t="e">
        <f t="shared" ca="1" si="350"/>
        <v>#N/A</v>
      </c>
      <c r="ON76" s="177">
        <f>Control!$C$128</f>
        <v>0.35</v>
      </c>
      <c r="OO76" s="182" t="e">
        <f t="shared" ca="1" si="351"/>
        <v>#N/A</v>
      </c>
      <c r="OP76" s="138">
        <f t="shared" ca="1" si="433"/>
        <v>0</v>
      </c>
      <c r="OQ76" s="138" t="e">
        <f t="shared" ca="1" si="456"/>
        <v>#DIV/0!</v>
      </c>
      <c r="OR76" s="138" t="e">
        <f t="shared" ca="1" si="434"/>
        <v>#DIV/0!</v>
      </c>
      <c r="OS76" s="137" t="e">
        <f t="shared" ca="1" si="457"/>
        <v>#DIV/0!</v>
      </c>
      <c r="OT76" s="139" t="e">
        <f t="shared" ca="1" si="458"/>
        <v>#DIV/0!</v>
      </c>
      <c r="OU76" s="138" t="e">
        <f t="shared" ca="1" si="459"/>
        <v>#N/A</v>
      </c>
      <c r="OV76" s="138" t="e">
        <f t="shared" ca="1" si="460"/>
        <v>#DIV/0!</v>
      </c>
      <c r="OW76" s="138" t="e">
        <f t="shared" ca="1" si="435"/>
        <v>#DIV/0!</v>
      </c>
      <c r="OX76" s="138" t="e">
        <f t="shared" ca="1" si="436"/>
        <v>#DIV/0!</v>
      </c>
      <c r="OY76" s="138" t="e">
        <f t="shared" ca="1" si="437"/>
        <v>#DIV/0!</v>
      </c>
      <c r="OZ76" s="138" t="e">
        <f t="shared" ca="1" si="352"/>
        <v>#DIV/0!</v>
      </c>
      <c r="PA76" s="138" t="e">
        <f t="shared" ca="1" si="353"/>
        <v>#DIV/0!</v>
      </c>
      <c r="PB76" s="55">
        <f>IF(Control!$C$61="T", IF(Control!$C$65="F", IF($AH$6-Control!$C$60&lt;0,0,1), IF(365+$AH$6-Control!$C$60&lt;0,0,1)),0)</f>
        <v>0</v>
      </c>
      <c r="PC76" s="55">
        <f ca="1">IF(Control!$C$65="F", IF($AH$6-$HF76&lt;0,0,1), IF(365+$AH$6-$HF76&lt;0,0,1))</f>
        <v>1</v>
      </c>
      <c r="PD76" s="444">
        <f>Control!$C$118</f>
        <v>1500</v>
      </c>
      <c r="PE76" s="180" t="e">
        <f t="shared" ca="1" si="354"/>
        <v>#N/A</v>
      </c>
      <c r="PF76" s="445">
        <f t="shared" ca="1" si="438"/>
        <v>0.71612369323045078</v>
      </c>
      <c r="PT76" s="186"/>
      <c r="PU76" s="186"/>
      <c r="PV76" s="94"/>
      <c r="PW76" s="94"/>
      <c r="PX76" s="94"/>
      <c r="PY76" s="94"/>
      <c r="PZ76" s="94"/>
      <c r="QA76" s="94"/>
      <c r="QB76" s="94"/>
      <c r="QC76" s="94"/>
      <c r="QD76" s="94"/>
      <c r="QE76" s="94"/>
      <c r="QF76" s="94"/>
      <c r="QG76" s="94"/>
      <c r="QH76" s="94"/>
      <c r="QI76" s="94"/>
      <c r="QJ76" s="94"/>
      <c r="QK76" s="94"/>
      <c r="QL76" s="94"/>
      <c r="QM76" s="94"/>
      <c r="QN76" s="94"/>
      <c r="QO76" s="94"/>
      <c r="QP76" s="94"/>
    </row>
    <row r="77" spans="1:458" s="2" customFormat="1" x14ac:dyDescent="0.2">
      <c r="A77" s="395">
        <v>13</v>
      </c>
      <c r="B77" s="396">
        <v>3</v>
      </c>
      <c r="C77" s="387">
        <f ca="1">Weather_data!$B76</f>
        <v>0</v>
      </c>
      <c r="D77" s="388">
        <f ca="1">Weather_data!$F76</f>
        <v>0</v>
      </c>
      <c r="E77" s="388">
        <f ca="1">Weather_data!$E76</f>
        <v>0</v>
      </c>
      <c r="F77" s="388">
        <f t="shared" ca="1" si="355"/>
        <v>0</v>
      </c>
      <c r="G77" s="388">
        <f ca="1">AVERAGE($D77:$E77)+Control!$B$9</f>
        <v>0</v>
      </c>
      <c r="H77" s="388">
        <f ca="1">Weather_data!$G76</f>
        <v>0</v>
      </c>
      <c r="I77" s="388">
        <f ca="1">Weather_data!$I76</f>
        <v>0</v>
      </c>
      <c r="J77" s="388">
        <f ca="1">Weather_data!$H76</f>
        <v>0</v>
      </c>
      <c r="K77" s="389">
        <f ca="1">Weather_data!$D76</f>
        <v>0</v>
      </c>
      <c r="L77" s="388" t="e">
        <f t="shared" ca="1" si="356"/>
        <v>#N/A</v>
      </c>
      <c r="M77" s="388" t="e">
        <f t="shared" ca="1" si="234"/>
        <v>#N/A</v>
      </c>
      <c r="N77" s="388">
        <f t="shared" ca="1" si="235"/>
        <v>-2.8196043669800869E-4</v>
      </c>
      <c r="O77" s="388">
        <f t="shared" ca="1" si="357"/>
        <v>2.8196043669800868E-3</v>
      </c>
      <c r="P77" s="390">
        <v>3</v>
      </c>
      <c r="Q77" s="388">
        <f ca="1">MAX($G77-Control!$C$107,0)</f>
        <v>0</v>
      </c>
      <c r="R77" s="388">
        <f t="shared" ca="1" si="358"/>
        <v>0</v>
      </c>
      <c r="S77" s="388">
        <f t="shared" ca="1" si="236"/>
        <v>0</v>
      </c>
      <c r="T77" s="388">
        <f t="shared" ca="1" si="237"/>
        <v>0</v>
      </c>
      <c r="U77" s="59">
        <f t="shared" ca="1" si="238"/>
        <v>0</v>
      </c>
      <c r="V77" s="391">
        <f ca="1">MAX(0,MIN(Control!$C$100-Control!$C$99,$G77-Control!$C$99)*Control!$C$63)</f>
        <v>0</v>
      </c>
      <c r="W77" s="388">
        <f t="shared" ca="1" si="359"/>
        <v>0</v>
      </c>
      <c r="X77" s="388">
        <f t="shared" ca="1" si="360"/>
        <v>0.6110000000000001</v>
      </c>
      <c r="Y77" s="388">
        <f t="shared" ca="1" si="239"/>
        <v>0</v>
      </c>
      <c r="Z77" s="388">
        <f t="shared" ca="1" si="361"/>
        <v>0.61058800000000002</v>
      </c>
      <c r="AA77" s="388">
        <f t="shared" ca="1" si="240"/>
        <v>0.6018</v>
      </c>
      <c r="AB77" s="388">
        <f ca="1">101.3*EXP(-0.034*Control!$C$66/($G77+273))</f>
        <v>100.69623283836242</v>
      </c>
      <c r="AC77" s="392">
        <f t="shared" ca="1" si="241"/>
        <v>4.3460251046025113E-2</v>
      </c>
      <c r="AD77" s="392">
        <f t="shared" ca="1" si="242"/>
        <v>4.4450382862832649E-2</v>
      </c>
      <c r="AE77" s="388">
        <f t="shared" ca="1" si="243"/>
        <v>0</v>
      </c>
      <c r="AF77" s="388">
        <f ca="1">MAX(0,$G77-Control!$C$92)</f>
        <v>0</v>
      </c>
      <c r="AG77" s="393">
        <f t="shared" ca="1" si="244"/>
        <v>73</v>
      </c>
      <c r="AH77" s="389">
        <f t="shared" ca="1" si="245"/>
        <v>73</v>
      </c>
      <c r="AI77" s="388">
        <f t="shared" ca="1" si="362"/>
        <v>-5.6354398644541351E-2</v>
      </c>
      <c r="AJ77" s="388">
        <f ca="1">IF(Control!$C$60&lt;=0,$HH77,$HI77)</f>
        <v>1</v>
      </c>
      <c r="AK77" s="388">
        <f t="shared" ca="1" si="246"/>
        <v>-0.12049944424727974</v>
      </c>
      <c r="AL77" s="388">
        <f t="shared" ca="1" si="247"/>
        <v>-1.8032988297056462E-18</v>
      </c>
      <c r="AM77" s="388">
        <f t="shared" ca="1" si="248"/>
        <v>-0.12049944424727974</v>
      </c>
      <c r="AN77" s="388">
        <f t="shared" ca="1" si="249"/>
        <v>-4.7837003037928316E-2</v>
      </c>
      <c r="AO77" s="388">
        <f ca="1">-0.10453/COS(Control!$B$8*PI()/180)*COS(AN77)</f>
        <v>-0.16959063522668175</v>
      </c>
      <c r="AP77" s="388">
        <f ca="1">ACOS(AO77-TAN(Control!$B$8*PI()/180)*TAN(AN77))</f>
        <v>1.6793245651056818</v>
      </c>
      <c r="AQ77" s="388">
        <f t="shared" ca="1" si="363"/>
        <v>0</v>
      </c>
      <c r="AR77" s="394">
        <f t="shared" ca="1" si="250"/>
        <v>0</v>
      </c>
      <c r="AS77" s="436">
        <f ca="1">IF(Control!$B$18=2,(IF(OR($AH77=Control!$B$175,$AH77=Control!$B$176,$AH77=Control!$B$177,$AH77=Control!$B$178,$AH77=Control!$B$179,$AH77=Control!$B$180,$AH77=Control!$B$181,$AH77=Control!$B$182,$AH77=Control!$B$183,$AH77=Control!$B$184,$AH77=Control!$B$185),1,0)),0)</f>
        <v>0</v>
      </c>
      <c r="AT77" s="436">
        <f>IF(Control!$B$20=8,IF(AND($AH77&gt;=Control!$B$172,$AH77&lt;=Control!$B$173),1,0),0)</f>
        <v>0</v>
      </c>
      <c r="AU77" s="436">
        <f>IF(Control!$B$20=8,IF($AV76=1,1*$AT77,IF($AT77=1,$AU76+1,$AU76)),0)</f>
        <v>0</v>
      </c>
      <c r="AV77" s="436">
        <f>IF(Control!$B$20=8,IF($AU77&gt;=Control!$B$174,1,0),0)</f>
        <v>0</v>
      </c>
      <c r="AW77" s="436">
        <f ca="1">IF(AND(Control!$B$18=2,Control!$B$171=1), $AV77, $AS77)</f>
        <v>0</v>
      </c>
      <c r="AX77" s="436" t="e">
        <f ca="1">IF(AND(Control!$B$18=1,$EU77&gt;=Control!$B$19),-$AY77,IF(AND(Control!$B$18=2,$AW77=1,$EU77&gt;$DS77),-$AY77, IF(Control!$C$108=0,0, IF(Control!$C$108&lt;&gt;0,1))))</f>
        <v>#N/A</v>
      </c>
      <c r="AY77" s="436" t="e">
        <f t="shared" ca="1" si="364"/>
        <v>#N/A</v>
      </c>
      <c r="AZ77" s="436" t="e">
        <f ca="1">IF(AND(Control!$B$18=1,$EB77&gt;Control!$B$19),$AZ76+1, IF(AND(Control!$B$18=2, $AW77=1, $EB77&gt;$DS77), $AZ76+1,$AZ76))</f>
        <v>#N/A</v>
      </c>
      <c r="BA77" s="587">
        <f>IF(Control!$C$81=0,1,IF($AH77&gt;=Control!$C$82,1,0))</f>
        <v>1</v>
      </c>
      <c r="BB77" s="140" t="e">
        <f ca="1">IF($BA77&gt;$BA76,Control!$C$83,IF($AW77&gt;0,$AW77*Control!$C$84,IF(AND(Control!$B$18=1,EN76&lt;&gt;0),Control!$C$84,0)))</f>
        <v>#N/A</v>
      </c>
      <c r="BC77" s="140" t="e">
        <f t="shared" ca="1" si="365"/>
        <v>#N/A</v>
      </c>
      <c r="BD77" s="140" t="e">
        <f ca="1">BC77*IF(OR($G77&lt;Control!$C$92,$G77&gt;Control!$C$95),0,IF(AND($G77&gt;=Control!$C$92,$G77&lt;=Control!$C$93),$G77-Control!$C$92,IF(AND($G77&gt;Control!$C$93,$G77&lt;=Control!$C$94),Control!$C$93-Control!$C$92,IF(AND($G77&gt;Control!$C$94,$G77&lt;=Control!$C$95),(Control!$C$93-Control!$C$92)*(Control!$C$94-$G77)/(Control!$C$95-Control!$C$94)))))</f>
        <v>#N/A</v>
      </c>
      <c r="BE77" s="140" t="e">
        <f t="shared" ca="1" si="366"/>
        <v>#N/A</v>
      </c>
      <c r="BF77" s="140" t="e">
        <f ca="1">IF($BE77&lt;=Control!$C$86,$BE77,Control!$C$86-$BE77)</f>
        <v>#N/A</v>
      </c>
      <c r="BG77" s="140" t="e">
        <f ca="1">IF(AND($AW77=1,Control!$C$84&lt;9),1,IF($BE77&gt;=Control!$C$86,0,$BC77))</f>
        <v>#N/A</v>
      </c>
      <c r="BH77" s="404" t="e">
        <f ca="1">IF($BG77=0,0,IF($BE77&lt;=Control!$C$86,$BC77*9*($BF77/Control!$C$86),0))</f>
        <v>#N/A</v>
      </c>
      <c r="BI77" s="140" t="e">
        <f ca="1">IF($BG77=1,0,IF($BE77&gt;=Control!$C$86,1,IF(AND($BB77&lt;21,$BB77&gt;=9),1,$BM76)))</f>
        <v>#N/A</v>
      </c>
      <c r="BJ77" s="140" t="e">
        <f ca="1">IF($BF77&lt;0,-$BF77,$BI77*IF(OR($G77&lt;Control!$C$92,$G77&gt;Control!$C$95),0,IF(AND($G77&gt;=Control!$C$92,$G77&lt;=Control!$C$93),$G77-Control!$C$92,IF(AND($G77&gt;Control!$C$93,$G77&lt;=Control!$C$94),Control!$C$93-Control!$C$92,IF(AND($G77&gt;Control!$C$94,$G77&lt;=Control!$C$95),(Control!$C$93-Control!$C$92)*(Control!$C$94-$G77)/(Control!$C$95-Control!$C$94))))))</f>
        <v>#N/A</v>
      </c>
      <c r="BK77" s="140" t="e">
        <f t="shared" ca="1" si="367"/>
        <v>#N/A</v>
      </c>
      <c r="BL77" s="140" t="e">
        <f ca="1">IF($BK77&lt;=Control!$C$87,$BK77,Control!$C$87-$BK77)</f>
        <v>#N/A</v>
      </c>
      <c r="BM77" s="140" t="e">
        <f ca="1">IF(AND($BB77&gt;=9,$BB77&lt;21),1,IF($BK77&gt;=Control!$C$87,0,$BI77))</f>
        <v>#N/A</v>
      </c>
      <c r="BN77" s="404" t="e">
        <f ca="1">IF($BM77=0,0,IF($BK77&lt;=Control!$C$87,$BI77*(9+(21-9)*($BL77/Control!$C$87)),0))</f>
        <v>#N/A</v>
      </c>
      <c r="BO77" s="140" t="e">
        <f ca="1">IF($BM77=1,0,IF($BK77&gt;=Control!$C$87,1,IF(AND($BB77&lt;30,$BB77&gt;=21),1,$BS76)))</f>
        <v>#N/A</v>
      </c>
      <c r="BP77" s="140" t="e">
        <f ca="1">IF($BL77&lt;0,-$BL77,$BO77*IF(OR($G77&lt;Control!$C$92,$G77&gt;Control!$C$95),0,IF(AND($G77&gt;=Control!$C$92,$G77&lt;=Control!$C$93),$G77-Control!$C$92,IF(AND($G77&gt;Control!$C$93,$G77&lt;=Control!$C$94),Control!$C$93-Control!$C$92,IF(AND($G77&gt;Control!$C$94,$G77&lt;=Control!$C$95),(Control!$C$93-Control!$C$92)*(Control!$C$94-$G77)/(Control!$C$95-Control!$C$94))))))</f>
        <v>#N/A</v>
      </c>
      <c r="BQ77" s="140" t="e">
        <f t="shared" ca="1" si="251"/>
        <v>#N/A</v>
      </c>
      <c r="BR77" s="140" t="e">
        <f ca="1">IF($BQ77&lt;=Control!$C$88,$BQ77,Control!$C$88-$BQ77)</f>
        <v>#N/A</v>
      </c>
      <c r="BS77" s="140" t="e">
        <f ca="1">IF(AND($BB77&gt;=21,$BB77&lt;30),1,IF($BQ77&gt;=Control!$C$88,0,$BO77))</f>
        <v>#N/A</v>
      </c>
      <c r="BT77" s="404" t="e">
        <f ca="1">IF($BS77=0,0,IF($BQ77&lt;=Control!$C$88,$BO77*(21+(30-21)*(BR77/Control!$C$88)),0))</f>
        <v>#N/A</v>
      </c>
      <c r="BU77" s="140" t="e">
        <f ca="1">IF(BG77+BM77+BS77=1,0,IF(OR(AND($BB77&lt;60,$BB77&gt;=30),$BQ77&gt;=Control!$C$88),1*$BA77,$BY76))</f>
        <v>#N/A</v>
      </c>
      <c r="BV77" s="140" t="e">
        <f ca="1">IF($BR77&lt;0,-$BR77,$BU77*IF(OR($G77&lt;Control!$C$92,$G77&gt;Control!$C$95),0,IF(AND($G77&gt;=Control!$C$92,$G77&lt;=Control!$C$93),$G77-Control!$C$92,IF(AND($G77&gt;Control!$C$93,$G77&lt;=Control!$C$94),Control!$C$93-Control!$C$92,IF(AND($G77&gt;Control!$C$94,$G77&lt;=Control!$C$95),(Control!$C$93-Control!$C$92)*(Control!$C$94-$G77)/(Control!$C$95-Control!$C$94))))))</f>
        <v>#N/A</v>
      </c>
      <c r="BW77" s="140" t="e">
        <f t="shared" ca="1" si="252"/>
        <v>#N/A</v>
      </c>
      <c r="BX77" s="140" t="e">
        <f ca="1">IF($BW77&lt;=Control!$C$89,$BW77,Control!$C$89-$BW77)</f>
        <v>#N/A</v>
      </c>
      <c r="BY77" s="140" t="e">
        <f ca="1">IF(AND($AJ77&gt;=30,$AJ77&lt;60),1,IF($BW77&gt;=Control!$C$89,0,$BU77))</f>
        <v>#N/A</v>
      </c>
      <c r="BZ77" s="404" t="e">
        <f ca="1">IF($BY77=0,0,IF($BW77&lt;=Control!$C$89,$BU77*(30+(60-30)*(BX77/Control!$C$89)),0))</f>
        <v>#N/A</v>
      </c>
      <c r="CA77" s="140" t="e">
        <f ca="1">IF($BG77+$BM77+$BS77+$BY77=1,0,IF(OR(AND($BB77&lt;65,$BB77&gt;=60),$BW77&gt;=Control!$C$89),1*$BA77,$CE76))</f>
        <v>#N/A</v>
      </c>
      <c r="CB77" s="140" t="e">
        <f ca="1">IF($BX77&lt;0,-$BX77,$CA77*IF(OR($G77&lt;Control!$C$92,$G77&gt;Control!$C$95),0,IF(AND($G77&gt;=Control!$C$92,$G77&lt;=Control!$C$93),$G77-Control!$C$92,IF(AND($G77&gt;Control!$C$93,$G77&lt;=Control!$C$94),Control!$C$93-Control!$C$92,IF(AND($G77&gt;Control!$C$94,$G77&lt;=Control!$C$95),(Control!$C$93-Control!$C$92)*(Control!$C$94-$G77)/(Control!$C$95-Control!$C$94))))))</f>
        <v>#N/A</v>
      </c>
      <c r="CC77" s="140" t="e">
        <f t="shared" ca="1" si="368"/>
        <v>#N/A</v>
      </c>
      <c r="CD77" s="140" t="e">
        <f ca="1">IF($CC77&lt;=Control!$C$90,$CC77,Control!$C$90-$CC77)</f>
        <v>#N/A</v>
      </c>
      <c r="CE77" s="140" t="e">
        <f ca="1">IF(AND($BB77&gt;=60,$BB77&lt;65),1,IF($CC77&gt;=Control!$C$90,0,$CA77))</f>
        <v>#N/A</v>
      </c>
      <c r="CF77" s="404" t="e">
        <f ca="1">IF($CE77=0,0,IF($CC77&lt;=Control!$C$90,$CA77*(60+(65-60)*(CD77/Control!$C$90)),0))</f>
        <v>#N/A</v>
      </c>
      <c r="CG77" s="140" t="e">
        <f ca="1">IF($BG77+$BM77+$BS77+$BY77+$CE77=1,0,IF(OR(AND($BB77&lt;90,$BB77&gt;=65),$CC77&gt;=Control!$C$90),$BA77,$CK76))</f>
        <v>#N/A</v>
      </c>
      <c r="CH77" s="140" t="e">
        <f ca="1">IF($CD77&lt;0,-$CD77,$CG77*IF(OR($G77&lt;Control!$C$92,$G77&gt;Control!$C$95),0,IF(AND($G77&gt;=Control!$C$92,$G77&lt;=Control!$C$93),$G77-Control!$C$92,IF(AND($G77&gt;Control!$C$93,$G77&lt;=Control!$C$94),Control!$C$93-Control!$C$92,IF(AND($G77&gt;Control!$C$94,$G77&lt;=Control!$C$95),(Control!$C$93-Control!$C$92)*(Control!$C$94-$G77)/(Control!$C$95-Control!$C$94))))))</f>
        <v>#N/A</v>
      </c>
      <c r="CI77" s="140" t="e">
        <f t="shared" ca="1" si="369"/>
        <v>#N/A</v>
      </c>
      <c r="CJ77" s="140" t="e">
        <f ca="1">IF($CI77&lt;=Control!$C$91,$CI77,Control!$C$91-$CI77)</f>
        <v>#N/A</v>
      </c>
      <c r="CK77" s="140" t="e">
        <f ca="1">IF(AND($BB77&gt;=65,$BB77&lt;90),1,IF($CI77&gt;=Control!$C$91,0,$CG77))</f>
        <v>#N/A</v>
      </c>
      <c r="CL77" s="404" t="e">
        <f ca="1">IF($CK77=0,0,IF($CI77&lt;=Control!$C$91,$CG77*(65+(90-65)*($CJ77/Control!$C$91)),0))</f>
        <v>#N/A</v>
      </c>
      <c r="CM77" s="140" t="e">
        <f ca="1">IF($BG77+$BM77+$BS77+$BY77+$CE77+$CK77=1,0,IF(OR($BB77&gt;=90,$CI77&gt;=Control!$C$91),$BA77,$CM76))</f>
        <v>#N/A</v>
      </c>
      <c r="CN77" s="140" t="e">
        <f t="shared" ca="1" si="370"/>
        <v>#N/A</v>
      </c>
      <c r="CO77" s="140" t="e">
        <f t="shared" ca="1" si="371"/>
        <v>#N/A</v>
      </c>
      <c r="CP77" s="140" t="e">
        <f t="shared" ca="1" si="372"/>
        <v>#N/A</v>
      </c>
      <c r="CQ77" s="141" t="e">
        <f ca="1">VLOOKUP($CP77,Control!$B$86:$G$91,6)</f>
        <v>#N/A</v>
      </c>
      <c r="CR77" s="141" t="e">
        <f ca="1">(1-$CQ77)*VLOOKUP($CP77,Control!$B$86:$D$91,3)</f>
        <v>#N/A</v>
      </c>
      <c r="CS77" s="141" t="e">
        <f ca="1">(1-$CQ77)*VLOOKUP($CP77,Control!$B$86:$E$91,4)</f>
        <v>#N/A</v>
      </c>
      <c r="CT77" s="141" t="e">
        <f ca="1">(1-$CQ77)*VLOOKUP($CP77,Control!$B$86:$F$91,5)</f>
        <v>#N/A</v>
      </c>
      <c r="CU77" s="141">
        <f t="shared" ca="1" si="373"/>
        <v>0</v>
      </c>
      <c r="CV77" s="583">
        <f t="shared" ca="1" si="374"/>
        <v>0</v>
      </c>
      <c r="CW77" s="142">
        <f t="shared" ca="1" si="375"/>
        <v>73</v>
      </c>
      <c r="CX77" s="612" t="e">
        <f ca="1">IF(Control!$C$114=1,(MIN(Control!$C$120*(IF($NT77-0.01&lt;0,0,1)),Control!$C$119-$CY77)))</f>
        <v>#DIV/0!</v>
      </c>
      <c r="CY77" s="143" t="e">
        <f t="shared" ca="1" si="376"/>
        <v>#N/A</v>
      </c>
      <c r="CZ77" s="144">
        <f t="shared" ca="1" si="253"/>
        <v>0</v>
      </c>
      <c r="DA77" s="144">
        <f t="shared" ca="1" si="254"/>
        <v>0</v>
      </c>
      <c r="DB77" s="144" t="e">
        <f t="shared" ca="1" si="255"/>
        <v>#N/A</v>
      </c>
      <c r="DC77" s="144" t="e">
        <f t="shared" ca="1" si="256"/>
        <v>#N/A</v>
      </c>
      <c r="DD77" s="144" t="e">
        <f t="shared" ca="1" si="461"/>
        <v>#N/A</v>
      </c>
      <c r="DE77" s="143" t="e">
        <f t="shared" ca="1" si="377"/>
        <v>#N/A</v>
      </c>
      <c r="DF77" s="145" t="e">
        <f ca="1">$DR77*EXP(-Control!$C$158*(1-$KH77))</f>
        <v>#N/A</v>
      </c>
      <c r="DG77" s="146" t="e">
        <f ca="1">IF(Control!$C$114=1, $DF77*$EY77, 0)</f>
        <v>#N/A</v>
      </c>
      <c r="DH77" s="147" t="e">
        <f t="shared" ca="1" si="378"/>
        <v>#N/A</v>
      </c>
      <c r="DI77" s="144" t="e">
        <f t="shared" ca="1" si="439"/>
        <v>#N/A</v>
      </c>
      <c r="DJ77" s="147" t="e">
        <f ca="1">$EF77*Control!$C$109</f>
        <v>#N/A</v>
      </c>
      <c r="DK77" s="144" t="e">
        <f t="shared" ca="1" si="379"/>
        <v>#N/A</v>
      </c>
      <c r="DL77" s="144" t="e">
        <f t="shared" ca="1" si="257"/>
        <v>#N/A</v>
      </c>
      <c r="DM77" s="144" t="e">
        <f ca="1">IF(Control!$C$114=1, (1-EXP(-Control!$C$96*$DK77))*$AR77, 0)</f>
        <v>#N/A</v>
      </c>
      <c r="DN77" s="144">
        <f t="shared" ca="1" si="380"/>
        <v>0</v>
      </c>
      <c r="DO77" s="148">
        <f>Control!$C$97</f>
        <v>4</v>
      </c>
      <c r="DP77" s="145" t="e">
        <f t="shared" ca="1" si="381"/>
        <v>#N/A</v>
      </c>
      <c r="DQ77" s="145" t="e">
        <f ca="1">IF(AND($CP77&gt;=0,$CP77&lt;=90),Control!$C$111,Control!$C$111)</f>
        <v>#N/A</v>
      </c>
      <c r="DR77" s="145" t="e">
        <f t="shared" ca="1" si="258"/>
        <v>#N/A</v>
      </c>
      <c r="DS77" s="143" t="e">
        <f ca="1">Control!$B$22/$DR77</f>
        <v>#N/A</v>
      </c>
      <c r="DT77" s="149" t="e">
        <f ca="1">IF(AND(Control!$C$114=1,$KH77&lt;1),$IM77*$DF77, 0)</f>
        <v>#N/A</v>
      </c>
      <c r="DU77" s="144" t="e">
        <f t="shared" ca="1" si="382"/>
        <v>#N/A</v>
      </c>
      <c r="DV77" s="144">
        <f ca="1">IF($G77-Control!$C$107&lt;=0, 0, 0.83*LN(MAX($G77, 3))-0.8924)</f>
        <v>0</v>
      </c>
      <c r="DW77" s="144" t="e">
        <f t="shared" ca="1" si="259"/>
        <v>#N/A</v>
      </c>
      <c r="DX77" s="150" t="e">
        <f ca="1">MAX(0.01*(1+$CU77/Control!$C$102),0.05*($DK77-Control!$C$97)/Control!$C$97)</f>
        <v>#N/A</v>
      </c>
      <c r="DY77" s="151" t="e">
        <f ca="1">IF(Control!$C$114=1, $DI77*$FS77, 0)</f>
        <v>#N/A</v>
      </c>
      <c r="DZ77" s="196" t="e">
        <f t="shared" ca="1" si="383"/>
        <v>#N/A</v>
      </c>
      <c r="EA77" s="152">
        <f t="shared" ca="1" si="384"/>
        <v>73</v>
      </c>
      <c r="EB77" s="153" t="e">
        <f t="shared" ca="1" si="385"/>
        <v>#N/A</v>
      </c>
      <c r="EC77" s="153" t="e">
        <f t="shared" ca="1" si="386"/>
        <v>#N/A</v>
      </c>
      <c r="ED77" s="154" t="e">
        <f ca="1">IF(Control!$C$114=1, $HM77*$FY77-$FD77, 0)</f>
        <v>#DIV/0!</v>
      </c>
      <c r="EE77" s="155" t="e">
        <f ca="1">IF(Control!$C$114=1, $HM77*$FZ77-$FF77, 0)</f>
        <v>#DIV/0!</v>
      </c>
      <c r="EF77" s="153" t="e">
        <f t="shared" ca="1" si="440"/>
        <v>#N/A</v>
      </c>
      <c r="EG77" s="155" t="e">
        <f ca="1">IF(Control!$C$114=1, $GX77*$FW77-$FI77, 0)</f>
        <v>#DIV/0!</v>
      </c>
      <c r="EH77" s="153" t="e">
        <f t="shared" ca="1" si="387"/>
        <v>#N/A</v>
      </c>
      <c r="EI77" s="156" t="e">
        <f t="shared" ca="1" si="388"/>
        <v>#N/A</v>
      </c>
      <c r="EJ77" s="155" t="e">
        <f ca="1">IF(Control!$C$114=1, $HM77*$GB77, 0)</f>
        <v>#DIV/0!</v>
      </c>
      <c r="EK77" s="153" t="e">
        <f t="shared" ca="1" si="441"/>
        <v>#N/A</v>
      </c>
      <c r="EL77" s="153" t="e">
        <f t="shared" ca="1" si="260"/>
        <v>#N/A</v>
      </c>
      <c r="EM77" s="153" t="e">
        <f t="shared" ca="1" si="261"/>
        <v>#N/A</v>
      </c>
      <c r="EN77" s="153" t="e">
        <f ca="1">IF(Control!$C$108=1,IF(AND(Control!$B$18=1,$EB77&gt;=Control!$B$19),$EB77-$DS77,IF(AND(Control!$B$18=2,$AW77=1,$EB77&gt;$DS77),$EB77-$DS77,0)))</f>
        <v>#N/A</v>
      </c>
      <c r="EO77" s="153" t="e">
        <f ca="1">IF(Control!$C$108=1,IF(AND(Control!$B$18=1,$EB77&gt;=Control!$B$19),$EF77,IF(AND(Control!$B$18=2,$AW77=1),$EF77,0)))</f>
        <v>#N/A</v>
      </c>
      <c r="EP77" s="153" t="e">
        <f ca="1">IF(Control!$C$108=1,IF(AND(Control!$B$18=1,$EB77&gt;=Control!$B$19),$EK77,IF(AND(Control!$B$18=2,$AW77=1),$EK77,0)))</f>
        <v>#N/A</v>
      </c>
      <c r="EQ77" s="153" t="e">
        <f t="shared" ca="1" si="389"/>
        <v>#N/A</v>
      </c>
      <c r="ER77" s="153" t="e">
        <f t="shared" ca="1" si="390"/>
        <v>#N/A</v>
      </c>
      <c r="ES77" s="153" t="e">
        <f t="shared" ca="1" si="442"/>
        <v>#N/A</v>
      </c>
      <c r="ET77" s="153" t="e">
        <f t="shared" ca="1" si="443"/>
        <v>#N/A</v>
      </c>
      <c r="EU77" s="153" t="e">
        <f t="shared" ca="1" si="391"/>
        <v>#N/A</v>
      </c>
      <c r="EV77" s="153" t="e">
        <f t="shared" ca="1" si="262"/>
        <v>#N/A</v>
      </c>
      <c r="EW77" s="153" t="e">
        <f t="shared" ca="1" si="263"/>
        <v>#N/A</v>
      </c>
      <c r="EX77" s="153" t="e">
        <f t="shared" ca="1" si="264"/>
        <v>#N/A</v>
      </c>
      <c r="EY77" s="157" t="e">
        <f t="shared" ca="1" si="265"/>
        <v>#DIV/0!</v>
      </c>
      <c r="EZ77" s="154" t="e">
        <f t="shared" ca="1" si="266"/>
        <v>#DIV/0!</v>
      </c>
      <c r="FA77" s="153" t="e">
        <f t="shared" ca="1" si="392"/>
        <v>#N/A</v>
      </c>
      <c r="FB77" s="153" t="e">
        <f t="shared" ca="1" si="267"/>
        <v>#N/A</v>
      </c>
      <c r="FC77" s="193" t="e">
        <f t="shared" ca="1" si="268"/>
        <v>#N/A</v>
      </c>
      <c r="FD77" s="158" t="e">
        <f t="shared" ca="1" si="393"/>
        <v>#N/A</v>
      </c>
      <c r="FE77" s="158" t="e">
        <f t="shared" ca="1" si="394"/>
        <v>#N/A</v>
      </c>
      <c r="FF77" s="159" t="e">
        <f t="shared" ca="1" si="269"/>
        <v>#N/A</v>
      </c>
      <c r="FG77" s="160" t="e">
        <f t="shared" ca="1" si="395"/>
        <v>#N/A</v>
      </c>
      <c r="FH77" s="158" t="e">
        <f t="shared" ca="1" si="396"/>
        <v>#N/A</v>
      </c>
      <c r="FI77" s="159" t="e">
        <f t="shared" ca="1" si="270"/>
        <v>#N/A</v>
      </c>
      <c r="FJ77" s="160" t="e">
        <f t="shared" ca="1" si="397"/>
        <v>#N/A</v>
      </c>
      <c r="FK77" s="160" t="e">
        <f t="shared" ca="1" si="271"/>
        <v>#N/A</v>
      </c>
      <c r="FL77" s="160" t="e">
        <f t="shared" ca="1" si="444"/>
        <v>#N/A</v>
      </c>
      <c r="FM77" s="160" t="e">
        <f t="shared" ca="1" si="272"/>
        <v>#N/A</v>
      </c>
      <c r="FN77" s="158">
        <f t="shared" ca="1" si="398"/>
        <v>0.01</v>
      </c>
      <c r="FO77" s="160">
        <f>Control!$C$101</f>
        <v>50</v>
      </c>
      <c r="FP77" s="150" t="e">
        <f t="shared" ca="1" si="273"/>
        <v>#N/A</v>
      </c>
      <c r="FQ77" s="150" t="e">
        <f ca="1">MAX(0,(Control!$C$112*(($DK77-Control!$C$97)/Control!$C$97)))</f>
        <v>#N/A</v>
      </c>
      <c r="FR77" s="150" t="e">
        <f ca="1">(1-$NT77)*Control!$C$113</f>
        <v>#DIV/0!</v>
      </c>
      <c r="FS77" s="198" t="e">
        <f t="shared" ca="1" si="274"/>
        <v>#N/A</v>
      </c>
      <c r="FT77" s="161">
        <f t="shared" ca="1" si="399"/>
        <v>73</v>
      </c>
      <c r="FU77" s="162" t="e">
        <f ca="1">IF(Control!$B$34=1,VLOOKUP($CP77,Control!$B$86:$G$91,6),Control!$B$35)</f>
        <v>#N/A</v>
      </c>
      <c r="FV77" s="162" t="e">
        <f t="shared" ca="1" si="275"/>
        <v>#DIV/0!</v>
      </c>
      <c r="FW77" s="162" t="e">
        <f ca="1">IF(Control!$B$31=1,$FU77*$FV77,  $FU77)</f>
        <v>#N/A</v>
      </c>
      <c r="FX77" s="162" t="e">
        <f ca="1">IF(Control!$B$34=1,VLOOKUP($CP77,Control!$B$86:$G$91,3),Control!$B$36)</f>
        <v>#N/A</v>
      </c>
      <c r="FY77" s="162" t="e">
        <f t="shared" ca="1" si="276"/>
        <v>#N/A</v>
      </c>
      <c r="FZ77" s="162" t="e">
        <f ca="1">IF(Control!$B$34=1,VLOOKUP($CP77,Control!$B$86:$G$91,4),Control!$B$37)</f>
        <v>#N/A</v>
      </c>
      <c r="GA77" s="162" t="e">
        <f t="shared" ca="1" si="277"/>
        <v>#N/A</v>
      </c>
      <c r="GB77" s="162" t="e">
        <f ca="1">IF(Control!$B$34=1,VLOOKUP($CP77,Control!$B$86:$G$91,5),Control!$B$38)</f>
        <v>#N/A</v>
      </c>
      <c r="GC77" s="162" t="e">
        <f t="shared" ca="1" si="400"/>
        <v>#N/A</v>
      </c>
      <c r="GD77" s="162">
        <f t="shared" ca="1" si="278"/>
        <v>1</v>
      </c>
      <c r="GE77" s="162">
        <f t="shared" ca="1" si="279"/>
        <v>1</v>
      </c>
      <c r="GF77" s="162">
        <f ca="1">IF(AND(Control!$C$104=1, Control!$C$62="F"),$GE77,1)</f>
        <v>1</v>
      </c>
      <c r="GG77" s="162" t="e">
        <f ca="1">IF(Control!$B$16=40,0,IF(AND(Control!$B$16&gt;40,Control!$B$16&lt;=360),(Control!$B$16-40)*((1-0)/(360-40)),IF(AND(Control!$B$16&gt;360,Control!$B$16&lt;=720),(1+(Control!$B$16-360)*((1.25-1)/(720-360))),IF(AND(Control!$B$16&gt;720,Control!$B$16&lt;=1000),(1.25+(Control!$B$16-720)*((1.35-1.25)/(1000-720))),IF(AND(Control!$B$16&gt;1000,Control!$B$16&lt;=2000),(1.35+(Control!$B$16-1000)*0))))))</f>
        <v>#N/A</v>
      </c>
      <c r="GH77" s="162" t="e">
        <f t="shared" ca="1" si="280"/>
        <v>#N/A</v>
      </c>
      <c r="GI77" s="162">
        <f t="shared" ca="1" si="401"/>
        <v>0</v>
      </c>
      <c r="GJ77" s="162">
        <f t="shared" ca="1" si="281"/>
        <v>0</v>
      </c>
      <c r="GK77" s="162">
        <f t="shared" ca="1" si="402"/>
        <v>1</v>
      </c>
      <c r="GL77" s="162">
        <f t="shared" ca="1" si="282"/>
        <v>1</v>
      </c>
      <c r="GM77" s="162" t="e">
        <f ca="1">MAX(0,MIN(1,1-Control!$C$156*(1.0001-$KH77)^2))</f>
        <v>#N/A</v>
      </c>
      <c r="GN77" s="162" t="e">
        <f ca="1">IF(Control!$B$26=1,$KU77,$KX77)</f>
        <v>#N/A</v>
      </c>
      <c r="GO77" s="162" t="e">
        <f ca="1">IF($CP77&lt;=60,Control!$C$105,IF($CP77&gt;=90,Control!$C$106,Control!$C$105+($CP77-60)*((Control!$C$106-Control!$C$105)/(90-60))))</f>
        <v>#N/A</v>
      </c>
      <c r="GP77" s="162" t="e">
        <f t="shared" ca="1" si="283"/>
        <v>#N/A</v>
      </c>
      <c r="GQ77" s="162" t="e">
        <f t="shared" ca="1" si="403"/>
        <v>#N/A</v>
      </c>
      <c r="GR77" s="163" t="e">
        <f t="shared" ca="1" si="284"/>
        <v>#DIV/0!</v>
      </c>
      <c r="GS77" s="162" t="e">
        <f t="shared" ca="1" si="285"/>
        <v>#DIV/0!</v>
      </c>
      <c r="GT77" s="164" t="e">
        <f t="shared" ca="1" si="404"/>
        <v>#N/A</v>
      </c>
      <c r="GU77" s="162" t="e">
        <f t="shared" ca="1" si="405"/>
        <v>#N/A</v>
      </c>
      <c r="GV77" s="162" t="e">
        <f t="shared" ca="1" si="286"/>
        <v>#N/A</v>
      </c>
      <c r="GW77" s="162" t="e">
        <f t="shared" ca="1" si="287"/>
        <v>#DIV/0!</v>
      </c>
      <c r="GX77" s="162" t="e">
        <f t="shared" ca="1" si="406"/>
        <v>#DIV/0!</v>
      </c>
      <c r="GY77" s="162" t="e">
        <f t="shared" ca="1" si="407"/>
        <v>#DIV/0!</v>
      </c>
      <c r="GZ77" s="165" t="e">
        <f t="shared" ca="1" si="288"/>
        <v>#N/A</v>
      </c>
      <c r="HA77" s="162" t="e">
        <f ca="1">IF(Control!$C$114=1, $DI77*$FS77, 0)</f>
        <v>#N/A</v>
      </c>
      <c r="HB77" s="162" t="e">
        <f ca="1">$FA77/Control!$C$64</f>
        <v>#N/A</v>
      </c>
      <c r="HC77" s="162" t="e">
        <f t="shared" ca="1" si="289"/>
        <v>#DIV/0!</v>
      </c>
      <c r="HD77" s="162">
        <f ca="1">-ASIN(SIN(23.45*Control!$C$139)*COS(2*Control!$C$138*($AH77+10)/365))</f>
        <v>-5.6354398644541351E-2</v>
      </c>
      <c r="HE77" s="165">
        <f t="shared" ca="1" si="408"/>
        <v>0</v>
      </c>
      <c r="HF77" s="166">
        <f ca="1">IF(AND(Control!$C$61="T",$HE77&gt;=Control!$C$103,Control!$C$114=0),$AH77,Control!$C$59)</f>
        <v>1</v>
      </c>
      <c r="HG77" s="166">
        <f ca="1">IF(AND(Control!$C$61="T",$HE77&gt;=Control!$C$103,Control!$C$114=0),$HF77,Control!$C$59)</f>
        <v>1</v>
      </c>
      <c r="HH77" s="165">
        <f ca="1">IF(AND(OR(Control!$C$60&lt;=0, $AH77= Control!$C$59, Control!$C$60 &gt;0, $AH77 = Control!$C$60)), Control!$C$59, IF(Control!$C$60&gt;0, 0))</f>
        <v>1</v>
      </c>
      <c r="HI77" s="165">
        <f ca="1">IF(AND(OR(Control!$C$60&lt;=0, $AH77= Control!$C$59, Control!$C$60 &gt;0, $AH77 = Control!$C$60)), Control!$C$60, IF(Control!$C$60&lt;=0, 0))</f>
        <v>0</v>
      </c>
      <c r="HJ77" s="166">
        <f ca="1">IF(AND(Control!$C$62="F",$CV77&gt;=Control!$C$102),$AH77,0)</f>
        <v>0</v>
      </c>
      <c r="HK77" s="165" t="e">
        <f t="shared" ca="1" si="445"/>
        <v>#N/A</v>
      </c>
      <c r="HL77" s="166">
        <f ca="1">IF(AND(Control!$C$61="T",$HE77&gt;=Control!$C$103,Control!$C$114=0),$HF77,0)</f>
        <v>0</v>
      </c>
      <c r="HM77" s="201" t="e">
        <f t="shared" ca="1" si="290"/>
        <v>#DIV/0!</v>
      </c>
      <c r="HN77" s="215">
        <f t="shared" ca="1" si="409"/>
        <v>73</v>
      </c>
      <c r="HO77" s="216" t="e">
        <f ca="1">IF(AND($CP77&gt;=0, $CP77&lt;=90), Control!$C$152, Control!$C$152)</f>
        <v>#N/A</v>
      </c>
      <c r="HP77" s="216" t="e">
        <f t="shared" ca="1" si="291"/>
        <v>#N/A</v>
      </c>
      <c r="HQ77" s="217" t="e">
        <f ca="1">IF(OR(Control!$B$26=1,Control!$B$26=2),$KV77,$KS77)</f>
        <v>#DIV/0!</v>
      </c>
      <c r="HR77" s="218" t="e">
        <f t="shared" ca="1" si="446"/>
        <v>#DIV/0!</v>
      </c>
      <c r="HS77" s="216" t="e">
        <f ca="1">Control!$C$154*$HP77</f>
        <v>#N/A</v>
      </c>
      <c r="HT77" s="216" t="e">
        <f ca="1">Control!$C$155*$HP77</f>
        <v>#N/A</v>
      </c>
      <c r="HU77" s="217" t="e">
        <f ca="1">Control!$C$161*$FI77</f>
        <v>#N/A</v>
      </c>
      <c r="HV77" s="218" t="e">
        <f t="shared" ca="1" si="410"/>
        <v>#N/A</v>
      </c>
      <c r="HW77" s="218" t="e">
        <f ca="1">Control!$C$160*$FF77+$IP77*$EO77</f>
        <v>#N/A</v>
      </c>
      <c r="HX77" s="218" t="e">
        <f t="shared" ca="1" si="447"/>
        <v>#N/A</v>
      </c>
      <c r="HY77" s="219" t="e">
        <f ca="1">IF(Control!$C$114=1, $EB77*$FS77, 0)</f>
        <v>#N/A</v>
      </c>
      <c r="HZ77" s="91" t="e">
        <f t="shared" ca="1" si="292"/>
        <v>#N/A</v>
      </c>
      <c r="IA77" s="220" t="e">
        <f ca="1">Control!$C$153*$HO77</f>
        <v>#N/A</v>
      </c>
      <c r="IB77" s="218" t="e">
        <f t="shared" ca="1" si="293"/>
        <v>#N/A</v>
      </c>
      <c r="IC77" s="220" t="e">
        <f ca="1">Control!$C$153*$HT77</f>
        <v>#N/A</v>
      </c>
      <c r="ID77" s="218" t="e">
        <f t="shared" ca="1" si="294"/>
        <v>#N/A</v>
      </c>
      <c r="IE77" s="221" t="e">
        <f ca="1">($EB77*Control!$C$159+$EF77*Control!$C$160)/(IF($GZ77&lt;&gt;0,$GZ77,1))</f>
        <v>#N/A</v>
      </c>
      <c r="IF77" s="216" t="e">
        <f t="shared" ca="1" si="295"/>
        <v>#N/A</v>
      </c>
      <c r="IG77" s="91">
        <f ca="1">IF(OR(Control!$B$198=$AH77,Control!$B$199=$AH77, Control!$B$200=$AH77, Control!$B$201=$AH77, Control!$B$202=$AH77, Control!$B$203=$AH77, Control!$B$204=$AH77, Control!$B$205=$AH77, Control!$B$206=$AH77, Control!$B$207=$AH77), 1, 0)</f>
        <v>0</v>
      </c>
      <c r="IH77" s="91">
        <f ca="1">IF($IG77=0,0, VLOOKUP($AH77,Control!$B$198:$C$207,2))</f>
        <v>0</v>
      </c>
      <c r="II77" s="222">
        <f t="shared" ca="1" si="411"/>
        <v>0</v>
      </c>
      <c r="IJ77" s="91">
        <f>Control!$C$121</f>
        <v>0.7</v>
      </c>
      <c r="IK77" s="218">
        <f t="shared" ca="1" si="296"/>
        <v>0</v>
      </c>
      <c r="IL77" s="217" t="e">
        <f t="shared" ca="1" si="448"/>
        <v>#N/A</v>
      </c>
      <c r="IM77" s="223" t="e">
        <f ca="1">IF(AND(Control!$C$114=1,$KH77&lt;1),$EB77*Control!$C$148*(1-$KH77), 0)</f>
        <v>#N/A</v>
      </c>
      <c r="IN77" s="217" t="e">
        <f t="shared" ca="1" si="297"/>
        <v>#DIV/0!</v>
      </c>
      <c r="IO77" s="91" t="e">
        <f ca="1">MAX(0,$IL77-$EF77*Control!$C$160)</f>
        <v>#N/A</v>
      </c>
      <c r="IP77" s="220" t="e">
        <f t="shared" ca="1" si="298"/>
        <v>#N/A</v>
      </c>
      <c r="IQ77" s="217" t="e">
        <f t="shared" ca="1" si="412"/>
        <v>#N/A</v>
      </c>
      <c r="IR77" s="218" t="e">
        <f t="shared" ca="1" si="299"/>
        <v>#N/A</v>
      </c>
      <c r="IS77" s="217" t="e">
        <f ca="1">Control!$C$159*MAX(0,$FD77-$EN77)</f>
        <v>#N/A</v>
      </c>
      <c r="IT77" s="217" t="e">
        <f t="shared" ca="1" si="449"/>
        <v>#N/A</v>
      </c>
      <c r="IU77" s="217" t="e">
        <f t="shared" ca="1" si="413"/>
        <v>#N/A</v>
      </c>
      <c r="IV77" s="217" t="e">
        <f t="shared" ca="1" si="450"/>
        <v>#N/A</v>
      </c>
      <c r="IW77" s="217" t="e">
        <f ca="1">IF(OR($AW77=1,AND($AW77=0, Control!$B$18=1,$EN77&lt;&gt;0)), $IQ77-$IU77, $IQ77)</f>
        <v>#N/A</v>
      </c>
      <c r="IX77" s="218" t="e">
        <f t="shared" ca="1" si="300"/>
        <v>#N/A</v>
      </c>
      <c r="IY77" s="218" t="e">
        <f ca="1">MAX(0,$IQ77-$EB77*Control!$C$159)</f>
        <v>#N/A</v>
      </c>
      <c r="IZ77" s="218" t="e">
        <f t="shared" ca="1" si="301"/>
        <v>#N/A</v>
      </c>
      <c r="JA77" s="216" t="e">
        <f t="shared" ca="1" si="302"/>
        <v>#N/A</v>
      </c>
      <c r="JB77" s="217" t="e">
        <f t="shared" ca="1" si="303"/>
        <v>#N/A</v>
      </c>
      <c r="JC77" s="222" t="e">
        <f ca="1">MAX(Control!$C$157*$EK77-$JT77, 0)/Control!$C$162</f>
        <v>#N/A</v>
      </c>
      <c r="JD77" s="218" t="e">
        <f t="shared" ca="1" si="304"/>
        <v>#N/A</v>
      </c>
      <c r="JE77" s="218" t="e">
        <f t="shared" ca="1" si="305"/>
        <v>#N/A</v>
      </c>
      <c r="JF77" s="218" t="e">
        <f t="shared" ca="1" si="414"/>
        <v>#N/A</v>
      </c>
      <c r="JG77" s="218" t="e">
        <f t="shared" ca="1" si="306"/>
        <v>#N/A</v>
      </c>
      <c r="JH77" s="217" t="e">
        <f t="shared" ca="1" si="415"/>
        <v>#N/A</v>
      </c>
      <c r="JI77" s="217" t="e">
        <f t="shared" ca="1" si="416"/>
        <v>#N/A</v>
      </c>
      <c r="JJ77" s="217" t="e">
        <f t="shared" ca="1" si="451"/>
        <v>#N/A</v>
      </c>
      <c r="JK77" s="217" t="e">
        <f ca="1">IF(Control!$C$114=1,IF(Control!$B$24=0,MAX(0,$JI77)*$GN77/Control!$C$64,(MAX(0,MIN($JI77,$JJ77*$GN77/Control!$C$64),0))))</f>
        <v>#N/A</v>
      </c>
      <c r="JL77" s="217" t="e">
        <f ca="1">$IK77/Control!$C$64-$JK77+$HQ77</f>
        <v>#N/A</v>
      </c>
      <c r="JM77" s="217" t="e">
        <f ca="1">IF(Control!$C$114=1,($JB77/(IF($JI77&lt;&gt;0,$JI77,1)))*$JK77,0)</f>
        <v>#N/A</v>
      </c>
      <c r="JN77" s="217" t="e">
        <f ca="1">IF(Control!$C$114=1,($JG77/(IF($JI77&lt;&gt;0,$JI77,1)))*$JK77, 0)</f>
        <v>#N/A</v>
      </c>
      <c r="JO77" s="218" t="e">
        <f t="shared" ca="1" si="307"/>
        <v>#N/A</v>
      </c>
      <c r="JP77" s="218" t="e">
        <f ca="1">MIN(($IY77+$IO77)*Control!$C$151, $JF77-$EH77*Control!$C$161)</f>
        <v>#N/A</v>
      </c>
      <c r="JQ77" s="218" t="e">
        <f t="shared" ca="1" si="308"/>
        <v>#N/A</v>
      </c>
      <c r="JR77" s="217" t="e">
        <f ca="1">IF($CP77-Control!$C$150&lt;0, 0, $JQ77/Control!$C$162)</f>
        <v>#N/A</v>
      </c>
      <c r="JS77" s="218" t="e">
        <f t="shared" ca="1" si="309"/>
        <v>#N/A</v>
      </c>
      <c r="JT77" s="218" t="e">
        <f t="shared" ca="1" si="417"/>
        <v>#N/A</v>
      </c>
      <c r="JU77" s="218" t="e">
        <f t="shared" ca="1" si="310"/>
        <v>#N/A</v>
      </c>
      <c r="JV77" s="218" t="e">
        <f t="shared" ca="1" si="311"/>
        <v>#N/A</v>
      </c>
      <c r="JW77" s="216" t="e">
        <f t="shared" ca="1" si="312"/>
        <v>#N/A</v>
      </c>
      <c r="JX77" s="91" t="e">
        <f t="shared" ca="1" si="313"/>
        <v>#N/A</v>
      </c>
      <c r="JY77" s="218" t="e">
        <f t="shared" ca="1" si="314"/>
        <v>#N/A</v>
      </c>
      <c r="JZ77" s="217" t="e">
        <f ca="1">IF(Control!$C$114=1,($IZ77/(IF($JI77&lt;&gt;0,$JI77,1)))*$JK77, 0)</f>
        <v>#N/A</v>
      </c>
      <c r="KA77" s="218" t="e">
        <f t="shared" ca="1" si="452"/>
        <v>#N/A</v>
      </c>
      <c r="KB77" s="218" t="e">
        <f t="shared" ca="1" si="418"/>
        <v>#N/A</v>
      </c>
      <c r="KC77" s="218" t="e">
        <f t="shared" ca="1" si="315"/>
        <v>#N/A</v>
      </c>
      <c r="KD77" s="218" t="e">
        <f t="shared" ca="1" si="316"/>
        <v>#N/A</v>
      </c>
      <c r="KE77" s="218" t="e">
        <f t="shared" ca="1" si="317"/>
        <v>#N/A</v>
      </c>
      <c r="KF77" s="218" t="e">
        <f t="shared" ca="1" si="318"/>
        <v>#N/A</v>
      </c>
      <c r="KG77" s="216" t="e">
        <f t="shared" ca="1" si="319"/>
        <v>#N/A</v>
      </c>
      <c r="KH77" s="221" t="e">
        <f ca="1">IF(Control!$B$24=0,1,MAX(0.001,MIN(1,IF(($IF77-$IE77)&lt;&gt;0,($KG77-$IE77)/($IF77-$IE77),1))))</f>
        <v>#N/A</v>
      </c>
      <c r="KI77" s="222" t="e">
        <f ca="1">IF(Control!$C$114=1, $KI76+ $KH76, 0)</f>
        <v>#N/A</v>
      </c>
      <c r="KJ77" s="217" t="e">
        <f t="shared" ca="1" si="320"/>
        <v>#N/A</v>
      </c>
      <c r="KK77" s="218" t="e">
        <f t="shared" ca="1" si="321"/>
        <v>#N/A</v>
      </c>
      <c r="KL77" s="274" t="e">
        <f ca="1">IF(Control!$B$26=3,4000000000*EXP(-8400/($G77+273)),IF(Control!$B$26=4,4000000000*EXP(-8400/($G77+273))*($KT77),0))</f>
        <v>#DIV/0!</v>
      </c>
      <c r="KM77" s="274" t="e">
        <f ca="1">IF(Control!$B$26=3,5600000000000*EXP(-9800/($G77+273)),IF(Control!$B$26=4,5600000000000*EXP(-9800/($G77+273))*$KT77,0))</f>
        <v>#DIV/0!</v>
      </c>
      <c r="KN77" s="454" t="e">
        <f t="shared" ca="1" si="419"/>
        <v>#DIV/0!</v>
      </c>
      <c r="KO77" s="274" t="e">
        <f t="shared" ca="1" si="420"/>
        <v>#DIV/0!</v>
      </c>
      <c r="KP77" s="454" t="e">
        <f t="shared" ca="1" si="322"/>
        <v>#DIV/0!</v>
      </c>
      <c r="KQ77" s="454" t="e">
        <f t="shared" ca="1" si="323"/>
        <v>#DIV/0!</v>
      </c>
      <c r="KR77" s="454" t="e">
        <f t="shared" ca="1" si="324"/>
        <v>#DIV/0!</v>
      </c>
      <c r="KS77" s="454" t="e">
        <f t="shared" ca="1" si="325"/>
        <v>#DIV/0!</v>
      </c>
      <c r="KT77" s="455" t="e">
        <f t="shared" ca="1" si="326"/>
        <v>#DIV/0!</v>
      </c>
      <c r="KU77" s="456" t="e">
        <f ca="1">IF($CP77-Control!$C$149&lt;0, IF($NT77-0.01&lt;0,0,1),0)</f>
        <v>#N/A</v>
      </c>
      <c r="KV77" s="456" t="e">
        <f ca="1">IF(Control!$C$114=1,MAX(0,MIN(Control!$C$125*$KW77*$GN77,$KW77)))</f>
        <v>#DIV/0!</v>
      </c>
      <c r="KW77" s="456" t="e">
        <f t="shared" ca="1" si="453"/>
        <v>#DIV/0!</v>
      </c>
      <c r="KX77" s="457" t="e">
        <f ca="1">IF($CP77-Control!$C$149&lt;0, IF($MR77-$OM77&lt;0,0,1),0)</f>
        <v>#N/A</v>
      </c>
      <c r="KY77" s="167">
        <f t="shared" ca="1" si="421"/>
        <v>73</v>
      </c>
      <c r="KZ77" s="168">
        <f ca="1">1370*(1+0.033*COS(2*Control!$C$138*$AH77/365))</f>
        <v>1383.9705319654122</v>
      </c>
      <c r="LA77" s="169">
        <f t="shared" ca="1" si="422"/>
        <v>1.0101975608143732</v>
      </c>
      <c r="LB77" s="169">
        <f t="shared" ca="1" si="423"/>
        <v>-5.4383897695971947E-2</v>
      </c>
      <c r="LC77" s="169">
        <f ca="1">ACOS(-TAN((2*Control!$B$8/360))*TAN(Calculations!$LB77))</f>
        <v>1.554616602635452</v>
      </c>
      <c r="LD77" s="169">
        <f ca="1">((24*60)/PI())*0.082*$LA77*(($LC77*SIN(Control!$B$8*2*PI()/360))*SIN($LB77)+COS(Control!$B$8*2*PI()/360)*COS($LB77)*SIN($LC77))</f>
        <v>20.810237983051628</v>
      </c>
      <c r="LE77" s="170">
        <f t="shared" ca="1" si="327"/>
        <v>20.803227174169347</v>
      </c>
      <c r="LF77" s="170">
        <f ca="1">SIN(Control!$C$139*Control!$B$8)*SIN($HD77)</f>
        <v>-4.4384444249791141E-2</v>
      </c>
      <c r="LG77" s="170">
        <f ca="1">COS(Control!$C$139*Control!$B$8)*COS($HD77)</f>
        <v>0.61468244981312492</v>
      </c>
      <c r="LH77" s="170">
        <f ca="1">12*(1+2*ASIN(MAX(-1,MIN(1,$LF77/$LG77))/Control!$C$138))</f>
        <v>11.448331011340684</v>
      </c>
      <c r="LI77" s="170">
        <f ca="1">12*(1+2*ASIN(MAX(-1,MIN(1,(-SIN(-4*Control!$C$139)+$LF77)/$LG77))/Control!$C$138))</f>
        <v>12.315340702810834</v>
      </c>
      <c r="LJ77" s="168">
        <f ca="1">3600*($LH77*$LF77+24*$LG77*SQRT(1-$LK77*$LK77)/Control!$C$138)</f>
        <v>15031.55355817161</v>
      </c>
      <c r="LK77" s="170">
        <f t="shared" ca="1" si="328"/>
        <v>-7.2207111596052323E-2</v>
      </c>
      <c r="LL77" s="170">
        <f t="shared" ca="1" si="329"/>
        <v>0</v>
      </c>
      <c r="LM77" s="171">
        <f ca="1">Control!$C$145*$AB77</f>
        <v>6.6660906138995932E-2</v>
      </c>
      <c r="LN77" s="170">
        <f t="shared" ca="1" si="424"/>
        <v>0.54</v>
      </c>
      <c r="LO77" s="170">
        <f t="shared" ca="1" si="330"/>
        <v>0</v>
      </c>
      <c r="LP77" s="170">
        <f ca="1">Control!$C$140*((($D77+273.16)^4+($E77+273.16)^4)/2)*(0.34-0.14*SQRT($Y77))*(1.35*$AQ77/(0.75*$LD77)-0.35)</f>
        <v>-3.2464704755046001</v>
      </c>
      <c r="LQ77" s="170">
        <f ca="1">Control!$C$140*($G77+273)^4*(0.56-0.079*SQRT($Y77*10))*(0.1+0.9*$LO77)</f>
        <v>1.5241745131704001</v>
      </c>
      <c r="LR77" s="170">
        <f ca="1">$AQ77*(1-Control!$C$142)-$LQ77</f>
        <v>-1.5241745131704001</v>
      </c>
      <c r="LS77" s="170">
        <f ca="1">$AQ77*(1-Control!$C$143)-$LQ77</f>
        <v>-1.5241745131704001</v>
      </c>
      <c r="LT77" s="170">
        <f ca="1">$AQ77*(1-Control!$C$144)-$LQ77</f>
        <v>-1.5241745131704001</v>
      </c>
      <c r="LU77" s="169">
        <f ca="1">(1-Control!$C$144)*AQ77-LP77</f>
        <v>3.2464704755046001</v>
      </c>
      <c r="LV77" s="172">
        <f t="shared" ca="1" si="331"/>
        <v>0.79430000000000012</v>
      </c>
      <c r="LW77" s="170">
        <f t="shared" ca="1" si="332"/>
        <v>1.5886000000000002</v>
      </c>
      <c r="LX77" s="170">
        <f ca="1">($AC77*($LR77/Control!$C$141)+$LM77*$LV77)/($AC77+$LM77)</f>
        <v>0.23530094218323697</v>
      </c>
      <c r="LY77" s="170">
        <f ca="1">($AC77*($LS77/Control!$C$141)+$LM77*$LV77)/($AC77+$LM77)</f>
        <v>0.23530094218323697</v>
      </c>
      <c r="LZ77" s="170">
        <f t="shared" ca="1" si="333"/>
        <v>0.23530094218323697</v>
      </c>
      <c r="MA77" s="170">
        <f t="shared" ca="1" si="334"/>
        <v>0.23530094218323697</v>
      </c>
      <c r="MB77" s="170" t="e">
        <f t="shared" ca="1" si="335"/>
        <v>#N/A</v>
      </c>
      <c r="MC77" s="170">
        <f t="shared" ca="1" si="425"/>
        <v>0.6018</v>
      </c>
      <c r="MD77" s="170">
        <f t="shared" ca="1" si="336"/>
        <v>0.52989392535414004</v>
      </c>
      <c r="ME77" s="170">
        <f ca="1">($AC77*($LT77/Control!$C$141)+$LM77*$LW77)/($AC77+$LM77)</f>
        <v>0.71612369323045078</v>
      </c>
      <c r="MF77" s="170" t="e">
        <f ca="1">IF(Control!$B$16&gt;=1000,0.92,IF(AND(720&lt;=Control!$B$16,1000&gt;Control!$B$16),(0.95+(Control!$B$16-720)*((0.92-0.95)/(1000-720))),IF(AND(360&lt;=Control!$B$16,720&gt;Control!$B$16),(1+(Control!$B$16-360)*((0.95-1)/(720-360))),IF(AND(40&lt;=Control!$B$16,360&gt;Control!$B$16),(1.05+(Control!$B$16-40)*((1.05-1)/(360-40)))))))</f>
        <v>#N/A</v>
      </c>
      <c r="MG77" s="170">
        <f t="shared" ca="1" si="337"/>
        <v>0.71612369323045078</v>
      </c>
      <c r="MH77" s="170" t="e">
        <f t="shared" ca="1" si="233"/>
        <v>#N/A</v>
      </c>
      <c r="MI77" s="170" t="e">
        <f t="shared" ca="1" si="233"/>
        <v>#N/A</v>
      </c>
      <c r="MJ77" s="170" t="e">
        <f ca="1">MAX(0.0001, Control!$C$132*$MI77*$DL77)</f>
        <v>#N/A</v>
      </c>
      <c r="MK77" s="170">
        <f ca="1">1/(0.76+1.5*($MG77/10))-(5-Control!$C$110)*0.1</f>
        <v>1.002845988140797</v>
      </c>
      <c r="ML77" s="173">
        <f ca="1">IF(Control!$C$110&lt;3,$MK77+($MG77-0.6)/(Control!$C$110*(Control!$C$110+3)), MAX(0.1, MIN(0.95,$MK77)))</f>
        <v>0.95</v>
      </c>
      <c r="MM77" s="173">
        <f ca="1">IF(Control!$C$110&lt;3,$MK77+(($MI77/10)-0.6)/(Control!$C$110*(Control!$C$110+3)), MAX(0.1, MIN(0.95,$MK77)))</f>
        <v>0.95</v>
      </c>
      <c r="MN77" s="173">
        <f ca="1">(1-$MM77)*(Control!$C$128-Control!$C$127)+Control!$C$127</f>
        <v>0.16</v>
      </c>
      <c r="MO77" s="170" t="e">
        <f ca="1">MAX(0,MIN(1,($MS77-Control!$C$127)/($MN77-Control!$C$127)))</f>
        <v>#DIV/0!</v>
      </c>
      <c r="MP77" s="173" t="e">
        <f ca="1">1/(0.76+1.5*$MI77)-(5-Control!$C$110)*0.1</f>
        <v>#N/A</v>
      </c>
      <c r="MQ77" s="172" t="e">
        <f t="shared" ca="1" si="454"/>
        <v>#DIV/0!</v>
      </c>
      <c r="MR77" s="168" t="e">
        <f t="shared" ca="1" si="426"/>
        <v>#DIV/0!</v>
      </c>
      <c r="MS77" s="173" t="e">
        <f ca="1">MAX(Control!$C$127, MIN(Control!$C$135, $MR77/MAX(0.0001,$CY77)))</f>
        <v>#DIV/0!</v>
      </c>
      <c r="MT77" s="168" t="e">
        <f ca="1">(Control!$C$128-$MS77)*Control!$C$74</f>
        <v>#DIV/0!</v>
      </c>
      <c r="MU77" s="168" t="e">
        <f ca="1">(Control!$C$135-$MS77)*Control!$C$74</f>
        <v>#DIV/0!</v>
      </c>
      <c r="MV77" s="168" t="e">
        <f t="shared" ca="1" si="427"/>
        <v>#DIV/0!</v>
      </c>
      <c r="MW77" s="168" t="e">
        <f t="shared" ca="1" si="428"/>
        <v>#DIV/0!</v>
      </c>
      <c r="MX77" s="171" t="e">
        <f ca="1">MAX(Control!$C$127, MIN(Control!$C$135, $MW77/MAX(0.0001,Control!$C$119-$CY77)))</f>
        <v>#DIV/0!</v>
      </c>
      <c r="MY77" s="54" t="e">
        <f ca="1">IF(Control!$C$114=1, $CX77*$MX77, 0)</f>
        <v>#DIV/0!</v>
      </c>
      <c r="MZ77" s="54" t="e">
        <f t="shared" ca="1" si="429"/>
        <v>#N/A</v>
      </c>
      <c r="NA77" s="168" t="e">
        <f ca="1">(Control!$C$128-$MX77)*(Control!$C$119-Control!$C$74)</f>
        <v>#DIV/0!</v>
      </c>
      <c r="NB77" s="168" t="e">
        <f ca="1">(Control!$C$135-$MX77)*(Control!$C$119-Control!$C$74)</f>
        <v>#DIV/0!</v>
      </c>
      <c r="NC77" s="174" t="e">
        <f t="shared" ca="1" si="430"/>
        <v>#DIV/0!</v>
      </c>
      <c r="ND77" s="54">
        <f ca="1">IF(Control!$C$58=2, IF(OR(Control!$B$218=$AH77,Control!$B$219=$AH77, Control!$B$220=$AH77, Control!$B$221=$AH77, Control!$B$222=$AH77, Control!$B$223=$AH77, Control!$B$224=$AH77, Control!$B$225=$AH77, Control!$B$226=$AH77, Control!$B$227=$AH77, Control!$B$228=$AH77), 1, 0), 0)</f>
        <v>1</v>
      </c>
      <c r="NE77" s="54">
        <f ca="1">IF($ND77=0,0, VLOOKUP($AH77,Control!$B$218:$C$228,2))</f>
        <v>0</v>
      </c>
      <c r="NF77" s="168" t="e">
        <f ca="1">$CY77*(Control!$C$128-Control!$C$127)</f>
        <v>#N/A</v>
      </c>
      <c r="NG77" s="54" t="e">
        <f ca="1">IF(Control!$C$58=2, $NI76-$NJ76, 0)</f>
        <v>#DIV/0!</v>
      </c>
      <c r="NH77" s="54" t="e">
        <f ca="1">IF(AND(Control!$C$58=1, $MS76&lt;= ($MN76+0.02), $I76&lt;10), 0, IF(Control!$C$58=2, $NG76, 0))</f>
        <v>#DIV/0!</v>
      </c>
      <c r="NI77" s="54" t="e">
        <f ca="1">IF(Control!$C$58=2, $NE77+$NH77,0)</f>
        <v>#DIV/0!</v>
      </c>
      <c r="NJ77" s="54" t="e">
        <f ca="1">IF(AND(Control!$C$58=1, $MS77&lt;= ($MN77+0.02), $I77&lt;10), MAX(0, MIN(10, 0.7*($NF77-$MV77))), IF(Control!$C$58=2, MIN(10,$NI77),0))</f>
        <v>#DIV/0!</v>
      </c>
      <c r="NK77" s="54" t="e">
        <f t="shared" ca="1" si="338"/>
        <v>#DIV/0!</v>
      </c>
      <c r="NL77" s="173" t="e">
        <f ca="1">(1-Control!$C$73)*$I77+$NJ77</f>
        <v>#DIV/0!</v>
      </c>
      <c r="NM77" s="172" t="e">
        <f ca="1">IF($NL77&lt;0.5, $MB77* MAX(0, MIN(1, (SQRT($NC77)-SQRT($NC77-1))*Control!$C$71)),0)</f>
        <v>#DIV/0!</v>
      </c>
      <c r="NN77" s="170" t="e">
        <f ca="1">IF($NL77&gt;=5, $MB77, MAX(0,MIN($MB77, $NM77+$NL77,($MS77-Control!$C$129))))</f>
        <v>#DIV/0!</v>
      </c>
      <c r="NO77" s="54">
        <f>IF(Control!$C$133&lt;&gt;1, Control!$C$135-Control!$C$131, 0)</f>
        <v>0.38</v>
      </c>
      <c r="NP77" s="54" t="e">
        <f t="shared" ca="1" si="339"/>
        <v>#DIV/0!</v>
      </c>
      <c r="NQ77" s="173" t="e">
        <f ca="1">MAX(0,MIN(1,(Control!$C$135-$MS77)/(Control!$C$135-$NO77)))</f>
        <v>#DIV/0!</v>
      </c>
      <c r="NR77" s="170" t="e">
        <f ca="1">IF(Control!$C$133&lt;&gt;1, $NQ77+((1-$NP77/4)*(1-$NQ77)),1)</f>
        <v>#DIV/0!</v>
      </c>
      <c r="NS77" s="170" t="e">
        <f ca="1">IF(Control!$B$31=0,$MJ77,MAX(0,MIN($MV77,$MO77*$NR77*$MJ77)))</f>
        <v>#DIV/0!</v>
      </c>
      <c r="NT77" s="170" t="e">
        <f t="shared" ca="1" si="455"/>
        <v>#DIV/0!</v>
      </c>
      <c r="NU77" s="170" t="e">
        <f t="shared" ca="1" si="431"/>
        <v>#N/A</v>
      </c>
      <c r="NV77" s="170" t="e">
        <f t="shared" ca="1" si="340"/>
        <v>#N/A</v>
      </c>
      <c r="NW77" s="175" t="e">
        <f t="shared" ca="1" si="341"/>
        <v>#DIV/0!</v>
      </c>
      <c r="NX77" s="170" t="e">
        <f ca="1">MIN(Control!$C$72+$MU77, $NW77)</f>
        <v>#DIV/0!</v>
      </c>
      <c r="NY77" s="170" t="e">
        <f ca="1">IF($MT77&lt;=$NX77,MIN(Control!$C$72+$NB77,$NX77-$MT77),0)</f>
        <v>#DIV/0!</v>
      </c>
      <c r="NZ77" s="54" t="e">
        <f ca="1">IF(Control!$C$114=1,  $CX77*($MX77-Control!$C$127), 0)</f>
        <v>#DIV/0!</v>
      </c>
      <c r="OA77" s="170" t="e">
        <f t="shared" ca="1" si="342"/>
        <v>#DIV/0!</v>
      </c>
      <c r="OB77" s="170" t="e">
        <f ca="1">IF($NA77 &lt;=$NY77, MIN(Control!$C$72, $NY77-$NA77), 0)</f>
        <v>#DIV/0!</v>
      </c>
      <c r="OC77" s="168" t="e">
        <f t="shared" ca="1" si="343"/>
        <v>#DIV/0!</v>
      </c>
      <c r="OD77" s="168" t="e">
        <f t="shared" ca="1" si="432"/>
        <v>#DIV/0!</v>
      </c>
      <c r="OE77" s="170">
        <f ca="1">Control!$C$73*$I77</f>
        <v>0</v>
      </c>
      <c r="OF77" s="176" t="e">
        <f t="shared" ca="1" si="344"/>
        <v>#DIV/0!</v>
      </c>
      <c r="OG77" s="168" t="e">
        <f t="shared" ca="1" si="345"/>
        <v>#DIV/0!</v>
      </c>
      <c r="OH77" s="168" t="e">
        <f t="shared" ca="1" si="346"/>
        <v>#DIV/0!</v>
      </c>
      <c r="OI77" s="168" t="e">
        <f t="shared" ca="1" si="347"/>
        <v>#DIV/0!</v>
      </c>
      <c r="OJ77" s="168" t="e">
        <f t="shared" ca="1" si="348"/>
        <v>#DIV/0!</v>
      </c>
      <c r="OK77" s="204" t="e">
        <f t="shared" ca="1" si="349"/>
        <v>#DIV/0!</v>
      </c>
      <c r="OL77" s="177">
        <f>Control!$C$127</f>
        <v>0.15</v>
      </c>
      <c r="OM77" s="182" t="e">
        <f t="shared" ca="1" si="350"/>
        <v>#N/A</v>
      </c>
      <c r="ON77" s="177">
        <f>Control!$C$128</f>
        <v>0.35</v>
      </c>
      <c r="OO77" s="182" t="e">
        <f t="shared" ca="1" si="351"/>
        <v>#N/A</v>
      </c>
      <c r="OP77" s="138">
        <f t="shared" ca="1" si="433"/>
        <v>0</v>
      </c>
      <c r="OQ77" s="138" t="e">
        <f t="shared" ca="1" si="456"/>
        <v>#DIV/0!</v>
      </c>
      <c r="OR77" s="138" t="e">
        <f t="shared" ca="1" si="434"/>
        <v>#DIV/0!</v>
      </c>
      <c r="OS77" s="137" t="e">
        <f t="shared" ca="1" si="457"/>
        <v>#DIV/0!</v>
      </c>
      <c r="OT77" s="139" t="e">
        <f t="shared" ca="1" si="458"/>
        <v>#DIV/0!</v>
      </c>
      <c r="OU77" s="138" t="e">
        <f t="shared" ca="1" si="459"/>
        <v>#N/A</v>
      </c>
      <c r="OV77" s="138" t="e">
        <f t="shared" ca="1" si="460"/>
        <v>#DIV/0!</v>
      </c>
      <c r="OW77" s="138" t="e">
        <f t="shared" ca="1" si="435"/>
        <v>#DIV/0!</v>
      </c>
      <c r="OX77" s="138" t="e">
        <f t="shared" ca="1" si="436"/>
        <v>#DIV/0!</v>
      </c>
      <c r="OY77" s="138" t="e">
        <f t="shared" ca="1" si="437"/>
        <v>#DIV/0!</v>
      </c>
      <c r="OZ77" s="138" t="e">
        <f t="shared" ca="1" si="352"/>
        <v>#DIV/0!</v>
      </c>
      <c r="PA77" s="138" t="e">
        <f t="shared" ca="1" si="353"/>
        <v>#DIV/0!</v>
      </c>
      <c r="PB77" s="55">
        <f>IF(Control!$C$61="T", IF(Control!$C$65="F", IF($AH$6-Control!$C$60&lt;0,0,1), IF(365+$AH$6-Control!$C$60&lt;0,0,1)),0)</f>
        <v>0</v>
      </c>
      <c r="PC77" s="55">
        <f ca="1">IF(Control!$C$65="F", IF($AH$6-$HF77&lt;0,0,1), IF(365+$AH$6-$HF77&lt;0,0,1))</f>
        <v>1</v>
      </c>
      <c r="PD77" s="444">
        <f>Control!$C$118</f>
        <v>1500</v>
      </c>
      <c r="PE77" s="180" t="e">
        <f t="shared" ca="1" si="354"/>
        <v>#N/A</v>
      </c>
      <c r="PF77" s="445">
        <f t="shared" ca="1" si="438"/>
        <v>0.71612369323045078</v>
      </c>
      <c r="PT77" s="186"/>
      <c r="PU77" s="186"/>
      <c r="PV77" s="94"/>
      <c r="PW77" s="94"/>
      <c r="PX77" s="94"/>
      <c r="PY77" s="94"/>
      <c r="PZ77" s="94"/>
      <c r="QA77" s="94"/>
      <c r="QB77" s="94"/>
      <c r="QC77" s="94"/>
      <c r="QD77" s="94"/>
      <c r="QE77" s="94"/>
      <c r="QF77" s="94"/>
      <c r="QG77" s="94"/>
      <c r="QH77" s="94"/>
      <c r="QI77" s="94"/>
      <c r="QJ77" s="94"/>
      <c r="QK77" s="94"/>
      <c r="QL77" s="94"/>
      <c r="QM77" s="94"/>
      <c r="QN77" s="94"/>
      <c r="QO77" s="94"/>
      <c r="QP77" s="94"/>
    </row>
    <row r="78" spans="1:458" s="2" customFormat="1" x14ac:dyDescent="0.2">
      <c r="A78" s="395">
        <v>14</v>
      </c>
      <c r="B78" s="396">
        <v>3</v>
      </c>
      <c r="C78" s="387">
        <f ca="1">Weather_data!$B77</f>
        <v>0</v>
      </c>
      <c r="D78" s="388">
        <f ca="1">Weather_data!$F77</f>
        <v>0</v>
      </c>
      <c r="E78" s="388">
        <f ca="1">Weather_data!$E77</f>
        <v>0</v>
      </c>
      <c r="F78" s="388">
        <f t="shared" ca="1" si="355"/>
        <v>0</v>
      </c>
      <c r="G78" s="388">
        <f ca="1">AVERAGE($D78:$E78)+Control!$B$9</f>
        <v>0</v>
      </c>
      <c r="H78" s="388">
        <f ca="1">Weather_data!$G77</f>
        <v>0</v>
      </c>
      <c r="I78" s="388">
        <f ca="1">Weather_data!$I77</f>
        <v>0</v>
      </c>
      <c r="J78" s="388">
        <f ca="1">Weather_data!$H77</f>
        <v>0</v>
      </c>
      <c r="K78" s="389">
        <f ca="1">Weather_data!$D77</f>
        <v>0</v>
      </c>
      <c r="L78" s="388" t="e">
        <f t="shared" ca="1" si="356"/>
        <v>#N/A</v>
      </c>
      <c r="M78" s="388" t="e">
        <f t="shared" ca="1" si="234"/>
        <v>#N/A</v>
      </c>
      <c r="N78" s="388">
        <f t="shared" ca="1" si="235"/>
        <v>-2.5376439302820782E-4</v>
      </c>
      <c r="O78" s="388">
        <f t="shared" ca="1" si="357"/>
        <v>2.537643930282078E-3</v>
      </c>
      <c r="P78" s="390">
        <v>3</v>
      </c>
      <c r="Q78" s="388">
        <f ca="1">MAX($G78-Control!$C$107,0)</f>
        <v>0</v>
      </c>
      <c r="R78" s="388">
        <f t="shared" ca="1" si="358"/>
        <v>0</v>
      </c>
      <c r="S78" s="388">
        <f t="shared" ca="1" si="236"/>
        <v>0</v>
      </c>
      <c r="T78" s="388">
        <f t="shared" ca="1" si="237"/>
        <v>0</v>
      </c>
      <c r="U78" s="59">
        <f t="shared" ca="1" si="238"/>
        <v>0</v>
      </c>
      <c r="V78" s="391">
        <f ca="1">MAX(0,MIN(Control!$C$100-Control!$C$99,$G78-Control!$C$99)*Control!$C$63)</f>
        <v>0</v>
      </c>
      <c r="W78" s="388">
        <f t="shared" ca="1" si="359"/>
        <v>0</v>
      </c>
      <c r="X78" s="388">
        <f t="shared" ca="1" si="360"/>
        <v>0.6110000000000001</v>
      </c>
      <c r="Y78" s="388">
        <f t="shared" ca="1" si="239"/>
        <v>0</v>
      </c>
      <c r="Z78" s="388">
        <f t="shared" ca="1" si="361"/>
        <v>0.61058800000000002</v>
      </c>
      <c r="AA78" s="388">
        <f t="shared" ca="1" si="240"/>
        <v>0.6018</v>
      </c>
      <c r="AB78" s="388">
        <f ca="1">101.3*EXP(-0.034*Control!$C$66/($G78+273))</f>
        <v>100.69623283836242</v>
      </c>
      <c r="AC78" s="392">
        <f t="shared" ca="1" si="241"/>
        <v>4.3460251046025113E-2</v>
      </c>
      <c r="AD78" s="392">
        <f t="shared" ca="1" si="242"/>
        <v>4.4450382862832649E-2</v>
      </c>
      <c r="AE78" s="388">
        <f t="shared" ca="1" si="243"/>
        <v>0</v>
      </c>
      <c r="AF78" s="388">
        <f ca="1">MAX(0,$G78-Control!$C$92)</f>
        <v>0</v>
      </c>
      <c r="AG78" s="393">
        <f t="shared" ca="1" si="244"/>
        <v>74</v>
      </c>
      <c r="AH78" s="389">
        <f t="shared" ca="1" si="245"/>
        <v>74</v>
      </c>
      <c r="AI78" s="388">
        <f t="shared" ca="1" si="362"/>
        <v>-4.9555406869116414E-2</v>
      </c>
      <c r="AJ78" s="388">
        <f ca="1">IF(Control!$C$60&lt;=0,$HH78,$HI78)</f>
        <v>1</v>
      </c>
      <c r="AK78" s="388">
        <f t="shared" ca="1" si="246"/>
        <v>-0.10328523792623977</v>
      </c>
      <c r="AL78" s="388">
        <f t="shared" ca="1" si="247"/>
        <v>1.442655023220496E-18</v>
      </c>
      <c r="AM78" s="388">
        <f t="shared" ca="1" si="248"/>
        <v>-0.10328523792623977</v>
      </c>
      <c r="AN78" s="388">
        <f t="shared" ca="1" si="249"/>
        <v>-4.102536243982359E-2</v>
      </c>
      <c r="AO78" s="388">
        <f ca="1">-0.10453/COS(Control!$B$8*PI()/180)*COS(AN78)</f>
        <v>-0.16964200348368658</v>
      </c>
      <c r="AP78" s="388">
        <f ca="1">ACOS(AO78-TAN(Control!$B$8*PI()/180)*TAN(AN78))</f>
        <v>1.6881680840354969</v>
      </c>
      <c r="AQ78" s="388">
        <f t="shared" ca="1" si="363"/>
        <v>0</v>
      </c>
      <c r="AR78" s="394">
        <f t="shared" ca="1" si="250"/>
        <v>0</v>
      </c>
      <c r="AS78" s="436">
        <f ca="1">IF(Control!$B$18=2,(IF(OR($AH78=Control!$B$175,$AH78=Control!$B$176,$AH78=Control!$B$177,$AH78=Control!$B$178,$AH78=Control!$B$179,$AH78=Control!$B$180,$AH78=Control!$B$181,$AH78=Control!$B$182,$AH78=Control!$B$183,$AH78=Control!$B$184,$AH78=Control!$B$185),1,0)),0)</f>
        <v>0</v>
      </c>
      <c r="AT78" s="436">
        <f>IF(Control!$B$20=8,IF(AND($AH78&gt;=Control!$B$172,$AH78&lt;=Control!$B$173),1,0),0)</f>
        <v>0</v>
      </c>
      <c r="AU78" s="436">
        <f>IF(Control!$B$20=8,IF($AV77=1,1*$AT78,IF($AT78=1,$AU77+1,$AU77)),0)</f>
        <v>0</v>
      </c>
      <c r="AV78" s="436">
        <f>IF(Control!$B$20=8,IF($AU78&gt;=Control!$B$174,1,0),0)</f>
        <v>0</v>
      </c>
      <c r="AW78" s="436">
        <f ca="1">IF(AND(Control!$B$18=2,Control!$B$171=1), $AV78, $AS78)</f>
        <v>0</v>
      </c>
      <c r="AX78" s="436" t="e">
        <f ca="1">IF(AND(Control!$B$18=1,$EU78&gt;=Control!$B$19),-$AY78,IF(AND(Control!$B$18=2,$AW78=1,$EU78&gt;$DS78),-$AY78, IF(Control!$C$108=0,0, IF(Control!$C$108&lt;&gt;0,1))))</f>
        <v>#N/A</v>
      </c>
      <c r="AY78" s="436" t="e">
        <f t="shared" ca="1" si="364"/>
        <v>#N/A</v>
      </c>
      <c r="AZ78" s="436" t="e">
        <f ca="1">IF(AND(Control!$B$18=1,$EB78&gt;Control!$B$19),$AZ77+1, IF(AND(Control!$B$18=2, $AW78=1, $EB78&gt;$DS78), $AZ77+1,$AZ77))</f>
        <v>#N/A</v>
      </c>
      <c r="BA78" s="587">
        <f>IF(Control!$C$81=0,1,IF($AH78&gt;=Control!$C$82,1,0))</f>
        <v>1</v>
      </c>
      <c r="BB78" s="140" t="e">
        <f ca="1">IF($BA78&gt;$BA77,Control!$C$83,IF($AW78&gt;0,$AW78*Control!$C$84,IF(AND(Control!$B$18=1,EN77&lt;&gt;0),Control!$C$84,0)))</f>
        <v>#N/A</v>
      </c>
      <c r="BC78" s="140" t="e">
        <f t="shared" ca="1" si="365"/>
        <v>#N/A</v>
      </c>
      <c r="BD78" s="140" t="e">
        <f ca="1">BC78*IF(OR($G78&lt;Control!$C$92,$G78&gt;Control!$C$95),0,IF(AND($G78&gt;=Control!$C$92,$G78&lt;=Control!$C$93),$G78-Control!$C$92,IF(AND($G78&gt;Control!$C$93,$G78&lt;=Control!$C$94),Control!$C$93-Control!$C$92,IF(AND($G78&gt;Control!$C$94,$G78&lt;=Control!$C$95),(Control!$C$93-Control!$C$92)*(Control!$C$94-$G78)/(Control!$C$95-Control!$C$94)))))</f>
        <v>#N/A</v>
      </c>
      <c r="BE78" s="140" t="e">
        <f t="shared" ca="1" si="366"/>
        <v>#N/A</v>
      </c>
      <c r="BF78" s="140" t="e">
        <f ca="1">IF($BE78&lt;=Control!$C$86,$BE78,Control!$C$86-$BE78)</f>
        <v>#N/A</v>
      </c>
      <c r="BG78" s="140" t="e">
        <f ca="1">IF(AND($AW78=1,Control!$C$84&lt;9),1,IF($BE78&gt;=Control!$C$86,0,$BC78))</f>
        <v>#N/A</v>
      </c>
      <c r="BH78" s="404" t="e">
        <f ca="1">IF($BG78=0,0,IF($BE78&lt;=Control!$C$86,$BC78*9*($BF78/Control!$C$86),0))</f>
        <v>#N/A</v>
      </c>
      <c r="BI78" s="140" t="e">
        <f ca="1">IF($BG78=1,0,IF($BE78&gt;=Control!$C$86,1,IF(AND($BB78&lt;21,$BB78&gt;=9),1,$BM77)))</f>
        <v>#N/A</v>
      </c>
      <c r="BJ78" s="140" t="e">
        <f ca="1">IF($BF78&lt;0,-$BF78,$BI78*IF(OR($G78&lt;Control!$C$92,$G78&gt;Control!$C$95),0,IF(AND($G78&gt;=Control!$C$92,$G78&lt;=Control!$C$93),$G78-Control!$C$92,IF(AND($G78&gt;Control!$C$93,$G78&lt;=Control!$C$94),Control!$C$93-Control!$C$92,IF(AND($G78&gt;Control!$C$94,$G78&lt;=Control!$C$95),(Control!$C$93-Control!$C$92)*(Control!$C$94-$G78)/(Control!$C$95-Control!$C$94))))))</f>
        <v>#N/A</v>
      </c>
      <c r="BK78" s="140" t="e">
        <f t="shared" ca="1" si="367"/>
        <v>#N/A</v>
      </c>
      <c r="BL78" s="140" t="e">
        <f ca="1">IF($BK78&lt;=Control!$C$87,$BK78,Control!$C$87-$BK78)</f>
        <v>#N/A</v>
      </c>
      <c r="BM78" s="140" t="e">
        <f ca="1">IF(AND($BB78&gt;=9,$BB78&lt;21),1,IF($BK78&gt;=Control!$C$87,0,$BI78))</f>
        <v>#N/A</v>
      </c>
      <c r="BN78" s="404" t="e">
        <f ca="1">IF($BM78=0,0,IF($BK78&lt;=Control!$C$87,$BI78*(9+(21-9)*($BL78/Control!$C$87)),0))</f>
        <v>#N/A</v>
      </c>
      <c r="BO78" s="140" t="e">
        <f ca="1">IF($BM78=1,0,IF($BK78&gt;=Control!$C$87,1,IF(AND($BB78&lt;30,$BB78&gt;=21),1,$BS77)))</f>
        <v>#N/A</v>
      </c>
      <c r="BP78" s="140" t="e">
        <f ca="1">IF($BL78&lt;0,-$BL78,$BO78*IF(OR($G78&lt;Control!$C$92,$G78&gt;Control!$C$95),0,IF(AND($G78&gt;=Control!$C$92,$G78&lt;=Control!$C$93),$G78-Control!$C$92,IF(AND($G78&gt;Control!$C$93,$G78&lt;=Control!$C$94),Control!$C$93-Control!$C$92,IF(AND($G78&gt;Control!$C$94,$G78&lt;=Control!$C$95),(Control!$C$93-Control!$C$92)*(Control!$C$94-$G78)/(Control!$C$95-Control!$C$94))))))</f>
        <v>#N/A</v>
      </c>
      <c r="BQ78" s="140" t="e">
        <f t="shared" ca="1" si="251"/>
        <v>#N/A</v>
      </c>
      <c r="BR78" s="140" t="e">
        <f ca="1">IF($BQ78&lt;=Control!$C$88,$BQ78,Control!$C$88-$BQ78)</f>
        <v>#N/A</v>
      </c>
      <c r="BS78" s="140" t="e">
        <f ca="1">IF(AND($BB78&gt;=21,$BB78&lt;30),1,IF($BQ78&gt;=Control!$C$88,0,$BO78))</f>
        <v>#N/A</v>
      </c>
      <c r="BT78" s="404" t="e">
        <f ca="1">IF($BS78=0,0,IF($BQ78&lt;=Control!$C$88,$BO78*(21+(30-21)*(BR78/Control!$C$88)),0))</f>
        <v>#N/A</v>
      </c>
      <c r="BU78" s="140" t="e">
        <f ca="1">IF(BG78+BM78+BS78=1,0,IF(OR(AND($BB78&lt;60,$BB78&gt;=30),$BQ78&gt;=Control!$C$88),1*$BA78,$BY77))</f>
        <v>#N/A</v>
      </c>
      <c r="BV78" s="140" t="e">
        <f ca="1">IF($BR78&lt;0,-$BR78,$BU78*IF(OR($G78&lt;Control!$C$92,$G78&gt;Control!$C$95),0,IF(AND($G78&gt;=Control!$C$92,$G78&lt;=Control!$C$93),$G78-Control!$C$92,IF(AND($G78&gt;Control!$C$93,$G78&lt;=Control!$C$94),Control!$C$93-Control!$C$92,IF(AND($G78&gt;Control!$C$94,$G78&lt;=Control!$C$95),(Control!$C$93-Control!$C$92)*(Control!$C$94-$G78)/(Control!$C$95-Control!$C$94))))))</f>
        <v>#N/A</v>
      </c>
      <c r="BW78" s="140" t="e">
        <f t="shared" ca="1" si="252"/>
        <v>#N/A</v>
      </c>
      <c r="BX78" s="140" t="e">
        <f ca="1">IF($BW78&lt;=Control!$C$89,$BW78,Control!$C$89-$BW78)</f>
        <v>#N/A</v>
      </c>
      <c r="BY78" s="140" t="e">
        <f ca="1">IF(AND($AJ78&gt;=30,$AJ78&lt;60),1,IF($BW78&gt;=Control!$C$89,0,$BU78))</f>
        <v>#N/A</v>
      </c>
      <c r="BZ78" s="404" t="e">
        <f ca="1">IF($BY78=0,0,IF($BW78&lt;=Control!$C$89,$BU78*(30+(60-30)*(BX78/Control!$C$89)),0))</f>
        <v>#N/A</v>
      </c>
      <c r="CA78" s="140" t="e">
        <f ca="1">IF($BG78+$BM78+$BS78+$BY78=1,0,IF(OR(AND($BB78&lt;65,$BB78&gt;=60),$BW78&gt;=Control!$C$89),1*$BA78,$CE77))</f>
        <v>#N/A</v>
      </c>
      <c r="CB78" s="140" t="e">
        <f ca="1">IF($BX78&lt;0,-$BX78,$CA78*IF(OR($G78&lt;Control!$C$92,$G78&gt;Control!$C$95),0,IF(AND($G78&gt;=Control!$C$92,$G78&lt;=Control!$C$93),$G78-Control!$C$92,IF(AND($G78&gt;Control!$C$93,$G78&lt;=Control!$C$94),Control!$C$93-Control!$C$92,IF(AND($G78&gt;Control!$C$94,$G78&lt;=Control!$C$95),(Control!$C$93-Control!$C$92)*(Control!$C$94-$G78)/(Control!$C$95-Control!$C$94))))))</f>
        <v>#N/A</v>
      </c>
      <c r="CC78" s="140" t="e">
        <f t="shared" ca="1" si="368"/>
        <v>#N/A</v>
      </c>
      <c r="CD78" s="140" t="e">
        <f ca="1">IF($CC78&lt;=Control!$C$90,$CC78,Control!$C$90-$CC78)</f>
        <v>#N/A</v>
      </c>
      <c r="CE78" s="140" t="e">
        <f ca="1">IF(AND($BB78&gt;=60,$BB78&lt;65),1,IF($CC78&gt;=Control!$C$90,0,$CA78))</f>
        <v>#N/A</v>
      </c>
      <c r="CF78" s="404" t="e">
        <f ca="1">IF($CE78=0,0,IF($CC78&lt;=Control!$C$90,$CA78*(60+(65-60)*(CD78/Control!$C$90)),0))</f>
        <v>#N/A</v>
      </c>
      <c r="CG78" s="140" t="e">
        <f ca="1">IF($BG78+$BM78+$BS78+$BY78+$CE78=1,0,IF(OR(AND($BB78&lt;90,$BB78&gt;=65),$CC78&gt;=Control!$C$90),$BA78,$CK77))</f>
        <v>#N/A</v>
      </c>
      <c r="CH78" s="140" t="e">
        <f ca="1">IF($CD78&lt;0,-$CD78,$CG78*IF(OR($G78&lt;Control!$C$92,$G78&gt;Control!$C$95),0,IF(AND($G78&gt;=Control!$C$92,$G78&lt;=Control!$C$93),$G78-Control!$C$92,IF(AND($G78&gt;Control!$C$93,$G78&lt;=Control!$C$94),Control!$C$93-Control!$C$92,IF(AND($G78&gt;Control!$C$94,$G78&lt;=Control!$C$95),(Control!$C$93-Control!$C$92)*(Control!$C$94-$G78)/(Control!$C$95-Control!$C$94))))))</f>
        <v>#N/A</v>
      </c>
      <c r="CI78" s="140" t="e">
        <f t="shared" ca="1" si="369"/>
        <v>#N/A</v>
      </c>
      <c r="CJ78" s="140" t="e">
        <f ca="1">IF($CI78&lt;=Control!$C$91,$CI78,Control!$C$91-$CI78)</f>
        <v>#N/A</v>
      </c>
      <c r="CK78" s="140" t="e">
        <f ca="1">IF(AND($BB78&gt;=65,$BB78&lt;90),1,IF($CI78&gt;=Control!$C$91,0,$CG78))</f>
        <v>#N/A</v>
      </c>
      <c r="CL78" s="404" t="e">
        <f ca="1">IF($CK78=0,0,IF($CI78&lt;=Control!$C$91,$CG78*(65+(90-65)*($CJ78/Control!$C$91)),0))</f>
        <v>#N/A</v>
      </c>
      <c r="CM78" s="140" t="e">
        <f ca="1">IF($BG78+$BM78+$BS78+$BY78+$CE78+$CK78=1,0,IF(OR($BB78&gt;=90,$CI78&gt;=Control!$C$91),$BA78,$CM77))</f>
        <v>#N/A</v>
      </c>
      <c r="CN78" s="140" t="e">
        <f t="shared" ca="1" si="370"/>
        <v>#N/A</v>
      </c>
      <c r="CO78" s="140" t="e">
        <f t="shared" ca="1" si="371"/>
        <v>#N/A</v>
      </c>
      <c r="CP78" s="140" t="e">
        <f t="shared" ca="1" si="372"/>
        <v>#N/A</v>
      </c>
      <c r="CQ78" s="141" t="e">
        <f ca="1">VLOOKUP($CP78,Control!$B$86:$G$91,6)</f>
        <v>#N/A</v>
      </c>
      <c r="CR78" s="141" t="e">
        <f ca="1">(1-$CQ78)*VLOOKUP($CP78,Control!$B$86:$D$91,3)</f>
        <v>#N/A</v>
      </c>
      <c r="CS78" s="141" t="e">
        <f ca="1">(1-$CQ78)*VLOOKUP($CP78,Control!$B$86:$E$91,4)</f>
        <v>#N/A</v>
      </c>
      <c r="CT78" s="141" t="e">
        <f ca="1">(1-$CQ78)*VLOOKUP($CP78,Control!$B$86:$F$91,5)</f>
        <v>#N/A</v>
      </c>
      <c r="CU78" s="141">
        <f t="shared" ca="1" si="373"/>
        <v>0</v>
      </c>
      <c r="CV78" s="583">
        <f t="shared" ca="1" si="374"/>
        <v>0</v>
      </c>
      <c r="CW78" s="142">
        <f t="shared" ca="1" si="375"/>
        <v>74</v>
      </c>
      <c r="CX78" s="612" t="e">
        <f ca="1">IF(Control!$C$114=1,(MIN(Control!$C$120*(IF($NT78-0.01&lt;0,0,1)),Control!$C$119-$CY78)))</f>
        <v>#DIV/0!</v>
      </c>
      <c r="CY78" s="143" t="e">
        <f t="shared" ca="1" si="376"/>
        <v>#N/A</v>
      </c>
      <c r="CZ78" s="144">
        <f t="shared" ca="1" si="253"/>
        <v>0</v>
      </c>
      <c r="DA78" s="144">
        <f t="shared" ca="1" si="254"/>
        <v>0</v>
      </c>
      <c r="DB78" s="144" t="e">
        <f t="shared" ca="1" si="255"/>
        <v>#N/A</v>
      </c>
      <c r="DC78" s="144" t="e">
        <f t="shared" ca="1" si="256"/>
        <v>#N/A</v>
      </c>
      <c r="DD78" s="144" t="e">
        <f t="shared" ca="1" si="461"/>
        <v>#N/A</v>
      </c>
      <c r="DE78" s="143" t="e">
        <f t="shared" ca="1" si="377"/>
        <v>#N/A</v>
      </c>
      <c r="DF78" s="145" t="e">
        <f ca="1">$DR78*EXP(-Control!$C$158*(1-$KH78))</f>
        <v>#N/A</v>
      </c>
      <c r="DG78" s="146" t="e">
        <f ca="1">IF(Control!$C$114=1, $DF78*$EY78, 0)</f>
        <v>#N/A</v>
      </c>
      <c r="DH78" s="147" t="e">
        <f t="shared" ca="1" si="378"/>
        <v>#N/A</v>
      </c>
      <c r="DI78" s="144" t="e">
        <f t="shared" ca="1" si="439"/>
        <v>#N/A</v>
      </c>
      <c r="DJ78" s="147" t="e">
        <f ca="1">$EF78*Control!$C$109</f>
        <v>#N/A</v>
      </c>
      <c r="DK78" s="144" t="e">
        <f t="shared" ca="1" si="379"/>
        <v>#N/A</v>
      </c>
      <c r="DL78" s="144" t="e">
        <f t="shared" ca="1" si="257"/>
        <v>#N/A</v>
      </c>
      <c r="DM78" s="144" t="e">
        <f ca="1">IF(Control!$C$114=1, (1-EXP(-Control!$C$96*$DK78))*$AR78, 0)</f>
        <v>#N/A</v>
      </c>
      <c r="DN78" s="144">
        <f t="shared" ca="1" si="380"/>
        <v>0</v>
      </c>
      <c r="DO78" s="148">
        <f>Control!$C$97</f>
        <v>4</v>
      </c>
      <c r="DP78" s="145" t="e">
        <f t="shared" ca="1" si="381"/>
        <v>#N/A</v>
      </c>
      <c r="DQ78" s="145" t="e">
        <f ca="1">IF(AND($CP78&gt;=0,$CP78&lt;=90),Control!$C$111,Control!$C$111)</f>
        <v>#N/A</v>
      </c>
      <c r="DR78" s="145" t="e">
        <f t="shared" ca="1" si="258"/>
        <v>#N/A</v>
      </c>
      <c r="DS78" s="143" t="e">
        <f ca="1">Control!$B$22/$DR78</f>
        <v>#N/A</v>
      </c>
      <c r="DT78" s="149" t="e">
        <f ca="1">IF(AND(Control!$C$114=1,$KH78&lt;1),$IM78*$DF78, 0)</f>
        <v>#N/A</v>
      </c>
      <c r="DU78" s="144" t="e">
        <f t="shared" ca="1" si="382"/>
        <v>#N/A</v>
      </c>
      <c r="DV78" s="144">
        <f ca="1">IF($G78-Control!$C$107&lt;=0, 0, 0.83*LN(MAX($G78, 3))-0.8924)</f>
        <v>0</v>
      </c>
      <c r="DW78" s="144" t="e">
        <f t="shared" ca="1" si="259"/>
        <v>#N/A</v>
      </c>
      <c r="DX78" s="150" t="e">
        <f ca="1">MAX(0.01*(1+$CU78/Control!$C$102),0.05*($DK78-Control!$C$97)/Control!$C$97)</f>
        <v>#N/A</v>
      </c>
      <c r="DY78" s="151" t="e">
        <f ca="1">IF(Control!$C$114=1, $DI78*$FS78, 0)</f>
        <v>#N/A</v>
      </c>
      <c r="DZ78" s="196" t="e">
        <f t="shared" ca="1" si="383"/>
        <v>#N/A</v>
      </c>
      <c r="EA78" s="152">
        <f t="shared" ca="1" si="384"/>
        <v>74</v>
      </c>
      <c r="EB78" s="153" t="e">
        <f t="shared" ca="1" si="385"/>
        <v>#N/A</v>
      </c>
      <c r="EC78" s="153" t="e">
        <f t="shared" ca="1" si="386"/>
        <v>#N/A</v>
      </c>
      <c r="ED78" s="154" t="e">
        <f ca="1">IF(Control!$C$114=1, $HM78*$FY78-$FD78, 0)</f>
        <v>#DIV/0!</v>
      </c>
      <c r="EE78" s="155" t="e">
        <f ca="1">IF(Control!$C$114=1, $HM78*$FZ78-$FF78, 0)</f>
        <v>#DIV/0!</v>
      </c>
      <c r="EF78" s="153" t="e">
        <f t="shared" ca="1" si="440"/>
        <v>#N/A</v>
      </c>
      <c r="EG78" s="155" t="e">
        <f ca="1">IF(Control!$C$114=1, $GX78*$FW78-$FI78, 0)</f>
        <v>#DIV/0!</v>
      </c>
      <c r="EH78" s="153" t="e">
        <f t="shared" ca="1" si="387"/>
        <v>#N/A</v>
      </c>
      <c r="EI78" s="156" t="e">
        <f t="shared" ca="1" si="388"/>
        <v>#N/A</v>
      </c>
      <c r="EJ78" s="155" t="e">
        <f ca="1">IF(Control!$C$114=1, $HM78*$GB78, 0)</f>
        <v>#DIV/0!</v>
      </c>
      <c r="EK78" s="153" t="e">
        <f t="shared" ca="1" si="441"/>
        <v>#N/A</v>
      </c>
      <c r="EL78" s="153" t="e">
        <f t="shared" ca="1" si="260"/>
        <v>#N/A</v>
      </c>
      <c r="EM78" s="153" t="e">
        <f t="shared" ca="1" si="261"/>
        <v>#N/A</v>
      </c>
      <c r="EN78" s="153" t="e">
        <f ca="1">IF(Control!$C$108=1,IF(AND(Control!$B$18=1,$EB78&gt;=Control!$B$19),$EB78-$DS78,IF(AND(Control!$B$18=2,$AW78=1,$EB78&gt;$DS78),$EB78-$DS78,0)))</f>
        <v>#N/A</v>
      </c>
      <c r="EO78" s="153" t="e">
        <f ca="1">IF(Control!$C$108=1,IF(AND(Control!$B$18=1,$EB78&gt;=Control!$B$19),$EF78,IF(AND(Control!$B$18=2,$AW78=1),$EF78,0)))</f>
        <v>#N/A</v>
      </c>
      <c r="EP78" s="153" t="e">
        <f ca="1">IF(Control!$C$108=1,IF(AND(Control!$B$18=1,$EB78&gt;=Control!$B$19),$EK78,IF(AND(Control!$B$18=2,$AW78=1),$EK78,0)))</f>
        <v>#N/A</v>
      </c>
      <c r="EQ78" s="153" t="e">
        <f t="shared" ca="1" si="389"/>
        <v>#N/A</v>
      </c>
      <c r="ER78" s="153" t="e">
        <f t="shared" ca="1" si="390"/>
        <v>#N/A</v>
      </c>
      <c r="ES78" s="153" t="e">
        <f t="shared" ca="1" si="442"/>
        <v>#N/A</v>
      </c>
      <c r="ET78" s="153" t="e">
        <f t="shared" ca="1" si="443"/>
        <v>#N/A</v>
      </c>
      <c r="EU78" s="153" t="e">
        <f t="shared" ca="1" si="391"/>
        <v>#N/A</v>
      </c>
      <c r="EV78" s="153" t="e">
        <f t="shared" ca="1" si="262"/>
        <v>#N/A</v>
      </c>
      <c r="EW78" s="153" t="e">
        <f t="shared" ca="1" si="263"/>
        <v>#N/A</v>
      </c>
      <c r="EX78" s="153" t="e">
        <f t="shared" ca="1" si="264"/>
        <v>#N/A</v>
      </c>
      <c r="EY78" s="157" t="e">
        <f t="shared" ca="1" si="265"/>
        <v>#DIV/0!</v>
      </c>
      <c r="EZ78" s="154" t="e">
        <f t="shared" ca="1" si="266"/>
        <v>#DIV/0!</v>
      </c>
      <c r="FA78" s="153" t="e">
        <f t="shared" ca="1" si="392"/>
        <v>#N/A</v>
      </c>
      <c r="FB78" s="153" t="e">
        <f t="shared" ca="1" si="267"/>
        <v>#N/A</v>
      </c>
      <c r="FC78" s="193" t="e">
        <f t="shared" ca="1" si="268"/>
        <v>#N/A</v>
      </c>
      <c r="FD78" s="158" t="e">
        <f t="shared" ca="1" si="393"/>
        <v>#N/A</v>
      </c>
      <c r="FE78" s="158" t="e">
        <f t="shared" ca="1" si="394"/>
        <v>#N/A</v>
      </c>
      <c r="FF78" s="159" t="e">
        <f t="shared" ca="1" si="269"/>
        <v>#N/A</v>
      </c>
      <c r="FG78" s="160" t="e">
        <f t="shared" ca="1" si="395"/>
        <v>#N/A</v>
      </c>
      <c r="FH78" s="158" t="e">
        <f t="shared" ca="1" si="396"/>
        <v>#N/A</v>
      </c>
      <c r="FI78" s="159" t="e">
        <f t="shared" ca="1" si="270"/>
        <v>#N/A</v>
      </c>
      <c r="FJ78" s="160" t="e">
        <f t="shared" ca="1" si="397"/>
        <v>#N/A</v>
      </c>
      <c r="FK78" s="160" t="e">
        <f t="shared" ca="1" si="271"/>
        <v>#N/A</v>
      </c>
      <c r="FL78" s="160" t="e">
        <f t="shared" ca="1" si="444"/>
        <v>#N/A</v>
      </c>
      <c r="FM78" s="160" t="e">
        <f t="shared" ca="1" si="272"/>
        <v>#N/A</v>
      </c>
      <c r="FN78" s="158">
        <f t="shared" ca="1" si="398"/>
        <v>0.01</v>
      </c>
      <c r="FO78" s="160">
        <f>Control!$C$101</f>
        <v>50</v>
      </c>
      <c r="FP78" s="150" t="e">
        <f t="shared" ca="1" si="273"/>
        <v>#N/A</v>
      </c>
      <c r="FQ78" s="150" t="e">
        <f ca="1">MAX(0,(Control!$C$112*(($DK78-Control!$C$97)/Control!$C$97)))</f>
        <v>#N/A</v>
      </c>
      <c r="FR78" s="150" t="e">
        <f ca="1">(1-$NT78)*Control!$C$113</f>
        <v>#DIV/0!</v>
      </c>
      <c r="FS78" s="198" t="e">
        <f t="shared" ca="1" si="274"/>
        <v>#N/A</v>
      </c>
      <c r="FT78" s="161">
        <f t="shared" ca="1" si="399"/>
        <v>74</v>
      </c>
      <c r="FU78" s="162" t="e">
        <f ca="1">IF(Control!$B$34=1,VLOOKUP($CP78,Control!$B$86:$G$91,6),Control!$B$35)</f>
        <v>#N/A</v>
      </c>
      <c r="FV78" s="162" t="e">
        <f t="shared" ca="1" si="275"/>
        <v>#DIV/0!</v>
      </c>
      <c r="FW78" s="162" t="e">
        <f ca="1">IF(Control!$B$31=1,$FU78*$FV78,  $FU78)</f>
        <v>#N/A</v>
      </c>
      <c r="FX78" s="162" t="e">
        <f ca="1">IF(Control!$B$34=1,VLOOKUP($CP78,Control!$B$86:$G$91,3),Control!$B$36)</f>
        <v>#N/A</v>
      </c>
      <c r="FY78" s="162" t="e">
        <f t="shared" ca="1" si="276"/>
        <v>#N/A</v>
      </c>
      <c r="FZ78" s="162" t="e">
        <f ca="1">IF(Control!$B$34=1,VLOOKUP($CP78,Control!$B$86:$G$91,4),Control!$B$37)</f>
        <v>#N/A</v>
      </c>
      <c r="GA78" s="162" t="e">
        <f t="shared" ca="1" si="277"/>
        <v>#N/A</v>
      </c>
      <c r="GB78" s="162" t="e">
        <f ca="1">IF(Control!$B$34=1,VLOOKUP($CP78,Control!$B$86:$G$91,5),Control!$B$38)</f>
        <v>#N/A</v>
      </c>
      <c r="GC78" s="162" t="e">
        <f t="shared" ca="1" si="400"/>
        <v>#N/A</v>
      </c>
      <c r="GD78" s="162">
        <f t="shared" ca="1" si="278"/>
        <v>1</v>
      </c>
      <c r="GE78" s="162">
        <f t="shared" ca="1" si="279"/>
        <v>1</v>
      </c>
      <c r="GF78" s="162">
        <f ca="1">IF(AND(Control!$C$104=1, Control!$C$62="F"),$GE78,1)</f>
        <v>1</v>
      </c>
      <c r="GG78" s="162" t="e">
        <f ca="1">IF(Control!$B$16=40,0,IF(AND(Control!$B$16&gt;40,Control!$B$16&lt;=360),(Control!$B$16-40)*((1-0)/(360-40)),IF(AND(Control!$B$16&gt;360,Control!$B$16&lt;=720),(1+(Control!$B$16-360)*((1.25-1)/(720-360))),IF(AND(Control!$B$16&gt;720,Control!$B$16&lt;=1000),(1.25+(Control!$B$16-720)*((1.35-1.25)/(1000-720))),IF(AND(Control!$B$16&gt;1000,Control!$B$16&lt;=2000),(1.35+(Control!$B$16-1000)*0))))))</f>
        <v>#N/A</v>
      </c>
      <c r="GH78" s="162" t="e">
        <f t="shared" ca="1" si="280"/>
        <v>#N/A</v>
      </c>
      <c r="GI78" s="162">
        <f t="shared" ca="1" si="401"/>
        <v>0</v>
      </c>
      <c r="GJ78" s="162">
        <f t="shared" ca="1" si="281"/>
        <v>0</v>
      </c>
      <c r="GK78" s="162">
        <f t="shared" ca="1" si="402"/>
        <v>1</v>
      </c>
      <c r="GL78" s="162">
        <f t="shared" ca="1" si="282"/>
        <v>1</v>
      </c>
      <c r="GM78" s="162" t="e">
        <f ca="1">MAX(0,MIN(1,1-Control!$C$156*(1.0001-$KH78)^2))</f>
        <v>#N/A</v>
      </c>
      <c r="GN78" s="162" t="e">
        <f ca="1">IF(Control!$B$26=1,$KU78,$KX78)</f>
        <v>#N/A</v>
      </c>
      <c r="GO78" s="162" t="e">
        <f ca="1">IF($CP78&lt;=60,Control!$C$105,IF($CP78&gt;=90,Control!$C$106,Control!$C$105+($CP78-60)*((Control!$C$106-Control!$C$105)/(90-60))))</f>
        <v>#N/A</v>
      </c>
      <c r="GP78" s="162" t="e">
        <f t="shared" ca="1" si="283"/>
        <v>#N/A</v>
      </c>
      <c r="GQ78" s="162" t="e">
        <f t="shared" ca="1" si="403"/>
        <v>#N/A</v>
      </c>
      <c r="GR78" s="163" t="e">
        <f t="shared" ca="1" si="284"/>
        <v>#DIV/0!</v>
      </c>
      <c r="GS78" s="162" t="e">
        <f t="shared" ca="1" si="285"/>
        <v>#DIV/0!</v>
      </c>
      <c r="GT78" s="164" t="e">
        <f t="shared" ca="1" si="404"/>
        <v>#N/A</v>
      </c>
      <c r="GU78" s="162" t="e">
        <f t="shared" ca="1" si="405"/>
        <v>#N/A</v>
      </c>
      <c r="GV78" s="162" t="e">
        <f t="shared" ca="1" si="286"/>
        <v>#N/A</v>
      </c>
      <c r="GW78" s="162" t="e">
        <f t="shared" ca="1" si="287"/>
        <v>#DIV/0!</v>
      </c>
      <c r="GX78" s="162" t="e">
        <f t="shared" ca="1" si="406"/>
        <v>#DIV/0!</v>
      </c>
      <c r="GY78" s="162" t="e">
        <f t="shared" ca="1" si="407"/>
        <v>#DIV/0!</v>
      </c>
      <c r="GZ78" s="165" t="e">
        <f t="shared" ca="1" si="288"/>
        <v>#N/A</v>
      </c>
      <c r="HA78" s="162" t="e">
        <f ca="1">IF(Control!$C$114=1, $DI78*$FS78, 0)</f>
        <v>#N/A</v>
      </c>
      <c r="HB78" s="162" t="e">
        <f ca="1">$FA78/Control!$C$64</f>
        <v>#N/A</v>
      </c>
      <c r="HC78" s="162" t="e">
        <f t="shared" ca="1" si="289"/>
        <v>#DIV/0!</v>
      </c>
      <c r="HD78" s="162">
        <f ca="1">-ASIN(SIN(23.45*Control!$C$139)*COS(2*Control!$C$138*($AH78+10)/365))</f>
        <v>-4.9555406869116414E-2</v>
      </c>
      <c r="HE78" s="165">
        <f t="shared" ca="1" si="408"/>
        <v>0</v>
      </c>
      <c r="HF78" s="166">
        <f ca="1">IF(AND(Control!$C$61="T",$HE78&gt;=Control!$C$103,Control!$C$114=0),$AH78,Control!$C$59)</f>
        <v>1</v>
      </c>
      <c r="HG78" s="166">
        <f ca="1">IF(AND(Control!$C$61="T",$HE78&gt;=Control!$C$103,Control!$C$114=0),$HF78,Control!$C$59)</f>
        <v>1</v>
      </c>
      <c r="HH78" s="165">
        <f ca="1">IF(AND(OR(Control!$C$60&lt;=0, $AH78= Control!$C$59, Control!$C$60 &gt;0, $AH78 = Control!$C$60)), Control!$C$59, IF(Control!$C$60&gt;0, 0))</f>
        <v>1</v>
      </c>
      <c r="HI78" s="165">
        <f ca="1">IF(AND(OR(Control!$C$60&lt;=0, $AH78= Control!$C$59, Control!$C$60 &gt;0, $AH78 = Control!$C$60)), Control!$C$60, IF(Control!$C$60&lt;=0, 0))</f>
        <v>0</v>
      </c>
      <c r="HJ78" s="166">
        <f ca="1">IF(AND(Control!$C$62="F",$CV78&gt;=Control!$C$102),$AH78,0)</f>
        <v>0</v>
      </c>
      <c r="HK78" s="165" t="e">
        <f t="shared" ca="1" si="445"/>
        <v>#N/A</v>
      </c>
      <c r="HL78" s="166">
        <f ca="1">IF(AND(Control!$C$61="T",$HE78&gt;=Control!$C$103,Control!$C$114=0),$HF78,0)</f>
        <v>0</v>
      </c>
      <c r="HM78" s="201" t="e">
        <f t="shared" ca="1" si="290"/>
        <v>#DIV/0!</v>
      </c>
      <c r="HN78" s="215">
        <f t="shared" ca="1" si="409"/>
        <v>74</v>
      </c>
      <c r="HO78" s="216" t="e">
        <f ca="1">IF(AND($CP78&gt;=0, $CP78&lt;=90), Control!$C$152, Control!$C$152)</f>
        <v>#N/A</v>
      </c>
      <c r="HP78" s="216" t="e">
        <f t="shared" ca="1" si="291"/>
        <v>#N/A</v>
      </c>
      <c r="HQ78" s="217" t="e">
        <f ca="1">IF(OR(Control!$B$26=1,Control!$B$26=2),$KV78,$KS78)</f>
        <v>#DIV/0!</v>
      </c>
      <c r="HR78" s="218" t="e">
        <f t="shared" ca="1" si="446"/>
        <v>#DIV/0!</v>
      </c>
      <c r="HS78" s="216" t="e">
        <f ca="1">Control!$C$154*$HP78</f>
        <v>#N/A</v>
      </c>
      <c r="HT78" s="216" t="e">
        <f ca="1">Control!$C$155*$HP78</f>
        <v>#N/A</v>
      </c>
      <c r="HU78" s="217" t="e">
        <f ca="1">Control!$C$161*$FI78</f>
        <v>#N/A</v>
      </c>
      <c r="HV78" s="218" t="e">
        <f t="shared" ca="1" si="410"/>
        <v>#N/A</v>
      </c>
      <c r="HW78" s="218" t="e">
        <f ca="1">Control!$C$160*$FF78+$IP78*$EO78</f>
        <v>#N/A</v>
      </c>
      <c r="HX78" s="218" t="e">
        <f t="shared" ca="1" si="447"/>
        <v>#N/A</v>
      </c>
      <c r="HY78" s="219" t="e">
        <f ca="1">IF(Control!$C$114=1, $EB78*$FS78, 0)</f>
        <v>#N/A</v>
      </c>
      <c r="HZ78" s="91" t="e">
        <f t="shared" ca="1" si="292"/>
        <v>#N/A</v>
      </c>
      <c r="IA78" s="220" t="e">
        <f ca="1">Control!$C$153*$HO78</f>
        <v>#N/A</v>
      </c>
      <c r="IB78" s="218" t="e">
        <f t="shared" ca="1" si="293"/>
        <v>#N/A</v>
      </c>
      <c r="IC78" s="220" t="e">
        <f ca="1">Control!$C$153*$HT78</f>
        <v>#N/A</v>
      </c>
      <c r="ID78" s="218" t="e">
        <f t="shared" ca="1" si="294"/>
        <v>#N/A</v>
      </c>
      <c r="IE78" s="221" t="e">
        <f ca="1">($EB78*Control!$C$159+$EF78*Control!$C$160)/(IF($GZ78&lt;&gt;0,$GZ78,1))</f>
        <v>#N/A</v>
      </c>
      <c r="IF78" s="216" t="e">
        <f t="shared" ca="1" si="295"/>
        <v>#N/A</v>
      </c>
      <c r="IG78" s="91">
        <f ca="1">IF(OR(Control!$B$198=$AH78,Control!$B$199=$AH78, Control!$B$200=$AH78, Control!$B$201=$AH78, Control!$B$202=$AH78, Control!$B$203=$AH78, Control!$B$204=$AH78, Control!$B$205=$AH78, Control!$B$206=$AH78, Control!$B$207=$AH78), 1, 0)</f>
        <v>0</v>
      </c>
      <c r="IH78" s="91">
        <f ca="1">IF($IG78=0,0, VLOOKUP($AH78,Control!$B$198:$C$207,2))</f>
        <v>0</v>
      </c>
      <c r="II78" s="222">
        <f t="shared" ca="1" si="411"/>
        <v>0</v>
      </c>
      <c r="IJ78" s="91">
        <f>Control!$C$121</f>
        <v>0.7</v>
      </c>
      <c r="IK78" s="218">
        <f t="shared" ca="1" si="296"/>
        <v>0</v>
      </c>
      <c r="IL78" s="217" t="e">
        <f t="shared" ca="1" si="448"/>
        <v>#N/A</v>
      </c>
      <c r="IM78" s="223" t="e">
        <f ca="1">IF(AND(Control!$C$114=1,$KH78&lt;1),$EB78*Control!$C$148*(1-$KH78), 0)</f>
        <v>#N/A</v>
      </c>
      <c r="IN78" s="217" t="e">
        <f t="shared" ca="1" si="297"/>
        <v>#DIV/0!</v>
      </c>
      <c r="IO78" s="91" t="e">
        <f ca="1">MAX(0,$IL78-$EF78*Control!$C$160)</f>
        <v>#N/A</v>
      </c>
      <c r="IP78" s="220" t="e">
        <f t="shared" ca="1" si="298"/>
        <v>#N/A</v>
      </c>
      <c r="IQ78" s="217" t="e">
        <f t="shared" ca="1" si="412"/>
        <v>#N/A</v>
      </c>
      <c r="IR78" s="218" t="e">
        <f t="shared" ca="1" si="299"/>
        <v>#N/A</v>
      </c>
      <c r="IS78" s="217" t="e">
        <f ca="1">Control!$C$159*MAX(0,$FD78-$EN78)</f>
        <v>#N/A</v>
      </c>
      <c r="IT78" s="217" t="e">
        <f t="shared" ca="1" si="449"/>
        <v>#N/A</v>
      </c>
      <c r="IU78" s="217" t="e">
        <f t="shared" ca="1" si="413"/>
        <v>#N/A</v>
      </c>
      <c r="IV78" s="217" t="e">
        <f t="shared" ca="1" si="450"/>
        <v>#N/A</v>
      </c>
      <c r="IW78" s="217" t="e">
        <f ca="1">IF(OR($AW78=1,AND($AW78=0, Control!$B$18=1,$EN78&lt;&gt;0)), $IQ78-$IU78, $IQ78)</f>
        <v>#N/A</v>
      </c>
      <c r="IX78" s="218" t="e">
        <f t="shared" ca="1" si="300"/>
        <v>#N/A</v>
      </c>
      <c r="IY78" s="218" t="e">
        <f ca="1">MAX(0,$IQ78-$EB78*Control!$C$159)</f>
        <v>#N/A</v>
      </c>
      <c r="IZ78" s="218" t="e">
        <f t="shared" ca="1" si="301"/>
        <v>#N/A</v>
      </c>
      <c r="JA78" s="216" t="e">
        <f t="shared" ca="1" si="302"/>
        <v>#N/A</v>
      </c>
      <c r="JB78" s="217" t="e">
        <f t="shared" ca="1" si="303"/>
        <v>#N/A</v>
      </c>
      <c r="JC78" s="222" t="e">
        <f ca="1">MAX(Control!$C$157*$EK78-$JT78, 0)/Control!$C$162</f>
        <v>#N/A</v>
      </c>
      <c r="JD78" s="218" t="e">
        <f t="shared" ca="1" si="304"/>
        <v>#N/A</v>
      </c>
      <c r="JE78" s="218" t="e">
        <f t="shared" ca="1" si="305"/>
        <v>#N/A</v>
      </c>
      <c r="JF78" s="218" t="e">
        <f t="shared" ca="1" si="414"/>
        <v>#N/A</v>
      </c>
      <c r="JG78" s="218" t="e">
        <f t="shared" ca="1" si="306"/>
        <v>#N/A</v>
      </c>
      <c r="JH78" s="217" t="e">
        <f t="shared" ca="1" si="415"/>
        <v>#N/A</v>
      </c>
      <c r="JI78" s="217" t="e">
        <f t="shared" ca="1" si="416"/>
        <v>#N/A</v>
      </c>
      <c r="JJ78" s="217" t="e">
        <f t="shared" ca="1" si="451"/>
        <v>#N/A</v>
      </c>
      <c r="JK78" s="217" t="e">
        <f ca="1">IF(Control!$C$114=1,IF(Control!$B$24=0,MAX(0,$JI78)*$GN78/Control!$C$64,(MAX(0,MIN($JI78,$JJ78*$GN78/Control!$C$64),0))))</f>
        <v>#N/A</v>
      </c>
      <c r="JL78" s="217" t="e">
        <f ca="1">$IK78/Control!$C$64-$JK78+$HQ78</f>
        <v>#N/A</v>
      </c>
      <c r="JM78" s="217" t="e">
        <f ca="1">IF(Control!$C$114=1,($JB78/(IF($JI78&lt;&gt;0,$JI78,1)))*$JK78,0)</f>
        <v>#N/A</v>
      </c>
      <c r="JN78" s="217" t="e">
        <f ca="1">IF(Control!$C$114=1,($JG78/(IF($JI78&lt;&gt;0,$JI78,1)))*$JK78, 0)</f>
        <v>#N/A</v>
      </c>
      <c r="JO78" s="218" t="e">
        <f t="shared" ca="1" si="307"/>
        <v>#N/A</v>
      </c>
      <c r="JP78" s="218" t="e">
        <f ca="1">MIN(($IY78+$IO78)*Control!$C$151, $JF78-$EH78*Control!$C$161)</f>
        <v>#N/A</v>
      </c>
      <c r="JQ78" s="218" t="e">
        <f t="shared" ca="1" si="308"/>
        <v>#N/A</v>
      </c>
      <c r="JR78" s="217" t="e">
        <f ca="1">IF($CP78-Control!$C$150&lt;0, 0, $JQ78/Control!$C$162)</f>
        <v>#N/A</v>
      </c>
      <c r="JS78" s="218" t="e">
        <f t="shared" ca="1" si="309"/>
        <v>#N/A</v>
      </c>
      <c r="JT78" s="218" t="e">
        <f t="shared" ca="1" si="417"/>
        <v>#N/A</v>
      </c>
      <c r="JU78" s="218" t="e">
        <f t="shared" ca="1" si="310"/>
        <v>#N/A</v>
      </c>
      <c r="JV78" s="218" t="e">
        <f t="shared" ca="1" si="311"/>
        <v>#N/A</v>
      </c>
      <c r="JW78" s="216" t="e">
        <f t="shared" ca="1" si="312"/>
        <v>#N/A</v>
      </c>
      <c r="JX78" s="91" t="e">
        <f t="shared" ca="1" si="313"/>
        <v>#N/A</v>
      </c>
      <c r="JY78" s="218" t="e">
        <f t="shared" ca="1" si="314"/>
        <v>#N/A</v>
      </c>
      <c r="JZ78" s="217" t="e">
        <f ca="1">IF(Control!$C$114=1,($IZ78/(IF($JI78&lt;&gt;0,$JI78,1)))*$JK78, 0)</f>
        <v>#N/A</v>
      </c>
      <c r="KA78" s="218" t="e">
        <f t="shared" ca="1" si="452"/>
        <v>#N/A</v>
      </c>
      <c r="KB78" s="218" t="e">
        <f t="shared" ca="1" si="418"/>
        <v>#N/A</v>
      </c>
      <c r="KC78" s="218" t="e">
        <f t="shared" ca="1" si="315"/>
        <v>#N/A</v>
      </c>
      <c r="KD78" s="218" t="e">
        <f t="shared" ca="1" si="316"/>
        <v>#N/A</v>
      </c>
      <c r="KE78" s="218" t="e">
        <f t="shared" ca="1" si="317"/>
        <v>#N/A</v>
      </c>
      <c r="KF78" s="218" t="e">
        <f t="shared" ca="1" si="318"/>
        <v>#N/A</v>
      </c>
      <c r="KG78" s="216" t="e">
        <f t="shared" ca="1" si="319"/>
        <v>#N/A</v>
      </c>
      <c r="KH78" s="221" t="e">
        <f ca="1">IF(Control!$B$24=0,1,MAX(0.001,MIN(1,IF(($IF78-$IE78)&lt;&gt;0,($KG78-$IE78)/($IF78-$IE78),1))))</f>
        <v>#N/A</v>
      </c>
      <c r="KI78" s="222" t="e">
        <f ca="1">IF(Control!$C$114=1, $KI77+ $KH77, 0)</f>
        <v>#N/A</v>
      </c>
      <c r="KJ78" s="217" t="e">
        <f t="shared" ca="1" si="320"/>
        <v>#N/A</v>
      </c>
      <c r="KK78" s="218" t="e">
        <f t="shared" ca="1" si="321"/>
        <v>#N/A</v>
      </c>
      <c r="KL78" s="274" t="e">
        <f ca="1">IF(Control!$B$26=3,4000000000*EXP(-8400/($G78+273)),IF(Control!$B$26=4,4000000000*EXP(-8400/($G78+273))*($KT78),0))</f>
        <v>#DIV/0!</v>
      </c>
      <c r="KM78" s="274" t="e">
        <f ca="1">IF(Control!$B$26=3,5600000000000*EXP(-9800/($G78+273)),IF(Control!$B$26=4,5600000000000*EXP(-9800/($G78+273))*$KT78,0))</f>
        <v>#DIV/0!</v>
      </c>
      <c r="KN78" s="454" t="e">
        <f t="shared" ca="1" si="419"/>
        <v>#DIV/0!</v>
      </c>
      <c r="KO78" s="274" t="e">
        <f t="shared" ca="1" si="420"/>
        <v>#DIV/0!</v>
      </c>
      <c r="KP78" s="454" t="e">
        <f t="shared" ca="1" si="322"/>
        <v>#DIV/0!</v>
      </c>
      <c r="KQ78" s="454" t="e">
        <f t="shared" ca="1" si="323"/>
        <v>#DIV/0!</v>
      </c>
      <c r="KR78" s="454" t="e">
        <f t="shared" ca="1" si="324"/>
        <v>#DIV/0!</v>
      </c>
      <c r="KS78" s="454" t="e">
        <f t="shared" ca="1" si="325"/>
        <v>#DIV/0!</v>
      </c>
      <c r="KT78" s="455" t="e">
        <f t="shared" ca="1" si="326"/>
        <v>#DIV/0!</v>
      </c>
      <c r="KU78" s="456" t="e">
        <f ca="1">IF($CP78-Control!$C$149&lt;0, IF($NT78-0.01&lt;0,0,1),0)</f>
        <v>#N/A</v>
      </c>
      <c r="KV78" s="456" t="e">
        <f ca="1">IF(Control!$C$114=1,MAX(0,MIN(Control!$C$125*$KW78*$GN78,$KW78)))</f>
        <v>#DIV/0!</v>
      </c>
      <c r="KW78" s="456" t="e">
        <f t="shared" ca="1" si="453"/>
        <v>#DIV/0!</v>
      </c>
      <c r="KX78" s="457" t="e">
        <f ca="1">IF($CP78-Control!$C$149&lt;0, IF($MR78-$OM78&lt;0,0,1),0)</f>
        <v>#N/A</v>
      </c>
      <c r="KY78" s="167">
        <f t="shared" ca="1" si="421"/>
        <v>74</v>
      </c>
      <c r="KZ78" s="168">
        <f ca="1">1370*(1+0.033*COS(2*Control!$C$138*$AH78/365))</f>
        <v>1383.2283323955057</v>
      </c>
      <c r="LA78" s="169">
        <f t="shared" ca="1" si="422"/>
        <v>1.0096558110759004</v>
      </c>
      <c r="LB78" s="169">
        <f t="shared" ca="1" si="423"/>
        <v>-4.7398092634457288E-2</v>
      </c>
      <c r="LC78" s="169">
        <f ca="1">ACOS(-TAN((2*Control!$B$8/360))*TAN(Calculations!$LB78))</f>
        <v>1.556698439681538</v>
      </c>
      <c r="LD78" s="169">
        <f ca="1">((24*60)/PI())*0.082*$LA78*(($LC78*SIN(Control!$B$8*2*PI()/360))*SIN($LB78)+COS(Control!$B$8*2*PI()/360)*COS($LB78)*SIN($LC78))</f>
        <v>21.12951084537065</v>
      </c>
      <c r="LE78" s="170">
        <f t="shared" ca="1" si="327"/>
        <v>21.106401213896635</v>
      </c>
      <c r="LF78" s="170">
        <f ca="1">SIN(Control!$C$139*Control!$B$8)*SIN($HD78)</f>
        <v>-3.9034277354930209E-2</v>
      </c>
      <c r="LG78" s="170">
        <f ca="1">COS(Control!$C$139*Control!$B$8)*COS($HD78)</f>
        <v>0.61490400792624189</v>
      </c>
      <c r="LH78" s="170">
        <f ca="1">12*(1+2*ASIN(MAX(-1,MIN(1,$LF78/$LG78))/Control!$C$138))</f>
        <v>11.515014525797927</v>
      </c>
      <c r="LI78" s="170">
        <f ca="1">12*(1+2*ASIN(MAX(-1,MIN(1,(-SIN(-4*Control!$C$139)+$LF78)/$LG78))/Control!$C$138))</f>
        <v>12.381703288812789</v>
      </c>
      <c r="LJ78" s="168">
        <f ca="1">3600*($LH78*$LF78+24*$LG78*SQRT(1-$LK78*$LK78)/Control!$C$138)</f>
        <v>15258.797639970329</v>
      </c>
      <c r="LK78" s="170">
        <f t="shared" ca="1" si="328"/>
        <v>-6.3480277981229863E-2</v>
      </c>
      <c r="LL78" s="170">
        <f t="shared" ca="1" si="329"/>
        <v>0</v>
      </c>
      <c r="LM78" s="171">
        <f ca="1">Control!$C$145*$AB78</f>
        <v>6.6660906138995932E-2</v>
      </c>
      <c r="LN78" s="170">
        <f t="shared" ca="1" si="424"/>
        <v>0.54</v>
      </c>
      <c r="LO78" s="170">
        <f t="shared" ca="1" si="330"/>
        <v>0</v>
      </c>
      <c r="LP78" s="170">
        <f ca="1">Control!$C$140*((($D78+273.16)^4+($E78+273.16)^4)/2)*(0.34-0.14*SQRT($Y78))*(1.35*$AQ78/(0.75*$LD78)-0.35)</f>
        <v>-3.2464704755046001</v>
      </c>
      <c r="LQ78" s="170">
        <f ca="1">Control!$C$140*($G78+273)^4*(0.56-0.079*SQRT($Y78*10))*(0.1+0.9*$LO78)</f>
        <v>1.5241745131704001</v>
      </c>
      <c r="LR78" s="170">
        <f ca="1">$AQ78*(1-Control!$C$142)-$LQ78</f>
        <v>-1.5241745131704001</v>
      </c>
      <c r="LS78" s="170">
        <f ca="1">$AQ78*(1-Control!$C$143)-$LQ78</f>
        <v>-1.5241745131704001</v>
      </c>
      <c r="LT78" s="170">
        <f ca="1">$AQ78*(1-Control!$C$144)-$LQ78</f>
        <v>-1.5241745131704001</v>
      </c>
      <c r="LU78" s="169">
        <f ca="1">(1-Control!$C$144)*AQ78-LP78</f>
        <v>3.2464704755046001</v>
      </c>
      <c r="LV78" s="172">
        <f t="shared" ca="1" si="331"/>
        <v>0.79430000000000012</v>
      </c>
      <c r="LW78" s="170">
        <f t="shared" ca="1" si="332"/>
        <v>1.5886000000000002</v>
      </c>
      <c r="LX78" s="170">
        <f ca="1">($AC78*($LR78/Control!$C$141)+$LM78*$LV78)/($AC78+$LM78)</f>
        <v>0.23530094218323697</v>
      </c>
      <c r="LY78" s="170">
        <f ca="1">($AC78*($LS78/Control!$C$141)+$LM78*$LV78)/($AC78+$LM78)</f>
        <v>0.23530094218323697</v>
      </c>
      <c r="LZ78" s="170">
        <f t="shared" ca="1" si="333"/>
        <v>0.23530094218323697</v>
      </c>
      <c r="MA78" s="170">
        <f t="shared" ca="1" si="334"/>
        <v>0.23530094218323697</v>
      </c>
      <c r="MB78" s="170" t="e">
        <f t="shared" ca="1" si="335"/>
        <v>#N/A</v>
      </c>
      <c r="MC78" s="170">
        <f t="shared" ca="1" si="425"/>
        <v>0.6018</v>
      </c>
      <c r="MD78" s="170">
        <f t="shared" ca="1" si="336"/>
        <v>0.52989392535414004</v>
      </c>
      <c r="ME78" s="170">
        <f ca="1">($AC78*($LT78/Control!$C$141)+$LM78*$LW78)/($AC78+$LM78)</f>
        <v>0.71612369323045078</v>
      </c>
      <c r="MF78" s="170" t="e">
        <f ca="1">IF(Control!$B$16&gt;=1000,0.92,IF(AND(720&lt;=Control!$B$16,1000&gt;Control!$B$16),(0.95+(Control!$B$16-720)*((0.92-0.95)/(1000-720))),IF(AND(360&lt;=Control!$B$16,720&gt;Control!$B$16),(1+(Control!$B$16-360)*((0.95-1)/(720-360))),IF(AND(40&lt;=Control!$B$16,360&gt;Control!$B$16),(1.05+(Control!$B$16-40)*((1.05-1)/(360-40)))))))</f>
        <v>#N/A</v>
      </c>
      <c r="MG78" s="170">
        <f t="shared" ca="1" si="337"/>
        <v>0.71612369323045078</v>
      </c>
      <c r="MH78" s="170" t="e">
        <f t="shared" ca="1" si="233"/>
        <v>#N/A</v>
      </c>
      <c r="MI78" s="170" t="e">
        <f t="shared" ca="1" si="233"/>
        <v>#N/A</v>
      </c>
      <c r="MJ78" s="170" t="e">
        <f ca="1">MAX(0.0001, Control!$C$132*$MI78*$DL78)</f>
        <v>#N/A</v>
      </c>
      <c r="MK78" s="170">
        <f ca="1">1/(0.76+1.5*($MG78/10))-(5-Control!$C$110)*0.1</f>
        <v>1.002845988140797</v>
      </c>
      <c r="ML78" s="173">
        <f ca="1">IF(Control!$C$110&lt;3,$MK78+($MG78-0.6)/(Control!$C$110*(Control!$C$110+3)), MAX(0.1, MIN(0.95,$MK78)))</f>
        <v>0.95</v>
      </c>
      <c r="MM78" s="173">
        <f ca="1">IF(Control!$C$110&lt;3,$MK78+(($MI78/10)-0.6)/(Control!$C$110*(Control!$C$110+3)), MAX(0.1, MIN(0.95,$MK78)))</f>
        <v>0.95</v>
      </c>
      <c r="MN78" s="173">
        <f ca="1">(1-$MM78)*(Control!$C$128-Control!$C$127)+Control!$C$127</f>
        <v>0.16</v>
      </c>
      <c r="MO78" s="170" t="e">
        <f ca="1">MAX(0,MIN(1,($MS78-Control!$C$127)/($MN78-Control!$C$127)))</f>
        <v>#DIV/0!</v>
      </c>
      <c r="MP78" s="173" t="e">
        <f ca="1">1/(0.76+1.5*$MI78)-(5-Control!$C$110)*0.1</f>
        <v>#N/A</v>
      </c>
      <c r="MQ78" s="172" t="e">
        <f t="shared" ca="1" si="454"/>
        <v>#DIV/0!</v>
      </c>
      <c r="MR78" s="168" t="e">
        <f t="shared" ca="1" si="426"/>
        <v>#DIV/0!</v>
      </c>
      <c r="MS78" s="173" t="e">
        <f ca="1">MAX(Control!$C$127, MIN(Control!$C$135, $MR78/MAX(0.0001,$CY78)))</f>
        <v>#DIV/0!</v>
      </c>
      <c r="MT78" s="168" t="e">
        <f ca="1">(Control!$C$128-$MS78)*Control!$C$74</f>
        <v>#DIV/0!</v>
      </c>
      <c r="MU78" s="168" t="e">
        <f ca="1">(Control!$C$135-$MS78)*Control!$C$74</f>
        <v>#DIV/0!</v>
      </c>
      <c r="MV78" s="168" t="e">
        <f t="shared" ca="1" si="427"/>
        <v>#DIV/0!</v>
      </c>
      <c r="MW78" s="168" t="e">
        <f t="shared" ca="1" si="428"/>
        <v>#DIV/0!</v>
      </c>
      <c r="MX78" s="171" t="e">
        <f ca="1">MAX(Control!$C$127, MIN(Control!$C$135, $MW78/MAX(0.0001,Control!$C$119-$CY78)))</f>
        <v>#DIV/0!</v>
      </c>
      <c r="MY78" s="54" t="e">
        <f ca="1">IF(Control!$C$114=1, $CX78*$MX78, 0)</f>
        <v>#DIV/0!</v>
      </c>
      <c r="MZ78" s="54" t="e">
        <f t="shared" ca="1" si="429"/>
        <v>#N/A</v>
      </c>
      <c r="NA78" s="168" t="e">
        <f ca="1">(Control!$C$128-$MX78)*(Control!$C$119-Control!$C$74)</f>
        <v>#DIV/0!</v>
      </c>
      <c r="NB78" s="168" t="e">
        <f ca="1">(Control!$C$135-$MX78)*(Control!$C$119-Control!$C$74)</f>
        <v>#DIV/0!</v>
      </c>
      <c r="NC78" s="174" t="e">
        <f t="shared" ca="1" si="430"/>
        <v>#DIV/0!</v>
      </c>
      <c r="ND78" s="54">
        <f ca="1">IF(Control!$C$58=2, IF(OR(Control!$B$218=$AH78,Control!$B$219=$AH78, Control!$B$220=$AH78, Control!$B$221=$AH78, Control!$B$222=$AH78, Control!$B$223=$AH78, Control!$B$224=$AH78, Control!$B$225=$AH78, Control!$B$226=$AH78, Control!$B$227=$AH78, Control!$B$228=$AH78), 1, 0), 0)</f>
        <v>0</v>
      </c>
      <c r="NE78" s="54">
        <f ca="1">IF($ND78=0,0, VLOOKUP($AH78,Control!$B$218:$C$228,2))</f>
        <v>0</v>
      </c>
      <c r="NF78" s="168" t="e">
        <f ca="1">$CY78*(Control!$C$128-Control!$C$127)</f>
        <v>#N/A</v>
      </c>
      <c r="NG78" s="54" t="e">
        <f ca="1">IF(Control!$C$58=2, $NI77-$NJ77, 0)</f>
        <v>#DIV/0!</v>
      </c>
      <c r="NH78" s="54" t="e">
        <f ca="1">IF(AND(Control!$C$58=1, $MS77&lt;= ($MN77+0.02), $I77&lt;10), 0, IF(Control!$C$58=2, $NG77, 0))</f>
        <v>#DIV/0!</v>
      </c>
      <c r="NI78" s="54" t="e">
        <f ca="1">IF(Control!$C$58=2, $NE78+$NH78,0)</f>
        <v>#DIV/0!</v>
      </c>
      <c r="NJ78" s="54" t="e">
        <f ca="1">IF(AND(Control!$C$58=1, $MS78&lt;= ($MN78+0.02), $I78&lt;10), MAX(0, MIN(10, 0.7*($NF78-$MV78))), IF(Control!$C$58=2, MIN(10,$NI78),0))</f>
        <v>#DIV/0!</v>
      </c>
      <c r="NK78" s="54" t="e">
        <f t="shared" ca="1" si="338"/>
        <v>#DIV/0!</v>
      </c>
      <c r="NL78" s="173" t="e">
        <f ca="1">(1-Control!$C$73)*$I78+$NJ78</f>
        <v>#DIV/0!</v>
      </c>
      <c r="NM78" s="172" t="e">
        <f ca="1">IF($NL78&lt;0.5, $MB78* MAX(0, MIN(1, (SQRT($NC78)-SQRT($NC78-1))*Control!$C$71)),0)</f>
        <v>#DIV/0!</v>
      </c>
      <c r="NN78" s="170" t="e">
        <f ca="1">IF($NL78&gt;=5, $MB78, MAX(0,MIN($MB78, $NM78+$NL78,($MS78-Control!$C$129))))</f>
        <v>#DIV/0!</v>
      </c>
      <c r="NO78" s="54">
        <f>IF(Control!$C$133&lt;&gt;1, Control!$C$135-Control!$C$131, 0)</f>
        <v>0.38</v>
      </c>
      <c r="NP78" s="54" t="e">
        <f t="shared" ca="1" si="339"/>
        <v>#DIV/0!</v>
      </c>
      <c r="NQ78" s="173" t="e">
        <f ca="1">MAX(0,MIN(1,(Control!$C$135-$MS78)/(Control!$C$135-$NO78)))</f>
        <v>#DIV/0!</v>
      </c>
      <c r="NR78" s="170" t="e">
        <f ca="1">IF(Control!$C$133&lt;&gt;1, $NQ78+((1-$NP78/4)*(1-$NQ78)),1)</f>
        <v>#DIV/0!</v>
      </c>
      <c r="NS78" s="170" t="e">
        <f ca="1">IF(Control!$B$31=0,$MJ78,MAX(0,MIN($MV78,$MO78*$NR78*$MJ78)))</f>
        <v>#DIV/0!</v>
      </c>
      <c r="NT78" s="170" t="e">
        <f t="shared" ca="1" si="455"/>
        <v>#DIV/0!</v>
      </c>
      <c r="NU78" s="170" t="e">
        <f t="shared" ca="1" si="431"/>
        <v>#N/A</v>
      </c>
      <c r="NV78" s="170" t="e">
        <f t="shared" ca="1" si="340"/>
        <v>#N/A</v>
      </c>
      <c r="NW78" s="175" t="e">
        <f t="shared" ca="1" si="341"/>
        <v>#DIV/0!</v>
      </c>
      <c r="NX78" s="170" t="e">
        <f ca="1">MIN(Control!$C$72+$MU78, $NW78)</f>
        <v>#DIV/0!</v>
      </c>
      <c r="NY78" s="170" t="e">
        <f ca="1">IF($MT78&lt;=$NX78,MIN(Control!$C$72+$NB78,$NX78-$MT78),0)</f>
        <v>#DIV/0!</v>
      </c>
      <c r="NZ78" s="54" t="e">
        <f ca="1">IF(Control!$C$114=1,  $CX78*($MX78-Control!$C$127), 0)</f>
        <v>#DIV/0!</v>
      </c>
      <c r="OA78" s="170" t="e">
        <f t="shared" ca="1" si="342"/>
        <v>#DIV/0!</v>
      </c>
      <c r="OB78" s="170" t="e">
        <f ca="1">IF($NA78 &lt;=$NY78, MIN(Control!$C$72, $NY78-$NA78), 0)</f>
        <v>#DIV/0!</v>
      </c>
      <c r="OC78" s="168" t="e">
        <f t="shared" ca="1" si="343"/>
        <v>#DIV/0!</v>
      </c>
      <c r="OD78" s="168" t="e">
        <f t="shared" ca="1" si="432"/>
        <v>#DIV/0!</v>
      </c>
      <c r="OE78" s="170">
        <f ca="1">Control!$C$73*$I78</f>
        <v>0</v>
      </c>
      <c r="OF78" s="176" t="e">
        <f t="shared" ca="1" si="344"/>
        <v>#DIV/0!</v>
      </c>
      <c r="OG78" s="168" t="e">
        <f t="shared" ca="1" si="345"/>
        <v>#DIV/0!</v>
      </c>
      <c r="OH78" s="168" t="e">
        <f t="shared" ca="1" si="346"/>
        <v>#DIV/0!</v>
      </c>
      <c r="OI78" s="168" t="e">
        <f t="shared" ca="1" si="347"/>
        <v>#DIV/0!</v>
      </c>
      <c r="OJ78" s="168" t="e">
        <f t="shared" ca="1" si="348"/>
        <v>#DIV/0!</v>
      </c>
      <c r="OK78" s="204" t="e">
        <f t="shared" ca="1" si="349"/>
        <v>#DIV/0!</v>
      </c>
      <c r="OL78" s="177">
        <f>Control!$C$127</f>
        <v>0.15</v>
      </c>
      <c r="OM78" s="182" t="e">
        <f t="shared" ca="1" si="350"/>
        <v>#N/A</v>
      </c>
      <c r="ON78" s="177">
        <f>Control!$C$128</f>
        <v>0.35</v>
      </c>
      <c r="OO78" s="182" t="e">
        <f t="shared" ca="1" si="351"/>
        <v>#N/A</v>
      </c>
      <c r="OP78" s="138">
        <f t="shared" ca="1" si="433"/>
        <v>0</v>
      </c>
      <c r="OQ78" s="138" t="e">
        <f t="shared" ca="1" si="456"/>
        <v>#DIV/0!</v>
      </c>
      <c r="OR78" s="138" t="e">
        <f t="shared" ca="1" si="434"/>
        <v>#DIV/0!</v>
      </c>
      <c r="OS78" s="137" t="e">
        <f t="shared" ca="1" si="457"/>
        <v>#DIV/0!</v>
      </c>
      <c r="OT78" s="139" t="e">
        <f t="shared" ca="1" si="458"/>
        <v>#DIV/0!</v>
      </c>
      <c r="OU78" s="138" t="e">
        <f t="shared" ca="1" si="459"/>
        <v>#N/A</v>
      </c>
      <c r="OV78" s="138" t="e">
        <f t="shared" ca="1" si="460"/>
        <v>#DIV/0!</v>
      </c>
      <c r="OW78" s="138" t="e">
        <f t="shared" ca="1" si="435"/>
        <v>#DIV/0!</v>
      </c>
      <c r="OX78" s="138" t="e">
        <f t="shared" ca="1" si="436"/>
        <v>#DIV/0!</v>
      </c>
      <c r="OY78" s="138" t="e">
        <f t="shared" ca="1" si="437"/>
        <v>#DIV/0!</v>
      </c>
      <c r="OZ78" s="138" t="e">
        <f t="shared" ca="1" si="352"/>
        <v>#DIV/0!</v>
      </c>
      <c r="PA78" s="138" t="e">
        <f t="shared" ca="1" si="353"/>
        <v>#DIV/0!</v>
      </c>
      <c r="PB78" s="55">
        <f>IF(Control!$C$61="T", IF(Control!$C$65="F", IF($AH$6-Control!$C$60&lt;0,0,1), IF(365+$AH$6-Control!$C$60&lt;0,0,1)),0)</f>
        <v>0</v>
      </c>
      <c r="PC78" s="55">
        <f ca="1">IF(Control!$C$65="F", IF($AH$6-$HF78&lt;0,0,1), IF(365+$AH$6-$HF78&lt;0,0,1))</f>
        <v>1</v>
      </c>
      <c r="PD78" s="444">
        <f>Control!$C$118</f>
        <v>1500</v>
      </c>
      <c r="PE78" s="180" t="e">
        <f t="shared" ca="1" si="354"/>
        <v>#N/A</v>
      </c>
      <c r="PF78" s="445">
        <f t="shared" ca="1" si="438"/>
        <v>0.71612369323045078</v>
      </c>
      <c r="PT78" s="186"/>
      <c r="PU78" s="186"/>
      <c r="PV78" s="94"/>
      <c r="PW78" s="94"/>
      <c r="PX78" s="94"/>
      <c r="PY78" s="94"/>
      <c r="PZ78" s="94"/>
      <c r="QA78" s="94"/>
      <c r="QB78" s="94"/>
      <c r="QC78" s="94"/>
      <c r="QD78" s="94"/>
      <c r="QE78" s="94"/>
      <c r="QF78" s="94"/>
      <c r="QG78" s="94"/>
      <c r="QH78" s="94"/>
      <c r="QI78" s="94"/>
      <c r="QJ78" s="94"/>
      <c r="QK78" s="94"/>
      <c r="QL78" s="94"/>
      <c r="QM78" s="94"/>
      <c r="QN78" s="94"/>
      <c r="QO78" s="94"/>
      <c r="QP78" s="94"/>
    </row>
    <row r="79" spans="1:458" s="2" customFormat="1" x14ac:dyDescent="0.2">
      <c r="A79" s="395">
        <v>15</v>
      </c>
      <c r="B79" s="396">
        <v>3</v>
      </c>
      <c r="C79" s="387">
        <f ca="1">Weather_data!$B78</f>
        <v>0</v>
      </c>
      <c r="D79" s="388">
        <f ca="1">Weather_data!$F78</f>
        <v>0</v>
      </c>
      <c r="E79" s="388">
        <f ca="1">Weather_data!$E78</f>
        <v>0</v>
      </c>
      <c r="F79" s="388">
        <f t="shared" ca="1" si="355"/>
        <v>0</v>
      </c>
      <c r="G79" s="388">
        <f ca="1">AVERAGE($D79:$E79)+Control!$B$9</f>
        <v>0</v>
      </c>
      <c r="H79" s="388">
        <f ca="1">Weather_data!$G78</f>
        <v>0</v>
      </c>
      <c r="I79" s="388">
        <f ca="1">Weather_data!$I78</f>
        <v>0</v>
      </c>
      <c r="J79" s="388">
        <f ca="1">Weather_data!$H78</f>
        <v>0</v>
      </c>
      <c r="K79" s="389">
        <f ca="1">Weather_data!$D78</f>
        <v>0</v>
      </c>
      <c r="L79" s="388" t="e">
        <f t="shared" ca="1" si="356"/>
        <v>#N/A</v>
      </c>
      <c r="M79" s="388" t="e">
        <f t="shared" ca="1" si="234"/>
        <v>#N/A</v>
      </c>
      <c r="N79" s="388">
        <f t="shared" ca="1" si="235"/>
        <v>-2.2838795372538703E-4</v>
      </c>
      <c r="O79" s="388">
        <f t="shared" ca="1" si="357"/>
        <v>2.2838795372538702E-3</v>
      </c>
      <c r="P79" s="390">
        <v>3</v>
      </c>
      <c r="Q79" s="388">
        <f ca="1">MAX($G79-Control!$C$107,0)</f>
        <v>0</v>
      </c>
      <c r="R79" s="388">
        <f t="shared" ca="1" si="358"/>
        <v>0</v>
      </c>
      <c r="S79" s="388">
        <f t="shared" ca="1" si="236"/>
        <v>0</v>
      </c>
      <c r="T79" s="388">
        <f t="shared" ca="1" si="237"/>
        <v>0</v>
      </c>
      <c r="U79" s="59">
        <f t="shared" ca="1" si="238"/>
        <v>0</v>
      </c>
      <c r="V79" s="391">
        <f ca="1">MAX(0,MIN(Control!$C$100-Control!$C$99,$G79-Control!$C$99)*Control!$C$63)</f>
        <v>0</v>
      </c>
      <c r="W79" s="388">
        <f t="shared" ca="1" si="359"/>
        <v>0</v>
      </c>
      <c r="X79" s="388">
        <f t="shared" ca="1" si="360"/>
        <v>0.6110000000000001</v>
      </c>
      <c r="Y79" s="388">
        <f t="shared" ca="1" si="239"/>
        <v>0</v>
      </c>
      <c r="Z79" s="388">
        <f t="shared" ca="1" si="361"/>
        <v>0.61058800000000002</v>
      </c>
      <c r="AA79" s="388">
        <f t="shared" ca="1" si="240"/>
        <v>0.6018</v>
      </c>
      <c r="AB79" s="388">
        <f ca="1">101.3*EXP(-0.034*Control!$C$66/($G79+273))</f>
        <v>100.69623283836242</v>
      </c>
      <c r="AC79" s="392">
        <f t="shared" ca="1" si="241"/>
        <v>4.3460251046025113E-2</v>
      </c>
      <c r="AD79" s="392">
        <f t="shared" ca="1" si="242"/>
        <v>4.4450382862832649E-2</v>
      </c>
      <c r="AE79" s="388">
        <f t="shared" ca="1" si="243"/>
        <v>0</v>
      </c>
      <c r="AF79" s="388">
        <f ca="1">MAX(0,$G79-Control!$C$92)</f>
        <v>0</v>
      </c>
      <c r="AG79" s="393">
        <f t="shared" ca="1" si="244"/>
        <v>75</v>
      </c>
      <c r="AH79" s="389">
        <f t="shared" ca="1" si="245"/>
        <v>75</v>
      </c>
      <c r="AI79" s="388">
        <f t="shared" ca="1" si="362"/>
        <v>-4.2744015184989666E-2</v>
      </c>
      <c r="AJ79" s="388">
        <f ca="1">IF(Control!$C$60&lt;=0,$HH79,$HI79)</f>
        <v>1</v>
      </c>
      <c r="AK79" s="388">
        <f t="shared" ca="1" si="246"/>
        <v>-8.6071031605199813E-2</v>
      </c>
      <c r="AL79" s="388">
        <f t="shared" ca="1" si="247"/>
        <v>-5.4098565904769912E-19</v>
      </c>
      <c r="AM79" s="388">
        <f t="shared" ca="1" si="248"/>
        <v>-8.6071031605199813E-2</v>
      </c>
      <c r="AN79" s="388">
        <f t="shared" ca="1" si="249"/>
        <v>-3.4203465522585332E-2</v>
      </c>
      <c r="AO79" s="388">
        <f ca="1">-0.10453/COS(Control!$B$8*PI()/180)*COS(AN79)</f>
        <v>-0.16968556020363376</v>
      </c>
      <c r="AP79" s="388">
        <f ca="1">ACOS(AO79-TAN(Control!$B$8*PI()/180)*TAN(AN79))</f>
        <v>1.6970212857156624</v>
      </c>
      <c r="AQ79" s="388">
        <f t="shared" ca="1" si="363"/>
        <v>0</v>
      </c>
      <c r="AR79" s="394">
        <f t="shared" ca="1" si="250"/>
        <v>0</v>
      </c>
      <c r="AS79" s="436">
        <f ca="1">IF(Control!$B$18=2,(IF(OR($AH79=Control!$B$175,$AH79=Control!$B$176,$AH79=Control!$B$177,$AH79=Control!$B$178,$AH79=Control!$B$179,$AH79=Control!$B$180,$AH79=Control!$B$181,$AH79=Control!$B$182,$AH79=Control!$B$183,$AH79=Control!$B$184,$AH79=Control!$B$185),1,0)),0)</f>
        <v>0</v>
      </c>
      <c r="AT79" s="436">
        <f>IF(Control!$B$20=8,IF(AND($AH79&gt;=Control!$B$172,$AH79&lt;=Control!$B$173),1,0),0)</f>
        <v>0</v>
      </c>
      <c r="AU79" s="436">
        <f>IF(Control!$B$20=8,IF($AV78=1,1*$AT79,IF($AT79=1,$AU78+1,$AU78)),0)</f>
        <v>0</v>
      </c>
      <c r="AV79" s="436">
        <f>IF(Control!$B$20=8,IF($AU79&gt;=Control!$B$174,1,0),0)</f>
        <v>0</v>
      </c>
      <c r="AW79" s="436">
        <f ca="1">IF(AND(Control!$B$18=2,Control!$B$171=1), $AV79, $AS79)</f>
        <v>0</v>
      </c>
      <c r="AX79" s="436" t="e">
        <f ca="1">IF(AND(Control!$B$18=1,$EU79&gt;=Control!$B$19),-$AY79,IF(AND(Control!$B$18=2,$AW79=1,$EU79&gt;$DS79),-$AY79, IF(Control!$C$108=0,0, IF(Control!$C$108&lt;&gt;0,1))))</f>
        <v>#N/A</v>
      </c>
      <c r="AY79" s="436" t="e">
        <f t="shared" ca="1" si="364"/>
        <v>#N/A</v>
      </c>
      <c r="AZ79" s="436" t="e">
        <f ca="1">IF(AND(Control!$B$18=1,$EB79&gt;Control!$B$19),$AZ78+1, IF(AND(Control!$B$18=2, $AW79=1, $EB79&gt;$DS79), $AZ78+1,$AZ78))</f>
        <v>#N/A</v>
      </c>
      <c r="BA79" s="587">
        <f>IF(Control!$C$81=0,1,IF($AH79&gt;=Control!$C$82,1,0))</f>
        <v>1</v>
      </c>
      <c r="BB79" s="140" t="e">
        <f ca="1">IF($BA79&gt;$BA78,Control!$C$83,IF($AW79&gt;0,$AW79*Control!$C$84,IF(AND(Control!$B$18=1,EN78&lt;&gt;0),Control!$C$84,0)))</f>
        <v>#N/A</v>
      </c>
      <c r="BC79" s="140" t="e">
        <f t="shared" ca="1" si="365"/>
        <v>#N/A</v>
      </c>
      <c r="BD79" s="140" t="e">
        <f ca="1">BC79*IF(OR($G79&lt;Control!$C$92,$G79&gt;Control!$C$95),0,IF(AND($G79&gt;=Control!$C$92,$G79&lt;=Control!$C$93),$G79-Control!$C$92,IF(AND($G79&gt;Control!$C$93,$G79&lt;=Control!$C$94),Control!$C$93-Control!$C$92,IF(AND($G79&gt;Control!$C$94,$G79&lt;=Control!$C$95),(Control!$C$93-Control!$C$92)*(Control!$C$94-$G79)/(Control!$C$95-Control!$C$94)))))</f>
        <v>#N/A</v>
      </c>
      <c r="BE79" s="140" t="e">
        <f t="shared" ca="1" si="366"/>
        <v>#N/A</v>
      </c>
      <c r="BF79" s="140" t="e">
        <f ca="1">IF($BE79&lt;=Control!$C$86,$BE79,Control!$C$86-$BE79)</f>
        <v>#N/A</v>
      </c>
      <c r="BG79" s="140" t="e">
        <f ca="1">IF(AND($AW79=1,Control!$C$84&lt;9),1,IF($BE79&gt;=Control!$C$86,0,$BC79))</f>
        <v>#N/A</v>
      </c>
      <c r="BH79" s="404" t="e">
        <f ca="1">IF($BG79=0,0,IF($BE79&lt;=Control!$C$86,$BC79*9*($BF79/Control!$C$86),0))</f>
        <v>#N/A</v>
      </c>
      <c r="BI79" s="140" t="e">
        <f ca="1">IF($BG79=1,0,IF($BE79&gt;=Control!$C$86,1,IF(AND($BB79&lt;21,$BB79&gt;=9),1,$BM78)))</f>
        <v>#N/A</v>
      </c>
      <c r="BJ79" s="140" t="e">
        <f ca="1">IF($BF79&lt;0,-$BF79,$BI79*IF(OR($G79&lt;Control!$C$92,$G79&gt;Control!$C$95),0,IF(AND($G79&gt;=Control!$C$92,$G79&lt;=Control!$C$93),$G79-Control!$C$92,IF(AND($G79&gt;Control!$C$93,$G79&lt;=Control!$C$94),Control!$C$93-Control!$C$92,IF(AND($G79&gt;Control!$C$94,$G79&lt;=Control!$C$95),(Control!$C$93-Control!$C$92)*(Control!$C$94-$G79)/(Control!$C$95-Control!$C$94))))))</f>
        <v>#N/A</v>
      </c>
      <c r="BK79" s="140" t="e">
        <f t="shared" ca="1" si="367"/>
        <v>#N/A</v>
      </c>
      <c r="BL79" s="140" t="e">
        <f ca="1">IF($BK79&lt;=Control!$C$87,$BK79,Control!$C$87-$BK79)</f>
        <v>#N/A</v>
      </c>
      <c r="BM79" s="140" t="e">
        <f ca="1">IF(AND($BB79&gt;=9,$BB79&lt;21),1,IF($BK79&gt;=Control!$C$87,0,$BI79))</f>
        <v>#N/A</v>
      </c>
      <c r="BN79" s="404" t="e">
        <f ca="1">IF($BM79=0,0,IF($BK79&lt;=Control!$C$87,$BI79*(9+(21-9)*($BL79/Control!$C$87)),0))</f>
        <v>#N/A</v>
      </c>
      <c r="BO79" s="140" t="e">
        <f ca="1">IF($BM79=1,0,IF($BK79&gt;=Control!$C$87,1,IF(AND($BB79&lt;30,$BB79&gt;=21),1,$BS78)))</f>
        <v>#N/A</v>
      </c>
      <c r="BP79" s="140" t="e">
        <f ca="1">IF($BL79&lt;0,-$BL79,$BO79*IF(OR($G79&lt;Control!$C$92,$G79&gt;Control!$C$95),0,IF(AND($G79&gt;=Control!$C$92,$G79&lt;=Control!$C$93),$G79-Control!$C$92,IF(AND($G79&gt;Control!$C$93,$G79&lt;=Control!$C$94),Control!$C$93-Control!$C$92,IF(AND($G79&gt;Control!$C$94,$G79&lt;=Control!$C$95),(Control!$C$93-Control!$C$92)*(Control!$C$94-$G79)/(Control!$C$95-Control!$C$94))))))</f>
        <v>#N/A</v>
      </c>
      <c r="BQ79" s="140" t="e">
        <f t="shared" ca="1" si="251"/>
        <v>#N/A</v>
      </c>
      <c r="BR79" s="140" t="e">
        <f ca="1">IF($BQ79&lt;=Control!$C$88,$BQ79,Control!$C$88-$BQ79)</f>
        <v>#N/A</v>
      </c>
      <c r="BS79" s="140" t="e">
        <f ca="1">IF(AND($BB79&gt;=21,$BB79&lt;30),1,IF($BQ79&gt;=Control!$C$88,0,$BO79))</f>
        <v>#N/A</v>
      </c>
      <c r="BT79" s="404" t="e">
        <f ca="1">IF($BS79=0,0,IF($BQ79&lt;=Control!$C$88,$BO79*(21+(30-21)*(BR79/Control!$C$88)),0))</f>
        <v>#N/A</v>
      </c>
      <c r="BU79" s="140" t="e">
        <f ca="1">IF(BG79+BM79+BS79=1,0,IF(OR(AND($BB79&lt;60,$BB79&gt;=30),$BQ79&gt;=Control!$C$88),1*$BA79,$BY78))</f>
        <v>#N/A</v>
      </c>
      <c r="BV79" s="140" t="e">
        <f ca="1">IF($BR79&lt;0,-$BR79,$BU79*IF(OR($G79&lt;Control!$C$92,$G79&gt;Control!$C$95),0,IF(AND($G79&gt;=Control!$C$92,$G79&lt;=Control!$C$93),$G79-Control!$C$92,IF(AND($G79&gt;Control!$C$93,$G79&lt;=Control!$C$94),Control!$C$93-Control!$C$92,IF(AND($G79&gt;Control!$C$94,$G79&lt;=Control!$C$95),(Control!$C$93-Control!$C$92)*(Control!$C$94-$G79)/(Control!$C$95-Control!$C$94))))))</f>
        <v>#N/A</v>
      </c>
      <c r="BW79" s="140" t="e">
        <f t="shared" ca="1" si="252"/>
        <v>#N/A</v>
      </c>
      <c r="BX79" s="140" t="e">
        <f ca="1">IF($BW79&lt;=Control!$C$89,$BW79,Control!$C$89-$BW79)</f>
        <v>#N/A</v>
      </c>
      <c r="BY79" s="140" t="e">
        <f ca="1">IF(AND($AJ79&gt;=30,$AJ79&lt;60),1,IF($BW79&gt;=Control!$C$89,0,$BU79))</f>
        <v>#N/A</v>
      </c>
      <c r="BZ79" s="404" t="e">
        <f ca="1">IF($BY79=0,0,IF($BW79&lt;=Control!$C$89,$BU79*(30+(60-30)*(BX79/Control!$C$89)),0))</f>
        <v>#N/A</v>
      </c>
      <c r="CA79" s="140" t="e">
        <f ca="1">IF($BG79+$BM79+$BS79+$BY79=1,0,IF(OR(AND($BB79&lt;65,$BB79&gt;=60),$BW79&gt;=Control!$C$89),1*$BA79,$CE78))</f>
        <v>#N/A</v>
      </c>
      <c r="CB79" s="140" t="e">
        <f ca="1">IF($BX79&lt;0,-$BX79,$CA79*IF(OR($G79&lt;Control!$C$92,$G79&gt;Control!$C$95),0,IF(AND($G79&gt;=Control!$C$92,$G79&lt;=Control!$C$93),$G79-Control!$C$92,IF(AND($G79&gt;Control!$C$93,$G79&lt;=Control!$C$94),Control!$C$93-Control!$C$92,IF(AND($G79&gt;Control!$C$94,$G79&lt;=Control!$C$95),(Control!$C$93-Control!$C$92)*(Control!$C$94-$G79)/(Control!$C$95-Control!$C$94))))))</f>
        <v>#N/A</v>
      </c>
      <c r="CC79" s="140" t="e">
        <f t="shared" ca="1" si="368"/>
        <v>#N/A</v>
      </c>
      <c r="CD79" s="140" t="e">
        <f ca="1">IF($CC79&lt;=Control!$C$90,$CC79,Control!$C$90-$CC79)</f>
        <v>#N/A</v>
      </c>
      <c r="CE79" s="140" t="e">
        <f ca="1">IF(AND($BB79&gt;=60,$BB79&lt;65),1,IF($CC79&gt;=Control!$C$90,0,$CA79))</f>
        <v>#N/A</v>
      </c>
      <c r="CF79" s="404" t="e">
        <f ca="1">IF($CE79=0,0,IF($CC79&lt;=Control!$C$90,$CA79*(60+(65-60)*(CD79/Control!$C$90)),0))</f>
        <v>#N/A</v>
      </c>
      <c r="CG79" s="140" t="e">
        <f ca="1">IF($BG79+$BM79+$BS79+$BY79+$CE79=1,0,IF(OR(AND($BB79&lt;90,$BB79&gt;=65),$CC79&gt;=Control!$C$90),$BA79,$CK78))</f>
        <v>#N/A</v>
      </c>
      <c r="CH79" s="140" t="e">
        <f ca="1">IF($CD79&lt;0,-$CD79,$CG79*IF(OR($G79&lt;Control!$C$92,$G79&gt;Control!$C$95),0,IF(AND($G79&gt;=Control!$C$92,$G79&lt;=Control!$C$93),$G79-Control!$C$92,IF(AND($G79&gt;Control!$C$93,$G79&lt;=Control!$C$94),Control!$C$93-Control!$C$92,IF(AND($G79&gt;Control!$C$94,$G79&lt;=Control!$C$95),(Control!$C$93-Control!$C$92)*(Control!$C$94-$G79)/(Control!$C$95-Control!$C$94))))))</f>
        <v>#N/A</v>
      </c>
      <c r="CI79" s="140" t="e">
        <f t="shared" ca="1" si="369"/>
        <v>#N/A</v>
      </c>
      <c r="CJ79" s="140" t="e">
        <f ca="1">IF($CI79&lt;=Control!$C$91,$CI79,Control!$C$91-$CI79)</f>
        <v>#N/A</v>
      </c>
      <c r="CK79" s="140" t="e">
        <f ca="1">IF(AND($BB79&gt;=65,$BB79&lt;90),1,IF($CI79&gt;=Control!$C$91,0,$CG79))</f>
        <v>#N/A</v>
      </c>
      <c r="CL79" s="404" t="e">
        <f ca="1">IF($CK79=0,0,IF($CI79&lt;=Control!$C$91,$CG79*(65+(90-65)*($CJ79/Control!$C$91)),0))</f>
        <v>#N/A</v>
      </c>
      <c r="CM79" s="140" t="e">
        <f ca="1">IF($BG79+$BM79+$BS79+$BY79+$CE79+$CK79=1,0,IF(OR($BB79&gt;=90,$CI79&gt;=Control!$C$91),$BA79,$CM78))</f>
        <v>#N/A</v>
      </c>
      <c r="CN79" s="140" t="e">
        <f t="shared" ca="1" si="370"/>
        <v>#N/A</v>
      </c>
      <c r="CO79" s="140" t="e">
        <f t="shared" ca="1" si="371"/>
        <v>#N/A</v>
      </c>
      <c r="CP79" s="140" t="e">
        <f t="shared" ca="1" si="372"/>
        <v>#N/A</v>
      </c>
      <c r="CQ79" s="141" t="e">
        <f ca="1">VLOOKUP($CP79,Control!$B$86:$G$91,6)</f>
        <v>#N/A</v>
      </c>
      <c r="CR79" s="141" t="e">
        <f ca="1">(1-$CQ79)*VLOOKUP($CP79,Control!$B$86:$D$91,3)</f>
        <v>#N/A</v>
      </c>
      <c r="CS79" s="141" t="e">
        <f ca="1">(1-$CQ79)*VLOOKUP($CP79,Control!$B$86:$E$91,4)</f>
        <v>#N/A</v>
      </c>
      <c r="CT79" s="141" t="e">
        <f ca="1">(1-$CQ79)*VLOOKUP($CP79,Control!$B$86:$F$91,5)</f>
        <v>#N/A</v>
      </c>
      <c r="CU79" s="141">
        <f t="shared" ca="1" si="373"/>
        <v>0</v>
      </c>
      <c r="CV79" s="583">
        <f t="shared" ca="1" si="374"/>
        <v>0</v>
      </c>
      <c r="CW79" s="142">
        <f t="shared" ca="1" si="375"/>
        <v>75</v>
      </c>
      <c r="CX79" s="612" t="e">
        <f ca="1">IF(Control!$C$114=1,(MIN(Control!$C$120*(IF($NT79-0.01&lt;0,0,1)),Control!$C$119-$CY79)))</f>
        <v>#DIV/0!</v>
      </c>
      <c r="CY79" s="143" t="e">
        <f t="shared" ca="1" si="376"/>
        <v>#N/A</v>
      </c>
      <c r="CZ79" s="144">
        <f t="shared" ca="1" si="253"/>
        <v>0</v>
      </c>
      <c r="DA79" s="144">
        <f t="shared" ca="1" si="254"/>
        <v>0</v>
      </c>
      <c r="DB79" s="144" t="e">
        <f t="shared" ca="1" si="255"/>
        <v>#N/A</v>
      </c>
      <c r="DC79" s="144" t="e">
        <f t="shared" ca="1" si="256"/>
        <v>#N/A</v>
      </c>
      <c r="DD79" s="144" t="e">
        <f t="shared" ca="1" si="461"/>
        <v>#N/A</v>
      </c>
      <c r="DE79" s="143" t="e">
        <f t="shared" ca="1" si="377"/>
        <v>#N/A</v>
      </c>
      <c r="DF79" s="145" t="e">
        <f ca="1">$DR79*EXP(-Control!$C$158*(1-$KH79))</f>
        <v>#N/A</v>
      </c>
      <c r="DG79" s="146" t="e">
        <f ca="1">IF(Control!$C$114=1, $DF79*$EY79, 0)</f>
        <v>#N/A</v>
      </c>
      <c r="DH79" s="147" t="e">
        <f t="shared" ca="1" si="378"/>
        <v>#N/A</v>
      </c>
      <c r="DI79" s="144" t="e">
        <f t="shared" ca="1" si="439"/>
        <v>#N/A</v>
      </c>
      <c r="DJ79" s="147" t="e">
        <f ca="1">$EF79*Control!$C$109</f>
        <v>#N/A</v>
      </c>
      <c r="DK79" s="144" t="e">
        <f t="shared" ca="1" si="379"/>
        <v>#N/A</v>
      </c>
      <c r="DL79" s="144" t="e">
        <f t="shared" ca="1" si="257"/>
        <v>#N/A</v>
      </c>
      <c r="DM79" s="144" t="e">
        <f ca="1">IF(Control!$C$114=1, (1-EXP(-Control!$C$96*$DK79))*$AR79, 0)</f>
        <v>#N/A</v>
      </c>
      <c r="DN79" s="144">
        <f t="shared" ca="1" si="380"/>
        <v>0</v>
      </c>
      <c r="DO79" s="148">
        <f>Control!$C$97</f>
        <v>4</v>
      </c>
      <c r="DP79" s="145" t="e">
        <f t="shared" ca="1" si="381"/>
        <v>#N/A</v>
      </c>
      <c r="DQ79" s="145" t="e">
        <f ca="1">IF(AND($CP79&gt;=0,$CP79&lt;=90),Control!$C$111,Control!$C$111)</f>
        <v>#N/A</v>
      </c>
      <c r="DR79" s="145" t="e">
        <f t="shared" ca="1" si="258"/>
        <v>#N/A</v>
      </c>
      <c r="DS79" s="143" t="e">
        <f ca="1">Control!$B$22/$DR79</f>
        <v>#N/A</v>
      </c>
      <c r="DT79" s="149" t="e">
        <f ca="1">IF(AND(Control!$C$114=1,$KH79&lt;1),$IM79*$DF79, 0)</f>
        <v>#N/A</v>
      </c>
      <c r="DU79" s="144" t="e">
        <f t="shared" ca="1" si="382"/>
        <v>#N/A</v>
      </c>
      <c r="DV79" s="144">
        <f ca="1">IF($G79-Control!$C$107&lt;=0, 0, 0.83*LN(MAX($G79, 3))-0.8924)</f>
        <v>0</v>
      </c>
      <c r="DW79" s="144" t="e">
        <f t="shared" ca="1" si="259"/>
        <v>#N/A</v>
      </c>
      <c r="DX79" s="150" t="e">
        <f ca="1">MAX(0.01*(1+$CU79/Control!$C$102),0.05*($DK79-Control!$C$97)/Control!$C$97)</f>
        <v>#N/A</v>
      </c>
      <c r="DY79" s="151" t="e">
        <f ca="1">IF(Control!$C$114=1, $DI79*$FS79, 0)</f>
        <v>#N/A</v>
      </c>
      <c r="DZ79" s="196" t="e">
        <f t="shared" ca="1" si="383"/>
        <v>#N/A</v>
      </c>
      <c r="EA79" s="152">
        <f t="shared" ca="1" si="384"/>
        <v>75</v>
      </c>
      <c r="EB79" s="153" t="e">
        <f t="shared" ca="1" si="385"/>
        <v>#N/A</v>
      </c>
      <c r="EC79" s="153" t="e">
        <f t="shared" ca="1" si="386"/>
        <v>#N/A</v>
      </c>
      <c r="ED79" s="154" t="e">
        <f ca="1">IF(Control!$C$114=1, $HM79*$FY79-$FD79, 0)</f>
        <v>#DIV/0!</v>
      </c>
      <c r="EE79" s="155" t="e">
        <f ca="1">IF(Control!$C$114=1, $HM79*$FZ79-$FF79, 0)</f>
        <v>#DIV/0!</v>
      </c>
      <c r="EF79" s="153" t="e">
        <f t="shared" ca="1" si="440"/>
        <v>#N/A</v>
      </c>
      <c r="EG79" s="155" t="e">
        <f ca="1">IF(Control!$C$114=1, $GX79*$FW79-$FI79, 0)</f>
        <v>#DIV/0!</v>
      </c>
      <c r="EH79" s="153" t="e">
        <f t="shared" ca="1" si="387"/>
        <v>#N/A</v>
      </c>
      <c r="EI79" s="156" t="e">
        <f t="shared" ca="1" si="388"/>
        <v>#N/A</v>
      </c>
      <c r="EJ79" s="155" t="e">
        <f ca="1">IF(Control!$C$114=1, $HM79*$GB79, 0)</f>
        <v>#DIV/0!</v>
      </c>
      <c r="EK79" s="153" t="e">
        <f t="shared" ca="1" si="441"/>
        <v>#N/A</v>
      </c>
      <c r="EL79" s="153" t="e">
        <f t="shared" ca="1" si="260"/>
        <v>#N/A</v>
      </c>
      <c r="EM79" s="153" t="e">
        <f t="shared" ca="1" si="261"/>
        <v>#N/A</v>
      </c>
      <c r="EN79" s="153" t="e">
        <f ca="1">IF(Control!$C$108=1,IF(AND(Control!$B$18=1,$EB79&gt;=Control!$B$19),$EB79-$DS79,IF(AND(Control!$B$18=2,$AW79=1,$EB79&gt;$DS79),$EB79-$DS79,0)))</f>
        <v>#N/A</v>
      </c>
      <c r="EO79" s="153" t="e">
        <f ca="1">IF(Control!$C$108=1,IF(AND(Control!$B$18=1,$EB79&gt;=Control!$B$19),$EF79,IF(AND(Control!$B$18=2,$AW79=1),$EF79,0)))</f>
        <v>#N/A</v>
      </c>
      <c r="EP79" s="153" t="e">
        <f ca="1">IF(Control!$C$108=1,IF(AND(Control!$B$18=1,$EB79&gt;=Control!$B$19),$EK79,IF(AND(Control!$B$18=2,$AW79=1),$EK79,0)))</f>
        <v>#N/A</v>
      </c>
      <c r="EQ79" s="153" t="e">
        <f t="shared" ca="1" si="389"/>
        <v>#N/A</v>
      </c>
      <c r="ER79" s="153" t="e">
        <f t="shared" ca="1" si="390"/>
        <v>#N/A</v>
      </c>
      <c r="ES79" s="153" t="e">
        <f t="shared" ca="1" si="442"/>
        <v>#N/A</v>
      </c>
      <c r="ET79" s="153" t="e">
        <f t="shared" ca="1" si="443"/>
        <v>#N/A</v>
      </c>
      <c r="EU79" s="153" t="e">
        <f t="shared" ca="1" si="391"/>
        <v>#N/A</v>
      </c>
      <c r="EV79" s="153" t="e">
        <f t="shared" ca="1" si="262"/>
        <v>#N/A</v>
      </c>
      <c r="EW79" s="153" t="e">
        <f t="shared" ca="1" si="263"/>
        <v>#N/A</v>
      </c>
      <c r="EX79" s="153" t="e">
        <f t="shared" ca="1" si="264"/>
        <v>#N/A</v>
      </c>
      <c r="EY79" s="157" t="e">
        <f t="shared" ca="1" si="265"/>
        <v>#DIV/0!</v>
      </c>
      <c r="EZ79" s="154" t="e">
        <f t="shared" ca="1" si="266"/>
        <v>#DIV/0!</v>
      </c>
      <c r="FA79" s="153" t="e">
        <f t="shared" ca="1" si="392"/>
        <v>#N/A</v>
      </c>
      <c r="FB79" s="153" t="e">
        <f t="shared" ca="1" si="267"/>
        <v>#N/A</v>
      </c>
      <c r="FC79" s="193" t="e">
        <f t="shared" ca="1" si="268"/>
        <v>#N/A</v>
      </c>
      <c r="FD79" s="158" t="e">
        <f t="shared" ca="1" si="393"/>
        <v>#N/A</v>
      </c>
      <c r="FE79" s="158" t="e">
        <f t="shared" ca="1" si="394"/>
        <v>#N/A</v>
      </c>
      <c r="FF79" s="159" t="e">
        <f t="shared" ca="1" si="269"/>
        <v>#N/A</v>
      </c>
      <c r="FG79" s="160" t="e">
        <f t="shared" ca="1" si="395"/>
        <v>#N/A</v>
      </c>
      <c r="FH79" s="158" t="e">
        <f t="shared" ca="1" si="396"/>
        <v>#N/A</v>
      </c>
      <c r="FI79" s="159" t="e">
        <f t="shared" ca="1" si="270"/>
        <v>#N/A</v>
      </c>
      <c r="FJ79" s="160" t="e">
        <f t="shared" ca="1" si="397"/>
        <v>#N/A</v>
      </c>
      <c r="FK79" s="160" t="e">
        <f t="shared" ca="1" si="271"/>
        <v>#N/A</v>
      </c>
      <c r="FL79" s="160" t="e">
        <f t="shared" ca="1" si="444"/>
        <v>#N/A</v>
      </c>
      <c r="FM79" s="160" t="e">
        <f t="shared" ca="1" si="272"/>
        <v>#N/A</v>
      </c>
      <c r="FN79" s="158">
        <f t="shared" ca="1" si="398"/>
        <v>0.01</v>
      </c>
      <c r="FO79" s="160">
        <f>Control!$C$101</f>
        <v>50</v>
      </c>
      <c r="FP79" s="150" t="e">
        <f t="shared" ca="1" si="273"/>
        <v>#N/A</v>
      </c>
      <c r="FQ79" s="150" t="e">
        <f ca="1">MAX(0,(Control!$C$112*(($DK79-Control!$C$97)/Control!$C$97)))</f>
        <v>#N/A</v>
      </c>
      <c r="FR79" s="150" t="e">
        <f ca="1">(1-$NT79)*Control!$C$113</f>
        <v>#DIV/0!</v>
      </c>
      <c r="FS79" s="198" t="e">
        <f t="shared" ca="1" si="274"/>
        <v>#N/A</v>
      </c>
      <c r="FT79" s="161">
        <f t="shared" ca="1" si="399"/>
        <v>75</v>
      </c>
      <c r="FU79" s="162" t="e">
        <f ca="1">IF(Control!$B$34=1,VLOOKUP($CP79,Control!$B$86:$G$91,6),Control!$B$35)</f>
        <v>#N/A</v>
      </c>
      <c r="FV79" s="162" t="e">
        <f t="shared" ca="1" si="275"/>
        <v>#DIV/0!</v>
      </c>
      <c r="FW79" s="162" t="e">
        <f ca="1">IF(Control!$B$31=1,$FU79*$FV79,  $FU79)</f>
        <v>#N/A</v>
      </c>
      <c r="FX79" s="162" t="e">
        <f ca="1">IF(Control!$B$34=1,VLOOKUP($CP79,Control!$B$86:$G$91,3),Control!$B$36)</f>
        <v>#N/A</v>
      </c>
      <c r="FY79" s="162" t="e">
        <f t="shared" ca="1" si="276"/>
        <v>#N/A</v>
      </c>
      <c r="FZ79" s="162" t="e">
        <f ca="1">IF(Control!$B$34=1,VLOOKUP($CP79,Control!$B$86:$G$91,4),Control!$B$37)</f>
        <v>#N/A</v>
      </c>
      <c r="GA79" s="162" t="e">
        <f t="shared" ca="1" si="277"/>
        <v>#N/A</v>
      </c>
      <c r="GB79" s="162" t="e">
        <f ca="1">IF(Control!$B$34=1,VLOOKUP($CP79,Control!$B$86:$G$91,5),Control!$B$38)</f>
        <v>#N/A</v>
      </c>
      <c r="GC79" s="162" t="e">
        <f t="shared" ca="1" si="400"/>
        <v>#N/A</v>
      </c>
      <c r="GD79" s="162">
        <f t="shared" ca="1" si="278"/>
        <v>1</v>
      </c>
      <c r="GE79" s="162">
        <f t="shared" ca="1" si="279"/>
        <v>1</v>
      </c>
      <c r="GF79" s="162">
        <f ca="1">IF(AND(Control!$C$104=1, Control!$C$62="F"),$GE79,1)</f>
        <v>1</v>
      </c>
      <c r="GG79" s="162" t="e">
        <f ca="1">IF(Control!$B$16=40,0,IF(AND(Control!$B$16&gt;40,Control!$B$16&lt;=360),(Control!$B$16-40)*((1-0)/(360-40)),IF(AND(Control!$B$16&gt;360,Control!$B$16&lt;=720),(1+(Control!$B$16-360)*((1.25-1)/(720-360))),IF(AND(Control!$B$16&gt;720,Control!$B$16&lt;=1000),(1.25+(Control!$B$16-720)*((1.35-1.25)/(1000-720))),IF(AND(Control!$B$16&gt;1000,Control!$B$16&lt;=2000),(1.35+(Control!$B$16-1000)*0))))))</f>
        <v>#N/A</v>
      </c>
      <c r="GH79" s="162" t="e">
        <f t="shared" ca="1" si="280"/>
        <v>#N/A</v>
      </c>
      <c r="GI79" s="162">
        <f t="shared" ca="1" si="401"/>
        <v>0</v>
      </c>
      <c r="GJ79" s="162">
        <f t="shared" ca="1" si="281"/>
        <v>0</v>
      </c>
      <c r="GK79" s="162">
        <f t="shared" ca="1" si="402"/>
        <v>1</v>
      </c>
      <c r="GL79" s="162">
        <f t="shared" ca="1" si="282"/>
        <v>1</v>
      </c>
      <c r="GM79" s="162" t="e">
        <f ca="1">MAX(0,MIN(1,1-Control!$C$156*(1.0001-$KH79)^2))</f>
        <v>#N/A</v>
      </c>
      <c r="GN79" s="162" t="e">
        <f ca="1">IF(Control!$B$26=1,$KU79,$KX79)</f>
        <v>#N/A</v>
      </c>
      <c r="GO79" s="162" t="e">
        <f ca="1">IF($CP79&lt;=60,Control!$C$105,IF($CP79&gt;=90,Control!$C$106,Control!$C$105+($CP79-60)*((Control!$C$106-Control!$C$105)/(90-60))))</f>
        <v>#N/A</v>
      </c>
      <c r="GP79" s="162" t="e">
        <f t="shared" ca="1" si="283"/>
        <v>#N/A</v>
      </c>
      <c r="GQ79" s="162" t="e">
        <f t="shared" ca="1" si="403"/>
        <v>#N/A</v>
      </c>
      <c r="GR79" s="163" t="e">
        <f t="shared" ca="1" si="284"/>
        <v>#DIV/0!</v>
      </c>
      <c r="GS79" s="162" t="e">
        <f t="shared" ca="1" si="285"/>
        <v>#DIV/0!</v>
      </c>
      <c r="GT79" s="164" t="e">
        <f t="shared" ca="1" si="404"/>
        <v>#N/A</v>
      </c>
      <c r="GU79" s="162" t="e">
        <f t="shared" ca="1" si="405"/>
        <v>#N/A</v>
      </c>
      <c r="GV79" s="162" t="e">
        <f t="shared" ca="1" si="286"/>
        <v>#N/A</v>
      </c>
      <c r="GW79" s="162" t="e">
        <f t="shared" ca="1" si="287"/>
        <v>#DIV/0!</v>
      </c>
      <c r="GX79" s="162" t="e">
        <f t="shared" ca="1" si="406"/>
        <v>#DIV/0!</v>
      </c>
      <c r="GY79" s="162" t="e">
        <f t="shared" ca="1" si="407"/>
        <v>#DIV/0!</v>
      </c>
      <c r="GZ79" s="165" t="e">
        <f t="shared" ca="1" si="288"/>
        <v>#N/A</v>
      </c>
      <c r="HA79" s="162" t="e">
        <f ca="1">IF(Control!$C$114=1, $DI79*$FS79, 0)</f>
        <v>#N/A</v>
      </c>
      <c r="HB79" s="162" t="e">
        <f ca="1">$FA79/Control!$C$64</f>
        <v>#N/A</v>
      </c>
      <c r="HC79" s="162" t="e">
        <f t="shared" ca="1" si="289"/>
        <v>#DIV/0!</v>
      </c>
      <c r="HD79" s="162">
        <f ca="1">-ASIN(SIN(23.45*Control!$C$139)*COS(2*Control!$C$138*($AH79+10)/365))</f>
        <v>-4.2744015184989666E-2</v>
      </c>
      <c r="HE79" s="165">
        <f t="shared" ca="1" si="408"/>
        <v>0</v>
      </c>
      <c r="HF79" s="166">
        <f ca="1">IF(AND(Control!$C$61="T",$HE79&gt;=Control!$C$103,Control!$C$114=0),$AH79,Control!$C$59)</f>
        <v>1</v>
      </c>
      <c r="HG79" s="166">
        <f ca="1">IF(AND(Control!$C$61="T",$HE79&gt;=Control!$C$103,Control!$C$114=0),$HF79,Control!$C$59)</f>
        <v>1</v>
      </c>
      <c r="HH79" s="165">
        <f ca="1">IF(AND(OR(Control!$C$60&lt;=0, $AH79= Control!$C$59, Control!$C$60 &gt;0, $AH79 = Control!$C$60)), Control!$C$59, IF(Control!$C$60&gt;0, 0))</f>
        <v>1</v>
      </c>
      <c r="HI79" s="165">
        <f ca="1">IF(AND(OR(Control!$C$60&lt;=0, $AH79= Control!$C$59, Control!$C$60 &gt;0, $AH79 = Control!$C$60)), Control!$C$60, IF(Control!$C$60&lt;=0, 0))</f>
        <v>0</v>
      </c>
      <c r="HJ79" s="166">
        <f ca="1">IF(AND(Control!$C$62="F",$CV79&gt;=Control!$C$102),$AH79,0)</f>
        <v>0</v>
      </c>
      <c r="HK79" s="165" t="e">
        <f t="shared" ca="1" si="445"/>
        <v>#N/A</v>
      </c>
      <c r="HL79" s="166">
        <f ca="1">IF(AND(Control!$C$61="T",$HE79&gt;=Control!$C$103,Control!$C$114=0),$HF79,0)</f>
        <v>0</v>
      </c>
      <c r="HM79" s="201" t="e">
        <f t="shared" ca="1" si="290"/>
        <v>#DIV/0!</v>
      </c>
      <c r="HN79" s="215">
        <f t="shared" ca="1" si="409"/>
        <v>75</v>
      </c>
      <c r="HO79" s="216" t="e">
        <f ca="1">IF(AND($CP79&gt;=0, $CP79&lt;=90), Control!$C$152, Control!$C$152)</f>
        <v>#N/A</v>
      </c>
      <c r="HP79" s="216" t="e">
        <f t="shared" ca="1" si="291"/>
        <v>#N/A</v>
      </c>
      <c r="HQ79" s="217" t="e">
        <f ca="1">IF(OR(Control!$B$26=1,Control!$B$26=2),$KV79,$KS79)</f>
        <v>#DIV/0!</v>
      </c>
      <c r="HR79" s="218" t="e">
        <f t="shared" ca="1" si="446"/>
        <v>#DIV/0!</v>
      </c>
      <c r="HS79" s="216" t="e">
        <f ca="1">Control!$C$154*$HP79</f>
        <v>#N/A</v>
      </c>
      <c r="HT79" s="216" t="e">
        <f ca="1">Control!$C$155*$HP79</f>
        <v>#N/A</v>
      </c>
      <c r="HU79" s="217" t="e">
        <f ca="1">Control!$C$161*$FI79</f>
        <v>#N/A</v>
      </c>
      <c r="HV79" s="218" t="e">
        <f t="shared" ca="1" si="410"/>
        <v>#N/A</v>
      </c>
      <c r="HW79" s="218" t="e">
        <f ca="1">Control!$C$160*$FF79+$IP79*$EO79</f>
        <v>#N/A</v>
      </c>
      <c r="HX79" s="218" t="e">
        <f t="shared" ca="1" si="447"/>
        <v>#N/A</v>
      </c>
      <c r="HY79" s="219" t="e">
        <f ca="1">IF(Control!$C$114=1, $EB79*$FS79, 0)</f>
        <v>#N/A</v>
      </c>
      <c r="HZ79" s="91" t="e">
        <f t="shared" ca="1" si="292"/>
        <v>#N/A</v>
      </c>
      <c r="IA79" s="220" t="e">
        <f ca="1">Control!$C$153*$HO79</f>
        <v>#N/A</v>
      </c>
      <c r="IB79" s="218" t="e">
        <f t="shared" ca="1" si="293"/>
        <v>#N/A</v>
      </c>
      <c r="IC79" s="220" t="e">
        <f ca="1">Control!$C$153*$HT79</f>
        <v>#N/A</v>
      </c>
      <c r="ID79" s="218" t="e">
        <f t="shared" ca="1" si="294"/>
        <v>#N/A</v>
      </c>
      <c r="IE79" s="221" t="e">
        <f ca="1">($EB79*Control!$C$159+$EF79*Control!$C$160)/(IF($GZ79&lt;&gt;0,$GZ79,1))</f>
        <v>#N/A</v>
      </c>
      <c r="IF79" s="216" t="e">
        <f t="shared" ca="1" si="295"/>
        <v>#N/A</v>
      </c>
      <c r="IG79" s="91">
        <f ca="1">IF(OR(Control!$B$198=$AH79,Control!$B$199=$AH79, Control!$B$200=$AH79, Control!$B$201=$AH79, Control!$B$202=$AH79, Control!$B$203=$AH79, Control!$B$204=$AH79, Control!$B$205=$AH79, Control!$B$206=$AH79, Control!$B$207=$AH79), 1, 0)</f>
        <v>0</v>
      </c>
      <c r="IH79" s="91">
        <f ca="1">IF($IG79=0,0, VLOOKUP($AH79,Control!$B$198:$C$207,2))</f>
        <v>0</v>
      </c>
      <c r="II79" s="222">
        <f t="shared" ca="1" si="411"/>
        <v>0</v>
      </c>
      <c r="IJ79" s="91">
        <f>Control!$C$121</f>
        <v>0.7</v>
      </c>
      <c r="IK79" s="218">
        <f t="shared" ca="1" si="296"/>
        <v>0</v>
      </c>
      <c r="IL79" s="217" t="e">
        <f t="shared" ca="1" si="448"/>
        <v>#N/A</v>
      </c>
      <c r="IM79" s="223" t="e">
        <f ca="1">IF(AND(Control!$C$114=1,$KH79&lt;1),$EB79*Control!$C$148*(1-$KH79), 0)</f>
        <v>#N/A</v>
      </c>
      <c r="IN79" s="217" t="e">
        <f t="shared" ca="1" si="297"/>
        <v>#DIV/0!</v>
      </c>
      <c r="IO79" s="91" t="e">
        <f ca="1">MAX(0,$IL79-$EF79*Control!$C$160)</f>
        <v>#N/A</v>
      </c>
      <c r="IP79" s="220" t="e">
        <f t="shared" ca="1" si="298"/>
        <v>#N/A</v>
      </c>
      <c r="IQ79" s="217" t="e">
        <f t="shared" ca="1" si="412"/>
        <v>#N/A</v>
      </c>
      <c r="IR79" s="218" t="e">
        <f t="shared" ca="1" si="299"/>
        <v>#N/A</v>
      </c>
      <c r="IS79" s="217" t="e">
        <f ca="1">Control!$C$159*MAX(0,$FD79-$EN79)</f>
        <v>#N/A</v>
      </c>
      <c r="IT79" s="217" t="e">
        <f t="shared" ca="1" si="449"/>
        <v>#N/A</v>
      </c>
      <c r="IU79" s="217" t="e">
        <f t="shared" ca="1" si="413"/>
        <v>#N/A</v>
      </c>
      <c r="IV79" s="217" t="e">
        <f t="shared" ca="1" si="450"/>
        <v>#N/A</v>
      </c>
      <c r="IW79" s="217" t="e">
        <f ca="1">IF(OR($AW79=1,AND($AW79=0, Control!$B$18=1,$EN79&lt;&gt;0)), $IQ79-$IU79, $IQ79)</f>
        <v>#N/A</v>
      </c>
      <c r="IX79" s="218" t="e">
        <f t="shared" ca="1" si="300"/>
        <v>#N/A</v>
      </c>
      <c r="IY79" s="218" t="e">
        <f ca="1">MAX(0,$IQ79-$EB79*Control!$C$159)</f>
        <v>#N/A</v>
      </c>
      <c r="IZ79" s="218" t="e">
        <f t="shared" ca="1" si="301"/>
        <v>#N/A</v>
      </c>
      <c r="JA79" s="216" t="e">
        <f t="shared" ca="1" si="302"/>
        <v>#N/A</v>
      </c>
      <c r="JB79" s="217" t="e">
        <f t="shared" ca="1" si="303"/>
        <v>#N/A</v>
      </c>
      <c r="JC79" s="222" t="e">
        <f ca="1">MAX(Control!$C$157*$EK79-$JT79, 0)/Control!$C$162</f>
        <v>#N/A</v>
      </c>
      <c r="JD79" s="218" t="e">
        <f t="shared" ca="1" si="304"/>
        <v>#N/A</v>
      </c>
      <c r="JE79" s="218" t="e">
        <f t="shared" ca="1" si="305"/>
        <v>#N/A</v>
      </c>
      <c r="JF79" s="218" t="e">
        <f t="shared" ca="1" si="414"/>
        <v>#N/A</v>
      </c>
      <c r="JG79" s="218" t="e">
        <f t="shared" ca="1" si="306"/>
        <v>#N/A</v>
      </c>
      <c r="JH79" s="217" t="e">
        <f t="shared" ca="1" si="415"/>
        <v>#N/A</v>
      </c>
      <c r="JI79" s="217" t="e">
        <f t="shared" ca="1" si="416"/>
        <v>#N/A</v>
      </c>
      <c r="JJ79" s="217" t="e">
        <f t="shared" ca="1" si="451"/>
        <v>#N/A</v>
      </c>
      <c r="JK79" s="217" t="e">
        <f ca="1">IF(Control!$C$114=1,IF(Control!$B$24=0,MAX(0,$JI79)*$GN79/Control!$C$64,(MAX(0,MIN($JI79,$JJ79*$GN79/Control!$C$64),0))))</f>
        <v>#N/A</v>
      </c>
      <c r="JL79" s="217" t="e">
        <f ca="1">$IK79/Control!$C$64-$JK79+$HQ79</f>
        <v>#N/A</v>
      </c>
      <c r="JM79" s="217" t="e">
        <f ca="1">IF(Control!$C$114=1,($JB79/(IF($JI79&lt;&gt;0,$JI79,1)))*$JK79,0)</f>
        <v>#N/A</v>
      </c>
      <c r="JN79" s="217" t="e">
        <f ca="1">IF(Control!$C$114=1,($JG79/(IF($JI79&lt;&gt;0,$JI79,1)))*$JK79, 0)</f>
        <v>#N/A</v>
      </c>
      <c r="JO79" s="218" t="e">
        <f t="shared" ca="1" si="307"/>
        <v>#N/A</v>
      </c>
      <c r="JP79" s="218" t="e">
        <f ca="1">MIN(($IY79+$IO79)*Control!$C$151, $JF79-$EH79*Control!$C$161)</f>
        <v>#N/A</v>
      </c>
      <c r="JQ79" s="218" t="e">
        <f t="shared" ca="1" si="308"/>
        <v>#N/A</v>
      </c>
      <c r="JR79" s="217" t="e">
        <f ca="1">IF($CP79-Control!$C$150&lt;0, 0, $JQ79/Control!$C$162)</f>
        <v>#N/A</v>
      </c>
      <c r="JS79" s="218" t="e">
        <f t="shared" ca="1" si="309"/>
        <v>#N/A</v>
      </c>
      <c r="JT79" s="218" t="e">
        <f t="shared" ca="1" si="417"/>
        <v>#N/A</v>
      </c>
      <c r="JU79" s="218" t="e">
        <f t="shared" ca="1" si="310"/>
        <v>#N/A</v>
      </c>
      <c r="JV79" s="218" t="e">
        <f t="shared" ca="1" si="311"/>
        <v>#N/A</v>
      </c>
      <c r="JW79" s="216" t="e">
        <f t="shared" ca="1" si="312"/>
        <v>#N/A</v>
      </c>
      <c r="JX79" s="91" t="e">
        <f t="shared" ca="1" si="313"/>
        <v>#N/A</v>
      </c>
      <c r="JY79" s="218" t="e">
        <f t="shared" ca="1" si="314"/>
        <v>#N/A</v>
      </c>
      <c r="JZ79" s="217" t="e">
        <f ca="1">IF(Control!$C$114=1,($IZ79/(IF($JI79&lt;&gt;0,$JI79,1)))*$JK79, 0)</f>
        <v>#N/A</v>
      </c>
      <c r="KA79" s="218" t="e">
        <f t="shared" ca="1" si="452"/>
        <v>#N/A</v>
      </c>
      <c r="KB79" s="218" t="e">
        <f t="shared" ca="1" si="418"/>
        <v>#N/A</v>
      </c>
      <c r="KC79" s="218" t="e">
        <f t="shared" ca="1" si="315"/>
        <v>#N/A</v>
      </c>
      <c r="KD79" s="218" t="e">
        <f t="shared" ca="1" si="316"/>
        <v>#N/A</v>
      </c>
      <c r="KE79" s="218" t="e">
        <f t="shared" ca="1" si="317"/>
        <v>#N/A</v>
      </c>
      <c r="KF79" s="218" t="e">
        <f t="shared" ca="1" si="318"/>
        <v>#N/A</v>
      </c>
      <c r="KG79" s="216" t="e">
        <f t="shared" ca="1" si="319"/>
        <v>#N/A</v>
      </c>
      <c r="KH79" s="221" t="e">
        <f ca="1">IF(Control!$B$24=0,1,MAX(0.001,MIN(1,IF(($IF79-$IE79)&lt;&gt;0,($KG79-$IE79)/($IF79-$IE79),1))))</f>
        <v>#N/A</v>
      </c>
      <c r="KI79" s="222" t="e">
        <f ca="1">IF(Control!$C$114=1, $KI78+ $KH78, 0)</f>
        <v>#N/A</v>
      </c>
      <c r="KJ79" s="217" t="e">
        <f t="shared" ca="1" si="320"/>
        <v>#N/A</v>
      </c>
      <c r="KK79" s="218" t="e">
        <f t="shared" ca="1" si="321"/>
        <v>#N/A</v>
      </c>
      <c r="KL79" s="274" t="e">
        <f ca="1">IF(Control!$B$26=3,4000000000*EXP(-8400/($G79+273)),IF(Control!$B$26=4,4000000000*EXP(-8400/($G79+273))*($KT79),0))</f>
        <v>#DIV/0!</v>
      </c>
      <c r="KM79" s="274" t="e">
        <f ca="1">IF(Control!$B$26=3,5600000000000*EXP(-9800/($G79+273)),IF(Control!$B$26=4,5600000000000*EXP(-9800/($G79+273))*$KT79,0))</f>
        <v>#DIV/0!</v>
      </c>
      <c r="KN79" s="454" t="e">
        <f t="shared" ca="1" si="419"/>
        <v>#DIV/0!</v>
      </c>
      <c r="KO79" s="274" t="e">
        <f t="shared" ca="1" si="420"/>
        <v>#DIV/0!</v>
      </c>
      <c r="KP79" s="454" t="e">
        <f t="shared" ca="1" si="322"/>
        <v>#DIV/0!</v>
      </c>
      <c r="KQ79" s="454" t="e">
        <f t="shared" ca="1" si="323"/>
        <v>#DIV/0!</v>
      </c>
      <c r="KR79" s="454" t="e">
        <f t="shared" ca="1" si="324"/>
        <v>#DIV/0!</v>
      </c>
      <c r="KS79" s="454" t="e">
        <f t="shared" ca="1" si="325"/>
        <v>#DIV/0!</v>
      </c>
      <c r="KT79" s="455" t="e">
        <f t="shared" ca="1" si="326"/>
        <v>#DIV/0!</v>
      </c>
      <c r="KU79" s="456" t="e">
        <f ca="1">IF($CP79-Control!$C$149&lt;0, IF($NT79-0.01&lt;0,0,1),0)</f>
        <v>#N/A</v>
      </c>
      <c r="KV79" s="456" t="e">
        <f ca="1">IF(Control!$C$114=1,MAX(0,MIN(Control!$C$125*$KW79*$GN79,$KW79)))</f>
        <v>#DIV/0!</v>
      </c>
      <c r="KW79" s="456" t="e">
        <f t="shared" ca="1" si="453"/>
        <v>#DIV/0!</v>
      </c>
      <c r="KX79" s="457" t="e">
        <f ca="1">IF($CP79-Control!$C$149&lt;0, IF($MR79-$OM79&lt;0,0,1),0)</f>
        <v>#N/A</v>
      </c>
      <c r="KY79" s="167">
        <f t="shared" ca="1" si="421"/>
        <v>75</v>
      </c>
      <c r="KZ79" s="168">
        <f ca="1">1370*(1+0.033*COS(2*Control!$C$138*$AH79/365))</f>
        <v>1382.4822129668876</v>
      </c>
      <c r="LA79" s="169">
        <f t="shared" ca="1" si="422"/>
        <v>1.0091112001122164</v>
      </c>
      <c r="LB79" s="169">
        <f t="shared" ca="1" si="423"/>
        <v>-4.0398242495160511E-2</v>
      </c>
      <c r="LC79" s="169">
        <f ca="1">ACOS(-TAN((2*Control!$B$8/360))*TAN(Calculations!$LB79))</f>
        <v>1.5587830177993991</v>
      </c>
      <c r="LD79" s="169">
        <f ca="1">((24*60)/PI())*0.082*$LA79*(($LC79*SIN(Control!$B$8*2*PI()/360))*SIN($LB79)+COS(Control!$B$8*2*PI()/360)*COS($LB79)*SIN($LC79))</f>
        <v>21.448769953861692</v>
      </c>
      <c r="LE79" s="170">
        <f t="shared" ca="1" si="327"/>
        <v>21.410547094967246</v>
      </c>
      <c r="LF79" s="170">
        <f ca="1">SIN(Control!$C$139*Control!$B$8)*SIN($HD79)</f>
        <v>-3.36725437071657E-2</v>
      </c>
      <c r="LG79" s="170">
        <f ca="1">COS(Control!$C$139*Control!$B$8)*COS($HD79)</f>
        <v>0.61509746767948048</v>
      </c>
      <c r="LH79" s="170">
        <f ca="1">12*(1+2*ASIN(MAX(-1,MIN(1,$LF79/$LG79))/Control!$C$138))</f>
        <v>11.581770829554822</v>
      </c>
      <c r="LI79" s="170">
        <f ca="1">12*(1+2*ASIN(MAX(-1,MIN(1,(-SIN(-4*Control!$C$139)+$LF79)/$LG79))/Control!$C$138))</f>
        <v>12.4481851358277</v>
      </c>
      <c r="LJ79" s="168">
        <f ca="1">3600*($LH79*$LF79+24*$LG79*SQRT(1-$LK79*$LK79)/Control!$C$138)</f>
        <v>15487.03259553623</v>
      </c>
      <c r="LK79" s="170">
        <f t="shared" ca="1" si="328"/>
        <v>-5.4743427629768811E-2</v>
      </c>
      <c r="LL79" s="170">
        <f t="shared" ca="1" si="329"/>
        <v>0</v>
      </c>
      <c r="LM79" s="171">
        <f ca="1">Control!$C$145*$AB79</f>
        <v>6.6660906138995932E-2</v>
      </c>
      <c r="LN79" s="170">
        <f t="shared" ca="1" si="424"/>
        <v>0.54</v>
      </c>
      <c r="LO79" s="170">
        <f t="shared" ca="1" si="330"/>
        <v>0</v>
      </c>
      <c r="LP79" s="170">
        <f ca="1">Control!$C$140*((($D79+273.16)^4+($E79+273.16)^4)/2)*(0.34-0.14*SQRT($Y79))*(1.35*$AQ79/(0.75*$LD79)-0.35)</f>
        <v>-3.2464704755046001</v>
      </c>
      <c r="LQ79" s="170">
        <f ca="1">Control!$C$140*($G79+273)^4*(0.56-0.079*SQRT($Y79*10))*(0.1+0.9*$LO79)</f>
        <v>1.5241745131704001</v>
      </c>
      <c r="LR79" s="170">
        <f ca="1">$AQ79*(1-Control!$C$142)-$LQ79</f>
        <v>-1.5241745131704001</v>
      </c>
      <c r="LS79" s="170">
        <f ca="1">$AQ79*(1-Control!$C$143)-$LQ79</f>
        <v>-1.5241745131704001</v>
      </c>
      <c r="LT79" s="170">
        <f ca="1">$AQ79*(1-Control!$C$144)-$LQ79</f>
        <v>-1.5241745131704001</v>
      </c>
      <c r="LU79" s="169">
        <f ca="1">(1-Control!$C$144)*AQ79-LP79</f>
        <v>3.2464704755046001</v>
      </c>
      <c r="LV79" s="172">
        <f t="shared" ca="1" si="331"/>
        <v>0.79430000000000012</v>
      </c>
      <c r="LW79" s="170">
        <f t="shared" ca="1" si="332"/>
        <v>1.5886000000000002</v>
      </c>
      <c r="LX79" s="170">
        <f ca="1">($AC79*($LR79/Control!$C$141)+$LM79*$LV79)/($AC79+$LM79)</f>
        <v>0.23530094218323697</v>
      </c>
      <c r="LY79" s="170">
        <f ca="1">($AC79*($LS79/Control!$C$141)+$LM79*$LV79)/($AC79+$LM79)</f>
        <v>0.23530094218323697</v>
      </c>
      <c r="LZ79" s="170">
        <f t="shared" ca="1" si="333"/>
        <v>0.23530094218323697</v>
      </c>
      <c r="MA79" s="170">
        <f t="shared" ca="1" si="334"/>
        <v>0.23530094218323697</v>
      </c>
      <c r="MB79" s="170" t="e">
        <f t="shared" ca="1" si="335"/>
        <v>#N/A</v>
      </c>
      <c r="MC79" s="170">
        <f t="shared" ca="1" si="425"/>
        <v>0.6018</v>
      </c>
      <c r="MD79" s="170">
        <f t="shared" ca="1" si="336"/>
        <v>0.52989392535414004</v>
      </c>
      <c r="ME79" s="170">
        <f ca="1">($AC79*($LT79/Control!$C$141)+$LM79*$LW79)/($AC79+$LM79)</f>
        <v>0.71612369323045078</v>
      </c>
      <c r="MF79" s="170" t="e">
        <f ca="1">IF(Control!$B$16&gt;=1000,0.92,IF(AND(720&lt;=Control!$B$16,1000&gt;Control!$B$16),(0.95+(Control!$B$16-720)*((0.92-0.95)/(1000-720))),IF(AND(360&lt;=Control!$B$16,720&gt;Control!$B$16),(1+(Control!$B$16-360)*((0.95-1)/(720-360))),IF(AND(40&lt;=Control!$B$16,360&gt;Control!$B$16),(1.05+(Control!$B$16-40)*((1.05-1)/(360-40)))))))</f>
        <v>#N/A</v>
      </c>
      <c r="MG79" s="170">
        <f t="shared" ca="1" si="337"/>
        <v>0.71612369323045078</v>
      </c>
      <c r="MH79" s="170" t="e">
        <f t="shared" ca="1" si="233"/>
        <v>#N/A</v>
      </c>
      <c r="MI79" s="170" t="e">
        <f t="shared" ca="1" si="233"/>
        <v>#N/A</v>
      </c>
      <c r="MJ79" s="170" t="e">
        <f ca="1">MAX(0.0001, Control!$C$132*$MI79*$DL79)</f>
        <v>#N/A</v>
      </c>
      <c r="MK79" s="170">
        <f ca="1">1/(0.76+1.5*($MG79/10))-(5-Control!$C$110)*0.1</f>
        <v>1.002845988140797</v>
      </c>
      <c r="ML79" s="173">
        <f ca="1">IF(Control!$C$110&lt;3,$MK79+($MG79-0.6)/(Control!$C$110*(Control!$C$110+3)), MAX(0.1, MIN(0.95,$MK79)))</f>
        <v>0.95</v>
      </c>
      <c r="MM79" s="173">
        <f ca="1">IF(Control!$C$110&lt;3,$MK79+(($MI79/10)-0.6)/(Control!$C$110*(Control!$C$110+3)), MAX(0.1, MIN(0.95,$MK79)))</f>
        <v>0.95</v>
      </c>
      <c r="MN79" s="173">
        <f ca="1">(1-$MM79)*(Control!$C$128-Control!$C$127)+Control!$C$127</f>
        <v>0.16</v>
      </c>
      <c r="MO79" s="170" t="e">
        <f ca="1">MAX(0,MIN(1,($MS79-Control!$C$127)/($MN79-Control!$C$127)))</f>
        <v>#DIV/0!</v>
      </c>
      <c r="MP79" s="173" t="e">
        <f ca="1">1/(0.76+1.5*$MI79)-(5-Control!$C$110)*0.1</f>
        <v>#N/A</v>
      </c>
      <c r="MQ79" s="172" t="e">
        <f t="shared" ca="1" si="454"/>
        <v>#DIV/0!</v>
      </c>
      <c r="MR79" s="168" t="e">
        <f t="shared" ca="1" si="426"/>
        <v>#DIV/0!</v>
      </c>
      <c r="MS79" s="173" t="e">
        <f ca="1">MAX(Control!$C$127, MIN(Control!$C$135, $MR79/MAX(0.0001,$CY79)))</f>
        <v>#DIV/0!</v>
      </c>
      <c r="MT79" s="168" t="e">
        <f ca="1">(Control!$C$128-$MS79)*Control!$C$74</f>
        <v>#DIV/0!</v>
      </c>
      <c r="MU79" s="168" t="e">
        <f ca="1">(Control!$C$135-$MS79)*Control!$C$74</f>
        <v>#DIV/0!</v>
      </c>
      <c r="MV79" s="168" t="e">
        <f t="shared" ca="1" si="427"/>
        <v>#DIV/0!</v>
      </c>
      <c r="MW79" s="168" t="e">
        <f t="shared" ca="1" si="428"/>
        <v>#DIV/0!</v>
      </c>
      <c r="MX79" s="171" t="e">
        <f ca="1">MAX(Control!$C$127, MIN(Control!$C$135, $MW79/MAX(0.0001,Control!$C$119-$CY79)))</f>
        <v>#DIV/0!</v>
      </c>
      <c r="MY79" s="54" t="e">
        <f ca="1">IF(Control!$C$114=1, $CX79*$MX79, 0)</f>
        <v>#DIV/0!</v>
      </c>
      <c r="MZ79" s="54" t="e">
        <f t="shared" ca="1" si="429"/>
        <v>#N/A</v>
      </c>
      <c r="NA79" s="168" t="e">
        <f ca="1">(Control!$C$128-$MX79)*(Control!$C$119-Control!$C$74)</f>
        <v>#DIV/0!</v>
      </c>
      <c r="NB79" s="168" t="e">
        <f ca="1">(Control!$C$135-$MX79)*(Control!$C$119-Control!$C$74)</f>
        <v>#DIV/0!</v>
      </c>
      <c r="NC79" s="174" t="e">
        <f t="shared" ca="1" si="430"/>
        <v>#DIV/0!</v>
      </c>
      <c r="ND79" s="54">
        <f ca="1">IF(Control!$C$58=2, IF(OR(Control!$B$218=$AH79,Control!$B$219=$AH79, Control!$B$220=$AH79, Control!$B$221=$AH79, Control!$B$222=$AH79, Control!$B$223=$AH79, Control!$B$224=$AH79, Control!$B$225=$AH79, Control!$B$226=$AH79, Control!$B$227=$AH79, Control!$B$228=$AH79), 1, 0), 0)</f>
        <v>0</v>
      </c>
      <c r="NE79" s="54">
        <f ca="1">IF($ND79=0,0, VLOOKUP($AH79,Control!$B$218:$C$228,2))</f>
        <v>0</v>
      </c>
      <c r="NF79" s="168" t="e">
        <f ca="1">$CY79*(Control!$C$128-Control!$C$127)</f>
        <v>#N/A</v>
      </c>
      <c r="NG79" s="54" t="e">
        <f ca="1">IF(Control!$C$58=2, $NI78-$NJ78, 0)</f>
        <v>#DIV/0!</v>
      </c>
      <c r="NH79" s="54" t="e">
        <f ca="1">IF(AND(Control!$C$58=1, $MS78&lt;= ($MN78+0.02), $I78&lt;10), 0, IF(Control!$C$58=2, $NG78, 0))</f>
        <v>#DIV/0!</v>
      </c>
      <c r="NI79" s="54" t="e">
        <f ca="1">IF(Control!$C$58=2, $NE79+$NH79,0)</f>
        <v>#DIV/0!</v>
      </c>
      <c r="NJ79" s="54" t="e">
        <f ca="1">IF(AND(Control!$C$58=1, $MS79&lt;= ($MN79+0.02), $I79&lt;10), MAX(0, MIN(10, 0.7*($NF79-$MV79))), IF(Control!$C$58=2, MIN(10,$NI79),0))</f>
        <v>#DIV/0!</v>
      </c>
      <c r="NK79" s="54" t="e">
        <f t="shared" ca="1" si="338"/>
        <v>#DIV/0!</v>
      </c>
      <c r="NL79" s="173" t="e">
        <f ca="1">(1-Control!$C$73)*$I79+$NJ79</f>
        <v>#DIV/0!</v>
      </c>
      <c r="NM79" s="172" t="e">
        <f ca="1">IF($NL79&lt;0.5, $MB79* MAX(0, MIN(1, (SQRT($NC79)-SQRT($NC79-1))*Control!$C$71)),0)</f>
        <v>#DIV/0!</v>
      </c>
      <c r="NN79" s="170" t="e">
        <f ca="1">IF($NL79&gt;=5, $MB79, MAX(0,MIN($MB79, $NM79+$NL79,($MS79-Control!$C$129))))</f>
        <v>#DIV/0!</v>
      </c>
      <c r="NO79" s="54">
        <f>IF(Control!$C$133&lt;&gt;1, Control!$C$135-Control!$C$131, 0)</f>
        <v>0.38</v>
      </c>
      <c r="NP79" s="54" t="e">
        <f t="shared" ca="1" si="339"/>
        <v>#DIV/0!</v>
      </c>
      <c r="NQ79" s="173" t="e">
        <f ca="1">MAX(0,MIN(1,(Control!$C$135-$MS79)/(Control!$C$135-$NO79)))</f>
        <v>#DIV/0!</v>
      </c>
      <c r="NR79" s="170" t="e">
        <f ca="1">IF(Control!$C$133&lt;&gt;1, $NQ79+((1-$NP79/4)*(1-$NQ79)),1)</f>
        <v>#DIV/0!</v>
      </c>
      <c r="NS79" s="170" t="e">
        <f ca="1">IF(Control!$B$31=0,$MJ79,MAX(0,MIN($MV79,$MO79*$NR79*$MJ79)))</f>
        <v>#DIV/0!</v>
      </c>
      <c r="NT79" s="170" t="e">
        <f t="shared" ca="1" si="455"/>
        <v>#DIV/0!</v>
      </c>
      <c r="NU79" s="170" t="e">
        <f t="shared" ca="1" si="431"/>
        <v>#N/A</v>
      </c>
      <c r="NV79" s="170" t="e">
        <f t="shared" ca="1" si="340"/>
        <v>#N/A</v>
      </c>
      <c r="NW79" s="175" t="e">
        <f t="shared" ca="1" si="341"/>
        <v>#DIV/0!</v>
      </c>
      <c r="NX79" s="170" t="e">
        <f ca="1">MIN(Control!$C$72+$MU79, $NW79)</f>
        <v>#DIV/0!</v>
      </c>
      <c r="NY79" s="170" t="e">
        <f ca="1">IF($MT79&lt;=$NX79,MIN(Control!$C$72+$NB79,$NX79-$MT79),0)</f>
        <v>#DIV/0!</v>
      </c>
      <c r="NZ79" s="54" t="e">
        <f ca="1">IF(Control!$C$114=1,  $CX79*($MX79-Control!$C$127), 0)</f>
        <v>#DIV/0!</v>
      </c>
      <c r="OA79" s="170" t="e">
        <f t="shared" ca="1" si="342"/>
        <v>#DIV/0!</v>
      </c>
      <c r="OB79" s="170" t="e">
        <f ca="1">IF($NA79 &lt;=$NY79, MIN(Control!$C$72, $NY79-$NA79), 0)</f>
        <v>#DIV/0!</v>
      </c>
      <c r="OC79" s="168" t="e">
        <f t="shared" ca="1" si="343"/>
        <v>#DIV/0!</v>
      </c>
      <c r="OD79" s="168" t="e">
        <f t="shared" ca="1" si="432"/>
        <v>#DIV/0!</v>
      </c>
      <c r="OE79" s="170">
        <f ca="1">Control!$C$73*$I79</f>
        <v>0</v>
      </c>
      <c r="OF79" s="176" t="e">
        <f t="shared" ca="1" si="344"/>
        <v>#DIV/0!</v>
      </c>
      <c r="OG79" s="168" t="e">
        <f t="shared" ca="1" si="345"/>
        <v>#DIV/0!</v>
      </c>
      <c r="OH79" s="168" t="e">
        <f t="shared" ca="1" si="346"/>
        <v>#DIV/0!</v>
      </c>
      <c r="OI79" s="168" t="e">
        <f t="shared" ca="1" si="347"/>
        <v>#DIV/0!</v>
      </c>
      <c r="OJ79" s="168" t="e">
        <f t="shared" ca="1" si="348"/>
        <v>#DIV/0!</v>
      </c>
      <c r="OK79" s="204" t="e">
        <f t="shared" ca="1" si="349"/>
        <v>#DIV/0!</v>
      </c>
      <c r="OL79" s="177">
        <f>Control!$C$127</f>
        <v>0.15</v>
      </c>
      <c r="OM79" s="182" t="e">
        <f t="shared" ca="1" si="350"/>
        <v>#N/A</v>
      </c>
      <c r="ON79" s="177">
        <f>Control!$C$128</f>
        <v>0.35</v>
      </c>
      <c r="OO79" s="182" t="e">
        <f t="shared" ca="1" si="351"/>
        <v>#N/A</v>
      </c>
      <c r="OP79" s="138">
        <f t="shared" ca="1" si="433"/>
        <v>0</v>
      </c>
      <c r="OQ79" s="138" t="e">
        <f t="shared" ca="1" si="456"/>
        <v>#DIV/0!</v>
      </c>
      <c r="OR79" s="138" t="e">
        <f t="shared" ca="1" si="434"/>
        <v>#DIV/0!</v>
      </c>
      <c r="OS79" s="137" t="e">
        <f t="shared" ca="1" si="457"/>
        <v>#DIV/0!</v>
      </c>
      <c r="OT79" s="139" t="e">
        <f t="shared" ca="1" si="458"/>
        <v>#DIV/0!</v>
      </c>
      <c r="OU79" s="138" t="e">
        <f t="shared" ca="1" si="459"/>
        <v>#N/A</v>
      </c>
      <c r="OV79" s="138" t="e">
        <f t="shared" ca="1" si="460"/>
        <v>#DIV/0!</v>
      </c>
      <c r="OW79" s="138" t="e">
        <f t="shared" ca="1" si="435"/>
        <v>#DIV/0!</v>
      </c>
      <c r="OX79" s="138" t="e">
        <f t="shared" ca="1" si="436"/>
        <v>#DIV/0!</v>
      </c>
      <c r="OY79" s="138" t="e">
        <f t="shared" ca="1" si="437"/>
        <v>#DIV/0!</v>
      </c>
      <c r="OZ79" s="138" t="e">
        <f t="shared" ca="1" si="352"/>
        <v>#DIV/0!</v>
      </c>
      <c r="PA79" s="138" t="e">
        <f t="shared" ca="1" si="353"/>
        <v>#DIV/0!</v>
      </c>
      <c r="PB79" s="55">
        <f>IF(Control!$C$61="T", IF(Control!$C$65="F", IF($AH$6-Control!$C$60&lt;0,0,1), IF(365+$AH$6-Control!$C$60&lt;0,0,1)),0)</f>
        <v>0</v>
      </c>
      <c r="PC79" s="55">
        <f ca="1">IF(Control!$C$65="F", IF($AH$6-$HF79&lt;0,0,1), IF(365+$AH$6-$HF79&lt;0,0,1))</f>
        <v>1</v>
      </c>
      <c r="PD79" s="444">
        <f>Control!$C$118</f>
        <v>1500</v>
      </c>
      <c r="PE79" s="180" t="e">
        <f t="shared" ca="1" si="354"/>
        <v>#N/A</v>
      </c>
      <c r="PF79" s="445">
        <f t="shared" ca="1" si="438"/>
        <v>0.71612369323045078</v>
      </c>
      <c r="PT79" s="186"/>
      <c r="PU79" s="186"/>
      <c r="PV79" s="94"/>
      <c r="PW79" s="94"/>
      <c r="PX79" s="94"/>
      <c r="PY79" s="94"/>
      <c r="PZ79" s="94"/>
      <c r="QA79" s="94"/>
      <c r="QB79" s="94"/>
      <c r="QC79" s="94"/>
      <c r="QD79" s="94"/>
      <c r="QE79" s="94"/>
      <c r="QF79" s="94"/>
      <c r="QG79" s="94"/>
      <c r="QH79" s="94"/>
      <c r="QI79" s="94"/>
      <c r="QJ79" s="94"/>
      <c r="QK79" s="94"/>
      <c r="QL79" s="94"/>
      <c r="QM79" s="94"/>
      <c r="QN79" s="94"/>
      <c r="QO79" s="94"/>
      <c r="QP79" s="94"/>
    </row>
    <row r="80" spans="1:458" s="2" customFormat="1" x14ac:dyDescent="0.2">
      <c r="A80" s="395">
        <v>16</v>
      </c>
      <c r="B80" s="396">
        <v>3</v>
      </c>
      <c r="C80" s="387">
        <f ca="1">Weather_data!$B79</f>
        <v>0</v>
      </c>
      <c r="D80" s="388">
        <f ca="1">Weather_data!$F79</f>
        <v>0</v>
      </c>
      <c r="E80" s="388">
        <f ca="1">Weather_data!$E79</f>
        <v>0</v>
      </c>
      <c r="F80" s="388">
        <f t="shared" ca="1" si="355"/>
        <v>0</v>
      </c>
      <c r="G80" s="388">
        <f ca="1">AVERAGE($D80:$E80)+Control!$B$9</f>
        <v>0</v>
      </c>
      <c r="H80" s="388">
        <f ca="1">Weather_data!$G79</f>
        <v>0</v>
      </c>
      <c r="I80" s="388">
        <f ca="1">Weather_data!$I79</f>
        <v>0</v>
      </c>
      <c r="J80" s="388">
        <f ca="1">Weather_data!$H79</f>
        <v>0</v>
      </c>
      <c r="K80" s="389">
        <f ca="1">Weather_data!$D79</f>
        <v>0</v>
      </c>
      <c r="L80" s="388" t="e">
        <f t="shared" ca="1" si="356"/>
        <v>#N/A</v>
      </c>
      <c r="M80" s="388" t="e">
        <f t="shared" ca="1" si="234"/>
        <v>#N/A</v>
      </c>
      <c r="N80" s="388">
        <f t="shared" ca="1" si="235"/>
        <v>-2.0554915835284832E-4</v>
      </c>
      <c r="O80" s="388">
        <f t="shared" ca="1" si="357"/>
        <v>2.0554915835284833E-3</v>
      </c>
      <c r="P80" s="390">
        <v>3</v>
      </c>
      <c r="Q80" s="388">
        <f ca="1">MAX($G80-Control!$C$107,0)</f>
        <v>0</v>
      </c>
      <c r="R80" s="388">
        <f t="shared" ca="1" si="358"/>
        <v>0</v>
      </c>
      <c r="S80" s="388">
        <f t="shared" ca="1" si="236"/>
        <v>0</v>
      </c>
      <c r="T80" s="388">
        <f t="shared" ca="1" si="237"/>
        <v>0</v>
      </c>
      <c r="U80" s="59">
        <f t="shared" ca="1" si="238"/>
        <v>0</v>
      </c>
      <c r="V80" s="391">
        <f ca="1">MAX(0,MIN(Control!$C$100-Control!$C$99,$G80-Control!$C$99)*Control!$C$63)</f>
        <v>0</v>
      </c>
      <c r="W80" s="388">
        <f t="shared" ca="1" si="359"/>
        <v>0</v>
      </c>
      <c r="X80" s="388">
        <f t="shared" ca="1" si="360"/>
        <v>0.6110000000000001</v>
      </c>
      <c r="Y80" s="388">
        <f t="shared" ca="1" si="239"/>
        <v>0</v>
      </c>
      <c r="Z80" s="388">
        <f t="shared" ca="1" si="361"/>
        <v>0.61058800000000002</v>
      </c>
      <c r="AA80" s="388">
        <f t="shared" ca="1" si="240"/>
        <v>0.6018</v>
      </c>
      <c r="AB80" s="388">
        <f ca="1">101.3*EXP(-0.034*Control!$C$66/($G80+273))</f>
        <v>100.69623283836242</v>
      </c>
      <c r="AC80" s="392">
        <f t="shared" ca="1" si="241"/>
        <v>4.3460251046025113E-2</v>
      </c>
      <c r="AD80" s="392">
        <f t="shared" ca="1" si="242"/>
        <v>4.4450382862832649E-2</v>
      </c>
      <c r="AE80" s="388">
        <f t="shared" ca="1" si="243"/>
        <v>0</v>
      </c>
      <c r="AF80" s="388">
        <f ca="1">MAX(0,$G80-Control!$C$92)</f>
        <v>0</v>
      </c>
      <c r="AG80" s="393">
        <f t="shared" ca="1" si="244"/>
        <v>76</v>
      </c>
      <c r="AH80" s="389">
        <f t="shared" ca="1" si="245"/>
        <v>76</v>
      </c>
      <c r="AI80" s="388">
        <f t="shared" ca="1" si="362"/>
        <v>-3.5921936927312235E-2</v>
      </c>
      <c r="AJ80" s="388">
        <f ca="1">IF(Control!$C$60&lt;=0,$HH80,$HI80)</f>
        <v>1</v>
      </c>
      <c r="AK80" s="388">
        <f t="shared" ca="1" si="246"/>
        <v>-6.8856825284159845E-2</v>
      </c>
      <c r="AL80" s="388">
        <f t="shared" ca="1" si="247"/>
        <v>-2.524626341315894E-18</v>
      </c>
      <c r="AM80" s="388">
        <f t="shared" ca="1" si="248"/>
        <v>-6.8856825284159845E-2</v>
      </c>
      <c r="AN80" s="388">
        <f t="shared" ca="1" si="249"/>
        <v>-2.7373023608134747E-2</v>
      </c>
      <c r="AO80" s="388">
        <f ca="1">-0.10453/COS(Control!$B$8*PI()/180)*COS(AN80)</f>
        <v>-0.16972125979483565</v>
      </c>
      <c r="AP80" s="388">
        <f ca="1">ACOS(AO80-TAN(Control!$B$8*PI()/180)*TAN(AN80))</f>
        <v>1.7058834430084713</v>
      </c>
      <c r="AQ80" s="388">
        <f t="shared" ca="1" si="363"/>
        <v>0</v>
      </c>
      <c r="AR80" s="394">
        <f t="shared" ca="1" si="250"/>
        <v>0</v>
      </c>
      <c r="AS80" s="436">
        <f ca="1">IF(Control!$B$18=2,(IF(OR($AH80=Control!$B$175,$AH80=Control!$B$176,$AH80=Control!$B$177,$AH80=Control!$B$178,$AH80=Control!$B$179,$AH80=Control!$B$180,$AH80=Control!$B$181,$AH80=Control!$B$182,$AH80=Control!$B$183,$AH80=Control!$B$184,$AH80=Control!$B$185),1,0)),0)</f>
        <v>0</v>
      </c>
      <c r="AT80" s="436">
        <f>IF(Control!$B$20=8,IF(AND($AH80&gt;=Control!$B$172,$AH80&lt;=Control!$B$173),1,0),0)</f>
        <v>0</v>
      </c>
      <c r="AU80" s="436">
        <f>IF(Control!$B$20=8,IF($AV79=1,1*$AT80,IF($AT80=1,$AU79+1,$AU79)),0)</f>
        <v>0</v>
      </c>
      <c r="AV80" s="436">
        <f>IF(Control!$B$20=8,IF($AU80&gt;=Control!$B$174,1,0),0)</f>
        <v>0</v>
      </c>
      <c r="AW80" s="436">
        <f ca="1">IF(AND(Control!$B$18=2,Control!$B$171=1), $AV80, $AS80)</f>
        <v>0</v>
      </c>
      <c r="AX80" s="436" t="e">
        <f ca="1">IF(AND(Control!$B$18=1,$EU80&gt;=Control!$B$19),-$AY80,IF(AND(Control!$B$18=2,$AW80=1,$EU80&gt;$DS80),-$AY80, IF(Control!$C$108=0,0, IF(Control!$C$108&lt;&gt;0,1))))</f>
        <v>#N/A</v>
      </c>
      <c r="AY80" s="436" t="e">
        <f t="shared" ca="1" si="364"/>
        <v>#N/A</v>
      </c>
      <c r="AZ80" s="436" t="e">
        <f ca="1">IF(AND(Control!$B$18=1,$EB80&gt;Control!$B$19),$AZ79+1, IF(AND(Control!$B$18=2, $AW80=1, $EB80&gt;$DS80), $AZ79+1,$AZ79))</f>
        <v>#N/A</v>
      </c>
      <c r="BA80" s="587">
        <f>IF(Control!$C$81=0,1,IF($AH80&gt;=Control!$C$82,1,0))</f>
        <v>1</v>
      </c>
      <c r="BB80" s="140" t="e">
        <f ca="1">IF($BA80&gt;$BA79,Control!$C$83,IF($AW80&gt;0,$AW80*Control!$C$84,IF(AND(Control!$B$18=1,EN79&lt;&gt;0),Control!$C$84,0)))</f>
        <v>#N/A</v>
      </c>
      <c r="BC80" s="140" t="e">
        <f t="shared" ca="1" si="365"/>
        <v>#N/A</v>
      </c>
      <c r="BD80" s="140" t="e">
        <f ca="1">BC80*IF(OR($G80&lt;Control!$C$92,$G80&gt;Control!$C$95),0,IF(AND($G80&gt;=Control!$C$92,$G80&lt;=Control!$C$93),$G80-Control!$C$92,IF(AND($G80&gt;Control!$C$93,$G80&lt;=Control!$C$94),Control!$C$93-Control!$C$92,IF(AND($G80&gt;Control!$C$94,$G80&lt;=Control!$C$95),(Control!$C$93-Control!$C$92)*(Control!$C$94-$G80)/(Control!$C$95-Control!$C$94)))))</f>
        <v>#N/A</v>
      </c>
      <c r="BE80" s="140" t="e">
        <f t="shared" ca="1" si="366"/>
        <v>#N/A</v>
      </c>
      <c r="BF80" s="140" t="e">
        <f ca="1">IF($BE80&lt;=Control!$C$86,$BE80,Control!$C$86-$BE80)</f>
        <v>#N/A</v>
      </c>
      <c r="BG80" s="140" t="e">
        <f ca="1">IF(AND($AW80=1,Control!$C$84&lt;9),1,IF($BE80&gt;=Control!$C$86,0,$BC80))</f>
        <v>#N/A</v>
      </c>
      <c r="BH80" s="404" t="e">
        <f ca="1">IF($BG80=0,0,IF($BE80&lt;=Control!$C$86,$BC80*9*($BF80/Control!$C$86),0))</f>
        <v>#N/A</v>
      </c>
      <c r="BI80" s="140" t="e">
        <f ca="1">IF($BG80=1,0,IF($BE80&gt;=Control!$C$86,1,IF(AND($BB80&lt;21,$BB80&gt;=9),1,$BM79)))</f>
        <v>#N/A</v>
      </c>
      <c r="BJ80" s="140" t="e">
        <f ca="1">IF($BF80&lt;0,-$BF80,$BI80*IF(OR($G80&lt;Control!$C$92,$G80&gt;Control!$C$95),0,IF(AND($G80&gt;=Control!$C$92,$G80&lt;=Control!$C$93),$G80-Control!$C$92,IF(AND($G80&gt;Control!$C$93,$G80&lt;=Control!$C$94),Control!$C$93-Control!$C$92,IF(AND($G80&gt;Control!$C$94,$G80&lt;=Control!$C$95),(Control!$C$93-Control!$C$92)*(Control!$C$94-$G80)/(Control!$C$95-Control!$C$94))))))</f>
        <v>#N/A</v>
      </c>
      <c r="BK80" s="140" t="e">
        <f t="shared" ca="1" si="367"/>
        <v>#N/A</v>
      </c>
      <c r="BL80" s="140" t="e">
        <f ca="1">IF($BK80&lt;=Control!$C$87,$BK80,Control!$C$87-$BK80)</f>
        <v>#N/A</v>
      </c>
      <c r="BM80" s="140" t="e">
        <f ca="1">IF(AND($BB80&gt;=9,$BB80&lt;21),1,IF($BK80&gt;=Control!$C$87,0,$BI80))</f>
        <v>#N/A</v>
      </c>
      <c r="BN80" s="404" t="e">
        <f ca="1">IF($BM80=0,0,IF($BK80&lt;=Control!$C$87,$BI80*(9+(21-9)*($BL80/Control!$C$87)),0))</f>
        <v>#N/A</v>
      </c>
      <c r="BO80" s="140" t="e">
        <f ca="1">IF($BM80=1,0,IF($BK80&gt;=Control!$C$87,1,IF(AND($BB80&lt;30,$BB80&gt;=21),1,$BS79)))</f>
        <v>#N/A</v>
      </c>
      <c r="BP80" s="140" t="e">
        <f ca="1">IF($BL80&lt;0,-$BL80,$BO80*IF(OR($G80&lt;Control!$C$92,$G80&gt;Control!$C$95),0,IF(AND($G80&gt;=Control!$C$92,$G80&lt;=Control!$C$93),$G80-Control!$C$92,IF(AND($G80&gt;Control!$C$93,$G80&lt;=Control!$C$94),Control!$C$93-Control!$C$92,IF(AND($G80&gt;Control!$C$94,$G80&lt;=Control!$C$95),(Control!$C$93-Control!$C$92)*(Control!$C$94-$G80)/(Control!$C$95-Control!$C$94))))))</f>
        <v>#N/A</v>
      </c>
      <c r="BQ80" s="140" t="e">
        <f t="shared" ca="1" si="251"/>
        <v>#N/A</v>
      </c>
      <c r="BR80" s="140" t="e">
        <f ca="1">IF($BQ80&lt;=Control!$C$88,$BQ80,Control!$C$88-$BQ80)</f>
        <v>#N/A</v>
      </c>
      <c r="BS80" s="140" t="e">
        <f ca="1">IF(AND($BB80&gt;=21,$BB80&lt;30),1,IF($BQ80&gt;=Control!$C$88,0,$BO80))</f>
        <v>#N/A</v>
      </c>
      <c r="BT80" s="404" t="e">
        <f ca="1">IF($BS80=0,0,IF($BQ80&lt;=Control!$C$88,$BO80*(21+(30-21)*(BR80/Control!$C$88)),0))</f>
        <v>#N/A</v>
      </c>
      <c r="BU80" s="140" t="e">
        <f ca="1">IF(BG80+BM80+BS80=1,0,IF(OR(AND($BB80&lt;60,$BB80&gt;=30),$BQ80&gt;=Control!$C$88),1*$BA80,$BY79))</f>
        <v>#N/A</v>
      </c>
      <c r="BV80" s="140" t="e">
        <f ca="1">IF($BR80&lt;0,-$BR80,$BU80*IF(OR($G80&lt;Control!$C$92,$G80&gt;Control!$C$95),0,IF(AND($G80&gt;=Control!$C$92,$G80&lt;=Control!$C$93),$G80-Control!$C$92,IF(AND($G80&gt;Control!$C$93,$G80&lt;=Control!$C$94),Control!$C$93-Control!$C$92,IF(AND($G80&gt;Control!$C$94,$G80&lt;=Control!$C$95),(Control!$C$93-Control!$C$92)*(Control!$C$94-$G80)/(Control!$C$95-Control!$C$94))))))</f>
        <v>#N/A</v>
      </c>
      <c r="BW80" s="140" t="e">
        <f t="shared" ca="1" si="252"/>
        <v>#N/A</v>
      </c>
      <c r="BX80" s="140" t="e">
        <f ca="1">IF($BW80&lt;=Control!$C$89,$BW80,Control!$C$89-$BW80)</f>
        <v>#N/A</v>
      </c>
      <c r="BY80" s="140" t="e">
        <f ca="1">IF(AND($AJ80&gt;=30,$AJ80&lt;60),1,IF($BW80&gt;=Control!$C$89,0,$BU80))</f>
        <v>#N/A</v>
      </c>
      <c r="BZ80" s="404" t="e">
        <f ca="1">IF($BY80=0,0,IF($BW80&lt;=Control!$C$89,$BU80*(30+(60-30)*(BX80/Control!$C$89)),0))</f>
        <v>#N/A</v>
      </c>
      <c r="CA80" s="140" t="e">
        <f ca="1">IF($BG80+$BM80+$BS80+$BY80=1,0,IF(OR(AND($BB80&lt;65,$BB80&gt;=60),$BW80&gt;=Control!$C$89),1*$BA80,$CE79))</f>
        <v>#N/A</v>
      </c>
      <c r="CB80" s="140" t="e">
        <f ca="1">IF($BX80&lt;0,-$BX80,$CA80*IF(OR($G80&lt;Control!$C$92,$G80&gt;Control!$C$95),0,IF(AND($G80&gt;=Control!$C$92,$G80&lt;=Control!$C$93),$G80-Control!$C$92,IF(AND($G80&gt;Control!$C$93,$G80&lt;=Control!$C$94),Control!$C$93-Control!$C$92,IF(AND($G80&gt;Control!$C$94,$G80&lt;=Control!$C$95),(Control!$C$93-Control!$C$92)*(Control!$C$94-$G80)/(Control!$C$95-Control!$C$94))))))</f>
        <v>#N/A</v>
      </c>
      <c r="CC80" s="140" t="e">
        <f t="shared" ca="1" si="368"/>
        <v>#N/A</v>
      </c>
      <c r="CD80" s="140" t="e">
        <f ca="1">IF($CC80&lt;=Control!$C$90,$CC80,Control!$C$90-$CC80)</f>
        <v>#N/A</v>
      </c>
      <c r="CE80" s="140" t="e">
        <f ca="1">IF(AND($BB80&gt;=60,$BB80&lt;65),1,IF($CC80&gt;=Control!$C$90,0,$CA80))</f>
        <v>#N/A</v>
      </c>
      <c r="CF80" s="404" t="e">
        <f ca="1">IF($CE80=0,0,IF($CC80&lt;=Control!$C$90,$CA80*(60+(65-60)*(CD80/Control!$C$90)),0))</f>
        <v>#N/A</v>
      </c>
      <c r="CG80" s="140" t="e">
        <f ca="1">IF($BG80+$BM80+$BS80+$BY80+$CE80=1,0,IF(OR(AND($BB80&lt;90,$BB80&gt;=65),$CC80&gt;=Control!$C$90),$BA80,$CK79))</f>
        <v>#N/A</v>
      </c>
      <c r="CH80" s="140" t="e">
        <f ca="1">IF($CD80&lt;0,-$CD80,$CG80*IF(OR($G80&lt;Control!$C$92,$G80&gt;Control!$C$95),0,IF(AND($G80&gt;=Control!$C$92,$G80&lt;=Control!$C$93),$G80-Control!$C$92,IF(AND($G80&gt;Control!$C$93,$G80&lt;=Control!$C$94),Control!$C$93-Control!$C$92,IF(AND($G80&gt;Control!$C$94,$G80&lt;=Control!$C$95),(Control!$C$93-Control!$C$92)*(Control!$C$94-$G80)/(Control!$C$95-Control!$C$94))))))</f>
        <v>#N/A</v>
      </c>
      <c r="CI80" s="140" t="e">
        <f t="shared" ca="1" si="369"/>
        <v>#N/A</v>
      </c>
      <c r="CJ80" s="140" t="e">
        <f ca="1">IF($CI80&lt;=Control!$C$91,$CI80,Control!$C$91-$CI80)</f>
        <v>#N/A</v>
      </c>
      <c r="CK80" s="140" t="e">
        <f ca="1">IF(AND($BB80&gt;=65,$BB80&lt;90),1,IF($CI80&gt;=Control!$C$91,0,$CG80))</f>
        <v>#N/A</v>
      </c>
      <c r="CL80" s="404" t="e">
        <f ca="1">IF($CK80=0,0,IF($CI80&lt;=Control!$C$91,$CG80*(65+(90-65)*($CJ80/Control!$C$91)),0))</f>
        <v>#N/A</v>
      </c>
      <c r="CM80" s="140" t="e">
        <f ca="1">IF($BG80+$BM80+$BS80+$BY80+$CE80+$CK80=1,0,IF(OR($BB80&gt;=90,$CI80&gt;=Control!$C$91),$BA80,$CM79))</f>
        <v>#N/A</v>
      </c>
      <c r="CN80" s="140" t="e">
        <f t="shared" ca="1" si="370"/>
        <v>#N/A</v>
      </c>
      <c r="CO80" s="140" t="e">
        <f t="shared" ca="1" si="371"/>
        <v>#N/A</v>
      </c>
      <c r="CP80" s="140" t="e">
        <f t="shared" ca="1" si="372"/>
        <v>#N/A</v>
      </c>
      <c r="CQ80" s="141" t="e">
        <f ca="1">VLOOKUP($CP80,Control!$B$86:$G$91,6)</f>
        <v>#N/A</v>
      </c>
      <c r="CR80" s="141" t="e">
        <f ca="1">(1-$CQ80)*VLOOKUP($CP80,Control!$B$86:$D$91,3)</f>
        <v>#N/A</v>
      </c>
      <c r="CS80" s="141" t="e">
        <f ca="1">(1-$CQ80)*VLOOKUP($CP80,Control!$B$86:$E$91,4)</f>
        <v>#N/A</v>
      </c>
      <c r="CT80" s="141" t="e">
        <f ca="1">(1-$CQ80)*VLOOKUP($CP80,Control!$B$86:$F$91,5)</f>
        <v>#N/A</v>
      </c>
      <c r="CU80" s="141">
        <f t="shared" ca="1" si="373"/>
        <v>0</v>
      </c>
      <c r="CV80" s="583">
        <f t="shared" ca="1" si="374"/>
        <v>0</v>
      </c>
      <c r="CW80" s="142">
        <f t="shared" ca="1" si="375"/>
        <v>76</v>
      </c>
      <c r="CX80" s="612" t="e">
        <f ca="1">IF(Control!$C$114=1,(MIN(Control!$C$120*(IF($NT80-0.01&lt;0,0,1)),Control!$C$119-$CY80)))</f>
        <v>#DIV/0!</v>
      </c>
      <c r="CY80" s="143" t="e">
        <f t="shared" ca="1" si="376"/>
        <v>#N/A</v>
      </c>
      <c r="CZ80" s="144">
        <f t="shared" ca="1" si="253"/>
        <v>0</v>
      </c>
      <c r="DA80" s="144">
        <f t="shared" ca="1" si="254"/>
        <v>0</v>
      </c>
      <c r="DB80" s="144" t="e">
        <f t="shared" ca="1" si="255"/>
        <v>#N/A</v>
      </c>
      <c r="DC80" s="144" t="e">
        <f t="shared" ca="1" si="256"/>
        <v>#N/A</v>
      </c>
      <c r="DD80" s="144" t="e">
        <f t="shared" ca="1" si="461"/>
        <v>#N/A</v>
      </c>
      <c r="DE80" s="143" t="e">
        <f t="shared" ca="1" si="377"/>
        <v>#N/A</v>
      </c>
      <c r="DF80" s="145" t="e">
        <f ca="1">$DR80*EXP(-Control!$C$158*(1-$KH80))</f>
        <v>#N/A</v>
      </c>
      <c r="DG80" s="146" t="e">
        <f ca="1">IF(Control!$C$114=1, $DF80*$EY80, 0)</f>
        <v>#N/A</v>
      </c>
      <c r="DH80" s="147" t="e">
        <f t="shared" ca="1" si="378"/>
        <v>#N/A</v>
      </c>
      <c r="DI80" s="144" t="e">
        <f t="shared" ca="1" si="439"/>
        <v>#N/A</v>
      </c>
      <c r="DJ80" s="147" t="e">
        <f ca="1">$EF80*Control!$C$109</f>
        <v>#N/A</v>
      </c>
      <c r="DK80" s="144" t="e">
        <f t="shared" ca="1" si="379"/>
        <v>#N/A</v>
      </c>
      <c r="DL80" s="144" t="e">
        <f t="shared" ca="1" si="257"/>
        <v>#N/A</v>
      </c>
      <c r="DM80" s="144" t="e">
        <f ca="1">IF(Control!$C$114=1, (1-EXP(-Control!$C$96*$DK80))*$AR80, 0)</f>
        <v>#N/A</v>
      </c>
      <c r="DN80" s="144">
        <f t="shared" ca="1" si="380"/>
        <v>0</v>
      </c>
      <c r="DO80" s="148">
        <f>Control!$C$97</f>
        <v>4</v>
      </c>
      <c r="DP80" s="145" t="e">
        <f t="shared" ca="1" si="381"/>
        <v>#N/A</v>
      </c>
      <c r="DQ80" s="145" t="e">
        <f ca="1">IF(AND($CP80&gt;=0,$CP80&lt;=90),Control!$C$111,Control!$C$111)</f>
        <v>#N/A</v>
      </c>
      <c r="DR80" s="145" t="e">
        <f t="shared" ca="1" si="258"/>
        <v>#N/A</v>
      </c>
      <c r="DS80" s="143" t="e">
        <f ca="1">Control!$B$22/$DR80</f>
        <v>#N/A</v>
      </c>
      <c r="DT80" s="149" t="e">
        <f ca="1">IF(AND(Control!$C$114=1,$KH80&lt;1),$IM80*$DF80, 0)</f>
        <v>#N/A</v>
      </c>
      <c r="DU80" s="144" t="e">
        <f t="shared" ca="1" si="382"/>
        <v>#N/A</v>
      </c>
      <c r="DV80" s="144">
        <f ca="1">IF($G80-Control!$C$107&lt;=0, 0, 0.83*LN(MAX($G80, 3))-0.8924)</f>
        <v>0</v>
      </c>
      <c r="DW80" s="144" t="e">
        <f t="shared" ca="1" si="259"/>
        <v>#N/A</v>
      </c>
      <c r="DX80" s="150" t="e">
        <f ca="1">MAX(0.01*(1+$CU80/Control!$C$102),0.05*($DK80-Control!$C$97)/Control!$C$97)</f>
        <v>#N/A</v>
      </c>
      <c r="DY80" s="151" t="e">
        <f ca="1">IF(Control!$C$114=1, $DI80*$FS80, 0)</f>
        <v>#N/A</v>
      </c>
      <c r="DZ80" s="196" t="e">
        <f t="shared" ca="1" si="383"/>
        <v>#N/A</v>
      </c>
      <c r="EA80" s="152">
        <f t="shared" ca="1" si="384"/>
        <v>76</v>
      </c>
      <c r="EB80" s="153" t="e">
        <f t="shared" ca="1" si="385"/>
        <v>#N/A</v>
      </c>
      <c r="EC80" s="153" t="e">
        <f t="shared" ca="1" si="386"/>
        <v>#N/A</v>
      </c>
      <c r="ED80" s="154" t="e">
        <f ca="1">IF(Control!$C$114=1, $HM80*$FY80-$FD80, 0)</f>
        <v>#DIV/0!</v>
      </c>
      <c r="EE80" s="155" t="e">
        <f ca="1">IF(Control!$C$114=1, $HM80*$FZ80-$FF80, 0)</f>
        <v>#DIV/0!</v>
      </c>
      <c r="EF80" s="153" t="e">
        <f t="shared" ca="1" si="440"/>
        <v>#N/A</v>
      </c>
      <c r="EG80" s="155" t="e">
        <f ca="1">IF(Control!$C$114=1, $GX80*$FW80-$FI80, 0)</f>
        <v>#DIV/0!</v>
      </c>
      <c r="EH80" s="153" t="e">
        <f t="shared" ca="1" si="387"/>
        <v>#N/A</v>
      </c>
      <c r="EI80" s="156" t="e">
        <f t="shared" ca="1" si="388"/>
        <v>#N/A</v>
      </c>
      <c r="EJ80" s="155" t="e">
        <f ca="1">IF(Control!$C$114=1, $HM80*$GB80, 0)</f>
        <v>#DIV/0!</v>
      </c>
      <c r="EK80" s="153" t="e">
        <f t="shared" ca="1" si="441"/>
        <v>#N/A</v>
      </c>
      <c r="EL80" s="153" t="e">
        <f t="shared" ca="1" si="260"/>
        <v>#N/A</v>
      </c>
      <c r="EM80" s="153" t="e">
        <f t="shared" ca="1" si="261"/>
        <v>#N/A</v>
      </c>
      <c r="EN80" s="153" t="e">
        <f ca="1">IF(Control!$C$108=1,IF(AND(Control!$B$18=1,$EB80&gt;=Control!$B$19),$EB80-$DS80,IF(AND(Control!$B$18=2,$AW80=1,$EB80&gt;$DS80),$EB80-$DS80,0)))</f>
        <v>#N/A</v>
      </c>
      <c r="EO80" s="153" t="e">
        <f ca="1">IF(Control!$C$108=1,IF(AND(Control!$B$18=1,$EB80&gt;=Control!$B$19),$EF80,IF(AND(Control!$B$18=2,$AW80=1),$EF80,0)))</f>
        <v>#N/A</v>
      </c>
      <c r="EP80" s="153" t="e">
        <f ca="1">IF(Control!$C$108=1,IF(AND(Control!$B$18=1,$EB80&gt;=Control!$B$19),$EK80,IF(AND(Control!$B$18=2,$AW80=1),$EK80,0)))</f>
        <v>#N/A</v>
      </c>
      <c r="EQ80" s="153" t="e">
        <f t="shared" ca="1" si="389"/>
        <v>#N/A</v>
      </c>
      <c r="ER80" s="153" t="e">
        <f t="shared" ca="1" si="390"/>
        <v>#N/A</v>
      </c>
      <c r="ES80" s="153" t="e">
        <f t="shared" ca="1" si="442"/>
        <v>#N/A</v>
      </c>
      <c r="ET80" s="153" t="e">
        <f t="shared" ca="1" si="443"/>
        <v>#N/A</v>
      </c>
      <c r="EU80" s="153" t="e">
        <f t="shared" ca="1" si="391"/>
        <v>#N/A</v>
      </c>
      <c r="EV80" s="153" t="e">
        <f t="shared" ca="1" si="262"/>
        <v>#N/A</v>
      </c>
      <c r="EW80" s="153" t="e">
        <f t="shared" ca="1" si="263"/>
        <v>#N/A</v>
      </c>
      <c r="EX80" s="153" t="e">
        <f t="shared" ca="1" si="264"/>
        <v>#N/A</v>
      </c>
      <c r="EY80" s="157" t="e">
        <f t="shared" ca="1" si="265"/>
        <v>#DIV/0!</v>
      </c>
      <c r="EZ80" s="154" t="e">
        <f t="shared" ca="1" si="266"/>
        <v>#DIV/0!</v>
      </c>
      <c r="FA80" s="153" t="e">
        <f t="shared" ca="1" si="392"/>
        <v>#N/A</v>
      </c>
      <c r="FB80" s="153" t="e">
        <f t="shared" ca="1" si="267"/>
        <v>#N/A</v>
      </c>
      <c r="FC80" s="193" t="e">
        <f t="shared" ca="1" si="268"/>
        <v>#N/A</v>
      </c>
      <c r="FD80" s="158" t="e">
        <f t="shared" ca="1" si="393"/>
        <v>#N/A</v>
      </c>
      <c r="FE80" s="158" t="e">
        <f t="shared" ca="1" si="394"/>
        <v>#N/A</v>
      </c>
      <c r="FF80" s="159" t="e">
        <f t="shared" ca="1" si="269"/>
        <v>#N/A</v>
      </c>
      <c r="FG80" s="160" t="e">
        <f t="shared" ca="1" si="395"/>
        <v>#N/A</v>
      </c>
      <c r="FH80" s="158" t="e">
        <f t="shared" ca="1" si="396"/>
        <v>#N/A</v>
      </c>
      <c r="FI80" s="159" t="e">
        <f t="shared" ca="1" si="270"/>
        <v>#N/A</v>
      </c>
      <c r="FJ80" s="160" t="e">
        <f t="shared" ca="1" si="397"/>
        <v>#N/A</v>
      </c>
      <c r="FK80" s="160" t="e">
        <f t="shared" ca="1" si="271"/>
        <v>#N/A</v>
      </c>
      <c r="FL80" s="160" t="e">
        <f t="shared" ca="1" si="444"/>
        <v>#N/A</v>
      </c>
      <c r="FM80" s="160" t="e">
        <f t="shared" ca="1" si="272"/>
        <v>#N/A</v>
      </c>
      <c r="FN80" s="158">
        <f t="shared" ca="1" si="398"/>
        <v>0.01</v>
      </c>
      <c r="FO80" s="160">
        <f>Control!$C$101</f>
        <v>50</v>
      </c>
      <c r="FP80" s="150" t="e">
        <f t="shared" ca="1" si="273"/>
        <v>#N/A</v>
      </c>
      <c r="FQ80" s="150" t="e">
        <f ca="1">MAX(0,(Control!$C$112*(($DK80-Control!$C$97)/Control!$C$97)))</f>
        <v>#N/A</v>
      </c>
      <c r="FR80" s="150" t="e">
        <f ca="1">(1-$NT80)*Control!$C$113</f>
        <v>#DIV/0!</v>
      </c>
      <c r="FS80" s="198" t="e">
        <f t="shared" ca="1" si="274"/>
        <v>#N/A</v>
      </c>
      <c r="FT80" s="161">
        <f t="shared" ca="1" si="399"/>
        <v>76</v>
      </c>
      <c r="FU80" s="162" t="e">
        <f ca="1">IF(Control!$B$34=1,VLOOKUP($CP80,Control!$B$86:$G$91,6),Control!$B$35)</f>
        <v>#N/A</v>
      </c>
      <c r="FV80" s="162" t="e">
        <f t="shared" ca="1" si="275"/>
        <v>#DIV/0!</v>
      </c>
      <c r="FW80" s="162" t="e">
        <f ca="1">IF(Control!$B$31=1,$FU80*$FV80,  $FU80)</f>
        <v>#N/A</v>
      </c>
      <c r="FX80" s="162" t="e">
        <f ca="1">IF(Control!$B$34=1,VLOOKUP($CP80,Control!$B$86:$G$91,3),Control!$B$36)</f>
        <v>#N/A</v>
      </c>
      <c r="FY80" s="162" t="e">
        <f t="shared" ca="1" si="276"/>
        <v>#N/A</v>
      </c>
      <c r="FZ80" s="162" t="e">
        <f ca="1">IF(Control!$B$34=1,VLOOKUP($CP80,Control!$B$86:$G$91,4),Control!$B$37)</f>
        <v>#N/A</v>
      </c>
      <c r="GA80" s="162" t="e">
        <f t="shared" ca="1" si="277"/>
        <v>#N/A</v>
      </c>
      <c r="GB80" s="162" t="e">
        <f ca="1">IF(Control!$B$34=1,VLOOKUP($CP80,Control!$B$86:$G$91,5),Control!$B$38)</f>
        <v>#N/A</v>
      </c>
      <c r="GC80" s="162" t="e">
        <f t="shared" ca="1" si="400"/>
        <v>#N/A</v>
      </c>
      <c r="GD80" s="162">
        <f t="shared" ca="1" si="278"/>
        <v>1</v>
      </c>
      <c r="GE80" s="162">
        <f t="shared" ca="1" si="279"/>
        <v>1</v>
      </c>
      <c r="GF80" s="162">
        <f ca="1">IF(AND(Control!$C$104=1, Control!$C$62="F"),$GE80,1)</f>
        <v>1</v>
      </c>
      <c r="GG80" s="162" t="e">
        <f ca="1">IF(Control!$B$16=40,0,IF(AND(Control!$B$16&gt;40,Control!$B$16&lt;=360),(Control!$B$16-40)*((1-0)/(360-40)),IF(AND(Control!$B$16&gt;360,Control!$B$16&lt;=720),(1+(Control!$B$16-360)*((1.25-1)/(720-360))),IF(AND(Control!$B$16&gt;720,Control!$B$16&lt;=1000),(1.25+(Control!$B$16-720)*((1.35-1.25)/(1000-720))),IF(AND(Control!$B$16&gt;1000,Control!$B$16&lt;=2000),(1.35+(Control!$B$16-1000)*0))))))</f>
        <v>#N/A</v>
      </c>
      <c r="GH80" s="162" t="e">
        <f t="shared" ca="1" si="280"/>
        <v>#N/A</v>
      </c>
      <c r="GI80" s="162">
        <f t="shared" ca="1" si="401"/>
        <v>0</v>
      </c>
      <c r="GJ80" s="162">
        <f t="shared" ca="1" si="281"/>
        <v>0</v>
      </c>
      <c r="GK80" s="162">
        <f t="shared" ca="1" si="402"/>
        <v>1</v>
      </c>
      <c r="GL80" s="162">
        <f t="shared" ca="1" si="282"/>
        <v>1</v>
      </c>
      <c r="GM80" s="162" t="e">
        <f ca="1">MAX(0,MIN(1,1-Control!$C$156*(1.0001-$KH80)^2))</f>
        <v>#N/A</v>
      </c>
      <c r="GN80" s="162" t="e">
        <f ca="1">IF(Control!$B$26=1,$KU80,$KX80)</f>
        <v>#N/A</v>
      </c>
      <c r="GO80" s="162" t="e">
        <f ca="1">IF($CP80&lt;=60,Control!$C$105,IF($CP80&gt;=90,Control!$C$106,Control!$C$105+($CP80-60)*((Control!$C$106-Control!$C$105)/(90-60))))</f>
        <v>#N/A</v>
      </c>
      <c r="GP80" s="162" t="e">
        <f t="shared" ca="1" si="283"/>
        <v>#N/A</v>
      </c>
      <c r="GQ80" s="162" t="e">
        <f t="shared" ca="1" si="403"/>
        <v>#N/A</v>
      </c>
      <c r="GR80" s="163" t="e">
        <f t="shared" ca="1" si="284"/>
        <v>#DIV/0!</v>
      </c>
      <c r="GS80" s="162" t="e">
        <f t="shared" ca="1" si="285"/>
        <v>#DIV/0!</v>
      </c>
      <c r="GT80" s="164" t="e">
        <f t="shared" ca="1" si="404"/>
        <v>#N/A</v>
      </c>
      <c r="GU80" s="162" t="e">
        <f t="shared" ca="1" si="405"/>
        <v>#N/A</v>
      </c>
      <c r="GV80" s="162" t="e">
        <f t="shared" ca="1" si="286"/>
        <v>#N/A</v>
      </c>
      <c r="GW80" s="162" t="e">
        <f t="shared" ca="1" si="287"/>
        <v>#DIV/0!</v>
      </c>
      <c r="GX80" s="162" t="e">
        <f t="shared" ca="1" si="406"/>
        <v>#DIV/0!</v>
      </c>
      <c r="GY80" s="162" t="e">
        <f t="shared" ca="1" si="407"/>
        <v>#DIV/0!</v>
      </c>
      <c r="GZ80" s="165" t="e">
        <f t="shared" ca="1" si="288"/>
        <v>#N/A</v>
      </c>
      <c r="HA80" s="162" t="e">
        <f ca="1">IF(Control!$C$114=1, $DI80*$FS80, 0)</f>
        <v>#N/A</v>
      </c>
      <c r="HB80" s="162" t="e">
        <f ca="1">$FA80/Control!$C$64</f>
        <v>#N/A</v>
      </c>
      <c r="HC80" s="162" t="e">
        <f t="shared" ca="1" si="289"/>
        <v>#DIV/0!</v>
      </c>
      <c r="HD80" s="162">
        <f ca="1">-ASIN(SIN(23.45*Control!$C$139)*COS(2*Control!$C$138*($AH80+10)/365))</f>
        <v>-3.5921936927312235E-2</v>
      </c>
      <c r="HE80" s="165">
        <f t="shared" ca="1" si="408"/>
        <v>0</v>
      </c>
      <c r="HF80" s="166">
        <f ca="1">IF(AND(Control!$C$61="T",$HE80&gt;=Control!$C$103,Control!$C$114=0),$AH80,Control!$C$59)</f>
        <v>1</v>
      </c>
      <c r="HG80" s="166">
        <f ca="1">IF(AND(Control!$C$61="T",$HE80&gt;=Control!$C$103,Control!$C$114=0),$HF80,Control!$C$59)</f>
        <v>1</v>
      </c>
      <c r="HH80" s="165">
        <f ca="1">IF(AND(OR(Control!$C$60&lt;=0, $AH80= Control!$C$59, Control!$C$60 &gt;0, $AH80 = Control!$C$60)), Control!$C$59, IF(Control!$C$60&gt;0, 0))</f>
        <v>1</v>
      </c>
      <c r="HI80" s="165">
        <f ca="1">IF(AND(OR(Control!$C$60&lt;=0, $AH80= Control!$C$59, Control!$C$60 &gt;0, $AH80 = Control!$C$60)), Control!$C$60, IF(Control!$C$60&lt;=0, 0))</f>
        <v>0</v>
      </c>
      <c r="HJ80" s="166">
        <f ca="1">IF(AND(Control!$C$62="F",$CV80&gt;=Control!$C$102),$AH80,0)</f>
        <v>0</v>
      </c>
      <c r="HK80" s="165" t="e">
        <f t="shared" ca="1" si="445"/>
        <v>#N/A</v>
      </c>
      <c r="HL80" s="166">
        <f ca="1">IF(AND(Control!$C$61="T",$HE80&gt;=Control!$C$103,Control!$C$114=0),$HF80,0)</f>
        <v>0</v>
      </c>
      <c r="HM80" s="201" t="e">
        <f t="shared" ca="1" si="290"/>
        <v>#DIV/0!</v>
      </c>
      <c r="HN80" s="215">
        <f t="shared" ca="1" si="409"/>
        <v>76</v>
      </c>
      <c r="HO80" s="216" t="e">
        <f ca="1">IF(AND($CP80&gt;=0, $CP80&lt;=90), Control!$C$152, Control!$C$152)</f>
        <v>#N/A</v>
      </c>
      <c r="HP80" s="216" t="e">
        <f t="shared" ca="1" si="291"/>
        <v>#N/A</v>
      </c>
      <c r="HQ80" s="217" t="e">
        <f ca="1">IF(OR(Control!$B$26=1,Control!$B$26=2),$KV80,$KS80)</f>
        <v>#DIV/0!</v>
      </c>
      <c r="HR80" s="218" t="e">
        <f t="shared" ca="1" si="446"/>
        <v>#DIV/0!</v>
      </c>
      <c r="HS80" s="216" t="e">
        <f ca="1">Control!$C$154*$HP80</f>
        <v>#N/A</v>
      </c>
      <c r="HT80" s="216" t="e">
        <f ca="1">Control!$C$155*$HP80</f>
        <v>#N/A</v>
      </c>
      <c r="HU80" s="217" t="e">
        <f ca="1">Control!$C$161*$FI80</f>
        <v>#N/A</v>
      </c>
      <c r="HV80" s="218" t="e">
        <f t="shared" ca="1" si="410"/>
        <v>#N/A</v>
      </c>
      <c r="HW80" s="218" t="e">
        <f ca="1">Control!$C$160*$FF80+$IP80*$EO80</f>
        <v>#N/A</v>
      </c>
      <c r="HX80" s="218" t="e">
        <f t="shared" ca="1" si="447"/>
        <v>#N/A</v>
      </c>
      <c r="HY80" s="219" t="e">
        <f ca="1">IF(Control!$C$114=1, $EB80*$FS80, 0)</f>
        <v>#N/A</v>
      </c>
      <c r="HZ80" s="91" t="e">
        <f t="shared" ca="1" si="292"/>
        <v>#N/A</v>
      </c>
      <c r="IA80" s="220" t="e">
        <f ca="1">Control!$C$153*$HO80</f>
        <v>#N/A</v>
      </c>
      <c r="IB80" s="218" t="e">
        <f t="shared" ca="1" si="293"/>
        <v>#N/A</v>
      </c>
      <c r="IC80" s="220" t="e">
        <f ca="1">Control!$C$153*$HT80</f>
        <v>#N/A</v>
      </c>
      <c r="ID80" s="218" t="e">
        <f t="shared" ca="1" si="294"/>
        <v>#N/A</v>
      </c>
      <c r="IE80" s="221" t="e">
        <f ca="1">($EB80*Control!$C$159+$EF80*Control!$C$160)/(IF($GZ80&lt;&gt;0,$GZ80,1))</f>
        <v>#N/A</v>
      </c>
      <c r="IF80" s="216" t="e">
        <f t="shared" ca="1" si="295"/>
        <v>#N/A</v>
      </c>
      <c r="IG80" s="91">
        <f ca="1">IF(OR(Control!$B$198=$AH80,Control!$B$199=$AH80, Control!$B$200=$AH80, Control!$B$201=$AH80, Control!$B$202=$AH80, Control!$B$203=$AH80, Control!$B$204=$AH80, Control!$B$205=$AH80, Control!$B$206=$AH80, Control!$B$207=$AH80), 1, 0)</f>
        <v>0</v>
      </c>
      <c r="IH80" s="91">
        <f ca="1">IF($IG80=0,0, VLOOKUP($AH80,Control!$B$198:$C$207,2))</f>
        <v>0</v>
      </c>
      <c r="II80" s="222">
        <f t="shared" ca="1" si="411"/>
        <v>0</v>
      </c>
      <c r="IJ80" s="91">
        <f>Control!$C$121</f>
        <v>0.7</v>
      </c>
      <c r="IK80" s="218">
        <f t="shared" ca="1" si="296"/>
        <v>0</v>
      </c>
      <c r="IL80" s="217" t="e">
        <f t="shared" ca="1" si="448"/>
        <v>#N/A</v>
      </c>
      <c r="IM80" s="223" t="e">
        <f ca="1">IF(AND(Control!$C$114=1,$KH80&lt;1),$EB80*Control!$C$148*(1-$KH80), 0)</f>
        <v>#N/A</v>
      </c>
      <c r="IN80" s="217" t="e">
        <f t="shared" ca="1" si="297"/>
        <v>#DIV/0!</v>
      </c>
      <c r="IO80" s="91" t="e">
        <f ca="1">MAX(0,$IL80-$EF80*Control!$C$160)</f>
        <v>#N/A</v>
      </c>
      <c r="IP80" s="220" t="e">
        <f t="shared" ca="1" si="298"/>
        <v>#N/A</v>
      </c>
      <c r="IQ80" s="217" t="e">
        <f t="shared" ca="1" si="412"/>
        <v>#N/A</v>
      </c>
      <c r="IR80" s="218" t="e">
        <f t="shared" ca="1" si="299"/>
        <v>#N/A</v>
      </c>
      <c r="IS80" s="217" t="e">
        <f ca="1">Control!$C$159*MAX(0,$FD80-$EN80)</f>
        <v>#N/A</v>
      </c>
      <c r="IT80" s="217" t="e">
        <f t="shared" ca="1" si="449"/>
        <v>#N/A</v>
      </c>
      <c r="IU80" s="217" t="e">
        <f t="shared" ca="1" si="413"/>
        <v>#N/A</v>
      </c>
      <c r="IV80" s="217" t="e">
        <f t="shared" ca="1" si="450"/>
        <v>#N/A</v>
      </c>
      <c r="IW80" s="217" t="e">
        <f ca="1">IF(OR($AW80=1,AND($AW80=0, Control!$B$18=1,$EN80&lt;&gt;0)), $IQ80-$IU80, $IQ80)</f>
        <v>#N/A</v>
      </c>
      <c r="IX80" s="218" t="e">
        <f t="shared" ca="1" si="300"/>
        <v>#N/A</v>
      </c>
      <c r="IY80" s="218" t="e">
        <f ca="1">MAX(0,$IQ80-$EB80*Control!$C$159)</f>
        <v>#N/A</v>
      </c>
      <c r="IZ80" s="218" t="e">
        <f t="shared" ca="1" si="301"/>
        <v>#N/A</v>
      </c>
      <c r="JA80" s="216" t="e">
        <f t="shared" ca="1" si="302"/>
        <v>#N/A</v>
      </c>
      <c r="JB80" s="217" t="e">
        <f t="shared" ca="1" si="303"/>
        <v>#N/A</v>
      </c>
      <c r="JC80" s="222" t="e">
        <f ca="1">MAX(Control!$C$157*$EK80-$JT80, 0)/Control!$C$162</f>
        <v>#N/A</v>
      </c>
      <c r="JD80" s="218" t="e">
        <f t="shared" ca="1" si="304"/>
        <v>#N/A</v>
      </c>
      <c r="JE80" s="218" t="e">
        <f t="shared" ca="1" si="305"/>
        <v>#N/A</v>
      </c>
      <c r="JF80" s="218" t="e">
        <f t="shared" ca="1" si="414"/>
        <v>#N/A</v>
      </c>
      <c r="JG80" s="218" t="e">
        <f t="shared" ca="1" si="306"/>
        <v>#N/A</v>
      </c>
      <c r="JH80" s="217" t="e">
        <f t="shared" ca="1" si="415"/>
        <v>#N/A</v>
      </c>
      <c r="JI80" s="217" t="e">
        <f t="shared" ca="1" si="416"/>
        <v>#N/A</v>
      </c>
      <c r="JJ80" s="217" t="e">
        <f t="shared" ca="1" si="451"/>
        <v>#N/A</v>
      </c>
      <c r="JK80" s="217" t="e">
        <f ca="1">IF(Control!$C$114=1,IF(Control!$B$24=0,MAX(0,$JI80)*$GN80/Control!$C$64,(MAX(0,MIN($JI80,$JJ80*$GN80/Control!$C$64),0))))</f>
        <v>#N/A</v>
      </c>
      <c r="JL80" s="217" t="e">
        <f ca="1">$IK80/Control!$C$64-$JK80+$HQ80</f>
        <v>#N/A</v>
      </c>
      <c r="JM80" s="217" t="e">
        <f ca="1">IF(Control!$C$114=1,($JB80/(IF($JI80&lt;&gt;0,$JI80,1)))*$JK80,0)</f>
        <v>#N/A</v>
      </c>
      <c r="JN80" s="217" t="e">
        <f ca="1">IF(Control!$C$114=1,($JG80/(IF($JI80&lt;&gt;0,$JI80,1)))*$JK80, 0)</f>
        <v>#N/A</v>
      </c>
      <c r="JO80" s="218" t="e">
        <f t="shared" ca="1" si="307"/>
        <v>#N/A</v>
      </c>
      <c r="JP80" s="218" t="e">
        <f ca="1">MIN(($IY80+$IO80)*Control!$C$151, $JF80-$EH80*Control!$C$161)</f>
        <v>#N/A</v>
      </c>
      <c r="JQ80" s="218" t="e">
        <f t="shared" ca="1" si="308"/>
        <v>#N/A</v>
      </c>
      <c r="JR80" s="217" t="e">
        <f ca="1">IF($CP80-Control!$C$150&lt;0, 0, $JQ80/Control!$C$162)</f>
        <v>#N/A</v>
      </c>
      <c r="JS80" s="218" t="e">
        <f t="shared" ca="1" si="309"/>
        <v>#N/A</v>
      </c>
      <c r="JT80" s="218" t="e">
        <f t="shared" ca="1" si="417"/>
        <v>#N/A</v>
      </c>
      <c r="JU80" s="218" t="e">
        <f t="shared" ca="1" si="310"/>
        <v>#N/A</v>
      </c>
      <c r="JV80" s="218" t="e">
        <f t="shared" ca="1" si="311"/>
        <v>#N/A</v>
      </c>
      <c r="JW80" s="216" t="e">
        <f t="shared" ca="1" si="312"/>
        <v>#N/A</v>
      </c>
      <c r="JX80" s="91" t="e">
        <f t="shared" ca="1" si="313"/>
        <v>#N/A</v>
      </c>
      <c r="JY80" s="218" t="e">
        <f t="shared" ca="1" si="314"/>
        <v>#N/A</v>
      </c>
      <c r="JZ80" s="217" t="e">
        <f ca="1">IF(Control!$C$114=1,($IZ80/(IF($JI80&lt;&gt;0,$JI80,1)))*$JK80, 0)</f>
        <v>#N/A</v>
      </c>
      <c r="KA80" s="218" t="e">
        <f t="shared" ca="1" si="452"/>
        <v>#N/A</v>
      </c>
      <c r="KB80" s="218" t="e">
        <f t="shared" ca="1" si="418"/>
        <v>#N/A</v>
      </c>
      <c r="KC80" s="218" t="e">
        <f t="shared" ca="1" si="315"/>
        <v>#N/A</v>
      </c>
      <c r="KD80" s="218" t="e">
        <f t="shared" ca="1" si="316"/>
        <v>#N/A</v>
      </c>
      <c r="KE80" s="218" t="e">
        <f t="shared" ca="1" si="317"/>
        <v>#N/A</v>
      </c>
      <c r="KF80" s="218" t="e">
        <f t="shared" ca="1" si="318"/>
        <v>#N/A</v>
      </c>
      <c r="KG80" s="216" t="e">
        <f t="shared" ca="1" si="319"/>
        <v>#N/A</v>
      </c>
      <c r="KH80" s="221" t="e">
        <f ca="1">IF(Control!$B$24=0,1,MAX(0.001,MIN(1,IF(($IF80-$IE80)&lt;&gt;0,($KG80-$IE80)/($IF80-$IE80),1))))</f>
        <v>#N/A</v>
      </c>
      <c r="KI80" s="222" t="e">
        <f ca="1">IF(Control!$C$114=1, $KI79+ $KH79, 0)</f>
        <v>#N/A</v>
      </c>
      <c r="KJ80" s="217" t="e">
        <f t="shared" ca="1" si="320"/>
        <v>#N/A</v>
      </c>
      <c r="KK80" s="218" t="e">
        <f t="shared" ca="1" si="321"/>
        <v>#N/A</v>
      </c>
      <c r="KL80" s="274" t="e">
        <f ca="1">IF(Control!$B$26=3,4000000000*EXP(-8400/($G80+273)),IF(Control!$B$26=4,4000000000*EXP(-8400/($G80+273))*($KT80),0))</f>
        <v>#DIV/0!</v>
      </c>
      <c r="KM80" s="274" t="e">
        <f ca="1">IF(Control!$B$26=3,5600000000000*EXP(-9800/($G80+273)),IF(Control!$B$26=4,5600000000000*EXP(-9800/($G80+273))*$KT80,0))</f>
        <v>#DIV/0!</v>
      </c>
      <c r="KN80" s="454" t="e">
        <f t="shared" ca="1" si="419"/>
        <v>#DIV/0!</v>
      </c>
      <c r="KO80" s="274" t="e">
        <f t="shared" ca="1" si="420"/>
        <v>#DIV/0!</v>
      </c>
      <c r="KP80" s="454" t="e">
        <f t="shared" ca="1" si="322"/>
        <v>#DIV/0!</v>
      </c>
      <c r="KQ80" s="454" t="e">
        <f t="shared" ca="1" si="323"/>
        <v>#DIV/0!</v>
      </c>
      <c r="KR80" s="454" t="e">
        <f t="shared" ca="1" si="324"/>
        <v>#DIV/0!</v>
      </c>
      <c r="KS80" s="454" t="e">
        <f t="shared" ca="1" si="325"/>
        <v>#DIV/0!</v>
      </c>
      <c r="KT80" s="455" t="e">
        <f t="shared" ca="1" si="326"/>
        <v>#DIV/0!</v>
      </c>
      <c r="KU80" s="456" t="e">
        <f ca="1">IF($CP80-Control!$C$149&lt;0, IF($NT80-0.01&lt;0,0,1),0)</f>
        <v>#N/A</v>
      </c>
      <c r="KV80" s="456" t="e">
        <f ca="1">IF(Control!$C$114=1,MAX(0,MIN(Control!$C$125*$KW80*$GN80,$KW80)))</f>
        <v>#DIV/0!</v>
      </c>
      <c r="KW80" s="456" t="e">
        <f t="shared" ca="1" si="453"/>
        <v>#DIV/0!</v>
      </c>
      <c r="KX80" s="457" t="e">
        <f ca="1">IF($CP80-Control!$C$149&lt;0, IF($MR80-$OM80&lt;0,0,1),0)</f>
        <v>#N/A</v>
      </c>
      <c r="KY80" s="167">
        <f t="shared" ca="1" si="421"/>
        <v>76</v>
      </c>
      <c r="KZ80" s="168">
        <f ca="1">1370*(1+0.033*COS(2*Control!$C$138*$AH80/365))</f>
        <v>1381.7323947718812</v>
      </c>
      <c r="LA80" s="169">
        <f t="shared" ca="1" si="422"/>
        <v>1.0085638893033033</v>
      </c>
      <c r="LB80" s="169">
        <f t="shared" ca="1" si="423"/>
        <v>-3.3386421484746936E-2</v>
      </c>
      <c r="LC80" s="169">
        <f ca="1">ACOS(-TAN((2*Control!$B$8/360))*TAN(Calculations!$LB80))</f>
        <v>1.5608699263928814</v>
      </c>
      <c r="LD80" s="169">
        <f ca="1">((24*60)/PI())*0.082*$LA80*(($LC80*SIN(Control!$B$8*2*PI()/360))*SIN($LB80)+COS(Control!$B$8*2*PI()/360)*COS($LB80)*SIN($LC80))</f>
        <v>21.76789895311191</v>
      </c>
      <c r="LE80" s="170">
        <f t="shared" ca="1" si="327"/>
        <v>21.715574194049278</v>
      </c>
      <c r="LF80" s="170">
        <f ca="1">SIN(Control!$C$139*Control!$B$8)*SIN($HD80)</f>
        <v>-2.8300832111323514E-2</v>
      </c>
      <c r="LG80" s="170">
        <f ca="1">COS(Control!$C$139*Control!$B$8)*COS($HD80)</f>
        <v>0.61526262638646156</v>
      </c>
      <c r="LH80" s="170">
        <f ca="1">12*(1+2*ASIN(MAX(-1,MIN(1,$LF80/$LG80))/Control!$C$138))</f>
        <v>11.648589655543883</v>
      </c>
      <c r="LI80" s="170">
        <f ca="1">12*(1+2*ASIN(MAX(-1,MIN(1,(-SIN(-4*Control!$C$139)+$LF80)/$LG80))/Control!$C$138))</f>
        <v>12.514776208259068</v>
      </c>
      <c r="LJ80" s="168">
        <f ca="1">3600*($LH80*$LF80+24*$LG80*SQRT(1-$LK80*$LK80)/Control!$C$138)</f>
        <v>15716.193870980665</v>
      </c>
      <c r="LK80" s="170">
        <f t="shared" ca="1" si="328"/>
        <v>-4.5997970456191931E-2</v>
      </c>
      <c r="LL80" s="170">
        <f t="shared" ca="1" si="329"/>
        <v>0</v>
      </c>
      <c r="LM80" s="171">
        <f ca="1">Control!$C$145*$AB80</f>
        <v>6.6660906138995932E-2</v>
      </c>
      <c r="LN80" s="170">
        <f t="shared" ca="1" si="424"/>
        <v>0.54</v>
      </c>
      <c r="LO80" s="170">
        <f t="shared" ca="1" si="330"/>
        <v>0</v>
      </c>
      <c r="LP80" s="170">
        <f ca="1">Control!$C$140*((($D80+273.16)^4+($E80+273.16)^4)/2)*(0.34-0.14*SQRT($Y80))*(1.35*$AQ80/(0.75*$LD80)-0.35)</f>
        <v>-3.2464704755046001</v>
      </c>
      <c r="LQ80" s="170">
        <f ca="1">Control!$C$140*($G80+273)^4*(0.56-0.079*SQRT($Y80*10))*(0.1+0.9*$LO80)</f>
        <v>1.5241745131704001</v>
      </c>
      <c r="LR80" s="170">
        <f ca="1">$AQ80*(1-Control!$C$142)-$LQ80</f>
        <v>-1.5241745131704001</v>
      </c>
      <c r="LS80" s="170">
        <f ca="1">$AQ80*(1-Control!$C$143)-$LQ80</f>
        <v>-1.5241745131704001</v>
      </c>
      <c r="LT80" s="170">
        <f ca="1">$AQ80*(1-Control!$C$144)-$LQ80</f>
        <v>-1.5241745131704001</v>
      </c>
      <c r="LU80" s="169">
        <f ca="1">(1-Control!$C$144)*AQ80-LP80</f>
        <v>3.2464704755046001</v>
      </c>
      <c r="LV80" s="172">
        <f t="shared" ca="1" si="331"/>
        <v>0.79430000000000012</v>
      </c>
      <c r="LW80" s="170">
        <f t="shared" ca="1" si="332"/>
        <v>1.5886000000000002</v>
      </c>
      <c r="LX80" s="170">
        <f ca="1">($AC80*($LR80/Control!$C$141)+$LM80*$LV80)/($AC80+$LM80)</f>
        <v>0.23530094218323697</v>
      </c>
      <c r="LY80" s="170">
        <f ca="1">($AC80*($LS80/Control!$C$141)+$LM80*$LV80)/($AC80+$LM80)</f>
        <v>0.23530094218323697</v>
      </c>
      <c r="LZ80" s="170">
        <f t="shared" ca="1" si="333"/>
        <v>0.23530094218323697</v>
      </c>
      <c r="MA80" s="170">
        <f t="shared" ca="1" si="334"/>
        <v>0.23530094218323697</v>
      </c>
      <c r="MB80" s="170" t="e">
        <f t="shared" ca="1" si="335"/>
        <v>#N/A</v>
      </c>
      <c r="MC80" s="170">
        <f t="shared" ca="1" si="425"/>
        <v>0.6018</v>
      </c>
      <c r="MD80" s="170">
        <f t="shared" ca="1" si="336"/>
        <v>0.52989392535414004</v>
      </c>
      <c r="ME80" s="170">
        <f ca="1">($AC80*($LT80/Control!$C$141)+$LM80*$LW80)/($AC80+$LM80)</f>
        <v>0.71612369323045078</v>
      </c>
      <c r="MF80" s="170" t="e">
        <f ca="1">IF(Control!$B$16&gt;=1000,0.92,IF(AND(720&lt;=Control!$B$16,1000&gt;Control!$B$16),(0.95+(Control!$B$16-720)*((0.92-0.95)/(1000-720))),IF(AND(360&lt;=Control!$B$16,720&gt;Control!$B$16),(1+(Control!$B$16-360)*((0.95-1)/(720-360))),IF(AND(40&lt;=Control!$B$16,360&gt;Control!$B$16),(1.05+(Control!$B$16-40)*((1.05-1)/(360-40)))))))</f>
        <v>#N/A</v>
      </c>
      <c r="MG80" s="170">
        <f t="shared" ca="1" si="337"/>
        <v>0.71612369323045078</v>
      </c>
      <c r="MH80" s="170" t="e">
        <f t="shared" ca="1" si="233"/>
        <v>#N/A</v>
      </c>
      <c r="MI80" s="170" t="e">
        <f t="shared" ca="1" si="233"/>
        <v>#N/A</v>
      </c>
      <c r="MJ80" s="170" t="e">
        <f ca="1">MAX(0.0001, Control!$C$132*$MI80*$DL80)</f>
        <v>#N/A</v>
      </c>
      <c r="MK80" s="170">
        <f ca="1">1/(0.76+1.5*($MG80/10))-(5-Control!$C$110)*0.1</f>
        <v>1.002845988140797</v>
      </c>
      <c r="ML80" s="173">
        <f ca="1">IF(Control!$C$110&lt;3,$MK80+($MG80-0.6)/(Control!$C$110*(Control!$C$110+3)), MAX(0.1, MIN(0.95,$MK80)))</f>
        <v>0.95</v>
      </c>
      <c r="MM80" s="173">
        <f ca="1">IF(Control!$C$110&lt;3,$MK80+(($MI80/10)-0.6)/(Control!$C$110*(Control!$C$110+3)), MAX(0.1, MIN(0.95,$MK80)))</f>
        <v>0.95</v>
      </c>
      <c r="MN80" s="173">
        <f ca="1">(1-$MM80)*(Control!$C$128-Control!$C$127)+Control!$C$127</f>
        <v>0.16</v>
      </c>
      <c r="MO80" s="170" t="e">
        <f ca="1">MAX(0,MIN(1,($MS80-Control!$C$127)/($MN80-Control!$C$127)))</f>
        <v>#DIV/0!</v>
      </c>
      <c r="MP80" s="173" t="e">
        <f ca="1">1/(0.76+1.5*$MI80)-(5-Control!$C$110)*0.1</f>
        <v>#N/A</v>
      </c>
      <c r="MQ80" s="172" t="e">
        <f t="shared" ca="1" si="454"/>
        <v>#DIV/0!</v>
      </c>
      <c r="MR80" s="168" t="e">
        <f t="shared" ca="1" si="426"/>
        <v>#DIV/0!</v>
      </c>
      <c r="MS80" s="173" t="e">
        <f ca="1">MAX(Control!$C$127, MIN(Control!$C$135, $MR80/MAX(0.0001,$CY80)))</f>
        <v>#DIV/0!</v>
      </c>
      <c r="MT80" s="168" t="e">
        <f ca="1">(Control!$C$128-$MS80)*Control!$C$74</f>
        <v>#DIV/0!</v>
      </c>
      <c r="MU80" s="168" t="e">
        <f ca="1">(Control!$C$135-$MS80)*Control!$C$74</f>
        <v>#DIV/0!</v>
      </c>
      <c r="MV80" s="168" t="e">
        <f t="shared" ca="1" si="427"/>
        <v>#DIV/0!</v>
      </c>
      <c r="MW80" s="168" t="e">
        <f t="shared" ca="1" si="428"/>
        <v>#DIV/0!</v>
      </c>
      <c r="MX80" s="171" t="e">
        <f ca="1">MAX(Control!$C$127, MIN(Control!$C$135, $MW80/MAX(0.0001,Control!$C$119-$CY80)))</f>
        <v>#DIV/0!</v>
      </c>
      <c r="MY80" s="54" t="e">
        <f ca="1">IF(Control!$C$114=1, $CX80*$MX80, 0)</f>
        <v>#DIV/0!</v>
      </c>
      <c r="MZ80" s="54" t="e">
        <f t="shared" ca="1" si="429"/>
        <v>#N/A</v>
      </c>
      <c r="NA80" s="168" t="e">
        <f ca="1">(Control!$C$128-$MX80)*(Control!$C$119-Control!$C$74)</f>
        <v>#DIV/0!</v>
      </c>
      <c r="NB80" s="168" t="e">
        <f ca="1">(Control!$C$135-$MX80)*(Control!$C$119-Control!$C$74)</f>
        <v>#DIV/0!</v>
      </c>
      <c r="NC80" s="174" t="e">
        <f t="shared" ca="1" si="430"/>
        <v>#DIV/0!</v>
      </c>
      <c r="ND80" s="54">
        <f ca="1">IF(Control!$C$58=2, IF(OR(Control!$B$218=$AH80,Control!$B$219=$AH80, Control!$B$220=$AH80, Control!$B$221=$AH80, Control!$B$222=$AH80, Control!$B$223=$AH80, Control!$B$224=$AH80, Control!$B$225=$AH80, Control!$B$226=$AH80, Control!$B$227=$AH80, Control!$B$228=$AH80), 1, 0), 0)</f>
        <v>0</v>
      </c>
      <c r="NE80" s="54">
        <f ca="1">IF($ND80=0,0, VLOOKUP($AH80,Control!$B$218:$C$228,2))</f>
        <v>0</v>
      </c>
      <c r="NF80" s="168" t="e">
        <f ca="1">$CY80*(Control!$C$128-Control!$C$127)</f>
        <v>#N/A</v>
      </c>
      <c r="NG80" s="54" t="e">
        <f ca="1">IF(Control!$C$58=2, $NI79-$NJ79, 0)</f>
        <v>#DIV/0!</v>
      </c>
      <c r="NH80" s="54" t="e">
        <f ca="1">IF(AND(Control!$C$58=1, $MS79&lt;= ($MN79+0.02), $I79&lt;10), 0, IF(Control!$C$58=2, $NG79, 0))</f>
        <v>#DIV/0!</v>
      </c>
      <c r="NI80" s="54" t="e">
        <f ca="1">IF(Control!$C$58=2, $NE80+$NH80,0)</f>
        <v>#DIV/0!</v>
      </c>
      <c r="NJ80" s="54" t="e">
        <f ca="1">IF(AND(Control!$C$58=1, $MS80&lt;= ($MN80+0.02), $I80&lt;10), MAX(0, MIN(10, 0.7*($NF80-$MV80))), IF(Control!$C$58=2, MIN(10,$NI80),0))</f>
        <v>#DIV/0!</v>
      </c>
      <c r="NK80" s="54" t="e">
        <f t="shared" ca="1" si="338"/>
        <v>#DIV/0!</v>
      </c>
      <c r="NL80" s="173" t="e">
        <f ca="1">(1-Control!$C$73)*$I80+$NJ80</f>
        <v>#DIV/0!</v>
      </c>
      <c r="NM80" s="172" t="e">
        <f ca="1">IF($NL80&lt;0.5, $MB80* MAX(0, MIN(1, (SQRT($NC80)-SQRT($NC80-1))*Control!$C$71)),0)</f>
        <v>#DIV/0!</v>
      </c>
      <c r="NN80" s="170" t="e">
        <f ca="1">IF($NL80&gt;=5, $MB80, MAX(0,MIN($MB80, $NM80+$NL80,($MS80-Control!$C$129))))</f>
        <v>#DIV/0!</v>
      </c>
      <c r="NO80" s="54">
        <f>IF(Control!$C$133&lt;&gt;1, Control!$C$135-Control!$C$131, 0)</f>
        <v>0.38</v>
      </c>
      <c r="NP80" s="54" t="e">
        <f t="shared" ca="1" si="339"/>
        <v>#DIV/0!</v>
      </c>
      <c r="NQ80" s="173" t="e">
        <f ca="1">MAX(0,MIN(1,(Control!$C$135-$MS80)/(Control!$C$135-$NO80)))</f>
        <v>#DIV/0!</v>
      </c>
      <c r="NR80" s="170" t="e">
        <f ca="1">IF(Control!$C$133&lt;&gt;1, $NQ80+((1-$NP80/4)*(1-$NQ80)),1)</f>
        <v>#DIV/0!</v>
      </c>
      <c r="NS80" s="170" t="e">
        <f ca="1">IF(Control!$B$31=0,$MJ80,MAX(0,MIN($MV80,$MO80*$NR80*$MJ80)))</f>
        <v>#DIV/0!</v>
      </c>
      <c r="NT80" s="170" t="e">
        <f t="shared" ca="1" si="455"/>
        <v>#DIV/0!</v>
      </c>
      <c r="NU80" s="170" t="e">
        <f t="shared" ca="1" si="431"/>
        <v>#N/A</v>
      </c>
      <c r="NV80" s="170" t="e">
        <f t="shared" ca="1" si="340"/>
        <v>#N/A</v>
      </c>
      <c r="NW80" s="175" t="e">
        <f t="shared" ca="1" si="341"/>
        <v>#DIV/0!</v>
      </c>
      <c r="NX80" s="170" t="e">
        <f ca="1">MIN(Control!$C$72+$MU80, $NW80)</f>
        <v>#DIV/0!</v>
      </c>
      <c r="NY80" s="170" t="e">
        <f ca="1">IF($MT80&lt;=$NX80,MIN(Control!$C$72+$NB80,$NX80-$MT80),0)</f>
        <v>#DIV/0!</v>
      </c>
      <c r="NZ80" s="54" t="e">
        <f ca="1">IF(Control!$C$114=1,  $CX80*($MX80-Control!$C$127), 0)</f>
        <v>#DIV/0!</v>
      </c>
      <c r="OA80" s="170" t="e">
        <f t="shared" ca="1" si="342"/>
        <v>#DIV/0!</v>
      </c>
      <c r="OB80" s="170" t="e">
        <f ca="1">IF($NA80 &lt;=$NY80, MIN(Control!$C$72, $NY80-$NA80), 0)</f>
        <v>#DIV/0!</v>
      </c>
      <c r="OC80" s="168" t="e">
        <f t="shared" ca="1" si="343"/>
        <v>#DIV/0!</v>
      </c>
      <c r="OD80" s="168" t="e">
        <f t="shared" ca="1" si="432"/>
        <v>#DIV/0!</v>
      </c>
      <c r="OE80" s="170">
        <f ca="1">Control!$C$73*$I80</f>
        <v>0</v>
      </c>
      <c r="OF80" s="176" t="e">
        <f t="shared" ca="1" si="344"/>
        <v>#DIV/0!</v>
      </c>
      <c r="OG80" s="168" t="e">
        <f t="shared" ca="1" si="345"/>
        <v>#DIV/0!</v>
      </c>
      <c r="OH80" s="168" t="e">
        <f t="shared" ca="1" si="346"/>
        <v>#DIV/0!</v>
      </c>
      <c r="OI80" s="168" t="e">
        <f t="shared" ca="1" si="347"/>
        <v>#DIV/0!</v>
      </c>
      <c r="OJ80" s="168" t="e">
        <f t="shared" ca="1" si="348"/>
        <v>#DIV/0!</v>
      </c>
      <c r="OK80" s="204" t="e">
        <f t="shared" ca="1" si="349"/>
        <v>#DIV/0!</v>
      </c>
      <c r="OL80" s="177">
        <f>Control!$C$127</f>
        <v>0.15</v>
      </c>
      <c r="OM80" s="182" t="e">
        <f t="shared" ca="1" si="350"/>
        <v>#N/A</v>
      </c>
      <c r="ON80" s="177">
        <f>Control!$C$128</f>
        <v>0.35</v>
      </c>
      <c r="OO80" s="182" t="e">
        <f t="shared" ca="1" si="351"/>
        <v>#N/A</v>
      </c>
      <c r="OP80" s="138">
        <f t="shared" ca="1" si="433"/>
        <v>0</v>
      </c>
      <c r="OQ80" s="138" t="e">
        <f t="shared" ca="1" si="456"/>
        <v>#DIV/0!</v>
      </c>
      <c r="OR80" s="138" t="e">
        <f t="shared" ca="1" si="434"/>
        <v>#DIV/0!</v>
      </c>
      <c r="OS80" s="137" t="e">
        <f t="shared" ca="1" si="457"/>
        <v>#DIV/0!</v>
      </c>
      <c r="OT80" s="139" t="e">
        <f t="shared" ca="1" si="458"/>
        <v>#DIV/0!</v>
      </c>
      <c r="OU80" s="138" t="e">
        <f t="shared" ca="1" si="459"/>
        <v>#N/A</v>
      </c>
      <c r="OV80" s="138" t="e">
        <f t="shared" ca="1" si="460"/>
        <v>#DIV/0!</v>
      </c>
      <c r="OW80" s="138" t="e">
        <f t="shared" ca="1" si="435"/>
        <v>#DIV/0!</v>
      </c>
      <c r="OX80" s="138" t="e">
        <f t="shared" ca="1" si="436"/>
        <v>#DIV/0!</v>
      </c>
      <c r="OY80" s="138" t="e">
        <f t="shared" ca="1" si="437"/>
        <v>#DIV/0!</v>
      </c>
      <c r="OZ80" s="138" t="e">
        <f t="shared" ca="1" si="352"/>
        <v>#DIV/0!</v>
      </c>
      <c r="PA80" s="138" t="e">
        <f t="shared" ca="1" si="353"/>
        <v>#DIV/0!</v>
      </c>
      <c r="PB80" s="55">
        <f>IF(Control!$C$61="T", IF(Control!$C$65="F", IF($AH$6-Control!$C$60&lt;0,0,1), IF(365+$AH$6-Control!$C$60&lt;0,0,1)),0)</f>
        <v>0</v>
      </c>
      <c r="PC80" s="55">
        <f ca="1">IF(Control!$C$65="F", IF($AH$6-$HF80&lt;0,0,1), IF(365+$AH$6-$HF80&lt;0,0,1))</f>
        <v>1</v>
      </c>
      <c r="PD80" s="444">
        <f>Control!$C$118</f>
        <v>1500</v>
      </c>
      <c r="PE80" s="180" t="e">
        <f t="shared" ca="1" si="354"/>
        <v>#N/A</v>
      </c>
      <c r="PF80" s="445">
        <f t="shared" ca="1" si="438"/>
        <v>0.71612369323045078</v>
      </c>
      <c r="PT80" s="186"/>
      <c r="PU80" s="186"/>
      <c r="PV80" s="94"/>
      <c r="PW80" s="94"/>
      <c r="PX80" s="94"/>
      <c r="PY80" s="94"/>
      <c r="PZ80" s="94"/>
      <c r="QA80" s="94"/>
      <c r="QB80" s="94"/>
      <c r="QC80" s="94"/>
      <c r="QD80" s="94"/>
      <c r="QE80" s="94"/>
      <c r="QF80" s="94"/>
      <c r="QG80" s="94"/>
      <c r="QH80" s="94"/>
      <c r="QI80" s="94"/>
      <c r="QJ80" s="94"/>
      <c r="QK80" s="94"/>
      <c r="QL80" s="94"/>
      <c r="QM80" s="94"/>
      <c r="QN80" s="94"/>
      <c r="QO80" s="94"/>
      <c r="QP80" s="94"/>
    </row>
    <row r="81" spans="1:458" s="2" customFormat="1" x14ac:dyDescent="0.2">
      <c r="A81" s="395">
        <v>17</v>
      </c>
      <c r="B81" s="396">
        <v>3</v>
      </c>
      <c r="C81" s="387">
        <f ca="1">Weather_data!$B80</f>
        <v>0</v>
      </c>
      <c r="D81" s="388">
        <f ca="1">Weather_data!$F80</f>
        <v>0</v>
      </c>
      <c r="E81" s="388">
        <f ca="1">Weather_data!$E80</f>
        <v>0</v>
      </c>
      <c r="F81" s="388">
        <f t="shared" ca="1" si="355"/>
        <v>0</v>
      </c>
      <c r="G81" s="388">
        <f ca="1">AVERAGE($D81:$E81)+Control!$B$9</f>
        <v>0</v>
      </c>
      <c r="H81" s="388">
        <f ca="1">Weather_data!$G80</f>
        <v>0</v>
      </c>
      <c r="I81" s="388">
        <f ca="1">Weather_data!$I80</f>
        <v>0</v>
      </c>
      <c r="J81" s="388">
        <f ca="1">Weather_data!$H80</f>
        <v>0</v>
      </c>
      <c r="K81" s="389">
        <f ca="1">Weather_data!$D80</f>
        <v>0</v>
      </c>
      <c r="L81" s="388" t="e">
        <f t="shared" ca="1" si="356"/>
        <v>#N/A</v>
      </c>
      <c r="M81" s="388" t="e">
        <f t="shared" ca="1" si="234"/>
        <v>#N/A</v>
      </c>
      <c r="N81" s="388">
        <f t="shared" ca="1" si="235"/>
        <v>-1.849942425175635E-4</v>
      </c>
      <c r="O81" s="388">
        <f t="shared" ca="1" si="357"/>
        <v>1.849942425175635E-3</v>
      </c>
      <c r="P81" s="390">
        <v>3</v>
      </c>
      <c r="Q81" s="388">
        <f ca="1">MAX($G81-Control!$C$107,0)</f>
        <v>0</v>
      </c>
      <c r="R81" s="388">
        <f t="shared" ca="1" si="358"/>
        <v>0</v>
      </c>
      <c r="S81" s="388">
        <f t="shared" ca="1" si="236"/>
        <v>0</v>
      </c>
      <c r="T81" s="388">
        <f t="shared" ca="1" si="237"/>
        <v>0</v>
      </c>
      <c r="U81" s="59">
        <f t="shared" ca="1" si="238"/>
        <v>0</v>
      </c>
      <c r="V81" s="391">
        <f ca="1">MAX(0,MIN(Control!$C$100-Control!$C$99,$G81-Control!$C$99)*Control!$C$63)</f>
        <v>0</v>
      </c>
      <c r="W81" s="388">
        <f t="shared" ca="1" si="359"/>
        <v>0</v>
      </c>
      <c r="X81" s="388">
        <f t="shared" ca="1" si="360"/>
        <v>0.6110000000000001</v>
      </c>
      <c r="Y81" s="388">
        <f t="shared" ca="1" si="239"/>
        <v>0</v>
      </c>
      <c r="Z81" s="388">
        <f t="shared" ca="1" si="361"/>
        <v>0.61058800000000002</v>
      </c>
      <c r="AA81" s="388">
        <f t="shared" ca="1" si="240"/>
        <v>0.6018</v>
      </c>
      <c r="AB81" s="388">
        <f ca="1">101.3*EXP(-0.034*Control!$C$66/($G81+273))</f>
        <v>100.69623283836242</v>
      </c>
      <c r="AC81" s="392">
        <f t="shared" ca="1" si="241"/>
        <v>4.3460251046025113E-2</v>
      </c>
      <c r="AD81" s="392">
        <f t="shared" ca="1" si="242"/>
        <v>4.4450382862832649E-2</v>
      </c>
      <c r="AE81" s="388">
        <f t="shared" ca="1" si="243"/>
        <v>0</v>
      </c>
      <c r="AF81" s="388">
        <f ca="1">MAX(0,$G81-Control!$C$92)</f>
        <v>0</v>
      </c>
      <c r="AG81" s="393">
        <f t="shared" ca="1" si="244"/>
        <v>77</v>
      </c>
      <c r="AH81" s="389">
        <f t="shared" ca="1" si="245"/>
        <v>77</v>
      </c>
      <c r="AI81" s="388">
        <f t="shared" ca="1" si="362"/>
        <v>-2.9090884133336454E-2</v>
      </c>
      <c r="AJ81" s="388">
        <f ca="1">IF(Control!$C$60&lt;=0,$HH81,$HI81)</f>
        <v>1</v>
      </c>
      <c r="AK81" s="388">
        <f t="shared" ca="1" si="246"/>
        <v>-5.1642618963119884E-2</v>
      </c>
      <c r="AL81" s="388">
        <f t="shared" ca="1" si="247"/>
        <v>7.2132751161024798E-19</v>
      </c>
      <c r="AM81" s="388">
        <f t="shared" ca="1" si="248"/>
        <v>-5.1642618963119884E-2</v>
      </c>
      <c r="AN81" s="388">
        <f t="shared" ca="1" si="249"/>
        <v>-2.0535746969579979E-2</v>
      </c>
      <c r="AO81" s="388">
        <f ca="1">-0.10453/COS(Control!$B$8*PI()/180)*COS(AN81)</f>
        <v>-0.16974906491482522</v>
      </c>
      <c r="AP81" s="388">
        <f ca="1">ACOS(AO81-TAN(Control!$B$8*PI()/180)*TAN(AN81))</f>
        <v>1.7147538474518575</v>
      </c>
      <c r="AQ81" s="388">
        <f t="shared" ca="1" si="363"/>
        <v>0</v>
      </c>
      <c r="AR81" s="394">
        <f t="shared" ca="1" si="250"/>
        <v>0</v>
      </c>
      <c r="AS81" s="436">
        <f ca="1">IF(Control!$B$18=2,(IF(OR($AH81=Control!$B$175,$AH81=Control!$B$176,$AH81=Control!$B$177,$AH81=Control!$B$178,$AH81=Control!$B$179,$AH81=Control!$B$180,$AH81=Control!$B$181,$AH81=Control!$B$182,$AH81=Control!$B$183,$AH81=Control!$B$184,$AH81=Control!$B$185),1,0)),0)</f>
        <v>0</v>
      </c>
      <c r="AT81" s="436">
        <f>IF(Control!$B$20=8,IF(AND($AH81&gt;=Control!$B$172,$AH81&lt;=Control!$B$173),1,0),0)</f>
        <v>0</v>
      </c>
      <c r="AU81" s="436">
        <f>IF(Control!$B$20=8,IF($AV80=1,1*$AT81,IF($AT81=1,$AU80+1,$AU80)),0)</f>
        <v>0</v>
      </c>
      <c r="AV81" s="436">
        <f>IF(Control!$B$20=8,IF($AU81&gt;=Control!$B$174,1,0),0)</f>
        <v>0</v>
      </c>
      <c r="AW81" s="436">
        <f ca="1">IF(AND(Control!$B$18=2,Control!$B$171=1), $AV81, $AS81)</f>
        <v>0</v>
      </c>
      <c r="AX81" s="436" t="e">
        <f ca="1">IF(AND(Control!$B$18=1,$EU81&gt;=Control!$B$19),-$AY81,IF(AND(Control!$B$18=2,$AW81=1,$EU81&gt;$DS81),-$AY81, IF(Control!$C$108=0,0, IF(Control!$C$108&lt;&gt;0,1))))</f>
        <v>#N/A</v>
      </c>
      <c r="AY81" s="436" t="e">
        <f t="shared" ca="1" si="364"/>
        <v>#N/A</v>
      </c>
      <c r="AZ81" s="436" t="e">
        <f ca="1">IF(AND(Control!$B$18=1,$EB81&gt;Control!$B$19),$AZ80+1, IF(AND(Control!$B$18=2, $AW81=1, $EB81&gt;$DS81), $AZ80+1,$AZ80))</f>
        <v>#N/A</v>
      </c>
      <c r="BA81" s="587">
        <f>IF(Control!$C$81=0,1,IF($AH81&gt;=Control!$C$82,1,0))</f>
        <v>1</v>
      </c>
      <c r="BB81" s="140" t="e">
        <f ca="1">IF($BA81&gt;$BA80,Control!$C$83,IF($AW81&gt;0,$AW81*Control!$C$84,IF(AND(Control!$B$18=1,EN80&lt;&gt;0),Control!$C$84,0)))</f>
        <v>#N/A</v>
      </c>
      <c r="BC81" s="140" t="e">
        <f t="shared" ca="1" si="365"/>
        <v>#N/A</v>
      </c>
      <c r="BD81" s="140" t="e">
        <f ca="1">BC81*IF(OR($G81&lt;Control!$C$92,$G81&gt;Control!$C$95),0,IF(AND($G81&gt;=Control!$C$92,$G81&lt;=Control!$C$93),$G81-Control!$C$92,IF(AND($G81&gt;Control!$C$93,$G81&lt;=Control!$C$94),Control!$C$93-Control!$C$92,IF(AND($G81&gt;Control!$C$94,$G81&lt;=Control!$C$95),(Control!$C$93-Control!$C$92)*(Control!$C$94-$G81)/(Control!$C$95-Control!$C$94)))))</f>
        <v>#N/A</v>
      </c>
      <c r="BE81" s="140" t="e">
        <f t="shared" ca="1" si="366"/>
        <v>#N/A</v>
      </c>
      <c r="BF81" s="140" t="e">
        <f ca="1">IF($BE81&lt;=Control!$C$86,$BE81,Control!$C$86-$BE81)</f>
        <v>#N/A</v>
      </c>
      <c r="BG81" s="140" t="e">
        <f ca="1">IF(AND($AW81=1,Control!$C$84&lt;9),1,IF($BE81&gt;=Control!$C$86,0,$BC81))</f>
        <v>#N/A</v>
      </c>
      <c r="BH81" s="404" t="e">
        <f ca="1">IF($BG81=0,0,IF($BE81&lt;=Control!$C$86,$BC81*9*($BF81/Control!$C$86),0))</f>
        <v>#N/A</v>
      </c>
      <c r="BI81" s="140" t="e">
        <f ca="1">IF($BG81=1,0,IF($BE81&gt;=Control!$C$86,1,IF(AND($BB81&lt;21,$BB81&gt;=9),1,$BM80)))</f>
        <v>#N/A</v>
      </c>
      <c r="BJ81" s="140" t="e">
        <f ca="1">IF($BF81&lt;0,-$BF81,$BI81*IF(OR($G81&lt;Control!$C$92,$G81&gt;Control!$C$95),0,IF(AND($G81&gt;=Control!$C$92,$G81&lt;=Control!$C$93),$G81-Control!$C$92,IF(AND($G81&gt;Control!$C$93,$G81&lt;=Control!$C$94),Control!$C$93-Control!$C$92,IF(AND($G81&gt;Control!$C$94,$G81&lt;=Control!$C$95),(Control!$C$93-Control!$C$92)*(Control!$C$94-$G81)/(Control!$C$95-Control!$C$94))))))</f>
        <v>#N/A</v>
      </c>
      <c r="BK81" s="140" t="e">
        <f t="shared" ca="1" si="367"/>
        <v>#N/A</v>
      </c>
      <c r="BL81" s="140" t="e">
        <f ca="1">IF($BK81&lt;=Control!$C$87,$BK81,Control!$C$87-$BK81)</f>
        <v>#N/A</v>
      </c>
      <c r="BM81" s="140" t="e">
        <f ca="1">IF(AND($BB81&gt;=9,$BB81&lt;21),1,IF($BK81&gt;=Control!$C$87,0,$BI81))</f>
        <v>#N/A</v>
      </c>
      <c r="BN81" s="404" t="e">
        <f ca="1">IF($BM81=0,0,IF($BK81&lt;=Control!$C$87,$BI81*(9+(21-9)*($BL81/Control!$C$87)),0))</f>
        <v>#N/A</v>
      </c>
      <c r="BO81" s="140" t="e">
        <f ca="1">IF($BM81=1,0,IF($BK81&gt;=Control!$C$87,1,IF(AND($BB81&lt;30,$BB81&gt;=21),1,$BS80)))</f>
        <v>#N/A</v>
      </c>
      <c r="BP81" s="140" t="e">
        <f ca="1">IF($BL81&lt;0,-$BL81,$BO81*IF(OR($G81&lt;Control!$C$92,$G81&gt;Control!$C$95),0,IF(AND($G81&gt;=Control!$C$92,$G81&lt;=Control!$C$93),$G81-Control!$C$92,IF(AND($G81&gt;Control!$C$93,$G81&lt;=Control!$C$94),Control!$C$93-Control!$C$92,IF(AND($G81&gt;Control!$C$94,$G81&lt;=Control!$C$95),(Control!$C$93-Control!$C$92)*(Control!$C$94-$G81)/(Control!$C$95-Control!$C$94))))))</f>
        <v>#N/A</v>
      </c>
      <c r="BQ81" s="140" t="e">
        <f t="shared" ca="1" si="251"/>
        <v>#N/A</v>
      </c>
      <c r="BR81" s="140" t="e">
        <f ca="1">IF($BQ81&lt;=Control!$C$88,$BQ81,Control!$C$88-$BQ81)</f>
        <v>#N/A</v>
      </c>
      <c r="BS81" s="140" t="e">
        <f ca="1">IF(AND($BB81&gt;=21,$BB81&lt;30),1,IF($BQ81&gt;=Control!$C$88,0,$BO81))</f>
        <v>#N/A</v>
      </c>
      <c r="BT81" s="404" t="e">
        <f ca="1">IF($BS81=0,0,IF($BQ81&lt;=Control!$C$88,$BO81*(21+(30-21)*(BR81/Control!$C$88)),0))</f>
        <v>#N/A</v>
      </c>
      <c r="BU81" s="140" t="e">
        <f ca="1">IF(BG81+BM81+BS81=1,0,IF(OR(AND($BB81&lt;60,$BB81&gt;=30),$BQ81&gt;=Control!$C$88),1*$BA81,$BY80))</f>
        <v>#N/A</v>
      </c>
      <c r="BV81" s="140" t="e">
        <f ca="1">IF($BR81&lt;0,-$BR81,$BU81*IF(OR($G81&lt;Control!$C$92,$G81&gt;Control!$C$95),0,IF(AND($G81&gt;=Control!$C$92,$G81&lt;=Control!$C$93),$G81-Control!$C$92,IF(AND($G81&gt;Control!$C$93,$G81&lt;=Control!$C$94),Control!$C$93-Control!$C$92,IF(AND($G81&gt;Control!$C$94,$G81&lt;=Control!$C$95),(Control!$C$93-Control!$C$92)*(Control!$C$94-$G81)/(Control!$C$95-Control!$C$94))))))</f>
        <v>#N/A</v>
      </c>
      <c r="BW81" s="140" t="e">
        <f t="shared" ca="1" si="252"/>
        <v>#N/A</v>
      </c>
      <c r="BX81" s="140" t="e">
        <f ca="1">IF($BW81&lt;=Control!$C$89,$BW81,Control!$C$89-$BW81)</f>
        <v>#N/A</v>
      </c>
      <c r="BY81" s="140" t="e">
        <f ca="1">IF(AND($AJ81&gt;=30,$AJ81&lt;60),1,IF($BW81&gt;=Control!$C$89,0,$BU81))</f>
        <v>#N/A</v>
      </c>
      <c r="BZ81" s="404" t="e">
        <f ca="1">IF($BY81=0,0,IF($BW81&lt;=Control!$C$89,$BU81*(30+(60-30)*(BX81/Control!$C$89)),0))</f>
        <v>#N/A</v>
      </c>
      <c r="CA81" s="140" t="e">
        <f ca="1">IF($BG81+$BM81+$BS81+$BY81=1,0,IF(OR(AND($BB81&lt;65,$BB81&gt;=60),$BW81&gt;=Control!$C$89),1*$BA81,$CE80))</f>
        <v>#N/A</v>
      </c>
      <c r="CB81" s="140" t="e">
        <f ca="1">IF($BX81&lt;0,-$BX81,$CA81*IF(OR($G81&lt;Control!$C$92,$G81&gt;Control!$C$95),0,IF(AND($G81&gt;=Control!$C$92,$G81&lt;=Control!$C$93),$G81-Control!$C$92,IF(AND($G81&gt;Control!$C$93,$G81&lt;=Control!$C$94),Control!$C$93-Control!$C$92,IF(AND($G81&gt;Control!$C$94,$G81&lt;=Control!$C$95),(Control!$C$93-Control!$C$92)*(Control!$C$94-$G81)/(Control!$C$95-Control!$C$94))))))</f>
        <v>#N/A</v>
      </c>
      <c r="CC81" s="140" t="e">
        <f t="shared" ca="1" si="368"/>
        <v>#N/A</v>
      </c>
      <c r="CD81" s="140" t="e">
        <f ca="1">IF($CC81&lt;=Control!$C$90,$CC81,Control!$C$90-$CC81)</f>
        <v>#N/A</v>
      </c>
      <c r="CE81" s="140" t="e">
        <f ca="1">IF(AND($BB81&gt;=60,$BB81&lt;65),1,IF($CC81&gt;=Control!$C$90,0,$CA81))</f>
        <v>#N/A</v>
      </c>
      <c r="CF81" s="404" t="e">
        <f ca="1">IF($CE81=0,0,IF($CC81&lt;=Control!$C$90,$CA81*(60+(65-60)*(CD81/Control!$C$90)),0))</f>
        <v>#N/A</v>
      </c>
      <c r="CG81" s="140" t="e">
        <f ca="1">IF($BG81+$BM81+$BS81+$BY81+$CE81=1,0,IF(OR(AND($BB81&lt;90,$BB81&gt;=65),$CC81&gt;=Control!$C$90),$BA81,$CK80))</f>
        <v>#N/A</v>
      </c>
      <c r="CH81" s="140" t="e">
        <f ca="1">IF($CD81&lt;0,-$CD81,$CG81*IF(OR($G81&lt;Control!$C$92,$G81&gt;Control!$C$95),0,IF(AND($G81&gt;=Control!$C$92,$G81&lt;=Control!$C$93),$G81-Control!$C$92,IF(AND($G81&gt;Control!$C$93,$G81&lt;=Control!$C$94),Control!$C$93-Control!$C$92,IF(AND($G81&gt;Control!$C$94,$G81&lt;=Control!$C$95),(Control!$C$93-Control!$C$92)*(Control!$C$94-$G81)/(Control!$C$95-Control!$C$94))))))</f>
        <v>#N/A</v>
      </c>
      <c r="CI81" s="140" t="e">
        <f t="shared" ca="1" si="369"/>
        <v>#N/A</v>
      </c>
      <c r="CJ81" s="140" t="e">
        <f ca="1">IF($CI81&lt;=Control!$C$91,$CI81,Control!$C$91-$CI81)</f>
        <v>#N/A</v>
      </c>
      <c r="CK81" s="140" t="e">
        <f ca="1">IF(AND($BB81&gt;=65,$BB81&lt;90),1,IF($CI81&gt;=Control!$C$91,0,$CG81))</f>
        <v>#N/A</v>
      </c>
      <c r="CL81" s="404" t="e">
        <f ca="1">IF($CK81=0,0,IF($CI81&lt;=Control!$C$91,$CG81*(65+(90-65)*($CJ81/Control!$C$91)),0))</f>
        <v>#N/A</v>
      </c>
      <c r="CM81" s="140" t="e">
        <f ca="1">IF($BG81+$BM81+$BS81+$BY81+$CE81+$CK81=1,0,IF(OR($BB81&gt;=90,$CI81&gt;=Control!$C$91),$BA81,$CM80))</f>
        <v>#N/A</v>
      </c>
      <c r="CN81" s="140" t="e">
        <f t="shared" ca="1" si="370"/>
        <v>#N/A</v>
      </c>
      <c r="CO81" s="140" t="e">
        <f t="shared" ca="1" si="371"/>
        <v>#N/A</v>
      </c>
      <c r="CP81" s="140" t="e">
        <f t="shared" ca="1" si="372"/>
        <v>#N/A</v>
      </c>
      <c r="CQ81" s="141" t="e">
        <f ca="1">VLOOKUP($CP81,Control!$B$86:$G$91,6)</f>
        <v>#N/A</v>
      </c>
      <c r="CR81" s="141" t="e">
        <f ca="1">(1-$CQ81)*VLOOKUP($CP81,Control!$B$86:$D$91,3)</f>
        <v>#N/A</v>
      </c>
      <c r="CS81" s="141" t="e">
        <f ca="1">(1-$CQ81)*VLOOKUP($CP81,Control!$B$86:$E$91,4)</f>
        <v>#N/A</v>
      </c>
      <c r="CT81" s="141" t="e">
        <f ca="1">(1-$CQ81)*VLOOKUP($CP81,Control!$B$86:$F$91,5)</f>
        <v>#N/A</v>
      </c>
      <c r="CU81" s="141">
        <f t="shared" ca="1" si="373"/>
        <v>0</v>
      </c>
      <c r="CV81" s="583">
        <f t="shared" ca="1" si="374"/>
        <v>0</v>
      </c>
      <c r="CW81" s="142">
        <f t="shared" ca="1" si="375"/>
        <v>77</v>
      </c>
      <c r="CX81" s="612" t="e">
        <f ca="1">IF(Control!$C$114=1,(MIN(Control!$C$120*(IF($NT81-0.01&lt;0,0,1)),Control!$C$119-$CY81)))</f>
        <v>#DIV/0!</v>
      </c>
      <c r="CY81" s="143" t="e">
        <f t="shared" ca="1" si="376"/>
        <v>#N/A</v>
      </c>
      <c r="CZ81" s="144">
        <f t="shared" ca="1" si="253"/>
        <v>0</v>
      </c>
      <c r="DA81" s="144">
        <f t="shared" ca="1" si="254"/>
        <v>0</v>
      </c>
      <c r="DB81" s="144" t="e">
        <f t="shared" ca="1" si="255"/>
        <v>#N/A</v>
      </c>
      <c r="DC81" s="144" t="e">
        <f t="shared" ca="1" si="256"/>
        <v>#N/A</v>
      </c>
      <c r="DD81" s="144" t="e">
        <f t="shared" ca="1" si="461"/>
        <v>#N/A</v>
      </c>
      <c r="DE81" s="143" t="e">
        <f t="shared" ca="1" si="377"/>
        <v>#N/A</v>
      </c>
      <c r="DF81" s="145" t="e">
        <f ca="1">$DR81*EXP(-Control!$C$158*(1-$KH81))</f>
        <v>#N/A</v>
      </c>
      <c r="DG81" s="146" t="e">
        <f ca="1">IF(Control!$C$114=1, $DF81*$EY81, 0)</f>
        <v>#N/A</v>
      </c>
      <c r="DH81" s="147" t="e">
        <f t="shared" ca="1" si="378"/>
        <v>#N/A</v>
      </c>
      <c r="DI81" s="144" t="e">
        <f t="shared" ca="1" si="439"/>
        <v>#N/A</v>
      </c>
      <c r="DJ81" s="147" t="e">
        <f ca="1">$EF81*Control!$C$109</f>
        <v>#N/A</v>
      </c>
      <c r="DK81" s="144" t="e">
        <f t="shared" ca="1" si="379"/>
        <v>#N/A</v>
      </c>
      <c r="DL81" s="144" t="e">
        <f t="shared" ca="1" si="257"/>
        <v>#N/A</v>
      </c>
      <c r="DM81" s="144" t="e">
        <f ca="1">IF(Control!$C$114=1, (1-EXP(-Control!$C$96*$DK81))*$AR81, 0)</f>
        <v>#N/A</v>
      </c>
      <c r="DN81" s="144">
        <f t="shared" ca="1" si="380"/>
        <v>0</v>
      </c>
      <c r="DO81" s="148">
        <f>Control!$C$97</f>
        <v>4</v>
      </c>
      <c r="DP81" s="145" t="e">
        <f t="shared" ca="1" si="381"/>
        <v>#N/A</v>
      </c>
      <c r="DQ81" s="145" t="e">
        <f ca="1">IF(AND($CP81&gt;=0,$CP81&lt;=90),Control!$C$111,Control!$C$111)</f>
        <v>#N/A</v>
      </c>
      <c r="DR81" s="145" t="e">
        <f t="shared" ca="1" si="258"/>
        <v>#N/A</v>
      </c>
      <c r="DS81" s="143" t="e">
        <f ca="1">Control!$B$22/$DR81</f>
        <v>#N/A</v>
      </c>
      <c r="DT81" s="149" t="e">
        <f ca="1">IF(AND(Control!$C$114=1,$KH81&lt;1),$IM81*$DF81, 0)</f>
        <v>#N/A</v>
      </c>
      <c r="DU81" s="144" t="e">
        <f t="shared" ca="1" si="382"/>
        <v>#N/A</v>
      </c>
      <c r="DV81" s="144">
        <f ca="1">IF($G81-Control!$C$107&lt;=0, 0, 0.83*LN(MAX($G81, 3))-0.8924)</f>
        <v>0</v>
      </c>
      <c r="DW81" s="144" t="e">
        <f t="shared" ca="1" si="259"/>
        <v>#N/A</v>
      </c>
      <c r="DX81" s="150" t="e">
        <f ca="1">MAX(0.01*(1+$CU81/Control!$C$102),0.05*($DK81-Control!$C$97)/Control!$C$97)</f>
        <v>#N/A</v>
      </c>
      <c r="DY81" s="151" t="e">
        <f ca="1">IF(Control!$C$114=1, $DI81*$FS81, 0)</f>
        <v>#N/A</v>
      </c>
      <c r="DZ81" s="196" t="e">
        <f t="shared" ca="1" si="383"/>
        <v>#N/A</v>
      </c>
      <c r="EA81" s="152">
        <v>0</v>
      </c>
      <c r="EB81" s="153" t="e">
        <f t="shared" ca="1" si="385"/>
        <v>#N/A</v>
      </c>
      <c r="EC81" s="153" t="e">
        <f t="shared" ca="1" si="386"/>
        <v>#N/A</v>
      </c>
      <c r="ED81" s="154" t="e">
        <f ca="1">IF(Control!$C$114=1, $HM81*$FY81-$FD81, 0)</f>
        <v>#DIV/0!</v>
      </c>
      <c r="EE81" s="155" t="e">
        <f ca="1">IF(Control!$C$114=1, $HM81*$FZ81-$FF81, 0)</f>
        <v>#DIV/0!</v>
      </c>
      <c r="EF81" s="153" t="e">
        <f t="shared" ca="1" si="440"/>
        <v>#N/A</v>
      </c>
      <c r="EG81" s="155" t="e">
        <f ca="1">IF(Control!$C$114=1, $GX81*$FW81-$FI81, 0)</f>
        <v>#DIV/0!</v>
      </c>
      <c r="EH81" s="153" t="e">
        <f t="shared" ca="1" si="387"/>
        <v>#N/A</v>
      </c>
      <c r="EI81" s="156" t="e">
        <f t="shared" ca="1" si="388"/>
        <v>#N/A</v>
      </c>
      <c r="EJ81" s="155" t="e">
        <f ca="1">IF(Control!$C$114=1, $HM81*$GB81, 0)</f>
        <v>#DIV/0!</v>
      </c>
      <c r="EK81" s="153" t="e">
        <f t="shared" ca="1" si="441"/>
        <v>#N/A</v>
      </c>
      <c r="EL81" s="153" t="e">
        <f t="shared" ca="1" si="260"/>
        <v>#N/A</v>
      </c>
      <c r="EM81" s="153" t="e">
        <f t="shared" ca="1" si="261"/>
        <v>#N/A</v>
      </c>
      <c r="EN81" s="153" t="e">
        <f ca="1">IF(Control!$C$108=1,IF(AND(Control!$B$18=1,$EB81&gt;=Control!$B$19),$EB81-$DS81,IF(AND(Control!$B$18=2,$AW81=1,$EB81&gt;$DS81),$EB81-$DS81,0)))</f>
        <v>#N/A</v>
      </c>
      <c r="EO81" s="153" t="e">
        <f ca="1">IF(Control!$C$108=1,IF(AND(Control!$B$18=1,$EB81&gt;=Control!$B$19),$EF81,IF(AND(Control!$B$18=2,$AW81=1),$EF81,0)))</f>
        <v>#N/A</v>
      </c>
      <c r="EP81" s="153" t="e">
        <f ca="1">IF(Control!$C$108=1,IF(AND(Control!$B$18=1,$EB81&gt;=Control!$B$19),$EK81,IF(AND(Control!$B$18=2,$AW81=1),$EK81,0)))</f>
        <v>#N/A</v>
      </c>
      <c r="EQ81" s="153" t="e">
        <f t="shared" ca="1" si="389"/>
        <v>#N/A</v>
      </c>
      <c r="ER81" s="153" t="e">
        <f t="shared" ca="1" si="390"/>
        <v>#N/A</v>
      </c>
      <c r="ES81" s="153" t="e">
        <f t="shared" ca="1" si="442"/>
        <v>#N/A</v>
      </c>
      <c r="ET81" s="153" t="e">
        <f t="shared" ca="1" si="443"/>
        <v>#N/A</v>
      </c>
      <c r="EU81" s="153" t="e">
        <f t="shared" ca="1" si="391"/>
        <v>#N/A</v>
      </c>
      <c r="EV81" s="153" t="e">
        <f t="shared" ca="1" si="262"/>
        <v>#N/A</v>
      </c>
      <c r="EW81" s="153" t="e">
        <f t="shared" ca="1" si="263"/>
        <v>#N/A</v>
      </c>
      <c r="EX81" s="153" t="e">
        <f t="shared" ca="1" si="264"/>
        <v>#N/A</v>
      </c>
      <c r="EY81" s="157" t="e">
        <f t="shared" ca="1" si="265"/>
        <v>#DIV/0!</v>
      </c>
      <c r="EZ81" s="154" t="e">
        <f t="shared" ca="1" si="266"/>
        <v>#DIV/0!</v>
      </c>
      <c r="FA81" s="153" t="e">
        <f t="shared" ca="1" si="392"/>
        <v>#N/A</v>
      </c>
      <c r="FB81" s="153" t="e">
        <f t="shared" ca="1" si="267"/>
        <v>#N/A</v>
      </c>
      <c r="FC81" s="193" t="e">
        <f t="shared" ca="1" si="268"/>
        <v>#N/A</v>
      </c>
      <c r="FD81" s="158" t="e">
        <f t="shared" ca="1" si="393"/>
        <v>#N/A</v>
      </c>
      <c r="FE81" s="158" t="e">
        <f t="shared" ca="1" si="394"/>
        <v>#N/A</v>
      </c>
      <c r="FF81" s="159" t="e">
        <f t="shared" ca="1" si="269"/>
        <v>#N/A</v>
      </c>
      <c r="FG81" s="160" t="e">
        <f t="shared" ca="1" si="395"/>
        <v>#N/A</v>
      </c>
      <c r="FH81" s="158" t="e">
        <f t="shared" ca="1" si="396"/>
        <v>#N/A</v>
      </c>
      <c r="FI81" s="159" t="e">
        <f t="shared" ca="1" si="270"/>
        <v>#N/A</v>
      </c>
      <c r="FJ81" s="160" t="e">
        <f t="shared" ca="1" si="397"/>
        <v>#N/A</v>
      </c>
      <c r="FK81" s="160" t="e">
        <f t="shared" ca="1" si="271"/>
        <v>#N/A</v>
      </c>
      <c r="FL81" s="160" t="e">
        <f t="shared" ca="1" si="444"/>
        <v>#N/A</v>
      </c>
      <c r="FM81" s="160" t="e">
        <f t="shared" ca="1" si="272"/>
        <v>#N/A</v>
      </c>
      <c r="FN81" s="158">
        <f t="shared" ca="1" si="398"/>
        <v>0.01</v>
      </c>
      <c r="FO81" s="160">
        <f>Control!$C$101</f>
        <v>50</v>
      </c>
      <c r="FP81" s="150" t="e">
        <f t="shared" ca="1" si="273"/>
        <v>#N/A</v>
      </c>
      <c r="FQ81" s="150" t="e">
        <f ca="1">MAX(0,(Control!$C$112*(($DK81-Control!$C$97)/Control!$C$97)))</f>
        <v>#N/A</v>
      </c>
      <c r="FR81" s="150" t="e">
        <f ca="1">(1-$NT81)*Control!$C$113</f>
        <v>#DIV/0!</v>
      </c>
      <c r="FS81" s="198" t="e">
        <f t="shared" ca="1" si="274"/>
        <v>#N/A</v>
      </c>
      <c r="FT81" s="161">
        <f t="shared" ca="1" si="399"/>
        <v>77</v>
      </c>
      <c r="FU81" s="162" t="e">
        <f ca="1">IF(Control!$B$34=1,VLOOKUP($CP81,Control!$B$86:$G$91,6),Control!$B$35)</f>
        <v>#N/A</v>
      </c>
      <c r="FV81" s="162" t="e">
        <f t="shared" ca="1" si="275"/>
        <v>#DIV/0!</v>
      </c>
      <c r="FW81" s="162" t="e">
        <f ca="1">IF(Control!$B$31=1,$FU81*$FV81,  $FU81)</f>
        <v>#N/A</v>
      </c>
      <c r="FX81" s="162" t="e">
        <f ca="1">IF(Control!$B$34=1,VLOOKUP($CP81,Control!$B$86:$G$91,3),Control!$B$36)</f>
        <v>#N/A</v>
      </c>
      <c r="FY81" s="162" t="e">
        <f t="shared" ca="1" si="276"/>
        <v>#N/A</v>
      </c>
      <c r="FZ81" s="162" t="e">
        <f ca="1">IF(Control!$B$34=1,VLOOKUP($CP81,Control!$B$86:$G$91,4),Control!$B$37)</f>
        <v>#N/A</v>
      </c>
      <c r="GA81" s="162" t="e">
        <f t="shared" ca="1" si="277"/>
        <v>#N/A</v>
      </c>
      <c r="GB81" s="162" t="e">
        <f ca="1">IF(Control!$B$34=1,VLOOKUP($CP81,Control!$B$86:$G$91,5),Control!$B$38)</f>
        <v>#N/A</v>
      </c>
      <c r="GC81" s="162" t="e">
        <f t="shared" ca="1" si="400"/>
        <v>#N/A</v>
      </c>
      <c r="GD81" s="162">
        <f t="shared" ca="1" si="278"/>
        <v>1</v>
      </c>
      <c r="GE81" s="162">
        <f t="shared" ca="1" si="279"/>
        <v>1</v>
      </c>
      <c r="GF81" s="162">
        <f ca="1">IF(AND(Control!$C$104=1, Control!$C$62="F"),$GE81,1)</f>
        <v>1</v>
      </c>
      <c r="GG81" s="162" t="e">
        <f ca="1">IF(Control!$B$16=40,0,IF(AND(Control!$B$16&gt;40,Control!$B$16&lt;=360),(Control!$B$16-40)*((1-0)/(360-40)),IF(AND(Control!$B$16&gt;360,Control!$B$16&lt;=720),(1+(Control!$B$16-360)*((1.25-1)/(720-360))),IF(AND(Control!$B$16&gt;720,Control!$B$16&lt;=1000),(1.25+(Control!$B$16-720)*((1.35-1.25)/(1000-720))),IF(AND(Control!$B$16&gt;1000,Control!$B$16&lt;=2000),(1.35+(Control!$B$16-1000)*0))))))</f>
        <v>#N/A</v>
      </c>
      <c r="GH81" s="162" t="e">
        <f t="shared" ca="1" si="280"/>
        <v>#N/A</v>
      </c>
      <c r="GI81" s="162">
        <f t="shared" ca="1" si="401"/>
        <v>0</v>
      </c>
      <c r="GJ81" s="162">
        <f t="shared" ca="1" si="281"/>
        <v>0</v>
      </c>
      <c r="GK81" s="162">
        <f t="shared" ca="1" si="402"/>
        <v>1</v>
      </c>
      <c r="GL81" s="162">
        <f t="shared" ca="1" si="282"/>
        <v>1</v>
      </c>
      <c r="GM81" s="162" t="e">
        <f ca="1">MAX(0,MIN(1,1-Control!$C$156*(1.0001-$KH81)^2))</f>
        <v>#N/A</v>
      </c>
      <c r="GN81" s="162" t="e">
        <f ca="1">IF(Control!$B$26=1,$KU81,$KX81)</f>
        <v>#N/A</v>
      </c>
      <c r="GO81" s="162" t="e">
        <f ca="1">IF($CP81&lt;=60,Control!$C$105,IF($CP81&gt;=90,Control!$C$106,Control!$C$105+($CP81-60)*((Control!$C$106-Control!$C$105)/(90-60))))</f>
        <v>#N/A</v>
      </c>
      <c r="GP81" s="162" t="e">
        <f t="shared" ca="1" si="283"/>
        <v>#N/A</v>
      </c>
      <c r="GQ81" s="162" t="e">
        <f t="shared" ca="1" si="403"/>
        <v>#N/A</v>
      </c>
      <c r="GR81" s="163" t="e">
        <f t="shared" ca="1" si="284"/>
        <v>#DIV/0!</v>
      </c>
      <c r="GS81" s="162" t="e">
        <f t="shared" ca="1" si="285"/>
        <v>#DIV/0!</v>
      </c>
      <c r="GT81" s="164" t="e">
        <f t="shared" ca="1" si="404"/>
        <v>#N/A</v>
      </c>
      <c r="GU81" s="162" t="e">
        <f t="shared" ca="1" si="405"/>
        <v>#N/A</v>
      </c>
      <c r="GV81" s="162" t="e">
        <f t="shared" ca="1" si="286"/>
        <v>#N/A</v>
      </c>
      <c r="GW81" s="162" t="e">
        <f t="shared" ca="1" si="287"/>
        <v>#DIV/0!</v>
      </c>
      <c r="GX81" s="162" t="e">
        <f t="shared" ca="1" si="406"/>
        <v>#DIV/0!</v>
      </c>
      <c r="GY81" s="162" t="e">
        <f t="shared" ca="1" si="407"/>
        <v>#DIV/0!</v>
      </c>
      <c r="GZ81" s="165" t="e">
        <f t="shared" ca="1" si="288"/>
        <v>#N/A</v>
      </c>
      <c r="HA81" s="162" t="e">
        <f ca="1">IF(Control!$C$114=1, $DI81*$FS81, 0)</f>
        <v>#N/A</v>
      </c>
      <c r="HB81" s="162" t="e">
        <f ca="1">$FA81/Control!$C$64</f>
        <v>#N/A</v>
      </c>
      <c r="HC81" s="162" t="e">
        <f t="shared" ca="1" si="289"/>
        <v>#DIV/0!</v>
      </c>
      <c r="HD81" s="162">
        <f ca="1">-ASIN(SIN(23.45*Control!$C$139)*COS(2*Control!$C$138*($AH81+10)/365))</f>
        <v>-2.9090884133336454E-2</v>
      </c>
      <c r="HE81" s="165">
        <f t="shared" ca="1" si="408"/>
        <v>0</v>
      </c>
      <c r="HF81" s="166">
        <f ca="1">IF(AND(Control!$C$61="T",$HE81&gt;=Control!$C$103,Control!$C$114=0),$AH81,Control!$C$59)</f>
        <v>1</v>
      </c>
      <c r="HG81" s="166">
        <f ca="1">IF(AND(Control!$C$61="T",$HE81&gt;=Control!$C$103,Control!$C$114=0),$HF81,Control!$C$59)</f>
        <v>1</v>
      </c>
      <c r="HH81" s="165">
        <f ca="1">IF(AND(OR(Control!$C$60&lt;=0, $AH81= Control!$C$59, Control!$C$60 &gt;0, $AH81 = Control!$C$60)), Control!$C$59, IF(Control!$C$60&gt;0, 0))</f>
        <v>1</v>
      </c>
      <c r="HI81" s="165">
        <f ca="1">IF(AND(OR(Control!$C$60&lt;=0, $AH81= Control!$C$59, Control!$C$60 &gt;0, $AH81 = Control!$C$60)), Control!$C$60, IF(Control!$C$60&lt;=0, 0))</f>
        <v>0</v>
      </c>
      <c r="HJ81" s="166">
        <f ca="1">IF(AND(Control!$C$62="F",$CV81&gt;=Control!$C$102),$AH81,0)</f>
        <v>0</v>
      </c>
      <c r="HK81" s="165" t="e">
        <f t="shared" ca="1" si="445"/>
        <v>#N/A</v>
      </c>
      <c r="HL81" s="166">
        <f ca="1">IF(AND(Control!$C$61="T",$HE81&gt;=Control!$C$103,Control!$C$114=0),$HF81,0)</f>
        <v>0</v>
      </c>
      <c r="HM81" s="201" t="e">
        <f t="shared" ca="1" si="290"/>
        <v>#DIV/0!</v>
      </c>
      <c r="HN81" s="215">
        <f t="shared" ca="1" si="409"/>
        <v>77</v>
      </c>
      <c r="HO81" s="216" t="e">
        <f ca="1">IF(AND($CP81&gt;=0, $CP81&lt;=90), Control!$C$152, Control!$C$152)</f>
        <v>#N/A</v>
      </c>
      <c r="HP81" s="216" t="e">
        <f t="shared" ca="1" si="291"/>
        <v>#N/A</v>
      </c>
      <c r="HQ81" s="217" t="e">
        <f ca="1">IF(OR(Control!$B$26=1,Control!$B$26=2),$KV81,$KS81)</f>
        <v>#DIV/0!</v>
      </c>
      <c r="HR81" s="218" t="e">
        <f t="shared" ca="1" si="446"/>
        <v>#DIV/0!</v>
      </c>
      <c r="HS81" s="216" t="e">
        <f ca="1">Control!$C$154*$HP81</f>
        <v>#N/A</v>
      </c>
      <c r="HT81" s="216" t="e">
        <f ca="1">Control!$C$155*$HP81</f>
        <v>#N/A</v>
      </c>
      <c r="HU81" s="217" t="e">
        <f ca="1">Control!$C$161*$FI81</f>
        <v>#N/A</v>
      </c>
      <c r="HV81" s="218" t="e">
        <f t="shared" ca="1" si="410"/>
        <v>#N/A</v>
      </c>
      <c r="HW81" s="218" t="e">
        <f ca="1">Control!$C$160*$FF81+$IP81*$EO81</f>
        <v>#N/A</v>
      </c>
      <c r="HX81" s="218" t="e">
        <f t="shared" ca="1" si="447"/>
        <v>#N/A</v>
      </c>
      <c r="HY81" s="219" t="e">
        <f ca="1">IF(Control!$C$114=1, $EB81*$FS81, 0)</f>
        <v>#N/A</v>
      </c>
      <c r="HZ81" s="91" t="e">
        <f t="shared" ca="1" si="292"/>
        <v>#N/A</v>
      </c>
      <c r="IA81" s="220" t="e">
        <f ca="1">Control!$C$153*$HO81</f>
        <v>#N/A</v>
      </c>
      <c r="IB81" s="218" t="e">
        <f t="shared" ca="1" si="293"/>
        <v>#N/A</v>
      </c>
      <c r="IC81" s="220" t="e">
        <f ca="1">Control!$C$153*$HT81</f>
        <v>#N/A</v>
      </c>
      <c r="ID81" s="218" t="e">
        <f t="shared" ca="1" si="294"/>
        <v>#N/A</v>
      </c>
      <c r="IE81" s="221" t="e">
        <f ca="1">($EB81*Control!$C$159+$EF81*Control!$C$160)/(IF($GZ81&lt;&gt;0,$GZ81,1))</f>
        <v>#N/A</v>
      </c>
      <c r="IF81" s="216" t="e">
        <f t="shared" ca="1" si="295"/>
        <v>#N/A</v>
      </c>
      <c r="IG81" s="91">
        <f ca="1">IF(OR(Control!$B$198=$AH81,Control!$B$199=$AH81, Control!$B$200=$AH81, Control!$B$201=$AH81, Control!$B$202=$AH81, Control!$B$203=$AH81, Control!$B$204=$AH81, Control!$B$205=$AH81, Control!$B$206=$AH81, Control!$B$207=$AH81), 1, 0)</f>
        <v>0</v>
      </c>
      <c r="IH81" s="91">
        <f ca="1">IF($IG81=0,0, VLOOKUP($AH81,Control!$B$198:$C$207,2))</f>
        <v>0</v>
      </c>
      <c r="II81" s="222">
        <f t="shared" ca="1" si="411"/>
        <v>0</v>
      </c>
      <c r="IJ81" s="91">
        <f>Control!$C$121</f>
        <v>0.7</v>
      </c>
      <c r="IK81" s="218">
        <f t="shared" ca="1" si="296"/>
        <v>0</v>
      </c>
      <c r="IL81" s="217" t="e">
        <f t="shared" ca="1" si="448"/>
        <v>#N/A</v>
      </c>
      <c r="IM81" s="223" t="e">
        <f ca="1">IF(AND(Control!$C$114=1,$KH81&lt;1),$EB81*Control!$C$148*(1-$KH81), 0)</f>
        <v>#N/A</v>
      </c>
      <c r="IN81" s="217" t="e">
        <f t="shared" ca="1" si="297"/>
        <v>#DIV/0!</v>
      </c>
      <c r="IO81" s="91" t="e">
        <f ca="1">MAX(0,$IL81-$EF81*Control!$C$160)</f>
        <v>#N/A</v>
      </c>
      <c r="IP81" s="220" t="e">
        <f t="shared" ca="1" si="298"/>
        <v>#N/A</v>
      </c>
      <c r="IQ81" s="217" t="e">
        <f t="shared" ca="1" si="412"/>
        <v>#N/A</v>
      </c>
      <c r="IR81" s="218" t="e">
        <f t="shared" ca="1" si="299"/>
        <v>#N/A</v>
      </c>
      <c r="IS81" s="217" t="e">
        <f ca="1">Control!$C$159*MAX(0,$FD81-$EN81)</f>
        <v>#N/A</v>
      </c>
      <c r="IT81" s="217" t="e">
        <f t="shared" ca="1" si="449"/>
        <v>#N/A</v>
      </c>
      <c r="IU81" s="217" t="e">
        <f t="shared" ca="1" si="413"/>
        <v>#N/A</v>
      </c>
      <c r="IV81" s="217" t="e">
        <f t="shared" ca="1" si="450"/>
        <v>#N/A</v>
      </c>
      <c r="IW81" s="217" t="e">
        <f ca="1">IF(OR($AW81=1,AND($AW81=0, Control!$B$18=1,$EN81&lt;&gt;0)), $IQ81-$IU81, $IQ81)</f>
        <v>#N/A</v>
      </c>
      <c r="IX81" s="218" t="e">
        <f t="shared" ca="1" si="300"/>
        <v>#N/A</v>
      </c>
      <c r="IY81" s="218" t="e">
        <f ca="1">MAX(0,$IQ81-$EB81*Control!$C$159)</f>
        <v>#N/A</v>
      </c>
      <c r="IZ81" s="218" t="e">
        <f t="shared" ca="1" si="301"/>
        <v>#N/A</v>
      </c>
      <c r="JA81" s="216" t="e">
        <f t="shared" ca="1" si="302"/>
        <v>#N/A</v>
      </c>
      <c r="JB81" s="217" t="e">
        <f t="shared" ca="1" si="303"/>
        <v>#N/A</v>
      </c>
      <c r="JC81" s="222" t="e">
        <f ca="1">MAX(Control!$C$157*$EK81-$JT81, 0)/Control!$C$162</f>
        <v>#N/A</v>
      </c>
      <c r="JD81" s="218" t="e">
        <f t="shared" ca="1" si="304"/>
        <v>#N/A</v>
      </c>
      <c r="JE81" s="218" t="e">
        <f t="shared" ca="1" si="305"/>
        <v>#N/A</v>
      </c>
      <c r="JF81" s="218" t="e">
        <f t="shared" ca="1" si="414"/>
        <v>#N/A</v>
      </c>
      <c r="JG81" s="218" t="e">
        <f t="shared" ca="1" si="306"/>
        <v>#N/A</v>
      </c>
      <c r="JH81" s="217" t="e">
        <f t="shared" ca="1" si="415"/>
        <v>#N/A</v>
      </c>
      <c r="JI81" s="217" t="e">
        <f t="shared" ca="1" si="416"/>
        <v>#N/A</v>
      </c>
      <c r="JJ81" s="217" t="e">
        <f t="shared" ca="1" si="451"/>
        <v>#N/A</v>
      </c>
      <c r="JK81" s="217" t="e">
        <f ca="1">IF(Control!$C$114=1,IF(Control!$B$24=0,MAX(0,$JI81)*$GN81/Control!$C$64,(MAX(0,MIN($JI81,$JJ81*$GN81/Control!$C$64),0))))</f>
        <v>#N/A</v>
      </c>
      <c r="JL81" s="217" t="e">
        <f ca="1">$IK81/Control!$C$64-$JK81+$HQ81</f>
        <v>#N/A</v>
      </c>
      <c r="JM81" s="217" t="e">
        <f ca="1">IF(Control!$C$114=1,($JB81/(IF($JI81&lt;&gt;0,$JI81,1)))*$JK81,0)</f>
        <v>#N/A</v>
      </c>
      <c r="JN81" s="217" t="e">
        <f ca="1">IF(Control!$C$114=1,($JG81/(IF($JI81&lt;&gt;0,$JI81,1)))*$JK81, 0)</f>
        <v>#N/A</v>
      </c>
      <c r="JO81" s="218" t="e">
        <f t="shared" ca="1" si="307"/>
        <v>#N/A</v>
      </c>
      <c r="JP81" s="218" t="e">
        <f ca="1">MIN(($IY81+$IO81)*Control!$C$151, $JF81-$EH81*Control!$C$161)</f>
        <v>#N/A</v>
      </c>
      <c r="JQ81" s="218" t="e">
        <f t="shared" ca="1" si="308"/>
        <v>#N/A</v>
      </c>
      <c r="JR81" s="217" t="e">
        <f ca="1">IF($CP81-Control!$C$150&lt;0, 0, $JQ81/Control!$C$162)</f>
        <v>#N/A</v>
      </c>
      <c r="JS81" s="218" t="e">
        <f t="shared" ca="1" si="309"/>
        <v>#N/A</v>
      </c>
      <c r="JT81" s="218" t="e">
        <f t="shared" ca="1" si="417"/>
        <v>#N/A</v>
      </c>
      <c r="JU81" s="218" t="e">
        <f t="shared" ca="1" si="310"/>
        <v>#N/A</v>
      </c>
      <c r="JV81" s="218" t="e">
        <f t="shared" ca="1" si="311"/>
        <v>#N/A</v>
      </c>
      <c r="JW81" s="216" t="e">
        <f t="shared" ca="1" si="312"/>
        <v>#N/A</v>
      </c>
      <c r="JX81" s="91" t="e">
        <f t="shared" ca="1" si="313"/>
        <v>#N/A</v>
      </c>
      <c r="JY81" s="218" t="e">
        <f t="shared" ca="1" si="314"/>
        <v>#N/A</v>
      </c>
      <c r="JZ81" s="217" t="e">
        <f ca="1">IF(Control!$C$114=1,($IZ81/(IF($JI81&lt;&gt;0,$JI81,1)))*$JK81, 0)</f>
        <v>#N/A</v>
      </c>
      <c r="KA81" s="218" t="e">
        <f t="shared" ca="1" si="452"/>
        <v>#N/A</v>
      </c>
      <c r="KB81" s="218" t="e">
        <f t="shared" ca="1" si="418"/>
        <v>#N/A</v>
      </c>
      <c r="KC81" s="218" t="e">
        <f t="shared" ca="1" si="315"/>
        <v>#N/A</v>
      </c>
      <c r="KD81" s="218" t="e">
        <f t="shared" ca="1" si="316"/>
        <v>#N/A</v>
      </c>
      <c r="KE81" s="218" t="e">
        <f t="shared" ca="1" si="317"/>
        <v>#N/A</v>
      </c>
      <c r="KF81" s="218" t="e">
        <f t="shared" ca="1" si="318"/>
        <v>#N/A</v>
      </c>
      <c r="KG81" s="216" t="e">
        <f t="shared" ca="1" si="319"/>
        <v>#N/A</v>
      </c>
      <c r="KH81" s="221" t="e">
        <f ca="1">IF(Control!$B$24=0,1,MAX(0.001,MIN(1,IF(($IF81-$IE81)&lt;&gt;0,($KG81-$IE81)/($IF81-$IE81),1))))</f>
        <v>#N/A</v>
      </c>
      <c r="KI81" s="222" t="e">
        <f ca="1">IF(Control!$C$114=1, $KI80+ $KH80, 0)</f>
        <v>#N/A</v>
      </c>
      <c r="KJ81" s="217" t="e">
        <f t="shared" ca="1" si="320"/>
        <v>#N/A</v>
      </c>
      <c r="KK81" s="218" t="e">
        <f t="shared" ca="1" si="321"/>
        <v>#N/A</v>
      </c>
      <c r="KL81" s="274" t="e">
        <f ca="1">IF(Control!$B$26=3,4000000000*EXP(-8400/($G81+273)),IF(Control!$B$26=4,4000000000*EXP(-8400/($G81+273))*($KT81),0))</f>
        <v>#DIV/0!</v>
      </c>
      <c r="KM81" s="274" t="e">
        <f ca="1">IF(Control!$B$26=3,5600000000000*EXP(-9800/($G81+273)),IF(Control!$B$26=4,5600000000000*EXP(-9800/($G81+273))*$KT81,0))</f>
        <v>#DIV/0!</v>
      </c>
      <c r="KN81" s="454" t="e">
        <f t="shared" ca="1" si="419"/>
        <v>#DIV/0!</v>
      </c>
      <c r="KO81" s="274" t="e">
        <f t="shared" ca="1" si="420"/>
        <v>#DIV/0!</v>
      </c>
      <c r="KP81" s="454" t="e">
        <f t="shared" ca="1" si="322"/>
        <v>#DIV/0!</v>
      </c>
      <c r="KQ81" s="454" t="e">
        <f t="shared" ca="1" si="323"/>
        <v>#DIV/0!</v>
      </c>
      <c r="KR81" s="454" t="e">
        <f t="shared" ca="1" si="324"/>
        <v>#DIV/0!</v>
      </c>
      <c r="KS81" s="454" t="e">
        <f t="shared" ca="1" si="325"/>
        <v>#DIV/0!</v>
      </c>
      <c r="KT81" s="455" t="e">
        <f t="shared" ca="1" si="326"/>
        <v>#DIV/0!</v>
      </c>
      <c r="KU81" s="456" t="e">
        <f ca="1">IF($CP81-Control!$C$149&lt;0, IF($NT81-0.01&lt;0,0,1),0)</f>
        <v>#N/A</v>
      </c>
      <c r="KV81" s="456" t="e">
        <f ca="1">IF(Control!$C$114=1,MAX(0,MIN(Control!$C$125*$KW81*$GN81,$KW81)))</f>
        <v>#DIV/0!</v>
      </c>
      <c r="KW81" s="456" t="e">
        <f t="shared" ca="1" si="453"/>
        <v>#DIV/0!</v>
      </c>
      <c r="KX81" s="457" t="e">
        <f ca="1">IF($CP81-Control!$C$149&lt;0, IF($MR81-$OM81&lt;0,0,1),0)</f>
        <v>#N/A</v>
      </c>
      <c r="KY81" s="167">
        <f t="shared" ca="1" si="421"/>
        <v>77</v>
      </c>
      <c r="KZ81" s="168">
        <f ca="1">1370*(1+0.033*COS(2*Control!$C$138*$AH81/365))</f>
        <v>1380.9790999988388</v>
      </c>
      <c r="LA81" s="169">
        <f t="shared" ca="1" si="422"/>
        <v>1.0080140408291658</v>
      </c>
      <c r="LB81" s="169">
        <f t="shared" ca="1" si="423"/>
        <v>-2.6364707357109361E-2</v>
      </c>
      <c r="LC81" s="169">
        <f ca="1">ACOS(-TAN((2*Control!$B$8/360))*TAN(Calculations!$LB81))</f>
        <v>1.5629587569453389</v>
      </c>
      <c r="LD81" s="169">
        <f ca="1">((24*60)/PI())*0.082*$LA81*(($LC81*SIN(Control!$B$8*2*PI()/360))*SIN($LB81)+COS(Control!$B$8*2*PI()/360)*COS($LB81)*SIN($LC81))</f>
        <v>22.086782087085432</v>
      </c>
      <c r="LE81" s="170">
        <f t="shared" ca="1" si="327"/>
        <v>22.021391271387198</v>
      </c>
      <c r="LF81" s="170">
        <f ca="1">SIN(Control!$C$139*Control!$B$8)*SIN($HD81)</f>
        <v>-2.2920734328924684E-2</v>
      </c>
      <c r="LG81" s="170">
        <f ca="1">COS(Control!$C$139*Control!$B$8)*COS($HD81)</f>
        <v>0.61539931115618896</v>
      </c>
      <c r="LH81" s="170">
        <f ca="1">12*(1+2*ASIN(MAX(-1,MIN(1,$LF81/$LG81))/Control!$C$138))</f>
        <v>11.715460837352294</v>
      </c>
      <c r="LI81" s="170">
        <f ca="1">12*(1+2*ASIN(MAX(-1,MIN(1,(-SIN(-4*Control!$C$139)+$LF81)/$LG81))/Control!$C$138))</f>
        <v>12.581466537760569</v>
      </c>
      <c r="LJ81" s="168">
        <f ca="1">3600*($LH81*$LF81+24*$LG81*SQRT(1-$LK81*$LK81)/Control!$C$138)</f>
        <v>15946.216181986905</v>
      </c>
      <c r="LK81" s="170">
        <f t="shared" ca="1" si="328"/>
        <v>-3.7245303843226725E-2</v>
      </c>
      <c r="LL81" s="170">
        <f t="shared" ca="1" si="329"/>
        <v>0</v>
      </c>
      <c r="LM81" s="171">
        <f ca="1">Control!$C$145*$AB81</f>
        <v>6.6660906138995932E-2</v>
      </c>
      <c r="LN81" s="170">
        <f t="shared" ca="1" si="424"/>
        <v>0.54</v>
      </c>
      <c r="LO81" s="170">
        <f t="shared" ca="1" si="330"/>
        <v>0</v>
      </c>
      <c r="LP81" s="170">
        <f ca="1">Control!$C$140*((($D81+273.16)^4+($E81+273.16)^4)/2)*(0.34-0.14*SQRT($Y81))*(1.35*$AQ81/(0.75*$LD81)-0.35)</f>
        <v>-3.2464704755046001</v>
      </c>
      <c r="LQ81" s="170">
        <f ca="1">Control!$C$140*($G81+273)^4*(0.56-0.079*SQRT($Y81*10))*(0.1+0.9*$LO81)</f>
        <v>1.5241745131704001</v>
      </c>
      <c r="LR81" s="170">
        <f ca="1">$AQ81*(1-Control!$C$142)-$LQ81</f>
        <v>-1.5241745131704001</v>
      </c>
      <c r="LS81" s="170">
        <f ca="1">$AQ81*(1-Control!$C$143)-$LQ81</f>
        <v>-1.5241745131704001</v>
      </c>
      <c r="LT81" s="170">
        <f ca="1">$AQ81*(1-Control!$C$144)-$LQ81</f>
        <v>-1.5241745131704001</v>
      </c>
      <c r="LU81" s="169">
        <f ca="1">(1-Control!$C$144)*AQ81-LP81</f>
        <v>3.2464704755046001</v>
      </c>
      <c r="LV81" s="172">
        <f t="shared" ca="1" si="331"/>
        <v>0.79430000000000012</v>
      </c>
      <c r="LW81" s="170">
        <f t="shared" ca="1" si="332"/>
        <v>1.5886000000000002</v>
      </c>
      <c r="LX81" s="170">
        <f ca="1">($AC81*($LR81/Control!$C$141)+$LM81*$LV81)/($AC81+$LM81)</f>
        <v>0.23530094218323697</v>
      </c>
      <c r="LY81" s="170">
        <f ca="1">($AC81*($LS81/Control!$C$141)+$LM81*$LV81)/($AC81+$LM81)</f>
        <v>0.23530094218323697</v>
      </c>
      <c r="LZ81" s="170">
        <f t="shared" ca="1" si="333"/>
        <v>0.23530094218323697</v>
      </c>
      <c r="MA81" s="170">
        <f t="shared" ca="1" si="334"/>
        <v>0.23530094218323697</v>
      </c>
      <c r="MB81" s="170" t="e">
        <f t="shared" ca="1" si="335"/>
        <v>#N/A</v>
      </c>
      <c r="MC81" s="170">
        <f t="shared" ca="1" si="425"/>
        <v>0.6018</v>
      </c>
      <c r="MD81" s="170">
        <f t="shared" ca="1" si="336"/>
        <v>0.52989392535414004</v>
      </c>
      <c r="ME81" s="170">
        <f ca="1">($AC81*($LT81/Control!$C$141)+$LM81*$LW81)/($AC81+$LM81)</f>
        <v>0.71612369323045078</v>
      </c>
      <c r="MF81" s="170" t="e">
        <f ca="1">IF(Control!$B$16&gt;=1000,0.92,IF(AND(720&lt;=Control!$B$16,1000&gt;Control!$B$16),(0.95+(Control!$B$16-720)*((0.92-0.95)/(1000-720))),IF(AND(360&lt;=Control!$B$16,720&gt;Control!$B$16),(1+(Control!$B$16-360)*((0.95-1)/(720-360))),IF(AND(40&lt;=Control!$B$16,360&gt;Control!$B$16),(1.05+(Control!$B$16-40)*((1.05-1)/(360-40)))))))</f>
        <v>#N/A</v>
      </c>
      <c r="MG81" s="170">
        <f t="shared" ca="1" si="337"/>
        <v>0.71612369323045078</v>
      </c>
      <c r="MH81" s="170" t="e">
        <f t="shared" ca="1" si="233"/>
        <v>#N/A</v>
      </c>
      <c r="MI81" s="170" t="e">
        <f t="shared" ca="1" si="233"/>
        <v>#N/A</v>
      </c>
      <c r="MJ81" s="170" t="e">
        <f ca="1">MAX(0.0001, Control!$C$132*$MI81*$DL81)</f>
        <v>#N/A</v>
      </c>
      <c r="MK81" s="170">
        <f ca="1">1/(0.76+1.5*($MG81/10))-(5-Control!$C$110)*0.1</f>
        <v>1.002845988140797</v>
      </c>
      <c r="ML81" s="173">
        <f ca="1">IF(Control!$C$110&lt;3,$MK81+($MG81-0.6)/(Control!$C$110*(Control!$C$110+3)), MAX(0.1, MIN(0.95,$MK81)))</f>
        <v>0.95</v>
      </c>
      <c r="MM81" s="173">
        <f ca="1">IF(Control!$C$110&lt;3,$MK81+(($MI81/10)-0.6)/(Control!$C$110*(Control!$C$110+3)), MAX(0.1, MIN(0.95,$MK81)))</f>
        <v>0.95</v>
      </c>
      <c r="MN81" s="173">
        <f ca="1">(1-$MM81)*(Control!$C$128-Control!$C$127)+Control!$C$127</f>
        <v>0.16</v>
      </c>
      <c r="MO81" s="170" t="e">
        <f ca="1">MAX(0,MIN(1,($MS81-Control!$C$127)/($MN81-Control!$C$127)))</f>
        <v>#DIV/0!</v>
      </c>
      <c r="MP81" s="173" t="e">
        <f ca="1">1/(0.76+1.5*$MI81)-(5-Control!$C$110)*0.1</f>
        <v>#N/A</v>
      </c>
      <c r="MQ81" s="172" t="e">
        <f t="shared" ca="1" si="454"/>
        <v>#DIV/0!</v>
      </c>
      <c r="MR81" s="168" t="e">
        <f t="shared" ca="1" si="426"/>
        <v>#DIV/0!</v>
      </c>
      <c r="MS81" s="173" t="e">
        <f ca="1">MAX(Control!$C$127, MIN(Control!$C$135, $MR81/MAX(0.0001,$CY81)))</f>
        <v>#DIV/0!</v>
      </c>
      <c r="MT81" s="168" t="e">
        <f ca="1">(Control!$C$128-$MS81)*Control!$C$74</f>
        <v>#DIV/0!</v>
      </c>
      <c r="MU81" s="168" t="e">
        <f ca="1">(Control!$C$135-$MS81)*Control!$C$74</f>
        <v>#DIV/0!</v>
      </c>
      <c r="MV81" s="168" t="e">
        <f t="shared" ca="1" si="427"/>
        <v>#DIV/0!</v>
      </c>
      <c r="MW81" s="168" t="e">
        <f t="shared" ca="1" si="428"/>
        <v>#DIV/0!</v>
      </c>
      <c r="MX81" s="171" t="e">
        <f ca="1">MAX(Control!$C$127, MIN(Control!$C$135, $MW81/MAX(0.0001,Control!$C$119-$CY81)))</f>
        <v>#DIV/0!</v>
      </c>
      <c r="MY81" s="54" t="e">
        <f ca="1">IF(Control!$C$114=1, $CX81*$MX81, 0)</f>
        <v>#DIV/0!</v>
      </c>
      <c r="MZ81" s="54" t="e">
        <f t="shared" ca="1" si="429"/>
        <v>#N/A</v>
      </c>
      <c r="NA81" s="168" t="e">
        <f ca="1">(Control!$C$128-$MX81)*(Control!$C$119-Control!$C$74)</f>
        <v>#DIV/0!</v>
      </c>
      <c r="NB81" s="168" t="e">
        <f ca="1">(Control!$C$135-$MX81)*(Control!$C$119-Control!$C$74)</f>
        <v>#DIV/0!</v>
      </c>
      <c r="NC81" s="174" t="e">
        <f t="shared" ca="1" si="430"/>
        <v>#DIV/0!</v>
      </c>
      <c r="ND81" s="54">
        <f ca="1">IF(Control!$C$58=2, IF(OR(Control!$B$218=$AH81,Control!$B$219=$AH81, Control!$B$220=$AH81, Control!$B$221=$AH81, Control!$B$222=$AH81, Control!$B$223=$AH81, Control!$B$224=$AH81, Control!$B$225=$AH81, Control!$B$226=$AH81, Control!$B$227=$AH81, Control!$B$228=$AH81), 1, 0), 0)</f>
        <v>0</v>
      </c>
      <c r="NE81" s="54">
        <f ca="1">IF($ND81=0,0, VLOOKUP($AH81,Control!$B$218:$C$228,2))</f>
        <v>0</v>
      </c>
      <c r="NF81" s="168" t="e">
        <f ca="1">$CY81*(Control!$C$128-Control!$C$127)</f>
        <v>#N/A</v>
      </c>
      <c r="NG81" s="54" t="e">
        <f ca="1">IF(Control!$C$58=2, $NI80-$NJ80, 0)</f>
        <v>#DIV/0!</v>
      </c>
      <c r="NH81" s="54" t="e">
        <f ca="1">IF(AND(Control!$C$58=1, $MS80&lt;= ($MN80+0.02), $I80&lt;10), 0, IF(Control!$C$58=2, $NG80, 0))</f>
        <v>#DIV/0!</v>
      </c>
      <c r="NI81" s="54" t="e">
        <f ca="1">IF(Control!$C$58=2, $NE81+$NH81,0)</f>
        <v>#DIV/0!</v>
      </c>
      <c r="NJ81" s="54" t="e">
        <f ca="1">IF(AND(Control!$C$58=1, $MS81&lt;= ($MN81+0.02), $I81&lt;10), MAX(0, MIN(10, 0.7*($NF81-$MV81))), IF(Control!$C$58=2, MIN(10,$NI81),0))</f>
        <v>#DIV/0!</v>
      </c>
      <c r="NK81" s="54" t="e">
        <f t="shared" ca="1" si="338"/>
        <v>#DIV/0!</v>
      </c>
      <c r="NL81" s="173" t="e">
        <f ca="1">(1-Control!$C$73)*$I81+$NJ81</f>
        <v>#DIV/0!</v>
      </c>
      <c r="NM81" s="172" t="e">
        <f ca="1">IF($NL81&lt;0.5, $MB81* MAX(0, MIN(1, (SQRT($NC81)-SQRT($NC81-1))*Control!$C$71)),0)</f>
        <v>#DIV/0!</v>
      </c>
      <c r="NN81" s="170" t="e">
        <f ca="1">IF($NL81&gt;=5, $MB81, MAX(0,MIN($MB81, $NM81+$NL81,($MS81-Control!$C$129))))</f>
        <v>#DIV/0!</v>
      </c>
      <c r="NO81" s="54">
        <f>IF(Control!$C$133&lt;&gt;1, Control!$C$135-Control!$C$131, 0)</f>
        <v>0.38</v>
      </c>
      <c r="NP81" s="54" t="e">
        <f t="shared" ca="1" si="339"/>
        <v>#DIV/0!</v>
      </c>
      <c r="NQ81" s="173" t="e">
        <f ca="1">MAX(0,MIN(1,(Control!$C$135-$MS81)/(Control!$C$135-$NO81)))</f>
        <v>#DIV/0!</v>
      </c>
      <c r="NR81" s="170" t="e">
        <f ca="1">IF(Control!$C$133&lt;&gt;1, $NQ81+((1-$NP81/4)*(1-$NQ81)),1)</f>
        <v>#DIV/0!</v>
      </c>
      <c r="NS81" s="170" t="e">
        <f ca="1">IF(Control!$B$31=0,$MJ81,MAX(0,MIN($MV81,$MO81*$NR81*$MJ81)))</f>
        <v>#DIV/0!</v>
      </c>
      <c r="NT81" s="170" t="e">
        <f t="shared" ca="1" si="455"/>
        <v>#DIV/0!</v>
      </c>
      <c r="NU81" s="170" t="e">
        <f t="shared" ca="1" si="431"/>
        <v>#N/A</v>
      </c>
      <c r="NV81" s="170" t="e">
        <f t="shared" ca="1" si="340"/>
        <v>#N/A</v>
      </c>
      <c r="NW81" s="175" t="e">
        <f t="shared" ca="1" si="341"/>
        <v>#DIV/0!</v>
      </c>
      <c r="NX81" s="170" t="e">
        <f ca="1">MIN(Control!$C$72+$MU81, $NW81)</f>
        <v>#DIV/0!</v>
      </c>
      <c r="NY81" s="170" t="e">
        <f ca="1">IF($MT81&lt;=$NX81,MIN(Control!$C$72+$NB81,$NX81-$MT81),0)</f>
        <v>#DIV/0!</v>
      </c>
      <c r="NZ81" s="54" t="e">
        <f ca="1">IF(Control!$C$114=1,  $CX81*($MX81-Control!$C$127), 0)</f>
        <v>#DIV/0!</v>
      </c>
      <c r="OA81" s="170" t="e">
        <f t="shared" ca="1" si="342"/>
        <v>#DIV/0!</v>
      </c>
      <c r="OB81" s="170" t="e">
        <f ca="1">IF($NA81 &lt;=$NY81, MIN(Control!$C$72, $NY81-$NA81), 0)</f>
        <v>#DIV/0!</v>
      </c>
      <c r="OC81" s="168" t="e">
        <f t="shared" ca="1" si="343"/>
        <v>#DIV/0!</v>
      </c>
      <c r="OD81" s="168" t="e">
        <f t="shared" ca="1" si="432"/>
        <v>#DIV/0!</v>
      </c>
      <c r="OE81" s="170">
        <f ca="1">Control!$C$73*$I81</f>
        <v>0</v>
      </c>
      <c r="OF81" s="176" t="e">
        <f t="shared" ca="1" si="344"/>
        <v>#DIV/0!</v>
      </c>
      <c r="OG81" s="168" t="e">
        <f t="shared" ca="1" si="345"/>
        <v>#DIV/0!</v>
      </c>
      <c r="OH81" s="168" t="e">
        <f t="shared" ca="1" si="346"/>
        <v>#DIV/0!</v>
      </c>
      <c r="OI81" s="168" t="e">
        <f t="shared" ca="1" si="347"/>
        <v>#DIV/0!</v>
      </c>
      <c r="OJ81" s="168" t="e">
        <f t="shared" ca="1" si="348"/>
        <v>#DIV/0!</v>
      </c>
      <c r="OK81" s="204" t="e">
        <f t="shared" ca="1" si="349"/>
        <v>#DIV/0!</v>
      </c>
      <c r="OL81" s="177">
        <f>Control!$C$127</f>
        <v>0.15</v>
      </c>
      <c r="OM81" s="182" t="e">
        <f t="shared" ca="1" si="350"/>
        <v>#N/A</v>
      </c>
      <c r="ON81" s="177">
        <f>Control!$C$128</f>
        <v>0.35</v>
      </c>
      <c r="OO81" s="182" t="e">
        <f t="shared" ca="1" si="351"/>
        <v>#N/A</v>
      </c>
      <c r="OP81" s="138">
        <f t="shared" ca="1" si="433"/>
        <v>0</v>
      </c>
      <c r="OQ81" s="138" t="e">
        <f t="shared" ca="1" si="456"/>
        <v>#DIV/0!</v>
      </c>
      <c r="OR81" s="138" t="e">
        <f t="shared" ca="1" si="434"/>
        <v>#DIV/0!</v>
      </c>
      <c r="OS81" s="137" t="e">
        <f t="shared" ca="1" si="457"/>
        <v>#DIV/0!</v>
      </c>
      <c r="OT81" s="139" t="e">
        <f t="shared" ca="1" si="458"/>
        <v>#DIV/0!</v>
      </c>
      <c r="OU81" s="138" t="e">
        <f t="shared" ca="1" si="459"/>
        <v>#N/A</v>
      </c>
      <c r="OV81" s="138" t="e">
        <f t="shared" ca="1" si="460"/>
        <v>#DIV/0!</v>
      </c>
      <c r="OW81" s="138" t="e">
        <f t="shared" ca="1" si="435"/>
        <v>#DIV/0!</v>
      </c>
      <c r="OX81" s="138" t="e">
        <f t="shared" ca="1" si="436"/>
        <v>#DIV/0!</v>
      </c>
      <c r="OY81" s="138" t="e">
        <f t="shared" ca="1" si="437"/>
        <v>#DIV/0!</v>
      </c>
      <c r="OZ81" s="138" t="e">
        <f t="shared" ca="1" si="352"/>
        <v>#DIV/0!</v>
      </c>
      <c r="PA81" s="138" t="e">
        <f t="shared" ca="1" si="353"/>
        <v>#DIV/0!</v>
      </c>
      <c r="PB81" s="55">
        <f>IF(Control!$C$61="T", IF(Control!$C$65="F", IF($AH$6-Control!$C$60&lt;0,0,1), IF(365+$AH$6-Control!$C$60&lt;0,0,1)),0)</f>
        <v>0</v>
      </c>
      <c r="PC81" s="55">
        <f ca="1">IF(Control!$C$65="F", IF($AH$6-$HF81&lt;0,0,1), IF(365+$AH$6-$HF81&lt;0,0,1))</f>
        <v>1</v>
      </c>
      <c r="PD81" s="444">
        <f>Control!$C$118</f>
        <v>1500</v>
      </c>
      <c r="PE81" s="180" t="e">
        <f t="shared" ca="1" si="354"/>
        <v>#N/A</v>
      </c>
      <c r="PF81" s="445">
        <f t="shared" ca="1" si="438"/>
        <v>0.71612369323045078</v>
      </c>
      <c r="PT81" s="186"/>
      <c r="PU81" s="186"/>
      <c r="PV81" s="94"/>
      <c r="PW81" s="94"/>
      <c r="PX81" s="94"/>
      <c r="PY81" s="94"/>
      <c r="PZ81" s="94"/>
      <c r="QA81" s="94"/>
      <c r="QB81" s="94"/>
      <c r="QC81" s="94"/>
      <c r="QD81" s="94"/>
      <c r="QE81" s="94"/>
      <c r="QF81" s="94"/>
      <c r="QG81" s="94"/>
      <c r="QH81" s="94"/>
      <c r="QI81" s="94"/>
      <c r="QJ81" s="94"/>
      <c r="QK81" s="94"/>
      <c r="QL81" s="94"/>
      <c r="QM81" s="94"/>
      <c r="QN81" s="94"/>
      <c r="QO81" s="94"/>
      <c r="QP81" s="94"/>
    </row>
    <row r="82" spans="1:458" s="2" customFormat="1" x14ac:dyDescent="0.2">
      <c r="A82" s="395">
        <v>18</v>
      </c>
      <c r="B82" s="396">
        <v>3</v>
      </c>
      <c r="C82" s="387">
        <f ca="1">Weather_data!$B81</f>
        <v>0</v>
      </c>
      <c r="D82" s="388">
        <f ca="1">Weather_data!$F81</f>
        <v>0</v>
      </c>
      <c r="E82" s="388">
        <f ca="1">Weather_data!$E81</f>
        <v>0</v>
      </c>
      <c r="F82" s="388">
        <f t="shared" ca="1" si="355"/>
        <v>0</v>
      </c>
      <c r="G82" s="388">
        <f ca="1">AVERAGE($D82:$E82)+Control!$B$9</f>
        <v>0</v>
      </c>
      <c r="H82" s="388">
        <f ca="1">Weather_data!$G81</f>
        <v>0</v>
      </c>
      <c r="I82" s="388">
        <f ca="1">Weather_data!$I81</f>
        <v>0</v>
      </c>
      <c r="J82" s="388">
        <f ca="1">Weather_data!$H81</f>
        <v>0</v>
      </c>
      <c r="K82" s="389">
        <f ca="1">Weather_data!$D81</f>
        <v>0</v>
      </c>
      <c r="L82" s="388" t="e">
        <f t="shared" ca="1" si="356"/>
        <v>#N/A</v>
      </c>
      <c r="M82" s="388" t="e">
        <f t="shared" ca="1" si="234"/>
        <v>#N/A</v>
      </c>
      <c r="N82" s="388">
        <f t="shared" ca="1" si="235"/>
        <v>-1.6649481826580716E-4</v>
      </c>
      <c r="O82" s="388">
        <f t="shared" ca="1" si="357"/>
        <v>1.6649481826580715E-3</v>
      </c>
      <c r="P82" s="390">
        <v>3</v>
      </c>
      <c r="Q82" s="388">
        <f ca="1">MAX($G82-Control!$C$107,0)</f>
        <v>0</v>
      </c>
      <c r="R82" s="388">
        <f t="shared" ca="1" si="358"/>
        <v>0</v>
      </c>
      <c r="S82" s="388">
        <f t="shared" ca="1" si="236"/>
        <v>0</v>
      </c>
      <c r="T82" s="388">
        <f t="shared" ca="1" si="237"/>
        <v>0</v>
      </c>
      <c r="U82" s="59">
        <f t="shared" ca="1" si="238"/>
        <v>0</v>
      </c>
      <c r="V82" s="391">
        <f ca="1">MAX(0,MIN(Control!$C$100-Control!$C$99,$G82-Control!$C$99)*Control!$C$63)</f>
        <v>0</v>
      </c>
      <c r="W82" s="388">
        <f t="shared" ca="1" si="359"/>
        <v>0</v>
      </c>
      <c r="X82" s="388">
        <f t="shared" ca="1" si="360"/>
        <v>0.6110000000000001</v>
      </c>
      <c r="Y82" s="388">
        <f t="shared" ca="1" si="239"/>
        <v>0</v>
      </c>
      <c r="Z82" s="388">
        <f t="shared" ca="1" si="361"/>
        <v>0.61058800000000002</v>
      </c>
      <c r="AA82" s="388">
        <f t="shared" ca="1" si="240"/>
        <v>0.6018</v>
      </c>
      <c r="AB82" s="388">
        <f ca="1">101.3*EXP(-0.034*Control!$C$66/($G82+273))</f>
        <v>100.69623283836242</v>
      </c>
      <c r="AC82" s="392">
        <f t="shared" ca="1" si="241"/>
        <v>4.3460251046025113E-2</v>
      </c>
      <c r="AD82" s="392">
        <f t="shared" ca="1" si="242"/>
        <v>4.4450382862832649E-2</v>
      </c>
      <c r="AE82" s="388">
        <f t="shared" ca="1" si="243"/>
        <v>0</v>
      </c>
      <c r="AF82" s="388">
        <f ca="1">MAX(0,$G82-Control!$C$92)</f>
        <v>0</v>
      </c>
      <c r="AG82" s="393">
        <f t="shared" ca="1" si="244"/>
        <v>78</v>
      </c>
      <c r="AH82" s="389">
        <f t="shared" ca="1" si="245"/>
        <v>78</v>
      </c>
      <c r="AI82" s="388">
        <f t="shared" ca="1" si="362"/>
        <v>-2.225256773856122E-2</v>
      </c>
      <c r="AJ82" s="388">
        <f ca="1">IF(Control!$C$60&lt;=0,$HH82,$HI82)</f>
        <v>1</v>
      </c>
      <c r="AK82" s="388">
        <f t="shared" ca="1" si="246"/>
        <v>-3.4428412642079922E-2</v>
      </c>
      <c r="AL82" s="388">
        <f t="shared" ca="1" si="247"/>
        <v>-1.262313170657947E-18</v>
      </c>
      <c r="AM82" s="388">
        <f t="shared" ca="1" si="248"/>
        <v>-3.4428412642079922E-2</v>
      </c>
      <c r="AN82" s="388">
        <f t="shared" ca="1" si="249"/>
        <v>-1.3693345034117609E-2</v>
      </c>
      <c r="AO82" s="388">
        <f ca="1">-0.10453/COS(Control!$B$8*PI()/180)*COS(AN82)</f>
        <v>-0.16976894649449589</v>
      </c>
      <c r="AP82" s="388">
        <f ca="1">ACOS(AO82-TAN(Control!$B$8*PI()/180)*TAN(AN82))</f>
        <v>1.7236318067550873</v>
      </c>
      <c r="AQ82" s="388">
        <f t="shared" ca="1" si="363"/>
        <v>0</v>
      </c>
      <c r="AR82" s="394">
        <f t="shared" ca="1" si="250"/>
        <v>0</v>
      </c>
      <c r="AS82" s="436">
        <f ca="1">IF(Control!$B$18=2,(IF(OR($AH82=Control!$B$175,$AH82=Control!$B$176,$AH82=Control!$B$177,$AH82=Control!$B$178,$AH82=Control!$B$179,$AH82=Control!$B$180,$AH82=Control!$B$181,$AH82=Control!$B$182,$AH82=Control!$B$183,$AH82=Control!$B$184,$AH82=Control!$B$185),1,0)),0)</f>
        <v>0</v>
      </c>
      <c r="AT82" s="436">
        <f>IF(Control!$B$20=8,IF(AND($AH82&gt;=Control!$B$172,$AH82&lt;=Control!$B$173),1,0),0)</f>
        <v>0</v>
      </c>
      <c r="AU82" s="436">
        <f>IF(Control!$B$20=8,IF($AV81=1,1*$AT82,IF($AT82=1,$AU81+1,$AU81)),0)</f>
        <v>0</v>
      </c>
      <c r="AV82" s="436">
        <f>IF(Control!$B$20=8,IF($AU82&gt;=Control!$B$174,1,0),0)</f>
        <v>0</v>
      </c>
      <c r="AW82" s="436">
        <f ca="1">IF(AND(Control!$B$18=2,Control!$B$171=1), $AV82, $AS82)</f>
        <v>0</v>
      </c>
      <c r="AX82" s="436" t="e">
        <f ca="1">IF(AND(Control!$B$18=1,$EU82&gt;=Control!$B$19),-$AY82,IF(AND(Control!$B$18=2,$AW82=1,$EU82&gt;$DS82),-$AY82, IF(Control!$C$108=0,0, IF(Control!$C$108&lt;&gt;0,1))))</f>
        <v>#N/A</v>
      </c>
      <c r="AY82" s="436" t="e">
        <f t="shared" ca="1" si="364"/>
        <v>#N/A</v>
      </c>
      <c r="AZ82" s="436" t="e">
        <f ca="1">IF(AND(Control!$B$18=1,$EB82&gt;Control!$B$19),$AZ81+1, IF(AND(Control!$B$18=2, $AW82=1, $EB82&gt;$DS82), $AZ81+1,$AZ81))</f>
        <v>#N/A</v>
      </c>
      <c r="BA82" s="587">
        <f>IF(Control!$C$81=0,1,IF($AH82&gt;=Control!$C$82,1,0))</f>
        <v>1</v>
      </c>
      <c r="BB82" s="140" t="e">
        <f ca="1">IF($BA82&gt;$BA81,Control!$C$83,IF($AW82&gt;0,$AW82*Control!$C$84,IF(AND(Control!$B$18=1,EN81&lt;&gt;0),Control!$C$84,0)))</f>
        <v>#N/A</v>
      </c>
      <c r="BC82" s="140" t="e">
        <f t="shared" ca="1" si="365"/>
        <v>#N/A</v>
      </c>
      <c r="BD82" s="140" t="e">
        <f ca="1">BC82*IF(OR($G82&lt;Control!$C$92,$G82&gt;Control!$C$95),0,IF(AND($G82&gt;=Control!$C$92,$G82&lt;=Control!$C$93),$G82-Control!$C$92,IF(AND($G82&gt;Control!$C$93,$G82&lt;=Control!$C$94),Control!$C$93-Control!$C$92,IF(AND($G82&gt;Control!$C$94,$G82&lt;=Control!$C$95),(Control!$C$93-Control!$C$92)*(Control!$C$94-$G82)/(Control!$C$95-Control!$C$94)))))</f>
        <v>#N/A</v>
      </c>
      <c r="BE82" s="140" t="e">
        <f t="shared" ca="1" si="366"/>
        <v>#N/A</v>
      </c>
      <c r="BF82" s="140" t="e">
        <f ca="1">IF($BE82&lt;=Control!$C$86,$BE82,Control!$C$86-$BE82)</f>
        <v>#N/A</v>
      </c>
      <c r="BG82" s="140" t="e">
        <f ca="1">IF(AND($AW82=1,Control!$C$84&lt;9),1,IF($BE82&gt;=Control!$C$86,0,$BC82))</f>
        <v>#N/A</v>
      </c>
      <c r="BH82" s="404" t="e">
        <f ca="1">IF($BG82=0,0,IF($BE82&lt;=Control!$C$86,$BC82*9*($BF82/Control!$C$86),0))</f>
        <v>#N/A</v>
      </c>
      <c r="BI82" s="140" t="e">
        <f ca="1">IF($BG82=1,0,IF($BE82&gt;=Control!$C$86,1,IF(AND($BB82&lt;21,$BB82&gt;=9),1,$BM81)))</f>
        <v>#N/A</v>
      </c>
      <c r="BJ82" s="140" t="e">
        <f ca="1">IF($BF82&lt;0,-$BF82,$BI82*IF(OR($G82&lt;Control!$C$92,$G82&gt;Control!$C$95),0,IF(AND($G82&gt;=Control!$C$92,$G82&lt;=Control!$C$93),$G82-Control!$C$92,IF(AND($G82&gt;Control!$C$93,$G82&lt;=Control!$C$94),Control!$C$93-Control!$C$92,IF(AND($G82&gt;Control!$C$94,$G82&lt;=Control!$C$95),(Control!$C$93-Control!$C$92)*(Control!$C$94-$G82)/(Control!$C$95-Control!$C$94))))))</f>
        <v>#N/A</v>
      </c>
      <c r="BK82" s="140" t="e">
        <f t="shared" ca="1" si="367"/>
        <v>#N/A</v>
      </c>
      <c r="BL82" s="140" t="e">
        <f ca="1">IF($BK82&lt;=Control!$C$87,$BK82,Control!$C$87-$BK82)</f>
        <v>#N/A</v>
      </c>
      <c r="BM82" s="140" t="e">
        <f ca="1">IF(AND($BB82&gt;=9,$BB82&lt;21),1,IF($BK82&gt;=Control!$C$87,0,$BI82))</f>
        <v>#N/A</v>
      </c>
      <c r="BN82" s="404" t="e">
        <f ca="1">IF($BM82=0,0,IF($BK82&lt;=Control!$C$87,$BI82*(9+(21-9)*($BL82/Control!$C$87)),0))</f>
        <v>#N/A</v>
      </c>
      <c r="BO82" s="140" t="e">
        <f ca="1">IF($BM82=1,0,IF($BK82&gt;=Control!$C$87,1,IF(AND($BB82&lt;30,$BB82&gt;=21),1,$BS81)))</f>
        <v>#N/A</v>
      </c>
      <c r="BP82" s="140" t="e">
        <f ca="1">IF($BL82&lt;0,-$BL82,$BO82*IF(OR($G82&lt;Control!$C$92,$G82&gt;Control!$C$95),0,IF(AND($G82&gt;=Control!$C$92,$G82&lt;=Control!$C$93),$G82-Control!$C$92,IF(AND($G82&gt;Control!$C$93,$G82&lt;=Control!$C$94),Control!$C$93-Control!$C$92,IF(AND($G82&gt;Control!$C$94,$G82&lt;=Control!$C$95),(Control!$C$93-Control!$C$92)*(Control!$C$94-$G82)/(Control!$C$95-Control!$C$94))))))</f>
        <v>#N/A</v>
      </c>
      <c r="BQ82" s="140" t="e">
        <f t="shared" ca="1" si="251"/>
        <v>#N/A</v>
      </c>
      <c r="BR82" s="140" t="e">
        <f ca="1">IF($BQ82&lt;=Control!$C$88,$BQ82,Control!$C$88-$BQ82)</f>
        <v>#N/A</v>
      </c>
      <c r="BS82" s="140" t="e">
        <f ca="1">IF(AND($BB82&gt;=21,$BB82&lt;30),1,IF($BQ82&gt;=Control!$C$88,0,$BO82))</f>
        <v>#N/A</v>
      </c>
      <c r="BT82" s="404" t="e">
        <f ca="1">IF($BS82=0,0,IF($BQ82&lt;=Control!$C$88,$BO82*(21+(30-21)*(BR82/Control!$C$88)),0))</f>
        <v>#N/A</v>
      </c>
      <c r="BU82" s="140" t="e">
        <f ca="1">IF(BG82+BM82+BS82=1,0,IF(OR(AND($BB82&lt;60,$BB82&gt;=30),$BQ82&gt;=Control!$C$88),1*$BA82,$BY81))</f>
        <v>#N/A</v>
      </c>
      <c r="BV82" s="140" t="e">
        <f ca="1">IF($BR82&lt;0,-$BR82,$BU82*IF(OR($G82&lt;Control!$C$92,$G82&gt;Control!$C$95),0,IF(AND($G82&gt;=Control!$C$92,$G82&lt;=Control!$C$93),$G82-Control!$C$92,IF(AND($G82&gt;Control!$C$93,$G82&lt;=Control!$C$94),Control!$C$93-Control!$C$92,IF(AND($G82&gt;Control!$C$94,$G82&lt;=Control!$C$95),(Control!$C$93-Control!$C$92)*(Control!$C$94-$G82)/(Control!$C$95-Control!$C$94))))))</f>
        <v>#N/A</v>
      </c>
      <c r="BW82" s="140" t="e">
        <f t="shared" ca="1" si="252"/>
        <v>#N/A</v>
      </c>
      <c r="BX82" s="140" t="e">
        <f ca="1">IF($BW82&lt;=Control!$C$89,$BW82,Control!$C$89-$BW82)</f>
        <v>#N/A</v>
      </c>
      <c r="BY82" s="140" t="e">
        <f ca="1">IF(AND($AJ82&gt;=30,$AJ82&lt;60),1,IF($BW82&gt;=Control!$C$89,0,$BU82))</f>
        <v>#N/A</v>
      </c>
      <c r="BZ82" s="404" t="e">
        <f ca="1">IF($BY82=0,0,IF($BW82&lt;=Control!$C$89,$BU82*(30+(60-30)*(BX82/Control!$C$89)),0))</f>
        <v>#N/A</v>
      </c>
      <c r="CA82" s="140" t="e">
        <f ca="1">IF($BG82+$BM82+$BS82+$BY82=1,0,IF(OR(AND($BB82&lt;65,$BB82&gt;=60),$BW82&gt;=Control!$C$89),1*$BA82,$CE81))</f>
        <v>#N/A</v>
      </c>
      <c r="CB82" s="140" t="e">
        <f ca="1">IF($BX82&lt;0,-$BX82,$CA82*IF(OR($G82&lt;Control!$C$92,$G82&gt;Control!$C$95),0,IF(AND($G82&gt;=Control!$C$92,$G82&lt;=Control!$C$93),$G82-Control!$C$92,IF(AND($G82&gt;Control!$C$93,$G82&lt;=Control!$C$94),Control!$C$93-Control!$C$92,IF(AND($G82&gt;Control!$C$94,$G82&lt;=Control!$C$95),(Control!$C$93-Control!$C$92)*(Control!$C$94-$G82)/(Control!$C$95-Control!$C$94))))))</f>
        <v>#N/A</v>
      </c>
      <c r="CC82" s="140" t="e">
        <f t="shared" ca="1" si="368"/>
        <v>#N/A</v>
      </c>
      <c r="CD82" s="140" t="e">
        <f ca="1">IF($CC82&lt;=Control!$C$90,$CC82,Control!$C$90-$CC82)</f>
        <v>#N/A</v>
      </c>
      <c r="CE82" s="140" t="e">
        <f ca="1">IF(AND($BB82&gt;=60,$BB82&lt;65),1,IF($CC82&gt;=Control!$C$90,0,$CA82))</f>
        <v>#N/A</v>
      </c>
      <c r="CF82" s="404" t="e">
        <f ca="1">IF($CE82=0,0,IF($CC82&lt;=Control!$C$90,$CA82*(60+(65-60)*(CD82/Control!$C$90)),0))</f>
        <v>#N/A</v>
      </c>
      <c r="CG82" s="140" t="e">
        <f ca="1">IF($BG82+$BM82+$BS82+$BY82+$CE82=1,0,IF(OR(AND($BB82&lt;90,$BB82&gt;=65),$CC82&gt;=Control!$C$90),$BA82,$CK81))</f>
        <v>#N/A</v>
      </c>
      <c r="CH82" s="140" t="e">
        <f ca="1">IF($CD82&lt;0,-$CD82,$CG82*IF(OR($G82&lt;Control!$C$92,$G82&gt;Control!$C$95),0,IF(AND($G82&gt;=Control!$C$92,$G82&lt;=Control!$C$93),$G82-Control!$C$92,IF(AND($G82&gt;Control!$C$93,$G82&lt;=Control!$C$94),Control!$C$93-Control!$C$92,IF(AND($G82&gt;Control!$C$94,$G82&lt;=Control!$C$95),(Control!$C$93-Control!$C$92)*(Control!$C$94-$G82)/(Control!$C$95-Control!$C$94))))))</f>
        <v>#N/A</v>
      </c>
      <c r="CI82" s="140" t="e">
        <f t="shared" ca="1" si="369"/>
        <v>#N/A</v>
      </c>
      <c r="CJ82" s="140" t="e">
        <f ca="1">IF($CI82&lt;=Control!$C$91,$CI82,Control!$C$91-$CI82)</f>
        <v>#N/A</v>
      </c>
      <c r="CK82" s="140" t="e">
        <f ca="1">IF(AND($BB82&gt;=65,$BB82&lt;90),1,IF($CI82&gt;=Control!$C$91,0,$CG82))</f>
        <v>#N/A</v>
      </c>
      <c r="CL82" s="404" t="e">
        <f ca="1">IF($CK82=0,0,IF($CI82&lt;=Control!$C$91,$CG82*(65+(90-65)*($CJ82/Control!$C$91)),0))</f>
        <v>#N/A</v>
      </c>
      <c r="CM82" s="140" t="e">
        <f ca="1">IF($BG82+$BM82+$BS82+$BY82+$CE82+$CK82=1,0,IF(OR($BB82&gt;=90,$CI82&gt;=Control!$C$91),$BA82,$CM81))</f>
        <v>#N/A</v>
      </c>
      <c r="CN82" s="140" t="e">
        <f t="shared" ca="1" si="370"/>
        <v>#N/A</v>
      </c>
      <c r="CO82" s="140" t="e">
        <f t="shared" ca="1" si="371"/>
        <v>#N/A</v>
      </c>
      <c r="CP82" s="140" t="e">
        <f t="shared" ca="1" si="372"/>
        <v>#N/A</v>
      </c>
      <c r="CQ82" s="141" t="e">
        <f ca="1">VLOOKUP($CP82,Control!$B$86:$G$91,6)</f>
        <v>#N/A</v>
      </c>
      <c r="CR82" s="141" t="e">
        <f ca="1">(1-$CQ82)*VLOOKUP($CP82,Control!$B$86:$D$91,3)</f>
        <v>#N/A</v>
      </c>
      <c r="CS82" s="141" t="e">
        <f ca="1">(1-$CQ82)*VLOOKUP($CP82,Control!$B$86:$E$91,4)</f>
        <v>#N/A</v>
      </c>
      <c r="CT82" s="141" t="e">
        <f ca="1">(1-$CQ82)*VLOOKUP($CP82,Control!$B$86:$F$91,5)</f>
        <v>#N/A</v>
      </c>
      <c r="CU82" s="141">
        <f t="shared" ca="1" si="373"/>
        <v>0</v>
      </c>
      <c r="CV82" s="583">
        <f t="shared" ca="1" si="374"/>
        <v>0</v>
      </c>
      <c r="CW82" s="142">
        <f t="shared" ca="1" si="375"/>
        <v>78</v>
      </c>
      <c r="CX82" s="612" t="e">
        <f ca="1">IF(Control!$C$114=1,(MIN(Control!$C$120*(IF($NT82-0.01&lt;0,0,1)),Control!$C$119-$CY82)))</f>
        <v>#DIV/0!</v>
      </c>
      <c r="CY82" s="143" t="e">
        <f t="shared" ca="1" si="376"/>
        <v>#N/A</v>
      </c>
      <c r="CZ82" s="144">
        <f t="shared" ca="1" si="253"/>
        <v>0</v>
      </c>
      <c r="DA82" s="144">
        <f t="shared" ca="1" si="254"/>
        <v>0</v>
      </c>
      <c r="DB82" s="144" t="e">
        <f t="shared" ca="1" si="255"/>
        <v>#N/A</v>
      </c>
      <c r="DC82" s="144" t="e">
        <f t="shared" ca="1" si="256"/>
        <v>#N/A</v>
      </c>
      <c r="DD82" s="144" t="e">
        <f t="shared" ca="1" si="461"/>
        <v>#N/A</v>
      </c>
      <c r="DE82" s="143" t="e">
        <f t="shared" ca="1" si="377"/>
        <v>#N/A</v>
      </c>
      <c r="DF82" s="145" t="e">
        <f ca="1">$DR82*EXP(-Control!$C$158*(1-$KH82))</f>
        <v>#N/A</v>
      </c>
      <c r="DG82" s="146" t="e">
        <f ca="1">IF(Control!$C$114=1, $DF82*$EY82, 0)</f>
        <v>#N/A</v>
      </c>
      <c r="DH82" s="147" t="e">
        <f t="shared" ca="1" si="378"/>
        <v>#N/A</v>
      </c>
      <c r="DI82" s="144" t="e">
        <f t="shared" ca="1" si="439"/>
        <v>#N/A</v>
      </c>
      <c r="DJ82" s="147" t="e">
        <f ca="1">$EF82*Control!$C$109</f>
        <v>#N/A</v>
      </c>
      <c r="DK82" s="144" t="e">
        <f t="shared" ca="1" si="379"/>
        <v>#N/A</v>
      </c>
      <c r="DL82" s="144" t="e">
        <f t="shared" ca="1" si="257"/>
        <v>#N/A</v>
      </c>
      <c r="DM82" s="144" t="e">
        <f ca="1">IF(Control!$C$114=1, (1-EXP(-Control!$C$96*$DK82))*$AR82, 0)</f>
        <v>#N/A</v>
      </c>
      <c r="DN82" s="144">
        <f t="shared" ca="1" si="380"/>
        <v>0</v>
      </c>
      <c r="DO82" s="148">
        <f>Control!$C$97</f>
        <v>4</v>
      </c>
      <c r="DP82" s="145" t="e">
        <f t="shared" ca="1" si="381"/>
        <v>#N/A</v>
      </c>
      <c r="DQ82" s="145" t="e">
        <f ca="1">IF(AND($CP82&gt;=0,$CP82&lt;=90),Control!$C$111,Control!$C$111)</f>
        <v>#N/A</v>
      </c>
      <c r="DR82" s="145" t="e">
        <f t="shared" ca="1" si="258"/>
        <v>#N/A</v>
      </c>
      <c r="DS82" s="143" t="e">
        <f ca="1">Control!$B$22/$DR82</f>
        <v>#N/A</v>
      </c>
      <c r="DT82" s="149" t="e">
        <f ca="1">IF(AND(Control!$C$114=1,$KH82&lt;1),$IM82*$DF82, 0)</f>
        <v>#N/A</v>
      </c>
      <c r="DU82" s="144" t="e">
        <f t="shared" ca="1" si="382"/>
        <v>#N/A</v>
      </c>
      <c r="DV82" s="144">
        <f ca="1">IF($G82-Control!$C$107&lt;=0, 0, 0.83*LN(MAX($G82, 3))-0.8924)</f>
        <v>0</v>
      </c>
      <c r="DW82" s="144" t="e">
        <f t="shared" ca="1" si="259"/>
        <v>#N/A</v>
      </c>
      <c r="DX82" s="150" t="e">
        <f ca="1">MAX(0.01*(1+$CU82/Control!$C$102),0.05*($DK82-Control!$C$97)/Control!$C$97)</f>
        <v>#N/A</v>
      </c>
      <c r="DY82" s="151" t="e">
        <f ca="1">IF(Control!$C$114=1, $DI82*$FS82, 0)</f>
        <v>#N/A</v>
      </c>
      <c r="DZ82" s="196" t="e">
        <f t="shared" ca="1" si="383"/>
        <v>#N/A</v>
      </c>
      <c r="EA82" s="152">
        <f t="shared" ca="1" si="384"/>
        <v>78</v>
      </c>
      <c r="EB82" s="153" t="e">
        <f t="shared" ca="1" si="385"/>
        <v>#N/A</v>
      </c>
      <c r="EC82" s="153" t="e">
        <f t="shared" ca="1" si="386"/>
        <v>#N/A</v>
      </c>
      <c r="ED82" s="154" t="e">
        <f ca="1">IF(Control!$C$114=1, $HM82*$FY82-$FD82, 0)</f>
        <v>#DIV/0!</v>
      </c>
      <c r="EE82" s="155" t="e">
        <f ca="1">IF(Control!$C$114=1, $HM82*$FZ82-$FF82, 0)</f>
        <v>#DIV/0!</v>
      </c>
      <c r="EF82" s="153" t="e">
        <f t="shared" ca="1" si="440"/>
        <v>#N/A</v>
      </c>
      <c r="EG82" s="155" t="e">
        <f ca="1">IF(Control!$C$114=1, $GX82*$FW82-$FI82, 0)</f>
        <v>#DIV/0!</v>
      </c>
      <c r="EH82" s="153" t="e">
        <f t="shared" ca="1" si="387"/>
        <v>#N/A</v>
      </c>
      <c r="EI82" s="156" t="e">
        <f t="shared" ca="1" si="388"/>
        <v>#N/A</v>
      </c>
      <c r="EJ82" s="155" t="e">
        <f ca="1">IF(Control!$C$114=1, $HM82*$GB82, 0)</f>
        <v>#DIV/0!</v>
      </c>
      <c r="EK82" s="153" t="e">
        <f t="shared" ca="1" si="441"/>
        <v>#N/A</v>
      </c>
      <c r="EL82" s="153" t="e">
        <f t="shared" ca="1" si="260"/>
        <v>#N/A</v>
      </c>
      <c r="EM82" s="153" t="e">
        <f t="shared" ca="1" si="261"/>
        <v>#N/A</v>
      </c>
      <c r="EN82" s="153" t="e">
        <f ca="1">IF(Control!$C$108=1,IF(AND(Control!$B$18=1,$EB82&gt;=Control!$B$19),$EB82-$DS82,IF(AND(Control!$B$18=2,$AW82=1,$EB82&gt;$DS82),$EB82-$DS82,0)))</f>
        <v>#N/A</v>
      </c>
      <c r="EO82" s="153" t="e">
        <f ca="1">IF(Control!$C$108=1,IF(AND(Control!$B$18=1,$EB82&gt;=Control!$B$19),$EF82,IF(AND(Control!$B$18=2,$AW82=1),$EF82,0)))</f>
        <v>#N/A</v>
      </c>
      <c r="EP82" s="153" t="e">
        <f ca="1">IF(Control!$C$108=1,IF(AND(Control!$B$18=1,$EB82&gt;=Control!$B$19),$EK82,IF(AND(Control!$B$18=2,$AW82=1),$EK82,0)))</f>
        <v>#N/A</v>
      </c>
      <c r="EQ82" s="153" t="e">
        <f t="shared" ca="1" si="389"/>
        <v>#N/A</v>
      </c>
      <c r="ER82" s="153" t="e">
        <f t="shared" ca="1" si="390"/>
        <v>#N/A</v>
      </c>
      <c r="ES82" s="153" t="e">
        <f t="shared" ca="1" si="442"/>
        <v>#N/A</v>
      </c>
      <c r="ET82" s="153" t="e">
        <f t="shared" ca="1" si="443"/>
        <v>#N/A</v>
      </c>
      <c r="EU82" s="153" t="e">
        <f t="shared" ca="1" si="391"/>
        <v>#N/A</v>
      </c>
      <c r="EV82" s="153" t="e">
        <f t="shared" ca="1" si="262"/>
        <v>#N/A</v>
      </c>
      <c r="EW82" s="153" t="e">
        <f t="shared" ca="1" si="263"/>
        <v>#N/A</v>
      </c>
      <c r="EX82" s="153" t="e">
        <f t="shared" ca="1" si="264"/>
        <v>#N/A</v>
      </c>
      <c r="EY82" s="157" t="e">
        <f t="shared" ca="1" si="265"/>
        <v>#DIV/0!</v>
      </c>
      <c r="EZ82" s="154" t="e">
        <f t="shared" ca="1" si="266"/>
        <v>#DIV/0!</v>
      </c>
      <c r="FA82" s="153" t="e">
        <f t="shared" ca="1" si="392"/>
        <v>#N/A</v>
      </c>
      <c r="FB82" s="153" t="e">
        <f t="shared" ca="1" si="267"/>
        <v>#N/A</v>
      </c>
      <c r="FC82" s="193" t="e">
        <f t="shared" ca="1" si="268"/>
        <v>#N/A</v>
      </c>
      <c r="FD82" s="158" t="e">
        <f t="shared" ca="1" si="393"/>
        <v>#N/A</v>
      </c>
      <c r="FE82" s="158" t="e">
        <f t="shared" ca="1" si="394"/>
        <v>#N/A</v>
      </c>
      <c r="FF82" s="159" t="e">
        <f t="shared" ca="1" si="269"/>
        <v>#N/A</v>
      </c>
      <c r="FG82" s="160" t="e">
        <f t="shared" ca="1" si="395"/>
        <v>#N/A</v>
      </c>
      <c r="FH82" s="158" t="e">
        <f t="shared" ca="1" si="396"/>
        <v>#N/A</v>
      </c>
      <c r="FI82" s="159" t="e">
        <f t="shared" ca="1" si="270"/>
        <v>#N/A</v>
      </c>
      <c r="FJ82" s="160" t="e">
        <f t="shared" ca="1" si="397"/>
        <v>#N/A</v>
      </c>
      <c r="FK82" s="160" t="e">
        <f t="shared" ca="1" si="271"/>
        <v>#N/A</v>
      </c>
      <c r="FL82" s="160" t="e">
        <f t="shared" ca="1" si="444"/>
        <v>#N/A</v>
      </c>
      <c r="FM82" s="160" t="e">
        <f t="shared" ca="1" si="272"/>
        <v>#N/A</v>
      </c>
      <c r="FN82" s="158">
        <f t="shared" ca="1" si="398"/>
        <v>0.01</v>
      </c>
      <c r="FO82" s="160">
        <f>Control!$C$101</f>
        <v>50</v>
      </c>
      <c r="FP82" s="150" t="e">
        <f t="shared" ca="1" si="273"/>
        <v>#N/A</v>
      </c>
      <c r="FQ82" s="150" t="e">
        <f ca="1">MAX(0,(Control!$C$112*(($DK82-Control!$C$97)/Control!$C$97)))</f>
        <v>#N/A</v>
      </c>
      <c r="FR82" s="150" t="e">
        <f ca="1">(1-$NT82)*Control!$C$113</f>
        <v>#DIV/0!</v>
      </c>
      <c r="FS82" s="198" t="e">
        <f t="shared" ca="1" si="274"/>
        <v>#N/A</v>
      </c>
      <c r="FT82" s="161">
        <f t="shared" ca="1" si="399"/>
        <v>78</v>
      </c>
      <c r="FU82" s="162" t="e">
        <f ca="1">IF(Control!$B$34=1,VLOOKUP($CP82,Control!$B$86:$G$91,6),Control!$B$35)</f>
        <v>#N/A</v>
      </c>
      <c r="FV82" s="162" t="e">
        <f t="shared" ca="1" si="275"/>
        <v>#DIV/0!</v>
      </c>
      <c r="FW82" s="162" t="e">
        <f ca="1">IF(Control!$B$31=1,$FU82*$FV82,  $FU82)</f>
        <v>#N/A</v>
      </c>
      <c r="FX82" s="162" t="e">
        <f ca="1">IF(Control!$B$34=1,VLOOKUP($CP82,Control!$B$86:$G$91,3),Control!$B$36)</f>
        <v>#N/A</v>
      </c>
      <c r="FY82" s="162" t="e">
        <f t="shared" ca="1" si="276"/>
        <v>#N/A</v>
      </c>
      <c r="FZ82" s="162" t="e">
        <f ca="1">IF(Control!$B$34=1,VLOOKUP($CP82,Control!$B$86:$G$91,4),Control!$B$37)</f>
        <v>#N/A</v>
      </c>
      <c r="GA82" s="162" t="e">
        <f t="shared" ca="1" si="277"/>
        <v>#N/A</v>
      </c>
      <c r="GB82" s="162" t="e">
        <f ca="1">IF(Control!$B$34=1,VLOOKUP($CP82,Control!$B$86:$G$91,5),Control!$B$38)</f>
        <v>#N/A</v>
      </c>
      <c r="GC82" s="162" t="e">
        <f t="shared" ca="1" si="400"/>
        <v>#N/A</v>
      </c>
      <c r="GD82" s="162">
        <f t="shared" ca="1" si="278"/>
        <v>1</v>
      </c>
      <c r="GE82" s="162">
        <f t="shared" ca="1" si="279"/>
        <v>1</v>
      </c>
      <c r="GF82" s="162">
        <f ca="1">IF(AND(Control!$C$104=1, Control!$C$62="F"),$GE82,1)</f>
        <v>1</v>
      </c>
      <c r="GG82" s="162" t="e">
        <f ca="1">IF(Control!$B$16=40,0,IF(AND(Control!$B$16&gt;40,Control!$B$16&lt;=360),(Control!$B$16-40)*((1-0)/(360-40)),IF(AND(Control!$B$16&gt;360,Control!$B$16&lt;=720),(1+(Control!$B$16-360)*((1.25-1)/(720-360))),IF(AND(Control!$B$16&gt;720,Control!$B$16&lt;=1000),(1.25+(Control!$B$16-720)*((1.35-1.25)/(1000-720))),IF(AND(Control!$B$16&gt;1000,Control!$B$16&lt;=2000),(1.35+(Control!$B$16-1000)*0))))))</f>
        <v>#N/A</v>
      </c>
      <c r="GH82" s="162" t="e">
        <f t="shared" ca="1" si="280"/>
        <v>#N/A</v>
      </c>
      <c r="GI82" s="162">
        <f t="shared" ca="1" si="401"/>
        <v>0</v>
      </c>
      <c r="GJ82" s="162">
        <f t="shared" ca="1" si="281"/>
        <v>0</v>
      </c>
      <c r="GK82" s="162">
        <f t="shared" ca="1" si="402"/>
        <v>1</v>
      </c>
      <c r="GL82" s="162">
        <f t="shared" ca="1" si="282"/>
        <v>1</v>
      </c>
      <c r="GM82" s="162" t="e">
        <f ca="1">MAX(0,MIN(1,1-Control!$C$156*(1.0001-$KH82)^2))</f>
        <v>#N/A</v>
      </c>
      <c r="GN82" s="162" t="e">
        <f ca="1">IF(Control!$B$26=1,$KU82,$KX82)</f>
        <v>#N/A</v>
      </c>
      <c r="GO82" s="162" t="e">
        <f ca="1">IF($CP82&lt;=60,Control!$C$105,IF($CP82&gt;=90,Control!$C$106,Control!$C$105+($CP82-60)*((Control!$C$106-Control!$C$105)/(90-60))))</f>
        <v>#N/A</v>
      </c>
      <c r="GP82" s="162" t="e">
        <f t="shared" ca="1" si="283"/>
        <v>#N/A</v>
      </c>
      <c r="GQ82" s="162" t="e">
        <f t="shared" ca="1" si="403"/>
        <v>#N/A</v>
      </c>
      <c r="GR82" s="163" t="e">
        <f t="shared" ca="1" si="284"/>
        <v>#DIV/0!</v>
      </c>
      <c r="GS82" s="162" t="e">
        <f t="shared" ca="1" si="285"/>
        <v>#DIV/0!</v>
      </c>
      <c r="GT82" s="164" t="e">
        <f t="shared" ca="1" si="404"/>
        <v>#N/A</v>
      </c>
      <c r="GU82" s="162" t="e">
        <f t="shared" ca="1" si="405"/>
        <v>#N/A</v>
      </c>
      <c r="GV82" s="162" t="e">
        <f t="shared" ca="1" si="286"/>
        <v>#N/A</v>
      </c>
      <c r="GW82" s="162" t="e">
        <f t="shared" ca="1" si="287"/>
        <v>#DIV/0!</v>
      </c>
      <c r="GX82" s="162" t="e">
        <f t="shared" ca="1" si="406"/>
        <v>#DIV/0!</v>
      </c>
      <c r="GY82" s="162" t="e">
        <f t="shared" ca="1" si="407"/>
        <v>#DIV/0!</v>
      </c>
      <c r="GZ82" s="165" t="e">
        <f t="shared" ca="1" si="288"/>
        <v>#N/A</v>
      </c>
      <c r="HA82" s="162" t="e">
        <f ca="1">IF(Control!$C$114=1, $DI82*$FS82, 0)</f>
        <v>#N/A</v>
      </c>
      <c r="HB82" s="162" t="e">
        <f ca="1">$FA82/Control!$C$64</f>
        <v>#N/A</v>
      </c>
      <c r="HC82" s="162" t="e">
        <f t="shared" ca="1" si="289"/>
        <v>#DIV/0!</v>
      </c>
      <c r="HD82" s="162">
        <f ca="1">-ASIN(SIN(23.45*Control!$C$139)*COS(2*Control!$C$138*($AH82+10)/365))</f>
        <v>-2.225256773856122E-2</v>
      </c>
      <c r="HE82" s="165">
        <f t="shared" ca="1" si="408"/>
        <v>0</v>
      </c>
      <c r="HF82" s="166">
        <f ca="1">IF(AND(Control!$C$61="T",$HE82&gt;=Control!$C$103,Control!$C$114=0),$AH82,Control!$C$59)</f>
        <v>1</v>
      </c>
      <c r="HG82" s="166">
        <f ca="1">IF(AND(Control!$C$61="T",$HE82&gt;=Control!$C$103,Control!$C$114=0),$HF82,Control!$C$59)</f>
        <v>1</v>
      </c>
      <c r="HH82" s="165">
        <f ca="1">IF(AND(OR(Control!$C$60&lt;=0, $AH82= Control!$C$59, Control!$C$60 &gt;0, $AH82 = Control!$C$60)), Control!$C$59, IF(Control!$C$60&gt;0, 0))</f>
        <v>1</v>
      </c>
      <c r="HI82" s="165">
        <f ca="1">IF(AND(OR(Control!$C$60&lt;=0, $AH82= Control!$C$59, Control!$C$60 &gt;0, $AH82 = Control!$C$60)), Control!$C$60, IF(Control!$C$60&lt;=0, 0))</f>
        <v>0</v>
      </c>
      <c r="HJ82" s="166">
        <f ca="1">IF(AND(Control!$C$62="F",$CV82&gt;=Control!$C$102),$AH82,0)</f>
        <v>0</v>
      </c>
      <c r="HK82" s="165" t="e">
        <f t="shared" ca="1" si="445"/>
        <v>#N/A</v>
      </c>
      <c r="HL82" s="166">
        <f ca="1">IF(AND(Control!$C$61="T",$HE82&gt;=Control!$C$103,Control!$C$114=0),$HF82,0)</f>
        <v>0</v>
      </c>
      <c r="HM82" s="201" t="e">
        <f t="shared" ca="1" si="290"/>
        <v>#DIV/0!</v>
      </c>
      <c r="HN82" s="215">
        <f t="shared" ca="1" si="409"/>
        <v>78</v>
      </c>
      <c r="HO82" s="216" t="e">
        <f ca="1">IF(AND($CP82&gt;=0, $CP82&lt;=90), Control!$C$152, Control!$C$152)</f>
        <v>#N/A</v>
      </c>
      <c r="HP82" s="216" t="e">
        <f t="shared" ca="1" si="291"/>
        <v>#N/A</v>
      </c>
      <c r="HQ82" s="217" t="e">
        <f ca="1">IF(OR(Control!$B$26=1,Control!$B$26=2),$KV82,$KS82)</f>
        <v>#DIV/0!</v>
      </c>
      <c r="HR82" s="218" t="e">
        <f t="shared" ca="1" si="446"/>
        <v>#DIV/0!</v>
      </c>
      <c r="HS82" s="216" t="e">
        <f ca="1">Control!$C$154*$HP82</f>
        <v>#N/A</v>
      </c>
      <c r="HT82" s="216" t="e">
        <f ca="1">Control!$C$155*$HP82</f>
        <v>#N/A</v>
      </c>
      <c r="HU82" s="217" t="e">
        <f ca="1">Control!$C$161*$FI82</f>
        <v>#N/A</v>
      </c>
      <c r="HV82" s="218" t="e">
        <f t="shared" ca="1" si="410"/>
        <v>#N/A</v>
      </c>
      <c r="HW82" s="218" t="e">
        <f ca="1">Control!$C$160*$FF82+$IP82*$EO82</f>
        <v>#N/A</v>
      </c>
      <c r="HX82" s="218" t="e">
        <f t="shared" ca="1" si="447"/>
        <v>#N/A</v>
      </c>
      <c r="HY82" s="219" t="e">
        <f ca="1">IF(Control!$C$114=1, $EB82*$FS82, 0)</f>
        <v>#N/A</v>
      </c>
      <c r="HZ82" s="91" t="e">
        <f t="shared" ca="1" si="292"/>
        <v>#N/A</v>
      </c>
      <c r="IA82" s="220" t="e">
        <f ca="1">Control!$C$153*$HO82</f>
        <v>#N/A</v>
      </c>
      <c r="IB82" s="218" t="e">
        <f t="shared" ca="1" si="293"/>
        <v>#N/A</v>
      </c>
      <c r="IC82" s="220" t="e">
        <f ca="1">Control!$C$153*$HT82</f>
        <v>#N/A</v>
      </c>
      <c r="ID82" s="218" t="e">
        <f t="shared" ca="1" si="294"/>
        <v>#N/A</v>
      </c>
      <c r="IE82" s="221" t="e">
        <f ca="1">($EB82*Control!$C$159+$EF82*Control!$C$160)/(IF($GZ82&lt;&gt;0,$GZ82,1))</f>
        <v>#N/A</v>
      </c>
      <c r="IF82" s="216" t="e">
        <f t="shared" ca="1" si="295"/>
        <v>#N/A</v>
      </c>
      <c r="IG82" s="91">
        <f ca="1">IF(OR(Control!$B$198=$AH82,Control!$B$199=$AH82, Control!$B$200=$AH82, Control!$B$201=$AH82, Control!$B$202=$AH82, Control!$B$203=$AH82, Control!$B$204=$AH82, Control!$B$205=$AH82, Control!$B$206=$AH82, Control!$B$207=$AH82), 1, 0)</f>
        <v>0</v>
      </c>
      <c r="IH82" s="91">
        <f ca="1">IF($IG82=0,0, VLOOKUP($AH82,Control!$B$198:$C$207,2))</f>
        <v>0</v>
      </c>
      <c r="II82" s="222">
        <f t="shared" ca="1" si="411"/>
        <v>0</v>
      </c>
      <c r="IJ82" s="91">
        <f>Control!$C$121</f>
        <v>0.7</v>
      </c>
      <c r="IK82" s="218">
        <f t="shared" ca="1" si="296"/>
        <v>0</v>
      </c>
      <c r="IL82" s="217" t="e">
        <f t="shared" ca="1" si="448"/>
        <v>#N/A</v>
      </c>
      <c r="IM82" s="223" t="e">
        <f ca="1">IF(AND(Control!$C$114=1,$KH82&lt;1),$EB82*Control!$C$148*(1-$KH82), 0)</f>
        <v>#N/A</v>
      </c>
      <c r="IN82" s="217" t="e">
        <f t="shared" ca="1" si="297"/>
        <v>#DIV/0!</v>
      </c>
      <c r="IO82" s="91" t="e">
        <f ca="1">MAX(0,$IL82-$EF82*Control!$C$160)</f>
        <v>#N/A</v>
      </c>
      <c r="IP82" s="220" t="e">
        <f t="shared" ca="1" si="298"/>
        <v>#N/A</v>
      </c>
      <c r="IQ82" s="217" t="e">
        <f t="shared" ca="1" si="412"/>
        <v>#N/A</v>
      </c>
      <c r="IR82" s="218" t="e">
        <f t="shared" ca="1" si="299"/>
        <v>#N/A</v>
      </c>
      <c r="IS82" s="217" t="e">
        <f ca="1">Control!$C$159*MAX(0,$FD82-$EN82)</f>
        <v>#N/A</v>
      </c>
      <c r="IT82" s="217" t="e">
        <f t="shared" ca="1" si="449"/>
        <v>#N/A</v>
      </c>
      <c r="IU82" s="217" t="e">
        <f t="shared" ca="1" si="413"/>
        <v>#N/A</v>
      </c>
      <c r="IV82" s="217" t="e">
        <f t="shared" ca="1" si="450"/>
        <v>#N/A</v>
      </c>
      <c r="IW82" s="217" t="e">
        <f ca="1">IF(OR($AW82=1,AND($AW82=0, Control!$B$18=1,$EN82&lt;&gt;0)), $IQ82-$IU82, $IQ82)</f>
        <v>#N/A</v>
      </c>
      <c r="IX82" s="218" t="e">
        <f t="shared" ca="1" si="300"/>
        <v>#N/A</v>
      </c>
      <c r="IY82" s="218" t="e">
        <f ca="1">MAX(0,$IQ82-$EB82*Control!$C$159)</f>
        <v>#N/A</v>
      </c>
      <c r="IZ82" s="218" t="e">
        <f t="shared" ca="1" si="301"/>
        <v>#N/A</v>
      </c>
      <c r="JA82" s="216" t="e">
        <f t="shared" ca="1" si="302"/>
        <v>#N/A</v>
      </c>
      <c r="JB82" s="217" t="e">
        <f t="shared" ca="1" si="303"/>
        <v>#N/A</v>
      </c>
      <c r="JC82" s="222" t="e">
        <f ca="1">MAX(Control!$C$157*$EK82-$JT82, 0)/Control!$C$162</f>
        <v>#N/A</v>
      </c>
      <c r="JD82" s="218" t="e">
        <f t="shared" ca="1" si="304"/>
        <v>#N/A</v>
      </c>
      <c r="JE82" s="218" t="e">
        <f t="shared" ca="1" si="305"/>
        <v>#N/A</v>
      </c>
      <c r="JF82" s="218" t="e">
        <f t="shared" ca="1" si="414"/>
        <v>#N/A</v>
      </c>
      <c r="JG82" s="218" t="e">
        <f t="shared" ca="1" si="306"/>
        <v>#N/A</v>
      </c>
      <c r="JH82" s="217" t="e">
        <f t="shared" ca="1" si="415"/>
        <v>#N/A</v>
      </c>
      <c r="JI82" s="217" t="e">
        <f t="shared" ca="1" si="416"/>
        <v>#N/A</v>
      </c>
      <c r="JJ82" s="217" t="e">
        <f t="shared" ca="1" si="451"/>
        <v>#N/A</v>
      </c>
      <c r="JK82" s="217" t="e">
        <f ca="1">IF(Control!$C$114=1,IF(Control!$B$24=0,MAX(0,$JI82)*$GN82/Control!$C$64,(MAX(0,MIN($JI82,$JJ82*$GN82/Control!$C$64),0))))</f>
        <v>#N/A</v>
      </c>
      <c r="JL82" s="217" t="e">
        <f ca="1">$IK82/Control!$C$64-$JK82+$HQ82</f>
        <v>#N/A</v>
      </c>
      <c r="JM82" s="217" t="e">
        <f ca="1">IF(Control!$C$114=1,($JB82/(IF($JI82&lt;&gt;0,$JI82,1)))*$JK82,0)</f>
        <v>#N/A</v>
      </c>
      <c r="JN82" s="217" t="e">
        <f ca="1">IF(Control!$C$114=1,($JG82/(IF($JI82&lt;&gt;0,$JI82,1)))*$JK82, 0)</f>
        <v>#N/A</v>
      </c>
      <c r="JO82" s="218" t="e">
        <f t="shared" ca="1" si="307"/>
        <v>#N/A</v>
      </c>
      <c r="JP82" s="218" t="e">
        <f ca="1">MIN(($IY82+$IO82)*Control!$C$151, $JF82-$EH82*Control!$C$161)</f>
        <v>#N/A</v>
      </c>
      <c r="JQ82" s="218" t="e">
        <f t="shared" ca="1" si="308"/>
        <v>#N/A</v>
      </c>
      <c r="JR82" s="217" t="e">
        <f ca="1">IF($CP82-Control!$C$150&lt;0, 0, $JQ82/Control!$C$162)</f>
        <v>#N/A</v>
      </c>
      <c r="JS82" s="218" t="e">
        <f t="shared" ca="1" si="309"/>
        <v>#N/A</v>
      </c>
      <c r="JT82" s="218" t="e">
        <f t="shared" ca="1" si="417"/>
        <v>#N/A</v>
      </c>
      <c r="JU82" s="218" t="e">
        <f t="shared" ca="1" si="310"/>
        <v>#N/A</v>
      </c>
      <c r="JV82" s="218" t="e">
        <f t="shared" ca="1" si="311"/>
        <v>#N/A</v>
      </c>
      <c r="JW82" s="216" t="e">
        <f t="shared" ca="1" si="312"/>
        <v>#N/A</v>
      </c>
      <c r="JX82" s="91" t="e">
        <f t="shared" ca="1" si="313"/>
        <v>#N/A</v>
      </c>
      <c r="JY82" s="218" t="e">
        <f t="shared" ca="1" si="314"/>
        <v>#N/A</v>
      </c>
      <c r="JZ82" s="217" t="e">
        <f ca="1">IF(Control!$C$114=1,($IZ82/(IF($JI82&lt;&gt;0,$JI82,1)))*$JK82, 0)</f>
        <v>#N/A</v>
      </c>
      <c r="KA82" s="218" t="e">
        <f t="shared" ca="1" si="452"/>
        <v>#N/A</v>
      </c>
      <c r="KB82" s="218" t="e">
        <f t="shared" ca="1" si="418"/>
        <v>#N/A</v>
      </c>
      <c r="KC82" s="218" t="e">
        <f t="shared" ca="1" si="315"/>
        <v>#N/A</v>
      </c>
      <c r="KD82" s="218" t="e">
        <f t="shared" ca="1" si="316"/>
        <v>#N/A</v>
      </c>
      <c r="KE82" s="218" t="e">
        <f t="shared" ca="1" si="317"/>
        <v>#N/A</v>
      </c>
      <c r="KF82" s="218" t="e">
        <f t="shared" ca="1" si="318"/>
        <v>#N/A</v>
      </c>
      <c r="KG82" s="216" t="e">
        <f t="shared" ca="1" si="319"/>
        <v>#N/A</v>
      </c>
      <c r="KH82" s="221" t="e">
        <f ca="1">IF(Control!$B$24=0,1,MAX(0.001,MIN(1,IF(($IF82-$IE82)&lt;&gt;0,($KG82-$IE82)/($IF82-$IE82),1))))</f>
        <v>#N/A</v>
      </c>
      <c r="KI82" s="222" t="e">
        <f ca="1">IF(Control!$C$114=1, $KI81+ $KH81, 0)</f>
        <v>#N/A</v>
      </c>
      <c r="KJ82" s="217" t="e">
        <f t="shared" ca="1" si="320"/>
        <v>#N/A</v>
      </c>
      <c r="KK82" s="218" t="e">
        <f t="shared" ca="1" si="321"/>
        <v>#N/A</v>
      </c>
      <c r="KL82" s="274" t="e">
        <f ca="1">IF(Control!$B$26=3,4000000000*EXP(-8400/($G82+273)),IF(Control!$B$26=4,4000000000*EXP(-8400/($G82+273))*($KT82),0))</f>
        <v>#DIV/0!</v>
      </c>
      <c r="KM82" s="274" t="e">
        <f ca="1">IF(Control!$B$26=3,5600000000000*EXP(-9800/($G82+273)),IF(Control!$B$26=4,5600000000000*EXP(-9800/($G82+273))*$KT82,0))</f>
        <v>#DIV/0!</v>
      </c>
      <c r="KN82" s="454" t="e">
        <f t="shared" ca="1" si="419"/>
        <v>#DIV/0!</v>
      </c>
      <c r="KO82" s="274" t="e">
        <f t="shared" ca="1" si="420"/>
        <v>#DIV/0!</v>
      </c>
      <c r="KP82" s="454" t="e">
        <f t="shared" ca="1" si="322"/>
        <v>#DIV/0!</v>
      </c>
      <c r="KQ82" s="454" t="e">
        <f t="shared" ca="1" si="323"/>
        <v>#DIV/0!</v>
      </c>
      <c r="KR82" s="454" t="e">
        <f t="shared" ca="1" si="324"/>
        <v>#DIV/0!</v>
      </c>
      <c r="KS82" s="454" t="e">
        <f t="shared" ca="1" si="325"/>
        <v>#DIV/0!</v>
      </c>
      <c r="KT82" s="455" t="e">
        <f t="shared" ca="1" si="326"/>
        <v>#DIV/0!</v>
      </c>
      <c r="KU82" s="456" t="e">
        <f ca="1">IF($CP82-Control!$C$149&lt;0, IF($NT82-0.01&lt;0,0,1),0)</f>
        <v>#N/A</v>
      </c>
      <c r="KV82" s="456" t="e">
        <f ca="1">IF(Control!$C$114=1,MAX(0,MIN(Control!$C$125*$KW82*$GN82,$KW82)))</f>
        <v>#DIV/0!</v>
      </c>
      <c r="KW82" s="456" t="e">
        <f t="shared" ca="1" si="453"/>
        <v>#DIV/0!</v>
      </c>
      <c r="KX82" s="457" t="e">
        <f ca="1">IF($CP82-Control!$C$149&lt;0, IF($MR82-$OM82&lt;0,0,1),0)</f>
        <v>#N/A</v>
      </c>
      <c r="KY82" s="167">
        <f t="shared" ca="1" si="421"/>
        <v>78</v>
      </c>
      <c r="KZ82" s="168">
        <f ca="1">1370*(1+0.033*COS(2*Control!$C$138*$AH82/365))</f>
        <v>1380.2225518663035</v>
      </c>
      <c r="LA82" s="169">
        <f t="shared" ca="1" si="422"/>
        <v>1.0074618176217736</v>
      </c>
      <c r="LB82" s="169">
        <f t="shared" ca="1" si="423"/>
        <v>-1.9335180797684971E-2</v>
      </c>
      <c r="LC82" s="169">
        <f ca="1">ACOS(-TAN((2*Control!$B$8/360))*TAN(Calculations!$LB82))</f>
        <v>1.5650491026645599</v>
      </c>
      <c r="LD82" s="169">
        <f ca="1">((24*60)/PI())*0.082*$LA82*(($LC82*SIN(Control!$B$8*2*PI()/360))*SIN($LB82)+COS(Control!$B$8*2*PI()/360)*COS($LB82)*SIN($LC82))</f>
        <v>22.405304285360089</v>
      </c>
      <c r="LE82" s="170">
        <f t="shared" ca="1" si="327"/>
        <v>22.327906504711223</v>
      </c>
      <c r="LF82" s="170">
        <f ca="1">SIN(Control!$C$139*Control!$B$8)*SIN($HD82)</f>
        <v>-1.7533844606510172E-2</v>
      </c>
      <c r="LG82" s="170">
        <f ca="1">COS(Control!$C$139*Control!$B$8)*COS($HD82)</f>
        <v>0.61550737900525465</v>
      </c>
      <c r="LH82" s="170">
        <f ca="1">12*(1+2*ASIN(MAX(-1,MIN(1,$LF82/$LG82))/Control!$C$138))</f>
        <v>11.782374293260595</v>
      </c>
      <c r="LI82" s="170">
        <f ca="1">12*(1+2*ASIN(MAX(-1,MIN(1,(-SIN(-4*Control!$C$139)+$LF82)/$LG82))/Control!$C$138))</f>
        <v>12.648246207467178</v>
      </c>
      <c r="LJ82" s="168">
        <f ca="1">3600*($LH82*$LF82+24*$LG82*SQRT(1-$LK82*$LK82)/Control!$C$138)</f>
        <v>16177.033533121137</v>
      </c>
      <c r="LK82" s="170">
        <f t="shared" ca="1" si="328"/>
        <v>-2.848681462576013E-2</v>
      </c>
      <c r="LL82" s="170">
        <f t="shared" ca="1" si="329"/>
        <v>0</v>
      </c>
      <c r="LM82" s="171">
        <f ca="1">Control!$C$145*$AB82</f>
        <v>6.6660906138995932E-2</v>
      </c>
      <c r="LN82" s="170">
        <f t="shared" ca="1" si="424"/>
        <v>0.54</v>
      </c>
      <c r="LO82" s="170">
        <f t="shared" ca="1" si="330"/>
        <v>0</v>
      </c>
      <c r="LP82" s="170">
        <f ca="1">Control!$C$140*((($D82+273.16)^4+($E82+273.16)^4)/2)*(0.34-0.14*SQRT($Y82))*(1.35*$AQ82/(0.75*$LD82)-0.35)</f>
        <v>-3.2464704755046001</v>
      </c>
      <c r="LQ82" s="170">
        <f ca="1">Control!$C$140*($G82+273)^4*(0.56-0.079*SQRT($Y82*10))*(0.1+0.9*$LO82)</f>
        <v>1.5241745131704001</v>
      </c>
      <c r="LR82" s="170">
        <f ca="1">$AQ82*(1-Control!$C$142)-$LQ82</f>
        <v>-1.5241745131704001</v>
      </c>
      <c r="LS82" s="170">
        <f ca="1">$AQ82*(1-Control!$C$143)-$LQ82</f>
        <v>-1.5241745131704001</v>
      </c>
      <c r="LT82" s="170">
        <f ca="1">$AQ82*(1-Control!$C$144)-$LQ82</f>
        <v>-1.5241745131704001</v>
      </c>
      <c r="LU82" s="169">
        <f ca="1">(1-Control!$C$144)*AQ82-LP82</f>
        <v>3.2464704755046001</v>
      </c>
      <c r="LV82" s="172">
        <f t="shared" ca="1" si="331"/>
        <v>0.79430000000000012</v>
      </c>
      <c r="LW82" s="170">
        <f t="shared" ca="1" si="332"/>
        <v>1.5886000000000002</v>
      </c>
      <c r="LX82" s="170">
        <f ca="1">($AC82*($LR82/Control!$C$141)+$LM82*$LV82)/($AC82+$LM82)</f>
        <v>0.23530094218323697</v>
      </c>
      <c r="LY82" s="170">
        <f ca="1">($AC82*($LS82/Control!$C$141)+$LM82*$LV82)/($AC82+$LM82)</f>
        <v>0.23530094218323697</v>
      </c>
      <c r="LZ82" s="170">
        <f t="shared" ca="1" si="333"/>
        <v>0.23530094218323697</v>
      </c>
      <c r="MA82" s="170">
        <f t="shared" ca="1" si="334"/>
        <v>0.23530094218323697</v>
      </c>
      <c r="MB82" s="170" t="e">
        <f t="shared" ca="1" si="335"/>
        <v>#N/A</v>
      </c>
      <c r="MC82" s="170">
        <f t="shared" ca="1" si="425"/>
        <v>0.6018</v>
      </c>
      <c r="MD82" s="170">
        <f t="shared" ca="1" si="336"/>
        <v>0.52989392535414004</v>
      </c>
      <c r="ME82" s="170">
        <f ca="1">($AC82*($LT82/Control!$C$141)+$LM82*$LW82)/($AC82+$LM82)</f>
        <v>0.71612369323045078</v>
      </c>
      <c r="MF82" s="170" t="e">
        <f ca="1">IF(Control!$B$16&gt;=1000,0.92,IF(AND(720&lt;=Control!$B$16,1000&gt;Control!$B$16),(0.95+(Control!$B$16-720)*((0.92-0.95)/(1000-720))),IF(AND(360&lt;=Control!$B$16,720&gt;Control!$B$16),(1+(Control!$B$16-360)*((0.95-1)/(720-360))),IF(AND(40&lt;=Control!$B$16,360&gt;Control!$B$16),(1.05+(Control!$B$16-40)*((1.05-1)/(360-40)))))))</f>
        <v>#N/A</v>
      </c>
      <c r="MG82" s="170">
        <f t="shared" ca="1" si="337"/>
        <v>0.71612369323045078</v>
      </c>
      <c r="MH82" s="170" t="e">
        <f t="shared" ca="1" si="233"/>
        <v>#N/A</v>
      </c>
      <c r="MI82" s="170" t="e">
        <f t="shared" ca="1" si="233"/>
        <v>#N/A</v>
      </c>
      <c r="MJ82" s="170" t="e">
        <f ca="1">MAX(0.0001, Control!$C$132*$MI82*$DL82)</f>
        <v>#N/A</v>
      </c>
      <c r="MK82" s="170">
        <f ca="1">1/(0.76+1.5*($MG82/10))-(5-Control!$C$110)*0.1</f>
        <v>1.002845988140797</v>
      </c>
      <c r="ML82" s="173">
        <f ca="1">IF(Control!$C$110&lt;3,$MK82+($MG82-0.6)/(Control!$C$110*(Control!$C$110+3)), MAX(0.1, MIN(0.95,$MK82)))</f>
        <v>0.95</v>
      </c>
      <c r="MM82" s="173">
        <f ca="1">IF(Control!$C$110&lt;3,$MK82+(($MI82/10)-0.6)/(Control!$C$110*(Control!$C$110+3)), MAX(0.1, MIN(0.95,$MK82)))</f>
        <v>0.95</v>
      </c>
      <c r="MN82" s="173">
        <f ca="1">(1-$MM82)*(Control!$C$128-Control!$C$127)+Control!$C$127</f>
        <v>0.16</v>
      </c>
      <c r="MO82" s="170" t="e">
        <f ca="1">MAX(0,MIN(1,($MS82-Control!$C$127)/($MN82-Control!$C$127)))</f>
        <v>#DIV/0!</v>
      </c>
      <c r="MP82" s="173" t="e">
        <f ca="1">1/(0.76+1.5*$MI82)-(5-Control!$C$110)*0.1</f>
        <v>#N/A</v>
      </c>
      <c r="MQ82" s="172" t="e">
        <f t="shared" ca="1" si="454"/>
        <v>#DIV/0!</v>
      </c>
      <c r="MR82" s="168" t="e">
        <f t="shared" ca="1" si="426"/>
        <v>#DIV/0!</v>
      </c>
      <c r="MS82" s="173" t="e">
        <f ca="1">MAX(Control!$C$127, MIN(Control!$C$135, $MR82/MAX(0.0001,$CY82)))</f>
        <v>#DIV/0!</v>
      </c>
      <c r="MT82" s="168" t="e">
        <f ca="1">(Control!$C$128-$MS82)*Control!$C$74</f>
        <v>#DIV/0!</v>
      </c>
      <c r="MU82" s="168" t="e">
        <f ca="1">(Control!$C$135-$MS82)*Control!$C$74</f>
        <v>#DIV/0!</v>
      </c>
      <c r="MV82" s="168" t="e">
        <f t="shared" ca="1" si="427"/>
        <v>#DIV/0!</v>
      </c>
      <c r="MW82" s="168" t="e">
        <f t="shared" ca="1" si="428"/>
        <v>#DIV/0!</v>
      </c>
      <c r="MX82" s="171" t="e">
        <f ca="1">MAX(Control!$C$127, MIN(Control!$C$135, $MW82/MAX(0.0001,Control!$C$119-$CY82)))</f>
        <v>#DIV/0!</v>
      </c>
      <c r="MY82" s="54" t="e">
        <f ca="1">IF(Control!$C$114=1, $CX82*$MX82, 0)</f>
        <v>#DIV/0!</v>
      </c>
      <c r="MZ82" s="54" t="e">
        <f t="shared" ca="1" si="429"/>
        <v>#N/A</v>
      </c>
      <c r="NA82" s="168" t="e">
        <f ca="1">(Control!$C$128-$MX82)*(Control!$C$119-Control!$C$74)</f>
        <v>#DIV/0!</v>
      </c>
      <c r="NB82" s="168" t="e">
        <f ca="1">(Control!$C$135-$MX82)*(Control!$C$119-Control!$C$74)</f>
        <v>#DIV/0!</v>
      </c>
      <c r="NC82" s="174" t="e">
        <f t="shared" ca="1" si="430"/>
        <v>#DIV/0!</v>
      </c>
      <c r="ND82" s="54">
        <f ca="1">IF(Control!$C$58=2, IF(OR(Control!$B$218=$AH82,Control!$B$219=$AH82, Control!$B$220=$AH82, Control!$B$221=$AH82, Control!$B$222=$AH82, Control!$B$223=$AH82, Control!$B$224=$AH82, Control!$B$225=$AH82, Control!$B$226=$AH82, Control!$B$227=$AH82, Control!$B$228=$AH82), 1, 0), 0)</f>
        <v>0</v>
      </c>
      <c r="NE82" s="54">
        <f ca="1">IF($ND82=0,0, VLOOKUP($AH82,Control!$B$218:$C$228,2))</f>
        <v>0</v>
      </c>
      <c r="NF82" s="168" t="e">
        <f ca="1">$CY82*(Control!$C$128-Control!$C$127)</f>
        <v>#N/A</v>
      </c>
      <c r="NG82" s="54" t="e">
        <f ca="1">IF(Control!$C$58=2, $NI81-$NJ81, 0)</f>
        <v>#DIV/0!</v>
      </c>
      <c r="NH82" s="54" t="e">
        <f ca="1">IF(AND(Control!$C$58=1, $MS81&lt;= ($MN81+0.02), $I81&lt;10), 0, IF(Control!$C$58=2, $NG81, 0))</f>
        <v>#DIV/0!</v>
      </c>
      <c r="NI82" s="54" t="e">
        <f ca="1">IF(Control!$C$58=2, $NE82+$NH82,0)</f>
        <v>#DIV/0!</v>
      </c>
      <c r="NJ82" s="54" t="e">
        <f ca="1">IF(AND(Control!$C$58=1, $MS82&lt;= ($MN82+0.02), $I82&lt;10), MAX(0, MIN(10, 0.7*($NF82-$MV82))), IF(Control!$C$58=2, MIN(10,$NI82),0))</f>
        <v>#DIV/0!</v>
      </c>
      <c r="NK82" s="54" t="e">
        <f t="shared" ca="1" si="338"/>
        <v>#DIV/0!</v>
      </c>
      <c r="NL82" s="173" t="e">
        <f ca="1">(1-Control!$C$73)*$I82+$NJ82</f>
        <v>#DIV/0!</v>
      </c>
      <c r="NM82" s="172" t="e">
        <f ca="1">IF($NL82&lt;0.5, $MB82* MAX(0, MIN(1, (SQRT($NC82)-SQRT($NC82-1))*Control!$C$71)),0)</f>
        <v>#DIV/0!</v>
      </c>
      <c r="NN82" s="170" t="e">
        <f ca="1">IF($NL82&gt;=5, $MB82, MAX(0,MIN($MB82, $NM82+$NL82,($MS82-Control!$C$129))))</f>
        <v>#DIV/0!</v>
      </c>
      <c r="NO82" s="54">
        <f>IF(Control!$C$133&lt;&gt;1, Control!$C$135-Control!$C$131, 0)</f>
        <v>0.38</v>
      </c>
      <c r="NP82" s="54" t="e">
        <f t="shared" ca="1" si="339"/>
        <v>#DIV/0!</v>
      </c>
      <c r="NQ82" s="173" t="e">
        <f ca="1">MAX(0,MIN(1,(Control!$C$135-$MS82)/(Control!$C$135-$NO82)))</f>
        <v>#DIV/0!</v>
      </c>
      <c r="NR82" s="170" t="e">
        <f ca="1">IF(Control!$C$133&lt;&gt;1, $NQ82+((1-$NP82/4)*(1-$NQ82)),1)</f>
        <v>#DIV/0!</v>
      </c>
      <c r="NS82" s="170" t="e">
        <f ca="1">IF(Control!$B$31=0,$MJ82,MAX(0,MIN($MV82,$MO82*$NR82*$MJ82)))</f>
        <v>#DIV/0!</v>
      </c>
      <c r="NT82" s="170" t="e">
        <f t="shared" ca="1" si="455"/>
        <v>#DIV/0!</v>
      </c>
      <c r="NU82" s="170" t="e">
        <f t="shared" ca="1" si="431"/>
        <v>#N/A</v>
      </c>
      <c r="NV82" s="170" t="e">
        <f t="shared" ca="1" si="340"/>
        <v>#N/A</v>
      </c>
      <c r="NW82" s="175" t="e">
        <f t="shared" ca="1" si="341"/>
        <v>#DIV/0!</v>
      </c>
      <c r="NX82" s="170" t="e">
        <f ca="1">MIN(Control!$C$72+$MU82, $NW82)</f>
        <v>#DIV/0!</v>
      </c>
      <c r="NY82" s="170" t="e">
        <f ca="1">IF($MT82&lt;=$NX82,MIN(Control!$C$72+$NB82,$NX82-$MT82),0)</f>
        <v>#DIV/0!</v>
      </c>
      <c r="NZ82" s="54" t="e">
        <f ca="1">IF(Control!$C$114=1,  $CX82*($MX82-Control!$C$127), 0)</f>
        <v>#DIV/0!</v>
      </c>
      <c r="OA82" s="170" t="e">
        <f t="shared" ca="1" si="342"/>
        <v>#DIV/0!</v>
      </c>
      <c r="OB82" s="170" t="e">
        <f ca="1">IF($NA82 &lt;=$NY82, MIN(Control!$C$72, $NY82-$NA82), 0)</f>
        <v>#DIV/0!</v>
      </c>
      <c r="OC82" s="168" t="e">
        <f t="shared" ca="1" si="343"/>
        <v>#DIV/0!</v>
      </c>
      <c r="OD82" s="168" t="e">
        <f t="shared" ca="1" si="432"/>
        <v>#DIV/0!</v>
      </c>
      <c r="OE82" s="170">
        <f ca="1">Control!$C$73*$I82</f>
        <v>0</v>
      </c>
      <c r="OF82" s="176" t="e">
        <f t="shared" ca="1" si="344"/>
        <v>#DIV/0!</v>
      </c>
      <c r="OG82" s="168" t="e">
        <f t="shared" ca="1" si="345"/>
        <v>#DIV/0!</v>
      </c>
      <c r="OH82" s="168" t="e">
        <f t="shared" ca="1" si="346"/>
        <v>#DIV/0!</v>
      </c>
      <c r="OI82" s="168" t="e">
        <f t="shared" ca="1" si="347"/>
        <v>#DIV/0!</v>
      </c>
      <c r="OJ82" s="168" t="e">
        <f t="shared" ca="1" si="348"/>
        <v>#DIV/0!</v>
      </c>
      <c r="OK82" s="204" t="e">
        <f t="shared" ca="1" si="349"/>
        <v>#DIV/0!</v>
      </c>
      <c r="OL82" s="177">
        <f>Control!$C$127</f>
        <v>0.15</v>
      </c>
      <c r="OM82" s="182" t="e">
        <f t="shared" ca="1" si="350"/>
        <v>#N/A</v>
      </c>
      <c r="ON82" s="177">
        <f>Control!$C$128</f>
        <v>0.35</v>
      </c>
      <c r="OO82" s="182" t="e">
        <f t="shared" ca="1" si="351"/>
        <v>#N/A</v>
      </c>
      <c r="OP82" s="138">
        <f t="shared" ca="1" si="433"/>
        <v>0</v>
      </c>
      <c r="OQ82" s="138" t="e">
        <f t="shared" ca="1" si="456"/>
        <v>#DIV/0!</v>
      </c>
      <c r="OR82" s="138" t="e">
        <f t="shared" ca="1" si="434"/>
        <v>#DIV/0!</v>
      </c>
      <c r="OS82" s="137" t="e">
        <f t="shared" ca="1" si="457"/>
        <v>#DIV/0!</v>
      </c>
      <c r="OT82" s="139" t="e">
        <f t="shared" ca="1" si="458"/>
        <v>#DIV/0!</v>
      </c>
      <c r="OU82" s="138" t="e">
        <f t="shared" ca="1" si="459"/>
        <v>#N/A</v>
      </c>
      <c r="OV82" s="138" t="e">
        <f t="shared" ca="1" si="460"/>
        <v>#DIV/0!</v>
      </c>
      <c r="OW82" s="138" t="e">
        <f t="shared" ca="1" si="435"/>
        <v>#DIV/0!</v>
      </c>
      <c r="OX82" s="138" t="e">
        <f t="shared" ca="1" si="436"/>
        <v>#DIV/0!</v>
      </c>
      <c r="OY82" s="138" t="e">
        <f t="shared" ca="1" si="437"/>
        <v>#DIV/0!</v>
      </c>
      <c r="OZ82" s="138" t="e">
        <f t="shared" ca="1" si="352"/>
        <v>#DIV/0!</v>
      </c>
      <c r="PA82" s="138" t="e">
        <f t="shared" ca="1" si="353"/>
        <v>#DIV/0!</v>
      </c>
      <c r="PB82" s="55">
        <f>IF(Control!$C$61="T", IF(Control!$C$65="F", IF($AH$6-Control!$C$60&lt;0,0,1), IF(365+$AH$6-Control!$C$60&lt;0,0,1)),0)</f>
        <v>0</v>
      </c>
      <c r="PC82" s="55">
        <f ca="1">IF(Control!$C$65="F", IF($AH$6-$HF82&lt;0,0,1), IF(365+$AH$6-$HF82&lt;0,0,1))</f>
        <v>1</v>
      </c>
      <c r="PD82" s="444">
        <f>Control!$C$118</f>
        <v>1500</v>
      </c>
      <c r="PE82" s="180" t="e">
        <f t="shared" ca="1" si="354"/>
        <v>#N/A</v>
      </c>
      <c r="PF82" s="445">
        <f t="shared" ca="1" si="438"/>
        <v>0.71612369323045078</v>
      </c>
      <c r="PT82" s="186"/>
      <c r="PU82" s="186"/>
      <c r="PV82" s="94"/>
      <c r="PW82" s="94"/>
      <c r="PX82" s="94"/>
      <c r="PY82" s="94"/>
      <c r="PZ82" s="94"/>
      <c r="QA82" s="94"/>
      <c r="QB82" s="94"/>
      <c r="QC82" s="94"/>
      <c r="QD82" s="94"/>
      <c r="QE82" s="94"/>
      <c r="QF82" s="94"/>
      <c r="QG82" s="94"/>
      <c r="QH82" s="94"/>
      <c r="QI82" s="94"/>
      <c r="QJ82" s="94"/>
      <c r="QK82" s="94"/>
      <c r="QL82" s="94"/>
      <c r="QM82" s="94"/>
      <c r="QN82" s="94"/>
      <c r="QO82" s="94"/>
      <c r="QP82" s="94"/>
    </row>
    <row r="83" spans="1:458" s="2" customFormat="1" x14ac:dyDescent="0.2">
      <c r="A83" s="395">
        <v>19</v>
      </c>
      <c r="B83" s="396">
        <v>3</v>
      </c>
      <c r="C83" s="387">
        <f ca="1">Weather_data!$B82</f>
        <v>0</v>
      </c>
      <c r="D83" s="388">
        <f ca="1">Weather_data!$F82</f>
        <v>0</v>
      </c>
      <c r="E83" s="388">
        <f ca="1">Weather_data!$E82</f>
        <v>0</v>
      </c>
      <c r="F83" s="388">
        <f t="shared" ca="1" si="355"/>
        <v>0</v>
      </c>
      <c r="G83" s="388">
        <f ca="1">AVERAGE($D83:$E83)+Control!$B$9</f>
        <v>0</v>
      </c>
      <c r="H83" s="388">
        <f ca="1">Weather_data!$G82</f>
        <v>0</v>
      </c>
      <c r="I83" s="388">
        <f ca="1">Weather_data!$I82</f>
        <v>0</v>
      </c>
      <c r="J83" s="388">
        <f ca="1">Weather_data!$H82</f>
        <v>0</v>
      </c>
      <c r="K83" s="389">
        <f ca="1">Weather_data!$D82</f>
        <v>0</v>
      </c>
      <c r="L83" s="388" t="e">
        <f t="shared" ca="1" si="356"/>
        <v>#N/A</v>
      </c>
      <c r="M83" s="388" t="e">
        <f t="shared" ca="1" si="234"/>
        <v>#N/A</v>
      </c>
      <c r="N83" s="388">
        <f t="shared" ca="1" si="235"/>
        <v>-1.4984533643922643E-4</v>
      </c>
      <c r="O83" s="388">
        <f t="shared" ca="1" si="357"/>
        <v>1.4984533643922643E-3</v>
      </c>
      <c r="P83" s="390">
        <v>3</v>
      </c>
      <c r="Q83" s="388">
        <f ca="1">MAX($G83-Control!$C$107,0)</f>
        <v>0</v>
      </c>
      <c r="R83" s="388">
        <f t="shared" ca="1" si="358"/>
        <v>0</v>
      </c>
      <c r="S83" s="388">
        <f t="shared" ca="1" si="236"/>
        <v>0</v>
      </c>
      <c r="T83" s="388">
        <f t="shared" ca="1" si="237"/>
        <v>0</v>
      </c>
      <c r="U83" s="59">
        <f t="shared" ca="1" si="238"/>
        <v>0</v>
      </c>
      <c r="V83" s="391">
        <f ca="1">MAX(0,MIN(Control!$C$100-Control!$C$99,$G83-Control!$C$99)*Control!$C$63)</f>
        <v>0</v>
      </c>
      <c r="W83" s="388">
        <f t="shared" ca="1" si="359"/>
        <v>0</v>
      </c>
      <c r="X83" s="388">
        <f t="shared" ca="1" si="360"/>
        <v>0.6110000000000001</v>
      </c>
      <c r="Y83" s="388">
        <f t="shared" ca="1" si="239"/>
        <v>0</v>
      </c>
      <c r="Z83" s="388">
        <f t="shared" ca="1" si="361"/>
        <v>0.61058800000000002</v>
      </c>
      <c r="AA83" s="388">
        <f t="shared" ca="1" si="240"/>
        <v>0.6018</v>
      </c>
      <c r="AB83" s="388">
        <f ca="1">101.3*EXP(-0.034*Control!$C$66/($G83+273))</f>
        <v>100.69623283836242</v>
      </c>
      <c r="AC83" s="392">
        <f t="shared" ca="1" si="241"/>
        <v>4.3460251046025113E-2</v>
      </c>
      <c r="AD83" s="392">
        <f t="shared" ca="1" si="242"/>
        <v>4.4450382862832649E-2</v>
      </c>
      <c r="AE83" s="388">
        <f t="shared" ca="1" si="243"/>
        <v>0</v>
      </c>
      <c r="AF83" s="388">
        <f ca="1">MAX(0,$G83-Control!$C$92)</f>
        <v>0</v>
      </c>
      <c r="AG83" s="393">
        <f t="shared" ca="1" si="244"/>
        <v>79</v>
      </c>
      <c r="AH83" s="389">
        <f t="shared" ca="1" si="245"/>
        <v>79</v>
      </c>
      <c r="AI83" s="388">
        <f t="shared" ca="1" si="362"/>
        <v>-1.5408697778897936E-2</v>
      </c>
      <c r="AJ83" s="388">
        <f ca="1">IF(Control!$C$60&lt;=0,$HH83,$HI83)</f>
        <v>1</v>
      </c>
      <c r="AK83" s="388">
        <f t="shared" ca="1" si="246"/>
        <v>-1.7214206321039961E-2</v>
      </c>
      <c r="AL83" s="388">
        <f t="shared" ca="1" si="247"/>
        <v>1.9836406822681952E-18</v>
      </c>
      <c r="AM83" s="388">
        <f t="shared" ca="1" si="248"/>
        <v>-1.7214206321039958E-2</v>
      </c>
      <c r="AN83" s="388">
        <f t="shared" ca="1" si="249"/>
        <v>-6.8475265905114206E-3</v>
      </c>
      <c r="AO83" s="388">
        <f ca="1">-0.10453/COS(Control!$B$8*PI()/180)*COS(AN83)</f>
        <v>-0.16978088375683956</v>
      </c>
      <c r="AP83" s="388">
        <f ca="1">ACOS(AO83-TAN(Control!$B$8*PI()/180)*TAN(AN83))</f>
        <v>1.7325166422798874</v>
      </c>
      <c r="AQ83" s="388">
        <f t="shared" ca="1" si="363"/>
        <v>0</v>
      </c>
      <c r="AR83" s="394">
        <f t="shared" ca="1" si="250"/>
        <v>0</v>
      </c>
      <c r="AS83" s="436">
        <f ca="1">IF(Control!$B$18=2,(IF(OR($AH83=Control!$B$175,$AH83=Control!$B$176,$AH83=Control!$B$177,$AH83=Control!$B$178,$AH83=Control!$B$179,$AH83=Control!$B$180,$AH83=Control!$B$181,$AH83=Control!$B$182,$AH83=Control!$B$183,$AH83=Control!$B$184,$AH83=Control!$B$185),1,0)),0)</f>
        <v>0</v>
      </c>
      <c r="AT83" s="436">
        <f>IF(Control!$B$20=8,IF(AND($AH83&gt;=Control!$B$172,$AH83&lt;=Control!$B$173),1,0),0)</f>
        <v>0</v>
      </c>
      <c r="AU83" s="436">
        <f>IF(Control!$B$20=8,IF($AV82=1,1*$AT83,IF($AT83=1,$AU82+1,$AU82)),0)</f>
        <v>0</v>
      </c>
      <c r="AV83" s="436">
        <f>IF(Control!$B$20=8,IF($AU83&gt;=Control!$B$174,1,0),0)</f>
        <v>0</v>
      </c>
      <c r="AW83" s="436">
        <f ca="1">IF(AND(Control!$B$18=2,Control!$B$171=1), $AV83, $AS83)</f>
        <v>0</v>
      </c>
      <c r="AX83" s="436" t="e">
        <f ca="1">IF(AND(Control!$B$18=1,$EU83&gt;=Control!$B$19),-$AY83,IF(AND(Control!$B$18=2,$AW83=1,$EU83&gt;$DS83),-$AY83, IF(Control!$C$108=0,0, IF(Control!$C$108&lt;&gt;0,1))))</f>
        <v>#N/A</v>
      </c>
      <c r="AY83" s="436" t="e">
        <f t="shared" ca="1" si="364"/>
        <v>#N/A</v>
      </c>
      <c r="AZ83" s="436" t="e">
        <f ca="1">IF(AND(Control!$B$18=1,$EB83&gt;Control!$B$19),$AZ82+1, IF(AND(Control!$B$18=2, $AW83=1, $EB83&gt;$DS83), $AZ82+1,$AZ82))</f>
        <v>#N/A</v>
      </c>
      <c r="BA83" s="587">
        <f>IF(Control!$C$81=0,1,IF($AH83&gt;=Control!$C$82,1,0))</f>
        <v>1</v>
      </c>
      <c r="BB83" s="140" t="e">
        <f ca="1">IF($BA83&gt;$BA82,Control!$C$83,IF($AW83&gt;0,$AW83*Control!$C$84,IF(AND(Control!$B$18=1,EN82&lt;&gt;0),Control!$C$84,0)))</f>
        <v>#N/A</v>
      </c>
      <c r="BC83" s="140" t="e">
        <f t="shared" ca="1" si="365"/>
        <v>#N/A</v>
      </c>
      <c r="BD83" s="140" t="e">
        <f ca="1">BC83*IF(OR($G83&lt;Control!$C$92,$G83&gt;Control!$C$95),0,IF(AND($G83&gt;=Control!$C$92,$G83&lt;=Control!$C$93),$G83-Control!$C$92,IF(AND($G83&gt;Control!$C$93,$G83&lt;=Control!$C$94),Control!$C$93-Control!$C$92,IF(AND($G83&gt;Control!$C$94,$G83&lt;=Control!$C$95),(Control!$C$93-Control!$C$92)*(Control!$C$94-$G83)/(Control!$C$95-Control!$C$94)))))</f>
        <v>#N/A</v>
      </c>
      <c r="BE83" s="140" t="e">
        <f t="shared" ca="1" si="366"/>
        <v>#N/A</v>
      </c>
      <c r="BF83" s="140" t="e">
        <f ca="1">IF($BE83&lt;=Control!$C$86,$BE83,Control!$C$86-$BE83)</f>
        <v>#N/A</v>
      </c>
      <c r="BG83" s="140" t="e">
        <f ca="1">IF(AND($AW83=1,Control!$C$84&lt;9),1,IF($BE83&gt;=Control!$C$86,0,$BC83))</f>
        <v>#N/A</v>
      </c>
      <c r="BH83" s="404" t="e">
        <f ca="1">IF($BG83=0,0,IF($BE83&lt;=Control!$C$86,$BC83*9*($BF83/Control!$C$86),0))</f>
        <v>#N/A</v>
      </c>
      <c r="BI83" s="140" t="e">
        <f ca="1">IF($BG83=1,0,IF($BE83&gt;=Control!$C$86,1,IF(AND($BB83&lt;21,$BB83&gt;=9),1,$BM82)))</f>
        <v>#N/A</v>
      </c>
      <c r="BJ83" s="140" t="e">
        <f ca="1">IF($BF83&lt;0,-$BF83,$BI83*IF(OR($G83&lt;Control!$C$92,$G83&gt;Control!$C$95),0,IF(AND($G83&gt;=Control!$C$92,$G83&lt;=Control!$C$93),$G83-Control!$C$92,IF(AND($G83&gt;Control!$C$93,$G83&lt;=Control!$C$94),Control!$C$93-Control!$C$92,IF(AND($G83&gt;Control!$C$94,$G83&lt;=Control!$C$95),(Control!$C$93-Control!$C$92)*(Control!$C$94-$G83)/(Control!$C$95-Control!$C$94))))))</f>
        <v>#N/A</v>
      </c>
      <c r="BK83" s="140" t="e">
        <f t="shared" ca="1" si="367"/>
        <v>#N/A</v>
      </c>
      <c r="BL83" s="140" t="e">
        <f ca="1">IF($BK83&lt;=Control!$C$87,$BK83,Control!$C$87-$BK83)</f>
        <v>#N/A</v>
      </c>
      <c r="BM83" s="140" t="e">
        <f ca="1">IF(AND($BB83&gt;=9,$BB83&lt;21),1,IF($BK83&gt;=Control!$C$87,0,$BI83))</f>
        <v>#N/A</v>
      </c>
      <c r="BN83" s="404" t="e">
        <f ca="1">IF($BM83=0,0,IF($BK83&lt;=Control!$C$87,$BI83*(9+(21-9)*($BL83/Control!$C$87)),0))</f>
        <v>#N/A</v>
      </c>
      <c r="BO83" s="140" t="e">
        <f ca="1">IF($BM83=1,0,IF($BK83&gt;=Control!$C$87,1,IF(AND($BB83&lt;30,$BB83&gt;=21),1,$BS82)))</f>
        <v>#N/A</v>
      </c>
      <c r="BP83" s="140" t="e">
        <f ca="1">IF($BL83&lt;0,-$BL83,$BO83*IF(OR($G83&lt;Control!$C$92,$G83&gt;Control!$C$95),0,IF(AND($G83&gt;=Control!$C$92,$G83&lt;=Control!$C$93),$G83-Control!$C$92,IF(AND($G83&gt;Control!$C$93,$G83&lt;=Control!$C$94),Control!$C$93-Control!$C$92,IF(AND($G83&gt;Control!$C$94,$G83&lt;=Control!$C$95),(Control!$C$93-Control!$C$92)*(Control!$C$94-$G83)/(Control!$C$95-Control!$C$94))))))</f>
        <v>#N/A</v>
      </c>
      <c r="BQ83" s="140" t="e">
        <f t="shared" ca="1" si="251"/>
        <v>#N/A</v>
      </c>
      <c r="BR83" s="140" t="e">
        <f ca="1">IF($BQ83&lt;=Control!$C$88,$BQ83,Control!$C$88-$BQ83)</f>
        <v>#N/A</v>
      </c>
      <c r="BS83" s="140" t="e">
        <f ca="1">IF(AND($BB83&gt;=21,$BB83&lt;30),1,IF($BQ83&gt;=Control!$C$88,0,$BO83))</f>
        <v>#N/A</v>
      </c>
      <c r="BT83" s="404" t="e">
        <f ca="1">IF($BS83=0,0,IF($BQ83&lt;=Control!$C$88,$BO83*(21+(30-21)*(BR83/Control!$C$88)),0))</f>
        <v>#N/A</v>
      </c>
      <c r="BU83" s="140" t="e">
        <f ca="1">IF(BG83+BM83+BS83=1,0,IF(OR(AND($BB83&lt;60,$BB83&gt;=30),$BQ83&gt;=Control!$C$88),1*$BA83,$BY82))</f>
        <v>#N/A</v>
      </c>
      <c r="BV83" s="140" t="e">
        <f ca="1">IF($BR83&lt;0,-$BR83,$BU83*IF(OR($G83&lt;Control!$C$92,$G83&gt;Control!$C$95),0,IF(AND($G83&gt;=Control!$C$92,$G83&lt;=Control!$C$93),$G83-Control!$C$92,IF(AND($G83&gt;Control!$C$93,$G83&lt;=Control!$C$94),Control!$C$93-Control!$C$92,IF(AND($G83&gt;Control!$C$94,$G83&lt;=Control!$C$95),(Control!$C$93-Control!$C$92)*(Control!$C$94-$G83)/(Control!$C$95-Control!$C$94))))))</f>
        <v>#N/A</v>
      </c>
      <c r="BW83" s="140" t="e">
        <f t="shared" ca="1" si="252"/>
        <v>#N/A</v>
      </c>
      <c r="BX83" s="140" t="e">
        <f ca="1">IF($BW83&lt;=Control!$C$89,$BW83,Control!$C$89-$BW83)</f>
        <v>#N/A</v>
      </c>
      <c r="BY83" s="140" t="e">
        <f ca="1">IF(AND($AJ83&gt;=30,$AJ83&lt;60),1,IF($BW83&gt;=Control!$C$89,0,$BU83))</f>
        <v>#N/A</v>
      </c>
      <c r="BZ83" s="404" t="e">
        <f ca="1">IF($BY83=0,0,IF($BW83&lt;=Control!$C$89,$BU83*(30+(60-30)*(BX83/Control!$C$89)),0))</f>
        <v>#N/A</v>
      </c>
      <c r="CA83" s="140" t="e">
        <f ca="1">IF($BG83+$BM83+$BS83+$BY83=1,0,IF(OR(AND($BB83&lt;65,$BB83&gt;=60),$BW83&gt;=Control!$C$89),1*$BA83,$CE82))</f>
        <v>#N/A</v>
      </c>
      <c r="CB83" s="140" t="e">
        <f ca="1">IF($BX83&lt;0,-$BX83,$CA83*IF(OR($G83&lt;Control!$C$92,$G83&gt;Control!$C$95),0,IF(AND($G83&gt;=Control!$C$92,$G83&lt;=Control!$C$93),$G83-Control!$C$92,IF(AND($G83&gt;Control!$C$93,$G83&lt;=Control!$C$94),Control!$C$93-Control!$C$92,IF(AND($G83&gt;Control!$C$94,$G83&lt;=Control!$C$95),(Control!$C$93-Control!$C$92)*(Control!$C$94-$G83)/(Control!$C$95-Control!$C$94))))))</f>
        <v>#N/A</v>
      </c>
      <c r="CC83" s="140" t="e">
        <f t="shared" ca="1" si="368"/>
        <v>#N/A</v>
      </c>
      <c r="CD83" s="140" t="e">
        <f ca="1">IF($CC83&lt;=Control!$C$90,$CC83,Control!$C$90-$CC83)</f>
        <v>#N/A</v>
      </c>
      <c r="CE83" s="140" t="e">
        <f ca="1">IF(AND($BB83&gt;=60,$BB83&lt;65),1,IF($CC83&gt;=Control!$C$90,0,$CA83))</f>
        <v>#N/A</v>
      </c>
      <c r="CF83" s="404" t="e">
        <f ca="1">IF($CE83=0,0,IF($CC83&lt;=Control!$C$90,$CA83*(60+(65-60)*(CD83/Control!$C$90)),0))</f>
        <v>#N/A</v>
      </c>
      <c r="CG83" s="140" t="e">
        <f ca="1">IF($BG83+$BM83+$BS83+$BY83+$CE83=1,0,IF(OR(AND($BB83&lt;90,$BB83&gt;=65),$CC83&gt;=Control!$C$90),$BA83,$CK82))</f>
        <v>#N/A</v>
      </c>
      <c r="CH83" s="140" t="e">
        <f ca="1">IF($CD83&lt;0,-$CD83,$CG83*IF(OR($G83&lt;Control!$C$92,$G83&gt;Control!$C$95),0,IF(AND($G83&gt;=Control!$C$92,$G83&lt;=Control!$C$93),$G83-Control!$C$92,IF(AND($G83&gt;Control!$C$93,$G83&lt;=Control!$C$94),Control!$C$93-Control!$C$92,IF(AND($G83&gt;Control!$C$94,$G83&lt;=Control!$C$95),(Control!$C$93-Control!$C$92)*(Control!$C$94-$G83)/(Control!$C$95-Control!$C$94))))))</f>
        <v>#N/A</v>
      </c>
      <c r="CI83" s="140" t="e">
        <f t="shared" ca="1" si="369"/>
        <v>#N/A</v>
      </c>
      <c r="CJ83" s="140" t="e">
        <f ca="1">IF($CI83&lt;=Control!$C$91,$CI83,Control!$C$91-$CI83)</f>
        <v>#N/A</v>
      </c>
      <c r="CK83" s="140" t="e">
        <f ca="1">IF(AND($BB83&gt;=65,$BB83&lt;90),1,IF($CI83&gt;=Control!$C$91,0,$CG83))</f>
        <v>#N/A</v>
      </c>
      <c r="CL83" s="404" t="e">
        <f ca="1">IF($CK83=0,0,IF($CI83&lt;=Control!$C$91,$CG83*(65+(90-65)*($CJ83/Control!$C$91)),0))</f>
        <v>#N/A</v>
      </c>
      <c r="CM83" s="140" t="e">
        <f ca="1">IF($BG83+$BM83+$BS83+$BY83+$CE83+$CK83=1,0,IF(OR($BB83&gt;=90,$CI83&gt;=Control!$C$91),$BA83,$CM82))</f>
        <v>#N/A</v>
      </c>
      <c r="CN83" s="140" t="e">
        <f t="shared" ca="1" si="370"/>
        <v>#N/A</v>
      </c>
      <c r="CO83" s="140" t="e">
        <f t="shared" ca="1" si="371"/>
        <v>#N/A</v>
      </c>
      <c r="CP83" s="140" t="e">
        <f t="shared" ca="1" si="372"/>
        <v>#N/A</v>
      </c>
      <c r="CQ83" s="141" t="e">
        <f ca="1">VLOOKUP($CP83,Control!$B$86:$G$91,6)</f>
        <v>#N/A</v>
      </c>
      <c r="CR83" s="141" t="e">
        <f ca="1">(1-$CQ83)*VLOOKUP($CP83,Control!$B$86:$D$91,3)</f>
        <v>#N/A</v>
      </c>
      <c r="CS83" s="141" t="e">
        <f ca="1">(1-$CQ83)*VLOOKUP($CP83,Control!$B$86:$E$91,4)</f>
        <v>#N/A</v>
      </c>
      <c r="CT83" s="141" t="e">
        <f ca="1">(1-$CQ83)*VLOOKUP($CP83,Control!$B$86:$F$91,5)</f>
        <v>#N/A</v>
      </c>
      <c r="CU83" s="141">
        <f t="shared" ca="1" si="373"/>
        <v>0</v>
      </c>
      <c r="CV83" s="583">
        <f t="shared" ca="1" si="374"/>
        <v>0</v>
      </c>
      <c r="CW83" s="142">
        <f t="shared" ca="1" si="375"/>
        <v>79</v>
      </c>
      <c r="CX83" s="612" t="e">
        <f ca="1">IF(Control!$C$114=1,(MIN(Control!$C$120*(IF($NT83-0.01&lt;0,0,1)),Control!$C$119-$CY83)))</f>
        <v>#DIV/0!</v>
      </c>
      <c r="CY83" s="143" t="e">
        <f t="shared" ca="1" si="376"/>
        <v>#N/A</v>
      </c>
      <c r="CZ83" s="144">
        <f t="shared" ca="1" si="253"/>
        <v>0</v>
      </c>
      <c r="DA83" s="144">
        <f t="shared" ca="1" si="254"/>
        <v>0</v>
      </c>
      <c r="DB83" s="144" t="e">
        <f t="shared" ca="1" si="255"/>
        <v>#N/A</v>
      </c>
      <c r="DC83" s="144" t="e">
        <f t="shared" ca="1" si="256"/>
        <v>#N/A</v>
      </c>
      <c r="DD83" s="144" t="e">
        <f t="shared" ca="1" si="461"/>
        <v>#N/A</v>
      </c>
      <c r="DE83" s="143" t="e">
        <f t="shared" ca="1" si="377"/>
        <v>#N/A</v>
      </c>
      <c r="DF83" s="145" t="e">
        <f ca="1">$DR83*EXP(-Control!$C$158*(1-$KH83))</f>
        <v>#N/A</v>
      </c>
      <c r="DG83" s="146" t="e">
        <f ca="1">IF(Control!$C$114=1, $DF83*$EY83, 0)</f>
        <v>#N/A</v>
      </c>
      <c r="DH83" s="147" t="e">
        <f t="shared" ca="1" si="378"/>
        <v>#N/A</v>
      </c>
      <c r="DI83" s="144" t="e">
        <f t="shared" ca="1" si="439"/>
        <v>#N/A</v>
      </c>
      <c r="DJ83" s="147" t="e">
        <f ca="1">$EF83*Control!$C$109</f>
        <v>#N/A</v>
      </c>
      <c r="DK83" s="144" t="e">
        <f t="shared" ca="1" si="379"/>
        <v>#N/A</v>
      </c>
      <c r="DL83" s="144" t="e">
        <f t="shared" ca="1" si="257"/>
        <v>#N/A</v>
      </c>
      <c r="DM83" s="144" t="e">
        <f ca="1">IF(Control!$C$114=1, (1-EXP(-Control!$C$96*$DK83))*$AR83, 0)</f>
        <v>#N/A</v>
      </c>
      <c r="DN83" s="144">
        <f t="shared" ca="1" si="380"/>
        <v>0</v>
      </c>
      <c r="DO83" s="148">
        <f>Control!$C$97</f>
        <v>4</v>
      </c>
      <c r="DP83" s="145" t="e">
        <f t="shared" ca="1" si="381"/>
        <v>#N/A</v>
      </c>
      <c r="DQ83" s="145" t="e">
        <f ca="1">IF(AND($CP83&gt;=0,$CP83&lt;=90),Control!$C$111,Control!$C$111)</f>
        <v>#N/A</v>
      </c>
      <c r="DR83" s="145" t="e">
        <f t="shared" ca="1" si="258"/>
        <v>#N/A</v>
      </c>
      <c r="DS83" s="143" t="e">
        <f ca="1">Control!$B$22/$DR83</f>
        <v>#N/A</v>
      </c>
      <c r="DT83" s="149" t="e">
        <f ca="1">IF(AND(Control!$C$114=1,$KH83&lt;1),$IM83*$DF83, 0)</f>
        <v>#N/A</v>
      </c>
      <c r="DU83" s="144" t="e">
        <f t="shared" ca="1" si="382"/>
        <v>#N/A</v>
      </c>
      <c r="DV83" s="144">
        <f ca="1">IF($G83-Control!$C$107&lt;=0, 0, 0.83*LN(MAX($G83, 3))-0.8924)</f>
        <v>0</v>
      </c>
      <c r="DW83" s="144" t="e">
        <f t="shared" ca="1" si="259"/>
        <v>#N/A</v>
      </c>
      <c r="DX83" s="150" t="e">
        <f ca="1">MAX(0.01*(1+$CU83/Control!$C$102),0.05*($DK83-Control!$C$97)/Control!$C$97)</f>
        <v>#N/A</v>
      </c>
      <c r="DY83" s="151" t="e">
        <f ca="1">IF(Control!$C$114=1, $DI83*$FS83, 0)</f>
        <v>#N/A</v>
      </c>
      <c r="DZ83" s="196" t="e">
        <f t="shared" ca="1" si="383"/>
        <v>#N/A</v>
      </c>
      <c r="EA83" s="152">
        <f t="shared" ca="1" si="384"/>
        <v>79</v>
      </c>
      <c r="EB83" s="153" t="e">
        <f t="shared" ca="1" si="385"/>
        <v>#N/A</v>
      </c>
      <c r="EC83" s="153" t="e">
        <f t="shared" ca="1" si="386"/>
        <v>#N/A</v>
      </c>
      <c r="ED83" s="154" t="e">
        <f ca="1">IF(Control!$C$114=1, $HM83*$FY83-$FD83, 0)</f>
        <v>#DIV/0!</v>
      </c>
      <c r="EE83" s="155" t="e">
        <f ca="1">IF(Control!$C$114=1, $HM83*$FZ83-$FF83, 0)</f>
        <v>#DIV/0!</v>
      </c>
      <c r="EF83" s="153" t="e">
        <f t="shared" ca="1" si="440"/>
        <v>#N/A</v>
      </c>
      <c r="EG83" s="155" t="e">
        <f ca="1">IF(Control!$C$114=1, $GX83*$FW83-$FI83, 0)</f>
        <v>#DIV/0!</v>
      </c>
      <c r="EH83" s="153" t="e">
        <f t="shared" ca="1" si="387"/>
        <v>#N/A</v>
      </c>
      <c r="EI83" s="156" t="e">
        <f t="shared" ca="1" si="388"/>
        <v>#N/A</v>
      </c>
      <c r="EJ83" s="155" t="e">
        <f ca="1">IF(Control!$C$114=1, $HM83*$GB83, 0)</f>
        <v>#DIV/0!</v>
      </c>
      <c r="EK83" s="153" t="e">
        <f t="shared" ca="1" si="441"/>
        <v>#N/A</v>
      </c>
      <c r="EL83" s="153" t="e">
        <f t="shared" ca="1" si="260"/>
        <v>#N/A</v>
      </c>
      <c r="EM83" s="153" t="e">
        <f t="shared" ca="1" si="261"/>
        <v>#N/A</v>
      </c>
      <c r="EN83" s="153" t="e">
        <f ca="1">IF(Control!$C$108=1,IF(AND(Control!$B$18=1,$EB83&gt;=Control!$B$19),$EB83-$DS83,IF(AND(Control!$B$18=2,$AW83=1,$EB83&gt;$DS83),$EB83-$DS83,0)))</f>
        <v>#N/A</v>
      </c>
      <c r="EO83" s="153" t="e">
        <f ca="1">IF(Control!$C$108=1,IF(AND(Control!$B$18=1,$EB83&gt;=Control!$B$19),$EF83,IF(AND(Control!$B$18=2,$AW83=1),$EF83,0)))</f>
        <v>#N/A</v>
      </c>
      <c r="EP83" s="153" t="e">
        <f ca="1">IF(Control!$C$108=1,IF(AND(Control!$B$18=1,$EB83&gt;=Control!$B$19),$EK83,IF(AND(Control!$B$18=2,$AW83=1),$EK83,0)))</f>
        <v>#N/A</v>
      </c>
      <c r="EQ83" s="153" t="e">
        <f t="shared" ca="1" si="389"/>
        <v>#N/A</v>
      </c>
      <c r="ER83" s="153" t="e">
        <f t="shared" ca="1" si="390"/>
        <v>#N/A</v>
      </c>
      <c r="ES83" s="153" t="e">
        <f t="shared" ca="1" si="442"/>
        <v>#N/A</v>
      </c>
      <c r="ET83" s="153" t="e">
        <f t="shared" ca="1" si="443"/>
        <v>#N/A</v>
      </c>
      <c r="EU83" s="153" t="e">
        <f t="shared" ca="1" si="391"/>
        <v>#N/A</v>
      </c>
      <c r="EV83" s="153" t="e">
        <f t="shared" ca="1" si="262"/>
        <v>#N/A</v>
      </c>
      <c r="EW83" s="153" t="e">
        <f t="shared" ca="1" si="263"/>
        <v>#N/A</v>
      </c>
      <c r="EX83" s="153" t="e">
        <f t="shared" ca="1" si="264"/>
        <v>#N/A</v>
      </c>
      <c r="EY83" s="157" t="e">
        <f t="shared" ca="1" si="265"/>
        <v>#DIV/0!</v>
      </c>
      <c r="EZ83" s="154" t="e">
        <f t="shared" ca="1" si="266"/>
        <v>#DIV/0!</v>
      </c>
      <c r="FA83" s="153" t="e">
        <f t="shared" ca="1" si="392"/>
        <v>#N/A</v>
      </c>
      <c r="FB83" s="153" t="e">
        <f t="shared" ca="1" si="267"/>
        <v>#N/A</v>
      </c>
      <c r="FC83" s="193" t="e">
        <f t="shared" ca="1" si="268"/>
        <v>#N/A</v>
      </c>
      <c r="FD83" s="158" t="e">
        <f t="shared" ca="1" si="393"/>
        <v>#N/A</v>
      </c>
      <c r="FE83" s="158" t="e">
        <f t="shared" ca="1" si="394"/>
        <v>#N/A</v>
      </c>
      <c r="FF83" s="159" t="e">
        <f t="shared" ca="1" si="269"/>
        <v>#N/A</v>
      </c>
      <c r="FG83" s="160" t="e">
        <f t="shared" ca="1" si="395"/>
        <v>#N/A</v>
      </c>
      <c r="FH83" s="158" t="e">
        <f t="shared" ca="1" si="396"/>
        <v>#N/A</v>
      </c>
      <c r="FI83" s="159" t="e">
        <f t="shared" ca="1" si="270"/>
        <v>#N/A</v>
      </c>
      <c r="FJ83" s="160" t="e">
        <f t="shared" ca="1" si="397"/>
        <v>#N/A</v>
      </c>
      <c r="FK83" s="160" t="e">
        <f t="shared" ca="1" si="271"/>
        <v>#N/A</v>
      </c>
      <c r="FL83" s="160" t="e">
        <f t="shared" ca="1" si="444"/>
        <v>#N/A</v>
      </c>
      <c r="FM83" s="160" t="e">
        <f t="shared" ca="1" si="272"/>
        <v>#N/A</v>
      </c>
      <c r="FN83" s="158">
        <f t="shared" ca="1" si="398"/>
        <v>0.01</v>
      </c>
      <c r="FO83" s="160">
        <f>Control!$C$101</f>
        <v>50</v>
      </c>
      <c r="FP83" s="150" t="e">
        <f t="shared" ca="1" si="273"/>
        <v>#N/A</v>
      </c>
      <c r="FQ83" s="150" t="e">
        <f ca="1">MAX(0,(Control!$C$112*(($DK83-Control!$C$97)/Control!$C$97)))</f>
        <v>#N/A</v>
      </c>
      <c r="FR83" s="150" t="e">
        <f ca="1">(1-$NT83)*Control!$C$113</f>
        <v>#DIV/0!</v>
      </c>
      <c r="FS83" s="198" t="e">
        <f t="shared" ca="1" si="274"/>
        <v>#N/A</v>
      </c>
      <c r="FT83" s="161">
        <f t="shared" ca="1" si="399"/>
        <v>79</v>
      </c>
      <c r="FU83" s="162" t="e">
        <f ca="1">IF(Control!$B$34=1,VLOOKUP($CP83,Control!$B$86:$G$91,6),Control!$B$35)</f>
        <v>#N/A</v>
      </c>
      <c r="FV83" s="162" t="e">
        <f t="shared" ca="1" si="275"/>
        <v>#DIV/0!</v>
      </c>
      <c r="FW83" s="162" t="e">
        <f ca="1">IF(Control!$B$31=1,$FU83*$FV83,  $FU83)</f>
        <v>#N/A</v>
      </c>
      <c r="FX83" s="162" t="e">
        <f ca="1">IF(Control!$B$34=1,VLOOKUP($CP83,Control!$B$86:$G$91,3),Control!$B$36)</f>
        <v>#N/A</v>
      </c>
      <c r="FY83" s="162" t="e">
        <f t="shared" ca="1" si="276"/>
        <v>#N/A</v>
      </c>
      <c r="FZ83" s="162" t="e">
        <f ca="1">IF(Control!$B$34=1,VLOOKUP($CP83,Control!$B$86:$G$91,4),Control!$B$37)</f>
        <v>#N/A</v>
      </c>
      <c r="GA83" s="162" t="e">
        <f t="shared" ca="1" si="277"/>
        <v>#N/A</v>
      </c>
      <c r="GB83" s="162" t="e">
        <f ca="1">IF(Control!$B$34=1,VLOOKUP($CP83,Control!$B$86:$G$91,5),Control!$B$38)</f>
        <v>#N/A</v>
      </c>
      <c r="GC83" s="162" t="e">
        <f t="shared" ca="1" si="400"/>
        <v>#N/A</v>
      </c>
      <c r="GD83" s="162">
        <f t="shared" ca="1" si="278"/>
        <v>1</v>
      </c>
      <c r="GE83" s="162">
        <f t="shared" ca="1" si="279"/>
        <v>1</v>
      </c>
      <c r="GF83" s="162">
        <f ca="1">IF(AND(Control!$C$104=1, Control!$C$62="F"),$GE83,1)</f>
        <v>1</v>
      </c>
      <c r="GG83" s="162" t="e">
        <f ca="1">IF(Control!$B$16=40,0,IF(AND(Control!$B$16&gt;40,Control!$B$16&lt;=360),(Control!$B$16-40)*((1-0)/(360-40)),IF(AND(Control!$B$16&gt;360,Control!$B$16&lt;=720),(1+(Control!$B$16-360)*((1.25-1)/(720-360))),IF(AND(Control!$B$16&gt;720,Control!$B$16&lt;=1000),(1.25+(Control!$B$16-720)*((1.35-1.25)/(1000-720))),IF(AND(Control!$B$16&gt;1000,Control!$B$16&lt;=2000),(1.35+(Control!$B$16-1000)*0))))))</f>
        <v>#N/A</v>
      </c>
      <c r="GH83" s="162" t="e">
        <f t="shared" ca="1" si="280"/>
        <v>#N/A</v>
      </c>
      <c r="GI83" s="162">
        <f t="shared" ca="1" si="401"/>
        <v>0</v>
      </c>
      <c r="GJ83" s="162">
        <f t="shared" ca="1" si="281"/>
        <v>0</v>
      </c>
      <c r="GK83" s="162">
        <f t="shared" ca="1" si="402"/>
        <v>1</v>
      </c>
      <c r="GL83" s="162">
        <f t="shared" ca="1" si="282"/>
        <v>1</v>
      </c>
      <c r="GM83" s="162" t="e">
        <f ca="1">MAX(0,MIN(1,1-Control!$C$156*(1.0001-$KH83)^2))</f>
        <v>#N/A</v>
      </c>
      <c r="GN83" s="162" t="e">
        <f ca="1">IF(Control!$B$26=1,$KU83,$KX83)</f>
        <v>#N/A</v>
      </c>
      <c r="GO83" s="162" t="e">
        <f ca="1">IF($CP83&lt;=60,Control!$C$105,IF($CP83&gt;=90,Control!$C$106,Control!$C$105+($CP83-60)*((Control!$C$106-Control!$C$105)/(90-60))))</f>
        <v>#N/A</v>
      </c>
      <c r="GP83" s="162" t="e">
        <f t="shared" ca="1" si="283"/>
        <v>#N/A</v>
      </c>
      <c r="GQ83" s="162" t="e">
        <f t="shared" ca="1" si="403"/>
        <v>#N/A</v>
      </c>
      <c r="GR83" s="163" t="e">
        <f t="shared" ca="1" si="284"/>
        <v>#DIV/0!</v>
      </c>
      <c r="GS83" s="162" t="e">
        <f t="shared" ca="1" si="285"/>
        <v>#DIV/0!</v>
      </c>
      <c r="GT83" s="164" t="e">
        <f t="shared" ca="1" si="404"/>
        <v>#N/A</v>
      </c>
      <c r="GU83" s="162" t="e">
        <f t="shared" ca="1" si="405"/>
        <v>#N/A</v>
      </c>
      <c r="GV83" s="162" t="e">
        <f t="shared" ca="1" si="286"/>
        <v>#N/A</v>
      </c>
      <c r="GW83" s="162" t="e">
        <f t="shared" ca="1" si="287"/>
        <v>#DIV/0!</v>
      </c>
      <c r="GX83" s="162" t="e">
        <f t="shared" ca="1" si="406"/>
        <v>#DIV/0!</v>
      </c>
      <c r="GY83" s="162" t="e">
        <f t="shared" ca="1" si="407"/>
        <v>#DIV/0!</v>
      </c>
      <c r="GZ83" s="165" t="e">
        <f t="shared" ca="1" si="288"/>
        <v>#N/A</v>
      </c>
      <c r="HA83" s="162" t="e">
        <f ca="1">IF(Control!$C$114=1, $DI83*$FS83, 0)</f>
        <v>#N/A</v>
      </c>
      <c r="HB83" s="162" t="e">
        <f ca="1">$FA83/Control!$C$64</f>
        <v>#N/A</v>
      </c>
      <c r="HC83" s="162" t="e">
        <f t="shared" ca="1" si="289"/>
        <v>#DIV/0!</v>
      </c>
      <c r="HD83" s="162">
        <f ca="1">-ASIN(SIN(23.45*Control!$C$139)*COS(2*Control!$C$138*($AH83+10)/365))</f>
        <v>-1.5408697778897936E-2</v>
      </c>
      <c r="HE83" s="165">
        <f t="shared" ca="1" si="408"/>
        <v>0</v>
      </c>
      <c r="HF83" s="166">
        <f ca="1">IF(AND(Control!$C$61="T",$HE83&gt;=Control!$C$103,Control!$C$114=0),$AH83,Control!$C$59)</f>
        <v>1</v>
      </c>
      <c r="HG83" s="166">
        <f ca="1">IF(AND(Control!$C$61="T",$HE83&gt;=Control!$C$103,Control!$C$114=0),$HF83,Control!$C$59)</f>
        <v>1</v>
      </c>
      <c r="HH83" s="165">
        <f ca="1">IF(AND(OR(Control!$C$60&lt;=0, $AH83= Control!$C$59, Control!$C$60 &gt;0, $AH83 = Control!$C$60)), Control!$C$59, IF(Control!$C$60&gt;0, 0))</f>
        <v>1</v>
      </c>
      <c r="HI83" s="165">
        <f ca="1">IF(AND(OR(Control!$C$60&lt;=0, $AH83= Control!$C$59, Control!$C$60 &gt;0, $AH83 = Control!$C$60)), Control!$C$60, IF(Control!$C$60&lt;=0, 0))</f>
        <v>0</v>
      </c>
      <c r="HJ83" s="166">
        <f ca="1">IF(AND(Control!$C$62="F",$CV83&gt;=Control!$C$102),$AH83,0)</f>
        <v>0</v>
      </c>
      <c r="HK83" s="165" t="e">
        <f t="shared" ca="1" si="445"/>
        <v>#N/A</v>
      </c>
      <c r="HL83" s="166">
        <f ca="1">IF(AND(Control!$C$61="T",$HE83&gt;=Control!$C$103,Control!$C$114=0),$HF83,0)</f>
        <v>0</v>
      </c>
      <c r="HM83" s="201" t="e">
        <f t="shared" ca="1" si="290"/>
        <v>#DIV/0!</v>
      </c>
      <c r="HN83" s="215">
        <f t="shared" ca="1" si="409"/>
        <v>79</v>
      </c>
      <c r="HO83" s="216" t="e">
        <f ca="1">IF(AND($CP83&gt;=0, $CP83&lt;=90), Control!$C$152, Control!$C$152)</f>
        <v>#N/A</v>
      </c>
      <c r="HP83" s="216" t="e">
        <f t="shared" ca="1" si="291"/>
        <v>#N/A</v>
      </c>
      <c r="HQ83" s="217" t="e">
        <f ca="1">IF(OR(Control!$B$26=1,Control!$B$26=2),$KV83,$KS83)</f>
        <v>#DIV/0!</v>
      </c>
      <c r="HR83" s="218" t="e">
        <f t="shared" ca="1" si="446"/>
        <v>#DIV/0!</v>
      </c>
      <c r="HS83" s="216" t="e">
        <f ca="1">Control!$C$154*$HP83</f>
        <v>#N/A</v>
      </c>
      <c r="HT83" s="216" t="e">
        <f ca="1">Control!$C$155*$HP83</f>
        <v>#N/A</v>
      </c>
      <c r="HU83" s="217" t="e">
        <f ca="1">Control!$C$161*$FI83</f>
        <v>#N/A</v>
      </c>
      <c r="HV83" s="218" t="e">
        <f t="shared" ca="1" si="410"/>
        <v>#N/A</v>
      </c>
      <c r="HW83" s="218" t="e">
        <f ca="1">Control!$C$160*$FF83+$IP83*$EO83</f>
        <v>#N/A</v>
      </c>
      <c r="HX83" s="218" t="e">
        <f t="shared" ca="1" si="447"/>
        <v>#N/A</v>
      </c>
      <c r="HY83" s="219" t="e">
        <f ca="1">IF(Control!$C$114=1, $EB83*$FS83, 0)</f>
        <v>#N/A</v>
      </c>
      <c r="HZ83" s="91" t="e">
        <f t="shared" ca="1" si="292"/>
        <v>#N/A</v>
      </c>
      <c r="IA83" s="220" t="e">
        <f ca="1">Control!$C$153*$HO83</f>
        <v>#N/A</v>
      </c>
      <c r="IB83" s="218" t="e">
        <f t="shared" ca="1" si="293"/>
        <v>#N/A</v>
      </c>
      <c r="IC83" s="220" t="e">
        <f ca="1">Control!$C$153*$HT83</f>
        <v>#N/A</v>
      </c>
      <c r="ID83" s="218" t="e">
        <f t="shared" ca="1" si="294"/>
        <v>#N/A</v>
      </c>
      <c r="IE83" s="221" t="e">
        <f ca="1">($EB83*Control!$C$159+$EF83*Control!$C$160)/(IF($GZ83&lt;&gt;0,$GZ83,1))</f>
        <v>#N/A</v>
      </c>
      <c r="IF83" s="216" t="e">
        <f t="shared" ca="1" si="295"/>
        <v>#N/A</v>
      </c>
      <c r="IG83" s="91">
        <f ca="1">IF(OR(Control!$B$198=$AH83,Control!$B$199=$AH83, Control!$B$200=$AH83, Control!$B$201=$AH83, Control!$B$202=$AH83, Control!$B$203=$AH83, Control!$B$204=$AH83, Control!$B$205=$AH83, Control!$B$206=$AH83, Control!$B$207=$AH83), 1, 0)</f>
        <v>0</v>
      </c>
      <c r="IH83" s="91">
        <f ca="1">IF($IG83=0,0, VLOOKUP($AH83,Control!$B$198:$C$207,2))</f>
        <v>0</v>
      </c>
      <c r="II83" s="222">
        <f t="shared" ca="1" si="411"/>
        <v>0</v>
      </c>
      <c r="IJ83" s="91">
        <f>Control!$C$121</f>
        <v>0.7</v>
      </c>
      <c r="IK83" s="218">
        <f t="shared" ca="1" si="296"/>
        <v>0</v>
      </c>
      <c r="IL83" s="217" t="e">
        <f t="shared" ca="1" si="448"/>
        <v>#N/A</v>
      </c>
      <c r="IM83" s="223" t="e">
        <f ca="1">IF(AND(Control!$C$114=1,$KH83&lt;1),$EB83*Control!$C$148*(1-$KH83), 0)</f>
        <v>#N/A</v>
      </c>
      <c r="IN83" s="217" t="e">
        <f t="shared" ca="1" si="297"/>
        <v>#DIV/0!</v>
      </c>
      <c r="IO83" s="91" t="e">
        <f ca="1">MAX(0,$IL83-$EF83*Control!$C$160)</f>
        <v>#N/A</v>
      </c>
      <c r="IP83" s="220" t="e">
        <f t="shared" ca="1" si="298"/>
        <v>#N/A</v>
      </c>
      <c r="IQ83" s="217" t="e">
        <f t="shared" ca="1" si="412"/>
        <v>#N/A</v>
      </c>
      <c r="IR83" s="218" t="e">
        <f t="shared" ca="1" si="299"/>
        <v>#N/A</v>
      </c>
      <c r="IS83" s="217" t="e">
        <f ca="1">Control!$C$159*MAX(0,$FD83-$EN83)</f>
        <v>#N/A</v>
      </c>
      <c r="IT83" s="217" t="e">
        <f t="shared" ca="1" si="449"/>
        <v>#N/A</v>
      </c>
      <c r="IU83" s="217" t="e">
        <f t="shared" ca="1" si="413"/>
        <v>#N/A</v>
      </c>
      <c r="IV83" s="217" t="e">
        <f t="shared" ca="1" si="450"/>
        <v>#N/A</v>
      </c>
      <c r="IW83" s="217" t="e">
        <f ca="1">IF(OR($AW83=1,AND($AW83=0, Control!$B$18=1,$EN83&lt;&gt;0)), $IQ83-$IU83, $IQ83)</f>
        <v>#N/A</v>
      </c>
      <c r="IX83" s="218" t="e">
        <f t="shared" ca="1" si="300"/>
        <v>#N/A</v>
      </c>
      <c r="IY83" s="218" t="e">
        <f ca="1">MAX(0,$IQ83-$EB83*Control!$C$159)</f>
        <v>#N/A</v>
      </c>
      <c r="IZ83" s="218" t="e">
        <f t="shared" ca="1" si="301"/>
        <v>#N/A</v>
      </c>
      <c r="JA83" s="216" t="e">
        <f t="shared" ca="1" si="302"/>
        <v>#N/A</v>
      </c>
      <c r="JB83" s="217" t="e">
        <f t="shared" ca="1" si="303"/>
        <v>#N/A</v>
      </c>
      <c r="JC83" s="222" t="e">
        <f ca="1">MAX(Control!$C$157*$EK83-$JT83, 0)/Control!$C$162</f>
        <v>#N/A</v>
      </c>
      <c r="JD83" s="218" t="e">
        <f t="shared" ca="1" si="304"/>
        <v>#N/A</v>
      </c>
      <c r="JE83" s="218" t="e">
        <f t="shared" ca="1" si="305"/>
        <v>#N/A</v>
      </c>
      <c r="JF83" s="218" t="e">
        <f t="shared" ca="1" si="414"/>
        <v>#N/A</v>
      </c>
      <c r="JG83" s="218" t="e">
        <f t="shared" ca="1" si="306"/>
        <v>#N/A</v>
      </c>
      <c r="JH83" s="217" t="e">
        <f t="shared" ca="1" si="415"/>
        <v>#N/A</v>
      </c>
      <c r="JI83" s="217" t="e">
        <f t="shared" ca="1" si="416"/>
        <v>#N/A</v>
      </c>
      <c r="JJ83" s="217" t="e">
        <f t="shared" ca="1" si="451"/>
        <v>#N/A</v>
      </c>
      <c r="JK83" s="217" t="e">
        <f ca="1">IF(Control!$C$114=1,IF(Control!$B$24=0,MAX(0,$JI83)*$GN83/Control!$C$64,(MAX(0,MIN($JI83,$JJ83*$GN83/Control!$C$64),0))))</f>
        <v>#N/A</v>
      </c>
      <c r="JL83" s="217" t="e">
        <f ca="1">$IK83/Control!$C$64-$JK83+$HQ83</f>
        <v>#N/A</v>
      </c>
      <c r="JM83" s="217" t="e">
        <f ca="1">IF(Control!$C$114=1,($JB83/(IF($JI83&lt;&gt;0,$JI83,1)))*$JK83,0)</f>
        <v>#N/A</v>
      </c>
      <c r="JN83" s="217" t="e">
        <f ca="1">IF(Control!$C$114=1,($JG83/(IF($JI83&lt;&gt;0,$JI83,1)))*$JK83, 0)</f>
        <v>#N/A</v>
      </c>
      <c r="JO83" s="218" t="e">
        <f t="shared" ca="1" si="307"/>
        <v>#N/A</v>
      </c>
      <c r="JP83" s="218" t="e">
        <f ca="1">MIN(($IY83+$IO83)*Control!$C$151, $JF83-$EH83*Control!$C$161)</f>
        <v>#N/A</v>
      </c>
      <c r="JQ83" s="218" t="e">
        <f t="shared" ca="1" si="308"/>
        <v>#N/A</v>
      </c>
      <c r="JR83" s="217" t="e">
        <f ca="1">IF($CP83-Control!$C$150&lt;0, 0, $JQ83/Control!$C$162)</f>
        <v>#N/A</v>
      </c>
      <c r="JS83" s="218" t="e">
        <f t="shared" ca="1" si="309"/>
        <v>#N/A</v>
      </c>
      <c r="JT83" s="218" t="e">
        <f t="shared" ca="1" si="417"/>
        <v>#N/A</v>
      </c>
      <c r="JU83" s="218" t="e">
        <f t="shared" ca="1" si="310"/>
        <v>#N/A</v>
      </c>
      <c r="JV83" s="218" t="e">
        <f t="shared" ca="1" si="311"/>
        <v>#N/A</v>
      </c>
      <c r="JW83" s="216" t="e">
        <f t="shared" ca="1" si="312"/>
        <v>#N/A</v>
      </c>
      <c r="JX83" s="91" t="e">
        <f t="shared" ca="1" si="313"/>
        <v>#N/A</v>
      </c>
      <c r="JY83" s="218" t="e">
        <f t="shared" ca="1" si="314"/>
        <v>#N/A</v>
      </c>
      <c r="JZ83" s="217" t="e">
        <f ca="1">IF(Control!$C$114=1,($IZ83/(IF($JI83&lt;&gt;0,$JI83,1)))*$JK83, 0)</f>
        <v>#N/A</v>
      </c>
      <c r="KA83" s="218" t="e">
        <f t="shared" ca="1" si="452"/>
        <v>#N/A</v>
      </c>
      <c r="KB83" s="218" t="e">
        <f t="shared" ca="1" si="418"/>
        <v>#N/A</v>
      </c>
      <c r="KC83" s="218" t="e">
        <f t="shared" ca="1" si="315"/>
        <v>#N/A</v>
      </c>
      <c r="KD83" s="218" t="e">
        <f t="shared" ca="1" si="316"/>
        <v>#N/A</v>
      </c>
      <c r="KE83" s="218" t="e">
        <f t="shared" ca="1" si="317"/>
        <v>#N/A</v>
      </c>
      <c r="KF83" s="218" t="e">
        <f t="shared" ca="1" si="318"/>
        <v>#N/A</v>
      </c>
      <c r="KG83" s="216" t="e">
        <f t="shared" ca="1" si="319"/>
        <v>#N/A</v>
      </c>
      <c r="KH83" s="221" t="e">
        <f ca="1">IF(Control!$B$24=0,1,MAX(0.001,MIN(1,IF(($IF83-$IE83)&lt;&gt;0,($KG83-$IE83)/($IF83-$IE83),1))))</f>
        <v>#N/A</v>
      </c>
      <c r="KI83" s="222" t="e">
        <f ca="1">IF(Control!$C$114=1, $KI82+ $KH82, 0)</f>
        <v>#N/A</v>
      </c>
      <c r="KJ83" s="217" t="e">
        <f t="shared" ca="1" si="320"/>
        <v>#N/A</v>
      </c>
      <c r="KK83" s="218" t="e">
        <f t="shared" ca="1" si="321"/>
        <v>#N/A</v>
      </c>
      <c r="KL83" s="274" t="e">
        <f ca="1">IF(Control!$B$26=3,4000000000*EXP(-8400/($G83+273)),IF(Control!$B$26=4,4000000000*EXP(-8400/($G83+273))*($KT83),0))</f>
        <v>#DIV/0!</v>
      </c>
      <c r="KM83" s="274" t="e">
        <f ca="1">IF(Control!$B$26=3,5600000000000*EXP(-9800/($G83+273)),IF(Control!$B$26=4,5600000000000*EXP(-9800/($G83+273))*$KT83,0))</f>
        <v>#DIV/0!</v>
      </c>
      <c r="KN83" s="454" t="e">
        <f t="shared" ca="1" si="419"/>
        <v>#DIV/0!</v>
      </c>
      <c r="KO83" s="274" t="e">
        <f t="shared" ca="1" si="420"/>
        <v>#DIV/0!</v>
      </c>
      <c r="KP83" s="454" t="e">
        <f t="shared" ca="1" si="322"/>
        <v>#DIV/0!</v>
      </c>
      <c r="KQ83" s="454" t="e">
        <f t="shared" ca="1" si="323"/>
        <v>#DIV/0!</v>
      </c>
      <c r="KR83" s="454" t="e">
        <f t="shared" ca="1" si="324"/>
        <v>#DIV/0!</v>
      </c>
      <c r="KS83" s="454" t="e">
        <f t="shared" ca="1" si="325"/>
        <v>#DIV/0!</v>
      </c>
      <c r="KT83" s="455" t="e">
        <f t="shared" ca="1" si="326"/>
        <v>#DIV/0!</v>
      </c>
      <c r="KU83" s="456" t="e">
        <f ca="1">IF($CP83-Control!$C$149&lt;0, IF($NT83-0.01&lt;0,0,1),0)</f>
        <v>#N/A</v>
      </c>
      <c r="KV83" s="456" t="e">
        <f ca="1">IF(Control!$C$114=1,MAX(0,MIN(Control!$C$125*$KW83*$GN83,$KW83)))</f>
        <v>#DIV/0!</v>
      </c>
      <c r="KW83" s="456" t="e">
        <f t="shared" ca="1" si="453"/>
        <v>#DIV/0!</v>
      </c>
      <c r="KX83" s="457" t="e">
        <f ca="1">IF($CP83-Control!$C$149&lt;0, IF($MR83-$OM83&lt;0,0,1),0)</f>
        <v>#N/A</v>
      </c>
      <c r="KY83" s="167">
        <f t="shared" ca="1" si="421"/>
        <v>79</v>
      </c>
      <c r="KZ83" s="168">
        <f ca="1">1370*(1+0.033*COS(2*Control!$C$138*$AH83/365))</f>
        <v>1379.4629745568625</v>
      </c>
      <c r="LA83" s="169">
        <f t="shared" ca="1" si="422"/>
        <v>1.0069073833167805</v>
      </c>
      <c r="LB83" s="169">
        <f t="shared" ca="1" si="423"/>
        <v>-1.2299924806902758E-2</v>
      </c>
      <c r="LC83" s="169">
        <f ca="1">ACOS(-TAN((2*Control!$B$8/360))*TAN(Calculations!$LB83))</f>
        <v>1.5671405581238276</v>
      </c>
      <c r="LD83" s="169">
        <f ca="1">((24*60)/PI())*0.082*$LA83*(($LC83*SIN(Control!$B$8*2*PI()/360))*SIN($LB83)+COS(Control!$B$8*2*PI()/360)*COS($LB83)*SIN($LC83))</f>
        <v>22.723351248049656</v>
      </c>
      <c r="LE83" s="170">
        <f t="shared" ca="1" si="327"/>
        <v>22.635027523071678</v>
      </c>
      <c r="LF83" s="170">
        <f ca="1">SIN(Control!$C$139*Control!$B$8)*SIN($HD83)</f>
        <v>-1.2141759203228636E-2</v>
      </c>
      <c r="LG83" s="170">
        <f ca="1">COS(Control!$C$139*Control!$B$8)*COS($HD83)</f>
        <v>0.61558671695028988</v>
      </c>
      <c r="LH83" s="170">
        <f ca="1">12*(1+2*ASIN(MAX(-1,MIN(1,$LF83/$LG83))/Control!$C$138))</f>
        <v>11.849320010205304</v>
      </c>
      <c r="LI83" s="170">
        <f ca="1">12*(1+2*ASIN(MAX(-1,MIN(1,(-SIN(-4*Control!$C$139)+$LF83)/$LG83))/Control!$C$138))</f>
        <v>12.715105336112988</v>
      </c>
      <c r="LJ83" s="168">
        <f ca="1">3600*($LH83*$LF83+24*$LG83*SQRT(1-$LK83*$LK83)/Control!$C$138)</f>
        <v>16408.579237397025</v>
      </c>
      <c r="LK83" s="170">
        <f t="shared" ca="1" si="328"/>
        <v>-1.9723881085967475E-2</v>
      </c>
      <c r="LL83" s="170">
        <f t="shared" ca="1" si="329"/>
        <v>0</v>
      </c>
      <c r="LM83" s="171">
        <f ca="1">Control!$C$145*$AB83</f>
        <v>6.6660906138995932E-2</v>
      </c>
      <c r="LN83" s="170">
        <f t="shared" ca="1" si="424"/>
        <v>0.54</v>
      </c>
      <c r="LO83" s="170">
        <f t="shared" ca="1" si="330"/>
        <v>0</v>
      </c>
      <c r="LP83" s="170">
        <f ca="1">Control!$C$140*((($D83+273.16)^4+($E83+273.16)^4)/2)*(0.34-0.14*SQRT($Y83))*(1.35*$AQ83/(0.75*$LD83)-0.35)</f>
        <v>-3.2464704755046001</v>
      </c>
      <c r="LQ83" s="170">
        <f ca="1">Control!$C$140*($G83+273)^4*(0.56-0.079*SQRT($Y83*10))*(0.1+0.9*$LO83)</f>
        <v>1.5241745131704001</v>
      </c>
      <c r="LR83" s="170">
        <f ca="1">$AQ83*(1-Control!$C$142)-$LQ83</f>
        <v>-1.5241745131704001</v>
      </c>
      <c r="LS83" s="170">
        <f ca="1">$AQ83*(1-Control!$C$143)-$LQ83</f>
        <v>-1.5241745131704001</v>
      </c>
      <c r="LT83" s="170">
        <f ca="1">$AQ83*(1-Control!$C$144)-$LQ83</f>
        <v>-1.5241745131704001</v>
      </c>
      <c r="LU83" s="169">
        <f ca="1">(1-Control!$C$144)*AQ83-LP83</f>
        <v>3.2464704755046001</v>
      </c>
      <c r="LV83" s="172">
        <f t="shared" ca="1" si="331"/>
        <v>0.79430000000000012</v>
      </c>
      <c r="LW83" s="170">
        <f t="shared" ca="1" si="332"/>
        <v>1.5886000000000002</v>
      </c>
      <c r="LX83" s="170">
        <f ca="1">($AC83*($LR83/Control!$C$141)+$LM83*$LV83)/($AC83+$LM83)</f>
        <v>0.23530094218323697</v>
      </c>
      <c r="LY83" s="170">
        <f ca="1">($AC83*($LS83/Control!$C$141)+$LM83*$LV83)/($AC83+$LM83)</f>
        <v>0.23530094218323697</v>
      </c>
      <c r="LZ83" s="170">
        <f t="shared" ca="1" si="333"/>
        <v>0.23530094218323697</v>
      </c>
      <c r="MA83" s="170">
        <f t="shared" ca="1" si="334"/>
        <v>0.23530094218323697</v>
      </c>
      <c r="MB83" s="170" t="e">
        <f t="shared" ca="1" si="335"/>
        <v>#N/A</v>
      </c>
      <c r="MC83" s="170">
        <f t="shared" ca="1" si="425"/>
        <v>0.6018</v>
      </c>
      <c r="MD83" s="170">
        <f t="shared" ca="1" si="336"/>
        <v>0.52989392535414004</v>
      </c>
      <c r="ME83" s="170">
        <f ca="1">($AC83*($LT83/Control!$C$141)+$LM83*$LW83)/($AC83+$LM83)</f>
        <v>0.71612369323045078</v>
      </c>
      <c r="MF83" s="170" t="e">
        <f ca="1">IF(Control!$B$16&gt;=1000,0.92,IF(AND(720&lt;=Control!$B$16,1000&gt;Control!$B$16),(0.95+(Control!$B$16-720)*((0.92-0.95)/(1000-720))),IF(AND(360&lt;=Control!$B$16,720&gt;Control!$B$16),(1+(Control!$B$16-360)*((0.95-1)/(720-360))),IF(AND(40&lt;=Control!$B$16,360&gt;Control!$B$16),(1.05+(Control!$B$16-40)*((1.05-1)/(360-40)))))))</f>
        <v>#N/A</v>
      </c>
      <c r="MG83" s="170">
        <f t="shared" ca="1" si="337"/>
        <v>0.71612369323045078</v>
      </c>
      <c r="MH83" s="170" t="e">
        <f t="shared" ca="1" si="233"/>
        <v>#N/A</v>
      </c>
      <c r="MI83" s="170" t="e">
        <f t="shared" ca="1" si="233"/>
        <v>#N/A</v>
      </c>
      <c r="MJ83" s="170" t="e">
        <f ca="1">MAX(0.0001, Control!$C$132*$MI83*$DL83)</f>
        <v>#N/A</v>
      </c>
      <c r="MK83" s="170">
        <f ca="1">1/(0.76+1.5*($MG83/10))-(5-Control!$C$110)*0.1</f>
        <v>1.002845988140797</v>
      </c>
      <c r="ML83" s="173">
        <f ca="1">IF(Control!$C$110&lt;3,$MK83+($MG83-0.6)/(Control!$C$110*(Control!$C$110+3)), MAX(0.1, MIN(0.95,$MK83)))</f>
        <v>0.95</v>
      </c>
      <c r="MM83" s="173">
        <f ca="1">IF(Control!$C$110&lt;3,$MK83+(($MI83/10)-0.6)/(Control!$C$110*(Control!$C$110+3)), MAX(0.1, MIN(0.95,$MK83)))</f>
        <v>0.95</v>
      </c>
      <c r="MN83" s="173">
        <f ca="1">(1-$MM83)*(Control!$C$128-Control!$C$127)+Control!$C$127</f>
        <v>0.16</v>
      </c>
      <c r="MO83" s="170" t="e">
        <f ca="1">MAX(0,MIN(1,($MS83-Control!$C$127)/($MN83-Control!$C$127)))</f>
        <v>#DIV/0!</v>
      </c>
      <c r="MP83" s="173" t="e">
        <f ca="1">1/(0.76+1.5*$MI83)-(5-Control!$C$110)*0.1</f>
        <v>#N/A</v>
      </c>
      <c r="MQ83" s="172" t="e">
        <f t="shared" ca="1" si="454"/>
        <v>#DIV/0!</v>
      </c>
      <c r="MR83" s="168" t="e">
        <f t="shared" ca="1" si="426"/>
        <v>#DIV/0!</v>
      </c>
      <c r="MS83" s="173" t="e">
        <f ca="1">MAX(Control!$C$127, MIN(Control!$C$135, $MR83/MAX(0.0001,$CY83)))</f>
        <v>#DIV/0!</v>
      </c>
      <c r="MT83" s="168" t="e">
        <f ca="1">(Control!$C$128-$MS83)*Control!$C$74</f>
        <v>#DIV/0!</v>
      </c>
      <c r="MU83" s="168" t="e">
        <f ca="1">(Control!$C$135-$MS83)*Control!$C$74</f>
        <v>#DIV/0!</v>
      </c>
      <c r="MV83" s="168" t="e">
        <f t="shared" ca="1" si="427"/>
        <v>#DIV/0!</v>
      </c>
      <c r="MW83" s="168" t="e">
        <f t="shared" ca="1" si="428"/>
        <v>#DIV/0!</v>
      </c>
      <c r="MX83" s="171" t="e">
        <f ca="1">MAX(Control!$C$127, MIN(Control!$C$135, $MW83/MAX(0.0001,Control!$C$119-$CY83)))</f>
        <v>#DIV/0!</v>
      </c>
      <c r="MY83" s="54" t="e">
        <f ca="1">IF(Control!$C$114=1, $CX83*$MX83, 0)</f>
        <v>#DIV/0!</v>
      </c>
      <c r="MZ83" s="54" t="e">
        <f t="shared" ca="1" si="429"/>
        <v>#N/A</v>
      </c>
      <c r="NA83" s="168" t="e">
        <f ca="1">(Control!$C$128-$MX83)*(Control!$C$119-Control!$C$74)</f>
        <v>#DIV/0!</v>
      </c>
      <c r="NB83" s="168" t="e">
        <f ca="1">(Control!$C$135-$MX83)*(Control!$C$119-Control!$C$74)</f>
        <v>#DIV/0!</v>
      </c>
      <c r="NC83" s="174" t="e">
        <f t="shared" ca="1" si="430"/>
        <v>#DIV/0!</v>
      </c>
      <c r="ND83" s="54">
        <f ca="1">IF(Control!$C$58=2, IF(OR(Control!$B$218=$AH83,Control!$B$219=$AH83, Control!$B$220=$AH83, Control!$B$221=$AH83, Control!$B$222=$AH83, Control!$B$223=$AH83, Control!$B$224=$AH83, Control!$B$225=$AH83, Control!$B$226=$AH83, Control!$B$227=$AH83, Control!$B$228=$AH83), 1, 0), 0)</f>
        <v>0</v>
      </c>
      <c r="NE83" s="54">
        <f ca="1">IF($ND83=0,0, VLOOKUP($AH83,Control!$B$218:$C$228,2))</f>
        <v>0</v>
      </c>
      <c r="NF83" s="168" t="e">
        <f ca="1">$CY83*(Control!$C$128-Control!$C$127)</f>
        <v>#N/A</v>
      </c>
      <c r="NG83" s="54" t="e">
        <f ca="1">IF(Control!$C$58=2, $NI82-$NJ82, 0)</f>
        <v>#DIV/0!</v>
      </c>
      <c r="NH83" s="54" t="e">
        <f ca="1">IF(AND(Control!$C$58=1, $MS82&lt;= ($MN82+0.02), $I82&lt;10), 0, IF(Control!$C$58=2, $NG82, 0))</f>
        <v>#DIV/0!</v>
      </c>
      <c r="NI83" s="54" t="e">
        <f ca="1">IF(Control!$C$58=2, $NE83+$NH83,0)</f>
        <v>#DIV/0!</v>
      </c>
      <c r="NJ83" s="54" t="e">
        <f ca="1">IF(AND(Control!$C$58=1, $MS83&lt;= ($MN83+0.02), $I83&lt;10), MAX(0, MIN(10, 0.7*($NF83-$MV83))), IF(Control!$C$58=2, MIN(10,$NI83),0))</f>
        <v>#DIV/0!</v>
      </c>
      <c r="NK83" s="54" t="e">
        <f t="shared" ca="1" si="338"/>
        <v>#DIV/0!</v>
      </c>
      <c r="NL83" s="173" t="e">
        <f ca="1">(1-Control!$C$73)*$I83+$NJ83</f>
        <v>#DIV/0!</v>
      </c>
      <c r="NM83" s="172" t="e">
        <f ca="1">IF($NL83&lt;0.5, $MB83* MAX(0, MIN(1, (SQRT($NC83)-SQRT($NC83-1))*Control!$C$71)),0)</f>
        <v>#DIV/0!</v>
      </c>
      <c r="NN83" s="170" t="e">
        <f ca="1">IF($NL83&gt;=5, $MB83, MAX(0,MIN($MB83, $NM83+$NL83,($MS83-Control!$C$129))))</f>
        <v>#DIV/0!</v>
      </c>
      <c r="NO83" s="54">
        <f>IF(Control!$C$133&lt;&gt;1, Control!$C$135-Control!$C$131, 0)</f>
        <v>0.38</v>
      </c>
      <c r="NP83" s="54" t="e">
        <f t="shared" ca="1" si="339"/>
        <v>#DIV/0!</v>
      </c>
      <c r="NQ83" s="173" t="e">
        <f ca="1">MAX(0,MIN(1,(Control!$C$135-$MS83)/(Control!$C$135-$NO83)))</f>
        <v>#DIV/0!</v>
      </c>
      <c r="NR83" s="170" t="e">
        <f ca="1">IF(Control!$C$133&lt;&gt;1, $NQ83+((1-$NP83/4)*(1-$NQ83)),1)</f>
        <v>#DIV/0!</v>
      </c>
      <c r="NS83" s="170" t="e">
        <f ca="1">IF(Control!$B$31=0,$MJ83,MAX(0,MIN($MV83,$MO83*$NR83*$MJ83)))</f>
        <v>#DIV/0!</v>
      </c>
      <c r="NT83" s="170" t="e">
        <f t="shared" ca="1" si="455"/>
        <v>#DIV/0!</v>
      </c>
      <c r="NU83" s="170" t="e">
        <f t="shared" ca="1" si="431"/>
        <v>#N/A</v>
      </c>
      <c r="NV83" s="170" t="e">
        <f t="shared" ca="1" si="340"/>
        <v>#N/A</v>
      </c>
      <c r="NW83" s="175" t="e">
        <f t="shared" ca="1" si="341"/>
        <v>#DIV/0!</v>
      </c>
      <c r="NX83" s="170" t="e">
        <f ca="1">MIN(Control!$C$72+$MU83, $NW83)</f>
        <v>#DIV/0!</v>
      </c>
      <c r="NY83" s="170" t="e">
        <f ca="1">IF($MT83&lt;=$NX83,MIN(Control!$C$72+$NB83,$NX83-$MT83),0)</f>
        <v>#DIV/0!</v>
      </c>
      <c r="NZ83" s="54" t="e">
        <f ca="1">IF(Control!$C$114=1,  $CX83*($MX83-Control!$C$127), 0)</f>
        <v>#DIV/0!</v>
      </c>
      <c r="OA83" s="170" t="e">
        <f t="shared" ca="1" si="342"/>
        <v>#DIV/0!</v>
      </c>
      <c r="OB83" s="170" t="e">
        <f ca="1">IF($NA83 &lt;=$NY83, MIN(Control!$C$72, $NY83-$NA83), 0)</f>
        <v>#DIV/0!</v>
      </c>
      <c r="OC83" s="168" t="e">
        <f t="shared" ca="1" si="343"/>
        <v>#DIV/0!</v>
      </c>
      <c r="OD83" s="168" t="e">
        <f t="shared" ca="1" si="432"/>
        <v>#DIV/0!</v>
      </c>
      <c r="OE83" s="170">
        <f ca="1">Control!$C$73*$I83</f>
        <v>0</v>
      </c>
      <c r="OF83" s="176" t="e">
        <f t="shared" ca="1" si="344"/>
        <v>#DIV/0!</v>
      </c>
      <c r="OG83" s="168" t="e">
        <f t="shared" ca="1" si="345"/>
        <v>#DIV/0!</v>
      </c>
      <c r="OH83" s="168" t="e">
        <f t="shared" ca="1" si="346"/>
        <v>#DIV/0!</v>
      </c>
      <c r="OI83" s="168" t="e">
        <f t="shared" ca="1" si="347"/>
        <v>#DIV/0!</v>
      </c>
      <c r="OJ83" s="168" t="e">
        <f t="shared" ca="1" si="348"/>
        <v>#DIV/0!</v>
      </c>
      <c r="OK83" s="204" t="e">
        <f t="shared" ca="1" si="349"/>
        <v>#DIV/0!</v>
      </c>
      <c r="OL83" s="177">
        <f>Control!$C$127</f>
        <v>0.15</v>
      </c>
      <c r="OM83" s="182" t="e">
        <f t="shared" ca="1" si="350"/>
        <v>#N/A</v>
      </c>
      <c r="ON83" s="177">
        <f>Control!$C$128</f>
        <v>0.35</v>
      </c>
      <c r="OO83" s="182" t="e">
        <f t="shared" ca="1" si="351"/>
        <v>#N/A</v>
      </c>
      <c r="OP83" s="138">
        <f t="shared" ca="1" si="433"/>
        <v>0</v>
      </c>
      <c r="OQ83" s="138" t="e">
        <f t="shared" ca="1" si="456"/>
        <v>#DIV/0!</v>
      </c>
      <c r="OR83" s="138" t="e">
        <f t="shared" ca="1" si="434"/>
        <v>#DIV/0!</v>
      </c>
      <c r="OS83" s="137" t="e">
        <f t="shared" ca="1" si="457"/>
        <v>#DIV/0!</v>
      </c>
      <c r="OT83" s="139" t="e">
        <f t="shared" ca="1" si="458"/>
        <v>#DIV/0!</v>
      </c>
      <c r="OU83" s="138" t="e">
        <f t="shared" ca="1" si="459"/>
        <v>#N/A</v>
      </c>
      <c r="OV83" s="138" t="e">
        <f t="shared" ca="1" si="460"/>
        <v>#DIV/0!</v>
      </c>
      <c r="OW83" s="138" t="e">
        <f t="shared" ca="1" si="435"/>
        <v>#DIV/0!</v>
      </c>
      <c r="OX83" s="138" t="e">
        <f t="shared" ca="1" si="436"/>
        <v>#DIV/0!</v>
      </c>
      <c r="OY83" s="138" t="e">
        <f t="shared" ca="1" si="437"/>
        <v>#DIV/0!</v>
      </c>
      <c r="OZ83" s="138" t="e">
        <f t="shared" ca="1" si="352"/>
        <v>#DIV/0!</v>
      </c>
      <c r="PA83" s="138" t="e">
        <f t="shared" ca="1" si="353"/>
        <v>#DIV/0!</v>
      </c>
      <c r="PB83" s="55">
        <f>IF(Control!$C$61="T", IF(Control!$C$65="F", IF($AH$6-Control!$C$60&lt;0,0,1), IF(365+$AH$6-Control!$C$60&lt;0,0,1)),0)</f>
        <v>0</v>
      </c>
      <c r="PC83" s="55">
        <f ca="1">IF(Control!$C$65="F", IF($AH$6-$HF83&lt;0,0,1), IF(365+$AH$6-$HF83&lt;0,0,1))</f>
        <v>1</v>
      </c>
      <c r="PD83" s="444">
        <f>Control!$C$118</f>
        <v>1500</v>
      </c>
      <c r="PE83" s="180" t="e">
        <f t="shared" ca="1" si="354"/>
        <v>#N/A</v>
      </c>
      <c r="PF83" s="445">
        <f t="shared" ca="1" si="438"/>
        <v>0.71612369323045078</v>
      </c>
      <c r="PT83" s="186"/>
      <c r="PU83" s="186"/>
      <c r="PV83" s="94"/>
      <c r="PW83" s="94"/>
      <c r="PX83" s="94"/>
      <c r="PY83" s="94"/>
      <c r="PZ83" s="94"/>
      <c r="QA83" s="94"/>
      <c r="QB83" s="94"/>
      <c r="QC83" s="94"/>
      <c r="QD83" s="94"/>
      <c r="QE83" s="94"/>
      <c r="QF83" s="94"/>
      <c r="QG83" s="94"/>
      <c r="QH83" s="94"/>
      <c r="QI83" s="94"/>
      <c r="QJ83" s="94"/>
      <c r="QK83" s="94"/>
      <c r="QL83" s="94"/>
      <c r="QM83" s="94"/>
      <c r="QN83" s="94"/>
      <c r="QO83" s="94"/>
      <c r="QP83" s="94"/>
    </row>
    <row r="84" spans="1:458" s="2" customFormat="1" x14ac:dyDescent="0.2">
      <c r="A84" s="395">
        <v>20</v>
      </c>
      <c r="B84" s="396">
        <v>3</v>
      </c>
      <c r="C84" s="387">
        <f ca="1">Weather_data!$B83</f>
        <v>0</v>
      </c>
      <c r="D84" s="388">
        <f ca="1">Weather_data!$F83</f>
        <v>0</v>
      </c>
      <c r="E84" s="388">
        <f ca="1">Weather_data!$E83</f>
        <v>0</v>
      </c>
      <c r="F84" s="388">
        <f t="shared" ca="1" si="355"/>
        <v>0</v>
      </c>
      <c r="G84" s="388">
        <f ca="1">AVERAGE($D84:$E84)+Control!$B$9</f>
        <v>0</v>
      </c>
      <c r="H84" s="388">
        <f ca="1">Weather_data!$G83</f>
        <v>0</v>
      </c>
      <c r="I84" s="388">
        <f ca="1">Weather_data!$I83</f>
        <v>0</v>
      </c>
      <c r="J84" s="388">
        <f ca="1">Weather_data!$H83</f>
        <v>0</v>
      </c>
      <c r="K84" s="389">
        <f ca="1">Weather_data!$D83</f>
        <v>0</v>
      </c>
      <c r="L84" s="388" t="e">
        <f t="shared" ca="1" si="356"/>
        <v>#N/A</v>
      </c>
      <c r="M84" s="388" t="e">
        <f t="shared" ca="1" si="234"/>
        <v>#N/A</v>
      </c>
      <c r="N84" s="388">
        <f t="shared" ca="1" si="235"/>
        <v>-1.3486080279530378E-4</v>
      </c>
      <c r="O84" s="388">
        <f t="shared" ca="1" si="357"/>
        <v>1.3486080279530377E-3</v>
      </c>
      <c r="P84" s="390">
        <v>3</v>
      </c>
      <c r="Q84" s="388">
        <f ca="1">MAX($G84-Control!$C$107,0)</f>
        <v>0</v>
      </c>
      <c r="R84" s="388">
        <f t="shared" ca="1" si="358"/>
        <v>0</v>
      </c>
      <c r="S84" s="388">
        <f t="shared" ca="1" si="236"/>
        <v>0</v>
      </c>
      <c r="T84" s="388">
        <f t="shared" ca="1" si="237"/>
        <v>0</v>
      </c>
      <c r="U84" s="59">
        <f t="shared" ca="1" si="238"/>
        <v>0</v>
      </c>
      <c r="V84" s="391">
        <f ca="1">MAX(0,MIN(Control!$C$100-Control!$C$99,$G84-Control!$C$99)*Control!$C$63)</f>
        <v>0</v>
      </c>
      <c r="W84" s="388">
        <f t="shared" ca="1" si="359"/>
        <v>0</v>
      </c>
      <c r="X84" s="388">
        <f t="shared" ca="1" si="360"/>
        <v>0.6110000000000001</v>
      </c>
      <c r="Y84" s="388">
        <f t="shared" ca="1" si="239"/>
        <v>0</v>
      </c>
      <c r="Z84" s="388">
        <f t="shared" ca="1" si="361"/>
        <v>0.61058800000000002</v>
      </c>
      <c r="AA84" s="388">
        <f t="shared" ca="1" si="240"/>
        <v>0.6018</v>
      </c>
      <c r="AB84" s="388">
        <f ca="1">101.3*EXP(-0.034*Control!$C$66/($G84+273))</f>
        <v>100.69623283836242</v>
      </c>
      <c r="AC84" s="392">
        <f t="shared" ca="1" si="241"/>
        <v>4.3460251046025113E-2</v>
      </c>
      <c r="AD84" s="392">
        <f t="shared" ca="1" si="242"/>
        <v>4.4450382862832649E-2</v>
      </c>
      <c r="AE84" s="388">
        <f t="shared" ca="1" si="243"/>
        <v>0</v>
      </c>
      <c r="AF84" s="388">
        <f ca="1">MAX(0,$G84-Control!$C$92)</f>
        <v>0</v>
      </c>
      <c r="AG84" s="393">
        <f t="shared" ca="1" si="244"/>
        <v>80</v>
      </c>
      <c r="AH84" s="389">
        <f t="shared" ca="1" si="245"/>
        <v>80</v>
      </c>
      <c r="AI84" s="388">
        <f t="shared" ca="1" si="362"/>
        <v>-8.5609835977039743E-3</v>
      </c>
      <c r="AJ84" s="388">
        <f ca="1">IF(Control!$C$60&lt;=0,$HH84,$HI84)</f>
        <v>1</v>
      </c>
      <c r="AK84" s="388">
        <f t="shared" ca="1" si="246"/>
        <v>0</v>
      </c>
      <c r="AL84" s="388">
        <f t="shared" ca="1" si="247"/>
        <v>0</v>
      </c>
      <c r="AM84" s="388">
        <f t="shared" ca="1" si="248"/>
        <v>0</v>
      </c>
      <c r="AN84" s="388">
        <f t="shared" ca="1" si="249"/>
        <v>0</v>
      </c>
      <c r="AO84" s="388">
        <f ca="1">-0.10453/COS(Control!$B$8*PI()/180)*COS(AN84)</f>
        <v>-0.16978486423031122</v>
      </c>
      <c r="AP84" s="388">
        <f ca="1">ACOS(AO84-TAN(Control!$B$8*PI()/180)*TAN(AN84))</f>
        <v>1.7414076865053296</v>
      </c>
      <c r="AQ84" s="388">
        <f t="shared" ca="1" si="363"/>
        <v>0</v>
      </c>
      <c r="AR84" s="394">
        <f t="shared" ca="1" si="250"/>
        <v>0</v>
      </c>
      <c r="AS84" s="436">
        <f ca="1">IF(Control!$B$18=2,(IF(OR($AH84=Control!$B$175,$AH84=Control!$B$176,$AH84=Control!$B$177,$AH84=Control!$B$178,$AH84=Control!$B$179,$AH84=Control!$B$180,$AH84=Control!$B$181,$AH84=Control!$B$182,$AH84=Control!$B$183,$AH84=Control!$B$184,$AH84=Control!$B$185),1,0)),0)</f>
        <v>0</v>
      </c>
      <c r="AT84" s="436">
        <f>IF(Control!$B$20=8,IF(AND($AH84&gt;=Control!$B$172,$AH84&lt;=Control!$B$173),1,0),0)</f>
        <v>0</v>
      </c>
      <c r="AU84" s="436">
        <f>IF(Control!$B$20=8,IF($AV83=1,1*$AT84,IF($AT84=1,$AU83+1,$AU83)),0)</f>
        <v>0</v>
      </c>
      <c r="AV84" s="436">
        <f>IF(Control!$B$20=8,IF($AU84&gt;=Control!$B$174,1,0),0)</f>
        <v>0</v>
      </c>
      <c r="AW84" s="436">
        <f ca="1">IF(AND(Control!$B$18=2,Control!$B$171=1), $AV84, $AS84)</f>
        <v>0</v>
      </c>
      <c r="AX84" s="436" t="e">
        <f ca="1">IF(AND(Control!$B$18=1,$EU84&gt;=Control!$B$19),-$AY84,IF(AND(Control!$B$18=2,$AW84=1,$EU84&gt;$DS84),-$AY84, IF(Control!$C$108=0,0, IF(Control!$C$108&lt;&gt;0,1))))</f>
        <v>#N/A</v>
      </c>
      <c r="AY84" s="436" t="e">
        <f t="shared" ca="1" si="364"/>
        <v>#N/A</v>
      </c>
      <c r="AZ84" s="436" t="e">
        <f ca="1">IF(AND(Control!$B$18=1,$EB84&gt;Control!$B$19),$AZ83+1, IF(AND(Control!$B$18=2, $AW84=1, $EB84&gt;$DS84), $AZ83+1,$AZ83))</f>
        <v>#N/A</v>
      </c>
      <c r="BA84" s="587">
        <f>IF(Control!$C$81=0,1,IF($AH84&gt;=Control!$C$82,1,0))</f>
        <v>1</v>
      </c>
      <c r="BB84" s="140" t="e">
        <f ca="1">IF($BA84&gt;$BA83,Control!$C$83,IF($AW84&gt;0,$AW84*Control!$C$84,IF(AND(Control!$B$18=1,EN83&lt;&gt;0),Control!$C$84,0)))</f>
        <v>#N/A</v>
      </c>
      <c r="BC84" s="140" t="e">
        <f t="shared" ca="1" si="365"/>
        <v>#N/A</v>
      </c>
      <c r="BD84" s="140" t="e">
        <f ca="1">BC84*IF(OR($G84&lt;Control!$C$92,$G84&gt;Control!$C$95),0,IF(AND($G84&gt;=Control!$C$92,$G84&lt;=Control!$C$93),$G84-Control!$C$92,IF(AND($G84&gt;Control!$C$93,$G84&lt;=Control!$C$94),Control!$C$93-Control!$C$92,IF(AND($G84&gt;Control!$C$94,$G84&lt;=Control!$C$95),(Control!$C$93-Control!$C$92)*(Control!$C$94-$G84)/(Control!$C$95-Control!$C$94)))))</f>
        <v>#N/A</v>
      </c>
      <c r="BE84" s="140" t="e">
        <f t="shared" ca="1" si="366"/>
        <v>#N/A</v>
      </c>
      <c r="BF84" s="140" t="e">
        <f ca="1">IF($BE84&lt;=Control!$C$86,$BE84,Control!$C$86-$BE84)</f>
        <v>#N/A</v>
      </c>
      <c r="BG84" s="140" t="e">
        <f ca="1">IF(AND($AW84=1,Control!$C$84&lt;9),1,IF($BE84&gt;=Control!$C$86,0,$BC84))</f>
        <v>#N/A</v>
      </c>
      <c r="BH84" s="404" t="e">
        <f ca="1">IF($BG84=0,0,IF($BE84&lt;=Control!$C$86,$BC84*9*($BF84/Control!$C$86),0))</f>
        <v>#N/A</v>
      </c>
      <c r="BI84" s="140" t="e">
        <f ca="1">IF($BG84=1,0,IF($BE84&gt;=Control!$C$86,1,IF(AND($BB84&lt;21,$BB84&gt;=9),1,$BM83)))</f>
        <v>#N/A</v>
      </c>
      <c r="BJ84" s="140" t="e">
        <f ca="1">IF($BF84&lt;0,-$BF84,$BI84*IF(OR($G84&lt;Control!$C$92,$G84&gt;Control!$C$95),0,IF(AND($G84&gt;=Control!$C$92,$G84&lt;=Control!$C$93),$G84-Control!$C$92,IF(AND($G84&gt;Control!$C$93,$G84&lt;=Control!$C$94),Control!$C$93-Control!$C$92,IF(AND($G84&gt;Control!$C$94,$G84&lt;=Control!$C$95),(Control!$C$93-Control!$C$92)*(Control!$C$94-$G84)/(Control!$C$95-Control!$C$94))))))</f>
        <v>#N/A</v>
      </c>
      <c r="BK84" s="140" t="e">
        <f t="shared" ca="1" si="367"/>
        <v>#N/A</v>
      </c>
      <c r="BL84" s="140" t="e">
        <f ca="1">IF($BK84&lt;=Control!$C$87,$BK84,Control!$C$87-$BK84)</f>
        <v>#N/A</v>
      </c>
      <c r="BM84" s="140" t="e">
        <f ca="1">IF(AND($BB84&gt;=9,$BB84&lt;21),1,IF($BK84&gt;=Control!$C$87,0,$BI84))</f>
        <v>#N/A</v>
      </c>
      <c r="BN84" s="404" t="e">
        <f ca="1">IF($BM84=0,0,IF($BK84&lt;=Control!$C$87,$BI84*(9+(21-9)*($BL84/Control!$C$87)),0))</f>
        <v>#N/A</v>
      </c>
      <c r="BO84" s="140" t="e">
        <f ca="1">IF($BM84=1,0,IF($BK84&gt;=Control!$C$87,1,IF(AND($BB84&lt;30,$BB84&gt;=21),1,$BS83)))</f>
        <v>#N/A</v>
      </c>
      <c r="BP84" s="140" t="e">
        <f ca="1">IF($BL84&lt;0,-$BL84,$BO84*IF(OR($G84&lt;Control!$C$92,$G84&gt;Control!$C$95),0,IF(AND($G84&gt;=Control!$C$92,$G84&lt;=Control!$C$93),$G84-Control!$C$92,IF(AND($G84&gt;Control!$C$93,$G84&lt;=Control!$C$94),Control!$C$93-Control!$C$92,IF(AND($G84&gt;Control!$C$94,$G84&lt;=Control!$C$95),(Control!$C$93-Control!$C$92)*(Control!$C$94-$G84)/(Control!$C$95-Control!$C$94))))))</f>
        <v>#N/A</v>
      </c>
      <c r="BQ84" s="140" t="e">
        <f t="shared" ca="1" si="251"/>
        <v>#N/A</v>
      </c>
      <c r="BR84" s="140" t="e">
        <f ca="1">IF($BQ84&lt;=Control!$C$88,$BQ84,Control!$C$88-$BQ84)</f>
        <v>#N/A</v>
      </c>
      <c r="BS84" s="140" t="e">
        <f ca="1">IF(AND($BB84&gt;=21,$BB84&lt;30),1,IF($BQ84&gt;=Control!$C$88,0,$BO84))</f>
        <v>#N/A</v>
      </c>
      <c r="BT84" s="404" t="e">
        <f ca="1">IF($BS84=0,0,IF($BQ84&lt;=Control!$C$88,$BO84*(21+(30-21)*(BR84/Control!$C$88)),0))</f>
        <v>#N/A</v>
      </c>
      <c r="BU84" s="140" t="e">
        <f ca="1">IF(BG84+BM84+BS84=1,0,IF(OR(AND($BB84&lt;60,$BB84&gt;=30),$BQ84&gt;=Control!$C$88),1*$BA84,$BY83))</f>
        <v>#N/A</v>
      </c>
      <c r="BV84" s="140" t="e">
        <f ca="1">IF($BR84&lt;0,-$BR84,$BU84*IF(OR($G84&lt;Control!$C$92,$G84&gt;Control!$C$95),0,IF(AND($G84&gt;=Control!$C$92,$G84&lt;=Control!$C$93),$G84-Control!$C$92,IF(AND($G84&gt;Control!$C$93,$G84&lt;=Control!$C$94),Control!$C$93-Control!$C$92,IF(AND($G84&gt;Control!$C$94,$G84&lt;=Control!$C$95),(Control!$C$93-Control!$C$92)*(Control!$C$94-$G84)/(Control!$C$95-Control!$C$94))))))</f>
        <v>#N/A</v>
      </c>
      <c r="BW84" s="140" t="e">
        <f t="shared" ca="1" si="252"/>
        <v>#N/A</v>
      </c>
      <c r="BX84" s="140" t="e">
        <f ca="1">IF($BW84&lt;=Control!$C$89,$BW84,Control!$C$89-$BW84)</f>
        <v>#N/A</v>
      </c>
      <c r="BY84" s="140" t="e">
        <f ca="1">IF(AND($AJ84&gt;=30,$AJ84&lt;60),1,IF($BW84&gt;=Control!$C$89,0,$BU84))</f>
        <v>#N/A</v>
      </c>
      <c r="BZ84" s="404" t="e">
        <f ca="1">IF($BY84=0,0,IF($BW84&lt;=Control!$C$89,$BU84*(30+(60-30)*(BX84/Control!$C$89)),0))</f>
        <v>#N/A</v>
      </c>
      <c r="CA84" s="140" t="e">
        <f ca="1">IF($BG84+$BM84+$BS84+$BY84=1,0,IF(OR(AND($BB84&lt;65,$BB84&gt;=60),$BW84&gt;=Control!$C$89),1*$BA84,$CE83))</f>
        <v>#N/A</v>
      </c>
      <c r="CB84" s="140" t="e">
        <f ca="1">IF($BX84&lt;0,-$BX84,$CA84*IF(OR($G84&lt;Control!$C$92,$G84&gt;Control!$C$95),0,IF(AND($G84&gt;=Control!$C$92,$G84&lt;=Control!$C$93),$G84-Control!$C$92,IF(AND($G84&gt;Control!$C$93,$G84&lt;=Control!$C$94),Control!$C$93-Control!$C$92,IF(AND($G84&gt;Control!$C$94,$G84&lt;=Control!$C$95),(Control!$C$93-Control!$C$92)*(Control!$C$94-$G84)/(Control!$C$95-Control!$C$94))))))</f>
        <v>#N/A</v>
      </c>
      <c r="CC84" s="140" t="e">
        <f t="shared" ca="1" si="368"/>
        <v>#N/A</v>
      </c>
      <c r="CD84" s="140" t="e">
        <f ca="1">IF($CC84&lt;=Control!$C$90,$CC84,Control!$C$90-$CC84)</f>
        <v>#N/A</v>
      </c>
      <c r="CE84" s="140" t="e">
        <f ca="1">IF(AND($BB84&gt;=60,$BB84&lt;65),1,IF($CC84&gt;=Control!$C$90,0,$CA84))</f>
        <v>#N/A</v>
      </c>
      <c r="CF84" s="404" t="e">
        <f ca="1">IF($CE84=0,0,IF($CC84&lt;=Control!$C$90,$CA84*(60+(65-60)*(CD84/Control!$C$90)),0))</f>
        <v>#N/A</v>
      </c>
      <c r="CG84" s="140" t="e">
        <f ca="1">IF($BG84+$BM84+$BS84+$BY84+$CE84=1,0,IF(OR(AND($BB84&lt;90,$BB84&gt;=65),$CC84&gt;=Control!$C$90),$BA84,$CK83))</f>
        <v>#N/A</v>
      </c>
      <c r="CH84" s="140" t="e">
        <f ca="1">IF($CD84&lt;0,-$CD84,$CG84*IF(OR($G84&lt;Control!$C$92,$G84&gt;Control!$C$95),0,IF(AND($G84&gt;=Control!$C$92,$G84&lt;=Control!$C$93),$G84-Control!$C$92,IF(AND($G84&gt;Control!$C$93,$G84&lt;=Control!$C$94),Control!$C$93-Control!$C$92,IF(AND($G84&gt;Control!$C$94,$G84&lt;=Control!$C$95),(Control!$C$93-Control!$C$92)*(Control!$C$94-$G84)/(Control!$C$95-Control!$C$94))))))</f>
        <v>#N/A</v>
      </c>
      <c r="CI84" s="140" t="e">
        <f t="shared" ca="1" si="369"/>
        <v>#N/A</v>
      </c>
      <c r="CJ84" s="140" t="e">
        <f ca="1">IF($CI84&lt;=Control!$C$91,$CI84,Control!$C$91-$CI84)</f>
        <v>#N/A</v>
      </c>
      <c r="CK84" s="140" t="e">
        <f ca="1">IF(AND($BB84&gt;=65,$BB84&lt;90),1,IF($CI84&gt;=Control!$C$91,0,$CG84))</f>
        <v>#N/A</v>
      </c>
      <c r="CL84" s="404" t="e">
        <f ca="1">IF($CK84=0,0,IF($CI84&lt;=Control!$C$91,$CG84*(65+(90-65)*($CJ84/Control!$C$91)),0))</f>
        <v>#N/A</v>
      </c>
      <c r="CM84" s="140" t="e">
        <f ca="1">IF($BG84+$BM84+$BS84+$BY84+$CE84+$CK84=1,0,IF(OR($BB84&gt;=90,$CI84&gt;=Control!$C$91),$BA84,$CM83))</f>
        <v>#N/A</v>
      </c>
      <c r="CN84" s="140" t="e">
        <f t="shared" ca="1" si="370"/>
        <v>#N/A</v>
      </c>
      <c r="CO84" s="140" t="e">
        <f t="shared" ca="1" si="371"/>
        <v>#N/A</v>
      </c>
      <c r="CP84" s="140" t="e">
        <f t="shared" ca="1" si="372"/>
        <v>#N/A</v>
      </c>
      <c r="CQ84" s="141" t="e">
        <f ca="1">VLOOKUP($CP84,Control!$B$86:$G$91,6)</f>
        <v>#N/A</v>
      </c>
      <c r="CR84" s="141" t="e">
        <f ca="1">(1-$CQ84)*VLOOKUP($CP84,Control!$B$86:$D$91,3)</f>
        <v>#N/A</v>
      </c>
      <c r="CS84" s="141" t="e">
        <f ca="1">(1-$CQ84)*VLOOKUP($CP84,Control!$B$86:$E$91,4)</f>
        <v>#N/A</v>
      </c>
      <c r="CT84" s="141" t="e">
        <f ca="1">(1-$CQ84)*VLOOKUP($CP84,Control!$B$86:$F$91,5)</f>
        <v>#N/A</v>
      </c>
      <c r="CU84" s="141">
        <f t="shared" ca="1" si="373"/>
        <v>0</v>
      </c>
      <c r="CV84" s="583">
        <f t="shared" ca="1" si="374"/>
        <v>0</v>
      </c>
      <c r="CW84" s="142">
        <f t="shared" ca="1" si="375"/>
        <v>80</v>
      </c>
      <c r="CX84" s="612" t="e">
        <f ca="1">IF(Control!$C$114=1,(MIN(Control!$C$120*(IF($NT84-0.01&lt;0,0,1)),Control!$C$119-$CY84)))</f>
        <v>#DIV/0!</v>
      </c>
      <c r="CY84" s="143" t="e">
        <f t="shared" ca="1" si="376"/>
        <v>#N/A</v>
      </c>
      <c r="CZ84" s="144">
        <f t="shared" ca="1" si="253"/>
        <v>0</v>
      </c>
      <c r="DA84" s="144">
        <f t="shared" ca="1" si="254"/>
        <v>0</v>
      </c>
      <c r="DB84" s="144" t="e">
        <f t="shared" ca="1" si="255"/>
        <v>#N/A</v>
      </c>
      <c r="DC84" s="144" t="e">
        <f t="shared" ca="1" si="256"/>
        <v>#N/A</v>
      </c>
      <c r="DD84" s="144" t="e">
        <f t="shared" ca="1" si="461"/>
        <v>#N/A</v>
      </c>
      <c r="DE84" s="143" t="e">
        <f t="shared" ca="1" si="377"/>
        <v>#N/A</v>
      </c>
      <c r="DF84" s="145" t="e">
        <f ca="1">$DR84*EXP(-Control!$C$158*(1-$KH84))</f>
        <v>#N/A</v>
      </c>
      <c r="DG84" s="146" t="e">
        <f ca="1">IF(Control!$C$114=1, $DF84*$EY84, 0)</f>
        <v>#N/A</v>
      </c>
      <c r="DH84" s="147" t="e">
        <f t="shared" ca="1" si="378"/>
        <v>#N/A</v>
      </c>
      <c r="DI84" s="144" t="e">
        <f t="shared" ca="1" si="439"/>
        <v>#N/A</v>
      </c>
      <c r="DJ84" s="147" t="e">
        <f ca="1">$EF84*Control!$C$109</f>
        <v>#N/A</v>
      </c>
      <c r="DK84" s="144" t="e">
        <f t="shared" ca="1" si="379"/>
        <v>#N/A</v>
      </c>
      <c r="DL84" s="144" t="e">
        <f t="shared" ca="1" si="257"/>
        <v>#N/A</v>
      </c>
      <c r="DM84" s="144" t="e">
        <f ca="1">IF(Control!$C$114=1, (1-EXP(-Control!$C$96*$DK84))*$AR84, 0)</f>
        <v>#N/A</v>
      </c>
      <c r="DN84" s="144">
        <f t="shared" ca="1" si="380"/>
        <v>0</v>
      </c>
      <c r="DO84" s="148">
        <f>Control!$C$97</f>
        <v>4</v>
      </c>
      <c r="DP84" s="145" t="e">
        <f t="shared" ca="1" si="381"/>
        <v>#N/A</v>
      </c>
      <c r="DQ84" s="145" t="e">
        <f ca="1">IF(AND($CP84&gt;=0,$CP84&lt;=90),Control!$C$111,Control!$C$111)</f>
        <v>#N/A</v>
      </c>
      <c r="DR84" s="145" t="e">
        <f t="shared" ca="1" si="258"/>
        <v>#N/A</v>
      </c>
      <c r="DS84" s="143" t="e">
        <f ca="1">Control!$B$22/$DR84</f>
        <v>#N/A</v>
      </c>
      <c r="DT84" s="149" t="e">
        <f ca="1">IF(AND(Control!$C$114=1,$KH84&lt;1),$IM84*$DF84, 0)</f>
        <v>#N/A</v>
      </c>
      <c r="DU84" s="144" t="e">
        <f t="shared" ca="1" si="382"/>
        <v>#N/A</v>
      </c>
      <c r="DV84" s="144">
        <f ca="1">IF($G84-Control!$C$107&lt;=0, 0, 0.83*LN(MAX($G84, 3))-0.8924)</f>
        <v>0</v>
      </c>
      <c r="DW84" s="144" t="e">
        <f t="shared" ca="1" si="259"/>
        <v>#N/A</v>
      </c>
      <c r="DX84" s="150" t="e">
        <f ca="1">MAX(0.01*(1+$CU84/Control!$C$102),0.05*($DK84-Control!$C$97)/Control!$C$97)</f>
        <v>#N/A</v>
      </c>
      <c r="DY84" s="151" t="e">
        <f ca="1">IF(Control!$C$114=1, $DI84*$FS84, 0)</f>
        <v>#N/A</v>
      </c>
      <c r="DZ84" s="196" t="e">
        <f t="shared" ca="1" si="383"/>
        <v>#N/A</v>
      </c>
      <c r="EA84" s="152">
        <f t="shared" ca="1" si="384"/>
        <v>80</v>
      </c>
      <c r="EB84" s="153" t="e">
        <f t="shared" ca="1" si="385"/>
        <v>#N/A</v>
      </c>
      <c r="EC84" s="153" t="e">
        <f t="shared" ca="1" si="386"/>
        <v>#N/A</v>
      </c>
      <c r="ED84" s="154" t="e">
        <f ca="1">IF(Control!$C$114=1, $HM84*$FY84-$FD84, 0)</f>
        <v>#DIV/0!</v>
      </c>
      <c r="EE84" s="155" t="e">
        <f ca="1">IF(Control!$C$114=1, $HM84*$FZ84-$FF84, 0)</f>
        <v>#DIV/0!</v>
      </c>
      <c r="EF84" s="153" t="e">
        <f t="shared" ca="1" si="440"/>
        <v>#N/A</v>
      </c>
      <c r="EG84" s="155" t="e">
        <f ca="1">IF(Control!$C$114=1, $GX84*$FW84-$FI84, 0)</f>
        <v>#DIV/0!</v>
      </c>
      <c r="EH84" s="153" t="e">
        <f t="shared" ca="1" si="387"/>
        <v>#N/A</v>
      </c>
      <c r="EI84" s="156" t="e">
        <f t="shared" ca="1" si="388"/>
        <v>#N/A</v>
      </c>
      <c r="EJ84" s="155" t="e">
        <f ca="1">IF(Control!$C$114=1, $HM84*$GB84, 0)</f>
        <v>#DIV/0!</v>
      </c>
      <c r="EK84" s="153" t="e">
        <f t="shared" ca="1" si="441"/>
        <v>#N/A</v>
      </c>
      <c r="EL84" s="153" t="e">
        <f t="shared" ca="1" si="260"/>
        <v>#N/A</v>
      </c>
      <c r="EM84" s="153" t="e">
        <f t="shared" ca="1" si="261"/>
        <v>#N/A</v>
      </c>
      <c r="EN84" s="153" t="e">
        <f ca="1">IF(Control!$C$108=1,IF(AND(Control!$B$18=1,$EB84&gt;=Control!$B$19),$EB84-$DS84,IF(AND(Control!$B$18=2,$AW84=1,$EB84&gt;$DS84),$EB84-$DS84,0)))</f>
        <v>#N/A</v>
      </c>
      <c r="EO84" s="153" t="e">
        <f ca="1">IF(Control!$C$108=1,IF(AND(Control!$B$18=1,$EB84&gt;=Control!$B$19),$EF84,IF(AND(Control!$B$18=2,$AW84=1),$EF84,0)))</f>
        <v>#N/A</v>
      </c>
      <c r="EP84" s="153" t="e">
        <f ca="1">IF(Control!$C$108=1,IF(AND(Control!$B$18=1,$EB84&gt;=Control!$B$19),$EK84,IF(AND(Control!$B$18=2,$AW84=1),$EK84,0)))</f>
        <v>#N/A</v>
      </c>
      <c r="EQ84" s="153" t="e">
        <f t="shared" ca="1" si="389"/>
        <v>#N/A</v>
      </c>
      <c r="ER84" s="153" t="e">
        <f t="shared" ca="1" si="390"/>
        <v>#N/A</v>
      </c>
      <c r="ES84" s="153" t="e">
        <f t="shared" ca="1" si="442"/>
        <v>#N/A</v>
      </c>
      <c r="ET84" s="153" t="e">
        <f t="shared" ca="1" si="443"/>
        <v>#N/A</v>
      </c>
      <c r="EU84" s="153" t="e">
        <f t="shared" ca="1" si="391"/>
        <v>#N/A</v>
      </c>
      <c r="EV84" s="153" t="e">
        <f t="shared" ca="1" si="262"/>
        <v>#N/A</v>
      </c>
      <c r="EW84" s="153" t="e">
        <f t="shared" ca="1" si="263"/>
        <v>#N/A</v>
      </c>
      <c r="EX84" s="153" t="e">
        <f t="shared" ca="1" si="264"/>
        <v>#N/A</v>
      </c>
      <c r="EY84" s="157" t="e">
        <f t="shared" ca="1" si="265"/>
        <v>#DIV/0!</v>
      </c>
      <c r="EZ84" s="154" t="e">
        <f t="shared" ca="1" si="266"/>
        <v>#DIV/0!</v>
      </c>
      <c r="FA84" s="153" t="e">
        <f t="shared" ca="1" si="392"/>
        <v>#N/A</v>
      </c>
      <c r="FB84" s="153" t="e">
        <f t="shared" ca="1" si="267"/>
        <v>#N/A</v>
      </c>
      <c r="FC84" s="193" t="e">
        <f t="shared" ca="1" si="268"/>
        <v>#N/A</v>
      </c>
      <c r="FD84" s="158" t="e">
        <f t="shared" ca="1" si="393"/>
        <v>#N/A</v>
      </c>
      <c r="FE84" s="158" t="e">
        <f t="shared" ca="1" si="394"/>
        <v>#N/A</v>
      </c>
      <c r="FF84" s="159" t="e">
        <f t="shared" ca="1" si="269"/>
        <v>#N/A</v>
      </c>
      <c r="FG84" s="160" t="e">
        <f t="shared" ca="1" si="395"/>
        <v>#N/A</v>
      </c>
      <c r="FH84" s="158" t="e">
        <f t="shared" ca="1" si="396"/>
        <v>#N/A</v>
      </c>
      <c r="FI84" s="159" t="e">
        <f t="shared" ca="1" si="270"/>
        <v>#N/A</v>
      </c>
      <c r="FJ84" s="160" t="e">
        <f t="shared" ca="1" si="397"/>
        <v>#N/A</v>
      </c>
      <c r="FK84" s="160" t="e">
        <f t="shared" ca="1" si="271"/>
        <v>#N/A</v>
      </c>
      <c r="FL84" s="160" t="e">
        <f t="shared" ca="1" si="444"/>
        <v>#N/A</v>
      </c>
      <c r="FM84" s="160" t="e">
        <f t="shared" ca="1" si="272"/>
        <v>#N/A</v>
      </c>
      <c r="FN84" s="158">
        <f t="shared" ca="1" si="398"/>
        <v>0.01</v>
      </c>
      <c r="FO84" s="160">
        <f>Control!$C$101</f>
        <v>50</v>
      </c>
      <c r="FP84" s="150" t="e">
        <f t="shared" ca="1" si="273"/>
        <v>#N/A</v>
      </c>
      <c r="FQ84" s="150" t="e">
        <f ca="1">MAX(0,(Control!$C$112*(($DK84-Control!$C$97)/Control!$C$97)))</f>
        <v>#N/A</v>
      </c>
      <c r="FR84" s="150" t="e">
        <f ca="1">(1-$NT84)*Control!$C$113</f>
        <v>#DIV/0!</v>
      </c>
      <c r="FS84" s="198" t="e">
        <f t="shared" ca="1" si="274"/>
        <v>#N/A</v>
      </c>
      <c r="FT84" s="161">
        <f t="shared" ca="1" si="399"/>
        <v>80</v>
      </c>
      <c r="FU84" s="162" t="e">
        <f ca="1">IF(Control!$B$34=1,VLOOKUP($CP84,Control!$B$86:$G$91,6),Control!$B$35)</f>
        <v>#N/A</v>
      </c>
      <c r="FV84" s="162" t="e">
        <f t="shared" ca="1" si="275"/>
        <v>#DIV/0!</v>
      </c>
      <c r="FW84" s="162" t="e">
        <f ca="1">IF(Control!$B$31=1,$FU84*$FV84,  $FU84)</f>
        <v>#N/A</v>
      </c>
      <c r="FX84" s="162" t="e">
        <f ca="1">IF(Control!$B$34=1,VLOOKUP($CP84,Control!$B$86:$G$91,3),Control!$B$36)</f>
        <v>#N/A</v>
      </c>
      <c r="FY84" s="162" t="e">
        <f t="shared" ca="1" si="276"/>
        <v>#N/A</v>
      </c>
      <c r="FZ84" s="162" t="e">
        <f ca="1">IF(Control!$B$34=1,VLOOKUP($CP84,Control!$B$86:$G$91,4),Control!$B$37)</f>
        <v>#N/A</v>
      </c>
      <c r="GA84" s="162" t="e">
        <f t="shared" ca="1" si="277"/>
        <v>#N/A</v>
      </c>
      <c r="GB84" s="162" t="e">
        <f ca="1">IF(Control!$B$34=1,VLOOKUP($CP84,Control!$B$86:$G$91,5),Control!$B$38)</f>
        <v>#N/A</v>
      </c>
      <c r="GC84" s="162" t="e">
        <f t="shared" ca="1" si="400"/>
        <v>#N/A</v>
      </c>
      <c r="GD84" s="162">
        <f t="shared" ca="1" si="278"/>
        <v>1</v>
      </c>
      <c r="GE84" s="162">
        <f t="shared" ca="1" si="279"/>
        <v>1</v>
      </c>
      <c r="GF84" s="162">
        <f ca="1">IF(AND(Control!$C$104=1, Control!$C$62="F"),$GE84,1)</f>
        <v>1</v>
      </c>
      <c r="GG84" s="162" t="e">
        <f ca="1">IF(Control!$B$16=40,0,IF(AND(Control!$B$16&gt;40,Control!$B$16&lt;=360),(Control!$B$16-40)*((1-0)/(360-40)),IF(AND(Control!$B$16&gt;360,Control!$B$16&lt;=720),(1+(Control!$B$16-360)*((1.25-1)/(720-360))),IF(AND(Control!$B$16&gt;720,Control!$B$16&lt;=1000),(1.25+(Control!$B$16-720)*((1.35-1.25)/(1000-720))),IF(AND(Control!$B$16&gt;1000,Control!$B$16&lt;=2000),(1.35+(Control!$B$16-1000)*0))))))</f>
        <v>#N/A</v>
      </c>
      <c r="GH84" s="162" t="e">
        <f t="shared" ca="1" si="280"/>
        <v>#N/A</v>
      </c>
      <c r="GI84" s="162">
        <f t="shared" ca="1" si="401"/>
        <v>0</v>
      </c>
      <c r="GJ84" s="162">
        <f t="shared" ca="1" si="281"/>
        <v>0</v>
      </c>
      <c r="GK84" s="162">
        <f t="shared" ca="1" si="402"/>
        <v>1</v>
      </c>
      <c r="GL84" s="162">
        <f t="shared" ca="1" si="282"/>
        <v>1</v>
      </c>
      <c r="GM84" s="162" t="e">
        <f ca="1">MAX(0,MIN(1,1-Control!$C$156*(1.0001-$KH84)^2))</f>
        <v>#N/A</v>
      </c>
      <c r="GN84" s="162" t="e">
        <f ca="1">IF(Control!$B$26=1,$KU84,$KX84)</f>
        <v>#N/A</v>
      </c>
      <c r="GO84" s="162" t="e">
        <f ca="1">IF($CP84&lt;=60,Control!$C$105,IF($CP84&gt;=90,Control!$C$106,Control!$C$105+($CP84-60)*((Control!$C$106-Control!$C$105)/(90-60))))</f>
        <v>#N/A</v>
      </c>
      <c r="GP84" s="162" t="e">
        <f t="shared" ca="1" si="283"/>
        <v>#N/A</v>
      </c>
      <c r="GQ84" s="162" t="e">
        <f t="shared" ca="1" si="403"/>
        <v>#N/A</v>
      </c>
      <c r="GR84" s="163" t="e">
        <f t="shared" ca="1" si="284"/>
        <v>#DIV/0!</v>
      </c>
      <c r="GS84" s="162" t="e">
        <f t="shared" ca="1" si="285"/>
        <v>#DIV/0!</v>
      </c>
      <c r="GT84" s="164" t="e">
        <f t="shared" ca="1" si="404"/>
        <v>#N/A</v>
      </c>
      <c r="GU84" s="162" t="e">
        <f t="shared" ca="1" si="405"/>
        <v>#N/A</v>
      </c>
      <c r="GV84" s="162" t="e">
        <f t="shared" ca="1" si="286"/>
        <v>#N/A</v>
      </c>
      <c r="GW84" s="162" t="e">
        <f t="shared" ca="1" si="287"/>
        <v>#DIV/0!</v>
      </c>
      <c r="GX84" s="162" t="e">
        <f t="shared" ca="1" si="406"/>
        <v>#DIV/0!</v>
      </c>
      <c r="GY84" s="162" t="e">
        <f t="shared" ca="1" si="407"/>
        <v>#DIV/0!</v>
      </c>
      <c r="GZ84" s="165" t="e">
        <f t="shared" ca="1" si="288"/>
        <v>#N/A</v>
      </c>
      <c r="HA84" s="162" t="e">
        <f ca="1">IF(Control!$C$114=1, $DI84*$FS84, 0)</f>
        <v>#N/A</v>
      </c>
      <c r="HB84" s="162" t="e">
        <f ca="1">$FA84/Control!$C$64</f>
        <v>#N/A</v>
      </c>
      <c r="HC84" s="162" t="e">
        <f t="shared" ca="1" si="289"/>
        <v>#DIV/0!</v>
      </c>
      <c r="HD84" s="162">
        <f ca="1">-ASIN(SIN(23.45*Control!$C$139)*COS(2*Control!$C$138*($AH84+10)/365))</f>
        <v>-8.5609835977039743E-3</v>
      </c>
      <c r="HE84" s="165">
        <f t="shared" ca="1" si="408"/>
        <v>0</v>
      </c>
      <c r="HF84" s="166">
        <f ca="1">IF(AND(Control!$C$61="T",$HE84&gt;=Control!$C$103,Control!$C$114=0),$AH84,Control!$C$59)</f>
        <v>1</v>
      </c>
      <c r="HG84" s="166">
        <f ca="1">IF(AND(Control!$C$61="T",$HE84&gt;=Control!$C$103,Control!$C$114=0),$HF84,Control!$C$59)</f>
        <v>1</v>
      </c>
      <c r="HH84" s="165">
        <f ca="1">IF(AND(OR(Control!$C$60&lt;=0, $AH84= Control!$C$59, Control!$C$60 &gt;0, $AH84 = Control!$C$60)), Control!$C$59, IF(Control!$C$60&gt;0, 0))</f>
        <v>1</v>
      </c>
      <c r="HI84" s="165">
        <f ca="1">IF(AND(OR(Control!$C$60&lt;=0, $AH84= Control!$C$59, Control!$C$60 &gt;0, $AH84 = Control!$C$60)), Control!$C$60, IF(Control!$C$60&lt;=0, 0))</f>
        <v>0</v>
      </c>
      <c r="HJ84" s="166">
        <f ca="1">IF(AND(Control!$C$62="F",$CV84&gt;=Control!$C$102),$AH84,0)</f>
        <v>0</v>
      </c>
      <c r="HK84" s="165" t="e">
        <f t="shared" ca="1" si="445"/>
        <v>#N/A</v>
      </c>
      <c r="HL84" s="166">
        <f ca="1">IF(AND(Control!$C$61="T",$HE84&gt;=Control!$C$103,Control!$C$114=0),$HF84,0)</f>
        <v>0</v>
      </c>
      <c r="HM84" s="201" t="e">
        <f t="shared" ca="1" si="290"/>
        <v>#DIV/0!</v>
      </c>
      <c r="HN84" s="215">
        <f t="shared" ca="1" si="409"/>
        <v>80</v>
      </c>
      <c r="HO84" s="216" t="e">
        <f ca="1">IF(AND($CP84&gt;=0, $CP84&lt;=90), Control!$C$152, Control!$C$152)</f>
        <v>#N/A</v>
      </c>
      <c r="HP84" s="216" t="e">
        <f t="shared" ca="1" si="291"/>
        <v>#N/A</v>
      </c>
      <c r="HQ84" s="217" t="e">
        <f ca="1">IF(OR(Control!$B$26=1,Control!$B$26=2),$KV84,$KS84)</f>
        <v>#DIV/0!</v>
      </c>
      <c r="HR84" s="218" t="e">
        <f t="shared" ca="1" si="446"/>
        <v>#DIV/0!</v>
      </c>
      <c r="HS84" s="216" t="e">
        <f ca="1">Control!$C$154*$HP84</f>
        <v>#N/A</v>
      </c>
      <c r="HT84" s="216" t="e">
        <f ca="1">Control!$C$155*$HP84</f>
        <v>#N/A</v>
      </c>
      <c r="HU84" s="217" t="e">
        <f ca="1">Control!$C$161*$FI84</f>
        <v>#N/A</v>
      </c>
      <c r="HV84" s="218" t="e">
        <f t="shared" ca="1" si="410"/>
        <v>#N/A</v>
      </c>
      <c r="HW84" s="218" t="e">
        <f ca="1">Control!$C$160*$FF84+$IP84*$EO84</f>
        <v>#N/A</v>
      </c>
      <c r="HX84" s="218" t="e">
        <f t="shared" ca="1" si="447"/>
        <v>#N/A</v>
      </c>
      <c r="HY84" s="219" t="e">
        <f ca="1">IF(Control!$C$114=1, $EB84*$FS84, 0)</f>
        <v>#N/A</v>
      </c>
      <c r="HZ84" s="91" t="e">
        <f t="shared" ca="1" si="292"/>
        <v>#N/A</v>
      </c>
      <c r="IA84" s="220" t="e">
        <f ca="1">Control!$C$153*$HO84</f>
        <v>#N/A</v>
      </c>
      <c r="IB84" s="218" t="e">
        <f t="shared" ca="1" si="293"/>
        <v>#N/A</v>
      </c>
      <c r="IC84" s="220" t="e">
        <f ca="1">Control!$C$153*$HT84</f>
        <v>#N/A</v>
      </c>
      <c r="ID84" s="218" t="e">
        <f t="shared" ca="1" si="294"/>
        <v>#N/A</v>
      </c>
      <c r="IE84" s="221" t="e">
        <f ca="1">($EB84*Control!$C$159+$EF84*Control!$C$160)/(IF($GZ84&lt;&gt;0,$GZ84,1))</f>
        <v>#N/A</v>
      </c>
      <c r="IF84" s="216" t="e">
        <f t="shared" ca="1" si="295"/>
        <v>#N/A</v>
      </c>
      <c r="IG84" s="91">
        <f ca="1">IF(OR(Control!$B$198=$AH84,Control!$B$199=$AH84, Control!$B$200=$AH84, Control!$B$201=$AH84, Control!$B$202=$AH84, Control!$B$203=$AH84, Control!$B$204=$AH84, Control!$B$205=$AH84, Control!$B$206=$AH84, Control!$B$207=$AH84), 1, 0)</f>
        <v>0</v>
      </c>
      <c r="IH84" s="91">
        <f ca="1">IF($IG84=0,0, VLOOKUP($AH84,Control!$B$198:$C$207,2))</f>
        <v>0</v>
      </c>
      <c r="II84" s="222">
        <f t="shared" ca="1" si="411"/>
        <v>0</v>
      </c>
      <c r="IJ84" s="91">
        <f>Control!$C$121</f>
        <v>0.7</v>
      </c>
      <c r="IK84" s="218">
        <f t="shared" ca="1" si="296"/>
        <v>0</v>
      </c>
      <c r="IL84" s="217" t="e">
        <f t="shared" ca="1" si="448"/>
        <v>#N/A</v>
      </c>
      <c r="IM84" s="223" t="e">
        <f ca="1">IF(AND(Control!$C$114=1,$KH84&lt;1),$EB84*Control!$C$148*(1-$KH84), 0)</f>
        <v>#N/A</v>
      </c>
      <c r="IN84" s="217" t="e">
        <f t="shared" ca="1" si="297"/>
        <v>#DIV/0!</v>
      </c>
      <c r="IO84" s="91" t="e">
        <f ca="1">MAX(0,$IL84-$EF84*Control!$C$160)</f>
        <v>#N/A</v>
      </c>
      <c r="IP84" s="220" t="e">
        <f t="shared" ca="1" si="298"/>
        <v>#N/A</v>
      </c>
      <c r="IQ84" s="217" t="e">
        <f t="shared" ca="1" si="412"/>
        <v>#N/A</v>
      </c>
      <c r="IR84" s="218" t="e">
        <f t="shared" ca="1" si="299"/>
        <v>#N/A</v>
      </c>
      <c r="IS84" s="217" t="e">
        <f ca="1">Control!$C$159*MAX(0,$FD84-$EN84)</f>
        <v>#N/A</v>
      </c>
      <c r="IT84" s="217" t="e">
        <f t="shared" ca="1" si="449"/>
        <v>#N/A</v>
      </c>
      <c r="IU84" s="217" t="e">
        <f t="shared" ca="1" si="413"/>
        <v>#N/A</v>
      </c>
      <c r="IV84" s="217" t="e">
        <f t="shared" ca="1" si="450"/>
        <v>#N/A</v>
      </c>
      <c r="IW84" s="217" t="e">
        <f ca="1">IF(OR($AW84=1,AND($AW84=0, Control!$B$18=1,$EN84&lt;&gt;0)), $IQ84-$IU84, $IQ84)</f>
        <v>#N/A</v>
      </c>
      <c r="IX84" s="218" t="e">
        <f t="shared" ca="1" si="300"/>
        <v>#N/A</v>
      </c>
      <c r="IY84" s="218" t="e">
        <f ca="1">MAX(0,$IQ84-$EB84*Control!$C$159)</f>
        <v>#N/A</v>
      </c>
      <c r="IZ84" s="218" t="e">
        <f t="shared" ca="1" si="301"/>
        <v>#N/A</v>
      </c>
      <c r="JA84" s="216" t="e">
        <f t="shared" ca="1" si="302"/>
        <v>#N/A</v>
      </c>
      <c r="JB84" s="217" t="e">
        <f t="shared" ca="1" si="303"/>
        <v>#N/A</v>
      </c>
      <c r="JC84" s="222" t="e">
        <f ca="1">MAX(Control!$C$157*$EK84-$JT84, 0)/Control!$C$162</f>
        <v>#N/A</v>
      </c>
      <c r="JD84" s="218" t="e">
        <f t="shared" ca="1" si="304"/>
        <v>#N/A</v>
      </c>
      <c r="JE84" s="218" t="e">
        <f t="shared" ca="1" si="305"/>
        <v>#N/A</v>
      </c>
      <c r="JF84" s="218" t="e">
        <f t="shared" ca="1" si="414"/>
        <v>#N/A</v>
      </c>
      <c r="JG84" s="218" t="e">
        <f t="shared" ca="1" si="306"/>
        <v>#N/A</v>
      </c>
      <c r="JH84" s="217" t="e">
        <f t="shared" ca="1" si="415"/>
        <v>#N/A</v>
      </c>
      <c r="JI84" s="217" t="e">
        <f t="shared" ca="1" si="416"/>
        <v>#N/A</v>
      </c>
      <c r="JJ84" s="217" t="e">
        <f t="shared" ca="1" si="451"/>
        <v>#N/A</v>
      </c>
      <c r="JK84" s="217" t="e">
        <f ca="1">IF(Control!$C$114=1,IF(Control!$B$24=0,MAX(0,$JI84)*$GN84/Control!$C$64,(MAX(0,MIN($JI84,$JJ84*$GN84/Control!$C$64),0))))</f>
        <v>#N/A</v>
      </c>
      <c r="JL84" s="217" t="e">
        <f ca="1">$IK84/Control!$C$64-$JK84+$HQ84</f>
        <v>#N/A</v>
      </c>
      <c r="JM84" s="217" t="e">
        <f ca="1">IF(Control!$C$114=1,($JB84/(IF($JI84&lt;&gt;0,$JI84,1)))*$JK84,0)</f>
        <v>#N/A</v>
      </c>
      <c r="JN84" s="217" t="e">
        <f ca="1">IF(Control!$C$114=1,($JG84/(IF($JI84&lt;&gt;0,$JI84,1)))*$JK84, 0)</f>
        <v>#N/A</v>
      </c>
      <c r="JO84" s="218" t="e">
        <f t="shared" ca="1" si="307"/>
        <v>#N/A</v>
      </c>
      <c r="JP84" s="218" t="e">
        <f ca="1">MIN(($IY84+$IO84)*Control!$C$151, $JF84-$EH84*Control!$C$161)</f>
        <v>#N/A</v>
      </c>
      <c r="JQ84" s="218" t="e">
        <f t="shared" ca="1" si="308"/>
        <v>#N/A</v>
      </c>
      <c r="JR84" s="217" t="e">
        <f ca="1">IF($CP84-Control!$C$150&lt;0, 0, $JQ84/Control!$C$162)</f>
        <v>#N/A</v>
      </c>
      <c r="JS84" s="218" t="e">
        <f t="shared" ca="1" si="309"/>
        <v>#N/A</v>
      </c>
      <c r="JT84" s="218" t="e">
        <f t="shared" ca="1" si="417"/>
        <v>#N/A</v>
      </c>
      <c r="JU84" s="218" t="e">
        <f t="shared" ca="1" si="310"/>
        <v>#N/A</v>
      </c>
      <c r="JV84" s="218" t="e">
        <f t="shared" ca="1" si="311"/>
        <v>#N/A</v>
      </c>
      <c r="JW84" s="216" t="e">
        <f t="shared" ca="1" si="312"/>
        <v>#N/A</v>
      </c>
      <c r="JX84" s="91" t="e">
        <f t="shared" ca="1" si="313"/>
        <v>#N/A</v>
      </c>
      <c r="JY84" s="218" t="e">
        <f t="shared" ca="1" si="314"/>
        <v>#N/A</v>
      </c>
      <c r="JZ84" s="217" t="e">
        <f ca="1">IF(Control!$C$114=1,($IZ84/(IF($JI84&lt;&gt;0,$JI84,1)))*$JK84, 0)</f>
        <v>#N/A</v>
      </c>
      <c r="KA84" s="218" t="e">
        <f t="shared" ca="1" si="452"/>
        <v>#N/A</v>
      </c>
      <c r="KB84" s="218" t="e">
        <f t="shared" ca="1" si="418"/>
        <v>#N/A</v>
      </c>
      <c r="KC84" s="218" t="e">
        <f t="shared" ca="1" si="315"/>
        <v>#N/A</v>
      </c>
      <c r="KD84" s="218" t="e">
        <f t="shared" ca="1" si="316"/>
        <v>#N/A</v>
      </c>
      <c r="KE84" s="218" t="e">
        <f t="shared" ca="1" si="317"/>
        <v>#N/A</v>
      </c>
      <c r="KF84" s="218" t="e">
        <f t="shared" ca="1" si="318"/>
        <v>#N/A</v>
      </c>
      <c r="KG84" s="216" t="e">
        <f t="shared" ca="1" si="319"/>
        <v>#N/A</v>
      </c>
      <c r="KH84" s="221" t="e">
        <f ca="1">IF(Control!$B$24=0,1,MAX(0.001,MIN(1,IF(($IF84-$IE84)&lt;&gt;0,($KG84-$IE84)/($IF84-$IE84),1))))</f>
        <v>#N/A</v>
      </c>
      <c r="KI84" s="222" t="e">
        <f ca="1">IF(Control!$C$114=1, $KI83+ $KH83, 0)</f>
        <v>#N/A</v>
      </c>
      <c r="KJ84" s="217" t="e">
        <f t="shared" ca="1" si="320"/>
        <v>#N/A</v>
      </c>
      <c r="KK84" s="218" t="e">
        <f t="shared" ca="1" si="321"/>
        <v>#N/A</v>
      </c>
      <c r="KL84" s="274" t="e">
        <f ca="1">IF(Control!$B$26=3,4000000000*EXP(-8400/($G84+273)),IF(Control!$B$26=4,4000000000*EXP(-8400/($G84+273))*($KT84),0))</f>
        <v>#DIV/0!</v>
      </c>
      <c r="KM84" s="274" t="e">
        <f ca="1">IF(Control!$B$26=3,5600000000000*EXP(-9800/($G84+273)),IF(Control!$B$26=4,5600000000000*EXP(-9800/($G84+273))*$KT84,0))</f>
        <v>#DIV/0!</v>
      </c>
      <c r="KN84" s="454" t="e">
        <f t="shared" ca="1" si="419"/>
        <v>#DIV/0!</v>
      </c>
      <c r="KO84" s="274" t="e">
        <f t="shared" ca="1" si="420"/>
        <v>#DIV/0!</v>
      </c>
      <c r="KP84" s="454" t="e">
        <f t="shared" ca="1" si="322"/>
        <v>#DIV/0!</v>
      </c>
      <c r="KQ84" s="454" t="e">
        <f t="shared" ca="1" si="323"/>
        <v>#DIV/0!</v>
      </c>
      <c r="KR84" s="454" t="e">
        <f t="shared" ca="1" si="324"/>
        <v>#DIV/0!</v>
      </c>
      <c r="KS84" s="454" t="e">
        <f t="shared" ca="1" si="325"/>
        <v>#DIV/0!</v>
      </c>
      <c r="KT84" s="455" t="e">
        <f t="shared" ca="1" si="326"/>
        <v>#DIV/0!</v>
      </c>
      <c r="KU84" s="456" t="e">
        <f ca="1">IF($CP84-Control!$C$149&lt;0, IF($NT84-0.01&lt;0,0,1),0)</f>
        <v>#N/A</v>
      </c>
      <c r="KV84" s="456" t="e">
        <f ca="1">IF(Control!$C$114=1,MAX(0,MIN(Control!$C$125*$KW84*$GN84,$KW84)))</f>
        <v>#DIV/0!</v>
      </c>
      <c r="KW84" s="456" t="e">
        <f t="shared" ca="1" si="453"/>
        <v>#DIV/0!</v>
      </c>
      <c r="KX84" s="457" t="e">
        <f ca="1">IF($CP84-Control!$C$149&lt;0, IF($MR84-$OM84&lt;0,0,1),0)</f>
        <v>#N/A</v>
      </c>
      <c r="KY84" s="167">
        <f t="shared" ca="1" si="421"/>
        <v>80</v>
      </c>
      <c r="KZ84" s="168">
        <f ca="1">1370*(1+0.033*COS(2*Control!$C$138*$AH84/365))</f>
        <v>1378.7005931507188</v>
      </c>
      <c r="LA84" s="169">
        <f t="shared" ca="1" si="422"/>
        <v>1.0063509022050374</v>
      </c>
      <c r="LB84" s="169">
        <f t="shared" ca="1" si="423"/>
        <v>-5.2610240829462336E-3</v>
      </c>
      <c r="LC84" s="169">
        <f ca="1">ACOS(-TAN((2*Control!$B$8/360))*TAN(Calculations!$LB84))</f>
        <v>1.5692327188999349</v>
      </c>
      <c r="LD84" s="169">
        <f ca="1">((24*60)/PI())*0.082*$LA84*(($LC84*SIN(Control!$B$8*2*PI()/360))*SIN($LB84)+COS(Control!$B$8*2*PI()/360)*COS($LB84)*SIN($LC84))</f>
        <v>23.040809529247955</v>
      </c>
      <c r="LE84" s="170">
        <f t="shared" ca="1" si="327"/>
        <v>22.942661440549681</v>
      </c>
      <c r="LF84" s="170">
        <f ca="1">SIN(Control!$C$139*Control!$B$8)*SIN($HD84)</f>
        <v>-6.7460759178281276E-3</v>
      </c>
      <c r="LG84" s="170">
        <f ca="1">COS(Control!$C$139*Control!$B$8)*COS($HD84)</f>
        <v>0.61563724208079795</v>
      </c>
      <c r="LH84" s="170">
        <f ca="1">12*(1+2*ASIN(MAX(-1,MIN(1,$LF84/$LG84))/Control!$C$138))</f>
        <v>11.916288027680839</v>
      </c>
      <c r="LI84" s="170">
        <f ca="1">12*(1+2*ASIN(MAX(-1,MIN(1,(-SIN(-4*Control!$C$139)+$LF84)/$LG84))/Control!$C$138))</f>
        <v>12.782034062050217</v>
      </c>
      <c r="LJ84" s="168">
        <f ca="1">3600*($LH84*$LF84+24*$LG84*SQRT(1-$LK84*$LK84)/Control!$C$138)</f>
        <v>16640.785936066979</v>
      </c>
      <c r="LK84" s="170">
        <f t="shared" ca="1" si="328"/>
        <v>-1.0957874957380752E-2</v>
      </c>
      <c r="LL84" s="170">
        <f t="shared" ca="1" si="329"/>
        <v>0</v>
      </c>
      <c r="LM84" s="171">
        <f ca="1">Control!$C$145*$AB84</f>
        <v>6.6660906138995932E-2</v>
      </c>
      <c r="LN84" s="170">
        <f t="shared" ca="1" si="424"/>
        <v>0.54</v>
      </c>
      <c r="LO84" s="170">
        <f t="shared" ca="1" si="330"/>
        <v>0</v>
      </c>
      <c r="LP84" s="170">
        <f ca="1">Control!$C$140*((($D84+273.16)^4+($E84+273.16)^4)/2)*(0.34-0.14*SQRT($Y84))*(1.35*$AQ84/(0.75*$LD84)-0.35)</f>
        <v>-3.2464704755046001</v>
      </c>
      <c r="LQ84" s="170">
        <f ca="1">Control!$C$140*($G84+273)^4*(0.56-0.079*SQRT($Y84*10))*(0.1+0.9*$LO84)</f>
        <v>1.5241745131704001</v>
      </c>
      <c r="LR84" s="170">
        <f ca="1">$AQ84*(1-Control!$C$142)-$LQ84</f>
        <v>-1.5241745131704001</v>
      </c>
      <c r="LS84" s="170">
        <f ca="1">$AQ84*(1-Control!$C$143)-$LQ84</f>
        <v>-1.5241745131704001</v>
      </c>
      <c r="LT84" s="170">
        <f ca="1">$AQ84*(1-Control!$C$144)-$LQ84</f>
        <v>-1.5241745131704001</v>
      </c>
      <c r="LU84" s="169">
        <f ca="1">(1-Control!$C$144)*AQ84-LP84</f>
        <v>3.2464704755046001</v>
      </c>
      <c r="LV84" s="172">
        <f t="shared" ca="1" si="331"/>
        <v>0.79430000000000012</v>
      </c>
      <c r="LW84" s="170">
        <f t="shared" ca="1" si="332"/>
        <v>1.5886000000000002</v>
      </c>
      <c r="LX84" s="170">
        <f ca="1">($AC84*($LR84/Control!$C$141)+$LM84*$LV84)/($AC84+$LM84)</f>
        <v>0.23530094218323697</v>
      </c>
      <c r="LY84" s="170">
        <f ca="1">($AC84*($LS84/Control!$C$141)+$LM84*$LV84)/($AC84+$LM84)</f>
        <v>0.23530094218323697</v>
      </c>
      <c r="LZ84" s="170">
        <f t="shared" ca="1" si="333"/>
        <v>0.23530094218323697</v>
      </c>
      <c r="MA84" s="170">
        <f t="shared" ca="1" si="334"/>
        <v>0.23530094218323697</v>
      </c>
      <c r="MB84" s="170" t="e">
        <f t="shared" ca="1" si="335"/>
        <v>#N/A</v>
      </c>
      <c r="MC84" s="170">
        <f t="shared" ca="1" si="425"/>
        <v>0.6018</v>
      </c>
      <c r="MD84" s="170">
        <f t="shared" ca="1" si="336"/>
        <v>0.52989392535414004</v>
      </c>
      <c r="ME84" s="170">
        <f ca="1">($AC84*($LT84/Control!$C$141)+$LM84*$LW84)/($AC84+$LM84)</f>
        <v>0.71612369323045078</v>
      </c>
      <c r="MF84" s="170" t="e">
        <f ca="1">IF(Control!$B$16&gt;=1000,0.92,IF(AND(720&lt;=Control!$B$16,1000&gt;Control!$B$16),(0.95+(Control!$B$16-720)*((0.92-0.95)/(1000-720))),IF(AND(360&lt;=Control!$B$16,720&gt;Control!$B$16),(1+(Control!$B$16-360)*((0.95-1)/(720-360))),IF(AND(40&lt;=Control!$B$16,360&gt;Control!$B$16),(1.05+(Control!$B$16-40)*((1.05-1)/(360-40)))))))</f>
        <v>#N/A</v>
      </c>
      <c r="MG84" s="170">
        <f t="shared" ca="1" si="337"/>
        <v>0.71612369323045078</v>
      </c>
      <c r="MH84" s="170" t="e">
        <f t="shared" ca="1" si="233"/>
        <v>#N/A</v>
      </c>
      <c r="MI84" s="170" t="e">
        <f t="shared" ca="1" si="233"/>
        <v>#N/A</v>
      </c>
      <c r="MJ84" s="170" t="e">
        <f ca="1">MAX(0.0001, Control!$C$132*$MI84*$DL84)</f>
        <v>#N/A</v>
      </c>
      <c r="MK84" s="170">
        <f ca="1">1/(0.76+1.5*($MG84/10))-(5-Control!$C$110)*0.1</f>
        <v>1.002845988140797</v>
      </c>
      <c r="ML84" s="173">
        <f ca="1">IF(Control!$C$110&lt;3,$MK84+($MG84-0.6)/(Control!$C$110*(Control!$C$110+3)), MAX(0.1, MIN(0.95,$MK84)))</f>
        <v>0.95</v>
      </c>
      <c r="MM84" s="173">
        <f ca="1">IF(Control!$C$110&lt;3,$MK84+(($MI84/10)-0.6)/(Control!$C$110*(Control!$C$110+3)), MAX(0.1, MIN(0.95,$MK84)))</f>
        <v>0.95</v>
      </c>
      <c r="MN84" s="173">
        <f ca="1">(1-$MM84)*(Control!$C$128-Control!$C$127)+Control!$C$127</f>
        <v>0.16</v>
      </c>
      <c r="MO84" s="170" t="e">
        <f ca="1">MAX(0,MIN(1,($MS84-Control!$C$127)/($MN84-Control!$C$127)))</f>
        <v>#DIV/0!</v>
      </c>
      <c r="MP84" s="173" t="e">
        <f ca="1">1/(0.76+1.5*$MI84)-(5-Control!$C$110)*0.1</f>
        <v>#N/A</v>
      </c>
      <c r="MQ84" s="172" t="e">
        <f t="shared" ca="1" si="454"/>
        <v>#DIV/0!</v>
      </c>
      <c r="MR84" s="168" t="e">
        <f t="shared" ca="1" si="426"/>
        <v>#DIV/0!</v>
      </c>
      <c r="MS84" s="173" t="e">
        <f ca="1">MAX(Control!$C$127, MIN(Control!$C$135, $MR84/MAX(0.0001,$CY84)))</f>
        <v>#DIV/0!</v>
      </c>
      <c r="MT84" s="168" t="e">
        <f ca="1">(Control!$C$128-$MS84)*Control!$C$74</f>
        <v>#DIV/0!</v>
      </c>
      <c r="MU84" s="168" t="e">
        <f ca="1">(Control!$C$135-$MS84)*Control!$C$74</f>
        <v>#DIV/0!</v>
      </c>
      <c r="MV84" s="168" t="e">
        <f t="shared" ca="1" si="427"/>
        <v>#DIV/0!</v>
      </c>
      <c r="MW84" s="168" t="e">
        <f t="shared" ca="1" si="428"/>
        <v>#DIV/0!</v>
      </c>
      <c r="MX84" s="171" t="e">
        <f ca="1">MAX(Control!$C$127, MIN(Control!$C$135, $MW84/MAX(0.0001,Control!$C$119-$CY84)))</f>
        <v>#DIV/0!</v>
      </c>
      <c r="MY84" s="54" t="e">
        <f ca="1">IF(Control!$C$114=1, $CX84*$MX84, 0)</f>
        <v>#DIV/0!</v>
      </c>
      <c r="MZ84" s="54" t="e">
        <f t="shared" ca="1" si="429"/>
        <v>#N/A</v>
      </c>
      <c r="NA84" s="168" t="e">
        <f ca="1">(Control!$C$128-$MX84)*(Control!$C$119-Control!$C$74)</f>
        <v>#DIV/0!</v>
      </c>
      <c r="NB84" s="168" t="e">
        <f ca="1">(Control!$C$135-$MX84)*(Control!$C$119-Control!$C$74)</f>
        <v>#DIV/0!</v>
      </c>
      <c r="NC84" s="174" t="e">
        <f t="shared" ca="1" si="430"/>
        <v>#DIV/0!</v>
      </c>
      <c r="ND84" s="54">
        <f ca="1">IF(Control!$C$58=2, IF(OR(Control!$B$218=$AH84,Control!$B$219=$AH84, Control!$B$220=$AH84, Control!$B$221=$AH84, Control!$B$222=$AH84, Control!$B$223=$AH84, Control!$B$224=$AH84, Control!$B$225=$AH84, Control!$B$226=$AH84, Control!$B$227=$AH84, Control!$B$228=$AH84), 1, 0), 0)</f>
        <v>0</v>
      </c>
      <c r="NE84" s="54">
        <f ca="1">IF($ND84=0,0, VLOOKUP($AH84,Control!$B$218:$C$228,2))</f>
        <v>0</v>
      </c>
      <c r="NF84" s="168" t="e">
        <f ca="1">$CY84*(Control!$C$128-Control!$C$127)</f>
        <v>#N/A</v>
      </c>
      <c r="NG84" s="54" t="e">
        <f ca="1">IF(Control!$C$58=2, $NI83-$NJ83, 0)</f>
        <v>#DIV/0!</v>
      </c>
      <c r="NH84" s="54" t="e">
        <f ca="1">IF(AND(Control!$C$58=1, $MS83&lt;= ($MN83+0.02), $I83&lt;10), 0, IF(Control!$C$58=2, $NG83, 0))</f>
        <v>#DIV/0!</v>
      </c>
      <c r="NI84" s="54" t="e">
        <f ca="1">IF(Control!$C$58=2, $NE84+$NH84,0)</f>
        <v>#DIV/0!</v>
      </c>
      <c r="NJ84" s="54" t="e">
        <f ca="1">IF(AND(Control!$C$58=1, $MS84&lt;= ($MN84+0.02), $I84&lt;10), MAX(0, MIN(10, 0.7*($NF84-$MV84))), IF(Control!$C$58=2, MIN(10,$NI84),0))</f>
        <v>#DIV/0!</v>
      </c>
      <c r="NK84" s="54" t="e">
        <f t="shared" ca="1" si="338"/>
        <v>#DIV/0!</v>
      </c>
      <c r="NL84" s="173" t="e">
        <f ca="1">(1-Control!$C$73)*$I84+$NJ84</f>
        <v>#DIV/0!</v>
      </c>
      <c r="NM84" s="172" t="e">
        <f ca="1">IF($NL84&lt;0.5, $MB84* MAX(0, MIN(1, (SQRT($NC84)-SQRT($NC84-1))*Control!$C$71)),0)</f>
        <v>#DIV/0!</v>
      </c>
      <c r="NN84" s="170" t="e">
        <f ca="1">IF($NL84&gt;=5, $MB84, MAX(0,MIN($MB84, $NM84+$NL84,($MS84-Control!$C$129))))</f>
        <v>#DIV/0!</v>
      </c>
      <c r="NO84" s="54">
        <f>IF(Control!$C$133&lt;&gt;1, Control!$C$135-Control!$C$131, 0)</f>
        <v>0.38</v>
      </c>
      <c r="NP84" s="54" t="e">
        <f t="shared" ca="1" si="339"/>
        <v>#DIV/0!</v>
      </c>
      <c r="NQ84" s="173" t="e">
        <f ca="1">MAX(0,MIN(1,(Control!$C$135-$MS84)/(Control!$C$135-$NO84)))</f>
        <v>#DIV/0!</v>
      </c>
      <c r="NR84" s="170" t="e">
        <f ca="1">IF(Control!$C$133&lt;&gt;1, $NQ84+((1-$NP84/4)*(1-$NQ84)),1)</f>
        <v>#DIV/0!</v>
      </c>
      <c r="NS84" s="170" t="e">
        <f ca="1">IF(Control!$B$31=0,$MJ84,MAX(0,MIN($MV84,$MO84*$NR84*$MJ84)))</f>
        <v>#DIV/0!</v>
      </c>
      <c r="NT84" s="170" t="e">
        <f t="shared" ca="1" si="455"/>
        <v>#DIV/0!</v>
      </c>
      <c r="NU84" s="170" t="e">
        <f t="shared" ca="1" si="431"/>
        <v>#N/A</v>
      </c>
      <c r="NV84" s="170" t="e">
        <f t="shared" ca="1" si="340"/>
        <v>#N/A</v>
      </c>
      <c r="NW84" s="175" t="e">
        <f t="shared" ca="1" si="341"/>
        <v>#DIV/0!</v>
      </c>
      <c r="NX84" s="170" t="e">
        <f ca="1">MIN(Control!$C$72+$MU84, $NW84)</f>
        <v>#DIV/0!</v>
      </c>
      <c r="NY84" s="170" t="e">
        <f ca="1">IF($MT84&lt;=$NX84,MIN(Control!$C$72+$NB84,$NX84-$MT84),0)</f>
        <v>#DIV/0!</v>
      </c>
      <c r="NZ84" s="54" t="e">
        <f ca="1">IF(Control!$C$114=1,  $CX84*($MX84-Control!$C$127), 0)</f>
        <v>#DIV/0!</v>
      </c>
      <c r="OA84" s="170" t="e">
        <f t="shared" ca="1" si="342"/>
        <v>#DIV/0!</v>
      </c>
      <c r="OB84" s="170" t="e">
        <f ca="1">IF($NA84 &lt;=$NY84, MIN(Control!$C$72, $NY84-$NA84), 0)</f>
        <v>#DIV/0!</v>
      </c>
      <c r="OC84" s="168" t="e">
        <f t="shared" ca="1" si="343"/>
        <v>#DIV/0!</v>
      </c>
      <c r="OD84" s="168" t="e">
        <f t="shared" ca="1" si="432"/>
        <v>#DIV/0!</v>
      </c>
      <c r="OE84" s="170">
        <f ca="1">Control!$C$73*$I84</f>
        <v>0</v>
      </c>
      <c r="OF84" s="176" t="e">
        <f t="shared" ca="1" si="344"/>
        <v>#DIV/0!</v>
      </c>
      <c r="OG84" s="168" t="e">
        <f t="shared" ca="1" si="345"/>
        <v>#DIV/0!</v>
      </c>
      <c r="OH84" s="168" t="e">
        <f t="shared" ca="1" si="346"/>
        <v>#DIV/0!</v>
      </c>
      <c r="OI84" s="168" t="e">
        <f t="shared" ca="1" si="347"/>
        <v>#DIV/0!</v>
      </c>
      <c r="OJ84" s="168" t="e">
        <f t="shared" ca="1" si="348"/>
        <v>#DIV/0!</v>
      </c>
      <c r="OK84" s="204" t="e">
        <f t="shared" ca="1" si="349"/>
        <v>#DIV/0!</v>
      </c>
      <c r="OL84" s="177">
        <f>Control!$C$127</f>
        <v>0.15</v>
      </c>
      <c r="OM84" s="182" t="e">
        <f t="shared" ca="1" si="350"/>
        <v>#N/A</v>
      </c>
      <c r="ON84" s="177">
        <f>Control!$C$128</f>
        <v>0.35</v>
      </c>
      <c r="OO84" s="182" t="e">
        <f t="shared" ca="1" si="351"/>
        <v>#N/A</v>
      </c>
      <c r="OP84" s="138">
        <f t="shared" ca="1" si="433"/>
        <v>0</v>
      </c>
      <c r="OQ84" s="138" t="e">
        <f t="shared" ca="1" si="456"/>
        <v>#DIV/0!</v>
      </c>
      <c r="OR84" s="138" t="e">
        <f t="shared" ca="1" si="434"/>
        <v>#DIV/0!</v>
      </c>
      <c r="OS84" s="137" t="e">
        <f t="shared" ca="1" si="457"/>
        <v>#DIV/0!</v>
      </c>
      <c r="OT84" s="139" t="e">
        <f t="shared" ca="1" si="458"/>
        <v>#DIV/0!</v>
      </c>
      <c r="OU84" s="138" t="e">
        <f t="shared" ca="1" si="459"/>
        <v>#N/A</v>
      </c>
      <c r="OV84" s="138" t="e">
        <f t="shared" ca="1" si="460"/>
        <v>#DIV/0!</v>
      </c>
      <c r="OW84" s="138" t="e">
        <f t="shared" ca="1" si="435"/>
        <v>#DIV/0!</v>
      </c>
      <c r="OX84" s="138" t="e">
        <f t="shared" ca="1" si="436"/>
        <v>#DIV/0!</v>
      </c>
      <c r="OY84" s="138" t="e">
        <f t="shared" ca="1" si="437"/>
        <v>#DIV/0!</v>
      </c>
      <c r="OZ84" s="138" t="e">
        <f t="shared" ca="1" si="352"/>
        <v>#DIV/0!</v>
      </c>
      <c r="PA84" s="138" t="e">
        <f t="shared" ca="1" si="353"/>
        <v>#DIV/0!</v>
      </c>
      <c r="PB84" s="55">
        <f>IF(Control!$C$61="T", IF(Control!$C$65="F", IF($AH$6-Control!$C$60&lt;0,0,1), IF(365+$AH$6-Control!$C$60&lt;0,0,1)),0)</f>
        <v>0</v>
      </c>
      <c r="PC84" s="55">
        <f ca="1">IF(Control!$C$65="F", IF($AH$6-$HF84&lt;0,0,1), IF(365+$AH$6-$HF84&lt;0,0,1))</f>
        <v>1</v>
      </c>
      <c r="PD84" s="444">
        <f>Control!$C$118</f>
        <v>1500</v>
      </c>
      <c r="PE84" s="180" t="e">
        <f t="shared" ca="1" si="354"/>
        <v>#N/A</v>
      </c>
      <c r="PF84" s="445">
        <f t="shared" ca="1" si="438"/>
        <v>0.71612369323045078</v>
      </c>
      <c r="PT84" s="186"/>
      <c r="PU84" s="186"/>
      <c r="PV84" s="94"/>
      <c r="PW84" s="94"/>
      <c r="PX84" s="94"/>
      <c r="PY84" s="94"/>
      <c r="PZ84" s="94"/>
      <c r="QA84" s="94"/>
      <c r="QB84" s="94"/>
      <c r="QC84" s="94"/>
      <c r="QD84" s="94"/>
      <c r="QE84" s="94"/>
      <c r="QF84" s="94"/>
      <c r="QG84" s="94"/>
      <c r="QH84" s="94"/>
      <c r="QI84" s="94"/>
      <c r="QJ84" s="94"/>
      <c r="QK84" s="94"/>
      <c r="QL84" s="94"/>
      <c r="QM84" s="94"/>
      <c r="QN84" s="94"/>
      <c r="QO84" s="94"/>
      <c r="QP84" s="94"/>
    </row>
    <row r="85" spans="1:458" s="2" customFormat="1" x14ac:dyDescent="0.2">
      <c r="A85" s="395">
        <v>21</v>
      </c>
      <c r="B85" s="396">
        <v>3</v>
      </c>
      <c r="C85" s="387">
        <f ca="1">Weather_data!$B84</f>
        <v>0</v>
      </c>
      <c r="D85" s="388">
        <f ca="1">Weather_data!$F84</f>
        <v>0</v>
      </c>
      <c r="E85" s="388">
        <f ca="1">Weather_data!$E84</f>
        <v>0</v>
      </c>
      <c r="F85" s="388">
        <f t="shared" ca="1" si="355"/>
        <v>0</v>
      </c>
      <c r="G85" s="388">
        <f ca="1">AVERAGE($D85:$E85)+Control!$B$9</f>
        <v>0</v>
      </c>
      <c r="H85" s="388">
        <f ca="1">Weather_data!$G84</f>
        <v>0</v>
      </c>
      <c r="I85" s="388">
        <f ca="1">Weather_data!$I84</f>
        <v>0</v>
      </c>
      <c r="J85" s="388">
        <f ca="1">Weather_data!$H84</f>
        <v>0</v>
      </c>
      <c r="K85" s="389">
        <f ca="1">Weather_data!$D84</f>
        <v>0</v>
      </c>
      <c r="L85" s="388" t="e">
        <f t="shared" ca="1" si="356"/>
        <v>#N/A</v>
      </c>
      <c r="M85" s="388" t="e">
        <f t="shared" ca="1" si="234"/>
        <v>#N/A</v>
      </c>
      <c r="N85" s="388">
        <f t="shared" ca="1" si="235"/>
        <v>-1.2137472251577339E-4</v>
      </c>
      <c r="O85" s="388">
        <f t="shared" ca="1" si="357"/>
        <v>1.2137472251577339E-3</v>
      </c>
      <c r="P85" s="390">
        <v>3</v>
      </c>
      <c r="Q85" s="388">
        <f ca="1">MAX($G85-Control!$C$107,0)</f>
        <v>0</v>
      </c>
      <c r="R85" s="388">
        <f t="shared" ca="1" si="358"/>
        <v>0</v>
      </c>
      <c r="S85" s="388">
        <f t="shared" ca="1" si="236"/>
        <v>0</v>
      </c>
      <c r="T85" s="388">
        <f t="shared" ca="1" si="237"/>
        <v>0</v>
      </c>
      <c r="U85" s="59">
        <f t="shared" ca="1" si="238"/>
        <v>0</v>
      </c>
      <c r="V85" s="391">
        <f ca="1">MAX(0,MIN(Control!$C$100-Control!$C$99,$G85-Control!$C$99)*Control!$C$63)</f>
        <v>0</v>
      </c>
      <c r="W85" s="388">
        <f t="shared" ca="1" si="359"/>
        <v>0</v>
      </c>
      <c r="X85" s="388">
        <f t="shared" ca="1" si="360"/>
        <v>0.6110000000000001</v>
      </c>
      <c r="Y85" s="388">
        <f t="shared" ca="1" si="239"/>
        <v>0</v>
      </c>
      <c r="Z85" s="388">
        <f t="shared" ca="1" si="361"/>
        <v>0.61058800000000002</v>
      </c>
      <c r="AA85" s="388">
        <f t="shared" ca="1" si="240"/>
        <v>0.6018</v>
      </c>
      <c r="AB85" s="388">
        <f ca="1">101.3*EXP(-0.034*Control!$C$66/($G85+273))</f>
        <v>100.69623283836242</v>
      </c>
      <c r="AC85" s="392">
        <f t="shared" ca="1" si="241"/>
        <v>4.3460251046025113E-2</v>
      </c>
      <c r="AD85" s="392">
        <f t="shared" ca="1" si="242"/>
        <v>4.4450382862832649E-2</v>
      </c>
      <c r="AE85" s="388">
        <f t="shared" ca="1" si="243"/>
        <v>0</v>
      </c>
      <c r="AF85" s="388">
        <f ca="1">MAX(0,$G85-Control!$C$92)</f>
        <v>0</v>
      </c>
      <c r="AG85" s="393">
        <f t="shared" ca="1" si="244"/>
        <v>81</v>
      </c>
      <c r="AH85" s="389">
        <f t="shared" ca="1" si="245"/>
        <v>81</v>
      </c>
      <c r="AI85" s="388">
        <f t="shared" ca="1" si="362"/>
        <v>-1.7111340565340632E-3</v>
      </c>
      <c r="AJ85" s="388">
        <f ca="1">IF(Control!$C$60&lt;=0,$HH85,$HI85)</f>
        <v>1</v>
      </c>
      <c r="AK85" s="388">
        <f t="shared" ca="1" si="246"/>
        <v>1.7214206321039961E-2</v>
      </c>
      <c r="AL85" s="388">
        <f t="shared" ca="1" si="247"/>
        <v>-1.9836406822681952E-18</v>
      </c>
      <c r="AM85" s="388">
        <f t="shared" ca="1" si="248"/>
        <v>1.7214206321039958E-2</v>
      </c>
      <c r="AN85" s="388">
        <f t="shared" ca="1" si="249"/>
        <v>6.8475265905114206E-3</v>
      </c>
      <c r="AO85" s="388">
        <f ca="1">-0.10453/COS(Control!$B$8*PI()/180)*COS(AN85)</f>
        <v>-0.16978088375683956</v>
      </c>
      <c r="AP85" s="388">
        <f ca="1">ACOS(AO85-TAN(Control!$B$8*PI()/180)*TAN(AN85))</f>
        <v>1.7503042804746451</v>
      </c>
      <c r="AQ85" s="388">
        <f t="shared" ca="1" si="363"/>
        <v>0</v>
      </c>
      <c r="AR85" s="394">
        <f t="shared" ca="1" si="250"/>
        <v>0</v>
      </c>
      <c r="AS85" s="436">
        <f ca="1">IF(Control!$B$18=2,(IF(OR($AH85=Control!$B$175,$AH85=Control!$B$176,$AH85=Control!$B$177,$AH85=Control!$B$178,$AH85=Control!$B$179,$AH85=Control!$B$180,$AH85=Control!$B$181,$AH85=Control!$B$182,$AH85=Control!$B$183,$AH85=Control!$B$184,$AH85=Control!$B$185),1,0)),0)</f>
        <v>0</v>
      </c>
      <c r="AT85" s="436">
        <f>IF(Control!$B$20=8,IF(AND($AH85&gt;=Control!$B$172,$AH85&lt;=Control!$B$173),1,0),0)</f>
        <v>0</v>
      </c>
      <c r="AU85" s="436">
        <f>IF(Control!$B$20=8,IF($AV84=1,1*$AT85,IF($AT85=1,$AU84+1,$AU84)),0)</f>
        <v>0</v>
      </c>
      <c r="AV85" s="436">
        <f>IF(Control!$B$20=8,IF($AU85&gt;=Control!$B$174,1,0),0)</f>
        <v>0</v>
      </c>
      <c r="AW85" s="436">
        <f ca="1">IF(AND(Control!$B$18=2,Control!$B$171=1), $AV85, $AS85)</f>
        <v>0</v>
      </c>
      <c r="AX85" s="436" t="e">
        <f ca="1">IF(AND(Control!$B$18=1,$EU85&gt;=Control!$B$19),-$AY85,IF(AND(Control!$B$18=2,$AW85=1,$EU85&gt;$DS85),-$AY85, IF(Control!$C$108=0,0, IF(Control!$C$108&lt;&gt;0,1))))</f>
        <v>#N/A</v>
      </c>
      <c r="AY85" s="436" t="e">
        <f t="shared" ca="1" si="364"/>
        <v>#N/A</v>
      </c>
      <c r="AZ85" s="436" t="e">
        <f ca="1">IF(AND(Control!$B$18=1,$EB85&gt;Control!$B$19),$AZ84+1, IF(AND(Control!$B$18=2, $AW85=1, $EB85&gt;$DS85), $AZ84+1,$AZ84))</f>
        <v>#N/A</v>
      </c>
      <c r="BA85" s="587">
        <f>IF(Control!$C$81=0,1,IF($AH85&gt;=Control!$C$82,1,0))</f>
        <v>1</v>
      </c>
      <c r="BB85" s="140" t="e">
        <f ca="1">IF($BA85&gt;$BA84,Control!$C$83,IF($AW85&gt;0,$AW85*Control!$C$84,IF(AND(Control!$B$18=1,EN84&lt;&gt;0),Control!$C$84,0)))</f>
        <v>#N/A</v>
      </c>
      <c r="BC85" s="140" t="e">
        <f t="shared" ca="1" si="365"/>
        <v>#N/A</v>
      </c>
      <c r="BD85" s="140" t="e">
        <f ca="1">BC85*IF(OR($G85&lt;Control!$C$92,$G85&gt;Control!$C$95),0,IF(AND($G85&gt;=Control!$C$92,$G85&lt;=Control!$C$93),$G85-Control!$C$92,IF(AND($G85&gt;Control!$C$93,$G85&lt;=Control!$C$94),Control!$C$93-Control!$C$92,IF(AND($G85&gt;Control!$C$94,$G85&lt;=Control!$C$95),(Control!$C$93-Control!$C$92)*(Control!$C$94-$G85)/(Control!$C$95-Control!$C$94)))))</f>
        <v>#N/A</v>
      </c>
      <c r="BE85" s="140" t="e">
        <f t="shared" ca="1" si="366"/>
        <v>#N/A</v>
      </c>
      <c r="BF85" s="140" t="e">
        <f ca="1">IF($BE85&lt;=Control!$C$86,$BE85,Control!$C$86-$BE85)</f>
        <v>#N/A</v>
      </c>
      <c r="BG85" s="140" t="e">
        <f ca="1">IF(AND($AW85=1,Control!$C$84&lt;9),1,IF($BE85&gt;=Control!$C$86,0,$BC85))</f>
        <v>#N/A</v>
      </c>
      <c r="BH85" s="404" t="e">
        <f ca="1">IF($BG85=0,0,IF($BE85&lt;=Control!$C$86,$BC85*9*($BF85/Control!$C$86),0))</f>
        <v>#N/A</v>
      </c>
      <c r="BI85" s="140" t="e">
        <f ca="1">IF($BG85=1,0,IF($BE85&gt;=Control!$C$86,1,IF(AND($BB85&lt;21,$BB85&gt;=9),1,$BM84)))</f>
        <v>#N/A</v>
      </c>
      <c r="BJ85" s="140" t="e">
        <f ca="1">IF($BF85&lt;0,-$BF85,$BI85*IF(OR($G85&lt;Control!$C$92,$G85&gt;Control!$C$95),0,IF(AND($G85&gt;=Control!$C$92,$G85&lt;=Control!$C$93),$G85-Control!$C$92,IF(AND($G85&gt;Control!$C$93,$G85&lt;=Control!$C$94),Control!$C$93-Control!$C$92,IF(AND($G85&gt;Control!$C$94,$G85&lt;=Control!$C$95),(Control!$C$93-Control!$C$92)*(Control!$C$94-$G85)/(Control!$C$95-Control!$C$94))))))</f>
        <v>#N/A</v>
      </c>
      <c r="BK85" s="140" t="e">
        <f t="shared" ca="1" si="367"/>
        <v>#N/A</v>
      </c>
      <c r="BL85" s="140" t="e">
        <f ca="1">IF($BK85&lt;=Control!$C$87,$BK85,Control!$C$87-$BK85)</f>
        <v>#N/A</v>
      </c>
      <c r="BM85" s="140" t="e">
        <f ca="1">IF(AND($BB85&gt;=9,$BB85&lt;21),1,IF($BK85&gt;=Control!$C$87,0,$BI85))</f>
        <v>#N/A</v>
      </c>
      <c r="BN85" s="404" t="e">
        <f ca="1">IF($BM85=0,0,IF($BK85&lt;=Control!$C$87,$BI85*(9+(21-9)*($BL85/Control!$C$87)),0))</f>
        <v>#N/A</v>
      </c>
      <c r="BO85" s="140" t="e">
        <f ca="1">IF($BM85=1,0,IF($BK85&gt;=Control!$C$87,1,IF(AND($BB85&lt;30,$BB85&gt;=21),1,$BS84)))</f>
        <v>#N/A</v>
      </c>
      <c r="BP85" s="140" t="e">
        <f ca="1">IF($BL85&lt;0,-$BL85,$BO85*IF(OR($G85&lt;Control!$C$92,$G85&gt;Control!$C$95),0,IF(AND($G85&gt;=Control!$C$92,$G85&lt;=Control!$C$93),$G85-Control!$C$92,IF(AND($G85&gt;Control!$C$93,$G85&lt;=Control!$C$94),Control!$C$93-Control!$C$92,IF(AND($G85&gt;Control!$C$94,$G85&lt;=Control!$C$95),(Control!$C$93-Control!$C$92)*(Control!$C$94-$G85)/(Control!$C$95-Control!$C$94))))))</f>
        <v>#N/A</v>
      </c>
      <c r="BQ85" s="140" t="e">
        <f t="shared" ca="1" si="251"/>
        <v>#N/A</v>
      </c>
      <c r="BR85" s="140" t="e">
        <f ca="1">IF($BQ85&lt;=Control!$C$88,$BQ85,Control!$C$88-$BQ85)</f>
        <v>#N/A</v>
      </c>
      <c r="BS85" s="140" t="e">
        <f ca="1">IF(AND($BB85&gt;=21,$BB85&lt;30),1,IF($BQ85&gt;=Control!$C$88,0,$BO85))</f>
        <v>#N/A</v>
      </c>
      <c r="BT85" s="404" t="e">
        <f ca="1">IF($BS85=0,0,IF($BQ85&lt;=Control!$C$88,$BO85*(21+(30-21)*(BR85/Control!$C$88)),0))</f>
        <v>#N/A</v>
      </c>
      <c r="BU85" s="140" t="e">
        <f ca="1">IF(BG85+BM85+BS85=1,0,IF(OR(AND($BB85&lt;60,$BB85&gt;=30),$BQ85&gt;=Control!$C$88),1*$BA85,$BY84))</f>
        <v>#N/A</v>
      </c>
      <c r="BV85" s="140" t="e">
        <f ca="1">IF($BR85&lt;0,-$BR85,$BU85*IF(OR($G85&lt;Control!$C$92,$G85&gt;Control!$C$95),0,IF(AND($G85&gt;=Control!$C$92,$G85&lt;=Control!$C$93),$G85-Control!$C$92,IF(AND($G85&gt;Control!$C$93,$G85&lt;=Control!$C$94),Control!$C$93-Control!$C$92,IF(AND($G85&gt;Control!$C$94,$G85&lt;=Control!$C$95),(Control!$C$93-Control!$C$92)*(Control!$C$94-$G85)/(Control!$C$95-Control!$C$94))))))</f>
        <v>#N/A</v>
      </c>
      <c r="BW85" s="140" t="e">
        <f t="shared" ca="1" si="252"/>
        <v>#N/A</v>
      </c>
      <c r="BX85" s="140" t="e">
        <f ca="1">IF($BW85&lt;=Control!$C$89,$BW85,Control!$C$89-$BW85)</f>
        <v>#N/A</v>
      </c>
      <c r="BY85" s="140" t="e">
        <f ca="1">IF(AND($AJ85&gt;=30,$AJ85&lt;60),1,IF($BW85&gt;=Control!$C$89,0,$BU85))</f>
        <v>#N/A</v>
      </c>
      <c r="BZ85" s="404" t="e">
        <f ca="1">IF($BY85=0,0,IF($BW85&lt;=Control!$C$89,$BU85*(30+(60-30)*(BX85/Control!$C$89)),0))</f>
        <v>#N/A</v>
      </c>
      <c r="CA85" s="140" t="e">
        <f ca="1">IF($BG85+$BM85+$BS85+$BY85=1,0,IF(OR(AND($BB85&lt;65,$BB85&gt;=60),$BW85&gt;=Control!$C$89),1*$BA85,$CE84))</f>
        <v>#N/A</v>
      </c>
      <c r="CB85" s="140" t="e">
        <f ca="1">IF($BX85&lt;0,-$BX85,$CA85*IF(OR($G85&lt;Control!$C$92,$G85&gt;Control!$C$95),0,IF(AND($G85&gt;=Control!$C$92,$G85&lt;=Control!$C$93),$G85-Control!$C$92,IF(AND($G85&gt;Control!$C$93,$G85&lt;=Control!$C$94),Control!$C$93-Control!$C$92,IF(AND($G85&gt;Control!$C$94,$G85&lt;=Control!$C$95),(Control!$C$93-Control!$C$92)*(Control!$C$94-$G85)/(Control!$C$95-Control!$C$94))))))</f>
        <v>#N/A</v>
      </c>
      <c r="CC85" s="140" t="e">
        <f t="shared" ca="1" si="368"/>
        <v>#N/A</v>
      </c>
      <c r="CD85" s="140" t="e">
        <f ca="1">IF($CC85&lt;=Control!$C$90,$CC85,Control!$C$90-$CC85)</f>
        <v>#N/A</v>
      </c>
      <c r="CE85" s="140" t="e">
        <f ca="1">IF(AND($BB85&gt;=60,$BB85&lt;65),1,IF($CC85&gt;=Control!$C$90,0,$CA85))</f>
        <v>#N/A</v>
      </c>
      <c r="CF85" s="404" t="e">
        <f ca="1">IF($CE85=0,0,IF($CC85&lt;=Control!$C$90,$CA85*(60+(65-60)*(CD85/Control!$C$90)),0))</f>
        <v>#N/A</v>
      </c>
      <c r="CG85" s="140" t="e">
        <f ca="1">IF($BG85+$BM85+$BS85+$BY85+$CE85=1,0,IF(OR(AND($BB85&lt;90,$BB85&gt;=65),$CC85&gt;=Control!$C$90),$BA85,$CK84))</f>
        <v>#N/A</v>
      </c>
      <c r="CH85" s="140" t="e">
        <f ca="1">IF($CD85&lt;0,-$CD85,$CG85*IF(OR($G85&lt;Control!$C$92,$G85&gt;Control!$C$95),0,IF(AND($G85&gt;=Control!$C$92,$G85&lt;=Control!$C$93),$G85-Control!$C$92,IF(AND($G85&gt;Control!$C$93,$G85&lt;=Control!$C$94),Control!$C$93-Control!$C$92,IF(AND($G85&gt;Control!$C$94,$G85&lt;=Control!$C$95),(Control!$C$93-Control!$C$92)*(Control!$C$94-$G85)/(Control!$C$95-Control!$C$94))))))</f>
        <v>#N/A</v>
      </c>
      <c r="CI85" s="140" t="e">
        <f t="shared" ca="1" si="369"/>
        <v>#N/A</v>
      </c>
      <c r="CJ85" s="140" t="e">
        <f ca="1">IF($CI85&lt;=Control!$C$91,$CI85,Control!$C$91-$CI85)</f>
        <v>#N/A</v>
      </c>
      <c r="CK85" s="140" t="e">
        <f ca="1">IF(AND($BB85&gt;=65,$BB85&lt;90),1,IF($CI85&gt;=Control!$C$91,0,$CG85))</f>
        <v>#N/A</v>
      </c>
      <c r="CL85" s="404" t="e">
        <f ca="1">IF($CK85=0,0,IF($CI85&lt;=Control!$C$91,$CG85*(65+(90-65)*($CJ85/Control!$C$91)),0))</f>
        <v>#N/A</v>
      </c>
      <c r="CM85" s="140" t="e">
        <f ca="1">IF($BG85+$BM85+$BS85+$BY85+$CE85+$CK85=1,0,IF(OR($BB85&gt;=90,$CI85&gt;=Control!$C$91),$BA85,$CM84))</f>
        <v>#N/A</v>
      </c>
      <c r="CN85" s="140" t="e">
        <f t="shared" ca="1" si="370"/>
        <v>#N/A</v>
      </c>
      <c r="CO85" s="140" t="e">
        <f t="shared" ca="1" si="371"/>
        <v>#N/A</v>
      </c>
      <c r="CP85" s="140" t="e">
        <f t="shared" ca="1" si="372"/>
        <v>#N/A</v>
      </c>
      <c r="CQ85" s="141" t="e">
        <f ca="1">VLOOKUP($CP85,Control!$B$86:$G$91,6)</f>
        <v>#N/A</v>
      </c>
      <c r="CR85" s="141" t="e">
        <f ca="1">(1-$CQ85)*VLOOKUP($CP85,Control!$B$86:$D$91,3)</f>
        <v>#N/A</v>
      </c>
      <c r="CS85" s="141" t="e">
        <f ca="1">(1-$CQ85)*VLOOKUP($CP85,Control!$B$86:$E$91,4)</f>
        <v>#N/A</v>
      </c>
      <c r="CT85" s="141" t="e">
        <f ca="1">(1-$CQ85)*VLOOKUP($CP85,Control!$B$86:$F$91,5)</f>
        <v>#N/A</v>
      </c>
      <c r="CU85" s="141">
        <f t="shared" ca="1" si="373"/>
        <v>0</v>
      </c>
      <c r="CV85" s="583">
        <f t="shared" ca="1" si="374"/>
        <v>0</v>
      </c>
      <c r="CW85" s="142">
        <f t="shared" ca="1" si="375"/>
        <v>81</v>
      </c>
      <c r="CX85" s="612" t="e">
        <f ca="1">IF(Control!$C$114=1,(MIN(Control!$C$120*(IF($NT85-0.01&lt;0,0,1)),Control!$C$119-$CY85)))</f>
        <v>#DIV/0!</v>
      </c>
      <c r="CY85" s="143" t="e">
        <f t="shared" ca="1" si="376"/>
        <v>#N/A</v>
      </c>
      <c r="CZ85" s="144">
        <f t="shared" ca="1" si="253"/>
        <v>0</v>
      </c>
      <c r="DA85" s="144">
        <f t="shared" ca="1" si="254"/>
        <v>0</v>
      </c>
      <c r="DB85" s="144" t="e">
        <f t="shared" ca="1" si="255"/>
        <v>#N/A</v>
      </c>
      <c r="DC85" s="144" t="e">
        <f t="shared" ca="1" si="256"/>
        <v>#N/A</v>
      </c>
      <c r="DD85" s="144" t="e">
        <f t="shared" ca="1" si="461"/>
        <v>#N/A</v>
      </c>
      <c r="DE85" s="143" t="e">
        <f t="shared" ca="1" si="377"/>
        <v>#N/A</v>
      </c>
      <c r="DF85" s="145" t="e">
        <f ca="1">$DR85*EXP(-Control!$C$158*(1-$KH85))</f>
        <v>#N/A</v>
      </c>
      <c r="DG85" s="146" t="e">
        <f ca="1">IF(Control!$C$114=1, $DF85*$EY85, 0)</f>
        <v>#N/A</v>
      </c>
      <c r="DH85" s="147" t="e">
        <f t="shared" ca="1" si="378"/>
        <v>#N/A</v>
      </c>
      <c r="DI85" s="144" t="e">
        <f t="shared" ca="1" si="439"/>
        <v>#N/A</v>
      </c>
      <c r="DJ85" s="147" t="e">
        <f ca="1">$EF85*Control!$C$109</f>
        <v>#N/A</v>
      </c>
      <c r="DK85" s="144" t="e">
        <f t="shared" ca="1" si="379"/>
        <v>#N/A</v>
      </c>
      <c r="DL85" s="144" t="e">
        <f t="shared" ca="1" si="257"/>
        <v>#N/A</v>
      </c>
      <c r="DM85" s="144" t="e">
        <f ca="1">IF(Control!$C$114=1, (1-EXP(-Control!$C$96*$DK85))*$AR85, 0)</f>
        <v>#N/A</v>
      </c>
      <c r="DN85" s="144">
        <f t="shared" ca="1" si="380"/>
        <v>0</v>
      </c>
      <c r="DO85" s="148">
        <f>Control!$C$97</f>
        <v>4</v>
      </c>
      <c r="DP85" s="145" t="e">
        <f t="shared" ca="1" si="381"/>
        <v>#N/A</v>
      </c>
      <c r="DQ85" s="145" t="e">
        <f ca="1">IF(AND($CP85&gt;=0,$CP85&lt;=90),Control!$C$111,Control!$C$111)</f>
        <v>#N/A</v>
      </c>
      <c r="DR85" s="145" t="e">
        <f t="shared" ca="1" si="258"/>
        <v>#N/A</v>
      </c>
      <c r="DS85" s="143" t="e">
        <f ca="1">Control!$B$22/$DR85</f>
        <v>#N/A</v>
      </c>
      <c r="DT85" s="149" t="e">
        <f ca="1">IF(AND(Control!$C$114=1,$KH85&lt;1),$IM85*$DF85, 0)</f>
        <v>#N/A</v>
      </c>
      <c r="DU85" s="144" t="e">
        <f t="shared" ca="1" si="382"/>
        <v>#N/A</v>
      </c>
      <c r="DV85" s="144">
        <f ca="1">IF($G85-Control!$C$107&lt;=0, 0, 0.83*LN(MAX($G85, 3))-0.8924)</f>
        <v>0</v>
      </c>
      <c r="DW85" s="144" t="e">
        <f t="shared" ca="1" si="259"/>
        <v>#N/A</v>
      </c>
      <c r="DX85" s="150" t="e">
        <f ca="1">MAX(0.01*(1+$CU85/Control!$C$102),0.05*($DK85-Control!$C$97)/Control!$C$97)</f>
        <v>#N/A</v>
      </c>
      <c r="DY85" s="151" t="e">
        <f ca="1">IF(Control!$C$114=1, $DI85*$FS85, 0)</f>
        <v>#N/A</v>
      </c>
      <c r="DZ85" s="196" t="e">
        <f t="shared" ca="1" si="383"/>
        <v>#N/A</v>
      </c>
      <c r="EA85" s="152">
        <f t="shared" ca="1" si="384"/>
        <v>81</v>
      </c>
      <c r="EB85" s="153" t="e">
        <f t="shared" ca="1" si="385"/>
        <v>#N/A</v>
      </c>
      <c r="EC85" s="153" t="e">
        <f t="shared" ca="1" si="386"/>
        <v>#N/A</v>
      </c>
      <c r="ED85" s="154" t="e">
        <f ca="1">IF(Control!$C$114=1, $HM85*$FY85-$FD85, 0)</f>
        <v>#DIV/0!</v>
      </c>
      <c r="EE85" s="155" t="e">
        <f ca="1">IF(Control!$C$114=1, $HM85*$FZ85-$FF85, 0)</f>
        <v>#DIV/0!</v>
      </c>
      <c r="EF85" s="153" t="e">
        <f t="shared" ca="1" si="440"/>
        <v>#N/A</v>
      </c>
      <c r="EG85" s="155" t="e">
        <f ca="1">IF(Control!$C$114=1, $GX85*$FW85-$FI85, 0)</f>
        <v>#DIV/0!</v>
      </c>
      <c r="EH85" s="153" t="e">
        <f t="shared" ca="1" si="387"/>
        <v>#N/A</v>
      </c>
      <c r="EI85" s="156" t="e">
        <f t="shared" ca="1" si="388"/>
        <v>#N/A</v>
      </c>
      <c r="EJ85" s="155" t="e">
        <f ca="1">IF(Control!$C$114=1, $HM85*$GB85, 0)</f>
        <v>#DIV/0!</v>
      </c>
      <c r="EK85" s="153" t="e">
        <f t="shared" ca="1" si="441"/>
        <v>#N/A</v>
      </c>
      <c r="EL85" s="153" t="e">
        <f t="shared" ca="1" si="260"/>
        <v>#N/A</v>
      </c>
      <c r="EM85" s="153" t="e">
        <f t="shared" ca="1" si="261"/>
        <v>#N/A</v>
      </c>
      <c r="EN85" s="153" t="e">
        <f ca="1">IF(Control!$C$108=1,IF(AND(Control!$B$18=1,$EB85&gt;=Control!$B$19),$EB85-$DS85,IF(AND(Control!$B$18=2,$AW85=1,$EB85&gt;$DS85),$EB85-$DS85,0)))</f>
        <v>#N/A</v>
      </c>
      <c r="EO85" s="153" t="e">
        <f ca="1">IF(Control!$C$108=1,IF(AND(Control!$B$18=1,$EB85&gt;=Control!$B$19),$EF85,IF(AND(Control!$B$18=2,$AW85=1),$EF85,0)))</f>
        <v>#N/A</v>
      </c>
      <c r="EP85" s="153" t="e">
        <f ca="1">IF(Control!$C$108=1,IF(AND(Control!$B$18=1,$EB85&gt;=Control!$B$19),$EK85,IF(AND(Control!$B$18=2,$AW85=1),$EK85,0)))</f>
        <v>#N/A</v>
      </c>
      <c r="EQ85" s="153" t="e">
        <f t="shared" ca="1" si="389"/>
        <v>#N/A</v>
      </c>
      <c r="ER85" s="153" t="e">
        <f t="shared" ca="1" si="390"/>
        <v>#N/A</v>
      </c>
      <c r="ES85" s="153" t="e">
        <f t="shared" ca="1" si="442"/>
        <v>#N/A</v>
      </c>
      <c r="ET85" s="153" t="e">
        <f t="shared" ca="1" si="443"/>
        <v>#N/A</v>
      </c>
      <c r="EU85" s="153" t="e">
        <f t="shared" ca="1" si="391"/>
        <v>#N/A</v>
      </c>
      <c r="EV85" s="153" t="e">
        <f t="shared" ca="1" si="262"/>
        <v>#N/A</v>
      </c>
      <c r="EW85" s="153" t="e">
        <f t="shared" ca="1" si="263"/>
        <v>#N/A</v>
      </c>
      <c r="EX85" s="153" t="e">
        <f t="shared" ca="1" si="264"/>
        <v>#N/A</v>
      </c>
      <c r="EY85" s="157" t="e">
        <f t="shared" ca="1" si="265"/>
        <v>#DIV/0!</v>
      </c>
      <c r="EZ85" s="154" t="e">
        <f t="shared" ca="1" si="266"/>
        <v>#DIV/0!</v>
      </c>
      <c r="FA85" s="153" t="e">
        <f t="shared" ca="1" si="392"/>
        <v>#N/A</v>
      </c>
      <c r="FB85" s="153" t="e">
        <f t="shared" ca="1" si="267"/>
        <v>#N/A</v>
      </c>
      <c r="FC85" s="193" t="e">
        <f t="shared" ca="1" si="268"/>
        <v>#N/A</v>
      </c>
      <c r="FD85" s="158" t="e">
        <f t="shared" ca="1" si="393"/>
        <v>#N/A</v>
      </c>
      <c r="FE85" s="158" t="e">
        <f t="shared" ca="1" si="394"/>
        <v>#N/A</v>
      </c>
      <c r="FF85" s="159" t="e">
        <f t="shared" ca="1" si="269"/>
        <v>#N/A</v>
      </c>
      <c r="FG85" s="160" t="e">
        <f t="shared" ca="1" si="395"/>
        <v>#N/A</v>
      </c>
      <c r="FH85" s="158" t="e">
        <f t="shared" ca="1" si="396"/>
        <v>#N/A</v>
      </c>
      <c r="FI85" s="159" t="e">
        <f t="shared" ca="1" si="270"/>
        <v>#N/A</v>
      </c>
      <c r="FJ85" s="160" t="e">
        <f t="shared" ca="1" si="397"/>
        <v>#N/A</v>
      </c>
      <c r="FK85" s="160" t="e">
        <f t="shared" ca="1" si="271"/>
        <v>#N/A</v>
      </c>
      <c r="FL85" s="160" t="e">
        <f t="shared" ca="1" si="444"/>
        <v>#N/A</v>
      </c>
      <c r="FM85" s="160" t="e">
        <f t="shared" ca="1" si="272"/>
        <v>#N/A</v>
      </c>
      <c r="FN85" s="158">
        <f t="shared" ca="1" si="398"/>
        <v>0.01</v>
      </c>
      <c r="FO85" s="160">
        <f>Control!$C$101</f>
        <v>50</v>
      </c>
      <c r="FP85" s="150" t="e">
        <f t="shared" ca="1" si="273"/>
        <v>#N/A</v>
      </c>
      <c r="FQ85" s="150" t="e">
        <f ca="1">MAX(0,(Control!$C$112*(($DK85-Control!$C$97)/Control!$C$97)))</f>
        <v>#N/A</v>
      </c>
      <c r="FR85" s="150" t="e">
        <f ca="1">(1-$NT85)*Control!$C$113</f>
        <v>#DIV/0!</v>
      </c>
      <c r="FS85" s="198" t="e">
        <f t="shared" ca="1" si="274"/>
        <v>#N/A</v>
      </c>
      <c r="FT85" s="161">
        <f t="shared" ca="1" si="399"/>
        <v>81</v>
      </c>
      <c r="FU85" s="162" t="e">
        <f ca="1">IF(Control!$B$34=1,VLOOKUP($CP85,Control!$B$86:$G$91,6),Control!$B$35)</f>
        <v>#N/A</v>
      </c>
      <c r="FV85" s="162" t="e">
        <f t="shared" ca="1" si="275"/>
        <v>#DIV/0!</v>
      </c>
      <c r="FW85" s="162" t="e">
        <f ca="1">IF(Control!$B$31=1,$FU85*$FV85,  $FU85)</f>
        <v>#N/A</v>
      </c>
      <c r="FX85" s="162" t="e">
        <f ca="1">IF(Control!$B$34=1,VLOOKUP($CP85,Control!$B$86:$G$91,3),Control!$B$36)</f>
        <v>#N/A</v>
      </c>
      <c r="FY85" s="162" t="e">
        <f t="shared" ca="1" si="276"/>
        <v>#N/A</v>
      </c>
      <c r="FZ85" s="162" t="e">
        <f ca="1">IF(Control!$B$34=1,VLOOKUP($CP85,Control!$B$86:$G$91,4),Control!$B$37)</f>
        <v>#N/A</v>
      </c>
      <c r="GA85" s="162" t="e">
        <f t="shared" ca="1" si="277"/>
        <v>#N/A</v>
      </c>
      <c r="GB85" s="162" t="e">
        <f ca="1">IF(Control!$B$34=1,VLOOKUP($CP85,Control!$B$86:$G$91,5),Control!$B$38)</f>
        <v>#N/A</v>
      </c>
      <c r="GC85" s="162" t="e">
        <f t="shared" ca="1" si="400"/>
        <v>#N/A</v>
      </c>
      <c r="GD85" s="162">
        <f t="shared" ca="1" si="278"/>
        <v>1</v>
      </c>
      <c r="GE85" s="162">
        <f t="shared" ca="1" si="279"/>
        <v>1</v>
      </c>
      <c r="GF85" s="162">
        <f ca="1">IF(AND(Control!$C$104=1, Control!$C$62="F"),$GE85,1)</f>
        <v>1</v>
      </c>
      <c r="GG85" s="162" t="e">
        <f ca="1">IF(Control!$B$16=40,0,IF(AND(Control!$B$16&gt;40,Control!$B$16&lt;=360),(Control!$B$16-40)*((1-0)/(360-40)),IF(AND(Control!$B$16&gt;360,Control!$B$16&lt;=720),(1+(Control!$B$16-360)*((1.25-1)/(720-360))),IF(AND(Control!$B$16&gt;720,Control!$B$16&lt;=1000),(1.25+(Control!$B$16-720)*((1.35-1.25)/(1000-720))),IF(AND(Control!$B$16&gt;1000,Control!$B$16&lt;=2000),(1.35+(Control!$B$16-1000)*0))))))</f>
        <v>#N/A</v>
      </c>
      <c r="GH85" s="162" t="e">
        <f t="shared" ca="1" si="280"/>
        <v>#N/A</v>
      </c>
      <c r="GI85" s="162">
        <f t="shared" ca="1" si="401"/>
        <v>0</v>
      </c>
      <c r="GJ85" s="162">
        <f t="shared" ca="1" si="281"/>
        <v>0</v>
      </c>
      <c r="GK85" s="162">
        <f t="shared" ca="1" si="402"/>
        <v>1</v>
      </c>
      <c r="GL85" s="162">
        <f t="shared" ca="1" si="282"/>
        <v>1</v>
      </c>
      <c r="GM85" s="162" t="e">
        <f ca="1">MAX(0,MIN(1,1-Control!$C$156*(1.0001-$KH85)^2))</f>
        <v>#N/A</v>
      </c>
      <c r="GN85" s="162" t="e">
        <f ca="1">IF(Control!$B$26=1,$KU85,$KX85)</f>
        <v>#N/A</v>
      </c>
      <c r="GO85" s="162" t="e">
        <f ca="1">IF($CP85&lt;=60,Control!$C$105,IF($CP85&gt;=90,Control!$C$106,Control!$C$105+($CP85-60)*((Control!$C$106-Control!$C$105)/(90-60))))</f>
        <v>#N/A</v>
      </c>
      <c r="GP85" s="162" t="e">
        <f t="shared" ca="1" si="283"/>
        <v>#N/A</v>
      </c>
      <c r="GQ85" s="162" t="e">
        <f t="shared" ca="1" si="403"/>
        <v>#N/A</v>
      </c>
      <c r="GR85" s="163" t="e">
        <f t="shared" ca="1" si="284"/>
        <v>#DIV/0!</v>
      </c>
      <c r="GS85" s="162" t="e">
        <f t="shared" ca="1" si="285"/>
        <v>#DIV/0!</v>
      </c>
      <c r="GT85" s="164" t="e">
        <f t="shared" ca="1" si="404"/>
        <v>#N/A</v>
      </c>
      <c r="GU85" s="162" t="e">
        <f t="shared" ca="1" si="405"/>
        <v>#N/A</v>
      </c>
      <c r="GV85" s="162" t="e">
        <f t="shared" ca="1" si="286"/>
        <v>#N/A</v>
      </c>
      <c r="GW85" s="162" t="e">
        <f t="shared" ca="1" si="287"/>
        <v>#DIV/0!</v>
      </c>
      <c r="GX85" s="162" t="e">
        <f t="shared" ca="1" si="406"/>
        <v>#DIV/0!</v>
      </c>
      <c r="GY85" s="162" t="e">
        <f t="shared" ca="1" si="407"/>
        <v>#DIV/0!</v>
      </c>
      <c r="GZ85" s="165" t="e">
        <f t="shared" ca="1" si="288"/>
        <v>#N/A</v>
      </c>
      <c r="HA85" s="162" t="e">
        <f ca="1">IF(Control!$C$114=1, $DI85*$FS85, 0)</f>
        <v>#N/A</v>
      </c>
      <c r="HB85" s="162" t="e">
        <f ca="1">$FA85/Control!$C$64</f>
        <v>#N/A</v>
      </c>
      <c r="HC85" s="162" t="e">
        <f t="shared" ca="1" si="289"/>
        <v>#DIV/0!</v>
      </c>
      <c r="HD85" s="162">
        <f ca="1">-ASIN(SIN(23.45*Control!$C$139)*COS(2*Control!$C$138*($AH85+10)/365))</f>
        <v>-1.7111340565340632E-3</v>
      </c>
      <c r="HE85" s="165">
        <f t="shared" ca="1" si="408"/>
        <v>0</v>
      </c>
      <c r="HF85" s="166">
        <f ca="1">IF(AND(Control!$C$61="T",$HE85&gt;=Control!$C$103,Control!$C$114=0),$AH85,Control!$C$59)</f>
        <v>1</v>
      </c>
      <c r="HG85" s="166">
        <f ca="1">IF(AND(Control!$C$61="T",$HE85&gt;=Control!$C$103,Control!$C$114=0),$HF85,Control!$C$59)</f>
        <v>1</v>
      </c>
      <c r="HH85" s="165">
        <f ca="1">IF(AND(OR(Control!$C$60&lt;=0, $AH85= Control!$C$59, Control!$C$60 &gt;0, $AH85 = Control!$C$60)), Control!$C$59, IF(Control!$C$60&gt;0, 0))</f>
        <v>1</v>
      </c>
      <c r="HI85" s="165">
        <f ca="1">IF(AND(OR(Control!$C$60&lt;=0, $AH85= Control!$C$59, Control!$C$60 &gt;0, $AH85 = Control!$C$60)), Control!$C$60, IF(Control!$C$60&lt;=0, 0))</f>
        <v>0</v>
      </c>
      <c r="HJ85" s="166">
        <f ca="1">IF(AND(Control!$C$62="F",$CV85&gt;=Control!$C$102),$AH85,0)</f>
        <v>0</v>
      </c>
      <c r="HK85" s="165" t="e">
        <f t="shared" ca="1" si="445"/>
        <v>#N/A</v>
      </c>
      <c r="HL85" s="166">
        <f ca="1">IF(AND(Control!$C$61="T",$HE85&gt;=Control!$C$103,Control!$C$114=0),$HF85,0)</f>
        <v>0</v>
      </c>
      <c r="HM85" s="201" t="e">
        <f t="shared" ca="1" si="290"/>
        <v>#DIV/0!</v>
      </c>
      <c r="HN85" s="215">
        <f t="shared" ca="1" si="409"/>
        <v>81</v>
      </c>
      <c r="HO85" s="216" t="e">
        <f ca="1">IF(AND($CP85&gt;=0, $CP85&lt;=90), Control!$C$152, Control!$C$152)</f>
        <v>#N/A</v>
      </c>
      <c r="HP85" s="216" t="e">
        <f t="shared" ca="1" si="291"/>
        <v>#N/A</v>
      </c>
      <c r="HQ85" s="217" t="e">
        <f ca="1">IF(OR(Control!$B$26=1,Control!$B$26=2),$KV85,$KS85)</f>
        <v>#DIV/0!</v>
      </c>
      <c r="HR85" s="218" t="e">
        <f t="shared" ca="1" si="446"/>
        <v>#DIV/0!</v>
      </c>
      <c r="HS85" s="216" t="e">
        <f ca="1">Control!$C$154*$HP85</f>
        <v>#N/A</v>
      </c>
      <c r="HT85" s="216" t="e">
        <f ca="1">Control!$C$155*$HP85</f>
        <v>#N/A</v>
      </c>
      <c r="HU85" s="217" t="e">
        <f ca="1">Control!$C$161*$FI85</f>
        <v>#N/A</v>
      </c>
      <c r="HV85" s="218" t="e">
        <f t="shared" ca="1" si="410"/>
        <v>#N/A</v>
      </c>
      <c r="HW85" s="218" t="e">
        <f ca="1">Control!$C$160*$FF85+$IP85*$EO85</f>
        <v>#N/A</v>
      </c>
      <c r="HX85" s="218" t="e">
        <f t="shared" ca="1" si="447"/>
        <v>#N/A</v>
      </c>
      <c r="HY85" s="219" t="e">
        <f ca="1">IF(Control!$C$114=1, $EB85*$FS85, 0)</f>
        <v>#N/A</v>
      </c>
      <c r="HZ85" s="91" t="e">
        <f t="shared" ca="1" si="292"/>
        <v>#N/A</v>
      </c>
      <c r="IA85" s="220" t="e">
        <f ca="1">Control!$C$153*$HO85</f>
        <v>#N/A</v>
      </c>
      <c r="IB85" s="218" t="e">
        <f t="shared" ca="1" si="293"/>
        <v>#N/A</v>
      </c>
      <c r="IC85" s="220" t="e">
        <f ca="1">Control!$C$153*$HT85</f>
        <v>#N/A</v>
      </c>
      <c r="ID85" s="218" t="e">
        <f t="shared" ca="1" si="294"/>
        <v>#N/A</v>
      </c>
      <c r="IE85" s="221" t="e">
        <f ca="1">($EB85*Control!$C$159+$EF85*Control!$C$160)/(IF($GZ85&lt;&gt;0,$GZ85,1))</f>
        <v>#N/A</v>
      </c>
      <c r="IF85" s="216" t="e">
        <f t="shared" ca="1" si="295"/>
        <v>#N/A</v>
      </c>
      <c r="IG85" s="91">
        <f ca="1">IF(OR(Control!$B$198=$AH85,Control!$B$199=$AH85, Control!$B$200=$AH85, Control!$B$201=$AH85, Control!$B$202=$AH85, Control!$B$203=$AH85, Control!$B$204=$AH85, Control!$B$205=$AH85, Control!$B$206=$AH85, Control!$B$207=$AH85), 1, 0)</f>
        <v>0</v>
      </c>
      <c r="IH85" s="91">
        <f ca="1">IF($IG85=0,0, VLOOKUP($AH85,Control!$B$198:$C$207,2))</f>
        <v>0</v>
      </c>
      <c r="II85" s="222">
        <f t="shared" ca="1" si="411"/>
        <v>0</v>
      </c>
      <c r="IJ85" s="91">
        <f>Control!$C$121</f>
        <v>0.7</v>
      </c>
      <c r="IK85" s="218">
        <f t="shared" ca="1" si="296"/>
        <v>0</v>
      </c>
      <c r="IL85" s="217" t="e">
        <f t="shared" ca="1" si="448"/>
        <v>#N/A</v>
      </c>
      <c r="IM85" s="223" t="e">
        <f ca="1">IF(AND(Control!$C$114=1,$KH85&lt;1),$EB85*Control!$C$148*(1-$KH85), 0)</f>
        <v>#N/A</v>
      </c>
      <c r="IN85" s="217" t="e">
        <f t="shared" ca="1" si="297"/>
        <v>#DIV/0!</v>
      </c>
      <c r="IO85" s="91" t="e">
        <f ca="1">MAX(0,$IL85-$EF85*Control!$C$160)</f>
        <v>#N/A</v>
      </c>
      <c r="IP85" s="220" t="e">
        <f t="shared" ca="1" si="298"/>
        <v>#N/A</v>
      </c>
      <c r="IQ85" s="217" t="e">
        <f t="shared" ca="1" si="412"/>
        <v>#N/A</v>
      </c>
      <c r="IR85" s="218" t="e">
        <f t="shared" ca="1" si="299"/>
        <v>#N/A</v>
      </c>
      <c r="IS85" s="217" t="e">
        <f ca="1">Control!$C$159*MAX(0,$FD85-$EN85)</f>
        <v>#N/A</v>
      </c>
      <c r="IT85" s="217" t="e">
        <f t="shared" ca="1" si="449"/>
        <v>#N/A</v>
      </c>
      <c r="IU85" s="217" t="e">
        <f t="shared" ca="1" si="413"/>
        <v>#N/A</v>
      </c>
      <c r="IV85" s="217" t="e">
        <f t="shared" ca="1" si="450"/>
        <v>#N/A</v>
      </c>
      <c r="IW85" s="217" t="e">
        <f ca="1">IF(OR($AW85=1,AND($AW85=0, Control!$B$18=1,$EN85&lt;&gt;0)), $IQ85-$IU85, $IQ85)</f>
        <v>#N/A</v>
      </c>
      <c r="IX85" s="218" t="e">
        <f t="shared" ca="1" si="300"/>
        <v>#N/A</v>
      </c>
      <c r="IY85" s="218" t="e">
        <f ca="1">MAX(0,$IQ85-$EB85*Control!$C$159)</f>
        <v>#N/A</v>
      </c>
      <c r="IZ85" s="218" t="e">
        <f t="shared" ca="1" si="301"/>
        <v>#N/A</v>
      </c>
      <c r="JA85" s="216" t="e">
        <f t="shared" ca="1" si="302"/>
        <v>#N/A</v>
      </c>
      <c r="JB85" s="217" t="e">
        <f t="shared" ca="1" si="303"/>
        <v>#N/A</v>
      </c>
      <c r="JC85" s="222" t="e">
        <f ca="1">MAX(Control!$C$157*$EK85-$JT85, 0)/Control!$C$162</f>
        <v>#N/A</v>
      </c>
      <c r="JD85" s="218" t="e">
        <f t="shared" ca="1" si="304"/>
        <v>#N/A</v>
      </c>
      <c r="JE85" s="218" t="e">
        <f t="shared" ca="1" si="305"/>
        <v>#N/A</v>
      </c>
      <c r="JF85" s="218" t="e">
        <f t="shared" ca="1" si="414"/>
        <v>#N/A</v>
      </c>
      <c r="JG85" s="218" t="e">
        <f t="shared" ca="1" si="306"/>
        <v>#N/A</v>
      </c>
      <c r="JH85" s="217" t="e">
        <f t="shared" ca="1" si="415"/>
        <v>#N/A</v>
      </c>
      <c r="JI85" s="217" t="e">
        <f t="shared" ca="1" si="416"/>
        <v>#N/A</v>
      </c>
      <c r="JJ85" s="217" t="e">
        <f t="shared" ca="1" si="451"/>
        <v>#N/A</v>
      </c>
      <c r="JK85" s="217" t="e">
        <f ca="1">IF(Control!$C$114=1,IF(Control!$B$24=0,MAX(0,$JI85)*$GN85/Control!$C$64,(MAX(0,MIN($JI85,$JJ85*$GN85/Control!$C$64),0))))</f>
        <v>#N/A</v>
      </c>
      <c r="JL85" s="217" t="e">
        <f ca="1">$IK85/Control!$C$64-$JK85+$HQ85</f>
        <v>#N/A</v>
      </c>
      <c r="JM85" s="217" t="e">
        <f ca="1">IF(Control!$C$114=1,($JB85/(IF($JI85&lt;&gt;0,$JI85,1)))*$JK85,0)</f>
        <v>#N/A</v>
      </c>
      <c r="JN85" s="217" t="e">
        <f ca="1">IF(Control!$C$114=1,($JG85/(IF($JI85&lt;&gt;0,$JI85,1)))*$JK85, 0)</f>
        <v>#N/A</v>
      </c>
      <c r="JO85" s="218" t="e">
        <f t="shared" ca="1" si="307"/>
        <v>#N/A</v>
      </c>
      <c r="JP85" s="218" t="e">
        <f ca="1">MIN(($IY85+$IO85)*Control!$C$151, $JF85-$EH85*Control!$C$161)</f>
        <v>#N/A</v>
      </c>
      <c r="JQ85" s="218" t="e">
        <f t="shared" ca="1" si="308"/>
        <v>#N/A</v>
      </c>
      <c r="JR85" s="217" t="e">
        <f ca="1">IF($CP85-Control!$C$150&lt;0, 0, $JQ85/Control!$C$162)</f>
        <v>#N/A</v>
      </c>
      <c r="JS85" s="218" t="e">
        <f t="shared" ca="1" si="309"/>
        <v>#N/A</v>
      </c>
      <c r="JT85" s="218" t="e">
        <f t="shared" ca="1" si="417"/>
        <v>#N/A</v>
      </c>
      <c r="JU85" s="218" t="e">
        <f t="shared" ca="1" si="310"/>
        <v>#N/A</v>
      </c>
      <c r="JV85" s="218" t="e">
        <f t="shared" ca="1" si="311"/>
        <v>#N/A</v>
      </c>
      <c r="JW85" s="216" t="e">
        <f t="shared" ca="1" si="312"/>
        <v>#N/A</v>
      </c>
      <c r="JX85" s="91" t="e">
        <f t="shared" ca="1" si="313"/>
        <v>#N/A</v>
      </c>
      <c r="JY85" s="218" t="e">
        <f t="shared" ca="1" si="314"/>
        <v>#N/A</v>
      </c>
      <c r="JZ85" s="217" t="e">
        <f ca="1">IF(Control!$C$114=1,($IZ85/(IF($JI85&lt;&gt;0,$JI85,1)))*$JK85, 0)</f>
        <v>#N/A</v>
      </c>
      <c r="KA85" s="218" t="e">
        <f t="shared" ca="1" si="452"/>
        <v>#N/A</v>
      </c>
      <c r="KB85" s="218" t="e">
        <f t="shared" ca="1" si="418"/>
        <v>#N/A</v>
      </c>
      <c r="KC85" s="218" t="e">
        <f t="shared" ca="1" si="315"/>
        <v>#N/A</v>
      </c>
      <c r="KD85" s="218" t="e">
        <f t="shared" ca="1" si="316"/>
        <v>#N/A</v>
      </c>
      <c r="KE85" s="218" t="e">
        <f t="shared" ca="1" si="317"/>
        <v>#N/A</v>
      </c>
      <c r="KF85" s="218" t="e">
        <f t="shared" ca="1" si="318"/>
        <v>#N/A</v>
      </c>
      <c r="KG85" s="216" t="e">
        <f t="shared" ca="1" si="319"/>
        <v>#N/A</v>
      </c>
      <c r="KH85" s="221" t="e">
        <f ca="1">IF(Control!$B$24=0,1,MAX(0.001,MIN(1,IF(($IF85-$IE85)&lt;&gt;0,($KG85-$IE85)/($IF85-$IE85),1))))</f>
        <v>#N/A</v>
      </c>
      <c r="KI85" s="222" t="e">
        <f ca="1">IF(Control!$C$114=1, $KI84+ $KH84, 0)</f>
        <v>#N/A</v>
      </c>
      <c r="KJ85" s="217" t="e">
        <f t="shared" ca="1" si="320"/>
        <v>#N/A</v>
      </c>
      <c r="KK85" s="218" t="e">
        <f t="shared" ca="1" si="321"/>
        <v>#N/A</v>
      </c>
      <c r="KL85" s="274" t="e">
        <f ca="1">IF(Control!$B$26=3,4000000000*EXP(-8400/($G85+273)),IF(Control!$B$26=4,4000000000*EXP(-8400/($G85+273))*($KT85),0))</f>
        <v>#DIV/0!</v>
      </c>
      <c r="KM85" s="274" t="e">
        <f ca="1">IF(Control!$B$26=3,5600000000000*EXP(-9800/($G85+273)),IF(Control!$B$26=4,5600000000000*EXP(-9800/($G85+273))*$KT85,0))</f>
        <v>#DIV/0!</v>
      </c>
      <c r="KN85" s="454" t="e">
        <f t="shared" ca="1" si="419"/>
        <v>#DIV/0!</v>
      </c>
      <c r="KO85" s="274" t="e">
        <f t="shared" ca="1" si="420"/>
        <v>#DIV/0!</v>
      </c>
      <c r="KP85" s="454" t="e">
        <f t="shared" ca="1" si="322"/>
        <v>#DIV/0!</v>
      </c>
      <c r="KQ85" s="454" t="e">
        <f t="shared" ca="1" si="323"/>
        <v>#DIV/0!</v>
      </c>
      <c r="KR85" s="454" t="e">
        <f t="shared" ca="1" si="324"/>
        <v>#DIV/0!</v>
      </c>
      <c r="KS85" s="454" t="e">
        <f t="shared" ca="1" si="325"/>
        <v>#DIV/0!</v>
      </c>
      <c r="KT85" s="455" t="e">
        <f t="shared" ca="1" si="326"/>
        <v>#DIV/0!</v>
      </c>
      <c r="KU85" s="456" t="e">
        <f ca="1">IF($CP85-Control!$C$149&lt;0, IF($NT85-0.01&lt;0,0,1),0)</f>
        <v>#N/A</v>
      </c>
      <c r="KV85" s="456" t="e">
        <f ca="1">IF(Control!$C$114=1,MAX(0,MIN(Control!$C$125*$KW85*$GN85,$KW85)))</f>
        <v>#DIV/0!</v>
      </c>
      <c r="KW85" s="456" t="e">
        <f t="shared" ca="1" si="453"/>
        <v>#DIV/0!</v>
      </c>
      <c r="KX85" s="457" t="e">
        <f ca="1">IF($CP85-Control!$C$149&lt;0, IF($MR85-$OM85&lt;0,0,1),0)</f>
        <v>#N/A</v>
      </c>
      <c r="KY85" s="167">
        <f t="shared" ca="1" si="421"/>
        <v>81</v>
      </c>
      <c r="KZ85" s="168">
        <f ca="1">1370*(1+0.033*COS(2*Control!$C$138*$AH85/365))</f>
        <v>1377.9356335589928</v>
      </c>
      <c r="LA85" s="169">
        <f t="shared" ca="1" si="422"/>
        <v>1.0057925391839071</v>
      </c>
      <c r="LB85" s="169">
        <f t="shared" ca="1" si="423"/>
        <v>1.7794355959882655E-3</v>
      </c>
      <c r="LC85" s="169">
        <f ca="1">ACOS(-TAN((2*Control!$B$8/360))*TAN(Calculations!$LB85))</f>
        <v>1.5713251812089679</v>
      </c>
      <c r="LD85" s="169">
        <f ca="1">((24*60)/PI())*0.082*$LA85*(($LC85*SIN(Control!$B$8*2*PI()/360))*SIN($LB85)+COS(Control!$B$8*2*PI()/360)*COS($LB85)*SIN($LC85))</f>
        <v>23.357566618835392</v>
      </c>
      <c r="LE85" s="170">
        <f t="shared" ca="1" si="327"/>
        <v>23.250714889801699</v>
      </c>
      <c r="LF85" s="170">
        <f ca="1">SIN(Control!$C$139*Control!$B$8)*SIN($HD85)</f>
        <v>-1.3483936151919766E-3</v>
      </c>
      <c r="LG85" s="170">
        <f ca="1">COS(Control!$C$139*Control!$B$8)*COS($HD85)</f>
        <v>0.61565890161247827</v>
      </c>
      <c r="LH85" s="170">
        <f ca="1">12*(1+2*ASIN(MAX(-1,MIN(1,$LF85/$LG85))/Control!$C$138))</f>
        <v>11.983268421595591</v>
      </c>
      <c r="LI85" s="170">
        <f ca="1">12*(1+2*ASIN(MAX(-1,MIN(1,(-SIN(-4*Control!$C$139)+$LF85)/$LG85))/Control!$C$138))</f>
        <v>12.849022527183626</v>
      </c>
      <c r="LJ85" s="168">
        <f ca="1">3600*($LH85*$LF85+24*$LG85*SQRT(1-$LK85*$LK85)/Control!$C$138)</f>
        <v>16873.585618617562</v>
      </c>
      <c r="LK85" s="170">
        <f t="shared" ca="1" si="328"/>
        <v>-2.19016343572778E-3</v>
      </c>
      <c r="LL85" s="170">
        <f t="shared" ca="1" si="329"/>
        <v>0</v>
      </c>
      <c r="LM85" s="171">
        <f ca="1">Control!$C$145*$AB85</f>
        <v>6.6660906138995932E-2</v>
      </c>
      <c r="LN85" s="170">
        <f t="shared" ca="1" si="424"/>
        <v>0.54</v>
      </c>
      <c r="LO85" s="170">
        <f t="shared" ca="1" si="330"/>
        <v>0</v>
      </c>
      <c r="LP85" s="170">
        <f ca="1">Control!$C$140*((($D85+273.16)^4+($E85+273.16)^4)/2)*(0.34-0.14*SQRT($Y85))*(1.35*$AQ85/(0.75*$LD85)-0.35)</f>
        <v>-3.2464704755046001</v>
      </c>
      <c r="LQ85" s="170">
        <f ca="1">Control!$C$140*($G85+273)^4*(0.56-0.079*SQRT($Y85*10))*(0.1+0.9*$LO85)</f>
        <v>1.5241745131704001</v>
      </c>
      <c r="LR85" s="170">
        <f ca="1">$AQ85*(1-Control!$C$142)-$LQ85</f>
        <v>-1.5241745131704001</v>
      </c>
      <c r="LS85" s="170">
        <f ca="1">$AQ85*(1-Control!$C$143)-$LQ85</f>
        <v>-1.5241745131704001</v>
      </c>
      <c r="LT85" s="170">
        <f ca="1">$AQ85*(1-Control!$C$144)-$LQ85</f>
        <v>-1.5241745131704001</v>
      </c>
      <c r="LU85" s="169">
        <f ca="1">(1-Control!$C$144)*AQ85-LP85</f>
        <v>3.2464704755046001</v>
      </c>
      <c r="LV85" s="172">
        <f t="shared" ca="1" si="331"/>
        <v>0.79430000000000012</v>
      </c>
      <c r="LW85" s="170">
        <f t="shared" ca="1" si="332"/>
        <v>1.5886000000000002</v>
      </c>
      <c r="LX85" s="170">
        <f ca="1">($AC85*($LR85/Control!$C$141)+$LM85*$LV85)/($AC85+$LM85)</f>
        <v>0.23530094218323697</v>
      </c>
      <c r="LY85" s="170">
        <f ca="1">($AC85*($LS85/Control!$C$141)+$LM85*$LV85)/($AC85+$LM85)</f>
        <v>0.23530094218323697</v>
      </c>
      <c r="LZ85" s="170">
        <f t="shared" ca="1" si="333"/>
        <v>0.23530094218323697</v>
      </c>
      <c r="MA85" s="170">
        <f t="shared" ca="1" si="334"/>
        <v>0.23530094218323697</v>
      </c>
      <c r="MB85" s="170" t="e">
        <f t="shared" ca="1" si="335"/>
        <v>#N/A</v>
      </c>
      <c r="MC85" s="170">
        <f t="shared" ca="1" si="425"/>
        <v>0.6018</v>
      </c>
      <c r="MD85" s="170">
        <f t="shared" ca="1" si="336"/>
        <v>0.52989392535414004</v>
      </c>
      <c r="ME85" s="170">
        <f ca="1">($AC85*($LT85/Control!$C$141)+$LM85*$LW85)/($AC85+$LM85)</f>
        <v>0.71612369323045078</v>
      </c>
      <c r="MF85" s="170" t="e">
        <f ca="1">IF(Control!$B$16&gt;=1000,0.92,IF(AND(720&lt;=Control!$B$16,1000&gt;Control!$B$16),(0.95+(Control!$B$16-720)*((0.92-0.95)/(1000-720))),IF(AND(360&lt;=Control!$B$16,720&gt;Control!$B$16),(1+(Control!$B$16-360)*((0.95-1)/(720-360))),IF(AND(40&lt;=Control!$B$16,360&gt;Control!$B$16),(1.05+(Control!$B$16-40)*((1.05-1)/(360-40)))))))</f>
        <v>#N/A</v>
      </c>
      <c r="MG85" s="170">
        <f t="shared" ca="1" si="337"/>
        <v>0.71612369323045078</v>
      </c>
      <c r="MH85" s="170" t="e">
        <f t="shared" ca="1" si="233"/>
        <v>#N/A</v>
      </c>
      <c r="MI85" s="170" t="e">
        <f t="shared" ca="1" si="233"/>
        <v>#N/A</v>
      </c>
      <c r="MJ85" s="170" t="e">
        <f ca="1">MAX(0.0001, Control!$C$132*$MI85*$DL85)</f>
        <v>#N/A</v>
      </c>
      <c r="MK85" s="170">
        <f ca="1">1/(0.76+1.5*($MG85/10))-(5-Control!$C$110)*0.1</f>
        <v>1.002845988140797</v>
      </c>
      <c r="ML85" s="173">
        <f ca="1">IF(Control!$C$110&lt;3,$MK85+($MG85-0.6)/(Control!$C$110*(Control!$C$110+3)), MAX(0.1, MIN(0.95,$MK85)))</f>
        <v>0.95</v>
      </c>
      <c r="MM85" s="173">
        <f ca="1">IF(Control!$C$110&lt;3,$MK85+(($MI85/10)-0.6)/(Control!$C$110*(Control!$C$110+3)), MAX(0.1, MIN(0.95,$MK85)))</f>
        <v>0.95</v>
      </c>
      <c r="MN85" s="173">
        <f ca="1">(1-$MM85)*(Control!$C$128-Control!$C$127)+Control!$C$127</f>
        <v>0.16</v>
      </c>
      <c r="MO85" s="170" t="e">
        <f ca="1">MAX(0,MIN(1,($MS85-Control!$C$127)/($MN85-Control!$C$127)))</f>
        <v>#DIV/0!</v>
      </c>
      <c r="MP85" s="173" t="e">
        <f ca="1">1/(0.76+1.5*$MI85)-(5-Control!$C$110)*0.1</f>
        <v>#N/A</v>
      </c>
      <c r="MQ85" s="172" t="e">
        <f t="shared" ca="1" si="454"/>
        <v>#DIV/0!</v>
      </c>
      <c r="MR85" s="168" t="e">
        <f t="shared" ca="1" si="426"/>
        <v>#DIV/0!</v>
      </c>
      <c r="MS85" s="173" t="e">
        <f ca="1">MAX(Control!$C$127, MIN(Control!$C$135, $MR85/MAX(0.0001,$CY85)))</f>
        <v>#DIV/0!</v>
      </c>
      <c r="MT85" s="168" t="e">
        <f ca="1">(Control!$C$128-$MS85)*Control!$C$74</f>
        <v>#DIV/0!</v>
      </c>
      <c r="MU85" s="168" t="e">
        <f ca="1">(Control!$C$135-$MS85)*Control!$C$74</f>
        <v>#DIV/0!</v>
      </c>
      <c r="MV85" s="168" t="e">
        <f t="shared" ca="1" si="427"/>
        <v>#DIV/0!</v>
      </c>
      <c r="MW85" s="168" t="e">
        <f t="shared" ca="1" si="428"/>
        <v>#DIV/0!</v>
      </c>
      <c r="MX85" s="171" t="e">
        <f ca="1">MAX(Control!$C$127, MIN(Control!$C$135, $MW85/MAX(0.0001,Control!$C$119-$CY85)))</f>
        <v>#DIV/0!</v>
      </c>
      <c r="MY85" s="54" t="e">
        <f ca="1">IF(Control!$C$114=1, $CX85*$MX85, 0)</f>
        <v>#DIV/0!</v>
      </c>
      <c r="MZ85" s="54" t="e">
        <f t="shared" ca="1" si="429"/>
        <v>#N/A</v>
      </c>
      <c r="NA85" s="168" t="e">
        <f ca="1">(Control!$C$128-$MX85)*(Control!$C$119-Control!$C$74)</f>
        <v>#DIV/0!</v>
      </c>
      <c r="NB85" s="168" t="e">
        <f ca="1">(Control!$C$135-$MX85)*(Control!$C$119-Control!$C$74)</f>
        <v>#DIV/0!</v>
      </c>
      <c r="NC85" s="174" t="e">
        <f t="shared" ca="1" si="430"/>
        <v>#DIV/0!</v>
      </c>
      <c r="ND85" s="54">
        <f ca="1">IF(Control!$C$58=2, IF(OR(Control!$B$218=$AH85,Control!$B$219=$AH85, Control!$B$220=$AH85, Control!$B$221=$AH85, Control!$B$222=$AH85, Control!$B$223=$AH85, Control!$B$224=$AH85, Control!$B$225=$AH85, Control!$B$226=$AH85, Control!$B$227=$AH85, Control!$B$228=$AH85), 1, 0), 0)</f>
        <v>0</v>
      </c>
      <c r="NE85" s="54">
        <f ca="1">IF($ND85=0,0, VLOOKUP($AH85,Control!$B$218:$C$228,2))</f>
        <v>0</v>
      </c>
      <c r="NF85" s="168" t="e">
        <f ca="1">$CY85*(Control!$C$128-Control!$C$127)</f>
        <v>#N/A</v>
      </c>
      <c r="NG85" s="54" t="e">
        <f ca="1">IF(Control!$C$58=2, $NI84-$NJ84, 0)</f>
        <v>#DIV/0!</v>
      </c>
      <c r="NH85" s="54" t="e">
        <f ca="1">IF(AND(Control!$C$58=1, $MS84&lt;= ($MN84+0.02), $I84&lt;10), 0, IF(Control!$C$58=2, $NG84, 0))</f>
        <v>#DIV/0!</v>
      </c>
      <c r="NI85" s="54" t="e">
        <f ca="1">IF(Control!$C$58=2, $NE85+$NH85,0)</f>
        <v>#DIV/0!</v>
      </c>
      <c r="NJ85" s="54" t="e">
        <f ca="1">IF(AND(Control!$C$58=1, $MS85&lt;= ($MN85+0.02), $I85&lt;10), MAX(0, MIN(10, 0.7*($NF85-$MV85))), IF(Control!$C$58=2, MIN(10,$NI85),0))</f>
        <v>#DIV/0!</v>
      </c>
      <c r="NK85" s="54" t="e">
        <f t="shared" ca="1" si="338"/>
        <v>#DIV/0!</v>
      </c>
      <c r="NL85" s="173" t="e">
        <f ca="1">(1-Control!$C$73)*$I85+$NJ85</f>
        <v>#DIV/0!</v>
      </c>
      <c r="NM85" s="172" t="e">
        <f ca="1">IF($NL85&lt;0.5, $MB85* MAX(0, MIN(1, (SQRT($NC85)-SQRT($NC85-1))*Control!$C$71)),0)</f>
        <v>#DIV/0!</v>
      </c>
      <c r="NN85" s="170" t="e">
        <f ca="1">IF($NL85&gt;=5, $MB85, MAX(0,MIN($MB85, $NM85+$NL85,($MS85-Control!$C$129))))</f>
        <v>#DIV/0!</v>
      </c>
      <c r="NO85" s="54">
        <f>IF(Control!$C$133&lt;&gt;1, Control!$C$135-Control!$C$131, 0)</f>
        <v>0.38</v>
      </c>
      <c r="NP85" s="54" t="e">
        <f t="shared" ca="1" si="339"/>
        <v>#DIV/0!</v>
      </c>
      <c r="NQ85" s="173" t="e">
        <f ca="1">MAX(0,MIN(1,(Control!$C$135-$MS85)/(Control!$C$135-$NO85)))</f>
        <v>#DIV/0!</v>
      </c>
      <c r="NR85" s="170" t="e">
        <f ca="1">IF(Control!$C$133&lt;&gt;1, $NQ85+((1-$NP85/4)*(1-$NQ85)),1)</f>
        <v>#DIV/0!</v>
      </c>
      <c r="NS85" s="170" t="e">
        <f ca="1">IF(Control!$B$31=0,$MJ85,MAX(0,MIN($MV85,$MO85*$NR85*$MJ85)))</f>
        <v>#DIV/0!</v>
      </c>
      <c r="NT85" s="170" t="e">
        <f t="shared" ca="1" si="455"/>
        <v>#DIV/0!</v>
      </c>
      <c r="NU85" s="170" t="e">
        <f t="shared" ca="1" si="431"/>
        <v>#N/A</v>
      </c>
      <c r="NV85" s="170" t="e">
        <f t="shared" ca="1" si="340"/>
        <v>#N/A</v>
      </c>
      <c r="NW85" s="175" t="e">
        <f t="shared" ca="1" si="341"/>
        <v>#DIV/0!</v>
      </c>
      <c r="NX85" s="170" t="e">
        <f ca="1">MIN(Control!$C$72+$MU85, $NW85)</f>
        <v>#DIV/0!</v>
      </c>
      <c r="NY85" s="170" t="e">
        <f ca="1">IF($MT85&lt;=$NX85,MIN(Control!$C$72+$NB85,$NX85-$MT85),0)</f>
        <v>#DIV/0!</v>
      </c>
      <c r="NZ85" s="54" t="e">
        <f ca="1">IF(Control!$C$114=1,  $CX85*($MX85-Control!$C$127), 0)</f>
        <v>#DIV/0!</v>
      </c>
      <c r="OA85" s="170" t="e">
        <f t="shared" ca="1" si="342"/>
        <v>#DIV/0!</v>
      </c>
      <c r="OB85" s="170" t="e">
        <f ca="1">IF($NA85 &lt;=$NY85, MIN(Control!$C$72, $NY85-$NA85), 0)</f>
        <v>#DIV/0!</v>
      </c>
      <c r="OC85" s="168" t="e">
        <f t="shared" ca="1" si="343"/>
        <v>#DIV/0!</v>
      </c>
      <c r="OD85" s="168" t="e">
        <f t="shared" ca="1" si="432"/>
        <v>#DIV/0!</v>
      </c>
      <c r="OE85" s="170">
        <f ca="1">Control!$C$73*$I85</f>
        <v>0</v>
      </c>
      <c r="OF85" s="176" t="e">
        <f t="shared" ca="1" si="344"/>
        <v>#DIV/0!</v>
      </c>
      <c r="OG85" s="168" t="e">
        <f t="shared" ca="1" si="345"/>
        <v>#DIV/0!</v>
      </c>
      <c r="OH85" s="168" t="e">
        <f t="shared" ca="1" si="346"/>
        <v>#DIV/0!</v>
      </c>
      <c r="OI85" s="168" t="e">
        <f t="shared" ca="1" si="347"/>
        <v>#DIV/0!</v>
      </c>
      <c r="OJ85" s="168" t="e">
        <f t="shared" ca="1" si="348"/>
        <v>#DIV/0!</v>
      </c>
      <c r="OK85" s="204" t="e">
        <f t="shared" ca="1" si="349"/>
        <v>#DIV/0!</v>
      </c>
      <c r="OL85" s="177">
        <f>Control!$C$127</f>
        <v>0.15</v>
      </c>
      <c r="OM85" s="182" t="e">
        <f t="shared" ca="1" si="350"/>
        <v>#N/A</v>
      </c>
      <c r="ON85" s="177">
        <f>Control!$C$128</f>
        <v>0.35</v>
      </c>
      <c r="OO85" s="182" t="e">
        <f t="shared" ca="1" si="351"/>
        <v>#N/A</v>
      </c>
      <c r="OP85" s="138">
        <f t="shared" ca="1" si="433"/>
        <v>0</v>
      </c>
      <c r="OQ85" s="138" t="e">
        <f t="shared" ca="1" si="456"/>
        <v>#DIV/0!</v>
      </c>
      <c r="OR85" s="138" t="e">
        <f t="shared" ca="1" si="434"/>
        <v>#DIV/0!</v>
      </c>
      <c r="OS85" s="137" t="e">
        <f t="shared" ca="1" si="457"/>
        <v>#DIV/0!</v>
      </c>
      <c r="OT85" s="139" t="e">
        <f t="shared" ca="1" si="458"/>
        <v>#DIV/0!</v>
      </c>
      <c r="OU85" s="138" t="e">
        <f t="shared" ca="1" si="459"/>
        <v>#N/A</v>
      </c>
      <c r="OV85" s="138" t="e">
        <f t="shared" ca="1" si="460"/>
        <v>#DIV/0!</v>
      </c>
      <c r="OW85" s="138" t="e">
        <f t="shared" ca="1" si="435"/>
        <v>#DIV/0!</v>
      </c>
      <c r="OX85" s="138" t="e">
        <f t="shared" ca="1" si="436"/>
        <v>#DIV/0!</v>
      </c>
      <c r="OY85" s="138" t="e">
        <f t="shared" ca="1" si="437"/>
        <v>#DIV/0!</v>
      </c>
      <c r="OZ85" s="138" t="e">
        <f t="shared" ca="1" si="352"/>
        <v>#DIV/0!</v>
      </c>
      <c r="PA85" s="138" t="e">
        <f t="shared" ca="1" si="353"/>
        <v>#DIV/0!</v>
      </c>
      <c r="PB85" s="55">
        <f>IF(Control!$C$61="T", IF(Control!$C$65="F", IF($AH$6-Control!$C$60&lt;0,0,1), IF(365+$AH$6-Control!$C$60&lt;0,0,1)),0)</f>
        <v>0</v>
      </c>
      <c r="PC85" s="55">
        <f ca="1">IF(Control!$C$65="F", IF($AH$6-$HF85&lt;0,0,1), IF(365+$AH$6-$HF85&lt;0,0,1))</f>
        <v>1</v>
      </c>
      <c r="PD85" s="444">
        <f>Control!$C$118</f>
        <v>1500</v>
      </c>
      <c r="PE85" s="180" t="e">
        <f t="shared" ca="1" si="354"/>
        <v>#N/A</v>
      </c>
      <c r="PF85" s="445">
        <f t="shared" ca="1" si="438"/>
        <v>0.71612369323045078</v>
      </c>
      <c r="PT85" s="186"/>
      <c r="PU85" s="186"/>
      <c r="PV85" s="94"/>
      <c r="PW85" s="94"/>
      <c r="PX85" s="94"/>
      <c r="PY85" s="94"/>
      <c r="PZ85" s="94"/>
      <c r="QA85" s="94"/>
      <c r="QB85" s="94"/>
      <c r="QC85" s="94"/>
      <c r="QD85" s="94"/>
      <c r="QE85" s="94"/>
      <c r="QF85" s="94"/>
      <c r="QG85" s="94"/>
      <c r="QH85" s="94"/>
      <c r="QI85" s="94"/>
      <c r="QJ85" s="94"/>
      <c r="QK85" s="94"/>
      <c r="QL85" s="94"/>
      <c r="QM85" s="94"/>
      <c r="QN85" s="94"/>
      <c r="QO85" s="94"/>
      <c r="QP85" s="94"/>
    </row>
    <row r="86" spans="1:458" s="2" customFormat="1" x14ac:dyDescent="0.2">
      <c r="A86" s="395">
        <v>22</v>
      </c>
      <c r="B86" s="396">
        <v>3</v>
      </c>
      <c r="C86" s="387">
        <f ca="1">Weather_data!$B85</f>
        <v>0</v>
      </c>
      <c r="D86" s="388">
        <f ca="1">Weather_data!$F85</f>
        <v>0</v>
      </c>
      <c r="E86" s="388">
        <f ca="1">Weather_data!$E85</f>
        <v>0</v>
      </c>
      <c r="F86" s="388">
        <f t="shared" ca="1" si="355"/>
        <v>0</v>
      </c>
      <c r="G86" s="388">
        <f ca="1">AVERAGE($D86:$E86)+Control!$B$9</f>
        <v>0</v>
      </c>
      <c r="H86" s="388">
        <f ca="1">Weather_data!$G85</f>
        <v>0</v>
      </c>
      <c r="I86" s="388">
        <f ca="1">Weather_data!$I85</f>
        <v>0</v>
      </c>
      <c r="J86" s="388">
        <f ca="1">Weather_data!$H85</f>
        <v>0</v>
      </c>
      <c r="K86" s="389">
        <f ca="1">Weather_data!$D85</f>
        <v>0</v>
      </c>
      <c r="L86" s="388" t="e">
        <f t="shared" ca="1" si="356"/>
        <v>#N/A</v>
      </c>
      <c r="M86" s="388" t="e">
        <f t="shared" ca="1" si="234"/>
        <v>#N/A</v>
      </c>
      <c r="N86" s="388">
        <f t="shared" ca="1" si="235"/>
        <v>-1.0923725026419604E-4</v>
      </c>
      <c r="O86" s="388">
        <f t="shared" ca="1" si="357"/>
        <v>1.0923725026419605E-3</v>
      </c>
      <c r="P86" s="390">
        <v>3</v>
      </c>
      <c r="Q86" s="388">
        <f ca="1">MAX($G86-Control!$C$107,0)</f>
        <v>0</v>
      </c>
      <c r="R86" s="388">
        <f t="shared" ca="1" si="358"/>
        <v>0</v>
      </c>
      <c r="S86" s="388">
        <f t="shared" ca="1" si="236"/>
        <v>0</v>
      </c>
      <c r="T86" s="388">
        <f t="shared" ca="1" si="237"/>
        <v>0</v>
      </c>
      <c r="U86" s="59">
        <f t="shared" ca="1" si="238"/>
        <v>0</v>
      </c>
      <c r="V86" s="391">
        <f ca="1">MAX(0,MIN(Control!$C$100-Control!$C$99,$G86-Control!$C$99)*Control!$C$63)</f>
        <v>0</v>
      </c>
      <c r="W86" s="388">
        <f t="shared" ca="1" si="359"/>
        <v>0</v>
      </c>
      <c r="X86" s="388">
        <f t="shared" ca="1" si="360"/>
        <v>0.6110000000000001</v>
      </c>
      <c r="Y86" s="388">
        <f t="shared" ca="1" si="239"/>
        <v>0</v>
      </c>
      <c r="Z86" s="388">
        <f t="shared" ca="1" si="361"/>
        <v>0.61058800000000002</v>
      </c>
      <c r="AA86" s="388">
        <f t="shared" ca="1" si="240"/>
        <v>0.6018</v>
      </c>
      <c r="AB86" s="388">
        <f ca="1">101.3*EXP(-0.034*Control!$C$66/($G86+273))</f>
        <v>100.69623283836242</v>
      </c>
      <c r="AC86" s="392">
        <f t="shared" ca="1" si="241"/>
        <v>4.3460251046025113E-2</v>
      </c>
      <c r="AD86" s="392">
        <f t="shared" ca="1" si="242"/>
        <v>4.4450382862832649E-2</v>
      </c>
      <c r="AE86" s="388">
        <f t="shared" ca="1" si="243"/>
        <v>0</v>
      </c>
      <c r="AF86" s="388">
        <f ca="1">MAX(0,$G86-Control!$C$92)</f>
        <v>0</v>
      </c>
      <c r="AG86" s="393">
        <f t="shared" ca="1" si="244"/>
        <v>82</v>
      </c>
      <c r="AH86" s="389">
        <f t="shared" ca="1" si="245"/>
        <v>82</v>
      </c>
      <c r="AI86" s="388">
        <f t="shared" ca="1" si="362"/>
        <v>5.1391422515374803E-3</v>
      </c>
      <c r="AJ86" s="388">
        <f ca="1">IF(Control!$C$60&lt;=0,$HH86,$HI86)</f>
        <v>1</v>
      </c>
      <c r="AK86" s="388">
        <f t="shared" ca="1" si="246"/>
        <v>3.4428412642079922E-2</v>
      </c>
      <c r="AL86" s="388">
        <f t="shared" ca="1" si="247"/>
        <v>-3.9672813645363904E-18</v>
      </c>
      <c r="AM86" s="388">
        <f t="shared" ca="1" si="248"/>
        <v>3.4428412642079916E-2</v>
      </c>
      <c r="AN86" s="388">
        <f t="shared" ca="1" si="249"/>
        <v>1.3693345034117605E-2</v>
      </c>
      <c r="AO86" s="388">
        <f ca="1">-0.10453/COS(Control!$B$8*PI()/180)*COS(AN86)</f>
        <v>-0.16976894649449589</v>
      </c>
      <c r="AP86" s="388">
        <f ca="1">ACOS(AO86-TAN(Control!$B$8*PI()/180)*TAN(AN86))</f>
        <v>1.7592057712220301</v>
      </c>
      <c r="AQ86" s="388">
        <f t="shared" ca="1" si="363"/>
        <v>0</v>
      </c>
      <c r="AR86" s="394">
        <f t="shared" ca="1" si="250"/>
        <v>0</v>
      </c>
      <c r="AS86" s="436">
        <f ca="1">IF(Control!$B$18=2,(IF(OR($AH86=Control!$B$175,$AH86=Control!$B$176,$AH86=Control!$B$177,$AH86=Control!$B$178,$AH86=Control!$B$179,$AH86=Control!$B$180,$AH86=Control!$B$181,$AH86=Control!$B$182,$AH86=Control!$B$183,$AH86=Control!$B$184,$AH86=Control!$B$185),1,0)),0)</f>
        <v>0</v>
      </c>
      <c r="AT86" s="436">
        <f>IF(Control!$B$20=8,IF(AND($AH86&gt;=Control!$B$172,$AH86&lt;=Control!$B$173),1,0),0)</f>
        <v>0</v>
      </c>
      <c r="AU86" s="436">
        <f>IF(Control!$B$20=8,IF($AV85=1,1*$AT86,IF($AT86=1,$AU85+1,$AU85)),0)</f>
        <v>0</v>
      </c>
      <c r="AV86" s="436">
        <f>IF(Control!$B$20=8,IF($AU86&gt;=Control!$B$174,1,0),0)</f>
        <v>0</v>
      </c>
      <c r="AW86" s="436">
        <f ca="1">IF(AND(Control!$B$18=2,Control!$B$171=1), $AV86, $AS86)</f>
        <v>0</v>
      </c>
      <c r="AX86" s="436" t="e">
        <f ca="1">IF(AND(Control!$B$18=1,$EU86&gt;=Control!$B$19),-$AY86,IF(AND(Control!$B$18=2,$AW86=1,$EU86&gt;$DS86),-$AY86, IF(Control!$C$108=0,0, IF(Control!$C$108&lt;&gt;0,1))))</f>
        <v>#N/A</v>
      </c>
      <c r="AY86" s="436" t="e">
        <f t="shared" ca="1" si="364"/>
        <v>#N/A</v>
      </c>
      <c r="AZ86" s="436" t="e">
        <f ca="1">IF(AND(Control!$B$18=1,$EB86&gt;Control!$B$19),$AZ85+1, IF(AND(Control!$B$18=2, $AW86=1, $EB86&gt;$DS86), $AZ85+1,$AZ85))</f>
        <v>#N/A</v>
      </c>
      <c r="BA86" s="587">
        <f>IF(Control!$C$81=0,1,IF($AH86&gt;=Control!$C$82,1,0))</f>
        <v>1</v>
      </c>
      <c r="BB86" s="140" t="e">
        <f ca="1">IF($BA86&gt;$BA85,Control!$C$83,IF($AW86&gt;0,$AW86*Control!$C$84,IF(AND(Control!$B$18=1,EN85&lt;&gt;0),Control!$C$84,0)))</f>
        <v>#N/A</v>
      </c>
      <c r="BC86" s="140" t="e">
        <f t="shared" ca="1" si="365"/>
        <v>#N/A</v>
      </c>
      <c r="BD86" s="140" t="e">
        <f ca="1">BC86*IF(OR($G86&lt;Control!$C$92,$G86&gt;Control!$C$95),0,IF(AND($G86&gt;=Control!$C$92,$G86&lt;=Control!$C$93),$G86-Control!$C$92,IF(AND($G86&gt;Control!$C$93,$G86&lt;=Control!$C$94),Control!$C$93-Control!$C$92,IF(AND($G86&gt;Control!$C$94,$G86&lt;=Control!$C$95),(Control!$C$93-Control!$C$92)*(Control!$C$94-$G86)/(Control!$C$95-Control!$C$94)))))</f>
        <v>#N/A</v>
      </c>
      <c r="BE86" s="140" t="e">
        <f t="shared" ca="1" si="366"/>
        <v>#N/A</v>
      </c>
      <c r="BF86" s="140" t="e">
        <f ca="1">IF($BE86&lt;=Control!$C$86,$BE86,Control!$C$86-$BE86)</f>
        <v>#N/A</v>
      </c>
      <c r="BG86" s="140" t="e">
        <f ca="1">IF(AND($AW86=1,Control!$C$84&lt;9),1,IF($BE86&gt;=Control!$C$86,0,$BC86))</f>
        <v>#N/A</v>
      </c>
      <c r="BH86" s="404" t="e">
        <f ca="1">IF($BG86=0,0,IF($BE86&lt;=Control!$C$86,$BC86*9*($BF86/Control!$C$86),0))</f>
        <v>#N/A</v>
      </c>
      <c r="BI86" s="140" t="e">
        <f ca="1">IF($BG86=1,0,IF($BE86&gt;=Control!$C$86,1,IF(AND($BB86&lt;21,$BB86&gt;=9),1,$BM85)))</f>
        <v>#N/A</v>
      </c>
      <c r="BJ86" s="140" t="e">
        <f ca="1">IF($BF86&lt;0,-$BF86,$BI86*IF(OR($G86&lt;Control!$C$92,$G86&gt;Control!$C$95),0,IF(AND($G86&gt;=Control!$C$92,$G86&lt;=Control!$C$93),$G86-Control!$C$92,IF(AND($G86&gt;Control!$C$93,$G86&lt;=Control!$C$94),Control!$C$93-Control!$C$92,IF(AND($G86&gt;Control!$C$94,$G86&lt;=Control!$C$95),(Control!$C$93-Control!$C$92)*(Control!$C$94-$G86)/(Control!$C$95-Control!$C$94))))))</f>
        <v>#N/A</v>
      </c>
      <c r="BK86" s="140" t="e">
        <f t="shared" ca="1" si="367"/>
        <v>#N/A</v>
      </c>
      <c r="BL86" s="140" t="e">
        <f ca="1">IF($BK86&lt;=Control!$C$87,$BK86,Control!$C$87-$BK86)</f>
        <v>#N/A</v>
      </c>
      <c r="BM86" s="140" t="e">
        <f ca="1">IF(AND($BB86&gt;=9,$BB86&lt;21),1,IF($BK86&gt;=Control!$C$87,0,$BI86))</f>
        <v>#N/A</v>
      </c>
      <c r="BN86" s="404" t="e">
        <f ca="1">IF($BM86=0,0,IF($BK86&lt;=Control!$C$87,$BI86*(9+(21-9)*($BL86/Control!$C$87)),0))</f>
        <v>#N/A</v>
      </c>
      <c r="BO86" s="140" t="e">
        <f ca="1">IF($BM86=1,0,IF($BK86&gt;=Control!$C$87,1,IF(AND($BB86&lt;30,$BB86&gt;=21),1,$BS85)))</f>
        <v>#N/A</v>
      </c>
      <c r="BP86" s="140" t="e">
        <f ca="1">IF($BL86&lt;0,-$BL86,$BO86*IF(OR($G86&lt;Control!$C$92,$G86&gt;Control!$C$95),0,IF(AND($G86&gt;=Control!$C$92,$G86&lt;=Control!$C$93),$G86-Control!$C$92,IF(AND($G86&gt;Control!$C$93,$G86&lt;=Control!$C$94),Control!$C$93-Control!$C$92,IF(AND($G86&gt;Control!$C$94,$G86&lt;=Control!$C$95),(Control!$C$93-Control!$C$92)*(Control!$C$94-$G86)/(Control!$C$95-Control!$C$94))))))</f>
        <v>#N/A</v>
      </c>
      <c r="BQ86" s="140" t="e">
        <f t="shared" ca="1" si="251"/>
        <v>#N/A</v>
      </c>
      <c r="BR86" s="140" t="e">
        <f ca="1">IF($BQ86&lt;=Control!$C$88,$BQ86,Control!$C$88-$BQ86)</f>
        <v>#N/A</v>
      </c>
      <c r="BS86" s="140" t="e">
        <f ca="1">IF(AND($BB86&gt;=21,$BB86&lt;30),1,IF($BQ86&gt;=Control!$C$88,0,$BO86))</f>
        <v>#N/A</v>
      </c>
      <c r="BT86" s="404" t="e">
        <f ca="1">IF($BS86=0,0,IF($BQ86&lt;=Control!$C$88,$BO86*(21+(30-21)*(BR86/Control!$C$88)),0))</f>
        <v>#N/A</v>
      </c>
      <c r="BU86" s="140" t="e">
        <f ca="1">IF(BG86+BM86+BS86=1,0,IF(OR(AND($BB86&lt;60,$BB86&gt;=30),$BQ86&gt;=Control!$C$88),1*$BA86,$BY85))</f>
        <v>#N/A</v>
      </c>
      <c r="BV86" s="140" t="e">
        <f ca="1">IF($BR86&lt;0,-$BR86,$BU86*IF(OR($G86&lt;Control!$C$92,$G86&gt;Control!$C$95),0,IF(AND($G86&gt;=Control!$C$92,$G86&lt;=Control!$C$93),$G86-Control!$C$92,IF(AND($G86&gt;Control!$C$93,$G86&lt;=Control!$C$94),Control!$C$93-Control!$C$92,IF(AND($G86&gt;Control!$C$94,$G86&lt;=Control!$C$95),(Control!$C$93-Control!$C$92)*(Control!$C$94-$G86)/(Control!$C$95-Control!$C$94))))))</f>
        <v>#N/A</v>
      </c>
      <c r="BW86" s="140" t="e">
        <f t="shared" ca="1" si="252"/>
        <v>#N/A</v>
      </c>
      <c r="BX86" s="140" t="e">
        <f ca="1">IF($BW86&lt;=Control!$C$89,$BW86,Control!$C$89-$BW86)</f>
        <v>#N/A</v>
      </c>
      <c r="BY86" s="140" t="e">
        <f ca="1">IF(AND($AJ86&gt;=30,$AJ86&lt;60),1,IF($BW86&gt;=Control!$C$89,0,$BU86))</f>
        <v>#N/A</v>
      </c>
      <c r="BZ86" s="404" t="e">
        <f ca="1">IF($BY86=0,0,IF($BW86&lt;=Control!$C$89,$BU86*(30+(60-30)*(BX86/Control!$C$89)),0))</f>
        <v>#N/A</v>
      </c>
      <c r="CA86" s="140" t="e">
        <f ca="1">IF($BG86+$BM86+$BS86+$BY86=1,0,IF(OR(AND($BB86&lt;65,$BB86&gt;=60),$BW86&gt;=Control!$C$89),1*$BA86,$CE85))</f>
        <v>#N/A</v>
      </c>
      <c r="CB86" s="140" t="e">
        <f ca="1">IF($BX86&lt;0,-$BX86,$CA86*IF(OR($G86&lt;Control!$C$92,$G86&gt;Control!$C$95),0,IF(AND($G86&gt;=Control!$C$92,$G86&lt;=Control!$C$93),$G86-Control!$C$92,IF(AND($G86&gt;Control!$C$93,$G86&lt;=Control!$C$94),Control!$C$93-Control!$C$92,IF(AND($G86&gt;Control!$C$94,$G86&lt;=Control!$C$95),(Control!$C$93-Control!$C$92)*(Control!$C$94-$G86)/(Control!$C$95-Control!$C$94))))))</f>
        <v>#N/A</v>
      </c>
      <c r="CC86" s="140" t="e">
        <f t="shared" ca="1" si="368"/>
        <v>#N/A</v>
      </c>
      <c r="CD86" s="140" t="e">
        <f ca="1">IF($CC86&lt;=Control!$C$90,$CC86,Control!$C$90-$CC86)</f>
        <v>#N/A</v>
      </c>
      <c r="CE86" s="140" t="e">
        <f ca="1">IF(AND($BB86&gt;=60,$BB86&lt;65),1,IF($CC86&gt;=Control!$C$90,0,$CA86))</f>
        <v>#N/A</v>
      </c>
      <c r="CF86" s="404" t="e">
        <f ca="1">IF($CE86=0,0,IF($CC86&lt;=Control!$C$90,$CA86*(60+(65-60)*(CD86/Control!$C$90)),0))</f>
        <v>#N/A</v>
      </c>
      <c r="CG86" s="140" t="e">
        <f ca="1">IF($BG86+$BM86+$BS86+$BY86+$CE86=1,0,IF(OR(AND($BB86&lt;90,$BB86&gt;=65),$CC86&gt;=Control!$C$90),$BA86,$CK85))</f>
        <v>#N/A</v>
      </c>
      <c r="CH86" s="140" t="e">
        <f ca="1">IF($CD86&lt;0,-$CD86,$CG86*IF(OR($G86&lt;Control!$C$92,$G86&gt;Control!$C$95),0,IF(AND($G86&gt;=Control!$C$92,$G86&lt;=Control!$C$93),$G86-Control!$C$92,IF(AND($G86&gt;Control!$C$93,$G86&lt;=Control!$C$94),Control!$C$93-Control!$C$92,IF(AND($G86&gt;Control!$C$94,$G86&lt;=Control!$C$95),(Control!$C$93-Control!$C$92)*(Control!$C$94-$G86)/(Control!$C$95-Control!$C$94))))))</f>
        <v>#N/A</v>
      </c>
      <c r="CI86" s="140" t="e">
        <f t="shared" ca="1" si="369"/>
        <v>#N/A</v>
      </c>
      <c r="CJ86" s="140" t="e">
        <f ca="1">IF($CI86&lt;=Control!$C$91,$CI86,Control!$C$91-$CI86)</f>
        <v>#N/A</v>
      </c>
      <c r="CK86" s="140" t="e">
        <f ca="1">IF(AND($BB86&gt;=65,$BB86&lt;90),1,IF($CI86&gt;=Control!$C$91,0,$CG86))</f>
        <v>#N/A</v>
      </c>
      <c r="CL86" s="404" t="e">
        <f ca="1">IF($CK86=0,0,IF($CI86&lt;=Control!$C$91,$CG86*(65+(90-65)*($CJ86/Control!$C$91)),0))</f>
        <v>#N/A</v>
      </c>
      <c r="CM86" s="140" t="e">
        <f ca="1">IF($BG86+$BM86+$BS86+$BY86+$CE86+$CK86=1,0,IF(OR($BB86&gt;=90,$CI86&gt;=Control!$C$91),$BA86,$CM85))</f>
        <v>#N/A</v>
      </c>
      <c r="CN86" s="140" t="e">
        <f t="shared" ca="1" si="370"/>
        <v>#N/A</v>
      </c>
      <c r="CO86" s="140" t="e">
        <f t="shared" ca="1" si="371"/>
        <v>#N/A</v>
      </c>
      <c r="CP86" s="140" t="e">
        <f t="shared" ca="1" si="372"/>
        <v>#N/A</v>
      </c>
      <c r="CQ86" s="141" t="e">
        <f ca="1">VLOOKUP($CP86,Control!$B$86:$G$91,6)</f>
        <v>#N/A</v>
      </c>
      <c r="CR86" s="141" t="e">
        <f ca="1">(1-$CQ86)*VLOOKUP($CP86,Control!$B$86:$D$91,3)</f>
        <v>#N/A</v>
      </c>
      <c r="CS86" s="141" t="e">
        <f ca="1">(1-$CQ86)*VLOOKUP($CP86,Control!$B$86:$E$91,4)</f>
        <v>#N/A</v>
      </c>
      <c r="CT86" s="141" t="e">
        <f ca="1">(1-$CQ86)*VLOOKUP($CP86,Control!$B$86:$F$91,5)</f>
        <v>#N/A</v>
      </c>
      <c r="CU86" s="141">
        <f t="shared" ca="1" si="373"/>
        <v>0</v>
      </c>
      <c r="CV86" s="583">
        <f t="shared" ca="1" si="374"/>
        <v>0</v>
      </c>
      <c r="CW86" s="142">
        <f t="shared" ca="1" si="375"/>
        <v>82</v>
      </c>
      <c r="CX86" s="612" t="e">
        <f ca="1">IF(Control!$C$114=1,(MIN(Control!$C$120*(IF($NT86-0.01&lt;0,0,1)),Control!$C$119-$CY86)))</f>
        <v>#DIV/0!</v>
      </c>
      <c r="CY86" s="143" t="e">
        <f t="shared" ca="1" si="376"/>
        <v>#N/A</v>
      </c>
      <c r="CZ86" s="144">
        <f t="shared" ca="1" si="253"/>
        <v>0</v>
      </c>
      <c r="DA86" s="144">
        <f t="shared" ca="1" si="254"/>
        <v>0</v>
      </c>
      <c r="DB86" s="144" t="e">
        <f t="shared" ca="1" si="255"/>
        <v>#N/A</v>
      </c>
      <c r="DC86" s="144" t="e">
        <f t="shared" ca="1" si="256"/>
        <v>#N/A</v>
      </c>
      <c r="DD86" s="144" t="e">
        <f t="shared" ca="1" si="461"/>
        <v>#N/A</v>
      </c>
      <c r="DE86" s="143" t="e">
        <f t="shared" ca="1" si="377"/>
        <v>#N/A</v>
      </c>
      <c r="DF86" s="145" t="e">
        <f ca="1">$DR86*EXP(-Control!$C$158*(1-$KH86))</f>
        <v>#N/A</v>
      </c>
      <c r="DG86" s="146" t="e">
        <f ca="1">IF(Control!$C$114=1, $DF86*$EY86, 0)</f>
        <v>#N/A</v>
      </c>
      <c r="DH86" s="147" t="e">
        <f t="shared" ca="1" si="378"/>
        <v>#N/A</v>
      </c>
      <c r="DI86" s="144" t="e">
        <f t="shared" ca="1" si="439"/>
        <v>#N/A</v>
      </c>
      <c r="DJ86" s="147" t="e">
        <f ca="1">$EF86*Control!$C$109</f>
        <v>#N/A</v>
      </c>
      <c r="DK86" s="144" t="e">
        <f t="shared" ca="1" si="379"/>
        <v>#N/A</v>
      </c>
      <c r="DL86" s="144" t="e">
        <f t="shared" ca="1" si="257"/>
        <v>#N/A</v>
      </c>
      <c r="DM86" s="144" t="e">
        <f ca="1">IF(Control!$C$114=1, (1-EXP(-Control!$C$96*$DK86))*$AR86, 0)</f>
        <v>#N/A</v>
      </c>
      <c r="DN86" s="144">
        <f t="shared" ca="1" si="380"/>
        <v>0</v>
      </c>
      <c r="DO86" s="148">
        <f>Control!$C$97</f>
        <v>4</v>
      </c>
      <c r="DP86" s="145" t="e">
        <f t="shared" ca="1" si="381"/>
        <v>#N/A</v>
      </c>
      <c r="DQ86" s="145" t="e">
        <f ca="1">IF(AND($CP86&gt;=0,$CP86&lt;=90),Control!$C$111,Control!$C$111)</f>
        <v>#N/A</v>
      </c>
      <c r="DR86" s="145" t="e">
        <f t="shared" ca="1" si="258"/>
        <v>#N/A</v>
      </c>
      <c r="DS86" s="143" t="e">
        <f ca="1">Control!$B$22/$DR86</f>
        <v>#N/A</v>
      </c>
      <c r="DT86" s="149" t="e">
        <f ca="1">IF(AND(Control!$C$114=1,$KH86&lt;1),$IM86*$DF86, 0)</f>
        <v>#N/A</v>
      </c>
      <c r="DU86" s="144" t="e">
        <f t="shared" ca="1" si="382"/>
        <v>#N/A</v>
      </c>
      <c r="DV86" s="144">
        <f ca="1">IF($G86-Control!$C$107&lt;=0, 0, 0.83*LN(MAX($G86, 3))-0.8924)</f>
        <v>0</v>
      </c>
      <c r="DW86" s="144" t="e">
        <f t="shared" ca="1" si="259"/>
        <v>#N/A</v>
      </c>
      <c r="DX86" s="150" t="e">
        <f ca="1">MAX(0.01*(1+$CU86/Control!$C$102),0.05*($DK86-Control!$C$97)/Control!$C$97)</f>
        <v>#N/A</v>
      </c>
      <c r="DY86" s="151" t="e">
        <f ca="1">IF(Control!$C$114=1, $DI86*$FS86, 0)</f>
        <v>#N/A</v>
      </c>
      <c r="DZ86" s="196" t="e">
        <f t="shared" ca="1" si="383"/>
        <v>#N/A</v>
      </c>
      <c r="EA86" s="152">
        <f t="shared" ca="1" si="384"/>
        <v>82</v>
      </c>
      <c r="EB86" s="153" t="e">
        <f t="shared" ca="1" si="385"/>
        <v>#N/A</v>
      </c>
      <c r="EC86" s="153" t="e">
        <f t="shared" ca="1" si="386"/>
        <v>#N/A</v>
      </c>
      <c r="ED86" s="154" t="e">
        <f ca="1">IF(Control!$C$114=1, $HM86*$FY86-$FD86, 0)</f>
        <v>#DIV/0!</v>
      </c>
      <c r="EE86" s="155" t="e">
        <f ca="1">IF(Control!$C$114=1, $HM86*$FZ86-$FF86, 0)</f>
        <v>#DIV/0!</v>
      </c>
      <c r="EF86" s="153" t="e">
        <f t="shared" ca="1" si="440"/>
        <v>#N/A</v>
      </c>
      <c r="EG86" s="155" t="e">
        <f ca="1">IF(Control!$C$114=1, $GX86*$FW86-$FI86, 0)</f>
        <v>#DIV/0!</v>
      </c>
      <c r="EH86" s="153" t="e">
        <f t="shared" ca="1" si="387"/>
        <v>#N/A</v>
      </c>
      <c r="EI86" s="156" t="e">
        <f t="shared" ca="1" si="388"/>
        <v>#N/A</v>
      </c>
      <c r="EJ86" s="155" t="e">
        <f ca="1">IF(Control!$C$114=1, $HM86*$GB86, 0)</f>
        <v>#DIV/0!</v>
      </c>
      <c r="EK86" s="153" t="e">
        <f t="shared" ca="1" si="441"/>
        <v>#N/A</v>
      </c>
      <c r="EL86" s="153" t="e">
        <f t="shared" ca="1" si="260"/>
        <v>#N/A</v>
      </c>
      <c r="EM86" s="153" t="e">
        <f t="shared" ca="1" si="261"/>
        <v>#N/A</v>
      </c>
      <c r="EN86" s="153" t="e">
        <f ca="1">IF(Control!$C$108=1,IF(AND(Control!$B$18=1,$EB86&gt;=Control!$B$19),$EB86-$DS86,IF(AND(Control!$B$18=2,$AW86=1,$EB86&gt;$DS86),$EB86-$DS86,0)))</f>
        <v>#N/A</v>
      </c>
      <c r="EO86" s="153" t="e">
        <f ca="1">IF(Control!$C$108=1,IF(AND(Control!$B$18=1,$EB86&gt;=Control!$B$19),$EF86,IF(AND(Control!$B$18=2,$AW86=1),$EF86,0)))</f>
        <v>#N/A</v>
      </c>
      <c r="EP86" s="153" t="e">
        <f ca="1">IF(Control!$C$108=1,IF(AND(Control!$B$18=1,$EB86&gt;=Control!$B$19),$EK86,IF(AND(Control!$B$18=2,$AW86=1),$EK86,0)))</f>
        <v>#N/A</v>
      </c>
      <c r="EQ86" s="153" t="e">
        <f t="shared" ca="1" si="389"/>
        <v>#N/A</v>
      </c>
      <c r="ER86" s="153" t="e">
        <f t="shared" ca="1" si="390"/>
        <v>#N/A</v>
      </c>
      <c r="ES86" s="153" t="e">
        <f t="shared" ca="1" si="442"/>
        <v>#N/A</v>
      </c>
      <c r="ET86" s="153" t="e">
        <f t="shared" ca="1" si="443"/>
        <v>#N/A</v>
      </c>
      <c r="EU86" s="153" t="e">
        <f t="shared" ca="1" si="391"/>
        <v>#N/A</v>
      </c>
      <c r="EV86" s="153" t="e">
        <f t="shared" ca="1" si="262"/>
        <v>#N/A</v>
      </c>
      <c r="EW86" s="153" t="e">
        <f t="shared" ca="1" si="263"/>
        <v>#N/A</v>
      </c>
      <c r="EX86" s="153" t="e">
        <f t="shared" ca="1" si="264"/>
        <v>#N/A</v>
      </c>
      <c r="EY86" s="157" t="e">
        <f t="shared" ca="1" si="265"/>
        <v>#DIV/0!</v>
      </c>
      <c r="EZ86" s="154" t="e">
        <f t="shared" ca="1" si="266"/>
        <v>#DIV/0!</v>
      </c>
      <c r="FA86" s="153" t="e">
        <f t="shared" ca="1" si="392"/>
        <v>#N/A</v>
      </c>
      <c r="FB86" s="153" t="e">
        <f t="shared" ca="1" si="267"/>
        <v>#N/A</v>
      </c>
      <c r="FC86" s="193" t="e">
        <f t="shared" ca="1" si="268"/>
        <v>#N/A</v>
      </c>
      <c r="FD86" s="158" t="e">
        <f t="shared" ca="1" si="393"/>
        <v>#N/A</v>
      </c>
      <c r="FE86" s="158" t="e">
        <f t="shared" ca="1" si="394"/>
        <v>#N/A</v>
      </c>
      <c r="FF86" s="159" t="e">
        <f t="shared" ca="1" si="269"/>
        <v>#N/A</v>
      </c>
      <c r="FG86" s="160" t="e">
        <f t="shared" ca="1" si="395"/>
        <v>#N/A</v>
      </c>
      <c r="FH86" s="158" t="e">
        <f t="shared" ca="1" si="396"/>
        <v>#N/A</v>
      </c>
      <c r="FI86" s="159" t="e">
        <f t="shared" ca="1" si="270"/>
        <v>#N/A</v>
      </c>
      <c r="FJ86" s="160" t="e">
        <f t="shared" ca="1" si="397"/>
        <v>#N/A</v>
      </c>
      <c r="FK86" s="160" t="e">
        <f t="shared" ca="1" si="271"/>
        <v>#N/A</v>
      </c>
      <c r="FL86" s="160" t="e">
        <f t="shared" ca="1" si="444"/>
        <v>#N/A</v>
      </c>
      <c r="FM86" s="160" t="e">
        <f t="shared" ca="1" si="272"/>
        <v>#N/A</v>
      </c>
      <c r="FN86" s="158">
        <f t="shared" ca="1" si="398"/>
        <v>0.01</v>
      </c>
      <c r="FO86" s="160">
        <f>Control!$C$101</f>
        <v>50</v>
      </c>
      <c r="FP86" s="150" t="e">
        <f t="shared" ca="1" si="273"/>
        <v>#N/A</v>
      </c>
      <c r="FQ86" s="150" t="e">
        <f ca="1">MAX(0,(Control!$C$112*(($DK86-Control!$C$97)/Control!$C$97)))</f>
        <v>#N/A</v>
      </c>
      <c r="FR86" s="150" t="e">
        <f ca="1">(1-$NT86)*Control!$C$113</f>
        <v>#DIV/0!</v>
      </c>
      <c r="FS86" s="198" t="e">
        <f t="shared" ca="1" si="274"/>
        <v>#N/A</v>
      </c>
      <c r="FT86" s="161">
        <f t="shared" ca="1" si="399"/>
        <v>82</v>
      </c>
      <c r="FU86" s="162" t="e">
        <f ca="1">IF(Control!$B$34=1,VLOOKUP($CP86,Control!$B$86:$G$91,6),Control!$B$35)</f>
        <v>#N/A</v>
      </c>
      <c r="FV86" s="162" t="e">
        <f t="shared" ca="1" si="275"/>
        <v>#DIV/0!</v>
      </c>
      <c r="FW86" s="162" t="e">
        <f ca="1">IF(Control!$B$31=1,$FU86*$FV86,  $FU86)</f>
        <v>#N/A</v>
      </c>
      <c r="FX86" s="162" t="e">
        <f ca="1">IF(Control!$B$34=1,VLOOKUP($CP86,Control!$B$86:$G$91,3),Control!$B$36)</f>
        <v>#N/A</v>
      </c>
      <c r="FY86" s="162" t="e">
        <f t="shared" ca="1" si="276"/>
        <v>#N/A</v>
      </c>
      <c r="FZ86" s="162" t="e">
        <f ca="1">IF(Control!$B$34=1,VLOOKUP($CP86,Control!$B$86:$G$91,4),Control!$B$37)</f>
        <v>#N/A</v>
      </c>
      <c r="GA86" s="162" t="e">
        <f t="shared" ca="1" si="277"/>
        <v>#N/A</v>
      </c>
      <c r="GB86" s="162" t="e">
        <f ca="1">IF(Control!$B$34=1,VLOOKUP($CP86,Control!$B$86:$G$91,5),Control!$B$38)</f>
        <v>#N/A</v>
      </c>
      <c r="GC86" s="162" t="e">
        <f t="shared" ca="1" si="400"/>
        <v>#N/A</v>
      </c>
      <c r="GD86" s="162">
        <f t="shared" ca="1" si="278"/>
        <v>1</v>
      </c>
      <c r="GE86" s="162">
        <f t="shared" ca="1" si="279"/>
        <v>1</v>
      </c>
      <c r="GF86" s="162">
        <f ca="1">IF(AND(Control!$C$104=1, Control!$C$62="F"),$GE86,1)</f>
        <v>1</v>
      </c>
      <c r="GG86" s="162" t="e">
        <f ca="1">IF(Control!$B$16=40,0,IF(AND(Control!$B$16&gt;40,Control!$B$16&lt;=360),(Control!$B$16-40)*((1-0)/(360-40)),IF(AND(Control!$B$16&gt;360,Control!$B$16&lt;=720),(1+(Control!$B$16-360)*((1.25-1)/(720-360))),IF(AND(Control!$B$16&gt;720,Control!$B$16&lt;=1000),(1.25+(Control!$B$16-720)*((1.35-1.25)/(1000-720))),IF(AND(Control!$B$16&gt;1000,Control!$B$16&lt;=2000),(1.35+(Control!$B$16-1000)*0))))))</f>
        <v>#N/A</v>
      </c>
      <c r="GH86" s="162" t="e">
        <f t="shared" ca="1" si="280"/>
        <v>#N/A</v>
      </c>
      <c r="GI86" s="162">
        <f t="shared" ca="1" si="401"/>
        <v>0</v>
      </c>
      <c r="GJ86" s="162">
        <f t="shared" ca="1" si="281"/>
        <v>0</v>
      </c>
      <c r="GK86" s="162">
        <f t="shared" ca="1" si="402"/>
        <v>1</v>
      </c>
      <c r="GL86" s="162">
        <f t="shared" ca="1" si="282"/>
        <v>1</v>
      </c>
      <c r="GM86" s="162" t="e">
        <f ca="1">MAX(0,MIN(1,1-Control!$C$156*(1.0001-$KH86)^2))</f>
        <v>#N/A</v>
      </c>
      <c r="GN86" s="162" t="e">
        <f ca="1">IF(Control!$B$26=1,$KU86,$KX86)</f>
        <v>#N/A</v>
      </c>
      <c r="GO86" s="162" t="e">
        <f ca="1">IF($CP86&lt;=60,Control!$C$105,IF($CP86&gt;=90,Control!$C$106,Control!$C$105+($CP86-60)*((Control!$C$106-Control!$C$105)/(90-60))))</f>
        <v>#N/A</v>
      </c>
      <c r="GP86" s="162" t="e">
        <f t="shared" ca="1" si="283"/>
        <v>#N/A</v>
      </c>
      <c r="GQ86" s="162" t="e">
        <f t="shared" ca="1" si="403"/>
        <v>#N/A</v>
      </c>
      <c r="GR86" s="163" t="e">
        <f t="shared" ca="1" si="284"/>
        <v>#DIV/0!</v>
      </c>
      <c r="GS86" s="162" t="e">
        <f t="shared" ca="1" si="285"/>
        <v>#DIV/0!</v>
      </c>
      <c r="GT86" s="164" t="e">
        <f t="shared" ca="1" si="404"/>
        <v>#N/A</v>
      </c>
      <c r="GU86" s="162" t="e">
        <f t="shared" ca="1" si="405"/>
        <v>#N/A</v>
      </c>
      <c r="GV86" s="162" t="e">
        <f t="shared" ca="1" si="286"/>
        <v>#N/A</v>
      </c>
      <c r="GW86" s="162" t="e">
        <f t="shared" ca="1" si="287"/>
        <v>#DIV/0!</v>
      </c>
      <c r="GX86" s="162" t="e">
        <f t="shared" ca="1" si="406"/>
        <v>#DIV/0!</v>
      </c>
      <c r="GY86" s="162" t="e">
        <f t="shared" ca="1" si="407"/>
        <v>#DIV/0!</v>
      </c>
      <c r="GZ86" s="165" t="e">
        <f t="shared" ca="1" si="288"/>
        <v>#N/A</v>
      </c>
      <c r="HA86" s="162" t="e">
        <f ca="1">IF(Control!$C$114=1, $DI86*$FS86, 0)</f>
        <v>#N/A</v>
      </c>
      <c r="HB86" s="162" t="e">
        <f ca="1">$FA86/Control!$C$64</f>
        <v>#N/A</v>
      </c>
      <c r="HC86" s="162" t="e">
        <f t="shared" ca="1" si="289"/>
        <v>#DIV/0!</v>
      </c>
      <c r="HD86" s="162">
        <f ca="1">-ASIN(SIN(23.45*Control!$C$139)*COS(2*Control!$C$138*($AH86+10)/365))</f>
        <v>5.1391422515374803E-3</v>
      </c>
      <c r="HE86" s="165">
        <f t="shared" ca="1" si="408"/>
        <v>0</v>
      </c>
      <c r="HF86" s="166">
        <f ca="1">IF(AND(Control!$C$61="T",$HE86&gt;=Control!$C$103,Control!$C$114=0),$AH86,Control!$C$59)</f>
        <v>1</v>
      </c>
      <c r="HG86" s="166">
        <f ca="1">IF(AND(Control!$C$61="T",$HE86&gt;=Control!$C$103,Control!$C$114=0),$HF86,Control!$C$59)</f>
        <v>1</v>
      </c>
      <c r="HH86" s="165">
        <f ca="1">IF(AND(OR(Control!$C$60&lt;=0, $AH86= Control!$C$59, Control!$C$60 &gt;0, $AH86 = Control!$C$60)), Control!$C$59, IF(Control!$C$60&gt;0, 0))</f>
        <v>1</v>
      </c>
      <c r="HI86" s="165">
        <f ca="1">IF(AND(OR(Control!$C$60&lt;=0, $AH86= Control!$C$59, Control!$C$60 &gt;0, $AH86 = Control!$C$60)), Control!$C$60, IF(Control!$C$60&lt;=0, 0))</f>
        <v>0</v>
      </c>
      <c r="HJ86" s="166">
        <f ca="1">IF(AND(Control!$C$62="F",$CV86&gt;=Control!$C$102),$AH86,0)</f>
        <v>0</v>
      </c>
      <c r="HK86" s="165" t="e">
        <f t="shared" ca="1" si="445"/>
        <v>#N/A</v>
      </c>
      <c r="HL86" s="166">
        <f ca="1">IF(AND(Control!$C$61="T",$HE86&gt;=Control!$C$103,Control!$C$114=0),$HF86,0)</f>
        <v>0</v>
      </c>
      <c r="HM86" s="201" t="e">
        <f t="shared" ca="1" si="290"/>
        <v>#DIV/0!</v>
      </c>
      <c r="HN86" s="215">
        <f t="shared" ca="1" si="409"/>
        <v>82</v>
      </c>
      <c r="HO86" s="216" t="e">
        <f ca="1">IF(AND($CP86&gt;=0, $CP86&lt;=90), Control!$C$152, Control!$C$152)</f>
        <v>#N/A</v>
      </c>
      <c r="HP86" s="216" t="e">
        <f t="shared" ca="1" si="291"/>
        <v>#N/A</v>
      </c>
      <c r="HQ86" s="217" t="e">
        <f ca="1">IF(OR(Control!$B$26=1,Control!$B$26=2),$KV86,$KS86)</f>
        <v>#DIV/0!</v>
      </c>
      <c r="HR86" s="218" t="e">
        <f t="shared" ca="1" si="446"/>
        <v>#DIV/0!</v>
      </c>
      <c r="HS86" s="216" t="e">
        <f ca="1">Control!$C$154*$HP86</f>
        <v>#N/A</v>
      </c>
      <c r="HT86" s="216" t="e">
        <f ca="1">Control!$C$155*$HP86</f>
        <v>#N/A</v>
      </c>
      <c r="HU86" s="217" t="e">
        <f ca="1">Control!$C$161*$FI86</f>
        <v>#N/A</v>
      </c>
      <c r="HV86" s="218" t="e">
        <f t="shared" ca="1" si="410"/>
        <v>#N/A</v>
      </c>
      <c r="HW86" s="218" t="e">
        <f ca="1">Control!$C$160*$FF86+$IP86*$EO86</f>
        <v>#N/A</v>
      </c>
      <c r="HX86" s="218" t="e">
        <f t="shared" ca="1" si="447"/>
        <v>#N/A</v>
      </c>
      <c r="HY86" s="219" t="e">
        <f ca="1">IF(Control!$C$114=1, $EB86*$FS86, 0)</f>
        <v>#N/A</v>
      </c>
      <c r="HZ86" s="91" t="e">
        <f t="shared" ca="1" si="292"/>
        <v>#N/A</v>
      </c>
      <c r="IA86" s="220" t="e">
        <f ca="1">Control!$C$153*$HO86</f>
        <v>#N/A</v>
      </c>
      <c r="IB86" s="218" t="e">
        <f t="shared" ca="1" si="293"/>
        <v>#N/A</v>
      </c>
      <c r="IC86" s="220" t="e">
        <f ca="1">Control!$C$153*$HT86</f>
        <v>#N/A</v>
      </c>
      <c r="ID86" s="218" t="e">
        <f t="shared" ca="1" si="294"/>
        <v>#N/A</v>
      </c>
      <c r="IE86" s="221" t="e">
        <f ca="1">($EB86*Control!$C$159+$EF86*Control!$C$160)/(IF($GZ86&lt;&gt;0,$GZ86,1))</f>
        <v>#N/A</v>
      </c>
      <c r="IF86" s="216" t="e">
        <f t="shared" ca="1" si="295"/>
        <v>#N/A</v>
      </c>
      <c r="IG86" s="91">
        <f ca="1">IF(OR(Control!$B$198=$AH86,Control!$B$199=$AH86, Control!$B$200=$AH86, Control!$B$201=$AH86, Control!$B$202=$AH86, Control!$B$203=$AH86, Control!$B$204=$AH86, Control!$B$205=$AH86, Control!$B$206=$AH86, Control!$B$207=$AH86), 1, 0)</f>
        <v>0</v>
      </c>
      <c r="IH86" s="91">
        <f ca="1">IF($IG86=0,0, VLOOKUP($AH86,Control!$B$198:$C$207,2))</f>
        <v>0</v>
      </c>
      <c r="II86" s="222">
        <f t="shared" ca="1" si="411"/>
        <v>0</v>
      </c>
      <c r="IJ86" s="91">
        <f>Control!$C$121</f>
        <v>0.7</v>
      </c>
      <c r="IK86" s="218">
        <f t="shared" ca="1" si="296"/>
        <v>0</v>
      </c>
      <c r="IL86" s="217" t="e">
        <f t="shared" ca="1" si="448"/>
        <v>#N/A</v>
      </c>
      <c r="IM86" s="223" t="e">
        <f ca="1">IF(AND(Control!$C$114=1,$KH86&lt;1),$EB86*Control!$C$148*(1-$KH86), 0)</f>
        <v>#N/A</v>
      </c>
      <c r="IN86" s="217" t="e">
        <f t="shared" ca="1" si="297"/>
        <v>#DIV/0!</v>
      </c>
      <c r="IO86" s="91" t="e">
        <f ca="1">MAX(0,$IL86-$EF86*Control!$C$160)</f>
        <v>#N/A</v>
      </c>
      <c r="IP86" s="220" t="e">
        <f t="shared" ca="1" si="298"/>
        <v>#N/A</v>
      </c>
      <c r="IQ86" s="217" t="e">
        <f t="shared" ca="1" si="412"/>
        <v>#N/A</v>
      </c>
      <c r="IR86" s="218" t="e">
        <f t="shared" ca="1" si="299"/>
        <v>#N/A</v>
      </c>
      <c r="IS86" s="217" t="e">
        <f ca="1">Control!$C$159*MAX(0,$FD86-$EN86)</f>
        <v>#N/A</v>
      </c>
      <c r="IT86" s="217" t="e">
        <f t="shared" ca="1" si="449"/>
        <v>#N/A</v>
      </c>
      <c r="IU86" s="217" t="e">
        <f t="shared" ca="1" si="413"/>
        <v>#N/A</v>
      </c>
      <c r="IV86" s="217" t="e">
        <f t="shared" ca="1" si="450"/>
        <v>#N/A</v>
      </c>
      <c r="IW86" s="217" t="e">
        <f ca="1">IF(OR($AW86=1,AND($AW86=0, Control!$B$18=1,$EN86&lt;&gt;0)), $IQ86-$IU86, $IQ86)</f>
        <v>#N/A</v>
      </c>
      <c r="IX86" s="218" t="e">
        <f t="shared" ca="1" si="300"/>
        <v>#N/A</v>
      </c>
      <c r="IY86" s="218" t="e">
        <f ca="1">MAX(0,$IQ86-$EB86*Control!$C$159)</f>
        <v>#N/A</v>
      </c>
      <c r="IZ86" s="218" t="e">
        <f t="shared" ca="1" si="301"/>
        <v>#N/A</v>
      </c>
      <c r="JA86" s="216" t="e">
        <f t="shared" ca="1" si="302"/>
        <v>#N/A</v>
      </c>
      <c r="JB86" s="217" t="e">
        <f t="shared" ca="1" si="303"/>
        <v>#N/A</v>
      </c>
      <c r="JC86" s="222" t="e">
        <f ca="1">MAX(Control!$C$157*$EK86-$JT86, 0)/Control!$C$162</f>
        <v>#N/A</v>
      </c>
      <c r="JD86" s="218" t="e">
        <f t="shared" ca="1" si="304"/>
        <v>#N/A</v>
      </c>
      <c r="JE86" s="218" t="e">
        <f t="shared" ca="1" si="305"/>
        <v>#N/A</v>
      </c>
      <c r="JF86" s="218" t="e">
        <f t="shared" ca="1" si="414"/>
        <v>#N/A</v>
      </c>
      <c r="JG86" s="218" t="e">
        <f t="shared" ca="1" si="306"/>
        <v>#N/A</v>
      </c>
      <c r="JH86" s="217" t="e">
        <f t="shared" ca="1" si="415"/>
        <v>#N/A</v>
      </c>
      <c r="JI86" s="217" t="e">
        <f t="shared" ca="1" si="416"/>
        <v>#N/A</v>
      </c>
      <c r="JJ86" s="217" t="e">
        <f t="shared" ca="1" si="451"/>
        <v>#N/A</v>
      </c>
      <c r="JK86" s="217" t="e">
        <f ca="1">IF(Control!$C$114=1,IF(Control!$B$24=0,MAX(0,$JI86)*$GN86/Control!$C$64,(MAX(0,MIN($JI86,$JJ86*$GN86/Control!$C$64),0))))</f>
        <v>#N/A</v>
      </c>
      <c r="JL86" s="217" t="e">
        <f ca="1">$IK86/Control!$C$64-$JK86+$HQ86</f>
        <v>#N/A</v>
      </c>
      <c r="JM86" s="217" t="e">
        <f ca="1">IF(Control!$C$114=1,($JB86/(IF($JI86&lt;&gt;0,$JI86,1)))*$JK86,0)</f>
        <v>#N/A</v>
      </c>
      <c r="JN86" s="217" t="e">
        <f ca="1">IF(Control!$C$114=1,($JG86/(IF($JI86&lt;&gt;0,$JI86,1)))*$JK86, 0)</f>
        <v>#N/A</v>
      </c>
      <c r="JO86" s="218" t="e">
        <f t="shared" ca="1" si="307"/>
        <v>#N/A</v>
      </c>
      <c r="JP86" s="218" t="e">
        <f ca="1">MIN(($IY86+$IO86)*Control!$C$151, $JF86-$EH86*Control!$C$161)</f>
        <v>#N/A</v>
      </c>
      <c r="JQ86" s="218" t="e">
        <f t="shared" ca="1" si="308"/>
        <v>#N/A</v>
      </c>
      <c r="JR86" s="217" t="e">
        <f ca="1">IF($CP86-Control!$C$150&lt;0, 0, $JQ86/Control!$C$162)</f>
        <v>#N/A</v>
      </c>
      <c r="JS86" s="218" t="e">
        <f t="shared" ca="1" si="309"/>
        <v>#N/A</v>
      </c>
      <c r="JT86" s="218" t="e">
        <f t="shared" ca="1" si="417"/>
        <v>#N/A</v>
      </c>
      <c r="JU86" s="218" t="e">
        <f t="shared" ca="1" si="310"/>
        <v>#N/A</v>
      </c>
      <c r="JV86" s="218" t="e">
        <f t="shared" ca="1" si="311"/>
        <v>#N/A</v>
      </c>
      <c r="JW86" s="216" t="e">
        <f t="shared" ca="1" si="312"/>
        <v>#N/A</v>
      </c>
      <c r="JX86" s="91" t="e">
        <f t="shared" ca="1" si="313"/>
        <v>#N/A</v>
      </c>
      <c r="JY86" s="218" t="e">
        <f t="shared" ca="1" si="314"/>
        <v>#N/A</v>
      </c>
      <c r="JZ86" s="217" t="e">
        <f ca="1">IF(Control!$C$114=1,($IZ86/(IF($JI86&lt;&gt;0,$JI86,1)))*$JK86, 0)</f>
        <v>#N/A</v>
      </c>
      <c r="KA86" s="218" t="e">
        <f t="shared" ca="1" si="452"/>
        <v>#N/A</v>
      </c>
      <c r="KB86" s="218" t="e">
        <f t="shared" ca="1" si="418"/>
        <v>#N/A</v>
      </c>
      <c r="KC86" s="218" t="e">
        <f t="shared" ca="1" si="315"/>
        <v>#N/A</v>
      </c>
      <c r="KD86" s="218" t="e">
        <f t="shared" ca="1" si="316"/>
        <v>#N/A</v>
      </c>
      <c r="KE86" s="218" t="e">
        <f t="shared" ca="1" si="317"/>
        <v>#N/A</v>
      </c>
      <c r="KF86" s="218" t="e">
        <f t="shared" ca="1" si="318"/>
        <v>#N/A</v>
      </c>
      <c r="KG86" s="216" t="e">
        <f t="shared" ca="1" si="319"/>
        <v>#N/A</v>
      </c>
      <c r="KH86" s="221" t="e">
        <f ca="1">IF(Control!$B$24=0,1,MAX(0.001,MIN(1,IF(($IF86-$IE86)&lt;&gt;0,($KG86-$IE86)/($IF86-$IE86),1))))</f>
        <v>#N/A</v>
      </c>
      <c r="KI86" s="222" t="e">
        <f ca="1">IF(Control!$C$114=1, $KI85+ $KH85, 0)</f>
        <v>#N/A</v>
      </c>
      <c r="KJ86" s="217" t="e">
        <f t="shared" ca="1" si="320"/>
        <v>#N/A</v>
      </c>
      <c r="KK86" s="218" t="e">
        <f t="shared" ca="1" si="321"/>
        <v>#N/A</v>
      </c>
      <c r="KL86" s="274" t="e">
        <f ca="1">IF(Control!$B$26=3,4000000000*EXP(-8400/($G86+273)),IF(Control!$B$26=4,4000000000*EXP(-8400/($G86+273))*($KT86),0))</f>
        <v>#DIV/0!</v>
      </c>
      <c r="KM86" s="274" t="e">
        <f ca="1">IF(Control!$B$26=3,5600000000000*EXP(-9800/($G86+273)),IF(Control!$B$26=4,5600000000000*EXP(-9800/($G86+273))*$KT86,0))</f>
        <v>#DIV/0!</v>
      </c>
      <c r="KN86" s="454" t="e">
        <f t="shared" ca="1" si="419"/>
        <v>#DIV/0!</v>
      </c>
      <c r="KO86" s="274" t="e">
        <f t="shared" ca="1" si="420"/>
        <v>#DIV/0!</v>
      </c>
      <c r="KP86" s="454" t="e">
        <f t="shared" ca="1" si="322"/>
        <v>#DIV/0!</v>
      </c>
      <c r="KQ86" s="454" t="e">
        <f t="shared" ca="1" si="323"/>
        <v>#DIV/0!</v>
      </c>
      <c r="KR86" s="454" t="e">
        <f t="shared" ca="1" si="324"/>
        <v>#DIV/0!</v>
      </c>
      <c r="KS86" s="454" t="e">
        <f t="shared" ca="1" si="325"/>
        <v>#DIV/0!</v>
      </c>
      <c r="KT86" s="455" t="e">
        <f t="shared" ca="1" si="326"/>
        <v>#DIV/0!</v>
      </c>
      <c r="KU86" s="456" t="e">
        <f ca="1">IF($CP86-Control!$C$149&lt;0, IF($NT86-0.01&lt;0,0,1),0)</f>
        <v>#N/A</v>
      </c>
      <c r="KV86" s="456" t="e">
        <f ca="1">IF(Control!$C$114=1,MAX(0,MIN(Control!$C$125*$KW86*$GN86,$KW86)))</f>
        <v>#DIV/0!</v>
      </c>
      <c r="KW86" s="456" t="e">
        <f t="shared" ca="1" si="453"/>
        <v>#DIV/0!</v>
      </c>
      <c r="KX86" s="457" t="e">
        <f ca="1">IF($CP86-Control!$C$149&lt;0, IF($MR86-$OM86&lt;0,0,1),0)</f>
        <v>#N/A</v>
      </c>
      <c r="KY86" s="167">
        <f t="shared" ca="1" si="421"/>
        <v>82</v>
      </c>
      <c r="KZ86" s="168">
        <f ca="1">1370*(1+0.033*COS(2*Control!$C$138*$AH86/365))</f>
        <v>1377.1683224567805</v>
      </c>
      <c r="LA86" s="169">
        <f t="shared" ca="1" si="422"/>
        <v>1.0052324597084035</v>
      </c>
      <c r="LB86" s="169">
        <f t="shared" ca="1" si="423"/>
        <v>8.8193679897523095E-3</v>
      </c>
      <c r="LC86" s="169">
        <f ca="1">ACOS(-TAN((2*Control!$B$8/360))*TAN(Calculations!$LB86))</f>
        <v>1.5734175415406746</v>
      </c>
      <c r="LD86" s="169">
        <f ca="1">((24*60)/PI())*0.082*$LA86*(($LC86*SIN(Control!$B$8*2*PI()/360))*SIN($LB86)+COS(Control!$B$8*2*PI()/360)*COS($LB86)*SIN($LC86))</f>
        <v>23.673511022492885</v>
      </c>
      <c r="LE86" s="170">
        <f t="shared" ca="1" si="327"/>
        <v>23.559094055402554</v>
      </c>
      <c r="LF86" s="170">
        <f ca="1">SIN(Control!$C$139*Control!$B$8)*SIN($HD86)</f>
        <v>4.049688247441641E-3</v>
      </c>
      <c r="LG86" s="170">
        <f ca="1">COS(Control!$C$139*Control!$B$8)*COS($HD86)</f>
        <v>0.61565167292111889</v>
      </c>
      <c r="LH86" s="170">
        <f ca="1">12*(1+2*ASIN(MAX(-1,MIN(1,$LF86/$LG86))/Control!$C$138))</f>
        <v>12.050251288096542</v>
      </c>
      <c r="LI86" s="170">
        <f ca="1">12*(1+2*ASIN(MAX(-1,MIN(1,(-SIN(-4*Control!$C$139)+$LF86)/$LG86))/Control!$C$138))</f>
        <v>12.91606086083414</v>
      </c>
      <c r="LJ86" s="168">
        <f ca="1">3600*($LH86*$LF86+24*$LG86*SQRT(1-$LK86*$LK86)/Control!$C$138)</f>
        <v>17106.909642951003</v>
      </c>
      <c r="LK86" s="170">
        <f t="shared" ca="1" si="328"/>
        <v>6.577888805575474E-3</v>
      </c>
      <c r="LL86" s="170">
        <f t="shared" ca="1" si="329"/>
        <v>0</v>
      </c>
      <c r="LM86" s="171">
        <f ca="1">Control!$C$145*$AB86</f>
        <v>6.6660906138995932E-2</v>
      </c>
      <c r="LN86" s="170">
        <f t="shared" ca="1" si="424"/>
        <v>0.54</v>
      </c>
      <c r="LO86" s="170">
        <f t="shared" ca="1" si="330"/>
        <v>0</v>
      </c>
      <c r="LP86" s="170">
        <f ca="1">Control!$C$140*((($D86+273.16)^4+($E86+273.16)^4)/2)*(0.34-0.14*SQRT($Y86))*(1.35*$AQ86/(0.75*$LD86)-0.35)</f>
        <v>-3.2464704755046001</v>
      </c>
      <c r="LQ86" s="170">
        <f ca="1">Control!$C$140*($G86+273)^4*(0.56-0.079*SQRT($Y86*10))*(0.1+0.9*$LO86)</f>
        <v>1.5241745131704001</v>
      </c>
      <c r="LR86" s="170">
        <f ca="1">$AQ86*(1-Control!$C$142)-$LQ86</f>
        <v>-1.5241745131704001</v>
      </c>
      <c r="LS86" s="170">
        <f ca="1">$AQ86*(1-Control!$C$143)-$LQ86</f>
        <v>-1.5241745131704001</v>
      </c>
      <c r="LT86" s="170">
        <f ca="1">$AQ86*(1-Control!$C$144)-$LQ86</f>
        <v>-1.5241745131704001</v>
      </c>
      <c r="LU86" s="169">
        <f ca="1">(1-Control!$C$144)*AQ86-LP86</f>
        <v>3.2464704755046001</v>
      </c>
      <c r="LV86" s="172">
        <f t="shared" ca="1" si="331"/>
        <v>0.79430000000000012</v>
      </c>
      <c r="LW86" s="170">
        <f t="shared" ca="1" si="332"/>
        <v>1.5886000000000002</v>
      </c>
      <c r="LX86" s="170">
        <f ca="1">($AC86*($LR86/Control!$C$141)+$LM86*$LV86)/($AC86+$LM86)</f>
        <v>0.23530094218323697</v>
      </c>
      <c r="LY86" s="170">
        <f ca="1">($AC86*($LS86/Control!$C$141)+$LM86*$LV86)/($AC86+$LM86)</f>
        <v>0.23530094218323697</v>
      </c>
      <c r="LZ86" s="170">
        <f t="shared" ca="1" si="333"/>
        <v>0.23530094218323697</v>
      </c>
      <c r="MA86" s="170">
        <f t="shared" ca="1" si="334"/>
        <v>0.23530094218323697</v>
      </c>
      <c r="MB86" s="170" t="e">
        <f t="shared" ca="1" si="335"/>
        <v>#N/A</v>
      </c>
      <c r="MC86" s="170">
        <f t="shared" ca="1" si="425"/>
        <v>0.6018</v>
      </c>
      <c r="MD86" s="170">
        <f t="shared" ca="1" si="336"/>
        <v>0.52989392535414004</v>
      </c>
      <c r="ME86" s="170">
        <f ca="1">($AC86*($LT86/Control!$C$141)+$LM86*$LW86)/($AC86+$LM86)</f>
        <v>0.71612369323045078</v>
      </c>
      <c r="MF86" s="170" t="e">
        <f ca="1">IF(Control!$B$16&gt;=1000,0.92,IF(AND(720&lt;=Control!$B$16,1000&gt;Control!$B$16),(0.95+(Control!$B$16-720)*((0.92-0.95)/(1000-720))),IF(AND(360&lt;=Control!$B$16,720&gt;Control!$B$16),(1+(Control!$B$16-360)*((0.95-1)/(720-360))),IF(AND(40&lt;=Control!$B$16,360&gt;Control!$B$16),(1.05+(Control!$B$16-40)*((1.05-1)/(360-40)))))))</f>
        <v>#N/A</v>
      </c>
      <c r="MG86" s="170">
        <f t="shared" ca="1" si="337"/>
        <v>0.71612369323045078</v>
      </c>
      <c r="MH86" s="170" t="e">
        <f t="shared" ref="MH86:MI105" ca="1" si="462">$MG86*$MF86</f>
        <v>#N/A</v>
      </c>
      <c r="MI86" s="170" t="e">
        <f t="shared" ca="1" si="462"/>
        <v>#N/A</v>
      </c>
      <c r="MJ86" s="170" t="e">
        <f ca="1">MAX(0.0001, Control!$C$132*$MI86*$DL86)</f>
        <v>#N/A</v>
      </c>
      <c r="MK86" s="170">
        <f ca="1">1/(0.76+1.5*($MG86/10))-(5-Control!$C$110)*0.1</f>
        <v>1.002845988140797</v>
      </c>
      <c r="ML86" s="173">
        <f ca="1">IF(Control!$C$110&lt;3,$MK86+($MG86-0.6)/(Control!$C$110*(Control!$C$110+3)), MAX(0.1, MIN(0.95,$MK86)))</f>
        <v>0.95</v>
      </c>
      <c r="MM86" s="173">
        <f ca="1">IF(Control!$C$110&lt;3,$MK86+(($MI86/10)-0.6)/(Control!$C$110*(Control!$C$110+3)), MAX(0.1, MIN(0.95,$MK86)))</f>
        <v>0.95</v>
      </c>
      <c r="MN86" s="173">
        <f ca="1">(1-$MM86)*(Control!$C$128-Control!$C$127)+Control!$C$127</f>
        <v>0.16</v>
      </c>
      <c r="MO86" s="170" t="e">
        <f ca="1">MAX(0,MIN(1,($MS86-Control!$C$127)/($MN86-Control!$C$127)))</f>
        <v>#DIV/0!</v>
      </c>
      <c r="MP86" s="173" t="e">
        <f ca="1">1/(0.76+1.5*$MI86)-(5-Control!$C$110)*0.1</f>
        <v>#N/A</v>
      </c>
      <c r="MQ86" s="172" t="e">
        <f t="shared" ca="1" si="454"/>
        <v>#DIV/0!</v>
      </c>
      <c r="MR86" s="168" t="e">
        <f t="shared" ca="1" si="426"/>
        <v>#DIV/0!</v>
      </c>
      <c r="MS86" s="173" t="e">
        <f ca="1">MAX(Control!$C$127, MIN(Control!$C$135, $MR86/MAX(0.0001,$CY86)))</f>
        <v>#DIV/0!</v>
      </c>
      <c r="MT86" s="168" t="e">
        <f ca="1">(Control!$C$128-$MS86)*Control!$C$74</f>
        <v>#DIV/0!</v>
      </c>
      <c r="MU86" s="168" t="e">
        <f ca="1">(Control!$C$135-$MS86)*Control!$C$74</f>
        <v>#DIV/0!</v>
      </c>
      <c r="MV86" s="168" t="e">
        <f t="shared" ca="1" si="427"/>
        <v>#DIV/0!</v>
      </c>
      <c r="MW86" s="168" t="e">
        <f t="shared" ca="1" si="428"/>
        <v>#DIV/0!</v>
      </c>
      <c r="MX86" s="171" t="e">
        <f ca="1">MAX(Control!$C$127, MIN(Control!$C$135, $MW86/MAX(0.0001,Control!$C$119-$CY86)))</f>
        <v>#DIV/0!</v>
      </c>
      <c r="MY86" s="54" t="e">
        <f ca="1">IF(Control!$C$114=1, $CX86*$MX86, 0)</f>
        <v>#DIV/0!</v>
      </c>
      <c r="MZ86" s="54" t="e">
        <f t="shared" ca="1" si="429"/>
        <v>#N/A</v>
      </c>
      <c r="NA86" s="168" t="e">
        <f ca="1">(Control!$C$128-$MX86)*(Control!$C$119-Control!$C$74)</f>
        <v>#DIV/0!</v>
      </c>
      <c r="NB86" s="168" t="e">
        <f ca="1">(Control!$C$135-$MX86)*(Control!$C$119-Control!$C$74)</f>
        <v>#DIV/0!</v>
      </c>
      <c r="NC86" s="174" t="e">
        <f t="shared" ca="1" si="430"/>
        <v>#DIV/0!</v>
      </c>
      <c r="ND86" s="54">
        <f ca="1">IF(Control!$C$58=2, IF(OR(Control!$B$218=$AH86,Control!$B$219=$AH86, Control!$B$220=$AH86, Control!$B$221=$AH86, Control!$B$222=$AH86, Control!$B$223=$AH86, Control!$B$224=$AH86, Control!$B$225=$AH86, Control!$B$226=$AH86, Control!$B$227=$AH86, Control!$B$228=$AH86), 1, 0), 0)</f>
        <v>0</v>
      </c>
      <c r="NE86" s="54">
        <f ca="1">IF($ND86=0,0, VLOOKUP($AH86,Control!$B$218:$C$228,2))</f>
        <v>0</v>
      </c>
      <c r="NF86" s="168" t="e">
        <f ca="1">$CY86*(Control!$C$128-Control!$C$127)</f>
        <v>#N/A</v>
      </c>
      <c r="NG86" s="54" t="e">
        <f ca="1">IF(Control!$C$58=2, $NI85-$NJ85, 0)</f>
        <v>#DIV/0!</v>
      </c>
      <c r="NH86" s="54" t="e">
        <f ca="1">IF(AND(Control!$C$58=1, $MS85&lt;= ($MN85+0.02), $I85&lt;10), 0, IF(Control!$C$58=2, $NG85, 0))</f>
        <v>#DIV/0!</v>
      </c>
      <c r="NI86" s="54" t="e">
        <f ca="1">IF(Control!$C$58=2, $NE86+$NH86,0)</f>
        <v>#DIV/0!</v>
      </c>
      <c r="NJ86" s="54" t="e">
        <f ca="1">IF(AND(Control!$C$58=1, $MS86&lt;= ($MN86+0.02), $I86&lt;10), MAX(0, MIN(10, 0.7*($NF86-$MV86))), IF(Control!$C$58=2, MIN(10,$NI86),0))</f>
        <v>#DIV/0!</v>
      </c>
      <c r="NK86" s="54" t="e">
        <f t="shared" ca="1" si="338"/>
        <v>#DIV/0!</v>
      </c>
      <c r="NL86" s="173" t="e">
        <f ca="1">(1-Control!$C$73)*$I86+$NJ86</f>
        <v>#DIV/0!</v>
      </c>
      <c r="NM86" s="172" t="e">
        <f ca="1">IF($NL86&lt;0.5, $MB86* MAX(0, MIN(1, (SQRT($NC86)-SQRT($NC86-1))*Control!$C$71)),0)</f>
        <v>#DIV/0!</v>
      </c>
      <c r="NN86" s="170" t="e">
        <f ca="1">IF($NL86&gt;=5, $MB86, MAX(0,MIN($MB86, $NM86+$NL86,($MS86-Control!$C$129))))</f>
        <v>#DIV/0!</v>
      </c>
      <c r="NO86" s="54">
        <f>IF(Control!$C$133&lt;&gt;1, Control!$C$135-Control!$C$131, 0)</f>
        <v>0.38</v>
      </c>
      <c r="NP86" s="54" t="e">
        <f t="shared" ca="1" si="339"/>
        <v>#DIV/0!</v>
      </c>
      <c r="NQ86" s="173" t="e">
        <f ca="1">MAX(0,MIN(1,(Control!$C$135-$MS86)/(Control!$C$135-$NO86)))</f>
        <v>#DIV/0!</v>
      </c>
      <c r="NR86" s="170" t="e">
        <f ca="1">IF(Control!$C$133&lt;&gt;1, $NQ86+((1-$NP86/4)*(1-$NQ86)),1)</f>
        <v>#DIV/0!</v>
      </c>
      <c r="NS86" s="170" t="e">
        <f ca="1">IF(Control!$B$31=0,$MJ86,MAX(0,MIN($MV86,$MO86*$NR86*$MJ86)))</f>
        <v>#DIV/0!</v>
      </c>
      <c r="NT86" s="170" t="e">
        <f t="shared" ca="1" si="455"/>
        <v>#DIV/0!</v>
      </c>
      <c r="NU86" s="170" t="e">
        <f t="shared" ca="1" si="431"/>
        <v>#N/A</v>
      </c>
      <c r="NV86" s="170" t="e">
        <f t="shared" ca="1" si="340"/>
        <v>#N/A</v>
      </c>
      <c r="NW86" s="175" t="e">
        <f t="shared" ca="1" si="341"/>
        <v>#DIV/0!</v>
      </c>
      <c r="NX86" s="170" t="e">
        <f ca="1">MIN(Control!$C$72+$MU86, $NW86)</f>
        <v>#DIV/0!</v>
      </c>
      <c r="NY86" s="170" t="e">
        <f ca="1">IF($MT86&lt;=$NX86,MIN(Control!$C$72+$NB86,$NX86-$MT86),0)</f>
        <v>#DIV/0!</v>
      </c>
      <c r="NZ86" s="54" t="e">
        <f ca="1">IF(Control!$C$114=1,  $CX86*($MX86-Control!$C$127), 0)</f>
        <v>#DIV/0!</v>
      </c>
      <c r="OA86" s="170" t="e">
        <f t="shared" ca="1" si="342"/>
        <v>#DIV/0!</v>
      </c>
      <c r="OB86" s="170" t="e">
        <f ca="1">IF($NA86 &lt;=$NY86, MIN(Control!$C$72, $NY86-$NA86), 0)</f>
        <v>#DIV/0!</v>
      </c>
      <c r="OC86" s="168" t="e">
        <f t="shared" ca="1" si="343"/>
        <v>#DIV/0!</v>
      </c>
      <c r="OD86" s="168" t="e">
        <f t="shared" ca="1" si="432"/>
        <v>#DIV/0!</v>
      </c>
      <c r="OE86" s="170">
        <f ca="1">Control!$C$73*$I86</f>
        <v>0</v>
      </c>
      <c r="OF86" s="176" t="e">
        <f t="shared" ca="1" si="344"/>
        <v>#DIV/0!</v>
      </c>
      <c r="OG86" s="168" t="e">
        <f t="shared" ca="1" si="345"/>
        <v>#DIV/0!</v>
      </c>
      <c r="OH86" s="168" t="e">
        <f t="shared" ca="1" si="346"/>
        <v>#DIV/0!</v>
      </c>
      <c r="OI86" s="168" t="e">
        <f t="shared" ca="1" si="347"/>
        <v>#DIV/0!</v>
      </c>
      <c r="OJ86" s="168" t="e">
        <f t="shared" ca="1" si="348"/>
        <v>#DIV/0!</v>
      </c>
      <c r="OK86" s="204" t="e">
        <f t="shared" ca="1" si="349"/>
        <v>#DIV/0!</v>
      </c>
      <c r="OL86" s="177">
        <f>Control!$C$127</f>
        <v>0.15</v>
      </c>
      <c r="OM86" s="182" t="e">
        <f t="shared" ca="1" si="350"/>
        <v>#N/A</v>
      </c>
      <c r="ON86" s="177">
        <f>Control!$C$128</f>
        <v>0.35</v>
      </c>
      <c r="OO86" s="182" t="e">
        <f t="shared" ca="1" si="351"/>
        <v>#N/A</v>
      </c>
      <c r="OP86" s="138">
        <f t="shared" ca="1" si="433"/>
        <v>0</v>
      </c>
      <c r="OQ86" s="138" t="e">
        <f t="shared" ca="1" si="456"/>
        <v>#DIV/0!</v>
      </c>
      <c r="OR86" s="138" t="e">
        <f t="shared" ca="1" si="434"/>
        <v>#DIV/0!</v>
      </c>
      <c r="OS86" s="137" t="e">
        <f t="shared" ca="1" si="457"/>
        <v>#DIV/0!</v>
      </c>
      <c r="OT86" s="139" t="e">
        <f t="shared" ca="1" si="458"/>
        <v>#DIV/0!</v>
      </c>
      <c r="OU86" s="138" t="e">
        <f t="shared" ca="1" si="459"/>
        <v>#N/A</v>
      </c>
      <c r="OV86" s="138" t="e">
        <f t="shared" ca="1" si="460"/>
        <v>#DIV/0!</v>
      </c>
      <c r="OW86" s="138" t="e">
        <f t="shared" ca="1" si="435"/>
        <v>#DIV/0!</v>
      </c>
      <c r="OX86" s="138" t="e">
        <f t="shared" ca="1" si="436"/>
        <v>#DIV/0!</v>
      </c>
      <c r="OY86" s="138" t="e">
        <f t="shared" ca="1" si="437"/>
        <v>#DIV/0!</v>
      </c>
      <c r="OZ86" s="138" t="e">
        <f t="shared" ca="1" si="352"/>
        <v>#DIV/0!</v>
      </c>
      <c r="PA86" s="138" t="e">
        <f t="shared" ca="1" si="353"/>
        <v>#DIV/0!</v>
      </c>
      <c r="PB86" s="55">
        <f>IF(Control!$C$61="T", IF(Control!$C$65="F", IF($AH$6-Control!$C$60&lt;0,0,1), IF(365+$AH$6-Control!$C$60&lt;0,0,1)),0)</f>
        <v>0</v>
      </c>
      <c r="PC86" s="55">
        <f ca="1">IF(Control!$C$65="F", IF($AH$6-$HF86&lt;0,0,1), IF(365+$AH$6-$HF86&lt;0,0,1))</f>
        <v>1</v>
      </c>
      <c r="PD86" s="444">
        <f>Control!$C$118</f>
        <v>1500</v>
      </c>
      <c r="PE86" s="180" t="e">
        <f t="shared" ca="1" si="354"/>
        <v>#N/A</v>
      </c>
      <c r="PF86" s="445">
        <f t="shared" ca="1" si="438"/>
        <v>0.71612369323045078</v>
      </c>
      <c r="PT86" s="186"/>
      <c r="PU86" s="186"/>
      <c r="PV86" s="94"/>
      <c r="PW86" s="94"/>
      <c r="PX86" s="94"/>
      <c r="PY86" s="94"/>
      <c r="PZ86" s="94"/>
      <c r="QA86" s="94"/>
      <c r="QB86" s="94"/>
      <c r="QC86" s="94"/>
      <c r="QD86" s="94"/>
      <c r="QE86" s="94"/>
      <c r="QF86" s="94"/>
      <c r="QG86" s="94"/>
      <c r="QH86" s="94"/>
      <c r="QI86" s="94"/>
      <c r="QJ86" s="94"/>
      <c r="QK86" s="94"/>
      <c r="QL86" s="94"/>
      <c r="QM86" s="94"/>
      <c r="QN86" s="94"/>
      <c r="QO86" s="94"/>
      <c r="QP86" s="94"/>
    </row>
    <row r="87" spans="1:458" s="2" customFormat="1" x14ac:dyDescent="0.2">
      <c r="A87" s="395">
        <v>23</v>
      </c>
      <c r="B87" s="396">
        <v>3</v>
      </c>
      <c r="C87" s="387">
        <f ca="1">Weather_data!$B86</f>
        <v>0</v>
      </c>
      <c r="D87" s="388">
        <f ca="1">Weather_data!$F86</f>
        <v>0</v>
      </c>
      <c r="E87" s="388">
        <f ca="1">Weather_data!$E86</f>
        <v>0</v>
      </c>
      <c r="F87" s="388">
        <f t="shared" ca="1" si="355"/>
        <v>0</v>
      </c>
      <c r="G87" s="388">
        <f ca="1">AVERAGE($D87:$E87)+Control!$B$9</f>
        <v>0</v>
      </c>
      <c r="H87" s="388">
        <f ca="1">Weather_data!$G86</f>
        <v>0</v>
      </c>
      <c r="I87" s="388">
        <f ca="1">Weather_data!$I86</f>
        <v>0</v>
      </c>
      <c r="J87" s="388">
        <f ca="1">Weather_data!$H86</f>
        <v>0</v>
      </c>
      <c r="K87" s="389">
        <f ca="1">Weather_data!$D86</f>
        <v>0</v>
      </c>
      <c r="L87" s="388" t="e">
        <f t="shared" ca="1" si="356"/>
        <v>#N/A</v>
      </c>
      <c r="M87" s="388" t="e">
        <f t="shared" ca="1" si="234"/>
        <v>#N/A</v>
      </c>
      <c r="N87" s="388">
        <f t="shared" ca="1" si="235"/>
        <v>-9.8313525237776455E-5</v>
      </c>
      <c r="O87" s="388">
        <f t="shared" ca="1" si="357"/>
        <v>9.8313525237776452E-4</v>
      </c>
      <c r="P87" s="390">
        <v>3</v>
      </c>
      <c r="Q87" s="388">
        <f ca="1">MAX($G87-Control!$C$107,0)</f>
        <v>0</v>
      </c>
      <c r="R87" s="388">
        <f t="shared" ca="1" si="358"/>
        <v>0</v>
      </c>
      <c r="S87" s="388">
        <f t="shared" ca="1" si="236"/>
        <v>0</v>
      </c>
      <c r="T87" s="388">
        <f t="shared" ca="1" si="237"/>
        <v>0</v>
      </c>
      <c r="U87" s="59">
        <f t="shared" ca="1" si="238"/>
        <v>0</v>
      </c>
      <c r="V87" s="391">
        <f ca="1">MAX(0,MIN(Control!$C$100-Control!$C$99,$G87-Control!$C$99)*Control!$C$63)</f>
        <v>0</v>
      </c>
      <c r="W87" s="388">
        <f t="shared" ca="1" si="359"/>
        <v>0</v>
      </c>
      <c r="X87" s="388">
        <f t="shared" ca="1" si="360"/>
        <v>0.6110000000000001</v>
      </c>
      <c r="Y87" s="388">
        <f t="shared" ca="1" si="239"/>
        <v>0</v>
      </c>
      <c r="Z87" s="388">
        <f t="shared" ca="1" si="361"/>
        <v>0.61058800000000002</v>
      </c>
      <c r="AA87" s="388">
        <f t="shared" ca="1" si="240"/>
        <v>0.6018</v>
      </c>
      <c r="AB87" s="388">
        <f ca="1">101.3*EXP(-0.034*Control!$C$66/($G87+273))</f>
        <v>100.69623283836242</v>
      </c>
      <c r="AC87" s="392">
        <f t="shared" ca="1" si="241"/>
        <v>4.3460251046025113E-2</v>
      </c>
      <c r="AD87" s="392">
        <f t="shared" ca="1" si="242"/>
        <v>4.4450382862832649E-2</v>
      </c>
      <c r="AE87" s="388">
        <f t="shared" ca="1" si="243"/>
        <v>0</v>
      </c>
      <c r="AF87" s="388">
        <f ca="1">MAX(0,$G87-Control!$C$92)</f>
        <v>0</v>
      </c>
      <c r="AG87" s="393">
        <f t="shared" ca="1" si="244"/>
        <v>83</v>
      </c>
      <c r="AH87" s="389">
        <f t="shared" ca="1" si="245"/>
        <v>83</v>
      </c>
      <c r="AI87" s="388">
        <f t="shared" ca="1" si="362"/>
        <v>1.1988136787167343E-2</v>
      </c>
      <c r="AJ87" s="388">
        <f ca="1">IF(Control!$C$60&lt;=0,$HH87,$HI87)</f>
        <v>1</v>
      </c>
      <c r="AK87" s="388">
        <f t="shared" ca="1" si="246"/>
        <v>5.1642618963119884E-2</v>
      </c>
      <c r="AL87" s="388">
        <f t="shared" ca="1" si="247"/>
        <v>4.5082670235840892E-18</v>
      </c>
      <c r="AM87" s="388">
        <f t="shared" ca="1" si="248"/>
        <v>5.1642618963119891E-2</v>
      </c>
      <c r="AN87" s="388">
        <f t="shared" ca="1" si="249"/>
        <v>2.0535746969579983E-2</v>
      </c>
      <c r="AO87" s="388">
        <f ca="1">-0.10453/COS(Control!$B$8*PI()/180)*COS(AN87)</f>
        <v>-0.16974906491482522</v>
      </c>
      <c r="AP87" s="388">
        <f ca="1">ACOS(AO87-TAN(Control!$B$8*PI()/180)*TAN(AN87))</f>
        <v>1.7681115091774005</v>
      </c>
      <c r="AQ87" s="388">
        <f t="shared" ca="1" si="363"/>
        <v>0</v>
      </c>
      <c r="AR87" s="394">
        <f t="shared" ca="1" si="250"/>
        <v>0</v>
      </c>
      <c r="AS87" s="436">
        <f ca="1">IF(Control!$B$18=2,(IF(OR($AH87=Control!$B$175,$AH87=Control!$B$176,$AH87=Control!$B$177,$AH87=Control!$B$178,$AH87=Control!$B$179,$AH87=Control!$B$180,$AH87=Control!$B$181,$AH87=Control!$B$182,$AH87=Control!$B$183,$AH87=Control!$B$184,$AH87=Control!$B$185),1,0)),0)</f>
        <v>0</v>
      </c>
      <c r="AT87" s="436">
        <f>IF(Control!$B$20=8,IF(AND($AH87&gt;=Control!$B$172,$AH87&lt;=Control!$B$173),1,0),0)</f>
        <v>0</v>
      </c>
      <c r="AU87" s="436">
        <f>IF(Control!$B$20=8,IF($AV86=1,1*$AT87,IF($AT87=1,$AU86+1,$AU86)),0)</f>
        <v>0</v>
      </c>
      <c r="AV87" s="436">
        <f>IF(Control!$B$20=8,IF($AU87&gt;=Control!$B$174,1,0),0)</f>
        <v>0</v>
      </c>
      <c r="AW87" s="436">
        <f ca="1">IF(AND(Control!$B$18=2,Control!$B$171=1), $AV87, $AS87)</f>
        <v>0</v>
      </c>
      <c r="AX87" s="436" t="e">
        <f ca="1">IF(AND(Control!$B$18=1,$EU87&gt;=Control!$B$19),-$AY87,IF(AND(Control!$B$18=2,$AW87=1,$EU87&gt;$DS87),-$AY87, IF(Control!$C$108=0,0, IF(Control!$C$108&lt;&gt;0,1))))</f>
        <v>#N/A</v>
      </c>
      <c r="AY87" s="436" t="e">
        <f t="shared" ca="1" si="364"/>
        <v>#N/A</v>
      </c>
      <c r="AZ87" s="436" t="e">
        <f ca="1">IF(AND(Control!$B$18=1,$EB87&gt;Control!$B$19),$AZ86+1, IF(AND(Control!$B$18=2, $AW87=1, $EB87&gt;$DS87), $AZ86+1,$AZ86))</f>
        <v>#N/A</v>
      </c>
      <c r="BA87" s="587">
        <f>IF(Control!$C$81=0,1,IF($AH87&gt;=Control!$C$82,1,0))</f>
        <v>1</v>
      </c>
      <c r="BB87" s="140" t="e">
        <f ca="1">IF($BA87&gt;$BA86,Control!$C$83,IF($AW87&gt;0,$AW87*Control!$C$84,IF(AND(Control!$B$18=1,EN86&lt;&gt;0),Control!$C$84,0)))</f>
        <v>#N/A</v>
      </c>
      <c r="BC87" s="140" t="e">
        <f t="shared" ca="1" si="365"/>
        <v>#N/A</v>
      </c>
      <c r="BD87" s="140" t="e">
        <f ca="1">BC87*IF(OR($G87&lt;Control!$C$92,$G87&gt;Control!$C$95),0,IF(AND($G87&gt;=Control!$C$92,$G87&lt;=Control!$C$93),$G87-Control!$C$92,IF(AND($G87&gt;Control!$C$93,$G87&lt;=Control!$C$94),Control!$C$93-Control!$C$92,IF(AND($G87&gt;Control!$C$94,$G87&lt;=Control!$C$95),(Control!$C$93-Control!$C$92)*(Control!$C$94-$G87)/(Control!$C$95-Control!$C$94)))))</f>
        <v>#N/A</v>
      </c>
      <c r="BE87" s="140" t="e">
        <f t="shared" ca="1" si="366"/>
        <v>#N/A</v>
      </c>
      <c r="BF87" s="140" t="e">
        <f ca="1">IF($BE87&lt;=Control!$C$86,$BE87,Control!$C$86-$BE87)</f>
        <v>#N/A</v>
      </c>
      <c r="BG87" s="140" t="e">
        <f ca="1">IF(AND($AW87=1,Control!$C$84&lt;9),1,IF($BE87&gt;=Control!$C$86,0,$BC87))</f>
        <v>#N/A</v>
      </c>
      <c r="BH87" s="404" t="e">
        <f ca="1">IF($BG87=0,0,IF($BE87&lt;=Control!$C$86,$BC87*9*($BF87/Control!$C$86),0))</f>
        <v>#N/A</v>
      </c>
      <c r="BI87" s="140" t="e">
        <f ca="1">IF($BG87=1,0,IF($BE87&gt;=Control!$C$86,1,IF(AND($BB87&lt;21,$BB87&gt;=9),1,$BM86)))</f>
        <v>#N/A</v>
      </c>
      <c r="BJ87" s="140" t="e">
        <f ca="1">IF($BF87&lt;0,-$BF87,$BI87*IF(OR($G87&lt;Control!$C$92,$G87&gt;Control!$C$95),0,IF(AND($G87&gt;=Control!$C$92,$G87&lt;=Control!$C$93),$G87-Control!$C$92,IF(AND($G87&gt;Control!$C$93,$G87&lt;=Control!$C$94),Control!$C$93-Control!$C$92,IF(AND($G87&gt;Control!$C$94,$G87&lt;=Control!$C$95),(Control!$C$93-Control!$C$92)*(Control!$C$94-$G87)/(Control!$C$95-Control!$C$94))))))</f>
        <v>#N/A</v>
      </c>
      <c r="BK87" s="140" t="e">
        <f t="shared" ca="1" si="367"/>
        <v>#N/A</v>
      </c>
      <c r="BL87" s="140" t="e">
        <f ca="1">IF($BK87&lt;=Control!$C$87,$BK87,Control!$C$87-$BK87)</f>
        <v>#N/A</v>
      </c>
      <c r="BM87" s="140" t="e">
        <f ca="1">IF(AND($BB87&gt;=9,$BB87&lt;21),1,IF($BK87&gt;=Control!$C$87,0,$BI87))</f>
        <v>#N/A</v>
      </c>
      <c r="BN87" s="404" t="e">
        <f ca="1">IF($BM87=0,0,IF($BK87&lt;=Control!$C$87,$BI87*(9+(21-9)*($BL87/Control!$C$87)),0))</f>
        <v>#N/A</v>
      </c>
      <c r="BO87" s="140" t="e">
        <f ca="1">IF($BM87=1,0,IF($BK87&gt;=Control!$C$87,1,IF(AND($BB87&lt;30,$BB87&gt;=21),1,$BS86)))</f>
        <v>#N/A</v>
      </c>
      <c r="BP87" s="140" t="e">
        <f ca="1">IF($BL87&lt;0,-$BL87,$BO87*IF(OR($G87&lt;Control!$C$92,$G87&gt;Control!$C$95),0,IF(AND($G87&gt;=Control!$C$92,$G87&lt;=Control!$C$93),$G87-Control!$C$92,IF(AND($G87&gt;Control!$C$93,$G87&lt;=Control!$C$94),Control!$C$93-Control!$C$92,IF(AND($G87&gt;Control!$C$94,$G87&lt;=Control!$C$95),(Control!$C$93-Control!$C$92)*(Control!$C$94-$G87)/(Control!$C$95-Control!$C$94))))))</f>
        <v>#N/A</v>
      </c>
      <c r="BQ87" s="140" t="e">
        <f t="shared" ca="1" si="251"/>
        <v>#N/A</v>
      </c>
      <c r="BR87" s="140" t="e">
        <f ca="1">IF($BQ87&lt;=Control!$C$88,$BQ87,Control!$C$88-$BQ87)</f>
        <v>#N/A</v>
      </c>
      <c r="BS87" s="140" t="e">
        <f ca="1">IF(AND($BB87&gt;=21,$BB87&lt;30),1,IF($BQ87&gt;=Control!$C$88,0,$BO87))</f>
        <v>#N/A</v>
      </c>
      <c r="BT87" s="404" t="e">
        <f ca="1">IF($BS87=0,0,IF($BQ87&lt;=Control!$C$88,$BO87*(21+(30-21)*(BR87/Control!$C$88)),0))</f>
        <v>#N/A</v>
      </c>
      <c r="BU87" s="140" t="e">
        <f ca="1">IF(BG87+BM87+BS87=1,0,IF(OR(AND($BB87&lt;60,$BB87&gt;=30),$BQ87&gt;=Control!$C$88),1*$BA87,$BY86))</f>
        <v>#N/A</v>
      </c>
      <c r="BV87" s="140" t="e">
        <f ca="1">IF($BR87&lt;0,-$BR87,$BU87*IF(OR($G87&lt;Control!$C$92,$G87&gt;Control!$C$95),0,IF(AND($G87&gt;=Control!$C$92,$G87&lt;=Control!$C$93),$G87-Control!$C$92,IF(AND($G87&gt;Control!$C$93,$G87&lt;=Control!$C$94),Control!$C$93-Control!$C$92,IF(AND($G87&gt;Control!$C$94,$G87&lt;=Control!$C$95),(Control!$C$93-Control!$C$92)*(Control!$C$94-$G87)/(Control!$C$95-Control!$C$94))))))</f>
        <v>#N/A</v>
      </c>
      <c r="BW87" s="140" t="e">
        <f t="shared" ca="1" si="252"/>
        <v>#N/A</v>
      </c>
      <c r="BX87" s="140" t="e">
        <f ca="1">IF($BW87&lt;=Control!$C$89,$BW87,Control!$C$89-$BW87)</f>
        <v>#N/A</v>
      </c>
      <c r="BY87" s="140" t="e">
        <f ca="1">IF(AND($AJ87&gt;=30,$AJ87&lt;60),1,IF($BW87&gt;=Control!$C$89,0,$BU87))</f>
        <v>#N/A</v>
      </c>
      <c r="BZ87" s="404" t="e">
        <f ca="1">IF($BY87=0,0,IF($BW87&lt;=Control!$C$89,$BU87*(30+(60-30)*(BX87/Control!$C$89)),0))</f>
        <v>#N/A</v>
      </c>
      <c r="CA87" s="140" t="e">
        <f ca="1">IF($BG87+$BM87+$BS87+$BY87=1,0,IF(OR(AND($BB87&lt;65,$BB87&gt;=60),$BW87&gt;=Control!$C$89),1*$BA87,$CE86))</f>
        <v>#N/A</v>
      </c>
      <c r="CB87" s="140" t="e">
        <f ca="1">IF($BX87&lt;0,-$BX87,$CA87*IF(OR($G87&lt;Control!$C$92,$G87&gt;Control!$C$95),0,IF(AND($G87&gt;=Control!$C$92,$G87&lt;=Control!$C$93),$G87-Control!$C$92,IF(AND($G87&gt;Control!$C$93,$G87&lt;=Control!$C$94),Control!$C$93-Control!$C$92,IF(AND($G87&gt;Control!$C$94,$G87&lt;=Control!$C$95),(Control!$C$93-Control!$C$92)*(Control!$C$94-$G87)/(Control!$C$95-Control!$C$94))))))</f>
        <v>#N/A</v>
      </c>
      <c r="CC87" s="140" t="e">
        <f t="shared" ca="1" si="368"/>
        <v>#N/A</v>
      </c>
      <c r="CD87" s="140" t="e">
        <f ca="1">IF($CC87&lt;=Control!$C$90,$CC87,Control!$C$90-$CC87)</f>
        <v>#N/A</v>
      </c>
      <c r="CE87" s="140" t="e">
        <f ca="1">IF(AND($BB87&gt;=60,$BB87&lt;65),1,IF($CC87&gt;=Control!$C$90,0,$CA87))</f>
        <v>#N/A</v>
      </c>
      <c r="CF87" s="404" t="e">
        <f ca="1">IF($CE87=0,0,IF($CC87&lt;=Control!$C$90,$CA87*(60+(65-60)*(CD87/Control!$C$90)),0))</f>
        <v>#N/A</v>
      </c>
      <c r="CG87" s="140" t="e">
        <f ca="1">IF($BG87+$BM87+$BS87+$BY87+$CE87=1,0,IF(OR(AND($BB87&lt;90,$BB87&gt;=65),$CC87&gt;=Control!$C$90),$BA87,$CK86))</f>
        <v>#N/A</v>
      </c>
      <c r="CH87" s="140" t="e">
        <f ca="1">IF($CD87&lt;0,-$CD87,$CG87*IF(OR($G87&lt;Control!$C$92,$G87&gt;Control!$C$95),0,IF(AND($G87&gt;=Control!$C$92,$G87&lt;=Control!$C$93),$G87-Control!$C$92,IF(AND($G87&gt;Control!$C$93,$G87&lt;=Control!$C$94),Control!$C$93-Control!$C$92,IF(AND($G87&gt;Control!$C$94,$G87&lt;=Control!$C$95),(Control!$C$93-Control!$C$92)*(Control!$C$94-$G87)/(Control!$C$95-Control!$C$94))))))</f>
        <v>#N/A</v>
      </c>
      <c r="CI87" s="140" t="e">
        <f t="shared" ca="1" si="369"/>
        <v>#N/A</v>
      </c>
      <c r="CJ87" s="140" t="e">
        <f ca="1">IF($CI87&lt;=Control!$C$91,$CI87,Control!$C$91-$CI87)</f>
        <v>#N/A</v>
      </c>
      <c r="CK87" s="140" t="e">
        <f ca="1">IF(AND($BB87&gt;=65,$BB87&lt;90),1,IF($CI87&gt;=Control!$C$91,0,$CG87))</f>
        <v>#N/A</v>
      </c>
      <c r="CL87" s="404" t="e">
        <f ca="1">IF($CK87=0,0,IF($CI87&lt;=Control!$C$91,$CG87*(65+(90-65)*($CJ87/Control!$C$91)),0))</f>
        <v>#N/A</v>
      </c>
      <c r="CM87" s="140" t="e">
        <f ca="1">IF($BG87+$BM87+$BS87+$BY87+$CE87+$CK87=1,0,IF(OR($BB87&gt;=90,$CI87&gt;=Control!$C$91),$BA87,$CM86))</f>
        <v>#N/A</v>
      </c>
      <c r="CN87" s="140" t="e">
        <f t="shared" ca="1" si="370"/>
        <v>#N/A</v>
      </c>
      <c r="CO87" s="140" t="e">
        <f t="shared" ca="1" si="371"/>
        <v>#N/A</v>
      </c>
      <c r="CP87" s="140" t="e">
        <f t="shared" ca="1" si="372"/>
        <v>#N/A</v>
      </c>
      <c r="CQ87" s="141" t="e">
        <f ca="1">VLOOKUP($CP87,Control!$B$86:$G$91,6)</f>
        <v>#N/A</v>
      </c>
      <c r="CR87" s="141" t="e">
        <f ca="1">(1-$CQ87)*VLOOKUP($CP87,Control!$B$86:$D$91,3)</f>
        <v>#N/A</v>
      </c>
      <c r="CS87" s="141" t="e">
        <f ca="1">(1-$CQ87)*VLOOKUP($CP87,Control!$B$86:$E$91,4)</f>
        <v>#N/A</v>
      </c>
      <c r="CT87" s="141" t="e">
        <f ca="1">(1-$CQ87)*VLOOKUP($CP87,Control!$B$86:$F$91,5)</f>
        <v>#N/A</v>
      </c>
      <c r="CU87" s="141">
        <f t="shared" ca="1" si="373"/>
        <v>0</v>
      </c>
      <c r="CV87" s="583">
        <f t="shared" ca="1" si="374"/>
        <v>0</v>
      </c>
      <c r="CW87" s="142">
        <f t="shared" ca="1" si="375"/>
        <v>83</v>
      </c>
      <c r="CX87" s="612" t="e">
        <f ca="1">IF(Control!$C$114=1,(MIN(Control!$C$120*(IF($NT87-0.01&lt;0,0,1)),Control!$C$119-$CY87)))</f>
        <v>#DIV/0!</v>
      </c>
      <c r="CY87" s="143" t="e">
        <f t="shared" ca="1" si="376"/>
        <v>#N/A</v>
      </c>
      <c r="CZ87" s="144">
        <f t="shared" ca="1" si="253"/>
        <v>0</v>
      </c>
      <c r="DA87" s="144">
        <f t="shared" ca="1" si="254"/>
        <v>0</v>
      </c>
      <c r="DB87" s="144" t="e">
        <f t="shared" ca="1" si="255"/>
        <v>#N/A</v>
      </c>
      <c r="DC87" s="144" t="e">
        <f t="shared" ca="1" si="256"/>
        <v>#N/A</v>
      </c>
      <c r="DD87" s="144" t="e">
        <f t="shared" ca="1" si="461"/>
        <v>#N/A</v>
      </c>
      <c r="DE87" s="143" t="e">
        <f t="shared" ca="1" si="377"/>
        <v>#N/A</v>
      </c>
      <c r="DF87" s="145" t="e">
        <f ca="1">$DR87*EXP(-Control!$C$158*(1-$KH87))</f>
        <v>#N/A</v>
      </c>
      <c r="DG87" s="146" t="e">
        <f ca="1">IF(Control!$C$114=1, $DF87*$EY87, 0)</f>
        <v>#N/A</v>
      </c>
      <c r="DH87" s="147" t="e">
        <f t="shared" ca="1" si="378"/>
        <v>#N/A</v>
      </c>
      <c r="DI87" s="144" t="e">
        <f t="shared" ca="1" si="439"/>
        <v>#N/A</v>
      </c>
      <c r="DJ87" s="147" t="e">
        <f ca="1">$EF87*Control!$C$109</f>
        <v>#N/A</v>
      </c>
      <c r="DK87" s="144" t="e">
        <f t="shared" ca="1" si="379"/>
        <v>#N/A</v>
      </c>
      <c r="DL87" s="144" t="e">
        <f t="shared" ca="1" si="257"/>
        <v>#N/A</v>
      </c>
      <c r="DM87" s="144" t="e">
        <f ca="1">IF(Control!$C$114=1, (1-EXP(-Control!$C$96*$DK87))*$AR87, 0)</f>
        <v>#N/A</v>
      </c>
      <c r="DN87" s="144">
        <f t="shared" ca="1" si="380"/>
        <v>0</v>
      </c>
      <c r="DO87" s="148">
        <f>Control!$C$97</f>
        <v>4</v>
      </c>
      <c r="DP87" s="145" t="e">
        <f t="shared" ca="1" si="381"/>
        <v>#N/A</v>
      </c>
      <c r="DQ87" s="145" t="e">
        <f ca="1">IF(AND($CP87&gt;=0,$CP87&lt;=90),Control!$C$111,Control!$C$111)</f>
        <v>#N/A</v>
      </c>
      <c r="DR87" s="145" t="e">
        <f t="shared" ca="1" si="258"/>
        <v>#N/A</v>
      </c>
      <c r="DS87" s="143" t="e">
        <f ca="1">Control!$B$22/$DR87</f>
        <v>#N/A</v>
      </c>
      <c r="DT87" s="149" t="e">
        <f ca="1">IF(AND(Control!$C$114=1,$KH87&lt;1),$IM87*$DF87, 0)</f>
        <v>#N/A</v>
      </c>
      <c r="DU87" s="144" t="e">
        <f t="shared" ca="1" si="382"/>
        <v>#N/A</v>
      </c>
      <c r="DV87" s="144">
        <f ca="1">IF($G87-Control!$C$107&lt;=0, 0, 0.83*LN(MAX($G87, 3))-0.8924)</f>
        <v>0</v>
      </c>
      <c r="DW87" s="144" t="e">
        <f t="shared" ca="1" si="259"/>
        <v>#N/A</v>
      </c>
      <c r="DX87" s="150" t="e">
        <f ca="1">MAX(0.01*(1+$CU87/Control!$C$102),0.05*($DK87-Control!$C$97)/Control!$C$97)</f>
        <v>#N/A</v>
      </c>
      <c r="DY87" s="151" t="e">
        <f ca="1">IF(Control!$C$114=1, $DI87*$FS87, 0)</f>
        <v>#N/A</v>
      </c>
      <c r="DZ87" s="196" t="e">
        <f t="shared" ca="1" si="383"/>
        <v>#N/A</v>
      </c>
      <c r="EA87" s="152">
        <f t="shared" ca="1" si="384"/>
        <v>83</v>
      </c>
      <c r="EB87" s="153" t="e">
        <f t="shared" ca="1" si="385"/>
        <v>#N/A</v>
      </c>
      <c r="EC87" s="153" t="e">
        <f t="shared" ca="1" si="386"/>
        <v>#N/A</v>
      </c>
      <c r="ED87" s="154" t="e">
        <f ca="1">IF(Control!$C$114=1, $HM87*$FY87-$FD87, 0)</f>
        <v>#DIV/0!</v>
      </c>
      <c r="EE87" s="155" t="e">
        <f ca="1">IF(Control!$C$114=1, $HM87*$FZ87-$FF87, 0)</f>
        <v>#DIV/0!</v>
      </c>
      <c r="EF87" s="153" t="e">
        <f t="shared" ca="1" si="440"/>
        <v>#N/A</v>
      </c>
      <c r="EG87" s="155" t="e">
        <f ca="1">IF(Control!$C$114=1, $GX87*$FW87-$FI87, 0)</f>
        <v>#DIV/0!</v>
      </c>
      <c r="EH87" s="153" t="e">
        <f t="shared" ca="1" si="387"/>
        <v>#N/A</v>
      </c>
      <c r="EI87" s="156" t="e">
        <f t="shared" ca="1" si="388"/>
        <v>#N/A</v>
      </c>
      <c r="EJ87" s="155" t="e">
        <f ca="1">IF(Control!$C$114=1, $HM87*$GB87, 0)</f>
        <v>#DIV/0!</v>
      </c>
      <c r="EK87" s="153" t="e">
        <f t="shared" ca="1" si="441"/>
        <v>#N/A</v>
      </c>
      <c r="EL87" s="153" t="e">
        <f t="shared" ca="1" si="260"/>
        <v>#N/A</v>
      </c>
      <c r="EM87" s="153" t="e">
        <f t="shared" ca="1" si="261"/>
        <v>#N/A</v>
      </c>
      <c r="EN87" s="153" t="e">
        <f ca="1">IF(Control!$C$108=1,IF(AND(Control!$B$18=1,$EB87&gt;=Control!$B$19),$EB87-$DS87,IF(AND(Control!$B$18=2,$AW87=1,$EB87&gt;$DS87),$EB87-$DS87,0)))</f>
        <v>#N/A</v>
      </c>
      <c r="EO87" s="153" t="e">
        <f ca="1">IF(Control!$C$108=1,IF(AND(Control!$B$18=1,$EB87&gt;=Control!$B$19),$EF87,IF(AND(Control!$B$18=2,$AW87=1),$EF87,0)))</f>
        <v>#N/A</v>
      </c>
      <c r="EP87" s="153" t="e">
        <f ca="1">IF(Control!$C$108=1,IF(AND(Control!$B$18=1,$EB87&gt;=Control!$B$19),$EK87,IF(AND(Control!$B$18=2,$AW87=1),$EK87,0)))</f>
        <v>#N/A</v>
      </c>
      <c r="EQ87" s="153" t="e">
        <f t="shared" ca="1" si="389"/>
        <v>#N/A</v>
      </c>
      <c r="ER87" s="153" t="e">
        <f t="shared" ca="1" si="390"/>
        <v>#N/A</v>
      </c>
      <c r="ES87" s="153" t="e">
        <f t="shared" ca="1" si="442"/>
        <v>#N/A</v>
      </c>
      <c r="ET87" s="153" t="e">
        <f t="shared" ca="1" si="443"/>
        <v>#N/A</v>
      </c>
      <c r="EU87" s="153" t="e">
        <f t="shared" ca="1" si="391"/>
        <v>#N/A</v>
      </c>
      <c r="EV87" s="153" t="e">
        <f t="shared" ca="1" si="262"/>
        <v>#N/A</v>
      </c>
      <c r="EW87" s="153" t="e">
        <f t="shared" ca="1" si="263"/>
        <v>#N/A</v>
      </c>
      <c r="EX87" s="153" t="e">
        <f t="shared" ca="1" si="264"/>
        <v>#N/A</v>
      </c>
      <c r="EY87" s="157" t="e">
        <f t="shared" ca="1" si="265"/>
        <v>#DIV/0!</v>
      </c>
      <c r="EZ87" s="154" t="e">
        <f t="shared" ca="1" si="266"/>
        <v>#DIV/0!</v>
      </c>
      <c r="FA87" s="153" t="e">
        <f t="shared" ca="1" si="392"/>
        <v>#N/A</v>
      </c>
      <c r="FB87" s="153" t="e">
        <f t="shared" ca="1" si="267"/>
        <v>#N/A</v>
      </c>
      <c r="FC87" s="193" t="e">
        <f t="shared" ca="1" si="268"/>
        <v>#N/A</v>
      </c>
      <c r="FD87" s="158" t="e">
        <f t="shared" ca="1" si="393"/>
        <v>#N/A</v>
      </c>
      <c r="FE87" s="158" t="e">
        <f t="shared" ca="1" si="394"/>
        <v>#N/A</v>
      </c>
      <c r="FF87" s="159" t="e">
        <f t="shared" ca="1" si="269"/>
        <v>#N/A</v>
      </c>
      <c r="FG87" s="160" t="e">
        <f t="shared" ca="1" si="395"/>
        <v>#N/A</v>
      </c>
      <c r="FH87" s="158" t="e">
        <f t="shared" ca="1" si="396"/>
        <v>#N/A</v>
      </c>
      <c r="FI87" s="159" t="e">
        <f t="shared" ca="1" si="270"/>
        <v>#N/A</v>
      </c>
      <c r="FJ87" s="160" t="e">
        <f t="shared" ca="1" si="397"/>
        <v>#N/A</v>
      </c>
      <c r="FK87" s="160" t="e">
        <f t="shared" ca="1" si="271"/>
        <v>#N/A</v>
      </c>
      <c r="FL87" s="160" t="e">
        <f t="shared" ca="1" si="444"/>
        <v>#N/A</v>
      </c>
      <c r="FM87" s="160" t="e">
        <f t="shared" ca="1" si="272"/>
        <v>#N/A</v>
      </c>
      <c r="FN87" s="158">
        <f t="shared" ca="1" si="398"/>
        <v>0.01</v>
      </c>
      <c r="FO87" s="160">
        <f>Control!$C$101</f>
        <v>50</v>
      </c>
      <c r="FP87" s="150" t="e">
        <f t="shared" ca="1" si="273"/>
        <v>#N/A</v>
      </c>
      <c r="FQ87" s="150" t="e">
        <f ca="1">MAX(0,(Control!$C$112*(($DK87-Control!$C$97)/Control!$C$97)))</f>
        <v>#N/A</v>
      </c>
      <c r="FR87" s="150" t="e">
        <f ca="1">(1-$NT87)*Control!$C$113</f>
        <v>#DIV/0!</v>
      </c>
      <c r="FS87" s="198" t="e">
        <f t="shared" ca="1" si="274"/>
        <v>#N/A</v>
      </c>
      <c r="FT87" s="161">
        <f t="shared" ca="1" si="399"/>
        <v>83</v>
      </c>
      <c r="FU87" s="162" t="e">
        <f ca="1">IF(Control!$B$34=1,VLOOKUP($CP87,Control!$B$86:$G$91,6),Control!$B$35)</f>
        <v>#N/A</v>
      </c>
      <c r="FV87" s="162" t="e">
        <f t="shared" ca="1" si="275"/>
        <v>#DIV/0!</v>
      </c>
      <c r="FW87" s="162" t="e">
        <f ca="1">IF(Control!$B$31=1,$FU87*$FV87,  $FU87)</f>
        <v>#N/A</v>
      </c>
      <c r="FX87" s="162" t="e">
        <f ca="1">IF(Control!$B$34=1,VLOOKUP($CP87,Control!$B$86:$G$91,3),Control!$B$36)</f>
        <v>#N/A</v>
      </c>
      <c r="FY87" s="162" t="e">
        <f t="shared" ca="1" si="276"/>
        <v>#N/A</v>
      </c>
      <c r="FZ87" s="162" t="e">
        <f ca="1">IF(Control!$B$34=1,VLOOKUP($CP87,Control!$B$86:$G$91,4),Control!$B$37)</f>
        <v>#N/A</v>
      </c>
      <c r="GA87" s="162" t="e">
        <f t="shared" ca="1" si="277"/>
        <v>#N/A</v>
      </c>
      <c r="GB87" s="162" t="e">
        <f ca="1">IF(Control!$B$34=1,VLOOKUP($CP87,Control!$B$86:$G$91,5),Control!$B$38)</f>
        <v>#N/A</v>
      </c>
      <c r="GC87" s="162" t="e">
        <f t="shared" ca="1" si="400"/>
        <v>#N/A</v>
      </c>
      <c r="GD87" s="162">
        <f t="shared" ca="1" si="278"/>
        <v>1</v>
      </c>
      <c r="GE87" s="162">
        <f t="shared" ca="1" si="279"/>
        <v>1</v>
      </c>
      <c r="GF87" s="162">
        <f ca="1">IF(AND(Control!$C$104=1, Control!$C$62="F"),$GE87,1)</f>
        <v>1</v>
      </c>
      <c r="GG87" s="162" t="e">
        <f ca="1">IF(Control!$B$16=40,0,IF(AND(Control!$B$16&gt;40,Control!$B$16&lt;=360),(Control!$B$16-40)*((1-0)/(360-40)),IF(AND(Control!$B$16&gt;360,Control!$B$16&lt;=720),(1+(Control!$B$16-360)*((1.25-1)/(720-360))),IF(AND(Control!$B$16&gt;720,Control!$B$16&lt;=1000),(1.25+(Control!$B$16-720)*((1.35-1.25)/(1000-720))),IF(AND(Control!$B$16&gt;1000,Control!$B$16&lt;=2000),(1.35+(Control!$B$16-1000)*0))))))</f>
        <v>#N/A</v>
      </c>
      <c r="GH87" s="162" t="e">
        <f t="shared" ca="1" si="280"/>
        <v>#N/A</v>
      </c>
      <c r="GI87" s="162">
        <f t="shared" ca="1" si="401"/>
        <v>0</v>
      </c>
      <c r="GJ87" s="162">
        <f t="shared" ca="1" si="281"/>
        <v>0</v>
      </c>
      <c r="GK87" s="162">
        <f t="shared" ca="1" si="402"/>
        <v>1</v>
      </c>
      <c r="GL87" s="162">
        <f t="shared" ca="1" si="282"/>
        <v>1</v>
      </c>
      <c r="GM87" s="162" t="e">
        <f ca="1">MAX(0,MIN(1,1-Control!$C$156*(1.0001-$KH87)^2))</f>
        <v>#N/A</v>
      </c>
      <c r="GN87" s="162" t="e">
        <f ca="1">IF(Control!$B$26=1,$KU87,$KX87)</f>
        <v>#N/A</v>
      </c>
      <c r="GO87" s="162" t="e">
        <f ca="1">IF($CP87&lt;=60,Control!$C$105,IF($CP87&gt;=90,Control!$C$106,Control!$C$105+($CP87-60)*((Control!$C$106-Control!$C$105)/(90-60))))</f>
        <v>#N/A</v>
      </c>
      <c r="GP87" s="162" t="e">
        <f t="shared" ca="1" si="283"/>
        <v>#N/A</v>
      </c>
      <c r="GQ87" s="162" t="e">
        <f t="shared" ca="1" si="403"/>
        <v>#N/A</v>
      </c>
      <c r="GR87" s="163" t="e">
        <f t="shared" ca="1" si="284"/>
        <v>#DIV/0!</v>
      </c>
      <c r="GS87" s="162" t="e">
        <f t="shared" ca="1" si="285"/>
        <v>#DIV/0!</v>
      </c>
      <c r="GT87" s="164" t="e">
        <f t="shared" ca="1" si="404"/>
        <v>#N/A</v>
      </c>
      <c r="GU87" s="162" t="e">
        <f t="shared" ca="1" si="405"/>
        <v>#N/A</v>
      </c>
      <c r="GV87" s="162" t="e">
        <f t="shared" ca="1" si="286"/>
        <v>#N/A</v>
      </c>
      <c r="GW87" s="162" t="e">
        <f t="shared" ca="1" si="287"/>
        <v>#DIV/0!</v>
      </c>
      <c r="GX87" s="162" t="e">
        <f t="shared" ca="1" si="406"/>
        <v>#DIV/0!</v>
      </c>
      <c r="GY87" s="162" t="e">
        <f t="shared" ca="1" si="407"/>
        <v>#DIV/0!</v>
      </c>
      <c r="GZ87" s="165" t="e">
        <f t="shared" ca="1" si="288"/>
        <v>#N/A</v>
      </c>
      <c r="HA87" s="162" t="e">
        <f ca="1">IF(Control!$C$114=1, $DI87*$FS87, 0)</f>
        <v>#N/A</v>
      </c>
      <c r="HB87" s="162" t="e">
        <f ca="1">$FA87/Control!$C$64</f>
        <v>#N/A</v>
      </c>
      <c r="HC87" s="162" t="e">
        <f t="shared" ca="1" si="289"/>
        <v>#DIV/0!</v>
      </c>
      <c r="HD87" s="162">
        <f ca="1">-ASIN(SIN(23.45*Control!$C$139)*COS(2*Control!$C$138*($AH87+10)/365))</f>
        <v>1.1988136787167343E-2</v>
      </c>
      <c r="HE87" s="165">
        <f t="shared" ca="1" si="408"/>
        <v>0</v>
      </c>
      <c r="HF87" s="166">
        <f ca="1">IF(AND(Control!$C$61="T",$HE87&gt;=Control!$C$103,Control!$C$114=0),$AH87,Control!$C$59)</f>
        <v>1</v>
      </c>
      <c r="HG87" s="166">
        <f ca="1">IF(AND(Control!$C$61="T",$HE87&gt;=Control!$C$103,Control!$C$114=0),$HF87,Control!$C$59)</f>
        <v>1</v>
      </c>
      <c r="HH87" s="165">
        <f ca="1">IF(AND(OR(Control!$C$60&lt;=0, $AH87= Control!$C$59, Control!$C$60 &gt;0, $AH87 = Control!$C$60)), Control!$C$59, IF(Control!$C$60&gt;0, 0))</f>
        <v>1</v>
      </c>
      <c r="HI87" s="165">
        <f ca="1">IF(AND(OR(Control!$C$60&lt;=0, $AH87= Control!$C$59, Control!$C$60 &gt;0, $AH87 = Control!$C$60)), Control!$C$60, IF(Control!$C$60&lt;=0, 0))</f>
        <v>0</v>
      </c>
      <c r="HJ87" s="166">
        <f ca="1">IF(AND(Control!$C$62="F",$CV87&gt;=Control!$C$102),$AH87,0)</f>
        <v>0</v>
      </c>
      <c r="HK87" s="165" t="e">
        <f t="shared" ca="1" si="445"/>
        <v>#N/A</v>
      </c>
      <c r="HL87" s="166">
        <f ca="1">IF(AND(Control!$C$61="T",$HE87&gt;=Control!$C$103,Control!$C$114=0),$HF87,0)</f>
        <v>0</v>
      </c>
      <c r="HM87" s="201" t="e">
        <f t="shared" ca="1" si="290"/>
        <v>#DIV/0!</v>
      </c>
      <c r="HN87" s="215">
        <f t="shared" ca="1" si="409"/>
        <v>83</v>
      </c>
      <c r="HO87" s="216" t="e">
        <f ca="1">IF(AND($CP87&gt;=0, $CP87&lt;=90), Control!$C$152, Control!$C$152)</f>
        <v>#N/A</v>
      </c>
      <c r="HP87" s="216" t="e">
        <f t="shared" ca="1" si="291"/>
        <v>#N/A</v>
      </c>
      <c r="HQ87" s="217" t="e">
        <f ca="1">IF(OR(Control!$B$26=1,Control!$B$26=2),$KV87,$KS87)</f>
        <v>#DIV/0!</v>
      </c>
      <c r="HR87" s="218" t="e">
        <f t="shared" ca="1" si="446"/>
        <v>#DIV/0!</v>
      </c>
      <c r="HS87" s="216" t="e">
        <f ca="1">Control!$C$154*$HP87</f>
        <v>#N/A</v>
      </c>
      <c r="HT87" s="216" t="e">
        <f ca="1">Control!$C$155*$HP87</f>
        <v>#N/A</v>
      </c>
      <c r="HU87" s="217" t="e">
        <f ca="1">Control!$C$161*$FI87</f>
        <v>#N/A</v>
      </c>
      <c r="HV87" s="218" t="e">
        <f t="shared" ca="1" si="410"/>
        <v>#N/A</v>
      </c>
      <c r="HW87" s="218" t="e">
        <f ca="1">Control!$C$160*$FF87+$IP87*$EO87</f>
        <v>#N/A</v>
      </c>
      <c r="HX87" s="218" t="e">
        <f t="shared" ca="1" si="447"/>
        <v>#N/A</v>
      </c>
      <c r="HY87" s="219" t="e">
        <f ca="1">IF(Control!$C$114=1, $EB87*$FS87, 0)</f>
        <v>#N/A</v>
      </c>
      <c r="HZ87" s="91" t="e">
        <f t="shared" ca="1" si="292"/>
        <v>#N/A</v>
      </c>
      <c r="IA87" s="220" t="e">
        <f ca="1">Control!$C$153*$HO87</f>
        <v>#N/A</v>
      </c>
      <c r="IB87" s="218" t="e">
        <f t="shared" ca="1" si="293"/>
        <v>#N/A</v>
      </c>
      <c r="IC87" s="220" t="e">
        <f ca="1">Control!$C$153*$HT87</f>
        <v>#N/A</v>
      </c>
      <c r="ID87" s="218" t="e">
        <f t="shared" ca="1" si="294"/>
        <v>#N/A</v>
      </c>
      <c r="IE87" s="221" t="e">
        <f ca="1">($EB87*Control!$C$159+$EF87*Control!$C$160)/(IF($GZ87&lt;&gt;0,$GZ87,1))</f>
        <v>#N/A</v>
      </c>
      <c r="IF87" s="216" t="e">
        <f t="shared" ca="1" si="295"/>
        <v>#N/A</v>
      </c>
      <c r="IG87" s="91">
        <f ca="1">IF(OR(Control!$B$198=$AH87,Control!$B$199=$AH87, Control!$B$200=$AH87, Control!$B$201=$AH87, Control!$B$202=$AH87, Control!$B$203=$AH87, Control!$B$204=$AH87, Control!$B$205=$AH87, Control!$B$206=$AH87, Control!$B$207=$AH87), 1, 0)</f>
        <v>0</v>
      </c>
      <c r="IH87" s="91">
        <f ca="1">IF($IG87=0,0, VLOOKUP($AH87,Control!$B$198:$C$207,2))</f>
        <v>0</v>
      </c>
      <c r="II87" s="222">
        <f t="shared" ca="1" si="411"/>
        <v>0</v>
      </c>
      <c r="IJ87" s="91">
        <f>Control!$C$121</f>
        <v>0.7</v>
      </c>
      <c r="IK87" s="218">
        <f t="shared" ca="1" si="296"/>
        <v>0</v>
      </c>
      <c r="IL87" s="217" t="e">
        <f t="shared" ca="1" si="448"/>
        <v>#N/A</v>
      </c>
      <c r="IM87" s="223" t="e">
        <f ca="1">IF(AND(Control!$C$114=1,$KH87&lt;1),$EB87*Control!$C$148*(1-$KH87), 0)</f>
        <v>#N/A</v>
      </c>
      <c r="IN87" s="217" t="e">
        <f t="shared" ca="1" si="297"/>
        <v>#DIV/0!</v>
      </c>
      <c r="IO87" s="91" t="e">
        <f ca="1">MAX(0,$IL87-$EF87*Control!$C$160)</f>
        <v>#N/A</v>
      </c>
      <c r="IP87" s="220" t="e">
        <f t="shared" ca="1" si="298"/>
        <v>#N/A</v>
      </c>
      <c r="IQ87" s="217" t="e">
        <f t="shared" ca="1" si="412"/>
        <v>#N/A</v>
      </c>
      <c r="IR87" s="218" t="e">
        <f t="shared" ca="1" si="299"/>
        <v>#N/A</v>
      </c>
      <c r="IS87" s="217" t="e">
        <f ca="1">Control!$C$159*MAX(0,$FD87-$EN87)</f>
        <v>#N/A</v>
      </c>
      <c r="IT87" s="217" t="e">
        <f t="shared" ca="1" si="449"/>
        <v>#N/A</v>
      </c>
      <c r="IU87" s="217" t="e">
        <f t="shared" ca="1" si="413"/>
        <v>#N/A</v>
      </c>
      <c r="IV87" s="217" t="e">
        <f t="shared" ca="1" si="450"/>
        <v>#N/A</v>
      </c>
      <c r="IW87" s="217" t="e">
        <f ca="1">IF(OR($AW87=1,AND($AW87=0, Control!$B$18=1,$EN87&lt;&gt;0)), $IQ87-$IU87, $IQ87)</f>
        <v>#N/A</v>
      </c>
      <c r="IX87" s="218" t="e">
        <f t="shared" ca="1" si="300"/>
        <v>#N/A</v>
      </c>
      <c r="IY87" s="218" t="e">
        <f ca="1">MAX(0,$IQ87-$EB87*Control!$C$159)</f>
        <v>#N/A</v>
      </c>
      <c r="IZ87" s="218" t="e">
        <f t="shared" ca="1" si="301"/>
        <v>#N/A</v>
      </c>
      <c r="JA87" s="216" t="e">
        <f t="shared" ca="1" si="302"/>
        <v>#N/A</v>
      </c>
      <c r="JB87" s="217" t="e">
        <f t="shared" ca="1" si="303"/>
        <v>#N/A</v>
      </c>
      <c r="JC87" s="222" t="e">
        <f ca="1">MAX(Control!$C$157*$EK87-$JT87, 0)/Control!$C$162</f>
        <v>#N/A</v>
      </c>
      <c r="JD87" s="218" t="e">
        <f t="shared" ca="1" si="304"/>
        <v>#N/A</v>
      </c>
      <c r="JE87" s="218" t="e">
        <f t="shared" ca="1" si="305"/>
        <v>#N/A</v>
      </c>
      <c r="JF87" s="218" t="e">
        <f t="shared" ca="1" si="414"/>
        <v>#N/A</v>
      </c>
      <c r="JG87" s="218" t="e">
        <f t="shared" ca="1" si="306"/>
        <v>#N/A</v>
      </c>
      <c r="JH87" s="217" t="e">
        <f t="shared" ca="1" si="415"/>
        <v>#N/A</v>
      </c>
      <c r="JI87" s="217" t="e">
        <f t="shared" ca="1" si="416"/>
        <v>#N/A</v>
      </c>
      <c r="JJ87" s="217" t="e">
        <f t="shared" ca="1" si="451"/>
        <v>#N/A</v>
      </c>
      <c r="JK87" s="217" t="e">
        <f ca="1">IF(Control!$C$114=1,IF(Control!$B$24=0,MAX(0,$JI87)*$GN87/Control!$C$64,(MAX(0,MIN($JI87,$JJ87*$GN87/Control!$C$64),0))))</f>
        <v>#N/A</v>
      </c>
      <c r="JL87" s="217" t="e">
        <f ca="1">$IK87/Control!$C$64-$JK87+$HQ87</f>
        <v>#N/A</v>
      </c>
      <c r="JM87" s="217" t="e">
        <f ca="1">IF(Control!$C$114=1,($JB87/(IF($JI87&lt;&gt;0,$JI87,1)))*$JK87,0)</f>
        <v>#N/A</v>
      </c>
      <c r="JN87" s="217" t="e">
        <f ca="1">IF(Control!$C$114=1,($JG87/(IF($JI87&lt;&gt;0,$JI87,1)))*$JK87, 0)</f>
        <v>#N/A</v>
      </c>
      <c r="JO87" s="218" t="e">
        <f t="shared" ca="1" si="307"/>
        <v>#N/A</v>
      </c>
      <c r="JP87" s="218" t="e">
        <f ca="1">MIN(($IY87+$IO87)*Control!$C$151, $JF87-$EH87*Control!$C$161)</f>
        <v>#N/A</v>
      </c>
      <c r="JQ87" s="218" t="e">
        <f t="shared" ca="1" si="308"/>
        <v>#N/A</v>
      </c>
      <c r="JR87" s="217" t="e">
        <f ca="1">IF($CP87-Control!$C$150&lt;0, 0, $JQ87/Control!$C$162)</f>
        <v>#N/A</v>
      </c>
      <c r="JS87" s="218" t="e">
        <f t="shared" ca="1" si="309"/>
        <v>#N/A</v>
      </c>
      <c r="JT87" s="218" t="e">
        <f t="shared" ca="1" si="417"/>
        <v>#N/A</v>
      </c>
      <c r="JU87" s="218" t="e">
        <f t="shared" ca="1" si="310"/>
        <v>#N/A</v>
      </c>
      <c r="JV87" s="218" t="e">
        <f t="shared" ca="1" si="311"/>
        <v>#N/A</v>
      </c>
      <c r="JW87" s="216" t="e">
        <f t="shared" ca="1" si="312"/>
        <v>#N/A</v>
      </c>
      <c r="JX87" s="91" t="e">
        <f t="shared" ca="1" si="313"/>
        <v>#N/A</v>
      </c>
      <c r="JY87" s="218" t="e">
        <f t="shared" ca="1" si="314"/>
        <v>#N/A</v>
      </c>
      <c r="JZ87" s="217" t="e">
        <f ca="1">IF(Control!$C$114=1,($IZ87/(IF($JI87&lt;&gt;0,$JI87,1)))*$JK87, 0)</f>
        <v>#N/A</v>
      </c>
      <c r="KA87" s="218" t="e">
        <f t="shared" ca="1" si="452"/>
        <v>#N/A</v>
      </c>
      <c r="KB87" s="218" t="e">
        <f t="shared" ca="1" si="418"/>
        <v>#N/A</v>
      </c>
      <c r="KC87" s="218" t="e">
        <f t="shared" ca="1" si="315"/>
        <v>#N/A</v>
      </c>
      <c r="KD87" s="218" t="e">
        <f t="shared" ca="1" si="316"/>
        <v>#N/A</v>
      </c>
      <c r="KE87" s="218" t="e">
        <f t="shared" ca="1" si="317"/>
        <v>#N/A</v>
      </c>
      <c r="KF87" s="218" t="e">
        <f t="shared" ca="1" si="318"/>
        <v>#N/A</v>
      </c>
      <c r="KG87" s="216" t="e">
        <f t="shared" ca="1" si="319"/>
        <v>#N/A</v>
      </c>
      <c r="KH87" s="221" t="e">
        <f ca="1">IF(Control!$B$24=0,1,MAX(0.001,MIN(1,IF(($IF87-$IE87)&lt;&gt;0,($KG87-$IE87)/($IF87-$IE87),1))))</f>
        <v>#N/A</v>
      </c>
      <c r="KI87" s="222" t="e">
        <f ca="1">IF(Control!$C$114=1, $KI86+ $KH86, 0)</f>
        <v>#N/A</v>
      </c>
      <c r="KJ87" s="217" t="e">
        <f t="shared" ca="1" si="320"/>
        <v>#N/A</v>
      </c>
      <c r="KK87" s="218" t="e">
        <f t="shared" ca="1" si="321"/>
        <v>#N/A</v>
      </c>
      <c r="KL87" s="274" t="e">
        <f ca="1">IF(Control!$B$26=3,4000000000*EXP(-8400/($G87+273)),IF(Control!$B$26=4,4000000000*EXP(-8400/($G87+273))*($KT87),0))</f>
        <v>#DIV/0!</v>
      </c>
      <c r="KM87" s="274" t="e">
        <f ca="1">IF(Control!$B$26=3,5600000000000*EXP(-9800/($G87+273)),IF(Control!$B$26=4,5600000000000*EXP(-9800/($G87+273))*$KT87,0))</f>
        <v>#DIV/0!</v>
      </c>
      <c r="KN87" s="454" t="e">
        <f t="shared" ca="1" si="419"/>
        <v>#DIV/0!</v>
      </c>
      <c r="KO87" s="274" t="e">
        <f t="shared" ca="1" si="420"/>
        <v>#DIV/0!</v>
      </c>
      <c r="KP87" s="454" t="e">
        <f t="shared" ca="1" si="322"/>
        <v>#DIV/0!</v>
      </c>
      <c r="KQ87" s="454" t="e">
        <f t="shared" ca="1" si="323"/>
        <v>#DIV/0!</v>
      </c>
      <c r="KR87" s="454" t="e">
        <f t="shared" ca="1" si="324"/>
        <v>#DIV/0!</v>
      </c>
      <c r="KS87" s="454" t="e">
        <f t="shared" ca="1" si="325"/>
        <v>#DIV/0!</v>
      </c>
      <c r="KT87" s="455" t="e">
        <f t="shared" ca="1" si="326"/>
        <v>#DIV/0!</v>
      </c>
      <c r="KU87" s="456" t="e">
        <f ca="1">IF($CP87-Control!$C$149&lt;0, IF($NT87-0.01&lt;0,0,1),0)</f>
        <v>#N/A</v>
      </c>
      <c r="KV87" s="456" t="e">
        <f ca="1">IF(Control!$C$114=1,MAX(0,MIN(Control!$C$125*$KW87*$GN87,$KW87)))</f>
        <v>#DIV/0!</v>
      </c>
      <c r="KW87" s="456" t="e">
        <f t="shared" ca="1" si="453"/>
        <v>#DIV/0!</v>
      </c>
      <c r="KX87" s="457" t="e">
        <f ca="1">IF($CP87-Control!$C$149&lt;0, IF($MR87-$OM87&lt;0,0,1),0)</f>
        <v>#N/A</v>
      </c>
      <c r="KY87" s="167">
        <f t="shared" ca="1" si="421"/>
        <v>83</v>
      </c>
      <c r="KZ87" s="168">
        <f ca="1">1370*(1+0.033*COS(2*Control!$C$138*$AH87/365))</f>
        <v>1376.3988872159857</v>
      </c>
      <c r="LA87" s="169">
        <f t="shared" ca="1" si="422"/>
        <v>1.0046708297421625</v>
      </c>
      <c r="LB87" s="169">
        <f t="shared" ca="1" si="423"/>
        <v>1.5856687014443618E-2</v>
      </c>
      <c r="LC87" s="169">
        <f ca="1">ACOS(-TAN((2*Control!$B$8/360))*TAN(Calculations!$LB87))</f>
        <v>1.575509396292228</v>
      </c>
      <c r="LD87" s="169">
        <f ca="1">((24*60)/PI())*0.082*$LA87*(($LC87*SIN(Control!$B$8*2*PI()/360))*SIN($LB87)+COS(Control!$B$8*2*PI()/360)*COS($LB87)*SIN($LC87))</f>
        <v>23.988532339772835</v>
      </c>
      <c r="LE87" s="170">
        <f t="shared" ca="1" si="327"/>
        <v>23.867704706957962</v>
      </c>
      <c r="LF87" s="170">
        <f ca="1">SIN(Control!$C$139*Control!$B$8)*SIN($HD87)</f>
        <v>9.4465700944359535E-3</v>
      </c>
      <c r="LG87" s="170">
        <f ca="1">COS(Control!$C$139*Control!$B$8)*COS($HD87)</f>
        <v>0.61561556355711189</v>
      </c>
      <c r="LH87" s="170">
        <f ca="1">12*(1+2*ASIN(MAX(-1,MIN(1,$LF87/$LG87))/Control!$C$138))</f>
        <v>12.117226727376487</v>
      </c>
      <c r="LI87" s="170">
        <f ca="1">12*(1+2*ASIN(MAX(-1,MIN(1,(-SIN(-4*Control!$C$139)+$LF87)/$LG87))/Control!$C$138))</f>
        <v>12.983139163545495</v>
      </c>
      <c r="LJ87" s="168">
        <f ca="1">3600*($LH87*$LF87+24*$LG87*SQRT(1-$LK87*$LK87)/Control!$C$138)</f>
        <v>17340.688755739033</v>
      </c>
      <c r="LK87" s="170">
        <f t="shared" ca="1" si="328"/>
        <v>1.5344917597359568E-2</v>
      </c>
      <c r="LL87" s="170">
        <f t="shared" ca="1" si="329"/>
        <v>0</v>
      </c>
      <c r="LM87" s="171">
        <f ca="1">Control!$C$145*$AB87</f>
        <v>6.6660906138995932E-2</v>
      </c>
      <c r="LN87" s="170">
        <f t="shared" ca="1" si="424"/>
        <v>0.54</v>
      </c>
      <c r="LO87" s="170">
        <f t="shared" ca="1" si="330"/>
        <v>0</v>
      </c>
      <c r="LP87" s="170">
        <f ca="1">Control!$C$140*((($D87+273.16)^4+($E87+273.16)^4)/2)*(0.34-0.14*SQRT($Y87))*(1.35*$AQ87/(0.75*$LD87)-0.35)</f>
        <v>-3.2464704755046001</v>
      </c>
      <c r="LQ87" s="170">
        <f ca="1">Control!$C$140*($G87+273)^4*(0.56-0.079*SQRT($Y87*10))*(0.1+0.9*$LO87)</f>
        <v>1.5241745131704001</v>
      </c>
      <c r="LR87" s="170">
        <f ca="1">$AQ87*(1-Control!$C$142)-$LQ87</f>
        <v>-1.5241745131704001</v>
      </c>
      <c r="LS87" s="170">
        <f ca="1">$AQ87*(1-Control!$C$143)-$LQ87</f>
        <v>-1.5241745131704001</v>
      </c>
      <c r="LT87" s="170">
        <f ca="1">$AQ87*(1-Control!$C$144)-$LQ87</f>
        <v>-1.5241745131704001</v>
      </c>
      <c r="LU87" s="169">
        <f ca="1">(1-Control!$C$144)*AQ87-LP87</f>
        <v>3.2464704755046001</v>
      </c>
      <c r="LV87" s="172">
        <f t="shared" ca="1" si="331"/>
        <v>0.79430000000000012</v>
      </c>
      <c r="LW87" s="170">
        <f t="shared" ca="1" si="332"/>
        <v>1.5886000000000002</v>
      </c>
      <c r="LX87" s="170">
        <f ca="1">($AC87*($LR87/Control!$C$141)+$LM87*$LV87)/($AC87+$LM87)</f>
        <v>0.23530094218323697</v>
      </c>
      <c r="LY87" s="170">
        <f ca="1">($AC87*($LS87/Control!$C$141)+$LM87*$LV87)/($AC87+$LM87)</f>
        <v>0.23530094218323697</v>
      </c>
      <c r="LZ87" s="170">
        <f t="shared" ca="1" si="333"/>
        <v>0.23530094218323697</v>
      </c>
      <c r="MA87" s="170">
        <f t="shared" ca="1" si="334"/>
        <v>0.23530094218323697</v>
      </c>
      <c r="MB87" s="170" t="e">
        <f t="shared" ca="1" si="335"/>
        <v>#N/A</v>
      </c>
      <c r="MC87" s="170">
        <f t="shared" ca="1" si="425"/>
        <v>0.6018</v>
      </c>
      <c r="MD87" s="170">
        <f t="shared" ca="1" si="336"/>
        <v>0.52989392535414004</v>
      </c>
      <c r="ME87" s="170">
        <f ca="1">($AC87*($LT87/Control!$C$141)+$LM87*$LW87)/($AC87+$LM87)</f>
        <v>0.71612369323045078</v>
      </c>
      <c r="MF87" s="170" t="e">
        <f ca="1">IF(Control!$B$16&gt;=1000,0.92,IF(AND(720&lt;=Control!$B$16,1000&gt;Control!$B$16),(0.95+(Control!$B$16-720)*((0.92-0.95)/(1000-720))),IF(AND(360&lt;=Control!$B$16,720&gt;Control!$B$16),(1+(Control!$B$16-360)*((0.95-1)/(720-360))),IF(AND(40&lt;=Control!$B$16,360&gt;Control!$B$16),(1.05+(Control!$B$16-40)*((1.05-1)/(360-40)))))))</f>
        <v>#N/A</v>
      </c>
      <c r="MG87" s="170">
        <f t="shared" ca="1" si="337"/>
        <v>0.71612369323045078</v>
      </c>
      <c r="MH87" s="170" t="e">
        <f t="shared" ca="1" si="462"/>
        <v>#N/A</v>
      </c>
      <c r="MI87" s="170" t="e">
        <f t="shared" ca="1" si="462"/>
        <v>#N/A</v>
      </c>
      <c r="MJ87" s="170" t="e">
        <f ca="1">MAX(0.0001, Control!$C$132*$MI87*$DL87)</f>
        <v>#N/A</v>
      </c>
      <c r="MK87" s="170">
        <f ca="1">1/(0.76+1.5*($MG87/10))-(5-Control!$C$110)*0.1</f>
        <v>1.002845988140797</v>
      </c>
      <c r="ML87" s="173">
        <f ca="1">IF(Control!$C$110&lt;3,$MK87+($MG87-0.6)/(Control!$C$110*(Control!$C$110+3)), MAX(0.1, MIN(0.95,$MK87)))</f>
        <v>0.95</v>
      </c>
      <c r="MM87" s="173">
        <f ca="1">IF(Control!$C$110&lt;3,$MK87+(($MI87/10)-0.6)/(Control!$C$110*(Control!$C$110+3)), MAX(0.1, MIN(0.95,$MK87)))</f>
        <v>0.95</v>
      </c>
      <c r="MN87" s="173">
        <f ca="1">(1-$MM87)*(Control!$C$128-Control!$C$127)+Control!$C$127</f>
        <v>0.16</v>
      </c>
      <c r="MO87" s="170" t="e">
        <f ca="1">MAX(0,MIN(1,($MS87-Control!$C$127)/($MN87-Control!$C$127)))</f>
        <v>#DIV/0!</v>
      </c>
      <c r="MP87" s="173" t="e">
        <f ca="1">1/(0.76+1.5*$MI87)-(5-Control!$C$110)*0.1</f>
        <v>#N/A</v>
      </c>
      <c r="MQ87" s="172" t="e">
        <f t="shared" ca="1" si="454"/>
        <v>#DIV/0!</v>
      </c>
      <c r="MR87" s="168" t="e">
        <f t="shared" ca="1" si="426"/>
        <v>#DIV/0!</v>
      </c>
      <c r="MS87" s="173" t="e">
        <f ca="1">MAX(Control!$C$127, MIN(Control!$C$135, $MR87/MAX(0.0001,$CY87)))</f>
        <v>#DIV/0!</v>
      </c>
      <c r="MT87" s="168" t="e">
        <f ca="1">(Control!$C$128-$MS87)*Control!$C$74</f>
        <v>#DIV/0!</v>
      </c>
      <c r="MU87" s="168" t="e">
        <f ca="1">(Control!$C$135-$MS87)*Control!$C$74</f>
        <v>#DIV/0!</v>
      </c>
      <c r="MV87" s="168" t="e">
        <f t="shared" ca="1" si="427"/>
        <v>#DIV/0!</v>
      </c>
      <c r="MW87" s="168" t="e">
        <f t="shared" ca="1" si="428"/>
        <v>#DIV/0!</v>
      </c>
      <c r="MX87" s="171" t="e">
        <f ca="1">MAX(Control!$C$127, MIN(Control!$C$135, $MW87/MAX(0.0001,Control!$C$119-$CY87)))</f>
        <v>#DIV/0!</v>
      </c>
      <c r="MY87" s="54" t="e">
        <f ca="1">IF(Control!$C$114=1, $CX87*$MX87, 0)</f>
        <v>#DIV/0!</v>
      </c>
      <c r="MZ87" s="54" t="e">
        <f t="shared" ca="1" si="429"/>
        <v>#N/A</v>
      </c>
      <c r="NA87" s="168" t="e">
        <f ca="1">(Control!$C$128-$MX87)*(Control!$C$119-Control!$C$74)</f>
        <v>#DIV/0!</v>
      </c>
      <c r="NB87" s="168" t="e">
        <f ca="1">(Control!$C$135-$MX87)*(Control!$C$119-Control!$C$74)</f>
        <v>#DIV/0!</v>
      </c>
      <c r="NC87" s="174" t="e">
        <f t="shared" ca="1" si="430"/>
        <v>#DIV/0!</v>
      </c>
      <c r="ND87" s="54">
        <f ca="1">IF(Control!$C$58=2, IF(OR(Control!$B$218=$AH87,Control!$B$219=$AH87, Control!$B$220=$AH87, Control!$B$221=$AH87, Control!$B$222=$AH87, Control!$B$223=$AH87, Control!$B$224=$AH87, Control!$B$225=$AH87, Control!$B$226=$AH87, Control!$B$227=$AH87, Control!$B$228=$AH87), 1, 0), 0)</f>
        <v>0</v>
      </c>
      <c r="NE87" s="54">
        <f ca="1">IF($ND87=0,0, VLOOKUP($AH87,Control!$B$218:$C$228,2))</f>
        <v>0</v>
      </c>
      <c r="NF87" s="168" t="e">
        <f ca="1">$CY87*(Control!$C$128-Control!$C$127)</f>
        <v>#N/A</v>
      </c>
      <c r="NG87" s="54" t="e">
        <f ca="1">IF(Control!$C$58=2, $NI86-$NJ86, 0)</f>
        <v>#DIV/0!</v>
      </c>
      <c r="NH87" s="54" t="e">
        <f ca="1">IF(AND(Control!$C$58=1, $MS86&lt;= ($MN86+0.02), $I86&lt;10), 0, IF(Control!$C$58=2, $NG86, 0))</f>
        <v>#DIV/0!</v>
      </c>
      <c r="NI87" s="54" t="e">
        <f ca="1">IF(Control!$C$58=2, $NE87+$NH87,0)</f>
        <v>#DIV/0!</v>
      </c>
      <c r="NJ87" s="54" t="e">
        <f ca="1">IF(AND(Control!$C$58=1, $MS87&lt;= ($MN87+0.02), $I87&lt;10), MAX(0, MIN(10, 0.7*($NF87-$MV87))), IF(Control!$C$58=2, MIN(10,$NI87),0))</f>
        <v>#DIV/0!</v>
      </c>
      <c r="NK87" s="54" t="e">
        <f t="shared" ca="1" si="338"/>
        <v>#DIV/0!</v>
      </c>
      <c r="NL87" s="173" t="e">
        <f ca="1">(1-Control!$C$73)*$I87+$NJ87</f>
        <v>#DIV/0!</v>
      </c>
      <c r="NM87" s="172" t="e">
        <f ca="1">IF($NL87&lt;0.5, $MB87* MAX(0, MIN(1, (SQRT($NC87)-SQRT($NC87-1))*Control!$C$71)),0)</f>
        <v>#DIV/0!</v>
      </c>
      <c r="NN87" s="170" t="e">
        <f ca="1">IF($NL87&gt;=5, $MB87, MAX(0,MIN($MB87, $NM87+$NL87,($MS87-Control!$C$129))))</f>
        <v>#DIV/0!</v>
      </c>
      <c r="NO87" s="54">
        <f>IF(Control!$C$133&lt;&gt;1, Control!$C$135-Control!$C$131, 0)</f>
        <v>0.38</v>
      </c>
      <c r="NP87" s="54" t="e">
        <f t="shared" ca="1" si="339"/>
        <v>#DIV/0!</v>
      </c>
      <c r="NQ87" s="173" t="e">
        <f ca="1">MAX(0,MIN(1,(Control!$C$135-$MS87)/(Control!$C$135-$NO87)))</f>
        <v>#DIV/0!</v>
      </c>
      <c r="NR87" s="170" t="e">
        <f ca="1">IF(Control!$C$133&lt;&gt;1, $NQ87+((1-$NP87/4)*(1-$NQ87)),1)</f>
        <v>#DIV/0!</v>
      </c>
      <c r="NS87" s="170" t="e">
        <f ca="1">IF(Control!$B$31=0,$MJ87,MAX(0,MIN($MV87,$MO87*$NR87*$MJ87)))</f>
        <v>#DIV/0!</v>
      </c>
      <c r="NT87" s="170" t="e">
        <f t="shared" ca="1" si="455"/>
        <v>#DIV/0!</v>
      </c>
      <c r="NU87" s="170" t="e">
        <f t="shared" ca="1" si="431"/>
        <v>#N/A</v>
      </c>
      <c r="NV87" s="170" t="e">
        <f t="shared" ca="1" si="340"/>
        <v>#N/A</v>
      </c>
      <c r="NW87" s="175" t="e">
        <f t="shared" ca="1" si="341"/>
        <v>#DIV/0!</v>
      </c>
      <c r="NX87" s="170" t="e">
        <f ca="1">MIN(Control!$C$72+$MU87, $NW87)</f>
        <v>#DIV/0!</v>
      </c>
      <c r="NY87" s="170" t="e">
        <f ca="1">IF($MT87&lt;=$NX87,MIN(Control!$C$72+$NB87,$NX87-$MT87),0)</f>
        <v>#DIV/0!</v>
      </c>
      <c r="NZ87" s="54" t="e">
        <f ca="1">IF(Control!$C$114=1,  $CX87*($MX87-Control!$C$127), 0)</f>
        <v>#DIV/0!</v>
      </c>
      <c r="OA87" s="170" t="e">
        <f t="shared" ca="1" si="342"/>
        <v>#DIV/0!</v>
      </c>
      <c r="OB87" s="170" t="e">
        <f ca="1">IF($NA87 &lt;=$NY87, MIN(Control!$C$72, $NY87-$NA87), 0)</f>
        <v>#DIV/0!</v>
      </c>
      <c r="OC87" s="168" t="e">
        <f t="shared" ca="1" si="343"/>
        <v>#DIV/0!</v>
      </c>
      <c r="OD87" s="168" t="e">
        <f t="shared" ca="1" si="432"/>
        <v>#DIV/0!</v>
      </c>
      <c r="OE87" s="170">
        <f ca="1">Control!$C$73*$I87</f>
        <v>0</v>
      </c>
      <c r="OF87" s="176" t="e">
        <f t="shared" ca="1" si="344"/>
        <v>#DIV/0!</v>
      </c>
      <c r="OG87" s="168" t="e">
        <f t="shared" ca="1" si="345"/>
        <v>#DIV/0!</v>
      </c>
      <c r="OH87" s="168" t="e">
        <f t="shared" ca="1" si="346"/>
        <v>#DIV/0!</v>
      </c>
      <c r="OI87" s="168" t="e">
        <f t="shared" ca="1" si="347"/>
        <v>#DIV/0!</v>
      </c>
      <c r="OJ87" s="168" t="e">
        <f t="shared" ca="1" si="348"/>
        <v>#DIV/0!</v>
      </c>
      <c r="OK87" s="204" t="e">
        <f t="shared" ca="1" si="349"/>
        <v>#DIV/0!</v>
      </c>
      <c r="OL87" s="177">
        <f>Control!$C$127</f>
        <v>0.15</v>
      </c>
      <c r="OM87" s="182" t="e">
        <f t="shared" ca="1" si="350"/>
        <v>#N/A</v>
      </c>
      <c r="ON87" s="177">
        <f>Control!$C$128</f>
        <v>0.35</v>
      </c>
      <c r="OO87" s="182" t="e">
        <f t="shared" ca="1" si="351"/>
        <v>#N/A</v>
      </c>
      <c r="OP87" s="138">
        <f t="shared" ca="1" si="433"/>
        <v>0</v>
      </c>
      <c r="OQ87" s="138" t="e">
        <f t="shared" ca="1" si="456"/>
        <v>#DIV/0!</v>
      </c>
      <c r="OR87" s="138" t="e">
        <f t="shared" ca="1" si="434"/>
        <v>#DIV/0!</v>
      </c>
      <c r="OS87" s="137" t="e">
        <f t="shared" ca="1" si="457"/>
        <v>#DIV/0!</v>
      </c>
      <c r="OT87" s="139" t="e">
        <f t="shared" ca="1" si="458"/>
        <v>#DIV/0!</v>
      </c>
      <c r="OU87" s="138" t="e">
        <f t="shared" ca="1" si="459"/>
        <v>#N/A</v>
      </c>
      <c r="OV87" s="138" t="e">
        <f t="shared" ca="1" si="460"/>
        <v>#DIV/0!</v>
      </c>
      <c r="OW87" s="138" t="e">
        <f t="shared" ca="1" si="435"/>
        <v>#DIV/0!</v>
      </c>
      <c r="OX87" s="138" t="e">
        <f t="shared" ca="1" si="436"/>
        <v>#DIV/0!</v>
      </c>
      <c r="OY87" s="138" t="e">
        <f t="shared" ca="1" si="437"/>
        <v>#DIV/0!</v>
      </c>
      <c r="OZ87" s="138" t="e">
        <f t="shared" ca="1" si="352"/>
        <v>#DIV/0!</v>
      </c>
      <c r="PA87" s="138" t="e">
        <f t="shared" ca="1" si="353"/>
        <v>#DIV/0!</v>
      </c>
      <c r="PB87" s="55">
        <f>IF(Control!$C$61="T", IF(Control!$C$65="F", IF($AH$6-Control!$C$60&lt;0,0,1), IF(365+$AH$6-Control!$C$60&lt;0,0,1)),0)</f>
        <v>0</v>
      </c>
      <c r="PC87" s="55">
        <f ca="1">IF(Control!$C$65="F", IF($AH$6-$HF87&lt;0,0,1), IF(365+$AH$6-$HF87&lt;0,0,1))</f>
        <v>1</v>
      </c>
      <c r="PD87" s="444">
        <f>Control!$C$118</f>
        <v>1500</v>
      </c>
      <c r="PE87" s="180" t="e">
        <f t="shared" ca="1" si="354"/>
        <v>#N/A</v>
      </c>
      <c r="PF87" s="445">
        <f t="shared" ca="1" si="438"/>
        <v>0.71612369323045078</v>
      </c>
      <c r="PT87" s="186"/>
      <c r="PU87" s="186"/>
      <c r="PV87" s="94"/>
      <c r="PW87" s="94"/>
      <c r="PX87" s="94"/>
      <c r="PY87" s="94"/>
      <c r="PZ87" s="94"/>
      <c r="QA87" s="94"/>
      <c r="QB87" s="94"/>
      <c r="QC87" s="94"/>
      <c r="QD87" s="94"/>
      <c r="QE87" s="94"/>
      <c r="QF87" s="94"/>
      <c r="QG87" s="94"/>
      <c r="QH87" s="94"/>
      <c r="QI87" s="94"/>
      <c r="QJ87" s="94"/>
      <c r="QK87" s="94"/>
      <c r="QL87" s="94"/>
      <c r="QM87" s="94"/>
      <c r="QN87" s="94"/>
      <c r="QO87" s="94"/>
      <c r="QP87" s="94"/>
    </row>
    <row r="88" spans="1:458" s="2" customFormat="1" x14ac:dyDescent="0.2">
      <c r="A88" s="395">
        <v>24</v>
      </c>
      <c r="B88" s="396">
        <v>3</v>
      </c>
      <c r="C88" s="387">
        <f ca="1">Weather_data!$B87</f>
        <v>0</v>
      </c>
      <c r="D88" s="388">
        <f ca="1">Weather_data!$F87</f>
        <v>0</v>
      </c>
      <c r="E88" s="388">
        <f ca="1">Weather_data!$E87</f>
        <v>0</v>
      </c>
      <c r="F88" s="388">
        <f t="shared" ca="1" si="355"/>
        <v>0</v>
      </c>
      <c r="G88" s="388">
        <f ca="1">AVERAGE($D88:$E88)+Control!$B$9</f>
        <v>0</v>
      </c>
      <c r="H88" s="388">
        <f ca="1">Weather_data!$G87</f>
        <v>0</v>
      </c>
      <c r="I88" s="388">
        <f ca="1">Weather_data!$I87</f>
        <v>0</v>
      </c>
      <c r="J88" s="388">
        <f ca="1">Weather_data!$H87</f>
        <v>0</v>
      </c>
      <c r="K88" s="389">
        <f ca="1">Weather_data!$D87</f>
        <v>0</v>
      </c>
      <c r="L88" s="388" t="e">
        <f t="shared" ca="1" si="356"/>
        <v>#N/A</v>
      </c>
      <c r="M88" s="388" t="e">
        <f t="shared" ca="1" si="234"/>
        <v>#N/A</v>
      </c>
      <c r="N88" s="388">
        <f t="shared" ca="1" si="235"/>
        <v>-8.8482172713998808E-5</v>
      </c>
      <c r="O88" s="388">
        <f t="shared" ca="1" si="357"/>
        <v>8.8482172713998802E-4</v>
      </c>
      <c r="P88" s="390">
        <v>3</v>
      </c>
      <c r="Q88" s="388">
        <f ca="1">MAX($G88-Control!$C$107,0)</f>
        <v>0</v>
      </c>
      <c r="R88" s="388">
        <f t="shared" ca="1" si="358"/>
        <v>0</v>
      </c>
      <c r="S88" s="388">
        <f t="shared" ca="1" si="236"/>
        <v>0</v>
      </c>
      <c r="T88" s="388">
        <f t="shared" ca="1" si="237"/>
        <v>0</v>
      </c>
      <c r="U88" s="59">
        <f t="shared" ca="1" si="238"/>
        <v>0</v>
      </c>
      <c r="V88" s="391">
        <f ca="1">MAX(0,MIN(Control!$C$100-Control!$C$99,$G88-Control!$C$99)*Control!$C$63)</f>
        <v>0</v>
      </c>
      <c r="W88" s="388">
        <f t="shared" ca="1" si="359"/>
        <v>0</v>
      </c>
      <c r="X88" s="388">
        <f t="shared" ca="1" si="360"/>
        <v>0.6110000000000001</v>
      </c>
      <c r="Y88" s="388">
        <f t="shared" ca="1" si="239"/>
        <v>0</v>
      </c>
      <c r="Z88" s="388">
        <f t="shared" ca="1" si="361"/>
        <v>0.61058800000000002</v>
      </c>
      <c r="AA88" s="388">
        <f t="shared" ca="1" si="240"/>
        <v>0.6018</v>
      </c>
      <c r="AB88" s="388">
        <f ca="1">101.3*EXP(-0.034*Control!$C$66/($G88+273))</f>
        <v>100.69623283836242</v>
      </c>
      <c r="AC88" s="392">
        <f t="shared" ca="1" si="241"/>
        <v>4.3460251046025113E-2</v>
      </c>
      <c r="AD88" s="392">
        <f t="shared" ca="1" si="242"/>
        <v>4.4450382862832649E-2</v>
      </c>
      <c r="AE88" s="388">
        <f t="shared" ca="1" si="243"/>
        <v>0</v>
      </c>
      <c r="AF88" s="388">
        <f ca="1">MAX(0,$G88-Control!$C$92)</f>
        <v>0</v>
      </c>
      <c r="AG88" s="393">
        <f t="shared" ca="1" si="244"/>
        <v>84</v>
      </c>
      <c r="AH88" s="389">
        <f t="shared" ca="1" si="245"/>
        <v>84</v>
      </c>
      <c r="AI88" s="388">
        <f t="shared" ca="1" si="362"/>
        <v>1.8834140849707852E-2</v>
      </c>
      <c r="AJ88" s="388">
        <f ca="1">IF(Control!$C$60&lt;=0,$HH88,$HI88)</f>
        <v>1</v>
      </c>
      <c r="AK88" s="388">
        <f t="shared" ca="1" si="246"/>
        <v>6.8856825284159845E-2</v>
      </c>
      <c r="AL88" s="388">
        <f t="shared" ca="1" si="247"/>
        <v>2.524626341315894E-18</v>
      </c>
      <c r="AM88" s="388">
        <f t="shared" ca="1" si="248"/>
        <v>6.8856825284159845E-2</v>
      </c>
      <c r="AN88" s="388">
        <f t="shared" ca="1" si="249"/>
        <v>2.7373023608134744E-2</v>
      </c>
      <c r="AO88" s="388">
        <f ca="1">-0.10453/COS(Control!$B$8*PI()/180)*COS(AN88)</f>
        <v>-0.16972125979483565</v>
      </c>
      <c r="AP88" s="388">
        <f ca="1">ACOS(AO88-TAN(Control!$B$8*PI()/180)*TAN(AN88))</f>
        <v>1.7770208455469638</v>
      </c>
      <c r="AQ88" s="388">
        <f t="shared" ca="1" si="363"/>
        <v>0</v>
      </c>
      <c r="AR88" s="394">
        <f t="shared" ca="1" si="250"/>
        <v>0</v>
      </c>
      <c r="AS88" s="436">
        <f ca="1">IF(Control!$B$18=2,(IF(OR($AH88=Control!$B$175,$AH88=Control!$B$176,$AH88=Control!$B$177,$AH88=Control!$B$178,$AH88=Control!$B$179,$AH88=Control!$B$180,$AH88=Control!$B$181,$AH88=Control!$B$182,$AH88=Control!$B$183,$AH88=Control!$B$184,$AH88=Control!$B$185),1,0)),0)</f>
        <v>0</v>
      </c>
      <c r="AT88" s="436">
        <f>IF(Control!$B$20=8,IF(AND($AH88&gt;=Control!$B$172,$AH88&lt;=Control!$B$173),1,0),0)</f>
        <v>0</v>
      </c>
      <c r="AU88" s="436">
        <f>IF(Control!$B$20=8,IF($AV87=1,1*$AT88,IF($AT88=1,$AU87+1,$AU87)),0)</f>
        <v>0</v>
      </c>
      <c r="AV88" s="436">
        <f>IF(Control!$B$20=8,IF($AU88&gt;=Control!$B$174,1,0),0)</f>
        <v>0</v>
      </c>
      <c r="AW88" s="436">
        <f ca="1">IF(AND(Control!$B$18=2,Control!$B$171=1), $AV88, $AS88)</f>
        <v>0</v>
      </c>
      <c r="AX88" s="436" t="e">
        <f ca="1">IF(AND(Control!$B$18=1,$EU88&gt;=Control!$B$19),-$AY88,IF(AND(Control!$B$18=2,$AW88=1,$EU88&gt;$DS88),-$AY88, IF(Control!$C$108=0,0, IF(Control!$C$108&lt;&gt;0,1))))</f>
        <v>#N/A</v>
      </c>
      <c r="AY88" s="436" t="e">
        <f t="shared" ca="1" si="364"/>
        <v>#N/A</v>
      </c>
      <c r="AZ88" s="436" t="e">
        <f ca="1">IF(AND(Control!$B$18=1,$EB88&gt;Control!$B$19),$AZ87+1, IF(AND(Control!$B$18=2, $AW88=1, $EB88&gt;$DS88), $AZ87+1,$AZ87))</f>
        <v>#N/A</v>
      </c>
      <c r="BA88" s="587">
        <f>IF(Control!$C$81=0,1,IF($AH88&gt;=Control!$C$82,1,0))</f>
        <v>1</v>
      </c>
      <c r="BB88" s="140" t="e">
        <f ca="1">IF($BA88&gt;$BA87,Control!$C$83,IF($AW88&gt;0,$AW88*Control!$C$84,IF(AND(Control!$B$18=1,EN87&lt;&gt;0),Control!$C$84,0)))</f>
        <v>#N/A</v>
      </c>
      <c r="BC88" s="140" t="e">
        <f t="shared" ca="1" si="365"/>
        <v>#N/A</v>
      </c>
      <c r="BD88" s="140" t="e">
        <f ca="1">BC88*IF(OR($G88&lt;Control!$C$92,$G88&gt;Control!$C$95),0,IF(AND($G88&gt;=Control!$C$92,$G88&lt;=Control!$C$93),$G88-Control!$C$92,IF(AND($G88&gt;Control!$C$93,$G88&lt;=Control!$C$94),Control!$C$93-Control!$C$92,IF(AND($G88&gt;Control!$C$94,$G88&lt;=Control!$C$95),(Control!$C$93-Control!$C$92)*(Control!$C$94-$G88)/(Control!$C$95-Control!$C$94)))))</f>
        <v>#N/A</v>
      </c>
      <c r="BE88" s="140" t="e">
        <f t="shared" ca="1" si="366"/>
        <v>#N/A</v>
      </c>
      <c r="BF88" s="140" t="e">
        <f ca="1">IF($BE88&lt;=Control!$C$86,$BE88,Control!$C$86-$BE88)</f>
        <v>#N/A</v>
      </c>
      <c r="BG88" s="140" t="e">
        <f ca="1">IF(AND($AW88=1,Control!$C$84&lt;9),1,IF($BE88&gt;=Control!$C$86,0,$BC88))</f>
        <v>#N/A</v>
      </c>
      <c r="BH88" s="404" t="e">
        <f ca="1">IF($BG88=0,0,IF($BE88&lt;=Control!$C$86,$BC88*9*($BF88/Control!$C$86),0))</f>
        <v>#N/A</v>
      </c>
      <c r="BI88" s="140" t="e">
        <f ca="1">IF($BG88=1,0,IF($BE88&gt;=Control!$C$86,1,IF(AND($BB88&lt;21,$BB88&gt;=9),1,$BM87)))</f>
        <v>#N/A</v>
      </c>
      <c r="BJ88" s="140" t="e">
        <f ca="1">IF($BF88&lt;0,-$BF88,$BI88*IF(OR($G88&lt;Control!$C$92,$G88&gt;Control!$C$95),0,IF(AND($G88&gt;=Control!$C$92,$G88&lt;=Control!$C$93),$G88-Control!$C$92,IF(AND($G88&gt;Control!$C$93,$G88&lt;=Control!$C$94),Control!$C$93-Control!$C$92,IF(AND($G88&gt;Control!$C$94,$G88&lt;=Control!$C$95),(Control!$C$93-Control!$C$92)*(Control!$C$94-$G88)/(Control!$C$95-Control!$C$94))))))</f>
        <v>#N/A</v>
      </c>
      <c r="BK88" s="140" t="e">
        <f t="shared" ca="1" si="367"/>
        <v>#N/A</v>
      </c>
      <c r="BL88" s="140" t="e">
        <f ca="1">IF($BK88&lt;=Control!$C$87,$BK88,Control!$C$87-$BK88)</f>
        <v>#N/A</v>
      </c>
      <c r="BM88" s="140" t="e">
        <f ca="1">IF(AND($BB88&gt;=9,$BB88&lt;21),1,IF($BK88&gt;=Control!$C$87,0,$BI88))</f>
        <v>#N/A</v>
      </c>
      <c r="BN88" s="404" t="e">
        <f ca="1">IF($BM88=0,0,IF($BK88&lt;=Control!$C$87,$BI88*(9+(21-9)*($BL88/Control!$C$87)),0))</f>
        <v>#N/A</v>
      </c>
      <c r="BO88" s="140" t="e">
        <f ca="1">IF($BM88=1,0,IF($BK88&gt;=Control!$C$87,1,IF(AND($BB88&lt;30,$BB88&gt;=21),1,$BS87)))</f>
        <v>#N/A</v>
      </c>
      <c r="BP88" s="140" t="e">
        <f ca="1">IF($BL88&lt;0,-$BL88,$BO88*IF(OR($G88&lt;Control!$C$92,$G88&gt;Control!$C$95),0,IF(AND($G88&gt;=Control!$C$92,$G88&lt;=Control!$C$93),$G88-Control!$C$92,IF(AND($G88&gt;Control!$C$93,$G88&lt;=Control!$C$94),Control!$C$93-Control!$C$92,IF(AND($G88&gt;Control!$C$94,$G88&lt;=Control!$C$95),(Control!$C$93-Control!$C$92)*(Control!$C$94-$G88)/(Control!$C$95-Control!$C$94))))))</f>
        <v>#N/A</v>
      </c>
      <c r="BQ88" s="140" t="e">
        <f t="shared" ca="1" si="251"/>
        <v>#N/A</v>
      </c>
      <c r="BR88" s="140" t="e">
        <f ca="1">IF($BQ88&lt;=Control!$C$88,$BQ88,Control!$C$88-$BQ88)</f>
        <v>#N/A</v>
      </c>
      <c r="BS88" s="140" t="e">
        <f ca="1">IF(AND($BB88&gt;=21,$BB88&lt;30),1,IF($BQ88&gt;=Control!$C$88,0,$BO88))</f>
        <v>#N/A</v>
      </c>
      <c r="BT88" s="404" t="e">
        <f ca="1">IF($BS88=0,0,IF($BQ88&lt;=Control!$C$88,$BO88*(21+(30-21)*(BR88/Control!$C$88)),0))</f>
        <v>#N/A</v>
      </c>
      <c r="BU88" s="140" t="e">
        <f ca="1">IF(BG88+BM88+BS88=1,0,IF(OR(AND($BB88&lt;60,$BB88&gt;=30),$BQ88&gt;=Control!$C$88),1*$BA88,$BY87))</f>
        <v>#N/A</v>
      </c>
      <c r="BV88" s="140" t="e">
        <f ca="1">IF($BR88&lt;0,-$BR88,$BU88*IF(OR($G88&lt;Control!$C$92,$G88&gt;Control!$C$95),0,IF(AND($G88&gt;=Control!$C$92,$G88&lt;=Control!$C$93),$G88-Control!$C$92,IF(AND($G88&gt;Control!$C$93,$G88&lt;=Control!$C$94),Control!$C$93-Control!$C$92,IF(AND($G88&gt;Control!$C$94,$G88&lt;=Control!$C$95),(Control!$C$93-Control!$C$92)*(Control!$C$94-$G88)/(Control!$C$95-Control!$C$94))))))</f>
        <v>#N/A</v>
      </c>
      <c r="BW88" s="140" t="e">
        <f t="shared" ca="1" si="252"/>
        <v>#N/A</v>
      </c>
      <c r="BX88" s="140" t="e">
        <f ca="1">IF($BW88&lt;=Control!$C$89,$BW88,Control!$C$89-$BW88)</f>
        <v>#N/A</v>
      </c>
      <c r="BY88" s="140" t="e">
        <f ca="1">IF(AND($AJ88&gt;=30,$AJ88&lt;60),1,IF($BW88&gt;=Control!$C$89,0,$BU88))</f>
        <v>#N/A</v>
      </c>
      <c r="BZ88" s="404" t="e">
        <f ca="1">IF($BY88=0,0,IF($BW88&lt;=Control!$C$89,$BU88*(30+(60-30)*(BX88/Control!$C$89)),0))</f>
        <v>#N/A</v>
      </c>
      <c r="CA88" s="140" t="e">
        <f ca="1">IF($BG88+$BM88+$BS88+$BY88=1,0,IF(OR(AND($BB88&lt;65,$BB88&gt;=60),$BW88&gt;=Control!$C$89),1*$BA88,$CE87))</f>
        <v>#N/A</v>
      </c>
      <c r="CB88" s="140" t="e">
        <f ca="1">IF($BX88&lt;0,-$BX88,$CA88*IF(OR($G88&lt;Control!$C$92,$G88&gt;Control!$C$95),0,IF(AND($G88&gt;=Control!$C$92,$G88&lt;=Control!$C$93),$G88-Control!$C$92,IF(AND($G88&gt;Control!$C$93,$G88&lt;=Control!$C$94),Control!$C$93-Control!$C$92,IF(AND($G88&gt;Control!$C$94,$G88&lt;=Control!$C$95),(Control!$C$93-Control!$C$92)*(Control!$C$94-$G88)/(Control!$C$95-Control!$C$94))))))</f>
        <v>#N/A</v>
      </c>
      <c r="CC88" s="140" t="e">
        <f t="shared" ca="1" si="368"/>
        <v>#N/A</v>
      </c>
      <c r="CD88" s="140" t="e">
        <f ca="1">IF($CC88&lt;=Control!$C$90,$CC88,Control!$C$90-$CC88)</f>
        <v>#N/A</v>
      </c>
      <c r="CE88" s="140" t="e">
        <f ca="1">IF(AND($BB88&gt;=60,$BB88&lt;65),1,IF($CC88&gt;=Control!$C$90,0,$CA88))</f>
        <v>#N/A</v>
      </c>
      <c r="CF88" s="404" t="e">
        <f ca="1">IF($CE88=0,0,IF($CC88&lt;=Control!$C$90,$CA88*(60+(65-60)*(CD88/Control!$C$90)),0))</f>
        <v>#N/A</v>
      </c>
      <c r="CG88" s="140" t="e">
        <f ca="1">IF($BG88+$BM88+$BS88+$BY88+$CE88=1,0,IF(OR(AND($BB88&lt;90,$BB88&gt;=65),$CC88&gt;=Control!$C$90),$BA88,$CK87))</f>
        <v>#N/A</v>
      </c>
      <c r="CH88" s="140" t="e">
        <f ca="1">IF($CD88&lt;0,-$CD88,$CG88*IF(OR($G88&lt;Control!$C$92,$G88&gt;Control!$C$95),0,IF(AND($G88&gt;=Control!$C$92,$G88&lt;=Control!$C$93),$G88-Control!$C$92,IF(AND($G88&gt;Control!$C$93,$G88&lt;=Control!$C$94),Control!$C$93-Control!$C$92,IF(AND($G88&gt;Control!$C$94,$G88&lt;=Control!$C$95),(Control!$C$93-Control!$C$92)*(Control!$C$94-$G88)/(Control!$C$95-Control!$C$94))))))</f>
        <v>#N/A</v>
      </c>
      <c r="CI88" s="140" t="e">
        <f t="shared" ca="1" si="369"/>
        <v>#N/A</v>
      </c>
      <c r="CJ88" s="140" t="e">
        <f ca="1">IF($CI88&lt;=Control!$C$91,$CI88,Control!$C$91-$CI88)</f>
        <v>#N/A</v>
      </c>
      <c r="CK88" s="140" t="e">
        <f ca="1">IF(AND($BB88&gt;=65,$BB88&lt;90),1,IF($CI88&gt;=Control!$C$91,0,$CG88))</f>
        <v>#N/A</v>
      </c>
      <c r="CL88" s="404" t="e">
        <f ca="1">IF($CK88=0,0,IF($CI88&lt;=Control!$C$91,$CG88*(65+(90-65)*($CJ88/Control!$C$91)),0))</f>
        <v>#N/A</v>
      </c>
      <c r="CM88" s="140" t="e">
        <f ca="1">IF($BG88+$BM88+$BS88+$BY88+$CE88+$CK88=1,0,IF(OR($BB88&gt;=90,$CI88&gt;=Control!$C$91),$BA88,$CM87))</f>
        <v>#N/A</v>
      </c>
      <c r="CN88" s="140" t="e">
        <f t="shared" ca="1" si="370"/>
        <v>#N/A</v>
      </c>
      <c r="CO88" s="140" t="e">
        <f t="shared" ca="1" si="371"/>
        <v>#N/A</v>
      </c>
      <c r="CP88" s="140" t="e">
        <f t="shared" ca="1" si="372"/>
        <v>#N/A</v>
      </c>
      <c r="CQ88" s="141" t="e">
        <f ca="1">VLOOKUP($CP88,Control!$B$86:$G$91,6)</f>
        <v>#N/A</v>
      </c>
      <c r="CR88" s="141" t="e">
        <f ca="1">(1-$CQ88)*VLOOKUP($CP88,Control!$B$86:$D$91,3)</f>
        <v>#N/A</v>
      </c>
      <c r="CS88" s="141" t="e">
        <f ca="1">(1-$CQ88)*VLOOKUP($CP88,Control!$B$86:$E$91,4)</f>
        <v>#N/A</v>
      </c>
      <c r="CT88" s="141" t="e">
        <f ca="1">(1-$CQ88)*VLOOKUP($CP88,Control!$B$86:$F$91,5)</f>
        <v>#N/A</v>
      </c>
      <c r="CU88" s="141">
        <f t="shared" ca="1" si="373"/>
        <v>0</v>
      </c>
      <c r="CV88" s="583">
        <f t="shared" ca="1" si="374"/>
        <v>0</v>
      </c>
      <c r="CW88" s="142">
        <f t="shared" ca="1" si="375"/>
        <v>84</v>
      </c>
      <c r="CX88" s="612" t="e">
        <f ca="1">IF(Control!$C$114=1,(MIN(Control!$C$120*(IF($NT88-0.01&lt;0,0,1)),Control!$C$119-$CY88)))</f>
        <v>#DIV/0!</v>
      </c>
      <c r="CY88" s="143" t="e">
        <f t="shared" ca="1" si="376"/>
        <v>#N/A</v>
      </c>
      <c r="CZ88" s="144">
        <f t="shared" ca="1" si="253"/>
        <v>0</v>
      </c>
      <c r="DA88" s="144">
        <f t="shared" ca="1" si="254"/>
        <v>0</v>
      </c>
      <c r="DB88" s="144" t="e">
        <f t="shared" ca="1" si="255"/>
        <v>#N/A</v>
      </c>
      <c r="DC88" s="144" t="e">
        <f t="shared" ca="1" si="256"/>
        <v>#N/A</v>
      </c>
      <c r="DD88" s="144" t="e">
        <f t="shared" ca="1" si="461"/>
        <v>#N/A</v>
      </c>
      <c r="DE88" s="143" t="e">
        <f t="shared" ca="1" si="377"/>
        <v>#N/A</v>
      </c>
      <c r="DF88" s="145" t="e">
        <f ca="1">$DR88*EXP(-Control!$C$158*(1-$KH88))</f>
        <v>#N/A</v>
      </c>
      <c r="DG88" s="146" t="e">
        <f ca="1">IF(Control!$C$114=1, $DF88*$EY88, 0)</f>
        <v>#N/A</v>
      </c>
      <c r="DH88" s="147" t="e">
        <f t="shared" ca="1" si="378"/>
        <v>#N/A</v>
      </c>
      <c r="DI88" s="144" t="e">
        <f t="shared" ca="1" si="439"/>
        <v>#N/A</v>
      </c>
      <c r="DJ88" s="147" t="e">
        <f ca="1">$EF88*Control!$C$109</f>
        <v>#N/A</v>
      </c>
      <c r="DK88" s="144" t="e">
        <f t="shared" ca="1" si="379"/>
        <v>#N/A</v>
      </c>
      <c r="DL88" s="144" t="e">
        <f t="shared" ca="1" si="257"/>
        <v>#N/A</v>
      </c>
      <c r="DM88" s="144" t="e">
        <f ca="1">IF(Control!$C$114=1, (1-EXP(-Control!$C$96*$DK88))*$AR88, 0)</f>
        <v>#N/A</v>
      </c>
      <c r="DN88" s="144">
        <f t="shared" ca="1" si="380"/>
        <v>0</v>
      </c>
      <c r="DO88" s="148">
        <f>Control!$C$97</f>
        <v>4</v>
      </c>
      <c r="DP88" s="145" t="e">
        <f t="shared" ca="1" si="381"/>
        <v>#N/A</v>
      </c>
      <c r="DQ88" s="145" t="e">
        <f ca="1">IF(AND($CP88&gt;=0,$CP88&lt;=90),Control!$C$111,Control!$C$111)</f>
        <v>#N/A</v>
      </c>
      <c r="DR88" s="145" t="e">
        <f t="shared" ca="1" si="258"/>
        <v>#N/A</v>
      </c>
      <c r="DS88" s="143" t="e">
        <f ca="1">Control!$B$22/$DR88</f>
        <v>#N/A</v>
      </c>
      <c r="DT88" s="149" t="e">
        <f ca="1">IF(AND(Control!$C$114=1,$KH88&lt;1),$IM88*$DF88, 0)</f>
        <v>#N/A</v>
      </c>
      <c r="DU88" s="144" t="e">
        <f t="shared" ca="1" si="382"/>
        <v>#N/A</v>
      </c>
      <c r="DV88" s="144">
        <f ca="1">IF($G88-Control!$C$107&lt;=0, 0, 0.83*LN(MAX($G88, 3))-0.8924)</f>
        <v>0</v>
      </c>
      <c r="DW88" s="144" t="e">
        <f t="shared" ca="1" si="259"/>
        <v>#N/A</v>
      </c>
      <c r="DX88" s="150" t="e">
        <f ca="1">MAX(0.01*(1+$CU88/Control!$C$102),0.05*($DK88-Control!$C$97)/Control!$C$97)</f>
        <v>#N/A</v>
      </c>
      <c r="DY88" s="151" t="e">
        <f ca="1">IF(Control!$C$114=1, $DI88*$FS88, 0)</f>
        <v>#N/A</v>
      </c>
      <c r="DZ88" s="196" t="e">
        <f t="shared" ca="1" si="383"/>
        <v>#N/A</v>
      </c>
      <c r="EA88" s="152">
        <f t="shared" ca="1" si="384"/>
        <v>84</v>
      </c>
      <c r="EB88" s="153" t="e">
        <f t="shared" ca="1" si="385"/>
        <v>#N/A</v>
      </c>
      <c r="EC88" s="153" t="e">
        <f t="shared" ca="1" si="386"/>
        <v>#N/A</v>
      </c>
      <c r="ED88" s="154" t="e">
        <f ca="1">IF(Control!$C$114=1, $HM88*$FY88-$FD88, 0)</f>
        <v>#DIV/0!</v>
      </c>
      <c r="EE88" s="155" t="e">
        <f ca="1">IF(Control!$C$114=1, $HM88*$FZ88-$FF88, 0)</f>
        <v>#DIV/0!</v>
      </c>
      <c r="EF88" s="153" t="e">
        <f t="shared" ca="1" si="440"/>
        <v>#N/A</v>
      </c>
      <c r="EG88" s="155" t="e">
        <f ca="1">IF(Control!$C$114=1, $GX88*$FW88-$FI88, 0)</f>
        <v>#DIV/0!</v>
      </c>
      <c r="EH88" s="153" t="e">
        <f t="shared" ca="1" si="387"/>
        <v>#N/A</v>
      </c>
      <c r="EI88" s="156" t="e">
        <f t="shared" ca="1" si="388"/>
        <v>#N/A</v>
      </c>
      <c r="EJ88" s="155" t="e">
        <f ca="1">IF(Control!$C$114=1, $HM88*$GB88, 0)</f>
        <v>#DIV/0!</v>
      </c>
      <c r="EK88" s="153" t="e">
        <f t="shared" ca="1" si="441"/>
        <v>#N/A</v>
      </c>
      <c r="EL88" s="153" t="e">
        <f t="shared" ca="1" si="260"/>
        <v>#N/A</v>
      </c>
      <c r="EM88" s="153" t="e">
        <f t="shared" ca="1" si="261"/>
        <v>#N/A</v>
      </c>
      <c r="EN88" s="153" t="e">
        <f ca="1">IF(Control!$C$108=1,IF(AND(Control!$B$18=1,$EB88&gt;=Control!$B$19),$EB88-$DS88,IF(AND(Control!$B$18=2,$AW88=1,$EB88&gt;$DS88),$EB88-$DS88,0)))</f>
        <v>#N/A</v>
      </c>
      <c r="EO88" s="153" t="e">
        <f ca="1">IF(Control!$C$108=1,IF(AND(Control!$B$18=1,$EB88&gt;=Control!$B$19),$EF88,IF(AND(Control!$B$18=2,$AW88=1),$EF88,0)))</f>
        <v>#N/A</v>
      </c>
      <c r="EP88" s="153" t="e">
        <f ca="1">IF(Control!$C$108=1,IF(AND(Control!$B$18=1,$EB88&gt;=Control!$B$19),$EK88,IF(AND(Control!$B$18=2,$AW88=1),$EK88,0)))</f>
        <v>#N/A</v>
      </c>
      <c r="EQ88" s="153" t="e">
        <f t="shared" ca="1" si="389"/>
        <v>#N/A</v>
      </c>
      <c r="ER88" s="153" t="e">
        <f t="shared" ca="1" si="390"/>
        <v>#N/A</v>
      </c>
      <c r="ES88" s="153" t="e">
        <f t="shared" ca="1" si="442"/>
        <v>#N/A</v>
      </c>
      <c r="ET88" s="153" t="e">
        <f t="shared" ca="1" si="443"/>
        <v>#N/A</v>
      </c>
      <c r="EU88" s="153" t="e">
        <f t="shared" ca="1" si="391"/>
        <v>#N/A</v>
      </c>
      <c r="EV88" s="153" t="e">
        <f t="shared" ca="1" si="262"/>
        <v>#N/A</v>
      </c>
      <c r="EW88" s="153" t="e">
        <f t="shared" ca="1" si="263"/>
        <v>#N/A</v>
      </c>
      <c r="EX88" s="153" t="e">
        <f t="shared" ca="1" si="264"/>
        <v>#N/A</v>
      </c>
      <c r="EY88" s="157" t="e">
        <f t="shared" ca="1" si="265"/>
        <v>#DIV/0!</v>
      </c>
      <c r="EZ88" s="154" t="e">
        <f t="shared" ca="1" si="266"/>
        <v>#DIV/0!</v>
      </c>
      <c r="FA88" s="153" t="e">
        <f t="shared" ca="1" si="392"/>
        <v>#N/A</v>
      </c>
      <c r="FB88" s="153" t="e">
        <f t="shared" ca="1" si="267"/>
        <v>#N/A</v>
      </c>
      <c r="FC88" s="193" t="e">
        <f t="shared" ca="1" si="268"/>
        <v>#N/A</v>
      </c>
      <c r="FD88" s="158" t="e">
        <f t="shared" ca="1" si="393"/>
        <v>#N/A</v>
      </c>
      <c r="FE88" s="158" t="e">
        <f t="shared" ca="1" si="394"/>
        <v>#N/A</v>
      </c>
      <c r="FF88" s="159" t="e">
        <f t="shared" ca="1" si="269"/>
        <v>#N/A</v>
      </c>
      <c r="FG88" s="160" t="e">
        <f t="shared" ca="1" si="395"/>
        <v>#N/A</v>
      </c>
      <c r="FH88" s="158" t="e">
        <f t="shared" ca="1" si="396"/>
        <v>#N/A</v>
      </c>
      <c r="FI88" s="159" t="e">
        <f t="shared" ca="1" si="270"/>
        <v>#N/A</v>
      </c>
      <c r="FJ88" s="160" t="e">
        <f t="shared" ca="1" si="397"/>
        <v>#N/A</v>
      </c>
      <c r="FK88" s="160" t="e">
        <f t="shared" ca="1" si="271"/>
        <v>#N/A</v>
      </c>
      <c r="FL88" s="160" t="e">
        <f t="shared" ca="1" si="444"/>
        <v>#N/A</v>
      </c>
      <c r="FM88" s="160" t="e">
        <f t="shared" ca="1" si="272"/>
        <v>#N/A</v>
      </c>
      <c r="FN88" s="158">
        <f t="shared" ca="1" si="398"/>
        <v>0.01</v>
      </c>
      <c r="FO88" s="160">
        <f>Control!$C$101</f>
        <v>50</v>
      </c>
      <c r="FP88" s="150" t="e">
        <f t="shared" ca="1" si="273"/>
        <v>#N/A</v>
      </c>
      <c r="FQ88" s="150" t="e">
        <f ca="1">MAX(0,(Control!$C$112*(($DK88-Control!$C$97)/Control!$C$97)))</f>
        <v>#N/A</v>
      </c>
      <c r="FR88" s="150" t="e">
        <f ca="1">(1-$NT88)*Control!$C$113</f>
        <v>#DIV/0!</v>
      </c>
      <c r="FS88" s="198" t="e">
        <f t="shared" ca="1" si="274"/>
        <v>#N/A</v>
      </c>
      <c r="FT88" s="161">
        <f t="shared" ca="1" si="399"/>
        <v>84</v>
      </c>
      <c r="FU88" s="162" t="e">
        <f ca="1">IF(Control!$B$34=1,VLOOKUP($CP88,Control!$B$86:$G$91,6),Control!$B$35)</f>
        <v>#N/A</v>
      </c>
      <c r="FV88" s="162" t="e">
        <f t="shared" ca="1" si="275"/>
        <v>#DIV/0!</v>
      </c>
      <c r="FW88" s="162" t="e">
        <f ca="1">IF(Control!$B$31=1,$FU88*$FV88,  $FU88)</f>
        <v>#N/A</v>
      </c>
      <c r="FX88" s="162" t="e">
        <f ca="1">IF(Control!$B$34=1,VLOOKUP($CP88,Control!$B$86:$G$91,3),Control!$B$36)</f>
        <v>#N/A</v>
      </c>
      <c r="FY88" s="162" t="e">
        <f t="shared" ca="1" si="276"/>
        <v>#N/A</v>
      </c>
      <c r="FZ88" s="162" t="e">
        <f ca="1">IF(Control!$B$34=1,VLOOKUP($CP88,Control!$B$86:$G$91,4),Control!$B$37)</f>
        <v>#N/A</v>
      </c>
      <c r="GA88" s="162" t="e">
        <f t="shared" ca="1" si="277"/>
        <v>#N/A</v>
      </c>
      <c r="GB88" s="162" t="e">
        <f ca="1">IF(Control!$B$34=1,VLOOKUP($CP88,Control!$B$86:$G$91,5),Control!$B$38)</f>
        <v>#N/A</v>
      </c>
      <c r="GC88" s="162" t="e">
        <f t="shared" ca="1" si="400"/>
        <v>#N/A</v>
      </c>
      <c r="GD88" s="162">
        <f t="shared" ca="1" si="278"/>
        <v>1</v>
      </c>
      <c r="GE88" s="162">
        <f t="shared" ca="1" si="279"/>
        <v>1</v>
      </c>
      <c r="GF88" s="162">
        <f ca="1">IF(AND(Control!$C$104=1, Control!$C$62="F"),$GE88,1)</f>
        <v>1</v>
      </c>
      <c r="GG88" s="162" t="e">
        <f ca="1">IF(Control!$B$16=40,0,IF(AND(Control!$B$16&gt;40,Control!$B$16&lt;=360),(Control!$B$16-40)*((1-0)/(360-40)),IF(AND(Control!$B$16&gt;360,Control!$B$16&lt;=720),(1+(Control!$B$16-360)*((1.25-1)/(720-360))),IF(AND(Control!$B$16&gt;720,Control!$B$16&lt;=1000),(1.25+(Control!$B$16-720)*((1.35-1.25)/(1000-720))),IF(AND(Control!$B$16&gt;1000,Control!$B$16&lt;=2000),(1.35+(Control!$B$16-1000)*0))))))</f>
        <v>#N/A</v>
      </c>
      <c r="GH88" s="162" t="e">
        <f t="shared" ca="1" si="280"/>
        <v>#N/A</v>
      </c>
      <c r="GI88" s="162">
        <f t="shared" ca="1" si="401"/>
        <v>0</v>
      </c>
      <c r="GJ88" s="162">
        <f t="shared" ca="1" si="281"/>
        <v>0</v>
      </c>
      <c r="GK88" s="162">
        <f t="shared" ca="1" si="402"/>
        <v>1</v>
      </c>
      <c r="GL88" s="162">
        <f t="shared" ca="1" si="282"/>
        <v>1</v>
      </c>
      <c r="GM88" s="162" t="e">
        <f ca="1">MAX(0,MIN(1,1-Control!$C$156*(1.0001-$KH88)^2))</f>
        <v>#N/A</v>
      </c>
      <c r="GN88" s="162" t="e">
        <f ca="1">IF(Control!$B$26=1,$KU88,$KX88)</f>
        <v>#N/A</v>
      </c>
      <c r="GO88" s="162" t="e">
        <f ca="1">IF($CP88&lt;=60,Control!$C$105,IF($CP88&gt;=90,Control!$C$106,Control!$C$105+($CP88-60)*((Control!$C$106-Control!$C$105)/(90-60))))</f>
        <v>#N/A</v>
      </c>
      <c r="GP88" s="162" t="e">
        <f t="shared" ca="1" si="283"/>
        <v>#N/A</v>
      </c>
      <c r="GQ88" s="162" t="e">
        <f t="shared" ca="1" si="403"/>
        <v>#N/A</v>
      </c>
      <c r="GR88" s="163" t="e">
        <f t="shared" ca="1" si="284"/>
        <v>#DIV/0!</v>
      </c>
      <c r="GS88" s="162" t="e">
        <f t="shared" ca="1" si="285"/>
        <v>#DIV/0!</v>
      </c>
      <c r="GT88" s="164" t="e">
        <f t="shared" ca="1" si="404"/>
        <v>#N/A</v>
      </c>
      <c r="GU88" s="162" t="e">
        <f t="shared" ca="1" si="405"/>
        <v>#N/A</v>
      </c>
      <c r="GV88" s="162" t="e">
        <f t="shared" ca="1" si="286"/>
        <v>#N/A</v>
      </c>
      <c r="GW88" s="162" t="e">
        <f t="shared" ca="1" si="287"/>
        <v>#DIV/0!</v>
      </c>
      <c r="GX88" s="162" t="e">
        <f t="shared" ca="1" si="406"/>
        <v>#DIV/0!</v>
      </c>
      <c r="GY88" s="162" t="e">
        <f t="shared" ca="1" si="407"/>
        <v>#DIV/0!</v>
      </c>
      <c r="GZ88" s="165" t="e">
        <f t="shared" ca="1" si="288"/>
        <v>#N/A</v>
      </c>
      <c r="HA88" s="162" t="e">
        <f ca="1">IF(Control!$C$114=1, $DI88*$FS88, 0)</f>
        <v>#N/A</v>
      </c>
      <c r="HB88" s="162" t="e">
        <f ca="1">$FA88/Control!$C$64</f>
        <v>#N/A</v>
      </c>
      <c r="HC88" s="162" t="e">
        <f t="shared" ca="1" si="289"/>
        <v>#DIV/0!</v>
      </c>
      <c r="HD88" s="162">
        <f ca="1">-ASIN(SIN(23.45*Control!$C$139)*COS(2*Control!$C$138*($AH88+10)/365))</f>
        <v>1.8834140849707852E-2</v>
      </c>
      <c r="HE88" s="165">
        <f t="shared" ca="1" si="408"/>
        <v>0</v>
      </c>
      <c r="HF88" s="166">
        <f ca="1">IF(AND(Control!$C$61="T",$HE88&gt;=Control!$C$103,Control!$C$114=0),$AH88,Control!$C$59)</f>
        <v>1</v>
      </c>
      <c r="HG88" s="166">
        <f ca="1">IF(AND(Control!$C$61="T",$HE88&gt;=Control!$C$103,Control!$C$114=0),$HF88,Control!$C$59)</f>
        <v>1</v>
      </c>
      <c r="HH88" s="165">
        <f ca="1">IF(AND(OR(Control!$C$60&lt;=0, $AH88= Control!$C$59, Control!$C$60 &gt;0, $AH88 = Control!$C$60)), Control!$C$59, IF(Control!$C$60&gt;0, 0))</f>
        <v>1</v>
      </c>
      <c r="HI88" s="165">
        <f ca="1">IF(AND(OR(Control!$C$60&lt;=0, $AH88= Control!$C$59, Control!$C$60 &gt;0, $AH88 = Control!$C$60)), Control!$C$60, IF(Control!$C$60&lt;=0, 0))</f>
        <v>0</v>
      </c>
      <c r="HJ88" s="166">
        <f ca="1">IF(AND(Control!$C$62="F",$CV88&gt;=Control!$C$102),$AH88,0)</f>
        <v>0</v>
      </c>
      <c r="HK88" s="165" t="e">
        <f t="shared" ca="1" si="445"/>
        <v>#N/A</v>
      </c>
      <c r="HL88" s="166">
        <f ca="1">IF(AND(Control!$C$61="T",$HE88&gt;=Control!$C$103,Control!$C$114=0),$HF88,0)</f>
        <v>0</v>
      </c>
      <c r="HM88" s="201" t="e">
        <f t="shared" ca="1" si="290"/>
        <v>#DIV/0!</v>
      </c>
      <c r="HN88" s="215">
        <f t="shared" ca="1" si="409"/>
        <v>84</v>
      </c>
      <c r="HO88" s="216" t="e">
        <f ca="1">IF(AND($CP88&gt;=0, $CP88&lt;=90), Control!$C$152, Control!$C$152)</f>
        <v>#N/A</v>
      </c>
      <c r="HP88" s="216" t="e">
        <f t="shared" ca="1" si="291"/>
        <v>#N/A</v>
      </c>
      <c r="HQ88" s="217" t="e">
        <f ca="1">IF(OR(Control!$B$26=1,Control!$B$26=2),$KV88,$KS88)</f>
        <v>#DIV/0!</v>
      </c>
      <c r="HR88" s="218" t="e">
        <f t="shared" ca="1" si="446"/>
        <v>#DIV/0!</v>
      </c>
      <c r="HS88" s="216" t="e">
        <f ca="1">Control!$C$154*$HP88</f>
        <v>#N/A</v>
      </c>
      <c r="HT88" s="216" t="e">
        <f ca="1">Control!$C$155*$HP88</f>
        <v>#N/A</v>
      </c>
      <c r="HU88" s="217" t="e">
        <f ca="1">Control!$C$161*$FI88</f>
        <v>#N/A</v>
      </c>
      <c r="HV88" s="218" t="e">
        <f t="shared" ca="1" si="410"/>
        <v>#N/A</v>
      </c>
      <c r="HW88" s="218" t="e">
        <f ca="1">Control!$C$160*$FF88+$IP88*$EO88</f>
        <v>#N/A</v>
      </c>
      <c r="HX88" s="218" t="e">
        <f t="shared" ca="1" si="447"/>
        <v>#N/A</v>
      </c>
      <c r="HY88" s="219" t="e">
        <f ca="1">IF(Control!$C$114=1, $EB88*$FS88, 0)</f>
        <v>#N/A</v>
      </c>
      <c r="HZ88" s="91" t="e">
        <f t="shared" ca="1" si="292"/>
        <v>#N/A</v>
      </c>
      <c r="IA88" s="220" t="e">
        <f ca="1">Control!$C$153*$HO88</f>
        <v>#N/A</v>
      </c>
      <c r="IB88" s="218" t="e">
        <f t="shared" ca="1" si="293"/>
        <v>#N/A</v>
      </c>
      <c r="IC88" s="220" t="e">
        <f ca="1">Control!$C$153*$HT88</f>
        <v>#N/A</v>
      </c>
      <c r="ID88" s="218" t="e">
        <f t="shared" ca="1" si="294"/>
        <v>#N/A</v>
      </c>
      <c r="IE88" s="221" t="e">
        <f ca="1">($EB88*Control!$C$159+$EF88*Control!$C$160)/(IF($GZ88&lt;&gt;0,$GZ88,1))</f>
        <v>#N/A</v>
      </c>
      <c r="IF88" s="216" t="e">
        <f t="shared" ca="1" si="295"/>
        <v>#N/A</v>
      </c>
      <c r="IG88" s="91">
        <f ca="1">IF(OR(Control!$B$198=$AH88,Control!$B$199=$AH88, Control!$B$200=$AH88, Control!$B$201=$AH88, Control!$B$202=$AH88, Control!$B$203=$AH88, Control!$B$204=$AH88, Control!$B$205=$AH88, Control!$B$206=$AH88, Control!$B$207=$AH88), 1, 0)</f>
        <v>0</v>
      </c>
      <c r="IH88" s="91">
        <f ca="1">IF($IG88=0,0, VLOOKUP($AH88,Control!$B$198:$C$207,2))</f>
        <v>0</v>
      </c>
      <c r="II88" s="222">
        <f t="shared" ca="1" si="411"/>
        <v>0</v>
      </c>
      <c r="IJ88" s="91">
        <f>Control!$C$121</f>
        <v>0.7</v>
      </c>
      <c r="IK88" s="218">
        <f t="shared" ca="1" si="296"/>
        <v>0</v>
      </c>
      <c r="IL88" s="217" t="e">
        <f t="shared" ca="1" si="448"/>
        <v>#N/A</v>
      </c>
      <c r="IM88" s="223" t="e">
        <f ca="1">IF(AND(Control!$C$114=1,$KH88&lt;1),$EB88*Control!$C$148*(1-$KH88), 0)</f>
        <v>#N/A</v>
      </c>
      <c r="IN88" s="217" t="e">
        <f t="shared" ca="1" si="297"/>
        <v>#DIV/0!</v>
      </c>
      <c r="IO88" s="91" t="e">
        <f ca="1">MAX(0,$IL88-$EF88*Control!$C$160)</f>
        <v>#N/A</v>
      </c>
      <c r="IP88" s="220" t="e">
        <f t="shared" ca="1" si="298"/>
        <v>#N/A</v>
      </c>
      <c r="IQ88" s="217" t="e">
        <f t="shared" ca="1" si="412"/>
        <v>#N/A</v>
      </c>
      <c r="IR88" s="218" t="e">
        <f t="shared" ca="1" si="299"/>
        <v>#N/A</v>
      </c>
      <c r="IS88" s="217" t="e">
        <f ca="1">Control!$C$159*MAX(0,$FD88-$EN88)</f>
        <v>#N/A</v>
      </c>
      <c r="IT88" s="217" t="e">
        <f t="shared" ca="1" si="449"/>
        <v>#N/A</v>
      </c>
      <c r="IU88" s="217" t="e">
        <f t="shared" ca="1" si="413"/>
        <v>#N/A</v>
      </c>
      <c r="IV88" s="217" t="e">
        <f t="shared" ca="1" si="450"/>
        <v>#N/A</v>
      </c>
      <c r="IW88" s="217" t="e">
        <f ca="1">IF(OR($AW88=1,AND($AW88=0, Control!$B$18=1,$EN88&lt;&gt;0)), $IQ88-$IU88, $IQ88)</f>
        <v>#N/A</v>
      </c>
      <c r="IX88" s="218" t="e">
        <f t="shared" ca="1" si="300"/>
        <v>#N/A</v>
      </c>
      <c r="IY88" s="218" t="e">
        <f ca="1">MAX(0,$IQ88-$EB88*Control!$C$159)</f>
        <v>#N/A</v>
      </c>
      <c r="IZ88" s="218" t="e">
        <f t="shared" ca="1" si="301"/>
        <v>#N/A</v>
      </c>
      <c r="JA88" s="216" t="e">
        <f t="shared" ca="1" si="302"/>
        <v>#N/A</v>
      </c>
      <c r="JB88" s="217" t="e">
        <f t="shared" ca="1" si="303"/>
        <v>#N/A</v>
      </c>
      <c r="JC88" s="222" t="e">
        <f ca="1">MAX(Control!$C$157*$EK88-$JT88, 0)/Control!$C$162</f>
        <v>#N/A</v>
      </c>
      <c r="JD88" s="218" t="e">
        <f t="shared" ca="1" si="304"/>
        <v>#N/A</v>
      </c>
      <c r="JE88" s="218" t="e">
        <f t="shared" ca="1" si="305"/>
        <v>#N/A</v>
      </c>
      <c r="JF88" s="218" t="e">
        <f t="shared" ca="1" si="414"/>
        <v>#N/A</v>
      </c>
      <c r="JG88" s="218" t="e">
        <f t="shared" ca="1" si="306"/>
        <v>#N/A</v>
      </c>
      <c r="JH88" s="217" t="e">
        <f t="shared" ca="1" si="415"/>
        <v>#N/A</v>
      </c>
      <c r="JI88" s="217" t="e">
        <f t="shared" ca="1" si="416"/>
        <v>#N/A</v>
      </c>
      <c r="JJ88" s="217" t="e">
        <f t="shared" ca="1" si="451"/>
        <v>#N/A</v>
      </c>
      <c r="JK88" s="217" t="e">
        <f ca="1">IF(Control!$C$114=1,IF(Control!$B$24=0,MAX(0,$JI88)*$GN88/Control!$C$64,(MAX(0,MIN($JI88,$JJ88*$GN88/Control!$C$64),0))))</f>
        <v>#N/A</v>
      </c>
      <c r="JL88" s="217" t="e">
        <f ca="1">$IK88/Control!$C$64-$JK88+$HQ88</f>
        <v>#N/A</v>
      </c>
      <c r="JM88" s="217" t="e">
        <f ca="1">IF(Control!$C$114=1,($JB88/(IF($JI88&lt;&gt;0,$JI88,1)))*$JK88,0)</f>
        <v>#N/A</v>
      </c>
      <c r="JN88" s="217" t="e">
        <f ca="1">IF(Control!$C$114=1,($JG88/(IF($JI88&lt;&gt;0,$JI88,1)))*$JK88, 0)</f>
        <v>#N/A</v>
      </c>
      <c r="JO88" s="218" t="e">
        <f t="shared" ca="1" si="307"/>
        <v>#N/A</v>
      </c>
      <c r="JP88" s="218" t="e">
        <f ca="1">MIN(($IY88+$IO88)*Control!$C$151, $JF88-$EH88*Control!$C$161)</f>
        <v>#N/A</v>
      </c>
      <c r="JQ88" s="218" t="e">
        <f t="shared" ca="1" si="308"/>
        <v>#N/A</v>
      </c>
      <c r="JR88" s="217" t="e">
        <f ca="1">IF($CP88-Control!$C$150&lt;0, 0, $JQ88/Control!$C$162)</f>
        <v>#N/A</v>
      </c>
      <c r="JS88" s="218" t="e">
        <f t="shared" ca="1" si="309"/>
        <v>#N/A</v>
      </c>
      <c r="JT88" s="218" t="e">
        <f t="shared" ca="1" si="417"/>
        <v>#N/A</v>
      </c>
      <c r="JU88" s="218" t="e">
        <f t="shared" ca="1" si="310"/>
        <v>#N/A</v>
      </c>
      <c r="JV88" s="218" t="e">
        <f t="shared" ca="1" si="311"/>
        <v>#N/A</v>
      </c>
      <c r="JW88" s="216" t="e">
        <f t="shared" ca="1" si="312"/>
        <v>#N/A</v>
      </c>
      <c r="JX88" s="91" t="e">
        <f t="shared" ca="1" si="313"/>
        <v>#N/A</v>
      </c>
      <c r="JY88" s="218" t="e">
        <f t="shared" ca="1" si="314"/>
        <v>#N/A</v>
      </c>
      <c r="JZ88" s="217" t="e">
        <f ca="1">IF(Control!$C$114=1,($IZ88/(IF($JI88&lt;&gt;0,$JI88,1)))*$JK88, 0)</f>
        <v>#N/A</v>
      </c>
      <c r="KA88" s="218" t="e">
        <f t="shared" ca="1" si="452"/>
        <v>#N/A</v>
      </c>
      <c r="KB88" s="218" t="e">
        <f t="shared" ca="1" si="418"/>
        <v>#N/A</v>
      </c>
      <c r="KC88" s="218" t="e">
        <f t="shared" ca="1" si="315"/>
        <v>#N/A</v>
      </c>
      <c r="KD88" s="218" t="e">
        <f t="shared" ca="1" si="316"/>
        <v>#N/A</v>
      </c>
      <c r="KE88" s="218" t="e">
        <f t="shared" ca="1" si="317"/>
        <v>#N/A</v>
      </c>
      <c r="KF88" s="218" t="e">
        <f t="shared" ca="1" si="318"/>
        <v>#N/A</v>
      </c>
      <c r="KG88" s="216" t="e">
        <f t="shared" ca="1" si="319"/>
        <v>#N/A</v>
      </c>
      <c r="KH88" s="221" t="e">
        <f ca="1">IF(Control!$B$24=0,1,MAX(0.001,MIN(1,IF(($IF88-$IE88)&lt;&gt;0,($KG88-$IE88)/($IF88-$IE88),1))))</f>
        <v>#N/A</v>
      </c>
      <c r="KI88" s="222" t="e">
        <f ca="1">IF(Control!$C$114=1, $KI87+ $KH87, 0)</f>
        <v>#N/A</v>
      </c>
      <c r="KJ88" s="217" t="e">
        <f t="shared" ca="1" si="320"/>
        <v>#N/A</v>
      </c>
      <c r="KK88" s="218" t="e">
        <f t="shared" ca="1" si="321"/>
        <v>#N/A</v>
      </c>
      <c r="KL88" s="274" t="e">
        <f ca="1">IF(Control!$B$26=3,4000000000*EXP(-8400/($G88+273)),IF(Control!$B$26=4,4000000000*EXP(-8400/($G88+273))*($KT88),0))</f>
        <v>#DIV/0!</v>
      </c>
      <c r="KM88" s="274" t="e">
        <f ca="1">IF(Control!$B$26=3,5600000000000*EXP(-9800/($G88+273)),IF(Control!$B$26=4,5600000000000*EXP(-9800/($G88+273))*$KT88,0))</f>
        <v>#DIV/0!</v>
      </c>
      <c r="KN88" s="454" t="e">
        <f t="shared" ca="1" si="419"/>
        <v>#DIV/0!</v>
      </c>
      <c r="KO88" s="274" t="e">
        <f t="shared" ca="1" si="420"/>
        <v>#DIV/0!</v>
      </c>
      <c r="KP88" s="454" t="e">
        <f t="shared" ca="1" si="322"/>
        <v>#DIV/0!</v>
      </c>
      <c r="KQ88" s="454" t="e">
        <f t="shared" ca="1" si="323"/>
        <v>#DIV/0!</v>
      </c>
      <c r="KR88" s="454" t="e">
        <f t="shared" ca="1" si="324"/>
        <v>#DIV/0!</v>
      </c>
      <c r="KS88" s="454" t="e">
        <f t="shared" ca="1" si="325"/>
        <v>#DIV/0!</v>
      </c>
      <c r="KT88" s="455" t="e">
        <f t="shared" ca="1" si="326"/>
        <v>#DIV/0!</v>
      </c>
      <c r="KU88" s="456" t="e">
        <f ca="1">IF($CP88-Control!$C$149&lt;0, IF($NT88-0.01&lt;0,0,1),0)</f>
        <v>#N/A</v>
      </c>
      <c r="KV88" s="456" t="e">
        <f ca="1">IF(Control!$C$114=1,MAX(0,MIN(Control!$C$125*$KW88*$GN88,$KW88)))</f>
        <v>#DIV/0!</v>
      </c>
      <c r="KW88" s="456" t="e">
        <f t="shared" ca="1" si="453"/>
        <v>#DIV/0!</v>
      </c>
      <c r="KX88" s="457" t="e">
        <f ca="1">IF($CP88-Control!$C$149&lt;0, IF($MR88-$OM88&lt;0,0,1),0)</f>
        <v>#N/A</v>
      </c>
      <c r="KY88" s="167">
        <f t="shared" ca="1" si="421"/>
        <v>84</v>
      </c>
      <c r="KZ88" s="168">
        <f ca="1">1370*(1+0.033*COS(2*Control!$C$138*$AH88/365))</f>
        <v>1375.6275558379416</v>
      </c>
      <c r="LA88" s="169">
        <f t="shared" ca="1" si="422"/>
        <v>1.0041078157082641</v>
      </c>
      <c r="LB88" s="169">
        <f t="shared" ca="1" si="423"/>
        <v>2.2889307360557033E-2</v>
      </c>
      <c r="LC88" s="169">
        <f ca="1">ACOS(-TAN((2*Control!$B$8/360))*TAN(Calculations!$LB88))</f>
        <v>1.5776003414021931</v>
      </c>
      <c r="LD88" s="169">
        <f ca="1">((24*60)/PI())*0.082*$LA88*(($LC88*SIN(Control!$B$8*2*PI()/360))*SIN($LB88)+COS(Control!$B$8*2*PI()/360)*COS($LB88)*SIN($LC88))</f>
        <v>24.302521340082382</v>
      </c>
      <c r="LE88" s="170">
        <f t="shared" ca="1" si="327"/>
        <v>24.176452231963903</v>
      </c>
      <c r="LF88" s="170">
        <f ca="1">SIN(Control!$C$139*Control!$B$8)*SIN($HD88)</f>
        <v>1.4840652705746377E-2</v>
      </c>
      <c r="LG88" s="170">
        <f ca="1">COS(Control!$C$139*Control!$B$8)*COS($HD88)</f>
        <v>0.61555061124060961</v>
      </c>
      <c r="LH88" s="170">
        <f ca="1">12*(1+2*ASIN(MAX(-1,MIN(1,$LF88/$LG88))/Control!$C$138))</f>
        <v>12.184184827477814</v>
      </c>
      <c r="LI88" s="170">
        <f ca="1">12*(1+2*ASIN(MAX(-1,MIN(1,(-SIN(-4*Control!$C$139)+$LF88)/$LG88))/Control!$C$138))</f>
        <v>13.0502474908476</v>
      </c>
      <c r="LJ88" s="168">
        <f ca="1">3600*($LH88*$LF88+24*$LG88*SQRT(1-$LK88*$LK88)/Control!$C$138)</f>
        <v>17574.853112939571</v>
      </c>
      <c r="LK88" s="170">
        <f t="shared" ca="1" si="328"/>
        <v>2.4109557256122009E-2</v>
      </c>
      <c r="LL88" s="170">
        <f t="shared" ca="1" si="329"/>
        <v>0</v>
      </c>
      <c r="LM88" s="171">
        <f ca="1">Control!$C$145*$AB88</f>
        <v>6.6660906138995932E-2</v>
      </c>
      <c r="LN88" s="170">
        <f t="shared" ca="1" si="424"/>
        <v>0.54</v>
      </c>
      <c r="LO88" s="170">
        <f t="shared" ca="1" si="330"/>
        <v>0</v>
      </c>
      <c r="LP88" s="170">
        <f ca="1">Control!$C$140*((($D88+273.16)^4+($E88+273.16)^4)/2)*(0.34-0.14*SQRT($Y88))*(1.35*$AQ88/(0.75*$LD88)-0.35)</f>
        <v>-3.2464704755046001</v>
      </c>
      <c r="LQ88" s="170">
        <f ca="1">Control!$C$140*($G88+273)^4*(0.56-0.079*SQRT($Y88*10))*(0.1+0.9*$LO88)</f>
        <v>1.5241745131704001</v>
      </c>
      <c r="LR88" s="170">
        <f ca="1">$AQ88*(1-Control!$C$142)-$LQ88</f>
        <v>-1.5241745131704001</v>
      </c>
      <c r="LS88" s="170">
        <f ca="1">$AQ88*(1-Control!$C$143)-$LQ88</f>
        <v>-1.5241745131704001</v>
      </c>
      <c r="LT88" s="170">
        <f ca="1">$AQ88*(1-Control!$C$144)-$LQ88</f>
        <v>-1.5241745131704001</v>
      </c>
      <c r="LU88" s="169">
        <f ca="1">(1-Control!$C$144)*AQ88-LP88</f>
        <v>3.2464704755046001</v>
      </c>
      <c r="LV88" s="172">
        <f t="shared" ca="1" si="331"/>
        <v>0.79430000000000012</v>
      </c>
      <c r="LW88" s="170">
        <f t="shared" ca="1" si="332"/>
        <v>1.5886000000000002</v>
      </c>
      <c r="LX88" s="170">
        <f ca="1">($AC88*($LR88/Control!$C$141)+$LM88*$LV88)/($AC88+$LM88)</f>
        <v>0.23530094218323697</v>
      </c>
      <c r="LY88" s="170">
        <f ca="1">($AC88*($LS88/Control!$C$141)+$LM88*$LV88)/($AC88+$LM88)</f>
        <v>0.23530094218323697</v>
      </c>
      <c r="LZ88" s="170">
        <f t="shared" ca="1" si="333"/>
        <v>0.23530094218323697</v>
      </c>
      <c r="MA88" s="170">
        <f t="shared" ca="1" si="334"/>
        <v>0.23530094218323697</v>
      </c>
      <c r="MB88" s="170" t="e">
        <f t="shared" ca="1" si="335"/>
        <v>#N/A</v>
      </c>
      <c r="MC88" s="170">
        <f t="shared" ca="1" si="425"/>
        <v>0.6018</v>
      </c>
      <c r="MD88" s="170">
        <f t="shared" ca="1" si="336"/>
        <v>0.52989392535414004</v>
      </c>
      <c r="ME88" s="170">
        <f ca="1">($AC88*($LT88/Control!$C$141)+$LM88*$LW88)/($AC88+$LM88)</f>
        <v>0.71612369323045078</v>
      </c>
      <c r="MF88" s="170" t="e">
        <f ca="1">IF(Control!$B$16&gt;=1000,0.92,IF(AND(720&lt;=Control!$B$16,1000&gt;Control!$B$16),(0.95+(Control!$B$16-720)*((0.92-0.95)/(1000-720))),IF(AND(360&lt;=Control!$B$16,720&gt;Control!$B$16),(1+(Control!$B$16-360)*((0.95-1)/(720-360))),IF(AND(40&lt;=Control!$B$16,360&gt;Control!$B$16),(1.05+(Control!$B$16-40)*((1.05-1)/(360-40)))))))</f>
        <v>#N/A</v>
      </c>
      <c r="MG88" s="170">
        <f t="shared" ca="1" si="337"/>
        <v>0.71612369323045078</v>
      </c>
      <c r="MH88" s="170" t="e">
        <f t="shared" ca="1" si="462"/>
        <v>#N/A</v>
      </c>
      <c r="MI88" s="170" t="e">
        <f t="shared" ca="1" si="462"/>
        <v>#N/A</v>
      </c>
      <c r="MJ88" s="170" t="e">
        <f ca="1">MAX(0.0001, Control!$C$132*$MI88*$DL88)</f>
        <v>#N/A</v>
      </c>
      <c r="MK88" s="170">
        <f ca="1">1/(0.76+1.5*($MG88/10))-(5-Control!$C$110)*0.1</f>
        <v>1.002845988140797</v>
      </c>
      <c r="ML88" s="173">
        <f ca="1">IF(Control!$C$110&lt;3,$MK88+($MG88-0.6)/(Control!$C$110*(Control!$C$110+3)), MAX(0.1, MIN(0.95,$MK88)))</f>
        <v>0.95</v>
      </c>
      <c r="MM88" s="173">
        <f ca="1">IF(Control!$C$110&lt;3,$MK88+(($MI88/10)-0.6)/(Control!$C$110*(Control!$C$110+3)), MAX(0.1, MIN(0.95,$MK88)))</f>
        <v>0.95</v>
      </c>
      <c r="MN88" s="173">
        <f ca="1">(1-$MM88)*(Control!$C$128-Control!$C$127)+Control!$C$127</f>
        <v>0.16</v>
      </c>
      <c r="MO88" s="170" t="e">
        <f ca="1">MAX(0,MIN(1,($MS88-Control!$C$127)/($MN88-Control!$C$127)))</f>
        <v>#DIV/0!</v>
      </c>
      <c r="MP88" s="173" t="e">
        <f ca="1">1/(0.76+1.5*$MI88)-(5-Control!$C$110)*0.1</f>
        <v>#N/A</v>
      </c>
      <c r="MQ88" s="172" t="e">
        <f t="shared" ca="1" si="454"/>
        <v>#DIV/0!</v>
      </c>
      <c r="MR88" s="168" t="e">
        <f t="shared" ca="1" si="426"/>
        <v>#DIV/0!</v>
      </c>
      <c r="MS88" s="173" t="e">
        <f ca="1">MAX(Control!$C$127, MIN(Control!$C$135, $MR88/MAX(0.0001,$CY88)))</f>
        <v>#DIV/0!</v>
      </c>
      <c r="MT88" s="168" t="e">
        <f ca="1">(Control!$C$128-$MS88)*Control!$C$74</f>
        <v>#DIV/0!</v>
      </c>
      <c r="MU88" s="168" t="e">
        <f ca="1">(Control!$C$135-$MS88)*Control!$C$74</f>
        <v>#DIV/0!</v>
      </c>
      <c r="MV88" s="168" t="e">
        <f t="shared" ca="1" si="427"/>
        <v>#DIV/0!</v>
      </c>
      <c r="MW88" s="168" t="e">
        <f t="shared" ca="1" si="428"/>
        <v>#DIV/0!</v>
      </c>
      <c r="MX88" s="171" t="e">
        <f ca="1">MAX(Control!$C$127, MIN(Control!$C$135, $MW88/MAX(0.0001,Control!$C$119-$CY88)))</f>
        <v>#DIV/0!</v>
      </c>
      <c r="MY88" s="54" t="e">
        <f ca="1">IF(Control!$C$114=1, $CX88*$MX88, 0)</f>
        <v>#DIV/0!</v>
      </c>
      <c r="MZ88" s="54" t="e">
        <f t="shared" ca="1" si="429"/>
        <v>#N/A</v>
      </c>
      <c r="NA88" s="168" t="e">
        <f ca="1">(Control!$C$128-$MX88)*(Control!$C$119-Control!$C$74)</f>
        <v>#DIV/0!</v>
      </c>
      <c r="NB88" s="168" t="e">
        <f ca="1">(Control!$C$135-$MX88)*(Control!$C$119-Control!$C$74)</f>
        <v>#DIV/0!</v>
      </c>
      <c r="NC88" s="174" t="e">
        <f t="shared" ca="1" si="430"/>
        <v>#DIV/0!</v>
      </c>
      <c r="ND88" s="54">
        <f ca="1">IF(Control!$C$58=2, IF(OR(Control!$B$218=$AH88,Control!$B$219=$AH88, Control!$B$220=$AH88, Control!$B$221=$AH88, Control!$B$222=$AH88, Control!$B$223=$AH88, Control!$B$224=$AH88, Control!$B$225=$AH88, Control!$B$226=$AH88, Control!$B$227=$AH88, Control!$B$228=$AH88), 1, 0), 0)</f>
        <v>0</v>
      </c>
      <c r="NE88" s="54">
        <f ca="1">IF($ND88=0,0, VLOOKUP($AH88,Control!$B$218:$C$228,2))</f>
        <v>0</v>
      </c>
      <c r="NF88" s="168" t="e">
        <f ca="1">$CY88*(Control!$C$128-Control!$C$127)</f>
        <v>#N/A</v>
      </c>
      <c r="NG88" s="54" t="e">
        <f ca="1">IF(Control!$C$58=2, $NI87-$NJ87, 0)</f>
        <v>#DIV/0!</v>
      </c>
      <c r="NH88" s="54" t="e">
        <f ca="1">IF(AND(Control!$C$58=1, $MS87&lt;= ($MN87+0.02), $I87&lt;10), 0, IF(Control!$C$58=2, $NG87, 0))</f>
        <v>#DIV/0!</v>
      </c>
      <c r="NI88" s="54" t="e">
        <f ca="1">IF(Control!$C$58=2, $NE88+$NH88,0)</f>
        <v>#DIV/0!</v>
      </c>
      <c r="NJ88" s="54" t="e">
        <f ca="1">IF(AND(Control!$C$58=1, $MS88&lt;= ($MN88+0.02), $I88&lt;10), MAX(0, MIN(10, 0.7*($NF88-$MV88))), IF(Control!$C$58=2, MIN(10,$NI88),0))</f>
        <v>#DIV/0!</v>
      </c>
      <c r="NK88" s="54" t="e">
        <f t="shared" ca="1" si="338"/>
        <v>#DIV/0!</v>
      </c>
      <c r="NL88" s="173" t="e">
        <f ca="1">(1-Control!$C$73)*$I88+$NJ88</f>
        <v>#DIV/0!</v>
      </c>
      <c r="NM88" s="172" t="e">
        <f ca="1">IF($NL88&lt;0.5, $MB88* MAX(0, MIN(1, (SQRT($NC88)-SQRT($NC88-1))*Control!$C$71)),0)</f>
        <v>#DIV/0!</v>
      </c>
      <c r="NN88" s="170" t="e">
        <f ca="1">IF($NL88&gt;=5, $MB88, MAX(0,MIN($MB88, $NM88+$NL88,($MS88-Control!$C$129))))</f>
        <v>#DIV/0!</v>
      </c>
      <c r="NO88" s="54">
        <f>IF(Control!$C$133&lt;&gt;1, Control!$C$135-Control!$C$131, 0)</f>
        <v>0.38</v>
      </c>
      <c r="NP88" s="54" t="e">
        <f t="shared" ca="1" si="339"/>
        <v>#DIV/0!</v>
      </c>
      <c r="NQ88" s="173" t="e">
        <f ca="1">MAX(0,MIN(1,(Control!$C$135-$MS88)/(Control!$C$135-$NO88)))</f>
        <v>#DIV/0!</v>
      </c>
      <c r="NR88" s="170" t="e">
        <f ca="1">IF(Control!$C$133&lt;&gt;1, $NQ88+((1-$NP88/4)*(1-$NQ88)),1)</f>
        <v>#DIV/0!</v>
      </c>
      <c r="NS88" s="170" t="e">
        <f ca="1">IF(Control!$B$31=0,$MJ88,MAX(0,MIN($MV88,$MO88*$NR88*$MJ88)))</f>
        <v>#DIV/0!</v>
      </c>
      <c r="NT88" s="170" t="e">
        <f t="shared" ca="1" si="455"/>
        <v>#DIV/0!</v>
      </c>
      <c r="NU88" s="170" t="e">
        <f t="shared" ca="1" si="431"/>
        <v>#N/A</v>
      </c>
      <c r="NV88" s="170" t="e">
        <f t="shared" ca="1" si="340"/>
        <v>#N/A</v>
      </c>
      <c r="NW88" s="175" t="e">
        <f t="shared" ca="1" si="341"/>
        <v>#DIV/0!</v>
      </c>
      <c r="NX88" s="170" t="e">
        <f ca="1">MIN(Control!$C$72+$MU88, $NW88)</f>
        <v>#DIV/0!</v>
      </c>
      <c r="NY88" s="170" t="e">
        <f ca="1">IF($MT88&lt;=$NX88,MIN(Control!$C$72+$NB88,$NX88-$MT88),0)</f>
        <v>#DIV/0!</v>
      </c>
      <c r="NZ88" s="54" t="e">
        <f ca="1">IF(Control!$C$114=1,  $CX88*($MX88-Control!$C$127), 0)</f>
        <v>#DIV/0!</v>
      </c>
      <c r="OA88" s="170" t="e">
        <f t="shared" ca="1" si="342"/>
        <v>#DIV/0!</v>
      </c>
      <c r="OB88" s="170" t="e">
        <f ca="1">IF($NA88 &lt;=$NY88, MIN(Control!$C$72, $NY88-$NA88), 0)</f>
        <v>#DIV/0!</v>
      </c>
      <c r="OC88" s="168" t="e">
        <f t="shared" ca="1" si="343"/>
        <v>#DIV/0!</v>
      </c>
      <c r="OD88" s="168" t="e">
        <f t="shared" ca="1" si="432"/>
        <v>#DIV/0!</v>
      </c>
      <c r="OE88" s="170">
        <f ca="1">Control!$C$73*$I88</f>
        <v>0</v>
      </c>
      <c r="OF88" s="176" t="e">
        <f t="shared" ca="1" si="344"/>
        <v>#DIV/0!</v>
      </c>
      <c r="OG88" s="168" t="e">
        <f t="shared" ca="1" si="345"/>
        <v>#DIV/0!</v>
      </c>
      <c r="OH88" s="168" t="e">
        <f t="shared" ca="1" si="346"/>
        <v>#DIV/0!</v>
      </c>
      <c r="OI88" s="168" t="e">
        <f t="shared" ca="1" si="347"/>
        <v>#DIV/0!</v>
      </c>
      <c r="OJ88" s="168" t="e">
        <f t="shared" ca="1" si="348"/>
        <v>#DIV/0!</v>
      </c>
      <c r="OK88" s="204" t="e">
        <f t="shared" ca="1" si="349"/>
        <v>#DIV/0!</v>
      </c>
      <c r="OL88" s="177">
        <f>Control!$C$127</f>
        <v>0.15</v>
      </c>
      <c r="OM88" s="182" t="e">
        <f t="shared" ca="1" si="350"/>
        <v>#N/A</v>
      </c>
      <c r="ON88" s="177">
        <f>Control!$C$128</f>
        <v>0.35</v>
      </c>
      <c r="OO88" s="182" t="e">
        <f t="shared" ca="1" si="351"/>
        <v>#N/A</v>
      </c>
      <c r="OP88" s="138">
        <f t="shared" ca="1" si="433"/>
        <v>0</v>
      </c>
      <c r="OQ88" s="138" t="e">
        <f t="shared" ca="1" si="456"/>
        <v>#DIV/0!</v>
      </c>
      <c r="OR88" s="138" t="e">
        <f t="shared" ca="1" si="434"/>
        <v>#DIV/0!</v>
      </c>
      <c r="OS88" s="137" t="e">
        <f t="shared" ca="1" si="457"/>
        <v>#DIV/0!</v>
      </c>
      <c r="OT88" s="139" t="e">
        <f t="shared" ca="1" si="458"/>
        <v>#DIV/0!</v>
      </c>
      <c r="OU88" s="138" t="e">
        <f t="shared" ca="1" si="459"/>
        <v>#N/A</v>
      </c>
      <c r="OV88" s="138" t="e">
        <f t="shared" ca="1" si="460"/>
        <v>#DIV/0!</v>
      </c>
      <c r="OW88" s="138" t="e">
        <f t="shared" ca="1" si="435"/>
        <v>#DIV/0!</v>
      </c>
      <c r="OX88" s="138" t="e">
        <f t="shared" ca="1" si="436"/>
        <v>#DIV/0!</v>
      </c>
      <c r="OY88" s="138" t="e">
        <f t="shared" ca="1" si="437"/>
        <v>#DIV/0!</v>
      </c>
      <c r="OZ88" s="138" t="e">
        <f t="shared" ca="1" si="352"/>
        <v>#DIV/0!</v>
      </c>
      <c r="PA88" s="138" t="e">
        <f t="shared" ca="1" si="353"/>
        <v>#DIV/0!</v>
      </c>
      <c r="PB88" s="55">
        <f>IF(Control!$C$61="T", IF(Control!$C$65="F", IF($AH$6-Control!$C$60&lt;0,0,1), IF(365+$AH$6-Control!$C$60&lt;0,0,1)),0)</f>
        <v>0</v>
      </c>
      <c r="PC88" s="55">
        <f ca="1">IF(Control!$C$65="F", IF($AH$6-$HF88&lt;0,0,1), IF(365+$AH$6-$HF88&lt;0,0,1))</f>
        <v>1</v>
      </c>
      <c r="PD88" s="444">
        <f>Control!$C$118</f>
        <v>1500</v>
      </c>
      <c r="PE88" s="180" t="e">
        <f t="shared" ca="1" si="354"/>
        <v>#N/A</v>
      </c>
      <c r="PF88" s="445">
        <f t="shared" ca="1" si="438"/>
        <v>0.71612369323045078</v>
      </c>
      <c r="PT88" s="186"/>
      <c r="PU88" s="186"/>
      <c r="PV88" s="94"/>
      <c r="PW88" s="94"/>
      <c r="PX88" s="94"/>
      <c r="PY88" s="94"/>
      <c r="PZ88" s="94"/>
      <c r="QA88" s="94"/>
      <c r="QB88" s="94"/>
      <c r="QC88" s="94"/>
      <c r="QD88" s="94"/>
      <c r="QE88" s="94"/>
      <c r="QF88" s="94"/>
      <c r="QG88" s="94"/>
      <c r="QH88" s="94"/>
      <c r="QI88" s="94"/>
      <c r="QJ88" s="94"/>
      <c r="QK88" s="94"/>
      <c r="QL88" s="94"/>
      <c r="QM88" s="94"/>
      <c r="QN88" s="94"/>
      <c r="QO88" s="94"/>
      <c r="QP88" s="94"/>
    </row>
    <row r="89" spans="1:458" s="2" customFormat="1" x14ac:dyDescent="0.2">
      <c r="A89" s="395">
        <v>25</v>
      </c>
      <c r="B89" s="396">
        <v>3</v>
      </c>
      <c r="C89" s="387">
        <f ca="1">Weather_data!$B88</f>
        <v>0</v>
      </c>
      <c r="D89" s="388">
        <f ca="1">Weather_data!$F88</f>
        <v>0</v>
      </c>
      <c r="E89" s="388">
        <f ca="1">Weather_data!$E88</f>
        <v>0</v>
      </c>
      <c r="F89" s="388">
        <f t="shared" ca="1" si="355"/>
        <v>0</v>
      </c>
      <c r="G89" s="388">
        <f ca="1">AVERAGE($D89:$E89)+Control!$B$9</f>
        <v>0</v>
      </c>
      <c r="H89" s="388">
        <f ca="1">Weather_data!$G88</f>
        <v>0</v>
      </c>
      <c r="I89" s="388">
        <f ca="1">Weather_data!$I88</f>
        <v>0</v>
      </c>
      <c r="J89" s="388">
        <f ca="1">Weather_data!$H88</f>
        <v>0</v>
      </c>
      <c r="K89" s="389">
        <f ca="1">Weather_data!$D88</f>
        <v>0</v>
      </c>
      <c r="L89" s="388" t="e">
        <f t="shared" ca="1" si="356"/>
        <v>#N/A</v>
      </c>
      <c r="M89" s="388" t="e">
        <f t="shared" ca="1" si="234"/>
        <v>#N/A</v>
      </c>
      <c r="N89" s="388">
        <f t="shared" ca="1" si="235"/>
        <v>-7.9633955442598927E-5</v>
      </c>
      <c r="O89" s="388">
        <f t="shared" ca="1" si="357"/>
        <v>7.9633955442598924E-4</v>
      </c>
      <c r="P89" s="390">
        <v>3</v>
      </c>
      <c r="Q89" s="388">
        <f ca="1">MAX($G89-Control!$C$107,0)</f>
        <v>0</v>
      </c>
      <c r="R89" s="388">
        <f t="shared" ca="1" si="358"/>
        <v>0</v>
      </c>
      <c r="S89" s="388">
        <f t="shared" ca="1" si="236"/>
        <v>0</v>
      </c>
      <c r="T89" s="388">
        <f t="shared" ca="1" si="237"/>
        <v>0</v>
      </c>
      <c r="U89" s="59">
        <f t="shared" ca="1" si="238"/>
        <v>0</v>
      </c>
      <c r="V89" s="391">
        <f ca="1">MAX(0,MIN(Control!$C$100-Control!$C$99,$G89-Control!$C$99)*Control!$C$63)</f>
        <v>0</v>
      </c>
      <c r="W89" s="388">
        <f t="shared" ca="1" si="359"/>
        <v>0</v>
      </c>
      <c r="X89" s="388">
        <f t="shared" ca="1" si="360"/>
        <v>0.6110000000000001</v>
      </c>
      <c r="Y89" s="388">
        <f t="shared" ca="1" si="239"/>
        <v>0</v>
      </c>
      <c r="Z89" s="388">
        <f t="shared" ca="1" si="361"/>
        <v>0.61058800000000002</v>
      </c>
      <c r="AA89" s="388">
        <f t="shared" ca="1" si="240"/>
        <v>0.6018</v>
      </c>
      <c r="AB89" s="388">
        <f ca="1">101.3*EXP(-0.034*Control!$C$66/($G89+273))</f>
        <v>100.69623283836242</v>
      </c>
      <c r="AC89" s="392">
        <f t="shared" ca="1" si="241"/>
        <v>4.3460251046025113E-2</v>
      </c>
      <c r="AD89" s="392">
        <f t="shared" ca="1" si="242"/>
        <v>4.4450382862832649E-2</v>
      </c>
      <c r="AE89" s="388">
        <f t="shared" ca="1" si="243"/>
        <v>0</v>
      </c>
      <c r="AF89" s="388">
        <f ca="1">MAX(0,$G89-Control!$C$92)</f>
        <v>0</v>
      </c>
      <c r="AG89" s="393">
        <f t="shared" ca="1" si="244"/>
        <v>85</v>
      </c>
      <c r="AH89" s="389">
        <f t="shared" ca="1" si="245"/>
        <v>85</v>
      </c>
      <c r="AI89" s="388">
        <f t="shared" ca="1" si="362"/>
        <v>2.5675445363028411E-2</v>
      </c>
      <c r="AJ89" s="388">
        <f ca="1">IF(Control!$C$60&lt;=0,$HH89,$HI89)</f>
        <v>1</v>
      </c>
      <c r="AK89" s="388">
        <f t="shared" ca="1" si="246"/>
        <v>8.6071031605199813E-2</v>
      </c>
      <c r="AL89" s="388">
        <f t="shared" ca="1" si="247"/>
        <v>5.4098565904769912E-19</v>
      </c>
      <c r="AM89" s="388">
        <f t="shared" ca="1" si="248"/>
        <v>8.6071031605199813E-2</v>
      </c>
      <c r="AN89" s="388">
        <f t="shared" ca="1" si="249"/>
        <v>3.4203465522585332E-2</v>
      </c>
      <c r="AO89" s="388">
        <f ca="1">-0.10453/COS(Control!$B$8*PI()/180)*COS(AN89)</f>
        <v>-0.16968556020363376</v>
      </c>
      <c r="AP89" s="388">
        <f ca="1">ACOS(AO89-TAN(Control!$B$8*PI()/180)*TAN(AN89))</f>
        <v>1.785933129667427</v>
      </c>
      <c r="AQ89" s="388">
        <f t="shared" ca="1" si="363"/>
        <v>0</v>
      </c>
      <c r="AR89" s="394">
        <f t="shared" ca="1" si="250"/>
        <v>0</v>
      </c>
      <c r="AS89" s="436">
        <f ca="1">IF(Control!$B$18=2,(IF(OR($AH89=Control!$B$175,$AH89=Control!$B$176,$AH89=Control!$B$177,$AH89=Control!$B$178,$AH89=Control!$B$179,$AH89=Control!$B$180,$AH89=Control!$B$181,$AH89=Control!$B$182,$AH89=Control!$B$183,$AH89=Control!$B$184,$AH89=Control!$B$185),1,0)),0)</f>
        <v>0</v>
      </c>
      <c r="AT89" s="436">
        <f>IF(Control!$B$20=8,IF(AND($AH89&gt;=Control!$B$172,$AH89&lt;=Control!$B$173),1,0),0)</f>
        <v>0</v>
      </c>
      <c r="AU89" s="436">
        <f>IF(Control!$B$20=8,IF($AV88=1,1*$AT89,IF($AT89=1,$AU88+1,$AU88)),0)</f>
        <v>0</v>
      </c>
      <c r="AV89" s="436">
        <f>IF(Control!$B$20=8,IF($AU89&gt;=Control!$B$174,1,0),0)</f>
        <v>0</v>
      </c>
      <c r="AW89" s="436">
        <f ca="1">IF(AND(Control!$B$18=2,Control!$B$171=1), $AV89, $AS89)</f>
        <v>0</v>
      </c>
      <c r="AX89" s="436" t="e">
        <f ca="1">IF(AND(Control!$B$18=1,$EU89&gt;=Control!$B$19),-$AY89,IF(AND(Control!$B$18=2,$AW89=1,$EU89&gt;$DS89),-$AY89, IF(Control!$C$108=0,0, IF(Control!$C$108&lt;&gt;0,1))))</f>
        <v>#N/A</v>
      </c>
      <c r="AY89" s="436" t="e">
        <f t="shared" ca="1" si="364"/>
        <v>#N/A</v>
      </c>
      <c r="AZ89" s="436" t="e">
        <f ca="1">IF(AND(Control!$B$18=1,$EB89&gt;Control!$B$19),$AZ88+1, IF(AND(Control!$B$18=2, $AW89=1, $EB89&gt;$DS89), $AZ88+1,$AZ88))</f>
        <v>#N/A</v>
      </c>
      <c r="BA89" s="587">
        <f>IF(Control!$C$81=0,1,IF($AH89&gt;=Control!$C$82,1,0))</f>
        <v>1</v>
      </c>
      <c r="BB89" s="140" t="e">
        <f ca="1">IF($BA89&gt;$BA88,Control!$C$83,IF($AW89&gt;0,$AW89*Control!$C$84,IF(AND(Control!$B$18=1,EN88&lt;&gt;0),Control!$C$84,0)))</f>
        <v>#N/A</v>
      </c>
      <c r="BC89" s="140" t="e">
        <f t="shared" ca="1" si="365"/>
        <v>#N/A</v>
      </c>
      <c r="BD89" s="140" t="e">
        <f ca="1">BC89*IF(OR($G89&lt;Control!$C$92,$G89&gt;Control!$C$95),0,IF(AND($G89&gt;=Control!$C$92,$G89&lt;=Control!$C$93),$G89-Control!$C$92,IF(AND($G89&gt;Control!$C$93,$G89&lt;=Control!$C$94),Control!$C$93-Control!$C$92,IF(AND($G89&gt;Control!$C$94,$G89&lt;=Control!$C$95),(Control!$C$93-Control!$C$92)*(Control!$C$94-$G89)/(Control!$C$95-Control!$C$94)))))</f>
        <v>#N/A</v>
      </c>
      <c r="BE89" s="140" t="e">
        <f t="shared" ca="1" si="366"/>
        <v>#N/A</v>
      </c>
      <c r="BF89" s="140" t="e">
        <f ca="1">IF($BE89&lt;=Control!$C$86,$BE89,Control!$C$86-$BE89)</f>
        <v>#N/A</v>
      </c>
      <c r="BG89" s="140" t="e">
        <f ca="1">IF(AND($AW89=1,Control!$C$84&lt;9),1,IF($BE89&gt;=Control!$C$86,0,$BC89))</f>
        <v>#N/A</v>
      </c>
      <c r="BH89" s="404" t="e">
        <f ca="1">IF($BG89=0,0,IF($BE89&lt;=Control!$C$86,$BC89*9*($BF89/Control!$C$86),0))</f>
        <v>#N/A</v>
      </c>
      <c r="BI89" s="140" t="e">
        <f ca="1">IF($BG89=1,0,IF($BE89&gt;=Control!$C$86,1,IF(AND($BB89&lt;21,$BB89&gt;=9),1,$BM88)))</f>
        <v>#N/A</v>
      </c>
      <c r="BJ89" s="140" t="e">
        <f ca="1">IF($BF89&lt;0,-$BF89,$BI89*IF(OR($G89&lt;Control!$C$92,$G89&gt;Control!$C$95),0,IF(AND($G89&gt;=Control!$C$92,$G89&lt;=Control!$C$93),$G89-Control!$C$92,IF(AND($G89&gt;Control!$C$93,$G89&lt;=Control!$C$94),Control!$C$93-Control!$C$92,IF(AND($G89&gt;Control!$C$94,$G89&lt;=Control!$C$95),(Control!$C$93-Control!$C$92)*(Control!$C$94-$G89)/(Control!$C$95-Control!$C$94))))))</f>
        <v>#N/A</v>
      </c>
      <c r="BK89" s="140" t="e">
        <f t="shared" ca="1" si="367"/>
        <v>#N/A</v>
      </c>
      <c r="BL89" s="140" t="e">
        <f ca="1">IF($BK89&lt;=Control!$C$87,$BK89,Control!$C$87-$BK89)</f>
        <v>#N/A</v>
      </c>
      <c r="BM89" s="140" t="e">
        <f ca="1">IF(AND($BB89&gt;=9,$BB89&lt;21),1,IF($BK89&gt;=Control!$C$87,0,$BI89))</f>
        <v>#N/A</v>
      </c>
      <c r="BN89" s="404" t="e">
        <f ca="1">IF($BM89=0,0,IF($BK89&lt;=Control!$C$87,$BI89*(9+(21-9)*($BL89/Control!$C$87)),0))</f>
        <v>#N/A</v>
      </c>
      <c r="BO89" s="140" t="e">
        <f ca="1">IF($BM89=1,0,IF($BK89&gt;=Control!$C$87,1,IF(AND($BB89&lt;30,$BB89&gt;=21),1,$BS88)))</f>
        <v>#N/A</v>
      </c>
      <c r="BP89" s="140" t="e">
        <f ca="1">IF($BL89&lt;0,-$BL89,$BO89*IF(OR($G89&lt;Control!$C$92,$G89&gt;Control!$C$95),0,IF(AND($G89&gt;=Control!$C$92,$G89&lt;=Control!$C$93),$G89-Control!$C$92,IF(AND($G89&gt;Control!$C$93,$G89&lt;=Control!$C$94),Control!$C$93-Control!$C$92,IF(AND($G89&gt;Control!$C$94,$G89&lt;=Control!$C$95),(Control!$C$93-Control!$C$92)*(Control!$C$94-$G89)/(Control!$C$95-Control!$C$94))))))</f>
        <v>#N/A</v>
      </c>
      <c r="BQ89" s="140" t="e">
        <f t="shared" ca="1" si="251"/>
        <v>#N/A</v>
      </c>
      <c r="BR89" s="140" t="e">
        <f ca="1">IF($BQ89&lt;=Control!$C$88,$BQ89,Control!$C$88-$BQ89)</f>
        <v>#N/A</v>
      </c>
      <c r="BS89" s="140" t="e">
        <f ca="1">IF(AND($BB89&gt;=21,$BB89&lt;30),1,IF($BQ89&gt;=Control!$C$88,0,$BO89))</f>
        <v>#N/A</v>
      </c>
      <c r="BT89" s="404" t="e">
        <f ca="1">IF($BS89=0,0,IF($BQ89&lt;=Control!$C$88,$BO89*(21+(30-21)*(BR89/Control!$C$88)),0))</f>
        <v>#N/A</v>
      </c>
      <c r="BU89" s="140" t="e">
        <f ca="1">IF(BG89+BM89+BS89=1,0,IF(OR(AND($BB89&lt;60,$BB89&gt;=30),$BQ89&gt;=Control!$C$88),1*$BA89,$BY88))</f>
        <v>#N/A</v>
      </c>
      <c r="BV89" s="140" t="e">
        <f ca="1">IF($BR89&lt;0,-$BR89,$BU89*IF(OR($G89&lt;Control!$C$92,$G89&gt;Control!$C$95),0,IF(AND($G89&gt;=Control!$C$92,$G89&lt;=Control!$C$93),$G89-Control!$C$92,IF(AND($G89&gt;Control!$C$93,$G89&lt;=Control!$C$94),Control!$C$93-Control!$C$92,IF(AND($G89&gt;Control!$C$94,$G89&lt;=Control!$C$95),(Control!$C$93-Control!$C$92)*(Control!$C$94-$G89)/(Control!$C$95-Control!$C$94))))))</f>
        <v>#N/A</v>
      </c>
      <c r="BW89" s="140" t="e">
        <f t="shared" ca="1" si="252"/>
        <v>#N/A</v>
      </c>
      <c r="BX89" s="140" t="e">
        <f ca="1">IF($BW89&lt;=Control!$C$89,$BW89,Control!$C$89-$BW89)</f>
        <v>#N/A</v>
      </c>
      <c r="BY89" s="140" t="e">
        <f ca="1">IF(AND($AJ89&gt;=30,$AJ89&lt;60),1,IF($BW89&gt;=Control!$C$89,0,$BU89))</f>
        <v>#N/A</v>
      </c>
      <c r="BZ89" s="404" t="e">
        <f ca="1">IF($BY89=0,0,IF($BW89&lt;=Control!$C$89,$BU89*(30+(60-30)*(BX89/Control!$C$89)),0))</f>
        <v>#N/A</v>
      </c>
      <c r="CA89" s="140" t="e">
        <f ca="1">IF($BG89+$BM89+$BS89+$BY89=1,0,IF(OR(AND($BB89&lt;65,$BB89&gt;=60),$BW89&gt;=Control!$C$89),1*$BA89,$CE88))</f>
        <v>#N/A</v>
      </c>
      <c r="CB89" s="140" t="e">
        <f ca="1">IF($BX89&lt;0,-$BX89,$CA89*IF(OR($G89&lt;Control!$C$92,$G89&gt;Control!$C$95),0,IF(AND($G89&gt;=Control!$C$92,$G89&lt;=Control!$C$93),$G89-Control!$C$92,IF(AND($G89&gt;Control!$C$93,$G89&lt;=Control!$C$94),Control!$C$93-Control!$C$92,IF(AND($G89&gt;Control!$C$94,$G89&lt;=Control!$C$95),(Control!$C$93-Control!$C$92)*(Control!$C$94-$G89)/(Control!$C$95-Control!$C$94))))))</f>
        <v>#N/A</v>
      </c>
      <c r="CC89" s="140" t="e">
        <f t="shared" ca="1" si="368"/>
        <v>#N/A</v>
      </c>
      <c r="CD89" s="140" t="e">
        <f ca="1">IF($CC89&lt;=Control!$C$90,$CC89,Control!$C$90-$CC89)</f>
        <v>#N/A</v>
      </c>
      <c r="CE89" s="140" t="e">
        <f ca="1">IF(AND($BB89&gt;=60,$BB89&lt;65),1,IF($CC89&gt;=Control!$C$90,0,$CA89))</f>
        <v>#N/A</v>
      </c>
      <c r="CF89" s="404" t="e">
        <f ca="1">IF($CE89=0,0,IF($CC89&lt;=Control!$C$90,$CA89*(60+(65-60)*(CD89/Control!$C$90)),0))</f>
        <v>#N/A</v>
      </c>
      <c r="CG89" s="140" t="e">
        <f ca="1">IF($BG89+$BM89+$BS89+$BY89+$CE89=1,0,IF(OR(AND($BB89&lt;90,$BB89&gt;=65),$CC89&gt;=Control!$C$90),$BA89,$CK88))</f>
        <v>#N/A</v>
      </c>
      <c r="CH89" s="140" t="e">
        <f ca="1">IF($CD89&lt;0,-$CD89,$CG89*IF(OR($G89&lt;Control!$C$92,$G89&gt;Control!$C$95),0,IF(AND($G89&gt;=Control!$C$92,$G89&lt;=Control!$C$93),$G89-Control!$C$92,IF(AND($G89&gt;Control!$C$93,$G89&lt;=Control!$C$94),Control!$C$93-Control!$C$92,IF(AND($G89&gt;Control!$C$94,$G89&lt;=Control!$C$95),(Control!$C$93-Control!$C$92)*(Control!$C$94-$G89)/(Control!$C$95-Control!$C$94))))))</f>
        <v>#N/A</v>
      </c>
      <c r="CI89" s="140" t="e">
        <f t="shared" ca="1" si="369"/>
        <v>#N/A</v>
      </c>
      <c r="CJ89" s="140" t="e">
        <f ca="1">IF($CI89&lt;=Control!$C$91,$CI89,Control!$C$91-$CI89)</f>
        <v>#N/A</v>
      </c>
      <c r="CK89" s="140" t="e">
        <f ca="1">IF(AND($BB89&gt;=65,$BB89&lt;90),1,IF($CI89&gt;=Control!$C$91,0,$CG89))</f>
        <v>#N/A</v>
      </c>
      <c r="CL89" s="404" t="e">
        <f ca="1">IF($CK89=0,0,IF($CI89&lt;=Control!$C$91,$CG89*(65+(90-65)*($CJ89/Control!$C$91)),0))</f>
        <v>#N/A</v>
      </c>
      <c r="CM89" s="140" t="e">
        <f ca="1">IF($BG89+$BM89+$BS89+$BY89+$CE89+$CK89=1,0,IF(OR($BB89&gt;=90,$CI89&gt;=Control!$C$91),$BA89,$CM88))</f>
        <v>#N/A</v>
      </c>
      <c r="CN89" s="140" t="e">
        <f t="shared" ca="1" si="370"/>
        <v>#N/A</v>
      </c>
      <c r="CO89" s="140" t="e">
        <f t="shared" ca="1" si="371"/>
        <v>#N/A</v>
      </c>
      <c r="CP89" s="140" t="e">
        <f t="shared" ca="1" si="372"/>
        <v>#N/A</v>
      </c>
      <c r="CQ89" s="141" t="e">
        <f ca="1">VLOOKUP($CP89,Control!$B$86:$G$91,6)</f>
        <v>#N/A</v>
      </c>
      <c r="CR89" s="141" t="e">
        <f ca="1">(1-$CQ89)*VLOOKUP($CP89,Control!$B$86:$D$91,3)</f>
        <v>#N/A</v>
      </c>
      <c r="CS89" s="141" t="e">
        <f ca="1">(1-$CQ89)*VLOOKUP($CP89,Control!$B$86:$E$91,4)</f>
        <v>#N/A</v>
      </c>
      <c r="CT89" s="141" t="e">
        <f ca="1">(1-$CQ89)*VLOOKUP($CP89,Control!$B$86:$F$91,5)</f>
        <v>#N/A</v>
      </c>
      <c r="CU89" s="141">
        <f t="shared" ca="1" si="373"/>
        <v>0</v>
      </c>
      <c r="CV89" s="583">
        <f t="shared" ca="1" si="374"/>
        <v>0</v>
      </c>
      <c r="CW89" s="142">
        <f t="shared" ca="1" si="375"/>
        <v>85</v>
      </c>
      <c r="CX89" s="612" t="e">
        <f ca="1">IF(Control!$C$114=1,(MIN(Control!$C$120*(IF($NT89-0.01&lt;0,0,1)),Control!$C$119-$CY89)))</f>
        <v>#DIV/0!</v>
      </c>
      <c r="CY89" s="143" t="e">
        <f t="shared" ca="1" si="376"/>
        <v>#N/A</v>
      </c>
      <c r="CZ89" s="144">
        <f t="shared" ca="1" si="253"/>
        <v>0</v>
      </c>
      <c r="DA89" s="144">
        <f t="shared" ca="1" si="254"/>
        <v>0</v>
      </c>
      <c r="DB89" s="144" t="e">
        <f t="shared" ca="1" si="255"/>
        <v>#N/A</v>
      </c>
      <c r="DC89" s="144" t="e">
        <f t="shared" ca="1" si="256"/>
        <v>#N/A</v>
      </c>
      <c r="DD89" s="144" t="e">
        <f t="shared" ca="1" si="461"/>
        <v>#N/A</v>
      </c>
      <c r="DE89" s="143" t="e">
        <f t="shared" ca="1" si="377"/>
        <v>#N/A</v>
      </c>
      <c r="DF89" s="145" t="e">
        <f ca="1">$DR89*EXP(-Control!$C$158*(1-$KH89))</f>
        <v>#N/A</v>
      </c>
      <c r="DG89" s="146" t="e">
        <f ca="1">IF(Control!$C$114=1, $DF89*$EY89, 0)</f>
        <v>#N/A</v>
      </c>
      <c r="DH89" s="147" t="e">
        <f t="shared" ca="1" si="378"/>
        <v>#N/A</v>
      </c>
      <c r="DI89" s="144" t="e">
        <f t="shared" ca="1" si="439"/>
        <v>#N/A</v>
      </c>
      <c r="DJ89" s="147" t="e">
        <f ca="1">$EF89*Control!$C$109</f>
        <v>#N/A</v>
      </c>
      <c r="DK89" s="144" t="e">
        <f t="shared" ca="1" si="379"/>
        <v>#N/A</v>
      </c>
      <c r="DL89" s="144" t="e">
        <f t="shared" ca="1" si="257"/>
        <v>#N/A</v>
      </c>
      <c r="DM89" s="144" t="e">
        <f ca="1">IF(Control!$C$114=1, (1-EXP(-Control!$C$96*$DK89))*$AR89, 0)</f>
        <v>#N/A</v>
      </c>
      <c r="DN89" s="144">
        <f t="shared" ca="1" si="380"/>
        <v>0</v>
      </c>
      <c r="DO89" s="148">
        <f>Control!$C$97</f>
        <v>4</v>
      </c>
      <c r="DP89" s="145" t="e">
        <f t="shared" ca="1" si="381"/>
        <v>#N/A</v>
      </c>
      <c r="DQ89" s="145" t="e">
        <f ca="1">IF(AND($CP89&gt;=0,$CP89&lt;=90),Control!$C$111,Control!$C$111)</f>
        <v>#N/A</v>
      </c>
      <c r="DR89" s="145" t="e">
        <f t="shared" ca="1" si="258"/>
        <v>#N/A</v>
      </c>
      <c r="DS89" s="143" t="e">
        <f ca="1">Control!$B$22/$DR89</f>
        <v>#N/A</v>
      </c>
      <c r="DT89" s="149" t="e">
        <f ca="1">IF(AND(Control!$C$114=1,$KH89&lt;1),$IM89*$DF89, 0)</f>
        <v>#N/A</v>
      </c>
      <c r="DU89" s="144" t="e">
        <f t="shared" ca="1" si="382"/>
        <v>#N/A</v>
      </c>
      <c r="DV89" s="144">
        <f ca="1">IF($G89-Control!$C$107&lt;=0, 0, 0.83*LN(MAX($G89, 3))-0.8924)</f>
        <v>0</v>
      </c>
      <c r="DW89" s="144" t="e">
        <f t="shared" ca="1" si="259"/>
        <v>#N/A</v>
      </c>
      <c r="DX89" s="150" t="e">
        <f ca="1">MAX(0.01*(1+$CU89/Control!$C$102),0.05*($DK89-Control!$C$97)/Control!$C$97)</f>
        <v>#N/A</v>
      </c>
      <c r="DY89" s="151" t="e">
        <f ca="1">IF(Control!$C$114=1, $DI89*$FS89, 0)</f>
        <v>#N/A</v>
      </c>
      <c r="DZ89" s="196" t="e">
        <f t="shared" ca="1" si="383"/>
        <v>#N/A</v>
      </c>
      <c r="EA89" s="152">
        <f t="shared" ca="1" si="384"/>
        <v>85</v>
      </c>
      <c r="EB89" s="153" t="e">
        <f t="shared" ca="1" si="385"/>
        <v>#N/A</v>
      </c>
      <c r="EC89" s="153" t="e">
        <f t="shared" ca="1" si="386"/>
        <v>#N/A</v>
      </c>
      <c r="ED89" s="154" t="e">
        <f ca="1">IF(Control!$C$114=1, $HM89*$FY89-$FD89, 0)</f>
        <v>#DIV/0!</v>
      </c>
      <c r="EE89" s="155" t="e">
        <f ca="1">IF(Control!$C$114=1, $HM89*$FZ89-$FF89, 0)</f>
        <v>#DIV/0!</v>
      </c>
      <c r="EF89" s="153" t="e">
        <f t="shared" ca="1" si="440"/>
        <v>#N/A</v>
      </c>
      <c r="EG89" s="155" t="e">
        <f ca="1">IF(Control!$C$114=1, $GX89*$FW89-$FI89, 0)</f>
        <v>#DIV/0!</v>
      </c>
      <c r="EH89" s="153" t="e">
        <f t="shared" ca="1" si="387"/>
        <v>#N/A</v>
      </c>
      <c r="EI89" s="156" t="e">
        <f t="shared" ca="1" si="388"/>
        <v>#N/A</v>
      </c>
      <c r="EJ89" s="155" t="e">
        <f ca="1">IF(Control!$C$114=1, $HM89*$GB89, 0)</f>
        <v>#DIV/0!</v>
      </c>
      <c r="EK89" s="153" t="e">
        <f t="shared" ca="1" si="441"/>
        <v>#N/A</v>
      </c>
      <c r="EL89" s="153" t="e">
        <f t="shared" ca="1" si="260"/>
        <v>#N/A</v>
      </c>
      <c r="EM89" s="153" t="e">
        <f t="shared" ca="1" si="261"/>
        <v>#N/A</v>
      </c>
      <c r="EN89" s="153" t="e">
        <f ca="1">IF(Control!$C$108=1,IF(AND(Control!$B$18=1,$EB89&gt;=Control!$B$19),$EB89-$DS89,IF(AND(Control!$B$18=2,$AW89=1,$EB89&gt;$DS89),$EB89-$DS89,0)))</f>
        <v>#N/A</v>
      </c>
      <c r="EO89" s="153" t="e">
        <f ca="1">IF(Control!$C$108=1,IF(AND(Control!$B$18=1,$EB89&gt;=Control!$B$19),$EF89,IF(AND(Control!$B$18=2,$AW89=1),$EF89,0)))</f>
        <v>#N/A</v>
      </c>
      <c r="EP89" s="153" t="e">
        <f ca="1">IF(Control!$C$108=1,IF(AND(Control!$B$18=1,$EB89&gt;=Control!$B$19),$EK89,IF(AND(Control!$B$18=2,$AW89=1),$EK89,0)))</f>
        <v>#N/A</v>
      </c>
      <c r="EQ89" s="153" t="e">
        <f t="shared" ca="1" si="389"/>
        <v>#N/A</v>
      </c>
      <c r="ER89" s="153" t="e">
        <f t="shared" ca="1" si="390"/>
        <v>#N/A</v>
      </c>
      <c r="ES89" s="153" t="e">
        <f t="shared" ca="1" si="442"/>
        <v>#N/A</v>
      </c>
      <c r="ET89" s="153" t="e">
        <f t="shared" ca="1" si="443"/>
        <v>#N/A</v>
      </c>
      <c r="EU89" s="153" t="e">
        <f t="shared" ca="1" si="391"/>
        <v>#N/A</v>
      </c>
      <c r="EV89" s="153" t="e">
        <f t="shared" ca="1" si="262"/>
        <v>#N/A</v>
      </c>
      <c r="EW89" s="153" t="e">
        <f t="shared" ca="1" si="263"/>
        <v>#N/A</v>
      </c>
      <c r="EX89" s="153" t="e">
        <f t="shared" ca="1" si="264"/>
        <v>#N/A</v>
      </c>
      <c r="EY89" s="157" t="e">
        <f t="shared" ca="1" si="265"/>
        <v>#DIV/0!</v>
      </c>
      <c r="EZ89" s="154" t="e">
        <f t="shared" ca="1" si="266"/>
        <v>#DIV/0!</v>
      </c>
      <c r="FA89" s="153" t="e">
        <f t="shared" ca="1" si="392"/>
        <v>#N/A</v>
      </c>
      <c r="FB89" s="153" t="e">
        <f t="shared" ca="1" si="267"/>
        <v>#N/A</v>
      </c>
      <c r="FC89" s="193" t="e">
        <f t="shared" ca="1" si="268"/>
        <v>#N/A</v>
      </c>
      <c r="FD89" s="158" t="e">
        <f t="shared" ca="1" si="393"/>
        <v>#N/A</v>
      </c>
      <c r="FE89" s="158" t="e">
        <f t="shared" ca="1" si="394"/>
        <v>#N/A</v>
      </c>
      <c r="FF89" s="159" t="e">
        <f t="shared" ca="1" si="269"/>
        <v>#N/A</v>
      </c>
      <c r="FG89" s="160" t="e">
        <f t="shared" ca="1" si="395"/>
        <v>#N/A</v>
      </c>
      <c r="FH89" s="158" t="e">
        <f t="shared" ca="1" si="396"/>
        <v>#N/A</v>
      </c>
      <c r="FI89" s="159" t="e">
        <f t="shared" ca="1" si="270"/>
        <v>#N/A</v>
      </c>
      <c r="FJ89" s="160" t="e">
        <f t="shared" ca="1" si="397"/>
        <v>#N/A</v>
      </c>
      <c r="FK89" s="160" t="e">
        <f t="shared" ca="1" si="271"/>
        <v>#N/A</v>
      </c>
      <c r="FL89" s="160" t="e">
        <f t="shared" ca="1" si="444"/>
        <v>#N/A</v>
      </c>
      <c r="FM89" s="160" t="e">
        <f t="shared" ca="1" si="272"/>
        <v>#N/A</v>
      </c>
      <c r="FN89" s="158">
        <f t="shared" ca="1" si="398"/>
        <v>0.01</v>
      </c>
      <c r="FO89" s="160">
        <f>Control!$C$101</f>
        <v>50</v>
      </c>
      <c r="FP89" s="150" t="e">
        <f t="shared" ca="1" si="273"/>
        <v>#N/A</v>
      </c>
      <c r="FQ89" s="150" t="e">
        <f ca="1">MAX(0,(Control!$C$112*(($DK89-Control!$C$97)/Control!$C$97)))</f>
        <v>#N/A</v>
      </c>
      <c r="FR89" s="150" t="e">
        <f ca="1">(1-$NT89)*Control!$C$113</f>
        <v>#DIV/0!</v>
      </c>
      <c r="FS89" s="198" t="e">
        <f t="shared" ca="1" si="274"/>
        <v>#N/A</v>
      </c>
      <c r="FT89" s="161">
        <f t="shared" ca="1" si="399"/>
        <v>85</v>
      </c>
      <c r="FU89" s="162" t="e">
        <f ca="1">IF(Control!$B$34=1,VLOOKUP($CP89,Control!$B$86:$G$91,6),Control!$B$35)</f>
        <v>#N/A</v>
      </c>
      <c r="FV89" s="162" t="e">
        <f t="shared" ca="1" si="275"/>
        <v>#DIV/0!</v>
      </c>
      <c r="FW89" s="162" t="e">
        <f ca="1">IF(Control!$B$31=1,$FU89*$FV89,  $FU89)</f>
        <v>#N/A</v>
      </c>
      <c r="FX89" s="162" t="e">
        <f ca="1">IF(Control!$B$34=1,VLOOKUP($CP89,Control!$B$86:$G$91,3),Control!$B$36)</f>
        <v>#N/A</v>
      </c>
      <c r="FY89" s="162" t="e">
        <f t="shared" ca="1" si="276"/>
        <v>#N/A</v>
      </c>
      <c r="FZ89" s="162" t="e">
        <f ca="1">IF(Control!$B$34=1,VLOOKUP($CP89,Control!$B$86:$G$91,4),Control!$B$37)</f>
        <v>#N/A</v>
      </c>
      <c r="GA89" s="162" t="e">
        <f t="shared" ca="1" si="277"/>
        <v>#N/A</v>
      </c>
      <c r="GB89" s="162" t="e">
        <f ca="1">IF(Control!$B$34=1,VLOOKUP($CP89,Control!$B$86:$G$91,5),Control!$B$38)</f>
        <v>#N/A</v>
      </c>
      <c r="GC89" s="162" t="e">
        <f t="shared" ca="1" si="400"/>
        <v>#N/A</v>
      </c>
      <c r="GD89" s="162">
        <f t="shared" ca="1" si="278"/>
        <v>1</v>
      </c>
      <c r="GE89" s="162">
        <f t="shared" ca="1" si="279"/>
        <v>1</v>
      </c>
      <c r="GF89" s="162">
        <f ca="1">IF(AND(Control!$C$104=1, Control!$C$62="F"),$GE89,1)</f>
        <v>1</v>
      </c>
      <c r="GG89" s="162" t="e">
        <f ca="1">IF(Control!$B$16=40,0,IF(AND(Control!$B$16&gt;40,Control!$B$16&lt;=360),(Control!$B$16-40)*((1-0)/(360-40)),IF(AND(Control!$B$16&gt;360,Control!$B$16&lt;=720),(1+(Control!$B$16-360)*((1.25-1)/(720-360))),IF(AND(Control!$B$16&gt;720,Control!$B$16&lt;=1000),(1.25+(Control!$B$16-720)*((1.35-1.25)/(1000-720))),IF(AND(Control!$B$16&gt;1000,Control!$B$16&lt;=2000),(1.35+(Control!$B$16-1000)*0))))))</f>
        <v>#N/A</v>
      </c>
      <c r="GH89" s="162" t="e">
        <f t="shared" ca="1" si="280"/>
        <v>#N/A</v>
      </c>
      <c r="GI89" s="162">
        <f t="shared" ca="1" si="401"/>
        <v>0</v>
      </c>
      <c r="GJ89" s="162">
        <f t="shared" ca="1" si="281"/>
        <v>0</v>
      </c>
      <c r="GK89" s="162">
        <f t="shared" ca="1" si="402"/>
        <v>1</v>
      </c>
      <c r="GL89" s="162">
        <f t="shared" ca="1" si="282"/>
        <v>1</v>
      </c>
      <c r="GM89" s="162" t="e">
        <f ca="1">MAX(0,MIN(1,1-Control!$C$156*(1.0001-$KH89)^2))</f>
        <v>#N/A</v>
      </c>
      <c r="GN89" s="162" t="e">
        <f ca="1">IF(Control!$B$26=1,$KU89,$KX89)</f>
        <v>#N/A</v>
      </c>
      <c r="GO89" s="162" t="e">
        <f ca="1">IF($CP89&lt;=60,Control!$C$105,IF($CP89&gt;=90,Control!$C$106,Control!$C$105+($CP89-60)*((Control!$C$106-Control!$C$105)/(90-60))))</f>
        <v>#N/A</v>
      </c>
      <c r="GP89" s="162" t="e">
        <f t="shared" ca="1" si="283"/>
        <v>#N/A</v>
      </c>
      <c r="GQ89" s="162" t="e">
        <f t="shared" ca="1" si="403"/>
        <v>#N/A</v>
      </c>
      <c r="GR89" s="163" t="e">
        <f t="shared" ca="1" si="284"/>
        <v>#DIV/0!</v>
      </c>
      <c r="GS89" s="162" t="e">
        <f t="shared" ca="1" si="285"/>
        <v>#DIV/0!</v>
      </c>
      <c r="GT89" s="164" t="e">
        <f t="shared" ca="1" si="404"/>
        <v>#N/A</v>
      </c>
      <c r="GU89" s="162" t="e">
        <f t="shared" ca="1" si="405"/>
        <v>#N/A</v>
      </c>
      <c r="GV89" s="162" t="e">
        <f t="shared" ca="1" si="286"/>
        <v>#N/A</v>
      </c>
      <c r="GW89" s="162" t="e">
        <f t="shared" ca="1" si="287"/>
        <v>#DIV/0!</v>
      </c>
      <c r="GX89" s="162" t="e">
        <f t="shared" ca="1" si="406"/>
        <v>#DIV/0!</v>
      </c>
      <c r="GY89" s="162" t="e">
        <f t="shared" ca="1" si="407"/>
        <v>#DIV/0!</v>
      </c>
      <c r="GZ89" s="165" t="e">
        <f t="shared" ca="1" si="288"/>
        <v>#N/A</v>
      </c>
      <c r="HA89" s="162" t="e">
        <f ca="1">IF(Control!$C$114=1, $DI89*$FS89, 0)</f>
        <v>#N/A</v>
      </c>
      <c r="HB89" s="162" t="e">
        <f ca="1">$FA89/Control!$C$64</f>
        <v>#N/A</v>
      </c>
      <c r="HC89" s="162" t="e">
        <f t="shared" ca="1" si="289"/>
        <v>#DIV/0!</v>
      </c>
      <c r="HD89" s="162">
        <f ca="1">-ASIN(SIN(23.45*Control!$C$139)*COS(2*Control!$C$138*($AH89+10)/365))</f>
        <v>2.5675445363028411E-2</v>
      </c>
      <c r="HE89" s="165">
        <f t="shared" ca="1" si="408"/>
        <v>0</v>
      </c>
      <c r="HF89" s="166">
        <f ca="1">IF(AND(Control!$C$61="T",$HE89&gt;=Control!$C$103,Control!$C$114=0),$AH89,Control!$C$59)</f>
        <v>1</v>
      </c>
      <c r="HG89" s="166">
        <f ca="1">IF(AND(Control!$C$61="T",$HE89&gt;=Control!$C$103,Control!$C$114=0),$HF89,Control!$C$59)</f>
        <v>1</v>
      </c>
      <c r="HH89" s="165">
        <f ca="1">IF(AND(OR(Control!$C$60&lt;=0, $AH89= Control!$C$59, Control!$C$60 &gt;0, $AH89 = Control!$C$60)), Control!$C$59, IF(Control!$C$60&gt;0, 0))</f>
        <v>1</v>
      </c>
      <c r="HI89" s="165">
        <f ca="1">IF(AND(OR(Control!$C$60&lt;=0, $AH89= Control!$C$59, Control!$C$60 &gt;0, $AH89 = Control!$C$60)), Control!$C$60, IF(Control!$C$60&lt;=0, 0))</f>
        <v>0</v>
      </c>
      <c r="HJ89" s="166">
        <f ca="1">IF(AND(Control!$C$62="F",$CV89&gt;=Control!$C$102),$AH89,0)</f>
        <v>0</v>
      </c>
      <c r="HK89" s="165" t="e">
        <f t="shared" ca="1" si="445"/>
        <v>#N/A</v>
      </c>
      <c r="HL89" s="166">
        <f ca="1">IF(AND(Control!$C$61="T",$HE89&gt;=Control!$C$103,Control!$C$114=0),$HF89,0)</f>
        <v>0</v>
      </c>
      <c r="HM89" s="201" t="e">
        <f t="shared" ca="1" si="290"/>
        <v>#DIV/0!</v>
      </c>
      <c r="HN89" s="215">
        <f t="shared" ca="1" si="409"/>
        <v>85</v>
      </c>
      <c r="HO89" s="216" t="e">
        <f ca="1">IF(AND($CP89&gt;=0, $CP89&lt;=90), Control!$C$152, Control!$C$152)</f>
        <v>#N/A</v>
      </c>
      <c r="HP89" s="216" t="e">
        <f t="shared" ca="1" si="291"/>
        <v>#N/A</v>
      </c>
      <c r="HQ89" s="217" t="e">
        <f ca="1">IF(OR(Control!$B$26=1,Control!$B$26=2),$KV89,$KS89)</f>
        <v>#DIV/0!</v>
      </c>
      <c r="HR89" s="218" t="e">
        <f t="shared" ca="1" si="446"/>
        <v>#DIV/0!</v>
      </c>
      <c r="HS89" s="216" t="e">
        <f ca="1">Control!$C$154*$HP89</f>
        <v>#N/A</v>
      </c>
      <c r="HT89" s="216" t="e">
        <f ca="1">Control!$C$155*$HP89</f>
        <v>#N/A</v>
      </c>
      <c r="HU89" s="217" t="e">
        <f ca="1">Control!$C$161*$FI89</f>
        <v>#N/A</v>
      </c>
      <c r="HV89" s="218" t="e">
        <f t="shared" ca="1" si="410"/>
        <v>#N/A</v>
      </c>
      <c r="HW89" s="218" t="e">
        <f ca="1">Control!$C$160*$FF89+$IP89*$EO89</f>
        <v>#N/A</v>
      </c>
      <c r="HX89" s="218" t="e">
        <f t="shared" ca="1" si="447"/>
        <v>#N/A</v>
      </c>
      <c r="HY89" s="219" t="e">
        <f ca="1">IF(Control!$C$114=1, $EB89*$FS89, 0)</f>
        <v>#N/A</v>
      </c>
      <c r="HZ89" s="91" t="e">
        <f t="shared" ca="1" si="292"/>
        <v>#N/A</v>
      </c>
      <c r="IA89" s="220" t="e">
        <f ca="1">Control!$C$153*$HO89</f>
        <v>#N/A</v>
      </c>
      <c r="IB89" s="218" t="e">
        <f t="shared" ca="1" si="293"/>
        <v>#N/A</v>
      </c>
      <c r="IC89" s="220" t="e">
        <f ca="1">Control!$C$153*$HT89</f>
        <v>#N/A</v>
      </c>
      <c r="ID89" s="218" t="e">
        <f t="shared" ca="1" si="294"/>
        <v>#N/A</v>
      </c>
      <c r="IE89" s="221" t="e">
        <f ca="1">($EB89*Control!$C$159+$EF89*Control!$C$160)/(IF($GZ89&lt;&gt;0,$GZ89,1))</f>
        <v>#N/A</v>
      </c>
      <c r="IF89" s="216" t="e">
        <f t="shared" ca="1" si="295"/>
        <v>#N/A</v>
      </c>
      <c r="IG89" s="91">
        <f ca="1">IF(OR(Control!$B$198=$AH89,Control!$B$199=$AH89, Control!$B$200=$AH89, Control!$B$201=$AH89, Control!$B$202=$AH89, Control!$B$203=$AH89, Control!$B$204=$AH89, Control!$B$205=$AH89, Control!$B$206=$AH89, Control!$B$207=$AH89), 1, 0)</f>
        <v>0</v>
      </c>
      <c r="IH89" s="91">
        <f ca="1">IF($IG89=0,0, VLOOKUP($AH89,Control!$B$198:$C$207,2))</f>
        <v>0</v>
      </c>
      <c r="II89" s="222">
        <f t="shared" ca="1" si="411"/>
        <v>0</v>
      </c>
      <c r="IJ89" s="91">
        <f>Control!$C$121</f>
        <v>0.7</v>
      </c>
      <c r="IK89" s="218">
        <f t="shared" ca="1" si="296"/>
        <v>0</v>
      </c>
      <c r="IL89" s="217" t="e">
        <f t="shared" ca="1" si="448"/>
        <v>#N/A</v>
      </c>
      <c r="IM89" s="223" t="e">
        <f ca="1">IF(AND(Control!$C$114=1,$KH89&lt;1),$EB89*Control!$C$148*(1-$KH89), 0)</f>
        <v>#N/A</v>
      </c>
      <c r="IN89" s="217" t="e">
        <f t="shared" ca="1" si="297"/>
        <v>#DIV/0!</v>
      </c>
      <c r="IO89" s="91" t="e">
        <f ca="1">MAX(0,$IL89-$EF89*Control!$C$160)</f>
        <v>#N/A</v>
      </c>
      <c r="IP89" s="220" t="e">
        <f t="shared" ca="1" si="298"/>
        <v>#N/A</v>
      </c>
      <c r="IQ89" s="217" t="e">
        <f t="shared" ca="1" si="412"/>
        <v>#N/A</v>
      </c>
      <c r="IR89" s="218" t="e">
        <f t="shared" ca="1" si="299"/>
        <v>#N/A</v>
      </c>
      <c r="IS89" s="217" t="e">
        <f ca="1">Control!$C$159*MAX(0,$FD89-$EN89)</f>
        <v>#N/A</v>
      </c>
      <c r="IT89" s="217" t="e">
        <f t="shared" ca="1" si="449"/>
        <v>#N/A</v>
      </c>
      <c r="IU89" s="217" t="e">
        <f t="shared" ca="1" si="413"/>
        <v>#N/A</v>
      </c>
      <c r="IV89" s="217" t="e">
        <f t="shared" ca="1" si="450"/>
        <v>#N/A</v>
      </c>
      <c r="IW89" s="217" t="e">
        <f ca="1">IF(OR($AW89=1,AND($AW89=0, Control!$B$18=1,$EN89&lt;&gt;0)), $IQ89-$IU89, $IQ89)</f>
        <v>#N/A</v>
      </c>
      <c r="IX89" s="218" t="e">
        <f t="shared" ca="1" si="300"/>
        <v>#N/A</v>
      </c>
      <c r="IY89" s="218" t="e">
        <f ca="1">MAX(0,$IQ89-$EB89*Control!$C$159)</f>
        <v>#N/A</v>
      </c>
      <c r="IZ89" s="218" t="e">
        <f t="shared" ca="1" si="301"/>
        <v>#N/A</v>
      </c>
      <c r="JA89" s="216" t="e">
        <f t="shared" ca="1" si="302"/>
        <v>#N/A</v>
      </c>
      <c r="JB89" s="217" t="e">
        <f t="shared" ca="1" si="303"/>
        <v>#N/A</v>
      </c>
      <c r="JC89" s="222" t="e">
        <f ca="1">MAX(Control!$C$157*$EK89-$JT89, 0)/Control!$C$162</f>
        <v>#N/A</v>
      </c>
      <c r="JD89" s="218" t="e">
        <f t="shared" ca="1" si="304"/>
        <v>#N/A</v>
      </c>
      <c r="JE89" s="218" t="e">
        <f t="shared" ca="1" si="305"/>
        <v>#N/A</v>
      </c>
      <c r="JF89" s="218" t="e">
        <f t="shared" ca="1" si="414"/>
        <v>#N/A</v>
      </c>
      <c r="JG89" s="218" t="e">
        <f t="shared" ca="1" si="306"/>
        <v>#N/A</v>
      </c>
      <c r="JH89" s="217" t="e">
        <f t="shared" ca="1" si="415"/>
        <v>#N/A</v>
      </c>
      <c r="JI89" s="217" t="e">
        <f t="shared" ca="1" si="416"/>
        <v>#N/A</v>
      </c>
      <c r="JJ89" s="217" t="e">
        <f t="shared" ca="1" si="451"/>
        <v>#N/A</v>
      </c>
      <c r="JK89" s="217" t="e">
        <f ca="1">IF(Control!$C$114=1,IF(Control!$B$24=0,MAX(0,$JI89)*$GN89/Control!$C$64,(MAX(0,MIN($JI89,$JJ89*$GN89/Control!$C$64),0))))</f>
        <v>#N/A</v>
      </c>
      <c r="JL89" s="217" t="e">
        <f ca="1">$IK89/Control!$C$64-$JK89+$HQ89</f>
        <v>#N/A</v>
      </c>
      <c r="JM89" s="217" t="e">
        <f ca="1">IF(Control!$C$114=1,($JB89/(IF($JI89&lt;&gt;0,$JI89,1)))*$JK89,0)</f>
        <v>#N/A</v>
      </c>
      <c r="JN89" s="217" t="e">
        <f ca="1">IF(Control!$C$114=1,($JG89/(IF($JI89&lt;&gt;0,$JI89,1)))*$JK89, 0)</f>
        <v>#N/A</v>
      </c>
      <c r="JO89" s="218" t="e">
        <f t="shared" ca="1" si="307"/>
        <v>#N/A</v>
      </c>
      <c r="JP89" s="218" t="e">
        <f ca="1">MIN(($IY89+$IO89)*Control!$C$151, $JF89-$EH89*Control!$C$161)</f>
        <v>#N/A</v>
      </c>
      <c r="JQ89" s="218" t="e">
        <f t="shared" ca="1" si="308"/>
        <v>#N/A</v>
      </c>
      <c r="JR89" s="217" t="e">
        <f ca="1">IF($CP89-Control!$C$150&lt;0, 0, $JQ89/Control!$C$162)</f>
        <v>#N/A</v>
      </c>
      <c r="JS89" s="218" t="e">
        <f t="shared" ca="1" si="309"/>
        <v>#N/A</v>
      </c>
      <c r="JT89" s="218" t="e">
        <f t="shared" ca="1" si="417"/>
        <v>#N/A</v>
      </c>
      <c r="JU89" s="218" t="e">
        <f t="shared" ca="1" si="310"/>
        <v>#N/A</v>
      </c>
      <c r="JV89" s="218" t="e">
        <f t="shared" ca="1" si="311"/>
        <v>#N/A</v>
      </c>
      <c r="JW89" s="216" t="e">
        <f t="shared" ca="1" si="312"/>
        <v>#N/A</v>
      </c>
      <c r="JX89" s="91" t="e">
        <f t="shared" ca="1" si="313"/>
        <v>#N/A</v>
      </c>
      <c r="JY89" s="218" t="e">
        <f t="shared" ca="1" si="314"/>
        <v>#N/A</v>
      </c>
      <c r="JZ89" s="217" t="e">
        <f ca="1">IF(Control!$C$114=1,($IZ89/(IF($JI89&lt;&gt;0,$JI89,1)))*$JK89, 0)</f>
        <v>#N/A</v>
      </c>
      <c r="KA89" s="218" t="e">
        <f t="shared" ca="1" si="452"/>
        <v>#N/A</v>
      </c>
      <c r="KB89" s="218" t="e">
        <f t="shared" ca="1" si="418"/>
        <v>#N/A</v>
      </c>
      <c r="KC89" s="218" t="e">
        <f t="shared" ca="1" si="315"/>
        <v>#N/A</v>
      </c>
      <c r="KD89" s="218" t="e">
        <f t="shared" ca="1" si="316"/>
        <v>#N/A</v>
      </c>
      <c r="KE89" s="218" t="e">
        <f t="shared" ca="1" si="317"/>
        <v>#N/A</v>
      </c>
      <c r="KF89" s="218" t="e">
        <f t="shared" ca="1" si="318"/>
        <v>#N/A</v>
      </c>
      <c r="KG89" s="216" t="e">
        <f t="shared" ca="1" si="319"/>
        <v>#N/A</v>
      </c>
      <c r="KH89" s="221" t="e">
        <f ca="1">IF(Control!$B$24=0,1,MAX(0.001,MIN(1,IF(($IF89-$IE89)&lt;&gt;0,($KG89-$IE89)/($IF89-$IE89),1))))</f>
        <v>#N/A</v>
      </c>
      <c r="KI89" s="222" t="e">
        <f ca="1">IF(Control!$C$114=1, $KI88+ $KH88, 0)</f>
        <v>#N/A</v>
      </c>
      <c r="KJ89" s="217" t="e">
        <f t="shared" ca="1" si="320"/>
        <v>#N/A</v>
      </c>
      <c r="KK89" s="218" t="e">
        <f t="shared" ca="1" si="321"/>
        <v>#N/A</v>
      </c>
      <c r="KL89" s="274" t="e">
        <f ca="1">IF(Control!$B$26=3,4000000000*EXP(-8400/($G89+273)),IF(Control!$B$26=4,4000000000*EXP(-8400/($G89+273))*($KT89),0))</f>
        <v>#DIV/0!</v>
      </c>
      <c r="KM89" s="274" t="e">
        <f ca="1">IF(Control!$B$26=3,5600000000000*EXP(-9800/($G89+273)),IF(Control!$B$26=4,5600000000000*EXP(-9800/($G89+273))*$KT89,0))</f>
        <v>#DIV/0!</v>
      </c>
      <c r="KN89" s="454" t="e">
        <f t="shared" ca="1" si="419"/>
        <v>#DIV/0!</v>
      </c>
      <c r="KO89" s="274" t="e">
        <f t="shared" ca="1" si="420"/>
        <v>#DIV/0!</v>
      </c>
      <c r="KP89" s="454" t="e">
        <f t="shared" ca="1" si="322"/>
        <v>#DIV/0!</v>
      </c>
      <c r="KQ89" s="454" t="e">
        <f t="shared" ca="1" si="323"/>
        <v>#DIV/0!</v>
      </c>
      <c r="KR89" s="454" t="e">
        <f t="shared" ca="1" si="324"/>
        <v>#DIV/0!</v>
      </c>
      <c r="KS89" s="454" t="e">
        <f t="shared" ca="1" si="325"/>
        <v>#DIV/0!</v>
      </c>
      <c r="KT89" s="455" t="e">
        <f t="shared" ca="1" si="326"/>
        <v>#DIV/0!</v>
      </c>
      <c r="KU89" s="456" t="e">
        <f ca="1">IF($CP89-Control!$C$149&lt;0, IF($NT89-0.01&lt;0,0,1),0)</f>
        <v>#N/A</v>
      </c>
      <c r="KV89" s="456" t="e">
        <f ca="1">IF(Control!$C$114=1,MAX(0,MIN(Control!$C$125*$KW89*$GN89,$KW89)))</f>
        <v>#DIV/0!</v>
      </c>
      <c r="KW89" s="456" t="e">
        <f t="shared" ca="1" si="453"/>
        <v>#DIV/0!</v>
      </c>
      <c r="KX89" s="457" t="e">
        <f ca="1">IF($CP89-Control!$C$149&lt;0, IF($MR89-$OM89&lt;0,0,1),0)</f>
        <v>#N/A</v>
      </c>
      <c r="KY89" s="167">
        <f t="shared" ca="1" si="421"/>
        <v>85</v>
      </c>
      <c r="KZ89" s="168">
        <f ca="1">1370*(1+0.033*COS(2*Control!$C$138*$AH89/365))</f>
        <v>1374.8545568858513</v>
      </c>
      <c r="LA89" s="169">
        <f t="shared" ca="1" si="422"/>
        <v>1.0035435844399174</v>
      </c>
      <c r="LB89" s="169">
        <f t="shared" ca="1" si="423"/>
        <v>2.9915145110907808E-2</v>
      </c>
      <c r="LC89" s="169">
        <f ca="1">ACOS(-TAN((2*Control!$B$8/360))*TAN(Calculations!$LB89))</f>
        <v>1.5796899719855104</v>
      </c>
      <c r="LD89" s="169">
        <f ca="1">((24*60)/PI())*0.082*$LA89*(($LC89*SIN(Control!$B$8*2*PI()/360))*SIN($LB89)+COS(Control!$B$8*2*PI()/360)*COS($LB89)*SIN($LC89))</f>
        <v>24.615370036439622</v>
      </c>
      <c r="LE89" s="170">
        <f t="shared" ca="1" si="327"/>
        <v>24.485241668397538</v>
      </c>
      <c r="LF89" s="170">
        <f ca="1">SIN(Control!$C$139*Control!$B$8)*SIN($HD89)</f>
        <v>2.0230337690805959E-2</v>
      </c>
      <c r="LG89" s="170">
        <f ca="1">COS(Control!$C$139*Control!$B$8)*COS($HD89)</f>
        <v>0.61545688383731756</v>
      </c>
      <c r="LH89" s="170">
        <f ca="1">12*(1+2*ASIN(MAX(-1,MIN(1,$LF89/$LG89))/Control!$C$138))</f>
        <v>12.251115648106676</v>
      </c>
      <c r="LI89" s="170">
        <f ca="1">12*(1+2*ASIN(MAX(-1,MIN(1,(-SIN(-4*Control!$C$139)+$LF89)/$LG89))/Control!$C$138))</f>
        <v>13.117375836990453</v>
      </c>
      <c r="LJ89" s="168">
        <f ca="1">3600*($LH89*$LF89+24*$LG89*SQRT(1-$LK89*$LK89)/Control!$C$138)</f>
        <v>17809.33230047144</v>
      </c>
      <c r="LK89" s="170">
        <f t="shared" ca="1" si="328"/>
        <v>3.2870438566990505E-2</v>
      </c>
      <c r="LL89" s="170">
        <f t="shared" ca="1" si="329"/>
        <v>0</v>
      </c>
      <c r="LM89" s="171">
        <f ca="1">Control!$C$145*$AB89</f>
        <v>6.6660906138995932E-2</v>
      </c>
      <c r="LN89" s="170">
        <f t="shared" ca="1" si="424"/>
        <v>0.54</v>
      </c>
      <c r="LO89" s="170">
        <f t="shared" ca="1" si="330"/>
        <v>0</v>
      </c>
      <c r="LP89" s="170">
        <f ca="1">Control!$C$140*((($D89+273.16)^4+($E89+273.16)^4)/2)*(0.34-0.14*SQRT($Y89))*(1.35*$AQ89/(0.75*$LD89)-0.35)</f>
        <v>-3.2464704755046001</v>
      </c>
      <c r="LQ89" s="170">
        <f ca="1">Control!$C$140*($G89+273)^4*(0.56-0.079*SQRT($Y89*10))*(0.1+0.9*$LO89)</f>
        <v>1.5241745131704001</v>
      </c>
      <c r="LR89" s="170">
        <f ca="1">$AQ89*(1-Control!$C$142)-$LQ89</f>
        <v>-1.5241745131704001</v>
      </c>
      <c r="LS89" s="170">
        <f ca="1">$AQ89*(1-Control!$C$143)-$LQ89</f>
        <v>-1.5241745131704001</v>
      </c>
      <c r="LT89" s="170">
        <f ca="1">$AQ89*(1-Control!$C$144)-$LQ89</f>
        <v>-1.5241745131704001</v>
      </c>
      <c r="LU89" s="169">
        <f ca="1">(1-Control!$C$144)*AQ89-LP89</f>
        <v>3.2464704755046001</v>
      </c>
      <c r="LV89" s="172">
        <f t="shared" ca="1" si="331"/>
        <v>0.79430000000000012</v>
      </c>
      <c r="LW89" s="170">
        <f t="shared" ca="1" si="332"/>
        <v>1.5886000000000002</v>
      </c>
      <c r="LX89" s="170">
        <f ca="1">($AC89*($LR89/Control!$C$141)+$LM89*$LV89)/($AC89+$LM89)</f>
        <v>0.23530094218323697</v>
      </c>
      <c r="LY89" s="170">
        <f ca="1">($AC89*($LS89/Control!$C$141)+$LM89*$LV89)/($AC89+$LM89)</f>
        <v>0.23530094218323697</v>
      </c>
      <c r="LZ89" s="170">
        <f t="shared" ca="1" si="333"/>
        <v>0.23530094218323697</v>
      </c>
      <c r="MA89" s="170">
        <f t="shared" ca="1" si="334"/>
        <v>0.23530094218323697</v>
      </c>
      <c r="MB89" s="170" t="e">
        <f t="shared" ca="1" si="335"/>
        <v>#N/A</v>
      </c>
      <c r="MC89" s="170">
        <f t="shared" ca="1" si="425"/>
        <v>0.6018</v>
      </c>
      <c r="MD89" s="170">
        <f t="shared" ca="1" si="336"/>
        <v>0.52989392535414004</v>
      </c>
      <c r="ME89" s="170">
        <f ca="1">($AC89*($LT89/Control!$C$141)+$LM89*$LW89)/($AC89+$LM89)</f>
        <v>0.71612369323045078</v>
      </c>
      <c r="MF89" s="170" t="e">
        <f ca="1">IF(Control!$B$16&gt;=1000,0.92,IF(AND(720&lt;=Control!$B$16,1000&gt;Control!$B$16),(0.95+(Control!$B$16-720)*((0.92-0.95)/(1000-720))),IF(AND(360&lt;=Control!$B$16,720&gt;Control!$B$16),(1+(Control!$B$16-360)*((0.95-1)/(720-360))),IF(AND(40&lt;=Control!$B$16,360&gt;Control!$B$16),(1.05+(Control!$B$16-40)*((1.05-1)/(360-40)))))))</f>
        <v>#N/A</v>
      </c>
      <c r="MG89" s="170">
        <f t="shared" ca="1" si="337"/>
        <v>0.71612369323045078</v>
      </c>
      <c r="MH89" s="170" t="e">
        <f t="shared" ca="1" si="462"/>
        <v>#N/A</v>
      </c>
      <c r="MI89" s="170" t="e">
        <f t="shared" ca="1" si="462"/>
        <v>#N/A</v>
      </c>
      <c r="MJ89" s="170" t="e">
        <f ca="1">MAX(0.0001, Control!$C$132*$MI89*$DL89)</f>
        <v>#N/A</v>
      </c>
      <c r="MK89" s="170">
        <f ca="1">1/(0.76+1.5*($MG89/10))-(5-Control!$C$110)*0.1</f>
        <v>1.002845988140797</v>
      </c>
      <c r="ML89" s="173">
        <f ca="1">IF(Control!$C$110&lt;3,$MK89+($MG89-0.6)/(Control!$C$110*(Control!$C$110+3)), MAX(0.1, MIN(0.95,$MK89)))</f>
        <v>0.95</v>
      </c>
      <c r="MM89" s="173">
        <f ca="1">IF(Control!$C$110&lt;3,$MK89+(($MI89/10)-0.6)/(Control!$C$110*(Control!$C$110+3)), MAX(0.1, MIN(0.95,$MK89)))</f>
        <v>0.95</v>
      </c>
      <c r="MN89" s="173">
        <f ca="1">(1-$MM89)*(Control!$C$128-Control!$C$127)+Control!$C$127</f>
        <v>0.16</v>
      </c>
      <c r="MO89" s="170" t="e">
        <f ca="1">MAX(0,MIN(1,($MS89-Control!$C$127)/($MN89-Control!$C$127)))</f>
        <v>#DIV/0!</v>
      </c>
      <c r="MP89" s="173" t="e">
        <f ca="1">1/(0.76+1.5*$MI89)-(5-Control!$C$110)*0.1</f>
        <v>#N/A</v>
      </c>
      <c r="MQ89" s="172" t="e">
        <f t="shared" ca="1" si="454"/>
        <v>#DIV/0!</v>
      </c>
      <c r="MR89" s="168" t="e">
        <f t="shared" ca="1" si="426"/>
        <v>#DIV/0!</v>
      </c>
      <c r="MS89" s="173" t="e">
        <f ca="1">MAX(Control!$C$127, MIN(Control!$C$135, $MR89/MAX(0.0001,$CY89)))</f>
        <v>#DIV/0!</v>
      </c>
      <c r="MT89" s="168" t="e">
        <f ca="1">(Control!$C$128-$MS89)*Control!$C$74</f>
        <v>#DIV/0!</v>
      </c>
      <c r="MU89" s="168" t="e">
        <f ca="1">(Control!$C$135-$MS89)*Control!$C$74</f>
        <v>#DIV/0!</v>
      </c>
      <c r="MV89" s="168" t="e">
        <f t="shared" ca="1" si="427"/>
        <v>#DIV/0!</v>
      </c>
      <c r="MW89" s="168" t="e">
        <f t="shared" ca="1" si="428"/>
        <v>#DIV/0!</v>
      </c>
      <c r="MX89" s="171" t="e">
        <f ca="1">MAX(Control!$C$127, MIN(Control!$C$135, $MW89/MAX(0.0001,Control!$C$119-$CY89)))</f>
        <v>#DIV/0!</v>
      </c>
      <c r="MY89" s="54" t="e">
        <f ca="1">IF(Control!$C$114=1, $CX89*$MX89, 0)</f>
        <v>#DIV/0!</v>
      </c>
      <c r="MZ89" s="54" t="e">
        <f t="shared" ca="1" si="429"/>
        <v>#N/A</v>
      </c>
      <c r="NA89" s="168" t="e">
        <f ca="1">(Control!$C$128-$MX89)*(Control!$C$119-Control!$C$74)</f>
        <v>#DIV/0!</v>
      </c>
      <c r="NB89" s="168" t="e">
        <f ca="1">(Control!$C$135-$MX89)*(Control!$C$119-Control!$C$74)</f>
        <v>#DIV/0!</v>
      </c>
      <c r="NC89" s="174" t="e">
        <f t="shared" ca="1" si="430"/>
        <v>#DIV/0!</v>
      </c>
      <c r="ND89" s="54">
        <f ca="1">IF(Control!$C$58=2, IF(OR(Control!$B$218=$AH89,Control!$B$219=$AH89, Control!$B$220=$AH89, Control!$B$221=$AH89, Control!$B$222=$AH89, Control!$B$223=$AH89, Control!$B$224=$AH89, Control!$B$225=$AH89, Control!$B$226=$AH89, Control!$B$227=$AH89, Control!$B$228=$AH89), 1, 0), 0)</f>
        <v>0</v>
      </c>
      <c r="NE89" s="54">
        <f ca="1">IF($ND89=0,0, VLOOKUP($AH89,Control!$B$218:$C$228,2))</f>
        <v>0</v>
      </c>
      <c r="NF89" s="168" t="e">
        <f ca="1">$CY89*(Control!$C$128-Control!$C$127)</f>
        <v>#N/A</v>
      </c>
      <c r="NG89" s="54" t="e">
        <f ca="1">IF(Control!$C$58=2, $NI88-$NJ88, 0)</f>
        <v>#DIV/0!</v>
      </c>
      <c r="NH89" s="54" t="e">
        <f ca="1">IF(AND(Control!$C$58=1, $MS88&lt;= ($MN88+0.02), $I88&lt;10), 0, IF(Control!$C$58=2, $NG88, 0))</f>
        <v>#DIV/0!</v>
      </c>
      <c r="NI89" s="54" t="e">
        <f ca="1">IF(Control!$C$58=2, $NE89+$NH89,0)</f>
        <v>#DIV/0!</v>
      </c>
      <c r="NJ89" s="54" t="e">
        <f ca="1">IF(AND(Control!$C$58=1, $MS89&lt;= ($MN89+0.02), $I89&lt;10), MAX(0, MIN(10, 0.7*($NF89-$MV89))), IF(Control!$C$58=2, MIN(10,$NI89),0))</f>
        <v>#DIV/0!</v>
      </c>
      <c r="NK89" s="54" t="e">
        <f t="shared" ca="1" si="338"/>
        <v>#DIV/0!</v>
      </c>
      <c r="NL89" s="173" t="e">
        <f ca="1">(1-Control!$C$73)*$I89+$NJ89</f>
        <v>#DIV/0!</v>
      </c>
      <c r="NM89" s="172" t="e">
        <f ca="1">IF($NL89&lt;0.5, $MB89* MAX(0, MIN(1, (SQRT($NC89)-SQRT($NC89-1))*Control!$C$71)),0)</f>
        <v>#DIV/0!</v>
      </c>
      <c r="NN89" s="170" t="e">
        <f ca="1">IF($NL89&gt;=5, $MB89, MAX(0,MIN($MB89, $NM89+$NL89,($MS89-Control!$C$129))))</f>
        <v>#DIV/0!</v>
      </c>
      <c r="NO89" s="54">
        <f>IF(Control!$C$133&lt;&gt;1, Control!$C$135-Control!$C$131, 0)</f>
        <v>0.38</v>
      </c>
      <c r="NP89" s="54" t="e">
        <f t="shared" ca="1" si="339"/>
        <v>#DIV/0!</v>
      </c>
      <c r="NQ89" s="173" t="e">
        <f ca="1">MAX(0,MIN(1,(Control!$C$135-$MS89)/(Control!$C$135-$NO89)))</f>
        <v>#DIV/0!</v>
      </c>
      <c r="NR89" s="170" t="e">
        <f ca="1">IF(Control!$C$133&lt;&gt;1, $NQ89+((1-$NP89/4)*(1-$NQ89)),1)</f>
        <v>#DIV/0!</v>
      </c>
      <c r="NS89" s="170" t="e">
        <f ca="1">IF(Control!$B$31=0,$MJ89,MAX(0,MIN($MV89,$MO89*$NR89*$MJ89)))</f>
        <v>#DIV/0!</v>
      </c>
      <c r="NT89" s="170" t="e">
        <f t="shared" ca="1" si="455"/>
        <v>#DIV/0!</v>
      </c>
      <c r="NU89" s="170" t="e">
        <f t="shared" ca="1" si="431"/>
        <v>#N/A</v>
      </c>
      <c r="NV89" s="170" t="e">
        <f t="shared" ca="1" si="340"/>
        <v>#N/A</v>
      </c>
      <c r="NW89" s="175" t="e">
        <f t="shared" ca="1" si="341"/>
        <v>#DIV/0!</v>
      </c>
      <c r="NX89" s="170" t="e">
        <f ca="1">MIN(Control!$C$72+$MU89, $NW89)</f>
        <v>#DIV/0!</v>
      </c>
      <c r="NY89" s="170" t="e">
        <f ca="1">IF($MT89&lt;=$NX89,MIN(Control!$C$72+$NB89,$NX89-$MT89),0)</f>
        <v>#DIV/0!</v>
      </c>
      <c r="NZ89" s="54" t="e">
        <f ca="1">IF(Control!$C$114=1,  $CX89*($MX89-Control!$C$127), 0)</f>
        <v>#DIV/0!</v>
      </c>
      <c r="OA89" s="170" t="e">
        <f t="shared" ca="1" si="342"/>
        <v>#DIV/0!</v>
      </c>
      <c r="OB89" s="170" t="e">
        <f ca="1">IF($NA89 &lt;=$NY89, MIN(Control!$C$72, $NY89-$NA89), 0)</f>
        <v>#DIV/0!</v>
      </c>
      <c r="OC89" s="168" t="e">
        <f t="shared" ca="1" si="343"/>
        <v>#DIV/0!</v>
      </c>
      <c r="OD89" s="168" t="e">
        <f t="shared" ca="1" si="432"/>
        <v>#DIV/0!</v>
      </c>
      <c r="OE89" s="170">
        <f ca="1">Control!$C$73*$I89</f>
        <v>0</v>
      </c>
      <c r="OF89" s="176" t="e">
        <f t="shared" ca="1" si="344"/>
        <v>#DIV/0!</v>
      </c>
      <c r="OG89" s="168" t="e">
        <f t="shared" ca="1" si="345"/>
        <v>#DIV/0!</v>
      </c>
      <c r="OH89" s="168" t="e">
        <f t="shared" ca="1" si="346"/>
        <v>#DIV/0!</v>
      </c>
      <c r="OI89" s="168" t="e">
        <f t="shared" ca="1" si="347"/>
        <v>#DIV/0!</v>
      </c>
      <c r="OJ89" s="168" t="e">
        <f t="shared" ca="1" si="348"/>
        <v>#DIV/0!</v>
      </c>
      <c r="OK89" s="204" t="e">
        <f t="shared" ca="1" si="349"/>
        <v>#DIV/0!</v>
      </c>
      <c r="OL89" s="177">
        <f>Control!$C$127</f>
        <v>0.15</v>
      </c>
      <c r="OM89" s="182" t="e">
        <f t="shared" ca="1" si="350"/>
        <v>#N/A</v>
      </c>
      <c r="ON89" s="177">
        <f>Control!$C$128</f>
        <v>0.35</v>
      </c>
      <c r="OO89" s="182" t="e">
        <f t="shared" ca="1" si="351"/>
        <v>#N/A</v>
      </c>
      <c r="OP89" s="138">
        <f t="shared" ca="1" si="433"/>
        <v>0</v>
      </c>
      <c r="OQ89" s="138" t="e">
        <f t="shared" ca="1" si="456"/>
        <v>#DIV/0!</v>
      </c>
      <c r="OR89" s="138" t="e">
        <f t="shared" ca="1" si="434"/>
        <v>#DIV/0!</v>
      </c>
      <c r="OS89" s="137" t="e">
        <f t="shared" ca="1" si="457"/>
        <v>#DIV/0!</v>
      </c>
      <c r="OT89" s="139" t="e">
        <f t="shared" ca="1" si="458"/>
        <v>#DIV/0!</v>
      </c>
      <c r="OU89" s="138" t="e">
        <f t="shared" ca="1" si="459"/>
        <v>#N/A</v>
      </c>
      <c r="OV89" s="138" t="e">
        <f t="shared" ca="1" si="460"/>
        <v>#DIV/0!</v>
      </c>
      <c r="OW89" s="138" t="e">
        <f t="shared" ca="1" si="435"/>
        <v>#DIV/0!</v>
      </c>
      <c r="OX89" s="138" t="e">
        <f t="shared" ca="1" si="436"/>
        <v>#DIV/0!</v>
      </c>
      <c r="OY89" s="138" t="e">
        <f t="shared" ca="1" si="437"/>
        <v>#DIV/0!</v>
      </c>
      <c r="OZ89" s="138" t="e">
        <f t="shared" ca="1" si="352"/>
        <v>#DIV/0!</v>
      </c>
      <c r="PA89" s="138" t="e">
        <f t="shared" ca="1" si="353"/>
        <v>#DIV/0!</v>
      </c>
      <c r="PB89" s="55">
        <f>IF(Control!$C$61="T", IF(Control!$C$65="F", IF($AH$6-Control!$C$60&lt;0,0,1), IF(365+$AH$6-Control!$C$60&lt;0,0,1)),0)</f>
        <v>0</v>
      </c>
      <c r="PC89" s="55">
        <f ca="1">IF(Control!$C$65="F", IF($AH$6-$HF89&lt;0,0,1), IF(365+$AH$6-$HF89&lt;0,0,1))</f>
        <v>1</v>
      </c>
      <c r="PD89" s="444">
        <f>Control!$C$118</f>
        <v>1500</v>
      </c>
      <c r="PE89" s="180" t="e">
        <f t="shared" ca="1" si="354"/>
        <v>#N/A</v>
      </c>
      <c r="PF89" s="445">
        <f t="shared" ca="1" si="438"/>
        <v>0.71612369323045078</v>
      </c>
      <c r="PT89" s="186"/>
      <c r="PU89" s="186"/>
      <c r="PV89" s="94"/>
      <c r="PW89" s="94"/>
      <c r="PX89" s="94"/>
      <c r="PY89" s="94"/>
      <c r="PZ89" s="94"/>
      <c r="QA89" s="94"/>
      <c r="QB89" s="94"/>
      <c r="QC89" s="94"/>
      <c r="QD89" s="94"/>
      <c r="QE89" s="94"/>
      <c r="QF89" s="94"/>
      <c r="QG89" s="94"/>
      <c r="QH89" s="94"/>
      <c r="QI89" s="94"/>
      <c r="QJ89" s="94"/>
      <c r="QK89" s="94"/>
      <c r="QL89" s="94"/>
      <c r="QM89" s="94"/>
      <c r="QN89" s="94"/>
      <c r="QO89" s="94"/>
      <c r="QP89" s="94"/>
    </row>
    <row r="90" spans="1:458" s="2" customFormat="1" x14ac:dyDescent="0.2">
      <c r="A90" s="395">
        <v>26</v>
      </c>
      <c r="B90" s="396">
        <v>3</v>
      </c>
      <c r="C90" s="387">
        <f ca="1">Weather_data!$B89</f>
        <v>0</v>
      </c>
      <c r="D90" s="388">
        <f ca="1">Weather_data!$F89</f>
        <v>0</v>
      </c>
      <c r="E90" s="388">
        <f ca="1">Weather_data!$E89</f>
        <v>0</v>
      </c>
      <c r="F90" s="388">
        <f t="shared" ca="1" si="355"/>
        <v>0</v>
      </c>
      <c r="G90" s="388">
        <f ca="1">AVERAGE($D90:$E90)+Control!$B$9</f>
        <v>0</v>
      </c>
      <c r="H90" s="388">
        <f ca="1">Weather_data!$G89</f>
        <v>0</v>
      </c>
      <c r="I90" s="388">
        <f ca="1">Weather_data!$I89</f>
        <v>0</v>
      </c>
      <c r="J90" s="388">
        <f ca="1">Weather_data!$H89</f>
        <v>0</v>
      </c>
      <c r="K90" s="389">
        <f ca="1">Weather_data!$D89</f>
        <v>0</v>
      </c>
      <c r="L90" s="388" t="e">
        <f t="shared" ca="1" si="356"/>
        <v>#N/A</v>
      </c>
      <c r="M90" s="388" t="e">
        <f t="shared" ca="1" si="234"/>
        <v>#N/A</v>
      </c>
      <c r="N90" s="388">
        <f t="shared" ca="1" si="235"/>
        <v>-7.1670559898339033E-5</v>
      </c>
      <c r="O90" s="388">
        <f t="shared" ca="1" si="357"/>
        <v>7.1670559898339033E-4</v>
      </c>
      <c r="P90" s="390">
        <v>3</v>
      </c>
      <c r="Q90" s="388">
        <f ca="1">MAX($G90-Control!$C$107,0)</f>
        <v>0</v>
      </c>
      <c r="R90" s="388">
        <f t="shared" ca="1" si="358"/>
        <v>0</v>
      </c>
      <c r="S90" s="388">
        <f t="shared" ca="1" si="236"/>
        <v>0</v>
      </c>
      <c r="T90" s="388">
        <f t="shared" ca="1" si="237"/>
        <v>0</v>
      </c>
      <c r="U90" s="59">
        <f t="shared" ca="1" si="238"/>
        <v>0</v>
      </c>
      <c r="V90" s="391">
        <f ca="1">MAX(0,MIN(Control!$C$100-Control!$C$99,$G90-Control!$C$99)*Control!$C$63)</f>
        <v>0</v>
      </c>
      <c r="W90" s="388">
        <f t="shared" ca="1" si="359"/>
        <v>0</v>
      </c>
      <c r="X90" s="388">
        <f t="shared" ca="1" si="360"/>
        <v>0.6110000000000001</v>
      </c>
      <c r="Y90" s="388">
        <f t="shared" ca="1" si="239"/>
        <v>0</v>
      </c>
      <c r="Z90" s="388">
        <f t="shared" ca="1" si="361"/>
        <v>0.61058800000000002</v>
      </c>
      <c r="AA90" s="388">
        <f t="shared" ca="1" si="240"/>
        <v>0.6018</v>
      </c>
      <c r="AB90" s="388">
        <f ca="1">101.3*EXP(-0.034*Control!$C$66/($G90+273))</f>
        <v>100.69623283836242</v>
      </c>
      <c r="AC90" s="392">
        <f t="shared" ca="1" si="241"/>
        <v>4.3460251046025113E-2</v>
      </c>
      <c r="AD90" s="392">
        <f t="shared" ca="1" si="242"/>
        <v>4.4450382862832649E-2</v>
      </c>
      <c r="AE90" s="388">
        <f t="shared" ca="1" si="243"/>
        <v>0</v>
      </c>
      <c r="AF90" s="388">
        <f ca="1">MAX(0,$G90-Control!$C$92)</f>
        <v>0</v>
      </c>
      <c r="AG90" s="393">
        <f t="shared" ca="1" si="244"/>
        <v>86</v>
      </c>
      <c r="AH90" s="389">
        <f ca="1">$AG90+1-DATE($C90,1,1)</f>
        <v>86</v>
      </c>
      <c r="AI90" s="388">
        <f t="shared" ca="1" si="362"/>
        <v>3.2510340663337335E-2</v>
      </c>
      <c r="AJ90" s="388">
        <f ca="1">IF(Control!$C$60&lt;=0,$HH90,$HI90)</f>
        <v>1</v>
      </c>
      <c r="AK90" s="388">
        <f t="shared" ca="1" si="246"/>
        <v>0.10328523792623977</v>
      </c>
      <c r="AL90" s="388">
        <f t="shared" ca="1" si="247"/>
        <v>-1.442655023220496E-18</v>
      </c>
      <c r="AM90" s="388">
        <f t="shared" ca="1" si="248"/>
        <v>0.10328523792623977</v>
      </c>
      <c r="AN90" s="388">
        <f t="shared" ca="1" si="249"/>
        <v>4.102536243982359E-2</v>
      </c>
      <c r="AO90" s="388">
        <f ca="1">-0.10453/COS(Control!$B$8*PI()/180)*COS(AN90)</f>
        <v>-0.16964200348368658</v>
      </c>
      <c r="AP90" s="388">
        <f ca="1">ACOS(AO90-TAN(Control!$B$8*PI()/180)*TAN(AN90))</f>
        <v>1.7948477063315968</v>
      </c>
      <c r="AQ90" s="388">
        <f t="shared" ca="1" si="363"/>
        <v>0</v>
      </c>
      <c r="AR90" s="394">
        <f t="shared" ca="1" si="250"/>
        <v>0</v>
      </c>
      <c r="AS90" s="436">
        <f ca="1">IF(Control!$B$18=2,(IF(OR($AH90=Control!$B$175,$AH90=Control!$B$176,$AH90=Control!$B$177,$AH90=Control!$B$178,$AH90=Control!$B$179,$AH90=Control!$B$180,$AH90=Control!$B$181,$AH90=Control!$B$182,$AH90=Control!$B$183,$AH90=Control!$B$184,$AH90=Control!$B$185),1,0)),0)</f>
        <v>0</v>
      </c>
      <c r="AT90" s="436">
        <f>IF(Control!$B$20=8,IF(AND($AH90&gt;=Control!$B$172,$AH90&lt;=Control!$B$173),1,0),0)</f>
        <v>0</v>
      </c>
      <c r="AU90" s="436">
        <f>IF(Control!$B$20=8,IF($AV89=1,1*$AT90,IF($AT90=1,$AU89+1,$AU89)),0)</f>
        <v>0</v>
      </c>
      <c r="AV90" s="436">
        <f>IF(Control!$B$20=8,IF($AU90&gt;=Control!$B$174,1,0),0)</f>
        <v>0</v>
      </c>
      <c r="AW90" s="436">
        <f ca="1">IF(AND(Control!$B$18=2,Control!$B$171=1), $AV90, $AS90)</f>
        <v>0</v>
      </c>
      <c r="AX90" s="436" t="e">
        <f ca="1">IF(AND(Control!$B$18=1,$EU90&gt;=Control!$B$19),-$AY90,IF(AND(Control!$B$18=2,$AW90=1,$EU90&gt;$DS90),-$AY90, IF(Control!$C$108=0,0, IF(Control!$C$108&lt;&gt;0,1))))</f>
        <v>#N/A</v>
      </c>
      <c r="AY90" s="436" t="e">
        <f t="shared" ca="1" si="364"/>
        <v>#N/A</v>
      </c>
      <c r="AZ90" s="436" t="e">
        <f ca="1">IF(AND(Control!$B$18=1,$EB90&gt;Control!$B$19),$AZ89+1, IF(AND(Control!$B$18=2, $AW90=1, $EB90&gt;$DS90), $AZ89+1,$AZ89))</f>
        <v>#N/A</v>
      </c>
      <c r="BA90" s="587">
        <f>IF(Control!$C$81=0,1,IF($AH90&gt;=Control!$C$82,1,0))</f>
        <v>1</v>
      </c>
      <c r="BB90" s="140" t="e">
        <f ca="1">IF($BA90&gt;$BA89,Control!$C$83,IF($AW90&gt;0,$AW90*Control!$C$84,IF(AND(Control!$B$18=1,EN89&lt;&gt;0),Control!$C$84,0)))</f>
        <v>#N/A</v>
      </c>
      <c r="BC90" s="140" t="e">
        <f t="shared" ca="1" si="365"/>
        <v>#N/A</v>
      </c>
      <c r="BD90" s="140" t="e">
        <f ca="1">BC90*IF(OR($G90&lt;Control!$C$92,$G90&gt;Control!$C$95),0,IF(AND($G90&gt;=Control!$C$92,$G90&lt;=Control!$C$93),$G90-Control!$C$92,IF(AND($G90&gt;Control!$C$93,$G90&lt;=Control!$C$94),Control!$C$93-Control!$C$92,IF(AND($G90&gt;Control!$C$94,$G90&lt;=Control!$C$95),(Control!$C$93-Control!$C$92)*(Control!$C$94-$G90)/(Control!$C$95-Control!$C$94)))))</f>
        <v>#N/A</v>
      </c>
      <c r="BE90" s="140" t="e">
        <f t="shared" ca="1" si="366"/>
        <v>#N/A</v>
      </c>
      <c r="BF90" s="140" t="e">
        <f ca="1">IF($BE90&lt;=Control!$C$86,$BE90,Control!$C$86-$BE90)</f>
        <v>#N/A</v>
      </c>
      <c r="BG90" s="140" t="e">
        <f ca="1">IF(AND($AW90=1,Control!$C$84&lt;9),1,IF($BE90&gt;=Control!$C$86,0,$BC90))</f>
        <v>#N/A</v>
      </c>
      <c r="BH90" s="404" t="e">
        <f ca="1">IF($BG90=0,0,IF($BE90&lt;=Control!$C$86,$BC90*9*($BF90/Control!$C$86),0))</f>
        <v>#N/A</v>
      </c>
      <c r="BI90" s="140" t="e">
        <f ca="1">IF($BG90=1,0,IF($BE90&gt;=Control!$C$86,1,IF(AND($BB90&lt;21,$BB90&gt;=9),1,$BM89)))</f>
        <v>#N/A</v>
      </c>
      <c r="BJ90" s="140" t="e">
        <f ca="1">IF($BF90&lt;0,-$BF90,$BI90*IF(OR($G90&lt;Control!$C$92,$G90&gt;Control!$C$95),0,IF(AND($G90&gt;=Control!$C$92,$G90&lt;=Control!$C$93),$G90-Control!$C$92,IF(AND($G90&gt;Control!$C$93,$G90&lt;=Control!$C$94),Control!$C$93-Control!$C$92,IF(AND($G90&gt;Control!$C$94,$G90&lt;=Control!$C$95),(Control!$C$93-Control!$C$92)*(Control!$C$94-$G90)/(Control!$C$95-Control!$C$94))))))</f>
        <v>#N/A</v>
      </c>
      <c r="BK90" s="140" t="e">
        <f t="shared" ca="1" si="367"/>
        <v>#N/A</v>
      </c>
      <c r="BL90" s="140" t="e">
        <f ca="1">IF($BK90&lt;=Control!$C$87,$BK90,Control!$C$87-$BK90)</f>
        <v>#N/A</v>
      </c>
      <c r="BM90" s="140" t="e">
        <f ca="1">IF(AND($BB90&gt;=9,$BB90&lt;21),1,IF($BK90&gt;=Control!$C$87,0,$BI90))</f>
        <v>#N/A</v>
      </c>
      <c r="BN90" s="404" t="e">
        <f ca="1">IF($BM90=0,0,IF($BK90&lt;=Control!$C$87,$BI90*(9+(21-9)*($BL90/Control!$C$87)),0))</f>
        <v>#N/A</v>
      </c>
      <c r="BO90" s="140" t="e">
        <f ca="1">IF($BM90=1,0,IF($BK90&gt;=Control!$C$87,1,IF(AND($BB90&lt;30,$BB90&gt;=21),1,$BS89)))</f>
        <v>#N/A</v>
      </c>
      <c r="BP90" s="140" t="e">
        <f ca="1">IF($BL90&lt;0,-$BL90,$BO90*IF(OR($G90&lt;Control!$C$92,$G90&gt;Control!$C$95),0,IF(AND($G90&gt;=Control!$C$92,$G90&lt;=Control!$C$93),$G90-Control!$C$92,IF(AND($G90&gt;Control!$C$93,$G90&lt;=Control!$C$94),Control!$C$93-Control!$C$92,IF(AND($G90&gt;Control!$C$94,$G90&lt;=Control!$C$95),(Control!$C$93-Control!$C$92)*(Control!$C$94-$G90)/(Control!$C$95-Control!$C$94))))))</f>
        <v>#N/A</v>
      </c>
      <c r="BQ90" s="140" t="e">
        <f t="shared" ca="1" si="251"/>
        <v>#N/A</v>
      </c>
      <c r="BR90" s="140" t="e">
        <f ca="1">IF($BQ90&lt;=Control!$C$88,$BQ90,Control!$C$88-$BQ90)</f>
        <v>#N/A</v>
      </c>
      <c r="BS90" s="140" t="e">
        <f ca="1">IF(AND($BB90&gt;=21,$BB90&lt;30),1,IF($BQ90&gt;=Control!$C$88,0,$BO90))</f>
        <v>#N/A</v>
      </c>
      <c r="BT90" s="404" t="e">
        <f ca="1">IF($BS90=0,0,IF($BQ90&lt;=Control!$C$88,$BO90*(21+(30-21)*(BR90/Control!$C$88)),0))</f>
        <v>#N/A</v>
      </c>
      <c r="BU90" s="140" t="e">
        <f ca="1">IF(BG90+BM90+BS90=1,0,IF(OR(AND($BB90&lt;60,$BB90&gt;=30),$BQ90&gt;=Control!$C$88),1*$BA90,$BY89))</f>
        <v>#N/A</v>
      </c>
      <c r="BV90" s="140" t="e">
        <f ca="1">IF($BR90&lt;0,-$BR90,$BU90*IF(OR($G90&lt;Control!$C$92,$G90&gt;Control!$C$95),0,IF(AND($G90&gt;=Control!$C$92,$G90&lt;=Control!$C$93),$G90-Control!$C$92,IF(AND($G90&gt;Control!$C$93,$G90&lt;=Control!$C$94),Control!$C$93-Control!$C$92,IF(AND($G90&gt;Control!$C$94,$G90&lt;=Control!$C$95),(Control!$C$93-Control!$C$92)*(Control!$C$94-$G90)/(Control!$C$95-Control!$C$94))))))</f>
        <v>#N/A</v>
      </c>
      <c r="BW90" s="140" t="e">
        <f t="shared" ca="1" si="252"/>
        <v>#N/A</v>
      </c>
      <c r="BX90" s="140" t="e">
        <f ca="1">IF($BW90&lt;=Control!$C$89,$BW90,Control!$C$89-$BW90)</f>
        <v>#N/A</v>
      </c>
      <c r="BY90" s="140" t="e">
        <f ca="1">IF(AND($AJ90&gt;=30,$AJ90&lt;60),1,IF($BW90&gt;=Control!$C$89,0,$BU90))</f>
        <v>#N/A</v>
      </c>
      <c r="BZ90" s="404" t="e">
        <f ca="1">IF($BY90=0,0,IF($BW90&lt;=Control!$C$89,$BU90*(30+(60-30)*(BX90/Control!$C$89)),0))</f>
        <v>#N/A</v>
      </c>
      <c r="CA90" s="140" t="e">
        <f ca="1">IF($BG90+$BM90+$BS90+$BY90=1,0,IF(OR(AND($BB90&lt;65,$BB90&gt;=60),$BW90&gt;=Control!$C$89),1*$BA90,$CE89))</f>
        <v>#N/A</v>
      </c>
      <c r="CB90" s="140" t="e">
        <f ca="1">IF($BX90&lt;0,-$BX90,$CA90*IF(OR($G90&lt;Control!$C$92,$G90&gt;Control!$C$95),0,IF(AND($G90&gt;=Control!$C$92,$G90&lt;=Control!$C$93),$G90-Control!$C$92,IF(AND($G90&gt;Control!$C$93,$G90&lt;=Control!$C$94),Control!$C$93-Control!$C$92,IF(AND($G90&gt;Control!$C$94,$G90&lt;=Control!$C$95),(Control!$C$93-Control!$C$92)*(Control!$C$94-$G90)/(Control!$C$95-Control!$C$94))))))</f>
        <v>#N/A</v>
      </c>
      <c r="CC90" s="140" t="e">
        <f t="shared" ca="1" si="368"/>
        <v>#N/A</v>
      </c>
      <c r="CD90" s="140" t="e">
        <f ca="1">IF($CC90&lt;=Control!$C$90,$CC90,Control!$C$90-$CC90)</f>
        <v>#N/A</v>
      </c>
      <c r="CE90" s="140" t="e">
        <f ca="1">IF(AND($BB90&gt;=60,$BB90&lt;65),1,IF($CC90&gt;=Control!$C$90,0,$CA90))</f>
        <v>#N/A</v>
      </c>
      <c r="CF90" s="404" t="e">
        <f ca="1">IF($CE90=0,0,IF($CC90&lt;=Control!$C$90,$CA90*(60+(65-60)*(CD90/Control!$C$90)),0))</f>
        <v>#N/A</v>
      </c>
      <c r="CG90" s="140" t="e">
        <f ca="1">IF($BG90+$BM90+$BS90+$BY90+$CE90=1,0,IF(OR(AND($BB90&lt;90,$BB90&gt;=65),$CC90&gt;=Control!$C$90),$BA90,$CK89))</f>
        <v>#N/A</v>
      </c>
      <c r="CH90" s="140" t="e">
        <f ca="1">IF($CD90&lt;0,-$CD90,$CG90*IF(OR($G90&lt;Control!$C$92,$G90&gt;Control!$C$95),0,IF(AND($G90&gt;=Control!$C$92,$G90&lt;=Control!$C$93),$G90-Control!$C$92,IF(AND($G90&gt;Control!$C$93,$G90&lt;=Control!$C$94),Control!$C$93-Control!$C$92,IF(AND($G90&gt;Control!$C$94,$G90&lt;=Control!$C$95),(Control!$C$93-Control!$C$92)*(Control!$C$94-$G90)/(Control!$C$95-Control!$C$94))))))</f>
        <v>#N/A</v>
      </c>
      <c r="CI90" s="140" t="e">
        <f t="shared" ca="1" si="369"/>
        <v>#N/A</v>
      </c>
      <c r="CJ90" s="140" t="e">
        <f ca="1">IF($CI90&lt;=Control!$C$91,$CI90,Control!$C$91-$CI90)</f>
        <v>#N/A</v>
      </c>
      <c r="CK90" s="140" t="e">
        <f ca="1">IF(AND($BB90&gt;=65,$BB90&lt;90),1,IF($CI90&gt;=Control!$C$91,0,$CG90))</f>
        <v>#N/A</v>
      </c>
      <c r="CL90" s="404" t="e">
        <f ca="1">IF($CK90=0,0,IF($CI90&lt;=Control!$C$91,$CG90*(65+(90-65)*($CJ90/Control!$C$91)),0))</f>
        <v>#N/A</v>
      </c>
      <c r="CM90" s="140" t="e">
        <f ca="1">IF($BG90+$BM90+$BS90+$BY90+$CE90+$CK90=1,0,IF(OR($BB90&gt;=90,$CI90&gt;=Control!$C$91),$BA90,$CM89))</f>
        <v>#N/A</v>
      </c>
      <c r="CN90" s="140" t="e">
        <f t="shared" ca="1" si="370"/>
        <v>#N/A</v>
      </c>
      <c r="CO90" s="140" t="e">
        <f t="shared" ca="1" si="371"/>
        <v>#N/A</v>
      </c>
      <c r="CP90" s="140" t="e">
        <f t="shared" ca="1" si="372"/>
        <v>#N/A</v>
      </c>
      <c r="CQ90" s="141" t="e">
        <f ca="1">VLOOKUP($CP90,Control!$B$86:$G$91,6)</f>
        <v>#N/A</v>
      </c>
      <c r="CR90" s="141" t="e">
        <f ca="1">(1-$CQ90)*VLOOKUP($CP90,Control!$B$86:$D$91,3)</f>
        <v>#N/A</v>
      </c>
      <c r="CS90" s="141" t="e">
        <f ca="1">(1-$CQ90)*VLOOKUP($CP90,Control!$B$86:$E$91,4)</f>
        <v>#N/A</v>
      </c>
      <c r="CT90" s="141" t="e">
        <f ca="1">(1-$CQ90)*VLOOKUP($CP90,Control!$B$86:$F$91,5)</f>
        <v>#N/A</v>
      </c>
      <c r="CU90" s="141">
        <f t="shared" ca="1" si="373"/>
        <v>0</v>
      </c>
      <c r="CV90" s="583">
        <f t="shared" ca="1" si="374"/>
        <v>0</v>
      </c>
      <c r="CW90" s="142">
        <f t="shared" ca="1" si="375"/>
        <v>86</v>
      </c>
      <c r="CX90" s="612" t="e">
        <f ca="1">IF(Control!$C$114=1,(MIN(Control!$C$120*(IF($NT90-0.01&lt;0,0,1)),Control!$C$119-$CY90)))</f>
        <v>#DIV/0!</v>
      </c>
      <c r="CY90" s="143" t="e">
        <f t="shared" ca="1" si="376"/>
        <v>#N/A</v>
      </c>
      <c r="CZ90" s="144">
        <f t="shared" ca="1" si="253"/>
        <v>0</v>
      </c>
      <c r="DA90" s="144">
        <f t="shared" ca="1" si="254"/>
        <v>0</v>
      </c>
      <c r="DB90" s="144" t="e">
        <f t="shared" ca="1" si="255"/>
        <v>#N/A</v>
      </c>
      <c r="DC90" s="144" t="e">
        <f t="shared" ca="1" si="256"/>
        <v>#N/A</v>
      </c>
      <c r="DD90" s="144" t="e">
        <f t="shared" ca="1" si="461"/>
        <v>#N/A</v>
      </c>
      <c r="DE90" s="143" t="e">
        <f t="shared" ca="1" si="377"/>
        <v>#N/A</v>
      </c>
      <c r="DF90" s="145" t="e">
        <f ca="1">$DR90*EXP(-Control!$C$158*(1-$KH90))</f>
        <v>#N/A</v>
      </c>
      <c r="DG90" s="146" t="e">
        <f ca="1">IF(Control!$C$114=1, $DF90*$EY90, 0)</f>
        <v>#N/A</v>
      </c>
      <c r="DH90" s="147" t="e">
        <f t="shared" ca="1" si="378"/>
        <v>#N/A</v>
      </c>
      <c r="DI90" s="144" t="e">
        <f t="shared" ca="1" si="439"/>
        <v>#N/A</v>
      </c>
      <c r="DJ90" s="147" t="e">
        <f ca="1">$EF90*Control!$C$109</f>
        <v>#N/A</v>
      </c>
      <c r="DK90" s="144" t="e">
        <f t="shared" ca="1" si="379"/>
        <v>#N/A</v>
      </c>
      <c r="DL90" s="144" t="e">
        <f t="shared" ca="1" si="257"/>
        <v>#N/A</v>
      </c>
      <c r="DM90" s="144" t="e">
        <f ca="1">IF(Control!$C$114=1, (1-EXP(-Control!$C$96*$DK90))*$AR90, 0)</f>
        <v>#N/A</v>
      </c>
      <c r="DN90" s="144">
        <f t="shared" ca="1" si="380"/>
        <v>0</v>
      </c>
      <c r="DO90" s="148">
        <f>Control!$C$97</f>
        <v>4</v>
      </c>
      <c r="DP90" s="145" t="e">
        <f t="shared" ca="1" si="381"/>
        <v>#N/A</v>
      </c>
      <c r="DQ90" s="145" t="e">
        <f ca="1">IF(AND($CP90&gt;=0,$CP90&lt;=90),Control!$C$111,Control!$C$111)</f>
        <v>#N/A</v>
      </c>
      <c r="DR90" s="145" t="e">
        <f t="shared" ca="1" si="258"/>
        <v>#N/A</v>
      </c>
      <c r="DS90" s="143" t="e">
        <f ca="1">Control!$B$22/$DR90</f>
        <v>#N/A</v>
      </c>
      <c r="DT90" s="149" t="e">
        <f ca="1">IF(AND(Control!$C$114=1,$KH90&lt;1),$IM90*$DF90, 0)</f>
        <v>#N/A</v>
      </c>
      <c r="DU90" s="144" t="e">
        <f t="shared" ca="1" si="382"/>
        <v>#N/A</v>
      </c>
      <c r="DV90" s="144">
        <f ca="1">IF($G90-Control!$C$107&lt;=0, 0, 0.83*LN(MAX($G90, 3))-0.8924)</f>
        <v>0</v>
      </c>
      <c r="DW90" s="144" t="e">
        <f t="shared" ca="1" si="259"/>
        <v>#N/A</v>
      </c>
      <c r="DX90" s="150" t="e">
        <f ca="1">MAX(0.01*(1+$CU90/Control!$C$102),0.05*($DK90-Control!$C$97)/Control!$C$97)</f>
        <v>#N/A</v>
      </c>
      <c r="DY90" s="151" t="e">
        <f ca="1">IF(Control!$C$114=1, $DI90*$FS90, 0)</f>
        <v>#N/A</v>
      </c>
      <c r="DZ90" s="196" t="e">
        <f t="shared" ca="1" si="383"/>
        <v>#N/A</v>
      </c>
      <c r="EA90" s="152">
        <f t="shared" ca="1" si="384"/>
        <v>86</v>
      </c>
      <c r="EB90" s="153" t="e">
        <f t="shared" ca="1" si="385"/>
        <v>#N/A</v>
      </c>
      <c r="EC90" s="153" t="e">
        <f t="shared" ca="1" si="386"/>
        <v>#N/A</v>
      </c>
      <c r="ED90" s="154" t="e">
        <f ca="1">IF(Control!$C$114=1, $HM90*$FY90-$FD90, 0)</f>
        <v>#DIV/0!</v>
      </c>
      <c r="EE90" s="155" t="e">
        <f ca="1">IF(Control!$C$114=1, $HM90*$FZ90-$FF90, 0)</f>
        <v>#DIV/0!</v>
      </c>
      <c r="EF90" s="153" t="e">
        <f t="shared" ca="1" si="440"/>
        <v>#N/A</v>
      </c>
      <c r="EG90" s="155" t="e">
        <f ca="1">IF(Control!$C$114=1, $GX90*$FW90-$FI90, 0)</f>
        <v>#DIV/0!</v>
      </c>
      <c r="EH90" s="153" t="e">
        <f t="shared" ca="1" si="387"/>
        <v>#N/A</v>
      </c>
      <c r="EI90" s="156" t="e">
        <f t="shared" ca="1" si="388"/>
        <v>#N/A</v>
      </c>
      <c r="EJ90" s="155" t="e">
        <f ca="1">IF(Control!$C$114=1, $HM90*$GB90, 0)</f>
        <v>#DIV/0!</v>
      </c>
      <c r="EK90" s="153" t="e">
        <f t="shared" ca="1" si="441"/>
        <v>#N/A</v>
      </c>
      <c r="EL90" s="153" t="e">
        <f t="shared" ca="1" si="260"/>
        <v>#N/A</v>
      </c>
      <c r="EM90" s="153" t="e">
        <f t="shared" ca="1" si="261"/>
        <v>#N/A</v>
      </c>
      <c r="EN90" s="153" t="e">
        <f ca="1">IF(Control!$C$108=1,IF(AND(Control!$B$18=1,$EB90&gt;=Control!$B$19),$EB90-$DS90,IF(AND(Control!$B$18=2,$AW90=1,$EB90&gt;$DS90),$EB90-$DS90,0)))</f>
        <v>#N/A</v>
      </c>
      <c r="EO90" s="153" t="e">
        <f ca="1">IF(Control!$C$108=1,IF(AND(Control!$B$18=1,$EB90&gt;=Control!$B$19),$EF90,IF(AND(Control!$B$18=2,$AW90=1),$EF90,0)))</f>
        <v>#N/A</v>
      </c>
      <c r="EP90" s="153" t="e">
        <f ca="1">IF(Control!$C$108=1,IF(AND(Control!$B$18=1,$EB90&gt;=Control!$B$19),$EK90,IF(AND(Control!$B$18=2,$AW90=1),$EK90,0)))</f>
        <v>#N/A</v>
      </c>
      <c r="EQ90" s="153" t="e">
        <f t="shared" ca="1" si="389"/>
        <v>#N/A</v>
      </c>
      <c r="ER90" s="153" t="e">
        <f t="shared" ca="1" si="390"/>
        <v>#N/A</v>
      </c>
      <c r="ES90" s="153" t="e">
        <f t="shared" ca="1" si="442"/>
        <v>#N/A</v>
      </c>
      <c r="ET90" s="153" t="e">
        <f t="shared" ca="1" si="443"/>
        <v>#N/A</v>
      </c>
      <c r="EU90" s="153" t="e">
        <f t="shared" ca="1" si="391"/>
        <v>#N/A</v>
      </c>
      <c r="EV90" s="153" t="e">
        <f t="shared" ca="1" si="262"/>
        <v>#N/A</v>
      </c>
      <c r="EW90" s="153" t="e">
        <f t="shared" ca="1" si="263"/>
        <v>#N/A</v>
      </c>
      <c r="EX90" s="153" t="e">
        <f t="shared" ca="1" si="264"/>
        <v>#N/A</v>
      </c>
      <c r="EY90" s="157" t="e">
        <f t="shared" ca="1" si="265"/>
        <v>#DIV/0!</v>
      </c>
      <c r="EZ90" s="154" t="e">
        <f t="shared" ca="1" si="266"/>
        <v>#DIV/0!</v>
      </c>
      <c r="FA90" s="153" t="e">
        <f t="shared" ca="1" si="392"/>
        <v>#N/A</v>
      </c>
      <c r="FB90" s="153" t="e">
        <f t="shared" ca="1" si="267"/>
        <v>#N/A</v>
      </c>
      <c r="FC90" s="193" t="e">
        <f t="shared" ca="1" si="268"/>
        <v>#N/A</v>
      </c>
      <c r="FD90" s="158" t="e">
        <f t="shared" ca="1" si="393"/>
        <v>#N/A</v>
      </c>
      <c r="FE90" s="158" t="e">
        <f t="shared" ca="1" si="394"/>
        <v>#N/A</v>
      </c>
      <c r="FF90" s="159" t="e">
        <f t="shared" ca="1" si="269"/>
        <v>#N/A</v>
      </c>
      <c r="FG90" s="160" t="e">
        <f t="shared" ca="1" si="395"/>
        <v>#N/A</v>
      </c>
      <c r="FH90" s="158" t="e">
        <f t="shared" ca="1" si="396"/>
        <v>#N/A</v>
      </c>
      <c r="FI90" s="159" t="e">
        <f t="shared" ca="1" si="270"/>
        <v>#N/A</v>
      </c>
      <c r="FJ90" s="160" t="e">
        <f t="shared" ca="1" si="397"/>
        <v>#N/A</v>
      </c>
      <c r="FK90" s="160" t="e">
        <f t="shared" ca="1" si="271"/>
        <v>#N/A</v>
      </c>
      <c r="FL90" s="160" t="e">
        <f t="shared" ca="1" si="444"/>
        <v>#N/A</v>
      </c>
      <c r="FM90" s="160" t="e">
        <f t="shared" ca="1" si="272"/>
        <v>#N/A</v>
      </c>
      <c r="FN90" s="158">
        <f t="shared" ca="1" si="398"/>
        <v>0.01</v>
      </c>
      <c r="FO90" s="160">
        <f>Control!$C$101</f>
        <v>50</v>
      </c>
      <c r="FP90" s="150" t="e">
        <f t="shared" ca="1" si="273"/>
        <v>#N/A</v>
      </c>
      <c r="FQ90" s="150" t="e">
        <f ca="1">MAX(0,(Control!$C$112*(($DK90-Control!$C$97)/Control!$C$97)))</f>
        <v>#N/A</v>
      </c>
      <c r="FR90" s="150" t="e">
        <f ca="1">(1-$NT90)*Control!$C$113</f>
        <v>#DIV/0!</v>
      </c>
      <c r="FS90" s="198" t="e">
        <f t="shared" ca="1" si="274"/>
        <v>#N/A</v>
      </c>
      <c r="FT90" s="161">
        <f t="shared" ca="1" si="399"/>
        <v>86</v>
      </c>
      <c r="FU90" s="162" t="e">
        <f ca="1">IF(Control!$B$34=1,VLOOKUP($CP90,Control!$B$86:$G$91,6),Control!$B$35)</f>
        <v>#N/A</v>
      </c>
      <c r="FV90" s="162" t="e">
        <f t="shared" ca="1" si="275"/>
        <v>#DIV/0!</v>
      </c>
      <c r="FW90" s="162" t="e">
        <f ca="1">IF(Control!$B$31=1,$FU90*$FV90,  $FU90)</f>
        <v>#N/A</v>
      </c>
      <c r="FX90" s="162" t="e">
        <f ca="1">IF(Control!$B$34=1,VLOOKUP($CP90,Control!$B$86:$G$91,3),Control!$B$36)</f>
        <v>#N/A</v>
      </c>
      <c r="FY90" s="162" t="e">
        <f t="shared" ca="1" si="276"/>
        <v>#N/A</v>
      </c>
      <c r="FZ90" s="162" t="e">
        <f ca="1">IF(Control!$B$34=1,VLOOKUP($CP90,Control!$B$86:$G$91,4),Control!$B$37)</f>
        <v>#N/A</v>
      </c>
      <c r="GA90" s="162" t="e">
        <f t="shared" ca="1" si="277"/>
        <v>#N/A</v>
      </c>
      <c r="GB90" s="162" t="e">
        <f ca="1">IF(Control!$B$34=1,VLOOKUP($CP90,Control!$B$86:$G$91,5),Control!$B$38)</f>
        <v>#N/A</v>
      </c>
      <c r="GC90" s="162" t="e">
        <f t="shared" ca="1" si="400"/>
        <v>#N/A</v>
      </c>
      <c r="GD90" s="162">
        <f t="shared" ca="1" si="278"/>
        <v>1</v>
      </c>
      <c r="GE90" s="162">
        <f t="shared" ca="1" si="279"/>
        <v>1</v>
      </c>
      <c r="GF90" s="162">
        <f ca="1">IF(AND(Control!$C$104=1, Control!$C$62="F"),$GE90,1)</f>
        <v>1</v>
      </c>
      <c r="GG90" s="162" t="e">
        <f ca="1">IF(Control!$B$16=40,0,IF(AND(Control!$B$16&gt;40,Control!$B$16&lt;=360),(Control!$B$16-40)*((1-0)/(360-40)),IF(AND(Control!$B$16&gt;360,Control!$B$16&lt;=720),(1+(Control!$B$16-360)*((1.25-1)/(720-360))),IF(AND(Control!$B$16&gt;720,Control!$B$16&lt;=1000),(1.25+(Control!$B$16-720)*((1.35-1.25)/(1000-720))),IF(AND(Control!$B$16&gt;1000,Control!$B$16&lt;=2000),(1.35+(Control!$B$16-1000)*0))))))</f>
        <v>#N/A</v>
      </c>
      <c r="GH90" s="162" t="e">
        <f t="shared" ca="1" si="280"/>
        <v>#N/A</v>
      </c>
      <c r="GI90" s="162">
        <f t="shared" ca="1" si="401"/>
        <v>0</v>
      </c>
      <c r="GJ90" s="162">
        <f t="shared" ca="1" si="281"/>
        <v>0</v>
      </c>
      <c r="GK90" s="162">
        <f t="shared" ca="1" si="402"/>
        <v>1</v>
      </c>
      <c r="GL90" s="162">
        <f t="shared" ca="1" si="282"/>
        <v>1</v>
      </c>
      <c r="GM90" s="162" t="e">
        <f ca="1">MAX(0,MIN(1,1-Control!$C$156*(1.0001-$KH90)^2))</f>
        <v>#N/A</v>
      </c>
      <c r="GN90" s="162" t="e">
        <f ca="1">IF(Control!$B$26=1,$KU90,$KX90)</f>
        <v>#N/A</v>
      </c>
      <c r="GO90" s="162" t="e">
        <f ca="1">IF($CP90&lt;=60,Control!$C$105,IF($CP90&gt;=90,Control!$C$106,Control!$C$105+($CP90-60)*((Control!$C$106-Control!$C$105)/(90-60))))</f>
        <v>#N/A</v>
      </c>
      <c r="GP90" s="162" t="e">
        <f t="shared" ca="1" si="283"/>
        <v>#N/A</v>
      </c>
      <c r="GQ90" s="162" t="e">
        <f t="shared" ca="1" si="403"/>
        <v>#N/A</v>
      </c>
      <c r="GR90" s="163" t="e">
        <f t="shared" ca="1" si="284"/>
        <v>#DIV/0!</v>
      </c>
      <c r="GS90" s="162" t="e">
        <f t="shared" ca="1" si="285"/>
        <v>#DIV/0!</v>
      </c>
      <c r="GT90" s="164" t="e">
        <f t="shared" ca="1" si="404"/>
        <v>#N/A</v>
      </c>
      <c r="GU90" s="162" t="e">
        <f t="shared" ca="1" si="405"/>
        <v>#N/A</v>
      </c>
      <c r="GV90" s="162" t="e">
        <f t="shared" ca="1" si="286"/>
        <v>#N/A</v>
      </c>
      <c r="GW90" s="162" t="e">
        <f t="shared" ca="1" si="287"/>
        <v>#DIV/0!</v>
      </c>
      <c r="GX90" s="162" t="e">
        <f t="shared" ca="1" si="406"/>
        <v>#DIV/0!</v>
      </c>
      <c r="GY90" s="162" t="e">
        <f t="shared" ca="1" si="407"/>
        <v>#DIV/0!</v>
      </c>
      <c r="GZ90" s="165" t="e">
        <f t="shared" ca="1" si="288"/>
        <v>#N/A</v>
      </c>
      <c r="HA90" s="162" t="e">
        <f ca="1">IF(Control!$C$114=1, $DI90*$FS90, 0)</f>
        <v>#N/A</v>
      </c>
      <c r="HB90" s="162" t="e">
        <f ca="1">$FA90/Control!$C$64</f>
        <v>#N/A</v>
      </c>
      <c r="HC90" s="162" t="e">
        <f t="shared" ca="1" si="289"/>
        <v>#DIV/0!</v>
      </c>
      <c r="HD90" s="162">
        <f ca="1">-ASIN(SIN(23.45*Control!$C$139)*COS(2*Control!$C$138*($AH90+10)/365))</f>
        <v>3.2510340663337335E-2</v>
      </c>
      <c r="HE90" s="165">
        <f t="shared" ca="1" si="408"/>
        <v>0</v>
      </c>
      <c r="HF90" s="166">
        <f ca="1">IF(AND(Control!$C$61="T",$HE90&gt;=Control!$C$103,Control!$C$114=0),$AH90,Control!$C$59)</f>
        <v>1</v>
      </c>
      <c r="HG90" s="166">
        <f ca="1">IF(AND(Control!$C$61="T",$HE90&gt;=Control!$C$103,Control!$C$114=0),$HF90,Control!$C$59)</f>
        <v>1</v>
      </c>
      <c r="HH90" s="165">
        <f ca="1">IF(AND(OR(Control!$C$60&lt;=0, $AH90= Control!$C$59, Control!$C$60 &gt;0, $AH90 = Control!$C$60)), Control!$C$59, IF(Control!$C$60&gt;0, 0))</f>
        <v>1</v>
      </c>
      <c r="HI90" s="165">
        <f ca="1">IF(AND(OR(Control!$C$60&lt;=0, $AH90= Control!$C$59, Control!$C$60 &gt;0, $AH90 = Control!$C$60)), Control!$C$60, IF(Control!$C$60&lt;=0, 0))</f>
        <v>0</v>
      </c>
      <c r="HJ90" s="166">
        <f ca="1">IF(AND(Control!$C$62="F",$CV90&gt;=Control!$C$102),$AH90,0)</f>
        <v>0</v>
      </c>
      <c r="HK90" s="165" t="e">
        <f t="shared" ca="1" si="445"/>
        <v>#N/A</v>
      </c>
      <c r="HL90" s="166">
        <f ca="1">IF(AND(Control!$C$61="T",$HE90&gt;=Control!$C$103,Control!$C$114=0),$HF90,0)</f>
        <v>0</v>
      </c>
      <c r="HM90" s="201" t="e">
        <f t="shared" ca="1" si="290"/>
        <v>#DIV/0!</v>
      </c>
      <c r="HN90" s="215">
        <f t="shared" ca="1" si="409"/>
        <v>86</v>
      </c>
      <c r="HO90" s="216" t="e">
        <f ca="1">IF(AND($CP90&gt;=0, $CP90&lt;=90), Control!$C$152, Control!$C$152)</f>
        <v>#N/A</v>
      </c>
      <c r="HP90" s="216" t="e">
        <f t="shared" ca="1" si="291"/>
        <v>#N/A</v>
      </c>
      <c r="HQ90" s="217" t="e">
        <f ca="1">IF(OR(Control!$B$26=1,Control!$B$26=2),$KV90,$KS90)</f>
        <v>#DIV/0!</v>
      </c>
      <c r="HR90" s="218" t="e">
        <f t="shared" ca="1" si="446"/>
        <v>#DIV/0!</v>
      </c>
      <c r="HS90" s="216" t="e">
        <f ca="1">Control!$C$154*$HP90</f>
        <v>#N/A</v>
      </c>
      <c r="HT90" s="216" t="e">
        <f ca="1">Control!$C$155*$HP90</f>
        <v>#N/A</v>
      </c>
      <c r="HU90" s="217" t="e">
        <f ca="1">Control!$C$161*$FI90</f>
        <v>#N/A</v>
      </c>
      <c r="HV90" s="218" t="e">
        <f t="shared" ca="1" si="410"/>
        <v>#N/A</v>
      </c>
      <c r="HW90" s="218" t="e">
        <f ca="1">Control!$C$160*$FF90+$IP90*$EO90</f>
        <v>#N/A</v>
      </c>
      <c r="HX90" s="218" t="e">
        <f t="shared" ca="1" si="447"/>
        <v>#N/A</v>
      </c>
      <c r="HY90" s="219" t="e">
        <f ca="1">IF(Control!$C$114=1, $EB90*$FS90, 0)</f>
        <v>#N/A</v>
      </c>
      <c r="HZ90" s="91" t="e">
        <f t="shared" ca="1" si="292"/>
        <v>#N/A</v>
      </c>
      <c r="IA90" s="220" t="e">
        <f ca="1">Control!$C$153*$HO90</f>
        <v>#N/A</v>
      </c>
      <c r="IB90" s="218" t="e">
        <f t="shared" ca="1" si="293"/>
        <v>#N/A</v>
      </c>
      <c r="IC90" s="220" t="e">
        <f ca="1">Control!$C$153*$HT90</f>
        <v>#N/A</v>
      </c>
      <c r="ID90" s="218" t="e">
        <f t="shared" ca="1" si="294"/>
        <v>#N/A</v>
      </c>
      <c r="IE90" s="221" t="e">
        <f ca="1">($EB90*Control!$C$159+$EF90*Control!$C$160)/(IF($GZ90&lt;&gt;0,$GZ90,1))</f>
        <v>#N/A</v>
      </c>
      <c r="IF90" s="216" t="e">
        <f t="shared" ca="1" si="295"/>
        <v>#N/A</v>
      </c>
      <c r="IG90" s="91">
        <f ca="1">IF(OR(Control!$B$198=$AH90,Control!$B$199=$AH90, Control!$B$200=$AH90, Control!$B$201=$AH90, Control!$B$202=$AH90, Control!$B$203=$AH90, Control!$B$204=$AH90, Control!$B$205=$AH90, Control!$B$206=$AH90, Control!$B$207=$AH90), 1, 0)</f>
        <v>0</v>
      </c>
      <c r="IH90" s="91">
        <f ca="1">IF($IG90=0,0, VLOOKUP($AH90,Control!$B$198:$C$207,2))</f>
        <v>0</v>
      </c>
      <c r="II90" s="222">
        <f t="shared" ca="1" si="411"/>
        <v>0</v>
      </c>
      <c r="IJ90" s="91">
        <f>Control!$C$121</f>
        <v>0.7</v>
      </c>
      <c r="IK90" s="218">
        <f t="shared" ca="1" si="296"/>
        <v>0</v>
      </c>
      <c r="IL90" s="217" t="e">
        <f t="shared" ca="1" si="448"/>
        <v>#N/A</v>
      </c>
      <c r="IM90" s="223" t="e">
        <f ca="1">IF(AND(Control!$C$114=1,$KH90&lt;1),$EB90*Control!$C$148*(1-$KH90), 0)</f>
        <v>#N/A</v>
      </c>
      <c r="IN90" s="217" t="e">
        <f t="shared" ca="1" si="297"/>
        <v>#DIV/0!</v>
      </c>
      <c r="IO90" s="91" t="e">
        <f ca="1">MAX(0,$IL90-$EF90*Control!$C$160)</f>
        <v>#N/A</v>
      </c>
      <c r="IP90" s="220" t="e">
        <f t="shared" ca="1" si="298"/>
        <v>#N/A</v>
      </c>
      <c r="IQ90" s="217" t="e">
        <f t="shared" ca="1" si="412"/>
        <v>#N/A</v>
      </c>
      <c r="IR90" s="218" t="e">
        <f t="shared" ca="1" si="299"/>
        <v>#N/A</v>
      </c>
      <c r="IS90" s="217" t="e">
        <f ca="1">Control!$C$159*MAX(0,$FD90-$EN90)</f>
        <v>#N/A</v>
      </c>
      <c r="IT90" s="217" t="e">
        <f t="shared" ca="1" si="449"/>
        <v>#N/A</v>
      </c>
      <c r="IU90" s="217" t="e">
        <f t="shared" ca="1" si="413"/>
        <v>#N/A</v>
      </c>
      <c r="IV90" s="217" t="e">
        <f t="shared" ca="1" si="450"/>
        <v>#N/A</v>
      </c>
      <c r="IW90" s="217" t="e">
        <f ca="1">IF(OR($AW90=1,AND($AW90=0, Control!$B$18=1,$EN90&lt;&gt;0)), $IQ90-$IU90, $IQ90)</f>
        <v>#N/A</v>
      </c>
      <c r="IX90" s="218" t="e">
        <f t="shared" ca="1" si="300"/>
        <v>#N/A</v>
      </c>
      <c r="IY90" s="218" t="e">
        <f ca="1">MAX(0,$IQ90-$EB90*Control!$C$159)</f>
        <v>#N/A</v>
      </c>
      <c r="IZ90" s="218" t="e">
        <f t="shared" ca="1" si="301"/>
        <v>#N/A</v>
      </c>
      <c r="JA90" s="216" t="e">
        <f t="shared" ca="1" si="302"/>
        <v>#N/A</v>
      </c>
      <c r="JB90" s="217" t="e">
        <f t="shared" ca="1" si="303"/>
        <v>#N/A</v>
      </c>
      <c r="JC90" s="222" t="e">
        <f ca="1">MAX(Control!$C$157*$EK90-$JT90, 0)/Control!$C$162</f>
        <v>#N/A</v>
      </c>
      <c r="JD90" s="218" t="e">
        <f t="shared" ca="1" si="304"/>
        <v>#N/A</v>
      </c>
      <c r="JE90" s="218" t="e">
        <f t="shared" ca="1" si="305"/>
        <v>#N/A</v>
      </c>
      <c r="JF90" s="218" t="e">
        <f t="shared" ca="1" si="414"/>
        <v>#N/A</v>
      </c>
      <c r="JG90" s="218" t="e">
        <f t="shared" ca="1" si="306"/>
        <v>#N/A</v>
      </c>
      <c r="JH90" s="217" t="e">
        <f t="shared" ca="1" si="415"/>
        <v>#N/A</v>
      </c>
      <c r="JI90" s="217" t="e">
        <f t="shared" ca="1" si="416"/>
        <v>#N/A</v>
      </c>
      <c r="JJ90" s="217" t="e">
        <f t="shared" ca="1" si="451"/>
        <v>#N/A</v>
      </c>
      <c r="JK90" s="217" t="e">
        <f ca="1">IF(Control!$C$114=1,IF(Control!$B$24=0,MAX(0,$JI90)*$GN90/Control!$C$64,(MAX(0,MIN($JI90,$JJ90*$GN90/Control!$C$64),0))))</f>
        <v>#N/A</v>
      </c>
      <c r="JL90" s="217" t="e">
        <f ca="1">$IK90/Control!$C$64-$JK90+$HQ90</f>
        <v>#N/A</v>
      </c>
      <c r="JM90" s="217" t="e">
        <f ca="1">IF(Control!$C$114=1,($JB90/(IF($JI90&lt;&gt;0,$JI90,1)))*$JK90,0)</f>
        <v>#N/A</v>
      </c>
      <c r="JN90" s="217" t="e">
        <f ca="1">IF(Control!$C$114=1,($JG90/(IF($JI90&lt;&gt;0,$JI90,1)))*$JK90, 0)</f>
        <v>#N/A</v>
      </c>
      <c r="JO90" s="218" t="e">
        <f t="shared" ca="1" si="307"/>
        <v>#N/A</v>
      </c>
      <c r="JP90" s="218" t="e">
        <f ca="1">MIN(($IY90+$IO90)*Control!$C$151, $JF90-$EH90*Control!$C$161)</f>
        <v>#N/A</v>
      </c>
      <c r="JQ90" s="218" t="e">
        <f t="shared" ca="1" si="308"/>
        <v>#N/A</v>
      </c>
      <c r="JR90" s="217" t="e">
        <f ca="1">IF($CP90-Control!$C$150&lt;0, 0, $JQ90/Control!$C$162)</f>
        <v>#N/A</v>
      </c>
      <c r="JS90" s="218" t="e">
        <f t="shared" ca="1" si="309"/>
        <v>#N/A</v>
      </c>
      <c r="JT90" s="218" t="e">
        <f t="shared" ca="1" si="417"/>
        <v>#N/A</v>
      </c>
      <c r="JU90" s="218" t="e">
        <f t="shared" ca="1" si="310"/>
        <v>#N/A</v>
      </c>
      <c r="JV90" s="218" t="e">
        <f t="shared" ca="1" si="311"/>
        <v>#N/A</v>
      </c>
      <c r="JW90" s="216" t="e">
        <f t="shared" ca="1" si="312"/>
        <v>#N/A</v>
      </c>
      <c r="JX90" s="91" t="e">
        <f t="shared" ca="1" si="313"/>
        <v>#N/A</v>
      </c>
      <c r="JY90" s="218" t="e">
        <f t="shared" ca="1" si="314"/>
        <v>#N/A</v>
      </c>
      <c r="JZ90" s="217" t="e">
        <f ca="1">IF(Control!$C$114=1,($IZ90/(IF($JI90&lt;&gt;0,$JI90,1)))*$JK90, 0)</f>
        <v>#N/A</v>
      </c>
      <c r="KA90" s="218" t="e">
        <f t="shared" ca="1" si="452"/>
        <v>#N/A</v>
      </c>
      <c r="KB90" s="218" t="e">
        <f t="shared" ca="1" si="418"/>
        <v>#N/A</v>
      </c>
      <c r="KC90" s="218" t="e">
        <f t="shared" ca="1" si="315"/>
        <v>#N/A</v>
      </c>
      <c r="KD90" s="218" t="e">
        <f t="shared" ca="1" si="316"/>
        <v>#N/A</v>
      </c>
      <c r="KE90" s="218" t="e">
        <f t="shared" ca="1" si="317"/>
        <v>#N/A</v>
      </c>
      <c r="KF90" s="218" t="e">
        <f t="shared" ca="1" si="318"/>
        <v>#N/A</v>
      </c>
      <c r="KG90" s="216" t="e">
        <f t="shared" ca="1" si="319"/>
        <v>#N/A</v>
      </c>
      <c r="KH90" s="221" t="e">
        <f ca="1">IF(Control!$B$24=0,1,MAX(0.001,MIN(1,IF(($IF90-$IE90)&lt;&gt;0,($KG90-$IE90)/($IF90-$IE90),1))))</f>
        <v>#N/A</v>
      </c>
      <c r="KI90" s="222" t="e">
        <f ca="1">IF(Control!$C$114=1, $KI89+ $KH89, 0)</f>
        <v>#N/A</v>
      </c>
      <c r="KJ90" s="217" t="e">
        <f t="shared" ca="1" si="320"/>
        <v>#N/A</v>
      </c>
      <c r="KK90" s="218" t="e">
        <f t="shared" ca="1" si="321"/>
        <v>#N/A</v>
      </c>
      <c r="KL90" s="274" t="e">
        <f ca="1">IF(Control!$B$26=3,4000000000*EXP(-8400/($G90+273)),IF(Control!$B$26=4,4000000000*EXP(-8400/($G90+273))*($KT90),0))</f>
        <v>#DIV/0!</v>
      </c>
      <c r="KM90" s="274" t="e">
        <f ca="1">IF(Control!$B$26=3,5600000000000*EXP(-9800/($G90+273)),IF(Control!$B$26=4,5600000000000*EXP(-9800/($G90+273))*$KT90,0))</f>
        <v>#DIV/0!</v>
      </c>
      <c r="KN90" s="454" t="e">
        <f t="shared" ca="1" si="419"/>
        <v>#DIV/0!</v>
      </c>
      <c r="KO90" s="274" t="e">
        <f t="shared" ca="1" si="420"/>
        <v>#DIV/0!</v>
      </c>
      <c r="KP90" s="454" t="e">
        <f t="shared" ca="1" si="322"/>
        <v>#DIV/0!</v>
      </c>
      <c r="KQ90" s="454" t="e">
        <f t="shared" ca="1" si="323"/>
        <v>#DIV/0!</v>
      </c>
      <c r="KR90" s="454" t="e">
        <f t="shared" ca="1" si="324"/>
        <v>#DIV/0!</v>
      </c>
      <c r="KS90" s="454" t="e">
        <f t="shared" ca="1" si="325"/>
        <v>#DIV/0!</v>
      </c>
      <c r="KT90" s="455" t="e">
        <f t="shared" ca="1" si="326"/>
        <v>#DIV/0!</v>
      </c>
      <c r="KU90" s="456" t="e">
        <f ca="1">IF($CP90-Control!$C$149&lt;0, IF($NT90-0.01&lt;0,0,1),0)</f>
        <v>#N/A</v>
      </c>
      <c r="KV90" s="456" t="e">
        <f ca="1">IF(Control!$C$114=1,MAX(0,MIN(Control!$C$125*$KW90*$GN90,$KW90)))</f>
        <v>#DIV/0!</v>
      </c>
      <c r="KW90" s="456" t="e">
        <f t="shared" ca="1" si="453"/>
        <v>#DIV/0!</v>
      </c>
      <c r="KX90" s="457" t="e">
        <f ca="1">IF($CP90-Control!$C$149&lt;0, IF($MR90-$OM90&lt;0,0,1),0)</f>
        <v>#N/A</v>
      </c>
      <c r="KY90" s="167">
        <f t="shared" ca="1" si="421"/>
        <v>86</v>
      </c>
      <c r="KZ90" s="168">
        <f ca="1">1370*(1+0.033*COS(2*Control!$C$138*$AH90/365))</f>
        <v>1374.0801194170583</v>
      </c>
      <c r="LA90" s="169">
        <f t="shared" ca="1" si="422"/>
        <v>1.0029783031310244</v>
      </c>
      <c r="LB90" s="169">
        <f t="shared" ca="1" si="423"/>
        <v>3.693211835814051E-2</v>
      </c>
      <c r="LC90" s="169">
        <f ca="1">ACOS(-TAN((2*Control!$B$8/360))*TAN(Calculations!$LB90))</f>
        <v>1.5817778819703046</v>
      </c>
      <c r="LD90" s="169">
        <f ca="1">((24*60)/PI())*0.082*$LA90*(($LC90*SIN(Control!$B$8*2*PI()/360))*SIN($LB90)+COS(Control!$B$8*2*PI()/360)*COS($LB90)*SIN($LC90))</f>
        <v>24.926971756869726</v>
      </c>
      <c r="LE90" s="170">
        <f t="shared" ca="1" si="327"/>
        <v>24.793977737030243</v>
      </c>
      <c r="LF90" s="170">
        <f ca="1">SIN(Control!$C$139*Control!$B$8)*SIN($HD90)</f>
        <v>2.5614027962165532E-2</v>
      </c>
      <c r="LG90" s="170">
        <f ca="1">COS(Control!$C$139*Control!$B$8)*COS($HD90)</f>
        <v>0.61533447931488527</v>
      </c>
      <c r="LH90" s="170">
        <f ca="1">12*(1+2*ASIN(MAX(-1,MIN(1,$LF90/$LG90))/Control!$C$138))</f>
        <v>12.318009204471572</v>
      </c>
      <c r="LI90" s="170">
        <f ca="1">12*(1+2*ASIN(MAX(-1,MIN(1,(-SIN(-4*Control!$C$139)+$LF90)/$LG90))/Control!$C$138))</f>
        <v>13.184514118662845</v>
      </c>
      <c r="LJ90" s="168">
        <f ca="1">3600*($LH90*$LF90+24*$LG90*SQRT(1-$LK90*$LK90)/Control!$C$138)</f>
        <v>18044.055355046454</v>
      </c>
      <c r="LK90" s="170">
        <f t="shared" ca="1" si="328"/>
        <v>4.1626186770298078E-2</v>
      </c>
      <c r="LL90" s="170">
        <f t="shared" ca="1" si="329"/>
        <v>0</v>
      </c>
      <c r="LM90" s="171">
        <f ca="1">Control!$C$145*$AB90</f>
        <v>6.6660906138995932E-2</v>
      </c>
      <c r="LN90" s="170">
        <f t="shared" ca="1" si="424"/>
        <v>0.54</v>
      </c>
      <c r="LO90" s="170">
        <f t="shared" ca="1" si="330"/>
        <v>0</v>
      </c>
      <c r="LP90" s="170">
        <f ca="1">Control!$C$140*((($D90+273.16)^4+($E90+273.16)^4)/2)*(0.34-0.14*SQRT($Y90))*(1.35*$AQ90/(0.75*$LD90)-0.35)</f>
        <v>-3.2464704755046001</v>
      </c>
      <c r="LQ90" s="170">
        <f ca="1">Control!$C$140*($G90+273)^4*(0.56-0.079*SQRT($Y90*10))*(0.1+0.9*$LO90)</f>
        <v>1.5241745131704001</v>
      </c>
      <c r="LR90" s="170">
        <f ca="1">$AQ90*(1-Control!$C$142)-$LQ90</f>
        <v>-1.5241745131704001</v>
      </c>
      <c r="LS90" s="170">
        <f ca="1">$AQ90*(1-Control!$C$143)-$LQ90</f>
        <v>-1.5241745131704001</v>
      </c>
      <c r="LT90" s="170">
        <f ca="1">$AQ90*(1-Control!$C$144)-$LQ90</f>
        <v>-1.5241745131704001</v>
      </c>
      <c r="LU90" s="169">
        <f ca="1">(1-Control!$C$144)*AQ90-LP90</f>
        <v>3.2464704755046001</v>
      </c>
      <c r="LV90" s="172">
        <f t="shared" ca="1" si="331"/>
        <v>0.79430000000000012</v>
      </c>
      <c r="LW90" s="170">
        <f t="shared" ca="1" si="332"/>
        <v>1.5886000000000002</v>
      </c>
      <c r="LX90" s="170">
        <f ca="1">($AC90*($LR90/Control!$C$141)+$LM90*$LV90)/($AC90+$LM90)</f>
        <v>0.23530094218323697</v>
      </c>
      <c r="LY90" s="170">
        <f ca="1">($AC90*($LS90/Control!$C$141)+$LM90*$LV90)/($AC90+$LM90)</f>
        <v>0.23530094218323697</v>
      </c>
      <c r="LZ90" s="170">
        <f t="shared" ca="1" si="333"/>
        <v>0.23530094218323697</v>
      </c>
      <c r="MA90" s="170">
        <f t="shared" ca="1" si="334"/>
        <v>0.23530094218323697</v>
      </c>
      <c r="MB90" s="170" t="e">
        <f t="shared" ca="1" si="335"/>
        <v>#N/A</v>
      </c>
      <c r="MC90" s="170">
        <f t="shared" ca="1" si="425"/>
        <v>0.6018</v>
      </c>
      <c r="MD90" s="170">
        <f t="shared" ca="1" si="336"/>
        <v>0.52989392535414004</v>
      </c>
      <c r="ME90" s="170">
        <f ca="1">($AC90*($LT90/Control!$C$141)+$LM90*$LW90)/($AC90+$LM90)</f>
        <v>0.71612369323045078</v>
      </c>
      <c r="MF90" s="170" t="e">
        <f ca="1">IF(Control!$B$16&gt;=1000,0.92,IF(AND(720&lt;=Control!$B$16,1000&gt;Control!$B$16),(0.95+(Control!$B$16-720)*((0.92-0.95)/(1000-720))),IF(AND(360&lt;=Control!$B$16,720&gt;Control!$B$16),(1+(Control!$B$16-360)*((0.95-1)/(720-360))),IF(AND(40&lt;=Control!$B$16,360&gt;Control!$B$16),(1.05+(Control!$B$16-40)*((1.05-1)/(360-40)))))))</f>
        <v>#N/A</v>
      </c>
      <c r="MG90" s="170">
        <f t="shared" ca="1" si="337"/>
        <v>0.71612369323045078</v>
      </c>
      <c r="MH90" s="170" t="e">
        <f t="shared" ca="1" si="462"/>
        <v>#N/A</v>
      </c>
      <c r="MI90" s="170" t="e">
        <f t="shared" ca="1" si="462"/>
        <v>#N/A</v>
      </c>
      <c r="MJ90" s="170" t="e">
        <f ca="1">MAX(0.0001, Control!$C$132*$MI90*$DL90)</f>
        <v>#N/A</v>
      </c>
      <c r="MK90" s="170">
        <f ca="1">1/(0.76+1.5*($MG90/10))-(5-Control!$C$110)*0.1</f>
        <v>1.002845988140797</v>
      </c>
      <c r="ML90" s="173">
        <f ca="1">IF(Control!$C$110&lt;3,$MK90+($MG90-0.6)/(Control!$C$110*(Control!$C$110+3)), MAX(0.1, MIN(0.95,$MK90)))</f>
        <v>0.95</v>
      </c>
      <c r="MM90" s="173">
        <f ca="1">IF(Control!$C$110&lt;3,$MK90+(($MI90/10)-0.6)/(Control!$C$110*(Control!$C$110+3)), MAX(0.1, MIN(0.95,$MK90)))</f>
        <v>0.95</v>
      </c>
      <c r="MN90" s="173">
        <f ca="1">(1-$MM90)*(Control!$C$128-Control!$C$127)+Control!$C$127</f>
        <v>0.16</v>
      </c>
      <c r="MO90" s="170" t="e">
        <f ca="1">MAX(0,MIN(1,($MS90-Control!$C$127)/($MN90-Control!$C$127)))</f>
        <v>#DIV/0!</v>
      </c>
      <c r="MP90" s="173" t="e">
        <f ca="1">1/(0.76+1.5*$MI90)-(5-Control!$C$110)*0.1</f>
        <v>#N/A</v>
      </c>
      <c r="MQ90" s="172" t="e">
        <f t="shared" ca="1" si="454"/>
        <v>#DIV/0!</v>
      </c>
      <c r="MR90" s="168" t="e">
        <f t="shared" ca="1" si="426"/>
        <v>#DIV/0!</v>
      </c>
      <c r="MS90" s="173" t="e">
        <f ca="1">MAX(Control!$C$127, MIN(Control!$C$135, $MR90/MAX(0.0001,$CY90)))</f>
        <v>#DIV/0!</v>
      </c>
      <c r="MT90" s="168" t="e">
        <f ca="1">(Control!$C$128-$MS90)*Control!$C$74</f>
        <v>#DIV/0!</v>
      </c>
      <c r="MU90" s="168" t="e">
        <f ca="1">(Control!$C$135-$MS90)*Control!$C$74</f>
        <v>#DIV/0!</v>
      </c>
      <c r="MV90" s="168" t="e">
        <f t="shared" ca="1" si="427"/>
        <v>#DIV/0!</v>
      </c>
      <c r="MW90" s="168" t="e">
        <f t="shared" ca="1" si="428"/>
        <v>#DIV/0!</v>
      </c>
      <c r="MX90" s="171" t="e">
        <f ca="1">MAX(Control!$C$127, MIN(Control!$C$135, $MW90/MAX(0.0001,Control!$C$119-$CY90)))</f>
        <v>#DIV/0!</v>
      </c>
      <c r="MY90" s="54" t="e">
        <f ca="1">IF(Control!$C$114=1, $CX90*$MX90, 0)</f>
        <v>#DIV/0!</v>
      </c>
      <c r="MZ90" s="54" t="e">
        <f t="shared" ca="1" si="429"/>
        <v>#N/A</v>
      </c>
      <c r="NA90" s="168" t="e">
        <f ca="1">(Control!$C$128-$MX90)*(Control!$C$119-Control!$C$74)</f>
        <v>#DIV/0!</v>
      </c>
      <c r="NB90" s="168" t="e">
        <f ca="1">(Control!$C$135-$MX90)*(Control!$C$119-Control!$C$74)</f>
        <v>#DIV/0!</v>
      </c>
      <c r="NC90" s="174" t="e">
        <f t="shared" ca="1" si="430"/>
        <v>#DIV/0!</v>
      </c>
      <c r="ND90" s="54">
        <f ca="1">IF(Control!$C$58=2, IF(OR(Control!$B$218=$AH90,Control!$B$219=$AH90, Control!$B$220=$AH90, Control!$B$221=$AH90, Control!$B$222=$AH90, Control!$B$223=$AH90, Control!$B$224=$AH90, Control!$B$225=$AH90, Control!$B$226=$AH90, Control!$B$227=$AH90, Control!$B$228=$AH90), 1, 0), 0)</f>
        <v>0</v>
      </c>
      <c r="NE90" s="54">
        <f ca="1">IF($ND90=0,0, VLOOKUP($AH90,Control!$B$218:$C$228,2))</f>
        <v>0</v>
      </c>
      <c r="NF90" s="168" t="e">
        <f ca="1">$CY90*(Control!$C$128-Control!$C$127)</f>
        <v>#N/A</v>
      </c>
      <c r="NG90" s="54" t="e">
        <f ca="1">IF(Control!$C$58=2, $NI89-$NJ89, 0)</f>
        <v>#DIV/0!</v>
      </c>
      <c r="NH90" s="54" t="e">
        <f ca="1">IF(AND(Control!$C$58=1, $MS89&lt;= ($MN89+0.02), $I89&lt;10), 0, IF(Control!$C$58=2, $NG89, 0))</f>
        <v>#DIV/0!</v>
      </c>
      <c r="NI90" s="54" t="e">
        <f ca="1">IF(Control!$C$58=2, $NE90+$NH90,0)</f>
        <v>#DIV/0!</v>
      </c>
      <c r="NJ90" s="54" t="e">
        <f ca="1">IF(AND(Control!$C$58=1, $MS90&lt;= ($MN90+0.02), $I90&lt;10), MAX(0, MIN(10, 0.7*($NF90-$MV90))), IF(Control!$C$58=2, MIN(10,$NI90),0))</f>
        <v>#DIV/0!</v>
      </c>
      <c r="NK90" s="54" t="e">
        <f t="shared" ca="1" si="338"/>
        <v>#DIV/0!</v>
      </c>
      <c r="NL90" s="173" t="e">
        <f ca="1">(1-Control!$C$73)*$I90+$NJ90</f>
        <v>#DIV/0!</v>
      </c>
      <c r="NM90" s="172" t="e">
        <f ca="1">IF($NL90&lt;0.5, $MB90* MAX(0, MIN(1, (SQRT($NC90)-SQRT($NC90-1))*Control!$C$71)),0)</f>
        <v>#DIV/0!</v>
      </c>
      <c r="NN90" s="170" t="e">
        <f ca="1">IF($NL90&gt;=5, $MB90, MAX(0,MIN($MB90, $NM90+$NL90,($MS90-Control!$C$129))))</f>
        <v>#DIV/0!</v>
      </c>
      <c r="NO90" s="54">
        <f>IF(Control!$C$133&lt;&gt;1, Control!$C$135-Control!$C$131, 0)</f>
        <v>0.38</v>
      </c>
      <c r="NP90" s="54" t="e">
        <f t="shared" ca="1" si="339"/>
        <v>#DIV/0!</v>
      </c>
      <c r="NQ90" s="173" t="e">
        <f ca="1">MAX(0,MIN(1,(Control!$C$135-$MS90)/(Control!$C$135-$NO90)))</f>
        <v>#DIV/0!</v>
      </c>
      <c r="NR90" s="170" t="e">
        <f ca="1">IF(Control!$C$133&lt;&gt;1, $NQ90+((1-$NP90/4)*(1-$NQ90)),1)</f>
        <v>#DIV/0!</v>
      </c>
      <c r="NS90" s="170" t="e">
        <f ca="1">IF(Control!$B$31=0,$MJ90,MAX(0,MIN($MV90,$MO90*$NR90*$MJ90)))</f>
        <v>#DIV/0!</v>
      </c>
      <c r="NT90" s="170" t="e">
        <f t="shared" ca="1" si="455"/>
        <v>#DIV/0!</v>
      </c>
      <c r="NU90" s="170" t="e">
        <f t="shared" ca="1" si="431"/>
        <v>#N/A</v>
      </c>
      <c r="NV90" s="170" t="e">
        <f t="shared" ca="1" si="340"/>
        <v>#N/A</v>
      </c>
      <c r="NW90" s="175" t="e">
        <f t="shared" ca="1" si="341"/>
        <v>#DIV/0!</v>
      </c>
      <c r="NX90" s="170" t="e">
        <f ca="1">MIN(Control!$C$72+$MU90, $NW90)</f>
        <v>#DIV/0!</v>
      </c>
      <c r="NY90" s="170" t="e">
        <f ca="1">IF($MT90&lt;=$NX90,MIN(Control!$C$72+$NB90,$NX90-$MT90),0)</f>
        <v>#DIV/0!</v>
      </c>
      <c r="NZ90" s="54" t="e">
        <f ca="1">IF(Control!$C$114=1,  $CX90*($MX90-Control!$C$127), 0)</f>
        <v>#DIV/0!</v>
      </c>
      <c r="OA90" s="170" t="e">
        <f t="shared" ca="1" si="342"/>
        <v>#DIV/0!</v>
      </c>
      <c r="OB90" s="170" t="e">
        <f ca="1">IF($NA90 &lt;=$NY90, MIN(Control!$C$72, $NY90-$NA90), 0)</f>
        <v>#DIV/0!</v>
      </c>
      <c r="OC90" s="168" t="e">
        <f t="shared" ca="1" si="343"/>
        <v>#DIV/0!</v>
      </c>
      <c r="OD90" s="168" t="e">
        <f t="shared" ca="1" si="432"/>
        <v>#DIV/0!</v>
      </c>
      <c r="OE90" s="170">
        <f ca="1">Control!$C$73*$I90</f>
        <v>0</v>
      </c>
      <c r="OF90" s="176" t="e">
        <f t="shared" ca="1" si="344"/>
        <v>#DIV/0!</v>
      </c>
      <c r="OG90" s="168" t="e">
        <f t="shared" ca="1" si="345"/>
        <v>#DIV/0!</v>
      </c>
      <c r="OH90" s="168" t="e">
        <f t="shared" ca="1" si="346"/>
        <v>#DIV/0!</v>
      </c>
      <c r="OI90" s="168" t="e">
        <f t="shared" ca="1" si="347"/>
        <v>#DIV/0!</v>
      </c>
      <c r="OJ90" s="168" t="e">
        <f t="shared" ca="1" si="348"/>
        <v>#DIV/0!</v>
      </c>
      <c r="OK90" s="204" t="e">
        <f t="shared" ca="1" si="349"/>
        <v>#DIV/0!</v>
      </c>
      <c r="OL90" s="177">
        <f>Control!$C$127</f>
        <v>0.15</v>
      </c>
      <c r="OM90" s="182" t="e">
        <f t="shared" ca="1" si="350"/>
        <v>#N/A</v>
      </c>
      <c r="ON90" s="177">
        <f>Control!$C$128</f>
        <v>0.35</v>
      </c>
      <c r="OO90" s="182" t="e">
        <f t="shared" ca="1" si="351"/>
        <v>#N/A</v>
      </c>
      <c r="OP90" s="138">
        <f t="shared" ca="1" si="433"/>
        <v>0</v>
      </c>
      <c r="OQ90" s="138" t="e">
        <f t="shared" ca="1" si="456"/>
        <v>#DIV/0!</v>
      </c>
      <c r="OR90" s="138" t="e">
        <f t="shared" ca="1" si="434"/>
        <v>#DIV/0!</v>
      </c>
      <c r="OS90" s="137" t="e">
        <f t="shared" ca="1" si="457"/>
        <v>#DIV/0!</v>
      </c>
      <c r="OT90" s="139" t="e">
        <f t="shared" ca="1" si="458"/>
        <v>#DIV/0!</v>
      </c>
      <c r="OU90" s="138" t="e">
        <f t="shared" ca="1" si="459"/>
        <v>#N/A</v>
      </c>
      <c r="OV90" s="138" t="e">
        <f t="shared" ca="1" si="460"/>
        <v>#DIV/0!</v>
      </c>
      <c r="OW90" s="138" t="e">
        <f t="shared" ca="1" si="435"/>
        <v>#DIV/0!</v>
      </c>
      <c r="OX90" s="138" t="e">
        <f t="shared" ca="1" si="436"/>
        <v>#DIV/0!</v>
      </c>
      <c r="OY90" s="138" t="e">
        <f t="shared" ca="1" si="437"/>
        <v>#DIV/0!</v>
      </c>
      <c r="OZ90" s="138" t="e">
        <f t="shared" ca="1" si="352"/>
        <v>#DIV/0!</v>
      </c>
      <c r="PA90" s="138" t="e">
        <f t="shared" ca="1" si="353"/>
        <v>#DIV/0!</v>
      </c>
      <c r="PB90" s="55">
        <f>IF(Control!$C$61="T", IF(Control!$C$65="F", IF($AH$6-Control!$C$60&lt;0,0,1), IF(365+$AH$6-Control!$C$60&lt;0,0,1)),0)</f>
        <v>0</v>
      </c>
      <c r="PC90" s="55">
        <f ca="1">IF(Control!$C$65="F", IF($AH$6-$HF90&lt;0,0,1), IF(365+$AH$6-$HF90&lt;0,0,1))</f>
        <v>1</v>
      </c>
      <c r="PD90" s="444">
        <f>Control!$C$118</f>
        <v>1500</v>
      </c>
      <c r="PE90" s="180" t="e">
        <f t="shared" ca="1" si="354"/>
        <v>#N/A</v>
      </c>
      <c r="PF90" s="445">
        <f t="shared" ca="1" si="438"/>
        <v>0.71612369323045078</v>
      </c>
      <c r="PT90" s="186"/>
      <c r="PU90" s="186"/>
      <c r="PV90" s="94"/>
      <c r="PW90" s="94"/>
      <c r="PX90" s="94"/>
      <c r="PY90" s="94"/>
      <c r="PZ90" s="94"/>
      <c r="QA90" s="94"/>
      <c r="QB90" s="94"/>
      <c r="QC90" s="94"/>
      <c r="QD90" s="94"/>
      <c r="QE90" s="94"/>
      <c r="QF90" s="94"/>
      <c r="QG90" s="94"/>
      <c r="QH90" s="94"/>
      <c r="QI90" s="94"/>
      <c r="QJ90" s="94"/>
      <c r="QK90" s="94"/>
      <c r="QL90" s="94"/>
      <c r="QM90" s="94"/>
      <c r="QN90" s="94"/>
      <c r="QO90" s="94"/>
      <c r="QP90" s="94"/>
    </row>
    <row r="91" spans="1:458" s="2" customFormat="1" x14ac:dyDescent="0.2">
      <c r="A91" s="395">
        <v>27</v>
      </c>
      <c r="B91" s="396">
        <v>3</v>
      </c>
      <c r="C91" s="387">
        <f ca="1">Weather_data!$B90</f>
        <v>0</v>
      </c>
      <c r="D91" s="388">
        <f ca="1">Weather_data!$F90</f>
        <v>0</v>
      </c>
      <c r="E91" s="388">
        <f ca="1">Weather_data!$E90</f>
        <v>0</v>
      </c>
      <c r="F91" s="388">
        <f t="shared" ca="1" si="355"/>
        <v>0</v>
      </c>
      <c r="G91" s="388">
        <f ca="1">AVERAGE($D91:$E91)+Control!$B$9</f>
        <v>0</v>
      </c>
      <c r="H91" s="388">
        <f ca="1">Weather_data!$G90</f>
        <v>0</v>
      </c>
      <c r="I91" s="388">
        <f ca="1">Weather_data!$I90</f>
        <v>0</v>
      </c>
      <c r="J91" s="388">
        <f ca="1">Weather_data!$H90</f>
        <v>0</v>
      </c>
      <c r="K91" s="389">
        <f ca="1">Weather_data!$D90</f>
        <v>0</v>
      </c>
      <c r="L91" s="388" t="e">
        <f t="shared" ca="1" si="356"/>
        <v>#N/A</v>
      </c>
      <c r="M91" s="388" t="e">
        <f t="shared" ca="1" si="234"/>
        <v>#N/A</v>
      </c>
      <c r="N91" s="388">
        <f t="shared" ca="1" si="235"/>
        <v>-6.4503503908505135E-5</v>
      </c>
      <c r="O91" s="388">
        <f t="shared" ca="1" si="357"/>
        <v>6.4503503908505135E-4</v>
      </c>
      <c r="P91" s="390">
        <v>3</v>
      </c>
      <c r="Q91" s="388">
        <f ca="1">MAX($G91-Control!$C$107,0)</f>
        <v>0</v>
      </c>
      <c r="R91" s="388">
        <f t="shared" ca="1" si="358"/>
        <v>0</v>
      </c>
      <c r="S91" s="388">
        <f t="shared" ca="1" si="236"/>
        <v>0</v>
      </c>
      <c r="T91" s="388">
        <f t="shared" ca="1" si="237"/>
        <v>0</v>
      </c>
      <c r="U91" s="59">
        <f t="shared" ca="1" si="238"/>
        <v>0</v>
      </c>
      <c r="V91" s="391">
        <f ca="1">MAX(0,MIN(Control!$C$100-Control!$C$99,$G91-Control!$C$99)*Control!$C$63)</f>
        <v>0</v>
      </c>
      <c r="W91" s="388">
        <f t="shared" ca="1" si="359"/>
        <v>0</v>
      </c>
      <c r="X91" s="388">
        <f t="shared" ca="1" si="360"/>
        <v>0.6110000000000001</v>
      </c>
      <c r="Y91" s="388">
        <f t="shared" ca="1" si="239"/>
        <v>0</v>
      </c>
      <c r="Z91" s="388">
        <f t="shared" ca="1" si="361"/>
        <v>0.61058800000000002</v>
      </c>
      <c r="AA91" s="388">
        <f t="shared" ca="1" si="240"/>
        <v>0.6018</v>
      </c>
      <c r="AB91" s="388">
        <f ca="1">101.3*EXP(-0.034*Control!$C$66/($G91+273))</f>
        <v>100.69623283836242</v>
      </c>
      <c r="AC91" s="392">
        <f t="shared" ca="1" si="241"/>
        <v>4.3460251046025113E-2</v>
      </c>
      <c r="AD91" s="392">
        <f t="shared" ca="1" si="242"/>
        <v>4.4450382862832649E-2</v>
      </c>
      <c r="AE91" s="388">
        <f t="shared" ca="1" si="243"/>
        <v>0</v>
      </c>
      <c r="AF91" s="388">
        <f ca="1">MAX(0,$G91-Control!$C$92)</f>
        <v>0</v>
      </c>
      <c r="AG91" s="393">
        <f t="shared" ca="1" si="244"/>
        <v>87</v>
      </c>
      <c r="AH91" s="389">
        <f t="shared" ca="1" si="245"/>
        <v>87</v>
      </c>
      <c r="AI91" s="388">
        <f t="shared" ca="1" si="362"/>
        <v>3.933711629014789E-2</v>
      </c>
      <c r="AJ91" s="388">
        <f ca="1">IF(Control!$C$60&lt;=0,$HH91,$HI91)</f>
        <v>1</v>
      </c>
      <c r="AK91" s="388">
        <f t="shared" ca="1" si="246"/>
        <v>0.12049944424727974</v>
      </c>
      <c r="AL91" s="388">
        <f t="shared" ca="1" si="247"/>
        <v>-3.4262957054886911E-18</v>
      </c>
      <c r="AM91" s="388">
        <f t="shared" ca="1" si="248"/>
        <v>0.12049944424727974</v>
      </c>
      <c r="AN91" s="388">
        <f t="shared" ca="1" si="249"/>
        <v>4.7837003037928316E-2</v>
      </c>
      <c r="AO91" s="388">
        <f ca="1">-0.10453/COS(Control!$B$8*PI()/180)*COS(AN91)</f>
        <v>-0.16959063522668175</v>
      </c>
      <c r="AP91" s="388">
        <f ca="1">ACOS(AO91-TAN(Control!$B$8*PI()/180)*TAN(AN91))</f>
        <v>1.8037639130831158</v>
      </c>
      <c r="AQ91" s="388">
        <f t="shared" ca="1" si="363"/>
        <v>0</v>
      </c>
      <c r="AR91" s="394">
        <f t="shared" ca="1" si="250"/>
        <v>0</v>
      </c>
      <c r="AS91" s="436">
        <f ca="1">IF(Control!$B$18=2,(IF(OR($AH91=Control!$B$175,$AH91=Control!$B$176,$AH91=Control!$B$177,$AH91=Control!$B$178,$AH91=Control!$B$179,$AH91=Control!$B$180,$AH91=Control!$B$181,$AH91=Control!$B$182,$AH91=Control!$B$183,$AH91=Control!$B$184,$AH91=Control!$B$185),1,0)),0)</f>
        <v>0</v>
      </c>
      <c r="AT91" s="436">
        <f>IF(Control!$B$20=8,IF(AND($AH91&gt;=Control!$B$172,$AH91&lt;=Control!$B$173),1,0),0)</f>
        <v>0</v>
      </c>
      <c r="AU91" s="436">
        <f>IF(Control!$B$20=8,IF($AV90=1,1*$AT91,IF($AT91=1,$AU90+1,$AU90)),0)</f>
        <v>0</v>
      </c>
      <c r="AV91" s="436">
        <f>IF(Control!$B$20=8,IF($AU91&gt;=Control!$B$174,1,0),0)</f>
        <v>0</v>
      </c>
      <c r="AW91" s="436">
        <f ca="1">IF(AND(Control!$B$18=2,Control!$B$171=1), $AV91, $AS91)</f>
        <v>0</v>
      </c>
      <c r="AX91" s="436" t="e">
        <f ca="1">IF(AND(Control!$B$18=1,$EU91&gt;=Control!$B$19),-$AY91,IF(AND(Control!$B$18=2,$AW91=1,$EU91&gt;$DS91),-$AY91, IF(Control!$C$108=0,0, IF(Control!$C$108&lt;&gt;0,1))))</f>
        <v>#N/A</v>
      </c>
      <c r="AY91" s="436" t="e">
        <f t="shared" ca="1" si="364"/>
        <v>#N/A</v>
      </c>
      <c r="AZ91" s="436" t="e">
        <f ca="1">IF(AND(Control!$B$18=1,$EB91&gt;Control!$B$19),$AZ90+1, IF(AND(Control!$B$18=2, $AW91=1, $EB91&gt;$DS91), $AZ90+1,$AZ90))</f>
        <v>#N/A</v>
      </c>
      <c r="BA91" s="587">
        <f>IF(Control!$C$81=0,1,IF($AH91&gt;=Control!$C$82,1,0))</f>
        <v>1</v>
      </c>
      <c r="BB91" s="140" t="e">
        <f ca="1">IF($BA91&gt;$BA90,Control!$C$83,IF($AW91&gt;0,$AW91*Control!$C$84,IF(AND(Control!$B$18=1,EN90&lt;&gt;0),Control!$C$84,0)))</f>
        <v>#N/A</v>
      </c>
      <c r="BC91" s="140" t="e">
        <f t="shared" ca="1" si="365"/>
        <v>#N/A</v>
      </c>
      <c r="BD91" s="140" t="e">
        <f ca="1">BC91*IF(OR($G91&lt;Control!$C$92,$G91&gt;Control!$C$95),0,IF(AND($G91&gt;=Control!$C$92,$G91&lt;=Control!$C$93),$G91-Control!$C$92,IF(AND($G91&gt;Control!$C$93,$G91&lt;=Control!$C$94),Control!$C$93-Control!$C$92,IF(AND($G91&gt;Control!$C$94,$G91&lt;=Control!$C$95),(Control!$C$93-Control!$C$92)*(Control!$C$94-$G91)/(Control!$C$95-Control!$C$94)))))</f>
        <v>#N/A</v>
      </c>
      <c r="BE91" s="140" t="e">
        <f t="shared" ca="1" si="366"/>
        <v>#N/A</v>
      </c>
      <c r="BF91" s="140" t="e">
        <f ca="1">IF($BE91&lt;=Control!$C$86,$BE91,Control!$C$86-$BE91)</f>
        <v>#N/A</v>
      </c>
      <c r="BG91" s="140" t="e">
        <f ca="1">IF(AND($AW91=1,Control!$C$84&lt;9),1,IF($BE91&gt;=Control!$C$86,0,$BC91))</f>
        <v>#N/A</v>
      </c>
      <c r="BH91" s="404" t="e">
        <f ca="1">IF($BG91=0,0,IF($BE91&lt;=Control!$C$86,$BC91*9*($BF91/Control!$C$86),0))</f>
        <v>#N/A</v>
      </c>
      <c r="BI91" s="140" t="e">
        <f ca="1">IF($BG91=1,0,IF($BE91&gt;=Control!$C$86,1,IF(AND($BB91&lt;21,$BB91&gt;=9),1,$BM90)))</f>
        <v>#N/A</v>
      </c>
      <c r="BJ91" s="140" t="e">
        <f ca="1">IF($BF91&lt;0,-$BF91,$BI91*IF(OR($G91&lt;Control!$C$92,$G91&gt;Control!$C$95),0,IF(AND($G91&gt;=Control!$C$92,$G91&lt;=Control!$C$93),$G91-Control!$C$92,IF(AND($G91&gt;Control!$C$93,$G91&lt;=Control!$C$94),Control!$C$93-Control!$C$92,IF(AND($G91&gt;Control!$C$94,$G91&lt;=Control!$C$95),(Control!$C$93-Control!$C$92)*(Control!$C$94-$G91)/(Control!$C$95-Control!$C$94))))))</f>
        <v>#N/A</v>
      </c>
      <c r="BK91" s="140" t="e">
        <f t="shared" ca="1" si="367"/>
        <v>#N/A</v>
      </c>
      <c r="BL91" s="140" t="e">
        <f ca="1">IF($BK91&lt;=Control!$C$87,$BK91,Control!$C$87-$BK91)</f>
        <v>#N/A</v>
      </c>
      <c r="BM91" s="140" t="e">
        <f ca="1">IF(AND($BB91&gt;=9,$BB91&lt;21),1,IF($BK91&gt;=Control!$C$87,0,$BI91))</f>
        <v>#N/A</v>
      </c>
      <c r="BN91" s="404" t="e">
        <f ca="1">IF($BM91=0,0,IF($BK91&lt;=Control!$C$87,$BI91*(9+(21-9)*($BL91/Control!$C$87)),0))</f>
        <v>#N/A</v>
      </c>
      <c r="BO91" s="140" t="e">
        <f ca="1">IF($BM91=1,0,IF($BK91&gt;=Control!$C$87,1,IF(AND($BB91&lt;30,$BB91&gt;=21),1,$BS90)))</f>
        <v>#N/A</v>
      </c>
      <c r="BP91" s="140" t="e">
        <f ca="1">IF($BL91&lt;0,-$BL91,$BO91*IF(OR($G91&lt;Control!$C$92,$G91&gt;Control!$C$95),0,IF(AND($G91&gt;=Control!$C$92,$G91&lt;=Control!$C$93),$G91-Control!$C$92,IF(AND($G91&gt;Control!$C$93,$G91&lt;=Control!$C$94),Control!$C$93-Control!$C$92,IF(AND($G91&gt;Control!$C$94,$G91&lt;=Control!$C$95),(Control!$C$93-Control!$C$92)*(Control!$C$94-$G91)/(Control!$C$95-Control!$C$94))))))</f>
        <v>#N/A</v>
      </c>
      <c r="BQ91" s="140" t="e">
        <f t="shared" ca="1" si="251"/>
        <v>#N/A</v>
      </c>
      <c r="BR91" s="140" t="e">
        <f ca="1">IF($BQ91&lt;=Control!$C$88,$BQ91,Control!$C$88-$BQ91)</f>
        <v>#N/A</v>
      </c>
      <c r="BS91" s="140" t="e">
        <f ca="1">IF(AND($BB91&gt;=21,$BB91&lt;30),1,IF($BQ91&gt;=Control!$C$88,0,$BO91))</f>
        <v>#N/A</v>
      </c>
      <c r="BT91" s="404" t="e">
        <f ca="1">IF($BS91=0,0,IF($BQ91&lt;=Control!$C$88,$BO91*(21+(30-21)*(BR91/Control!$C$88)),0))</f>
        <v>#N/A</v>
      </c>
      <c r="BU91" s="140" t="e">
        <f ca="1">IF(BG91+BM91+BS91=1,0,IF(OR(AND($BB91&lt;60,$BB91&gt;=30),$BQ91&gt;=Control!$C$88),1*$BA91,$BY90))</f>
        <v>#N/A</v>
      </c>
      <c r="BV91" s="140" t="e">
        <f ca="1">IF($BR91&lt;0,-$BR91,$BU91*IF(OR($G91&lt;Control!$C$92,$G91&gt;Control!$C$95),0,IF(AND($G91&gt;=Control!$C$92,$G91&lt;=Control!$C$93),$G91-Control!$C$92,IF(AND($G91&gt;Control!$C$93,$G91&lt;=Control!$C$94),Control!$C$93-Control!$C$92,IF(AND($G91&gt;Control!$C$94,$G91&lt;=Control!$C$95),(Control!$C$93-Control!$C$92)*(Control!$C$94-$G91)/(Control!$C$95-Control!$C$94))))))</f>
        <v>#N/A</v>
      </c>
      <c r="BW91" s="140" t="e">
        <f t="shared" ca="1" si="252"/>
        <v>#N/A</v>
      </c>
      <c r="BX91" s="140" t="e">
        <f ca="1">IF($BW91&lt;=Control!$C$89,$BW91,Control!$C$89-$BW91)</f>
        <v>#N/A</v>
      </c>
      <c r="BY91" s="140" t="e">
        <f ca="1">IF(AND($AJ91&gt;=30,$AJ91&lt;60),1,IF($BW91&gt;=Control!$C$89,0,$BU91))</f>
        <v>#N/A</v>
      </c>
      <c r="BZ91" s="404" t="e">
        <f ca="1">IF($BY91=0,0,IF($BW91&lt;=Control!$C$89,$BU91*(30+(60-30)*(BX91/Control!$C$89)),0))</f>
        <v>#N/A</v>
      </c>
      <c r="CA91" s="140" t="e">
        <f ca="1">IF($BG91+$BM91+$BS91+$BY91=1,0,IF(OR(AND($BB91&lt;65,$BB91&gt;=60),$BW91&gt;=Control!$C$89),1*$BA91,$CE90))</f>
        <v>#N/A</v>
      </c>
      <c r="CB91" s="140" t="e">
        <f ca="1">IF($BX91&lt;0,-$BX91,$CA91*IF(OR($G91&lt;Control!$C$92,$G91&gt;Control!$C$95),0,IF(AND($G91&gt;=Control!$C$92,$G91&lt;=Control!$C$93),$G91-Control!$C$92,IF(AND($G91&gt;Control!$C$93,$G91&lt;=Control!$C$94),Control!$C$93-Control!$C$92,IF(AND($G91&gt;Control!$C$94,$G91&lt;=Control!$C$95),(Control!$C$93-Control!$C$92)*(Control!$C$94-$G91)/(Control!$C$95-Control!$C$94))))))</f>
        <v>#N/A</v>
      </c>
      <c r="CC91" s="140" t="e">
        <f t="shared" ca="1" si="368"/>
        <v>#N/A</v>
      </c>
      <c r="CD91" s="140" t="e">
        <f ca="1">IF($CC91&lt;=Control!$C$90,$CC91,Control!$C$90-$CC91)</f>
        <v>#N/A</v>
      </c>
      <c r="CE91" s="140" t="e">
        <f ca="1">IF(AND($BB91&gt;=60,$BB91&lt;65),1,IF($CC91&gt;=Control!$C$90,0,$CA91))</f>
        <v>#N/A</v>
      </c>
      <c r="CF91" s="404" t="e">
        <f ca="1">IF($CE91=0,0,IF($CC91&lt;=Control!$C$90,$CA91*(60+(65-60)*(CD91/Control!$C$90)),0))</f>
        <v>#N/A</v>
      </c>
      <c r="CG91" s="140" t="e">
        <f ca="1">IF($BG91+$BM91+$BS91+$BY91+$CE91=1,0,IF(OR(AND($BB91&lt;90,$BB91&gt;=65),$CC91&gt;=Control!$C$90),$BA91,$CK90))</f>
        <v>#N/A</v>
      </c>
      <c r="CH91" s="140" t="e">
        <f ca="1">IF($CD91&lt;0,-$CD91,$CG91*IF(OR($G91&lt;Control!$C$92,$G91&gt;Control!$C$95),0,IF(AND($G91&gt;=Control!$C$92,$G91&lt;=Control!$C$93),$G91-Control!$C$92,IF(AND($G91&gt;Control!$C$93,$G91&lt;=Control!$C$94),Control!$C$93-Control!$C$92,IF(AND($G91&gt;Control!$C$94,$G91&lt;=Control!$C$95),(Control!$C$93-Control!$C$92)*(Control!$C$94-$G91)/(Control!$C$95-Control!$C$94))))))</f>
        <v>#N/A</v>
      </c>
      <c r="CI91" s="140" t="e">
        <f t="shared" ca="1" si="369"/>
        <v>#N/A</v>
      </c>
      <c r="CJ91" s="140" t="e">
        <f ca="1">IF($CI91&lt;=Control!$C$91,$CI91,Control!$C$91-$CI91)</f>
        <v>#N/A</v>
      </c>
      <c r="CK91" s="140" t="e">
        <f ca="1">IF(AND($BB91&gt;=65,$BB91&lt;90),1,IF($CI91&gt;=Control!$C$91,0,$CG91))</f>
        <v>#N/A</v>
      </c>
      <c r="CL91" s="404" t="e">
        <f ca="1">IF($CK91=0,0,IF($CI91&lt;=Control!$C$91,$CG91*(65+(90-65)*($CJ91/Control!$C$91)),0))</f>
        <v>#N/A</v>
      </c>
      <c r="CM91" s="140" t="e">
        <f ca="1">IF($BG91+$BM91+$BS91+$BY91+$CE91+$CK91=1,0,IF(OR($BB91&gt;=90,$CI91&gt;=Control!$C$91),$BA91,$CM90))</f>
        <v>#N/A</v>
      </c>
      <c r="CN91" s="140" t="e">
        <f t="shared" ca="1" si="370"/>
        <v>#N/A</v>
      </c>
      <c r="CO91" s="140" t="e">
        <f t="shared" ca="1" si="371"/>
        <v>#N/A</v>
      </c>
      <c r="CP91" s="140" t="e">
        <f t="shared" ca="1" si="372"/>
        <v>#N/A</v>
      </c>
      <c r="CQ91" s="141" t="e">
        <f ca="1">VLOOKUP($CP91,Control!$B$86:$G$91,6)</f>
        <v>#N/A</v>
      </c>
      <c r="CR91" s="141" t="e">
        <f ca="1">(1-$CQ91)*VLOOKUP($CP91,Control!$B$86:$D$91,3)</f>
        <v>#N/A</v>
      </c>
      <c r="CS91" s="141" t="e">
        <f ca="1">(1-$CQ91)*VLOOKUP($CP91,Control!$B$86:$E$91,4)</f>
        <v>#N/A</v>
      </c>
      <c r="CT91" s="141" t="e">
        <f ca="1">(1-$CQ91)*VLOOKUP($CP91,Control!$B$86:$F$91,5)</f>
        <v>#N/A</v>
      </c>
      <c r="CU91" s="141">
        <f t="shared" ca="1" si="373"/>
        <v>0</v>
      </c>
      <c r="CV91" s="583">
        <f t="shared" ca="1" si="374"/>
        <v>0</v>
      </c>
      <c r="CW91" s="142">
        <f t="shared" ca="1" si="375"/>
        <v>87</v>
      </c>
      <c r="CX91" s="612" t="e">
        <f ca="1">IF(Control!$C$114=1,(MIN(Control!$C$120*(IF($NT91-0.01&lt;0,0,1)),Control!$C$119-$CY91)))</f>
        <v>#DIV/0!</v>
      </c>
      <c r="CY91" s="143" t="e">
        <f t="shared" ca="1" si="376"/>
        <v>#N/A</v>
      </c>
      <c r="CZ91" s="144">
        <f t="shared" ca="1" si="253"/>
        <v>0</v>
      </c>
      <c r="DA91" s="144">
        <f t="shared" ca="1" si="254"/>
        <v>0</v>
      </c>
      <c r="DB91" s="144" t="e">
        <f t="shared" ca="1" si="255"/>
        <v>#N/A</v>
      </c>
      <c r="DC91" s="144" t="e">
        <f t="shared" ca="1" si="256"/>
        <v>#N/A</v>
      </c>
      <c r="DD91" s="144" t="e">
        <f t="shared" ca="1" si="461"/>
        <v>#N/A</v>
      </c>
      <c r="DE91" s="143" t="e">
        <f t="shared" ca="1" si="377"/>
        <v>#N/A</v>
      </c>
      <c r="DF91" s="145" t="e">
        <f ca="1">$DR91*EXP(-Control!$C$158*(1-$KH91))</f>
        <v>#N/A</v>
      </c>
      <c r="DG91" s="146" t="e">
        <f ca="1">IF(Control!$C$114=1, $DF91*$EY91, 0)</f>
        <v>#N/A</v>
      </c>
      <c r="DH91" s="147" t="e">
        <f t="shared" ca="1" si="378"/>
        <v>#N/A</v>
      </c>
      <c r="DI91" s="144" t="e">
        <f t="shared" ca="1" si="439"/>
        <v>#N/A</v>
      </c>
      <c r="DJ91" s="147" t="e">
        <f ca="1">$EF91*Control!$C$109</f>
        <v>#N/A</v>
      </c>
      <c r="DK91" s="144" t="e">
        <f t="shared" ca="1" si="379"/>
        <v>#N/A</v>
      </c>
      <c r="DL91" s="144" t="e">
        <f t="shared" ca="1" si="257"/>
        <v>#N/A</v>
      </c>
      <c r="DM91" s="144" t="e">
        <f ca="1">IF(Control!$C$114=1, (1-EXP(-Control!$C$96*$DK91))*$AR91, 0)</f>
        <v>#N/A</v>
      </c>
      <c r="DN91" s="144">
        <f t="shared" ca="1" si="380"/>
        <v>0</v>
      </c>
      <c r="DO91" s="148">
        <f>Control!$C$97</f>
        <v>4</v>
      </c>
      <c r="DP91" s="145" t="e">
        <f t="shared" ca="1" si="381"/>
        <v>#N/A</v>
      </c>
      <c r="DQ91" s="145" t="e">
        <f ca="1">IF(AND($CP91&gt;=0,$CP91&lt;=90),Control!$C$111,Control!$C$111)</f>
        <v>#N/A</v>
      </c>
      <c r="DR91" s="145" t="e">
        <f t="shared" ca="1" si="258"/>
        <v>#N/A</v>
      </c>
      <c r="DS91" s="143" t="e">
        <f ca="1">Control!$B$22/$DR91</f>
        <v>#N/A</v>
      </c>
      <c r="DT91" s="149" t="e">
        <f ca="1">IF(AND(Control!$C$114=1,$KH91&lt;1),$IM91*$DF91, 0)</f>
        <v>#N/A</v>
      </c>
      <c r="DU91" s="144" t="e">
        <f t="shared" ca="1" si="382"/>
        <v>#N/A</v>
      </c>
      <c r="DV91" s="144">
        <f ca="1">IF($G91-Control!$C$107&lt;=0, 0, 0.83*LN(MAX($G91, 3))-0.8924)</f>
        <v>0</v>
      </c>
      <c r="DW91" s="144" t="e">
        <f t="shared" ca="1" si="259"/>
        <v>#N/A</v>
      </c>
      <c r="DX91" s="150" t="e">
        <f ca="1">MAX(0.01*(1+$CU91/Control!$C$102),0.05*($DK91-Control!$C$97)/Control!$C$97)</f>
        <v>#N/A</v>
      </c>
      <c r="DY91" s="151" t="e">
        <f ca="1">IF(Control!$C$114=1, $DI91*$FS91, 0)</f>
        <v>#N/A</v>
      </c>
      <c r="DZ91" s="196" t="e">
        <f t="shared" ca="1" si="383"/>
        <v>#N/A</v>
      </c>
      <c r="EA91" s="152">
        <f t="shared" ca="1" si="384"/>
        <v>87</v>
      </c>
      <c r="EB91" s="153" t="e">
        <f t="shared" ca="1" si="385"/>
        <v>#N/A</v>
      </c>
      <c r="EC91" s="153" t="e">
        <f t="shared" ca="1" si="386"/>
        <v>#N/A</v>
      </c>
      <c r="ED91" s="154" t="e">
        <f ca="1">IF(Control!$C$114=1, $HM91*$FY91-$FD91, 0)</f>
        <v>#DIV/0!</v>
      </c>
      <c r="EE91" s="155" t="e">
        <f ca="1">IF(Control!$C$114=1, $HM91*$FZ91-$FF91, 0)</f>
        <v>#DIV/0!</v>
      </c>
      <c r="EF91" s="153" t="e">
        <f t="shared" ca="1" si="440"/>
        <v>#N/A</v>
      </c>
      <c r="EG91" s="155" t="e">
        <f ca="1">IF(Control!$C$114=1, $GX91*$FW91-$FI91, 0)</f>
        <v>#DIV/0!</v>
      </c>
      <c r="EH91" s="153" t="e">
        <f t="shared" ca="1" si="387"/>
        <v>#N/A</v>
      </c>
      <c r="EI91" s="156" t="e">
        <f t="shared" ca="1" si="388"/>
        <v>#N/A</v>
      </c>
      <c r="EJ91" s="155" t="e">
        <f ca="1">IF(Control!$C$114=1, $HM91*$GB91, 0)</f>
        <v>#DIV/0!</v>
      </c>
      <c r="EK91" s="153" t="e">
        <f t="shared" ca="1" si="441"/>
        <v>#N/A</v>
      </c>
      <c r="EL91" s="153" t="e">
        <f t="shared" ca="1" si="260"/>
        <v>#N/A</v>
      </c>
      <c r="EM91" s="153" t="e">
        <f t="shared" ca="1" si="261"/>
        <v>#N/A</v>
      </c>
      <c r="EN91" s="153" t="e">
        <f ca="1">IF(Control!$C$108=1,IF(AND(Control!$B$18=1,$EB91&gt;=Control!$B$19),$EB91-$DS91,IF(AND(Control!$B$18=2,$AW91=1,$EB91&gt;$DS91),$EB91-$DS91,0)))</f>
        <v>#N/A</v>
      </c>
      <c r="EO91" s="153" t="e">
        <f ca="1">IF(Control!$C$108=1,IF(AND(Control!$B$18=1,$EB91&gt;=Control!$B$19),$EF91,IF(AND(Control!$B$18=2,$AW91=1),$EF91,0)))</f>
        <v>#N/A</v>
      </c>
      <c r="EP91" s="153" t="e">
        <f ca="1">IF(Control!$C$108=1,IF(AND(Control!$B$18=1,$EB91&gt;=Control!$B$19),$EK91,IF(AND(Control!$B$18=2,$AW91=1),$EK91,0)))</f>
        <v>#N/A</v>
      </c>
      <c r="EQ91" s="153" t="e">
        <f t="shared" ca="1" si="389"/>
        <v>#N/A</v>
      </c>
      <c r="ER91" s="153" t="e">
        <f t="shared" ca="1" si="390"/>
        <v>#N/A</v>
      </c>
      <c r="ES91" s="153" t="e">
        <f t="shared" ca="1" si="442"/>
        <v>#N/A</v>
      </c>
      <c r="ET91" s="153" t="e">
        <f t="shared" ca="1" si="443"/>
        <v>#N/A</v>
      </c>
      <c r="EU91" s="153" t="e">
        <f t="shared" ca="1" si="391"/>
        <v>#N/A</v>
      </c>
      <c r="EV91" s="153" t="e">
        <f t="shared" ca="1" si="262"/>
        <v>#N/A</v>
      </c>
      <c r="EW91" s="153" t="e">
        <f t="shared" ca="1" si="263"/>
        <v>#N/A</v>
      </c>
      <c r="EX91" s="153" t="e">
        <f t="shared" ca="1" si="264"/>
        <v>#N/A</v>
      </c>
      <c r="EY91" s="157" t="e">
        <f t="shared" ca="1" si="265"/>
        <v>#DIV/0!</v>
      </c>
      <c r="EZ91" s="154" t="e">
        <f t="shared" ca="1" si="266"/>
        <v>#DIV/0!</v>
      </c>
      <c r="FA91" s="153" t="e">
        <f t="shared" ca="1" si="392"/>
        <v>#N/A</v>
      </c>
      <c r="FB91" s="153" t="e">
        <f t="shared" ca="1" si="267"/>
        <v>#N/A</v>
      </c>
      <c r="FC91" s="193" t="e">
        <f t="shared" ca="1" si="268"/>
        <v>#N/A</v>
      </c>
      <c r="FD91" s="158" t="e">
        <f t="shared" ca="1" si="393"/>
        <v>#N/A</v>
      </c>
      <c r="FE91" s="158" t="e">
        <f t="shared" ca="1" si="394"/>
        <v>#N/A</v>
      </c>
      <c r="FF91" s="159" t="e">
        <f t="shared" ca="1" si="269"/>
        <v>#N/A</v>
      </c>
      <c r="FG91" s="160" t="e">
        <f t="shared" ca="1" si="395"/>
        <v>#N/A</v>
      </c>
      <c r="FH91" s="158" t="e">
        <f t="shared" ca="1" si="396"/>
        <v>#N/A</v>
      </c>
      <c r="FI91" s="159" t="e">
        <f t="shared" ca="1" si="270"/>
        <v>#N/A</v>
      </c>
      <c r="FJ91" s="160" t="e">
        <f t="shared" ca="1" si="397"/>
        <v>#N/A</v>
      </c>
      <c r="FK91" s="160" t="e">
        <f t="shared" ca="1" si="271"/>
        <v>#N/A</v>
      </c>
      <c r="FL91" s="160" t="e">
        <f t="shared" ca="1" si="444"/>
        <v>#N/A</v>
      </c>
      <c r="FM91" s="160" t="e">
        <f t="shared" ca="1" si="272"/>
        <v>#N/A</v>
      </c>
      <c r="FN91" s="158">
        <f t="shared" ca="1" si="398"/>
        <v>0.01</v>
      </c>
      <c r="FO91" s="160">
        <f>Control!$C$101</f>
        <v>50</v>
      </c>
      <c r="FP91" s="150" t="e">
        <f t="shared" ca="1" si="273"/>
        <v>#N/A</v>
      </c>
      <c r="FQ91" s="150" t="e">
        <f ca="1">MAX(0,(Control!$C$112*(($DK91-Control!$C$97)/Control!$C$97)))</f>
        <v>#N/A</v>
      </c>
      <c r="FR91" s="150" t="e">
        <f ca="1">(1-$NT91)*Control!$C$113</f>
        <v>#DIV/0!</v>
      </c>
      <c r="FS91" s="198" t="e">
        <f t="shared" ca="1" si="274"/>
        <v>#N/A</v>
      </c>
      <c r="FT91" s="161">
        <f t="shared" ca="1" si="399"/>
        <v>87</v>
      </c>
      <c r="FU91" s="162" t="e">
        <f ca="1">IF(Control!$B$34=1,VLOOKUP($CP91,Control!$B$86:$G$91,6),Control!$B$35)</f>
        <v>#N/A</v>
      </c>
      <c r="FV91" s="162" t="e">
        <f t="shared" ca="1" si="275"/>
        <v>#DIV/0!</v>
      </c>
      <c r="FW91" s="162" t="e">
        <f ca="1">IF(Control!$B$31=1,$FU91*$FV91,  $FU91)</f>
        <v>#N/A</v>
      </c>
      <c r="FX91" s="162" t="e">
        <f ca="1">IF(Control!$B$34=1,VLOOKUP($CP91,Control!$B$86:$G$91,3),Control!$B$36)</f>
        <v>#N/A</v>
      </c>
      <c r="FY91" s="162" t="e">
        <f t="shared" ca="1" si="276"/>
        <v>#N/A</v>
      </c>
      <c r="FZ91" s="162" t="e">
        <f ca="1">IF(Control!$B$34=1,VLOOKUP($CP91,Control!$B$86:$G$91,4),Control!$B$37)</f>
        <v>#N/A</v>
      </c>
      <c r="GA91" s="162" t="e">
        <f t="shared" ca="1" si="277"/>
        <v>#N/A</v>
      </c>
      <c r="GB91" s="162" t="e">
        <f ca="1">IF(Control!$B$34=1,VLOOKUP($CP91,Control!$B$86:$G$91,5),Control!$B$38)</f>
        <v>#N/A</v>
      </c>
      <c r="GC91" s="162" t="e">
        <f t="shared" ca="1" si="400"/>
        <v>#N/A</v>
      </c>
      <c r="GD91" s="162">
        <f t="shared" ca="1" si="278"/>
        <v>1</v>
      </c>
      <c r="GE91" s="162">
        <f t="shared" ca="1" si="279"/>
        <v>1</v>
      </c>
      <c r="GF91" s="162">
        <f ca="1">IF(AND(Control!$C$104=1, Control!$C$62="F"),$GE91,1)</f>
        <v>1</v>
      </c>
      <c r="GG91" s="162" t="e">
        <f ca="1">IF(Control!$B$16=40,0,IF(AND(Control!$B$16&gt;40,Control!$B$16&lt;=360),(Control!$B$16-40)*((1-0)/(360-40)),IF(AND(Control!$B$16&gt;360,Control!$B$16&lt;=720),(1+(Control!$B$16-360)*((1.25-1)/(720-360))),IF(AND(Control!$B$16&gt;720,Control!$B$16&lt;=1000),(1.25+(Control!$B$16-720)*((1.35-1.25)/(1000-720))),IF(AND(Control!$B$16&gt;1000,Control!$B$16&lt;=2000),(1.35+(Control!$B$16-1000)*0))))))</f>
        <v>#N/A</v>
      </c>
      <c r="GH91" s="162" t="e">
        <f t="shared" ca="1" si="280"/>
        <v>#N/A</v>
      </c>
      <c r="GI91" s="162">
        <f t="shared" ca="1" si="401"/>
        <v>0</v>
      </c>
      <c r="GJ91" s="162">
        <f t="shared" ca="1" si="281"/>
        <v>0</v>
      </c>
      <c r="GK91" s="162">
        <f t="shared" ca="1" si="402"/>
        <v>1</v>
      </c>
      <c r="GL91" s="162">
        <f t="shared" ca="1" si="282"/>
        <v>1</v>
      </c>
      <c r="GM91" s="162" t="e">
        <f ca="1">MAX(0,MIN(1,1-Control!$C$156*(1.0001-$KH91)^2))</f>
        <v>#N/A</v>
      </c>
      <c r="GN91" s="162" t="e">
        <f ca="1">IF(Control!$B$26=1,$KU91,$KX91)</f>
        <v>#N/A</v>
      </c>
      <c r="GO91" s="162" t="e">
        <f ca="1">IF($CP91&lt;=60,Control!$C$105,IF($CP91&gt;=90,Control!$C$106,Control!$C$105+($CP91-60)*((Control!$C$106-Control!$C$105)/(90-60))))</f>
        <v>#N/A</v>
      </c>
      <c r="GP91" s="162" t="e">
        <f t="shared" ca="1" si="283"/>
        <v>#N/A</v>
      </c>
      <c r="GQ91" s="162" t="e">
        <f t="shared" ca="1" si="403"/>
        <v>#N/A</v>
      </c>
      <c r="GR91" s="163" t="e">
        <f t="shared" ca="1" si="284"/>
        <v>#DIV/0!</v>
      </c>
      <c r="GS91" s="162" t="e">
        <f t="shared" ca="1" si="285"/>
        <v>#DIV/0!</v>
      </c>
      <c r="GT91" s="164" t="e">
        <f t="shared" ca="1" si="404"/>
        <v>#N/A</v>
      </c>
      <c r="GU91" s="162" t="e">
        <f t="shared" ca="1" si="405"/>
        <v>#N/A</v>
      </c>
      <c r="GV91" s="162" t="e">
        <f t="shared" ca="1" si="286"/>
        <v>#N/A</v>
      </c>
      <c r="GW91" s="162" t="e">
        <f t="shared" ca="1" si="287"/>
        <v>#DIV/0!</v>
      </c>
      <c r="GX91" s="162" t="e">
        <f t="shared" ca="1" si="406"/>
        <v>#DIV/0!</v>
      </c>
      <c r="GY91" s="162" t="e">
        <f t="shared" ca="1" si="407"/>
        <v>#DIV/0!</v>
      </c>
      <c r="GZ91" s="165" t="e">
        <f t="shared" ca="1" si="288"/>
        <v>#N/A</v>
      </c>
      <c r="HA91" s="162" t="e">
        <f ca="1">IF(Control!$C$114=1, $DI91*$FS91, 0)</f>
        <v>#N/A</v>
      </c>
      <c r="HB91" s="162" t="e">
        <f ca="1">$FA91/Control!$C$64</f>
        <v>#N/A</v>
      </c>
      <c r="HC91" s="162" t="e">
        <f t="shared" ca="1" si="289"/>
        <v>#DIV/0!</v>
      </c>
      <c r="HD91" s="162">
        <f ca="1">-ASIN(SIN(23.45*Control!$C$139)*COS(2*Control!$C$138*($AH91+10)/365))</f>
        <v>3.933711629014789E-2</v>
      </c>
      <c r="HE91" s="165">
        <f t="shared" ca="1" si="408"/>
        <v>0</v>
      </c>
      <c r="HF91" s="166">
        <f ca="1">IF(AND(Control!$C$61="T",$HE91&gt;=Control!$C$103,Control!$C$114=0),$AH91,Control!$C$59)</f>
        <v>1</v>
      </c>
      <c r="HG91" s="166">
        <f ca="1">IF(AND(Control!$C$61="T",$HE91&gt;=Control!$C$103,Control!$C$114=0),$HF91,Control!$C$59)</f>
        <v>1</v>
      </c>
      <c r="HH91" s="165">
        <f ca="1">IF(AND(OR(Control!$C$60&lt;=0, $AH91= Control!$C$59, Control!$C$60 &gt;0, $AH91 = Control!$C$60)), Control!$C$59, IF(Control!$C$60&gt;0, 0))</f>
        <v>1</v>
      </c>
      <c r="HI91" s="165">
        <f ca="1">IF(AND(OR(Control!$C$60&lt;=0, $AH91= Control!$C$59, Control!$C$60 &gt;0, $AH91 = Control!$C$60)), Control!$C$60, IF(Control!$C$60&lt;=0, 0))</f>
        <v>0</v>
      </c>
      <c r="HJ91" s="166">
        <f ca="1">IF(AND(Control!$C$62="F",$CV91&gt;=Control!$C$102),$AH91,0)</f>
        <v>0</v>
      </c>
      <c r="HK91" s="165" t="e">
        <f t="shared" ca="1" si="445"/>
        <v>#N/A</v>
      </c>
      <c r="HL91" s="166">
        <f ca="1">IF(AND(Control!$C$61="T",$HE91&gt;=Control!$C$103,Control!$C$114=0),$HF91,0)</f>
        <v>0</v>
      </c>
      <c r="HM91" s="201" t="e">
        <f t="shared" ca="1" si="290"/>
        <v>#DIV/0!</v>
      </c>
      <c r="HN91" s="215">
        <f t="shared" ca="1" si="409"/>
        <v>87</v>
      </c>
      <c r="HO91" s="216" t="e">
        <f ca="1">IF(AND($CP91&gt;=0, $CP91&lt;=90), Control!$C$152, Control!$C$152)</f>
        <v>#N/A</v>
      </c>
      <c r="HP91" s="216" t="e">
        <f t="shared" ca="1" si="291"/>
        <v>#N/A</v>
      </c>
      <c r="HQ91" s="217" t="e">
        <f ca="1">IF(OR(Control!$B$26=1,Control!$B$26=2),$KV91,$KS91)</f>
        <v>#DIV/0!</v>
      </c>
      <c r="HR91" s="218" t="e">
        <f t="shared" ca="1" si="446"/>
        <v>#DIV/0!</v>
      </c>
      <c r="HS91" s="216" t="e">
        <f ca="1">Control!$C$154*$HP91</f>
        <v>#N/A</v>
      </c>
      <c r="HT91" s="216" t="e">
        <f ca="1">Control!$C$155*$HP91</f>
        <v>#N/A</v>
      </c>
      <c r="HU91" s="217" t="e">
        <f ca="1">Control!$C$161*$FI91</f>
        <v>#N/A</v>
      </c>
      <c r="HV91" s="218" t="e">
        <f t="shared" ca="1" si="410"/>
        <v>#N/A</v>
      </c>
      <c r="HW91" s="218" t="e">
        <f ca="1">Control!$C$160*$FF91+$IP91*$EO91</f>
        <v>#N/A</v>
      </c>
      <c r="HX91" s="218" t="e">
        <f t="shared" ca="1" si="447"/>
        <v>#N/A</v>
      </c>
      <c r="HY91" s="219" t="e">
        <f ca="1">IF(Control!$C$114=1, $EB91*$FS91, 0)</f>
        <v>#N/A</v>
      </c>
      <c r="HZ91" s="91" t="e">
        <f t="shared" ca="1" si="292"/>
        <v>#N/A</v>
      </c>
      <c r="IA91" s="220" t="e">
        <f ca="1">Control!$C$153*$HO91</f>
        <v>#N/A</v>
      </c>
      <c r="IB91" s="218" t="e">
        <f t="shared" ca="1" si="293"/>
        <v>#N/A</v>
      </c>
      <c r="IC91" s="220" t="e">
        <f ca="1">Control!$C$153*$HT91</f>
        <v>#N/A</v>
      </c>
      <c r="ID91" s="218" t="e">
        <f t="shared" ca="1" si="294"/>
        <v>#N/A</v>
      </c>
      <c r="IE91" s="221" t="e">
        <f ca="1">($EB91*Control!$C$159+$EF91*Control!$C$160)/(IF($GZ91&lt;&gt;0,$GZ91,1))</f>
        <v>#N/A</v>
      </c>
      <c r="IF91" s="216" t="e">
        <f t="shared" ca="1" si="295"/>
        <v>#N/A</v>
      </c>
      <c r="IG91" s="91">
        <f ca="1">IF(OR(Control!$B$198=$AH91,Control!$B$199=$AH91, Control!$B$200=$AH91, Control!$B$201=$AH91, Control!$B$202=$AH91, Control!$B$203=$AH91, Control!$B$204=$AH91, Control!$B$205=$AH91, Control!$B$206=$AH91, Control!$B$207=$AH91), 1, 0)</f>
        <v>0</v>
      </c>
      <c r="IH91" s="91">
        <f ca="1">IF($IG91=0,0, VLOOKUP($AH91,Control!$B$198:$C$207,2))</f>
        <v>0</v>
      </c>
      <c r="II91" s="222">
        <f t="shared" ca="1" si="411"/>
        <v>0</v>
      </c>
      <c r="IJ91" s="91">
        <f>Control!$C$121</f>
        <v>0.7</v>
      </c>
      <c r="IK91" s="218">
        <f t="shared" ca="1" si="296"/>
        <v>0</v>
      </c>
      <c r="IL91" s="217" t="e">
        <f t="shared" ca="1" si="448"/>
        <v>#N/A</v>
      </c>
      <c r="IM91" s="223" t="e">
        <f ca="1">IF(AND(Control!$C$114=1,$KH91&lt;1),$EB91*Control!$C$148*(1-$KH91), 0)</f>
        <v>#N/A</v>
      </c>
      <c r="IN91" s="217" t="e">
        <f t="shared" ca="1" si="297"/>
        <v>#DIV/0!</v>
      </c>
      <c r="IO91" s="91" t="e">
        <f ca="1">MAX(0,$IL91-$EF91*Control!$C$160)</f>
        <v>#N/A</v>
      </c>
      <c r="IP91" s="220" t="e">
        <f t="shared" ca="1" si="298"/>
        <v>#N/A</v>
      </c>
      <c r="IQ91" s="217" t="e">
        <f t="shared" ca="1" si="412"/>
        <v>#N/A</v>
      </c>
      <c r="IR91" s="218" t="e">
        <f t="shared" ca="1" si="299"/>
        <v>#N/A</v>
      </c>
      <c r="IS91" s="217" t="e">
        <f ca="1">Control!$C$159*MAX(0,$FD91-$EN91)</f>
        <v>#N/A</v>
      </c>
      <c r="IT91" s="217" t="e">
        <f t="shared" ca="1" si="449"/>
        <v>#N/A</v>
      </c>
      <c r="IU91" s="217" t="e">
        <f t="shared" ca="1" si="413"/>
        <v>#N/A</v>
      </c>
      <c r="IV91" s="217" t="e">
        <f t="shared" ca="1" si="450"/>
        <v>#N/A</v>
      </c>
      <c r="IW91" s="217" t="e">
        <f ca="1">IF(OR($AW91=1,AND($AW91=0, Control!$B$18=1,$EN91&lt;&gt;0)), $IQ91-$IU91, $IQ91)</f>
        <v>#N/A</v>
      </c>
      <c r="IX91" s="218" t="e">
        <f t="shared" ca="1" si="300"/>
        <v>#N/A</v>
      </c>
      <c r="IY91" s="218" t="e">
        <f ca="1">MAX(0,$IQ91-$EB91*Control!$C$159)</f>
        <v>#N/A</v>
      </c>
      <c r="IZ91" s="218" t="e">
        <f t="shared" ca="1" si="301"/>
        <v>#N/A</v>
      </c>
      <c r="JA91" s="216" t="e">
        <f t="shared" ca="1" si="302"/>
        <v>#N/A</v>
      </c>
      <c r="JB91" s="217" t="e">
        <f t="shared" ca="1" si="303"/>
        <v>#N/A</v>
      </c>
      <c r="JC91" s="222" t="e">
        <f ca="1">MAX(Control!$C$157*$EK91-$JT91, 0)/Control!$C$162</f>
        <v>#N/A</v>
      </c>
      <c r="JD91" s="218" t="e">
        <f t="shared" ca="1" si="304"/>
        <v>#N/A</v>
      </c>
      <c r="JE91" s="218" t="e">
        <f t="shared" ca="1" si="305"/>
        <v>#N/A</v>
      </c>
      <c r="JF91" s="218" t="e">
        <f t="shared" ca="1" si="414"/>
        <v>#N/A</v>
      </c>
      <c r="JG91" s="218" t="e">
        <f t="shared" ca="1" si="306"/>
        <v>#N/A</v>
      </c>
      <c r="JH91" s="217" t="e">
        <f t="shared" ca="1" si="415"/>
        <v>#N/A</v>
      </c>
      <c r="JI91" s="217" t="e">
        <f t="shared" ca="1" si="416"/>
        <v>#N/A</v>
      </c>
      <c r="JJ91" s="217" t="e">
        <f t="shared" ca="1" si="451"/>
        <v>#N/A</v>
      </c>
      <c r="JK91" s="217" t="e">
        <f ca="1">IF(Control!$C$114=1,IF(Control!$B$24=0,MAX(0,$JI91)*$GN91/Control!$C$64,(MAX(0,MIN($JI91,$JJ91*$GN91/Control!$C$64),0))))</f>
        <v>#N/A</v>
      </c>
      <c r="JL91" s="217" t="e">
        <f ca="1">$IK91/Control!$C$64-$JK91+$HQ91</f>
        <v>#N/A</v>
      </c>
      <c r="JM91" s="217" t="e">
        <f ca="1">IF(Control!$C$114=1,($JB91/(IF($JI91&lt;&gt;0,$JI91,1)))*$JK91,0)</f>
        <v>#N/A</v>
      </c>
      <c r="JN91" s="217" t="e">
        <f ca="1">IF(Control!$C$114=1,($JG91/(IF($JI91&lt;&gt;0,$JI91,1)))*$JK91, 0)</f>
        <v>#N/A</v>
      </c>
      <c r="JO91" s="218" t="e">
        <f t="shared" ca="1" si="307"/>
        <v>#N/A</v>
      </c>
      <c r="JP91" s="218" t="e">
        <f ca="1">MIN(($IY91+$IO91)*Control!$C$151, $JF91-$EH91*Control!$C$161)</f>
        <v>#N/A</v>
      </c>
      <c r="JQ91" s="218" t="e">
        <f t="shared" ca="1" si="308"/>
        <v>#N/A</v>
      </c>
      <c r="JR91" s="217" t="e">
        <f ca="1">IF($CP91-Control!$C$150&lt;0, 0, $JQ91/Control!$C$162)</f>
        <v>#N/A</v>
      </c>
      <c r="JS91" s="218" t="e">
        <f t="shared" ca="1" si="309"/>
        <v>#N/A</v>
      </c>
      <c r="JT91" s="218" t="e">
        <f t="shared" ca="1" si="417"/>
        <v>#N/A</v>
      </c>
      <c r="JU91" s="218" t="e">
        <f t="shared" ca="1" si="310"/>
        <v>#N/A</v>
      </c>
      <c r="JV91" s="218" t="e">
        <f t="shared" ca="1" si="311"/>
        <v>#N/A</v>
      </c>
      <c r="JW91" s="216" t="e">
        <f t="shared" ca="1" si="312"/>
        <v>#N/A</v>
      </c>
      <c r="JX91" s="91" t="e">
        <f t="shared" ca="1" si="313"/>
        <v>#N/A</v>
      </c>
      <c r="JY91" s="218" t="e">
        <f t="shared" ca="1" si="314"/>
        <v>#N/A</v>
      </c>
      <c r="JZ91" s="217" t="e">
        <f ca="1">IF(Control!$C$114=1,($IZ91/(IF($JI91&lt;&gt;0,$JI91,1)))*$JK91, 0)</f>
        <v>#N/A</v>
      </c>
      <c r="KA91" s="218" t="e">
        <f t="shared" ca="1" si="452"/>
        <v>#N/A</v>
      </c>
      <c r="KB91" s="218" t="e">
        <f t="shared" ca="1" si="418"/>
        <v>#N/A</v>
      </c>
      <c r="KC91" s="218" t="e">
        <f t="shared" ca="1" si="315"/>
        <v>#N/A</v>
      </c>
      <c r="KD91" s="218" t="e">
        <f t="shared" ca="1" si="316"/>
        <v>#N/A</v>
      </c>
      <c r="KE91" s="218" t="e">
        <f t="shared" ca="1" si="317"/>
        <v>#N/A</v>
      </c>
      <c r="KF91" s="218" t="e">
        <f t="shared" ca="1" si="318"/>
        <v>#N/A</v>
      </c>
      <c r="KG91" s="216" t="e">
        <f t="shared" ca="1" si="319"/>
        <v>#N/A</v>
      </c>
      <c r="KH91" s="221" t="e">
        <f ca="1">IF(Control!$B$24=0,1,MAX(0.001,MIN(1,IF(($IF91-$IE91)&lt;&gt;0,($KG91-$IE91)/($IF91-$IE91),1))))</f>
        <v>#N/A</v>
      </c>
      <c r="KI91" s="222" t="e">
        <f ca="1">IF(Control!$C$114=1, $KI90+ $KH90, 0)</f>
        <v>#N/A</v>
      </c>
      <c r="KJ91" s="217" t="e">
        <f t="shared" ca="1" si="320"/>
        <v>#N/A</v>
      </c>
      <c r="KK91" s="218" t="e">
        <f t="shared" ca="1" si="321"/>
        <v>#N/A</v>
      </c>
      <c r="KL91" s="274" t="e">
        <f ca="1">IF(Control!$B$26=3,4000000000*EXP(-8400/($G91+273)),IF(Control!$B$26=4,4000000000*EXP(-8400/($G91+273))*($KT91),0))</f>
        <v>#DIV/0!</v>
      </c>
      <c r="KM91" s="274" t="e">
        <f ca="1">IF(Control!$B$26=3,5600000000000*EXP(-9800/($G91+273)),IF(Control!$B$26=4,5600000000000*EXP(-9800/($G91+273))*$KT91,0))</f>
        <v>#DIV/0!</v>
      </c>
      <c r="KN91" s="454" t="e">
        <f t="shared" ca="1" si="419"/>
        <v>#DIV/0!</v>
      </c>
      <c r="KO91" s="274" t="e">
        <f t="shared" ca="1" si="420"/>
        <v>#DIV/0!</v>
      </c>
      <c r="KP91" s="454" t="e">
        <f t="shared" ca="1" si="322"/>
        <v>#DIV/0!</v>
      </c>
      <c r="KQ91" s="454" t="e">
        <f t="shared" ca="1" si="323"/>
        <v>#DIV/0!</v>
      </c>
      <c r="KR91" s="454" t="e">
        <f t="shared" ca="1" si="324"/>
        <v>#DIV/0!</v>
      </c>
      <c r="KS91" s="454" t="e">
        <f t="shared" ca="1" si="325"/>
        <v>#DIV/0!</v>
      </c>
      <c r="KT91" s="455" t="e">
        <f t="shared" ca="1" si="326"/>
        <v>#DIV/0!</v>
      </c>
      <c r="KU91" s="456" t="e">
        <f ca="1">IF($CP91-Control!$C$149&lt;0, IF($NT91-0.01&lt;0,0,1),0)</f>
        <v>#N/A</v>
      </c>
      <c r="KV91" s="456" t="e">
        <f ca="1">IF(Control!$C$114=1,MAX(0,MIN(Control!$C$125*$KW91*$GN91,$KW91)))</f>
        <v>#DIV/0!</v>
      </c>
      <c r="KW91" s="456" t="e">
        <f t="shared" ca="1" si="453"/>
        <v>#DIV/0!</v>
      </c>
      <c r="KX91" s="457" t="e">
        <f ca="1">IF($CP91-Control!$C$149&lt;0, IF($MR91-$OM91&lt;0,0,1),0)</f>
        <v>#N/A</v>
      </c>
      <c r="KY91" s="167">
        <f t="shared" ca="1" si="421"/>
        <v>87</v>
      </c>
      <c r="KZ91" s="168">
        <f ca="1">1370*(1+0.033*COS(2*Control!$C$138*$AH91/365))</f>
        <v>1373.3044729151711</v>
      </c>
      <c r="LA91" s="169">
        <f t="shared" ca="1" si="422"/>
        <v>1.0024121392866365</v>
      </c>
      <c r="LB91" s="169">
        <f t="shared" ca="1" si="423"/>
        <v>4.3938147821643299E-2</v>
      </c>
      <c r="LC91" s="169">
        <f ca="1">ACOS(-TAN((2*Control!$B$8/360))*TAN(Calculations!$LB91))</f>
        <v>1.5838636637373371</v>
      </c>
      <c r="LD91" s="169">
        <f ca="1">((24*60)/PI())*0.082*$LA91*(($LC91*SIN(Control!$B$8*2*PI()/360))*SIN($LB91)+COS(Control!$B$8*2*PI()/360)*COS($LB91)*SIN($LC91))</f>
        <v>25.237221213314228</v>
      </c>
      <c r="LE91" s="170">
        <f t="shared" ca="1" si="327"/>
        <v>25.102564873460292</v>
      </c>
      <c r="LF91" s="170">
        <f ca="1">SIN(Control!$C$139*Control!$B$8)*SIN($HD91)</f>
        <v>3.099012820874757E-2</v>
      </c>
      <c r="LG91" s="170">
        <f ca="1">COS(Control!$C$139*Control!$B$8)*COS($HD91)</f>
        <v>0.61518352567983181</v>
      </c>
      <c r="LH91" s="170">
        <f ca="1">12*(1+2*ASIN(MAX(-1,MIN(1,$LF91/$LG91))/Control!$C$138))</f>
        <v>12.384855451160551</v>
      </c>
      <c r="LI91" s="170">
        <f ca="1">12*(1+2*ASIN(MAX(-1,MIN(1,(-SIN(-4*Control!$C$139)+$LF91)/$LG91))/Control!$C$138))</f>
        <v>13.251652158710272</v>
      </c>
      <c r="LJ91" s="168">
        <f ca="1">3600*($LH91*$LF91+24*$LG91*SQRT(1-$LK91*$LK91)/Control!$C$138)</f>
        <v>18278.950785162757</v>
      </c>
      <c r="LK91" s="170">
        <f t="shared" ca="1" si="328"/>
        <v>5.0375419553865257E-2</v>
      </c>
      <c r="LL91" s="170">
        <f t="shared" ca="1" si="329"/>
        <v>0</v>
      </c>
      <c r="LM91" s="171">
        <f ca="1">Control!$C$145*$AB91</f>
        <v>6.6660906138995932E-2</v>
      </c>
      <c r="LN91" s="170">
        <f t="shared" ca="1" si="424"/>
        <v>0.54</v>
      </c>
      <c r="LO91" s="170">
        <f t="shared" ca="1" si="330"/>
        <v>0</v>
      </c>
      <c r="LP91" s="170">
        <f ca="1">Control!$C$140*((($D91+273.16)^4+($E91+273.16)^4)/2)*(0.34-0.14*SQRT($Y91))*(1.35*$AQ91/(0.75*$LD91)-0.35)</f>
        <v>-3.2464704755046001</v>
      </c>
      <c r="LQ91" s="170">
        <f ca="1">Control!$C$140*($G91+273)^4*(0.56-0.079*SQRT($Y91*10))*(0.1+0.9*$LO91)</f>
        <v>1.5241745131704001</v>
      </c>
      <c r="LR91" s="170">
        <f ca="1">$AQ91*(1-Control!$C$142)-$LQ91</f>
        <v>-1.5241745131704001</v>
      </c>
      <c r="LS91" s="170">
        <f ca="1">$AQ91*(1-Control!$C$143)-$LQ91</f>
        <v>-1.5241745131704001</v>
      </c>
      <c r="LT91" s="170">
        <f ca="1">$AQ91*(1-Control!$C$144)-$LQ91</f>
        <v>-1.5241745131704001</v>
      </c>
      <c r="LU91" s="169">
        <f ca="1">(1-Control!$C$144)*AQ91-LP91</f>
        <v>3.2464704755046001</v>
      </c>
      <c r="LV91" s="172">
        <f t="shared" ca="1" si="331"/>
        <v>0.79430000000000012</v>
      </c>
      <c r="LW91" s="170">
        <f t="shared" ca="1" si="332"/>
        <v>1.5886000000000002</v>
      </c>
      <c r="LX91" s="170">
        <f ca="1">($AC91*($LR91/Control!$C$141)+$LM91*$LV91)/($AC91+$LM91)</f>
        <v>0.23530094218323697</v>
      </c>
      <c r="LY91" s="170">
        <f ca="1">($AC91*($LS91/Control!$C$141)+$LM91*$LV91)/($AC91+$LM91)</f>
        <v>0.23530094218323697</v>
      </c>
      <c r="LZ91" s="170">
        <f t="shared" ca="1" si="333"/>
        <v>0.23530094218323697</v>
      </c>
      <c r="MA91" s="170">
        <f t="shared" ca="1" si="334"/>
        <v>0.23530094218323697</v>
      </c>
      <c r="MB91" s="170" t="e">
        <f t="shared" ca="1" si="335"/>
        <v>#N/A</v>
      </c>
      <c r="MC91" s="170">
        <f t="shared" ca="1" si="425"/>
        <v>0.6018</v>
      </c>
      <c r="MD91" s="170">
        <f t="shared" ca="1" si="336"/>
        <v>0.52989392535414004</v>
      </c>
      <c r="ME91" s="170">
        <f ca="1">($AC91*($LT91/Control!$C$141)+$LM91*$LW91)/($AC91+$LM91)</f>
        <v>0.71612369323045078</v>
      </c>
      <c r="MF91" s="170" t="e">
        <f ca="1">IF(Control!$B$16&gt;=1000,0.92,IF(AND(720&lt;=Control!$B$16,1000&gt;Control!$B$16),(0.95+(Control!$B$16-720)*((0.92-0.95)/(1000-720))),IF(AND(360&lt;=Control!$B$16,720&gt;Control!$B$16),(1+(Control!$B$16-360)*((0.95-1)/(720-360))),IF(AND(40&lt;=Control!$B$16,360&gt;Control!$B$16),(1.05+(Control!$B$16-40)*((1.05-1)/(360-40)))))))</f>
        <v>#N/A</v>
      </c>
      <c r="MG91" s="170">
        <f t="shared" ca="1" si="337"/>
        <v>0.71612369323045078</v>
      </c>
      <c r="MH91" s="170" t="e">
        <f t="shared" ca="1" si="462"/>
        <v>#N/A</v>
      </c>
      <c r="MI91" s="170" t="e">
        <f t="shared" ca="1" si="462"/>
        <v>#N/A</v>
      </c>
      <c r="MJ91" s="170" t="e">
        <f ca="1">MAX(0.0001, Control!$C$132*$MI91*$DL91)</f>
        <v>#N/A</v>
      </c>
      <c r="MK91" s="170">
        <f ca="1">1/(0.76+1.5*($MG91/10))-(5-Control!$C$110)*0.1</f>
        <v>1.002845988140797</v>
      </c>
      <c r="ML91" s="173">
        <f ca="1">IF(Control!$C$110&lt;3,$MK91+($MG91-0.6)/(Control!$C$110*(Control!$C$110+3)), MAX(0.1, MIN(0.95,$MK91)))</f>
        <v>0.95</v>
      </c>
      <c r="MM91" s="173">
        <f ca="1">IF(Control!$C$110&lt;3,$MK91+(($MI91/10)-0.6)/(Control!$C$110*(Control!$C$110+3)), MAX(0.1, MIN(0.95,$MK91)))</f>
        <v>0.95</v>
      </c>
      <c r="MN91" s="173">
        <f ca="1">(1-$MM91)*(Control!$C$128-Control!$C$127)+Control!$C$127</f>
        <v>0.16</v>
      </c>
      <c r="MO91" s="170" t="e">
        <f ca="1">MAX(0,MIN(1,($MS91-Control!$C$127)/($MN91-Control!$C$127)))</f>
        <v>#DIV/0!</v>
      </c>
      <c r="MP91" s="173" t="e">
        <f ca="1">1/(0.76+1.5*$MI91)-(5-Control!$C$110)*0.1</f>
        <v>#N/A</v>
      </c>
      <c r="MQ91" s="172" t="e">
        <f t="shared" ca="1" si="454"/>
        <v>#DIV/0!</v>
      </c>
      <c r="MR91" s="168" t="e">
        <f t="shared" ca="1" si="426"/>
        <v>#DIV/0!</v>
      </c>
      <c r="MS91" s="173" t="e">
        <f ca="1">MAX(Control!$C$127, MIN(Control!$C$135, $MR91/MAX(0.0001,$CY91)))</f>
        <v>#DIV/0!</v>
      </c>
      <c r="MT91" s="168" t="e">
        <f ca="1">(Control!$C$128-$MS91)*Control!$C$74</f>
        <v>#DIV/0!</v>
      </c>
      <c r="MU91" s="168" t="e">
        <f ca="1">(Control!$C$135-$MS91)*Control!$C$74</f>
        <v>#DIV/0!</v>
      </c>
      <c r="MV91" s="168" t="e">
        <f t="shared" ca="1" si="427"/>
        <v>#DIV/0!</v>
      </c>
      <c r="MW91" s="168" t="e">
        <f t="shared" ca="1" si="428"/>
        <v>#DIV/0!</v>
      </c>
      <c r="MX91" s="171" t="e">
        <f ca="1">MAX(Control!$C$127, MIN(Control!$C$135, $MW91/MAX(0.0001,Control!$C$119-$CY91)))</f>
        <v>#DIV/0!</v>
      </c>
      <c r="MY91" s="54" t="e">
        <f ca="1">IF(Control!$C$114=1, $CX91*$MX91, 0)</f>
        <v>#DIV/0!</v>
      </c>
      <c r="MZ91" s="54" t="e">
        <f t="shared" ca="1" si="429"/>
        <v>#N/A</v>
      </c>
      <c r="NA91" s="168" t="e">
        <f ca="1">(Control!$C$128-$MX91)*(Control!$C$119-Control!$C$74)</f>
        <v>#DIV/0!</v>
      </c>
      <c r="NB91" s="168" t="e">
        <f ca="1">(Control!$C$135-$MX91)*(Control!$C$119-Control!$C$74)</f>
        <v>#DIV/0!</v>
      </c>
      <c r="NC91" s="174" t="e">
        <f t="shared" ca="1" si="430"/>
        <v>#DIV/0!</v>
      </c>
      <c r="ND91" s="54">
        <f ca="1">IF(Control!$C$58=2, IF(OR(Control!$B$218=$AH91,Control!$B$219=$AH91, Control!$B$220=$AH91, Control!$B$221=$AH91, Control!$B$222=$AH91, Control!$B$223=$AH91, Control!$B$224=$AH91, Control!$B$225=$AH91, Control!$B$226=$AH91, Control!$B$227=$AH91, Control!$B$228=$AH91), 1, 0), 0)</f>
        <v>0</v>
      </c>
      <c r="NE91" s="54">
        <f ca="1">IF($ND91=0,0, VLOOKUP($AH91,Control!$B$218:$C$228,2))</f>
        <v>0</v>
      </c>
      <c r="NF91" s="168" t="e">
        <f ca="1">$CY91*(Control!$C$128-Control!$C$127)</f>
        <v>#N/A</v>
      </c>
      <c r="NG91" s="54" t="e">
        <f ca="1">IF(Control!$C$58=2, $NI90-$NJ90, 0)</f>
        <v>#DIV/0!</v>
      </c>
      <c r="NH91" s="54" t="e">
        <f ca="1">IF(AND(Control!$C$58=1, $MS90&lt;= ($MN90+0.02), $I90&lt;10), 0, IF(Control!$C$58=2, $NG90, 0))</f>
        <v>#DIV/0!</v>
      </c>
      <c r="NI91" s="54" t="e">
        <f ca="1">IF(Control!$C$58=2, $NE91+$NH91,0)</f>
        <v>#DIV/0!</v>
      </c>
      <c r="NJ91" s="54" t="e">
        <f ca="1">IF(AND(Control!$C$58=1, $MS91&lt;= ($MN91+0.02), $I91&lt;10), MAX(0, MIN(10, 0.7*($NF91-$MV91))), IF(Control!$C$58=2, MIN(10,$NI91),0))</f>
        <v>#DIV/0!</v>
      </c>
      <c r="NK91" s="54" t="e">
        <f t="shared" ca="1" si="338"/>
        <v>#DIV/0!</v>
      </c>
      <c r="NL91" s="173" t="e">
        <f ca="1">(1-Control!$C$73)*$I91+$NJ91</f>
        <v>#DIV/0!</v>
      </c>
      <c r="NM91" s="172" t="e">
        <f ca="1">IF($NL91&lt;0.5, $MB91* MAX(0, MIN(1, (SQRT($NC91)-SQRT($NC91-1))*Control!$C$71)),0)</f>
        <v>#DIV/0!</v>
      </c>
      <c r="NN91" s="170" t="e">
        <f ca="1">IF($NL91&gt;=5, $MB91, MAX(0,MIN($MB91, $NM91+$NL91,($MS91-Control!$C$129))))</f>
        <v>#DIV/0!</v>
      </c>
      <c r="NO91" s="54">
        <f>IF(Control!$C$133&lt;&gt;1, Control!$C$135-Control!$C$131, 0)</f>
        <v>0.38</v>
      </c>
      <c r="NP91" s="54" t="e">
        <f t="shared" ca="1" si="339"/>
        <v>#DIV/0!</v>
      </c>
      <c r="NQ91" s="173" t="e">
        <f ca="1">MAX(0,MIN(1,(Control!$C$135-$MS91)/(Control!$C$135-$NO91)))</f>
        <v>#DIV/0!</v>
      </c>
      <c r="NR91" s="170" t="e">
        <f ca="1">IF(Control!$C$133&lt;&gt;1, $NQ91+((1-$NP91/4)*(1-$NQ91)),1)</f>
        <v>#DIV/0!</v>
      </c>
      <c r="NS91" s="170" t="e">
        <f ca="1">IF(Control!$B$31=0,$MJ91,MAX(0,MIN($MV91,$MO91*$NR91*$MJ91)))</f>
        <v>#DIV/0!</v>
      </c>
      <c r="NT91" s="170" t="e">
        <f t="shared" ca="1" si="455"/>
        <v>#DIV/0!</v>
      </c>
      <c r="NU91" s="170" t="e">
        <f t="shared" ca="1" si="431"/>
        <v>#N/A</v>
      </c>
      <c r="NV91" s="170" t="e">
        <f t="shared" ca="1" si="340"/>
        <v>#N/A</v>
      </c>
      <c r="NW91" s="175" t="e">
        <f t="shared" ca="1" si="341"/>
        <v>#DIV/0!</v>
      </c>
      <c r="NX91" s="170" t="e">
        <f ca="1">MIN(Control!$C$72+$MU91, $NW91)</f>
        <v>#DIV/0!</v>
      </c>
      <c r="NY91" s="170" t="e">
        <f ca="1">IF($MT91&lt;=$NX91,MIN(Control!$C$72+$NB91,$NX91-$MT91),0)</f>
        <v>#DIV/0!</v>
      </c>
      <c r="NZ91" s="54" t="e">
        <f ca="1">IF(Control!$C$114=1,  $CX91*($MX91-Control!$C$127), 0)</f>
        <v>#DIV/0!</v>
      </c>
      <c r="OA91" s="170" t="e">
        <f t="shared" ca="1" si="342"/>
        <v>#DIV/0!</v>
      </c>
      <c r="OB91" s="170" t="e">
        <f ca="1">IF($NA91 &lt;=$NY91, MIN(Control!$C$72, $NY91-$NA91), 0)</f>
        <v>#DIV/0!</v>
      </c>
      <c r="OC91" s="168" t="e">
        <f t="shared" ca="1" si="343"/>
        <v>#DIV/0!</v>
      </c>
      <c r="OD91" s="168" t="e">
        <f t="shared" ca="1" si="432"/>
        <v>#DIV/0!</v>
      </c>
      <c r="OE91" s="170">
        <f ca="1">Control!$C$73*$I91</f>
        <v>0</v>
      </c>
      <c r="OF91" s="176" t="e">
        <f t="shared" ca="1" si="344"/>
        <v>#DIV/0!</v>
      </c>
      <c r="OG91" s="168" t="e">
        <f t="shared" ca="1" si="345"/>
        <v>#DIV/0!</v>
      </c>
      <c r="OH91" s="168" t="e">
        <f t="shared" ca="1" si="346"/>
        <v>#DIV/0!</v>
      </c>
      <c r="OI91" s="168" t="e">
        <f t="shared" ca="1" si="347"/>
        <v>#DIV/0!</v>
      </c>
      <c r="OJ91" s="168" t="e">
        <f t="shared" ca="1" si="348"/>
        <v>#DIV/0!</v>
      </c>
      <c r="OK91" s="204" t="e">
        <f t="shared" ca="1" si="349"/>
        <v>#DIV/0!</v>
      </c>
      <c r="OL91" s="177">
        <f>Control!$C$127</f>
        <v>0.15</v>
      </c>
      <c r="OM91" s="182" t="e">
        <f t="shared" ca="1" si="350"/>
        <v>#N/A</v>
      </c>
      <c r="ON91" s="177">
        <f>Control!$C$128</f>
        <v>0.35</v>
      </c>
      <c r="OO91" s="182" t="e">
        <f t="shared" ca="1" si="351"/>
        <v>#N/A</v>
      </c>
      <c r="OP91" s="138">
        <f t="shared" ca="1" si="433"/>
        <v>0</v>
      </c>
      <c r="OQ91" s="138" t="e">
        <f t="shared" ca="1" si="456"/>
        <v>#DIV/0!</v>
      </c>
      <c r="OR91" s="138" t="e">
        <f t="shared" ca="1" si="434"/>
        <v>#DIV/0!</v>
      </c>
      <c r="OS91" s="137" t="e">
        <f t="shared" ca="1" si="457"/>
        <v>#DIV/0!</v>
      </c>
      <c r="OT91" s="139" t="e">
        <f t="shared" ca="1" si="458"/>
        <v>#DIV/0!</v>
      </c>
      <c r="OU91" s="138" t="e">
        <f t="shared" ca="1" si="459"/>
        <v>#N/A</v>
      </c>
      <c r="OV91" s="138" t="e">
        <f t="shared" ca="1" si="460"/>
        <v>#DIV/0!</v>
      </c>
      <c r="OW91" s="138" t="e">
        <f t="shared" ca="1" si="435"/>
        <v>#DIV/0!</v>
      </c>
      <c r="OX91" s="138" t="e">
        <f t="shared" ca="1" si="436"/>
        <v>#DIV/0!</v>
      </c>
      <c r="OY91" s="138" t="e">
        <f t="shared" ca="1" si="437"/>
        <v>#DIV/0!</v>
      </c>
      <c r="OZ91" s="138" t="e">
        <f t="shared" ca="1" si="352"/>
        <v>#DIV/0!</v>
      </c>
      <c r="PA91" s="138" t="e">
        <f t="shared" ca="1" si="353"/>
        <v>#DIV/0!</v>
      </c>
      <c r="PB91" s="55">
        <f>IF(Control!$C$61="T", IF(Control!$C$65="F", IF($AH$6-Control!$C$60&lt;0,0,1), IF(365+$AH$6-Control!$C$60&lt;0,0,1)),0)</f>
        <v>0</v>
      </c>
      <c r="PC91" s="55">
        <f ca="1">IF(Control!$C$65="F", IF($AH$6-$HF91&lt;0,0,1), IF(365+$AH$6-$HF91&lt;0,0,1))</f>
        <v>1</v>
      </c>
      <c r="PD91" s="444">
        <f>Control!$C$118</f>
        <v>1500</v>
      </c>
      <c r="PE91" s="180" t="e">
        <f t="shared" ca="1" si="354"/>
        <v>#N/A</v>
      </c>
      <c r="PF91" s="445">
        <f t="shared" ca="1" si="438"/>
        <v>0.71612369323045078</v>
      </c>
      <c r="PT91" s="186"/>
      <c r="PU91" s="186"/>
      <c r="PV91" s="94"/>
      <c r="PW91" s="94"/>
      <c r="PX91" s="94"/>
      <c r="PY91" s="94"/>
      <c r="PZ91" s="94"/>
      <c r="QA91" s="94"/>
      <c r="QB91" s="94"/>
      <c r="QC91" s="94"/>
      <c r="QD91" s="94"/>
      <c r="QE91" s="94"/>
      <c r="QF91" s="94"/>
      <c r="QG91" s="94"/>
      <c r="QH91" s="94"/>
      <c r="QI91" s="94"/>
      <c r="QJ91" s="94"/>
      <c r="QK91" s="94"/>
      <c r="QL91" s="94"/>
      <c r="QM91" s="94"/>
      <c r="QN91" s="94"/>
      <c r="QO91" s="94"/>
      <c r="QP91" s="94"/>
    </row>
    <row r="92" spans="1:458" s="2" customFormat="1" x14ac:dyDescent="0.2">
      <c r="A92" s="395">
        <v>28</v>
      </c>
      <c r="B92" s="396">
        <v>3</v>
      </c>
      <c r="C92" s="387">
        <f ca="1">Weather_data!$B91</f>
        <v>0</v>
      </c>
      <c r="D92" s="388">
        <f ca="1">Weather_data!$F91</f>
        <v>0</v>
      </c>
      <c r="E92" s="388">
        <f ca="1">Weather_data!$E91</f>
        <v>0</v>
      </c>
      <c r="F92" s="388">
        <f t="shared" ca="1" si="355"/>
        <v>0</v>
      </c>
      <c r="G92" s="388">
        <f ca="1">AVERAGE($D92:$E92)+Control!$B$9</f>
        <v>0</v>
      </c>
      <c r="H92" s="388">
        <f ca="1">Weather_data!$G91</f>
        <v>0</v>
      </c>
      <c r="I92" s="388">
        <f ca="1">Weather_data!$I91</f>
        <v>0</v>
      </c>
      <c r="J92" s="388">
        <f ca="1">Weather_data!$H91</f>
        <v>0</v>
      </c>
      <c r="K92" s="389">
        <f ca="1">Weather_data!$D91</f>
        <v>0</v>
      </c>
      <c r="L92" s="388" t="e">
        <f t="shared" ca="1" si="356"/>
        <v>#N/A</v>
      </c>
      <c r="M92" s="388" t="e">
        <f t="shared" ca="1" si="234"/>
        <v>#N/A</v>
      </c>
      <c r="N92" s="388">
        <f t="shared" ca="1" si="235"/>
        <v>-5.8053153517654624E-5</v>
      </c>
      <c r="O92" s="388">
        <f t="shared" ca="1" si="357"/>
        <v>5.8053153517654622E-4</v>
      </c>
      <c r="P92" s="390">
        <v>3</v>
      </c>
      <c r="Q92" s="388">
        <f ca="1">MAX($G92-Control!$C$107,0)</f>
        <v>0</v>
      </c>
      <c r="R92" s="388">
        <f t="shared" ca="1" si="358"/>
        <v>0</v>
      </c>
      <c r="S92" s="388">
        <f t="shared" ca="1" si="236"/>
        <v>0</v>
      </c>
      <c r="T92" s="388">
        <f t="shared" ca="1" si="237"/>
        <v>0</v>
      </c>
      <c r="U92" s="59">
        <f t="shared" ca="1" si="238"/>
        <v>0</v>
      </c>
      <c r="V92" s="391">
        <f ca="1">MAX(0,MIN(Control!$C$100-Control!$C$99,$G92-Control!$C$99)*Control!$C$63)</f>
        <v>0</v>
      </c>
      <c r="W92" s="388">
        <f t="shared" ca="1" si="359"/>
        <v>0</v>
      </c>
      <c r="X92" s="388">
        <f t="shared" ca="1" si="360"/>
        <v>0.6110000000000001</v>
      </c>
      <c r="Y92" s="388">
        <f t="shared" ca="1" si="239"/>
        <v>0</v>
      </c>
      <c r="Z92" s="388">
        <f t="shared" ca="1" si="361"/>
        <v>0.61058800000000002</v>
      </c>
      <c r="AA92" s="388">
        <f t="shared" ca="1" si="240"/>
        <v>0.6018</v>
      </c>
      <c r="AB92" s="388">
        <f ca="1">101.3*EXP(-0.034*Control!$C$66/($G92+273))</f>
        <v>100.69623283836242</v>
      </c>
      <c r="AC92" s="392">
        <f t="shared" ca="1" si="241"/>
        <v>4.3460251046025113E-2</v>
      </c>
      <c r="AD92" s="392">
        <f t="shared" ca="1" si="242"/>
        <v>4.4450382862832649E-2</v>
      </c>
      <c r="AE92" s="388">
        <f t="shared" ca="1" si="243"/>
        <v>0</v>
      </c>
      <c r="AF92" s="388">
        <f ca="1">MAX(0,$G92-Control!$C$92)</f>
        <v>0</v>
      </c>
      <c r="AG92" s="393">
        <f t="shared" ca="1" si="244"/>
        <v>88</v>
      </c>
      <c r="AH92" s="389">
        <f t="shared" ca="1" si="245"/>
        <v>88</v>
      </c>
      <c r="AI92" s="388">
        <f t="shared" ca="1" si="362"/>
        <v>4.6154060781535236E-2</v>
      </c>
      <c r="AJ92" s="388">
        <f ca="1">IF(Control!$C$60&lt;=0,$HH92,$HI92)</f>
        <v>1</v>
      </c>
      <c r="AK92" s="388">
        <f t="shared" ca="1" si="246"/>
        <v>0.13771365056831969</v>
      </c>
      <c r="AL92" s="388">
        <f t="shared" ca="1" si="247"/>
        <v>-5.4099363877568867E-18</v>
      </c>
      <c r="AM92" s="388">
        <f t="shared" ca="1" si="248"/>
        <v>0.13771365056831969</v>
      </c>
      <c r="AN92" s="388">
        <f t="shared" ca="1" si="249"/>
        <v>5.4636674748992795E-2</v>
      </c>
      <c r="AO92" s="388">
        <f ca="1">-0.10453/COS(Control!$B$8*PI()/180)*COS(AN92)</f>
        <v>-0.16953150924395052</v>
      </c>
      <c r="AP92" s="388">
        <f ca="1">ACOS(AO92-TAN(Control!$B$8*PI()/180)*TAN(AN92))</f>
        <v>1.8126810774780666</v>
      </c>
      <c r="AQ92" s="388">
        <f t="shared" ca="1" si="363"/>
        <v>0</v>
      </c>
      <c r="AR92" s="394">
        <f t="shared" ca="1" si="250"/>
        <v>0</v>
      </c>
      <c r="AS92" s="436">
        <f ca="1">IF(Control!$B$18=2,(IF(OR($AH92=Control!$B$175,$AH92=Control!$B$176,$AH92=Control!$B$177,$AH92=Control!$B$178,$AH92=Control!$B$179,$AH92=Control!$B$180,$AH92=Control!$B$181,$AH92=Control!$B$182,$AH92=Control!$B$183,$AH92=Control!$B$184,$AH92=Control!$B$185),1,0)),0)</f>
        <v>0</v>
      </c>
      <c r="AT92" s="436">
        <f>IF(Control!$B$20=8,IF(AND($AH92&gt;=Control!$B$172,$AH92&lt;=Control!$B$173),1,0),0)</f>
        <v>0</v>
      </c>
      <c r="AU92" s="436">
        <f>IF(Control!$B$20=8,IF($AV91=1,1*$AT92,IF($AT92=1,$AU91+1,$AU91)),0)</f>
        <v>0</v>
      </c>
      <c r="AV92" s="436">
        <f>IF(Control!$B$20=8,IF($AU92&gt;=Control!$B$174,1,0),0)</f>
        <v>0</v>
      </c>
      <c r="AW92" s="436">
        <f ca="1">IF(AND(Control!$B$18=2,Control!$B$171=1), $AV92, $AS92)</f>
        <v>0</v>
      </c>
      <c r="AX92" s="436" t="e">
        <f ca="1">IF(AND(Control!$B$18=1,$EU92&gt;=Control!$B$19),-$AY92,IF(AND(Control!$B$18=2,$AW92=1,$EU92&gt;$DS92),-$AY92, IF(Control!$C$108=0,0, IF(Control!$C$108&lt;&gt;0,1))))</f>
        <v>#N/A</v>
      </c>
      <c r="AY92" s="436" t="e">
        <f t="shared" ca="1" si="364"/>
        <v>#N/A</v>
      </c>
      <c r="AZ92" s="436" t="e">
        <f ca="1">IF(AND(Control!$B$18=1,$EB92&gt;Control!$B$19),$AZ91+1, IF(AND(Control!$B$18=2, $AW92=1, $EB92&gt;$DS92), $AZ91+1,$AZ91))</f>
        <v>#N/A</v>
      </c>
      <c r="BA92" s="587">
        <f>IF(Control!$C$81=0,1,IF($AH92&gt;=Control!$C$82,1,0))</f>
        <v>1</v>
      </c>
      <c r="BB92" s="140" t="e">
        <f ca="1">IF($BA92&gt;$BA91,Control!$C$83,IF($AW92&gt;0,$AW92*Control!$C$84,IF(AND(Control!$B$18=1,EN91&lt;&gt;0),Control!$C$84,0)))</f>
        <v>#N/A</v>
      </c>
      <c r="BC92" s="140" t="e">
        <f t="shared" ca="1" si="365"/>
        <v>#N/A</v>
      </c>
      <c r="BD92" s="140" t="e">
        <f ca="1">BC92*IF(OR($G92&lt;Control!$C$92,$G92&gt;Control!$C$95),0,IF(AND($G92&gt;=Control!$C$92,$G92&lt;=Control!$C$93),$G92-Control!$C$92,IF(AND($G92&gt;Control!$C$93,$G92&lt;=Control!$C$94),Control!$C$93-Control!$C$92,IF(AND($G92&gt;Control!$C$94,$G92&lt;=Control!$C$95),(Control!$C$93-Control!$C$92)*(Control!$C$94-$G92)/(Control!$C$95-Control!$C$94)))))</f>
        <v>#N/A</v>
      </c>
      <c r="BE92" s="140" t="e">
        <f t="shared" ca="1" si="366"/>
        <v>#N/A</v>
      </c>
      <c r="BF92" s="140" t="e">
        <f ca="1">IF($BE92&lt;=Control!$C$86,$BE92,Control!$C$86-$BE92)</f>
        <v>#N/A</v>
      </c>
      <c r="BG92" s="140" t="e">
        <f ca="1">IF(AND($AW92=1,Control!$C$84&lt;9),1,IF($BE92&gt;=Control!$C$86,0,$BC92))</f>
        <v>#N/A</v>
      </c>
      <c r="BH92" s="404" t="e">
        <f ca="1">IF($BG92=0,0,IF($BE92&lt;=Control!$C$86,$BC92*9*($BF92/Control!$C$86),0))</f>
        <v>#N/A</v>
      </c>
      <c r="BI92" s="140" t="e">
        <f ca="1">IF($BG92=1,0,IF($BE92&gt;=Control!$C$86,1,IF(AND($BB92&lt;21,$BB92&gt;=9),1,$BM91)))</f>
        <v>#N/A</v>
      </c>
      <c r="BJ92" s="140" t="e">
        <f ca="1">IF($BF92&lt;0,-$BF92,$BI92*IF(OR($G92&lt;Control!$C$92,$G92&gt;Control!$C$95),0,IF(AND($G92&gt;=Control!$C$92,$G92&lt;=Control!$C$93),$G92-Control!$C$92,IF(AND($G92&gt;Control!$C$93,$G92&lt;=Control!$C$94),Control!$C$93-Control!$C$92,IF(AND($G92&gt;Control!$C$94,$G92&lt;=Control!$C$95),(Control!$C$93-Control!$C$92)*(Control!$C$94-$G92)/(Control!$C$95-Control!$C$94))))))</f>
        <v>#N/A</v>
      </c>
      <c r="BK92" s="140" t="e">
        <f t="shared" ca="1" si="367"/>
        <v>#N/A</v>
      </c>
      <c r="BL92" s="140" t="e">
        <f ca="1">IF($BK92&lt;=Control!$C$87,$BK92,Control!$C$87-$BK92)</f>
        <v>#N/A</v>
      </c>
      <c r="BM92" s="140" t="e">
        <f ca="1">IF(AND($BB92&gt;=9,$BB92&lt;21),1,IF($BK92&gt;=Control!$C$87,0,$BI92))</f>
        <v>#N/A</v>
      </c>
      <c r="BN92" s="404" t="e">
        <f ca="1">IF($BM92=0,0,IF($BK92&lt;=Control!$C$87,$BI92*(9+(21-9)*($BL92/Control!$C$87)),0))</f>
        <v>#N/A</v>
      </c>
      <c r="BO92" s="140" t="e">
        <f ca="1">IF($BM92=1,0,IF($BK92&gt;=Control!$C$87,1,IF(AND($BB92&lt;30,$BB92&gt;=21),1,$BS91)))</f>
        <v>#N/A</v>
      </c>
      <c r="BP92" s="140" t="e">
        <f ca="1">IF($BL92&lt;0,-$BL92,$BO92*IF(OR($G92&lt;Control!$C$92,$G92&gt;Control!$C$95),0,IF(AND($G92&gt;=Control!$C$92,$G92&lt;=Control!$C$93),$G92-Control!$C$92,IF(AND($G92&gt;Control!$C$93,$G92&lt;=Control!$C$94),Control!$C$93-Control!$C$92,IF(AND($G92&gt;Control!$C$94,$G92&lt;=Control!$C$95),(Control!$C$93-Control!$C$92)*(Control!$C$94-$G92)/(Control!$C$95-Control!$C$94))))))</f>
        <v>#N/A</v>
      </c>
      <c r="BQ92" s="140" t="e">
        <f t="shared" ca="1" si="251"/>
        <v>#N/A</v>
      </c>
      <c r="BR92" s="140" t="e">
        <f ca="1">IF($BQ92&lt;=Control!$C$88,$BQ92,Control!$C$88-$BQ92)</f>
        <v>#N/A</v>
      </c>
      <c r="BS92" s="140" t="e">
        <f ca="1">IF(AND($BB92&gt;=21,$BB92&lt;30),1,IF($BQ92&gt;=Control!$C$88,0,$BO92))</f>
        <v>#N/A</v>
      </c>
      <c r="BT92" s="404" t="e">
        <f ca="1">IF($BS92=0,0,IF($BQ92&lt;=Control!$C$88,$BO92*(21+(30-21)*(BR92/Control!$C$88)),0))</f>
        <v>#N/A</v>
      </c>
      <c r="BU92" s="140" t="e">
        <f ca="1">IF(BG92+BM92+BS92=1,0,IF(OR(AND($BB92&lt;60,$BB92&gt;=30),$BQ92&gt;=Control!$C$88),1*$BA92,$BY91))</f>
        <v>#N/A</v>
      </c>
      <c r="BV92" s="140" t="e">
        <f ca="1">IF($BR92&lt;0,-$BR92,$BU92*IF(OR($G92&lt;Control!$C$92,$G92&gt;Control!$C$95),0,IF(AND($G92&gt;=Control!$C$92,$G92&lt;=Control!$C$93),$G92-Control!$C$92,IF(AND($G92&gt;Control!$C$93,$G92&lt;=Control!$C$94),Control!$C$93-Control!$C$92,IF(AND($G92&gt;Control!$C$94,$G92&lt;=Control!$C$95),(Control!$C$93-Control!$C$92)*(Control!$C$94-$G92)/(Control!$C$95-Control!$C$94))))))</f>
        <v>#N/A</v>
      </c>
      <c r="BW92" s="140" t="e">
        <f t="shared" ca="1" si="252"/>
        <v>#N/A</v>
      </c>
      <c r="BX92" s="140" t="e">
        <f ca="1">IF($BW92&lt;=Control!$C$89,$BW92,Control!$C$89-$BW92)</f>
        <v>#N/A</v>
      </c>
      <c r="BY92" s="140" t="e">
        <f ca="1">IF(AND($AJ92&gt;=30,$AJ92&lt;60),1,IF($BW92&gt;=Control!$C$89,0,$BU92))</f>
        <v>#N/A</v>
      </c>
      <c r="BZ92" s="404" t="e">
        <f ca="1">IF($BY92=0,0,IF($BW92&lt;=Control!$C$89,$BU92*(30+(60-30)*(BX92/Control!$C$89)),0))</f>
        <v>#N/A</v>
      </c>
      <c r="CA92" s="140" t="e">
        <f ca="1">IF($BG92+$BM92+$BS92+$BY92=1,0,IF(OR(AND($BB92&lt;65,$BB92&gt;=60),$BW92&gt;=Control!$C$89),1*$BA92,$CE91))</f>
        <v>#N/A</v>
      </c>
      <c r="CB92" s="140" t="e">
        <f ca="1">IF($BX92&lt;0,-$BX92,$CA92*IF(OR($G92&lt;Control!$C$92,$G92&gt;Control!$C$95),0,IF(AND($G92&gt;=Control!$C$92,$G92&lt;=Control!$C$93),$G92-Control!$C$92,IF(AND($G92&gt;Control!$C$93,$G92&lt;=Control!$C$94),Control!$C$93-Control!$C$92,IF(AND($G92&gt;Control!$C$94,$G92&lt;=Control!$C$95),(Control!$C$93-Control!$C$92)*(Control!$C$94-$G92)/(Control!$C$95-Control!$C$94))))))</f>
        <v>#N/A</v>
      </c>
      <c r="CC92" s="140" t="e">
        <f t="shared" ca="1" si="368"/>
        <v>#N/A</v>
      </c>
      <c r="CD92" s="140" t="e">
        <f ca="1">IF($CC92&lt;=Control!$C$90,$CC92,Control!$C$90-$CC92)</f>
        <v>#N/A</v>
      </c>
      <c r="CE92" s="140" t="e">
        <f ca="1">IF(AND($BB92&gt;=60,$BB92&lt;65),1,IF($CC92&gt;=Control!$C$90,0,$CA92))</f>
        <v>#N/A</v>
      </c>
      <c r="CF92" s="404" t="e">
        <f ca="1">IF($CE92=0,0,IF($CC92&lt;=Control!$C$90,$CA92*(60+(65-60)*(CD92/Control!$C$90)),0))</f>
        <v>#N/A</v>
      </c>
      <c r="CG92" s="140" t="e">
        <f ca="1">IF($BG92+$BM92+$BS92+$BY92+$CE92=1,0,IF(OR(AND($BB92&lt;90,$BB92&gt;=65),$CC92&gt;=Control!$C$90),$BA92,$CK91))</f>
        <v>#N/A</v>
      </c>
      <c r="CH92" s="140" t="e">
        <f ca="1">IF($CD92&lt;0,-$CD92,$CG92*IF(OR($G92&lt;Control!$C$92,$G92&gt;Control!$C$95),0,IF(AND($G92&gt;=Control!$C$92,$G92&lt;=Control!$C$93),$G92-Control!$C$92,IF(AND($G92&gt;Control!$C$93,$G92&lt;=Control!$C$94),Control!$C$93-Control!$C$92,IF(AND($G92&gt;Control!$C$94,$G92&lt;=Control!$C$95),(Control!$C$93-Control!$C$92)*(Control!$C$94-$G92)/(Control!$C$95-Control!$C$94))))))</f>
        <v>#N/A</v>
      </c>
      <c r="CI92" s="140" t="e">
        <f t="shared" ca="1" si="369"/>
        <v>#N/A</v>
      </c>
      <c r="CJ92" s="140" t="e">
        <f ca="1">IF($CI92&lt;=Control!$C$91,$CI92,Control!$C$91-$CI92)</f>
        <v>#N/A</v>
      </c>
      <c r="CK92" s="140" t="e">
        <f ca="1">IF(AND($BB92&gt;=65,$BB92&lt;90),1,IF($CI92&gt;=Control!$C$91,0,$CG92))</f>
        <v>#N/A</v>
      </c>
      <c r="CL92" s="404" t="e">
        <f ca="1">IF($CK92=0,0,IF($CI92&lt;=Control!$C$91,$CG92*(65+(90-65)*($CJ92/Control!$C$91)),0))</f>
        <v>#N/A</v>
      </c>
      <c r="CM92" s="140" t="e">
        <f ca="1">IF($BG92+$BM92+$BS92+$BY92+$CE92+$CK92=1,0,IF(OR($BB92&gt;=90,$CI92&gt;=Control!$C$91),$BA92,$CM91))</f>
        <v>#N/A</v>
      </c>
      <c r="CN92" s="140" t="e">
        <f t="shared" ca="1" si="370"/>
        <v>#N/A</v>
      </c>
      <c r="CO92" s="140" t="e">
        <f t="shared" ca="1" si="371"/>
        <v>#N/A</v>
      </c>
      <c r="CP92" s="140" t="e">
        <f t="shared" ca="1" si="372"/>
        <v>#N/A</v>
      </c>
      <c r="CQ92" s="141" t="e">
        <f ca="1">VLOOKUP($CP92,Control!$B$86:$G$91,6)</f>
        <v>#N/A</v>
      </c>
      <c r="CR92" s="141" t="e">
        <f ca="1">(1-$CQ92)*VLOOKUP($CP92,Control!$B$86:$D$91,3)</f>
        <v>#N/A</v>
      </c>
      <c r="CS92" s="141" t="e">
        <f ca="1">(1-$CQ92)*VLOOKUP($CP92,Control!$B$86:$E$91,4)</f>
        <v>#N/A</v>
      </c>
      <c r="CT92" s="141" t="e">
        <f ca="1">(1-$CQ92)*VLOOKUP($CP92,Control!$B$86:$F$91,5)</f>
        <v>#N/A</v>
      </c>
      <c r="CU92" s="141">
        <f t="shared" ca="1" si="373"/>
        <v>0</v>
      </c>
      <c r="CV92" s="583">
        <f t="shared" ca="1" si="374"/>
        <v>0</v>
      </c>
      <c r="CW92" s="142">
        <f t="shared" ca="1" si="375"/>
        <v>88</v>
      </c>
      <c r="CX92" s="612" t="e">
        <f ca="1">IF(Control!$C$114=1,(MIN(Control!$C$120*(IF($NT92-0.01&lt;0,0,1)),Control!$C$119-$CY92)))</f>
        <v>#DIV/0!</v>
      </c>
      <c r="CY92" s="143" t="e">
        <f t="shared" ca="1" si="376"/>
        <v>#N/A</v>
      </c>
      <c r="CZ92" s="144">
        <f t="shared" ca="1" si="253"/>
        <v>0</v>
      </c>
      <c r="DA92" s="144">
        <f t="shared" ca="1" si="254"/>
        <v>0</v>
      </c>
      <c r="DB92" s="144" t="e">
        <f t="shared" ca="1" si="255"/>
        <v>#N/A</v>
      </c>
      <c r="DC92" s="144" t="e">
        <f t="shared" ca="1" si="256"/>
        <v>#N/A</v>
      </c>
      <c r="DD92" s="144" t="e">
        <f t="shared" ca="1" si="461"/>
        <v>#N/A</v>
      </c>
      <c r="DE92" s="143" t="e">
        <f t="shared" ca="1" si="377"/>
        <v>#N/A</v>
      </c>
      <c r="DF92" s="145" t="e">
        <f ca="1">$DR92*EXP(-Control!$C$158*(1-$KH92))</f>
        <v>#N/A</v>
      </c>
      <c r="DG92" s="146" t="e">
        <f ca="1">IF(Control!$C$114=1, $DF92*$EY92, 0)</f>
        <v>#N/A</v>
      </c>
      <c r="DH92" s="147" t="e">
        <f t="shared" ca="1" si="378"/>
        <v>#N/A</v>
      </c>
      <c r="DI92" s="144" t="e">
        <f t="shared" ca="1" si="439"/>
        <v>#N/A</v>
      </c>
      <c r="DJ92" s="147" t="e">
        <f ca="1">$EF92*Control!$C$109</f>
        <v>#N/A</v>
      </c>
      <c r="DK92" s="144" t="e">
        <f t="shared" ca="1" si="379"/>
        <v>#N/A</v>
      </c>
      <c r="DL92" s="144" t="e">
        <f t="shared" ca="1" si="257"/>
        <v>#N/A</v>
      </c>
      <c r="DM92" s="144" t="e">
        <f ca="1">IF(Control!$C$114=1, (1-EXP(-Control!$C$96*$DK92))*$AR92, 0)</f>
        <v>#N/A</v>
      </c>
      <c r="DN92" s="144">
        <f t="shared" ca="1" si="380"/>
        <v>0</v>
      </c>
      <c r="DO92" s="148">
        <f>Control!$C$97</f>
        <v>4</v>
      </c>
      <c r="DP92" s="145" t="e">
        <f t="shared" ca="1" si="381"/>
        <v>#N/A</v>
      </c>
      <c r="DQ92" s="145" t="e">
        <f ca="1">IF(AND($CP92&gt;=0,$CP92&lt;=90),Control!$C$111,Control!$C$111)</f>
        <v>#N/A</v>
      </c>
      <c r="DR92" s="145" t="e">
        <f t="shared" ca="1" si="258"/>
        <v>#N/A</v>
      </c>
      <c r="DS92" s="143" t="e">
        <f ca="1">Control!$B$22/$DR92</f>
        <v>#N/A</v>
      </c>
      <c r="DT92" s="149" t="e">
        <f ca="1">IF(AND(Control!$C$114=1,$KH92&lt;1),$IM92*$DF92, 0)</f>
        <v>#N/A</v>
      </c>
      <c r="DU92" s="144" t="e">
        <f t="shared" ca="1" si="382"/>
        <v>#N/A</v>
      </c>
      <c r="DV92" s="144">
        <f ca="1">IF($G92-Control!$C$107&lt;=0, 0, 0.83*LN(MAX($G92, 3))-0.8924)</f>
        <v>0</v>
      </c>
      <c r="DW92" s="144" t="e">
        <f t="shared" ca="1" si="259"/>
        <v>#N/A</v>
      </c>
      <c r="DX92" s="150" t="e">
        <f ca="1">MAX(0.01*(1+$CU92/Control!$C$102),0.05*($DK92-Control!$C$97)/Control!$C$97)</f>
        <v>#N/A</v>
      </c>
      <c r="DY92" s="151" t="e">
        <f ca="1">IF(Control!$C$114=1, $DI92*$FS92, 0)</f>
        <v>#N/A</v>
      </c>
      <c r="DZ92" s="196" t="e">
        <f t="shared" ca="1" si="383"/>
        <v>#N/A</v>
      </c>
      <c r="EA92" s="152">
        <f t="shared" ca="1" si="384"/>
        <v>88</v>
      </c>
      <c r="EB92" s="153" t="e">
        <f ca="1">$EB91+$ED91</f>
        <v>#N/A</v>
      </c>
      <c r="EC92" s="153" t="e">
        <f t="shared" ca="1" si="386"/>
        <v>#N/A</v>
      </c>
      <c r="ED92" s="154" t="e">
        <f ca="1">IF(Control!$C$114=1, $HM92*$FY92-$FD92, 0)</f>
        <v>#DIV/0!</v>
      </c>
      <c r="EE92" s="155" t="e">
        <f ca="1">IF(Control!$C$114=1, $HM92*$FZ92-$FF92, 0)</f>
        <v>#DIV/0!</v>
      </c>
      <c r="EF92" s="153" t="e">
        <f t="shared" ca="1" si="440"/>
        <v>#N/A</v>
      </c>
      <c r="EG92" s="155" t="e">
        <f ca="1">IF(Control!$C$114=1, $GX92*$FW92-$FI92, 0)</f>
        <v>#DIV/0!</v>
      </c>
      <c r="EH92" s="153" t="e">
        <f t="shared" ca="1" si="387"/>
        <v>#N/A</v>
      </c>
      <c r="EI92" s="156" t="e">
        <f t="shared" ca="1" si="388"/>
        <v>#N/A</v>
      </c>
      <c r="EJ92" s="155" t="e">
        <f ca="1">IF(Control!$C$114=1, $HM92*$GB92, 0)</f>
        <v>#DIV/0!</v>
      </c>
      <c r="EK92" s="153" t="e">
        <f t="shared" ca="1" si="441"/>
        <v>#N/A</v>
      </c>
      <c r="EL92" s="153" t="e">
        <f t="shared" ca="1" si="260"/>
        <v>#N/A</v>
      </c>
      <c r="EM92" s="153" t="e">
        <f t="shared" ca="1" si="261"/>
        <v>#N/A</v>
      </c>
      <c r="EN92" s="153" t="e">
        <f ca="1">IF(Control!$C$108=1,IF(AND(Control!$B$18=1,$EB92&gt;=Control!$B$19),$EB92-$DS92,IF(AND(Control!$B$18=2,$AW92=1,$EB92&gt;$DS92),$EB92-$DS92,0)))</f>
        <v>#N/A</v>
      </c>
      <c r="EO92" s="153" t="e">
        <f ca="1">IF(Control!$C$108=1,IF(AND(Control!$B$18=1,$EB92&gt;=Control!$B$19),$EF92,IF(AND(Control!$B$18=2,$AW92=1),$EF92,0)))</f>
        <v>#N/A</v>
      </c>
      <c r="EP92" s="153" t="e">
        <f ca="1">IF(Control!$C$108=1,IF(AND(Control!$B$18=1,$EB92&gt;=Control!$B$19),$EK92,IF(AND(Control!$B$18=2,$AW92=1),$EK92,0)))</f>
        <v>#N/A</v>
      </c>
      <c r="EQ92" s="153" t="e">
        <f t="shared" ca="1" si="389"/>
        <v>#N/A</v>
      </c>
      <c r="ER92" s="153" t="e">
        <f t="shared" ca="1" si="390"/>
        <v>#N/A</v>
      </c>
      <c r="ES92" s="153" t="e">
        <f t="shared" ca="1" si="442"/>
        <v>#N/A</v>
      </c>
      <c r="ET92" s="153" t="e">
        <f t="shared" ca="1" si="443"/>
        <v>#N/A</v>
      </c>
      <c r="EU92" s="153" t="e">
        <f t="shared" ca="1" si="391"/>
        <v>#N/A</v>
      </c>
      <c r="EV92" s="153" t="e">
        <f t="shared" ca="1" si="262"/>
        <v>#N/A</v>
      </c>
      <c r="EW92" s="153" t="e">
        <f t="shared" ca="1" si="263"/>
        <v>#N/A</v>
      </c>
      <c r="EX92" s="153" t="e">
        <f t="shared" ca="1" si="264"/>
        <v>#N/A</v>
      </c>
      <c r="EY92" s="157" t="e">
        <f t="shared" ca="1" si="265"/>
        <v>#DIV/0!</v>
      </c>
      <c r="EZ92" s="154" t="e">
        <f t="shared" ca="1" si="266"/>
        <v>#DIV/0!</v>
      </c>
      <c r="FA92" s="153" t="e">
        <f t="shared" ca="1" si="392"/>
        <v>#N/A</v>
      </c>
      <c r="FB92" s="153" t="e">
        <f t="shared" ca="1" si="267"/>
        <v>#N/A</v>
      </c>
      <c r="FC92" s="193" t="e">
        <f t="shared" ca="1" si="268"/>
        <v>#N/A</v>
      </c>
      <c r="FD92" s="158" t="e">
        <f t="shared" ca="1" si="393"/>
        <v>#N/A</v>
      </c>
      <c r="FE92" s="158" t="e">
        <f t="shared" ca="1" si="394"/>
        <v>#N/A</v>
      </c>
      <c r="FF92" s="159" t="e">
        <f t="shared" ca="1" si="269"/>
        <v>#N/A</v>
      </c>
      <c r="FG92" s="160" t="e">
        <f t="shared" ca="1" si="395"/>
        <v>#N/A</v>
      </c>
      <c r="FH92" s="158" t="e">
        <f t="shared" ca="1" si="396"/>
        <v>#N/A</v>
      </c>
      <c r="FI92" s="159" t="e">
        <f t="shared" ca="1" si="270"/>
        <v>#N/A</v>
      </c>
      <c r="FJ92" s="160" t="e">
        <f t="shared" ca="1" si="397"/>
        <v>#N/A</v>
      </c>
      <c r="FK92" s="160" t="e">
        <f t="shared" ca="1" si="271"/>
        <v>#N/A</v>
      </c>
      <c r="FL92" s="160" t="e">
        <f t="shared" ca="1" si="444"/>
        <v>#N/A</v>
      </c>
      <c r="FM92" s="160" t="e">
        <f t="shared" ca="1" si="272"/>
        <v>#N/A</v>
      </c>
      <c r="FN92" s="158">
        <f t="shared" ca="1" si="398"/>
        <v>0.01</v>
      </c>
      <c r="FO92" s="160">
        <f>Control!$C$101</f>
        <v>50</v>
      </c>
      <c r="FP92" s="150" t="e">
        <f t="shared" ca="1" si="273"/>
        <v>#N/A</v>
      </c>
      <c r="FQ92" s="150" t="e">
        <f ca="1">MAX(0,(Control!$C$112*(($DK92-Control!$C$97)/Control!$C$97)))</f>
        <v>#N/A</v>
      </c>
      <c r="FR92" s="150" t="e">
        <f ca="1">(1-$NT92)*Control!$C$113</f>
        <v>#DIV/0!</v>
      </c>
      <c r="FS92" s="198" t="e">
        <f t="shared" ca="1" si="274"/>
        <v>#N/A</v>
      </c>
      <c r="FT92" s="161">
        <f t="shared" ca="1" si="399"/>
        <v>88</v>
      </c>
      <c r="FU92" s="162" t="e">
        <f ca="1">IF(Control!$B$34=1,VLOOKUP($CP92,Control!$B$86:$G$91,6),Control!$B$35)</f>
        <v>#N/A</v>
      </c>
      <c r="FV92" s="162" t="e">
        <f t="shared" ca="1" si="275"/>
        <v>#DIV/0!</v>
      </c>
      <c r="FW92" s="162" t="e">
        <f ca="1">IF(Control!$B$31=1,$FU92*$FV92,  $FU92)</f>
        <v>#N/A</v>
      </c>
      <c r="FX92" s="162" t="e">
        <f ca="1">IF(Control!$B$34=1,VLOOKUP($CP92,Control!$B$86:$G$91,3),Control!$B$36)</f>
        <v>#N/A</v>
      </c>
      <c r="FY92" s="162" t="e">
        <f t="shared" ca="1" si="276"/>
        <v>#N/A</v>
      </c>
      <c r="FZ92" s="162" t="e">
        <f ca="1">IF(Control!$B$34=1,VLOOKUP($CP92,Control!$B$86:$G$91,4),Control!$B$37)</f>
        <v>#N/A</v>
      </c>
      <c r="GA92" s="162" t="e">
        <f t="shared" ca="1" si="277"/>
        <v>#N/A</v>
      </c>
      <c r="GB92" s="162" t="e">
        <f ca="1">IF(Control!$B$34=1,VLOOKUP($CP92,Control!$B$86:$G$91,5),Control!$B$38)</f>
        <v>#N/A</v>
      </c>
      <c r="GC92" s="162" t="e">
        <f t="shared" ca="1" si="400"/>
        <v>#N/A</v>
      </c>
      <c r="GD92" s="162">
        <f t="shared" ca="1" si="278"/>
        <v>1</v>
      </c>
      <c r="GE92" s="162">
        <f t="shared" ca="1" si="279"/>
        <v>1</v>
      </c>
      <c r="GF92" s="162">
        <f ca="1">IF(AND(Control!$C$104=1, Control!$C$62="F"),$GE92,1)</f>
        <v>1</v>
      </c>
      <c r="GG92" s="162" t="e">
        <f ca="1">IF(Control!$B$16=40,0,IF(AND(Control!$B$16&gt;40,Control!$B$16&lt;=360),(Control!$B$16-40)*((1-0)/(360-40)),IF(AND(Control!$B$16&gt;360,Control!$B$16&lt;=720),(1+(Control!$B$16-360)*((1.25-1)/(720-360))),IF(AND(Control!$B$16&gt;720,Control!$B$16&lt;=1000),(1.25+(Control!$B$16-720)*((1.35-1.25)/(1000-720))),IF(AND(Control!$B$16&gt;1000,Control!$B$16&lt;=2000),(1.35+(Control!$B$16-1000)*0))))))</f>
        <v>#N/A</v>
      </c>
      <c r="GH92" s="162" t="e">
        <f t="shared" ca="1" si="280"/>
        <v>#N/A</v>
      </c>
      <c r="GI92" s="162">
        <f t="shared" ca="1" si="401"/>
        <v>0</v>
      </c>
      <c r="GJ92" s="162">
        <f t="shared" ca="1" si="281"/>
        <v>0</v>
      </c>
      <c r="GK92" s="162">
        <f t="shared" ca="1" si="402"/>
        <v>1</v>
      </c>
      <c r="GL92" s="162">
        <f t="shared" ca="1" si="282"/>
        <v>1</v>
      </c>
      <c r="GM92" s="162" t="e">
        <f ca="1">MAX(0,MIN(1,1-Control!$C$156*(1.0001-$KH92)^2))</f>
        <v>#N/A</v>
      </c>
      <c r="GN92" s="162" t="e">
        <f ca="1">IF(Control!$B$26=1,$KU92,$KX92)</f>
        <v>#N/A</v>
      </c>
      <c r="GO92" s="162" t="e">
        <f ca="1">IF($CP92&lt;=60,Control!$C$105,IF($CP92&gt;=90,Control!$C$106,Control!$C$105+($CP92-60)*((Control!$C$106-Control!$C$105)/(90-60))))</f>
        <v>#N/A</v>
      </c>
      <c r="GP92" s="162" t="e">
        <f t="shared" ca="1" si="283"/>
        <v>#N/A</v>
      </c>
      <c r="GQ92" s="162" t="e">
        <f t="shared" ca="1" si="403"/>
        <v>#N/A</v>
      </c>
      <c r="GR92" s="163" t="e">
        <f t="shared" ca="1" si="284"/>
        <v>#DIV/0!</v>
      </c>
      <c r="GS92" s="162" t="e">
        <f t="shared" ca="1" si="285"/>
        <v>#DIV/0!</v>
      </c>
      <c r="GT92" s="164" t="e">
        <f t="shared" ca="1" si="404"/>
        <v>#N/A</v>
      </c>
      <c r="GU92" s="162" t="e">
        <f t="shared" ca="1" si="405"/>
        <v>#N/A</v>
      </c>
      <c r="GV92" s="162" t="e">
        <f t="shared" ca="1" si="286"/>
        <v>#N/A</v>
      </c>
      <c r="GW92" s="162" t="e">
        <f t="shared" ca="1" si="287"/>
        <v>#DIV/0!</v>
      </c>
      <c r="GX92" s="162" t="e">
        <f t="shared" ca="1" si="406"/>
        <v>#DIV/0!</v>
      </c>
      <c r="GY92" s="162" t="e">
        <f t="shared" ca="1" si="407"/>
        <v>#DIV/0!</v>
      </c>
      <c r="GZ92" s="165" t="e">
        <f t="shared" ca="1" si="288"/>
        <v>#N/A</v>
      </c>
      <c r="HA92" s="162" t="e">
        <f ca="1">IF(Control!$C$114=1, $DI92*$FS92, 0)</f>
        <v>#N/A</v>
      </c>
      <c r="HB92" s="162" t="e">
        <f ca="1">$FA92/Control!$C$64</f>
        <v>#N/A</v>
      </c>
      <c r="HC92" s="162" t="e">
        <f t="shared" ca="1" si="289"/>
        <v>#DIV/0!</v>
      </c>
      <c r="HD92" s="162">
        <f ca="1">-ASIN(SIN(23.45*Control!$C$139)*COS(2*Control!$C$138*($AH92+10)/365))</f>
        <v>4.6154060781535236E-2</v>
      </c>
      <c r="HE92" s="165">
        <f t="shared" ca="1" si="408"/>
        <v>0</v>
      </c>
      <c r="HF92" s="166">
        <f ca="1">IF(AND(Control!$C$61="T",$HE92&gt;=Control!$C$103,Control!$C$114=0),$AH92,Control!$C$59)</f>
        <v>1</v>
      </c>
      <c r="HG92" s="166">
        <f ca="1">IF(AND(Control!$C$61="T",$HE92&gt;=Control!$C$103,Control!$C$114=0),$HF92,Control!$C$59)</f>
        <v>1</v>
      </c>
      <c r="HH92" s="165">
        <f ca="1">IF(AND(OR(Control!$C$60&lt;=0, $AH92= Control!$C$59, Control!$C$60 &gt;0, $AH92 = Control!$C$60)), Control!$C$59, IF(Control!$C$60&gt;0, 0))</f>
        <v>1</v>
      </c>
      <c r="HI92" s="165">
        <f ca="1">IF(AND(OR(Control!$C$60&lt;=0, $AH92= Control!$C$59, Control!$C$60 &gt;0, $AH92 = Control!$C$60)), Control!$C$60, IF(Control!$C$60&lt;=0, 0))</f>
        <v>0</v>
      </c>
      <c r="HJ92" s="166">
        <f ca="1">IF(AND(Control!$C$62="F",$CV92&gt;=Control!$C$102),$AH92,0)</f>
        <v>0</v>
      </c>
      <c r="HK92" s="165" t="e">
        <f t="shared" ca="1" si="445"/>
        <v>#N/A</v>
      </c>
      <c r="HL92" s="166">
        <f ca="1">IF(AND(Control!$C$61="T",$HE92&gt;=Control!$C$103,Control!$C$114=0),$HF92,0)</f>
        <v>0</v>
      </c>
      <c r="HM92" s="201" t="e">
        <f t="shared" ca="1" si="290"/>
        <v>#DIV/0!</v>
      </c>
      <c r="HN92" s="215">
        <f t="shared" ca="1" si="409"/>
        <v>88</v>
      </c>
      <c r="HO92" s="216" t="e">
        <f ca="1">IF(AND($CP92&gt;=0, $CP92&lt;=90), Control!$C$152, Control!$C$152)</f>
        <v>#N/A</v>
      </c>
      <c r="HP92" s="216" t="e">
        <f t="shared" ca="1" si="291"/>
        <v>#N/A</v>
      </c>
      <c r="HQ92" s="217" t="e">
        <f ca="1">IF(OR(Control!$B$26=1,Control!$B$26=2),$KV92,$KS92)</f>
        <v>#DIV/0!</v>
      </c>
      <c r="HR92" s="218" t="e">
        <f t="shared" ca="1" si="446"/>
        <v>#DIV/0!</v>
      </c>
      <c r="HS92" s="216" t="e">
        <f ca="1">Control!$C$154*$HP92</f>
        <v>#N/A</v>
      </c>
      <c r="HT92" s="216" t="e">
        <f ca="1">Control!$C$155*$HP92</f>
        <v>#N/A</v>
      </c>
      <c r="HU92" s="217" t="e">
        <f ca="1">Control!$C$161*$FI92</f>
        <v>#N/A</v>
      </c>
      <c r="HV92" s="218" t="e">
        <f t="shared" ca="1" si="410"/>
        <v>#N/A</v>
      </c>
      <c r="HW92" s="218" t="e">
        <f ca="1">Control!$C$160*$FF92+$IP92*$EO92</f>
        <v>#N/A</v>
      </c>
      <c r="HX92" s="218" t="e">
        <f t="shared" ca="1" si="447"/>
        <v>#N/A</v>
      </c>
      <c r="HY92" s="219" t="e">
        <f ca="1">IF(Control!$C$114=1, $EB92*$FS92, 0)</f>
        <v>#N/A</v>
      </c>
      <c r="HZ92" s="91" t="e">
        <f t="shared" ca="1" si="292"/>
        <v>#N/A</v>
      </c>
      <c r="IA92" s="220" t="e">
        <f ca="1">Control!$C$153*$HO92</f>
        <v>#N/A</v>
      </c>
      <c r="IB92" s="218" t="e">
        <f t="shared" ca="1" si="293"/>
        <v>#N/A</v>
      </c>
      <c r="IC92" s="220" t="e">
        <f ca="1">Control!$C$153*$HT92</f>
        <v>#N/A</v>
      </c>
      <c r="ID92" s="218" t="e">
        <f t="shared" ca="1" si="294"/>
        <v>#N/A</v>
      </c>
      <c r="IE92" s="221" t="e">
        <f ca="1">($EB92*Control!$C$159+$EF92*Control!$C$160)/(IF($GZ92&lt;&gt;0,$GZ92,1))</f>
        <v>#N/A</v>
      </c>
      <c r="IF92" s="216" t="e">
        <f t="shared" ca="1" si="295"/>
        <v>#N/A</v>
      </c>
      <c r="IG92" s="91">
        <f ca="1">IF(OR(Control!$B$198=$AH92,Control!$B$199=$AH92, Control!$B$200=$AH92, Control!$B$201=$AH92, Control!$B$202=$AH92, Control!$B$203=$AH92, Control!$B$204=$AH92, Control!$B$205=$AH92, Control!$B$206=$AH92, Control!$B$207=$AH92), 1, 0)</f>
        <v>0</v>
      </c>
      <c r="IH92" s="91">
        <f ca="1">IF($IG92=0,0, VLOOKUP($AH92,Control!$B$198:$C$207,2))</f>
        <v>0</v>
      </c>
      <c r="II92" s="222">
        <f t="shared" ca="1" si="411"/>
        <v>0</v>
      </c>
      <c r="IJ92" s="91">
        <f>Control!$C$121</f>
        <v>0.7</v>
      </c>
      <c r="IK92" s="218">
        <f t="shared" ca="1" si="296"/>
        <v>0</v>
      </c>
      <c r="IL92" s="217" t="e">
        <f t="shared" ca="1" si="448"/>
        <v>#N/A</v>
      </c>
      <c r="IM92" s="223" t="e">
        <f ca="1">IF(AND(Control!$C$114=1,$KH92&lt;1),$EB92*Control!$C$148*(1-$KH92), 0)</f>
        <v>#N/A</v>
      </c>
      <c r="IN92" s="217" t="e">
        <f t="shared" ca="1" si="297"/>
        <v>#DIV/0!</v>
      </c>
      <c r="IO92" s="91" t="e">
        <f ca="1">MAX(0,$IL92-$EF92*Control!$C$160)</f>
        <v>#N/A</v>
      </c>
      <c r="IP92" s="220" t="e">
        <f t="shared" ca="1" si="298"/>
        <v>#N/A</v>
      </c>
      <c r="IQ92" s="217" t="e">
        <f t="shared" ca="1" si="412"/>
        <v>#N/A</v>
      </c>
      <c r="IR92" s="218" t="e">
        <f t="shared" ca="1" si="299"/>
        <v>#N/A</v>
      </c>
      <c r="IS92" s="217" t="e">
        <f ca="1">Control!$C$159*MAX(0,$FD92-$EN92)</f>
        <v>#N/A</v>
      </c>
      <c r="IT92" s="217" t="e">
        <f t="shared" ca="1" si="449"/>
        <v>#N/A</v>
      </c>
      <c r="IU92" s="217" t="e">
        <f t="shared" ca="1" si="413"/>
        <v>#N/A</v>
      </c>
      <c r="IV92" s="217" t="e">
        <f t="shared" ca="1" si="450"/>
        <v>#N/A</v>
      </c>
      <c r="IW92" s="217" t="e">
        <f ca="1">IF(OR($AW92=1,AND($AW92=0, Control!$B$18=1,$EN92&lt;&gt;0)), $IQ92-$IU92, $IQ92)</f>
        <v>#N/A</v>
      </c>
      <c r="IX92" s="218" t="e">
        <f t="shared" ca="1" si="300"/>
        <v>#N/A</v>
      </c>
      <c r="IY92" s="218" t="e">
        <f ca="1">MAX(0,$IQ92-$EB92*Control!$C$159)</f>
        <v>#N/A</v>
      </c>
      <c r="IZ92" s="218" t="e">
        <f t="shared" ca="1" si="301"/>
        <v>#N/A</v>
      </c>
      <c r="JA92" s="216" t="e">
        <f t="shared" ca="1" si="302"/>
        <v>#N/A</v>
      </c>
      <c r="JB92" s="217" t="e">
        <f t="shared" ca="1" si="303"/>
        <v>#N/A</v>
      </c>
      <c r="JC92" s="222" t="e">
        <f ca="1">MAX(Control!$C$157*$EK92-$JT92, 0)/Control!$C$162</f>
        <v>#N/A</v>
      </c>
      <c r="JD92" s="218" t="e">
        <f t="shared" ca="1" si="304"/>
        <v>#N/A</v>
      </c>
      <c r="JE92" s="218" t="e">
        <f t="shared" ca="1" si="305"/>
        <v>#N/A</v>
      </c>
      <c r="JF92" s="218" t="e">
        <f t="shared" ca="1" si="414"/>
        <v>#N/A</v>
      </c>
      <c r="JG92" s="218" t="e">
        <f t="shared" ca="1" si="306"/>
        <v>#N/A</v>
      </c>
      <c r="JH92" s="217" t="e">
        <f t="shared" ca="1" si="415"/>
        <v>#N/A</v>
      </c>
      <c r="JI92" s="217" t="e">
        <f t="shared" ca="1" si="416"/>
        <v>#N/A</v>
      </c>
      <c r="JJ92" s="217" t="e">
        <f t="shared" ca="1" si="451"/>
        <v>#N/A</v>
      </c>
      <c r="JK92" s="217" t="e">
        <f ca="1">IF(Control!$C$114=1,IF(Control!$B$24=0,MAX(0,$JI92)*$GN92/Control!$C$64,(MAX(0,MIN($JI92,$JJ92*$GN92/Control!$C$64),0))))</f>
        <v>#N/A</v>
      </c>
      <c r="JL92" s="217" t="e">
        <f ca="1">$IK92/Control!$C$64-$JK92+$HQ92</f>
        <v>#N/A</v>
      </c>
      <c r="JM92" s="217" t="e">
        <f ca="1">IF(Control!$C$114=1,($JB92/(IF($JI92&lt;&gt;0,$JI92,1)))*$JK92,0)</f>
        <v>#N/A</v>
      </c>
      <c r="JN92" s="217" t="e">
        <f ca="1">IF(Control!$C$114=1,($JG92/(IF($JI92&lt;&gt;0,$JI92,1)))*$JK92, 0)</f>
        <v>#N/A</v>
      </c>
      <c r="JO92" s="218" t="e">
        <f t="shared" ca="1" si="307"/>
        <v>#N/A</v>
      </c>
      <c r="JP92" s="218" t="e">
        <f ca="1">MIN(($IY92+$IO92)*Control!$C$151, $JF92-$EH92*Control!$C$161)</f>
        <v>#N/A</v>
      </c>
      <c r="JQ92" s="218" t="e">
        <f t="shared" ca="1" si="308"/>
        <v>#N/A</v>
      </c>
      <c r="JR92" s="217" t="e">
        <f ca="1">IF($CP92-Control!$C$150&lt;0, 0, $JQ92/Control!$C$162)</f>
        <v>#N/A</v>
      </c>
      <c r="JS92" s="218" t="e">
        <f t="shared" ca="1" si="309"/>
        <v>#N/A</v>
      </c>
      <c r="JT92" s="218" t="e">
        <f t="shared" ca="1" si="417"/>
        <v>#N/A</v>
      </c>
      <c r="JU92" s="218" t="e">
        <f t="shared" ca="1" si="310"/>
        <v>#N/A</v>
      </c>
      <c r="JV92" s="218" t="e">
        <f t="shared" ca="1" si="311"/>
        <v>#N/A</v>
      </c>
      <c r="JW92" s="216" t="e">
        <f t="shared" ca="1" si="312"/>
        <v>#N/A</v>
      </c>
      <c r="JX92" s="91" t="e">
        <f t="shared" ca="1" si="313"/>
        <v>#N/A</v>
      </c>
      <c r="JY92" s="218" t="e">
        <f t="shared" ca="1" si="314"/>
        <v>#N/A</v>
      </c>
      <c r="JZ92" s="217" t="e">
        <f ca="1">IF(Control!$C$114=1,($IZ92/(IF($JI92&lt;&gt;0,$JI92,1)))*$JK92, 0)</f>
        <v>#N/A</v>
      </c>
      <c r="KA92" s="218" t="e">
        <f t="shared" ca="1" si="452"/>
        <v>#N/A</v>
      </c>
      <c r="KB92" s="218" t="e">
        <f t="shared" ca="1" si="418"/>
        <v>#N/A</v>
      </c>
      <c r="KC92" s="218" t="e">
        <f t="shared" ca="1" si="315"/>
        <v>#N/A</v>
      </c>
      <c r="KD92" s="218" t="e">
        <f t="shared" ca="1" si="316"/>
        <v>#N/A</v>
      </c>
      <c r="KE92" s="218" t="e">
        <f t="shared" ca="1" si="317"/>
        <v>#N/A</v>
      </c>
      <c r="KF92" s="218" t="e">
        <f t="shared" ca="1" si="318"/>
        <v>#N/A</v>
      </c>
      <c r="KG92" s="216" t="e">
        <f t="shared" ca="1" si="319"/>
        <v>#N/A</v>
      </c>
      <c r="KH92" s="221" t="e">
        <f ca="1">IF(Control!$B$24=0,1,MAX(0.001,MIN(1,IF(($IF92-$IE92)&lt;&gt;0,($KG92-$IE92)/($IF92-$IE92),1))))</f>
        <v>#N/A</v>
      </c>
      <c r="KI92" s="222" t="e">
        <f ca="1">IF(Control!$C$114=1, $KI91+ $KH91, 0)</f>
        <v>#N/A</v>
      </c>
      <c r="KJ92" s="217" t="e">
        <f t="shared" ca="1" si="320"/>
        <v>#N/A</v>
      </c>
      <c r="KK92" s="218" t="e">
        <f t="shared" ca="1" si="321"/>
        <v>#N/A</v>
      </c>
      <c r="KL92" s="274" t="e">
        <f ca="1">IF(Control!$B$26=3,4000000000*EXP(-8400/($G92+273)),IF(Control!$B$26=4,4000000000*EXP(-8400/($G92+273))*($KT92),0))</f>
        <v>#DIV/0!</v>
      </c>
      <c r="KM92" s="274" t="e">
        <f ca="1">IF(Control!$B$26=3,5600000000000*EXP(-9800/($G92+273)),IF(Control!$B$26=4,5600000000000*EXP(-9800/($G92+273))*$KT92,0))</f>
        <v>#DIV/0!</v>
      </c>
      <c r="KN92" s="454" t="e">
        <f t="shared" ca="1" si="419"/>
        <v>#DIV/0!</v>
      </c>
      <c r="KO92" s="274" t="e">
        <f t="shared" ca="1" si="420"/>
        <v>#DIV/0!</v>
      </c>
      <c r="KP92" s="454" t="e">
        <f t="shared" ca="1" si="322"/>
        <v>#DIV/0!</v>
      </c>
      <c r="KQ92" s="454" t="e">
        <f t="shared" ca="1" si="323"/>
        <v>#DIV/0!</v>
      </c>
      <c r="KR92" s="454" t="e">
        <f t="shared" ca="1" si="324"/>
        <v>#DIV/0!</v>
      </c>
      <c r="KS92" s="454" t="e">
        <f t="shared" ca="1" si="325"/>
        <v>#DIV/0!</v>
      </c>
      <c r="KT92" s="455" t="e">
        <f t="shared" ca="1" si="326"/>
        <v>#DIV/0!</v>
      </c>
      <c r="KU92" s="456" t="e">
        <f ca="1">IF($CP92-Control!$C$149&lt;0, IF($NT92-0.01&lt;0,0,1),0)</f>
        <v>#N/A</v>
      </c>
      <c r="KV92" s="456" t="e">
        <f ca="1">IF(Control!$C$114=1,MAX(0,MIN(Control!$C$125*$KW92*$GN92,$KW92)))</f>
        <v>#DIV/0!</v>
      </c>
      <c r="KW92" s="456" t="e">
        <f t="shared" ca="1" si="453"/>
        <v>#DIV/0!</v>
      </c>
      <c r="KX92" s="457" t="e">
        <f ca="1">IF($CP92-Control!$C$149&lt;0, IF($MR92-$OM92&lt;0,0,1),0)</f>
        <v>#N/A</v>
      </c>
      <c r="KY92" s="167">
        <f t="shared" ca="1" si="421"/>
        <v>88</v>
      </c>
      <c r="KZ92" s="168">
        <f ca="1">1370*(1+0.033*COS(2*Control!$C$138*$AH92/365))</f>
        <v>1372.5278472220637</v>
      </c>
      <c r="LA92" s="169">
        <f t="shared" ca="1" si="422"/>
        <v>1.0018452606733199</v>
      </c>
      <c r="LB92" s="169">
        <f t="shared" ca="1" si="423"/>
        <v>5.0931157463683645E-2</v>
      </c>
      <c r="LC92" s="169">
        <f ca="1">ACOS(-TAN((2*Control!$B$8/360))*TAN(Calculations!$LB92))</f>
        <v>1.585946907762918</v>
      </c>
      <c r="LD92" s="169">
        <f ca="1">((24*60)/PI())*0.082*$LA92*(($LC92*SIN(Control!$B$8*2*PI()/360))*SIN($LB92)+COS(Control!$B$8*2*PI()/360)*COS($LB92)*SIN($LC92))</f>
        <v>25.546014567933526</v>
      </c>
      <c r="LE92" s="170">
        <f t="shared" ca="1" si="327"/>
        <v>25.410907259869187</v>
      </c>
      <c r="LF92" s="170">
        <f ca="1">SIN(Control!$C$139*Control!$B$8)*SIN($HD92)</f>
        <v>3.6357045368572517E-2</v>
      </c>
      <c r="LG92" s="170">
        <f ca="1">COS(Control!$C$139*Control!$B$8)*COS($HD92)</f>
        <v>0.61500418089491049</v>
      </c>
      <c r="LH92" s="170">
        <f ca="1">12*(1+2*ASIN(MAX(-1,MIN(1,$LF92/$LG92))/Control!$C$138))</f>
        <v>12.451644266071614</v>
      </c>
      <c r="LI92" s="170">
        <f ca="1">12*(1+2*ASIN(MAX(-1,MIN(1,(-SIN(-4*Control!$C$139)+$LF92)/$LG92))/Control!$C$138))</f>
        <v>13.318779669867205</v>
      </c>
      <c r="LJ92" s="168">
        <f ca="1">3600*($LH92*$LF92+24*$LG92*SQRT(1-$LK92*$LK92)/Control!$C$138)</f>
        <v>18513.946592267512</v>
      </c>
      <c r="LK92" s="170">
        <f t="shared" ca="1" si="328"/>
        <v>5.9116745053128458E-2</v>
      </c>
      <c r="LL92" s="170">
        <f t="shared" ca="1" si="329"/>
        <v>0</v>
      </c>
      <c r="LM92" s="171">
        <f ca="1">Control!$C$145*$AB92</f>
        <v>6.6660906138995932E-2</v>
      </c>
      <c r="LN92" s="170">
        <f t="shared" ca="1" si="424"/>
        <v>0.54</v>
      </c>
      <c r="LO92" s="170">
        <f t="shared" ca="1" si="330"/>
        <v>0</v>
      </c>
      <c r="LP92" s="170">
        <f ca="1">Control!$C$140*((($D92+273.16)^4+($E92+273.16)^4)/2)*(0.34-0.14*SQRT($Y92))*(1.35*$AQ92/(0.75*$LD92)-0.35)</f>
        <v>-3.2464704755046001</v>
      </c>
      <c r="LQ92" s="170">
        <f ca="1">Control!$C$140*($G92+273)^4*(0.56-0.079*SQRT($Y92*10))*(0.1+0.9*$LO92)</f>
        <v>1.5241745131704001</v>
      </c>
      <c r="LR92" s="170">
        <f ca="1">$AQ92*(1-Control!$C$142)-$LQ92</f>
        <v>-1.5241745131704001</v>
      </c>
      <c r="LS92" s="170">
        <f ca="1">$AQ92*(1-Control!$C$143)-$LQ92</f>
        <v>-1.5241745131704001</v>
      </c>
      <c r="LT92" s="170">
        <f ca="1">$AQ92*(1-Control!$C$144)-$LQ92</f>
        <v>-1.5241745131704001</v>
      </c>
      <c r="LU92" s="169">
        <f ca="1">(1-Control!$C$144)*AQ92-LP92</f>
        <v>3.2464704755046001</v>
      </c>
      <c r="LV92" s="172">
        <f t="shared" ca="1" si="331"/>
        <v>0.79430000000000012</v>
      </c>
      <c r="LW92" s="170">
        <f t="shared" ca="1" si="332"/>
        <v>1.5886000000000002</v>
      </c>
      <c r="LX92" s="170">
        <f ca="1">($AC92*($LR92/Control!$C$141)+$LM92*$LV92)/($AC92+$LM92)</f>
        <v>0.23530094218323697</v>
      </c>
      <c r="LY92" s="170">
        <f ca="1">($AC92*($LS92/Control!$C$141)+$LM92*$LV92)/($AC92+$LM92)</f>
        <v>0.23530094218323697</v>
      </c>
      <c r="LZ92" s="170">
        <f t="shared" ca="1" si="333"/>
        <v>0.23530094218323697</v>
      </c>
      <c r="MA92" s="170">
        <f t="shared" ca="1" si="334"/>
        <v>0.23530094218323697</v>
      </c>
      <c r="MB92" s="170" t="e">
        <f t="shared" ca="1" si="335"/>
        <v>#N/A</v>
      </c>
      <c r="MC92" s="170">
        <f t="shared" ca="1" si="425"/>
        <v>0.6018</v>
      </c>
      <c r="MD92" s="170">
        <f t="shared" ca="1" si="336"/>
        <v>0.52989392535414004</v>
      </c>
      <c r="ME92" s="170">
        <f ca="1">($AC92*($LT92/Control!$C$141)+$LM92*$LW92)/($AC92+$LM92)</f>
        <v>0.71612369323045078</v>
      </c>
      <c r="MF92" s="170" t="e">
        <f ca="1">IF(Control!$B$16&gt;=1000,0.92,IF(AND(720&lt;=Control!$B$16,1000&gt;Control!$B$16),(0.95+(Control!$B$16-720)*((0.92-0.95)/(1000-720))),IF(AND(360&lt;=Control!$B$16,720&gt;Control!$B$16),(1+(Control!$B$16-360)*((0.95-1)/(720-360))),IF(AND(40&lt;=Control!$B$16,360&gt;Control!$B$16),(1.05+(Control!$B$16-40)*((1.05-1)/(360-40)))))))</f>
        <v>#N/A</v>
      </c>
      <c r="MG92" s="170">
        <f t="shared" ca="1" si="337"/>
        <v>0.71612369323045078</v>
      </c>
      <c r="MH92" s="170" t="e">
        <f t="shared" ca="1" si="462"/>
        <v>#N/A</v>
      </c>
      <c r="MI92" s="170" t="e">
        <f t="shared" ca="1" si="462"/>
        <v>#N/A</v>
      </c>
      <c r="MJ92" s="170" t="e">
        <f ca="1">MAX(0.0001, Control!$C$132*$MI92*$DL92)</f>
        <v>#N/A</v>
      </c>
      <c r="MK92" s="170">
        <f ca="1">1/(0.76+1.5*($MG92/10))-(5-Control!$C$110)*0.1</f>
        <v>1.002845988140797</v>
      </c>
      <c r="ML92" s="173">
        <f ca="1">IF(Control!$C$110&lt;3,$MK92+($MG92-0.6)/(Control!$C$110*(Control!$C$110+3)), MAX(0.1, MIN(0.95,$MK92)))</f>
        <v>0.95</v>
      </c>
      <c r="MM92" s="173">
        <f ca="1">IF(Control!$C$110&lt;3,$MK92+(($MI92/10)-0.6)/(Control!$C$110*(Control!$C$110+3)), MAX(0.1, MIN(0.95,$MK92)))</f>
        <v>0.95</v>
      </c>
      <c r="MN92" s="173">
        <f ca="1">(1-$MM92)*(Control!$C$128-Control!$C$127)+Control!$C$127</f>
        <v>0.16</v>
      </c>
      <c r="MO92" s="170" t="e">
        <f ca="1">MAX(0,MIN(1,($MS92-Control!$C$127)/($MN92-Control!$C$127)))</f>
        <v>#DIV/0!</v>
      </c>
      <c r="MP92" s="173" t="e">
        <f ca="1">1/(0.76+1.5*$MI92)-(5-Control!$C$110)*0.1</f>
        <v>#N/A</v>
      </c>
      <c r="MQ92" s="172" t="e">
        <f t="shared" ca="1" si="454"/>
        <v>#DIV/0!</v>
      </c>
      <c r="MR92" s="168" t="e">
        <f t="shared" ca="1" si="426"/>
        <v>#DIV/0!</v>
      </c>
      <c r="MS92" s="173" t="e">
        <f ca="1">MAX(Control!$C$127, MIN(Control!$C$135, $MR92/MAX(0.0001,$CY92)))</f>
        <v>#DIV/0!</v>
      </c>
      <c r="MT92" s="168" t="e">
        <f ca="1">(Control!$C$128-$MS92)*Control!$C$74</f>
        <v>#DIV/0!</v>
      </c>
      <c r="MU92" s="168" t="e">
        <f ca="1">(Control!$C$135-$MS92)*Control!$C$74</f>
        <v>#DIV/0!</v>
      </c>
      <c r="MV92" s="168" t="e">
        <f t="shared" ca="1" si="427"/>
        <v>#DIV/0!</v>
      </c>
      <c r="MW92" s="168" t="e">
        <f t="shared" ca="1" si="428"/>
        <v>#DIV/0!</v>
      </c>
      <c r="MX92" s="171" t="e">
        <f ca="1">MAX(Control!$C$127, MIN(Control!$C$135, $MW92/MAX(0.0001,Control!$C$119-$CY92)))</f>
        <v>#DIV/0!</v>
      </c>
      <c r="MY92" s="54" t="e">
        <f ca="1">IF(Control!$C$114=1, $CX92*$MX92, 0)</f>
        <v>#DIV/0!</v>
      </c>
      <c r="MZ92" s="54" t="e">
        <f t="shared" ca="1" si="429"/>
        <v>#N/A</v>
      </c>
      <c r="NA92" s="168" t="e">
        <f ca="1">(Control!$C$128-$MX92)*(Control!$C$119-Control!$C$74)</f>
        <v>#DIV/0!</v>
      </c>
      <c r="NB92" s="168" t="e">
        <f ca="1">(Control!$C$135-$MX92)*(Control!$C$119-Control!$C$74)</f>
        <v>#DIV/0!</v>
      </c>
      <c r="NC92" s="174" t="e">
        <f t="shared" ca="1" si="430"/>
        <v>#DIV/0!</v>
      </c>
      <c r="ND92" s="54">
        <f ca="1">IF(Control!$C$58=2, IF(OR(Control!$B$218=$AH92,Control!$B$219=$AH92, Control!$B$220=$AH92, Control!$B$221=$AH92, Control!$B$222=$AH92, Control!$B$223=$AH92, Control!$B$224=$AH92, Control!$B$225=$AH92, Control!$B$226=$AH92, Control!$B$227=$AH92, Control!$B$228=$AH92), 1, 0), 0)</f>
        <v>0</v>
      </c>
      <c r="NE92" s="54">
        <f ca="1">IF($ND92=0,0, VLOOKUP($AH92,Control!$B$218:$C$228,2))</f>
        <v>0</v>
      </c>
      <c r="NF92" s="168" t="e">
        <f ca="1">$CY92*(Control!$C$128-Control!$C$127)</f>
        <v>#N/A</v>
      </c>
      <c r="NG92" s="54" t="e">
        <f ca="1">IF(Control!$C$58=2, $NI91-$NJ91, 0)</f>
        <v>#DIV/0!</v>
      </c>
      <c r="NH92" s="54" t="e">
        <f ca="1">IF(AND(Control!$C$58=1, $MS91&lt;= ($MN91+0.02), $I91&lt;10), 0, IF(Control!$C$58=2, $NG91, 0))</f>
        <v>#DIV/0!</v>
      </c>
      <c r="NI92" s="54" t="e">
        <f ca="1">IF(Control!$C$58=2, $NE92+$NH92,0)</f>
        <v>#DIV/0!</v>
      </c>
      <c r="NJ92" s="54" t="e">
        <f ca="1">IF(AND(Control!$C$58=1, $MS92&lt;= ($MN92+0.02), $I92&lt;10), MAX(0, MIN(10, 0.7*($NF92-$MV92))), IF(Control!$C$58=2, MIN(10,$NI92),0))</f>
        <v>#DIV/0!</v>
      </c>
      <c r="NK92" s="54" t="e">
        <f t="shared" ca="1" si="338"/>
        <v>#DIV/0!</v>
      </c>
      <c r="NL92" s="173" t="e">
        <f ca="1">(1-Control!$C$73)*$I92+$NJ92</f>
        <v>#DIV/0!</v>
      </c>
      <c r="NM92" s="172" t="e">
        <f ca="1">IF($NL92&lt;0.5, $MB92* MAX(0, MIN(1, (SQRT($NC92)-SQRT($NC92-1))*Control!$C$71)),0)</f>
        <v>#DIV/0!</v>
      </c>
      <c r="NN92" s="170" t="e">
        <f ca="1">IF($NL92&gt;=5, $MB92, MAX(0,MIN($MB92, $NM92+$NL92,($MS92-Control!$C$129))))</f>
        <v>#DIV/0!</v>
      </c>
      <c r="NO92" s="54">
        <f>IF(Control!$C$133&lt;&gt;1, Control!$C$135-Control!$C$131, 0)</f>
        <v>0.38</v>
      </c>
      <c r="NP92" s="54" t="e">
        <f t="shared" ca="1" si="339"/>
        <v>#DIV/0!</v>
      </c>
      <c r="NQ92" s="173" t="e">
        <f ca="1">MAX(0,MIN(1,(Control!$C$135-$MS92)/(Control!$C$135-$NO92)))</f>
        <v>#DIV/0!</v>
      </c>
      <c r="NR92" s="170" t="e">
        <f ca="1">IF(Control!$C$133&lt;&gt;1, $NQ92+((1-$NP92/4)*(1-$NQ92)),1)</f>
        <v>#DIV/0!</v>
      </c>
      <c r="NS92" s="170" t="e">
        <f ca="1">IF(Control!$B$31=0,$MJ92,MAX(0,MIN($MV92,$MO92*$NR92*$MJ92)))</f>
        <v>#DIV/0!</v>
      </c>
      <c r="NT92" s="170" t="e">
        <f t="shared" ca="1" si="455"/>
        <v>#DIV/0!</v>
      </c>
      <c r="NU92" s="170" t="e">
        <f t="shared" ca="1" si="431"/>
        <v>#N/A</v>
      </c>
      <c r="NV92" s="170" t="e">
        <f t="shared" ca="1" si="340"/>
        <v>#N/A</v>
      </c>
      <c r="NW92" s="175" t="e">
        <f t="shared" ca="1" si="341"/>
        <v>#DIV/0!</v>
      </c>
      <c r="NX92" s="170" t="e">
        <f ca="1">MIN(Control!$C$72+$MU92, $NW92)</f>
        <v>#DIV/0!</v>
      </c>
      <c r="NY92" s="170" t="e">
        <f ca="1">IF($MT92&lt;=$NX92,MIN(Control!$C$72+$NB92,$NX92-$MT92),0)</f>
        <v>#DIV/0!</v>
      </c>
      <c r="NZ92" s="54" t="e">
        <f ca="1">IF(Control!$C$114=1,  $CX92*($MX92-Control!$C$127), 0)</f>
        <v>#DIV/0!</v>
      </c>
      <c r="OA92" s="170" t="e">
        <f t="shared" ca="1" si="342"/>
        <v>#DIV/0!</v>
      </c>
      <c r="OB92" s="170" t="e">
        <f ca="1">IF($NA92 &lt;=$NY92, MIN(Control!$C$72, $NY92-$NA92), 0)</f>
        <v>#DIV/0!</v>
      </c>
      <c r="OC92" s="168" t="e">
        <f t="shared" ca="1" si="343"/>
        <v>#DIV/0!</v>
      </c>
      <c r="OD92" s="168" t="e">
        <f t="shared" ca="1" si="432"/>
        <v>#DIV/0!</v>
      </c>
      <c r="OE92" s="170">
        <f ca="1">Control!$C$73*$I92</f>
        <v>0</v>
      </c>
      <c r="OF92" s="176" t="e">
        <f t="shared" ca="1" si="344"/>
        <v>#DIV/0!</v>
      </c>
      <c r="OG92" s="168" t="e">
        <f t="shared" ca="1" si="345"/>
        <v>#DIV/0!</v>
      </c>
      <c r="OH92" s="168" t="e">
        <f t="shared" ca="1" si="346"/>
        <v>#DIV/0!</v>
      </c>
      <c r="OI92" s="168" t="e">
        <f t="shared" ca="1" si="347"/>
        <v>#DIV/0!</v>
      </c>
      <c r="OJ92" s="168" t="e">
        <f t="shared" ca="1" si="348"/>
        <v>#DIV/0!</v>
      </c>
      <c r="OK92" s="204" t="e">
        <f t="shared" ca="1" si="349"/>
        <v>#DIV/0!</v>
      </c>
      <c r="OL92" s="177">
        <f>Control!$C$127</f>
        <v>0.15</v>
      </c>
      <c r="OM92" s="182" t="e">
        <f t="shared" ca="1" si="350"/>
        <v>#N/A</v>
      </c>
      <c r="ON92" s="177">
        <f>Control!$C$128</f>
        <v>0.35</v>
      </c>
      <c r="OO92" s="182" t="e">
        <f t="shared" ca="1" si="351"/>
        <v>#N/A</v>
      </c>
      <c r="OP92" s="138">
        <f t="shared" ca="1" si="433"/>
        <v>0</v>
      </c>
      <c r="OQ92" s="138" t="e">
        <f t="shared" ca="1" si="456"/>
        <v>#DIV/0!</v>
      </c>
      <c r="OR92" s="138" t="e">
        <f t="shared" ca="1" si="434"/>
        <v>#DIV/0!</v>
      </c>
      <c r="OS92" s="137" t="e">
        <f t="shared" ca="1" si="457"/>
        <v>#DIV/0!</v>
      </c>
      <c r="OT92" s="139" t="e">
        <f t="shared" ca="1" si="458"/>
        <v>#DIV/0!</v>
      </c>
      <c r="OU92" s="138" t="e">
        <f t="shared" ca="1" si="459"/>
        <v>#N/A</v>
      </c>
      <c r="OV92" s="138" t="e">
        <f t="shared" ca="1" si="460"/>
        <v>#DIV/0!</v>
      </c>
      <c r="OW92" s="138" t="e">
        <f t="shared" ca="1" si="435"/>
        <v>#DIV/0!</v>
      </c>
      <c r="OX92" s="138" t="e">
        <f t="shared" ca="1" si="436"/>
        <v>#DIV/0!</v>
      </c>
      <c r="OY92" s="138" t="e">
        <f t="shared" ca="1" si="437"/>
        <v>#DIV/0!</v>
      </c>
      <c r="OZ92" s="138" t="e">
        <f t="shared" ca="1" si="352"/>
        <v>#DIV/0!</v>
      </c>
      <c r="PA92" s="138" t="e">
        <f t="shared" ca="1" si="353"/>
        <v>#DIV/0!</v>
      </c>
      <c r="PB92" s="55">
        <f>IF(Control!$C$61="T", IF(Control!$C$65="F", IF($AH$6-Control!$C$60&lt;0,0,1), IF(365+$AH$6-Control!$C$60&lt;0,0,1)),0)</f>
        <v>0</v>
      </c>
      <c r="PC92" s="55">
        <f ca="1">IF(Control!$C$65="F", IF($AH$6-$HF92&lt;0,0,1), IF(365+$AH$6-$HF92&lt;0,0,1))</f>
        <v>1</v>
      </c>
      <c r="PD92" s="444">
        <f>Control!$C$118</f>
        <v>1500</v>
      </c>
      <c r="PE92" s="180" t="e">
        <f t="shared" ca="1" si="354"/>
        <v>#N/A</v>
      </c>
      <c r="PF92" s="445">
        <f t="shared" ca="1" si="438"/>
        <v>0.71612369323045078</v>
      </c>
      <c r="PT92" s="186"/>
      <c r="PU92" s="186"/>
      <c r="PV92" s="94"/>
      <c r="PW92" s="94"/>
      <c r="PX92" s="94"/>
      <c r="PY92" s="94"/>
      <c r="PZ92" s="94"/>
      <c r="QA92" s="94"/>
      <c r="QB92" s="94"/>
      <c r="QC92" s="94"/>
      <c r="QD92" s="94"/>
      <c r="QE92" s="94"/>
      <c r="QF92" s="94"/>
      <c r="QG92" s="94"/>
      <c r="QH92" s="94"/>
      <c r="QI92" s="94"/>
      <c r="QJ92" s="94"/>
      <c r="QK92" s="94"/>
      <c r="QL92" s="94"/>
      <c r="QM92" s="94"/>
      <c r="QN92" s="94"/>
      <c r="QO92" s="94"/>
      <c r="QP92" s="94"/>
    </row>
    <row r="93" spans="1:458" s="2" customFormat="1" x14ac:dyDescent="0.2">
      <c r="A93" s="395">
        <v>29</v>
      </c>
      <c r="B93" s="396">
        <v>3</v>
      </c>
      <c r="C93" s="387">
        <f ca="1">Weather_data!$B92</f>
        <v>0</v>
      </c>
      <c r="D93" s="388">
        <f ca="1">Weather_data!$F92</f>
        <v>0</v>
      </c>
      <c r="E93" s="388">
        <f ca="1">Weather_data!$E92</f>
        <v>0</v>
      </c>
      <c r="F93" s="388">
        <f t="shared" ca="1" si="355"/>
        <v>0</v>
      </c>
      <c r="G93" s="388">
        <f ca="1">AVERAGE($D93:$E93)+Control!$B$9</f>
        <v>0</v>
      </c>
      <c r="H93" s="388">
        <f ca="1">Weather_data!$G92</f>
        <v>0</v>
      </c>
      <c r="I93" s="388">
        <f ca="1">Weather_data!$I92</f>
        <v>0</v>
      </c>
      <c r="J93" s="388">
        <f ca="1">Weather_data!$H92</f>
        <v>0</v>
      </c>
      <c r="K93" s="389">
        <f ca="1">Weather_data!$D92</f>
        <v>0</v>
      </c>
      <c r="L93" s="388" t="e">
        <f t="shared" ca="1" si="356"/>
        <v>#N/A</v>
      </c>
      <c r="M93" s="388" t="e">
        <f t="shared" ca="1" si="234"/>
        <v>#N/A</v>
      </c>
      <c r="N93" s="388">
        <f t="shared" ca="1" si="235"/>
        <v>-5.2247838165889162E-5</v>
      </c>
      <c r="O93" s="388">
        <f t="shared" ca="1" si="357"/>
        <v>5.224783816588916E-4</v>
      </c>
      <c r="P93" s="390">
        <v>3</v>
      </c>
      <c r="Q93" s="388">
        <f ca="1">MAX($G93-Control!$C$107,0)</f>
        <v>0</v>
      </c>
      <c r="R93" s="388">
        <f t="shared" ca="1" si="358"/>
        <v>0</v>
      </c>
      <c r="S93" s="388">
        <f t="shared" ca="1" si="236"/>
        <v>0</v>
      </c>
      <c r="T93" s="388">
        <f t="shared" ca="1" si="237"/>
        <v>0</v>
      </c>
      <c r="U93" s="59">
        <f t="shared" ca="1" si="238"/>
        <v>0</v>
      </c>
      <c r="V93" s="391">
        <f ca="1">MAX(0,MIN(Control!$C$100-Control!$C$99,$G93-Control!$C$99)*Control!$C$63)</f>
        <v>0</v>
      </c>
      <c r="W93" s="388">
        <f t="shared" ca="1" si="359"/>
        <v>0</v>
      </c>
      <c r="X93" s="388">
        <f t="shared" ca="1" si="360"/>
        <v>0.6110000000000001</v>
      </c>
      <c r="Y93" s="388">
        <f t="shared" ca="1" si="239"/>
        <v>0</v>
      </c>
      <c r="Z93" s="388">
        <f t="shared" ca="1" si="361"/>
        <v>0.61058800000000002</v>
      </c>
      <c r="AA93" s="388">
        <f t="shared" ca="1" si="240"/>
        <v>0.6018</v>
      </c>
      <c r="AB93" s="388">
        <f ca="1">101.3*EXP(-0.034*Control!$C$66/($G93+273))</f>
        <v>100.69623283836242</v>
      </c>
      <c r="AC93" s="392">
        <f t="shared" ca="1" si="241"/>
        <v>4.3460251046025113E-2</v>
      </c>
      <c r="AD93" s="392">
        <f t="shared" ca="1" si="242"/>
        <v>4.4450382862832649E-2</v>
      </c>
      <c r="AE93" s="388">
        <f t="shared" ca="1" si="243"/>
        <v>0</v>
      </c>
      <c r="AF93" s="388">
        <f ca="1">MAX(0,$G93-Control!$C$92)</f>
        <v>0</v>
      </c>
      <c r="AG93" s="393">
        <f t="shared" ca="1" si="244"/>
        <v>89</v>
      </c>
      <c r="AH93" s="389">
        <f t="shared" ca="1" si="245"/>
        <v>89</v>
      </c>
      <c r="AI93" s="388">
        <f t="shared" ca="1" si="362"/>
        <v>5.295946147484043E-2</v>
      </c>
      <c r="AJ93" s="388">
        <f ca="1">IF(Control!$C$60&lt;=0,$HH93,$HI93)</f>
        <v>1</v>
      </c>
      <c r="AK93" s="388">
        <f t="shared" ca="1" si="246"/>
        <v>0.15492785688935967</v>
      </c>
      <c r="AL93" s="388">
        <f t="shared" ca="1" si="247"/>
        <v>3.0656120003635932E-18</v>
      </c>
      <c r="AM93" s="388">
        <f t="shared" ca="1" si="248"/>
        <v>0.15492785688935967</v>
      </c>
      <c r="AN93" s="388">
        <f t="shared" ca="1" si="249"/>
        <v>6.142266356883945E-2</v>
      </c>
      <c r="AO93" s="388">
        <f ca="1">-0.10453/COS(Control!$B$8*PI()/180)*COS(AN93)</f>
        <v>-0.16946468753141036</v>
      </c>
      <c r="AP93" s="388">
        <f ca="1">ACOS(AO93-TAN(Control!$B$8*PI()/180)*TAN(AN93))</f>
        <v>1.8215985143111872</v>
      </c>
      <c r="AQ93" s="388">
        <f t="shared" ca="1" si="363"/>
        <v>0</v>
      </c>
      <c r="AR93" s="394">
        <f t="shared" ca="1" si="250"/>
        <v>0</v>
      </c>
      <c r="AS93" s="436">
        <f ca="1">IF(Control!$B$18=2,(IF(OR($AH93=Control!$B$175,$AH93=Control!$B$176,$AH93=Control!$B$177,$AH93=Control!$B$178,$AH93=Control!$B$179,$AH93=Control!$B$180,$AH93=Control!$B$181,$AH93=Control!$B$182,$AH93=Control!$B$183,$AH93=Control!$B$184,$AH93=Control!$B$185),1,0)),0)</f>
        <v>0</v>
      </c>
      <c r="AT93" s="436">
        <f>IF(Control!$B$20=8,IF(AND($AH93&gt;=Control!$B$172,$AH93&lt;=Control!$B$173),1,0),0)</f>
        <v>0</v>
      </c>
      <c r="AU93" s="436">
        <f>IF(Control!$B$20=8,IF($AV92=1,1*$AT93,IF($AT93=1,$AU92+1,$AU92)),0)</f>
        <v>0</v>
      </c>
      <c r="AV93" s="436">
        <f>IF(Control!$B$20=8,IF($AU93&gt;=Control!$B$174,1,0),0)</f>
        <v>0</v>
      </c>
      <c r="AW93" s="436">
        <f ca="1">IF(AND(Control!$B$18=2,Control!$B$171=1), $AV93, $AS93)</f>
        <v>0</v>
      </c>
      <c r="AX93" s="436" t="e">
        <f ca="1">IF(AND(Control!$B$18=1,$EU93&gt;=Control!$B$19),-$AY93,IF(AND(Control!$B$18=2,$AW93=1,$EU93&gt;$DS93),-$AY93, IF(Control!$C$108=0,0, IF(Control!$C$108&lt;&gt;0,1))))</f>
        <v>#N/A</v>
      </c>
      <c r="AY93" s="436" t="e">
        <f t="shared" ca="1" si="364"/>
        <v>#N/A</v>
      </c>
      <c r="AZ93" s="436" t="e">
        <f ca="1">IF(AND(Control!$B$18=1,$EB93&gt;Control!$B$19),$AZ92+1, IF(AND(Control!$B$18=2, $AW93=1, $EB93&gt;$DS93), $AZ92+1,$AZ92))</f>
        <v>#N/A</v>
      </c>
      <c r="BA93" s="587">
        <f>IF(Control!$C$81=0,1,IF($AH93&gt;=Control!$C$82,1,0))</f>
        <v>1</v>
      </c>
      <c r="BB93" s="140" t="e">
        <f ca="1">IF($BA93&gt;$BA92,Control!$C$83,IF($AW93&gt;0,$AW93*Control!$C$84,IF(AND(Control!$B$18=1,EN92&lt;&gt;0),Control!$C$84,0)))</f>
        <v>#N/A</v>
      </c>
      <c r="BC93" s="140" t="e">
        <f t="shared" ca="1" si="365"/>
        <v>#N/A</v>
      </c>
      <c r="BD93" s="140" t="e">
        <f ca="1">BC93*IF(OR($G93&lt;Control!$C$92,$G93&gt;Control!$C$95),0,IF(AND($G93&gt;=Control!$C$92,$G93&lt;=Control!$C$93),$G93-Control!$C$92,IF(AND($G93&gt;Control!$C$93,$G93&lt;=Control!$C$94),Control!$C$93-Control!$C$92,IF(AND($G93&gt;Control!$C$94,$G93&lt;=Control!$C$95),(Control!$C$93-Control!$C$92)*(Control!$C$94-$G93)/(Control!$C$95-Control!$C$94)))))</f>
        <v>#N/A</v>
      </c>
      <c r="BE93" s="140" t="e">
        <f t="shared" ca="1" si="366"/>
        <v>#N/A</v>
      </c>
      <c r="BF93" s="140" t="e">
        <f ca="1">IF($BE93&lt;=Control!$C$86,$BE93,Control!$C$86-$BE93)</f>
        <v>#N/A</v>
      </c>
      <c r="BG93" s="140" t="e">
        <f ca="1">IF(AND($AW93=1,Control!$C$84&lt;9),1,IF($BE93&gt;=Control!$C$86,0,$BC93))</f>
        <v>#N/A</v>
      </c>
      <c r="BH93" s="404" t="e">
        <f ca="1">IF($BG93=0,0,IF($BE93&lt;=Control!$C$86,$BC93*9*($BF93/Control!$C$86),0))</f>
        <v>#N/A</v>
      </c>
      <c r="BI93" s="140" t="e">
        <f ca="1">IF($BG93=1,0,IF($BE93&gt;=Control!$C$86,1,IF(AND($BB93&lt;21,$BB93&gt;=9),1,$BM92)))</f>
        <v>#N/A</v>
      </c>
      <c r="BJ93" s="140" t="e">
        <f ca="1">IF($BF93&lt;0,-$BF93,$BI93*IF(OR($G93&lt;Control!$C$92,$G93&gt;Control!$C$95),0,IF(AND($G93&gt;=Control!$C$92,$G93&lt;=Control!$C$93),$G93-Control!$C$92,IF(AND($G93&gt;Control!$C$93,$G93&lt;=Control!$C$94),Control!$C$93-Control!$C$92,IF(AND($G93&gt;Control!$C$94,$G93&lt;=Control!$C$95),(Control!$C$93-Control!$C$92)*(Control!$C$94-$G93)/(Control!$C$95-Control!$C$94))))))</f>
        <v>#N/A</v>
      </c>
      <c r="BK93" s="140" t="e">
        <f t="shared" ca="1" si="367"/>
        <v>#N/A</v>
      </c>
      <c r="BL93" s="140" t="e">
        <f ca="1">IF($BK93&lt;=Control!$C$87,$BK93,Control!$C$87-$BK93)</f>
        <v>#N/A</v>
      </c>
      <c r="BM93" s="140" t="e">
        <f ca="1">IF(AND($BB93&gt;=9,$BB93&lt;21),1,IF($BK93&gt;=Control!$C$87,0,$BI93))</f>
        <v>#N/A</v>
      </c>
      <c r="BN93" s="404" t="e">
        <f ca="1">IF($BM93=0,0,IF($BK93&lt;=Control!$C$87,$BI93*(9+(21-9)*($BL93/Control!$C$87)),0))</f>
        <v>#N/A</v>
      </c>
      <c r="BO93" s="140" t="e">
        <f ca="1">IF($BM93=1,0,IF($BK93&gt;=Control!$C$87,1,IF(AND($BB93&lt;30,$BB93&gt;=21),1,$BS92)))</f>
        <v>#N/A</v>
      </c>
      <c r="BP93" s="140" t="e">
        <f ca="1">IF($BL93&lt;0,-$BL93,$BO93*IF(OR($G93&lt;Control!$C$92,$G93&gt;Control!$C$95),0,IF(AND($G93&gt;=Control!$C$92,$G93&lt;=Control!$C$93),$G93-Control!$C$92,IF(AND($G93&gt;Control!$C$93,$G93&lt;=Control!$C$94),Control!$C$93-Control!$C$92,IF(AND($G93&gt;Control!$C$94,$G93&lt;=Control!$C$95),(Control!$C$93-Control!$C$92)*(Control!$C$94-$G93)/(Control!$C$95-Control!$C$94))))))</f>
        <v>#N/A</v>
      </c>
      <c r="BQ93" s="140" t="e">
        <f t="shared" ca="1" si="251"/>
        <v>#N/A</v>
      </c>
      <c r="BR93" s="140" t="e">
        <f ca="1">IF($BQ93&lt;=Control!$C$88,$BQ93,Control!$C$88-$BQ93)</f>
        <v>#N/A</v>
      </c>
      <c r="BS93" s="140" t="e">
        <f ca="1">IF(AND($BB93&gt;=21,$BB93&lt;30),1,IF($BQ93&gt;=Control!$C$88,0,$BO93))</f>
        <v>#N/A</v>
      </c>
      <c r="BT93" s="404" t="e">
        <f ca="1">IF($BS93=0,0,IF($BQ93&lt;=Control!$C$88,$BO93*(21+(30-21)*(BR93/Control!$C$88)),0))</f>
        <v>#N/A</v>
      </c>
      <c r="BU93" s="140" t="e">
        <f ca="1">IF(BG93+BM93+BS93=1,0,IF(OR(AND($BB93&lt;60,$BB93&gt;=30),$BQ93&gt;=Control!$C$88),1*$BA93,$BY92))</f>
        <v>#N/A</v>
      </c>
      <c r="BV93" s="140" t="e">
        <f ca="1">IF($BR93&lt;0,-$BR93,$BU93*IF(OR($G93&lt;Control!$C$92,$G93&gt;Control!$C$95),0,IF(AND($G93&gt;=Control!$C$92,$G93&lt;=Control!$C$93),$G93-Control!$C$92,IF(AND($G93&gt;Control!$C$93,$G93&lt;=Control!$C$94),Control!$C$93-Control!$C$92,IF(AND($G93&gt;Control!$C$94,$G93&lt;=Control!$C$95),(Control!$C$93-Control!$C$92)*(Control!$C$94-$G93)/(Control!$C$95-Control!$C$94))))))</f>
        <v>#N/A</v>
      </c>
      <c r="BW93" s="140" t="e">
        <f t="shared" ca="1" si="252"/>
        <v>#N/A</v>
      </c>
      <c r="BX93" s="140" t="e">
        <f ca="1">IF($BW93&lt;=Control!$C$89,$BW93,Control!$C$89-$BW93)</f>
        <v>#N/A</v>
      </c>
      <c r="BY93" s="140" t="e">
        <f ca="1">IF(AND($AJ93&gt;=30,$AJ93&lt;60),1,IF($BW93&gt;=Control!$C$89,0,$BU93))</f>
        <v>#N/A</v>
      </c>
      <c r="BZ93" s="404" t="e">
        <f ca="1">IF($BY93=0,0,IF($BW93&lt;=Control!$C$89,$BU93*(30+(60-30)*(BX93/Control!$C$89)),0))</f>
        <v>#N/A</v>
      </c>
      <c r="CA93" s="140" t="e">
        <f ca="1">IF($BG93+$BM93+$BS93+$BY93=1,0,IF(OR(AND($BB93&lt;65,$BB93&gt;=60),$BW93&gt;=Control!$C$89),1*$BA93,$CE92))</f>
        <v>#N/A</v>
      </c>
      <c r="CB93" s="140" t="e">
        <f ca="1">IF($BX93&lt;0,-$BX93,$CA93*IF(OR($G93&lt;Control!$C$92,$G93&gt;Control!$C$95),0,IF(AND($G93&gt;=Control!$C$92,$G93&lt;=Control!$C$93),$G93-Control!$C$92,IF(AND($G93&gt;Control!$C$93,$G93&lt;=Control!$C$94),Control!$C$93-Control!$C$92,IF(AND($G93&gt;Control!$C$94,$G93&lt;=Control!$C$95),(Control!$C$93-Control!$C$92)*(Control!$C$94-$G93)/(Control!$C$95-Control!$C$94))))))</f>
        <v>#N/A</v>
      </c>
      <c r="CC93" s="140" t="e">
        <f t="shared" ca="1" si="368"/>
        <v>#N/A</v>
      </c>
      <c r="CD93" s="140" t="e">
        <f ca="1">IF($CC93&lt;=Control!$C$90,$CC93,Control!$C$90-$CC93)</f>
        <v>#N/A</v>
      </c>
      <c r="CE93" s="140" t="e">
        <f ca="1">IF(AND($BB93&gt;=60,$BB93&lt;65),1,IF($CC93&gt;=Control!$C$90,0,$CA93))</f>
        <v>#N/A</v>
      </c>
      <c r="CF93" s="404" t="e">
        <f ca="1">IF($CE93=0,0,IF($CC93&lt;=Control!$C$90,$CA93*(60+(65-60)*(CD93/Control!$C$90)),0))</f>
        <v>#N/A</v>
      </c>
      <c r="CG93" s="140" t="e">
        <f ca="1">IF($BG93+$BM93+$BS93+$BY93+$CE93=1,0,IF(OR(AND($BB93&lt;90,$BB93&gt;=65),$CC93&gt;=Control!$C$90),$BA93,$CK92))</f>
        <v>#N/A</v>
      </c>
      <c r="CH93" s="140" t="e">
        <f ca="1">IF($CD93&lt;0,-$CD93,$CG93*IF(OR($G93&lt;Control!$C$92,$G93&gt;Control!$C$95),0,IF(AND($G93&gt;=Control!$C$92,$G93&lt;=Control!$C$93),$G93-Control!$C$92,IF(AND($G93&gt;Control!$C$93,$G93&lt;=Control!$C$94),Control!$C$93-Control!$C$92,IF(AND($G93&gt;Control!$C$94,$G93&lt;=Control!$C$95),(Control!$C$93-Control!$C$92)*(Control!$C$94-$G93)/(Control!$C$95-Control!$C$94))))))</f>
        <v>#N/A</v>
      </c>
      <c r="CI93" s="140" t="e">
        <f t="shared" ca="1" si="369"/>
        <v>#N/A</v>
      </c>
      <c r="CJ93" s="140" t="e">
        <f ca="1">IF($CI93&lt;=Control!$C$91,$CI93,Control!$C$91-$CI93)</f>
        <v>#N/A</v>
      </c>
      <c r="CK93" s="140" t="e">
        <f ca="1">IF(AND($BB93&gt;=65,$BB93&lt;90),1,IF($CI93&gt;=Control!$C$91,0,$CG93))</f>
        <v>#N/A</v>
      </c>
      <c r="CL93" s="404" t="e">
        <f ca="1">IF($CK93=0,0,IF($CI93&lt;=Control!$C$91,$CG93*(65+(90-65)*($CJ93/Control!$C$91)),0))</f>
        <v>#N/A</v>
      </c>
      <c r="CM93" s="140" t="e">
        <f ca="1">IF($BG93+$BM93+$BS93+$BY93+$CE93+$CK93=1,0,IF(OR($BB93&gt;=90,$CI93&gt;=Control!$C$91),$BA93,$CM92))</f>
        <v>#N/A</v>
      </c>
      <c r="CN93" s="140" t="e">
        <f t="shared" ca="1" si="370"/>
        <v>#N/A</v>
      </c>
      <c r="CO93" s="140" t="e">
        <f t="shared" ca="1" si="371"/>
        <v>#N/A</v>
      </c>
      <c r="CP93" s="140" t="e">
        <f t="shared" ca="1" si="372"/>
        <v>#N/A</v>
      </c>
      <c r="CQ93" s="141" t="e">
        <f ca="1">VLOOKUP($CP93,Control!$B$86:$G$91,6)</f>
        <v>#N/A</v>
      </c>
      <c r="CR93" s="141" t="e">
        <f ca="1">(1-$CQ93)*VLOOKUP($CP93,Control!$B$86:$D$91,3)</f>
        <v>#N/A</v>
      </c>
      <c r="CS93" s="141" t="e">
        <f ca="1">(1-$CQ93)*VLOOKUP($CP93,Control!$B$86:$E$91,4)</f>
        <v>#N/A</v>
      </c>
      <c r="CT93" s="141" t="e">
        <f ca="1">(1-$CQ93)*VLOOKUP($CP93,Control!$B$86:$F$91,5)</f>
        <v>#N/A</v>
      </c>
      <c r="CU93" s="141">
        <f t="shared" ca="1" si="373"/>
        <v>0</v>
      </c>
      <c r="CV93" s="583">
        <f t="shared" ca="1" si="374"/>
        <v>0</v>
      </c>
      <c r="CW93" s="142">
        <f t="shared" ca="1" si="375"/>
        <v>89</v>
      </c>
      <c r="CX93" s="612" t="e">
        <f ca="1">IF(Control!$C$114=1,(MIN(Control!$C$120*(IF($NT93-0.01&lt;0,0,1)),Control!$C$119-$CY93)))</f>
        <v>#DIV/0!</v>
      </c>
      <c r="CY93" s="143" t="e">
        <f t="shared" ca="1" si="376"/>
        <v>#N/A</v>
      </c>
      <c r="CZ93" s="144">
        <f t="shared" ca="1" si="253"/>
        <v>0</v>
      </c>
      <c r="DA93" s="144">
        <f t="shared" ca="1" si="254"/>
        <v>0</v>
      </c>
      <c r="DB93" s="144" t="e">
        <f t="shared" ca="1" si="255"/>
        <v>#N/A</v>
      </c>
      <c r="DC93" s="144" t="e">
        <f t="shared" ca="1" si="256"/>
        <v>#N/A</v>
      </c>
      <c r="DD93" s="144" t="e">
        <f t="shared" ca="1" si="461"/>
        <v>#N/A</v>
      </c>
      <c r="DE93" s="143" t="e">
        <f t="shared" ca="1" si="377"/>
        <v>#N/A</v>
      </c>
      <c r="DF93" s="145" t="e">
        <f ca="1">$DR93*EXP(-Control!$C$158*(1-$KH93))</f>
        <v>#N/A</v>
      </c>
      <c r="DG93" s="146" t="e">
        <f ca="1">IF(Control!$C$114=1, $DF93*$EY93, 0)</f>
        <v>#N/A</v>
      </c>
      <c r="DH93" s="147" t="e">
        <f t="shared" ca="1" si="378"/>
        <v>#N/A</v>
      </c>
      <c r="DI93" s="144" t="e">
        <f t="shared" ca="1" si="439"/>
        <v>#N/A</v>
      </c>
      <c r="DJ93" s="147" t="e">
        <f ca="1">$EF93*Control!$C$109</f>
        <v>#N/A</v>
      </c>
      <c r="DK93" s="144" t="e">
        <f t="shared" ca="1" si="379"/>
        <v>#N/A</v>
      </c>
      <c r="DL93" s="144" t="e">
        <f t="shared" ca="1" si="257"/>
        <v>#N/A</v>
      </c>
      <c r="DM93" s="144" t="e">
        <f ca="1">IF(Control!$C$114=1, (1-EXP(-Control!$C$96*$DK93))*$AR93, 0)</f>
        <v>#N/A</v>
      </c>
      <c r="DN93" s="144">
        <f t="shared" ca="1" si="380"/>
        <v>0</v>
      </c>
      <c r="DO93" s="148">
        <f>Control!$C$97</f>
        <v>4</v>
      </c>
      <c r="DP93" s="145" t="e">
        <f t="shared" ca="1" si="381"/>
        <v>#N/A</v>
      </c>
      <c r="DQ93" s="145" t="e">
        <f ca="1">IF(AND($CP93&gt;=0,$CP93&lt;=90),Control!$C$111,Control!$C$111)</f>
        <v>#N/A</v>
      </c>
      <c r="DR93" s="145" t="e">
        <f t="shared" ca="1" si="258"/>
        <v>#N/A</v>
      </c>
      <c r="DS93" s="143" t="e">
        <f ca="1">Control!$B$22/$DR93</f>
        <v>#N/A</v>
      </c>
      <c r="DT93" s="149" t="e">
        <f ca="1">IF(AND(Control!$C$114=1,$KH93&lt;1),$IM93*$DF93, 0)</f>
        <v>#N/A</v>
      </c>
      <c r="DU93" s="144" t="e">
        <f t="shared" ca="1" si="382"/>
        <v>#N/A</v>
      </c>
      <c r="DV93" s="144">
        <f ca="1">IF($G93-Control!$C$107&lt;=0, 0, 0.83*LN(MAX($G93, 3))-0.8924)</f>
        <v>0</v>
      </c>
      <c r="DW93" s="144" t="e">
        <f t="shared" ca="1" si="259"/>
        <v>#N/A</v>
      </c>
      <c r="DX93" s="150" t="e">
        <f ca="1">MAX(0.01*(1+$CU93/Control!$C$102),0.05*($DK93-Control!$C$97)/Control!$C$97)</f>
        <v>#N/A</v>
      </c>
      <c r="DY93" s="151" t="e">
        <f ca="1">IF(Control!$C$114=1, $DI93*$FS93, 0)</f>
        <v>#N/A</v>
      </c>
      <c r="DZ93" s="196" t="e">
        <f t="shared" ca="1" si="383"/>
        <v>#N/A</v>
      </c>
      <c r="EA93" s="152">
        <f t="shared" ca="1" si="384"/>
        <v>89</v>
      </c>
      <c r="EB93" s="153" t="e">
        <f ca="1">$EB92+$ED92</f>
        <v>#N/A</v>
      </c>
      <c r="EC93" s="153" t="e">
        <f t="shared" ca="1" si="386"/>
        <v>#N/A</v>
      </c>
      <c r="ED93" s="154" t="e">
        <f ca="1">IF(Control!$C$114=1, $HM93*$FY93-$FD93, 0)</f>
        <v>#DIV/0!</v>
      </c>
      <c r="EE93" s="155" t="e">
        <f ca="1">IF(Control!$C$114=1, $HM93*$FZ93-$FF93, 0)</f>
        <v>#DIV/0!</v>
      </c>
      <c r="EF93" s="153" t="e">
        <f t="shared" ca="1" si="440"/>
        <v>#N/A</v>
      </c>
      <c r="EG93" s="155" t="e">
        <f ca="1">IF(Control!$C$114=1, $GX93*$FW93-$FI93, 0)</f>
        <v>#DIV/0!</v>
      </c>
      <c r="EH93" s="153" t="e">
        <f t="shared" ca="1" si="387"/>
        <v>#N/A</v>
      </c>
      <c r="EI93" s="156" t="e">
        <f t="shared" ca="1" si="388"/>
        <v>#N/A</v>
      </c>
      <c r="EJ93" s="155" t="e">
        <f ca="1">IF(Control!$C$114=1, $HM93*$GB93, 0)</f>
        <v>#DIV/0!</v>
      </c>
      <c r="EK93" s="153" t="e">
        <f t="shared" ca="1" si="441"/>
        <v>#N/A</v>
      </c>
      <c r="EL93" s="153" t="e">
        <f t="shared" ca="1" si="260"/>
        <v>#N/A</v>
      </c>
      <c r="EM93" s="153" t="e">
        <f t="shared" ca="1" si="261"/>
        <v>#N/A</v>
      </c>
      <c r="EN93" s="153" t="e">
        <f ca="1">IF(Control!$C$108=1,IF(AND(Control!$B$18=1,$EB93&gt;=Control!$B$19),$EB93-$DS93,IF(AND(Control!$B$18=2,$AW93=1,$EB93&gt;$DS93),$EB93-$DS93,0)))</f>
        <v>#N/A</v>
      </c>
      <c r="EO93" s="153" t="e">
        <f ca="1">IF(Control!$C$108=1,IF(AND(Control!$B$18=1,$EB93&gt;=Control!$B$19),$EF93,IF(AND(Control!$B$18=2,$AW93=1),$EF93,0)))</f>
        <v>#N/A</v>
      </c>
      <c r="EP93" s="153" t="e">
        <f ca="1">IF(Control!$C$108=1,IF(AND(Control!$B$18=1,$EB93&gt;=Control!$B$19),$EK93,IF(AND(Control!$B$18=2,$AW93=1),$EK93,0)))</f>
        <v>#N/A</v>
      </c>
      <c r="EQ93" s="153" t="e">
        <f t="shared" ca="1" si="389"/>
        <v>#N/A</v>
      </c>
      <c r="ER93" s="153" t="e">
        <f t="shared" ca="1" si="390"/>
        <v>#N/A</v>
      </c>
      <c r="ES93" s="153" t="e">
        <f t="shared" ca="1" si="442"/>
        <v>#N/A</v>
      </c>
      <c r="ET93" s="153" t="e">
        <f t="shared" ca="1" si="443"/>
        <v>#N/A</v>
      </c>
      <c r="EU93" s="153" t="e">
        <f t="shared" ca="1" si="391"/>
        <v>#N/A</v>
      </c>
      <c r="EV93" s="153" t="e">
        <f t="shared" ca="1" si="262"/>
        <v>#N/A</v>
      </c>
      <c r="EW93" s="153" t="e">
        <f t="shared" ca="1" si="263"/>
        <v>#N/A</v>
      </c>
      <c r="EX93" s="153" t="e">
        <f t="shared" ca="1" si="264"/>
        <v>#N/A</v>
      </c>
      <c r="EY93" s="157" t="e">
        <f t="shared" ca="1" si="265"/>
        <v>#DIV/0!</v>
      </c>
      <c r="EZ93" s="154" t="e">
        <f t="shared" ca="1" si="266"/>
        <v>#DIV/0!</v>
      </c>
      <c r="FA93" s="153" t="e">
        <f t="shared" ca="1" si="392"/>
        <v>#N/A</v>
      </c>
      <c r="FB93" s="153" t="e">
        <f t="shared" ca="1" si="267"/>
        <v>#N/A</v>
      </c>
      <c r="FC93" s="193" t="e">
        <f t="shared" ca="1" si="268"/>
        <v>#N/A</v>
      </c>
      <c r="FD93" s="158" t="e">
        <f ca="1">IF($EN93&lt;=0, MIN(($DI93-0.08)/$DF93, $HY93+$IM93), $EN93)</f>
        <v>#N/A</v>
      </c>
      <c r="FE93" s="158" t="e">
        <f t="shared" ca="1" si="394"/>
        <v>#N/A</v>
      </c>
      <c r="FF93" s="159" t="e">
        <f t="shared" ca="1" si="269"/>
        <v>#N/A</v>
      </c>
      <c r="FG93" s="160" t="e">
        <f t="shared" ca="1" si="395"/>
        <v>#N/A</v>
      </c>
      <c r="FH93" s="158" t="e">
        <f t="shared" ca="1" si="396"/>
        <v>#N/A</v>
      </c>
      <c r="FI93" s="159" t="e">
        <f t="shared" ca="1" si="270"/>
        <v>#N/A</v>
      </c>
      <c r="FJ93" s="160" t="e">
        <f t="shared" ca="1" si="397"/>
        <v>#N/A</v>
      </c>
      <c r="FK93" s="160" t="e">
        <f t="shared" ca="1" si="271"/>
        <v>#N/A</v>
      </c>
      <c r="FL93" s="160" t="e">
        <f t="shared" ca="1" si="444"/>
        <v>#N/A</v>
      </c>
      <c r="FM93" s="160" t="e">
        <f t="shared" ca="1" si="272"/>
        <v>#N/A</v>
      </c>
      <c r="FN93" s="158">
        <f t="shared" ca="1" si="398"/>
        <v>0.01</v>
      </c>
      <c r="FO93" s="160">
        <f>Control!$C$101</f>
        <v>50</v>
      </c>
      <c r="FP93" s="150" t="e">
        <f t="shared" ca="1" si="273"/>
        <v>#N/A</v>
      </c>
      <c r="FQ93" s="150" t="e">
        <f ca="1">MAX(0,(Control!$C$112*(($DK93-Control!$C$97)/Control!$C$97)))</f>
        <v>#N/A</v>
      </c>
      <c r="FR93" s="150" t="e">
        <f ca="1">(1-$NT93)*Control!$C$113</f>
        <v>#DIV/0!</v>
      </c>
      <c r="FS93" s="198" t="e">
        <f t="shared" ca="1" si="274"/>
        <v>#N/A</v>
      </c>
      <c r="FT93" s="161">
        <f t="shared" ca="1" si="399"/>
        <v>89</v>
      </c>
      <c r="FU93" s="162" t="e">
        <f ca="1">IF(Control!$B$34=1,VLOOKUP($CP93,Control!$B$86:$G$91,6),Control!$B$35)</f>
        <v>#N/A</v>
      </c>
      <c r="FV93" s="162" t="e">
        <f t="shared" ca="1" si="275"/>
        <v>#DIV/0!</v>
      </c>
      <c r="FW93" s="162" t="e">
        <f ca="1">IF(Control!$B$31=1,$FU93*$FV93,  $FU93)</f>
        <v>#N/A</v>
      </c>
      <c r="FX93" s="162" t="e">
        <f ca="1">IF(Control!$B$34=1,VLOOKUP($CP93,Control!$B$86:$G$91,3),Control!$B$36)</f>
        <v>#N/A</v>
      </c>
      <c r="FY93" s="162" t="e">
        <f t="shared" ca="1" si="276"/>
        <v>#N/A</v>
      </c>
      <c r="FZ93" s="162" t="e">
        <f ca="1">IF(Control!$B$34=1,VLOOKUP($CP93,Control!$B$86:$G$91,4),Control!$B$37)</f>
        <v>#N/A</v>
      </c>
      <c r="GA93" s="162" t="e">
        <f t="shared" ca="1" si="277"/>
        <v>#N/A</v>
      </c>
      <c r="GB93" s="162" t="e">
        <f ca="1">IF(Control!$B$34=1,VLOOKUP($CP93,Control!$B$86:$G$91,5),Control!$B$38)</f>
        <v>#N/A</v>
      </c>
      <c r="GC93" s="162" t="e">
        <f t="shared" ca="1" si="400"/>
        <v>#N/A</v>
      </c>
      <c r="GD93" s="162">
        <f t="shared" ca="1" si="278"/>
        <v>1</v>
      </c>
      <c r="GE93" s="162">
        <f t="shared" ca="1" si="279"/>
        <v>1</v>
      </c>
      <c r="GF93" s="162">
        <f ca="1">IF(AND(Control!$C$104=1, Control!$C$62="F"),$GE93,1)</f>
        <v>1</v>
      </c>
      <c r="GG93" s="162" t="e">
        <f ca="1">IF(Control!$B$16=40,0,IF(AND(Control!$B$16&gt;40,Control!$B$16&lt;=360),(Control!$B$16-40)*((1-0)/(360-40)),IF(AND(Control!$B$16&gt;360,Control!$B$16&lt;=720),(1+(Control!$B$16-360)*((1.25-1)/(720-360))),IF(AND(Control!$B$16&gt;720,Control!$B$16&lt;=1000),(1.25+(Control!$B$16-720)*((1.35-1.25)/(1000-720))),IF(AND(Control!$B$16&gt;1000,Control!$B$16&lt;=2000),(1.35+(Control!$B$16-1000)*0))))))</f>
        <v>#N/A</v>
      </c>
      <c r="GH93" s="162" t="e">
        <f t="shared" ca="1" si="280"/>
        <v>#N/A</v>
      </c>
      <c r="GI93" s="162">
        <f t="shared" ca="1" si="401"/>
        <v>0</v>
      </c>
      <c r="GJ93" s="162">
        <f t="shared" ca="1" si="281"/>
        <v>0</v>
      </c>
      <c r="GK93" s="162">
        <f t="shared" ca="1" si="402"/>
        <v>1</v>
      </c>
      <c r="GL93" s="162">
        <f t="shared" ca="1" si="282"/>
        <v>1</v>
      </c>
      <c r="GM93" s="162" t="e">
        <f ca="1">MAX(0,MIN(1,1-Control!$C$156*(1.0001-$KH93)^2))</f>
        <v>#N/A</v>
      </c>
      <c r="GN93" s="162" t="e">
        <f ca="1">IF(Control!$B$26=1,$KU93,$KX93)</f>
        <v>#N/A</v>
      </c>
      <c r="GO93" s="162" t="e">
        <f ca="1">IF($CP93&lt;=60,Control!$C$105,IF($CP93&gt;=90,Control!$C$106,Control!$C$105+($CP93-60)*((Control!$C$106-Control!$C$105)/(90-60))))</f>
        <v>#N/A</v>
      </c>
      <c r="GP93" s="162" t="e">
        <f t="shared" ca="1" si="283"/>
        <v>#N/A</v>
      </c>
      <c r="GQ93" s="162" t="e">
        <f t="shared" ca="1" si="403"/>
        <v>#N/A</v>
      </c>
      <c r="GR93" s="163" t="e">
        <f t="shared" ca="1" si="284"/>
        <v>#DIV/0!</v>
      </c>
      <c r="GS93" s="162" t="e">
        <f t="shared" ca="1" si="285"/>
        <v>#DIV/0!</v>
      </c>
      <c r="GT93" s="164" t="e">
        <f t="shared" ca="1" si="404"/>
        <v>#N/A</v>
      </c>
      <c r="GU93" s="162" t="e">
        <f t="shared" ca="1" si="405"/>
        <v>#N/A</v>
      </c>
      <c r="GV93" s="162" t="e">
        <f t="shared" ca="1" si="286"/>
        <v>#N/A</v>
      </c>
      <c r="GW93" s="162" t="e">
        <f t="shared" ca="1" si="287"/>
        <v>#DIV/0!</v>
      </c>
      <c r="GX93" s="162" t="e">
        <f t="shared" ca="1" si="406"/>
        <v>#DIV/0!</v>
      </c>
      <c r="GY93" s="162" t="e">
        <f t="shared" ca="1" si="407"/>
        <v>#DIV/0!</v>
      </c>
      <c r="GZ93" s="165" t="e">
        <f t="shared" ca="1" si="288"/>
        <v>#N/A</v>
      </c>
      <c r="HA93" s="162" t="e">
        <f ca="1">IF(Control!$C$114=1, $DI93*$FS93, 0)</f>
        <v>#N/A</v>
      </c>
      <c r="HB93" s="162" t="e">
        <f ca="1">$FA93/Control!$C$64</f>
        <v>#N/A</v>
      </c>
      <c r="HC93" s="162" t="e">
        <f t="shared" ca="1" si="289"/>
        <v>#DIV/0!</v>
      </c>
      <c r="HD93" s="162">
        <f ca="1">-ASIN(SIN(23.45*Control!$C$139)*COS(2*Control!$C$138*($AH93+10)/365))</f>
        <v>5.295946147484043E-2</v>
      </c>
      <c r="HE93" s="165">
        <f t="shared" ca="1" si="408"/>
        <v>0</v>
      </c>
      <c r="HF93" s="166">
        <f ca="1">IF(AND(Control!$C$61="T",$HE93&gt;=Control!$C$103,Control!$C$114=0),$AH93,Control!$C$59)</f>
        <v>1</v>
      </c>
      <c r="HG93" s="166">
        <f ca="1">IF(AND(Control!$C$61="T",$HE93&gt;=Control!$C$103,Control!$C$114=0),$HF93,Control!$C$59)</f>
        <v>1</v>
      </c>
      <c r="HH93" s="165">
        <f ca="1">IF(AND(OR(Control!$C$60&lt;=0, $AH93= Control!$C$59, Control!$C$60 &gt;0, $AH93 = Control!$C$60)), Control!$C$59, IF(Control!$C$60&gt;0, 0))</f>
        <v>1</v>
      </c>
      <c r="HI93" s="165">
        <f ca="1">IF(AND(OR(Control!$C$60&lt;=0, $AH93= Control!$C$59, Control!$C$60 &gt;0, $AH93 = Control!$C$60)), Control!$C$60, IF(Control!$C$60&lt;=0, 0))</f>
        <v>0</v>
      </c>
      <c r="HJ93" s="166">
        <f ca="1">IF(AND(Control!$C$62="F",$CV93&gt;=Control!$C$102),$AH93,0)</f>
        <v>0</v>
      </c>
      <c r="HK93" s="165" t="e">
        <f t="shared" ca="1" si="445"/>
        <v>#N/A</v>
      </c>
      <c r="HL93" s="166">
        <f ca="1">IF(AND(Control!$C$61="T",$HE93&gt;=Control!$C$103,Control!$C$114=0),$HF93,0)</f>
        <v>0</v>
      </c>
      <c r="HM93" s="201" t="e">
        <f t="shared" ca="1" si="290"/>
        <v>#DIV/0!</v>
      </c>
      <c r="HN93" s="215">
        <f t="shared" ca="1" si="409"/>
        <v>89</v>
      </c>
      <c r="HO93" s="216" t="e">
        <f ca="1">IF(AND($CP93&gt;=0, $CP93&lt;=90), Control!$C$152, Control!$C$152)</f>
        <v>#N/A</v>
      </c>
      <c r="HP93" s="216" t="e">
        <f t="shared" ca="1" si="291"/>
        <v>#N/A</v>
      </c>
      <c r="HQ93" s="217" t="e">
        <f ca="1">IF(OR(Control!$B$26=1,Control!$B$26=2),$KV93,$KS93)</f>
        <v>#DIV/0!</v>
      </c>
      <c r="HR93" s="218" t="e">
        <f t="shared" ca="1" si="446"/>
        <v>#DIV/0!</v>
      </c>
      <c r="HS93" s="216" t="e">
        <f ca="1">Control!$C$154*$HP93</f>
        <v>#N/A</v>
      </c>
      <c r="HT93" s="216" t="e">
        <f ca="1">Control!$C$155*$HP93</f>
        <v>#N/A</v>
      </c>
      <c r="HU93" s="217" t="e">
        <f ca="1">Control!$C$161*$FI93</f>
        <v>#N/A</v>
      </c>
      <c r="HV93" s="218" t="e">
        <f t="shared" ca="1" si="410"/>
        <v>#N/A</v>
      </c>
      <c r="HW93" s="218" t="e">
        <f ca="1">Control!$C$160*$FF93+$IP93*$EO93</f>
        <v>#N/A</v>
      </c>
      <c r="HX93" s="218" t="e">
        <f t="shared" ca="1" si="447"/>
        <v>#N/A</v>
      </c>
      <c r="HY93" s="219" t="e">
        <f ca="1">IF(Control!$C$114=1, $EB93*$FS93, 0)</f>
        <v>#N/A</v>
      </c>
      <c r="HZ93" s="91" t="e">
        <f t="shared" ca="1" si="292"/>
        <v>#N/A</v>
      </c>
      <c r="IA93" s="220" t="e">
        <f ca="1">Control!$C$153*$HO93</f>
        <v>#N/A</v>
      </c>
      <c r="IB93" s="218" t="e">
        <f t="shared" ca="1" si="293"/>
        <v>#N/A</v>
      </c>
      <c r="IC93" s="220" t="e">
        <f ca="1">Control!$C$153*$HT93</f>
        <v>#N/A</v>
      </c>
      <c r="ID93" s="218" t="e">
        <f t="shared" ca="1" si="294"/>
        <v>#N/A</v>
      </c>
      <c r="IE93" s="221" t="e">
        <f ca="1">($EB93*Control!$C$159+$EF93*Control!$C$160)/(IF($GZ93&lt;&gt;0,$GZ93,1))</f>
        <v>#N/A</v>
      </c>
      <c r="IF93" s="216" t="e">
        <f t="shared" ca="1" si="295"/>
        <v>#N/A</v>
      </c>
      <c r="IG93" s="91">
        <f ca="1">IF(OR(Control!$B$198=$AH93,Control!$B$199=$AH93, Control!$B$200=$AH93, Control!$B$201=$AH93, Control!$B$202=$AH93, Control!$B$203=$AH93, Control!$B$204=$AH93, Control!$B$205=$AH93, Control!$B$206=$AH93, Control!$B$207=$AH93), 1, 0)</f>
        <v>0</v>
      </c>
      <c r="IH93" s="91">
        <f ca="1">IF($IG93=0,0, VLOOKUP($AH93,Control!$B$198:$C$207,2))</f>
        <v>0</v>
      </c>
      <c r="II93" s="222">
        <f t="shared" ca="1" si="411"/>
        <v>0</v>
      </c>
      <c r="IJ93" s="91">
        <f>Control!$C$121</f>
        <v>0.7</v>
      </c>
      <c r="IK93" s="218">
        <f t="shared" ca="1" si="296"/>
        <v>0</v>
      </c>
      <c r="IL93" s="217" t="e">
        <f t="shared" ca="1" si="448"/>
        <v>#N/A</v>
      </c>
      <c r="IM93" s="223" t="e">
        <f ca="1">IF(AND(Control!$C$114=1,$KH93&lt;1),$EB93*Control!$C$148*(1-$KH93), 0)</f>
        <v>#N/A</v>
      </c>
      <c r="IN93" s="217" t="e">
        <f t="shared" ca="1" si="297"/>
        <v>#DIV/0!</v>
      </c>
      <c r="IO93" s="91" t="e">
        <f ca="1">MAX(0,$IL93-$EF93*Control!$C$160)</f>
        <v>#N/A</v>
      </c>
      <c r="IP93" s="220" t="e">
        <f t="shared" ca="1" si="298"/>
        <v>#N/A</v>
      </c>
      <c r="IQ93" s="217" t="e">
        <f t="shared" ca="1" si="412"/>
        <v>#N/A</v>
      </c>
      <c r="IR93" s="218" t="e">
        <f t="shared" ca="1" si="299"/>
        <v>#N/A</v>
      </c>
      <c r="IS93" s="217" t="e">
        <f ca="1">Control!$C$159*MAX(0,$FD93-$EN93)</f>
        <v>#N/A</v>
      </c>
      <c r="IT93" s="217" t="e">
        <f t="shared" ca="1" si="449"/>
        <v>#N/A</v>
      </c>
      <c r="IU93" s="217" t="e">
        <f t="shared" ca="1" si="413"/>
        <v>#N/A</v>
      </c>
      <c r="IV93" s="217" t="e">
        <f t="shared" ca="1" si="450"/>
        <v>#N/A</v>
      </c>
      <c r="IW93" s="217" t="e">
        <f ca="1">IF(OR($AW93=1,AND($AW93=0, Control!$B$18=1,$EN93&lt;&gt;0)), $IQ93-$IU93, $IQ93)</f>
        <v>#N/A</v>
      </c>
      <c r="IX93" s="218" t="e">
        <f t="shared" ca="1" si="300"/>
        <v>#N/A</v>
      </c>
      <c r="IY93" s="218" t="e">
        <f ca="1">MAX(0,$IQ93-$EB93*Control!$C$159)</f>
        <v>#N/A</v>
      </c>
      <c r="IZ93" s="218" t="e">
        <f t="shared" ca="1" si="301"/>
        <v>#N/A</v>
      </c>
      <c r="JA93" s="216" t="e">
        <f t="shared" ca="1" si="302"/>
        <v>#N/A</v>
      </c>
      <c r="JB93" s="217" t="e">
        <f t="shared" ca="1" si="303"/>
        <v>#N/A</v>
      </c>
      <c r="JC93" s="222" t="e">
        <f ca="1">MAX(Control!$C$157*$EK93-$JT93, 0)/Control!$C$162</f>
        <v>#N/A</v>
      </c>
      <c r="JD93" s="218" t="e">
        <f t="shared" ca="1" si="304"/>
        <v>#N/A</v>
      </c>
      <c r="JE93" s="218" t="e">
        <f t="shared" ca="1" si="305"/>
        <v>#N/A</v>
      </c>
      <c r="JF93" s="218" t="e">
        <f t="shared" ca="1" si="414"/>
        <v>#N/A</v>
      </c>
      <c r="JG93" s="218" t="e">
        <f t="shared" ca="1" si="306"/>
        <v>#N/A</v>
      </c>
      <c r="JH93" s="217" t="e">
        <f t="shared" ca="1" si="415"/>
        <v>#N/A</v>
      </c>
      <c r="JI93" s="217" t="e">
        <f t="shared" ca="1" si="416"/>
        <v>#N/A</v>
      </c>
      <c r="JJ93" s="217" t="e">
        <f t="shared" ca="1" si="451"/>
        <v>#N/A</v>
      </c>
      <c r="JK93" s="217" t="e">
        <f ca="1">IF(Control!$C$114=1,IF(Control!$B$24=0,MAX(0,$JI93)*$GN93/Control!$C$64,(MAX(0,MIN($JI93,$JJ93*$GN93/Control!$C$64),0))))</f>
        <v>#N/A</v>
      </c>
      <c r="JL93" s="217" t="e">
        <f ca="1">$IK93/Control!$C$64-$JK93+$HQ93</f>
        <v>#N/A</v>
      </c>
      <c r="JM93" s="217" t="e">
        <f ca="1">IF(Control!$C$114=1,($JB93/(IF($JI93&lt;&gt;0,$JI93,1)))*$JK93,0)</f>
        <v>#N/A</v>
      </c>
      <c r="JN93" s="217" t="e">
        <f ca="1">IF(Control!$C$114=1,($JG93/(IF($JI93&lt;&gt;0,$JI93,1)))*$JK93, 0)</f>
        <v>#N/A</v>
      </c>
      <c r="JO93" s="218" t="e">
        <f t="shared" ca="1" si="307"/>
        <v>#N/A</v>
      </c>
      <c r="JP93" s="218" t="e">
        <f ca="1">MIN(($IY93+$IO93)*Control!$C$151, $JF93-$EH93*Control!$C$161)</f>
        <v>#N/A</v>
      </c>
      <c r="JQ93" s="218" t="e">
        <f t="shared" ca="1" si="308"/>
        <v>#N/A</v>
      </c>
      <c r="JR93" s="217" t="e">
        <f ca="1">IF($CP93-Control!$C$150&lt;0, 0, $JQ93/Control!$C$162)</f>
        <v>#N/A</v>
      </c>
      <c r="JS93" s="218" t="e">
        <f t="shared" ca="1" si="309"/>
        <v>#N/A</v>
      </c>
      <c r="JT93" s="218" t="e">
        <f t="shared" ca="1" si="417"/>
        <v>#N/A</v>
      </c>
      <c r="JU93" s="218" t="e">
        <f t="shared" ca="1" si="310"/>
        <v>#N/A</v>
      </c>
      <c r="JV93" s="218" t="e">
        <f t="shared" ca="1" si="311"/>
        <v>#N/A</v>
      </c>
      <c r="JW93" s="216" t="e">
        <f t="shared" ca="1" si="312"/>
        <v>#N/A</v>
      </c>
      <c r="JX93" s="91" t="e">
        <f t="shared" ca="1" si="313"/>
        <v>#N/A</v>
      </c>
      <c r="JY93" s="218" t="e">
        <f t="shared" ca="1" si="314"/>
        <v>#N/A</v>
      </c>
      <c r="JZ93" s="217" t="e">
        <f ca="1">IF(Control!$C$114=1,($IZ93/(IF($JI93&lt;&gt;0,$JI93,1)))*$JK93, 0)</f>
        <v>#N/A</v>
      </c>
      <c r="KA93" s="218" t="e">
        <f t="shared" ca="1" si="452"/>
        <v>#N/A</v>
      </c>
      <c r="KB93" s="218" t="e">
        <f t="shared" ca="1" si="418"/>
        <v>#N/A</v>
      </c>
      <c r="KC93" s="218" t="e">
        <f t="shared" ca="1" si="315"/>
        <v>#N/A</v>
      </c>
      <c r="KD93" s="218" t="e">
        <f t="shared" ca="1" si="316"/>
        <v>#N/A</v>
      </c>
      <c r="KE93" s="218" t="e">
        <f t="shared" ca="1" si="317"/>
        <v>#N/A</v>
      </c>
      <c r="KF93" s="218" t="e">
        <f t="shared" ca="1" si="318"/>
        <v>#N/A</v>
      </c>
      <c r="KG93" s="216" t="e">
        <f t="shared" ca="1" si="319"/>
        <v>#N/A</v>
      </c>
      <c r="KH93" s="221" t="e">
        <f ca="1">IF(Control!$B$24=0,1,MAX(0.001,MIN(1,IF(($IF93-$IE93)&lt;&gt;0,($KG93-$IE93)/($IF93-$IE93),1))))</f>
        <v>#N/A</v>
      </c>
      <c r="KI93" s="222" t="e">
        <f ca="1">IF(Control!$C$114=1, $KI92+ $KH92, 0)</f>
        <v>#N/A</v>
      </c>
      <c r="KJ93" s="217" t="e">
        <f t="shared" ca="1" si="320"/>
        <v>#N/A</v>
      </c>
      <c r="KK93" s="218" t="e">
        <f t="shared" ca="1" si="321"/>
        <v>#N/A</v>
      </c>
      <c r="KL93" s="274" t="e">
        <f ca="1">IF(Control!$B$26=3,4000000000*EXP(-8400/($G93+273)),IF(Control!$B$26=4,4000000000*EXP(-8400/($G93+273))*($KT93),0))</f>
        <v>#DIV/0!</v>
      </c>
      <c r="KM93" s="274" t="e">
        <f ca="1">IF(Control!$B$26=3,5600000000000*EXP(-9800/($G93+273)),IF(Control!$B$26=4,5600000000000*EXP(-9800/($G93+273))*$KT93,0))</f>
        <v>#DIV/0!</v>
      </c>
      <c r="KN93" s="454" t="e">
        <f t="shared" ca="1" si="419"/>
        <v>#DIV/0!</v>
      </c>
      <c r="KO93" s="274" t="e">
        <f t="shared" ca="1" si="420"/>
        <v>#DIV/0!</v>
      </c>
      <c r="KP93" s="454" t="e">
        <f t="shared" ca="1" si="322"/>
        <v>#DIV/0!</v>
      </c>
      <c r="KQ93" s="454" t="e">
        <f t="shared" ca="1" si="323"/>
        <v>#DIV/0!</v>
      </c>
      <c r="KR93" s="454" t="e">
        <f t="shared" ca="1" si="324"/>
        <v>#DIV/0!</v>
      </c>
      <c r="KS93" s="454" t="e">
        <f t="shared" ca="1" si="325"/>
        <v>#DIV/0!</v>
      </c>
      <c r="KT93" s="455" t="e">
        <f t="shared" ca="1" si="326"/>
        <v>#DIV/0!</v>
      </c>
      <c r="KU93" s="456" t="e">
        <f ca="1">IF($CP93-Control!$C$149&lt;0, IF($NT93-0.01&lt;0,0,1),0)</f>
        <v>#N/A</v>
      </c>
      <c r="KV93" s="456" t="e">
        <f ca="1">IF(Control!$C$114=1,MAX(0,MIN(Control!$C$125*$KW93*$GN93,$KW93)))</f>
        <v>#DIV/0!</v>
      </c>
      <c r="KW93" s="456" t="e">
        <f t="shared" ca="1" si="453"/>
        <v>#DIV/0!</v>
      </c>
      <c r="KX93" s="457" t="e">
        <f ca="1">IF($CP93-Control!$C$149&lt;0, IF($MR93-$OM93&lt;0,0,1),0)</f>
        <v>#N/A</v>
      </c>
      <c r="KY93" s="167">
        <f t="shared" ca="1" si="421"/>
        <v>89</v>
      </c>
      <c r="KZ93" s="168">
        <f ca="1">1370*(1+0.033*COS(2*Control!$C$138*$AH93/365))</f>
        <v>1371.7504724697658</v>
      </c>
      <c r="LA93" s="169">
        <f t="shared" ca="1" si="422"/>
        <v>1.0012778352694418</v>
      </c>
      <c r="LB93" s="169">
        <f t="shared" ca="1" si="423"/>
        <v>5.7909075104583277E-2</v>
      </c>
      <c r="LC93" s="169">
        <f ca="1">ACOS(-TAN((2*Control!$B$8/360))*TAN(Calculations!$LB93))</f>
        <v>1.5880272022661004</v>
      </c>
      <c r="LD93" s="169">
        <f ca="1">((24*60)/PI())*0.082*$LA93*(($LC93*SIN(Control!$B$8*2*PI()/360))*SIN($LB93)+COS(Control!$B$8*2*PI()/360)*COS($LB93)*SIN($LC93))</f>
        <v>25.853249496689827</v>
      </c>
      <c r="LE93" s="170">
        <f t="shared" ca="1" si="327"/>
        <v>25.718908856512186</v>
      </c>
      <c r="LF93" s="170">
        <f ca="1">SIN(Control!$C$139*Control!$B$8)*SIN($HD93)</f>
        <v>4.1713189100821009E-2</v>
      </c>
      <c r="LG93" s="170">
        <f ca="1">COS(Control!$C$139*Control!$B$8)*COS($HD93)</f>
        <v>0.61479663277679131</v>
      </c>
      <c r="LH93" s="170">
        <f ca="1">12*(1+2*ASIN(MAX(-1,MIN(1,$LF93/$LG93))/Control!$C$138))</f>
        <v>12.518365434411439</v>
      </c>
      <c r="LI93" s="170">
        <f ca="1">12*(1+2*ASIN(MAX(-1,MIN(1,(-SIN(-4*Control!$C$139)+$LF93)/$LG93))/Control!$C$138))</f>
        <v>13.385886238519493</v>
      </c>
      <c r="LJ93" s="168">
        <f ca="1">3600*($LH93*$LF93+24*$LG93*SQRT(1-$LK93*$LK93)/Control!$C$138)</f>
        <v>18748.970292101756</v>
      </c>
      <c r="LK93" s="170">
        <f t="shared" ca="1" si="328"/>
        <v>6.7848759861320579E-2</v>
      </c>
      <c r="LL93" s="170">
        <f t="shared" ca="1" si="329"/>
        <v>0</v>
      </c>
      <c r="LM93" s="171">
        <f ca="1">Control!$C$145*$AB93</f>
        <v>6.6660906138995932E-2</v>
      </c>
      <c r="LN93" s="170">
        <f t="shared" ca="1" si="424"/>
        <v>0.54</v>
      </c>
      <c r="LO93" s="170">
        <f t="shared" ca="1" si="330"/>
        <v>0</v>
      </c>
      <c r="LP93" s="170">
        <f ca="1">Control!$C$140*((($D93+273.16)^4+($E93+273.16)^4)/2)*(0.34-0.14*SQRT($Y93))*(1.35*$AQ93/(0.75*$LD93)-0.35)</f>
        <v>-3.2464704755046001</v>
      </c>
      <c r="LQ93" s="170">
        <f ca="1">Control!$C$140*($G93+273)^4*(0.56-0.079*SQRT($Y93*10))*(0.1+0.9*$LO93)</f>
        <v>1.5241745131704001</v>
      </c>
      <c r="LR93" s="170">
        <f ca="1">$AQ93*(1-Control!$C$142)-$LQ93</f>
        <v>-1.5241745131704001</v>
      </c>
      <c r="LS93" s="170">
        <f ca="1">$AQ93*(1-Control!$C$143)-$LQ93</f>
        <v>-1.5241745131704001</v>
      </c>
      <c r="LT93" s="170">
        <f ca="1">$AQ93*(1-Control!$C$144)-$LQ93</f>
        <v>-1.5241745131704001</v>
      </c>
      <c r="LU93" s="169">
        <f ca="1">(1-Control!$C$144)*AQ93-LP93</f>
        <v>3.2464704755046001</v>
      </c>
      <c r="LV93" s="172">
        <f t="shared" ca="1" si="331"/>
        <v>0.79430000000000012</v>
      </c>
      <c r="LW93" s="170">
        <f t="shared" ca="1" si="332"/>
        <v>1.5886000000000002</v>
      </c>
      <c r="LX93" s="170">
        <f ca="1">($AC93*($LR93/Control!$C$141)+$LM93*$LV93)/($AC93+$LM93)</f>
        <v>0.23530094218323697</v>
      </c>
      <c r="LY93" s="170">
        <f ca="1">($AC93*($LS93/Control!$C$141)+$LM93*$LV93)/($AC93+$LM93)</f>
        <v>0.23530094218323697</v>
      </c>
      <c r="LZ93" s="170">
        <f t="shared" ca="1" si="333"/>
        <v>0.23530094218323697</v>
      </c>
      <c r="MA93" s="170">
        <f t="shared" ca="1" si="334"/>
        <v>0.23530094218323697</v>
      </c>
      <c r="MB93" s="170" t="e">
        <f t="shared" ca="1" si="335"/>
        <v>#N/A</v>
      </c>
      <c r="MC93" s="170">
        <f t="shared" ca="1" si="425"/>
        <v>0.6018</v>
      </c>
      <c r="MD93" s="170">
        <f t="shared" ca="1" si="336"/>
        <v>0.52989392535414004</v>
      </c>
      <c r="ME93" s="170">
        <f ca="1">($AC93*($LT93/Control!$C$141)+$LM93*$LW93)/($AC93+$LM93)</f>
        <v>0.71612369323045078</v>
      </c>
      <c r="MF93" s="170" t="e">
        <f ca="1">IF(Control!$B$16&gt;=1000,0.92,IF(AND(720&lt;=Control!$B$16,1000&gt;Control!$B$16),(0.95+(Control!$B$16-720)*((0.92-0.95)/(1000-720))),IF(AND(360&lt;=Control!$B$16,720&gt;Control!$B$16),(1+(Control!$B$16-360)*((0.95-1)/(720-360))),IF(AND(40&lt;=Control!$B$16,360&gt;Control!$B$16),(1.05+(Control!$B$16-40)*((1.05-1)/(360-40)))))))</f>
        <v>#N/A</v>
      </c>
      <c r="MG93" s="170">
        <f t="shared" ca="1" si="337"/>
        <v>0.71612369323045078</v>
      </c>
      <c r="MH93" s="170" t="e">
        <f t="shared" ca="1" si="462"/>
        <v>#N/A</v>
      </c>
      <c r="MI93" s="170" t="e">
        <f t="shared" ca="1" si="462"/>
        <v>#N/A</v>
      </c>
      <c r="MJ93" s="170" t="e">
        <f ca="1">MAX(0.0001, Control!$C$132*$MI93*$DL93)</f>
        <v>#N/A</v>
      </c>
      <c r="MK93" s="170">
        <f ca="1">1/(0.76+1.5*($MG93/10))-(5-Control!$C$110)*0.1</f>
        <v>1.002845988140797</v>
      </c>
      <c r="ML93" s="173">
        <f ca="1">IF(Control!$C$110&lt;3,$MK93+($MG93-0.6)/(Control!$C$110*(Control!$C$110+3)), MAX(0.1, MIN(0.95,$MK93)))</f>
        <v>0.95</v>
      </c>
      <c r="MM93" s="173">
        <f ca="1">IF(Control!$C$110&lt;3,$MK93+(($MI93/10)-0.6)/(Control!$C$110*(Control!$C$110+3)), MAX(0.1, MIN(0.95,$MK93)))</f>
        <v>0.95</v>
      </c>
      <c r="MN93" s="173">
        <f ca="1">(1-$MM93)*(Control!$C$128-Control!$C$127)+Control!$C$127</f>
        <v>0.16</v>
      </c>
      <c r="MO93" s="170" t="e">
        <f ca="1">MAX(0,MIN(1,($MS93-Control!$C$127)/($MN93-Control!$C$127)))</f>
        <v>#DIV/0!</v>
      </c>
      <c r="MP93" s="173" t="e">
        <f ca="1">1/(0.76+1.5*$MI93)-(5-Control!$C$110)*0.1</f>
        <v>#N/A</v>
      </c>
      <c r="MQ93" s="172" t="e">
        <f t="shared" ca="1" si="454"/>
        <v>#DIV/0!</v>
      </c>
      <c r="MR93" s="168" t="e">
        <f t="shared" ca="1" si="426"/>
        <v>#DIV/0!</v>
      </c>
      <c r="MS93" s="173" t="e">
        <f ca="1">MAX(Control!$C$127, MIN(Control!$C$135, $MR93/MAX(0.0001,$CY93)))</f>
        <v>#DIV/0!</v>
      </c>
      <c r="MT93" s="168" t="e">
        <f ca="1">(Control!$C$128-$MS93)*Control!$C$74</f>
        <v>#DIV/0!</v>
      </c>
      <c r="MU93" s="168" t="e">
        <f ca="1">(Control!$C$135-$MS93)*Control!$C$74</f>
        <v>#DIV/0!</v>
      </c>
      <c r="MV93" s="168" t="e">
        <f t="shared" ca="1" si="427"/>
        <v>#DIV/0!</v>
      </c>
      <c r="MW93" s="168" t="e">
        <f t="shared" ca="1" si="428"/>
        <v>#DIV/0!</v>
      </c>
      <c r="MX93" s="171" t="e">
        <f ca="1">MAX(Control!$C$127, MIN(Control!$C$135, $MW93/MAX(0.0001,Control!$C$119-$CY93)))</f>
        <v>#DIV/0!</v>
      </c>
      <c r="MY93" s="54" t="e">
        <f ca="1">IF(Control!$C$114=1, $CX93*$MX93, 0)</f>
        <v>#DIV/0!</v>
      </c>
      <c r="MZ93" s="54" t="e">
        <f t="shared" ca="1" si="429"/>
        <v>#N/A</v>
      </c>
      <c r="NA93" s="168" t="e">
        <f ca="1">(Control!$C$128-$MX93)*(Control!$C$119-Control!$C$74)</f>
        <v>#DIV/0!</v>
      </c>
      <c r="NB93" s="168" t="e">
        <f ca="1">(Control!$C$135-$MX93)*(Control!$C$119-Control!$C$74)</f>
        <v>#DIV/0!</v>
      </c>
      <c r="NC93" s="174" t="e">
        <f t="shared" ca="1" si="430"/>
        <v>#DIV/0!</v>
      </c>
      <c r="ND93" s="54">
        <f ca="1">IF(Control!$C$58=2, IF(OR(Control!$B$218=$AH93,Control!$B$219=$AH93, Control!$B$220=$AH93, Control!$B$221=$AH93, Control!$B$222=$AH93, Control!$B$223=$AH93, Control!$B$224=$AH93, Control!$B$225=$AH93, Control!$B$226=$AH93, Control!$B$227=$AH93, Control!$B$228=$AH93), 1, 0), 0)</f>
        <v>0</v>
      </c>
      <c r="NE93" s="54">
        <f ca="1">IF($ND93=0,0, VLOOKUP($AH93,Control!$B$218:$C$228,2))</f>
        <v>0</v>
      </c>
      <c r="NF93" s="168" t="e">
        <f ca="1">$CY93*(Control!$C$128-Control!$C$127)</f>
        <v>#N/A</v>
      </c>
      <c r="NG93" s="54" t="e">
        <f ca="1">IF(Control!$C$58=2, $NI92-$NJ92, 0)</f>
        <v>#DIV/0!</v>
      </c>
      <c r="NH93" s="54" t="e">
        <f ca="1">IF(AND(Control!$C$58=1, $MS92&lt;= ($MN92+0.02), $I92&lt;10), 0, IF(Control!$C$58=2, $NG92, 0))</f>
        <v>#DIV/0!</v>
      </c>
      <c r="NI93" s="54" t="e">
        <f ca="1">IF(Control!$C$58=2, $NE93+$NH93,0)</f>
        <v>#DIV/0!</v>
      </c>
      <c r="NJ93" s="54" t="e">
        <f ca="1">IF(AND(Control!$C$58=1, $MS93&lt;= ($MN93+0.02), $I93&lt;10), MAX(0, MIN(10, 0.7*($NF93-$MV93))), IF(Control!$C$58=2, MIN(10,$NI93),0))</f>
        <v>#DIV/0!</v>
      </c>
      <c r="NK93" s="54" t="e">
        <f t="shared" ca="1" si="338"/>
        <v>#DIV/0!</v>
      </c>
      <c r="NL93" s="173" t="e">
        <f ca="1">(1-Control!$C$73)*$I93+$NJ93</f>
        <v>#DIV/0!</v>
      </c>
      <c r="NM93" s="172" t="e">
        <f ca="1">IF($NL93&lt;0.5, $MB93* MAX(0, MIN(1, (SQRT($NC93)-SQRT($NC93-1))*Control!$C$71)),0)</f>
        <v>#DIV/0!</v>
      </c>
      <c r="NN93" s="170" t="e">
        <f ca="1">IF($NL93&gt;=5, $MB93, MAX(0,MIN($MB93, $NM93+$NL93,($MS93-Control!$C$129))))</f>
        <v>#DIV/0!</v>
      </c>
      <c r="NO93" s="54">
        <f>IF(Control!$C$133&lt;&gt;1, Control!$C$135-Control!$C$131, 0)</f>
        <v>0.38</v>
      </c>
      <c r="NP93" s="54" t="e">
        <f t="shared" ca="1" si="339"/>
        <v>#DIV/0!</v>
      </c>
      <c r="NQ93" s="173" t="e">
        <f ca="1">MAX(0,MIN(1,(Control!$C$135-$MS93)/(Control!$C$135-$NO93)))</f>
        <v>#DIV/0!</v>
      </c>
      <c r="NR93" s="170" t="e">
        <f ca="1">IF(Control!$C$133&lt;&gt;1, $NQ93+((1-$NP93/4)*(1-$NQ93)),1)</f>
        <v>#DIV/0!</v>
      </c>
      <c r="NS93" s="170" t="e">
        <f ca="1">IF(Control!$B$31=0,$MJ93,MAX(0,MIN($MV93,$MO93*$NR93*$MJ93)))</f>
        <v>#DIV/0!</v>
      </c>
      <c r="NT93" s="170" t="e">
        <f t="shared" ca="1" si="455"/>
        <v>#DIV/0!</v>
      </c>
      <c r="NU93" s="170" t="e">
        <f t="shared" ca="1" si="431"/>
        <v>#N/A</v>
      </c>
      <c r="NV93" s="170" t="e">
        <f t="shared" ca="1" si="340"/>
        <v>#N/A</v>
      </c>
      <c r="NW93" s="175" t="e">
        <f t="shared" ca="1" si="341"/>
        <v>#DIV/0!</v>
      </c>
      <c r="NX93" s="170" t="e">
        <f ca="1">MIN(Control!$C$72+$MU93, $NW93)</f>
        <v>#DIV/0!</v>
      </c>
      <c r="NY93" s="170" t="e">
        <f ca="1">IF($MT93&lt;=$NX93,MIN(Control!$C$72+$NB93,$NX93-$MT93),0)</f>
        <v>#DIV/0!</v>
      </c>
      <c r="NZ93" s="54" t="e">
        <f ca="1">IF(Control!$C$114=1,  $CX93*($MX93-Control!$C$127), 0)</f>
        <v>#DIV/0!</v>
      </c>
      <c r="OA93" s="170" t="e">
        <f t="shared" ca="1" si="342"/>
        <v>#DIV/0!</v>
      </c>
      <c r="OB93" s="170" t="e">
        <f ca="1">IF($NA93 &lt;=$NY93, MIN(Control!$C$72, $NY93-$NA93), 0)</f>
        <v>#DIV/0!</v>
      </c>
      <c r="OC93" s="168" t="e">
        <f t="shared" ca="1" si="343"/>
        <v>#DIV/0!</v>
      </c>
      <c r="OD93" s="168" t="e">
        <f t="shared" ca="1" si="432"/>
        <v>#DIV/0!</v>
      </c>
      <c r="OE93" s="170">
        <f ca="1">Control!$C$73*$I93</f>
        <v>0</v>
      </c>
      <c r="OF93" s="176" t="e">
        <f t="shared" ca="1" si="344"/>
        <v>#DIV/0!</v>
      </c>
      <c r="OG93" s="168" t="e">
        <f t="shared" ca="1" si="345"/>
        <v>#DIV/0!</v>
      </c>
      <c r="OH93" s="168" t="e">
        <f t="shared" ca="1" si="346"/>
        <v>#DIV/0!</v>
      </c>
      <c r="OI93" s="168" t="e">
        <f t="shared" ca="1" si="347"/>
        <v>#DIV/0!</v>
      </c>
      <c r="OJ93" s="168" t="e">
        <f t="shared" ca="1" si="348"/>
        <v>#DIV/0!</v>
      </c>
      <c r="OK93" s="204" t="e">
        <f t="shared" ca="1" si="349"/>
        <v>#DIV/0!</v>
      </c>
      <c r="OL93" s="177">
        <f>Control!$C$127</f>
        <v>0.15</v>
      </c>
      <c r="OM93" s="182" t="e">
        <f t="shared" ca="1" si="350"/>
        <v>#N/A</v>
      </c>
      <c r="ON93" s="177">
        <f>Control!$C$128</f>
        <v>0.35</v>
      </c>
      <c r="OO93" s="182" t="e">
        <f t="shared" ca="1" si="351"/>
        <v>#N/A</v>
      </c>
      <c r="OP93" s="138">
        <f t="shared" ca="1" si="433"/>
        <v>0</v>
      </c>
      <c r="OQ93" s="138" t="e">
        <f t="shared" ca="1" si="456"/>
        <v>#DIV/0!</v>
      </c>
      <c r="OR93" s="138" t="e">
        <f t="shared" ca="1" si="434"/>
        <v>#DIV/0!</v>
      </c>
      <c r="OS93" s="137" t="e">
        <f t="shared" ca="1" si="457"/>
        <v>#DIV/0!</v>
      </c>
      <c r="OT93" s="139" t="e">
        <f t="shared" ca="1" si="458"/>
        <v>#DIV/0!</v>
      </c>
      <c r="OU93" s="138" t="e">
        <f t="shared" ca="1" si="459"/>
        <v>#N/A</v>
      </c>
      <c r="OV93" s="138" t="e">
        <f t="shared" ca="1" si="460"/>
        <v>#DIV/0!</v>
      </c>
      <c r="OW93" s="138" t="e">
        <f t="shared" ca="1" si="435"/>
        <v>#DIV/0!</v>
      </c>
      <c r="OX93" s="138" t="e">
        <f t="shared" ca="1" si="436"/>
        <v>#DIV/0!</v>
      </c>
      <c r="OY93" s="138" t="e">
        <f t="shared" ca="1" si="437"/>
        <v>#DIV/0!</v>
      </c>
      <c r="OZ93" s="138" t="e">
        <f t="shared" ca="1" si="352"/>
        <v>#DIV/0!</v>
      </c>
      <c r="PA93" s="138" t="e">
        <f t="shared" ca="1" si="353"/>
        <v>#DIV/0!</v>
      </c>
      <c r="PB93" s="55">
        <f>IF(Control!$C$61="T", IF(Control!$C$65="F", IF($AH$6-Control!$C$60&lt;0,0,1), IF(365+$AH$6-Control!$C$60&lt;0,0,1)),0)</f>
        <v>0</v>
      </c>
      <c r="PC93" s="55">
        <f ca="1">IF(Control!$C$65="F", IF($AH$6-$HF93&lt;0,0,1), IF(365+$AH$6-$HF93&lt;0,0,1))</f>
        <v>1</v>
      </c>
      <c r="PD93" s="444">
        <f>Control!$C$118</f>
        <v>1500</v>
      </c>
      <c r="PE93" s="180" t="e">
        <f t="shared" ca="1" si="354"/>
        <v>#N/A</v>
      </c>
      <c r="PF93" s="445">
        <f t="shared" ca="1" si="438"/>
        <v>0.71612369323045078</v>
      </c>
      <c r="PT93" s="186"/>
      <c r="PU93" s="186"/>
      <c r="PV93" s="94"/>
      <c r="PW93" s="94"/>
      <c r="PX93" s="94"/>
      <c r="PY93" s="94"/>
      <c r="PZ93" s="94"/>
      <c r="QA93" s="94"/>
      <c r="QB93" s="94"/>
      <c r="QC93" s="94"/>
      <c r="QD93" s="94"/>
      <c r="QE93" s="94"/>
      <c r="QF93" s="94"/>
      <c r="QG93" s="94"/>
      <c r="QH93" s="94"/>
      <c r="QI93" s="94"/>
      <c r="QJ93" s="94"/>
      <c r="QK93" s="94"/>
      <c r="QL93" s="94"/>
      <c r="QM93" s="94"/>
      <c r="QN93" s="94"/>
      <c r="QO93" s="94"/>
      <c r="QP93" s="94"/>
    </row>
    <row r="94" spans="1:458" s="2" customFormat="1" x14ac:dyDescent="0.2">
      <c r="A94" s="395">
        <v>30</v>
      </c>
      <c r="B94" s="396">
        <v>3</v>
      </c>
      <c r="C94" s="387">
        <f ca="1">Weather_data!$B93</f>
        <v>0</v>
      </c>
      <c r="D94" s="388">
        <f ca="1">Weather_data!$F93</f>
        <v>0</v>
      </c>
      <c r="E94" s="388">
        <f ca="1">Weather_data!$E93</f>
        <v>0</v>
      </c>
      <c r="F94" s="388">
        <f t="shared" ca="1" si="355"/>
        <v>0</v>
      </c>
      <c r="G94" s="388">
        <f ca="1">AVERAGE($D94:$E94)+Control!$B$9</f>
        <v>0</v>
      </c>
      <c r="H94" s="388">
        <f ca="1">Weather_data!$G93</f>
        <v>0</v>
      </c>
      <c r="I94" s="388">
        <f ca="1">Weather_data!$I93</f>
        <v>0</v>
      </c>
      <c r="J94" s="388">
        <f ca="1">Weather_data!$H93</f>
        <v>0</v>
      </c>
      <c r="K94" s="389">
        <f ca="1">Weather_data!$D93</f>
        <v>0</v>
      </c>
      <c r="L94" s="388" t="e">
        <f t="shared" ca="1" si="356"/>
        <v>#N/A</v>
      </c>
      <c r="M94" s="388" t="e">
        <f t="shared" ca="1" si="234"/>
        <v>#N/A</v>
      </c>
      <c r="N94" s="388">
        <f t="shared" ca="1" si="235"/>
        <v>-4.7023054349300241E-5</v>
      </c>
      <c r="O94" s="388">
        <f t="shared" ca="1" si="357"/>
        <v>4.7023054349300242E-4</v>
      </c>
      <c r="P94" s="390">
        <v>3</v>
      </c>
      <c r="Q94" s="388">
        <f ca="1">MAX($G94-Control!$C$107,0)</f>
        <v>0</v>
      </c>
      <c r="R94" s="388">
        <f t="shared" ca="1" si="358"/>
        <v>0</v>
      </c>
      <c r="S94" s="388">
        <f t="shared" ca="1" si="236"/>
        <v>0</v>
      </c>
      <c r="T94" s="388">
        <f t="shared" ca="1" si="237"/>
        <v>0</v>
      </c>
      <c r="U94" s="59">
        <f t="shared" ca="1" si="238"/>
        <v>0</v>
      </c>
      <c r="V94" s="391">
        <f ca="1">MAX(0,MIN(Control!$C$100-Control!$C$99,$G94-Control!$C$99)*Control!$C$63)</f>
        <v>0</v>
      </c>
      <c r="W94" s="388">
        <f t="shared" ca="1" si="359"/>
        <v>0</v>
      </c>
      <c r="X94" s="388">
        <f t="shared" ca="1" si="360"/>
        <v>0.6110000000000001</v>
      </c>
      <c r="Y94" s="388">
        <f t="shared" ca="1" si="239"/>
        <v>0</v>
      </c>
      <c r="Z94" s="388">
        <f t="shared" ca="1" si="361"/>
        <v>0.61058800000000002</v>
      </c>
      <c r="AA94" s="388">
        <f t="shared" ca="1" si="240"/>
        <v>0.6018</v>
      </c>
      <c r="AB94" s="388">
        <f ca="1">101.3*EXP(-0.034*Control!$C$66/($G94+273))</f>
        <v>100.69623283836242</v>
      </c>
      <c r="AC94" s="392">
        <f t="shared" ca="1" si="241"/>
        <v>4.3460251046025113E-2</v>
      </c>
      <c r="AD94" s="392">
        <f t="shared" ca="1" si="242"/>
        <v>4.4450382862832649E-2</v>
      </c>
      <c r="AE94" s="388">
        <f t="shared" ca="1" si="243"/>
        <v>0</v>
      </c>
      <c r="AF94" s="388">
        <f ca="1">MAX(0,$G94-Control!$C$92)</f>
        <v>0</v>
      </c>
      <c r="AG94" s="393">
        <f t="shared" ca="1" si="244"/>
        <v>90</v>
      </c>
      <c r="AH94" s="389">
        <f t="shared" ca="1" si="245"/>
        <v>90</v>
      </c>
      <c r="AI94" s="388">
        <f t="shared" ca="1" si="362"/>
        <v>5.9751604313972285E-2</v>
      </c>
      <c r="AJ94" s="388">
        <f ca="1">IF(Control!$C$60&lt;=0,$HH94,$HI94)</f>
        <v>1</v>
      </c>
      <c r="AK94" s="388">
        <f t="shared" ca="1" si="246"/>
        <v>0.17214206321039963</v>
      </c>
      <c r="AL94" s="388">
        <f t="shared" ca="1" si="247"/>
        <v>1.0819713180953982E-18</v>
      </c>
      <c r="AM94" s="388">
        <f t="shared" ca="1" si="248"/>
        <v>0.17214206321039963</v>
      </c>
      <c r="AN94" s="388">
        <f t="shared" ca="1" si="249"/>
        <v>6.8193253874784671E-2</v>
      </c>
      <c r="AO94" s="388">
        <f ca="1">-0.10453/COS(Control!$B$8*PI()/180)*COS(AN94)</f>
        <v>-0.16939024022897559</v>
      </c>
      <c r="AP94" s="388">
        <f ca="1">ACOS(AO94-TAN(Control!$B$8*PI()/180)*TAN(AN94))</f>
        <v>1.830515522804486</v>
      </c>
      <c r="AQ94" s="388">
        <f t="shared" ca="1" si="363"/>
        <v>0</v>
      </c>
      <c r="AR94" s="394">
        <f t="shared" ca="1" si="250"/>
        <v>0</v>
      </c>
      <c r="AS94" s="436">
        <f ca="1">IF(Control!$B$18=2,(IF(OR($AH94=Control!$B$175,$AH94=Control!$B$176,$AH94=Control!$B$177,$AH94=Control!$B$178,$AH94=Control!$B$179,$AH94=Control!$B$180,$AH94=Control!$B$181,$AH94=Control!$B$182,$AH94=Control!$B$183,$AH94=Control!$B$184,$AH94=Control!$B$185),1,0)),0)</f>
        <v>0</v>
      </c>
      <c r="AT94" s="436">
        <f>IF(Control!$B$20=8,IF(AND($AH94&gt;=Control!$B$172,$AH94&lt;=Control!$B$173),1,0),0)</f>
        <v>0</v>
      </c>
      <c r="AU94" s="436">
        <f>IF(Control!$B$20=8,IF($AV93=1,1*$AT94,IF($AT94=1,$AU93+1,$AU93)),0)</f>
        <v>0</v>
      </c>
      <c r="AV94" s="436">
        <f>IF(Control!$B$20=8,IF($AU94&gt;=Control!$B$174,1,0),0)</f>
        <v>0</v>
      </c>
      <c r="AW94" s="436">
        <f ca="1">IF(AND(Control!$B$18=2,Control!$B$171=1), $AV94, $AS94)</f>
        <v>0</v>
      </c>
      <c r="AX94" s="436" t="e">
        <f ca="1">IF(AND(Control!$B$18=1,$EU94&gt;=Control!$B$19),-$AY94,IF(AND(Control!$B$18=2,$AW94=1,$EU94&gt;$DS94),-$AY94, IF(Control!$C$108=0,0, IF(Control!$C$108&lt;&gt;0,1))))</f>
        <v>#N/A</v>
      </c>
      <c r="AY94" s="436" t="e">
        <f t="shared" ca="1" si="364"/>
        <v>#N/A</v>
      </c>
      <c r="AZ94" s="436" t="e">
        <f ca="1">IF(AND(Control!$B$18=1,$EB94&gt;Control!$B$19),$AZ93+1, IF(AND(Control!$B$18=2, $AW94=1, $EB94&gt;$DS94), $AZ93+1,$AZ93))</f>
        <v>#N/A</v>
      </c>
      <c r="BA94" s="587">
        <f>IF(Control!$C$81=0,1,IF($AH94&gt;=Control!$C$82,1,0))</f>
        <v>1</v>
      </c>
      <c r="BB94" s="140" t="e">
        <f ca="1">IF($BA94&gt;$BA93,Control!$C$83,IF($AW94&gt;0,$AW94*Control!$C$84,IF(AND(Control!$B$18=1,EN93&lt;&gt;0),Control!$C$84,0)))</f>
        <v>#N/A</v>
      </c>
      <c r="BC94" s="140" t="e">
        <f t="shared" ca="1" si="365"/>
        <v>#N/A</v>
      </c>
      <c r="BD94" s="140" t="e">
        <f ca="1">BC94*IF(OR($G94&lt;Control!$C$92,$G94&gt;Control!$C$95),0,IF(AND($G94&gt;=Control!$C$92,$G94&lt;=Control!$C$93),$G94-Control!$C$92,IF(AND($G94&gt;Control!$C$93,$G94&lt;=Control!$C$94),Control!$C$93-Control!$C$92,IF(AND($G94&gt;Control!$C$94,$G94&lt;=Control!$C$95),(Control!$C$93-Control!$C$92)*(Control!$C$94-$G94)/(Control!$C$95-Control!$C$94)))))</f>
        <v>#N/A</v>
      </c>
      <c r="BE94" s="140" t="e">
        <f t="shared" ca="1" si="366"/>
        <v>#N/A</v>
      </c>
      <c r="BF94" s="140" t="e">
        <f ca="1">IF($BE94&lt;=Control!$C$86,$BE94,Control!$C$86-$BE94)</f>
        <v>#N/A</v>
      </c>
      <c r="BG94" s="140" t="e">
        <f ca="1">IF(AND($AW94=1,Control!$C$84&lt;9),1,IF($BE94&gt;=Control!$C$86,0,$BC94))</f>
        <v>#N/A</v>
      </c>
      <c r="BH94" s="404" t="e">
        <f ca="1">IF($BG94=0,0,IF($BE94&lt;=Control!$C$86,$BC94*9*($BF94/Control!$C$86),0))</f>
        <v>#N/A</v>
      </c>
      <c r="BI94" s="140" t="e">
        <f ca="1">IF($BG94=1,0,IF($BE94&gt;=Control!$C$86,1,IF(AND($BB94&lt;21,$BB94&gt;=9),1,$BM93)))</f>
        <v>#N/A</v>
      </c>
      <c r="BJ94" s="140" t="e">
        <f ca="1">IF($BF94&lt;0,-$BF94,$BI94*IF(OR($G94&lt;Control!$C$92,$G94&gt;Control!$C$95),0,IF(AND($G94&gt;=Control!$C$92,$G94&lt;=Control!$C$93),$G94-Control!$C$92,IF(AND($G94&gt;Control!$C$93,$G94&lt;=Control!$C$94),Control!$C$93-Control!$C$92,IF(AND($G94&gt;Control!$C$94,$G94&lt;=Control!$C$95),(Control!$C$93-Control!$C$92)*(Control!$C$94-$G94)/(Control!$C$95-Control!$C$94))))))</f>
        <v>#N/A</v>
      </c>
      <c r="BK94" s="140" t="e">
        <f t="shared" ca="1" si="367"/>
        <v>#N/A</v>
      </c>
      <c r="BL94" s="140" t="e">
        <f ca="1">IF($BK94&lt;=Control!$C$87,$BK94,Control!$C$87-$BK94)</f>
        <v>#N/A</v>
      </c>
      <c r="BM94" s="140" t="e">
        <f ca="1">IF(AND($BB94&gt;=9,$BB94&lt;21),1,IF($BK94&gt;=Control!$C$87,0,$BI94))</f>
        <v>#N/A</v>
      </c>
      <c r="BN94" s="404" t="e">
        <f ca="1">IF($BM94=0,0,IF($BK94&lt;=Control!$C$87,$BI94*(9+(21-9)*($BL94/Control!$C$87)),0))</f>
        <v>#N/A</v>
      </c>
      <c r="BO94" s="140" t="e">
        <f ca="1">IF($BM94=1,0,IF($BK94&gt;=Control!$C$87,1,IF(AND($BB94&lt;30,$BB94&gt;=21),1,$BS93)))</f>
        <v>#N/A</v>
      </c>
      <c r="BP94" s="140" t="e">
        <f ca="1">IF($BL94&lt;0,-$BL94,$BO94*IF(OR($G94&lt;Control!$C$92,$G94&gt;Control!$C$95),0,IF(AND($G94&gt;=Control!$C$92,$G94&lt;=Control!$C$93),$G94-Control!$C$92,IF(AND($G94&gt;Control!$C$93,$G94&lt;=Control!$C$94),Control!$C$93-Control!$C$92,IF(AND($G94&gt;Control!$C$94,$G94&lt;=Control!$C$95),(Control!$C$93-Control!$C$92)*(Control!$C$94-$G94)/(Control!$C$95-Control!$C$94))))))</f>
        <v>#N/A</v>
      </c>
      <c r="BQ94" s="140" t="e">
        <f t="shared" ca="1" si="251"/>
        <v>#N/A</v>
      </c>
      <c r="BR94" s="140" t="e">
        <f ca="1">IF($BQ94&lt;=Control!$C$88,$BQ94,Control!$C$88-$BQ94)</f>
        <v>#N/A</v>
      </c>
      <c r="BS94" s="140" t="e">
        <f ca="1">IF(AND($BB94&gt;=21,$BB94&lt;30),1,IF($BQ94&gt;=Control!$C$88,0,$BO94))</f>
        <v>#N/A</v>
      </c>
      <c r="BT94" s="404" t="e">
        <f ca="1">IF($BS94=0,0,IF($BQ94&lt;=Control!$C$88,$BO94*(21+(30-21)*(BR94/Control!$C$88)),0))</f>
        <v>#N/A</v>
      </c>
      <c r="BU94" s="140" t="e">
        <f ca="1">IF(BG94+BM94+BS94=1,0,IF(OR(AND($BB94&lt;60,$BB94&gt;=30),$BQ94&gt;=Control!$C$88),1*$BA94,$BY93))</f>
        <v>#N/A</v>
      </c>
      <c r="BV94" s="140" t="e">
        <f ca="1">IF($BR94&lt;0,-$BR94,$BU94*IF(OR($G94&lt;Control!$C$92,$G94&gt;Control!$C$95),0,IF(AND($G94&gt;=Control!$C$92,$G94&lt;=Control!$C$93),$G94-Control!$C$92,IF(AND($G94&gt;Control!$C$93,$G94&lt;=Control!$C$94),Control!$C$93-Control!$C$92,IF(AND($G94&gt;Control!$C$94,$G94&lt;=Control!$C$95),(Control!$C$93-Control!$C$92)*(Control!$C$94-$G94)/(Control!$C$95-Control!$C$94))))))</f>
        <v>#N/A</v>
      </c>
      <c r="BW94" s="140" t="e">
        <f t="shared" ca="1" si="252"/>
        <v>#N/A</v>
      </c>
      <c r="BX94" s="140" t="e">
        <f ca="1">IF($BW94&lt;=Control!$C$89,$BW94,Control!$C$89-$BW94)</f>
        <v>#N/A</v>
      </c>
      <c r="BY94" s="140" t="e">
        <f ca="1">IF(AND($AJ94&gt;=30,$AJ94&lt;60),1,IF($BW94&gt;=Control!$C$89,0,$BU94))</f>
        <v>#N/A</v>
      </c>
      <c r="BZ94" s="404" t="e">
        <f ca="1">IF($BY94=0,0,IF($BW94&lt;=Control!$C$89,$BU94*(30+(60-30)*(BX94/Control!$C$89)),0))</f>
        <v>#N/A</v>
      </c>
      <c r="CA94" s="140" t="e">
        <f ca="1">IF($BG94+$BM94+$BS94+$BY94=1,0,IF(OR(AND($BB94&lt;65,$BB94&gt;=60),$BW94&gt;=Control!$C$89),1*$BA94,$CE93))</f>
        <v>#N/A</v>
      </c>
      <c r="CB94" s="140" t="e">
        <f ca="1">IF($BX94&lt;0,-$BX94,$CA94*IF(OR($G94&lt;Control!$C$92,$G94&gt;Control!$C$95),0,IF(AND($G94&gt;=Control!$C$92,$G94&lt;=Control!$C$93),$G94-Control!$C$92,IF(AND($G94&gt;Control!$C$93,$G94&lt;=Control!$C$94),Control!$C$93-Control!$C$92,IF(AND($G94&gt;Control!$C$94,$G94&lt;=Control!$C$95),(Control!$C$93-Control!$C$92)*(Control!$C$94-$G94)/(Control!$C$95-Control!$C$94))))))</f>
        <v>#N/A</v>
      </c>
      <c r="CC94" s="140" t="e">
        <f t="shared" ca="1" si="368"/>
        <v>#N/A</v>
      </c>
      <c r="CD94" s="140" t="e">
        <f ca="1">IF($CC94&lt;=Control!$C$90,$CC94,Control!$C$90-$CC94)</f>
        <v>#N/A</v>
      </c>
      <c r="CE94" s="140" t="e">
        <f ca="1">IF(AND($BB94&gt;=60,$BB94&lt;65),1,IF($CC94&gt;=Control!$C$90,0,$CA94))</f>
        <v>#N/A</v>
      </c>
      <c r="CF94" s="404" t="e">
        <f ca="1">IF($CE94=0,0,IF($CC94&lt;=Control!$C$90,$CA94*(60+(65-60)*(CD94/Control!$C$90)),0))</f>
        <v>#N/A</v>
      </c>
      <c r="CG94" s="140" t="e">
        <f ca="1">IF($BG94+$BM94+$BS94+$BY94+$CE94=1,0,IF(OR(AND($BB94&lt;90,$BB94&gt;=65),$CC94&gt;=Control!$C$90),$BA94,$CK93))</f>
        <v>#N/A</v>
      </c>
      <c r="CH94" s="140" t="e">
        <f ca="1">IF($CD94&lt;0,-$CD94,$CG94*IF(OR($G94&lt;Control!$C$92,$G94&gt;Control!$C$95),0,IF(AND($G94&gt;=Control!$C$92,$G94&lt;=Control!$C$93),$G94-Control!$C$92,IF(AND($G94&gt;Control!$C$93,$G94&lt;=Control!$C$94),Control!$C$93-Control!$C$92,IF(AND($G94&gt;Control!$C$94,$G94&lt;=Control!$C$95),(Control!$C$93-Control!$C$92)*(Control!$C$94-$G94)/(Control!$C$95-Control!$C$94))))))</f>
        <v>#N/A</v>
      </c>
      <c r="CI94" s="140" t="e">
        <f t="shared" ca="1" si="369"/>
        <v>#N/A</v>
      </c>
      <c r="CJ94" s="140" t="e">
        <f ca="1">IF($CI94&lt;=Control!$C$91,$CI94,Control!$C$91-$CI94)</f>
        <v>#N/A</v>
      </c>
      <c r="CK94" s="140" t="e">
        <f ca="1">IF(AND($BB94&gt;=65,$BB94&lt;90),1,IF($CI94&gt;=Control!$C$91,0,$CG94))</f>
        <v>#N/A</v>
      </c>
      <c r="CL94" s="404" t="e">
        <f ca="1">IF($CK94=0,0,IF($CI94&lt;=Control!$C$91,$CG94*(65+(90-65)*($CJ94/Control!$C$91)),0))</f>
        <v>#N/A</v>
      </c>
      <c r="CM94" s="140" t="e">
        <f ca="1">IF($BG94+$BM94+$BS94+$BY94+$CE94+$CK94=1,0,IF(OR($BB94&gt;=90,$CI94&gt;=Control!$C$91),$BA94,$CM93))</f>
        <v>#N/A</v>
      </c>
      <c r="CN94" s="140" t="e">
        <f t="shared" ca="1" si="370"/>
        <v>#N/A</v>
      </c>
      <c r="CO94" s="140" t="e">
        <f t="shared" ca="1" si="371"/>
        <v>#N/A</v>
      </c>
      <c r="CP94" s="140" t="e">
        <f t="shared" ca="1" si="372"/>
        <v>#N/A</v>
      </c>
      <c r="CQ94" s="141" t="e">
        <f ca="1">VLOOKUP($CP94,Control!$B$86:$G$91,6)</f>
        <v>#N/A</v>
      </c>
      <c r="CR94" s="141" t="e">
        <f ca="1">(1-$CQ94)*VLOOKUP($CP94,Control!$B$86:$D$91,3)</f>
        <v>#N/A</v>
      </c>
      <c r="CS94" s="141" t="e">
        <f ca="1">(1-$CQ94)*VLOOKUP($CP94,Control!$B$86:$E$91,4)</f>
        <v>#N/A</v>
      </c>
      <c r="CT94" s="141" t="e">
        <f ca="1">(1-$CQ94)*VLOOKUP($CP94,Control!$B$86:$F$91,5)</f>
        <v>#N/A</v>
      </c>
      <c r="CU94" s="141">
        <f t="shared" ca="1" si="373"/>
        <v>0</v>
      </c>
      <c r="CV94" s="583">
        <f t="shared" ca="1" si="374"/>
        <v>0</v>
      </c>
      <c r="CW94" s="142">
        <f t="shared" ca="1" si="375"/>
        <v>90</v>
      </c>
      <c r="CX94" s="612" t="e">
        <f ca="1">IF(Control!$C$114=1,(MIN(Control!$C$120*(IF($NT94-0.01&lt;0,0,1)),Control!$C$119-$CY94)))</f>
        <v>#DIV/0!</v>
      </c>
      <c r="CY94" s="143" t="e">
        <f t="shared" ca="1" si="376"/>
        <v>#N/A</v>
      </c>
      <c r="CZ94" s="144">
        <f t="shared" ca="1" si="253"/>
        <v>0</v>
      </c>
      <c r="DA94" s="144">
        <f t="shared" ca="1" si="254"/>
        <v>0</v>
      </c>
      <c r="DB94" s="144" t="e">
        <f t="shared" ca="1" si="255"/>
        <v>#N/A</v>
      </c>
      <c r="DC94" s="144" t="e">
        <f t="shared" ca="1" si="256"/>
        <v>#N/A</v>
      </c>
      <c r="DD94" s="144" t="e">
        <f t="shared" ca="1" si="461"/>
        <v>#N/A</v>
      </c>
      <c r="DE94" s="143" t="e">
        <f t="shared" ca="1" si="377"/>
        <v>#N/A</v>
      </c>
      <c r="DF94" s="145" t="e">
        <f ca="1">$DR94*EXP(-Control!$C$158*(1-$KH94))</f>
        <v>#N/A</v>
      </c>
      <c r="DG94" s="146" t="e">
        <f ca="1">IF(Control!$C$114=1, $DF94*$EY94, 0)</f>
        <v>#N/A</v>
      </c>
      <c r="DH94" s="147" t="e">
        <f t="shared" ca="1" si="378"/>
        <v>#N/A</v>
      </c>
      <c r="DI94" s="144" t="e">
        <f t="shared" ca="1" si="439"/>
        <v>#N/A</v>
      </c>
      <c r="DJ94" s="147" t="e">
        <f ca="1">$EF94*Control!$C$109</f>
        <v>#N/A</v>
      </c>
      <c r="DK94" s="144" t="e">
        <f t="shared" ca="1" si="379"/>
        <v>#N/A</v>
      </c>
      <c r="DL94" s="144" t="e">
        <f t="shared" ca="1" si="257"/>
        <v>#N/A</v>
      </c>
      <c r="DM94" s="144" t="e">
        <f ca="1">IF(Control!$C$114=1, (1-EXP(-Control!$C$96*$DK94))*$AR94, 0)</f>
        <v>#N/A</v>
      </c>
      <c r="DN94" s="144">
        <f t="shared" ca="1" si="380"/>
        <v>0</v>
      </c>
      <c r="DO94" s="148">
        <f>Control!$C$97</f>
        <v>4</v>
      </c>
      <c r="DP94" s="145" t="e">
        <f t="shared" ca="1" si="381"/>
        <v>#N/A</v>
      </c>
      <c r="DQ94" s="145" t="e">
        <f ca="1">IF(AND($CP94&gt;=0,$CP94&lt;=90),Control!$C$111,Control!$C$111)</f>
        <v>#N/A</v>
      </c>
      <c r="DR94" s="145" t="e">
        <f t="shared" ca="1" si="258"/>
        <v>#N/A</v>
      </c>
      <c r="DS94" s="143" t="e">
        <f ca="1">Control!$B$22/$DR94</f>
        <v>#N/A</v>
      </c>
      <c r="DT94" s="149" t="e">
        <f ca="1">IF(AND(Control!$C$114=1,$KH94&lt;1),$IM94*$DF94, 0)</f>
        <v>#N/A</v>
      </c>
      <c r="DU94" s="144" t="e">
        <f t="shared" ca="1" si="382"/>
        <v>#N/A</v>
      </c>
      <c r="DV94" s="144">
        <f ca="1">IF($G94-Control!$C$107&lt;=0, 0, 0.83*LN(MAX($G94, 3))-0.8924)</f>
        <v>0</v>
      </c>
      <c r="DW94" s="144" t="e">
        <f t="shared" ca="1" si="259"/>
        <v>#N/A</v>
      </c>
      <c r="DX94" s="150" t="e">
        <f ca="1">MAX(0.01*(1+$CU94/Control!$C$102),0.05*($DK94-Control!$C$97)/Control!$C$97)</f>
        <v>#N/A</v>
      </c>
      <c r="DY94" s="151" t="e">
        <f ca="1">IF(Control!$C$114=1, $DI94*$FS94, 0)</f>
        <v>#N/A</v>
      </c>
      <c r="DZ94" s="196" t="e">
        <f t="shared" ca="1" si="383"/>
        <v>#N/A</v>
      </c>
      <c r="EA94" s="152">
        <f t="shared" ca="1" si="384"/>
        <v>90</v>
      </c>
      <c r="EB94" s="153" t="e">
        <f t="shared" ca="1" si="385"/>
        <v>#N/A</v>
      </c>
      <c r="EC94" s="153" t="e">
        <f t="shared" ca="1" si="386"/>
        <v>#N/A</v>
      </c>
      <c r="ED94" s="154" t="e">
        <f ca="1">IF(Control!$C$114=1, $HM94*$FY94-$FD94, 0)</f>
        <v>#DIV/0!</v>
      </c>
      <c r="EE94" s="155" t="e">
        <f ca="1">IF(Control!$C$114=1, $HM94*$FZ94-$FF94, 0)</f>
        <v>#DIV/0!</v>
      </c>
      <c r="EF94" s="153" t="e">
        <f t="shared" ca="1" si="440"/>
        <v>#N/A</v>
      </c>
      <c r="EG94" s="155" t="e">
        <f ca="1">IF(Control!$C$114=1, $GX94*$FW94-$FI94, 0)</f>
        <v>#DIV/0!</v>
      </c>
      <c r="EH94" s="153" t="e">
        <f t="shared" ca="1" si="387"/>
        <v>#N/A</v>
      </c>
      <c r="EI94" s="156" t="e">
        <f t="shared" ca="1" si="388"/>
        <v>#N/A</v>
      </c>
      <c r="EJ94" s="155" t="e">
        <f ca="1">IF(Control!$C$114=1, $HM94*$GB94, 0)</f>
        <v>#DIV/0!</v>
      </c>
      <c r="EK94" s="153" t="e">
        <f t="shared" ca="1" si="441"/>
        <v>#N/A</v>
      </c>
      <c r="EL94" s="153" t="e">
        <f t="shared" ca="1" si="260"/>
        <v>#N/A</v>
      </c>
      <c r="EM94" s="153" t="e">
        <f t="shared" ca="1" si="261"/>
        <v>#N/A</v>
      </c>
      <c r="EN94" s="153" t="e">
        <f ca="1">IF(Control!$C$108=1,IF(AND(Control!$B$18=1,$EB94&gt;=Control!$B$19),$EB94-$DS94,IF(AND(Control!$B$18=2,$AW94=1,$EB94&gt;$DS94),$EB94-$DS94,0)))</f>
        <v>#N/A</v>
      </c>
      <c r="EO94" s="153" t="e">
        <f ca="1">IF(Control!$C$108=1,IF(AND(Control!$B$18=1,$EB94&gt;=Control!$B$19),$EF94,IF(AND(Control!$B$18=2,$AW94=1),$EF94,0)))</f>
        <v>#N/A</v>
      </c>
      <c r="EP94" s="153" t="e">
        <f ca="1">IF(Control!$C$108=1,IF(AND(Control!$B$18=1,$EB94&gt;=Control!$B$19),$EK94,IF(AND(Control!$B$18=2,$AW94=1),$EK94,0)))</f>
        <v>#N/A</v>
      </c>
      <c r="EQ94" s="153" t="e">
        <f t="shared" ca="1" si="389"/>
        <v>#N/A</v>
      </c>
      <c r="ER94" s="153" t="e">
        <f t="shared" ca="1" si="390"/>
        <v>#N/A</v>
      </c>
      <c r="ES94" s="153" t="e">
        <f t="shared" ca="1" si="442"/>
        <v>#N/A</v>
      </c>
      <c r="ET94" s="153" t="e">
        <f t="shared" ca="1" si="443"/>
        <v>#N/A</v>
      </c>
      <c r="EU94" s="153" t="e">
        <f t="shared" ca="1" si="391"/>
        <v>#N/A</v>
      </c>
      <c r="EV94" s="153" t="e">
        <f t="shared" ca="1" si="262"/>
        <v>#N/A</v>
      </c>
      <c r="EW94" s="153" t="e">
        <f t="shared" ca="1" si="263"/>
        <v>#N/A</v>
      </c>
      <c r="EX94" s="153" t="e">
        <f t="shared" ca="1" si="264"/>
        <v>#N/A</v>
      </c>
      <c r="EY94" s="157" t="e">
        <f t="shared" ca="1" si="265"/>
        <v>#DIV/0!</v>
      </c>
      <c r="EZ94" s="154" t="e">
        <f t="shared" ca="1" si="266"/>
        <v>#DIV/0!</v>
      </c>
      <c r="FA94" s="153" t="e">
        <f t="shared" ca="1" si="392"/>
        <v>#N/A</v>
      </c>
      <c r="FB94" s="153" t="e">
        <f t="shared" ca="1" si="267"/>
        <v>#N/A</v>
      </c>
      <c r="FC94" s="193" t="e">
        <f t="shared" ca="1" si="268"/>
        <v>#N/A</v>
      </c>
      <c r="FD94" s="158" t="e">
        <f t="shared" ca="1" si="393"/>
        <v>#N/A</v>
      </c>
      <c r="FE94" s="158" t="e">
        <f t="shared" ca="1" si="394"/>
        <v>#N/A</v>
      </c>
      <c r="FF94" s="159" t="e">
        <f t="shared" ca="1" si="269"/>
        <v>#N/A</v>
      </c>
      <c r="FG94" s="160" t="e">
        <f t="shared" ca="1" si="395"/>
        <v>#N/A</v>
      </c>
      <c r="FH94" s="158" t="e">
        <f t="shared" ca="1" si="396"/>
        <v>#N/A</v>
      </c>
      <c r="FI94" s="159" t="e">
        <f t="shared" ca="1" si="270"/>
        <v>#N/A</v>
      </c>
      <c r="FJ94" s="160" t="e">
        <f t="shared" ca="1" si="397"/>
        <v>#N/A</v>
      </c>
      <c r="FK94" s="160" t="e">
        <f t="shared" ca="1" si="271"/>
        <v>#N/A</v>
      </c>
      <c r="FL94" s="160" t="e">
        <f t="shared" ca="1" si="444"/>
        <v>#N/A</v>
      </c>
      <c r="FM94" s="160" t="e">
        <f t="shared" ca="1" si="272"/>
        <v>#N/A</v>
      </c>
      <c r="FN94" s="158">
        <f t="shared" ca="1" si="398"/>
        <v>0.01</v>
      </c>
      <c r="FO94" s="160">
        <f>Control!$C$101</f>
        <v>50</v>
      </c>
      <c r="FP94" s="150" t="e">
        <f t="shared" ca="1" si="273"/>
        <v>#N/A</v>
      </c>
      <c r="FQ94" s="150" t="e">
        <f ca="1">MAX(0,(Control!$C$112*(($DK94-Control!$C$97)/Control!$C$97)))</f>
        <v>#N/A</v>
      </c>
      <c r="FR94" s="150" t="e">
        <f ca="1">(1-$NT94)*Control!$C$113</f>
        <v>#DIV/0!</v>
      </c>
      <c r="FS94" s="198" t="e">
        <f t="shared" ca="1" si="274"/>
        <v>#N/A</v>
      </c>
      <c r="FT94" s="161">
        <f t="shared" ca="1" si="399"/>
        <v>90</v>
      </c>
      <c r="FU94" s="162" t="e">
        <f ca="1">IF(Control!$B$34=1,VLOOKUP($CP94,Control!$B$86:$G$91,6),Control!$B$35)</f>
        <v>#N/A</v>
      </c>
      <c r="FV94" s="162" t="e">
        <f t="shared" ca="1" si="275"/>
        <v>#DIV/0!</v>
      </c>
      <c r="FW94" s="162" t="e">
        <f ca="1">IF(Control!$B$31=1,$FU94*$FV94,  $FU94)</f>
        <v>#N/A</v>
      </c>
      <c r="FX94" s="162" t="e">
        <f ca="1">IF(Control!$B$34=1,VLOOKUP($CP94,Control!$B$86:$G$91,3),Control!$B$36)</f>
        <v>#N/A</v>
      </c>
      <c r="FY94" s="162" t="e">
        <f t="shared" ca="1" si="276"/>
        <v>#N/A</v>
      </c>
      <c r="FZ94" s="162" t="e">
        <f ca="1">IF(Control!$B$34=1,VLOOKUP($CP94,Control!$B$86:$G$91,4),Control!$B$37)</f>
        <v>#N/A</v>
      </c>
      <c r="GA94" s="162" t="e">
        <f t="shared" ca="1" si="277"/>
        <v>#N/A</v>
      </c>
      <c r="GB94" s="162" t="e">
        <f ca="1">IF(Control!$B$34=1,VLOOKUP($CP94,Control!$B$86:$G$91,5),Control!$B$38)</f>
        <v>#N/A</v>
      </c>
      <c r="GC94" s="162" t="e">
        <f t="shared" ca="1" si="400"/>
        <v>#N/A</v>
      </c>
      <c r="GD94" s="162">
        <f t="shared" ca="1" si="278"/>
        <v>1</v>
      </c>
      <c r="GE94" s="162">
        <f t="shared" ca="1" si="279"/>
        <v>1</v>
      </c>
      <c r="GF94" s="162">
        <f ca="1">IF(AND(Control!$C$104=1, Control!$C$62="F"),$GE94,1)</f>
        <v>1</v>
      </c>
      <c r="GG94" s="162" t="e">
        <f ca="1">IF(Control!$B$16=40,0,IF(AND(Control!$B$16&gt;40,Control!$B$16&lt;=360),(Control!$B$16-40)*((1-0)/(360-40)),IF(AND(Control!$B$16&gt;360,Control!$B$16&lt;=720),(1+(Control!$B$16-360)*((1.25-1)/(720-360))),IF(AND(Control!$B$16&gt;720,Control!$B$16&lt;=1000),(1.25+(Control!$B$16-720)*((1.35-1.25)/(1000-720))),IF(AND(Control!$B$16&gt;1000,Control!$B$16&lt;=2000),(1.35+(Control!$B$16-1000)*0))))))</f>
        <v>#N/A</v>
      </c>
      <c r="GH94" s="162" t="e">
        <f t="shared" ca="1" si="280"/>
        <v>#N/A</v>
      </c>
      <c r="GI94" s="162">
        <f t="shared" ca="1" si="401"/>
        <v>0</v>
      </c>
      <c r="GJ94" s="162">
        <f t="shared" ca="1" si="281"/>
        <v>0</v>
      </c>
      <c r="GK94" s="162">
        <f t="shared" ca="1" si="402"/>
        <v>1</v>
      </c>
      <c r="GL94" s="162">
        <f t="shared" ca="1" si="282"/>
        <v>1</v>
      </c>
      <c r="GM94" s="162" t="e">
        <f ca="1">MAX(0,MIN(1,1-Control!$C$156*(1.0001-$KH94)^2))</f>
        <v>#N/A</v>
      </c>
      <c r="GN94" s="162" t="e">
        <f ca="1">IF(Control!$B$26=1,$KU94,$KX94)</f>
        <v>#N/A</v>
      </c>
      <c r="GO94" s="162" t="e">
        <f ca="1">IF($CP94&lt;=60,Control!$C$105,IF($CP94&gt;=90,Control!$C$106,Control!$C$105+($CP94-60)*((Control!$C$106-Control!$C$105)/(90-60))))</f>
        <v>#N/A</v>
      </c>
      <c r="GP94" s="162" t="e">
        <f t="shared" ca="1" si="283"/>
        <v>#N/A</v>
      </c>
      <c r="GQ94" s="162" t="e">
        <f t="shared" ca="1" si="403"/>
        <v>#N/A</v>
      </c>
      <c r="GR94" s="163" t="e">
        <f t="shared" ca="1" si="284"/>
        <v>#DIV/0!</v>
      </c>
      <c r="GS94" s="162" t="e">
        <f t="shared" ca="1" si="285"/>
        <v>#DIV/0!</v>
      </c>
      <c r="GT94" s="164" t="e">
        <f t="shared" ca="1" si="404"/>
        <v>#N/A</v>
      </c>
      <c r="GU94" s="162" t="e">
        <f t="shared" ca="1" si="405"/>
        <v>#N/A</v>
      </c>
      <c r="GV94" s="162" t="e">
        <f t="shared" ca="1" si="286"/>
        <v>#N/A</v>
      </c>
      <c r="GW94" s="162" t="e">
        <f t="shared" ca="1" si="287"/>
        <v>#DIV/0!</v>
      </c>
      <c r="GX94" s="162" t="e">
        <f t="shared" ca="1" si="406"/>
        <v>#DIV/0!</v>
      </c>
      <c r="GY94" s="162" t="e">
        <f t="shared" ca="1" si="407"/>
        <v>#DIV/0!</v>
      </c>
      <c r="GZ94" s="165" t="e">
        <f t="shared" ca="1" si="288"/>
        <v>#N/A</v>
      </c>
      <c r="HA94" s="162" t="e">
        <f ca="1">IF(Control!$C$114=1, $DI94*$FS94, 0)</f>
        <v>#N/A</v>
      </c>
      <c r="HB94" s="162" t="e">
        <f ca="1">$FA94/Control!$C$64</f>
        <v>#N/A</v>
      </c>
      <c r="HC94" s="162" t="e">
        <f t="shared" ca="1" si="289"/>
        <v>#DIV/0!</v>
      </c>
      <c r="HD94" s="162">
        <f ca="1">-ASIN(SIN(23.45*Control!$C$139)*COS(2*Control!$C$138*($AH94+10)/365))</f>
        <v>5.9751604313972285E-2</v>
      </c>
      <c r="HE94" s="165">
        <f t="shared" ca="1" si="408"/>
        <v>0</v>
      </c>
      <c r="HF94" s="166">
        <f ca="1">IF(AND(Control!$C$61="T",$HE94&gt;=Control!$C$103,Control!$C$114=0),$AH94,Control!$C$59)</f>
        <v>1</v>
      </c>
      <c r="HG94" s="166">
        <f ca="1">IF(AND(Control!$C$61="T",$HE94&gt;=Control!$C$103,Control!$C$114=0),$HF94,Control!$C$59)</f>
        <v>1</v>
      </c>
      <c r="HH94" s="165">
        <f ca="1">IF(AND(OR(Control!$C$60&lt;=0, $AH94= Control!$C$59, Control!$C$60 &gt;0, $AH94 = Control!$C$60)), Control!$C$59, IF(Control!$C$60&gt;0, 0))</f>
        <v>1</v>
      </c>
      <c r="HI94" s="165">
        <f ca="1">IF(AND(OR(Control!$C$60&lt;=0, $AH94= Control!$C$59, Control!$C$60 &gt;0, $AH94 = Control!$C$60)), Control!$C$60, IF(Control!$C$60&lt;=0, 0))</f>
        <v>0</v>
      </c>
      <c r="HJ94" s="166">
        <f ca="1">IF(AND(Control!$C$62="F",$CV94&gt;=Control!$C$102),$AH94,0)</f>
        <v>0</v>
      </c>
      <c r="HK94" s="165" t="e">
        <f t="shared" ca="1" si="445"/>
        <v>#N/A</v>
      </c>
      <c r="HL94" s="166">
        <f ca="1">IF(AND(Control!$C$61="T",$HE94&gt;=Control!$C$103,Control!$C$114=0),$HF94,0)</f>
        <v>0</v>
      </c>
      <c r="HM94" s="201" t="e">
        <f t="shared" ca="1" si="290"/>
        <v>#DIV/0!</v>
      </c>
      <c r="HN94" s="215">
        <f t="shared" ca="1" si="409"/>
        <v>90</v>
      </c>
      <c r="HO94" s="216" t="e">
        <f ca="1">IF(AND($CP94&gt;=0, $CP94&lt;=90), Control!$C$152, Control!$C$152)</f>
        <v>#N/A</v>
      </c>
      <c r="HP94" s="216" t="e">
        <f t="shared" ca="1" si="291"/>
        <v>#N/A</v>
      </c>
      <c r="HQ94" s="217" t="e">
        <f ca="1">IF(OR(Control!$B$26=1,Control!$B$26=2),$KV94,$KS94)</f>
        <v>#DIV/0!</v>
      </c>
      <c r="HR94" s="218" t="e">
        <f t="shared" ca="1" si="446"/>
        <v>#DIV/0!</v>
      </c>
      <c r="HS94" s="216" t="e">
        <f ca="1">Control!$C$154*$HP94</f>
        <v>#N/A</v>
      </c>
      <c r="HT94" s="216" t="e">
        <f ca="1">Control!$C$155*$HP94</f>
        <v>#N/A</v>
      </c>
      <c r="HU94" s="217" t="e">
        <f ca="1">Control!$C$161*$FI94</f>
        <v>#N/A</v>
      </c>
      <c r="HV94" s="218" t="e">
        <f t="shared" ca="1" si="410"/>
        <v>#N/A</v>
      </c>
      <c r="HW94" s="218" t="e">
        <f ca="1">Control!$C$160*$FF94+$IP94*$EO94</f>
        <v>#N/A</v>
      </c>
      <c r="HX94" s="218" t="e">
        <f t="shared" ca="1" si="447"/>
        <v>#N/A</v>
      </c>
      <c r="HY94" s="219" t="e">
        <f ca="1">IF(Control!$C$114=1, $EB94*$FS94, 0)</f>
        <v>#N/A</v>
      </c>
      <c r="HZ94" s="91" t="e">
        <f t="shared" ca="1" si="292"/>
        <v>#N/A</v>
      </c>
      <c r="IA94" s="220" t="e">
        <f ca="1">Control!$C$153*$HO94</f>
        <v>#N/A</v>
      </c>
      <c r="IB94" s="218" t="e">
        <f t="shared" ca="1" si="293"/>
        <v>#N/A</v>
      </c>
      <c r="IC94" s="220" t="e">
        <f ca="1">Control!$C$153*$HT94</f>
        <v>#N/A</v>
      </c>
      <c r="ID94" s="218" t="e">
        <f t="shared" ca="1" si="294"/>
        <v>#N/A</v>
      </c>
      <c r="IE94" s="221" t="e">
        <f ca="1">($EB94*Control!$C$159+$EF94*Control!$C$160)/(IF($GZ94&lt;&gt;0,$GZ94,1))</f>
        <v>#N/A</v>
      </c>
      <c r="IF94" s="216" t="e">
        <f t="shared" ca="1" si="295"/>
        <v>#N/A</v>
      </c>
      <c r="IG94" s="91">
        <f ca="1">IF(OR(Control!$B$198=$AH94,Control!$B$199=$AH94, Control!$B$200=$AH94, Control!$B$201=$AH94, Control!$B$202=$AH94, Control!$B$203=$AH94, Control!$B$204=$AH94, Control!$B$205=$AH94, Control!$B$206=$AH94, Control!$B$207=$AH94), 1, 0)</f>
        <v>0</v>
      </c>
      <c r="IH94" s="91">
        <f ca="1">IF($IG94=0,0, VLOOKUP($AH94,Control!$B$198:$C$207,2))</f>
        <v>0</v>
      </c>
      <c r="II94" s="222">
        <f t="shared" ca="1" si="411"/>
        <v>0</v>
      </c>
      <c r="IJ94" s="91">
        <f>Control!$C$121</f>
        <v>0.7</v>
      </c>
      <c r="IK94" s="218">
        <f t="shared" ca="1" si="296"/>
        <v>0</v>
      </c>
      <c r="IL94" s="217" t="e">
        <f t="shared" ca="1" si="448"/>
        <v>#N/A</v>
      </c>
      <c r="IM94" s="223" t="e">
        <f ca="1">IF(AND(Control!$C$114=1,$KH94&lt;1),$EB94*Control!$C$148*(1-$KH94), 0)</f>
        <v>#N/A</v>
      </c>
      <c r="IN94" s="217" t="e">
        <f t="shared" ca="1" si="297"/>
        <v>#DIV/0!</v>
      </c>
      <c r="IO94" s="91" t="e">
        <f ca="1">MAX(0,$IL94-$EF94*Control!$C$160)</f>
        <v>#N/A</v>
      </c>
      <c r="IP94" s="220" t="e">
        <f t="shared" ca="1" si="298"/>
        <v>#N/A</v>
      </c>
      <c r="IQ94" s="217" t="e">
        <f t="shared" ca="1" si="412"/>
        <v>#N/A</v>
      </c>
      <c r="IR94" s="218" t="e">
        <f t="shared" ca="1" si="299"/>
        <v>#N/A</v>
      </c>
      <c r="IS94" s="217" t="e">
        <f ca="1">Control!$C$159*MAX(0,$FD94-$EN94)</f>
        <v>#N/A</v>
      </c>
      <c r="IT94" s="217" t="e">
        <f t="shared" ca="1" si="449"/>
        <v>#N/A</v>
      </c>
      <c r="IU94" s="217" t="e">
        <f t="shared" ca="1" si="413"/>
        <v>#N/A</v>
      </c>
      <c r="IV94" s="217" t="e">
        <f t="shared" ca="1" si="450"/>
        <v>#N/A</v>
      </c>
      <c r="IW94" s="217" t="e">
        <f ca="1">IF(OR($AW94=1,AND($AW94=0, Control!$B$18=1,$EN94&lt;&gt;0)), $IQ94-$IU94, $IQ94)</f>
        <v>#N/A</v>
      </c>
      <c r="IX94" s="218" t="e">
        <f t="shared" ca="1" si="300"/>
        <v>#N/A</v>
      </c>
      <c r="IY94" s="218" t="e">
        <f ca="1">MAX(0,$IQ94-$EB94*Control!$C$159)</f>
        <v>#N/A</v>
      </c>
      <c r="IZ94" s="218" t="e">
        <f t="shared" ca="1" si="301"/>
        <v>#N/A</v>
      </c>
      <c r="JA94" s="216" t="e">
        <f t="shared" ca="1" si="302"/>
        <v>#N/A</v>
      </c>
      <c r="JB94" s="217" t="e">
        <f t="shared" ca="1" si="303"/>
        <v>#N/A</v>
      </c>
      <c r="JC94" s="222" t="e">
        <f ca="1">MAX(Control!$C$157*$EK94-$JT94, 0)/Control!$C$162</f>
        <v>#N/A</v>
      </c>
      <c r="JD94" s="218" t="e">
        <f t="shared" ca="1" si="304"/>
        <v>#N/A</v>
      </c>
      <c r="JE94" s="218" t="e">
        <f t="shared" ca="1" si="305"/>
        <v>#N/A</v>
      </c>
      <c r="JF94" s="218" t="e">
        <f t="shared" ca="1" si="414"/>
        <v>#N/A</v>
      </c>
      <c r="JG94" s="218" t="e">
        <f t="shared" ca="1" si="306"/>
        <v>#N/A</v>
      </c>
      <c r="JH94" s="217" t="e">
        <f t="shared" ca="1" si="415"/>
        <v>#N/A</v>
      </c>
      <c r="JI94" s="217" t="e">
        <f t="shared" ca="1" si="416"/>
        <v>#N/A</v>
      </c>
      <c r="JJ94" s="217" t="e">
        <f t="shared" ca="1" si="451"/>
        <v>#N/A</v>
      </c>
      <c r="JK94" s="217" t="e">
        <f ca="1">IF(Control!$C$114=1,IF(Control!$B$24=0,MAX(0,$JI94)*$GN94/Control!$C$64,(MAX(0,MIN($JI94,$JJ94*$GN94/Control!$C$64),0))))</f>
        <v>#N/A</v>
      </c>
      <c r="JL94" s="217" t="e">
        <f ca="1">$IK94/Control!$C$64-$JK94+$HQ94</f>
        <v>#N/A</v>
      </c>
      <c r="JM94" s="217" t="e">
        <f ca="1">IF(Control!$C$114=1,($JB94/(IF($JI94&lt;&gt;0,$JI94,1)))*$JK94,0)</f>
        <v>#N/A</v>
      </c>
      <c r="JN94" s="217" t="e">
        <f ca="1">IF(Control!$C$114=1,($JG94/(IF($JI94&lt;&gt;0,$JI94,1)))*$JK94, 0)</f>
        <v>#N/A</v>
      </c>
      <c r="JO94" s="218" t="e">
        <f t="shared" ca="1" si="307"/>
        <v>#N/A</v>
      </c>
      <c r="JP94" s="218" t="e">
        <f ca="1">MIN(($IY94+$IO94)*Control!$C$151, $JF94-$EH94*Control!$C$161)</f>
        <v>#N/A</v>
      </c>
      <c r="JQ94" s="218" t="e">
        <f t="shared" ca="1" si="308"/>
        <v>#N/A</v>
      </c>
      <c r="JR94" s="217" t="e">
        <f ca="1">IF($CP94-Control!$C$150&lt;0, 0, $JQ94/Control!$C$162)</f>
        <v>#N/A</v>
      </c>
      <c r="JS94" s="218" t="e">
        <f t="shared" ca="1" si="309"/>
        <v>#N/A</v>
      </c>
      <c r="JT94" s="218" t="e">
        <f t="shared" ca="1" si="417"/>
        <v>#N/A</v>
      </c>
      <c r="JU94" s="218" t="e">
        <f t="shared" ca="1" si="310"/>
        <v>#N/A</v>
      </c>
      <c r="JV94" s="218" t="e">
        <f t="shared" ca="1" si="311"/>
        <v>#N/A</v>
      </c>
      <c r="JW94" s="216" t="e">
        <f t="shared" ca="1" si="312"/>
        <v>#N/A</v>
      </c>
      <c r="JX94" s="91" t="e">
        <f t="shared" ca="1" si="313"/>
        <v>#N/A</v>
      </c>
      <c r="JY94" s="218" t="e">
        <f t="shared" ca="1" si="314"/>
        <v>#N/A</v>
      </c>
      <c r="JZ94" s="217" t="e">
        <f ca="1">IF(Control!$C$114=1,($IZ94/(IF($JI94&lt;&gt;0,$JI94,1)))*$JK94, 0)</f>
        <v>#N/A</v>
      </c>
      <c r="KA94" s="218" t="e">
        <f t="shared" ca="1" si="452"/>
        <v>#N/A</v>
      </c>
      <c r="KB94" s="218" t="e">
        <f t="shared" ca="1" si="418"/>
        <v>#N/A</v>
      </c>
      <c r="KC94" s="218" t="e">
        <f t="shared" ca="1" si="315"/>
        <v>#N/A</v>
      </c>
      <c r="KD94" s="218" t="e">
        <f t="shared" ca="1" si="316"/>
        <v>#N/A</v>
      </c>
      <c r="KE94" s="218" t="e">
        <f t="shared" ca="1" si="317"/>
        <v>#N/A</v>
      </c>
      <c r="KF94" s="218" t="e">
        <f t="shared" ca="1" si="318"/>
        <v>#N/A</v>
      </c>
      <c r="KG94" s="216" t="e">
        <f t="shared" ca="1" si="319"/>
        <v>#N/A</v>
      </c>
      <c r="KH94" s="221" t="e">
        <f ca="1">IF(Control!$B$24=0,1,MAX(0.001,MIN(1,IF(($IF94-$IE94)&lt;&gt;0,($KG94-$IE94)/($IF94-$IE94),1))))</f>
        <v>#N/A</v>
      </c>
      <c r="KI94" s="222" t="e">
        <f ca="1">IF(Control!$C$114=1, $KI93+ $KH93, 0)</f>
        <v>#N/A</v>
      </c>
      <c r="KJ94" s="217" t="e">
        <f t="shared" ca="1" si="320"/>
        <v>#N/A</v>
      </c>
      <c r="KK94" s="218" t="e">
        <f t="shared" ca="1" si="321"/>
        <v>#N/A</v>
      </c>
      <c r="KL94" s="274" t="e">
        <f ca="1">IF(Control!$B$26=3,4000000000*EXP(-8400/($G94+273)),IF(Control!$B$26=4,4000000000*EXP(-8400/($G94+273))*($KT94),0))</f>
        <v>#DIV/0!</v>
      </c>
      <c r="KM94" s="274" t="e">
        <f ca="1">IF(Control!$B$26=3,5600000000000*EXP(-9800/($G94+273)),IF(Control!$B$26=4,5600000000000*EXP(-9800/($G94+273))*$KT94,0))</f>
        <v>#DIV/0!</v>
      </c>
      <c r="KN94" s="454" t="e">
        <f t="shared" ca="1" si="419"/>
        <v>#DIV/0!</v>
      </c>
      <c r="KO94" s="274" t="e">
        <f t="shared" ca="1" si="420"/>
        <v>#DIV/0!</v>
      </c>
      <c r="KP94" s="454" t="e">
        <f t="shared" ca="1" si="322"/>
        <v>#DIV/0!</v>
      </c>
      <c r="KQ94" s="454" t="e">
        <f t="shared" ca="1" si="323"/>
        <v>#DIV/0!</v>
      </c>
      <c r="KR94" s="454" t="e">
        <f t="shared" ca="1" si="324"/>
        <v>#DIV/0!</v>
      </c>
      <c r="KS94" s="454" t="e">
        <f t="shared" ca="1" si="325"/>
        <v>#DIV/0!</v>
      </c>
      <c r="KT94" s="455" t="e">
        <f t="shared" ca="1" si="326"/>
        <v>#DIV/0!</v>
      </c>
      <c r="KU94" s="456" t="e">
        <f ca="1">IF($CP94-Control!$C$149&lt;0, IF($NT94-0.01&lt;0,0,1),0)</f>
        <v>#N/A</v>
      </c>
      <c r="KV94" s="456" t="e">
        <f ca="1">IF(Control!$C$114=1,MAX(0,MIN(Control!$C$125*$KW94*$GN94,$KW94)))</f>
        <v>#DIV/0!</v>
      </c>
      <c r="KW94" s="456" t="e">
        <f t="shared" ca="1" si="453"/>
        <v>#DIV/0!</v>
      </c>
      <c r="KX94" s="457" t="e">
        <f ca="1">IF($CP94-Control!$C$149&lt;0, IF($MR94-$OM94&lt;0,0,1),0)</f>
        <v>#N/A</v>
      </c>
      <c r="KY94" s="167">
        <f t="shared" ca="1" si="421"/>
        <v>90</v>
      </c>
      <c r="KZ94" s="168">
        <f ca="1">1370*(1+0.033*COS(2*Control!$C$138*$AH94/365))</f>
        <v>1370.9725790122711</v>
      </c>
      <c r="LA94" s="169">
        <f t="shared" ca="1" si="422"/>
        <v>1.0007100312153954</v>
      </c>
      <c r="LB94" s="169">
        <f t="shared" ca="1" si="423"/>
        <v>6.4869833036749036E-2</v>
      </c>
      <c r="LC94" s="169">
        <f ca="1">ACOS(-TAN((2*Control!$B$8/360))*TAN(Calculations!$LB94))</f>
        <v>1.5901041328609895</v>
      </c>
      <c r="LD94" s="169">
        <f ca="1">((24*60)/PI())*0.082*$LA94*(($LC94*SIN(Control!$B$8*2*PI()/360))*SIN($LB94)+COS(Control!$B$8*2*PI()/360)*COS($LB94)*SIN($LC94))</f>
        <v>26.1588252501051</v>
      </c>
      <c r="LE94" s="170">
        <f t="shared" ca="1" si="327"/>
        <v>26.026473432959637</v>
      </c>
      <c r="LF94" s="170">
        <f ca="1">SIN(Control!$C$139*Control!$B$8)*SIN($HD94)</f>
        <v>4.7056972257087409E-2</v>
      </c>
      <c r="LG94" s="170">
        <f ca="1">COS(Control!$C$139*Control!$B$8)*COS($HD94)</f>
        <v>0.61456109887390997</v>
      </c>
      <c r="LH94" s="170">
        <f ca="1">12*(1+2*ASIN(MAX(-1,MIN(1,$LF94/$LG94))/Control!$C$138))</f>
        <v>12.585008632778152</v>
      </c>
      <c r="LI94" s="170">
        <f ca="1">12*(1+2*ASIN(MAX(-1,MIN(1,(-SIN(-4*Control!$C$139)+$LF94)/$LG94))/Control!$C$138))</f>
        <v>13.452961308513419</v>
      </c>
      <c r="LJ94" s="168">
        <f ca="1">3600*($LH94*$LF94+24*$LG94*SQRT(1-$LK94*$LK94)/Control!$C$138)</f>
        <v>18983.948936243956</v>
      </c>
      <c r="LK94" s="170">
        <f t="shared" ca="1" si="328"/>
        <v>7.6570047051972817E-2</v>
      </c>
      <c r="LL94" s="170">
        <f t="shared" ca="1" si="329"/>
        <v>0</v>
      </c>
      <c r="LM94" s="171">
        <f ca="1">Control!$C$145*$AB94</f>
        <v>6.6660906138995932E-2</v>
      </c>
      <c r="LN94" s="170">
        <f t="shared" ca="1" si="424"/>
        <v>0.54</v>
      </c>
      <c r="LO94" s="170">
        <f t="shared" ca="1" si="330"/>
        <v>0</v>
      </c>
      <c r="LP94" s="170">
        <f ca="1">Control!$C$140*((($D94+273.16)^4+($E94+273.16)^4)/2)*(0.34-0.14*SQRT($Y94))*(1.35*$AQ94/(0.75*$LD94)-0.35)</f>
        <v>-3.2464704755046001</v>
      </c>
      <c r="LQ94" s="170">
        <f ca="1">Control!$C$140*($G94+273)^4*(0.56-0.079*SQRT($Y94*10))*(0.1+0.9*$LO94)</f>
        <v>1.5241745131704001</v>
      </c>
      <c r="LR94" s="170">
        <f ca="1">$AQ94*(1-Control!$C$142)-$LQ94</f>
        <v>-1.5241745131704001</v>
      </c>
      <c r="LS94" s="170">
        <f ca="1">$AQ94*(1-Control!$C$143)-$LQ94</f>
        <v>-1.5241745131704001</v>
      </c>
      <c r="LT94" s="170">
        <f ca="1">$AQ94*(1-Control!$C$144)-$LQ94</f>
        <v>-1.5241745131704001</v>
      </c>
      <c r="LU94" s="169">
        <f ca="1">(1-Control!$C$144)*AQ94-LP94</f>
        <v>3.2464704755046001</v>
      </c>
      <c r="LV94" s="172">
        <f t="shared" ca="1" si="331"/>
        <v>0.79430000000000012</v>
      </c>
      <c r="LW94" s="170">
        <f t="shared" ca="1" si="332"/>
        <v>1.5886000000000002</v>
      </c>
      <c r="LX94" s="170">
        <f ca="1">($AC94*($LR94/Control!$C$141)+$LM94*$LV94)/($AC94+$LM94)</f>
        <v>0.23530094218323697</v>
      </c>
      <c r="LY94" s="170">
        <f ca="1">($AC94*($LS94/Control!$C$141)+$LM94*$LV94)/($AC94+$LM94)</f>
        <v>0.23530094218323697</v>
      </c>
      <c r="LZ94" s="170">
        <f t="shared" ca="1" si="333"/>
        <v>0.23530094218323697</v>
      </c>
      <c r="MA94" s="170">
        <f t="shared" ca="1" si="334"/>
        <v>0.23530094218323697</v>
      </c>
      <c r="MB94" s="170" t="e">
        <f t="shared" ca="1" si="335"/>
        <v>#N/A</v>
      </c>
      <c r="MC94" s="170">
        <f t="shared" ca="1" si="425"/>
        <v>0.6018</v>
      </c>
      <c r="MD94" s="170">
        <f t="shared" ca="1" si="336"/>
        <v>0.52989392535414004</v>
      </c>
      <c r="ME94" s="170">
        <f ca="1">($AC94*($LT94/Control!$C$141)+$LM94*$LW94)/($AC94+$LM94)</f>
        <v>0.71612369323045078</v>
      </c>
      <c r="MF94" s="170" t="e">
        <f ca="1">IF(Control!$B$16&gt;=1000,0.92,IF(AND(720&lt;=Control!$B$16,1000&gt;Control!$B$16),(0.95+(Control!$B$16-720)*((0.92-0.95)/(1000-720))),IF(AND(360&lt;=Control!$B$16,720&gt;Control!$B$16),(1+(Control!$B$16-360)*((0.95-1)/(720-360))),IF(AND(40&lt;=Control!$B$16,360&gt;Control!$B$16),(1.05+(Control!$B$16-40)*((1.05-1)/(360-40)))))))</f>
        <v>#N/A</v>
      </c>
      <c r="MG94" s="170">
        <f t="shared" ca="1" si="337"/>
        <v>0.71612369323045078</v>
      </c>
      <c r="MH94" s="170" t="e">
        <f t="shared" ca="1" si="462"/>
        <v>#N/A</v>
      </c>
      <c r="MI94" s="170" t="e">
        <f t="shared" ca="1" si="462"/>
        <v>#N/A</v>
      </c>
      <c r="MJ94" s="170" t="e">
        <f ca="1">MAX(0.0001, Control!$C$132*$MI94*$DL94)</f>
        <v>#N/A</v>
      </c>
      <c r="MK94" s="170">
        <f ca="1">1/(0.76+1.5*($MG94/10))-(5-Control!$C$110)*0.1</f>
        <v>1.002845988140797</v>
      </c>
      <c r="ML94" s="173">
        <f ca="1">IF(Control!$C$110&lt;3,$MK94+($MG94-0.6)/(Control!$C$110*(Control!$C$110+3)), MAX(0.1, MIN(0.95,$MK94)))</f>
        <v>0.95</v>
      </c>
      <c r="MM94" s="173">
        <f ca="1">IF(Control!$C$110&lt;3,$MK94+(($MI94/10)-0.6)/(Control!$C$110*(Control!$C$110+3)), MAX(0.1, MIN(0.95,$MK94)))</f>
        <v>0.95</v>
      </c>
      <c r="MN94" s="173">
        <f ca="1">(1-$MM94)*(Control!$C$128-Control!$C$127)+Control!$C$127</f>
        <v>0.16</v>
      </c>
      <c r="MO94" s="170" t="e">
        <f ca="1">MAX(0,MIN(1,($MS94-Control!$C$127)/($MN94-Control!$C$127)))</f>
        <v>#DIV/0!</v>
      </c>
      <c r="MP94" s="173" t="e">
        <f ca="1">1/(0.76+1.5*$MI94)-(5-Control!$C$110)*0.1</f>
        <v>#N/A</v>
      </c>
      <c r="MQ94" s="172" t="e">
        <f t="shared" ca="1" si="454"/>
        <v>#DIV/0!</v>
      </c>
      <c r="MR94" s="168" t="e">
        <f t="shared" ca="1" si="426"/>
        <v>#DIV/0!</v>
      </c>
      <c r="MS94" s="173" t="e">
        <f ca="1">MAX(Control!$C$127, MIN(Control!$C$135, $MR94/MAX(0.0001,$CY94)))</f>
        <v>#DIV/0!</v>
      </c>
      <c r="MT94" s="168" t="e">
        <f ca="1">(Control!$C$128-$MS94)*Control!$C$74</f>
        <v>#DIV/0!</v>
      </c>
      <c r="MU94" s="168" t="e">
        <f ca="1">(Control!$C$135-$MS94)*Control!$C$74</f>
        <v>#DIV/0!</v>
      </c>
      <c r="MV94" s="168" t="e">
        <f t="shared" ca="1" si="427"/>
        <v>#DIV/0!</v>
      </c>
      <c r="MW94" s="168" t="e">
        <f t="shared" ca="1" si="428"/>
        <v>#DIV/0!</v>
      </c>
      <c r="MX94" s="171" t="e">
        <f ca="1">MAX(Control!$C$127, MIN(Control!$C$135, $MW94/MAX(0.0001,Control!$C$119-$CY94)))</f>
        <v>#DIV/0!</v>
      </c>
      <c r="MY94" s="54" t="e">
        <f ca="1">IF(Control!$C$114=1, $CX94*$MX94, 0)</f>
        <v>#DIV/0!</v>
      </c>
      <c r="MZ94" s="54" t="e">
        <f t="shared" ca="1" si="429"/>
        <v>#N/A</v>
      </c>
      <c r="NA94" s="168" t="e">
        <f ca="1">(Control!$C$128-$MX94)*(Control!$C$119-Control!$C$74)</f>
        <v>#DIV/0!</v>
      </c>
      <c r="NB94" s="168" t="e">
        <f ca="1">(Control!$C$135-$MX94)*(Control!$C$119-Control!$C$74)</f>
        <v>#DIV/0!</v>
      </c>
      <c r="NC94" s="174" t="e">
        <f t="shared" ca="1" si="430"/>
        <v>#DIV/0!</v>
      </c>
      <c r="ND94" s="54">
        <f ca="1">IF(Control!$C$58=2, IF(OR(Control!$B$218=$AH94,Control!$B$219=$AH94, Control!$B$220=$AH94, Control!$B$221=$AH94, Control!$B$222=$AH94, Control!$B$223=$AH94, Control!$B$224=$AH94, Control!$B$225=$AH94, Control!$B$226=$AH94, Control!$B$227=$AH94, Control!$B$228=$AH94), 1, 0), 0)</f>
        <v>0</v>
      </c>
      <c r="NE94" s="54">
        <f ca="1">IF($ND94=0,0, VLOOKUP($AH94,Control!$B$218:$C$228,2))</f>
        <v>0</v>
      </c>
      <c r="NF94" s="168" t="e">
        <f ca="1">$CY94*(Control!$C$128-Control!$C$127)</f>
        <v>#N/A</v>
      </c>
      <c r="NG94" s="54" t="e">
        <f ca="1">IF(Control!$C$58=2, $NI93-$NJ93, 0)</f>
        <v>#DIV/0!</v>
      </c>
      <c r="NH94" s="54" t="e">
        <f ca="1">IF(AND(Control!$C$58=1, $MS93&lt;= ($MN93+0.02), $I93&lt;10), 0, IF(Control!$C$58=2, $NG93, 0))</f>
        <v>#DIV/0!</v>
      </c>
      <c r="NI94" s="54" t="e">
        <f ca="1">IF(Control!$C$58=2, $NE94+$NH94,0)</f>
        <v>#DIV/0!</v>
      </c>
      <c r="NJ94" s="54" t="e">
        <f ca="1">IF(AND(Control!$C$58=1, $MS94&lt;= ($MN94+0.02), $I94&lt;10), MAX(0, MIN(10, 0.7*($NF94-$MV94))), IF(Control!$C$58=2, MIN(10,$NI94),0))</f>
        <v>#DIV/0!</v>
      </c>
      <c r="NK94" s="54" t="e">
        <f t="shared" ca="1" si="338"/>
        <v>#DIV/0!</v>
      </c>
      <c r="NL94" s="173" t="e">
        <f ca="1">(1-Control!$C$73)*$I94+$NJ94</f>
        <v>#DIV/0!</v>
      </c>
      <c r="NM94" s="172" t="e">
        <f ca="1">IF($NL94&lt;0.5, $MB94* MAX(0, MIN(1, (SQRT($NC94)-SQRT($NC94-1))*Control!$C$71)),0)</f>
        <v>#DIV/0!</v>
      </c>
      <c r="NN94" s="170" t="e">
        <f ca="1">IF($NL94&gt;=5, $MB94, MAX(0,MIN($MB94, $NM94+$NL94,($MS94-Control!$C$129))))</f>
        <v>#DIV/0!</v>
      </c>
      <c r="NO94" s="54">
        <f>IF(Control!$C$133&lt;&gt;1, Control!$C$135-Control!$C$131, 0)</f>
        <v>0.38</v>
      </c>
      <c r="NP94" s="54" t="e">
        <f t="shared" ca="1" si="339"/>
        <v>#DIV/0!</v>
      </c>
      <c r="NQ94" s="173" t="e">
        <f ca="1">MAX(0,MIN(1,(Control!$C$135-$MS94)/(Control!$C$135-$NO94)))</f>
        <v>#DIV/0!</v>
      </c>
      <c r="NR94" s="170" t="e">
        <f ca="1">IF(Control!$C$133&lt;&gt;1, $NQ94+((1-$NP94/4)*(1-$NQ94)),1)</f>
        <v>#DIV/0!</v>
      </c>
      <c r="NS94" s="170" t="e">
        <f ca="1">IF(Control!$B$31=0,$MJ94,MAX(0,MIN($MV94,$MO94*$NR94*$MJ94)))</f>
        <v>#DIV/0!</v>
      </c>
      <c r="NT94" s="170" t="e">
        <f t="shared" ca="1" si="455"/>
        <v>#DIV/0!</v>
      </c>
      <c r="NU94" s="170" t="e">
        <f t="shared" ca="1" si="431"/>
        <v>#N/A</v>
      </c>
      <c r="NV94" s="170" t="e">
        <f t="shared" ca="1" si="340"/>
        <v>#N/A</v>
      </c>
      <c r="NW94" s="175" t="e">
        <f t="shared" ca="1" si="341"/>
        <v>#DIV/0!</v>
      </c>
      <c r="NX94" s="170" t="e">
        <f ca="1">MIN(Control!$C$72+$MU94, $NW94)</f>
        <v>#DIV/0!</v>
      </c>
      <c r="NY94" s="170" t="e">
        <f ca="1">IF($MT94&lt;=$NX94,MIN(Control!$C$72+$NB94,$NX94-$MT94),0)</f>
        <v>#DIV/0!</v>
      </c>
      <c r="NZ94" s="54" t="e">
        <f ca="1">IF(Control!$C$114=1,  $CX94*($MX94-Control!$C$127), 0)</f>
        <v>#DIV/0!</v>
      </c>
      <c r="OA94" s="170" t="e">
        <f t="shared" ca="1" si="342"/>
        <v>#DIV/0!</v>
      </c>
      <c r="OB94" s="170" t="e">
        <f ca="1">IF($NA94 &lt;=$NY94, MIN(Control!$C$72, $NY94-$NA94), 0)</f>
        <v>#DIV/0!</v>
      </c>
      <c r="OC94" s="168" t="e">
        <f t="shared" ca="1" si="343"/>
        <v>#DIV/0!</v>
      </c>
      <c r="OD94" s="168" t="e">
        <f t="shared" ca="1" si="432"/>
        <v>#DIV/0!</v>
      </c>
      <c r="OE94" s="170">
        <f ca="1">Control!$C$73*$I94</f>
        <v>0</v>
      </c>
      <c r="OF94" s="176" t="e">
        <f t="shared" ca="1" si="344"/>
        <v>#DIV/0!</v>
      </c>
      <c r="OG94" s="168" t="e">
        <f t="shared" ca="1" si="345"/>
        <v>#DIV/0!</v>
      </c>
      <c r="OH94" s="168" t="e">
        <f t="shared" ca="1" si="346"/>
        <v>#DIV/0!</v>
      </c>
      <c r="OI94" s="168" t="e">
        <f t="shared" ca="1" si="347"/>
        <v>#DIV/0!</v>
      </c>
      <c r="OJ94" s="168" t="e">
        <f t="shared" ca="1" si="348"/>
        <v>#DIV/0!</v>
      </c>
      <c r="OK94" s="204" t="e">
        <f t="shared" ca="1" si="349"/>
        <v>#DIV/0!</v>
      </c>
      <c r="OL94" s="177">
        <f>Control!$C$127</f>
        <v>0.15</v>
      </c>
      <c r="OM94" s="182" t="e">
        <f t="shared" ca="1" si="350"/>
        <v>#N/A</v>
      </c>
      <c r="ON94" s="177">
        <f>Control!$C$128</f>
        <v>0.35</v>
      </c>
      <c r="OO94" s="182" t="e">
        <f t="shared" ca="1" si="351"/>
        <v>#N/A</v>
      </c>
      <c r="OP94" s="138">
        <f t="shared" ca="1" si="433"/>
        <v>0</v>
      </c>
      <c r="OQ94" s="138" t="e">
        <f t="shared" ca="1" si="456"/>
        <v>#DIV/0!</v>
      </c>
      <c r="OR94" s="138" t="e">
        <f t="shared" ca="1" si="434"/>
        <v>#DIV/0!</v>
      </c>
      <c r="OS94" s="137" t="e">
        <f t="shared" ca="1" si="457"/>
        <v>#DIV/0!</v>
      </c>
      <c r="OT94" s="139" t="e">
        <f t="shared" ca="1" si="458"/>
        <v>#DIV/0!</v>
      </c>
      <c r="OU94" s="138" t="e">
        <f t="shared" ca="1" si="459"/>
        <v>#N/A</v>
      </c>
      <c r="OV94" s="138" t="e">
        <f t="shared" ca="1" si="460"/>
        <v>#DIV/0!</v>
      </c>
      <c r="OW94" s="138" t="e">
        <f t="shared" ca="1" si="435"/>
        <v>#DIV/0!</v>
      </c>
      <c r="OX94" s="138" t="e">
        <f t="shared" ca="1" si="436"/>
        <v>#DIV/0!</v>
      </c>
      <c r="OY94" s="138" t="e">
        <f t="shared" ca="1" si="437"/>
        <v>#DIV/0!</v>
      </c>
      <c r="OZ94" s="138" t="e">
        <f t="shared" ca="1" si="352"/>
        <v>#DIV/0!</v>
      </c>
      <c r="PA94" s="138" t="e">
        <f t="shared" ca="1" si="353"/>
        <v>#DIV/0!</v>
      </c>
      <c r="PB94" s="55">
        <f>IF(Control!$C$61="T", IF(Control!$C$65="F", IF($AH$6-Control!$C$60&lt;0,0,1), IF(365+$AH$6-Control!$C$60&lt;0,0,1)),0)</f>
        <v>0</v>
      </c>
      <c r="PC94" s="55">
        <f ca="1">IF(Control!$C$65="F", IF($AH$6-$HF94&lt;0,0,1), IF(365+$AH$6-$HF94&lt;0,0,1))</f>
        <v>1</v>
      </c>
      <c r="PD94" s="444">
        <f>Control!$C$118</f>
        <v>1500</v>
      </c>
      <c r="PE94" s="180" t="e">
        <f t="shared" ca="1" si="354"/>
        <v>#N/A</v>
      </c>
      <c r="PF94" s="445">
        <f t="shared" ca="1" si="438"/>
        <v>0.71612369323045078</v>
      </c>
      <c r="PT94" s="186"/>
      <c r="PU94" s="186"/>
      <c r="PV94" s="94"/>
      <c r="PW94" s="94"/>
      <c r="PX94" s="94"/>
      <c r="PY94" s="94"/>
      <c r="PZ94" s="94"/>
      <c r="QA94" s="94"/>
      <c r="QB94" s="94"/>
      <c r="QC94" s="94"/>
      <c r="QD94" s="94"/>
      <c r="QE94" s="94"/>
      <c r="QF94" s="94"/>
      <c r="QG94" s="94"/>
      <c r="QH94" s="94"/>
      <c r="QI94" s="94"/>
      <c r="QJ94" s="94"/>
      <c r="QK94" s="94"/>
      <c r="QL94" s="94"/>
      <c r="QM94" s="94"/>
      <c r="QN94" s="94"/>
      <c r="QO94" s="94"/>
      <c r="QP94" s="94"/>
    </row>
    <row r="95" spans="1:458" s="2" customFormat="1" x14ac:dyDescent="0.2">
      <c r="A95" s="395">
        <v>31</v>
      </c>
      <c r="B95" s="396">
        <v>3</v>
      </c>
      <c r="C95" s="387">
        <f ca="1">Weather_data!$B94</f>
        <v>0</v>
      </c>
      <c r="D95" s="388">
        <f ca="1">Weather_data!$F94</f>
        <v>0</v>
      </c>
      <c r="E95" s="388">
        <f ca="1">Weather_data!$E94</f>
        <v>0</v>
      </c>
      <c r="F95" s="388">
        <f t="shared" ca="1" si="355"/>
        <v>0</v>
      </c>
      <c r="G95" s="388">
        <f ca="1">AVERAGE($D95:$E95)+Control!$B$9</f>
        <v>0</v>
      </c>
      <c r="H95" s="388">
        <f ca="1">Weather_data!$G94</f>
        <v>0</v>
      </c>
      <c r="I95" s="388">
        <f ca="1">Weather_data!$I94</f>
        <v>0</v>
      </c>
      <c r="J95" s="388">
        <f ca="1">Weather_data!$H94</f>
        <v>0</v>
      </c>
      <c r="K95" s="389">
        <f ca="1">Weather_data!$D94</f>
        <v>0</v>
      </c>
      <c r="L95" s="388" t="e">
        <f t="shared" ca="1" si="356"/>
        <v>#N/A</v>
      </c>
      <c r="M95" s="388" t="e">
        <f t="shared" ca="1" si="234"/>
        <v>#N/A</v>
      </c>
      <c r="N95" s="388">
        <f t="shared" ca="1" si="235"/>
        <v>-4.2320748914370218E-5</v>
      </c>
      <c r="O95" s="388">
        <f t="shared" ca="1" si="357"/>
        <v>4.232074891437022E-4</v>
      </c>
      <c r="P95" s="390">
        <v>3</v>
      </c>
      <c r="Q95" s="388">
        <f ca="1">MAX($G95-Control!$C$107,0)</f>
        <v>0</v>
      </c>
      <c r="R95" s="388">
        <f t="shared" ca="1" si="358"/>
        <v>0</v>
      </c>
      <c r="S95" s="388">
        <f t="shared" ca="1" si="236"/>
        <v>0</v>
      </c>
      <c r="T95" s="388">
        <f t="shared" ca="1" si="237"/>
        <v>0</v>
      </c>
      <c r="U95" s="59">
        <f t="shared" ca="1" si="238"/>
        <v>0</v>
      </c>
      <c r="V95" s="391">
        <f ca="1">MAX(0,MIN(Control!$C$100-Control!$C$99,$G95-Control!$C$99)*Control!$C$63)</f>
        <v>0</v>
      </c>
      <c r="W95" s="388">
        <f t="shared" ca="1" si="359"/>
        <v>0</v>
      </c>
      <c r="X95" s="388">
        <f t="shared" ca="1" si="360"/>
        <v>0.6110000000000001</v>
      </c>
      <c r="Y95" s="388">
        <f t="shared" ca="1" si="239"/>
        <v>0</v>
      </c>
      <c r="Z95" s="388">
        <f t="shared" ca="1" si="361"/>
        <v>0.61058800000000002</v>
      </c>
      <c r="AA95" s="388">
        <f t="shared" ca="1" si="240"/>
        <v>0.6018</v>
      </c>
      <c r="AB95" s="388">
        <f ca="1">101.3*EXP(-0.034*Control!$C$66/($G95+273))</f>
        <v>100.69623283836242</v>
      </c>
      <c r="AC95" s="392">
        <f t="shared" ca="1" si="241"/>
        <v>4.3460251046025113E-2</v>
      </c>
      <c r="AD95" s="392">
        <f t="shared" ca="1" si="242"/>
        <v>4.4450382862832649E-2</v>
      </c>
      <c r="AE95" s="388">
        <f t="shared" ca="1" si="243"/>
        <v>0</v>
      </c>
      <c r="AF95" s="388">
        <f ca="1">MAX(0,$G95-Control!$C$92)</f>
        <v>0</v>
      </c>
      <c r="AG95" s="393">
        <f t="shared" ca="1" si="244"/>
        <v>91</v>
      </c>
      <c r="AH95" s="389">
        <f t="shared" ca="1" si="245"/>
        <v>91</v>
      </c>
      <c r="AI95" s="388">
        <f t="shared" ca="1" si="362"/>
        <v>6.6528773664474683E-2</v>
      </c>
      <c r="AJ95" s="388">
        <f ca="1">IF(Control!$C$60&lt;=0,$HH95,$HI95)</f>
        <v>1</v>
      </c>
      <c r="AK95" s="388">
        <f t="shared" ca="1" si="246"/>
        <v>0.18935626953143955</v>
      </c>
      <c r="AL95" s="388">
        <f t="shared" ca="1" si="247"/>
        <v>-9.0166936417279694E-19</v>
      </c>
      <c r="AM95" s="388">
        <f t="shared" ca="1" si="248"/>
        <v>0.18935626953143955</v>
      </c>
      <c r="AN95" s="388">
        <f t="shared" ca="1" si="249"/>
        <v>7.4946728252624439E-2</v>
      </c>
      <c r="AO95" s="388">
        <f ca="1">-0.10453/COS(Control!$B$8*PI()/180)*COS(AN95)</f>
        <v>-0.16930824557437862</v>
      </c>
      <c r="AP95" s="388">
        <f ca="1">ACOS(AO95-TAN(Control!$B$8*PI()/180)*TAN(AN95))</f>
        <v>1.8394313837560921</v>
      </c>
      <c r="AQ95" s="388">
        <f t="shared" ca="1" si="363"/>
        <v>0</v>
      </c>
      <c r="AR95" s="394">
        <f t="shared" ca="1" si="250"/>
        <v>0</v>
      </c>
      <c r="AS95" s="436">
        <f ca="1">IF(Control!$B$18=2,(IF(OR($AH95=Control!$B$175,$AH95=Control!$B$176,$AH95=Control!$B$177,$AH95=Control!$B$178,$AH95=Control!$B$179,$AH95=Control!$B$180,$AH95=Control!$B$181,$AH95=Control!$B$182,$AH95=Control!$B$183,$AH95=Control!$B$184,$AH95=Control!$B$185),1,0)),0)</f>
        <v>0</v>
      </c>
      <c r="AT95" s="436">
        <f>IF(Control!$B$20=8,IF(AND($AH95&gt;=Control!$B$172,$AH95&lt;=Control!$B$173),1,0),0)</f>
        <v>0</v>
      </c>
      <c r="AU95" s="436">
        <f>IF(Control!$B$20=8,IF($AV94=1,1*$AT95,IF($AT95=1,$AU94+1,$AU94)),0)</f>
        <v>0</v>
      </c>
      <c r="AV95" s="436">
        <f>IF(Control!$B$20=8,IF($AU95&gt;=Control!$B$174,1,0),0)</f>
        <v>0</v>
      </c>
      <c r="AW95" s="436">
        <f ca="1">IF(AND(Control!$B$18=2,Control!$B$171=1), $AV95, $AS95)</f>
        <v>0</v>
      </c>
      <c r="AX95" s="436" t="e">
        <f ca="1">IF(AND(Control!$B$18=1,$EU95&gt;=Control!$B$19),-$AY95,IF(AND(Control!$B$18=2,$AW95=1,$EU95&gt;$DS95),-$AY95, IF(Control!$C$108=0,0, IF(Control!$C$108&lt;&gt;0,1))))</f>
        <v>#N/A</v>
      </c>
      <c r="AY95" s="436" t="e">
        <f t="shared" ca="1" si="364"/>
        <v>#N/A</v>
      </c>
      <c r="AZ95" s="436" t="e">
        <f ca="1">IF(AND(Control!$B$18=1,$EB95&gt;Control!$B$19),$AZ94+1, IF(AND(Control!$B$18=2, $AW95=1, $EB95&gt;$DS95), $AZ94+1,$AZ94))</f>
        <v>#N/A</v>
      </c>
      <c r="BA95" s="587">
        <f>IF(Control!$C$81=0,1,IF($AH95&gt;=Control!$C$82,1,0))</f>
        <v>1</v>
      </c>
      <c r="BB95" s="140" t="e">
        <f ca="1">IF($BA95&gt;$BA94,Control!$C$83,IF($AW95&gt;0,$AW95*Control!$C$84,IF(AND(Control!$B$18=1,EN94&lt;&gt;0),Control!$C$84,0)))</f>
        <v>#N/A</v>
      </c>
      <c r="BC95" s="140" t="e">
        <f t="shared" ca="1" si="365"/>
        <v>#N/A</v>
      </c>
      <c r="BD95" s="140" t="e">
        <f ca="1">BC95*IF(OR($G95&lt;Control!$C$92,$G95&gt;Control!$C$95),0,IF(AND($G95&gt;=Control!$C$92,$G95&lt;=Control!$C$93),$G95-Control!$C$92,IF(AND($G95&gt;Control!$C$93,$G95&lt;=Control!$C$94),Control!$C$93-Control!$C$92,IF(AND($G95&gt;Control!$C$94,$G95&lt;=Control!$C$95),(Control!$C$93-Control!$C$92)*(Control!$C$94-$G95)/(Control!$C$95-Control!$C$94)))))</f>
        <v>#N/A</v>
      </c>
      <c r="BE95" s="140" t="e">
        <f t="shared" ca="1" si="366"/>
        <v>#N/A</v>
      </c>
      <c r="BF95" s="140" t="e">
        <f ca="1">IF($BE95&lt;=Control!$C$86,$BE95,Control!$C$86-$BE95)</f>
        <v>#N/A</v>
      </c>
      <c r="BG95" s="140" t="e">
        <f ca="1">IF(AND($AW95=1,Control!$C$84&lt;9),1,IF($BE95&gt;=Control!$C$86,0,$BC95))</f>
        <v>#N/A</v>
      </c>
      <c r="BH95" s="404" t="e">
        <f ca="1">IF($BG95=0,0,IF($BE95&lt;=Control!$C$86,$BC95*9*($BF95/Control!$C$86),0))</f>
        <v>#N/A</v>
      </c>
      <c r="BI95" s="140" t="e">
        <f ca="1">IF($BG95=1,0,IF($BE95&gt;=Control!$C$86,1,IF(AND($BB95&lt;21,$BB95&gt;=9),1,$BM94)))</f>
        <v>#N/A</v>
      </c>
      <c r="BJ95" s="140" t="e">
        <f ca="1">IF($BF95&lt;0,-$BF95,$BI95*IF(OR($G95&lt;Control!$C$92,$G95&gt;Control!$C$95),0,IF(AND($G95&gt;=Control!$C$92,$G95&lt;=Control!$C$93),$G95-Control!$C$92,IF(AND($G95&gt;Control!$C$93,$G95&lt;=Control!$C$94),Control!$C$93-Control!$C$92,IF(AND($G95&gt;Control!$C$94,$G95&lt;=Control!$C$95),(Control!$C$93-Control!$C$92)*(Control!$C$94-$G95)/(Control!$C$95-Control!$C$94))))))</f>
        <v>#N/A</v>
      </c>
      <c r="BK95" s="140" t="e">
        <f t="shared" ca="1" si="367"/>
        <v>#N/A</v>
      </c>
      <c r="BL95" s="140" t="e">
        <f ca="1">IF($BK95&lt;=Control!$C$87,$BK95,Control!$C$87-$BK95)</f>
        <v>#N/A</v>
      </c>
      <c r="BM95" s="140" t="e">
        <f ca="1">IF(AND($BB95&gt;=9,$BB95&lt;21),1,IF($BK95&gt;=Control!$C$87,0,$BI95))</f>
        <v>#N/A</v>
      </c>
      <c r="BN95" s="404" t="e">
        <f ca="1">IF($BM95=0,0,IF($BK95&lt;=Control!$C$87,$BI95*(9+(21-9)*($BL95/Control!$C$87)),0))</f>
        <v>#N/A</v>
      </c>
      <c r="BO95" s="140" t="e">
        <f ca="1">IF($BM95=1,0,IF($BK95&gt;=Control!$C$87,1,IF(AND($BB95&lt;30,$BB95&gt;=21),1,$BS94)))</f>
        <v>#N/A</v>
      </c>
      <c r="BP95" s="140" t="e">
        <f ca="1">IF($BL95&lt;0,-$BL95,$BO95*IF(OR($G95&lt;Control!$C$92,$G95&gt;Control!$C$95),0,IF(AND($G95&gt;=Control!$C$92,$G95&lt;=Control!$C$93),$G95-Control!$C$92,IF(AND($G95&gt;Control!$C$93,$G95&lt;=Control!$C$94),Control!$C$93-Control!$C$92,IF(AND($G95&gt;Control!$C$94,$G95&lt;=Control!$C$95),(Control!$C$93-Control!$C$92)*(Control!$C$94-$G95)/(Control!$C$95-Control!$C$94))))))</f>
        <v>#N/A</v>
      </c>
      <c r="BQ95" s="140" t="e">
        <f t="shared" ca="1" si="251"/>
        <v>#N/A</v>
      </c>
      <c r="BR95" s="140" t="e">
        <f ca="1">IF($BQ95&lt;=Control!$C$88,$BQ95,Control!$C$88-$BQ95)</f>
        <v>#N/A</v>
      </c>
      <c r="BS95" s="140" t="e">
        <f ca="1">IF(AND($BB95&gt;=21,$BB95&lt;30),1,IF($BQ95&gt;=Control!$C$88,0,$BO95))</f>
        <v>#N/A</v>
      </c>
      <c r="BT95" s="404" t="e">
        <f ca="1">IF($BS95=0,0,IF($BQ95&lt;=Control!$C$88,$BO95*(21+(30-21)*(BR95/Control!$C$88)),0))</f>
        <v>#N/A</v>
      </c>
      <c r="BU95" s="140" t="e">
        <f ca="1">IF(BG95+BM95+BS95=1,0,IF(OR(AND($BB95&lt;60,$BB95&gt;=30),$BQ95&gt;=Control!$C$88),1*$BA95,$BY94))</f>
        <v>#N/A</v>
      </c>
      <c r="BV95" s="140" t="e">
        <f ca="1">IF($BR95&lt;0,-$BR95,$BU95*IF(OR($G95&lt;Control!$C$92,$G95&gt;Control!$C$95),0,IF(AND($G95&gt;=Control!$C$92,$G95&lt;=Control!$C$93),$G95-Control!$C$92,IF(AND($G95&gt;Control!$C$93,$G95&lt;=Control!$C$94),Control!$C$93-Control!$C$92,IF(AND($G95&gt;Control!$C$94,$G95&lt;=Control!$C$95),(Control!$C$93-Control!$C$92)*(Control!$C$94-$G95)/(Control!$C$95-Control!$C$94))))))</f>
        <v>#N/A</v>
      </c>
      <c r="BW95" s="140" t="e">
        <f t="shared" ca="1" si="252"/>
        <v>#N/A</v>
      </c>
      <c r="BX95" s="140" t="e">
        <f ca="1">IF($BW95&lt;=Control!$C$89,$BW95,Control!$C$89-$BW95)</f>
        <v>#N/A</v>
      </c>
      <c r="BY95" s="140" t="e">
        <f ca="1">IF(AND($AJ95&gt;=30,$AJ95&lt;60),1,IF($BW95&gt;=Control!$C$89,0,$BU95))</f>
        <v>#N/A</v>
      </c>
      <c r="BZ95" s="404" t="e">
        <f ca="1">IF($BY95=0,0,IF($BW95&lt;=Control!$C$89,$BU95*(30+(60-30)*(BX95/Control!$C$89)),0))</f>
        <v>#N/A</v>
      </c>
      <c r="CA95" s="140" t="e">
        <f ca="1">IF($BG95+$BM95+$BS95+$BY95=1,0,IF(OR(AND($BB95&lt;65,$BB95&gt;=60),$BW95&gt;=Control!$C$89),1*$BA95,$CE94))</f>
        <v>#N/A</v>
      </c>
      <c r="CB95" s="140" t="e">
        <f ca="1">IF($BX95&lt;0,-$BX95,$CA95*IF(OR($G95&lt;Control!$C$92,$G95&gt;Control!$C$95),0,IF(AND($G95&gt;=Control!$C$92,$G95&lt;=Control!$C$93),$G95-Control!$C$92,IF(AND($G95&gt;Control!$C$93,$G95&lt;=Control!$C$94),Control!$C$93-Control!$C$92,IF(AND($G95&gt;Control!$C$94,$G95&lt;=Control!$C$95),(Control!$C$93-Control!$C$92)*(Control!$C$94-$G95)/(Control!$C$95-Control!$C$94))))))</f>
        <v>#N/A</v>
      </c>
      <c r="CC95" s="140" t="e">
        <f t="shared" ca="1" si="368"/>
        <v>#N/A</v>
      </c>
      <c r="CD95" s="140" t="e">
        <f ca="1">IF($CC95&lt;=Control!$C$90,$CC95,Control!$C$90-$CC95)</f>
        <v>#N/A</v>
      </c>
      <c r="CE95" s="140" t="e">
        <f ca="1">IF(AND($BB95&gt;=60,$BB95&lt;65),1,IF($CC95&gt;=Control!$C$90,0,$CA95))</f>
        <v>#N/A</v>
      </c>
      <c r="CF95" s="404" t="e">
        <f ca="1">IF($CE95=0,0,IF($CC95&lt;=Control!$C$90,$CA95*(60+(65-60)*(CD95/Control!$C$90)),0))</f>
        <v>#N/A</v>
      </c>
      <c r="CG95" s="140" t="e">
        <f ca="1">IF($BG95+$BM95+$BS95+$BY95+$CE95=1,0,IF(OR(AND($BB95&lt;90,$BB95&gt;=65),$CC95&gt;=Control!$C$90),$BA95,$CK94))</f>
        <v>#N/A</v>
      </c>
      <c r="CH95" s="140" t="e">
        <f ca="1">IF($CD95&lt;0,-$CD95,$CG95*IF(OR($G95&lt;Control!$C$92,$G95&gt;Control!$C$95),0,IF(AND($G95&gt;=Control!$C$92,$G95&lt;=Control!$C$93),$G95-Control!$C$92,IF(AND($G95&gt;Control!$C$93,$G95&lt;=Control!$C$94),Control!$C$93-Control!$C$92,IF(AND($G95&gt;Control!$C$94,$G95&lt;=Control!$C$95),(Control!$C$93-Control!$C$92)*(Control!$C$94-$G95)/(Control!$C$95-Control!$C$94))))))</f>
        <v>#N/A</v>
      </c>
      <c r="CI95" s="140" t="e">
        <f t="shared" ca="1" si="369"/>
        <v>#N/A</v>
      </c>
      <c r="CJ95" s="140" t="e">
        <f ca="1">IF($CI95&lt;=Control!$C$91,$CI95,Control!$C$91-$CI95)</f>
        <v>#N/A</v>
      </c>
      <c r="CK95" s="140" t="e">
        <f ca="1">IF(AND($BB95&gt;=65,$BB95&lt;90),1,IF($CI95&gt;=Control!$C$91,0,$CG95))</f>
        <v>#N/A</v>
      </c>
      <c r="CL95" s="404" t="e">
        <f ca="1">IF($CK95=0,0,IF($CI95&lt;=Control!$C$91,$CG95*(65+(90-65)*($CJ95/Control!$C$91)),0))</f>
        <v>#N/A</v>
      </c>
      <c r="CM95" s="140" t="e">
        <f ca="1">IF($BG95+$BM95+$BS95+$BY95+$CE95+$CK95=1,0,IF(OR($BB95&gt;=90,$CI95&gt;=Control!$C$91),$BA95,$CM94))</f>
        <v>#N/A</v>
      </c>
      <c r="CN95" s="140" t="e">
        <f t="shared" ca="1" si="370"/>
        <v>#N/A</v>
      </c>
      <c r="CO95" s="140" t="e">
        <f t="shared" ca="1" si="371"/>
        <v>#N/A</v>
      </c>
      <c r="CP95" s="140" t="e">
        <f t="shared" ca="1" si="372"/>
        <v>#N/A</v>
      </c>
      <c r="CQ95" s="141" t="e">
        <f ca="1">VLOOKUP($CP95,Control!$B$86:$G$91,6)</f>
        <v>#N/A</v>
      </c>
      <c r="CR95" s="141" t="e">
        <f ca="1">(1-$CQ95)*VLOOKUP($CP95,Control!$B$86:$D$91,3)</f>
        <v>#N/A</v>
      </c>
      <c r="CS95" s="141" t="e">
        <f ca="1">(1-$CQ95)*VLOOKUP($CP95,Control!$B$86:$E$91,4)</f>
        <v>#N/A</v>
      </c>
      <c r="CT95" s="141" t="e">
        <f ca="1">(1-$CQ95)*VLOOKUP($CP95,Control!$B$86:$F$91,5)</f>
        <v>#N/A</v>
      </c>
      <c r="CU95" s="141">
        <f t="shared" ca="1" si="373"/>
        <v>0</v>
      </c>
      <c r="CV95" s="583">
        <f t="shared" ca="1" si="374"/>
        <v>0</v>
      </c>
      <c r="CW95" s="142">
        <f t="shared" ca="1" si="375"/>
        <v>91</v>
      </c>
      <c r="CX95" s="612" t="e">
        <f ca="1">IF(Control!$C$114=1,(MIN(Control!$C$120*(IF($NT95-0.01&lt;0,0,1)),Control!$C$119-$CY95)))</f>
        <v>#DIV/0!</v>
      </c>
      <c r="CY95" s="143" t="e">
        <f t="shared" ca="1" si="376"/>
        <v>#N/A</v>
      </c>
      <c r="CZ95" s="144">
        <f t="shared" ca="1" si="253"/>
        <v>0</v>
      </c>
      <c r="DA95" s="144">
        <f t="shared" ca="1" si="254"/>
        <v>0</v>
      </c>
      <c r="DB95" s="144" t="e">
        <f t="shared" ca="1" si="255"/>
        <v>#N/A</v>
      </c>
      <c r="DC95" s="144" t="e">
        <f t="shared" ca="1" si="256"/>
        <v>#N/A</v>
      </c>
      <c r="DD95" s="144" t="e">
        <f t="shared" ca="1" si="461"/>
        <v>#N/A</v>
      </c>
      <c r="DE95" s="143" t="e">
        <f t="shared" ca="1" si="377"/>
        <v>#N/A</v>
      </c>
      <c r="DF95" s="145" t="e">
        <f ca="1">$DR95*EXP(-Control!$C$158*(1-$KH95))</f>
        <v>#N/A</v>
      </c>
      <c r="DG95" s="146" t="e">
        <f ca="1">IF(Control!$C$114=1, $DF95*$EY95, 0)</f>
        <v>#N/A</v>
      </c>
      <c r="DH95" s="147" t="e">
        <f t="shared" ca="1" si="378"/>
        <v>#N/A</v>
      </c>
      <c r="DI95" s="144" t="e">
        <f t="shared" ca="1" si="439"/>
        <v>#N/A</v>
      </c>
      <c r="DJ95" s="147" t="e">
        <f ca="1">$EF95*Control!$C$109</f>
        <v>#N/A</v>
      </c>
      <c r="DK95" s="144" t="e">
        <f t="shared" ca="1" si="379"/>
        <v>#N/A</v>
      </c>
      <c r="DL95" s="144" t="e">
        <f t="shared" ca="1" si="257"/>
        <v>#N/A</v>
      </c>
      <c r="DM95" s="144" t="e">
        <f ca="1">IF(Control!$C$114=1, (1-EXP(-Control!$C$96*$DK95))*$AR95, 0)</f>
        <v>#N/A</v>
      </c>
      <c r="DN95" s="144">
        <f t="shared" ca="1" si="380"/>
        <v>0</v>
      </c>
      <c r="DO95" s="148">
        <f>Control!$C$97</f>
        <v>4</v>
      </c>
      <c r="DP95" s="145" t="e">
        <f t="shared" ca="1" si="381"/>
        <v>#N/A</v>
      </c>
      <c r="DQ95" s="145" t="e">
        <f ca="1">IF(AND($CP95&gt;=0,$CP95&lt;=90),Control!$C$111,Control!$C$111)</f>
        <v>#N/A</v>
      </c>
      <c r="DR95" s="145" t="e">
        <f t="shared" ca="1" si="258"/>
        <v>#N/A</v>
      </c>
      <c r="DS95" s="143" t="e">
        <f ca="1">Control!$B$22/$DR95</f>
        <v>#N/A</v>
      </c>
      <c r="DT95" s="149" t="e">
        <f ca="1">IF(AND(Control!$C$114=1,$KH95&lt;1),$IM95*$DF95, 0)</f>
        <v>#N/A</v>
      </c>
      <c r="DU95" s="144" t="e">
        <f t="shared" ca="1" si="382"/>
        <v>#N/A</v>
      </c>
      <c r="DV95" s="144">
        <f ca="1">IF($G95-Control!$C$107&lt;=0, 0, 0.83*LN(MAX($G95, 3))-0.8924)</f>
        <v>0</v>
      </c>
      <c r="DW95" s="144" t="e">
        <f t="shared" ca="1" si="259"/>
        <v>#N/A</v>
      </c>
      <c r="DX95" s="150" t="e">
        <f ca="1">MAX(0.01*(1+$CU95/Control!$C$102),0.05*($DK95-Control!$C$97)/Control!$C$97)</f>
        <v>#N/A</v>
      </c>
      <c r="DY95" s="151" t="e">
        <f ca="1">IF(Control!$C$114=1, $DI95*$FS95, 0)</f>
        <v>#N/A</v>
      </c>
      <c r="DZ95" s="196" t="e">
        <f t="shared" ca="1" si="383"/>
        <v>#N/A</v>
      </c>
      <c r="EA95" s="152">
        <f t="shared" ca="1" si="384"/>
        <v>91</v>
      </c>
      <c r="EB95" s="153" t="e">
        <f t="shared" ca="1" si="385"/>
        <v>#N/A</v>
      </c>
      <c r="EC95" s="153" t="e">
        <f t="shared" ca="1" si="386"/>
        <v>#N/A</v>
      </c>
      <c r="ED95" s="154" t="e">
        <f ca="1">IF(Control!$C$114=1, $HM95*$FY95-$FD95, 0)</f>
        <v>#DIV/0!</v>
      </c>
      <c r="EE95" s="155" t="e">
        <f ca="1">IF(Control!$C$114=1, $HM95*$FZ95-$FF95, 0)</f>
        <v>#DIV/0!</v>
      </c>
      <c r="EF95" s="153" t="e">
        <f t="shared" ca="1" si="440"/>
        <v>#N/A</v>
      </c>
      <c r="EG95" s="155" t="e">
        <f ca="1">IF(Control!$C$114=1, $GX95*$FW95-$FI95, 0)</f>
        <v>#DIV/0!</v>
      </c>
      <c r="EH95" s="153" t="e">
        <f t="shared" ca="1" si="387"/>
        <v>#N/A</v>
      </c>
      <c r="EI95" s="156" t="e">
        <f t="shared" ca="1" si="388"/>
        <v>#N/A</v>
      </c>
      <c r="EJ95" s="155" t="e">
        <f ca="1">IF(Control!$C$114=1, $HM95*$GB95, 0)</f>
        <v>#DIV/0!</v>
      </c>
      <c r="EK95" s="153" t="e">
        <f t="shared" ca="1" si="441"/>
        <v>#N/A</v>
      </c>
      <c r="EL95" s="153" t="e">
        <f t="shared" ca="1" si="260"/>
        <v>#N/A</v>
      </c>
      <c r="EM95" s="153" t="e">
        <f t="shared" ca="1" si="261"/>
        <v>#N/A</v>
      </c>
      <c r="EN95" s="153" t="e">
        <f ca="1">IF(Control!$C$108=1,IF(AND(Control!$B$18=1,$EB95&gt;=Control!$B$19),$EB95-$DS95,IF(AND(Control!$B$18=2,$AW95=1,$EB95&gt;$DS95),$EB95-$DS95,0)))</f>
        <v>#N/A</v>
      </c>
      <c r="EO95" s="153" t="e">
        <f ca="1">IF(Control!$C$108=1,IF(AND(Control!$B$18=1,$EB95&gt;=Control!$B$19),$EF95,IF(AND(Control!$B$18=2,$AW95=1),$EF95,0)))</f>
        <v>#N/A</v>
      </c>
      <c r="EP95" s="153" t="e">
        <f ca="1">IF(Control!$C$108=1,IF(AND(Control!$B$18=1,$EB95&gt;=Control!$B$19),$EK95,IF(AND(Control!$B$18=2,$AW95=1),$EK95,0)))</f>
        <v>#N/A</v>
      </c>
      <c r="EQ95" s="153" t="e">
        <f t="shared" ca="1" si="389"/>
        <v>#N/A</v>
      </c>
      <c r="ER95" s="153" t="e">
        <f t="shared" ca="1" si="390"/>
        <v>#N/A</v>
      </c>
      <c r="ES95" s="153" t="e">
        <f t="shared" ca="1" si="442"/>
        <v>#N/A</v>
      </c>
      <c r="ET95" s="153" t="e">
        <f t="shared" ca="1" si="443"/>
        <v>#N/A</v>
      </c>
      <c r="EU95" s="153" t="e">
        <f t="shared" ca="1" si="391"/>
        <v>#N/A</v>
      </c>
      <c r="EV95" s="153" t="e">
        <f t="shared" ca="1" si="262"/>
        <v>#N/A</v>
      </c>
      <c r="EW95" s="153" t="e">
        <f t="shared" ca="1" si="263"/>
        <v>#N/A</v>
      </c>
      <c r="EX95" s="153" t="e">
        <f t="shared" ca="1" si="264"/>
        <v>#N/A</v>
      </c>
      <c r="EY95" s="157" t="e">
        <f t="shared" ca="1" si="265"/>
        <v>#DIV/0!</v>
      </c>
      <c r="EZ95" s="154" t="e">
        <f t="shared" ca="1" si="266"/>
        <v>#DIV/0!</v>
      </c>
      <c r="FA95" s="153" t="e">
        <f t="shared" ca="1" si="392"/>
        <v>#N/A</v>
      </c>
      <c r="FB95" s="153" t="e">
        <f t="shared" ca="1" si="267"/>
        <v>#N/A</v>
      </c>
      <c r="FC95" s="193" t="e">
        <f t="shared" ca="1" si="268"/>
        <v>#N/A</v>
      </c>
      <c r="FD95" s="158" t="e">
        <f t="shared" ca="1" si="393"/>
        <v>#N/A</v>
      </c>
      <c r="FE95" s="158" t="e">
        <f t="shared" ca="1" si="394"/>
        <v>#N/A</v>
      </c>
      <c r="FF95" s="159" t="e">
        <f t="shared" ca="1" si="269"/>
        <v>#N/A</v>
      </c>
      <c r="FG95" s="160" t="e">
        <f t="shared" ca="1" si="395"/>
        <v>#N/A</v>
      </c>
      <c r="FH95" s="158" t="e">
        <f t="shared" ca="1" si="396"/>
        <v>#N/A</v>
      </c>
      <c r="FI95" s="159" t="e">
        <f t="shared" ca="1" si="270"/>
        <v>#N/A</v>
      </c>
      <c r="FJ95" s="160" t="e">
        <f t="shared" ca="1" si="397"/>
        <v>#N/A</v>
      </c>
      <c r="FK95" s="160" t="e">
        <f t="shared" ca="1" si="271"/>
        <v>#N/A</v>
      </c>
      <c r="FL95" s="160" t="e">
        <f t="shared" ca="1" si="444"/>
        <v>#N/A</v>
      </c>
      <c r="FM95" s="160" t="e">
        <f t="shared" ca="1" si="272"/>
        <v>#N/A</v>
      </c>
      <c r="FN95" s="158">
        <f t="shared" ca="1" si="398"/>
        <v>0.01</v>
      </c>
      <c r="FO95" s="160">
        <f>Control!$C$101</f>
        <v>50</v>
      </c>
      <c r="FP95" s="150" t="e">
        <f t="shared" ca="1" si="273"/>
        <v>#N/A</v>
      </c>
      <c r="FQ95" s="150" t="e">
        <f ca="1">MAX(0,(Control!$C$112*(($DK95-Control!$C$97)/Control!$C$97)))</f>
        <v>#N/A</v>
      </c>
      <c r="FR95" s="150" t="e">
        <f ca="1">(1-$NT95)*Control!$C$113</f>
        <v>#DIV/0!</v>
      </c>
      <c r="FS95" s="198" t="e">
        <f t="shared" ca="1" si="274"/>
        <v>#N/A</v>
      </c>
      <c r="FT95" s="161">
        <f t="shared" ca="1" si="399"/>
        <v>91</v>
      </c>
      <c r="FU95" s="162" t="e">
        <f ca="1">IF(Control!$B$34=1,VLOOKUP($CP95,Control!$B$86:$G$91,6),Control!$B$35)</f>
        <v>#N/A</v>
      </c>
      <c r="FV95" s="162" t="e">
        <f t="shared" ca="1" si="275"/>
        <v>#DIV/0!</v>
      </c>
      <c r="FW95" s="162" t="e">
        <f ca="1">IF(Control!$B$31=1,$FU95*$FV95,  $FU95)</f>
        <v>#N/A</v>
      </c>
      <c r="FX95" s="162" t="e">
        <f ca="1">IF(Control!$B$34=1,VLOOKUP($CP95,Control!$B$86:$G$91,3),Control!$B$36)</f>
        <v>#N/A</v>
      </c>
      <c r="FY95" s="162" t="e">
        <f t="shared" ca="1" si="276"/>
        <v>#N/A</v>
      </c>
      <c r="FZ95" s="162" t="e">
        <f ca="1">IF(Control!$B$34=1,VLOOKUP($CP95,Control!$B$86:$G$91,4),Control!$B$37)</f>
        <v>#N/A</v>
      </c>
      <c r="GA95" s="162" t="e">
        <f t="shared" ca="1" si="277"/>
        <v>#N/A</v>
      </c>
      <c r="GB95" s="162" t="e">
        <f ca="1">IF(Control!$B$34=1,VLOOKUP($CP95,Control!$B$86:$G$91,5),Control!$B$38)</f>
        <v>#N/A</v>
      </c>
      <c r="GC95" s="162" t="e">
        <f t="shared" ca="1" si="400"/>
        <v>#N/A</v>
      </c>
      <c r="GD95" s="162">
        <f t="shared" ca="1" si="278"/>
        <v>1</v>
      </c>
      <c r="GE95" s="162">
        <f t="shared" ca="1" si="279"/>
        <v>1</v>
      </c>
      <c r="GF95" s="162">
        <f ca="1">IF(AND(Control!$C$104=1, Control!$C$62="F"),$GE95,1)</f>
        <v>1</v>
      </c>
      <c r="GG95" s="162" t="e">
        <f ca="1">IF(Control!$B$16=40,0,IF(AND(Control!$B$16&gt;40,Control!$B$16&lt;=360),(Control!$B$16-40)*((1-0)/(360-40)),IF(AND(Control!$B$16&gt;360,Control!$B$16&lt;=720),(1+(Control!$B$16-360)*((1.25-1)/(720-360))),IF(AND(Control!$B$16&gt;720,Control!$B$16&lt;=1000),(1.25+(Control!$B$16-720)*((1.35-1.25)/(1000-720))),IF(AND(Control!$B$16&gt;1000,Control!$B$16&lt;=2000),(1.35+(Control!$B$16-1000)*0))))))</f>
        <v>#N/A</v>
      </c>
      <c r="GH95" s="162" t="e">
        <f t="shared" ca="1" si="280"/>
        <v>#N/A</v>
      </c>
      <c r="GI95" s="162">
        <f t="shared" ca="1" si="401"/>
        <v>0</v>
      </c>
      <c r="GJ95" s="162">
        <f t="shared" ca="1" si="281"/>
        <v>0</v>
      </c>
      <c r="GK95" s="162">
        <f t="shared" ca="1" si="402"/>
        <v>1</v>
      </c>
      <c r="GL95" s="162">
        <f t="shared" ca="1" si="282"/>
        <v>1</v>
      </c>
      <c r="GM95" s="162" t="e">
        <f ca="1">MAX(0,MIN(1,1-Control!$C$156*(1.0001-$KH95)^2))</f>
        <v>#N/A</v>
      </c>
      <c r="GN95" s="162" t="e">
        <f ca="1">IF(Control!$B$26=1,$KU95,$KX95)</f>
        <v>#N/A</v>
      </c>
      <c r="GO95" s="162" t="e">
        <f ca="1">IF($CP95&lt;=60,Control!$C$105,IF($CP95&gt;=90,Control!$C$106,Control!$C$105+($CP95-60)*((Control!$C$106-Control!$C$105)/(90-60))))</f>
        <v>#N/A</v>
      </c>
      <c r="GP95" s="162" t="e">
        <f t="shared" ca="1" si="283"/>
        <v>#N/A</v>
      </c>
      <c r="GQ95" s="162" t="e">
        <f t="shared" ca="1" si="403"/>
        <v>#N/A</v>
      </c>
      <c r="GR95" s="163" t="e">
        <f t="shared" ca="1" si="284"/>
        <v>#DIV/0!</v>
      </c>
      <c r="GS95" s="162" t="e">
        <f t="shared" ca="1" si="285"/>
        <v>#DIV/0!</v>
      </c>
      <c r="GT95" s="164" t="e">
        <f t="shared" ca="1" si="404"/>
        <v>#N/A</v>
      </c>
      <c r="GU95" s="162" t="e">
        <f t="shared" ca="1" si="405"/>
        <v>#N/A</v>
      </c>
      <c r="GV95" s="162" t="e">
        <f t="shared" ca="1" si="286"/>
        <v>#N/A</v>
      </c>
      <c r="GW95" s="162" t="e">
        <f t="shared" ca="1" si="287"/>
        <v>#DIV/0!</v>
      </c>
      <c r="GX95" s="162" t="e">
        <f t="shared" ca="1" si="406"/>
        <v>#DIV/0!</v>
      </c>
      <c r="GY95" s="162" t="e">
        <f t="shared" ca="1" si="407"/>
        <v>#DIV/0!</v>
      </c>
      <c r="GZ95" s="165" t="e">
        <f t="shared" ca="1" si="288"/>
        <v>#N/A</v>
      </c>
      <c r="HA95" s="162" t="e">
        <f ca="1">IF(Control!$C$114=1, $DI95*$FS95, 0)</f>
        <v>#N/A</v>
      </c>
      <c r="HB95" s="162" t="e">
        <f ca="1">$FA95/Control!$C$64</f>
        <v>#N/A</v>
      </c>
      <c r="HC95" s="162" t="e">
        <f t="shared" ca="1" si="289"/>
        <v>#DIV/0!</v>
      </c>
      <c r="HD95" s="162">
        <f ca="1">-ASIN(SIN(23.45*Control!$C$139)*COS(2*Control!$C$138*($AH95+10)/365))</f>
        <v>6.6528773664474683E-2</v>
      </c>
      <c r="HE95" s="165">
        <f t="shared" ca="1" si="408"/>
        <v>0</v>
      </c>
      <c r="HF95" s="166">
        <f ca="1">IF(AND(Control!$C$61="T",$HE95&gt;=Control!$C$103,Control!$C$114=0),$AH95,Control!$C$59)</f>
        <v>1</v>
      </c>
      <c r="HG95" s="166">
        <f ca="1">IF(AND(Control!$C$61="T",$HE95&gt;=Control!$C$103,Control!$C$114=0),$HF95,Control!$C$59)</f>
        <v>1</v>
      </c>
      <c r="HH95" s="165">
        <f ca="1">IF(AND(OR(Control!$C$60&lt;=0, $AH95= Control!$C$59, Control!$C$60 &gt;0, $AH95 = Control!$C$60)), Control!$C$59, IF(Control!$C$60&gt;0, 0))</f>
        <v>1</v>
      </c>
      <c r="HI95" s="165">
        <f ca="1">IF(AND(OR(Control!$C$60&lt;=0, $AH95= Control!$C$59, Control!$C$60 &gt;0, $AH95 = Control!$C$60)), Control!$C$60, IF(Control!$C$60&lt;=0, 0))</f>
        <v>0</v>
      </c>
      <c r="HJ95" s="166">
        <f ca="1">IF(AND(Control!$C$62="F",$CV95&gt;=Control!$C$102),$AH95,0)</f>
        <v>0</v>
      </c>
      <c r="HK95" s="165" t="e">
        <f t="shared" ca="1" si="445"/>
        <v>#N/A</v>
      </c>
      <c r="HL95" s="166">
        <f ca="1">IF(AND(Control!$C$61="T",$HE95&gt;=Control!$C$103,Control!$C$114=0),$HF95,0)</f>
        <v>0</v>
      </c>
      <c r="HM95" s="201" t="e">
        <f t="shared" ca="1" si="290"/>
        <v>#DIV/0!</v>
      </c>
      <c r="HN95" s="215">
        <f t="shared" ca="1" si="409"/>
        <v>91</v>
      </c>
      <c r="HO95" s="216" t="e">
        <f ca="1">IF(AND($CP95&gt;=0, $CP95&lt;=90), Control!$C$152, Control!$C$152)</f>
        <v>#N/A</v>
      </c>
      <c r="HP95" s="216" t="e">
        <f t="shared" ca="1" si="291"/>
        <v>#N/A</v>
      </c>
      <c r="HQ95" s="217" t="e">
        <f ca="1">IF(OR(Control!$B$26=1,Control!$B$26=2),$KV95,$KS95)</f>
        <v>#DIV/0!</v>
      </c>
      <c r="HR95" s="218" t="e">
        <f t="shared" ca="1" si="446"/>
        <v>#DIV/0!</v>
      </c>
      <c r="HS95" s="216" t="e">
        <f ca="1">Control!$C$154*$HP95</f>
        <v>#N/A</v>
      </c>
      <c r="HT95" s="216" t="e">
        <f ca="1">Control!$C$155*$HP95</f>
        <v>#N/A</v>
      </c>
      <c r="HU95" s="217" t="e">
        <f ca="1">Control!$C$161*$FI95</f>
        <v>#N/A</v>
      </c>
      <c r="HV95" s="218" t="e">
        <f t="shared" ca="1" si="410"/>
        <v>#N/A</v>
      </c>
      <c r="HW95" s="218" t="e">
        <f ca="1">Control!$C$160*$FF95+$IP95*$EO95</f>
        <v>#N/A</v>
      </c>
      <c r="HX95" s="218" t="e">
        <f t="shared" ca="1" si="447"/>
        <v>#N/A</v>
      </c>
      <c r="HY95" s="219" t="e">
        <f ca="1">IF(Control!$C$114=1, $EB95*$FS95, 0)</f>
        <v>#N/A</v>
      </c>
      <c r="HZ95" s="91" t="e">
        <f t="shared" ca="1" si="292"/>
        <v>#N/A</v>
      </c>
      <c r="IA95" s="220" t="e">
        <f ca="1">Control!$C$153*$HO95</f>
        <v>#N/A</v>
      </c>
      <c r="IB95" s="218" t="e">
        <f t="shared" ca="1" si="293"/>
        <v>#N/A</v>
      </c>
      <c r="IC95" s="220" t="e">
        <f ca="1">Control!$C$153*$HT95</f>
        <v>#N/A</v>
      </c>
      <c r="ID95" s="218" t="e">
        <f t="shared" ca="1" si="294"/>
        <v>#N/A</v>
      </c>
      <c r="IE95" s="221" t="e">
        <f ca="1">($EB95*Control!$C$159+$EF95*Control!$C$160)/(IF($GZ95&lt;&gt;0,$GZ95,1))</f>
        <v>#N/A</v>
      </c>
      <c r="IF95" s="216" t="e">
        <f t="shared" ca="1" si="295"/>
        <v>#N/A</v>
      </c>
      <c r="IG95" s="91">
        <f ca="1">IF(OR(Control!$B$198=$AH95,Control!$B$199=$AH95, Control!$B$200=$AH95, Control!$B$201=$AH95, Control!$B$202=$AH95, Control!$B$203=$AH95, Control!$B$204=$AH95, Control!$B$205=$AH95, Control!$B$206=$AH95, Control!$B$207=$AH95), 1, 0)</f>
        <v>0</v>
      </c>
      <c r="IH95" s="91">
        <f ca="1">IF($IG95=0,0, VLOOKUP($AH95,Control!$B$198:$C$207,2))</f>
        <v>0</v>
      </c>
      <c r="II95" s="222">
        <f t="shared" ca="1" si="411"/>
        <v>0</v>
      </c>
      <c r="IJ95" s="91">
        <f>Control!$C$121</f>
        <v>0.7</v>
      </c>
      <c r="IK95" s="218">
        <f t="shared" ca="1" si="296"/>
        <v>0</v>
      </c>
      <c r="IL95" s="217" t="e">
        <f t="shared" ca="1" si="448"/>
        <v>#N/A</v>
      </c>
      <c r="IM95" s="223" t="e">
        <f ca="1">IF(AND(Control!$C$114=1,$KH95&lt;1),$EB95*Control!$C$148*(1-$KH95), 0)</f>
        <v>#N/A</v>
      </c>
      <c r="IN95" s="217" t="e">
        <f t="shared" ca="1" si="297"/>
        <v>#DIV/0!</v>
      </c>
      <c r="IO95" s="91" t="e">
        <f ca="1">MAX(0,$IL95-$EF95*Control!$C$160)</f>
        <v>#N/A</v>
      </c>
      <c r="IP95" s="220" t="e">
        <f t="shared" ca="1" si="298"/>
        <v>#N/A</v>
      </c>
      <c r="IQ95" s="217" t="e">
        <f t="shared" ca="1" si="412"/>
        <v>#N/A</v>
      </c>
      <c r="IR95" s="218" t="e">
        <f t="shared" ca="1" si="299"/>
        <v>#N/A</v>
      </c>
      <c r="IS95" s="217" t="e">
        <f ca="1">Control!$C$159*MAX(0,$FD95-$EN95)</f>
        <v>#N/A</v>
      </c>
      <c r="IT95" s="217" t="e">
        <f t="shared" ca="1" si="449"/>
        <v>#N/A</v>
      </c>
      <c r="IU95" s="217" t="e">
        <f t="shared" ca="1" si="413"/>
        <v>#N/A</v>
      </c>
      <c r="IV95" s="217" t="e">
        <f t="shared" ca="1" si="450"/>
        <v>#N/A</v>
      </c>
      <c r="IW95" s="217" t="e">
        <f ca="1">IF(OR($AW95=1,AND($AW95=0, Control!$B$18=1,$EN95&lt;&gt;0)), $IQ95-$IU95, $IQ95)</f>
        <v>#N/A</v>
      </c>
      <c r="IX95" s="218" t="e">
        <f t="shared" ca="1" si="300"/>
        <v>#N/A</v>
      </c>
      <c r="IY95" s="218" t="e">
        <f ca="1">MAX(0,$IQ95-$EB95*Control!$C$159)</f>
        <v>#N/A</v>
      </c>
      <c r="IZ95" s="218" t="e">
        <f t="shared" ca="1" si="301"/>
        <v>#N/A</v>
      </c>
      <c r="JA95" s="216" t="e">
        <f t="shared" ca="1" si="302"/>
        <v>#N/A</v>
      </c>
      <c r="JB95" s="217" t="e">
        <f t="shared" ca="1" si="303"/>
        <v>#N/A</v>
      </c>
      <c r="JC95" s="222" t="e">
        <f ca="1">MAX(Control!$C$157*$EK95-$JT95, 0)/Control!$C$162</f>
        <v>#N/A</v>
      </c>
      <c r="JD95" s="218" t="e">
        <f t="shared" ca="1" si="304"/>
        <v>#N/A</v>
      </c>
      <c r="JE95" s="218" t="e">
        <f t="shared" ca="1" si="305"/>
        <v>#N/A</v>
      </c>
      <c r="JF95" s="218" t="e">
        <f t="shared" ca="1" si="414"/>
        <v>#N/A</v>
      </c>
      <c r="JG95" s="218" t="e">
        <f t="shared" ca="1" si="306"/>
        <v>#N/A</v>
      </c>
      <c r="JH95" s="217" t="e">
        <f t="shared" ca="1" si="415"/>
        <v>#N/A</v>
      </c>
      <c r="JI95" s="217" t="e">
        <f t="shared" ca="1" si="416"/>
        <v>#N/A</v>
      </c>
      <c r="JJ95" s="217" t="e">
        <f t="shared" ca="1" si="451"/>
        <v>#N/A</v>
      </c>
      <c r="JK95" s="217" t="e">
        <f ca="1">IF(Control!$C$114=1,IF(Control!$B$24=0,MAX(0,$JI95)*$GN95/Control!$C$64,(MAX(0,MIN($JI95,$JJ95*$GN95/Control!$C$64),0))))</f>
        <v>#N/A</v>
      </c>
      <c r="JL95" s="217" t="e">
        <f ca="1">$IK95/Control!$C$64-$JK95+$HQ95</f>
        <v>#N/A</v>
      </c>
      <c r="JM95" s="217" t="e">
        <f ca="1">IF(Control!$C$114=1,($JB95/(IF($JI95&lt;&gt;0,$JI95,1)))*$JK95,0)</f>
        <v>#N/A</v>
      </c>
      <c r="JN95" s="217" t="e">
        <f ca="1">IF(Control!$C$114=1,($JG95/(IF($JI95&lt;&gt;0,$JI95,1)))*$JK95, 0)</f>
        <v>#N/A</v>
      </c>
      <c r="JO95" s="218" t="e">
        <f t="shared" ca="1" si="307"/>
        <v>#N/A</v>
      </c>
      <c r="JP95" s="218" t="e">
        <f ca="1">MIN(($IY95+$IO95)*Control!$C$151, $JF95-$EH95*Control!$C$161)</f>
        <v>#N/A</v>
      </c>
      <c r="JQ95" s="218" t="e">
        <f t="shared" ca="1" si="308"/>
        <v>#N/A</v>
      </c>
      <c r="JR95" s="217" t="e">
        <f ca="1">IF($CP95-Control!$C$150&lt;0, 0, $JQ95/Control!$C$162)</f>
        <v>#N/A</v>
      </c>
      <c r="JS95" s="218" t="e">
        <f t="shared" ca="1" si="309"/>
        <v>#N/A</v>
      </c>
      <c r="JT95" s="218" t="e">
        <f t="shared" ca="1" si="417"/>
        <v>#N/A</v>
      </c>
      <c r="JU95" s="218" t="e">
        <f t="shared" ca="1" si="310"/>
        <v>#N/A</v>
      </c>
      <c r="JV95" s="218" t="e">
        <f t="shared" ca="1" si="311"/>
        <v>#N/A</v>
      </c>
      <c r="JW95" s="216" t="e">
        <f t="shared" ca="1" si="312"/>
        <v>#N/A</v>
      </c>
      <c r="JX95" s="91" t="e">
        <f t="shared" ca="1" si="313"/>
        <v>#N/A</v>
      </c>
      <c r="JY95" s="218" t="e">
        <f t="shared" ca="1" si="314"/>
        <v>#N/A</v>
      </c>
      <c r="JZ95" s="217" t="e">
        <f ca="1">IF(Control!$C$114=1,($IZ95/(IF($JI95&lt;&gt;0,$JI95,1)))*$JK95, 0)</f>
        <v>#N/A</v>
      </c>
      <c r="KA95" s="218" t="e">
        <f t="shared" ca="1" si="452"/>
        <v>#N/A</v>
      </c>
      <c r="KB95" s="218" t="e">
        <f t="shared" ca="1" si="418"/>
        <v>#N/A</v>
      </c>
      <c r="KC95" s="218" t="e">
        <f t="shared" ca="1" si="315"/>
        <v>#N/A</v>
      </c>
      <c r="KD95" s="218" t="e">
        <f t="shared" ca="1" si="316"/>
        <v>#N/A</v>
      </c>
      <c r="KE95" s="218" t="e">
        <f t="shared" ca="1" si="317"/>
        <v>#N/A</v>
      </c>
      <c r="KF95" s="218" t="e">
        <f t="shared" ca="1" si="318"/>
        <v>#N/A</v>
      </c>
      <c r="KG95" s="216" t="e">
        <f t="shared" ca="1" si="319"/>
        <v>#N/A</v>
      </c>
      <c r="KH95" s="221" t="e">
        <f ca="1">IF(Control!$B$24=0,1,MAX(0.001,MIN(1,IF(($IF95-$IE95)&lt;&gt;0,($KG95-$IE95)/($IF95-$IE95),1))))</f>
        <v>#N/A</v>
      </c>
      <c r="KI95" s="222" t="e">
        <f ca="1">IF(Control!$C$114=1, $KI94+ $KH94, 0)</f>
        <v>#N/A</v>
      </c>
      <c r="KJ95" s="217" t="e">
        <f t="shared" ca="1" si="320"/>
        <v>#N/A</v>
      </c>
      <c r="KK95" s="218" t="e">
        <f t="shared" ca="1" si="321"/>
        <v>#N/A</v>
      </c>
      <c r="KL95" s="274" t="e">
        <f ca="1">IF(Control!$B$26=3,4000000000*EXP(-8400/($G95+273)),IF(Control!$B$26=4,4000000000*EXP(-8400/($G95+273))*($KT95),0))</f>
        <v>#DIV/0!</v>
      </c>
      <c r="KM95" s="274" t="e">
        <f ca="1">IF(Control!$B$26=3,5600000000000*EXP(-9800/($G95+273)),IF(Control!$B$26=4,5600000000000*EXP(-9800/($G95+273))*$KT95,0))</f>
        <v>#DIV/0!</v>
      </c>
      <c r="KN95" s="454" t="e">
        <f t="shared" ca="1" si="419"/>
        <v>#DIV/0!</v>
      </c>
      <c r="KO95" s="274" t="e">
        <f t="shared" ca="1" si="420"/>
        <v>#DIV/0!</v>
      </c>
      <c r="KP95" s="454" t="e">
        <f t="shared" ca="1" si="322"/>
        <v>#DIV/0!</v>
      </c>
      <c r="KQ95" s="454" t="e">
        <f t="shared" ca="1" si="323"/>
        <v>#DIV/0!</v>
      </c>
      <c r="KR95" s="454" t="e">
        <f t="shared" ca="1" si="324"/>
        <v>#DIV/0!</v>
      </c>
      <c r="KS95" s="454" t="e">
        <f t="shared" ca="1" si="325"/>
        <v>#DIV/0!</v>
      </c>
      <c r="KT95" s="455" t="e">
        <f t="shared" ca="1" si="326"/>
        <v>#DIV/0!</v>
      </c>
      <c r="KU95" s="456" t="e">
        <f ca="1">IF($CP95-Control!$C$149&lt;0, IF($NT95-0.01&lt;0,0,1),0)</f>
        <v>#N/A</v>
      </c>
      <c r="KV95" s="456" t="e">
        <f ca="1">IF(Control!$C$114=1,MAX(0,MIN(Control!$C$125*$KW95*$GN95,$KW95)))</f>
        <v>#DIV/0!</v>
      </c>
      <c r="KW95" s="456" t="e">
        <f t="shared" ca="1" si="453"/>
        <v>#DIV/0!</v>
      </c>
      <c r="KX95" s="457" t="e">
        <f ca="1">IF($CP95-Control!$C$149&lt;0, IF($MR95-$OM95&lt;0,0,1),0)</f>
        <v>#N/A</v>
      </c>
      <c r="KY95" s="167">
        <f t="shared" ca="1" si="421"/>
        <v>91</v>
      </c>
      <c r="KZ95" s="168">
        <f ca="1">1370*(1+0.033*COS(2*Control!$C$138*$AH95/365))</f>
        <v>1370.194397357277</v>
      </c>
      <c r="LA95" s="169">
        <f t="shared" ca="1" si="422"/>
        <v>1.000142016763776</v>
      </c>
      <c r="LB95" s="169">
        <f t="shared" ca="1" si="423"/>
        <v>7.1811368637380357E-2</v>
      </c>
      <c r="LC95" s="169">
        <f ca="1">ACOS(-TAN((2*Control!$B$8/360))*TAN(Calculations!$LB95))</f>
        <v>1.592177282215</v>
      </c>
      <c r="LD95" s="169">
        <f ca="1">((24*60)/PI())*0.082*$LA95*(($LC95*SIN(Control!$B$8*2*PI()/360))*SIN($LB95)+COS(Control!$B$8*2*PI()/360)*COS($LB95)*SIN($LC95))</f>
        <v>26.462642711096375</v>
      </c>
      <c r="LE95" s="170">
        <f t="shared" ca="1" si="327"/>
        <v>26.33350459911259</v>
      </c>
      <c r="LF95" s="170">
        <f ca="1">SIN(Control!$C$139*Control!$B$8)*SIN($HD95)</f>
        <v>5.2386811351688739E-2</v>
      </c>
      <c r="LG95" s="170">
        <f ca="1">COS(Control!$C$139*Control!$B$8)*COS($HD95)</f>
        <v>0.61429782632430519</v>
      </c>
      <c r="LH95" s="170">
        <f ca="1">12*(1+2*ASIN(MAX(-1,MIN(1,$LF95/$LG95))/Control!$C$138))</f>
        <v>12.651563413344665</v>
      </c>
      <c r="LI95" s="170">
        <f ca="1">12*(1+2*ASIN(MAX(-1,MIN(1,(-SIN(-4*Control!$C$139)+$LF95)/$LG95))/Control!$C$138))</f>
        <v>13.519994165028976</v>
      </c>
      <c r="LJ95" s="168">
        <f ca="1">3600*($LH95*$LF95+24*$LG95*SQRT(1-$LK95*$LK95)/Control!$C$138)</f>
        <v>19218.809133873689</v>
      </c>
      <c r="LK95" s="170">
        <f t="shared" ca="1" si="328"/>
        <v>8.5279174216111031E-2</v>
      </c>
      <c r="LL95" s="170">
        <f t="shared" ca="1" si="329"/>
        <v>0</v>
      </c>
      <c r="LM95" s="171">
        <f ca="1">Control!$C$145*$AB95</f>
        <v>6.6660906138995932E-2</v>
      </c>
      <c r="LN95" s="170">
        <f t="shared" ca="1" si="424"/>
        <v>0.54</v>
      </c>
      <c r="LO95" s="170">
        <f t="shared" ca="1" si="330"/>
        <v>0</v>
      </c>
      <c r="LP95" s="170">
        <f ca="1">Control!$C$140*((($D95+273.16)^4+($E95+273.16)^4)/2)*(0.34-0.14*SQRT($Y95))*(1.35*$AQ95/(0.75*$LD95)-0.35)</f>
        <v>-3.2464704755046001</v>
      </c>
      <c r="LQ95" s="170">
        <f ca="1">Control!$C$140*($G95+273)^4*(0.56-0.079*SQRT($Y95*10))*(0.1+0.9*$LO95)</f>
        <v>1.5241745131704001</v>
      </c>
      <c r="LR95" s="170">
        <f ca="1">$AQ95*(1-Control!$C$142)-$LQ95</f>
        <v>-1.5241745131704001</v>
      </c>
      <c r="LS95" s="170">
        <f ca="1">$AQ95*(1-Control!$C$143)-$LQ95</f>
        <v>-1.5241745131704001</v>
      </c>
      <c r="LT95" s="170">
        <f ca="1">$AQ95*(1-Control!$C$144)-$LQ95</f>
        <v>-1.5241745131704001</v>
      </c>
      <c r="LU95" s="169">
        <f ca="1">(1-Control!$C$144)*AQ95-LP95</f>
        <v>3.2464704755046001</v>
      </c>
      <c r="LV95" s="172">
        <f t="shared" ca="1" si="331"/>
        <v>0.79430000000000012</v>
      </c>
      <c r="LW95" s="170">
        <f t="shared" ca="1" si="332"/>
        <v>1.5886000000000002</v>
      </c>
      <c r="LX95" s="170">
        <f ca="1">($AC95*($LR95/Control!$C$141)+$LM95*$LV95)/($AC95+$LM95)</f>
        <v>0.23530094218323697</v>
      </c>
      <c r="LY95" s="170">
        <f ca="1">($AC95*($LS95/Control!$C$141)+$LM95*$LV95)/($AC95+$LM95)</f>
        <v>0.23530094218323697</v>
      </c>
      <c r="LZ95" s="170">
        <f t="shared" ca="1" si="333"/>
        <v>0.23530094218323697</v>
      </c>
      <c r="MA95" s="170">
        <f t="shared" ca="1" si="334"/>
        <v>0.23530094218323697</v>
      </c>
      <c r="MB95" s="170" t="e">
        <f t="shared" ca="1" si="335"/>
        <v>#N/A</v>
      </c>
      <c r="MC95" s="170">
        <f t="shared" ca="1" si="425"/>
        <v>0.6018</v>
      </c>
      <c r="MD95" s="170">
        <f t="shared" ca="1" si="336"/>
        <v>0.52989392535414004</v>
      </c>
      <c r="ME95" s="170">
        <f ca="1">($AC95*($LT95/Control!$C$141)+$LM95*$LW95)/($AC95+$LM95)</f>
        <v>0.71612369323045078</v>
      </c>
      <c r="MF95" s="170" t="e">
        <f ca="1">IF(Control!$B$16&gt;=1000,0.92,IF(AND(720&lt;=Control!$B$16,1000&gt;Control!$B$16),(0.95+(Control!$B$16-720)*((0.92-0.95)/(1000-720))),IF(AND(360&lt;=Control!$B$16,720&gt;Control!$B$16),(1+(Control!$B$16-360)*((0.95-1)/(720-360))),IF(AND(40&lt;=Control!$B$16,360&gt;Control!$B$16),(1.05+(Control!$B$16-40)*((1.05-1)/(360-40)))))))</f>
        <v>#N/A</v>
      </c>
      <c r="MG95" s="170">
        <f t="shared" ca="1" si="337"/>
        <v>0.71612369323045078</v>
      </c>
      <c r="MH95" s="170" t="e">
        <f t="shared" ca="1" si="462"/>
        <v>#N/A</v>
      </c>
      <c r="MI95" s="170" t="e">
        <f t="shared" ca="1" si="462"/>
        <v>#N/A</v>
      </c>
      <c r="MJ95" s="170" t="e">
        <f ca="1">MAX(0.0001, Control!$C$132*$MI95*$DL95)</f>
        <v>#N/A</v>
      </c>
      <c r="MK95" s="170">
        <f ca="1">1/(0.76+1.5*($MG95/10))-(5-Control!$C$110)*0.1</f>
        <v>1.002845988140797</v>
      </c>
      <c r="ML95" s="173">
        <f ca="1">IF(Control!$C$110&lt;3,$MK95+($MG95-0.6)/(Control!$C$110*(Control!$C$110+3)), MAX(0.1, MIN(0.95,$MK95)))</f>
        <v>0.95</v>
      </c>
      <c r="MM95" s="173">
        <f ca="1">IF(Control!$C$110&lt;3,$MK95+(($MI95/10)-0.6)/(Control!$C$110*(Control!$C$110+3)), MAX(0.1, MIN(0.95,$MK95)))</f>
        <v>0.95</v>
      </c>
      <c r="MN95" s="173">
        <f ca="1">(1-$MM95)*(Control!$C$128-Control!$C$127)+Control!$C$127</f>
        <v>0.16</v>
      </c>
      <c r="MO95" s="170" t="e">
        <f ca="1">MAX(0,MIN(1,($MS95-Control!$C$127)/($MN95-Control!$C$127)))</f>
        <v>#DIV/0!</v>
      </c>
      <c r="MP95" s="173" t="e">
        <f ca="1">1/(0.76+1.5*$MI95)-(5-Control!$C$110)*0.1</f>
        <v>#N/A</v>
      </c>
      <c r="MQ95" s="172" t="e">
        <f t="shared" ca="1" si="454"/>
        <v>#DIV/0!</v>
      </c>
      <c r="MR95" s="168" t="e">
        <f t="shared" ca="1" si="426"/>
        <v>#DIV/0!</v>
      </c>
      <c r="MS95" s="173" t="e">
        <f ca="1">MAX(Control!$C$127, MIN(Control!$C$135, $MR95/MAX(0.0001,$CY95)))</f>
        <v>#DIV/0!</v>
      </c>
      <c r="MT95" s="168" t="e">
        <f ca="1">(Control!$C$128-$MS95)*Control!$C$74</f>
        <v>#DIV/0!</v>
      </c>
      <c r="MU95" s="168" t="e">
        <f ca="1">(Control!$C$135-$MS95)*Control!$C$74</f>
        <v>#DIV/0!</v>
      </c>
      <c r="MV95" s="168" t="e">
        <f t="shared" ca="1" si="427"/>
        <v>#DIV/0!</v>
      </c>
      <c r="MW95" s="168" t="e">
        <f t="shared" ca="1" si="428"/>
        <v>#DIV/0!</v>
      </c>
      <c r="MX95" s="171" t="e">
        <f ca="1">MAX(Control!$C$127, MIN(Control!$C$135, $MW95/MAX(0.0001,Control!$C$119-$CY95)))</f>
        <v>#DIV/0!</v>
      </c>
      <c r="MY95" s="54" t="e">
        <f ca="1">IF(Control!$C$114=1, $CX95*$MX95, 0)</f>
        <v>#DIV/0!</v>
      </c>
      <c r="MZ95" s="54" t="e">
        <f t="shared" ca="1" si="429"/>
        <v>#N/A</v>
      </c>
      <c r="NA95" s="168" t="e">
        <f ca="1">(Control!$C$128-$MX95)*(Control!$C$119-Control!$C$74)</f>
        <v>#DIV/0!</v>
      </c>
      <c r="NB95" s="168" t="e">
        <f ca="1">(Control!$C$135-$MX95)*(Control!$C$119-Control!$C$74)</f>
        <v>#DIV/0!</v>
      </c>
      <c r="NC95" s="174" t="e">
        <f t="shared" ca="1" si="430"/>
        <v>#DIV/0!</v>
      </c>
      <c r="ND95" s="54">
        <f ca="1">IF(Control!$C$58=2, IF(OR(Control!$B$218=$AH95,Control!$B$219=$AH95, Control!$B$220=$AH95, Control!$B$221=$AH95, Control!$B$222=$AH95, Control!$B$223=$AH95, Control!$B$224=$AH95, Control!$B$225=$AH95, Control!$B$226=$AH95, Control!$B$227=$AH95, Control!$B$228=$AH95), 1, 0), 0)</f>
        <v>0</v>
      </c>
      <c r="NE95" s="54">
        <f ca="1">IF($ND95=0,0, VLOOKUP($AH95,Control!$B$218:$C$228,2))</f>
        <v>0</v>
      </c>
      <c r="NF95" s="168" t="e">
        <f ca="1">$CY95*(Control!$C$128-Control!$C$127)</f>
        <v>#N/A</v>
      </c>
      <c r="NG95" s="54" t="e">
        <f ca="1">IF(Control!$C$58=2, $NI94-$NJ94, 0)</f>
        <v>#DIV/0!</v>
      </c>
      <c r="NH95" s="54" t="e">
        <f ca="1">IF(AND(Control!$C$58=1, $MS94&lt;= ($MN94+0.02), $I94&lt;10), 0, IF(Control!$C$58=2, $NG94, 0))</f>
        <v>#DIV/0!</v>
      </c>
      <c r="NI95" s="54" t="e">
        <f ca="1">IF(Control!$C$58=2, $NE95+$NH95,0)</f>
        <v>#DIV/0!</v>
      </c>
      <c r="NJ95" s="54" t="e">
        <f ca="1">IF(AND(Control!$C$58=1, $MS95&lt;= ($MN95+0.02), $I95&lt;10), MAX(0, MIN(10, 0.7*($NF95-$MV95))), IF(Control!$C$58=2, MIN(10,$NI95),0))</f>
        <v>#DIV/0!</v>
      </c>
      <c r="NK95" s="54" t="e">
        <f t="shared" ca="1" si="338"/>
        <v>#DIV/0!</v>
      </c>
      <c r="NL95" s="173" t="e">
        <f ca="1">(1-Control!$C$73)*$I95+$NJ95</f>
        <v>#DIV/0!</v>
      </c>
      <c r="NM95" s="172" t="e">
        <f ca="1">IF($NL95&lt;0.5, $MB95* MAX(0, MIN(1, (SQRT($NC95)-SQRT($NC95-1))*Control!$C$71)),0)</f>
        <v>#DIV/0!</v>
      </c>
      <c r="NN95" s="170" t="e">
        <f ca="1">IF($NL95&gt;=5, $MB95, MAX(0,MIN($MB95, $NM95+$NL95,($MS95-Control!$C$129))))</f>
        <v>#DIV/0!</v>
      </c>
      <c r="NO95" s="54">
        <f>IF(Control!$C$133&lt;&gt;1, Control!$C$135-Control!$C$131, 0)</f>
        <v>0.38</v>
      </c>
      <c r="NP95" s="54" t="e">
        <f t="shared" ca="1" si="339"/>
        <v>#DIV/0!</v>
      </c>
      <c r="NQ95" s="173" t="e">
        <f ca="1">MAX(0,MIN(1,(Control!$C$135-$MS95)/(Control!$C$135-$NO95)))</f>
        <v>#DIV/0!</v>
      </c>
      <c r="NR95" s="170" t="e">
        <f ca="1">IF(Control!$C$133&lt;&gt;1, $NQ95+((1-$NP95/4)*(1-$NQ95)),1)</f>
        <v>#DIV/0!</v>
      </c>
      <c r="NS95" s="170" t="e">
        <f ca="1">IF(Control!$B$31=0,$MJ95,MAX(0,MIN($MV95,$MO95*$NR95*$MJ95)))</f>
        <v>#DIV/0!</v>
      </c>
      <c r="NT95" s="170" t="e">
        <f t="shared" ca="1" si="455"/>
        <v>#DIV/0!</v>
      </c>
      <c r="NU95" s="170" t="e">
        <f t="shared" ca="1" si="431"/>
        <v>#N/A</v>
      </c>
      <c r="NV95" s="170" t="e">
        <f t="shared" ca="1" si="340"/>
        <v>#N/A</v>
      </c>
      <c r="NW95" s="175" t="e">
        <f t="shared" ca="1" si="341"/>
        <v>#DIV/0!</v>
      </c>
      <c r="NX95" s="170" t="e">
        <f ca="1">MIN(Control!$C$72+$MU95, $NW95)</f>
        <v>#DIV/0!</v>
      </c>
      <c r="NY95" s="170" t="e">
        <f ca="1">IF($MT95&lt;=$NX95,MIN(Control!$C$72+$NB95,$NX95-$MT95),0)</f>
        <v>#DIV/0!</v>
      </c>
      <c r="NZ95" s="54" t="e">
        <f ca="1">IF(Control!$C$114=1,  $CX95*($MX95-Control!$C$127), 0)</f>
        <v>#DIV/0!</v>
      </c>
      <c r="OA95" s="170" t="e">
        <f t="shared" ca="1" si="342"/>
        <v>#DIV/0!</v>
      </c>
      <c r="OB95" s="170" t="e">
        <f ca="1">IF($NA95 &lt;=$NY95, MIN(Control!$C$72, $NY95-$NA95), 0)</f>
        <v>#DIV/0!</v>
      </c>
      <c r="OC95" s="168" t="e">
        <f t="shared" ca="1" si="343"/>
        <v>#DIV/0!</v>
      </c>
      <c r="OD95" s="168" t="e">
        <f t="shared" ca="1" si="432"/>
        <v>#DIV/0!</v>
      </c>
      <c r="OE95" s="170">
        <f ca="1">Control!$C$73*$I95</f>
        <v>0</v>
      </c>
      <c r="OF95" s="176" t="e">
        <f t="shared" ca="1" si="344"/>
        <v>#DIV/0!</v>
      </c>
      <c r="OG95" s="168" t="e">
        <f t="shared" ca="1" si="345"/>
        <v>#DIV/0!</v>
      </c>
      <c r="OH95" s="168" t="e">
        <f t="shared" ca="1" si="346"/>
        <v>#DIV/0!</v>
      </c>
      <c r="OI95" s="168" t="e">
        <f t="shared" ca="1" si="347"/>
        <v>#DIV/0!</v>
      </c>
      <c r="OJ95" s="168" t="e">
        <f t="shared" ca="1" si="348"/>
        <v>#DIV/0!</v>
      </c>
      <c r="OK95" s="204" t="e">
        <f t="shared" ca="1" si="349"/>
        <v>#DIV/0!</v>
      </c>
      <c r="OL95" s="177">
        <f>Control!$C$127</f>
        <v>0.15</v>
      </c>
      <c r="OM95" s="182" t="e">
        <f t="shared" ca="1" si="350"/>
        <v>#N/A</v>
      </c>
      <c r="ON95" s="177">
        <f>Control!$C$128</f>
        <v>0.35</v>
      </c>
      <c r="OO95" s="182" t="e">
        <f t="shared" ca="1" si="351"/>
        <v>#N/A</v>
      </c>
      <c r="OP95" s="138">
        <f t="shared" ca="1" si="433"/>
        <v>0</v>
      </c>
      <c r="OQ95" s="138" t="e">
        <f t="shared" ca="1" si="456"/>
        <v>#DIV/0!</v>
      </c>
      <c r="OR95" s="138" t="e">
        <f t="shared" ca="1" si="434"/>
        <v>#DIV/0!</v>
      </c>
      <c r="OS95" s="137" t="e">
        <f t="shared" ca="1" si="457"/>
        <v>#DIV/0!</v>
      </c>
      <c r="OT95" s="139" t="e">
        <f t="shared" ca="1" si="458"/>
        <v>#DIV/0!</v>
      </c>
      <c r="OU95" s="138" t="e">
        <f t="shared" ca="1" si="459"/>
        <v>#N/A</v>
      </c>
      <c r="OV95" s="138" t="e">
        <f t="shared" ca="1" si="460"/>
        <v>#DIV/0!</v>
      </c>
      <c r="OW95" s="138" t="e">
        <f t="shared" ca="1" si="435"/>
        <v>#DIV/0!</v>
      </c>
      <c r="OX95" s="138" t="e">
        <f t="shared" ca="1" si="436"/>
        <v>#DIV/0!</v>
      </c>
      <c r="OY95" s="138" t="e">
        <f t="shared" ca="1" si="437"/>
        <v>#DIV/0!</v>
      </c>
      <c r="OZ95" s="138" t="e">
        <f t="shared" ca="1" si="352"/>
        <v>#DIV/0!</v>
      </c>
      <c r="PA95" s="138" t="e">
        <f t="shared" ca="1" si="353"/>
        <v>#DIV/0!</v>
      </c>
      <c r="PB95" s="55">
        <f>IF(Control!$C$61="T", IF(Control!$C$65="F", IF($AH$6-Control!$C$60&lt;0,0,1), IF(365+$AH$6-Control!$C$60&lt;0,0,1)),0)</f>
        <v>0</v>
      </c>
      <c r="PC95" s="55">
        <f ca="1">IF(Control!$C$65="F", IF($AH$6-$HF95&lt;0,0,1), IF(365+$AH$6-$HF95&lt;0,0,1))</f>
        <v>1</v>
      </c>
      <c r="PD95" s="444">
        <f>Control!$C$118</f>
        <v>1500</v>
      </c>
      <c r="PE95" s="180" t="e">
        <f t="shared" ca="1" si="354"/>
        <v>#N/A</v>
      </c>
      <c r="PF95" s="445">
        <f t="shared" ca="1" si="438"/>
        <v>0.71612369323045078</v>
      </c>
      <c r="PT95" s="186"/>
      <c r="PU95" s="186"/>
      <c r="PV95" s="94"/>
      <c r="PW95" s="94"/>
      <c r="PX95" s="94"/>
      <c r="PY95" s="94"/>
      <c r="PZ95" s="94"/>
      <c r="QA95" s="94"/>
      <c r="QB95" s="94"/>
      <c r="QC95" s="94"/>
      <c r="QD95" s="94"/>
      <c r="QE95" s="94"/>
      <c r="QF95" s="94"/>
      <c r="QG95" s="94"/>
      <c r="QH95" s="94"/>
      <c r="QI95" s="94"/>
      <c r="QJ95" s="94"/>
      <c r="QK95" s="94"/>
      <c r="QL95" s="94"/>
      <c r="QM95" s="94"/>
      <c r="QN95" s="94"/>
      <c r="QO95" s="94"/>
      <c r="QP95" s="94"/>
    </row>
    <row r="96" spans="1:458" s="2" customFormat="1" x14ac:dyDescent="0.2">
      <c r="A96" s="395">
        <v>1</v>
      </c>
      <c r="B96" s="396">
        <v>4</v>
      </c>
      <c r="C96" s="387">
        <f ca="1">Weather_data!$B95</f>
        <v>0</v>
      </c>
      <c r="D96" s="388">
        <f ca="1">Weather_data!$F95</f>
        <v>0</v>
      </c>
      <c r="E96" s="388">
        <f ca="1">Weather_data!$E95</f>
        <v>0</v>
      </c>
      <c r="F96" s="388">
        <f t="shared" ca="1" si="355"/>
        <v>0</v>
      </c>
      <c r="G96" s="388">
        <f ca="1">AVERAGE($D96:$E96)+Control!$B$9</f>
        <v>0</v>
      </c>
      <c r="H96" s="388">
        <f ca="1">Weather_data!$G95</f>
        <v>0</v>
      </c>
      <c r="I96" s="388">
        <f ca="1">Weather_data!$I95</f>
        <v>0</v>
      </c>
      <c r="J96" s="388">
        <f ca="1">Weather_data!$H95</f>
        <v>0</v>
      </c>
      <c r="K96" s="389">
        <f ca="1">Weather_data!$D95</f>
        <v>0</v>
      </c>
      <c r="L96" s="388" t="e">
        <f t="shared" ca="1" si="356"/>
        <v>#N/A</v>
      </c>
      <c r="M96" s="388" t="e">
        <f t="shared" ca="1" si="234"/>
        <v>#N/A</v>
      </c>
      <c r="N96" s="388">
        <f t="shared" ca="1" si="235"/>
        <v>-3.8088674022933196E-5</v>
      </c>
      <c r="O96" s="388">
        <f t="shared" ca="1" si="357"/>
        <v>3.8088674022933197E-4</v>
      </c>
      <c r="P96" s="390">
        <v>3</v>
      </c>
      <c r="Q96" s="388">
        <f ca="1">MAX($G96-Control!$C$107,0)</f>
        <v>0</v>
      </c>
      <c r="R96" s="388">
        <f t="shared" ca="1" si="358"/>
        <v>0</v>
      </c>
      <c r="S96" s="388">
        <f t="shared" ca="1" si="236"/>
        <v>0</v>
      </c>
      <c r="T96" s="388">
        <f t="shared" ca="1" si="237"/>
        <v>0</v>
      </c>
      <c r="U96" s="59">
        <f t="shared" ca="1" si="238"/>
        <v>0</v>
      </c>
      <c r="V96" s="391">
        <f ca="1">MAX(0,MIN(Control!$C$100-Control!$C$99,$G96-Control!$C$99)*Control!$C$63)</f>
        <v>0</v>
      </c>
      <c r="W96" s="388">
        <f t="shared" ca="1" si="359"/>
        <v>0</v>
      </c>
      <c r="X96" s="388">
        <f t="shared" ca="1" si="360"/>
        <v>0.6110000000000001</v>
      </c>
      <c r="Y96" s="388">
        <f t="shared" ca="1" si="239"/>
        <v>0</v>
      </c>
      <c r="Z96" s="388">
        <f t="shared" ca="1" si="361"/>
        <v>0.61058800000000002</v>
      </c>
      <c r="AA96" s="388">
        <f t="shared" ca="1" si="240"/>
        <v>0.6018</v>
      </c>
      <c r="AB96" s="388">
        <f ca="1">101.3*EXP(-0.034*Control!$C$66/($G96+273))</f>
        <v>100.69623283836242</v>
      </c>
      <c r="AC96" s="392">
        <f t="shared" ca="1" si="241"/>
        <v>4.3460251046025113E-2</v>
      </c>
      <c r="AD96" s="392">
        <f t="shared" ca="1" si="242"/>
        <v>4.4450382862832649E-2</v>
      </c>
      <c r="AE96" s="388">
        <f t="shared" ca="1" si="243"/>
        <v>0</v>
      </c>
      <c r="AF96" s="388">
        <f ca="1">MAX(0,$G96-Control!$C$92)</f>
        <v>0</v>
      </c>
      <c r="AG96" s="393">
        <f t="shared" ca="1" si="244"/>
        <v>92</v>
      </c>
      <c r="AH96" s="389">
        <f t="shared" ca="1" si="245"/>
        <v>92</v>
      </c>
      <c r="AI96" s="388">
        <f t="shared" ca="1" si="362"/>
        <v>7.3289252137525726E-2</v>
      </c>
      <c r="AJ96" s="388">
        <f ca="1">IF(Control!$C$60&lt;=0,$HH96,$HI96)</f>
        <v>1</v>
      </c>
      <c r="AK96" s="388">
        <f t="shared" ca="1" si="246"/>
        <v>0.20657047585247953</v>
      </c>
      <c r="AL96" s="388">
        <f t="shared" ca="1" si="247"/>
        <v>-2.8853100464409919E-18</v>
      </c>
      <c r="AM96" s="388">
        <f t="shared" ca="1" si="248"/>
        <v>0.20657047585247953</v>
      </c>
      <c r="AN96" s="388">
        <f t="shared" ca="1" si="249"/>
        <v>8.1681367334018692E-2</v>
      </c>
      <c r="AO96" s="388">
        <f ca="1">-0.10453/COS(Control!$B$8*PI()/180)*COS(AN96)</f>
        <v>-0.16921878985133504</v>
      </c>
      <c r="AP96" s="388">
        <f ca="1">ACOS(AO96-TAN(Control!$B$8*PI()/180)*TAN(AN96))</f>
        <v>1.8483453566472661</v>
      </c>
      <c r="AQ96" s="388">
        <f t="shared" ca="1" si="363"/>
        <v>0</v>
      </c>
      <c r="AR96" s="394">
        <f t="shared" ca="1" si="250"/>
        <v>0</v>
      </c>
      <c r="AS96" s="436">
        <f ca="1">IF(Control!$B$18=2,(IF(OR($AH96=Control!$B$175,$AH96=Control!$B$176,$AH96=Control!$B$177,$AH96=Control!$B$178,$AH96=Control!$B$179,$AH96=Control!$B$180,$AH96=Control!$B$181,$AH96=Control!$B$182,$AH96=Control!$B$183,$AH96=Control!$B$184,$AH96=Control!$B$185),1,0)),0)</f>
        <v>0</v>
      </c>
      <c r="AT96" s="436">
        <f>IF(Control!$B$20=8,IF(AND($AH96&gt;=Control!$B$172,$AH96&lt;=Control!$B$173),1,0),0)</f>
        <v>0</v>
      </c>
      <c r="AU96" s="436">
        <f>IF(Control!$B$20=8,IF($AV95=1,1*$AT96,IF($AT96=1,$AU95+1,$AU95)),0)</f>
        <v>0</v>
      </c>
      <c r="AV96" s="436">
        <f>IF(Control!$B$20=8,IF($AU96&gt;=Control!$B$174,1,0),0)</f>
        <v>0</v>
      </c>
      <c r="AW96" s="436">
        <f ca="1">IF(AND(Control!$B$18=2,Control!$B$171=1), $AV96, $AS96)</f>
        <v>0</v>
      </c>
      <c r="AX96" s="436" t="e">
        <f ca="1">IF(AND(Control!$B$18=1,$EU96&gt;=Control!$B$19),-$AY96,IF(AND(Control!$B$18=2,$AW96=1,$EU96&gt;$DS96),-$AY96, IF(Control!$C$108=0,0, IF(Control!$C$108&lt;&gt;0,1))))</f>
        <v>#N/A</v>
      </c>
      <c r="AY96" s="436" t="e">
        <f t="shared" ca="1" si="364"/>
        <v>#N/A</v>
      </c>
      <c r="AZ96" s="436" t="e">
        <f ca="1">IF(AND(Control!$B$18=1,$EB96&gt;Control!$B$19),$AZ95+1, IF(AND(Control!$B$18=2, $AW96=1, $EB96&gt;$DS96), $AZ95+1,$AZ95))</f>
        <v>#N/A</v>
      </c>
      <c r="BA96" s="587">
        <f>IF(Control!$C$81=0,1,IF($AH96&gt;=Control!$C$82,1,0))</f>
        <v>1</v>
      </c>
      <c r="BB96" s="140" t="e">
        <f ca="1">IF($BA96&gt;$BA95,Control!$C$83,IF($AW96&gt;0,$AW96*Control!$C$84,IF(AND(Control!$B$18=1,EN95&lt;&gt;0),Control!$C$84,0)))</f>
        <v>#N/A</v>
      </c>
      <c r="BC96" s="140" t="e">
        <f t="shared" ca="1" si="365"/>
        <v>#N/A</v>
      </c>
      <c r="BD96" s="140" t="e">
        <f ca="1">BC96*IF(OR($G96&lt;Control!$C$92,$G96&gt;Control!$C$95),0,IF(AND($G96&gt;=Control!$C$92,$G96&lt;=Control!$C$93),$G96-Control!$C$92,IF(AND($G96&gt;Control!$C$93,$G96&lt;=Control!$C$94),Control!$C$93-Control!$C$92,IF(AND($G96&gt;Control!$C$94,$G96&lt;=Control!$C$95),(Control!$C$93-Control!$C$92)*(Control!$C$94-$G96)/(Control!$C$95-Control!$C$94)))))</f>
        <v>#N/A</v>
      </c>
      <c r="BE96" s="140" t="e">
        <f t="shared" ca="1" si="366"/>
        <v>#N/A</v>
      </c>
      <c r="BF96" s="140" t="e">
        <f ca="1">IF($BE96&lt;=Control!$C$86,$BE96,Control!$C$86-$BE96)</f>
        <v>#N/A</v>
      </c>
      <c r="BG96" s="140" t="e">
        <f ca="1">IF(AND($AW96=1,Control!$C$84&lt;9),1,IF($BE96&gt;=Control!$C$86,0,$BC96))</f>
        <v>#N/A</v>
      </c>
      <c r="BH96" s="404" t="e">
        <f ca="1">IF($BG96=0,0,IF($BE96&lt;=Control!$C$86,$BC96*9*($BF96/Control!$C$86),0))</f>
        <v>#N/A</v>
      </c>
      <c r="BI96" s="140" t="e">
        <f ca="1">IF($BG96=1,0,IF($BE96&gt;=Control!$C$86,1,IF(AND($BB96&lt;21,$BB96&gt;=9),1,$BM95)))</f>
        <v>#N/A</v>
      </c>
      <c r="BJ96" s="140" t="e">
        <f ca="1">IF($BF96&lt;0,-$BF96,$BI96*IF(OR($G96&lt;Control!$C$92,$G96&gt;Control!$C$95),0,IF(AND($G96&gt;=Control!$C$92,$G96&lt;=Control!$C$93),$G96-Control!$C$92,IF(AND($G96&gt;Control!$C$93,$G96&lt;=Control!$C$94),Control!$C$93-Control!$C$92,IF(AND($G96&gt;Control!$C$94,$G96&lt;=Control!$C$95),(Control!$C$93-Control!$C$92)*(Control!$C$94-$G96)/(Control!$C$95-Control!$C$94))))))</f>
        <v>#N/A</v>
      </c>
      <c r="BK96" s="140" t="e">
        <f t="shared" ca="1" si="367"/>
        <v>#N/A</v>
      </c>
      <c r="BL96" s="140" t="e">
        <f ca="1">IF($BK96&lt;=Control!$C$87,$BK96,Control!$C$87-$BK96)</f>
        <v>#N/A</v>
      </c>
      <c r="BM96" s="140" t="e">
        <f ca="1">IF(AND($BB96&gt;=9,$BB96&lt;21),1,IF($BK96&gt;=Control!$C$87,0,$BI96))</f>
        <v>#N/A</v>
      </c>
      <c r="BN96" s="404" t="e">
        <f ca="1">IF($BM96=0,0,IF($BK96&lt;=Control!$C$87,$BI96*(9+(21-9)*($BL96/Control!$C$87)),0))</f>
        <v>#N/A</v>
      </c>
      <c r="BO96" s="140" t="e">
        <f ca="1">IF($BM96=1,0,IF($BK96&gt;=Control!$C$87,1,IF(AND($BB96&lt;30,$BB96&gt;=21),1,$BS95)))</f>
        <v>#N/A</v>
      </c>
      <c r="BP96" s="140" t="e">
        <f ca="1">IF($BL96&lt;0,-$BL96,$BO96*IF(OR($G96&lt;Control!$C$92,$G96&gt;Control!$C$95),0,IF(AND($G96&gt;=Control!$C$92,$G96&lt;=Control!$C$93),$G96-Control!$C$92,IF(AND($G96&gt;Control!$C$93,$G96&lt;=Control!$C$94),Control!$C$93-Control!$C$92,IF(AND($G96&gt;Control!$C$94,$G96&lt;=Control!$C$95),(Control!$C$93-Control!$C$92)*(Control!$C$94-$G96)/(Control!$C$95-Control!$C$94))))))</f>
        <v>#N/A</v>
      </c>
      <c r="BQ96" s="140" t="e">
        <f t="shared" ca="1" si="251"/>
        <v>#N/A</v>
      </c>
      <c r="BR96" s="140" t="e">
        <f ca="1">IF($BQ96&lt;=Control!$C$88,$BQ96,Control!$C$88-$BQ96)</f>
        <v>#N/A</v>
      </c>
      <c r="BS96" s="140" t="e">
        <f ca="1">IF(AND($BB96&gt;=21,$BB96&lt;30),1,IF($BQ96&gt;=Control!$C$88,0,$BO96))</f>
        <v>#N/A</v>
      </c>
      <c r="BT96" s="404" t="e">
        <f ca="1">IF($BS96=0,0,IF($BQ96&lt;=Control!$C$88,$BO96*(21+(30-21)*(BR96/Control!$C$88)),0))</f>
        <v>#N/A</v>
      </c>
      <c r="BU96" s="140" t="e">
        <f ca="1">IF(BG96+BM96+BS96=1,0,IF(OR(AND($BB96&lt;60,$BB96&gt;=30),$BQ96&gt;=Control!$C$88),1*$BA96,$BY95))</f>
        <v>#N/A</v>
      </c>
      <c r="BV96" s="140" t="e">
        <f ca="1">IF($BR96&lt;0,-$BR96,$BU96*IF(OR($G96&lt;Control!$C$92,$G96&gt;Control!$C$95),0,IF(AND($G96&gt;=Control!$C$92,$G96&lt;=Control!$C$93),$G96-Control!$C$92,IF(AND($G96&gt;Control!$C$93,$G96&lt;=Control!$C$94),Control!$C$93-Control!$C$92,IF(AND($G96&gt;Control!$C$94,$G96&lt;=Control!$C$95),(Control!$C$93-Control!$C$92)*(Control!$C$94-$G96)/(Control!$C$95-Control!$C$94))))))</f>
        <v>#N/A</v>
      </c>
      <c r="BW96" s="140" t="e">
        <f t="shared" ca="1" si="252"/>
        <v>#N/A</v>
      </c>
      <c r="BX96" s="140" t="e">
        <f ca="1">IF($BW96&lt;=Control!$C$89,$BW96,Control!$C$89-$BW96)</f>
        <v>#N/A</v>
      </c>
      <c r="BY96" s="140" t="e">
        <f ca="1">IF(AND($AJ96&gt;=30,$AJ96&lt;60),1,IF($BW96&gt;=Control!$C$89,0,$BU96))</f>
        <v>#N/A</v>
      </c>
      <c r="BZ96" s="404" t="e">
        <f ca="1">IF($BY96=0,0,IF($BW96&lt;=Control!$C$89,$BU96*(30+(60-30)*(BX96/Control!$C$89)),0))</f>
        <v>#N/A</v>
      </c>
      <c r="CA96" s="140" t="e">
        <f ca="1">IF($BG96+$BM96+$BS96+$BY96=1,0,IF(OR(AND($BB96&lt;65,$BB96&gt;=60),$BW96&gt;=Control!$C$89),1*$BA96,$CE95))</f>
        <v>#N/A</v>
      </c>
      <c r="CB96" s="140" t="e">
        <f ca="1">IF($BX96&lt;0,-$BX96,$CA96*IF(OR($G96&lt;Control!$C$92,$G96&gt;Control!$C$95),0,IF(AND($G96&gt;=Control!$C$92,$G96&lt;=Control!$C$93),$G96-Control!$C$92,IF(AND($G96&gt;Control!$C$93,$G96&lt;=Control!$C$94),Control!$C$93-Control!$C$92,IF(AND($G96&gt;Control!$C$94,$G96&lt;=Control!$C$95),(Control!$C$93-Control!$C$92)*(Control!$C$94-$G96)/(Control!$C$95-Control!$C$94))))))</f>
        <v>#N/A</v>
      </c>
      <c r="CC96" s="140" t="e">
        <f t="shared" ca="1" si="368"/>
        <v>#N/A</v>
      </c>
      <c r="CD96" s="140" t="e">
        <f ca="1">IF($CC96&lt;=Control!$C$90,$CC96,Control!$C$90-$CC96)</f>
        <v>#N/A</v>
      </c>
      <c r="CE96" s="140" t="e">
        <f ca="1">IF(AND($BB96&gt;=60,$BB96&lt;65),1,IF($CC96&gt;=Control!$C$90,0,$CA96))</f>
        <v>#N/A</v>
      </c>
      <c r="CF96" s="404" t="e">
        <f ca="1">IF($CE96=0,0,IF($CC96&lt;=Control!$C$90,$CA96*(60+(65-60)*(CD96/Control!$C$90)),0))</f>
        <v>#N/A</v>
      </c>
      <c r="CG96" s="140" t="e">
        <f ca="1">IF($BG96+$BM96+$BS96+$BY96+$CE96=1,0,IF(OR(AND($BB96&lt;90,$BB96&gt;=65),$CC96&gt;=Control!$C$90),$BA96,$CK95))</f>
        <v>#N/A</v>
      </c>
      <c r="CH96" s="140" t="e">
        <f ca="1">IF($CD96&lt;0,-$CD96,$CG96*IF(OR($G96&lt;Control!$C$92,$G96&gt;Control!$C$95),0,IF(AND($G96&gt;=Control!$C$92,$G96&lt;=Control!$C$93),$G96-Control!$C$92,IF(AND($G96&gt;Control!$C$93,$G96&lt;=Control!$C$94),Control!$C$93-Control!$C$92,IF(AND($G96&gt;Control!$C$94,$G96&lt;=Control!$C$95),(Control!$C$93-Control!$C$92)*(Control!$C$94-$G96)/(Control!$C$95-Control!$C$94))))))</f>
        <v>#N/A</v>
      </c>
      <c r="CI96" s="140" t="e">
        <f t="shared" ca="1" si="369"/>
        <v>#N/A</v>
      </c>
      <c r="CJ96" s="140" t="e">
        <f ca="1">IF($CI96&lt;=Control!$C$91,$CI96,Control!$C$91-$CI96)</f>
        <v>#N/A</v>
      </c>
      <c r="CK96" s="140" t="e">
        <f ca="1">IF(AND($BB96&gt;=65,$BB96&lt;90),1,IF($CI96&gt;=Control!$C$91,0,$CG96))</f>
        <v>#N/A</v>
      </c>
      <c r="CL96" s="404" t="e">
        <f ca="1">IF($CK96=0,0,IF($CI96&lt;=Control!$C$91,$CG96*(65+(90-65)*($CJ96/Control!$C$91)),0))</f>
        <v>#N/A</v>
      </c>
      <c r="CM96" s="140" t="e">
        <f ca="1">IF($BG96+$BM96+$BS96+$BY96+$CE96+$CK96=1,0,IF(OR($BB96&gt;=90,$CI96&gt;=Control!$C$91),$BA96,$CM95))</f>
        <v>#N/A</v>
      </c>
      <c r="CN96" s="140" t="e">
        <f t="shared" ca="1" si="370"/>
        <v>#N/A</v>
      </c>
      <c r="CO96" s="140" t="e">
        <f t="shared" ca="1" si="371"/>
        <v>#N/A</v>
      </c>
      <c r="CP96" s="140" t="e">
        <f t="shared" ca="1" si="372"/>
        <v>#N/A</v>
      </c>
      <c r="CQ96" s="141" t="e">
        <f ca="1">VLOOKUP($CP96,Control!$B$86:$G$91,6)</f>
        <v>#N/A</v>
      </c>
      <c r="CR96" s="141" t="e">
        <f ca="1">(1-$CQ96)*VLOOKUP($CP96,Control!$B$86:$D$91,3)</f>
        <v>#N/A</v>
      </c>
      <c r="CS96" s="141" t="e">
        <f ca="1">(1-$CQ96)*VLOOKUP($CP96,Control!$B$86:$E$91,4)</f>
        <v>#N/A</v>
      </c>
      <c r="CT96" s="141" t="e">
        <f ca="1">(1-$CQ96)*VLOOKUP($CP96,Control!$B$86:$F$91,5)</f>
        <v>#N/A</v>
      </c>
      <c r="CU96" s="141">
        <f t="shared" ca="1" si="373"/>
        <v>0</v>
      </c>
      <c r="CV96" s="583">
        <f t="shared" ca="1" si="374"/>
        <v>0</v>
      </c>
      <c r="CW96" s="142">
        <f t="shared" ca="1" si="375"/>
        <v>92</v>
      </c>
      <c r="CX96" s="612" t="e">
        <f ca="1">IF(Control!$C$114=1,(MIN(Control!$C$120*(IF($NT96-0.01&lt;0,0,1)),Control!$C$119-$CY96)))</f>
        <v>#DIV/0!</v>
      </c>
      <c r="CY96" s="143" t="e">
        <f t="shared" ca="1" si="376"/>
        <v>#N/A</v>
      </c>
      <c r="CZ96" s="144">
        <f t="shared" ca="1" si="253"/>
        <v>0</v>
      </c>
      <c r="DA96" s="144">
        <f t="shared" ca="1" si="254"/>
        <v>0</v>
      </c>
      <c r="DB96" s="144" t="e">
        <f t="shared" ca="1" si="255"/>
        <v>#N/A</v>
      </c>
      <c r="DC96" s="144" t="e">
        <f t="shared" ca="1" si="256"/>
        <v>#N/A</v>
      </c>
      <c r="DD96" s="144" t="e">
        <f t="shared" ca="1" si="461"/>
        <v>#N/A</v>
      </c>
      <c r="DE96" s="143" t="e">
        <f t="shared" ca="1" si="377"/>
        <v>#N/A</v>
      </c>
      <c r="DF96" s="145" t="e">
        <f ca="1">$DR96*EXP(-Control!$C$158*(1-$KH96))</f>
        <v>#N/A</v>
      </c>
      <c r="DG96" s="146" t="e">
        <f ca="1">IF(Control!$C$114=1, $DF96*$EY96, 0)</f>
        <v>#N/A</v>
      </c>
      <c r="DH96" s="147" t="e">
        <f t="shared" ca="1" si="378"/>
        <v>#N/A</v>
      </c>
      <c r="DI96" s="144" t="e">
        <f t="shared" ca="1" si="439"/>
        <v>#N/A</v>
      </c>
      <c r="DJ96" s="147" t="e">
        <f ca="1">$EF96*Control!$C$109</f>
        <v>#N/A</v>
      </c>
      <c r="DK96" s="144" t="e">
        <f t="shared" ca="1" si="379"/>
        <v>#N/A</v>
      </c>
      <c r="DL96" s="144" t="e">
        <f t="shared" ca="1" si="257"/>
        <v>#N/A</v>
      </c>
      <c r="DM96" s="144" t="e">
        <f ca="1">IF(Control!$C$114=1, (1-EXP(-Control!$C$96*$DK96))*$AR96, 0)</f>
        <v>#N/A</v>
      </c>
      <c r="DN96" s="144">
        <f t="shared" ca="1" si="380"/>
        <v>0</v>
      </c>
      <c r="DO96" s="148">
        <f>Control!$C$97</f>
        <v>4</v>
      </c>
      <c r="DP96" s="145" t="e">
        <f t="shared" ca="1" si="381"/>
        <v>#N/A</v>
      </c>
      <c r="DQ96" s="145" t="e">
        <f ca="1">IF(AND($CP96&gt;=0,$CP96&lt;=90),Control!$C$111,Control!$C$111)</f>
        <v>#N/A</v>
      </c>
      <c r="DR96" s="145" t="e">
        <f t="shared" ca="1" si="258"/>
        <v>#N/A</v>
      </c>
      <c r="DS96" s="143" t="e">
        <f ca="1">Control!$B$22/$DR96</f>
        <v>#N/A</v>
      </c>
      <c r="DT96" s="149" t="e">
        <f ca="1">IF(AND(Control!$C$114=1,$KH96&lt;1),$IM96*$DF96, 0)</f>
        <v>#N/A</v>
      </c>
      <c r="DU96" s="144" t="e">
        <f t="shared" ca="1" si="382"/>
        <v>#N/A</v>
      </c>
      <c r="DV96" s="144">
        <f ca="1">IF($G96-Control!$C$107&lt;=0, 0, 0.83*LN(MAX($G96, 3))-0.8924)</f>
        <v>0</v>
      </c>
      <c r="DW96" s="144" t="e">
        <f t="shared" ca="1" si="259"/>
        <v>#N/A</v>
      </c>
      <c r="DX96" s="150" t="e">
        <f ca="1">MAX(0.01*(1+$CU96/Control!$C$102),0.05*($DK96-Control!$C$97)/Control!$C$97)</f>
        <v>#N/A</v>
      </c>
      <c r="DY96" s="151" t="e">
        <f ca="1">IF(Control!$C$114=1, $DI96*$FS96, 0)</f>
        <v>#N/A</v>
      </c>
      <c r="DZ96" s="196" t="e">
        <f t="shared" ca="1" si="383"/>
        <v>#N/A</v>
      </c>
      <c r="EA96" s="152">
        <f t="shared" ca="1" si="384"/>
        <v>92</v>
      </c>
      <c r="EB96" s="153" t="e">
        <f t="shared" ca="1" si="385"/>
        <v>#N/A</v>
      </c>
      <c r="EC96" s="153" t="e">
        <f t="shared" ca="1" si="386"/>
        <v>#N/A</v>
      </c>
      <c r="ED96" s="154" t="e">
        <f ca="1">IF(Control!$C$114=1, $HM96*$FY96-$FD96, 0)</f>
        <v>#DIV/0!</v>
      </c>
      <c r="EE96" s="155" t="e">
        <f ca="1">IF(Control!$C$114=1, $HM96*$FZ96-$FF96, 0)</f>
        <v>#DIV/0!</v>
      </c>
      <c r="EF96" s="153" t="e">
        <f t="shared" ca="1" si="440"/>
        <v>#N/A</v>
      </c>
      <c r="EG96" s="155" t="e">
        <f ca="1">IF(Control!$C$114=1, $GX96*$FW96-$FI96, 0)</f>
        <v>#DIV/0!</v>
      </c>
      <c r="EH96" s="153" t="e">
        <f t="shared" ca="1" si="387"/>
        <v>#N/A</v>
      </c>
      <c r="EI96" s="156" t="e">
        <f t="shared" ca="1" si="388"/>
        <v>#N/A</v>
      </c>
      <c r="EJ96" s="155" t="e">
        <f ca="1">IF(Control!$C$114=1, $HM96*$GB96, 0)</f>
        <v>#DIV/0!</v>
      </c>
      <c r="EK96" s="153" t="e">
        <f t="shared" ca="1" si="441"/>
        <v>#N/A</v>
      </c>
      <c r="EL96" s="153" t="e">
        <f t="shared" ca="1" si="260"/>
        <v>#N/A</v>
      </c>
      <c r="EM96" s="153" t="e">
        <f t="shared" ca="1" si="261"/>
        <v>#N/A</v>
      </c>
      <c r="EN96" s="153" t="e">
        <f ca="1">IF(Control!$C$108=1,IF(AND(Control!$B$18=1,$EB96&gt;=Control!$B$19),$EB96-$DS96,IF(AND(Control!$B$18=2,$AW96=1,$EB96&gt;$DS96),$EB96-$DS96,0)))</f>
        <v>#N/A</v>
      </c>
      <c r="EO96" s="153" t="e">
        <f ca="1">IF(Control!$C$108=1,IF(AND(Control!$B$18=1,$EB96&gt;=Control!$B$19),$EF96,IF(AND(Control!$B$18=2,$AW96=1),$EF96,0)))</f>
        <v>#N/A</v>
      </c>
      <c r="EP96" s="153" t="e">
        <f ca="1">IF(Control!$C$108=1,IF(AND(Control!$B$18=1,$EB96&gt;=Control!$B$19),$EK96,IF(AND(Control!$B$18=2,$AW96=1),$EK96,0)))</f>
        <v>#N/A</v>
      </c>
      <c r="EQ96" s="153" t="e">
        <f t="shared" ca="1" si="389"/>
        <v>#N/A</v>
      </c>
      <c r="ER96" s="153" t="e">
        <f t="shared" ca="1" si="390"/>
        <v>#N/A</v>
      </c>
      <c r="ES96" s="153" t="e">
        <f t="shared" ca="1" si="442"/>
        <v>#N/A</v>
      </c>
      <c r="ET96" s="153" t="e">
        <f t="shared" ca="1" si="443"/>
        <v>#N/A</v>
      </c>
      <c r="EU96" s="153" t="e">
        <f t="shared" ca="1" si="391"/>
        <v>#N/A</v>
      </c>
      <c r="EV96" s="153" t="e">
        <f t="shared" ca="1" si="262"/>
        <v>#N/A</v>
      </c>
      <c r="EW96" s="153" t="e">
        <f t="shared" ca="1" si="263"/>
        <v>#N/A</v>
      </c>
      <c r="EX96" s="153" t="e">
        <f t="shared" ca="1" si="264"/>
        <v>#N/A</v>
      </c>
      <c r="EY96" s="157" t="e">
        <f t="shared" ca="1" si="265"/>
        <v>#DIV/0!</v>
      </c>
      <c r="EZ96" s="154" t="e">
        <f t="shared" ca="1" si="266"/>
        <v>#DIV/0!</v>
      </c>
      <c r="FA96" s="153" t="e">
        <f t="shared" ca="1" si="392"/>
        <v>#N/A</v>
      </c>
      <c r="FB96" s="153" t="e">
        <f t="shared" ca="1" si="267"/>
        <v>#N/A</v>
      </c>
      <c r="FC96" s="193" t="e">
        <f t="shared" ca="1" si="268"/>
        <v>#N/A</v>
      </c>
      <c r="FD96" s="158" t="e">
        <f t="shared" ca="1" si="393"/>
        <v>#N/A</v>
      </c>
      <c r="FE96" s="158" t="e">
        <f t="shared" ca="1" si="394"/>
        <v>#N/A</v>
      </c>
      <c r="FF96" s="159" t="e">
        <f t="shared" ca="1" si="269"/>
        <v>#N/A</v>
      </c>
      <c r="FG96" s="160" t="e">
        <f t="shared" ca="1" si="395"/>
        <v>#N/A</v>
      </c>
      <c r="FH96" s="158" t="e">
        <f t="shared" ca="1" si="396"/>
        <v>#N/A</v>
      </c>
      <c r="FI96" s="159" t="e">
        <f t="shared" ca="1" si="270"/>
        <v>#N/A</v>
      </c>
      <c r="FJ96" s="160" t="e">
        <f t="shared" ca="1" si="397"/>
        <v>#N/A</v>
      </c>
      <c r="FK96" s="160" t="e">
        <f t="shared" ca="1" si="271"/>
        <v>#N/A</v>
      </c>
      <c r="FL96" s="160" t="e">
        <f t="shared" ca="1" si="444"/>
        <v>#N/A</v>
      </c>
      <c r="FM96" s="160" t="e">
        <f t="shared" ca="1" si="272"/>
        <v>#N/A</v>
      </c>
      <c r="FN96" s="158">
        <f t="shared" ca="1" si="398"/>
        <v>0.01</v>
      </c>
      <c r="FO96" s="160">
        <f>Control!$C$101</f>
        <v>50</v>
      </c>
      <c r="FP96" s="150" t="e">
        <f t="shared" ca="1" si="273"/>
        <v>#N/A</v>
      </c>
      <c r="FQ96" s="150" t="e">
        <f ca="1">MAX(0,(Control!$C$112*(($DK96-Control!$C$97)/Control!$C$97)))</f>
        <v>#N/A</v>
      </c>
      <c r="FR96" s="150" t="e">
        <f ca="1">(1-$NT96)*Control!$C$113</f>
        <v>#DIV/0!</v>
      </c>
      <c r="FS96" s="198" t="e">
        <f t="shared" ca="1" si="274"/>
        <v>#N/A</v>
      </c>
      <c r="FT96" s="161">
        <f t="shared" ca="1" si="399"/>
        <v>92</v>
      </c>
      <c r="FU96" s="162" t="e">
        <f ca="1">IF(Control!$B$34=1,VLOOKUP($CP96,Control!$B$86:$G$91,6),Control!$B$35)</f>
        <v>#N/A</v>
      </c>
      <c r="FV96" s="162" t="e">
        <f t="shared" ca="1" si="275"/>
        <v>#DIV/0!</v>
      </c>
      <c r="FW96" s="162" t="e">
        <f ca="1">IF(Control!$B$31=1,$FU96*$FV96,  $FU96)</f>
        <v>#N/A</v>
      </c>
      <c r="FX96" s="162" t="e">
        <f ca="1">IF(Control!$B$34=1,VLOOKUP($CP96,Control!$B$86:$G$91,3),Control!$B$36)</f>
        <v>#N/A</v>
      </c>
      <c r="FY96" s="162" t="e">
        <f t="shared" ca="1" si="276"/>
        <v>#N/A</v>
      </c>
      <c r="FZ96" s="162" t="e">
        <f ca="1">IF(Control!$B$34=1,VLOOKUP($CP96,Control!$B$86:$G$91,4),Control!$B$37)</f>
        <v>#N/A</v>
      </c>
      <c r="GA96" s="162" t="e">
        <f t="shared" ca="1" si="277"/>
        <v>#N/A</v>
      </c>
      <c r="GB96" s="162" t="e">
        <f ca="1">IF(Control!$B$34=1,VLOOKUP($CP96,Control!$B$86:$G$91,5),Control!$B$38)</f>
        <v>#N/A</v>
      </c>
      <c r="GC96" s="162" t="e">
        <f t="shared" ca="1" si="400"/>
        <v>#N/A</v>
      </c>
      <c r="GD96" s="162">
        <f t="shared" ca="1" si="278"/>
        <v>1</v>
      </c>
      <c r="GE96" s="162">
        <f t="shared" ca="1" si="279"/>
        <v>1</v>
      </c>
      <c r="GF96" s="162">
        <f ca="1">IF(AND(Control!$C$104=1, Control!$C$62="F"),$GE96,1)</f>
        <v>1</v>
      </c>
      <c r="GG96" s="162" t="e">
        <f ca="1">IF(Control!$B$16=40,0,IF(AND(Control!$B$16&gt;40,Control!$B$16&lt;=360),(Control!$B$16-40)*((1-0)/(360-40)),IF(AND(Control!$B$16&gt;360,Control!$B$16&lt;=720),(1+(Control!$B$16-360)*((1.25-1)/(720-360))),IF(AND(Control!$B$16&gt;720,Control!$B$16&lt;=1000),(1.25+(Control!$B$16-720)*((1.35-1.25)/(1000-720))),IF(AND(Control!$B$16&gt;1000,Control!$B$16&lt;=2000),(1.35+(Control!$B$16-1000)*0))))))</f>
        <v>#N/A</v>
      </c>
      <c r="GH96" s="162" t="e">
        <f t="shared" ca="1" si="280"/>
        <v>#N/A</v>
      </c>
      <c r="GI96" s="162">
        <f t="shared" ca="1" si="401"/>
        <v>0</v>
      </c>
      <c r="GJ96" s="162">
        <f t="shared" ca="1" si="281"/>
        <v>0</v>
      </c>
      <c r="GK96" s="162">
        <f t="shared" ca="1" si="402"/>
        <v>1</v>
      </c>
      <c r="GL96" s="162">
        <f t="shared" ca="1" si="282"/>
        <v>1</v>
      </c>
      <c r="GM96" s="162" t="e">
        <f ca="1">MAX(0,MIN(1,1-Control!$C$156*(1.0001-$KH96)^2))</f>
        <v>#N/A</v>
      </c>
      <c r="GN96" s="162" t="e">
        <f ca="1">IF(Control!$B$26=1,$KU96,$KX96)</f>
        <v>#N/A</v>
      </c>
      <c r="GO96" s="162" t="e">
        <f ca="1">IF($CP96&lt;=60,Control!$C$105,IF($CP96&gt;=90,Control!$C$106,Control!$C$105+($CP96-60)*((Control!$C$106-Control!$C$105)/(90-60))))</f>
        <v>#N/A</v>
      </c>
      <c r="GP96" s="162" t="e">
        <f t="shared" ca="1" si="283"/>
        <v>#N/A</v>
      </c>
      <c r="GQ96" s="162" t="e">
        <f t="shared" ca="1" si="403"/>
        <v>#N/A</v>
      </c>
      <c r="GR96" s="163" t="e">
        <f t="shared" ca="1" si="284"/>
        <v>#DIV/0!</v>
      </c>
      <c r="GS96" s="162" t="e">
        <f t="shared" ca="1" si="285"/>
        <v>#DIV/0!</v>
      </c>
      <c r="GT96" s="164" t="e">
        <f t="shared" ca="1" si="404"/>
        <v>#N/A</v>
      </c>
      <c r="GU96" s="162" t="e">
        <f t="shared" ca="1" si="405"/>
        <v>#N/A</v>
      </c>
      <c r="GV96" s="162" t="e">
        <f t="shared" ca="1" si="286"/>
        <v>#N/A</v>
      </c>
      <c r="GW96" s="162" t="e">
        <f t="shared" ca="1" si="287"/>
        <v>#DIV/0!</v>
      </c>
      <c r="GX96" s="162" t="e">
        <f t="shared" ca="1" si="406"/>
        <v>#DIV/0!</v>
      </c>
      <c r="GY96" s="162" t="e">
        <f t="shared" ca="1" si="407"/>
        <v>#DIV/0!</v>
      </c>
      <c r="GZ96" s="165" t="e">
        <f t="shared" ca="1" si="288"/>
        <v>#N/A</v>
      </c>
      <c r="HA96" s="162" t="e">
        <f ca="1">IF(Control!$C$114=1, $DI96*$FS96, 0)</f>
        <v>#N/A</v>
      </c>
      <c r="HB96" s="162" t="e">
        <f ca="1">$FA96/Control!$C$64</f>
        <v>#N/A</v>
      </c>
      <c r="HC96" s="162" t="e">
        <f t="shared" ca="1" si="289"/>
        <v>#DIV/0!</v>
      </c>
      <c r="HD96" s="162">
        <f ca="1">-ASIN(SIN(23.45*Control!$C$139)*COS(2*Control!$C$138*($AH96+10)/365))</f>
        <v>7.3289252137525726E-2</v>
      </c>
      <c r="HE96" s="165">
        <f t="shared" ca="1" si="408"/>
        <v>0</v>
      </c>
      <c r="HF96" s="166">
        <f ca="1">IF(AND(Control!$C$61="T",$HE96&gt;=Control!$C$103,Control!$C$114=0),$AH96,Control!$C$59)</f>
        <v>1</v>
      </c>
      <c r="HG96" s="166">
        <f ca="1">IF(AND(Control!$C$61="T",$HE96&gt;=Control!$C$103,Control!$C$114=0),$HF96,Control!$C$59)</f>
        <v>1</v>
      </c>
      <c r="HH96" s="165">
        <f ca="1">IF(AND(OR(Control!$C$60&lt;=0, $AH96= Control!$C$59, Control!$C$60 &gt;0, $AH96 = Control!$C$60)), Control!$C$59, IF(Control!$C$60&gt;0, 0))</f>
        <v>1</v>
      </c>
      <c r="HI96" s="165">
        <f ca="1">IF(AND(OR(Control!$C$60&lt;=0, $AH96= Control!$C$59, Control!$C$60 &gt;0, $AH96 = Control!$C$60)), Control!$C$60, IF(Control!$C$60&lt;=0, 0))</f>
        <v>0</v>
      </c>
      <c r="HJ96" s="166">
        <f ca="1">IF(AND(Control!$C$62="F",$CV96&gt;=Control!$C$102),$AH96,0)</f>
        <v>0</v>
      </c>
      <c r="HK96" s="165" t="e">
        <f t="shared" ca="1" si="445"/>
        <v>#N/A</v>
      </c>
      <c r="HL96" s="166">
        <f ca="1">IF(AND(Control!$C$61="T",$HE96&gt;=Control!$C$103,Control!$C$114=0),$HF96,0)</f>
        <v>0</v>
      </c>
      <c r="HM96" s="201" t="e">
        <f t="shared" ca="1" si="290"/>
        <v>#DIV/0!</v>
      </c>
      <c r="HN96" s="215">
        <f t="shared" ca="1" si="409"/>
        <v>92</v>
      </c>
      <c r="HO96" s="216" t="e">
        <f ca="1">IF(AND($CP96&gt;=0, $CP96&lt;=90), Control!$C$152, Control!$C$152)</f>
        <v>#N/A</v>
      </c>
      <c r="HP96" s="216" t="e">
        <f t="shared" ca="1" si="291"/>
        <v>#N/A</v>
      </c>
      <c r="HQ96" s="217" t="e">
        <f ca="1">IF(OR(Control!$B$26=1,Control!$B$26=2),$KV96,$KS96)</f>
        <v>#DIV/0!</v>
      </c>
      <c r="HR96" s="218" t="e">
        <f t="shared" ca="1" si="446"/>
        <v>#DIV/0!</v>
      </c>
      <c r="HS96" s="216" t="e">
        <f ca="1">Control!$C$154*$HP96</f>
        <v>#N/A</v>
      </c>
      <c r="HT96" s="216" t="e">
        <f ca="1">Control!$C$155*$HP96</f>
        <v>#N/A</v>
      </c>
      <c r="HU96" s="217" t="e">
        <f ca="1">Control!$C$161*$FI96</f>
        <v>#N/A</v>
      </c>
      <c r="HV96" s="218" t="e">
        <f t="shared" ca="1" si="410"/>
        <v>#N/A</v>
      </c>
      <c r="HW96" s="218" t="e">
        <f ca="1">Control!$C$160*$FF96+$IP96*$EO96</f>
        <v>#N/A</v>
      </c>
      <c r="HX96" s="218" t="e">
        <f t="shared" ca="1" si="447"/>
        <v>#N/A</v>
      </c>
      <c r="HY96" s="219" t="e">
        <f ca="1">IF(Control!$C$114=1, $EB96*$FS96, 0)</f>
        <v>#N/A</v>
      </c>
      <c r="HZ96" s="91" t="e">
        <f t="shared" ca="1" si="292"/>
        <v>#N/A</v>
      </c>
      <c r="IA96" s="220" t="e">
        <f ca="1">Control!$C$153*$HO96</f>
        <v>#N/A</v>
      </c>
      <c r="IB96" s="218" t="e">
        <f t="shared" ca="1" si="293"/>
        <v>#N/A</v>
      </c>
      <c r="IC96" s="220" t="e">
        <f ca="1">Control!$C$153*$HT96</f>
        <v>#N/A</v>
      </c>
      <c r="ID96" s="218" t="e">
        <f t="shared" ca="1" si="294"/>
        <v>#N/A</v>
      </c>
      <c r="IE96" s="221" t="e">
        <f ca="1">($EB96*Control!$C$159+$EF96*Control!$C$160)/(IF($GZ96&lt;&gt;0,$GZ96,1))</f>
        <v>#N/A</v>
      </c>
      <c r="IF96" s="216" t="e">
        <f t="shared" ca="1" si="295"/>
        <v>#N/A</v>
      </c>
      <c r="IG96" s="91">
        <f ca="1">IF(OR(Control!$B$198=$AH96,Control!$B$199=$AH96, Control!$B$200=$AH96, Control!$B$201=$AH96, Control!$B$202=$AH96, Control!$B$203=$AH96, Control!$B$204=$AH96, Control!$B$205=$AH96, Control!$B$206=$AH96, Control!$B$207=$AH96), 1, 0)</f>
        <v>0</v>
      </c>
      <c r="IH96" s="91">
        <f ca="1">IF($IG96=0,0, VLOOKUP($AH96,Control!$B$198:$C$207,2))</f>
        <v>0</v>
      </c>
      <c r="II96" s="222">
        <f t="shared" ca="1" si="411"/>
        <v>0</v>
      </c>
      <c r="IJ96" s="91">
        <f>Control!$C$121</f>
        <v>0.7</v>
      </c>
      <c r="IK96" s="218">
        <f t="shared" ca="1" si="296"/>
        <v>0</v>
      </c>
      <c r="IL96" s="217" t="e">
        <f t="shared" ca="1" si="448"/>
        <v>#N/A</v>
      </c>
      <c r="IM96" s="223" t="e">
        <f ca="1">IF(AND(Control!$C$114=1,$KH96&lt;1),$EB96*Control!$C$148*(1-$KH96), 0)</f>
        <v>#N/A</v>
      </c>
      <c r="IN96" s="217" t="e">
        <f t="shared" ca="1" si="297"/>
        <v>#DIV/0!</v>
      </c>
      <c r="IO96" s="91" t="e">
        <f ca="1">MAX(0,$IL96-$EF96*Control!$C$160)</f>
        <v>#N/A</v>
      </c>
      <c r="IP96" s="220" t="e">
        <f t="shared" ca="1" si="298"/>
        <v>#N/A</v>
      </c>
      <c r="IQ96" s="217" t="e">
        <f t="shared" ca="1" si="412"/>
        <v>#N/A</v>
      </c>
      <c r="IR96" s="218" t="e">
        <f t="shared" ca="1" si="299"/>
        <v>#N/A</v>
      </c>
      <c r="IS96" s="217" t="e">
        <f ca="1">Control!$C$159*MAX(0,$FD96-$EN96)</f>
        <v>#N/A</v>
      </c>
      <c r="IT96" s="217" t="e">
        <f t="shared" ca="1" si="449"/>
        <v>#N/A</v>
      </c>
      <c r="IU96" s="217" t="e">
        <f t="shared" ca="1" si="413"/>
        <v>#N/A</v>
      </c>
      <c r="IV96" s="217" t="e">
        <f t="shared" ca="1" si="450"/>
        <v>#N/A</v>
      </c>
      <c r="IW96" s="217" t="e">
        <f ca="1">IF(OR($AW96=1,AND($AW96=0, Control!$B$18=1,$EN96&lt;&gt;0)), $IQ96-$IU96, $IQ96)</f>
        <v>#N/A</v>
      </c>
      <c r="IX96" s="218" t="e">
        <f t="shared" ca="1" si="300"/>
        <v>#N/A</v>
      </c>
      <c r="IY96" s="218" t="e">
        <f ca="1">MAX(0,$IQ96-$EB96*Control!$C$159)</f>
        <v>#N/A</v>
      </c>
      <c r="IZ96" s="218" t="e">
        <f t="shared" ca="1" si="301"/>
        <v>#N/A</v>
      </c>
      <c r="JA96" s="216" t="e">
        <f t="shared" ca="1" si="302"/>
        <v>#N/A</v>
      </c>
      <c r="JB96" s="217" t="e">
        <f t="shared" ca="1" si="303"/>
        <v>#N/A</v>
      </c>
      <c r="JC96" s="222" t="e">
        <f ca="1">MAX(Control!$C$157*$EK96-$JT96, 0)/Control!$C$162</f>
        <v>#N/A</v>
      </c>
      <c r="JD96" s="218" t="e">
        <f t="shared" ca="1" si="304"/>
        <v>#N/A</v>
      </c>
      <c r="JE96" s="218" t="e">
        <f t="shared" ca="1" si="305"/>
        <v>#N/A</v>
      </c>
      <c r="JF96" s="218" t="e">
        <f t="shared" ca="1" si="414"/>
        <v>#N/A</v>
      </c>
      <c r="JG96" s="218" t="e">
        <f t="shared" ca="1" si="306"/>
        <v>#N/A</v>
      </c>
      <c r="JH96" s="217" t="e">
        <f t="shared" ca="1" si="415"/>
        <v>#N/A</v>
      </c>
      <c r="JI96" s="217" t="e">
        <f t="shared" ca="1" si="416"/>
        <v>#N/A</v>
      </c>
      <c r="JJ96" s="217" t="e">
        <f t="shared" ca="1" si="451"/>
        <v>#N/A</v>
      </c>
      <c r="JK96" s="217" t="e">
        <f ca="1">IF(Control!$C$114=1,IF(Control!$B$24=0,MAX(0,$JI96)*$GN96/Control!$C$64,(MAX(0,MIN($JI96,$JJ96*$GN96/Control!$C$64),0))))</f>
        <v>#N/A</v>
      </c>
      <c r="JL96" s="217" t="e">
        <f ca="1">$IK96/Control!$C$64-$JK96+$HQ96</f>
        <v>#N/A</v>
      </c>
      <c r="JM96" s="217" t="e">
        <f ca="1">IF(Control!$C$114=1,($JB96/(IF($JI96&lt;&gt;0,$JI96,1)))*$JK96,0)</f>
        <v>#N/A</v>
      </c>
      <c r="JN96" s="217" t="e">
        <f ca="1">IF(Control!$C$114=1,($JG96/(IF($JI96&lt;&gt;0,$JI96,1)))*$JK96, 0)</f>
        <v>#N/A</v>
      </c>
      <c r="JO96" s="218" t="e">
        <f t="shared" ca="1" si="307"/>
        <v>#N/A</v>
      </c>
      <c r="JP96" s="218" t="e">
        <f ca="1">MIN(($IY96+$IO96)*Control!$C$151, $JF96-$EH96*Control!$C$161)</f>
        <v>#N/A</v>
      </c>
      <c r="JQ96" s="218" t="e">
        <f t="shared" ca="1" si="308"/>
        <v>#N/A</v>
      </c>
      <c r="JR96" s="217" t="e">
        <f ca="1">IF($CP96-Control!$C$150&lt;0, 0, $JQ96/Control!$C$162)</f>
        <v>#N/A</v>
      </c>
      <c r="JS96" s="218" t="e">
        <f t="shared" ca="1" si="309"/>
        <v>#N/A</v>
      </c>
      <c r="JT96" s="218" t="e">
        <f t="shared" ca="1" si="417"/>
        <v>#N/A</v>
      </c>
      <c r="JU96" s="218" t="e">
        <f t="shared" ca="1" si="310"/>
        <v>#N/A</v>
      </c>
      <c r="JV96" s="218" t="e">
        <f t="shared" ca="1" si="311"/>
        <v>#N/A</v>
      </c>
      <c r="JW96" s="216" t="e">
        <f t="shared" ca="1" si="312"/>
        <v>#N/A</v>
      </c>
      <c r="JX96" s="91" t="e">
        <f t="shared" ca="1" si="313"/>
        <v>#N/A</v>
      </c>
      <c r="JY96" s="218" t="e">
        <f t="shared" ca="1" si="314"/>
        <v>#N/A</v>
      </c>
      <c r="JZ96" s="217" t="e">
        <f ca="1">IF(Control!$C$114=1,($IZ96/(IF($JI96&lt;&gt;0,$JI96,1)))*$JK96, 0)</f>
        <v>#N/A</v>
      </c>
      <c r="KA96" s="218" t="e">
        <f t="shared" ca="1" si="452"/>
        <v>#N/A</v>
      </c>
      <c r="KB96" s="218" t="e">
        <f t="shared" ca="1" si="418"/>
        <v>#N/A</v>
      </c>
      <c r="KC96" s="218" t="e">
        <f t="shared" ca="1" si="315"/>
        <v>#N/A</v>
      </c>
      <c r="KD96" s="218" t="e">
        <f t="shared" ca="1" si="316"/>
        <v>#N/A</v>
      </c>
      <c r="KE96" s="218" t="e">
        <f t="shared" ca="1" si="317"/>
        <v>#N/A</v>
      </c>
      <c r="KF96" s="218" t="e">
        <f t="shared" ca="1" si="318"/>
        <v>#N/A</v>
      </c>
      <c r="KG96" s="216" t="e">
        <f t="shared" ca="1" si="319"/>
        <v>#N/A</v>
      </c>
      <c r="KH96" s="221" t="e">
        <f ca="1">IF(Control!$B$24=0,1,MAX(0.001,MIN(1,IF(($IF96-$IE96)&lt;&gt;0,($KG96-$IE96)/($IF96-$IE96),1))))</f>
        <v>#N/A</v>
      </c>
      <c r="KI96" s="222" t="e">
        <f ca="1">IF(Control!$C$114=1, $KI95+ $KH95, 0)</f>
        <v>#N/A</v>
      </c>
      <c r="KJ96" s="217" t="e">
        <f t="shared" ca="1" si="320"/>
        <v>#N/A</v>
      </c>
      <c r="KK96" s="218" t="e">
        <f t="shared" ca="1" si="321"/>
        <v>#N/A</v>
      </c>
      <c r="KL96" s="274" t="e">
        <f ca="1">IF(Control!$B$26=3,4000000000*EXP(-8400/($G96+273)),IF(Control!$B$26=4,4000000000*EXP(-8400/($G96+273))*($KT96),0))</f>
        <v>#DIV/0!</v>
      </c>
      <c r="KM96" s="274" t="e">
        <f ca="1">IF(Control!$B$26=3,5600000000000*EXP(-9800/($G96+273)),IF(Control!$B$26=4,5600000000000*EXP(-9800/($G96+273))*$KT96,0))</f>
        <v>#DIV/0!</v>
      </c>
      <c r="KN96" s="454" t="e">
        <f t="shared" ca="1" si="419"/>
        <v>#DIV/0!</v>
      </c>
      <c r="KO96" s="274" t="e">
        <f t="shared" ca="1" si="420"/>
        <v>#DIV/0!</v>
      </c>
      <c r="KP96" s="454" t="e">
        <f t="shared" ca="1" si="322"/>
        <v>#DIV/0!</v>
      </c>
      <c r="KQ96" s="454" t="e">
        <f t="shared" ca="1" si="323"/>
        <v>#DIV/0!</v>
      </c>
      <c r="KR96" s="454" t="e">
        <f t="shared" ca="1" si="324"/>
        <v>#DIV/0!</v>
      </c>
      <c r="KS96" s="454" t="e">
        <f t="shared" ca="1" si="325"/>
        <v>#DIV/0!</v>
      </c>
      <c r="KT96" s="455" t="e">
        <f t="shared" ca="1" si="326"/>
        <v>#DIV/0!</v>
      </c>
      <c r="KU96" s="456" t="e">
        <f ca="1">IF($CP96-Control!$C$149&lt;0, IF($NT96-0.01&lt;0,0,1),0)</f>
        <v>#N/A</v>
      </c>
      <c r="KV96" s="456" t="e">
        <f ca="1">IF(Control!$C$114=1,MAX(0,MIN(Control!$C$125*$KW96*$GN96,$KW96)))</f>
        <v>#DIV/0!</v>
      </c>
      <c r="KW96" s="456" t="e">
        <f t="shared" ca="1" si="453"/>
        <v>#DIV/0!</v>
      </c>
      <c r="KX96" s="457" t="e">
        <f ca="1">IF($CP96-Control!$C$149&lt;0, IF($MR96-$OM96&lt;0,0,1),0)</f>
        <v>#N/A</v>
      </c>
      <c r="KY96" s="167">
        <f t="shared" ca="1" si="421"/>
        <v>92</v>
      </c>
      <c r="KZ96" s="168">
        <f ca="1">1370*(1+0.033*COS(2*Control!$C$138*$AH96/365))</f>
        <v>1369.4161580978812</v>
      </c>
      <c r="LA96" s="169">
        <f t="shared" ca="1" si="422"/>
        <v>0.99957396022952472</v>
      </c>
      <c r="LB96" s="169">
        <f t="shared" ca="1" si="423"/>
        <v>7.8731624979668152E-2</v>
      </c>
      <c r="LC96" s="169">
        <f ca="1">ACOS(-TAN((2*Control!$B$8/360))*TAN(Calculations!$LB96))</f>
        <v>1.5942462297139059</v>
      </c>
      <c r="LD96" s="169">
        <f ca="1">((24*60)/PI())*0.082*$LA96*(($LC96*SIN(Control!$B$8*2*PI()/360))*SIN($LB96)+COS(Control!$B$8*2*PI()/360)*COS($LB96)*SIN($LC96))</f>
        <v>26.764604449798526</v>
      </c>
      <c r="LE96" s="170">
        <f t="shared" ca="1" si="327"/>
        <v>26.639905836021871</v>
      </c>
      <c r="LF96" s="170">
        <f ca="1">SIN(Control!$C$139*Control!$B$8)*SIN($HD96)</f>
        <v>5.7701127030887561E-2</v>
      </c>
      <c r="LG96" s="170">
        <f ca="1">COS(Control!$C$139*Control!$B$8)*COS($HD96)</f>
        <v>0.61400709169323953</v>
      </c>
      <c r="LH96" s="170">
        <f ca="1">12*(1+2*ASIN(MAX(-1,MIN(1,$LF96/$LG96))/Control!$C$138))</f>
        <v>12.718019188160007</v>
      </c>
      <c r="LI96" s="170">
        <f ca="1">12*(1+2*ASIN(MAX(-1,MIN(1,(-SIN(-4*Control!$C$139)+$LF96)/$LG96))/Control!$C$138))</f>
        <v>13.586973918536009</v>
      </c>
      <c r="LJ96" s="168">
        <f ca="1">3600*($LH96*$LF96+24*$LG96*SQRT(1-$LK96*$LK96)/Control!$C$138)</f>
        <v>19453.477073780621</v>
      </c>
      <c r="LK96" s="170">
        <f t="shared" ca="1" si="328"/>
        <v>9.3974691516617345E-2</v>
      </c>
      <c r="LL96" s="170">
        <f t="shared" ca="1" si="329"/>
        <v>0</v>
      </c>
      <c r="LM96" s="171">
        <f ca="1">Control!$C$145*$AB96</f>
        <v>6.6660906138995932E-2</v>
      </c>
      <c r="LN96" s="170">
        <f t="shared" ca="1" si="424"/>
        <v>0.54</v>
      </c>
      <c r="LO96" s="170">
        <f t="shared" ca="1" si="330"/>
        <v>0</v>
      </c>
      <c r="LP96" s="170">
        <f ca="1">Control!$C$140*((($D96+273.16)^4+($E96+273.16)^4)/2)*(0.34-0.14*SQRT($Y96))*(1.35*$AQ96/(0.75*$LD96)-0.35)</f>
        <v>-3.2464704755046001</v>
      </c>
      <c r="LQ96" s="170">
        <f ca="1">Control!$C$140*($G96+273)^4*(0.56-0.079*SQRT($Y96*10))*(0.1+0.9*$LO96)</f>
        <v>1.5241745131704001</v>
      </c>
      <c r="LR96" s="170">
        <f ca="1">$AQ96*(1-Control!$C$142)-$LQ96</f>
        <v>-1.5241745131704001</v>
      </c>
      <c r="LS96" s="170">
        <f ca="1">$AQ96*(1-Control!$C$143)-$LQ96</f>
        <v>-1.5241745131704001</v>
      </c>
      <c r="LT96" s="170">
        <f ca="1">$AQ96*(1-Control!$C$144)-$LQ96</f>
        <v>-1.5241745131704001</v>
      </c>
      <c r="LU96" s="169">
        <f ca="1">(1-Control!$C$144)*AQ96-LP96</f>
        <v>3.2464704755046001</v>
      </c>
      <c r="LV96" s="172">
        <f t="shared" ca="1" si="331"/>
        <v>0.79430000000000012</v>
      </c>
      <c r="LW96" s="170">
        <f t="shared" ca="1" si="332"/>
        <v>1.5886000000000002</v>
      </c>
      <c r="LX96" s="170">
        <f ca="1">($AC96*($LR96/Control!$C$141)+$LM96*$LV96)/($AC96+$LM96)</f>
        <v>0.23530094218323697</v>
      </c>
      <c r="LY96" s="170">
        <f ca="1">($AC96*($LS96/Control!$C$141)+$LM96*$LV96)/($AC96+$LM96)</f>
        <v>0.23530094218323697</v>
      </c>
      <c r="LZ96" s="170">
        <f t="shared" ca="1" si="333"/>
        <v>0.23530094218323697</v>
      </c>
      <c r="MA96" s="170">
        <f t="shared" ca="1" si="334"/>
        <v>0.23530094218323697</v>
      </c>
      <c r="MB96" s="170" t="e">
        <f t="shared" ca="1" si="335"/>
        <v>#N/A</v>
      </c>
      <c r="MC96" s="170">
        <f t="shared" ca="1" si="425"/>
        <v>0.6018</v>
      </c>
      <c r="MD96" s="170">
        <f t="shared" ca="1" si="336"/>
        <v>0.52989392535414004</v>
      </c>
      <c r="ME96" s="170">
        <f ca="1">($AC96*($LT96/Control!$C$141)+$LM96*$LW96)/($AC96+$LM96)</f>
        <v>0.71612369323045078</v>
      </c>
      <c r="MF96" s="170" t="e">
        <f ca="1">IF(Control!$B$16&gt;=1000,0.92,IF(AND(720&lt;=Control!$B$16,1000&gt;Control!$B$16),(0.95+(Control!$B$16-720)*((0.92-0.95)/(1000-720))),IF(AND(360&lt;=Control!$B$16,720&gt;Control!$B$16),(1+(Control!$B$16-360)*((0.95-1)/(720-360))),IF(AND(40&lt;=Control!$B$16,360&gt;Control!$B$16),(1.05+(Control!$B$16-40)*((1.05-1)/(360-40)))))))</f>
        <v>#N/A</v>
      </c>
      <c r="MG96" s="170">
        <f t="shared" ca="1" si="337"/>
        <v>0.71612369323045078</v>
      </c>
      <c r="MH96" s="170" t="e">
        <f t="shared" ca="1" si="462"/>
        <v>#N/A</v>
      </c>
      <c r="MI96" s="170" t="e">
        <f t="shared" ca="1" si="462"/>
        <v>#N/A</v>
      </c>
      <c r="MJ96" s="170" t="e">
        <f ca="1">MAX(0.0001, Control!$C$132*$MI96*$DL96)</f>
        <v>#N/A</v>
      </c>
      <c r="MK96" s="170">
        <f ca="1">1/(0.76+1.5*($MG96/10))-(5-Control!$C$110)*0.1</f>
        <v>1.002845988140797</v>
      </c>
      <c r="ML96" s="173">
        <f ca="1">IF(Control!$C$110&lt;3,$MK96+($MG96-0.6)/(Control!$C$110*(Control!$C$110+3)), MAX(0.1, MIN(0.95,$MK96)))</f>
        <v>0.95</v>
      </c>
      <c r="MM96" s="173">
        <f ca="1">IF(Control!$C$110&lt;3,$MK96+(($MI96/10)-0.6)/(Control!$C$110*(Control!$C$110+3)), MAX(0.1, MIN(0.95,$MK96)))</f>
        <v>0.95</v>
      </c>
      <c r="MN96" s="173">
        <f ca="1">(1-$MM96)*(Control!$C$128-Control!$C$127)+Control!$C$127</f>
        <v>0.16</v>
      </c>
      <c r="MO96" s="170" t="e">
        <f ca="1">MAX(0,MIN(1,($MS96-Control!$C$127)/($MN96-Control!$C$127)))</f>
        <v>#DIV/0!</v>
      </c>
      <c r="MP96" s="173" t="e">
        <f ca="1">1/(0.76+1.5*$MI96)-(5-Control!$C$110)*0.1</f>
        <v>#N/A</v>
      </c>
      <c r="MQ96" s="172" t="e">
        <f t="shared" ca="1" si="454"/>
        <v>#DIV/0!</v>
      </c>
      <c r="MR96" s="168" t="e">
        <f t="shared" ca="1" si="426"/>
        <v>#DIV/0!</v>
      </c>
      <c r="MS96" s="173" t="e">
        <f ca="1">MAX(Control!$C$127, MIN(Control!$C$135, $MR96/MAX(0.0001,$CY96)))</f>
        <v>#DIV/0!</v>
      </c>
      <c r="MT96" s="168" t="e">
        <f ca="1">(Control!$C$128-$MS96)*Control!$C$74</f>
        <v>#DIV/0!</v>
      </c>
      <c r="MU96" s="168" t="e">
        <f ca="1">(Control!$C$135-$MS96)*Control!$C$74</f>
        <v>#DIV/0!</v>
      </c>
      <c r="MV96" s="168" t="e">
        <f t="shared" ca="1" si="427"/>
        <v>#DIV/0!</v>
      </c>
      <c r="MW96" s="168" t="e">
        <f t="shared" ca="1" si="428"/>
        <v>#DIV/0!</v>
      </c>
      <c r="MX96" s="171" t="e">
        <f ca="1">MAX(Control!$C$127, MIN(Control!$C$135, $MW96/MAX(0.0001,Control!$C$119-$CY96)))</f>
        <v>#DIV/0!</v>
      </c>
      <c r="MY96" s="54" t="e">
        <f ca="1">IF(Control!$C$114=1, $CX96*$MX96, 0)</f>
        <v>#DIV/0!</v>
      </c>
      <c r="MZ96" s="54" t="e">
        <f t="shared" ca="1" si="429"/>
        <v>#N/A</v>
      </c>
      <c r="NA96" s="168" t="e">
        <f ca="1">(Control!$C$128-$MX96)*(Control!$C$119-Control!$C$74)</f>
        <v>#DIV/0!</v>
      </c>
      <c r="NB96" s="168" t="e">
        <f ca="1">(Control!$C$135-$MX96)*(Control!$C$119-Control!$C$74)</f>
        <v>#DIV/0!</v>
      </c>
      <c r="NC96" s="174" t="e">
        <f t="shared" ca="1" si="430"/>
        <v>#DIV/0!</v>
      </c>
      <c r="ND96" s="54">
        <f ca="1">IF(Control!$C$58=2, IF(OR(Control!$B$218=$AH96,Control!$B$219=$AH96, Control!$B$220=$AH96, Control!$B$221=$AH96, Control!$B$222=$AH96, Control!$B$223=$AH96, Control!$B$224=$AH96, Control!$B$225=$AH96, Control!$B$226=$AH96, Control!$B$227=$AH96, Control!$B$228=$AH96), 1, 0), 0)</f>
        <v>0</v>
      </c>
      <c r="NE96" s="54">
        <f ca="1">IF($ND96=0,0, VLOOKUP($AH96,Control!$B$218:$C$228,2))</f>
        <v>0</v>
      </c>
      <c r="NF96" s="168" t="e">
        <f ca="1">$CY96*(Control!$C$128-Control!$C$127)</f>
        <v>#N/A</v>
      </c>
      <c r="NG96" s="54" t="e">
        <f ca="1">IF(Control!$C$58=2, $NI95-$NJ95, 0)</f>
        <v>#DIV/0!</v>
      </c>
      <c r="NH96" s="54" t="e">
        <f ca="1">IF(AND(Control!$C$58=1, $MS95&lt;= ($MN95+0.02), $I95&lt;10), 0, IF(Control!$C$58=2, $NG95, 0))</f>
        <v>#DIV/0!</v>
      </c>
      <c r="NI96" s="54" t="e">
        <f ca="1">IF(Control!$C$58=2, $NE96+$NH96,0)</f>
        <v>#DIV/0!</v>
      </c>
      <c r="NJ96" s="54" t="e">
        <f ca="1">IF(AND(Control!$C$58=1, $MS96&lt;= ($MN96+0.02), $I96&lt;10), MAX(0, MIN(10, 0.7*($NF96-$MV96))), IF(Control!$C$58=2, MIN(10,$NI96),0))</f>
        <v>#DIV/0!</v>
      </c>
      <c r="NK96" s="54" t="e">
        <f t="shared" ca="1" si="338"/>
        <v>#DIV/0!</v>
      </c>
      <c r="NL96" s="173" t="e">
        <f ca="1">(1-Control!$C$73)*$I96+$NJ96</f>
        <v>#DIV/0!</v>
      </c>
      <c r="NM96" s="172" t="e">
        <f ca="1">IF($NL96&lt;0.5, $MB96* MAX(0, MIN(1, (SQRT($NC96)-SQRT($NC96-1))*Control!$C$71)),0)</f>
        <v>#DIV/0!</v>
      </c>
      <c r="NN96" s="170" t="e">
        <f ca="1">IF($NL96&gt;=5, $MB96, MAX(0,MIN($MB96, $NM96+$NL96,($MS96-Control!$C$129))))</f>
        <v>#DIV/0!</v>
      </c>
      <c r="NO96" s="54">
        <f>IF(Control!$C$133&lt;&gt;1, Control!$C$135-Control!$C$131, 0)</f>
        <v>0.38</v>
      </c>
      <c r="NP96" s="54" t="e">
        <f t="shared" ca="1" si="339"/>
        <v>#DIV/0!</v>
      </c>
      <c r="NQ96" s="173" t="e">
        <f ca="1">MAX(0,MIN(1,(Control!$C$135-$MS96)/(Control!$C$135-$NO96)))</f>
        <v>#DIV/0!</v>
      </c>
      <c r="NR96" s="170" t="e">
        <f ca="1">IF(Control!$C$133&lt;&gt;1, $NQ96+((1-$NP96/4)*(1-$NQ96)),1)</f>
        <v>#DIV/0!</v>
      </c>
      <c r="NS96" s="170" t="e">
        <f ca="1">IF(Control!$B$31=0,$MJ96,MAX(0,MIN($MV96,$MO96*$NR96*$MJ96)))</f>
        <v>#DIV/0!</v>
      </c>
      <c r="NT96" s="170" t="e">
        <f t="shared" ca="1" si="455"/>
        <v>#DIV/0!</v>
      </c>
      <c r="NU96" s="170" t="e">
        <f t="shared" ca="1" si="431"/>
        <v>#N/A</v>
      </c>
      <c r="NV96" s="170" t="e">
        <f t="shared" ca="1" si="340"/>
        <v>#N/A</v>
      </c>
      <c r="NW96" s="175" t="e">
        <f t="shared" ca="1" si="341"/>
        <v>#DIV/0!</v>
      </c>
      <c r="NX96" s="170" t="e">
        <f ca="1">MIN(Control!$C$72+$MU96, $NW96)</f>
        <v>#DIV/0!</v>
      </c>
      <c r="NY96" s="170" t="e">
        <f ca="1">IF($MT96&lt;=$NX96,MIN(Control!$C$72+$NB96,$NX96-$MT96),0)</f>
        <v>#DIV/0!</v>
      </c>
      <c r="NZ96" s="54" t="e">
        <f ca="1">IF(Control!$C$114=1,  $CX96*($MX96-Control!$C$127), 0)</f>
        <v>#DIV/0!</v>
      </c>
      <c r="OA96" s="170" t="e">
        <f t="shared" ca="1" si="342"/>
        <v>#DIV/0!</v>
      </c>
      <c r="OB96" s="170" t="e">
        <f ca="1">IF($NA96 &lt;=$NY96, MIN(Control!$C$72, $NY96-$NA96), 0)</f>
        <v>#DIV/0!</v>
      </c>
      <c r="OC96" s="168" t="e">
        <f t="shared" ca="1" si="343"/>
        <v>#DIV/0!</v>
      </c>
      <c r="OD96" s="168" t="e">
        <f t="shared" ca="1" si="432"/>
        <v>#DIV/0!</v>
      </c>
      <c r="OE96" s="170">
        <f ca="1">Control!$C$73*$I96</f>
        <v>0</v>
      </c>
      <c r="OF96" s="176" t="e">
        <f t="shared" ca="1" si="344"/>
        <v>#DIV/0!</v>
      </c>
      <c r="OG96" s="168" t="e">
        <f t="shared" ca="1" si="345"/>
        <v>#DIV/0!</v>
      </c>
      <c r="OH96" s="168" t="e">
        <f t="shared" ca="1" si="346"/>
        <v>#DIV/0!</v>
      </c>
      <c r="OI96" s="168" t="e">
        <f t="shared" ca="1" si="347"/>
        <v>#DIV/0!</v>
      </c>
      <c r="OJ96" s="168" t="e">
        <f t="shared" ca="1" si="348"/>
        <v>#DIV/0!</v>
      </c>
      <c r="OK96" s="204" t="e">
        <f t="shared" ca="1" si="349"/>
        <v>#DIV/0!</v>
      </c>
      <c r="OL96" s="177">
        <f>Control!$C$127</f>
        <v>0.15</v>
      </c>
      <c r="OM96" s="182" t="e">
        <f t="shared" ca="1" si="350"/>
        <v>#N/A</v>
      </c>
      <c r="ON96" s="177">
        <f>Control!$C$128</f>
        <v>0.35</v>
      </c>
      <c r="OO96" s="182" t="e">
        <f t="shared" ca="1" si="351"/>
        <v>#N/A</v>
      </c>
      <c r="OP96" s="138">
        <f t="shared" ca="1" si="433"/>
        <v>0</v>
      </c>
      <c r="OQ96" s="138" t="e">
        <f t="shared" ca="1" si="456"/>
        <v>#DIV/0!</v>
      </c>
      <c r="OR96" s="138" t="e">
        <f t="shared" ca="1" si="434"/>
        <v>#DIV/0!</v>
      </c>
      <c r="OS96" s="137" t="e">
        <f t="shared" ca="1" si="457"/>
        <v>#DIV/0!</v>
      </c>
      <c r="OT96" s="139" t="e">
        <f t="shared" ca="1" si="458"/>
        <v>#DIV/0!</v>
      </c>
      <c r="OU96" s="138" t="e">
        <f t="shared" ca="1" si="459"/>
        <v>#N/A</v>
      </c>
      <c r="OV96" s="138" t="e">
        <f t="shared" ca="1" si="460"/>
        <v>#DIV/0!</v>
      </c>
      <c r="OW96" s="138" t="e">
        <f t="shared" ca="1" si="435"/>
        <v>#DIV/0!</v>
      </c>
      <c r="OX96" s="138" t="e">
        <f t="shared" ca="1" si="436"/>
        <v>#DIV/0!</v>
      </c>
      <c r="OY96" s="138" t="e">
        <f t="shared" ca="1" si="437"/>
        <v>#DIV/0!</v>
      </c>
      <c r="OZ96" s="138" t="e">
        <f t="shared" ca="1" si="352"/>
        <v>#DIV/0!</v>
      </c>
      <c r="PA96" s="138" t="e">
        <f t="shared" ca="1" si="353"/>
        <v>#DIV/0!</v>
      </c>
      <c r="PB96" s="55">
        <f>IF(Control!$C$61="T", IF(Control!$C$65="F", IF($AH$6-Control!$C$60&lt;0,0,1), IF(365+$AH$6-Control!$C$60&lt;0,0,1)),0)</f>
        <v>0</v>
      </c>
      <c r="PC96" s="55">
        <f ca="1">IF(Control!$C$65="F", IF($AH$6-$HF96&lt;0,0,1), IF(365+$AH$6-$HF96&lt;0,0,1))</f>
        <v>1</v>
      </c>
      <c r="PD96" s="444">
        <f>Control!$C$118</f>
        <v>1500</v>
      </c>
      <c r="PE96" s="180" t="e">
        <f t="shared" ca="1" si="354"/>
        <v>#N/A</v>
      </c>
      <c r="PF96" s="445">
        <f t="shared" ca="1" si="438"/>
        <v>0.71612369323045078</v>
      </c>
      <c r="PT96" s="186"/>
      <c r="PU96" s="186"/>
      <c r="PV96" s="94"/>
      <c r="PW96" s="94"/>
      <c r="PX96" s="94"/>
      <c r="PY96" s="94"/>
      <c r="PZ96" s="94"/>
      <c r="QA96" s="94"/>
      <c r="QB96" s="94"/>
      <c r="QC96" s="94"/>
      <c r="QD96" s="94"/>
      <c r="QE96" s="94"/>
      <c r="QF96" s="94"/>
      <c r="QG96" s="94"/>
      <c r="QH96" s="94"/>
      <c r="QI96" s="94"/>
      <c r="QJ96" s="94"/>
      <c r="QK96" s="94"/>
      <c r="QL96" s="94"/>
      <c r="QM96" s="94"/>
      <c r="QN96" s="94"/>
      <c r="QO96" s="94"/>
      <c r="QP96" s="94"/>
    </row>
    <row r="97" spans="1:458" s="2" customFormat="1" x14ac:dyDescent="0.2">
      <c r="A97" s="395">
        <v>2</v>
      </c>
      <c r="B97" s="396">
        <v>4</v>
      </c>
      <c r="C97" s="387">
        <f ca="1">Weather_data!$B96</f>
        <v>0</v>
      </c>
      <c r="D97" s="388">
        <f ca="1">Weather_data!$F96</f>
        <v>0</v>
      </c>
      <c r="E97" s="388">
        <f ca="1">Weather_data!$E96</f>
        <v>0</v>
      </c>
      <c r="F97" s="388">
        <f t="shared" ca="1" si="355"/>
        <v>0</v>
      </c>
      <c r="G97" s="388">
        <f ca="1">AVERAGE($D97:$E97)+Control!$B$9</f>
        <v>0</v>
      </c>
      <c r="H97" s="388">
        <f ca="1">Weather_data!$G96</f>
        <v>0</v>
      </c>
      <c r="I97" s="388">
        <f ca="1">Weather_data!$I96</f>
        <v>0</v>
      </c>
      <c r="J97" s="388">
        <f ca="1">Weather_data!$H96</f>
        <v>0</v>
      </c>
      <c r="K97" s="389">
        <f ca="1">Weather_data!$D96</f>
        <v>0</v>
      </c>
      <c r="L97" s="388" t="e">
        <f t="shared" ca="1" si="356"/>
        <v>#N/A</v>
      </c>
      <c r="M97" s="388" t="e">
        <f t="shared" ca="1" si="234"/>
        <v>#N/A</v>
      </c>
      <c r="N97" s="388">
        <f t="shared" ca="1" si="235"/>
        <v>-3.4279806620639878E-5</v>
      </c>
      <c r="O97" s="388">
        <f t="shared" ca="1" si="357"/>
        <v>3.4279806620639877E-4</v>
      </c>
      <c r="P97" s="390">
        <v>3</v>
      </c>
      <c r="Q97" s="388">
        <f ca="1">MAX($G97-Control!$C$107,0)</f>
        <v>0</v>
      </c>
      <c r="R97" s="388">
        <f t="shared" ca="1" si="358"/>
        <v>0</v>
      </c>
      <c r="S97" s="388">
        <f t="shared" ca="1" si="236"/>
        <v>0</v>
      </c>
      <c r="T97" s="388">
        <f t="shared" ca="1" si="237"/>
        <v>0</v>
      </c>
      <c r="U97" s="59">
        <f t="shared" ca="1" si="238"/>
        <v>0</v>
      </c>
      <c r="V97" s="391">
        <f ca="1">MAX(0,MIN(Control!$C$100-Control!$C$99,$G97-Control!$C$99)*Control!$C$63)</f>
        <v>0</v>
      </c>
      <c r="W97" s="388">
        <f t="shared" ca="1" si="359"/>
        <v>0</v>
      </c>
      <c r="X97" s="388">
        <f t="shared" ca="1" si="360"/>
        <v>0.6110000000000001</v>
      </c>
      <c r="Y97" s="388">
        <f t="shared" ca="1" si="239"/>
        <v>0</v>
      </c>
      <c r="Z97" s="388">
        <f t="shared" ca="1" si="361"/>
        <v>0.61058800000000002</v>
      </c>
      <c r="AA97" s="388">
        <f t="shared" ca="1" si="240"/>
        <v>0.6018</v>
      </c>
      <c r="AB97" s="388">
        <f ca="1">101.3*EXP(-0.034*Control!$C$66/($G97+273))</f>
        <v>100.69623283836242</v>
      </c>
      <c r="AC97" s="392">
        <f t="shared" ca="1" si="241"/>
        <v>4.3460251046025113E-2</v>
      </c>
      <c r="AD97" s="392">
        <f t="shared" ca="1" si="242"/>
        <v>4.4450382862832649E-2</v>
      </c>
      <c r="AE97" s="388">
        <f t="shared" ca="1" si="243"/>
        <v>0</v>
      </c>
      <c r="AF97" s="388">
        <f ca="1">MAX(0,$G97-Control!$C$92)</f>
        <v>0</v>
      </c>
      <c r="AG97" s="393">
        <f t="shared" ca="1" si="244"/>
        <v>93</v>
      </c>
      <c r="AH97" s="389">
        <f t="shared" ca="1" si="245"/>
        <v>93</v>
      </c>
      <c r="AI97" s="388">
        <f t="shared" ca="1" si="362"/>
        <v>8.0031320424047495E-2</v>
      </c>
      <c r="AJ97" s="388">
        <f ca="1">IF(Control!$C$60&lt;=0,$HH97,$HI97)</f>
        <v>1</v>
      </c>
      <c r="AK97" s="388">
        <f t="shared" ca="1" si="246"/>
        <v>0.22378468217351952</v>
      </c>
      <c r="AL97" s="388">
        <f t="shared" ca="1" si="247"/>
        <v>-4.8689507287091863E-18</v>
      </c>
      <c r="AM97" s="388">
        <f t="shared" ca="1" si="248"/>
        <v>0.22378468217351952</v>
      </c>
      <c r="AN97" s="388">
        <f t="shared" ca="1" si="249"/>
        <v>8.8395449645459881E-2</v>
      </c>
      <c r="AO97" s="388">
        <f ca="1">-0.10453/COS(Control!$B$8*PI()/180)*COS(AN97)</f>
        <v>-0.16912196733198104</v>
      </c>
      <c r="AP97" s="388">
        <f ca="1">ACOS(AO97-TAN(Control!$B$8*PI()/180)*TAN(AN97))</f>
        <v>1.8572566767056022</v>
      </c>
      <c r="AQ97" s="388">
        <f t="shared" ca="1" si="363"/>
        <v>0</v>
      </c>
      <c r="AR97" s="394">
        <f t="shared" ca="1" si="250"/>
        <v>0</v>
      </c>
      <c r="AS97" s="436">
        <f ca="1">IF(Control!$B$18=2,(IF(OR($AH97=Control!$B$175,$AH97=Control!$B$176,$AH97=Control!$B$177,$AH97=Control!$B$178,$AH97=Control!$B$179,$AH97=Control!$B$180,$AH97=Control!$B$181,$AH97=Control!$B$182,$AH97=Control!$B$183,$AH97=Control!$B$184,$AH97=Control!$B$185),1,0)),0)</f>
        <v>0</v>
      </c>
      <c r="AT97" s="436">
        <f>IF(Control!$B$20=8,IF(AND($AH97&gt;=Control!$B$172,$AH97&lt;=Control!$B$173),1,0),0)</f>
        <v>0</v>
      </c>
      <c r="AU97" s="436">
        <f>IF(Control!$B$20=8,IF($AV96=1,1*$AT97,IF($AT97=1,$AU96+1,$AU96)),0)</f>
        <v>0</v>
      </c>
      <c r="AV97" s="436">
        <f>IF(Control!$B$20=8,IF($AU97&gt;=Control!$B$174,1,0),0)</f>
        <v>0</v>
      </c>
      <c r="AW97" s="436">
        <f ca="1">IF(AND(Control!$B$18=2,Control!$B$171=1), $AV97, $AS97)</f>
        <v>0</v>
      </c>
      <c r="AX97" s="436" t="e">
        <f ca="1">IF(AND(Control!$B$18=1,$EU97&gt;=Control!$B$19),-$AY97,IF(AND(Control!$B$18=2,$AW97=1,$EU97&gt;$DS97),-$AY97, IF(Control!$C$108=0,0, IF(Control!$C$108&lt;&gt;0,1))))</f>
        <v>#N/A</v>
      </c>
      <c r="AY97" s="436" t="e">
        <f t="shared" ca="1" si="364"/>
        <v>#N/A</v>
      </c>
      <c r="AZ97" s="436" t="e">
        <f ca="1">IF(AND(Control!$B$18=1,$EB97&gt;Control!$B$19),$AZ96+1, IF(AND(Control!$B$18=2, $AW97=1, $EB97&gt;$DS97), $AZ96+1,$AZ96))</f>
        <v>#N/A</v>
      </c>
      <c r="BA97" s="587">
        <f>IF(Control!$C$81=0,1,IF($AH97&gt;=Control!$C$82,1,0))</f>
        <v>1</v>
      </c>
      <c r="BB97" s="140" t="e">
        <f ca="1">IF($BA97&gt;$BA96,Control!$C$83,IF($AW97&gt;0,$AW97*Control!$C$84,IF(AND(Control!$B$18=1,EN96&lt;&gt;0),Control!$C$84,0)))</f>
        <v>#N/A</v>
      </c>
      <c r="BC97" s="140" t="e">
        <f t="shared" ca="1" si="365"/>
        <v>#N/A</v>
      </c>
      <c r="BD97" s="140" t="e">
        <f ca="1">BC97*IF(OR($G97&lt;Control!$C$92,$G97&gt;Control!$C$95),0,IF(AND($G97&gt;=Control!$C$92,$G97&lt;=Control!$C$93),$G97-Control!$C$92,IF(AND($G97&gt;Control!$C$93,$G97&lt;=Control!$C$94),Control!$C$93-Control!$C$92,IF(AND($G97&gt;Control!$C$94,$G97&lt;=Control!$C$95),(Control!$C$93-Control!$C$92)*(Control!$C$94-$G97)/(Control!$C$95-Control!$C$94)))))</f>
        <v>#N/A</v>
      </c>
      <c r="BE97" s="140" t="e">
        <f t="shared" ca="1" si="366"/>
        <v>#N/A</v>
      </c>
      <c r="BF97" s="140" t="e">
        <f ca="1">IF($BE97&lt;=Control!$C$86,$BE97,Control!$C$86-$BE97)</f>
        <v>#N/A</v>
      </c>
      <c r="BG97" s="140" t="e">
        <f ca="1">IF(AND($AW97=1,Control!$C$84&lt;9),1,IF($BE97&gt;=Control!$C$86,0,$BC97))</f>
        <v>#N/A</v>
      </c>
      <c r="BH97" s="404" t="e">
        <f ca="1">IF($BG97=0,0,IF($BE97&lt;=Control!$C$86,$BC97*9*($BF97/Control!$C$86),0))</f>
        <v>#N/A</v>
      </c>
      <c r="BI97" s="140" t="e">
        <f ca="1">IF($BG97=1,0,IF($BE97&gt;=Control!$C$86,1,IF(AND($BB97&lt;21,$BB97&gt;=9),1,$BM96)))</f>
        <v>#N/A</v>
      </c>
      <c r="BJ97" s="140" t="e">
        <f ca="1">IF($BF97&lt;0,-$BF97,$BI97*IF(OR($G97&lt;Control!$C$92,$G97&gt;Control!$C$95),0,IF(AND($G97&gt;=Control!$C$92,$G97&lt;=Control!$C$93),$G97-Control!$C$92,IF(AND($G97&gt;Control!$C$93,$G97&lt;=Control!$C$94),Control!$C$93-Control!$C$92,IF(AND($G97&gt;Control!$C$94,$G97&lt;=Control!$C$95),(Control!$C$93-Control!$C$92)*(Control!$C$94-$G97)/(Control!$C$95-Control!$C$94))))))</f>
        <v>#N/A</v>
      </c>
      <c r="BK97" s="140" t="e">
        <f t="shared" ca="1" si="367"/>
        <v>#N/A</v>
      </c>
      <c r="BL97" s="140" t="e">
        <f ca="1">IF($BK97&lt;=Control!$C$87,$BK97,Control!$C$87-$BK97)</f>
        <v>#N/A</v>
      </c>
      <c r="BM97" s="140" t="e">
        <f ca="1">IF(AND($BB97&gt;=9,$BB97&lt;21),1,IF($BK97&gt;=Control!$C$87,0,$BI97))</f>
        <v>#N/A</v>
      </c>
      <c r="BN97" s="404" t="e">
        <f ca="1">IF($BM97=0,0,IF($BK97&lt;=Control!$C$87,$BI97*(9+(21-9)*($BL97/Control!$C$87)),0))</f>
        <v>#N/A</v>
      </c>
      <c r="BO97" s="140" t="e">
        <f ca="1">IF($BM97=1,0,IF($BK97&gt;=Control!$C$87,1,IF(AND($BB97&lt;30,$BB97&gt;=21),1,$BS96)))</f>
        <v>#N/A</v>
      </c>
      <c r="BP97" s="140" t="e">
        <f ca="1">IF($BL97&lt;0,-$BL97,$BO97*IF(OR($G97&lt;Control!$C$92,$G97&gt;Control!$C$95),0,IF(AND($G97&gt;=Control!$C$92,$G97&lt;=Control!$C$93),$G97-Control!$C$92,IF(AND($G97&gt;Control!$C$93,$G97&lt;=Control!$C$94),Control!$C$93-Control!$C$92,IF(AND($G97&gt;Control!$C$94,$G97&lt;=Control!$C$95),(Control!$C$93-Control!$C$92)*(Control!$C$94-$G97)/(Control!$C$95-Control!$C$94))))))</f>
        <v>#N/A</v>
      </c>
      <c r="BQ97" s="140" t="e">
        <f t="shared" ca="1" si="251"/>
        <v>#N/A</v>
      </c>
      <c r="BR97" s="140" t="e">
        <f ca="1">IF($BQ97&lt;=Control!$C$88,$BQ97,Control!$C$88-$BQ97)</f>
        <v>#N/A</v>
      </c>
      <c r="BS97" s="140" t="e">
        <f ca="1">IF(AND($BB97&gt;=21,$BB97&lt;30),1,IF($BQ97&gt;=Control!$C$88,0,$BO97))</f>
        <v>#N/A</v>
      </c>
      <c r="BT97" s="404" t="e">
        <f ca="1">IF($BS97=0,0,IF($BQ97&lt;=Control!$C$88,$BO97*(21+(30-21)*(BR97/Control!$C$88)),0))</f>
        <v>#N/A</v>
      </c>
      <c r="BU97" s="140" t="e">
        <f ca="1">IF(BG97+BM97+BS97=1,0,IF(OR(AND($BB97&lt;60,$BB97&gt;=30),$BQ97&gt;=Control!$C$88),1*$BA97,$BY96))</f>
        <v>#N/A</v>
      </c>
      <c r="BV97" s="140" t="e">
        <f ca="1">IF($BR97&lt;0,-$BR97,$BU97*IF(OR($G97&lt;Control!$C$92,$G97&gt;Control!$C$95),0,IF(AND($G97&gt;=Control!$C$92,$G97&lt;=Control!$C$93),$G97-Control!$C$92,IF(AND($G97&gt;Control!$C$93,$G97&lt;=Control!$C$94),Control!$C$93-Control!$C$92,IF(AND($G97&gt;Control!$C$94,$G97&lt;=Control!$C$95),(Control!$C$93-Control!$C$92)*(Control!$C$94-$G97)/(Control!$C$95-Control!$C$94))))))</f>
        <v>#N/A</v>
      </c>
      <c r="BW97" s="140" t="e">
        <f t="shared" ca="1" si="252"/>
        <v>#N/A</v>
      </c>
      <c r="BX97" s="140" t="e">
        <f ca="1">IF($BW97&lt;=Control!$C$89,$BW97,Control!$C$89-$BW97)</f>
        <v>#N/A</v>
      </c>
      <c r="BY97" s="140" t="e">
        <f ca="1">IF(AND($AJ97&gt;=30,$AJ97&lt;60),1,IF($BW97&gt;=Control!$C$89,0,$BU97))</f>
        <v>#N/A</v>
      </c>
      <c r="BZ97" s="404" t="e">
        <f ca="1">IF($BY97=0,0,IF($BW97&lt;=Control!$C$89,$BU97*(30+(60-30)*(BX97/Control!$C$89)),0))</f>
        <v>#N/A</v>
      </c>
      <c r="CA97" s="140" t="e">
        <f ca="1">IF($BG97+$BM97+$BS97+$BY97=1,0,IF(OR(AND($BB97&lt;65,$BB97&gt;=60),$BW97&gt;=Control!$C$89),1*$BA97,$CE96))</f>
        <v>#N/A</v>
      </c>
      <c r="CB97" s="140" t="e">
        <f ca="1">IF($BX97&lt;0,-$BX97,$CA97*IF(OR($G97&lt;Control!$C$92,$G97&gt;Control!$C$95),0,IF(AND($G97&gt;=Control!$C$92,$G97&lt;=Control!$C$93),$G97-Control!$C$92,IF(AND($G97&gt;Control!$C$93,$G97&lt;=Control!$C$94),Control!$C$93-Control!$C$92,IF(AND($G97&gt;Control!$C$94,$G97&lt;=Control!$C$95),(Control!$C$93-Control!$C$92)*(Control!$C$94-$G97)/(Control!$C$95-Control!$C$94))))))</f>
        <v>#N/A</v>
      </c>
      <c r="CC97" s="140" t="e">
        <f t="shared" ca="1" si="368"/>
        <v>#N/A</v>
      </c>
      <c r="CD97" s="140" t="e">
        <f ca="1">IF($CC97&lt;=Control!$C$90,$CC97,Control!$C$90-$CC97)</f>
        <v>#N/A</v>
      </c>
      <c r="CE97" s="140" t="e">
        <f ca="1">IF(AND($BB97&gt;=60,$BB97&lt;65),1,IF($CC97&gt;=Control!$C$90,0,$CA97))</f>
        <v>#N/A</v>
      </c>
      <c r="CF97" s="404" t="e">
        <f ca="1">IF($CE97=0,0,IF($CC97&lt;=Control!$C$90,$CA97*(60+(65-60)*(CD97/Control!$C$90)),0))</f>
        <v>#N/A</v>
      </c>
      <c r="CG97" s="140" t="e">
        <f ca="1">IF($BG97+$BM97+$BS97+$BY97+$CE97=1,0,IF(OR(AND($BB97&lt;90,$BB97&gt;=65),$CC97&gt;=Control!$C$90),$BA97,$CK96))</f>
        <v>#N/A</v>
      </c>
      <c r="CH97" s="140" t="e">
        <f ca="1">IF($CD97&lt;0,-$CD97,$CG97*IF(OR($G97&lt;Control!$C$92,$G97&gt;Control!$C$95),0,IF(AND($G97&gt;=Control!$C$92,$G97&lt;=Control!$C$93),$G97-Control!$C$92,IF(AND($G97&gt;Control!$C$93,$G97&lt;=Control!$C$94),Control!$C$93-Control!$C$92,IF(AND($G97&gt;Control!$C$94,$G97&lt;=Control!$C$95),(Control!$C$93-Control!$C$92)*(Control!$C$94-$G97)/(Control!$C$95-Control!$C$94))))))</f>
        <v>#N/A</v>
      </c>
      <c r="CI97" s="140" t="e">
        <f t="shared" ca="1" si="369"/>
        <v>#N/A</v>
      </c>
      <c r="CJ97" s="140" t="e">
        <f ca="1">IF($CI97&lt;=Control!$C$91,$CI97,Control!$C$91-$CI97)</f>
        <v>#N/A</v>
      </c>
      <c r="CK97" s="140" t="e">
        <f ca="1">IF(AND($BB97&gt;=65,$BB97&lt;90),1,IF($CI97&gt;=Control!$C$91,0,$CG97))</f>
        <v>#N/A</v>
      </c>
      <c r="CL97" s="404" t="e">
        <f ca="1">IF($CK97=0,0,IF($CI97&lt;=Control!$C$91,$CG97*(65+(90-65)*($CJ97/Control!$C$91)),0))</f>
        <v>#N/A</v>
      </c>
      <c r="CM97" s="140" t="e">
        <f ca="1">IF($BG97+$BM97+$BS97+$BY97+$CE97+$CK97=1,0,IF(OR($BB97&gt;=90,$CI97&gt;=Control!$C$91),$BA97,$CM96))</f>
        <v>#N/A</v>
      </c>
      <c r="CN97" s="140" t="e">
        <f t="shared" ca="1" si="370"/>
        <v>#N/A</v>
      </c>
      <c r="CO97" s="140" t="e">
        <f t="shared" ca="1" si="371"/>
        <v>#N/A</v>
      </c>
      <c r="CP97" s="140" t="e">
        <f t="shared" ca="1" si="372"/>
        <v>#N/A</v>
      </c>
      <c r="CQ97" s="141" t="e">
        <f ca="1">VLOOKUP($CP97,Control!$B$86:$G$91,6)</f>
        <v>#N/A</v>
      </c>
      <c r="CR97" s="141" t="e">
        <f ca="1">(1-$CQ97)*VLOOKUP($CP97,Control!$B$86:$D$91,3)</f>
        <v>#N/A</v>
      </c>
      <c r="CS97" s="141" t="e">
        <f ca="1">(1-$CQ97)*VLOOKUP($CP97,Control!$B$86:$E$91,4)</f>
        <v>#N/A</v>
      </c>
      <c r="CT97" s="141" t="e">
        <f ca="1">(1-$CQ97)*VLOOKUP($CP97,Control!$B$86:$F$91,5)</f>
        <v>#N/A</v>
      </c>
      <c r="CU97" s="141">
        <f t="shared" ca="1" si="373"/>
        <v>0</v>
      </c>
      <c r="CV97" s="583">
        <f t="shared" ca="1" si="374"/>
        <v>0</v>
      </c>
      <c r="CW97" s="142">
        <f t="shared" ca="1" si="375"/>
        <v>93</v>
      </c>
      <c r="CX97" s="612" t="e">
        <f ca="1">IF(Control!$C$114=1,(MIN(Control!$C$120*(IF($NT97-0.01&lt;0,0,1)),Control!$C$119-$CY97)))</f>
        <v>#DIV/0!</v>
      </c>
      <c r="CY97" s="143" t="e">
        <f t="shared" ca="1" si="376"/>
        <v>#N/A</v>
      </c>
      <c r="CZ97" s="144">
        <f t="shared" ca="1" si="253"/>
        <v>0</v>
      </c>
      <c r="DA97" s="144">
        <f t="shared" ca="1" si="254"/>
        <v>0</v>
      </c>
      <c r="DB97" s="144" t="e">
        <f t="shared" ca="1" si="255"/>
        <v>#N/A</v>
      </c>
      <c r="DC97" s="144" t="e">
        <f t="shared" ca="1" si="256"/>
        <v>#N/A</v>
      </c>
      <c r="DD97" s="144" t="e">
        <f t="shared" ca="1" si="461"/>
        <v>#N/A</v>
      </c>
      <c r="DE97" s="143" t="e">
        <f t="shared" ca="1" si="377"/>
        <v>#N/A</v>
      </c>
      <c r="DF97" s="145" t="e">
        <f ca="1">$DR97*EXP(-Control!$C$158*(1-$KH97))</f>
        <v>#N/A</v>
      </c>
      <c r="DG97" s="146" t="e">
        <f ca="1">IF(Control!$C$114=1, $DF97*$EY97, 0)</f>
        <v>#N/A</v>
      </c>
      <c r="DH97" s="147" t="e">
        <f t="shared" ca="1" si="378"/>
        <v>#N/A</v>
      </c>
      <c r="DI97" s="144" t="e">
        <f t="shared" ca="1" si="439"/>
        <v>#N/A</v>
      </c>
      <c r="DJ97" s="147" t="e">
        <f ca="1">$EF97*Control!$C$109</f>
        <v>#N/A</v>
      </c>
      <c r="DK97" s="144" t="e">
        <f t="shared" ca="1" si="379"/>
        <v>#N/A</v>
      </c>
      <c r="DL97" s="144" t="e">
        <f t="shared" ca="1" si="257"/>
        <v>#N/A</v>
      </c>
      <c r="DM97" s="144" t="e">
        <f ca="1">IF(Control!$C$114=1, (1-EXP(-Control!$C$96*$DK97))*$AR97, 0)</f>
        <v>#N/A</v>
      </c>
      <c r="DN97" s="144">
        <f t="shared" ca="1" si="380"/>
        <v>0</v>
      </c>
      <c r="DO97" s="148">
        <f>Control!$C$97</f>
        <v>4</v>
      </c>
      <c r="DP97" s="145" t="e">
        <f t="shared" ca="1" si="381"/>
        <v>#N/A</v>
      </c>
      <c r="DQ97" s="145" t="e">
        <f ca="1">IF(AND($CP97&gt;=0,$CP97&lt;=90),Control!$C$111,Control!$C$111)</f>
        <v>#N/A</v>
      </c>
      <c r="DR97" s="145" t="e">
        <f t="shared" ca="1" si="258"/>
        <v>#N/A</v>
      </c>
      <c r="DS97" s="143" t="e">
        <f ca="1">Control!$B$22/$DR97</f>
        <v>#N/A</v>
      </c>
      <c r="DT97" s="149" t="e">
        <f ca="1">IF(AND(Control!$C$114=1,$KH97&lt;1),$IM97*$DF97, 0)</f>
        <v>#N/A</v>
      </c>
      <c r="DU97" s="144" t="e">
        <f t="shared" ca="1" si="382"/>
        <v>#N/A</v>
      </c>
      <c r="DV97" s="144">
        <f ca="1">IF($G97-Control!$C$107&lt;=0, 0, 0.83*LN(MAX($G97, 3))-0.8924)</f>
        <v>0</v>
      </c>
      <c r="DW97" s="144" t="e">
        <f t="shared" ca="1" si="259"/>
        <v>#N/A</v>
      </c>
      <c r="DX97" s="150" t="e">
        <f ca="1">MAX(0.01*(1+$CU97/Control!$C$102),0.05*($DK97-Control!$C$97)/Control!$C$97)</f>
        <v>#N/A</v>
      </c>
      <c r="DY97" s="151" t="e">
        <f ca="1">IF(Control!$C$114=1, $DI97*$FS97, 0)</f>
        <v>#N/A</v>
      </c>
      <c r="DZ97" s="196" t="e">
        <f t="shared" ca="1" si="383"/>
        <v>#N/A</v>
      </c>
      <c r="EA97" s="152">
        <f t="shared" ca="1" si="384"/>
        <v>93</v>
      </c>
      <c r="EB97" s="153" t="e">
        <f t="shared" ca="1" si="385"/>
        <v>#N/A</v>
      </c>
      <c r="EC97" s="153" t="e">
        <f t="shared" ca="1" si="386"/>
        <v>#N/A</v>
      </c>
      <c r="ED97" s="154" t="e">
        <f ca="1">IF(Control!$C$114=1, $HM97*$FY97-$FD97, 0)</f>
        <v>#DIV/0!</v>
      </c>
      <c r="EE97" s="155" t="e">
        <f ca="1">IF(Control!$C$114=1, $HM97*$FZ97-$FF97, 0)</f>
        <v>#DIV/0!</v>
      </c>
      <c r="EF97" s="153" t="e">
        <f t="shared" ca="1" si="440"/>
        <v>#N/A</v>
      </c>
      <c r="EG97" s="155" t="e">
        <f ca="1">IF(Control!$C$114=1, $GX97*$FW97-$FI97, 0)</f>
        <v>#DIV/0!</v>
      </c>
      <c r="EH97" s="153" t="e">
        <f t="shared" ca="1" si="387"/>
        <v>#N/A</v>
      </c>
      <c r="EI97" s="156" t="e">
        <f t="shared" ca="1" si="388"/>
        <v>#N/A</v>
      </c>
      <c r="EJ97" s="155" t="e">
        <f ca="1">IF(Control!$C$114=1, $HM97*$GB97, 0)</f>
        <v>#DIV/0!</v>
      </c>
      <c r="EK97" s="153" t="e">
        <f t="shared" ca="1" si="441"/>
        <v>#N/A</v>
      </c>
      <c r="EL97" s="153" t="e">
        <f t="shared" ca="1" si="260"/>
        <v>#N/A</v>
      </c>
      <c r="EM97" s="153" t="e">
        <f t="shared" ca="1" si="261"/>
        <v>#N/A</v>
      </c>
      <c r="EN97" s="153" t="e">
        <f ca="1">IF(Control!$C$108=1,IF(AND(Control!$B$18=1,$EB97&gt;=Control!$B$19),$EB97-$DS97,IF(AND(Control!$B$18=2,$AW97=1,$EB97&gt;$DS97),$EB97-$DS97,0)))</f>
        <v>#N/A</v>
      </c>
      <c r="EO97" s="153" t="e">
        <f ca="1">IF(Control!$C$108=1,IF(AND(Control!$B$18=1,$EB97&gt;=Control!$B$19),$EF97,IF(AND(Control!$B$18=2,$AW97=1),$EF97,0)))</f>
        <v>#N/A</v>
      </c>
      <c r="EP97" s="153" t="e">
        <f ca="1">IF(Control!$C$108=1,IF(AND(Control!$B$18=1,$EB97&gt;=Control!$B$19),$EK97,IF(AND(Control!$B$18=2,$AW97=1),$EK97,0)))</f>
        <v>#N/A</v>
      </c>
      <c r="EQ97" s="153" t="e">
        <f t="shared" ca="1" si="389"/>
        <v>#N/A</v>
      </c>
      <c r="ER97" s="153" t="e">
        <f t="shared" ca="1" si="390"/>
        <v>#N/A</v>
      </c>
      <c r="ES97" s="153" t="e">
        <f t="shared" ca="1" si="442"/>
        <v>#N/A</v>
      </c>
      <c r="ET97" s="153" t="e">
        <f t="shared" ca="1" si="443"/>
        <v>#N/A</v>
      </c>
      <c r="EU97" s="153" t="e">
        <f t="shared" ca="1" si="391"/>
        <v>#N/A</v>
      </c>
      <c r="EV97" s="153" t="e">
        <f t="shared" ca="1" si="262"/>
        <v>#N/A</v>
      </c>
      <c r="EW97" s="153" t="e">
        <f t="shared" ca="1" si="263"/>
        <v>#N/A</v>
      </c>
      <c r="EX97" s="153" t="e">
        <f t="shared" ca="1" si="264"/>
        <v>#N/A</v>
      </c>
      <c r="EY97" s="157" t="e">
        <f t="shared" ca="1" si="265"/>
        <v>#DIV/0!</v>
      </c>
      <c r="EZ97" s="154" t="e">
        <f t="shared" ca="1" si="266"/>
        <v>#DIV/0!</v>
      </c>
      <c r="FA97" s="153" t="e">
        <f t="shared" ca="1" si="392"/>
        <v>#N/A</v>
      </c>
      <c r="FB97" s="153" t="e">
        <f t="shared" ca="1" si="267"/>
        <v>#N/A</v>
      </c>
      <c r="FC97" s="193" t="e">
        <f t="shared" ca="1" si="268"/>
        <v>#N/A</v>
      </c>
      <c r="FD97" s="158" t="e">
        <f t="shared" ca="1" si="393"/>
        <v>#N/A</v>
      </c>
      <c r="FE97" s="158" t="e">
        <f t="shared" ca="1" si="394"/>
        <v>#N/A</v>
      </c>
      <c r="FF97" s="159" t="e">
        <f t="shared" ca="1" si="269"/>
        <v>#N/A</v>
      </c>
      <c r="FG97" s="160" t="e">
        <f t="shared" ca="1" si="395"/>
        <v>#N/A</v>
      </c>
      <c r="FH97" s="158" t="e">
        <f t="shared" ca="1" si="396"/>
        <v>#N/A</v>
      </c>
      <c r="FI97" s="159" t="e">
        <f t="shared" ca="1" si="270"/>
        <v>#N/A</v>
      </c>
      <c r="FJ97" s="160" t="e">
        <f t="shared" ca="1" si="397"/>
        <v>#N/A</v>
      </c>
      <c r="FK97" s="160" t="e">
        <f t="shared" ca="1" si="271"/>
        <v>#N/A</v>
      </c>
      <c r="FL97" s="160" t="e">
        <f t="shared" ca="1" si="444"/>
        <v>#N/A</v>
      </c>
      <c r="FM97" s="160" t="e">
        <f t="shared" ca="1" si="272"/>
        <v>#N/A</v>
      </c>
      <c r="FN97" s="158">
        <f t="shared" ca="1" si="398"/>
        <v>0.01</v>
      </c>
      <c r="FO97" s="160">
        <f>Control!$C$101</f>
        <v>50</v>
      </c>
      <c r="FP97" s="150" t="e">
        <f t="shared" ca="1" si="273"/>
        <v>#N/A</v>
      </c>
      <c r="FQ97" s="150" t="e">
        <f ca="1">MAX(0,(Control!$C$112*(($DK97-Control!$C$97)/Control!$C$97)))</f>
        <v>#N/A</v>
      </c>
      <c r="FR97" s="150" t="e">
        <f ca="1">(1-$NT97)*Control!$C$113</f>
        <v>#DIV/0!</v>
      </c>
      <c r="FS97" s="198" t="e">
        <f t="shared" ca="1" si="274"/>
        <v>#N/A</v>
      </c>
      <c r="FT97" s="161">
        <f t="shared" ca="1" si="399"/>
        <v>93</v>
      </c>
      <c r="FU97" s="162" t="e">
        <f ca="1">IF(Control!$B$34=1,VLOOKUP($CP97,Control!$B$86:$G$91,6),Control!$B$35)</f>
        <v>#N/A</v>
      </c>
      <c r="FV97" s="162" t="e">
        <f t="shared" ca="1" si="275"/>
        <v>#DIV/0!</v>
      </c>
      <c r="FW97" s="162" t="e">
        <f ca="1">IF(Control!$B$31=1,$FU97*$FV97,  $FU97)</f>
        <v>#N/A</v>
      </c>
      <c r="FX97" s="162" t="e">
        <f ca="1">IF(Control!$B$34=1,VLOOKUP($CP97,Control!$B$86:$G$91,3),Control!$B$36)</f>
        <v>#N/A</v>
      </c>
      <c r="FY97" s="162" t="e">
        <f t="shared" ca="1" si="276"/>
        <v>#N/A</v>
      </c>
      <c r="FZ97" s="162" t="e">
        <f ca="1">IF(Control!$B$34=1,VLOOKUP($CP97,Control!$B$86:$G$91,4),Control!$B$37)</f>
        <v>#N/A</v>
      </c>
      <c r="GA97" s="162" t="e">
        <f t="shared" ca="1" si="277"/>
        <v>#N/A</v>
      </c>
      <c r="GB97" s="162" t="e">
        <f ca="1">IF(Control!$B$34=1,VLOOKUP($CP97,Control!$B$86:$G$91,5),Control!$B$38)</f>
        <v>#N/A</v>
      </c>
      <c r="GC97" s="162" t="e">
        <f t="shared" ca="1" si="400"/>
        <v>#N/A</v>
      </c>
      <c r="GD97" s="162">
        <f t="shared" ca="1" si="278"/>
        <v>1</v>
      </c>
      <c r="GE97" s="162">
        <f t="shared" ca="1" si="279"/>
        <v>1</v>
      </c>
      <c r="GF97" s="162">
        <f ca="1">IF(AND(Control!$C$104=1, Control!$C$62="F"),$GE97,1)</f>
        <v>1</v>
      </c>
      <c r="GG97" s="162" t="e">
        <f ca="1">IF(Control!$B$16=40,0,IF(AND(Control!$B$16&gt;40,Control!$B$16&lt;=360),(Control!$B$16-40)*((1-0)/(360-40)),IF(AND(Control!$B$16&gt;360,Control!$B$16&lt;=720),(1+(Control!$B$16-360)*((1.25-1)/(720-360))),IF(AND(Control!$B$16&gt;720,Control!$B$16&lt;=1000),(1.25+(Control!$B$16-720)*((1.35-1.25)/(1000-720))),IF(AND(Control!$B$16&gt;1000,Control!$B$16&lt;=2000),(1.35+(Control!$B$16-1000)*0))))))</f>
        <v>#N/A</v>
      </c>
      <c r="GH97" s="162" t="e">
        <f t="shared" ca="1" si="280"/>
        <v>#N/A</v>
      </c>
      <c r="GI97" s="162">
        <f t="shared" ca="1" si="401"/>
        <v>0</v>
      </c>
      <c r="GJ97" s="162">
        <f t="shared" ca="1" si="281"/>
        <v>0</v>
      </c>
      <c r="GK97" s="162">
        <f t="shared" ca="1" si="402"/>
        <v>1</v>
      </c>
      <c r="GL97" s="162">
        <f t="shared" ca="1" si="282"/>
        <v>1</v>
      </c>
      <c r="GM97" s="162" t="e">
        <f ca="1">MAX(0,MIN(1,1-Control!$C$156*(1.0001-$KH97)^2))</f>
        <v>#N/A</v>
      </c>
      <c r="GN97" s="162" t="e">
        <f ca="1">IF(Control!$B$26=1,$KU97,$KX97)</f>
        <v>#N/A</v>
      </c>
      <c r="GO97" s="162" t="e">
        <f ca="1">IF($CP97&lt;=60,Control!$C$105,IF($CP97&gt;=90,Control!$C$106,Control!$C$105+($CP97-60)*((Control!$C$106-Control!$C$105)/(90-60))))</f>
        <v>#N/A</v>
      </c>
      <c r="GP97" s="162" t="e">
        <f t="shared" ca="1" si="283"/>
        <v>#N/A</v>
      </c>
      <c r="GQ97" s="162" t="e">
        <f t="shared" ca="1" si="403"/>
        <v>#N/A</v>
      </c>
      <c r="GR97" s="163" t="e">
        <f t="shared" ca="1" si="284"/>
        <v>#DIV/0!</v>
      </c>
      <c r="GS97" s="162" t="e">
        <f t="shared" ca="1" si="285"/>
        <v>#DIV/0!</v>
      </c>
      <c r="GT97" s="164" t="e">
        <f t="shared" ca="1" si="404"/>
        <v>#N/A</v>
      </c>
      <c r="GU97" s="162" t="e">
        <f t="shared" ca="1" si="405"/>
        <v>#N/A</v>
      </c>
      <c r="GV97" s="162" t="e">
        <f t="shared" ca="1" si="286"/>
        <v>#N/A</v>
      </c>
      <c r="GW97" s="162" t="e">
        <f t="shared" ca="1" si="287"/>
        <v>#DIV/0!</v>
      </c>
      <c r="GX97" s="162" t="e">
        <f t="shared" ca="1" si="406"/>
        <v>#DIV/0!</v>
      </c>
      <c r="GY97" s="162" t="e">
        <f t="shared" ca="1" si="407"/>
        <v>#DIV/0!</v>
      </c>
      <c r="GZ97" s="165" t="e">
        <f t="shared" ca="1" si="288"/>
        <v>#N/A</v>
      </c>
      <c r="HA97" s="162" t="e">
        <f ca="1">IF(Control!$C$114=1, $DI97*$FS97, 0)</f>
        <v>#N/A</v>
      </c>
      <c r="HB97" s="162" t="e">
        <f ca="1">$FA97/Control!$C$64</f>
        <v>#N/A</v>
      </c>
      <c r="HC97" s="162" t="e">
        <f t="shared" ca="1" si="289"/>
        <v>#DIV/0!</v>
      </c>
      <c r="HD97" s="162">
        <f ca="1">-ASIN(SIN(23.45*Control!$C$139)*COS(2*Control!$C$138*($AH97+10)/365))</f>
        <v>8.0031320424047495E-2</v>
      </c>
      <c r="HE97" s="165">
        <f t="shared" ca="1" si="408"/>
        <v>0</v>
      </c>
      <c r="HF97" s="166">
        <f ca="1">IF(AND(Control!$C$61="T",$HE97&gt;=Control!$C$103,Control!$C$114=0),$AH97,Control!$C$59)</f>
        <v>1</v>
      </c>
      <c r="HG97" s="166">
        <f ca="1">IF(AND(Control!$C$61="T",$HE97&gt;=Control!$C$103,Control!$C$114=0),$HF97,Control!$C$59)</f>
        <v>1</v>
      </c>
      <c r="HH97" s="165">
        <f ca="1">IF(AND(OR(Control!$C$60&lt;=0, $AH97= Control!$C$59, Control!$C$60 &gt;0, $AH97 = Control!$C$60)), Control!$C$59, IF(Control!$C$60&gt;0, 0))</f>
        <v>1</v>
      </c>
      <c r="HI97" s="165">
        <f ca="1">IF(AND(OR(Control!$C$60&lt;=0, $AH97= Control!$C$59, Control!$C$60 &gt;0, $AH97 = Control!$C$60)), Control!$C$60, IF(Control!$C$60&lt;=0, 0))</f>
        <v>0</v>
      </c>
      <c r="HJ97" s="166">
        <f ca="1">IF(AND(Control!$C$62="F",$CV97&gt;=Control!$C$102),$AH97,0)</f>
        <v>0</v>
      </c>
      <c r="HK97" s="165" t="e">
        <f t="shared" ca="1" si="445"/>
        <v>#N/A</v>
      </c>
      <c r="HL97" s="166">
        <f ca="1">IF(AND(Control!$C$61="T",$HE97&gt;=Control!$C$103,Control!$C$114=0),$HF97,0)</f>
        <v>0</v>
      </c>
      <c r="HM97" s="201" t="e">
        <f t="shared" ca="1" si="290"/>
        <v>#DIV/0!</v>
      </c>
      <c r="HN97" s="215">
        <f t="shared" ca="1" si="409"/>
        <v>93</v>
      </c>
      <c r="HO97" s="216" t="e">
        <f ca="1">IF(AND($CP97&gt;=0, $CP97&lt;=90), Control!$C$152, Control!$C$152)</f>
        <v>#N/A</v>
      </c>
      <c r="HP97" s="216" t="e">
        <f t="shared" ca="1" si="291"/>
        <v>#N/A</v>
      </c>
      <c r="HQ97" s="217" t="e">
        <f ca="1">IF(OR(Control!$B$26=1,Control!$B$26=2),$KV97,$KS97)</f>
        <v>#DIV/0!</v>
      </c>
      <c r="HR97" s="218" t="e">
        <f t="shared" ca="1" si="446"/>
        <v>#DIV/0!</v>
      </c>
      <c r="HS97" s="216" t="e">
        <f ca="1">Control!$C$154*$HP97</f>
        <v>#N/A</v>
      </c>
      <c r="HT97" s="216" t="e">
        <f ca="1">Control!$C$155*$HP97</f>
        <v>#N/A</v>
      </c>
      <c r="HU97" s="217" t="e">
        <f ca="1">Control!$C$161*$FI97</f>
        <v>#N/A</v>
      </c>
      <c r="HV97" s="218" t="e">
        <f t="shared" ca="1" si="410"/>
        <v>#N/A</v>
      </c>
      <c r="HW97" s="218" t="e">
        <f ca="1">Control!$C$160*$FF97+$IP97*$EO97</f>
        <v>#N/A</v>
      </c>
      <c r="HX97" s="218" t="e">
        <f t="shared" ca="1" si="447"/>
        <v>#N/A</v>
      </c>
      <c r="HY97" s="219" t="e">
        <f ca="1">IF(Control!$C$114=1, $EB97*$FS97, 0)</f>
        <v>#N/A</v>
      </c>
      <c r="HZ97" s="91" t="e">
        <f t="shared" ca="1" si="292"/>
        <v>#N/A</v>
      </c>
      <c r="IA97" s="220" t="e">
        <f ca="1">Control!$C$153*$HO97</f>
        <v>#N/A</v>
      </c>
      <c r="IB97" s="218" t="e">
        <f t="shared" ca="1" si="293"/>
        <v>#N/A</v>
      </c>
      <c r="IC97" s="220" t="e">
        <f ca="1">Control!$C$153*$HT97</f>
        <v>#N/A</v>
      </c>
      <c r="ID97" s="218" t="e">
        <f t="shared" ca="1" si="294"/>
        <v>#N/A</v>
      </c>
      <c r="IE97" s="221" t="e">
        <f ca="1">($EB97*Control!$C$159+$EF97*Control!$C$160)/(IF($GZ97&lt;&gt;0,$GZ97,1))</f>
        <v>#N/A</v>
      </c>
      <c r="IF97" s="216" t="e">
        <f t="shared" ca="1" si="295"/>
        <v>#N/A</v>
      </c>
      <c r="IG97" s="91">
        <f ca="1">IF(OR(Control!$B$198=$AH97,Control!$B$199=$AH97, Control!$B$200=$AH97, Control!$B$201=$AH97, Control!$B$202=$AH97, Control!$B$203=$AH97, Control!$B$204=$AH97, Control!$B$205=$AH97, Control!$B$206=$AH97, Control!$B$207=$AH97), 1, 0)</f>
        <v>0</v>
      </c>
      <c r="IH97" s="91">
        <f ca="1">IF($IG97=0,0, VLOOKUP($AH97,Control!$B$198:$C$207,2))</f>
        <v>0</v>
      </c>
      <c r="II97" s="222">
        <f t="shared" ca="1" si="411"/>
        <v>0</v>
      </c>
      <c r="IJ97" s="91">
        <f>Control!$C$121</f>
        <v>0.7</v>
      </c>
      <c r="IK97" s="218">
        <f t="shared" ca="1" si="296"/>
        <v>0</v>
      </c>
      <c r="IL97" s="217" t="e">
        <f t="shared" ca="1" si="448"/>
        <v>#N/A</v>
      </c>
      <c r="IM97" s="223" t="e">
        <f ca="1">IF(AND(Control!$C$114=1,$KH97&lt;1),$EB97*Control!$C$148*(1-$KH97), 0)</f>
        <v>#N/A</v>
      </c>
      <c r="IN97" s="217" t="e">
        <f t="shared" ca="1" si="297"/>
        <v>#DIV/0!</v>
      </c>
      <c r="IO97" s="91" t="e">
        <f ca="1">MAX(0,$IL97-$EF97*Control!$C$160)</f>
        <v>#N/A</v>
      </c>
      <c r="IP97" s="220" t="e">
        <f t="shared" ca="1" si="298"/>
        <v>#N/A</v>
      </c>
      <c r="IQ97" s="217" t="e">
        <f t="shared" ca="1" si="412"/>
        <v>#N/A</v>
      </c>
      <c r="IR97" s="218" t="e">
        <f t="shared" ca="1" si="299"/>
        <v>#N/A</v>
      </c>
      <c r="IS97" s="217" t="e">
        <f ca="1">Control!$C$159*MAX(0,$FD97-$EN97)</f>
        <v>#N/A</v>
      </c>
      <c r="IT97" s="217" t="e">
        <f t="shared" ca="1" si="449"/>
        <v>#N/A</v>
      </c>
      <c r="IU97" s="217" t="e">
        <f t="shared" ca="1" si="413"/>
        <v>#N/A</v>
      </c>
      <c r="IV97" s="217" t="e">
        <f t="shared" ca="1" si="450"/>
        <v>#N/A</v>
      </c>
      <c r="IW97" s="217" t="e">
        <f ca="1">IF(OR($AW97=1,AND($AW97=0, Control!$B$18=1,$EN97&lt;&gt;0)), $IQ97-$IU97, $IQ97)</f>
        <v>#N/A</v>
      </c>
      <c r="IX97" s="218" t="e">
        <f t="shared" ca="1" si="300"/>
        <v>#N/A</v>
      </c>
      <c r="IY97" s="218" t="e">
        <f ca="1">MAX(0,$IQ97-$EB97*Control!$C$159)</f>
        <v>#N/A</v>
      </c>
      <c r="IZ97" s="218" t="e">
        <f t="shared" ca="1" si="301"/>
        <v>#N/A</v>
      </c>
      <c r="JA97" s="216" t="e">
        <f t="shared" ca="1" si="302"/>
        <v>#N/A</v>
      </c>
      <c r="JB97" s="217" t="e">
        <f t="shared" ca="1" si="303"/>
        <v>#N/A</v>
      </c>
      <c r="JC97" s="222" t="e">
        <f ca="1">MAX(Control!$C$157*$EK97-$JT97, 0)/Control!$C$162</f>
        <v>#N/A</v>
      </c>
      <c r="JD97" s="218" t="e">
        <f t="shared" ca="1" si="304"/>
        <v>#N/A</v>
      </c>
      <c r="JE97" s="218" t="e">
        <f t="shared" ca="1" si="305"/>
        <v>#N/A</v>
      </c>
      <c r="JF97" s="218" t="e">
        <f t="shared" ca="1" si="414"/>
        <v>#N/A</v>
      </c>
      <c r="JG97" s="218" t="e">
        <f t="shared" ca="1" si="306"/>
        <v>#N/A</v>
      </c>
      <c r="JH97" s="217" t="e">
        <f t="shared" ca="1" si="415"/>
        <v>#N/A</v>
      </c>
      <c r="JI97" s="217" t="e">
        <f t="shared" ca="1" si="416"/>
        <v>#N/A</v>
      </c>
      <c r="JJ97" s="217" t="e">
        <f t="shared" ca="1" si="451"/>
        <v>#N/A</v>
      </c>
      <c r="JK97" s="217" t="e">
        <f ca="1">IF(Control!$C$114=1,IF(Control!$B$24=0,MAX(0,$JI97)*$GN97/Control!$C$64,(MAX(0,MIN($JI97,$JJ97*$GN97/Control!$C$64),0))))</f>
        <v>#N/A</v>
      </c>
      <c r="JL97" s="217" t="e">
        <f ca="1">$IK97/Control!$C$64-$JK97+$HQ97</f>
        <v>#N/A</v>
      </c>
      <c r="JM97" s="217" t="e">
        <f ca="1">IF(Control!$C$114=1,($JB97/(IF($JI97&lt;&gt;0,$JI97,1)))*$JK97,0)</f>
        <v>#N/A</v>
      </c>
      <c r="JN97" s="217" t="e">
        <f ca="1">IF(Control!$C$114=1,($JG97/(IF($JI97&lt;&gt;0,$JI97,1)))*$JK97, 0)</f>
        <v>#N/A</v>
      </c>
      <c r="JO97" s="218" t="e">
        <f t="shared" ca="1" si="307"/>
        <v>#N/A</v>
      </c>
      <c r="JP97" s="218" t="e">
        <f ca="1">MIN(($IY97+$IO97)*Control!$C$151, $JF97-$EH97*Control!$C$161)</f>
        <v>#N/A</v>
      </c>
      <c r="JQ97" s="218" t="e">
        <f t="shared" ca="1" si="308"/>
        <v>#N/A</v>
      </c>
      <c r="JR97" s="217" t="e">
        <f ca="1">IF($CP97-Control!$C$150&lt;0, 0, $JQ97/Control!$C$162)</f>
        <v>#N/A</v>
      </c>
      <c r="JS97" s="218" t="e">
        <f t="shared" ca="1" si="309"/>
        <v>#N/A</v>
      </c>
      <c r="JT97" s="218" t="e">
        <f t="shared" ca="1" si="417"/>
        <v>#N/A</v>
      </c>
      <c r="JU97" s="218" t="e">
        <f t="shared" ca="1" si="310"/>
        <v>#N/A</v>
      </c>
      <c r="JV97" s="218" t="e">
        <f t="shared" ca="1" si="311"/>
        <v>#N/A</v>
      </c>
      <c r="JW97" s="216" t="e">
        <f t="shared" ca="1" si="312"/>
        <v>#N/A</v>
      </c>
      <c r="JX97" s="91" t="e">
        <f t="shared" ca="1" si="313"/>
        <v>#N/A</v>
      </c>
      <c r="JY97" s="218" t="e">
        <f t="shared" ca="1" si="314"/>
        <v>#N/A</v>
      </c>
      <c r="JZ97" s="217" t="e">
        <f ca="1">IF(Control!$C$114=1,($IZ97/(IF($JI97&lt;&gt;0,$JI97,1)))*$JK97, 0)</f>
        <v>#N/A</v>
      </c>
      <c r="KA97" s="218" t="e">
        <f t="shared" ca="1" si="452"/>
        <v>#N/A</v>
      </c>
      <c r="KB97" s="218" t="e">
        <f t="shared" ca="1" si="418"/>
        <v>#N/A</v>
      </c>
      <c r="KC97" s="218" t="e">
        <f t="shared" ca="1" si="315"/>
        <v>#N/A</v>
      </c>
      <c r="KD97" s="218" t="e">
        <f t="shared" ca="1" si="316"/>
        <v>#N/A</v>
      </c>
      <c r="KE97" s="218" t="e">
        <f t="shared" ca="1" si="317"/>
        <v>#N/A</v>
      </c>
      <c r="KF97" s="218" t="e">
        <f t="shared" ca="1" si="318"/>
        <v>#N/A</v>
      </c>
      <c r="KG97" s="216" t="e">
        <f t="shared" ca="1" si="319"/>
        <v>#N/A</v>
      </c>
      <c r="KH97" s="221" t="e">
        <f ca="1">IF(Control!$B$24=0,1,MAX(0.001,MIN(1,IF(($IF97-$IE97)&lt;&gt;0,($KG97-$IE97)/($IF97-$IE97),1))))</f>
        <v>#N/A</v>
      </c>
      <c r="KI97" s="222" t="e">
        <f ca="1">IF(Control!$C$114=1, $KI96+ $KH96, 0)</f>
        <v>#N/A</v>
      </c>
      <c r="KJ97" s="217" t="e">
        <f t="shared" ca="1" si="320"/>
        <v>#N/A</v>
      </c>
      <c r="KK97" s="218" t="e">
        <f t="shared" ca="1" si="321"/>
        <v>#N/A</v>
      </c>
      <c r="KL97" s="274" t="e">
        <f ca="1">IF(Control!$B$26=3,4000000000*EXP(-8400/($G97+273)),IF(Control!$B$26=4,4000000000*EXP(-8400/($G97+273))*($KT97),0))</f>
        <v>#DIV/0!</v>
      </c>
      <c r="KM97" s="274" t="e">
        <f ca="1">IF(Control!$B$26=3,5600000000000*EXP(-9800/($G97+273)),IF(Control!$B$26=4,5600000000000*EXP(-9800/($G97+273))*$KT97,0))</f>
        <v>#DIV/0!</v>
      </c>
      <c r="KN97" s="454" t="e">
        <f t="shared" ca="1" si="419"/>
        <v>#DIV/0!</v>
      </c>
      <c r="KO97" s="274" t="e">
        <f t="shared" ca="1" si="420"/>
        <v>#DIV/0!</v>
      </c>
      <c r="KP97" s="454" t="e">
        <f t="shared" ca="1" si="322"/>
        <v>#DIV/0!</v>
      </c>
      <c r="KQ97" s="454" t="e">
        <f t="shared" ca="1" si="323"/>
        <v>#DIV/0!</v>
      </c>
      <c r="KR97" s="454" t="e">
        <f t="shared" ca="1" si="324"/>
        <v>#DIV/0!</v>
      </c>
      <c r="KS97" s="454" t="e">
        <f t="shared" ca="1" si="325"/>
        <v>#DIV/0!</v>
      </c>
      <c r="KT97" s="455" t="e">
        <f t="shared" ca="1" si="326"/>
        <v>#DIV/0!</v>
      </c>
      <c r="KU97" s="456" t="e">
        <f ca="1">IF($CP97-Control!$C$149&lt;0, IF($NT97-0.01&lt;0,0,1),0)</f>
        <v>#N/A</v>
      </c>
      <c r="KV97" s="456" t="e">
        <f ca="1">IF(Control!$C$114=1,MAX(0,MIN(Control!$C$125*$KW97*$GN97,$KW97)))</f>
        <v>#DIV/0!</v>
      </c>
      <c r="KW97" s="456" t="e">
        <f t="shared" ca="1" si="453"/>
        <v>#DIV/0!</v>
      </c>
      <c r="KX97" s="457" t="e">
        <f ca="1">IF($CP97-Control!$C$149&lt;0, IF($MR97-$OM97&lt;0,0,1),0)</f>
        <v>#N/A</v>
      </c>
      <c r="KY97" s="167">
        <f t="shared" ca="1" si="421"/>
        <v>93</v>
      </c>
      <c r="KZ97" s="168">
        <f ca="1">1370*(1+0.033*COS(2*Control!$C$138*$AH97/365))</f>
        <v>1368.6380918442505</v>
      </c>
      <c r="LA97" s="169">
        <f t="shared" ca="1" si="422"/>
        <v>0.99900602994005205</v>
      </c>
      <c r="LB97" s="169">
        <f t="shared" ca="1" si="423"/>
        <v>8.5628551442306938E-2</v>
      </c>
      <c r="LC97" s="169">
        <f ca="1">ACOS(-TAN((2*Control!$B$8/360))*TAN(Calculations!$LB97))</f>
        <v>1.5963105511345355</v>
      </c>
      <c r="LD97" s="169">
        <f ca="1">((24*60)/PI())*0.082*$LA97*(($LC97*SIN(Control!$B$8*2*PI()/360))*SIN($LB97)+COS(Control!$B$8*2*PI()/360)*COS($LB97)*SIN($LC97))</f>
        <v>27.064614775292828</v>
      </c>
      <c r="LE97" s="170">
        <f t="shared" ca="1" si="327"/>
        <v>26.945580526546227</v>
      </c>
      <c r="LF97" s="170">
        <f ca="1">SIN(Control!$C$139*Control!$B$8)*SIN($HD97)</f>
        <v>6.2998344540891094E-2</v>
      </c>
      <c r="LG97" s="170">
        <f ca="1">COS(Control!$C$139*Control!$B$8)*COS($HD97)</f>
        <v>0.61368920079037081</v>
      </c>
      <c r="LH97" s="170">
        <f ca="1">12*(1+2*ASIN(MAX(-1,MIN(1,$LF97/$LG97))/Control!$C$138))</f>
        <v>12.784365213587076</v>
      </c>
      <c r="LI97" s="170">
        <f ca="1">12*(1+2*ASIN(MAX(-1,MIN(1,(-SIN(-4*Control!$C$139)+$LF97)/$LG97))/Control!$C$138))</f>
        <v>13.653889488852984</v>
      </c>
      <c r="LJ97" s="168">
        <f ca="1">3600*($LH97*$LF97+24*$LG97*SQRT(1-$LK97*$LK97)/Control!$C$138)</f>
        <v>19687.878546648401</v>
      </c>
      <c r="LK97" s="170">
        <f t="shared" ca="1" si="328"/>
        <v>0.10265512976235443</v>
      </c>
      <c r="LL97" s="170">
        <f t="shared" ca="1" si="329"/>
        <v>0</v>
      </c>
      <c r="LM97" s="171">
        <f ca="1">Control!$C$145*$AB97</f>
        <v>6.6660906138995932E-2</v>
      </c>
      <c r="LN97" s="170">
        <f t="shared" ca="1" si="424"/>
        <v>0.54</v>
      </c>
      <c r="LO97" s="170">
        <f t="shared" ca="1" si="330"/>
        <v>0</v>
      </c>
      <c r="LP97" s="170">
        <f ca="1">Control!$C$140*((($D97+273.16)^4+($E97+273.16)^4)/2)*(0.34-0.14*SQRT($Y97))*(1.35*$AQ97/(0.75*$LD97)-0.35)</f>
        <v>-3.2464704755046001</v>
      </c>
      <c r="LQ97" s="170">
        <f ca="1">Control!$C$140*($G97+273)^4*(0.56-0.079*SQRT($Y97*10))*(0.1+0.9*$LO97)</f>
        <v>1.5241745131704001</v>
      </c>
      <c r="LR97" s="170">
        <f ca="1">$AQ97*(1-Control!$C$142)-$LQ97</f>
        <v>-1.5241745131704001</v>
      </c>
      <c r="LS97" s="170">
        <f ca="1">$AQ97*(1-Control!$C$143)-$LQ97</f>
        <v>-1.5241745131704001</v>
      </c>
      <c r="LT97" s="170">
        <f ca="1">$AQ97*(1-Control!$C$144)-$LQ97</f>
        <v>-1.5241745131704001</v>
      </c>
      <c r="LU97" s="169">
        <f ca="1">(1-Control!$C$144)*AQ97-LP97</f>
        <v>3.2464704755046001</v>
      </c>
      <c r="LV97" s="172">
        <f t="shared" ca="1" si="331"/>
        <v>0.79430000000000012</v>
      </c>
      <c r="LW97" s="170">
        <f t="shared" ca="1" si="332"/>
        <v>1.5886000000000002</v>
      </c>
      <c r="LX97" s="170">
        <f ca="1">($AC97*($LR97/Control!$C$141)+$LM97*$LV97)/($AC97+$LM97)</f>
        <v>0.23530094218323697</v>
      </c>
      <c r="LY97" s="170">
        <f ca="1">($AC97*($LS97/Control!$C$141)+$LM97*$LV97)/($AC97+$LM97)</f>
        <v>0.23530094218323697</v>
      </c>
      <c r="LZ97" s="170">
        <f t="shared" ca="1" si="333"/>
        <v>0.23530094218323697</v>
      </c>
      <c r="MA97" s="170">
        <f t="shared" ca="1" si="334"/>
        <v>0.23530094218323697</v>
      </c>
      <c r="MB97" s="170" t="e">
        <f t="shared" ca="1" si="335"/>
        <v>#N/A</v>
      </c>
      <c r="MC97" s="170">
        <f t="shared" ca="1" si="425"/>
        <v>0.6018</v>
      </c>
      <c r="MD97" s="170">
        <f t="shared" ca="1" si="336"/>
        <v>0.52989392535414004</v>
      </c>
      <c r="ME97" s="170">
        <f ca="1">($AC97*($LT97/Control!$C$141)+$LM97*$LW97)/($AC97+$LM97)</f>
        <v>0.71612369323045078</v>
      </c>
      <c r="MF97" s="170" t="e">
        <f ca="1">IF(Control!$B$16&gt;=1000,0.92,IF(AND(720&lt;=Control!$B$16,1000&gt;Control!$B$16),(0.95+(Control!$B$16-720)*((0.92-0.95)/(1000-720))),IF(AND(360&lt;=Control!$B$16,720&gt;Control!$B$16),(1+(Control!$B$16-360)*((0.95-1)/(720-360))),IF(AND(40&lt;=Control!$B$16,360&gt;Control!$B$16),(1.05+(Control!$B$16-40)*((1.05-1)/(360-40)))))))</f>
        <v>#N/A</v>
      </c>
      <c r="MG97" s="170">
        <f t="shared" ca="1" si="337"/>
        <v>0.71612369323045078</v>
      </c>
      <c r="MH97" s="170" t="e">
        <f t="shared" ca="1" si="462"/>
        <v>#N/A</v>
      </c>
      <c r="MI97" s="170" t="e">
        <f t="shared" ca="1" si="462"/>
        <v>#N/A</v>
      </c>
      <c r="MJ97" s="170" t="e">
        <f ca="1">MAX(0.0001, Control!$C$132*$MI97*$DL97)</f>
        <v>#N/A</v>
      </c>
      <c r="MK97" s="170">
        <f ca="1">1/(0.76+1.5*($MG97/10))-(5-Control!$C$110)*0.1</f>
        <v>1.002845988140797</v>
      </c>
      <c r="ML97" s="173">
        <f ca="1">IF(Control!$C$110&lt;3,$MK97+($MG97-0.6)/(Control!$C$110*(Control!$C$110+3)), MAX(0.1, MIN(0.95,$MK97)))</f>
        <v>0.95</v>
      </c>
      <c r="MM97" s="173">
        <f ca="1">IF(Control!$C$110&lt;3,$MK97+(($MI97/10)-0.6)/(Control!$C$110*(Control!$C$110+3)), MAX(0.1, MIN(0.95,$MK97)))</f>
        <v>0.95</v>
      </c>
      <c r="MN97" s="173">
        <f ca="1">(1-$MM97)*(Control!$C$128-Control!$C$127)+Control!$C$127</f>
        <v>0.16</v>
      </c>
      <c r="MO97" s="170" t="e">
        <f ca="1">MAX(0,MIN(1,($MS97-Control!$C$127)/($MN97-Control!$C$127)))</f>
        <v>#DIV/0!</v>
      </c>
      <c r="MP97" s="173" t="e">
        <f ca="1">1/(0.76+1.5*$MI97)-(5-Control!$C$110)*0.1</f>
        <v>#N/A</v>
      </c>
      <c r="MQ97" s="172" t="e">
        <f t="shared" ca="1" si="454"/>
        <v>#DIV/0!</v>
      </c>
      <c r="MR97" s="168" t="e">
        <f t="shared" ca="1" si="426"/>
        <v>#DIV/0!</v>
      </c>
      <c r="MS97" s="173" t="e">
        <f ca="1">MAX(Control!$C$127, MIN(Control!$C$135, $MR97/MAX(0.0001,$CY97)))</f>
        <v>#DIV/0!</v>
      </c>
      <c r="MT97" s="168" t="e">
        <f ca="1">(Control!$C$128-$MS97)*Control!$C$74</f>
        <v>#DIV/0!</v>
      </c>
      <c r="MU97" s="168" t="e">
        <f ca="1">(Control!$C$135-$MS97)*Control!$C$74</f>
        <v>#DIV/0!</v>
      </c>
      <c r="MV97" s="168" t="e">
        <f t="shared" ca="1" si="427"/>
        <v>#DIV/0!</v>
      </c>
      <c r="MW97" s="168" t="e">
        <f t="shared" ca="1" si="428"/>
        <v>#DIV/0!</v>
      </c>
      <c r="MX97" s="171" t="e">
        <f ca="1">MAX(Control!$C$127, MIN(Control!$C$135, $MW97/MAX(0.0001,Control!$C$119-$CY97)))</f>
        <v>#DIV/0!</v>
      </c>
      <c r="MY97" s="54" t="e">
        <f ca="1">IF(Control!$C$114=1, $CX97*$MX97, 0)</f>
        <v>#DIV/0!</v>
      </c>
      <c r="MZ97" s="54" t="e">
        <f t="shared" ca="1" si="429"/>
        <v>#N/A</v>
      </c>
      <c r="NA97" s="168" t="e">
        <f ca="1">(Control!$C$128-$MX97)*(Control!$C$119-Control!$C$74)</f>
        <v>#DIV/0!</v>
      </c>
      <c r="NB97" s="168" t="e">
        <f ca="1">(Control!$C$135-$MX97)*(Control!$C$119-Control!$C$74)</f>
        <v>#DIV/0!</v>
      </c>
      <c r="NC97" s="174" t="e">
        <f t="shared" ca="1" si="430"/>
        <v>#DIV/0!</v>
      </c>
      <c r="ND97" s="54">
        <f ca="1">IF(Control!$C$58=2, IF(OR(Control!$B$218=$AH97,Control!$B$219=$AH97, Control!$B$220=$AH97, Control!$B$221=$AH97, Control!$B$222=$AH97, Control!$B$223=$AH97, Control!$B$224=$AH97, Control!$B$225=$AH97, Control!$B$226=$AH97, Control!$B$227=$AH97, Control!$B$228=$AH97), 1, 0), 0)</f>
        <v>0</v>
      </c>
      <c r="NE97" s="54">
        <f ca="1">IF($ND97=0,0, VLOOKUP($AH97,Control!$B$218:$C$228,2))</f>
        <v>0</v>
      </c>
      <c r="NF97" s="168" t="e">
        <f ca="1">$CY97*(Control!$C$128-Control!$C$127)</f>
        <v>#N/A</v>
      </c>
      <c r="NG97" s="54" t="e">
        <f ca="1">IF(Control!$C$58=2, $NI96-$NJ96, 0)</f>
        <v>#DIV/0!</v>
      </c>
      <c r="NH97" s="54" t="e">
        <f ca="1">IF(AND(Control!$C$58=1, $MS96&lt;= ($MN96+0.02), $I96&lt;10), 0, IF(Control!$C$58=2, $NG96, 0))</f>
        <v>#DIV/0!</v>
      </c>
      <c r="NI97" s="54" t="e">
        <f ca="1">IF(Control!$C$58=2, $NE97+$NH97,0)</f>
        <v>#DIV/0!</v>
      </c>
      <c r="NJ97" s="54" t="e">
        <f ca="1">IF(AND(Control!$C$58=1, $MS97&lt;= ($MN97+0.02), $I97&lt;10), MAX(0, MIN(10, 0.7*($NF97-$MV97))), IF(Control!$C$58=2, MIN(10,$NI97),0))</f>
        <v>#DIV/0!</v>
      </c>
      <c r="NK97" s="54" t="e">
        <f t="shared" ca="1" si="338"/>
        <v>#DIV/0!</v>
      </c>
      <c r="NL97" s="173" t="e">
        <f ca="1">(1-Control!$C$73)*$I97+$NJ97</f>
        <v>#DIV/0!</v>
      </c>
      <c r="NM97" s="172" t="e">
        <f ca="1">IF($NL97&lt;0.5, $MB97* MAX(0, MIN(1, (SQRT($NC97)-SQRT($NC97-1))*Control!$C$71)),0)</f>
        <v>#DIV/0!</v>
      </c>
      <c r="NN97" s="170" t="e">
        <f ca="1">IF($NL97&gt;=5, $MB97, MAX(0,MIN($MB97, $NM97+$NL97,($MS97-Control!$C$129))))</f>
        <v>#DIV/0!</v>
      </c>
      <c r="NO97" s="54">
        <f>IF(Control!$C$133&lt;&gt;1, Control!$C$135-Control!$C$131, 0)</f>
        <v>0.38</v>
      </c>
      <c r="NP97" s="54" t="e">
        <f t="shared" ca="1" si="339"/>
        <v>#DIV/0!</v>
      </c>
      <c r="NQ97" s="173" t="e">
        <f ca="1">MAX(0,MIN(1,(Control!$C$135-$MS97)/(Control!$C$135-$NO97)))</f>
        <v>#DIV/0!</v>
      </c>
      <c r="NR97" s="170" t="e">
        <f ca="1">IF(Control!$C$133&lt;&gt;1, $NQ97+((1-$NP97/4)*(1-$NQ97)),1)</f>
        <v>#DIV/0!</v>
      </c>
      <c r="NS97" s="170" t="e">
        <f ca="1">IF(Control!$B$31=0,$MJ97,MAX(0,MIN($MV97,$MO97*$NR97*$MJ97)))</f>
        <v>#DIV/0!</v>
      </c>
      <c r="NT97" s="170" t="e">
        <f t="shared" ca="1" si="455"/>
        <v>#DIV/0!</v>
      </c>
      <c r="NU97" s="170" t="e">
        <f t="shared" ca="1" si="431"/>
        <v>#N/A</v>
      </c>
      <c r="NV97" s="170" t="e">
        <f t="shared" ca="1" si="340"/>
        <v>#N/A</v>
      </c>
      <c r="NW97" s="175" t="e">
        <f t="shared" ca="1" si="341"/>
        <v>#DIV/0!</v>
      </c>
      <c r="NX97" s="170" t="e">
        <f ca="1">MIN(Control!$C$72+$MU97, $NW97)</f>
        <v>#DIV/0!</v>
      </c>
      <c r="NY97" s="170" t="e">
        <f ca="1">IF($MT97&lt;=$NX97,MIN(Control!$C$72+$NB97,$NX97-$MT97),0)</f>
        <v>#DIV/0!</v>
      </c>
      <c r="NZ97" s="54" t="e">
        <f ca="1">IF(Control!$C$114=1,  $CX97*($MX97-Control!$C$127), 0)</f>
        <v>#DIV/0!</v>
      </c>
      <c r="OA97" s="170" t="e">
        <f t="shared" ca="1" si="342"/>
        <v>#DIV/0!</v>
      </c>
      <c r="OB97" s="170" t="e">
        <f ca="1">IF($NA97 &lt;=$NY97, MIN(Control!$C$72, $NY97-$NA97), 0)</f>
        <v>#DIV/0!</v>
      </c>
      <c r="OC97" s="168" t="e">
        <f t="shared" ca="1" si="343"/>
        <v>#DIV/0!</v>
      </c>
      <c r="OD97" s="168" t="e">
        <f t="shared" ca="1" si="432"/>
        <v>#DIV/0!</v>
      </c>
      <c r="OE97" s="170">
        <f ca="1">Control!$C$73*$I97</f>
        <v>0</v>
      </c>
      <c r="OF97" s="176" t="e">
        <f t="shared" ca="1" si="344"/>
        <v>#DIV/0!</v>
      </c>
      <c r="OG97" s="168" t="e">
        <f t="shared" ca="1" si="345"/>
        <v>#DIV/0!</v>
      </c>
      <c r="OH97" s="168" t="e">
        <f t="shared" ca="1" si="346"/>
        <v>#DIV/0!</v>
      </c>
      <c r="OI97" s="168" t="e">
        <f t="shared" ca="1" si="347"/>
        <v>#DIV/0!</v>
      </c>
      <c r="OJ97" s="168" t="e">
        <f t="shared" ca="1" si="348"/>
        <v>#DIV/0!</v>
      </c>
      <c r="OK97" s="204" t="e">
        <f t="shared" ca="1" si="349"/>
        <v>#DIV/0!</v>
      </c>
      <c r="OL97" s="177">
        <f>Control!$C$127</f>
        <v>0.15</v>
      </c>
      <c r="OM97" s="182" t="e">
        <f t="shared" ca="1" si="350"/>
        <v>#N/A</v>
      </c>
      <c r="ON97" s="177">
        <f>Control!$C$128</f>
        <v>0.35</v>
      </c>
      <c r="OO97" s="182" t="e">
        <f t="shared" ca="1" si="351"/>
        <v>#N/A</v>
      </c>
      <c r="OP97" s="138">
        <f t="shared" ca="1" si="433"/>
        <v>0</v>
      </c>
      <c r="OQ97" s="138" t="e">
        <f t="shared" ca="1" si="456"/>
        <v>#DIV/0!</v>
      </c>
      <c r="OR97" s="138" t="e">
        <f t="shared" ca="1" si="434"/>
        <v>#DIV/0!</v>
      </c>
      <c r="OS97" s="137" t="e">
        <f t="shared" ca="1" si="457"/>
        <v>#DIV/0!</v>
      </c>
      <c r="OT97" s="139" t="e">
        <f t="shared" ca="1" si="458"/>
        <v>#DIV/0!</v>
      </c>
      <c r="OU97" s="138" t="e">
        <f t="shared" ca="1" si="459"/>
        <v>#N/A</v>
      </c>
      <c r="OV97" s="138" t="e">
        <f t="shared" ca="1" si="460"/>
        <v>#DIV/0!</v>
      </c>
      <c r="OW97" s="138" t="e">
        <f t="shared" ca="1" si="435"/>
        <v>#DIV/0!</v>
      </c>
      <c r="OX97" s="138" t="e">
        <f t="shared" ca="1" si="436"/>
        <v>#DIV/0!</v>
      </c>
      <c r="OY97" s="138" t="e">
        <f t="shared" ca="1" si="437"/>
        <v>#DIV/0!</v>
      </c>
      <c r="OZ97" s="138" t="e">
        <f t="shared" ca="1" si="352"/>
        <v>#DIV/0!</v>
      </c>
      <c r="PA97" s="138" t="e">
        <f t="shared" ca="1" si="353"/>
        <v>#DIV/0!</v>
      </c>
      <c r="PB97" s="55">
        <f>IF(Control!$C$61="T", IF(Control!$C$65="F", IF($AH$6-Control!$C$60&lt;0,0,1), IF(365+$AH$6-Control!$C$60&lt;0,0,1)),0)</f>
        <v>0</v>
      </c>
      <c r="PC97" s="55">
        <f ca="1">IF(Control!$C$65="F", IF($AH$6-$HF97&lt;0,0,1), IF(365+$AH$6-$HF97&lt;0,0,1))</f>
        <v>1</v>
      </c>
      <c r="PD97" s="444">
        <f>Control!$C$118</f>
        <v>1500</v>
      </c>
      <c r="PE97" s="180" t="e">
        <f t="shared" ca="1" si="354"/>
        <v>#N/A</v>
      </c>
      <c r="PF97" s="445">
        <f t="shared" ca="1" si="438"/>
        <v>0.71612369323045078</v>
      </c>
      <c r="PT97" s="186"/>
      <c r="PU97" s="186"/>
      <c r="PV97" s="94"/>
      <c r="PW97" s="94"/>
      <c r="PX97" s="94"/>
      <c r="PY97" s="94"/>
      <c r="PZ97" s="94"/>
      <c r="QA97" s="94"/>
      <c r="QB97" s="94"/>
      <c r="QC97" s="94"/>
      <c r="QD97" s="94"/>
      <c r="QE97" s="94"/>
      <c r="QF97" s="94"/>
      <c r="QG97" s="94"/>
      <c r="QH97" s="94"/>
      <c r="QI97" s="94"/>
      <c r="QJ97" s="94"/>
      <c r="QK97" s="94"/>
      <c r="QL97" s="94"/>
      <c r="QM97" s="94"/>
      <c r="QN97" s="94"/>
      <c r="QO97" s="94"/>
      <c r="QP97" s="94"/>
    </row>
    <row r="98" spans="1:458" s="2" customFormat="1" x14ac:dyDescent="0.2">
      <c r="A98" s="395">
        <v>3</v>
      </c>
      <c r="B98" s="396">
        <v>4</v>
      </c>
      <c r="C98" s="387">
        <f ca="1">Weather_data!$B97</f>
        <v>0</v>
      </c>
      <c r="D98" s="388">
        <f ca="1">Weather_data!$F97</f>
        <v>0</v>
      </c>
      <c r="E98" s="388">
        <f ca="1">Weather_data!$E97</f>
        <v>0</v>
      </c>
      <c r="F98" s="388">
        <f t="shared" ca="1" si="355"/>
        <v>0</v>
      </c>
      <c r="G98" s="388">
        <f ca="1">AVERAGE($D98:$E98)+Control!$B$9</f>
        <v>0</v>
      </c>
      <c r="H98" s="388">
        <f ca="1">Weather_data!$G97</f>
        <v>0</v>
      </c>
      <c r="I98" s="388">
        <f ca="1">Weather_data!$I97</f>
        <v>0</v>
      </c>
      <c r="J98" s="388">
        <f ca="1">Weather_data!$H97</f>
        <v>0</v>
      </c>
      <c r="K98" s="389">
        <f ca="1">Weather_data!$D97</f>
        <v>0</v>
      </c>
      <c r="L98" s="388" t="e">
        <f t="shared" ca="1" si="356"/>
        <v>#N/A</v>
      </c>
      <c r="M98" s="388" t="e">
        <f t="shared" ca="1" si="234"/>
        <v>#N/A</v>
      </c>
      <c r="N98" s="388">
        <f t="shared" ca="1" si="235"/>
        <v>-3.0851825958575887E-5</v>
      </c>
      <c r="O98" s="388">
        <f t="shared" ca="1" si="357"/>
        <v>3.085182595857589E-4</v>
      </c>
      <c r="P98" s="390">
        <v>3</v>
      </c>
      <c r="Q98" s="388">
        <f ca="1">MAX($G98-Control!$C$107,0)</f>
        <v>0</v>
      </c>
      <c r="R98" s="388">
        <f t="shared" ca="1" si="358"/>
        <v>0</v>
      </c>
      <c r="S98" s="388">
        <f t="shared" ca="1" si="236"/>
        <v>0</v>
      </c>
      <c r="T98" s="388">
        <f t="shared" ca="1" si="237"/>
        <v>0</v>
      </c>
      <c r="U98" s="59">
        <f t="shared" ca="1" si="238"/>
        <v>0</v>
      </c>
      <c r="V98" s="391">
        <f ca="1">MAX(0,MIN(Control!$C$100-Control!$C$99,$G98-Control!$C$99)*Control!$C$63)</f>
        <v>0</v>
      </c>
      <c r="W98" s="388">
        <f t="shared" ca="1" si="359"/>
        <v>0</v>
      </c>
      <c r="X98" s="388">
        <f t="shared" ca="1" si="360"/>
        <v>0.6110000000000001</v>
      </c>
      <c r="Y98" s="388">
        <f t="shared" ca="1" si="239"/>
        <v>0</v>
      </c>
      <c r="Z98" s="388">
        <f t="shared" ca="1" si="361"/>
        <v>0.61058800000000002</v>
      </c>
      <c r="AA98" s="388">
        <f t="shared" ca="1" si="240"/>
        <v>0.6018</v>
      </c>
      <c r="AB98" s="388">
        <f ca="1">101.3*EXP(-0.034*Control!$C$66/($G98+273))</f>
        <v>100.69623283836242</v>
      </c>
      <c r="AC98" s="392">
        <f t="shared" ca="1" si="241"/>
        <v>4.3460251046025113E-2</v>
      </c>
      <c r="AD98" s="392">
        <f t="shared" ca="1" si="242"/>
        <v>4.4450382862832649E-2</v>
      </c>
      <c r="AE98" s="388">
        <f t="shared" ca="1" si="243"/>
        <v>0</v>
      </c>
      <c r="AF98" s="388">
        <f ca="1">MAX(0,$G98-Control!$C$92)</f>
        <v>0</v>
      </c>
      <c r="AG98" s="393">
        <f t="shared" ca="1" si="244"/>
        <v>94</v>
      </c>
      <c r="AH98" s="389">
        <f t="shared" ca="1" si="245"/>
        <v>94</v>
      </c>
      <c r="AI98" s="388">
        <f t="shared" ca="1" si="362"/>
        <v>8.6753257140109674E-2</v>
      </c>
      <c r="AJ98" s="388">
        <f ca="1">IF(Control!$C$60&lt;=0,$HH98,$HI98)</f>
        <v>1</v>
      </c>
      <c r="AK98" s="388">
        <f t="shared" ca="1" si="246"/>
        <v>0.24099888849455947</v>
      </c>
      <c r="AL98" s="388">
        <f t="shared" ca="1" si="247"/>
        <v>3.6065976594112925E-18</v>
      </c>
      <c r="AM98" s="388">
        <f t="shared" ca="1" si="248"/>
        <v>0.24099888849455947</v>
      </c>
      <c r="AN98" s="388">
        <f t="shared" ca="1" si="249"/>
        <v>9.5087251470020673E-2</v>
      </c>
      <c r="AO98" s="388">
        <f ca="1">-0.10453/COS(Control!$B$8*PI()/180)*COS(AN98)</f>
        <v>-0.16901788021350245</v>
      </c>
      <c r="AP98" s="388">
        <f ca="1">ACOS(AO98-TAN(Control!$B$8*PI()/180)*TAN(AN98))</f>
        <v>1.8661645519225831</v>
      </c>
      <c r="AQ98" s="388">
        <f t="shared" ca="1" si="363"/>
        <v>0</v>
      </c>
      <c r="AR98" s="394">
        <f t="shared" ca="1" si="250"/>
        <v>0</v>
      </c>
      <c r="AS98" s="436">
        <f ca="1">IF(Control!$B$18=2,(IF(OR($AH98=Control!$B$175,$AH98=Control!$B$176,$AH98=Control!$B$177,$AH98=Control!$B$178,$AH98=Control!$B$179,$AH98=Control!$B$180,$AH98=Control!$B$181,$AH98=Control!$B$182,$AH98=Control!$B$183,$AH98=Control!$B$184,$AH98=Control!$B$185),1,0)),0)</f>
        <v>0</v>
      </c>
      <c r="AT98" s="436">
        <f>IF(Control!$B$20=8,IF(AND($AH98&gt;=Control!$B$172,$AH98&lt;=Control!$B$173),1,0),0)</f>
        <v>0</v>
      </c>
      <c r="AU98" s="436">
        <f>IF(Control!$B$20=8,IF($AV97=1,1*$AT98,IF($AT98=1,$AU97+1,$AU97)),0)</f>
        <v>0</v>
      </c>
      <c r="AV98" s="436">
        <f>IF(Control!$B$20=8,IF($AU98&gt;=Control!$B$174,1,0),0)</f>
        <v>0</v>
      </c>
      <c r="AW98" s="436">
        <f ca="1">IF(AND(Control!$B$18=2,Control!$B$171=1), $AV98, $AS98)</f>
        <v>0</v>
      </c>
      <c r="AX98" s="436" t="e">
        <f ca="1">IF(AND(Control!$B$18=1,$EU98&gt;=Control!$B$19),-$AY98,IF(AND(Control!$B$18=2,$AW98=1,$EU98&gt;$DS98),-$AY98, IF(Control!$C$108=0,0, IF(Control!$C$108&lt;&gt;0,1))))</f>
        <v>#N/A</v>
      </c>
      <c r="AY98" s="436" t="e">
        <f t="shared" ca="1" si="364"/>
        <v>#N/A</v>
      </c>
      <c r="AZ98" s="436" t="e">
        <f ca="1">IF(AND(Control!$B$18=1,$EB98&gt;Control!$B$19),$AZ97+1, IF(AND(Control!$B$18=2, $AW98=1, $EB98&gt;$DS98), $AZ97+1,$AZ97))</f>
        <v>#N/A</v>
      </c>
      <c r="BA98" s="587">
        <f>IF(Control!$C$81=0,1,IF($AH98&gt;=Control!$C$82,1,0))</f>
        <v>1</v>
      </c>
      <c r="BB98" s="140" t="e">
        <f ca="1">IF($BA98&gt;$BA97,Control!$C$83,IF($AW98&gt;0,$AW98*Control!$C$84,IF(AND(Control!$B$18=1,EN97&lt;&gt;0),Control!$C$84,0)))</f>
        <v>#N/A</v>
      </c>
      <c r="BC98" s="140" t="e">
        <f t="shared" ca="1" si="365"/>
        <v>#N/A</v>
      </c>
      <c r="BD98" s="140" t="e">
        <f ca="1">BC98*IF(OR($G98&lt;Control!$C$92,$G98&gt;Control!$C$95),0,IF(AND($G98&gt;=Control!$C$92,$G98&lt;=Control!$C$93),$G98-Control!$C$92,IF(AND($G98&gt;Control!$C$93,$G98&lt;=Control!$C$94),Control!$C$93-Control!$C$92,IF(AND($G98&gt;Control!$C$94,$G98&lt;=Control!$C$95),(Control!$C$93-Control!$C$92)*(Control!$C$94-$G98)/(Control!$C$95-Control!$C$94)))))</f>
        <v>#N/A</v>
      </c>
      <c r="BE98" s="140" t="e">
        <f t="shared" ca="1" si="366"/>
        <v>#N/A</v>
      </c>
      <c r="BF98" s="140" t="e">
        <f ca="1">IF($BE98&lt;=Control!$C$86,$BE98,Control!$C$86-$BE98)</f>
        <v>#N/A</v>
      </c>
      <c r="BG98" s="140" t="e">
        <f ca="1">IF(AND($AW98=1,Control!$C$84&lt;9),1,IF($BE98&gt;=Control!$C$86,0,$BC98))</f>
        <v>#N/A</v>
      </c>
      <c r="BH98" s="404" t="e">
        <f ca="1">IF($BG98=0,0,IF($BE98&lt;=Control!$C$86,$BC98*9*($BF98/Control!$C$86),0))</f>
        <v>#N/A</v>
      </c>
      <c r="BI98" s="140" t="e">
        <f ca="1">IF($BG98=1,0,IF($BE98&gt;=Control!$C$86,1,IF(AND($BB98&lt;21,$BB98&gt;=9),1,$BM97)))</f>
        <v>#N/A</v>
      </c>
      <c r="BJ98" s="140" t="e">
        <f ca="1">IF($BF98&lt;0,-$BF98,$BI98*IF(OR($G98&lt;Control!$C$92,$G98&gt;Control!$C$95),0,IF(AND($G98&gt;=Control!$C$92,$G98&lt;=Control!$C$93),$G98-Control!$C$92,IF(AND($G98&gt;Control!$C$93,$G98&lt;=Control!$C$94),Control!$C$93-Control!$C$92,IF(AND($G98&gt;Control!$C$94,$G98&lt;=Control!$C$95),(Control!$C$93-Control!$C$92)*(Control!$C$94-$G98)/(Control!$C$95-Control!$C$94))))))</f>
        <v>#N/A</v>
      </c>
      <c r="BK98" s="140" t="e">
        <f t="shared" ca="1" si="367"/>
        <v>#N/A</v>
      </c>
      <c r="BL98" s="140" t="e">
        <f ca="1">IF($BK98&lt;=Control!$C$87,$BK98,Control!$C$87-$BK98)</f>
        <v>#N/A</v>
      </c>
      <c r="BM98" s="140" t="e">
        <f ca="1">IF(AND($BB98&gt;=9,$BB98&lt;21),1,IF($BK98&gt;=Control!$C$87,0,$BI98))</f>
        <v>#N/A</v>
      </c>
      <c r="BN98" s="404" t="e">
        <f ca="1">IF($BM98=0,0,IF($BK98&lt;=Control!$C$87,$BI98*(9+(21-9)*($BL98/Control!$C$87)),0))</f>
        <v>#N/A</v>
      </c>
      <c r="BO98" s="140" t="e">
        <f ca="1">IF($BM98=1,0,IF($BK98&gt;=Control!$C$87,1,IF(AND($BB98&lt;30,$BB98&gt;=21),1,$BS97)))</f>
        <v>#N/A</v>
      </c>
      <c r="BP98" s="140" t="e">
        <f ca="1">IF($BL98&lt;0,-$BL98,$BO98*IF(OR($G98&lt;Control!$C$92,$G98&gt;Control!$C$95),0,IF(AND($G98&gt;=Control!$C$92,$G98&lt;=Control!$C$93),$G98-Control!$C$92,IF(AND($G98&gt;Control!$C$93,$G98&lt;=Control!$C$94),Control!$C$93-Control!$C$92,IF(AND($G98&gt;Control!$C$94,$G98&lt;=Control!$C$95),(Control!$C$93-Control!$C$92)*(Control!$C$94-$G98)/(Control!$C$95-Control!$C$94))))))</f>
        <v>#N/A</v>
      </c>
      <c r="BQ98" s="140" t="e">
        <f t="shared" ca="1" si="251"/>
        <v>#N/A</v>
      </c>
      <c r="BR98" s="140" t="e">
        <f ca="1">IF($BQ98&lt;=Control!$C$88,$BQ98,Control!$C$88-$BQ98)</f>
        <v>#N/A</v>
      </c>
      <c r="BS98" s="140" t="e">
        <f ca="1">IF(AND($BB98&gt;=21,$BB98&lt;30),1,IF($BQ98&gt;=Control!$C$88,0,$BO98))</f>
        <v>#N/A</v>
      </c>
      <c r="BT98" s="404" t="e">
        <f ca="1">IF($BS98=0,0,IF($BQ98&lt;=Control!$C$88,$BO98*(21+(30-21)*(BR98/Control!$C$88)),0))</f>
        <v>#N/A</v>
      </c>
      <c r="BU98" s="140" t="e">
        <f ca="1">IF(BG98+BM98+BS98=1,0,IF(OR(AND($BB98&lt;60,$BB98&gt;=30),$BQ98&gt;=Control!$C$88),1*$BA98,$BY97))</f>
        <v>#N/A</v>
      </c>
      <c r="BV98" s="140" t="e">
        <f ca="1">IF($BR98&lt;0,-$BR98,$BU98*IF(OR($G98&lt;Control!$C$92,$G98&gt;Control!$C$95),0,IF(AND($G98&gt;=Control!$C$92,$G98&lt;=Control!$C$93),$G98-Control!$C$92,IF(AND($G98&gt;Control!$C$93,$G98&lt;=Control!$C$94),Control!$C$93-Control!$C$92,IF(AND($G98&gt;Control!$C$94,$G98&lt;=Control!$C$95),(Control!$C$93-Control!$C$92)*(Control!$C$94-$G98)/(Control!$C$95-Control!$C$94))))))</f>
        <v>#N/A</v>
      </c>
      <c r="BW98" s="140" t="e">
        <f t="shared" ca="1" si="252"/>
        <v>#N/A</v>
      </c>
      <c r="BX98" s="140" t="e">
        <f ca="1">IF($BW98&lt;=Control!$C$89,$BW98,Control!$C$89-$BW98)</f>
        <v>#N/A</v>
      </c>
      <c r="BY98" s="140" t="e">
        <f ca="1">IF(AND($AJ98&gt;=30,$AJ98&lt;60),1,IF($BW98&gt;=Control!$C$89,0,$BU98))</f>
        <v>#N/A</v>
      </c>
      <c r="BZ98" s="404" t="e">
        <f ca="1">IF($BY98=0,0,IF($BW98&lt;=Control!$C$89,$BU98*(30+(60-30)*(BX98/Control!$C$89)),0))</f>
        <v>#N/A</v>
      </c>
      <c r="CA98" s="140" t="e">
        <f ca="1">IF($BG98+$BM98+$BS98+$BY98=1,0,IF(OR(AND($BB98&lt;65,$BB98&gt;=60),$BW98&gt;=Control!$C$89),1*$BA98,$CE97))</f>
        <v>#N/A</v>
      </c>
      <c r="CB98" s="140" t="e">
        <f ca="1">IF($BX98&lt;0,-$BX98,$CA98*IF(OR($G98&lt;Control!$C$92,$G98&gt;Control!$C$95),0,IF(AND($G98&gt;=Control!$C$92,$G98&lt;=Control!$C$93),$G98-Control!$C$92,IF(AND($G98&gt;Control!$C$93,$G98&lt;=Control!$C$94),Control!$C$93-Control!$C$92,IF(AND($G98&gt;Control!$C$94,$G98&lt;=Control!$C$95),(Control!$C$93-Control!$C$92)*(Control!$C$94-$G98)/(Control!$C$95-Control!$C$94))))))</f>
        <v>#N/A</v>
      </c>
      <c r="CC98" s="140" t="e">
        <f t="shared" ca="1" si="368"/>
        <v>#N/A</v>
      </c>
      <c r="CD98" s="140" t="e">
        <f ca="1">IF($CC98&lt;=Control!$C$90,$CC98,Control!$C$90-$CC98)</f>
        <v>#N/A</v>
      </c>
      <c r="CE98" s="140" t="e">
        <f ca="1">IF(AND($BB98&gt;=60,$BB98&lt;65),1,IF($CC98&gt;=Control!$C$90,0,$CA98))</f>
        <v>#N/A</v>
      </c>
      <c r="CF98" s="404" t="e">
        <f ca="1">IF($CE98=0,0,IF($CC98&lt;=Control!$C$90,$CA98*(60+(65-60)*(CD98/Control!$C$90)),0))</f>
        <v>#N/A</v>
      </c>
      <c r="CG98" s="140" t="e">
        <f ca="1">IF($BG98+$BM98+$BS98+$BY98+$CE98=1,0,IF(OR(AND($BB98&lt;90,$BB98&gt;=65),$CC98&gt;=Control!$C$90),$BA98,$CK97))</f>
        <v>#N/A</v>
      </c>
      <c r="CH98" s="140" t="e">
        <f ca="1">IF($CD98&lt;0,-$CD98,$CG98*IF(OR($G98&lt;Control!$C$92,$G98&gt;Control!$C$95),0,IF(AND($G98&gt;=Control!$C$92,$G98&lt;=Control!$C$93),$G98-Control!$C$92,IF(AND($G98&gt;Control!$C$93,$G98&lt;=Control!$C$94),Control!$C$93-Control!$C$92,IF(AND($G98&gt;Control!$C$94,$G98&lt;=Control!$C$95),(Control!$C$93-Control!$C$92)*(Control!$C$94-$G98)/(Control!$C$95-Control!$C$94))))))</f>
        <v>#N/A</v>
      </c>
      <c r="CI98" s="140" t="e">
        <f t="shared" ca="1" si="369"/>
        <v>#N/A</v>
      </c>
      <c r="CJ98" s="140" t="e">
        <f ca="1">IF($CI98&lt;=Control!$C$91,$CI98,Control!$C$91-$CI98)</f>
        <v>#N/A</v>
      </c>
      <c r="CK98" s="140" t="e">
        <f ca="1">IF(AND($BB98&gt;=65,$BB98&lt;90),1,IF($CI98&gt;=Control!$C$91,0,$CG98))</f>
        <v>#N/A</v>
      </c>
      <c r="CL98" s="404" t="e">
        <f ca="1">IF($CK98=0,0,IF($CI98&lt;=Control!$C$91,$CG98*(65+(90-65)*($CJ98/Control!$C$91)),0))</f>
        <v>#N/A</v>
      </c>
      <c r="CM98" s="140" t="e">
        <f ca="1">IF($BG98+$BM98+$BS98+$BY98+$CE98+$CK98=1,0,IF(OR($BB98&gt;=90,$CI98&gt;=Control!$C$91),$BA98,$CM97))</f>
        <v>#N/A</v>
      </c>
      <c r="CN98" s="140" t="e">
        <f t="shared" ca="1" si="370"/>
        <v>#N/A</v>
      </c>
      <c r="CO98" s="140" t="e">
        <f t="shared" ca="1" si="371"/>
        <v>#N/A</v>
      </c>
      <c r="CP98" s="140" t="e">
        <f t="shared" ca="1" si="372"/>
        <v>#N/A</v>
      </c>
      <c r="CQ98" s="141" t="e">
        <f ca="1">VLOOKUP($CP98,Control!$B$86:$G$91,6)</f>
        <v>#N/A</v>
      </c>
      <c r="CR98" s="141" t="e">
        <f ca="1">(1-$CQ98)*VLOOKUP($CP98,Control!$B$86:$D$91,3)</f>
        <v>#N/A</v>
      </c>
      <c r="CS98" s="141" t="e">
        <f ca="1">(1-$CQ98)*VLOOKUP($CP98,Control!$B$86:$E$91,4)</f>
        <v>#N/A</v>
      </c>
      <c r="CT98" s="141" t="e">
        <f ca="1">(1-$CQ98)*VLOOKUP($CP98,Control!$B$86:$F$91,5)</f>
        <v>#N/A</v>
      </c>
      <c r="CU98" s="141">
        <f t="shared" ca="1" si="373"/>
        <v>0</v>
      </c>
      <c r="CV98" s="583">
        <f t="shared" ca="1" si="374"/>
        <v>0</v>
      </c>
      <c r="CW98" s="142">
        <f t="shared" ca="1" si="375"/>
        <v>94</v>
      </c>
      <c r="CX98" s="612" t="e">
        <f ca="1">IF(Control!$C$114=1,(MIN(Control!$C$120*(IF($NT98-0.01&lt;0,0,1)),Control!$C$119-$CY98)))</f>
        <v>#DIV/0!</v>
      </c>
      <c r="CY98" s="143" t="e">
        <f t="shared" ca="1" si="376"/>
        <v>#N/A</v>
      </c>
      <c r="CZ98" s="144">
        <f t="shared" ca="1" si="253"/>
        <v>0</v>
      </c>
      <c r="DA98" s="144">
        <f t="shared" ca="1" si="254"/>
        <v>0</v>
      </c>
      <c r="DB98" s="144" t="e">
        <f t="shared" ca="1" si="255"/>
        <v>#N/A</v>
      </c>
      <c r="DC98" s="144" t="e">
        <f t="shared" ca="1" si="256"/>
        <v>#N/A</v>
      </c>
      <c r="DD98" s="144" t="e">
        <f t="shared" ca="1" si="461"/>
        <v>#N/A</v>
      </c>
      <c r="DE98" s="143" t="e">
        <f t="shared" ca="1" si="377"/>
        <v>#N/A</v>
      </c>
      <c r="DF98" s="145" t="e">
        <f ca="1">$DR98*EXP(-Control!$C$158*(1-$KH98))</f>
        <v>#N/A</v>
      </c>
      <c r="DG98" s="146" t="e">
        <f ca="1">IF(Control!$C$114=1, $DF98*$EY98, 0)</f>
        <v>#N/A</v>
      </c>
      <c r="DH98" s="147" t="e">
        <f t="shared" ca="1" si="378"/>
        <v>#N/A</v>
      </c>
      <c r="DI98" s="144" t="e">
        <f t="shared" ca="1" si="439"/>
        <v>#N/A</v>
      </c>
      <c r="DJ98" s="147" t="e">
        <f ca="1">$EF98*Control!$C$109</f>
        <v>#N/A</v>
      </c>
      <c r="DK98" s="144" t="e">
        <f t="shared" ca="1" si="379"/>
        <v>#N/A</v>
      </c>
      <c r="DL98" s="144" t="e">
        <f t="shared" ca="1" si="257"/>
        <v>#N/A</v>
      </c>
      <c r="DM98" s="144" t="e">
        <f ca="1">IF(Control!$C$114=1, (1-EXP(-Control!$C$96*$DK98))*$AR98, 0)</f>
        <v>#N/A</v>
      </c>
      <c r="DN98" s="144">
        <f t="shared" ca="1" si="380"/>
        <v>0</v>
      </c>
      <c r="DO98" s="148">
        <f>Control!$C$97</f>
        <v>4</v>
      </c>
      <c r="DP98" s="145" t="e">
        <f t="shared" ca="1" si="381"/>
        <v>#N/A</v>
      </c>
      <c r="DQ98" s="145" t="e">
        <f ca="1">IF(AND($CP98&gt;=0,$CP98&lt;=90),Control!$C$111,Control!$C$111)</f>
        <v>#N/A</v>
      </c>
      <c r="DR98" s="145" t="e">
        <f t="shared" ca="1" si="258"/>
        <v>#N/A</v>
      </c>
      <c r="DS98" s="143" t="e">
        <f ca="1">Control!$B$22/$DR98</f>
        <v>#N/A</v>
      </c>
      <c r="DT98" s="149" t="e">
        <f ca="1">IF(AND(Control!$C$114=1,$KH98&lt;1),$IM98*$DF98, 0)</f>
        <v>#N/A</v>
      </c>
      <c r="DU98" s="144" t="e">
        <f t="shared" ca="1" si="382"/>
        <v>#N/A</v>
      </c>
      <c r="DV98" s="144">
        <f ca="1">IF($G98-Control!$C$107&lt;=0, 0, 0.83*LN(MAX($G98, 3))-0.8924)</f>
        <v>0</v>
      </c>
      <c r="DW98" s="144" t="e">
        <f t="shared" ca="1" si="259"/>
        <v>#N/A</v>
      </c>
      <c r="DX98" s="150" t="e">
        <f ca="1">MAX(0.01*(1+$CU98/Control!$C$102),0.05*($DK98-Control!$C$97)/Control!$C$97)</f>
        <v>#N/A</v>
      </c>
      <c r="DY98" s="151" t="e">
        <f ca="1">IF(Control!$C$114=1, $DI98*$FS98, 0)</f>
        <v>#N/A</v>
      </c>
      <c r="DZ98" s="196" t="e">
        <f t="shared" ca="1" si="383"/>
        <v>#N/A</v>
      </c>
      <c r="EA98" s="152">
        <f t="shared" ca="1" si="384"/>
        <v>94</v>
      </c>
      <c r="EB98" s="153" t="e">
        <f t="shared" ca="1" si="385"/>
        <v>#N/A</v>
      </c>
      <c r="EC98" s="153" t="e">
        <f t="shared" ca="1" si="386"/>
        <v>#N/A</v>
      </c>
      <c r="ED98" s="154" t="e">
        <f ca="1">IF(Control!$C$114=1, $HM98*$FY98-$FD98, 0)</f>
        <v>#DIV/0!</v>
      </c>
      <c r="EE98" s="155" t="e">
        <f ca="1">IF(Control!$C$114=1, $HM98*$FZ98-$FF98, 0)</f>
        <v>#DIV/0!</v>
      </c>
      <c r="EF98" s="153" t="e">
        <f t="shared" ca="1" si="440"/>
        <v>#N/A</v>
      </c>
      <c r="EG98" s="155" t="e">
        <f ca="1">IF(Control!$C$114=1, $GX98*$FW98-$FI98, 0)</f>
        <v>#DIV/0!</v>
      </c>
      <c r="EH98" s="153" t="e">
        <f t="shared" ca="1" si="387"/>
        <v>#N/A</v>
      </c>
      <c r="EI98" s="156" t="e">
        <f t="shared" ca="1" si="388"/>
        <v>#N/A</v>
      </c>
      <c r="EJ98" s="155" t="e">
        <f ca="1">IF(Control!$C$114=1, $HM98*$GB98, 0)</f>
        <v>#DIV/0!</v>
      </c>
      <c r="EK98" s="153" t="e">
        <f t="shared" ca="1" si="441"/>
        <v>#N/A</v>
      </c>
      <c r="EL98" s="153" t="e">
        <f t="shared" ca="1" si="260"/>
        <v>#N/A</v>
      </c>
      <c r="EM98" s="153" t="e">
        <f t="shared" ca="1" si="261"/>
        <v>#N/A</v>
      </c>
      <c r="EN98" s="153" t="e">
        <f ca="1">IF(Control!$C$108=1,IF(AND(Control!$B$18=1,$EB98&gt;=Control!$B$19),$EB98-$DS98,IF(AND(Control!$B$18=2,$AW98=1,$EB98&gt;$DS98),$EB98-$DS98,0)))</f>
        <v>#N/A</v>
      </c>
      <c r="EO98" s="153" t="e">
        <f ca="1">IF(Control!$C$108=1,IF(AND(Control!$B$18=1,$EB98&gt;=Control!$B$19),$EF98,IF(AND(Control!$B$18=2,$AW98=1),$EF98,0)))</f>
        <v>#N/A</v>
      </c>
      <c r="EP98" s="153" t="e">
        <f ca="1">IF(Control!$C$108=1,IF(AND(Control!$B$18=1,$EB98&gt;=Control!$B$19),$EK98,IF(AND(Control!$B$18=2,$AW98=1),$EK98,0)))</f>
        <v>#N/A</v>
      </c>
      <c r="EQ98" s="153" t="e">
        <f t="shared" ca="1" si="389"/>
        <v>#N/A</v>
      </c>
      <c r="ER98" s="153" t="e">
        <f t="shared" ca="1" si="390"/>
        <v>#N/A</v>
      </c>
      <c r="ES98" s="153" t="e">
        <f t="shared" ca="1" si="442"/>
        <v>#N/A</v>
      </c>
      <c r="ET98" s="153" t="e">
        <f t="shared" ca="1" si="443"/>
        <v>#N/A</v>
      </c>
      <c r="EU98" s="153" t="e">
        <f t="shared" ca="1" si="391"/>
        <v>#N/A</v>
      </c>
      <c r="EV98" s="153" t="e">
        <f t="shared" ca="1" si="262"/>
        <v>#N/A</v>
      </c>
      <c r="EW98" s="153" t="e">
        <f t="shared" ca="1" si="263"/>
        <v>#N/A</v>
      </c>
      <c r="EX98" s="153" t="e">
        <f t="shared" ca="1" si="264"/>
        <v>#N/A</v>
      </c>
      <c r="EY98" s="157" t="e">
        <f t="shared" ca="1" si="265"/>
        <v>#DIV/0!</v>
      </c>
      <c r="EZ98" s="154" t="e">
        <f t="shared" ca="1" si="266"/>
        <v>#DIV/0!</v>
      </c>
      <c r="FA98" s="153" t="e">
        <f t="shared" ca="1" si="392"/>
        <v>#N/A</v>
      </c>
      <c r="FB98" s="153" t="e">
        <f t="shared" ca="1" si="267"/>
        <v>#N/A</v>
      </c>
      <c r="FC98" s="193" t="e">
        <f t="shared" ca="1" si="268"/>
        <v>#N/A</v>
      </c>
      <c r="FD98" s="158" t="e">
        <f t="shared" ca="1" si="393"/>
        <v>#N/A</v>
      </c>
      <c r="FE98" s="158" t="e">
        <f t="shared" ca="1" si="394"/>
        <v>#N/A</v>
      </c>
      <c r="FF98" s="159" t="e">
        <f t="shared" ca="1" si="269"/>
        <v>#N/A</v>
      </c>
      <c r="FG98" s="160" t="e">
        <f t="shared" ca="1" si="395"/>
        <v>#N/A</v>
      </c>
      <c r="FH98" s="158" t="e">
        <f t="shared" ca="1" si="396"/>
        <v>#N/A</v>
      </c>
      <c r="FI98" s="159" t="e">
        <f t="shared" ca="1" si="270"/>
        <v>#N/A</v>
      </c>
      <c r="FJ98" s="160" t="e">
        <f t="shared" ca="1" si="397"/>
        <v>#N/A</v>
      </c>
      <c r="FK98" s="160" t="e">
        <f t="shared" ca="1" si="271"/>
        <v>#N/A</v>
      </c>
      <c r="FL98" s="160" t="e">
        <f t="shared" ca="1" si="444"/>
        <v>#N/A</v>
      </c>
      <c r="FM98" s="160" t="e">
        <f t="shared" ca="1" si="272"/>
        <v>#N/A</v>
      </c>
      <c r="FN98" s="158">
        <f t="shared" ca="1" si="398"/>
        <v>0.01</v>
      </c>
      <c r="FO98" s="160">
        <f>Control!$C$101</f>
        <v>50</v>
      </c>
      <c r="FP98" s="150" t="e">
        <f t="shared" ca="1" si="273"/>
        <v>#N/A</v>
      </c>
      <c r="FQ98" s="150" t="e">
        <f ca="1">MAX(0,(Control!$C$112*(($DK98-Control!$C$97)/Control!$C$97)))</f>
        <v>#N/A</v>
      </c>
      <c r="FR98" s="150" t="e">
        <f ca="1">(1-$NT98)*Control!$C$113</f>
        <v>#DIV/0!</v>
      </c>
      <c r="FS98" s="198" t="e">
        <f t="shared" ca="1" si="274"/>
        <v>#N/A</v>
      </c>
      <c r="FT98" s="161">
        <f t="shared" ca="1" si="399"/>
        <v>94</v>
      </c>
      <c r="FU98" s="162" t="e">
        <f ca="1">IF(Control!$B$34=1,VLOOKUP($CP98,Control!$B$86:$G$91,6),Control!$B$35)</f>
        <v>#N/A</v>
      </c>
      <c r="FV98" s="162" t="e">
        <f t="shared" ca="1" si="275"/>
        <v>#DIV/0!</v>
      </c>
      <c r="FW98" s="162" t="e">
        <f ca="1">IF(Control!$B$31=1,$FU98*$FV98,  $FU98)</f>
        <v>#N/A</v>
      </c>
      <c r="FX98" s="162" t="e">
        <f ca="1">IF(Control!$B$34=1,VLOOKUP($CP98,Control!$B$86:$G$91,3),Control!$B$36)</f>
        <v>#N/A</v>
      </c>
      <c r="FY98" s="162" t="e">
        <f t="shared" ca="1" si="276"/>
        <v>#N/A</v>
      </c>
      <c r="FZ98" s="162" t="e">
        <f ca="1">IF(Control!$B$34=1,VLOOKUP($CP98,Control!$B$86:$G$91,4),Control!$B$37)</f>
        <v>#N/A</v>
      </c>
      <c r="GA98" s="162" t="e">
        <f t="shared" ca="1" si="277"/>
        <v>#N/A</v>
      </c>
      <c r="GB98" s="162" t="e">
        <f ca="1">IF(Control!$B$34=1,VLOOKUP($CP98,Control!$B$86:$G$91,5),Control!$B$38)</f>
        <v>#N/A</v>
      </c>
      <c r="GC98" s="162" t="e">
        <f t="shared" ca="1" si="400"/>
        <v>#N/A</v>
      </c>
      <c r="GD98" s="162">
        <f t="shared" ca="1" si="278"/>
        <v>1</v>
      </c>
      <c r="GE98" s="162">
        <f t="shared" ca="1" si="279"/>
        <v>1</v>
      </c>
      <c r="GF98" s="162">
        <f ca="1">IF(AND(Control!$C$104=1, Control!$C$62="F"),$GE98,1)</f>
        <v>1</v>
      </c>
      <c r="GG98" s="162" t="e">
        <f ca="1">IF(Control!$B$16=40,0,IF(AND(Control!$B$16&gt;40,Control!$B$16&lt;=360),(Control!$B$16-40)*((1-0)/(360-40)),IF(AND(Control!$B$16&gt;360,Control!$B$16&lt;=720),(1+(Control!$B$16-360)*((1.25-1)/(720-360))),IF(AND(Control!$B$16&gt;720,Control!$B$16&lt;=1000),(1.25+(Control!$B$16-720)*((1.35-1.25)/(1000-720))),IF(AND(Control!$B$16&gt;1000,Control!$B$16&lt;=2000),(1.35+(Control!$B$16-1000)*0))))))</f>
        <v>#N/A</v>
      </c>
      <c r="GH98" s="162" t="e">
        <f t="shared" ca="1" si="280"/>
        <v>#N/A</v>
      </c>
      <c r="GI98" s="162">
        <f t="shared" ca="1" si="401"/>
        <v>0</v>
      </c>
      <c r="GJ98" s="162">
        <f t="shared" ca="1" si="281"/>
        <v>0</v>
      </c>
      <c r="GK98" s="162">
        <f t="shared" ca="1" si="402"/>
        <v>1</v>
      </c>
      <c r="GL98" s="162">
        <f t="shared" ca="1" si="282"/>
        <v>1</v>
      </c>
      <c r="GM98" s="162" t="e">
        <f ca="1">MAX(0,MIN(1,1-Control!$C$156*(1.0001-$KH98)^2))</f>
        <v>#N/A</v>
      </c>
      <c r="GN98" s="162" t="e">
        <f ca="1">IF(Control!$B$26=1,$KU98,$KX98)</f>
        <v>#N/A</v>
      </c>
      <c r="GO98" s="162" t="e">
        <f ca="1">IF($CP98&lt;=60,Control!$C$105,IF($CP98&gt;=90,Control!$C$106,Control!$C$105+($CP98-60)*((Control!$C$106-Control!$C$105)/(90-60))))</f>
        <v>#N/A</v>
      </c>
      <c r="GP98" s="162" t="e">
        <f t="shared" ca="1" si="283"/>
        <v>#N/A</v>
      </c>
      <c r="GQ98" s="162" t="e">
        <f t="shared" ca="1" si="403"/>
        <v>#N/A</v>
      </c>
      <c r="GR98" s="163" t="e">
        <f t="shared" ca="1" si="284"/>
        <v>#DIV/0!</v>
      </c>
      <c r="GS98" s="162" t="e">
        <f t="shared" ca="1" si="285"/>
        <v>#DIV/0!</v>
      </c>
      <c r="GT98" s="164" t="e">
        <f t="shared" ca="1" si="404"/>
        <v>#N/A</v>
      </c>
      <c r="GU98" s="162" t="e">
        <f t="shared" ca="1" si="405"/>
        <v>#N/A</v>
      </c>
      <c r="GV98" s="162" t="e">
        <f t="shared" ca="1" si="286"/>
        <v>#N/A</v>
      </c>
      <c r="GW98" s="162" t="e">
        <f t="shared" ca="1" si="287"/>
        <v>#DIV/0!</v>
      </c>
      <c r="GX98" s="162" t="e">
        <f t="shared" ca="1" si="406"/>
        <v>#DIV/0!</v>
      </c>
      <c r="GY98" s="162" t="e">
        <f t="shared" ca="1" si="407"/>
        <v>#DIV/0!</v>
      </c>
      <c r="GZ98" s="165" t="e">
        <f t="shared" ca="1" si="288"/>
        <v>#N/A</v>
      </c>
      <c r="HA98" s="162" t="e">
        <f ca="1">IF(Control!$C$114=1, $DI98*$FS98, 0)</f>
        <v>#N/A</v>
      </c>
      <c r="HB98" s="162" t="e">
        <f ca="1">$FA98/Control!$C$64</f>
        <v>#N/A</v>
      </c>
      <c r="HC98" s="162" t="e">
        <f t="shared" ca="1" si="289"/>
        <v>#DIV/0!</v>
      </c>
      <c r="HD98" s="162">
        <f ca="1">-ASIN(SIN(23.45*Control!$C$139)*COS(2*Control!$C$138*($AH98+10)/365))</f>
        <v>8.6753257140109674E-2</v>
      </c>
      <c r="HE98" s="165">
        <f t="shared" ca="1" si="408"/>
        <v>0</v>
      </c>
      <c r="HF98" s="166">
        <f ca="1">IF(AND(Control!$C$61="T",$HE98&gt;=Control!$C$103,Control!$C$114=0),$AH98,Control!$C$59)</f>
        <v>1</v>
      </c>
      <c r="HG98" s="166">
        <f ca="1">IF(AND(Control!$C$61="T",$HE98&gt;=Control!$C$103,Control!$C$114=0),$HF98,Control!$C$59)</f>
        <v>1</v>
      </c>
      <c r="HH98" s="165">
        <f ca="1">IF(AND(OR(Control!$C$60&lt;=0, $AH98= Control!$C$59, Control!$C$60 &gt;0, $AH98 = Control!$C$60)), Control!$C$59, IF(Control!$C$60&gt;0, 0))</f>
        <v>1</v>
      </c>
      <c r="HI98" s="165">
        <f ca="1">IF(AND(OR(Control!$C$60&lt;=0, $AH98= Control!$C$59, Control!$C$60 &gt;0, $AH98 = Control!$C$60)), Control!$C$60, IF(Control!$C$60&lt;=0, 0))</f>
        <v>0</v>
      </c>
      <c r="HJ98" s="166">
        <f ca="1">IF(AND(Control!$C$62="F",$CV98&gt;=Control!$C$102),$AH98,0)</f>
        <v>0</v>
      </c>
      <c r="HK98" s="165" t="e">
        <f t="shared" ca="1" si="445"/>
        <v>#N/A</v>
      </c>
      <c r="HL98" s="166">
        <f ca="1">IF(AND(Control!$C$61="T",$HE98&gt;=Control!$C$103,Control!$C$114=0),$HF98,0)</f>
        <v>0</v>
      </c>
      <c r="HM98" s="201" t="e">
        <f t="shared" ca="1" si="290"/>
        <v>#DIV/0!</v>
      </c>
      <c r="HN98" s="215">
        <f t="shared" ca="1" si="409"/>
        <v>94</v>
      </c>
      <c r="HO98" s="216" t="e">
        <f ca="1">IF(AND($CP98&gt;=0, $CP98&lt;=90), Control!$C$152, Control!$C$152)</f>
        <v>#N/A</v>
      </c>
      <c r="HP98" s="216" t="e">
        <f t="shared" ca="1" si="291"/>
        <v>#N/A</v>
      </c>
      <c r="HQ98" s="217" t="e">
        <f ca="1">IF(OR(Control!$B$26=1,Control!$B$26=2),$KV98,$KS98)</f>
        <v>#DIV/0!</v>
      </c>
      <c r="HR98" s="218" t="e">
        <f t="shared" ca="1" si="446"/>
        <v>#DIV/0!</v>
      </c>
      <c r="HS98" s="216" t="e">
        <f ca="1">Control!$C$154*$HP98</f>
        <v>#N/A</v>
      </c>
      <c r="HT98" s="216" t="e">
        <f ca="1">Control!$C$155*$HP98</f>
        <v>#N/A</v>
      </c>
      <c r="HU98" s="217" t="e">
        <f ca="1">Control!$C$161*$FI98</f>
        <v>#N/A</v>
      </c>
      <c r="HV98" s="218" t="e">
        <f t="shared" ca="1" si="410"/>
        <v>#N/A</v>
      </c>
      <c r="HW98" s="218" t="e">
        <f ca="1">Control!$C$160*$FF98+$IP98*$EO98</f>
        <v>#N/A</v>
      </c>
      <c r="HX98" s="218" t="e">
        <f t="shared" ca="1" si="447"/>
        <v>#N/A</v>
      </c>
      <c r="HY98" s="219" t="e">
        <f ca="1">IF(Control!$C$114=1, $EB98*$FS98, 0)</f>
        <v>#N/A</v>
      </c>
      <c r="HZ98" s="91" t="e">
        <f t="shared" ca="1" si="292"/>
        <v>#N/A</v>
      </c>
      <c r="IA98" s="220" t="e">
        <f ca="1">Control!$C$153*$HO98</f>
        <v>#N/A</v>
      </c>
      <c r="IB98" s="218" t="e">
        <f t="shared" ca="1" si="293"/>
        <v>#N/A</v>
      </c>
      <c r="IC98" s="220" t="e">
        <f ca="1">Control!$C$153*$HT98</f>
        <v>#N/A</v>
      </c>
      <c r="ID98" s="218" t="e">
        <f t="shared" ca="1" si="294"/>
        <v>#N/A</v>
      </c>
      <c r="IE98" s="221" t="e">
        <f ca="1">($EB98*Control!$C$159+$EF98*Control!$C$160)/(IF($GZ98&lt;&gt;0,$GZ98,1))</f>
        <v>#N/A</v>
      </c>
      <c r="IF98" s="216" t="e">
        <f t="shared" ca="1" si="295"/>
        <v>#N/A</v>
      </c>
      <c r="IG98" s="91">
        <f ca="1">IF(OR(Control!$B$198=$AH98,Control!$B$199=$AH98, Control!$B$200=$AH98, Control!$B$201=$AH98, Control!$B$202=$AH98, Control!$B$203=$AH98, Control!$B$204=$AH98, Control!$B$205=$AH98, Control!$B$206=$AH98, Control!$B$207=$AH98), 1, 0)</f>
        <v>0</v>
      </c>
      <c r="IH98" s="91">
        <f ca="1">IF($IG98=0,0, VLOOKUP($AH98,Control!$B$198:$C$207,2))</f>
        <v>0</v>
      </c>
      <c r="II98" s="222">
        <f t="shared" ca="1" si="411"/>
        <v>0</v>
      </c>
      <c r="IJ98" s="91">
        <f>Control!$C$121</f>
        <v>0.7</v>
      </c>
      <c r="IK98" s="218">
        <f t="shared" ca="1" si="296"/>
        <v>0</v>
      </c>
      <c r="IL98" s="217" t="e">
        <f t="shared" ca="1" si="448"/>
        <v>#N/A</v>
      </c>
      <c r="IM98" s="223" t="e">
        <f ca="1">IF(AND(Control!$C$114=1,$KH98&lt;1),$EB98*Control!$C$148*(1-$KH98), 0)</f>
        <v>#N/A</v>
      </c>
      <c r="IN98" s="217" t="e">
        <f t="shared" ca="1" si="297"/>
        <v>#DIV/0!</v>
      </c>
      <c r="IO98" s="91" t="e">
        <f ca="1">MAX(0,$IL98-$EF98*Control!$C$160)</f>
        <v>#N/A</v>
      </c>
      <c r="IP98" s="220" t="e">
        <f t="shared" ca="1" si="298"/>
        <v>#N/A</v>
      </c>
      <c r="IQ98" s="217" t="e">
        <f t="shared" ca="1" si="412"/>
        <v>#N/A</v>
      </c>
      <c r="IR98" s="218" t="e">
        <f t="shared" ca="1" si="299"/>
        <v>#N/A</v>
      </c>
      <c r="IS98" s="217" t="e">
        <f ca="1">Control!$C$159*MAX(0,$FD98-$EN98)</f>
        <v>#N/A</v>
      </c>
      <c r="IT98" s="217" t="e">
        <f t="shared" ca="1" si="449"/>
        <v>#N/A</v>
      </c>
      <c r="IU98" s="217" t="e">
        <f t="shared" ca="1" si="413"/>
        <v>#N/A</v>
      </c>
      <c r="IV98" s="217" t="e">
        <f t="shared" ca="1" si="450"/>
        <v>#N/A</v>
      </c>
      <c r="IW98" s="217" t="e">
        <f ca="1">IF(OR($AW98=1,AND($AW98=0, Control!$B$18=1,$EN98&lt;&gt;0)), $IQ98-$IU98, $IQ98)</f>
        <v>#N/A</v>
      </c>
      <c r="IX98" s="218" t="e">
        <f t="shared" ca="1" si="300"/>
        <v>#N/A</v>
      </c>
      <c r="IY98" s="218" t="e">
        <f ca="1">MAX(0,$IQ98-$EB98*Control!$C$159)</f>
        <v>#N/A</v>
      </c>
      <c r="IZ98" s="218" t="e">
        <f t="shared" ca="1" si="301"/>
        <v>#N/A</v>
      </c>
      <c r="JA98" s="216" t="e">
        <f t="shared" ca="1" si="302"/>
        <v>#N/A</v>
      </c>
      <c r="JB98" s="217" t="e">
        <f t="shared" ca="1" si="303"/>
        <v>#N/A</v>
      </c>
      <c r="JC98" s="222" t="e">
        <f ca="1">MAX(Control!$C$157*$EK98-$JT98, 0)/Control!$C$162</f>
        <v>#N/A</v>
      </c>
      <c r="JD98" s="218" t="e">
        <f t="shared" ca="1" si="304"/>
        <v>#N/A</v>
      </c>
      <c r="JE98" s="218" t="e">
        <f t="shared" ca="1" si="305"/>
        <v>#N/A</v>
      </c>
      <c r="JF98" s="218" t="e">
        <f t="shared" ca="1" si="414"/>
        <v>#N/A</v>
      </c>
      <c r="JG98" s="218" t="e">
        <f t="shared" ca="1" si="306"/>
        <v>#N/A</v>
      </c>
      <c r="JH98" s="217" t="e">
        <f t="shared" ca="1" si="415"/>
        <v>#N/A</v>
      </c>
      <c r="JI98" s="217" t="e">
        <f t="shared" ca="1" si="416"/>
        <v>#N/A</v>
      </c>
      <c r="JJ98" s="217" t="e">
        <f t="shared" ca="1" si="451"/>
        <v>#N/A</v>
      </c>
      <c r="JK98" s="217" t="e">
        <f ca="1">IF(Control!$C$114=1,IF(Control!$B$24=0,MAX(0,$JI98)*$GN98/Control!$C$64,(MAX(0,MIN($JI98,$JJ98*$GN98/Control!$C$64),0))))</f>
        <v>#N/A</v>
      </c>
      <c r="JL98" s="217" t="e">
        <f ca="1">$IK98/Control!$C$64-$JK98+$HQ98</f>
        <v>#N/A</v>
      </c>
      <c r="JM98" s="217" t="e">
        <f ca="1">IF(Control!$C$114=1,($JB98/(IF($JI98&lt;&gt;0,$JI98,1)))*$JK98,0)</f>
        <v>#N/A</v>
      </c>
      <c r="JN98" s="217" t="e">
        <f ca="1">IF(Control!$C$114=1,($JG98/(IF($JI98&lt;&gt;0,$JI98,1)))*$JK98, 0)</f>
        <v>#N/A</v>
      </c>
      <c r="JO98" s="218" t="e">
        <f t="shared" ca="1" si="307"/>
        <v>#N/A</v>
      </c>
      <c r="JP98" s="218" t="e">
        <f ca="1">MIN(($IY98+$IO98)*Control!$C$151, $JF98-$EH98*Control!$C$161)</f>
        <v>#N/A</v>
      </c>
      <c r="JQ98" s="218" t="e">
        <f t="shared" ca="1" si="308"/>
        <v>#N/A</v>
      </c>
      <c r="JR98" s="217" t="e">
        <f ca="1">IF($CP98-Control!$C$150&lt;0, 0, $JQ98/Control!$C$162)</f>
        <v>#N/A</v>
      </c>
      <c r="JS98" s="218" t="e">
        <f t="shared" ca="1" si="309"/>
        <v>#N/A</v>
      </c>
      <c r="JT98" s="218" t="e">
        <f t="shared" ca="1" si="417"/>
        <v>#N/A</v>
      </c>
      <c r="JU98" s="218" t="e">
        <f t="shared" ca="1" si="310"/>
        <v>#N/A</v>
      </c>
      <c r="JV98" s="218" t="e">
        <f t="shared" ca="1" si="311"/>
        <v>#N/A</v>
      </c>
      <c r="JW98" s="216" t="e">
        <f t="shared" ca="1" si="312"/>
        <v>#N/A</v>
      </c>
      <c r="JX98" s="91" t="e">
        <f t="shared" ca="1" si="313"/>
        <v>#N/A</v>
      </c>
      <c r="JY98" s="218" t="e">
        <f t="shared" ca="1" si="314"/>
        <v>#N/A</v>
      </c>
      <c r="JZ98" s="217" t="e">
        <f ca="1">IF(Control!$C$114=1,($IZ98/(IF($JI98&lt;&gt;0,$JI98,1)))*$JK98, 0)</f>
        <v>#N/A</v>
      </c>
      <c r="KA98" s="218" t="e">
        <f t="shared" ca="1" si="452"/>
        <v>#N/A</v>
      </c>
      <c r="KB98" s="218" t="e">
        <f t="shared" ca="1" si="418"/>
        <v>#N/A</v>
      </c>
      <c r="KC98" s="218" t="e">
        <f t="shared" ca="1" si="315"/>
        <v>#N/A</v>
      </c>
      <c r="KD98" s="218" t="e">
        <f t="shared" ca="1" si="316"/>
        <v>#N/A</v>
      </c>
      <c r="KE98" s="218" t="e">
        <f t="shared" ca="1" si="317"/>
        <v>#N/A</v>
      </c>
      <c r="KF98" s="218" t="e">
        <f t="shared" ca="1" si="318"/>
        <v>#N/A</v>
      </c>
      <c r="KG98" s="216" t="e">
        <f t="shared" ca="1" si="319"/>
        <v>#N/A</v>
      </c>
      <c r="KH98" s="221" t="e">
        <f ca="1">IF(Control!$B$24=0,1,MAX(0.001,MIN(1,IF(($IF98-$IE98)&lt;&gt;0,($KG98-$IE98)/($IF98-$IE98),1))))</f>
        <v>#N/A</v>
      </c>
      <c r="KI98" s="222" t="e">
        <f ca="1">IF(Control!$C$114=1, $KI97+ $KH97, 0)</f>
        <v>#N/A</v>
      </c>
      <c r="KJ98" s="217" t="e">
        <f t="shared" ca="1" si="320"/>
        <v>#N/A</v>
      </c>
      <c r="KK98" s="218" t="e">
        <f t="shared" ca="1" si="321"/>
        <v>#N/A</v>
      </c>
      <c r="KL98" s="274" t="e">
        <f ca="1">IF(Control!$B$26=3,4000000000*EXP(-8400/($G98+273)),IF(Control!$B$26=4,4000000000*EXP(-8400/($G98+273))*($KT98),0))</f>
        <v>#DIV/0!</v>
      </c>
      <c r="KM98" s="274" t="e">
        <f ca="1">IF(Control!$B$26=3,5600000000000*EXP(-9800/($G98+273)),IF(Control!$B$26=4,5600000000000*EXP(-9800/($G98+273))*$KT98,0))</f>
        <v>#DIV/0!</v>
      </c>
      <c r="KN98" s="454" t="e">
        <f t="shared" ca="1" si="419"/>
        <v>#DIV/0!</v>
      </c>
      <c r="KO98" s="274" t="e">
        <f t="shared" ca="1" si="420"/>
        <v>#DIV/0!</v>
      </c>
      <c r="KP98" s="454" t="e">
        <f t="shared" ca="1" si="322"/>
        <v>#DIV/0!</v>
      </c>
      <c r="KQ98" s="454" t="e">
        <f t="shared" ca="1" si="323"/>
        <v>#DIV/0!</v>
      </c>
      <c r="KR98" s="454" t="e">
        <f t="shared" ca="1" si="324"/>
        <v>#DIV/0!</v>
      </c>
      <c r="KS98" s="454" t="e">
        <f t="shared" ca="1" si="325"/>
        <v>#DIV/0!</v>
      </c>
      <c r="KT98" s="455" t="e">
        <f t="shared" ca="1" si="326"/>
        <v>#DIV/0!</v>
      </c>
      <c r="KU98" s="456" t="e">
        <f ca="1">IF($CP98-Control!$C$149&lt;0, IF($NT98-0.01&lt;0,0,1),0)</f>
        <v>#N/A</v>
      </c>
      <c r="KV98" s="456" t="e">
        <f ca="1">IF(Control!$C$114=1,MAX(0,MIN(Control!$C$125*$KW98*$GN98,$KW98)))</f>
        <v>#DIV/0!</v>
      </c>
      <c r="KW98" s="456" t="e">
        <f t="shared" ca="1" si="453"/>
        <v>#DIV/0!</v>
      </c>
      <c r="KX98" s="457" t="e">
        <f ca="1">IF($CP98-Control!$C$149&lt;0, IF($MR98-$OM98&lt;0,0,1),0)</f>
        <v>#N/A</v>
      </c>
      <c r="KY98" s="167">
        <f t="shared" ca="1" si="421"/>
        <v>94</v>
      </c>
      <c r="KZ98" s="168">
        <f ca="1">1370*(1+0.033*COS(2*Control!$C$138*$AH98/365))</f>
        <v>1367.8604291552861</v>
      </c>
      <c r="LA98" s="169">
        <f t="shared" ca="1" si="422"/>
        <v>0.99843839418535973</v>
      </c>
      <c r="LB98" s="169">
        <f t="shared" ca="1" si="423"/>
        <v>9.2500104317137857E-2</v>
      </c>
      <c r="LC98" s="169">
        <f ca="1">ACOS(-TAN((2*Control!$B$8/360))*TAN(Calculations!$LB98))</f>
        <v>1.5983698183259738</v>
      </c>
      <c r="LD98" s="169">
        <f ca="1">((24*60)/PI())*0.082*$LA98*(($LC98*SIN(Control!$B$8*2*PI()/360))*SIN($LB98)+COS(Control!$B$8*2*PI()/360)*COS($LB98)*SIN($LC98))</f>
        <v>27.362579784168339</v>
      </c>
      <c r="LE98" s="170">
        <f t="shared" ca="1" si="327"/>
        <v>27.250431985890881</v>
      </c>
      <c r="LF98" s="170">
        <f ca="1">SIN(Control!$C$139*Control!$B$8)*SIN($HD98)</f>
        <v>6.8276894194487056E-2</v>
      </c>
      <c r="LG98" s="170">
        <f ca="1">COS(Control!$C$139*Control!$B$8)*COS($HD98)</f>
        <v>0.61334448846621659</v>
      </c>
      <c r="LH98" s="170">
        <f ca="1">12*(1+2*ASIN(MAX(-1,MIN(1,$LF98/$LG98))/Control!$C$138))</f>
        <v>12.850590574896453</v>
      </c>
      <c r="LI98" s="170">
        <f ca="1">12*(1+2*ASIN(MAX(-1,MIN(1,(-SIN(-4*Control!$C$139)+$LF98)/$LG98))/Control!$C$138))</f>
        <v>13.720729589329672</v>
      </c>
      <c r="LJ98" s="168">
        <f ca="1">3600*($LH98*$LF98+24*$LG98*SQRT(1-$LK98*$LK98)/Control!$C$138)</f>
        <v>19921.938967646882</v>
      </c>
      <c r="LK98" s="170">
        <f t="shared" ca="1" si="328"/>
        <v>0.11131899850478202</v>
      </c>
      <c r="LL98" s="170">
        <f t="shared" ca="1" si="329"/>
        <v>0</v>
      </c>
      <c r="LM98" s="171">
        <f ca="1">Control!$C$145*$AB98</f>
        <v>6.6660906138995932E-2</v>
      </c>
      <c r="LN98" s="170">
        <f t="shared" ca="1" si="424"/>
        <v>0.54</v>
      </c>
      <c r="LO98" s="170">
        <f t="shared" ca="1" si="330"/>
        <v>0</v>
      </c>
      <c r="LP98" s="170">
        <f ca="1">Control!$C$140*((($D98+273.16)^4+($E98+273.16)^4)/2)*(0.34-0.14*SQRT($Y98))*(1.35*$AQ98/(0.75*$LD98)-0.35)</f>
        <v>-3.2464704755046001</v>
      </c>
      <c r="LQ98" s="170">
        <f ca="1">Control!$C$140*($G98+273)^4*(0.56-0.079*SQRT($Y98*10))*(0.1+0.9*$LO98)</f>
        <v>1.5241745131704001</v>
      </c>
      <c r="LR98" s="170">
        <f ca="1">$AQ98*(1-Control!$C$142)-$LQ98</f>
        <v>-1.5241745131704001</v>
      </c>
      <c r="LS98" s="170">
        <f ca="1">$AQ98*(1-Control!$C$143)-$LQ98</f>
        <v>-1.5241745131704001</v>
      </c>
      <c r="LT98" s="170">
        <f ca="1">$AQ98*(1-Control!$C$144)-$LQ98</f>
        <v>-1.5241745131704001</v>
      </c>
      <c r="LU98" s="169">
        <f ca="1">(1-Control!$C$144)*AQ98-LP98</f>
        <v>3.2464704755046001</v>
      </c>
      <c r="LV98" s="172">
        <f t="shared" ca="1" si="331"/>
        <v>0.79430000000000012</v>
      </c>
      <c r="LW98" s="170">
        <f t="shared" ca="1" si="332"/>
        <v>1.5886000000000002</v>
      </c>
      <c r="LX98" s="170">
        <f ca="1">($AC98*($LR98/Control!$C$141)+$LM98*$LV98)/($AC98+$LM98)</f>
        <v>0.23530094218323697</v>
      </c>
      <c r="LY98" s="170">
        <f ca="1">($AC98*($LS98/Control!$C$141)+$LM98*$LV98)/($AC98+$LM98)</f>
        <v>0.23530094218323697</v>
      </c>
      <c r="LZ98" s="170">
        <f t="shared" ca="1" si="333"/>
        <v>0.23530094218323697</v>
      </c>
      <c r="MA98" s="170">
        <f t="shared" ca="1" si="334"/>
        <v>0.23530094218323697</v>
      </c>
      <c r="MB98" s="170" t="e">
        <f t="shared" ca="1" si="335"/>
        <v>#N/A</v>
      </c>
      <c r="MC98" s="170">
        <f t="shared" ca="1" si="425"/>
        <v>0.6018</v>
      </c>
      <c r="MD98" s="170">
        <f t="shared" ca="1" si="336"/>
        <v>0.52989392535414004</v>
      </c>
      <c r="ME98" s="170">
        <f ca="1">($AC98*($LT98/Control!$C$141)+$LM98*$LW98)/($AC98+$LM98)</f>
        <v>0.71612369323045078</v>
      </c>
      <c r="MF98" s="170" t="e">
        <f ca="1">IF(Control!$B$16&gt;=1000,0.92,IF(AND(720&lt;=Control!$B$16,1000&gt;Control!$B$16),(0.95+(Control!$B$16-720)*((0.92-0.95)/(1000-720))),IF(AND(360&lt;=Control!$B$16,720&gt;Control!$B$16),(1+(Control!$B$16-360)*((0.95-1)/(720-360))),IF(AND(40&lt;=Control!$B$16,360&gt;Control!$B$16),(1.05+(Control!$B$16-40)*((1.05-1)/(360-40)))))))</f>
        <v>#N/A</v>
      </c>
      <c r="MG98" s="170">
        <f t="shared" ca="1" si="337"/>
        <v>0.71612369323045078</v>
      </c>
      <c r="MH98" s="170" t="e">
        <f t="shared" ca="1" si="462"/>
        <v>#N/A</v>
      </c>
      <c r="MI98" s="170" t="e">
        <f t="shared" ca="1" si="462"/>
        <v>#N/A</v>
      </c>
      <c r="MJ98" s="170" t="e">
        <f ca="1">MAX(0.0001, Control!$C$132*$MI98*$DL98)</f>
        <v>#N/A</v>
      </c>
      <c r="MK98" s="170">
        <f ca="1">1/(0.76+1.5*($MG98/10))-(5-Control!$C$110)*0.1</f>
        <v>1.002845988140797</v>
      </c>
      <c r="ML98" s="173">
        <f ca="1">IF(Control!$C$110&lt;3,$MK98+($MG98-0.6)/(Control!$C$110*(Control!$C$110+3)), MAX(0.1, MIN(0.95,$MK98)))</f>
        <v>0.95</v>
      </c>
      <c r="MM98" s="173">
        <f ca="1">IF(Control!$C$110&lt;3,$MK98+(($MI98/10)-0.6)/(Control!$C$110*(Control!$C$110+3)), MAX(0.1, MIN(0.95,$MK98)))</f>
        <v>0.95</v>
      </c>
      <c r="MN98" s="173">
        <f ca="1">(1-$MM98)*(Control!$C$128-Control!$C$127)+Control!$C$127</f>
        <v>0.16</v>
      </c>
      <c r="MO98" s="170" t="e">
        <f ca="1">MAX(0,MIN(1,($MS98-Control!$C$127)/($MN98-Control!$C$127)))</f>
        <v>#DIV/0!</v>
      </c>
      <c r="MP98" s="173" t="e">
        <f ca="1">1/(0.76+1.5*$MI98)-(5-Control!$C$110)*0.1</f>
        <v>#N/A</v>
      </c>
      <c r="MQ98" s="172" t="e">
        <f t="shared" ca="1" si="454"/>
        <v>#DIV/0!</v>
      </c>
      <c r="MR98" s="168" t="e">
        <f t="shared" ca="1" si="426"/>
        <v>#DIV/0!</v>
      </c>
      <c r="MS98" s="173" t="e">
        <f ca="1">MAX(Control!$C$127, MIN(Control!$C$135, $MR98/MAX(0.0001,$CY98)))</f>
        <v>#DIV/0!</v>
      </c>
      <c r="MT98" s="168" t="e">
        <f ca="1">(Control!$C$128-$MS98)*Control!$C$74</f>
        <v>#DIV/0!</v>
      </c>
      <c r="MU98" s="168" t="e">
        <f ca="1">(Control!$C$135-$MS98)*Control!$C$74</f>
        <v>#DIV/0!</v>
      </c>
      <c r="MV98" s="168" t="e">
        <f t="shared" ca="1" si="427"/>
        <v>#DIV/0!</v>
      </c>
      <c r="MW98" s="168" t="e">
        <f t="shared" ca="1" si="428"/>
        <v>#DIV/0!</v>
      </c>
      <c r="MX98" s="171" t="e">
        <f ca="1">MAX(Control!$C$127, MIN(Control!$C$135, $MW98/MAX(0.0001,Control!$C$119-$CY98)))</f>
        <v>#DIV/0!</v>
      </c>
      <c r="MY98" s="54" t="e">
        <f ca="1">IF(Control!$C$114=1, $CX98*$MX98, 0)</f>
        <v>#DIV/0!</v>
      </c>
      <c r="MZ98" s="54" t="e">
        <f t="shared" ca="1" si="429"/>
        <v>#N/A</v>
      </c>
      <c r="NA98" s="168" t="e">
        <f ca="1">(Control!$C$128-$MX98)*(Control!$C$119-Control!$C$74)</f>
        <v>#DIV/0!</v>
      </c>
      <c r="NB98" s="168" t="e">
        <f ca="1">(Control!$C$135-$MX98)*(Control!$C$119-Control!$C$74)</f>
        <v>#DIV/0!</v>
      </c>
      <c r="NC98" s="174" t="e">
        <f t="shared" ca="1" si="430"/>
        <v>#DIV/0!</v>
      </c>
      <c r="ND98" s="54">
        <f ca="1">IF(Control!$C$58=2, IF(OR(Control!$B$218=$AH98,Control!$B$219=$AH98, Control!$B$220=$AH98, Control!$B$221=$AH98, Control!$B$222=$AH98, Control!$B$223=$AH98, Control!$B$224=$AH98, Control!$B$225=$AH98, Control!$B$226=$AH98, Control!$B$227=$AH98, Control!$B$228=$AH98), 1, 0), 0)</f>
        <v>0</v>
      </c>
      <c r="NE98" s="54">
        <f ca="1">IF($ND98=0,0, VLOOKUP($AH98,Control!$B$218:$C$228,2))</f>
        <v>0</v>
      </c>
      <c r="NF98" s="168" t="e">
        <f ca="1">$CY98*(Control!$C$128-Control!$C$127)</f>
        <v>#N/A</v>
      </c>
      <c r="NG98" s="54" t="e">
        <f ca="1">IF(Control!$C$58=2, $NI97-$NJ97, 0)</f>
        <v>#DIV/0!</v>
      </c>
      <c r="NH98" s="54" t="e">
        <f ca="1">IF(AND(Control!$C$58=1, $MS97&lt;= ($MN97+0.02), $I97&lt;10), 0, IF(Control!$C$58=2, $NG97, 0))</f>
        <v>#DIV/0!</v>
      </c>
      <c r="NI98" s="54" t="e">
        <f ca="1">IF(Control!$C$58=2, $NE98+$NH98,0)</f>
        <v>#DIV/0!</v>
      </c>
      <c r="NJ98" s="54" t="e">
        <f ca="1">IF(AND(Control!$C$58=1, $MS98&lt;= ($MN98+0.02), $I98&lt;10), MAX(0, MIN(10, 0.7*($NF98-$MV98))), IF(Control!$C$58=2, MIN(10,$NI98),0))</f>
        <v>#DIV/0!</v>
      </c>
      <c r="NK98" s="54" t="e">
        <f t="shared" ca="1" si="338"/>
        <v>#DIV/0!</v>
      </c>
      <c r="NL98" s="173" t="e">
        <f ca="1">(1-Control!$C$73)*$I98+$NJ98</f>
        <v>#DIV/0!</v>
      </c>
      <c r="NM98" s="172" t="e">
        <f ca="1">IF($NL98&lt;0.5, $MB98* MAX(0, MIN(1, (SQRT($NC98)-SQRT($NC98-1))*Control!$C$71)),0)</f>
        <v>#DIV/0!</v>
      </c>
      <c r="NN98" s="170" t="e">
        <f ca="1">IF($NL98&gt;=5, $MB98, MAX(0,MIN($MB98, $NM98+$NL98,($MS98-Control!$C$129))))</f>
        <v>#DIV/0!</v>
      </c>
      <c r="NO98" s="54">
        <f>IF(Control!$C$133&lt;&gt;1, Control!$C$135-Control!$C$131, 0)</f>
        <v>0.38</v>
      </c>
      <c r="NP98" s="54" t="e">
        <f t="shared" ca="1" si="339"/>
        <v>#DIV/0!</v>
      </c>
      <c r="NQ98" s="173" t="e">
        <f ca="1">MAX(0,MIN(1,(Control!$C$135-$MS98)/(Control!$C$135-$NO98)))</f>
        <v>#DIV/0!</v>
      </c>
      <c r="NR98" s="170" t="e">
        <f ca="1">IF(Control!$C$133&lt;&gt;1, $NQ98+((1-$NP98/4)*(1-$NQ98)),1)</f>
        <v>#DIV/0!</v>
      </c>
      <c r="NS98" s="170" t="e">
        <f ca="1">IF(Control!$B$31=0,$MJ98,MAX(0,MIN($MV98,$MO98*$NR98*$MJ98)))</f>
        <v>#DIV/0!</v>
      </c>
      <c r="NT98" s="170" t="e">
        <f t="shared" ca="1" si="455"/>
        <v>#DIV/0!</v>
      </c>
      <c r="NU98" s="170" t="e">
        <f t="shared" ca="1" si="431"/>
        <v>#N/A</v>
      </c>
      <c r="NV98" s="170" t="e">
        <f t="shared" ca="1" si="340"/>
        <v>#N/A</v>
      </c>
      <c r="NW98" s="175" t="e">
        <f t="shared" ca="1" si="341"/>
        <v>#DIV/0!</v>
      </c>
      <c r="NX98" s="170" t="e">
        <f ca="1">MIN(Control!$C$72+$MU98, $NW98)</f>
        <v>#DIV/0!</v>
      </c>
      <c r="NY98" s="170" t="e">
        <f ca="1">IF($MT98&lt;=$NX98,MIN(Control!$C$72+$NB98,$NX98-$MT98),0)</f>
        <v>#DIV/0!</v>
      </c>
      <c r="NZ98" s="54" t="e">
        <f ca="1">IF(Control!$C$114=1,  $CX98*($MX98-Control!$C$127), 0)</f>
        <v>#DIV/0!</v>
      </c>
      <c r="OA98" s="170" t="e">
        <f t="shared" ca="1" si="342"/>
        <v>#DIV/0!</v>
      </c>
      <c r="OB98" s="170" t="e">
        <f ca="1">IF($NA98 &lt;=$NY98, MIN(Control!$C$72, $NY98-$NA98), 0)</f>
        <v>#DIV/0!</v>
      </c>
      <c r="OC98" s="168" t="e">
        <f t="shared" ca="1" si="343"/>
        <v>#DIV/0!</v>
      </c>
      <c r="OD98" s="168" t="e">
        <f t="shared" ca="1" si="432"/>
        <v>#DIV/0!</v>
      </c>
      <c r="OE98" s="170">
        <f ca="1">Control!$C$73*$I98</f>
        <v>0</v>
      </c>
      <c r="OF98" s="176" t="e">
        <f t="shared" ca="1" si="344"/>
        <v>#DIV/0!</v>
      </c>
      <c r="OG98" s="168" t="e">
        <f t="shared" ca="1" si="345"/>
        <v>#DIV/0!</v>
      </c>
      <c r="OH98" s="168" t="e">
        <f t="shared" ca="1" si="346"/>
        <v>#DIV/0!</v>
      </c>
      <c r="OI98" s="168" t="e">
        <f t="shared" ca="1" si="347"/>
        <v>#DIV/0!</v>
      </c>
      <c r="OJ98" s="168" t="e">
        <f t="shared" ca="1" si="348"/>
        <v>#DIV/0!</v>
      </c>
      <c r="OK98" s="204" t="e">
        <f t="shared" ca="1" si="349"/>
        <v>#DIV/0!</v>
      </c>
      <c r="OL98" s="177">
        <f>Control!$C$127</f>
        <v>0.15</v>
      </c>
      <c r="OM98" s="182" t="e">
        <f t="shared" ca="1" si="350"/>
        <v>#N/A</v>
      </c>
      <c r="ON98" s="177">
        <f>Control!$C$128</f>
        <v>0.35</v>
      </c>
      <c r="OO98" s="182" t="e">
        <f t="shared" ca="1" si="351"/>
        <v>#N/A</v>
      </c>
      <c r="OP98" s="138">
        <f t="shared" ca="1" si="433"/>
        <v>0</v>
      </c>
      <c r="OQ98" s="138" t="e">
        <f t="shared" ca="1" si="456"/>
        <v>#DIV/0!</v>
      </c>
      <c r="OR98" s="138" t="e">
        <f t="shared" ca="1" si="434"/>
        <v>#DIV/0!</v>
      </c>
      <c r="OS98" s="137" t="e">
        <f t="shared" ca="1" si="457"/>
        <v>#DIV/0!</v>
      </c>
      <c r="OT98" s="139" t="e">
        <f t="shared" ca="1" si="458"/>
        <v>#DIV/0!</v>
      </c>
      <c r="OU98" s="138" t="e">
        <f t="shared" ca="1" si="459"/>
        <v>#N/A</v>
      </c>
      <c r="OV98" s="138" t="e">
        <f t="shared" ca="1" si="460"/>
        <v>#DIV/0!</v>
      </c>
      <c r="OW98" s="138" t="e">
        <f t="shared" ca="1" si="435"/>
        <v>#DIV/0!</v>
      </c>
      <c r="OX98" s="138" t="e">
        <f t="shared" ca="1" si="436"/>
        <v>#DIV/0!</v>
      </c>
      <c r="OY98" s="138" t="e">
        <f t="shared" ca="1" si="437"/>
        <v>#DIV/0!</v>
      </c>
      <c r="OZ98" s="138" t="e">
        <f t="shared" ca="1" si="352"/>
        <v>#DIV/0!</v>
      </c>
      <c r="PA98" s="138" t="e">
        <f t="shared" ca="1" si="353"/>
        <v>#DIV/0!</v>
      </c>
      <c r="PB98" s="55">
        <f>IF(Control!$C$61="T", IF(Control!$C$65="F", IF($AH$6-Control!$C$60&lt;0,0,1), IF(365+$AH$6-Control!$C$60&lt;0,0,1)),0)</f>
        <v>0</v>
      </c>
      <c r="PC98" s="55">
        <f ca="1">IF(Control!$C$65="F", IF($AH$6-$HF98&lt;0,0,1), IF(365+$AH$6-$HF98&lt;0,0,1))</f>
        <v>1</v>
      </c>
      <c r="PD98" s="444">
        <f>Control!$C$118</f>
        <v>1500</v>
      </c>
      <c r="PE98" s="180" t="e">
        <f t="shared" ca="1" si="354"/>
        <v>#N/A</v>
      </c>
      <c r="PF98" s="445">
        <f t="shared" ca="1" si="438"/>
        <v>0.71612369323045078</v>
      </c>
      <c r="PT98" s="186"/>
      <c r="PU98" s="186"/>
      <c r="PV98" s="94"/>
      <c r="PW98" s="94"/>
      <c r="PX98" s="94"/>
      <c r="PY98" s="94"/>
      <c r="PZ98" s="94"/>
      <c r="QA98" s="94"/>
      <c r="QB98" s="94"/>
      <c r="QC98" s="94"/>
      <c r="QD98" s="94"/>
      <c r="QE98" s="94"/>
      <c r="QF98" s="94"/>
      <c r="QG98" s="94"/>
      <c r="QH98" s="94"/>
      <c r="QI98" s="94"/>
      <c r="QJ98" s="94"/>
      <c r="QK98" s="94"/>
      <c r="QL98" s="94"/>
      <c r="QM98" s="94"/>
      <c r="QN98" s="94"/>
      <c r="QO98" s="94"/>
      <c r="QP98" s="94"/>
    </row>
    <row r="99" spans="1:458" s="2" customFormat="1" x14ac:dyDescent="0.2">
      <c r="A99" s="395">
        <v>4</v>
      </c>
      <c r="B99" s="396">
        <v>4</v>
      </c>
      <c r="C99" s="387">
        <f ca="1">Weather_data!$B98</f>
        <v>0</v>
      </c>
      <c r="D99" s="388">
        <f ca="1">Weather_data!$F98</f>
        <v>0</v>
      </c>
      <c r="E99" s="388">
        <f ca="1">Weather_data!$E98</f>
        <v>0</v>
      </c>
      <c r="F99" s="388">
        <f t="shared" ca="1" si="355"/>
        <v>0</v>
      </c>
      <c r="G99" s="388">
        <f ca="1">AVERAGE($D99:$E99)+Control!$B$9</f>
        <v>0</v>
      </c>
      <c r="H99" s="388">
        <f ca="1">Weather_data!$G98</f>
        <v>0</v>
      </c>
      <c r="I99" s="388">
        <f ca="1">Weather_data!$I98</f>
        <v>0</v>
      </c>
      <c r="J99" s="388">
        <f ca="1">Weather_data!$H98</f>
        <v>0</v>
      </c>
      <c r="K99" s="389">
        <f ca="1">Weather_data!$D98</f>
        <v>0</v>
      </c>
      <c r="L99" s="388" t="e">
        <f t="shared" ca="1" si="356"/>
        <v>#N/A</v>
      </c>
      <c r="M99" s="388" t="e">
        <f t="shared" ca="1" si="234"/>
        <v>#N/A</v>
      </c>
      <c r="N99" s="388">
        <f t="shared" ca="1" si="235"/>
        <v>-2.7766643362718302E-5</v>
      </c>
      <c r="O99" s="388">
        <f t="shared" ca="1" si="357"/>
        <v>2.7766643362718302E-4</v>
      </c>
      <c r="P99" s="390">
        <v>3</v>
      </c>
      <c r="Q99" s="388">
        <f ca="1">MAX($G99-Control!$C$107,0)</f>
        <v>0</v>
      </c>
      <c r="R99" s="388">
        <f t="shared" ca="1" si="358"/>
        <v>0</v>
      </c>
      <c r="S99" s="388">
        <f t="shared" ca="1" si="236"/>
        <v>0</v>
      </c>
      <c r="T99" s="388">
        <f t="shared" ca="1" si="237"/>
        <v>0</v>
      </c>
      <c r="U99" s="59">
        <f t="shared" ca="1" si="238"/>
        <v>0</v>
      </c>
      <c r="V99" s="391">
        <f ca="1">MAX(0,MIN(Control!$C$100-Control!$C$99,$G99-Control!$C$99)*Control!$C$63)</f>
        <v>0</v>
      </c>
      <c r="W99" s="388">
        <f t="shared" ca="1" si="359"/>
        <v>0</v>
      </c>
      <c r="X99" s="388">
        <f t="shared" ca="1" si="360"/>
        <v>0.6110000000000001</v>
      </c>
      <c r="Y99" s="388">
        <f t="shared" ca="1" si="239"/>
        <v>0</v>
      </c>
      <c r="Z99" s="388">
        <f t="shared" ca="1" si="361"/>
        <v>0.61058800000000002</v>
      </c>
      <c r="AA99" s="388">
        <f t="shared" ca="1" si="240"/>
        <v>0.6018</v>
      </c>
      <c r="AB99" s="388">
        <f ca="1">101.3*EXP(-0.034*Control!$C$66/($G99+273))</f>
        <v>100.69623283836242</v>
      </c>
      <c r="AC99" s="392">
        <f t="shared" ca="1" si="241"/>
        <v>4.3460251046025113E-2</v>
      </c>
      <c r="AD99" s="392">
        <f t="shared" ca="1" si="242"/>
        <v>4.4450382862832649E-2</v>
      </c>
      <c r="AE99" s="388">
        <f t="shared" ca="1" si="243"/>
        <v>0</v>
      </c>
      <c r="AF99" s="388">
        <f ca="1">MAX(0,$G99-Control!$C$92)</f>
        <v>0</v>
      </c>
      <c r="AG99" s="393">
        <f t="shared" ca="1" si="244"/>
        <v>95</v>
      </c>
      <c r="AH99" s="389">
        <f t="shared" ca="1" si="245"/>
        <v>95</v>
      </c>
      <c r="AI99" s="388">
        <f t="shared" ca="1" si="362"/>
        <v>9.3453338684819309E-2</v>
      </c>
      <c r="AJ99" s="388">
        <f ca="1">IF(Control!$C$60&lt;=0,$HH99,$HI99)</f>
        <v>1</v>
      </c>
      <c r="AK99" s="388">
        <f t="shared" ca="1" si="246"/>
        <v>0.2582130948155994</v>
      </c>
      <c r="AL99" s="388">
        <f t="shared" ca="1" si="247"/>
        <v>1.6229569771430973E-18</v>
      </c>
      <c r="AM99" s="388">
        <f t="shared" ca="1" si="248"/>
        <v>0.2582130948155994</v>
      </c>
      <c r="AN99" s="388">
        <f t="shared" ca="1" si="249"/>
        <v>0.10175504672308333</v>
      </c>
      <c r="AO99" s="388">
        <f ca="1">-0.10453/COS(Control!$B$8*PI()/180)*COS(AN99)</f>
        <v>-0.16890663854887072</v>
      </c>
      <c r="AP99" s="388">
        <f ca="1">ACOS(AO99-TAN(Control!$B$8*PI()/180)*TAN(AN99))</f>
        <v>1.875068160023813</v>
      </c>
      <c r="AQ99" s="388">
        <f t="shared" ca="1" si="363"/>
        <v>0</v>
      </c>
      <c r="AR99" s="394">
        <f t="shared" ca="1" si="250"/>
        <v>0</v>
      </c>
      <c r="AS99" s="436">
        <f ca="1">IF(Control!$B$18=2,(IF(OR($AH99=Control!$B$175,$AH99=Control!$B$176,$AH99=Control!$B$177,$AH99=Control!$B$178,$AH99=Control!$B$179,$AH99=Control!$B$180,$AH99=Control!$B$181,$AH99=Control!$B$182,$AH99=Control!$B$183,$AH99=Control!$B$184,$AH99=Control!$B$185),1,0)),0)</f>
        <v>0</v>
      </c>
      <c r="AT99" s="436">
        <f>IF(Control!$B$20=8,IF(AND($AH99&gt;=Control!$B$172,$AH99&lt;=Control!$B$173),1,0),0)</f>
        <v>0</v>
      </c>
      <c r="AU99" s="436">
        <f>IF(Control!$B$20=8,IF($AV98=1,1*$AT99,IF($AT99=1,$AU98+1,$AU98)),0)</f>
        <v>0</v>
      </c>
      <c r="AV99" s="436">
        <f>IF(Control!$B$20=8,IF($AU99&gt;=Control!$B$174,1,0),0)</f>
        <v>0</v>
      </c>
      <c r="AW99" s="436">
        <f ca="1">IF(AND(Control!$B$18=2,Control!$B$171=1), $AV99, $AS99)</f>
        <v>0</v>
      </c>
      <c r="AX99" s="436" t="e">
        <f ca="1">IF(AND(Control!$B$18=1,$EU99&gt;=Control!$B$19),-$AY99,IF(AND(Control!$B$18=2,$AW99=1,$EU99&gt;$DS99),-$AY99, IF(Control!$C$108=0,0, IF(Control!$C$108&lt;&gt;0,1))))</f>
        <v>#N/A</v>
      </c>
      <c r="AY99" s="436" t="e">
        <f t="shared" ca="1" si="364"/>
        <v>#N/A</v>
      </c>
      <c r="AZ99" s="436" t="e">
        <f ca="1">IF(AND(Control!$B$18=1,$EB99&gt;Control!$B$19),$AZ98+1, IF(AND(Control!$B$18=2, $AW99=1, $EB99&gt;$DS99), $AZ98+1,$AZ98))</f>
        <v>#N/A</v>
      </c>
      <c r="BA99" s="587">
        <f>IF(Control!$C$81=0,1,IF($AH99&gt;=Control!$C$82,1,0))</f>
        <v>1</v>
      </c>
      <c r="BB99" s="140" t="e">
        <f ca="1">IF($BA99&gt;$BA98,Control!$C$83,IF($AW99&gt;0,$AW99*Control!$C$84,IF(AND(Control!$B$18=1,EN98&lt;&gt;0),Control!$C$84,0)))</f>
        <v>#N/A</v>
      </c>
      <c r="BC99" s="140" t="e">
        <f t="shared" ca="1" si="365"/>
        <v>#N/A</v>
      </c>
      <c r="BD99" s="140" t="e">
        <f ca="1">BC99*IF(OR($G99&lt;Control!$C$92,$G99&gt;Control!$C$95),0,IF(AND($G99&gt;=Control!$C$92,$G99&lt;=Control!$C$93),$G99-Control!$C$92,IF(AND($G99&gt;Control!$C$93,$G99&lt;=Control!$C$94),Control!$C$93-Control!$C$92,IF(AND($G99&gt;Control!$C$94,$G99&lt;=Control!$C$95),(Control!$C$93-Control!$C$92)*(Control!$C$94-$G99)/(Control!$C$95-Control!$C$94)))))</f>
        <v>#N/A</v>
      </c>
      <c r="BE99" s="140" t="e">
        <f t="shared" ca="1" si="366"/>
        <v>#N/A</v>
      </c>
      <c r="BF99" s="140" t="e">
        <f ca="1">IF($BE99&lt;=Control!$C$86,$BE99,Control!$C$86-$BE99)</f>
        <v>#N/A</v>
      </c>
      <c r="BG99" s="140" t="e">
        <f ca="1">IF(AND($AW99=1,Control!$C$84&lt;9),1,IF($BE99&gt;=Control!$C$86,0,$BC99))</f>
        <v>#N/A</v>
      </c>
      <c r="BH99" s="404" t="e">
        <f ca="1">IF($BG99=0,0,IF($BE99&lt;=Control!$C$86,$BC99*9*($BF99/Control!$C$86),0))</f>
        <v>#N/A</v>
      </c>
      <c r="BI99" s="140" t="e">
        <f ca="1">IF($BG99=1,0,IF($BE99&gt;=Control!$C$86,1,IF(AND($BB99&lt;21,$BB99&gt;=9),1,$BM98)))</f>
        <v>#N/A</v>
      </c>
      <c r="BJ99" s="140" t="e">
        <f ca="1">IF($BF99&lt;0,-$BF99,$BI99*IF(OR($G99&lt;Control!$C$92,$G99&gt;Control!$C$95),0,IF(AND($G99&gt;=Control!$C$92,$G99&lt;=Control!$C$93),$G99-Control!$C$92,IF(AND($G99&gt;Control!$C$93,$G99&lt;=Control!$C$94),Control!$C$93-Control!$C$92,IF(AND($G99&gt;Control!$C$94,$G99&lt;=Control!$C$95),(Control!$C$93-Control!$C$92)*(Control!$C$94-$G99)/(Control!$C$95-Control!$C$94))))))</f>
        <v>#N/A</v>
      </c>
      <c r="BK99" s="140" t="e">
        <f t="shared" ca="1" si="367"/>
        <v>#N/A</v>
      </c>
      <c r="BL99" s="140" t="e">
        <f ca="1">IF($BK99&lt;=Control!$C$87,$BK99,Control!$C$87-$BK99)</f>
        <v>#N/A</v>
      </c>
      <c r="BM99" s="140" t="e">
        <f ca="1">IF(AND($BB99&gt;=9,$BB99&lt;21),1,IF($BK99&gt;=Control!$C$87,0,$BI99))</f>
        <v>#N/A</v>
      </c>
      <c r="BN99" s="404" t="e">
        <f ca="1">IF($BM99=0,0,IF($BK99&lt;=Control!$C$87,$BI99*(9+(21-9)*($BL99/Control!$C$87)),0))</f>
        <v>#N/A</v>
      </c>
      <c r="BO99" s="140" t="e">
        <f ca="1">IF($BM99=1,0,IF($BK99&gt;=Control!$C$87,1,IF(AND($BB99&lt;30,$BB99&gt;=21),1,$BS98)))</f>
        <v>#N/A</v>
      </c>
      <c r="BP99" s="140" t="e">
        <f ca="1">IF($BL99&lt;0,-$BL99,$BO99*IF(OR($G99&lt;Control!$C$92,$G99&gt;Control!$C$95),0,IF(AND($G99&gt;=Control!$C$92,$G99&lt;=Control!$C$93),$G99-Control!$C$92,IF(AND($G99&gt;Control!$C$93,$G99&lt;=Control!$C$94),Control!$C$93-Control!$C$92,IF(AND($G99&gt;Control!$C$94,$G99&lt;=Control!$C$95),(Control!$C$93-Control!$C$92)*(Control!$C$94-$G99)/(Control!$C$95-Control!$C$94))))))</f>
        <v>#N/A</v>
      </c>
      <c r="BQ99" s="140" t="e">
        <f t="shared" ca="1" si="251"/>
        <v>#N/A</v>
      </c>
      <c r="BR99" s="140" t="e">
        <f ca="1">IF($BQ99&lt;=Control!$C$88,$BQ99,Control!$C$88-$BQ99)</f>
        <v>#N/A</v>
      </c>
      <c r="BS99" s="140" t="e">
        <f ca="1">IF(AND($BB99&gt;=21,$BB99&lt;30),1,IF($BQ99&gt;=Control!$C$88,0,$BO99))</f>
        <v>#N/A</v>
      </c>
      <c r="BT99" s="404" t="e">
        <f ca="1">IF($BS99=0,0,IF($BQ99&lt;=Control!$C$88,$BO99*(21+(30-21)*(BR99/Control!$C$88)),0))</f>
        <v>#N/A</v>
      </c>
      <c r="BU99" s="140" t="e">
        <f ca="1">IF(BG99+BM99+BS99=1,0,IF(OR(AND($BB99&lt;60,$BB99&gt;=30),$BQ99&gt;=Control!$C$88),1*$BA99,$BY98))</f>
        <v>#N/A</v>
      </c>
      <c r="BV99" s="140" t="e">
        <f ca="1">IF($BR99&lt;0,-$BR99,$BU99*IF(OR($G99&lt;Control!$C$92,$G99&gt;Control!$C$95),0,IF(AND($G99&gt;=Control!$C$92,$G99&lt;=Control!$C$93),$G99-Control!$C$92,IF(AND($G99&gt;Control!$C$93,$G99&lt;=Control!$C$94),Control!$C$93-Control!$C$92,IF(AND($G99&gt;Control!$C$94,$G99&lt;=Control!$C$95),(Control!$C$93-Control!$C$92)*(Control!$C$94-$G99)/(Control!$C$95-Control!$C$94))))))</f>
        <v>#N/A</v>
      </c>
      <c r="BW99" s="140" t="e">
        <f t="shared" ca="1" si="252"/>
        <v>#N/A</v>
      </c>
      <c r="BX99" s="140" t="e">
        <f ca="1">IF($BW99&lt;=Control!$C$89,$BW99,Control!$C$89-$BW99)</f>
        <v>#N/A</v>
      </c>
      <c r="BY99" s="140" t="e">
        <f ca="1">IF(AND($AJ99&gt;=30,$AJ99&lt;60),1,IF($BW99&gt;=Control!$C$89,0,$BU99))</f>
        <v>#N/A</v>
      </c>
      <c r="BZ99" s="404" t="e">
        <f ca="1">IF($BY99=0,0,IF($BW99&lt;=Control!$C$89,$BU99*(30+(60-30)*(BX99/Control!$C$89)),0))</f>
        <v>#N/A</v>
      </c>
      <c r="CA99" s="140" t="e">
        <f ca="1">IF($BG99+$BM99+$BS99+$BY99=1,0,IF(OR(AND($BB99&lt;65,$BB99&gt;=60),$BW99&gt;=Control!$C$89),1*$BA99,$CE98))</f>
        <v>#N/A</v>
      </c>
      <c r="CB99" s="140" t="e">
        <f ca="1">IF($BX99&lt;0,-$BX99,$CA99*IF(OR($G99&lt;Control!$C$92,$G99&gt;Control!$C$95),0,IF(AND($G99&gt;=Control!$C$92,$G99&lt;=Control!$C$93),$G99-Control!$C$92,IF(AND($G99&gt;Control!$C$93,$G99&lt;=Control!$C$94),Control!$C$93-Control!$C$92,IF(AND($G99&gt;Control!$C$94,$G99&lt;=Control!$C$95),(Control!$C$93-Control!$C$92)*(Control!$C$94-$G99)/(Control!$C$95-Control!$C$94))))))</f>
        <v>#N/A</v>
      </c>
      <c r="CC99" s="140" t="e">
        <f t="shared" ca="1" si="368"/>
        <v>#N/A</v>
      </c>
      <c r="CD99" s="140" t="e">
        <f ca="1">IF($CC99&lt;=Control!$C$90,$CC99,Control!$C$90-$CC99)</f>
        <v>#N/A</v>
      </c>
      <c r="CE99" s="140" t="e">
        <f ca="1">IF(AND($BB99&gt;=60,$BB99&lt;65),1,IF($CC99&gt;=Control!$C$90,0,$CA99))</f>
        <v>#N/A</v>
      </c>
      <c r="CF99" s="404" t="e">
        <f ca="1">IF($CE99=0,0,IF($CC99&lt;=Control!$C$90,$CA99*(60+(65-60)*(CD99/Control!$C$90)),0))</f>
        <v>#N/A</v>
      </c>
      <c r="CG99" s="140" t="e">
        <f ca="1">IF($BG99+$BM99+$BS99+$BY99+$CE99=1,0,IF(OR(AND($BB99&lt;90,$BB99&gt;=65),$CC99&gt;=Control!$C$90),$BA99,$CK98))</f>
        <v>#N/A</v>
      </c>
      <c r="CH99" s="140" t="e">
        <f ca="1">IF($CD99&lt;0,-$CD99,$CG99*IF(OR($G99&lt;Control!$C$92,$G99&gt;Control!$C$95),0,IF(AND($G99&gt;=Control!$C$92,$G99&lt;=Control!$C$93),$G99-Control!$C$92,IF(AND($G99&gt;Control!$C$93,$G99&lt;=Control!$C$94),Control!$C$93-Control!$C$92,IF(AND($G99&gt;Control!$C$94,$G99&lt;=Control!$C$95),(Control!$C$93-Control!$C$92)*(Control!$C$94-$G99)/(Control!$C$95-Control!$C$94))))))</f>
        <v>#N/A</v>
      </c>
      <c r="CI99" s="140" t="e">
        <f t="shared" ca="1" si="369"/>
        <v>#N/A</v>
      </c>
      <c r="CJ99" s="140" t="e">
        <f ca="1">IF($CI99&lt;=Control!$C$91,$CI99,Control!$C$91-$CI99)</f>
        <v>#N/A</v>
      </c>
      <c r="CK99" s="140" t="e">
        <f ca="1">IF(AND($BB99&gt;=65,$BB99&lt;90),1,IF($CI99&gt;=Control!$C$91,0,$CG99))</f>
        <v>#N/A</v>
      </c>
      <c r="CL99" s="404" t="e">
        <f ca="1">IF($CK99=0,0,IF($CI99&lt;=Control!$C$91,$CG99*(65+(90-65)*($CJ99/Control!$C$91)),0))</f>
        <v>#N/A</v>
      </c>
      <c r="CM99" s="140" t="e">
        <f ca="1">IF($BG99+$BM99+$BS99+$BY99+$CE99+$CK99=1,0,IF(OR($BB99&gt;=90,$CI99&gt;=Control!$C$91),$BA99,$CM98))</f>
        <v>#N/A</v>
      </c>
      <c r="CN99" s="140" t="e">
        <f t="shared" ca="1" si="370"/>
        <v>#N/A</v>
      </c>
      <c r="CO99" s="140" t="e">
        <f t="shared" ca="1" si="371"/>
        <v>#N/A</v>
      </c>
      <c r="CP99" s="140" t="e">
        <f t="shared" ca="1" si="372"/>
        <v>#N/A</v>
      </c>
      <c r="CQ99" s="141" t="e">
        <f ca="1">VLOOKUP($CP99,Control!$B$86:$G$91,6)</f>
        <v>#N/A</v>
      </c>
      <c r="CR99" s="141" t="e">
        <f ca="1">(1-$CQ99)*VLOOKUP($CP99,Control!$B$86:$D$91,3)</f>
        <v>#N/A</v>
      </c>
      <c r="CS99" s="141" t="e">
        <f ca="1">(1-$CQ99)*VLOOKUP($CP99,Control!$B$86:$E$91,4)</f>
        <v>#N/A</v>
      </c>
      <c r="CT99" s="141" t="e">
        <f ca="1">(1-$CQ99)*VLOOKUP($CP99,Control!$B$86:$F$91,5)</f>
        <v>#N/A</v>
      </c>
      <c r="CU99" s="141">
        <f t="shared" ca="1" si="373"/>
        <v>0</v>
      </c>
      <c r="CV99" s="583">
        <f t="shared" ca="1" si="374"/>
        <v>0</v>
      </c>
      <c r="CW99" s="142">
        <f t="shared" ca="1" si="375"/>
        <v>95</v>
      </c>
      <c r="CX99" s="612" t="e">
        <f ca="1">IF(Control!$C$114=1,(MIN(Control!$C$120*(IF($NT99-0.01&lt;0,0,1)),Control!$C$119-$CY99)))</f>
        <v>#DIV/0!</v>
      </c>
      <c r="CY99" s="143" t="e">
        <f t="shared" ca="1" si="376"/>
        <v>#N/A</v>
      </c>
      <c r="CZ99" s="144">
        <f t="shared" ca="1" si="253"/>
        <v>0</v>
      </c>
      <c r="DA99" s="144">
        <f t="shared" ca="1" si="254"/>
        <v>0</v>
      </c>
      <c r="DB99" s="144" t="e">
        <f t="shared" ca="1" si="255"/>
        <v>#N/A</v>
      </c>
      <c r="DC99" s="144" t="e">
        <f t="shared" ca="1" si="256"/>
        <v>#N/A</v>
      </c>
      <c r="DD99" s="144" t="e">
        <f t="shared" ca="1" si="461"/>
        <v>#N/A</v>
      </c>
      <c r="DE99" s="143" t="e">
        <f t="shared" ca="1" si="377"/>
        <v>#N/A</v>
      </c>
      <c r="DF99" s="145" t="e">
        <f ca="1">$DR99*EXP(-Control!$C$158*(1-$KH99))</f>
        <v>#N/A</v>
      </c>
      <c r="DG99" s="146" t="e">
        <f ca="1">IF(Control!$C$114=1, $DF99*$EY99, 0)</f>
        <v>#N/A</v>
      </c>
      <c r="DH99" s="147" t="e">
        <f t="shared" ca="1" si="378"/>
        <v>#N/A</v>
      </c>
      <c r="DI99" s="144" t="e">
        <f t="shared" ca="1" si="439"/>
        <v>#N/A</v>
      </c>
      <c r="DJ99" s="147" t="e">
        <f ca="1">$EF99*Control!$C$109</f>
        <v>#N/A</v>
      </c>
      <c r="DK99" s="144" t="e">
        <f t="shared" ca="1" si="379"/>
        <v>#N/A</v>
      </c>
      <c r="DL99" s="144" t="e">
        <f t="shared" ca="1" si="257"/>
        <v>#N/A</v>
      </c>
      <c r="DM99" s="144" t="e">
        <f ca="1">IF(Control!$C$114=1, (1-EXP(-Control!$C$96*$DK99))*$AR99, 0)</f>
        <v>#N/A</v>
      </c>
      <c r="DN99" s="144">
        <f t="shared" ca="1" si="380"/>
        <v>0</v>
      </c>
      <c r="DO99" s="148">
        <f>Control!$C$97</f>
        <v>4</v>
      </c>
      <c r="DP99" s="145" t="e">
        <f t="shared" ca="1" si="381"/>
        <v>#N/A</v>
      </c>
      <c r="DQ99" s="145" t="e">
        <f ca="1">IF(AND($CP99&gt;=0,$CP99&lt;=90),Control!$C$111,Control!$C$111)</f>
        <v>#N/A</v>
      </c>
      <c r="DR99" s="145" t="e">
        <f t="shared" ca="1" si="258"/>
        <v>#N/A</v>
      </c>
      <c r="DS99" s="143" t="e">
        <f ca="1">Control!$B$22/$DR99</f>
        <v>#N/A</v>
      </c>
      <c r="DT99" s="149" t="e">
        <f ca="1">IF(AND(Control!$C$114=1,$KH99&lt;1),$IM99*$DF99, 0)</f>
        <v>#N/A</v>
      </c>
      <c r="DU99" s="144" t="e">
        <f t="shared" ca="1" si="382"/>
        <v>#N/A</v>
      </c>
      <c r="DV99" s="144">
        <f ca="1">IF($G99-Control!$C$107&lt;=0, 0, 0.83*LN(MAX($G99, 3))-0.8924)</f>
        <v>0</v>
      </c>
      <c r="DW99" s="144" t="e">
        <f t="shared" ca="1" si="259"/>
        <v>#N/A</v>
      </c>
      <c r="DX99" s="150" t="e">
        <f ca="1">MAX(0.01*(1+$CU99/Control!$C$102),0.05*($DK99-Control!$C$97)/Control!$C$97)</f>
        <v>#N/A</v>
      </c>
      <c r="DY99" s="151" t="e">
        <f ca="1">IF(Control!$C$114=1, $DI99*$FS99, 0)</f>
        <v>#N/A</v>
      </c>
      <c r="DZ99" s="196" t="e">
        <f t="shared" ca="1" si="383"/>
        <v>#N/A</v>
      </c>
      <c r="EA99" s="152">
        <f t="shared" ca="1" si="384"/>
        <v>95</v>
      </c>
      <c r="EB99" s="153" t="e">
        <f t="shared" ca="1" si="385"/>
        <v>#N/A</v>
      </c>
      <c r="EC99" s="153" t="e">
        <f t="shared" ca="1" si="386"/>
        <v>#N/A</v>
      </c>
      <c r="ED99" s="154" t="e">
        <f ca="1">IF(Control!$C$114=1, $HM99*$FY99-$FD99, 0)</f>
        <v>#DIV/0!</v>
      </c>
      <c r="EE99" s="155" t="e">
        <f ca="1">IF(Control!$C$114=1, $HM99*$FZ99-$FF99, 0)</f>
        <v>#DIV/0!</v>
      </c>
      <c r="EF99" s="153" t="e">
        <f t="shared" ca="1" si="440"/>
        <v>#N/A</v>
      </c>
      <c r="EG99" s="155" t="e">
        <f ca="1">IF(Control!$C$114=1, $GX99*$FW99-$FI99, 0)</f>
        <v>#DIV/0!</v>
      </c>
      <c r="EH99" s="153" t="e">
        <f t="shared" ca="1" si="387"/>
        <v>#N/A</v>
      </c>
      <c r="EI99" s="156" t="e">
        <f t="shared" ca="1" si="388"/>
        <v>#N/A</v>
      </c>
      <c r="EJ99" s="155" t="e">
        <f ca="1">IF(Control!$C$114=1, $HM99*$GB99, 0)</f>
        <v>#DIV/0!</v>
      </c>
      <c r="EK99" s="153" t="e">
        <f t="shared" ca="1" si="441"/>
        <v>#N/A</v>
      </c>
      <c r="EL99" s="153" t="e">
        <f t="shared" ca="1" si="260"/>
        <v>#N/A</v>
      </c>
      <c r="EM99" s="153" t="e">
        <f t="shared" ca="1" si="261"/>
        <v>#N/A</v>
      </c>
      <c r="EN99" s="153" t="e">
        <f ca="1">IF(Control!$C$108=1,IF(AND(Control!$B$18=1,$EB99&gt;=Control!$B$19),$EB99-$DS99,IF(AND(Control!$B$18=2,$AW99=1,$EB99&gt;$DS99),$EB99-$DS99,0)))</f>
        <v>#N/A</v>
      </c>
      <c r="EO99" s="153" t="e">
        <f ca="1">IF(Control!$C$108=1,IF(AND(Control!$B$18=1,$EB99&gt;=Control!$B$19),$EF99,IF(AND(Control!$B$18=2,$AW99=1),$EF99,0)))</f>
        <v>#N/A</v>
      </c>
      <c r="EP99" s="153" t="e">
        <f ca="1">IF(Control!$C$108=1,IF(AND(Control!$B$18=1,$EB99&gt;=Control!$B$19),$EK99,IF(AND(Control!$B$18=2,$AW99=1),$EK99,0)))</f>
        <v>#N/A</v>
      </c>
      <c r="EQ99" s="153" t="e">
        <f t="shared" ca="1" si="389"/>
        <v>#N/A</v>
      </c>
      <c r="ER99" s="153" t="e">
        <f t="shared" ca="1" si="390"/>
        <v>#N/A</v>
      </c>
      <c r="ES99" s="153" t="e">
        <f t="shared" ca="1" si="442"/>
        <v>#N/A</v>
      </c>
      <c r="ET99" s="153" t="e">
        <f t="shared" ca="1" si="443"/>
        <v>#N/A</v>
      </c>
      <c r="EU99" s="153" t="e">
        <f t="shared" ca="1" si="391"/>
        <v>#N/A</v>
      </c>
      <c r="EV99" s="153" t="e">
        <f t="shared" ca="1" si="262"/>
        <v>#N/A</v>
      </c>
      <c r="EW99" s="153" t="e">
        <f t="shared" ca="1" si="263"/>
        <v>#N/A</v>
      </c>
      <c r="EX99" s="153" t="e">
        <f t="shared" ca="1" si="264"/>
        <v>#N/A</v>
      </c>
      <c r="EY99" s="157" t="e">
        <f t="shared" ca="1" si="265"/>
        <v>#DIV/0!</v>
      </c>
      <c r="EZ99" s="154" t="e">
        <f t="shared" ca="1" si="266"/>
        <v>#DIV/0!</v>
      </c>
      <c r="FA99" s="153" t="e">
        <f t="shared" ca="1" si="392"/>
        <v>#N/A</v>
      </c>
      <c r="FB99" s="153" t="e">
        <f t="shared" ca="1" si="267"/>
        <v>#N/A</v>
      </c>
      <c r="FC99" s="193" t="e">
        <f t="shared" ca="1" si="268"/>
        <v>#N/A</v>
      </c>
      <c r="FD99" s="158" t="e">
        <f t="shared" ca="1" si="393"/>
        <v>#N/A</v>
      </c>
      <c r="FE99" s="158" t="e">
        <f t="shared" ca="1" si="394"/>
        <v>#N/A</v>
      </c>
      <c r="FF99" s="159" t="e">
        <f t="shared" ca="1" si="269"/>
        <v>#N/A</v>
      </c>
      <c r="FG99" s="160" t="e">
        <f t="shared" ca="1" si="395"/>
        <v>#N/A</v>
      </c>
      <c r="FH99" s="158" t="e">
        <f t="shared" ca="1" si="396"/>
        <v>#N/A</v>
      </c>
      <c r="FI99" s="159" t="e">
        <f t="shared" ca="1" si="270"/>
        <v>#N/A</v>
      </c>
      <c r="FJ99" s="160" t="e">
        <f t="shared" ca="1" si="397"/>
        <v>#N/A</v>
      </c>
      <c r="FK99" s="160" t="e">
        <f t="shared" ca="1" si="271"/>
        <v>#N/A</v>
      </c>
      <c r="FL99" s="160" t="e">
        <f t="shared" ca="1" si="444"/>
        <v>#N/A</v>
      </c>
      <c r="FM99" s="160" t="e">
        <f t="shared" ca="1" si="272"/>
        <v>#N/A</v>
      </c>
      <c r="FN99" s="158">
        <f t="shared" ca="1" si="398"/>
        <v>0.01</v>
      </c>
      <c r="FO99" s="160">
        <f>Control!$C$101</f>
        <v>50</v>
      </c>
      <c r="FP99" s="150" t="e">
        <f t="shared" ca="1" si="273"/>
        <v>#N/A</v>
      </c>
      <c r="FQ99" s="150" t="e">
        <f ca="1">MAX(0,(Control!$C$112*(($DK99-Control!$C$97)/Control!$C$97)))</f>
        <v>#N/A</v>
      </c>
      <c r="FR99" s="150" t="e">
        <f ca="1">(1-$NT99)*Control!$C$113</f>
        <v>#DIV/0!</v>
      </c>
      <c r="FS99" s="198" t="e">
        <f t="shared" ca="1" si="274"/>
        <v>#N/A</v>
      </c>
      <c r="FT99" s="161">
        <f t="shared" ca="1" si="399"/>
        <v>95</v>
      </c>
      <c r="FU99" s="162" t="e">
        <f ca="1">IF(Control!$B$34=1,VLOOKUP($CP99,Control!$B$86:$G$91,6),Control!$B$35)</f>
        <v>#N/A</v>
      </c>
      <c r="FV99" s="162" t="e">
        <f t="shared" ca="1" si="275"/>
        <v>#DIV/0!</v>
      </c>
      <c r="FW99" s="162" t="e">
        <f ca="1">IF(Control!$B$31=1,$FU99*$FV99,  $FU99)</f>
        <v>#N/A</v>
      </c>
      <c r="FX99" s="162" t="e">
        <f ca="1">IF(Control!$B$34=1,VLOOKUP($CP99,Control!$B$86:$G$91,3),Control!$B$36)</f>
        <v>#N/A</v>
      </c>
      <c r="FY99" s="162" t="e">
        <f t="shared" ca="1" si="276"/>
        <v>#N/A</v>
      </c>
      <c r="FZ99" s="162" t="e">
        <f ca="1">IF(Control!$B$34=1,VLOOKUP($CP99,Control!$B$86:$G$91,4),Control!$B$37)</f>
        <v>#N/A</v>
      </c>
      <c r="GA99" s="162" t="e">
        <f t="shared" ca="1" si="277"/>
        <v>#N/A</v>
      </c>
      <c r="GB99" s="162" t="e">
        <f ca="1">IF(Control!$B$34=1,VLOOKUP($CP99,Control!$B$86:$G$91,5),Control!$B$38)</f>
        <v>#N/A</v>
      </c>
      <c r="GC99" s="162" t="e">
        <f t="shared" ca="1" si="400"/>
        <v>#N/A</v>
      </c>
      <c r="GD99" s="162">
        <f t="shared" ca="1" si="278"/>
        <v>1</v>
      </c>
      <c r="GE99" s="162">
        <f t="shared" ca="1" si="279"/>
        <v>1</v>
      </c>
      <c r="GF99" s="162">
        <f ca="1">IF(AND(Control!$C$104=1, Control!$C$62="F"),$GE99,1)</f>
        <v>1</v>
      </c>
      <c r="GG99" s="162" t="e">
        <f ca="1">IF(Control!$B$16=40,0,IF(AND(Control!$B$16&gt;40,Control!$B$16&lt;=360),(Control!$B$16-40)*((1-0)/(360-40)),IF(AND(Control!$B$16&gt;360,Control!$B$16&lt;=720),(1+(Control!$B$16-360)*((1.25-1)/(720-360))),IF(AND(Control!$B$16&gt;720,Control!$B$16&lt;=1000),(1.25+(Control!$B$16-720)*((1.35-1.25)/(1000-720))),IF(AND(Control!$B$16&gt;1000,Control!$B$16&lt;=2000),(1.35+(Control!$B$16-1000)*0))))))</f>
        <v>#N/A</v>
      </c>
      <c r="GH99" s="162" t="e">
        <f t="shared" ca="1" si="280"/>
        <v>#N/A</v>
      </c>
      <c r="GI99" s="162">
        <f t="shared" ca="1" si="401"/>
        <v>0</v>
      </c>
      <c r="GJ99" s="162">
        <f t="shared" ca="1" si="281"/>
        <v>0</v>
      </c>
      <c r="GK99" s="162">
        <f t="shared" ca="1" si="402"/>
        <v>1</v>
      </c>
      <c r="GL99" s="162">
        <f t="shared" ca="1" si="282"/>
        <v>1</v>
      </c>
      <c r="GM99" s="162" t="e">
        <f ca="1">MAX(0,MIN(1,1-Control!$C$156*(1.0001-$KH99)^2))</f>
        <v>#N/A</v>
      </c>
      <c r="GN99" s="162" t="e">
        <f ca="1">IF(Control!$B$26=1,$KU99,$KX99)</f>
        <v>#N/A</v>
      </c>
      <c r="GO99" s="162" t="e">
        <f ca="1">IF($CP99&lt;=60,Control!$C$105,IF($CP99&gt;=90,Control!$C$106,Control!$C$105+($CP99-60)*((Control!$C$106-Control!$C$105)/(90-60))))</f>
        <v>#N/A</v>
      </c>
      <c r="GP99" s="162" t="e">
        <f t="shared" ca="1" si="283"/>
        <v>#N/A</v>
      </c>
      <c r="GQ99" s="162" t="e">
        <f t="shared" ca="1" si="403"/>
        <v>#N/A</v>
      </c>
      <c r="GR99" s="163" t="e">
        <f t="shared" ca="1" si="284"/>
        <v>#DIV/0!</v>
      </c>
      <c r="GS99" s="162" t="e">
        <f t="shared" ca="1" si="285"/>
        <v>#DIV/0!</v>
      </c>
      <c r="GT99" s="164" t="e">
        <f t="shared" ca="1" si="404"/>
        <v>#N/A</v>
      </c>
      <c r="GU99" s="162" t="e">
        <f t="shared" ca="1" si="405"/>
        <v>#N/A</v>
      </c>
      <c r="GV99" s="162" t="e">
        <f t="shared" ca="1" si="286"/>
        <v>#N/A</v>
      </c>
      <c r="GW99" s="162" t="e">
        <f t="shared" ca="1" si="287"/>
        <v>#DIV/0!</v>
      </c>
      <c r="GX99" s="162" t="e">
        <f t="shared" ca="1" si="406"/>
        <v>#DIV/0!</v>
      </c>
      <c r="GY99" s="162" t="e">
        <f t="shared" ca="1" si="407"/>
        <v>#DIV/0!</v>
      </c>
      <c r="GZ99" s="165" t="e">
        <f t="shared" ca="1" si="288"/>
        <v>#N/A</v>
      </c>
      <c r="HA99" s="162" t="e">
        <f ca="1">IF(Control!$C$114=1, $DI99*$FS99, 0)</f>
        <v>#N/A</v>
      </c>
      <c r="HB99" s="162" t="e">
        <f ca="1">$FA99/Control!$C$64</f>
        <v>#N/A</v>
      </c>
      <c r="HC99" s="162" t="e">
        <f t="shared" ca="1" si="289"/>
        <v>#DIV/0!</v>
      </c>
      <c r="HD99" s="162">
        <f ca="1">-ASIN(SIN(23.45*Control!$C$139)*COS(2*Control!$C$138*($AH99+10)/365))</f>
        <v>9.3453338684819309E-2</v>
      </c>
      <c r="HE99" s="165">
        <f t="shared" ca="1" si="408"/>
        <v>0</v>
      </c>
      <c r="HF99" s="166">
        <f ca="1">IF(AND(Control!$C$61="T",$HE99&gt;=Control!$C$103,Control!$C$114=0),$AH99,Control!$C$59)</f>
        <v>1</v>
      </c>
      <c r="HG99" s="166">
        <f ca="1">IF(AND(Control!$C$61="T",$HE99&gt;=Control!$C$103,Control!$C$114=0),$HF99,Control!$C$59)</f>
        <v>1</v>
      </c>
      <c r="HH99" s="165">
        <f ca="1">IF(AND(OR(Control!$C$60&lt;=0, $AH99= Control!$C$59, Control!$C$60 &gt;0, $AH99 = Control!$C$60)), Control!$C$59, IF(Control!$C$60&gt;0, 0))</f>
        <v>1</v>
      </c>
      <c r="HI99" s="165">
        <f ca="1">IF(AND(OR(Control!$C$60&lt;=0, $AH99= Control!$C$59, Control!$C$60 &gt;0, $AH99 = Control!$C$60)), Control!$C$60, IF(Control!$C$60&lt;=0, 0))</f>
        <v>0</v>
      </c>
      <c r="HJ99" s="166">
        <f ca="1">IF(AND(Control!$C$62="F",$CV99&gt;=Control!$C$102),$AH99,0)</f>
        <v>0</v>
      </c>
      <c r="HK99" s="165" t="e">
        <f t="shared" ca="1" si="445"/>
        <v>#N/A</v>
      </c>
      <c r="HL99" s="166">
        <f ca="1">IF(AND(Control!$C$61="T",$HE99&gt;=Control!$C$103,Control!$C$114=0),$HF99,0)</f>
        <v>0</v>
      </c>
      <c r="HM99" s="201" t="e">
        <f t="shared" ca="1" si="290"/>
        <v>#DIV/0!</v>
      </c>
      <c r="HN99" s="215">
        <f t="shared" ca="1" si="409"/>
        <v>95</v>
      </c>
      <c r="HO99" s="216" t="e">
        <f ca="1">IF(AND($CP99&gt;=0, $CP99&lt;=90), Control!$C$152, Control!$C$152)</f>
        <v>#N/A</v>
      </c>
      <c r="HP99" s="216" t="e">
        <f t="shared" ca="1" si="291"/>
        <v>#N/A</v>
      </c>
      <c r="HQ99" s="217" t="e">
        <f ca="1">IF(OR(Control!$B$26=1,Control!$B$26=2),$KV99,$KS99)</f>
        <v>#DIV/0!</v>
      </c>
      <c r="HR99" s="218" t="e">
        <f t="shared" ca="1" si="446"/>
        <v>#DIV/0!</v>
      </c>
      <c r="HS99" s="216" t="e">
        <f ca="1">Control!$C$154*$HP99</f>
        <v>#N/A</v>
      </c>
      <c r="HT99" s="216" t="e">
        <f ca="1">Control!$C$155*$HP99</f>
        <v>#N/A</v>
      </c>
      <c r="HU99" s="217" t="e">
        <f ca="1">Control!$C$161*$FI99</f>
        <v>#N/A</v>
      </c>
      <c r="HV99" s="218" t="e">
        <f t="shared" ca="1" si="410"/>
        <v>#N/A</v>
      </c>
      <c r="HW99" s="218" t="e">
        <f ca="1">Control!$C$160*$FF99+$IP99*$EO99</f>
        <v>#N/A</v>
      </c>
      <c r="HX99" s="218" t="e">
        <f t="shared" ca="1" si="447"/>
        <v>#N/A</v>
      </c>
      <c r="HY99" s="219" t="e">
        <f ca="1">IF(Control!$C$114=1, $EB99*$FS99, 0)</f>
        <v>#N/A</v>
      </c>
      <c r="HZ99" s="91" t="e">
        <f t="shared" ca="1" si="292"/>
        <v>#N/A</v>
      </c>
      <c r="IA99" s="220" t="e">
        <f ca="1">Control!$C$153*$HO99</f>
        <v>#N/A</v>
      </c>
      <c r="IB99" s="218" t="e">
        <f t="shared" ca="1" si="293"/>
        <v>#N/A</v>
      </c>
      <c r="IC99" s="220" t="e">
        <f ca="1">Control!$C$153*$HT99</f>
        <v>#N/A</v>
      </c>
      <c r="ID99" s="218" t="e">
        <f t="shared" ca="1" si="294"/>
        <v>#N/A</v>
      </c>
      <c r="IE99" s="221" t="e">
        <f ca="1">($EB99*Control!$C$159+$EF99*Control!$C$160)/(IF($GZ99&lt;&gt;0,$GZ99,1))</f>
        <v>#N/A</v>
      </c>
      <c r="IF99" s="216" t="e">
        <f t="shared" ca="1" si="295"/>
        <v>#N/A</v>
      </c>
      <c r="IG99" s="91">
        <f ca="1">IF(OR(Control!$B$198=$AH99,Control!$B$199=$AH99, Control!$B$200=$AH99, Control!$B$201=$AH99, Control!$B$202=$AH99, Control!$B$203=$AH99, Control!$B$204=$AH99, Control!$B$205=$AH99, Control!$B$206=$AH99, Control!$B$207=$AH99), 1, 0)</f>
        <v>0</v>
      </c>
      <c r="IH99" s="91">
        <f ca="1">IF($IG99=0,0, VLOOKUP($AH99,Control!$B$198:$C$207,2))</f>
        <v>0</v>
      </c>
      <c r="II99" s="222">
        <f t="shared" ca="1" si="411"/>
        <v>0</v>
      </c>
      <c r="IJ99" s="91">
        <f>Control!$C$121</f>
        <v>0.7</v>
      </c>
      <c r="IK99" s="218">
        <f t="shared" ca="1" si="296"/>
        <v>0</v>
      </c>
      <c r="IL99" s="217" t="e">
        <f t="shared" ca="1" si="448"/>
        <v>#N/A</v>
      </c>
      <c r="IM99" s="223" t="e">
        <f ca="1">IF(AND(Control!$C$114=1,$KH99&lt;1),$EB99*Control!$C$148*(1-$KH99), 0)</f>
        <v>#N/A</v>
      </c>
      <c r="IN99" s="217" t="e">
        <f t="shared" ca="1" si="297"/>
        <v>#DIV/0!</v>
      </c>
      <c r="IO99" s="91" t="e">
        <f ca="1">MAX(0,$IL99-$EF99*Control!$C$160)</f>
        <v>#N/A</v>
      </c>
      <c r="IP99" s="220" t="e">
        <f t="shared" ca="1" si="298"/>
        <v>#N/A</v>
      </c>
      <c r="IQ99" s="217" t="e">
        <f t="shared" ca="1" si="412"/>
        <v>#N/A</v>
      </c>
      <c r="IR99" s="218" t="e">
        <f t="shared" ca="1" si="299"/>
        <v>#N/A</v>
      </c>
      <c r="IS99" s="217" t="e">
        <f ca="1">Control!$C$159*MAX(0,$FD99-$EN99)</f>
        <v>#N/A</v>
      </c>
      <c r="IT99" s="217" t="e">
        <f t="shared" ca="1" si="449"/>
        <v>#N/A</v>
      </c>
      <c r="IU99" s="217" t="e">
        <f t="shared" ca="1" si="413"/>
        <v>#N/A</v>
      </c>
      <c r="IV99" s="217" t="e">
        <f t="shared" ca="1" si="450"/>
        <v>#N/A</v>
      </c>
      <c r="IW99" s="217" t="e">
        <f ca="1">IF(OR($AW99=1,AND($AW99=0, Control!$B$18=1,$EN99&lt;&gt;0)), $IQ99-$IU99, $IQ99)</f>
        <v>#N/A</v>
      </c>
      <c r="IX99" s="218" t="e">
        <f t="shared" ca="1" si="300"/>
        <v>#N/A</v>
      </c>
      <c r="IY99" s="218" t="e">
        <f ca="1">MAX(0,$IQ99-$EB99*Control!$C$159)</f>
        <v>#N/A</v>
      </c>
      <c r="IZ99" s="218" t="e">
        <f t="shared" ca="1" si="301"/>
        <v>#N/A</v>
      </c>
      <c r="JA99" s="216" t="e">
        <f t="shared" ca="1" si="302"/>
        <v>#N/A</v>
      </c>
      <c r="JB99" s="217" t="e">
        <f t="shared" ca="1" si="303"/>
        <v>#N/A</v>
      </c>
      <c r="JC99" s="222" t="e">
        <f ca="1">MAX(Control!$C$157*$EK99-$JT99, 0)/Control!$C$162</f>
        <v>#N/A</v>
      </c>
      <c r="JD99" s="218" t="e">
        <f t="shared" ca="1" si="304"/>
        <v>#N/A</v>
      </c>
      <c r="JE99" s="218" t="e">
        <f t="shared" ca="1" si="305"/>
        <v>#N/A</v>
      </c>
      <c r="JF99" s="218" t="e">
        <f t="shared" ca="1" si="414"/>
        <v>#N/A</v>
      </c>
      <c r="JG99" s="218" t="e">
        <f t="shared" ca="1" si="306"/>
        <v>#N/A</v>
      </c>
      <c r="JH99" s="217" t="e">
        <f t="shared" ca="1" si="415"/>
        <v>#N/A</v>
      </c>
      <c r="JI99" s="217" t="e">
        <f t="shared" ca="1" si="416"/>
        <v>#N/A</v>
      </c>
      <c r="JJ99" s="217" t="e">
        <f t="shared" ca="1" si="451"/>
        <v>#N/A</v>
      </c>
      <c r="JK99" s="217" t="e">
        <f ca="1">IF(Control!$C$114=1,IF(Control!$B$24=0,MAX(0,$JI99)*$GN99/Control!$C$64,(MAX(0,MIN($JI99,$JJ99*$GN99/Control!$C$64),0))))</f>
        <v>#N/A</v>
      </c>
      <c r="JL99" s="217" t="e">
        <f ca="1">$IK99/Control!$C$64-$JK99+$HQ99</f>
        <v>#N/A</v>
      </c>
      <c r="JM99" s="217" t="e">
        <f ca="1">IF(Control!$C$114=1,($JB99/(IF($JI99&lt;&gt;0,$JI99,1)))*$JK99,0)</f>
        <v>#N/A</v>
      </c>
      <c r="JN99" s="217" t="e">
        <f ca="1">IF(Control!$C$114=1,($JG99/(IF($JI99&lt;&gt;0,$JI99,1)))*$JK99, 0)</f>
        <v>#N/A</v>
      </c>
      <c r="JO99" s="218" t="e">
        <f t="shared" ca="1" si="307"/>
        <v>#N/A</v>
      </c>
      <c r="JP99" s="218" t="e">
        <f ca="1">MIN(($IY99+$IO99)*Control!$C$151, $JF99-$EH99*Control!$C$161)</f>
        <v>#N/A</v>
      </c>
      <c r="JQ99" s="218" t="e">
        <f t="shared" ca="1" si="308"/>
        <v>#N/A</v>
      </c>
      <c r="JR99" s="217" t="e">
        <f ca="1">IF($CP99-Control!$C$150&lt;0, 0, $JQ99/Control!$C$162)</f>
        <v>#N/A</v>
      </c>
      <c r="JS99" s="218" t="e">
        <f t="shared" ca="1" si="309"/>
        <v>#N/A</v>
      </c>
      <c r="JT99" s="218" t="e">
        <f t="shared" ca="1" si="417"/>
        <v>#N/A</v>
      </c>
      <c r="JU99" s="218" t="e">
        <f t="shared" ca="1" si="310"/>
        <v>#N/A</v>
      </c>
      <c r="JV99" s="218" t="e">
        <f t="shared" ca="1" si="311"/>
        <v>#N/A</v>
      </c>
      <c r="JW99" s="216" t="e">
        <f t="shared" ca="1" si="312"/>
        <v>#N/A</v>
      </c>
      <c r="JX99" s="91" t="e">
        <f t="shared" ca="1" si="313"/>
        <v>#N/A</v>
      </c>
      <c r="JY99" s="218" t="e">
        <f t="shared" ca="1" si="314"/>
        <v>#N/A</v>
      </c>
      <c r="JZ99" s="217" t="e">
        <f ca="1">IF(Control!$C$114=1,($IZ99/(IF($JI99&lt;&gt;0,$JI99,1)))*$JK99, 0)</f>
        <v>#N/A</v>
      </c>
      <c r="KA99" s="218" t="e">
        <f t="shared" ca="1" si="452"/>
        <v>#N/A</v>
      </c>
      <c r="KB99" s="218" t="e">
        <f t="shared" ca="1" si="418"/>
        <v>#N/A</v>
      </c>
      <c r="KC99" s="218" t="e">
        <f t="shared" ca="1" si="315"/>
        <v>#N/A</v>
      </c>
      <c r="KD99" s="218" t="e">
        <f t="shared" ca="1" si="316"/>
        <v>#N/A</v>
      </c>
      <c r="KE99" s="218" t="e">
        <f t="shared" ca="1" si="317"/>
        <v>#N/A</v>
      </c>
      <c r="KF99" s="218" t="e">
        <f t="shared" ca="1" si="318"/>
        <v>#N/A</v>
      </c>
      <c r="KG99" s="216" t="e">
        <f t="shared" ca="1" si="319"/>
        <v>#N/A</v>
      </c>
      <c r="KH99" s="221" t="e">
        <f ca="1">IF(Control!$B$24=0,1,MAX(0.001,MIN(1,IF(($IF99-$IE99)&lt;&gt;0,($KG99-$IE99)/($IF99-$IE99),1))))</f>
        <v>#N/A</v>
      </c>
      <c r="KI99" s="222" t="e">
        <f ca="1">IF(Control!$C$114=1, $KI98+ $KH98, 0)</f>
        <v>#N/A</v>
      </c>
      <c r="KJ99" s="217" t="e">
        <f t="shared" ca="1" si="320"/>
        <v>#N/A</v>
      </c>
      <c r="KK99" s="218" t="e">
        <f t="shared" ca="1" si="321"/>
        <v>#N/A</v>
      </c>
      <c r="KL99" s="274" t="e">
        <f ca="1">IF(Control!$B$26=3,4000000000*EXP(-8400/($G99+273)),IF(Control!$B$26=4,4000000000*EXP(-8400/($G99+273))*($KT99),0))</f>
        <v>#DIV/0!</v>
      </c>
      <c r="KM99" s="274" t="e">
        <f ca="1">IF(Control!$B$26=3,5600000000000*EXP(-9800/($G99+273)),IF(Control!$B$26=4,5600000000000*EXP(-9800/($G99+273))*$KT99,0))</f>
        <v>#DIV/0!</v>
      </c>
      <c r="KN99" s="454" t="e">
        <f t="shared" ca="1" si="419"/>
        <v>#DIV/0!</v>
      </c>
      <c r="KO99" s="274" t="e">
        <f t="shared" ca="1" si="420"/>
        <v>#DIV/0!</v>
      </c>
      <c r="KP99" s="454" t="e">
        <f t="shared" ca="1" si="322"/>
        <v>#DIV/0!</v>
      </c>
      <c r="KQ99" s="454" t="e">
        <f t="shared" ca="1" si="323"/>
        <v>#DIV/0!</v>
      </c>
      <c r="KR99" s="454" t="e">
        <f t="shared" ca="1" si="324"/>
        <v>#DIV/0!</v>
      </c>
      <c r="KS99" s="454" t="e">
        <f t="shared" ca="1" si="325"/>
        <v>#DIV/0!</v>
      </c>
      <c r="KT99" s="455" t="e">
        <f t="shared" ca="1" si="326"/>
        <v>#DIV/0!</v>
      </c>
      <c r="KU99" s="456" t="e">
        <f ca="1">IF($CP99-Control!$C$149&lt;0, IF($NT99-0.01&lt;0,0,1),0)</f>
        <v>#N/A</v>
      </c>
      <c r="KV99" s="456" t="e">
        <f ca="1">IF(Control!$C$114=1,MAX(0,MIN(Control!$C$125*$KW99*$GN99,$KW99)))</f>
        <v>#DIV/0!</v>
      </c>
      <c r="KW99" s="456" t="e">
        <f t="shared" ca="1" si="453"/>
        <v>#DIV/0!</v>
      </c>
      <c r="KX99" s="457" t="e">
        <f ca="1">IF($CP99-Control!$C$149&lt;0, IF($MR99-$OM99&lt;0,0,1),0)</f>
        <v>#N/A</v>
      </c>
      <c r="KY99" s="167">
        <f t="shared" ca="1" si="421"/>
        <v>95</v>
      </c>
      <c r="KZ99" s="168">
        <f ca="1">1370*(1+0.033*COS(2*Control!$C$138*$AH99/365))</f>
        <v>1367.0834004703038</v>
      </c>
      <c r="LA99" s="169">
        <f t="shared" ca="1" si="422"/>
        <v>0.99787122116817262</v>
      </c>
      <c r="LB99" s="169">
        <f t="shared" ca="1" si="423"/>
        <v>9.9344247414743778E-2</v>
      </c>
      <c r="LC99" s="169">
        <f ca="1">ACOS(-TAN((2*Control!$B$8/360))*TAN(Calculations!$LB99))</f>
        <v>1.6004235989001416</v>
      </c>
      <c r="LD99" s="169">
        <f ca="1">((24*60)/PI())*0.082*$LA99*(($LC99*SIN(Control!$B$8*2*PI()/360))*SIN($LB99)+COS(Control!$B$8*2*PI()/360)*COS($LB99)*SIN($LC99))</f>
        <v>27.658407405850994</v>
      </c>
      <c r="LE99" s="170">
        <f t="shared" ca="1" si="327"/>
        <v>27.554363492073751</v>
      </c>
      <c r="LF99" s="170">
        <f ca="1">SIN(Control!$C$139*Control!$B$8)*SIN($HD99)</f>
        <v>7.3535211836177117E-2</v>
      </c>
      <c r="LG99" s="170">
        <f ca="1">COS(Control!$C$139*Control!$B$8)*COS($HD99)</f>
        <v>0.61297331838763069</v>
      </c>
      <c r="LH99" s="170">
        <f ca="1">12*(1+2*ASIN(MAX(-1,MIN(1,$LF99/$LG99))/Control!$C$138))</f>
        <v>12.916684171037097</v>
      </c>
      <c r="LI99" s="170">
        <f ca="1">12*(1+2*ASIN(MAX(-1,MIN(1,(-SIN(-4*Control!$C$139)+$LF99)/$LG99))/Control!$C$138))</f>
        <v>13.787482711176306</v>
      </c>
      <c r="LJ99" s="168">
        <f ca="1">3600*($LH99*$LF99+24*$LG99*SQRT(1-$LK99*$LK99)/Control!$C$138)</f>
        <v>20155.583399370153</v>
      </c>
      <c r="LK99" s="170">
        <f t="shared" ca="1" si="328"/>
        <v>0.1199647841599446</v>
      </c>
      <c r="LL99" s="170">
        <f t="shared" ca="1" si="329"/>
        <v>0</v>
      </c>
      <c r="LM99" s="171">
        <f ca="1">Control!$C$145*$AB99</f>
        <v>6.6660906138995932E-2</v>
      </c>
      <c r="LN99" s="170">
        <f t="shared" ca="1" si="424"/>
        <v>0.54</v>
      </c>
      <c r="LO99" s="170">
        <f t="shared" ca="1" si="330"/>
        <v>0</v>
      </c>
      <c r="LP99" s="170">
        <f ca="1">Control!$C$140*((($D99+273.16)^4+($E99+273.16)^4)/2)*(0.34-0.14*SQRT($Y99))*(1.35*$AQ99/(0.75*$LD99)-0.35)</f>
        <v>-3.2464704755046001</v>
      </c>
      <c r="LQ99" s="170">
        <f ca="1">Control!$C$140*($G99+273)^4*(0.56-0.079*SQRT($Y99*10))*(0.1+0.9*$LO99)</f>
        <v>1.5241745131704001</v>
      </c>
      <c r="LR99" s="170">
        <f ca="1">$AQ99*(1-Control!$C$142)-$LQ99</f>
        <v>-1.5241745131704001</v>
      </c>
      <c r="LS99" s="170">
        <f ca="1">$AQ99*(1-Control!$C$143)-$LQ99</f>
        <v>-1.5241745131704001</v>
      </c>
      <c r="LT99" s="170">
        <f ca="1">$AQ99*(1-Control!$C$144)-$LQ99</f>
        <v>-1.5241745131704001</v>
      </c>
      <c r="LU99" s="169">
        <f ca="1">(1-Control!$C$144)*AQ99-LP99</f>
        <v>3.2464704755046001</v>
      </c>
      <c r="LV99" s="172">
        <f t="shared" ca="1" si="331"/>
        <v>0.79430000000000012</v>
      </c>
      <c r="LW99" s="170">
        <f t="shared" ca="1" si="332"/>
        <v>1.5886000000000002</v>
      </c>
      <c r="LX99" s="170">
        <f ca="1">($AC99*($LR99/Control!$C$141)+$LM99*$LV99)/($AC99+$LM99)</f>
        <v>0.23530094218323697</v>
      </c>
      <c r="LY99" s="170">
        <f ca="1">($AC99*($LS99/Control!$C$141)+$LM99*$LV99)/($AC99+$LM99)</f>
        <v>0.23530094218323697</v>
      </c>
      <c r="LZ99" s="170">
        <f t="shared" ca="1" si="333"/>
        <v>0.23530094218323697</v>
      </c>
      <c r="MA99" s="170">
        <f t="shared" ca="1" si="334"/>
        <v>0.23530094218323697</v>
      </c>
      <c r="MB99" s="170" t="e">
        <f t="shared" ca="1" si="335"/>
        <v>#N/A</v>
      </c>
      <c r="MC99" s="170">
        <f t="shared" ca="1" si="425"/>
        <v>0.6018</v>
      </c>
      <c r="MD99" s="170">
        <f t="shared" ca="1" si="336"/>
        <v>0.52989392535414004</v>
      </c>
      <c r="ME99" s="170">
        <f ca="1">($AC99*($LT99/Control!$C$141)+$LM99*$LW99)/($AC99+$LM99)</f>
        <v>0.71612369323045078</v>
      </c>
      <c r="MF99" s="170" t="e">
        <f ca="1">IF(Control!$B$16&gt;=1000,0.92,IF(AND(720&lt;=Control!$B$16,1000&gt;Control!$B$16),(0.95+(Control!$B$16-720)*((0.92-0.95)/(1000-720))),IF(AND(360&lt;=Control!$B$16,720&gt;Control!$B$16),(1+(Control!$B$16-360)*((0.95-1)/(720-360))),IF(AND(40&lt;=Control!$B$16,360&gt;Control!$B$16),(1.05+(Control!$B$16-40)*((1.05-1)/(360-40)))))))</f>
        <v>#N/A</v>
      </c>
      <c r="MG99" s="170">
        <f t="shared" ca="1" si="337"/>
        <v>0.71612369323045078</v>
      </c>
      <c r="MH99" s="170" t="e">
        <f t="shared" ca="1" si="462"/>
        <v>#N/A</v>
      </c>
      <c r="MI99" s="170" t="e">
        <f t="shared" ca="1" si="462"/>
        <v>#N/A</v>
      </c>
      <c r="MJ99" s="170" t="e">
        <f ca="1">MAX(0.0001, Control!$C$132*$MI99*$DL99)</f>
        <v>#N/A</v>
      </c>
      <c r="MK99" s="170">
        <f ca="1">1/(0.76+1.5*($MG99/10))-(5-Control!$C$110)*0.1</f>
        <v>1.002845988140797</v>
      </c>
      <c r="ML99" s="173">
        <f ca="1">IF(Control!$C$110&lt;3,$MK99+($MG99-0.6)/(Control!$C$110*(Control!$C$110+3)), MAX(0.1, MIN(0.95,$MK99)))</f>
        <v>0.95</v>
      </c>
      <c r="MM99" s="173">
        <f ca="1">IF(Control!$C$110&lt;3,$MK99+(($MI99/10)-0.6)/(Control!$C$110*(Control!$C$110+3)), MAX(0.1, MIN(0.95,$MK99)))</f>
        <v>0.95</v>
      </c>
      <c r="MN99" s="173">
        <f ca="1">(1-$MM99)*(Control!$C$128-Control!$C$127)+Control!$C$127</f>
        <v>0.16</v>
      </c>
      <c r="MO99" s="170" t="e">
        <f ca="1">MAX(0,MIN(1,($MS99-Control!$C$127)/($MN99-Control!$C$127)))</f>
        <v>#DIV/0!</v>
      </c>
      <c r="MP99" s="173" t="e">
        <f ca="1">1/(0.76+1.5*$MI99)-(5-Control!$C$110)*0.1</f>
        <v>#N/A</v>
      </c>
      <c r="MQ99" s="172" t="e">
        <f t="shared" ca="1" si="454"/>
        <v>#DIV/0!</v>
      </c>
      <c r="MR99" s="168" t="e">
        <f t="shared" ca="1" si="426"/>
        <v>#DIV/0!</v>
      </c>
      <c r="MS99" s="173" t="e">
        <f ca="1">MAX(Control!$C$127, MIN(Control!$C$135, $MR99/MAX(0.0001,$CY99)))</f>
        <v>#DIV/0!</v>
      </c>
      <c r="MT99" s="168" t="e">
        <f ca="1">(Control!$C$128-$MS99)*Control!$C$74</f>
        <v>#DIV/0!</v>
      </c>
      <c r="MU99" s="168" t="e">
        <f ca="1">(Control!$C$135-$MS99)*Control!$C$74</f>
        <v>#DIV/0!</v>
      </c>
      <c r="MV99" s="168" t="e">
        <f t="shared" ca="1" si="427"/>
        <v>#DIV/0!</v>
      </c>
      <c r="MW99" s="168" t="e">
        <f t="shared" ca="1" si="428"/>
        <v>#DIV/0!</v>
      </c>
      <c r="MX99" s="171" t="e">
        <f ca="1">MAX(Control!$C$127, MIN(Control!$C$135, $MW99/MAX(0.0001,Control!$C$119-$CY99)))</f>
        <v>#DIV/0!</v>
      </c>
      <c r="MY99" s="54" t="e">
        <f ca="1">IF(Control!$C$114=1, $CX99*$MX99, 0)</f>
        <v>#DIV/0!</v>
      </c>
      <c r="MZ99" s="54" t="e">
        <f t="shared" ca="1" si="429"/>
        <v>#N/A</v>
      </c>
      <c r="NA99" s="168" t="e">
        <f ca="1">(Control!$C$128-$MX99)*(Control!$C$119-Control!$C$74)</f>
        <v>#DIV/0!</v>
      </c>
      <c r="NB99" s="168" t="e">
        <f ca="1">(Control!$C$135-$MX99)*(Control!$C$119-Control!$C$74)</f>
        <v>#DIV/0!</v>
      </c>
      <c r="NC99" s="174" t="e">
        <f t="shared" ca="1" si="430"/>
        <v>#DIV/0!</v>
      </c>
      <c r="ND99" s="54">
        <f ca="1">IF(Control!$C$58=2, IF(OR(Control!$B$218=$AH99,Control!$B$219=$AH99, Control!$B$220=$AH99, Control!$B$221=$AH99, Control!$B$222=$AH99, Control!$B$223=$AH99, Control!$B$224=$AH99, Control!$B$225=$AH99, Control!$B$226=$AH99, Control!$B$227=$AH99, Control!$B$228=$AH99), 1, 0), 0)</f>
        <v>0</v>
      </c>
      <c r="NE99" s="54">
        <f ca="1">IF($ND99=0,0, VLOOKUP($AH99,Control!$B$218:$C$228,2))</f>
        <v>0</v>
      </c>
      <c r="NF99" s="168" t="e">
        <f ca="1">$CY99*(Control!$C$128-Control!$C$127)</f>
        <v>#N/A</v>
      </c>
      <c r="NG99" s="54" t="e">
        <f ca="1">IF(Control!$C$58=2, $NI98-$NJ98, 0)</f>
        <v>#DIV/0!</v>
      </c>
      <c r="NH99" s="54" t="e">
        <f ca="1">IF(AND(Control!$C$58=1, $MS98&lt;= ($MN98+0.02), $I98&lt;10), 0, IF(Control!$C$58=2, $NG98, 0))</f>
        <v>#DIV/0!</v>
      </c>
      <c r="NI99" s="54" t="e">
        <f ca="1">IF(Control!$C$58=2, $NE99+$NH99,0)</f>
        <v>#DIV/0!</v>
      </c>
      <c r="NJ99" s="54" t="e">
        <f ca="1">IF(AND(Control!$C$58=1, $MS99&lt;= ($MN99+0.02), $I99&lt;10), MAX(0, MIN(10, 0.7*($NF99-$MV99))), IF(Control!$C$58=2, MIN(10,$NI99),0))</f>
        <v>#DIV/0!</v>
      </c>
      <c r="NK99" s="54" t="e">
        <f t="shared" ca="1" si="338"/>
        <v>#DIV/0!</v>
      </c>
      <c r="NL99" s="173" t="e">
        <f ca="1">(1-Control!$C$73)*$I99+$NJ99</f>
        <v>#DIV/0!</v>
      </c>
      <c r="NM99" s="172" t="e">
        <f ca="1">IF($NL99&lt;0.5, $MB99* MAX(0, MIN(1, (SQRT($NC99)-SQRT($NC99-1))*Control!$C$71)),0)</f>
        <v>#DIV/0!</v>
      </c>
      <c r="NN99" s="170" t="e">
        <f ca="1">IF($NL99&gt;=5, $MB99, MAX(0,MIN($MB99, $NM99+$NL99,($MS99-Control!$C$129))))</f>
        <v>#DIV/0!</v>
      </c>
      <c r="NO99" s="54">
        <f>IF(Control!$C$133&lt;&gt;1, Control!$C$135-Control!$C$131, 0)</f>
        <v>0.38</v>
      </c>
      <c r="NP99" s="54" t="e">
        <f t="shared" ca="1" si="339"/>
        <v>#DIV/0!</v>
      </c>
      <c r="NQ99" s="173" t="e">
        <f ca="1">MAX(0,MIN(1,(Control!$C$135-$MS99)/(Control!$C$135-$NO99)))</f>
        <v>#DIV/0!</v>
      </c>
      <c r="NR99" s="170" t="e">
        <f ca="1">IF(Control!$C$133&lt;&gt;1, $NQ99+((1-$NP99/4)*(1-$NQ99)),1)</f>
        <v>#DIV/0!</v>
      </c>
      <c r="NS99" s="170" t="e">
        <f ca="1">IF(Control!$B$31=0,$MJ99,MAX(0,MIN($MV99,$MO99*$NR99*$MJ99)))</f>
        <v>#DIV/0!</v>
      </c>
      <c r="NT99" s="170" t="e">
        <f t="shared" ca="1" si="455"/>
        <v>#DIV/0!</v>
      </c>
      <c r="NU99" s="170" t="e">
        <f t="shared" ca="1" si="431"/>
        <v>#N/A</v>
      </c>
      <c r="NV99" s="170" t="e">
        <f t="shared" ca="1" si="340"/>
        <v>#N/A</v>
      </c>
      <c r="NW99" s="175" t="e">
        <f t="shared" ca="1" si="341"/>
        <v>#DIV/0!</v>
      </c>
      <c r="NX99" s="170" t="e">
        <f ca="1">MIN(Control!$C$72+$MU99, $NW99)</f>
        <v>#DIV/0!</v>
      </c>
      <c r="NY99" s="170" t="e">
        <f ca="1">IF($MT99&lt;=$NX99,MIN(Control!$C$72+$NB99,$NX99-$MT99),0)</f>
        <v>#DIV/0!</v>
      </c>
      <c r="NZ99" s="54" t="e">
        <f ca="1">IF(Control!$C$114=1,  $CX99*($MX99-Control!$C$127), 0)</f>
        <v>#DIV/0!</v>
      </c>
      <c r="OA99" s="170" t="e">
        <f t="shared" ca="1" si="342"/>
        <v>#DIV/0!</v>
      </c>
      <c r="OB99" s="170" t="e">
        <f ca="1">IF($NA99 &lt;=$NY99, MIN(Control!$C$72, $NY99-$NA99), 0)</f>
        <v>#DIV/0!</v>
      </c>
      <c r="OC99" s="168" t="e">
        <f t="shared" ca="1" si="343"/>
        <v>#DIV/0!</v>
      </c>
      <c r="OD99" s="168" t="e">
        <f t="shared" ca="1" si="432"/>
        <v>#DIV/0!</v>
      </c>
      <c r="OE99" s="170">
        <f ca="1">Control!$C$73*$I99</f>
        <v>0</v>
      </c>
      <c r="OF99" s="176" t="e">
        <f t="shared" ca="1" si="344"/>
        <v>#DIV/0!</v>
      </c>
      <c r="OG99" s="168" t="e">
        <f t="shared" ca="1" si="345"/>
        <v>#DIV/0!</v>
      </c>
      <c r="OH99" s="168" t="e">
        <f t="shared" ca="1" si="346"/>
        <v>#DIV/0!</v>
      </c>
      <c r="OI99" s="168" t="e">
        <f t="shared" ca="1" si="347"/>
        <v>#DIV/0!</v>
      </c>
      <c r="OJ99" s="168" t="e">
        <f t="shared" ca="1" si="348"/>
        <v>#DIV/0!</v>
      </c>
      <c r="OK99" s="204" t="e">
        <f t="shared" ca="1" si="349"/>
        <v>#DIV/0!</v>
      </c>
      <c r="OL99" s="177">
        <f>Control!$C$127</f>
        <v>0.15</v>
      </c>
      <c r="OM99" s="182" t="e">
        <f t="shared" ca="1" si="350"/>
        <v>#N/A</v>
      </c>
      <c r="ON99" s="177">
        <f>Control!$C$128</f>
        <v>0.35</v>
      </c>
      <c r="OO99" s="182" t="e">
        <f t="shared" ca="1" si="351"/>
        <v>#N/A</v>
      </c>
      <c r="OP99" s="138">
        <f t="shared" ca="1" si="433"/>
        <v>0</v>
      </c>
      <c r="OQ99" s="138" t="e">
        <f t="shared" ca="1" si="456"/>
        <v>#DIV/0!</v>
      </c>
      <c r="OR99" s="138" t="e">
        <f t="shared" ca="1" si="434"/>
        <v>#DIV/0!</v>
      </c>
      <c r="OS99" s="137" t="e">
        <f t="shared" ca="1" si="457"/>
        <v>#DIV/0!</v>
      </c>
      <c r="OT99" s="139" t="e">
        <f t="shared" ca="1" si="458"/>
        <v>#DIV/0!</v>
      </c>
      <c r="OU99" s="138" t="e">
        <f t="shared" ca="1" si="459"/>
        <v>#N/A</v>
      </c>
      <c r="OV99" s="138" t="e">
        <f t="shared" ca="1" si="460"/>
        <v>#DIV/0!</v>
      </c>
      <c r="OW99" s="138" t="e">
        <f t="shared" ca="1" si="435"/>
        <v>#DIV/0!</v>
      </c>
      <c r="OX99" s="138" t="e">
        <f t="shared" ca="1" si="436"/>
        <v>#DIV/0!</v>
      </c>
      <c r="OY99" s="138" t="e">
        <f t="shared" ca="1" si="437"/>
        <v>#DIV/0!</v>
      </c>
      <c r="OZ99" s="138" t="e">
        <f t="shared" ca="1" si="352"/>
        <v>#DIV/0!</v>
      </c>
      <c r="PA99" s="138" t="e">
        <f t="shared" ca="1" si="353"/>
        <v>#DIV/0!</v>
      </c>
      <c r="PB99" s="55">
        <f>IF(Control!$C$61="T", IF(Control!$C$65="F", IF($AH$6-Control!$C$60&lt;0,0,1), IF(365+$AH$6-Control!$C$60&lt;0,0,1)),0)</f>
        <v>0</v>
      </c>
      <c r="PC99" s="55">
        <f ca="1">IF(Control!$C$65="F", IF($AH$6-$HF99&lt;0,0,1), IF(365+$AH$6-$HF99&lt;0,0,1))</f>
        <v>1</v>
      </c>
      <c r="PD99" s="444">
        <f>Control!$C$118</f>
        <v>1500</v>
      </c>
      <c r="PE99" s="180" t="e">
        <f t="shared" ca="1" si="354"/>
        <v>#N/A</v>
      </c>
      <c r="PF99" s="445">
        <f t="shared" ca="1" si="438"/>
        <v>0.71612369323045078</v>
      </c>
      <c r="PT99" s="186"/>
      <c r="PU99" s="186"/>
      <c r="PV99" s="94"/>
      <c r="PW99" s="94"/>
      <c r="PX99" s="94"/>
      <c r="PY99" s="94"/>
      <c r="PZ99" s="94"/>
      <c r="QA99" s="94"/>
      <c r="QB99" s="94"/>
      <c r="QC99" s="94"/>
      <c r="QD99" s="94"/>
      <c r="QE99" s="94"/>
      <c r="QF99" s="94"/>
      <c r="QG99" s="94"/>
      <c r="QH99" s="94"/>
      <c r="QI99" s="94"/>
      <c r="QJ99" s="94"/>
      <c r="QK99" s="94"/>
      <c r="QL99" s="94"/>
      <c r="QM99" s="94"/>
      <c r="QN99" s="94"/>
      <c r="QO99" s="94"/>
      <c r="QP99" s="94"/>
    </row>
    <row r="100" spans="1:458" s="2" customFormat="1" x14ac:dyDescent="0.2">
      <c r="A100" s="395">
        <v>5</v>
      </c>
      <c r="B100" s="396">
        <v>4</v>
      </c>
      <c r="C100" s="387">
        <f ca="1">Weather_data!$B99</f>
        <v>0</v>
      </c>
      <c r="D100" s="388">
        <f ca="1">Weather_data!$F99</f>
        <v>0</v>
      </c>
      <c r="E100" s="388">
        <f ca="1">Weather_data!$E99</f>
        <v>0</v>
      </c>
      <c r="F100" s="388">
        <f t="shared" ca="1" si="355"/>
        <v>0</v>
      </c>
      <c r="G100" s="388">
        <f ca="1">AVERAGE($D100:$E100)+Control!$B$9</f>
        <v>0</v>
      </c>
      <c r="H100" s="388">
        <f ca="1">Weather_data!$G99</f>
        <v>0</v>
      </c>
      <c r="I100" s="388">
        <f ca="1">Weather_data!$I99</f>
        <v>0</v>
      </c>
      <c r="J100" s="388">
        <f ca="1">Weather_data!$H99</f>
        <v>0</v>
      </c>
      <c r="K100" s="389">
        <f ca="1">Weather_data!$D99</f>
        <v>0</v>
      </c>
      <c r="L100" s="388" t="e">
        <f t="shared" ca="1" si="356"/>
        <v>#N/A</v>
      </c>
      <c r="M100" s="388" t="e">
        <f t="shared" ca="1" si="234"/>
        <v>#N/A</v>
      </c>
      <c r="N100" s="388">
        <f t="shared" ca="1" si="235"/>
        <v>-2.4989979026446468E-5</v>
      </c>
      <c r="O100" s="388">
        <f t="shared" ca="1" si="357"/>
        <v>2.4989979026446469E-4</v>
      </c>
      <c r="P100" s="390">
        <v>3</v>
      </c>
      <c r="Q100" s="388">
        <f ca="1">MAX($G100-Control!$C$107,0)</f>
        <v>0</v>
      </c>
      <c r="R100" s="388">
        <f t="shared" ca="1" si="358"/>
        <v>0</v>
      </c>
      <c r="S100" s="388">
        <f t="shared" ca="1" si="236"/>
        <v>0</v>
      </c>
      <c r="T100" s="388">
        <f t="shared" ca="1" si="237"/>
        <v>0</v>
      </c>
      <c r="U100" s="59">
        <f t="shared" ca="1" si="238"/>
        <v>0</v>
      </c>
      <c r="V100" s="391">
        <f ca="1">MAX(0,MIN(Control!$C$100-Control!$C$99,$G100-Control!$C$99)*Control!$C$63)</f>
        <v>0</v>
      </c>
      <c r="W100" s="388">
        <f t="shared" ca="1" si="359"/>
        <v>0</v>
      </c>
      <c r="X100" s="388">
        <f t="shared" ca="1" si="360"/>
        <v>0.6110000000000001</v>
      </c>
      <c r="Y100" s="388">
        <f t="shared" ca="1" si="239"/>
        <v>0</v>
      </c>
      <c r="Z100" s="388">
        <f t="shared" ca="1" si="361"/>
        <v>0.61058800000000002</v>
      </c>
      <c r="AA100" s="388">
        <f t="shared" ca="1" si="240"/>
        <v>0.6018</v>
      </c>
      <c r="AB100" s="388">
        <f ca="1">101.3*EXP(-0.034*Control!$C$66/($G100+273))</f>
        <v>100.69623283836242</v>
      </c>
      <c r="AC100" s="392">
        <f t="shared" ca="1" si="241"/>
        <v>4.3460251046025113E-2</v>
      </c>
      <c r="AD100" s="392">
        <f t="shared" ca="1" si="242"/>
        <v>4.4450382862832649E-2</v>
      </c>
      <c r="AE100" s="388">
        <f t="shared" ca="1" si="243"/>
        <v>0</v>
      </c>
      <c r="AF100" s="388">
        <f ca="1">MAX(0,$G100-Control!$C$92)</f>
        <v>0</v>
      </c>
      <c r="AG100" s="393">
        <f t="shared" ca="1" si="244"/>
        <v>96</v>
      </c>
      <c r="AH100" s="389">
        <f t="shared" ca="1" si="245"/>
        <v>96</v>
      </c>
      <c r="AI100" s="388">
        <f t="shared" ca="1" si="362"/>
        <v>0.10012983911190247</v>
      </c>
      <c r="AJ100" s="388">
        <f ca="1">IF(Control!$C$60&lt;=0,$HH100,$HI100)</f>
        <v>1</v>
      </c>
      <c r="AK100" s="388">
        <f t="shared" ca="1" si="246"/>
        <v>0.27542730113663938</v>
      </c>
      <c r="AL100" s="388">
        <f t="shared" ca="1" si="247"/>
        <v>-3.6068370512509772E-19</v>
      </c>
      <c r="AM100" s="388">
        <f t="shared" ca="1" si="248"/>
        <v>0.27542730113663938</v>
      </c>
      <c r="AN100" s="388">
        <f t="shared" ca="1" si="249"/>
        <v>0.10839710684326267</v>
      </c>
      <c r="AO100" s="388">
        <f ca="1">-0.10453/COS(Control!$B$8*PI()/180)*COS(AN100)</f>
        <v>-0.16878836017159238</v>
      </c>
      <c r="AP100" s="388">
        <f ca="1">ACOS(AO100-TAN(Control!$B$8*PI()/180)*TAN(AN100))</f>
        <v>1.8839666453904491</v>
      </c>
      <c r="AQ100" s="388">
        <f t="shared" ca="1" si="363"/>
        <v>0</v>
      </c>
      <c r="AR100" s="394">
        <f t="shared" ca="1" si="250"/>
        <v>0</v>
      </c>
      <c r="AS100" s="436">
        <f ca="1">IF(Control!$B$18=2,(IF(OR($AH100=Control!$B$175,$AH100=Control!$B$176,$AH100=Control!$B$177,$AH100=Control!$B$178,$AH100=Control!$B$179,$AH100=Control!$B$180,$AH100=Control!$B$181,$AH100=Control!$B$182,$AH100=Control!$B$183,$AH100=Control!$B$184,$AH100=Control!$B$185),1,0)),0)</f>
        <v>0</v>
      </c>
      <c r="AT100" s="436">
        <f>IF(Control!$B$20=8,IF(AND($AH100&gt;=Control!$B$172,$AH100&lt;=Control!$B$173),1,0),0)</f>
        <v>0</v>
      </c>
      <c r="AU100" s="436">
        <f>IF(Control!$B$20=8,IF($AV99=1,1*$AT100,IF($AT100=1,$AU99+1,$AU99)),0)</f>
        <v>0</v>
      </c>
      <c r="AV100" s="436">
        <f>IF(Control!$B$20=8,IF($AU100&gt;=Control!$B$174,1,0),0)</f>
        <v>0</v>
      </c>
      <c r="AW100" s="436">
        <f ca="1">IF(AND(Control!$B$18=2,Control!$B$171=1), $AV100, $AS100)</f>
        <v>0</v>
      </c>
      <c r="AX100" s="436" t="e">
        <f ca="1">IF(AND(Control!$B$18=1,$EU100&gt;=Control!$B$19),-$AY100,IF(AND(Control!$B$18=2,$AW100=1,$EU100&gt;$DS100),-$AY100, IF(Control!$C$108=0,0, IF(Control!$C$108&lt;&gt;0,1))))</f>
        <v>#N/A</v>
      </c>
      <c r="AY100" s="436" t="e">
        <f t="shared" ca="1" si="364"/>
        <v>#N/A</v>
      </c>
      <c r="AZ100" s="436" t="e">
        <f ca="1">IF(AND(Control!$B$18=1,$EB100&gt;Control!$B$19),$AZ99+1, IF(AND(Control!$B$18=2, $AW100=1, $EB100&gt;$DS100), $AZ99+1,$AZ99))</f>
        <v>#N/A</v>
      </c>
      <c r="BA100" s="587">
        <f>IF(Control!$C$81=0,1,IF($AH100&gt;=Control!$C$82,1,0))</f>
        <v>1</v>
      </c>
      <c r="BB100" s="140" t="e">
        <f ca="1">IF($BA100&gt;$BA99,Control!$C$83,IF($AW100&gt;0,$AW100*Control!$C$84,IF(AND(Control!$B$18=1,EN99&lt;&gt;0),Control!$C$84,0)))</f>
        <v>#N/A</v>
      </c>
      <c r="BC100" s="140" t="e">
        <f t="shared" ca="1" si="365"/>
        <v>#N/A</v>
      </c>
      <c r="BD100" s="140" t="e">
        <f ca="1">BC100*IF(OR($G100&lt;Control!$C$92,$G100&gt;Control!$C$95),0,IF(AND($G100&gt;=Control!$C$92,$G100&lt;=Control!$C$93),$G100-Control!$C$92,IF(AND($G100&gt;Control!$C$93,$G100&lt;=Control!$C$94),Control!$C$93-Control!$C$92,IF(AND($G100&gt;Control!$C$94,$G100&lt;=Control!$C$95),(Control!$C$93-Control!$C$92)*(Control!$C$94-$G100)/(Control!$C$95-Control!$C$94)))))</f>
        <v>#N/A</v>
      </c>
      <c r="BE100" s="140" t="e">
        <f t="shared" ca="1" si="366"/>
        <v>#N/A</v>
      </c>
      <c r="BF100" s="140" t="e">
        <f ca="1">IF($BE100&lt;=Control!$C$86,$BE100,Control!$C$86-$BE100)</f>
        <v>#N/A</v>
      </c>
      <c r="BG100" s="140" t="e">
        <f ca="1">IF(AND($AW100=1,Control!$C$84&lt;9),1,IF($BE100&gt;=Control!$C$86,0,$BC100))</f>
        <v>#N/A</v>
      </c>
      <c r="BH100" s="404" t="e">
        <f ca="1">IF($BG100=0,0,IF($BE100&lt;=Control!$C$86,$BC100*9*($BF100/Control!$C$86),0))</f>
        <v>#N/A</v>
      </c>
      <c r="BI100" s="140" t="e">
        <f ca="1">IF($BG100=1,0,IF($BE100&gt;=Control!$C$86,1,IF(AND($BB100&lt;21,$BB100&gt;=9),1,$BM99)))</f>
        <v>#N/A</v>
      </c>
      <c r="BJ100" s="140" t="e">
        <f ca="1">IF($BF100&lt;0,-$BF100,$BI100*IF(OR($G100&lt;Control!$C$92,$G100&gt;Control!$C$95),0,IF(AND($G100&gt;=Control!$C$92,$G100&lt;=Control!$C$93),$G100-Control!$C$92,IF(AND($G100&gt;Control!$C$93,$G100&lt;=Control!$C$94),Control!$C$93-Control!$C$92,IF(AND($G100&gt;Control!$C$94,$G100&lt;=Control!$C$95),(Control!$C$93-Control!$C$92)*(Control!$C$94-$G100)/(Control!$C$95-Control!$C$94))))))</f>
        <v>#N/A</v>
      </c>
      <c r="BK100" s="140" t="e">
        <f t="shared" ca="1" si="367"/>
        <v>#N/A</v>
      </c>
      <c r="BL100" s="140" t="e">
        <f ca="1">IF($BK100&lt;=Control!$C$87,$BK100,Control!$C$87-$BK100)</f>
        <v>#N/A</v>
      </c>
      <c r="BM100" s="140" t="e">
        <f ca="1">IF(AND($BB100&gt;=9,$BB100&lt;21),1,IF($BK100&gt;=Control!$C$87,0,$BI100))</f>
        <v>#N/A</v>
      </c>
      <c r="BN100" s="404" t="e">
        <f ca="1">IF($BM100=0,0,IF($BK100&lt;=Control!$C$87,$BI100*(9+(21-9)*($BL100/Control!$C$87)),0))</f>
        <v>#N/A</v>
      </c>
      <c r="BO100" s="140" t="e">
        <f ca="1">IF($BM100=1,0,IF($BK100&gt;=Control!$C$87,1,IF(AND($BB100&lt;30,$BB100&gt;=21),1,$BS99)))</f>
        <v>#N/A</v>
      </c>
      <c r="BP100" s="140" t="e">
        <f ca="1">IF($BL100&lt;0,-$BL100,$BO100*IF(OR($G100&lt;Control!$C$92,$G100&gt;Control!$C$95),0,IF(AND($G100&gt;=Control!$C$92,$G100&lt;=Control!$C$93),$G100-Control!$C$92,IF(AND($G100&gt;Control!$C$93,$G100&lt;=Control!$C$94),Control!$C$93-Control!$C$92,IF(AND($G100&gt;Control!$C$94,$G100&lt;=Control!$C$95),(Control!$C$93-Control!$C$92)*(Control!$C$94-$G100)/(Control!$C$95-Control!$C$94))))))</f>
        <v>#N/A</v>
      </c>
      <c r="BQ100" s="140" t="e">
        <f t="shared" ca="1" si="251"/>
        <v>#N/A</v>
      </c>
      <c r="BR100" s="140" t="e">
        <f ca="1">IF($BQ100&lt;=Control!$C$88,$BQ100,Control!$C$88-$BQ100)</f>
        <v>#N/A</v>
      </c>
      <c r="BS100" s="140" t="e">
        <f ca="1">IF(AND($BB100&gt;=21,$BB100&lt;30),1,IF($BQ100&gt;=Control!$C$88,0,$BO100))</f>
        <v>#N/A</v>
      </c>
      <c r="BT100" s="404" t="e">
        <f ca="1">IF($BS100=0,0,IF($BQ100&lt;=Control!$C$88,$BO100*(21+(30-21)*(BR100/Control!$C$88)),0))</f>
        <v>#N/A</v>
      </c>
      <c r="BU100" s="140" t="e">
        <f ca="1">IF(BG100+BM100+BS100=1,0,IF(OR(AND($BB100&lt;60,$BB100&gt;=30),$BQ100&gt;=Control!$C$88),1*$BA100,$BY99))</f>
        <v>#N/A</v>
      </c>
      <c r="BV100" s="140" t="e">
        <f ca="1">IF($BR100&lt;0,-$BR100,$BU100*IF(OR($G100&lt;Control!$C$92,$G100&gt;Control!$C$95),0,IF(AND($G100&gt;=Control!$C$92,$G100&lt;=Control!$C$93),$G100-Control!$C$92,IF(AND($G100&gt;Control!$C$93,$G100&lt;=Control!$C$94),Control!$C$93-Control!$C$92,IF(AND($G100&gt;Control!$C$94,$G100&lt;=Control!$C$95),(Control!$C$93-Control!$C$92)*(Control!$C$94-$G100)/(Control!$C$95-Control!$C$94))))))</f>
        <v>#N/A</v>
      </c>
      <c r="BW100" s="140" t="e">
        <f t="shared" ca="1" si="252"/>
        <v>#N/A</v>
      </c>
      <c r="BX100" s="140" t="e">
        <f ca="1">IF($BW100&lt;=Control!$C$89,$BW100,Control!$C$89-$BW100)</f>
        <v>#N/A</v>
      </c>
      <c r="BY100" s="140" t="e">
        <f ca="1">IF(AND($AJ100&gt;=30,$AJ100&lt;60),1,IF($BW100&gt;=Control!$C$89,0,$BU100))</f>
        <v>#N/A</v>
      </c>
      <c r="BZ100" s="404" t="e">
        <f ca="1">IF($BY100=0,0,IF($BW100&lt;=Control!$C$89,$BU100*(30+(60-30)*(BX100/Control!$C$89)),0))</f>
        <v>#N/A</v>
      </c>
      <c r="CA100" s="140" t="e">
        <f ca="1">IF($BG100+$BM100+$BS100+$BY100=1,0,IF(OR(AND($BB100&lt;65,$BB100&gt;=60),$BW100&gt;=Control!$C$89),1*$BA100,$CE99))</f>
        <v>#N/A</v>
      </c>
      <c r="CB100" s="140" t="e">
        <f ca="1">IF($BX100&lt;0,-$BX100,$CA100*IF(OR($G100&lt;Control!$C$92,$G100&gt;Control!$C$95),0,IF(AND($G100&gt;=Control!$C$92,$G100&lt;=Control!$C$93),$G100-Control!$C$92,IF(AND($G100&gt;Control!$C$93,$G100&lt;=Control!$C$94),Control!$C$93-Control!$C$92,IF(AND($G100&gt;Control!$C$94,$G100&lt;=Control!$C$95),(Control!$C$93-Control!$C$92)*(Control!$C$94-$G100)/(Control!$C$95-Control!$C$94))))))</f>
        <v>#N/A</v>
      </c>
      <c r="CC100" s="140" t="e">
        <f t="shared" ca="1" si="368"/>
        <v>#N/A</v>
      </c>
      <c r="CD100" s="140" t="e">
        <f ca="1">IF($CC100&lt;=Control!$C$90,$CC100,Control!$C$90-$CC100)</f>
        <v>#N/A</v>
      </c>
      <c r="CE100" s="140" t="e">
        <f ca="1">IF(AND($BB100&gt;=60,$BB100&lt;65),1,IF($CC100&gt;=Control!$C$90,0,$CA100))</f>
        <v>#N/A</v>
      </c>
      <c r="CF100" s="404" t="e">
        <f ca="1">IF($CE100=0,0,IF($CC100&lt;=Control!$C$90,$CA100*(60+(65-60)*(CD100/Control!$C$90)),0))</f>
        <v>#N/A</v>
      </c>
      <c r="CG100" s="140" t="e">
        <f ca="1">IF($BG100+$BM100+$BS100+$BY100+$CE100=1,0,IF(OR(AND($BB100&lt;90,$BB100&gt;=65),$CC100&gt;=Control!$C$90),$BA100,$CK99))</f>
        <v>#N/A</v>
      </c>
      <c r="CH100" s="140" t="e">
        <f ca="1">IF($CD100&lt;0,-$CD100,$CG100*IF(OR($G100&lt;Control!$C$92,$G100&gt;Control!$C$95),0,IF(AND($G100&gt;=Control!$C$92,$G100&lt;=Control!$C$93),$G100-Control!$C$92,IF(AND($G100&gt;Control!$C$93,$G100&lt;=Control!$C$94),Control!$C$93-Control!$C$92,IF(AND($G100&gt;Control!$C$94,$G100&lt;=Control!$C$95),(Control!$C$93-Control!$C$92)*(Control!$C$94-$G100)/(Control!$C$95-Control!$C$94))))))</f>
        <v>#N/A</v>
      </c>
      <c r="CI100" s="140" t="e">
        <f t="shared" ca="1" si="369"/>
        <v>#N/A</v>
      </c>
      <c r="CJ100" s="140" t="e">
        <f ca="1">IF($CI100&lt;=Control!$C$91,$CI100,Control!$C$91-$CI100)</f>
        <v>#N/A</v>
      </c>
      <c r="CK100" s="140" t="e">
        <f ca="1">IF(AND($BB100&gt;=65,$BB100&lt;90),1,IF($CI100&gt;=Control!$C$91,0,$CG100))</f>
        <v>#N/A</v>
      </c>
      <c r="CL100" s="404" t="e">
        <f ca="1">IF($CK100=0,0,IF($CI100&lt;=Control!$C$91,$CG100*(65+(90-65)*($CJ100/Control!$C$91)),0))</f>
        <v>#N/A</v>
      </c>
      <c r="CM100" s="140" t="e">
        <f ca="1">IF($BG100+$BM100+$BS100+$BY100+$CE100+$CK100=1,0,IF(OR($BB100&gt;=90,$CI100&gt;=Control!$C$91),$BA100,$CM99))</f>
        <v>#N/A</v>
      </c>
      <c r="CN100" s="140" t="e">
        <f t="shared" ca="1" si="370"/>
        <v>#N/A</v>
      </c>
      <c r="CO100" s="140" t="e">
        <f t="shared" ca="1" si="371"/>
        <v>#N/A</v>
      </c>
      <c r="CP100" s="140" t="e">
        <f t="shared" ca="1" si="372"/>
        <v>#N/A</v>
      </c>
      <c r="CQ100" s="141" t="e">
        <f ca="1">VLOOKUP($CP100,Control!$B$86:$G$91,6)</f>
        <v>#N/A</v>
      </c>
      <c r="CR100" s="141" t="e">
        <f ca="1">(1-$CQ100)*VLOOKUP($CP100,Control!$B$86:$D$91,3)</f>
        <v>#N/A</v>
      </c>
      <c r="CS100" s="141" t="e">
        <f ca="1">(1-$CQ100)*VLOOKUP($CP100,Control!$B$86:$E$91,4)</f>
        <v>#N/A</v>
      </c>
      <c r="CT100" s="141" t="e">
        <f ca="1">(1-$CQ100)*VLOOKUP($CP100,Control!$B$86:$F$91,5)</f>
        <v>#N/A</v>
      </c>
      <c r="CU100" s="141">
        <f t="shared" ca="1" si="373"/>
        <v>0</v>
      </c>
      <c r="CV100" s="583">
        <f t="shared" ca="1" si="374"/>
        <v>0</v>
      </c>
      <c r="CW100" s="142">
        <f t="shared" ca="1" si="375"/>
        <v>96</v>
      </c>
      <c r="CX100" s="612" t="e">
        <f ca="1">IF(Control!$C$114=1,(MIN(Control!$C$120*(IF($NT100-0.01&lt;0,0,1)),Control!$C$119-$CY100)))</f>
        <v>#DIV/0!</v>
      </c>
      <c r="CY100" s="143" t="e">
        <f t="shared" ca="1" si="376"/>
        <v>#N/A</v>
      </c>
      <c r="CZ100" s="144">
        <f t="shared" ca="1" si="253"/>
        <v>0</v>
      </c>
      <c r="DA100" s="144">
        <f t="shared" ca="1" si="254"/>
        <v>0</v>
      </c>
      <c r="DB100" s="144" t="e">
        <f t="shared" ca="1" si="255"/>
        <v>#N/A</v>
      </c>
      <c r="DC100" s="144" t="e">
        <f t="shared" ca="1" si="256"/>
        <v>#N/A</v>
      </c>
      <c r="DD100" s="144" t="e">
        <f t="shared" ca="1" si="461"/>
        <v>#N/A</v>
      </c>
      <c r="DE100" s="143" t="e">
        <f t="shared" ca="1" si="377"/>
        <v>#N/A</v>
      </c>
      <c r="DF100" s="145" t="e">
        <f ca="1">$DR100*EXP(-Control!$C$158*(1-$KH100))</f>
        <v>#N/A</v>
      </c>
      <c r="DG100" s="146" t="e">
        <f ca="1">IF(Control!$C$114=1, $DF100*$EY100, 0)</f>
        <v>#N/A</v>
      </c>
      <c r="DH100" s="147" t="e">
        <f t="shared" ca="1" si="378"/>
        <v>#N/A</v>
      </c>
      <c r="DI100" s="144" t="e">
        <f t="shared" ca="1" si="439"/>
        <v>#N/A</v>
      </c>
      <c r="DJ100" s="147" t="e">
        <f ca="1">$EF100*Control!$C$109</f>
        <v>#N/A</v>
      </c>
      <c r="DK100" s="144" t="e">
        <f t="shared" ca="1" si="379"/>
        <v>#N/A</v>
      </c>
      <c r="DL100" s="144" t="e">
        <f t="shared" ca="1" si="257"/>
        <v>#N/A</v>
      </c>
      <c r="DM100" s="144" t="e">
        <f ca="1">IF(Control!$C$114=1, (1-EXP(-Control!$C$96*$DK100))*$AR100, 0)</f>
        <v>#N/A</v>
      </c>
      <c r="DN100" s="144">
        <f t="shared" ca="1" si="380"/>
        <v>0</v>
      </c>
      <c r="DO100" s="148">
        <f>Control!$C$97</f>
        <v>4</v>
      </c>
      <c r="DP100" s="145" t="e">
        <f t="shared" ca="1" si="381"/>
        <v>#N/A</v>
      </c>
      <c r="DQ100" s="145" t="e">
        <f ca="1">IF(AND($CP100&gt;=0,$CP100&lt;=90),Control!$C$111,Control!$C$111)</f>
        <v>#N/A</v>
      </c>
      <c r="DR100" s="145" t="e">
        <f t="shared" ca="1" si="258"/>
        <v>#N/A</v>
      </c>
      <c r="DS100" s="143" t="e">
        <f ca="1">Control!$B$22/$DR100</f>
        <v>#N/A</v>
      </c>
      <c r="DT100" s="149" t="e">
        <f ca="1">IF(AND(Control!$C$114=1,$KH100&lt;1),$IM100*$DF100, 0)</f>
        <v>#N/A</v>
      </c>
      <c r="DU100" s="144" t="e">
        <f t="shared" ca="1" si="382"/>
        <v>#N/A</v>
      </c>
      <c r="DV100" s="144">
        <f ca="1">IF($G100-Control!$C$107&lt;=0, 0, 0.83*LN(MAX($G100, 3))-0.8924)</f>
        <v>0</v>
      </c>
      <c r="DW100" s="144" t="e">
        <f t="shared" ca="1" si="259"/>
        <v>#N/A</v>
      </c>
      <c r="DX100" s="150" t="e">
        <f ca="1">MAX(0.01*(1+$CU100/Control!$C$102),0.05*($DK100-Control!$C$97)/Control!$C$97)</f>
        <v>#N/A</v>
      </c>
      <c r="DY100" s="151" t="e">
        <f ca="1">IF(Control!$C$114=1, $DI100*$FS100, 0)</f>
        <v>#N/A</v>
      </c>
      <c r="DZ100" s="196" t="e">
        <f t="shared" ca="1" si="383"/>
        <v>#N/A</v>
      </c>
      <c r="EA100" s="152">
        <f t="shared" ca="1" si="384"/>
        <v>96</v>
      </c>
      <c r="EB100" s="153" t="e">
        <f t="shared" ca="1" si="385"/>
        <v>#N/A</v>
      </c>
      <c r="EC100" s="153" t="e">
        <f t="shared" ca="1" si="386"/>
        <v>#N/A</v>
      </c>
      <c r="ED100" s="154" t="e">
        <f ca="1">IF(Control!$C$114=1, $HM100*$FY100-$FD100, 0)</f>
        <v>#DIV/0!</v>
      </c>
      <c r="EE100" s="155" t="e">
        <f ca="1">IF(Control!$C$114=1, $HM100*$FZ100-$FF100, 0)</f>
        <v>#DIV/0!</v>
      </c>
      <c r="EF100" s="153" t="e">
        <f t="shared" ca="1" si="440"/>
        <v>#N/A</v>
      </c>
      <c r="EG100" s="155" t="e">
        <f ca="1">IF(Control!$C$114=1, $GX100*$FW100-$FI100, 0)</f>
        <v>#DIV/0!</v>
      </c>
      <c r="EH100" s="153" t="e">
        <f t="shared" ca="1" si="387"/>
        <v>#N/A</v>
      </c>
      <c r="EI100" s="156" t="e">
        <f t="shared" ca="1" si="388"/>
        <v>#N/A</v>
      </c>
      <c r="EJ100" s="155" t="e">
        <f ca="1">IF(Control!$C$114=1, $HM100*$GB100, 0)</f>
        <v>#DIV/0!</v>
      </c>
      <c r="EK100" s="153" t="e">
        <f t="shared" ca="1" si="441"/>
        <v>#N/A</v>
      </c>
      <c r="EL100" s="153" t="e">
        <f t="shared" ca="1" si="260"/>
        <v>#N/A</v>
      </c>
      <c r="EM100" s="153" t="e">
        <f t="shared" ca="1" si="261"/>
        <v>#N/A</v>
      </c>
      <c r="EN100" s="153" t="e">
        <f ca="1">IF(Control!$C$108=1,IF(AND(Control!$B$18=1,$EB100&gt;=Control!$B$19),$EB100-$DS100,IF(AND(Control!$B$18=2,$AW100=1,$EB100&gt;$DS100),$EB100-$DS100,0)))</f>
        <v>#N/A</v>
      </c>
      <c r="EO100" s="153" t="e">
        <f ca="1">IF(Control!$C$108=1,IF(AND(Control!$B$18=1,$EB100&gt;=Control!$B$19),$EF100,IF(AND(Control!$B$18=2,$AW100=1),$EF100,0)))</f>
        <v>#N/A</v>
      </c>
      <c r="EP100" s="153" t="e">
        <f ca="1">IF(Control!$C$108=1,IF(AND(Control!$B$18=1,$EB100&gt;=Control!$B$19),$EK100,IF(AND(Control!$B$18=2,$AW100=1),$EK100,0)))</f>
        <v>#N/A</v>
      </c>
      <c r="EQ100" s="153" t="e">
        <f t="shared" ca="1" si="389"/>
        <v>#N/A</v>
      </c>
      <c r="ER100" s="153" t="e">
        <f t="shared" ca="1" si="390"/>
        <v>#N/A</v>
      </c>
      <c r="ES100" s="153" t="e">
        <f t="shared" ca="1" si="442"/>
        <v>#N/A</v>
      </c>
      <c r="ET100" s="153" t="e">
        <f t="shared" ca="1" si="443"/>
        <v>#N/A</v>
      </c>
      <c r="EU100" s="153" t="e">
        <f t="shared" ca="1" si="391"/>
        <v>#N/A</v>
      </c>
      <c r="EV100" s="153" t="e">
        <f t="shared" ca="1" si="262"/>
        <v>#N/A</v>
      </c>
      <c r="EW100" s="153" t="e">
        <f t="shared" ca="1" si="263"/>
        <v>#N/A</v>
      </c>
      <c r="EX100" s="153" t="e">
        <f t="shared" ca="1" si="264"/>
        <v>#N/A</v>
      </c>
      <c r="EY100" s="157" t="e">
        <f t="shared" ca="1" si="265"/>
        <v>#DIV/0!</v>
      </c>
      <c r="EZ100" s="154" t="e">
        <f t="shared" ca="1" si="266"/>
        <v>#DIV/0!</v>
      </c>
      <c r="FA100" s="153" t="e">
        <f t="shared" ca="1" si="392"/>
        <v>#N/A</v>
      </c>
      <c r="FB100" s="153" t="e">
        <f t="shared" ca="1" si="267"/>
        <v>#N/A</v>
      </c>
      <c r="FC100" s="193" t="e">
        <f t="shared" ca="1" si="268"/>
        <v>#N/A</v>
      </c>
      <c r="FD100" s="158" t="e">
        <f t="shared" ca="1" si="393"/>
        <v>#N/A</v>
      </c>
      <c r="FE100" s="158" t="e">
        <f t="shared" ca="1" si="394"/>
        <v>#N/A</v>
      </c>
      <c r="FF100" s="159" t="e">
        <f t="shared" ca="1" si="269"/>
        <v>#N/A</v>
      </c>
      <c r="FG100" s="160" t="e">
        <f t="shared" ca="1" si="395"/>
        <v>#N/A</v>
      </c>
      <c r="FH100" s="158" t="e">
        <f t="shared" ca="1" si="396"/>
        <v>#N/A</v>
      </c>
      <c r="FI100" s="159" t="e">
        <f t="shared" ca="1" si="270"/>
        <v>#N/A</v>
      </c>
      <c r="FJ100" s="160" t="e">
        <f t="shared" ca="1" si="397"/>
        <v>#N/A</v>
      </c>
      <c r="FK100" s="160" t="e">
        <f t="shared" ca="1" si="271"/>
        <v>#N/A</v>
      </c>
      <c r="FL100" s="160" t="e">
        <f t="shared" ca="1" si="444"/>
        <v>#N/A</v>
      </c>
      <c r="FM100" s="160" t="e">
        <f t="shared" ca="1" si="272"/>
        <v>#N/A</v>
      </c>
      <c r="FN100" s="158">
        <f t="shared" ca="1" si="398"/>
        <v>0.01</v>
      </c>
      <c r="FO100" s="160">
        <f>Control!$C$101</f>
        <v>50</v>
      </c>
      <c r="FP100" s="150" t="e">
        <f t="shared" ca="1" si="273"/>
        <v>#N/A</v>
      </c>
      <c r="FQ100" s="150" t="e">
        <f ca="1">MAX(0,(Control!$C$112*(($DK100-Control!$C$97)/Control!$C$97)))</f>
        <v>#N/A</v>
      </c>
      <c r="FR100" s="150" t="e">
        <f ca="1">(1-$NT100)*Control!$C$113</f>
        <v>#DIV/0!</v>
      </c>
      <c r="FS100" s="198" t="e">
        <f t="shared" ca="1" si="274"/>
        <v>#N/A</v>
      </c>
      <c r="FT100" s="161">
        <f t="shared" ca="1" si="399"/>
        <v>96</v>
      </c>
      <c r="FU100" s="162" t="e">
        <f ca="1">IF(Control!$B$34=1,VLOOKUP($CP100,Control!$B$86:$G$91,6),Control!$B$35)</f>
        <v>#N/A</v>
      </c>
      <c r="FV100" s="162" t="e">
        <f t="shared" ca="1" si="275"/>
        <v>#DIV/0!</v>
      </c>
      <c r="FW100" s="162" t="e">
        <f ca="1">IF(Control!$B$31=1,$FU100*$FV100,  $FU100)</f>
        <v>#N/A</v>
      </c>
      <c r="FX100" s="162" t="e">
        <f ca="1">IF(Control!$B$34=1,VLOOKUP($CP100,Control!$B$86:$G$91,3),Control!$B$36)</f>
        <v>#N/A</v>
      </c>
      <c r="FY100" s="162" t="e">
        <f t="shared" ca="1" si="276"/>
        <v>#N/A</v>
      </c>
      <c r="FZ100" s="162" t="e">
        <f ca="1">IF(Control!$B$34=1,VLOOKUP($CP100,Control!$B$86:$G$91,4),Control!$B$37)</f>
        <v>#N/A</v>
      </c>
      <c r="GA100" s="162" t="e">
        <f t="shared" ca="1" si="277"/>
        <v>#N/A</v>
      </c>
      <c r="GB100" s="162" t="e">
        <f ca="1">IF(Control!$B$34=1,VLOOKUP($CP100,Control!$B$86:$G$91,5),Control!$B$38)</f>
        <v>#N/A</v>
      </c>
      <c r="GC100" s="162" t="e">
        <f t="shared" ca="1" si="400"/>
        <v>#N/A</v>
      </c>
      <c r="GD100" s="162">
        <f t="shared" ca="1" si="278"/>
        <v>1</v>
      </c>
      <c r="GE100" s="162">
        <f t="shared" ca="1" si="279"/>
        <v>1</v>
      </c>
      <c r="GF100" s="162">
        <f ca="1">IF(AND(Control!$C$104=1, Control!$C$62="F"),$GE100,1)</f>
        <v>1</v>
      </c>
      <c r="GG100" s="162" t="e">
        <f ca="1">IF(Control!$B$16=40,0,IF(AND(Control!$B$16&gt;40,Control!$B$16&lt;=360),(Control!$B$16-40)*((1-0)/(360-40)),IF(AND(Control!$B$16&gt;360,Control!$B$16&lt;=720),(1+(Control!$B$16-360)*((1.25-1)/(720-360))),IF(AND(Control!$B$16&gt;720,Control!$B$16&lt;=1000),(1.25+(Control!$B$16-720)*((1.35-1.25)/(1000-720))),IF(AND(Control!$B$16&gt;1000,Control!$B$16&lt;=2000),(1.35+(Control!$B$16-1000)*0))))))</f>
        <v>#N/A</v>
      </c>
      <c r="GH100" s="162" t="e">
        <f t="shared" ca="1" si="280"/>
        <v>#N/A</v>
      </c>
      <c r="GI100" s="162">
        <f t="shared" ca="1" si="401"/>
        <v>0</v>
      </c>
      <c r="GJ100" s="162">
        <f t="shared" ca="1" si="281"/>
        <v>0</v>
      </c>
      <c r="GK100" s="162">
        <f t="shared" ca="1" si="402"/>
        <v>1</v>
      </c>
      <c r="GL100" s="162">
        <f t="shared" ca="1" si="282"/>
        <v>1</v>
      </c>
      <c r="GM100" s="162" t="e">
        <f ca="1">MAX(0,MIN(1,1-Control!$C$156*(1.0001-$KH100)^2))</f>
        <v>#N/A</v>
      </c>
      <c r="GN100" s="162" t="e">
        <f ca="1">IF(Control!$B$26=1,$KU100,$KX100)</f>
        <v>#N/A</v>
      </c>
      <c r="GO100" s="162" t="e">
        <f ca="1">IF($CP100&lt;=60,Control!$C$105,IF($CP100&gt;=90,Control!$C$106,Control!$C$105+($CP100-60)*((Control!$C$106-Control!$C$105)/(90-60))))</f>
        <v>#N/A</v>
      </c>
      <c r="GP100" s="162" t="e">
        <f t="shared" ca="1" si="283"/>
        <v>#N/A</v>
      </c>
      <c r="GQ100" s="162" t="e">
        <f t="shared" ca="1" si="403"/>
        <v>#N/A</v>
      </c>
      <c r="GR100" s="163" t="e">
        <f t="shared" ca="1" si="284"/>
        <v>#DIV/0!</v>
      </c>
      <c r="GS100" s="162" t="e">
        <f t="shared" ca="1" si="285"/>
        <v>#DIV/0!</v>
      </c>
      <c r="GT100" s="164" t="e">
        <f t="shared" ca="1" si="404"/>
        <v>#N/A</v>
      </c>
      <c r="GU100" s="162" t="e">
        <f t="shared" ca="1" si="405"/>
        <v>#N/A</v>
      </c>
      <c r="GV100" s="162" t="e">
        <f t="shared" ca="1" si="286"/>
        <v>#N/A</v>
      </c>
      <c r="GW100" s="162" t="e">
        <f t="shared" ca="1" si="287"/>
        <v>#DIV/0!</v>
      </c>
      <c r="GX100" s="162" t="e">
        <f t="shared" ca="1" si="406"/>
        <v>#DIV/0!</v>
      </c>
      <c r="GY100" s="162" t="e">
        <f t="shared" ca="1" si="407"/>
        <v>#DIV/0!</v>
      </c>
      <c r="GZ100" s="165" t="e">
        <f t="shared" ca="1" si="288"/>
        <v>#N/A</v>
      </c>
      <c r="HA100" s="162" t="e">
        <f ca="1">IF(Control!$C$114=1, $DI100*$FS100, 0)</f>
        <v>#N/A</v>
      </c>
      <c r="HB100" s="162" t="e">
        <f ca="1">$FA100/Control!$C$64</f>
        <v>#N/A</v>
      </c>
      <c r="HC100" s="162" t="e">
        <f t="shared" ca="1" si="289"/>
        <v>#DIV/0!</v>
      </c>
      <c r="HD100" s="162">
        <f ca="1">-ASIN(SIN(23.45*Control!$C$139)*COS(2*Control!$C$138*($AH100+10)/365))</f>
        <v>0.10012983911190247</v>
      </c>
      <c r="HE100" s="165">
        <f t="shared" ca="1" si="408"/>
        <v>0</v>
      </c>
      <c r="HF100" s="166">
        <f ca="1">IF(AND(Control!$C$61="T",$HE100&gt;=Control!$C$103,Control!$C$114=0),$AH100,Control!$C$59)</f>
        <v>1</v>
      </c>
      <c r="HG100" s="166">
        <f ca="1">IF(AND(Control!$C$61="T",$HE100&gt;=Control!$C$103,Control!$C$114=0),$HF100,Control!$C$59)</f>
        <v>1</v>
      </c>
      <c r="HH100" s="165">
        <f ca="1">IF(AND(OR(Control!$C$60&lt;=0, $AH100= Control!$C$59, Control!$C$60 &gt;0, $AH100 = Control!$C$60)), Control!$C$59, IF(Control!$C$60&gt;0, 0))</f>
        <v>1</v>
      </c>
      <c r="HI100" s="165">
        <f ca="1">IF(AND(OR(Control!$C$60&lt;=0, $AH100= Control!$C$59, Control!$C$60 &gt;0, $AH100 = Control!$C$60)), Control!$C$60, IF(Control!$C$60&lt;=0, 0))</f>
        <v>0</v>
      </c>
      <c r="HJ100" s="166">
        <f ca="1">IF(AND(Control!$C$62="F",$CV100&gt;=Control!$C$102),$AH100,0)</f>
        <v>0</v>
      </c>
      <c r="HK100" s="165" t="e">
        <f t="shared" ca="1" si="445"/>
        <v>#N/A</v>
      </c>
      <c r="HL100" s="166">
        <f ca="1">IF(AND(Control!$C$61="T",$HE100&gt;=Control!$C$103,Control!$C$114=0),$HF100,0)</f>
        <v>0</v>
      </c>
      <c r="HM100" s="201" t="e">
        <f t="shared" ca="1" si="290"/>
        <v>#DIV/0!</v>
      </c>
      <c r="HN100" s="215">
        <f t="shared" ca="1" si="409"/>
        <v>96</v>
      </c>
      <c r="HO100" s="216" t="e">
        <f ca="1">IF(AND($CP100&gt;=0, $CP100&lt;=90), Control!$C$152, Control!$C$152)</f>
        <v>#N/A</v>
      </c>
      <c r="HP100" s="216" t="e">
        <f t="shared" ca="1" si="291"/>
        <v>#N/A</v>
      </c>
      <c r="HQ100" s="217" t="e">
        <f ca="1">IF(OR(Control!$B$26=1,Control!$B$26=2),$KV100,$KS100)</f>
        <v>#DIV/0!</v>
      </c>
      <c r="HR100" s="218" t="e">
        <f t="shared" ca="1" si="446"/>
        <v>#DIV/0!</v>
      </c>
      <c r="HS100" s="216" t="e">
        <f ca="1">Control!$C$154*$HP100</f>
        <v>#N/A</v>
      </c>
      <c r="HT100" s="216" t="e">
        <f ca="1">Control!$C$155*$HP100</f>
        <v>#N/A</v>
      </c>
      <c r="HU100" s="217" t="e">
        <f ca="1">Control!$C$161*$FI100</f>
        <v>#N/A</v>
      </c>
      <c r="HV100" s="218" t="e">
        <f t="shared" ca="1" si="410"/>
        <v>#N/A</v>
      </c>
      <c r="HW100" s="218" t="e">
        <f ca="1">Control!$C$160*$FF100+$IP100*$EO100</f>
        <v>#N/A</v>
      </c>
      <c r="HX100" s="218" t="e">
        <f t="shared" ca="1" si="447"/>
        <v>#N/A</v>
      </c>
      <c r="HY100" s="219" t="e">
        <f ca="1">IF(Control!$C$114=1, $EB100*$FS100, 0)</f>
        <v>#N/A</v>
      </c>
      <c r="HZ100" s="91" t="e">
        <f t="shared" ca="1" si="292"/>
        <v>#N/A</v>
      </c>
      <c r="IA100" s="220" t="e">
        <f ca="1">Control!$C$153*$HO100</f>
        <v>#N/A</v>
      </c>
      <c r="IB100" s="218" t="e">
        <f t="shared" ca="1" si="293"/>
        <v>#N/A</v>
      </c>
      <c r="IC100" s="220" t="e">
        <f ca="1">Control!$C$153*$HT100</f>
        <v>#N/A</v>
      </c>
      <c r="ID100" s="218" t="e">
        <f t="shared" ca="1" si="294"/>
        <v>#N/A</v>
      </c>
      <c r="IE100" s="221" t="e">
        <f ca="1">($EB100*Control!$C$159+$EF100*Control!$C$160)/(IF($GZ100&lt;&gt;0,$GZ100,1))</f>
        <v>#N/A</v>
      </c>
      <c r="IF100" s="216" t="e">
        <f t="shared" ca="1" si="295"/>
        <v>#N/A</v>
      </c>
      <c r="IG100" s="91">
        <f ca="1">IF(OR(Control!$B$198=$AH100,Control!$B$199=$AH100, Control!$B$200=$AH100, Control!$B$201=$AH100, Control!$B$202=$AH100, Control!$B$203=$AH100, Control!$B$204=$AH100, Control!$B$205=$AH100, Control!$B$206=$AH100, Control!$B$207=$AH100), 1, 0)</f>
        <v>0</v>
      </c>
      <c r="IH100" s="91">
        <f ca="1">IF($IG100=0,0, VLOOKUP($AH100,Control!$B$198:$C$207,2))</f>
        <v>0</v>
      </c>
      <c r="II100" s="222">
        <f t="shared" ca="1" si="411"/>
        <v>0</v>
      </c>
      <c r="IJ100" s="91">
        <f>Control!$C$121</f>
        <v>0.7</v>
      </c>
      <c r="IK100" s="218">
        <f t="shared" ca="1" si="296"/>
        <v>0</v>
      </c>
      <c r="IL100" s="217" t="e">
        <f t="shared" ca="1" si="448"/>
        <v>#N/A</v>
      </c>
      <c r="IM100" s="223" t="e">
        <f ca="1">IF(AND(Control!$C$114=1,$KH100&lt;1),$EB100*Control!$C$148*(1-$KH100), 0)</f>
        <v>#N/A</v>
      </c>
      <c r="IN100" s="217" t="e">
        <f t="shared" ca="1" si="297"/>
        <v>#DIV/0!</v>
      </c>
      <c r="IO100" s="91" t="e">
        <f ca="1">MAX(0,$IL100-$EF100*Control!$C$160)</f>
        <v>#N/A</v>
      </c>
      <c r="IP100" s="220" t="e">
        <f t="shared" ca="1" si="298"/>
        <v>#N/A</v>
      </c>
      <c r="IQ100" s="217" t="e">
        <f t="shared" ca="1" si="412"/>
        <v>#N/A</v>
      </c>
      <c r="IR100" s="218" t="e">
        <f t="shared" ca="1" si="299"/>
        <v>#N/A</v>
      </c>
      <c r="IS100" s="217" t="e">
        <f ca="1">Control!$C$159*MAX(0,$FD100-$EN100)</f>
        <v>#N/A</v>
      </c>
      <c r="IT100" s="217" t="e">
        <f t="shared" ca="1" si="449"/>
        <v>#N/A</v>
      </c>
      <c r="IU100" s="217" t="e">
        <f t="shared" ca="1" si="413"/>
        <v>#N/A</v>
      </c>
      <c r="IV100" s="217" t="e">
        <f t="shared" ca="1" si="450"/>
        <v>#N/A</v>
      </c>
      <c r="IW100" s="217" t="e">
        <f ca="1">IF(OR($AW100=1,AND($AW100=0, Control!$B$18=1,$EN100&lt;&gt;0)), $IQ100-$IU100, $IQ100)</f>
        <v>#N/A</v>
      </c>
      <c r="IX100" s="218" t="e">
        <f t="shared" ca="1" si="300"/>
        <v>#N/A</v>
      </c>
      <c r="IY100" s="218" t="e">
        <f ca="1">MAX(0,$IQ100-$EB100*Control!$C$159)</f>
        <v>#N/A</v>
      </c>
      <c r="IZ100" s="218" t="e">
        <f t="shared" ca="1" si="301"/>
        <v>#N/A</v>
      </c>
      <c r="JA100" s="216" t="e">
        <f t="shared" ca="1" si="302"/>
        <v>#N/A</v>
      </c>
      <c r="JB100" s="217" t="e">
        <f t="shared" ca="1" si="303"/>
        <v>#N/A</v>
      </c>
      <c r="JC100" s="222" t="e">
        <f ca="1">MAX(Control!$C$157*$EK100-$JT100, 0)/Control!$C$162</f>
        <v>#N/A</v>
      </c>
      <c r="JD100" s="218" t="e">
        <f t="shared" ca="1" si="304"/>
        <v>#N/A</v>
      </c>
      <c r="JE100" s="218" t="e">
        <f t="shared" ca="1" si="305"/>
        <v>#N/A</v>
      </c>
      <c r="JF100" s="218" t="e">
        <f t="shared" ca="1" si="414"/>
        <v>#N/A</v>
      </c>
      <c r="JG100" s="218" t="e">
        <f t="shared" ca="1" si="306"/>
        <v>#N/A</v>
      </c>
      <c r="JH100" s="217" t="e">
        <f t="shared" ca="1" si="415"/>
        <v>#N/A</v>
      </c>
      <c r="JI100" s="217" t="e">
        <f t="shared" ca="1" si="416"/>
        <v>#N/A</v>
      </c>
      <c r="JJ100" s="217" t="e">
        <f t="shared" ca="1" si="451"/>
        <v>#N/A</v>
      </c>
      <c r="JK100" s="217" t="e">
        <f ca="1">IF(Control!$C$114=1,IF(Control!$B$24=0,MAX(0,$JI100)*$GN100/Control!$C$64,(MAX(0,MIN($JI100,$JJ100*$GN100/Control!$C$64),0))))</f>
        <v>#N/A</v>
      </c>
      <c r="JL100" s="217" t="e">
        <f ca="1">$IK100/Control!$C$64-$JK100+$HQ100</f>
        <v>#N/A</v>
      </c>
      <c r="JM100" s="217" t="e">
        <f ca="1">IF(Control!$C$114=1,($JB100/(IF($JI100&lt;&gt;0,$JI100,1)))*$JK100,0)</f>
        <v>#N/A</v>
      </c>
      <c r="JN100" s="217" t="e">
        <f ca="1">IF(Control!$C$114=1,($JG100/(IF($JI100&lt;&gt;0,$JI100,1)))*$JK100, 0)</f>
        <v>#N/A</v>
      </c>
      <c r="JO100" s="218" t="e">
        <f t="shared" ca="1" si="307"/>
        <v>#N/A</v>
      </c>
      <c r="JP100" s="218" t="e">
        <f ca="1">MIN(($IY100+$IO100)*Control!$C$151, $JF100-$EH100*Control!$C$161)</f>
        <v>#N/A</v>
      </c>
      <c r="JQ100" s="218" t="e">
        <f t="shared" ca="1" si="308"/>
        <v>#N/A</v>
      </c>
      <c r="JR100" s="217" t="e">
        <f ca="1">IF($CP100-Control!$C$150&lt;0, 0, $JQ100/Control!$C$162)</f>
        <v>#N/A</v>
      </c>
      <c r="JS100" s="218" t="e">
        <f t="shared" ca="1" si="309"/>
        <v>#N/A</v>
      </c>
      <c r="JT100" s="218" t="e">
        <f t="shared" ca="1" si="417"/>
        <v>#N/A</v>
      </c>
      <c r="JU100" s="218" t="e">
        <f t="shared" ca="1" si="310"/>
        <v>#N/A</v>
      </c>
      <c r="JV100" s="218" t="e">
        <f t="shared" ca="1" si="311"/>
        <v>#N/A</v>
      </c>
      <c r="JW100" s="216" t="e">
        <f t="shared" ca="1" si="312"/>
        <v>#N/A</v>
      </c>
      <c r="JX100" s="91" t="e">
        <f t="shared" ca="1" si="313"/>
        <v>#N/A</v>
      </c>
      <c r="JY100" s="218" t="e">
        <f t="shared" ca="1" si="314"/>
        <v>#N/A</v>
      </c>
      <c r="JZ100" s="217" t="e">
        <f ca="1">IF(Control!$C$114=1,($IZ100/(IF($JI100&lt;&gt;0,$JI100,1)))*$JK100, 0)</f>
        <v>#N/A</v>
      </c>
      <c r="KA100" s="218" t="e">
        <f t="shared" ca="1" si="452"/>
        <v>#N/A</v>
      </c>
      <c r="KB100" s="218" t="e">
        <f t="shared" ca="1" si="418"/>
        <v>#N/A</v>
      </c>
      <c r="KC100" s="218" t="e">
        <f t="shared" ca="1" si="315"/>
        <v>#N/A</v>
      </c>
      <c r="KD100" s="218" t="e">
        <f t="shared" ca="1" si="316"/>
        <v>#N/A</v>
      </c>
      <c r="KE100" s="218" t="e">
        <f t="shared" ca="1" si="317"/>
        <v>#N/A</v>
      </c>
      <c r="KF100" s="218" t="e">
        <f t="shared" ca="1" si="318"/>
        <v>#N/A</v>
      </c>
      <c r="KG100" s="216" t="e">
        <f t="shared" ca="1" si="319"/>
        <v>#N/A</v>
      </c>
      <c r="KH100" s="221" t="e">
        <f ca="1">IF(Control!$B$24=0,1,MAX(0.001,MIN(1,IF(($IF100-$IE100)&lt;&gt;0,($KG100-$IE100)/($IF100-$IE100),1))))</f>
        <v>#N/A</v>
      </c>
      <c r="KI100" s="222" t="e">
        <f ca="1">IF(Control!$C$114=1, $KI99+ $KH99, 0)</f>
        <v>#N/A</v>
      </c>
      <c r="KJ100" s="217" t="e">
        <f t="shared" ca="1" si="320"/>
        <v>#N/A</v>
      </c>
      <c r="KK100" s="218" t="e">
        <f t="shared" ca="1" si="321"/>
        <v>#N/A</v>
      </c>
      <c r="KL100" s="274" t="e">
        <f ca="1">IF(Control!$B$26=3,4000000000*EXP(-8400/($G100+273)),IF(Control!$B$26=4,4000000000*EXP(-8400/($G100+273))*($KT100),0))</f>
        <v>#DIV/0!</v>
      </c>
      <c r="KM100" s="274" t="e">
        <f ca="1">IF(Control!$B$26=3,5600000000000*EXP(-9800/($G100+273)),IF(Control!$B$26=4,5600000000000*EXP(-9800/($G100+273))*$KT100,0))</f>
        <v>#DIV/0!</v>
      </c>
      <c r="KN100" s="454" t="e">
        <f t="shared" ca="1" si="419"/>
        <v>#DIV/0!</v>
      </c>
      <c r="KO100" s="274" t="e">
        <f t="shared" ca="1" si="420"/>
        <v>#DIV/0!</v>
      </c>
      <c r="KP100" s="454" t="e">
        <f t="shared" ca="1" si="322"/>
        <v>#DIV/0!</v>
      </c>
      <c r="KQ100" s="454" t="e">
        <f t="shared" ca="1" si="323"/>
        <v>#DIV/0!</v>
      </c>
      <c r="KR100" s="454" t="e">
        <f t="shared" ca="1" si="324"/>
        <v>#DIV/0!</v>
      </c>
      <c r="KS100" s="454" t="e">
        <f t="shared" ca="1" si="325"/>
        <v>#DIV/0!</v>
      </c>
      <c r="KT100" s="455" t="e">
        <f t="shared" ca="1" si="326"/>
        <v>#DIV/0!</v>
      </c>
      <c r="KU100" s="456" t="e">
        <f ca="1">IF($CP100-Control!$C$149&lt;0, IF($NT100-0.01&lt;0,0,1),0)</f>
        <v>#N/A</v>
      </c>
      <c r="KV100" s="456" t="e">
        <f ca="1">IF(Control!$C$114=1,MAX(0,MIN(Control!$C$125*$KW100*$GN100,$KW100)))</f>
        <v>#DIV/0!</v>
      </c>
      <c r="KW100" s="456" t="e">
        <f t="shared" ca="1" si="453"/>
        <v>#DIV/0!</v>
      </c>
      <c r="KX100" s="457" t="e">
        <f ca="1">IF($CP100-Control!$C$149&lt;0, IF($MR100-$OM100&lt;0,0,1),0)</f>
        <v>#N/A</v>
      </c>
      <c r="KY100" s="167">
        <f t="shared" ca="1" si="421"/>
        <v>96</v>
      </c>
      <c r="KZ100" s="168">
        <f ca="1">1370*(1+0.033*COS(2*Control!$C$138*$AH100/365))</f>
        <v>1366.3072360407493</v>
      </c>
      <c r="LA100" s="169">
        <f t="shared" ca="1" si="422"/>
        <v>0.99730467895409602</v>
      </c>
      <c r="LB100" s="169">
        <f t="shared" ca="1" si="423"/>
        <v>0.10615895266781625</v>
      </c>
      <c r="LC100" s="169">
        <f ca="1">ACOS(-TAN((2*Control!$B$8/360))*TAN(Calculations!$LB100))</f>
        <v>1.6024714559326318</v>
      </c>
      <c r="LD100" s="169">
        <f ca="1">((24*60)/PI())*0.082*$LA100*(($LC100*SIN(Control!$B$8*2*PI()/360))*SIN($LB100)+COS(Control!$B$8*2*PI()/360)*COS($LB100)*SIN($LC100))</f>
        <v>27.952007444644675</v>
      </c>
      <c r="LE100" s="170">
        <f t="shared" ca="1" si="327"/>
        <v>27.857278316372202</v>
      </c>
      <c r="LF100" s="170">
        <f ca="1">SIN(Control!$C$139*Control!$B$8)*SIN($HD100)</f>
        <v>7.8771739305673397E-2</v>
      </c>
      <c r="LG100" s="170">
        <f ca="1">COS(Control!$C$139*Control!$B$8)*COS($HD100)</f>
        <v>0.61257608279198195</v>
      </c>
      <c r="LH100" s="170">
        <f ca="1">12*(1+2*ASIN(MAX(-1,MIN(1,$LF100/$LG100))/Control!$C$138))</f>
        <v>12.982634699606287</v>
      </c>
      <c r="LI100" s="170">
        <f ca="1">12*(1+2*ASIN(MAX(-1,MIN(1,(-SIN(-4*Control!$C$139)+$LF100)/$LG100))/Control!$C$138))</f>
        <v>13.854137107963629</v>
      </c>
      <c r="LJ100" s="168">
        <f ca="1">3600*($LH100*$LF100+24*$LG100*SQRT(1-$LK100*$LK100)/Control!$C$138)</f>
        <v>20388.736575161762</v>
      </c>
      <c r="LK100" s="170">
        <f t="shared" ca="1" si="328"/>
        <v>0.12859094815887978</v>
      </c>
      <c r="LL100" s="170">
        <f t="shared" ca="1" si="329"/>
        <v>0</v>
      </c>
      <c r="LM100" s="171">
        <f ca="1">Control!$C$145*$AB100</f>
        <v>6.6660906138995932E-2</v>
      </c>
      <c r="LN100" s="170">
        <f t="shared" ca="1" si="424"/>
        <v>0.54</v>
      </c>
      <c r="LO100" s="170">
        <f t="shared" ca="1" si="330"/>
        <v>0</v>
      </c>
      <c r="LP100" s="170">
        <f ca="1">Control!$C$140*((($D100+273.16)^4+($E100+273.16)^4)/2)*(0.34-0.14*SQRT($Y100))*(1.35*$AQ100/(0.75*$LD100)-0.35)</f>
        <v>-3.2464704755046001</v>
      </c>
      <c r="LQ100" s="170">
        <f ca="1">Control!$C$140*($G100+273)^4*(0.56-0.079*SQRT($Y100*10))*(0.1+0.9*$LO100)</f>
        <v>1.5241745131704001</v>
      </c>
      <c r="LR100" s="170">
        <f ca="1">$AQ100*(1-Control!$C$142)-$LQ100</f>
        <v>-1.5241745131704001</v>
      </c>
      <c r="LS100" s="170">
        <f ca="1">$AQ100*(1-Control!$C$143)-$LQ100</f>
        <v>-1.5241745131704001</v>
      </c>
      <c r="LT100" s="170">
        <f ca="1">$AQ100*(1-Control!$C$144)-$LQ100</f>
        <v>-1.5241745131704001</v>
      </c>
      <c r="LU100" s="169">
        <f ca="1">(1-Control!$C$144)*AQ100-LP100</f>
        <v>3.2464704755046001</v>
      </c>
      <c r="LV100" s="172">
        <f t="shared" ca="1" si="331"/>
        <v>0.79430000000000012</v>
      </c>
      <c r="LW100" s="170">
        <f t="shared" ca="1" si="332"/>
        <v>1.5886000000000002</v>
      </c>
      <c r="LX100" s="170">
        <f ca="1">($AC100*($LR100/Control!$C$141)+$LM100*$LV100)/($AC100+$LM100)</f>
        <v>0.23530094218323697</v>
      </c>
      <c r="LY100" s="170">
        <f ca="1">($AC100*($LS100/Control!$C$141)+$LM100*$LV100)/($AC100+$LM100)</f>
        <v>0.23530094218323697</v>
      </c>
      <c r="LZ100" s="170">
        <f t="shared" ca="1" si="333"/>
        <v>0.23530094218323697</v>
      </c>
      <c r="MA100" s="170">
        <f t="shared" ca="1" si="334"/>
        <v>0.23530094218323697</v>
      </c>
      <c r="MB100" s="170" t="e">
        <f t="shared" ca="1" si="335"/>
        <v>#N/A</v>
      </c>
      <c r="MC100" s="170">
        <f t="shared" ca="1" si="425"/>
        <v>0.6018</v>
      </c>
      <c r="MD100" s="170">
        <f t="shared" ca="1" si="336"/>
        <v>0.52989392535414004</v>
      </c>
      <c r="ME100" s="170">
        <f ca="1">($AC100*($LT100/Control!$C$141)+$LM100*$LW100)/($AC100+$LM100)</f>
        <v>0.71612369323045078</v>
      </c>
      <c r="MF100" s="170" t="e">
        <f ca="1">IF(Control!$B$16&gt;=1000,0.92,IF(AND(720&lt;=Control!$B$16,1000&gt;Control!$B$16),(0.95+(Control!$B$16-720)*((0.92-0.95)/(1000-720))),IF(AND(360&lt;=Control!$B$16,720&gt;Control!$B$16),(1+(Control!$B$16-360)*((0.95-1)/(720-360))),IF(AND(40&lt;=Control!$B$16,360&gt;Control!$B$16),(1.05+(Control!$B$16-40)*((1.05-1)/(360-40)))))))</f>
        <v>#N/A</v>
      </c>
      <c r="MG100" s="170">
        <f t="shared" ca="1" si="337"/>
        <v>0.71612369323045078</v>
      </c>
      <c r="MH100" s="170" t="e">
        <f t="shared" ca="1" si="462"/>
        <v>#N/A</v>
      </c>
      <c r="MI100" s="170" t="e">
        <f t="shared" ca="1" si="462"/>
        <v>#N/A</v>
      </c>
      <c r="MJ100" s="170" t="e">
        <f ca="1">MAX(0.0001, Control!$C$132*$MI100*$DL100)</f>
        <v>#N/A</v>
      </c>
      <c r="MK100" s="170">
        <f ca="1">1/(0.76+1.5*($MG100/10))-(5-Control!$C$110)*0.1</f>
        <v>1.002845988140797</v>
      </c>
      <c r="ML100" s="173">
        <f ca="1">IF(Control!$C$110&lt;3,$MK100+($MG100-0.6)/(Control!$C$110*(Control!$C$110+3)), MAX(0.1, MIN(0.95,$MK100)))</f>
        <v>0.95</v>
      </c>
      <c r="MM100" s="173">
        <f ca="1">IF(Control!$C$110&lt;3,$MK100+(($MI100/10)-0.6)/(Control!$C$110*(Control!$C$110+3)), MAX(0.1, MIN(0.95,$MK100)))</f>
        <v>0.95</v>
      </c>
      <c r="MN100" s="173">
        <f ca="1">(1-$MM100)*(Control!$C$128-Control!$C$127)+Control!$C$127</f>
        <v>0.16</v>
      </c>
      <c r="MO100" s="170" t="e">
        <f ca="1">MAX(0,MIN(1,($MS100-Control!$C$127)/($MN100-Control!$C$127)))</f>
        <v>#DIV/0!</v>
      </c>
      <c r="MP100" s="173" t="e">
        <f ca="1">1/(0.76+1.5*$MI100)-(5-Control!$C$110)*0.1</f>
        <v>#N/A</v>
      </c>
      <c r="MQ100" s="172" t="e">
        <f t="shared" ca="1" si="454"/>
        <v>#DIV/0!</v>
      </c>
      <c r="MR100" s="168" t="e">
        <f t="shared" ca="1" si="426"/>
        <v>#DIV/0!</v>
      </c>
      <c r="MS100" s="173" t="e">
        <f ca="1">MAX(Control!$C$127, MIN(Control!$C$135, $MR100/MAX(0.0001,$CY100)))</f>
        <v>#DIV/0!</v>
      </c>
      <c r="MT100" s="168" t="e">
        <f ca="1">(Control!$C$128-$MS100)*Control!$C$74</f>
        <v>#DIV/0!</v>
      </c>
      <c r="MU100" s="168" t="e">
        <f ca="1">(Control!$C$135-$MS100)*Control!$C$74</f>
        <v>#DIV/0!</v>
      </c>
      <c r="MV100" s="168" t="e">
        <f t="shared" ca="1" si="427"/>
        <v>#DIV/0!</v>
      </c>
      <c r="MW100" s="168" t="e">
        <f t="shared" ca="1" si="428"/>
        <v>#DIV/0!</v>
      </c>
      <c r="MX100" s="171" t="e">
        <f ca="1">MAX(Control!$C$127, MIN(Control!$C$135, $MW100/MAX(0.0001,Control!$C$119-$CY100)))</f>
        <v>#DIV/0!</v>
      </c>
      <c r="MY100" s="54" t="e">
        <f ca="1">IF(Control!$C$114=1, $CX100*$MX100, 0)</f>
        <v>#DIV/0!</v>
      </c>
      <c r="MZ100" s="54" t="e">
        <f t="shared" ca="1" si="429"/>
        <v>#N/A</v>
      </c>
      <c r="NA100" s="168" t="e">
        <f ca="1">(Control!$C$128-$MX100)*(Control!$C$119-Control!$C$74)</f>
        <v>#DIV/0!</v>
      </c>
      <c r="NB100" s="168" t="e">
        <f ca="1">(Control!$C$135-$MX100)*(Control!$C$119-Control!$C$74)</f>
        <v>#DIV/0!</v>
      </c>
      <c r="NC100" s="174" t="e">
        <f t="shared" ca="1" si="430"/>
        <v>#DIV/0!</v>
      </c>
      <c r="ND100" s="54">
        <f ca="1">IF(Control!$C$58=2, IF(OR(Control!$B$218=$AH100,Control!$B$219=$AH100, Control!$B$220=$AH100, Control!$B$221=$AH100, Control!$B$222=$AH100, Control!$B$223=$AH100, Control!$B$224=$AH100, Control!$B$225=$AH100, Control!$B$226=$AH100, Control!$B$227=$AH100, Control!$B$228=$AH100), 1, 0), 0)</f>
        <v>0</v>
      </c>
      <c r="NE100" s="54">
        <f ca="1">IF($ND100=0,0, VLOOKUP($AH100,Control!$B$218:$C$228,2))</f>
        <v>0</v>
      </c>
      <c r="NF100" s="168" t="e">
        <f ca="1">$CY100*(Control!$C$128-Control!$C$127)</f>
        <v>#N/A</v>
      </c>
      <c r="NG100" s="54" t="e">
        <f ca="1">IF(Control!$C$58=2, $NI99-$NJ99, 0)</f>
        <v>#DIV/0!</v>
      </c>
      <c r="NH100" s="54" t="e">
        <f ca="1">IF(AND(Control!$C$58=1, $MS99&lt;= ($MN99+0.02), $I99&lt;10), 0, IF(Control!$C$58=2, $NG99, 0))</f>
        <v>#DIV/0!</v>
      </c>
      <c r="NI100" s="54" t="e">
        <f ca="1">IF(Control!$C$58=2, $NE100+$NH100,0)</f>
        <v>#DIV/0!</v>
      </c>
      <c r="NJ100" s="54" t="e">
        <f ca="1">IF(AND(Control!$C$58=1, $MS100&lt;= ($MN100+0.02), $I100&lt;10), MAX(0, MIN(10, 0.7*($NF100-$MV100))), IF(Control!$C$58=2, MIN(10,$NI100),0))</f>
        <v>#DIV/0!</v>
      </c>
      <c r="NK100" s="54" t="e">
        <f t="shared" ca="1" si="338"/>
        <v>#DIV/0!</v>
      </c>
      <c r="NL100" s="173" t="e">
        <f ca="1">(1-Control!$C$73)*$I100+$NJ100</f>
        <v>#DIV/0!</v>
      </c>
      <c r="NM100" s="172" t="e">
        <f ca="1">IF($NL100&lt;0.5, $MB100* MAX(0, MIN(1, (SQRT($NC100)-SQRT($NC100-1))*Control!$C$71)),0)</f>
        <v>#DIV/0!</v>
      </c>
      <c r="NN100" s="170" t="e">
        <f ca="1">IF($NL100&gt;=5, $MB100, MAX(0,MIN($MB100, $NM100+$NL100,($MS100-Control!$C$129))))</f>
        <v>#DIV/0!</v>
      </c>
      <c r="NO100" s="54">
        <f>IF(Control!$C$133&lt;&gt;1, Control!$C$135-Control!$C$131, 0)</f>
        <v>0.38</v>
      </c>
      <c r="NP100" s="54" t="e">
        <f t="shared" ca="1" si="339"/>
        <v>#DIV/0!</v>
      </c>
      <c r="NQ100" s="173" t="e">
        <f ca="1">MAX(0,MIN(1,(Control!$C$135-$MS100)/(Control!$C$135-$NO100)))</f>
        <v>#DIV/0!</v>
      </c>
      <c r="NR100" s="170" t="e">
        <f ca="1">IF(Control!$C$133&lt;&gt;1, $NQ100+((1-$NP100/4)*(1-$NQ100)),1)</f>
        <v>#DIV/0!</v>
      </c>
      <c r="NS100" s="170" t="e">
        <f ca="1">IF(Control!$B$31=0,$MJ100,MAX(0,MIN($MV100,$MO100*$NR100*$MJ100)))</f>
        <v>#DIV/0!</v>
      </c>
      <c r="NT100" s="170" t="e">
        <f t="shared" ca="1" si="455"/>
        <v>#DIV/0!</v>
      </c>
      <c r="NU100" s="170" t="e">
        <f t="shared" ca="1" si="431"/>
        <v>#N/A</v>
      </c>
      <c r="NV100" s="170" t="e">
        <f t="shared" ca="1" si="340"/>
        <v>#N/A</v>
      </c>
      <c r="NW100" s="175" t="e">
        <f t="shared" ca="1" si="341"/>
        <v>#DIV/0!</v>
      </c>
      <c r="NX100" s="170" t="e">
        <f ca="1">MIN(Control!$C$72+$MU100, $NW100)</f>
        <v>#DIV/0!</v>
      </c>
      <c r="NY100" s="170" t="e">
        <f ca="1">IF($MT100&lt;=$NX100,MIN(Control!$C$72+$NB100,$NX100-$MT100),0)</f>
        <v>#DIV/0!</v>
      </c>
      <c r="NZ100" s="54" t="e">
        <f ca="1">IF(Control!$C$114=1,  $CX100*($MX100-Control!$C$127), 0)</f>
        <v>#DIV/0!</v>
      </c>
      <c r="OA100" s="170" t="e">
        <f t="shared" ca="1" si="342"/>
        <v>#DIV/0!</v>
      </c>
      <c r="OB100" s="170" t="e">
        <f ca="1">IF($NA100 &lt;=$NY100, MIN(Control!$C$72, $NY100-$NA100), 0)</f>
        <v>#DIV/0!</v>
      </c>
      <c r="OC100" s="168" t="e">
        <f t="shared" ca="1" si="343"/>
        <v>#DIV/0!</v>
      </c>
      <c r="OD100" s="168" t="e">
        <f t="shared" ca="1" si="432"/>
        <v>#DIV/0!</v>
      </c>
      <c r="OE100" s="170">
        <f ca="1">Control!$C$73*$I100</f>
        <v>0</v>
      </c>
      <c r="OF100" s="176" t="e">
        <f t="shared" ca="1" si="344"/>
        <v>#DIV/0!</v>
      </c>
      <c r="OG100" s="168" t="e">
        <f t="shared" ca="1" si="345"/>
        <v>#DIV/0!</v>
      </c>
      <c r="OH100" s="168" t="e">
        <f t="shared" ca="1" si="346"/>
        <v>#DIV/0!</v>
      </c>
      <c r="OI100" s="168" t="e">
        <f t="shared" ca="1" si="347"/>
        <v>#DIV/0!</v>
      </c>
      <c r="OJ100" s="168" t="e">
        <f t="shared" ca="1" si="348"/>
        <v>#DIV/0!</v>
      </c>
      <c r="OK100" s="204" t="e">
        <f t="shared" ca="1" si="349"/>
        <v>#DIV/0!</v>
      </c>
      <c r="OL100" s="177">
        <f>Control!$C$127</f>
        <v>0.15</v>
      </c>
      <c r="OM100" s="182" t="e">
        <f t="shared" ca="1" si="350"/>
        <v>#N/A</v>
      </c>
      <c r="ON100" s="177">
        <f>Control!$C$128</f>
        <v>0.35</v>
      </c>
      <c r="OO100" s="182" t="e">
        <f t="shared" ca="1" si="351"/>
        <v>#N/A</v>
      </c>
      <c r="OP100" s="138">
        <f t="shared" ca="1" si="433"/>
        <v>0</v>
      </c>
      <c r="OQ100" s="138" t="e">
        <f t="shared" ca="1" si="456"/>
        <v>#DIV/0!</v>
      </c>
      <c r="OR100" s="138" t="e">
        <f t="shared" ca="1" si="434"/>
        <v>#DIV/0!</v>
      </c>
      <c r="OS100" s="137" t="e">
        <f t="shared" ca="1" si="457"/>
        <v>#DIV/0!</v>
      </c>
      <c r="OT100" s="139" t="e">
        <f t="shared" ca="1" si="458"/>
        <v>#DIV/0!</v>
      </c>
      <c r="OU100" s="138" t="e">
        <f t="shared" ca="1" si="459"/>
        <v>#N/A</v>
      </c>
      <c r="OV100" s="138" t="e">
        <f t="shared" ca="1" si="460"/>
        <v>#DIV/0!</v>
      </c>
      <c r="OW100" s="138" t="e">
        <f t="shared" ca="1" si="435"/>
        <v>#DIV/0!</v>
      </c>
      <c r="OX100" s="138" t="e">
        <f t="shared" ca="1" si="436"/>
        <v>#DIV/0!</v>
      </c>
      <c r="OY100" s="138" t="e">
        <f t="shared" ca="1" si="437"/>
        <v>#DIV/0!</v>
      </c>
      <c r="OZ100" s="138" t="e">
        <f t="shared" ca="1" si="352"/>
        <v>#DIV/0!</v>
      </c>
      <c r="PA100" s="138" t="e">
        <f t="shared" ca="1" si="353"/>
        <v>#DIV/0!</v>
      </c>
      <c r="PB100" s="55">
        <f>IF(Control!$C$61="T", IF(Control!$C$65="F", IF($AH$6-Control!$C$60&lt;0,0,1), IF(365+$AH$6-Control!$C$60&lt;0,0,1)),0)</f>
        <v>0</v>
      </c>
      <c r="PC100" s="55">
        <f ca="1">IF(Control!$C$65="F", IF($AH$6-$HF100&lt;0,0,1), IF(365+$AH$6-$HF100&lt;0,0,1))</f>
        <v>1</v>
      </c>
      <c r="PD100" s="444">
        <f>Control!$C$118</f>
        <v>1500</v>
      </c>
      <c r="PE100" s="180" t="e">
        <f t="shared" ca="1" si="354"/>
        <v>#N/A</v>
      </c>
      <c r="PF100" s="445">
        <f t="shared" ca="1" si="438"/>
        <v>0.71612369323045078</v>
      </c>
      <c r="PT100" s="186"/>
      <c r="PU100" s="186"/>
      <c r="PV100" s="94"/>
      <c r="PW100" s="94"/>
      <c r="PX100" s="94"/>
      <c r="PY100" s="94"/>
      <c r="PZ100" s="94"/>
      <c r="QA100" s="94"/>
      <c r="QB100" s="94"/>
      <c r="QC100" s="94"/>
      <c r="QD100" s="94"/>
      <c r="QE100" s="94"/>
      <c r="QF100" s="94"/>
      <c r="QG100" s="94"/>
      <c r="QH100" s="94"/>
      <c r="QI100" s="94"/>
      <c r="QJ100" s="94"/>
      <c r="QK100" s="94"/>
      <c r="QL100" s="94"/>
      <c r="QM100" s="94"/>
      <c r="QN100" s="94"/>
      <c r="QO100" s="94"/>
      <c r="QP100" s="94"/>
    </row>
    <row r="101" spans="1:458" s="2" customFormat="1" x14ac:dyDescent="0.2">
      <c r="A101" s="395">
        <v>6</v>
      </c>
      <c r="B101" s="396">
        <v>4</v>
      </c>
      <c r="C101" s="387">
        <f ca="1">Weather_data!$B100</f>
        <v>0</v>
      </c>
      <c r="D101" s="388">
        <f ca="1">Weather_data!$F100</f>
        <v>0</v>
      </c>
      <c r="E101" s="388">
        <f ca="1">Weather_data!$E100</f>
        <v>0</v>
      </c>
      <c r="F101" s="388">
        <f t="shared" ca="1" si="355"/>
        <v>0</v>
      </c>
      <c r="G101" s="388">
        <f ca="1">AVERAGE($D101:$E101)+Control!$B$9</f>
        <v>0</v>
      </c>
      <c r="H101" s="388">
        <f ca="1">Weather_data!$G100</f>
        <v>0</v>
      </c>
      <c r="I101" s="388">
        <f ca="1">Weather_data!$I100</f>
        <v>0</v>
      </c>
      <c r="J101" s="388">
        <f ca="1">Weather_data!$H100</f>
        <v>0</v>
      </c>
      <c r="K101" s="389">
        <f ca="1">Weather_data!$D100</f>
        <v>0</v>
      </c>
      <c r="L101" s="388" t="e">
        <f t="shared" ca="1" si="356"/>
        <v>#N/A</v>
      </c>
      <c r="M101" s="388" t="e">
        <f t="shared" ca="1" si="234"/>
        <v>#N/A</v>
      </c>
      <c r="N101" s="388">
        <f t="shared" ca="1" si="235"/>
        <v>-2.2490981123801821E-5</v>
      </c>
      <c r="O101" s="388">
        <f t="shared" ca="1" si="357"/>
        <v>2.2490981123801822E-4</v>
      </c>
      <c r="P101" s="390">
        <v>3</v>
      </c>
      <c r="Q101" s="388">
        <f ca="1">MAX($G101-Control!$C$107,0)</f>
        <v>0</v>
      </c>
      <c r="R101" s="388">
        <f t="shared" ca="1" si="358"/>
        <v>0</v>
      </c>
      <c r="S101" s="388">
        <f t="shared" ca="1" si="236"/>
        <v>0</v>
      </c>
      <c r="T101" s="388">
        <f t="shared" ca="1" si="237"/>
        <v>0</v>
      </c>
      <c r="U101" s="59">
        <f t="shared" ca="1" si="238"/>
        <v>0</v>
      </c>
      <c r="V101" s="391">
        <f ca="1">MAX(0,MIN(Control!$C$100-Control!$C$99,$G101-Control!$C$99)*Control!$C$63)</f>
        <v>0</v>
      </c>
      <c r="W101" s="388">
        <f t="shared" ca="1" si="359"/>
        <v>0</v>
      </c>
      <c r="X101" s="388">
        <f t="shared" ca="1" si="360"/>
        <v>0.6110000000000001</v>
      </c>
      <c r="Y101" s="388">
        <f t="shared" ca="1" si="239"/>
        <v>0</v>
      </c>
      <c r="Z101" s="388">
        <f t="shared" ca="1" si="361"/>
        <v>0.61058800000000002</v>
      </c>
      <c r="AA101" s="388">
        <f t="shared" ca="1" si="240"/>
        <v>0.6018</v>
      </c>
      <c r="AB101" s="388">
        <f ca="1">101.3*EXP(-0.034*Control!$C$66/($G101+273))</f>
        <v>100.69623283836242</v>
      </c>
      <c r="AC101" s="392">
        <f t="shared" ca="1" si="241"/>
        <v>4.3460251046025113E-2</v>
      </c>
      <c r="AD101" s="392">
        <f t="shared" ca="1" si="242"/>
        <v>4.4450382862832649E-2</v>
      </c>
      <c r="AE101" s="388">
        <f t="shared" ca="1" si="243"/>
        <v>0</v>
      </c>
      <c r="AF101" s="388">
        <f ca="1">MAX(0,$G101-Control!$C$92)</f>
        <v>0</v>
      </c>
      <c r="AG101" s="393">
        <f t="shared" ca="1" si="244"/>
        <v>97</v>
      </c>
      <c r="AH101" s="389">
        <f t="shared" ca="1" si="245"/>
        <v>97</v>
      </c>
      <c r="AI101" s="388">
        <f t="shared" ca="1" si="362"/>
        <v>0.10678103001618276</v>
      </c>
      <c r="AJ101" s="388">
        <f ca="1">IF(Control!$C$60&lt;=0,$HH101,$HI101)</f>
        <v>1</v>
      </c>
      <c r="AK101" s="388">
        <f t="shared" ca="1" si="246"/>
        <v>0.29264150745767936</v>
      </c>
      <c r="AL101" s="388">
        <f t="shared" ca="1" si="247"/>
        <v>-2.3443243873932927E-18</v>
      </c>
      <c r="AM101" s="388">
        <f t="shared" ca="1" si="248"/>
        <v>0.29264150745767936</v>
      </c>
      <c r="AN101" s="388">
        <f t="shared" ca="1" si="249"/>
        <v>0.11501170069974295</v>
      </c>
      <c r="AO101" s="388">
        <f ca="1">-0.10453/COS(Control!$B$8*PI()/180)*COS(AN101)</f>
        <v>-0.16866317061437469</v>
      </c>
      <c r="AP101" s="388">
        <f ca="1">ACOS(AO101-TAN(Control!$B$8*PI()/180)*TAN(AN101))</f>
        <v>1.8928591159305703</v>
      </c>
      <c r="AQ101" s="388">
        <f t="shared" ca="1" si="363"/>
        <v>0</v>
      </c>
      <c r="AR101" s="394">
        <f t="shared" ca="1" si="250"/>
        <v>0</v>
      </c>
      <c r="AS101" s="436">
        <f ca="1">IF(Control!$B$18=2,(IF(OR($AH101=Control!$B$175,$AH101=Control!$B$176,$AH101=Control!$B$177,$AH101=Control!$B$178,$AH101=Control!$B$179,$AH101=Control!$B$180,$AH101=Control!$B$181,$AH101=Control!$B$182,$AH101=Control!$B$183,$AH101=Control!$B$184,$AH101=Control!$B$185),1,0)),0)</f>
        <v>0</v>
      </c>
      <c r="AT101" s="436">
        <f>IF(Control!$B$20=8,IF(AND($AH101&gt;=Control!$B$172,$AH101&lt;=Control!$B$173),1,0),0)</f>
        <v>0</v>
      </c>
      <c r="AU101" s="436">
        <f>IF(Control!$B$20=8,IF($AV100=1,1*$AT101,IF($AT101=1,$AU100+1,$AU100)),0)</f>
        <v>0</v>
      </c>
      <c r="AV101" s="436">
        <f>IF(Control!$B$20=8,IF($AU101&gt;=Control!$B$174,1,0),0)</f>
        <v>0</v>
      </c>
      <c r="AW101" s="436">
        <f ca="1">IF(AND(Control!$B$18=2,Control!$B$171=1), $AV101, $AS101)</f>
        <v>0</v>
      </c>
      <c r="AX101" s="436" t="e">
        <f ca="1">IF(AND(Control!$B$18=1,$EU101&gt;=Control!$B$19),-$AY101,IF(AND(Control!$B$18=2,$AW101=1,$EU101&gt;$DS101),-$AY101, IF(Control!$C$108=0,0, IF(Control!$C$108&lt;&gt;0,1))))</f>
        <v>#N/A</v>
      </c>
      <c r="AY101" s="436" t="e">
        <f t="shared" ca="1" si="364"/>
        <v>#N/A</v>
      </c>
      <c r="AZ101" s="436" t="e">
        <f ca="1">IF(AND(Control!$B$18=1,$EB101&gt;Control!$B$19),$AZ100+1, IF(AND(Control!$B$18=2, $AW101=1, $EB101&gt;$DS101), $AZ100+1,$AZ100))</f>
        <v>#N/A</v>
      </c>
      <c r="BA101" s="587">
        <f>IF(Control!$C$81=0,1,IF($AH101&gt;=Control!$C$82,1,0))</f>
        <v>1</v>
      </c>
      <c r="BB101" s="140" t="e">
        <f ca="1">IF($BA101&gt;$BA100,Control!$C$83,IF($AW101&gt;0,$AW101*Control!$C$84,IF(AND(Control!$B$18=1,EN100&lt;&gt;0),Control!$C$84,0)))</f>
        <v>#N/A</v>
      </c>
      <c r="BC101" s="140" t="e">
        <f t="shared" ca="1" si="365"/>
        <v>#N/A</v>
      </c>
      <c r="BD101" s="140" t="e">
        <f ca="1">BC101*IF(OR($G101&lt;Control!$C$92,$G101&gt;Control!$C$95),0,IF(AND($G101&gt;=Control!$C$92,$G101&lt;=Control!$C$93),$G101-Control!$C$92,IF(AND($G101&gt;Control!$C$93,$G101&lt;=Control!$C$94),Control!$C$93-Control!$C$92,IF(AND($G101&gt;Control!$C$94,$G101&lt;=Control!$C$95),(Control!$C$93-Control!$C$92)*(Control!$C$94-$G101)/(Control!$C$95-Control!$C$94)))))</f>
        <v>#N/A</v>
      </c>
      <c r="BE101" s="140" t="e">
        <f t="shared" ca="1" si="366"/>
        <v>#N/A</v>
      </c>
      <c r="BF101" s="140" t="e">
        <f ca="1">IF($BE101&lt;=Control!$C$86,$BE101,Control!$C$86-$BE101)</f>
        <v>#N/A</v>
      </c>
      <c r="BG101" s="140" t="e">
        <f ca="1">IF(AND($AW101=1,Control!$C$84&lt;9),1,IF($BE101&gt;=Control!$C$86,0,$BC101))</f>
        <v>#N/A</v>
      </c>
      <c r="BH101" s="404" t="e">
        <f ca="1">IF($BG101=0,0,IF($BE101&lt;=Control!$C$86,$BC101*9*($BF101/Control!$C$86),0))</f>
        <v>#N/A</v>
      </c>
      <c r="BI101" s="140" t="e">
        <f ca="1">IF($BG101=1,0,IF($BE101&gt;=Control!$C$86,1,IF(AND($BB101&lt;21,$BB101&gt;=9),1,$BM100)))</f>
        <v>#N/A</v>
      </c>
      <c r="BJ101" s="140" t="e">
        <f ca="1">IF($BF101&lt;0,-$BF101,$BI101*IF(OR($G101&lt;Control!$C$92,$G101&gt;Control!$C$95),0,IF(AND($G101&gt;=Control!$C$92,$G101&lt;=Control!$C$93),$G101-Control!$C$92,IF(AND($G101&gt;Control!$C$93,$G101&lt;=Control!$C$94),Control!$C$93-Control!$C$92,IF(AND($G101&gt;Control!$C$94,$G101&lt;=Control!$C$95),(Control!$C$93-Control!$C$92)*(Control!$C$94-$G101)/(Control!$C$95-Control!$C$94))))))</f>
        <v>#N/A</v>
      </c>
      <c r="BK101" s="140" t="e">
        <f t="shared" ca="1" si="367"/>
        <v>#N/A</v>
      </c>
      <c r="BL101" s="140" t="e">
        <f ca="1">IF($BK101&lt;=Control!$C$87,$BK101,Control!$C$87-$BK101)</f>
        <v>#N/A</v>
      </c>
      <c r="BM101" s="140" t="e">
        <f ca="1">IF(AND($BB101&gt;=9,$BB101&lt;21),1,IF($BK101&gt;=Control!$C$87,0,$BI101))</f>
        <v>#N/A</v>
      </c>
      <c r="BN101" s="404" t="e">
        <f ca="1">IF($BM101=0,0,IF($BK101&lt;=Control!$C$87,$BI101*(9+(21-9)*($BL101/Control!$C$87)),0))</f>
        <v>#N/A</v>
      </c>
      <c r="BO101" s="140" t="e">
        <f ca="1">IF($BM101=1,0,IF($BK101&gt;=Control!$C$87,1,IF(AND($BB101&lt;30,$BB101&gt;=21),1,$BS100)))</f>
        <v>#N/A</v>
      </c>
      <c r="BP101" s="140" t="e">
        <f ca="1">IF($BL101&lt;0,-$BL101,$BO101*IF(OR($G101&lt;Control!$C$92,$G101&gt;Control!$C$95),0,IF(AND($G101&gt;=Control!$C$92,$G101&lt;=Control!$C$93),$G101-Control!$C$92,IF(AND($G101&gt;Control!$C$93,$G101&lt;=Control!$C$94),Control!$C$93-Control!$C$92,IF(AND($G101&gt;Control!$C$94,$G101&lt;=Control!$C$95),(Control!$C$93-Control!$C$92)*(Control!$C$94-$G101)/(Control!$C$95-Control!$C$94))))))</f>
        <v>#N/A</v>
      </c>
      <c r="BQ101" s="140" t="e">
        <f t="shared" ca="1" si="251"/>
        <v>#N/A</v>
      </c>
      <c r="BR101" s="140" t="e">
        <f ca="1">IF($BQ101&lt;=Control!$C$88,$BQ101,Control!$C$88-$BQ101)</f>
        <v>#N/A</v>
      </c>
      <c r="BS101" s="140" t="e">
        <f ca="1">IF(AND($BB101&gt;=21,$BB101&lt;30),1,IF($BQ101&gt;=Control!$C$88,0,$BO101))</f>
        <v>#N/A</v>
      </c>
      <c r="BT101" s="404" t="e">
        <f ca="1">IF($BS101=0,0,IF($BQ101&lt;=Control!$C$88,$BO101*(21+(30-21)*(BR101/Control!$C$88)),0))</f>
        <v>#N/A</v>
      </c>
      <c r="BU101" s="140" t="e">
        <f ca="1">IF(BG101+BM101+BS101=1,0,IF(OR(AND($BB101&lt;60,$BB101&gt;=30),$BQ101&gt;=Control!$C$88),1*$BA101,$BY100))</f>
        <v>#N/A</v>
      </c>
      <c r="BV101" s="140" t="e">
        <f ca="1">IF($BR101&lt;0,-$BR101,$BU101*IF(OR($G101&lt;Control!$C$92,$G101&gt;Control!$C$95),0,IF(AND($G101&gt;=Control!$C$92,$G101&lt;=Control!$C$93),$G101-Control!$C$92,IF(AND($G101&gt;Control!$C$93,$G101&lt;=Control!$C$94),Control!$C$93-Control!$C$92,IF(AND($G101&gt;Control!$C$94,$G101&lt;=Control!$C$95),(Control!$C$93-Control!$C$92)*(Control!$C$94-$G101)/(Control!$C$95-Control!$C$94))))))</f>
        <v>#N/A</v>
      </c>
      <c r="BW101" s="140" t="e">
        <f t="shared" ca="1" si="252"/>
        <v>#N/A</v>
      </c>
      <c r="BX101" s="140" t="e">
        <f ca="1">IF($BW101&lt;=Control!$C$89,$BW101,Control!$C$89-$BW101)</f>
        <v>#N/A</v>
      </c>
      <c r="BY101" s="140" t="e">
        <f ca="1">IF(AND($AJ101&gt;=30,$AJ101&lt;60),1,IF($BW101&gt;=Control!$C$89,0,$BU101))</f>
        <v>#N/A</v>
      </c>
      <c r="BZ101" s="404" t="e">
        <f ca="1">IF($BY101=0,0,IF($BW101&lt;=Control!$C$89,$BU101*(30+(60-30)*(BX101/Control!$C$89)),0))</f>
        <v>#N/A</v>
      </c>
      <c r="CA101" s="140" t="e">
        <f ca="1">IF($BG101+$BM101+$BS101+$BY101=1,0,IF(OR(AND($BB101&lt;65,$BB101&gt;=60),$BW101&gt;=Control!$C$89),1*$BA101,$CE100))</f>
        <v>#N/A</v>
      </c>
      <c r="CB101" s="140" t="e">
        <f ca="1">IF($BX101&lt;0,-$BX101,$CA101*IF(OR($G101&lt;Control!$C$92,$G101&gt;Control!$C$95),0,IF(AND($G101&gt;=Control!$C$92,$G101&lt;=Control!$C$93),$G101-Control!$C$92,IF(AND($G101&gt;Control!$C$93,$G101&lt;=Control!$C$94),Control!$C$93-Control!$C$92,IF(AND($G101&gt;Control!$C$94,$G101&lt;=Control!$C$95),(Control!$C$93-Control!$C$92)*(Control!$C$94-$G101)/(Control!$C$95-Control!$C$94))))))</f>
        <v>#N/A</v>
      </c>
      <c r="CC101" s="140" t="e">
        <f t="shared" ca="1" si="368"/>
        <v>#N/A</v>
      </c>
      <c r="CD101" s="140" t="e">
        <f ca="1">IF($CC101&lt;=Control!$C$90,$CC101,Control!$C$90-$CC101)</f>
        <v>#N/A</v>
      </c>
      <c r="CE101" s="140" t="e">
        <f ca="1">IF(AND($BB101&gt;=60,$BB101&lt;65),1,IF($CC101&gt;=Control!$C$90,0,$CA101))</f>
        <v>#N/A</v>
      </c>
      <c r="CF101" s="404" t="e">
        <f ca="1">IF($CE101=0,0,IF($CC101&lt;=Control!$C$90,$CA101*(60+(65-60)*(CD101/Control!$C$90)),0))</f>
        <v>#N/A</v>
      </c>
      <c r="CG101" s="140" t="e">
        <f ca="1">IF($BG101+$BM101+$BS101+$BY101+$CE101=1,0,IF(OR(AND($BB101&lt;90,$BB101&gt;=65),$CC101&gt;=Control!$C$90),$BA101,$CK100))</f>
        <v>#N/A</v>
      </c>
      <c r="CH101" s="140" t="e">
        <f ca="1">IF($CD101&lt;0,-$CD101,$CG101*IF(OR($G101&lt;Control!$C$92,$G101&gt;Control!$C$95),0,IF(AND($G101&gt;=Control!$C$92,$G101&lt;=Control!$C$93),$G101-Control!$C$92,IF(AND($G101&gt;Control!$C$93,$G101&lt;=Control!$C$94),Control!$C$93-Control!$C$92,IF(AND($G101&gt;Control!$C$94,$G101&lt;=Control!$C$95),(Control!$C$93-Control!$C$92)*(Control!$C$94-$G101)/(Control!$C$95-Control!$C$94))))))</f>
        <v>#N/A</v>
      </c>
      <c r="CI101" s="140" t="e">
        <f t="shared" ca="1" si="369"/>
        <v>#N/A</v>
      </c>
      <c r="CJ101" s="140" t="e">
        <f ca="1">IF($CI101&lt;=Control!$C$91,$CI101,Control!$C$91-$CI101)</f>
        <v>#N/A</v>
      </c>
      <c r="CK101" s="140" t="e">
        <f ca="1">IF(AND($BB101&gt;=65,$BB101&lt;90),1,IF($CI101&gt;=Control!$C$91,0,$CG101))</f>
        <v>#N/A</v>
      </c>
      <c r="CL101" s="404" t="e">
        <f ca="1">IF($CK101=0,0,IF($CI101&lt;=Control!$C$91,$CG101*(65+(90-65)*($CJ101/Control!$C$91)),0))</f>
        <v>#N/A</v>
      </c>
      <c r="CM101" s="140" t="e">
        <f ca="1">IF($BG101+$BM101+$BS101+$BY101+$CE101+$CK101=1,0,IF(OR($BB101&gt;=90,$CI101&gt;=Control!$C$91),$BA101,$CM100))</f>
        <v>#N/A</v>
      </c>
      <c r="CN101" s="140" t="e">
        <f t="shared" ca="1" si="370"/>
        <v>#N/A</v>
      </c>
      <c r="CO101" s="140" t="e">
        <f t="shared" ca="1" si="371"/>
        <v>#N/A</v>
      </c>
      <c r="CP101" s="140" t="e">
        <f t="shared" ca="1" si="372"/>
        <v>#N/A</v>
      </c>
      <c r="CQ101" s="141" t="e">
        <f ca="1">VLOOKUP($CP101,Control!$B$86:$G$91,6)</f>
        <v>#N/A</v>
      </c>
      <c r="CR101" s="141" t="e">
        <f ca="1">(1-$CQ101)*VLOOKUP($CP101,Control!$B$86:$D$91,3)</f>
        <v>#N/A</v>
      </c>
      <c r="CS101" s="141" t="e">
        <f ca="1">(1-$CQ101)*VLOOKUP($CP101,Control!$B$86:$E$91,4)</f>
        <v>#N/A</v>
      </c>
      <c r="CT101" s="141" t="e">
        <f ca="1">(1-$CQ101)*VLOOKUP($CP101,Control!$B$86:$F$91,5)</f>
        <v>#N/A</v>
      </c>
      <c r="CU101" s="141">
        <f t="shared" ca="1" si="373"/>
        <v>0</v>
      </c>
      <c r="CV101" s="583">
        <f t="shared" ca="1" si="374"/>
        <v>0</v>
      </c>
      <c r="CW101" s="142">
        <f t="shared" ca="1" si="375"/>
        <v>97</v>
      </c>
      <c r="CX101" s="612" t="e">
        <f ca="1">IF(Control!$C$114=1,(MIN(Control!$C$120*(IF($NT101-0.01&lt;0,0,1)),Control!$C$119-$CY101)))</f>
        <v>#DIV/0!</v>
      </c>
      <c r="CY101" s="143" t="e">
        <f t="shared" ca="1" si="376"/>
        <v>#N/A</v>
      </c>
      <c r="CZ101" s="144">
        <f t="shared" ca="1" si="253"/>
        <v>0</v>
      </c>
      <c r="DA101" s="144">
        <f t="shared" ca="1" si="254"/>
        <v>0</v>
      </c>
      <c r="DB101" s="144" t="e">
        <f t="shared" ca="1" si="255"/>
        <v>#N/A</v>
      </c>
      <c r="DC101" s="144" t="e">
        <f t="shared" ca="1" si="256"/>
        <v>#N/A</v>
      </c>
      <c r="DD101" s="144" t="e">
        <f t="shared" ca="1" si="461"/>
        <v>#N/A</v>
      </c>
      <c r="DE101" s="143" t="e">
        <f t="shared" ca="1" si="377"/>
        <v>#N/A</v>
      </c>
      <c r="DF101" s="145" t="e">
        <f ca="1">$DR101*EXP(-Control!$C$158*(1-$KH101))</f>
        <v>#N/A</v>
      </c>
      <c r="DG101" s="146" t="e">
        <f ca="1">IF(Control!$C$114=1, $DF101*$EY101, 0)</f>
        <v>#N/A</v>
      </c>
      <c r="DH101" s="147" t="e">
        <f t="shared" ca="1" si="378"/>
        <v>#N/A</v>
      </c>
      <c r="DI101" s="144" t="e">
        <f t="shared" ca="1" si="439"/>
        <v>#N/A</v>
      </c>
      <c r="DJ101" s="147" t="e">
        <f ca="1">$EF101*Control!$C$109</f>
        <v>#N/A</v>
      </c>
      <c r="DK101" s="144" t="e">
        <f t="shared" ca="1" si="379"/>
        <v>#N/A</v>
      </c>
      <c r="DL101" s="144" t="e">
        <f t="shared" ca="1" si="257"/>
        <v>#N/A</v>
      </c>
      <c r="DM101" s="144" t="e">
        <f ca="1">IF(Control!$C$114=1, (1-EXP(-Control!$C$96*$DK101))*$AR101, 0)</f>
        <v>#N/A</v>
      </c>
      <c r="DN101" s="144">
        <f t="shared" ca="1" si="380"/>
        <v>0</v>
      </c>
      <c r="DO101" s="148">
        <f>Control!$C$97</f>
        <v>4</v>
      </c>
      <c r="DP101" s="145" t="e">
        <f t="shared" ca="1" si="381"/>
        <v>#N/A</v>
      </c>
      <c r="DQ101" s="145" t="e">
        <f ca="1">IF(AND($CP101&gt;=0,$CP101&lt;=90),Control!$C$111,Control!$C$111)</f>
        <v>#N/A</v>
      </c>
      <c r="DR101" s="145" t="e">
        <f t="shared" ca="1" si="258"/>
        <v>#N/A</v>
      </c>
      <c r="DS101" s="143" t="e">
        <f ca="1">Control!$B$22/$DR101</f>
        <v>#N/A</v>
      </c>
      <c r="DT101" s="149" t="e">
        <f ca="1">IF(AND(Control!$C$114=1,$KH101&lt;1),$IM101*$DF101, 0)</f>
        <v>#N/A</v>
      </c>
      <c r="DU101" s="144" t="e">
        <f t="shared" ca="1" si="382"/>
        <v>#N/A</v>
      </c>
      <c r="DV101" s="144">
        <f ca="1">IF($G101-Control!$C$107&lt;=0, 0, 0.83*LN(MAX($G101, 3))-0.8924)</f>
        <v>0</v>
      </c>
      <c r="DW101" s="144" t="e">
        <f t="shared" ca="1" si="259"/>
        <v>#N/A</v>
      </c>
      <c r="DX101" s="150" t="e">
        <f ca="1">MAX(0.01*(1+$CU101/Control!$C$102),0.05*($DK101-Control!$C$97)/Control!$C$97)</f>
        <v>#N/A</v>
      </c>
      <c r="DY101" s="151" t="e">
        <f ca="1">IF(Control!$C$114=1, $DI101*$FS101, 0)</f>
        <v>#N/A</v>
      </c>
      <c r="DZ101" s="196" t="e">
        <f t="shared" ca="1" si="383"/>
        <v>#N/A</v>
      </c>
      <c r="EA101" s="152">
        <f t="shared" ca="1" si="384"/>
        <v>97</v>
      </c>
      <c r="EB101" s="153" t="e">
        <f t="shared" ca="1" si="385"/>
        <v>#N/A</v>
      </c>
      <c r="EC101" s="153" t="e">
        <f t="shared" ca="1" si="386"/>
        <v>#N/A</v>
      </c>
      <c r="ED101" s="154" t="e">
        <f ca="1">IF(Control!$C$114=1, $HM101*$FY101-$FD101, 0)</f>
        <v>#DIV/0!</v>
      </c>
      <c r="EE101" s="155" t="e">
        <f ca="1">IF(Control!$C$114=1, $HM101*$FZ101-$FF101, 0)</f>
        <v>#DIV/0!</v>
      </c>
      <c r="EF101" s="153" t="e">
        <f t="shared" ca="1" si="440"/>
        <v>#N/A</v>
      </c>
      <c r="EG101" s="155" t="e">
        <f ca="1">IF(Control!$C$114=1, $GX101*$FW101-$FI101, 0)</f>
        <v>#DIV/0!</v>
      </c>
      <c r="EH101" s="153" t="e">
        <f t="shared" ca="1" si="387"/>
        <v>#N/A</v>
      </c>
      <c r="EI101" s="156" t="e">
        <f t="shared" ca="1" si="388"/>
        <v>#N/A</v>
      </c>
      <c r="EJ101" s="155" t="e">
        <f ca="1">IF(Control!$C$114=1, $HM101*$GB101, 0)</f>
        <v>#DIV/0!</v>
      </c>
      <c r="EK101" s="153" t="e">
        <f t="shared" ca="1" si="441"/>
        <v>#N/A</v>
      </c>
      <c r="EL101" s="153" t="e">
        <f t="shared" ca="1" si="260"/>
        <v>#N/A</v>
      </c>
      <c r="EM101" s="153" t="e">
        <f t="shared" ca="1" si="261"/>
        <v>#N/A</v>
      </c>
      <c r="EN101" s="153" t="e">
        <f ca="1">IF(Control!$C$108=1,IF(AND(Control!$B$18=1,$EB101&gt;=Control!$B$19),$EB101-$DS101,IF(AND(Control!$B$18=2,$AW101=1,$EB101&gt;$DS101),$EB101-$DS101,0)))</f>
        <v>#N/A</v>
      </c>
      <c r="EO101" s="153" t="e">
        <f ca="1">IF(Control!$C$108=1,IF(AND(Control!$B$18=1,$EB101&gt;=Control!$B$19),$EF101,IF(AND(Control!$B$18=2,$AW101=1),$EF101,0)))</f>
        <v>#N/A</v>
      </c>
      <c r="EP101" s="153" t="e">
        <f ca="1">IF(Control!$C$108=1,IF(AND(Control!$B$18=1,$EB101&gt;=Control!$B$19),$EK101,IF(AND(Control!$B$18=2,$AW101=1),$EK101,0)))</f>
        <v>#N/A</v>
      </c>
      <c r="EQ101" s="153" t="e">
        <f t="shared" ca="1" si="389"/>
        <v>#N/A</v>
      </c>
      <c r="ER101" s="153" t="e">
        <f t="shared" ca="1" si="390"/>
        <v>#N/A</v>
      </c>
      <c r="ES101" s="153" t="e">
        <f t="shared" ca="1" si="442"/>
        <v>#N/A</v>
      </c>
      <c r="ET101" s="153" t="e">
        <f t="shared" ca="1" si="443"/>
        <v>#N/A</v>
      </c>
      <c r="EU101" s="153" t="e">
        <f t="shared" ca="1" si="391"/>
        <v>#N/A</v>
      </c>
      <c r="EV101" s="153" t="e">
        <f t="shared" ca="1" si="262"/>
        <v>#N/A</v>
      </c>
      <c r="EW101" s="153" t="e">
        <f t="shared" ca="1" si="263"/>
        <v>#N/A</v>
      </c>
      <c r="EX101" s="153" t="e">
        <f t="shared" ca="1" si="264"/>
        <v>#N/A</v>
      </c>
      <c r="EY101" s="157" t="e">
        <f t="shared" ca="1" si="265"/>
        <v>#DIV/0!</v>
      </c>
      <c r="EZ101" s="154" t="e">
        <f t="shared" ca="1" si="266"/>
        <v>#DIV/0!</v>
      </c>
      <c r="FA101" s="153" t="e">
        <f t="shared" ca="1" si="392"/>
        <v>#N/A</v>
      </c>
      <c r="FB101" s="153" t="e">
        <f t="shared" ca="1" si="267"/>
        <v>#N/A</v>
      </c>
      <c r="FC101" s="193" t="e">
        <f t="shared" ca="1" si="268"/>
        <v>#N/A</v>
      </c>
      <c r="FD101" s="158" t="e">
        <f t="shared" ca="1" si="393"/>
        <v>#N/A</v>
      </c>
      <c r="FE101" s="158" t="e">
        <f t="shared" ca="1" si="394"/>
        <v>#N/A</v>
      </c>
      <c r="FF101" s="159" t="e">
        <f t="shared" ca="1" si="269"/>
        <v>#N/A</v>
      </c>
      <c r="FG101" s="160" t="e">
        <f t="shared" ca="1" si="395"/>
        <v>#N/A</v>
      </c>
      <c r="FH101" s="158" t="e">
        <f t="shared" ca="1" si="396"/>
        <v>#N/A</v>
      </c>
      <c r="FI101" s="159" t="e">
        <f t="shared" ca="1" si="270"/>
        <v>#N/A</v>
      </c>
      <c r="FJ101" s="160" t="e">
        <f t="shared" ca="1" si="397"/>
        <v>#N/A</v>
      </c>
      <c r="FK101" s="160" t="e">
        <f t="shared" ca="1" si="271"/>
        <v>#N/A</v>
      </c>
      <c r="FL101" s="160" t="e">
        <f t="shared" ca="1" si="444"/>
        <v>#N/A</v>
      </c>
      <c r="FM101" s="160" t="e">
        <f t="shared" ca="1" si="272"/>
        <v>#N/A</v>
      </c>
      <c r="FN101" s="158">
        <f t="shared" ca="1" si="398"/>
        <v>0.01</v>
      </c>
      <c r="FO101" s="160">
        <f>Control!$C$101</f>
        <v>50</v>
      </c>
      <c r="FP101" s="150" t="e">
        <f t="shared" ca="1" si="273"/>
        <v>#N/A</v>
      </c>
      <c r="FQ101" s="150" t="e">
        <f ca="1">MAX(0,(Control!$C$112*(($DK101-Control!$C$97)/Control!$C$97)))</f>
        <v>#N/A</v>
      </c>
      <c r="FR101" s="150" t="e">
        <f ca="1">(1-$NT101)*Control!$C$113</f>
        <v>#DIV/0!</v>
      </c>
      <c r="FS101" s="198" t="e">
        <f t="shared" ca="1" si="274"/>
        <v>#N/A</v>
      </c>
      <c r="FT101" s="161">
        <f t="shared" ca="1" si="399"/>
        <v>97</v>
      </c>
      <c r="FU101" s="162" t="e">
        <f ca="1">IF(Control!$B$34=1,VLOOKUP($CP101,Control!$B$86:$G$91,6),Control!$B$35)</f>
        <v>#N/A</v>
      </c>
      <c r="FV101" s="162" t="e">
        <f t="shared" ca="1" si="275"/>
        <v>#DIV/0!</v>
      </c>
      <c r="FW101" s="162" t="e">
        <f ca="1">IF(Control!$B$31=1,$FU101*$FV101,  $FU101)</f>
        <v>#N/A</v>
      </c>
      <c r="FX101" s="162" t="e">
        <f ca="1">IF(Control!$B$34=1,VLOOKUP($CP101,Control!$B$86:$G$91,3),Control!$B$36)</f>
        <v>#N/A</v>
      </c>
      <c r="FY101" s="162" t="e">
        <f t="shared" ca="1" si="276"/>
        <v>#N/A</v>
      </c>
      <c r="FZ101" s="162" t="e">
        <f ca="1">IF(Control!$B$34=1,VLOOKUP($CP101,Control!$B$86:$G$91,4),Control!$B$37)</f>
        <v>#N/A</v>
      </c>
      <c r="GA101" s="162" t="e">
        <f t="shared" ca="1" si="277"/>
        <v>#N/A</v>
      </c>
      <c r="GB101" s="162" t="e">
        <f ca="1">IF(Control!$B$34=1,VLOOKUP($CP101,Control!$B$86:$G$91,5),Control!$B$38)</f>
        <v>#N/A</v>
      </c>
      <c r="GC101" s="162" t="e">
        <f t="shared" ca="1" si="400"/>
        <v>#N/A</v>
      </c>
      <c r="GD101" s="162">
        <f t="shared" ca="1" si="278"/>
        <v>1</v>
      </c>
      <c r="GE101" s="162">
        <f t="shared" ca="1" si="279"/>
        <v>1</v>
      </c>
      <c r="GF101" s="162">
        <f ca="1">IF(AND(Control!$C$104=1, Control!$C$62="F"),$GE101,1)</f>
        <v>1</v>
      </c>
      <c r="GG101" s="162" t="e">
        <f ca="1">IF(Control!$B$16=40,0,IF(AND(Control!$B$16&gt;40,Control!$B$16&lt;=360),(Control!$B$16-40)*((1-0)/(360-40)),IF(AND(Control!$B$16&gt;360,Control!$B$16&lt;=720),(1+(Control!$B$16-360)*((1.25-1)/(720-360))),IF(AND(Control!$B$16&gt;720,Control!$B$16&lt;=1000),(1.25+(Control!$B$16-720)*((1.35-1.25)/(1000-720))),IF(AND(Control!$B$16&gt;1000,Control!$B$16&lt;=2000),(1.35+(Control!$B$16-1000)*0))))))</f>
        <v>#N/A</v>
      </c>
      <c r="GH101" s="162" t="e">
        <f t="shared" ca="1" si="280"/>
        <v>#N/A</v>
      </c>
      <c r="GI101" s="162">
        <f t="shared" ca="1" si="401"/>
        <v>0</v>
      </c>
      <c r="GJ101" s="162">
        <f t="shared" ca="1" si="281"/>
        <v>0</v>
      </c>
      <c r="GK101" s="162">
        <f t="shared" ca="1" si="402"/>
        <v>1</v>
      </c>
      <c r="GL101" s="162">
        <f t="shared" ca="1" si="282"/>
        <v>1</v>
      </c>
      <c r="GM101" s="162" t="e">
        <f ca="1">MAX(0,MIN(1,1-Control!$C$156*(1.0001-$KH101)^2))</f>
        <v>#N/A</v>
      </c>
      <c r="GN101" s="162" t="e">
        <f ca="1">IF(Control!$B$26=1,$KU101,$KX101)</f>
        <v>#N/A</v>
      </c>
      <c r="GO101" s="162" t="e">
        <f ca="1">IF($CP101&lt;=60,Control!$C$105,IF($CP101&gt;=90,Control!$C$106,Control!$C$105+($CP101-60)*((Control!$C$106-Control!$C$105)/(90-60))))</f>
        <v>#N/A</v>
      </c>
      <c r="GP101" s="162" t="e">
        <f t="shared" ca="1" si="283"/>
        <v>#N/A</v>
      </c>
      <c r="GQ101" s="162" t="e">
        <f t="shared" ca="1" si="403"/>
        <v>#N/A</v>
      </c>
      <c r="GR101" s="163" t="e">
        <f t="shared" ca="1" si="284"/>
        <v>#DIV/0!</v>
      </c>
      <c r="GS101" s="162" t="e">
        <f t="shared" ca="1" si="285"/>
        <v>#DIV/0!</v>
      </c>
      <c r="GT101" s="164" t="e">
        <f t="shared" ca="1" si="404"/>
        <v>#N/A</v>
      </c>
      <c r="GU101" s="162" t="e">
        <f t="shared" ca="1" si="405"/>
        <v>#N/A</v>
      </c>
      <c r="GV101" s="162" t="e">
        <f t="shared" ca="1" si="286"/>
        <v>#N/A</v>
      </c>
      <c r="GW101" s="162" t="e">
        <f t="shared" ca="1" si="287"/>
        <v>#DIV/0!</v>
      </c>
      <c r="GX101" s="162" t="e">
        <f t="shared" ca="1" si="406"/>
        <v>#DIV/0!</v>
      </c>
      <c r="GY101" s="162" t="e">
        <f t="shared" ca="1" si="407"/>
        <v>#DIV/0!</v>
      </c>
      <c r="GZ101" s="165" t="e">
        <f t="shared" ca="1" si="288"/>
        <v>#N/A</v>
      </c>
      <c r="HA101" s="162" t="e">
        <f ca="1">IF(Control!$C$114=1, $DI101*$FS101, 0)</f>
        <v>#N/A</v>
      </c>
      <c r="HB101" s="162" t="e">
        <f ca="1">$FA101/Control!$C$64</f>
        <v>#N/A</v>
      </c>
      <c r="HC101" s="162" t="e">
        <f t="shared" ca="1" si="289"/>
        <v>#DIV/0!</v>
      </c>
      <c r="HD101" s="162">
        <f ca="1">-ASIN(SIN(23.45*Control!$C$139)*COS(2*Control!$C$138*($AH101+10)/365))</f>
        <v>0.10678103001618276</v>
      </c>
      <c r="HE101" s="165">
        <f t="shared" ca="1" si="408"/>
        <v>0</v>
      </c>
      <c r="HF101" s="166">
        <f ca="1">IF(AND(Control!$C$61="T",$HE101&gt;=Control!$C$103,Control!$C$114=0),$AH101,Control!$C$59)</f>
        <v>1</v>
      </c>
      <c r="HG101" s="166">
        <f ca="1">IF(AND(Control!$C$61="T",$HE101&gt;=Control!$C$103,Control!$C$114=0),$HF101,Control!$C$59)</f>
        <v>1</v>
      </c>
      <c r="HH101" s="165">
        <f ca="1">IF(AND(OR(Control!$C$60&lt;=0, $AH101= Control!$C$59, Control!$C$60 &gt;0, $AH101 = Control!$C$60)), Control!$C$59, IF(Control!$C$60&gt;0, 0))</f>
        <v>1</v>
      </c>
      <c r="HI101" s="165">
        <f ca="1">IF(AND(OR(Control!$C$60&lt;=0, $AH101= Control!$C$59, Control!$C$60 &gt;0, $AH101 = Control!$C$60)), Control!$C$60, IF(Control!$C$60&lt;=0, 0))</f>
        <v>0</v>
      </c>
      <c r="HJ101" s="166">
        <f ca="1">IF(AND(Control!$C$62="F",$CV101&gt;=Control!$C$102),$AH101,0)</f>
        <v>0</v>
      </c>
      <c r="HK101" s="165" t="e">
        <f t="shared" ca="1" si="445"/>
        <v>#N/A</v>
      </c>
      <c r="HL101" s="166">
        <f ca="1">IF(AND(Control!$C$61="T",$HE101&gt;=Control!$C$103,Control!$C$114=0),$HF101,0)</f>
        <v>0</v>
      </c>
      <c r="HM101" s="201" t="e">
        <f t="shared" ca="1" si="290"/>
        <v>#DIV/0!</v>
      </c>
      <c r="HN101" s="215">
        <f t="shared" ca="1" si="409"/>
        <v>97</v>
      </c>
      <c r="HO101" s="216" t="e">
        <f ca="1">IF(AND($CP101&gt;=0, $CP101&lt;=90), Control!$C$152, Control!$C$152)</f>
        <v>#N/A</v>
      </c>
      <c r="HP101" s="216" t="e">
        <f t="shared" ca="1" si="291"/>
        <v>#N/A</v>
      </c>
      <c r="HQ101" s="217" t="e">
        <f ca="1">IF(OR(Control!$B$26=1,Control!$B$26=2),$KV101,$KS101)</f>
        <v>#DIV/0!</v>
      </c>
      <c r="HR101" s="218" t="e">
        <f t="shared" ca="1" si="446"/>
        <v>#DIV/0!</v>
      </c>
      <c r="HS101" s="216" t="e">
        <f ca="1">Control!$C$154*$HP101</f>
        <v>#N/A</v>
      </c>
      <c r="HT101" s="216" t="e">
        <f ca="1">Control!$C$155*$HP101</f>
        <v>#N/A</v>
      </c>
      <c r="HU101" s="217" t="e">
        <f ca="1">Control!$C$161*$FI101</f>
        <v>#N/A</v>
      </c>
      <c r="HV101" s="218" t="e">
        <f t="shared" ca="1" si="410"/>
        <v>#N/A</v>
      </c>
      <c r="HW101" s="218" t="e">
        <f ca="1">Control!$C$160*$FF101+$IP101*$EO101</f>
        <v>#N/A</v>
      </c>
      <c r="HX101" s="218" t="e">
        <f t="shared" ca="1" si="447"/>
        <v>#N/A</v>
      </c>
      <c r="HY101" s="219" t="e">
        <f ca="1">IF(Control!$C$114=1, $EB101*$FS101, 0)</f>
        <v>#N/A</v>
      </c>
      <c r="HZ101" s="91" t="e">
        <f t="shared" ca="1" si="292"/>
        <v>#N/A</v>
      </c>
      <c r="IA101" s="220" t="e">
        <f ca="1">Control!$C$153*$HO101</f>
        <v>#N/A</v>
      </c>
      <c r="IB101" s="218" t="e">
        <f t="shared" ca="1" si="293"/>
        <v>#N/A</v>
      </c>
      <c r="IC101" s="220" t="e">
        <f ca="1">Control!$C$153*$HT101</f>
        <v>#N/A</v>
      </c>
      <c r="ID101" s="218" t="e">
        <f t="shared" ca="1" si="294"/>
        <v>#N/A</v>
      </c>
      <c r="IE101" s="221" t="e">
        <f ca="1">($EB101*Control!$C$159+$EF101*Control!$C$160)/(IF($GZ101&lt;&gt;0,$GZ101,1))</f>
        <v>#N/A</v>
      </c>
      <c r="IF101" s="216" t="e">
        <f t="shared" ca="1" si="295"/>
        <v>#N/A</v>
      </c>
      <c r="IG101" s="91">
        <f ca="1">IF(OR(Control!$B$198=$AH101,Control!$B$199=$AH101, Control!$B$200=$AH101, Control!$B$201=$AH101, Control!$B$202=$AH101, Control!$B$203=$AH101, Control!$B$204=$AH101, Control!$B$205=$AH101, Control!$B$206=$AH101, Control!$B$207=$AH101), 1, 0)</f>
        <v>0</v>
      </c>
      <c r="IH101" s="91">
        <f ca="1">IF($IG101=0,0, VLOOKUP($AH101,Control!$B$198:$C$207,2))</f>
        <v>0</v>
      </c>
      <c r="II101" s="222">
        <f t="shared" ca="1" si="411"/>
        <v>0</v>
      </c>
      <c r="IJ101" s="91">
        <f>Control!$C$121</f>
        <v>0.7</v>
      </c>
      <c r="IK101" s="218">
        <f t="shared" ca="1" si="296"/>
        <v>0</v>
      </c>
      <c r="IL101" s="217" t="e">
        <f t="shared" ca="1" si="448"/>
        <v>#N/A</v>
      </c>
      <c r="IM101" s="223" t="e">
        <f ca="1">IF(AND(Control!$C$114=1,$KH101&lt;1),$EB101*Control!$C$148*(1-$KH101), 0)</f>
        <v>#N/A</v>
      </c>
      <c r="IN101" s="217" t="e">
        <f t="shared" ca="1" si="297"/>
        <v>#DIV/0!</v>
      </c>
      <c r="IO101" s="91" t="e">
        <f ca="1">MAX(0,$IL101-$EF101*Control!$C$160)</f>
        <v>#N/A</v>
      </c>
      <c r="IP101" s="220" t="e">
        <f t="shared" ca="1" si="298"/>
        <v>#N/A</v>
      </c>
      <c r="IQ101" s="217" t="e">
        <f t="shared" ca="1" si="412"/>
        <v>#N/A</v>
      </c>
      <c r="IR101" s="218" t="e">
        <f t="shared" ca="1" si="299"/>
        <v>#N/A</v>
      </c>
      <c r="IS101" s="217" t="e">
        <f ca="1">Control!$C$159*MAX(0,$FD101-$EN101)</f>
        <v>#N/A</v>
      </c>
      <c r="IT101" s="217" t="e">
        <f t="shared" ca="1" si="449"/>
        <v>#N/A</v>
      </c>
      <c r="IU101" s="217" t="e">
        <f t="shared" ca="1" si="413"/>
        <v>#N/A</v>
      </c>
      <c r="IV101" s="217" t="e">
        <f t="shared" ca="1" si="450"/>
        <v>#N/A</v>
      </c>
      <c r="IW101" s="217" t="e">
        <f ca="1">IF(OR($AW101=1,AND($AW101=0, Control!$B$18=1,$EN101&lt;&gt;0)), $IQ101-$IU101, $IQ101)</f>
        <v>#N/A</v>
      </c>
      <c r="IX101" s="218" t="e">
        <f t="shared" ca="1" si="300"/>
        <v>#N/A</v>
      </c>
      <c r="IY101" s="218" t="e">
        <f ca="1">MAX(0,$IQ101-$EB101*Control!$C$159)</f>
        <v>#N/A</v>
      </c>
      <c r="IZ101" s="218" t="e">
        <f t="shared" ca="1" si="301"/>
        <v>#N/A</v>
      </c>
      <c r="JA101" s="216" t="e">
        <f t="shared" ca="1" si="302"/>
        <v>#N/A</v>
      </c>
      <c r="JB101" s="217" t="e">
        <f t="shared" ca="1" si="303"/>
        <v>#N/A</v>
      </c>
      <c r="JC101" s="222" t="e">
        <f ca="1">MAX(Control!$C$157*$EK101-$JT101, 0)/Control!$C$162</f>
        <v>#N/A</v>
      </c>
      <c r="JD101" s="218" t="e">
        <f t="shared" ca="1" si="304"/>
        <v>#N/A</v>
      </c>
      <c r="JE101" s="218" t="e">
        <f t="shared" ca="1" si="305"/>
        <v>#N/A</v>
      </c>
      <c r="JF101" s="218" t="e">
        <f t="shared" ca="1" si="414"/>
        <v>#N/A</v>
      </c>
      <c r="JG101" s="218" t="e">
        <f t="shared" ca="1" si="306"/>
        <v>#N/A</v>
      </c>
      <c r="JH101" s="217" t="e">
        <f t="shared" ca="1" si="415"/>
        <v>#N/A</v>
      </c>
      <c r="JI101" s="217" t="e">
        <f t="shared" ca="1" si="416"/>
        <v>#N/A</v>
      </c>
      <c r="JJ101" s="217" t="e">
        <f t="shared" ca="1" si="451"/>
        <v>#N/A</v>
      </c>
      <c r="JK101" s="217" t="e">
        <f ca="1">IF(Control!$C$114=1,IF(Control!$B$24=0,MAX(0,$JI101)*$GN101/Control!$C$64,(MAX(0,MIN($JI101,$JJ101*$GN101/Control!$C$64),0))))</f>
        <v>#N/A</v>
      </c>
      <c r="JL101" s="217" t="e">
        <f ca="1">$IK101/Control!$C$64-$JK101+$HQ101</f>
        <v>#N/A</v>
      </c>
      <c r="JM101" s="217" t="e">
        <f ca="1">IF(Control!$C$114=1,($JB101/(IF($JI101&lt;&gt;0,$JI101,1)))*$JK101,0)</f>
        <v>#N/A</v>
      </c>
      <c r="JN101" s="217" t="e">
        <f ca="1">IF(Control!$C$114=1,($JG101/(IF($JI101&lt;&gt;0,$JI101,1)))*$JK101, 0)</f>
        <v>#N/A</v>
      </c>
      <c r="JO101" s="218" t="e">
        <f t="shared" ca="1" si="307"/>
        <v>#N/A</v>
      </c>
      <c r="JP101" s="218" t="e">
        <f ca="1">MIN(($IY101+$IO101)*Control!$C$151, $JF101-$EH101*Control!$C$161)</f>
        <v>#N/A</v>
      </c>
      <c r="JQ101" s="218" t="e">
        <f t="shared" ca="1" si="308"/>
        <v>#N/A</v>
      </c>
      <c r="JR101" s="217" t="e">
        <f ca="1">IF($CP101-Control!$C$150&lt;0, 0, $JQ101/Control!$C$162)</f>
        <v>#N/A</v>
      </c>
      <c r="JS101" s="218" t="e">
        <f t="shared" ca="1" si="309"/>
        <v>#N/A</v>
      </c>
      <c r="JT101" s="218" t="e">
        <f t="shared" ca="1" si="417"/>
        <v>#N/A</v>
      </c>
      <c r="JU101" s="218" t="e">
        <f t="shared" ca="1" si="310"/>
        <v>#N/A</v>
      </c>
      <c r="JV101" s="218" t="e">
        <f t="shared" ca="1" si="311"/>
        <v>#N/A</v>
      </c>
      <c r="JW101" s="216" t="e">
        <f t="shared" ca="1" si="312"/>
        <v>#N/A</v>
      </c>
      <c r="JX101" s="91" t="e">
        <f t="shared" ca="1" si="313"/>
        <v>#N/A</v>
      </c>
      <c r="JY101" s="218" t="e">
        <f t="shared" ca="1" si="314"/>
        <v>#N/A</v>
      </c>
      <c r="JZ101" s="217" t="e">
        <f ca="1">IF(Control!$C$114=1,($IZ101/(IF($JI101&lt;&gt;0,$JI101,1)))*$JK101, 0)</f>
        <v>#N/A</v>
      </c>
      <c r="KA101" s="218" t="e">
        <f t="shared" ca="1" si="452"/>
        <v>#N/A</v>
      </c>
      <c r="KB101" s="218" t="e">
        <f t="shared" ca="1" si="418"/>
        <v>#N/A</v>
      </c>
      <c r="KC101" s="218" t="e">
        <f t="shared" ca="1" si="315"/>
        <v>#N/A</v>
      </c>
      <c r="KD101" s="218" t="e">
        <f t="shared" ca="1" si="316"/>
        <v>#N/A</v>
      </c>
      <c r="KE101" s="218" t="e">
        <f t="shared" ca="1" si="317"/>
        <v>#N/A</v>
      </c>
      <c r="KF101" s="218" t="e">
        <f t="shared" ca="1" si="318"/>
        <v>#N/A</v>
      </c>
      <c r="KG101" s="216" t="e">
        <f t="shared" ca="1" si="319"/>
        <v>#N/A</v>
      </c>
      <c r="KH101" s="221" t="e">
        <f ca="1">IF(Control!$B$24=0,1,MAX(0.001,MIN(1,IF(($IF101-$IE101)&lt;&gt;0,($KG101-$IE101)/($IF101-$IE101),1))))</f>
        <v>#N/A</v>
      </c>
      <c r="KI101" s="222" t="e">
        <f ca="1">IF(Control!$C$114=1, $KI100+ $KH100, 0)</f>
        <v>#N/A</v>
      </c>
      <c r="KJ101" s="217" t="e">
        <f t="shared" ca="1" si="320"/>
        <v>#N/A</v>
      </c>
      <c r="KK101" s="218" t="e">
        <f t="shared" ca="1" si="321"/>
        <v>#N/A</v>
      </c>
      <c r="KL101" s="274" t="e">
        <f ca="1">IF(Control!$B$26=3,4000000000*EXP(-8400/($G101+273)),IF(Control!$B$26=4,4000000000*EXP(-8400/($G101+273))*($KT101),0))</f>
        <v>#DIV/0!</v>
      </c>
      <c r="KM101" s="274" t="e">
        <f ca="1">IF(Control!$B$26=3,5600000000000*EXP(-9800/($G101+273)),IF(Control!$B$26=4,5600000000000*EXP(-9800/($G101+273))*$KT101,0))</f>
        <v>#DIV/0!</v>
      </c>
      <c r="KN101" s="454" t="e">
        <f t="shared" ca="1" si="419"/>
        <v>#DIV/0!</v>
      </c>
      <c r="KO101" s="274" t="e">
        <f t="shared" ca="1" si="420"/>
        <v>#DIV/0!</v>
      </c>
      <c r="KP101" s="454" t="e">
        <f t="shared" ca="1" si="322"/>
        <v>#DIV/0!</v>
      </c>
      <c r="KQ101" s="454" t="e">
        <f t="shared" ca="1" si="323"/>
        <v>#DIV/0!</v>
      </c>
      <c r="KR101" s="454" t="e">
        <f t="shared" ca="1" si="324"/>
        <v>#DIV/0!</v>
      </c>
      <c r="KS101" s="454" t="e">
        <f t="shared" ca="1" si="325"/>
        <v>#DIV/0!</v>
      </c>
      <c r="KT101" s="455" t="e">
        <f t="shared" ca="1" si="326"/>
        <v>#DIV/0!</v>
      </c>
      <c r="KU101" s="456" t="e">
        <f ca="1">IF($CP101-Control!$C$149&lt;0, IF($NT101-0.01&lt;0,0,1),0)</f>
        <v>#N/A</v>
      </c>
      <c r="KV101" s="456" t="e">
        <f ca="1">IF(Control!$C$114=1,MAX(0,MIN(Control!$C$125*$KW101*$GN101,$KW101)))</f>
        <v>#DIV/0!</v>
      </c>
      <c r="KW101" s="456" t="e">
        <f t="shared" ca="1" si="453"/>
        <v>#DIV/0!</v>
      </c>
      <c r="KX101" s="457" t="e">
        <f ca="1">IF($CP101-Control!$C$149&lt;0, IF($MR101-$OM101&lt;0,0,1),0)</f>
        <v>#N/A</v>
      </c>
      <c r="KY101" s="167">
        <f t="shared" ca="1" si="421"/>
        <v>97</v>
      </c>
      <c r="KZ101" s="168">
        <f ca="1">1370*(1+0.033*COS(2*Control!$C$138*$AH101/365))</f>
        <v>1365.5321658619698</v>
      </c>
      <c r="LA101" s="169">
        <f t="shared" ca="1" si="422"/>
        <v>0.99673893542181524</v>
      </c>
      <c r="LB101" s="169">
        <f t="shared" ca="1" si="423"/>
        <v>0.1129422007321155</v>
      </c>
      <c r="LC101" s="169">
        <f ca="1">ACOS(-TAN((2*Control!$B$8/360))*TAN(Calculations!$LB101))</f>
        <v>1.604512947674696</v>
      </c>
      <c r="LD101" s="169">
        <f ca="1">((24*60)/PI())*0.082*$LA101*(($LC101*SIN(Control!$B$8*2*PI()/360))*SIN($LB101)+COS(Control!$B$8*2*PI()/360)*COS($LB101)*SIN($LC101))</f>
        <v>28.243291618436846</v>
      </c>
      <c r="LE101" s="170">
        <f t="shared" ca="1" si="327"/>
        <v>28.159079753808317</v>
      </c>
      <c r="LF101" s="170">
        <f ca="1">SIN(Control!$C$139*Control!$B$8)*SIN($HD101)</f>
        <v>8.3984924899616273E-2</v>
      </c>
      <c r="LG101" s="170">
        <f ca="1">COS(Control!$C$139*Control!$B$8)*COS($HD101)</f>
        <v>0.61215320221970859</v>
      </c>
      <c r="LH101" s="170">
        <f ca="1">12*(1+2*ASIN(MAX(-1,MIN(1,$LF101/$LG101))/Control!$C$138))</f>
        <v>13.048430642042515</v>
      </c>
      <c r="LI101" s="170">
        <f ca="1">12*(1+2*ASIN(MAX(-1,MIN(1,(-SIN(-4*Control!$C$139)+$LF101)/$LG101))/Control!$C$138))</f>
        <v>13.920680780319671</v>
      </c>
      <c r="LJ101" s="168">
        <f ca="1">3600*($LH101*$LF101+24*$LG101*SQRT(1-$LK101*$LK101)/Control!$C$138)</f>
        <v>20621.322922871874</v>
      </c>
      <c r="LK101" s="170">
        <f t="shared" ca="1" si="328"/>
        <v>0.1371959251296592</v>
      </c>
      <c r="LL101" s="170">
        <f t="shared" ca="1" si="329"/>
        <v>0</v>
      </c>
      <c r="LM101" s="171">
        <f ca="1">Control!$C$145*$AB101</f>
        <v>6.6660906138995932E-2</v>
      </c>
      <c r="LN101" s="170">
        <f t="shared" ca="1" si="424"/>
        <v>0.54</v>
      </c>
      <c r="LO101" s="170">
        <f t="shared" ca="1" si="330"/>
        <v>0</v>
      </c>
      <c r="LP101" s="170">
        <f ca="1">Control!$C$140*((($D101+273.16)^4+($E101+273.16)^4)/2)*(0.34-0.14*SQRT($Y101))*(1.35*$AQ101/(0.75*$LD101)-0.35)</f>
        <v>-3.2464704755046001</v>
      </c>
      <c r="LQ101" s="170">
        <f ca="1">Control!$C$140*($G101+273)^4*(0.56-0.079*SQRT($Y101*10))*(0.1+0.9*$LO101)</f>
        <v>1.5241745131704001</v>
      </c>
      <c r="LR101" s="170">
        <f ca="1">$AQ101*(1-Control!$C$142)-$LQ101</f>
        <v>-1.5241745131704001</v>
      </c>
      <c r="LS101" s="170">
        <f ca="1">$AQ101*(1-Control!$C$143)-$LQ101</f>
        <v>-1.5241745131704001</v>
      </c>
      <c r="LT101" s="170">
        <f ca="1">$AQ101*(1-Control!$C$144)-$LQ101</f>
        <v>-1.5241745131704001</v>
      </c>
      <c r="LU101" s="169">
        <f ca="1">(1-Control!$C$144)*AQ101-LP101</f>
        <v>3.2464704755046001</v>
      </c>
      <c r="LV101" s="172">
        <f t="shared" ca="1" si="331"/>
        <v>0.79430000000000012</v>
      </c>
      <c r="LW101" s="170">
        <f t="shared" ca="1" si="332"/>
        <v>1.5886000000000002</v>
      </c>
      <c r="LX101" s="170">
        <f ca="1">($AC101*($LR101/Control!$C$141)+$LM101*$LV101)/($AC101+$LM101)</f>
        <v>0.23530094218323697</v>
      </c>
      <c r="LY101" s="170">
        <f ca="1">($AC101*($LS101/Control!$C$141)+$LM101*$LV101)/($AC101+$LM101)</f>
        <v>0.23530094218323697</v>
      </c>
      <c r="LZ101" s="170">
        <f t="shared" ca="1" si="333"/>
        <v>0.23530094218323697</v>
      </c>
      <c r="MA101" s="170">
        <f t="shared" ca="1" si="334"/>
        <v>0.23530094218323697</v>
      </c>
      <c r="MB101" s="170" t="e">
        <f t="shared" ca="1" si="335"/>
        <v>#N/A</v>
      </c>
      <c r="MC101" s="170">
        <f t="shared" ca="1" si="425"/>
        <v>0.6018</v>
      </c>
      <c r="MD101" s="170">
        <f t="shared" ca="1" si="336"/>
        <v>0.52989392535414004</v>
      </c>
      <c r="ME101" s="170">
        <f ca="1">($AC101*($LT101/Control!$C$141)+$LM101*$LW101)/($AC101+$LM101)</f>
        <v>0.71612369323045078</v>
      </c>
      <c r="MF101" s="170" t="e">
        <f ca="1">IF(Control!$B$16&gt;=1000,0.92,IF(AND(720&lt;=Control!$B$16,1000&gt;Control!$B$16),(0.95+(Control!$B$16-720)*((0.92-0.95)/(1000-720))),IF(AND(360&lt;=Control!$B$16,720&gt;Control!$B$16),(1+(Control!$B$16-360)*((0.95-1)/(720-360))),IF(AND(40&lt;=Control!$B$16,360&gt;Control!$B$16),(1.05+(Control!$B$16-40)*((1.05-1)/(360-40)))))))</f>
        <v>#N/A</v>
      </c>
      <c r="MG101" s="170">
        <f t="shared" ca="1" si="337"/>
        <v>0.71612369323045078</v>
      </c>
      <c r="MH101" s="170" t="e">
        <f t="shared" ca="1" si="462"/>
        <v>#N/A</v>
      </c>
      <c r="MI101" s="170" t="e">
        <f t="shared" ca="1" si="462"/>
        <v>#N/A</v>
      </c>
      <c r="MJ101" s="170" t="e">
        <f ca="1">MAX(0.0001, Control!$C$132*$MI101*$DL101)</f>
        <v>#N/A</v>
      </c>
      <c r="MK101" s="170">
        <f ca="1">1/(0.76+1.5*($MG101/10))-(5-Control!$C$110)*0.1</f>
        <v>1.002845988140797</v>
      </c>
      <c r="ML101" s="173">
        <f ca="1">IF(Control!$C$110&lt;3,$MK101+($MG101-0.6)/(Control!$C$110*(Control!$C$110+3)), MAX(0.1, MIN(0.95,$MK101)))</f>
        <v>0.95</v>
      </c>
      <c r="MM101" s="173">
        <f ca="1">IF(Control!$C$110&lt;3,$MK101+(($MI101/10)-0.6)/(Control!$C$110*(Control!$C$110+3)), MAX(0.1, MIN(0.95,$MK101)))</f>
        <v>0.95</v>
      </c>
      <c r="MN101" s="173">
        <f ca="1">(1-$MM101)*(Control!$C$128-Control!$C$127)+Control!$C$127</f>
        <v>0.16</v>
      </c>
      <c r="MO101" s="170" t="e">
        <f ca="1">MAX(0,MIN(1,($MS101-Control!$C$127)/($MN101-Control!$C$127)))</f>
        <v>#DIV/0!</v>
      </c>
      <c r="MP101" s="173" t="e">
        <f ca="1">1/(0.76+1.5*$MI101)-(5-Control!$C$110)*0.1</f>
        <v>#N/A</v>
      </c>
      <c r="MQ101" s="172" t="e">
        <f t="shared" ca="1" si="454"/>
        <v>#DIV/0!</v>
      </c>
      <c r="MR101" s="168" t="e">
        <f t="shared" ca="1" si="426"/>
        <v>#DIV/0!</v>
      </c>
      <c r="MS101" s="173" t="e">
        <f ca="1">MAX(Control!$C$127, MIN(Control!$C$135, $MR101/MAX(0.0001,$CY101)))</f>
        <v>#DIV/0!</v>
      </c>
      <c r="MT101" s="168" t="e">
        <f ca="1">(Control!$C$128-$MS101)*Control!$C$74</f>
        <v>#DIV/0!</v>
      </c>
      <c r="MU101" s="168" t="e">
        <f ca="1">(Control!$C$135-$MS101)*Control!$C$74</f>
        <v>#DIV/0!</v>
      </c>
      <c r="MV101" s="168" t="e">
        <f t="shared" ca="1" si="427"/>
        <v>#DIV/0!</v>
      </c>
      <c r="MW101" s="168" t="e">
        <f t="shared" ca="1" si="428"/>
        <v>#DIV/0!</v>
      </c>
      <c r="MX101" s="171" t="e">
        <f ca="1">MAX(Control!$C$127, MIN(Control!$C$135, $MW101/MAX(0.0001,Control!$C$119-$CY101)))</f>
        <v>#DIV/0!</v>
      </c>
      <c r="MY101" s="54" t="e">
        <f ca="1">IF(Control!$C$114=1, $CX101*$MX101, 0)</f>
        <v>#DIV/0!</v>
      </c>
      <c r="MZ101" s="54" t="e">
        <f t="shared" ca="1" si="429"/>
        <v>#N/A</v>
      </c>
      <c r="NA101" s="168" t="e">
        <f ca="1">(Control!$C$128-$MX101)*(Control!$C$119-Control!$C$74)</f>
        <v>#DIV/0!</v>
      </c>
      <c r="NB101" s="168" t="e">
        <f ca="1">(Control!$C$135-$MX101)*(Control!$C$119-Control!$C$74)</f>
        <v>#DIV/0!</v>
      </c>
      <c r="NC101" s="174" t="e">
        <f t="shared" ca="1" si="430"/>
        <v>#DIV/0!</v>
      </c>
      <c r="ND101" s="54">
        <f ca="1">IF(Control!$C$58=2, IF(OR(Control!$B$218=$AH101,Control!$B$219=$AH101, Control!$B$220=$AH101, Control!$B$221=$AH101, Control!$B$222=$AH101, Control!$B$223=$AH101, Control!$B$224=$AH101, Control!$B$225=$AH101, Control!$B$226=$AH101, Control!$B$227=$AH101, Control!$B$228=$AH101), 1, 0), 0)</f>
        <v>0</v>
      </c>
      <c r="NE101" s="54">
        <f ca="1">IF($ND101=0,0, VLOOKUP($AH101,Control!$B$218:$C$228,2))</f>
        <v>0</v>
      </c>
      <c r="NF101" s="168" t="e">
        <f ca="1">$CY101*(Control!$C$128-Control!$C$127)</f>
        <v>#N/A</v>
      </c>
      <c r="NG101" s="54" t="e">
        <f ca="1">IF(Control!$C$58=2, $NI100-$NJ100, 0)</f>
        <v>#DIV/0!</v>
      </c>
      <c r="NH101" s="54" t="e">
        <f ca="1">IF(AND(Control!$C$58=1, $MS100&lt;= ($MN100+0.02), $I100&lt;10), 0, IF(Control!$C$58=2, $NG100, 0))</f>
        <v>#DIV/0!</v>
      </c>
      <c r="NI101" s="54" t="e">
        <f ca="1">IF(Control!$C$58=2, $NE101+$NH101,0)</f>
        <v>#DIV/0!</v>
      </c>
      <c r="NJ101" s="54" t="e">
        <f ca="1">IF(AND(Control!$C$58=1, $MS101&lt;= ($MN101+0.02), $I101&lt;10), MAX(0, MIN(10, 0.7*($NF101-$MV101))), IF(Control!$C$58=2, MIN(10,$NI101),0))</f>
        <v>#DIV/0!</v>
      </c>
      <c r="NK101" s="54" t="e">
        <f t="shared" ca="1" si="338"/>
        <v>#DIV/0!</v>
      </c>
      <c r="NL101" s="173" t="e">
        <f ca="1">(1-Control!$C$73)*$I101+$NJ101</f>
        <v>#DIV/0!</v>
      </c>
      <c r="NM101" s="172" t="e">
        <f ca="1">IF($NL101&lt;0.5, $MB101* MAX(0, MIN(1, (SQRT($NC101)-SQRT($NC101-1))*Control!$C$71)),0)</f>
        <v>#DIV/0!</v>
      </c>
      <c r="NN101" s="170" t="e">
        <f ca="1">IF($NL101&gt;=5, $MB101, MAX(0,MIN($MB101, $NM101+$NL101,($MS101-Control!$C$129))))</f>
        <v>#DIV/0!</v>
      </c>
      <c r="NO101" s="54">
        <f>IF(Control!$C$133&lt;&gt;1, Control!$C$135-Control!$C$131, 0)</f>
        <v>0.38</v>
      </c>
      <c r="NP101" s="54" t="e">
        <f t="shared" ca="1" si="339"/>
        <v>#DIV/0!</v>
      </c>
      <c r="NQ101" s="173" t="e">
        <f ca="1">MAX(0,MIN(1,(Control!$C$135-$MS101)/(Control!$C$135-$NO101)))</f>
        <v>#DIV/0!</v>
      </c>
      <c r="NR101" s="170" t="e">
        <f ca="1">IF(Control!$C$133&lt;&gt;1, $NQ101+((1-$NP101/4)*(1-$NQ101)),1)</f>
        <v>#DIV/0!</v>
      </c>
      <c r="NS101" s="170" t="e">
        <f ca="1">IF(Control!$B$31=0,$MJ101,MAX(0,MIN($MV101,$MO101*$NR101*$MJ101)))</f>
        <v>#DIV/0!</v>
      </c>
      <c r="NT101" s="170" t="e">
        <f t="shared" ca="1" si="455"/>
        <v>#DIV/0!</v>
      </c>
      <c r="NU101" s="170" t="e">
        <f t="shared" ca="1" si="431"/>
        <v>#N/A</v>
      </c>
      <c r="NV101" s="170" t="e">
        <f t="shared" ca="1" si="340"/>
        <v>#N/A</v>
      </c>
      <c r="NW101" s="175" t="e">
        <f t="shared" ca="1" si="341"/>
        <v>#DIV/0!</v>
      </c>
      <c r="NX101" s="170" t="e">
        <f ca="1">MIN(Control!$C$72+$MU101, $NW101)</f>
        <v>#DIV/0!</v>
      </c>
      <c r="NY101" s="170" t="e">
        <f ca="1">IF($MT101&lt;=$NX101,MIN(Control!$C$72+$NB101,$NX101-$MT101),0)</f>
        <v>#DIV/0!</v>
      </c>
      <c r="NZ101" s="54" t="e">
        <f ca="1">IF(Control!$C$114=1,  $CX101*($MX101-Control!$C$127), 0)</f>
        <v>#DIV/0!</v>
      </c>
      <c r="OA101" s="170" t="e">
        <f t="shared" ca="1" si="342"/>
        <v>#DIV/0!</v>
      </c>
      <c r="OB101" s="170" t="e">
        <f ca="1">IF($NA101 &lt;=$NY101, MIN(Control!$C$72, $NY101-$NA101), 0)</f>
        <v>#DIV/0!</v>
      </c>
      <c r="OC101" s="168" t="e">
        <f t="shared" ca="1" si="343"/>
        <v>#DIV/0!</v>
      </c>
      <c r="OD101" s="168" t="e">
        <f t="shared" ca="1" si="432"/>
        <v>#DIV/0!</v>
      </c>
      <c r="OE101" s="170">
        <f ca="1">Control!$C$73*$I101</f>
        <v>0</v>
      </c>
      <c r="OF101" s="176" t="e">
        <f t="shared" ca="1" si="344"/>
        <v>#DIV/0!</v>
      </c>
      <c r="OG101" s="168" t="e">
        <f t="shared" ca="1" si="345"/>
        <v>#DIV/0!</v>
      </c>
      <c r="OH101" s="168" t="e">
        <f t="shared" ca="1" si="346"/>
        <v>#DIV/0!</v>
      </c>
      <c r="OI101" s="168" t="e">
        <f t="shared" ca="1" si="347"/>
        <v>#DIV/0!</v>
      </c>
      <c r="OJ101" s="168" t="e">
        <f t="shared" ca="1" si="348"/>
        <v>#DIV/0!</v>
      </c>
      <c r="OK101" s="204" t="e">
        <f t="shared" ca="1" si="349"/>
        <v>#DIV/0!</v>
      </c>
      <c r="OL101" s="177">
        <f>Control!$C$127</f>
        <v>0.15</v>
      </c>
      <c r="OM101" s="182" t="e">
        <f t="shared" ca="1" si="350"/>
        <v>#N/A</v>
      </c>
      <c r="ON101" s="177">
        <f>Control!$C$128</f>
        <v>0.35</v>
      </c>
      <c r="OO101" s="182" t="e">
        <f t="shared" ca="1" si="351"/>
        <v>#N/A</v>
      </c>
      <c r="OP101" s="138">
        <f t="shared" ca="1" si="433"/>
        <v>0</v>
      </c>
      <c r="OQ101" s="138" t="e">
        <f t="shared" ca="1" si="456"/>
        <v>#DIV/0!</v>
      </c>
      <c r="OR101" s="138" t="e">
        <f t="shared" ca="1" si="434"/>
        <v>#DIV/0!</v>
      </c>
      <c r="OS101" s="137" t="e">
        <f t="shared" ca="1" si="457"/>
        <v>#DIV/0!</v>
      </c>
      <c r="OT101" s="139" t="e">
        <f t="shared" ca="1" si="458"/>
        <v>#DIV/0!</v>
      </c>
      <c r="OU101" s="138" t="e">
        <f t="shared" ca="1" si="459"/>
        <v>#N/A</v>
      </c>
      <c r="OV101" s="138" t="e">
        <f t="shared" ca="1" si="460"/>
        <v>#DIV/0!</v>
      </c>
      <c r="OW101" s="138" t="e">
        <f t="shared" ca="1" si="435"/>
        <v>#DIV/0!</v>
      </c>
      <c r="OX101" s="138" t="e">
        <f t="shared" ca="1" si="436"/>
        <v>#DIV/0!</v>
      </c>
      <c r="OY101" s="138" t="e">
        <f t="shared" ca="1" si="437"/>
        <v>#DIV/0!</v>
      </c>
      <c r="OZ101" s="138" t="e">
        <f t="shared" ca="1" si="352"/>
        <v>#DIV/0!</v>
      </c>
      <c r="PA101" s="138" t="e">
        <f t="shared" ca="1" si="353"/>
        <v>#DIV/0!</v>
      </c>
      <c r="PB101" s="55">
        <f>IF(Control!$C$61="T", IF(Control!$C$65="F", IF($AH$6-Control!$C$60&lt;0,0,1), IF(365+$AH$6-Control!$C$60&lt;0,0,1)),0)</f>
        <v>0</v>
      </c>
      <c r="PC101" s="55">
        <f ca="1">IF(Control!$C$65="F", IF($AH$6-$HF101&lt;0,0,1), IF(365+$AH$6-$HF101&lt;0,0,1))</f>
        <v>1</v>
      </c>
      <c r="PD101" s="444">
        <f>Control!$C$118</f>
        <v>1500</v>
      </c>
      <c r="PE101" s="180" t="e">
        <f t="shared" ca="1" si="354"/>
        <v>#N/A</v>
      </c>
      <c r="PF101" s="445">
        <f t="shared" ca="1" si="438"/>
        <v>0.71612369323045078</v>
      </c>
      <c r="PT101" s="186"/>
      <c r="PU101" s="186"/>
      <c r="PV101" s="94"/>
      <c r="PW101" s="94"/>
      <c r="PX101" s="94"/>
      <c r="PY101" s="94"/>
      <c r="PZ101" s="94"/>
      <c r="QA101" s="94"/>
      <c r="QB101" s="94"/>
      <c r="QC101" s="94"/>
      <c r="QD101" s="94"/>
      <c r="QE101" s="94"/>
      <c r="QF101" s="94"/>
      <c r="QG101" s="94"/>
      <c r="QH101" s="94"/>
      <c r="QI101" s="94"/>
      <c r="QJ101" s="94"/>
      <c r="QK101" s="94"/>
      <c r="QL101" s="94"/>
      <c r="QM101" s="94"/>
      <c r="QN101" s="94"/>
      <c r="QO101" s="94"/>
      <c r="QP101" s="94"/>
    </row>
    <row r="102" spans="1:458" s="2" customFormat="1" x14ac:dyDescent="0.2">
      <c r="A102" s="395">
        <v>7</v>
      </c>
      <c r="B102" s="396">
        <v>4</v>
      </c>
      <c r="C102" s="387">
        <f ca="1">Weather_data!$B101</f>
        <v>0</v>
      </c>
      <c r="D102" s="388">
        <f ca="1">Weather_data!$F101</f>
        <v>0</v>
      </c>
      <c r="E102" s="388">
        <f ca="1">Weather_data!$E101</f>
        <v>0</v>
      </c>
      <c r="F102" s="388">
        <f t="shared" ca="1" si="355"/>
        <v>0</v>
      </c>
      <c r="G102" s="388">
        <f ca="1">AVERAGE($D102:$E102)+Control!$B$9</f>
        <v>0</v>
      </c>
      <c r="H102" s="388">
        <f ca="1">Weather_data!$G101</f>
        <v>0</v>
      </c>
      <c r="I102" s="388">
        <f ca="1">Weather_data!$I101</f>
        <v>0</v>
      </c>
      <c r="J102" s="388">
        <f ca="1">Weather_data!$H101</f>
        <v>0</v>
      </c>
      <c r="K102" s="389">
        <f ca="1">Weather_data!$D101</f>
        <v>0</v>
      </c>
      <c r="L102" s="388" t="e">
        <f t="shared" ca="1" si="356"/>
        <v>#N/A</v>
      </c>
      <c r="M102" s="388" t="e">
        <f t="shared" ca="1" si="234"/>
        <v>#N/A</v>
      </c>
      <c r="N102" s="388">
        <f t="shared" ca="1" si="235"/>
        <v>-2.024188301142164E-5</v>
      </c>
      <c r="O102" s="388">
        <f t="shared" ca="1" si="357"/>
        <v>2.0241883011421641E-4</v>
      </c>
      <c r="P102" s="390">
        <v>3</v>
      </c>
      <c r="Q102" s="388">
        <f ca="1">MAX($G102-Control!$C$107,0)</f>
        <v>0</v>
      </c>
      <c r="R102" s="388">
        <f t="shared" ca="1" si="358"/>
        <v>0</v>
      </c>
      <c r="S102" s="388">
        <f t="shared" ca="1" si="236"/>
        <v>0</v>
      </c>
      <c r="T102" s="388">
        <f t="shared" ca="1" si="237"/>
        <v>0</v>
      </c>
      <c r="U102" s="59">
        <f t="shared" ca="1" si="238"/>
        <v>0</v>
      </c>
      <c r="V102" s="391">
        <f ca="1">MAX(0,MIN(Control!$C$100-Control!$C$99,$G102-Control!$C$99)*Control!$C$63)</f>
        <v>0</v>
      </c>
      <c r="W102" s="388">
        <f t="shared" ca="1" si="359"/>
        <v>0</v>
      </c>
      <c r="X102" s="388">
        <f t="shared" ca="1" si="360"/>
        <v>0.6110000000000001</v>
      </c>
      <c r="Y102" s="388">
        <f t="shared" ca="1" si="239"/>
        <v>0</v>
      </c>
      <c r="Z102" s="388">
        <f t="shared" ca="1" si="361"/>
        <v>0.61058800000000002</v>
      </c>
      <c r="AA102" s="388">
        <f t="shared" ca="1" si="240"/>
        <v>0.6018</v>
      </c>
      <c r="AB102" s="388">
        <f ca="1">101.3*EXP(-0.034*Control!$C$66/($G102+273))</f>
        <v>100.69623283836242</v>
      </c>
      <c r="AC102" s="392">
        <f t="shared" ca="1" si="241"/>
        <v>4.3460251046025113E-2</v>
      </c>
      <c r="AD102" s="392">
        <f t="shared" ca="1" si="242"/>
        <v>4.4450382862832649E-2</v>
      </c>
      <c r="AE102" s="388">
        <f t="shared" ca="1" si="243"/>
        <v>0</v>
      </c>
      <c r="AF102" s="388">
        <f ca="1">MAX(0,$G102-Control!$C$92)</f>
        <v>0</v>
      </c>
      <c r="AG102" s="393">
        <f t="shared" ca="1" si="244"/>
        <v>98</v>
      </c>
      <c r="AH102" s="389">
        <f t="shared" ca="1" si="245"/>
        <v>98</v>
      </c>
      <c r="AI102" s="388">
        <f t="shared" ca="1" si="362"/>
        <v>0.11340518043617971</v>
      </c>
      <c r="AJ102" s="388">
        <f ca="1">IF(Control!$C$60&lt;=0,$HH102,$HI102)</f>
        <v>1</v>
      </c>
      <c r="AK102" s="388">
        <f t="shared" ca="1" si="246"/>
        <v>0.30985571377871934</v>
      </c>
      <c r="AL102" s="388">
        <f t="shared" ca="1" si="247"/>
        <v>-4.3279650696614883E-18</v>
      </c>
      <c r="AM102" s="388">
        <f t="shared" ca="1" si="248"/>
        <v>0.30985571377871934</v>
      </c>
      <c r="AN102" s="388">
        <f t="shared" ca="1" si="249"/>
        <v>0.12159709451725689</v>
      </c>
      <c r="AO102" s="388">
        <f ca="1">-0.10453/COS(Control!$B$8*PI()/180)*COS(AN102)</f>
        <v>-0.16853120302160376</v>
      </c>
      <c r="AP102" s="388">
        <f ca="1">ACOS(AO102-TAN(Control!$B$8*PI()/180)*TAN(AN102))</f>
        <v>1.9017446398994893</v>
      </c>
      <c r="AQ102" s="388">
        <f t="shared" ca="1" si="363"/>
        <v>0</v>
      </c>
      <c r="AR102" s="394">
        <f t="shared" ca="1" si="250"/>
        <v>0</v>
      </c>
      <c r="AS102" s="436">
        <f ca="1">IF(Control!$B$18=2,(IF(OR($AH102=Control!$B$175,$AH102=Control!$B$176,$AH102=Control!$B$177,$AH102=Control!$B$178,$AH102=Control!$B$179,$AH102=Control!$B$180,$AH102=Control!$B$181,$AH102=Control!$B$182,$AH102=Control!$B$183,$AH102=Control!$B$184,$AH102=Control!$B$185),1,0)),0)</f>
        <v>0</v>
      </c>
      <c r="AT102" s="436">
        <f>IF(Control!$B$20=8,IF(AND($AH102&gt;=Control!$B$172,$AH102&lt;=Control!$B$173),1,0),0)</f>
        <v>0</v>
      </c>
      <c r="AU102" s="436">
        <f>IF(Control!$B$20=8,IF($AV101=1,1*$AT102,IF($AT102=1,$AU101+1,$AU101)),0)</f>
        <v>0</v>
      </c>
      <c r="AV102" s="436">
        <f>IF(Control!$B$20=8,IF($AU102&gt;=Control!$B$174,1,0),0)</f>
        <v>0</v>
      </c>
      <c r="AW102" s="436">
        <f ca="1">IF(AND(Control!$B$18=2,Control!$B$171=1), $AV102, $AS102)</f>
        <v>0</v>
      </c>
      <c r="AX102" s="436" t="e">
        <f ca="1">IF(AND(Control!$B$18=1,$EU102&gt;=Control!$B$19),-$AY102,IF(AND(Control!$B$18=2,$AW102=1,$EU102&gt;$DS102),-$AY102, IF(Control!$C$108=0,0, IF(Control!$C$108&lt;&gt;0,1))))</f>
        <v>#N/A</v>
      </c>
      <c r="AY102" s="436" t="e">
        <f t="shared" ca="1" si="364"/>
        <v>#N/A</v>
      </c>
      <c r="AZ102" s="436" t="e">
        <f ca="1">IF(AND(Control!$B$18=1,$EB102&gt;Control!$B$19),$AZ101+1, IF(AND(Control!$B$18=2, $AW102=1, $EB102&gt;$DS102), $AZ101+1,$AZ101))</f>
        <v>#N/A</v>
      </c>
      <c r="BA102" s="587">
        <f>IF(Control!$C$81=0,1,IF($AH102&gt;=Control!$C$82,1,0))</f>
        <v>1</v>
      </c>
      <c r="BB102" s="140" t="e">
        <f ca="1">IF($BA102&gt;$BA101,Control!$C$83,IF($AW102&gt;0,$AW102*Control!$C$84,IF(AND(Control!$B$18=1,EN101&lt;&gt;0),Control!$C$84,0)))</f>
        <v>#N/A</v>
      </c>
      <c r="BC102" s="140" t="e">
        <f t="shared" ca="1" si="365"/>
        <v>#N/A</v>
      </c>
      <c r="BD102" s="140" t="e">
        <f ca="1">BC102*IF(OR($G102&lt;Control!$C$92,$G102&gt;Control!$C$95),0,IF(AND($G102&gt;=Control!$C$92,$G102&lt;=Control!$C$93),$G102-Control!$C$92,IF(AND($G102&gt;Control!$C$93,$G102&lt;=Control!$C$94),Control!$C$93-Control!$C$92,IF(AND($G102&gt;Control!$C$94,$G102&lt;=Control!$C$95),(Control!$C$93-Control!$C$92)*(Control!$C$94-$G102)/(Control!$C$95-Control!$C$94)))))</f>
        <v>#N/A</v>
      </c>
      <c r="BE102" s="140" t="e">
        <f t="shared" ca="1" si="366"/>
        <v>#N/A</v>
      </c>
      <c r="BF102" s="140" t="e">
        <f ca="1">IF($BE102&lt;=Control!$C$86,$BE102,Control!$C$86-$BE102)</f>
        <v>#N/A</v>
      </c>
      <c r="BG102" s="140" t="e">
        <f ca="1">IF(AND($AW102=1,Control!$C$84&lt;9),1,IF($BE102&gt;=Control!$C$86,0,$BC102))</f>
        <v>#N/A</v>
      </c>
      <c r="BH102" s="404" t="e">
        <f ca="1">IF($BG102=0,0,IF($BE102&lt;=Control!$C$86,$BC102*9*($BF102/Control!$C$86),0))</f>
        <v>#N/A</v>
      </c>
      <c r="BI102" s="140" t="e">
        <f ca="1">IF($BG102=1,0,IF($BE102&gt;=Control!$C$86,1,IF(AND($BB102&lt;21,$BB102&gt;=9),1,$BM101)))</f>
        <v>#N/A</v>
      </c>
      <c r="BJ102" s="140" t="e">
        <f ca="1">IF($BF102&lt;0,-$BF102,$BI102*IF(OR($G102&lt;Control!$C$92,$G102&gt;Control!$C$95),0,IF(AND($G102&gt;=Control!$C$92,$G102&lt;=Control!$C$93),$G102-Control!$C$92,IF(AND($G102&gt;Control!$C$93,$G102&lt;=Control!$C$94),Control!$C$93-Control!$C$92,IF(AND($G102&gt;Control!$C$94,$G102&lt;=Control!$C$95),(Control!$C$93-Control!$C$92)*(Control!$C$94-$G102)/(Control!$C$95-Control!$C$94))))))</f>
        <v>#N/A</v>
      </c>
      <c r="BK102" s="140" t="e">
        <f t="shared" ca="1" si="367"/>
        <v>#N/A</v>
      </c>
      <c r="BL102" s="140" t="e">
        <f ca="1">IF($BK102&lt;=Control!$C$87,$BK102,Control!$C$87-$BK102)</f>
        <v>#N/A</v>
      </c>
      <c r="BM102" s="140" t="e">
        <f ca="1">IF(AND($BB102&gt;=9,$BB102&lt;21),1,IF($BK102&gt;=Control!$C$87,0,$BI102))</f>
        <v>#N/A</v>
      </c>
      <c r="BN102" s="404" t="e">
        <f ca="1">IF($BM102=0,0,IF($BK102&lt;=Control!$C$87,$BI102*(9+(21-9)*($BL102/Control!$C$87)),0))</f>
        <v>#N/A</v>
      </c>
      <c r="BO102" s="140" t="e">
        <f ca="1">IF($BM102=1,0,IF($BK102&gt;=Control!$C$87,1,IF(AND($BB102&lt;30,$BB102&gt;=21),1,$BS101)))</f>
        <v>#N/A</v>
      </c>
      <c r="BP102" s="140" t="e">
        <f ca="1">IF($BL102&lt;0,-$BL102,$BO102*IF(OR($G102&lt;Control!$C$92,$G102&gt;Control!$C$95),0,IF(AND($G102&gt;=Control!$C$92,$G102&lt;=Control!$C$93),$G102-Control!$C$92,IF(AND($G102&gt;Control!$C$93,$G102&lt;=Control!$C$94),Control!$C$93-Control!$C$92,IF(AND($G102&gt;Control!$C$94,$G102&lt;=Control!$C$95),(Control!$C$93-Control!$C$92)*(Control!$C$94-$G102)/(Control!$C$95-Control!$C$94))))))</f>
        <v>#N/A</v>
      </c>
      <c r="BQ102" s="140" t="e">
        <f t="shared" ca="1" si="251"/>
        <v>#N/A</v>
      </c>
      <c r="BR102" s="140" t="e">
        <f ca="1">IF($BQ102&lt;=Control!$C$88,$BQ102,Control!$C$88-$BQ102)</f>
        <v>#N/A</v>
      </c>
      <c r="BS102" s="140" t="e">
        <f ca="1">IF(AND($BB102&gt;=21,$BB102&lt;30),1,IF($BQ102&gt;=Control!$C$88,0,$BO102))</f>
        <v>#N/A</v>
      </c>
      <c r="BT102" s="404" t="e">
        <f ca="1">IF($BS102=0,0,IF($BQ102&lt;=Control!$C$88,$BO102*(21+(30-21)*(BR102/Control!$C$88)),0))</f>
        <v>#N/A</v>
      </c>
      <c r="BU102" s="140" t="e">
        <f ca="1">IF(BG102+BM102+BS102=1,0,IF(OR(AND($BB102&lt;60,$BB102&gt;=30),$BQ102&gt;=Control!$C$88),1*$BA102,$BY101))</f>
        <v>#N/A</v>
      </c>
      <c r="BV102" s="140" t="e">
        <f ca="1">IF($BR102&lt;0,-$BR102,$BU102*IF(OR($G102&lt;Control!$C$92,$G102&gt;Control!$C$95),0,IF(AND($G102&gt;=Control!$C$92,$G102&lt;=Control!$C$93),$G102-Control!$C$92,IF(AND($G102&gt;Control!$C$93,$G102&lt;=Control!$C$94),Control!$C$93-Control!$C$92,IF(AND($G102&gt;Control!$C$94,$G102&lt;=Control!$C$95),(Control!$C$93-Control!$C$92)*(Control!$C$94-$G102)/(Control!$C$95-Control!$C$94))))))</f>
        <v>#N/A</v>
      </c>
      <c r="BW102" s="140" t="e">
        <f t="shared" ca="1" si="252"/>
        <v>#N/A</v>
      </c>
      <c r="BX102" s="140" t="e">
        <f ca="1">IF($BW102&lt;=Control!$C$89,$BW102,Control!$C$89-$BW102)</f>
        <v>#N/A</v>
      </c>
      <c r="BY102" s="140" t="e">
        <f ca="1">IF(AND($AJ102&gt;=30,$AJ102&lt;60),1,IF($BW102&gt;=Control!$C$89,0,$BU102))</f>
        <v>#N/A</v>
      </c>
      <c r="BZ102" s="404" t="e">
        <f ca="1">IF($BY102=0,0,IF($BW102&lt;=Control!$C$89,$BU102*(30+(60-30)*(BX102/Control!$C$89)),0))</f>
        <v>#N/A</v>
      </c>
      <c r="CA102" s="140" t="e">
        <f ca="1">IF($BG102+$BM102+$BS102+$BY102=1,0,IF(OR(AND($BB102&lt;65,$BB102&gt;=60),$BW102&gt;=Control!$C$89),1*$BA102,$CE101))</f>
        <v>#N/A</v>
      </c>
      <c r="CB102" s="140" t="e">
        <f ca="1">IF($BX102&lt;0,-$BX102,$CA102*IF(OR($G102&lt;Control!$C$92,$G102&gt;Control!$C$95),0,IF(AND($G102&gt;=Control!$C$92,$G102&lt;=Control!$C$93),$G102-Control!$C$92,IF(AND($G102&gt;Control!$C$93,$G102&lt;=Control!$C$94),Control!$C$93-Control!$C$92,IF(AND($G102&gt;Control!$C$94,$G102&lt;=Control!$C$95),(Control!$C$93-Control!$C$92)*(Control!$C$94-$G102)/(Control!$C$95-Control!$C$94))))))</f>
        <v>#N/A</v>
      </c>
      <c r="CC102" s="140" t="e">
        <f t="shared" ca="1" si="368"/>
        <v>#N/A</v>
      </c>
      <c r="CD102" s="140" t="e">
        <f ca="1">IF($CC102&lt;=Control!$C$90,$CC102,Control!$C$90-$CC102)</f>
        <v>#N/A</v>
      </c>
      <c r="CE102" s="140" t="e">
        <f ca="1">IF(AND($BB102&gt;=60,$BB102&lt;65),1,IF($CC102&gt;=Control!$C$90,0,$CA102))</f>
        <v>#N/A</v>
      </c>
      <c r="CF102" s="404" t="e">
        <f ca="1">IF($CE102=0,0,IF($CC102&lt;=Control!$C$90,$CA102*(60+(65-60)*(CD102/Control!$C$90)),0))</f>
        <v>#N/A</v>
      </c>
      <c r="CG102" s="140" t="e">
        <f ca="1">IF($BG102+$BM102+$BS102+$BY102+$CE102=1,0,IF(OR(AND($BB102&lt;90,$BB102&gt;=65),$CC102&gt;=Control!$C$90),$BA102,$CK101))</f>
        <v>#N/A</v>
      </c>
      <c r="CH102" s="140" t="e">
        <f ca="1">IF($CD102&lt;0,-$CD102,$CG102*IF(OR($G102&lt;Control!$C$92,$G102&gt;Control!$C$95),0,IF(AND($G102&gt;=Control!$C$92,$G102&lt;=Control!$C$93),$G102-Control!$C$92,IF(AND($G102&gt;Control!$C$93,$G102&lt;=Control!$C$94),Control!$C$93-Control!$C$92,IF(AND($G102&gt;Control!$C$94,$G102&lt;=Control!$C$95),(Control!$C$93-Control!$C$92)*(Control!$C$94-$G102)/(Control!$C$95-Control!$C$94))))))</f>
        <v>#N/A</v>
      </c>
      <c r="CI102" s="140" t="e">
        <f t="shared" ca="1" si="369"/>
        <v>#N/A</v>
      </c>
      <c r="CJ102" s="140" t="e">
        <f ca="1">IF($CI102&lt;=Control!$C$91,$CI102,Control!$C$91-$CI102)</f>
        <v>#N/A</v>
      </c>
      <c r="CK102" s="140" t="e">
        <f ca="1">IF(AND($BB102&gt;=65,$BB102&lt;90),1,IF($CI102&gt;=Control!$C$91,0,$CG102))</f>
        <v>#N/A</v>
      </c>
      <c r="CL102" s="404" t="e">
        <f ca="1">IF($CK102=0,0,IF($CI102&lt;=Control!$C$91,$CG102*(65+(90-65)*($CJ102/Control!$C$91)),0))</f>
        <v>#N/A</v>
      </c>
      <c r="CM102" s="140" t="e">
        <f ca="1">IF($BG102+$BM102+$BS102+$BY102+$CE102+$CK102=1,0,IF(OR($BB102&gt;=90,$CI102&gt;=Control!$C$91),$BA102,$CM101))</f>
        <v>#N/A</v>
      </c>
      <c r="CN102" s="140" t="e">
        <f t="shared" ca="1" si="370"/>
        <v>#N/A</v>
      </c>
      <c r="CO102" s="140" t="e">
        <f t="shared" ca="1" si="371"/>
        <v>#N/A</v>
      </c>
      <c r="CP102" s="140" t="e">
        <f t="shared" ca="1" si="372"/>
        <v>#N/A</v>
      </c>
      <c r="CQ102" s="141" t="e">
        <f ca="1">VLOOKUP($CP102,Control!$B$86:$G$91,6)</f>
        <v>#N/A</v>
      </c>
      <c r="CR102" s="141" t="e">
        <f ca="1">(1-$CQ102)*VLOOKUP($CP102,Control!$B$86:$D$91,3)</f>
        <v>#N/A</v>
      </c>
      <c r="CS102" s="141" t="e">
        <f ca="1">(1-$CQ102)*VLOOKUP($CP102,Control!$B$86:$E$91,4)</f>
        <v>#N/A</v>
      </c>
      <c r="CT102" s="141" t="e">
        <f ca="1">(1-$CQ102)*VLOOKUP($CP102,Control!$B$86:$F$91,5)</f>
        <v>#N/A</v>
      </c>
      <c r="CU102" s="141">
        <f t="shared" ca="1" si="373"/>
        <v>0</v>
      </c>
      <c r="CV102" s="583">
        <f t="shared" ca="1" si="374"/>
        <v>0</v>
      </c>
      <c r="CW102" s="142">
        <f t="shared" ca="1" si="375"/>
        <v>98</v>
      </c>
      <c r="CX102" s="612" t="e">
        <f ca="1">IF(Control!$C$114=1,(MIN(Control!$C$120*(IF($NT102-0.01&lt;0,0,1)),Control!$C$119-$CY102)))</f>
        <v>#DIV/0!</v>
      </c>
      <c r="CY102" s="143" t="e">
        <f t="shared" ca="1" si="376"/>
        <v>#N/A</v>
      </c>
      <c r="CZ102" s="144">
        <f t="shared" ca="1" si="253"/>
        <v>0</v>
      </c>
      <c r="DA102" s="144">
        <f t="shared" ca="1" si="254"/>
        <v>0</v>
      </c>
      <c r="DB102" s="144" t="e">
        <f t="shared" ca="1" si="255"/>
        <v>#N/A</v>
      </c>
      <c r="DC102" s="144" t="e">
        <f t="shared" ca="1" si="256"/>
        <v>#N/A</v>
      </c>
      <c r="DD102" s="144" t="e">
        <f t="shared" ca="1" si="461"/>
        <v>#N/A</v>
      </c>
      <c r="DE102" s="143" t="e">
        <f t="shared" ca="1" si="377"/>
        <v>#N/A</v>
      </c>
      <c r="DF102" s="145" t="e">
        <f ca="1">$DR102*EXP(-Control!$C$158*(1-$KH102))</f>
        <v>#N/A</v>
      </c>
      <c r="DG102" s="146" t="e">
        <f ca="1">IF(Control!$C$114=1, $DF102*$EY102, 0)</f>
        <v>#N/A</v>
      </c>
      <c r="DH102" s="147" t="e">
        <f t="shared" ca="1" si="378"/>
        <v>#N/A</v>
      </c>
      <c r="DI102" s="144" t="e">
        <f t="shared" ca="1" si="439"/>
        <v>#N/A</v>
      </c>
      <c r="DJ102" s="147" t="e">
        <f ca="1">$EF102*Control!$C$109</f>
        <v>#N/A</v>
      </c>
      <c r="DK102" s="144" t="e">
        <f t="shared" ca="1" si="379"/>
        <v>#N/A</v>
      </c>
      <c r="DL102" s="144" t="e">
        <f t="shared" ca="1" si="257"/>
        <v>#N/A</v>
      </c>
      <c r="DM102" s="144" t="e">
        <f ca="1">IF(Control!$C$114=1, (1-EXP(-Control!$C$96*$DK102))*$AR102, 0)</f>
        <v>#N/A</v>
      </c>
      <c r="DN102" s="144">
        <f t="shared" ca="1" si="380"/>
        <v>0</v>
      </c>
      <c r="DO102" s="148">
        <f>Control!$C$97</f>
        <v>4</v>
      </c>
      <c r="DP102" s="145" t="e">
        <f t="shared" ca="1" si="381"/>
        <v>#N/A</v>
      </c>
      <c r="DQ102" s="145" t="e">
        <f ca="1">IF(AND($CP102&gt;=0,$CP102&lt;=90),Control!$C$111,Control!$C$111)</f>
        <v>#N/A</v>
      </c>
      <c r="DR102" s="145" t="e">
        <f t="shared" ca="1" si="258"/>
        <v>#N/A</v>
      </c>
      <c r="DS102" s="143" t="e">
        <f ca="1">Control!$B$22/$DR102</f>
        <v>#N/A</v>
      </c>
      <c r="DT102" s="149" t="e">
        <f ca="1">IF(AND(Control!$C$114=1,$KH102&lt;1),$IM102*$DF102, 0)</f>
        <v>#N/A</v>
      </c>
      <c r="DU102" s="144" t="e">
        <f t="shared" ca="1" si="382"/>
        <v>#N/A</v>
      </c>
      <c r="DV102" s="144">
        <f ca="1">IF($G102-Control!$C$107&lt;=0, 0, 0.83*LN(MAX($G102, 3))-0.8924)</f>
        <v>0</v>
      </c>
      <c r="DW102" s="144" t="e">
        <f t="shared" ca="1" si="259"/>
        <v>#N/A</v>
      </c>
      <c r="DX102" s="150" t="e">
        <f ca="1">MAX(0.01*(1+$CU102/Control!$C$102),0.05*($DK102-Control!$C$97)/Control!$C$97)</f>
        <v>#N/A</v>
      </c>
      <c r="DY102" s="151" t="e">
        <f ca="1">IF(Control!$C$114=1, $DI102*$FS102, 0)</f>
        <v>#N/A</v>
      </c>
      <c r="DZ102" s="196" t="e">
        <f t="shared" ca="1" si="383"/>
        <v>#N/A</v>
      </c>
      <c r="EA102" s="152">
        <f t="shared" ca="1" si="384"/>
        <v>98</v>
      </c>
      <c r="EB102" s="153" t="e">
        <f t="shared" ca="1" si="385"/>
        <v>#N/A</v>
      </c>
      <c r="EC102" s="153" t="e">
        <f t="shared" ca="1" si="386"/>
        <v>#N/A</v>
      </c>
      <c r="ED102" s="154" t="e">
        <f ca="1">IF(Control!$C$114=1, $HM102*$FY102-$FD102, 0)</f>
        <v>#DIV/0!</v>
      </c>
      <c r="EE102" s="155" t="e">
        <f ca="1">IF(Control!$C$114=1, $HM102*$FZ102-$FF102, 0)</f>
        <v>#DIV/0!</v>
      </c>
      <c r="EF102" s="153" t="e">
        <f t="shared" ca="1" si="440"/>
        <v>#N/A</v>
      </c>
      <c r="EG102" s="155" t="e">
        <f ca="1">IF(Control!$C$114=1, $GX102*$FW102-$FI102, 0)</f>
        <v>#DIV/0!</v>
      </c>
      <c r="EH102" s="153" t="e">
        <f t="shared" ca="1" si="387"/>
        <v>#N/A</v>
      </c>
      <c r="EI102" s="156" t="e">
        <f t="shared" ca="1" si="388"/>
        <v>#N/A</v>
      </c>
      <c r="EJ102" s="155" t="e">
        <f ca="1">IF(Control!$C$114=1, $HM102*$GB102, 0)</f>
        <v>#DIV/0!</v>
      </c>
      <c r="EK102" s="153" t="e">
        <f t="shared" ca="1" si="441"/>
        <v>#N/A</v>
      </c>
      <c r="EL102" s="153" t="e">
        <f t="shared" ca="1" si="260"/>
        <v>#N/A</v>
      </c>
      <c r="EM102" s="153" t="e">
        <f t="shared" ca="1" si="261"/>
        <v>#N/A</v>
      </c>
      <c r="EN102" s="153" t="e">
        <f ca="1">IF(Control!$C$108=1,IF(AND(Control!$B$18=1,$EB102&gt;=Control!$B$19),$EB102-$DS102,IF(AND(Control!$B$18=2,$AW102=1,$EB102&gt;$DS102),$EB102-$DS102,0)))</f>
        <v>#N/A</v>
      </c>
      <c r="EO102" s="153" t="e">
        <f ca="1">IF(Control!$C$108=1,IF(AND(Control!$B$18=1,$EB102&gt;=Control!$B$19),$EF102,IF(AND(Control!$B$18=2,$AW102=1),$EF102,0)))</f>
        <v>#N/A</v>
      </c>
      <c r="EP102" s="153" t="e">
        <f ca="1">IF(Control!$C$108=1,IF(AND(Control!$B$18=1,$EB102&gt;=Control!$B$19),$EK102,IF(AND(Control!$B$18=2,$AW102=1),$EK102,0)))</f>
        <v>#N/A</v>
      </c>
      <c r="EQ102" s="153" t="e">
        <f t="shared" ca="1" si="389"/>
        <v>#N/A</v>
      </c>
      <c r="ER102" s="153" t="e">
        <f t="shared" ca="1" si="390"/>
        <v>#N/A</v>
      </c>
      <c r="ES102" s="153" t="e">
        <f t="shared" ca="1" si="442"/>
        <v>#N/A</v>
      </c>
      <c r="ET102" s="153" t="e">
        <f t="shared" ca="1" si="443"/>
        <v>#N/A</v>
      </c>
      <c r="EU102" s="153" t="e">
        <f t="shared" ca="1" si="391"/>
        <v>#N/A</v>
      </c>
      <c r="EV102" s="153" t="e">
        <f t="shared" ca="1" si="262"/>
        <v>#N/A</v>
      </c>
      <c r="EW102" s="153" t="e">
        <f t="shared" ca="1" si="263"/>
        <v>#N/A</v>
      </c>
      <c r="EX102" s="153" t="e">
        <f t="shared" ca="1" si="264"/>
        <v>#N/A</v>
      </c>
      <c r="EY102" s="157" t="e">
        <f t="shared" ca="1" si="265"/>
        <v>#DIV/0!</v>
      </c>
      <c r="EZ102" s="154" t="e">
        <f t="shared" ca="1" si="266"/>
        <v>#DIV/0!</v>
      </c>
      <c r="FA102" s="153" t="e">
        <f t="shared" ca="1" si="392"/>
        <v>#N/A</v>
      </c>
      <c r="FB102" s="153" t="e">
        <f t="shared" ca="1" si="267"/>
        <v>#N/A</v>
      </c>
      <c r="FC102" s="193" t="e">
        <f t="shared" ca="1" si="268"/>
        <v>#N/A</v>
      </c>
      <c r="FD102" s="158" t="e">
        <f t="shared" ca="1" si="393"/>
        <v>#N/A</v>
      </c>
      <c r="FE102" s="158" t="e">
        <f t="shared" ca="1" si="394"/>
        <v>#N/A</v>
      </c>
      <c r="FF102" s="159" t="e">
        <f t="shared" ca="1" si="269"/>
        <v>#N/A</v>
      </c>
      <c r="FG102" s="160" t="e">
        <f t="shared" ca="1" si="395"/>
        <v>#N/A</v>
      </c>
      <c r="FH102" s="158" t="e">
        <f t="shared" ca="1" si="396"/>
        <v>#N/A</v>
      </c>
      <c r="FI102" s="159" t="e">
        <f t="shared" ca="1" si="270"/>
        <v>#N/A</v>
      </c>
      <c r="FJ102" s="160" t="e">
        <f t="shared" ca="1" si="397"/>
        <v>#N/A</v>
      </c>
      <c r="FK102" s="160" t="e">
        <f t="shared" ca="1" si="271"/>
        <v>#N/A</v>
      </c>
      <c r="FL102" s="160" t="e">
        <f t="shared" ca="1" si="444"/>
        <v>#N/A</v>
      </c>
      <c r="FM102" s="160" t="e">
        <f t="shared" ca="1" si="272"/>
        <v>#N/A</v>
      </c>
      <c r="FN102" s="158">
        <f t="shared" ca="1" si="398"/>
        <v>0.01</v>
      </c>
      <c r="FO102" s="160">
        <f>Control!$C$101</f>
        <v>50</v>
      </c>
      <c r="FP102" s="150" t="e">
        <f t="shared" ca="1" si="273"/>
        <v>#N/A</v>
      </c>
      <c r="FQ102" s="150" t="e">
        <f ca="1">MAX(0,(Control!$C$112*(($DK102-Control!$C$97)/Control!$C$97)))</f>
        <v>#N/A</v>
      </c>
      <c r="FR102" s="150" t="e">
        <f ca="1">(1-$NT102)*Control!$C$113</f>
        <v>#DIV/0!</v>
      </c>
      <c r="FS102" s="198" t="e">
        <f t="shared" ca="1" si="274"/>
        <v>#N/A</v>
      </c>
      <c r="FT102" s="161">
        <f t="shared" ca="1" si="399"/>
        <v>98</v>
      </c>
      <c r="FU102" s="162" t="e">
        <f ca="1">IF(Control!$B$34=1,VLOOKUP($CP102,Control!$B$86:$G$91,6),Control!$B$35)</f>
        <v>#N/A</v>
      </c>
      <c r="FV102" s="162" t="e">
        <f t="shared" ca="1" si="275"/>
        <v>#DIV/0!</v>
      </c>
      <c r="FW102" s="162" t="e">
        <f ca="1">IF(Control!$B$31=1,$FU102*$FV102,  $FU102)</f>
        <v>#N/A</v>
      </c>
      <c r="FX102" s="162" t="e">
        <f ca="1">IF(Control!$B$34=1,VLOOKUP($CP102,Control!$B$86:$G$91,3),Control!$B$36)</f>
        <v>#N/A</v>
      </c>
      <c r="FY102" s="162" t="e">
        <f t="shared" ca="1" si="276"/>
        <v>#N/A</v>
      </c>
      <c r="FZ102" s="162" t="e">
        <f ca="1">IF(Control!$B$34=1,VLOOKUP($CP102,Control!$B$86:$G$91,4),Control!$B$37)</f>
        <v>#N/A</v>
      </c>
      <c r="GA102" s="162" t="e">
        <f t="shared" ca="1" si="277"/>
        <v>#N/A</v>
      </c>
      <c r="GB102" s="162" t="e">
        <f ca="1">IF(Control!$B$34=1,VLOOKUP($CP102,Control!$B$86:$G$91,5),Control!$B$38)</f>
        <v>#N/A</v>
      </c>
      <c r="GC102" s="162" t="e">
        <f t="shared" ca="1" si="400"/>
        <v>#N/A</v>
      </c>
      <c r="GD102" s="162">
        <f t="shared" ca="1" si="278"/>
        <v>1</v>
      </c>
      <c r="GE102" s="162">
        <f t="shared" ca="1" si="279"/>
        <v>1</v>
      </c>
      <c r="GF102" s="162">
        <f ca="1">IF(AND(Control!$C$104=1, Control!$C$62="F"),$GE102,1)</f>
        <v>1</v>
      </c>
      <c r="GG102" s="162" t="e">
        <f ca="1">IF(Control!$B$16=40,0,IF(AND(Control!$B$16&gt;40,Control!$B$16&lt;=360),(Control!$B$16-40)*((1-0)/(360-40)),IF(AND(Control!$B$16&gt;360,Control!$B$16&lt;=720),(1+(Control!$B$16-360)*((1.25-1)/(720-360))),IF(AND(Control!$B$16&gt;720,Control!$B$16&lt;=1000),(1.25+(Control!$B$16-720)*((1.35-1.25)/(1000-720))),IF(AND(Control!$B$16&gt;1000,Control!$B$16&lt;=2000),(1.35+(Control!$B$16-1000)*0))))))</f>
        <v>#N/A</v>
      </c>
      <c r="GH102" s="162" t="e">
        <f t="shared" ca="1" si="280"/>
        <v>#N/A</v>
      </c>
      <c r="GI102" s="162">
        <f t="shared" ca="1" si="401"/>
        <v>0</v>
      </c>
      <c r="GJ102" s="162">
        <f t="shared" ca="1" si="281"/>
        <v>0</v>
      </c>
      <c r="GK102" s="162">
        <f t="shared" ca="1" si="402"/>
        <v>1</v>
      </c>
      <c r="GL102" s="162">
        <f t="shared" ca="1" si="282"/>
        <v>1</v>
      </c>
      <c r="GM102" s="162" t="e">
        <f ca="1">MAX(0,MIN(1,1-Control!$C$156*(1.0001-$KH102)^2))</f>
        <v>#N/A</v>
      </c>
      <c r="GN102" s="162" t="e">
        <f ca="1">IF(Control!$B$26=1,$KU102,$KX102)</f>
        <v>#N/A</v>
      </c>
      <c r="GO102" s="162" t="e">
        <f ca="1">IF($CP102&lt;=60,Control!$C$105,IF($CP102&gt;=90,Control!$C$106,Control!$C$105+($CP102-60)*((Control!$C$106-Control!$C$105)/(90-60))))</f>
        <v>#N/A</v>
      </c>
      <c r="GP102" s="162" t="e">
        <f t="shared" ca="1" si="283"/>
        <v>#N/A</v>
      </c>
      <c r="GQ102" s="162" t="e">
        <f t="shared" ca="1" si="403"/>
        <v>#N/A</v>
      </c>
      <c r="GR102" s="163" t="e">
        <f t="shared" ca="1" si="284"/>
        <v>#DIV/0!</v>
      </c>
      <c r="GS102" s="162" t="e">
        <f t="shared" ca="1" si="285"/>
        <v>#DIV/0!</v>
      </c>
      <c r="GT102" s="164" t="e">
        <f t="shared" ca="1" si="404"/>
        <v>#N/A</v>
      </c>
      <c r="GU102" s="162" t="e">
        <f t="shared" ca="1" si="405"/>
        <v>#N/A</v>
      </c>
      <c r="GV102" s="162" t="e">
        <f t="shared" ca="1" si="286"/>
        <v>#N/A</v>
      </c>
      <c r="GW102" s="162" t="e">
        <f t="shared" ca="1" si="287"/>
        <v>#DIV/0!</v>
      </c>
      <c r="GX102" s="162" t="e">
        <f t="shared" ca="1" si="406"/>
        <v>#DIV/0!</v>
      </c>
      <c r="GY102" s="162" t="e">
        <f t="shared" ca="1" si="407"/>
        <v>#DIV/0!</v>
      </c>
      <c r="GZ102" s="165" t="e">
        <f t="shared" ca="1" si="288"/>
        <v>#N/A</v>
      </c>
      <c r="HA102" s="162" t="e">
        <f ca="1">IF(Control!$C$114=1, $DI102*$FS102, 0)</f>
        <v>#N/A</v>
      </c>
      <c r="HB102" s="162" t="e">
        <f ca="1">$FA102/Control!$C$64</f>
        <v>#N/A</v>
      </c>
      <c r="HC102" s="162" t="e">
        <f t="shared" ca="1" si="289"/>
        <v>#DIV/0!</v>
      </c>
      <c r="HD102" s="162">
        <f ca="1">-ASIN(SIN(23.45*Control!$C$139)*COS(2*Control!$C$138*($AH102+10)/365))</f>
        <v>0.11340518043617971</v>
      </c>
      <c r="HE102" s="165">
        <f t="shared" ca="1" si="408"/>
        <v>0</v>
      </c>
      <c r="HF102" s="166">
        <f ca="1">IF(AND(Control!$C$61="T",$HE102&gt;=Control!$C$103,Control!$C$114=0),$AH102,Control!$C$59)</f>
        <v>1</v>
      </c>
      <c r="HG102" s="166">
        <f ca="1">IF(AND(Control!$C$61="T",$HE102&gt;=Control!$C$103,Control!$C$114=0),$HF102,Control!$C$59)</f>
        <v>1</v>
      </c>
      <c r="HH102" s="165">
        <f ca="1">IF(AND(OR(Control!$C$60&lt;=0, $AH102= Control!$C$59, Control!$C$60 &gt;0, $AH102 = Control!$C$60)), Control!$C$59, IF(Control!$C$60&gt;0, 0))</f>
        <v>1</v>
      </c>
      <c r="HI102" s="165">
        <f ca="1">IF(AND(OR(Control!$C$60&lt;=0, $AH102= Control!$C$59, Control!$C$60 &gt;0, $AH102 = Control!$C$60)), Control!$C$60, IF(Control!$C$60&lt;=0, 0))</f>
        <v>0</v>
      </c>
      <c r="HJ102" s="166">
        <f ca="1">IF(AND(Control!$C$62="F",$CV102&gt;=Control!$C$102),$AH102,0)</f>
        <v>0</v>
      </c>
      <c r="HK102" s="165" t="e">
        <f t="shared" ca="1" si="445"/>
        <v>#N/A</v>
      </c>
      <c r="HL102" s="166">
        <f ca="1">IF(AND(Control!$C$61="T",$HE102&gt;=Control!$C$103,Control!$C$114=0),$HF102,0)</f>
        <v>0</v>
      </c>
      <c r="HM102" s="201" t="e">
        <f t="shared" ca="1" si="290"/>
        <v>#DIV/0!</v>
      </c>
      <c r="HN102" s="215">
        <f t="shared" ca="1" si="409"/>
        <v>98</v>
      </c>
      <c r="HO102" s="216" t="e">
        <f ca="1">IF(AND($CP102&gt;=0, $CP102&lt;=90), Control!$C$152, Control!$C$152)</f>
        <v>#N/A</v>
      </c>
      <c r="HP102" s="216" t="e">
        <f t="shared" ca="1" si="291"/>
        <v>#N/A</v>
      </c>
      <c r="HQ102" s="217" t="e">
        <f ca="1">IF(OR(Control!$B$26=1,Control!$B$26=2),$KV102,$KS102)</f>
        <v>#DIV/0!</v>
      </c>
      <c r="HR102" s="218" t="e">
        <f t="shared" ca="1" si="446"/>
        <v>#DIV/0!</v>
      </c>
      <c r="HS102" s="216" t="e">
        <f ca="1">Control!$C$154*$HP102</f>
        <v>#N/A</v>
      </c>
      <c r="HT102" s="216" t="e">
        <f ca="1">Control!$C$155*$HP102</f>
        <v>#N/A</v>
      </c>
      <c r="HU102" s="217" t="e">
        <f ca="1">Control!$C$161*$FI102</f>
        <v>#N/A</v>
      </c>
      <c r="HV102" s="218" t="e">
        <f t="shared" ca="1" si="410"/>
        <v>#N/A</v>
      </c>
      <c r="HW102" s="218" t="e">
        <f ca="1">Control!$C$160*$FF102+$IP102*$EO102</f>
        <v>#N/A</v>
      </c>
      <c r="HX102" s="218" t="e">
        <f t="shared" ca="1" si="447"/>
        <v>#N/A</v>
      </c>
      <c r="HY102" s="219" t="e">
        <f ca="1">IF(Control!$C$114=1, $EB102*$FS102, 0)</f>
        <v>#N/A</v>
      </c>
      <c r="HZ102" s="91" t="e">
        <f t="shared" ca="1" si="292"/>
        <v>#N/A</v>
      </c>
      <c r="IA102" s="220" t="e">
        <f ca="1">Control!$C$153*$HO102</f>
        <v>#N/A</v>
      </c>
      <c r="IB102" s="218" t="e">
        <f t="shared" ca="1" si="293"/>
        <v>#N/A</v>
      </c>
      <c r="IC102" s="220" t="e">
        <f ca="1">Control!$C$153*$HT102</f>
        <v>#N/A</v>
      </c>
      <c r="ID102" s="218" t="e">
        <f t="shared" ca="1" si="294"/>
        <v>#N/A</v>
      </c>
      <c r="IE102" s="221" t="e">
        <f ca="1">($EB102*Control!$C$159+$EF102*Control!$C$160)/(IF($GZ102&lt;&gt;0,$GZ102,1))</f>
        <v>#N/A</v>
      </c>
      <c r="IF102" s="216" t="e">
        <f t="shared" ca="1" si="295"/>
        <v>#N/A</v>
      </c>
      <c r="IG102" s="91">
        <f ca="1">IF(OR(Control!$B$198=$AH102,Control!$B$199=$AH102, Control!$B$200=$AH102, Control!$B$201=$AH102, Control!$B$202=$AH102, Control!$B$203=$AH102, Control!$B$204=$AH102, Control!$B$205=$AH102, Control!$B$206=$AH102, Control!$B$207=$AH102), 1, 0)</f>
        <v>0</v>
      </c>
      <c r="IH102" s="91">
        <f ca="1">IF($IG102=0,0, VLOOKUP($AH102,Control!$B$198:$C$207,2))</f>
        <v>0</v>
      </c>
      <c r="II102" s="222">
        <f t="shared" ca="1" si="411"/>
        <v>0</v>
      </c>
      <c r="IJ102" s="91">
        <f>Control!$C$121</f>
        <v>0.7</v>
      </c>
      <c r="IK102" s="218">
        <f t="shared" ca="1" si="296"/>
        <v>0</v>
      </c>
      <c r="IL102" s="217" t="e">
        <f t="shared" ca="1" si="448"/>
        <v>#N/A</v>
      </c>
      <c r="IM102" s="223" t="e">
        <f ca="1">IF(AND(Control!$C$114=1,$KH102&lt;1),$EB102*Control!$C$148*(1-$KH102), 0)</f>
        <v>#N/A</v>
      </c>
      <c r="IN102" s="217" t="e">
        <f t="shared" ca="1" si="297"/>
        <v>#DIV/0!</v>
      </c>
      <c r="IO102" s="91" t="e">
        <f ca="1">MAX(0,$IL102-$EF102*Control!$C$160)</f>
        <v>#N/A</v>
      </c>
      <c r="IP102" s="220" t="e">
        <f t="shared" ca="1" si="298"/>
        <v>#N/A</v>
      </c>
      <c r="IQ102" s="217" t="e">
        <f t="shared" ca="1" si="412"/>
        <v>#N/A</v>
      </c>
      <c r="IR102" s="218" t="e">
        <f t="shared" ca="1" si="299"/>
        <v>#N/A</v>
      </c>
      <c r="IS102" s="217" t="e">
        <f ca="1">Control!$C$159*MAX(0,$FD102-$EN102)</f>
        <v>#N/A</v>
      </c>
      <c r="IT102" s="217" t="e">
        <f t="shared" ca="1" si="449"/>
        <v>#N/A</v>
      </c>
      <c r="IU102" s="217" t="e">
        <f t="shared" ca="1" si="413"/>
        <v>#N/A</v>
      </c>
      <c r="IV102" s="217" t="e">
        <f t="shared" ca="1" si="450"/>
        <v>#N/A</v>
      </c>
      <c r="IW102" s="217" t="e">
        <f ca="1">IF(OR($AW102=1,AND($AW102=0, Control!$B$18=1,$EN102&lt;&gt;0)), $IQ102-$IU102, $IQ102)</f>
        <v>#N/A</v>
      </c>
      <c r="IX102" s="218" t="e">
        <f t="shared" ca="1" si="300"/>
        <v>#N/A</v>
      </c>
      <c r="IY102" s="218" t="e">
        <f ca="1">MAX(0,$IQ102-$EB102*Control!$C$159)</f>
        <v>#N/A</v>
      </c>
      <c r="IZ102" s="218" t="e">
        <f t="shared" ca="1" si="301"/>
        <v>#N/A</v>
      </c>
      <c r="JA102" s="216" t="e">
        <f t="shared" ca="1" si="302"/>
        <v>#N/A</v>
      </c>
      <c r="JB102" s="217" t="e">
        <f t="shared" ca="1" si="303"/>
        <v>#N/A</v>
      </c>
      <c r="JC102" s="222" t="e">
        <f ca="1">MAX(Control!$C$157*$EK102-$JT102, 0)/Control!$C$162</f>
        <v>#N/A</v>
      </c>
      <c r="JD102" s="218" t="e">
        <f t="shared" ca="1" si="304"/>
        <v>#N/A</v>
      </c>
      <c r="JE102" s="218" t="e">
        <f t="shared" ca="1" si="305"/>
        <v>#N/A</v>
      </c>
      <c r="JF102" s="218" t="e">
        <f t="shared" ca="1" si="414"/>
        <v>#N/A</v>
      </c>
      <c r="JG102" s="218" t="e">
        <f t="shared" ca="1" si="306"/>
        <v>#N/A</v>
      </c>
      <c r="JH102" s="217" t="e">
        <f t="shared" ca="1" si="415"/>
        <v>#N/A</v>
      </c>
      <c r="JI102" s="217" t="e">
        <f t="shared" ca="1" si="416"/>
        <v>#N/A</v>
      </c>
      <c r="JJ102" s="217" t="e">
        <f t="shared" ca="1" si="451"/>
        <v>#N/A</v>
      </c>
      <c r="JK102" s="217" t="e">
        <f ca="1">IF(Control!$C$114=1,IF(Control!$B$24=0,MAX(0,$JI102)*$GN102/Control!$C$64,(MAX(0,MIN($JI102,$JJ102*$GN102/Control!$C$64),0))))</f>
        <v>#N/A</v>
      </c>
      <c r="JL102" s="217" t="e">
        <f ca="1">$IK102/Control!$C$64-$JK102+$HQ102</f>
        <v>#N/A</v>
      </c>
      <c r="JM102" s="217" t="e">
        <f ca="1">IF(Control!$C$114=1,($JB102/(IF($JI102&lt;&gt;0,$JI102,1)))*$JK102,0)</f>
        <v>#N/A</v>
      </c>
      <c r="JN102" s="217" t="e">
        <f ca="1">IF(Control!$C$114=1,($JG102/(IF($JI102&lt;&gt;0,$JI102,1)))*$JK102, 0)</f>
        <v>#N/A</v>
      </c>
      <c r="JO102" s="218" t="e">
        <f t="shared" ca="1" si="307"/>
        <v>#N/A</v>
      </c>
      <c r="JP102" s="218" t="e">
        <f ca="1">MIN(($IY102+$IO102)*Control!$C$151, $JF102-$EH102*Control!$C$161)</f>
        <v>#N/A</v>
      </c>
      <c r="JQ102" s="218" t="e">
        <f t="shared" ca="1" si="308"/>
        <v>#N/A</v>
      </c>
      <c r="JR102" s="217" t="e">
        <f ca="1">IF($CP102-Control!$C$150&lt;0, 0, $JQ102/Control!$C$162)</f>
        <v>#N/A</v>
      </c>
      <c r="JS102" s="218" t="e">
        <f t="shared" ca="1" si="309"/>
        <v>#N/A</v>
      </c>
      <c r="JT102" s="218" t="e">
        <f t="shared" ca="1" si="417"/>
        <v>#N/A</v>
      </c>
      <c r="JU102" s="218" t="e">
        <f t="shared" ca="1" si="310"/>
        <v>#N/A</v>
      </c>
      <c r="JV102" s="218" t="e">
        <f t="shared" ca="1" si="311"/>
        <v>#N/A</v>
      </c>
      <c r="JW102" s="216" t="e">
        <f t="shared" ca="1" si="312"/>
        <v>#N/A</v>
      </c>
      <c r="JX102" s="91" t="e">
        <f t="shared" ca="1" si="313"/>
        <v>#N/A</v>
      </c>
      <c r="JY102" s="218" t="e">
        <f t="shared" ca="1" si="314"/>
        <v>#N/A</v>
      </c>
      <c r="JZ102" s="217" t="e">
        <f ca="1">IF(Control!$C$114=1,($IZ102/(IF($JI102&lt;&gt;0,$JI102,1)))*$JK102, 0)</f>
        <v>#N/A</v>
      </c>
      <c r="KA102" s="218" t="e">
        <f t="shared" ca="1" si="452"/>
        <v>#N/A</v>
      </c>
      <c r="KB102" s="218" t="e">
        <f t="shared" ca="1" si="418"/>
        <v>#N/A</v>
      </c>
      <c r="KC102" s="218" t="e">
        <f t="shared" ca="1" si="315"/>
        <v>#N/A</v>
      </c>
      <c r="KD102" s="218" t="e">
        <f t="shared" ca="1" si="316"/>
        <v>#N/A</v>
      </c>
      <c r="KE102" s="218" t="e">
        <f t="shared" ca="1" si="317"/>
        <v>#N/A</v>
      </c>
      <c r="KF102" s="218" t="e">
        <f t="shared" ca="1" si="318"/>
        <v>#N/A</v>
      </c>
      <c r="KG102" s="216" t="e">
        <f t="shared" ca="1" si="319"/>
        <v>#N/A</v>
      </c>
      <c r="KH102" s="221" t="e">
        <f ca="1">IF(Control!$B$24=0,1,MAX(0.001,MIN(1,IF(($IF102-$IE102)&lt;&gt;0,($KG102-$IE102)/($IF102-$IE102),1))))</f>
        <v>#N/A</v>
      </c>
      <c r="KI102" s="222" t="e">
        <f ca="1">IF(Control!$C$114=1, $KI101+ $KH101, 0)</f>
        <v>#N/A</v>
      </c>
      <c r="KJ102" s="217" t="e">
        <f t="shared" ca="1" si="320"/>
        <v>#N/A</v>
      </c>
      <c r="KK102" s="218" t="e">
        <f t="shared" ca="1" si="321"/>
        <v>#N/A</v>
      </c>
      <c r="KL102" s="274" t="e">
        <f ca="1">IF(Control!$B$26=3,4000000000*EXP(-8400/($G102+273)),IF(Control!$B$26=4,4000000000*EXP(-8400/($G102+273))*($KT102),0))</f>
        <v>#DIV/0!</v>
      </c>
      <c r="KM102" s="274" t="e">
        <f ca="1">IF(Control!$B$26=3,5600000000000*EXP(-9800/($G102+273)),IF(Control!$B$26=4,5600000000000*EXP(-9800/($G102+273))*$KT102,0))</f>
        <v>#DIV/0!</v>
      </c>
      <c r="KN102" s="454" t="e">
        <f t="shared" ca="1" si="419"/>
        <v>#DIV/0!</v>
      </c>
      <c r="KO102" s="274" t="e">
        <f t="shared" ca="1" si="420"/>
        <v>#DIV/0!</v>
      </c>
      <c r="KP102" s="454" t="e">
        <f t="shared" ca="1" si="322"/>
        <v>#DIV/0!</v>
      </c>
      <c r="KQ102" s="454" t="e">
        <f t="shared" ca="1" si="323"/>
        <v>#DIV/0!</v>
      </c>
      <c r="KR102" s="454" t="e">
        <f t="shared" ca="1" si="324"/>
        <v>#DIV/0!</v>
      </c>
      <c r="KS102" s="454" t="e">
        <f t="shared" ca="1" si="325"/>
        <v>#DIV/0!</v>
      </c>
      <c r="KT102" s="455" t="e">
        <f t="shared" ca="1" si="326"/>
        <v>#DIV/0!</v>
      </c>
      <c r="KU102" s="456" t="e">
        <f ca="1">IF($CP102-Control!$C$149&lt;0, IF($NT102-0.01&lt;0,0,1),0)</f>
        <v>#N/A</v>
      </c>
      <c r="KV102" s="456" t="e">
        <f ca="1">IF(Control!$C$114=1,MAX(0,MIN(Control!$C$125*$KW102*$GN102,$KW102)))</f>
        <v>#DIV/0!</v>
      </c>
      <c r="KW102" s="456" t="e">
        <f t="shared" ca="1" si="453"/>
        <v>#DIV/0!</v>
      </c>
      <c r="KX102" s="457" t="e">
        <f ca="1">IF($CP102-Control!$C$149&lt;0, IF($MR102-$OM102&lt;0,0,1),0)</f>
        <v>#N/A</v>
      </c>
      <c r="KY102" s="167">
        <f t="shared" ca="1" si="421"/>
        <v>98</v>
      </c>
      <c r="KZ102" s="168">
        <f ca="1">1370*(1+0.033*COS(2*Control!$C$138*$AH102/365))</f>
        <v>1364.7584196050609</v>
      </c>
      <c r="LA102" s="169">
        <f t="shared" ca="1" si="422"/>
        <v>0.99617415821334854</v>
      </c>
      <c r="LB102" s="169">
        <f t="shared" ca="1" si="423"/>
        <v>0.11969198158484542</v>
      </c>
      <c r="LC102" s="169">
        <f ca="1">ACOS(-TAN((2*Control!$B$8/360))*TAN(Calculations!$LB102))</f>
        <v>1.6065476272772765</v>
      </c>
      <c r="LD102" s="169">
        <f ca="1">((24*60)/PI())*0.082*$LA102*(($LC102*SIN(Control!$B$8*2*PI()/360))*SIN($LB102)+COS(Control!$B$8*2*PI()/360)*COS($LB102)*SIN($LC102))</f>
        <v>28.532173594030525</v>
      </c>
      <c r="LE102" s="170">
        <f t="shared" ca="1" si="327"/>
        <v>28.459671153736117</v>
      </c>
      <c r="LF102" s="170">
        <f ca="1">SIN(Control!$C$139*Control!$B$8)*SIN($HD102)</f>
        <v>8.917322383137978E-2</v>
      </c>
      <c r="LG102" s="170">
        <f ca="1">COS(Control!$C$139*Control!$B$8)*COS($HD102)</f>
        <v>0.61170512522489606</v>
      </c>
      <c r="LH102" s="170">
        <f ca="1">12*(1+2*ASIN(MAX(-1,MIN(1,$LF102/$LG102))/Control!$C$138))</f>
        <v>13.114060249066807</v>
      </c>
      <c r="LI102" s="170">
        <f ca="1">12*(1+2*ASIN(MAX(-1,MIN(1,(-SIN(-4*Control!$C$139)+$LF102)/$LG102))/Control!$C$138))</f>
        <v>13.987101460851257</v>
      </c>
      <c r="LJ102" s="168">
        <f ca="1">3600*($LH102*$LF102+24*$LG102*SQRT(1-$LK102*$LK102)/Control!$C$138)</f>
        <v>20853.266589094859</v>
      </c>
      <c r="LK102" s="170">
        <f t="shared" ca="1" si="328"/>
        <v>0.14577812111447466</v>
      </c>
      <c r="LL102" s="170">
        <f t="shared" ca="1" si="329"/>
        <v>0</v>
      </c>
      <c r="LM102" s="171">
        <f ca="1">Control!$C$145*$AB102</f>
        <v>6.6660906138995932E-2</v>
      </c>
      <c r="LN102" s="170">
        <f t="shared" ca="1" si="424"/>
        <v>0.54</v>
      </c>
      <c r="LO102" s="170">
        <f t="shared" ca="1" si="330"/>
        <v>0</v>
      </c>
      <c r="LP102" s="170">
        <f ca="1">Control!$C$140*((($D102+273.16)^4+($E102+273.16)^4)/2)*(0.34-0.14*SQRT($Y102))*(1.35*$AQ102/(0.75*$LD102)-0.35)</f>
        <v>-3.2464704755046001</v>
      </c>
      <c r="LQ102" s="170">
        <f ca="1">Control!$C$140*($G102+273)^4*(0.56-0.079*SQRT($Y102*10))*(0.1+0.9*$LO102)</f>
        <v>1.5241745131704001</v>
      </c>
      <c r="LR102" s="170">
        <f ca="1">$AQ102*(1-Control!$C$142)-$LQ102</f>
        <v>-1.5241745131704001</v>
      </c>
      <c r="LS102" s="170">
        <f ca="1">$AQ102*(1-Control!$C$143)-$LQ102</f>
        <v>-1.5241745131704001</v>
      </c>
      <c r="LT102" s="170">
        <f ca="1">$AQ102*(1-Control!$C$144)-$LQ102</f>
        <v>-1.5241745131704001</v>
      </c>
      <c r="LU102" s="169">
        <f ca="1">(1-Control!$C$144)*AQ102-LP102</f>
        <v>3.2464704755046001</v>
      </c>
      <c r="LV102" s="172">
        <f t="shared" ca="1" si="331"/>
        <v>0.79430000000000012</v>
      </c>
      <c r="LW102" s="170">
        <f t="shared" ca="1" si="332"/>
        <v>1.5886000000000002</v>
      </c>
      <c r="LX102" s="170">
        <f ca="1">($AC102*($LR102/Control!$C$141)+$LM102*$LV102)/($AC102+$LM102)</f>
        <v>0.23530094218323697</v>
      </c>
      <c r="LY102" s="170">
        <f ca="1">($AC102*($LS102/Control!$C$141)+$LM102*$LV102)/($AC102+$LM102)</f>
        <v>0.23530094218323697</v>
      </c>
      <c r="LZ102" s="170">
        <f t="shared" ca="1" si="333"/>
        <v>0.23530094218323697</v>
      </c>
      <c r="MA102" s="170">
        <f t="shared" ca="1" si="334"/>
        <v>0.23530094218323697</v>
      </c>
      <c r="MB102" s="170" t="e">
        <f t="shared" ca="1" si="335"/>
        <v>#N/A</v>
      </c>
      <c r="MC102" s="170">
        <f t="shared" ca="1" si="425"/>
        <v>0.6018</v>
      </c>
      <c r="MD102" s="170">
        <f t="shared" ca="1" si="336"/>
        <v>0.52989392535414004</v>
      </c>
      <c r="ME102" s="170">
        <f ca="1">($AC102*($LT102/Control!$C$141)+$LM102*$LW102)/($AC102+$LM102)</f>
        <v>0.71612369323045078</v>
      </c>
      <c r="MF102" s="170" t="e">
        <f ca="1">IF(Control!$B$16&gt;=1000,0.92,IF(AND(720&lt;=Control!$B$16,1000&gt;Control!$B$16),(0.95+(Control!$B$16-720)*((0.92-0.95)/(1000-720))),IF(AND(360&lt;=Control!$B$16,720&gt;Control!$B$16),(1+(Control!$B$16-360)*((0.95-1)/(720-360))),IF(AND(40&lt;=Control!$B$16,360&gt;Control!$B$16),(1.05+(Control!$B$16-40)*((1.05-1)/(360-40)))))))</f>
        <v>#N/A</v>
      </c>
      <c r="MG102" s="170">
        <f t="shared" ca="1" si="337"/>
        <v>0.71612369323045078</v>
      </c>
      <c r="MH102" s="170" t="e">
        <f t="shared" ca="1" si="462"/>
        <v>#N/A</v>
      </c>
      <c r="MI102" s="170" t="e">
        <f t="shared" ca="1" si="462"/>
        <v>#N/A</v>
      </c>
      <c r="MJ102" s="170" t="e">
        <f ca="1">MAX(0.0001, Control!$C$132*$MI102*$DL102)</f>
        <v>#N/A</v>
      </c>
      <c r="MK102" s="170">
        <f ca="1">1/(0.76+1.5*($MG102/10))-(5-Control!$C$110)*0.1</f>
        <v>1.002845988140797</v>
      </c>
      <c r="ML102" s="173">
        <f ca="1">IF(Control!$C$110&lt;3,$MK102+($MG102-0.6)/(Control!$C$110*(Control!$C$110+3)), MAX(0.1, MIN(0.95,$MK102)))</f>
        <v>0.95</v>
      </c>
      <c r="MM102" s="173">
        <f ca="1">IF(Control!$C$110&lt;3,$MK102+(($MI102/10)-0.6)/(Control!$C$110*(Control!$C$110+3)), MAX(0.1, MIN(0.95,$MK102)))</f>
        <v>0.95</v>
      </c>
      <c r="MN102" s="173">
        <f ca="1">(1-$MM102)*(Control!$C$128-Control!$C$127)+Control!$C$127</f>
        <v>0.16</v>
      </c>
      <c r="MO102" s="170" t="e">
        <f ca="1">MAX(0,MIN(1,($MS102-Control!$C$127)/($MN102-Control!$C$127)))</f>
        <v>#DIV/0!</v>
      </c>
      <c r="MP102" s="173" t="e">
        <f ca="1">1/(0.76+1.5*$MI102)-(5-Control!$C$110)*0.1</f>
        <v>#N/A</v>
      </c>
      <c r="MQ102" s="172" t="e">
        <f t="shared" ca="1" si="454"/>
        <v>#DIV/0!</v>
      </c>
      <c r="MR102" s="168" t="e">
        <f t="shared" ca="1" si="426"/>
        <v>#DIV/0!</v>
      </c>
      <c r="MS102" s="173" t="e">
        <f ca="1">MAX(Control!$C$127, MIN(Control!$C$135, $MR102/MAX(0.0001,$CY102)))</f>
        <v>#DIV/0!</v>
      </c>
      <c r="MT102" s="168" t="e">
        <f ca="1">(Control!$C$128-$MS102)*Control!$C$74</f>
        <v>#DIV/0!</v>
      </c>
      <c r="MU102" s="168" t="e">
        <f ca="1">(Control!$C$135-$MS102)*Control!$C$74</f>
        <v>#DIV/0!</v>
      </c>
      <c r="MV102" s="168" t="e">
        <f t="shared" ca="1" si="427"/>
        <v>#DIV/0!</v>
      </c>
      <c r="MW102" s="168" t="e">
        <f t="shared" ca="1" si="428"/>
        <v>#DIV/0!</v>
      </c>
      <c r="MX102" s="171" t="e">
        <f ca="1">MAX(Control!$C$127, MIN(Control!$C$135, $MW102/MAX(0.0001,Control!$C$119-$CY102)))</f>
        <v>#DIV/0!</v>
      </c>
      <c r="MY102" s="54" t="e">
        <f ca="1">IF(Control!$C$114=1, $CX102*$MX102, 0)</f>
        <v>#DIV/0!</v>
      </c>
      <c r="MZ102" s="54" t="e">
        <f t="shared" ca="1" si="429"/>
        <v>#N/A</v>
      </c>
      <c r="NA102" s="168" t="e">
        <f ca="1">(Control!$C$128-$MX102)*(Control!$C$119-Control!$C$74)</f>
        <v>#DIV/0!</v>
      </c>
      <c r="NB102" s="168" t="e">
        <f ca="1">(Control!$C$135-$MX102)*(Control!$C$119-Control!$C$74)</f>
        <v>#DIV/0!</v>
      </c>
      <c r="NC102" s="174" t="e">
        <f t="shared" ca="1" si="430"/>
        <v>#DIV/0!</v>
      </c>
      <c r="ND102" s="54">
        <f ca="1">IF(Control!$C$58=2, IF(OR(Control!$B$218=$AH102,Control!$B$219=$AH102, Control!$B$220=$AH102, Control!$B$221=$AH102, Control!$B$222=$AH102, Control!$B$223=$AH102, Control!$B$224=$AH102, Control!$B$225=$AH102, Control!$B$226=$AH102, Control!$B$227=$AH102, Control!$B$228=$AH102), 1, 0), 0)</f>
        <v>0</v>
      </c>
      <c r="NE102" s="54">
        <f ca="1">IF($ND102=0,0, VLOOKUP($AH102,Control!$B$218:$C$228,2))</f>
        <v>0</v>
      </c>
      <c r="NF102" s="168" t="e">
        <f ca="1">$CY102*(Control!$C$128-Control!$C$127)</f>
        <v>#N/A</v>
      </c>
      <c r="NG102" s="54" t="e">
        <f ca="1">IF(Control!$C$58=2, $NI101-$NJ101, 0)</f>
        <v>#DIV/0!</v>
      </c>
      <c r="NH102" s="54" t="e">
        <f ca="1">IF(AND(Control!$C$58=1, $MS101&lt;= ($MN101+0.02), $I101&lt;10), 0, IF(Control!$C$58=2, $NG101, 0))</f>
        <v>#DIV/0!</v>
      </c>
      <c r="NI102" s="54" t="e">
        <f ca="1">IF(Control!$C$58=2, $NE102+$NH102,0)</f>
        <v>#DIV/0!</v>
      </c>
      <c r="NJ102" s="54" t="e">
        <f ca="1">IF(AND(Control!$C$58=1, $MS102&lt;= ($MN102+0.02), $I102&lt;10), MAX(0, MIN(10, 0.7*($NF102-$MV102))), IF(Control!$C$58=2, MIN(10,$NI102),0))</f>
        <v>#DIV/0!</v>
      </c>
      <c r="NK102" s="54" t="e">
        <f t="shared" ca="1" si="338"/>
        <v>#DIV/0!</v>
      </c>
      <c r="NL102" s="173" t="e">
        <f ca="1">(1-Control!$C$73)*$I102+$NJ102</f>
        <v>#DIV/0!</v>
      </c>
      <c r="NM102" s="172" t="e">
        <f ca="1">IF($NL102&lt;0.5, $MB102* MAX(0, MIN(1, (SQRT($NC102)-SQRT($NC102-1))*Control!$C$71)),0)</f>
        <v>#DIV/0!</v>
      </c>
      <c r="NN102" s="170" t="e">
        <f ca="1">IF($NL102&gt;=5, $MB102, MAX(0,MIN($MB102, $NM102+$NL102,($MS102-Control!$C$129))))</f>
        <v>#DIV/0!</v>
      </c>
      <c r="NO102" s="54">
        <f>IF(Control!$C$133&lt;&gt;1, Control!$C$135-Control!$C$131, 0)</f>
        <v>0.38</v>
      </c>
      <c r="NP102" s="54" t="e">
        <f t="shared" ca="1" si="339"/>
        <v>#DIV/0!</v>
      </c>
      <c r="NQ102" s="173" t="e">
        <f ca="1">MAX(0,MIN(1,(Control!$C$135-$MS102)/(Control!$C$135-$NO102)))</f>
        <v>#DIV/0!</v>
      </c>
      <c r="NR102" s="170" t="e">
        <f ca="1">IF(Control!$C$133&lt;&gt;1, $NQ102+((1-$NP102/4)*(1-$NQ102)),1)</f>
        <v>#DIV/0!</v>
      </c>
      <c r="NS102" s="170" t="e">
        <f ca="1">IF(Control!$B$31=0,$MJ102,MAX(0,MIN($MV102,$MO102*$NR102*$MJ102)))</f>
        <v>#DIV/0!</v>
      </c>
      <c r="NT102" s="170" t="e">
        <f t="shared" ca="1" si="455"/>
        <v>#DIV/0!</v>
      </c>
      <c r="NU102" s="170" t="e">
        <f t="shared" ca="1" si="431"/>
        <v>#N/A</v>
      </c>
      <c r="NV102" s="170" t="e">
        <f t="shared" ca="1" si="340"/>
        <v>#N/A</v>
      </c>
      <c r="NW102" s="175" t="e">
        <f t="shared" ca="1" si="341"/>
        <v>#DIV/0!</v>
      </c>
      <c r="NX102" s="170" t="e">
        <f ca="1">MIN(Control!$C$72+$MU102, $NW102)</f>
        <v>#DIV/0!</v>
      </c>
      <c r="NY102" s="170" t="e">
        <f ca="1">IF($MT102&lt;=$NX102,MIN(Control!$C$72+$NB102,$NX102-$MT102),0)</f>
        <v>#DIV/0!</v>
      </c>
      <c r="NZ102" s="54" t="e">
        <f ca="1">IF(Control!$C$114=1,  $CX102*($MX102-Control!$C$127), 0)</f>
        <v>#DIV/0!</v>
      </c>
      <c r="OA102" s="170" t="e">
        <f t="shared" ca="1" si="342"/>
        <v>#DIV/0!</v>
      </c>
      <c r="OB102" s="170" t="e">
        <f ca="1">IF($NA102 &lt;=$NY102, MIN(Control!$C$72, $NY102-$NA102), 0)</f>
        <v>#DIV/0!</v>
      </c>
      <c r="OC102" s="168" t="e">
        <f t="shared" ca="1" si="343"/>
        <v>#DIV/0!</v>
      </c>
      <c r="OD102" s="168" t="e">
        <f t="shared" ca="1" si="432"/>
        <v>#DIV/0!</v>
      </c>
      <c r="OE102" s="170">
        <f ca="1">Control!$C$73*$I102</f>
        <v>0</v>
      </c>
      <c r="OF102" s="176" t="e">
        <f t="shared" ca="1" si="344"/>
        <v>#DIV/0!</v>
      </c>
      <c r="OG102" s="168" t="e">
        <f t="shared" ca="1" si="345"/>
        <v>#DIV/0!</v>
      </c>
      <c r="OH102" s="168" t="e">
        <f t="shared" ca="1" si="346"/>
        <v>#DIV/0!</v>
      </c>
      <c r="OI102" s="168" t="e">
        <f t="shared" ca="1" si="347"/>
        <v>#DIV/0!</v>
      </c>
      <c r="OJ102" s="168" t="e">
        <f t="shared" ca="1" si="348"/>
        <v>#DIV/0!</v>
      </c>
      <c r="OK102" s="204" t="e">
        <f t="shared" ca="1" si="349"/>
        <v>#DIV/0!</v>
      </c>
      <c r="OL102" s="177">
        <f>Control!$C$127</f>
        <v>0.15</v>
      </c>
      <c r="OM102" s="182" t="e">
        <f t="shared" ca="1" si="350"/>
        <v>#N/A</v>
      </c>
      <c r="ON102" s="177">
        <f>Control!$C$128</f>
        <v>0.35</v>
      </c>
      <c r="OO102" s="182" t="e">
        <f t="shared" ca="1" si="351"/>
        <v>#N/A</v>
      </c>
      <c r="OP102" s="138">
        <f t="shared" ca="1" si="433"/>
        <v>0</v>
      </c>
      <c r="OQ102" s="138" t="e">
        <f t="shared" ca="1" si="456"/>
        <v>#DIV/0!</v>
      </c>
      <c r="OR102" s="138" t="e">
        <f t="shared" ca="1" si="434"/>
        <v>#DIV/0!</v>
      </c>
      <c r="OS102" s="137" t="e">
        <f t="shared" ca="1" si="457"/>
        <v>#DIV/0!</v>
      </c>
      <c r="OT102" s="139" t="e">
        <f t="shared" ca="1" si="458"/>
        <v>#DIV/0!</v>
      </c>
      <c r="OU102" s="138" t="e">
        <f t="shared" ca="1" si="459"/>
        <v>#N/A</v>
      </c>
      <c r="OV102" s="138" t="e">
        <f t="shared" ca="1" si="460"/>
        <v>#DIV/0!</v>
      </c>
      <c r="OW102" s="138" t="e">
        <f t="shared" ca="1" si="435"/>
        <v>#DIV/0!</v>
      </c>
      <c r="OX102" s="138" t="e">
        <f t="shared" ca="1" si="436"/>
        <v>#DIV/0!</v>
      </c>
      <c r="OY102" s="138" t="e">
        <f t="shared" ca="1" si="437"/>
        <v>#DIV/0!</v>
      </c>
      <c r="OZ102" s="138" t="e">
        <f t="shared" ca="1" si="352"/>
        <v>#DIV/0!</v>
      </c>
      <c r="PA102" s="138" t="e">
        <f t="shared" ca="1" si="353"/>
        <v>#DIV/0!</v>
      </c>
      <c r="PB102" s="55">
        <f>IF(Control!$C$61="T", IF(Control!$C$65="F", IF($AH$6-Control!$C$60&lt;0,0,1), IF(365+$AH$6-Control!$C$60&lt;0,0,1)),0)</f>
        <v>0</v>
      </c>
      <c r="PC102" s="55">
        <f ca="1">IF(Control!$C$65="F", IF($AH$6-$HF102&lt;0,0,1), IF(365+$AH$6-$HF102&lt;0,0,1))</f>
        <v>1</v>
      </c>
      <c r="PD102" s="444">
        <f>Control!$C$118</f>
        <v>1500</v>
      </c>
      <c r="PE102" s="180" t="e">
        <f t="shared" ca="1" si="354"/>
        <v>#N/A</v>
      </c>
      <c r="PF102" s="445">
        <f t="shared" ca="1" si="438"/>
        <v>0.71612369323045078</v>
      </c>
      <c r="PT102" s="186"/>
      <c r="PU102" s="186"/>
      <c r="PV102" s="94"/>
      <c r="PW102" s="94"/>
      <c r="PX102" s="94"/>
      <c r="PY102" s="94"/>
      <c r="PZ102" s="94"/>
      <c r="QA102" s="94"/>
      <c r="QB102" s="94"/>
      <c r="QC102" s="94"/>
      <c r="QD102" s="94"/>
      <c r="QE102" s="94"/>
      <c r="QF102" s="94"/>
      <c r="QG102" s="94"/>
      <c r="QH102" s="94"/>
      <c r="QI102" s="94"/>
      <c r="QJ102" s="94"/>
      <c r="QK102" s="94"/>
      <c r="QL102" s="94"/>
      <c r="QM102" s="94"/>
      <c r="QN102" s="94"/>
      <c r="QO102" s="94"/>
      <c r="QP102" s="94"/>
    </row>
    <row r="103" spans="1:458" s="2" customFormat="1" x14ac:dyDescent="0.2">
      <c r="A103" s="395">
        <v>8</v>
      </c>
      <c r="B103" s="396">
        <v>4</v>
      </c>
      <c r="C103" s="387">
        <f ca="1">Weather_data!$B102</f>
        <v>0</v>
      </c>
      <c r="D103" s="388">
        <f ca="1">Weather_data!$F102</f>
        <v>0</v>
      </c>
      <c r="E103" s="388">
        <f ca="1">Weather_data!$E102</f>
        <v>0</v>
      </c>
      <c r="F103" s="388">
        <f t="shared" ca="1" si="355"/>
        <v>0</v>
      </c>
      <c r="G103" s="388">
        <f ca="1">AVERAGE($D103:$E103)+Control!$B$9</f>
        <v>0</v>
      </c>
      <c r="H103" s="388">
        <f ca="1">Weather_data!$G102</f>
        <v>0</v>
      </c>
      <c r="I103" s="388">
        <f ca="1">Weather_data!$I102</f>
        <v>0</v>
      </c>
      <c r="J103" s="388">
        <f ca="1">Weather_data!$H102</f>
        <v>0</v>
      </c>
      <c r="K103" s="389">
        <f ca="1">Weather_data!$D102</f>
        <v>0</v>
      </c>
      <c r="L103" s="388" t="e">
        <f t="shared" ca="1" si="356"/>
        <v>#N/A</v>
      </c>
      <c r="M103" s="388" t="e">
        <f t="shared" ca="1" si="234"/>
        <v>#N/A</v>
      </c>
      <c r="N103" s="388">
        <f t="shared" ca="1" si="235"/>
        <v>-1.8217694710279478E-5</v>
      </c>
      <c r="O103" s="388">
        <f t="shared" ca="1" si="357"/>
        <v>1.8217694710279478E-4</v>
      </c>
      <c r="P103" s="390">
        <v>3</v>
      </c>
      <c r="Q103" s="388">
        <f ca="1">MAX($G103-Control!$C$107,0)</f>
        <v>0</v>
      </c>
      <c r="R103" s="388">
        <f t="shared" ca="1" si="358"/>
        <v>0</v>
      </c>
      <c r="S103" s="388">
        <f t="shared" ca="1" si="236"/>
        <v>0</v>
      </c>
      <c r="T103" s="388">
        <f t="shared" ca="1" si="237"/>
        <v>0</v>
      </c>
      <c r="U103" s="59">
        <f t="shared" ca="1" si="238"/>
        <v>0</v>
      </c>
      <c r="V103" s="391">
        <f ca="1">MAX(0,MIN(Control!$C$100-Control!$C$99,$G103-Control!$C$99)*Control!$C$63)</f>
        <v>0</v>
      </c>
      <c r="W103" s="388">
        <f t="shared" ca="1" si="359"/>
        <v>0</v>
      </c>
      <c r="X103" s="388">
        <f t="shared" ca="1" si="360"/>
        <v>0.6110000000000001</v>
      </c>
      <c r="Y103" s="388">
        <f t="shared" ca="1" si="239"/>
        <v>0</v>
      </c>
      <c r="Z103" s="388">
        <f t="shared" ca="1" si="361"/>
        <v>0.61058800000000002</v>
      </c>
      <c r="AA103" s="388">
        <f t="shared" ca="1" si="240"/>
        <v>0.6018</v>
      </c>
      <c r="AB103" s="388">
        <f ca="1">101.3*EXP(-0.034*Control!$C$66/($G103+273))</f>
        <v>100.69623283836242</v>
      </c>
      <c r="AC103" s="392">
        <f t="shared" ca="1" si="241"/>
        <v>4.3460251046025113E-2</v>
      </c>
      <c r="AD103" s="392">
        <f t="shared" ca="1" si="242"/>
        <v>4.4450382862832649E-2</v>
      </c>
      <c r="AE103" s="388">
        <f t="shared" ca="1" si="243"/>
        <v>0</v>
      </c>
      <c r="AF103" s="388">
        <f ca="1">MAX(0,$G103-Control!$C$92)</f>
        <v>0</v>
      </c>
      <c r="AG103" s="393">
        <f t="shared" ca="1" si="244"/>
        <v>99</v>
      </c>
      <c r="AH103" s="389">
        <f t="shared" ca="1" si="245"/>
        <v>99</v>
      </c>
      <c r="AI103" s="388">
        <f t="shared" ca="1" si="362"/>
        <v>0.12000055677405413</v>
      </c>
      <c r="AJ103" s="388">
        <f ca="1">IF(Control!$C$60&lt;=0,$HH103,$HI103)</f>
        <v>1</v>
      </c>
      <c r="AK103" s="388">
        <f t="shared" ca="1" si="246"/>
        <v>0.32706992009975927</v>
      </c>
      <c r="AL103" s="388">
        <f t="shared" ca="1" si="247"/>
        <v>4.1475833184589913E-18</v>
      </c>
      <c r="AM103" s="388">
        <f t="shared" ca="1" si="248"/>
        <v>0.32706992009975927</v>
      </c>
      <c r="AN103" s="388">
        <f t="shared" ca="1" si="249"/>
        <v>0.1281515518199437</v>
      </c>
      <c r="AO103" s="388">
        <f ca="1">-0.10453/COS(Control!$B$8*PI()/180)*COS(AN103)</f>
        <v>-0.16839259805552609</v>
      </c>
      <c r="AP103" s="388">
        <f ca="1">ACOS(AO103-TAN(Control!$B$8*PI()/180)*TAN(AN103))</f>
        <v>1.9106222426683039</v>
      </c>
      <c r="AQ103" s="388">
        <f t="shared" ca="1" si="363"/>
        <v>0</v>
      </c>
      <c r="AR103" s="394">
        <f t="shared" ca="1" si="250"/>
        <v>0</v>
      </c>
      <c r="AS103" s="436">
        <f ca="1">IF(Control!$B$18=2,(IF(OR($AH103=Control!$B$175,$AH103=Control!$B$176,$AH103=Control!$B$177,$AH103=Control!$B$178,$AH103=Control!$B$179,$AH103=Control!$B$180,$AH103=Control!$B$181,$AH103=Control!$B$182,$AH103=Control!$B$183,$AH103=Control!$B$184,$AH103=Control!$B$185),1,0)),0)</f>
        <v>0</v>
      </c>
      <c r="AT103" s="436">
        <f>IF(Control!$B$20=8,IF(AND($AH103&gt;=Control!$B$172,$AH103&lt;=Control!$B$173),1,0),0)</f>
        <v>0</v>
      </c>
      <c r="AU103" s="436">
        <f>IF(Control!$B$20=8,IF($AV102=1,1*$AT103,IF($AT103=1,$AU102+1,$AU102)),0)</f>
        <v>0</v>
      </c>
      <c r="AV103" s="436">
        <f>IF(Control!$B$20=8,IF($AU103&gt;=Control!$B$174,1,0),0)</f>
        <v>0</v>
      </c>
      <c r="AW103" s="436">
        <f ca="1">IF(AND(Control!$B$18=2,Control!$B$171=1), $AV103, $AS103)</f>
        <v>0</v>
      </c>
      <c r="AX103" s="436" t="e">
        <f ca="1">IF(AND(Control!$B$18=1,$EU103&gt;=Control!$B$19),-$AY103,IF(AND(Control!$B$18=2,$AW103=1,$EU103&gt;$DS103),-$AY103, IF(Control!$C$108=0,0, IF(Control!$C$108&lt;&gt;0,1))))</f>
        <v>#N/A</v>
      </c>
      <c r="AY103" s="436" t="e">
        <f t="shared" ca="1" si="364"/>
        <v>#N/A</v>
      </c>
      <c r="AZ103" s="436" t="e">
        <f ca="1">IF(AND(Control!$B$18=1,$EB103&gt;Control!$B$19),$AZ102+1, IF(AND(Control!$B$18=2, $AW103=1, $EB103&gt;$DS103), $AZ102+1,$AZ102))</f>
        <v>#N/A</v>
      </c>
      <c r="BA103" s="587">
        <f>IF(Control!$C$81=0,1,IF($AH103&gt;=Control!$C$82,1,0))</f>
        <v>1</v>
      </c>
      <c r="BB103" s="140" t="e">
        <f ca="1">IF($BA103&gt;$BA102,Control!$C$83,IF($AW103&gt;0,$AW103*Control!$C$84,IF(AND(Control!$B$18=1,EN102&lt;&gt;0),Control!$C$84,0)))</f>
        <v>#N/A</v>
      </c>
      <c r="BC103" s="140" t="e">
        <f t="shared" ca="1" si="365"/>
        <v>#N/A</v>
      </c>
      <c r="BD103" s="140" t="e">
        <f ca="1">BC103*IF(OR($G103&lt;Control!$C$92,$G103&gt;Control!$C$95),0,IF(AND($G103&gt;=Control!$C$92,$G103&lt;=Control!$C$93),$G103-Control!$C$92,IF(AND($G103&gt;Control!$C$93,$G103&lt;=Control!$C$94),Control!$C$93-Control!$C$92,IF(AND($G103&gt;Control!$C$94,$G103&lt;=Control!$C$95),(Control!$C$93-Control!$C$92)*(Control!$C$94-$G103)/(Control!$C$95-Control!$C$94)))))</f>
        <v>#N/A</v>
      </c>
      <c r="BE103" s="140" t="e">
        <f t="shared" ca="1" si="366"/>
        <v>#N/A</v>
      </c>
      <c r="BF103" s="140" t="e">
        <f ca="1">IF($BE103&lt;=Control!$C$86,$BE103,Control!$C$86-$BE103)</f>
        <v>#N/A</v>
      </c>
      <c r="BG103" s="140" t="e">
        <f ca="1">IF(AND($AW103=1,Control!$C$84&lt;9),1,IF($BE103&gt;=Control!$C$86,0,$BC103))</f>
        <v>#N/A</v>
      </c>
      <c r="BH103" s="404" t="e">
        <f ca="1">IF($BG103=0,0,IF($BE103&lt;=Control!$C$86,$BC103*9*($BF103/Control!$C$86),0))</f>
        <v>#N/A</v>
      </c>
      <c r="BI103" s="140" t="e">
        <f ca="1">IF($BG103=1,0,IF($BE103&gt;=Control!$C$86,1,IF(AND($BB103&lt;21,$BB103&gt;=9),1,$BM102)))</f>
        <v>#N/A</v>
      </c>
      <c r="BJ103" s="140" t="e">
        <f ca="1">IF($BF103&lt;0,-$BF103,$BI103*IF(OR($G103&lt;Control!$C$92,$G103&gt;Control!$C$95),0,IF(AND($G103&gt;=Control!$C$92,$G103&lt;=Control!$C$93),$G103-Control!$C$92,IF(AND($G103&gt;Control!$C$93,$G103&lt;=Control!$C$94),Control!$C$93-Control!$C$92,IF(AND($G103&gt;Control!$C$94,$G103&lt;=Control!$C$95),(Control!$C$93-Control!$C$92)*(Control!$C$94-$G103)/(Control!$C$95-Control!$C$94))))))</f>
        <v>#N/A</v>
      </c>
      <c r="BK103" s="140" t="e">
        <f t="shared" ca="1" si="367"/>
        <v>#N/A</v>
      </c>
      <c r="BL103" s="140" t="e">
        <f ca="1">IF($BK103&lt;=Control!$C$87,$BK103,Control!$C$87-$BK103)</f>
        <v>#N/A</v>
      </c>
      <c r="BM103" s="140" t="e">
        <f ca="1">IF(AND($BB103&gt;=9,$BB103&lt;21),1,IF($BK103&gt;=Control!$C$87,0,$BI103))</f>
        <v>#N/A</v>
      </c>
      <c r="BN103" s="404" t="e">
        <f ca="1">IF($BM103=0,0,IF($BK103&lt;=Control!$C$87,$BI103*(9+(21-9)*($BL103/Control!$C$87)),0))</f>
        <v>#N/A</v>
      </c>
      <c r="BO103" s="140" t="e">
        <f ca="1">IF($BM103=1,0,IF($BK103&gt;=Control!$C$87,1,IF(AND($BB103&lt;30,$BB103&gt;=21),1,$BS102)))</f>
        <v>#N/A</v>
      </c>
      <c r="BP103" s="140" t="e">
        <f ca="1">IF($BL103&lt;0,-$BL103,$BO103*IF(OR($G103&lt;Control!$C$92,$G103&gt;Control!$C$95),0,IF(AND($G103&gt;=Control!$C$92,$G103&lt;=Control!$C$93),$G103-Control!$C$92,IF(AND($G103&gt;Control!$C$93,$G103&lt;=Control!$C$94),Control!$C$93-Control!$C$92,IF(AND($G103&gt;Control!$C$94,$G103&lt;=Control!$C$95),(Control!$C$93-Control!$C$92)*(Control!$C$94-$G103)/(Control!$C$95-Control!$C$94))))))</f>
        <v>#N/A</v>
      </c>
      <c r="BQ103" s="140" t="e">
        <f t="shared" ca="1" si="251"/>
        <v>#N/A</v>
      </c>
      <c r="BR103" s="140" t="e">
        <f ca="1">IF($BQ103&lt;=Control!$C$88,$BQ103,Control!$C$88-$BQ103)</f>
        <v>#N/A</v>
      </c>
      <c r="BS103" s="140" t="e">
        <f ca="1">IF(AND($BB103&gt;=21,$BB103&lt;30),1,IF($BQ103&gt;=Control!$C$88,0,$BO103))</f>
        <v>#N/A</v>
      </c>
      <c r="BT103" s="404" t="e">
        <f ca="1">IF($BS103=0,0,IF($BQ103&lt;=Control!$C$88,$BO103*(21+(30-21)*(BR103/Control!$C$88)),0))</f>
        <v>#N/A</v>
      </c>
      <c r="BU103" s="140" t="e">
        <f ca="1">IF(BG103+BM103+BS103=1,0,IF(OR(AND($BB103&lt;60,$BB103&gt;=30),$BQ103&gt;=Control!$C$88),1*$BA103,$BY102))</f>
        <v>#N/A</v>
      </c>
      <c r="BV103" s="140" t="e">
        <f ca="1">IF($BR103&lt;0,-$BR103,$BU103*IF(OR($G103&lt;Control!$C$92,$G103&gt;Control!$C$95),0,IF(AND($G103&gt;=Control!$C$92,$G103&lt;=Control!$C$93),$G103-Control!$C$92,IF(AND($G103&gt;Control!$C$93,$G103&lt;=Control!$C$94),Control!$C$93-Control!$C$92,IF(AND($G103&gt;Control!$C$94,$G103&lt;=Control!$C$95),(Control!$C$93-Control!$C$92)*(Control!$C$94-$G103)/(Control!$C$95-Control!$C$94))))))</f>
        <v>#N/A</v>
      </c>
      <c r="BW103" s="140" t="e">
        <f t="shared" ca="1" si="252"/>
        <v>#N/A</v>
      </c>
      <c r="BX103" s="140" t="e">
        <f ca="1">IF($BW103&lt;=Control!$C$89,$BW103,Control!$C$89-$BW103)</f>
        <v>#N/A</v>
      </c>
      <c r="BY103" s="140" t="e">
        <f ca="1">IF(AND($AJ103&gt;=30,$AJ103&lt;60),1,IF($BW103&gt;=Control!$C$89,0,$BU103))</f>
        <v>#N/A</v>
      </c>
      <c r="BZ103" s="404" t="e">
        <f ca="1">IF($BY103=0,0,IF($BW103&lt;=Control!$C$89,$BU103*(30+(60-30)*(BX103/Control!$C$89)),0))</f>
        <v>#N/A</v>
      </c>
      <c r="CA103" s="140" t="e">
        <f ca="1">IF($BG103+$BM103+$BS103+$BY103=1,0,IF(OR(AND($BB103&lt;65,$BB103&gt;=60),$BW103&gt;=Control!$C$89),1*$BA103,$CE102))</f>
        <v>#N/A</v>
      </c>
      <c r="CB103" s="140" t="e">
        <f ca="1">IF($BX103&lt;0,-$BX103,$CA103*IF(OR($G103&lt;Control!$C$92,$G103&gt;Control!$C$95),0,IF(AND($G103&gt;=Control!$C$92,$G103&lt;=Control!$C$93),$G103-Control!$C$92,IF(AND($G103&gt;Control!$C$93,$G103&lt;=Control!$C$94),Control!$C$93-Control!$C$92,IF(AND($G103&gt;Control!$C$94,$G103&lt;=Control!$C$95),(Control!$C$93-Control!$C$92)*(Control!$C$94-$G103)/(Control!$C$95-Control!$C$94))))))</f>
        <v>#N/A</v>
      </c>
      <c r="CC103" s="140" t="e">
        <f t="shared" ca="1" si="368"/>
        <v>#N/A</v>
      </c>
      <c r="CD103" s="140" t="e">
        <f ca="1">IF($CC103&lt;=Control!$C$90,$CC103,Control!$C$90-$CC103)</f>
        <v>#N/A</v>
      </c>
      <c r="CE103" s="140" t="e">
        <f ca="1">IF(AND($BB103&gt;=60,$BB103&lt;65),1,IF($CC103&gt;=Control!$C$90,0,$CA103))</f>
        <v>#N/A</v>
      </c>
      <c r="CF103" s="404" t="e">
        <f ca="1">IF($CE103=0,0,IF($CC103&lt;=Control!$C$90,$CA103*(60+(65-60)*(CD103/Control!$C$90)),0))</f>
        <v>#N/A</v>
      </c>
      <c r="CG103" s="140" t="e">
        <f ca="1">IF($BG103+$BM103+$BS103+$BY103+$CE103=1,0,IF(OR(AND($BB103&lt;90,$BB103&gt;=65),$CC103&gt;=Control!$C$90),$BA103,$CK102))</f>
        <v>#N/A</v>
      </c>
      <c r="CH103" s="140" t="e">
        <f ca="1">IF($CD103&lt;0,-$CD103,$CG103*IF(OR($G103&lt;Control!$C$92,$G103&gt;Control!$C$95),0,IF(AND($G103&gt;=Control!$C$92,$G103&lt;=Control!$C$93),$G103-Control!$C$92,IF(AND($G103&gt;Control!$C$93,$G103&lt;=Control!$C$94),Control!$C$93-Control!$C$92,IF(AND($G103&gt;Control!$C$94,$G103&lt;=Control!$C$95),(Control!$C$93-Control!$C$92)*(Control!$C$94-$G103)/(Control!$C$95-Control!$C$94))))))</f>
        <v>#N/A</v>
      </c>
      <c r="CI103" s="140" t="e">
        <f t="shared" ca="1" si="369"/>
        <v>#N/A</v>
      </c>
      <c r="CJ103" s="140" t="e">
        <f ca="1">IF($CI103&lt;=Control!$C$91,$CI103,Control!$C$91-$CI103)</f>
        <v>#N/A</v>
      </c>
      <c r="CK103" s="140" t="e">
        <f ca="1">IF(AND($BB103&gt;=65,$BB103&lt;90),1,IF($CI103&gt;=Control!$C$91,0,$CG103))</f>
        <v>#N/A</v>
      </c>
      <c r="CL103" s="404" t="e">
        <f ca="1">IF($CK103=0,0,IF($CI103&lt;=Control!$C$91,$CG103*(65+(90-65)*($CJ103/Control!$C$91)),0))</f>
        <v>#N/A</v>
      </c>
      <c r="CM103" s="140" t="e">
        <f ca="1">IF($BG103+$BM103+$BS103+$BY103+$CE103+$CK103=1,0,IF(OR($BB103&gt;=90,$CI103&gt;=Control!$C$91),$BA103,$CM102))</f>
        <v>#N/A</v>
      </c>
      <c r="CN103" s="140" t="e">
        <f t="shared" ca="1" si="370"/>
        <v>#N/A</v>
      </c>
      <c r="CO103" s="140" t="e">
        <f t="shared" ca="1" si="371"/>
        <v>#N/A</v>
      </c>
      <c r="CP103" s="140" t="e">
        <f t="shared" ca="1" si="372"/>
        <v>#N/A</v>
      </c>
      <c r="CQ103" s="141" t="e">
        <f ca="1">VLOOKUP($CP103,Control!$B$86:$G$91,6)</f>
        <v>#N/A</v>
      </c>
      <c r="CR103" s="141" t="e">
        <f ca="1">(1-$CQ103)*VLOOKUP($CP103,Control!$B$86:$D$91,3)</f>
        <v>#N/A</v>
      </c>
      <c r="CS103" s="141" t="e">
        <f ca="1">(1-$CQ103)*VLOOKUP($CP103,Control!$B$86:$E$91,4)</f>
        <v>#N/A</v>
      </c>
      <c r="CT103" s="141" t="e">
        <f ca="1">(1-$CQ103)*VLOOKUP($CP103,Control!$B$86:$F$91,5)</f>
        <v>#N/A</v>
      </c>
      <c r="CU103" s="141">
        <f t="shared" ca="1" si="373"/>
        <v>0</v>
      </c>
      <c r="CV103" s="583">
        <f t="shared" ca="1" si="374"/>
        <v>0</v>
      </c>
      <c r="CW103" s="142">
        <f t="shared" ca="1" si="375"/>
        <v>99</v>
      </c>
      <c r="CX103" s="612" t="e">
        <f ca="1">IF(Control!$C$114=1,(MIN(Control!$C$120*(IF($NT103-0.01&lt;0,0,1)),Control!$C$119-$CY103)))</f>
        <v>#DIV/0!</v>
      </c>
      <c r="CY103" s="143" t="e">
        <f t="shared" ca="1" si="376"/>
        <v>#N/A</v>
      </c>
      <c r="CZ103" s="144">
        <f t="shared" ca="1" si="253"/>
        <v>0</v>
      </c>
      <c r="DA103" s="144">
        <f t="shared" ca="1" si="254"/>
        <v>0</v>
      </c>
      <c r="DB103" s="144" t="e">
        <f t="shared" ca="1" si="255"/>
        <v>#N/A</v>
      </c>
      <c r="DC103" s="144" t="e">
        <f t="shared" ca="1" si="256"/>
        <v>#N/A</v>
      </c>
      <c r="DD103" s="144" t="e">
        <f t="shared" ca="1" si="461"/>
        <v>#N/A</v>
      </c>
      <c r="DE103" s="143" t="e">
        <f t="shared" ca="1" si="377"/>
        <v>#N/A</v>
      </c>
      <c r="DF103" s="145" t="e">
        <f ca="1">$DR103*EXP(-Control!$C$158*(1-$KH103))</f>
        <v>#N/A</v>
      </c>
      <c r="DG103" s="146" t="e">
        <f ca="1">IF(Control!$C$114=1, $DF103*$EY103, 0)</f>
        <v>#N/A</v>
      </c>
      <c r="DH103" s="147" t="e">
        <f t="shared" ca="1" si="378"/>
        <v>#N/A</v>
      </c>
      <c r="DI103" s="144" t="e">
        <f t="shared" ca="1" si="439"/>
        <v>#N/A</v>
      </c>
      <c r="DJ103" s="147" t="e">
        <f ca="1">$EF103*Control!$C$109</f>
        <v>#N/A</v>
      </c>
      <c r="DK103" s="144" t="e">
        <f t="shared" ca="1" si="379"/>
        <v>#N/A</v>
      </c>
      <c r="DL103" s="144" t="e">
        <f t="shared" ca="1" si="257"/>
        <v>#N/A</v>
      </c>
      <c r="DM103" s="144" t="e">
        <f ca="1">IF(Control!$C$114=1, (1-EXP(-Control!$C$96*$DK103))*$AR103, 0)</f>
        <v>#N/A</v>
      </c>
      <c r="DN103" s="144">
        <f t="shared" ca="1" si="380"/>
        <v>0</v>
      </c>
      <c r="DO103" s="148">
        <f>Control!$C$97</f>
        <v>4</v>
      </c>
      <c r="DP103" s="145" t="e">
        <f t="shared" ca="1" si="381"/>
        <v>#N/A</v>
      </c>
      <c r="DQ103" s="145" t="e">
        <f ca="1">IF(AND($CP103&gt;=0,$CP103&lt;=90),Control!$C$111,Control!$C$111)</f>
        <v>#N/A</v>
      </c>
      <c r="DR103" s="145" t="e">
        <f t="shared" ca="1" si="258"/>
        <v>#N/A</v>
      </c>
      <c r="DS103" s="143" t="e">
        <f ca="1">Control!$B$22/$DR103</f>
        <v>#N/A</v>
      </c>
      <c r="DT103" s="149" t="e">
        <f ca="1">IF(AND(Control!$C$114=1,$KH103&lt;1),$IM103*$DF103, 0)</f>
        <v>#N/A</v>
      </c>
      <c r="DU103" s="144" t="e">
        <f t="shared" ca="1" si="382"/>
        <v>#N/A</v>
      </c>
      <c r="DV103" s="144">
        <f ca="1">IF($G103-Control!$C$107&lt;=0, 0, 0.83*LN(MAX($G103, 3))-0.8924)</f>
        <v>0</v>
      </c>
      <c r="DW103" s="144" t="e">
        <f t="shared" ca="1" si="259"/>
        <v>#N/A</v>
      </c>
      <c r="DX103" s="150" t="e">
        <f ca="1">MAX(0.01*(1+$CU103/Control!$C$102),0.05*($DK103-Control!$C$97)/Control!$C$97)</f>
        <v>#N/A</v>
      </c>
      <c r="DY103" s="151" t="e">
        <f ca="1">IF(Control!$C$114=1, $DI103*$FS103, 0)</f>
        <v>#N/A</v>
      </c>
      <c r="DZ103" s="196" t="e">
        <f t="shared" ca="1" si="383"/>
        <v>#N/A</v>
      </c>
      <c r="EA103" s="152">
        <f t="shared" ca="1" si="384"/>
        <v>99</v>
      </c>
      <c r="EB103" s="153" t="e">
        <f t="shared" ca="1" si="385"/>
        <v>#N/A</v>
      </c>
      <c r="EC103" s="153" t="e">
        <f t="shared" ca="1" si="386"/>
        <v>#N/A</v>
      </c>
      <c r="ED103" s="154" t="e">
        <f ca="1">IF(Control!$C$114=1, $HM103*$FY103-$FD103, 0)</f>
        <v>#DIV/0!</v>
      </c>
      <c r="EE103" s="155" t="e">
        <f ca="1">IF(Control!$C$114=1, $HM103*$FZ103-$FF103, 0)</f>
        <v>#DIV/0!</v>
      </c>
      <c r="EF103" s="153" t="e">
        <f t="shared" ca="1" si="440"/>
        <v>#N/A</v>
      </c>
      <c r="EG103" s="155" t="e">
        <f ca="1">IF(Control!$C$114=1, $GX103*$FW103-$FI103, 0)</f>
        <v>#DIV/0!</v>
      </c>
      <c r="EH103" s="153" t="e">
        <f t="shared" ca="1" si="387"/>
        <v>#N/A</v>
      </c>
      <c r="EI103" s="156" t="e">
        <f t="shared" ca="1" si="388"/>
        <v>#N/A</v>
      </c>
      <c r="EJ103" s="155" t="e">
        <f ca="1">IF(Control!$C$114=1, $HM103*$GB103, 0)</f>
        <v>#DIV/0!</v>
      </c>
      <c r="EK103" s="153" t="e">
        <f t="shared" ca="1" si="441"/>
        <v>#N/A</v>
      </c>
      <c r="EL103" s="153" t="e">
        <f t="shared" ca="1" si="260"/>
        <v>#N/A</v>
      </c>
      <c r="EM103" s="153" t="e">
        <f t="shared" ca="1" si="261"/>
        <v>#N/A</v>
      </c>
      <c r="EN103" s="153" t="e">
        <f ca="1">IF(Control!$C$108=1,IF(AND(Control!$B$18=1,$EB103&gt;=Control!$B$19),$EB103-$DS103,IF(AND(Control!$B$18=2,$AW103=1,$EB103&gt;$DS103),$EB103-$DS103,0)))</f>
        <v>#N/A</v>
      </c>
      <c r="EO103" s="153" t="e">
        <f ca="1">IF(Control!$C$108=1,IF(AND(Control!$B$18=1,$EB103&gt;=Control!$B$19),$EF103,IF(AND(Control!$B$18=2,$AW103=1),$EF103,0)))</f>
        <v>#N/A</v>
      </c>
      <c r="EP103" s="153" t="e">
        <f ca="1">IF(Control!$C$108=1,IF(AND(Control!$B$18=1,$EB103&gt;=Control!$B$19),$EK103,IF(AND(Control!$B$18=2,$AW103=1),$EK103,0)))</f>
        <v>#N/A</v>
      </c>
      <c r="EQ103" s="153" t="e">
        <f t="shared" ca="1" si="389"/>
        <v>#N/A</v>
      </c>
      <c r="ER103" s="153" t="e">
        <f t="shared" ca="1" si="390"/>
        <v>#N/A</v>
      </c>
      <c r="ES103" s="153" t="e">
        <f t="shared" ca="1" si="442"/>
        <v>#N/A</v>
      </c>
      <c r="ET103" s="153" t="e">
        <f t="shared" ca="1" si="443"/>
        <v>#N/A</v>
      </c>
      <c r="EU103" s="153" t="e">
        <f t="shared" ca="1" si="391"/>
        <v>#N/A</v>
      </c>
      <c r="EV103" s="153" t="e">
        <f t="shared" ca="1" si="262"/>
        <v>#N/A</v>
      </c>
      <c r="EW103" s="153" t="e">
        <f t="shared" ca="1" si="263"/>
        <v>#N/A</v>
      </c>
      <c r="EX103" s="153" t="e">
        <f t="shared" ca="1" si="264"/>
        <v>#N/A</v>
      </c>
      <c r="EY103" s="157" t="e">
        <f t="shared" ca="1" si="265"/>
        <v>#DIV/0!</v>
      </c>
      <c r="EZ103" s="154" t="e">
        <f t="shared" ca="1" si="266"/>
        <v>#DIV/0!</v>
      </c>
      <c r="FA103" s="153" t="e">
        <f t="shared" ca="1" si="392"/>
        <v>#N/A</v>
      </c>
      <c r="FB103" s="153" t="e">
        <f t="shared" ca="1" si="267"/>
        <v>#N/A</v>
      </c>
      <c r="FC103" s="193" t="e">
        <f t="shared" ca="1" si="268"/>
        <v>#N/A</v>
      </c>
      <c r="FD103" s="158" t="e">
        <f t="shared" ca="1" si="393"/>
        <v>#N/A</v>
      </c>
      <c r="FE103" s="158" t="e">
        <f t="shared" ca="1" si="394"/>
        <v>#N/A</v>
      </c>
      <c r="FF103" s="159" t="e">
        <f t="shared" ca="1" si="269"/>
        <v>#N/A</v>
      </c>
      <c r="FG103" s="160" t="e">
        <f t="shared" ca="1" si="395"/>
        <v>#N/A</v>
      </c>
      <c r="FH103" s="158" t="e">
        <f t="shared" ca="1" si="396"/>
        <v>#N/A</v>
      </c>
      <c r="FI103" s="159" t="e">
        <f t="shared" ca="1" si="270"/>
        <v>#N/A</v>
      </c>
      <c r="FJ103" s="160" t="e">
        <f t="shared" ca="1" si="397"/>
        <v>#N/A</v>
      </c>
      <c r="FK103" s="160" t="e">
        <f t="shared" ca="1" si="271"/>
        <v>#N/A</v>
      </c>
      <c r="FL103" s="160" t="e">
        <f t="shared" ca="1" si="444"/>
        <v>#N/A</v>
      </c>
      <c r="FM103" s="160" t="e">
        <f t="shared" ca="1" si="272"/>
        <v>#N/A</v>
      </c>
      <c r="FN103" s="158">
        <f t="shared" ca="1" si="398"/>
        <v>0.01</v>
      </c>
      <c r="FO103" s="160">
        <f>Control!$C$101</f>
        <v>50</v>
      </c>
      <c r="FP103" s="150" t="e">
        <f t="shared" ca="1" si="273"/>
        <v>#N/A</v>
      </c>
      <c r="FQ103" s="150" t="e">
        <f ca="1">MAX(0,(Control!$C$112*(($DK103-Control!$C$97)/Control!$C$97)))</f>
        <v>#N/A</v>
      </c>
      <c r="FR103" s="150" t="e">
        <f ca="1">(1-$NT103)*Control!$C$113</f>
        <v>#DIV/0!</v>
      </c>
      <c r="FS103" s="198" t="e">
        <f t="shared" ca="1" si="274"/>
        <v>#N/A</v>
      </c>
      <c r="FT103" s="161">
        <f t="shared" ca="1" si="399"/>
        <v>99</v>
      </c>
      <c r="FU103" s="162" t="e">
        <f ca="1">IF(Control!$B$34=1,VLOOKUP($CP103,Control!$B$86:$G$91,6),Control!$B$35)</f>
        <v>#N/A</v>
      </c>
      <c r="FV103" s="162" t="e">
        <f t="shared" ca="1" si="275"/>
        <v>#DIV/0!</v>
      </c>
      <c r="FW103" s="162" t="e">
        <f ca="1">IF(Control!$B$31=1,$FU103*$FV103,  $FU103)</f>
        <v>#N/A</v>
      </c>
      <c r="FX103" s="162" t="e">
        <f ca="1">IF(Control!$B$34=1,VLOOKUP($CP103,Control!$B$86:$G$91,3),Control!$B$36)</f>
        <v>#N/A</v>
      </c>
      <c r="FY103" s="162" t="e">
        <f t="shared" ca="1" si="276"/>
        <v>#N/A</v>
      </c>
      <c r="FZ103" s="162" t="e">
        <f ca="1">IF(Control!$B$34=1,VLOOKUP($CP103,Control!$B$86:$G$91,4),Control!$B$37)</f>
        <v>#N/A</v>
      </c>
      <c r="GA103" s="162" t="e">
        <f t="shared" ca="1" si="277"/>
        <v>#N/A</v>
      </c>
      <c r="GB103" s="162" t="e">
        <f ca="1">IF(Control!$B$34=1,VLOOKUP($CP103,Control!$B$86:$G$91,5),Control!$B$38)</f>
        <v>#N/A</v>
      </c>
      <c r="GC103" s="162" t="e">
        <f t="shared" ca="1" si="400"/>
        <v>#N/A</v>
      </c>
      <c r="GD103" s="162">
        <f t="shared" ca="1" si="278"/>
        <v>1</v>
      </c>
      <c r="GE103" s="162">
        <f t="shared" ca="1" si="279"/>
        <v>1</v>
      </c>
      <c r="GF103" s="162">
        <f ca="1">IF(AND(Control!$C$104=1, Control!$C$62="F"),$GE103,1)</f>
        <v>1</v>
      </c>
      <c r="GG103" s="162" t="e">
        <f ca="1">IF(Control!$B$16=40,0,IF(AND(Control!$B$16&gt;40,Control!$B$16&lt;=360),(Control!$B$16-40)*((1-0)/(360-40)),IF(AND(Control!$B$16&gt;360,Control!$B$16&lt;=720),(1+(Control!$B$16-360)*((1.25-1)/(720-360))),IF(AND(Control!$B$16&gt;720,Control!$B$16&lt;=1000),(1.25+(Control!$B$16-720)*((1.35-1.25)/(1000-720))),IF(AND(Control!$B$16&gt;1000,Control!$B$16&lt;=2000),(1.35+(Control!$B$16-1000)*0))))))</f>
        <v>#N/A</v>
      </c>
      <c r="GH103" s="162" t="e">
        <f t="shared" ca="1" si="280"/>
        <v>#N/A</v>
      </c>
      <c r="GI103" s="162">
        <f t="shared" ca="1" si="401"/>
        <v>0</v>
      </c>
      <c r="GJ103" s="162">
        <f t="shared" ca="1" si="281"/>
        <v>0</v>
      </c>
      <c r="GK103" s="162">
        <f t="shared" ca="1" si="402"/>
        <v>1</v>
      </c>
      <c r="GL103" s="162">
        <f t="shared" ca="1" si="282"/>
        <v>1</v>
      </c>
      <c r="GM103" s="162" t="e">
        <f ca="1">MAX(0,MIN(1,1-Control!$C$156*(1.0001-$KH103)^2))</f>
        <v>#N/A</v>
      </c>
      <c r="GN103" s="162" t="e">
        <f ca="1">IF(Control!$B$26=1,$KU103,$KX103)</f>
        <v>#N/A</v>
      </c>
      <c r="GO103" s="162" t="e">
        <f ca="1">IF($CP103&lt;=60,Control!$C$105,IF($CP103&gt;=90,Control!$C$106,Control!$C$105+($CP103-60)*((Control!$C$106-Control!$C$105)/(90-60))))</f>
        <v>#N/A</v>
      </c>
      <c r="GP103" s="162" t="e">
        <f t="shared" ca="1" si="283"/>
        <v>#N/A</v>
      </c>
      <c r="GQ103" s="162" t="e">
        <f t="shared" ca="1" si="403"/>
        <v>#N/A</v>
      </c>
      <c r="GR103" s="163" t="e">
        <f t="shared" ca="1" si="284"/>
        <v>#DIV/0!</v>
      </c>
      <c r="GS103" s="162" t="e">
        <f t="shared" ca="1" si="285"/>
        <v>#DIV/0!</v>
      </c>
      <c r="GT103" s="164" t="e">
        <f t="shared" ca="1" si="404"/>
        <v>#N/A</v>
      </c>
      <c r="GU103" s="162" t="e">
        <f t="shared" ca="1" si="405"/>
        <v>#N/A</v>
      </c>
      <c r="GV103" s="162" t="e">
        <f t="shared" ca="1" si="286"/>
        <v>#N/A</v>
      </c>
      <c r="GW103" s="162" t="e">
        <f t="shared" ca="1" si="287"/>
        <v>#DIV/0!</v>
      </c>
      <c r="GX103" s="162" t="e">
        <f t="shared" ca="1" si="406"/>
        <v>#DIV/0!</v>
      </c>
      <c r="GY103" s="162" t="e">
        <f t="shared" ca="1" si="407"/>
        <v>#DIV/0!</v>
      </c>
      <c r="GZ103" s="165" t="e">
        <f t="shared" ca="1" si="288"/>
        <v>#N/A</v>
      </c>
      <c r="HA103" s="162" t="e">
        <f ca="1">IF(Control!$C$114=1, $DI103*$FS103, 0)</f>
        <v>#N/A</v>
      </c>
      <c r="HB103" s="162" t="e">
        <f ca="1">$FA103/Control!$C$64</f>
        <v>#N/A</v>
      </c>
      <c r="HC103" s="162" t="e">
        <f t="shared" ca="1" si="289"/>
        <v>#DIV/0!</v>
      </c>
      <c r="HD103" s="162">
        <f ca="1">-ASIN(SIN(23.45*Control!$C$139)*COS(2*Control!$C$138*($AH103+10)/365))</f>
        <v>0.12000055677405413</v>
      </c>
      <c r="HE103" s="165">
        <f t="shared" ca="1" si="408"/>
        <v>0</v>
      </c>
      <c r="HF103" s="166">
        <f ca="1">IF(AND(Control!$C$61="T",$HE103&gt;=Control!$C$103,Control!$C$114=0),$AH103,Control!$C$59)</f>
        <v>1</v>
      </c>
      <c r="HG103" s="166">
        <f ca="1">IF(AND(Control!$C$61="T",$HE103&gt;=Control!$C$103,Control!$C$114=0),$HF103,Control!$C$59)</f>
        <v>1</v>
      </c>
      <c r="HH103" s="165">
        <f ca="1">IF(AND(OR(Control!$C$60&lt;=0, $AH103= Control!$C$59, Control!$C$60 &gt;0, $AH103 = Control!$C$60)), Control!$C$59, IF(Control!$C$60&gt;0, 0))</f>
        <v>1</v>
      </c>
      <c r="HI103" s="165">
        <f ca="1">IF(AND(OR(Control!$C$60&lt;=0, $AH103= Control!$C$59, Control!$C$60 &gt;0, $AH103 = Control!$C$60)), Control!$C$60, IF(Control!$C$60&lt;=0, 0))</f>
        <v>0</v>
      </c>
      <c r="HJ103" s="166">
        <f ca="1">IF(AND(Control!$C$62="F",$CV103&gt;=Control!$C$102),$AH103,0)</f>
        <v>0</v>
      </c>
      <c r="HK103" s="165" t="e">
        <f t="shared" ca="1" si="445"/>
        <v>#N/A</v>
      </c>
      <c r="HL103" s="166">
        <f ca="1">IF(AND(Control!$C$61="T",$HE103&gt;=Control!$C$103,Control!$C$114=0),$HF103,0)</f>
        <v>0</v>
      </c>
      <c r="HM103" s="201" t="e">
        <f t="shared" ca="1" si="290"/>
        <v>#DIV/0!</v>
      </c>
      <c r="HN103" s="215">
        <f t="shared" ca="1" si="409"/>
        <v>99</v>
      </c>
      <c r="HO103" s="216" t="e">
        <f ca="1">IF(AND($CP103&gt;=0, $CP103&lt;=90), Control!$C$152, Control!$C$152)</f>
        <v>#N/A</v>
      </c>
      <c r="HP103" s="216" t="e">
        <f t="shared" ca="1" si="291"/>
        <v>#N/A</v>
      </c>
      <c r="HQ103" s="217" t="e">
        <f ca="1">IF(OR(Control!$B$26=1,Control!$B$26=2),$KV103,$KS103)</f>
        <v>#DIV/0!</v>
      </c>
      <c r="HR103" s="218" t="e">
        <f t="shared" ca="1" si="446"/>
        <v>#DIV/0!</v>
      </c>
      <c r="HS103" s="216" t="e">
        <f ca="1">Control!$C$154*$HP103</f>
        <v>#N/A</v>
      </c>
      <c r="HT103" s="216" t="e">
        <f ca="1">Control!$C$155*$HP103</f>
        <v>#N/A</v>
      </c>
      <c r="HU103" s="217" t="e">
        <f ca="1">Control!$C$161*$FI103</f>
        <v>#N/A</v>
      </c>
      <c r="HV103" s="218" t="e">
        <f t="shared" ca="1" si="410"/>
        <v>#N/A</v>
      </c>
      <c r="HW103" s="218" t="e">
        <f ca="1">Control!$C$160*$FF103+$IP103*$EO103</f>
        <v>#N/A</v>
      </c>
      <c r="HX103" s="218" t="e">
        <f t="shared" ca="1" si="447"/>
        <v>#N/A</v>
      </c>
      <c r="HY103" s="219" t="e">
        <f ca="1">IF(Control!$C$114=1, $EB103*$FS103, 0)</f>
        <v>#N/A</v>
      </c>
      <c r="HZ103" s="91" t="e">
        <f t="shared" ca="1" si="292"/>
        <v>#N/A</v>
      </c>
      <c r="IA103" s="220" t="e">
        <f ca="1">Control!$C$153*$HO103</f>
        <v>#N/A</v>
      </c>
      <c r="IB103" s="218" t="e">
        <f t="shared" ca="1" si="293"/>
        <v>#N/A</v>
      </c>
      <c r="IC103" s="220" t="e">
        <f ca="1">Control!$C$153*$HT103</f>
        <v>#N/A</v>
      </c>
      <c r="ID103" s="218" t="e">
        <f t="shared" ca="1" si="294"/>
        <v>#N/A</v>
      </c>
      <c r="IE103" s="221" t="e">
        <f ca="1">($EB103*Control!$C$159+$EF103*Control!$C$160)/(IF($GZ103&lt;&gt;0,$GZ103,1))</f>
        <v>#N/A</v>
      </c>
      <c r="IF103" s="216" t="e">
        <f t="shared" ca="1" si="295"/>
        <v>#N/A</v>
      </c>
      <c r="IG103" s="91">
        <f ca="1">IF(OR(Control!$B$198=$AH103,Control!$B$199=$AH103, Control!$B$200=$AH103, Control!$B$201=$AH103, Control!$B$202=$AH103, Control!$B$203=$AH103, Control!$B$204=$AH103, Control!$B$205=$AH103, Control!$B$206=$AH103, Control!$B$207=$AH103), 1, 0)</f>
        <v>0</v>
      </c>
      <c r="IH103" s="91">
        <f ca="1">IF($IG103=0,0, VLOOKUP($AH103,Control!$B$198:$C$207,2))</f>
        <v>0</v>
      </c>
      <c r="II103" s="222">
        <f t="shared" ca="1" si="411"/>
        <v>0</v>
      </c>
      <c r="IJ103" s="91">
        <f>Control!$C$121</f>
        <v>0.7</v>
      </c>
      <c r="IK103" s="218">
        <f t="shared" ca="1" si="296"/>
        <v>0</v>
      </c>
      <c r="IL103" s="217" t="e">
        <f t="shared" ca="1" si="448"/>
        <v>#N/A</v>
      </c>
      <c r="IM103" s="223" t="e">
        <f ca="1">IF(AND(Control!$C$114=1,$KH103&lt;1),$EB103*Control!$C$148*(1-$KH103), 0)</f>
        <v>#N/A</v>
      </c>
      <c r="IN103" s="217" t="e">
        <f t="shared" ca="1" si="297"/>
        <v>#DIV/0!</v>
      </c>
      <c r="IO103" s="91" t="e">
        <f ca="1">MAX(0,$IL103-$EF103*Control!$C$160)</f>
        <v>#N/A</v>
      </c>
      <c r="IP103" s="220" t="e">
        <f t="shared" ca="1" si="298"/>
        <v>#N/A</v>
      </c>
      <c r="IQ103" s="217" t="e">
        <f t="shared" ca="1" si="412"/>
        <v>#N/A</v>
      </c>
      <c r="IR103" s="218" t="e">
        <f t="shared" ca="1" si="299"/>
        <v>#N/A</v>
      </c>
      <c r="IS103" s="217" t="e">
        <f ca="1">Control!$C$159*MAX(0,$FD103-$EN103)</f>
        <v>#N/A</v>
      </c>
      <c r="IT103" s="217" t="e">
        <f t="shared" ca="1" si="449"/>
        <v>#N/A</v>
      </c>
      <c r="IU103" s="217" t="e">
        <f t="shared" ca="1" si="413"/>
        <v>#N/A</v>
      </c>
      <c r="IV103" s="217" t="e">
        <f t="shared" ca="1" si="450"/>
        <v>#N/A</v>
      </c>
      <c r="IW103" s="217" t="e">
        <f ca="1">IF(OR($AW103=1,AND($AW103=0, Control!$B$18=1,$EN103&lt;&gt;0)), $IQ103-$IU103, $IQ103)</f>
        <v>#N/A</v>
      </c>
      <c r="IX103" s="218" t="e">
        <f t="shared" ca="1" si="300"/>
        <v>#N/A</v>
      </c>
      <c r="IY103" s="218" t="e">
        <f ca="1">MAX(0,$IQ103-$EB103*Control!$C$159)</f>
        <v>#N/A</v>
      </c>
      <c r="IZ103" s="218" t="e">
        <f t="shared" ca="1" si="301"/>
        <v>#N/A</v>
      </c>
      <c r="JA103" s="216" t="e">
        <f t="shared" ca="1" si="302"/>
        <v>#N/A</v>
      </c>
      <c r="JB103" s="217" t="e">
        <f t="shared" ca="1" si="303"/>
        <v>#N/A</v>
      </c>
      <c r="JC103" s="222" t="e">
        <f ca="1">MAX(Control!$C$157*$EK103-$JT103, 0)/Control!$C$162</f>
        <v>#N/A</v>
      </c>
      <c r="JD103" s="218" t="e">
        <f t="shared" ca="1" si="304"/>
        <v>#N/A</v>
      </c>
      <c r="JE103" s="218" t="e">
        <f t="shared" ca="1" si="305"/>
        <v>#N/A</v>
      </c>
      <c r="JF103" s="218" t="e">
        <f t="shared" ca="1" si="414"/>
        <v>#N/A</v>
      </c>
      <c r="JG103" s="218" t="e">
        <f t="shared" ca="1" si="306"/>
        <v>#N/A</v>
      </c>
      <c r="JH103" s="217" t="e">
        <f t="shared" ca="1" si="415"/>
        <v>#N/A</v>
      </c>
      <c r="JI103" s="217" t="e">
        <f t="shared" ca="1" si="416"/>
        <v>#N/A</v>
      </c>
      <c r="JJ103" s="217" t="e">
        <f t="shared" ca="1" si="451"/>
        <v>#N/A</v>
      </c>
      <c r="JK103" s="217" t="e">
        <f ca="1">IF(Control!$C$114=1,IF(Control!$B$24=0,MAX(0,$JI103)*$GN103/Control!$C$64,(MAX(0,MIN($JI103,$JJ103*$GN103/Control!$C$64),0))))</f>
        <v>#N/A</v>
      </c>
      <c r="JL103" s="217" t="e">
        <f ca="1">$IK103/Control!$C$64-$JK103+$HQ103</f>
        <v>#N/A</v>
      </c>
      <c r="JM103" s="217" t="e">
        <f ca="1">IF(Control!$C$114=1,($JB103/(IF($JI103&lt;&gt;0,$JI103,1)))*$JK103,0)</f>
        <v>#N/A</v>
      </c>
      <c r="JN103" s="217" t="e">
        <f ca="1">IF(Control!$C$114=1,($JG103/(IF($JI103&lt;&gt;0,$JI103,1)))*$JK103, 0)</f>
        <v>#N/A</v>
      </c>
      <c r="JO103" s="218" t="e">
        <f t="shared" ca="1" si="307"/>
        <v>#N/A</v>
      </c>
      <c r="JP103" s="218" t="e">
        <f ca="1">MIN(($IY103+$IO103)*Control!$C$151, $JF103-$EH103*Control!$C$161)</f>
        <v>#N/A</v>
      </c>
      <c r="JQ103" s="218" t="e">
        <f t="shared" ca="1" si="308"/>
        <v>#N/A</v>
      </c>
      <c r="JR103" s="217" t="e">
        <f ca="1">IF($CP103-Control!$C$150&lt;0, 0, $JQ103/Control!$C$162)</f>
        <v>#N/A</v>
      </c>
      <c r="JS103" s="218" t="e">
        <f t="shared" ca="1" si="309"/>
        <v>#N/A</v>
      </c>
      <c r="JT103" s="218" t="e">
        <f t="shared" ca="1" si="417"/>
        <v>#N/A</v>
      </c>
      <c r="JU103" s="218" t="e">
        <f t="shared" ca="1" si="310"/>
        <v>#N/A</v>
      </c>
      <c r="JV103" s="218" t="e">
        <f t="shared" ca="1" si="311"/>
        <v>#N/A</v>
      </c>
      <c r="JW103" s="216" t="e">
        <f t="shared" ca="1" si="312"/>
        <v>#N/A</v>
      </c>
      <c r="JX103" s="91" t="e">
        <f t="shared" ca="1" si="313"/>
        <v>#N/A</v>
      </c>
      <c r="JY103" s="218" t="e">
        <f t="shared" ca="1" si="314"/>
        <v>#N/A</v>
      </c>
      <c r="JZ103" s="217" t="e">
        <f ca="1">IF(Control!$C$114=1,($IZ103/(IF($JI103&lt;&gt;0,$JI103,1)))*$JK103, 0)</f>
        <v>#N/A</v>
      </c>
      <c r="KA103" s="218" t="e">
        <f t="shared" ca="1" si="452"/>
        <v>#N/A</v>
      </c>
      <c r="KB103" s="218" t="e">
        <f t="shared" ca="1" si="418"/>
        <v>#N/A</v>
      </c>
      <c r="KC103" s="218" t="e">
        <f t="shared" ca="1" si="315"/>
        <v>#N/A</v>
      </c>
      <c r="KD103" s="218" t="e">
        <f t="shared" ca="1" si="316"/>
        <v>#N/A</v>
      </c>
      <c r="KE103" s="218" t="e">
        <f t="shared" ca="1" si="317"/>
        <v>#N/A</v>
      </c>
      <c r="KF103" s="218" t="e">
        <f t="shared" ca="1" si="318"/>
        <v>#N/A</v>
      </c>
      <c r="KG103" s="216" t="e">
        <f t="shared" ca="1" si="319"/>
        <v>#N/A</v>
      </c>
      <c r="KH103" s="221" t="e">
        <f ca="1">IF(Control!$B$24=0,1,MAX(0.001,MIN(1,IF(($IF103-$IE103)&lt;&gt;0,($KG103-$IE103)/($IF103-$IE103),1))))</f>
        <v>#N/A</v>
      </c>
      <c r="KI103" s="222" t="e">
        <f ca="1">IF(Control!$C$114=1, $KI102+ $KH102, 0)</f>
        <v>#N/A</v>
      </c>
      <c r="KJ103" s="217" t="e">
        <f t="shared" ca="1" si="320"/>
        <v>#N/A</v>
      </c>
      <c r="KK103" s="218" t="e">
        <f t="shared" ca="1" si="321"/>
        <v>#N/A</v>
      </c>
      <c r="KL103" s="274" t="e">
        <f ca="1">IF(Control!$B$26=3,4000000000*EXP(-8400/($G103+273)),IF(Control!$B$26=4,4000000000*EXP(-8400/($G103+273))*($KT103),0))</f>
        <v>#DIV/0!</v>
      </c>
      <c r="KM103" s="274" t="e">
        <f ca="1">IF(Control!$B$26=3,5600000000000*EXP(-9800/($G103+273)),IF(Control!$B$26=4,5600000000000*EXP(-9800/($G103+273))*$KT103,0))</f>
        <v>#DIV/0!</v>
      </c>
      <c r="KN103" s="454" t="e">
        <f t="shared" ca="1" si="419"/>
        <v>#DIV/0!</v>
      </c>
      <c r="KO103" s="274" t="e">
        <f t="shared" ca="1" si="420"/>
        <v>#DIV/0!</v>
      </c>
      <c r="KP103" s="454" t="e">
        <f t="shared" ca="1" si="322"/>
        <v>#DIV/0!</v>
      </c>
      <c r="KQ103" s="454" t="e">
        <f t="shared" ca="1" si="323"/>
        <v>#DIV/0!</v>
      </c>
      <c r="KR103" s="454" t="e">
        <f t="shared" ca="1" si="324"/>
        <v>#DIV/0!</v>
      </c>
      <c r="KS103" s="454" t="e">
        <f t="shared" ca="1" si="325"/>
        <v>#DIV/0!</v>
      </c>
      <c r="KT103" s="455" t="e">
        <f t="shared" ca="1" si="326"/>
        <v>#DIV/0!</v>
      </c>
      <c r="KU103" s="456" t="e">
        <f ca="1">IF($CP103-Control!$C$149&lt;0, IF($NT103-0.01&lt;0,0,1),0)</f>
        <v>#N/A</v>
      </c>
      <c r="KV103" s="456" t="e">
        <f ca="1">IF(Control!$C$114=1,MAX(0,MIN(Control!$C$125*$KW103*$GN103,$KW103)))</f>
        <v>#DIV/0!</v>
      </c>
      <c r="KW103" s="456" t="e">
        <f t="shared" ca="1" si="453"/>
        <v>#DIV/0!</v>
      </c>
      <c r="KX103" s="457" t="e">
        <f ca="1">IF($CP103-Control!$C$149&lt;0, IF($MR103-$OM103&lt;0,0,1),0)</f>
        <v>#N/A</v>
      </c>
      <c r="KY103" s="167">
        <f t="shared" ca="1" si="421"/>
        <v>99</v>
      </c>
      <c r="KZ103" s="168">
        <f ca="1">1370*(1+0.033*COS(2*Control!$C$138*$AH103/365))</f>
        <v>1363.9862265488096</v>
      </c>
      <c r="LA103" s="169">
        <f t="shared" ca="1" si="422"/>
        <v>0.99561051468437156</v>
      </c>
      <c r="LB103" s="169">
        <f t="shared" ca="1" si="423"/>
        <v>0.1264062951202673</v>
      </c>
      <c r="LC103" s="169">
        <f ca="1">ACOS(-TAN((2*Control!$B$8/360))*TAN(Calculations!$LB103))</f>
        <v>1.6085750425280005</v>
      </c>
      <c r="LD103" s="169">
        <f ca="1">((24*60)/PI())*0.082*$LA103*(($LC103*SIN(Control!$B$8*2*PI()/360))*SIN($LB103)+COS(Control!$B$8*2*PI()/360)*COS($LB103)*SIN($LC103))</f>
        <v>28.818569019073191</v>
      </c>
      <c r="LE103" s="170">
        <f t="shared" ca="1" si="327"/>
        <v>28.758955950598651</v>
      </c>
      <c r="LF103" s="170">
        <f ca="1">SIN(Control!$C$139*Control!$B$8)*SIN($HD103)</f>
        <v>9.4335098688827806E-2</v>
      </c>
      <c r="LG103" s="170">
        <f ca="1">COS(Control!$C$139*Control!$B$8)*COS($HD103)</f>
        <v>0.61123232806350569</v>
      </c>
      <c r="LH103" s="170">
        <f ca="1">12*(1+2*ASIN(MAX(-1,MIN(1,$LF103/$LG103))/Control!$C$138))</f>
        <v>13.179511526399548</v>
      </c>
      <c r="LI103" s="170">
        <f ca="1">12*(1+2*ASIN(MAX(-1,MIN(1,(-SIN(-4*Control!$C$139)+$LF103)/$LG103))/Control!$C$138))</f>
        <v>14.053386599319925</v>
      </c>
      <c r="LJ103" s="168">
        <f ca="1">3600*($LH103*$LF103+24*$LG103*SQRT(1-$LK103*$LK103)/Control!$C$138)</f>
        <v>21084.491463938932</v>
      </c>
      <c r="LK103" s="170">
        <f t="shared" ca="1" si="328"/>
        <v>0.15433591182537484</v>
      </c>
      <c r="LL103" s="170">
        <f t="shared" ca="1" si="329"/>
        <v>0</v>
      </c>
      <c r="LM103" s="171">
        <f ca="1">Control!$C$145*$AB103</f>
        <v>6.6660906138995932E-2</v>
      </c>
      <c r="LN103" s="170">
        <f t="shared" ca="1" si="424"/>
        <v>0.54</v>
      </c>
      <c r="LO103" s="170">
        <f t="shared" ca="1" si="330"/>
        <v>0</v>
      </c>
      <c r="LP103" s="170">
        <f ca="1">Control!$C$140*((($D103+273.16)^4+($E103+273.16)^4)/2)*(0.34-0.14*SQRT($Y103))*(1.35*$AQ103/(0.75*$LD103)-0.35)</f>
        <v>-3.2464704755046001</v>
      </c>
      <c r="LQ103" s="170">
        <f ca="1">Control!$C$140*($G103+273)^4*(0.56-0.079*SQRT($Y103*10))*(0.1+0.9*$LO103)</f>
        <v>1.5241745131704001</v>
      </c>
      <c r="LR103" s="170">
        <f ca="1">$AQ103*(1-Control!$C$142)-$LQ103</f>
        <v>-1.5241745131704001</v>
      </c>
      <c r="LS103" s="170">
        <f ca="1">$AQ103*(1-Control!$C$143)-$LQ103</f>
        <v>-1.5241745131704001</v>
      </c>
      <c r="LT103" s="170">
        <f ca="1">$AQ103*(1-Control!$C$144)-$LQ103</f>
        <v>-1.5241745131704001</v>
      </c>
      <c r="LU103" s="169">
        <f ca="1">(1-Control!$C$144)*AQ103-LP103</f>
        <v>3.2464704755046001</v>
      </c>
      <c r="LV103" s="172">
        <f t="shared" ca="1" si="331"/>
        <v>0.79430000000000012</v>
      </c>
      <c r="LW103" s="170">
        <f t="shared" ca="1" si="332"/>
        <v>1.5886000000000002</v>
      </c>
      <c r="LX103" s="170">
        <f ca="1">($AC103*($LR103/Control!$C$141)+$LM103*$LV103)/($AC103+$LM103)</f>
        <v>0.23530094218323697</v>
      </c>
      <c r="LY103" s="170">
        <f ca="1">($AC103*($LS103/Control!$C$141)+$LM103*$LV103)/($AC103+$LM103)</f>
        <v>0.23530094218323697</v>
      </c>
      <c r="LZ103" s="170">
        <f t="shared" ca="1" si="333"/>
        <v>0.23530094218323697</v>
      </c>
      <c r="MA103" s="170">
        <f t="shared" ca="1" si="334"/>
        <v>0.23530094218323697</v>
      </c>
      <c r="MB103" s="170" t="e">
        <f t="shared" ca="1" si="335"/>
        <v>#N/A</v>
      </c>
      <c r="MC103" s="170">
        <f t="shared" ca="1" si="425"/>
        <v>0.6018</v>
      </c>
      <c r="MD103" s="170">
        <f t="shared" ca="1" si="336"/>
        <v>0.52989392535414004</v>
      </c>
      <c r="ME103" s="170">
        <f ca="1">($AC103*($LT103/Control!$C$141)+$LM103*$LW103)/($AC103+$LM103)</f>
        <v>0.71612369323045078</v>
      </c>
      <c r="MF103" s="170" t="e">
        <f ca="1">IF(Control!$B$16&gt;=1000,0.92,IF(AND(720&lt;=Control!$B$16,1000&gt;Control!$B$16),(0.95+(Control!$B$16-720)*((0.92-0.95)/(1000-720))),IF(AND(360&lt;=Control!$B$16,720&gt;Control!$B$16),(1+(Control!$B$16-360)*((0.95-1)/(720-360))),IF(AND(40&lt;=Control!$B$16,360&gt;Control!$B$16),(1.05+(Control!$B$16-40)*((1.05-1)/(360-40)))))))</f>
        <v>#N/A</v>
      </c>
      <c r="MG103" s="170">
        <f t="shared" ca="1" si="337"/>
        <v>0.71612369323045078</v>
      </c>
      <c r="MH103" s="170" t="e">
        <f t="shared" ca="1" si="462"/>
        <v>#N/A</v>
      </c>
      <c r="MI103" s="170" t="e">
        <f t="shared" ca="1" si="462"/>
        <v>#N/A</v>
      </c>
      <c r="MJ103" s="170" t="e">
        <f ca="1">MAX(0.0001, Control!$C$132*$MI103*$DL103)</f>
        <v>#N/A</v>
      </c>
      <c r="MK103" s="170">
        <f ca="1">1/(0.76+1.5*($MG103/10))-(5-Control!$C$110)*0.1</f>
        <v>1.002845988140797</v>
      </c>
      <c r="ML103" s="173">
        <f ca="1">IF(Control!$C$110&lt;3,$MK103+($MG103-0.6)/(Control!$C$110*(Control!$C$110+3)), MAX(0.1, MIN(0.95,$MK103)))</f>
        <v>0.95</v>
      </c>
      <c r="MM103" s="173">
        <f ca="1">IF(Control!$C$110&lt;3,$MK103+(($MI103/10)-0.6)/(Control!$C$110*(Control!$C$110+3)), MAX(0.1, MIN(0.95,$MK103)))</f>
        <v>0.95</v>
      </c>
      <c r="MN103" s="173">
        <f ca="1">(1-$MM103)*(Control!$C$128-Control!$C$127)+Control!$C$127</f>
        <v>0.16</v>
      </c>
      <c r="MO103" s="170" t="e">
        <f ca="1">MAX(0,MIN(1,($MS103-Control!$C$127)/($MN103-Control!$C$127)))</f>
        <v>#DIV/0!</v>
      </c>
      <c r="MP103" s="173" t="e">
        <f ca="1">1/(0.76+1.5*$MI103)-(5-Control!$C$110)*0.1</f>
        <v>#N/A</v>
      </c>
      <c r="MQ103" s="172" t="e">
        <f t="shared" ca="1" si="454"/>
        <v>#DIV/0!</v>
      </c>
      <c r="MR103" s="168" t="e">
        <f t="shared" ca="1" si="426"/>
        <v>#DIV/0!</v>
      </c>
      <c r="MS103" s="173" t="e">
        <f ca="1">MAX(Control!$C$127, MIN(Control!$C$135, $MR103/MAX(0.0001,$CY103)))</f>
        <v>#DIV/0!</v>
      </c>
      <c r="MT103" s="168" t="e">
        <f ca="1">(Control!$C$128-$MS103)*Control!$C$74</f>
        <v>#DIV/0!</v>
      </c>
      <c r="MU103" s="168" t="e">
        <f ca="1">(Control!$C$135-$MS103)*Control!$C$74</f>
        <v>#DIV/0!</v>
      </c>
      <c r="MV103" s="168" t="e">
        <f t="shared" ca="1" si="427"/>
        <v>#DIV/0!</v>
      </c>
      <c r="MW103" s="168" t="e">
        <f t="shared" ca="1" si="428"/>
        <v>#DIV/0!</v>
      </c>
      <c r="MX103" s="171" t="e">
        <f ca="1">MAX(Control!$C$127, MIN(Control!$C$135, $MW103/MAX(0.0001,Control!$C$119-$CY103)))</f>
        <v>#DIV/0!</v>
      </c>
      <c r="MY103" s="54" t="e">
        <f ca="1">IF(Control!$C$114=1, $CX103*$MX103, 0)</f>
        <v>#DIV/0!</v>
      </c>
      <c r="MZ103" s="54" t="e">
        <f t="shared" ca="1" si="429"/>
        <v>#N/A</v>
      </c>
      <c r="NA103" s="168" t="e">
        <f ca="1">(Control!$C$128-$MX103)*(Control!$C$119-Control!$C$74)</f>
        <v>#DIV/0!</v>
      </c>
      <c r="NB103" s="168" t="e">
        <f ca="1">(Control!$C$135-$MX103)*(Control!$C$119-Control!$C$74)</f>
        <v>#DIV/0!</v>
      </c>
      <c r="NC103" s="174" t="e">
        <f t="shared" ca="1" si="430"/>
        <v>#DIV/0!</v>
      </c>
      <c r="ND103" s="54">
        <f ca="1">IF(Control!$C$58=2, IF(OR(Control!$B$218=$AH103,Control!$B$219=$AH103, Control!$B$220=$AH103, Control!$B$221=$AH103, Control!$B$222=$AH103, Control!$B$223=$AH103, Control!$B$224=$AH103, Control!$B$225=$AH103, Control!$B$226=$AH103, Control!$B$227=$AH103, Control!$B$228=$AH103), 1, 0), 0)</f>
        <v>0</v>
      </c>
      <c r="NE103" s="54">
        <f ca="1">IF($ND103=0,0, VLOOKUP($AH103,Control!$B$218:$C$228,2))</f>
        <v>0</v>
      </c>
      <c r="NF103" s="168" t="e">
        <f ca="1">$CY103*(Control!$C$128-Control!$C$127)</f>
        <v>#N/A</v>
      </c>
      <c r="NG103" s="54" t="e">
        <f ca="1">IF(Control!$C$58=2, $NI102-$NJ102, 0)</f>
        <v>#DIV/0!</v>
      </c>
      <c r="NH103" s="54" t="e">
        <f ca="1">IF(AND(Control!$C$58=1, $MS102&lt;= ($MN102+0.02), $I102&lt;10), 0, IF(Control!$C$58=2, $NG102, 0))</f>
        <v>#DIV/0!</v>
      </c>
      <c r="NI103" s="54" t="e">
        <f ca="1">IF(Control!$C$58=2, $NE103+$NH103,0)</f>
        <v>#DIV/0!</v>
      </c>
      <c r="NJ103" s="54" t="e">
        <f ca="1">IF(AND(Control!$C$58=1, $MS103&lt;= ($MN103+0.02), $I103&lt;10), MAX(0, MIN(10, 0.7*($NF103-$MV103))), IF(Control!$C$58=2, MIN(10,$NI103),0))</f>
        <v>#DIV/0!</v>
      </c>
      <c r="NK103" s="54" t="e">
        <f t="shared" ca="1" si="338"/>
        <v>#DIV/0!</v>
      </c>
      <c r="NL103" s="173" t="e">
        <f ca="1">(1-Control!$C$73)*$I103+$NJ103</f>
        <v>#DIV/0!</v>
      </c>
      <c r="NM103" s="172" t="e">
        <f ca="1">IF($NL103&lt;0.5, $MB103* MAX(0, MIN(1, (SQRT($NC103)-SQRT($NC103-1))*Control!$C$71)),0)</f>
        <v>#DIV/0!</v>
      </c>
      <c r="NN103" s="170" t="e">
        <f ca="1">IF($NL103&gt;=5, $MB103, MAX(0,MIN($MB103, $NM103+$NL103,($MS103-Control!$C$129))))</f>
        <v>#DIV/0!</v>
      </c>
      <c r="NO103" s="54">
        <f>IF(Control!$C$133&lt;&gt;1, Control!$C$135-Control!$C$131, 0)</f>
        <v>0.38</v>
      </c>
      <c r="NP103" s="54" t="e">
        <f t="shared" ca="1" si="339"/>
        <v>#DIV/0!</v>
      </c>
      <c r="NQ103" s="173" t="e">
        <f ca="1">MAX(0,MIN(1,(Control!$C$135-$MS103)/(Control!$C$135-$NO103)))</f>
        <v>#DIV/0!</v>
      </c>
      <c r="NR103" s="170" t="e">
        <f ca="1">IF(Control!$C$133&lt;&gt;1, $NQ103+((1-$NP103/4)*(1-$NQ103)),1)</f>
        <v>#DIV/0!</v>
      </c>
      <c r="NS103" s="170" t="e">
        <f ca="1">IF(Control!$B$31=0,$MJ103,MAX(0,MIN($MV103,$MO103*$NR103*$MJ103)))</f>
        <v>#DIV/0!</v>
      </c>
      <c r="NT103" s="170" t="e">
        <f t="shared" ca="1" si="455"/>
        <v>#DIV/0!</v>
      </c>
      <c r="NU103" s="170" t="e">
        <f t="shared" ca="1" si="431"/>
        <v>#N/A</v>
      </c>
      <c r="NV103" s="170" t="e">
        <f t="shared" ca="1" si="340"/>
        <v>#N/A</v>
      </c>
      <c r="NW103" s="175" t="e">
        <f t="shared" ca="1" si="341"/>
        <v>#DIV/0!</v>
      </c>
      <c r="NX103" s="170" t="e">
        <f ca="1">MIN(Control!$C$72+$MU103, $NW103)</f>
        <v>#DIV/0!</v>
      </c>
      <c r="NY103" s="170" t="e">
        <f ca="1">IF($MT103&lt;=$NX103,MIN(Control!$C$72+$NB103,$NX103-$MT103),0)</f>
        <v>#DIV/0!</v>
      </c>
      <c r="NZ103" s="54" t="e">
        <f ca="1">IF(Control!$C$114=1,  $CX103*($MX103-Control!$C$127), 0)</f>
        <v>#DIV/0!</v>
      </c>
      <c r="OA103" s="170" t="e">
        <f t="shared" ca="1" si="342"/>
        <v>#DIV/0!</v>
      </c>
      <c r="OB103" s="170" t="e">
        <f ca="1">IF($NA103 &lt;=$NY103, MIN(Control!$C$72, $NY103-$NA103), 0)</f>
        <v>#DIV/0!</v>
      </c>
      <c r="OC103" s="168" t="e">
        <f t="shared" ca="1" si="343"/>
        <v>#DIV/0!</v>
      </c>
      <c r="OD103" s="168" t="e">
        <f t="shared" ca="1" si="432"/>
        <v>#DIV/0!</v>
      </c>
      <c r="OE103" s="170">
        <f ca="1">Control!$C$73*$I103</f>
        <v>0</v>
      </c>
      <c r="OF103" s="176" t="e">
        <f t="shared" ca="1" si="344"/>
        <v>#DIV/0!</v>
      </c>
      <c r="OG103" s="168" t="e">
        <f t="shared" ca="1" si="345"/>
        <v>#DIV/0!</v>
      </c>
      <c r="OH103" s="168" t="e">
        <f t="shared" ca="1" si="346"/>
        <v>#DIV/0!</v>
      </c>
      <c r="OI103" s="168" t="e">
        <f t="shared" ca="1" si="347"/>
        <v>#DIV/0!</v>
      </c>
      <c r="OJ103" s="168" t="e">
        <f t="shared" ca="1" si="348"/>
        <v>#DIV/0!</v>
      </c>
      <c r="OK103" s="204" t="e">
        <f t="shared" ca="1" si="349"/>
        <v>#DIV/0!</v>
      </c>
      <c r="OL103" s="177">
        <f>Control!$C$127</f>
        <v>0.15</v>
      </c>
      <c r="OM103" s="182" t="e">
        <f t="shared" ca="1" si="350"/>
        <v>#N/A</v>
      </c>
      <c r="ON103" s="177">
        <f>Control!$C$128</f>
        <v>0.35</v>
      </c>
      <c r="OO103" s="182" t="e">
        <f t="shared" ca="1" si="351"/>
        <v>#N/A</v>
      </c>
      <c r="OP103" s="138">
        <f t="shared" ca="1" si="433"/>
        <v>0</v>
      </c>
      <c r="OQ103" s="138" t="e">
        <f t="shared" ca="1" si="456"/>
        <v>#DIV/0!</v>
      </c>
      <c r="OR103" s="138" t="e">
        <f t="shared" ca="1" si="434"/>
        <v>#DIV/0!</v>
      </c>
      <c r="OS103" s="137" t="e">
        <f t="shared" ca="1" si="457"/>
        <v>#DIV/0!</v>
      </c>
      <c r="OT103" s="139" t="e">
        <f t="shared" ca="1" si="458"/>
        <v>#DIV/0!</v>
      </c>
      <c r="OU103" s="138" t="e">
        <f t="shared" ca="1" si="459"/>
        <v>#N/A</v>
      </c>
      <c r="OV103" s="138" t="e">
        <f t="shared" ca="1" si="460"/>
        <v>#DIV/0!</v>
      </c>
      <c r="OW103" s="138" t="e">
        <f t="shared" ca="1" si="435"/>
        <v>#DIV/0!</v>
      </c>
      <c r="OX103" s="138" t="e">
        <f t="shared" ca="1" si="436"/>
        <v>#DIV/0!</v>
      </c>
      <c r="OY103" s="138" t="e">
        <f t="shared" ca="1" si="437"/>
        <v>#DIV/0!</v>
      </c>
      <c r="OZ103" s="138" t="e">
        <f t="shared" ca="1" si="352"/>
        <v>#DIV/0!</v>
      </c>
      <c r="PA103" s="138" t="e">
        <f t="shared" ca="1" si="353"/>
        <v>#DIV/0!</v>
      </c>
      <c r="PB103" s="55">
        <f>IF(Control!$C$61="T", IF(Control!$C$65="F", IF($AH$6-Control!$C$60&lt;0,0,1), IF(365+$AH$6-Control!$C$60&lt;0,0,1)),0)</f>
        <v>0</v>
      </c>
      <c r="PC103" s="55">
        <f ca="1">IF(Control!$C$65="F", IF($AH$6-$HF103&lt;0,0,1), IF(365+$AH$6-$HF103&lt;0,0,1))</f>
        <v>1</v>
      </c>
      <c r="PD103" s="444">
        <f>Control!$C$118</f>
        <v>1500</v>
      </c>
      <c r="PE103" s="180" t="e">
        <f t="shared" ca="1" si="354"/>
        <v>#N/A</v>
      </c>
      <c r="PF103" s="445">
        <f t="shared" ca="1" si="438"/>
        <v>0.71612369323045078</v>
      </c>
      <c r="PT103" s="186"/>
      <c r="PU103" s="186"/>
      <c r="PV103" s="94"/>
      <c r="PW103" s="94"/>
      <c r="PX103" s="94"/>
      <c r="PY103" s="94"/>
      <c r="PZ103" s="94"/>
      <c r="QA103" s="94"/>
      <c r="QB103" s="94"/>
      <c r="QC103" s="94"/>
      <c r="QD103" s="94"/>
      <c r="QE103" s="94"/>
      <c r="QF103" s="94"/>
      <c r="QG103" s="94"/>
      <c r="QH103" s="94"/>
      <c r="QI103" s="94"/>
      <c r="QJ103" s="94"/>
      <c r="QK103" s="94"/>
      <c r="QL103" s="94"/>
      <c r="QM103" s="94"/>
      <c r="QN103" s="94"/>
      <c r="QO103" s="94"/>
      <c r="QP103" s="94"/>
    </row>
    <row r="104" spans="1:458" s="2" customFormat="1" x14ac:dyDescent="0.2">
      <c r="A104" s="395">
        <v>9</v>
      </c>
      <c r="B104" s="396">
        <v>4</v>
      </c>
      <c r="C104" s="387">
        <f ca="1">Weather_data!$B103</f>
        <v>0</v>
      </c>
      <c r="D104" s="388">
        <f ca="1">Weather_data!$F103</f>
        <v>0</v>
      </c>
      <c r="E104" s="388">
        <f ca="1">Weather_data!$E103</f>
        <v>0</v>
      </c>
      <c r="F104" s="388">
        <f t="shared" ca="1" si="355"/>
        <v>0</v>
      </c>
      <c r="G104" s="388">
        <f ca="1">AVERAGE($D104:$E104)+Control!$B$9</f>
        <v>0</v>
      </c>
      <c r="H104" s="388">
        <f ca="1">Weather_data!$G103</f>
        <v>0</v>
      </c>
      <c r="I104" s="388">
        <f ca="1">Weather_data!$I103</f>
        <v>0</v>
      </c>
      <c r="J104" s="388">
        <f ca="1">Weather_data!$H103</f>
        <v>0</v>
      </c>
      <c r="K104" s="389">
        <f ca="1">Weather_data!$D103</f>
        <v>0</v>
      </c>
      <c r="L104" s="388" t="e">
        <f t="shared" ca="1" si="356"/>
        <v>#N/A</v>
      </c>
      <c r="M104" s="388" t="e">
        <f t="shared" ca="1" si="234"/>
        <v>#N/A</v>
      </c>
      <c r="N104" s="388">
        <f t="shared" ca="1" si="235"/>
        <v>-1.6395925239251529E-5</v>
      </c>
      <c r="O104" s="388">
        <f t="shared" ca="1" si="357"/>
        <v>1.6395925239251529E-4</v>
      </c>
      <c r="P104" s="390">
        <v>3</v>
      </c>
      <c r="Q104" s="388">
        <f ca="1">MAX($G104-Control!$C$107,0)</f>
        <v>0</v>
      </c>
      <c r="R104" s="388">
        <f t="shared" ca="1" si="358"/>
        <v>0</v>
      </c>
      <c r="S104" s="388">
        <f t="shared" ca="1" si="236"/>
        <v>0</v>
      </c>
      <c r="T104" s="388">
        <f t="shared" ca="1" si="237"/>
        <v>0</v>
      </c>
      <c r="U104" s="59">
        <f t="shared" ca="1" si="238"/>
        <v>0</v>
      </c>
      <c r="V104" s="391">
        <f ca="1">MAX(0,MIN(Control!$C$100-Control!$C$99,$G104-Control!$C$99)*Control!$C$63)</f>
        <v>0</v>
      </c>
      <c r="W104" s="388">
        <f t="shared" ca="1" si="359"/>
        <v>0</v>
      </c>
      <c r="X104" s="388">
        <f t="shared" ca="1" si="360"/>
        <v>0.6110000000000001</v>
      </c>
      <c r="Y104" s="388">
        <f t="shared" ca="1" si="239"/>
        <v>0</v>
      </c>
      <c r="Z104" s="388">
        <f t="shared" ca="1" si="361"/>
        <v>0.61058800000000002</v>
      </c>
      <c r="AA104" s="388">
        <f t="shared" ca="1" si="240"/>
        <v>0.6018</v>
      </c>
      <c r="AB104" s="388">
        <f ca="1">101.3*EXP(-0.034*Control!$C$66/($G104+273))</f>
        <v>100.69623283836242</v>
      </c>
      <c r="AC104" s="392">
        <f t="shared" ca="1" si="241"/>
        <v>4.3460251046025113E-2</v>
      </c>
      <c r="AD104" s="392">
        <f t="shared" ca="1" si="242"/>
        <v>4.4450382862832649E-2</v>
      </c>
      <c r="AE104" s="388">
        <f t="shared" ca="1" si="243"/>
        <v>0</v>
      </c>
      <c r="AF104" s="388">
        <f ca="1">MAX(0,$G104-Control!$C$92)</f>
        <v>0</v>
      </c>
      <c r="AG104" s="393">
        <f t="shared" ca="1" si="244"/>
        <v>100</v>
      </c>
      <c r="AH104" s="389">
        <f t="shared" ca="1" si="245"/>
        <v>100</v>
      </c>
      <c r="AI104" s="388">
        <f t="shared" ca="1" si="362"/>
        <v>0.12656542273413454</v>
      </c>
      <c r="AJ104" s="388">
        <f ca="1">IF(Control!$C$60&lt;=0,$HH104,$HI104)</f>
        <v>1</v>
      </c>
      <c r="AK104" s="388">
        <f t="shared" ca="1" si="246"/>
        <v>0.34428412642079925</v>
      </c>
      <c r="AL104" s="388">
        <f t="shared" ca="1" si="247"/>
        <v>2.1639426361907965E-18</v>
      </c>
      <c r="AM104" s="388">
        <f t="shared" ca="1" si="248"/>
        <v>0.34428412642079925</v>
      </c>
      <c r="AN104" s="388">
        <f t="shared" ca="1" si="249"/>
        <v>0.13467333339532858</v>
      </c>
      <c r="AO104" s="388">
        <f ca="1">-0.10453/COS(Control!$B$8*PI()/180)*COS(AN104)</f>
        <v>-0.1682475037960208</v>
      </c>
      <c r="AP104" s="388">
        <f ca="1">ACOS(AO104-TAN(Control!$B$8*PI()/180)*TAN(AN104))</f>
        <v>1.9194909034403305</v>
      </c>
      <c r="AQ104" s="388">
        <f t="shared" ca="1" si="363"/>
        <v>0</v>
      </c>
      <c r="AR104" s="394">
        <f t="shared" ca="1" si="250"/>
        <v>0</v>
      </c>
      <c r="AS104" s="436">
        <f ca="1">IF(Control!$B$18=2,(IF(OR($AH104=Control!$B$175,$AH104=Control!$B$176,$AH104=Control!$B$177,$AH104=Control!$B$178,$AH104=Control!$B$179,$AH104=Control!$B$180,$AH104=Control!$B$181,$AH104=Control!$B$182,$AH104=Control!$B$183,$AH104=Control!$B$184,$AH104=Control!$B$185),1,0)),0)</f>
        <v>0</v>
      </c>
      <c r="AT104" s="436">
        <f>IF(Control!$B$20=8,IF(AND($AH104&gt;=Control!$B$172,$AH104&lt;=Control!$B$173),1,0),0)</f>
        <v>0</v>
      </c>
      <c r="AU104" s="436">
        <f>IF(Control!$B$20=8,IF($AV103=1,1*$AT104,IF($AT104=1,$AU103+1,$AU103)),0)</f>
        <v>0</v>
      </c>
      <c r="AV104" s="436">
        <f>IF(Control!$B$20=8,IF($AU104&gt;=Control!$B$174,1,0),0)</f>
        <v>0</v>
      </c>
      <c r="AW104" s="436">
        <f ca="1">IF(AND(Control!$B$18=2,Control!$B$171=1), $AV104, $AS104)</f>
        <v>0</v>
      </c>
      <c r="AX104" s="436" t="e">
        <f ca="1">IF(AND(Control!$B$18=1,$EU104&gt;=Control!$B$19),-$AY104,IF(AND(Control!$B$18=2,$AW104=1,$EU104&gt;$DS104),-$AY104, IF(Control!$C$108=0,0, IF(Control!$C$108&lt;&gt;0,1))))</f>
        <v>#N/A</v>
      </c>
      <c r="AY104" s="436" t="e">
        <f t="shared" ca="1" si="364"/>
        <v>#N/A</v>
      </c>
      <c r="AZ104" s="436" t="e">
        <f ca="1">IF(AND(Control!$B$18=1,$EB104&gt;Control!$B$19),$AZ103+1, IF(AND(Control!$B$18=2, $AW104=1, $EB104&gt;$DS104), $AZ103+1,$AZ103))</f>
        <v>#N/A</v>
      </c>
      <c r="BA104" s="587">
        <f>IF(Control!$C$81=0,1,IF($AH104&gt;=Control!$C$82,1,0))</f>
        <v>1</v>
      </c>
      <c r="BB104" s="140" t="e">
        <f ca="1">IF($BA104&gt;$BA103,Control!$C$83,IF($AW104&gt;0,$AW104*Control!$C$84,IF(AND(Control!$B$18=1,EN103&lt;&gt;0),Control!$C$84,0)))</f>
        <v>#N/A</v>
      </c>
      <c r="BC104" s="140" t="e">
        <f t="shared" ca="1" si="365"/>
        <v>#N/A</v>
      </c>
      <c r="BD104" s="140" t="e">
        <f ca="1">BC104*IF(OR($G104&lt;Control!$C$92,$G104&gt;Control!$C$95),0,IF(AND($G104&gt;=Control!$C$92,$G104&lt;=Control!$C$93),$G104-Control!$C$92,IF(AND($G104&gt;Control!$C$93,$G104&lt;=Control!$C$94),Control!$C$93-Control!$C$92,IF(AND($G104&gt;Control!$C$94,$G104&lt;=Control!$C$95),(Control!$C$93-Control!$C$92)*(Control!$C$94-$G104)/(Control!$C$95-Control!$C$94)))))</f>
        <v>#N/A</v>
      </c>
      <c r="BE104" s="140" t="e">
        <f t="shared" ca="1" si="366"/>
        <v>#N/A</v>
      </c>
      <c r="BF104" s="140" t="e">
        <f ca="1">IF($BE104&lt;=Control!$C$86,$BE104,Control!$C$86-$BE104)</f>
        <v>#N/A</v>
      </c>
      <c r="BG104" s="140" t="e">
        <f ca="1">IF(AND($AW104=1,Control!$C$84&lt;9),1,IF($BE104&gt;=Control!$C$86,0,$BC104))</f>
        <v>#N/A</v>
      </c>
      <c r="BH104" s="404" t="e">
        <f ca="1">IF($BG104=0,0,IF($BE104&lt;=Control!$C$86,$BC104*9*($BF104/Control!$C$86),0))</f>
        <v>#N/A</v>
      </c>
      <c r="BI104" s="140" t="e">
        <f ca="1">IF($BG104=1,0,IF($BE104&gt;=Control!$C$86,1,IF(AND($BB104&lt;21,$BB104&gt;=9),1,$BM103)))</f>
        <v>#N/A</v>
      </c>
      <c r="BJ104" s="140" t="e">
        <f ca="1">IF($BF104&lt;0,-$BF104,$BI104*IF(OR($G104&lt;Control!$C$92,$G104&gt;Control!$C$95),0,IF(AND($G104&gt;=Control!$C$92,$G104&lt;=Control!$C$93),$G104-Control!$C$92,IF(AND($G104&gt;Control!$C$93,$G104&lt;=Control!$C$94),Control!$C$93-Control!$C$92,IF(AND($G104&gt;Control!$C$94,$G104&lt;=Control!$C$95),(Control!$C$93-Control!$C$92)*(Control!$C$94-$G104)/(Control!$C$95-Control!$C$94))))))</f>
        <v>#N/A</v>
      </c>
      <c r="BK104" s="140" t="e">
        <f t="shared" ca="1" si="367"/>
        <v>#N/A</v>
      </c>
      <c r="BL104" s="140" t="e">
        <f ca="1">IF($BK104&lt;=Control!$C$87,$BK104,Control!$C$87-$BK104)</f>
        <v>#N/A</v>
      </c>
      <c r="BM104" s="140" t="e">
        <f ca="1">IF(AND($BB104&gt;=9,$BB104&lt;21),1,IF($BK104&gt;=Control!$C$87,0,$BI104))</f>
        <v>#N/A</v>
      </c>
      <c r="BN104" s="404" t="e">
        <f ca="1">IF($BM104=0,0,IF($BK104&lt;=Control!$C$87,$BI104*(9+(21-9)*($BL104/Control!$C$87)),0))</f>
        <v>#N/A</v>
      </c>
      <c r="BO104" s="140" t="e">
        <f ca="1">IF($BM104=1,0,IF($BK104&gt;=Control!$C$87,1,IF(AND($BB104&lt;30,$BB104&gt;=21),1,$BS103)))</f>
        <v>#N/A</v>
      </c>
      <c r="BP104" s="140" t="e">
        <f ca="1">IF($BL104&lt;0,-$BL104,$BO104*IF(OR($G104&lt;Control!$C$92,$G104&gt;Control!$C$95),0,IF(AND($G104&gt;=Control!$C$92,$G104&lt;=Control!$C$93),$G104-Control!$C$92,IF(AND($G104&gt;Control!$C$93,$G104&lt;=Control!$C$94),Control!$C$93-Control!$C$92,IF(AND($G104&gt;Control!$C$94,$G104&lt;=Control!$C$95),(Control!$C$93-Control!$C$92)*(Control!$C$94-$G104)/(Control!$C$95-Control!$C$94))))))</f>
        <v>#N/A</v>
      </c>
      <c r="BQ104" s="140" t="e">
        <f t="shared" ca="1" si="251"/>
        <v>#N/A</v>
      </c>
      <c r="BR104" s="140" t="e">
        <f ca="1">IF($BQ104&lt;=Control!$C$88,$BQ104,Control!$C$88-$BQ104)</f>
        <v>#N/A</v>
      </c>
      <c r="BS104" s="140" t="e">
        <f ca="1">IF(AND($BB104&gt;=21,$BB104&lt;30),1,IF($BQ104&gt;=Control!$C$88,0,$BO104))</f>
        <v>#N/A</v>
      </c>
      <c r="BT104" s="404" t="e">
        <f ca="1">IF($BS104=0,0,IF($BQ104&lt;=Control!$C$88,$BO104*(21+(30-21)*(BR104/Control!$C$88)),0))</f>
        <v>#N/A</v>
      </c>
      <c r="BU104" s="140" t="e">
        <f ca="1">IF(BG104+BM104+BS104=1,0,IF(OR(AND($BB104&lt;60,$BB104&gt;=30),$BQ104&gt;=Control!$C$88),1*$BA104,$BY103))</f>
        <v>#N/A</v>
      </c>
      <c r="BV104" s="140" t="e">
        <f ca="1">IF($BR104&lt;0,-$BR104,$BU104*IF(OR($G104&lt;Control!$C$92,$G104&gt;Control!$C$95),0,IF(AND($G104&gt;=Control!$C$92,$G104&lt;=Control!$C$93),$G104-Control!$C$92,IF(AND($G104&gt;Control!$C$93,$G104&lt;=Control!$C$94),Control!$C$93-Control!$C$92,IF(AND($G104&gt;Control!$C$94,$G104&lt;=Control!$C$95),(Control!$C$93-Control!$C$92)*(Control!$C$94-$G104)/(Control!$C$95-Control!$C$94))))))</f>
        <v>#N/A</v>
      </c>
      <c r="BW104" s="140" t="e">
        <f t="shared" ca="1" si="252"/>
        <v>#N/A</v>
      </c>
      <c r="BX104" s="140" t="e">
        <f ca="1">IF($BW104&lt;=Control!$C$89,$BW104,Control!$C$89-$BW104)</f>
        <v>#N/A</v>
      </c>
      <c r="BY104" s="140" t="e">
        <f ca="1">IF(AND($AJ104&gt;=30,$AJ104&lt;60),1,IF($BW104&gt;=Control!$C$89,0,$BU104))</f>
        <v>#N/A</v>
      </c>
      <c r="BZ104" s="404" t="e">
        <f ca="1">IF($BY104=0,0,IF($BW104&lt;=Control!$C$89,$BU104*(30+(60-30)*(BX104/Control!$C$89)),0))</f>
        <v>#N/A</v>
      </c>
      <c r="CA104" s="140" t="e">
        <f ca="1">IF($BG104+$BM104+$BS104+$BY104=1,0,IF(OR(AND($BB104&lt;65,$BB104&gt;=60),$BW104&gt;=Control!$C$89),1*$BA104,$CE103))</f>
        <v>#N/A</v>
      </c>
      <c r="CB104" s="140" t="e">
        <f ca="1">IF($BX104&lt;0,-$BX104,$CA104*IF(OR($G104&lt;Control!$C$92,$G104&gt;Control!$C$95),0,IF(AND($G104&gt;=Control!$C$92,$G104&lt;=Control!$C$93),$G104-Control!$C$92,IF(AND($G104&gt;Control!$C$93,$G104&lt;=Control!$C$94),Control!$C$93-Control!$C$92,IF(AND($G104&gt;Control!$C$94,$G104&lt;=Control!$C$95),(Control!$C$93-Control!$C$92)*(Control!$C$94-$G104)/(Control!$C$95-Control!$C$94))))))</f>
        <v>#N/A</v>
      </c>
      <c r="CC104" s="140" t="e">
        <f t="shared" ca="1" si="368"/>
        <v>#N/A</v>
      </c>
      <c r="CD104" s="140" t="e">
        <f ca="1">IF($CC104&lt;=Control!$C$90,$CC104,Control!$C$90-$CC104)</f>
        <v>#N/A</v>
      </c>
      <c r="CE104" s="140" t="e">
        <f ca="1">IF(AND($BB104&gt;=60,$BB104&lt;65),1,IF($CC104&gt;=Control!$C$90,0,$CA104))</f>
        <v>#N/A</v>
      </c>
      <c r="CF104" s="404" t="e">
        <f ca="1">IF($CE104=0,0,IF($CC104&lt;=Control!$C$90,$CA104*(60+(65-60)*(CD104/Control!$C$90)),0))</f>
        <v>#N/A</v>
      </c>
      <c r="CG104" s="140" t="e">
        <f ca="1">IF($BG104+$BM104+$BS104+$BY104+$CE104=1,0,IF(OR(AND($BB104&lt;90,$BB104&gt;=65),$CC104&gt;=Control!$C$90),$BA104,$CK103))</f>
        <v>#N/A</v>
      </c>
      <c r="CH104" s="140" t="e">
        <f ca="1">IF($CD104&lt;0,-$CD104,$CG104*IF(OR($G104&lt;Control!$C$92,$G104&gt;Control!$C$95),0,IF(AND($G104&gt;=Control!$C$92,$G104&lt;=Control!$C$93),$G104-Control!$C$92,IF(AND($G104&gt;Control!$C$93,$G104&lt;=Control!$C$94),Control!$C$93-Control!$C$92,IF(AND($G104&gt;Control!$C$94,$G104&lt;=Control!$C$95),(Control!$C$93-Control!$C$92)*(Control!$C$94-$G104)/(Control!$C$95-Control!$C$94))))))</f>
        <v>#N/A</v>
      </c>
      <c r="CI104" s="140" t="e">
        <f t="shared" ca="1" si="369"/>
        <v>#N/A</v>
      </c>
      <c r="CJ104" s="140" t="e">
        <f ca="1">IF($CI104&lt;=Control!$C$91,$CI104,Control!$C$91-$CI104)</f>
        <v>#N/A</v>
      </c>
      <c r="CK104" s="140" t="e">
        <f ca="1">IF(AND($BB104&gt;=65,$BB104&lt;90),1,IF($CI104&gt;=Control!$C$91,0,$CG104))</f>
        <v>#N/A</v>
      </c>
      <c r="CL104" s="404" t="e">
        <f ca="1">IF($CK104=0,0,IF($CI104&lt;=Control!$C$91,$CG104*(65+(90-65)*($CJ104/Control!$C$91)),0))</f>
        <v>#N/A</v>
      </c>
      <c r="CM104" s="140" t="e">
        <f ca="1">IF($BG104+$BM104+$BS104+$BY104+$CE104+$CK104=1,0,IF(OR($BB104&gt;=90,$CI104&gt;=Control!$C$91),$BA104,$CM103))</f>
        <v>#N/A</v>
      </c>
      <c r="CN104" s="140" t="e">
        <f t="shared" ca="1" si="370"/>
        <v>#N/A</v>
      </c>
      <c r="CO104" s="140" t="e">
        <f t="shared" ca="1" si="371"/>
        <v>#N/A</v>
      </c>
      <c r="CP104" s="140" t="e">
        <f t="shared" ca="1" si="372"/>
        <v>#N/A</v>
      </c>
      <c r="CQ104" s="141" t="e">
        <f ca="1">VLOOKUP($CP104,Control!$B$86:$G$91,6)</f>
        <v>#N/A</v>
      </c>
      <c r="CR104" s="141" t="e">
        <f ca="1">(1-$CQ104)*VLOOKUP($CP104,Control!$B$86:$D$91,3)</f>
        <v>#N/A</v>
      </c>
      <c r="CS104" s="141" t="e">
        <f ca="1">(1-$CQ104)*VLOOKUP($CP104,Control!$B$86:$E$91,4)</f>
        <v>#N/A</v>
      </c>
      <c r="CT104" s="141" t="e">
        <f ca="1">(1-$CQ104)*VLOOKUP($CP104,Control!$B$86:$F$91,5)</f>
        <v>#N/A</v>
      </c>
      <c r="CU104" s="141">
        <f t="shared" ca="1" si="373"/>
        <v>0</v>
      </c>
      <c r="CV104" s="583">
        <f t="shared" ca="1" si="374"/>
        <v>0</v>
      </c>
      <c r="CW104" s="142">
        <f t="shared" ca="1" si="375"/>
        <v>100</v>
      </c>
      <c r="CX104" s="612" t="e">
        <f ca="1">IF(Control!$C$114=1,(MIN(Control!$C$120*(IF($NT104-0.01&lt;0,0,1)),Control!$C$119-$CY104)))</f>
        <v>#DIV/0!</v>
      </c>
      <c r="CY104" s="143" t="e">
        <f t="shared" ca="1" si="376"/>
        <v>#N/A</v>
      </c>
      <c r="CZ104" s="144">
        <f t="shared" ca="1" si="253"/>
        <v>0</v>
      </c>
      <c r="DA104" s="144">
        <f t="shared" ca="1" si="254"/>
        <v>0</v>
      </c>
      <c r="DB104" s="144" t="e">
        <f t="shared" ca="1" si="255"/>
        <v>#N/A</v>
      </c>
      <c r="DC104" s="144" t="e">
        <f t="shared" ca="1" si="256"/>
        <v>#N/A</v>
      </c>
      <c r="DD104" s="144" t="e">
        <f t="shared" ca="1" si="461"/>
        <v>#N/A</v>
      </c>
      <c r="DE104" s="143" t="e">
        <f t="shared" ca="1" si="377"/>
        <v>#N/A</v>
      </c>
      <c r="DF104" s="145" t="e">
        <f ca="1">$DR104*EXP(-Control!$C$158*(1-$KH104))</f>
        <v>#N/A</v>
      </c>
      <c r="DG104" s="146" t="e">
        <f ca="1">IF(Control!$C$114=1, $DF104*$EY104, 0)</f>
        <v>#N/A</v>
      </c>
      <c r="DH104" s="147" t="e">
        <f t="shared" ca="1" si="378"/>
        <v>#N/A</v>
      </c>
      <c r="DI104" s="144" t="e">
        <f t="shared" ca="1" si="439"/>
        <v>#N/A</v>
      </c>
      <c r="DJ104" s="147" t="e">
        <f ca="1">$EF104*Control!$C$109</f>
        <v>#N/A</v>
      </c>
      <c r="DK104" s="144" t="e">
        <f t="shared" ca="1" si="379"/>
        <v>#N/A</v>
      </c>
      <c r="DL104" s="144" t="e">
        <f t="shared" ca="1" si="257"/>
        <v>#N/A</v>
      </c>
      <c r="DM104" s="144" t="e">
        <f ca="1">IF(Control!$C$114=1, (1-EXP(-Control!$C$96*$DK104))*$AR104, 0)</f>
        <v>#N/A</v>
      </c>
      <c r="DN104" s="144">
        <f t="shared" ca="1" si="380"/>
        <v>0</v>
      </c>
      <c r="DO104" s="148">
        <f>Control!$C$97</f>
        <v>4</v>
      </c>
      <c r="DP104" s="145" t="e">
        <f t="shared" ca="1" si="381"/>
        <v>#N/A</v>
      </c>
      <c r="DQ104" s="145" t="e">
        <f ca="1">IF(AND($CP104&gt;=0,$CP104&lt;=90),Control!$C$111,Control!$C$111)</f>
        <v>#N/A</v>
      </c>
      <c r="DR104" s="145" t="e">
        <f t="shared" ca="1" si="258"/>
        <v>#N/A</v>
      </c>
      <c r="DS104" s="143" t="e">
        <f ca="1">Control!$B$22/$DR104</f>
        <v>#N/A</v>
      </c>
      <c r="DT104" s="149" t="e">
        <f ca="1">IF(AND(Control!$C$114=1,$KH104&lt;1),$IM104*$DF104, 0)</f>
        <v>#N/A</v>
      </c>
      <c r="DU104" s="144" t="e">
        <f t="shared" ca="1" si="382"/>
        <v>#N/A</v>
      </c>
      <c r="DV104" s="144">
        <f ca="1">IF($G104-Control!$C$107&lt;=0, 0, 0.83*LN(MAX($G104, 3))-0.8924)</f>
        <v>0</v>
      </c>
      <c r="DW104" s="144" t="e">
        <f t="shared" ca="1" si="259"/>
        <v>#N/A</v>
      </c>
      <c r="DX104" s="150" t="e">
        <f ca="1">MAX(0.01*(1+$CU104/Control!$C$102),0.05*($DK104-Control!$C$97)/Control!$C$97)</f>
        <v>#N/A</v>
      </c>
      <c r="DY104" s="151" t="e">
        <f ca="1">IF(Control!$C$114=1, $DI104*$FS104, 0)</f>
        <v>#N/A</v>
      </c>
      <c r="DZ104" s="196" t="e">
        <f t="shared" ca="1" si="383"/>
        <v>#N/A</v>
      </c>
      <c r="EA104" s="152">
        <f t="shared" ca="1" si="384"/>
        <v>100</v>
      </c>
      <c r="EB104" s="153" t="e">
        <f t="shared" ca="1" si="385"/>
        <v>#N/A</v>
      </c>
      <c r="EC104" s="153" t="e">
        <f t="shared" ca="1" si="386"/>
        <v>#N/A</v>
      </c>
      <c r="ED104" s="154" t="e">
        <f ca="1">IF(Control!$C$114=1, $HM104*$FY104-$FD104, 0)</f>
        <v>#DIV/0!</v>
      </c>
      <c r="EE104" s="155" t="e">
        <f ca="1">IF(Control!$C$114=1, $HM104*$FZ104-$FF104, 0)</f>
        <v>#DIV/0!</v>
      </c>
      <c r="EF104" s="153" t="e">
        <f t="shared" ca="1" si="440"/>
        <v>#N/A</v>
      </c>
      <c r="EG104" s="155" t="e">
        <f ca="1">IF(Control!$C$114=1, $GX104*$FW104-$FI104, 0)</f>
        <v>#DIV/0!</v>
      </c>
      <c r="EH104" s="153" t="e">
        <f t="shared" ca="1" si="387"/>
        <v>#N/A</v>
      </c>
      <c r="EI104" s="156" t="e">
        <f t="shared" ca="1" si="388"/>
        <v>#N/A</v>
      </c>
      <c r="EJ104" s="155" t="e">
        <f ca="1">IF(Control!$C$114=1, $HM104*$GB104, 0)</f>
        <v>#DIV/0!</v>
      </c>
      <c r="EK104" s="153" t="e">
        <f t="shared" ca="1" si="441"/>
        <v>#N/A</v>
      </c>
      <c r="EL104" s="153" t="e">
        <f t="shared" ca="1" si="260"/>
        <v>#N/A</v>
      </c>
      <c r="EM104" s="153" t="e">
        <f t="shared" ca="1" si="261"/>
        <v>#N/A</v>
      </c>
      <c r="EN104" s="153" t="e">
        <f ca="1">IF(Control!$C$108=1,IF(AND(Control!$B$18=1,$EB104&gt;=Control!$B$19),$EB104-$DS104,IF(AND(Control!$B$18=2,$AW104=1,$EB104&gt;$DS104),$EB104-$DS104,0)))</f>
        <v>#N/A</v>
      </c>
      <c r="EO104" s="153" t="e">
        <f ca="1">IF(Control!$C$108=1,IF(AND(Control!$B$18=1,$EB104&gt;=Control!$B$19),$EF104,IF(AND(Control!$B$18=2,$AW104=1),$EF104,0)))</f>
        <v>#N/A</v>
      </c>
      <c r="EP104" s="153" t="e">
        <f ca="1">IF(Control!$C$108=1,IF(AND(Control!$B$18=1,$EB104&gt;=Control!$B$19),$EK104,IF(AND(Control!$B$18=2,$AW104=1),$EK104,0)))</f>
        <v>#N/A</v>
      </c>
      <c r="EQ104" s="153" t="e">
        <f t="shared" ca="1" si="389"/>
        <v>#N/A</v>
      </c>
      <c r="ER104" s="153" t="e">
        <f t="shared" ca="1" si="390"/>
        <v>#N/A</v>
      </c>
      <c r="ES104" s="153" t="e">
        <f t="shared" ca="1" si="442"/>
        <v>#N/A</v>
      </c>
      <c r="ET104" s="153" t="e">
        <f t="shared" ca="1" si="443"/>
        <v>#N/A</v>
      </c>
      <c r="EU104" s="153" t="e">
        <f t="shared" ca="1" si="391"/>
        <v>#N/A</v>
      </c>
      <c r="EV104" s="153" t="e">
        <f t="shared" ca="1" si="262"/>
        <v>#N/A</v>
      </c>
      <c r="EW104" s="153" t="e">
        <f t="shared" ca="1" si="263"/>
        <v>#N/A</v>
      </c>
      <c r="EX104" s="153" t="e">
        <f t="shared" ca="1" si="264"/>
        <v>#N/A</v>
      </c>
      <c r="EY104" s="157" t="e">
        <f t="shared" ca="1" si="265"/>
        <v>#DIV/0!</v>
      </c>
      <c r="EZ104" s="154" t="e">
        <f t="shared" ca="1" si="266"/>
        <v>#DIV/0!</v>
      </c>
      <c r="FA104" s="153" t="e">
        <f t="shared" ca="1" si="392"/>
        <v>#N/A</v>
      </c>
      <c r="FB104" s="153" t="e">
        <f t="shared" ca="1" si="267"/>
        <v>#N/A</v>
      </c>
      <c r="FC104" s="193" t="e">
        <f t="shared" ca="1" si="268"/>
        <v>#N/A</v>
      </c>
      <c r="FD104" s="158" t="e">
        <f t="shared" ca="1" si="393"/>
        <v>#N/A</v>
      </c>
      <c r="FE104" s="158" t="e">
        <f t="shared" ca="1" si="394"/>
        <v>#N/A</v>
      </c>
      <c r="FF104" s="159" t="e">
        <f t="shared" ca="1" si="269"/>
        <v>#N/A</v>
      </c>
      <c r="FG104" s="160" t="e">
        <f t="shared" ca="1" si="395"/>
        <v>#N/A</v>
      </c>
      <c r="FH104" s="158" t="e">
        <f t="shared" ca="1" si="396"/>
        <v>#N/A</v>
      </c>
      <c r="FI104" s="159" t="e">
        <f t="shared" ca="1" si="270"/>
        <v>#N/A</v>
      </c>
      <c r="FJ104" s="160" t="e">
        <f t="shared" ca="1" si="397"/>
        <v>#N/A</v>
      </c>
      <c r="FK104" s="160" t="e">
        <f t="shared" ca="1" si="271"/>
        <v>#N/A</v>
      </c>
      <c r="FL104" s="160" t="e">
        <f t="shared" ca="1" si="444"/>
        <v>#N/A</v>
      </c>
      <c r="FM104" s="160" t="e">
        <f t="shared" ca="1" si="272"/>
        <v>#N/A</v>
      </c>
      <c r="FN104" s="158">
        <f t="shared" ca="1" si="398"/>
        <v>0.01</v>
      </c>
      <c r="FO104" s="160">
        <f>Control!$C$101</f>
        <v>50</v>
      </c>
      <c r="FP104" s="150" t="e">
        <f t="shared" ca="1" si="273"/>
        <v>#N/A</v>
      </c>
      <c r="FQ104" s="150" t="e">
        <f ca="1">MAX(0,(Control!$C$112*(($DK104-Control!$C$97)/Control!$C$97)))</f>
        <v>#N/A</v>
      </c>
      <c r="FR104" s="150" t="e">
        <f ca="1">(1-$NT104)*Control!$C$113</f>
        <v>#DIV/0!</v>
      </c>
      <c r="FS104" s="198" t="e">
        <f t="shared" ca="1" si="274"/>
        <v>#N/A</v>
      </c>
      <c r="FT104" s="161">
        <f t="shared" ca="1" si="399"/>
        <v>100</v>
      </c>
      <c r="FU104" s="162" t="e">
        <f ca="1">IF(Control!$B$34=1,VLOOKUP($CP104,Control!$B$86:$G$91,6),Control!$B$35)</f>
        <v>#N/A</v>
      </c>
      <c r="FV104" s="162" t="e">
        <f t="shared" ca="1" si="275"/>
        <v>#DIV/0!</v>
      </c>
      <c r="FW104" s="162" t="e">
        <f ca="1">IF(Control!$B$31=1,$FU104*$FV104,  $FU104)</f>
        <v>#N/A</v>
      </c>
      <c r="FX104" s="162" t="e">
        <f ca="1">IF(Control!$B$34=1,VLOOKUP($CP104,Control!$B$86:$G$91,3),Control!$B$36)</f>
        <v>#N/A</v>
      </c>
      <c r="FY104" s="162" t="e">
        <f t="shared" ca="1" si="276"/>
        <v>#N/A</v>
      </c>
      <c r="FZ104" s="162" t="e">
        <f ca="1">IF(Control!$B$34=1,VLOOKUP($CP104,Control!$B$86:$G$91,4),Control!$B$37)</f>
        <v>#N/A</v>
      </c>
      <c r="GA104" s="162" t="e">
        <f t="shared" ca="1" si="277"/>
        <v>#N/A</v>
      </c>
      <c r="GB104" s="162" t="e">
        <f ca="1">IF(Control!$B$34=1,VLOOKUP($CP104,Control!$B$86:$G$91,5),Control!$B$38)</f>
        <v>#N/A</v>
      </c>
      <c r="GC104" s="162" t="e">
        <f t="shared" ca="1" si="400"/>
        <v>#N/A</v>
      </c>
      <c r="GD104" s="162">
        <f t="shared" ca="1" si="278"/>
        <v>1</v>
      </c>
      <c r="GE104" s="162">
        <f t="shared" ca="1" si="279"/>
        <v>1</v>
      </c>
      <c r="GF104" s="162">
        <f ca="1">IF(AND(Control!$C$104=1, Control!$C$62="F"),$GE104,1)</f>
        <v>1</v>
      </c>
      <c r="GG104" s="162" t="e">
        <f ca="1">IF(Control!$B$16=40,0,IF(AND(Control!$B$16&gt;40,Control!$B$16&lt;=360),(Control!$B$16-40)*((1-0)/(360-40)),IF(AND(Control!$B$16&gt;360,Control!$B$16&lt;=720),(1+(Control!$B$16-360)*((1.25-1)/(720-360))),IF(AND(Control!$B$16&gt;720,Control!$B$16&lt;=1000),(1.25+(Control!$B$16-720)*((1.35-1.25)/(1000-720))),IF(AND(Control!$B$16&gt;1000,Control!$B$16&lt;=2000),(1.35+(Control!$B$16-1000)*0))))))</f>
        <v>#N/A</v>
      </c>
      <c r="GH104" s="162" t="e">
        <f t="shared" ca="1" si="280"/>
        <v>#N/A</v>
      </c>
      <c r="GI104" s="162">
        <f t="shared" ca="1" si="401"/>
        <v>0</v>
      </c>
      <c r="GJ104" s="162">
        <f t="shared" ca="1" si="281"/>
        <v>0</v>
      </c>
      <c r="GK104" s="162">
        <f t="shared" ca="1" si="402"/>
        <v>1</v>
      </c>
      <c r="GL104" s="162">
        <f t="shared" ca="1" si="282"/>
        <v>1</v>
      </c>
      <c r="GM104" s="162" t="e">
        <f ca="1">MAX(0,MIN(1,1-Control!$C$156*(1.0001-$KH104)^2))</f>
        <v>#N/A</v>
      </c>
      <c r="GN104" s="162" t="e">
        <f ca="1">IF(Control!$B$26=1,$KU104,$KX104)</f>
        <v>#N/A</v>
      </c>
      <c r="GO104" s="162" t="e">
        <f ca="1">IF($CP104&lt;=60,Control!$C$105,IF($CP104&gt;=90,Control!$C$106,Control!$C$105+($CP104-60)*((Control!$C$106-Control!$C$105)/(90-60))))</f>
        <v>#N/A</v>
      </c>
      <c r="GP104" s="162" t="e">
        <f t="shared" ca="1" si="283"/>
        <v>#N/A</v>
      </c>
      <c r="GQ104" s="162" t="e">
        <f t="shared" ca="1" si="403"/>
        <v>#N/A</v>
      </c>
      <c r="GR104" s="163" t="e">
        <f t="shared" ca="1" si="284"/>
        <v>#DIV/0!</v>
      </c>
      <c r="GS104" s="162" t="e">
        <f t="shared" ca="1" si="285"/>
        <v>#DIV/0!</v>
      </c>
      <c r="GT104" s="164" t="e">
        <f t="shared" ca="1" si="404"/>
        <v>#N/A</v>
      </c>
      <c r="GU104" s="162" t="e">
        <f t="shared" ca="1" si="405"/>
        <v>#N/A</v>
      </c>
      <c r="GV104" s="162" t="e">
        <f t="shared" ca="1" si="286"/>
        <v>#N/A</v>
      </c>
      <c r="GW104" s="162" t="e">
        <f t="shared" ca="1" si="287"/>
        <v>#DIV/0!</v>
      </c>
      <c r="GX104" s="162" t="e">
        <f t="shared" ca="1" si="406"/>
        <v>#DIV/0!</v>
      </c>
      <c r="GY104" s="162" t="e">
        <f t="shared" ca="1" si="407"/>
        <v>#DIV/0!</v>
      </c>
      <c r="GZ104" s="165" t="e">
        <f t="shared" ca="1" si="288"/>
        <v>#N/A</v>
      </c>
      <c r="HA104" s="162" t="e">
        <f ca="1">IF(Control!$C$114=1, $DI104*$FS104, 0)</f>
        <v>#N/A</v>
      </c>
      <c r="HB104" s="162" t="e">
        <f ca="1">$FA104/Control!$C$64</f>
        <v>#N/A</v>
      </c>
      <c r="HC104" s="162" t="e">
        <f t="shared" ca="1" si="289"/>
        <v>#DIV/0!</v>
      </c>
      <c r="HD104" s="162">
        <f ca="1">-ASIN(SIN(23.45*Control!$C$139)*COS(2*Control!$C$138*($AH104+10)/365))</f>
        <v>0.12656542273413454</v>
      </c>
      <c r="HE104" s="165">
        <f t="shared" ca="1" si="408"/>
        <v>0</v>
      </c>
      <c r="HF104" s="166">
        <f ca="1">IF(AND(Control!$C$61="T",$HE104&gt;=Control!$C$103,Control!$C$114=0),$AH104,Control!$C$59)</f>
        <v>1</v>
      </c>
      <c r="HG104" s="166">
        <f ca="1">IF(AND(Control!$C$61="T",$HE104&gt;=Control!$C$103,Control!$C$114=0),$HF104,Control!$C$59)</f>
        <v>1</v>
      </c>
      <c r="HH104" s="165">
        <f ca="1">IF(AND(OR(Control!$C$60&lt;=0, $AH104= Control!$C$59, Control!$C$60 &gt;0, $AH104 = Control!$C$60)), Control!$C$59, IF(Control!$C$60&gt;0, 0))</f>
        <v>1</v>
      </c>
      <c r="HI104" s="165">
        <f ca="1">IF(AND(OR(Control!$C$60&lt;=0, $AH104= Control!$C$59, Control!$C$60 &gt;0, $AH104 = Control!$C$60)), Control!$C$60, IF(Control!$C$60&lt;=0, 0))</f>
        <v>0</v>
      </c>
      <c r="HJ104" s="166">
        <f ca="1">IF(AND(Control!$C$62="F",$CV104&gt;=Control!$C$102),$AH104,0)</f>
        <v>0</v>
      </c>
      <c r="HK104" s="165" t="e">
        <f t="shared" ca="1" si="445"/>
        <v>#N/A</v>
      </c>
      <c r="HL104" s="166">
        <f ca="1">IF(AND(Control!$C$61="T",$HE104&gt;=Control!$C$103,Control!$C$114=0),$HF104,0)</f>
        <v>0</v>
      </c>
      <c r="HM104" s="201" t="e">
        <f t="shared" ca="1" si="290"/>
        <v>#DIV/0!</v>
      </c>
      <c r="HN104" s="215">
        <f t="shared" ca="1" si="409"/>
        <v>100</v>
      </c>
      <c r="HO104" s="216" t="e">
        <f ca="1">IF(AND($CP104&gt;=0, $CP104&lt;=90), Control!$C$152, Control!$C$152)</f>
        <v>#N/A</v>
      </c>
      <c r="HP104" s="216" t="e">
        <f t="shared" ca="1" si="291"/>
        <v>#N/A</v>
      </c>
      <c r="HQ104" s="217" t="e">
        <f ca="1">IF(OR(Control!$B$26=1,Control!$B$26=2),$KV104,$KS104)</f>
        <v>#DIV/0!</v>
      </c>
      <c r="HR104" s="218" t="e">
        <f t="shared" ca="1" si="446"/>
        <v>#DIV/0!</v>
      </c>
      <c r="HS104" s="216" t="e">
        <f ca="1">Control!$C$154*$HP104</f>
        <v>#N/A</v>
      </c>
      <c r="HT104" s="216" t="e">
        <f ca="1">Control!$C$155*$HP104</f>
        <v>#N/A</v>
      </c>
      <c r="HU104" s="217" t="e">
        <f ca="1">Control!$C$161*$FI104</f>
        <v>#N/A</v>
      </c>
      <c r="HV104" s="218" t="e">
        <f t="shared" ca="1" si="410"/>
        <v>#N/A</v>
      </c>
      <c r="HW104" s="218" t="e">
        <f ca="1">Control!$C$160*$FF104+$IP104*$EO104</f>
        <v>#N/A</v>
      </c>
      <c r="HX104" s="218" t="e">
        <f t="shared" ca="1" si="447"/>
        <v>#N/A</v>
      </c>
      <c r="HY104" s="219" t="e">
        <f ca="1">IF(Control!$C$114=1, $EB104*$FS104, 0)</f>
        <v>#N/A</v>
      </c>
      <c r="HZ104" s="91" t="e">
        <f t="shared" ca="1" si="292"/>
        <v>#N/A</v>
      </c>
      <c r="IA104" s="220" t="e">
        <f ca="1">Control!$C$153*$HO104</f>
        <v>#N/A</v>
      </c>
      <c r="IB104" s="218" t="e">
        <f t="shared" ca="1" si="293"/>
        <v>#N/A</v>
      </c>
      <c r="IC104" s="220" t="e">
        <f ca="1">Control!$C$153*$HT104</f>
        <v>#N/A</v>
      </c>
      <c r="ID104" s="218" t="e">
        <f t="shared" ca="1" si="294"/>
        <v>#N/A</v>
      </c>
      <c r="IE104" s="221" t="e">
        <f ca="1">($EB104*Control!$C$159+$EF104*Control!$C$160)/(IF($GZ104&lt;&gt;0,$GZ104,1))</f>
        <v>#N/A</v>
      </c>
      <c r="IF104" s="216" t="e">
        <f t="shared" ca="1" si="295"/>
        <v>#N/A</v>
      </c>
      <c r="IG104" s="91">
        <f ca="1">IF(OR(Control!$B$198=$AH104,Control!$B$199=$AH104, Control!$B$200=$AH104, Control!$B$201=$AH104, Control!$B$202=$AH104, Control!$B$203=$AH104, Control!$B$204=$AH104, Control!$B$205=$AH104, Control!$B$206=$AH104, Control!$B$207=$AH104), 1, 0)</f>
        <v>0</v>
      </c>
      <c r="IH104" s="91">
        <f ca="1">IF($IG104=0,0, VLOOKUP($AH104,Control!$B$198:$C$207,2))</f>
        <v>0</v>
      </c>
      <c r="II104" s="222">
        <f t="shared" ca="1" si="411"/>
        <v>0</v>
      </c>
      <c r="IJ104" s="91">
        <f>Control!$C$121</f>
        <v>0.7</v>
      </c>
      <c r="IK104" s="218">
        <f t="shared" ca="1" si="296"/>
        <v>0</v>
      </c>
      <c r="IL104" s="217" t="e">
        <f t="shared" ca="1" si="448"/>
        <v>#N/A</v>
      </c>
      <c r="IM104" s="223" t="e">
        <f ca="1">IF(AND(Control!$C$114=1,$KH104&lt;1),$EB104*Control!$C$148*(1-$KH104), 0)</f>
        <v>#N/A</v>
      </c>
      <c r="IN104" s="217" t="e">
        <f t="shared" ca="1" si="297"/>
        <v>#DIV/0!</v>
      </c>
      <c r="IO104" s="91" t="e">
        <f ca="1">MAX(0,$IL104-$EF104*Control!$C$160)</f>
        <v>#N/A</v>
      </c>
      <c r="IP104" s="220" t="e">
        <f t="shared" ca="1" si="298"/>
        <v>#N/A</v>
      </c>
      <c r="IQ104" s="217" t="e">
        <f t="shared" ca="1" si="412"/>
        <v>#N/A</v>
      </c>
      <c r="IR104" s="218" t="e">
        <f t="shared" ca="1" si="299"/>
        <v>#N/A</v>
      </c>
      <c r="IS104" s="217" t="e">
        <f ca="1">Control!$C$159*MAX(0,$FD104-$EN104)</f>
        <v>#N/A</v>
      </c>
      <c r="IT104" s="217" t="e">
        <f t="shared" ca="1" si="449"/>
        <v>#N/A</v>
      </c>
      <c r="IU104" s="217" t="e">
        <f t="shared" ca="1" si="413"/>
        <v>#N/A</v>
      </c>
      <c r="IV104" s="217" t="e">
        <f t="shared" ca="1" si="450"/>
        <v>#N/A</v>
      </c>
      <c r="IW104" s="217" t="e">
        <f ca="1">IF(OR($AW104=1,AND($AW104=0, Control!$B$18=1,$EN104&lt;&gt;0)), $IQ104-$IU104, $IQ104)</f>
        <v>#N/A</v>
      </c>
      <c r="IX104" s="218" t="e">
        <f t="shared" ca="1" si="300"/>
        <v>#N/A</v>
      </c>
      <c r="IY104" s="218" t="e">
        <f ca="1">MAX(0,$IQ104-$EB104*Control!$C$159)</f>
        <v>#N/A</v>
      </c>
      <c r="IZ104" s="218" t="e">
        <f t="shared" ca="1" si="301"/>
        <v>#N/A</v>
      </c>
      <c r="JA104" s="216" t="e">
        <f t="shared" ca="1" si="302"/>
        <v>#N/A</v>
      </c>
      <c r="JB104" s="217" t="e">
        <f t="shared" ca="1" si="303"/>
        <v>#N/A</v>
      </c>
      <c r="JC104" s="222" t="e">
        <f ca="1">MAX(Control!$C$157*$EK104-$JT104, 0)/Control!$C$162</f>
        <v>#N/A</v>
      </c>
      <c r="JD104" s="218" t="e">
        <f t="shared" ca="1" si="304"/>
        <v>#N/A</v>
      </c>
      <c r="JE104" s="218" t="e">
        <f t="shared" ca="1" si="305"/>
        <v>#N/A</v>
      </c>
      <c r="JF104" s="218" t="e">
        <f t="shared" ca="1" si="414"/>
        <v>#N/A</v>
      </c>
      <c r="JG104" s="218" t="e">
        <f t="shared" ca="1" si="306"/>
        <v>#N/A</v>
      </c>
      <c r="JH104" s="217" t="e">
        <f t="shared" ca="1" si="415"/>
        <v>#N/A</v>
      </c>
      <c r="JI104" s="217" t="e">
        <f t="shared" ca="1" si="416"/>
        <v>#N/A</v>
      </c>
      <c r="JJ104" s="217" t="e">
        <f t="shared" ca="1" si="451"/>
        <v>#N/A</v>
      </c>
      <c r="JK104" s="217" t="e">
        <f ca="1">IF(Control!$C$114=1,IF(Control!$B$24=0,MAX(0,$JI104)*$GN104/Control!$C$64,(MAX(0,MIN($JI104,$JJ104*$GN104/Control!$C$64),0))))</f>
        <v>#N/A</v>
      </c>
      <c r="JL104" s="217" t="e">
        <f ca="1">$IK104/Control!$C$64-$JK104+$HQ104</f>
        <v>#N/A</v>
      </c>
      <c r="JM104" s="217" t="e">
        <f ca="1">IF(Control!$C$114=1,($JB104/(IF($JI104&lt;&gt;0,$JI104,1)))*$JK104,0)</f>
        <v>#N/A</v>
      </c>
      <c r="JN104" s="217" t="e">
        <f ca="1">IF(Control!$C$114=1,($JG104/(IF($JI104&lt;&gt;0,$JI104,1)))*$JK104, 0)</f>
        <v>#N/A</v>
      </c>
      <c r="JO104" s="218" t="e">
        <f t="shared" ca="1" si="307"/>
        <v>#N/A</v>
      </c>
      <c r="JP104" s="218" t="e">
        <f ca="1">MIN(($IY104+$IO104)*Control!$C$151, $JF104-$EH104*Control!$C$161)</f>
        <v>#N/A</v>
      </c>
      <c r="JQ104" s="218" t="e">
        <f t="shared" ca="1" si="308"/>
        <v>#N/A</v>
      </c>
      <c r="JR104" s="217" t="e">
        <f ca="1">IF($CP104-Control!$C$150&lt;0, 0, $JQ104/Control!$C$162)</f>
        <v>#N/A</v>
      </c>
      <c r="JS104" s="218" t="e">
        <f t="shared" ca="1" si="309"/>
        <v>#N/A</v>
      </c>
      <c r="JT104" s="218" t="e">
        <f t="shared" ca="1" si="417"/>
        <v>#N/A</v>
      </c>
      <c r="JU104" s="218" t="e">
        <f t="shared" ca="1" si="310"/>
        <v>#N/A</v>
      </c>
      <c r="JV104" s="218" t="e">
        <f t="shared" ca="1" si="311"/>
        <v>#N/A</v>
      </c>
      <c r="JW104" s="216" t="e">
        <f t="shared" ca="1" si="312"/>
        <v>#N/A</v>
      </c>
      <c r="JX104" s="91" t="e">
        <f t="shared" ca="1" si="313"/>
        <v>#N/A</v>
      </c>
      <c r="JY104" s="218" t="e">
        <f t="shared" ca="1" si="314"/>
        <v>#N/A</v>
      </c>
      <c r="JZ104" s="217" t="e">
        <f ca="1">IF(Control!$C$114=1,($IZ104/(IF($JI104&lt;&gt;0,$JI104,1)))*$JK104, 0)</f>
        <v>#N/A</v>
      </c>
      <c r="KA104" s="218" t="e">
        <f t="shared" ca="1" si="452"/>
        <v>#N/A</v>
      </c>
      <c r="KB104" s="218" t="e">
        <f t="shared" ca="1" si="418"/>
        <v>#N/A</v>
      </c>
      <c r="KC104" s="218" t="e">
        <f t="shared" ca="1" si="315"/>
        <v>#N/A</v>
      </c>
      <c r="KD104" s="218" t="e">
        <f t="shared" ca="1" si="316"/>
        <v>#N/A</v>
      </c>
      <c r="KE104" s="218" t="e">
        <f t="shared" ca="1" si="317"/>
        <v>#N/A</v>
      </c>
      <c r="KF104" s="218" t="e">
        <f t="shared" ca="1" si="318"/>
        <v>#N/A</v>
      </c>
      <c r="KG104" s="216" t="e">
        <f t="shared" ca="1" si="319"/>
        <v>#N/A</v>
      </c>
      <c r="KH104" s="221" t="e">
        <f ca="1">IF(Control!$B$24=0,1,MAX(0.001,MIN(1,IF(($IF104-$IE104)&lt;&gt;0,($KG104-$IE104)/($IF104-$IE104),1))))</f>
        <v>#N/A</v>
      </c>
      <c r="KI104" s="222" t="e">
        <f ca="1">IF(Control!$C$114=1, $KI103+ $KH103, 0)</f>
        <v>#N/A</v>
      </c>
      <c r="KJ104" s="217" t="e">
        <f t="shared" ca="1" si="320"/>
        <v>#N/A</v>
      </c>
      <c r="KK104" s="218" t="e">
        <f t="shared" ca="1" si="321"/>
        <v>#N/A</v>
      </c>
      <c r="KL104" s="274" t="e">
        <f ca="1">IF(Control!$B$26=3,4000000000*EXP(-8400/($G104+273)),IF(Control!$B$26=4,4000000000*EXP(-8400/($G104+273))*($KT104),0))</f>
        <v>#DIV/0!</v>
      </c>
      <c r="KM104" s="274" t="e">
        <f ca="1">IF(Control!$B$26=3,5600000000000*EXP(-9800/($G104+273)),IF(Control!$B$26=4,5600000000000*EXP(-9800/($G104+273))*$KT104,0))</f>
        <v>#DIV/0!</v>
      </c>
      <c r="KN104" s="454" t="e">
        <f t="shared" ca="1" si="419"/>
        <v>#DIV/0!</v>
      </c>
      <c r="KO104" s="274" t="e">
        <f t="shared" ca="1" si="420"/>
        <v>#DIV/0!</v>
      </c>
      <c r="KP104" s="454" t="e">
        <f t="shared" ca="1" si="322"/>
        <v>#DIV/0!</v>
      </c>
      <c r="KQ104" s="454" t="e">
        <f t="shared" ca="1" si="323"/>
        <v>#DIV/0!</v>
      </c>
      <c r="KR104" s="454" t="e">
        <f t="shared" ca="1" si="324"/>
        <v>#DIV/0!</v>
      </c>
      <c r="KS104" s="454" t="e">
        <f t="shared" ca="1" si="325"/>
        <v>#DIV/0!</v>
      </c>
      <c r="KT104" s="455" t="e">
        <f t="shared" ca="1" si="326"/>
        <v>#DIV/0!</v>
      </c>
      <c r="KU104" s="456" t="e">
        <f ca="1">IF($CP104-Control!$C$149&lt;0, IF($NT104-0.01&lt;0,0,1),0)</f>
        <v>#N/A</v>
      </c>
      <c r="KV104" s="456" t="e">
        <f ca="1">IF(Control!$C$114=1,MAX(0,MIN(Control!$C$125*$KW104*$GN104,$KW104)))</f>
        <v>#DIV/0!</v>
      </c>
      <c r="KW104" s="456" t="e">
        <f t="shared" ca="1" si="453"/>
        <v>#DIV/0!</v>
      </c>
      <c r="KX104" s="457" t="e">
        <f ca="1">IF($CP104-Control!$C$149&lt;0, IF($MR104-$OM104&lt;0,0,1),0)</f>
        <v>#N/A</v>
      </c>
      <c r="KY104" s="167">
        <f t="shared" ca="1" si="421"/>
        <v>100</v>
      </c>
      <c r="KZ104" s="168">
        <f ca="1">1370*(1+0.033*COS(2*Control!$C$138*$AH104/365))</f>
        <v>1363.2158155117536</v>
      </c>
      <c r="LA104" s="169">
        <f t="shared" ca="1" si="422"/>
        <v>0.99504817185462646</v>
      </c>
      <c r="LB104" s="169">
        <f t="shared" ca="1" si="423"/>
        <v>0.13308315174237367</v>
      </c>
      <c r="LC104" s="169">
        <f ca="1">ACOS(-TAN((2*Control!$B$8/360))*TAN(Calculations!$LB104))</f>
        <v>1.6105947356020478</v>
      </c>
      <c r="LD104" s="169">
        <f ca="1">((24*60)/PI())*0.082*$LA104*(($LC104*SIN(Control!$B$8*2*PI()/360))*SIN($LB104)+COS(Control!$B$8*2*PI()/360)*COS($LB104)*SIN($LC104))</f>
        <v>29.102395550562203</v>
      </c>
      <c r="LE104" s="170">
        <f t="shared" ca="1" si="327"/>
        <v>29.056837694927541</v>
      </c>
      <c r="LF104" s="170">
        <f ca="1">SIN(Control!$C$139*Control!$B$8)*SIN($HD104)</f>
        <v>9.9469019889884255E-2</v>
      </c>
      <c r="LG104" s="170">
        <f ca="1">COS(Control!$C$139*Control!$B$8)*COS($HD104)</f>
        <v>0.61073531435886541</v>
      </c>
      <c r="LH104" s="170">
        <f ca="1">12*(1+2*ASIN(MAX(-1,MIN(1,$LF104/$LG104))/Control!$C$138))</f>
        <v>13.244772220781801</v>
      </c>
      <c r="LI104" s="170">
        <f ca="1">12*(1+2*ASIN(MAX(-1,MIN(1,(-SIN(-4*Control!$C$139)+$LF104)/$LG104))/Control!$C$138))</f>
        <v>14.119523348104156</v>
      </c>
      <c r="LJ104" s="168">
        <f ca="1">3600*($LH104*$LF104+24*$LG104*SQRT(1-$LK104*$LK104)/Control!$C$138)</f>
        <v>21314.921206382536</v>
      </c>
      <c r="LK104" s="170">
        <f t="shared" ca="1" si="328"/>
        <v>0.16286764094246675</v>
      </c>
      <c r="LL104" s="170">
        <f t="shared" ca="1" si="329"/>
        <v>0</v>
      </c>
      <c r="LM104" s="171">
        <f ca="1">Control!$C$145*$AB104</f>
        <v>6.6660906138995932E-2</v>
      </c>
      <c r="LN104" s="170">
        <f t="shared" ca="1" si="424"/>
        <v>0.54</v>
      </c>
      <c r="LO104" s="170">
        <f t="shared" ca="1" si="330"/>
        <v>0</v>
      </c>
      <c r="LP104" s="170">
        <f ca="1">Control!$C$140*((($D104+273.16)^4+($E104+273.16)^4)/2)*(0.34-0.14*SQRT($Y104))*(1.35*$AQ104/(0.75*$LD104)-0.35)</f>
        <v>-3.2464704755046001</v>
      </c>
      <c r="LQ104" s="170">
        <f ca="1">Control!$C$140*($G104+273)^4*(0.56-0.079*SQRT($Y104*10))*(0.1+0.9*$LO104)</f>
        <v>1.5241745131704001</v>
      </c>
      <c r="LR104" s="170">
        <f ca="1">$AQ104*(1-Control!$C$142)-$LQ104</f>
        <v>-1.5241745131704001</v>
      </c>
      <c r="LS104" s="170">
        <f ca="1">$AQ104*(1-Control!$C$143)-$LQ104</f>
        <v>-1.5241745131704001</v>
      </c>
      <c r="LT104" s="170">
        <f ca="1">$AQ104*(1-Control!$C$144)-$LQ104</f>
        <v>-1.5241745131704001</v>
      </c>
      <c r="LU104" s="169">
        <f ca="1">(1-Control!$C$144)*AQ104-LP104</f>
        <v>3.2464704755046001</v>
      </c>
      <c r="LV104" s="172">
        <f t="shared" ca="1" si="331"/>
        <v>0.79430000000000012</v>
      </c>
      <c r="LW104" s="170">
        <f t="shared" ca="1" si="332"/>
        <v>1.5886000000000002</v>
      </c>
      <c r="LX104" s="170">
        <f ca="1">($AC104*($LR104/Control!$C$141)+$LM104*$LV104)/($AC104+$LM104)</f>
        <v>0.23530094218323697</v>
      </c>
      <c r="LY104" s="170">
        <f ca="1">($AC104*($LS104/Control!$C$141)+$LM104*$LV104)/($AC104+$LM104)</f>
        <v>0.23530094218323697</v>
      </c>
      <c r="LZ104" s="170">
        <f t="shared" ca="1" si="333"/>
        <v>0.23530094218323697</v>
      </c>
      <c r="MA104" s="170">
        <f t="shared" ca="1" si="334"/>
        <v>0.23530094218323697</v>
      </c>
      <c r="MB104" s="170" t="e">
        <f t="shared" ca="1" si="335"/>
        <v>#N/A</v>
      </c>
      <c r="MC104" s="170">
        <f t="shared" ca="1" si="425"/>
        <v>0.6018</v>
      </c>
      <c r="MD104" s="170">
        <f t="shared" ca="1" si="336"/>
        <v>0.52989392535414004</v>
      </c>
      <c r="ME104" s="170">
        <f ca="1">($AC104*($LT104/Control!$C$141)+$LM104*$LW104)/($AC104+$LM104)</f>
        <v>0.71612369323045078</v>
      </c>
      <c r="MF104" s="170" t="e">
        <f ca="1">IF(Control!$B$16&gt;=1000,0.92,IF(AND(720&lt;=Control!$B$16,1000&gt;Control!$B$16),(0.95+(Control!$B$16-720)*((0.92-0.95)/(1000-720))),IF(AND(360&lt;=Control!$B$16,720&gt;Control!$B$16),(1+(Control!$B$16-360)*((0.95-1)/(720-360))),IF(AND(40&lt;=Control!$B$16,360&gt;Control!$B$16),(1.05+(Control!$B$16-40)*((1.05-1)/(360-40)))))))</f>
        <v>#N/A</v>
      </c>
      <c r="MG104" s="170">
        <f t="shared" ca="1" si="337"/>
        <v>0.71612369323045078</v>
      </c>
      <c r="MH104" s="170" t="e">
        <f t="shared" ca="1" si="462"/>
        <v>#N/A</v>
      </c>
      <c r="MI104" s="170" t="e">
        <f t="shared" ca="1" si="462"/>
        <v>#N/A</v>
      </c>
      <c r="MJ104" s="170" t="e">
        <f ca="1">MAX(0.0001, Control!$C$132*$MI104*$DL104)</f>
        <v>#N/A</v>
      </c>
      <c r="MK104" s="170">
        <f ca="1">1/(0.76+1.5*($MG104/10))-(5-Control!$C$110)*0.1</f>
        <v>1.002845988140797</v>
      </c>
      <c r="ML104" s="173">
        <f ca="1">IF(Control!$C$110&lt;3,$MK104+($MG104-0.6)/(Control!$C$110*(Control!$C$110+3)), MAX(0.1, MIN(0.95,$MK104)))</f>
        <v>0.95</v>
      </c>
      <c r="MM104" s="173">
        <f ca="1">IF(Control!$C$110&lt;3,$MK104+(($MI104/10)-0.6)/(Control!$C$110*(Control!$C$110+3)), MAX(0.1, MIN(0.95,$MK104)))</f>
        <v>0.95</v>
      </c>
      <c r="MN104" s="173">
        <f ca="1">(1-$MM104)*(Control!$C$128-Control!$C$127)+Control!$C$127</f>
        <v>0.16</v>
      </c>
      <c r="MO104" s="170" t="e">
        <f ca="1">MAX(0,MIN(1,($MS104-Control!$C$127)/($MN104-Control!$C$127)))</f>
        <v>#DIV/0!</v>
      </c>
      <c r="MP104" s="173" t="e">
        <f ca="1">1/(0.76+1.5*$MI104)-(5-Control!$C$110)*0.1</f>
        <v>#N/A</v>
      </c>
      <c r="MQ104" s="172" t="e">
        <f t="shared" ca="1" si="454"/>
        <v>#DIV/0!</v>
      </c>
      <c r="MR104" s="168" t="e">
        <f t="shared" ca="1" si="426"/>
        <v>#DIV/0!</v>
      </c>
      <c r="MS104" s="173" t="e">
        <f ca="1">MAX(Control!$C$127, MIN(Control!$C$135, $MR104/MAX(0.0001,$CY104)))</f>
        <v>#DIV/0!</v>
      </c>
      <c r="MT104" s="168" t="e">
        <f ca="1">(Control!$C$128-$MS104)*Control!$C$74</f>
        <v>#DIV/0!</v>
      </c>
      <c r="MU104" s="168" t="e">
        <f ca="1">(Control!$C$135-$MS104)*Control!$C$74</f>
        <v>#DIV/0!</v>
      </c>
      <c r="MV104" s="168" t="e">
        <f t="shared" ca="1" si="427"/>
        <v>#DIV/0!</v>
      </c>
      <c r="MW104" s="168" t="e">
        <f t="shared" ca="1" si="428"/>
        <v>#DIV/0!</v>
      </c>
      <c r="MX104" s="171" t="e">
        <f ca="1">MAX(Control!$C$127, MIN(Control!$C$135, $MW104/MAX(0.0001,Control!$C$119-$CY104)))</f>
        <v>#DIV/0!</v>
      </c>
      <c r="MY104" s="54" t="e">
        <f ca="1">IF(Control!$C$114=1, $CX104*$MX104, 0)</f>
        <v>#DIV/0!</v>
      </c>
      <c r="MZ104" s="54" t="e">
        <f t="shared" ca="1" si="429"/>
        <v>#N/A</v>
      </c>
      <c r="NA104" s="168" t="e">
        <f ca="1">(Control!$C$128-$MX104)*(Control!$C$119-Control!$C$74)</f>
        <v>#DIV/0!</v>
      </c>
      <c r="NB104" s="168" t="e">
        <f ca="1">(Control!$C$135-$MX104)*(Control!$C$119-Control!$C$74)</f>
        <v>#DIV/0!</v>
      </c>
      <c r="NC104" s="174" t="e">
        <f t="shared" ca="1" si="430"/>
        <v>#DIV/0!</v>
      </c>
      <c r="ND104" s="54">
        <f ca="1">IF(Control!$C$58=2, IF(OR(Control!$B$218=$AH104,Control!$B$219=$AH104, Control!$B$220=$AH104, Control!$B$221=$AH104, Control!$B$222=$AH104, Control!$B$223=$AH104, Control!$B$224=$AH104, Control!$B$225=$AH104, Control!$B$226=$AH104, Control!$B$227=$AH104, Control!$B$228=$AH104), 1, 0), 0)</f>
        <v>0</v>
      </c>
      <c r="NE104" s="54">
        <f ca="1">IF($ND104=0,0, VLOOKUP($AH104,Control!$B$218:$C$228,2))</f>
        <v>0</v>
      </c>
      <c r="NF104" s="168" t="e">
        <f ca="1">$CY104*(Control!$C$128-Control!$C$127)</f>
        <v>#N/A</v>
      </c>
      <c r="NG104" s="54" t="e">
        <f ca="1">IF(Control!$C$58=2, $NI103-$NJ103, 0)</f>
        <v>#DIV/0!</v>
      </c>
      <c r="NH104" s="54" t="e">
        <f ca="1">IF(AND(Control!$C$58=1, $MS103&lt;= ($MN103+0.02), $I103&lt;10), 0, IF(Control!$C$58=2, $NG103, 0))</f>
        <v>#DIV/0!</v>
      </c>
      <c r="NI104" s="54" t="e">
        <f ca="1">IF(Control!$C$58=2, $NE104+$NH104,0)</f>
        <v>#DIV/0!</v>
      </c>
      <c r="NJ104" s="54" t="e">
        <f ca="1">IF(AND(Control!$C$58=1, $MS104&lt;= ($MN104+0.02), $I104&lt;10), MAX(0, MIN(10, 0.7*($NF104-$MV104))), IF(Control!$C$58=2, MIN(10,$NI104),0))</f>
        <v>#DIV/0!</v>
      </c>
      <c r="NK104" s="54" t="e">
        <f t="shared" ca="1" si="338"/>
        <v>#DIV/0!</v>
      </c>
      <c r="NL104" s="173" t="e">
        <f ca="1">(1-Control!$C$73)*$I104+$NJ104</f>
        <v>#DIV/0!</v>
      </c>
      <c r="NM104" s="172" t="e">
        <f ca="1">IF($NL104&lt;0.5, $MB104* MAX(0, MIN(1, (SQRT($NC104)-SQRT($NC104-1))*Control!$C$71)),0)</f>
        <v>#DIV/0!</v>
      </c>
      <c r="NN104" s="170" t="e">
        <f ca="1">IF($NL104&gt;=5, $MB104, MAX(0,MIN($MB104, $NM104+$NL104,($MS104-Control!$C$129))))</f>
        <v>#DIV/0!</v>
      </c>
      <c r="NO104" s="54">
        <f>IF(Control!$C$133&lt;&gt;1, Control!$C$135-Control!$C$131, 0)</f>
        <v>0.38</v>
      </c>
      <c r="NP104" s="54" t="e">
        <f t="shared" ca="1" si="339"/>
        <v>#DIV/0!</v>
      </c>
      <c r="NQ104" s="173" t="e">
        <f ca="1">MAX(0,MIN(1,(Control!$C$135-$MS104)/(Control!$C$135-$NO104)))</f>
        <v>#DIV/0!</v>
      </c>
      <c r="NR104" s="170" t="e">
        <f ca="1">IF(Control!$C$133&lt;&gt;1, $NQ104+((1-$NP104/4)*(1-$NQ104)),1)</f>
        <v>#DIV/0!</v>
      </c>
      <c r="NS104" s="170" t="e">
        <f ca="1">IF(Control!$B$31=0,$MJ104,MAX(0,MIN($MV104,$MO104*$NR104*$MJ104)))</f>
        <v>#DIV/0!</v>
      </c>
      <c r="NT104" s="170" t="e">
        <f t="shared" ca="1" si="455"/>
        <v>#DIV/0!</v>
      </c>
      <c r="NU104" s="170" t="e">
        <f t="shared" ca="1" si="431"/>
        <v>#N/A</v>
      </c>
      <c r="NV104" s="170" t="e">
        <f t="shared" ca="1" si="340"/>
        <v>#N/A</v>
      </c>
      <c r="NW104" s="175" t="e">
        <f t="shared" ca="1" si="341"/>
        <v>#DIV/0!</v>
      </c>
      <c r="NX104" s="170" t="e">
        <f ca="1">MIN(Control!$C$72+$MU104, $NW104)</f>
        <v>#DIV/0!</v>
      </c>
      <c r="NY104" s="170" t="e">
        <f ca="1">IF($MT104&lt;=$NX104,MIN(Control!$C$72+$NB104,$NX104-$MT104),0)</f>
        <v>#DIV/0!</v>
      </c>
      <c r="NZ104" s="54" t="e">
        <f ca="1">IF(Control!$C$114=1,  $CX104*($MX104-Control!$C$127), 0)</f>
        <v>#DIV/0!</v>
      </c>
      <c r="OA104" s="170" t="e">
        <f t="shared" ca="1" si="342"/>
        <v>#DIV/0!</v>
      </c>
      <c r="OB104" s="170" t="e">
        <f ca="1">IF($NA104 &lt;=$NY104, MIN(Control!$C$72, $NY104-$NA104), 0)</f>
        <v>#DIV/0!</v>
      </c>
      <c r="OC104" s="168" t="e">
        <f t="shared" ca="1" si="343"/>
        <v>#DIV/0!</v>
      </c>
      <c r="OD104" s="168" t="e">
        <f t="shared" ca="1" si="432"/>
        <v>#DIV/0!</v>
      </c>
      <c r="OE104" s="170">
        <f ca="1">Control!$C$73*$I104</f>
        <v>0</v>
      </c>
      <c r="OF104" s="176" t="e">
        <f t="shared" ca="1" si="344"/>
        <v>#DIV/0!</v>
      </c>
      <c r="OG104" s="168" t="e">
        <f t="shared" ca="1" si="345"/>
        <v>#DIV/0!</v>
      </c>
      <c r="OH104" s="168" t="e">
        <f t="shared" ca="1" si="346"/>
        <v>#DIV/0!</v>
      </c>
      <c r="OI104" s="168" t="e">
        <f t="shared" ca="1" si="347"/>
        <v>#DIV/0!</v>
      </c>
      <c r="OJ104" s="168" t="e">
        <f t="shared" ca="1" si="348"/>
        <v>#DIV/0!</v>
      </c>
      <c r="OK104" s="204" t="e">
        <f t="shared" ca="1" si="349"/>
        <v>#DIV/0!</v>
      </c>
      <c r="OL104" s="177">
        <f>Control!$C$127</f>
        <v>0.15</v>
      </c>
      <c r="OM104" s="182" t="e">
        <f t="shared" ca="1" si="350"/>
        <v>#N/A</v>
      </c>
      <c r="ON104" s="177">
        <f>Control!$C$128</f>
        <v>0.35</v>
      </c>
      <c r="OO104" s="182" t="e">
        <f t="shared" ca="1" si="351"/>
        <v>#N/A</v>
      </c>
      <c r="OP104" s="138">
        <f t="shared" ca="1" si="433"/>
        <v>0</v>
      </c>
      <c r="OQ104" s="138" t="e">
        <f t="shared" ca="1" si="456"/>
        <v>#DIV/0!</v>
      </c>
      <c r="OR104" s="138" t="e">
        <f t="shared" ca="1" si="434"/>
        <v>#DIV/0!</v>
      </c>
      <c r="OS104" s="137" t="e">
        <f t="shared" ca="1" si="457"/>
        <v>#DIV/0!</v>
      </c>
      <c r="OT104" s="139" t="e">
        <f t="shared" ca="1" si="458"/>
        <v>#DIV/0!</v>
      </c>
      <c r="OU104" s="138" t="e">
        <f t="shared" ca="1" si="459"/>
        <v>#N/A</v>
      </c>
      <c r="OV104" s="138" t="e">
        <f t="shared" ca="1" si="460"/>
        <v>#DIV/0!</v>
      </c>
      <c r="OW104" s="138" t="e">
        <f t="shared" ca="1" si="435"/>
        <v>#DIV/0!</v>
      </c>
      <c r="OX104" s="138" t="e">
        <f t="shared" ca="1" si="436"/>
        <v>#DIV/0!</v>
      </c>
      <c r="OY104" s="138" t="e">
        <f t="shared" ca="1" si="437"/>
        <v>#DIV/0!</v>
      </c>
      <c r="OZ104" s="138" t="e">
        <f t="shared" ca="1" si="352"/>
        <v>#DIV/0!</v>
      </c>
      <c r="PA104" s="138" t="e">
        <f t="shared" ca="1" si="353"/>
        <v>#DIV/0!</v>
      </c>
      <c r="PB104" s="55">
        <f>IF(Control!$C$61="T", IF(Control!$C$65="F", IF($AH$6-Control!$C$60&lt;0,0,1), IF(365+$AH$6-Control!$C$60&lt;0,0,1)),0)</f>
        <v>0</v>
      </c>
      <c r="PC104" s="55">
        <f ca="1">IF(Control!$C$65="F", IF($AH$6-$HF104&lt;0,0,1), IF(365+$AH$6-$HF104&lt;0,0,1))</f>
        <v>1</v>
      </c>
      <c r="PD104" s="444">
        <f>Control!$C$118</f>
        <v>1500</v>
      </c>
      <c r="PE104" s="180" t="e">
        <f t="shared" ca="1" si="354"/>
        <v>#N/A</v>
      </c>
      <c r="PF104" s="445">
        <f t="shared" ca="1" si="438"/>
        <v>0.71612369323045078</v>
      </c>
      <c r="PT104" s="186"/>
      <c r="PU104" s="186"/>
      <c r="PV104" s="94"/>
      <c r="PW104" s="94"/>
      <c r="PX104" s="94"/>
      <c r="PY104" s="94"/>
      <c r="PZ104" s="94"/>
      <c r="QA104" s="94"/>
      <c r="QB104" s="94"/>
      <c r="QC104" s="94"/>
      <c r="QD104" s="94"/>
      <c r="QE104" s="94"/>
      <c r="QF104" s="94"/>
      <c r="QG104" s="94"/>
      <c r="QH104" s="94"/>
      <c r="QI104" s="94"/>
      <c r="QJ104" s="94"/>
      <c r="QK104" s="94"/>
      <c r="QL104" s="94"/>
      <c r="QM104" s="94"/>
      <c r="QN104" s="94"/>
      <c r="QO104" s="94"/>
      <c r="QP104" s="94"/>
    </row>
    <row r="105" spans="1:458" s="2" customFormat="1" x14ac:dyDescent="0.2">
      <c r="A105" s="395">
        <v>10</v>
      </c>
      <c r="B105" s="396">
        <v>4</v>
      </c>
      <c r="C105" s="387">
        <f ca="1">Weather_data!$B104</f>
        <v>0</v>
      </c>
      <c r="D105" s="388">
        <f ca="1">Weather_data!$F104</f>
        <v>0</v>
      </c>
      <c r="E105" s="388">
        <f ca="1">Weather_data!$E104</f>
        <v>0</v>
      </c>
      <c r="F105" s="388">
        <f t="shared" ca="1" si="355"/>
        <v>0</v>
      </c>
      <c r="G105" s="388">
        <f ca="1">AVERAGE($D105:$E105)+Control!$B$9</f>
        <v>0</v>
      </c>
      <c r="H105" s="388">
        <f ca="1">Weather_data!$G104</f>
        <v>0</v>
      </c>
      <c r="I105" s="388">
        <f ca="1">Weather_data!$I104</f>
        <v>0</v>
      </c>
      <c r="J105" s="388">
        <f ca="1">Weather_data!$H104</f>
        <v>0</v>
      </c>
      <c r="K105" s="389">
        <f ca="1">Weather_data!$D104</f>
        <v>0</v>
      </c>
      <c r="L105" s="388" t="e">
        <f t="shared" ca="1" si="356"/>
        <v>#N/A</v>
      </c>
      <c r="M105" s="388" t="e">
        <f t="shared" ca="1" si="234"/>
        <v>#N/A</v>
      </c>
      <c r="N105" s="388">
        <f t="shared" ca="1" si="235"/>
        <v>-1.4756332715326375E-5</v>
      </c>
      <c r="O105" s="388">
        <f t="shared" ca="1" si="357"/>
        <v>1.4756332715326376E-4</v>
      </c>
      <c r="P105" s="390">
        <v>3</v>
      </c>
      <c r="Q105" s="388">
        <f ca="1">MAX($G105-Control!$C$107,0)</f>
        <v>0</v>
      </c>
      <c r="R105" s="388">
        <f t="shared" ca="1" si="358"/>
        <v>0</v>
      </c>
      <c r="S105" s="388">
        <f t="shared" ca="1" si="236"/>
        <v>0</v>
      </c>
      <c r="T105" s="388">
        <f t="shared" ca="1" si="237"/>
        <v>0</v>
      </c>
      <c r="U105" s="59">
        <f t="shared" ca="1" si="238"/>
        <v>0</v>
      </c>
      <c r="V105" s="391">
        <f ca="1">MAX(0,MIN(Control!$C$100-Control!$C$99,$G105-Control!$C$99)*Control!$C$63)</f>
        <v>0</v>
      </c>
      <c r="W105" s="388">
        <f t="shared" ca="1" si="359"/>
        <v>0</v>
      </c>
      <c r="X105" s="388">
        <f t="shared" ca="1" si="360"/>
        <v>0.6110000000000001</v>
      </c>
      <c r="Y105" s="388">
        <f t="shared" ca="1" si="239"/>
        <v>0</v>
      </c>
      <c r="Z105" s="388">
        <f t="shared" ca="1" si="361"/>
        <v>0.61058800000000002</v>
      </c>
      <c r="AA105" s="388">
        <f t="shared" ca="1" si="240"/>
        <v>0.6018</v>
      </c>
      <c r="AB105" s="388">
        <f ca="1">101.3*EXP(-0.034*Control!$C$66/($G105+273))</f>
        <v>100.69623283836242</v>
      </c>
      <c r="AC105" s="392">
        <f t="shared" ca="1" si="241"/>
        <v>4.3460251046025113E-2</v>
      </c>
      <c r="AD105" s="392">
        <f t="shared" ca="1" si="242"/>
        <v>4.4450382862832649E-2</v>
      </c>
      <c r="AE105" s="388">
        <f t="shared" ca="1" si="243"/>
        <v>0</v>
      </c>
      <c r="AF105" s="388">
        <f ca="1">MAX(0,$G105-Control!$C$92)</f>
        <v>0</v>
      </c>
      <c r="AG105" s="393">
        <f t="shared" ca="1" si="244"/>
        <v>101</v>
      </c>
      <c r="AH105" s="389">
        <f t="shared" ca="1" si="245"/>
        <v>101</v>
      </c>
      <c r="AI105" s="388">
        <f t="shared" ca="1" si="362"/>
        <v>0.13309803928126832</v>
      </c>
      <c r="AJ105" s="388">
        <f ca="1">IF(Control!$C$60&lt;=0,$HH105,$HI105)</f>
        <v>1</v>
      </c>
      <c r="AK105" s="388">
        <f t="shared" ca="1" si="246"/>
        <v>0.36149833274183923</v>
      </c>
      <c r="AL105" s="388">
        <f t="shared" ca="1" si="247"/>
        <v>1.803019539226014E-19</v>
      </c>
      <c r="AM105" s="388">
        <f t="shared" ca="1" si="248"/>
        <v>0.36149833274183923</v>
      </c>
      <c r="AN105" s="388">
        <f t="shared" ca="1" si="249"/>
        <v>0.14116069727967284</v>
      </c>
      <c r="AO105" s="388">
        <f ca="1">-0.10453/COS(Control!$B$8*PI()/180)*COS(AN105)</f>
        <v>-0.16809607563384465</v>
      </c>
      <c r="AP105" s="388">
        <f ca="1">ACOS(AO105-TAN(Control!$B$8*PI()/180)*TAN(AN105))</f>
        <v>1.928349551915431</v>
      </c>
      <c r="AQ105" s="388">
        <f t="shared" ca="1" si="363"/>
        <v>0</v>
      </c>
      <c r="AR105" s="394">
        <f t="shared" ca="1" si="250"/>
        <v>0</v>
      </c>
      <c r="AS105" s="436">
        <f ca="1">IF(Control!$B$18=2,(IF(OR($AH105=Control!$B$175,$AH105=Control!$B$176,$AH105=Control!$B$177,$AH105=Control!$B$178,$AH105=Control!$B$179,$AH105=Control!$B$180,$AH105=Control!$B$181,$AH105=Control!$B$182,$AH105=Control!$B$183,$AH105=Control!$B$184,$AH105=Control!$B$185),1,0)),0)</f>
        <v>0</v>
      </c>
      <c r="AT105" s="436">
        <f>IF(Control!$B$20=8,IF(AND($AH105&gt;=Control!$B$172,$AH105&lt;=Control!$B$173),1,0),0)</f>
        <v>0</v>
      </c>
      <c r="AU105" s="436">
        <f>IF(Control!$B$20=8,IF($AV104=1,1*$AT105,IF($AT105=1,$AU104+1,$AU104)),0)</f>
        <v>0</v>
      </c>
      <c r="AV105" s="436">
        <f>IF(Control!$B$20=8,IF($AU105&gt;=Control!$B$174,1,0),0)</f>
        <v>0</v>
      </c>
      <c r="AW105" s="436">
        <f ca="1">IF(AND(Control!$B$18=2,Control!$B$171=1), $AV105, $AS105)</f>
        <v>0</v>
      </c>
      <c r="AX105" s="436" t="e">
        <f ca="1">IF(AND(Control!$B$18=1,$EU105&gt;=Control!$B$19),-$AY105,IF(AND(Control!$B$18=2,$AW105=1,$EU105&gt;$DS105),-$AY105, IF(Control!$C$108=0,0, IF(Control!$C$108&lt;&gt;0,1))))</f>
        <v>#N/A</v>
      </c>
      <c r="AY105" s="436" t="e">
        <f t="shared" ca="1" si="364"/>
        <v>#N/A</v>
      </c>
      <c r="AZ105" s="436" t="e">
        <f ca="1">IF(AND(Control!$B$18=1,$EB105&gt;Control!$B$19),$AZ104+1, IF(AND(Control!$B$18=2, $AW105=1, $EB105&gt;$DS105), $AZ104+1,$AZ104))</f>
        <v>#N/A</v>
      </c>
      <c r="BA105" s="587">
        <f>IF(Control!$C$81=0,1,IF($AH105&gt;=Control!$C$82,1,0))</f>
        <v>1</v>
      </c>
      <c r="BB105" s="140" t="e">
        <f ca="1">IF($BA105&gt;$BA104,Control!$C$83,IF($AW105&gt;0,$AW105*Control!$C$84,IF(AND(Control!$B$18=1,EN104&lt;&gt;0),Control!$C$84,0)))</f>
        <v>#N/A</v>
      </c>
      <c r="BC105" s="140" t="e">
        <f t="shared" ca="1" si="365"/>
        <v>#N/A</v>
      </c>
      <c r="BD105" s="140" t="e">
        <f ca="1">BC105*IF(OR($G105&lt;Control!$C$92,$G105&gt;Control!$C$95),0,IF(AND($G105&gt;=Control!$C$92,$G105&lt;=Control!$C$93),$G105-Control!$C$92,IF(AND($G105&gt;Control!$C$93,$G105&lt;=Control!$C$94),Control!$C$93-Control!$C$92,IF(AND($G105&gt;Control!$C$94,$G105&lt;=Control!$C$95),(Control!$C$93-Control!$C$92)*(Control!$C$94-$G105)/(Control!$C$95-Control!$C$94)))))</f>
        <v>#N/A</v>
      </c>
      <c r="BE105" s="140" t="e">
        <f t="shared" ca="1" si="366"/>
        <v>#N/A</v>
      </c>
      <c r="BF105" s="140" t="e">
        <f ca="1">IF($BE105&lt;=Control!$C$86,$BE105,Control!$C$86-$BE105)</f>
        <v>#N/A</v>
      </c>
      <c r="BG105" s="140" t="e">
        <f ca="1">IF(AND($AW105=1,Control!$C$84&lt;9),1,IF($BE105&gt;=Control!$C$86,0,$BC105))</f>
        <v>#N/A</v>
      </c>
      <c r="BH105" s="404" t="e">
        <f ca="1">IF($BG105=0,0,IF($BE105&lt;=Control!$C$86,$BC105*9*($BF105/Control!$C$86),0))</f>
        <v>#N/A</v>
      </c>
      <c r="BI105" s="140" t="e">
        <f ca="1">IF($BG105=1,0,IF($BE105&gt;=Control!$C$86,1,IF(AND($BB105&lt;21,$BB105&gt;=9),1,$BM104)))</f>
        <v>#N/A</v>
      </c>
      <c r="BJ105" s="140" t="e">
        <f ca="1">IF($BF105&lt;0,-$BF105,$BI105*IF(OR($G105&lt;Control!$C$92,$G105&gt;Control!$C$95),0,IF(AND($G105&gt;=Control!$C$92,$G105&lt;=Control!$C$93),$G105-Control!$C$92,IF(AND($G105&gt;Control!$C$93,$G105&lt;=Control!$C$94),Control!$C$93-Control!$C$92,IF(AND($G105&gt;Control!$C$94,$G105&lt;=Control!$C$95),(Control!$C$93-Control!$C$92)*(Control!$C$94-$G105)/(Control!$C$95-Control!$C$94))))))</f>
        <v>#N/A</v>
      </c>
      <c r="BK105" s="140" t="e">
        <f t="shared" ca="1" si="367"/>
        <v>#N/A</v>
      </c>
      <c r="BL105" s="140" t="e">
        <f ca="1">IF($BK105&lt;=Control!$C$87,$BK105,Control!$C$87-$BK105)</f>
        <v>#N/A</v>
      </c>
      <c r="BM105" s="140" t="e">
        <f ca="1">IF(AND($BB105&gt;=9,$BB105&lt;21),1,IF($BK105&gt;=Control!$C$87,0,$BI105))</f>
        <v>#N/A</v>
      </c>
      <c r="BN105" s="404" t="e">
        <f ca="1">IF($BM105=0,0,IF($BK105&lt;=Control!$C$87,$BI105*(9+(21-9)*($BL105/Control!$C$87)),0))</f>
        <v>#N/A</v>
      </c>
      <c r="BO105" s="140" t="e">
        <f ca="1">IF($BM105=1,0,IF($BK105&gt;=Control!$C$87,1,IF(AND($BB105&lt;30,$BB105&gt;=21),1,$BS104)))</f>
        <v>#N/A</v>
      </c>
      <c r="BP105" s="140" t="e">
        <f ca="1">IF($BL105&lt;0,-$BL105,$BO105*IF(OR($G105&lt;Control!$C$92,$G105&gt;Control!$C$95),0,IF(AND($G105&gt;=Control!$C$92,$G105&lt;=Control!$C$93),$G105-Control!$C$92,IF(AND($G105&gt;Control!$C$93,$G105&lt;=Control!$C$94),Control!$C$93-Control!$C$92,IF(AND($G105&gt;Control!$C$94,$G105&lt;=Control!$C$95),(Control!$C$93-Control!$C$92)*(Control!$C$94-$G105)/(Control!$C$95-Control!$C$94))))))</f>
        <v>#N/A</v>
      </c>
      <c r="BQ105" s="140" t="e">
        <f t="shared" ca="1" si="251"/>
        <v>#N/A</v>
      </c>
      <c r="BR105" s="140" t="e">
        <f ca="1">IF($BQ105&lt;=Control!$C$88,$BQ105,Control!$C$88-$BQ105)</f>
        <v>#N/A</v>
      </c>
      <c r="BS105" s="140" t="e">
        <f ca="1">IF(AND($BB105&gt;=21,$BB105&lt;30),1,IF($BQ105&gt;=Control!$C$88,0,$BO105))</f>
        <v>#N/A</v>
      </c>
      <c r="BT105" s="404" t="e">
        <f ca="1">IF($BS105=0,0,IF($BQ105&lt;=Control!$C$88,$BO105*(21+(30-21)*(BR105/Control!$C$88)),0))</f>
        <v>#N/A</v>
      </c>
      <c r="BU105" s="140" t="e">
        <f ca="1">IF(BG105+BM105+BS105=1,0,IF(OR(AND($BB105&lt;60,$BB105&gt;=30),$BQ105&gt;=Control!$C$88),1*$BA105,$BY104))</f>
        <v>#N/A</v>
      </c>
      <c r="BV105" s="140" t="e">
        <f ca="1">IF($BR105&lt;0,-$BR105,$BU105*IF(OR($G105&lt;Control!$C$92,$G105&gt;Control!$C$95),0,IF(AND($G105&gt;=Control!$C$92,$G105&lt;=Control!$C$93),$G105-Control!$C$92,IF(AND($G105&gt;Control!$C$93,$G105&lt;=Control!$C$94),Control!$C$93-Control!$C$92,IF(AND($G105&gt;Control!$C$94,$G105&lt;=Control!$C$95),(Control!$C$93-Control!$C$92)*(Control!$C$94-$G105)/(Control!$C$95-Control!$C$94))))))</f>
        <v>#N/A</v>
      </c>
      <c r="BW105" s="140" t="e">
        <f t="shared" ca="1" si="252"/>
        <v>#N/A</v>
      </c>
      <c r="BX105" s="140" t="e">
        <f ca="1">IF($BW105&lt;=Control!$C$89,$BW105,Control!$C$89-$BW105)</f>
        <v>#N/A</v>
      </c>
      <c r="BY105" s="140" t="e">
        <f ca="1">IF(AND($AJ105&gt;=30,$AJ105&lt;60),1,IF($BW105&gt;=Control!$C$89,0,$BU105))</f>
        <v>#N/A</v>
      </c>
      <c r="BZ105" s="404" t="e">
        <f ca="1">IF($BY105=0,0,IF($BW105&lt;=Control!$C$89,$BU105*(30+(60-30)*(BX105/Control!$C$89)),0))</f>
        <v>#N/A</v>
      </c>
      <c r="CA105" s="140" t="e">
        <f ca="1">IF($BG105+$BM105+$BS105+$BY105=1,0,IF(OR(AND($BB105&lt;65,$BB105&gt;=60),$BW105&gt;=Control!$C$89),1*$BA105,$CE104))</f>
        <v>#N/A</v>
      </c>
      <c r="CB105" s="140" t="e">
        <f ca="1">IF($BX105&lt;0,-$BX105,$CA105*IF(OR($G105&lt;Control!$C$92,$G105&gt;Control!$C$95),0,IF(AND($G105&gt;=Control!$C$92,$G105&lt;=Control!$C$93),$G105-Control!$C$92,IF(AND($G105&gt;Control!$C$93,$G105&lt;=Control!$C$94),Control!$C$93-Control!$C$92,IF(AND($G105&gt;Control!$C$94,$G105&lt;=Control!$C$95),(Control!$C$93-Control!$C$92)*(Control!$C$94-$G105)/(Control!$C$95-Control!$C$94))))))</f>
        <v>#N/A</v>
      </c>
      <c r="CC105" s="140" t="e">
        <f t="shared" ca="1" si="368"/>
        <v>#N/A</v>
      </c>
      <c r="CD105" s="140" t="e">
        <f ca="1">IF($CC105&lt;=Control!$C$90,$CC105,Control!$C$90-$CC105)</f>
        <v>#N/A</v>
      </c>
      <c r="CE105" s="140" t="e">
        <f ca="1">IF(AND($BB105&gt;=60,$BB105&lt;65),1,IF($CC105&gt;=Control!$C$90,0,$CA105))</f>
        <v>#N/A</v>
      </c>
      <c r="CF105" s="404" t="e">
        <f ca="1">IF($CE105=0,0,IF($CC105&lt;=Control!$C$90,$CA105*(60+(65-60)*(CD105/Control!$C$90)),0))</f>
        <v>#N/A</v>
      </c>
      <c r="CG105" s="140" t="e">
        <f ca="1">IF($BG105+$BM105+$BS105+$BY105+$CE105=1,0,IF(OR(AND($BB105&lt;90,$BB105&gt;=65),$CC105&gt;=Control!$C$90),$BA105,$CK104))</f>
        <v>#N/A</v>
      </c>
      <c r="CH105" s="140" t="e">
        <f ca="1">IF($CD105&lt;0,-$CD105,$CG105*IF(OR($G105&lt;Control!$C$92,$G105&gt;Control!$C$95),0,IF(AND($G105&gt;=Control!$C$92,$G105&lt;=Control!$C$93),$G105-Control!$C$92,IF(AND($G105&gt;Control!$C$93,$G105&lt;=Control!$C$94),Control!$C$93-Control!$C$92,IF(AND($G105&gt;Control!$C$94,$G105&lt;=Control!$C$95),(Control!$C$93-Control!$C$92)*(Control!$C$94-$G105)/(Control!$C$95-Control!$C$94))))))</f>
        <v>#N/A</v>
      </c>
      <c r="CI105" s="140" t="e">
        <f t="shared" ca="1" si="369"/>
        <v>#N/A</v>
      </c>
      <c r="CJ105" s="140" t="e">
        <f ca="1">IF($CI105&lt;=Control!$C$91,$CI105,Control!$C$91-$CI105)</f>
        <v>#N/A</v>
      </c>
      <c r="CK105" s="140" t="e">
        <f ca="1">IF(AND($BB105&gt;=65,$BB105&lt;90),1,IF($CI105&gt;=Control!$C$91,0,$CG105))</f>
        <v>#N/A</v>
      </c>
      <c r="CL105" s="404" t="e">
        <f ca="1">IF($CK105=0,0,IF($CI105&lt;=Control!$C$91,$CG105*(65+(90-65)*($CJ105/Control!$C$91)),0))</f>
        <v>#N/A</v>
      </c>
      <c r="CM105" s="140" t="e">
        <f ca="1">IF($BG105+$BM105+$BS105+$BY105+$CE105+$CK105=1,0,IF(OR($BB105&gt;=90,$CI105&gt;=Control!$C$91),$BA105,$CM104))</f>
        <v>#N/A</v>
      </c>
      <c r="CN105" s="140" t="e">
        <f t="shared" ca="1" si="370"/>
        <v>#N/A</v>
      </c>
      <c r="CO105" s="140" t="e">
        <f t="shared" ca="1" si="371"/>
        <v>#N/A</v>
      </c>
      <c r="CP105" s="140" t="e">
        <f t="shared" ca="1" si="372"/>
        <v>#N/A</v>
      </c>
      <c r="CQ105" s="141" t="e">
        <f ca="1">VLOOKUP($CP105,Control!$B$86:$G$91,6)</f>
        <v>#N/A</v>
      </c>
      <c r="CR105" s="141" t="e">
        <f ca="1">(1-$CQ105)*VLOOKUP($CP105,Control!$B$86:$D$91,3)</f>
        <v>#N/A</v>
      </c>
      <c r="CS105" s="141" t="e">
        <f ca="1">(1-$CQ105)*VLOOKUP($CP105,Control!$B$86:$E$91,4)</f>
        <v>#N/A</v>
      </c>
      <c r="CT105" s="141" t="e">
        <f ca="1">(1-$CQ105)*VLOOKUP($CP105,Control!$B$86:$F$91,5)</f>
        <v>#N/A</v>
      </c>
      <c r="CU105" s="141">
        <f t="shared" ca="1" si="373"/>
        <v>0</v>
      </c>
      <c r="CV105" s="583">
        <f t="shared" ca="1" si="374"/>
        <v>0</v>
      </c>
      <c r="CW105" s="142">
        <f t="shared" ca="1" si="375"/>
        <v>101</v>
      </c>
      <c r="CX105" s="612" t="e">
        <f ca="1">IF(Control!$C$114=1,(MIN(Control!$C$120*(IF($NT105-0.01&lt;0,0,1)),Control!$C$119-$CY105)))</f>
        <v>#DIV/0!</v>
      </c>
      <c r="CY105" s="143" t="e">
        <f t="shared" ca="1" si="376"/>
        <v>#N/A</v>
      </c>
      <c r="CZ105" s="144">
        <f t="shared" ca="1" si="253"/>
        <v>0</v>
      </c>
      <c r="DA105" s="144">
        <f t="shared" ca="1" si="254"/>
        <v>0</v>
      </c>
      <c r="DB105" s="144" t="e">
        <f t="shared" ca="1" si="255"/>
        <v>#N/A</v>
      </c>
      <c r="DC105" s="144" t="e">
        <f t="shared" ca="1" si="256"/>
        <v>#N/A</v>
      </c>
      <c r="DD105" s="144" t="e">
        <f t="shared" ca="1" si="461"/>
        <v>#N/A</v>
      </c>
      <c r="DE105" s="143" t="e">
        <f t="shared" ca="1" si="377"/>
        <v>#N/A</v>
      </c>
      <c r="DF105" s="145" t="e">
        <f ca="1">$DR105*EXP(-Control!$C$158*(1-$KH105))</f>
        <v>#N/A</v>
      </c>
      <c r="DG105" s="146" t="e">
        <f ca="1">IF(Control!$C$114=1, $DF105*$EY105, 0)</f>
        <v>#N/A</v>
      </c>
      <c r="DH105" s="147" t="e">
        <f t="shared" ca="1" si="378"/>
        <v>#N/A</v>
      </c>
      <c r="DI105" s="144" t="e">
        <f t="shared" ca="1" si="439"/>
        <v>#N/A</v>
      </c>
      <c r="DJ105" s="147" t="e">
        <f ca="1">$EF105*Control!$C$109</f>
        <v>#N/A</v>
      </c>
      <c r="DK105" s="144" t="e">
        <f t="shared" ca="1" si="379"/>
        <v>#N/A</v>
      </c>
      <c r="DL105" s="144" t="e">
        <f t="shared" ca="1" si="257"/>
        <v>#N/A</v>
      </c>
      <c r="DM105" s="144" t="e">
        <f ca="1">IF(Control!$C$114=1, (1-EXP(-Control!$C$96*$DK105))*$AR105, 0)</f>
        <v>#N/A</v>
      </c>
      <c r="DN105" s="144">
        <f t="shared" ca="1" si="380"/>
        <v>0</v>
      </c>
      <c r="DO105" s="148">
        <f>Control!$C$97</f>
        <v>4</v>
      </c>
      <c r="DP105" s="145" t="e">
        <f t="shared" ca="1" si="381"/>
        <v>#N/A</v>
      </c>
      <c r="DQ105" s="145" t="e">
        <f ca="1">IF(AND($CP105&gt;=0,$CP105&lt;=90),Control!$C$111,Control!$C$111)</f>
        <v>#N/A</v>
      </c>
      <c r="DR105" s="145" t="e">
        <f t="shared" ca="1" si="258"/>
        <v>#N/A</v>
      </c>
      <c r="DS105" s="143" t="e">
        <f ca="1">Control!$B$22/$DR105</f>
        <v>#N/A</v>
      </c>
      <c r="DT105" s="149" t="e">
        <f ca="1">IF(AND(Control!$C$114=1,$KH105&lt;1),$IM105*$DF105, 0)</f>
        <v>#N/A</v>
      </c>
      <c r="DU105" s="144" t="e">
        <f t="shared" ca="1" si="382"/>
        <v>#N/A</v>
      </c>
      <c r="DV105" s="144">
        <f ca="1">IF($G105-Control!$C$107&lt;=0, 0, 0.83*LN(MAX($G105, 3))-0.8924)</f>
        <v>0</v>
      </c>
      <c r="DW105" s="144" t="e">
        <f t="shared" ca="1" si="259"/>
        <v>#N/A</v>
      </c>
      <c r="DX105" s="150" t="e">
        <f ca="1">MAX(0.01*(1+$CU105/Control!$C$102),0.05*($DK105-Control!$C$97)/Control!$C$97)</f>
        <v>#N/A</v>
      </c>
      <c r="DY105" s="151" t="e">
        <f ca="1">IF(Control!$C$114=1, $DI105*$FS105, 0)</f>
        <v>#N/A</v>
      </c>
      <c r="DZ105" s="196" t="e">
        <f t="shared" ca="1" si="383"/>
        <v>#N/A</v>
      </c>
      <c r="EA105" s="152">
        <f t="shared" ca="1" si="384"/>
        <v>101</v>
      </c>
      <c r="EB105" s="153" t="e">
        <f t="shared" ca="1" si="385"/>
        <v>#N/A</v>
      </c>
      <c r="EC105" s="153" t="e">
        <f t="shared" ca="1" si="386"/>
        <v>#N/A</v>
      </c>
      <c r="ED105" s="154" t="e">
        <f ca="1">IF(Control!$C$114=1, $HM105*$FY105-$FD105, 0)</f>
        <v>#DIV/0!</v>
      </c>
      <c r="EE105" s="155" t="e">
        <f ca="1">IF(Control!$C$114=1, $HM105*$FZ105-$FF105, 0)</f>
        <v>#DIV/0!</v>
      </c>
      <c r="EF105" s="153" t="e">
        <f t="shared" ca="1" si="440"/>
        <v>#N/A</v>
      </c>
      <c r="EG105" s="155" t="e">
        <f ca="1">IF(Control!$C$114=1, $GX105*$FW105-$FI105, 0)</f>
        <v>#DIV/0!</v>
      </c>
      <c r="EH105" s="153" t="e">
        <f t="shared" ca="1" si="387"/>
        <v>#N/A</v>
      </c>
      <c r="EI105" s="156" t="e">
        <f t="shared" ca="1" si="388"/>
        <v>#N/A</v>
      </c>
      <c r="EJ105" s="155" t="e">
        <f ca="1">IF(Control!$C$114=1, $HM105*$GB105, 0)</f>
        <v>#DIV/0!</v>
      </c>
      <c r="EK105" s="153" t="e">
        <f t="shared" ca="1" si="441"/>
        <v>#N/A</v>
      </c>
      <c r="EL105" s="153" t="e">
        <f t="shared" ca="1" si="260"/>
        <v>#N/A</v>
      </c>
      <c r="EM105" s="153" t="e">
        <f t="shared" ca="1" si="261"/>
        <v>#N/A</v>
      </c>
      <c r="EN105" s="153" t="e">
        <f ca="1">IF(Control!$C$108=1,IF(AND(Control!$B$18=1,$EB105&gt;=Control!$B$19),$EB105-$DS105,IF(AND(Control!$B$18=2,$AW105=1,$EB105&gt;$DS105),$EB105-$DS105,0)))</f>
        <v>#N/A</v>
      </c>
      <c r="EO105" s="153" t="e">
        <f ca="1">IF(Control!$C$108=1,IF(AND(Control!$B$18=1,$EB105&gt;=Control!$B$19),$EF105,IF(AND(Control!$B$18=2,$AW105=1),$EF105,0)))</f>
        <v>#N/A</v>
      </c>
      <c r="EP105" s="153" t="e">
        <f ca="1">IF(Control!$C$108=1,IF(AND(Control!$B$18=1,$EB105&gt;=Control!$B$19),$EK105,IF(AND(Control!$B$18=2,$AW105=1),$EK105,0)))</f>
        <v>#N/A</v>
      </c>
      <c r="EQ105" s="153" t="e">
        <f t="shared" ca="1" si="389"/>
        <v>#N/A</v>
      </c>
      <c r="ER105" s="153" t="e">
        <f t="shared" ca="1" si="390"/>
        <v>#N/A</v>
      </c>
      <c r="ES105" s="153" t="e">
        <f t="shared" ca="1" si="442"/>
        <v>#N/A</v>
      </c>
      <c r="ET105" s="153" t="e">
        <f t="shared" ca="1" si="443"/>
        <v>#N/A</v>
      </c>
      <c r="EU105" s="153" t="e">
        <f t="shared" ca="1" si="391"/>
        <v>#N/A</v>
      </c>
      <c r="EV105" s="153" t="e">
        <f t="shared" ca="1" si="262"/>
        <v>#N/A</v>
      </c>
      <c r="EW105" s="153" t="e">
        <f t="shared" ca="1" si="263"/>
        <v>#N/A</v>
      </c>
      <c r="EX105" s="153" t="e">
        <f t="shared" ca="1" si="264"/>
        <v>#N/A</v>
      </c>
      <c r="EY105" s="157" t="e">
        <f t="shared" ca="1" si="265"/>
        <v>#DIV/0!</v>
      </c>
      <c r="EZ105" s="154" t="e">
        <f t="shared" ca="1" si="266"/>
        <v>#DIV/0!</v>
      </c>
      <c r="FA105" s="153" t="e">
        <f t="shared" ca="1" si="392"/>
        <v>#N/A</v>
      </c>
      <c r="FB105" s="153" t="e">
        <f t="shared" ca="1" si="267"/>
        <v>#N/A</v>
      </c>
      <c r="FC105" s="193" t="e">
        <f t="shared" ca="1" si="268"/>
        <v>#N/A</v>
      </c>
      <c r="FD105" s="158" t="e">
        <f t="shared" ca="1" si="393"/>
        <v>#N/A</v>
      </c>
      <c r="FE105" s="158" t="e">
        <f t="shared" ca="1" si="394"/>
        <v>#N/A</v>
      </c>
      <c r="FF105" s="159" t="e">
        <f t="shared" ca="1" si="269"/>
        <v>#N/A</v>
      </c>
      <c r="FG105" s="160" t="e">
        <f t="shared" ca="1" si="395"/>
        <v>#N/A</v>
      </c>
      <c r="FH105" s="158" t="e">
        <f t="shared" ca="1" si="396"/>
        <v>#N/A</v>
      </c>
      <c r="FI105" s="159" t="e">
        <f t="shared" ca="1" si="270"/>
        <v>#N/A</v>
      </c>
      <c r="FJ105" s="160" t="e">
        <f t="shared" ca="1" si="397"/>
        <v>#N/A</v>
      </c>
      <c r="FK105" s="160" t="e">
        <f t="shared" ca="1" si="271"/>
        <v>#N/A</v>
      </c>
      <c r="FL105" s="160" t="e">
        <f t="shared" ca="1" si="444"/>
        <v>#N/A</v>
      </c>
      <c r="FM105" s="160" t="e">
        <f t="shared" ca="1" si="272"/>
        <v>#N/A</v>
      </c>
      <c r="FN105" s="158">
        <f t="shared" ca="1" si="398"/>
        <v>0.01</v>
      </c>
      <c r="FO105" s="160">
        <f>Control!$C$101</f>
        <v>50</v>
      </c>
      <c r="FP105" s="150" t="e">
        <f t="shared" ca="1" si="273"/>
        <v>#N/A</v>
      </c>
      <c r="FQ105" s="150" t="e">
        <f ca="1">MAX(0,(Control!$C$112*(($DK105-Control!$C$97)/Control!$C$97)))</f>
        <v>#N/A</v>
      </c>
      <c r="FR105" s="150" t="e">
        <f ca="1">(1-$NT105)*Control!$C$113</f>
        <v>#DIV/0!</v>
      </c>
      <c r="FS105" s="198" t="e">
        <f t="shared" ca="1" si="274"/>
        <v>#N/A</v>
      </c>
      <c r="FT105" s="161">
        <f t="shared" ca="1" si="399"/>
        <v>101</v>
      </c>
      <c r="FU105" s="162" t="e">
        <f ca="1">IF(Control!$B$34=1,VLOOKUP($CP105,Control!$B$86:$G$91,6),Control!$B$35)</f>
        <v>#N/A</v>
      </c>
      <c r="FV105" s="162" t="e">
        <f t="shared" ca="1" si="275"/>
        <v>#DIV/0!</v>
      </c>
      <c r="FW105" s="162" t="e">
        <f ca="1">IF(Control!$B$31=1,$FU105*$FV105,  $FU105)</f>
        <v>#N/A</v>
      </c>
      <c r="FX105" s="162" t="e">
        <f ca="1">IF(Control!$B$34=1,VLOOKUP($CP105,Control!$B$86:$G$91,3),Control!$B$36)</f>
        <v>#N/A</v>
      </c>
      <c r="FY105" s="162" t="e">
        <f t="shared" ca="1" si="276"/>
        <v>#N/A</v>
      </c>
      <c r="FZ105" s="162" t="e">
        <f ca="1">IF(Control!$B$34=1,VLOOKUP($CP105,Control!$B$86:$G$91,4),Control!$B$37)</f>
        <v>#N/A</v>
      </c>
      <c r="GA105" s="162" t="e">
        <f t="shared" ca="1" si="277"/>
        <v>#N/A</v>
      </c>
      <c r="GB105" s="162" t="e">
        <f ca="1">IF(Control!$B$34=1,VLOOKUP($CP105,Control!$B$86:$G$91,5),Control!$B$38)</f>
        <v>#N/A</v>
      </c>
      <c r="GC105" s="162" t="e">
        <f t="shared" ca="1" si="400"/>
        <v>#N/A</v>
      </c>
      <c r="GD105" s="162">
        <f t="shared" ca="1" si="278"/>
        <v>1</v>
      </c>
      <c r="GE105" s="162">
        <f t="shared" ca="1" si="279"/>
        <v>1</v>
      </c>
      <c r="GF105" s="162">
        <f ca="1">IF(AND(Control!$C$104=1, Control!$C$62="F"),$GE105,1)</f>
        <v>1</v>
      </c>
      <c r="GG105" s="162" t="e">
        <f ca="1">IF(Control!$B$16=40,0,IF(AND(Control!$B$16&gt;40,Control!$B$16&lt;=360),(Control!$B$16-40)*((1-0)/(360-40)),IF(AND(Control!$B$16&gt;360,Control!$B$16&lt;=720),(1+(Control!$B$16-360)*((1.25-1)/(720-360))),IF(AND(Control!$B$16&gt;720,Control!$B$16&lt;=1000),(1.25+(Control!$B$16-720)*((1.35-1.25)/(1000-720))),IF(AND(Control!$B$16&gt;1000,Control!$B$16&lt;=2000),(1.35+(Control!$B$16-1000)*0))))))</f>
        <v>#N/A</v>
      </c>
      <c r="GH105" s="162" t="e">
        <f t="shared" ca="1" si="280"/>
        <v>#N/A</v>
      </c>
      <c r="GI105" s="162">
        <f t="shared" ca="1" si="401"/>
        <v>0</v>
      </c>
      <c r="GJ105" s="162">
        <f t="shared" ca="1" si="281"/>
        <v>0</v>
      </c>
      <c r="GK105" s="162">
        <f t="shared" ca="1" si="402"/>
        <v>1</v>
      </c>
      <c r="GL105" s="162">
        <f t="shared" ca="1" si="282"/>
        <v>1</v>
      </c>
      <c r="GM105" s="162" t="e">
        <f ca="1">MAX(0,MIN(1,1-Control!$C$156*(1.0001-$KH105)^2))</f>
        <v>#N/A</v>
      </c>
      <c r="GN105" s="162" t="e">
        <f ca="1">IF(Control!$B$26=1,$KU105,$KX105)</f>
        <v>#N/A</v>
      </c>
      <c r="GO105" s="162" t="e">
        <f ca="1">IF($CP105&lt;=60,Control!$C$105,IF($CP105&gt;=90,Control!$C$106,Control!$C$105+($CP105-60)*((Control!$C$106-Control!$C$105)/(90-60))))</f>
        <v>#N/A</v>
      </c>
      <c r="GP105" s="162" t="e">
        <f t="shared" ca="1" si="283"/>
        <v>#N/A</v>
      </c>
      <c r="GQ105" s="162" t="e">
        <f t="shared" ca="1" si="403"/>
        <v>#N/A</v>
      </c>
      <c r="GR105" s="163" t="e">
        <f t="shared" ca="1" si="284"/>
        <v>#DIV/0!</v>
      </c>
      <c r="GS105" s="162" t="e">
        <f t="shared" ca="1" si="285"/>
        <v>#DIV/0!</v>
      </c>
      <c r="GT105" s="164" t="e">
        <f t="shared" ca="1" si="404"/>
        <v>#N/A</v>
      </c>
      <c r="GU105" s="162" t="e">
        <f t="shared" ca="1" si="405"/>
        <v>#N/A</v>
      </c>
      <c r="GV105" s="162" t="e">
        <f t="shared" ca="1" si="286"/>
        <v>#N/A</v>
      </c>
      <c r="GW105" s="162" t="e">
        <f t="shared" ca="1" si="287"/>
        <v>#DIV/0!</v>
      </c>
      <c r="GX105" s="162" t="e">
        <f t="shared" ca="1" si="406"/>
        <v>#DIV/0!</v>
      </c>
      <c r="GY105" s="162" t="e">
        <f t="shared" ca="1" si="407"/>
        <v>#DIV/0!</v>
      </c>
      <c r="GZ105" s="165" t="e">
        <f t="shared" ca="1" si="288"/>
        <v>#N/A</v>
      </c>
      <c r="HA105" s="162" t="e">
        <f ca="1">IF(Control!$C$114=1, $DI105*$FS105, 0)</f>
        <v>#N/A</v>
      </c>
      <c r="HB105" s="162" t="e">
        <f ca="1">$FA105/Control!$C$64</f>
        <v>#N/A</v>
      </c>
      <c r="HC105" s="162" t="e">
        <f t="shared" ca="1" si="289"/>
        <v>#DIV/0!</v>
      </c>
      <c r="HD105" s="162">
        <f ca="1">-ASIN(SIN(23.45*Control!$C$139)*COS(2*Control!$C$138*($AH105+10)/365))</f>
        <v>0.13309803928126832</v>
      </c>
      <c r="HE105" s="165">
        <f t="shared" ca="1" si="408"/>
        <v>0</v>
      </c>
      <c r="HF105" s="166">
        <f ca="1">IF(AND(Control!$C$61="T",$HE105&gt;=Control!$C$103,Control!$C$114=0),$AH105,Control!$C$59)</f>
        <v>1</v>
      </c>
      <c r="HG105" s="166">
        <f ca="1">IF(AND(Control!$C$61="T",$HE105&gt;=Control!$C$103,Control!$C$114=0),$HF105,Control!$C$59)</f>
        <v>1</v>
      </c>
      <c r="HH105" s="165">
        <f ca="1">IF(AND(OR(Control!$C$60&lt;=0, $AH105= Control!$C$59, Control!$C$60 &gt;0, $AH105 = Control!$C$60)), Control!$C$59, IF(Control!$C$60&gt;0, 0))</f>
        <v>1</v>
      </c>
      <c r="HI105" s="165">
        <f ca="1">IF(AND(OR(Control!$C$60&lt;=0, $AH105= Control!$C$59, Control!$C$60 &gt;0, $AH105 = Control!$C$60)), Control!$C$60, IF(Control!$C$60&lt;=0, 0))</f>
        <v>0</v>
      </c>
      <c r="HJ105" s="166">
        <f ca="1">IF(AND(Control!$C$62="F",$CV105&gt;=Control!$C$102),$AH105,0)</f>
        <v>0</v>
      </c>
      <c r="HK105" s="165" t="e">
        <f t="shared" ca="1" si="445"/>
        <v>#N/A</v>
      </c>
      <c r="HL105" s="166">
        <f ca="1">IF(AND(Control!$C$61="T",$HE105&gt;=Control!$C$103,Control!$C$114=0),$HF105,0)</f>
        <v>0</v>
      </c>
      <c r="HM105" s="201" t="e">
        <f t="shared" ca="1" si="290"/>
        <v>#DIV/0!</v>
      </c>
      <c r="HN105" s="215">
        <f t="shared" ca="1" si="409"/>
        <v>101</v>
      </c>
      <c r="HO105" s="216" t="e">
        <f ca="1">IF(AND($CP105&gt;=0, $CP105&lt;=90), Control!$C$152, Control!$C$152)</f>
        <v>#N/A</v>
      </c>
      <c r="HP105" s="216" t="e">
        <f t="shared" ca="1" si="291"/>
        <v>#N/A</v>
      </c>
      <c r="HQ105" s="217" t="e">
        <f ca="1">IF(OR(Control!$B$26=1,Control!$B$26=2),$KV105,$KS105)</f>
        <v>#DIV/0!</v>
      </c>
      <c r="HR105" s="218" t="e">
        <f t="shared" ca="1" si="446"/>
        <v>#DIV/0!</v>
      </c>
      <c r="HS105" s="216" t="e">
        <f ca="1">Control!$C$154*$HP105</f>
        <v>#N/A</v>
      </c>
      <c r="HT105" s="216" t="e">
        <f ca="1">Control!$C$155*$HP105</f>
        <v>#N/A</v>
      </c>
      <c r="HU105" s="217" t="e">
        <f ca="1">Control!$C$161*$FI105</f>
        <v>#N/A</v>
      </c>
      <c r="HV105" s="218" t="e">
        <f t="shared" ca="1" si="410"/>
        <v>#N/A</v>
      </c>
      <c r="HW105" s="218" t="e">
        <f ca="1">Control!$C$160*$FF105+$IP105*$EO105</f>
        <v>#N/A</v>
      </c>
      <c r="HX105" s="218" t="e">
        <f t="shared" ca="1" si="447"/>
        <v>#N/A</v>
      </c>
      <c r="HY105" s="219" t="e">
        <f ca="1">IF(Control!$C$114=1, $EB105*$FS105, 0)</f>
        <v>#N/A</v>
      </c>
      <c r="HZ105" s="91" t="e">
        <f t="shared" ca="1" si="292"/>
        <v>#N/A</v>
      </c>
      <c r="IA105" s="220" t="e">
        <f ca="1">Control!$C$153*$HO105</f>
        <v>#N/A</v>
      </c>
      <c r="IB105" s="218" t="e">
        <f t="shared" ca="1" si="293"/>
        <v>#N/A</v>
      </c>
      <c r="IC105" s="220" t="e">
        <f ca="1">Control!$C$153*$HT105</f>
        <v>#N/A</v>
      </c>
      <c r="ID105" s="218" t="e">
        <f t="shared" ca="1" si="294"/>
        <v>#N/A</v>
      </c>
      <c r="IE105" s="221" t="e">
        <f ca="1">($EB105*Control!$C$159+$EF105*Control!$C$160)/(IF($GZ105&lt;&gt;0,$GZ105,1))</f>
        <v>#N/A</v>
      </c>
      <c r="IF105" s="216" t="e">
        <f t="shared" ca="1" si="295"/>
        <v>#N/A</v>
      </c>
      <c r="IG105" s="91">
        <f ca="1">IF(OR(Control!$B$198=$AH105,Control!$B$199=$AH105, Control!$B$200=$AH105, Control!$B$201=$AH105, Control!$B$202=$AH105, Control!$B$203=$AH105, Control!$B$204=$AH105, Control!$B$205=$AH105, Control!$B$206=$AH105, Control!$B$207=$AH105), 1, 0)</f>
        <v>0</v>
      </c>
      <c r="IH105" s="91">
        <f ca="1">IF($IG105=0,0, VLOOKUP($AH105,Control!$B$198:$C$207,2))</f>
        <v>0</v>
      </c>
      <c r="II105" s="222">
        <f t="shared" ca="1" si="411"/>
        <v>0</v>
      </c>
      <c r="IJ105" s="91">
        <f>Control!$C$121</f>
        <v>0.7</v>
      </c>
      <c r="IK105" s="218">
        <f t="shared" ca="1" si="296"/>
        <v>0</v>
      </c>
      <c r="IL105" s="217" t="e">
        <f t="shared" ca="1" si="448"/>
        <v>#N/A</v>
      </c>
      <c r="IM105" s="223" t="e">
        <f ca="1">IF(AND(Control!$C$114=1,$KH105&lt;1),$EB105*Control!$C$148*(1-$KH105), 0)</f>
        <v>#N/A</v>
      </c>
      <c r="IN105" s="217" t="e">
        <f t="shared" ca="1" si="297"/>
        <v>#DIV/0!</v>
      </c>
      <c r="IO105" s="91" t="e">
        <f ca="1">MAX(0,$IL105-$EF105*Control!$C$160)</f>
        <v>#N/A</v>
      </c>
      <c r="IP105" s="220" t="e">
        <f t="shared" ca="1" si="298"/>
        <v>#N/A</v>
      </c>
      <c r="IQ105" s="217" t="e">
        <f t="shared" ca="1" si="412"/>
        <v>#N/A</v>
      </c>
      <c r="IR105" s="218" t="e">
        <f t="shared" ca="1" si="299"/>
        <v>#N/A</v>
      </c>
      <c r="IS105" s="217" t="e">
        <f ca="1">Control!$C$159*MAX(0,$FD105-$EN105)</f>
        <v>#N/A</v>
      </c>
      <c r="IT105" s="217" t="e">
        <f t="shared" ca="1" si="449"/>
        <v>#N/A</v>
      </c>
      <c r="IU105" s="217" t="e">
        <f t="shared" ca="1" si="413"/>
        <v>#N/A</v>
      </c>
      <c r="IV105" s="217" t="e">
        <f t="shared" ca="1" si="450"/>
        <v>#N/A</v>
      </c>
      <c r="IW105" s="217" t="e">
        <f ca="1">IF(OR($AW105=1,AND($AW105=0, Control!$B$18=1,$EN105&lt;&gt;0)), $IQ105-$IU105, $IQ105)</f>
        <v>#N/A</v>
      </c>
      <c r="IX105" s="218" t="e">
        <f t="shared" ca="1" si="300"/>
        <v>#N/A</v>
      </c>
      <c r="IY105" s="218" t="e">
        <f ca="1">MAX(0,$IQ105-$EB105*Control!$C$159)</f>
        <v>#N/A</v>
      </c>
      <c r="IZ105" s="218" t="e">
        <f t="shared" ca="1" si="301"/>
        <v>#N/A</v>
      </c>
      <c r="JA105" s="216" t="e">
        <f t="shared" ca="1" si="302"/>
        <v>#N/A</v>
      </c>
      <c r="JB105" s="217" t="e">
        <f t="shared" ca="1" si="303"/>
        <v>#N/A</v>
      </c>
      <c r="JC105" s="222" t="e">
        <f ca="1">MAX(Control!$C$157*$EK105-$JT105, 0)/Control!$C$162</f>
        <v>#N/A</v>
      </c>
      <c r="JD105" s="218" t="e">
        <f t="shared" ca="1" si="304"/>
        <v>#N/A</v>
      </c>
      <c r="JE105" s="218" t="e">
        <f t="shared" ca="1" si="305"/>
        <v>#N/A</v>
      </c>
      <c r="JF105" s="218" t="e">
        <f t="shared" ca="1" si="414"/>
        <v>#N/A</v>
      </c>
      <c r="JG105" s="218" t="e">
        <f t="shared" ca="1" si="306"/>
        <v>#N/A</v>
      </c>
      <c r="JH105" s="217" t="e">
        <f t="shared" ca="1" si="415"/>
        <v>#N/A</v>
      </c>
      <c r="JI105" s="217" t="e">
        <f t="shared" ca="1" si="416"/>
        <v>#N/A</v>
      </c>
      <c r="JJ105" s="217" t="e">
        <f t="shared" ca="1" si="451"/>
        <v>#N/A</v>
      </c>
      <c r="JK105" s="217" t="e">
        <f ca="1">IF(Control!$C$114=1,IF(Control!$B$24=0,MAX(0,$JI105)*$GN105/Control!$C$64,(MAX(0,MIN($JI105,$JJ105*$GN105/Control!$C$64),0))))</f>
        <v>#N/A</v>
      </c>
      <c r="JL105" s="217" t="e">
        <f ca="1">$IK105/Control!$C$64-$JK105+$HQ105</f>
        <v>#N/A</v>
      </c>
      <c r="JM105" s="217" t="e">
        <f ca="1">IF(Control!$C$114=1,($JB105/(IF($JI105&lt;&gt;0,$JI105,1)))*$JK105,0)</f>
        <v>#N/A</v>
      </c>
      <c r="JN105" s="217" t="e">
        <f ca="1">IF(Control!$C$114=1,($JG105/(IF($JI105&lt;&gt;0,$JI105,1)))*$JK105, 0)</f>
        <v>#N/A</v>
      </c>
      <c r="JO105" s="218" t="e">
        <f t="shared" ca="1" si="307"/>
        <v>#N/A</v>
      </c>
      <c r="JP105" s="218" t="e">
        <f ca="1">MIN(($IY105+$IO105)*Control!$C$151, $JF105-$EH105*Control!$C$161)</f>
        <v>#N/A</v>
      </c>
      <c r="JQ105" s="218" t="e">
        <f t="shared" ca="1" si="308"/>
        <v>#N/A</v>
      </c>
      <c r="JR105" s="217" t="e">
        <f ca="1">IF($CP105-Control!$C$150&lt;0, 0, $JQ105/Control!$C$162)</f>
        <v>#N/A</v>
      </c>
      <c r="JS105" s="218" t="e">
        <f t="shared" ca="1" si="309"/>
        <v>#N/A</v>
      </c>
      <c r="JT105" s="218" t="e">
        <f t="shared" ca="1" si="417"/>
        <v>#N/A</v>
      </c>
      <c r="JU105" s="218" t="e">
        <f t="shared" ca="1" si="310"/>
        <v>#N/A</v>
      </c>
      <c r="JV105" s="218" t="e">
        <f t="shared" ca="1" si="311"/>
        <v>#N/A</v>
      </c>
      <c r="JW105" s="216" t="e">
        <f t="shared" ca="1" si="312"/>
        <v>#N/A</v>
      </c>
      <c r="JX105" s="91" t="e">
        <f t="shared" ca="1" si="313"/>
        <v>#N/A</v>
      </c>
      <c r="JY105" s="218" t="e">
        <f t="shared" ca="1" si="314"/>
        <v>#N/A</v>
      </c>
      <c r="JZ105" s="217" t="e">
        <f ca="1">IF(Control!$C$114=1,($IZ105/(IF($JI105&lt;&gt;0,$JI105,1)))*$JK105, 0)</f>
        <v>#N/A</v>
      </c>
      <c r="KA105" s="218" t="e">
        <f t="shared" ca="1" si="452"/>
        <v>#N/A</v>
      </c>
      <c r="KB105" s="218" t="e">
        <f t="shared" ca="1" si="418"/>
        <v>#N/A</v>
      </c>
      <c r="KC105" s="218" t="e">
        <f t="shared" ca="1" si="315"/>
        <v>#N/A</v>
      </c>
      <c r="KD105" s="218" t="e">
        <f t="shared" ca="1" si="316"/>
        <v>#N/A</v>
      </c>
      <c r="KE105" s="218" t="e">
        <f t="shared" ca="1" si="317"/>
        <v>#N/A</v>
      </c>
      <c r="KF105" s="218" t="e">
        <f t="shared" ca="1" si="318"/>
        <v>#N/A</v>
      </c>
      <c r="KG105" s="216" t="e">
        <f t="shared" ca="1" si="319"/>
        <v>#N/A</v>
      </c>
      <c r="KH105" s="221" t="e">
        <f ca="1">IF(Control!$B$24=0,1,MAX(0.001,MIN(1,IF(($IF105-$IE105)&lt;&gt;0,($KG105-$IE105)/($IF105-$IE105),1))))</f>
        <v>#N/A</v>
      </c>
      <c r="KI105" s="222" t="e">
        <f ca="1">IF(Control!$C$114=1, $KI104+ $KH104, 0)</f>
        <v>#N/A</v>
      </c>
      <c r="KJ105" s="217" t="e">
        <f t="shared" ca="1" si="320"/>
        <v>#N/A</v>
      </c>
      <c r="KK105" s="218" t="e">
        <f t="shared" ca="1" si="321"/>
        <v>#N/A</v>
      </c>
      <c r="KL105" s="274" t="e">
        <f ca="1">IF(Control!$B$26=3,4000000000*EXP(-8400/($G105+273)),IF(Control!$B$26=4,4000000000*EXP(-8400/($G105+273))*($KT105),0))</f>
        <v>#DIV/0!</v>
      </c>
      <c r="KM105" s="274" t="e">
        <f ca="1">IF(Control!$B$26=3,5600000000000*EXP(-9800/($G105+273)),IF(Control!$B$26=4,5600000000000*EXP(-9800/($G105+273))*$KT105,0))</f>
        <v>#DIV/0!</v>
      </c>
      <c r="KN105" s="454" t="e">
        <f t="shared" ca="1" si="419"/>
        <v>#DIV/0!</v>
      </c>
      <c r="KO105" s="274" t="e">
        <f t="shared" ca="1" si="420"/>
        <v>#DIV/0!</v>
      </c>
      <c r="KP105" s="454" t="e">
        <f t="shared" ca="1" si="322"/>
        <v>#DIV/0!</v>
      </c>
      <c r="KQ105" s="454" t="e">
        <f t="shared" ca="1" si="323"/>
        <v>#DIV/0!</v>
      </c>
      <c r="KR105" s="454" t="e">
        <f t="shared" ca="1" si="324"/>
        <v>#DIV/0!</v>
      </c>
      <c r="KS105" s="454" t="e">
        <f t="shared" ca="1" si="325"/>
        <v>#DIV/0!</v>
      </c>
      <c r="KT105" s="455" t="e">
        <f t="shared" ca="1" si="326"/>
        <v>#DIV/0!</v>
      </c>
      <c r="KU105" s="456" t="e">
        <f ca="1">IF($CP105-Control!$C$149&lt;0, IF($NT105-0.01&lt;0,0,1),0)</f>
        <v>#N/A</v>
      </c>
      <c r="KV105" s="456" t="e">
        <f ca="1">IF(Control!$C$114=1,MAX(0,MIN(Control!$C$125*$KW105*$GN105,$KW105)))</f>
        <v>#DIV/0!</v>
      </c>
      <c r="KW105" s="456" t="e">
        <f t="shared" ca="1" si="453"/>
        <v>#DIV/0!</v>
      </c>
      <c r="KX105" s="457" t="e">
        <f ca="1">IF($CP105-Control!$C$149&lt;0, IF($MR105-$OM105&lt;0,0,1),0)</f>
        <v>#N/A</v>
      </c>
      <c r="KY105" s="167">
        <f t="shared" ca="1" si="421"/>
        <v>101</v>
      </c>
      <c r="KZ105" s="168">
        <f ca="1">1370*(1+0.033*COS(2*Control!$C$138*$AH105/365))</f>
        <v>1362.4474147843778</v>
      </c>
      <c r="LA105" s="169">
        <f t="shared" ca="1" si="422"/>
        <v>0.99448729635843003</v>
      </c>
      <c r="LB105" s="169">
        <f t="shared" ca="1" si="423"/>
        <v>0.13972057295444923</v>
      </c>
      <c r="LC105" s="169">
        <f ca="1">ACOS(-TAN((2*Control!$B$8/360))*TAN(Calculations!$LB105))</f>
        <v>1.6126062428278249</v>
      </c>
      <c r="LD105" s="169">
        <f ca="1">((24*60)/PI())*0.082*$LA105*(($LC105*SIN(Control!$B$8*2*PI()/360))*SIN($LB105)+COS(Control!$B$8*2*PI()/360)*COS($LB105)*SIN($LC105))</f>
        <v>29.383572879915373</v>
      </c>
      <c r="LE105" s="170">
        <f t="shared" ca="1" si="327"/>
        <v>29.353220084661523</v>
      </c>
      <c r="LF105" s="170">
        <f ca="1">SIN(Control!$C$139*Control!$B$8)*SIN($HD105)</f>
        <v>0.10457346613578335</v>
      </c>
      <c r="LG105" s="170">
        <f ca="1">COS(Control!$C$139*Control!$B$8)*COS($HD105)</f>
        <v>0.61021461474401417</v>
      </c>
      <c r="LH105" s="170">
        <f ca="1">12*(1+2*ASIN(MAX(-1,MIN(1,$LF105/$LG105))/Control!$C$138))</f>
        <v>13.309829806331962</v>
      </c>
      <c r="LI105" s="170">
        <f ca="1">12*(1+2*ASIN(MAX(-1,MIN(1,(-SIN(-4*Control!$C$139)+$LF105)/$LG105))/Control!$C$138))</f>
        <v>14.18549854798194</v>
      </c>
      <c r="LJ105" s="168">
        <f ca="1">3600*($LH105*$LF105+24*$LG105*SQRT(1-$LK105*$LK105)/Control!$C$138)</f>
        <v>21544.479270274802</v>
      </c>
      <c r="LK105" s="170">
        <f t="shared" ca="1" si="328"/>
        <v>0.17137161845861731</v>
      </c>
      <c r="LL105" s="170">
        <f t="shared" ca="1" si="329"/>
        <v>0</v>
      </c>
      <c r="LM105" s="171">
        <f ca="1">Control!$C$145*$AB105</f>
        <v>6.6660906138995932E-2</v>
      </c>
      <c r="LN105" s="170">
        <f t="shared" ca="1" si="424"/>
        <v>0.54</v>
      </c>
      <c r="LO105" s="170">
        <f t="shared" ca="1" si="330"/>
        <v>0</v>
      </c>
      <c r="LP105" s="170">
        <f ca="1">Control!$C$140*((($D105+273.16)^4+($E105+273.16)^4)/2)*(0.34-0.14*SQRT($Y105))*(1.35*$AQ105/(0.75*$LD105)-0.35)</f>
        <v>-3.2464704755046001</v>
      </c>
      <c r="LQ105" s="170">
        <f ca="1">Control!$C$140*($G105+273)^4*(0.56-0.079*SQRT($Y105*10))*(0.1+0.9*$LO105)</f>
        <v>1.5241745131704001</v>
      </c>
      <c r="LR105" s="170">
        <f ca="1">$AQ105*(1-Control!$C$142)-$LQ105</f>
        <v>-1.5241745131704001</v>
      </c>
      <c r="LS105" s="170">
        <f ca="1">$AQ105*(1-Control!$C$143)-$LQ105</f>
        <v>-1.5241745131704001</v>
      </c>
      <c r="LT105" s="170">
        <f ca="1">$AQ105*(1-Control!$C$144)-$LQ105</f>
        <v>-1.5241745131704001</v>
      </c>
      <c r="LU105" s="169">
        <f ca="1">(1-Control!$C$144)*AQ105-LP105</f>
        <v>3.2464704755046001</v>
      </c>
      <c r="LV105" s="172">
        <f t="shared" ca="1" si="331"/>
        <v>0.79430000000000012</v>
      </c>
      <c r="LW105" s="170">
        <f t="shared" ca="1" si="332"/>
        <v>1.5886000000000002</v>
      </c>
      <c r="LX105" s="170">
        <f ca="1">($AC105*($LR105/Control!$C$141)+$LM105*$LV105)/($AC105+$LM105)</f>
        <v>0.23530094218323697</v>
      </c>
      <c r="LY105" s="170">
        <f ca="1">($AC105*($LS105/Control!$C$141)+$LM105*$LV105)/($AC105+$LM105)</f>
        <v>0.23530094218323697</v>
      </c>
      <c r="LZ105" s="170">
        <f t="shared" ca="1" si="333"/>
        <v>0.23530094218323697</v>
      </c>
      <c r="MA105" s="170">
        <f t="shared" ca="1" si="334"/>
        <v>0.23530094218323697</v>
      </c>
      <c r="MB105" s="170" t="e">
        <f t="shared" ca="1" si="335"/>
        <v>#N/A</v>
      </c>
      <c r="MC105" s="170">
        <f t="shared" ca="1" si="425"/>
        <v>0.6018</v>
      </c>
      <c r="MD105" s="170">
        <f t="shared" ca="1" si="336"/>
        <v>0.52989392535414004</v>
      </c>
      <c r="ME105" s="170">
        <f ca="1">($AC105*($LT105/Control!$C$141)+$LM105*$LW105)/($AC105+$LM105)</f>
        <v>0.71612369323045078</v>
      </c>
      <c r="MF105" s="170" t="e">
        <f ca="1">IF(Control!$B$16&gt;=1000,0.92,IF(AND(720&lt;=Control!$B$16,1000&gt;Control!$B$16),(0.95+(Control!$B$16-720)*((0.92-0.95)/(1000-720))),IF(AND(360&lt;=Control!$B$16,720&gt;Control!$B$16),(1+(Control!$B$16-360)*((0.95-1)/(720-360))),IF(AND(40&lt;=Control!$B$16,360&gt;Control!$B$16),(1.05+(Control!$B$16-40)*((1.05-1)/(360-40)))))))</f>
        <v>#N/A</v>
      </c>
      <c r="MG105" s="170">
        <f t="shared" ca="1" si="337"/>
        <v>0.71612369323045078</v>
      </c>
      <c r="MH105" s="170" t="e">
        <f t="shared" ca="1" si="462"/>
        <v>#N/A</v>
      </c>
      <c r="MI105" s="170" t="e">
        <f t="shared" ca="1" si="462"/>
        <v>#N/A</v>
      </c>
      <c r="MJ105" s="170" t="e">
        <f ca="1">MAX(0.0001, Control!$C$132*$MI105*$DL105)</f>
        <v>#N/A</v>
      </c>
      <c r="MK105" s="170">
        <f ca="1">1/(0.76+1.5*($MG105/10))-(5-Control!$C$110)*0.1</f>
        <v>1.002845988140797</v>
      </c>
      <c r="ML105" s="173">
        <f ca="1">IF(Control!$C$110&lt;3,$MK105+($MG105-0.6)/(Control!$C$110*(Control!$C$110+3)), MAX(0.1, MIN(0.95,$MK105)))</f>
        <v>0.95</v>
      </c>
      <c r="MM105" s="173">
        <f ca="1">IF(Control!$C$110&lt;3,$MK105+(($MI105/10)-0.6)/(Control!$C$110*(Control!$C$110+3)), MAX(0.1, MIN(0.95,$MK105)))</f>
        <v>0.95</v>
      </c>
      <c r="MN105" s="173">
        <f ca="1">(1-$MM105)*(Control!$C$128-Control!$C$127)+Control!$C$127</f>
        <v>0.16</v>
      </c>
      <c r="MO105" s="170" t="e">
        <f ca="1">MAX(0,MIN(1,($MS105-Control!$C$127)/($MN105-Control!$C$127)))</f>
        <v>#DIV/0!</v>
      </c>
      <c r="MP105" s="173" t="e">
        <f ca="1">1/(0.76+1.5*$MI105)-(5-Control!$C$110)*0.1</f>
        <v>#N/A</v>
      </c>
      <c r="MQ105" s="172" t="e">
        <f t="shared" ca="1" si="454"/>
        <v>#DIV/0!</v>
      </c>
      <c r="MR105" s="168" t="e">
        <f t="shared" ca="1" si="426"/>
        <v>#DIV/0!</v>
      </c>
      <c r="MS105" s="173" t="e">
        <f ca="1">MAX(Control!$C$127, MIN(Control!$C$135, $MR105/MAX(0.0001,$CY105)))</f>
        <v>#DIV/0!</v>
      </c>
      <c r="MT105" s="168" t="e">
        <f ca="1">(Control!$C$128-$MS105)*Control!$C$74</f>
        <v>#DIV/0!</v>
      </c>
      <c r="MU105" s="168" t="e">
        <f ca="1">(Control!$C$135-$MS105)*Control!$C$74</f>
        <v>#DIV/0!</v>
      </c>
      <c r="MV105" s="168" t="e">
        <f t="shared" ca="1" si="427"/>
        <v>#DIV/0!</v>
      </c>
      <c r="MW105" s="168" t="e">
        <f t="shared" ca="1" si="428"/>
        <v>#DIV/0!</v>
      </c>
      <c r="MX105" s="171" t="e">
        <f ca="1">MAX(Control!$C$127, MIN(Control!$C$135, $MW105/MAX(0.0001,Control!$C$119-$CY105)))</f>
        <v>#DIV/0!</v>
      </c>
      <c r="MY105" s="54" t="e">
        <f ca="1">IF(Control!$C$114=1, $CX105*$MX105, 0)</f>
        <v>#DIV/0!</v>
      </c>
      <c r="MZ105" s="54" t="e">
        <f t="shared" ca="1" si="429"/>
        <v>#N/A</v>
      </c>
      <c r="NA105" s="168" t="e">
        <f ca="1">(Control!$C$128-$MX105)*(Control!$C$119-Control!$C$74)</f>
        <v>#DIV/0!</v>
      </c>
      <c r="NB105" s="168" t="e">
        <f ca="1">(Control!$C$135-$MX105)*(Control!$C$119-Control!$C$74)</f>
        <v>#DIV/0!</v>
      </c>
      <c r="NC105" s="174" t="e">
        <f t="shared" ca="1" si="430"/>
        <v>#DIV/0!</v>
      </c>
      <c r="ND105" s="54">
        <f ca="1">IF(Control!$C$58=2, IF(OR(Control!$B$218=$AH105,Control!$B$219=$AH105, Control!$B$220=$AH105, Control!$B$221=$AH105, Control!$B$222=$AH105, Control!$B$223=$AH105, Control!$B$224=$AH105, Control!$B$225=$AH105, Control!$B$226=$AH105, Control!$B$227=$AH105, Control!$B$228=$AH105), 1, 0), 0)</f>
        <v>0</v>
      </c>
      <c r="NE105" s="54">
        <f ca="1">IF($ND105=0,0, VLOOKUP($AH105,Control!$B$218:$C$228,2))</f>
        <v>0</v>
      </c>
      <c r="NF105" s="168" t="e">
        <f ca="1">$CY105*(Control!$C$128-Control!$C$127)</f>
        <v>#N/A</v>
      </c>
      <c r="NG105" s="54" t="e">
        <f ca="1">IF(Control!$C$58=2, $NI104-$NJ104, 0)</f>
        <v>#DIV/0!</v>
      </c>
      <c r="NH105" s="54" t="e">
        <f ca="1">IF(AND(Control!$C$58=1, $MS104&lt;= ($MN104+0.02), $I104&lt;10), 0, IF(Control!$C$58=2, $NG104, 0))</f>
        <v>#DIV/0!</v>
      </c>
      <c r="NI105" s="54" t="e">
        <f ca="1">IF(Control!$C$58=2, $NE105+$NH105,0)</f>
        <v>#DIV/0!</v>
      </c>
      <c r="NJ105" s="54" t="e">
        <f ca="1">IF(AND(Control!$C$58=1, $MS105&lt;= ($MN105+0.02), $I105&lt;10), MAX(0, MIN(10, 0.7*($NF105-$MV105))), IF(Control!$C$58=2, MIN(10,$NI105),0))</f>
        <v>#DIV/0!</v>
      </c>
      <c r="NK105" s="54" t="e">
        <f t="shared" ca="1" si="338"/>
        <v>#DIV/0!</v>
      </c>
      <c r="NL105" s="173" t="e">
        <f ca="1">(1-Control!$C$73)*$I105+$NJ105</f>
        <v>#DIV/0!</v>
      </c>
      <c r="NM105" s="172" t="e">
        <f ca="1">IF($NL105&lt;0.5, $MB105* MAX(0, MIN(1, (SQRT($NC105)-SQRT($NC105-1))*Control!$C$71)),0)</f>
        <v>#DIV/0!</v>
      </c>
      <c r="NN105" s="170" t="e">
        <f ca="1">IF($NL105&gt;=5, $MB105, MAX(0,MIN($MB105, $NM105+$NL105,($MS105-Control!$C$129))))</f>
        <v>#DIV/0!</v>
      </c>
      <c r="NO105" s="54">
        <f>IF(Control!$C$133&lt;&gt;1, Control!$C$135-Control!$C$131, 0)</f>
        <v>0.38</v>
      </c>
      <c r="NP105" s="54" t="e">
        <f t="shared" ca="1" si="339"/>
        <v>#DIV/0!</v>
      </c>
      <c r="NQ105" s="173" t="e">
        <f ca="1">MAX(0,MIN(1,(Control!$C$135-$MS105)/(Control!$C$135-$NO105)))</f>
        <v>#DIV/0!</v>
      </c>
      <c r="NR105" s="170" t="e">
        <f ca="1">IF(Control!$C$133&lt;&gt;1, $NQ105+((1-$NP105/4)*(1-$NQ105)),1)</f>
        <v>#DIV/0!</v>
      </c>
      <c r="NS105" s="170" t="e">
        <f ca="1">IF(Control!$B$31=0,$MJ105,MAX(0,MIN($MV105,$MO105*$NR105*$MJ105)))</f>
        <v>#DIV/0!</v>
      </c>
      <c r="NT105" s="170" t="e">
        <f t="shared" ca="1" si="455"/>
        <v>#DIV/0!</v>
      </c>
      <c r="NU105" s="170" t="e">
        <f t="shared" ca="1" si="431"/>
        <v>#N/A</v>
      </c>
      <c r="NV105" s="170" t="e">
        <f t="shared" ca="1" si="340"/>
        <v>#N/A</v>
      </c>
      <c r="NW105" s="175" t="e">
        <f t="shared" ca="1" si="341"/>
        <v>#DIV/0!</v>
      </c>
      <c r="NX105" s="170" t="e">
        <f ca="1">MIN(Control!$C$72+$MU105, $NW105)</f>
        <v>#DIV/0!</v>
      </c>
      <c r="NY105" s="170" t="e">
        <f ca="1">IF($MT105&lt;=$NX105,MIN(Control!$C$72+$NB105,$NX105-$MT105),0)</f>
        <v>#DIV/0!</v>
      </c>
      <c r="NZ105" s="54" t="e">
        <f ca="1">IF(Control!$C$114=1,  $CX105*($MX105-Control!$C$127), 0)</f>
        <v>#DIV/0!</v>
      </c>
      <c r="OA105" s="170" t="e">
        <f t="shared" ca="1" si="342"/>
        <v>#DIV/0!</v>
      </c>
      <c r="OB105" s="170" t="e">
        <f ca="1">IF($NA105 &lt;=$NY105, MIN(Control!$C$72, $NY105-$NA105), 0)</f>
        <v>#DIV/0!</v>
      </c>
      <c r="OC105" s="168" t="e">
        <f t="shared" ca="1" si="343"/>
        <v>#DIV/0!</v>
      </c>
      <c r="OD105" s="168" t="e">
        <f t="shared" ca="1" si="432"/>
        <v>#DIV/0!</v>
      </c>
      <c r="OE105" s="170">
        <f ca="1">Control!$C$73*$I105</f>
        <v>0</v>
      </c>
      <c r="OF105" s="176" t="e">
        <f t="shared" ca="1" si="344"/>
        <v>#DIV/0!</v>
      </c>
      <c r="OG105" s="168" t="e">
        <f t="shared" ca="1" si="345"/>
        <v>#DIV/0!</v>
      </c>
      <c r="OH105" s="168" t="e">
        <f t="shared" ca="1" si="346"/>
        <v>#DIV/0!</v>
      </c>
      <c r="OI105" s="168" t="e">
        <f t="shared" ca="1" si="347"/>
        <v>#DIV/0!</v>
      </c>
      <c r="OJ105" s="168" t="e">
        <f t="shared" ca="1" si="348"/>
        <v>#DIV/0!</v>
      </c>
      <c r="OK105" s="204" t="e">
        <f t="shared" ca="1" si="349"/>
        <v>#DIV/0!</v>
      </c>
      <c r="OL105" s="177">
        <f>Control!$C$127</f>
        <v>0.15</v>
      </c>
      <c r="OM105" s="182" t="e">
        <f t="shared" ca="1" si="350"/>
        <v>#N/A</v>
      </c>
      <c r="ON105" s="177">
        <f>Control!$C$128</f>
        <v>0.35</v>
      </c>
      <c r="OO105" s="182" t="e">
        <f t="shared" ca="1" si="351"/>
        <v>#N/A</v>
      </c>
      <c r="OP105" s="138">
        <f t="shared" ca="1" si="433"/>
        <v>0</v>
      </c>
      <c r="OQ105" s="138" t="e">
        <f t="shared" ca="1" si="456"/>
        <v>#DIV/0!</v>
      </c>
      <c r="OR105" s="138" t="e">
        <f t="shared" ca="1" si="434"/>
        <v>#DIV/0!</v>
      </c>
      <c r="OS105" s="137" t="e">
        <f t="shared" ca="1" si="457"/>
        <v>#DIV/0!</v>
      </c>
      <c r="OT105" s="139" t="e">
        <f t="shared" ca="1" si="458"/>
        <v>#DIV/0!</v>
      </c>
      <c r="OU105" s="138" t="e">
        <f t="shared" ca="1" si="459"/>
        <v>#N/A</v>
      </c>
      <c r="OV105" s="138" t="e">
        <f t="shared" ca="1" si="460"/>
        <v>#DIV/0!</v>
      </c>
      <c r="OW105" s="138" t="e">
        <f t="shared" ca="1" si="435"/>
        <v>#DIV/0!</v>
      </c>
      <c r="OX105" s="138" t="e">
        <f t="shared" ca="1" si="436"/>
        <v>#DIV/0!</v>
      </c>
      <c r="OY105" s="138" t="e">
        <f t="shared" ca="1" si="437"/>
        <v>#DIV/0!</v>
      </c>
      <c r="OZ105" s="138" t="e">
        <f t="shared" ca="1" si="352"/>
        <v>#DIV/0!</v>
      </c>
      <c r="PA105" s="138" t="e">
        <f t="shared" ca="1" si="353"/>
        <v>#DIV/0!</v>
      </c>
      <c r="PB105" s="55">
        <f>IF(Control!$C$61="T", IF(Control!$C$65="F", IF($AH$6-Control!$C$60&lt;0,0,1), IF(365+$AH$6-Control!$C$60&lt;0,0,1)),0)</f>
        <v>0</v>
      </c>
      <c r="PC105" s="55">
        <f ca="1">IF(Control!$C$65="F", IF($AH$6-$HF105&lt;0,0,1), IF(365+$AH$6-$HF105&lt;0,0,1))</f>
        <v>1</v>
      </c>
      <c r="PD105" s="444">
        <f>Control!$C$118</f>
        <v>1500</v>
      </c>
      <c r="PE105" s="180" t="e">
        <f t="shared" ca="1" si="354"/>
        <v>#N/A</v>
      </c>
      <c r="PF105" s="445">
        <f t="shared" ca="1" si="438"/>
        <v>0.71612369323045078</v>
      </c>
      <c r="PT105" s="186"/>
      <c r="PU105" s="186"/>
      <c r="PV105" s="94"/>
      <c r="PW105" s="94"/>
      <c r="PX105" s="94"/>
      <c r="PY105" s="94"/>
      <c r="PZ105" s="94"/>
      <c r="QA105" s="94"/>
      <c r="QB105" s="94"/>
      <c r="QC105" s="94"/>
      <c r="QD105" s="94"/>
      <c r="QE105" s="94"/>
      <c r="QF105" s="94"/>
      <c r="QG105" s="94"/>
      <c r="QH105" s="94"/>
      <c r="QI105" s="94"/>
      <c r="QJ105" s="94"/>
      <c r="QK105" s="94"/>
      <c r="QL105" s="94"/>
      <c r="QM105" s="94"/>
      <c r="QN105" s="94"/>
      <c r="QO105" s="94"/>
      <c r="QP105" s="94"/>
    </row>
    <row r="106" spans="1:458" s="2" customFormat="1" x14ac:dyDescent="0.2">
      <c r="A106" s="395">
        <v>11</v>
      </c>
      <c r="B106" s="396">
        <v>4</v>
      </c>
      <c r="C106" s="387">
        <f ca="1">Weather_data!$B105</f>
        <v>0</v>
      </c>
      <c r="D106" s="388">
        <f ca="1">Weather_data!$F105</f>
        <v>0</v>
      </c>
      <c r="E106" s="388">
        <f ca="1">Weather_data!$E105</f>
        <v>0</v>
      </c>
      <c r="F106" s="388">
        <f t="shared" ca="1" si="355"/>
        <v>0</v>
      </c>
      <c r="G106" s="388">
        <f ca="1">AVERAGE($D106:$E106)+Control!$B$9</f>
        <v>0</v>
      </c>
      <c r="H106" s="388">
        <f ca="1">Weather_data!$G105</f>
        <v>0</v>
      </c>
      <c r="I106" s="388">
        <f ca="1">Weather_data!$I105</f>
        <v>0</v>
      </c>
      <c r="J106" s="388">
        <f ca="1">Weather_data!$H105</f>
        <v>0</v>
      </c>
      <c r="K106" s="389">
        <f ca="1">Weather_data!$D105</f>
        <v>0</v>
      </c>
      <c r="L106" s="388" t="e">
        <f t="shared" ca="1" si="356"/>
        <v>#N/A</v>
      </c>
      <c r="M106" s="388" t="e">
        <f t="shared" ca="1" si="234"/>
        <v>#N/A</v>
      </c>
      <c r="N106" s="388">
        <f t="shared" ca="1" si="235"/>
        <v>-1.328069944379374E-5</v>
      </c>
      <c r="O106" s="388">
        <f t="shared" ca="1" si="357"/>
        <v>1.3280699443793739E-4</v>
      </c>
      <c r="P106" s="390">
        <v>3</v>
      </c>
      <c r="Q106" s="388">
        <f ca="1">MAX($G106-Control!$C$107,0)</f>
        <v>0</v>
      </c>
      <c r="R106" s="388">
        <f t="shared" ca="1" si="358"/>
        <v>0</v>
      </c>
      <c r="S106" s="388">
        <f t="shared" ca="1" si="236"/>
        <v>0</v>
      </c>
      <c r="T106" s="388">
        <f t="shared" ca="1" si="237"/>
        <v>0</v>
      </c>
      <c r="U106" s="59">
        <f t="shared" ca="1" si="238"/>
        <v>0</v>
      </c>
      <c r="V106" s="391">
        <f ca="1">MAX(0,MIN(Control!$C$100-Control!$C$99,$G106-Control!$C$99)*Control!$C$63)</f>
        <v>0</v>
      </c>
      <c r="W106" s="388">
        <f t="shared" ca="1" si="359"/>
        <v>0</v>
      </c>
      <c r="X106" s="388">
        <f t="shared" ca="1" si="360"/>
        <v>0.6110000000000001</v>
      </c>
      <c r="Y106" s="388">
        <f t="shared" ca="1" si="239"/>
        <v>0</v>
      </c>
      <c r="Z106" s="388">
        <f t="shared" ca="1" si="361"/>
        <v>0.61058800000000002</v>
      </c>
      <c r="AA106" s="388">
        <f t="shared" ca="1" si="240"/>
        <v>0.6018</v>
      </c>
      <c r="AB106" s="388">
        <f ca="1">101.3*EXP(-0.034*Control!$C$66/($G106+273))</f>
        <v>100.69623283836242</v>
      </c>
      <c r="AC106" s="392">
        <f t="shared" ca="1" si="241"/>
        <v>4.3460251046025113E-2</v>
      </c>
      <c r="AD106" s="392">
        <f t="shared" ca="1" si="242"/>
        <v>4.4450382862832649E-2</v>
      </c>
      <c r="AE106" s="388">
        <f t="shared" ca="1" si="243"/>
        <v>0</v>
      </c>
      <c r="AF106" s="388">
        <f ca="1">MAX(0,$G106-Control!$C$92)</f>
        <v>0</v>
      </c>
      <c r="AG106" s="393">
        <f t="shared" ca="1" si="244"/>
        <v>102</v>
      </c>
      <c r="AH106" s="389">
        <f t="shared" ca="1" si="245"/>
        <v>102</v>
      </c>
      <c r="AI106" s="388">
        <f t="shared" ca="1" si="362"/>
        <v>0.13959666462024703</v>
      </c>
      <c r="AJ106" s="388">
        <f ca="1">IF(Control!$C$60&lt;=0,$HH106,$HI106)</f>
        <v>1</v>
      </c>
      <c r="AK106" s="388">
        <f t="shared" ca="1" si="246"/>
        <v>0.37871253906287911</v>
      </c>
      <c r="AL106" s="388">
        <f t="shared" ca="1" si="247"/>
        <v>-1.8033387283455939E-18</v>
      </c>
      <c r="AM106" s="388">
        <f t="shared" ca="1" si="248"/>
        <v>0.37871253906287911</v>
      </c>
      <c r="AN106" s="388">
        <f t="shared" ca="1" si="249"/>
        <v>0.14761189876594782</v>
      </c>
      <c r="AO106" s="388">
        <f ca="1">-0.10453/COS(Control!$B$8*PI()/180)*COS(AN106)</f>
        <v>-0.1679384761572294</v>
      </c>
      <c r="AP106" s="388">
        <f ca="1">ACOS(AO106-TAN(Control!$B$8*PI()/180)*TAN(AN106))</f>
        <v>1.9371970649026884</v>
      </c>
      <c r="AQ106" s="388">
        <f t="shared" ca="1" si="363"/>
        <v>0</v>
      </c>
      <c r="AR106" s="394">
        <f t="shared" ca="1" si="250"/>
        <v>0</v>
      </c>
      <c r="AS106" s="436">
        <f ca="1">IF(Control!$B$18=2,(IF(OR($AH106=Control!$B$175,$AH106=Control!$B$176,$AH106=Control!$B$177,$AH106=Control!$B$178,$AH106=Control!$B$179,$AH106=Control!$B$180,$AH106=Control!$B$181,$AH106=Control!$B$182,$AH106=Control!$B$183,$AH106=Control!$B$184,$AH106=Control!$B$185),1,0)),0)</f>
        <v>0</v>
      </c>
      <c r="AT106" s="436">
        <f>IF(Control!$B$20=8,IF(AND($AH106&gt;=Control!$B$172,$AH106&lt;=Control!$B$173),1,0),0)</f>
        <v>0</v>
      </c>
      <c r="AU106" s="436">
        <f>IF(Control!$B$20=8,IF($AV105=1,1*$AT106,IF($AT106=1,$AU105+1,$AU105)),0)</f>
        <v>0</v>
      </c>
      <c r="AV106" s="436">
        <f>IF(Control!$B$20=8,IF($AU106&gt;=Control!$B$174,1,0),0)</f>
        <v>0</v>
      </c>
      <c r="AW106" s="436">
        <f ca="1">IF(AND(Control!$B$18=2,Control!$B$171=1), $AV106, $AS106)</f>
        <v>0</v>
      </c>
      <c r="AX106" s="436" t="e">
        <f ca="1">IF(AND(Control!$B$18=1,$EU106&gt;=Control!$B$19),-$AY106,IF(AND(Control!$B$18=2,$AW106=1,$EU106&gt;$DS106),-$AY106, IF(Control!$C$108=0,0, IF(Control!$C$108&lt;&gt;0,1))))</f>
        <v>#N/A</v>
      </c>
      <c r="AY106" s="436" t="e">
        <f t="shared" ca="1" si="364"/>
        <v>#N/A</v>
      </c>
      <c r="AZ106" s="436" t="e">
        <f ca="1">IF(AND(Control!$B$18=1,$EB106&gt;Control!$B$19),$AZ105+1, IF(AND(Control!$B$18=2, $AW106=1, $EB106&gt;$DS106), $AZ105+1,$AZ105))</f>
        <v>#N/A</v>
      </c>
      <c r="BA106" s="587">
        <f>IF(Control!$C$81=0,1,IF($AH106&gt;=Control!$C$82,1,0))</f>
        <v>1</v>
      </c>
      <c r="BB106" s="140" t="e">
        <f ca="1">IF($BA106&gt;$BA105,Control!$C$83,IF($AW106&gt;0,$AW106*Control!$C$84,IF(AND(Control!$B$18=1,EN105&lt;&gt;0),Control!$C$84,0)))</f>
        <v>#N/A</v>
      </c>
      <c r="BC106" s="140" t="e">
        <f t="shared" ca="1" si="365"/>
        <v>#N/A</v>
      </c>
      <c r="BD106" s="140" t="e">
        <f ca="1">BC106*IF(OR($G106&lt;Control!$C$92,$G106&gt;Control!$C$95),0,IF(AND($G106&gt;=Control!$C$92,$G106&lt;=Control!$C$93),$G106-Control!$C$92,IF(AND($G106&gt;Control!$C$93,$G106&lt;=Control!$C$94),Control!$C$93-Control!$C$92,IF(AND($G106&gt;Control!$C$94,$G106&lt;=Control!$C$95),(Control!$C$93-Control!$C$92)*(Control!$C$94-$G106)/(Control!$C$95-Control!$C$94)))))</f>
        <v>#N/A</v>
      </c>
      <c r="BE106" s="140" t="e">
        <f t="shared" ca="1" si="366"/>
        <v>#N/A</v>
      </c>
      <c r="BF106" s="140" t="e">
        <f ca="1">IF($BE106&lt;=Control!$C$86,$BE106,Control!$C$86-$BE106)</f>
        <v>#N/A</v>
      </c>
      <c r="BG106" s="140" t="e">
        <f ca="1">IF(AND($AW106=1,Control!$C$84&lt;9),1,IF($BE106&gt;=Control!$C$86,0,$BC106))</f>
        <v>#N/A</v>
      </c>
      <c r="BH106" s="404" t="e">
        <f ca="1">IF($BG106=0,0,IF($BE106&lt;=Control!$C$86,$BC106*9*($BF106/Control!$C$86),0))</f>
        <v>#N/A</v>
      </c>
      <c r="BI106" s="140" t="e">
        <f ca="1">IF($BG106=1,0,IF($BE106&gt;=Control!$C$86,1,IF(AND($BB106&lt;21,$BB106&gt;=9),1,$BM105)))</f>
        <v>#N/A</v>
      </c>
      <c r="BJ106" s="140" t="e">
        <f ca="1">IF($BF106&lt;0,-$BF106,$BI106*IF(OR($G106&lt;Control!$C$92,$G106&gt;Control!$C$95),0,IF(AND($G106&gt;=Control!$C$92,$G106&lt;=Control!$C$93),$G106-Control!$C$92,IF(AND($G106&gt;Control!$C$93,$G106&lt;=Control!$C$94),Control!$C$93-Control!$C$92,IF(AND($G106&gt;Control!$C$94,$G106&lt;=Control!$C$95),(Control!$C$93-Control!$C$92)*(Control!$C$94-$G106)/(Control!$C$95-Control!$C$94))))))</f>
        <v>#N/A</v>
      </c>
      <c r="BK106" s="140" t="e">
        <f t="shared" ca="1" si="367"/>
        <v>#N/A</v>
      </c>
      <c r="BL106" s="140" t="e">
        <f ca="1">IF($BK106&lt;=Control!$C$87,$BK106,Control!$C$87-$BK106)</f>
        <v>#N/A</v>
      </c>
      <c r="BM106" s="140" t="e">
        <f ca="1">IF(AND($BB106&gt;=9,$BB106&lt;21),1,IF($BK106&gt;=Control!$C$87,0,$BI106))</f>
        <v>#N/A</v>
      </c>
      <c r="BN106" s="404" t="e">
        <f ca="1">IF($BM106=0,0,IF($BK106&lt;=Control!$C$87,$BI106*(9+(21-9)*($BL106/Control!$C$87)),0))</f>
        <v>#N/A</v>
      </c>
      <c r="BO106" s="140" t="e">
        <f ca="1">IF($BM106=1,0,IF($BK106&gt;=Control!$C$87,1,IF(AND($BB106&lt;30,$BB106&gt;=21),1,$BS105)))</f>
        <v>#N/A</v>
      </c>
      <c r="BP106" s="140" t="e">
        <f ca="1">IF($BL106&lt;0,-$BL106,$BO106*IF(OR($G106&lt;Control!$C$92,$G106&gt;Control!$C$95),0,IF(AND($G106&gt;=Control!$C$92,$G106&lt;=Control!$C$93),$G106-Control!$C$92,IF(AND($G106&gt;Control!$C$93,$G106&lt;=Control!$C$94),Control!$C$93-Control!$C$92,IF(AND($G106&gt;Control!$C$94,$G106&lt;=Control!$C$95),(Control!$C$93-Control!$C$92)*(Control!$C$94-$G106)/(Control!$C$95-Control!$C$94))))))</f>
        <v>#N/A</v>
      </c>
      <c r="BQ106" s="140" t="e">
        <f t="shared" ca="1" si="251"/>
        <v>#N/A</v>
      </c>
      <c r="BR106" s="140" t="e">
        <f ca="1">IF($BQ106&lt;=Control!$C$88,$BQ106,Control!$C$88-$BQ106)</f>
        <v>#N/A</v>
      </c>
      <c r="BS106" s="140" t="e">
        <f ca="1">IF(AND($BB106&gt;=21,$BB106&lt;30),1,IF($BQ106&gt;=Control!$C$88,0,$BO106))</f>
        <v>#N/A</v>
      </c>
      <c r="BT106" s="404" t="e">
        <f ca="1">IF($BS106=0,0,IF($BQ106&lt;=Control!$C$88,$BO106*(21+(30-21)*(BR106/Control!$C$88)),0))</f>
        <v>#N/A</v>
      </c>
      <c r="BU106" s="140" t="e">
        <f ca="1">IF(BG106+BM106+BS106=1,0,IF(OR(AND($BB106&lt;60,$BB106&gt;=30),$BQ106&gt;=Control!$C$88),1*$BA106,$BY105))</f>
        <v>#N/A</v>
      </c>
      <c r="BV106" s="140" t="e">
        <f ca="1">IF($BR106&lt;0,-$BR106,$BU106*IF(OR($G106&lt;Control!$C$92,$G106&gt;Control!$C$95),0,IF(AND($G106&gt;=Control!$C$92,$G106&lt;=Control!$C$93),$G106-Control!$C$92,IF(AND($G106&gt;Control!$C$93,$G106&lt;=Control!$C$94),Control!$C$93-Control!$C$92,IF(AND($G106&gt;Control!$C$94,$G106&lt;=Control!$C$95),(Control!$C$93-Control!$C$92)*(Control!$C$94-$G106)/(Control!$C$95-Control!$C$94))))))</f>
        <v>#N/A</v>
      </c>
      <c r="BW106" s="140" t="e">
        <f t="shared" ca="1" si="252"/>
        <v>#N/A</v>
      </c>
      <c r="BX106" s="140" t="e">
        <f ca="1">IF($BW106&lt;=Control!$C$89,$BW106,Control!$C$89-$BW106)</f>
        <v>#N/A</v>
      </c>
      <c r="BY106" s="140" t="e">
        <f ca="1">IF(AND($AJ106&gt;=30,$AJ106&lt;60),1,IF($BW106&gt;=Control!$C$89,0,$BU106))</f>
        <v>#N/A</v>
      </c>
      <c r="BZ106" s="404" t="e">
        <f ca="1">IF($BY106=0,0,IF($BW106&lt;=Control!$C$89,$BU106*(30+(60-30)*(BX106/Control!$C$89)),0))</f>
        <v>#N/A</v>
      </c>
      <c r="CA106" s="140" t="e">
        <f ca="1">IF($BG106+$BM106+$BS106+$BY106=1,0,IF(OR(AND($BB106&lt;65,$BB106&gt;=60),$BW106&gt;=Control!$C$89),1*$BA106,$CE105))</f>
        <v>#N/A</v>
      </c>
      <c r="CB106" s="140" t="e">
        <f ca="1">IF($BX106&lt;0,-$BX106,$CA106*IF(OR($G106&lt;Control!$C$92,$G106&gt;Control!$C$95),0,IF(AND($G106&gt;=Control!$C$92,$G106&lt;=Control!$C$93),$G106-Control!$C$92,IF(AND($G106&gt;Control!$C$93,$G106&lt;=Control!$C$94),Control!$C$93-Control!$C$92,IF(AND($G106&gt;Control!$C$94,$G106&lt;=Control!$C$95),(Control!$C$93-Control!$C$92)*(Control!$C$94-$G106)/(Control!$C$95-Control!$C$94))))))</f>
        <v>#N/A</v>
      </c>
      <c r="CC106" s="140" t="e">
        <f t="shared" ca="1" si="368"/>
        <v>#N/A</v>
      </c>
      <c r="CD106" s="140" t="e">
        <f ca="1">IF($CC106&lt;=Control!$C$90,$CC106,Control!$C$90-$CC106)</f>
        <v>#N/A</v>
      </c>
      <c r="CE106" s="140" t="e">
        <f ca="1">IF(AND($BB106&gt;=60,$BB106&lt;65),1,IF($CC106&gt;=Control!$C$90,0,$CA106))</f>
        <v>#N/A</v>
      </c>
      <c r="CF106" s="404" t="e">
        <f ca="1">IF($CE106=0,0,IF($CC106&lt;=Control!$C$90,$CA106*(60+(65-60)*(CD106/Control!$C$90)),0))</f>
        <v>#N/A</v>
      </c>
      <c r="CG106" s="140" t="e">
        <f ca="1">IF($BG106+$BM106+$BS106+$BY106+$CE106=1,0,IF(OR(AND($BB106&lt;90,$BB106&gt;=65),$CC106&gt;=Control!$C$90),$BA106,$CK105))</f>
        <v>#N/A</v>
      </c>
      <c r="CH106" s="140" t="e">
        <f ca="1">IF($CD106&lt;0,-$CD106,$CG106*IF(OR($G106&lt;Control!$C$92,$G106&gt;Control!$C$95),0,IF(AND($G106&gt;=Control!$C$92,$G106&lt;=Control!$C$93),$G106-Control!$C$92,IF(AND($G106&gt;Control!$C$93,$G106&lt;=Control!$C$94),Control!$C$93-Control!$C$92,IF(AND($G106&gt;Control!$C$94,$G106&lt;=Control!$C$95),(Control!$C$93-Control!$C$92)*(Control!$C$94-$G106)/(Control!$C$95-Control!$C$94))))))</f>
        <v>#N/A</v>
      </c>
      <c r="CI106" s="140" t="e">
        <f t="shared" ca="1" si="369"/>
        <v>#N/A</v>
      </c>
      <c r="CJ106" s="140" t="e">
        <f ca="1">IF($CI106&lt;=Control!$C$91,$CI106,Control!$C$91-$CI106)</f>
        <v>#N/A</v>
      </c>
      <c r="CK106" s="140" t="e">
        <f ca="1">IF(AND($BB106&gt;=65,$BB106&lt;90),1,IF($CI106&gt;=Control!$C$91,0,$CG106))</f>
        <v>#N/A</v>
      </c>
      <c r="CL106" s="404" t="e">
        <f ca="1">IF($CK106=0,0,IF($CI106&lt;=Control!$C$91,$CG106*(65+(90-65)*($CJ106/Control!$C$91)),0))</f>
        <v>#N/A</v>
      </c>
      <c r="CM106" s="140" t="e">
        <f ca="1">IF($BG106+$BM106+$BS106+$BY106+$CE106+$CK106=1,0,IF(OR($BB106&gt;=90,$CI106&gt;=Control!$C$91),$BA106,$CM105))</f>
        <v>#N/A</v>
      </c>
      <c r="CN106" s="140" t="e">
        <f t="shared" ca="1" si="370"/>
        <v>#N/A</v>
      </c>
      <c r="CO106" s="140" t="e">
        <f t="shared" ca="1" si="371"/>
        <v>#N/A</v>
      </c>
      <c r="CP106" s="140" t="e">
        <f t="shared" ca="1" si="372"/>
        <v>#N/A</v>
      </c>
      <c r="CQ106" s="141" t="e">
        <f ca="1">VLOOKUP($CP106,Control!$B$86:$G$91,6)</f>
        <v>#N/A</v>
      </c>
      <c r="CR106" s="141" t="e">
        <f ca="1">(1-$CQ106)*VLOOKUP($CP106,Control!$B$86:$D$91,3)</f>
        <v>#N/A</v>
      </c>
      <c r="CS106" s="141" t="e">
        <f ca="1">(1-$CQ106)*VLOOKUP($CP106,Control!$B$86:$E$91,4)</f>
        <v>#N/A</v>
      </c>
      <c r="CT106" s="141" t="e">
        <f ca="1">(1-$CQ106)*VLOOKUP($CP106,Control!$B$86:$F$91,5)</f>
        <v>#N/A</v>
      </c>
      <c r="CU106" s="141">
        <f t="shared" ca="1" si="373"/>
        <v>0</v>
      </c>
      <c r="CV106" s="583">
        <f t="shared" ca="1" si="374"/>
        <v>0</v>
      </c>
      <c r="CW106" s="142">
        <f t="shared" ca="1" si="375"/>
        <v>102</v>
      </c>
      <c r="CX106" s="612" t="e">
        <f ca="1">IF(Control!$C$114=1,(MIN(Control!$C$120*(IF($NT106-0.01&lt;0,0,1)),Control!$C$119-$CY106)))</f>
        <v>#DIV/0!</v>
      </c>
      <c r="CY106" s="143" t="e">
        <f t="shared" ca="1" si="376"/>
        <v>#N/A</v>
      </c>
      <c r="CZ106" s="144">
        <f t="shared" ca="1" si="253"/>
        <v>0</v>
      </c>
      <c r="DA106" s="144">
        <f t="shared" ca="1" si="254"/>
        <v>0</v>
      </c>
      <c r="DB106" s="144" t="e">
        <f t="shared" ca="1" si="255"/>
        <v>#N/A</v>
      </c>
      <c r="DC106" s="144" t="e">
        <f t="shared" ca="1" si="256"/>
        <v>#N/A</v>
      </c>
      <c r="DD106" s="144" t="e">
        <f t="shared" ca="1" si="461"/>
        <v>#N/A</v>
      </c>
      <c r="DE106" s="143" t="e">
        <f t="shared" ca="1" si="377"/>
        <v>#N/A</v>
      </c>
      <c r="DF106" s="145" t="e">
        <f ca="1">$DR106*EXP(-Control!$C$158*(1-$KH106))</f>
        <v>#N/A</v>
      </c>
      <c r="DG106" s="146" t="e">
        <f ca="1">IF(Control!$C$114=1, $DF106*$EY106, 0)</f>
        <v>#N/A</v>
      </c>
      <c r="DH106" s="147" t="e">
        <f t="shared" ca="1" si="378"/>
        <v>#N/A</v>
      </c>
      <c r="DI106" s="144" t="e">
        <f t="shared" ca="1" si="439"/>
        <v>#N/A</v>
      </c>
      <c r="DJ106" s="147" t="e">
        <f ca="1">$EF106*Control!$C$109</f>
        <v>#N/A</v>
      </c>
      <c r="DK106" s="144" t="e">
        <f t="shared" ca="1" si="379"/>
        <v>#N/A</v>
      </c>
      <c r="DL106" s="144" t="e">
        <f t="shared" ca="1" si="257"/>
        <v>#N/A</v>
      </c>
      <c r="DM106" s="144" t="e">
        <f ca="1">IF(Control!$C$114=1, (1-EXP(-Control!$C$96*$DK106))*$AR106, 0)</f>
        <v>#N/A</v>
      </c>
      <c r="DN106" s="144">
        <f t="shared" ca="1" si="380"/>
        <v>0</v>
      </c>
      <c r="DO106" s="148">
        <f>Control!$C$97</f>
        <v>4</v>
      </c>
      <c r="DP106" s="145" t="e">
        <f t="shared" ca="1" si="381"/>
        <v>#N/A</v>
      </c>
      <c r="DQ106" s="145" t="e">
        <f ca="1">IF(AND($CP106&gt;=0,$CP106&lt;=90),Control!$C$111,Control!$C$111)</f>
        <v>#N/A</v>
      </c>
      <c r="DR106" s="145" t="e">
        <f t="shared" ca="1" si="258"/>
        <v>#N/A</v>
      </c>
      <c r="DS106" s="143" t="e">
        <f ca="1">Control!$B$22/$DR106</f>
        <v>#N/A</v>
      </c>
      <c r="DT106" s="149" t="e">
        <f ca="1">IF(AND(Control!$C$114=1,$KH106&lt;1),$IM106*$DF106, 0)</f>
        <v>#N/A</v>
      </c>
      <c r="DU106" s="144" t="e">
        <f t="shared" ca="1" si="382"/>
        <v>#N/A</v>
      </c>
      <c r="DV106" s="144">
        <f ca="1">IF($G106-Control!$C$107&lt;=0, 0, 0.83*LN(MAX($G106, 3))-0.8924)</f>
        <v>0</v>
      </c>
      <c r="DW106" s="144" t="e">
        <f t="shared" ca="1" si="259"/>
        <v>#N/A</v>
      </c>
      <c r="DX106" s="150" t="e">
        <f ca="1">MAX(0.01*(1+$CU106/Control!$C$102),0.05*($DK106-Control!$C$97)/Control!$C$97)</f>
        <v>#N/A</v>
      </c>
      <c r="DY106" s="151" t="e">
        <f ca="1">IF(Control!$C$114=1, $DI106*$FS106, 0)</f>
        <v>#N/A</v>
      </c>
      <c r="DZ106" s="196" t="e">
        <f t="shared" ca="1" si="383"/>
        <v>#N/A</v>
      </c>
      <c r="EA106" s="152">
        <f t="shared" ca="1" si="384"/>
        <v>102</v>
      </c>
      <c r="EB106" s="153" t="e">
        <f t="shared" ca="1" si="385"/>
        <v>#N/A</v>
      </c>
      <c r="EC106" s="153" t="e">
        <f t="shared" ca="1" si="386"/>
        <v>#N/A</v>
      </c>
      <c r="ED106" s="154" t="e">
        <f ca="1">IF(Control!$C$114=1, $HM106*$FY106-$FD106, 0)</f>
        <v>#DIV/0!</v>
      </c>
      <c r="EE106" s="155" t="e">
        <f ca="1">IF(Control!$C$114=1, $HM106*$FZ106-$FF106, 0)</f>
        <v>#DIV/0!</v>
      </c>
      <c r="EF106" s="153" t="e">
        <f t="shared" ca="1" si="440"/>
        <v>#N/A</v>
      </c>
      <c r="EG106" s="155" t="e">
        <f ca="1">IF(Control!$C$114=1, $GX106*$FW106-$FI106, 0)</f>
        <v>#DIV/0!</v>
      </c>
      <c r="EH106" s="153" t="e">
        <f t="shared" ca="1" si="387"/>
        <v>#N/A</v>
      </c>
      <c r="EI106" s="156" t="e">
        <f t="shared" ca="1" si="388"/>
        <v>#N/A</v>
      </c>
      <c r="EJ106" s="155" t="e">
        <f ca="1">IF(Control!$C$114=1, $HM106*$GB106, 0)</f>
        <v>#DIV/0!</v>
      </c>
      <c r="EK106" s="153" t="e">
        <f t="shared" ca="1" si="441"/>
        <v>#N/A</v>
      </c>
      <c r="EL106" s="153" t="e">
        <f t="shared" ca="1" si="260"/>
        <v>#N/A</v>
      </c>
      <c r="EM106" s="153" t="e">
        <f t="shared" ca="1" si="261"/>
        <v>#N/A</v>
      </c>
      <c r="EN106" s="153" t="e">
        <f ca="1">IF(Control!$C$108=1,IF(AND(Control!$B$18=1,$EB106&gt;=Control!$B$19),$EB106-$DS106,IF(AND(Control!$B$18=2,$AW106=1,$EB106&gt;$DS106),$EB106-$DS106,0)))</f>
        <v>#N/A</v>
      </c>
      <c r="EO106" s="153" t="e">
        <f ca="1">IF(Control!$C$108=1,IF(AND(Control!$B$18=1,$EB106&gt;=Control!$B$19),$EF106,IF(AND(Control!$B$18=2,$AW106=1),$EF106,0)))</f>
        <v>#N/A</v>
      </c>
      <c r="EP106" s="153" t="e">
        <f ca="1">IF(Control!$C$108=1,IF(AND(Control!$B$18=1,$EB106&gt;=Control!$B$19),$EK106,IF(AND(Control!$B$18=2,$AW106=1),$EK106,0)))</f>
        <v>#N/A</v>
      </c>
      <c r="EQ106" s="153" t="e">
        <f t="shared" ca="1" si="389"/>
        <v>#N/A</v>
      </c>
      <c r="ER106" s="153" t="e">
        <f t="shared" ca="1" si="390"/>
        <v>#N/A</v>
      </c>
      <c r="ES106" s="153" t="e">
        <f t="shared" ca="1" si="442"/>
        <v>#N/A</v>
      </c>
      <c r="ET106" s="153" t="e">
        <f t="shared" ca="1" si="443"/>
        <v>#N/A</v>
      </c>
      <c r="EU106" s="153" t="e">
        <f t="shared" ca="1" si="391"/>
        <v>#N/A</v>
      </c>
      <c r="EV106" s="153" t="e">
        <f t="shared" ca="1" si="262"/>
        <v>#N/A</v>
      </c>
      <c r="EW106" s="153" t="e">
        <f t="shared" ca="1" si="263"/>
        <v>#N/A</v>
      </c>
      <c r="EX106" s="153" t="e">
        <f t="shared" ca="1" si="264"/>
        <v>#N/A</v>
      </c>
      <c r="EY106" s="157" t="e">
        <f t="shared" ca="1" si="265"/>
        <v>#DIV/0!</v>
      </c>
      <c r="EZ106" s="154" t="e">
        <f t="shared" ca="1" si="266"/>
        <v>#DIV/0!</v>
      </c>
      <c r="FA106" s="153" t="e">
        <f t="shared" ca="1" si="392"/>
        <v>#N/A</v>
      </c>
      <c r="FB106" s="153" t="e">
        <f t="shared" ca="1" si="267"/>
        <v>#N/A</v>
      </c>
      <c r="FC106" s="193" t="e">
        <f t="shared" ca="1" si="268"/>
        <v>#N/A</v>
      </c>
      <c r="FD106" s="158" t="e">
        <f t="shared" ca="1" si="393"/>
        <v>#N/A</v>
      </c>
      <c r="FE106" s="158" t="e">
        <f t="shared" ca="1" si="394"/>
        <v>#N/A</v>
      </c>
      <c r="FF106" s="159" t="e">
        <f t="shared" ca="1" si="269"/>
        <v>#N/A</v>
      </c>
      <c r="FG106" s="160" t="e">
        <f t="shared" ca="1" si="395"/>
        <v>#N/A</v>
      </c>
      <c r="FH106" s="158" t="e">
        <f t="shared" ca="1" si="396"/>
        <v>#N/A</v>
      </c>
      <c r="FI106" s="159" t="e">
        <f t="shared" ca="1" si="270"/>
        <v>#N/A</v>
      </c>
      <c r="FJ106" s="160" t="e">
        <f t="shared" ca="1" si="397"/>
        <v>#N/A</v>
      </c>
      <c r="FK106" s="160" t="e">
        <f t="shared" ca="1" si="271"/>
        <v>#N/A</v>
      </c>
      <c r="FL106" s="160" t="e">
        <f t="shared" ca="1" si="444"/>
        <v>#N/A</v>
      </c>
      <c r="FM106" s="160" t="e">
        <f t="shared" ca="1" si="272"/>
        <v>#N/A</v>
      </c>
      <c r="FN106" s="158">
        <f t="shared" ca="1" si="398"/>
        <v>0.01</v>
      </c>
      <c r="FO106" s="160">
        <f>Control!$C$101</f>
        <v>50</v>
      </c>
      <c r="FP106" s="150" t="e">
        <f t="shared" ca="1" si="273"/>
        <v>#N/A</v>
      </c>
      <c r="FQ106" s="150" t="e">
        <f ca="1">MAX(0,(Control!$C$112*(($DK106-Control!$C$97)/Control!$C$97)))</f>
        <v>#N/A</v>
      </c>
      <c r="FR106" s="150" t="e">
        <f ca="1">(1-$NT106)*Control!$C$113</f>
        <v>#DIV/0!</v>
      </c>
      <c r="FS106" s="198" t="e">
        <f t="shared" ca="1" si="274"/>
        <v>#N/A</v>
      </c>
      <c r="FT106" s="161">
        <f t="shared" ca="1" si="399"/>
        <v>102</v>
      </c>
      <c r="FU106" s="162" t="e">
        <f ca="1">IF(Control!$B$34=1,VLOOKUP($CP106,Control!$B$86:$G$91,6),Control!$B$35)</f>
        <v>#N/A</v>
      </c>
      <c r="FV106" s="162" t="e">
        <f t="shared" ca="1" si="275"/>
        <v>#DIV/0!</v>
      </c>
      <c r="FW106" s="162" t="e">
        <f ca="1">IF(Control!$B$31=1,$FU106*$FV106,  $FU106)</f>
        <v>#N/A</v>
      </c>
      <c r="FX106" s="162" t="e">
        <f ca="1">IF(Control!$B$34=1,VLOOKUP($CP106,Control!$B$86:$G$91,3),Control!$B$36)</f>
        <v>#N/A</v>
      </c>
      <c r="FY106" s="162" t="e">
        <f t="shared" ca="1" si="276"/>
        <v>#N/A</v>
      </c>
      <c r="FZ106" s="162" t="e">
        <f ca="1">IF(Control!$B$34=1,VLOOKUP($CP106,Control!$B$86:$G$91,4),Control!$B$37)</f>
        <v>#N/A</v>
      </c>
      <c r="GA106" s="162" t="e">
        <f t="shared" ca="1" si="277"/>
        <v>#N/A</v>
      </c>
      <c r="GB106" s="162" t="e">
        <f ca="1">IF(Control!$B$34=1,VLOOKUP($CP106,Control!$B$86:$G$91,5),Control!$B$38)</f>
        <v>#N/A</v>
      </c>
      <c r="GC106" s="162" t="e">
        <f t="shared" ca="1" si="400"/>
        <v>#N/A</v>
      </c>
      <c r="GD106" s="162">
        <f t="shared" ca="1" si="278"/>
        <v>1</v>
      </c>
      <c r="GE106" s="162">
        <f t="shared" ca="1" si="279"/>
        <v>1</v>
      </c>
      <c r="GF106" s="162">
        <f ca="1">IF(AND(Control!$C$104=1, Control!$C$62="F"),$GE106,1)</f>
        <v>1</v>
      </c>
      <c r="GG106" s="162" t="e">
        <f ca="1">IF(Control!$B$16=40,0,IF(AND(Control!$B$16&gt;40,Control!$B$16&lt;=360),(Control!$B$16-40)*((1-0)/(360-40)),IF(AND(Control!$B$16&gt;360,Control!$B$16&lt;=720),(1+(Control!$B$16-360)*((1.25-1)/(720-360))),IF(AND(Control!$B$16&gt;720,Control!$B$16&lt;=1000),(1.25+(Control!$B$16-720)*((1.35-1.25)/(1000-720))),IF(AND(Control!$B$16&gt;1000,Control!$B$16&lt;=2000),(1.35+(Control!$B$16-1000)*0))))))</f>
        <v>#N/A</v>
      </c>
      <c r="GH106" s="162" t="e">
        <f t="shared" ca="1" si="280"/>
        <v>#N/A</v>
      </c>
      <c r="GI106" s="162">
        <f t="shared" ca="1" si="401"/>
        <v>0</v>
      </c>
      <c r="GJ106" s="162">
        <f t="shared" ca="1" si="281"/>
        <v>0</v>
      </c>
      <c r="GK106" s="162">
        <f t="shared" ca="1" si="402"/>
        <v>1</v>
      </c>
      <c r="GL106" s="162">
        <f t="shared" ca="1" si="282"/>
        <v>1</v>
      </c>
      <c r="GM106" s="162" t="e">
        <f ca="1">MAX(0,MIN(1,1-Control!$C$156*(1.0001-$KH106)^2))</f>
        <v>#N/A</v>
      </c>
      <c r="GN106" s="162" t="e">
        <f ca="1">IF(Control!$B$26=1,$KU106,$KX106)</f>
        <v>#N/A</v>
      </c>
      <c r="GO106" s="162" t="e">
        <f ca="1">IF($CP106&lt;=60,Control!$C$105,IF($CP106&gt;=90,Control!$C$106,Control!$C$105+($CP106-60)*((Control!$C$106-Control!$C$105)/(90-60))))</f>
        <v>#N/A</v>
      </c>
      <c r="GP106" s="162" t="e">
        <f t="shared" ca="1" si="283"/>
        <v>#N/A</v>
      </c>
      <c r="GQ106" s="162" t="e">
        <f t="shared" ca="1" si="403"/>
        <v>#N/A</v>
      </c>
      <c r="GR106" s="163" t="e">
        <f t="shared" ca="1" si="284"/>
        <v>#DIV/0!</v>
      </c>
      <c r="GS106" s="162" t="e">
        <f t="shared" ca="1" si="285"/>
        <v>#DIV/0!</v>
      </c>
      <c r="GT106" s="164" t="e">
        <f t="shared" ca="1" si="404"/>
        <v>#N/A</v>
      </c>
      <c r="GU106" s="162" t="e">
        <f t="shared" ca="1" si="405"/>
        <v>#N/A</v>
      </c>
      <c r="GV106" s="162" t="e">
        <f t="shared" ca="1" si="286"/>
        <v>#N/A</v>
      </c>
      <c r="GW106" s="162" t="e">
        <f t="shared" ca="1" si="287"/>
        <v>#DIV/0!</v>
      </c>
      <c r="GX106" s="162" t="e">
        <f t="shared" ca="1" si="406"/>
        <v>#DIV/0!</v>
      </c>
      <c r="GY106" s="162" t="e">
        <f t="shared" ca="1" si="407"/>
        <v>#DIV/0!</v>
      </c>
      <c r="GZ106" s="165" t="e">
        <f t="shared" ca="1" si="288"/>
        <v>#N/A</v>
      </c>
      <c r="HA106" s="162" t="e">
        <f ca="1">IF(Control!$C$114=1, $DI106*$FS106, 0)</f>
        <v>#N/A</v>
      </c>
      <c r="HB106" s="162" t="e">
        <f ca="1">$FA106/Control!$C$64</f>
        <v>#N/A</v>
      </c>
      <c r="HC106" s="162" t="e">
        <f t="shared" ca="1" si="289"/>
        <v>#DIV/0!</v>
      </c>
      <c r="HD106" s="162">
        <f ca="1">-ASIN(SIN(23.45*Control!$C$139)*COS(2*Control!$C$138*($AH106+10)/365))</f>
        <v>0.13959666462024703</v>
      </c>
      <c r="HE106" s="165">
        <f t="shared" ca="1" si="408"/>
        <v>0</v>
      </c>
      <c r="HF106" s="166">
        <f ca="1">IF(AND(Control!$C$61="T",$HE106&gt;=Control!$C$103,Control!$C$114=0),$AH106,Control!$C$59)</f>
        <v>1</v>
      </c>
      <c r="HG106" s="166">
        <f ca="1">IF(AND(Control!$C$61="T",$HE106&gt;=Control!$C$103,Control!$C$114=0),$HF106,Control!$C$59)</f>
        <v>1</v>
      </c>
      <c r="HH106" s="165">
        <f ca="1">IF(AND(OR(Control!$C$60&lt;=0, $AH106= Control!$C$59, Control!$C$60 &gt;0, $AH106 = Control!$C$60)), Control!$C$59, IF(Control!$C$60&gt;0, 0))</f>
        <v>1</v>
      </c>
      <c r="HI106" s="165">
        <f ca="1">IF(AND(OR(Control!$C$60&lt;=0, $AH106= Control!$C$59, Control!$C$60 &gt;0, $AH106 = Control!$C$60)), Control!$C$60, IF(Control!$C$60&lt;=0, 0))</f>
        <v>0</v>
      </c>
      <c r="HJ106" s="166">
        <f ca="1">IF(AND(Control!$C$62="F",$CV106&gt;=Control!$C$102),$AH106,0)</f>
        <v>0</v>
      </c>
      <c r="HK106" s="165" t="e">
        <f t="shared" ca="1" si="445"/>
        <v>#N/A</v>
      </c>
      <c r="HL106" s="166">
        <f ca="1">IF(AND(Control!$C$61="T",$HE106&gt;=Control!$C$103,Control!$C$114=0),$HF106,0)</f>
        <v>0</v>
      </c>
      <c r="HM106" s="201" t="e">
        <f t="shared" ca="1" si="290"/>
        <v>#DIV/0!</v>
      </c>
      <c r="HN106" s="215">
        <f t="shared" ca="1" si="409"/>
        <v>102</v>
      </c>
      <c r="HO106" s="216" t="e">
        <f ca="1">IF(AND($CP106&gt;=0, $CP106&lt;=90), Control!$C$152, Control!$C$152)</f>
        <v>#N/A</v>
      </c>
      <c r="HP106" s="216" t="e">
        <f t="shared" ca="1" si="291"/>
        <v>#N/A</v>
      </c>
      <c r="HQ106" s="217" t="e">
        <f ca="1">IF(OR(Control!$B$26=1,Control!$B$26=2),$KV106,$KS106)</f>
        <v>#DIV/0!</v>
      </c>
      <c r="HR106" s="218" t="e">
        <f t="shared" ca="1" si="446"/>
        <v>#DIV/0!</v>
      </c>
      <c r="HS106" s="216" t="e">
        <f ca="1">Control!$C$154*$HP106</f>
        <v>#N/A</v>
      </c>
      <c r="HT106" s="216" t="e">
        <f ca="1">Control!$C$155*$HP106</f>
        <v>#N/A</v>
      </c>
      <c r="HU106" s="217" t="e">
        <f ca="1">Control!$C$161*$FI106</f>
        <v>#N/A</v>
      </c>
      <c r="HV106" s="218" t="e">
        <f t="shared" ca="1" si="410"/>
        <v>#N/A</v>
      </c>
      <c r="HW106" s="218" t="e">
        <f ca="1">Control!$C$160*$FF106+$IP106*$EO106</f>
        <v>#N/A</v>
      </c>
      <c r="HX106" s="218" t="e">
        <f t="shared" ca="1" si="447"/>
        <v>#N/A</v>
      </c>
      <c r="HY106" s="219" t="e">
        <f ca="1">IF(Control!$C$114=1, $EB106*$FS106, 0)</f>
        <v>#N/A</v>
      </c>
      <c r="HZ106" s="91" t="e">
        <f t="shared" ca="1" si="292"/>
        <v>#N/A</v>
      </c>
      <c r="IA106" s="220" t="e">
        <f ca="1">Control!$C$153*$HO106</f>
        <v>#N/A</v>
      </c>
      <c r="IB106" s="218" t="e">
        <f t="shared" ca="1" si="293"/>
        <v>#N/A</v>
      </c>
      <c r="IC106" s="220" t="e">
        <f ca="1">Control!$C$153*$HT106</f>
        <v>#N/A</v>
      </c>
      <c r="ID106" s="218" t="e">
        <f t="shared" ca="1" si="294"/>
        <v>#N/A</v>
      </c>
      <c r="IE106" s="221" t="e">
        <f ca="1">($EB106*Control!$C$159+$EF106*Control!$C$160)/(IF($GZ106&lt;&gt;0,$GZ106,1))</f>
        <v>#N/A</v>
      </c>
      <c r="IF106" s="216" t="e">
        <f t="shared" ca="1" si="295"/>
        <v>#N/A</v>
      </c>
      <c r="IG106" s="91">
        <f ca="1">IF(OR(Control!$B$198=$AH106,Control!$B$199=$AH106, Control!$B$200=$AH106, Control!$B$201=$AH106, Control!$B$202=$AH106, Control!$B$203=$AH106, Control!$B$204=$AH106, Control!$B$205=$AH106, Control!$B$206=$AH106, Control!$B$207=$AH106), 1, 0)</f>
        <v>0</v>
      </c>
      <c r="IH106" s="91">
        <f ca="1">IF($IG106=0,0, VLOOKUP($AH106,Control!$B$198:$C$207,2))</f>
        <v>0</v>
      </c>
      <c r="II106" s="222">
        <f t="shared" ca="1" si="411"/>
        <v>0</v>
      </c>
      <c r="IJ106" s="91">
        <f>Control!$C$121</f>
        <v>0.7</v>
      </c>
      <c r="IK106" s="218">
        <f t="shared" ca="1" si="296"/>
        <v>0</v>
      </c>
      <c r="IL106" s="217" t="e">
        <f t="shared" ca="1" si="448"/>
        <v>#N/A</v>
      </c>
      <c r="IM106" s="223" t="e">
        <f ca="1">IF(AND(Control!$C$114=1,$KH106&lt;1),$EB106*Control!$C$148*(1-$KH106), 0)</f>
        <v>#N/A</v>
      </c>
      <c r="IN106" s="217" t="e">
        <f t="shared" ca="1" si="297"/>
        <v>#DIV/0!</v>
      </c>
      <c r="IO106" s="91" t="e">
        <f ca="1">MAX(0,$IL106-$EF106*Control!$C$160)</f>
        <v>#N/A</v>
      </c>
      <c r="IP106" s="220" t="e">
        <f t="shared" ca="1" si="298"/>
        <v>#N/A</v>
      </c>
      <c r="IQ106" s="217" t="e">
        <f t="shared" ca="1" si="412"/>
        <v>#N/A</v>
      </c>
      <c r="IR106" s="218" t="e">
        <f t="shared" ca="1" si="299"/>
        <v>#N/A</v>
      </c>
      <c r="IS106" s="217" t="e">
        <f ca="1">Control!$C$159*MAX(0,$FD106-$EN106)</f>
        <v>#N/A</v>
      </c>
      <c r="IT106" s="217" t="e">
        <f t="shared" ca="1" si="449"/>
        <v>#N/A</v>
      </c>
      <c r="IU106" s="217" t="e">
        <f t="shared" ca="1" si="413"/>
        <v>#N/A</v>
      </c>
      <c r="IV106" s="217" t="e">
        <f t="shared" ca="1" si="450"/>
        <v>#N/A</v>
      </c>
      <c r="IW106" s="217" t="e">
        <f ca="1">IF(OR($AW106=1,AND($AW106=0, Control!$B$18=1,$EN106&lt;&gt;0)), $IQ106-$IU106, $IQ106)</f>
        <v>#N/A</v>
      </c>
      <c r="IX106" s="218" t="e">
        <f t="shared" ca="1" si="300"/>
        <v>#N/A</v>
      </c>
      <c r="IY106" s="218" t="e">
        <f ca="1">MAX(0,$IQ106-$EB106*Control!$C$159)</f>
        <v>#N/A</v>
      </c>
      <c r="IZ106" s="218" t="e">
        <f t="shared" ca="1" si="301"/>
        <v>#N/A</v>
      </c>
      <c r="JA106" s="216" t="e">
        <f t="shared" ca="1" si="302"/>
        <v>#N/A</v>
      </c>
      <c r="JB106" s="217" t="e">
        <f t="shared" ca="1" si="303"/>
        <v>#N/A</v>
      </c>
      <c r="JC106" s="222" t="e">
        <f ca="1">MAX(Control!$C$157*$EK106-$JT106, 0)/Control!$C$162</f>
        <v>#N/A</v>
      </c>
      <c r="JD106" s="218" t="e">
        <f t="shared" ca="1" si="304"/>
        <v>#N/A</v>
      </c>
      <c r="JE106" s="218" t="e">
        <f t="shared" ca="1" si="305"/>
        <v>#N/A</v>
      </c>
      <c r="JF106" s="218" t="e">
        <f t="shared" ca="1" si="414"/>
        <v>#N/A</v>
      </c>
      <c r="JG106" s="218" t="e">
        <f t="shared" ca="1" si="306"/>
        <v>#N/A</v>
      </c>
      <c r="JH106" s="217" t="e">
        <f t="shared" ca="1" si="415"/>
        <v>#N/A</v>
      </c>
      <c r="JI106" s="217" t="e">
        <f t="shared" ca="1" si="416"/>
        <v>#N/A</v>
      </c>
      <c r="JJ106" s="217" t="e">
        <f t="shared" ca="1" si="451"/>
        <v>#N/A</v>
      </c>
      <c r="JK106" s="217" t="e">
        <f ca="1">IF(Control!$C$114=1,IF(Control!$B$24=0,MAX(0,$JI106)*$GN106/Control!$C$64,(MAX(0,MIN($JI106,$JJ106*$GN106/Control!$C$64),0))))</f>
        <v>#N/A</v>
      </c>
      <c r="JL106" s="217" t="e">
        <f ca="1">$IK106/Control!$C$64-$JK106+$HQ106</f>
        <v>#N/A</v>
      </c>
      <c r="JM106" s="217" t="e">
        <f ca="1">IF(Control!$C$114=1,($JB106/(IF($JI106&lt;&gt;0,$JI106,1)))*$JK106,0)</f>
        <v>#N/A</v>
      </c>
      <c r="JN106" s="217" t="e">
        <f ca="1">IF(Control!$C$114=1,($JG106/(IF($JI106&lt;&gt;0,$JI106,1)))*$JK106, 0)</f>
        <v>#N/A</v>
      </c>
      <c r="JO106" s="218" t="e">
        <f t="shared" ca="1" si="307"/>
        <v>#N/A</v>
      </c>
      <c r="JP106" s="218" t="e">
        <f ca="1">MIN(($IY106+$IO106)*Control!$C$151, $JF106-$EH106*Control!$C$161)</f>
        <v>#N/A</v>
      </c>
      <c r="JQ106" s="218" t="e">
        <f t="shared" ca="1" si="308"/>
        <v>#N/A</v>
      </c>
      <c r="JR106" s="217" t="e">
        <f ca="1">IF($CP106-Control!$C$150&lt;0, 0, $JQ106/Control!$C$162)</f>
        <v>#N/A</v>
      </c>
      <c r="JS106" s="218" t="e">
        <f t="shared" ca="1" si="309"/>
        <v>#N/A</v>
      </c>
      <c r="JT106" s="218" t="e">
        <f t="shared" ca="1" si="417"/>
        <v>#N/A</v>
      </c>
      <c r="JU106" s="218" t="e">
        <f t="shared" ca="1" si="310"/>
        <v>#N/A</v>
      </c>
      <c r="JV106" s="218" t="e">
        <f t="shared" ca="1" si="311"/>
        <v>#N/A</v>
      </c>
      <c r="JW106" s="216" t="e">
        <f t="shared" ca="1" si="312"/>
        <v>#N/A</v>
      </c>
      <c r="JX106" s="91" t="e">
        <f t="shared" ca="1" si="313"/>
        <v>#N/A</v>
      </c>
      <c r="JY106" s="218" t="e">
        <f t="shared" ca="1" si="314"/>
        <v>#N/A</v>
      </c>
      <c r="JZ106" s="217" t="e">
        <f ca="1">IF(Control!$C$114=1,($IZ106/(IF($JI106&lt;&gt;0,$JI106,1)))*$JK106, 0)</f>
        <v>#N/A</v>
      </c>
      <c r="KA106" s="218" t="e">
        <f t="shared" ca="1" si="452"/>
        <v>#N/A</v>
      </c>
      <c r="KB106" s="218" t="e">
        <f t="shared" ca="1" si="418"/>
        <v>#N/A</v>
      </c>
      <c r="KC106" s="218" t="e">
        <f t="shared" ca="1" si="315"/>
        <v>#N/A</v>
      </c>
      <c r="KD106" s="218" t="e">
        <f t="shared" ca="1" si="316"/>
        <v>#N/A</v>
      </c>
      <c r="KE106" s="218" t="e">
        <f t="shared" ca="1" si="317"/>
        <v>#N/A</v>
      </c>
      <c r="KF106" s="218" t="e">
        <f t="shared" ca="1" si="318"/>
        <v>#N/A</v>
      </c>
      <c r="KG106" s="216" t="e">
        <f t="shared" ca="1" si="319"/>
        <v>#N/A</v>
      </c>
      <c r="KH106" s="221" t="e">
        <f ca="1">IF(Control!$B$24=0,1,MAX(0.001,MIN(1,IF(($IF106-$IE106)&lt;&gt;0,($KG106-$IE106)/($IF106-$IE106),1))))</f>
        <v>#N/A</v>
      </c>
      <c r="KI106" s="222" t="e">
        <f ca="1">IF(Control!$C$114=1, $KI105+ $KH105, 0)</f>
        <v>#N/A</v>
      </c>
      <c r="KJ106" s="217" t="e">
        <f t="shared" ca="1" si="320"/>
        <v>#N/A</v>
      </c>
      <c r="KK106" s="218" t="e">
        <f t="shared" ca="1" si="321"/>
        <v>#N/A</v>
      </c>
      <c r="KL106" s="274" t="e">
        <f ca="1">IF(Control!$B$26=3,4000000000*EXP(-8400/($G106+273)),IF(Control!$B$26=4,4000000000*EXP(-8400/($G106+273))*($KT106),0))</f>
        <v>#DIV/0!</v>
      </c>
      <c r="KM106" s="274" t="e">
        <f ca="1">IF(Control!$B$26=3,5600000000000*EXP(-9800/($G106+273)),IF(Control!$B$26=4,5600000000000*EXP(-9800/($G106+273))*$KT106,0))</f>
        <v>#DIV/0!</v>
      </c>
      <c r="KN106" s="454" t="e">
        <f t="shared" ca="1" si="419"/>
        <v>#DIV/0!</v>
      </c>
      <c r="KO106" s="274" t="e">
        <f t="shared" ca="1" si="420"/>
        <v>#DIV/0!</v>
      </c>
      <c r="KP106" s="454" t="e">
        <f t="shared" ca="1" si="322"/>
        <v>#DIV/0!</v>
      </c>
      <c r="KQ106" s="454" t="e">
        <f t="shared" ca="1" si="323"/>
        <v>#DIV/0!</v>
      </c>
      <c r="KR106" s="454" t="e">
        <f t="shared" ca="1" si="324"/>
        <v>#DIV/0!</v>
      </c>
      <c r="KS106" s="454" t="e">
        <f t="shared" ca="1" si="325"/>
        <v>#DIV/0!</v>
      </c>
      <c r="KT106" s="455" t="e">
        <f t="shared" ca="1" si="326"/>
        <v>#DIV/0!</v>
      </c>
      <c r="KU106" s="456" t="e">
        <f ca="1">IF($CP106-Control!$C$149&lt;0, IF($NT106-0.01&lt;0,0,1),0)</f>
        <v>#N/A</v>
      </c>
      <c r="KV106" s="456" t="e">
        <f ca="1">IF(Control!$C$114=1,MAX(0,MIN(Control!$C$125*$KW106*$GN106,$KW106)))</f>
        <v>#DIV/0!</v>
      </c>
      <c r="KW106" s="456" t="e">
        <f t="shared" ca="1" si="453"/>
        <v>#DIV/0!</v>
      </c>
      <c r="KX106" s="457" t="e">
        <f ca="1">IF($CP106-Control!$C$149&lt;0, IF($MR106-$OM106&lt;0,0,1),0)</f>
        <v>#N/A</v>
      </c>
      <c r="KY106" s="167">
        <f t="shared" ca="1" si="421"/>
        <v>102</v>
      </c>
      <c r="KZ106" s="168">
        <f ca="1">1370*(1+0.033*COS(2*Control!$C$138*$AH106/365))</f>
        <v>1361.6812520614662</v>
      </c>
      <c r="LA106" s="169">
        <f t="shared" ca="1" si="422"/>
        <v>0.99392805439529652</v>
      </c>
      <c r="LB106" s="169">
        <f t="shared" ca="1" si="423"/>
        <v>0.14631659194534136</v>
      </c>
      <c r="LC106" s="169">
        <f ca="1">ACOS(-TAN((2*Control!$B$8/360))*TAN(Calculations!$LB106))</f>
        <v>1.6146090944683764</v>
      </c>
      <c r="LD106" s="169">
        <f ca="1">((24*60)/PI())*0.082*$LA106*(($LC106*SIN(Control!$B$8*2*PI()/360))*SIN($LB106)+COS(Control!$B$8*2*PI()/360)*COS($LB106)*SIN($LC106))</f>
        <v>29.662022754604269</v>
      </c>
      <c r="LE106" s="170">
        <f t="shared" ca="1" si="327"/>
        <v>29.648006996864236</v>
      </c>
      <c r="LF106" s="170">
        <f ca="1">SIN(Control!$C$139*Control!$B$8)*SIN($HD106)</f>
        <v>0.10964692486186568</v>
      </c>
      <c r="LG106" s="170">
        <f ca="1">COS(Control!$C$139*Control!$B$8)*COS($HD106)</f>
        <v>0.60967078648047701</v>
      </c>
      <c r="LH106" s="170">
        <f ca="1">12*(1+2*ASIN(MAX(-1,MIN(1,$LF106/$LG106))/Control!$C$138))</f>
        <v>13.374671471270542</v>
      </c>
      <c r="LI106" s="170">
        <f ca="1">12*(1+2*ASIN(MAX(-1,MIN(1,(-SIN(-4*Control!$C$139)+$LF106)/$LG106))/Control!$C$138))</f>
        <v>14.251298714269861</v>
      </c>
      <c r="LJ106" s="168">
        <f ca="1">3600*($LH106*$LF106+24*$LG106*SQRT(1-$LK106*$LK106)/Control!$C$138)</f>
        <v>21773.088931040027</v>
      </c>
      <c r="LK106" s="170">
        <f t="shared" ca="1" si="328"/>
        <v>0.17984611907491621</v>
      </c>
      <c r="LL106" s="170">
        <f t="shared" ca="1" si="329"/>
        <v>0</v>
      </c>
      <c r="LM106" s="171">
        <f ca="1">Control!$C$145*$AB106</f>
        <v>6.6660906138995932E-2</v>
      </c>
      <c r="LN106" s="170">
        <f t="shared" ca="1" si="424"/>
        <v>0.54</v>
      </c>
      <c r="LO106" s="170">
        <f t="shared" ca="1" si="330"/>
        <v>0</v>
      </c>
      <c r="LP106" s="170">
        <f ca="1">Control!$C$140*((($D106+273.16)^4+($E106+273.16)^4)/2)*(0.34-0.14*SQRT($Y106))*(1.35*$AQ106/(0.75*$LD106)-0.35)</f>
        <v>-3.2464704755046001</v>
      </c>
      <c r="LQ106" s="170">
        <f ca="1">Control!$C$140*($G106+273)^4*(0.56-0.079*SQRT($Y106*10))*(0.1+0.9*$LO106)</f>
        <v>1.5241745131704001</v>
      </c>
      <c r="LR106" s="170">
        <f ca="1">$AQ106*(1-Control!$C$142)-$LQ106</f>
        <v>-1.5241745131704001</v>
      </c>
      <c r="LS106" s="170">
        <f ca="1">$AQ106*(1-Control!$C$143)-$LQ106</f>
        <v>-1.5241745131704001</v>
      </c>
      <c r="LT106" s="170">
        <f ca="1">$AQ106*(1-Control!$C$144)-$LQ106</f>
        <v>-1.5241745131704001</v>
      </c>
      <c r="LU106" s="169">
        <f ca="1">(1-Control!$C$144)*AQ106-LP106</f>
        <v>3.2464704755046001</v>
      </c>
      <c r="LV106" s="172">
        <f t="shared" ca="1" si="331"/>
        <v>0.79430000000000012</v>
      </c>
      <c r="LW106" s="170">
        <f t="shared" ca="1" si="332"/>
        <v>1.5886000000000002</v>
      </c>
      <c r="LX106" s="170">
        <f ca="1">($AC106*($LR106/Control!$C$141)+$LM106*$LV106)/($AC106+$LM106)</f>
        <v>0.23530094218323697</v>
      </c>
      <c r="LY106" s="170">
        <f ca="1">($AC106*($LS106/Control!$C$141)+$LM106*$LV106)/($AC106+$LM106)</f>
        <v>0.23530094218323697</v>
      </c>
      <c r="LZ106" s="170">
        <f t="shared" ca="1" si="333"/>
        <v>0.23530094218323697</v>
      </c>
      <c r="MA106" s="170">
        <f t="shared" ca="1" si="334"/>
        <v>0.23530094218323697</v>
      </c>
      <c r="MB106" s="170" t="e">
        <f t="shared" ca="1" si="335"/>
        <v>#N/A</v>
      </c>
      <c r="MC106" s="170">
        <f t="shared" ca="1" si="425"/>
        <v>0.6018</v>
      </c>
      <c r="MD106" s="170">
        <f t="shared" ca="1" si="336"/>
        <v>0.52989392535414004</v>
      </c>
      <c r="ME106" s="170">
        <f ca="1">($AC106*($LT106/Control!$C$141)+$LM106*$LW106)/($AC106+$LM106)</f>
        <v>0.71612369323045078</v>
      </c>
      <c r="MF106" s="170" t="e">
        <f ca="1">IF(Control!$B$16&gt;=1000,0.92,IF(AND(720&lt;=Control!$B$16,1000&gt;Control!$B$16),(0.95+(Control!$B$16-720)*((0.92-0.95)/(1000-720))),IF(AND(360&lt;=Control!$B$16,720&gt;Control!$B$16),(1+(Control!$B$16-360)*((0.95-1)/(720-360))),IF(AND(40&lt;=Control!$B$16,360&gt;Control!$B$16),(1.05+(Control!$B$16-40)*((1.05-1)/(360-40)))))))</f>
        <v>#N/A</v>
      </c>
      <c r="MG106" s="170">
        <f t="shared" ca="1" si="337"/>
        <v>0.71612369323045078</v>
      </c>
      <c r="MH106" s="170" t="e">
        <f t="shared" ref="MH106:MI125" ca="1" si="463">$MG106*$MF106</f>
        <v>#N/A</v>
      </c>
      <c r="MI106" s="170" t="e">
        <f t="shared" ca="1" si="463"/>
        <v>#N/A</v>
      </c>
      <c r="MJ106" s="170" t="e">
        <f ca="1">MAX(0.0001, Control!$C$132*$MI106*$DL106)</f>
        <v>#N/A</v>
      </c>
      <c r="MK106" s="170">
        <f ca="1">1/(0.76+1.5*($MG106/10))-(5-Control!$C$110)*0.1</f>
        <v>1.002845988140797</v>
      </c>
      <c r="ML106" s="173">
        <f ca="1">IF(Control!$C$110&lt;3,$MK106+($MG106-0.6)/(Control!$C$110*(Control!$C$110+3)), MAX(0.1, MIN(0.95,$MK106)))</f>
        <v>0.95</v>
      </c>
      <c r="MM106" s="173">
        <f ca="1">IF(Control!$C$110&lt;3,$MK106+(($MI106/10)-0.6)/(Control!$C$110*(Control!$C$110+3)), MAX(0.1, MIN(0.95,$MK106)))</f>
        <v>0.95</v>
      </c>
      <c r="MN106" s="173">
        <f ca="1">(1-$MM106)*(Control!$C$128-Control!$C$127)+Control!$C$127</f>
        <v>0.16</v>
      </c>
      <c r="MO106" s="170" t="e">
        <f ca="1">MAX(0,MIN(1,($MS106-Control!$C$127)/($MN106-Control!$C$127)))</f>
        <v>#DIV/0!</v>
      </c>
      <c r="MP106" s="173" t="e">
        <f ca="1">1/(0.76+1.5*$MI106)-(5-Control!$C$110)*0.1</f>
        <v>#N/A</v>
      </c>
      <c r="MQ106" s="172" t="e">
        <f t="shared" ca="1" si="454"/>
        <v>#DIV/0!</v>
      </c>
      <c r="MR106" s="168" t="e">
        <f t="shared" ca="1" si="426"/>
        <v>#DIV/0!</v>
      </c>
      <c r="MS106" s="173" t="e">
        <f ca="1">MAX(Control!$C$127, MIN(Control!$C$135, $MR106/MAX(0.0001,$CY106)))</f>
        <v>#DIV/0!</v>
      </c>
      <c r="MT106" s="168" t="e">
        <f ca="1">(Control!$C$128-$MS106)*Control!$C$74</f>
        <v>#DIV/0!</v>
      </c>
      <c r="MU106" s="168" t="e">
        <f ca="1">(Control!$C$135-$MS106)*Control!$C$74</f>
        <v>#DIV/0!</v>
      </c>
      <c r="MV106" s="168" t="e">
        <f t="shared" ca="1" si="427"/>
        <v>#DIV/0!</v>
      </c>
      <c r="MW106" s="168" t="e">
        <f t="shared" ca="1" si="428"/>
        <v>#DIV/0!</v>
      </c>
      <c r="MX106" s="171" t="e">
        <f ca="1">MAX(Control!$C$127, MIN(Control!$C$135, $MW106/MAX(0.0001,Control!$C$119-$CY106)))</f>
        <v>#DIV/0!</v>
      </c>
      <c r="MY106" s="54" t="e">
        <f ca="1">IF(Control!$C$114=1, $CX106*$MX106, 0)</f>
        <v>#DIV/0!</v>
      </c>
      <c r="MZ106" s="54" t="e">
        <f t="shared" ca="1" si="429"/>
        <v>#N/A</v>
      </c>
      <c r="NA106" s="168" t="e">
        <f ca="1">(Control!$C$128-$MX106)*(Control!$C$119-Control!$C$74)</f>
        <v>#DIV/0!</v>
      </c>
      <c r="NB106" s="168" t="e">
        <f ca="1">(Control!$C$135-$MX106)*(Control!$C$119-Control!$C$74)</f>
        <v>#DIV/0!</v>
      </c>
      <c r="NC106" s="174" t="e">
        <f t="shared" ca="1" si="430"/>
        <v>#DIV/0!</v>
      </c>
      <c r="ND106" s="54">
        <f ca="1">IF(Control!$C$58=2, IF(OR(Control!$B$218=$AH106,Control!$B$219=$AH106, Control!$B$220=$AH106, Control!$B$221=$AH106, Control!$B$222=$AH106, Control!$B$223=$AH106, Control!$B$224=$AH106, Control!$B$225=$AH106, Control!$B$226=$AH106, Control!$B$227=$AH106, Control!$B$228=$AH106), 1, 0), 0)</f>
        <v>0</v>
      </c>
      <c r="NE106" s="54">
        <f ca="1">IF($ND106=0,0, VLOOKUP($AH106,Control!$B$218:$C$228,2))</f>
        <v>0</v>
      </c>
      <c r="NF106" s="168" t="e">
        <f ca="1">$CY106*(Control!$C$128-Control!$C$127)</f>
        <v>#N/A</v>
      </c>
      <c r="NG106" s="54" t="e">
        <f ca="1">IF(Control!$C$58=2, $NI105-$NJ105, 0)</f>
        <v>#DIV/0!</v>
      </c>
      <c r="NH106" s="54" t="e">
        <f ca="1">IF(AND(Control!$C$58=1, $MS105&lt;= ($MN105+0.02), $I105&lt;10), 0, IF(Control!$C$58=2, $NG105, 0))</f>
        <v>#DIV/0!</v>
      </c>
      <c r="NI106" s="54" t="e">
        <f ca="1">IF(Control!$C$58=2, $NE106+$NH106,0)</f>
        <v>#DIV/0!</v>
      </c>
      <c r="NJ106" s="54" t="e">
        <f ca="1">IF(AND(Control!$C$58=1, $MS106&lt;= ($MN106+0.02), $I106&lt;10), MAX(0, MIN(10, 0.7*($NF106-$MV106))), IF(Control!$C$58=2, MIN(10,$NI106),0))</f>
        <v>#DIV/0!</v>
      </c>
      <c r="NK106" s="54" t="e">
        <f t="shared" ca="1" si="338"/>
        <v>#DIV/0!</v>
      </c>
      <c r="NL106" s="173" t="e">
        <f ca="1">(1-Control!$C$73)*$I106+$NJ106</f>
        <v>#DIV/0!</v>
      </c>
      <c r="NM106" s="172" t="e">
        <f ca="1">IF($NL106&lt;0.5, $MB106* MAX(0, MIN(1, (SQRT($NC106)-SQRT($NC106-1))*Control!$C$71)),0)</f>
        <v>#DIV/0!</v>
      </c>
      <c r="NN106" s="170" t="e">
        <f ca="1">IF($NL106&gt;=5, $MB106, MAX(0,MIN($MB106, $NM106+$NL106,($MS106-Control!$C$129))))</f>
        <v>#DIV/0!</v>
      </c>
      <c r="NO106" s="54">
        <f>IF(Control!$C$133&lt;&gt;1, Control!$C$135-Control!$C$131, 0)</f>
        <v>0.38</v>
      </c>
      <c r="NP106" s="54" t="e">
        <f t="shared" ca="1" si="339"/>
        <v>#DIV/0!</v>
      </c>
      <c r="NQ106" s="173" t="e">
        <f ca="1">MAX(0,MIN(1,(Control!$C$135-$MS106)/(Control!$C$135-$NO106)))</f>
        <v>#DIV/0!</v>
      </c>
      <c r="NR106" s="170" t="e">
        <f ca="1">IF(Control!$C$133&lt;&gt;1, $NQ106+((1-$NP106/4)*(1-$NQ106)),1)</f>
        <v>#DIV/0!</v>
      </c>
      <c r="NS106" s="170" t="e">
        <f ca="1">IF(Control!$B$31=0,$MJ106,MAX(0,MIN($MV106,$MO106*$NR106*$MJ106)))</f>
        <v>#DIV/0!</v>
      </c>
      <c r="NT106" s="170" t="e">
        <f t="shared" ca="1" si="455"/>
        <v>#DIV/0!</v>
      </c>
      <c r="NU106" s="170" t="e">
        <f t="shared" ca="1" si="431"/>
        <v>#N/A</v>
      </c>
      <c r="NV106" s="170" t="e">
        <f t="shared" ca="1" si="340"/>
        <v>#N/A</v>
      </c>
      <c r="NW106" s="175" t="e">
        <f t="shared" ca="1" si="341"/>
        <v>#DIV/0!</v>
      </c>
      <c r="NX106" s="170" t="e">
        <f ca="1">MIN(Control!$C$72+$MU106, $NW106)</f>
        <v>#DIV/0!</v>
      </c>
      <c r="NY106" s="170" t="e">
        <f ca="1">IF($MT106&lt;=$NX106,MIN(Control!$C$72+$NB106,$NX106-$MT106),0)</f>
        <v>#DIV/0!</v>
      </c>
      <c r="NZ106" s="54" t="e">
        <f ca="1">IF(Control!$C$114=1,  $CX106*($MX106-Control!$C$127), 0)</f>
        <v>#DIV/0!</v>
      </c>
      <c r="OA106" s="170" t="e">
        <f t="shared" ca="1" si="342"/>
        <v>#DIV/0!</v>
      </c>
      <c r="OB106" s="170" t="e">
        <f ca="1">IF($NA106 &lt;=$NY106, MIN(Control!$C$72, $NY106-$NA106), 0)</f>
        <v>#DIV/0!</v>
      </c>
      <c r="OC106" s="168" t="e">
        <f t="shared" ca="1" si="343"/>
        <v>#DIV/0!</v>
      </c>
      <c r="OD106" s="168" t="e">
        <f t="shared" ca="1" si="432"/>
        <v>#DIV/0!</v>
      </c>
      <c r="OE106" s="170">
        <f ca="1">Control!$C$73*$I106</f>
        <v>0</v>
      </c>
      <c r="OF106" s="176" t="e">
        <f t="shared" ca="1" si="344"/>
        <v>#DIV/0!</v>
      </c>
      <c r="OG106" s="168" t="e">
        <f t="shared" ca="1" si="345"/>
        <v>#DIV/0!</v>
      </c>
      <c r="OH106" s="168" t="e">
        <f t="shared" ca="1" si="346"/>
        <v>#DIV/0!</v>
      </c>
      <c r="OI106" s="168" t="e">
        <f t="shared" ca="1" si="347"/>
        <v>#DIV/0!</v>
      </c>
      <c r="OJ106" s="168" t="e">
        <f t="shared" ca="1" si="348"/>
        <v>#DIV/0!</v>
      </c>
      <c r="OK106" s="204" t="e">
        <f t="shared" ca="1" si="349"/>
        <v>#DIV/0!</v>
      </c>
      <c r="OL106" s="177">
        <f>Control!$C$127</f>
        <v>0.15</v>
      </c>
      <c r="OM106" s="182" t="e">
        <f t="shared" ca="1" si="350"/>
        <v>#N/A</v>
      </c>
      <c r="ON106" s="177">
        <f>Control!$C$128</f>
        <v>0.35</v>
      </c>
      <c r="OO106" s="182" t="e">
        <f t="shared" ca="1" si="351"/>
        <v>#N/A</v>
      </c>
      <c r="OP106" s="138">
        <f t="shared" ca="1" si="433"/>
        <v>0</v>
      </c>
      <c r="OQ106" s="138" t="e">
        <f t="shared" ca="1" si="456"/>
        <v>#DIV/0!</v>
      </c>
      <c r="OR106" s="138" t="e">
        <f t="shared" ca="1" si="434"/>
        <v>#DIV/0!</v>
      </c>
      <c r="OS106" s="137" t="e">
        <f t="shared" ca="1" si="457"/>
        <v>#DIV/0!</v>
      </c>
      <c r="OT106" s="139" t="e">
        <f t="shared" ca="1" si="458"/>
        <v>#DIV/0!</v>
      </c>
      <c r="OU106" s="138" t="e">
        <f t="shared" ca="1" si="459"/>
        <v>#N/A</v>
      </c>
      <c r="OV106" s="138" t="e">
        <f t="shared" ca="1" si="460"/>
        <v>#DIV/0!</v>
      </c>
      <c r="OW106" s="138" t="e">
        <f t="shared" ca="1" si="435"/>
        <v>#DIV/0!</v>
      </c>
      <c r="OX106" s="138" t="e">
        <f t="shared" ca="1" si="436"/>
        <v>#DIV/0!</v>
      </c>
      <c r="OY106" s="138" t="e">
        <f t="shared" ca="1" si="437"/>
        <v>#DIV/0!</v>
      </c>
      <c r="OZ106" s="138" t="e">
        <f t="shared" ca="1" si="352"/>
        <v>#DIV/0!</v>
      </c>
      <c r="PA106" s="138" t="e">
        <f t="shared" ca="1" si="353"/>
        <v>#DIV/0!</v>
      </c>
      <c r="PB106" s="55">
        <f>IF(Control!$C$61="T", IF(Control!$C$65="F", IF($AH$6-Control!$C$60&lt;0,0,1), IF(365+$AH$6-Control!$C$60&lt;0,0,1)),0)</f>
        <v>0</v>
      </c>
      <c r="PC106" s="55">
        <f ca="1">IF(Control!$C$65="F", IF($AH$6-$HF106&lt;0,0,1), IF(365+$AH$6-$HF106&lt;0,0,1))</f>
        <v>1</v>
      </c>
      <c r="PD106" s="444">
        <f>Control!$C$118</f>
        <v>1500</v>
      </c>
      <c r="PE106" s="180" t="e">
        <f t="shared" ca="1" si="354"/>
        <v>#N/A</v>
      </c>
      <c r="PF106" s="445">
        <f t="shared" ca="1" si="438"/>
        <v>0.71612369323045078</v>
      </c>
      <c r="PT106" s="186"/>
      <c r="PU106" s="186"/>
      <c r="PV106" s="94"/>
      <c r="PW106" s="94"/>
      <c r="PX106" s="94"/>
      <c r="PY106" s="94"/>
      <c r="PZ106" s="94"/>
      <c r="QA106" s="94"/>
      <c r="QB106" s="94"/>
      <c r="QC106" s="94"/>
      <c r="QD106" s="94"/>
      <c r="QE106" s="94"/>
      <c r="QF106" s="94"/>
      <c r="QG106" s="94"/>
      <c r="QH106" s="94"/>
      <c r="QI106" s="94"/>
      <c r="QJ106" s="94"/>
      <c r="QK106" s="94"/>
      <c r="QL106" s="94"/>
      <c r="QM106" s="94"/>
      <c r="QN106" s="94"/>
      <c r="QO106" s="94"/>
      <c r="QP106" s="94"/>
    </row>
    <row r="107" spans="1:458" s="2" customFormat="1" x14ac:dyDescent="0.2">
      <c r="A107" s="395">
        <v>12</v>
      </c>
      <c r="B107" s="396">
        <v>4</v>
      </c>
      <c r="C107" s="387">
        <f ca="1">Weather_data!$B106</f>
        <v>0</v>
      </c>
      <c r="D107" s="388">
        <f ca="1">Weather_data!$F106</f>
        <v>0</v>
      </c>
      <c r="E107" s="388">
        <f ca="1">Weather_data!$E106</f>
        <v>0</v>
      </c>
      <c r="F107" s="388">
        <f t="shared" ca="1" si="355"/>
        <v>0</v>
      </c>
      <c r="G107" s="388">
        <f ca="1">AVERAGE($D107:$E107)+Control!$B$9</f>
        <v>0</v>
      </c>
      <c r="H107" s="388">
        <f ca="1">Weather_data!$G106</f>
        <v>0</v>
      </c>
      <c r="I107" s="388">
        <f ca="1">Weather_data!$I106</f>
        <v>0</v>
      </c>
      <c r="J107" s="388">
        <f ca="1">Weather_data!$H106</f>
        <v>0</v>
      </c>
      <c r="K107" s="389">
        <f ca="1">Weather_data!$D106</f>
        <v>0</v>
      </c>
      <c r="L107" s="388" t="e">
        <f t="shared" ca="1" si="356"/>
        <v>#N/A</v>
      </c>
      <c r="M107" s="388" t="e">
        <f t="shared" ca="1" si="234"/>
        <v>#N/A</v>
      </c>
      <c r="N107" s="388">
        <f t="shared" ca="1" si="235"/>
        <v>-1.1952629499414365E-5</v>
      </c>
      <c r="O107" s="388">
        <f t="shared" ca="1" si="357"/>
        <v>1.1952629499414365E-4</v>
      </c>
      <c r="P107" s="390">
        <v>3</v>
      </c>
      <c r="Q107" s="388">
        <f ca="1">MAX($G107-Control!$C$107,0)</f>
        <v>0</v>
      </c>
      <c r="R107" s="388">
        <f t="shared" ca="1" si="358"/>
        <v>0</v>
      </c>
      <c r="S107" s="388">
        <f t="shared" ca="1" si="236"/>
        <v>0</v>
      </c>
      <c r="T107" s="388">
        <f t="shared" ca="1" si="237"/>
        <v>0</v>
      </c>
      <c r="U107" s="59">
        <f t="shared" ca="1" si="238"/>
        <v>0</v>
      </c>
      <c r="V107" s="391">
        <f ca="1">MAX(0,MIN(Control!$C$100-Control!$C$99,$G107-Control!$C$99)*Control!$C$63)</f>
        <v>0</v>
      </c>
      <c r="W107" s="388">
        <f t="shared" ca="1" si="359"/>
        <v>0</v>
      </c>
      <c r="X107" s="388">
        <f t="shared" ca="1" si="360"/>
        <v>0.6110000000000001</v>
      </c>
      <c r="Y107" s="388">
        <f t="shared" ca="1" si="239"/>
        <v>0</v>
      </c>
      <c r="Z107" s="388">
        <f t="shared" ca="1" si="361"/>
        <v>0.61058800000000002</v>
      </c>
      <c r="AA107" s="388">
        <f t="shared" ca="1" si="240"/>
        <v>0.6018</v>
      </c>
      <c r="AB107" s="388">
        <f ca="1">101.3*EXP(-0.034*Control!$C$66/($G107+273))</f>
        <v>100.69623283836242</v>
      </c>
      <c r="AC107" s="392">
        <f t="shared" ca="1" si="241"/>
        <v>4.3460251046025113E-2</v>
      </c>
      <c r="AD107" s="392">
        <f t="shared" ca="1" si="242"/>
        <v>4.4450382862832649E-2</v>
      </c>
      <c r="AE107" s="388">
        <f t="shared" ca="1" si="243"/>
        <v>0</v>
      </c>
      <c r="AF107" s="388">
        <f ca="1">MAX(0,$G107-Control!$C$92)</f>
        <v>0</v>
      </c>
      <c r="AG107" s="393">
        <f t="shared" ca="1" si="244"/>
        <v>103</v>
      </c>
      <c r="AH107" s="389">
        <f t="shared" ca="1" si="245"/>
        <v>103</v>
      </c>
      <c r="AI107" s="388">
        <f t="shared" ca="1" si="362"/>
        <v>0.14605955419755762</v>
      </c>
      <c r="AJ107" s="388">
        <f ca="1">IF(Control!$C$60&lt;=0,$HH107,$HI107)</f>
        <v>1</v>
      </c>
      <c r="AK107" s="388">
        <f t="shared" ca="1" si="246"/>
        <v>0.39592674538391909</v>
      </c>
      <c r="AL107" s="388">
        <f t="shared" ca="1" si="247"/>
        <v>-3.7869794106137887E-18</v>
      </c>
      <c r="AM107" s="388">
        <f t="shared" ca="1" si="248"/>
        <v>0.39592674538391909</v>
      </c>
      <c r="AN107" s="388">
        <f t="shared" ca="1" si="249"/>
        <v>0.15402519043568899</v>
      </c>
      <c r="AO107" s="388">
        <f ca="1">-0.10453/COS(Control!$B$8*PI()/180)*COS(AN107)</f>
        <v>-0.16777487503170754</v>
      </c>
      <c r="AP107" s="388">
        <f ca="1">ACOS(AO107-TAN(Control!$B$8*PI()/180)*TAN(AN107))</f>
        <v>1.9460322628823481</v>
      </c>
      <c r="AQ107" s="388">
        <f t="shared" ca="1" si="363"/>
        <v>0</v>
      </c>
      <c r="AR107" s="394">
        <f t="shared" ca="1" si="250"/>
        <v>0</v>
      </c>
      <c r="AS107" s="436">
        <f ca="1">IF(Control!$B$18=2,(IF(OR($AH107=Control!$B$175,$AH107=Control!$B$176,$AH107=Control!$B$177,$AH107=Control!$B$178,$AH107=Control!$B$179,$AH107=Control!$B$180,$AH107=Control!$B$181,$AH107=Control!$B$182,$AH107=Control!$B$183,$AH107=Control!$B$184,$AH107=Control!$B$185),1,0)),0)</f>
        <v>0</v>
      </c>
      <c r="AT107" s="436">
        <f>IF(Control!$B$20=8,IF(AND($AH107&gt;=Control!$B$172,$AH107&lt;=Control!$B$173),1,0),0)</f>
        <v>0</v>
      </c>
      <c r="AU107" s="436">
        <f>IF(Control!$B$20=8,IF($AV106=1,1*$AT107,IF($AT107=1,$AU106+1,$AU106)),0)</f>
        <v>0</v>
      </c>
      <c r="AV107" s="436">
        <f>IF(Control!$B$20=8,IF($AU107&gt;=Control!$B$174,1,0),0)</f>
        <v>0</v>
      </c>
      <c r="AW107" s="436">
        <f ca="1">IF(AND(Control!$B$18=2,Control!$B$171=1), $AV107, $AS107)</f>
        <v>0</v>
      </c>
      <c r="AX107" s="436" t="e">
        <f ca="1">IF(AND(Control!$B$18=1,$EU107&gt;=Control!$B$19),-$AY107,IF(AND(Control!$B$18=2,$AW107=1,$EU107&gt;$DS107),-$AY107, IF(Control!$C$108=0,0, IF(Control!$C$108&lt;&gt;0,1))))</f>
        <v>#N/A</v>
      </c>
      <c r="AY107" s="436" t="e">
        <f t="shared" ca="1" si="364"/>
        <v>#N/A</v>
      </c>
      <c r="AZ107" s="436" t="e">
        <f ca="1">IF(AND(Control!$B$18=1,$EB107&gt;Control!$B$19),$AZ106+1, IF(AND(Control!$B$18=2, $AW107=1, $EB107&gt;$DS107), $AZ106+1,$AZ106))</f>
        <v>#N/A</v>
      </c>
      <c r="BA107" s="587">
        <f>IF(Control!$C$81=0,1,IF($AH107&gt;=Control!$C$82,1,0))</f>
        <v>1</v>
      </c>
      <c r="BB107" s="140" t="e">
        <f ca="1">IF($BA107&gt;$BA106,Control!$C$83,IF($AW107&gt;0,$AW107*Control!$C$84,IF(AND(Control!$B$18=1,EN106&lt;&gt;0),Control!$C$84,0)))</f>
        <v>#N/A</v>
      </c>
      <c r="BC107" s="140" t="e">
        <f t="shared" ca="1" si="365"/>
        <v>#N/A</v>
      </c>
      <c r="BD107" s="140" t="e">
        <f ca="1">BC107*IF(OR($G107&lt;Control!$C$92,$G107&gt;Control!$C$95),0,IF(AND($G107&gt;=Control!$C$92,$G107&lt;=Control!$C$93),$G107-Control!$C$92,IF(AND($G107&gt;Control!$C$93,$G107&lt;=Control!$C$94),Control!$C$93-Control!$C$92,IF(AND($G107&gt;Control!$C$94,$G107&lt;=Control!$C$95),(Control!$C$93-Control!$C$92)*(Control!$C$94-$G107)/(Control!$C$95-Control!$C$94)))))</f>
        <v>#N/A</v>
      </c>
      <c r="BE107" s="140" t="e">
        <f t="shared" ca="1" si="366"/>
        <v>#N/A</v>
      </c>
      <c r="BF107" s="140" t="e">
        <f ca="1">IF($BE107&lt;=Control!$C$86,$BE107,Control!$C$86-$BE107)</f>
        <v>#N/A</v>
      </c>
      <c r="BG107" s="140" t="e">
        <f ca="1">IF(AND($AW107=1,Control!$C$84&lt;9),1,IF($BE107&gt;=Control!$C$86,0,$BC107))</f>
        <v>#N/A</v>
      </c>
      <c r="BH107" s="404" t="e">
        <f ca="1">IF($BG107=0,0,IF($BE107&lt;=Control!$C$86,$BC107*9*($BF107/Control!$C$86),0))</f>
        <v>#N/A</v>
      </c>
      <c r="BI107" s="140" t="e">
        <f ca="1">IF($BG107=1,0,IF($BE107&gt;=Control!$C$86,1,IF(AND($BB107&lt;21,$BB107&gt;=9),1,$BM106)))</f>
        <v>#N/A</v>
      </c>
      <c r="BJ107" s="140" t="e">
        <f ca="1">IF($BF107&lt;0,-$BF107,$BI107*IF(OR($G107&lt;Control!$C$92,$G107&gt;Control!$C$95),0,IF(AND($G107&gt;=Control!$C$92,$G107&lt;=Control!$C$93),$G107-Control!$C$92,IF(AND($G107&gt;Control!$C$93,$G107&lt;=Control!$C$94),Control!$C$93-Control!$C$92,IF(AND($G107&gt;Control!$C$94,$G107&lt;=Control!$C$95),(Control!$C$93-Control!$C$92)*(Control!$C$94-$G107)/(Control!$C$95-Control!$C$94))))))</f>
        <v>#N/A</v>
      </c>
      <c r="BK107" s="140" t="e">
        <f t="shared" ca="1" si="367"/>
        <v>#N/A</v>
      </c>
      <c r="BL107" s="140" t="e">
        <f ca="1">IF($BK107&lt;=Control!$C$87,$BK107,Control!$C$87-$BK107)</f>
        <v>#N/A</v>
      </c>
      <c r="BM107" s="140" t="e">
        <f ca="1">IF(AND($BB107&gt;=9,$BB107&lt;21),1,IF($BK107&gt;=Control!$C$87,0,$BI107))</f>
        <v>#N/A</v>
      </c>
      <c r="BN107" s="404" t="e">
        <f ca="1">IF($BM107=0,0,IF($BK107&lt;=Control!$C$87,$BI107*(9+(21-9)*($BL107/Control!$C$87)),0))</f>
        <v>#N/A</v>
      </c>
      <c r="BO107" s="140" t="e">
        <f ca="1">IF($BM107=1,0,IF($BK107&gt;=Control!$C$87,1,IF(AND($BB107&lt;30,$BB107&gt;=21),1,$BS106)))</f>
        <v>#N/A</v>
      </c>
      <c r="BP107" s="140" t="e">
        <f ca="1">IF($BL107&lt;0,-$BL107,$BO107*IF(OR($G107&lt;Control!$C$92,$G107&gt;Control!$C$95),0,IF(AND($G107&gt;=Control!$C$92,$G107&lt;=Control!$C$93),$G107-Control!$C$92,IF(AND($G107&gt;Control!$C$93,$G107&lt;=Control!$C$94),Control!$C$93-Control!$C$92,IF(AND($G107&gt;Control!$C$94,$G107&lt;=Control!$C$95),(Control!$C$93-Control!$C$92)*(Control!$C$94-$G107)/(Control!$C$95-Control!$C$94))))))</f>
        <v>#N/A</v>
      </c>
      <c r="BQ107" s="140" t="e">
        <f t="shared" ca="1" si="251"/>
        <v>#N/A</v>
      </c>
      <c r="BR107" s="140" t="e">
        <f ca="1">IF($BQ107&lt;=Control!$C$88,$BQ107,Control!$C$88-$BQ107)</f>
        <v>#N/A</v>
      </c>
      <c r="BS107" s="140" t="e">
        <f ca="1">IF(AND($BB107&gt;=21,$BB107&lt;30),1,IF($BQ107&gt;=Control!$C$88,0,$BO107))</f>
        <v>#N/A</v>
      </c>
      <c r="BT107" s="404" t="e">
        <f ca="1">IF($BS107=0,0,IF($BQ107&lt;=Control!$C$88,$BO107*(21+(30-21)*(BR107/Control!$C$88)),0))</f>
        <v>#N/A</v>
      </c>
      <c r="BU107" s="140" t="e">
        <f ca="1">IF(BG107+BM107+BS107=1,0,IF(OR(AND($BB107&lt;60,$BB107&gt;=30),$BQ107&gt;=Control!$C$88),1*$BA107,$BY106))</f>
        <v>#N/A</v>
      </c>
      <c r="BV107" s="140" t="e">
        <f ca="1">IF($BR107&lt;0,-$BR107,$BU107*IF(OR($G107&lt;Control!$C$92,$G107&gt;Control!$C$95),0,IF(AND($G107&gt;=Control!$C$92,$G107&lt;=Control!$C$93),$G107-Control!$C$92,IF(AND($G107&gt;Control!$C$93,$G107&lt;=Control!$C$94),Control!$C$93-Control!$C$92,IF(AND($G107&gt;Control!$C$94,$G107&lt;=Control!$C$95),(Control!$C$93-Control!$C$92)*(Control!$C$94-$G107)/(Control!$C$95-Control!$C$94))))))</f>
        <v>#N/A</v>
      </c>
      <c r="BW107" s="140" t="e">
        <f t="shared" ca="1" si="252"/>
        <v>#N/A</v>
      </c>
      <c r="BX107" s="140" t="e">
        <f ca="1">IF($BW107&lt;=Control!$C$89,$BW107,Control!$C$89-$BW107)</f>
        <v>#N/A</v>
      </c>
      <c r="BY107" s="140" t="e">
        <f ca="1">IF(AND($AJ107&gt;=30,$AJ107&lt;60),1,IF($BW107&gt;=Control!$C$89,0,$BU107))</f>
        <v>#N/A</v>
      </c>
      <c r="BZ107" s="404" t="e">
        <f ca="1">IF($BY107=0,0,IF($BW107&lt;=Control!$C$89,$BU107*(30+(60-30)*(BX107/Control!$C$89)),0))</f>
        <v>#N/A</v>
      </c>
      <c r="CA107" s="140" t="e">
        <f ca="1">IF($BG107+$BM107+$BS107+$BY107=1,0,IF(OR(AND($BB107&lt;65,$BB107&gt;=60),$BW107&gt;=Control!$C$89),1*$BA107,$CE106))</f>
        <v>#N/A</v>
      </c>
      <c r="CB107" s="140" t="e">
        <f ca="1">IF($BX107&lt;0,-$BX107,$CA107*IF(OR($G107&lt;Control!$C$92,$G107&gt;Control!$C$95),0,IF(AND($G107&gt;=Control!$C$92,$G107&lt;=Control!$C$93),$G107-Control!$C$92,IF(AND($G107&gt;Control!$C$93,$G107&lt;=Control!$C$94),Control!$C$93-Control!$C$92,IF(AND($G107&gt;Control!$C$94,$G107&lt;=Control!$C$95),(Control!$C$93-Control!$C$92)*(Control!$C$94-$G107)/(Control!$C$95-Control!$C$94))))))</f>
        <v>#N/A</v>
      </c>
      <c r="CC107" s="140" t="e">
        <f t="shared" ca="1" si="368"/>
        <v>#N/A</v>
      </c>
      <c r="CD107" s="140" t="e">
        <f ca="1">IF($CC107&lt;=Control!$C$90,$CC107,Control!$C$90-$CC107)</f>
        <v>#N/A</v>
      </c>
      <c r="CE107" s="140" t="e">
        <f ca="1">IF(AND($BB107&gt;=60,$BB107&lt;65),1,IF($CC107&gt;=Control!$C$90,0,$CA107))</f>
        <v>#N/A</v>
      </c>
      <c r="CF107" s="404" t="e">
        <f ca="1">IF($CE107=0,0,IF($CC107&lt;=Control!$C$90,$CA107*(60+(65-60)*(CD107/Control!$C$90)),0))</f>
        <v>#N/A</v>
      </c>
      <c r="CG107" s="140" t="e">
        <f ca="1">IF($BG107+$BM107+$BS107+$BY107+$CE107=1,0,IF(OR(AND($BB107&lt;90,$BB107&gt;=65),$CC107&gt;=Control!$C$90),$BA107,$CK106))</f>
        <v>#N/A</v>
      </c>
      <c r="CH107" s="140" t="e">
        <f ca="1">IF($CD107&lt;0,-$CD107,$CG107*IF(OR($G107&lt;Control!$C$92,$G107&gt;Control!$C$95),0,IF(AND($G107&gt;=Control!$C$92,$G107&lt;=Control!$C$93),$G107-Control!$C$92,IF(AND($G107&gt;Control!$C$93,$G107&lt;=Control!$C$94),Control!$C$93-Control!$C$92,IF(AND($G107&gt;Control!$C$94,$G107&lt;=Control!$C$95),(Control!$C$93-Control!$C$92)*(Control!$C$94-$G107)/(Control!$C$95-Control!$C$94))))))</f>
        <v>#N/A</v>
      </c>
      <c r="CI107" s="140" t="e">
        <f t="shared" ca="1" si="369"/>
        <v>#N/A</v>
      </c>
      <c r="CJ107" s="140" t="e">
        <f ca="1">IF($CI107&lt;=Control!$C$91,$CI107,Control!$C$91-$CI107)</f>
        <v>#N/A</v>
      </c>
      <c r="CK107" s="140" t="e">
        <f ca="1">IF(AND($BB107&gt;=65,$BB107&lt;90),1,IF($CI107&gt;=Control!$C$91,0,$CG107))</f>
        <v>#N/A</v>
      </c>
      <c r="CL107" s="404" t="e">
        <f ca="1">IF($CK107=0,0,IF($CI107&lt;=Control!$C$91,$CG107*(65+(90-65)*($CJ107/Control!$C$91)),0))</f>
        <v>#N/A</v>
      </c>
      <c r="CM107" s="140" t="e">
        <f ca="1">IF($BG107+$BM107+$BS107+$BY107+$CE107+$CK107=1,0,IF(OR($BB107&gt;=90,$CI107&gt;=Control!$C$91),$BA107,$CM106))</f>
        <v>#N/A</v>
      </c>
      <c r="CN107" s="140" t="e">
        <f t="shared" ca="1" si="370"/>
        <v>#N/A</v>
      </c>
      <c r="CO107" s="140" t="e">
        <f t="shared" ca="1" si="371"/>
        <v>#N/A</v>
      </c>
      <c r="CP107" s="140" t="e">
        <f t="shared" ca="1" si="372"/>
        <v>#N/A</v>
      </c>
      <c r="CQ107" s="141" t="e">
        <f ca="1">VLOOKUP($CP107,Control!$B$86:$G$91,6)</f>
        <v>#N/A</v>
      </c>
      <c r="CR107" s="141" t="e">
        <f ca="1">(1-$CQ107)*VLOOKUP($CP107,Control!$B$86:$D$91,3)</f>
        <v>#N/A</v>
      </c>
      <c r="CS107" s="141" t="e">
        <f ca="1">(1-$CQ107)*VLOOKUP($CP107,Control!$B$86:$E$91,4)</f>
        <v>#N/A</v>
      </c>
      <c r="CT107" s="141" t="e">
        <f ca="1">(1-$CQ107)*VLOOKUP($CP107,Control!$B$86:$F$91,5)</f>
        <v>#N/A</v>
      </c>
      <c r="CU107" s="141">
        <f t="shared" ca="1" si="373"/>
        <v>0</v>
      </c>
      <c r="CV107" s="583">
        <f t="shared" ca="1" si="374"/>
        <v>0</v>
      </c>
      <c r="CW107" s="142">
        <f t="shared" ca="1" si="375"/>
        <v>103</v>
      </c>
      <c r="CX107" s="612" t="e">
        <f ca="1">IF(Control!$C$114=1,(MIN(Control!$C$120*(IF($NT107-0.01&lt;0,0,1)),Control!$C$119-$CY107)))</f>
        <v>#DIV/0!</v>
      </c>
      <c r="CY107" s="143" t="e">
        <f t="shared" ca="1" si="376"/>
        <v>#N/A</v>
      </c>
      <c r="CZ107" s="144">
        <f t="shared" ca="1" si="253"/>
        <v>0</v>
      </c>
      <c r="DA107" s="144">
        <f t="shared" ca="1" si="254"/>
        <v>0</v>
      </c>
      <c r="DB107" s="144" t="e">
        <f t="shared" ca="1" si="255"/>
        <v>#N/A</v>
      </c>
      <c r="DC107" s="144" t="e">
        <f t="shared" ca="1" si="256"/>
        <v>#N/A</v>
      </c>
      <c r="DD107" s="144" t="e">
        <f t="shared" ca="1" si="461"/>
        <v>#N/A</v>
      </c>
      <c r="DE107" s="143" t="e">
        <f t="shared" ca="1" si="377"/>
        <v>#N/A</v>
      </c>
      <c r="DF107" s="145" t="e">
        <f ca="1">$DR107*EXP(-Control!$C$158*(1-$KH107))</f>
        <v>#N/A</v>
      </c>
      <c r="DG107" s="146" t="e">
        <f ca="1">IF(Control!$C$114=1, $DF107*$EY107, 0)</f>
        <v>#N/A</v>
      </c>
      <c r="DH107" s="147" t="e">
        <f t="shared" ca="1" si="378"/>
        <v>#N/A</v>
      </c>
      <c r="DI107" s="144" t="e">
        <f t="shared" ca="1" si="439"/>
        <v>#N/A</v>
      </c>
      <c r="DJ107" s="147" t="e">
        <f ca="1">$EF107*Control!$C$109</f>
        <v>#N/A</v>
      </c>
      <c r="DK107" s="144" t="e">
        <f t="shared" ca="1" si="379"/>
        <v>#N/A</v>
      </c>
      <c r="DL107" s="144" t="e">
        <f t="shared" ca="1" si="257"/>
        <v>#N/A</v>
      </c>
      <c r="DM107" s="144" t="e">
        <f ca="1">IF(Control!$C$114=1, (1-EXP(-Control!$C$96*$DK107))*$AR107, 0)</f>
        <v>#N/A</v>
      </c>
      <c r="DN107" s="144">
        <f t="shared" ca="1" si="380"/>
        <v>0</v>
      </c>
      <c r="DO107" s="148">
        <f>Control!$C$97</f>
        <v>4</v>
      </c>
      <c r="DP107" s="145" t="e">
        <f t="shared" ca="1" si="381"/>
        <v>#N/A</v>
      </c>
      <c r="DQ107" s="145" t="e">
        <f ca="1">IF(AND($CP107&gt;=0,$CP107&lt;=90),Control!$C$111,Control!$C$111)</f>
        <v>#N/A</v>
      </c>
      <c r="DR107" s="145" t="e">
        <f t="shared" ca="1" si="258"/>
        <v>#N/A</v>
      </c>
      <c r="DS107" s="143" t="e">
        <f ca="1">Control!$B$22/$DR107</f>
        <v>#N/A</v>
      </c>
      <c r="DT107" s="149" t="e">
        <f ca="1">IF(AND(Control!$C$114=1,$KH107&lt;1),$IM107*$DF107, 0)</f>
        <v>#N/A</v>
      </c>
      <c r="DU107" s="144" t="e">
        <f t="shared" ca="1" si="382"/>
        <v>#N/A</v>
      </c>
      <c r="DV107" s="144">
        <f ca="1">IF($G107-Control!$C$107&lt;=0, 0, 0.83*LN(MAX($G107, 3))-0.8924)</f>
        <v>0</v>
      </c>
      <c r="DW107" s="144" t="e">
        <f t="shared" ca="1" si="259"/>
        <v>#N/A</v>
      </c>
      <c r="DX107" s="150" t="e">
        <f ca="1">MAX(0.01*(1+$CU107/Control!$C$102),0.05*($DK107-Control!$C$97)/Control!$C$97)</f>
        <v>#N/A</v>
      </c>
      <c r="DY107" s="151" t="e">
        <f ca="1">IF(Control!$C$114=1, $DI107*$FS107, 0)</f>
        <v>#N/A</v>
      </c>
      <c r="DZ107" s="196" t="e">
        <f t="shared" ca="1" si="383"/>
        <v>#N/A</v>
      </c>
      <c r="EA107" s="152">
        <f t="shared" ca="1" si="384"/>
        <v>103</v>
      </c>
      <c r="EB107" s="153" t="e">
        <f t="shared" ca="1" si="385"/>
        <v>#N/A</v>
      </c>
      <c r="EC107" s="153" t="e">
        <f t="shared" ca="1" si="386"/>
        <v>#N/A</v>
      </c>
      <c r="ED107" s="154" t="e">
        <f ca="1">IF(Control!$C$114=1, $HM107*$FY107-$FD107, 0)</f>
        <v>#DIV/0!</v>
      </c>
      <c r="EE107" s="155" t="e">
        <f ca="1">IF(Control!$C$114=1, $HM107*$FZ107-$FF107, 0)</f>
        <v>#DIV/0!</v>
      </c>
      <c r="EF107" s="153" t="e">
        <f t="shared" ca="1" si="440"/>
        <v>#N/A</v>
      </c>
      <c r="EG107" s="155" t="e">
        <f ca="1">IF(Control!$C$114=1, $GX107*$FW107-$FI107, 0)</f>
        <v>#DIV/0!</v>
      </c>
      <c r="EH107" s="153" t="e">
        <f t="shared" ca="1" si="387"/>
        <v>#N/A</v>
      </c>
      <c r="EI107" s="156" t="e">
        <f t="shared" ca="1" si="388"/>
        <v>#N/A</v>
      </c>
      <c r="EJ107" s="155" t="e">
        <f ca="1">IF(Control!$C$114=1, $HM107*$GB107, 0)</f>
        <v>#DIV/0!</v>
      </c>
      <c r="EK107" s="153" t="e">
        <f t="shared" ca="1" si="441"/>
        <v>#N/A</v>
      </c>
      <c r="EL107" s="153" t="e">
        <f t="shared" ca="1" si="260"/>
        <v>#N/A</v>
      </c>
      <c r="EM107" s="153" t="e">
        <f t="shared" ca="1" si="261"/>
        <v>#N/A</v>
      </c>
      <c r="EN107" s="153" t="e">
        <f ca="1">IF(Control!$C$108=1,IF(AND(Control!$B$18=1,$EB107&gt;=Control!$B$19),$EB107-$DS107,IF(AND(Control!$B$18=2,$AW107=1,$EB107&gt;$DS107),$EB107-$DS107,0)))</f>
        <v>#N/A</v>
      </c>
      <c r="EO107" s="153" t="e">
        <f ca="1">IF(Control!$C$108=1,IF(AND(Control!$B$18=1,$EB107&gt;=Control!$B$19),$EF107,IF(AND(Control!$B$18=2,$AW107=1),$EF107,0)))</f>
        <v>#N/A</v>
      </c>
      <c r="EP107" s="153" t="e">
        <f ca="1">IF(Control!$C$108=1,IF(AND(Control!$B$18=1,$EB107&gt;=Control!$B$19),$EK107,IF(AND(Control!$B$18=2,$AW107=1),$EK107,0)))</f>
        <v>#N/A</v>
      </c>
      <c r="EQ107" s="153" t="e">
        <f t="shared" ca="1" si="389"/>
        <v>#N/A</v>
      </c>
      <c r="ER107" s="153" t="e">
        <f t="shared" ca="1" si="390"/>
        <v>#N/A</v>
      </c>
      <c r="ES107" s="153" t="e">
        <f t="shared" ca="1" si="442"/>
        <v>#N/A</v>
      </c>
      <c r="ET107" s="153" t="e">
        <f t="shared" ca="1" si="443"/>
        <v>#N/A</v>
      </c>
      <c r="EU107" s="153" t="e">
        <f t="shared" ca="1" si="391"/>
        <v>#N/A</v>
      </c>
      <c r="EV107" s="153" t="e">
        <f t="shared" ca="1" si="262"/>
        <v>#N/A</v>
      </c>
      <c r="EW107" s="153" t="e">
        <f t="shared" ca="1" si="263"/>
        <v>#N/A</v>
      </c>
      <c r="EX107" s="153" t="e">
        <f t="shared" ca="1" si="264"/>
        <v>#N/A</v>
      </c>
      <c r="EY107" s="157" t="e">
        <f t="shared" ca="1" si="265"/>
        <v>#DIV/0!</v>
      </c>
      <c r="EZ107" s="154" t="e">
        <f t="shared" ca="1" si="266"/>
        <v>#DIV/0!</v>
      </c>
      <c r="FA107" s="153" t="e">
        <f t="shared" ca="1" si="392"/>
        <v>#N/A</v>
      </c>
      <c r="FB107" s="153" t="e">
        <f t="shared" ca="1" si="267"/>
        <v>#N/A</v>
      </c>
      <c r="FC107" s="193" t="e">
        <f t="shared" ca="1" si="268"/>
        <v>#N/A</v>
      </c>
      <c r="FD107" s="158" t="e">
        <f t="shared" ca="1" si="393"/>
        <v>#N/A</v>
      </c>
      <c r="FE107" s="158" t="e">
        <f t="shared" ca="1" si="394"/>
        <v>#N/A</v>
      </c>
      <c r="FF107" s="159" t="e">
        <f t="shared" ca="1" si="269"/>
        <v>#N/A</v>
      </c>
      <c r="FG107" s="160" t="e">
        <f t="shared" ca="1" si="395"/>
        <v>#N/A</v>
      </c>
      <c r="FH107" s="158" t="e">
        <f t="shared" ca="1" si="396"/>
        <v>#N/A</v>
      </c>
      <c r="FI107" s="159" t="e">
        <f t="shared" ca="1" si="270"/>
        <v>#N/A</v>
      </c>
      <c r="FJ107" s="160" t="e">
        <f t="shared" ca="1" si="397"/>
        <v>#N/A</v>
      </c>
      <c r="FK107" s="160" t="e">
        <f t="shared" ca="1" si="271"/>
        <v>#N/A</v>
      </c>
      <c r="FL107" s="160" t="e">
        <f t="shared" ca="1" si="444"/>
        <v>#N/A</v>
      </c>
      <c r="FM107" s="160" t="e">
        <f t="shared" ca="1" si="272"/>
        <v>#N/A</v>
      </c>
      <c r="FN107" s="158">
        <f t="shared" ca="1" si="398"/>
        <v>0.01</v>
      </c>
      <c r="FO107" s="160">
        <f>Control!$C$101</f>
        <v>50</v>
      </c>
      <c r="FP107" s="150" t="e">
        <f t="shared" ca="1" si="273"/>
        <v>#N/A</v>
      </c>
      <c r="FQ107" s="150" t="e">
        <f ca="1">MAX(0,(Control!$C$112*(($DK107-Control!$C$97)/Control!$C$97)))</f>
        <v>#N/A</v>
      </c>
      <c r="FR107" s="150" t="e">
        <f ca="1">(1-$NT107)*Control!$C$113</f>
        <v>#DIV/0!</v>
      </c>
      <c r="FS107" s="198" t="e">
        <f t="shared" ca="1" si="274"/>
        <v>#N/A</v>
      </c>
      <c r="FT107" s="161">
        <f t="shared" ca="1" si="399"/>
        <v>103</v>
      </c>
      <c r="FU107" s="162" t="e">
        <f ca="1">IF(Control!$B$34=1,VLOOKUP($CP107,Control!$B$86:$G$91,6),Control!$B$35)</f>
        <v>#N/A</v>
      </c>
      <c r="FV107" s="162" t="e">
        <f t="shared" ca="1" si="275"/>
        <v>#DIV/0!</v>
      </c>
      <c r="FW107" s="162" t="e">
        <f ca="1">IF(Control!$B$31=1,$FU107*$FV107,  $FU107)</f>
        <v>#N/A</v>
      </c>
      <c r="FX107" s="162" t="e">
        <f ca="1">IF(Control!$B$34=1,VLOOKUP($CP107,Control!$B$86:$G$91,3),Control!$B$36)</f>
        <v>#N/A</v>
      </c>
      <c r="FY107" s="162" t="e">
        <f t="shared" ca="1" si="276"/>
        <v>#N/A</v>
      </c>
      <c r="FZ107" s="162" t="e">
        <f ca="1">IF(Control!$B$34=1,VLOOKUP($CP107,Control!$B$86:$G$91,4),Control!$B$37)</f>
        <v>#N/A</v>
      </c>
      <c r="GA107" s="162" t="e">
        <f t="shared" ca="1" si="277"/>
        <v>#N/A</v>
      </c>
      <c r="GB107" s="162" t="e">
        <f ca="1">IF(Control!$B$34=1,VLOOKUP($CP107,Control!$B$86:$G$91,5),Control!$B$38)</f>
        <v>#N/A</v>
      </c>
      <c r="GC107" s="162" t="e">
        <f t="shared" ca="1" si="400"/>
        <v>#N/A</v>
      </c>
      <c r="GD107" s="162">
        <f t="shared" ca="1" si="278"/>
        <v>1</v>
      </c>
      <c r="GE107" s="162">
        <f t="shared" ca="1" si="279"/>
        <v>1</v>
      </c>
      <c r="GF107" s="162">
        <f ca="1">IF(AND(Control!$C$104=1, Control!$C$62="F"),$GE107,1)</f>
        <v>1</v>
      </c>
      <c r="GG107" s="162" t="e">
        <f ca="1">IF(Control!$B$16=40,0,IF(AND(Control!$B$16&gt;40,Control!$B$16&lt;=360),(Control!$B$16-40)*((1-0)/(360-40)),IF(AND(Control!$B$16&gt;360,Control!$B$16&lt;=720),(1+(Control!$B$16-360)*((1.25-1)/(720-360))),IF(AND(Control!$B$16&gt;720,Control!$B$16&lt;=1000),(1.25+(Control!$B$16-720)*((1.35-1.25)/(1000-720))),IF(AND(Control!$B$16&gt;1000,Control!$B$16&lt;=2000),(1.35+(Control!$B$16-1000)*0))))))</f>
        <v>#N/A</v>
      </c>
      <c r="GH107" s="162" t="e">
        <f t="shared" ca="1" si="280"/>
        <v>#N/A</v>
      </c>
      <c r="GI107" s="162">
        <f t="shared" ca="1" si="401"/>
        <v>0</v>
      </c>
      <c r="GJ107" s="162">
        <f t="shared" ca="1" si="281"/>
        <v>0</v>
      </c>
      <c r="GK107" s="162">
        <f t="shared" ca="1" si="402"/>
        <v>1</v>
      </c>
      <c r="GL107" s="162">
        <f t="shared" ca="1" si="282"/>
        <v>1</v>
      </c>
      <c r="GM107" s="162" t="e">
        <f ca="1">MAX(0,MIN(1,1-Control!$C$156*(1.0001-$KH107)^2))</f>
        <v>#N/A</v>
      </c>
      <c r="GN107" s="162" t="e">
        <f ca="1">IF(Control!$B$26=1,$KU107,$KX107)</f>
        <v>#N/A</v>
      </c>
      <c r="GO107" s="162" t="e">
        <f ca="1">IF($CP107&lt;=60,Control!$C$105,IF($CP107&gt;=90,Control!$C$106,Control!$C$105+($CP107-60)*((Control!$C$106-Control!$C$105)/(90-60))))</f>
        <v>#N/A</v>
      </c>
      <c r="GP107" s="162" t="e">
        <f t="shared" ca="1" si="283"/>
        <v>#N/A</v>
      </c>
      <c r="GQ107" s="162" t="e">
        <f t="shared" ca="1" si="403"/>
        <v>#N/A</v>
      </c>
      <c r="GR107" s="163" t="e">
        <f t="shared" ca="1" si="284"/>
        <v>#DIV/0!</v>
      </c>
      <c r="GS107" s="162" t="e">
        <f t="shared" ca="1" si="285"/>
        <v>#DIV/0!</v>
      </c>
      <c r="GT107" s="164" t="e">
        <f t="shared" ca="1" si="404"/>
        <v>#N/A</v>
      </c>
      <c r="GU107" s="162" t="e">
        <f t="shared" ca="1" si="405"/>
        <v>#N/A</v>
      </c>
      <c r="GV107" s="162" t="e">
        <f t="shared" ca="1" si="286"/>
        <v>#N/A</v>
      </c>
      <c r="GW107" s="162" t="e">
        <f t="shared" ca="1" si="287"/>
        <v>#DIV/0!</v>
      </c>
      <c r="GX107" s="162" t="e">
        <f t="shared" ca="1" si="406"/>
        <v>#DIV/0!</v>
      </c>
      <c r="GY107" s="162" t="e">
        <f t="shared" ca="1" si="407"/>
        <v>#DIV/0!</v>
      </c>
      <c r="GZ107" s="165" t="e">
        <f t="shared" ca="1" si="288"/>
        <v>#N/A</v>
      </c>
      <c r="HA107" s="162" t="e">
        <f ca="1">IF(Control!$C$114=1, $DI107*$FS107, 0)</f>
        <v>#N/A</v>
      </c>
      <c r="HB107" s="162" t="e">
        <f ca="1">$FA107/Control!$C$64</f>
        <v>#N/A</v>
      </c>
      <c r="HC107" s="162" t="e">
        <f t="shared" ca="1" si="289"/>
        <v>#DIV/0!</v>
      </c>
      <c r="HD107" s="162">
        <f ca="1">-ASIN(SIN(23.45*Control!$C$139)*COS(2*Control!$C$138*($AH107+10)/365))</f>
        <v>0.14605955419755762</v>
      </c>
      <c r="HE107" s="165">
        <f t="shared" ca="1" si="408"/>
        <v>0</v>
      </c>
      <c r="HF107" s="166">
        <f ca="1">IF(AND(Control!$C$61="T",$HE107&gt;=Control!$C$103,Control!$C$114=0),$AH107,Control!$C$59)</f>
        <v>1</v>
      </c>
      <c r="HG107" s="166">
        <f ca="1">IF(AND(Control!$C$61="T",$HE107&gt;=Control!$C$103,Control!$C$114=0),$HF107,Control!$C$59)</f>
        <v>1</v>
      </c>
      <c r="HH107" s="165">
        <f ca="1">IF(AND(OR(Control!$C$60&lt;=0, $AH107= Control!$C$59, Control!$C$60 &gt;0, $AH107 = Control!$C$60)), Control!$C$59, IF(Control!$C$60&gt;0, 0))</f>
        <v>1</v>
      </c>
      <c r="HI107" s="165">
        <f ca="1">IF(AND(OR(Control!$C$60&lt;=0, $AH107= Control!$C$59, Control!$C$60 &gt;0, $AH107 = Control!$C$60)), Control!$C$60, IF(Control!$C$60&lt;=0, 0))</f>
        <v>0</v>
      </c>
      <c r="HJ107" s="166">
        <f ca="1">IF(AND(Control!$C$62="F",$CV107&gt;=Control!$C$102),$AH107,0)</f>
        <v>0</v>
      </c>
      <c r="HK107" s="165" t="e">
        <f t="shared" ca="1" si="445"/>
        <v>#N/A</v>
      </c>
      <c r="HL107" s="166">
        <f ca="1">IF(AND(Control!$C$61="T",$HE107&gt;=Control!$C$103,Control!$C$114=0),$HF107,0)</f>
        <v>0</v>
      </c>
      <c r="HM107" s="201" t="e">
        <f t="shared" ca="1" si="290"/>
        <v>#DIV/0!</v>
      </c>
      <c r="HN107" s="215">
        <f t="shared" ca="1" si="409"/>
        <v>103</v>
      </c>
      <c r="HO107" s="216" t="e">
        <f ca="1">IF(AND($CP107&gt;=0, $CP107&lt;=90), Control!$C$152, Control!$C$152)</f>
        <v>#N/A</v>
      </c>
      <c r="HP107" s="216" t="e">
        <f t="shared" ca="1" si="291"/>
        <v>#N/A</v>
      </c>
      <c r="HQ107" s="217" t="e">
        <f ca="1">IF(OR(Control!$B$26=1,Control!$B$26=2),$KV107,$KS107)</f>
        <v>#DIV/0!</v>
      </c>
      <c r="HR107" s="218" t="e">
        <f t="shared" ca="1" si="446"/>
        <v>#DIV/0!</v>
      </c>
      <c r="HS107" s="216" t="e">
        <f ca="1">Control!$C$154*$HP107</f>
        <v>#N/A</v>
      </c>
      <c r="HT107" s="216" t="e">
        <f ca="1">Control!$C$155*$HP107</f>
        <v>#N/A</v>
      </c>
      <c r="HU107" s="217" t="e">
        <f ca="1">Control!$C$161*$FI107</f>
        <v>#N/A</v>
      </c>
      <c r="HV107" s="218" t="e">
        <f t="shared" ca="1" si="410"/>
        <v>#N/A</v>
      </c>
      <c r="HW107" s="218" t="e">
        <f ca="1">Control!$C$160*$FF107+$IP107*$EO107</f>
        <v>#N/A</v>
      </c>
      <c r="HX107" s="218" t="e">
        <f t="shared" ca="1" si="447"/>
        <v>#N/A</v>
      </c>
      <c r="HY107" s="219" t="e">
        <f ca="1">IF(Control!$C$114=1, $EB107*$FS107, 0)</f>
        <v>#N/A</v>
      </c>
      <c r="HZ107" s="91" t="e">
        <f t="shared" ca="1" si="292"/>
        <v>#N/A</v>
      </c>
      <c r="IA107" s="220" t="e">
        <f ca="1">Control!$C$153*$HO107</f>
        <v>#N/A</v>
      </c>
      <c r="IB107" s="218" t="e">
        <f t="shared" ca="1" si="293"/>
        <v>#N/A</v>
      </c>
      <c r="IC107" s="220" t="e">
        <f ca="1">Control!$C$153*$HT107</f>
        <v>#N/A</v>
      </c>
      <c r="ID107" s="218" t="e">
        <f t="shared" ca="1" si="294"/>
        <v>#N/A</v>
      </c>
      <c r="IE107" s="221" t="e">
        <f ca="1">($EB107*Control!$C$159+$EF107*Control!$C$160)/(IF($GZ107&lt;&gt;0,$GZ107,1))</f>
        <v>#N/A</v>
      </c>
      <c r="IF107" s="216" t="e">
        <f t="shared" ca="1" si="295"/>
        <v>#N/A</v>
      </c>
      <c r="IG107" s="91">
        <f ca="1">IF(OR(Control!$B$198=$AH107,Control!$B$199=$AH107, Control!$B$200=$AH107, Control!$B$201=$AH107, Control!$B$202=$AH107, Control!$B$203=$AH107, Control!$B$204=$AH107, Control!$B$205=$AH107, Control!$B$206=$AH107, Control!$B$207=$AH107), 1, 0)</f>
        <v>0</v>
      </c>
      <c r="IH107" s="91">
        <f ca="1">IF($IG107=0,0, VLOOKUP($AH107,Control!$B$198:$C$207,2))</f>
        <v>0</v>
      </c>
      <c r="II107" s="222">
        <f t="shared" ca="1" si="411"/>
        <v>0</v>
      </c>
      <c r="IJ107" s="91">
        <f>Control!$C$121</f>
        <v>0.7</v>
      </c>
      <c r="IK107" s="218">
        <f t="shared" ca="1" si="296"/>
        <v>0</v>
      </c>
      <c r="IL107" s="217" t="e">
        <f t="shared" ca="1" si="448"/>
        <v>#N/A</v>
      </c>
      <c r="IM107" s="223" t="e">
        <f ca="1">IF(AND(Control!$C$114=1,$KH107&lt;1),$EB107*Control!$C$148*(1-$KH107), 0)</f>
        <v>#N/A</v>
      </c>
      <c r="IN107" s="217" t="e">
        <f t="shared" ca="1" si="297"/>
        <v>#DIV/0!</v>
      </c>
      <c r="IO107" s="91" t="e">
        <f ca="1">MAX(0,$IL107-$EF107*Control!$C$160)</f>
        <v>#N/A</v>
      </c>
      <c r="IP107" s="220" t="e">
        <f t="shared" ca="1" si="298"/>
        <v>#N/A</v>
      </c>
      <c r="IQ107" s="217" t="e">
        <f t="shared" ca="1" si="412"/>
        <v>#N/A</v>
      </c>
      <c r="IR107" s="218" t="e">
        <f t="shared" ca="1" si="299"/>
        <v>#N/A</v>
      </c>
      <c r="IS107" s="217" t="e">
        <f ca="1">Control!$C$159*MAX(0,$FD107-$EN107)</f>
        <v>#N/A</v>
      </c>
      <c r="IT107" s="217" t="e">
        <f t="shared" ca="1" si="449"/>
        <v>#N/A</v>
      </c>
      <c r="IU107" s="217" t="e">
        <f t="shared" ca="1" si="413"/>
        <v>#N/A</v>
      </c>
      <c r="IV107" s="217" t="e">
        <f t="shared" ca="1" si="450"/>
        <v>#N/A</v>
      </c>
      <c r="IW107" s="217" t="e">
        <f ca="1">IF(OR($AW107=1,AND($AW107=0, Control!$B$18=1,$EN107&lt;&gt;0)), $IQ107-$IU107, $IQ107)</f>
        <v>#N/A</v>
      </c>
      <c r="IX107" s="218" t="e">
        <f t="shared" ca="1" si="300"/>
        <v>#N/A</v>
      </c>
      <c r="IY107" s="218" t="e">
        <f ca="1">MAX(0,$IQ107-$EB107*Control!$C$159)</f>
        <v>#N/A</v>
      </c>
      <c r="IZ107" s="218" t="e">
        <f t="shared" ca="1" si="301"/>
        <v>#N/A</v>
      </c>
      <c r="JA107" s="216" t="e">
        <f t="shared" ca="1" si="302"/>
        <v>#N/A</v>
      </c>
      <c r="JB107" s="217" t="e">
        <f t="shared" ca="1" si="303"/>
        <v>#N/A</v>
      </c>
      <c r="JC107" s="222" t="e">
        <f ca="1">MAX(Control!$C$157*$EK107-$JT107, 0)/Control!$C$162</f>
        <v>#N/A</v>
      </c>
      <c r="JD107" s="218" t="e">
        <f t="shared" ca="1" si="304"/>
        <v>#N/A</v>
      </c>
      <c r="JE107" s="218" t="e">
        <f t="shared" ca="1" si="305"/>
        <v>#N/A</v>
      </c>
      <c r="JF107" s="218" t="e">
        <f t="shared" ca="1" si="414"/>
        <v>#N/A</v>
      </c>
      <c r="JG107" s="218" t="e">
        <f t="shared" ca="1" si="306"/>
        <v>#N/A</v>
      </c>
      <c r="JH107" s="217" t="e">
        <f t="shared" ca="1" si="415"/>
        <v>#N/A</v>
      </c>
      <c r="JI107" s="217" t="e">
        <f t="shared" ca="1" si="416"/>
        <v>#N/A</v>
      </c>
      <c r="JJ107" s="217" t="e">
        <f t="shared" ca="1" si="451"/>
        <v>#N/A</v>
      </c>
      <c r="JK107" s="217" t="e">
        <f ca="1">IF(Control!$C$114=1,IF(Control!$B$24=0,MAX(0,$JI107)*$GN107/Control!$C$64,(MAX(0,MIN($JI107,$JJ107*$GN107/Control!$C$64),0))))</f>
        <v>#N/A</v>
      </c>
      <c r="JL107" s="217" t="e">
        <f ca="1">$IK107/Control!$C$64-$JK107+$HQ107</f>
        <v>#N/A</v>
      </c>
      <c r="JM107" s="217" t="e">
        <f ca="1">IF(Control!$C$114=1,($JB107/(IF($JI107&lt;&gt;0,$JI107,1)))*$JK107,0)</f>
        <v>#N/A</v>
      </c>
      <c r="JN107" s="217" t="e">
        <f ca="1">IF(Control!$C$114=1,($JG107/(IF($JI107&lt;&gt;0,$JI107,1)))*$JK107, 0)</f>
        <v>#N/A</v>
      </c>
      <c r="JO107" s="218" t="e">
        <f t="shared" ca="1" si="307"/>
        <v>#N/A</v>
      </c>
      <c r="JP107" s="218" t="e">
        <f ca="1">MIN(($IY107+$IO107)*Control!$C$151, $JF107-$EH107*Control!$C$161)</f>
        <v>#N/A</v>
      </c>
      <c r="JQ107" s="218" t="e">
        <f t="shared" ca="1" si="308"/>
        <v>#N/A</v>
      </c>
      <c r="JR107" s="217" t="e">
        <f ca="1">IF($CP107-Control!$C$150&lt;0, 0, $JQ107/Control!$C$162)</f>
        <v>#N/A</v>
      </c>
      <c r="JS107" s="218" t="e">
        <f t="shared" ca="1" si="309"/>
        <v>#N/A</v>
      </c>
      <c r="JT107" s="218" t="e">
        <f t="shared" ca="1" si="417"/>
        <v>#N/A</v>
      </c>
      <c r="JU107" s="218" t="e">
        <f t="shared" ca="1" si="310"/>
        <v>#N/A</v>
      </c>
      <c r="JV107" s="218" t="e">
        <f t="shared" ca="1" si="311"/>
        <v>#N/A</v>
      </c>
      <c r="JW107" s="216" t="e">
        <f t="shared" ca="1" si="312"/>
        <v>#N/A</v>
      </c>
      <c r="JX107" s="91" t="e">
        <f t="shared" ca="1" si="313"/>
        <v>#N/A</v>
      </c>
      <c r="JY107" s="218" t="e">
        <f t="shared" ca="1" si="314"/>
        <v>#N/A</v>
      </c>
      <c r="JZ107" s="217" t="e">
        <f ca="1">IF(Control!$C$114=1,($IZ107/(IF($JI107&lt;&gt;0,$JI107,1)))*$JK107, 0)</f>
        <v>#N/A</v>
      </c>
      <c r="KA107" s="218" t="e">
        <f t="shared" ca="1" si="452"/>
        <v>#N/A</v>
      </c>
      <c r="KB107" s="218" t="e">
        <f t="shared" ca="1" si="418"/>
        <v>#N/A</v>
      </c>
      <c r="KC107" s="218" t="e">
        <f t="shared" ca="1" si="315"/>
        <v>#N/A</v>
      </c>
      <c r="KD107" s="218" t="e">
        <f t="shared" ca="1" si="316"/>
        <v>#N/A</v>
      </c>
      <c r="KE107" s="218" t="e">
        <f t="shared" ca="1" si="317"/>
        <v>#N/A</v>
      </c>
      <c r="KF107" s="218" t="e">
        <f t="shared" ca="1" si="318"/>
        <v>#N/A</v>
      </c>
      <c r="KG107" s="216" t="e">
        <f t="shared" ca="1" si="319"/>
        <v>#N/A</v>
      </c>
      <c r="KH107" s="221" t="e">
        <f ca="1">IF(Control!$B$24=0,1,MAX(0.001,MIN(1,IF(($IF107-$IE107)&lt;&gt;0,($KG107-$IE107)/($IF107-$IE107),1))))</f>
        <v>#N/A</v>
      </c>
      <c r="KI107" s="222" t="e">
        <f ca="1">IF(Control!$C$114=1, $KI106+ $KH106, 0)</f>
        <v>#N/A</v>
      </c>
      <c r="KJ107" s="217" t="e">
        <f t="shared" ca="1" si="320"/>
        <v>#N/A</v>
      </c>
      <c r="KK107" s="218" t="e">
        <f t="shared" ca="1" si="321"/>
        <v>#N/A</v>
      </c>
      <c r="KL107" s="274" t="e">
        <f ca="1">IF(Control!$B$26=3,4000000000*EXP(-8400/($G107+273)),IF(Control!$B$26=4,4000000000*EXP(-8400/($G107+273))*($KT107),0))</f>
        <v>#DIV/0!</v>
      </c>
      <c r="KM107" s="274" t="e">
        <f ca="1">IF(Control!$B$26=3,5600000000000*EXP(-9800/($G107+273)),IF(Control!$B$26=4,5600000000000*EXP(-9800/($G107+273))*$KT107,0))</f>
        <v>#DIV/0!</v>
      </c>
      <c r="KN107" s="454" t="e">
        <f t="shared" ca="1" si="419"/>
        <v>#DIV/0!</v>
      </c>
      <c r="KO107" s="274" t="e">
        <f t="shared" ca="1" si="420"/>
        <v>#DIV/0!</v>
      </c>
      <c r="KP107" s="454" t="e">
        <f t="shared" ca="1" si="322"/>
        <v>#DIV/0!</v>
      </c>
      <c r="KQ107" s="454" t="e">
        <f t="shared" ca="1" si="323"/>
        <v>#DIV/0!</v>
      </c>
      <c r="KR107" s="454" t="e">
        <f t="shared" ca="1" si="324"/>
        <v>#DIV/0!</v>
      </c>
      <c r="KS107" s="454" t="e">
        <f t="shared" ca="1" si="325"/>
        <v>#DIV/0!</v>
      </c>
      <c r="KT107" s="455" t="e">
        <f t="shared" ca="1" si="326"/>
        <v>#DIV/0!</v>
      </c>
      <c r="KU107" s="456" t="e">
        <f ca="1">IF($CP107-Control!$C$149&lt;0, IF($NT107-0.01&lt;0,0,1),0)</f>
        <v>#N/A</v>
      </c>
      <c r="KV107" s="456" t="e">
        <f ca="1">IF(Control!$C$114=1,MAX(0,MIN(Control!$C$125*$KW107*$GN107,$KW107)))</f>
        <v>#DIV/0!</v>
      </c>
      <c r="KW107" s="456" t="e">
        <f t="shared" ca="1" si="453"/>
        <v>#DIV/0!</v>
      </c>
      <c r="KX107" s="457" t="e">
        <f ca="1">IF($CP107-Control!$C$149&lt;0, IF($MR107-$OM107&lt;0,0,1),0)</f>
        <v>#N/A</v>
      </c>
      <c r="KY107" s="167">
        <f t="shared" ca="1" si="421"/>
        <v>103</v>
      </c>
      <c r="KZ107" s="168">
        <f ca="1">1370*(1+0.033*COS(2*Control!$C$138*$AH107/365))</f>
        <v>1360.9175543746305</v>
      </c>
      <c r="LA107" s="169">
        <f t="shared" ca="1" si="422"/>
        <v>0.99337061168068908</v>
      </c>
      <c r="LB107" s="169">
        <f t="shared" ca="1" si="423"/>
        <v>0.1528692541722694</v>
      </c>
      <c r="LC107" s="169">
        <f ca="1">ACOS(-TAN((2*Control!$B$8/360))*TAN(Calculations!$LB107))</f>
        <v>1.6166028145194755</v>
      </c>
      <c r="LD107" s="169">
        <f ca="1">((24*60)/PI())*0.082*$LA107*(($LC107*SIN(Control!$B$8*2*PI()/360))*SIN($LB107)+COS(Control!$B$8*2*PI()/360)*COS($LB107)*SIN($LC107))</f>
        <v>29.937668996356653</v>
      </c>
      <c r="LE107" s="170">
        <f t="shared" ca="1" si="327"/>
        <v>29.941102519924563</v>
      </c>
      <c r="LF107" s="170">
        <f ca="1">SIN(Control!$C$139*Control!$B$8)*SIN($HD107)</f>
        <v>0.11468789268578558</v>
      </c>
      <c r="LG107" s="170">
        <f ca="1">COS(Control!$C$139*Control!$B$8)*COS($HD107)</f>
        <v>0.6091044130530342</v>
      </c>
      <c r="LH107" s="170">
        <f ca="1">12*(1+2*ASIN(MAX(-1,MIN(1,$LF107/$LG107))/Control!$C$138))</f>
        <v>13.43928410504807</v>
      </c>
      <c r="LI107" s="170">
        <f ca="1">12*(1+2*ASIN(MAX(-1,MIN(1,(-SIN(-4*Control!$C$139)+$LF107)/$LG107))/Control!$C$138))</f>
        <v>14.316910023357316</v>
      </c>
      <c r="LJ107" s="168">
        <f ca="1">3600*($LH107*$LF107+24*$LG107*SQRT(1-$LK107*$LK107)/Control!$C$138)</f>
        <v>22000.673313147989</v>
      </c>
      <c r="LK107" s="170">
        <f t="shared" ca="1" si="328"/>
        <v>0.1882893806513922</v>
      </c>
      <c r="LL107" s="170">
        <f t="shared" ca="1" si="329"/>
        <v>0</v>
      </c>
      <c r="LM107" s="171">
        <f ca="1">Control!$C$145*$AB107</f>
        <v>6.6660906138995932E-2</v>
      </c>
      <c r="LN107" s="170">
        <f t="shared" ca="1" si="424"/>
        <v>0.54</v>
      </c>
      <c r="LO107" s="170">
        <f t="shared" ca="1" si="330"/>
        <v>0</v>
      </c>
      <c r="LP107" s="170">
        <f ca="1">Control!$C$140*((($D107+273.16)^4+($E107+273.16)^4)/2)*(0.34-0.14*SQRT($Y107))*(1.35*$AQ107/(0.75*$LD107)-0.35)</f>
        <v>-3.2464704755046001</v>
      </c>
      <c r="LQ107" s="170">
        <f ca="1">Control!$C$140*($G107+273)^4*(0.56-0.079*SQRT($Y107*10))*(0.1+0.9*$LO107)</f>
        <v>1.5241745131704001</v>
      </c>
      <c r="LR107" s="170">
        <f ca="1">$AQ107*(1-Control!$C$142)-$LQ107</f>
        <v>-1.5241745131704001</v>
      </c>
      <c r="LS107" s="170">
        <f ca="1">$AQ107*(1-Control!$C$143)-$LQ107</f>
        <v>-1.5241745131704001</v>
      </c>
      <c r="LT107" s="170">
        <f ca="1">$AQ107*(1-Control!$C$144)-$LQ107</f>
        <v>-1.5241745131704001</v>
      </c>
      <c r="LU107" s="169">
        <f ca="1">(1-Control!$C$144)*AQ107-LP107</f>
        <v>3.2464704755046001</v>
      </c>
      <c r="LV107" s="172">
        <f t="shared" ca="1" si="331"/>
        <v>0.79430000000000012</v>
      </c>
      <c r="LW107" s="170">
        <f t="shared" ca="1" si="332"/>
        <v>1.5886000000000002</v>
      </c>
      <c r="LX107" s="170">
        <f ca="1">($AC107*($LR107/Control!$C$141)+$LM107*$LV107)/($AC107+$LM107)</f>
        <v>0.23530094218323697</v>
      </c>
      <c r="LY107" s="170">
        <f ca="1">($AC107*($LS107/Control!$C$141)+$LM107*$LV107)/($AC107+$LM107)</f>
        <v>0.23530094218323697</v>
      </c>
      <c r="LZ107" s="170">
        <f t="shared" ca="1" si="333"/>
        <v>0.23530094218323697</v>
      </c>
      <c r="MA107" s="170">
        <f t="shared" ca="1" si="334"/>
        <v>0.23530094218323697</v>
      </c>
      <c r="MB107" s="170" t="e">
        <f t="shared" ca="1" si="335"/>
        <v>#N/A</v>
      </c>
      <c r="MC107" s="170">
        <f t="shared" ca="1" si="425"/>
        <v>0.6018</v>
      </c>
      <c r="MD107" s="170">
        <f t="shared" ca="1" si="336"/>
        <v>0.52989392535414004</v>
      </c>
      <c r="ME107" s="170">
        <f ca="1">($AC107*($LT107/Control!$C$141)+$LM107*$LW107)/($AC107+$LM107)</f>
        <v>0.71612369323045078</v>
      </c>
      <c r="MF107" s="170" t="e">
        <f ca="1">IF(Control!$B$16&gt;=1000,0.92,IF(AND(720&lt;=Control!$B$16,1000&gt;Control!$B$16),(0.95+(Control!$B$16-720)*((0.92-0.95)/(1000-720))),IF(AND(360&lt;=Control!$B$16,720&gt;Control!$B$16),(1+(Control!$B$16-360)*((0.95-1)/(720-360))),IF(AND(40&lt;=Control!$B$16,360&gt;Control!$B$16),(1.05+(Control!$B$16-40)*((1.05-1)/(360-40)))))))</f>
        <v>#N/A</v>
      </c>
      <c r="MG107" s="170">
        <f t="shared" ca="1" si="337"/>
        <v>0.71612369323045078</v>
      </c>
      <c r="MH107" s="170" t="e">
        <f t="shared" ca="1" si="463"/>
        <v>#N/A</v>
      </c>
      <c r="MI107" s="170" t="e">
        <f t="shared" ca="1" si="463"/>
        <v>#N/A</v>
      </c>
      <c r="MJ107" s="170" t="e">
        <f ca="1">MAX(0.0001, Control!$C$132*$MI107*$DL107)</f>
        <v>#N/A</v>
      </c>
      <c r="MK107" s="170">
        <f ca="1">1/(0.76+1.5*($MG107/10))-(5-Control!$C$110)*0.1</f>
        <v>1.002845988140797</v>
      </c>
      <c r="ML107" s="173">
        <f ca="1">IF(Control!$C$110&lt;3,$MK107+($MG107-0.6)/(Control!$C$110*(Control!$C$110+3)), MAX(0.1, MIN(0.95,$MK107)))</f>
        <v>0.95</v>
      </c>
      <c r="MM107" s="173">
        <f ca="1">IF(Control!$C$110&lt;3,$MK107+(($MI107/10)-0.6)/(Control!$C$110*(Control!$C$110+3)), MAX(0.1, MIN(0.95,$MK107)))</f>
        <v>0.95</v>
      </c>
      <c r="MN107" s="173">
        <f ca="1">(1-$MM107)*(Control!$C$128-Control!$C$127)+Control!$C$127</f>
        <v>0.16</v>
      </c>
      <c r="MO107" s="170" t="e">
        <f ca="1">MAX(0,MIN(1,($MS107-Control!$C$127)/($MN107-Control!$C$127)))</f>
        <v>#DIV/0!</v>
      </c>
      <c r="MP107" s="173" t="e">
        <f ca="1">1/(0.76+1.5*$MI107)-(5-Control!$C$110)*0.1</f>
        <v>#N/A</v>
      </c>
      <c r="MQ107" s="172" t="e">
        <f t="shared" ca="1" si="454"/>
        <v>#DIV/0!</v>
      </c>
      <c r="MR107" s="168" t="e">
        <f t="shared" ca="1" si="426"/>
        <v>#DIV/0!</v>
      </c>
      <c r="MS107" s="173" t="e">
        <f ca="1">MAX(Control!$C$127, MIN(Control!$C$135, $MR107/MAX(0.0001,$CY107)))</f>
        <v>#DIV/0!</v>
      </c>
      <c r="MT107" s="168" t="e">
        <f ca="1">(Control!$C$128-$MS107)*Control!$C$74</f>
        <v>#DIV/0!</v>
      </c>
      <c r="MU107" s="168" t="e">
        <f ca="1">(Control!$C$135-$MS107)*Control!$C$74</f>
        <v>#DIV/0!</v>
      </c>
      <c r="MV107" s="168" t="e">
        <f t="shared" ca="1" si="427"/>
        <v>#DIV/0!</v>
      </c>
      <c r="MW107" s="168" t="e">
        <f t="shared" ca="1" si="428"/>
        <v>#DIV/0!</v>
      </c>
      <c r="MX107" s="171" t="e">
        <f ca="1">MAX(Control!$C$127, MIN(Control!$C$135, $MW107/MAX(0.0001,Control!$C$119-$CY107)))</f>
        <v>#DIV/0!</v>
      </c>
      <c r="MY107" s="54" t="e">
        <f ca="1">IF(Control!$C$114=1, $CX107*$MX107, 0)</f>
        <v>#DIV/0!</v>
      </c>
      <c r="MZ107" s="54" t="e">
        <f t="shared" ca="1" si="429"/>
        <v>#N/A</v>
      </c>
      <c r="NA107" s="168" t="e">
        <f ca="1">(Control!$C$128-$MX107)*(Control!$C$119-Control!$C$74)</f>
        <v>#DIV/0!</v>
      </c>
      <c r="NB107" s="168" t="e">
        <f ca="1">(Control!$C$135-$MX107)*(Control!$C$119-Control!$C$74)</f>
        <v>#DIV/0!</v>
      </c>
      <c r="NC107" s="174" t="e">
        <f t="shared" ca="1" si="430"/>
        <v>#DIV/0!</v>
      </c>
      <c r="ND107" s="54">
        <f ca="1">IF(Control!$C$58=2, IF(OR(Control!$B$218=$AH107,Control!$B$219=$AH107, Control!$B$220=$AH107, Control!$B$221=$AH107, Control!$B$222=$AH107, Control!$B$223=$AH107, Control!$B$224=$AH107, Control!$B$225=$AH107, Control!$B$226=$AH107, Control!$B$227=$AH107, Control!$B$228=$AH107), 1, 0), 0)</f>
        <v>0</v>
      </c>
      <c r="NE107" s="54">
        <f ca="1">IF($ND107=0,0, VLOOKUP($AH107,Control!$B$218:$C$228,2))</f>
        <v>0</v>
      </c>
      <c r="NF107" s="168" t="e">
        <f ca="1">$CY107*(Control!$C$128-Control!$C$127)</f>
        <v>#N/A</v>
      </c>
      <c r="NG107" s="54" t="e">
        <f ca="1">IF(Control!$C$58=2, $NI106-$NJ106, 0)</f>
        <v>#DIV/0!</v>
      </c>
      <c r="NH107" s="54" t="e">
        <f ca="1">IF(AND(Control!$C$58=1, $MS106&lt;= ($MN106+0.02), $I106&lt;10), 0, IF(Control!$C$58=2, $NG106, 0))</f>
        <v>#DIV/0!</v>
      </c>
      <c r="NI107" s="54" t="e">
        <f ca="1">IF(Control!$C$58=2, $NE107+$NH107,0)</f>
        <v>#DIV/0!</v>
      </c>
      <c r="NJ107" s="54" t="e">
        <f ca="1">IF(AND(Control!$C$58=1, $MS107&lt;= ($MN107+0.02), $I107&lt;10), MAX(0, MIN(10, 0.7*($NF107-$MV107))), IF(Control!$C$58=2, MIN(10,$NI107),0))</f>
        <v>#DIV/0!</v>
      </c>
      <c r="NK107" s="54" t="e">
        <f t="shared" ca="1" si="338"/>
        <v>#DIV/0!</v>
      </c>
      <c r="NL107" s="173" t="e">
        <f ca="1">(1-Control!$C$73)*$I107+$NJ107</f>
        <v>#DIV/0!</v>
      </c>
      <c r="NM107" s="172" t="e">
        <f ca="1">IF($NL107&lt;0.5, $MB107* MAX(0, MIN(1, (SQRT($NC107)-SQRT($NC107-1))*Control!$C$71)),0)</f>
        <v>#DIV/0!</v>
      </c>
      <c r="NN107" s="170" t="e">
        <f ca="1">IF($NL107&gt;=5, $MB107, MAX(0,MIN($MB107, $NM107+$NL107,($MS107-Control!$C$129))))</f>
        <v>#DIV/0!</v>
      </c>
      <c r="NO107" s="54">
        <f>IF(Control!$C$133&lt;&gt;1, Control!$C$135-Control!$C$131, 0)</f>
        <v>0.38</v>
      </c>
      <c r="NP107" s="54" t="e">
        <f t="shared" ca="1" si="339"/>
        <v>#DIV/0!</v>
      </c>
      <c r="NQ107" s="173" t="e">
        <f ca="1">MAX(0,MIN(1,(Control!$C$135-$MS107)/(Control!$C$135-$NO107)))</f>
        <v>#DIV/0!</v>
      </c>
      <c r="NR107" s="170" t="e">
        <f ca="1">IF(Control!$C$133&lt;&gt;1, $NQ107+((1-$NP107/4)*(1-$NQ107)),1)</f>
        <v>#DIV/0!</v>
      </c>
      <c r="NS107" s="170" t="e">
        <f ca="1">IF(Control!$B$31=0,$MJ107,MAX(0,MIN($MV107,$MO107*$NR107*$MJ107)))</f>
        <v>#DIV/0!</v>
      </c>
      <c r="NT107" s="170" t="e">
        <f t="shared" ca="1" si="455"/>
        <v>#DIV/0!</v>
      </c>
      <c r="NU107" s="170" t="e">
        <f t="shared" ca="1" si="431"/>
        <v>#N/A</v>
      </c>
      <c r="NV107" s="170" t="e">
        <f t="shared" ca="1" si="340"/>
        <v>#N/A</v>
      </c>
      <c r="NW107" s="175" t="e">
        <f t="shared" ca="1" si="341"/>
        <v>#DIV/0!</v>
      </c>
      <c r="NX107" s="170" t="e">
        <f ca="1">MIN(Control!$C$72+$MU107, $NW107)</f>
        <v>#DIV/0!</v>
      </c>
      <c r="NY107" s="170" t="e">
        <f ca="1">IF($MT107&lt;=$NX107,MIN(Control!$C$72+$NB107,$NX107-$MT107),0)</f>
        <v>#DIV/0!</v>
      </c>
      <c r="NZ107" s="54" t="e">
        <f ca="1">IF(Control!$C$114=1,  $CX107*($MX107-Control!$C$127), 0)</f>
        <v>#DIV/0!</v>
      </c>
      <c r="OA107" s="170" t="e">
        <f t="shared" ca="1" si="342"/>
        <v>#DIV/0!</v>
      </c>
      <c r="OB107" s="170" t="e">
        <f ca="1">IF($NA107 &lt;=$NY107, MIN(Control!$C$72, $NY107-$NA107), 0)</f>
        <v>#DIV/0!</v>
      </c>
      <c r="OC107" s="168" t="e">
        <f t="shared" ca="1" si="343"/>
        <v>#DIV/0!</v>
      </c>
      <c r="OD107" s="168" t="e">
        <f t="shared" ca="1" si="432"/>
        <v>#DIV/0!</v>
      </c>
      <c r="OE107" s="170">
        <f ca="1">Control!$C$73*$I107</f>
        <v>0</v>
      </c>
      <c r="OF107" s="176" t="e">
        <f t="shared" ca="1" si="344"/>
        <v>#DIV/0!</v>
      </c>
      <c r="OG107" s="168" t="e">
        <f t="shared" ca="1" si="345"/>
        <v>#DIV/0!</v>
      </c>
      <c r="OH107" s="168" t="e">
        <f t="shared" ca="1" si="346"/>
        <v>#DIV/0!</v>
      </c>
      <c r="OI107" s="168" t="e">
        <f t="shared" ca="1" si="347"/>
        <v>#DIV/0!</v>
      </c>
      <c r="OJ107" s="168" t="e">
        <f t="shared" ca="1" si="348"/>
        <v>#DIV/0!</v>
      </c>
      <c r="OK107" s="204" t="e">
        <f t="shared" ca="1" si="349"/>
        <v>#DIV/0!</v>
      </c>
      <c r="OL107" s="177">
        <f>Control!$C$127</f>
        <v>0.15</v>
      </c>
      <c r="OM107" s="182" t="e">
        <f t="shared" ca="1" si="350"/>
        <v>#N/A</v>
      </c>
      <c r="ON107" s="177">
        <f>Control!$C$128</f>
        <v>0.35</v>
      </c>
      <c r="OO107" s="182" t="e">
        <f t="shared" ca="1" si="351"/>
        <v>#N/A</v>
      </c>
      <c r="OP107" s="138">
        <f t="shared" ca="1" si="433"/>
        <v>0</v>
      </c>
      <c r="OQ107" s="138" t="e">
        <f t="shared" ca="1" si="456"/>
        <v>#DIV/0!</v>
      </c>
      <c r="OR107" s="138" t="e">
        <f t="shared" ca="1" si="434"/>
        <v>#DIV/0!</v>
      </c>
      <c r="OS107" s="137" t="e">
        <f t="shared" ca="1" si="457"/>
        <v>#DIV/0!</v>
      </c>
      <c r="OT107" s="139" t="e">
        <f t="shared" ca="1" si="458"/>
        <v>#DIV/0!</v>
      </c>
      <c r="OU107" s="138" t="e">
        <f t="shared" ca="1" si="459"/>
        <v>#N/A</v>
      </c>
      <c r="OV107" s="138" t="e">
        <f t="shared" ca="1" si="460"/>
        <v>#DIV/0!</v>
      </c>
      <c r="OW107" s="138" t="e">
        <f t="shared" ca="1" si="435"/>
        <v>#DIV/0!</v>
      </c>
      <c r="OX107" s="138" t="e">
        <f t="shared" ca="1" si="436"/>
        <v>#DIV/0!</v>
      </c>
      <c r="OY107" s="138" t="e">
        <f t="shared" ca="1" si="437"/>
        <v>#DIV/0!</v>
      </c>
      <c r="OZ107" s="138" t="e">
        <f t="shared" ca="1" si="352"/>
        <v>#DIV/0!</v>
      </c>
      <c r="PA107" s="138" t="e">
        <f t="shared" ca="1" si="353"/>
        <v>#DIV/0!</v>
      </c>
      <c r="PB107" s="55">
        <f>IF(Control!$C$61="T", IF(Control!$C$65="F", IF($AH$6-Control!$C$60&lt;0,0,1), IF(365+$AH$6-Control!$C$60&lt;0,0,1)),0)</f>
        <v>0</v>
      </c>
      <c r="PC107" s="55">
        <f ca="1">IF(Control!$C$65="F", IF($AH$6-$HF107&lt;0,0,1), IF(365+$AH$6-$HF107&lt;0,0,1))</f>
        <v>1</v>
      </c>
      <c r="PD107" s="444">
        <f>Control!$C$118</f>
        <v>1500</v>
      </c>
      <c r="PE107" s="180" t="e">
        <f t="shared" ca="1" si="354"/>
        <v>#N/A</v>
      </c>
      <c r="PF107" s="445">
        <f t="shared" ca="1" si="438"/>
        <v>0.71612369323045078</v>
      </c>
      <c r="PT107" s="186"/>
      <c r="PU107" s="186"/>
      <c r="PV107" s="94"/>
      <c r="PW107" s="94"/>
      <c r="PX107" s="94"/>
      <c r="PY107" s="94"/>
      <c r="PZ107" s="94"/>
      <c r="QA107" s="94"/>
      <c r="QB107" s="94"/>
      <c r="QC107" s="94"/>
      <c r="QD107" s="94"/>
      <c r="QE107" s="94"/>
      <c r="QF107" s="94"/>
      <c r="QG107" s="94"/>
      <c r="QH107" s="94"/>
      <c r="QI107" s="94"/>
      <c r="QJ107" s="94"/>
      <c r="QK107" s="94"/>
      <c r="QL107" s="94"/>
      <c r="QM107" s="94"/>
      <c r="QN107" s="94"/>
      <c r="QO107" s="94"/>
      <c r="QP107" s="94"/>
    </row>
    <row r="108" spans="1:458" s="2" customFormat="1" x14ac:dyDescent="0.2">
      <c r="A108" s="395">
        <v>13</v>
      </c>
      <c r="B108" s="396">
        <v>4</v>
      </c>
      <c r="C108" s="387">
        <f ca="1">Weather_data!$B107</f>
        <v>0</v>
      </c>
      <c r="D108" s="388">
        <f ca="1">Weather_data!$F107</f>
        <v>0</v>
      </c>
      <c r="E108" s="388">
        <f ca="1">Weather_data!$E107</f>
        <v>0</v>
      </c>
      <c r="F108" s="388">
        <f t="shared" ca="1" si="355"/>
        <v>0</v>
      </c>
      <c r="G108" s="388">
        <f ca="1">AVERAGE($D108:$E108)+Control!$B$9</f>
        <v>0</v>
      </c>
      <c r="H108" s="388">
        <f ca="1">Weather_data!$G107</f>
        <v>0</v>
      </c>
      <c r="I108" s="388">
        <f ca="1">Weather_data!$I107</f>
        <v>0</v>
      </c>
      <c r="J108" s="388">
        <f ca="1">Weather_data!$H107</f>
        <v>0</v>
      </c>
      <c r="K108" s="389">
        <f ca="1">Weather_data!$D107</f>
        <v>0</v>
      </c>
      <c r="L108" s="388" t="e">
        <f t="shared" ca="1" si="356"/>
        <v>#N/A</v>
      </c>
      <c r="M108" s="388" t="e">
        <f t="shared" ca="1" si="234"/>
        <v>#N/A</v>
      </c>
      <c r="N108" s="388">
        <f t="shared" ca="1" si="235"/>
        <v>-1.0757366549472928E-5</v>
      </c>
      <c r="O108" s="388">
        <f t="shared" ca="1" si="357"/>
        <v>1.0757366549472928E-4</v>
      </c>
      <c r="P108" s="390">
        <v>3</v>
      </c>
      <c r="Q108" s="388">
        <f ca="1">MAX($G108-Control!$C$107,0)</f>
        <v>0</v>
      </c>
      <c r="R108" s="388">
        <f t="shared" ca="1" si="358"/>
        <v>0</v>
      </c>
      <c r="S108" s="388">
        <f t="shared" ca="1" si="236"/>
        <v>0</v>
      </c>
      <c r="T108" s="388">
        <f t="shared" ca="1" si="237"/>
        <v>0</v>
      </c>
      <c r="U108" s="59">
        <f t="shared" ca="1" si="238"/>
        <v>0</v>
      </c>
      <c r="V108" s="391">
        <f ca="1">MAX(0,MIN(Control!$C$100-Control!$C$99,$G108-Control!$C$99)*Control!$C$63)</f>
        <v>0</v>
      </c>
      <c r="W108" s="388">
        <f t="shared" ca="1" si="359"/>
        <v>0</v>
      </c>
      <c r="X108" s="388">
        <f t="shared" ca="1" si="360"/>
        <v>0.6110000000000001</v>
      </c>
      <c r="Y108" s="388">
        <f t="shared" ca="1" si="239"/>
        <v>0</v>
      </c>
      <c r="Z108" s="388">
        <f t="shared" ca="1" si="361"/>
        <v>0.61058800000000002</v>
      </c>
      <c r="AA108" s="388">
        <f t="shared" ca="1" si="240"/>
        <v>0.6018</v>
      </c>
      <c r="AB108" s="388">
        <f ca="1">101.3*EXP(-0.034*Control!$C$66/($G108+273))</f>
        <v>100.69623283836242</v>
      </c>
      <c r="AC108" s="392">
        <f t="shared" ca="1" si="241"/>
        <v>4.3460251046025113E-2</v>
      </c>
      <c r="AD108" s="392">
        <f t="shared" ca="1" si="242"/>
        <v>4.4450382862832649E-2</v>
      </c>
      <c r="AE108" s="388">
        <f t="shared" ca="1" si="243"/>
        <v>0</v>
      </c>
      <c r="AF108" s="388">
        <f ca="1">MAX(0,$G108-Control!$C$92)</f>
        <v>0</v>
      </c>
      <c r="AG108" s="393">
        <f t="shared" ca="1" si="244"/>
        <v>104</v>
      </c>
      <c r="AH108" s="389">
        <f t="shared" ca="1" si="245"/>
        <v>104</v>
      </c>
      <c r="AI108" s="388">
        <f t="shared" ca="1" si="362"/>
        <v>0.15248496072671858</v>
      </c>
      <c r="AJ108" s="388">
        <f ca="1">IF(Control!$C$60&lt;=0,$HH108,$HI108)</f>
        <v>1</v>
      </c>
      <c r="AK108" s="388">
        <f t="shared" ca="1" si="246"/>
        <v>0.41314095170495907</v>
      </c>
      <c r="AL108" s="388">
        <f t="shared" ca="1" si="247"/>
        <v>4.6885689775066909E-18</v>
      </c>
      <c r="AM108" s="388">
        <f t="shared" ca="1" si="248"/>
        <v>0.41314095170495907</v>
      </c>
      <c r="AN108" s="388">
        <f t="shared" ca="1" si="249"/>
        <v>0.16039882221598595</v>
      </c>
      <c r="AO108" s="388">
        <f ca="1">-0.10453/COS(Control!$B$8*PI()/180)*COS(AN108)</f>
        <v>-0.16760544887303991</v>
      </c>
      <c r="AP108" s="388">
        <f ca="1">ACOS(AO108-TAN(Control!$B$8*PI()/180)*TAN(AN108))</f>
        <v>1.9548539065184873</v>
      </c>
      <c r="AQ108" s="388">
        <f t="shared" ca="1" si="363"/>
        <v>0</v>
      </c>
      <c r="AR108" s="394">
        <f t="shared" ca="1" si="250"/>
        <v>0</v>
      </c>
      <c r="AS108" s="436">
        <f ca="1">IF(Control!$B$18=2,(IF(OR($AH108=Control!$B$175,$AH108=Control!$B$176,$AH108=Control!$B$177,$AH108=Control!$B$178,$AH108=Control!$B$179,$AH108=Control!$B$180,$AH108=Control!$B$181,$AH108=Control!$B$182,$AH108=Control!$B$183,$AH108=Control!$B$184,$AH108=Control!$B$185),1,0)),0)</f>
        <v>0</v>
      </c>
      <c r="AT108" s="436">
        <f>IF(Control!$B$20=8,IF(AND($AH108&gt;=Control!$B$172,$AH108&lt;=Control!$B$173),1,0),0)</f>
        <v>0</v>
      </c>
      <c r="AU108" s="436">
        <f>IF(Control!$B$20=8,IF($AV107=1,1*$AT108,IF($AT108=1,$AU107+1,$AU107)),0)</f>
        <v>0</v>
      </c>
      <c r="AV108" s="436">
        <f>IF(Control!$B$20=8,IF($AU108&gt;=Control!$B$174,1,0),0)</f>
        <v>0</v>
      </c>
      <c r="AW108" s="436">
        <f ca="1">IF(AND(Control!$B$18=2,Control!$B$171=1), $AV108, $AS108)</f>
        <v>0</v>
      </c>
      <c r="AX108" s="436" t="e">
        <f ca="1">IF(AND(Control!$B$18=1,$EU108&gt;=Control!$B$19),-$AY108,IF(AND(Control!$B$18=2,$AW108=1,$EU108&gt;$DS108),-$AY108, IF(Control!$C$108=0,0, IF(Control!$C$108&lt;&gt;0,1))))</f>
        <v>#N/A</v>
      </c>
      <c r="AY108" s="436" t="e">
        <f t="shared" ca="1" si="364"/>
        <v>#N/A</v>
      </c>
      <c r="AZ108" s="436" t="e">
        <f ca="1">IF(AND(Control!$B$18=1,$EB108&gt;Control!$B$19),$AZ107+1, IF(AND(Control!$B$18=2, $AW108=1, $EB108&gt;$DS108), $AZ107+1,$AZ107))</f>
        <v>#N/A</v>
      </c>
      <c r="BA108" s="587">
        <f>IF(Control!$C$81=0,1,IF($AH108&gt;=Control!$C$82,1,0))</f>
        <v>1</v>
      </c>
      <c r="BB108" s="140" t="e">
        <f ca="1">IF($BA108&gt;$BA107,Control!$C$83,IF($AW108&gt;0,$AW108*Control!$C$84,IF(AND(Control!$B$18=1,EN107&lt;&gt;0),Control!$C$84,0)))</f>
        <v>#N/A</v>
      </c>
      <c r="BC108" s="140" t="e">
        <f t="shared" ca="1" si="365"/>
        <v>#N/A</v>
      </c>
      <c r="BD108" s="140" t="e">
        <f ca="1">BC108*IF(OR($G108&lt;Control!$C$92,$G108&gt;Control!$C$95),0,IF(AND($G108&gt;=Control!$C$92,$G108&lt;=Control!$C$93),$G108-Control!$C$92,IF(AND($G108&gt;Control!$C$93,$G108&lt;=Control!$C$94),Control!$C$93-Control!$C$92,IF(AND($G108&gt;Control!$C$94,$G108&lt;=Control!$C$95),(Control!$C$93-Control!$C$92)*(Control!$C$94-$G108)/(Control!$C$95-Control!$C$94)))))</f>
        <v>#N/A</v>
      </c>
      <c r="BE108" s="140" t="e">
        <f t="shared" ca="1" si="366"/>
        <v>#N/A</v>
      </c>
      <c r="BF108" s="140" t="e">
        <f ca="1">IF($BE108&lt;=Control!$C$86,$BE108,Control!$C$86-$BE108)</f>
        <v>#N/A</v>
      </c>
      <c r="BG108" s="140" t="e">
        <f ca="1">IF(AND($AW108=1,Control!$C$84&lt;9),1,IF($BE108&gt;=Control!$C$86,0,$BC108))</f>
        <v>#N/A</v>
      </c>
      <c r="BH108" s="404" t="e">
        <f ca="1">IF($BG108=0,0,IF($BE108&lt;=Control!$C$86,$BC108*9*($BF108/Control!$C$86),0))</f>
        <v>#N/A</v>
      </c>
      <c r="BI108" s="140" t="e">
        <f ca="1">IF($BG108=1,0,IF($BE108&gt;=Control!$C$86,1,IF(AND($BB108&lt;21,$BB108&gt;=9),1,$BM107)))</f>
        <v>#N/A</v>
      </c>
      <c r="BJ108" s="140" t="e">
        <f ca="1">IF($BF108&lt;0,-$BF108,$BI108*IF(OR($G108&lt;Control!$C$92,$G108&gt;Control!$C$95),0,IF(AND($G108&gt;=Control!$C$92,$G108&lt;=Control!$C$93),$G108-Control!$C$92,IF(AND($G108&gt;Control!$C$93,$G108&lt;=Control!$C$94),Control!$C$93-Control!$C$92,IF(AND($G108&gt;Control!$C$94,$G108&lt;=Control!$C$95),(Control!$C$93-Control!$C$92)*(Control!$C$94-$G108)/(Control!$C$95-Control!$C$94))))))</f>
        <v>#N/A</v>
      </c>
      <c r="BK108" s="140" t="e">
        <f t="shared" ca="1" si="367"/>
        <v>#N/A</v>
      </c>
      <c r="BL108" s="140" t="e">
        <f ca="1">IF($BK108&lt;=Control!$C$87,$BK108,Control!$C$87-$BK108)</f>
        <v>#N/A</v>
      </c>
      <c r="BM108" s="140" t="e">
        <f ca="1">IF(AND($BB108&gt;=9,$BB108&lt;21),1,IF($BK108&gt;=Control!$C$87,0,$BI108))</f>
        <v>#N/A</v>
      </c>
      <c r="BN108" s="404" t="e">
        <f ca="1">IF($BM108=0,0,IF($BK108&lt;=Control!$C$87,$BI108*(9+(21-9)*($BL108/Control!$C$87)),0))</f>
        <v>#N/A</v>
      </c>
      <c r="BO108" s="140" t="e">
        <f ca="1">IF($BM108=1,0,IF($BK108&gt;=Control!$C$87,1,IF(AND($BB108&lt;30,$BB108&gt;=21),1,$BS107)))</f>
        <v>#N/A</v>
      </c>
      <c r="BP108" s="140" t="e">
        <f ca="1">IF($BL108&lt;0,-$BL108,$BO108*IF(OR($G108&lt;Control!$C$92,$G108&gt;Control!$C$95),0,IF(AND($G108&gt;=Control!$C$92,$G108&lt;=Control!$C$93),$G108-Control!$C$92,IF(AND($G108&gt;Control!$C$93,$G108&lt;=Control!$C$94),Control!$C$93-Control!$C$92,IF(AND($G108&gt;Control!$C$94,$G108&lt;=Control!$C$95),(Control!$C$93-Control!$C$92)*(Control!$C$94-$G108)/(Control!$C$95-Control!$C$94))))))</f>
        <v>#N/A</v>
      </c>
      <c r="BQ108" s="140" t="e">
        <f t="shared" ca="1" si="251"/>
        <v>#N/A</v>
      </c>
      <c r="BR108" s="140" t="e">
        <f ca="1">IF($BQ108&lt;=Control!$C$88,$BQ108,Control!$C$88-$BQ108)</f>
        <v>#N/A</v>
      </c>
      <c r="BS108" s="140" t="e">
        <f ca="1">IF(AND($BB108&gt;=21,$BB108&lt;30),1,IF($BQ108&gt;=Control!$C$88,0,$BO108))</f>
        <v>#N/A</v>
      </c>
      <c r="BT108" s="404" t="e">
        <f ca="1">IF($BS108=0,0,IF($BQ108&lt;=Control!$C$88,$BO108*(21+(30-21)*(BR108/Control!$C$88)),0))</f>
        <v>#N/A</v>
      </c>
      <c r="BU108" s="140" t="e">
        <f ca="1">IF(BG108+BM108+BS108=1,0,IF(OR(AND($BB108&lt;60,$BB108&gt;=30),$BQ108&gt;=Control!$C$88),1*$BA108,$BY107))</f>
        <v>#N/A</v>
      </c>
      <c r="BV108" s="140" t="e">
        <f ca="1">IF($BR108&lt;0,-$BR108,$BU108*IF(OR($G108&lt;Control!$C$92,$G108&gt;Control!$C$95),0,IF(AND($G108&gt;=Control!$C$92,$G108&lt;=Control!$C$93),$G108-Control!$C$92,IF(AND($G108&gt;Control!$C$93,$G108&lt;=Control!$C$94),Control!$C$93-Control!$C$92,IF(AND($G108&gt;Control!$C$94,$G108&lt;=Control!$C$95),(Control!$C$93-Control!$C$92)*(Control!$C$94-$G108)/(Control!$C$95-Control!$C$94))))))</f>
        <v>#N/A</v>
      </c>
      <c r="BW108" s="140" t="e">
        <f t="shared" ca="1" si="252"/>
        <v>#N/A</v>
      </c>
      <c r="BX108" s="140" t="e">
        <f ca="1">IF($BW108&lt;=Control!$C$89,$BW108,Control!$C$89-$BW108)</f>
        <v>#N/A</v>
      </c>
      <c r="BY108" s="140" t="e">
        <f ca="1">IF(AND($AJ108&gt;=30,$AJ108&lt;60),1,IF($BW108&gt;=Control!$C$89,0,$BU108))</f>
        <v>#N/A</v>
      </c>
      <c r="BZ108" s="404" t="e">
        <f ca="1">IF($BY108=0,0,IF($BW108&lt;=Control!$C$89,$BU108*(30+(60-30)*(BX108/Control!$C$89)),0))</f>
        <v>#N/A</v>
      </c>
      <c r="CA108" s="140" t="e">
        <f ca="1">IF($BG108+$BM108+$BS108+$BY108=1,0,IF(OR(AND($BB108&lt;65,$BB108&gt;=60),$BW108&gt;=Control!$C$89),1*$BA108,$CE107))</f>
        <v>#N/A</v>
      </c>
      <c r="CB108" s="140" t="e">
        <f ca="1">IF($BX108&lt;0,-$BX108,$CA108*IF(OR($G108&lt;Control!$C$92,$G108&gt;Control!$C$95),0,IF(AND($G108&gt;=Control!$C$92,$G108&lt;=Control!$C$93),$G108-Control!$C$92,IF(AND($G108&gt;Control!$C$93,$G108&lt;=Control!$C$94),Control!$C$93-Control!$C$92,IF(AND($G108&gt;Control!$C$94,$G108&lt;=Control!$C$95),(Control!$C$93-Control!$C$92)*(Control!$C$94-$G108)/(Control!$C$95-Control!$C$94))))))</f>
        <v>#N/A</v>
      </c>
      <c r="CC108" s="140" t="e">
        <f t="shared" ca="1" si="368"/>
        <v>#N/A</v>
      </c>
      <c r="CD108" s="140" t="e">
        <f ca="1">IF($CC108&lt;=Control!$C$90,$CC108,Control!$C$90-$CC108)</f>
        <v>#N/A</v>
      </c>
      <c r="CE108" s="140" t="e">
        <f ca="1">IF(AND($BB108&gt;=60,$BB108&lt;65),1,IF($CC108&gt;=Control!$C$90,0,$CA108))</f>
        <v>#N/A</v>
      </c>
      <c r="CF108" s="404" t="e">
        <f ca="1">IF($CE108=0,0,IF($CC108&lt;=Control!$C$90,$CA108*(60+(65-60)*(CD108/Control!$C$90)),0))</f>
        <v>#N/A</v>
      </c>
      <c r="CG108" s="140" t="e">
        <f ca="1">IF($BG108+$BM108+$BS108+$BY108+$CE108=1,0,IF(OR(AND($BB108&lt;90,$BB108&gt;=65),$CC108&gt;=Control!$C$90),$BA108,$CK107))</f>
        <v>#N/A</v>
      </c>
      <c r="CH108" s="140" t="e">
        <f ca="1">IF($CD108&lt;0,-$CD108,$CG108*IF(OR($G108&lt;Control!$C$92,$G108&gt;Control!$C$95),0,IF(AND($G108&gt;=Control!$C$92,$G108&lt;=Control!$C$93),$G108-Control!$C$92,IF(AND($G108&gt;Control!$C$93,$G108&lt;=Control!$C$94),Control!$C$93-Control!$C$92,IF(AND($G108&gt;Control!$C$94,$G108&lt;=Control!$C$95),(Control!$C$93-Control!$C$92)*(Control!$C$94-$G108)/(Control!$C$95-Control!$C$94))))))</f>
        <v>#N/A</v>
      </c>
      <c r="CI108" s="140" t="e">
        <f t="shared" ca="1" si="369"/>
        <v>#N/A</v>
      </c>
      <c r="CJ108" s="140" t="e">
        <f ca="1">IF($CI108&lt;=Control!$C$91,$CI108,Control!$C$91-$CI108)</f>
        <v>#N/A</v>
      </c>
      <c r="CK108" s="140" t="e">
        <f ca="1">IF(AND($BB108&gt;=65,$BB108&lt;90),1,IF($CI108&gt;=Control!$C$91,0,$CG108))</f>
        <v>#N/A</v>
      </c>
      <c r="CL108" s="404" t="e">
        <f ca="1">IF($CK108=0,0,IF($CI108&lt;=Control!$C$91,$CG108*(65+(90-65)*($CJ108/Control!$C$91)),0))</f>
        <v>#N/A</v>
      </c>
      <c r="CM108" s="140" t="e">
        <f ca="1">IF($BG108+$BM108+$BS108+$BY108+$CE108+$CK108=1,0,IF(OR($BB108&gt;=90,$CI108&gt;=Control!$C$91),$BA108,$CM107))</f>
        <v>#N/A</v>
      </c>
      <c r="CN108" s="140" t="e">
        <f t="shared" ca="1" si="370"/>
        <v>#N/A</v>
      </c>
      <c r="CO108" s="140" t="e">
        <f t="shared" ca="1" si="371"/>
        <v>#N/A</v>
      </c>
      <c r="CP108" s="140" t="e">
        <f t="shared" ca="1" si="372"/>
        <v>#N/A</v>
      </c>
      <c r="CQ108" s="141" t="e">
        <f ca="1">VLOOKUP($CP108,Control!$B$86:$G$91,6)</f>
        <v>#N/A</v>
      </c>
      <c r="CR108" s="141" t="e">
        <f ca="1">(1-$CQ108)*VLOOKUP($CP108,Control!$B$86:$D$91,3)</f>
        <v>#N/A</v>
      </c>
      <c r="CS108" s="141" t="e">
        <f ca="1">(1-$CQ108)*VLOOKUP($CP108,Control!$B$86:$E$91,4)</f>
        <v>#N/A</v>
      </c>
      <c r="CT108" s="141" t="e">
        <f ca="1">(1-$CQ108)*VLOOKUP($CP108,Control!$B$86:$F$91,5)</f>
        <v>#N/A</v>
      </c>
      <c r="CU108" s="141">
        <f t="shared" ca="1" si="373"/>
        <v>0</v>
      </c>
      <c r="CV108" s="583">
        <f t="shared" ca="1" si="374"/>
        <v>0</v>
      </c>
      <c r="CW108" s="142">
        <f t="shared" ca="1" si="375"/>
        <v>104</v>
      </c>
      <c r="CX108" s="612" t="e">
        <f ca="1">IF(Control!$C$114=1,(MIN(Control!$C$120*(IF($NT108-0.01&lt;0,0,1)),Control!$C$119-$CY108)))</f>
        <v>#DIV/0!</v>
      </c>
      <c r="CY108" s="143" t="e">
        <f t="shared" ca="1" si="376"/>
        <v>#N/A</v>
      </c>
      <c r="CZ108" s="144">
        <f t="shared" ca="1" si="253"/>
        <v>0</v>
      </c>
      <c r="DA108" s="144">
        <f t="shared" ca="1" si="254"/>
        <v>0</v>
      </c>
      <c r="DB108" s="144" t="e">
        <f t="shared" ca="1" si="255"/>
        <v>#N/A</v>
      </c>
      <c r="DC108" s="144" t="e">
        <f t="shared" ca="1" si="256"/>
        <v>#N/A</v>
      </c>
      <c r="DD108" s="144" t="e">
        <f t="shared" ca="1" si="461"/>
        <v>#N/A</v>
      </c>
      <c r="DE108" s="143" t="e">
        <f t="shared" ca="1" si="377"/>
        <v>#N/A</v>
      </c>
      <c r="DF108" s="145" t="e">
        <f ca="1">$DR108*EXP(-Control!$C$158*(1-$KH108))</f>
        <v>#N/A</v>
      </c>
      <c r="DG108" s="146" t="e">
        <f ca="1">IF(Control!$C$114=1, $DF108*$EY108, 0)</f>
        <v>#N/A</v>
      </c>
      <c r="DH108" s="147" t="e">
        <f t="shared" ca="1" si="378"/>
        <v>#N/A</v>
      </c>
      <c r="DI108" s="144" t="e">
        <f t="shared" ca="1" si="439"/>
        <v>#N/A</v>
      </c>
      <c r="DJ108" s="147" t="e">
        <f ca="1">$EF108*Control!$C$109</f>
        <v>#N/A</v>
      </c>
      <c r="DK108" s="144" t="e">
        <f t="shared" ca="1" si="379"/>
        <v>#N/A</v>
      </c>
      <c r="DL108" s="144" t="e">
        <f t="shared" ca="1" si="257"/>
        <v>#N/A</v>
      </c>
      <c r="DM108" s="144" t="e">
        <f ca="1">IF(Control!$C$114=1, (1-EXP(-Control!$C$96*$DK108))*$AR108, 0)</f>
        <v>#N/A</v>
      </c>
      <c r="DN108" s="144">
        <f t="shared" ca="1" si="380"/>
        <v>0</v>
      </c>
      <c r="DO108" s="148">
        <f>Control!$C$97</f>
        <v>4</v>
      </c>
      <c r="DP108" s="145" t="e">
        <f t="shared" ca="1" si="381"/>
        <v>#N/A</v>
      </c>
      <c r="DQ108" s="145" t="e">
        <f ca="1">IF(AND($CP108&gt;=0,$CP108&lt;=90),Control!$C$111,Control!$C$111)</f>
        <v>#N/A</v>
      </c>
      <c r="DR108" s="145" t="e">
        <f t="shared" ca="1" si="258"/>
        <v>#N/A</v>
      </c>
      <c r="DS108" s="143" t="e">
        <f ca="1">Control!$B$22/$DR108</f>
        <v>#N/A</v>
      </c>
      <c r="DT108" s="149" t="e">
        <f ca="1">IF(AND(Control!$C$114=1,$KH108&lt;1),$IM108*$DF108, 0)</f>
        <v>#N/A</v>
      </c>
      <c r="DU108" s="144" t="e">
        <f t="shared" ca="1" si="382"/>
        <v>#N/A</v>
      </c>
      <c r="DV108" s="144">
        <f ca="1">IF($G108-Control!$C$107&lt;=0, 0, 0.83*LN(MAX($G108, 3))-0.8924)</f>
        <v>0</v>
      </c>
      <c r="DW108" s="144" t="e">
        <f t="shared" ca="1" si="259"/>
        <v>#N/A</v>
      </c>
      <c r="DX108" s="150" t="e">
        <f ca="1">MAX(0.01*(1+$CU108/Control!$C$102),0.05*($DK108-Control!$C$97)/Control!$C$97)</f>
        <v>#N/A</v>
      </c>
      <c r="DY108" s="151" t="e">
        <f ca="1">IF(Control!$C$114=1, $DI108*$FS108, 0)</f>
        <v>#N/A</v>
      </c>
      <c r="DZ108" s="196" t="e">
        <f t="shared" ca="1" si="383"/>
        <v>#N/A</v>
      </c>
      <c r="EA108" s="152">
        <f t="shared" ca="1" si="384"/>
        <v>104</v>
      </c>
      <c r="EB108" s="153" t="e">
        <f t="shared" ca="1" si="385"/>
        <v>#N/A</v>
      </c>
      <c r="EC108" s="153" t="e">
        <f t="shared" ca="1" si="386"/>
        <v>#N/A</v>
      </c>
      <c r="ED108" s="154" t="e">
        <f ca="1">IF(Control!$C$114=1, $HM108*$FY108-$FD108, 0)</f>
        <v>#DIV/0!</v>
      </c>
      <c r="EE108" s="155" t="e">
        <f ca="1">IF(Control!$C$114=1, $HM108*$FZ108-$FF108, 0)</f>
        <v>#DIV/0!</v>
      </c>
      <c r="EF108" s="153" t="e">
        <f t="shared" ca="1" si="440"/>
        <v>#N/A</v>
      </c>
      <c r="EG108" s="155" t="e">
        <f ca="1">IF(Control!$C$114=1, $GX108*$FW108-$FI108, 0)</f>
        <v>#DIV/0!</v>
      </c>
      <c r="EH108" s="153" t="e">
        <f t="shared" ca="1" si="387"/>
        <v>#N/A</v>
      </c>
      <c r="EI108" s="156" t="e">
        <f t="shared" ca="1" si="388"/>
        <v>#N/A</v>
      </c>
      <c r="EJ108" s="155" t="e">
        <f ca="1">IF(Control!$C$114=1, $HM108*$GB108, 0)</f>
        <v>#DIV/0!</v>
      </c>
      <c r="EK108" s="153" t="e">
        <f t="shared" ca="1" si="441"/>
        <v>#N/A</v>
      </c>
      <c r="EL108" s="153" t="e">
        <f t="shared" ca="1" si="260"/>
        <v>#N/A</v>
      </c>
      <c r="EM108" s="153" t="e">
        <f t="shared" ca="1" si="261"/>
        <v>#N/A</v>
      </c>
      <c r="EN108" s="153" t="e">
        <f ca="1">IF(Control!$C$108=1,IF(AND(Control!$B$18=1,$EB108&gt;=Control!$B$19),$EB108-$DS108,IF(AND(Control!$B$18=2,$AW108=1,$EB108&gt;$DS108),$EB108-$DS108,0)))</f>
        <v>#N/A</v>
      </c>
      <c r="EO108" s="153" t="e">
        <f ca="1">IF(Control!$C$108=1,IF(AND(Control!$B$18=1,$EB108&gt;=Control!$B$19),$EF108,IF(AND(Control!$B$18=2,$AW108=1),$EF108,0)))</f>
        <v>#N/A</v>
      </c>
      <c r="EP108" s="153" t="e">
        <f ca="1">IF(Control!$C$108=1,IF(AND(Control!$B$18=1,$EB108&gt;=Control!$B$19),$EK108,IF(AND(Control!$B$18=2,$AW108=1),$EK108,0)))</f>
        <v>#N/A</v>
      </c>
      <c r="EQ108" s="153" t="e">
        <f t="shared" ca="1" si="389"/>
        <v>#N/A</v>
      </c>
      <c r="ER108" s="153" t="e">
        <f t="shared" ca="1" si="390"/>
        <v>#N/A</v>
      </c>
      <c r="ES108" s="153" t="e">
        <f t="shared" ca="1" si="442"/>
        <v>#N/A</v>
      </c>
      <c r="ET108" s="153" t="e">
        <f t="shared" ca="1" si="443"/>
        <v>#N/A</v>
      </c>
      <c r="EU108" s="153" t="e">
        <f t="shared" ca="1" si="391"/>
        <v>#N/A</v>
      </c>
      <c r="EV108" s="153" t="e">
        <f t="shared" ca="1" si="262"/>
        <v>#N/A</v>
      </c>
      <c r="EW108" s="153" t="e">
        <f t="shared" ca="1" si="263"/>
        <v>#N/A</v>
      </c>
      <c r="EX108" s="153" t="e">
        <f t="shared" ca="1" si="264"/>
        <v>#N/A</v>
      </c>
      <c r="EY108" s="157" t="e">
        <f t="shared" ca="1" si="265"/>
        <v>#DIV/0!</v>
      </c>
      <c r="EZ108" s="154" t="e">
        <f t="shared" ca="1" si="266"/>
        <v>#DIV/0!</v>
      </c>
      <c r="FA108" s="153" t="e">
        <f t="shared" ca="1" si="392"/>
        <v>#N/A</v>
      </c>
      <c r="FB108" s="153" t="e">
        <f t="shared" ca="1" si="267"/>
        <v>#N/A</v>
      </c>
      <c r="FC108" s="193" t="e">
        <f t="shared" ca="1" si="268"/>
        <v>#N/A</v>
      </c>
      <c r="FD108" s="158" t="e">
        <f t="shared" ca="1" si="393"/>
        <v>#N/A</v>
      </c>
      <c r="FE108" s="158" t="e">
        <f t="shared" ca="1" si="394"/>
        <v>#N/A</v>
      </c>
      <c r="FF108" s="159" t="e">
        <f t="shared" ca="1" si="269"/>
        <v>#N/A</v>
      </c>
      <c r="FG108" s="160" t="e">
        <f t="shared" ca="1" si="395"/>
        <v>#N/A</v>
      </c>
      <c r="FH108" s="158" t="e">
        <f t="shared" ca="1" si="396"/>
        <v>#N/A</v>
      </c>
      <c r="FI108" s="159" t="e">
        <f t="shared" ca="1" si="270"/>
        <v>#N/A</v>
      </c>
      <c r="FJ108" s="160" t="e">
        <f t="shared" ca="1" si="397"/>
        <v>#N/A</v>
      </c>
      <c r="FK108" s="160" t="e">
        <f t="shared" ca="1" si="271"/>
        <v>#N/A</v>
      </c>
      <c r="FL108" s="160" t="e">
        <f t="shared" ca="1" si="444"/>
        <v>#N/A</v>
      </c>
      <c r="FM108" s="160" t="e">
        <f t="shared" ca="1" si="272"/>
        <v>#N/A</v>
      </c>
      <c r="FN108" s="158">
        <f t="shared" ca="1" si="398"/>
        <v>0.01</v>
      </c>
      <c r="FO108" s="160">
        <f>Control!$C$101</f>
        <v>50</v>
      </c>
      <c r="FP108" s="150" t="e">
        <f t="shared" ca="1" si="273"/>
        <v>#N/A</v>
      </c>
      <c r="FQ108" s="150" t="e">
        <f ca="1">MAX(0,(Control!$C$112*(($DK108-Control!$C$97)/Control!$C$97)))</f>
        <v>#N/A</v>
      </c>
      <c r="FR108" s="150" t="e">
        <f ca="1">(1-$NT108)*Control!$C$113</f>
        <v>#DIV/0!</v>
      </c>
      <c r="FS108" s="198" t="e">
        <f t="shared" ca="1" si="274"/>
        <v>#N/A</v>
      </c>
      <c r="FT108" s="161">
        <f t="shared" ca="1" si="399"/>
        <v>104</v>
      </c>
      <c r="FU108" s="162" t="e">
        <f ca="1">IF(Control!$B$34=1,VLOOKUP($CP108,Control!$B$86:$G$91,6),Control!$B$35)</f>
        <v>#N/A</v>
      </c>
      <c r="FV108" s="162" t="e">
        <f t="shared" ca="1" si="275"/>
        <v>#DIV/0!</v>
      </c>
      <c r="FW108" s="162" t="e">
        <f ca="1">IF(Control!$B$31=1,$FU108*$FV108,  $FU108)</f>
        <v>#N/A</v>
      </c>
      <c r="FX108" s="162" t="e">
        <f ca="1">IF(Control!$B$34=1,VLOOKUP($CP108,Control!$B$86:$G$91,3),Control!$B$36)</f>
        <v>#N/A</v>
      </c>
      <c r="FY108" s="162" t="e">
        <f t="shared" ca="1" si="276"/>
        <v>#N/A</v>
      </c>
      <c r="FZ108" s="162" t="e">
        <f ca="1">IF(Control!$B$34=1,VLOOKUP($CP108,Control!$B$86:$G$91,4),Control!$B$37)</f>
        <v>#N/A</v>
      </c>
      <c r="GA108" s="162" t="e">
        <f t="shared" ca="1" si="277"/>
        <v>#N/A</v>
      </c>
      <c r="GB108" s="162" t="e">
        <f ca="1">IF(Control!$B$34=1,VLOOKUP($CP108,Control!$B$86:$G$91,5),Control!$B$38)</f>
        <v>#N/A</v>
      </c>
      <c r="GC108" s="162" t="e">
        <f t="shared" ca="1" si="400"/>
        <v>#N/A</v>
      </c>
      <c r="GD108" s="162">
        <f t="shared" ca="1" si="278"/>
        <v>1</v>
      </c>
      <c r="GE108" s="162">
        <f t="shared" ca="1" si="279"/>
        <v>1</v>
      </c>
      <c r="GF108" s="162">
        <f ca="1">IF(AND(Control!$C$104=1, Control!$C$62="F"),$GE108,1)</f>
        <v>1</v>
      </c>
      <c r="GG108" s="162" t="e">
        <f ca="1">IF(Control!$B$16=40,0,IF(AND(Control!$B$16&gt;40,Control!$B$16&lt;=360),(Control!$B$16-40)*((1-0)/(360-40)),IF(AND(Control!$B$16&gt;360,Control!$B$16&lt;=720),(1+(Control!$B$16-360)*((1.25-1)/(720-360))),IF(AND(Control!$B$16&gt;720,Control!$B$16&lt;=1000),(1.25+(Control!$B$16-720)*((1.35-1.25)/(1000-720))),IF(AND(Control!$B$16&gt;1000,Control!$B$16&lt;=2000),(1.35+(Control!$B$16-1000)*0))))))</f>
        <v>#N/A</v>
      </c>
      <c r="GH108" s="162" t="e">
        <f t="shared" ca="1" si="280"/>
        <v>#N/A</v>
      </c>
      <c r="GI108" s="162">
        <f t="shared" ca="1" si="401"/>
        <v>0</v>
      </c>
      <c r="GJ108" s="162">
        <f t="shared" ca="1" si="281"/>
        <v>0</v>
      </c>
      <c r="GK108" s="162">
        <f t="shared" ca="1" si="402"/>
        <v>1</v>
      </c>
      <c r="GL108" s="162">
        <f t="shared" ca="1" si="282"/>
        <v>1</v>
      </c>
      <c r="GM108" s="162" t="e">
        <f ca="1">MAX(0,MIN(1,1-Control!$C$156*(1.0001-$KH108)^2))</f>
        <v>#N/A</v>
      </c>
      <c r="GN108" s="162" t="e">
        <f ca="1">IF(Control!$B$26=1,$KU108,$KX108)</f>
        <v>#N/A</v>
      </c>
      <c r="GO108" s="162" t="e">
        <f ca="1">IF($CP108&lt;=60,Control!$C$105,IF($CP108&gt;=90,Control!$C$106,Control!$C$105+($CP108-60)*((Control!$C$106-Control!$C$105)/(90-60))))</f>
        <v>#N/A</v>
      </c>
      <c r="GP108" s="162" t="e">
        <f t="shared" ca="1" si="283"/>
        <v>#N/A</v>
      </c>
      <c r="GQ108" s="162" t="e">
        <f t="shared" ca="1" si="403"/>
        <v>#N/A</v>
      </c>
      <c r="GR108" s="163" t="e">
        <f t="shared" ca="1" si="284"/>
        <v>#DIV/0!</v>
      </c>
      <c r="GS108" s="162" t="e">
        <f t="shared" ca="1" si="285"/>
        <v>#DIV/0!</v>
      </c>
      <c r="GT108" s="164" t="e">
        <f t="shared" ca="1" si="404"/>
        <v>#N/A</v>
      </c>
      <c r="GU108" s="162" t="e">
        <f t="shared" ca="1" si="405"/>
        <v>#N/A</v>
      </c>
      <c r="GV108" s="162" t="e">
        <f t="shared" ca="1" si="286"/>
        <v>#N/A</v>
      </c>
      <c r="GW108" s="162" t="e">
        <f t="shared" ca="1" si="287"/>
        <v>#DIV/0!</v>
      </c>
      <c r="GX108" s="162" t="e">
        <f t="shared" ca="1" si="406"/>
        <v>#DIV/0!</v>
      </c>
      <c r="GY108" s="162" t="e">
        <f t="shared" ca="1" si="407"/>
        <v>#DIV/0!</v>
      </c>
      <c r="GZ108" s="165" t="e">
        <f t="shared" ca="1" si="288"/>
        <v>#N/A</v>
      </c>
      <c r="HA108" s="162" t="e">
        <f ca="1">IF(Control!$C$114=1, $DI108*$FS108, 0)</f>
        <v>#N/A</v>
      </c>
      <c r="HB108" s="162" t="e">
        <f ca="1">$FA108/Control!$C$64</f>
        <v>#N/A</v>
      </c>
      <c r="HC108" s="162" t="e">
        <f t="shared" ca="1" si="289"/>
        <v>#DIV/0!</v>
      </c>
      <c r="HD108" s="162">
        <f ca="1">-ASIN(SIN(23.45*Control!$C$139)*COS(2*Control!$C$138*($AH108+10)/365))</f>
        <v>0.15248496072671858</v>
      </c>
      <c r="HE108" s="165">
        <f t="shared" ca="1" si="408"/>
        <v>0</v>
      </c>
      <c r="HF108" s="166">
        <f ca="1">IF(AND(Control!$C$61="T",$HE108&gt;=Control!$C$103,Control!$C$114=0),$AH108,Control!$C$59)</f>
        <v>1</v>
      </c>
      <c r="HG108" s="166">
        <f ca="1">IF(AND(Control!$C$61="T",$HE108&gt;=Control!$C$103,Control!$C$114=0),$HF108,Control!$C$59)</f>
        <v>1</v>
      </c>
      <c r="HH108" s="165">
        <f ca="1">IF(AND(OR(Control!$C$60&lt;=0, $AH108= Control!$C$59, Control!$C$60 &gt;0, $AH108 = Control!$C$60)), Control!$C$59, IF(Control!$C$60&gt;0, 0))</f>
        <v>1</v>
      </c>
      <c r="HI108" s="165">
        <f ca="1">IF(AND(OR(Control!$C$60&lt;=0, $AH108= Control!$C$59, Control!$C$60 &gt;0, $AH108 = Control!$C$60)), Control!$C$60, IF(Control!$C$60&lt;=0, 0))</f>
        <v>0</v>
      </c>
      <c r="HJ108" s="166">
        <f ca="1">IF(AND(Control!$C$62="F",$CV108&gt;=Control!$C$102),$AH108,0)</f>
        <v>0</v>
      </c>
      <c r="HK108" s="165" t="e">
        <f t="shared" ca="1" si="445"/>
        <v>#N/A</v>
      </c>
      <c r="HL108" s="166">
        <f ca="1">IF(AND(Control!$C$61="T",$HE108&gt;=Control!$C$103,Control!$C$114=0),$HF108,0)</f>
        <v>0</v>
      </c>
      <c r="HM108" s="201" t="e">
        <f t="shared" ca="1" si="290"/>
        <v>#DIV/0!</v>
      </c>
      <c r="HN108" s="215">
        <f t="shared" ca="1" si="409"/>
        <v>104</v>
      </c>
      <c r="HO108" s="216" t="e">
        <f ca="1">IF(AND($CP108&gt;=0, $CP108&lt;=90), Control!$C$152, Control!$C$152)</f>
        <v>#N/A</v>
      </c>
      <c r="HP108" s="216" t="e">
        <f t="shared" ca="1" si="291"/>
        <v>#N/A</v>
      </c>
      <c r="HQ108" s="217" t="e">
        <f ca="1">IF(OR(Control!$B$26=1,Control!$B$26=2),$KV108,$KS108)</f>
        <v>#DIV/0!</v>
      </c>
      <c r="HR108" s="218" t="e">
        <f t="shared" ca="1" si="446"/>
        <v>#DIV/0!</v>
      </c>
      <c r="HS108" s="216" t="e">
        <f ca="1">Control!$C$154*$HP108</f>
        <v>#N/A</v>
      </c>
      <c r="HT108" s="216" t="e">
        <f ca="1">Control!$C$155*$HP108</f>
        <v>#N/A</v>
      </c>
      <c r="HU108" s="217" t="e">
        <f ca="1">Control!$C$161*$FI108</f>
        <v>#N/A</v>
      </c>
      <c r="HV108" s="218" t="e">
        <f t="shared" ca="1" si="410"/>
        <v>#N/A</v>
      </c>
      <c r="HW108" s="218" t="e">
        <f ca="1">Control!$C$160*$FF108+$IP108*$EO108</f>
        <v>#N/A</v>
      </c>
      <c r="HX108" s="218" t="e">
        <f t="shared" ca="1" si="447"/>
        <v>#N/A</v>
      </c>
      <c r="HY108" s="219" t="e">
        <f ca="1">IF(Control!$C$114=1, $EB108*$FS108, 0)</f>
        <v>#N/A</v>
      </c>
      <c r="HZ108" s="91" t="e">
        <f t="shared" ca="1" si="292"/>
        <v>#N/A</v>
      </c>
      <c r="IA108" s="220" t="e">
        <f ca="1">Control!$C$153*$HO108</f>
        <v>#N/A</v>
      </c>
      <c r="IB108" s="218" t="e">
        <f t="shared" ca="1" si="293"/>
        <v>#N/A</v>
      </c>
      <c r="IC108" s="220" t="e">
        <f ca="1">Control!$C$153*$HT108</f>
        <v>#N/A</v>
      </c>
      <c r="ID108" s="218" t="e">
        <f t="shared" ca="1" si="294"/>
        <v>#N/A</v>
      </c>
      <c r="IE108" s="221" t="e">
        <f ca="1">($EB108*Control!$C$159+$EF108*Control!$C$160)/(IF($GZ108&lt;&gt;0,$GZ108,1))</f>
        <v>#N/A</v>
      </c>
      <c r="IF108" s="216" t="e">
        <f t="shared" ca="1" si="295"/>
        <v>#N/A</v>
      </c>
      <c r="IG108" s="91">
        <f ca="1">IF(OR(Control!$B$198=$AH108,Control!$B$199=$AH108, Control!$B$200=$AH108, Control!$B$201=$AH108, Control!$B$202=$AH108, Control!$B$203=$AH108, Control!$B$204=$AH108, Control!$B$205=$AH108, Control!$B$206=$AH108, Control!$B$207=$AH108), 1, 0)</f>
        <v>0</v>
      </c>
      <c r="IH108" s="91">
        <f ca="1">IF($IG108=0,0, VLOOKUP($AH108,Control!$B$198:$C$207,2))</f>
        <v>0</v>
      </c>
      <c r="II108" s="222">
        <f t="shared" ca="1" si="411"/>
        <v>0</v>
      </c>
      <c r="IJ108" s="91">
        <f>Control!$C$121</f>
        <v>0.7</v>
      </c>
      <c r="IK108" s="218">
        <f t="shared" ca="1" si="296"/>
        <v>0</v>
      </c>
      <c r="IL108" s="217" t="e">
        <f t="shared" ca="1" si="448"/>
        <v>#N/A</v>
      </c>
      <c r="IM108" s="223" t="e">
        <f ca="1">IF(AND(Control!$C$114=1,$KH108&lt;1),$EB108*Control!$C$148*(1-$KH108), 0)</f>
        <v>#N/A</v>
      </c>
      <c r="IN108" s="217" t="e">
        <f t="shared" ca="1" si="297"/>
        <v>#DIV/0!</v>
      </c>
      <c r="IO108" s="91" t="e">
        <f ca="1">MAX(0,$IL108-$EF108*Control!$C$160)</f>
        <v>#N/A</v>
      </c>
      <c r="IP108" s="220" t="e">
        <f t="shared" ca="1" si="298"/>
        <v>#N/A</v>
      </c>
      <c r="IQ108" s="217" t="e">
        <f t="shared" ca="1" si="412"/>
        <v>#N/A</v>
      </c>
      <c r="IR108" s="218" t="e">
        <f t="shared" ca="1" si="299"/>
        <v>#N/A</v>
      </c>
      <c r="IS108" s="217" t="e">
        <f ca="1">Control!$C$159*MAX(0,$FD108-$EN108)</f>
        <v>#N/A</v>
      </c>
      <c r="IT108" s="217" t="e">
        <f t="shared" ca="1" si="449"/>
        <v>#N/A</v>
      </c>
      <c r="IU108" s="217" t="e">
        <f t="shared" ca="1" si="413"/>
        <v>#N/A</v>
      </c>
      <c r="IV108" s="217" t="e">
        <f t="shared" ca="1" si="450"/>
        <v>#N/A</v>
      </c>
      <c r="IW108" s="217" t="e">
        <f ca="1">IF(OR($AW108=1,AND($AW108=0, Control!$B$18=1,$EN108&lt;&gt;0)), $IQ108-$IU108, $IQ108)</f>
        <v>#N/A</v>
      </c>
      <c r="IX108" s="218" t="e">
        <f t="shared" ca="1" si="300"/>
        <v>#N/A</v>
      </c>
      <c r="IY108" s="218" t="e">
        <f ca="1">MAX(0,$IQ108-$EB108*Control!$C$159)</f>
        <v>#N/A</v>
      </c>
      <c r="IZ108" s="218" t="e">
        <f t="shared" ca="1" si="301"/>
        <v>#N/A</v>
      </c>
      <c r="JA108" s="216" t="e">
        <f t="shared" ca="1" si="302"/>
        <v>#N/A</v>
      </c>
      <c r="JB108" s="217" t="e">
        <f t="shared" ca="1" si="303"/>
        <v>#N/A</v>
      </c>
      <c r="JC108" s="222" t="e">
        <f ca="1">MAX(Control!$C$157*$EK108-$JT108, 0)/Control!$C$162</f>
        <v>#N/A</v>
      </c>
      <c r="JD108" s="218" t="e">
        <f t="shared" ca="1" si="304"/>
        <v>#N/A</v>
      </c>
      <c r="JE108" s="218" t="e">
        <f t="shared" ca="1" si="305"/>
        <v>#N/A</v>
      </c>
      <c r="JF108" s="218" t="e">
        <f t="shared" ca="1" si="414"/>
        <v>#N/A</v>
      </c>
      <c r="JG108" s="218" t="e">
        <f t="shared" ca="1" si="306"/>
        <v>#N/A</v>
      </c>
      <c r="JH108" s="217" t="e">
        <f t="shared" ca="1" si="415"/>
        <v>#N/A</v>
      </c>
      <c r="JI108" s="217" t="e">
        <f t="shared" ca="1" si="416"/>
        <v>#N/A</v>
      </c>
      <c r="JJ108" s="217" t="e">
        <f t="shared" ca="1" si="451"/>
        <v>#N/A</v>
      </c>
      <c r="JK108" s="217" t="e">
        <f ca="1">IF(Control!$C$114=1,IF(Control!$B$24=0,MAX(0,$JI108)*$GN108/Control!$C$64,(MAX(0,MIN($JI108,$JJ108*$GN108/Control!$C$64),0))))</f>
        <v>#N/A</v>
      </c>
      <c r="JL108" s="217" t="e">
        <f ca="1">$IK108/Control!$C$64-$JK108+$HQ108</f>
        <v>#N/A</v>
      </c>
      <c r="JM108" s="217" t="e">
        <f ca="1">IF(Control!$C$114=1,($JB108/(IF($JI108&lt;&gt;0,$JI108,1)))*$JK108,0)</f>
        <v>#N/A</v>
      </c>
      <c r="JN108" s="217" t="e">
        <f ca="1">IF(Control!$C$114=1,($JG108/(IF($JI108&lt;&gt;0,$JI108,1)))*$JK108, 0)</f>
        <v>#N/A</v>
      </c>
      <c r="JO108" s="218" t="e">
        <f t="shared" ca="1" si="307"/>
        <v>#N/A</v>
      </c>
      <c r="JP108" s="218" t="e">
        <f ca="1">MIN(($IY108+$IO108)*Control!$C$151, $JF108-$EH108*Control!$C$161)</f>
        <v>#N/A</v>
      </c>
      <c r="JQ108" s="218" t="e">
        <f t="shared" ca="1" si="308"/>
        <v>#N/A</v>
      </c>
      <c r="JR108" s="217" t="e">
        <f ca="1">IF($CP108-Control!$C$150&lt;0, 0, $JQ108/Control!$C$162)</f>
        <v>#N/A</v>
      </c>
      <c r="JS108" s="218" t="e">
        <f t="shared" ca="1" si="309"/>
        <v>#N/A</v>
      </c>
      <c r="JT108" s="218" t="e">
        <f t="shared" ca="1" si="417"/>
        <v>#N/A</v>
      </c>
      <c r="JU108" s="218" t="e">
        <f t="shared" ca="1" si="310"/>
        <v>#N/A</v>
      </c>
      <c r="JV108" s="218" t="e">
        <f t="shared" ca="1" si="311"/>
        <v>#N/A</v>
      </c>
      <c r="JW108" s="216" t="e">
        <f t="shared" ca="1" si="312"/>
        <v>#N/A</v>
      </c>
      <c r="JX108" s="91" t="e">
        <f t="shared" ca="1" si="313"/>
        <v>#N/A</v>
      </c>
      <c r="JY108" s="218" t="e">
        <f t="shared" ca="1" si="314"/>
        <v>#N/A</v>
      </c>
      <c r="JZ108" s="217" t="e">
        <f ca="1">IF(Control!$C$114=1,($IZ108/(IF($JI108&lt;&gt;0,$JI108,1)))*$JK108, 0)</f>
        <v>#N/A</v>
      </c>
      <c r="KA108" s="218" t="e">
        <f t="shared" ca="1" si="452"/>
        <v>#N/A</v>
      </c>
      <c r="KB108" s="218" t="e">
        <f t="shared" ca="1" si="418"/>
        <v>#N/A</v>
      </c>
      <c r="KC108" s="218" t="e">
        <f t="shared" ca="1" si="315"/>
        <v>#N/A</v>
      </c>
      <c r="KD108" s="218" t="e">
        <f t="shared" ca="1" si="316"/>
        <v>#N/A</v>
      </c>
      <c r="KE108" s="218" t="e">
        <f t="shared" ca="1" si="317"/>
        <v>#N/A</v>
      </c>
      <c r="KF108" s="218" t="e">
        <f t="shared" ca="1" si="318"/>
        <v>#N/A</v>
      </c>
      <c r="KG108" s="216" t="e">
        <f t="shared" ca="1" si="319"/>
        <v>#N/A</v>
      </c>
      <c r="KH108" s="221" t="e">
        <f ca="1">IF(Control!$B$24=0,1,MAX(0.001,MIN(1,IF(($IF108-$IE108)&lt;&gt;0,($KG108-$IE108)/($IF108-$IE108),1))))</f>
        <v>#N/A</v>
      </c>
      <c r="KI108" s="222" t="e">
        <f ca="1">IF(Control!$C$114=1, $KI107+ $KH107, 0)</f>
        <v>#N/A</v>
      </c>
      <c r="KJ108" s="217" t="e">
        <f t="shared" ca="1" si="320"/>
        <v>#N/A</v>
      </c>
      <c r="KK108" s="218" t="e">
        <f t="shared" ca="1" si="321"/>
        <v>#N/A</v>
      </c>
      <c r="KL108" s="274" t="e">
        <f ca="1">IF(Control!$B$26=3,4000000000*EXP(-8400/($G108+273)),IF(Control!$B$26=4,4000000000*EXP(-8400/($G108+273))*($KT108),0))</f>
        <v>#DIV/0!</v>
      </c>
      <c r="KM108" s="274" t="e">
        <f ca="1">IF(Control!$B$26=3,5600000000000*EXP(-9800/($G108+273)),IF(Control!$B$26=4,5600000000000*EXP(-9800/($G108+273))*$KT108,0))</f>
        <v>#DIV/0!</v>
      </c>
      <c r="KN108" s="454" t="e">
        <f t="shared" ca="1" si="419"/>
        <v>#DIV/0!</v>
      </c>
      <c r="KO108" s="274" t="e">
        <f t="shared" ca="1" si="420"/>
        <v>#DIV/0!</v>
      </c>
      <c r="KP108" s="454" t="e">
        <f t="shared" ca="1" si="322"/>
        <v>#DIV/0!</v>
      </c>
      <c r="KQ108" s="454" t="e">
        <f t="shared" ca="1" si="323"/>
        <v>#DIV/0!</v>
      </c>
      <c r="KR108" s="454" t="e">
        <f t="shared" ca="1" si="324"/>
        <v>#DIV/0!</v>
      </c>
      <c r="KS108" s="454" t="e">
        <f t="shared" ca="1" si="325"/>
        <v>#DIV/0!</v>
      </c>
      <c r="KT108" s="455" t="e">
        <f t="shared" ca="1" si="326"/>
        <v>#DIV/0!</v>
      </c>
      <c r="KU108" s="456" t="e">
        <f ca="1">IF($CP108-Control!$C$149&lt;0, IF($NT108-0.01&lt;0,0,1),0)</f>
        <v>#N/A</v>
      </c>
      <c r="KV108" s="456" t="e">
        <f ca="1">IF(Control!$C$114=1,MAX(0,MIN(Control!$C$125*$KW108*$GN108,$KW108)))</f>
        <v>#DIV/0!</v>
      </c>
      <c r="KW108" s="456" t="e">
        <f t="shared" ca="1" si="453"/>
        <v>#DIV/0!</v>
      </c>
      <c r="KX108" s="457" t="e">
        <f ca="1">IF($CP108-Control!$C$149&lt;0, IF($MR108-$OM108&lt;0,0,1),0)</f>
        <v>#N/A</v>
      </c>
      <c r="KY108" s="167">
        <f t="shared" ca="1" si="421"/>
        <v>104</v>
      </c>
      <c r="KZ108" s="168">
        <f ca="1">1370*(1+0.033*COS(2*Control!$C$138*$AH108/365))</f>
        <v>1360.1565480250354</v>
      </c>
      <c r="LA108" s="169">
        <f t="shared" ca="1" si="422"/>
        <v>0.99281513339691441</v>
      </c>
      <c r="LB108" s="169">
        <f t="shared" ca="1" si="423"/>
        <v>0.15937661793999758</v>
      </c>
      <c r="LC108" s="169">
        <f ca="1">ACOS(-TAN((2*Control!$B$8/360))*TAN(Calculations!$LB108))</f>
        <v>1.6185869205253387</v>
      </c>
      <c r="LD108" s="169">
        <f ca="1">((24*60)/PI())*0.082*$LA108*(($LC108*SIN(Control!$B$8*2*PI()/360))*SIN($LB108)+COS(Control!$B$8*2*PI()/360)*COS($LB108)*SIN($LC108))</f>
        <v>30.210437515943436</v>
      </c>
      <c r="LE108" s="170">
        <f t="shared" ca="1" si="327"/>
        <v>30.232410986325444</v>
      </c>
      <c r="LF108" s="170">
        <f ca="1">SIN(Control!$C$139*Control!$B$8)*SIN($HD108)</f>
        <v>0.11969487585299796</v>
      </c>
      <c r="LG108" s="170">
        <f ca="1">COS(Control!$C$139*Control!$B$8)*COS($HD108)</f>
        <v>0.60851610374003784</v>
      </c>
      <c r="LH108" s="170">
        <f ca="1">12*(1+2*ASIN(MAX(-1,MIN(1,$LF108/$LG108))/Control!$C$138))</f>
        <v>13.503654285913015</v>
      </c>
      <c r="LI108" s="170">
        <f ca="1">12*(1+2*ASIN(MAX(-1,MIN(1,(-SIN(-4*Control!$C$139)+$LF108)/$LG108))/Control!$C$138))</f>
        <v>14.382318299676767</v>
      </c>
      <c r="LJ108" s="168">
        <f ca="1">3600*($LH108*$LF108+24*$LG108*SQRT(1-$LK108*$LK108)/Control!$C$138)</f>
        <v>22227.155418413629</v>
      </c>
      <c r="LK108" s="170">
        <f t="shared" ca="1" si="328"/>
        <v>0.19669960271771608</v>
      </c>
      <c r="LL108" s="170">
        <f t="shared" ca="1" si="329"/>
        <v>0</v>
      </c>
      <c r="LM108" s="171">
        <f ca="1">Control!$C$145*$AB108</f>
        <v>6.6660906138995932E-2</v>
      </c>
      <c r="LN108" s="170">
        <f t="shared" ca="1" si="424"/>
        <v>0.54</v>
      </c>
      <c r="LO108" s="170">
        <f t="shared" ca="1" si="330"/>
        <v>0</v>
      </c>
      <c r="LP108" s="170">
        <f ca="1">Control!$C$140*((($D108+273.16)^4+($E108+273.16)^4)/2)*(0.34-0.14*SQRT($Y108))*(1.35*$AQ108/(0.75*$LD108)-0.35)</f>
        <v>-3.2464704755046001</v>
      </c>
      <c r="LQ108" s="170">
        <f ca="1">Control!$C$140*($G108+273)^4*(0.56-0.079*SQRT($Y108*10))*(0.1+0.9*$LO108)</f>
        <v>1.5241745131704001</v>
      </c>
      <c r="LR108" s="170">
        <f ca="1">$AQ108*(1-Control!$C$142)-$LQ108</f>
        <v>-1.5241745131704001</v>
      </c>
      <c r="LS108" s="170">
        <f ca="1">$AQ108*(1-Control!$C$143)-$LQ108</f>
        <v>-1.5241745131704001</v>
      </c>
      <c r="LT108" s="170">
        <f ca="1">$AQ108*(1-Control!$C$144)-$LQ108</f>
        <v>-1.5241745131704001</v>
      </c>
      <c r="LU108" s="169">
        <f ca="1">(1-Control!$C$144)*AQ108-LP108</f>
        <v>3.2464704755046001</v>
      </c>
      <c r="LV108" s="172">
        <f t="shared" ca="1" si="331"/>
        <v>0.79430000000000012</v>
      </c>
      <c r="LW108" s="170">
        <f t="shared" ca="1" si="332"/>
        <v>1.5886000000000002</v>
      </c>
      <c r="LX108" s="170">
        <f ca="1">($AC108*($LR108/Control!$C$141)+$LM108*$LV108)/($AC108+$LM108)</f>
        <v>0.23530094218323697</v>
      </c>
      <c r="LY108" s="170">
        <f ca="1">($AC108*($LS108/Control!$C$141)+$LM108*$LV108)/($AC108+$LM108)</f>
        <v>0.23530094218323697</v>
      </c>
      <c r="LZ108" s="170">
        <f t="shared" ca="1" si="333"/>
        <v>0.23530094218323697</v>
      </c>
      <c r="MA108" s="170">
        <f t="shared" ca="1" si="334"/>
        <v>0.23530094218323697</v>
      </c>
      <c r="MB108" s="170" t="e">
        <f t="shared" ca="1" si="335"/>
        <v>#N/A</v>
      </c>
      <c r="MC108" s="170">
        <f t="shared" ca="1" si="425"/>
        <v>0.6018</v>
      </c>
      <c r="MD108" s="170">
        <f t="shared" ca="1" si="336"/>
        <v>0.52989392535414004</v>
      </c>
      <c r="ME108" s="170">
        <f ca="1">($AC108*($LT108/Control!$C$141)+$LM108*$LW108)/($AC108+$LM108)</f>
        <v>0.71612369323045078</v>
      </c>
      <c r="MF108" s="170" t="e">
        <f ca="1">IF(Control!$B$16&gt;=1000,0.92,IF(AND(720&lt;=Control!$B$16,1000&gt;Control!$B$16),(0.95+(Control!$B$16-720)*((0.92-0.95)/(1000-720))),IF(AND(360&lt;=Control!$B$16,720&gt;Control!$B$16),(1+(Control!$B$16-360)*((0.95-1)/(720-360))),IF(AND(40&lt;=Control!$B$16,360&gt;Control!$B$16),(1.05+(Control!$B$16-40)*((1.05-1)/(360-40)))))))</f>
        <v>#N/A</v>
      </c>
      <c r="MG108" s="170">
        <f t="shared" ca="1" si="337"/>
        <v>0.71612369323045078</v>
      </c>
      <c r="MH108" s="170" t="e">
        <f t="shared" ca="1" si="463"/>
        <v>#N/A</v>
      </c>
      <c r="MI108" s="170" t="e">
        <f t="shared" ca="1" si="463"/>
        <v>#N/A</v>
      </c>
      <c r="MJ108" s="170" t="e">
        <f ca="1">MAX(0.0001, Control!$C$132*$MI108*$DL108)</f>
        <v>#N/A</v>
      </c>
      <c r="MK108" s="170">
        <f ca="1">1/(0.76+1.5*($MG108/10))-(5-Control!$C$110)*0.1</f>
        <v>1.002845988140797</v>
      </c>
      <c r="ML108" s="173">
        <f ca="1">IF(Control!$C$110&lt;3,$MK108+($MG108-0.6)/(Control!$C$110*(Control!$C$110+3)), MAX(0.1, MIN(0.95,$MK108)))</f>
        <v>0.95</v>
      </c>
      <c r="MM108" s="173">
        <f ca="1">IF(Control!$C$110&lt;3,$MK108+(($MI108/10)-0.6)/(Control!$C$110*(Control!$C$110+3)), MAX(0.1, MIN(0.95,$MK108)))</f>
        <v>0.95</v>
      </c>
      <c r="MN108" s="173">
        <f ca="1">(1-$MM108)*(Control!$C$128-Control!$C$127)+Control!$C$127</f>
        <v>0.16</v>
      </c>
      <c r="MO108" s="170" t="e">
        <f ca="1">MAX(0,MIN(1,($MS108-Control!$C$127)/($MN108-Control!$C$127)))</f>
        <v>#DIV/0!</v>
      </c>
      <c r="MP108" s="173" t="e">
        <f ca="1">1/(0.76+1.5*$MI108)-(5-Control!$C$110)*0.1</f>
        <v>#N/A</v>
      </c>
      <c r="MQ108" s="172" t="e">
        <f t="shared" ca="1" si="454"/>
        <v>#DIV/0!</v>
      </c>
      <c r="MR108" s="168" t="e">
        <f t="shared" ca="1" si="426"/>
        <v>#DIV/0!</v>
      </c>
      <c r="MS108" s="173" t="e">
        <f ca="1">MAX(Control!$C$127, MIN(Control!$C$135, $MR108/MAX(0.0001,$CY108)))</f>
        <v>#DIV/0!</v>
      </c>
      <c r="MT108" s="168" t="e">
        <f ca="1">(Control!$C$128-$MS108)*Control!$C$74</f>
        <v>#DIV/0!</v>
      </c>
      <c r="MU108" s="168" t="e">
        <f ca="1">(Control!$C$135-$MS108)*Control!$C$74</f>
        <v>#DIV/0!</v>
      </c>
      <c r="MV108" s="168" t="e">
        <f t="shared" ca="1" si="427"/>
        <v>#DIV/0!</v>
      </c>
      <c r="MW108" s="168" t="e">
        <f t="shared" ca="1" si="428"/>
        <v>#DIV/0!</v>
      </c>
      <c r="MX108" s="171" t="e">
        <f ca="1">MAX(Control!$C$127, MIN(Control!$C$135, $MW108/MAX(0.0001,Control!$C$119-$CY108)))</f>
        <v>#DIV/0!</v>
      </c>
      <c r="MY108" s="54" t="e">
        <f ca="1">IF(Control!$C$114=1, $CX108*$MX108, 0)</f>
        <v>#DIV/0!</v>
      </c>
      <c r="MZ108" s="54" t="e">
        <f t="shared" ca="1" si="429"/>
        <v>#N/A</v>
      </c>
      <c r="NA108" s="168" t="e">
        <f ca="1">(Control!$C$128-$MX108)*(Control!$C$119-Control!$C$74)</f>
        <v>#DIV/0!</v>
      </c>
      <c r="NB108" s="168" t="e">
        <f ca="1">(Control!$C$135-$MX108)*(Control!$C$119-Control!$C$74)</f>
        <v>#DIV/0!</v>
      </c>
      <c r="NC108" s="174" t="e">
        <f t="shared" ca="1" si="430"/>
        <v>#DIV/0!</v>
      </c>
      <c r="ND108" s="54">
        <f ca="1">IF(Control!$C$58=2, IF(OR(Control!$B$218=$AH108,Control!$B$219=$AH108, Control!$B$220=$AH108, Control!$B$221=$AH108, Control!$B$222=$AH108, Control!$B$223=$AH108, Control!$B$224=$AH108, Control!$B$225=$AH108, Control!$B$226=$AH108, Control!$B$227=$AH108, Control!$B$228=$AH108), 1, 0), 0)</f>
        <v>1</v>
      </c>
      <c r="NE108" s="54">
        <f ca="1">IF($ND108=0,0, VLOOKUP($AH108,Control!$B$218:$C$228,2))</f>
        <v>0</v>
      </c>
      <c r="NF108" s="168" t="e">
        <f ca="1">$CY108*(Control!$C$128-Control!$C$127)</f>
        <v>#N/A</v>
      </c>
      <c r="NG108" s="54" t="e">
        <f ca="1">IF(Control!$C$58=2, $NI107-$NJ107, 0)</f>
        <v>#DIV/0!</v>
      </c>
      <c r="NH108" s="54" t="e">
        <f ca="1">IF(AND(Control!$C$58=1, $MS107&lt;= ($MN107+0.02), $I107&lt;10), 0, IF(Control!$C$58=2, $NG107, 0))</f>
        <v>#DIV/0!</v>
      </c>
      <c r="NI108" s="54" t="e">
        <f ca="1">IF(Control!$C$58=2, $NE108+$NH108,0)</f>
        <v>#DIV/0!</v>
      </c>
      <c r="NJ108" s="54" t="e">
        <f ca="1">IF(AND(Control!$C$58=1, $MS108&lt;= ($MN108+0.02), $I108&lt;10), MAX(0, MIN(10, 0.7*($NF108-$MV108))), IF(Control!$C$58=2, MIN(10,$NI108),0))</f>
        <v>#DIV/0!</v>
      </c>
      <c r="NK108" s="54" t="e">
        <f t="shared" ca="1" si="338"/>
        <v>#DIV/0!</v>
      </c>
      <c r="NL108" s="173" t="e">
        <f ca="1">(1-Control!$C$73)*$I108+$NJ108</f>
        <v>#DIV/0!</v>
      </c>
      <c r="NM108" s="172" t="e">
        <f ca="1">IF($NL108&lt;0.5, $MB108* MAX(0, MIN(1, (SQRT($NC108)-SQRT($NC108-1))*Control!$C$71)),0)</f>
        <v>#DIV/0!</v>
      </c>
      <c r="NN108" s="170" t="e">
        <f ca="1">IF($NL108&gt;=5, $MB108, MAX(0,MIN($MB108, $NM108+$NL108,($MS108-Control!$C$129))))</f>
        <v>#DIV/0!</v>
      </c>
      <c r="NO108" s="54">
        <f>IF(Control!$C$133&lt;&gt;1, Control!$C$135-Control!$C$131, 0)</f>
        <v>0.38</v>
      </c>
      <c r="NP108" s="54" t="e">
        <f t="shared" ca="1" si="339"/>
        <v>#DIV/0!</v>
      </c>
      <c r="NQ108" s="173" t="e">
        <f ca="1">MAX(0,MIN(1,(Control!$C$135-$MS108)/(Control!$C$135-$NO108)))</f>
        <v>#DIV/0!</v>
      </c>
      <c r="NR108" s="170" t="e">
        <f ca="1">IF(Control!$C$133&lt;&gt;1, $NQ108+((1-$NP108/4)*(1-$NQ108)),1)</f>
        <v>#DIV/0!</v>
      </c>
      <c r="NS108" s="170" t="e">
        <f ca="1">IF(Control!$B$31=0,$MJ108,MAX(0,MIN($MV108,$MO108*$NR108*$MJ108)))</f>
        <v>#DIV/0!</v>
      </c>
      <c r="NT108" s="170" t="e">
        <f t="shared" ca="1" si="455"/>
        <v>#DIV/0!</v>
      </c>
      <c r="NU108" s="170" t="e">
        <f t="shared" ca="1" si="431"/>
        <v>#N/A</v>
      </c>
      <c r="NV108" s="170" t="e">
        <f t="shared" ca="1" si="340"/>
        <v>#N/A</v>
      </c>
      <c r="NW108" s="175" t="e">
        <f t="shared" ca="1" si="341"/>
        <v>#DIV/0!</v>
      </c>
      <c r="NX108" s="170" t="e">
        <f ca="1">MIN(Control!$C$72+$MU108, $NW108)</f>
        <v>#DIV/0!</v>
      </c>
      <c r="NY108" s="170" t="e">
        <f ca="1">IF($MT108&lt;=$NX108,MIN(Control!$C$72+$NB108,$NX108-$MT108),0)</f>
        <v>#DIV/0!</v>
      </c>
      <c r="NZ108" s="54" t="e">
        <f ca="1">IF(Control!$C$114=1,  $CX108*($MX108-Control!$C$127), 0)</f>
        <v>#DIV/0!</v>
      </c>
      <c r="OA108" s="170" t="e">
        <f t="shared" ca="1" si="342"/>
        <v>#DIV/0!</v>
      </c>
      <c r="OB108" s="170" t="e">
        <f ca="1">IF($NA108 &lt;=$NY108, MIN(Control!$C$72, $NY108-$NA108), 0)</f>
        <v>#DIV/0!</v>
      </c>
      <c r="OC108" s="168" t="e">
        <f t="shared" ca="1" si="343"/>
        <v>#DIV/0!</v>
      </c>
      <c r="OD108" s="168" t="e">
        <f t="shared" ca="1" si="432"/>
        <v>#DIV/0!</v>
      </c>
      <c r="OE108" s="170">
        <f ca="1">Control!$C$73*$I108</f>
        <v>0</v>
      </c>
      <c r="OF108" s="176" t="e">
        <f t="shared" ca="1" si="344"/>
        <v>#DIV/0!</v>
      </c>
      <c r="OG108" s="168" t="e">
        <f t="shared" ca="1" si="345"/>
        <v>#DIV/0!</v>
      </c>
      <c r="OH108" s="168" t="e">
        <f t="shared" ca="1" si="346"/>
        <v>#DIV/0!</v>
      </c>
      <c r="OI108" s="168" t="e">
        <f t="shared" ca="1" si="347"/>
        <v>#DIV/0!</v>
      </c>
      <c r="OJ108" s="168" t="e">
        <f t="shared" ca="1" si="348"/>
        <v>#DIV/0!</v>
      </c>
      <c r="OK108" s="204" t="e">
        <f t="shared" ca="1" si="349"/>
        <v>#DIV/0!</v>
      </c>
      <c r="OL108" s="177">
        <f>Control!$C$127</f>
        <v>0.15</v>
      </c>
      <c r="OM108" s="182" t="e">
        <f t="shared" ca="1" si="350"/>
        <v>#N/A</v>
      </c>
      <c r="ON108" s="177">
        <f>Control!$C$128</f>
        <v>0.35</v>
      </c>
      <c r="OO108" s="182" t="e">
        <f t="shared" ca="1" si="351"/>
        <v>#N/A</v>
      </c>
      <c r="OP108" s="138">
        <f t="shared" ca="1" si="433"/>
        <v>0</v>
      </c>
      <c r="OQ108" s="138" t="e">
        <f t="shared" ca="1" si="456"/>
        <v>#DIV/0!</v>
      </c>
      <c r="OR108" s="138" t="e">
        <f t="shared" ca="1" si="434"/>
        <v>#DIV/0!</v>
      </c>
      <c r="OS108" s="137" t="e">
        <f t="shared" ca="1" si="457"/>
        <v>#DIV/0!</v>
      </c>
      <c r="OT108" s="139" t="e">
        <f t="shared" ca="1" si="458"/>
        <v>#DIV/0!</v>
      </c>
      <c r="OU108" s="138" t="e">
        <f t="shared" ca="1" si="459"/>
        <v>#N/A</v>
      </c>
      <c r="OV108" s="138" t="e">
        <f t="shared" ca="1" si="460"/>
        <v>#DIV/0!</v>
      </c>
      <c r="OW108" s="138" t="e">
        <f t="shared" ca="1" si="435"/>
        <v>#DIV/0!</v>
      </c>
      <c r="OX108" s="138" t="e">
        <f t="shared" ca="1" si="436"/>
        <v>#DIV/0!</v>
      </c>
      <c r="OY108" s="138" t="e">
        <f t="shared" ca="1" si="437"/>
        <v>#DIV/0!</v>
      </c>
      <c r="OZ108" s="138" t="e">
        <f t="shared" ca="1" si="352"/>
        <v>#DIV/0!</v>
      </c>
      <c r="PA108" s="138" t="e">
        <f t="shared" ca="1" si="353"/>
        <v>#DIV/0!</v>
      </c>
      <c r="PB108" s="55">
        <f>IF(Control!$C$61="T", IF(Control!$C$65="F", IF($AH$6-Control!$C$60&lt;0,0,1), IF(365+$AH$6-Control!$C$60&lt;0,0,1)),0)</f>
        <v>0</v>
      </c>
      <c r="PC108" s="55">
        <f ca="1">IF(Control!$C$65="F", IF($AH$6-$HF108&lt;0,0,1), IF(365+$AH$6-$HF108&lt;0,0,1))</f>
        <v>1</v>
      </c>
      <c r="PD108" s="444">
        <f>Control!$C$118</f>
        <v>1500</v>
      </c>
      <c r="PE108" s="180" t="e">
        <f t="shared" ca="1" si="354"/>
        <v>#N/A</v>
      </c>
      <c r="PF108" s="445">
        <f t="shared" ca="1" si="438"/>
        <v>0.71612369323045078</v>
      </c>
      <c r="PT108" s="186"/>
      <c r="PU108" s="186"/>
      <c r="PV108" s="94"/>
      <c r="PW108" s="94"/>
      <c r="PX108" s="94"/>
      <c r="PY108" s="94"/>
      <c r="PZ108" s="94"/>
      <c r="QA108" s="94"/>
      <c r="QB108" s="94"/>
      <c r="QC108" s="94"/>
      <c r="QD108" s="94"/>
      <c r="QE108" s="94"/>
      <c r="QF108" s="94"/>
      <c r="QG108" s="94"/>
      <c r="QH108" s="94"/>
      <c r="QI108" s="94"/>
      <c r="QJ108" s="94"/>
      <c r="QK108" s="94"/>
      <c r="QL108" s="94"/>
      <c r="QM108" s="94"/>
      <c r="QN108" s="94"/>
      <c r="QO108" s="94"/>
      <c r="QP108" s="94"/>
    </row>
    <row r="109" spans="1:458" s="2" customFormat="1" x14ac:dyDescent="0.2">
      <c r="A109" s="395">
        <v>14</v>
      </c>
      <c r="B109" s="396">
        <v>4</v>
      </c>
      <c r="C109" s="387">
        <f ca="1">Weather_data!$B108</f>
        <v>0</v>
      </c>
      <c r="D109" s="388">
        <f ca="1">Weather_data!$F108</f>
        <v>0</v>
      </c>
      <c r="E109" s="388">
        <f ca="1">Weather_data!$E108</f>
        <v>0</v>
      </c>
      <c r="F109" s="388">
        <f t="shared" ca="1" si="355"/>
        <v>0</v>
      </c>
      <c r="G109" s="388">
        <f ca="1">AVERAGE($D109:$E109)+Control!$B$9</f>
        <v>0</v>
      </c>
      <c r="H109" s="388">
        <f ca="1">Weather_data!$G108</f>
        <v>0</v>
      </c>
      <c r="I109" s="388">
        <f ca="1">Weather_data!$I108</f>
        <v>0</v>
      </c>
      <c r="J109" s="388">
        <f ca="1">Weather_data!$H108</f>
        <v>0</v>
      </c>
      <c r="K109" s="389">
        <f ca="1">Weather_data!$D108</f>
        <v>0</v>
      </c>
      <c r="L109" s="388" t="e">
        <f t="shared" ca="1" si="356"/>
        <v>#N/A</v>
      </c>
      <c r="M109" s="388" t="e">
        <f t="shared" ca="1" si="234"/>
        <v>#N/A</v>
      </c>
      <c r="N109" s="388">
        <f t="shared" ca="1" si="235"/>
        <v>-9.6816298945256356E-6</v>
      </c>
      <c r="O109" s="388">
        <f t="shared" ca="1" si="357"/>
        <v>9.6816298945256356E-5</v>
      </c>
      <c r="P109" s="390">
        <v>3</v>
      </c>
      <c r="Q109" s="388">
        <f ca="1">MAX($G109-Control!$C$107,0)</f>
        <v>0</v>
      </c>
      <c r="R109" s="388">
        <f t="shared" ca="1" si="358"/>
        <v>0</v>
      </c>
      <c r="S109" s="388">
        <f t="shared" ca="1" si="236"/>
        <v>0</v>
      </c>
      <c r="T109" s="388">
        <f t="shared" ca="1" si="237"/>
        <v>0</v>
      </c>
      <c r="U109" s="59">
        <f t="shared" ca="1" si="238"/>
        <v>0</v>
      </c>
      <c r="V109" s="391">
        <f ca="1">MAX(0,MIN(Control!$C$100-Control!$C$99,$G109-Control!$C$99)*Control!$C$63)</f>
        <v>0</v>
      </c>
      <c r="W109" s="388">
        <f t="shared" ca="1" si="359"/>
        <v>0</v>
      </c>
      <c r="X109" s="388">
        <f t="shared" ca="1" si="360"/>
        <v>0.6110000000000001</v>
      </c>
      <c r="Y109" s="388">
        <f t="shared" ca="1" si="239"/>
        <v>0</v>
      </c>
      <c r="Z109" s="388">
        <f t="shared" ca="1" si="361"/>
        <v>0.61058800000000002</v>
      </c>
      <c r="AA109" s="388">
        <f t="shared" ca="1" si="240"/>
        <v>0.6018</v>
      </c>
      <c r="AB109" s="388">
        <f ca="1">101.3*EXP(-0.034*Control!$C$66/($G109+273))</f>
        <v>100.69623283836242</v>
      </c>
      <c r="AC109" s="392">
        <f t="shared" ca="1" si="241"/>
        <v>4.3460251046025113E-2</v>
      </c>
      <c r="AD109" s="392">
        <f t="shared" ca="1" si="242"/>
        <v>4.4450382862832649E-2</v>
      </c>
      <c r="AE109" s="388">
        <f t="shared" ca="1" si="243"/>
        <v>0</v>
      </c>
      <c r="AF109" s="388">
        <f ca="1">MAX(0,$G109-Control!$C$92)</f>
        <v>0</v>
      </c>
      <c r="AG109" s="393">
        <f t="shared" ca="1" si="244"/>
        <v>105</v>
      </c>
      <c r="AH109" s="389">
        <f t="shared" ca="1" si="245"/>
        <v>105</v>
      </c>
      <c r="AI109" s="388">
        <f t="shared" ca="1" si="362"/>
        <v>0.15887113423845767</v>
      </c>
      <c r="AJ109" s="388">
        <f ca="1">IF(Control!$C$60&lt;=0,$HH109,$HI109)</f>
        <v>1</v>
      </c>
      <c r="AK109" s="388">
        <f t="shared" ca="1" si="246"/>
        <v>0.43035515802599905</v>
      </c>
      <c r="AL109" s="388">
        <f t="shared" ca="1" si="247"/>
        <v>2.7049282952384953E-18</v>
      </c>
      <c r="AM109" s="388">
        <f t="shared" ca="1" si="248"/>
        <v>0.43035515802599905</v>
      </c>
      <c r="AN109" s="388">
        <f t="shared" ca="1" si="249"/>
        <v>0.16673104146286546</v>
      </c>
      <c r="AO109" s="388">
        <f ca="1">-0.10453/COS(Control!$B$8*PI()/180)*COS(AN109)</f>
        <v>-0.16743038111311812</v>
      </c>
      <c r="AP109" s="388">
        <f ca="1">ACOS(AO109-TAN(Control!$B$8*PI()/180)*TAN(AN109))</f>
        <v>1.9636606931244576</v>
      </c>
      <c r="AQ109" s="388">
        <f t="shared" ca="1" si="363"/>
        <v>0</v>
      </c>
      <c r="AR109" s="394">
        <f t="shared" ca="1" si="250"/>
        <v>0</v>
      </c>
      <c r="AS109" s="436">
        <f ca="1">IF(Control!$B$18=2,(IF(OR($AH109=Control!$B$175,$AH109=Control!$B$176,$AH109=Control!$B$177,$AH109=Control!$B$178,$AH109=Control!$B$179,$AH109=Control!$B$180,$AH109=Control!$B$181,$AH109=Control!$B$182,$AH109=Control!$B$183,$AH109=Control!$B$184,$AH109=Control!$B$185),1,0)),0)</f>
        <v>0</v>
      </c>
      <c r="AT109" s="436">
        <f>IF(Control!$B$20=8,IF(AND($AH109&gt;=Control!$B$172,$AH109&lt;=Control!$B$173),1,0),0)</f>
        <v>0</v>
      </c>
      <c r="AU109" s="436">
        <f>IF(Control!$B$20=8,IF($AV108=1,1*$AT109,IF($AT109=1,$AU108+1,$AU108)),0)</f>
        <v>0</v>
      </c>
      <c r="AV109" s="436">
        <f>IF(Control!$B$20=8,IF($AU109&gt;=Control!$B$174,1,0),0)</f>
        <v>0</v>
      </c>
      <c r="AW109" s="436">
        <f ca="1">IF(AND(Control!$B$18=2,Control!$B$171=1), $AV109, $AS109)</f>
        <v>0</v>
      </c>
      <c r="AX109" s="436" t="e">
        <f ca="1">IF(AND(Control!$B$18=1,$EU109&gt;=Control!$B$19),-$AY109,IF(AND(Control!$B$18=2,$AW109=1,$EU109&gt;$DS109),-$AY109, IF(Control!$C$108=0,0, IF(Control!$C$108&lt;&gt;0,1))))</f>
        <v>#N/A</v>
      </c>
      <c r="AY109" s="436" t="e">
        <f t="shared" ca="1" si="364"/>
        <v>#N/A</v>
      </c>
      <c r="AZ109" s="436" t="e">
        <f ca="1">IF(AND(Control!$B$18=1,$EB109&gt;Control!$B$19),$AZ108+1, IF(AND(Control!$B$18=2, $AW109=1, $EB109&gt;$DS109), $AZ108+1,$AZ108))</f>
        <v>#N/A</v>
      </c>
      <c r="BA109" s="587">
        <f>IF(Control!$C$81=0,1,IF($AH109&gt;=Control!$C$82,1,0))</f>
        <v>1</v>
      </c>
      <c r="BB109" s="140" t="e">
        <f ca="1">IF($BA109&gt;$BA108,Control!$C$83,IF($AW109&gt;0,$AW109*Control!$C$84,IF(AND(Control!$B$18=1,EN108&lt;&gt;0),Control!$C$84,0)))</f>
        <v>#N/A</v>
      </c>
      <c r="BC109" s="140" t="e">
        <f t="shared" ca="1" si="365"/>
        <v>#N/A</v>
      </c>
      <c r="BD109" s="140" t="e">
        <f ca="1">BC109*IF(OR($G109&lt;Control!$C$92,$G109&gt;Control!$C$95),0,IF(AND($G109&gt;=Control!$C$92,$G109&lt;=Control!$C$93),$G109-Control!$C$92,IF(AND($G109&gt;Control!$C$93,$G109&lt;=Control!$C$94),Control!$C$93-Control!$C$92,IF(AND($G109&gt;Control!$C$94,$G109&lt;=Control!$C$95),(Control!$C$93-Control!$C$92)*(Control!$C$94-$G109)/(Control!$C$95-Control!$C$94)))))</f>
        <v>#N/A</v>
      </c>
      <c r="BE109" s="140" t="e">
        <f t="shared" ca="1" si="366"/>
        <v>#N/A</v>
      </c>
      <c r="BF109" s="140" t="e">
        <f ca="1">IF($BE109&lt;=Control!$C$86,$BE109,Control!$C$86-$BE109)</f>
        <v>#N/A</v>
      </c>
      <c r="BG109" s="140" t="e">
        <f ca="1">IF(AND($AW109=1,Control!$C$84&lt;9),1,IF($BE109&gt;=Control!$C$86,0,$BC109))</f>
        <v>#N/A</v>
      </c>
      <c r="BH109" s="404" t="e">
        <f ca="1">IF($BG109=0,0,IF($BE109&lt;=Control!$C$86,$BC109*9*($BF109/Control!$C$86),0))</f>
        <v>#N/A</v>
      </c>
      <c r="BI109" s="140" t="e">
        <f ca="1">IF($BG109=1,0,IF($BE109&gt;=Control!$C$86,1,IF(AND($BB109&lt;21,$BB109&gt;=9),1,$BM108)))</f>
        <v>#N/A</v>
      </c>
      <c r="BJ109" s="140" t="e">
        <f ca="1">IF($BF109&lt;0,-$BF109,$BI109*IF(OR($G109&lt;Control!$C$92,$G109&gt;Control!$C$95),0,IF(AND($G109&gt;=Control!$C$92,$G109&lt;=Control!$C$93),$G109-Control!$C$92,IF(AND($G109&gt;Control!$C$93,$G109&lt;=Control!$C$94),Control!$C$93-Control!$C$92,IF(AND($G109&gt;Control!$C$94,$G109&lt;=Control!$C$95),(Control!$C$93-Control!$C$92)*(Control!$C$94-$G109)/(Control!$C$95-Control!$C$94))))))</f>
        <v>#N/A</v>
      </c>
      <c r="BK109" s="140" t="e">
        <f t="shared" ca="1" si="367"/>
        <v>#N/A</v>
      </c>
      <c r="BL109" s="140" t="e">
        <f ca="1">IF($BK109&lt;=Control!$C$87,$BK109,Control!$C$87-$BK109)</f>
        <v>#N/A</v>
      </c>
      <c r="BM109" s="140" t="e">
        <f ca="1">IF(AND($BB109&gt;=9,$BB109&lt;21),1,IF($BK109&gt;=Control!$C$87,0,$BI109))</f>
        <v>#N/A</v>
      </c>
      <c r="BN109" s="404" t="e">
        <f ca="1">IF($BM109=0,0,IF($BK109&lt;=Control!$C$87,$BI109*(9+(21-9)*($BL109/Control!$C$87)),0))</f>
        <v>#N/A</v>
      </c>
      <c r="BO109" s="140" t="e">
        <f ca="1">IF($BM109=1,0,IF($BK109&gt;=Control!$C$87,1,IF(AND($BB109&lt;30,$BB109&gt;=21),1,$BS108)))</f>
        <v>#N/A</v>
      </c>
      <c r="BP109" s="140" t="e">
        <f ca="1">IF($BL109&lt;0,-$BL109,$BO109*IF(OR($G109&lt;Control!$C$92,$G109&gt;Control!$C$95),0,IF(AND($G109&gt;=Control!$C$92,$G109&lt;=Control!$C$93),$G109-Control!$C$92,IF(AND($G109&gt;Control!$C$93,$G109&lt;=Control!$C$94),Control!$C$93-Control!$C$92,IF(AND($G109&gt;Control!$C$94,$G109&lt;=Control!$C$95),(Control!$C$93-Control!$C$92)*(Control!$C$94-$G109)/(Control!$C$95-Control!$C$94))))))</f>
        <v>#N/A</v>
      </c>
      <c r="BQ109" s="140" t="e">
        <f t="shared" ca="1" si="251"/>
        <v>#N/A</v>
      </c>
      <c r="BR109" s="140" t="e">
        <f ca="1">IF($BQ109&lt;=Control!$C$88,$BQ109,Control!$C$88-$BQ109)</f>
        <v>#N/A</v>
      </c>
      <c r="BS109" s="140" t="e">
        <f ca="1">IF(AND($BB109&gt;=21,$BB109&lt;30),1,IF($BQ109&gt;=Control!$C$88,0,$BO109))</f>
        <v>#N/A</v>
      </c>
      <c r="BT109" s="404" t="e">
        <f ca="1">IF($BS109=0,0,IF($BQ109&lt;=Control!$C$88,$BO109*(21+(30-21)*(BR109/Control!$C$88)),0))</f>
        <v>#N/A</v>
      </c>
      <c r="BU109" s="140" t="e">
        <f ca="1">IF(BG109+BM109+BS109=1,0,IF(OR(AND($BB109&lt;60,$BB109&gt;=30),$BQ109&gt;=Control!$C$88),1*$BA109,$BY108))</f>
        <v>#N/A</v>
      </c>
      <c r="BV109" s="140" t="e">
        <f ca="1">IF($BR109&lt;0,-$BR109,$BU109*IF(OR($G109&lt;Control!$C$92,$G109&gt;Control!$C$95),0,IF(AND($G109&gt;=Control!$C$92,$G109&lt;=Control!$C$93),$G109-Control!$C$92,IF(AND($G109&gt;Control!$C$93,$G109&lt;=Control!$C$94),Control!$C$93-Control!$C$92,IF(AND($G109&gt;Control!$C$94,$G109&lt;=Control!$C$95),(Control!$C$93-Control!$C$92)*(Control!$C$94-$G109)/(Control!$C$95-Control!$C$94))))))</f>
        <v>#N/A</v>
      </c>
      <c r="BW109" s="140" t="e">
        <f t="shared" ca="1" si="252"/>
        <v>#N/A</v>
      </c>
      <c r="BX109" s="140" t="e">
        <f ca="1">IF($BW109&lt;=Control!$C$89,$BW109,Control!$C$89-$BW109)</f>
        <v>#N/A</v>
      </c>
      <c r="BY109" s="140" t="e">
        <f ca="1">IF(AND($AJ109&gt;=30,$AJ109&lt;60),1,IF($BW109&gt;=Control!$C$89,0,$BU109))</f>
        <v>#N/A</v>
      </c>
      <c r="BZ109" s="404" t="e">
        <f ca="1">IF($BY109=0,0,IF($BW109&lt;=Control!$C$89,$BU109*(30+(60-30)*(BX109/Control!$C$89)),0))</f>
        <v>#N/A</v>
      </c>
      <c r="CA109" s="140" t="e">
        <f ca="1">IF($BG109+$BM109+$BS109+$BY109=1,0,IF(OR(AND($BB109&lt;65,$BB109&gt;=60),$BW109&gt;=Control!$C$89),1*$BA109,$CE108))</f>
        <v>#N/A</v>
      </c>
      <c r="CB109" s="140" t="e">
        <f ca="1">IF($BX109&lt;0,-$BX109,$CA109*IF(OR($G109&lt;Control!$C$92,$G109&gt;Control!$C$95),0,IF(AND($G109&gt;=Control!$C$92,$G109&lt;=Control!$C$93),$G109-Control!$C$92,IF(AND($G109&gt;Control!$C$93,$G109&lt;=Control!$C$94),Control!$C$93-Control!$C$92,IF(AND($G109&gt;Control!$C$94,$G109&lt;=Control!$C$95),(Control!$C$93-Control!$C$92)*(Control!$C$94-$G109)/(Control!$C$95-Control!$C$94))))))</f>
        <v>#N/A</v>
      </c>
      <c r="CC109" s="140" t="e">
        <f t="shared" ca="1" si="368"/>
        <v>#N/A</v>
      </c>
      <c r="CD109" s="140" t="e">
        <f ca="1">IF($CC109&lt;=Control!$C$90,$CC109,Control!$C$90-$CC109)</f>
        <v>#N/A</v>
      </c>
      <c r="CE109" s="140" t="e">
        <f ca="1">IF(AND($BB109&gt;=60,$BB109&lt;65),1,IF($CC109&gt;=Control!$C$90,0,$CA109))</f>
        <v>#N/A</v>
      </c>
      <c r="CF109" s="404" t="e">
        <f ca="1">IF($CE109=0,0,IF($CC109&lt;=Control!$C$90,$CA109*(60+(65-60)*(CD109/Control!$C$90)),0))</f>
        <v>#N/A</v>
      </c>
      <c r="CG109" s="140" t="e">
        <f ca="1">IF($BG109+$BM109+$BS109+$BY109+$CE109=1,0,IF(OR(AND($BB109&lt;90,$BB109&gt;=65),$CC109&gt;=Control!$C$90),$BA109,$CK108))</f>
        <v>#N/A</v>
      </c>
      <c r="CH109" s="140" t="e">
        <f ca="1">IF($CD109&lt;0,-$CD109,$CG109*IF(OR($G109&lt;Control!$C$92,$G109&gt;Control!$C$95),0,IF(AND($G109&gt;=Control!$C$92,$G109&lt;=Control!$C$93),$G109-Control!$C$92,IF(AND($G109&gt;Control!$C$93,$G109&lt;=Control!$C$94),Control!$C$93-Control!$C$92,IF(AND($G109&gt;Control!$C$94,$G109&lt;=Control!$C$95),(Control!$C$93-Control!$C$92)*(Control!$C$94-$G109)/(Control!$C$95-Control!$C$94))))))</f>
        <v>#N/A</v>
      </c>
      <c r="CI109" s="140" t="e">
        <f t="shared" ca="1" si="369"/>
        <v>#N/A</v>
      </c>
      <c r="CJ109" s="140" t="e">
        <f ca="1">IF($CI109&lt;=Control!$C$91,$CI109,Control!$C$91-$CI109)</f>
        <v>#N/A</v>
      </c>
      <c r="CK109" s="140" t="e">
        <f ca="1">IF(AND($BB109&gt;=65,$BB109&lt;90),1,IF($CI109&gt;=Control!$C$91,0,$CG109))</f>
        <v>#N/A</v>
      </c>
      <c r="CL109" s="404" t="e">
        <f ca="1">IF($CK109=0,0,IF($CI109&lt;=Control!$C$91,$CG109*(65+(90-65)*($CJ109/Control!$C$91)),0))</f>
        <v>#N/A</v>
      </c>
      <c r="CM109" s="140" t="e">
        <f ca="1">IF($BG109+$BM109+$BS109+$BY109+$CE109+$CK109=1,0,IF(OR($BB109&gt;=90,$CI109&gt;=Control!$C$91),$BA109,$CM108))</f>
        <v>#N/A</v>
      </c>
      <c r="CN109" s="140" t="e">
        <f t="shared" ca="1" si="370"/>
        <v>#N/A</v>
      </c>
      <c r="CO109" s="140" t="e">
        <f t="shared" ca="1" si="371"/>
        <v>#N/A</v>
      </c>
      <c r="CP109" s="140" t="e">
        <f t="shared" ca="1" si="372"/>
        <v>#N/A</v>
      </c>
      <c r="CQ109" s="141" t="e">
        <f ca="1">VLOOKUP($CP109,Control!$B$86:$G$91,6)</f>
        <v>#N/A</v>
      </c>
      <c r="CR109" s="141" t="e">
        <f ca="1">(1-$CQ109)*VLOOKUP($CP109,Control!$B$86:$D$91,3)</f>
        <v>#N/A</v>
      </c>
      <c r="CS109" s="141" t="e">
        <f ca="1">(1-$CQ109)*VLOOKUP($CP109,Control!$B$86:$E$91,4)</f>
        <v>#N/A</v>
      </c>
      <c r="CT109" s="141" t="e">
        <f ca="1">(1-$CQ109)*VLOOKUP($CP109,Control!$B$86:$F$91,5)</f>
        <v>#N/A</v>
      </c>
      <c r="CU109" s="141">
        <f t="shared" ca="1" si="373"/>
        <v>0</v>
      </c>
      <c r="CV109" s="583">
        <f t="shared" ca="1" si="374"/>
        <v>0</v>
      </c>
      <c r="CW109" s="142">
        <f t="shared" ca="1" si="375"/>
        <v>105</v>
      </c>
      <c r="CX109" s="612" t="e">
        <f ca="1">IF(Control!$C$114=1,(MIN(Control!$C$120*(IF($NT109-0.01&lt;0,0,1)),Control!$C$119-$CY109)))</f>
        <v>#DIV/0!</v>
      </c>
      <c r="CY109" s="143" t="e">
        <f t="shared" ca="1" si="376"/>
        <v>#N/A</v>
      </c>
      <c r="CZ109" s="144">
        <f t="shared" ca="1" si="253"/>
        <v>0</v>
      </c>
      <c r="DA109" s="144">
        <f t="shared" ca="1" si="254"/>
        <v>0</v>
      </c>
      <c r="DB109" s="144" t="e">
        <f t="shared" ca="1" si="255"/>
        <v>#N/A</v>
      </c>
      <c r="DC109" s="144" t="e">
        <f t="shared" ca="1" si="256"/>
        <v>#N/A</v>
      </c>
      <c r="DD109" s="144" t="e">
        <f t="shared" ca="1" si="461"/>
        <v>#N/A</v>
      </c>
      <c r="DE109" s="143" t="e">
        <f t="shared" ca="1" si="377"/>
        <v>#N/A</v>
      </c>
      <c r="DF109" s="145" t="e">
        <f ca="1">$DR109*EXP(-Control!$C$158*(1-$KH109))</f>
        <v>#N/A</v>
      </c>
      <c r="DG109" s="146" t="e">
        <f ca="1">IF(Control!$C$114=1, $DF109*$EY109, 0)</f>
        <v>#N/A</v>
      </c>
      <c r="DH109" s="147" t="e">
        <f t="shared" ca="1" si="378"/>
        <v>#N/A</v>
      </c>
      <c r="DI109" s="144" t="e">
        <f t="shared" ca="1" si="439"/>
        <v>#N/A</v>
      </c>
      <c r="DJ109" s="147" t="e">
        <f ca="1">$EF109*Control!$C$109</f>
        <v>#N/A</v>
      </c>
      <c r="DK109" s="144" t="e">
        <f t="shared" ca="1" si="379"/>
        <v>#N/A</v>
      </c>
      <c r="DL109" s="144" t="e">
        <f t="shared" ca="1" si="257"/>
        <v>#N/A</v>
      </c>
      <c r="DM109" s="144" t="e">
        <f ca="1">IF(Control!$C$114=1, (1-EXP(-Control!$C$96*$DK109))*$AR109, 0)</f>
        <v>#N/A</v>
      </c>
      <c r="DN109" s="144">
        <f t="shared" ca="1" si="380"/>
        <v>0</v>
      </c>
      <c r="DO109" s="148">
        <f>Control!$C$97</f>
        <v>4</v>
      </c>
      <c r="DP109" s="145" t="e">
        <f t="shared" ca="1" si="381"/>
        <v>#N/A</v>
      </c>
      <c r="DQ109" s="145" t="e">
        <f ca="1">IF(AND($CP109&gt;=0,$CP109&lt;=90),Control!$C$111,Control!$C$111)</f>
        <v>#N/A</v>
      </c>
      <c r="DR109" s="145" t="e">
        <f t="shared" ca="1" si="258"/>
        <v>#N/A</v>
      </c>
      <c r="DS109" s="143" t="e">
        <f ca="1">Control!$B$22/$DR109</f>
        <v>#N/A</v>
      </c>
      <c r="DT109" s="149" t="e">
        <f ca="1">IF(AND(Control!$C$114=1,$KH109&lt;1),$IM109*$DF109, 0)</f>
        <v>#N/A</v>
      </c>
      <c r="DU109" s="144" t="e">
        <f t="shared" ca="1" si="382"/>
        <v>#N/A</v>
      </c>
      <c r="DV109" s="144">
        <f ca="1">IF($G109-Control!$C$107&lt;=0, 0, 0.83*LN(MAX($G109, 3))-0.8924)</f>
        <v>0</v>
      </c>
      <c r="DW109" s="144" t="e">
        <f t="shared" ca="1" si="259"/>
        <v>#N/A</v>
      </c>
      <c r="DX109" s="150" t="e">
        <f ca="1">MAX(0.01*(1+$CU109/Control!$C$102),0.05*($DK109-Control!$C$97)/Control!$C$97)</f>
        <v>#N/A</v>
      </c>
      <c r="DY109" s="151" t="e">
        <f ca="1">IF(Control!$C$114=1, $DI109*$FS109, 0)</f>
        <v>#N/A</v>
      </c>
      <c r="DZ109" s="196" t="e">
        <f t="shared" ca="1" si="383"/>
        <v>#N/A</v>
      </c>
      <c r="EA109" s="152">
        <f t="shared" ca="1" si="384"/>
        <v>105</v>
      </c>
      <c r="EB109" s="153" t="e">
        <f t="shared" ca="1" si="385"/>
        <v>#N/A</v>
      </c>
      <c r="EC109" s="153" t="e">
        <f t="shared" ca="1" si="386"/>
        <v>#N/A</v>
      </c>
      <c r="ED109" s="154" t="e">
        <f ca="1">IF(Control!$C$114=1, $HM109*$FY109-$FD109, 0)</f>
        <v>#DIV/0!</v>
      </c>
      <c r="EE109" s="155" t="e">
        <f ca="1">IF(Control!$C$114=1, $HM109*$FZ109-$FF109, 0)</f>
        <v>#DIV/0!</v>
      </c>
      <c r="EF109" s="153" t="e">
        <f t="shared" ca="1" si="440"/>
        <v>#N/A</v>
      </c>
      <c r="EG109" s="155" t="e">
        <f ca="1">IF(Control!$C$114=1, $GX109*$FW109-$FI109, 0)</f>
        <v>#DIV/0!</v>
      </c>
      <c r="EH109" s="153" t="e">
        <f t="shared" ca="1" si="387"/>
        <v>#N/A</v>
      </c>
      <c r="EI109" s="156" t="e">
        <f t="shared" ca="1" si="388"/>
        <v>#N/A</v>
      </c>
      <c r="EJ109" s="155" t="e">
        <f ca="1">IF(Control!$C$114=1, $HM109*$GB109, 0)</f>
        <v>#DIV/0!</v>
      </c>
      <c r="EK109" s="153" t="e">
        <f t="shared" ca="1" si="441"/>
        <v>#N/A</v>
      </c>
      <c r="EL109" s="153" t="e">
        <f t="shared" ca="1" si="260"/>
        <v>#N/A</v>
      </c>
      <c r="EM109" s="153" t="e">
        <f t="shared" ca="1" si="261"/>
        <v>#N/A</v>
      </c>
      <c r="EN109" s="153" t="e">
        <f ca="1">IF(Control!$C$108=1,IF(AND(Control!$B$18=1,$EB109&gt;=Control!$B$19),$EB109-$DS109,IF(AND(Control!$B$18=2,$AW109=1,$EB109&gt;$DS109),$EB109-$DS109,0)))</f>
        <v>#N/A</v>
      </c>
      <c r="EO109" s="153" t="e">
        <f ca="1">IF(Control!$C$108=1,IF(AND(Control!$B$18=1,$EB109&gt;=Control!$B$19),$EF109,IF(AND(Control!$B$18=2,$AW109=1),$EF109,0)))</f>
        <v>#N/A</v>
      </c>
      <c r="EP109" s="153" t="e">
        <f ca="1">IF(Control!$C$108=1,IF(AND(Control!$B$18=1,$EB109&gt;=Control!$B$19),$EK109,IF(AND(Control!$B$18=2,$AW109=1),$EK109,0)))</f>
        <v>#N/A</v>
      </c>
      <c r="EQ109" s="153" t="e">
        <f t="shared" ca="1" si="389"/>
        <v>#N/A</v>
      </c>
      <c r="ER109" s="153" t="e">
        <f t="shared" ca="1" si="390"/>
        <v>#N/A</v>
      </c>
      <c r="ES109" s="153" t="e">
        <f t="shared" ca="1" si="442"/>
        <v>#N/A</v>
      </c>
      <c r="ET109" s="153" t="e">
        <f t="shared" ca="1" si="443"/>
        <v>#N/A</v>
      </c>
      <c r="EU109" s="153" t="e">
        <f t="shared" ca="1" si="391"/>
        <v>#N/A</v>
      </c>
      <c r="EV109" s="153" t="e">
        <f t="shared" ca="1" si="262"/>
        <v>#N/A</v>
      </c>
      <c r="EW109" s="153" t="e">
        <f t="shared" ca="1" si="263"/>
        <v>#N/A</v>
      </c>
      <c r="EX109" s="153" t="e">
        <f t="shared" ca="1" si="264"/>
        <v>#N/A</v>
      </c>
      <c r="EY109" s="157" t="e">
        <f t="shared" ca="1" si="265"/>
        <v>#DIV/0!</v>
      </c>
      <c r="EZ109" s="154" t="e">
        <f t="shared" ca="1" si="266"/>
        <v>#DIV/0!</v>
      </c>
      <c r="FA109" s="153" t="e">
        <f t="shared" ca="1" si="392"/>
        <v>#N/A</v>
      </c>
      <c r="FB109" s="153" t="e">
        <f t="shared" ca="1" si="267"/>
        <v>#N/A</v>
      </c>
      <c r="FC109" s="193" t="e">
        <f t="shared" ca="1" si="268"/>
        <v>#N/A</v>
      </c>
      <c r="FD109" s="158" t="e">
        <f t="shared" ca="1" si="393"/>
        <v>#N/A</v>
      </c>
      <c r="FE109" s="158" t="e">
        <f t="shared" ca="1" si="394"/>
        <v>#N/A</v>
      </c>
      <c r="FF109" s="159" t="e">
        <f t="shared" ca="1" si="269"/>
        <v>#N/A</v>
      </c>
      <c r="FG109" s="160" t="e">
        <f t="shared" ca="1" si="395"/>
        <v>#N/A</v>
      </c>
      <c r="FH109" s="158" t="e">
        <f t="shared" ca="1" si="396"/>
        <v>#N/A</v>
      </c>
      <c r="FI109" s="159" t="e">
        <f t="shared" ca="1" si="270"/>
        <v>#N/A</v>
      </c>
      <c r="FJ109" s="160" t="e">
        <f t="shared" ca="1" si="397"/>
        <v>#N/A</v>
      </c>
      <c r="FK109" s="160" t="e">
        <f t="shared" ca="1" si="271"/>
        <v>#N/A</v>
      </c>
      <c r="FL109" s="160" t="e">
        <f t="shared" ca="1" si="444"/>
        <v>#N/A</v>
      </c>
      <c r="FM109" s="160" t="e">
        <f t="shared" ca="1" si="272"/>
        <v>#N/A</v>
      </c>
      <c r="FN109" s="158">
        <f t="shared" ca="1" si="398"/>
        <v>0.01</v>
      </c>
      <c r="FO109" s="160">
        <f>Control!$C$101</f>
        <v>50</v>
      </c>
      <c r="FP109" s="150" t="e">
        <f t="shared" ca="1" si="273"/>
        <v>#N/A</v>
      </c>
      <c r="FQ109" s="150" t="e">
        <f ca="1">MAX(0,(Control!$C$112*(($DK109-Control!$C$97)/Control!$C$97)))</f>
        <v>#N/A</v>
      </c>
      <c r="FR109" s="150" t="e">
        <f ca="1">(1-$NT109)*Control!$C$113</f>
        <v>#DIV/0!</v>
      </c>
      <c r="FS109" s="198" t="e">
        <f t="shared" ca="1" si="274"/>
        <v>#N/A</v>
      </c>
      <c r="FT109" s="161">
        <f t="shared" ca="1" si="399"/>
        <v>105</v>
      </c>
      <c r="FU109" s="162" t="e">
        <f ca="1">IF(Control!$B$34=1,VLOOKUP($CP109,Control!$B$86:$G$91,6),Control!$B$35)</f>
        <v>#N/A</v>
      </c>
      <c r="FV109" s="162" t="e">
        <f t="shared" ca="1" si="275"/>
        <v>#DIV/0!</v>
      </c>
      <c r="FW109" s="162" t="e">
        <f ca="1">IF(Control!$B$31=1,$FU109*$FV109,  $FU109)</f>
        <v>#N/A</v>
      </c>
      <c r="FX109" s="162" t="e">
        <f ca="1">IF(Control!$B$34=1,VLOOKUP($CP109,Control!$B$86:$G$91,3),Control!$B$36)</f>
        <v>#N/A</v>
      </c>
      <c r="FY109" s="162" t="e">
        <f t="shared" ca="1" si="276"/>
        <v>#N/A</v>
      </c>
      <c r="FZ109" s="162" t="e">
        <f ca="1">IF(Control!$B$34=1,VLOOKUP($CP109,Control!$B$86:$G$91,4),Control!$B$37)</f>
        <v>#N/A</v>
      </c>
      <c r="GA109" s="162" t="e">
        <f t="shared" ca="1" si="277"/>
        <v>#N/A</v>
      </c>
      <c r="GB109" s="162" t="e">
        <f ca="1">IF(Control!$B$34=1,VLOOKUP($CP109,Control!$B$86:$G$91,5),Control!$B$38)</f>
        <v>#N/A</v>
      </c>
      <c r="GC109" s="162" t="e">
        <f t="shared" ca="1" si="400"/>
        <v>#N/A</v>
      </c>
      <c r="GD109" s="162">
        <f t="shared" ca="1" si="278"/>
        <v>1</v>
      </c>
      <c r="GE109" s="162">
        <f t="shared" ca="1" si="279"/>
        <v>1</v>
      </c>
      <c r="GF109" s="162">
        <f ca="1">IF(AND(Control!$C$104=1, Control!$C$62="F"),$GE109,1)</f>
        <v>1</v>
      </c>
      <c r="GG109" s="162" t="e">
        <f ca="1">IF(Control!$B$16=40,0,IF(AND(Control!$B$16&gt;40,Control!$B$16&lt;=360),(Control!$B$16-40)*((1-0)/(360-40)),IF(AND(Control!$B$16&gt;360,Control!$B$16&lt;=720),(1+(Control!$B$16-360)*((1.25-1)/(720-360))),IF(AND(Control!$B$16&gt;720,Control!$B$16&lt;=1000),(1.25+(Control!$B$16-720)*((1.35-1.25)/(1000-720))),IF(AND(Control!$B$16&gt;1000,Control!$B$16&lt;=2000),(1.35+(Control!$B$16-1000)*0))))))</f>
        <v>#N/A</v>
      </c>
      <c r="GH109" s="162" t="e">
        <f t="shared" ca="1" si="280"/>
        <v>#N/A</v>
      </c>
      <c r="GI109" s="162">
        <f t="shared" ca="1" si="401"/>
        <v>0</v>
      </c>
      <c r="GJ109" s="162">
        <f t="shared" ca="1" si="281"/>
        <v>0</v>
      </c>
      <c r="GK109" s="162">
        <f t="shared" ca="1" si="402"/>
        <v>1</v>
      </c>
      <c r="GL109" s="162">
        <f t="shared" ca="1" si="282"/>
        <v>1</v>
      </c>
      <c r="GM109" s="162" t="e">
        <f ca="1">MAX(0,MIN(1,1-Control!$C$156*(1.0001-$KH109)^2))</f>
        <v>#N/A</v>
      </c>
      <c r="GN109" s="162" t="e">
        <f ca="1">IF(Control!$B$26=1,$KU109,$KX109)</f>
        <v>#N/A</v>
      </c>
      <c r="GO109" s="162" t="e">
        <f ca="1">IF($CP109&lt;=60,Control!$C$105,IF($CP109&gt;=90,Control!$C$106,Control!$C$105+($CP109-60)*((Control!$C$106-Control!$C$105)/(90-60))))</f>
        <v>#N/A</v>
      </c>
      <c r="GP109" s="162" t="e">
        <f t="shared" ca="1" si="283"/>
        <v>#N/A</v>
      </c>
      <c r="GQ109" s="162" t="e">
        <f t="shared" ca="1" si="403"/>
        <v>#N/A</v>
      </c>
      <c r="GR109" s="163" t="e">
        <f t="shared" ca="1" si="284"/>
        <v>#DIV/0!</v>
      </c>
      <c r="GS109" s="162" t="e">
        <f t="shared" ca="1" si="285"/>
        <v>#DIV/0!</v>
      </c>
      <c r="GT109" s="164" t="e">
        <f t="shared" ca="1" si="404"/>
        <v>#N/A</v>
      </c>
      <c r="GU109" s="162" t="e">
        <f t="shared" ca="1" si="405"/>
        <v>#N/A</v>
      </c>
      <c r="GV109" s="162" t="e">
        <f t="shared" ca="1" si="286"/>
        <v>#N/A</v>
      </c>
      <c r="GW109" s="162" t="e">
        <f t="shared" ca="1" si="287"/>
        <v>#DIV/0!</v>
      </c>
      <c r="GX109" s="162" t="e">
        <f t="shared" ca="1" si="406"/>
        <v>#DIV/0!</v>
      </c>
      <c r="GY109" s="162" t="e">
        <f t="shared" ca="1" si="407"/>
        <v>#DIV/0!</v>
      </c>
      <c r="GZ109" s="165" t="e">
        <f t="shared" ca="1" si="288"/>
        <v>#N/A</v>
      </c>
      <c r="HA109" s="162" t="e">
        <f ca="1">IF(Control!$C$114=1, $DI109*$FS109, 0)</f>
        <v>#N/A</v>
      </c>
      <c r="HB109" s="162" t="e">
        <f ca="1">$FA109/Control!$C$64</f>
        <v>#N/A</v>
      </c>
      <c r="HC109" s="162" t="e">
        <f t="shared" ca="1" si="289"/>
        <v>#DIV/0!</v>
      </c>
      <c r="HD109" s="162">
        <f ca="1">-ASIN(SIN(23.45*Control!$C$139)*COS(2*Control!$C$138*($AH109+10)/365))</f>
        <v>0.15887113423845767</v>
      </c>
      <c r="HE109" s="165">
        <f t="shared" ca="1" si="408"/>
        <v>0</v>
      </c>
      <c r="HF109" s="166">
        <f ca="1">IF(AND(Control!$C$61="T",$HE109&gt;=Control!$C$103,Control!$C$114=0),$AH109,Control!$C$59)</f>
        <v>1</v>
      </c>
      <c r="HG109" s="166">
        <f ca="1">IF(AND(Control!$C$61="T",$HE109&gt;=Control!$C$103,Control!$C$114=0),$HF109,Control!$C$59)</f>
        <v>1</v>
      </c>
      <c r="HH109" s="165">
        <f ca="1">IF(AND(OR(Control!$C$60&lt;=0, $AH109= Control!$C$59, Control!$C$60 &gt;0, $AH109 = Control!$C$60)), Control!$C$59, IF(Control!$C$60&gt;0, 0))</f>
        <v>1</v>
      </c>
      <c r="HI109" s="165">
        <f ca="1">IF(AND(OR(Control!$C$60&lt;=0, $AH109= Control!$C$59, Control!$C$60 &gt;0, $AH109 = Control!$C$60)), Control!$C$60, IF(Control!$C$60&lt;=0, 0))</f>
        <v>0</v>
      </c>
      <c r="HJ109" s="166">
        <f ca="1">IF(AND(Control!$C$62="F",$CV109&gt;=Control!$C$102),$AH109,0)</f>
        <v>0</v>
      </c>
      <c r="HK109" s="165" t="e">
        <f t="shared" ca="1" si="445"/>
        <v>#N/A</v>
      </c>
      <c r="HL109" s="166">
        <f ca="1">IF(AND(Control!$C$61="T",$HE109&gt;=Control!$C$103,Control!$C$114=0),$HF109,0)</f>
        <v>0</v>
      </c>
      <c r="HM109" s="201" t="e">
        <f t="shared" ca="1" si="290"/>
        <v>#DIV/0!</v>
      </c>
      <c r="HN109" s="215">
        <f t="shared" ca="1" si="409"/>
        <v>105</v>
      </c>
      <c r="HO109" s="216" t="e">
        <f ca="1">IF(AND($CP109&gt;=0, $CP109&lt;=90), Control!$C$152, Control!$C$152)</f>
        <v>#N/A</v>
      </c>
      <c r="HP109" s="216" t="e">
        <f t="shared" ca="1" si="291"/>
        <v>#N/A</v>
      </c>
      <c r="HQ109" s="217" t="e">
        <f ca="1">IF(OR(Control!$B$26=1,Control!$B$26=2),$KV109,$KS109)</f>
        <v>#DIV/0!</v>
      </c>
      <c r="HR109" s="218" t="e">
        <f t="shared" ca="1" si="446"/>
        <v>#DIV/0!</v>
      </c>
      <c r="HS109" s="216" t="e">
        <f ca="1">Control!$C$154*$HP109</f>
        <v>#N/A</v>
      </c>
      <c r="HT109" s="216" t="e">
        <f ca="1">Control!$C$155*$HP109</f>
        <v>#N/A</v>
      </c>
      <c r="HU109" s="217" t="e">
        <f ca="1">Control!$C$161*$FI109</f>
        <v>#N/A</v>
      </c>
      <c r="HV109" s="218" t="e">
        <f t="shared" ca="1" si="410"/>
        <v>#N/A</v>
      </c>
      <c r="HW109" s="218" t="e">
        <f ca="1">Control!$C$160*$FF109+$IP109*$EO109</f>
        <v>#N/A</v>
      </c>
      <c r="HX109" s="218" t="e">
        <f t="shared" ca="1" si="447"/>
        <v>#N/A</v>
      </c>
      <c r="HY109" s="219" t="e">
        <f ca="1">IF(Control!$C$114=1, $EB109*$FS109, 0)</f>
        <v>#N/A</v>
      </c>
      <c r="HZ109" s="91" t="e">
        <f t="shared" ca="1" si="292"/>
        <v>#N/A</v>
      </c>
      <c r="IA109" s="220" t="e">
        <f ca="1">Control!$C$153*$HO109</f>
        <v>#N/A</v>
      </c>
      <c r="IB109" s="218" t="e">
        <f t="shared" ca="1" si="293"/>
        <v>#N/A</v>
      </c>
      <c r="IC109" s="220" t="e">
        <f ca="1">Control!$C$153*$HT109</f>
        <v>#N/A</v>
      </c>
      <c r="ID109" s="218" t="e">
        <f t="shared" ca="1" si="294"/>
        <v>#N/A</v>
      </c>
      <c r="IE109" s="221" t="e">
        <f ca="1">($EB109*Control!$C$159+$EF109*Control!$C$160)/(IF($GZ109&lt;&gt;0,$GZ109,1))</f>
        <v>#N/A</v>
      </c>
      <c r="IF109" s="216" t="e">
        <f t="shared" ca="1" si="295"/>
        <v>#N/A</v>
      </c>
      <c r="IG109" s="91">
        <f ca="1">IF(OR(Control!$B$198=$AH109,Control!$B$199=$AH109, Control!$B$200=$AH109, Control!$B$201=$AH109, Control!$B$202=$AH109, Control!$B$203=$AH109, Control!$B$204=$AH109, Control!$B$205=$AH109, Control!$B$206=$AH109, Control!$B$207=$AH109), 1, 0)</f>
        <v>0</v>
      </c>
      <c r="IH109" s="91">
        <f ca="1">IF($IG109=0,0, VLOOKUP($AH109,Control!$B$198:$C$207,2))</f>
        <v>0</v>
      </c>
      <c r="II109" s="222">
        <f t="shared" ca="1" si="411"/>
        <v>0</v>
      </c>
      <c r="IJ109" s="91">
        <f>Control!$C$121</f>
        <v>0.7</v>
      </c>
      <c r="IK109" s="218">
        <f t="shared" ca="1" si="296"/>
        <v>0</v>
      </c>
      <c r="IL109" s="217" t="e">
        <f t="shared" ca="1" si="448"/>
        <v>#N/A</v>
      </c>
      <c r="IM109" s="223" t="e">
        <f ca="1">IF(AND(Control!$C$114=1,$KH109&lt;1),$EB109*Control!$C$148*(1-$KH109), 0)</f>
        <v>#N/A</v>
      </c>
      <c r="IN109" s="217" t="e">
        <f t="shared" ca="1" si="297"/>
        <v>#DIV/0!</v>
      </c>
      <c r="IO109" s="91" t="e">
        <f ca="1">MAX(0,$IL109-$EF109*Control!$C$160)</f>
        <v>#N/A</v>
      </c>
      <c r="IP109" s="220" t="e">
        <f t="shared" ca="1" si="298"/>
        <v>#N/A</v>
      </c>
      <c r="IQ109" s="217" t="e">
        <f t="shared" ca="1" si="412"/>
        <v>#N/A</v>
      </c>
      <c r="IR109" s="218" t="e">
        <f t="shared" ca="1" si="299"/>
        <v>#N/A</v>
      </c>
      <c r="IS109" s="217" t="e">
        <f ca="1">Control!$C$159*MAX(0,$FD109-$EN109)</f>
        <v>#N/A</v>
      </c>
      <c r="IT109" s="217" t="e">
        <f t="shared" ca="1" si="449"/>
        <v>#N/A</v>
      </c>
      <c r="IU109" s="217" t="e">
        <f t="shared" ca="1" si="413"/>
        <v>#N/A</v>
      </c>
      <c r="IV109" s="217" t="e">
        <f t="shared" ca="1" si="450"/>
        <v>#N/A</v>
      </c>
      <c r="IW109" s="217" t="e">
        <f ca="1">IF(OR($AW109=1,AND($AW109=0, Control!$B$18=1,$EN109&lt;&gt;0)), $IQ109-$IU109, $IQ109)</f>
        <v>#N/A</v>
      </c>
      <c r="IX109" s="218" t="e">
        <f t="shared" ca="1" si="300"/>
        <v>#N/A</v>
      </c>
      <c r="IY109" s="218" t="e">
        <f ca="1">MAX(0,$IQ109-$EB109*Control!$C$159)</f>
        <v>#N/A</v>
      </c>
      <c r="IZ109" s="218" t="e">
        <f t="shared" ca="1" si="301"/>
        <v>#N/A</v>
      </c>
      <c r="JA109" s="216" t="e">
        <f t="shared" ca="1" si="302"/>
        <v>#N/A</v>
      </c>
      <c r="JB109" s="217" t="e">
        <f t="shared" ca="1" si="303"/>
        <v>#N/A</v>
      </c>
      <c r="JC109" s="222" t="e">
        <f ca="1">MAX(Control!$C$157*$EK109-$JT109, 0)/Control!$C$162</f>
        <v>#N/A</v>
      </c>
      <c r="JD109" s="218" t="e">
        <f t="shared" ca="1" si="304"/>
        <v>#N/A</v>
      </c>
      <c r="JE109" s="218" t="e">
        <f t="shared" ca="1" si="305"/>
        <v>#N/A</v>
      </c>
      <c r="JF109" s="218" t="e">
        <f t="shared" ca="1" si="414"/>
        <v>#N/A</v>
      </c>
      <c r="JG109" s="218" t="e">
        <f t="shared" ca="1" si="306"/>
        <v>#N/A</v>
      </c>
      <c r="JH109" s="217" t="e">
        <f t="shared" ca="1" si="415"/>
        <v>#N/A</v>
      </c>
      <c r="JI109" s="217" t="e">
        <f t="shared" ca="1" si="416"/>
        <v>#N/A</v>
      </c>
      <c r="JJ109" s="217" t="e">
        <f t="shared" ca="1" si="451"/>
        <v>#N/A</v>
      </c>
      <c r="JK109" s="217" t="e">
        <f ca="1">IF(Control!$C$114=1,IF(Control!$B$24=0,MAX(0,$JI109)*$GN109/Control!$C$64,(MAX(0,MIN($JI109,$JJ109*$GN109/Control!$C$64),0))))</f>
        <v>#N/A</v>
      </c>
      <c r="JL109" s="217" t="e">
        <f ca="1">$IK109/Control!$C$64-$JK109+$HQ109</f>
        <v>#N/A</v>
      </c>
      <c r="JM109" s="217" t="e">
        <f ca="1">IF(Control!$C$114=1,($JB109/(IF($JI109&lt;&gt;0,$JI109,1)))*$JK109,0)</f>
        <v>#N/A</v>
      </c>
      <c r="JN109" s="217" t="e">
        <f ca="1">IF(Control!$C$114=1,($JG109/(IF($JI109&lt;&gt;0,$JI109,1)))*$JK109, 0)</f>
        <v>#N/A</v>
      </c>
      <c r="JO109" s="218" t="e">
        <f t="shared" ca="1" si="307"/>
        <v>#N/A</v>
      </c>
      <c r="JP109" s="218" t="e">
        <f ca="1">MIN(($IY109+$IO109)*Control!$C$151, $JF109-$EH109*Control!$C$161)</f>
        <v>#N/A</v>
      </c>
      <c r="JQ109" s="218" t="e">
        <f t="shared" ca="1" si="308"/>
        <v>#N/A</v>
      </c>
      <c r="JR109" s="217" t="e">
        <f ca="1">IF($CP109-Control!$C$150&lt;0, 0, $JQ109/Control!$C$162)</f>
        <v>#N/A</v>
      </c>
      <c r="JS109" s="218" t="e">
        <f t="shared" ca="1" si="309"/>
        <v>#N/A</v>
      </c>
      <c r="JT109" s="218" t="e">
        <f t="shared" ca="1" si="417"/>
        <v>#N/A</v>
      </c>
      <c r="JU109" s="218" t="e">
        <f t="shared" ca="1" si="310"/>
        <v>#N/A</v>
      </c>
      <c r="JV109" s="218" t="e">
        <f t="shared" ca="1" si="311"/>
        <v>#N/A</v>
      </c>
      <c r="JW109" s="216" t="e">
        <f t="shared" ca="1" si="312"/>
        <v>#N/A</v>
      </c>
      <c r="JX109" s="91" t="e">
        <f t="shared" ca="1" si="313"/>
        <v>#N/A</v>
      </c>
      <c r="JY109" s="218" t="e">
        <f t="shared" ca="1" si="314"/>
        <v>#N/A</v>
      </c>
      <c r="JZ109" s="217" t="e">
        <f ca="1">IF(Control!$C$114=1,($IZ109/(IF($JI109&lt;&gt;0,$JI109,1)))*$JK109, 0)</f>
        <v>#N/A</v>
      </c>
      <c r="KA109" s="218" t="e">
        <f t="shared" ca="1" si="452"/>
        <v>#N/A</v>
      </c>
      <c r="KB109" s="218" t="e">
        <f t="shared" ca="1" si="418"/>
        <v>#N/A</v>
      </c>
      <c r="KC109" s="218" t="e">
        <f t="shared" ca="1" si="315"/>
        <v>#N/A</v>
      </c>
      <c r="KD109" s="218" t="e">
        <f t="shared" ca="1" si="316"/>
        <v>#N/A</v>
      </c>
      <c r="KE109" s="218" t="e">
        <f t="shared" ca="1" si="317"/>
        <v>#N/A</v>
      </c>
      <c r="KF109" s="218" t="e">
        <f t="shared" ca="1" si="318"/>
        <v>#N/A</v>
      </c>
      <c r="KG109" s="216" t="e">
        <f t="shared" ca="1" si="319"/>
        <v>#N/A</v>
      </c>
      <c r="KH109" s="221" t="e">
        <f ca="1">IF(Control!$B$24=0,1,MAX(0.001,MIN(1,IF(($IF109-$IE109)&lt;&gt;0,($KG109-$IE109)/($IF109-$IE109),1))))</f>
        <v>#N/A</v>
      </c>
      <c r="KI109" s="222" t="e">
        <f ca="1">IF(Control!$C$114=1, $KI108+ $KH108, 0)</f>
        <v>#N/A</v>
      </c>
      <c r="KJ109" s="217" t="e">
        <f t="shared" ca="1" si="320"/>
        <v>#N/A</v>
      </c>
      <c r="KK109" s="218" t="e">
        <f t="shared" ca="1" si="321"/>
        <v>#N/A</v>
      </c>
      <c r="KL109" s="274" t="e">
        <f ca="1">IF(Control!$B$26=3,4000000000*EXP(-8400/($G109+273)),IF(Control!$B$26=4,4000000000*EXP(-8400/($G109+273))*($KT109),0))</f>
        <v>#DIV/0!</v>
      </c>
      <c r="KM109" s="274" t="e">
        <f ca="1">IF(Control!$B$26=3,5600000000000*EXP(-9800/($G109+273)),IF(Control!$B$26=4,5600000000000*EXP(-9800/($G109+273))*$KT109,0))</f>
        <v>#DIV/0!</v>
      </c>
      <c r="KN109" s="454" t="e">
        <f t="shared" ca="1" si="419"/>
        <v>#DIV/0!</v>
      </c>
      <c r="KO109" s="274" t="e">
        <f t="shared" ca="1" si="420"/>
        <v>#DIV/0!</v>
      </c>
      <c r="KP109" s="454" t="e">
        <f t="shared" ca="1" si="322"/>
        <v>#DIV/0!</v>
      </c>
      <c r="KQ109" s="454" t="e">
        <f t="shared" ca="1" si="323"/>
        <v>#DIV/0!</v>
      </c>
      <c r="KR109" s="454" t="e">
        <f t="shared" ca="1" si="324"/>
        <v>#DIV/0!</v>
      </c>
      <c r="KS109" s="454" t="e">
        <f t="shared" ca="1" si="325"/>
        <v>#DIV/0!</v>
      </c>
      <c r="KT109" s="455" t="e">
        <f t="shared" ca="1" si="326"/>
        <v>#DIV/0!</v>
      </c>
      <c r="KU109" s="456" t="e">
        <f ca="1">IF($CP109-Control!$C$149&lt;0, IF($NT109-0.01&lt;0,0,1),0)</f>
        <v>#N/A</v>
      </c>
      <c r="KV109" s="456" t="e">
        <f ca="1">IF(Control!$C$114=1,MAX(0,MIN(Control!$C$125*$KW109*$GN109,$KW109)))</f>
        <v>#DIV/0!</v>
      </c>
      <c r="KW109" s="456" t="e">
        <f t="shared" ca="1" si="453"/>
        <v>#DIV/0!</v>
      </c>
      <c r="KX109" s="457" t="e">
        <f ca="1">IF($CP109-Control!$C$149&lt;0, IF($MR109-$OM109&lt;0,0,1),0)</f>
        <v>#N/A</v>
      </c>
      <c r="KY109" s="167">
        <f t="shared" ca="1" si="421"/>
        <v>105</v>
      </c>
      <c r="KZ109" s="168">
        <f ca="1">1370*(1+0.033*COS(2*Control!$C$138*$AH109/365))</f>
        <v>1359.398458516341</v>
      </c>
      <c r="LA109" s="169">
        <f t="shared" ca="1" si="422"/>
        <v>0.99226178414417643</v>
      </c>
      <c r="LB109" s="169">
        <f t="shared" ca="1" si="423"/>
        <v>0.16583675497620104</v>
      </c>
      <c r="LC109" s="169">
        <f ca="1">ACOS(-TAN((2*Control!$B$8/360))*TAN(Calculations!$LB109))</f>
        <v>1.6205609234129104</v>
      </c>
      <c r="LD109" s="169">
        <f ca="1">((24*60)/PI())*0.082*$LA109*(($LC109*SIN(Control!$B$8*2*PI()/360))*SIN($LB109)+COS(Control!$B$8*2*PI()/360)*COS($LB109)*SIN($LC109))</f>
        <v>30.48025632457411</v>
      </c>
      <c r="LE109" s="170">
        <f t="shared" ca="1" si="327"/>
        <v>30.521837006069198</v>
      </c>
      <c r="LF109" s="170">
        <f ca="1">SIN(Control!$C$139*Control!$B$8)*SIN($HD109)</f>
        <v>0.12466639067939191</v>
      </c>
      <c r="LG109" s="170">
        <f ca="1">COS(Control!$C$139*Control!$B$8)*COS($HD109)</f>
        <v>0.60790649315881851</v>
      </c>
      <c r="LH109" s="170">
        <f ca="1">12*(1+2*ASIN(MAX(-1,MIN(1,$LF109/$LG109))/Control!$C$138))</f>
        <v>13.567768268958938</v>
      </c>
      <c r="LI109" s="170">
        <f ca="1">12*(1+2*ASIN(MAX(-1,MIN(1,(-SIN(-4*Control!$C$139)+$LF109)/$LG109))/Control!$C$138))</f>
        <v>14.447509003153396</v>
      </c>
      <c r="LJ109" s="168">
        <f ca="1">3600*($LH109*$LF109+24*$LG109*SQRT(1-$LK109*$LK109)/Control!$C$138)</f>
        <v>22452.458155190929</v>
      </c>
      <c r="LK109" s="170">
        <f t="shared" ca="1" si="328"/>
        <v>0.20507494504886331</v>
      </c>
      <c r="LL109" s="170">
        <f t="shared" ca="1" si="329"/>
        <v>0</v>
      </c>
      <c r="LM109" s="171">
        <f ca="1">Control!$C$145*$AB109</f>
        <v>6.6660906138995932E-2</v>
      </c>
      <c r="LN109" s="170">
        <f t="shared" ca="1" si="424"/>
        <v>0.54</v>
      </c>
      <c r="LO109" s="170">
        <f t="shared" ca="1" si="330"/>
        <v>0</v>
      </c>
      <c r="LP109" s="170">
        <f ca="1">Control!$C$140*((($D109+273.16)^4+($E109+273.16)^4)/2)*(0.34-0.14*SQRT($Y109))*(1.35*$AQ109/(0.75*$LD109)-0.35)</f>
        <v>-3.2464704755046001</v>
      </c>
      <c r="LQ109" s="170">
        <f ca="1">Control!$C$140*($G109+273)^4*(0.56-0.079*SQRT($Y109*10))*(0.1+0.9*$LO109)</f>
        <v>1.5241745131704001</v>
      </c>
      <c r="LR109" s="170">
        <f ca="1">$AQ109*(1-Control!$C$142)-$LQ109</f>
        <v>-1.5241745131704001</v>
      </c>
      <c r="LS109" s="170">
        <f ca="1">$AQ109*(1-Control!$C$143)-$LQ109</f>
        <v>-1.5241745131704001</v>
      </c>
      <c r="LT109" s="170">
        <f ca="1">$AQ109*(1-Control!$C$144)-$LQ109</f>
        <v>-1.5241745131704001</v>
      </c>
      <c r="LU109" s="169">
        <f ca="1">(1-Control!$C$144)*AQ109-LP109</f>
        <v>3.2464704755046001</v>
      </c>
      <c r="LV109" s="172">
        <f t="shared" ca="1" si="331"/>
        <v>0.79430000000000012</v>
      </c>
      <c r="LW109" s="170">
        <f t="shared" ca="1" si="332"/>
        <v>1.5886000000000002</v>
      </c>
      <c r="LX109" s="170">
        <f ca="1">($AC109*($LR109/Control!$C$141)+$LM109*$LV109)/($AC109+$LM109)</f>
        <v>0.23530094218323697</v>
      </c>
      <c r="LY109" s="170">
        <f ca="1">($AC109*($LS109/Control!$C$141)+$LM109*$LV109)/($AC109+$LM109)</f>
        <v>0.23530094218323697</v>
      </c>
      <c r="LZ109" s="170">
        <f t="shared" ca="1" si="333"/>
        <v>0.23530094218323697</v>
      </c>
      <c r="MA109" s="170">
        <f t="shared" ca="1" si="334"/>
        <v>0.23530094218323697</v>
      </c>
      <c r="MB109" s="170" t="e">
        <f t="shared" ca="1" si="335"/>
        <v>#N/A</v>
      </c>
      <c r="MC109" s="170">
        <f t="shared" ca="1" si="425"/>
        <v>0.6018</v>
      </c>
      <c r="MD109" s="170">
        <f t="shared" ca="1" si="336"/>
        <v>0.52989392535414004</v>
      </c>
      <c r="ME109" s="170">
        <f ca="1">($AC109*($LT109/Control!$C$141)+$LM109*$LW109)/($AC109+$LM109)</f>
        <v>0.71612369323045078</v>
      </c>
      <c r="MF109" s="170" t="e">
        <f ca="1">IF(Control!$B$16&gt;=1000,0.92,IF(AND(720&lt;=Control!$B$16,1000&gt;Control!$B$16),(0.95+(Control!$B$16-720)*((0.92-0.95)/(1000-720))),IF(AND(360&lt;=Control!$B$16,720&gt;Control!$B$16),(1+(Control!$B$16-360)*((0.95-1)/(720-360))),IF(AND(40&lt;=Control!$B$16,360&gt;Control!$B$16),(1.05+(Control!$B$16-40)*((1.05-1)/(360-40)))))))</f>
        <v>#N/A</v>
      </c>
      <c r="MG109" s="170">
        <f t="shared" ca="1" si="337"/>
        <v>0.71612369323045078</v>
      </c>
      <c r="MH109" s="170" t="e">
        <f t="shared" ca="1" si="463"/>
        <v>#N/A</v>
      </c>
      <c r="MI109" s="170" t="e">
        <f t="shared" ca="1" si="463"/>
        <v>#N/A</v>
      </c>
      <c r="MJ109" s="170" t="e">
        <f ca="1">MAX(0.0001, Control!$C$132*$MI109*$DL109)</f>
        <v>#N/A</v>
      </c>
      <c r="MK109" s="170">
        <f ca="1">1/(0.76+1.5*($MG109/10))-(5-Control!$C$110)*0.1</f>
        <v>1.002845988140797</v>
      </c>
      <c r="ML109" s="173">
        <f ca="1">IF(Control!$C$110&lt;3,$MK109+($MG109-0.6)/(Control!$C$110*(Control!$C$110+3)), MAX(0.1, MIN(0.95,$MK109)))</f>
        <v>0.95</v>
      </c>
      <c r="MM109" s="173">
        <f ca="1">IF(Control!$C$110&lt;3,$MK109+(($MI109/10)-0.6)/(Control!$C$110*(Control!$C$110+3)), MAX(0.1, MIN(0.95,$MK109)))</f>
        <v>0.95</v>
      </c>
      <c r="MN109" s="173">
        <f ca="1">(1-$MM109)*(Control!$C$128-Control!$C$127)+Control!$C$127</f>
        <v>0.16</v>
      </c>
      <c r="MO109" s="170" t="e">
        <f ca="1">MAX(0,MIN(1,($MS109-Control!$C$127)/($MN109-Control!$C$127)))</f>
        <v>#DIV/0!</v>
      </c>
      <c r="MP109" s="173" t="e">
        <f ca="1">1/(0.76+1.5*$MI109)-(5-Control!$C$110)*0.1</f>
        <v>#N/A</v>
      </c>
      <c r="MQ109" s="172" t="e">
        <f t="shared" ca="1" si="454"/>
        <v>#DIV/0!</v>
      </c>
      <c r="MR109" s="168" t="e">
        <f t="shared" ca="1" si="426"/>
        <v>#DIV/0!</v>
      </c>
      <c r="MS109" s="173" t="e">
        <f ca="1">MAX(Control!$C$127, MIN(Control!$C$135, $MR109/MAX(0.0001,$CY109)))</f>
        <v>#DIV/0!</v>
      </c>
      <c r="MT109" s="168" t="e">
        <f ca="1">(Control!$C$128-$MS109)*Control!$C$74</f>
        <v>#DIV/0!</v>
      </c>
      <c r="MU109" s="168" t="e">
        <f ca="1">(Control!$C$135-$MS109)*Control!$C$74</f>
        <v>#DIV/0!</v>
      </c>
      <c r="MV109" s="168" t="e">
        <f t="shared" ca="1" si="427"/>
        <v>#DIV/0!</v>
      </c>
      <c r="MW109" s="168" t="e">
        <f t="shared" ca="1" si="428"/>
        <v>#DIV/0!</v>
      </c>
      <c r="MX109" s="171" t="e">
        <f ca="1">MAX(Control!$C$127, MIN(Control!$C$135, $MW109/MAX(0.0001,Control!$C$119-$CY109)))</f>
        <v>#DIV/0!</v>
      </c>
      <c r="MY109" s="54" t="e">
        <f ca="1">IF(Control!$C$114=1, $CX109*$MX109, 0)</f>
        <v>#DIV/0!</v>
      </c>
      <c r="MZ109" s="54" t="e">
        <f t="shared" ca="1" si="429"/>
        <v>#N/A</v>
      </c>
      <c r="NA109" s="168" t="e">
        <f ca="1">(Control!$C$128-$MX109)*(Control!$C$119-Control!$C$74)</f>
        <v>#DIV/0!</v>
      </c>
      <c r="NB109" s="168" t="e">
        <f ca="1">(Control!$C$135-$MX109)*(Control!$C$119-Control!$C$74)</f>
        <v>#DIV/0!</v>
      </c>
      <c r="NC109" s="174" t="e">
        <f t="shared" ca="1" si="430"/>
        <v>#DIV/0!</v>
      </c>
      <c r="ND109" s="54">
        <f ca="1">IF(Control!$C$58=2, IF(OR(Control!$B$218=$AH109,Control!$B$219=$AH109, Control!$B$220=$AH109, Control!$B$221=$AH109, Control!$B$222=$AH109, Control!$B$223=$AH109, Control!$B$224=$AH109, Control!$B$225=$AH109, Control!$B$226=$AH109, Control!$B$227=$AH109, Control!$B$228=$AH109), 1, 0), 0)</f>
        <v>0</v>
      </c>
      <c r="NE109" s="54">
        <f ca="1">IF($ND109=0,0, VLOOKUP($AH109,Control!$B$218:$C$228,2))</f>
        <v>0</v>
      </c>
      <c r="NF109" s="168" t="e">
        <f ca="1">$CY109*(Control!$C$128-Control!$C$127)</f>
        <v>#N/A</v>
      </c>
      <c r="NG109" s="54" t="e">
        <f ca="1">IF(Control!$C$58=2, $NI108-$NJ108, 0)</f>
        <v>#DIV/0!</v>
      </c>
      <c r="NH109" s="54" t="e">
        <f ca="1">IF(AND(Control!$C$58=1, $MS108&lt;= ($MN108+0.02), $I108&lt;10), 0, IF(Control!$C$58=2, $NG108, 0))</f>
        <v>#DIV/0!</v>
      </c>
      <c r="NI109" s="54" t="e">
        <f ca="1">IF(Control!$C$58=2, $NE109+$NH109,0)</f>
        <v>#DIV/0!</v>
      </c>
      <c r="NJ109" s="54" t="e">
        <f ca="1">IF(AND(Control!$C$58=1, $MS109&lt;= ($MN109+0.02), $I109&lt;10), MAX(0, MIN(10, 0.7*($NF109-$MV109))), IF(Control!$C$58=2, MIN(10,$NI109),0))</f>
        <v>#DIV/0!</v>
      </c>
      <c r="NK109" s="54" t="e">
        <f t="shared" ca="1" si="338"/>
        <v>#DIV/0!</v>
      </c>
      <c r="NL109" s="173" t="e">
        <f ca="1">(1-Control!$C$73)*$I109+$NJ109</f>
        <v>#DIV/0!</v>
      </c>
      <c r="NM109" s="172" t="e">
        <f ca="1">IF($NL109&lt;0.5, $MB109* MAX(0, MIN(1, (SQRT($NC109)-SQRT($NC109-1))*Control!$C$71)),0)</f>
        <v>#DIV/0!</v>
      </c>
      <c r="NN109" s="170" t="e">
        <f ca="1">IF($NL109&gt;=5, $MB109, MAX(0,MIN($MB109, $NM109+$NL109,($MS109-Control!$C$129))))</f>
        <v>#DIV/0!</v>
      </c>
      <c r="NO109" s="54">
        <f>IF(Control!$C$133&lt;&gt;1, Control!$C$135-Control!$C$131, 0)</f>
        <v>0.38</v>
      </c>
      <c r="NP109" s="54" t="e">
        <f t="shared" ca="1" si="339"/>
        <v>#DIV/0!</v>
      </c>
      <c r="NQ109" s="173" t="e">
        <f ca="1">MAX(0,MIN(1,(Control!$C$135-$MS109)/(Control!$C$135-$NO109)))</f>
        <v>#DIV/0!</v>
      </c>
      <c r="NR109" s="170" t="e">
        <f ca="1">IF(Control!$C$133&lt;&gt;1, $NQ109+((1-$NP109/4)*(1-$NQ109)),1)</f>
        <v>#DIV/0!</v>
      </c>
      <c r="NS109" s="170" t="e">
        <f ca="1">IF(Control!$B$31=0,$MJ109,MAX(0,MIN($MV109,$MO109*$NR109*$MJ109)))</f>
        <v>#DIV/0!</v>
      </c>
      <c r="NT109" s="170" t="e">
        <f t="shared" ca="1" si="455"/>
        <v>#DIV/0!</v>
      </c>
      <c r="NU109" s="170" t="e">
        <f t="shared" ca="1" si="431"/>
        <v>#N/A</v>
      </c>
      <c r="NV109" s="170" t="e">
        <f t="shared" ca="1" si="340"/>
        <v>#N/A</v>
      </c>
      <c r="NW109" s="175" t="e">
        <f t="shared" ca="1" si="341"/>
        <v>#DIV/0!</v>
      </c>
      <c r="NX109" s="170" t="e">
        <f ca="1">MIN(Control!$C$72+$MU109, $NW109)</f>
        <v>#DIV/0!</v>
      </c>
      <c r="NY109" s="170" t="e">
        <f ca="1">IF($MT109&lt;=$NX109,MIN(Control!$C$72+$NB109,$NX109-$MT109),0)</f>
        <v>#DIV/0!</v>
      </c>
      <c r="NZ109" s="54" t="e">
        <f ca="1">IF(Control!$C$114=1,  $CX109*($MX109-Control!$C$127), 0)</f>
        <v>#DIV/0!</v>
      </c>
      <c r="OA109" s="170" t="e">
        <f t="shared" ca="1" si="342"/>
        <v>#DIV/0!</v>
      </c>
      <c r="OB109" s="170" t="e">
        <f ca="1">IF($NA109 &lt;=$NY109, MIN(Control!$C$72, $NY109-$NA109), 0)</f>
        <v>#DIV/0!</v>
      </c>
      <c r="OC109" s="168" t="e">
        <f t="shared" ca="1" si="343"/>
        <v>#DIV/0!</v>
      </c>
      <c r="OD109" s="168" t="e">
        <f t="shared" ca="1" si="432"/>
        <v>#DIV/0!</v>
      </c>
      <c r="OE109" s="170">
        <f ca="1">Control!$C$73*$I109</f>
        <v>0</v>
      </c>
      <c r="OF109" s="176" t="e">
        <f t="shared" ca="1" si="344"/>
        <v>#DIV/0!</v>
      </c>
      <c r="OG109" s="168" t="e">
        <f t="shared" ca="1" si="345"/>
        <v>#DIV/0!</v>
      </c>
      <c r="OH109" s="168" t="e">
        <f t="shared" ca="1" si="346"/>
        <v>#DIV/0!</v>
      </c>
      <c r="OI109" s="168" t="e">
        <f t="shared" ca="1" si="347"/>
        <v>#DIV/0!</v>
      </c>
      <c r="OJ109" s="168" t="e">
        <f t="shared" ca="1" si="348"/>
        <v>#DIV/0!</v>
      </c>
      <c r="OK109" s="204" t="e">
        <f t="shared" ca="1" si="349"/>
        <v>#DIV/0!</v>
      </c>
      <c r="OL109" s="177">
        <f>Control!$C$127</f>
        <v>0.15</v>
      </c>
      <c r="OM109" s="182" t="e">
        <f t="shared" ca="1" si="350"/>
        <v>#N/A</v>
      </c>
      <c r="ON109" s="177">
        <f>Control!$C$128</f>
        <v>0.35</v>
      </c>
      <c r="OO109" s="182" t="e">
        <f t="shared" ca="1" si="351"/>
        <v>#N/A</v>
      </c>
      <c r="OP109" s="138">
        <f t="shared" ca="1" si="433"/>
        <v>0</v>
      </c>
      <c r="OQ109" s="138" t="e">
        <f t="shared" ca="1" si="456"/>
        <v>#DIV/0!</v>
      </c>
      <c r="OR109" s="138" t="e">
        <f t="shared" ca="1" si="434"/>
        <v>#DIV/0!</v>
      </c>
      <c r="OS109" s="137" t="e">
        <f t="shared" ca="1" si="457"/>
        <v>#DIV/0!</v>
      </c>
      <c r="OT109" s="139" t="e">
        <f t="shared" ca="1" si="458"/>
        <v>#DIV/0!</v>
      </c>
      <c r="OU109" s="138" t="e">
        <f t="shared" ca="1" si="459"/>
        <v>#N/A</v>
      </c>
      <c r="OV109" s="138" t="e">
        <f t="shared" ca="1" si="460"/>
        <v>#DIV/0!</v>
      </c>
      <c r="OW109" s="138" t="e">
        <f t="shared" ca="1" si="435"/>
        <v>#DIV/0!</v>
      </c>
      <c r="OX109" s="138" t="e">
        <f t="shared" ca="1" si="436"/>
        <v>#DIV/0!</v>
      </c>
      <c r="OY109" s="138" t="e">
        <f t="shared" ca="1" si="437"/>
        <v>#DIV/0!</v>
      </c>
      <c r="OZ109" s="138" t="e">
        <f t="shared" ca="1" si="352"/>
        <v>#DIV/0!</v>
      </c>
      <c r="PA109" s="138" t="e">
        <f t="shared" ca="1" si="353"/>
        <v>#DIV/0!</v>
      </c>
      <c r="PB109" s="55">
        <f>IF(Control!$C$61="T", IF(Control!$C$65="F", IF($AH$6-Control!$C$60&lt;0,0,1), IF(365+$AH$6-Control!$C$60&lt;0,0,1)),0)</f>
        <v>0</v>
      </c>
      <c r="PC109" s="55">
        <f ca="1">IF(Control!$C$65="F", IF($AH$6-$HF109&lt;0,0,1), IF(365+$AH$6-$HF109&lt;0,0,1))</f>
        <v>1</v>
      </c>
      <c r="PD109" s="444">
        <f>Control!$C$118</f>
        <v>1500</v>
      </c>
      <c r="PE109" s="180" t="e">
        <f t="shared" ca="1" si="354"/>
        <v>#N/A</v>
      </c>
      <c r="PF109" s="445">
        <f t="shared" ca="1" si="438"/>
        <v>0.71612369323045078</v>
      </c>
      <c r="PT109" s="186"/>
      <c r="PU109" s="186"/>
      <c r="PV109" s="94"/>
      <c r="PW109" s="94"/>
      <c r="PX109" s="94"/>
      <c r="PY109" s="94"/>
      <c r="PZ109" s="94"/>
      <c r="QA109" s="94"/>
      <c r="QB109" s="94"/>
      <c r="QC109" s="94"/>
      <c r="QD109" s="94"/>
      <c r="QE109" s="94"/>
      <c r="QF109" s="94"/>
      <c r="QG109" s="94"/>
      <c r="QH109" s="94"/>
      <c r="QI109" s="94"/>
      <c r="QJ109" s="94"/>
      <c r="QK109" s="94"/>
      <c r="QL109" s="94"/>
      <c r="QM109" s="94"/>
      <c r="QN109" s="94"/>
      <c r="QO109" s="94"/>
      <c r="QP109" s="94"/>
    </row>
    <row r="110" spans="1:458" s="2" customFormat="1" x14ac:dyDescent="0.2">
      <c r="A110" s="395">
        <v>15</v>
      </c>
      <c r="B110" s="396">
        <v>4</v>
      </c>
      <c r="C110" s="387">
        <f ca="1">Weather_data!$B109</f>
        <v>0</v>
      </c>
      <c r="D110" s="388">
        <f ca="1">Weather_data!$F109</f>
        <v>0</v>
      </c>
      <c r="E110" s="388">
        <f ca="1">Weather_data!$E109</f>
        <v>0</v>
      </c>
      <c r="F110" s="388">
        <f t="shared" ca="1" si="355"/>
        <v>0</v>
      </c>
      <c r="G110" s="388">
        <f ca="1">AVERAGE($D110:$E110)+Control!$B$9</f>
        <v>0</v>
      </c>
      <c r="H110" s="388">
        <f ca="1">Weather_data!$G109</f>
        <v>0</v>
      </c>
      <c r="I110" s="388">
        <f ca="1">Weather_data!$I109</f>
        <v>0</v>
      </c>
      <c r="J110" s="388">
        <f ca="1">Weather_data!$H109</f>
        <v>0</v>
      </c>
      <c r="K110" s="389">
        <f ca="1">Weather_data!$D109</f>
        <v>0</v>
      </c>
      <c r="L110" s="388" t="e">
        <f t="shared" ca="1" si="356"/>
        <v>#N/A</v>
      </c>
      <c r="M110" s="388" t="e">
        <f t="shared" ca="1" si="234"/>
        <v>#N/A</v>
      </c>
      <c r="N110" s="388">
        <f t="shared" ca="1" si="235"/>
        <v>-8.7134669050730721E-6</v>
      </c>
      <c r="O110" s="388">
        <f t="shared" ca="1" si="357"/>
        <v>8.7134669050730721E-5</v>
      </c>
      <c r="P110" s="390">
        <v>3</v>
      </c>
      <c r="Q110" s="388">
        <f ca="1">MAX($G110-Control!$C$107,0)</f>
        <v>0</v>
      </c>
      <c r="R110" s="388">
        <f t="shared" ca="1" si="358"/>
        <v>0</v>
      </c>
      <c r="S110" s="388">
        <f t="shared" ca="1" si="236"/>
        <v>0</v>
      </c>
      <c r="T110" s="388">
        <f t="shared" ca="1" si="237"/>
        <v>0</v>
      </c>
      <c r="U110" s="59">
        <f t="shared" ca="1" si="238"/>
        <v>0</v>
      </c>
      <c r="V110" s="391">
        <f ca="1">MAX(0,MIN(Control!$C$100-Control!$C$99,$G110-Control!$C$99)*Control!$C$63)</f>
        <v>0</v>
      </c>
      <c r="W110" s="388">
        <f t="shared" ca="1" si="359"/>
        <v>0</v>
      </c>
      <c r="X110" s="388">
        <f t="shared" ca="1" si="360"/>
        <v>0.6110000000000001</v>
      </c>
      <c r="Y110" s="388">
        <f t="shared" ca="1" si="239"/>
        <v>0</v>
      </c>
      <c r="Z110" s="388">
        <f t="shared" ca="1" si="361"/>
        <v>0.61058800000000002</v>
      </c>
      <c r="AA110" s="388">
        <f t="shared" ca="1" si="240"/>
        <v>0.6018</v>
      </c>
      <c r="AB110" s="388">
        <f ca="1">101.3*EXP(-0.034*Control!$C$66/($G110+273))</f>
        <v>100.69623283836242</v>
      </c>
      <c r="AC110" s="392">
        <f t="shared" ca="1" si="241"/>
        <v>4.3460251046025113E-2</v>
      </c>
      <c r="AD110" s="392">
        <f t="shared" ca="1" si="242"/>
        <v>4.4450382862832649E-2</v>
      </c>
      <c r="AE110" s="388">
        <f t="shared" ca="1" si="243"/>
        <v>0</v>
      </c>
      <c r="AF110" s="388">
        <f ca="1">MAX(0,$G110-Control!$C$92)</f>
        <v>0</v>
      </c>
      <c r="AG110" s="393">
        <f t="shared" ca="1" si="244"/>
        <v>106</v>
      </c>
      <c r="AH110" s="389">
        <f t="shared" ca="1" si="245"/>
        <v>106</v>
      </c>
      <c r="AI110" s="388">
        <f t="shared" ca="1" si="362"/>
        <v>0.16521632215699003</v>
      </c>
      <c r="AJ110" s="388">
        <f ca="1">IF(Control!$C$60&lt;=0,$HH110,$HI110)</f>
        <v>1</v>
      </c>
      <c r="AK110" s="388">
        <f t="shared" ca="1" si="246"/>
        <v>0.44756936434703903</v>
      </c>
      <c r="AL110" s="388">
        <f t="shared" ca="1" si="247"/>
        <v>7.2128761297030043E-19</v>
      </c>
      <c r="AM110" s="388">
        <f t="shared" ca="1" si="248"/>
        <v>0.44756936434703903</v>
      </c>
      <c r="AN110" s="388">
        <f t="shared" ca="1" si="249"/>
        <v>0.17302009307231678</v>
      </c>
      <c r="AO110" s="388">
        <f ca="1">-0.10453/COS(Control!$B$8*PI()/180)*COS(AN110)</f>
        <v>-0.16724986185871302</v>
      </c>
      <c r="AP110" s="388">
        <f ca="1">ACOS(AO110-TAN(Control!$B$8*PI()/180)*TAN(AN110))</f>
        <v>1.9724512530837988</v>
      </c>
      <c r="AQ110" s="388">
        <f t="shared" ca="1" si="363"/>
        <v>0</v>
      </c>
      <c r="AR110" s="394">
        <f t="shared" ca="1" si="250"/>
        <v>0</v>
      </c>
      <c r="AS110" s="436">
        <f ca="1">IF(Control!$B$18=2,(IF(OR($AH110=Control!$B$175,$AH110=Control!$B$176,$AH110=Control!$B$177,$AH110=Control!$B$178,$AH110=Control!$B$179,$AH110=Control!$B$180,$AH110=Control!$B$181,$AH110=Control!$B$182,$AH110=Control!$B$183,$AH110=Control!$B$184,$AH110=Control!$B$185),1,0)),0)</f>
        <v>0</v>
      </c>
      <c r="AT110" s="436">
        <f>IF(Control!$B$20=8,IF(AND($AH110&gt;=Control!$B$172,$AH110&lt;=Control!$B$173),1,0),0)</f>
        <v>0</v>
      </c>
      <c r="AU110" s="436">
        <f>IF(Control!$B$20=8,IF($AV109=1,1*$AT110,IF($AT110=1,$AU109+1,$AU109)),0)</f>
        <v>0</v>
      </c>
      <c r="AV110" s="436">
        <f>IF(Control!$B$20=8,IF($AU110&gt;=Control!$B$174,1,0),0)</f>
        <v>0</v>
      </c>
      <c r="AW110" s="436">
        <f ca="1">IF(AND(Control!$B$18=2,Control!$B$171=1), $AV110, $AS110)</f>
        <v>0</v>
      </c>
      <c r="AX110" s="436" t="e">
        <f ca="1">IF(AND(Control!$B$18=1,$EU110&gt;=Control!$B$19),-$AY110,IF(AND(Control!$B$18=2,$AW110=1,$EU110&gt;$DS110),-$AY110, IF(Control!$C$108=0,0, IF(Control!$C$108&lt;&gt;0,1))))</f>
        <v>#N/A</v>
      </c>
      <c r="AY110" s="436" t="e">
        <f t="shared" ca="1" si="364"/>
        <v>#N/A</v>
      </c>
      <c r="AZ110" s="436" t="e">
        <f ca="1">IF(AND(Control!$B$18=1,$EB110&gt;Control!$B$19),$AZ109+1, IF(AND(Control!$B$18=2, $AW110=1, $EB110&gt;$DS110), $AZ109+1,$AZ109))</f>
        <v>#N/A</v>
      </c>
      <c r="BA110" s="587">
        <f>IF(Control!$C$81=0,1,IF($AH110&gt;=Control!$C$82,1,0))</f>
        <v>1</v>
      </c>
      <c r="BB110" s="140" t="e">
        <f ca="1">IF($BA110&gt;$BA109,Control!$C$83,IF($AW110&gt;0,$AW110*Control!$C$84,IF(AND(Control!$B$18=1,EN109&lt;&gt;0),Control!$C$84,0)))</f>
        <v>#N/A</v>
      </c>
      <c r="BC110" s="140" t="e">
        <f t="shared" ca="1" si="365"/>
        <v>#N/A</v>
      </c>
      <c r="BD110" s="140" t="e">
        <f ca="1">BC110*IF(OR($G110&lt;Control!$C$92,$G110&gt;Control!$C$95),0,IF(AND($G110&gt;=Control!$C$92,$G110&lt;=Control!$C$93),$G110-Control!$C$92,IF(AND($G110&gt;Control!$C$93,$G110&lt;=Control!$C$94),Control!$C$93-Control!$C$92,IF(AND($G110&gt;Control!$C$94,$G110&lt;=Control!$C$95),(Control!$C$93-Control!$C$92)*(Control!$C$94-$G110)/(Control!$C$95-Control!$C$94)))))</f>
        <v>#N/A</v>
      </c>
      <c r="BE110" s="140" t="e">
        <f t="shared" ca="1" si="366"/>
        <v>#N/A</v>
      </c>
      <c r="BF110" s="140" t="e">
        <f ca="1">IF($BE110&lt;=Control!$C$86,$BE110,Control!$C$86-$BE110)</f>
        <v>#N/A</v>
      </c>
      <c r="BG110" s="140" t="e">
        <f ca="1">IF(AND($AW110=1,Control!$C$84&lt;9),1,IF($BE110&gt;=Control!$C$86,0,$BC110))</f>
        <v>#N/A</v>
      </c>
      <c r="BH110" s="404" t="e">
        <f ca="1">IF($BG110=0,0,IF($BE110&lt;=Control!$C$86,$BC110*9*($BF110/Control!$C$86),0))</f>
        <v>#N/A</v>
      </c>
      <c r="BI110" s="140" t="e">
        <f ca="1">IF($BG110=1,0,IF($BE110&gt;=Control!$C$86,1,IF(AND($BB110&lt;21,$BB110&gt;=9),1,$BM109)))</f>
        <v>#N/A</v>
      </c>
      <c r="BJ110" s="140" t="e">
        <f ca="1">IF($BF110&lt;0,-$BF110,$BI110*IF(OR($G110&lt;Control!$C$92,$G110&gt;Control!$C$95),0,IF(AND($G110&gt;=Control!$C$92,$G110&lt;=Control!$C$93),$G110-Control!$C$92,IF(AND($G110&gt;Control!$C$93,$G110&lt;=Control!$C$94),Control!$C$93-Control!$C$92,IF(AND($G110&gt;Control!$C$94,$G110&lt;=Control!$C$95),(Control!$C$93-Control!$C$92)*(Control!$C$94-$G110)/(Control!$C$95-Control!$C$94))))))</f>
        <v>#N/A</v>
      </c>
      <c r="BK110" s="140" t="e">
        <f t="shared" ca="1" si="367"/>
        <v>#N/A</v>
      </c>
      <c r="BL110" s="140" t="e">
        <f ca="1">IF($BK110&lt;=Control!$C$87,$BK110,Control!$C$87-$BK110)</f>
        <v>#N/A</v>
      </c>
      <c r="BM110" s="140" t="e">
        <f ca="1">IF(AND($BB110&gt;=9,$BB110&lt;21),1,IF($BK110&gt;=Control!$C$87,0,$BI110))</f>
        <v>#N/A</v>
      </c>
      <c r="BN110" s="404" t="e">
        <f ca="1">IF($BM110=0,0,IF($BK110&lt;=Control!$C$87,$BI110*(9+(21-9)*($BL110/Control!$C$87)),0))</f>
        <v>#N/A</v>
      </c>
      <c r="BO110" s="140" t="e">
        <f ca="1">IF($BM110=1,0,IF($BK110&gt;=Control!$C$87,1,IF(AND($BB110&lt;30,$BB110&gt;=21),1,$BS109)))</f>
        <v>#N/A</v>
      </c>
      <c r="BP110" s="140" t="e">
        <f ca="1">IF($BL110&lt;0,-$BL110,$BO110*IF(OR($G110&lt;Control!$C$92,$G110&gt;Control!$C$95),0,IF(AND($G110&gt;=Control!$C$92,$G110&lt;=Control!$C$93),$G110-Control!$C$92,IF(AND($G110&gt;Control!$C$93,$G110&lt;=Control!$C$94),Control!$C$93-Control!$C$92,IF(AND($G110&gt;Control!$C$94,$G110&lt;=Control!$C$95),(Control!$C$93-Control!$C$92)*(Control!$C$94-$G110)/(Control!$C$95-Control!$C$94))))))</f>
        <v>#N/A</v>
      </c>
      <c r="BQ110" s="140" t="e">
        <f t="shared" ca="1" si="251"/>
        <v>#N/A</v>
      </c>
      <c r="BR110" s="140" t="e">
        <f ca="1">IF($BQ110&lt;=Control!$C$88,$BQ110,Control!$C$88-$BQ110)</f>
        <v>#N/A</v>
      </c>
      <c r="BS110" s="140" t="e">
        <f ca="1">IF(AND($BB110&gt;=21,$BB110&lt;30),1,IF($BQ110&gt;=Control!$C$88,0,$BO110))</f>
        <v>#N/A</v>
      </c>
      <c r="BT110" s="404" t="e">
        <f ca="1">IF($BS110=0,0,IF($BQ110&lt;=Control!$C$88,$BO110*(21+(30-21)*(BR110/Control!$C$88)),0))</f>
        <v>#N/A</v>
      </c>
      <c r="BU110" s="140" t="e">
        <f ca="1">IF(BG110+BM110+BS110=1,0,IF(OR(AND($BB110&lt;60,$BB110&gt;=30),$BQ110&gt;=Control!$C$88),1*$BA110,$BY109))</f>
        <v>#N/A</v>
      </c>
      <c r="BV110" s="140" t="e">
        <f ca="1">IF($BR110&lt;0,-$BR110,$BU110*IF(OR($G110&lt;Control!$C$92,$G110&gt;Control!$C$95),0,IF(AND($G110&gt;=Control!$C$92,$G110&lt;=Control!$C$93),$G110-Control!$C$92,IF(AND($G110&gt;Control!$C$93,$G110&lt;=Control!$C$94),Control!$C$93-Control!$C$92,IF(AND($G110&gt;Control!$C$94,$G110&lt;=Control!$C$95),(Control!$C$93-Control!$C$92)*(Control!$C$94-$G110)/(Control!$C$95-Control!$C$94))))))</f>
        <v>#N/A</v>
      </c>
      <c r="BW110" s="140" t="e">
        <f t="shared" ca="1" si="252"/>
        <v>#N/A</v>
      </c>
      <c r="BX110" s="140" t="e">
        <f ca="1">IF($BW110&lt;=Control!$C$89,$BW110,Control!$C$89-$BW110)</f>
        <v>#N/A</v>
      </c>
      <c r="BY110" s="140" t="e">
        <f ca="1">IF(AND($AJ110&gt;=30,$AJ110&lt;60),1,IF($BW110&gt;=Control!$C$89,0,$BU110))</f>
        <v>#N/A</v>
      </c>
      <c r="BZ110" s="404" t="e">
        <f ca="1">IF($BY110=0,0,IF($BW110&lt;=Control!$C$89,$BU110*(30+(60-30)*(BX110/Control!$C$89)),0))</f>
        <v>#N/A</v>
      </c>
      <c r="CA110" s="140" t="e">
        <f ca="1">IF($BG110+$BM110+$BS110+$BY110=1,0,IF(OR(AND($BB110&lt;65,$BB110&gt;=60),$BW110&gt;=Control!$C$89),1*$BA110,$CE109))</f>
        <v>#N/A</v>
      </c>
      <c r="CB110" s="140" t="e">
        <f ca="1">IF($BX110&lt;0,-$BX110,$CA110*IF(OR($G110&lt;Control!$C$92,$G110&gt;Control!$C$95),0,IF(AND($G110&gt;=Control!$C$92,$G110&lt;=Control!$C$93),$G110-Control!$C$92,IF(AND($G110&gt;Control!$C$93,$G110&lt;=Control!$C$94),Control!$C$93-Control!$C$92,IF(AND($G110&gt;Control!$C$94,$G110&lt;=Control!$C$95),(Control!$C$93-Control!$C$92)*(Control!$C$94-$G110)/(Control!$C$95-Control!$C$94))))))</f>
        <v>#N/A</v>
      </c>
      <c r="CC110" s="140" t="e">
        <f t="shared" ca="1" si="368"/>
        <v>#N/A</v>
      </c>
      <c r="CD110" s="140" t="e">
        <f ca="1">IF($CC110&lt;=Control!$C$90,$CC110,Control!$C$90-$CC110)</f>
        <v>#N/A</v>
      </c>
      <c r="CE110" s="140" t="e">
        <f ca="1">IF(AND($BB110&gt;=60,$BB110&lt;65),1,IF($CC110&gt;=Control!$C$90,0,$CA110))</f>
        <v>#N/A</v>
      </c>
      <c r="CF110" s="404" t="e">
        <f ca="1">IF($CE110=0,0,IF($CC110&lt;=Control!$C$90,$CA110*(60+(65-60)*(CD110/Control!$C$90)),0))</f>
        <v>#N/A</v>
      </c>
      <c r="CG110" s="140" t="e">
        <f ca="1">IF($BG110+$BM110+$BS110+$BY110+$CE110=1,0,IF(OR(AND($BB110&lt;90,$BB110&gt;=65),$CC110&gt;=Control!$C$90),$BA110,$CK109))</f>
        <v>#N/A</v>
      </c>
      <c r="CH110" s="140" t="e">
        <f ca="1">IF($CD110&lt;0,-$CD110,$CG110*IF(OR($G110&lt;Control!$C$92,$G110&gt;Control!$C$95),0,IF(AND($G110&gt;=Control!$C$92,$G110&lt;=Control!$C$93),$G110-Control!$C$92,IF(AND($G110&gt;Control!$C$93,$G110&lt;=Control!$C$94),Control!$C$93-Control!$C$92,IF(AND($G110&gt;Control!$C$94,$G110&lt;=Control!$C$95),(Control!$C$93-Control!$C$92)*(Control!$C$94-$G110)/(Control!$C$95-Control!$C$94))))))</f>
        <v>#N/A</v>
      </c>
      <c r="CI110" s="140" t="e">
        <f t="shared" ca="1" si="369"/>
        <v>#N/A</v>
      </c>
      <c r="CJ110" s="140" t="e">
        <f ca="1">IF($CI110&lt;=Control!$C$91,$CI110,Control!$C$91-$CI110)</f>
        <v>#N/A</v>
      </c>
      <c r="CK110" s="140" t="e">
        <f ca="1">IF(AND($BB110&gt;=65,$BB110&lt;90),1,IF($CI110&gt;=Control!$C$91,0,$CG110))</f>
        <v>#N/A</v>
      </c>
      <c r="CL110" s="404" t="e">
        <f ca="1">IF($CK110=0,0,IF($CI110&lt;=Control!$C$91,$CG110*(65+(90-65)*($CJ110/Control!$C$91)),0))</f>
        <v>#N/A</v>
      </c>
      <c r="CM110" s="140" t="e">
        <f ca="1">IF($BG110+$BM110+$BS110+$BY110+$CE110+$CK110=1,0,IF(OR($BB110&gt;=90,$CI110&gt;=Control!$C$91),$BA110,$CM109))</f>
        <v>#N/A</v>
      </c>
      <c r="CN110" s="140" t="e">
        <f t="shared" ca="1" si="370"/>
        <v>#N/A</v>
      </c>
      <c r="CO110" s="140" t="e">
        <f t="shared" ca="1" si="371"/>
        <v>#N/A</v>
      </c>
      <c r="CP110" s="140" t="e">
        <f t="shared" ca="1" si="372"/>
        <v>#N/A</v>
      </c>
      <c r="CQ110" s="141" t="e">
        <f ca="1">VLOOKUP($CP110,Control!$B$86:$G$91,6)</f>
        <v>#N/A</v>
      </c>
      <c r="CR110" s="141" t="e">
        <f ca="1">(1-$CQ110)*VLOOKUP($CP110,Control!$B$86:$D$91,3)</f>
        <v>#N/A</v>
      </c>
      <c r="CS110" s="141" t="e">
        <f ca="1">(1-$CQ110)*VLOOKUP($CP110,Control!$B$86:$E$91,4)</f>
        <v>#N/A</v>
      </c>
      <c r="CT110" s="141" t="e">
        <f ca="1">(1-$CQ110)*VLOOKUP($CP110,Control!$B$86:$F$91,5)</f>
        <v>#N/A</v>
      </c>
      <c r="CU110" s="141">
        <f t="shared" ca="1" si="373"/>
        <v>0</v>
      </c>
      <c r="CV110" s="583">
        <f t="shared" ca="1" si="374"/>
        <v>0</v>
      </c>
      <c r="CW110" s="142">
        <f t="shared" ca="1" si="375"/>
        <v>106</v>
      </c>
      <c r="CX110" s="612" t="e">
        <f ca="1">IF(Control!$C$114=1,(MIN(Control!$C$120*(IF($NT110-0.01&lt;0,0,1)),Control!$C$119-$CY110)))</f>
        <v>#DIV/0!</v>
      </c>
      <c r="CY110" s="143" t="e">
        <f t="shared" ca="1" si="376"/>
        <v>#N/A</v>
      </c>
      <c r="CZ110" s="144">
        <f t="shared" ca="1" si="253"/>
        <v>0</v>
      </c>
      <c r="DA110" s="144">
        <f t="shared" ca="1" si="254"/>
        <v>0</v>
      </c>
      <c r="DB110" s="144" t="e">
        <f t="shared" ca="1" si="255"/>
        <v>#N/A</v>
      </c>
      <c r="DC110" s="144" t="e">
        <f t="shared" ca="1" si="256"/>
        <v>#N/A</v>
      </c>
      <c r="DD110" s="144" t="e">
        <f t="shared" ca="1" si="461"/>
        <v>#N/A</v>
      </c>
      <c r="DE110" s="143" t="e">
        <f t="shared" ca="1" si="377"/>
        <v>#N/A</v>
      </c>
      <c r="DF110" s="145" t="e">
        <f ca="1">$DR110*EXP(-Control!$C$158*(1-$KH110))</f>
        <v>#N/A</v>
      </c>
      <c r="DG110" s="146" t="e">
        <f ca="1">IF(Control!$C$114=1, $DF110*$EY110, 0)</f>
        <v>#N/A</v>
      </c>
      <c r="DH110" s="147" t="e">
        <f t="shared" ca="1" si="378"/>
        <v>#N/A</v>
      </c>
      <c r="DI110" s="144" t="e">
        <f t="shared" ca="1" si="439"/>
        <v>#N/A</v>
      </c>
      <c r="DJ110" s="147" t="e">
        <f ca="1">$EF110*Control!$C$109</f>
        <v>#N/A</v>
      </c>
      <c r="DK110" s="144" t="e">
        <f t="shared" ca="1" si="379"/>
        <v>#N/A</v>
      </c>
      <c r="DL110" s="144" t="e">
        <f t="shared" ca="1" si="257"/>
        <v>#N/A</v>
      </c>
      <c r="DM110" s="144" t="e">
        <f ca="1">IF(Control!$C$114=1, (1-EXP(-Control!$C$96*$DK110))*$AR110, 0)</f>
        <v>#N/A</v>
      </c>
      <c r="DN110" s="144">
        <f t="shared" ca="1" si="380"/>
        <v>0</v>
      </c>
      <c r="DO110" s="148">
        <f>Control!$C$97</f>
        <v>4</v>
      </c>
      <c r="DP110" s="145" t="e">
        <f t="shared" ca="1" si="381"/>
        <v>#N/A</v>
      </c>
      <c r="DQ110" s="145" t="e">
        <f ca="1">IF(AND($CP110&gt;=0,$CP110&lt;=90),Control!$C$111,Control!$C$111)</f>
        <v>#N/A</v>
      </c>
      <c r="DR110" s="145" t="e">
        <f t="shared" ca="1" si="258"/>
        <v>#N/A</v>
      </c>
      <c r="DS110" s="143" t="e">
        <f ca="1">Control!$B$22/$DR110</f>
        <v>#N/A</v>
      </c>
      <c r="DT110" s="149" t="e">
        <f ca="1">IF(AND(Control!$C$114=1,$KH110&lt;1),$IM110*$DF110, 0)</f>
        <v>#N/A</v>
      </c>
      <c r="DU110" s="144" t="e">
        <f t="shared" ca="1" si="382"/>
        <v>#N/A</v>
      </c>
      <c r="DV110" s="144">
        <f ca="1">IF($G110-Control!$C$107&lt;=0, 0, 0.83*LN(MAX($G110, 3))-0.8924)</f>
        <v>0</v>
      </c>
      <c r="DW110" s="144" t="e">
        <f t="shared" ca="1" si="259"/>
        <v>#N/A</v>
      </c>
      <c r="DX110" s="150" t="e">
        <f ca="1">MAX(0.01*(1+$CU110/Control!$C$102),0.05*($DK110-Control!$C$97)/Control!$C$97)</f>
        <v>#N/A</v>
      </c>
      <c r="DY110" s="151" t="e">
        <f ca="1">IF(Control!$C$114=1, $DI110*$FS110, 0)</f>
        <v>#N/A</v>
      </c>
      <c r="DZ110" s="196" t="e">
        <f t="shared" ca="1" si="383"/>
        <v>#N/A</v>
      </c>
      <c r="EA110" s="152">
        <f t="shared" ca="1" si="384"/>
        <v>106</v>
      </c>
      <c r="EB110" s="153" t="e">
        <f t="shared" ca="1" si="385"/>
        <v>#N/A</v>
      </c>
      <c r="EC110" s="153" t="e">
        <f t="shared" ca="1" si="386"/>
        <v>#N/A</v>
      </c>
      <c r="ED110" s="154" t="e">
        <f ca="1">IF(Control!$C$114=1, $HM110*$FY110-$FD110, 0)</f>
        <v>#DIV/0!</v>
      </c>
      <c r="EE110" s="155" t="e">
        <f ca="1">IF(Control!$C$114=1, $HM110*$FZ110-$FF110, 0)</f>
        <v>#DIV/0!</v>
      </c>
      <c r="EF110" s="153" t="e">
        <f t="shared" ca="1" si="440"/>
        <v>#N/A</v>
      </c>
      <c r="EG110" s="155" t="e">
        <f ca="1">IF(Control!$C$114=1, $GX110*$FW110-$FI110, 0)</f>
        <v>#DIV/0!</v>
      </c>
      <c r="EH110" s="153" t="e">
        <f t="shared" ca="1" si="387"/>
        <v>#N/A</v>
      </c>
      <c r="EI110" s="156" t="e">
        <f t="shared" ca="1" si="388"/>
        <v>#N/A</v>
      </c>
      <c r="EJ110" s="155" t="e">
        <f ca="1">IF(Control!$C$114=1, $HM110*$GB110, 0)</f>
        <v>#DIV/0!</v>
      </c>
      <c r="EK110" s="153" t="e">
        <f t="shared" ca="1" si="441"/>
        <v>#N/A</v>
      </c>
      <c r="EL110" s="153" t="e">
        <f t="shared" ca="1" si="260"/>
        <v>#N/A</v>
      </c>
      <c r="EM110" s="153" t="e">
        <f t="shared" ca="1" si="261"/>
        <v>#N/A</v>
      </c>
      <c r="EN110" s="153" t="e">
        <f ca="1">IF(Control!$C$108=1,IF(AND(Control!$B$18=1,$EB110&gt;=Control!$B$19),$EB110-$DS110,IF(AND(Control!$B$18=2,$AW110=1,$EB110&gt;$DS110),$EB110-$DS110,0)))</f>
        <v>#N/A</v>
      </c>
      <c r="EO110" s="153" t="e">
        <f ca="1">IF(Control!$C$108=1,IF(AND(Control!$B$18=1,$EB110&gt;=Control!$B$19),$EF110,IF(AND(Control!$B$18=2,$AW110=1),$EF110,0)))</f>
        <v>#N/A</v>
      </c>
      <c r="EP110" s="153" t="e">
        <f ca="1">IF(Control!$C$108=1,IF(AND(Control!$B$18=1,$EB110&gt;=Control!$B$19),$EK110,IF(AND(Control!$B$18=2,$AW110=1),$EK110,0)))</f>
        <v>#N/A</v>
      </c>
      <c r="EQ110" s="153" t="e">
        <f t="shared" ca="1" si="389"/>
        <v>#N/A</v>
      </c>
      <c r="ER110" s="153" t="e">
        <f t="shared" ca="1" si="390"/>
        <v>#N/A</v>
      </c>
      <c r="ES110" s="153" t="e">
        <f t="shared" ca="1" si="442"/>
        <v>#N/A</v>
      </c>
      <c r="ET110" s="153" t="e">
        <f t="shared" ca="1" si="443"/>
        <v>#N/A</v>
      </c>
      <c r="EU110" s="153" t="e">
        <f t="shared" ca="1" si="391"/>
        <v>#N/A</v>
      </c>
      <c r="EV110" s="153" t="e">
        <f t="shared" ca="1" si="262"/>
        <v>#N/A</v>
      </c>
      <c r="EW110" s="153" t="e">
        <f t="shared" ca="1" si="263"/>
        <v>#N/A</v>
      </c>
      <c r="EX110" s="153" t="e">
        <f t="shared" ca="1" si="264"/>
        <v>#N/A</v>
      </c>
      <c r="EY110" s="157" t="e">
        <f t="shared" ca="1" si="265"/>
        <v>#DIV/0!</v>
      </c>
      <c r="EZ110" s="154" t="e">
        <f t="shared" ca="1" si="266"/>
        <v>#DIV/0!</v>
      </c>
      <c r="FA110" s="153" t="e">
        <f t="shared" ca="1" si="392"/>
        <v>#N/A</v>
      </c>
      <c r="FB110" s="153" t="e">
        <f t="shared" ca="1" si="267"/>
        <v>#N/A</v>
      </c>
      <c r="FC110" s="193" t="e">
        <f t="shared" ca="1" si="268"/>
        <v>#N/A</v>
      </c>
      <c r="FD110" s="158" t="e">
        <f t="shared" ca="1" si="393"/>
        <v>#N/A</v>
      </c>
      <c r="FE110" s="158" t="e">
        <f t="shared" ca="1" si="394"/>
        <v>#N/A</v>
      </c>
      <c r="FF110" s="159" t="e">
        <f t="shared" ca="1" si="269"/>
        <v>#N/A</v>
      </c>
      <c r="FG110" s="160" t="e">
        <f t="shared" ca="1" si="395"/>
        <v>#N/A</v>
      </c>
      <c r="FH110" s="158" t="e">
        <f t="shared" ca="1" si="396"/>
        <v>#N/A</v>
      </c>
      <c r="FI110" s="159" t="e">
        <f t="shared" ca="1" si="270"/>
        <v>#N/A</v>
      </c>
      <c r="FJ110" s="160" t="e">
        <f t="shared" ca="1" si="397"/>
        <v>#N/A</v>
      </c>
      <c r="FK110" s="160" t="e">
        <f t="shared" ca="1" si="271"/>
        <v>#N/A</v>
      </c>
      <c r="FL110" s="160" t="e">
        <f t="shared" ca="1" si="444"/>
        <v>#N/A</v>
      </c>
      <c r="FM110" s="160" t="e">
        <f t="shared" ca="1" si="272"/>
        <v>#N/A</v>
      </c>
      <c r="FN110" s="158">
        <f t="shared" ca="1" si="398"/>
        <v>0.01</v>
      </c>
      <c r="FO110" s="160">
        <f>Control!$C$101</f>
        <v>50</v>
      </c>
      <c r="FP110" s="150" t="e">
        <f t="shared" ca="1" si="273"/>
        <v>#N/A</v>
      </c>
      <c r="FQ110" s="150" t="e">
        <f ca="1">MAX(0,(Control!$C$112*(($DK110-Control!$C$97)/Control!$C$97)))</f>
        <v>#N/A</v>
      </c>
      <c r="FR110" s="150" t="e">
        <f ca="1">(1-$NT110)*Control!$C$113</f>
        <v>#DIV/0!</v>
      </c>
      <c r="FS110" s="198" t="e">
        <f t="shared" ca="1" si="274"/>
        <v>#N/A</v>
      </c>
      <c r="FT110" s="161">
        <f t="shared" ca="1" si="399"/>
        <v>106</v>
      </c>
      <c r="FU110" s="162" t="e">
        <f ca="1">IF(Control!$B$34=1,VLOOKUP($CP110,Control!$B$86:$G$91,6),Control!$B$35)</f>
        <v>#N/A</v>
      </c>
      <c r="FV110" s="162" t="e">
        <f t="shared" ca="1" si="275"/>
        <v>#DIV/0!</v>
      </c>
      <c r="FW110" s="162" t="e">
        <f ca="1">IF(Control!$B$31=1,$FU110*$FV110,  $FU110)</f>
        <v>#N/A</v>
      </c>
      <c r="FX110" s="162" t="e">
        <f ca="1">IF(Control!$B$34=1,VLOOKUP($CP110,Control!$B$86:$G$91,3),Control!$B$36)</f>
        <v>#N/A</v>
      </c>
      <c r="FY110" s="162" t="e">
        <f t="shared" ca="1" si="276"/>
        <v>#N/A</v>
      </c>
      <c r="FZ110" s="162" t="e">
        <f ca="1">IF(Control!$B$34=1,VLOOKUP($CP110,Control!$B$86:$G$91,4),Control!$B$37)</f>
        <v>#N/A</v>
      </c>
      <c r="GA110" s="162" t="e">
        <f t="shared" ca="1" si="277"/>
        <v>#N/A</v>
      </c>
      <c r="GB110" s="162" t="e">
        <f ca="1">IF(Control!$B$34=1,VLOOKUP($CP110,Control!$B$86:$G$91,5),Control!$B$38)</f>
        <v>#N/A</v>
      </c>
      <c r="GC110" s="162" t="e">
        <f t="shared" ca="1" si="400"/>
        <v>#N/A</v>
      </c>
      <c r="GD110" s="162">
        <f t="shared" ca="1" si="278"/>
        <v>1</v>
      </c>
      <c r="GE110" s="162">
        <f t="shared" ca="1" si="279"/>
        <v>1</v>
      </c>
      <c r="GF110" s="162">
        <f ca="1">IF(AND(Control!$C$104=1, Control!$C$62="F"),$GE110,1)</f>
        <v>1</v>
      </c>
      <c r="GG110" s="162" t="e">
        <f ca="1">IF(Control!$B$16=40,0,IF(AND(Control!$B$16&gt;40,Control!$B$16&lt;=360),(Control!$B$16-40)*((1-0)/(360-40)),IF(AND(Control!$B$16&gt;360,Control!$B$16&lt;=720),(1+(Control!$B$16-360)*((1.25-1)/(720-360))),IF(AND(Control!$B$16&gt;720,Control!$B$16&lt;=1000),(1.25+(Control!$B$16-720)*((1.35-1.25)/(1000-720))),IF(AND(Control!$B$16&gt;1000,Control!$B$16&lt;=2000),(1.35+(Control!$B$16-1000)*0))))))</f>
        <v>#N/A</v>
      </c>
      <c r="GH110" s="162" t="e">
        <f t="shared" ca="1" si="280"/>
        <v>#N/A</v>
      </c>
      <c r="GI110" s="162">
        <f t="shared" ca="1" si="401"/>
        <v>0</v>
      </c>
      <c r="GJ110" s="162">
        <f t="shared" ca="1" si="281"/>
        <v>0</v>
      </c>
      <c r="GK110" s="162">
        <f t="shared" ca="1" si="402"/>
        <v>1</v>
      </c>
      <c r="GL110" s="162">
        <f t="shared" ca="1" si="282"/>
        <v>1</v>
      </c>
      <c r="GM110" s="162" t="e">
        <f ca="1">MAX(0,MIN(1,1-Control!$C$156*(1.0001-$KH110)^2))</f>
        <v>#N/A</v>
      </c>
      <c r="GN110" s="162" t="e">
        <f ca="1">IF(Control!$B$26=1,$KU110,$KX110)</f>
        <v>#N/A</v>
      </c>
      <c r="GO110" s="162" t="e">
        <f ca="1">IF($CP110&lt;=60,Control!$C$105,IF($CP110&gt;=90,Control!$C$106,Control!$C$105+($CP110-60)*((Control!$C$106-Control!$C$105)/(90-60))))</f>
        <v>#N/A</v>
      </c>
      <c r="GP110" s="162" t="e">
        <f t="shared" ca="1" si="283"/>
        <v>#N/A</v>
      </c>
      <c r="GQ110" s="162" t="e">
        <f t="shared" ca="1" si="403"/>
        <v>#N/A</v>
      </c>
      <c r="GR110" s="163" t="e">
        <f t="shared" ca="1" si="284"/>
        <v>#DIV/0!</v>
      </c>
      <c r="GS110" s="162" t="e">
        <f t="shared" ca="1" si="285"/>
        <v>#DIV/0!</v>
      </c>
      <c r="GT110" s="164" t="e">
        <f t="shared" ca="1" si="404"/>
        <v>#N/A</v>
      </c>
      <c r="GU110" s="162" t="e">
        <f t="shared" ca="1" si="405"/>
        <v>#N/A</v>
      </c>
      <c r="GV110" s="162" t="e">
        <f t="shared" ca="1" si="286"/>
        <v>#N/A</v>
      </c>
      <c r="GW110" s="162" t="e">
        <f t="shared" ca="1" si="287"/>
        <v>#DIV/0!</v>
      </c>
      <c r="GX110" s="162" t="e">
        <f t="shared" ca="1" si="406"/>
        <v>#DIV/0!</v>
      </c>
      <c r="GY110" s="162" t="e">
        <f t="shared" ca="1" si="407"/>
        <v>#DIV/0!</v>
      </c>
      <c r="GZ110" s="165" t="e">
        <f t="shared" ca="1" si="288"/>
        <v>#N/A</v>
      </c>
      <c r="HA110" s="162" t="e">
        <f ca="1">IF(Control!$C$114=1, $DI110*$FS110, 0)</f>
        <v>#N/A</v>
      </c>
      <c r="HB110" s="162" t="e">
        <f ca="1">$FA110/Control!$C$64</f>
        <v>#N/A</v>
      </c>
      <c r="HC110" s="162" t="e">
        <f t="shared" ca="1" si="289"/>
        <v>#DIV/0!</v>
      </c>
      <c r="HD110" s="162">
        <f ca="1">-ASIN(SIN(23.45*Control!$C$139)*COS(2*Control!$C$138*($AH110+10)/365))</f>
        <v>0.16521632215699003</v>
      </c>
      <c r="HE110" s="165">
        <f t="shared" ca="1" si="408"/>
        <v>0</v>
      </c>
      <c r="HF110" s="166">
        <f ca="1">IF(AND(Control!$C$61="T",$HE110&gt;=Control!$C$103,Control!$C$114=0),$AH110,Control!$C$59)</f>
        <v>1</v>
      </c>
      <c r="HG110" s="166">
        <f ca="1">IF(AND(Control!$C$61="T",$HE110&gt;=Control!$C$103,Control!$C$114=0),$HF110,Control!$C$59)</f>
        <v>1</v>
      </c>
      <c r="HH110" s="165">
        <f ca="1">IF(AND(OR(Control!$C$60&lt;=0, $AH110= Control!$C$59, Control!$C$60 &gt;0, $AH110 = Control!$C$60)), Control!$C$59, IF(Control!$C$60&gt;0, 0))</f>
        <v>1</v>
      </c>
      <c r="HI110" s="165">
        <f ca="1">IF(AND(OR(Control!$C$60&lt;=0, $AH110= Control!$C$59, Control!$C$60 &gt;0, $AH110 = Control!$C$60)), Control!$C$60, IF(Control!$C$60&lt;=0, 0))</f>
        <v>0</v>
      </c>
      <c r="HJ110" s="166">
        <f ca="1">IF(AND(Control!$C$62="F",$CV110&gt;=Control!$C$102),$AH110,0)</f>
        <v>0</v>
      </c>
      <c r="HK110" s="165" t="e">
        <f t="shared" ca="1" si="445"/>
        <v>#N/A</v>
      </c>
      <c r="HL110" s="166">
        <f ca="1">IF(AND(Control!$C$61="T",$HE110&gt;=Control!$C$103,Control!$C$114=0),$HF110,0)</f>
        <v>0</v>
      </c>
      <c r="HM110" s="201" t="e">
        <f t="shared" ca="1" si="290"/>
        <v>#DIV/0!</v>
      </c>
      <c r="HN110" s="215">
        <f t="shared" ca="1" si="409"/>
        <v>106</v>
      </c>
      <c r="HO110" s="216" t="e">
        <f ca="1">IF(AND($CP110&gt;=0, $CP110&lt;=90), Control!$C$152, Control!$C$152)</f>
        <v>#N/A</v>
      </c>
      <c r="HP110" s="216" t="e">
        <f t="shared" ca="1" si="291"/>
        <v>#N/A</v>
      </c>
      <c r="HQ110" s="217" t="e">
        <f ca="1">IF(OR(Control!$B$26=1,Control!$B$26=2),$KV110,$KS110)</f>
        <v>#DIV/0!</v>
      </c>
      <c r="HR110" s="218" t="e">
        <f t="shared" ca="1" si="446"/>
        <v>#DIV/0!</v>
      </c>
      <c r="HS110" s="216" t="e">
        <f ca="1">Control!$C$154*$HP110</f>
        <v>#N/A</v>
      </c>
      <c r="HT110" s="216" t="e">
        <f ca="1">Control!$C$155*$HP110</f>
        <v>#N/A</v>
      </c>
      <c r="HU110" s="217" t="e">
        <f ca="1">Control!$C$161*$FI110</f>
        <v>#N/A</v>
      </c>
      <c r="HV110" s="218" t="e">
        <f t="shared" ca="1" si="410"/>
        <v>#N/A</v>
      </c>
      <c r="HW110" s="218" t="e">
        <f ca="1">Control!$C$160*$FF110+$IP110*$EO110</f>
        <v>#N/A</v>
      </c>
      <c r="HX110" s="218" t="e">
        <f t="shared" ca="1" si="447"/>
        <v>#N/A</v>
      </c>
      <c r="HY110" s="219" t="e">
        <f ca="1">IF(Control!$C$114=1, $EB110*$FS110, 0)</f>
        <v>#N/A</v>
      </c>
      <c r="HZ110" s="91" t="e">
        <f t="shared" ca="1" si="292"/>
        <v>#N/A</v>
      </c>
      <c r="IA110" s="220" t="e">
        <f ca="1">Control!$C$153*$HO110</f>
        <v>#N/A</v>
      </c>
      <c r="IB110" s="218" t="e">
        <f t="shared" ca="1" si="293"/>
        <v>#N/A</v>
      </c>
      <c r="IC110" s="220" t="e">
        <f ca="1">Control!$C$153*$HT110</f>
        <v>#N/A</v>
      </c>
      <c r="ID110" s="218" t="e">
        <f t="shared" ca="1" si="294"/>
        <v>#N/A</v>
      </c>
      <c r="IE110" s="221" t="e">
        <f ca="1">($EB110*Control!$C$159+$EF110*Control!$C$160)/(IF($GZ110&lt;&gt;0,$GZ110,1))</f>
        <v>#N/A</v>
      </c>
      <c r="IF110" s="216" t="e">
        <f t="shared" ca="1" si="295"/>
        <v>#N/A</v>
      </c>
      <c r="IG110" s="91">
        <f ca="1">IF(OR(Control!$B$198=$AH110,Control!$B$199=$AH110, Control!$B$200=$AH110, Control!$B$201=$AH110, Control!$B$202=$AH110, Control!$B$203=$AH110, Control!$B$204=$AH110, Control!$B$205=$AH110, Control!$B$206=$AH110, Control!$B$207=$AH110), 1, 0)</f>
        <v>0</v>
      </c>
      <c r="IH110" s="91">
        <f ca="1">IF($IG110=0,0, VLOOKUP($AH110,Control!$B$198:$C$207,2))</f>
        <v>0</v>
      </c>
      <c r="II110" s="222">
        <f t="shared" ca="1" si="411"/>
        <v>0</v>
      </c>
      <c r="IJ110" s="91">
        <f>Control!$C$121</f>
        <v>0.7</v>
      </c>
      <c r="IK110" s="218">
        <f t="shared" ca="1" si="296"/>
        <v>0</v>
      </c>
      <c r="IL110" s="217" t="e">
        <f t="shared" ca="1" si="448"/>
        <v>#N/A</v>
      </c>
      <c r="IM110" s="223" t="e">
        <f ca="1">IF(AND(Control!$C$114=1,$KH110&lt;1),$EB110*Control!$C$148*(1-$KH110), 0)</f>
        <v>#N/A</v>
      </c>
      <c r="IN110" s="217" t="e">
        <f t="shared" ca="1" si="297"/>
        <v>#DIV/0!</v>
      </c>
      <c r="IO110" s="91" t="e">
        <f ca="1">MAX(0,$IL110-$EF110*Control!$C$160)</f>
        <v>#N/A</v>
      </c>
      <c r="IP110" s="220" t="e">
        <f t="shared" ca="1" si="298"/>
        <v>#N/A</v>
      </c>
      <c r="IQ110" s="217" t="e">
        <f t="shared" ca="1" si="412"/>
        <v>#N/A</v>
      </c>
      <c r="IR110" s="218" t="e">
        <f t="shared" ca="1" si="299"/>
        <v>#N/A</v>
      </c>
      <c r="IS110" s="217" t="e">
        <f ca="1">Control!$C$159*MAX(0,$FD110-$EN110)</f>
        <v>#N/A</v>
      </c>
      <c r="IT110" s="217" t="e">
        <f t="shared" ca="1" si="449"/>
        <v>#N/A</v>
      </c>
      <c r="IU110" s="217" t="e">
        <f t="shared" ca="1" si="413"/>
        <v>#N/A</v>
      </c>
      <c r="IV110" s="217" t="e">
        <f t="shared" ca="1" si="450"/>
        <v>#N/A</v>
      </c>
      <c r="IW110" s="217" t="e">
        <f ca="1">IF(OR($AW110=1,AND($AW110=0, Control!$B$18=1,$EN110&lt;&gt;0)), $IQ110-$IU110, $IQ110)</f>
        <v>#N/A</v>
      </c>
      <c r="IX110" s="218" t="e">
        <f t="shared" ca="1" si="300"/>
        <v>#N/A</v>
      </c>
      <c r="IY110" s="218" t="e">
        <f ca="1">MAX(0,$IQ110-$EB110*Control!$C$159)</f>
        <v>#N/A</v>
      </c>
      <c r="IZ110" s="218" t="e">
        <f t="shared" ca="1" si="301"/>
        <v>#N/A</v>
      </c>
      <c r="JA110" s="216" t="e">
        <f t="shared" ca="1" si="302"/>
        <v>#N/A</v>
      </c>
      <c r="JB110" s="217" t="e">
        <f t="shared" ca="1" si="303"/>
        <v>#N/A</v>
      </c>
      <c r="JC110" s="222" t="e">
        <f ca="1">MAX(Control!$C$157*$EK110-$JT110, 0)/Control!$C$162</f>
        <v>#N/A</v>
      </c>
      <c r="JD110" s="218" t="e">
        <f t="shared" ca="1" si="304"/>
        <v>#N/A</v>
      </c>
      <c r="JE110" s="218" t="e">
        <f t="shared" ca="1" si="305"/>
        <v>#N/A</v>
      </c>
      <c r="JF110" s="218" t="e">
        <f t="shared" ca="1" si="414"/>
        <v>#N/A</v>
      </c>
      <c r="JG110" s="218" t="e">
        <f t="shared" ca="1" si="306"/>
        <v>#N/A</v>
      </c>
      <c r="JH110" s="217" t="e">
        <f t="shared" ca="1" si="415"/>
        <v>#N/A</v>
      </c>
      <c r="JI110" s="217" t="e">
        <f t="shared" ca="1" si="416"/>
        <v>#N/A</v>
      </c>
      <c r="JJ110" s="217" t="e">
        <f t="shared" ca="1" si="451"/>
        <v>#N/A</v>
      </c>
      <c r="JK110" s="217" t="e">
        <f ca="1">IF(Control!$C$114=1,IF(Control!$B$24=0,MAX(0,$JI110)*$GN110/Control!$C$64,(MAX(0,MIN($JI110,$JJ110*$GN110/Control!$C$64),0))))</f>
        <v>#N/A</v>
      </c>
      <c r="JL110" s="217" t="e">
        <f ca="1">$IK110/Control!$C$64-$JK110+$HQ110</f>
        <v>#N/A</v>
      </c>
      <c r="JM110" s="217" t="e">
        <f ca="1">IF(Control!$C$114=1,($JB110/(IF($JI110&lt;&gt;0,$JI110,1)))*$JK110,0)</f>
        <v>#N/A</v>
      </c>
      <c r="JN110" s="217" t="e">
        <f ca="1">IF(Control!$C$114=1,($JG110/(IF($JI110&lt;&gt;0,$JI110,1)))*$JK110, 0)</f>
        <v>#N/A</v>
      </c>
      <c r="JO110" s="218" t="e">
        <f t="shared" ca="1" si="307"/>
        <v>#N/A</v>
      </c>
      <c r="JP110" s="218" t="e">
        <f ca="1">MIN(($IY110+$IO110)*Control!$C$151, $JF110-$EH110*Control!$C$161)</f>
        <v>#N/A</v>
      </c>
      <c r="JQ110" s="218" t="e">
        <f t="shared" ca="1" si="308"/>
        <v>#N/A</v>
      </c>
      <c r="JR110" s="217" t="e">
        <f ca="1">IF($CP110-Control!$C$150&lt;0, 0, $JQ110/Control!$C$162)</f>
        <v>#N/A</v>
      </c>
      <c r="JS110" s="218" t="e">
        <f t="shared" ca="1" si="309"/>
        <v>#N/A</v>
      </c>
      <c r="JT110" s="218" t="e">
        <f t="shared" ca="1" si="417"/>
        <v>#N/A</v>
      </c>
      <c r="JU110" s="218" t="e">
        <f t="shared" ca="1" si="310"/>
        <v>#N/A</v>
      </c>
      <c r="JV110" s="218" t="e">
        <f t="shared" ca="1" si="311"/>
        <v>#N/A</v>
      </c>
      <c r="JW110" s="216" t="e">
        <f t="shared" ca="1" si="312"/>
        <v>#N/A</v>
      </c>
      <c r="JX110" s="91" t="e">
        <f t="shared" ca="1" si="313"/>
        <v>#N/A</v>
      </c>
      <c r="JY110" s="218" t="e">
        <f t="shared" ca="1" si="314"/>
        <v>#N/A</v>
      </c>
      <c r="JZ110" s="217" t="e">
        <f ca="1">IF(Control!$C$114=1,($IZ110/(IF($JI110&lt;&gt;0,$JI110,1)))*$JK110, 0)</f>
        <v>#N/A</v>
      </c>
      <c r="KA110" s="218" t="e">
        <f t="shared" ca="1" si="452"/>
        <v>#N/A</v>
      </c>
      <c r="KB110" s="218" t="e">
        <f t="shared" ca="1" si="418"/>
        <v>#N/A</v>
      </c>
      <c r="KC110" s="218" t="e">
        <f t="shared" ca="1" si="315"/>
        <v>#N/A</v>
      </c>
      <c r="KD110" s="218" t="e">
        <f t="shared" ca="1" si="316"/>
        <v>#N/A</v>
      </c>
      <c r="KE110" s="218" t="e">
        <f t="shared" ca="1" si="317"/>
        <v>#N/A</v>
      </c>
      <c r="KF110" s="218" t="e">
        <f t="shared" ca="1" si="318"/>
        <v>#N/A</v>
      </c>
      <c r="KG110" s="216" t="e">
        <f t="shared" ca="1" si="319"/>
        <v>#N/A</v>
      </c>
      <c r="KH110" s="221" t="e">
        <f ca="1">IF(Control!$B$24=0,1,MAX(0.001,MIN(1,IF(($IF110-$IE110)&lt;&gt;0,($KG110-$IE110)/($IF110-$IE110),1))))</f>
        <v>#N/A</v>
      </c>
      <c r="KI110" s="222" t="e">
        <f ca="1">IF(Control!$C$114=1, $KI109+ $KH109, 0)</f>
        <v>#N/A</v>
      </c>
      <c r="KJ110" s="217" t="e">
        <f t="shared" ca="1" si="320"/>
        <v>#N/A</v>
      </c>
      <c r="KK110" s="218" t="e">
        <f t="shared" ca="1" si="321"/>
        <v>#N/A</v>
      </c>
      <c r="KL110" s="274" t="e">
        <f ca="1">IF(Control!$B$26=3,4000000000*EXP(-8400/($G110+273)),IF(Control!$B$26=4,4000000000*EXP(-8400/($G110+273))*($KT110),0))</f>
        <v>#DIV/0!</v>
      </c>
      <c r="KM110" s="274" t="e">
        <f ca="1">IF(Control!$B$26=3,5600000000000*EXP(-9800/($G110+273)),IF(Control!$B$26=4,5600000000000*EXP(-9800/($G110+273))*$KT110,0))</f>
        <v>#DIV/0!</v>
      </c>
      <c r="KN110" s="454" t="e">
        <f t="shared" ca="1" si="419"/>
        <v>#DIV/0!</v>
      </c>
      <c r="KO110" s="274" t="e">
        <f t="shared" ca="1" si="420"/>
        <v>#DIV/0!</v>
      </c>
      <c r="KP110" s="454" t="e">
        <f t="shared" ca="1" si="322"/>
        <v>#DIV/0!</v>
      </c>
      <c r="KQ110" s="454" t="e">
        <f t="shared" ca="1" si="323"/>
        <v>#DIV/0!</v>
      </c>
      <c r="KR110" s="454" t="e">
        <f t="shared" ca="1" si="324"/>
        <v>#DIV/0!</v>
      </c>
      <c r="KS110" s="454" t="e">
        <f t="shared" ca="1" si="325"/>
        <v>#DIV/0!</v>
      </c>
      <c r="KT110" s="455" t="e">
        <f t="shared" ca="1" si="326"/>
        <v>#DIV/0!</v>
      </c>
      <c r="KU110" s="456" t="e">
        <f ca="1">IF($CP110-Control!$C$149&lt;0, IF($NT110-0.01&lt;0,0,1),0)</f>
        <v>#N/A</v>
      </c>
      <c r="KV110" s="456" t="e">
        <f ca="1">IF(Control!$C$114=1,MAX(0,MIN(Control!$C$125*$KW110*$GN110,$KW110)))</f>
        <v>#DIV/0!</v>
      </c>
      <c r="KW110" s="456" t="e">
        <f t="shared" ca="1" si="453"/>
        <v>#DIV/0!</v>
      </c>
      <c r="KX110" s="457" t="e">
        <f ca="1">IF($CP110-Control!$C$149&lt;0, IF($MR110-$OM110&lt;0,0,1),0)</f>
        <v>#N/A</v>
      </c>
      <c r="KY110" s="167">
        <f t="shared" ca="1" si="421"/>
        <v>106</v>
      </c>
      <c r="KZ110" s="168">
        <f ca="1">1370*(1+0.033*COS(2*Control!$C$138*$AH110/365))</f>
        <v>1358.6435104878799</v>
      </c>
      <c r="LA110" s="169">
        <f t="shared" ca="1" si="422"/>
        <v>0.99171072789180092</v>
      </c>
      <c r="LB110" s="169">
        <f t="shared" ca="1" si="423"/>
        <v>0.17224775100285461</v>
      </c>
      <c r="LC110" s="169">
        <f ca="1">ACOS(-TAN((2*Control!$B$8/360))*TAN(Calculations!$LB110))</f>
        <v>1.6225243273456686</v>
      </c>
      <c r="LD110" s="169">
        <f ca="1">((24*60)/PI())*0.082*$LA110*(($LC110*SIN(Control!$B$8*2*PI()/360))*SIN($LB110)+COS(Control!$B$8*2*PI()/360)*COS($LB110)*SIN($LC110))</f>
        <v>30.747055541933143</v>
      </c>
      <c r="LE110" s="170">
        <f t="shared" ca="1" si="327"/>
        <v>30.809285500848322</v>
      </c>
      <c r="LF110" s="170">
        <f ca="1">SIN(Control!$C$139*Control!$B$8)*SIN($HD110)</f>
        <v>0.12960096399094065</v>
      </c>
      <c r="LG110" s="170">
        <f ca="1">COS(Control!$C$139*Control!$B$8)*COS($HD110)</f>
        <v>0.60727624078571807</v>
      </c>
      <c r="LH110" s="170">
        <f ca="1">12*(1+2*ASIN(MAX(-1,MIN(1,$LF110/$LG110))/Control!$C$138))</f>
        <v>13.63161197469225</v>
      </c>
      <c r="LI110" s="170">
        <f ca="1">12*(1+2*ASIN(MAX(-1,MIN(1,(-SIN(-4*Control!$C$139)+$LF110)/$LG110))/Control!$C$138))</f>
        <v>14.512467217180038</v>
      </c>
      <c r="LJ110" s="168">
        <f ca="1">3600*($LH110*$LF110+24*$LG110*SQRT(1-$LK110*$LK110)/Control!$C$138)</f>
        <v>22676.504368526304</v>
      </c>
      <c r="LK110" s="170">
        <f t="shared" ca="1" si="328"/>
        <v>0.21341352631095495</v>
      </c>
      <c r="LL110" s="170">
        <f t="shared" ca="1" si="329"/>
        <v>0</v>
      </c>
      <c r="LM110" s="171">
        <f ca="1">Control!$C$145*$AB110</f>
        <v>6.6660906138995932E-2</v>
      </c>
      <c r="LN110" s="170">
        <f t="shared" ca="1" si="424"/>
        <v>0.54</v>
      </c>
      <c r="LO110" s="170">
        <f t="shared" ca="1" si="330"/>
        <v>0</v>
      </c>
      <c r="LP110" s="170">
        <f ca="1">Control!$C$140*((($D110+273.16)^4+($E110+273.16)^4)/2)*(0.34-0.14*SQRT($Y110))*(1.35*$AQ110/(0.75*$LD110)-0.35)</f>
        <v>-3.2464704755046001</v>
      </c>
      <c r="LQ110" s="170">
        <f ca="1">Control!$C$140*($G110+273)^4*(0.56-0.079*SQRT($Y110*10))*(0.1+0.9*$LO110)</f>
        <v>1.5241745131704001</v>
      </c>
      <c r="LR110" s="170">
        <f ca="1">$AQ110*(1-Control!$C$142)-$LQ110</f>
        <v>-1.5241745131704001</v>
      </c>
      <c r="LS110" s="170">
        <f ca="1">$AQ110*(1-Control!$C$143)-$LQ110</f>
        <v>-1.5241745131704001</v>
      </c>
      <c r="LT110" s="170">
        <f ca="1">$AQ110*(1-Control!$C$144)-$LQ110</f>
        <v>-1.5241745131704001</v>
      </c>
      <c r="LU110" s="169">
        <f ca="1">(1-Control!$C$144)*AQ110-LP110</f>
        <v>3.2464704755046001</v>
      </c>
      <c r="LV110" s="172">
        <f t="shared" ca="1" si="331"/>
        <v>0.79430000000000012</v>
      </c>
      <c r="LW110" s="170">
        <f t="shared" ca="1" si="332"/>
        <v>1.5886000000000002</v>
      </c>
      <c r="LX110" s="170">
        <f ca="1">($AC110*($LR110/Control!$C$141)+$LM110*$LV110)/($AC110+$LM110)</f>
        <v>0.23530094218323697</v>
      </c>
      <c r="LY110" s="170">
        <f ca="1">($AC110*($LS110/Control!$C$141)+$LM110*$LV110)/($AC110+$LM110)</f>
        <v>0.23530094218323697</v>
      </c>
      <c r="LZ110" s="170">
        <f t="shared" ca="1" si="333"/>
        <v>0.23530094218323697</v>
      </c>
      <c r="MA110" s="170">
        <f t="shared" ca="1" si="334"/>
        <v>0.23530094218323697</v>
      </c>
      <c r="MB110" s="170" t="e">
        <f t="shared" ca="1" si="335"/>
        <v>#N/A</v>
      </c>
      <c r="MC110" s="170">
        <f t="shared" ca="1" si="425"/>
        <v>0.6018</v>
      </c>
      <c r="MD110" s="170">
        <f t="shared" ca="1" si="336"/>
        <v>0.52989392535414004</v>
      </c>
      <c r="ME110" s="170">
        <f ca="1">($AC110*($LT110/Control!$C$141)+$LM110*$LW110)/($AC110+$LM110)</f>
        <v>0.71612369323045078</v>
      </c>
      <c r="MF110" s="170" t="e">
        <f ca="1">IF(Control!$B$16&gt;=1000,0.92,IF(AND(720&lt;=Control!$B$16,1000&gt;Control!$B$16),(0.95+(Control!$B$16-720)*((0.92-0.95)/(1000-720))),IF(AND(360&lt;=Control!$B$16,720&gt;Control!$B$16),(1+(Control!$B$16-360)*((0.95-1)/(720-360))),IF(AND(40&lt;=Control!$B$16,360&gt;Control!$B$16),(1.05+(Control!$B$16-40)*((1.05-1)/(360-40)))))))</f>
        <v>#N/A</v>
      </c>
      <c r="MG110" s="170">
        <f t="shared" ca="1" si="337"/>
        <v>0.71612369323045078</v>
      </c>
      <c r="MH110" s="170" t="e">
        <f t="shared" ca="1" si="463"/>
        <v>#N/A</v>
      </c>
      <c r="MI110" s="170" t="e">
        <f t="shared" ca="1" si="463"/>
        <v>#N/A</v>
      </c>
      <c r="MJ110" s="170" t="e">
        <f ca="1">MAX(0.0001, Control!$C$132*$MI110*$DL110)</f>
        <v>#N/A</v>
      </c>
      <c r="MK110" s="170">
        <f ca="1">1/(0.76+1.5*($MG110/10))-(5-Control!$C$110)*0.1</f>
        <v>1.002845988140797</v>
      </c>
      <c r="ML110" s="173">
        <f ca="1">IF(Control!$C$110&lt;3,$MK110+($MG110-0.6)/(Control!$C$110*(Control!$C$110+3)), MAX(0.1, MIN(0.95,$MK110)))</f>
        <v>0.95</v>
      </c>
      <c r="MM110" s="173">
        <f ca="1">IF(Control!$C$110&lt;3,$MK110+(($MI110/10)-0.6)/(Control!$C$110*(Control!$C$110+3)), MAX(0.1, MIN(0.95,$MK110)))</f>
        <v>0.95</v>
      </c>
      <c r="MN110" s="173">
        <f ca="1">(1-$MM110)*(Control!$C$128-Control!$C$127)+Control!$C$127</f>
        <v>0.16</v>
      </c>
      <c r="MO110" s="170" t="e">
        <f ca="1">MAX(0,MIN(1,($MS110-Control!$C$127)/($MN110-Control!$C$127)))</f>
        <v>#DIV/0!</v>
      </c>
      <c r="MP110" s="173" t="e">
        <f ca="1">1/(0.76+1.5*$MI110)-(5-Control!$C$110)*0.1</f>
        <v>#N/A</v>
      </c>
      <c r="MQ110" s="172" t="e">
        <f t="shared" ca="1" si="454"/>
        <v>#DIV/0!</v>
      </c>
      <c r="MR110" s="168" t="e">
        <f t="shared" ca="1" si="426"/>
        <v>#DIV/0!</v>
      </c>
      <c r="MS110" s="173" t="e">
        <f ca="1">MAX(Control!$C$127, MIN(Control!$C$135, $MR110/MAX(0.0001,$CY110)))</f>
        <v>#DIV/0!</v>
      </c>
      <c r="MT110" s="168" t="e">
        <f ca="1">(Control!$C$128-$MS110)*Control!$C$74</f>
        <v>#DIV/0!</v>
      </c>
      <c r="MU110" s="168" t="e">
        <f ca="1">(Control!$C$135-$MS110)*Control!$C$74</f>
        <v>#DIV/0!</v>
      </c>
      <c r="MV110" s="168" t="e">
        <f t="shared" ca="1" si="427"/>
        <v>#DIV/0!</v>
      </c>
      <c r="MW110" s="168" t="e">
        <f t="shared" ca="1" si="428"/>
        <v>#DIV/0!</v>
      </c>
      <c r="MX110" s="171" t="e">
        <f ca="1">MAX(Control!$C$127, MIN(Control!$C$135, $MW110/MAX(0.0001,Control!$C$119-$CY110)))</f>
        <v>#DIV/0!</v>
      </c>
      <c r="MY110" s="54" t="e">
        <f ca="1">IF(Control!$C$114=1, $CX110*$MX110, 0)</f>
        <v>#DIV/0!</v>
      </c>
      <c r="MZ110" s="54" t="e">
        <f t="shared" ca="1" si="429"/>
        <v>#N/A</v>
      </c>
      <c r="NA110" s="168" t="e">
        <f ca="1">(Control!$C$128-$MX110)*(Control!$C$119-Control!$C$74)</f>
        <v>#DIV/0!</v>
      </c>
      <c r="NB110" s="168" t="e">
        <f ca="1">(Control!$C$135-$MX110)*(Control!$C$119-Control!$C$74)</f>
        <v>#DIV/0!</v>
      </c>
      <c r="NC110" s="174" t="e">
        <f t="shared" ca="1" si="430"/>
        <v>#DIV/0!</v>
      </c>
      <c r="ND110" s="54">
        <f ca="1">IF(Control!$C$58=2, IF(OR(Control!$B$218=$AH110,Control!$B$219=$AH110, Control!$B$220=$AH110, Control!$B$221=$AH110, Control!$B$222=$AH110, Control!$B$223=$AH110, Control!$B$224=$AH110, Control!$B$225=$AH110, Control!$B$226=$AH110, Control!$B$227=$AH110, Control!$B$228=$AH110), 1, 0), 0)</f>
        <v>0</v>
      </c>
      <c r="NE110" s="54">
        <f ca="1">IF($ND110=0,0, VLOOKUP($AH110,Control!$B$218:$C$228,2))</f>
        <v>0</v>
      </c>
      <c r="NF110" s="168" t="e">
        <f ca="1">$CY110*(Control!$C$128-Control!$C$127)</f>
        <v>#N/A</v>
      </c>
      <c r="NG110" s="54" t="e">
        <f ca="1">IF(Control!$C$58=2, $NI109-$NJ109, 0)</f>
        <v>#DIV/0!</v>
      </c>
      <c r="NH110" s="54" t="e">
        <f ca="1">IF(AND(Control!$C$58=1, $MS109&lt;= ($MN109+0.02), $I109&lt;10), 0, IF(Control!$C$58=2, $NG109, 0))</f>
        <v>#DIV/0!</v>
      </c>
      <c r="NI110" s="54" t="e">
        <f ca="1">IF(Control!$C$58=2, $NE110+$NH110,0)</f>
        <v>#DIV/0!</v>
      </c>
      <c r="NJ110" s="54" t="e">
        <f ca="1">IF(AND(Control!$C$58=1, $MS110&lt;= ($MN110+0.02), $I110&lt;10), MAX(0, MIN(10, 0.7*($NF110-$MV110))), IF(Control!$C$58=2, MIN(10,$NI110),0))</f>
        <v>#DIV/0!</v>
      </c>
      <c r="NK110" s="54" t="e">
        <f t="shared" ca="1" si="338"/>
        <v>#DIV/0!</v>
      </c>
      <c r="NL110" s="173" t="e">
        <f ca="1">(1-Control!$C$73)*$I110+$NJ110</f>
        <v>#DIV/0!</v>
      </c>
      <c r="NM110" s="172" t="e">
        <f ca="1">IF($NL110&lt;0.5, $MB110* MAX(0, MIN(1, (SQRT($NC110)-SQRT($NC110-1))*Control!$C$71)),0)</f>
        <v>#DIV/0!</v>
      </c>
      <c r="NN110" s="170" t="e">
        <f ca="1">IF($NL110&gt;=5, $MB110, MAX(0,MIN($MB110, $NM110+$NL110,($MS110-Control!$C$129))))</f>
        <v>#DIV/0!</v>
      </c>
      <c r="NO110" s="54">
        <f>IF(Control!$C$133&lt;&gt;1, Control!$C$135-Control!$C$131, 0)</f>
        <v>0.38</v>
      </c>
      <c r="NP110" s="54" t="e">
        <f t="shared" ca="1" si="339"/>
        <v>#DIV/0!</v>
      </c>
      <c r="NQ110" s="173" t="e">
        <f ca="1">MAX(0,MIN(1,(Control!$C$135-$MS110)/(Control!$C$135-$NO110)))</f>
        <v>#DIV/0!</v>
      </c>
      <c r="NR110" s="170" t="e">
        <f ca="1">IF(Control!$C$133&lt;&gt;1, $NQ110+((1-$NP110/4)*(1-$NQ110)),1)</f>
        <v>#DIV/0!</v>
      </c>
      <c r="NS110" s="170" t="e">
        <f ca="1">IF(Control!$B$31=0,$MJ110,MAX(0,MIN($MV110,$MO110*$NR110*$MJ110)))</f>
        <v>#DIV/0!</v>
      </c>
      <c r="NT110" s="170" t="e">
        <f t="shared" ca="1" si="455"/>
        <v>#DIV/0!</v>
      </c>
      <c r="NU110" s="170" t="e">
        <f t="shared" ca="1" si="431"/>
        <v>#N/A</v>
      </c>
      <c r="NV110" s="170" t="e">
        <f t="shared" ca="1" si="340"/>
        <v>#N/A</v>
      </c>
      <c r="NW110" s="175" t="e">
        <f t="shared" ca="1" si="341"/>
        <v>#DIV/0!</v>
      </c>
      <c r="NX110" s="170" t="e">
        <f ca="1">MIN(Control!$C$72+$MU110, $NW110)</f>
        <v>#DIV/0!</v>
      </c>
      <c r="NY110" s="170" t="e">
        <f ca="1">IF($MT110&lt;=$NX110,MIN(Control!$C$72+$NB110,$NX110-$MT110),0)</f>
        <v>#DIV/0!</v>
      </c>
      <c r="NZ110" s="54" t="e">
        <f ca="1">IF(Control!$C$114=1,  $CX110*($MX110-Control!$C$127), 0)</f>
        <v>#DIV/0!</v>
      </c>
      <c r="OA110" s="170" t="e">
        <f t="shared" ca="1" si="342"/>
        <v>#DIV/0!</v>
      </c>
      <c r="OB110" s="170" t="e">
        <f ca="1">IF($NA110 &lt;=$NY110, MIN(Control!$C$72, $NY110-$NA110), 0)</f>
        <v>#DIV/0!</v>
      </c>
      <c r="OC110" s="168" t="e">
        <f t="shared" ca="1" si="343"/>
        <v>#DIV/0!</v>
      </c>
      <c r="OD110" s="168" t="e">
        <f t="shared" ca="1" si="432"/>
        <v>#DIV/0!</v>
      </c>
      <c r="OE110" s="170">
        <f ca="1">Control!$C$73*$I110</f>
        <v>0</v>
      </c>
      <c r="OF110" s="176" t="e">
        <f t="shared" ca="1" si="344"/>
        <v>#DIV/0!</v>
      </c>
      <c r="OG110" s="168" t="e">
        <f t="shared" ca="1" si="345"/>
        <v>#DIV/0!</v>
      </c>
      <c r="OH110" s="168" t="e">
        <f t="shared" ca="1" si="346"/>
        <v>#DIV/0!</v>
      </c>
      <c r="OI110" s="168" t="e">
        <f t="shared" ca="1" si="347"/>
        <v>#DIV/0!</v>
      </c>
      <c r="OJ110" s="168" t="e">
        <f t="shared" ca="1" si="348"/>
        <v>#DIV/0!</v>
      </c>
      <c r="OK110" s="204" t="e">
        <f t="shared" ca="1" si="349"/>
        <v>#DIV/0!</v>
      </c>
      <c r="OL110" s="177">
        <f>Control!$C$127</f>
        <v>0.15</v>
      </c>
      <c r="OM110" s="182" t="e">
        <f t="shared" ca="1" si="350"/>
        <v>#N/A</v>
      </c>
      <c r="ON110" s="177">
        <f>Control!$C$128</f>
        <v>0.35</v>
      </c>
      <c r="OO110" s="182" t="e">
        <f t="shared" ca="1" si="351"/>
        <v>#N/A</v>
      </c>
      <c r="OP110" s="138">
        <f t="shared" ca="1" si="433"/>
        <v>0</v>
      </c>
      <c r="OQ110" s="138" t="e">
        <f t="shared" ca="1" si="456"/>
        <v>#DIV/0!</v>
      </c>
      <c r="OR110" s="138" t="e">
        <f t="shared" ca="1" si="434"/>
        <v>#DIV/0!</v>
      </c>
      <c r="OS110" s="137" t="e">
        <f t="shared" ca="1" si="457"/>
        <v>#DIV/0!</v>
      </c>
      <c r="OT110" s="139" t="e">
        <f t="shared" ca="1" si="458"/>
        <v>#DIV/0!</v>
      </c>
      <c r="OU110" s="138" t="e">
        <f t="shared" ca="1" si="459"/>
        <v>#N/A</v>
      </c>
      <c r="OV110" s="138" t="e">
        <f t="shared" ca="1" si="460"/>
        <v>#DIV/0!</v>
      </c>
      <c r="OW110" s="138" t="e">
        <f t="shared" ca="1" si="435"/>
        <v>#DIV/0!</v>
      </c>
      <c r="OX110" s="138" t="e">
        <f t="shared" ca="1" si="436"/>
        <v>#DIV/0!</v>
      </c>
      <c r="OY110" s="138" t="e">
        <f t="shared" ca="1" si="437"/>
        <v>#DIV/0!</v>
      </c>
      <c r="OZ110" s="138" t="e">
        <f t="shared" ca="1" si="352"/>
        <v>#DIV/0!</v>
      </c>
      <c r="PA110" s="138" t="e">
        <f t="shared" ca="1" si="353"/>
        <v>#DIV/0!</v>
      </c>
      <c r="PB110" s="55">
        <f>IF(Control!$C$61="T", IF(Control!$C$65="F", IF($AH$6-Control!$C$60&lt;0,0,1), IF(365+$AH$6-Control!$C$60&lt;0,0,1)),0)</f>
        <v>0</v>
      </c>
      <c r="PC110" s="55">
        <f ca="1">IF(Control!$C$65="F", IF($AH$6-$HF110&lt;0,0,1), IF(365+$AH$6-$HF110&lt;0,0,1))</f>
        <v>1</v>
      </c>
      <c r="PD110" s="444">
        <f>Control!$C$118</f>
        <v>1500</v>
      </c>
      <c r="PE110" s="180" t="e">
        <f t="shared" ca="1" si="354"/>
        <v>#N/A</v>
      </c>
      <c r="PF110" s="445">
        <f t="shared" ca="1" si="438"/>
        <v>0.71612369323045078</v>
      </c>
      <c r="PT110" s="186"/>
      <c r="PU110" s="186"/>
      <c r="PV110" s="94"/>
      <c r="PW110" s="94"/>
      <c r="PX110" s="94"/>
      <c r="PY110" s="94"/>
      <c r="PZ110" s="94"/>
      <c r="QA110" s="94"/>
      <c r="QB110" s="94"/>
      <c r="QC110" s="94"/>
      <c r="QD110" s="94"/>
      <c r="QE110" s="94"/>
      <c r="QF110" s="94"/>
      <c r="QG110" s="94"/>
      <c r="QH110" s="94"/>
      <c r="QI110" s="94"/>
      <c r="QJ110" s="94"/>
      <c r="QK110" s="94"/>
      <c r="QL110" s="94"/>
      <c r="QM110" s="94"/>
      <c r="QN110" s="94"/>
      <c r="QO110" s="94"/>
      <c r="QP110" s="94"/>
    </row>
    <row r="111" spans="1:458" s="2" customFormat="1" x14ac:dyDescent="0.2">
      <c r="A111" s="395">
        <v>16</v>
      </c>
      <c r="B111" s="396">
        <v>4</v>
      </c>
      <c r="C111" s="387">
        <f ca="1">Weather_data!$B110</f>
        <v>0</v>
      </c>
      <c r="D111" s="388">
        <f ca="1">Weather_data!$F110</f>
        <v>0</v>
      </c>
      <c r="E111" s="388">
        <f ca="1">Weather_data!$E110</f>
        <v>0</v>
      </c>
      <c r="F111" s="388">
        <f t="shared" ca="1" si="355"/>
        <v>0</v>
      </c>
      <c r="G111" s="388">
        <f ca="1">AVERAGE($D111:$E111)+Control!$B$9</f>
        <v>0</v>
      </c>
      <c r="H111" s="388">
        <f ca="1">Weather_data!$G110</f>
        <v>0</v>
      </c>
      <c r="I111" s="388">
        <f ca="1">Weather_data!$I110</f>
        <v>0</v>
      </c>
      <c r="J111" s="388">
        <f ca="1">Weather_data!$H110</f>
        <v>0</v>
      </c>
      <c r="K111" s="389">
        <f ca="1">Weather_data!$D110</f>
        <v>0</v>
      </c>
      <c r="L111" s="388" t="e">
        <f t="shared" ca="1" si="356"/>
        <v>#N/A</v>
      </c>
      <c r="M111" s="388" t="e">
        <f t="shared" ca="1" si="234"/>
        <v>#N/A</v>
      </c>
      <c r="N111" s="388">
        <f t="shared" ca="1" si="235"/>
        <v>-7.8421202145657652E-6</v>
      </c>
      <c r="O111" s="388">
        <f t="shared" ca="1" si="357"/>
        <v>7.8421202145657648E-5</v>
      </c>
      <c r="P111" s="390">
        <v>3</v>
      </c>
      <c r="Q111" s="388">
        <f ca="1">MAX($G111-Control!$C$107,0)</f>
        <v>0</v>
      </c>
      <c r="R111" s="388">
        <f t="shared" ca="1" si="358"/>
        <v>0</v>
      </c>
      <c r="S111" s="388">
        <f t="shared" ca="1" si="236"/>
        <v>0</v>
      </c>
      <c r="T111" s="388">
        <f t="shared" ca="1" si="237"/>
        <v>0</v>
      </c>
      <c r="U111" s="59">
        <f t="shared" ca="1" si="238"/>
        <v>0</v>
      </c>
      <c r="V111" s="391">
        <f ca="1">MAX(0,MIN(Control!$C$100-Control!$C$99,$G111-Control!$C$99)*Control!$C$63)</f>
        <v>0</v>
      </c>
      <c r="W111" s="388">
        <f t="shared" ca="1" si="359"/>
        <v>0</v>
      </c>
      <c r="X111" s="388">
        <f t="shared" ca="1" si="360"/>
        <v>0.6110000000000001</v>
      </c>
      <c r="Y111" s="388">
        <f t="shared" ca="1" si="239"/>
        <v>0</v>
      </c>
      <c r="Z111" s="388">
        <f t="shared" ca="1" si="361"/>
        <v>0.61058800000000002</v>
      </c>
      <c r="AA111" s="388">
        <f t="shared" ca="1" si="240"/>
        <v>0.6018</v>
      </c>
      <c r="AB111" s="388">
        <f ca="1">101.3*EXP(-0.034*Control!$C$66/($G111+273))</f>
        <v>100.69623283836242</v>
      </c>
      <c r="AC111" s="392">
        <f t="shared" ca="1" si="241"/>
        <v>4.3460251046025113E-2</v>
      </c>
      <c r="AD111" s="392">
        <f t="shared" ca="1" si="242"/>
        <v>4.4450382862832649E-2</v>
      </c>
      <c r="AE111" s="388">
        <f t="shared" ca="1" si="243"/>
        <v>0</v>
      </c>
      <c r="AF111" s="388">
        <f ca="1">MAX(0,$G111-Control!$C$92)</f>
        <v>0</v>
      </c>
      <c r="AG111" s="393">
        <f t="shared" ca="1" si="244"/>
        <v>107</v>
      </c>
      <c r="AH111" s="389">
        <f t="shared" ca="1" si="245"/>
        <v>107</v>
      </c>
      <c r="AI111" s="388">
        <f t="shared" ca="1" si="362"/>
        <v>0.17151876940364971</v>
      </c>
      <c r="AJ111" s="388">
        <f ca="1">IF(Control!$C$60&lt;=0,$HH111,$HI111)</f>
        <v>1</v>
      </c>
      <c r="AK111" s="388">
        <f t="shared" ca="1" si="246"/>
        <v>0.46478357066807896</v>
      </c>
      <c r="AL111" s="388">
        <f t="shared" ca="1" si="247"/>
        <v>-1.2623530692978945E-18</v>
      </c>
      <c r="AM111" s="388">
        <f t="shared" ca="1" si="248"/>
        <v>0.46478357066807896</v>
      </c>
      <c r="AN111" s="388">
        <f t="shared" ca="1" si="249"/>
        <v>0.17926421962020433</v>
      </c>
      <c r="AO111" s="388">
        <f ca="1">-0.10453/COS(Control!$B$8*PI()/180)*COS(AN111)</f>
        <v>-0.16706408774294065</v>
      </c>
      <c r="AP111" s="388">
        <f ca="1">ACOS(AO111-TAN(Control!$B$8*PI()/180)*TAN(AN111))</f>
        <v>1.9812241462300433</v>
      </c>
      <c r="AQ111" s="388">
        <f t="shared" ca="1" si="363"/>
        <v>0</v>
      </c>
      <c r="AR111" s="394">
        <f t="shared" ca="1" si="250"/>
        <v>0</v>
      </c>
      <c r="AS111" s="436">
        <f ca="1">IF(Control!$B$18=2,(IF(OR($AH111=Control!$B$175,$AH111=Control!$B$176,$AH111=Control!$B$177,$AH111=Control!$B$178,$AH111=Control!$B$179,$AH111=Control!$B$180,$AH111=Control!$B$181,$AH111=Control!$B$182,$AH111=Control!$B$183,$AH111=Control!$B$184,$AH111=Control!$B$185),1,0)),0)</f>
        <v>0</v>
      </c>
      <c r="AT111" s="436">
        <f>IF(Control!$B$20=8,IF(AND($AH111&gt;=Control!$B$172,$AH111&lt;=Control!$B$173),1,0),0)</f>
        <v>0</v>
      </c>
      <c r="AU111" s="436">
        <f>IF(Control!$B$20=8,IF($AV110=1,1*$AT111,IF($AT111=1,$AU110+1,$AU110)),0)</f>
        <v>0</v>
      </c>
      <c r="AV111" s="436">
        <f>IF(Control!$B$20=8,IF($AU111&gt;=Control!$B$174,1,0),0)</f>
        <v>0</v>
      </c>
      <c r="AW111" s="436">
        <f ca="1">IF(AND(Control!$B$18=2,Control!$B$171=1), $AV111, $AS111)</f>
        <v>0</v>
      </c>
      <c r="AX111" s="436" t="e">
        <f ca="1">IF(AND(Control!$B$18=1,$EU111&gt;=Control!$B$19),-$AY111,IF(AND(Control!$B$18=2,$AW111=1,$EU111&gt;$DS111),-$AY111, IF(Control!$C$108=0,0, IF(Control!$C$108&lt;&gt;0,1))))</f>
        <v>#N/A</v>
      </c>
      <c r="AY111" s="436" t="e">
        <f t="shared" ca="1" si="364"/>
        <v>#N/A</v>
      </c>
      <c r="AZ111" s="436" t="e">
        <f ca="1">IF(AND(Control!$B$18=1,$EB111&gt;Control!$B$19),$AZ110+1, IF(AND(Control!$B$18=2, $AW111=1, $EB111&gt;$DS111), $AZ110+1,$AZ110))</f>
        <v>#N/A</v>
      </c>
      <c r="BA111" s="587">
        <f>IF(Control!$C$81=0,1,IF($AH111&gt;=Control!$C$82,1,0))</f>
        <v>1</v>
      </c>
      <c r="BB111" s="140" t="e">
        <f ca="1">IF($BA111&gt;$BA110,Control!$C$83,IF($AW111&gt;0,$AW111*Control!$C$84,IF(AND(Control!$B$18=1,EN110&lt;&gt;0),Control!$C$84,0)))</f>
        <v>#N/A</v>
      </c>
      <c r="BC111" s="140" t="e">
        <f t="shared" ca="1" si="365"/>
        <v>#N/A</v>
      </c>
      <c r="BD111" s="140" t="e">
        <f ca="1">BC111*IF(OR($G111&lt;Control!$C$92,$G111&gt;Control!$C$95),0,IF(AND($G111&gt;=Control!$C$92,$G111&lt;=Control!$C$93),$G111-Control!$C$92,IF(AND($G111&gt;Control!$C$93,$G111&lt;=Control!$C$94),Control!$C$93-Control!$C$92,IF(AND($G111&gt;Control!$C$94,$G111&lt;=Control!$C$95),(Control!$C$93-Control!$C$92)*(Control!$C$94-$G111)/(Control!$C$95-Control!$C$94)))))</f>
        <v>#N/A</v>
      </c>
      <c r="BE111" s="140" t="e">
        <f t="shared" ca="1" si="366"/>
        <v>#N/A</v>
      </c>
      <c r="BF111" s="140" t="e">
        <f ca="1">IF($BE111&lt;=Control!$C$86,$BE111,Control!$C$86-$BE111)</f>
        <v>#N/A</v>
      </c>
      <c r="BG111" s="140" t="e">
        <f ca="1">IF(AND($AW111=1,Control!$C$84&lt;9),1,IF($BE111&gt;=Control!$C$86,0,$BC111))</f>
        <v>#N/A</v>
      </c>
      <c r="BH111" s="404" t="e">
        <f ca="1">IF($BG111=0,0,IF($BE111&lt;=Control!$C$86,$BC111*9*($BF111/Control!$C$86),0))</f>
        <v>#N/A</v>
      </c>
      <c r="BI111" s="140" t="e">
        <f ca="1">IF($BG111=1,0,IF($BE111&gt;=Control!$C$86,1,IF(AND($BB111&lt;21,$BB111&gt;=9),1,$BM110)))</f>
        <v>#N/A</v>
      </c>
      <c r="BJ111" s="140" t="e">
        <f ca="1">IF($BF111&lt;0,-$BF111,$BI111*IF(OR($G111&lt;Control!$C$92,$G111&gt;Control!$C$95),0,IF(AND($G111&gt;=Control!$C$92,$G111&lt;=Control!$C$93),$G111-Control!$C$92,IF(AND($G111&gt;Control!$C$93,$G111&lt;=Control!$C$94),Control!$C$93-Control!$C$92,IF(AND($G111&gt;Control!$C$94,$G111&lt;=Control!$C$95),(Control!$C$93-Control!$C$92)*(Control!$C$94-$G111)/(Control!$C$95-Control!$C$94))))))</f>
        <v>#N/A</v>
      </c>
      <c r="BK111" s="140" t="e">
        <f t="shared" ca="1" si="367"/>
        <v>#N/A</v>
      </c>
      <c r="BL111" s="140" t="e">
        <f ca="1">IF($BK111&lt;=Control!$C$87,$BK111,Control!$C$87-$BK111)</f>
        <v>#N/A</v>
      </c>
      <c r="BM111" s="140" t="e">
        <f ca="1">IF(AND($BB111&gt;=9,$BB111&lt;21),1,IF($BK111&gt;=Control!$C$87,0,$BI111))</f>
        <v>#N/A</v>
      </c>
      <c r="BN111" s="404" t="e">
        <f ca="1">IF($BM111=0,0,IF($BK111&lt;=Control!$C$87,$BI111*(9+(21-9)*($BL111/Control!$C$87)),0))</f>
        <v>#N/A</v>
      </c>
      <c r="BO111" s="140" t="e">
        <f ca="1">IF($BM111=1,0,IF($BK111&gt;=Control!$C$87,1,IF(AND($BB111&lt;30,$BB111&gt;=21),1,$BS110)))</f>
        <v>#N/A</v>
      </c>
      <c r="BP111" s="140" t="e">
        <f ca="1">IF($BL111&lt;0,-$BL111,$BO111*IF(OR($G111&lt;Control!$C$92,$G111&gt;Control!$C$95),0,IF(AND($G111&gt;=Control!$C$92,$G111&lt;=Control!$C$93),$G111-Control!$C$92,IF(AND($G111&gt;Control!$C$93,$G111&lt;=Control!$C$94),Control!$C$93-Control!$C$92,IF(AND($G111&gt;Control!$C$94,$G111&lt;=Control!$C$95),(Control!$C$93-Control!$C$92)*(Control!$C$94-$G111)/(Control!$C$95-Control!$C$94))))))</f>
        <v>#N/A</v>
      </c>
      <c r="BQ111" s="140" t="e">
        <f t="shared" ca="1" si="251"/>
        <v>#N/A</v>
      </c>
      <c r="BR111" s="140" t="e">
        <f ca="1">IF($BQ111&lt;=Control!$C$88,$BQ111,Control!$C$88-$BQ111)</f>
        <v>#N/A</v>
      </c>
      <c r="BS111" s="140" t="e">
        <f ca="1">IF(AND($BB111&gt;=21,$BB111&lt;30),1,IF($BQ111&gt;=Control!$C$88,0,$BO111))</f>
        <v>#N/A</v>
      </c>
      <c r="BT111" s="404" t="e">
        <f ca="1">IF($BS111=0,0,IF($BQ111&lt;=Control!$C$88,$BO111*(21+(30-21)*(BR111/Control!$C$88)),0))</f>
        <v>#N/A</v>
      </c>
      <c r="BU111" s="140" t="e">
        <f ca="1">IF(BG111+BM111+BS111=1,0,IF(OR(AND($BB111&lt;60,$BB111&gt;=30),$BQ111&gt;=Control!$C$88),1*$BA111,$BY110))</f>
        <v>#N/A</v>
      </c>
      <c r="BV111" s="140" t="e">
        <f ca="1">IF($BR111&lt;0,-$BR111,$BU111*IF(OR($G111&lt;Control!$C$92,$G111&gt;Control!$C$95),0,IF(AND($G111&gt;=Control!$C$92,$G111&lt;=Control!$C$93),$G111-Control!$C$92,IF(AND($G111&gt;Control!$C$93,$G111&lt;=Control!$C$94),Control!$C$93-Control!$C$92,IF(AND($G111&gt;Control!$C$94,$G111&lt;=Control!$C$95),(Control!$C$93-Control!$C$92)*(Control!$C$94-$G111)/(Control!$C$95-Control!$C$94))))))</f>
        <v>#N/A</v>
      </c>
      <c r="BW111" s="140" t="e">
        <f t="shared" ca="1" si="252"/>
        <v>#N/A</v>
      </c>
      <c r="BX111" s="140" t="e">
        <f ca="1">IF($BW111&lt;=Control!$C$89,$BW111,Control!$C$89-$BW111)</f>
        <v>#N/A</v>
      </c>
      <c r="BY111" s="140" t="e">
        <f ca="1">IF(AND($AJ111&gt;=30,$AJ111&lt;60),1,IF($BW111&gt;=Control!$C$89,0,$BU111))</f>
        <v>#N/A</v>
      </c>
      <c r="BZ111" s="404" t="e">
        <f ca="1">IF($BY111=0,0,IF($BW111&lt;=Control!$C$89,$BU111*(30+(60-30)*(BX111/Control!$C$89)),0))</f>
        <v>#N/A</v>
      </c>
      <c r="CA111" s="140" t="e">
        <f ca="1">IF($BG111+$BM111+$BS111+$BY111=1,0,IF(OR(AND($BB111&lt;65,$BB111&gt;=60),$BW111&gt;=Control!$C$89),1*$BA111,$CE110))</f>
        <v>#N/A</v>
      </c>
      <c r="CB111" s="140" t="e">
        <f ca="1">IF($BX111&lt;0,-$BX111,$CA111*IF(OR($G111&lt;Control!$C$92,$G111&gt;Control!$C$95),0,IF(AND($G111&gt;=Control!$C$92,$G111&lt;=Control!$C$93),$G111-Control!$C$92,IF(AND($G111&gt;Control!$C$93,$G111&lt;=Control!$C$94),Control!$C$93-Control!$C$92,IF(AND($G111&gt;Control!$C$94,$G111&lt;=Control!$C$95),(Control!$C$93-Control!$C$92)*(Control!$C$94-$G111)/(Control!$C$95-Control!$C$94))))))</f>
        <v>#N/A</v>
      </c>
      <c r="CC111" s="140" t="e">
        <f t="shared" ca="1" si="368"/>
        <v>#N/A</v>
      </c>
      <c r="CD111" s="140" t="e">
        <f ca="1">IF($CC111&lt;=Control!$C$90,$CC111,Control!$C$90-$CC111)</f>
        <v>#N/A</v>
      </c>
      <c r="CE111" s="140" t="e">
        <f ca="1">IF(AND($BB111&gt;=60,$BB111&lt;65),1,IF($CC111&gt;=Control!$C$90,0,$CA111))</f>
        <v>#N/A</v>
      </c>
      <c r="CF111" s="404" t="e">
        <f ca="1">IF($CE111=0,0,IF($CC111&lt;=Control!$C$90,$CA111*(60+(65-60)*(CD111/Control!$C$90)),0))</f>
        <v>#N/A</v>
      </c>
      <c r="CG111" s="140" t="e">
        <f ca="1">IF($BG111+$BM111+$BS111+$BY111+$CE111=1,0,IF(OR(AND($BB111&lt;90,$BB111&gt;=65),$CC111&gt;=Control!$C$90),$BA111,$CK110))</f>
        <v>#N/A</v>
      </c>
      <c r="CH111" s="140" t="e">
        <f ca="1">IF($CD111&lt;0,-$CD111,$CG111*IF(OR($G111&lt;Control!$C$92,$G111&gt;Control!$C$95),0,IF(AND($G111&gt;=Control!$C$92,$G111&lt;=Control!$C$93),$G111-Control!$C$92,IF(AND($G111&gt;Control!$C$93,$G111&lt;=Control!$C$94),Control!$C$93-Control!$C$92,IF(AND($G111&gt;Control!$C$94,$G111&lt;=Control!$C$95),(Control!$C$93-Control!$C$92)*(Control!$C$94-$G111)/(Control!$C$95-Control!$C$94))))))</f>
        <v>#N/A</v>
      </c>
      <c r="CI111" s="140" t="e">
        <f t="shared" ca="1" si="369"/>
        <v>#N/A</v>
      </c>
      <c r="CJ111" s="140" t="e">
        <f ca="1">IF($CI111&lt;=Control!$C$91,$CI111,Control!$C$91-$CI111)</f>
        <v>#N/A</v>
      </c>
      <c r="CK111" s="140" t="e">
        <f ca="1">IF(AND($BB111&gt;=65,$BB111&lt;90),1,IF($CI111&gt;=Control!$C$91,0,$CG111))</f>
        <v>#N/A</v>
      </c>
      <c r="CL111" s="404" t="e">
        <f ca="1">IF($CK111=0,0,IF($CI111&lt;=Control!$C$91,$CG111*(65+(90-65)*($CJ111/Control!$C$91)),0))</f>
        <v>#N/A</v>
      </c>
      <c r="CM111" s="140" t="e">
        <f ca="1">IF($BG111+$BM111+$BS111+$BY111+$CE111+$CK111=1,0,IF(OR($BB111&gt;=90,$CI111&gt;=Control!$C$91),$BA111,$CM110))</f>
        <v>#N/A</v>
      </c>
      <c r="CN111" s="140" t="e">
        <f t="shared" ca="1" si="370"/>
        <v>#N/A</v>
      </c>
      <c r="CO111" s="140" t="e">
        <f t="shared" ca="1" si="371"/>
        <v>#N/A</v>
      </c>
      <c r="CP111" s="140" t="e">
        <f t="shared" ca="1" si="372"/>
        <v>#N/A</v>
      </c>
      <c r="CQ111" s="141" t="e">
        <f ca="1">VLOOKUP($CP111,Control!$B$86:$G$91,6)</f>
        <v>#N/A</v>
      </c>
      <c r="CR111" s="141" t="e">
        <f ca="1">(1-$CQ111)*VLOOKUP($CP111,Control!$B$86:$D$91,3)</f>
        <v>#N/A</v>
      </c>
      <c r="CS111" s="141" t="e">
        <f ca="1">(1-$CQ111)*VLOOKUP($CP111,Control!$B$86:$E$91,4)</f>
        <v>#N/A</v>
      </c>
      <c r="CT111" s="141" t="e">
        <f ca="1">(1-$CQ111)*VLOOKUP($CP111,Control!$B$86:$F$91,5)</f>
        <v>#N/A</v>
      </c>
      <c r="CU111" s="141">
        <f t="shared" ca="1" si="373"/>
        <v>0</v>
      </c>
      <c r="CV111" s="583">
        <f t="shared" ca="1" si="374"/>
        <v>0</v>
      </c>
      <c r="CW111" s="142">
        <f t="shared" ca="1" si="375"/>
        <v>107</v>
      </c>
      <c r="CX111" s="612" t="e">
        <f ca="1">IF(Control!$C$114=1,(MIN(Control!$C$120*(IF($NT111-0.01&lt;0,0,1)),Control!$C$119-$CY111)))</f>
        <v>#DIV/0!</v>
      </c>
      <c r="CY111" s="143" t="e">
        <f t="shared" ca="1" si="376"/>
        <v>#N/A</v>
      </c>
      <c r="CZ111" s="144">
        <f t="shared" ca="1" si="253"/>
        <v>0</v>
      </c>
      <c r="DA111" s="144">
        <f t="shared" ca="1" si="254"/>
        <v>0</v>
      </c>
      <c r="DB111" s="144" t="e">
        <f t="shared" ca="1" si="255"/>
        <v>#N/A</v>
      </c>
      <c r="DC111" s="144" t="e">
        <f t="shared" ca="1" si="256"/>
        <v>#N/A</v>
      </c>
      <c r="DD111" s="144" t="e">
        <f t="shared" ca="1" si="461"/>
        <v>#N/A</v>
      </c>
      <c r="DE111" s="143" t="e">
        <f t="shared" ca="1" si="377"/>
        <v>#N/A</v>
      </c>
      <c r="DF111" s="145" t="e">
        <f ca="1">$DR111*EXP(-Control!$C$158*(1-$KH111))</f>
        <v>#N/A</v>
      </c>
      <c r="DG111" s="146" t="e">
        <f ca="1">IF(Control!$C$114=1, $DF111*$EY111, 0)</f>
        <v>#N/A</v>
      </c>
      <c r="DH111" s="147" t="e">
        <f t="shared" ca="1" si="378"/>
        <v>#N/A</v>
      </c>
      <c r="DI111" s="144" t="e">
        <f t="shared" ca="1" si="439"/>
        <v>#N/A</v>
      </c>
      <c r="DJ111" s="147" t="e">
        <f ca="1">$EF111*Control!$C$109</f>
        <v>#N/A</v>
      </c>
      <c r="DK111" s="144" t="e">
        <f t="shared" ca="1" si="379"/>
        <v>#N/A</v>
      </c>
      <c r="DL111" s="144" t="e">
        <f t="shared" ca="1" si="257"/>
        <v>#N/A</v>
      </c>
      <c r="DM111" s="144" t="e">
        <f ca="1">IF(Control!$C$114=1, (1-EXP(-Control!$C$96*$DK111))*$AR111, 0)</f>
        <v>#N/A</v>
      </c>
      <c r="DN111" s="144">
        <f t="shared" ca="1" si="380"/>
        <v>0</v>
      </c>
      <c r="DO111" s="148">
        <f>Control!$C$97</f>
        <v>4</v>
      </c>
      <c r="DP111" s="145" t="e">
        <f t="shared" ca="1" si="381"/>
        <v>#N/A</v>
      </c>
      <c r="DQ111" s="145" t="e">
        <f ca="1">IF(AND($CP111&gt;=0,$CP111&lt;=90),Control!$C$111,Control!$C$111)</f>
        <v>#N/A</v>
      </c>
      <c r="DR111" s="145" t="e">
        <f t="shared" ca="1" si="258"/>
        <v>#N/A</v>
      </c>
      <c r="DS111" s="143" t="e">
        <f ca="1">Control!$B$22/$DR111</f>
        <v>#N/A</v>
      </c>
      <c r="DT111" s="149" t="e">
        <f ca="1">IF(AND(Control!$C$114=1,$KH111&lt;1),$IM111*$DF111, 0)</f>
        <v>#N/A</v>
      </c>
      <c r="DU111" s="144" t="e">
        <f t="shared" ca="1" si="382"/>
        <v>#N/A</v>
      </c>
      <c r="DV111" s="144">
        <f ca="1">IF($G111-Control!$C$107&lt;=0, 0, 0.83*LN(MAX($G111, 3))-0.8924)</f>
        <v>0</v>
      </c>
      <c r="DW111" s="144" t="e">
        <f t="shared" ca="1" si="259"/>
        <v>#N/A</v>
      </c>
      <c r="DX111" s="150" t="e">
        <f ca="1">MAX(0.01*(1+$CU111/Control!$C$102),0.05*($DK111-Control!$C$97)/Control!$C$97)</f>
        <v>#N/A</v>
      </c>
      <c r="DY111" s="151" t="e">
        <f ca="1">IF(Control!$C$114=1, $DI111*$FS111, 0)</f>
        <v>#N/A</v>
      </c>
      <c r="DZ111" s="196" t="e">
        <f t="shared" ca="1" si="383"/>
        <v>#N/A</v>
      </c>
      <c r="EA111" s="152">
        <f t="shared" ca="1" si="384"/>
        <v>107</v>
      </c>
      <c r="EB111" s="153" t="e">
        <f t="shared" ca="1" si="385"/>
        <v>#N/A</v>
      </c>
      <c r="EC111" s="153" t="e">
        <f t="shared" ca="1" si="386"/>
        <v>#N/A</v>
      </c>
      <c r="ED111" s="154" t="e">
        <f ca="1">IF(Control!$C$114=1, $HM111*$FY111-$FD111, 0)</f>
        <v>#DIV/0!</v>
      </c>
      <c r="EE111" s="155" t="e">
        <f ca="1">IF(Control!$C$114=1, $HM111*$FZ111-$FF111, 0)</f>
        <v>#DIV/0!</v>
      </c>
      <c r="EF111" s="153" t="e">
        <f t="shared" ca="1" si="440"/>
        <v>#N/A</v>
      </c>
      <c r="EG111" s="155" t="e">
        <f ca="1">IF(Control!$C$114=1, $GX111*$FW111-$FI111, 0)</f>
        <v>#DIV/0!</v>
      </c>
      <c r="EH111" s="153" t="e">
        <f t="shared" ca="1" si="387"/>
        <v>#N/A</v>
      </c>
      <c r="EI111" s="156" t="e">
        <f t="shared" ca="1" si="388"/>
        <v>#N/A</v>
      </c>
      <c r="EJ111" s="155" t="e">
        <f ca="1">IF(Control!$C$114=1, $HM111*$GB111, 0)</f>
        <v>#DIV/0!</v>
      </c>
      <c r="EK111" s="153" t="e">
        <f t="shared" ca="1" si="441"/>
        <v>#N/A</v>
      </c>
      <c r="EL111" s="153" t="e">
        <f t="shared" ca="1" si="260"/>
        <v>#N/A</v>
      </c>
      <c r="EM111" s="153" t="e">
        <f t="shared" ca="1" si="261"/>
        <v>#N/A</v>
      </c>
      <c r="EN111" s="153" t="e">
        <f ca="1">IF(Control!$C$108=1,IF(AND(Control!$B$18=1,$EB111&gt;=Control!$B$19),$EB111-$DS111,IF(AND(Control!$B$18=2,$AW111=1,$EB111&gt;$DS111),$EB111-$DS111,0)))</f>
        <v>#N/A</v>
      </c>
      <c r="EO111" s="153" t="e">
        <f ca="1">IF(Control!$C$108=1,IF(AND(Control!$B$18=1,$EB111&gt;=Control!$B$19),$EF111,IF(AND(Control!$B$18=2,$AW111=1),$EF111,0)))</f>
        <v>#N/A</v>
      </c>
      <c r="EP111" s="153" t="e">
        <f ca="1">IF(Control!$C$108=1,IF(AND(Control!$B$18=1,$EB111&gt;=Control!$B$19),$EK111,IF(AND(Control!$B$18=2,$AW111=1),$EK111,0)))</f>
        <v>#N/A</v>
      </c>
      <c r="EQ111" s="153" t="e">
        <f t="shared" ca="1" si="389"/>
        <v>#N/A</v>
      </c>
      <c r="ER111" s="153" t="e">
        <f t="shared" ca="1" si="390"/>
        <v>#N/A</v>
      </c>
      <c r="ES111" s="153" t="e">
        <f t="shared" ca="1" si="442"/>
        <v>#N/A</v>
      </c>
      <c r="ET111" s="153" t="e">
        <f t="shared" ca="1" si="443"/>
        <v>#N/A</v>
      </c>
      <c r="EU111" s="153" t="e">
        <f t="shared" ca="1" si="391"/>
        <v>#N/A</v>
      </c>
      <c r="EV111" s="153" t="e">
        <f t="shared" ca="1" si="262"/>
        <v>#N/A</v>
      </c>
      <c r="EW111" s="153" t="e">
        <f t="shared" ca="1" si="263"/>
        <v>#N/A</v>
      </c>
      <c r="EX111" s="153" t="e">
        <f t="shared" ca="1" si="264"/>
        <v>#N/A</v>
      </c>
      <c r="EY111" s="157" t="e">
        <f t="shared" ca="1" si="265"/>
        <v>#DIV/0!</v>
      </c>
      <c r="EZ111" s="154" t="e">
        <f t="shared" ca="1" si="266"/>
        <v>#DIV/0!</v>
      </c>
      <c r="FA111" s="153" t="e">
        <f t="shared" ca="1" si="392"/>
        <v>#N/A</v>
      </c>
      <c r="FB111" s="153" t="e">
        <f t="shared" ca="1" si="267"/>
        <v>#N/A</v>
      </c>
      <c r="FC111" s="193" t="e">
        <f t="shared" ca="1" si="268"/>
        <v>#N/A</v>
      </c>
      <c r="FD111" s="158" t="e">
        <f t="shared" ca="1" si="393"/>
        <v>#N/A</v>
      </c>
      <c r="FE111" s="158" t="e">
        <f t="shared" ca="1" si="394"/>
        <v>#N/A</v>
      </c>
      <c r="FF111" s="159" t="e">
        <f t="shared" ca="1" si="269"/>
        <v>#N/A</v>
      </c>
      <c r="FG111" s="160" t="e">
        <f t="shared" ca="1" si="395"/>
        <v>#N/A</v>
      </c>
      <c r="FH111" s="158" t="e">
        <f t="shared" ca="1" si="396"/>
        <v>#N/A</v>
      </c>
      <c r="FI111" s="159" t="e">
        <f t="shared" ca="1" si="270"/>
        <v>#N/A</v>
      </c>
      <c r="FJ111" s="160" t="e">
        <f t="shared" ca="1" si="397"/>
        <v>#N/A</v>
      </c>
      <c r="FK111" s="160" t="e">
        <f t="shared" ca="1" si="271"/>
        <v>#N/A</v>
      </c>
      <c r="FL111" s="160" t="e">
        <f t="shared" ca="1" si="444"/>
        <v>#N/A</v>
      </c>
      <c r="FM111" s="160" t="e">
        <f t="shared" ca="1" si="272"/>
        <v>#N/A</v>
      </c>
      <c r="FN111" s="158">
        <f t="shared" ca="1" si="398"/>
        <v>0.01</v>
      </c>
      <c r="FO111" s="160">
        <f>Control!$C$101</f>
        <v>50</v>
      </c>
      <c r="FP111" s="150" t="e">
        <f t="shared" ca="1" si="273"/>
        <v>#N/A</v>
      </c>
      <c r="FQ111" s="150" t="e">
        <f ca="1">MAX(0,(Control!$C$112*(($DK111-Control!$C$97)/Control!$C$97)))</f>
        <v>#N/A</v>
      </c>
      <c r="FR111" s="150" t="e">
        <f ca="1">(1-$NT111)*Control!$C$113</f>
        <v>#DIV/0!</v>
      </c>
      <c r="FS111" s="198" t="e">
        <f t="shared" ca="1" si="274"/>
        <v>#N/A</v>
      </c>
      <c r="FT111" s="161">
        <f t="shared" ca="1" si="399"/>
        <v>107</v>
      </c>
      <c r="FU111" s="162" t="e">
        <f ca="1">IF(Control!$B$34=1,VLOOKUP($CP111,Control!$B$86:$G$91,6),Control!$B$35)</f>
        <v>#N/A</v>
      </c>
      <c r="FV111" s="162" t="e">
        <f t="shared" ca="1" si="275"/>
        <v>#DIV/0!</v>
      </c>
      <c r="FW111" s="162" t="e">
        <f ca="1">IF(Control!$B$31=1,$FU111*$FV111,  $FU111)</f>
        <v>#N/A</v>
      </c>
      <c r="FX111" s="162" t="e">
        <f ca="1">IF(Control!$B$34=1,VLOOKUP($CP111,Control!$B$86:$G$91,3),Control!$B$36)</f>
        <v>#N/A</v>
      </c>
      <c r="FY111" s="162" t="e">
        <f t="shared" ca="1" si="276"/>
        <v>#N/A</v>
      </c>
      <c r="FZ111" s="162" t="e">
        <f ca="1">IF(Control!$B$34=1,VLOOKUP($CP111,Control!$B$86:$G$91,4),Control!$B$37)</f>
        <v>#N/A</v>
      </c>
      <c r="GA111" s="162" t="e">
        <f t="shared" ca="1" si="277"/>
        <v>#N/A</v>
      </c>
      <c r="GB111" s="162" t="e">
        <f ca="1">IF(Control!$B$34=1,VLOOKUP($CP111,Control!$B$86:$G$91,5),Control!$B$38)</f>
        <v>#N/A</v>
      </c>
      <c r="GC111" s="162" t="e">
        <f t="shared" ca="1" si="400"/>
        <v>#N/A</v>
      </c>
      <c r="GD111" s="162">
        <f t="shared" ca="1" si="278"/>
        <v>1</v>
      </c>
      <c r="GE111" s="162">
        <f t="shared" ca="1" si="279"/>
        <v>1</v>
      </c>
      <c r="GF111" s="162">
        <f ca="1">IF(AND(Control!$C$104=1, Control!$C$62="F"),$GE111,1)</f>
        <v>1</v>
      </c>
      <c r="GG111" s="162" t="e">
        <f ca="1">IF(Control!$B$16=40,0,IF(AND(Control!$B$16&gt;40,Control!$B$16&lt;=360),(Control!$B$16-40)*((1-0)/(360-40)),IF(AND(Control!$B$16&gt;360,Control!$B$16&lt;=720),(1+(Control!$B$16-360)*((1.25-1)/(720-360))),IF(AND(Control!$B$16&gt;720,Control!$B$16&lt;=1000),(1.25+(Control!$B$16-720)*((1.35-1.25)/(1000-720))),IF(AND(Control!$B$16&gt;1000,Control!$B$16&lt;=2000),(1.35+(Control!$B$16-1000)*0))))))</f>
        <v>#N/A</v>
      </c>
      <c r="GH111" s="162" t="e">
        <f t="shared" ca="1" si="280"/>
        <v>#N/A</v>
      </c>
      <c r="GI111" s="162">
        <f t="shared" ca="1" si="401"/>
        <v>0</v>
      </c>
      <c r="GJ111" s="162">
        <f t="shared" ca="1" si="281"/>
        <v>0</v>
      </c>
      <c r="GK111" s="162">
        <f t="shared" ca="1" si="402"/>
        <v>1</v>
      </c>
      <c r="GL111" s="162">
        <f t="shared" ca="1" si="282"/>
        <v>1</v>
      </c>
      <c r="GM111" s="162" t="e">
        <f ca="1">MAX(0,MIN(1,1-Control!$C$156*(1.0001-$KH111)^2))</f>
        <v>#N/A</v>
      </c>
      <c r="GN111" s="162" t="e">
        <f ca="1">IF(Control!$B$26=1,$KU111,$KX111)</f>
        <v>#N/A</v>
      </c>
      <c r="GO111" s="162" t="e">
        <f ca="1">IF($CP111&lt;=60,Control!$C$105,IF($CP111&gt;=90,Control!$C$106,Control!$C$105+($CP111-60)*((Control!$C$106-Control!$C$105)/(90-60))))</f>
        <v>#N/A</v>
      </c>
      <c r="GP111" s="162" t="e">
        <f t="shared" ca="1" si="283"/>
        <v>#N/A</v>
      </c>
      <c r="GQ111" s="162" t="e">
        <f t="shared" ca="1" si="403"/>
        <v>#N/A</v>
      </c>
      <c r="GR111" s="163" t="e">
        <f t="shared" ca="1" si="284"/>
        <v>#DIV/0!</v>
      </c>
      <c r="GS111" s="162" t="e">
        <f t="shared" ca="1" si="285"/>
        <v>#DIV/0!</v>
      </c>
      <c r="GT111" s="164" t="e">
        <f t="shared" ca="1" si="404"/>
        <v>#N/A</v>
      </c>
      <c r="GU111" s="162" t="e">
        <f t="shared" ca="1" si="405"/>
        <v>#N/A</v>
      </c>
      <c r="GV111" s="162" t="e">
        <f t="shared" ca="1" si="286"/>
        <v>#N/A</v>
      </c>
      <c r="GW111" s="162" t="e">
        <f t="shared" ca="1" si="287"/>
        <v>#DIV/0!</v>
      </c>
      <c r="GX111" s="162" t="e">
        <f t="shared" ca="1" si="406"/>
        <v>#DIV/0!</v>
      </c>
      <c r="GY111" s="162" t="e">
        <f t="shared" ca="1" si="407"/>
        <v>#DIV/0!</v>
      </c>
      <c r="GZ111" s="165" t="e">
        <f t="shared" ca="1" si="288"/>
        <v>#N/A</v>
      </c>
      <c r="HA111" s="162" t="e">
        <f ca="1">IF(Control!$C$114=1, $DI111*$FS111, 0)</f>
        <v>#N/A</v>
      </c>
      <c r="HB111" s="162" t="e">
        <f ca="1">$FA111/Control!$C$64</f>
        <v>#N/A</v>
      </c>
      <c r="HC111" s="162" t="e">
        <f t="shared" ca="1" si="289"/>
        <v>#DIV/0!</v>
      </c>
      <c r="HD111" s="162">
        <f ca="1">-ASIN(SIN(23.45*Control!$C$139)*COS(2*Control!$C$138*($AH111+10)/365))</f>
        <v>0.17151876940364971</v>
      </c>
      <c r="HE111" s="165">
        <f t="shared" ca="1" si="408"/>
        <v>0</v>
      </c>
      <c r="HF111" s="166">
        <f ca="1">IF(AND(Control!$C$61="T",$HE111&gt;=Control!$C$103,Control!$C$114=0),$AH111,Control!$C$59)</f>
        <v>1</v>
      </c>
      <c r="HG111" s="166">
        <f ca="1">IF(AND(Control!$C$61="T",$HE111&gt;=Control!$C$103,Control!$C$114=0),$HF111,Control!$C$59)</f>
        <v>1</v>
      </c>
      <c r="HH111" s="165">
        <f ca="1">IF(AND(OR(Control!$C$60&lt;=0, $AH111= Control!$C$59, Control!$C$60 &gt;0, $AH111 = Control!$C$60)), Control!$C$59, IF(Control!$C$60&gt;0, 0))</f>
        <v>1</v>
      </c>
      <c r="HI111" s="165">
        <f ca="1">IF(AND(OR(Control!$C$60&lt;=0, $AH111= Control!$C$59, Control!$C$60 &gt;0, $AH111 = Control!$C$60)), Control!$C$60, IF(Control!$C$60&lt;=0, 0))</f>
        <v>0</v>
      </c>
      <c r="HJ111" s="166">
        <f ca="1">IF(AND(Control!$C$62="F",$CV111&gt;=Control!$C$102),$AH111,0)</f>
        <v>0</v>
      </c>
      <c r="HK111" s="165" t="e">
        <f t="shared" ca="1" si="445"/>
        <v>#N/A</v>
      </c>
      <c r="HL111" s="166">
        <f ca="1">IF(AND(Control!$C$61="T",$HE111&gt;=Control!$C$103,Control!$C$114=0),$HF111,0)</f>
        <v>0</v>
      </c>
      <c r="HM111" s="201" t="e">
        <f t="shared" ca="1" si="290"/>
        <v>#DIV/0!</v>
      </c>
      <c r="HN111" s="215">
        <f t="shared" ca="1" si="409"/>
        <v>107</v>
      </c>
      <c r="HO111" s="216" t="e">
        <f ca="1">IF(AND($CP111&gt;=0, $CP111&lt;=90), Control!$C$152, Control!$C$152)</f>
        <v>#N/A</v>
      </c>
      <c r="HP111" s="216" t="e">
        <f t="shared" ca="1" si="291"/>
        <v>#N/A</v>
      </c>
      <c r="HQ111" s="217" t="e">
        <f ca="1">IF(OR(Control!$B$26=1,Control!$B$26=2),$KV111,$KS111)</f>
        <v>#DIV/0!</v>
      </c>
      <c r="HR111" s="218" t="e">
        <f t="shared" ca="1" si="446"/>
        <v>#DIV/0!</v>
      </c>
      <c r="HS111" s="216" t="e">
        <f ca="1">Control!$C$154*$HP111</f>
        <v>#N/A</v>
      </c>
      <c r="HT111" s="216" t="e">
        <f ca="1">Control!$C$155*$HP111</f>
        <v>#N/A</v>
      </c>
      <c r="HU111" s="217" t="e">
        <f ca="1">Control!$C$161*$FI111</f>
        <v>#N/A</v>
      </c>
      <c r="HV111" s="218" t="e">
        <f t="shared" ca="1" si="410"/>
        <v>#N/A</v>
      </c>
      <c r="HW111" s="218" t="e">
        <f ca="1">Control!$C$160*$FF111+$IP111*$EO111</f>
        <v>#N/A</v>
      </c>
      <c r="HX111" s="218" t="e">
        <f t="shared" ca="1" si="447"/>
        <v>#N/A</v>
      </c>
      <c r="HY111" s="219" t="e">
        <f ca="1">IF(Control!$C$114=1, $EB111*$FS111, 0)</f>
        <v>#N/A</v>
      </c>
      <c r="HZ111" s="91" t="e">
        <f t="shared" ca="1" si="292"/>
        <v>#N/A</v>
      </c>
      <c r="IA111" s="220" t="e">
        <f ca="1">Control!$C$153*$HO111</f>
        <v>#N/A</v>
      </c>
      <c r="IB111" s="218" t="e">
        <f t="shared" ca="1" si="293"/>
        <v>#N/A</v>
      </c>
      <c r="IC111" s="220" t="e">
        <f ca="1">Control!$C$153*$HT111</f>
        <v>#N/A</v>
      </c>
      <c r="ID111" s="218" t="e">
        <f t="shared" ca="1" si="294"/>
        <v>#N/A</v>
      </c>
      <c r="IE111" s="221" t="e">
        <f ca="1">($EB111*Control!$C$159+$EF111*Control!$C$160)/(IF($GZ111&lt;&gt;0,$GZ111,1))</f>
        <v>#N/A</v>
      </c>
      <c r="IF111" s="216" t="e">
        <f t="shared" ca="1" si="295"/>
        <v>#N/A</v>
      </c>
      <c r="IG111" s="91">
        <f ca="1">IF(OR(Control!$B$198=$AH111,Control!$B$199=$AH111, Control!$B$200=$AH111, Control!$B$201=$AH111, Control!$B$202=$AH111, Control!$B$203=$AH111, Control!$B$204=$AH111, Control!$B$205=$AH111, Control!$B$206=$AH111, Control!$B$207=$AH111), 1, 0)</f>
        <v>0</v>
      </c>
      <c r="IH111" s="91">
        <f ca="1">IF($IG111=0,0, VLOOKUP($AH111,Control!$B$198:$C$207,2))</f>
        <v>0</v>
      </c>
      <c r="II111" s="222">
        <f t="shared" ca="1" si="411"/>
        <v>0</v>
      </c>
      <c r="IJ111" s="91">
        <f>Control!$C$121</f>
        <v>0.7</v>
      </c>
      <c r="IK111" s="218">
        <f t="shared" ca="1" si="296"/>
        <v>0</v>
      </c>
      <c r="IL111" s="217" t="e">
        <f t="shared" ca="1" si="448"/>
        <v>#N/A</v>
      </c>
      <c r="IM111" s="223" t="e">
        <f ca="1">IF(AND(Control!$C$114=1,$KH111&lt;1),$EB111*Control!$C$148*(1-$KH111), 0)</f>
        <v>#N/A</v>
      </c>
      <c r="IN111" s="217" t="e">
        <f t="shared" ca="1" si="297"/>
        <v>#DIV/0!</v>
      </c>
      <c r="IO111" s="91" t="e">
        <f ca="1">MAX(0,$IL111-$EF111*Control!$C$160)</f>
        <v>#N/A</v>
      </c>
      <c r="IP111" s="220" t="e">
        <f t="shared" ca="1" si="298"/>
        <v>#N/A</v>
      </c>
      <c r="IQ111" s="217" t="e">
        <f t="shared" ca="1" si="412"/>
        <v>#N/A</v>
      </c>
      <c r="IR111" s="218" t="e">
        <f t="shared" ca="1" si="299"/>
        <v>#N/A</v>
      </c>
      <c r="IS111" s="217" t="e">
        <f ca="1">Control!$C$159*MAX(0,$FD111-$EN111)</f>
        <v>#N/A</v>
      </c>
      <c r="IT111" s="217" t="e">
        <f t="shared" ca="1" si="449"/>
        <v>#N/A</v>
      </c>
      <c r="IU111" s="217" t="e">
        <f t="shared" ca="1" si="413"/>
        <v>#N/A</v>
      </c>
      <c r="IV111" s="217" t="e">
        <f t="shared" ca="1" si="450"/>
        <v>#N/A</v>
      </c>
      <c r="IW111" s="217" t="e">
        <f ca="1">IF(OR($AW111=1,AND($AW111=0, Control!$B$18=1,$EN111&lt;&gt;0)), $IQ111-$IU111, $IQ111)</f>
        <v>#N/A</v>
      </c>
      <c r="IX111" s="218" t="e">
        <f t="shared" ca="1" si="300"/>
        <v>#N/A</v>
      </c>
      <c r="IY111" s="218" t="e">
        <f ca="1">MAX(0,$IQ111-$EB111*Control!$C$159)</f>
        <v>#N/A</v>
      </c>
      <c r="IZ111" s="218" t="e">
        <f t="shared" ca="1" si="301"/>
        <v>#N/A</v>
      </c>
      <c r="JA111" s="216" t="e">
        <f t="shared" ca="1" si="302"/>
        <v>#N/A</v>
      </c>
      <c r="JB111" s="217" t="e">
        <f t="shared" ca="1" si="303"/>
        <v>#N/A</v>
      </c>
      <c r="JC111" s="222" t="e">
        <f ca="1">MAX(Control!$C$157*$EK111-$JT111, 0)/Control!$C$162</f>
        <v>#N/A</v>
      </c>
      <c r="JD111" s="218" t="e">
        <f t="shared" ca="1" si="304"/>
        <v>#N/A</v>
      </c>
      <c r="JE111" s="218" t="e">
        <f t="shared" ca="1" si="305"/>
        <v>#N/A</v>
      </c>
      <c r="JF111" s="218" t="e">
        <f t="shared" ca="1" si="414"/>
        <v>#N/A</v>
      </c>
      <c r="JG111" s="218" t="e">
        <f t="shared" ca="1" si="306"/>
        <v>#N/A</v>
      </c>
      <c r="JH111" s="217" t="e">
        <f t="shared" ca="1" si="415"/>
        <v>#N/A</v>
      </c>
      <c r="JI111" s="217" t="e">
        <f t="shared" ca="1" si="416"/>
        <v>#N/A</v>
      </c>
      <c r="JJ111" s="217" t="e">
        <f t="shared" ca="1" si="451"/>
        <v>#N/A</v>
      </c>
      <c r="JK111" s="217" t="e">
        <f ca="1">IF(Control!$C$114=1,IF(Control!$B$24=0,MAX(0,$JI111)*$GN111/Control!$C$64,(MAX(0,MIN($JI111,$JJ111*$GN111/Control!$C$64),0))))</f>
        <v>#N/A</v>
      </c>
      <c r="JL111" s="217" t="e">
        <f ca="1">$IK111/Control!$C$64-$JK111+$HQ111</f>
        <v>#N/A</v>
      </c>
      <c r="JM111" s="217" t="e">
        <f ca="1">IF(Control!$C$114=1,($JB111/(IF($JI111&lt;&gt;0,$JI111,1)))*$JK111,0)</f>
        <v>#N/A</v>
      </c>
      <c r="JN111" s="217" t="e">
        <f ca="1">IF(Control!$C$114=1,($JG111/(IF($JI111&lt;&gt;0,$JI111,1)))*$JK111, 0)</f>
        <v>#N/A</v>
      </c>
      <c r="JO111" s="218" t="e">
        <f t="shared" ca="1" si="307"/>
        <v>#N/A</v>
      </c>
      <c r="JP111" s="218" t="e">
        <f ca="1">MIN(($IY111+$IO111)*Control!$C$151, $JF111-$EH111*Control!$C$161)</f>
        <v>#N/A</v>
      </c>
      <c r="JQ111" s="218" t="e">
        <f t="shared" ca="1" si="308"/>
        <v>#N/A</v>
      </c>
      <c r="JR111" s="217" t="e">
        <f ca="1">IF($CP111-Control!$C$150&lt;0, 0, $JQ111/Control!$C$162)</f>
        <v>#N/A</v>
      </c>
      <c r="JS111" s="218" t="e">
        <f t="shared" ca="1" si="309"/>
        <v>#N/A</v>
      </c>
      <c r="JT111" s="218" t="e">
        <f t="shared" ca="1" si="417"/>
        <v>#N/A</v>
      </c>
      <c r="JU111" s="218" t="e">
        <f t="shared" ca="1" si="310"/>
        <v>#N/A</v>
      </c>
      <c r="JV111" s="218" t="e">
        <f t="shared" ca="1" si="311"/>
        <v>#N/A</v>
      </c>
      <c r="JW111" s="216" t="e">
        <f t="shared" ca="1" si="312"/>
        <v>#N/A</v>
      </c>
      <c r="JX111" s="91" t="e">
        <f t="shared" ca="1" si="313"/>
        <v>#N/A</v>
      </c>
      <c r="JY111" s="218" t="e">
        <f t="shared" ca="1" si="314"/>
        <v>#N/A</v>
      </c>
      <c r="JZ111" s="217" t="e">
        <f ca="1">IF(Control!$C$114=1,($IZ111/(IF($JI111&lt;&gt;0,$JI111,1)))*$JK111, 0)</f>
        <v>#N/A</v>
      </c>
      <c r="KA111" s="218" t="e">
        <f t="shared" ca="1" si="452"/>
        <v>#N/A</v>
      </c>
      <c r="KB111" s="218" t="e">
        <f t="shared" ca="1" si="418"/>
        <v>#N/A</v>
      </c>
      <c r="KC111" s="218" t="e">
        <f t="shared" ca="1" si="315"/>
        <v>#N/A</v>
      </c>
      <c r="KD111" s="218" t="e">
        <f t="shared" ca="1" si="316"/>
        <v>#N/A</v>
      </c>
      <c r="KE111" s="218" t="e">
        <f t="shared" ca="1" si="317"/>
        <v>#N/A</v>
      </c>
      <c r="KF111" s="218" t="e">
        <f t="shared" ca="1" si="318"/>
        <v>#N/A</v>
      </c>
      <c r="KG111" s="216" t="e">
        <f t="shared" ca="1" si="319"/>
        <v>#N/A</v>
      </c>
      <c r="KH111" s="221" t="e">
        <f ca="1">IF(Control!$B$24=0,1,MAX(0.001,MIN(1,IF(($IF111-$IE111)&lt;&gt;0,($KG111-$IE111)/($IF111-$IE111),1))))</f>
        <v>#N/A</v>
      </c>
      <c r="KI111" s="222" t="e">
        <f ca="1">IF(Control!$C$114=1, $KI110+ $KH110, 0)</f>
        <v>#N/A</v>
      </c>
      <c r="KJ111" s="217" t="e">
        <f t="shared" ca="1" si="320"/>
        <v>#N/A</v>
      </c>
      <c r="KK111" s="218" t="e">
        <f t="shared" ca="1" si="321"/>
        <v>#N/A</v>
      </c>
      <c r="KL111" s="274" t="e">
        <f ca="1">IF(Control!$B$26=3,4000000000*EXP(-8400/($G111+273)),IF(Control!$B$26=4,4000000000*EXP(-8400/($G111+273))*($KT111),0))</f>
        <v>#DIV/0!</v>
      </c>
      <c r="KM111" s="274" t="e">
        <f ca="1">IF(Control!$B$26=3,5600000000000*EXP(-9800/($G111+273)),IF(Control!$B$26=4,5600000000000*EXP(-9800/($G111+273))*$KT111,0))</f>
        <v>#DIV/0!</v>
      </c>
      <c r="KN111" s="454" t="e">
        <f t="shared" ca="1" si="419"/>
        <v>#DIV/0!</v>
      </c>
      <c r="KO111" s="274" t="e">
        <f t="shared" ca="1" si="420"/>
        <v>#DIV/0!</v>
      </c>
      <c r="KP111" s="454" t="e">
        <f t="shared" ca="1" si="322"/>
        <v>#DIV/0!</v>
      </c>
      <c r="KQ111" s="454" t="e">
        <f t="shared" ca="1" si="323"/>
        <v>#DIV/0!</v>
      </c>
      <c r="KR111" s="454" t="e">
        <f t="shared" ca="1" si="324"/>
        <v>#DIV/0!</v>
      </c>
      <c r="KS111" s="454" t="e">
        <f t="shared" ca="1" si="325"/>
        <v>#DIV/0!</v>
      </c>
      <c r="KT111" s="455" t="e">
        <f t="shared" ca="1" si="326"/>
        <v>#DIV/0!</v>
      </c>
      <c r="KU111" s="456" t="e">
        <f ca="1">IF($CP111-Control!$C$149&lt;0, IF($NT111-0.01&lt;0,0,1),0)</f>
        <v>#N/A</v>
      </c>
      <c r="KV111" s="456" t="e">
        <f ca="1">IF(Control!$C$114=1,MAX(0,MIN(Control!$C$125*$KW111*$GN111,$KW111)))</f>
        <v>#DIV/0!</v>
      </c>
      <c r="KW111" s="456" t="e">
        <f t="shared" ca="1" si="453"/>
        <v>#DIV/0!</v>
      </c>
      <c r="KX111" s="457" t="e">
        <f ca="1">IF($CP111-Control!$C$149&lt;0, IF($MR111-$OM111&lt;0,0,1),0)</f>
        <v>#N/A</v>
      </c>
      <c r="KY111" s="167">
        <f t="shared" ca="1" si="421"/>
        <v>107</v>
      </c>
      <c r="KZ111" s="168">
        <f ca="1">1370*(1+0.033*COS(2*Control!$C$138*$AH111/365))</f>
        <v>1357.8919276480926</v>
      </c>
      <c r="LA111" s="169">
        <f t="shared" ca="1" si="422"/>
        <v>0.99116212792964831</v>
      </c>
      <c r="LB111" s="169">
        <f t="shared" ca="1" si="423"/>
        <v>0.17860770630347517</v>
      </c>
      <c r="LC111" s="169">
        <f ca="1">ACOS(-TAN((2*Control!$B$8/360))*TAN(Calculations!$LB111))</f>
        <v>1.6244766295978981</v>
      </c>
      <c r="LD111" s="169">
        <f ca="1">((24*60)/PI())*0.082*$LA111*(($LC111*SIN(Control!$B$8*2*PI()/360))*SIN($LB111)+COS(Control!$B$8*2*PI()/360)*COS($LB111)*SIN($LC111))</f>
        <v>31.01076740089843</v>
      </c>
      <c r="LE111" s="170">
        <f t="shared" ca="1" si="327"/>
        <v>31.094661739051642</v>
      </c>
      <c r="LF111" s="170">
        <f ca="1">SIN(Control!$C$139*Control!$B$8)*SIN($HD111)</f>
        <v>0.13449713356023685</v>
      </c>
      <c r="LG111" s="170">
        <f ca="1">COS(Control!$C$139*Control!$B$8)*COS($HD111)</f>
        <v>0.60662603045028518</v>
      </c>
      <c r="LH111" s="170">
        <f ca="1">12*(1+2*ASIN(MAX(-1,MIN(1,$LF111/$LG111))/Control!$C$138))</f>
        <v>13.695170978164095</v>
      </c>
      <c r="LI111" s="170">
        <f ca="1">12*(1+2*ASIN(MAX(-1,MIN(1,(-SIN(-4*Control!$C$139)+$LF111)/$LG111))/Control!$C$138))</f>
        <v>14.577177637165665</v>
      </c>
      <c r="LJ111" s="168">
        <f ca="1">3600*($LH111*$LF111+24*$LG111*SQRT(1-$LK111*$LK111)/Control!$C$138)</f>
        <v>22899.216871337085</v>
      </c>
      <c r="LK111" s="170">
        <f t="shared" ca="1" si="328"/>
        <v>0.22171342278273581</v>
      </c>
      <c r="LL111" s="170">
        <f t="shared" ca="1" si="329"/>
        <v>0</v>
      </c>
      <c r="LM111" s="171">
        <f ca="1">Control!$C$145*$AB111</f>
        <v>6.6660906138995932E-2</v>
      </c>
      <c r="LN111" s="170">
        <f t="shared" ca="1" si="424"/>
        <v>0.54</v>
      </c>
      <c r="LO111" s="170">
        <f t="shared" ca="1" si="330"/>
        <v>0</v>
      </c>
      <c r="LP111" s="170">
        <f ca="1">Control!$C$140*((($D111+273.16)^4+($E111+273.16)^4)/2)*(0.34-0.14*SQRT($Y111))*(1.35*$AQ111/(0.75*$LD111)-0.35)</f>
        <v>-3.2464704755046001</v>
      </c>
      <c r="LQ111" s="170">
        <f ca="1">Control!$C$140*($G111+273)^4*(0.56-0.079*SQRT($Y111*10))*(0.1+0.9*$LO111)</f>
        <v>1.5241745131704001</v>
      </c>
      <c r="LR111" s="170">
        <f ca="1">$AQ111*(1-Control!$C$142)-$LQ111</f>
        <v>-1.5241745131704001</v>
      </c>
      <c r="LS111" s="170">
        <f ca="1">$AQ111*(1-Control!$C$143)-$LQ111</f>
        <v>-1.5241745131704001</v>
      </c>
      <c r="LT111" s="170">
        <f ca="1">$AQ111*(1-Control!$C$144)-$LQ111</f>
        <v>-1.5241745131704001</v>
      </c>
      <c r="LU111" s="169">
        <f ca="1">(1-Control!$C$144)*AQ111-LP111</f>
        <v>3.2464704755046001</v>
      </c>
      <c r="LV111" s="172">
        <f t="shared" ca="1" si="331"/>
        <v>0.79430000000000012</v>
      </c>
      <c r="LW111" s="170">
        <f t="shared" ca="1" si="332"/>
        <v>1.5886000000000002</v>
      </c>
      <c r="LX111" s="170">
        <f ca="1">($AC111*($LR111/Control!$C$141)+$LM111*$LV111)/($AC111+$LM111)</f>
        <v>0.23530094218323697</v>
      </c>
      <c r="LY111" s="170">
        <f ca="1">($AC111*($LS111/Control!$C$141)+$LM111*$LV111)/($AC111+$LM111)</f>
        <v>0.23530094218323697</v>
      </c>
      <c r="LZ111" s="170">
        <f t="shared" ca="1" si="333"/>
        <v>0.23530094218323697</v>
      </c>
      <c r="MA111" s="170">
        <f t="shared" ca="1" si="334"/>
        <v>0.23530094218323697</v>
      </c>
      <c r="MB111" s="170" t="e">
        <f t="shared" ca="1" si="335"/>
        <v>#N/A</v>
      </c>
      <c r="MC111" s="170">
        <f t="shared" ca="1" si="425"/>
        <v>0.6018</v>
      </c>
      <c r="MD111" s="170">
        <f t="shared" ca="1" si="336"/>
        <v>0.52989392535414004</v>
      </c>
      <c r="ME111" s="170">
        <f ca="1">($AC111*($LT111/Control!$C$141)+$LM111*$LW111)/($AC111+$LM111)</f>
        <v>0.71612369323045078</v>
      </c>
      <c r="MF111" s="170" t="e">
        <f ca="1">IF(Control!$B$16&gt;=1000,0.92,IF(AND(720&lt;=Control!$B$16,1000&gt;Control!$B$16),(0.95+(Control!$B$16-720)*((0.92-0.95)/(1000-720))),IF(AND(360&lt;=Control!$B$16,720&gt;Control!$B$16),(1+(Control!$B$16-360)*((0.95-1)/(720-360))),IF(AND(40&lt;=Control!$B$16,360&gt;Control!$B$16),(1.05+(Control!$B$16-40)*((1.05-1)/(360-40)))))))</f>
        <v>#N/A</v>
      </c>
      <c r="MG111" s="170">
        <f t="shared" ca="1" si="337"/>
        <v>0.71612369323045078</v>
      </c>
      <c r="MH111" s="170" t="e">
        <f t="shared" ca="1" si="463"/>
        <v>#N/A</v>
      </c>
      <c r="MI111" s="170" t="e">
        <f t="shared" ca="1" si="463"/>
        <v>#N/A</v>
      </c>
      <c r="MJ111" s="170" t="e">
        <f ca="1">MAX(0.0001, Control!$C$132*$MI111*$DL111)</f>
        <v>#N/A</v>
      </c>
      <c r="MK111" s="170">
        <f ca="1">1/(0.76+1.5*($MG111/10))-(5-Control!$C$110)*0.1</f>
        <v>1.002845988140797</v>
      </c>
      <c r="ML111" s="173">
        <f ca="1">IF(Control!$C$110&lt;3,$MK111+($MG111-0.6)/(Control!$C$110*(Control!$C$110+3)), MAX(0.1, MIN(0.95,$MK111)))</f>
        <v>0.95</v>
      </c>
      <c r="MM111" s="173">
        <f ca="1">IF(Control!$C$110&lt;3,$MK111+(($MI111/10)-0.6)/(Control!$C$110*(Control!$C$110+3)), MAX(0.1, MIN(0.95,$MK111)))</f>
        <v>0.95</v>
      </c>
      <c r="MN111" s="173">
        <f ca="1">(1-$MM111)*(Control!$C$128-Control!$C$127)+Control!$C$127</f>
        <v>0.16</v>
      </c>
      <c r="MO111" s="170" t="e">
        <f ca="1">MAX(0,MIN(1,($MS111-Control!$C$127)/($MN111-Control!$C$127)))</f>
        <v>#DIV/0!</v>
      </c>
      <c r="MP111" s="173" t="e">
        <f ca="1">1/(0.76+1.5*$MI111)-(5-Control!$C$110)*0.1</f>
        <v>#N/A</v>
      </c>
      <c r="MQ111" s="172" t="e">
        <f t="shared" ca="1" si="454"/>
        <v>#DIV/0!</v>
      </c>
      <c r="MR111" s="168" t="e">
        <f t="shared" ca="1" si="426"/>
        <v>#DIV/0!</v>
      </c>
      <c r="MS111" s="173" t="e">
        <f ca="1">MAX(Control!$C$127, MIN(Control!$C$135, $MR111/MAX(0.0001,$CY111)))</f>
        <v>#DIV/0!</v>
      </c>
      <c r="MT111" s="168" t="e">
        <f ca="1">(Control!$C$128-$MS111)*Control!$C$74</f>
        <v>#DIV/0!</v>
      </c>
      <c r="MU111" s="168" t="e">
        <f ca="1">(Control!$C$135-$MS111)*Control!$C$74</f>
        <v>#DIV/0!</v>
      </c>
      <c r="MV111" s="168" t="e">
        <f t="shared" ca="1" si="427"/>
        <v>#DIV/0!</v>
      </c>
      <c r="MW111" s="168" t="e">
        <f t="shared" ca="1" si="428"/>
        <v>#DIV/0!</v>
      </c>
      <c r="MX111" s="171" t="e">
        <f ca="1">MAX(Control!$C$127, MIN(Control!$C$135, $MW111/MAX(0.0001,Control!$C$119-$CY111)))</f>
        <v>#DIV/0!</v>
      </c>
      <c r="MY111" s="54" t="e">
        <f ca="1">IF(Control!$C$114=1, $CX111*$MX111, 0)</f>
        <v>#DIV/0!</v>
      </c>
      <c r="MZ111" s="54" t="e">
        <f t="shared" ca="1" si="429"/>
        <v>#N/A</v>
      </c>
      <c r="NA111" s="168" t="e">
        <f ca="1">(Control!$C$128-$MX111)*(Control!$C$119-Control!$C$74)</f>
        <v>#DIV/0!</v>
      </c>
      <c r="NB111" s="168" t="e">
        <f ca="1">(Control!$C$135-$MX111)*(Control!$C$119-Control!$C$74)</f>
        <v>#DIV/0!</v>
      </c>
      <c r="NC111" s="174" t="e">
        <f t="shared" ca="1" si="430"/>
        <v>#DIV/0!</v>
      </c>
      <c r="ND111" s="54">
        <f ca="1">IF(Control!$C$58=2, IF(OR(Control!$B$218=$AH111,Control!$B$219=$AH111, Control!$B$220=$AH111, Control!$B$221=$AH111, Control!$B$222=$AH111, Control!$B$223=$AH111, Control!$B$224=$AH111, Control!$B$225=$AH111, Control!$B$226=$AH111, Control!$B$227=$AH111, Control!$B$228=$AH111), 1, 0), 0)</f>
        <v>0</v>
      </c>
      <c r="NE111" s="54">
        <f ca="1">IF($ND111=0,0, VLOOKUP($AH111,Control!$B$218:$C$228,2))</f>
        <v>0</v>
      </c>
      <c r="NF111" s="168" t="e">
        <f ca="1">$CY111*(Control!$C$128-Control!$C$127)</f>
        <v>#N/A</v>
      </c>
      <c r="NG111" s="54" t="e">
        <f ca="1">IF(Control!$C$58=2, $NI110-$NJ110, 0)</f>
        <v>#DIV/0!</v>
      </c>
      <c r="NH111" s="54" t="e">
        <f ca="1">IF(AND(Control!$C$58=1, $MS110&lt;= ($MN110+0.02), $I110&lt;10), 0, IF(Control!$C$58=2, $NG110, 0))</f>
        <v>#DIV/0!</v>
      </c>
      <c r="NI111" s="54" t="e">
        <f ca="1">IF(Control!$C$58=2, $NE111+$NH111,0)</f>
        <v>#DIV/0!</v>
      </c>
      <c r="NJ111" s="54" t="e">
        <f ca="1">IF(AND(Control!$C$58=1, $MS111&lt;= ($MN111+0.02), $I111&lt;10), MAX(0, MIN(10, 0.7*($NF111-$MV111))), IF(Control!$C$58=2, MIN(10,$NI111),0))</f>
        <v>#DIV/0!</v>
      </c>
      <c r="NK111" s="54" t="e">
        <f t="shared" ca="1" si="338"/>
        <v>#DIV/0!</v>
      </c>
      <c r="NL111" s="173" t="e">
        <f ca="1">(1-Control!$C$73)*$I111+$NJ111</f>
        <v>#DIV/0!</v>
      </c>
      <c r="NM111" s="172" t="e">
        <f ca="1">IF($NL111&lt;0.5, $MB111* MAX(0, MIN(1, (SQRT($NC111)-SQRT($NC111-1))*Control!$C$71)),0)</f>
        <v>#DIV/0!</v>
      </c>
      <c r="NN111" s="170" t="e">
        <f ca="1">IF($NL111&gt;=5, $MB111, MAX(0,MIN($MB111, $NM111+$NL111,($MS111-Control!$C$129))))</f>
        <v>#DIV/0!</v>
      </c>
      <c r="NO111" s="54">
        <f>IF(Control!$C$133&lt;&gt;1, Control!$C$135-Control!$C$131, 0)</f>
        <v>0.38</v>
      </c>
      <c r="NP111" s="54" t="e">
        <f t="shared" ca="1" si="339"/>
        <v>#DIV/0!</v>
      </c>
      <c r="NQ111" s="173" t="e">
        <f ca="1">MAX(0,MIN(1,(Control!$C$135-$MS111)/(Control!$C$135-$NO111)))</f>
        <v>#DIV/0!</v>
      </c>
      <c r="NR111" s="170" t="e">
        <f ca="1">IF(Control!$C$133&lt;&gt;1, $NQ111+((1-$NP111/4)*(1-$NQ111)),1)</f>
        <v>#DIV/0!</v>
      </c>
      <c r="NS111" s="170" t="e">
        <f ca="1">IF(Control!$B$31=0,$MJ111,MAX(0,MIN($MV111,$MO111*$NR111*$MJ111)))</f>
        <v>#DIV/0!</v>
      </c>
      <c r="NT111" s="170" t="e">
        <f t="shared" ca="1" si="455"/>
        <v>#DIV/0!</v>
      </c>
      <c r="NU111" s="170" t="e">
        <f t="shared" ca="1" si="431"/>
        <v>#N/A</v>
      </c>
      <c r="NV111" s="170" t="e">
        <f t="shared" ca="1" si="340"/>
        <v>#N/A</v>
      </c>
      <c r="NW111" s="175" t="e">
        <f t="shared" ca="1" si="341"/>
        <v>#DIV/0!</v>
      </c>
      <c r="NX111" s="170" t="e">
        <f ca="1">MIN(Control!$C$72+$MU111, $NW111)</f>
        <v>#DIV/0!</v>
      </c>
      <c r="NY111" s="170" t="e">
        <f ca="1">IF($MT111&lt;=$NX111,MIN(Control!$C$72+$NB111,$NX111-$MT111),0)</f>
        <v>#DIV/0!</v>
      </c>
      <c r="NZ111" s="54" t="e">
        <f ca="1">IF(Control!$C$114=1,  $CX111*($MX111-Control!$C$127), 0)</f>
        <v>#DIV/0!</v>
      </c>
      <c r="OA111" s="170" t="e">
        <f t="shared" ca="1" si="342"/>
        <v>#DIV/0!</v>
      </c>
      <c r="OB111" s="170" t="e">
        <f ca="1">IF($NA111 &lt;=$NY111, MIN(Control!$C$72, $NY111-$NA111), 0)</f>
        <v>#DIV/0!</v>
      </c>
      <c r="OC111" s="168" t="e">
        <f t="shared" ca="1" si="343"/>
        <v>#DIV/0!</v>
      </c>
      <c r="OD111" s="168" t="e">
        <f t="shared" ca="1" si="432"/>
        <v>#DIV/0!</v>
      </c>
      <c r="OE111" s="170">
        <f ca="1">Control!$C$73*$I111</f>
        <v>0</v>
      </c>
      <c r="OF111" s="176" t="e">
        <f t="shared" ca="1" si="344"/>
        <v>#DIV/0!</v>
      </c>
      <c r="OG111" s="168" t="e">
        <f t="shared" ca="1" si="345"/>
        <v>#DIV/0!</v>
      </c>
      <c r="OH111" s="168" t="e">
        <f t="shared" ca="1" si="346"/>
        <v>#DIV/0!</v>
      </c>
      <c r="OI111" s="168" t="e">
        <f t="shared" ca="1" si="347"/>
        <v>#DIV/0!</v>
      </c>
      <c r="OJ111" s="168" t="e">
        <f t="shared" ca="1" si="348"/>
        <v>#DIV/0!</v>
      </c>
      <c r="OK111" s="204" t="e">
        <f t="shared" ca="1" si="349"/>
        <v>#DIV/0!</v>
      </c>
      <c r="OL111" s="177">
        <f>Control!$C$127</f>
        <v>0.15</v>
      </c>
      <c r="OM111" s="182" t="e">
        <f t="shared" ca="1" si="350"/>
        <v>#N/A</v>
      </c>
      <c r="ON111" s="177">
        <f>Control!$C$128</f>
        <v>0.35</v>
      </c>
      <c r="OO111" s="182" t="e">
        <f t="shared" ca="1" si="351"/>
        <v>#N/A</v>
      </c>
      <c r="OP111" s="138">
        <f t="shared" ca="1" si="433"/>
        <v>0</v>
      </c>
      <c r="OQ111" s="138" t="e">
        <f t="shared" ca="1" si="456"/>
        <v>#DIV/0!</v>
      </c>
      <c r="OR111" s="138" t="e">
        <f t="shared" ca="1" si="434"/>
        <v>#DIV/0!</v>
      </c>
      <c r="OS111" s="137" t="e">
        <f t="shared" ca="1" si="457"/>
        <v>#DIV/0!</v>
      </c>
      <c r="OT111" s="139" t="e">
        <f t="shared" ca="1" si="458"/>
        <v>#DIV/0!</v>
      </c>
      <c r="OU111" s="138" t="e">
        <f t="shared" ca="1" si="459"/>
        <v>#N/A</v>
      </c>
      <c r="OV111" s="138" t="e">
        <f t="shared" ca="1" si="460"/>
        <v>#DIV/0!</v>
      </c>
      <c r="OW111" s="138" t="e">
        <f t="shared" ca="1" si="435"/>
        <v>#DIV/0!</v>
      </c>
      <c r="OX111" s="138" t="e">
        <f t="shared" ca="1" si="436"/>
        <v>#DIV/0!</v>
      </c>
      <c r="OY111" s="138" t="e">
        <f t="shared" ca="1" si="437"/>
        <v>#DIV/0!</v>
      </c>
      <c r="OZ111" s="138" t="e">
        <f t="shared" ca="1" si="352"/>
        <v>#DIV/0!</v>
      </c>
      <c r="PA111" s="138" t="e">
        <f t="shared" ca="1" si="353"/>
        <v>#DIV/0!</v>
      </c>
      <c r="PB111" s="55">
        <f>IF(Control!$C$61="T", IF(Control!$C$65="F", IF($AH$6-Control!$C$60&lt;0,0,1), IF(365+$AH$6-Control!$C$60&lt;0,0,1)),0)</f>
        <v>0</v>
      </c>
      <c r="PC111" s="55">
        <f ca="1">IF(Control!$C$65="F", IF($AH$6-$HF111&lt;0,0,1), IF(365+$AH$6-$HF111&lt;0,0,1))</f>
        <v>1</v>
      </c>
      <c r="PD111" s="444">
        <f>Control!$C$118</f>
        <v>1500</v>
      </c>
      <c r="PE111" s="180" t="e">
        <f t="shared" ca="1" si="354"/>
        <v>#N/A</v>
      </c>
      <c r="PF111" s="445">
        <f t="shared" ca="1" si="438"/>
        <v>0.71612369323045078</v>
      </c>
      <c r="PT111" s="186"/>
      <c r="PU111" s="186"/>
      <c r="PV111" s="94"/>
      <c r="PW111" s="94"/>
      <c r="PX111" s="94"/>
      <c r="PY111" s="94"/>
      <c r="PZ111" s="94"/>
      <c r="QA111" s="94"/>
      <c r="QB111" s="94"/>
      <c r="QC111" s="94"/>
      <c r="QD111" s="94"/>
      <c r="QE111" s="94"/>
      <c r="QF111" s="94"/>
      <c r="QG111" s="94"/>
      <c r="QH111" s="94"/>
      <c r="QI111" s="94"/>
      <c r="QJ111" s="94"/>
      <c r="QK111" s="94"/>
      <c r="QL111" s="94"/>
      <c r="QM111" s="94"/>
      <c r="QN111" s="94"/>
      <c r="QO111" s="94"/>
      <c r="QP111" s="94"/>
    </row>
    <row r="112" spans="1:458" s="2" customFormat="1" x14ac:dyDescent="0.2">
      <c r="A112" s="395">
        <v>17</v>
      </c>
      <c r="B112" s="396">
        <v>4</v>
      </c>
      <c r="C112" s="387">
        <f ca="1">Weather_data!$B111</f>
        <v>0</v>
      </c>
      <c r="D112" s="388">
        <f ca="1">Weather_data!$F111</f>
        <v>0</v>
      </c>
      <c r="E112" s="388">
        <f ca="1">Weather_data!$E111</f>
        <v>0</v>
      </c>
      <c r="F112" s="388">
        <f t="shared" ca="1" si="355"/>
        <v>0</v>
      </c>
      <c r="G112" s="388">
        <f ca="1">AVERAGE($D112:$E112)+Control!$B$9</f>
        <v>0</v>
      </c>
      <c r="H112" s="388">
        <f ca="1">Weather_data!$G111</f>
        <v>0</v>
      </c>
      <c r="I112" s="388">
        <f ca="1">Weather_data!$I111</f>
        <v>0</v>
      </c>
      <c r="J112" s="388">
        <f ca="1">Weather_data!$H111</f>
        <v>0</v>
      </c>
      <c r="K112" s="389">
        <f ca="1">Weather_data!$D111</f>
        <v>0</v>
      </c>
      <c r="L112" s="388" t="e">
        <f t="shared" ca="1" si="356"/>
        <v>#N/A</v>
      </c>
      <c r="M112" s="388" t="e">
        <f t="shared" ca="1" si="234"/>
        <v>#N/A</v>
      </c>
      <c r="N112" s="388">
        <f t="shared" ca="1" si="235"/>
        <v>-7.0579081931091878E-6</v>
      </c>
      <c r="O112" s="388">
        <f t="shared" ca="1" si="357"/>
        <v>7.0579081931091878E-5</v>
      </c>
      <c r="P112" s="390">
        <v>3</v>
      </c>
      <c r="Q112" s="388">
        <f ca="1">MAX($G112-Control!$C$107,0)</f>
        <v>0</v>
      </c>
      <c r="R112" s="388">
        <f t="shared" ca="1" si="358"/>
        <v>0</v>
      </c>
      <c r="S112" s="388">
        <f t="shared" ca="1" si="236"/>
        <v>0</v>
      </c>
      <c r="T112" s="388">
        <f t="shared" ca="1" si="237"/>
        <v>0</v>
      </c>
      <c r="U112" s="59">
        <f t="shared" ca="1" si="238"/>
        <v>0</v>
      </c>
      <c r="V112" s="391">
        <f ca="1">MAX(0,MIN(Control!$C$100-Control!$C$99,$G112-Control!$C$99)*Control!$C$63)</f>
        <v>0</v>
      </c>
      <c r="W112" s="388">
        <f t="shared" ca="1" si="359"/>
        <v>0</v>
      </c>
      <c r="X112" s="388">
        <f t="shared" ca="1" si="360"/>
        <v>0.6110000000000001</v>
      </c>
      <c r="Y112" s="388">
        <f t="shared" ca="1" si="239"/>
        <v>0</v>
      </c>
      <c r="Z112" s="388">
        <f t="shared" ca="1" si="361"/>
        <v>0.61058800000000002</v>
      </c>
      <c r="AA112" s="388">
        <f t="shared" ca="1" si="240"/>
        <v>0.6018</v>
      </c>
      <c r="AB112" s="388">
        <f ca="1">101.3*EXP(-0.034*Control!$C$66/($G112+273))</f>
        <v>100.69623283836242</v>
      </c>
      <c r="AC112" s="392">
        <f t="shared" ca="1" si="241"/>
        <v>4.3460251046025113E-2</v>
      </c>
      <c r="AD112" s="392">
        <f t="shared" ca="1" si="242"/>
        <v>4.4450382862832649E-2</v>
      </c>
      <c r="AE112" s="388">
        <f t="shared" ca="1" si="243"/>
        <v>0</v>
      </c>
      <c r="AF112" s="388">
        <f ca="1">MAX(0,$G112-Control!$C$92)</f>
        <v>0</v>
      </c>
      <c r="AG112" s="393">
        <f t="shared" ca="1" si="244"/>
        <v>108</v>
      </c>
      <c r="AH112" s="389">
        <f t="shared" ca="1" si="245"/>
        <v>108</v>
      </c>
      <c r="AI112" s="388">
        <f t="shared" ca="1" si="362"/>
        <v>0.17777671852912236</v>
      </c>
      <c r="AJ112" s="388">
        <f ca="1">IF(Control!$C$60&lt;=0,$HH112,$HI112)</f>
        <v>1</v>
      </c>
      <c r="AK112" s="388">
        <f t="shared" ca="1" si="246"/>
        <v>0.48199777698911894</v>
      </c>
      <c r="AL112" s="388">
        <f t="shared" ca="1" si="247"/>
        <v>-3.2459937515660895E-18</v>
      </c>
      <c r="AM112" s="388">
        <f t="shared" ca="1" si="248"/>
        <v>0.48199777698911894</v>
      </c>
      <c r="AN112" s="388">
        <f t="shared" ca="1" si="249"/>
        <v>0.18546166153230101</v>
      </c>
      <c r="AO112" s="388">
        <f ca="1">-0.10453/COS(Control!$B$8*PI()/180)*COS(AN112)</f>
        <v>-0.16687326176931849</v>
      </c>
      <c r="AP112" s="388">
        <f ca="1">ACOS(AO112-TAN(Control!$B$8*PI()/180)*TAN(AN112))</f>
        <v>1.9899778581896157</v>
      </c>
      <c r="AQ112" s="388">
        <f t="shared" ca="1" si="363"/>
        <v>0</v>
      </c>
      <c r="AR112" s="394">
        <f t="shared" ca="1" si="250"/>
        <v>0</v>
      </c>
      <c r="AS112" s="436">
        <f ca="1">IF(Control!$B$18=2,(IF(OR($AH112=Control!$B$175,$AH112=Control!$B$176,$AH112=Control!$B$177,$AH112=Control!$B$178,$AH112=Control!$B$179,$AH112=Control!$B$180,$AH112=Control!$B$181,$AH112=Control!$B$182,$AH112=Control!$B$183,$AH112=Control!$B$184,$AH112=Control!$B$185),1,0)),0)</f>
        <v>0</v>
      </c>
      <c r="AT112" s="436">
        <f>IF(Control!$B$20=8,IF(AND($AH112&gt;=Control!$B$172,$AH112&lt;=Control!$B$173),1,0),0)</f>
        <v>0</v>
      </c>
      <c r="AU112" s="436">
        <f>IF(Control!$B$20=8,IF($AV111=1,1*$AT112,IF($AT112=1,$AU111+1,$AU111)),0)</f>
        <v>0</v>
      </c>
      <c r="AV112" s="436">
        <f>IF(Control!$B$20=8,IF($AU112&gt;=Control!$B$174,1,0),0)</f>
        <v>0</v>
      </c>
      <c r="AW112" s="436">
        <f ca="1">IF(AND(Control!$B$18=2,Control!$B$171=1), $AV112, $AS112)</f>
        <v>0</v>
      </c>
      <c r="AX112" s="436" t="e">
        <f ca="1">IF(AND(Control!$B$18=1,$EU112&gt;=Control!$B$19),-$AY112,IF(AND(Control!$B$18=2,$AW112=1,$EU112&gt;$DS112),-$AY112, IF(Control!$C$108=0,0, IF(Control!$C$108&lt;&gt;0,1))))</f>
        <v>#N/A</v>
      </c>
      <c r="AY112" s="436" t="e">
        <f t="shared" ca="1" si="364"/>
        <v>#N/A</v>
      </c>
      <c r="AZ112" s="436" t="e">
        <f ca="1">IF(AND(Control!$B$18=1,$EB112&gt;Control!$B$19),$AZ111+1, IF(AND(Control!$B$18=2, $AW112=1, $EB112&gt;$DS112), $AZ111+1,$AZ111))</f>
        <v>#N/A</v>
      </c>
      <c r="BA112" s="587">
        <f>IF(Control!$C$81=0,1,IF($AH112&gt;=Control!$C$82,1,0))</f>
        <v>1</v>
      </c>
      <c r="BB112" s="140" t="e">
        <f ca="1">IF($BA112&gt;$BA111,Control!$C$83,IF($AW112&gt;0,$AW112*Control!$C$84,IF(AND(Control!$B$18=1,EN111&lt;&gt;0),Control!$C$84,0)))</f>
        <v>#N/A</v>
      </c>
      <c r="BC112" s="140" t="e">
        <f t="shared" ca="1" si="365"/>
        <v>#N/A</v>
      </c>
      <c r="BD112" s="140" t="e">
        <f ca="1">BC112*IF(OR($G112&lt;Control!$C$92,$G112&gt;Control!$C$95),0,IF(AND($G112&gt;=Control!$C$92,$G112&lt;=Control!$C$93),$G112-Control!$C$92,IF(AND($G112&gt;Control!$C$93,$G112&lt;=Control!$C$94),Control!$C$93-Control!$C$92,IF(AND($G112&gt;Control!$C$94,$G112&lt;=Control!$C$95),(Control!$C$93-Control!$C$92)*(Control!$C$94-$G112)/(Control!$C$95-Control!$C$94)))))</f>
        <v>#N/A</v>
      </c>
      <c r="BE112" s="140" t="e">
        <f t="shared" ca="1" si="366"/>
        <v>#N/A</v>
      </c>
      <c r="BF112" s="140" t="e">
        <f ca="1">IF($BE112&lt;=Control!$C$86,$BE112,Control!$C$86-$BE112)</f>
        <v>#N/A</v>
      </c>
      <c r="BG112" s="140" t="e">
        <f ca="1">IF(AND($AW112=1,Control!$C$84&lt;9),1,IF($BE112&gt;=Control!$C$86,0,$BC112))</f>
        <v>#N/A</v>
      </c>
      <c r="BH112" s="404" t="e">
        <f ca="1">IF($BG112=0,0,IF($BE112&lt;=Control!$C$86,$BC112*9*($BF112/Control!$C$86),0))</f>
        <v>#N/A</v>
      </c>
      <c r="BI112" s="140" t="e">
        <f ca="1">IF($BG112=1,0,IF($BE112&gt;=Control!$C$86,1,IF(AND($BB112&lt;21,$BB112&gt;=9),1,$BM111)))</f>
        <v>#N/A</v>
      </c>
      <c r="BJ112" s="140" t="e">
        <f ca="1">IF($BF112&lt;0,-$BF112,$BI112*IF(OR($G112&lt;Control!$C$92,$G112&gt;Control!$C$95),0,IF(AND($G112&gt;=Control!$C$92,$G112&lt;=Control!$C$93),$G112-Control!$C$92,IF(AND($G112&gt;Control!$C$93,$G112&lt;=Control!$C$94),Control!$C$93-Control!$C$92,IF(AND($G112&gt;Control!$C$94,$G112&lt;=Control!$C$95),(Control!$C$93-Control!$C$92)*(Control!$C$94-$G112)/(Control!$C$95-Control!$C$94))))))</f>
        <v>#N/A</v>
      </c>
      <c r="BK112" s="140" t="e">
        <f t="shared" ca="1" si="367"/>
        <v>#N/A</v>
      </c>
      <c r="BL112" s="140" t="e">
        <f ca="1">IF($BK112&lt;=Control!$C$87,$BK112,Control!$C$87-$BK112)</f>
        <v>#N/A</v>
      </c>
      <c r="BM112" s="140" t="e">
        <f ca="1">IF(AND($BB112&gt;=9,$BB112&lt;21),1,IF($BK112&gt;=Control!$C$87,0,$BI112))</f>
        <v>#N/A</v>
      </c>
      <c r="BN112" s="404" t="e">
        <f ca="1">IF($BM112=0,0,IF($BK112&lt;=Control!$C$87,$BI112*(9+(21-9)*($BL112/Control!$C$87)),0))</f>
        <v>#N/A</v>
      </c>
      <c r="BO112" s="140" t="e">
        <f ca="1">IF($BM112=1,0,IF($BK112&gt;=Control!$C$87,1,IF(AND($BB112&lt;30,$BB112&gt;=21),1,$BS111)))</f>
        <v>#N/A</v>
      </c>
      <c r="BP112" s="140" t="e">
        <f ca="1">IF($BL112&lt;0,-$BL112,$BO112*IF(OR($G112&lt;Control!$C$92,$G112&gt;Control!$C$95),0,IF(AND($G112&gt;=Control!$C$92,$G112&lt;=Control!$C$93),$G112-Control!$C$92,IF(AND($G112&gt;Control!$C$93,$G112&lt;=Control!$C$94),Control!$C$93-Control!$C$92,IF(AND($G112&gt;Control!$C$94,$G112&lt;=Control!$C$95),(Control!$C$93-Control!$C$92)*(Control!$C$94-$G112)/(Control!$C$95-Control!$C$94))))))</f>
        <v>#N/A</v>
      </c>
      <c r="BQ112" s="140" t="e">
        <f t="shared" ca="1" si="251"/>
        <v>#N/A</v>
      </c>
      <c r="BR112" s="140" t="e">
        <f ca="1">IF($BQ112&lt;=Control!$C$88,$BQ112,Control!$C$88-$BQ112)</f>
        <v>#N/A</v>
      </c>
      <c r="BS112" s="140" t="e">
        <f ca="1">IF(AND($BB112&gt;=21,$BB112&lt;30),1,IF($BQ112&gt;=Control!$C$88,0,$BO112))</f>
        <v>#N/A</v>
      </c>
      <c r="BT112" s="404" t="e">
        <f ca="1">IF($BS112=0,0,IF($BQ112&lt;=Control!$C$88,$BO112*(21+(30-21)*(BR112/Control!$C$88)),0))</f>
        <v>#N/A</v>
      </c>
      <c r="BU112" s="140" t="e">
        <f ca="1">IF(BG112+BM112+BS112=1,0,IF(OR(AND($BB112&lt;60,$BB112&gt;=30),$BQ112&gt;=Control!$C$88),1*$BA112,$BY111))</f>
        <v>#N/A</v>
      </c>
      <c r="BV112" s="140" t="e">
        <f ca="1">IF($BR112&lt;0,-$BR112,$BU112*IF(OR($G112&lt;Control!$C$92,$G112&gt;Control!$C$95),0,IF(AND($G112&gt;=Control!$C$92,$G112&lt;=Control!$C$93),$G112-Control!$C$92,IF(AND($G112&gt;Control!$C$93,$G112&lt;=Control!$C$94),Control!$C$93-Control!$C$92,IF(AND($G112&gt;Control!$C$94,$G112&lt;=Control!$C$95),(Control!$C$93-Control!$C$92)*(Control!$C$94-$G112)/(Control!$C$95-Control!$C$94))))))</f>
        <v>#N/A</v>
      </c>
      <c r="BW112" s="140" t="e">
        <f t="shared" ca="1" si="252"/>
        <v>#N/A</v>
      </c>
      <c r="BX112" s="140" t="e">
        <f ca="1">IF($BW112&lt;=Control!$C$89,$BW112,Control!$C$89-$BW112)</f>
        <v>#N/A</v>
      </c>
      <c r="BY112" s="140" t="e">
        <f ca="1">IF(AND($AJ112&gt;=30,$AJ112&lt;60),1,IF($BW112&gt;=Control!$C$89,0,$BU112))</f>
        <v>#N/A</v>
      </c>
      <c r="BZ112" s="404" t="e">
        <f ca="1">IF($BY112=0,0,IF($BW112&lt;=Control!$C$89,$BU112*(30+(60-30)*(BX112/Control!$C$89)),0))</f>
        <v>#N/A</v>
      </c>
      <c r="CA112" s="140" t="e">
        <f ca="1">IF($BG112+$BM112+$BS112+$BY112=1,0,IF(OR(AND($BB112&lt;65,$BB112&gt;=60),$BW112&gt;=Control!$C$89),1*$BA112,$CE111))</f>
        <v>#N/A</v>
      </c>
      <c r="CB112" s="140" t="e">
        <f ca="1">IF($BX112&lt;0,-$BX112,$CA112*IF(OR($G112&lt;Control!$C$92,$G112&gt;Control!$C$95),0,IF(AND($G112&gt;=Control!$C$92,$G112&lt;=Control!$C$93),$G112-Control!$C$92,IF(AND($G112&gt;Control!$C$93,$G112&lt;=Control!$C$94),Control!$C$93-Control!$C$92,IF(AND($G112&gt;Control!$C$94,$G112&lt;=Control!$C$95),(Control!$C$93-Control!$C$92)*(Control!$C$94-$G112)/(Control!$C$95-Control!$C$94))))))</f>
        <v>#N/A</v>
      </c>
      <c r="CC112" s="140" t="e">
        <f t="shared" ca="1" si="368"/>
        <v>#N/A</v>
      </c>
      <c r="CD112" s="140" t="e">
        <f ca="1">IF($CC112&lt;=Control!$C$90,$CC112,Control!$C$90-$CC112)</f>
        <v>#N/A</v>
      </c>
      <c r="CE112" s="140" t="e">
        <f ca="1">IF(AND($BB112&gt;=60,$BB112&lt;65),1,IF($CC112&gt;=Control!$C$90,0,$CA112))</f>
        <v>#N/A</v>
      </c>
      <c r="CF112" s="404" t="e">
        <f ca="1">IF($CE112=0,0,IF($CC112&lt;=Control!$C$90,$CA112*(60+(65-60)*(CD112/Control!$C$90)),0))</f>
        <v>#N/A</v>
      </c>
      <c r="CG112" s="140" t="e">
        <f ca="1">IF($BG112+$BM112+$BS112+$BY112+$CE112=1,0,IF(OR(AND($BB112&lt;90,$BB112&gt;=65),$CC112&gt;=Control!$C$90),$BA112,$CK111))</f>
        <v>#N/A</v>
      </c>
      <c r="CH112" s="140" t="e">
        <f ca="1">IF($CD112&lt;0,-$CD112,$CG112*IF(OR($G112&lt;Control!$C$92,$G112&gt;Control!$C$95),0,IF(AND($G112&gt;=Control!$C$92,$G112&lt;=Control!$C$93),$G112-Control!$C$92,IF(AND($G112&gt;Control!$C$93,$G112&lt;=Control!$C$94),Control!$C$93-Control!$C$92,IF(AND($G112&gt;Control!$C$94,$G112&lt;=Control!$C$95),(Control!$C$93-Control!$C$92)*(Control!$C$94-$G112)/(Control!$C$95-Control!$C$94))))))</f>
        <v>#N/A</v>
      </c>
      <c r="CI112" s="140" t="e">
        <f t="shared" ca="1" si="369"/>
        <v>#N/A</v>
      </c>
      <c r="CJ112" s="140" t="e">
        <f ca="1">IF($CI112&lt;=Control!$C$91,$CI112,Control!$C$91-$CI112)</f>
        <v>#N/A</v>
      </c>
      <c r="CK112" s="140" t="e">
        <f ca="1">IF(AND($BB112&gt;=65,$BB112&lt;90),1,IF($CI112&gt;=Control!$C$91,0,$CG112))</f>
        <v>#N/A</v>
      </c>
      <c r="CL112" s="404" t="e">
        <f ca="1">IF($CK112=0,0,IF($CI112&lt;=Control!$C$91,$CG112*(65+(90-65)*($CJ112/Control!$C$91)),0))</f>
        <v>#N/A</v>
      </c>
      <c r="CM112" s="140" t="e">
        <f ca="1">IF($BG112+$BM112+$BS112+$BY112+$CE112+$CK112=1,0,IF(OR($BB112&gt;=90,$CI112&gt;=Control!$C$91),$BA112,$CM111))</f>
        <v>#N/A</v>
      </c>
      <c r="CN112" s="140" t="e">
        <f t="shared" ca="1" si="370"/>
        <v>#N/A</v>
      </c>
      <c r="CO112" s="140" t="e">
        <f t="shared" ca="1" si="371"/>
        <v>#N/A</v>
      </c>
      <c r="CP112" s="140" t="e">
        <f t="shared" ca="1" si="372"/>
        <v>#N/A</v>
      </c>
      <c r="CQ112" s="141" t="e">
        <f ca="1">VLOOKUP($CP112,Control!$B$86:$G$91,6)</f>
        <v>#N/A</v>
      </c>
      <c r="CR112" s="141" t="e">
        <f ca="1">(1-$CQ112)*VLOOKUP($CP112,Control!$B$86:$D$91,3)</f>
        <v>#N/A</v>
      </c>
      <c r="CS112" s="141" t="e">
        <f ca="1">(1-$CQ112)*VLOOKUP($CP112,Control!$B$86:$E$91,4)</f>
        <v>#N/A</v>
      </c>
      <c r="CT112" s="141" t="e">
        <f ca="1">(1-$CQ112)*VLOOKUP($CP112,Control!$B$86:$F$91,5)</f>
        <v>#N/A</v>
      </c>
      <c r="CU112" s="141">
        <f t="shared" ca="1" si="373"/>
        <v>0</v>
      </c>
      <c r="CV112" s="583">
        <f t="shared" ca="1" si="374"/>
        <v>0</v>
      </c>
      <c r="CW112" s="142">
        <f t="shared" ca="1" si="375"/>
        <v>108</v>
      </c>
      <c r="CX112" s="612" t="e">
        <f ca="1">IF(Control!$C$114=1,(MIN(Control!$C$120*(IF($NT112-0.01&lt;0,0,1)),Control!$C$119-$CY112)))</f>
        <v>#DIV/0!</v>
      </c>
      <c r="CY112" s="143" t="e">
        <f t="shared" ca="1" si="376"/>
        <v>#N/A</v>
      </c>
      <c r="CZ112" s="144">
        <f t="shared" ca="1" si="253"/>
        <v>0</v>
      </c>
      <c r="DA112" s="144">
        <f t="shared" ca="1" si="254"/>
        <v>0</v>
      </c>
      <c r="DB112" s="144" t="e">
        <f t="shared" ca="1" si="255"/>
        <v>#N/A</v>
      </c>
      <c r="DC112" s="144" t="e">
        <f t="shared" ca="1" si="256"/>
        <v>#N/A</v>
      </c>
      <c r="DD112" s="144" t="e">
        <f t="shared" ca="1" si="461"/>
        <v>#N/A</v>
      </c>
      <c r="DE112" s="143" t="e">
        <f t="shared" ca="1" si="377"/>
        <v>#N/A</v>
      </c>
      <c r="DF112" s="145" t="e">
        <f ca="1">$DR112*EXP(-Control!$C$158*(1-$KH112))</f>
        <v>#N/A</v>
      </c>
      <c r="DG112" s="146" t="e">
        <f ca="1">IF(Control!$C$114=1, $DF112*$EY112, 0)</f>
        <v>#N/A</v>
      </c>
      <c r="DH112" s="147" t="e">
        <f t="shared" ca="1" si="378"/>
        <v>#N/A</v>
      </c>
      <c r="DI112" s="144" t="e">
        <f t="shared" ca="1" si="439"/>
        <v>#N/A</v>
      </c>
      <c r="DJ112" s="147" t="e">
        <f ca="1">$EF112*Control!$C$109</f>
        <v>#N/A</v>
      </c>
      <c r="DK112" s="144" t="e">
        <f t="shared" ca="1" si="379"/>
        <v>#N/A</v>
      </c>
      <c r="DL112" s="144" t="e">
        <f t="shared" ca="1" si="257"/>
        <v>#N/A</v>
      </c>
      <c r="DM112" s="144" t="e">
        <f ca="1">IF(Control!$C$114=1, (1-EXP(-Control!$C$96*$DK112))*$AR112, 0)</f>
        <v>#N/A</v>
      </c>
      <c r="DN112" s="144">
        <f t="shared" ca="1" si="380"/>
        <v>0</v>
      </c>
      <c r="DO112" s="148">
        <f>Control!$C$97</f>
        <v>4</v>
      </c>
      <c r="DP112" s="145" t="e">
        <f t="shared" ca="1" si="381"/>
        <v>#N/A</v>
      </c>
      <c r="DQ112" s="145" t="e">
        <f ca="1">IF(AND($CP112&gt;=0,$CP112&lt;=90),Control!$C$111,Control!$C$111)</f>
        <v>#N/A</v>
      </c>
      <c r="DR112" s="145" t="e">
        <f t="shared" ca="1" si="258"/>
        <v>#N/A</v>
      </c>
      <c r="DS112" s="143" t="e">
        <f ca="1">Control!$B$22/$DR112</f>
        <v>#N/A</v>
      </c>
      <c r="DT112" s="149" t="e">
        <f ca="1">IF(AND(Control!$C$114=1,$KH112&lt;1),$IM112*$DF112, 0)</f>
        <v>#N/A</v>
      </c>
      <c r="DU112" s="144" t="e">
        <f t="shared" ca="1" si="382"/>
        <v>#N/A</v>
      </c>
      <c r="DV112" s="144">
        <f ca="1">IF($G112-Control!$C$107&lt;=0, 0, 0.83*LN(MAX($G112, 3))-0.8924)</f>
        <v>0</v>
      </c>
      <c r="DW112" s="144" t="e">
        <f t="shared" ca="1" si="259"/>
        <v>#N/A</v>
      </c>
      <c r="DX112" s="150" t="e">
        <f ca="1">MAX(0.01*(1+$CU112/Control!$C$102),0.05*($DK112-Control!$C$97)/Control!$C$97)</f>
        <v>#N/A</v>
      </c>
      <c r="DY112" s="151" t="e">
        <f ca="1">IF(Control!$C$114=1, $DI112*$FS112, 0)</f>
        <v>#N/A</v>
      </c>
      <c r="DZ112" s="196" t="e">
        <f t="shared" ca="1" si="383"/>
        <v>#N/A</v>
      </c>
      <c r="EA112" s="152">
        <f t="shared" ca="1" si="384"/>
        <v>108</v>
      </c>
      <c r="EB112" s="153" t="e">
        <f t="shared" ca="1" si="385"/>
        <v>#N/A</v>
      </c>
      <c r="EC112" s="153" t="e">
        <f t="shared" ca="1" si="386"/>
        <v>#N/A</v>
      </c>
      <c r="ED112" s="154" t="e">
        <f ca="1">IF(Control!$C$114=1, $HM112*$FY112-$FD112, 0)</f>
        <v>#DIV/0!</v>
      </c>
      <c r="EE112" s="155" t="e">
        <f ca="1">IF(Control!$C$114=1, $HM112*$FZ112-$FF112, 0)</f>
        <v>#DIV/0!</v>
      </c>
      <c r="EF112" s="153" t="e">
        <f t="shared" ca="1" si="440"/>
        <v>#N/A</v>
      </c>
      <c r="EG112" s="155" t="e">
        <f ca="1">IF(Control!$C$114=1, $GX112*$FW112-$FI112, 0)</f>
        <v>#DIV/0!</v>
      </c>
      <c r="EH112" s="153" t="e">
        <f t="shared" ca="1" si="387"/>
        <v>#N/A</v>
      </c>
      <c r="EI112" s="156" t="e">
        <f t="shared" ca="1" si="388"/>
        <v>#N/A</v>
      </c>
      <c r="EJ112" s="155" t="e">
        <f ca="1">IF(Control!$C$114=1, $HM112*$GB112, 0)</f>
        <v>#DIV/0!</v>
      </c>
      <c r="EK112" s="153" t="e">
        <f t="shared" ca="1" si="441"/>
        <v>#N/A</v>
      </c>
      <c r="EL112" s="153" t="e">
        <f t="shared" ca="1" si="260"/>
        <v>#N/A</v>
      </c>
      <c r="EM112" s="153" t="e">
        <f t="shared" ca="1" si="261"/>
        <v>#N/A</v>
      </c>
      <c r="EN112" s="153" t="e">
        <f ca="1">IF(Control!$C$108=1,IF(AND(Control!$B$18=1,$EB112&gt;=Control!$B$19),$EB112-$DS112,IF(AND(Control!$B$18=2,$AW112=1,$EB112&gt;$DS112),$EB112-$DS112,0)))</f>
        <v>#N/A</v>
      </c>
      <c r="EO112" s="153" t="e">
        <f ca="1">IF(Control!$C$108=1,IF(AND(Control!$B$18=1,$EB112&gt;=Control!$B$19),$EF112,IF(AND(Control!$B$18=2,$AW112=1),$EF112,0)))</f>
        <v>#N/A</v>
      </c>
      <c r="EP112" s="153" t="e">
        <f ca="1">IF(Control!$C$108=1,IF(AND(Control!$B$18=1,$EB112&gt;=Control!$B$19),$EK112,IF(AND(Control!$B$18=2,$AW112=1),$EK112,0)))</f>
        <v>#N/A</v>
      </c>
      <c r="EQ112" s="153" t="e">
        <f t="shared" ca="1" si="389"/>
        <v>#N/A</v>
      </c>
      <c r="ER112" s="153" t="e">
        <f t="shared" ca="1" si="390"/>
        <v>#N/A</v>
      </c>
      <c r="ES112" s="153" t="e">
        <f t="shared" ca="1" si="442"/>
        <v>#N/A</v>
      </c>
      <c r="ET112" s="153" t="e">
        <f t="shared" ca="1" si="443"/>
        <v>#N/A</v>
      </c>
      <c r="EU112" s="153" t="e">
        <f t="shared" ca="1" si="391"/>
        <v>#N/A</v>
      </c>
      <c r="EV112" s="153" t="e">
        <f t="shared" ca="1" si="262"/>
        <v>#N/A</v>
      </c>
      <c r="EW112" s="153" t="e">
        <f t="shared" ca="1" si="263"/>
        <v>#N/A</v>
      </c>
      <c r="EX112" s="153" t="e">
        <f t="shared" ca="1" si="264"/>
        <v>#N/A</v>
      </c>
      <c r="EY112" s="157" t="e">
        <f t="shared" ca="1" si="265"/>
        <v>#DIV/0!</v>
      </c>
      <c r="EZ112" s="154" t="e">
        <f t="shared" ca="1" si="266"/>
        <v>#DIV/0!</v>
      </c>
      <c r="FA112" s="153" t="e">
        <f t="shared" ca="1" si="392"/>
        <v>#N/A</v>
      </c>
      <c r="FB112" s="153" t="e">
        <f t="shared" ca="1" si="267"/>
        <v>#N/A</v>
      </c>
      <c r="FC112" s="193" t="e">
        <f t="shared" ca="1" si="268"/>
        <v>#N/A</v>
      </c>
      <c r="FD112" s="158" t="e">
        <f t="shared" ca="1" si="393"/>
        <v>#N/A</v>
      </c>
      <c r="FE112" s="158" t="e">
        <f t="shared" ca="1" si="394"/>
        <v>#N/A</v>
      </c>
      <c r="FF112" s="159" t="e">
        <f t="shared" ca="1" si="269"/>
        <v>#N/A</v>
      </c>
      <c r="FG112" s="160" t="e">
        <f t="shared" ca="1" si="395"/>
        <v>#N/A</v>
      </c>
      <c r="FH112" s="158" t="e">
        <f t="shared" ca="1" si="396"/>
        <v>#N/A</v>
      </c>
      <c r="FI112" s="159" t="e">
        <f t="shared" ca="1" si="270"/>
        <v>#N/A</v>
      </c>
      <c r="FJ112" s="160" t="e">
        <f t="shared" ca="1" si="397"/>
        <v>#N/A</v>
      </c>
      <c r="FK112" s="160" t="e">
        <f t="shared" ca="1" si="271"/>
        <v>#N/A</v>
      </c>
      <c r="FL112" s="160" t="e">
        <f t="shared" ca="1" si="444"/>
        <v>#N/A</v>
      </c>
      <c r="FM112" s="160" t="e">
        <f t="shared" ca="1" si="272"/>
        <v>#N/A</v>
      </c>
      <c r="FN112" s="158">
        <f t="shared" ca="1" si="398"/>
        <v>0.01</v>
      </c>
      <c r="FO112" s="160">
        <f>Control!$C$101</f>
        <v>50</v>
      </c>
      <c r="FP112" s="150" t="e">
        <f t="shared" ca="1" si="273"/>
        <v>#N/A</v>
      </c>
      <c r="FQ112" s="150" t="e">
        <f ca="1">MAX(0,(Control!$C$112*(($DK112-Control!$C$97)/Control!$C$97)))</f>
        <v>#N/A</v>
      </c>
      <c r="FR112" s="150" t="e">
        <f ca="1">(1-$NT112)*Control!$C$113</f>
        <v>#DIV/0!</v>
      </c>
      <c r="FS112" s="198" t="e">
        <f t="shared" ca="1" si="274"/>
        <v>#N/A</v>
      </c>
      <c r="FT112" s="161">
        <f t="shared" ca="1" si="399"/>
        <v>108</v>
      </c>
      <c r="FU112" s="162" t="e">
        <f ca="1">IF(Control!$B$34=1,VLOOKUP($CP112,Control!$B$86:$G$91,6),Control!$B$35)</f>
        <v>#N/A</v>
      </c>
      <c r="FV112" s="162" t="e">
        <f t="shared" ca="1" si="275"/>
        <v>#DIV/0!</v>
      </c>
      <c r="FW112" s="162" t="e">
        <f ca="1">IF(Control!$B$31=1,$FU112*$FV112,  $FU112)</f>
        <v>#N/A</v>
      </c>
      <c r="FX112" s="162" t="e">
        <f ca="1">IF(Control!$B$34=1,VLOOKUP($CP112,Control!$B$86:$G$91,3),Control!$B$36)</f>
        <v>#N/A</v>
      </c>
      <c r="FY112" s="162" t="e">
        <f t="shared" ca="1" si="276"/>
        <v>#N/A</v>
      </c>
      <c r="FZ112" s="162" t="e">
        <f ca="1">IF(Control!$B$34=1,VLOOKUP($CP112,Control!$B$86:$G$91,4),Control!$B$37)</f>
        <v>#N/A</v>
      </c>
      <c r="GA112" s="162" t="e">
        <f t="shared" ca="1" si="277"/>
        <v>#N/A</v>
      </c>
      <c r="GB112" s="162" t="e">
        <f ca="1">IF(Control!$B$34=1,VLOOKUP($CP112,Control!$B$86:$G$91,5),Control!$B$38)</f>
        <v>#N/A</v>
      </c>
      <c r="GC112" s="162" t="e">
        <f t="shared" ca="1" si="400"/>
        <v>#N/A</v>
      </c>
      <c r="GD112" s="162">
        <f t="shared" ca="1" si="278"/>
        <v>1</v>
      </c>
      <c r="GE112" s="162">
        <f t="shared" ca="1" si="279"/>
        <v>1</v>
      </c>
      <c r="GF112" s="162">
        <f ca="1">IF(AND(Control!$C$104=1, Control!$C$62="F"),$GE112,1)</f>
        <v>1</v>
      </c>
      <c r="GG112" s="162" t="e">
        <f ca="1">IF(Control!$B$16=40,0,IF(AND(Control!$B$16&gt;40,Control!$B$16&lt;=360),(Control!$B$16-40)*((1-0)/(360-40)),IF(AND(Control!$B$16&gt;360,Control!$B$16&lt;=720),(1+(Control!$B$16-360)*((1.25-1)/(720-360))),IF(AND(Control!$B$16&gt;720,Control!$B$16&lt;=1000),(1.25+(Control!$B$16-720)*((1.35-1.25)/(1000-720))),IF(AND(Control!$B$16&gt;1000,Control!$B$16&lt;=2000),(1.35+(Control!$B$16-1000)*0))))))</f>
        <v>#N/A</v>
      </c>
      <c r="GH112" s="162" t="e">
        <f t="shared" ca="1" si="280"/>
        <v>#N/A</v>
      </c>
      <c r="GI112" s="162">
        <f t="shared" ca="1" si="401"/>
        <v>0</v>
      </c>
      <c r="GJ112" s="162">
        <f t="shared" ca="1" si="281"/>
        <v>0</v>
      </c>
      <c r="GK112" s="162">
        <f t="shared" ca="1" si="402"/>
        <v>1</v>
      </c>
      <c r="GL112" s="162">
        <f t="shared" ca="1" si="282"/>
        <v>1</v>
      </c>
      <c r="GM112" s="162" t="e">
        <f ca="1">MAX(0,MIN(1,1-Control!$C$156*(1.0001-$KH112)^2))</f>
        <v>#N/A</v>
      </c>
      <c r="GN112" s="162" t="e">
        <f ca="1">IF(Control!$B$26=1,$KU112,$KX112)</f>
        <v>#N/A</v>
      </c>
      <c r="GO112" s="162" t="e">
        <f ca="1">IF($CP112&lt;=60,Control!$C$105,IF($CP112&gt;=90,Control!$C$106,Control!$C$105+($CP112-60)*((Control!$C$106-Control!$C$105)/(90-60))))</f>
        <v>#N/A</v>
      </c>
      <c r="GP112" s="162" t="e">
        <f t="shared" ca="1" si="283"/>
        <v>#N/A</v>
      </c>
      <c r="GQ112" s="162" t="e">
        <f t="shared" ca="1" si="403"/>
        <v>#N/A</v>
      </c>
      <c r="GR112" s="163" t="e">
        <f t="shared" ca="1" si="284"/>
        <v>#DIV/0!</v>
      </c>
      <c r="GS112" s="162" t="e">
        <f t="shared" ca="1" si="285"/>
        <v>#DIV/0!</v>
      </c>
      <c r="GT112" s="164" t="e">
        <f t="shared" ca="1" si="404"/>
        <v>#N/A</v>
      </c>
      <c r="GU112" s="162" t="e">
        <f t="shared" ca="1" si="405"/>
        <v>#N/A</v>
      </c>
      <c r="GV112" s="162" t="e">
        <f t="shared" ca="1" si="286"/>
        <v>#N/A</v>
      </c>
      <c r="GW112" s="162" t="e">
        <f t="shared" ca="1" si="287"/>
        <v>#DIV/0!</v>
      </c>
      <c r="GX112" s="162" t="e">
        <f t="shared" ca="1" si="406"/>
        <v>#DIV/0!</v>
      </c>
      <c r="GY112" s="162" t="e">
        <f t="shared" ca="1" si="407"/>
        <v>#DIV/0!</v>
      </c>
      <c r="GZ112" s="165" t="e">
        <f t="shared" ca="1" si="288"/>
        <v>#N/A</v>
      </c>
      <c r="HA112" s="162" t="e">
        <f ca="1">IF(Control!$C$114=1, $DI112*$FS112, 0)</f>
        <v>#N/A</v>
      </c>
      <c r="HB112" s="162" t="e">
        <f ca="1">$FA112/Control!$C$64</f>
        <v>#N/A</v>
      </c>
      <c r="HC112" s="162" t="e">
        <f t="shared" ca="1" si="289"/>
        <v>#DIV/0!</v>
      </c>
      <c r="HD112" s="162">
        <f ca="1">-ASIN(SIN(23.45*Control!$C$139)*COS(2*Control!$C$138*($AH112+10)/365))</f>
        <v>0.17777671852912236</v>
      </c>
      <c r="HE112" s="165">
        <f t="shared" ca="1" si="408"/>
        <v>0</v>
      </c>
      <c r="HF112" s="166">
        <f ca="1">IF(AND(Control!$C$61="T",$HE112&gt;=Control!$C$103,Control!$C$114=0),$AH112,Control!$C$59)</f>
        <v>1</v>
      </c>
      <c r="HG112" s="166">
        <f ca="1">IF(AND(Control!$C$61="T",$HE112&gt;=Control!$C$103,Control!$C$114=0),$HF112,Control!$C$59)</f>
        <v>1</v>
      </c>
      <c r="HH112" s="165">
        <f ca="1">IF(AND(OR(Control!$C$60&lt;=0, $AH112= Control!$C$59, Control!$C$60 &gt;0, $AH112 = Control!$C$60)), Control!$C$59, IF(Control!$C$60&gt;0, 0))</f>
        <v>1</v>
      </c>
      <c r="HI112" s="165">
        <f ca="1">IF(AND(OR(Control!$C$60&lt;=0, $AH112= Control!$C$59, Control!$C$60 &gt;0, $AH112 = Control!$C$60)), Control!$C$60, IF(Control!$C$60&lt;=0, 0))</f>
        <v>0</v>
      </c>
      <c r="HJ112" s="166">
        <f ca="1">IF(AND(Control!$C$62="F",$CV112&gt;=Control!$C$102),$AH112,0)</f>
        <v>0</v>
      </c>
      <c r="HK112" s="165" t="e">
        <f t="shared" ca="1" si="445"/>
        <v>#N/A</v>
      </c>
      <c r="HL112" s="166">
        <f ca="1">IF(AND(Control!$C$61="T",$HE112&gt;=Control!$C$103,Control!$C$114=0),$HF112,0)</f>
        <v>0</v>
      </c>
      <c r="HM112" s="201" t="e">
        <f t="shared" ca="1" si="290"/>
        <v>#DIV/0!</v>
      </c>
      <c r="HN112" s="215">
        <f t="shared" ca="1" si="409"/>
        <v>108</v>
      </c>
      <c r="HO112" s="216" t="e">
        <f ca="1">IF(AND($CP112&gt;=0, $CP112&lt;=90), Control!$C$152, Control!$C$152)</f>
        <v>#N/A</v>
      </c>
      <c r="HP112" s="216" t="e">
        <f t="shared" ca="1" si="291"/>
        <v>#N/A</v>
      </c>
      <c r="HQ112" s="217" t="e">
        <f ca="1">IF(OR(Control!$B$26=1,Control!$B$26=2),$KV112,$KS112)</f>
        <v>#DIV/0!</v>
      </c>
      <c r="HR112" s="218" t="e">
        <f t="shared" ca="1" si="446"/>
        <v>#DIV/0!</v>
      </c>
      <c r="HS112" s="216" t="e">
        <f ca="1">Control!$C$154*$HP112</f>
        <v>#N/A</v>
      </c>
      <c r="HT112" s="216" t="e">
        <f ca="1">Control!$C$155*$HP112</f>
        <v>#N/A</v>
      </c>
      <c r="HU112" s="217" t="e">
        <f ca="1">Control!$C$161*$FI112</f>
        <v>#N/A</v>
      </c>
      <c r="HV112" s="218" t="e">
        <f t="shared" ca="1" si="410"/>
        <v>#N/A</v>
      </c>
      <c r="HW112" s="218" t="e">
        <f ca="1">Control!$C$160*$FF112+$IP112*$EO112</f>
        <v>#N/A</v>
      </c>
      <c r="HX112" s="218" t="e">
        <f t="shared" ca="1" si="447"/>
        <v>#N/A</v>
      </c>
      <c r="HY112" s="219" t="e">
        <f ca="1">IF(Control!$C$114=1, $EB112*$FS112, 0)</f>
        <v>#N/A</v>
      </c>
      <c r="HZ112" s="91" t="e">
        <f t="shared" ca="1" si="292"/>
        <v>#N/A</v>
      </c>
      <c r="IA112" s="220" t="e">
        <f ca="1">Control!$C$153*$HO112</f>
        <v>#N/A</v>
      </c>
      <c r="IB112" s="218" t="e">
        <f t="shared" ca="1" si="293"/>
        <v>#N/A</v>
      </c>
      <c r="IC112" s="220" t="e">
        <f ca="1">Control!$C$153*$HT112</f>
        <v>#N/A</v>
      </c>
      <c r="ID112" s="218" t="e">
        <f t="shared" ca="1" si="294"/>
        <v>#N/A</v>
      </c>
      <c r="IE112" s="221" t="e">
        <f ca="1">($EB112*Control!$C$159+$EF112*Control!$C$160)/(IF($GZ112&lt;&gt;0,$GZ112,1))</f>
        <v>#N/A</v>
      </c>
      <c r="IF112" s="216" t="e">
        <f t="shared" ca="1" si="295"/>
        <v>#N/A</v>
      </c>
      <c r="IG112" s="91">
        <f ca="1">IF(OR(Control!$B$198=$AH112,Control!$B$199=$AH112, Control!$B$200=$AH112, Control!$B$201=$AH112, Control!$B$202=$AH112, Control!$B$203=$AH112, Control!$B$204=$AH112, Control!$B$205=$AH112, Control!$B$206=$AH112, Control!$B$207=$AH112), 1, 0)</f>
        <v>0</v>
      </c>
      <c r="IH112" s="91">
        <f ca="1">IF($IG112=0,0, VLOOKUP($AH112,Control!$B$198:$C$207,2))</f>
        <v>0</v>
      </c>
      <c r="II112" s="222">
        <f t="shared" ca="1" si="411"/>
        <v>0</v>
      </c>
      <c r="IJ112" s="91">
        <f>Control!$C$121</f>
        <v>0.7</v>
      </c>
      <c r="IK112" s="218">
        <f t="shared" ca="1" si="296"/>
        <v>0</v>
      </c>
      <c r="IL112" s="217" t="e">
        <f t="shared" ca="1" si="448"/>
        <v>#N/A</v>
      </c>
      <c r="IM112" s="223" t="e">
        <f ca="1">IF(AND(Control!$C$114=1,$KH112&lt;1),$EB112*Control!$C$148*(1-$KH112), 0)</f>
        <v>#N/A</v>
      </c>
      <c r="IN112" s="217" t="e">
        <f t="shared" ca="1" si="297"/>
        <v>#DIV/0!</v>
      </c>
      <c r="IO112" s="91" t="e">
        <f ca="1">MAX(0,$IL112-$EF112*Control!$C$160)</f>
        <v>#N/A</v>
      </c>
      <c r="IP112" s="220" t="e">
        <f t="shared" ca="1" si="298"/>
        <v>#N/A</v>
      </c>
      <c r="IQ112" s="217" t="e">
        <f t="shared" ca="1" si="412"/>
        <v>#N/A</v>
      </c>
      <c r="IR112" s="218" t="e">
        <f t="shared" ca="1" si="299"/>
        <v>#N/A</v>
      </c>
      <c r="IS112" s="217" t="e">
        <f ca="1">Control!$C$159*MAX(0,$FD112-$EN112)</f>
        <v>#N/A</v>
      </c>
      <c r="IT112" s="217" t="e">
        <f t="shared" ca="1" si="449"/>
        <v>#N/A</v>
      </c>
      <c r="IU112" s="217" t="e">
        <f t="shared" ca="1" si="413"/>
        <v>#N/A</v>
      </c>
      <c r="IV112" s="217" t="e">
        <f t="shared" ca="1" si="450"/>
        <v>#N/A</v>
      </c>
      <c r="IW112" s="217" t="e">
        <f ca="1">IF(OR($AW112=1,AND($AW112=0, Control!$B$18=1,$EN112&lt;&gt;0)), $IQ112-$IU112, $IQ112)</f>
        <v>#N/A</v>
      </c>
      <c r="IX112" s="218" t="e">
        <f t="shared" ca="1" si="300"/>
        <v>#N/A</v>
      </c>
      <c r="IY112" s="218" t="e">
        <f ca="1">MAX(0,$IQ112-$EB112*Control!$C$159)</f>
        <v>#N/A</v>
      </c>
      <c r="IZ112" s="218" t="e">
        <f t="shared" ca="1" si="301"/>
        <v>#N/A</v>
      </c>
      <c r="JA112" s="216" t="e">
        <f t="shared" ca="1" si="302"/>
        <v>#N/A</v>
      </c>
      <c r="JB112" s="217" t="e">
        <f t="shared" ca="1" si="303"/>
        <v>#N/A</v>
      </c>
      <c r="JC112" s="222" t="e">
        <f ca="1">MAX(Control!$C$157*$EK112-$JT112, 0)/Control!$C$162</f>
        <v>#N/A</v>
      </c>
      <c r="JD112" s="218" t="e">
        <f t="shared" ca="1" si="304"/>
        <v>#N/A</v>
      </c>
      <c r="JE112" s="218" t="e">
        <f t="shared" ca="1" si="305"/>
        <v>#N/A</v>
      </c>
      <c r="JF112" s="218" t="e">
        <f t="shared" ca="1" si="414"/>
        <v>#N/A</v>
      </c>
      <c r="JG112" s="218" t="e">
        <f t="shared" ca="1" si="306"/>
        <v>#N/A</v>
      </c>
      <c r="JH112" s="217" t="e">
        <f t="shared" ca="1" si="415"/>
        <v>#N/A</v>
      </c>
      <c r="JI112" s="217" t="e">
        <f t="shared" ca="1" si="416"/>
        <v>#N/A</v>
      </c>
      <c r="JJ112" s="217" t="e">
        <f t="shared" ca="1" si="451"/>
        <v>#N/A</v>
      </c>
      <c r="JK112" s="217" t="e">
        <f ca="1">IF(Control!$C$114=1,IF(Control!$B$24=0,MAX(0,$JI112)*$GN112/Control!$C$64,(MAX(0,MIN($JI112,$JJ112*$GN112/Control!$C$64),0))))</f>
        <v>#N/A</v>
      </c>
      <c r="JL112" s="217" t="e">
        <f ca="1">$IK112/Control!$C$64-$JK112+$HQ112</f>
        <v>#N/A</v>
      </c>
      <c r="JM112" s="217" t="e">
        <f ca="1">IF(Control!$C$114=1,($JB112/(IF($JI112&lt;&gt;0,$JI112,1)))*$JK112,0)</f>
        <v>#N/A</v>
      </c>
      <c r="JN112" s="217" t="e">
        <f ca="1">IF(Control!$C$114=1,($JG112/(IF($JI112&lt;&gt;0,$JI112,1)))*$JK112, 0)</f>
        <v>#N/A</v>
      </c>
      <c r="JO112" s="218" t="e">
        <f t="shared" ca="1" si="307"/>
        <v>#N/A</v>
      </c>
      <c r="JP112" s="218" t="e">
        <f ca="1">MIN(($IY112+$IO112)*Control!$C$151, $JF112-$EH112*Control!$C$161)</f>
        <v>#N/A</v>
      </c>
      <c r="JQ112" s="218" t="e">
        <f t="shared" ca="1" si="308"/>
        <v>#N/A</v>
      </c>
      <c r="JR112" s="217" t="e">
        <f ca="1">IF($CP112-Control!$C$150&lt;0, 0, $JQ112/Control!$C$162)</f>
        <v>#N/A</v>
      </c>
      <c r="JS112" s="218" t="e">
        <f t="shared" ca="1" si="309"/>
        <v>#N/A</v>
      </c>
      <c r="JT112" s="218" t="e">
        <f t="shared" ca="1" si="417"/>
        <v>#N/A</v>
      </c>
      <c r="JU112" s="218" t="e">
        <f t="shared" ca="1" si="310"/>
        <v>#N/A</v>
      </c>
      <c r="JV112" s="218" t="e">
        <f t="shared" ca="1" si="311"/>
        <v>#N/A</v>
      </c>
      <c r="JW112" s="216" t="e">
        <f t="shared" ca="1" si="312"/>
        <v>#N/A</v>
      </c>
      <c r="JX112" s="91" t="e">
        <f t="shared" ca="1" si="313"/>
        <v>#N/A</v>
      </c>
      <c r="JY112" s="218" t="e">
        <f t="shared" ca="1" si="314"/>
        <v>#N/A</v>
      </c>
      <c r="JZ112" s="217" t="e">
        <f ca="1">IF(Control!$C$114=1,($IZ112/(IF($JI112&lt;&gt;0,$JI112,1)))*$JK112, 0)</f>
        <v>#N/A</v>
      </c>
      <c r="KA112" s="218" t="e">
        <f t="shared" ca="1" si="452"/>
        <v>#N/A</v>
      </c>
      <c r="KB112" s="218" t="e">
        <f t="shared" ca="1" si="418"/>
        <v>#N/A</v>
      </c>
      <c r="KC112" s="218" t="e">
        <f t="shared" ca="1" si="315"/>
        <v>#N/A</v>
      </c>
      <c r="KD112" s="218" t="e">
        <f t="shared" ca="1" si="316"/>
        <v>#N/A</v>
      </c>
      <c r="KE112" s="218" t="e">
        <f t="shared" ca="1" si="317"/>
        <v>#N/A</v>
      </c>
      <c r="KF112" s="218" t="e">
        <f t="shared" ca="1" si="318"/>
        <v>#N/A</v>
      </c>
      <c r="KG112" s="216" t="e">
        <f t="shared" ca="1" si="319"/>
        <v>#N/A</v>
      </c>
      <c r="KH112" s="221" t="e">
        <f ca="1">IF(Control!$B$24=0,1,MAX(0.001,MIN(1,IF(($IF112-$IE112)&lt;&gt;0,($KG112-$IE112)/($IF112-$IE112),1))))</f>
        <v>#N/A</v>
      </c>
      <c r="KI112" s="222" t="e">
        <f ca="1">IF(Control!$C$114=1, $KI111+ $KH111, 0)</f>
        <v>#N/A</v>
      </c>
      <c r="KJ112" s="217" t="e">
        <f t="shared" ca="1" si="320"/>
        <v>#N/A</v>
      </c>
      <c r="KK112" s="218" t="e">
        <f t="shared" ca="1" si="321"/>
        <v>#N/A</v>
      </c>
      <c r="KL112" s="274" t="e">
        <f ca="1">IF(Control!$B$26=3,4000000000*EXP(-8400/($G112+273)),IF(Control!$B$26=4,4000000000*EXP(-8400/($G112+273))*($KT112),0))</f>
        <v>#DIV/0!</v>
      </c>
      <c r="KM112" s="274" t="e">
        <f ca="1">IF(Control!$B$26=3,5600000000000*EXP(-9800/($G112+273)),IF(Control!$B$26=4,5600000000000*EXP(-9800/($G112+273))*$KT112,0))</f>
        <v>#DIV/0!</v>
      </c>
      <c r="KN112" s="454" t="e">
        <f t="shared" ca="1" si="419"/>
        <v>#DIV/0!</v>
      </c>
      <c r="KO112" s="274" t="e">
        <f t="shared" ca="1" si="420"/>
        <v>#DIV/0!</v>
      </c>
      <c r="KP112" s="454" t="e">
        <f t="shared" ca="1" si="322"/>
        <v>#DIV/0!</v>
      </c>
      <c r="KQ112" s="454" t="e">
        <f t="shared" ca="1" si="323"/>
        <v>#DIV/0!</v>
      </c>
      <c r="KR112" s="454" t="e">
        <f t="shared" ca="1" si="324"/>
        <v>#DIV/0!</v>
      </c>
      <c r="KS112" s="454" t="e">
        <f t="shared" ca="1" si="325"/>
        <v>#DIV/0!</v>
      </c>
      <c r="KT112" s="455" t="e">
        <f t="shared" ca="1" si="326"/>
        <v>#DIV/0!</v>
      </c>
      <c r="KU112" s="456" t="e">
        <f ca="1">IF($CP112-Control!$C$149&lt;0, IF($NT112-0.01&lt;0,0,1),0)</f>
        <v>#N/A</v>
      </c>
      <c r="KV112" s="456" t="e">
        <f ca="1">IF(Control!$C$114=1,MAX(0,MIN(Control!$C$125*$KW112*$GN112,$KW112)))</f>
        <v>#DIV/0!</v>
      </c>
      <c r="KW112" s="456" t="e">
        <f t="shared" ca="1" si="453"/>
        <v>#DIV/0!</v>
      </c>
      <c r="KX112" s="457" t="e">
        <f ca="1">IF($CP112-Control!$C$149&lt;0, IF($MR112-$OM112&lt;0,0,1),0)</f>
        <v>#N/A</v>
      </c>
      <c r="KY112" s="167">
        <f t="shared" ca="1" si="421"/>
        <v>108</v>
      </c>
      <c r="KZ112" s="168">
        <f ca="1">1370*(1+0.033*COS(2*Control!$C$138*$AH112/365))</f>
        <v>1357.1439327082364</v>
      </c>
      <c r="LA112" s="169">
        <f t="shared" ca="1" si="422"/>
        <v>0.99061614681972687</v>
      </c>
      <c r="LB112" s="169">
        <f t="shared" ca="1" si="423"/>
        <v>0.18491473628604796</v>
      </c>
      <c r="LC112" s="169">
        <f ca="1">ACOS(-TAN((2*Control!$B$8/360))*TAN(Calculations!$LB112))</f>
        <v>1.6264173204503687</v>
      </c>
      <c r="LD112" s="169">
        <f ca="1">((24*60)/PI())*0.082*$LA112*(($LC112*SIN(Control!$B$8*2*PI()/360))*SIN($LB112)+COS(Control!$B$8*2*PI()/360)*COS($LB112)*SIN($LC112))</f>
        <v>31.2713262489907</v>
      </c>
      <c r="LE112" s="170">
        <f t="shared" ca="1" si="327"/>
        <v>31.377871371695001</v>
      </c>
      <c r="LF112" s="170">
        <f ca="1">SIN(Control!$C$139*Control!$B$8)*SIN($HD112)</f>
        <v>0.13935344853978371</v>
      </c>
      <c r="LG112" s="170">
        <f ca="1">COS(Control!$C$139*Control!$B$8)*COS($HD112)</f>
        <v>0.60595656980316259</v>
      </c>
      <c r="LH112" s="170">
        <f ca="1">12*(1+2*ASIN(MAX(-1,MIN(1,$LF112/$LG112))/Control!$C$138))</f>
        <v>13.758430498712119</v>
      </c>
      <c r="LI112" s="170">
        <f ca="1">12*(1+2*ASIN(MAX(-1,MIN(1,(-SIN(-4*Control!$C$139)+$LF112)/$LG112))/Control!$C$138))</f>
        <v>14.641624559708237</v>
      </c>
      <c r="LJ112" s="168">
        <f ca="1">3600*($LH112*$LF112+24*$LG112*SQRT(1-$LK112*$LK112)/Control!$C$138)</f>
        <v>23120.518476680045</v>
      </c>
      <c r="LK112" s="170">
        <f t="shared" ca="1" si="328"/>
        <v>0.22997266715839212</v>
      </c>
      <c r="LL112" s="170">
        <f t="shared" ca="1" si="329"/>
        <v>0</v>
      </c>
      <c r="LM112" s="171">
        <f ca="1">Control!$C$145*$AB112</f>
        <v>6.6660906138995932E-2</v>
      </c>
      <c r="LN112" s="170">
        <f t="shared" ca="1" si="424"/>
        <v>0.54</v>
      </c>
      <c r="LO112" s="170">
        <f t="shared" ca="1" si="330"/>
        <v>0</v>
      </c>
      <c r="LP112" s="170">
        <f ca="1">Control!$C$140*((($D112+273.16)^4+($E112+273.16)^4)/2)*(0.34-0.14*SQRT($Y112))*(1.35*$AQ112/(0.75*$LD112)-0.35)</f>
        <v>-3.2464704755046001</v>
      </c>
      <c r="LQ112" s="170">
        <f ca="1">Control!$C$140*($G112+273)^4*(0.56-0.079*SQRT($Y112*10))*(0.1+0.9*$LO112)</f>
        <v>1.5241745131704001</v>
      </c>
      <c r="LR112" s="170">
        <f ca="1">$AQ112*(1-Control!$C$142)-$LQ112</f>
        <v>-1.5241745131704001</v>
      </c>
      <c r="LS112" s="170">
        <f ca="1">$AQ112*(1-Control!$C$143)-$LQ112</f>
        <v>-1.5241745131704001</v>
      </c>
      <c r="LT112" s="170">
        <f ca="1">$AQ112*(1-Control!$C$144)-$LQ112</f>
        <v>-1.5241745131704001</v>
      </c>
      <c r="LU112" s="169">
        <f ca="1">(1-Control!$C$144)*AQ112-LP112</f>
        <v>3.2464704755046001</v>
      </c>
      <c r="LV112" s="172">
        <f t="shared" ca="1" si="331"/>
        <v>0.79430000000000012</v>
      </c>
      <c r="LW112" s="170">
        <f t="shared" ca="1" si="332"/>
        <v>1.5886000000000002</v>
      </c>
      <c r="LX112" s="170">
        <f ca="1">($AC112*($LR112/Control!$C$141)+$LM112*$LV112)/($AC112+$LM112)</f>
        <v>0.23530094218323697</v>
      </c>
      <c r="LY112" s="170">
        <f ca="1">($AC112*($LS112/Control!$C$141)+$LM112*$LV112)/($AC112+$LM112)</f>
        <v>0.23530094218323697</v>
      </c>
      <c r="LZ112" s="170">
        <f t="shared" ca="1" si="333"/>
        <v>0.23530094218323697</v>
      </c>
      <c r="MA112" s="170">
        <f t="shared" ca="1" si="334"/>
        <v>0.23530094218323697</v>
      </c>
      <c r="MB112" s="170" t="e">
        <f t="shared" ca="1" si="335"/>
        <v>#N/A</v>
      </c>
      <c r="MC112" s="170">
        <f t="shared" ca="1" si="425"/>
        <v>0.6018</v>
      </c>
      <c r="MD112" s="170">
        <f t="shared" ca="1" si="336"/>
        <v>0.52989392535414004</v>
      </c>
      <c r="ME112" s="170">
        <f ca="1">($AC112*($LT112/Control!$C$141)+$LM112*$LW112)/($AC112+$LM112)</f>
        <v>0.71612369323045078</v>
      </c>
      <c r="MF112" s="170" t="e">
        <f ca="1">IF(Control!$B$16&gt;=1000,0.92,IF(AND(720&lt;=Control!$B$16,1000&gt;Control!$B$16),(0.95+(Control!$B$16-720)*((0.92-0.95)/(1000-720))),IF(AND(360&lt;=Control!$B$16,720&gt;Control!$B$16),(1+(Control!$B$16-360)*((0.95-1)/(720-360))),IF(AND(40&lt;=Control!$B$16,360&gt;Control!$B$16),(1.05+(Control!$B$16-40)*((1.05-1)/(360-40)))))))</f>
        <v>#N/A</v>
      </c>
      <c r="MG112" s="170">
        <f t="shared" ca="1" si="337"/>
        <v>0.71612369323045078</v>
      </c>
      <c r="MH112" s="170" t="e">
        <f t="shared" ca="1" si="463"/>
        <v>#N/A</v>
      </c>
      <c r="MI112" s="170" t="e">
        <f t="shared" ca="1" si="463"/>
        <v>#N/A</v>
      </c>
      <c r="MJ112" s="170" t="e">
        <f ca="1">MAX(0.0001, Control!$C$132*$MI112*$DL112)</f>
        <v>#N/A</v>
      </c>
      <c r="MK112" s="170">
        <f ca="1">1/(0.76+1.5*($MG112/10))-(5-Control!$C$110)*0.1</f>
        <v>1.002845988140797</v>
      </c>
      <c r="ML112" s="173">
        <f ca="1">IF(Control!$C$110&lt;3,$MK112+($MG112-0.6)/(Control!$C$110*(Control!$C$110+3)), MAX(0.1, MIN(0.95,$MK112)))</f>
        <v>0.95</v>
      </c>
      <c r="MM112" s="173">
        <f ca="1">IF(Control!$C$110&lt;3,$MK112+(($MI112/10)-0.6)/(Control!$C$110*(Control!$C$110+3)), MAX(0.1, MIN(0.95,$MK112)))</f>
        <v>0.95</v>
      </c>
      <c r="MN112" s="173">
        <f ca="1">(1-$MM112)*(Control!$C$128-Control!$C$127)+Control!$C$127</f>
        <v>0.16</v>
      </c>
      <c r="MO112" s="170" t="e">
        <f ca="1">MAX(0,MIN(1,($MS112-Control!$C$127)/($MN112-Control!$C$127)))</f>
        <v>#DIV/0!</v>
      </c>
      <c r="MP112" s="173" t="e">
        <f ca="1">1/(0.76+1.5*$MI112)-(5-Control!$C$110)*0.1</f>
        <v>#N/A</v>
      </c>
      <c r="MQ112" s="172" t="e">
        <f t="shared" ca="1" si="454"/>
        <v>#DIV/0!</v>
      </c>
      <c r="MR112" s="168" t="e">
        <f t="shared" ca="1" si="426"/>
        <v>#DIV/0!</v>
      </c>
      <c r="MS112" s="173" t="e">
        <f ca="1">MAX(Control!$C$127, MIN(Control!$C$135, $MR112/MAX(0.0001,$CY112)))</f>
        <v>#DIV/0!</v>
      </c>
      <c r="MT112" s="168" t="e">
        <f ca="1">(Control!$C$128-$MS112)*Control!$C$74</f>
        <v>#DIV/0!</v>
      </c>
      <c r="MU112" s="168" t="e">
        <f ca="1">(Control!$C$135-$MS112)*Control!$C$74</f>
        <v>#DIV/0!</v>
      </c>
      <c r="MV112" s="168" t="e">
        <f t="shared" ca="1" si="427"/>
        <v>#DIV/0!</v>
      </c>
      <c r="MW112" s="168" t="e">
        <f t="shared" ca="1" si="428"/>
        <v>#DIV/0!</v>
      </c>
      <c r="MX112" s="171" t="e">
        <f ca="1">MAX(Control!$C$127, MIN(Control!$C$135, $MW112/MAX(0.0001,Control!$C$119-$CY112)))</f>
        <v>#DIV/0!</v>
      </c>
      <c r="MY112" s="54" t="e">
        <f ca="1">IF(Control!$C$114=1, $CX112*$MX112, 0)</f>
        <v>#DIV/0!</v>
      </c>
      <c r="MZ112" s="54" t="e">
        <f t="shared" ca="1" si="429"/>
        <v>#N/A</v>
      </c>
      <c r="NA112" s="168" t="e">
        <f ca="1">(Control!$C$128-$MX112)*(Control!$C$119-Control!$C$74)</f>
        <v>#DIV/0!</v>
      </c>
      <c r="NB112" s="168" t="e">
        <f ca="1">(Control!$C$135-$MX112)*(Control!$C$119-Control!$C$74)</f>
        <v>#DIV/0!</v>
      </c>
      <c r="NC112" s="174" t="e">
        <f t="shared" ca="1" si="430"/>
        <v>#DIV/0!</v>
      </c>
      <c r="ND112" s="54">
        <f ca="1">IF(Control!$C$58=2, IF(OR(Control!$B$218=$AH112,Control!$B$219=$AH112, Control!$B$220=$AH112, Control!$B$221=$AH112, Control!$B$222=$AH112, Control!$B$223=$AH112, Control!$B$224=$AH112, Control!$B$225=$AH112, Control!$B$226=$AH112, Control!$B$227=$AH112, Control!$B$228=$AH112), 1, 0), 0)</f>
        <v>0</v>
      </c>
      <c r="NE112" s="54">
        <f ca="1">IF($ND112=0,0, VLOOKUP($AH112,Control!$B$218:$C$228,2))</f>
        <v>0</v>
      </c>
      <c r="NF112" s="168" t="e">
        <f ca="1">$CY112*(Control!$C$128-Control!$C$127)</f>
        <v>#N/A</v>
      </c>
      <c r="NG112" s="54" t="e">
        <f ca="1">IF(Control!$C$58=2, $NI111-$NJ111, 0)</f>
        <v>#DIV/0!</v>
      </c>
      <c r="NH112" s="54" t="e">
        <f ca="1">IF(AND(Control!$C$58=1, $MS111&lt;= ($MN111+0.02), $I111&lt;10), 0, IF(Control!$C$58=2, $NG111, 0))</f>
        <v>#DIV/0!</v>
      </c>
      <c r="NI112" s="54" t="e">
        <f ca="1">IF(Control!$C$58=2, $NE112+$NH112,0)</f>
        <v>#DIV/0!</v>
      </c>
      <c r="NJ112" s="54" t="e">
        <f ca="1">IF(AND(Control!$C$58=1, $MS112&lt;= ($MN112+0.02), $I112&lt;10), MAX(0, MIN(10, 0.7*($NF112-$MV112))), IF(Control!$C$58=2, MIN(10,$NI112),0))</f>
        <v>#DIV/0!</v>
      </c>
      <c r="NK112" s="54" t="e">
        <f t="shared" ca="1" si="338"/>
        <v>#DIV/0!</v>
      </c>
      <c r="NL112" s="173" t="e">
        <f ca="1">(1-Control!$C$73)*$I112+$NJ112</f>
        <v>#DIV/0!</v>
      </c>
      <c r="NM112" s="172" t="e">
        <f ca="1">IF($NL112&lt;0.5, $MB112* MAX(0, MIN(1, (SQRT($NC112)-SQRT($NC112-1))*Control!$C$71)),0)</f>
        <v>#DIV/0!</v>
      </c>
      <c r="NN112" s="170" t="e">
        <f ca="1">IF($NL112&gt;=5, $MB112, MAX(0,MIN($MB112, $NM112+$NL112,($MS112-Control!$C$129))))</f>
        <v>#DIV/0!</v>
      </c>
      <c r="NO112" s="54">
        <f>IF(Control!$C$133&lt;&gt;1, Control!$C$135-Control!$C$131, 0)</f>
        <v>0.38</v>
      </c>
      <c r="NP112" s="54" t="e">
        <f t="shared" ca="1" si="339"/>
        <v>#DIV/0!</v>
      </c>
      <c r="NQ112" s="173" t="e">
        <f ca="1">MAX(0,MIN(1,(Control!$C$135-$MS112)/(Control!$C$135-$NO112)))</f>
        <v>#DIV/0!</v>
      </c>
      <c r="NR112" s="170" t="e">
        <f ca="1">IF(Control!$C$133&lt;&gt;1, $NQ112+((1-$NP112/4)*(1-$NQ112)),1)</f>
        <v>#DIV/0!</v>
      </c>
      <c r="NS112" s="170" t="e">
        <f ca="1">IF(Control!$B$31=0,$MJ112,MAX(0,MIN($MV112,$MO112*$NR112*$MJ112)))</f>
        <v>#DIV/0!</v>
      </c>
      <c r="NT112" s="170" t="e">
        <f t="shared" ca="1" si="455"/>
        <v>#DIV/0!</v>
      </c>
      <c r="NU112" s="170" t="e">
        <f t="shared" ca="1" si="431"/>
        <v>#N/A</v>
      </c>
      <c r="NV112" s="170" t="e">
        <f t="shared" ca="1" si="340"/>
        <v>#N/A</v>
      </c>
      <c r="NW112" s="175" t="e">
        <f t="shared" ca="1" si="341"/>
        <v>#DIV/0!</v>
      </c>
      <c r="NX112" s="170" t="e">
        <f ca="1">MIN(Control!$C$72+$MU112, $NW112)</f>
        <v>#DIV/0!</v>
      </c>
      <c r="NY112" s="170" t="e">
        <f ca="1">IF($MT112&lt;=$NX112,MIN(Control!$C$72+$NB112,$NX112-$MT112),0)</f>
        <v>#DIV/0!</v>
      </c>
      <c r="NZ112" s="54" t="e">
        <f ca="1">IF(Control!$C$114=1,  $CX112*($MX112-Control!$C$127), 0)</f>
        <v>#DIV/0!</v>
      </c>
      <c r="OA112" s="170" t="e">
        <f t="shared" ca="1" si="342"/>
        <v>#DIV/0!</v>
      </c>
      <c r="OB112" s="170" t="e">
        <f ca="1">IF($NA112 &lt;=$NY112, MIN(Control!$C$72, $NY112-$NA112), 0)</f>
        <v>#DIV/0!</v>
      </c>
      <c r="OC112" s="168" t="e">
        <f t="shared" ca="1" si="343"/>
        <v>#DIV/0!</v>
      </c>
      <c r="OD112" s="168" t="e">
        <f t="shared" ca="1" si="432"/>
        <v>#DIV/0!</v>
      </c>
      <c r="OE112" s="170">
        <f ca="1">Control!$C$73*$I112</f>
        <v>0</v>
      </c>
      <c r="OF112" s="176" t="e">
        <f t="shared" ca="1" si="344"/>
        <v>#DIV/0!</v>
      </c>
      <c r="OG112" s="168" t="e">
        <f t="shared" ca="1" si="345"/>
        <v>#DIV/0!</v>
      </c>
      <c r="OH112" s="168" t="e">
        <f t="shared" ca="1" si="346"/>
        <v>#DIV/0!</v>
      </c>
      <c r="OI112" s="168" t="e">
        <f t="shared" ca="1" si="347"/>
        <v>#DIV/0!</v>
      </c>
      <c r="OJ112" s="168" t="e">
        <f t="shared" ca="1" si="348"/>
        <v>#DIV/0!</v>
      </c>
      <c r="OK112" s="204" t="e">
        <f t="shared" ca="1" si="349"/>
        <v>#DIV/0!</v>
      </c>
      <c r="OL112" s="177">
        <f>Control!$C$127</f>
        <v>0.15</v>
      </c>
      <c r="OM112" s="182" t="e">
        <f t="shared" ca="1" si="350"/>
        <v>#N/A</v>
      </c>
      <c r="ON112" s="177">
        <f>Control!$C$128</f>
        <v>0.35</v>
      </c>
      <c r="OO112" s="182" t="e">
        <f t="shared" ca="1" si="351"/>
        <v>#N/A</v>
      </c>
      <c r="OP112" s="138">
        <f t="shared" ca="1" si="433"/>
        <v>0</v>
      </c>
      <c r="OQ112" s="138" t="e">
        <f t="shared" ca="1" si="456"/>
        <v>#DIV/0!</v>
      </c>
      <c r="OR112" s="138" t="e">
        <f t="shared" ca="1" si="434"/>
        <v>#DIV/0!</v>
      </c>
      <c r="OS112" s="137" t="e">
        <f t="shared" ca="1" si="457"/>
        <v>#DIV/0!</v>
      </c>
      <c r="OT112" s="139" t="e">
        <f t="shared" ca="1" si="458"/>
        <v>#DIV/0!</v>
      </c>
      <c r="OU112" s="138" t="e">
        <f t="shared" ca="1" si="459"/>
        <v>#N/A</v>
      </c>
      <c r="OV112" s="138" t="e">
        <f t="shared" ca="1" si="460"/>
        <v>#DIV/0!</v>
      </c>
      <c r="OW112" s="138" t="e">
        <f t="shared" ca="1" si="435"/>
        <v>#DIV/0!</v>
      </c>
      <c r="OX112" s="138" t="e">
        <f t="shared" ca="1" si="436"/>
        <v>#DIV/0!</v>
      </c>
      <c r="OY112" s="138" t="e">
        <f t="shared" ca="1" si="437"/>
        <v>#DIV/0!</v>
      </c>
      <c r="OZ112" s="138" t="e">
        <f t="shared" ca="1" si="352"/>
        <v>#DIV/0!</v>
      </c>
      <c r="PA112" s="138" t="e">
        <f t="shared" ca="1" si="353"/>
        <v>#DIV/0!</v>
      </c>
      <c r="PB112" s="55">
        <f>IF(Control!$C$61="T", IF(Control!$C$65="F", IF($AH$6-Control!$C$60&lt;0,0,1), IF(365+$AH$6-Control!$C$60&lt;0,0,1)),0)</f>
        <v>0</v>
      </c>
      <c r="PC112" s="55">
        <f ca="1">IF(Control!$C$65="F", IF($AH$6-$HF112&lt;0,0,1), IF(365+$AH$6-$HF112&lt;0,0,1))</f>
        <v>1</v>
      </c>
      <c r="PD112" s="444">
        <f>Control!$C$118</f>
        <v>1500</v>
      </c>
      <c r="PE112" s="180" t="e">
        <f t="shared" ca="1" si="354"/>
        <v>#N/A</v>
      </c>
      <c r="PF112" s="445">
        <f t="shared" ca="1" si="438"/>
        <v>0.71612369323045078</v>
      </c>
      <c r="PT112" s="186"/>
      <c r="PU112" s="186"/>
      <c r="PV112" s="94"/>
      <c r="PW112" s="94"/>
      <c r="PX112" s="94"/>
      <c r="PY112" s="94"/>
      <c r="PZ112" s="94"/>
      <c r="QA112" s="94"/>
      <c r="QB112" s="94"/>
      <c r="QC112" s="94"/>
      <c r="QD112" s="94"/>
      <c r="QE112" s="94"/>
      <c r="QF112" s="94"/>
      <c r="QG112" s="94"/>
      <c r="QH112" s="94"/>
      <c r="QI112" s="94"/>
      <c r="QJ112" s="94"/>
      <c r="QK112" s="94"/>
      <c r="QL112" s="94"/>
      <c r="QM112" s="94"/>
      <c r="QN112" s="94"/>
      <c r="QO112" s="94"/>
      <c r="QP112" s="94"/>
    </row>
    <row r="113" spans="1:458" s="2" customFormat="1" x14ac:dyDescent="0.2">
      <c r="A113" s="395">
        <v>18</v>
      </c>
      <c r="B113" s="396">
        <v>4</v>
      </c>
      <c r="C113" s="387">
        <f ca="1">Weather_data!$B112</f>
        <v>0</v>
      </c>
      <c r="D113" s="388">
        <f ca="1">Weather_data!$F112</f>
        <v>0</v>
      </c>
      <c r="E113" s="388">
        <f ca="1">Weather_data!$E112</f>
        <v>0</v>
      </c>
      <c r="F113" s="388">
        <f t="shared" ca="1" si="355"/>
        <v>0</v>
      </c>
      <c r="G113" s="388">
        <f ca="1">AVERAGE($D113:$E113)+Control!$B$9</f>
        <v>0</v>
      </c>
      <c r="H113" s="388">
        <f ca="1">Weather_data!$G112</f>
        <v>0</v>
      </c>
      <c r="I113" s="388">
        <f ca="1">Weather_data!$I112</f>
        <v>0</v>
      </c>
      <c r="J113" s="388">
        <f ca="1">Weather_data!$H112</f>
        <v>0</v>
      </c>
      <c r="K113" s="389">
        <f ca="1">Weather_data!$D112</f>
        <v>0</v>
      </c>
      <c r="L113" s="388" t="e">
        <f t="shared" ca="1" si="356"/>
        <v>#N/A</v>
      </c>
      <c r="M113" s="388" t="e">
        <f t="shared" ca="1" si="234"/>
        <v>#N/A</v>
      </c>
      <c r="N113" s="388">
        <f t="shared" ca="1" si="235"/>
        <v>-6.3521173737982692E-6</v>
      </c>
      <c r="O113" s="388">
        <f t="shared" ca="1" si="357"/>
        <v>6.352117373798269E-5</v>
      </c>
      <c r="P113" s="390">
        <v>3</v>
      </c>
      <c r="Q113" s="388">
        <f ca="1">MAX($G113-Control!$C$107,0)</f>
        <v>0</v>
      </c>
      <c r="R113" s="388">
        <f t="shared" ca="1" si="358"/>
        <v>0</v>
      </c>
      <c r="S113" s="388">
        <f t="shared" ca="1" si="236"/>
        <v>0</v>
      </c>
      <c r="T113" s="388">
        <f t="shared" ca="1" si="237"/>
        <v>0</v>
      </c>
      <c r="U113" s="59">
        <f t="shared" ca="1" si="238"/>
        <v>0</v>
      </c>
      <c r="V113" s="391">
        <f ca="1">MAX(0,MIN(Control!$C$100-Control!$C$99,$G113-Control!$C$99)*Control!$C$63)</f>
        <v>0</v>
      </c>
      <c r="W113" s="388">
        <f t="shared" ca="1" si="359"/>
        <v>0</v>
      </c>
      <c r="X113" s="388">
        <f t="shared" ca="1" si="360"/>
        <v>0.6110000000000001</v>
      </c>
      <c r="Y113" s="388">
        <f t="shared" ca="1" si="239"/>
        <v>0</v>
      </c>
      <c r="Z113" s="388">
        <f t="shared" ca="1" si="361"/>
        <v>0.61058800000000002</v>
      </c>
      <c r="AA113" s="388">
        <f t="shared" ca="1" si="240"/>
        <v>0.6018</v>
      </c>
      <c r="AB113" s="388">
        <f ca="1">101.3*EXP(-0.034*Control!$C$66/($G113+273))</f>
        <v>100.69623283836242</v>
      </c>
      <c r="AC113" s="392">
        <f t="shared" ca="1" si="241"/>
        <v>4.3460251046025113E-2</v>
      </c>
      <c r="AD113" s="392">
        <f t="shared" ca="1" si="242"/>
        <v>4.4450382862832649E-2</v>
      </c>
      <c r="AE113" s="388">
        <f t="shared" ca="1" si="243"/>
        <v>0</v>
      </c>
      <c r="AF113" s="388">
        <f ca="1">MAX(0,$G113-Control!$C$92)</f>
        <v>0</v>
      </c>
      <c r="AG113" s="393">
        <f t="shared" ca="1" si="244"/>
        <v>109</v>
      </c>
      <c r="AH113" s="389">
        <f t="shared" ca="1" si="245"/>
        <v>109</v>
      </c>
      <c r="AI113" s="388">
        <f t="shared" ca="1" si="362"/>
        <v>0.18398840987551879</v>
      </c>
      <c r="AJ113" s="388">
        <f ca="1">IF(Control!$C$60&lt;=0,$HH113,$HI113)</f>
        <v>1</v>
      </c>
      <c r="AK113" s="388">
        <f t="shared" ca="1" si="246"/>
        <v>0.49921198331015892</v>
      </c>
      <c r="AL113" s="388">
        <f t="shared" ca="1" si="247"/>
        <v>-5.229634433834285E-18</v>
      </c>
      <c r="AM113" s="388">
        <f t="shared" ca="1" si="248"/>
        <v>0.49921198331015892</v>
      </c>
      <c r="AN113" s="388">
        <f t="shared" ca="1" si="249"/>
        <v>0.19161065728566101</v>
      </c>
      <c r="AO113" s="388">
        <f ca="1">-0.10453/COS(Control!$B$8*PI()/180)*COS(AN113)</f>
        <v>-0.16667759314828645</v>
      </c>
      <c r="AP113" s="388">
        <f ca="1">ACOS(AO113-TAN(Control!$B$8*PI()/180)*TAN(AN113))</f>
        <v>1.9987107966929001</v>
      </c>
      <c r="AQ113" s="388">
        <f t="shared" ca="1" si="363"/>
        <v>0</v>
      </c>
      <c r="AR113" s="394">
        <f t="shared" ca="1" si="250"/>
        <v>0</v>
      </c>
      <c r="AS113" s="436">
        <f ca="1">IF(Control!$B$18=2,(IF(OR($AH113=Control!$B$175,$AH113=Control!$B$176,$AH113=Control!$B$177,$AH113=Control!$B$178,$AH113=Control!$B$179,$AH113=Control!$B$180,$AH113=Control!$B$181,$AH113=Control!$B$182,$AH113=Control!$B$183,$AH113=Control!$B$184,$AH113=Control!$B$185),1,0)),0)</f>
        <v>0</v>
      </c>
      <c r="AT113" s="436">
        <f>IF(Control!$B$20=8,IF(AND($AH113&gt;=Control!$B$172,$AH113&lt;=Control!$B$173),1,0),0)</f>
        <v>0</v>
      </c>
      <c r="AU113" s="436">
        <f>IF(Control!$B$20=8,IF($AV112=1,1*$AT113,IF($AT113=1,$AU112+1,$AU112)),0)</f>
        <v>0</v>
      </c>
      <c r="AV113" s="436">
        <f>IF(Control!$B$20=8,IF($AU113&gt;=Control!$B$174,1,0),0)</f>
        <v>0</v>
      </c>
      <c r="AW113" s="436">
        <f ca="1">IF(AND(Control!$B$18=2,Control!$B$171=1), $AV113, $AS113)</f>
        <v>0</v>
      </c>
      <c r="AX113" s="436" t="e">
        <f ca="1">IF(AND(Control!$B$18=1,$EU113&gt;=Control!$B$19),-$AY113,IF(AND(Control!$B$18=2,$AW113=1,$EU113&gt;$DS113),-$AY113, IF(Control!$C$108=0,0, IF(Control!$C$108&lt;&gt;0,1))))</f>
        <v>#N/A</v>
      </c>
      <c r="AY113" s="436" t="e">
        <f ca="1">$AY112+$AX112</f>
        <v>#N/A</v>
      </c>
      <c r="AZ113" s="436" t="e">
        <f ca="1">IF(AND(Control!$B$18=1,$EB113&gt;Control!$B$19),$AZ112+1, IF(AND(Control!$B$18=2, $AW113=1, $EB113&gt;$DS113), $AZ112+1,$AZ112))</f>
        <v>#N/A</v>
      </c>
      <c r="BA113" s="587">
        <f>IF(Control!$C$81=0,1,IF($AH113&gt;=Control!$C$82,1,0))</f>
        <v>1</v>
      </c>
      <c r="BB113" s="140" t="e">
        <f ca="1">IF($BA113&gt;$BA112,Control!$C$83,IF($AW113&gt;0,$AW113*Control!$C$84,IF(AND(Control!$B$18=1,EN112&lt;&gt;0),Control!$C$84,0)))</f>
        <v>#N/A</v>
      </c>
      <c r="BC113" s="140" t="e">
        <f t="shared" ca="1" si="365"/>
        <v>#N/A</v>
      </c>
      <c r="BD113" s="140" t="e">
        <f ca="1">BC113*IF(OR($G113&lt;Control!$C$92,$G113&gt;Control!$C$95),0,IF(AND($G113&gt;=Control!$C$92,$G113&lt;=Control!$C$93),$G113-Control!$C$92,IF(AND($G113&gt;Control!$C$93,$G113&lt;=Control!$C$94),Control!$C$93-Control!$C$92,IF(AND($G113&gt;Control!$C$94,$G113&lt;=Control!$C$95),(Control!$C$93-Control!$C$92)*(Control!$C$94-$G113)/(Control!$C$95-Control!$C$94)))))</f>
        <v>#N/A</v>
      </c>
      <c r="BE113" s="140" t="e">
        <f t="shared" ca="1" si="366"/>
        <v>#N/A</v>
      </c>
      <c r="BF113" s="140" t="e">
        <f ca="1">IF($BE113&lt;=Control!$C$86,$BE113,Control!$C$86-$BE113)</f>
        <v>#N/A</v>
      </c>
      <c r="BG113" s="140" t="e">
        <f ca="1">IF(AND($AW113=1,Control!$C$84&lt;9),1,IF($BE113&gt;=Control!$C$86,0,$BC113))</f>
        <v>#N/A</v>
      </c>
      <c r="BH113" s="404" t="e">
        <f ca="1">IF($BG113=0,0,IF($BE113&lt;=Control!$C$86,$BC113*9*($BF113/Control!$C$86),0))</f>
        <v>#N/A</v>
      </c>
      <c r="BI113" s="140" t="e">
        <f ca="1">IF($BG113=1,0,IF($BE113&gt;=Control!$C$86,1,IF(AND($BB113&lt;21,$BB113&gt;=9),1,$BM112)))</f>
        <v>#N/A</v>
      </c>
      <c r="BJ113" s="140" t="e">
        <f ca="1">IF($BF113&lt;0,-$BF113,$BI113*IF(OR($G113&lt;Control!$C$92,$G113&gt;Control!$C$95),0,IF(AND($G113&gt;=Control!$C$92,$G113&lt;=Control!$C$93),$G113-Control!$C$92,IF(AND($G113&gt;Control!$C$93,$G113&lt;=Control!$C$94),Control!$C$93-Control!$C$92,IF(AND($G113&gt;Control!$C$94,$G113&lt;=Control!$C$95),(Control!$C$93-Control!$C$92)*(Control!$C$94-$G113)/(Control!$C$95-Control!$C$94))))))</f>
        <v>#N/A</v>
      </c>
      <c r="BK113" s="140" t="e">
        <f t="shared" ca="1" si="367"/>
        <v>#N/A</v>
      </c>
      <c r="BL113" s="140" t="e">
        <f ca="1">IF($BK113&lt;=Control!$C$87,$BK113,Control!$C$87-$BK113)</f>
        <v>#N/A</v>
      </c>
      <c r="BM113" s="140" t="e">
        <f ca="1">IF(AND($BB113&gt;=9,$BB113&lt;21),1,IF($BK113&gt;=Control!$C$87,0,$BI113))</f>
        <v>#N/A</v>
      </c>
      <c r="BN113" s="404" t="e">
        <f ca="1">IF($BM113=0,0,IF($BK113&lt;=Control!$C$87,$BI113*(9+(21-9)*($BL113/Control!$C$87)),0))</f>
        <v>#N/A</v>
      </c>
      <c r="BO113" s="140" t="e">
        <f ca="1">IF($BM113=1,0,IF($BK113&gt;=Control!$C$87,1,IF(AND($BB113&lt;30,$BB113&gt;=21),1,$BS112)))</f>
        <v>#N/A</v>
      </c>
      <c r="BP113" s="140" t="e">
        <f ca="1">IF($BL113&lt;0,-$BL113,$BO113*IF(OR($G113&lt;Control!$C$92,$G113&gt;Control!$C$95),0,IF(AND($G113&gt;=Control!$C$92,$G113&lt;=Control!$C$93),$G113-Control!$C$92,IF(AND($G113&gt;Control!$C$93,$G113&lt;=Control!$C$94),Control!$C$93-Control!$C$92,IF(AND($G113&gt;Control!$C$94,$G113&lt;=Control!$C$95),(Control!$C$93-Control!$C$92)*(Control!$C$94-$G113)/(Control!$C$95-Control!$C$94))))))</f>
        <v>#N/A</v>
      </c>
      <c r="BQ113" s="140" t="e">
        <f t="shared" ca="1" si="251"/>
        <v>#N/A</v>
      </c>
      <c r="BR113" s="140" t="e">
        <f ca="1">IF($BQ113&lt;=Control!$C$88,$BQ113,Control!$C$88-$BQ113)</f>
        <v>#N/A</v>
      </c>
      <c r="BS113" s="140" t="e">
        <f ca="1">IF(AND($BB113&gt;=21,$BB113&lt;30),1,IF($BQ113&gt;=Control!$C$88,0,$BO113))</f>
        <v>#N/A</v>
      </c>
      <c r="BT113" s="404" t="e">
        <f ca="1">IF($BS113=0,0,IF($BQ113&lt;=Control!$C$88,$BO113*(21+(30-21)*(BR113/Control!$C$88)),0))</f>
        <v>#N/A</v>
      </c>
      <c r="BU113" s="140" t="e">
        <f ca="1">IF(BG113+BM113+BS113=1,0,IF(OR(AND($BB113&lt;60,$BB113&gt;=30),$BQ113&gt;=Control!$C$88),1*$BA113,$BY112))</f>
        <v>#N/A</v>
      </c>
      <c r="BV113" s="140" t="e">
        <f ca="1">IF($BR113&lt;0,-$BR113,$BU113*IF(OR($G113&lt;Control!$C$92,$G113&gt;Control!$C$95),0,IF(AND($G113&gt;=Control!$C$92,$G113&lt;=Control!$C$93),$G113-Control!$C$92,IF(AND($G113&gt;Control!$C$93,$G113&lt;=Control!$C$94),Control!$C$93-Control!$C$92,IF(AND($G113&gt;Control!$C$94,$G113&lt;=Control!$C$95),(Control!$C$93-Control!$C$92)*(Control!$C$94-$G113)/(Control!$C$95-Control!$C$94))))))</f>
        <v>#N/A</v>
      </c>
      <c r="BW113" s="140" t="e">
        <f t="shared" ca="1" si="252"/>
        <v>#N/A</v>
      </c>
      <c r="BX113" s="140" t="e">
        <f ca="1">IF($BW113&lt;=Control!$C$89,$BW113,Control!$C$89-$BW113)</f>
        <v>#N/A</v>
      </c>
      <c r="BY113" s="140" t="e">
        <f ca="1">IF(AND($AJ113&gt;=30,$AJ113&lt;60),1,IF($BW113&gt;=Control!$C$89,0,$BU113))</f>
        <v>#N/A</v>
      </c>
      <c r="BZ113" s="404" t="e">
        <f ca="1">IF($BY113=0,0,IF($BW113&lt;=Control!$C$89,$BU113*(30+(60-30)*(BX113/Control!$C$89)),0))</f>
        <v>#N/A</v>
      </c>
      <c r="CA113" s="140" t="e">
        <f ca="1">IF($BG113+$BM113+$BS113+$BY113=1,0,IF(OR(AND($BB113&lt;65,$BB113&gt;=60),$BW113&gt;=Control!$C$89),1*$BA113,$CE112))</f>
        <v>#N/A</v>
      </c>
      <c r="CB113" s="140" t="e">
        <f ca="1">IF($BX113&lt;0,-$BX113,$CA113*IF(OR($G113&lt;Control!$C$92,$G113&gt;Control!$C$95),0,IF(AND($G113&gt;=Control!$C$92,$G113&lt;=Control!$C$93),$G113-Control!$C$92,IF(AND($G113&gt;Control!$C$93,$G113&lt;=Control!$C$94),Control!$C$93-Control!$C$92,IF(AND($G113&gt;Control!$C$94,$G113&lt;=Control!$C$95),(Control!$C$93-Control!$C$92)*(Control!$C$94-$G113)/(Control!$C$95-Control!$C$94))))))</f>
        <v>#N/A</v>
      </c>
      <c r="CC113" s="140" t="e">
        <f t="shared" ca="1" si="368"/>
        <v>#N/A</v>
      </c>
      <c r="CD113" s="140" t="e">
        <f ca="1">IF($CC113&lt;=Control!$C$90,$CC113,Control!$C$90-$CC113)</f>
        <v>#N/A</v>
      </c>
      <c r="CE113" s="140" t="e">
        <f ca="1">IF(AND($BB113&gt;=60,$BB113&lt;65),1,IF($CC113&gt;=Control!$C$90,0,$CA113))</f>
        <v>#N/A</v>
      </c>
      <c r="CF113" s="404" t="e">
        <f ca="1">IF($CE113=0,0,IF($CC113&lt;=Control!$C$90,$CA113*(60+(65-60)*(CD113/Control!$C$90)),0))</f>
        <v>#N/A</v>
      </c>
      <c r="CG113" s="140" t="e">
        <f ca="1">IF($BG113+$BM113+$BS113+$BY113+$CE113=1,0,IF(OR(AND($BB113&lt;90,$BB113&gt;=65),$CC113&gt;=Control!$C$90),$BA113,$CK112))</f>
        <v>#N/A</v>
      </c>
      <c r="CH113" s="140" t="e">
        <f ca="1">IF($CD113&lt;0,-$CD113,$CG113*IF(OR($G113&lt;Control!$C$92,$G113&gt;Control!$C$95),0,IF(AND($G113&gt;=Control!$C$92,$G113&lt;=Control!$C$93),$G113-Control!$C$92,IF(AND($G113&gt;Control!$C$93,$G113&lt;=Control!$C$94),Control!$C$93-Control!$C$92,IF(AND($G113&gt;Control!$C$94,$G113&lt;=Control!$C$95),(Control!$C$93-Control!$C$92)*(Control!$C$94-$G113)/(Control!$C$95-Control!$C$94))))))</f>
        <v>#N/A</v>
      </c>
      <c r="CI113" s="140" t="e">
        <f t="shared" ca="1" si="369"/>
        <v>#N/A</v>
      </c>
      <c r="CJ113" s="140" t="e">
        <f ca="1">IF($CI113&lt;=Control!$C$91,$CI113,Control!$C$91-$CI113)</f>
        <v>#N/A</v>
      </c>
      <c r="CK113" s="140" t="e">
        <f ca="1">IF(AND($BB113&gt;=65,$BB113&lt;90),1,IF($CI113&gt;=Control!$C$91,0,$CG113))</f>
        <v>#N/A</v>
      </c>
      <c r="CL113" s="404" t="e">
        <f ca="1">IF($CK113=0,0,IF($CI113&lt;=Control!$C$91,$CG113*(65+(90-65)*($CJ113/Control!$C$91)),0))</f>
        <v>#N/A</v>
      </c>
      <c r="CM113" s="140" t="e">
        <f ca="1">IF($BG113+$BM113+$BS113+$BY113+$CE113+$CK113=1,0,IF(OR($BB113&gt;=90,$CI113&gt;=Control!$C$91),$BA113,$CM112))</f>
        <v>#N/A</v>
      </c>
      <c r="CN113" s="140" t="e">
        <f t="shared" ca="1" si="370"/>
        <v>#N/A</v>
      </c>
      <c r="CO113" s="140" t="e">
        <f t="shared" ca="1" si="371"/>
        <v>#N/A</v>
      </c>
      <c r="CP113" s="140" t="e">
        <f t="shared" ca="1" si="372"/>
        <v>#N/A</v>
      </c>
      <c r="CQ113" s="141" t="e">
        <f ca="1">VLOOKUP($CP113,Control!$B$86:$G$91,6)</f>
        <v>#N/A</v>
      </c>
      <c r="CR113" s="141" t="e">
        <f ca="1">(1-$CQ113)*VLOOKUP($CP113,Control!$B$86:$D$91,3)</f>
        <v>#N/A</v>
      </c>
      <c r="CS113" s="141" t="e">
        <f ca="1">(1-$CQ113)*VLOOKUP($CP113,Control!$B$86:$E$91,4)</f>
        <v>#N/A</v>
      </c>
      <c r="CT113" s="141" t="e">
        <f ca="1">(1-$CQ113)*VLOOKUP($CP113,Control!$B$86:$F$91,5)</f>
        <v>#N/A</v>
      </c>
      <c r="CU113" s="141">
        <f t="shared" ca="1" si="373"/>
        <v>0</v>
      </c>
      <c r="CV113" s="583">
        <f t="shared" ca="1" si="374"/>
        <v>0</v>
      </c>
      <c r="CW113" s="142">
        <f t="shared" ca="1" si="375"/>
        <v>109</v>
      </c>
      <c r="CX113" s="612" t="e">
        <f ca="1">IF(Control!$C$114=1,(MIN(Control!$C$120*(IF($NT113-0.01&lt;0,0,1)),Control!$C$119-$CY113)))</f>
        <v>#DIV/0!</v>
      </c>
      <c r="CY113" s="143" t="e">
        <f t="shared" ca="1" si="376"/>
        <v>#N/A</v>
      </c>
      <c r="CZ113" s="144">
        <f t="shared" ca="1" si="253"/>
        <v>0</v>
      </c>
      <c r="DA113" s="144">
        <f t="shared" ca="1" si="254"/>
        <v>0</v>
      </c>
      <c r="DB113" s="144" t="e">
        <f t="shared" ca="1" si="255"/>
        <v>#N/A</v>
      </c>
      <c r="DC113" s="144" t="e">
        <f t="shared" ca="1" si="256"/>
        <v>#N/A</v>
      </c>
      <c r="DD113" s="144" t="e">
        <f t="shared" ca="1" si="461"/>
        <v>#N/A</v>
      </c>
      <c r="DE113" s="143" t="e">
        <f t="shared" ca="1" si="377"/>
        <v>#N/A</v>
      </c>
      <c r="DF113" s="145" t="e">
        <f ca="1">$DR113*EXP(-Control!$C$158*(1-$KH113))</f>
        <v>#N/A</v>
      </c>
      <c r="DG113" s="146" t="e">
        <f ca="1">IF(Control!$C$114=1, $DF113*$EY113, 0)</f>
        <v>#N/A</v>
      </c>
      <c r="DH113" s="147" t="e">
        <f t="shared" ca="1" si="378"/>
        <v>#N/A</v>
      </c>
      <c r="DI113" s="144" t="e">
        <f t="shared" ca="1" si="439"/>
        <v>#N/A</v>
      </c>
      <c r="DJ113" s="147" t="e">
        <f ca="1">$EF113*Control!$C$109</f>
        <v>#N/A</v>
      </c>
      <c r="DK113" s="144" t="e">
        <f t="shared" ca="1" si="379"/>
        <v>#N/A</v>
      </c>
      <c r="DL113" s="144" t="e">
        <f t="shared" ca="1" si="257"/>
        <v>#N/A</v>
      </c>
      <c r="DM113" s="144" t="e">
        <f ca="1">IF(Control!$C$114=1, (1-EXP(-Control!$C$96*$DK113))*$AR113, 0)</f>
        <v>#N/A</v>
      </c>
      <c r="DN113" s="144">
        <f t="shared" ca="1" si="380"/>
        <v>0</v>
      </c>
      <c r="DO113" s="148">
        <f>Control!$C$97</f>
        <v>4</v>
      </c>
      <c r="DP113" s="145" t="e">
        <f t="shared" ca="1" si="381"/>
        <v>#N/A</v>
      </c>
      <c r="DQ113" s="145" t="e">
        <f ca="1">IF(AND($CP113&gt;=0,$CP113&lt;=90),Control!$C$111,Control!$C$111)</f>
        <v>#N/A</v>
      </c>
      <c r="DR113" s="145" t="e">
        <f t="shared" ca="1" si="258"/>
        <v>#N/A</v>
      </c>
      <c r="DS113" s="143" t="e">
        <f ca="1">Control!$B$22/$DR113</f>
        <v>#N/A</v>
      </c>
      <c r="DT113" s="149" t="e">
        <f ca="1">IF(AND(Control!$C$114=1,$KH113&lt;1),$IM113*$DF113, 0)</f>
        <v>#N/A</v>
      </c>
      <c r="DU113" s="144" t="e">
        <f t="shared" ca="1" si="382"/>
        <v>#N/A</v>
      </c>
      <c r="DV113" s="144">
        <f ca="1">IF($G113-Control!$C$107&lt;=0, 0, 0.83*LN(MAX($G113, 3))-0.8924)</f>
        <v>0</v>
      </c>
      <c r="DW113" s="144" t="e">
        <f t="shared" ca="1" si="259"/>
        <v>#N/A</v>
      </c>
      <c r="DX113" s="150" t="e">
        <f ca="1">MAX(0.01*(1+$CU113/Control!$C$102),0.05*($DK113-Control!$C$97)/Control!$C$97)</f>
        <v>#N/A</v>
      </c>
      <c r="DY113" s="151" t="e">
        <f ca="1">IF(Control!$C$114=1, $DI113*$FS113, 0)</f>
        <v>#N/A</v>
      </c>
      <c r="DZ113" s="196" t="e">
        <f t="shared" ca="1" si="383"/>
        <v>#N/A</v>
      </c>
      <c r="EA113" s="152">
        <f t="shared" ca="1" si="384"/>
        <v>109</v>
      </c>
      <c r="EB113" s="153" t="e">
        <f t="shared" ca="1" si="385"/>
        <v>#N/A</v>
      </c>
      <c r="EC113" s="153" t="e">
        <f t="shared" ca="1" si="386"/>
        <v>#N/A</v>
      </c>
      <c r="ED113" s="154" t="e">
        <f ca="1">IF(Control!$C$114=1, $HM113*$FY113-$FD113, 0)</f>
        <v>#DIV/0!</v>
      </c>
      <c r="EE113" s="155" t="e">
        <f ca="1">IF(Control!$C$114=1, $HM113*$FZ113-$FF113, 0)</f>
        <v>#DIV/0!</v>
      </c>
      <c r="EF113" s="153" t="e">
        <f t="shared" ca="1" si="440"/>
        <v>#N/A</v>
      </c>
      <c r="EG113" s="155" t="e">
        <f ca="1">IF(Control!$C$114=1, $GX113*$FW113-$FI113, 0)</f>
        <v>#DIV/0!</v>
      </c>
      <c r="EH113" s="153" t="e">
        <f t="shared" ca="1" si="387"/>
        <v>#N/A</v>
      </c>
      <c r="EI113" s="156" t="e">
        <f t="shared" ca="1" si="388"/>
        <v>#N/A</v>
      </c>
      <c r="EJ113" s="155" t="e">
        <f ca="1">IF(Control!$C$114=1, $HM113*$GB113, 0)</f>
        <v>#DIV/0!</v>
      </c>
      <c r="EK113" s="153" t="e">
        <f t="shared" ca="1" si="441"/>
        <v>#N/A</v>
      </c>
      <c r="EL113" s="153" t="e">
        <f t="shared" ca="1" si="260"/>
        <v>#N/A</v>
      </c>
      <c r="EM113" s="153" t="e">
        <f t="shared" ca="1" si="261"/>
        <v>#N/A</v>
      </c>
      <c r="EN113" s="153" t="e">
        <f ca="1">IF(Control!$C$108=1,IF(AND(Control!$B$18=1,$EB113&gt;=Control!$B$19),$EB113-$DS113,IF(AND(Control!$B$18=2,$AW113=1,$EB113&gt;$DS113),$EB113-$DS113,0)))</f>
        <v>#N/A</v>
      </c>
      <c r="EO113" s="153" t="e">
        <f ca="1">IF(Control!$C$108=1,IF(AND(Control!$B$18=1,$EB113&gt;=Control!$B$19),$EF113,IF(AND(Control!$B$18=2,$AW113=1),$EF113,0)))</f>
        <v>#N/A</v>
      </c>
      <c r="EP113" s="153" t="e">
        <f ca="1">IF(Control!$C$108=1,IF(AND(Control!$B$18=1,$EB113&gt;=Control!$B$19),$EK113,IF(AND(Control!$B$18=2,$AW113=1),$EK113,0)))</f>
        <v>#N/A</v>
      </c>
      <c r="EQ113" s="153" t="e">
        <f t="shared" ca="1" si="389"/>
        <v>#N/A</v>
      </c>
      <c r="ER113" s="153" t="e">
        <f t="shared" ca="1" si="390"/>
        <v>#N/A</v>
      </c>
      <c r="ES113" s="153" t="e">
        <f t="shared" ca="1" si="442"/>
        <v>#N/A</v>
      </c>
      <c r="ET113" s="153" t="e">
        <f t="shared" ca="1" si="443"/>
        <v>#N/A</v>
      </c>
      <c r="EU113" s="153" t="e">
        <f t="shared" ca="1" si="391"/>
        <v>#N/A</v>
      </c>
      <c r="EV113" s="153" t="e">
        <f t="shared" ca="1" si="262"/>
        <v>#N/A</v>
      </c>
      <c r="EW113" s="153" t="e">
        <f t="shared" ca="1" si="263"/>
        <v>#N/A</v>
      </c>
      <c r="EX113" s="153" t="e">
        <f t="shared" ca="1" si="264"/>
        <v>#N/A</v>
      </c>
      <c r="EY113" s="157" t="e">
        <f t="shared" ca="1" si="265"/>
        <v>#DIV/0!</v>
      </c>
      <c r="EZ113" s="154" t="e">
        <f t="shared" ca="1" si="266"/>
        <v>#DIV/0!</v>
      </c>
      <c r="FA113" s="153" t="e">
        <f t="shared" ca="1" si="392"/>
        <v>#N/A</v>
      </c>
      <c r="FB113" s="153" t="e">
        <f t="shared" ca="1" si="267"/>
        <v>#N/A</v>
      </c>
      <c r="FC113" s="193" t="e">
        <f t="shared" ca="1" si="268"/>
        <v>#N/A</v>
      </c>
      <c r="FD113" s="158" t="e">
        <f t="shared" ca="1" si="393"/>
        <v>#N/A</v>
      </c>
      <c r="FE113" s="158" t="e">
        <f t="shared" ca="1" si="394"/>
        <v>#N/A</v>
      </c>
      <c r="FF113" s="159" t="e">
        <f t="shared" ca="1" si="269"/>
        <v>#N/A</v>
      </c>
      <c r="FG113" s="160" t="e">
        <f t="shared" ca="1" si="395"/>
        <v>#N/A</v>
      </c>
      <c r="FH113" s="158" t="e">
        <f t="shared" ca="1" si="396"/>
        <v>#N/A</v>
      </c>
      <c r="FI113" s="159" t="e">
        <f t="shared" ca="1" si="270"/>
        <v>#N/A</v>
      </c>
      <c r="FJ113" s="160" t="e">
        <f t="shared" ca="1" si="397"/>
        <v>#N/A</v>
      </c>
      <c r="FK113" s="160" t="e">
        <f t="shared" ca="1" si="271"/>
        <v>#N/A</v>
      </c>
      <c r="FL113" s="160" t="e">
        <f t="shared" ca="1" si="444"/>
        <v>#N/A</v>
      </c>
      <c r="FM113" s="160" t="e">
        <f t="shared" ca="1" si="272"/>
        <v>#N/A</v>
      </c>
      <c r="FN113" s="158">
        <f t="shared" ca="1" si="398"/>
        <v>0.01</v>
      </c>
      <c r="FO113" s="160">
        <f>Control!$C$101</f>
        <v>50</v>
      </c>
      <c r="FP113" s="150" t="e">
        <f t="shared" ca="1" si="273"/>
        <v>#N/A</v>
      </c>
      <c r="FQ113" s="150" t="e">
        <f ca="1">MAX(0,(Control!$C$112*(($DK113-Control!$C$97)/Control!$C$97)))</f>
        <v>#N/A</v>
      </c>
      <c r="FR113" s="150" t="e">
        <f ca="1">(1-$NT113)*Control!$C$113</f>
        <v>#DIV/0!</v>
      </c>
      <c r="FS113" s="198" t="e">
        <f t="shared" ca="1" si="274"/>
        <v>#N/A</v>
      </c>
      <c r="FT113" s="161">
        <f t="shared" ca="1" si="399"/>
        <v>109</v>
      </c>
      <c r="FU113" s="162" t="e">
        <f ca="1">IF(Control!$B$34=1,VLOOKUP($CP113,Control!$B$86:$G$91,6),Control!$B$35)</f>
        <v>#N/A</v>
      </c>
      <c r="FV113" s="162" t="e">
        <f t="shared" ca="1" si="275"/>
        <v>#DIV/0!</v>
      </c>
      <c r="FW113" s="162" t="e">
        <f ca="1">IF(Control!$B$31=1,$FU113*$FV113,  $FU113)</f>
        <v>#N/A</v>
      </c>
      <c r="FX113" s="162" t="e">
        <f ca="1">IF(Control!$B$34=1,VLOOKUP($CP113,Control!$B$86:$G$91,3),Control!$B$36)</f>
        <v>#N/A</v>
      </c>
      <c r="FY113" s="162" t="e">
        <f t="shared" ca="1" si="276"/>
        <v>#N/A</v>
      </c>
      <c r="FZ113" s="162" t="e">
        <f ca="1">IF(Control!$B$34=1,VLOOKUP($CP113,Control!$B$86:$G$91,4),Control!$B$37)</f>
        <v>#N/A</v>
      </c>
      <c r="GA113" s="162" t="e">
        <f t="shared" ca="1" si="277"/>
        <v>#N/A</v>
      </c>
      <c r="GB113" s="162" t="e">
        <f ca="1">IF(Control!$B$34=1,VLOOKUP($CP113,Control!$B$86:$G$91,5),Control!$B$38)</f>
        <v>#N/A</v>
      </c>
      <c r="GC113" s="162" t="e">
        <f t="shared" ca="1" si="400"/>
        <v>#N/A</v>
      </c>
      <c r="GD113" s="162">
        <f t="shared" ca="1" si="278"/>
        <v>1</v>
      </c>
      <c r="GE113" s="162">
        <f t="shared" ca="1" si="279"/>
        <v>1</v>
      </c>
      <c r="GF113" s="162">
        <f ca="1">IF(AND(Control!$C$104=1, Control!$C$62="F"),$GE113,1)</f>
        <v>1</v>
      </c>
      <c r="GG113" s="162" t="e">
        <f ca="1">IF(Control!$B$16=40,0,IF(AND(Control!$B$16&gt;40,Control!$B$16&lt;=360),(Control!$B$16-40)*((1-0)/(360-40)),IF(AND(Control!$B$16&gt;360,Control!$B$16&lt;=720),(1+(Control!$B$16-360)*((1.25-1)/(720-360))),IF(AND(Control!$B$16&gt;720,Control!$B$16&lt;=1000),(1.25+(Control!$B$16-720)*((1.35-1.25)/(1000-720))),IF(AND(Control!$B$16&gt;1000,Control!$B$16&lt;=2000),(1.35+(Control!$B$16-1000)*0))))))</f>
        <v>#N/A</v>
      </c>
      <c r="GH113" s="162" t="e">
        <f t="shared" ca="1" si="280"/>
        <v>#N/A</v>
      </c>
      <c r="GI113" s="162">
        <f t="shared" ca="1" si="401"/>
        <v>0</v>
      </c>
      <c r="GJ113" s="162">
        <f t="shared" ca="1" si="281"/>
        <v>0</v>
      </c>
      <c r="GK113" s="162">
        <f t="shared" ca="1" si="402"/>
        <v>1</v>
      </c>
      <c r="GL113" s="162">
        <f t="shared" ca="1" si="282"/>
        <v>1</v>
      </c>
      <c r="GM113" s="162" t="e">
        <f ca="1">MAX(0,MIN(1,1-Control!$C$156*(1.0001-$KH113)^2))</f>
        <v>#N/A</v>
      </c>
      <c r="GN113" s="162" t="e">
        <f ca="1">IF(Control!$B$26=1,$KU113,$KX113)</f>
        <v>#N/A</v>
      </c>
      <c r="GO113" s="162" t="e">
        <f ca="1">IF($CP113&lt;=60,Control!$C$105,IF($CP113&gt;=90,Control!$C$106,Control!$C$105+($CP113-60)*((Control!$C$106-Control!$C$105)/(90-60))))</f>
        <v>#N/A</v>
      </c>
      <c r="GP113" s="162" t="e">
        <f t="shared" ca="1" si="283"/>
        <v>#N/A</v>
      </c>
      <c r="GQ113" s="162" t="e">
        <f t="shared" ca="1" si="403"/>
        <v>#N/A</v>
      </c>
      <c r="GR113" s="163" t="e">
        <f t="shared" ca="1" si="284"/>
        <v>#DIV/0!</v>
      </c>
      <c r="GS113" s="162" t="e">
        <f t="shared" ca="1" si="285"/>
        <v>#DIV/0!</v>
      </c>
      <c r="GT113" s="164" t="e">
        <f t="shared" ca="1" si="404"/>
        <v>#N/A</v>
      </c>
      <c r="GU113" s="162" t="e">
        <f t="shared" ca="1" si="405"/>
        <v>#N/A</v>
      </c>
      <c r="GV113" s="162" t="e">
        <f t="shared" ca="1" si="286"/>
        <v>#N/A</v>
      </c>
      <c r="GW113" s="162" t="e">
        <f t="shared" ca="1" si="287"/>
        <v>#DIV/0!</v>
      </c>
      <c r="GX113" s="162" t="e">
        <f t="shared" ca="1" si="406"/>
        <v>#DIV/0!</v>
      </c>
      <c r="GY113" s="162" t="e">
        <f t="shared" ca="1" si="407"/>
        <v>#DIV/0!</v>
      </c>
      <c r="GZ113" s="165" t="e">
        <f t="shared" ca="1" si="288"/>
        <v>#N/A</v>
      </c>
      <c r="HA113" s="162" t="e">
        <f ca="1">IF(Control!$C$114=1, $DI113*$FS113, 0)</f>
        <v>#N/A</v>
      </c>
      <c r="HB113" s="162" t="e">
        <f ca="1">$FA113/Control!$C$64</f>
        <v>#N/A</v>
      </c>
      <c r="HC113" s="162" t="e">
        <f t="shared" ca="1" si="289"/>
        <v>#DIV/0!</v>
      </c>
      <c r="HD113" s="162">
        <f ca="1">-ASIN(SIN(23.45*Control!$C$139)*COS(2*Control!$C$138*($AH113+10)/365))</f>
        <v>0.18398840987551879</v>
      </c>
      <c r="HE113" s="165">
        <f t="shared" ca="1" si="408"/>
        <v>0</v>
      </c>
      <c r="HF113" s="166">
        <f ca="1">IF(AND(Control!$C$61="T",$HE113&gt;=Control!$C$103,Control!$C$114=0),$AH113,Control!$C$59)</f>
        <v>1</v>
      </c>
      <c r="HG113" s="166">
        <f ca="1">IF(AND(Control!$C$61="T",$HE113&gt;=Control!$C$103,Control!$C$114=0),$HF113,Control!$C$59)</f>
        <v>1</v>
      </c>
      <c r="HH113" s="165">
        <f ca="1">IF(AND(OR(Control!$C$60&lt;=0, $AH113= Control!$C$59, Control!$C$60 &gt;0, $AH113 = Control!$C$60)), Control!$C$59, IF(Control!$C$60&gt;0, 0))</f>
        <v>1</v>
      </c>
      <c r="HI113" s="165">
        <f ca="1">IF(AND(OR(Control!$C$60&lt;=0, $AH113= Control!$C$59, Control!$C$60 &gt;0, $AH113 = Control!$C$60)), Control!$C$60, IF(Control!$C$60&lt;=0, 0))</f>
        <v>0</v>
      </c>
      <c r="HJ113" s="166">
        <f ca="1">IF(AND(Control!$C$62="F",$CV113&gt;=Control!$C$102),$AH113,0)</f>
        <v>0</v>
      </c>
      <c r="HK113" s="165" t="e">
        <f t="shared" ca="1" si="445"/>
        <v>#N/A</v>
      </c>
      <c r="HL113" s="166">
        <f ca="1">IF(AND(Control!$C$61="T",$HE113&gt;=Control!$C$103,Control!$C$114=0),$HF113,0)</f>
        <v>0</v>
      </c>
      <c r="HM113" s="201" t="e">
        <f t="shared" ca="1" si="290"/>
        <v>#DIV/0!</v>
      </c>
      <c r="HN113" s="215">
        <f t="shared" ca="1" si="409"/>
        <v>109</v>
      </c>
      <c r="HO113" s="216" t="e">
        <f ca="1">IF(AND($CP113&gt;=0, $CP113&lt;=90), Control!$C$152, Control!$C$152)</f>
        <v>#N/A</v>
      </c>
      <c r="HP113" s="216" t="e">
        <f t="shared" ca="1" si="291"/>
        <v>#N/A</v>
      </c>
      <c r="HQ113" s="217" t="e">
        <f ca="1">IF(OR(Control!$B$26=1,Control!$B$26=2),$KV113,$KS113)</f>
        <v>#DIV/0!</v>
      </c>
      <c r="HR113" s="218" t="e">
        <f t="shared" ca="1" si="446"/>
        <v>#DIV/0!</v>
      </c>
      <c r="HS113" s="216" t="e">
        <f ca="1">Control!$C$154*$HP113</f>
        <v>#N/A</v>
      </c>
      <c r="HT113" s="216" t="e">
        <f ca="1">Control!$C$155*$HP113</f>
        <v>#N/A</v>
      </c>
      <c r="HU113" s="217" t="e">
        <f ca="1">Control!$C$161*$FI113</f>
        <v>#N/A</v>
      </c>
      <c r="HV113" s="218" t="e">
        <f t="shared" ca="1" si="410"/>
        <v>#N/A</v>
      </c>
      <c r="HW113" s="218" t="e">
        <f ca="1">Control!$C$160*$FF113+$IP113*$EO113</f>
        <v>#N/A</v>
      </c>
      <c r="HX113" s="218" t="e">
        <f t="shared" ca="1" si="447"/>
        <v>#N/A</v>
      </c>
      <c r="HY113" s="219" t="e">
        <f ca="1">IF(Control!$C$114=1, $EB113*$FS113, 0)</f>
        <v>#N/A</v>
      </c>
      <c r="HZ113" s="91" t="e">
        <f t="shared" ca="1" si="292"/>
        <v>#N/A</v>
      </c>
      <c r="IA113" s="220" t="e">
        <f ca="1">Control!$C$153*$HO113</f>
        <v>#N/A</v>
      </c>
      <c r="IB113" s="218" t="e">
        <f t="shared" ca="1" si="293"/>
        <v>#N/A</v>
      </c>
      <c r="IC113" s="220" t="e">
        <f ca="1">Control!$C$153*$HT113</f>
        <v>#N/A</v>
      </c>
      <c r="ID113" s="218" t="e">
        <f t="shared" ca="1" si="294"/>
        <v>#N/A</v>
      </c>
      <c r="IE113" s="221" t="e">
        <f ca="1">($EB113*Control!$C$159+$EF113*Control!$C$160)/(IF($GZ113&lt;&gt;0,$GZ113,1))</f>
        <v>#N/A</v>
      </c>
      <c r="IF113" s="216" t="e">
        <f t="shared" ca="1" si="295"/>
        <v>#N/A</v>
      </c>
      <c r="IG113" s="91">
        <f ca="1">IF(OR(Control!$B$198=$AH113,Control!$B$199=$AH113, Control!$B$200=$AH113, Control!$B$201=$AH113, Control!$B$202=$AH113, Control!$B$203=$AH113, Control!$B$204=$AH113, Control!$B$205=$AH113, Control!$B$206=$AH113, Control!$B$207=$AH113), 1, 0)</f>
        <v>0</v>
      </c>
      <c r="IH113" s="91">
        <f ca="1">IF($IG113=0,0, VLOOKUP($AH113,Control!$B$198:$C$207,2))</f>
        <v>0</v>
      </c>
      <c r="II113" s="222">
        <f t="shared" ca="1" si="411"/>
        <v>0</v>
      </c>
      <c r="IJ113" s="91">
        <f>Control!$C$121</f>
        <v>0.7</v>
      </c>
      <c r="IK113" s="218">
        <f t="shared" ca="1" si="296"/>
        <v>0</v>
      </c>
      <c r="IL113" s="217" t="e">
        <f t="shared" ca="1" si="448"/>
        <v>#N/A</v>
      </c>
      <c r="IM113" s="223" t="e">
        <f ca="1">IF(AND(Control!$C$114=1,$KH113&lt;1),$EB113*Control!$C$148*(1-$KH113), 0)</f>
        <v>#N/A</v>
      </c>
      <c r="IN113" s="217" t="e">
        <f t="shared" ca="1" si="297"/>
        <v>#DIV/0!</v>
      </c>
      <c r="IO113" s="91" t="e">
        <f ca="1">MAX(0,$IL113-$EF113*Control!$C$160)</f>
        <v>#N/A</v>
      </c>
      <c r="IP113" s="220" t="e">
        <f t="shared" ca="1" si="298"/>
        <v>#N/A</v>
      </c>
      <c r="IQ113" s="217" t="e">
        <f t="shared" ca="1" si="412"/>
        <v>#N/A</v>
      </c>
      <c r="IR113" s="218" t="e">
        <f t="shared" ca="1" si="299"/>
        <v>#N/A</v>
      </c>
      <c r="IS113" s="217" t="e">
        <f ca="1">Control!$C$159*MAX(0,$FD113-$EN113)</f>
        <v>#N/A</v>
      </c>
      <c r="IT113" s="217" t="e">
        <f t="shared" ca="1" si="449"/>
        <v>#N/A</v>
      </c>
      <c r="IU113" s="217" t="e">
        <f t="shared" ca="1" si="413"/>
        <v>#N/A</v>
      </c>
      <c r="IV113" s="217" t="e">
        <f t="shared" ca="1" si="450"/>
        <v>#N/A</v>
      </c>
      <c r="IW113" s="217" t="e">
        <f ca="1">IF(OR($AW113=1,AND($AW113=0, Control!$B$18=1,$EN113&lt;&gt;0)), $IQ113-$IU113, $IQ113)</f>
        <v>#N/A</v>
      </c>
      <c r="IX113" s="218" t="e">
        <f t="shared" ca="1" si="300"/>
        <v>#N/A</v>
      </c>
      <c r="IY113" s="218" t="e">
        <f ca="1">MAX(0,$IQ113-$EB113*Control!$C$159)</f>
        <v>#N/A</v>
      </c>
      <c r="IZ113" s="218" t="e">
        <f t="shared" ca="1" si="301"/>
        <v>#N/A</v>
      </c>
      <c r="JA113" s="216" t="e">
        <f t="shared" ca="1" si="302"/>
        <v>#N/A</v>
      </c>
      <c r="JB113" s="217" t="e">
        <f t="shared" ca="1" si="303"/>
        <v>#N/A</v>
      </c>
      <c r="JC113" s="222" t="e">
        <f ca="1">MAX(Control!$C$157*$EK113-$JT113, 0)/Control!$C$162</f>
        <v>#N/A</v>
      </c>
      <c r="JD113" s="218" t="e">
        <f t="shared" ca="1" si="304"/>
        <v>#N/A</v>
      </c>
      <c r="JE113" s="218" t="e">
        <f t="shared" ca="1" si="305"/>
        <v>#N/A</v>
      </c>
      <c r="JF113" s="218" t="e">
        <f t="shared" ca="1" si="414"/>
        <v>#N/A</v>
      </c>
      <c r="JG113" s="218" t="e">
        <f t="shared" ca="1" si="306"/>
        <v>#N/A</v>
      </c>
      <c r="JH113" s="217" t="e">
        <f t="shared" ca="1" si="415"/>
        <v>#N/A</v>
      </c>
      <c r="JI113" s="217" t="e">
        <f t="shared" ca="1" si="416"/>
        <v>#N/A</v>
      </c>
      <c r="JJ113" s="217" t="e">
        <f t="shared" ca="1" si="451"/>
        <v>#N/A</v>
      </c>
      <c r="JK113" s="217" t="e">
        <f ca="1">IF(Control!$C$114=1,IF(Control!$B$24=0,MAX(0,$JI113)*$GN113/Control!$C$64,(MAX(0,MIN($JI113,$JJ113*$GN113/Control!$C$64),0))))</f>
        <v>#N/A</v>
      </c>
      <c r="JL113" s="217" t="e">
        <f ca="1">$IK113/Control!$C$64-$JK113+$HQ113</f>
        <v>#N/A</v>
      </c>
      <c r="JM113" s="217" t="e">
        <f ca="1">IF(Control!$C$114=1,($JB113/(IF($JI113&lt;&gt;0,$JI113,1)))*$JK113,0)</f>
        <v>#N/A</v>
      </c>
      <c r="JN113" s="217" t="e">
        <f ca="1">IF(Control!$C$114=1,($JG113/(IF($JI113&lt;&gt;0,$JI113,1)))*$JK113, 0)</f>
        <v>#N/A</v>
      </c>
      <c r="JO113" s="218" t="e">
        <f t="shared" ca="1" si="307"/>
        <v>#N/A</v>
      </c>
      <c r="JP113" s="218" t="e">
        <f ca="1">MIN(($IY113+$IO113)*Control!$C$151, $JF113-$EH113*Control!$C$161)</f>
        <v>#N/A</v>
      </c>
      <c r="JQ113" s="218" t="e">
        <f t="shared" ca="1" si="308"/>
        <v>#N/A</v>
      </c>
      <c r="JR113" s="217" t="e">
        <f ca="1">IF($CP113-Control!$C$150&lt;0, 0, $JQ113/Control!$C$162)</f>
        <v>#N/A</v>
      </c>
      <c r="JS113" s="218" t="e">
        <f t="shared" ca="1" si="309"/>
        <v>#N/A</v>
      </c>
      <c r="JT113" s="218" t="e">
        <f t="shared" ca="1" si="417"/>
        <v>#N/A</v>
      </c>
      <c r="JU113" s="218" t="e">
        <f t="shared" ca="1" si="310"/>
        <v>#N/A</v>
      </c>
      <c r="JV113" s="218" t="e">
        <f t="shared" ca="1" si="311"/>
        <v>#N/A</v>
      </c>
      <c r="JW113" s="216" t="e">
        <f t="shared" ca="1" si="312"/>
        <v>#N/A</v>
      </c>
      <c r="JX113" s="91" t="e">
        <f t="shared" ca="1" si="313"/>
        <v>#N/A</v>
      </c>
      <c r="JY113" s="218" t="e">
        <f t="shared" ca="1" si="314"/>
        <v>#N/A</v>
      </c>
      <c r="JZ113" s="217" t="e">
        <f ca="1">IF(Control!$C$114=1,($IZ113/(IF($JI113&lt;&gt;0,$JI113,1)))*$JK113, 0)</f>
        <v>#N/A</v>
      </c>
      <c r="KA113" s="218" t="e">
        <f t="shared" ca="1" si="452"/>
        <v>#N/A</v>
      </c>
      <c r="KB113" s="218" t="e">
        <f t="shared" ca="1" si="418"/>
        <v>#N/A</v>
      </c>
      <c r="KC113" s="218" t="e">
        <f t="shared" ca="1" si="315"/>
        <v>#N/A</v>
      </c>
      <c r="KD113" s="218" t="e">
        <f t="shared" ca="1" si="316"/>
        <v>#N/A</v>
      </c>
      <c r="KE113" s="218" t="e">
        <f t="shared" ca="1" si="317"/>
        <v>#N/A</v>
      </c>
      <c r="KF113" s="218" t="e">
        <f t="shared" ca="1" si="318"/>
        <v>#N/A</v>
      </c>
      <c r="KG113" s="216" t="e">
        <f t="shared" ca="1" si="319"/>
        <v>#N/A</v>
      </c>
      <c r="KH113" s="221" t="e">
        <f ca="1">IF(Control!$B$24=0,1,MAX(0.001,MIN(1,IF(($IF113-$IE113)&lt;&gt;0,($KG113-$IE113)/($IF113-$IE113),1))))</f>
        <v>#N/A</v>
      </c>
      <c r="KI113" s="222" t="e">
        <f ca="1">IF(Control!$C$114=1, $KI112+ $KH112, 0)</f>
        <v>#N/A</v>
      </c>
      <c r="KJ113" s="217" t="e">
        <f t="shared" ca="1" si="320"/>
        <v>#N/A</v>
      </c>
      <c r="KK113" s="218" t="e">
        <f t="shared" ca="1" si="321"/>
        <v>#N/A</v>
      </c>
      <c r="KL113" s="274" t="e">
        <f ca="1">IF(Control!$B$26=3,4000000000*EXP(-8400/($G113+273)),IF(Control!$B$26=4,4000000000*EXP(-8400/($G113+273))*($KT113),0))</f>
        <v>#DIV/0!</v>
      </c>
      <c r="KM113" s="274" t="e">
        <f ca="1">IF(Control!$B$26=3,5600000000000*EXP(-9800/($G113+273)),IF(Control!$B$26=4,5600000000000*EXP(-9800/($G113+273))*$KT113,0))</f>
        <v>#DIV/0!</v>
      </c>
      <c r="KN113" s="454" t="e">
        <f t="shared" ca="1" si="419"/>
        <v>#DIV/0!</v>
      </c>
      <c r="KO113" s="274" t="e">
        <f t="shared" ca="1" si="420"/>
        <v>#DIV/0!</v>
      </c>
      <c r="KP113" s="454" t="e">
        <f t="shared" ca="1" si="322"/>
        <v>#DIV/0!</v>
      </c>
      <c r="KQ113" s="454" t="e">
        <f t="shared" ca="1" si="323"/>
        <v>#DIV/0!</v>
      </c>
      <c r="KR113" s="454" t="e">
        <f t="shared" ca="1" si="324"/>
        <v>#DIV/0!</v>
      </c>
      <c r="KS113" s="454" t="e">
        <f t="shared" ca="1" si="325"/>
        <v>#DIV/0!</v>
      </c>
      <c r="KT113" s="455" t="e">
        <f t="shared" ca="1" si="326"/>
        <v>#DIV/0!</v>
      </c>
      <c r="KU113" s="456" t="e">
        <f ca="1">IF($CP113-Control!$C$149&lt;0, IF($NT113-0.01&lt;0,0,1),0)</f>
        <v>#N/A</v>
      </c>
      <c r="KV113" s="456" t="e">
        <f ca="1">IF(Control!$C$114=1,MAX(0,MIN(Control!$C$125*$KW113*$GN113,$KW113)))</f>
        <v>#DIV/0!</v>
      </c>
      <c r="KW113" s="456" t="e">
        <f t="shared" ca="1" si="453"/>
        <v>#DIV/0!</v>
      </c>
      <c r="KX113" s="457" t="e">
        <f ca="1">IF($CP113-Control!$C$149&lt;0, IF($MR113-$OM113&lt;0,0,1),0)</f>
        <v>#N/A</v>
      </c>
      <c r="KY113" s="167">
        <f t="shared" ca="1" si="421"/>
        <v>109</v>
      </c>
      <c r="KZ113" s="168">
        <f ca="1">1370*(1+0.033*COS(2*Control!$C$138*$AH113/365))</f>
        <v>1356.3997473163915</v>
      </c>
      <c r="LA113" s="169">
        <f t="shared" ca="1" si="422"/>
        <v>0.99007294634802301</v>
      </c>
      <c r="LB113" s="169">
        <f t="shared" ca="1" si="423"/>
        <v>0.19116697204147237</v>
      </c>
      <c r="LC113" s="169">
        <f ca="1">ACOS(-TAN((2*Control!$B$8/360))*TAN(Calculations!$LB113))</f>
        <v>1.6283458831083624</v>
      </c>
      <c r="LD113" s="169">
        <f ca="1">((24*60)/PI())*0.082*$LA113*(($LC113*SIN(Control!$B$8*2*PI()/360))*SIN($LB113)+COS(Control!$B$8*2*PI()/360)*COS($LB113)*SIN($LC113))</f>
        <v>31.52866854661124</v>
      </c>
      <c r="LE113" s="170">
        <f t="shared" ca="1" si="327"/>
        <v>31.658820469364823</v>
      </c>
      <c r="LF113" s="170">
        <f ca="1">SIN(Control!$C$139*Control!$B$8)*SIN($HD113)</f>
        <v>0.14416846989191504</v>
      </c>
      <c r="LG113" s="170">
        <f ca="1">COS(Control!$C$139*Control!$B$8)*COS($HD113)</f>
        <v>0.60526858975720443</v>
      </c>
      <c r="LH113" s="170">
        <f ca="1">12*(1+2*ASIN(MAX(-1,MIN(1,$LF113/$LG113))/Control!$C$138))</f>
        <v>13.821375390360128</v>
      </c>
      <c r="LI113" s="170">
        <f ca="1">12*(1+2*ASIN(MAX(-1,MIN(1,(-SIN(-4*Control!$C$139)+$LF113)/$LG113))/Control!$C$138))</f>
        <v>14.705791872445277</v>
      </c>
      <c r="LJ113" s="168">
        <f ca="1">3600*($LH113*$LF113+24*$LG113*SQRT(1-$LK113*$LK113)/Control!$C$138)</f>
        <v>23340.332031173799</v>
      </c>
      <c r="LK113" s="170">
        <f t="shared" ca="1" si="328"/>
        <v>0.23818924743764802</v>
      </c>
      <c r="LL113" s="170">
        <f t="shared" ca="1" si="329"/>
        <v>0</v>
      </c>
      <c r="LM113" s="171">
        <f ca="1">Control!$C$145*$AB113</f>
        <v>6.6660906138995932E-2</v>
      </c>
      <c r="LN113" s="170">
        <f t="shared" ca="1" si="424"/>
        <v>0.54</v>
      </c>
      <c r="LO113" s="170">
        <f t="shared" ca="1" si="330"/>
        <v>0</v>
      </c>
      <c r="LP113" s="170">
        <f ca="1">Control!$C$140*((($D113+273.16)^4+($E113+273.16)^4)/2)*(0.34-0.14*SQRT($Y113))*(1.35*$AQ113/(0.75*$LD113)-0.35)</f>
        <v>-3.2464704755046001</v>
      </c>
      <c r="LQ113" s="170">
        <f ca="1">Control!$C$140*($G113+273)^4*(0.56-0.079*SQRT($Y113*10))*(0.1+0.9*$LO113)</f>
        <v>1.5241745131704001</v>
      </c>
      <c r="LR113" s="170">
        <f ca="1">$AQ113*(1-Control!$C$142)-$LQ113</f>
        <v>-1.5241745131704001</v>
      </c>
      <c r="LS113" s="170">
        <f ca="1">$AQ113*(1-Control!$C$143)-$LQ113</f>
        <v>-1.5241745131704001</v>
      </c>
      <c r="LT113" s="170">
        <f ca="1">$AQ113*(1-Control!$C$144)-$LQ113</f>
        <v>-1.5241745131704001</v>
      </c>
      <c r="LU113" s="169">
        <f ca="1">(1-Control!$C$144)*AQ113-LP113</f>
        <v>3.2464704755046001</v>
      </c>
      <c r="LV113" s="172">
        <f t="shared" ca="1" si="331"/>
        <v>0.79430000000000012</v>
      </c>
      <c r="LW113" s="170">
        <f t="shared" ca="1" si="332"/>
        <v>1.5886000000000002</v>
      </c>
      <c r="LX113" s="170">
        <f ca="1">($AC113*($LR113/Control!$C$141)+$LM113*$LV113)/($AC113+$LM113)</f>
        <v>0.23530094218323697</v>
      </c>
      <c r="LY113" s="170">
        <f ca="1">($AC113*($LS113/Control!$C$141)+$LM113*$LV113)/($AC113+$LM113)</f>
        <v>0.23530094218323697</v>
      </c>
      <c r="LZ113" s="170">
        <f t="shared" ca="1" si="333"/>
        <v>0.23530094218323697</v>
      </c>
      <c r="MA113" s="170">
        <f t="shared" ca="1" si="334"/>
        <v>0.23530094218323697</v>
      </c>
      <c r="MB113" s="170" t="e">
        <f t="shared" ca="1" si="335"/>
        <v>#N/A</v>
      </c>
      <c r="MC113" s="170">
        <f t="shared" ca="1" si="425"/>
        <v>0.6018</v>
      </c>
      <c r="MD113" s="170">
        <f t="shared" ca="1" si="336"/>
        <v>0.52989392535414004</v>
      </c>
      <c r="ME113" s="170">
        <f ca="1">($AC113*($LT113/Control!$C$141)+$LM113*$LW113)/($AC113+$LM113)</f>
        <v>0.71612369323045078</v>
      </c>
      <c r="MF113" s="170" t="e">
        <f ca="1">IF(Control!$B$16&gt;=1000,0.92,IF(AND(720&lt;=Control!$B$16,1000&gt;Control!$B$16),(0.95+(Control!$B$16-720)*((0.92-0.95)/(1000-720))),IF(AND(360&lt;=Control!$B$16,720&gt;Control!$B$16),(1+(Control!$B$16-360)*((0.95-1)/(720-360))),IF(AND(40&lt;=Control!$B$16,360&gt;Control!$B$16),(1.05+(Control!$B$16-40)*((1.05-1)/(360-40)))))))</f>
        <v>#N/A</v>
      </c>
      <c r="MG113" s="170">
        <f t="shared" ca="1" si="337"/>
        <v>0.71612369323045078</v>
      </c>
      <c r="MH113" s="170" t="e">
        <f t="shared" ca="1" si="463"/>
        <v>#N/A</v>
      </c>
      <c r="MI113" s="170" t="e">
        <f t="shared" ca="1" si="463"/>
        <v>#N/A</v>
      </c>
      <c r="MJ113" s="170" t="e">
        <f ca="1">MAX(0.0001, Control!$C$132*$MI113*$DL113)</f>
        <v>#N/A</v>
      </c>
      <c r="MK113" s="170">
        <f ca="1">1/(0.76+1.5*($MG113/10))-(5-Control!$C$110)*0.1</f>
        <v>1.002845988140797</v>
      </c>
      <c r="ML113" s="173">
        <f ca="1">IF(Control!$C$110&lt;3,$MK113+($MG113-0.6)/(Control!$C$110*(Control!$C$110+3)), MAX(0.1, MIN(0.95,$MK113)))</f>
        <v>0.95</v>
      </c>
      <c r="MM113" s="173">
        <f ca="1">IF(Control!$C$110&lt;3,$MK113+(($MI113/10)-0.6)/(Control!$C$110*(Control!$C$110+3)), MAX(0.1, MIN(0.95,$MK113)))</f>
        <v>0.95</v>
      </c>
      <c r="MN113" s="173">
        <f ca="1">(1-$MM113)*(Control!$C$128-Control!$C$127)+Control!$C$127</f>
        <v>0.16</v>
      </c>
      <c r="MO113" s="170" t="e">
        <f ca="1">MAX(0,MIN(1,($MS113-Control!$C$127)/($MN113-Control!$C$127)))</f>
        <v>#DIV/0!</v>
      </c>
      <c r="MP113" s="173" t="e">
        <f ca="1">1/(0.76+1.5*$MI113)-(5-Control!$C$110)*0.1</f>
        <v>#N/A</v>
      </c>
      <c r="MQ113" s="172" t="e">
        <f t="shared" ca="1" si="454"/>
        <v>#DIV/0!</v>
      </c>
      <c r="MR113" s="168" t="e">
        <f t="shared" ca="1" si="426"/>
        <v>#DIV/0!</v>
      </c>
      <c r="MS113" s="173" t="e">
        <f ca="1">MAX(Control!$C$127, MIN(Control!$C$135, $MR113/MAX(0.0001,$CY113)))</f>
        <v>#DIV/0!</v>
      </c>
      <c r="MT113" s="168" t="e">
        <f ca="1">(Control!$C$128-$MS113)*Control!$C$74</f>
        <v>#DIV/0!</v>
      </c>
      <c r="MU113" s="168" t="e">
        <f ca="1">(Control!$C$135-$MS113)*Control!$C$74</f>
        <v>#DIV/0!</v>
      </c>
      <c r="MV113" s="168" t="e">
        <f t="shared" ca="1" si="427"/>
        <v>#DIV/0!</v>
      </c>
      <c r="MW113" s="168" t="e">
        <f t="shared" ca="1" si="428"/>
        <v>#DIV/0!</v>
      </c>
      <c r="MX113" s="171" t="e">
        <f ca="1">MAX(Control!$C$127, MIN(Control!$C$135, $MW113/MAX(0.0001,Control!$C$119-$CY113)))</f>
        <v>#DIV/0!</v>
      </c>
      <c r="MY113" s="54" t="e">
        <f ca="1">IF(Control!$C$114=1, $CX113*$MX113, 0)</f>
        <v>#DIV/0!</v>
      </c>
      <c r="MZ113" s="54" t="e">
        <f t="shared" ca="1" si="429"/>
        <v>#N/A</v>
      </c>
      <c r="NA113" s="168" t="e">
        <f ca="1">(Control!$C$128-$MX113)*(Control!$C$119-Control!$C$74)</f>
        <v>#DIV/0!</v>
      </c>
      <c r="NB113" s="168" t="e">
        <f ca="1">(Control!$C$135-$MX113)*(Control!$C$119-Control!$C$74)</f>
        <v>#DIV/0!</v>
      </c>
      <c r="NC113" s="174" t="e">
        <f t="shared" ca="1" si="430"/>
        <v>#DIV/0!</v>
      </c>
      <c r="ND113" s="54">
        <f ca="1">IF(Control!$C$58=2, IF(OR(Control!$B$218=$AH113,Control!$B$219=$AH113, Control!$B$220=$AH113, Control!$B$221=$AH113, Control!$B$222=$AH113, Control!$B$223=$AH113, Control!$B$224=$AH113, Control!$B$225=$AH113, Control!$B$226=$AH113, Control!$B$227=$AH113, Control!$B$228=$AH113), 1, 0), 0)</f>
        <v>0</v>
      </c>
      <c r="NE113" s="54">
        <f ca="1">IF($ND113=0,0, VLOOKUP($AH113,Control!$B$218:$C$228,2))</f>
        <v>0</v>
      </c>
      <c r="NF113" s="168" t="e">
        <f ca="1">$CY113*(Control!$C$128-Control!$C$127)</f>
        <v>#N/A</v>
      </c>
      <c r="NG113" s="54" t="e">
        <f ca="1">IF(Control!$C$58=2, $NI112-$NJ112, 0)</f>
        <v>#DIV/0!</v>
      </c>
      <c r="NH113" s="54" t="e">
        <f ca="1">IF(AND(Control!$C$58=1, $MS112&lt;= ($MN112+0.02), $I112&lt;10), 0, IF(Control!$C$58=2, $NG112, 0))</f>
        <v>#DIV/0!</v>
      </c>
      <c r="NI113" s="54" t="e">
        <f ca="1">IF(Control!$C$58=2, $NE113+$NH113,0)</f>
        <v>#DIV/0!</v>
      </c>
      <c r="NJ113" s="54" t="e">
        <f ca="1">IF(AND(Control!$C$58=1, $MS113&lt;= ($MN113+0.02), $I113&lt;10), MAX(0, MIN(10, 0.7*($NF113-$MV113))), IF(Control!$C$58=2, MIN(10,$NI113),0))</f>
        <v>#DIV/0!</v>
      </c>
      <c r="NK113" s="54" t="e">
        <f t="shared" ca="1" si="338"/>
        <v>#DIV/0!</v>
      </c>
      <c r="NL113" s="173" t="e">
        <f ca="1">(1-Control!$C$73)*$I113+$NJ113</f>
        <v>#DIV/0!</v>
      </c>
      <c r="NM113" s="172" t="e">
        <f ca="1">IF($NL113&lt;0.5, $MB113* MAX(0, MIN(1, (SQRT($NC113)-SQRT($NC113-1))*Control!$C$71)),0)</f>
        <v>#DIV/0!</v>
      </c>
      <c r="NN113" s="170" t="e">
        <f ca="1">IF($NL113&gt;=5, $MB113, MAX(0,MIN($MB113, $NM113+$NL113,($MS113-Control!$C$129))))</f>
        <v>#DIV/0!</v>
      </c>
      <c r="NO113" s="54">
        <f>IF(Control!$C$133&lt;&gt;1, Control!$C$135-Control!$C$131, 0)</f>
        <v>0.38</v>
      </c>
      <c r="NP113" s="54" t="e">
        <f t="shared" ca="1" si="339"/>
        <v>#DIV/0!</v>
      </c>
      <c r="NQ113" s="173" t="e">
        <f ca="1">MAX(0,MIN(1,(Control!$C$135-$MS113)/(Control!$C$135-$NO113)))</f>
        <v>#DIV/0!</v>
      </c>
      <c r="NR113" s="170" t="e">
        <f ca="1">IF(Control!$C$133&lt;&gt;1, $NQ113+((1-$NP113/4)*(1-$NQ113)),1)</f>
        <v>#DIV/0!</v>
      </c>
      <c r="NS113" s="170" t="e">
        <f ca="1">IF(Control!$B$31=0,$MJ113,MAX(0,MIN($MV113,$MO113*$NR113*$MJ113)))</f>
        <v>#DIV/0!</v>
      </c>
      <c r="NT113" s="170" t="e">
        <f t="shared" ca="1" si="455"/>
        <v>#DIV/0!</v>
      </c>
      <c r="NU113" s="170" t="e">
        <f t="shared" ca="1" si="431"/>
        <v>#N/A</v>
      </c>
      <c r="NV113" s="170" t="e">
        <f t="shared" ca="1" si="340"/>
        <v>#N/A</v>
      </c>
      <c r="NW113" s="175" t="e">
        <f t="shared" ca="1" si="341"/>
        <v>#DIV/0!</v>
      </c>
      <c r="NX113" s="170" t="e">
        <f ca="1">MIN(Control!$C$72+$MU113, $NW113)</f>
        <v>#DIV/0!</v>
      </c>
      <c r="NY113" s="170" t="e">
        <f ca="1">IF($MT113&lt;=$NX113,MIN(Control!$C$72+$NB113,$NX113-$MT113),0)</f>
        <v>#DIV/0!</v>
      </c>
      <c r="NZ113" s="54" t="e">
        <f ca="1">IF(Control!$C$114=1,  $CX113*($MX113-Control!$C$127), 0)</f>
        <v>#DIV/0!</v>
      </c>
      <c r="OA113" s="170" t="e">
        <f t="shared" ca="1" si="342"/>
        <v>#DIV/0!</v>
      </c>
      <c r="OB113" s="170" t="e">
        <f ca="1">IF($NA113 &lt;=$NY113, MIN(Control!$C$72, $NY113-$NA113), 0)</f>
        <v>#DIV/0!</v>
      </c>
      <c r="OC113" s="168" t="e">
        <f t="shared" ca="1" si="343"/>
        <v>#DIV/0!</v>
      </c>
      <c r="OD113" s="168" t="e">
        <f t="shared" ca="1" si="432"/>
        <v>#DIV/0!</v>
      </c>
      <c r="OE113" s="170">
        <f ca="1">Control!$C$73*$I113</f>
        <v>0</v>
      </c>
      <c r="OF113" s="176" t="e">
        <f t="shared" ca="1" si="344"/>
        <v>#DIV/0!</v>
      </c>
      <c r="OG113" s="168" t="e">
        <f t="shared" ca="1" si="345"/>
        <v>#DIV/0!</v>
      </c>
      <c r="OH113" s="168" t="e">
        <f t="shared" ca="1" si="346"/>
        <v>#DIV/0!</v>
      </c>
      <c r="OI113" s="168" t="e">
        <f t="shared" ca="1" si="347"/>
        <v>#DIV/0!</v>
      </c>
      <c r="OJ113" s="168" t="e">
        <f t="shared" ca="1" si="348"/>
        <v>#DIV/0!</v>
      </c>
      <c r="OK113" s="204" t="e">
        <f t="shared" ca="1" si="349"/>
        <v>#DIV/0!</v>
      </c>
      <c r="OL113" s="177">
        <f>Control!$C$127</f>
        <v>0.15</v>
      </c>
      <c r="OM113" s="182" t="e">
        <f t="shared" ca="1" si="350"/>
        <v>#N/A</v>
      </c>
      <c r="ON113" s="177">
        <f>Control!$C$128</f>
        <v>0.35</v>
      </c>
      <c r="OO113" s="182" t="e">
        <f t="shared" ca="1" si="351"/>
        <v>#N/A</v>
      </c>
      <c r="OP113" s="138">
        <f t="shared" ca="1" si="433"/>
        <v>0</v>
      </c>
      <c r="OQ113" s="138" t="e">
        <f t="shared" ca="1" si="456"/>
        <v>#DIV/0!</v>
      </c>
      <c r="OR113" s="138" t="e">
        <f t="shared" ca="1" si="434"/>
        <v>#DIV/0!</v>
      </c>
      <c r="OS113" s="137" t="e">
        <f t="shared" ca="1" si="457"/>
        <v>#DIV/0!</v>
      </c>
      <c r="OT113" s="139" t="e">
        <f t="shared" ca="1" si="458"/>
        <v>#DIV/0!</v>
      </c>
      <c r="OU113" s="138" t="e">
        <f t="shared" ca="1" si="459"/>
        <v>#N/A</v>
      </c>
      <c r="OV113" s="138" t="e">
        <f t="shared" ca="1" si="460"/>
        <v>#DIV/0!</v>
      </c>
      <c r="OW113" s="138" t="e">
        <f t="shared" ca="1" si="435"/>
        <v>#DIV/0!</v>
      </c>
      <c r="OX113" s="138" t="e">
        <f t="shared" ca="1" si="436"/>
        <v>#DIV/0!</v>
      </c>
      <c r="OY113" s="138" t="e">
        <f t="shared" ca="1" si="437"/>
        <v>#DIV/0!</v>
      </c>
      <c r="OZ113" s="138" t="e">
        <f t="shared" ca="1" si="352"/>
        <v>#DIV/0!</v>
      </c>
      <c r="PA113" s="138" t="e">
        <f t="shared" ca="1" si="353"/>
        <v>#DIV/0!</v>
      </c>
      <c r="PB113" s="55">
        <f>IF(Control!$C$61="T", IF(Control!$C$65="F", IF($AH$6-Control!$C$60&lt;0,0,1), IF(365+$AH$6-Control!$C$60&lt;0,0,1)),0)</f>
        <v>0</v>
      </c>
      <c r="PC113" s="55">
        <f ca="1">IF(Control!$C$65="F", IF($AH$6-$HF113&lt;0,0,1), IF(365+$AH$6-$HF113&lt;0,0,1))</f>
        <v>1</v>
      </c>
      <c r="PD113" s="444">
        <f>Control!$C$118</f>
        <v>1500</v>
      </c>
      <c r="PE113" s="180" t="e">
        <f t="shared" ca="1" si="354"/>
        <v>#N/A</v>
      </c>
      <c r="PF113" s="445">
        <f t="shared" ca="1" si="438"/>
        <v>0.71612369323045078</v>
      </c>
      <c r="PT113" s="186"/>
      <c r="PU113" s="186"/>
      <c r="PV113" s="94"/>
      <c r="PW113" s="94"/>
      <c r="PX113" s="94"/>
      <c r="PY113" s="94"/>
      <c r="PZ113" s="94"/>
      <c r="QA113" s="94"/>
      <c r="QB113" s="94"/>
      <c r="QC113" s="94"/>
      <c r="QD113" s="94"/>
      <c r="QE113" s="94"/>
      <c r="QF113" s="94"/>
      <c r="QG113" s="94"/>
      <c r="QH113" s="94"/>
      <c r="QI113" s="94"/>
      <c r="QJ113" s="94"/>
      <c r="QK113" s="94"/>
      <c r="QL113" s="94"/>
      <c r="QM113" s="94"/>
      <c r="QN113" s="94"/>
      <c r="QO113" s="94"/>
      <c r="QP113" s="94"/>
    </row>
    <row r="114" spans="1:458" s="2" customFormat="1" x14ac:dyDescent="0.2">
      <c r="A114" s="395">
        <v>19</v>
      </c>
      <c r="B114" s="396">
        <v>4</v>
      </c>
      <c r="C114" s="387">
        <f ca="1">Weather_data!$B113</f>
        <v>0</v>
      </c>
      <c r="D114" s="388">
        <f ca="1">Weather_data!$F113</f>
        <v>0</v>
      </c>
      <c r="E114" s="388">
        <f ca="1">Weather_data!$E113</f>
        <v>0</v>
      </c>
      <c r="F114" s="388">
        <f t="shared" ca="1" si="355"/>
        <v>0</v>
      </c>
      <c r="G114" s="388">
        <f ca="1">AVERAGE($D114:$E114)+Control!$B$9</f>
        <v>0</v>
      </c>
      <c r="H114" s="388">
        <f ca="1">Weather_data!$G113</f>
        <v>0</v>
      </c>
      <c r="I114" s="388">
        <f ca="1">Weather_data!$I113</f>
        <v>0</v>
      </c>
      <c r="J114" s="388">
        <f ca="1">Weather_data!$H113</f>
        <v>0</v>
      </c>
      <c r="K114" s="389">
        <f ca="1">Weather_data!$D113</f>
        <v>0</v>
      </c>
      <c r="L114" s="388" t="e">
        <f t="shared" ca="1" si="356"/>
        <v>#N/A</v>
      </c>
      <c r="M114" s="388" t="e">
        <f t="shared" ca="1" si="234"/>
        <v>#N/A</v>
      </c>
      <c r="N114" s="388">
        <f t="shared" ca="1" si="235"/>
        <v>-5.7169056364184419E-6</v>
      </c>
      <c r="O114" s="388">
        <f t="shared" ca="1" si="357"/>
        <v>5.7169056364184419E-5</v>
      </c>
      <c r="P114" s="390">
        <v>3</v>
      </c>
      <c r="Q114" s="388">
        <f ca="1">MAX($G114-Control!$C$107,0)</f>
        <v>0</v>
      </c>
      <c r="R114" s="388">
        <f t="shared" ca="1" si="358"/>
        <v>0</v>
      </c>
      <c r="S114" s="388">
        <f t="shared" ca="1" si="236"/>
        <v>0</v>
      </c>
      <c r="T114" s="388">
        <f t="shared" ca="1" si="237"/>
        <v>0</v>
      </c>
      <c r="U114" s="59">
        <f t="shared" ca="1" si="238"/>
        <v>0</v>
      </c>
      <c r="V114" s="391">
        <f ca="1">MAX(0,MIN(Control!$C$100-Control!$C$99,$G114-Control!$C$99)*Control!$C$63)</f>
        <v>0</v>
      </c>
      <c r="W114" s="388">
        <f t="shared" ca="1" si="359"/>
        <v>0</v>
      </c>
      <c r="X114" s="388">
        <f t="shared" ca="1" si="360"/>
        <v>0.6110000000000001</v>
      </c>
      <c r="Y114" s="388">
        <f t="shared" ca="1" si="239"/>
        <v>0</v>
      </c>
      <c r="Z114" s="388">
        <f t="shared" ca="1" si="361"/>
        <v>0.61058800000000002</v>
      </c>
      <c r="AA114" s="388">
        <f t="shared" ca="1" si="240"/>
        <v>0.6018</v>
      </c>
      <c r="AB114" s="388">
        <f ca="1">101.3*EXP(-0.034*Control!$C$66/($G114+273))</f>
        <v>100.69623283836242</v>
      </c>
      <c r="AC114" s="392">
        <f t="shared" ca="1" si="241"/>
        <v>4.3460251046025113E-2</v>
      </c>
      <c r="AD114" s="392">
        <f t="shared" ca="1" si="242"/>
        <v>4.4450382862832649E-2</v>
      </c>
      <c r="AE114" s="388">
        <f t="shared" ca="1" si="243"/>
        <v>0</v>
      </c>
      <c r="AF114" s="388">
        <f ca="1">MAX(0,$G114-Control!$C$92)</f>
        <v>0</v>
      </c>
      <c r="AG114" s="393">
        <f t="shared" ca="1" si="244"/>
        <v>110</v>
      </c>
      <c r="AH114" s="389">
        <f t="shared" ca="1" si="245"/>
        <v>110</v>
      </c>
      <c r="AI114" s="388">
        <f t="shared" ca="1" si="362"/>
        <v>0.19015208176951176</v>
      </c>
      <c r="AJ114" s="388">
        <f ca="1">IF(Control!$C$60&lt;=0,$HH114,$HI114)</f>
        <v>1</v>
      </c>
      <c r="AK114" s="388">
        <f t="shared" ca="1" si="246"/>
        <v>0.5164261896311988</v>
      </c>
      <c r="AL114" s="388">
        <f t="shared" ca="1" si="247"/>
        <v>3.2459139542861945E-18</v>
      </c>
      <c r="AM114" s="388">
        <f t="shared" ca="1" si="248"/>
        <v>0.5164261896311988</v>
      </c>
      <c r="AN114" s="388">
        <f t="shared" ca="1" si="249"/>
        <v>0.19770944364253293</v>
      </c>
      <c r="AO114" s="388">
        <f ca="1">-0.10453/COS(Control!$B$8*PI()/180)*COS(AN114)</f>
        <v>-0.16647729712606935</v>
      </c>
      <c r="AP114" s="388">
        <f ca="1">ACOS(AO114-TAN(Control!$B$8*PI()/180)*TAN(AN114))</f>
        <v>2.0074212878594873</v>
      </c>
      <c r="AQ114" s="388">
        <f t="shared" ca="1" si="363"/>
        <v>0</v>
      </c>
      <c r="AR114" s="394">
        <f t="shared" ca="1" si="250"/>
        <v>0</v>
      </c>
      <c r="AS114" s="436">
        <f ca="1">IF(Control!$B$18=2,(IF(OR($AH114=Control!$B$175,$AH114=Control!$B$176,$AH114=Control!$B$177,$AH114=Control!$B$178,$AH114=Control!$B$179,$AH114=Control!$B$180,$AH114=Control!$B$181,$AH114=Control!$B$182,$AH114=Control!$B$183,$AH114=Control!$B$184,$AH114=Control!$B$185),1,0)),0)</f>
        <v>0</v>
      </c>
      <c r="AT114" s="436">
        <f>IF(Control!$B$20=8,IF(AND($AH114&gt;=Control!$B$172,$AH114&lt;=Control!$B$173),1,0),0)</f>
        <v>0</v>
      </c>
      <c r="AU114" s="436">
        <f>IF(Control!$B$20=8,IF($AV113=1,1*$AT114,IF($AT114=1,$AU113+1,$AU113)),0)</f>
        <v>0</v>
      </c>
      <c r="AV114" s="436">
        <f>IF(Control!$B$20=8,IF($AU114&gt;=Control!$B$174,1,0),0)</f>
        <v>0</v>
      </c>
      <c r="AW114" s="436">
        <f ca="1">IF(AND(Control!$B$18=2,Control!$B$171=1), $AV114, $AS114)</f>
        <v>0</v>
      </c>
      <c r="AX114" s="436" t="e">
        <f ca="1">IF(AND(Control!$B$18=1,$EU114&gt;=Control!$B$19),-$AY114,IF(AND(Control!$B$18=2,$AW114=1,$EU114&gt;$DS114),-$AY114, IF(Control!$C$108=0,0, IF(Control!$C$108&lt;&gt;0,1))))</f>
        <v>#N/A</v>
      </c>
      <c r="AY114" s="436" t="e">
        <f t="shared" ca="1" si="364"/>
        <v>#N/A</v>
      </c>
      <c r="AZ114" s="436" t="e">
        <f ca="1">IF(AND(Control!$B$18=1,$EB114&gt;Control!$B$19),$AZ113+1, IF(AND(Control!$B$18=2, $AW114=1, $EB114&gt;$DS114), $AZ113+1,$AZ113))</f>
        <v>#N/A</v>
      </c>
      <c r="BA114" s="587">
        <f>IF(Control!$C$81=0,1,IF($AH114&gt;=Control!$C$82,1,0))</f>
        <v>1</v>
      </c>
      <c r="BB114" s="140" t="e">
        <f ca="1">IF($BA114&gt;$BA113,Control!$C$83,IF($AW114&gt;0,$AW114*Control!$C$84,IF(AND(Control!$B$18=1,EN113&lt;&gt;0),Control!$C$84,0)))</f>
        <v>#N/A</v>
      </c>
      <c r="BC114" s="140" t="e">
        <f t="shared" ca="1" si="365"/>
        <v>#N/A</v>
      </c>
      <c r="BD114" s="140" t="e">
        <f ca="1">BC114*IF(OR($G114&lt;Control!$C$92,$G114&gt;Control!$C$95),0,IF(AND($G114&gt;=Control!$C$92,$G114&lt;=Control!$C$93),$G114-Control!$C$92,IF(AND($G114&gt;Control!$C$93,$G114&lt;=Control!$C$94),Control!$C$93-Control!$C$92,IF(AND($G114&gt;Control!$C$94,$G114&lt;=Control!$C$95),(Control!$C$93-Control!$C$92)*(Control!$C$94-$G114)/(Control!$C$95-Control!$C$94)))))</f>
        <v>#N/A</v>
      </c>
      <c r="BE114" s="140" t="e">
        <f t="shared" ca="1" si="366"/>
        <v>#N/A</v>
      </c>
      <c r="BF114" s="140" t="e">
        <f ca="1">IF($BE114&lt;=Control!$C$86,$BE114,Control!$C$86-$BE114)</f>
        <v>#N/A</v>
      </c>
      <c r="BG114" s="140" t="e">
        <f ca="1">IF(AND($AW114=1,Control!$C$84&lt;9),1,IF($BE114&gt;=Control!$C$86,0,$BC114))</f>
        <v>#N/A</v>
      </c>
      <c r="BH114" s="404" t="e">
        <f ca="1">IF($BG114=0,0,IF($BE114&lt;=Control!$C$86,$BC114*9*($BF114/Control!$C$86),0))</f>
        <v>#N/A</v>
      </c>
      <c r="BI114" s="140" t="e">
        <f ca="1">IF($BG114=1,0,IF($BE114&gt;=Control!$C$86,1,IF(AND($BB114&lt;21,$BB114&gt;=9),1,$BM113)))</f>
        <v>#N/A</v>
      </c>
      <c r="BJ114" s="140" t="e">
        <f ca="1">IF($BF114&lt;0,-$BF114,$BI114*IF(OR($G114&lt;Control!$C$92,$G114&gt;Control!$C$95),0,IF(AND($G114&gt;=Control!$C$92,$G114&lt;=Control!$C$93),$G114-Control!$C$92,IF(AND($G114&gt;Control!$C$93,$G114&lt;=Control!$C$94),Control!$C$93-Control!$C$92,IF(AND($G114&gt;Control!$C$94,$G114&lt;=Control!$C$95),(Control!$C$93-Control!$C$92)*(Control!$C$94-$G114)/(Control!$C$95-Control!$C$94))))))</f>
        <v>#N/A</v>
      </c>
      <c r="BK114" s="140" t="e">
        <f t="shared" ca="1" si="367"/>
        <v>#N/A</v>
      </c>
      <c r="BL114" s="140" t="e">
        <f ca="1">IF($BK114&lt;=Control!$C$87,$BK114,Control!$C$87-$BK114)</f>
        <v>#N/A</v>
      </c>
      <c r="BM114" s="140" t="e">
        <f ca="1">IF(AND($BB114&gt;=9,$BB114&lt;21),1,IF($BK114&gt;=Control!$C$87,0,$BI114))</f>
        <v>#N/A</v>
      </c>
      <c r="BN114" s="404" t="e">
        <f ca="1">IF($BM114=0,0,IF($BK114&lt;=Control!$C$87,$BI114*(9+(21-9)*($BL114/Control!$C$87)),0))</f>
        <v>#N/A</v>
      </c>
      <c r="BO114" s="140" t="e">
        <f ca="1">IF($BM114=1,0,IF($BK114&gt;=Control!$C$87,1,IF(AND($BB114&lt;30,$BB114&gt;=21),1,$BS113)))</f>
        <v>#N/A</v>
      </c>
      <c r="BP114" s="140" t="e">
        <f ca="1">IF($BL114&lt;0,-$BL114,$BO114*IF(OR($G114&lt;Control!$C$92,$G114&gt;Control!$C$95),0,IF(AND($G114&gt;=Control!$C$92,$G114&lt;=Control!$C$93),$G114-Control!$C$92,IF(AND($G114&gt;Control!$C$93,$G114&lt;=Control!$C$94),Control!$C$93-Control!$C$92,IF(AND($G114&gt;Control!$C$94,$G114&lt;=Control!$C$95),(Control!$C$93-Control!$C$92)*(Control!$C$94-$G114)/(Control!$C$95-Control!$C$94))))))</f>
        <v>#N/A</v>
      </c>
      <c r="BQ114" s="140" t="e">
        <f t="shared" ca="1" si="251"/>
        <v>#N/A</v>
      </c>
      <c r="BR114" s="140" t="e">
        <f ca="1">IF($BQ114&lt;=Control!$C$88,$BQ114,Control!$C$88-$BQ114)</f>
        <v>#N/A</v>
      </c>
      <c r="BS114" s="140" t="e">
        <f ca="1">IF(AND($BB114&gt;=21,$BB114&lt;30),1,IF($BQ114&gt;=Control!$C$88,0,$BO114))</f>
        <v>#N/A</v>
      </c>
      <c r="BT114" s="404" t="e">
        <f ca="1">IF($BS114=0,0,IF($BQ114&lt;=Control!$C$88,$BO114*(21+(30-21)*(BR114/Control!$C$88)),0))</f>
        <v>#N/A</v>
      </c>
      <c r="BU114" s="140" t="e">
        <f ca="1">IF(BG114+BM114+BS114=1,0,IF(OR(AND($BB114&lt;60,$BB114&gt;=30),$BQ114&gt;=Control!$C$88),1*$BA114,$BY113))</f>
        <v>#N/A</v>
      </c>
      <c r="BV114" s="140" t="e">
        <f ca="1">IF($BR114&lt;0,-$BR114,$BU114*IF(OR($G114&lt;Control!$C$92,$G114&gt;Control!$C$95),0,IF(AND($G114&gt;=Control!$C$92,$G114&lt;=Control!$C$93),$G114-Control!$C$92,IF(AND($G114&gt;Control!$C$93,$G114&lt;=Control!$C$94),Control!$C$93-Control!$C$92,IF(AND($G114&gt;Control!$C$94,$G114&lt;=Control!$C$95),(Control!$C$93-Control!$C$92)*(Control!$C$94-$G114)/(Control!$C$95-Control!$C$94))))))</f>
        <v>#N/A</v>
      </c>
      <c r="BW114" s="140" t="e">
        <f t="shared" ca="1" si="252"/>
        <v>#N/A</v>
      </c>
      <c r="BX114" s="140" t="e">
        <f ca="1">IF($BW114&lt;=Control!$C$89,$BW114,Control!$C$89-$BW114)</f>
        <v>#N/A</v>
      </c>
      <c r="BY114" s="140" t="e">
        <f ca="1">IF(AND($AJ114&gt;=30,$AJ114&lt;60),1,IF($BW114&gt;=Control!$C$89,0,$BU114))</f>
        <v>#N/A</v>
      </c>
      <c r="BZ114" s="404" t="e">
        <f ca="1">IF($BY114=0,0,IF($BW114&lt;=Control!$C$89,$BU114*(30+(60-30)*(BX114/Control!$C$89)),0))</f>
        <v>#N/A</v>
      </c>
      <c r="CA114" s="140" t="e">
        <f ca="1">IF($BG114+$BM114+$BS114+$BY114=1,0,IF(OR(AND($BB114&lt;65,$BB114&gt;=60),$BW114&gt;=Control!$C$89),1*$BA114,$CE113))</f>
        <v>#N/A</v>
      </c>
      <c r="CB114" s="140" t="e">
        <f ca="1">IF($BX114&lt;0,-$BX114,$CA114*IF(OR($G114&lt;Control!$C$92,$G114&gt;Control!$C$95),0,IF(AND($G114&gt;=Control!$C$92,$G114&lt;=Control!$C$93),$G114-Control!$C$92,IF(AND($G114&gt;Control!$C$93,$G114&lt;=Control!$C$94),Control!$C$93-Control!$C$92,IF(AND($G114&gt;Control!$C$94,$G114&lt;=Control!$C$95),(Control!$C$93-Control!$C$92)*(Control!$C$94-$G114)/(Control!$C$95-Control!$C$94))))))</f>
        <v>#N/A</v>
      </c>
      <c r="CC114" s="140" t="e">
        <f t="shared" ca="1" si="368"/>
        <v>#N/A</v>
      </c>
      <c r="CD114" s="140" t="e">
        <f ca="1">IF($CC114&lt;=Control!$C$90,$CC114,Control!$C$90-$CC114)</f>
        <v>#N/A</v>
      </c>
      <c r="CE114" s="140" t="e">
        <f ca="1">IF(AND($BB114&gt;=60,$BB114&lt;65),1,IF($CC114&gt;=Control!$C$90,0,$CA114))</f>
        <v>#N/A</v>
      </c>
      <c r="CF114" s="404" t="e">
        <f ca="1">IF($CE114=0,0,IF($CC114&lt;=Control!$C$90,$CA114*(60+(65-60)*(CD114/Control!$C$90)),0))</f>
        <v>#N/A</v>
      </c>
      <c r="CG114" s="140" t="e">
        <f ca="1">IF($BG114+$BM114+$BS114+$BY114+$CE114=1,0,IF(OR(AND($BB114&lt;90,$BB114&gt;=65),$CC114&gt;=Control!$C$90),$BA114,$CK113))</f>
        <v>#N/A</v>
      </c>
      <c r="CH114" s="140" t="e">
        <f ca="1">IF($CD114&lt;0,-$CD114,$CG114*IF(OR($G114&lt;Control!$C$92,$G114&gt;Control!$C$95),0,IF(AND($G114&gt;=Control!$C$92,$G114&lt;=Control!$C$93),$G114-Control!$C$92,IF(AND($G114&gt;Control!$C$93,$G114&lt;=Control!$C$94),Control!$C$93-Control!$C$92,IF(AND($G114&gt;Control!$C$94,$G114&lt;=Control!$C$95),(Control!$C$93-Control!$C$92)*(Control!$C$94-$G114)/(Control!$C$95-Control!$C$94))))))</f>
        <v>#N/A</v>
      </c>
      <c r="CI114" s="140" t="e">
        <f t="shared" ca="1" si="369"/>
        <v>#N/A</v>
      </c>
      <c r="CJ114" s="140" t="e">
        <f ca="1">IF($CI114&lt;=Control!$C$91,$CI114,Control!$C$91-$CI114)</f>
        <v>#N/A</v>
      </c>
      <c r="CK114" s="140" t="e">
        <f ca="1">IF(AND($BB114&gt;=65,$BB114&lt;90),1,IF($CI114&gt;=Control!$C$91,0,$CG114))</f>
        <v>#N/A</v>
      </c>
      <c r="CL114" s="404" t="e">
        <f ca="1">IF($CK114=0,0,IF($CI114&lt;=Control!$C$91,$CG114*(65+(90-65)*($CJ114/Control!$C$91)),0))</f>
        <v>#N/A</v>
      </c>
      <c r="CM114" s="140" t="e">
        <f ca="1">IF($BG114+$BM114+$BS114+$BY114+$CE114+$CK114=1,0,IF(OR($BB114&gt;=90,$CI114&gt;=Control!$C$91),$BA114,$CM113))</f>
        <v>#N/A</v>
      </c>
      <c r="CN114" s="140" t="e">
        <f t="shared" ca="1" si="370"/>
        <v>#N/A</v>
      </c>
      <c r="CO114" s="140" t="e">
        <f t="shared" ca="1" si="371"/>
        <v>#N/A</v>
      </c>
      <c r="CP114" s="140" t="e">
        <f t="shared" ca="1" si="372"/>
        <v>#N/A</v>
      </c>
      <c r="CQ114" s="141" t="e">
        <f ca="1">VLOOKUP($CP114,Control!$B$86:$G$91,6)</f>
        <v>#N/A</v>
      </c>
      <c r="CR114" s="141" t="e">
        <f ca="1">(1-$CQ114)*VLOOKUP($CP114,Control!$B$86:$D$91,3)</f>
        <v>#N/A</v>
      </c>
      <c r="CS114" s="141" t="e">
        <f ca="1">(1-$CQ114)*VLOOKUP($CP114,Control!$B$86:$E$91,4)</f>
        <v>#N/A</v>
      </c>
      <c r="CT114" s="141" t="e">
        <f ca="1">(1-$CQ114)*VLOOKUP($CP114,Control!$B$86:$F$91,5)</f>
        <v>#N/A</v>
      </c>
      <c r="CU114" s="141">
        <f t="shared" ca="1" si="373"/>
        <v>0</v>
      </c>
      <c r="CV114" s="583">
        <f t="shared" ca="1" si="374"/>
        <v>0</v>
      </c>
      <c r="CW114" s="142">
        <f t="shared" ca="1" si="375"/>
        <v>110</v>
      </c>
      <c r="CX114" s="612" t="e">
        <f ca="1">IF(Control!$C$114=1,(MIN(Control!$C$120*(IF($NT114-0.01&lt;0,0,1)),Control!$C$119-$CY114)))</f>
        <v>#DIV/0!</v>
      </c>
      <c r="CY114" s="143" t="e">
        <f t="shared" ca="1" si="376"/>
        <v>#N/A</v>
      </c>
      <c r="CZ114" s="144">
        <f t="shared" ca="1" si="253"/>
        <v>0</v>
      </c>
      <c r="DA114" s="144">
        <f t="shared" ca="1" si="254"/>
        <v>0</v>
      </c>
      <c r="DB114" s="144" t="e">
        <f t="shared" ca="1" si="255"/>
        <v>#N/A</v>
      </c>
      <c r="DC114" s="144" t="e">
        <f t="shared" ca="1" si="256"/>
        <v>#N/A</v>
      </c>
      <c r="DD114" s="144" t="e">
        <f t="shared" ca="1" si="461"/>
        <v>#N/A</v>
      </c>
      <c r="DE114" s="143" t="e">
        <f t="shared" ca="1" si="377"/>
        <v>#N/A</v>
      </c>
      <c r="DF114" s="145" t="e">
        <f ca="1">$DR114*EXP(-Control!$C$158*(1-$KH114))</f>
        <v>#N/A</v>
      </c>
      <c r="DG114" s="146" t="e">
        <f ca="1">IF(Control!$C$114=1, $DF114*$EY114, 0)</f>
        <v>#N/A</v>
      </c>
      <c r="DH114" s="147" t="e">
        <f t="shared" ca="1" si="378"/>
        <v>#N/A</v>
      </c>
      <c r="DI114" s="144" t="e">
        <f t="shared" ca="1" si="439"/>
        <v>#N/A</v>
      </c>
      <c r="DJ114" s="147" t="e">
        <f ca="1">$EF114*Control!$C$109</f>
        <v>#N/A</v>
      </c>
      <c r="DK114" s="144" t="e">
        <f t="shared" ca="1" si="379"/>
        <v>#N/A</v>
      </c>
      <c r="DL114" s="144" t="e">
        <f t="shared" ca="1" si="257"/>
        <v>#N/A</v>
      </c>
      <c r="DM114" s="144" t="e">
        <f ca="1">IF(Control!$C$114=1, (1-EXP(-Control!$C$96*$DK114))*$AR114, 0)</f>
        <v>#N/A</v>
      </c>
      <c r="DN114" s="144">
        <f t="shared" ca="1" si="380"/>
        <v>0</v>
      </c>
      <c r="DO114" s="148">
        <f>Control!$C$97</f>
        <v>4</v>
      </c>
      <c r="DP114" s="145" t="e">
        <f t="shared" ca="1" si="381"/>
        <v>#N/A</v>
      </c>
      <c r="DQ114" s="145" t="e">
        <f ca="1">IF(AND($CP114&gt;=0,$CP114&lt;=90),Control!$C$111,Control!$C$111)</f>
        <v>#N/A</v>
      </c>
      <c r="DR114" s="145" t="e">
        <f t="shared" ca="1" si="258"/>
        <v>#N/A</v>
      </c>
      <c r="DS114" s="143" t="e">
        <f ca="1">Control!$B$22/$DR114</f>
        <v>#N/A</v>
      </c>
      <c r="DT114" s="149" t="e">
        <f ca="1">IF(AND(Control!$C$114=1,$KH114&lt;1),$IM114*$DF114, 0)</f>
        <v>#N/A</v>
      </c>
      <c r="DU114" s="144" t="e">
        <f t="shared" ca="1" si="382"/>
        <v>#N/A</v>
      </c>
      <c r="DV114" s="144">
        <f ca="1">IF($G114-Control!$C$107&lt;=0, 0, 0.83*LN(MAX($G114, 3))-0.8924)</f>
        <v>0</v>
      </c>
      <c r="DW114" s="144" t="e">
        <f t="shared" ca="1" si="259"/>
        <v>#N/A</v>
      </c>
      <c r="DX114" s="150" t="e">
        <f ca="1">MAX(0.01*(1+$CU114/Control!$C$102),0.05*($DK114-Control!$C$97)/Control!$C$97)</f>
        <v>#N/A</v>
      </c>
      <c r="DY114" s="151" t="e">
        <f ca="1">IF(Control!$C$114=1, $DI114*$FS114, 0)</f>
        <v>#N/A</v>
      </c>
      <c r="DZ114" s="196" t="e">
        <f t="shared" ca="1" si="383"/>
        <v>#N/A</v>
      </c>
      <c r="EA114" s="152">
        <f t="shared" ca="1" si="384"/>
        <v>110</v>
      </c>
      <c r="EB114" s="153" t="e">
        <f t="shared" ca="1" si="385"/>
        <v>#N/A</v>
      </c>
      <c r="EC114" s="153" t="e">
        <f t="shared" ca="1" si="386"/>
        <v>#N/A</v>
      </c>
      <c r="ED114" s="154" t="e">
        <f ca="1">IF(Control!$C$114=1, $HM114*$FY114-$FD114, 0)</f>
        <v>#DIV/0!</v>
      </c>
      <c r="EE114" s="155" t="e">
        <f ca="1">IF(Control!$C$114=1, $HM114*$FZ114-$FF114, 0)</f>
        <v>#DIV/0!</v>
      </c>
      <c r="EF114" s="153" t="e">
        <f t="shared" ca="1" si="440"/>
        <v>#N/A</v>
      </c>
      <c r="EG114" s="155" t="e">
        <f ca="1">IF(Control!$C$114=1, $GX114*$FW114-$FI114, 0)</f>
        <v>#DIV/0!</v>
      </c>
      <c r="EH114" s="153" t="e">
        <f t="shared" ca="1" si="387"/>
        <v>#N/A</v>
      </c>
      <c r="EI114" s="156" t="e">
        <f t="shared" ca="1" si="388"/>
        <v>#N/A</v>
      </c>
      <c r="EJ114" s="155" t="e">
        <f ca="1">IF(Control!$C$114=1, $HM114*$GB114, 0)</f>
        <v>#DIV/0!</v>
      </c>
      <c r="EK114" s="153" t="e">
        <f t="shared" ca="1" si="441"/>
        <v>#N/A</v>
      </c>
      <c r="EL114" s="153" t="e">
        <f t="shared" ca="1" si="260"/>
        <v>#N/A</v>
      </c>
      <c r="EM114" s="153" t="e">
        <f t="shared" ca="1" si="261"/>
        <v>#N/A</v>
      </c>
      <c r="EN114" s="153" t="e">
        <f ca="1">IF(Control!$C$108=1,IF(AND(Control!$B$18=1,$EB114&gt;=Control!$B$19),$EB114-$DS114,IF(AND(Control!$B$18=2,$AW114=1,$EB114&gt;$DS114),$EB114-$DS114,0)))</f>
        <v>#N/A</v>
      </c>
      <c r="EO114" s="153" t="e">
        <f ca="1">IF(Control!$C$108=1,IF(AND(Control!$B$18=1,$EB114&gt;=Control!$B$19),$EF114,IF(AND(Control!$B$18=2,$AW114=1),$EF114,0)))</f>
        <v>#N/A</v>
      </c>
      <c r="EP114" s="153" t="e">
        <f ca="1">IF(Control!$C$108=1,IF(AND(Control!$B$18=1,$EB114&gt;=Control!$B$19),$EK114,IF(AND(Control!$B$18=2,$AW114=1),$EK114,0)))</f>
        <v>#N/A</v>
      </c>
      <c r="EQ114" s="153" t="e">
        <f t="shared" ca="1" si="389"/>
        <v>#N/A</v>
      </c>
      <c r="ER114" s="153" t="e">
        <f t="shared" ca="1" si="390"/>
        <v>#N/A</v>
      </c>
      <c r="ES114" s="153" t="e">
        <f t="shared" ca="1" si="442"/>
        <v>#N/A</v>
      </c>
      <c r="ET114" s="153" t="e">
        <f t="shared" ca="1" si="443"/>
        <v>#N/A</v>
      </c>
      <c r="EU114" s="153" t="e">
        <f t="shared" ca="1" si="391"/>
        <v>#N/A</v>
      </c>
      <c r="EV114" s="153" t="e">
        <f t="shared" ca="1" si="262"/>
        <v>#N/A</v>
      </c>
      <c r="EW114" s="153" t="e">
        <f t="shared" ca="1" si="263"/>
        <v>#N/A</v>
      </c>
      <c r="EX114" s="153" t="e">
        <f t="shared" ca="1" si="264"/>
        <v>#N/A</v>
      </c>
      <c r="EY114" s="157" t="e">
        <f t="shared" ca="1" si="265"/>
        <v>#DIV/0!</v>
      </c>
      <c r="EZ114" s="154" t="e">
        <f t="shared" ca="1" si="266"/>
        <v>#DIV/0!</v>
      </c>
      <c r="FA114" s="153" t="e">
        <f t="shared" ca="1" si="392"/>
        <v>#N/A</v>
      </c>
      <c r="FB114" s="153" t="e">
        <f t="shared" ca="1" si="267"/>
        <v>#N/A</v>
      </c>
      <c r="FC114" s="193" t="e">
        <f t="shared" ca="1" si="268"/>
        <v>#N/A</v>
      </c>
      <c r="FD114" s="158" t="e">
        <f t="shared" ca="1" si="393"/>
        <v>#N/A</v>
      </c>
      <c r="FE114" s="158" t="e">
        <f t="shared" ca="1" si="394"/>
        <v>#N/A</v>
      </c>
      <c r="FF114" s="159" t="e">
        <f t="shared" ca="1" si="269"/>
        <v>#N/A</v>
      </c>
      <c r="FG114" s="160" t="e">
        <f t="shared" ca="1" si="395"/>
        <v>#N/A</v>
      </c>
      <c r="FH114" s="158" t="e">
        <f t="shared" ca="1" si="396"/>
        <v>#N/A</v>
      </c>
      <c r="FI114" s="159" t="e">
        <f t="shared" ca="1" si="270"/>
        <v>#N/A</v>
      </c>
      <c r="FJ114" s="160" t="e">
        <f t="shared" ca="1" si="397"/>
        <v>#N/A</v>
      </c>
      <c r="FK114" s="160" t="e">
        <f t="shared" ca="1" si="271"/>
        <v>#N/A</v>
      </c>
      <c r="FL114" s="160" t="e">
        <f t="shared" ca="1" si="444"/>
        <v>#N/A</v>
      </c>
      <c r="FM114" s="160" t="e">
        <f t="shared" ca="1" si="272"/>
        <v>#N/A</v>
      </c>
      <c r="FN114" s="158">
        <f t="shared" ca="1" si="398"/>
        <v>0.01</v>
      </c>
      <c r="FO114" s="160">
        <f>Control!$C$101</f>
        <v>50</v>
      </c>
      <c r="FP114" s="150" t="e">
        <f t="shared" ca="1" si="273"/>
        <v>#N/A</v>
      </c>
      <c r="FQ114" s="150" t="e">
        <f ca="1">MAX(0,(Control!$C$112*(($DK114-Control!$C$97)/Control!$C$97)))</f>
        <v>#N/A</v>
      </c>
      <c r="FR114" s="150" t="e">
        <f ca="1">(1-$NT114)*Control!$C$113</f>
        <v>#DIV/0!</v>
      </c>
      <c r="FS114" s="198" t="e">
        <f t="shared" ca="1" si="274"/>
        <v>#N/A</v>
      </c>
      <c r="FT114" s="161">
        <f t="shared" ca="1" si="399"/>
        <v>110</v>
      </c>
      <c r="FU114" s="162" t="e">
        <f ca="1">IF(Control!$B$34=1,VLOOKUP($CP114,Control!$B$86:$G$91,6),Control!$B$35)</f>
        <v>#N/A</v>
      </c>
      <c r="FV114" s="162" t="e">
        <f t="shared" ca="1" si="275"/>
        <v>#DIV/0!</v>
      </c>
      <c r="FW114" s="162" t="e">
        <f ca="1">IF(Control!$B$31=1,$FU114*$FV114,  $FU114)</f>
        <v>#N/A</v>
      </c>
      <c r="FX114" s="162" t="e">
        <f ca="1">IF(Control!$B$34=1,VLOOKUP($CP114,Control!$B$86:$G$91,3),Control!$B$36)</f>
        <v>#N/A</v>
      </c>
      <c r="FY114" s="162" t="e">
        <f t="shared" ca="1" si="276"/>
        <v>#N/A</v>
      </c>
      <c r="FZ114" s="162" t="e">
        <f ca="1">IF(Control!$B$34=1,VLOOKUP($CP114,Control!$B$86:$G$91,4),Control!$B$37)</f>
        <v>#N/A</v>
      </c>
      <c r="GA114" s="162" t="e">
        <f t="shared" ca="1" si="277"/>
        <v>#N/A</v>
      </c>
      <c r="GB114" s="162" t="e">
        <f ca="1">IF(Control!$B$34=1,VLOOKUP($CP114,Control!$B$86:$G$91,5),Control!$B$38)</f>
        <v>#N/A</v>
      </c>
      <c r="GC114" s="162" t="e">
        <f t="shared" ca="1" si="400"/>
        <v>#N/A</v>
      </c>
      <c r="GD114" s="162">
        <f t="shared" ca="1" si="278"/>
        <v>1</v>
      </c>
      <c r="GE114" s="162">
        <f t="shared" ca="1" si="279"/>
        <v>1</v>
      </c>
      <c r="GF114" s="162">
        <f ca="1">IF(AND(Control!$C$104=1, Control!$C$62="F"),$GE114,1)</f>
        <v>1</v>
      </c>
      <c r="GG114" s="162" t="e">
        <f ca="1">IF(Control!$B$16=40,0,IF(AND(Control!$B$16&gt;40,Control!$B$16&lt;=360),(Control!$B$16-40)*((1-0)/(360-40)),IF(AND(Control!$B$16&gt;360,Control!$B$16&lt;=720),(1+(Control!$B$16-360)*((1.25-1)/(720-360))),IF(AND(Control!$B$16&gt;720,Control!$B$16&lt;=1000),(1.25+(Control!$B$16-720)*((1.35-1.25)/(1000-720))),IF(AND(Control!$B$16&gt;1000,Control!$B$16&lt;=2000),(1.35+(Control!$B$16-1000)*0))))))</f>
        <v>#N/A</v>
      </c>
      <c r="GH114" s="162" t="e">
        <f t="shared" ca="1" si="280"/>
        <v>#N/A</v>
      </c>
      <c r="GI114" s="162">
        <f t="shared" ca="1" si="401"/>
        <v>0</v>
      </c>
      <c r="GJ114" s="162">
        <f t="shared" ca="1" si="281"/>
        <v>0</v>
      </c>
      <c r="GK114" s="162">
        <f t="shared" ca="1" si="402"/>
        <v>1</v>
      </c>
      <c r="GL114" s="162">
        <f t="shared" ca="1" si="282"/>
        <v>1</v>
      </c>
      <c r="GM114" s="162" t="e">
        <f ca="1">MAX(0,MIN(1,1-Control!$C$156*(1.0001-$KH114)^2))</f>
        <v>#N/A</v>
      </c>
      <c r="GN114" s="162" t="e">
        <f ca="1">IF(Control!$B$26=1,$KU114,$KX114)</f>
        <v>#N/A</v>
      </c>
      <c r="GO114" s="162" t="e">
        <f ca="1">IF($CP114&lt;=60,Control!$C$105,IF($CP114&gt;=90,Control!$C$106,Control!$C$105+($CP114-60)*((Control!$C$106-Control!$C$105)/(90-60))))</f>
        <v>#N/A</v>
      </c>
      <c r="GP114" s="162" t="e">
        <f t="shared" ca="1" si="283"/>
        <v>#N/A</v>
      </c>
      <c r="GQ114" s="162" t="e">
        <f t="shared" ca="1" si="403"/>
        <v>#N/A</v>
      </c>
      <c r="GR114" s="163" t="e">
        <f t="shared" ca="1" si="284"/>
        <v>#DIV/0!</v>
      </c>
      <c r="GS114" s="162" t="e">
        <f t="shared" ca="1" si="285"/>
        <v>#DIV/0!</v>
      </c>
      <c r="GT114" s="164" t="e">
        <f t="shared" ca="1" si="404"/>
        <v>#N/A</v>
      </c>
      <c r="GU114" s="162" t="e">
        <f t="shared" ca="1" si="405"/>
        <v>#N/A</v>
      </c>
      <c r="GV114" s="162" t="e">
        <f t="shared" ca="1" si="286"/>
        <v>#N/A</v>
      </c>
      <c r="GW114" s="162" t="e">
        <f t="shared" ca="1" si="287"/>
        <v>#DIV/0!</v>
      </c>
      <c r="GX114" s="162" t="e">
        <f t="shared" ca="1" si="406"/>
        <v>#DIV/0!</v>
      </c>
      <c r="GY114" s="162" t="e">
        <f t="shared" ca="1" si="407"/>
        <v>#DIV/0!</v>
      </c>
      <c r="GZ114" s="165" t="e">
        <f t="shared" ca="1" si="288"/>
        <v>#N/A</v>
      </c>
      <c r="HA114" s="162" t="e">
        <f ca="1">IF(Control!$C$114=1, $DI114*$FS114, 0)</f>
        <v>#N/A</v>
      </c>
      <c r="HB114" s="162" t="e">
        <f ca="1">$FA114/Control!$C$64</f>
        <v>#N/A</v>
      </c>
      <c r="HC114" s="162" t="e">
        <f t="shared" ca="1" si="289"/>
        <v>#DIV/0!</v>
      </c>
      <c r="HD114" s="162">
        <f ca="1">-ASIN(SIN(23.45*Control!$C$139)*COS(2*Control!$C$138*($AH114+10)/365))</f>
        <v>0.19015208176951176</v>
      </c>
      <c r="HE114" s="165">
        <f t="shared" ca="1" si="408"/>
        <v>0</v>
      </c>
      <c r="HF114" s="166">
        <f ca="1">IF(AND(Control!$C$61="T",$HE114&gt;=Control!$C$103,Control!$C$114=0),$AH114,Control!$C$59)</f>
        <v>1</v>
      </c>
      <c r="HG114" s="166">
        <f ca="1">IF(AND(Control!$C$61="T",$HE114&gt;=Control!$C$103,Control!$C$114=0),$HF114,Control!$C$59)</f>
        <v>1</v>
      </c>
      <c r="HH114" s="165">
        <f ca="1">IF(AND(OR(Control!$C$60&lt;=0, $AH114= Control!$C$59, Control!$C$60 &gt;0, $AH114 = Control!$C$60)), Control!$C$59, IF(Control!$C$60&gt;0, 0))</f>
        <v>1</v>
      </c>
      <c r="HI114" s="165">
        <f ca="1">IF(AND(OR(Control!$C$60&lt;=0, $AH114= Control!$C$59, Control!$C$60 &gt;0, $AH114 = Control!$C$60)), Control!$C$60, IF(Control!$C$60&lt;=0, 0))</f>
        <v>0</v>
      </c>
      <c r="HJ114" s="166">
        <f ca="1">IF(AND(Control!$C$62="F",$CV114&gt;=Control!$C$102),$AH114,0)</f>
        <v>0</v>
      </c>
      <c r="HK114" s="165" t="e">
        <f t="shared" ca="1" si="445"/>
        <v>#N/A</v>
      </c>
      <c r="HL114" s="166">
        <f ca="1">IF(AND(Control!$C$61="T",$HE114&gt;=Control!$C$103,Control!$C$114=0),$HF114,0)</f>
        <v>0</v>
      </c>
      <c r="HM114" s="201" t="e">
        <f t="shared" ca="1" si="290"/>
        <v>#DIV/0!</v>
      </c>
      <c r="HN114" s="215">
        <f t="shared" ca="1" si="409"/>
        <v>110</v>
      </c>
      <c r="HO114" s="216" t="e">
        <f ca="1">IF(AND($CP114&gt;=0, $CP114&lt;=90), Control!$C$152, Control!$C$152)</f>
        <v>#N/A</v>
      </c>
      <c r="HP114" s="216" t="e">
        <f t="shared" ca="1" si="291"/>
        <v>#N/A</v>
      </c>
      <c r="HQ114" s="217" t="e">
        <f ca="1">IF(OR(Control!$B$26=1,Control!$B$26=2),$KV114,$KS114)</f>
        <v>#DIV/0!</v>
      </c>
      <c r="HR114" s="218" t="e">
        <f t="shared" ca="1" si="446"/>
        <v>#DIV/0!</v>
      </c>
      <c r="HS114" s="216" t="e">
        <f ca="1">Control!$C$154*$HP114</f>
        <v>#N/A</v>
      </c>
      <c r="HT114" s="216" t="e">
        <f ca="1">Control!$C$155*$HP114</f>
        <v>#N/A</v>
      </c>
      <c r="HU114" s="217" t="e">
        <f ca="1">Control!$C$161*$FI114</f>
        <v>#N/A</v>
      </c>
      <c r="HV114" s="218" t="e">
        <f t="shared" ca="1" si="410"/>
        <v>#N/A</v>
      </c>
      <c r="HW114" s="218" t="e">
        <f ca="1">Control!$C$160*$FF114+$IP114*$EO114</f>
        <v>#N/A</v>
      </c>
      <c r="HX114" s="218" t="e">
        <f t="shared" ca="1" si="447"/>
        <v>#N/A</v>
      </c>
      <c r="HY114" s="219" t="e">
        <f ca="1">IF(Control!$C$114=1, $EB114*$FS114, 0)</f>
        <v>#N/A</v>
      </c>
      <c r="HZ114" s="91" t="e">
        <f t="shared" ca="1" si="292"/>
        <v>#N/A</v>
      </c>
      <c r="IA114" s="220" t="e">
        <f ca="1">Control!$C$153*$HO114</f>
        <v>#N/A</v>
      </c>
      <c r="IB114" s="218" t="e">
        <f t="shared" ca="1" si="293"/>
        <v>#N/A</v>
      </c>
      <c r="IC114" s="220" t="e">
        <f ca="1">Control!$C$153*$HT114</f>
        <v>#N/A</v>
      </c>
      <c r="ID114" s="218" t="e">
        <f t="shared" ca="1" si="294"/>
        <v>#N/A</v>
      </c>
      <c r="IE114" s="221" t="e">
        <f ca="1">($EB114*Control!$C$159+$EF114*Control!$C$160)/(IF($GZ114&lt;&gt;0,$GZ114,1))</f>
        <v>#N/A</v>
      </c>
      <c r="IF114" s="216" t="e">
        <f t="shared" ca="1" si="295"/>
        <v>#N/A</v>
      </c>
      <c r="IG114" s="91">
        <f ca="1">IF(OR(Control!$B$198=$AH114,Control!$B$199=$AH114, Control!$B$200=$AH114, Control!$B$201=$AH114, Control!$B$202=$AH114, Control!$B$203=$AH114, Control!$B$204=$AH114, Control!$B$205=$AH114, Control!$B$206=$AH114, Control!$B$207=$AH114), 1, 0)</f>
        <v>0</v>
      </c>
      <c r="IH114" s="91">
        <f ca="1">IF($IG114=0,0, VLOOKUP($AH114,Control!$B$198:$C$207,2))</f>
        <v>0</v>
      </c>
      <c r="II114" s="222">
        <f t="shared" ca="1" si="411"/>
        <v>0</v>
      </c>
      <c r="IJ114" s="91">
        <f>Control!$C$121</f>
        <v>0.7</v>
      </c>
      <c r="IK114" s="218">
        <f t="shared" ca="1" si="296"/>
        <v>0</v>
      </c>
      <c r="IL114" s="217" t="e">
        <f t="shared" ca="1" si="448"/>
        <v>#N/A</v>
      </c>
      <c r="IM114" s="223" t="e">
        <f ca="1">IF(AND(Control!$C$114=1,$KH114&lt;1),$EB114*Control!$C$148*(1-$KH114), 0)</f>
        <v>#N/A</v>
      </c>
      <c r="IN114" s="217" t="e">
        <f t="shared" ca="1" si="297"/>
        <v>#DIV/0!</v>
      </c>
      <c r="IO114" s="91" t="e">
        <f ca="1">MAX(0,$IL114-$EF114*Control!$C$160)</f>
        <v>#N/A</v>
      </c>
      <c r="IP114" s="220" t="e">
        <f t="shared" ca="1" si="298"/>
        <v>#N/A</v>
      </c>
      <c r="IQ114" s="217" t="e">
        <f t="shared" ca="1" si="412"/>
        <v>#N/A</v>
      </c>
      <c r="IR114" s="218" t="e">
        <f t="shared" ca="1" si="299"/>
        <v>#N/A</v>
      </c>
      <c r="IS114" s="217" t="e">
        <f ca="1">Control!$C$159*MAX(0,$FD114-$EN114)</f>
        <v>#N/A</v>
      </c>
      <c r="IT114" s="217" t="e">
        <f t="shared" ca="1" si="449"/>
        <v>#N/A</v>
      </c>
      <c r="IU114" s="217" t="e">
        <f t="shared" ca="1" si="413"/>
        <v>#N/A</v>
      </c>
      <c r="IV114" s="217" t="e">
        <f t="shared" ca="1" si="450"/>
        <v>#N/A</v>
      </c>
      <c r="IW114" s="217" t="e">
        <f ca="1">IF(OR($AW114=1,AND($AW114=0, Control!$B$18=1,$EN114&lt;&gt;0)), $IQ114-$IU114, $IQ114)</f>
        <v>#N/A</v>
      </c>
      <c r="IX114" s="218" t="e">
        <f t="shared" ca="1" si="300"/>
        <v>#N/A</v>
      </c>
      <c r="IY114" s="218" t="e">
        <f ca="1">MAX(0,$IQ114-$EB114*Control!$C$159)</f>
        <v>#N/A</v>
      </c>
      <c r="IZ114" s="218" t="e">
        <f t="shared" ca="1" si="301"/>
        <v>#N/A</v>
      </c>
      <c r="JA114" s="216" t="e">
        <f t="shared" ca="1" si="302"/>
        <v>#N/A</v>
      </c>
      <c r="JB114" s="217" t="e">
        <f t="shared" ca="1" si="303"/>
        <v>#N/A</v>
      </c>
      <c r="JC114" s="222" t="e">
        <f ca="1">MAX(Control!$C$157*$EK114-$JT114, 0)/Control!$C$162</f>
        <v>#N/A</v>
      </c>
      <c r="JD114" s="218" t="e">
        <f t="shared" ca="1" si="304"/>
        <v>#N/A</v>
      </c>
      <c r="JE114" s="218" t="e">
        <f t="shared" ca="1" si="305"/>
        <v>#N/A</v>
      </c>
      <c r="JF114" s="218" t="e">
        <f t="shared" ca="1" si="414"/>
        <v>#N/A</v>
      </c>
      <c r="JG114" s="218" t="e">
        <f t="shared" ca="1" si="306"/>
        <v>#N/A</v>
      </c>
      <c r="JH114" s="217" t="e">
        <f t="shared" ca="1" si="415"/>
        <v>#N/A</v>
      </c>
      <c r="JI114" s="217" t="e">
        <f t="shared" ca="1" si="416"/>
        <v>#N/A</v>
      </c>
      <c r="JJ114" s="217" t="e">
        <f t="shared" ca="1" si="451"/>
        <v>#N/A</v>
      </c>
      <c r="JK114" s="217" t="e">
        <f ca="1">IF(Control!$C$114=1,IF(Control!$B$24=0,MAX(0,$JI114)*$GN114/Control!$C$64,(MAX(0,MIN($JI114,$JJ114*$GN114/Control!$C$64),0))))</f>
        <v>#N/A</v>
      </c>
      <c r="JL114" s="217" t="e">
        <f ca="1">$IK114/Control!$C$64-$JK114+$HQ114</f>
        <v>#N/A</v>
      </c>
      <c r="JM114" s="217" t="e">
        <f ca="1">IF(Control!$C$114=1,($JB114/(IF($JI114&lt;&gt;0,$JI114,1)))*$JK114,0)</f>
        <v>#N/A</v>
      </c>
      <c r="JN114" s="217" t="e">
        <f ca="1">IF(Control!$C$114=1,($JG114/(IF($JI114&lt;&gt;0,$JI114,1)))*$JK114, 0)</f>
        <v>#N/A</v>
      </c>
      <c r="JO114" s="218" t="e">
        <f t="shared" ca="1" si="307"/>
        <v>#N/A</v>
      </c>
      <c r="JP114" s="218" t="e">
        <f ca="1">MIN(($IY114+$IO114)*Control!$C$151, $JF114-$EH114*Control!$C$161)</f>
        <v>#N/A</v>
      </c>
      <c r="JQ114" s="218" t="e">
        <f t="shared" ca="1" si="308"/>
        <v>#N/A</v>
      </c>
      <c r="JR114" s="217" t="e">
        <f ca="1">IF($CP114-Control!$C$150&lt;0, 0, $JQ114/Control!$C$162)</f>
        <v>#N/A</v>
      </c>
      <c r="JS114" s="218" t="e">
        <f t="shared" ca="1" si="309"/>
        <v>#N/A</v>
      </c>
      <c r="JT114" s="218" t="e">
        <f t="shared" ca="1" si="417"/>
        <v>#N/A</v>
      </c>
      <c r="JU114" s="218" t="e">
        <f t="shared" ca="1" si="310"/>
        <v>#N/A</v>
      </c>
      <c r="JV114" s="218" t="e">
        <f t="shared" ca="1" si="311"/>
        <v>#N/A</v>
      </c>
      <c r="JW114" s="216" t="e">
        <f t="shared" ca="1" si="312"/>
        <v>#N/A</v>
      </c>
      <c r="JX114" s="91" t="e">
        <f t="shared" ca="1" si="313"/>
        <v>#N/A</v>
      </c>
      <c r="JY114" s="218" t="e">
        <f t="shared" ca="1" si="314"/>
        <v>#N/A</v>
      </c>
      <c r="JZ114" s="217" t="e">
        <f ca="1">IF(Control!$C$114=1,($IZ114/(IF($JI114&lt;&gt;0,$JI114,1)))*$JK114, 0)</f>
        <v>#N/A</v>
      </c>
      <c r="KA114" s="218" t="e">
        <f t="shared" ca="1" si="452"/>
        <v>#N/A</v>
      </c>
      <c r="KB114" s="218" t="e">
        <f t="shared" ca="1" si="418"/>
        <v>#N/A</v>
      </c>
      <c r="KC114" s="218" t="e">
        <f t="shared" ca="1" si="315"/>
        <v>#N/A</v>
      </c>
      <c r="KD114" s="218" t="e">
        <f t="shared" ca="1" si="316"/>
        <v>#N/A</v>
      </c>
      <c r="KE114" s="218" t="e">
        <f t="shared" ca="1" si="317"/>
        <v>#N/A</v>
      </c>
      <c r="KF114" s="218" t="e">
        <f t="shared" ca="1" si="318"/>
        <v>#N/A</v>
      </c>
      <c r="KG114" s="216" t="e">
        <f t="shared" ca="1" si="319"/>
        <v>#N/A</v>
      </c>
      <c r="KH114" s="221" t="e">
        <f ca="1">IF(Control!$B$24=0,1,MAX(0.001,MIN(1,IF(($IF114-$IE114)&lt;&gt;0,($KG114-$IE114)/($IF114-$IE114),1))))</f>
        <v>#N/A</v>
      </c>
      <c r="KI114" s="222" t="e">
        <f ca="1">IF(Control!$C$114=1, $KI113+ $KH113, 0)</f>
        <v>#N/A</v>
      </c>
      <c r="KJ114" s="217" t="e">
        <f t="shared" ca="1" si="320"/>
        <v>#N/A</v>
      </c>
      <c r="KK114" s="218" t="e">
        <f t="shared" ca="1" si="321"/>
        <v>#N/A</v>
      </c>
      <c r="KL114" s="274" t="e">
        <f ca="1">IF(Control!$B$26=3,4000000000*EXP(-8400/($G114+273)),IF(Control!$B$26=4,4000000000*EXP(-8400/($G114+273))*($KT114),0))</f>
        <v>#DIV/0!</v>
      </c>
      <c r="KM114" s="274" t="e">
        <f ca="1">IF(Control!$B$26=3,5600000000000*EXP(-9800/($G114+273)),IF(Control!$B$26=4,5600000000000*EXP(-9800/($G114+273))*$KT114,0))</f>
        <v>#DIV/0!</v>
      </c>
      <c r="KN114" s="454" t="e">
        <f t="shared" ca="1" si="419"/>
        <v>#DIV/0!</v>
      </c>
      <c r="KO114" s="274" t="e">
        <f t="shared" ca="1" si="420"/>
        <v>#DIV/0!</v>
      </c>
      <c r="KP114" s="454" t="e">
        <f t="shared" ca="1" si="322"/>
        <v>#DIV/0!</v>
      </c>
      <c r="KQ114" s="454" t="e">
        <f t="shared" ca="1" si="323"/>
        <v>#DIV/0!</v>
      </c>
      <c r="KR114" s="454" t="e">
        <f t="shared" ca="1" si="324"/>
        <v>#DIV/0!</v>
      </c>
      <c r="KS114" s="454" t="e">
        <f t="shared" ca="1" si="325"/>
        <v>#DIV/0!</v>
      </c>
      <c r="KT114" s="455" t="e">
        <f t="shared" ca="1" si="326"/>
        <v>#DIV/0!</v>
      </c>
      <c r="KU114" s="456" t="e">
        <f ca="1">IF($CP114-Control!$C$149&lt;0, IF($NT114-0.01&lt;0,0,1),0)</f>
        <v>#N/A</v>
      </c>
      <c r="KV114" s="456" t="e">
        <f ca="1">IF(Control!$C$114=1,MAX(0,MIN(Control!$C$125*$KW114*$GN114,$KW114)))</f>
        <v>#DIV/0!</v>
      </c>
      <c r="KW114" s="456" t="e">
        <f t="shared" ca="1" si="453"/>
        <v>#DIV/0!</v>
      </c>
      <c r="KX114" s="457" t="e">
        <f ca="1">IF($CP114-Control!$C$149&lt;0, IF($MR114-$OM114&lt;0,0,1),0)</f>
        <v>#N/A</v>
      </c>
      <c r="KY114" s="167">
        <f t="shared" ca="1" si="421"/>
        <v>110</v>
      </c>
      <c r="KZ114" s="168">
        <f ca="1">1370*(1+0.033*COS(2*Control!$C$138*$AH114/365))</f>
        <v>1355.659591991782</v>
      </c>
      <c r="LA114" s="169">
        <f t="shared" ca="1" si="422"/>
        <v>0.98953268747655954</v>
      </c>
      <c r="LB114" s="169">
        <f t="shared" ca="1" si="423"/>
        <v>0.19736256089735987</v>
      </c>
      <c r="LC114" s="169">
        <f ca="1">ACOS(-TAN((2*Control!$B$8/360))*TAN(Calculations!$LB114))</f>
        <v>1.6302617936429651</v>
      </c>
      <c r="LD114" s="169">
        <f ca="1">((24*60)/PI())*0.082*$LA114*(($LC114*SIN(Control!$B$8*2*PI()/360))*SIN($LB114)+COS(Control!$B$8*2*PI()/360)*COS($LB114)*SIN($LC114))</f>
        <v>31.782732862132381</v>
      </c>
      <c r="LE114" s="170">
        <f t="shared" ca="1" si="327"/>
        <v>31.937415560260206</v>
      </c>
      <c r="LF114" s="170">
        <f ca="1">SIN(Control!$C$139*Control!$B$8)*SIN($HD114)</f>
        <v>0.14894077081521473</v>
      </c>
      <c r="LG114" s="170">
        <f ca="1">COS(Control!$C$139*Control!$B$8)*COS($HD114)</f>
        <v>0.60456284390136295</v>
      </c>
      <c r="LH114" s="170">
        <f ca="1">12*(1+2*ASIN(MAX(-1,MIN(1,$LF114/$LG114))/Control!$C$138))</f>
        <v>13.883990132925653</v>
      </c>
      <c r="LI114" s="170">
        <f ca="1">12*(1+2*ASIN(MAX(-1,MIN(1,(-SIN(-4*Control!$C$139)+$LF114)/$LG114))/Control!$C$138))</f>
        <v>14.769663044637797</v>
      </c>
      <c r="LJ114" s="168">
        <f ca="1">3600*($LH114*$LF114+24*$LG114*SQRT(1-$LK114*$LK114)/Control!$C$138)</f>
        <v>23558.580449636807</v>
      </c>
      <c r="LK114" s="170">
        <f t="shared" ca="1" si="328"/>
        <v>0.24636110590930571</v>
      </c>
      <c r="LL114" s="170">
        <f t="shared" ca="1" si="329"/>
        <v>0</v>
      </c>
      <c r="LM114" s="171">
        <f ca="1">Control!$C$145*$AB114</f>
        <v>6.6660906138995932E-2</v>
      </c>
      <c r="LN114" s="170">
        <f t="shared" ca="1" si="424"/>
        <v>0.54</v>
      </c>
      <c r="LO114" s="170">
        <f t="shared" ca="1" si="330"/>
        <v>0</v>
      </c>
      <c r="LP114" s="170">
        <f ca="1">Control!$C$140*((($D114+273.16)^4+($E114+273.16)^4)/2)*(0.34-0.14*SQRT($Y114))*(1.35*$AQ114/(0.75*$LD114)-0.35)</f>
        <v>-3.2464704755046001</v>
      </c>
      <c r="LQ114" s="170">
        <f ca="1">Control!$C$140*($G114+273)^4*(0.56-0.079*SQRT($Y114*10))*(0.1+0.9*$LO114)</f>
        <v>1.5241745131704001</v>
      </c>
      <c r="LR114" s="170">
        <f ca="1">$AQ114*(1-Control!$C$142)-$LQ114</f>
        <v>-1.5241745131704001</v>
      </c>
      <c r="LS114" s="170">
        <f ca="1">$AQ114*(1-Control!$C$143)-$LQ114</f>
        <v>-1.5241745131704001</v>
      </c>
      <c r="LT114" s="170">
        <f ca="1">$AQ114*(1-Control!$C$144)-$LQ114</f>
        <v>-1.5241745131704001</v>
      </c>
      <c r="LU114" s="169">
        <f ca="1">(1-Control!$C$144)*AQ114-LP114</f>
        <v>3.2464704755046001</v>
      </c>
      <c r="LV114" s="172">
        <f t="shared" ca="1" si="331"/>
        <v>0.79430000000000012</v>
      </c>
      <c r="LW114" s="170">
        <f t="shared" ca="1" si="332"/>
        <v>1.5886000000000002</v>
      </c>
      <c r="LX114" s="170">
        <f ca="1">($AC114*($LR114/Control!$C$141)+$LM114*$LV114)/($AC114+$LM114)</f>
        <v>0.23530094218323697</v>
      </c>
      <c r="LY114" s="170">
        <f ca="1">($AC114*($LS114/Control!$C$141)+$LM114*$LV114)/($AC114+$LM114)</f>
        <v>0.23530094218323697</v>
      </c>
      <c r="LZ114" s="170">
        <f t="shared" ca="1" si="333"/>
        <v>0.23530094218323697</v>
      </c>
      <c r="MA114" s="170">
        <f t="shared" ca="1" si="334"/>
        <v>0.23530094218323697</v>
      </c>
      <c r="MB114" s="170" t="e">
        <f t="shared" ca="1" si="335"/>
        <v>#N/A</v>
      </c>
      <c r="MC114" s="170">
        <f t="shared" ca="1" si="425"/>
        <v>0.6018</v>
      </c>
      <c r="MD114" s="170">
        <f t="shared" ca="1" si="336"/>
        <v>0.52989392535414004</v>
      </c>
      <c r="ME114" s="170">
        <f ca="1">($AC114*($LT114/Control!$C$141)+$LM114*$LW114)/($AC114+$LM114)</f>
        <v>0.71612369323045078</v>
      </c>
      <c r="MF114" s="170" t="e">
        <f ca="1">IF(Control!$B$16&gt;=1000,0.92,IF(AND(720&lt;=Control!$B$16,1000&gt;Control!$B$16),(0.95+(Control!$B$16-720)*((0.92-0.95)/(1000-720))),IF(AND(360&lt;=Control!$B$16,720&gt;Control!$B$16),(1+(Control!$B$16-360)*((0.95-1)/(720-360))),IF(AND(40&lt;=Control!$B$16,360&gt;Control!$B$16),(1.05+(Control!$B$16-40)*((1.05-1)/(360-40)))))))</f>
        <v>#N/A</v>
      </c>
      <c r="MG114" s="170">
        <f t="shared" ca="1" si="337"/>
        <v>0.71612369323045078</v>
      </c>
      <c r="MH114" s="170" t="e">
        <f t="shared" ca="1" si="463"/>
        <v>#N/A</v>
      </c>
      <c r="MI114" s="170" t="e">
        <f t="shared" ca="1" si="463"/>
        <v>#N/A</v>
      </c>
      <c r="MJ114" s="170" t="e">
        <f ca="1">MAX(0.0001, Control!$C$132*$MI114*$DL114)</f>
        <v>#N/A</v>
      </c>
      <c r="MK114" s="170">
        <f ca="1">1/(0.76+1.5*($MG114/10))-(5-Control!$C$110)*0.1</f>
        <v>1.002845988140797</v>
      </c>
      <c r="ML114" s="173">
        <f ca="1">IF(Control!$C$110&lt;3,$MK114+($MG114-0.6)/(Control!$C$110*(Control!$C$110+3)), MAX(0.1, MIN(0.95,$MK114)))</f>
        <v>0.95</v>
      </c>
      <c r="MM114" s="173">
        <f ca="1">IF(Control!$C$110&lt;3,$MK114+(($MI114/10)-0.6)/(Control!$C$110*(Control!$C$110+3)), MAX(0.1, MIN(0.95,$MK114)))</f>
        <v>0.95</v>
      </c>
      <c r="MN114" s="173">
        <f ca="1">(1-$MM114)*(Control!$C$128-Control!$C$127)+Control!$C$127</f>
        <v>0.16</v>
      </c>
      <c r="MO114" s="170" t="e">
        <f ca="1">MAX(0,MIN(1,($MS114-Control!$C$127)/($MN114-Control!$C$127)))</f>
        <v>#DIV/0!</v>
      </c>
      <c r="MP114" s="173" t="e">
        <f ca="1">1/(0.76+1.5*$MI114)-(5-Control!$C$110)*0.1</f>
        <v>#N/A</v>
      </c>
      <c r="MQ114" s="172" t="e">
        <f t="shared" ca="1" si="454"/>
        <v>#DIV/0!</v>
      </c>
      <c r="MR114" s="168" t="e">
        <f t="shared" ca="1" si="426"/>
        <v>#DIV/0!</v>
      </c>
      <c r="MS114" s="173" t="e">
        <f ca="1">MAX(Control!$C$127, MIN(Control!$C$135, $MR114/MAX(0.0001,$CY114)))</f>
        <v>#DIV/0!</v>
      </c>
      <c r="MT114" s="168" t="e">
        <f ca="1">(Control!$C$128-$MS114)*Control!$C$74</f>
        <v>#DIV/0!</v>
      </c>
      <c r="MU114" s="168" t="e">
        <f ca="1">(Control!$C$135-$MS114)*Control!$C$74</f>
        <v>#DIV/0!</v>
      </c>
      <c r="MV114" s="168" t="e">
        <f t="shared" ca="1" si="427"/>
        <v>#DIV/0!</v>
      </c>
      <c r="MW114" s="168" t="e">
        <f t="shared" ca="1" si="428"/>
        <v>#DIV/0!</v>
      </c>
      <c r="MX114" s="171" t="e">
        <f ca="1">MAX(Control!$C$127, MIN(Control!$C$135, $MW114/MAX(0.0001,Control!$C$119-$CY114)))</f>
        <v>#DIV/0!</v>
      </c>
      <c r="MY114" s="54" t="e">
        <f ca="1">IF(Control!$C$114=1, $CX114*$MX114, 0)</f>
        <v>#DIV/0!</v>
      </c>
      <c r="MZ114" s="54" t="e">
        <f t="shared" ca="1" si="429"/>
        <v>#N/A</v>
      </c>
      <c r="NA114" s="168" t="e">
        <f ca="1">(Control!$C$128-$MX114)*(Control!$C$119-Control!$C$74)</f>
        <v>#DIV/0!</v>
      </c>
      <c r="NB114" s="168" t="e">
        <f ca="1">(Control!$C$135-$MX114)*(Control!$C$119-Control!$C$74)</f>
        <v>#DIV/0!</v>
      </c>
      <c r="NC114" s="174" t="e">
        <f t="shared" ca="1" si="430"/>
        <v>#DIV/0!</v>
      </c>
      <c r="ND114" s="54">
        <f ca="1">IF(Control!$C$58=2, IF(OR(Control!$B$218=$AH114,Control!$B$219=$AH114, Control!$B$220=$AH114, Control!$B$221=$AH114, Control!$B$222=$AH114, Control!$B$223=$AH114, Control!$B$224=$AH114, Control!$B$225=$AH114, Control!$B$226=$AH114, Control!$B$227=$AH114, Control!$B$228=$AH114), 1, 0), 0)</f>
        <v>0</v>
      </c>
      <c r="NE114" s="54">
        <f ca="1">IF($ND114=0,0, VLOOKUP($AH114,Control!$B$218:$C$228,2))</f>
        <v>0</v>
      </c>
      <c r="NF114" s="168" t="e">
        <f ca="1">$CY114*(Control!$C$128-Control!$C$127)</f>
        <v>#N/A</v>
      </c>
      <c r="NG114" s="54" t="e">
        <f ca="1">IF(Control!$C$58=2, $NI113-$NJ113, 0)</f>
        <v>#DIV/0!</v>
      </c>
      <c r="NH114" s="54" t="e">
        <f ca="1">IF(AND(Control!$C$58=1, $MS113&lt;= ($MN113+0.02), $I113&lt;10), 0, IF(Control!$C$58=2, $NG113, 0))</f>
        <v>#DIV/0!</v>
      </c>
      <c r="NI114" s="54" t="e">
        <f ca="1">IF(Control!$C$58=2, $NE114+$NH114,0)</f>
        <v>#DIV/0!</v>
      </c>
      <c r="NJ114" s="54" t="e">
        <f ca="1">IF(AND(Control!$C$58=1, $MS114&lt;= ($MN114+0.02), $I114&lt;10), MAX(0, MIN(10, 0.7*($NF114-$MV114))), IF(Control!$C$58=2, MIN(10,$NI114),0))</f>
        <v>#DIV/0!</v>
      </c>
      <c r="NK114" s="54" t="e">
        <f t="shared" ca="1" si="338"/>
        <v>#DIV/0!</v>
      </c>
      <c r="NL114" s="173" t="e">
        <f ca="1">(1-Control!$C$73)*$I114+$NJ114</f>
        <v>#DIV/0!</v>
      </c>
      <c r="NM114" s="172" t="e">
        <f ca="1">IF($NL114&lt;0.5, $MB114* MAX(0, MIN(1, (SQRT($NC114)-SQRT($NC114-1))*Control!$C$71)),0)</f>
        <v>#DIV/0!</v>
      </c>
      <c r="NN114" s="170" t="e">
        <f ca="1">IF($NL114&gt;=5, $MB114, MAX(0,MIN($MB114, $NM114+$NL114,($MS114-Control!$C$129))))</f>
        <v>#DIV/0!</v>
      </c>
      <c r="NO114" s="54">
        <f>IF(Control!$C$133&lt;&gt;1, Control!$C$135-Control!$C$131, 0)</f>
        <v>0.38</v>
      </c>
      <c r="NP114" s="54" t="e">
        <f t="shared" ca="1" si="339"/>
        <v>#DIV/0!</v>
      </c>
      <c r="NQ114" s="173" t="e">
        <f ca="1">MAX(0,MIN(1,(Control!$C$135-$MS114)/(Control!$C$135-$NO114)))</f>
        <v>#DIV/0!</v>
      </c>
      <c r="NR114" s="170" t="e">
        <f ca="1">IF(Control!$C$133&lt;&gt;1, $NQ114+((1-$NP114/4)*(1-$NQ114)),1)</f>
        <v>#DIV/0!</v>
      </c>
      <c r="NS114" s="170" t="e">
        <f ca="1">IF(Control!$B$31=0,$MJ114,MAX(0,MIN($MV114,$MO114*$NR114*$MJ114)))</f>
        <v>#DIV/0!</v>
      </c>
      <c r="NT114" s="170" t="e">
        <f t="shared" ca="1" si="455"/>
        <v>#DIV/0!</v>
      </c>
      <c r="NU114" s="170" t="e">
        <f t="shared" ca="1" si="431"/>
        <v>#N/A</v>
      </c>
      <c r="NV114" s="170" t="e">
        <f t="shared" ca="1" si="340"/>
        <v>#N/A</v>
      </c>
      <c r="NW114" s="175" t="e">
        <f t="shared" ca="1" si="341"/>
        <v>#DIV/0!</v>
      </c>
      <c r="NX114" s="170" t="e">
        <f ca="1">MIN(Control!$C$72+$MU114, $NW114)</f>
        <v>#DIV/0!</v>
      </c>
      <c r="NY114" s="170" t="e">
        <f ca="1">IF($MT114&lt;=$NX114,MIN(Control!$C$72+$NB114,$NX114-$MT114),0)</f>
        <v>#DIV/0!</v>
      </c>
      <c r="NZ114" s="54" t="e">
        <f ca="1">IF(Control!$C$114=1,  $CX114*($MX114-Control!$C$127), 0)</f>
        <v>#DIV/0!</v>
      </c>
      <c r="OA114" s="170" t="e">
        <f t="shared" ca="1" si="342"/>
        <v>#DIV/0!</v>
      </c>
      <c r="OB114" s="170" t="e">
        <f ca="1">IF($NA114 &lt;=$NY114, MIN(Control!$C$72, $NY114-$NA114), 0)</f>
        <v>#DIV/0!</v>
      </c>
      <c r="OC114" s="168" t="e">
        <f t="shared" ca="1" si="343"/>
        <v>#DIV/0!</v>
      </c>
      <c r="OD114" s="168" t="e">
        <f t="shared" ca="1" si="432"/>
        <v>#DIV/0!</v>
      </c>
      <c r="OE114" s="170">
        <f ca="1">Control!$C$73*$I114</f>
        <v>0</v>
      </c>
      <c r="OF114" s="176" t="e">
        <f t="shared" ca="1" si="344"/>
        <v>#DIV/0!</v>
      </c>
      <c r="OG114" s="168" t="e">
        <f t="shared" ca="1" si="345"/>
        <v>#DIV/0!</v>
      </c>
      <c r="OH114" s="168" t="e">
        <f t="shared" ca="1" si="346"/>
        <v>#DIV/0!</v>
      </c>
      <c r="OI114" s="168" t="e">
        <f t="shared" ca="1" si="347"/>
        <v>#DIV/0!</v>
      </c>
      <c r="OJ114" s="168" t="e">
        <f t="shared" ca="1" si="348"/>
        <v>#DIV/0!</v>
      </c>
      <c r="OK114" s="204" t="e">
        <f t="shared" ca="1" si="349"/>
        <v>#DIV/0!</v>
      </c>
      <c r="OL114" s="177">
        <f>Control!$C$127</f>
        <v>0.15</v>
      </c>
      <c r="OM114" s="182" t="e">
        <f t="shared" ca="1" si="350"/>
        <v>#N/A</v>
      </c>
      <c r="ON114" s="177">
        <f>Control!$C$128</f>
        <v>0.35</v>
      </c>
      <c r="OO114" s="182" t="e">
        <f t="shared" ca="1" si="351"/>
        <v>#N/A</v>
      </c>
      <c r="OP114" s="138">
        <f t="shared" ca="1" si="433"/>
        <v>0</v>
      </c>
      <c r="OQ114" s="138" t="e">
        <f t="shared" ca="1" si="456"/>
        <v>#DIV/0!</v>
      </c>
      <c r="OR114" s="138" t="e">
        <f t="shared" ca="1" si="434"/>
        <v>#DIV/0!</v>
      </c>
      <c r="OS114" s="137" t="e">
        <f t="shared" ca="1" si="457"/>
        <v>#DIV/0!</v>
      </c>
      <c r="OT114" s="139" t="e">
        <f t="shared" ca="1" si="458"/>
        <v>#DIV/0!</v>
      </c>
      <c r="OU114" s="138" t="e">
        <f t="shared" ca="1" si="459"/>
        <v>#N/A</v>
      </c>
      <c r="OV114" s="138" t="e">
        <f t="shared" ca="1" si="460"/>
        <v>#DIV/0!</v>
      </c>
      <c r="OW114" s="138" t="e">
        <f t="shared" ca="1" si="435"/>
        <v>#DIV/0!</v>
      </c>
      <c r="OX114" s="138" t="e">
        <f t="shared" ca="1" si="436"/>
        <v>#DIV/0!</v>
      </c>
      <c r="OY114" s="138" t="e">
        <f t="shared" ca="1" si="437"/>
        <v>#DIV/0!</v>
      </c>
      <c r="OZ114" s="138" t="e">
        <f t="shared" ca="1" si="352"/>
        <v>#DIV/0!</v>
      </c>
      <c r="PA114" s="138" t="e">
        <f t="shared" ca="1" si="353"/>
        <v>#DIV/0!</v>
      </c>
      <c r="PB114" s="55">
        <f>IF(Control!$C$61="T", IF(Control!$C$65="F", IF($AH$6-Control!$C$60&lt;0,0,1), IF(365+$AH$6-Control!$C$60&lt;0,0,1)),0)</f>
        <v>0</v>
      </c>
      <c r="PC114" s="55">
        <f ca="1">IF(Control!$C$65="F", IF($AH$6-$HF114&lt;0,0,1), IF(365+$AH$6-$HF114&lt;0,0,1))</f>
        <v>1</v>
      </c>
      <c r="PD114" s="444">
        <f>Control!$C$118</f>
        <v>1500</v>
      </c>
      <c r="PE114" s="180" t="e">
        <f t="shared" ca="1" si="354"/>
        <v>#N/A</v>
      </c>
      <c r="PF114" s="445">
        <f t="shared" ca="1" si="438"/>
        <v>0.71612369323045078</v>
      </c>
      <c r="PT114" s="186"/>
      <c r="PU114" s="186"/>
      <c r="PV114" s="94"/>
      <c r="PW114" s="94"/>
      <c r="PX114" s="94"/>
      <c r="PY114" s="94"/>
      <c r="PZ114" s="94"/>
      <c r="QA114" s="94"/>
      <c r="QB114" s="94"/>
      <c r="QC114" s="94"/>
      <c r="QD114" s="94"/>
      <c r="QE114" s="94"/>
      <c r="QF114" s="94"/>
      <c r="QG114" s="94"/>
      <c r="QH114" s="94"/>
      <c r="QI114" s="94"/>
      <c r="QJ114" s="94"/>
      <c r="QK114" s="94"/>
      <c r="QL114" s="94"/>
      <c r="QM114" s="94"/>
      <c r="QN114" s="94"/>
      <c r="QO114" s="94"/>
      <c r="QP114" s="94"/>
    </row>
    <row r="115" spans="1:458" s="2" customFormat="1" x14ac:dyDescent="0.2">
      <c r="A115" s="395">
        <v>20</v>
      </c>
      <c r="B115" s="396">
        <v>4</v>
      </c>
      <c r="C115" s="387">
        <f ca="1">Weather_data!$B114</f>
        <v>0</v>
      </c>
      <c r="D115" s="388">
        <f ca="1">Weather_data!$F114</f>
        <v>0</v>
      </c>
      <c r="E115" s="388">
        <f ca="1">Weather_data!$E114</f>
        <v>0</v>
      </c>
      <c r="F115" s="388">
        <f t="shared" ca="1" si="355"/>
        <v>0</v>
      </c>
      <c r="G115" s="388">
        <f ca="1">AVERAGE($D115:$E115)+Control!$B$9</f>
        <v>0</v>
      </c>
      <c r="H115" s="388">
        <f ca="1">Weather_data!$G114</f>
        <v>0</v>
      </c>
      <c r="I115" s="388">
        <f ca="1">Weather_data!$I114</f>
        <v>0</v>
      </c>
      <c r="J115" s="388">
        <f ca="1">Weather_data!$H114</f>
        <v>0</v>
      </c>
      <c r="K115" s="389">
        <f ca="1">Weather_data!$D114</f>
        <v>0</v>
      </c>
      <c r="L115" s="388" t="e">
        <f t="shared" ca="1" si="356"/>
        <v>#N/A</v>
      </c>
      <c r="M115" s="388" t="e">
        <f t="shared" ca="1" si="234"/>
        <v>#N/A</v>
      </c>
      <c r="N115" s="388">
        <f t="shared" ca="1" si="235"/>
        <v>-5.1452150727765978E-6</v>
      </c>
      <c r="O115" s="388">
        <f t="shared" ca="1" si="357"/>
        <v>5.1452150727765977E-5</v>
      </c>
      <c r="P115" s="390">
        <v>3</v>
      </c>
      <c r="Q115" s="388">
        <f ca="1">MAX($G115-Control!$C$107,0)</f>
        <v>0</v>
      </c>
      <c r="R115" s="388">
        <f t="shared" ca="1" si="358"/>
        <v>0</v>
      </c>
      <c r="S115" s="388">
        <f t="shared" ca="1" si="236"/>
        <v>0</v>
      </c>
      <c r="T115" s="388">
        <f t="shared" ca="1" si="237"/>
        <v>0</v>
      </c>
      <c r="U115" s="59">
        <f t="shared" ca="1" si="238"/>
        <v>0</v>
      </c>
      <c r="V115" s="391">
        <f ca="1">MAX(0,MIN(Control!$C$100-Control!$C$99,$G115-Control!$C$99)*Control!$C$63)</f>
        <v>0</v>
      </c>
      <c r="W115" s="388">
        <f t="shared" ca="1" si="359"/>
        <v>0</v>
      </c>
      <c r="X115" s="388">
        <f t="shared" ca="1" si="360"/>
        <v>0.6110000000000001</v>
      </c>
      <c r="Y115" s="388">
        <f t="shared" ca="1" si="239"/>
        <v>0</v>
      </c>
      <c r="Z115" s="388">
        <f t="shared" ca="1" si="361"/>
        <v>0.61058800000000002</v>
      </c>
      <c r="AA115" s="388">
        <f t="shared" ca="1" si="240"/>
        <v>0.6018</v>
      </c>
      <c r="AB115" s="388">
        <f ca="1">101.3*EXP(-0.034*Control!$C$66/($G115+273))</f>
        <v>100.69623283836242</v>
      </c>
      <c r="AC115" s="392">
        <f t="shared" ca="1" si="241"/>
        <v>4.3460251046025113E-2</v>
      </c>
      <c r="AD115" s="392">
        <f t="shared" ca="1" si="242"/>
        <v>4.4450382862832649E-2</v>
      </c>
      <c r="AE115" s="388">
        <f t="shared" ca="1" si="243"/>
        <v>0</v>
      </c>
      <c r="AF115" s="388">
        <f ca="1">MAX(0,$G115-Control!$C$92)</f>
        <v>0</v>
      </c>
      <c r="AG115" s="393">
        <f t="shared" ca="1" si="244"/>
        <v>111</v>
      </c>
      <c r="AH115" s="389">
        <f t="shared" ca="1" si="245"/>
        <v>111</v>
      </c>
      <c r="AI115" s="388">
        <f t="shared" ca="1" si="362"/>
        <v>0.19626597074774615</v>
      </c>
      <c r="AJ115" s="388">
        <f ca="1">IF(Control!$C$60&lt;=0,$HH115,$HI115)</f>
        <v>1</v>
      </c>
      <c r="AK115" s="388">
        <f t="shared" ca="1" si="246"/>
        <v>0.53364039595223878</v>
      </c>
      <c r="AL115" s="388">
        <f t="shared" ca="1" si="247"/>
        <v>1.2622732720179995E-18</v>
      </c>
      <c r="AM115" s="388">
        <f t="shared" ca="1" si="248"/>
        <v>0.53364039595223878</v>
      </c>
      <c r="AN115" s="388">
        <f t="shared" ca="1" si="249"/>
        <v>0.20375625591799118</v>
      </c>
      <c r="AO115" s="388">
        <f ca="1">-0.10453/COS(Control!$B$8*PI()/180)*COS(AN115)</f>
        <v>-0.16627259480576312</v>
      </c>
      <c r="AP115" s="388">
        <f ca="1">ACOS(AO115-TAN(Control!$B$8*PI()/180)*TAN(AN115))</f>
        <v>2.0161075724646484</v>
      </c>
      <c r="AQ115" s="388">
        <f t="shared" ca="1" si="363"/>
        <v>0</v>
      </c>
      <c r="AR115" s="394">
        <f t="shared" ca="1" si="250"/>
        <v>0</v>
      </c>
      <c r="AS115" s="436">
        <f ca="1">IF(Control!$B$18=2,(IF(OR($AH115=Control!$B$175,$AH115=Control!$B$176,$AH115=Control!$B$177,$AH115=Control!$B$178,$AH115=Control!$B$179,$AH115=Control!$B$180,$AH115=Control!$B$181,$AH115=Control!$B$182,$AH115=Control!$B$183,$AH115=Control!$B$184,$AH115=Control!$B$185),1,0)),0)</f>
        <v>0</v>
      </c>
      <c r="AT115" s="436">
        <f>IF(Control!$B$20=8,IF(AND($AH115&gt;=Control!$B$172,$AH115&lt;=Control!$B$173),1,0),0)</f>
        <v>0</v>
      </c>
      <c r="AU115" s="436">
        <f>IF(Control!$B$20=8,IF($AV114=1,1*$AT115,IF($AT115=1,$AU114+1,$AU114)),0)</f>
        <v>0</v>
      </c>
      <c r="AV115" s="436">
        <f>IF(Control!$B$20=8,IF($AU115&gt;=Control!$B$174,1,0),0)</f>
        <v>0</v>
      </c>
      <c r="AW115" s="436">
        <f ca="1">IF(AND(Control!$B$18=2,Control!$B$171=1), $AV115, $AS115)</f>
        <v>0</v>
      </c>
      <c r="AX115" s="436" t="e">
        <f ca="1">IF(AND(Control!$B$18=1,$EU115&gt;=Control!$B$19),-$AY115,IF(AND(Control!$B$18=2,$AW115=1,$EU115&gt;$DS115),-$AY115, IF(Control!$C$108=0,0, IF(Control!$C$108&lt;&gt;0,1))))</f>
        <v>#N/A</v>
      </c>
      <c r="AY115" s="436" t="e">
        <f t="shared" ca="1" si="364"/>
        <v>#N/A</v>
      </c>
      <c r="AZ115" s="436" t="e">
        <f ca="1">IF(AND(Control!$B$18=1,$EB115&gt;Control!$B$19),$AZ114+1, IF(AND(Control!$B$18=2, $AW115=1, $EB115&gt;$DS115), $AZ114+1,$AZ114))</f>
        <v>#N/A</v>
      </c>
      <c r="BA115" s="587">
        <f>IF(Control!$C$81=0,1,IF($AH115&gt;=Control!$C$82,1,0))</f>
        <v>1</v>
      </c>
      <c r="BB115" s="140" t="e">
        <f ca="1">IF($BA115&gt;$BA114,Control!$C$83,IF($AW115&gt;0,$AW115*Control!$C$84,IF(AND(Control!$B$18=1,EN114&lt;&gt;0),Control!$C$84,0)))</f>
        <v>#N/A</v>
      </c>
      <c r="BC115" s="140" t="e">
        <f t="shared" ca="1" si="365"/>
        <v>#N/A</v>
      </c>
      <c r="BD115" s="140" t="e">
        <f ca="1">BC115*IF(OR($G115&lt;Control!$C$92,$G115&gt;Control!$C$95),0,IF(AND($G115&gt;=Control!$C$92,$G115&lt;=Control!$C$93),$G115-Control!$C$92,IF(AND($G115&gt;Control!$C$93,$G115&lt;=Control!$C$94),Control!$C$93-Control!$C$92,IF(AND($G115&gt;Control!$C$94,$G115&lt;=Control!$C$95),(Control!$C$93-Control!$C$92)*(Control!$C$94-$G115)/(Control!$C$95-Control!$C$94)))))</f>
        <v>#N/A</v>
      </c>
      <c r="BE115" s="140" t="e">
        <f t="shared" ca="1" si="366"/>
        <v>#N/A</v>
      </c>
      <c r="BF115" s="140" t="e">
        <f ca="1">IF($BE115&lt;=Control!$C$86,$BE115,Control!$C$86-$BE115)</f>
        <v>#N/A</v>
      </c>
      <c r="BG115" s="140" t="e">
        <f ca="1">IF(AND($AW115=1,Control!$C$84&lt;9),1,IF($BE115&gt;=Control!$C$86,0,$BC115))</f>
        <v>#N/A</v>
      </c>
      <c r="BH115" s="404" t="e">
        <f ca="1">IF($BG115=0,0,IF($BE115&lt;=Control!$C$86,$BC115*9*($BF115/Control!$C$86),0))</f>
        <v>#N/A</v>
      </c>
      <c r="BI115" s="140" t="e">
        <f ca="1">IF($BG115=1,0,IF($BE115&gt;=Control!$C$86,1,IF(AND($BB115&lt;21,$BB115&gt;=9),1,$BM114)))</f>
        <v>#N/A</v>
      </c>
      <c r="BJ115" s="140" t="e">
        <f ca="1">IF($BF115&lt;0,-$BF115,$BI115*IF(OR($G115&lt;Control!$C$92,$G115&gt;Control!$C$95),0,IF(AND($G115&gt;=Control!$C$92,$G115&lt;=Control!$C$93),$G115-Control!$C$92,IF(AND($G115&gt;Control!$C$93,$G115&lt;=Control!$C$94),Control!$C$93-Control!$C$92,IF(AND($G115&gt;Control!$C$94,$G115&lt;=Control!$C$95),(Control!$C$93-Control!$C$92)*(Control!$C$94-$G115)/(Control!$C$95-Control!$C$94))))))</f>
        <v>#N/A</v>
      </c>
      <c r="BK115" s="140" t="e">
        <f t="shared" ca="1" si="367"/>
        <v>#N/A</v>
      </c>
      <c r="BL115" s="140" t="e">
        <f ca="1">IF($BK115&lt;=Control!$C$87,$BK115,Control!$C$87-$BK115)</f>
        <v>#N/A</v>
      </c>
      <c r="BM115" s="140" t="e">
        <f ca="1">IF(AND($BB115&gt;=9,$BB115&lt;21),1,IF($BK115&gt;=Control!$C$87,0,$BI115))</f>
        <v>#N/A</v>
      </c>
      <c r="BN115" s="404" t="e">
        <f ca="1">IF($BM115=0,0,IF($BK115&lt;=Control!$C$87,$BI115*(9+(21-9)*($BL115/Control!$C$87)),0))</f>
        <v>#N/A</v>
      </c>
      <c r="BO115" s="140" t="e">
        <f ca="1">IF($BM115=1,0,IF($BK115&gt;=Control!$C$87,1,IF(AND($BB115&lt;30,$BB115&gt;=21),1,$BS114)))</f>
        <v>#N/A</v>
      </c>
      <c r="BP115" s="140" t="e">
        <f ca="1">IF($BL115&lt;0,-$BL115,$BO115*IF(OR($G115&lt;Control!$C$92,$G115&gt;Control!$C$95),0,IF(AND($G115&gt;=Control!$C$92,$G115&lt;=Control!$C$93),$G115-Control!$C$92,IF(AND($G115&gt;Control!$C$93,$G115&lt;=Control!$C$94),Control!$C$93-Control!$C$92,IF(AND($G115&gt;Control!$C$94,$G115&lt;=Control!$C$95),(Control!$C$93-Control!$C$92)*(Control!$C$94-$G115)/(Control!$C$95-Control!$C$94))))))</f>
        <v>#N/A</v>
      </c>
      <c r="BQ115" s="140" t="e">
        <f t="shared" ca="1" si="251"/>
        <v>#N/A</v>
      </c>
      <c r="BR115" s="140" t="e">
        <f ca="1">IF($BQ115&lt;=Control!$C$88,$BQ115,Control!$C$88-$BQ115)</f>
        <v>#N/A</v>
      </c>
      <c r="BS115" s="140" t="e">
        <f ca="1">IF(AND($BB115&gt;=21,$BB115&lt;30),1,IF($BQ115&gt;=Control!$C$88,0,$BO115))</f>
        <v>#N/A</v>
      </c>
      <c r="BT115" s="404" t="e">
        <f ca="1">IF($BS115=0,0,IF($BQ115&lt;=Control!$C$88,$BO115*(21+(30-21)*(BR115/Control!$C$88)),0))</f>
        <v>#N/A</v>
      </c>
      <c r="BU115" s="140" t="e">
        <f ca="1">IF(BG115+BM115+BS115=1,0,IF(OR(AND($BB115&lt;60,$BB115&gt;=30),$BQ115&gt;=Control!$C$88),1*$BA115,$BY114))</f>
        <v>#N/A</v>
      </c>
      <c r="BV115" s="140" t="e">
        <f ca="1">IF($BR115&lt;0,-$BR115,$BU115*IF(OR($G115&lt;Control!$C$92,$G115&gt;Control!$C$95),0,IF(AND($G115&gt;=Control!$C$92,$G115&lt;=Control!$C$93),$G115-Control!$C$92,IF(AND($G115&gt;Control!$C$93,$G115&lt;=Control!$C$94),Control!$C$93-Control!$C$92,IF(AND($G115&gt;Control!$C$94,$G115&lt;=Control!$C$95),(Control!$C$93-Control!$C$92)*(Control!$C$94-$G115)/(Control!$C$95-Control!$C$94))))))</f>
        <v>#N/A</v>
      </c>
      <c r="BW115" s="140" t="e">
        <f t="shared" ca="1" si="252"/>
        <v>#N/A</v>
      </c>
      <c r="BX115" s="140" t="e">
        <f ca="1">IF($BW115&lt;=Control!$C$89,$BW115,Control!$C$89-$BW115)</f>
        <v>#N/A</v>
      </c>
      <c r="BY115" s="140" t="e">
        <f ca="1">IF(AND($AJ115&gt;=30,$AJ115&lt;60),1,IF($BW115&gt;=Control!$C$89,0,$BU115))</f>
        <v>#N/A</v>
      </c>
      <c r="BZ115" s="404" t="e">
        <f ca="1">IF($BY115=0,0,IF($BW115&lt;=Control!$C$89,$BU115*(30+(60-30)*(BX115/Control!$C$89)),0))</f>
        <v>#N/A</v>
      </c>
      <c r="CA115" s="140" t="e">
        <f ca="1">IF($BG115+$BM115+$BS115+$BY115=1,0,IF(OR(AND($BB115&lt;65,$BB115&gt;=60),$BW115&gt;=Control!$C$89),1*$BA115,$CE114))</f>
        <v>#N/A</v>
      </c>
      <c r="CB115" s="140" t="e">
        <f ca="1">IF($BX115&lt;0,-$BX115,$CA115*IF(OR($G115&lt;Control!$C$92,$G115&gt;Control!$C$95),0,IF(AND($G115&gt;=Control!$C$92,$G115&lt;=Control!$C$93),$G115-Control!$C$92,IF(AND($G115&gt;Control!$C$93,$G115&lt;=Control!$C$94),Control!$C$93-Control!$C$92,IF(AND($G115&gt;Control!$C$94,$G115&lt;=Control!$C$95),(Control!$C$93-Control!$C$92)*(Control!$C$94-$G115)/(Control!$C$95-Control!$C$94))))))</f>
        <v>#N/A</v>
      </c>
      <c r="CC115" s="140" t="e">
        <f t="shared" ca="1" si="368"/>
        <v>#N/A</v>
      </c>
      <c r="CD115" s="140" t="e">
        <f ca="1">IF($CC115&lt;=Control!$C$90,$CC115,Control!$C$90-$CC115)</f>
        <v>#N/A</v>
      </c>
      <c r="CE115" s="140" t="e">
        <f ca="1">IF(AND($BB115&gt;=60,$BB115&lt;65),1,IF($CC115&gt;=Control!$C$90,0,$CA115))</f>
        <v>#N/A</v>
      </c>
      <c r="CF115" s="404" t="e">
        <f ca="1">IF($CE115=0,0,IF($CC115&lt;=Control!$C$90,$CA115*(60+(65-60)*(CD115/Control!$C$90)),0))</f>
        <v>#N/A</v>
      </c>
      <c r="CG115" s="140" t="e">
        <f ca="1">IF($BG115+$BM115+$BS115+$BY115+$CE115=1,0,IF(OR(AND($BB115&lt;90,$BB115&gt;=65),$CC115&gt;=Control!$C$90),$BA115,$CK114))</f>
        <v>#N/A</v>
      </c>
      <c r="CH115" s="140" t="e">
        <f ca="1">IF($CD115&lt;0,-$CD115,$CG115*IF(OR($G115&lt;Control!$C$92,$G115&gt;Control!$C$95),0,IF(AND($G115&gt;=Control!$C$92,$G115&lt;=Control!$C$93),$G115-Control!$C$92,IF(AND($G115&gt;Control!$C$93,$G115&lt;=Control!$C$94),Control!$C$93-Control!$C$92,IF(AND($G115&gt;Control!$C$94,$G115&lt;=Control!$C$95),(Control!$C$93-Control!$C$92)*(Control!$C$94-$G115)/(Control!$C$95-Control!$C$94))))))</f>
        <v>#N/A</v>
      </c>
      <c r="CI115" s="140" t="e">
        <f t="shared" ca="1" si="369"/>
        <v>#N/A</v>
      </c>
      <c r="CJ115" s="140" t="e">
        <f ca="1">IF($CI115&lt;=Control!$C$91,$CI115,Control!$C$91-$CI115)</f>
        <v>#N/A</v>
      </c>
      <c r="CK115" s="140" t="e">
        <f ca="1">IF(AND($BB115&gt;=65,$BB115&lt;90),1,IF($CI115&gt;=Control!$C$91,0,$CG115))</f>
        <v>#N/A</v>
      </c>
      <c r="CL115" s="404" t="e">
        <f ca="1">IF($CK115=0,0,IF($CI115&lt;=Control!$C$91,$CG115*(65+(90-65)*($CJ115/Control!$C$91)),0))</f>
        <v>#N/A</v>
      </c>
      <c r="CM115" s="140" t="e">
        <f ca="1">IF($BG115+$BM115+$BS115+$BY115+$CE115+$CK115=1,0,IF(OR($BB115&gt;=90,$CI115&gt;=Control!$C$91),$BA115,$CM114))</f>
        <v>#N/A</v>
      </c>
      <c r="CN115" s="140" t="e">
        <f t="shared" ca="1" si="370"/>
        <v>#N/A</v>
      </c>
      <c r="CO115" s="140" t="e">
        <f t="shared" ca="1" si="371"/>
        <v>#N/A</v>
      </c>
      <c r="CP115" s="140" t="e">
        <f t="shared" ca="1" si="372"/>
        <v>#N/A</v>
      </c>
      <c r="CQ115" s="141" t="e">
        <f ca="1">VLOOKUP($CP115,Control!$B$86:$G$91,6)</f>
        <v>#N/A</v>
      </c>
      <c r="CR115" s="141" t="e">
        <f ca="1">(1-$CQ115)*VLOOKUP($CP115,Control!$B$86:$D$91,3)</f>
        <v>#N/A</v>
      </c>
      <c r="CS115" s="141" t="e">
        <f ca="1">(1-$CQ115)*VLOOKUP($CP115,Control!$B$86:$E$91,4)</f>
        <v>#N/A</v>
      </c>
      <c r="CT115" s="141" t="e">
        <f ca="1">(1-$CQ115)*VLOOKUP($CP115,Control!$B$86:$F$91,5)</f>
        <v>#N/A</v>
      </c>
      <c r="CU115" s="141">
        <f t="shared" ca="1" si="373"/>
        <v>0</v>
      </c>
      <c r="CV115" s="583">
        <f t="shared" ca="1" si="374"/>
        <v>0</v>
      </c>
      <c r="CW115" s="142">
        <f t="shared" ca="1" si="375"/>
        <v>111</v>
      </c>
      <c r="CX115" s="612" t="e">
        <f ca="1">IF(Control!$C$114=1,(MIN(Control!$C$120*(IF($NT115-0.01&lt;0,0,1)),Control!$C$119-$CY115)))</f>
        <v>#DIV/0!</v>
      </c>
      <c r="CY115" s="143" t="e">
        <f t="shared" ca="1" si="376"/>
        <v>#N/A</v>
      </c>
      <c r="CZ115" s="144">
        <f t="shared" ca="1" si="253"/>
        <v>0</v>
      </c>
      <c r="DA115" s="144">
        <f t="shared" ca="1" si="254"/>
        <v>0</v>
      </c>
      <c r="DB115" s="144" t="e">
        <f t="shared" ca="1" si="255"/>
        <v>#N/A</v>
      </c>
      <c r="DC115" s="144" t="e">
        <f t="shared" ca="1" si="256"/>
        <v>#N/A</v>
      </c>
      <c r="DD115" s="144" t="e">
        <f t="shared" ca="1" si="461"/>
        <v>#N/A</v>
      </c>
      <c r="DE115" s="143" t="e">
        <f t="shared" ca="1" si="377"/>
        <v>#N/A</v>
      </c>
      <c r="DF115" s="145" t="e">
        <f ca="1">$DR115*EXP(-Control!$C$158*(1-$KH115))</f>
        <v>#N/A</v>
      </c>
      <c r="DG115" s="146" t="e">
        <f ca="1">IF(Control!$C$114=1, $DF115*$EY115, 0)</f>
        <v>#N/A</v>
      </c>
      <c r="DH115" s="147" t="e">
        <f t="shared" ca="1" si="378"/>
        <v>#N/A</v>
      </c>
      <c r="DI115" s="144" t="e">
        <f t="shared" ca="1" si="439"/>
        <v>#N/A</v>
      </c>
      <c r="DJ115" s="147" t="e">
        <f ca="1">$EF115*Control!$C$109</f>
        <v>#N/A</v>
      </c>
      <c r="DK115" s="144" t="e">
        <f t="shared" ca="1" si="379"/>
        <v>#N/A</v>
      </c>
      <c r="DL115" s="144" t="e">
        <f t="shared" ca="1" si="257"/>
        <v>#N/A</v>
      </c>
      <c r="DM115" s="144" t="e">
        <f ca="1">IF(Control!$C$114=1, (1-EXP(-Control!$C$96*$DK115))*$AR115, 0)</f>
        <v>#N/A</v>
      </c>
      <c r="DN115" s="144">
        <f t="shared" ca="1" si="380"/>
        <v>0</v>
      </c>
      <c r="DO115" s="148">
        <f>Control!$C$97</f>
        <v>4</v>
      </c>
      <c r="DP115" s="145" t="e">
        <f t="shared" ca="1" si="381"/>
        <v>#N/A</v>
      </c>
      <c r="DQ115" s="145" t="e">
        <f ca="1">IF(AND($CP115&gt;=0,$CP115&lt;=90),Control!$C$111,Control!$C$111)</f>
        <v>#N/A</v>
      </c>
      <c r="DR115" s="145" t="e">
        <f t="shared" ca="1" si="258"/>
        <v>#N/A</v>
      </c>
      <c r="DS115" s="143" t="e">
        <f ca="1">Control!$B$22/$DR115</f>
        <v>#N/A</v>
      </c>
      <c r="DT115" s="149" t="e">
        <f ca="1">IF(AND(Control!$C$114=1,$KH115&lt;1),$IM115*$DF115, 0)</f>
        <v>#N/A</v>
      </c>
      <c r="DU115" s="144" t="e">
        <f t="shared" ca="1" si="382"/>
        <v>#N/A</v>
      </c>
      <c r="DV115" s="144">
        <f ca="1">IF($G115-Control!$C$107&lt;=0, 0, 0.83*LN(MAX($G115, 3))-0.8924)</f>
        <v>0</v>
      </c>
      <c r="DW115" s="144" t="e">
        <f t="shared" ca="1" si="259"/>
        <v>#N/A</v>
      </c>
      <c r="DX115" s="150" t="e">
        <f ca="1">MAX(0.01*(1+$CU115/Control!$C$102),0.05*($DK115-Control!$C$97)/Control!$C$97)</f>
        <v>#N/A</v>
      </c>
      <c r="DY115" s="151" t="e">
        <f ca="1">IF(Control!$C$114=1, $DI115*$FS115, 0)</f>
        <v>#N/A</v>
      </c>
      <c r="DZ115" s="196" t="e">
        <f t="shared" ca="1" si="383"/>
        <v>#N/A</v>
      </c>
      <c r="EA115" s="152">
        <f t="shared" ca="1" si="384"/>
        <v>111</v>
      </c>
      <c r="EB115" s="153" t="e">
        <f t="shared" ca="1" si="385"/>
        <v>#N/A</v>
      </c>
      <c r="EC115" s="153" t="e">
        <f t="shared" ca="1" si="386"/>
        <v>#N/A</v>
      </c>
      <c r="ED115" s="154" t="e">
        <f ca="1">IF(Control!$C$114=1, $HM115*$FY115-$FD115, 0)</f>
        <v>#DIV/0!</v>
      </c>
      <c r="EE115" s="155" t="e">
        <f ca="1">IF(Control!$C$114=1, $HM115*$FZ115-$FF115, 0)</f>
        <v>#DIV/0!</v>
      </c>
      <c r="EF115" s="153" t="e">
        <f t="shared" ca="1" si="440"/>
        <v>#N/A</v>
      </c>
      <c r="EG115" s="155" t="e">
        <f ca="1">IF(Control!$C$114=1, $GX115*$FW115-$FI115, 0)</f>
        <v>#DIV/0!</v>
      </c>
      <c r="EH115" s="153" t="e">
        <f t="shared" ca="1" si="387"/>
        <v>#N/A</v>
      </c>
      <c r="EI115" s="156" t="e">
        <f t="shared" ca="1" si="388"/>
        <v>#N/A</v>
      </c>
      <c r="EJ115" s="155" t="e">
        <f ca="1">IF(Control!$C$114=1, $HM115*$GB115, 0)</f>
        <v>#DIV/0!</v>
      </c>
      <c r="EK115" s="153" t="e">
        <f t="shared" ca="1" si="441"/>
        <v>#N/A</v>
      </c>
      <c r="EL115" s="153" t="e">
        <f t="shared" ca="1" si="260"/>
        <v>#N/A</v>
      </c>
      <c r="EM115" s="153" t="e">
        <f t="shared" ca="1" si="261"/>
        <v>#N/A</v>
      </c>
      <c r="EN115" s="153" t="e">
        <f ca="1">IF(Control!$C$108=1,IF(AND(Control!$B$18=1,$EB115&gt;=Control!$B$19),$EB115-$DS115,IF(AND(Control!$B$18=2,$AW115=1,$EB115&gt;$DS115),$EB115-$DS115,0)))</f>
        <v>#N/A</v>
      </c>
      <c r="EO115" s="153" t="e">
        <f ca="1">IF(Control!$C$108=1,IF(AND(Control!$B$18=1,$EB115&gt;=Control!$B$19),$EF115,IF(AND(Control!$B$18=2,$AW115=1),$EF115,0)))</f>
        <v>#N/A</v>
      </c>
      <c r="EP115" s="153" t="e">
        <f ca="1">IF(Control!$C$108=1,IF(AND(Control!$B$18=1,$EB115&gt;=Control!$B$19),$EK115,IF(AND(Control!$B$18=2,$AW115=1),$EK115,0)))</f>
        <v>#N/A</v>
      </c>
      <c r="EQ115" s="153" t="e">
        <f t="shared" ca="1" si="389"/>
        <v>#N/A</v>
      </c>
      <c r="ER115" s="153" t="e">
        <f t="shared" ca="1" si="390"/>
        <v>#N/A</v>
      </c>
      <c r="ES115" s="153" t="e">
        <f t="shared" ca="1" si="442"/>
        <v>#N/A</v>
      </c>
      <c r="ET115" s="153" t="e">
        <f t="shared" ca="1" si="443"/>
        <v>#N/A</v>
      </c>
      <c r="EU115" s="153" t="e">
        <f t="shared" ca="1" si="391"/>
        <v>#N/A</v>
      </c>
      <c r="EV115" s="153" t="e">
        <f t="shared" ca="1" si="262"/>
        <v>#N/A</v>
      </c>
      <c r="EW115" s="153" t="e">
        <f t="shared" ca="1" si="263"/>
        <v>#N/A</v>
      </c>
      <c r="EX115" s="153" t="e">
        <f t="shared" ca="1" si="264"/>
        <v>#N/A</v>
      </c>
      <c r="EY115" s="157" t="e">
        <f t="shared" ca="1" si="265"/>
        <v>#DIV/0!</v>
      </c>
      <c r="EZ115" s="154" t="e">
        <f t="shared" ca="1" si="266"/>
        <v>#DIV/0!</v>
      </c>
      <c r="FA115" s="153" t="e">
        <f t="shared" ca="1" si="392"/>
        <v>#N/A</v>
      </c>
      <c r="FB115" s="153" t="e">
        <f t="shared" ca="1" si="267"/>
        <v>#N/A</v>
      </c>
      <c r="FC115" s="193" t="e">
        <f t="shared" ca="1" si="268"/>
        <v>#N/A</v>
      </c>
      <c r="FD115" s="158" t="e">
        <f t="shared" ca="1" si="393"/>
        <v>#N/A</v>
      </c>
      <c r="FE115" s="158" t="e">
        <f t="shared" ca="1" si="394"/>
        <v>#N/A</v>
      </c>
      <c r="FF115" s="159" t="e">
        <f t="shared" ca="1" si="269"/>
        <v>#N/A</v>
      </c>
      <c r="FG115" s="160" t="e">
        <f t="shared" ca="1" si="395"/>
        <v>#N/A</v>
      </c>
      <c r="FH115" s="158" t="e">
        <f t="shared" ca="1" si="396"/>
        <v>#N/A</v>
      </c>
      <c r="FI115" s="159" t="e">
        <f t="shared" ca="1" si="270"/>
        <v>#N/A</v>
      </c>
      <c r="FJ115" s="160" t="e">
        <f t="shared" ca="1" si="397"/>
        <v>#N/A</v>
      </c>
      <c r="FK115" s="160" t="e">
        <f t="shared" ca="1" si="271"/>
        <v>#N/A</v>
      </c>
      <c r="FL115" s="160" t="e">
        <f t="shared" ca="1" si="444"/>
        <v>#N/A</v>
      </c>
      <c r="FM115" s="160" t="e">
        <f t="shared" ca="1" si="272"/>
        <v>#N/A</v>
      </c>
      <c r="FN115" s="158">
        <f t="shared" ca="1" si="398"/>
        <v>0.01</v>
      </c>
      <c r="FO115" s="160">
        <f>Control!$C$101</f>
        <v>50</v>
      </c>
      <c r="FP115" s="150" t="e">
        <f t="shared" ca="1" si="273"/>
        <v>#N/A</v>
      </c>
      <c r="FQ115" s="150" t="e">
        <f ca="1">MAX(0,(Control!$C$112*(($DK115-Control!$C$97)/Control!$C$97)))</f>
        <v>#N/A</v>
      </c>
      <c r="FR115" s="150" t="e">
        <f ca="1">(1-$NT115)*Control!$C$113</f>
        <v>#DIV/0!</v>
      </c>
      <c r="FS115" s="198" t="e">
        <f t="shared" ca="1" si="274"/>
        <v>#N/A</v>
      </c>
      <c r="FT115" s="161">
        <f t="shared" ca="1" si="399"/>
        <v>111</v>
      </c>
      <c r="FU115" s="162" t="e">
        <f ca="1">IF(Control!$B$34=1,VLOOKUP($CP115,Control!$B$86:$G$91,6),Control!$B$35)</f>
        <v>#N/A</v>
      </c>
      <c r="FV115" s="162" t="e">
        <f t="shared" ca="1" si="275"/>
        <v>#DIV/0!</v>
      </c>
      <c r="FW115" s="162" t="e">
        <f ca="1">IF(Control!$B$31=1,$FU115*$FV115,  $FU115)</f>
        <v>#N/A</v>
      </c>
      <c r="FX115" s="162" t="e">
        <f ca="1">IF(Control!$B$34=1,VLOOKUP($CP115,Control!$B$86:$G$91,3),Control!$B$36)</f>
        <v>#N/A</v>
      </c>
      <c r="FY115" s="162" t="e">
        <f t="shared" ca="1" si="276"/>
        <v>#N/A</v>
      </c>
      <c r="FZ115" s="162" t="e">
        <f ca="1">IF(Control!$B$34=1,VLOOKUP($CP115,Control!$B$86:$G$91,4),Control!$B$37)</f>
        <v>#N/A</v>
      </c>
      <c r="GA115" s="162" t="e">
        <f t="shared" ca="1" si="277"/>
        <v>#N/A</v>
      </c>
      <c r="GB115" s="162" t="e">
        <f ca="1">IF(Control!$B$34=1,VLOOKUP($CP115,Control!$B$86:$G$91,5),Control!$B$38)</f>
        <v>#N/A</v>
      </c>
      <c r="GC115" s="162" t="e">
        <f t="shared" ca="1" si="400"/>
        <v>#N/A</v>
      </c>
      <c r="GD115" s="162">
        <f t="shared" ca="1" si="278"/>
        <v>1</v>
      </c>
      <c r="GE115" s="162">
        <f t="shared" ca="1" si="279"/>
        <v>1</v>
      </c>
      <c r="GF115" s="162">
        <f ca="1">IF(AND(Control!$C$104=1, Control!$C$62="F"),$GE115,1)</f>
        <v>1</v>
      </c>
      <c r="GG115" s="162" t="e">
        <f ca="1">IF(Control!$B$16=40,0,IF(AND(Control!$B$16&gt;40,Control!$B$16&lt;=360),(Control!$B$16-40)*((1-0)/(360-40)),IF(AND(Control!$B$16&gt;360,Control!$B$16&lt;=720),(1+(Control!$B$16-360)*((1.25-1)/(720-360))),IF(AND(Control!$B$16&gt;720,Control!$B$16&lt;=1000),(1.25+(Control!$B$16-720)*((1.35-1.25)/(1000-720))),IF(AND(Control!$B$16&gt;1000,Control!$B$16&lt;=2000),(1.35+(Control!$B$16-1000)*0))))))</f>
        <v>#N/A</v>
      </c>
      <c r="GH115" s="162" t="e">
        <f t="shared" ca="1" si="280"/>
        <v>#N/A</v>
      </c>
      <c r="GI115" s="162">
        <f t="shared" ca="1" si="401"/>
        <v>0</v>
      </c>
      <c r="GJ115" s="162">
        <f t="shared" ca="1" si="281"/>
        <v>0</v>
      </c>
      <c r="GK115" s="162">
        <f t="shared" ca="1" si="402"/>
        <v>1</v>
      </c>
      <c r="GL115" s="162">
        <f t="shared" ca="1" si="282"/>
        <v>1</v>
      </c>
      <c r="GM115" s="162" t="e">
        <f ca="1">MAX(0,MIN(1,1-Control!$C$156*(1.0001-$KH115)^2))</f>
        <v>#N/A</v>
      </c>
      <c r="GN115" s="162" t="e">
        <f ca="1">IF(Control!$B$26=1,$KU115,$KX115)</f>
        <v>#N/A</v>
      </c>
      <c r="GO115" s="162" t="e">
        <f ca="1">IF($CP115&lt;=60,Control!$C$105,IF($CP115&gt;=90,Control!$C$106,Control!$C$105+($CP115-60)*((Control!$C$106-Control!$C$105)/(90-60))))</f>
        <v>#N/A</v>
      </c>
      <c r="GP115" s="162" t="e">
        <f t="shared" ca="1" si="283"/>
        <v>#N/A</v>
      </c>
      <c r="GQ115" s="162" t="e">
        <f t="shared" ca="1" si="403"/>
        <v>#N/A</v>
      </c>
      <c r="GR115" s="163" t="e">
        <f t="shared" ca="1" si="284"/>
        <v>#DIV/0!</v>
      </c>
      <c r="GS115" s="162" t="e">
        <f t="shared" ca="1" si="285"/>
        <v>#DIV/0!</v>
      </c>
      <c r="GT115" s="164" t="e">
        <f t="shared" ca="1" si="404"/>
        <v>#N/A</v>
      </c>
      <c r="GU115" s="162" t="e">
        <f t="shared" ca="1" si="405"/>
        <v>#N/A</v>
      </c>
      <c r="GV115" s="162" t="e">
        <f t="shared" ca="1" si="286"/>
        <v>#N/A</v>
      </c>
      <c r="GW115" s="162" t="e">
        <f t="shared" ca="1" si="287"/>
        <v>#DIV/0!</v>
      </c>
      <c r="GX115" s="162" t="e">
        <f t="shared" ca="1" si="406"/>
        <v>#DIV/0!</v>
      </c>
      <c r="GY115" s="162" t="e">
        <f t="shared" ca="1" si="407"/>
        <v>#DIV/0!</v>
      </c>
      <c r="GZ115" s="165" t="e">
        <f t="shared" ca="1" si="288"/>
        <v>#N/A</v>
      </c>
      <c r="HA115" s="162" t="e">
        <f ca="1">IF(Control!$C$114=1, $DI115*$FS115, 0)</f>
        <v>#N/A</v>
      </c>
      <c r="HB115" s="162" t="e">
        <f ca="1">$FA115/Control!$C$64</f>
        <v>#N/A</v>
      </c>
      <c r="HC115" s="162" t="e">
        <f t="shared" ca="1" si="289"/>
        <v>#DIV/0!</v>
      </c>
      <c r="HD115" s="162">
        <f ca="1">-ASIN(SIN(23.45*Control!$C$139)*COS(2*Control!$C$138*($AH115+10)/365))</f>
        <v>0.19626597074774615</v>
      </c>
      <c r="HE115" s="165">
        <f t="shared" ca="1" si="408"/>
        <v>0</v>
      </c>
      <c r="HF115" s="166">
        <f ca="1">IF(AND(Control!$C$61="T",$HE115&gt;=Control!$C$103,Control!$C$114=0),$AH115,Control!$C$59)</f>
        <v>1</v>
      </c>
      <c r="HG115" s="166">
        <f ca="1">IF(AND(Control!$C$61="T",$HE115&gt;=Control!$C$103,Control!$C$114=0),$HF115,Control!$C$59)</f>
        <v>1</v>
      </c>
      <c r="HH115" s="165">
        <f ca="1">IF(AND(OR(Control!$C$60&lt;=0, $AH115= Control!$C$59, Control!$C$60 &gt;0, $AH115 = Control!$C$60)), Control!$C$59, IF(Control!$C$60&gt;0, 0))</f>
        <v>1</v>
      </c>
      <c r="HI115" s="165">
        <f ca="1">IF(AND(OR(Control!$C$60&lt;=0, $AH115= Control!$C$59, Control!$C$60 &gt;0, $AH115 = Control!$C$60)), Control!$C$60, IF(Control!$C$60&lt;=0, 0))</f>
        <v>0</v>
      </c>
      <c r="HJ115" s="166">
        <f ca="1">IF(AND(Control!$C$62="F",$CV115&gt;=Control!$C$102),$AH115,0)</f>
        <v>0</v>
      </c>
      <c r="HK115" s="165" t="e">
        <f t="shared" ca="1" si="445"/>
        <v>#N/A</v>
      </c>
      <c r="HL115" s="166">
        <f ca="1">IF(AND(Control!$C$61="T",$HE115&gt;=Control!$C$103,Control!$C$114=0),$HF115,0)</f>
        <v>0</v>
      </c>
      <c r="HM115" s="201" t="e">
        <f t="shared" ca="1" si="290"/>
        <v>#DIV/0!</v>
      </c>
      <c r="HN115" s="215">
        <f t="shared" ca="1" si="409"/>
        <v>111</v>
      </c>
      <c r="HO115" s="216" t="e">
        <f ca="1">IF(AND($CP115&gt;=0, $CP115&lt;=90), Control!$C$152, Control!$C$152)</f>
        <v>#N/A</v>
      </c>
      <c r="HP115" s="216" t="e">
        <f t="shared" ca="1" si="291"/>
        <v>#N/A</v>
      </c>
      <c r="HQ115" s="217" t="e">
        <f ca="1">IF(OR(Control!$B$26=1,Control!$B$26=2),$KV115,$KS115)</f>
        <v>#DIV/0!</v>
      </c>
      <c r="HR115" s="218" t="e">
        <f t="shared" ca="1" si="446"/>
        <v>#DIV/0!</v>
      </c>
      <c r="HS115" s="216" t="e">
        <f ca="1">Control!$C$154*$HP115</f>
        <v>#N/A</v>
      </c>
      <c r="HT115" s="216" t="e">
        <f ca="1">Control!$C$155*$HP115</f>
        <v>#N/A</v>
      </c>
      <c r="HU115" s="217" t="e">
        <f ca="1">Control!$C$161*$FI115</f>
        <v>#N/A</v>
      </c>
      <c r="HV115" s="218" t="e">
        <f t="shared" ca="1" si="410"/>
        <v>#N/A</v>
      </c>
      <c r="HW115" s="218" t="e">
        <f ca="1">Control!$C$160*$FF115+$IP115*$EO115</f>
        <v>#N/A</v>
      </c>
      <c r="HX115" s="218" t="e">
        <f t="shared" ca="1" si="447"/>
        <v>#N/A</v>
      </c>
      <c r="HY115" s="219" t="e">
        <f ca="1">IF(Control!$C$114=1, $EB115*$FS115, 0)</f>
        <v>#N/A</v>
      </c>
      <c r="HZ115" s="91" t="e">
        <f t="shared" ca="1" si="292"/>
        <v>#N/A</v>
      </c>
      <c r="IA115" s="220" t="e">
        <f ca="1">Control!$C$153*$HO115</f>
        <v>#N/A</v>
      </c>
      <c r="IB115" s="218" t="e">
        <f t="shared" ca="1" si="293"/>
        <v>#N/A</v>
      </c>
      <c r="IC115" s="220" t="e">
        <f ca="1">Control!$C$153*$HT115</f>
        <v>#N/A</v>
      </c>
      <c r="ID115" s="218" t="e">
        <f t="shared" ca="1" si="294"/>
        <v>#N/A</v>
      </c>
      <c r="IE115" s="221" t="e">
        <f ca="1">($EB115*Control!$C$159+$EF115*Control!$C$160)/(IF($GZ115&lt;&gt;0,$GZ115,1))</f>
        <v>#N/A</v>
      </c>
      <c r="IF115" s="216" t="e">
        <f t="shared" ca="1" si="295"/>
        <v>#N/A</v>
      </c>
      <c r="IG115" s="91">
        <f ca="1">IF(OR(Control!$B$198=$AH115,Control!$B$199=$AH115, Control!$B$200=$AH115, Control!$B$201=$AH115, Control!$B$202=$AH115, Control!$B$203=$AH115, Control!$B$204=$AH115, Control!$B$205=$AH115, Control!$B$206=$AH115, Control!$B$207=$AH115), 1, 0)</f>
        <v>0</v>
      </c>
      <c r="IH115" s="91">
        <f ca="1">IF($IG115=0,0, VLOOKUP($AH115,Control!$B$198:$C$207,2))</f>
        <v>0</v>
      </c>
      <c r="II115" s="222">
        <f t="shared" ca="1" si="411"/>
        <v>0</v>
      </c>
      <c r="IJ115" s="91">
        <f>Control!$C$121</f>
        <v>0.7</v>
      </c>
      <c r="IK115" s="218">
        <f t="shared" ca="1" si="296"/>
        <v>0</v>
      </c>
      <c r="IL115" s="217" t="e">
        <f t="shared" ca="1" si="448"/>
        <v>#N/A</v>
      </c>
      <c r="IM115" s="223" t="e">
        <f ca="1">IF(AND(Control!$C$114=1,$KH115&lt;1),$EB115*Control!$C$148*(1-$KH115), 0)</f>
        <v>#N/A</v>
      </c>
      <c r="IN115" s="217" t="e">
        <f t="shared" ca="1" si="297"/>
        <v>#DIV/0!</v>
      </c>
      <c r="IO115" s="91" t="e">
        <f ca="1">MAX(0,$IL115-$EF115*Control!$C$160)</f>
        <v>#N/A</v>
      </c>
      <c r="IP115" s="220" t="e">
        <f t="shared" ca="1" si="298"/>
        <v>#N/A</v>
      </c>
      <c r="IQ115" s="217" t="e">
        <f t="shared" ca="1" si="412"/>
        <v>#N/A</v>
      </c>
      <c r="IR115" s="218" t="e">
        <f t="shared" ca="1" si="299"/>
        <v>#N/A</v>
      </c>
      <c r="IS115" s="217" t="e">
        <f ca="1">Control!$C$159*MAX(0,$FD115-$EN115)</f>
        <v>#N/A</v>
      </c>
      <c r="IT115" s="217" t="e">
        <f t="shared" ca="1" si="449"/>
        <v>#N/A</v>
      </c>
      <c r="IU115" s="217" t="e">
        <f t="shared" ca="1" si="413"/>
        <v>#N/A</v>
      </c>
      <c r="IV115" s="217" t="e">
        <f t="shared" ca="1" si="450"/>
        <v>#N/A</v>
      </c>
      <c r="IW115" s="217" t="e">
        <f ca="1">IF(OR($AW115=1,AND($AW115=0, Control!$B$18=1,$EN115&lt;&gt;0)), $IQ115-$IU115, $IQ115)</f>
        <v>#N/A</v>
      </c>
      <c r="IX115" s="218" t="e">
        <f t="shared" ca="1" si="300"/>
        <v>#N/A</v>
      </c>
      <c r="IY115" s="218" t="e">
        <f ca="1">MAX(0,$IQ115-$EB115*Control!$C$159)</f>
        <v>#N/A</v>
      </c>
      <c r="IZ115" s="218" t="e">
        <f t="shared" ca="1" si="301"/>
        <v>#N/A</v>
      </c>
      <c r="JA115" s="216" t="e">
        <f t="shared" ca="1" si="302"/>
        <v>#N/A</v>
      </c>
      <c r="JB115" s="217" t="e">
        <f t="shared" ca="1" si="303"/>
        <v>#N/A</v>
      </c>
      <c r="JC115" s="222" t="e">
        <f ca="1">MAX(Control!$C$157*$EK115-$JT115, 0)/Control!$C$162</f>
        <v>#N/A</v>
      </c>
      <c r="JD115" s="218" t="e">
        <f t="shared" ca="1" si="304"/>
        <v>#N/A</v>
      </c>
      <c r="JE115" s="218" t="e">
        <f t="shared" ca="1" si="305"/>
        <v>#N/A</v>
      </c>
      <c r="JF115" s="218" t="e">
        <f t="shared" ca="1" si="414"/>
        <v>#N/A</v>
      </c>
      <c r="JG115" s="218" t="e">
        <f t="shared" ca="1" si="306"/>
        <v>#N/A</v>
      </c>
      <c r="JH115" s="217" t="e">
        <f t="shared" ca="1" si="415"/>
        <v>#N/A</v>
      </c>
      <c r="JI115" s="217" t="e">
        <f t="shared" ca="1" si="416"/>
        <v>#N/A</v>
      </c>
      <c r="JJ115" s="217" t="e">
        <f t="shared" ca="1" si="451"/>
        <v>#N/A</v>
      </c>
      <c r="JK115" s="217" t="e">
        <f ca="1">IF(Control!$C$114=1,IF(Control!$B$24=0,MAX(0,$JI115)*$GN115/Control!$C$64,(MAX(0,MIN($JI115,$JJ115*$GN115/Control!$C$64),0))))</f>
        <v>#N/A</v>
      </c>
      <c r="JL115" s="217" t="e">
        <f ca="1">$IK115/Control!$C$64-$JK115+$HQ115</f>
        <v>#N/A</v>
      </c>
      <c r="JM115" s="217" t="e">
        <f ca="1">IF(Control!$C$114=1,($JB115/(IF($JI115&lt;&gt;0,$JI115,1)))*$JK115,0)</f>
        <v>#N/A</v>
      </c>
      <c r="JN115" s="217" t="e">
        <f ca="1">IF(Control!$C$114=1,($JG115/(IF($JI115&lt;&gt;0,$JI115,1)))*$JK115, 0)</f>
        <v>#N/A</v>
      </c>
      <c r="JO115" s="218" t="e">
        <f t="shared" ca="1" si="307"/>
        <v>#N/A</v>
      </c>
      <c r="JP115" s="218" t="e">
        <f ca="1">MIN(($IY115+$IO115)*Control!$C$151, $JF115-$EH115*Control!$C$161)</f>
        <v>#N/A</v>
      </c>
      <c r="JQ115" s="218" t="e">
        <f t="shared" ca="1" si="308"/>
        <v>#N/A</v>
      </c>
      <c r="JR115" s="217" t="e">
        <f ca="1">IF($CP115-Control!$C$150&lt;0, 0, $JQ115/Control!$C$162)</f>
        <v>#N/A</v>
      </c>
      <c r="JS115" s="218" t="e">
        <f t="shared" ca="1" si="309"/>
        <v>#N/A</v>
      </c>
      <c r="JT115" s="218" t="e">
        <f t="shared" ca="1" si="417"/>
        <v>#N/A</v>
      </c>
      <c r="JU115" s="218" t="e">
        <f t="shared" ca="1" si="310"/>
        <v>#N/A</v>
      </c>
      <c r="JV115" s="218" t="e">
        <f t="shared" ca="1" si="311"/>
        <v>#N/A</v>
      </c>
      <c r="JW115" s="216" t="e">
        <f t="shared" ca="1" si="312"/>
        <v>#N/A</v>
      </c>
      <c r="JX115" s="91" t="e">
        <f t="shared" ca="1" si="313"/>
        <v>#N/A</v>
      </c>
      <c r="JY115" s="218" t="e">
        <f t="shared" ca="1" si="314"/>
        <v>#N/A</v>
      </c>
      <c r="JZ115" s="217" t="e">
        <f ca="1">IF(Control!$C$114=1,($IZ115/(IF($JI115&lt;&gt;0,$JI115,1)))*$JK115, 0)</f>
        <v>#N/A</v>
      </c>
      <c r="KA115" s="218" t="e">
        <f t="shared" ca="1" si="452"/>
        <v>#N/A</v>
      </c>
      <c r="KB115" s="218" t="e">
        <f t="shared" ca="1" si="418"/>
        <v>#N/A</v>
      </c>
      <c r="KC115" s="218" t="e">
        <f t="shared" ca="1" si="315"/>
        <v>#N/A</v>
      </c>
      <c r="KD115" s="218" t="e">
        <f t="shared" ca="1" si="316"/>
        <v>#N/A</v>
      </c>
      <c r="KE115" s="218" t="e">
        <f t="shared" ca="1" si="317"/>
        <v>#N/A</v>
      </c>
      <c r="KF115" s="218" t="e">
        <f t="shared" ca="1" si="318"/>
        <v>#N/A</v>
      </c>
      <c r="KG115" s="216" t="e">
        <f t="shared" ca="1" si="319"/>
        <v>#N/A</v>
      </c>
      <c r="KH115" s="221" t="e">
        <f ca="1">IF(Control!$B$24=0,1,MAX(0.001,MIN(1,IF(($IF115-$IE115)&lt;&gt;0,($KG115-$IE115)/($IF115-$IE115),1))))</f>
        <v>#N/A</v>
      </c>
      <c r="KI115" s="222" t="e">
        <f ca="1">IF(Control!$C$114=1, $KI114+ $KH114, 0)</f>
        <v>#N/A</v>
      </c>
      <c r="KJ115" s="217" t="e">
        <f t="shared" ca="1" si="320"/>
        <v>#N/A</v>
      </c>
      <c r="KK115" s="218" t="e">
        <f t="shared" ca="1" si="321"/>
        <v>#N/A</v>
      </c>
      <c r="KL115" s="274" t="e">
        <f ca="1">IF(Control!$B$26=3,4000000000*EXP(-8400/($G115+273)),IF(Control!$B$26=4,4000000000*EXP(-8400/($G115+273))*($KT115),0))</f>
        <v>#DIV/0!</v>
      </c>
      <c r="KM115" s="274" t="e">
        <f ca="1">IF(Control!$B$26=3,5600000000000*EXP(-9800/($G115+273)),IF(Control!$B$26=4,5600000000000*EXP(-9800/($G115+273))*$KT115,0))</f>
        <v>#DIV/0!</v>
      </c>
      <c r="KN115" s="454" t="e">
        <f t="shared" ca="1" si="419"/>
        <v>#DIV/0!</v>
      </c>
      <c r="KO115" s="274" t="e">
        <f t="shared" ca="1" si="420"/>
        <v>#DIV/0!</v>
      </c>
      <c r="KP115" s="454" t="e">
        <f t="shared" ca="1" si="322"/>
        <v>#DIV/0!</v>
      </c>
      <c r="KQ115" s="454" t="e">
        <f t="shared" ca="1" si="323"/>
        <v>#DIV/0!</v>
      </c>
      <c r="KR115" s="454" t="e">
        <f t="shared" ca="1" si="324"/>
        <v>#DIV/0!</v>
      </c>
      <c r="KS115" s="454" t="e">
        <f t="shared" ca="1" si="325"/>
        <v>#DIV/0!</v>
      </c>
      <c r="KT115" s="455" t="e">
        <f t="shared" ca="1" si="326"/>
        <v>#DIV/0!</v>
      </c>
      <c r="KU115" s="456" t="e">
        <f ca="1">IF($CP115-Control!$C$149&lt;0, IF($NT115-0.01&lt;0,0,1),0)</f>
        <v>#N/A</v>
      </c>
      <c r="KV115" s="456" t="e">
        <f ca="1">IF(Control!$C$114=1,MAX(0,MIN(Control!$C$125*$KW115*$GN115,$KW115)))</f>
        <v>#DIV/0!</v>
      </c>
      <c r="KW115" s="456" t="e">
        <f t="shared" ca="1" si="453"/>
        <v>#DIV/0!</v>
      </c>
      <c r="KX115" s="457" t="e">
        <f ca="1">IF($CP115-Control!$C$149&lt;0, IF($MR115-$OM115&lt;0,0,1),0)</f>
        <v>#N/A</v>
      </c>
      <c r="KY115" s="167">
        <f t="shared" ca="1" si="421"/>
        <v>111</v>
      </c>
      <c r="KZ115" s="168">
        <f ca="1">1370*(1+0.033*COS(2*Control!$C$138*$AH115/365))</f>
        <v>1354.9236860594301</v>
      </c>
      <c r="LA115" s="169">
        <f t="shared" ca="1" si="422"/>
        <v>0.98899553029569987</v>
      </c>
      <c r="LB115" s="169">
        <f t="shared" ca="1" si="423"/>
        <v>0.2034996669670204</v>
      </c>
      <c r="LC115" s="169">
        <f ca="1">ACOS(-TAN((2*Control!$B$8/360))*TAN(Calculations!$LB115))</f>
        <v>1.6321645209565399</v>
      </c>
      <c r="LD115" s="169">
        <f ca="1">((24*60)/PI())*0.082*$LA115*(($LC115*SIN(Control!$B$8*2*PI()/360))*SIN($LB115)+COS(Control!$B$8*2*PI()/360)*COS($LB115)*SIN($LC115))</f>
        <v>32.033459863913215</v>
      </c>
      <c r="LE115" s="170">
        <f t="shared" ca="1" si="327"/>
        <v>32.213563669416246</v>
      </c>
      <c r="LF115" s="170">
        <f ca="1">SIN(Control!$C$139*Control!$B$8)*SIN($HD115)</f>
        <v>0.15366893716731095</v>
      </c>
      <c r="LG115" s="170">
        <f ca="1">COS(Control!$C$139*Control!$B$8)*COS($HD115)</f>
        <v>0.60384010788689657</v>
      </c>
      <c r="LH115" s="170">
        <f ca="1">12*(1+2*ASIN(MAX(-1,MIN(1,$LF115/$LG115))/Control!$C$138))</f>
        <v>13.946258823887703</v>
      </c>
      <c r="LI115" s="170">
        <f ca="1">12*(1+2*ASIN(MAX(-1,MIN(1,(-SIN(-4*Control!$C$139)+$LF115)/$LG115))/Control!$C$138))</f>
        <v>14.833221118545747</v>
      </c>
      <c r="LJ115" s="168">
        <f ca="1">3600*($LH115*$LF115+24*$LG115*SQRT(1-$LK115*$LK115)/Control!$C$138)</f>
        <v>23775.186751000001</v>
      </c>
      <c r="LK115" s="170">
        <f t="shared" ca="1" si="328"/>
        <v>0.25448613823461724</v>
      </c>
      <c r="LL115" s="170">
        <f t="shared" ca="1" si="329"/>
        <v>0</v>
      </c>
      <c r="LM115" s="171">
        <f ca="1">Control!$C$145*$AB115</f>
        <v>6.6660906138995932E-2</v>
      </c>
      <c r="LN115" s="170">
        <f t="shared" ca="1" si="424"/>
        <v>0.54</v>
      </c>
      <c r="LO115" s="170">
        <f t="shared" ca="1" si="330"/>
        <v>0</v>
      </c>
      <c r="LP115" s="170">
        <f ca="1">Control!$C$140*((($D115+273.16)^4+($E115+273.16)^4)/2)*(0.34-0.14*SQRT($Y115))*(1.35*$AQ115/(0.75*$LD115)-0.35)</f>
        <v>-3.2464704755046001</v>
      </c>
      <c r="LQ115" s="170">
        <f ca="1">Control!$C$140*($G115+273)^4*(0.56-0.079*SQRT($Y115*10))*(0.1+0.9*$LO115)</f>
        <v>1.5241745131704001</v>
      </c>
      <c r="LR115" s="170">
        <f ca="1">$AQ115*(1-Control!$C$142)-$LQ115</f>
        <v>-1.5241745131704001</v>
      </c>
      <c r="LS115" s="170">
        <f ca="1">$AQ115*(1-Control!$C$143)-$LQ115</f>
        <v>-1.5241745131704001</v>
      </c>
      <c r="LT115" s="170">
        <f ca="1">$AQ115*(1-Control!$C$144)-$LQ115</f>
        <v>-1.5241745131704001</v>
      </c>
      <c r="LU115" s="169">
        <f ca="1">(1-Control!$C$144)*AQ115-LP115</f>
        <v>3.2464704755046001</v>
      </c>
      <c r="LV115" s="172">
        <f t="shared" ca="1" si="331"/>
        <v>0.79430000000000012</v>
      </c>
      <c r="LW115" s="170">
        <f t="shared" ca="1" si="332"/>
        <v>1.5886000000000002</v>
      </c>
      <c r="LX115" s="170">
        <f ca="1">($AC115*($LR115/Control!$C$141)+$LM115*$LV115)/($AC115+$LM115)</f>
        <v>0.23530094218323697</v>
      </c>
      <c r="LY115" s="170">
        <f ca="1">($AC115*($LS115/Control!$C$141)+$LM115*$LV115)/($AC115+$LM115)</f>
        <v>0.23530094218323697</v>
      </c>
      <c r="LZ115" s="170">
        <f t="shared" ca="1" si="333"/>
        <v>0.23530094218323697</v>
      </c>
      <c r="MA115" s="170">
        <f t="shared" ca="1" si="334"/>
        <v>0.23530094218323697</v>
      </c>
      <c r="MB115" s="170" t="e">
        <f t="shared" ca="1" si="335"/>
        <v>#N/A</v>
      </c>
      <c r="MC115" s="170">
        <f t="shared" ca="1" si="425"/>
        <v>0.6018</v>
      </c>
      <c r="MD115" s="170">
        <f t="shared" ca="1" si="336"/>
        <v>0.52989392535414004</v>
      </c>
      <c r="ME115" s="170">
        <f ca="1">($AC115*($LT115/Control!$C$141)+$LM115*$LW115)/($AC115+$LM115)</f>
        <v>0.71612369323045078</v>
      </c>
      <c r="MF115" s="170" t="e">
        <f ca="1">IF(Control!$B$16&gt;=1000,0.92,IF(AND(720&lt;=Control!$B$16,1000&gt;Control!$B$16),(0.95+(Control!$B$16-720)*((0.92-0.95)/(1000-720))),IF(AND(360&lt;=Control!$B$16,720&gt;Control!$B$16),(1+(Control!$B$16-360)*((0.95-1)/(720-360))),IF(AND(40&lt;=Control!$B$16,360&gt;Control!$B$16),(1.05+(Control!$B$16-40)*((1.05-1)/(360-40)))))))</f>
        <v>#N/A</v>
      </c>
      <c r="MG115" s="170">
        <f t="shared" ca="1" si="337"/>
        <v>0.71612369323045078</v>
      </c>
      <c r="MH115" s="170" t="e">
        <f t="shared" ca="1" si="463"/>
        <v>#N/A</v>
      </c>
      <c r="MI115" s="170" t="e">
        <f t="shared" ca="1" si="463"/>
        <v>#N/A</v>
      </c>
      <c r="MJ115" s="170" t="e">
        <f ca="1">MAX(0.0001, Control!$C$132*$MI115*$DL115)</f>
        <v>#N/A</v>
      </c>
      <c r="MK115" s="170">
        <f ca="1">1/(0.76+1.5*($MG115/10))-(5-Control!$C$110)*0.1</f>
        <v>1.002845988140797</v>
      </c>
      <c r="ML115" s="173">
        <f ca="1">IF(Control!$C$110&lt;3,$MK115+($MG115-0.6)/(Control!$C$110*(Control!$C$110+3)), MAX(0.1, MIN(0.95,$MK115)))</f>
        <v>0.95</v>
      </c>
      <c r="MM115" s="173">
        <f ca="1">IF(Control!$C$110&lt;3,$MK115+(($MI115/10)-0.6)/(Control!$C$110*(Control!$C$110+3)), MAX(0.1, MIN(0.95,$MK115)))</f>
        <v>0.95</v>
      </c>
      <c r="MN115" s="173">
        <f ca="1">(1-$MM115)*(Control!$C$128-Control!$C$127)+Control!$C$127</f>
        <v>0.16</v>
      </c>
      <c r="MO115" s="170" t="e">
        <f ca="1">MAX(0,MIN(1,($MS115-Control!$C$127)/($MN115-Control!$C$127)))</f>
        <v>#DIV/0!</v>
      </c>
      <c r="MP115" s="173" t="e">
        <f ca="1">1/(0.76+1.5*$MI115)-(5-Control!$C$110)*0.1</f>
        <v>#N/A</v>
      </c>
      <c r="MQ115" s="172" t="e">
        <f t="shared" ca="1" si="454"/>
        <v>#DIV/0!</v>
      </c>
      <c r="MR115" s="168" t="e">
        <f t="shared" ca="1" si="426"/>
        <v>#DIV/0!</v>
      </c>
      <c r="MS115" s="173" t="e">
        <f ca="1">MAX(Control!$C$127, MIN(Control!$C$135, $MR115/MAX(0.0001,$CY115)))</f>
        <v>#DIV/0!</v>
      </c>
      <c r="MT115" s="168" t="e">
        <f ca="1">(Control!$C$128-$MS115)*Control!$C$74</f>
        <v>#DIV/0!</v>
      </c>
      <c r="MU115" s="168" t="e">
        <f ca="1">(Control!$C$135-$MS115)*Control!$C$74</f>
        <v>#DIV/0!</v>
      </c>
      <c r="MV115" s="168" t="e">
        <f t="shared" ca="1" si="427"/>
        <v>#DIV/0!</v>
      </c>
      <c r="MW115" s="168" t="e">
        <f t="shared" ca="1" si="428"/>
        <v>#DIV/0!</v>
      </c>
      <c r="MX115" s="171" t="e">
        <f ca="1">MAX(Control!$C$127, MIN(Control!$C$135, $MW115/MAX(0.0001,Control!$C$119-$CY115)))</f>
        <v>#DIV/0!</v>
      </c>
      <c r="MY115" s="54" t="e">
        <f ca="1">IF(Control!$C$114=1, $CX115*$MX115, 0)</f>
        <v>#DIV/0!</v>
      </c>
      <c r="MZ115" s="54" t="e">
        <f t="shared" ca="1" si="429"/>
        <v>#N/A</v>
      </c>
      <c r="NA115" s="168" t="e">
        <f ca="1">(Control!$C$128-$MX115)*(Control!$C$119-Control!$C$74)</f>
        <v>#DIV/0!</v>
      </c>
      <c r="NB115" s="168" t="e">
        <f ca="1">(Control!$C$135-$MX115)*(Control!$C$119-Control!$C$74)</f>
        <v>#DIV/0!</v>
      </c>
      <c r="NC115" s="174" t="e">
        <f t="shared" ca="1" si="430"/>
        <v>#DIV/0!</v>
      </c>
      <c r="ND115" s="54">
        <f ca="1">IF(Control!$C$58=2, IF(OR(Control!$B$218=$AH115,Control!$B$219=$AH115, Control!$B$220=$AH115, Control!$B$221=$AH115, Control!$B$222=$AH115, Control!$B$223=$AH115, Control!$B$224=$AH115, Control!$B$225=$AH115, Control!$B$226=$AH115, Control!$B$227=$AH115, Control!$B$228=$AH115), 1, 0), 0)</f>
        <v>0</v>
      </c>
      <c r="NE115" s="54">
        <f ca="1">IF($ND115=0,0, VLOOKUP($AH115,Control!$B$218:$C$228,2))</f>
        <v>0</v>
      </c>
      <c r="NF115" s="168" t="e">
        <f ca="1">$CY115*(Control!$C$128-Control!$C$127)</f>
        <v>#N/A</v>
      </c>
      <c r="NG115" s="54" t="e">
        <f ca="1">IF(Control!$C$58=2, $NI114-$NJ114, 0)</f>
        <v>#DIV/0!</v>
      </c>
      <c r="NH115" s="54" t="e">
        <f ca="1">IF(AND(Control!$C$58=1, $MS114&lt;= ($MN114+0.02), $I114&lt;10), 0, IF(Control!$C$58=2, $NG114, 0))</f>
        <v>#DIV/0!</v>
      </c>
      <c r="NI115" s="54" t="e">
        <f ca="1">IF(Control!$C$58=2, $NE115+$NH115,0)</f>
        <v>#DIV/0!</v>
      </c>
      <c r="NJ115" s="54" t="e">
        <f ca="1">IF(AND(Control!$C$58=1, $MS115&lt;= ($MN115+0.02), $I115&lt;10), MAX(0, MIN(10, 0.7*($NF115-$MV115))), IF(Control!$C$58=2, MIN(10,$NI115),0))</f>
        <v>#DIV/0!</v>
      </c>
      <c r="NK115" s="54" t="e">
        <f t="shared" ca="1" si="338"/>
        <v>#DIV/0!</v>
      </c>
      <c r="NL115" s="173" t="e">
        <f ca="1">(1-Control!$C$73)*$I115+$NJ115</f>
        <v>#DIV/0!</v>
      </c>
      <c r="NM115" s="172" t="e">
        <f ca="1">IF($NL115&lt;0.5, $MB115* MAX(0, MIN(1, (SQRT($NC115)-SQRT($NC115-1))*Control!$C$71)),0)</f>
        <v>#DIV/0!</v>
      </c>
      <c r="NN115" s="170" t="e">
        <f ca="1">IF($NL115&gt;=5, $MB115, MAX(0,MIN($MB115, $NM115+$NL115,($MS115-Control!$C$129))))</f>
        <v>#DIV/0!</v>
      </c>
      <c r="NO115" s="54">
        <f>IF(Control!$C$133&lt;&gt;1, Control!$C$135-Control!$C$131, 0)</f>
        <v>0.38</v>
      </c>
      <c r="NP115" s="54" t="e">
        <f t="shared" ca="1" si="339"/>
        <v>#DIV/0!</v>
      </c>
      <c r="NQ115" s="173" t="e">
        <f ca="1">MAX(0,MIN(1,(Control!$C$135-$MS115)/(Control!$C$135-$NO115)))</f>
        <v>#DIV/0!</v>
      </c>
      <c r="NR115" s="170" t="e">
        <f ca="1">IF(Control!$C$133&lt;&gt;1, $NQ115+((1-$NP115/4)*(1-$NQ115)),1)</f>
        <v>#DIV/0!</v>
      </c>
      <c r="NS115" s="170" t="e">
        <f ca="1">IF(Control!$B$31=0,$MJ115,MAX(0,MIN($MV115,$MO115*$NR115*$MJ115)))</f>
        <v>#DIV/0!</v>
      </c>
      <c r="NT115" s="170" t="e">
        <f t="shared" ca="1" si="455"/>
        <v>#DIV/0!</v>
      </c>
      <c r="NU115" s="170" t="e">
        <f t="shared" ca="1" si="431"/>
        <v>#N/A</v>
      </c>
      <c r="NV115" s="170" t="e">
        <f t="shared" ca="1" si="340"/>
        <v>#N/A</v>
      </c>
      <c r="NW115" s="175" t="e">
        <f t="shared" ca="1" si="341"/>
        <v>#DIV/0!</v>
      </c>
      <c r="NX115" s="170" t="e">
        <f ca="1">MIN(Control!$C$72+$MU115, $NW115)</f>
        <v>#DIV/0!</v>
      </c>
      <c r="NY115" s="170" t="e">
        <f ca="1">IF($MT115&lt;=$NX115,MIN(Control!$C$72+$NB115,$NX115-$MT115),0)</f>
        <v>#DIV/0!</v>
      </c>
      <c r="NZ115" s="54" t="e">
        <f ca="1">IF(Control!$C$114=1,  $CX115*($MX115-Control!$C$127), 0)</f>
        <v>#DIV/0!</v>
      </c>
      <c r="OA115" s="170" t="e">
        <f t="shared" ca="1" si="342"/>
        <v>#DIV/0!</v>
      </c>
      <c r="OB115" s="170" t="e">
        <f ca="1">IF($NA115 &lt;=$NY115, MIN(Control!$C$72, $NY115-$NA115), 0)</f>
        <v>#DIV/0!</v>
      </c>
      <c r="OC115" s="168" t="e">
        <f t="shared" ca="1" si="343"/>
        <v>#DIV/0!</v>
      </c>
      <c r="OD115" s="168" t="e">
        <f t="shared" ca="1" si="432"/>
        <v>#DIV/0!</v>
      </c>
      <c r="OE115" s="170">
        <f ca="1">Control!$C$73*$I115</f>
        <v>0</v>
      </c>
      <c r="OF115" s="176" t="e">
        <f t="shared" ca="1" si="344"/>
        <v>#DIV/0!</v>
      </c>
      <c r="OG115" s="168" t="e">
        <f t="shared" ca="1" si="345"/>
        <v>#DIV/0!</v>
      </c>
      <c r="OH115" s="168" t="e">
        <f t="shared" ca="1" si="346"/>
        <v>#DIV/0!</v>
      </c>
      <c r="OI115" s="168" t="e">
        <f t="shared" ca="1" si="347"/>
        <v>#DIV/0!</v>
      </c>
      <c r="OJ115" s="168" t="e">
        <f t="shared" ca="1" si="348"/>
        <v>#DIV/0!</v>
      </c>
      <c r="OK115" s="204" t="e">
        <f t="shared" ca="1" si="349"/>
        <v>#DIV/0!</v>
      </c>
      <c r="OL115" s="177">
        <f>Control!$C$127</f>
        <v>0.15</v>
      </c>
      <c r="OM115" s="182" t="e">
        <f t="shared" ca="1" si="350"/>
        <v>#N/A</v>
      </c>
      <c r="ON115" s="177">
        <f>Control!$C$128</f>
        <v>0.35</v>
      </c>
      <c r="OO115" s="182" t="e">
        <f t="shared" ca="1" si="351"/>
        <v>#N/A</v>
      </c>
      <c r="OP115" s="138">
        <f t="shared" ca="1" si="433"/>
        <v>0</v>
      </c>
      <c r="OQ115" s="138" t="e">
        <f t="shared" ca="1" si="456"/>
        <v>#DIV/0!</v>
      </c>
      <c r="OR115" s="138" t="e">
        <f t="shared" ca="1" si="434"/>
        <v>#DIV/0!</v>
      </c>
      <c r="OS115" s="137" t="e">
        <f t="shared" ca="1" si="457"/>
        <v>#DIV/0!</v>
      </c>
      <c r="OT115" s="139" t="e">
        <f t="shared" ca="1" si="458"/>
        <v>#DIV/0!</v>
      </c>
      <c r="OU115" s="138" t="e">
        <f t="shared" ca="1" si="459"/>
        <v>#N/A</v>
      </c>
      <c r="OV115" s="138" t="e">
        <f t="shared" ca="1" si="460"/>
        <v>#DIV/0!</v>
      </c>
      <c r="OW115" s="138" t="e">
        <f t="shared" ca="1" si="435"/>
        <v>#DIV/0!</v>
      </c>
      <c r="OX115" s="138" t="e">
        <f t="shared" ca="1" si="436"/>
        <v>#DIV/0!</v>
      </c>
      <c r="OY115" s="138" t="e">
        <f t="shared" ca="1" si="437"/>
        <v>#DIV/0!</v>
      </c>
      <c r="OZ115" s="138" t="e">
        <f t="shared" ca="1" si="352"/>
        <v>#DIV/0!</v>
      </c>
      <c r="PA115" s="138" t="e">
        <f t="shared" ca="1" si="353"/>
        <v>#DIV/0!</v>
      </c>
      <c r="PB115" s="55">
        <f>IF(Control!$C$61="T", IF(Control!$C$65="F", IF($AH$6-Control!$C$60&lt;0,0,1), IF(365+$AH$6-Control!$C$60&lt;0,0,1)),0)</f>
        <v>0</v>
      </c>
      <c r="PC115" s="55">
        <f ca="1">IF(Control!$C$65="F", IF($AH$6-$HF115&lt;0,0,1), IF(365+$AH$6-$HF115&lt;0,0,1))</f>
        <v>1</v>
      </c>
      <c r="PD115" s="444">
        <f>Control!$C$118</f>
        <v>1500</v>
      </c>
      <c r="PE115" s="180" t="e">
        <f t="shared" ca="1" si="354"/>
        <v>#N/A</v>
      </c>
      <c r="PF115" s="445">
        <f t="shared" ca="1" si="438"/>
        <v>0.71612369323045078</v>
      </c>
      <c r="PT115" s="186"/>
      <c r="PU115" s="186"/>
      <c r="PV115" s="94"/>
      <c r="PW115" s="94"/>
      <c r="PX115" s="94"/>
      <c r="PY115" s="94"/>
      <c r="PZ115" s="94"/>
      <c r="QA115" s="94"/>
      <c r="QB115" s="94"/>
      <c r="QC115" s="94"/>
      <c r="QD115" s="94"/>
      <c r="QE115" s="94"/>
      <c r="QF115" s="94"/>
      <c r="QG115" s="94"/>
      <c r="QH115" s="94"/>
      <c r="QI115" s="94"/>
      <c r="QJ115" s="94"/>
      <c r="QK115" s="94"/>
      <c r="QL115" s="94"/>
      <c r="QM115" s="94"/>
      <c r="QN115" s="94"/>
      <c r="QO115" s="94"/>
      <c r="QP115" s="94"/>
    </row>
    <row r="116" spans="1:458" s="2" customFormat="1" x14ac:dyDescent="0.2">
      <c r="A116" s="395">
        <v>21</v>
      </c>
      <c r="B116" s="396">
        <v>4</v>
      </c>
      <c r="C116" s="387">
        <f ca="1">Weather_data!$B115</f>
        <v>0</v>
      </c>
      <c r="D116" s="388">
        <f ca="1">Weather_data!$F115</f>
        <v>0</v>
      </c>
      <c r="E116" s="388">
        <f ca="1">Weather_data!$E115</f>
        <v>0</v>
      </c>
      <c r="F116" s="388">
        <f t="shared" ca="1" si="355"/>
        <v>0</v>
      </c>
      <c r="G116" s="388">
        <f ca="1">AVERAGE($D116:$E116)+Control!$B$9</f>
        <v>0</v>
      </c>
      <c r="H116" s="388">
        <f ca="1">Weather_data!$G115</f>
        <v>0</v>
      </c>
      <c r="I116" s="388">
        <f ca="1">Weather_data!$I115</f>
        <v>0</v>
      </c>
      <c r="J116" s="388">
        <f ca="1">Weather_data!$H115</f>
        <v>0</v>
      </c>
      <c r="K116" s="389">
        <f ca="1">Weather_data!$D115</f>
        <v>0</v>
      </c>
      <c r="L116" s="388" t="e">
        <f t="shared" ca="1" si="356"/>
        <v>#N/A</v>
      </c>
      <c r="M116" s="388" t="e">
        <f t="shared" ca="1" si="234"/>
        <v>#N/A</v>
      </c>
      <c r="N116" s="388">
        <f t="shared" ca="1" si="235"/>
        <v>-4.6306935654989378E-6</v>
      </c>
      <c r="O116" s="388">
        <f t="shared" ca="1" si="357"/>
        <v>4.630693565498938E-5</v>
      </c>
      <c r="P116" s="390">
        <v>3</v>
      </c>
      <c r="Q116" s="388">
        <f ca="1">MAX($G116-Control!$C$107,0)</f>
        <v>0</v>
      </c>
      <c r="R116" s="388">
        <f t="shared" ca="1" si="358"/>
        <v>0</v>
      </c>
      <c r="S116" s="388">
        <f t="shared" ca="1" si="236"/>
        <v>0</v>
      </c>
      <c r="T116" s="388">
        <f t="shared" ca="1" si="237"/>
        <v>0</v>
      </c>
      <c r="U116" s="59">
        <f t="shared" ca="1" si="238"/>
        <v>0</v>
      </c>
      <c r="V116" s="391">
        <f ca="1">MAX(0,MIN(Control!$C$100-Control!$C$99,$G116-Control!$C$99)*Control!$C$63)</f>
        <v>0</v>
      </c>
      <c r="W116" s="388">
        <f t="shared" ca="1" si="359"/>
        <v>0</v>
      </c>
      <c r="X116" s="388">
        <f t="shared" ca="1" si="360"/>
        <v>0.6110000000000001</v>
      </c>
      <c r="Y116" s="388">
        <f t="shared" ca="1" si="239"/>
        <v>0</v>
      </c>
      <c r="Z116" s="388">
        <f t="shared" ca="1" si="361"/>
        <v>0.61058800000000002</v>
      </c>
      <c r="AA116" s="388">
        <f t="shared" ca="1" si="240"/>
        <v>0.6018</v>
      </c>
      <c r="AB116" s="388">
        <f ca="1">101.3*EXP(-0.034*Control!$C$66/($G116+273))</f>
        <v>100.69623283836242</v>
      </c>
      <c r="AC116" s="392">
        <f t="shared" ca="1" si="241"/>
        <v>4.3460251046025113E-2</v>
      </c>
      <c r="AD116" s="392">
        <f t="shared" ca="1" si="242"/>
        <v>4.4450382862832649E-2</v>
      </c>
      <c r="AE116" s="388">
        <f t="shared" ca="1" si="243"/>
        <v>0</v>
      </c>
      <c r="AF116" s="388">
        <f ca="1">MAX(0,$G116-Control!$C$92)</f>
        <v>0</v>
      </c>
      <c r="AG116" s="393">
        <f t="shared" ca="1" si="244"/>
        <v>112</v>
      </c>
      <c r="AH116" s="389">
        <f t="shared" ca="1" si="245"/>
        <v>112</v>
      </c>
      <c r="AI116" s="388">
        <f t="shared" ca="1" si="362"/>
        <v>0.20232831181570637</v>
      </c>
      <c r="AJ116" s="388">
        <f ca="1">IF(Control!$C$60&lt;=0,$HH116,$HI116)</f>
        <v>1</v>
      </c>
      <c r="AK116" s="388">
        <f t="shared" ca="1" si="246"/>
        <v>0.55085460227327876</v>
      </c>
      <c r="AL116" s="388">
        <f t="shared" ca="1" si="247"/>
        <v>-7.2136741025019544E-19</v>
      </c>
      <c r="AM116" s="388">
        <f t="shared" ca="1" si="248"/>
        <v>0.55085460227327876</v>
      </c>
      <c r="AN116" s="388">
        <f t="shared" ca="1" si="249"/>
        <v>0.20974932828243478</v>
      </c>
      <c r="AO116" s="388">
        <f ca="1">-0.10453/COS(Control!$B$8*PI()/180)*COS(AN116)</f>
        <v>-0.16606371296053038</v>
      </c>
      <c r="AP116" s="388">
        <f ca="1">ACOS(AO116-TAN(Control!$B$8*PI()/180)*TAN(AN116))</f>
        <v>2.0247678021951914</v>
      </c>
      <c r="AQ116" s="388">
        <f t="shared" ca="1" si="363"/>
        <v>0</v>
      </c>
      <c r="AR116" s="394">
        <f t="shared" ca="1" si="250"/>
        <v>0</v>
      </c>
      <c r="AS116" s="436">
        <f ca="1">IF(Control!$B$18=2,(IF(OR($AH116=Control!$B$175,$AH116=Control!$B$176,$AH116=Control!$B$177,$AH116=Control!$B$178,$AH116=Control!$B$179,$AH116=Control!$B$180,$AH116=Control!$B$181,$AH116=Control!$B$182,$AH116=Control!$B$183,$AH116=Control!$B$184,$AH116=Control!$B$185),1,0)),0)</f>
        <v>0</v>
      </c>
      <c r="AT116" s="436">
        <f>IF(Control!$B$20=8,IF(AND($AH116&gt;=Control!$B$172,$AH116&lt;=Control!$B$173),1,0),0)</f>
        <v>0</v>
      </c>
      <c r="AU116" s="436">
        <f>IF(Control!$B$20=8,IF($AV115=1,1*$AT116,IF($AT116=1,$AU115+1,$AU115)),0)</f>
        <v>0</v>
      </c>
      <c r="AV116" s="436">
        <f>IF(Control!$B$20=8,IF($AU116&gt;=Control!$B$174,1,0),0)</f>
        <v>0</v>
      </c>
      <c r="AW116" s="436">
        <f ca="1">IF(AND(Control!$B$18=2,Control!$B$171=1), $AV116, $AS116)</f>
        <v>0</v>
      </c>
      <c r="AX116" s="436" t="e">
        <f ca="1">IF(AND(Control!$B$18=1,$EU116&gt;=Control!$B$19),-$AY116,IF(AND(Control!$B$18=2,$AW116=1,$EU116&gt;$DS116),-$AY116, IF(Control!$C$108=0,0, IF(Control!$C$108&lt;&gt;0,1))))</f>
        <v>#N/A</v>
      </c>
      <c r="AY116" s="436" t="e">
        <f t="shared" ca="1" si="364"/>
        <v>#N/A</v>
      </c>
      <c r="AZ116" s="436" t="e">
        <f ca="1">IF(AND(Control!$B$18=1,$EB116&gt;Control!$B$19),$AZ115+1, IF(AND(Control!$B$18=2, $AW116=1, $EB116&gt;$DS116), $AZ115+1,$AZ115))</f>
        <v>#N/A</v>
      </c>
      <c r="BA116" s="587">
        <f>IF(Control!$C$81=0,1,IF($AH116&gt;=Control!$C$82,1,0))</f>
        <v>1</v>
      </c>
      <c r="BB116" s="140" t="e">
        <f ca="1">IF($BA116&gt;$BA115,Control!$C$83,IF($AW116&gt;0,$AW116*Control!$C$84,IF(AND(Control!$B$18=1,EN115&lt;&gt;0),Control!$C$84,0)))</f>
        <v>#N/A</v>
      </c>
      <c r="BC116" s="140" t="e">
        <f t="shared" ca="1" si="365"/>
        <v>#N/A</v>
      </c>
      <c r="BD116" s="140" t="e">
        <f ca="1">BC116*IF(OR($G116&lt;Control!$C$92,$G116&gt;Control!$C$95),0,IF(AND($G116&gt;=Control!$C$92,$G116&lt;=Control!$C$93),$G116-Control!$C$92,IF(AND($G116&gt;Control!$C$93,$G116&lt;=Control!$C$94),Control!$C$93-Control!$C$92,IF(AND($G116&gt;Control!$C$94,$G116&lt;=Control!$C$95),(Control!$C$93-Control!$C$92)*(Control!$C$94-$G116)/(Control!$C$95-Control!$C$94)))))</f>
        <v>#N/A</v>
      </c>
      <c r="BE116" s="140" t="e">
        <f t="shared" ca="1" si="366"/>
        <v>#N/A</v>
      </c>
      <c r="BF116" s="140" t="e">
        <f ca="1">IF($BE116&lt;=Control!$C$86,$BE116,Control!$C$86-$BE116)</f>
        <v>#N/A</v>
      </c>
      <c r="BG116" s="140" t="e">
        <f ca="1">IF(AND($AW116=1,Control!$C$84&lt;9),1,IF($BE116&gt;=Control!$C$86,0,$BC116))</f>
        <v>#N/A</v>
      </c>
      <c r="BH116" s="404" t="e">
        <f ca="1">IF($BG116=0,0,IF($BE116&lt;=Control!$C$86,$BC116*9*($BF116/Control!$C$86),0))</f>
        <v>#N/A</v>
      </c>
      <c r="BI116" s="140" t="e">
        <f ca="1">IF($BG116=1,0,IF($BE116&gt;=Control!$C$86,1,IF(AND($BB116&lt;21,$BB116&gt;=9),1,$BM115)))</f>
        <v>#N/A</v>
      </c>
      <c r="BJ116" s="140" t="e">
        <f ca="1">IF($BF116&lt;0,-$BF116,$BI116*IF(OR($G116&lt;Control!$C$92,$G116&gt;Control!$C$95),0,IF(AND($G116&gt;=Control!$C$92,$G116&lt;=Control!$C$93),$G116-Control!$C$92,IF(AND($G116&gt;Control!$C$93,$G116&lt;=Control!$C$94),Control!$C$93-Control!$C$92,IF(AND($G116&gt;Control!$C$94,$G116&lt;=Control!$C$95),(Control!$C$93-Control!$C$92)*(Control!$C$94-$G116)/(Control!$C$95-Control!$C$94))))))</f>
        <v>#N/A</v>
      </c>
      <c r="BK116" s="140" t="e">
        <f t="shared" ca="1" si="367"/>
        <v>#N/A</v>
      </c>
      <c r="BL116" s="140" t="e">
        <f ca="1">IF($BK116&lt;=Control!$C$87,$BK116,Control!$C$87-$BK116)</f>
        <v>#N/A</v>
      </c>
      <c r="BM116" s="140" t="e">
        <f ca="1">IF(AND($BB116&gt;=9,$BB116&lt;21),1,IF($BK116&gt;=Control!$C$87,0,$BI116))</f>
        <v>#N/A</v>
      </c>
      <c r="BN116" s="404" t="e">
        <f ca="1">IF($BM116=0,0,IF($BK116&lt;=Control!$C$87,$BI116*(9+(21-9)*($BL116/Control!$C$87)),0))</f>
        <v>#N/A</v>
      </c>
      <c r="BO116" s="140" t="e">
        <f ca="1">IF($BM116=1,0,IF($BK116&gt;=Control!$C$87,1,IF(AND($BB116&lt;30,$BB116&gt;=21),1,$BS115)))</f>
        <v>#N/A</v>
      </c>
      <c r="BP116" s="140" t="e">
        <f ca="1">IF($BL116&lt;0,-$BL116,$BO116*IF(OR($G116&lt;Control!$C$92,$G116&gt;Control!$C$95),0,IF(AND($G116&gt;=Control!$C$92,$G116&lt;=Control!$C$93),$G116-Control!$C$92,IF(AND($G116&gt;Control!$C$93,$G116&lt;=Control!$C$94),Control!$C$93-Control!$C$92,IF(AND($G116&gt;Control!$C$94,$G116&lt;=Control!$C$95),(Control!$C$93-Control!$C$92)*(Control!$C$94-$G116)/(Control!$C$95-Control!$C$94))))))</f>
        <v>#N/A</v>
      </c>
      <c r="BQ116" s="140" t="e">
        <f t="shared" ca="1" si="251"/>
        <v>#N/A</v>
      </c>
      <c r="BR116" s="140" t="e">
        <f ca="1">IF($BQ116&lt;=Control!$C$88,$BQ116,Control!$C$88-$BQ116)</f>
        <v>#N/A</v>
      </c>
      <c r="BS116" s="140" t="e">
        <f ca="1">IF(AND($BB116&gt;=21,$BB116&lt;30),1,IF($BQ116&gt;=Control!$C$88,0,$BO116))</f>
        <v>#N/A</v>
      </c>
      <c r="BT116" s="404" t="e">
        <f ca="1">IF($BS116=0,0,IF($BQ116&lt;=Control!$C$88,$BO116*(21+(30-21)*(BR116/Control!$C$88)),0))</f>
        <v>#N/A</v>
      </c>
      <c r="BU116" s="140" t="e">
        <f ca="1">IF(BG116+BM116+BS116=1,0,IF(OR(AND($BB116&lt;60,$BB116&gt;=30),$BQ116&gt;=Control!$C$88),1*$BA116,$BY115))</f>
        <v>#N/A</v>
      </c>
      <c r="BV116" s="140" t="e">
        <f ca="1">IF($BR116&lt;0,-$BR116,$BU116*IF(OR($G116&lt;Control!$C$92,$G116&gt;Control!$C$95),0,IF(AND($G116&gt;=Control!$C$92,$G116&lt;=Control!$C$93),$G116-Control!$C$92,IF(AND($G116&gt;Control!$C$93,$G116&lt;=Control!$C$94),Control!$C$93-Control!$C$92,IF(AND($G116&gt;Control!$C$94,$G116&lt;=Control!$C$95),(Control!$C$93-Control!$C$92)*(Control!$C$94-$G116)/(Control!$C$95-Control!$C$94))))))</f>
        <v>#N/A</v>
      </c>
      <c r="BW116" s="140" t="e">
        <f t="shared" ca="1" si="252"/>
        <v>#N/A</v>
      </c>
      <c r="BX116" s="140" t="e">
        <f ca="1">IF($BW116&lt;=Control!$C$89,$BW116,Control!$C$89-$BW116)</f>
        <v>#N/A</v>
      </c>
      <c r="BY116" s="140" t="e">
        <f ca="1">IF(AND($AJ116&gt;=30,$AJ116&lt;60),1,IF($BW116&gt;=Control!$C$89,0,$BU116))</f>
        <v>#N/A</v>
      </c>
      <c r="BZ116" s="404" t="e">
        <f ca="1">IF($BY116=0,0,IF($BW116&lt;=Control!$C$89,$BU116*(30+(60-30)*(BX116/Control!$C$89)),0))</f>
        <v>#N/A</v>
      </c>
      <c r="CA116" s="140" t="e">
        <f ca="1">IF($BG116+$BM116+$BS116+$BY116=1,0,IF(OR(AND($BB116&lt;65,$BB116&gt;=60),$BW116&gt;=Control!$C$89),1*$BA116,$CE115))</f>
        <v>#N/A</v>
      </c>
      <c r="CB116" s="140" t="e">
        <f ca="1">IF($BX116&lt;0,-$BX116,$CA116*IF(OR($G116&lt;Control!$C$92,$G116&gt;Control!$C$95),0,IF(AND($G116&gt;=Control!$C$92,$G116&lt;=Control!$C$93),$G116-Control!$C$92,IF(AND($G116&gt;Control!$C$93,$G116&lt;=Control!$C$94),Control!$C$93-Control!$C$92,IF(AND($G116&gt;Control!$C$94,$G116&lt;=Control!$C$95),(Control!$C$93-Control!$C$92)*(Control!$C$94-$G116)/(Control!$C$95-Control!$C$94))))))</f>
        <v>#N/A</v>
      </c>
      <c r="CC116" s="140" t="e">
        <f t="shared" ca="1" si="368"/>
        <v>#N/A</v>
      </c>
      <c r="CD116" s="140" t="e">
        <f ca="1">IF($CC116&lt;=Control!$C$90,$CC116,Control!$C$90-$CC116)</f>
        <v>#N/A</v>
      </c>
      <c r="CE116" s="140" t="e">
        <f ca="1">IF(AND($BB116&gt;=60,$BB116&lt;65),1,IF($CC116&gt;=Control!$C$90,0,$CA116))</f>
        <v>#N/A</v>
      </c>
      <c r="CF116" s="404" t="e">
        <f ca="1">IF($CE116=0,0,IF($CC116&lt;=Control!$C$90,$CA116*(60+(65-60)*(CD116/Control!$C$90)),0))</f>
        <v>#N/A</v>
      </c>
      <c r="CG116" s="140" t="e">
        <f ca="1">IF($BG116+$BM116+$BS116+$BY116+$CE116=1,0,IF(OR(AND($BB116&lt;90,$BB116&gt;=65),$CC116&gt;=Control!$C$90),$BA116,$CK115))</f>
        <v>#N/A</v>
      </c>
      <c r="CH116" s="140" t="e">
        <f ca="1">IF($CD116&lt;0,-$CD116,$CG116*IF(OR($G116&lt;Control!$C$92,$G116&gt;Control!$C$95),0,IF(AND($G116&gt;=Control!$C$92,$G116&lt;=Control!$C$93),$G116-Control!$C$92,IF(AND($G116&gt;Control!$C$93,$G116&lt;=Control!$C$94),Control!$C$93-Control!$C$92,IF(AND($G116&gt;Control!$C$94,$G116&lt;=Control!$C$95),(Control!$C$93-Control!$C$92)*(Control!$C$94-$G116)/(Control!$C$95-Control!$C$94))))))</f>
        <v>#N/A</v>
      </c>
      <c r="CI116" s="140" t="e">
        <f t="shared" ca="1" si="369"/>
        <v>#N/A</v>
      </c>
      <c r="CJ116" s="140" t="e">
        <f ca="1">IF($CI116&lt;=Control!$C$91,$CI116,Control!$C$91-$CI116)</f>
        <v>#N/A</v>
      </c>
      <c r="CK116" s="140" t="e">
        <f ca="1">IF(AND($BB116&gt;=65,$BB116&lt;90),1,IF($CI116&gt;=Control!$C$91,0,$CG116))</f>
        <v>#N/A</v>
      </c>
      <c r="CL116" s="404" t="e">
        <f ca="1">IF($CK116=0,0,IF($CI116&lt;=Control!$C$91,$CG116*(65+(90-65)*($CJ116/Control!$C$91)),0))</f>
        <v>#N/A</v>
      </c>
      <c r="CM116" s="140" t="e">
        <f ca="1">IF($BG116+$BM116+$BS116+$BY116+$CE116+$CK116=1,0,IF(OR($BB116&gt;=90,$CI116&gt;=Control!$C$91),$BA116,$CM115))</f>
        <v>#N/A</v>
      </c>
      <c r="CN116" s="140" t="e">
        <f t="shared" ca="1" si="370"/>
        <v>#N/A</v>
      </c>
      <c r="CO116" s="140" t="e">
        <f t="shared" ca="1" si="371"/>
        <v>#N/A</v>
      </c>
      <c r="CP116" s="140" t="e">
        <f t="shared" ca="1" si="372"/>
        <v>#N/A</v>
      </c>
      <c r="CQ116" s="141" t="e">
        <f ca="1">VLOOKUP($CP116,Control!$B$86:$G$91,6)</f>
        <v>#N/A</v>
      </c>
      <c r="CR116" s="141" t="e">
        <f ca="1">(1-$CQ116)*VLOOKUP($CP116,Control!$B$86:$D$91,3)</f>
        <v>#N/A</v>
      </c>
      <c r="CS116" s="141" t="e">
        <f ca="1">(1-$CQ116)*VLOOKUP($CP116,Control!$B$86:$E$91,4)</f>
        <v>#N/A</v>
      </c>
      <c r="CT116" s="141" t="e">
        <f ca="1">(1-$CQ116)*VLOOKUP($CP116,Control!$B$86:$F$91,5)</f>
        <v>#N/A</v>
      </c>
      <c r="CU116" s="141">
        <f t="shared" ca="1" si="373"/>
        <v>0</v>
      </c>
      <c r="CV116" s="583">
        <f t="shared" ca="1" si="374"/>
        <v>0</v>
      </c>
      <c r="CW116" s="142">
        <f t="shared" ca="1" si="375"/>
        <v>112</v>
      </c>
      <c r="CX116" s="612" t="e">
        <f ca="1">IF(Control!$C$114=1,(MIN(Control!$C$120*(IF($NT116-0.01&lt;0,0,1)),Control!$C$119-$CY116)))</f>
        <v>#DIV/0!</v>
      </c>
      <c r="CY116" s="143" t="e">
        <f t="shared" ca="1" si="376"/>
        <v>#N/A</v>
      </c>
      <c r="CZ116" s="144">
        <f t="shared" ca="1" si="253"/>
        <v>0</v>
      </c>
      <c r="DA116" s="144">
        <f t="shared" ca="1" si="254"/>
        <v>0</v>
      </c>
      <c r="DB116" s="144" t="e">
        <f t="shared" ca="1" si="255"/>
        <v>#N/A</v>
      </c>
      <c r="DC116" s="144" t="e">
        <f t="shared" ca="1" si="256"/>
        <v>#N/A</v>
      </c>
      <c r="DD116" s="144" t="e">
        <f t="shared" ca="1" si="461"/>
        <v>#N/A</v>
      </c>
      <c r="DE116" s="143" t="e">
        <f t="shared" ca="1" si="377"/>
        <v>#N/A</v>
      </c>
      <c r="DF116" s="145" t="e">
        <f ca="1">$DR116*EXP(-Control!$C$158*(1-$KH116))</f>
        <v>#N/A</v>
      </c>
      <c r="DG116" s="146" t="e">
        <f ca="1">IF(Control!$C$114=1, $DF116*$EY116, 0)</f>
        <v>#N/A</v>
      </c>
      <c r="DH116" s="147" t="e">
        <f t="shared" ca="1" si="378"/>
        <v>#N/A</v>
      </c>
      <c r="DI116" s="144" t="e">
        <f t="shared" ca="1" si="439"/>
        <v>#N/A</v>
      </c>
      <c r="DJ116" s="147" t="e">
        <f ca="1">$EF116*Control!$C$109</f>
        <v>#N/A</v>
      </c>
      <c r="DK116" s="144" t="e">
        <f t="shared" ca="1" si="379"/>
        <v>#N/A</v>
      </c>
      <c r="DL116" s="144" t="e">
        <f t="shared" ca="1" si="257"/>
        <v>#N/A</v>
      </c>
      <c r="DM116" s="144" t="e">
        <f ca="1">IF(Control!$C$114=1, (1-EXP(-Control!$C$96*$DK116))*$AR116, 0)</f>
        <v>#N/A</v>
      </c>
      <c r="DN116" s="144">
        <f t="shared" ca="1" si="380"/>
        <v>0</v>
      </c>
      <c r="DO116" s="148">
        <f>Control!$C$97</f>
        <v>4</v>
      </c>
      <c r="DP116" s="145" t="e">
        <f t="shared" ca="1" si="381"/>
        <v>#N/A</v>
      </c>
      <c r="DQ116" s="145" t="e">
        <f ca="1">IF(AND($CP116&gt;=0,$CP116&lt;=90),Control!$C$111,Control!$C$111)</f>
        <v>#N/A</v>
      </c>
      <c r="DR116" s="145" t="e">
        <f t="shared" ca="1" si="258"/>
        <v>#N/A</v>
      </c>
      <c r="DS116" s="143" t="e">
        <f ca="1">Control!$B$22/$DR116</f>
        <v>#N/A</v>
      </c>
      <c r="DT116" s="149" t="e">
        <f ca="1">IF(AND(Control!$C$114=1,$KH116&lt;1),$IM116*$DF116, 0)</f>
        <v>#N/A</v>
      </c>
      <c r="DU116" s="144" t="e">
        <f t="shared" ca="1" si="382"/>
        <v>#N/A</v>
      </c>
      <c r="DV116" s="144">
        <f ca="1">IF($G116-Control!$C$107&lt;=0, 0, 0.83*LN(MAX($G116, 3))-0.8924)</f>
        <v>0</v>
      </c>
      <c r="DW116" s="144" t="e">
        <f t="shared" ca="1" si="259"/>
        <v>#N/A</v>
      </c>
      <c r="DX116" s="150" t="e">
        <f ca="1">MAX(0.01*(1+$CU116/Control!$C$102),0.05*($DK116-Control!$C$97)/Control!$C$97)</f>
        <v>#N/A</v>
      </c>
      <c r="DY116" s="151" t="e">
        <f ca="1">IF(Control!$C$114=1, $DI116*$FS116, 0)</f>
        <v>#N/A</v>
      </c>
      <c r="DZ116" s="196" t="e">
        <f t="shared" ca="1" si="383"/>
        <v>#N/A</v>
      </c>
      <c r="EA116" s="152">
        <f t="shared" ca="1" si="384"/>
        <v>112</v>
      </c>
      <c r="EB116" s="153" t="e">
        <f t="shared" ca="1" si="385"/>
        <v>#N/A</v>
      </c>
      <c r="EC116" s="153" t="e">
        <f t="shared" ca="1" si="386"/>
        <v>#N/A</v>
      </c>
      <c r="ED116" s="154" t="e">
        <f ca="1">IF(Control!$C$114=1, $HM116*$FY116-$FD116, 0)</f>
        <v>#DIV/0!</v>
      </c>
      <c r="EE116" s="155" t="e">
        <f ca="1">IF(Control!$C$114=1, $HM116*$FZ116-$FF116, 0)</f>
        <v>#DIV/0!</v>
      </c>
      <c r="EF116" s="153" t="e">
        <f t="shared" ca="1" si="440"/>
        <v>#N/A</v>
      </c>
      <c r="EG116" s="155" t="e">
        <f ca="1">IF(Control!$C$114=1, $GX116*$FW116-$FI116, 0)</f>
        <v>#DIV/0!</v>
      </c>
      <c r="EH116" s="153" t="e">
        <f t="shared" ca="1" si="387"/>
        <v>#N/A</v>
      </c>
      <c r="EI116" s="156" t="e">
        <f t="shared" ca="1" si="388"/>
        <v>#N/A</v>
      </c>
      <c r="EJ116" s="155" t="e">
        <f ca="1">IF(Control!$C$114=1, $HM116*$GB116, 0)</f>
        <v>#DIV/0!</v>
      </c>
      <c r="EK116" s="153" t="e">
        <f t="shared" ca="1" si="441"/>
        <v>#N/A</v>
      </c>
      <c r="EL116" s="153" t="e">
        <f t="shared" ca="1" si="260"/>
        <v>#N/A</v>
      </c>
      <c r="EM116" s="153" t="e">
        <f t="shared" ca="1" si="261"/>
        <v>#N/A</v>
      </c>
      <c r="EN116" s="153" t="e">
        <f ca="1">IF(Control!$C$108=1,IF(AND(Control!$B$18=1,$EB116&gt;=Control!$B$19),$EB116-$DS116,IF(AND(Control!$B$18=2,$AW116=1,$EB116&gt;$DS116),$EB116-$DS116,0)))</f>
        <v>#N/A</v>
      </c>
      <c r="EO116" s="153" t="e">
        <f ca="1">IF(Control!$C$108=1,IF(AND(Control!$B$18=1,$EB116&gt;=Control!$B$19),$EF116,IF(AND(Control!$B$18=2,$AW116=1),$EF116,0)))</f>
        <v>#N/A</v>
      </c>
      <c r="EP116" s="153" t="e">
        <f ca="1">IF(Control!$C$108=1,IF(AND(Control!$B$18=1,$EB116&gt;=Control!$B$19),$EK116,IF(AND(Control!$B$18=2,$AW116=1),$EK116,0)))</f>
        <v>#N/A</v>
      </c>
      <c r="EQ116" s="153" t="e">
        <f t="shared" ca="1" si="389"/>
        <v>#N/A</v>
      </c>
      <c r="ER116" s="153" t="e">
        <f t="shared" ca="1" si="390"/>
        <v>#N/A</v>
      </c>
      <c r="ES116" s="153" t="e">
        <f t="shared" ca="1" si="442"/>
        <v>#N/A</v>
      </c>
      <c r="ET116" s="153" t="e">
        <f t="shared" ca="1" si="443"/>
        <v>#N/A</v>
      </c>
      <c r="EU116" s="153" t="e">
        <f t="shared" ca="1" si="391"/>
        <v>#N/A</v>
      </c>
      <c r="EV116" s="153" t="e">
        <f t="shared" ca="1" si="262"/>
        <v>#N/A</v>
      </c>
      <c r="EW116" s="153" t="e">
        <f t="shared" ca="1" si="263"/>
        <v>#N/A</v>
      </c>
      <c r="EX116" s="153" t="e">
        <f t="shared" ca="1" si="264"/>
        <v>#N/A</v>
      </c>
      <c r="EY116" s="157" t="e">
        <f t="shared" ca="1" si="265"/>
        <v>#DIV/0!</v>
      </c>
      <c r="EZ116" s="154" t="e">
        <f t="shared" ca="1" si="266"/>
        <v>#DIV/0!</v>
      </c>
      <c r="FA116" s="153" t="e">
        <f t="shared" ca="1" si="392"/>
        <v>#N/A</v>
      </c>
      <c r="FB116" s="153" t="e">
        <f t="shared" ca="1" si="267"/>
        <v>#N/A</v>
      </c>
      <c r="FC116" s="193" t="e">
        <f t="shared" ca="1" si="268"/>
        <v>#N/A</v>
      </c>
      <c r="FD116" s="158" t="e">
        <f t="shared" ca="1" si="393"/>
        <v>#N/A</v>
      </c>
      <c r="FE116" s="158" t="e">
        <f t="shared" ca="1" si="394"/>
        <v>#N/A</v>
      </c>
      <c r="FF116" s="159" t="e">
        <f t="shared" ca="1" si="269"/>
        <v>#N/A</v>
      </c>
      <c r="FG116" s="160" t="e">
        <f t="shared" ca="1" si="395"/>
        <v>#N/A</v>
      </c>
      <c r="FH116" s="158" t="e">
        <f t="shared" ca="1" si="396"/>
        <v>#N/A</v>
      </c>
      <c r="FI116" s="159" t="e">
        <f t="shared" ca="1" si="270"/>
        <v>#N/A</v>
      </c>
      <c r="FJ116" s="160" t="e">
        <f t="shared" ca="1" si="397"/>
        <v>#N/A</v>
      </c>
      <c r="FK116" s="160" t="e">
        <f t="shared" ca="1" si="271"/>
        <v>#N/A</v>
      </c>
      <c r="FL116" s="160" t="e">
        <f t="shared" ca="1" si="444"/>
        <v>#N/A</v>
      </c>
      <c r="FM116" s="160" t="e">
        <f t="shared" ca="1" si="272"/>
        <v>#N/A</v>
      </c>
      <c r="FN116" s="158">
        <f t="shared" ca="1" si="398"/>
        <v>0.01</v>
      </c>
      <c r="FO116" s="160">
        <f>Control!$C$101</f>
        <v>50</v>
      </c>
      <c r="FP116" s="150" t="e">
        <f t="shared" ca="1" si="273"/>
        <v>#N/A</v>
      </c>
      <c r="FQ116" s="150" t="e">
        <f ca="1">MAX(0,(Control!$C$112*(($DK116-Control!$C$97)/Control!$C$97)))</f>
        <v>#N/A</v>
      </c>
      <c r="FR116" s="150" t="e">
        <f ca="1">(1-$NT116)*Control!$C$113</f>
        <v>#DIV/0!</v>
      </c>
      <c r="FS116" s="198" t="e">
        <f t="shared" ca="1" si="274"/>
        <v>#N/A</v>
      </c>
      <c r="FT116" s="161">
        <f t="shared" ca="1" si="399"/>
        <v>112</v>
      </c>
      <c r="FU116" s="162" t="e">
        <f ca="1">IF(Control!$B$34=1,VLOOKUP($CP116,Control!$B$86:$G$91,6),Control!$B$35)</f>
        <v>#N/A</v>
      </c>
      <c r="FV116" s="162" t="e">
        <f t="shared" ca="1" si="275"/>
        <v>#DIV/0!</v>
      </c>
      <c r="FW116" s="162" t="e">
        <f ca="1">IF(Control!$B$31=1,$FU116*$FV116,  $FU116)</f>
        <v>#N/A</v>
      </c>
      <c r="FX116" s="162" t="e">
        <f ca="1">IF(Control!$B$34=1,VLOOKUP($CP116,Control!$B$86:$G$91,3),Control!$B$36)</f>
        <v>#N/A</v>
      </c>
      <c r="FY116" s="162" t="e">
        <f t="shared" ca="1" si="276"/>
        <v>#N/A</v>
      </c>
      <c r="FZ116" s="162" t="e">
        <f ca="1">IF(Control!$B$34=1,VLOOKUP($CP116,Control!$B$86:$G$91,4),Control!$B$37)</f>
        <v>#N/A</v>
      </c>
      <c r="GA116" s="162" t="e">
        <f t="shared" ca="1" si="277"/>
        <v>#N/A</v>
      </c>
      <c r="GB116" s="162" t="e">
        <f ca="1">IF(Control!$B$34=1,VLOOKUP($CP116,Control!$B$86:$G$91,5),Control!$B$38)</f>
        <v>#N/A</v>
      </c>
      <c r="GC116" s="162" t="e">
        <f t="shared" ca="1" si="400"/>
        <v>#N/A</v>
      </c>
      <c r="GD116" s="162">
        <f t="shared" ca="1" si="278"/>
        <v>1</v>
      </c>
      <c r="GE116" s="162">
        <f t="shared" ca="1" si="279"/>
        <v>1</v>
      </c>
      <c r="GF116" s="162">
        <f ca="1">IF(AND(Control!$C$104=1, Control!$C$62="F"),$GE116,1)</f>
        <v>1</v>
      </c>
      <c r="GG116" s="162" t="e">
        <f ca="1">IF(Control!$B$16=40,0,IF(AND(Control!$B$16&gt;40,Control!$B$16&lt;=360),(Control!$B$16-40)*((1-0)/(360-40)),IF(AND(Control!$B$16&gt;360,Control!$B$16&lt;=720),(1+(Control!$B$16-360)*((1.25-1)/(720-360))),IF(AND(Control!$B$16&gt;720,Control!$B$16&lt;=1000),(1.25+(Control!$B$16-720)*((1.35-1.25)/(1000-720))),IF(AND(Control!$B$16&gt;1000,Control!$B$16&lt;=2000),(1.35+(Control!$B$16-1000)*0))))))</f>
        <v>#N/A</v>
      </c>
      <c r="GH116" s="162" t="e">
        <f t="shared" ca="1" si="280"/>
        <v>#N/A</v>
      </c>
      <c r="GI116" s="162">
        <f t="shared" ca="1" si="401"/>
        <v>0</v>
      </c>
      <c r="GJ116" s="162">
        <f t="shared" ca="1" si="281"/>
        <v>0</v>
      </c>
      <c r="GK116" s="162">
        <f t="shared" ca="1" si="402"/>
        <v>1</v>
      </c>
      <c r="GL116" s="162">
        <f t="shared" ca="1" si="282"/>
        <v>1</v>
      </c>
      <c r="GM116" s="162" t="e">
        <f ca="1">MAX(0,MIN(1,1-Control!$C$156*(1.0001-$KH116)^2))</f>
        <v>#N/A</v>
      </c>
      <c r="GN116" s="162" t="e">
        <f ca="1">IF(Control!$B$26=1,$KU116,$KX116)</f>
        <v>#N/A</v>
      </c>
      <c r="GO116" s="162" t="e">
        <f ca="1">IF($CP116&lt;=60,Control!$C$105,IF($CP116&gt;=90,Control!$C$106,Control!$C$105+($CP116-60)*((Control!$C$106-Control!$C$105)/(90-60))))</f>
        <v>#N/A</v>
      </c>
      <c r="GP116" s="162" t="e">
        <f t="shared" ca="1" si="283"/>
        <v>#N/A</v>
      </c>
      <c r="GQ116" s="162" t="e">
        <f t="shared" ca="1" si="403"/>
        <v>#N/A</v>
      </c>
      <c r="GR116" s="163" t="e">
        <f t="shared" ca="1" si="284"/>
        <v>#DIV/0!</v>
      </c>
      <c r="GS116" s="162" t="e">
        <f t="shared" ca="1" si="285"/>
        <v>#DIV/0!</v>
      </c>
      <c r="GT116" s="164" t="e">
        <f t="shared" ca="1" si="404"/>
        <v>#N/A</v>
      </c>
      <c r="GU116" s="162" t="e">
        <f t="shared" ca="1" si="405"/>
        <v>#N/A</v>
      </c>
      <c r="GV116" s="162" t="e">
        <f t="shared" ca="1" si="286"/>
        <v>#N/A</v>
      </c>
      <c r="GW116" s="162" t="e">
        <f t="shared" ca="1" si="287"/>
        <v>#DIV/0!</v>
      </c>
      <c r="GX116" s="162" t="e">
        <f t="shared" ca="1" si="406"/>
        <v>#DIV/0!</v>
      </c>
      <c r="GY116" s="162" t="e">
        <f t="shared" ca="1" si="407"/>
        <v>#DIV/0!</v>
      </c>
      <c r="GZ116" s="165" t="e">
        <f t="shared" ca="1" si="288"/>
        <v>#N/A</v>
      </c>
      <c r="HA116" s="162" t="e">
        <f ca="1">IF(Control!$C$114=1, $DI116*$FS116, 0)</f>
        <v>#N/A</v>
      </c>
      <c r="HB116" s="162" t="e">
        <f ca="1">$FA116/Control!$C$64</f>
        <v>#N/A</v>
      </c>
      <c r="HC116" s="162" t="e">
        <f t="shared" ca="1" si="289"/>
        <v>#DIV/0!</v>
      </c>
      <c r="HD116" s="162">
        <f ca="1">-ASIN(SIN(23.45*Control!$C$139)*COS(2*Control!$C$138*($AH116+10)/365))</f>
        <v>0.20232831181570637</v>
      </c>
      <c r="HE116" s="165">
        <f t="shared" ca="1" si="408"/>
        <v>0</v>
      </c>
      <c r="HF116" s="166">
        <f ca="1">IF(AND(Control!$C$61="T",$HE116&gt;=Control!$C$103,Control!$C$114=0),$AH116,Control!$C$59)</f>
        <v>1</v>
      </c>
      <c r="HG116" s="166">
        <f ca="1">IF(AND(Control!$C$61="T",$HE116&gt;=Control!$C$103,Control!$C$114=0),$HF116,Control!$C$59)</f>
        <v>1</v>
      </c>
      <c r="HH116" s="165">
        <f ca="1">IF(AND(OR(Control!$C$60&lt;=0, $AH116= Control!$C$59, Control!$C$60 &gt;0, $AH116 = Control!$C$60)), Control!$C$59, IF(Control!$C$60&gt;0, 0))</f>
        <v>1</v>
      </c>
      <c r="HI116" s="165">
        <f ca="1">IF(AND(OR(Control!$C$60&lt;=0, $AH116= Control!$C$59, Control!$C$60 &gt;0, $AH116 = Control!$C$60)), Control!$C$60, IF(Control!$C$60&lt;=0, 0))</f>
        <v>0</v>
      </c>
      <c r="HJ116" s="166">
        <f ca="1">IF(AND(Control!$C$62="F",$CV116&gt;=Control!$C$102),$AH116,0)</f>
        <v>0</v>
      </c>
      <c r="HK116" s="165" t="e">
        <f t="shared" ca="1" si="445"/>
        <v>#N/A</v>
      </c>
      <c r="HL116" s="166">
        <f ca="1">IF(AND(Control!$C$61="T",$HE116&gt;=Control!$C$103,Control!$C$114=0),$HF116,0)</f>
        <v>0</v>
      </c>
      <c r="HM116" s="201" t="e">
        <f t="shared" ca="1" si="290"/>
        <v>#DIV/0!</v>
      </c>
      <c r="HN116" s="215">
        <f t="shared" ca="1" si="409"/>
        <v>112</v>
      </c>
      <c r="HO116" s="216" t="e">
        <f ca="1">IF(AND($CP116&gt;=0, $CP116&lt;=90), Control!$C$152, Control!$C$152)</f>
        <v>#N/A</v>
      </c>
      <c r="HP116" s="216" t="e">
        <f t="shared" ca="1" si="291"/>
        <v>#N/A</v>
      </c>
      <c r="HQ116" s="217" t="e">
        <f ca="1">IF(OR(Control!$B$26=1,Control!$B$26=2),$KV116,$KS116)</f>
        <v>#DIV/0!</v>
      </c>
      <c r="HR116" s="218" t="e">
        <f t="shared" ca="1" si="446"/>
        <v>#DIV/0!</v>
      </c>
      <c r="HS116" s="216" t="e">
        <f ca="1">Control!$C$154*$HP116</f>
        <v>#N/A</v>
      </c>
      <c r="HT116" s="216" t="e">
        <f ca="1">Control!$C$155*$HP116</f>
        <v>#N/A</v>
      </c>
      <c r="HU116" s="217" t="e">
        <f ca="1">Control!$C$161*$FI116</f>
        <v>#N/A</v>
      </c>
      <c r="HV116" s="218" t="e">
        <f t="shared" ca="1" si="410"/>
        <v>#N/A</v>
      </c>
      <c r="HW116" s="218" t="e">
        <f ca="1">Control!$C$160*$FF116+$IP116*$EO116</f>
        <v>#N/A</v>
      </c>
      <c r="HX116" s="218" t="e">
        <f t="shared" ca="1" si="447"/>
        <v>#N/A</v>
      </c>
      <c r="HY116" s="219" t="e">
        <f ca="1">IF(Control!$C$114=1, $EB116*$FS116, 0)</f>
        <v>#N/A</v>
      </c>
      <c r="HZ116" s="91" t="e">
        <f t="shared" ca="1" si="292"/>
        <v>#N/A</v>
      </c>
      <c r="IA116" s="220" t="e">
        <f ca="1">Control!$C$153*$HO116</f>
        <v>#N/A</v>
      </c>
      <c r="IB116" s="218" t="e">
        <f t="shared" ca="1" si="293"/>
        <v>#N/A</v>
      </c>
      <c r="IC116" s="220" t="e">
        <f ca="1">Control!$C$153*$HT116</f>
        <v>#N/A</v>
      </c>
      <c r="ID116" s="218" t="e">
        <f t="shared" ca="1" si="294"/>
        <v>#N/A</v>
      </c>
      <c r="IE116" s="221" t="e">
        <f ca="1">($EB116*Control!$C$159+$EF116*Control!$C$160)/(IF($GZ116&lt;&gt;0,$GZ116,1))</f>
        <v>#N/A</v>
      </c>
      <c r="IF116" s="216" t="e">
        <f t="shared" ca="1" si="295"/>
        <v>#N/A</v>
      </c>
      <c r="IG116" s="91">
        <f ca="1">IF(OR(Control!$B$198=$AH116,Control!$B$199=$AH116, Control!$B$200=$AH116, Control!$B$201=$AH116, Control!$B$202=$AH116, Control!$B$203=$AH116, Control!$B$204=$AH116, Control!$B$205=$AH116, Control!$B$206=$AH116, Control!$B$207=$AH116), 1, 0)</f>
        <v>0</v>
      </c>
      <c r="IH116" s="91">
        <f ca="1">IF($IG116=0,0, VLOOKUP($AH116,Control!$B$198:$C$207,2))</f>
        <v>0</v>
      </c>
      <c r="II116" s="222">
        <f t="shared" ca="1" si="411"/>
        <v>0</v>
      </c>
      <c r="IJ116" s="91">
        <f>Control!$C$121</f>
        <v>0.7</v>
      </c>
      <c r="IK116" s="218">
        <f t="shared" ca="1" si="296"/>
        <v>0</v>
      </c>
      <c r="IL116" s="217" t="e">
        <f t="shared" ca="1" si="448"/>
        <v>#N/A</v>
      </c>
      <c r="IM116" s="223" t="e">
        <f ca="1">IF(AND(Control!$C$114=1,$KH116&lt;1),$EB116*Control!$C$148*(1-$KH116), 0)</f>
        <v>#N/A</v>
      </c>
      <c r="IN116" s="217" t="e">
        <f t="shared" ca="1" si="297"/>
        <v>#DIV/0!</v>
      </c>
      <c r="IO116" s="91" t="e">
        <f ca="1">MAX(0,$IL116-$EF116*Control!$C$160)</f>
        <v>#N/A</v>
      </c>
      <c r="IP116" s="220" t="e">
        <f t="shared" ca="1" si="298"/>
        <v>#N/A</v>
      </c>
      <c r="IQ116" s="217" t="e">
        <f t="shared" ca="1" si="412"/>
        <v>#N/A</v>
      </c>
      <c r="IR116" s="218" t="e">
        <f t="shared" ca="1" si="299"/>
        <v>#N/A</v>
      </c>
      <c r="IS116" s="217" t="e">
        <f ca="1">Control!$C$159*MAX(0,$FD116-$EN116)</f>
        <v>#N/A</v>
      </c>
      <c r="IT116" s="217" t="e">
        <f t="shared" ca="1" si="449"/>
        <v>#N/A</v>
      </c>
      <c r="IU116" s="217" t="e">
        <f t="shared" ca="1" si="413"/>
        <v>#N/A</v>
      </c>
      <c r="IV116" s="217" t="e">
        <f t="shared" ca="1" si="450"/>
        <v>#N/A</v>
      </c>
      <c r="IW116" s="217" t="e">
        <f ca="1">IF(OR($AW116=1,AND($AW116=0, Control!$B$18=1,$EN116&lt;&gt;0)), $IQ116-$IU116, $IQ116)</f>
        <v>#N/A</v>
      </c>
      <c r="IX116" s="218" t="e">
        <f t="shared" ca="1" si="300"/>
        <v>#N/A</v>
      </c>
      <c r="IY116" s="218" t="e">
        <f ca="1">MAX(0,$IQ116-$EB116*Control!$C$159)</f>
        <v>#N/A</v>
      </c>
      <c r="IZ116" s="218" t="e">
        <f t="shared" ca="1" si="301"/>
        <v>#N/A</v>
      </c>
      <c r="JA116" s="216" t="e">
        <f t="shared" ca="1" si="302"/>
        <v>#N/A</v>
      </c>
      <c r="JB116" s="217" t="e">
        <f t="shared" ca="1" si="303"/>
        <v>#N/A</v>
      </c>
      <c r="JC116" s="222" t="e">
        <f ca="1">MAX(Control!$C$157*$EK116-$JT116, 0)/Control!$C$162</f>
        <v>#N/A</v>
      </c>
      <c r="JD116" s="218" t="e">
        <f t="shared" ca="1" si="304"/>
        <v>#N/A</v>
      </c>
      <c r="JE116" s="218" t="e">
        <f t="shared" ca="1" si="305"/>
        <v>#N/A</v>
      </c>
      <c r="JF116" s="218" t="e">
        <f t="shared" ca="1" si="414"/>
        <v>#N/A</v>
      </c>
      <c r="JG116" s="218" t="e">
        <f t="shared" ca="1" si="306"/>
        <v>#N/A</v>
      </c>
      <c r="JH116" s="217" t="e">
        <f t="shared" ca="1" si="415"/>
        <v>#N/A</v>
      </c>
      <c r="JI116" s="217" t="e">
        <f t="shared" ca="1" si="416"/>
        <v>#N/A</v>
      </c>
      <c r="JJ116" s="217" t="e">
        <f t="shared" ca="1" si="451"/>
        <v>#N/A</v>
      </c>
      <c r="JK116" s="217" t="e">
        <f ca="1">IF(Control!$C$114=1,IF(Control!$B$24=0,MAX(0,$JI116)*$GN116/Control!$C$64,(MAX(0,MIN($JI116,$JJ116*$GN116/Control!$C$64),0))))</f>
        <v>#N/A</v>
      </c>
      <c r="JL116" s="217" t="e">
        <f ca="1">$IK116/Control!$C$64-$JK116+$HQ116</f>
        <v>#N/A</v>
      </c>
      <c r="JM116" s="217" t="e">
        <f ca="1">IF(Control!$C$114=1,($JB116/(IF($JI116&lt;&gt;0,$JI116,1)))*$JK116,0)</f>
        <v>#N/A</v>
      </c>
      <c r="JN116" s="217" t="e">
        <f ca="1">IF(Control!$C$114=1,($JG116/(IF($JI116&lt;&gt;0,$JI116,1)))*$JK116, 0)</f>
        <v>#N/A</v>
      </c>
      <c r="JO116" s="218" t="e">
        <f t="shared" ca="1" si="307"/>
        <v>#N/A</v>
      </c>
      <c r="JP116" s="218" t="e">
        <f ca="1">MIN(($IY116+$IO116)*Control!$C$151, $JF116-$EH116*Control!$C$161)</f>
        <v>#N/A</v>
      </c>
      <c r="JQ116" s="218" t="e">
        <f t="shared" ca="1" si="308"/>
        <v>#N/A</v>
      </c>
      <c r="JR116" s="217" t="e">
        <f ca="1">IF($CP116-Control!$C$150&lt;0, 0, $JQ116/Control!$C$162)</f>
        <v>#N/A</v>
      </c>
      <c r="JS116" s="218" t="e">
        <f t="shared" ca="1" si="309"/>
        <v>#N/A</v>
      </c>
      <c r="JT116" s="218" t="e">
        <f t="shared" ca="1" si="417"/>
        <v>#N/A</v>
      </c>
      <c r="JU116" s="218" t="e">
        <f t="shared" ca="1" si="310"/>
        <v>#N/A</v>
      </c>
      <c r="JV116" s="218" t="e">
        <f t="shared" ca="1" si="311"/>
        <v>#N/A</v>
      </c>
      <c r="JW116" s="216" t="e">
        <f t="shared" ca="1" si="312"/>
        <v>#N/A</v>
      </c>
      <c r="JX116" s="91" t="e">
        <f t="shared" ca="1" si="313"/>
        <v>#N/A</v>
      </c>
      <c r="JY116" s="218" t="e">
        <f t="shared" ca="1" si="314"/>
        <v>#N/A</v>
      </c>
      <c r="JZ116" s="217" t="e">
        <f ca="1">IF(Control!$C$114=1,($IZ116/(IF($JI116&lt;&gt;0,$JI116,1)))*$JK116, 0)</f>
        <v>#N/A</v>
      </c>
      <c r="KA116" s="218" t="e">
        <f t="shared" ca="1" si="452"/>
        <v>#N/A</v>
      </c>
      <c r="KB116" s="218" t="e">
        <f t="shared" ca="1" si="418"/>
        <v>#N/A</v>
      </c>
      <c r="KC116" s="218" t="e">
        <f t="shared" ca="1" si="315"/>
        <v>#N/A</v>
      </c>
      <c r="KD116" s="218" t="e">
        <f t="shared" ca="1" si="316"/>
        <v>#N/A</v>
      </c>
      <c r="KE116" s="218" t="e">
        <f t="shared" ca="1" si="317"/>
        <v>#N/A</v>
      </c>
      <c r="KF116" s="218" t="e">
        <f t="shared" ca="1" si="318"/>
        <v>#N/A</v>
      </c>
      <c r="KG116" s="216" t="e">
        <f t="shared" ca="1" si="319"/>
        <v>#N/A</v>
      </c>
      <c r="KH116" s="221" t="e">
        <f ca="1">IF(Control!$B$24=0,1,MAX(0.001,MIN(1,IF(($IF116-$IE116)&lt;&gt;0,($KG116-$IE116)/($IF116-$IE116),1))))</f>
        <v>#N/A</v>
      </c>
      <c r="KI116" s="222" t="e">
        <f ca="1">IF(Control!$C$114=1, $KI115+ $KH115, 0)</f>
        <v>#N/A</v>
      </c>
      <c r="KJ116" s="217" t="e">
        <f t="shared" ca="1" si="320"/>
        <v>#N/A</v>
      </c>
      <c r="KK116" s="218" t="e">
        <f t="shared" ca="1" si="321"/>
        <v>#N/A</v>
      </c>
      <c r="KL116" s="274" t="e">
        <f ca="1">IF(Control!$B$26=3,4000000000*EXP(-8400/($G116+273)),IF(Control!$B$26=4,4000000000*EXP(-8400/($G116+273))*($KT116),0))</f>
        <v>#DIV/0!</v>
      </c>
      <c r="KM116" s="274" t="e">
        <f ca="1">IF(Control!$B$26=3,5600000000000*EXP(-9800/($G116+273)),IF(Control!$B$26=4,5600000000000*EXP(-9800/($G116+273))*$KT116,0))</f>
        <v>#DIV/0!</v>
      </c>
      <c r="KN116" s="454" t="e">
        <f t="shared" ca="1" si="419"/>
        <v>#DIV/0!</v>
      </c>
      <c r="KO116" s="274" t="e">
        <f t="shared" ca="1" si="420"/>
        <v>#DIV/0!</v>
      </c>
      <c r="KP116" s="454" t="e">
        <f t="shared" ca="1" si="322"/>
        <v>#DIV/0!</v>
      </c>
      <c r="KQ116" s="454" t="e">
        <f t="shared" ca="1" si="323"/>
        <v>#DIV/0!</v>
      </c>
      <c r="KR116" s="454" t="e">
        <f t="shared" ca="1" si="324"/>
        <v>#DIV/0!</v>
      </c>
      <c r="KS116" s="454" t="e">
        <f t="shared" ca="1" si="325"/>
        <v>#DIV/0!</v>
      </c>
      <c r="KT116" s="455" t="e">
        <f t="shared" ca="1" si="326"/>
        <v>#DIV/0!</v>
      </c>
      <c r="KU116" s="456" t="e">
        <f ca="1">IF($CP116-Control!$C$149&lt;0, IF($NT116-0.01&lt;0,0,1),0)</f>
        <v>#N/A</v>
      </c>
      <c r="KV116" s="456" t="e">
        <f ca="1">IF(Control!$C$114=1,MAX(0,MIN(Control!$C$125*$KW116*$GN116,$KW116)))</f>
        <v>#DIV/0!</v>
      </c>
      <c r="KW116" s="456" t="e">
        <f t="shared" ca="1" si="453"/>
        <v>#DIV/0!</v>
      </c>
      <c r="KX116" s="457" t="e">
        <f ca="1">IF($CP116-Control!$C$149&lt;0, IF($MR116-$OM116&lt;0,0,1),0)</f>
        <v>#N/A</v>
      </c>
      <c r="KY116" s="167">
        <f t="shared" ca="1" si="421"/>
        <v>112</v>
      </c>
      <c r="KZ116" s="168">
        <f ca="1">1370*(1+0.033*COS(2*Control!$C$138*$AH116/365))</f>
        <v>1354.1922475851652</v>
      </c>
      <c r="LA116" s="169">
        <f t="shared" ca="1" si="422"/>
        <v>0.9884616339767095</v>
      </c>
      <c r="LB116" s="169">
        <f t="shared" ca="1" si="423"/>
        <v>0.2095764716934761</v>
      </c>
      <c r="LC116" s="169">
        <f ca="1">ACOS(-TAN((2*Control!$B$8/360))*TAN(Calculations!$LB116))</f>
        <v>1.6340535267732701</v>
      </c>
      <c r="LD116" s="169">
        <f ca="1">((24*60)/PI())*0.082*$LA116*(($LC116*SIN(Control!$B$8*2*PI()/360))*SIN($LB116)+COS(Control!$B$8*2*PI()/360)*COS($LB116)*SIN($LC116))</f>
        <v>32.2807923093197</v>
      </c>
      <c r="LE116" s="170">
        <f t="shared" ca="1" si="327"/>
        <v>32.487172359186474</v>
      </c>
      <c r="LF116" s="170">
        <f ca="1">SIN(Control!$C$139*Control!$B$8)*SIN($HD116)</f>
        <v>0.15835156788391894</v>
      </c>
      <c r="LG116" s="170">
        <f ca="1">COS(Control!$C$139*Control!$B$8)*COS($HD116)</f>
        <v>0.60310117878546321</v>
      </c>
      <c r="LH116" s="170">
        <f ca="1">12*(1+2*ASIN(MAX(-1,MIN(1,$LF116/$LG116))/Control!$C$138))</f>
        <v>14.008165171068788</v>
      </c>
      <c r="LI116" s="170">
        <f ca="1">12*(1+2*ASIN(MAX(-1,MIN(1,(-SIN(-4*Control!$C$139)+$LF116)/$LG116))/Control!$C$138))</f>
        <v>14.896448701655325</v>
      </c>
      <c r="LJ116" s="168">
        <f ca="1">3600*($LH116*$LF116+24*$LG116*SQRT(1-$LK116*$LK116)/Control!$C$138)</f>
        <v>23990.07409554924</v>
      </c>
      <c r="LK116" s="170">
        <f t="shared" ca="1" si="328"/>
        <v>0.26256219263708019</v>
      </c>
      <c r="LL116" s="170">
        <f t="shared" ca="1" si="329"/>
        <v>0</v>
      </c>
      <c r="LM116" s="171">
        <f ca="1">Control!$C$145*$AB116</f>
        <v>6.6660906138995932E-2</v>
      </c>
      <c r="LN116" s="170">
        <f t="shared" ca="1" si="424"/>
        <v>0.54</v>
      </c>
      <c r="LO116" s="170">
        <f t="shared" ca="1" si="330"/>
        <v>0</v>
      </c>
      <c r="LP116" s="170">
        <f ca="1">Control!$C$140*((($D116+273.16)^4+($E116+273.16)^4)/2)*(0.34-0.14*SQRT($Y116))*(1.35*$AQ116/(0.75*$LD116)-0.35)</f>
        <v>-3.2464704755046001</v>
      </c>
      <c r="LQ116" s="170">
        <f ca="1">Control!$C$140*($G116+273)^4*(0.56-0.079*SQRT($Y116*10))*(0.1+0.9*$LO116)</f>
        <v>1.5241745131704001</v>
      </c>
      <c r="LR116" s="170">
        <f ca="1">$AQ116*(1-Control!$C$142)-$LQ116</f>
        <v>-1.5241745131704001</v>
      </c>
      <c r="LS116" s="170">
        <f ca="1">$AQ116*(1-Control!$C$143)-$LQ116</f>
        <v>-1.5241745131704001</v>
      </c>
      <c r="LT116" s="170">
        <f ca="1">$AQ116*(1-Control!$C$144)-$LQ116</f>
        <v>-1.5241745131704001</v>
      </c>
      <c r="LU116" s="169">
        <f ca="1">(1-Control!$C$144)*AQ116-LP116</f>
        <v>3.2464704755046001</v>
      </c>
      <c r="LV116" s="172">
        <f t="shared" ca="1" si="331"/>
        <v>0.79430000000000012</v>
      </c>
      <c r="LW116" s="170">
        <f t="shared" ca="1" si="332"/>
        <v>1.5886000000000002</v>
      </c>
      <c r="LX116" s="170">
        <f ca="1">($AC116*($LR116/Control!$C$141)+$LM116*$LV116)/($AC116+$LM116)</f>
        <v>0.23530094218323697</v>
      </c>
      <c r="LY116" s="170">
        <f ca="1">($AC116*($LS116/Control!$C$141)+$LM116*$LV116)/($AC116+$LM116)</f>
        <v>0.23530094218323697</v>
      </c>
      <c r="LZ116" s="170">
        <f t="shared" ca="1" si="333"/>
        <v>0.23530094218323697</v>
      </c>
      <c r="MA116" s="170">
        <f t="shared" ca="1" si="334"/>
        <v>0.23530094218323697</v>
      </c>
      <c r="MB116" s="170" t="e">
        <f t="shared" ca="1" si="335"/>
        <v>#N/A</v>
      </c>
      <c r="MC116" s="170">
        <f t="shared" ca="1" si="425"/>
        <v>0.6018</v>
      </c>
      <c r="MD116" s="170">
        <f t="shared" ca="1" si="336"/>
        <v>0.52989392535414004</v>
      </c>
      <c r="ME116" s="170">
        <f ca="1">($AC116*($LT116/Control!$C$141)+$LM116*$LW116)/($AC116+$LM116)</f>
        <v>0.71612369323045078</v>
      </c>
      <c r="MF116" s="170" t="e">
        <f ca="1">IF(Control!$B$16&gt;=1000,0.92,IF(AND(720&lt;=Control!$B$16,1000&gt;Control!$B$16),(0.95+(Control!$B$16-720)*((0.92-0.95)/(1000-720))),IF(AND(360&lt;=Control!$B$16,720&gt;Control!$B$16),(1+(Control!$B$16-360)*((0.95-1)/(720-360))),IF(AND(40&lt;=Control!$B$16,360&gt;Control!$B$16),(1.05+(Control!$B$16-40)*((1.05-1)/(360-40)))))))</f>
        <v>#N/A</v>
      </c>
      <c r="MG116" s="170">
        <f t="shared" ca="1" si="337"/>
        <v>0.71612369323045078</v>
      </c>
      <c r="MH116" s="170" t="e">
        <f t="shared" ca="1" si="463"/>
        <v>#N/A</v>
      </c>
      <c r="MI116" s="170" t="e">
        <f t="shared" ca="1" si="463"/>
        <v>#N/A</v>
      </c>
      <c r="MJ116" s="170" t="e">
        <f ca="1">MAX(0.0001, Control!$C$132*$MI116*$DL116)</f>
        <v>#N/A</v>
      </c>
      <c r="MK116" s="170">
        <f ca="1">1/(0.76+1.5*($MG116/10))-(5-Control!$C$110)*0.1</f>
        <v>1.002845988140797</v>
      </c>
      <c r="ML116" s="173">
        <f ca="1">IF(Control!$C$110&lt;3,$MK116+($MG116-0.6)/(Control!$C$110*(Control!$C$110+3)), MAX(0.1, MIN(0.95,$MK116)))</f>
        <v>0.95</v>
      </c>
      <c r="MM116" s="173">
        <f ca="1">IF(Control!$C$110&lt;3,$MK116+(($MI116/10)-0.6)/(Control!$C$110*(Control!$C$110+3)), MAX(0.1, MIN(0.95,$MK116)))</f>
        <v>0.95</v>
      </c>
      <c r="MN116" s="173">
        <f ca="1">(1-$MM116)*(Control!$C$128-Control!$C$127)+Control!$C$127</f>
        <v>0.16</v>
      </c>
      <c r="MO116" s="170" t="e">
        <f ca="1">MAX(0,MIN(1,($MS116-Control!$C$127)/($MN116-Control!$C$127)))</f>
        <v>#DIV/0!</v>
      </c>
      <c r="MP116" s="173" t="e">
        <f ca="1">1/(0.76+1.5*$MI116)-(5-Control!$C$110)*0.1</f>
        <v>#N/A</v>
      </c>
      <c r="MQ116" s="172" t="e">
        <f t="shared" ca="1" si="454"/>
        <v>#DIV/0!</v>
      </c>
      <c r="MR116" s="168" t="e">
        <f t="shared" ca="1" si="426"/>
        <v>#DIV/0!</v>
      </c>
      <c r="MS116" s="173" t="e">
        <f ca="1">MAX(Control!$C$127, MIN(Control!$C$135, $MR116/MAX(0.0001,$CY116)))</f>
        <v>#DIV/0!</v>
      </c>
      <c r="MT116" s="168" t="e">
        <f ca="1">(Control!$C$128-$MS116)*Control!$C$74</f>
        <v>#DIV/0!</v>
      </c>
      <c r="MU116" s="168" t="e">
        <f ca="1">(Control!$C$135-$MS116)*Control!$C$74</f>
        <v>#DIV/0!</v>
      </c>
      <c r="MV116" s="168" t="e">
        <f t="shared" ca="1" si="427"/>
        <v>#DIV/0!</v>
      </c>
      <c r="MW116" s="168" t="e">
        <f t="shared" ca="1" si="428"/>
        <v>#DIV/0!</v>
      </c>
      <c r="MX116" s="171" t="e">
        <f ca="1">MAX(Control!$C$127, MIN(Control!$C$135, $MW116/MAX(0.0001,Control!$C$119-$CY116)))</f>
        <v>#DIV/0!</v>
      </c>
      <c r="MY116" s="54" t="e">
        <f ca="1">IF(Control!$C$114=1, $CX116*$MX116, 0)</f>
        <v>#DIV/0!</v>
      </c>
      <c r="MZ116" s="54" t="e">
        <f t="shared" ca="1" si="429"/>
        <v>#N/A</v>
      </c>
      <c r="NA116" s="168" t="e">
        <f ca="1">(Control!$C$128-$MX116)*(Control!$C$119-Control!$C$74)</f>
        <v>#DIV/0!</v>
      </c>
      <c r="NB116" s="168" t="e">
        <f ca="1">(Control!$C$135-$MX116)*(Control!$C$119-Control!$C$74)</f>
        <v>#DIV/0!</v>
      </c>
      <c r="NC116" s="174" t="e">
        <f t="shared" ca="1" si="430"/>
        <v>#DIV/0!</v>
      </c>
      <c r="ND116" s="54">
        <f ca="1">IF(Control!$C$58=2, IF(OR(Control!$B$218=$AH116,Control!$B$219=$AH116, Control!$B$220=$AH116, Control!$B$221=$AH116, Control!$B$222=$AH116, Control!$B$223=$AH116, Control!$B$224=$AH116, Control!$B$225=$AH116, Control!$B$226=$AH116, Control!$B$227=$AH116, Control!$B$228=$AH116), 1, 0), 0)</f>
        <v>0</v>
      </c>
      <c r="NE116" s="54">
        <f ca="1">IF($ND116=0,0, VLOOKUP($AH116,Control!$B$218:$C$228,2))</f>
        <v>0</v>
      </c>
      <c r="NF116" s="168" t="e">
        <f ca="1">$CY116*(Control!$C$128-Control!$C$127)</f>
        <v>#N/A</v>
      </c>
      <c r="NG116" s="54" t="e">
        <f ca="1">IF(Control!$C$58=2, $NI115-$NJ115, 0)</f>
        <v>#DIV/0!</v>
      </c>
      <c r="NH116" s="54" t="e">
        <f ca="1">IF(AND(Control!$C$58=1, $MS115&lt;= ($MN115+0.02), $I115&lt;10), 0, IF(Control!$C$58=2, $NG115, 0))</f>
        <v>#DIV/0!</v>
      </c>
      <c r="NI116" s="54" t="e">
        <f ca="1">IF(Control!$C$58=2, $NE116+$NH116,0)</f>
        <v>#DIV/0!</v>
      </c>
      <c r="NJ116" s="54" t="e">
        <f ca="1">IF(AND(Control!$C$58=1, $MS116&lt;= ($MN116+0.02), $I116&lt;10), MAX(0, MIN(10, 0.7*($NF116-$MV116))), IF(Control!$C$58=2, MIN(10,$NI116),0))</f>
        <v>#DIV/0!</v>
      </c>
      <c r="NK116" s="54" t="e">
        <f t="shared" ca="1" si="338"/>
        <v>#DIV/0!</v>
      </c>
      <c r="NL116" s="173" t="e">
        <f ca="1">(1-Control!$C$73)*$I116+$NJ116</f>
        <v>#DIV/0!</v>
      </c>
      <c r="NM116" s="172" t="e">
        <f ca="1">IF($NL116&lt;0.5, $MB116* MAX(0, MIN(1, (SQRT($NC116)-SQRT($NC116-1))*Control!$C$71)),0)</f>
        <v>#DIV/0!</v>
      </c>
      <c r="NN116" s="170" t="e">
        <f ca="1">IF($NL116&gt;=5, $MB116, MAX(0,MIN($MB116, $NM116+$NL116,($MS116-Control!$C$129))))</f>
        <v>#DIV/0!</v>
      </c>
      <c r="NO116" s="54">
        <f>IF(Control!$C$133&lt;&gt;1, Control!$C$135-Control!$C$131, 0)</f>
        <v>0.38</v>
      </c>
      <c r="NP116" s="54" t="e">
        <f t="shared" ca="1" si="339"/>
        <v>#DIV/0!</v>
      </c>
      <c r="NQ116" s="173" t="e">
        <f ca="1">MAX(0,MIN(1,(Control!$C$135-$MS116)/(Control!$C$135-$NO116)))</f>
        <v>#DIV/0!</v>
      </c>
      <c r="NR116" s="170" t="e">
        <f ca="1">IF(Control!$C$133&lt;&gt;1, $NQ116+((1-$NP116/4)*(1-$NQ116)),1)</f>
        <v>#DIV/0!</v>
      </c>
      <c r="NS116" s="170" t="e">
        <f ca="1">IF(Control!$B$31=0,$MJ116,MAX(0,MIN($MV116,$MO116*$NR116*$MJ116)))</f>
        <v>#DIV/0!</v>
      </c>
      <c r="NT116" s="170" t="e">
        <f t="shared" ca="1" si="455"/>
        <v>#DIV/0!</v>
      </c>
      <c r="NU116" s="170" t="e">
        <f t="shared" ca="1" si="431"/>
        <v>#N/A</v>
      </c>
      <c r="NV116" s="170" t="e">
        <f t="shared" ca="1" si="340"/>
        <v>#N/A</v>
      </c>
      <c r="NW116" s="175" t="e">
        <f t="shared" ca="1" si="341"/>
        <v>#DIV/0!</v>
      </c>
      <c r="NX116" s="170" t="e">
        <f ca="1">MIN(Control!$C$72+$MU116, $NW116)</f>
        <v>#DIV/0!</v>
      </c>
      <c r="NY116" s="170" t="e">
        <f ca="1">IF($MT116&lt;=$NX116,MIN(Control!$C$72+$NB116,$NX116-$MT116),0)</f>
        <v>#DIV/0!</v>
      </c>
      <c r="NZ116" s="54" t="e">
        <f ca="1">IF(Control!$C$114=1,  $CX116*($MX116-Control!$C$127), 0)</f>
        <v>#DIV/0!</v>
      </c>
      <c r="OA116" s="170" t="e">
        <f t="shared" ca="1" si="342"/>
        <v>#DIV/0!</v>
      </c>
      <c r="OB116" s="170" t="e">
        <f ca="1">IF($NA116 &lt;=$NY116, MIN(Control!$C$72, $NY116-$NA116), 0)</f>
        <v>#DIV/0!</v>
      </c>
      <c r="OC116" s="168" t="e">
        <f t="shared" ca="1" si="343"/>
        <v>#DIV/0!</v>
      </c>
      <c r="OD116" s="168" t="e">
        <f t="shared" ca="1" si="432"/>
        <v>#DIV/0!</v>
      </c>
      <c r="OE116" s="170">
        <f ca="1">Control!$C$73*$I116</f>
        <v>0</v>
      </c>
      <c r="OF116" s="176" t="e">
        <f t="shared" ca="1" si="344"/>
        <v>#DIV/0!</v>
      </c>
      <c r="OG116" s="168" t="e">
        <f t="shared" ca="1" si="345"/>
        <v>#DIV/0!</v>
      </c>
      <c r="OH116" s="168" t="e">
        <f t="shared" ca="1" si="346"/>
        <v>#DIV/0!</v>
      </c>
      <c r="OI116" s="168" t="e">
        <f t="shared" ca="1" si="347"/>
        <v>#DIV/0!</v>
      </c>
      <c r="OJ116" s="168" t="e">
        <f t="shared" ca="1" si="348"/>
        <v>#DIV/0!</v>
      </c>
      <c r="OK116" s="204" t="e">
        <f t="shared" ca="1" si="349"/>
        <v>#DIV/0!</v>
      </c>
      <c r="OL116" s="177">
        <f>Control!$C$127</f>
        <v>0.15</v>
      </c>
      <c r="OM116" s="182" t="e">
        <f t="shared" ca="1" si="350"/>
        <v>#N/A</v>
      </c>
      <c r="ON116" s="177">
        <f>Control!$C$128</f>
        <v>0.35</v>
      </c>
      <c r="OO116" s="182" t="e">
        <f t="shared" ca="1" si="351"/>
        <v>#N/A</v>
      </c>
      <c r="OP116" s="138">
        <f t="shared" ca="1" si="433"/>
        <v>0</v>
      </c>
      <c r="OQ116" s="138" t="e">
        <f t="shared" ca="1" si="456"/>
        <v>#DIV/0!</v>
      </c>
      <c r="OR116" s="138" t="e">
        <f t="shared" ca="1" si="434"/>
        <v>#DIV/0!</v>
      </c>
      <c r="OS116" s="137" t="e">
        <f t="shared" ca="1" si="457"/>
        <v>#DIV/0!</v>
      </c>
      <c r="OT116" s="139" t="e">
        <f t="shared" ca="1" si="458"/>
        <v>#DIV/0!</v>
      </c>
      <c r="OU116" s="138" t="e">
        <f t="shared" ca="1" si="459"/>
        <v>#N/A</v>
      </c>
      <c r="OV116" s="138" t="e">
        <f t="shared" ca="1" si="460"/>
        <v>#DIV/0!</v>
      </c>
      <c r="OW116" s="138" t="e">
        <f t="shared" ca="1" si="435"/>
        <v>#DIV/0!</v>
      </c>
      <c r="OX116" s="138" t="e">
        <f t="shared" ca="1" si="436"/>
        <v>#DIV/0!</v>
      </c>
      <c r="OY116" s="138" t="e">
        <f t="shared" ca="1" si="437"/>
        <v>#DIV/0!</v>
      </c>
      <c r="OZ116" s="138" t="e">
        <f t="shared" ca="1" si="352"/>
        <v>#DIV/0!</v>
      </c>
      <c r="PA116" s="138" t="e">
        <f t="shared" ca="1" si="353"/>
        <v>#DIV/0!</v>
      </c>
      <c r="PB116" s="55">
        <f>IF(Control!$C$61="T", IF(Control!$C$65="F", IF($AH$6-Control!$C$60&lt;0,0,1), IF(365+$AH$6-Control!$C$60&lt;0,0,1)),0)</f>
        <v>0</v>
      </c>
      <c r="PC116" s="55">
        <f ca="1">IF(Control!$C$65="F", IF($AH$6-$HF116&lt;0,0,1), IF(365+$AH$6-$HF116&lt;0,0,1))</f>
        <v>1</v>
      </c>
      <c r="PD116" s="444">
        <f>Control!$C$118</f>
        <v>1500</v>
      </c>
      <c r="PE116" s="180" t="e">
        <f t="shared" ca="1" si="354"/>
        <v>#N/A</v>
      </c>
      <c r="PF116" s="445">
        <f t="shared" ca="1" si="438"/>
        <v>0.71612369323045078</v>
      </c>
      <c r="PT116" s="186"/>
      <c r="PU116" s="186"/>
      <c r="PV116" s="94"/>
      <c r="PW116" s="94"/>
      <c r="PX116" s="94"/>
      <c r="PY116" s="94"/>
      <c r="PZ116" s="94"/>
      <c r="QA116" s="94"/>
      <c r="QB116" s="94"/>
      <c r="QC116" s="94"/>
      <c r="QD116" s="94"/>
      <c r="QE116" s="94"/>
      <c r="QF116" s="94"/>
      <c r="QG116" s="94"/>
      <c r="QH116" s="94"/>
      <c r="QI116" s="94"/>
      <c r="QJ116" s="94"/>
      <c r="QK116" s="94"/>
      <c r="QL116" s="94"/>
      <c r="QM116" s="94"/>
      <c r="QN116" s="94"/>
      <c r="QO116" s="94"/>
      <c r="QP116" s="94"/>
    </row>
    <row r="117" spans="1:458" s="2" customFormat="1" x14ac:dyDescent="0.2">
      <c r="A117" s="395">
        <v>22</v>
      </c>
      <c r="B117" s="396">
        <v>4</v>
      </c>
      <c r="C117" s="387">
        <f ca="1">Weather_data!$B116</f>
        <v>0</v>
      </c>
      <c r="D117" s="388">
        <f ca="1">Weather_data!$F116</f>
        <v>0</v>
      </c>
      <c r="E117" s="388">
        <f ca="1">Weather_data!$E116</f>
        <v>0</v>
      </c>
      <c r="F117" s="388">
        <f t="shared" ca="1" si="355"/>
        <v>0</v>
      </c>
      <c r="G117" s="388">
        <f ca="1">AVERAGE($D117:$E117)+Control!$B$9</f>
        <v>0</v>
      </c>
      <c r="H117" s="388">
        <f ca="1">Weather_data!$G116</f>
        <v>0</v>
      </c>
      <c r="I117" s="388">
        <f ca="1">Weather_data!$I116</f>
        <v>0</v>
      </c>
      <c r="J117" s="388">
        <f ca="1">Weather_data!$H116</f>
        <v>0</v>
      </c>
      <c r="K117" s="389">
        <f ca="1">Weather_data!$D116</f>
        <v>0</v>
      </c>
      <c r="L117" s="388" t="e">
        <f t="shared" ca="1" si="356"/>
        <v>#N/A</v>
      </c>
      <c r="M117" s="388" t="e">
        <f t="shared" ca="1" si="234"/>
        <v>#N/A</v>
      </c>
      <c r="N117" s="388">
        <f t="shared" ca="1" si="235"/>
        <v>-4.1676242089490439E-6</v>
      </c>
      <c r="O117" s="388">
        <f t="shared" ca="1" si="357"/>
        <v>4.1676242089490441E-5</v>
      </c>
      <c r="P117" s="390">
        <v>3</v>
      </c>
      <c r="Q117" s="388">
        <f ca="1">MAX($G117-Control!$C$107,0)</f>
        <v>0</v>
      </c>
      <c r="R117" s="388">
        <f t="shared" ca="1" si="358"/>
        <v>0</v>
      </c>
      <c r="S117" s="388">
        <f t="shared" ca="1" si="236"/>
        <v>0</v>
      </c>
      <c r="T117" s="388">
        <f t="shared" ca="1" si="237"/>
        <v>0</v>
      </c>
      <c r="U117" s="59">
        <f t="shared" ca="1" si="238"/>
        <v>0</v>
      </c>
      <c r="V117" s="391">
        <f ca="1">MAX(0,MIN(Control!$C$100-Control!$C$99,$G117-Control!$C$99)*Control!$C$63)</f>
        <v>0</v>
      </c>
      <c r="W117" s="388">
        <f t="shared" ca="1" si="359"/>
        <v>0</v>
      </c>
      <c r="X117" s="388">
        <f t="shared" ca="1" si="360"/>
        <v>0.6110000000000001</v>
      </c>
      <c r="Y117" s="388">
        <f t="shared" ca="1" si="239"/>
        <v>0</v>
      </c>
      <c r="Z117" s="388">
        <f t="shared" ca="1" si="361"/>
        <v>0.61058800000000002</v>
      </c>
      <c r="AA117" s="388">
        <f t="shared" ca="1" si="240"/>
        <v>0.6018</v>
      </c>
      <c r="AB117" s="388">
        <f ca="1">101.3*EXP(-0.034*Control!$C$66/($G117+273))</f>
        <v>100.69623283836242</v>
      </c>
      <c r="AC117" s="392">
        <f t="shared" ca="1" si="241"/>
        <v>4.3460251046025113E-2</v>
      </c>
      <c r="AD117" s="392">
        <f t="shared" ca="1" si="242"/>
        <v>4.4450382862832649E-2</v>
      </c>
      <c r="AE117" s="388">
        <f t="shared" ca="1" si="243"/>
        <v>0</v>
      </c>
      <c r="AF117" s="388">
        <f ca="1">MAX(0,$G117-Control!$C$92)</f>
        <v>0</v>
      </c>
      <c r="AG117" s="393">
        <f t="shared" ca="1" si="244"/>
        <v>113</v>
      </c>
      <c r="AH117" s="389">
        <f t="shared" ca="1" si="245"/>
        <v>113</v>
      </c>
      <c r="AI117" s="388">
        <f t="shared" ca="1" si="362"/>
        <v>0.20833733874120161</v>
      </c>
      <c r="AJ117" s="388">
        <f ca="1">IF(Control!$C$60&lt;=0,$HH117,$HI117)</f>
        <v>1</v>
      </c>
      <c r="AK117" s="388">
        <f t="shared" ca="1" si="246"/>
        <v>0.56806880859431874</v>
      </c>
      <c r="AL117" s="388">
        <f t="shared" ca="1" si="247"/>
        <v>-2.7050080925183902E-18</v>
      </c>
      <c r="AM117" s="388">
        <f t="shared" ca="1" si="248"/>
        <v>0.56806880859431874</v>
      </c>
      <c r="AN117" s="388">
        <f t="shared" ca="1" si="249"/>
        <v>0.21568689410007047</v>
      </c>
      <c r="AO117" s="388">
        <f ca="1">-0.10453/COS(Control!$B$8*PI()/180)*COS(AN117)</f>
        <v>-0.16585088383879848</v>
      </c>
      <c r="AP117" s="388">
        <f ca="1">ACOS(AO117-TAN(Control!$B$8*PI()/180)*TAN(AN117))</f>
        <v>2.0334000359040747</v>
      </c>
      <c r="AQ117" s="388">
        <f t="shared" ca="1" si="363"/>
        <v>0</v>
      </c>
      <c r="AR117" s="394">
        <f t="shared" ca="1" si="250"/>
        <v>0</v>
      </c>
      <c r="AS117" s="436">
        <f ca="1">IF(Control!$B$18=2,(IF(OR($AH117=Control!$B$175,$AH117=Control!$B$176,$AH117=Control!$B$177,$AH117=Control!$B$178,$AH117=Control!$B$179,$AH117=Control!$B$180,$AH117=Control!$B$181,$AH117=Control!$B$182,$AH117=Control!$B$183,$AH117=Control!$B$184,$AH117=Control!$B$185),1,0)),0)</f>
        <v>0</v>
      </c>
      <c r="AT117" s="436">
        <f>IF(Control!$B$20=8,IF(AND($AH117&gt;=Control!$B$172,$AH117&lt;=Control!$B$173),1,0),0)</f>
        <v>0</v>
      </c>
      <c r="AU117" s="436">
        <f>IF(Control!$B$20=8,IF($AV116=1,1*$AT117,IF($AT117=1,$AU116+1,$AU116)),0)</f>
        <v>0</v>
      </c>
      <c r="AV117" s="436">
        <f>IF(Control!$B$20=8,IF($AU117&gt;=Control!$B$174,1,0),0)</f>
        <v>0</v>
      </c>
      <c r="AW117" s="436">
        <f ca="1">IF(AND(Control!$B$18=2,Control!$B$171=1), $AV117, $AS117)</f>
        <v>0</v>
      </c>
      <c r="AX117" s="436" t="e">
        <f ca="1">IF(AND(Control!$B$18=1,$EU117&gt;=Control!$B$19),-$AY117,IF(AND(Control!$B$18=2,$AW117=1,$EU117&gt;$DS117),-$AY117, IF(Control!$C$108=0,0, IF(Control!$C$108&lt;&gt;0,1))))</f>
        <v>#N/A</v>
      </c>
      <c r="AY117" s="436" t="e">
        <f t="shared" ca="1" si="364"/>
        <v>#N/A</v>
      </c>
      <c r="AZ117" s="436" t="e">
        <f ca="1">IF(AND(Control!$B$18=1,$EB117&gt;Control!$B$19),$AZ116+1, IF(AND(Control!$B$18=2, $AW117=1, $EB117&gt;$DS117), $AZ116+1,$AZ116))</f>
        <v>#N/A</v>
      </c>
      <c r="BA117" s="587">
        <f>IF(Control!$C$81=0,1,IF($AH117&gt;=Control!$C$82,1,0))</f>
        <v>1</v>
      </c>
      <c r="BB117" s="140" t="e">
        <f ca="1">IF($BA117&gt;$BA116,Control!$C$83,IF($AW117&gt;0,$AW117*Control!$C$84,IF(AND(Control!$B$18=1,EN116&lt;&gt;0),Control!$C$84,0)))</f>
        <v>#N/A</v>
      </c>
      <c r="BC117" s="140" t="e">
        <f t="shared" ca="1" si="365"/>
        <v>#N/A</v>
      </c>
      <c r="BD117" s="140" t="e">
        <f ca="1">BC117*IF(OR($G117&lt;Control!$C$92,$G117&gt;Control!$C$95),0,IF(AND($G117&gt;=Control!$C$92,$G117&lt;=Control!$C$93),$G117-Control!$C$92,IF(AND($G117&gt;Control!$C$93,$G117&lt;=Control!$C$94),Control!$C$93-Control!$C$92,IF(AND($G117&gt;Control!$C$94,$G117&lt;=Control!$C$95),(Control!$C$93-Control!$C$92)*(Control!$C$94-$G117)/(Control!$C$95-Control!$C$94)))))</f>
        <v>#N/A</v>
      </c>
      <c r="BE117" s="140" t="e">
        <f t="shared" ca="1" si="366"/>
        <v>#N/A</v>
      </c>
      <c r="BF117" s="140" t="e">
        <f ca="1">IF($BE117&lt;=Control!$C$86,$BE117,Control!$C$86-$BE117)</f>
        <v>#N/A</v>
      </c>
      <c r="BG117" s="140" t="e">
        <f ca="1">IF(AND($AW117=1,Control!$C$84&lt;9),1,IF($BE117&gt;=Control!$C$86,0,$BC117))</f>
        <v>#N/A</v>
      </c>
      <c r="BH117" s="404" t="e">
        <f ca="1">IF($BG117=0,0,IF($BE117&lt;=Control!$C$86,$BC117*9*($BF117/Control!$C$86),0))</f>
        <v>#N/A</v>
      </c>
      <c r="BI117" s="140" t="e">
        <f ca="1">IF($BG117=1,0,IF($BE117&gt;=Control!$C$86,1,IF(AND($BB117&lt;21,$BB117&gt;=9),1,$BM116)))</f>
        <v>#N/A</v>
      </c>
      <c r="BJ117" s="140" t="e">
        <f ca="1">IF($BF117&lt;0,-$BF117,$BI117*IF(OR($G117&lt;Control!$C$92,$G117&gt;Control!$C$95),0,IF(AND($G117&gt;=Control!$C$92,$G117&lt;=Control!$C$93),$G117-Control!$C$92,IF(AND($G117&gt;Control!$C$93,$G117&lt;=Control!$C$94),Control!$C$93-Control!$C$92,IF(AND($G117&gt;Control!$C$94,$G117&lt;=Control!$C$95),(Control!$C$93-Control!$C$92)*(Control!$C$94-$G117)/(Control!$C$95-Control!$C$94))))))</f>
        <v>#N/A</v>
      </c>
      <c r="BK117" s="140" t="e">
        <f t="shared" ca="1" si="367"/>
        <v>#N/A</v>
      </c>
      <c r="BL117" s="140" t="e">
        <f ca="1">IF($BK117&lt;=Control!$C$87,$BK117,Control!$C$87-$BK117)</f>
        <v>#N/A</v>
      </c>
      <c r="BM117" s="140" t="e">
        <f ca="1">IF(AND($BB117&gt;=9,$BB117&lt;21),1,IF($BK117&gt;=Control!$C$87,0,$BI117))</f>
        <v>#N/A</v>
      </c>
      <c r="BN117" s="404" t="e">
        <f ca="1">IF($BM117=0,0,IF($BK117&lt;=Control!$C$87,$BI117*(9+(21-9)*($BL117/Control!$C$87)),0))</f>
        <v>#N/A</v>
      </c>
      <c r="BO117" s="140" t="e">
        <f ca="1">IF($BM117=1,0,IF($BK117&gt;=Control!$C$87,1,IF(AND($BB117&lt;30,$BB117&gt;=21),1,$BS116)))</f>
        <v>#N/A</v>
      </c>
      <c r="BP117" s="140" t="e">
        <f ca="1">IF($BL117&lt;0,-$BL117,$BO117*IF(OR($G117&lt;Control!$C$92,$G117&gt;Control!$C$95),0,IF(AND($G117&gt;=Control!$C$92,$G117&lt;=Control!$C$93),$G117-Control!$C$92,IF(AND($G117&gt;Control!$C$93,$G117&lt;=Control!$C$94),Control!$C$93-Control!$C$92,IF(AND($G117&gt;Control!$C$94,$G117&lt;=Control!$C$95),(Control!$C$93-Control!$C$92)*(Control!$C$94-$G117)/(Control!$C$95-Control!$C$94))))))</f>
        <v>#N/A</v>
      </c>
      <c r="BQ117" s="140" t="e">
        <f t="shared" ca="1" si="251"/>
        <v>#N/A</v>
      </c>
      <c r="BR117" s="140" t="e">
        <f ca="1">IF($BQ117&lt;=Control!$C$88,$BQ117,Control!$C$88-$BQ117)</f>
        <v>#N/A</v>
      </c>
      <c r="BS117" s="140" t="e">
        <f ca="1">IF(AND($BB117&gt;=21,$BB117&lt;30),1,IF($BQ117&gt;=Control!$C$88,0,$BO117))</f>
        <v>#N/A</v>
      </c>
      <c r="BT117" s="404" t="e">
        <f ca="1">IF($BS117=0,0,IF($BQ117&lt;=Control!$C$88,$BO117*(21+(30-21)*(BR117/Control!$C$88)),0))</f>
        <v>#N/A</v>
      </c>
      <c r="BU117" s="140" t="e">
        <f ca="1">IF(BG117+BM117+BS117=1,0,IF(OR(AND($BB117&lt;60,$BB117&gt;=30),$BQ117&gt;=Control!$C$88),1*$BA117,$BY116))</f>
        <v>#N/A</v>
      </c>
      <c r="BV117" s="140" t="e">
        <f ca="1">IF($BR117&lt;0,-$BR117,$BU117*IF(OR($G117&lt;Control!$C$92,$G117&gt;Control!$C$95),0,IF(AND($G117&gt;=Control!$C$92,$G117&lt;=Control!$C$93),$G117-Control!$C$92,IF(AND($G117&gt;Control!$C$93,$G117&lt;=Control!$C$94),Control!$C$93-Control!$C$92,IF(AND($G117&gt;Control!$C$94,$G117&lt;=Control!$C$95),(Control!$C$93-Control!$C$92)*(Control!$C$94-$G117)/(Control!$C$95-Control!$C$94))))))</f>
        <v>#N/A</v>
      </c>
      <c r="BW117" s="140" t="e">
        <f t="shared" ca="1" si="252"/>
        <v>#N/A</v>
      </c>
      <c r="BX117" s="140" t="e">
        <f ca="1">IF($BW117&lt;=Control!$C$89,$BW117,Control!$C$89-$BW117)</f>
        <v>#N/A</v>
      </c>
      <c r="BY117" s="140" t="e">
        <f ca="1">IF(AND($AJ117&gt;=30,$AJ117&lt;60),1,IF($BW117&gt;=Control!$C$89,0,$BU117))</f>
        <v>#N/A</v>
      </c>
      <c r="BZ117" s="404" t="e">
        <f ca="1">IF($BY117=0,0,IF($BW117&lt;=Control!$C$89,$BU117*(30+(60-30)*(BX117/Control!$C$89)),0))</f>
        <v>#N/A</v>
      </c>
      <c r="CA117" s="140" t="e">
        <f ca="1">IF($BG117+$BM117+$BS117+$BY117=1,0,IF(OR(AND($BB117&lt;65,$BB117&gt;=60),$BW117&gt;=Control!$C$89),1*$BA117,$CE116))</f>
        <v>#N/A</v>
      </c>
      <c r="CB117" s="140" t="e">
        <f ca="1">IF($BX117&lt;0,-$BX117,$CA117*IF(OR($G117&lt;Control!$C$92,$G117&gt;Control!$C$95),0,IF(AND($G117&gt;=Control!$C$92,$G117&lt;=Control!$C$93),$G117-Control!$C$92,IF(AND($G117&gt;Control!$C$93,$G117&lt;=Control!$C$94),Control!$C$93-Control!$C$92,IF(AND($G117&gt;Control!$C$94,$G117&lt;=Control!$C$95),(Control!$C$93-Control!$C$92)*(Control!$C$94-$G117)/(Control!$C$95-Control!$C$94))))))</f>
        <v>#N/A</v>
      </c>
      <c r="CC117" s="140" t="e">
        <f t="shared" ca="1" si="368"/>
        <v>#N/A</v>
      </c>
      <c r="CD117" s="140" t="e">
        <f ca="1">IF($CC117&lt;=Control!$C$90,$CC117,Control!$C$90-$CC117)</f>
        <v>#N/A</v>
      </c>
      <c r="CE117" s="140" t="e">
        <f ca="1">IF(AND($BB117&gt;=60,$BB117&lt;65),1,IF($CC117&gt;=Control!$C$90,0,$CA117))</f>
        <v>#N/A</v>
      </c>
      <c r="CF117" s="404" t="e">
        <f ca="1">IF($CE117=0,0,IF($CC117&lt;=Control!$C$90,$CA117*(60+(65-60)*(CD117/Control!$C$90)),0))</f>
        <v>#N/A</v>
      </c>
      <c r="CG117" s="140" t="e">
        <f ca="1">IF($BG117+$BM117+$BS117+$BY117+$CE117=1,0,IF(OR(AND($BB117&lt;90,$BB117&gt;=65),$CC117&gt;=Control!$C$90),$BA117,$CK116))</f>
        <v>#N/A</v>
      </c>
      <c r="CH117" s="140" t="e">
        <f ca="1">IF($CD117&lt;0,-$CD117,$CG117*IF(OR($G117&lt;Control!$C$92,$G117&gt;Control!$C$95),0,IF(AND($G117&gt;=Control!$C$92,$G117&lt;=Control!$C$93),$G117-Control!$C$92,IF(AND($G117&gt;Control!$C$93,$G117&lt;=Control!$C$94),Control!$C$93-Control!$C$92,IF(AND($G117&gt;Control!$C$94,$G117&lt;=Control!$C$95),(Control!$C$93-Control!$C$92)*(Control!$C$94-$G117)/(Control!$C$95-Control!$C$94))))))</f>
        <v>#N/A</v>
      </c>
      <c r="CI117" s="140" t="e">
        <f t="shared" ca="1" si="369"/>
        <v>#N/A</v>
      </c>
      <c r="CJ117" s="140" t="e">
        <f ca="1">IF($CI117&lt;=Control!$C$91,$CI117,Control!$C$91-$CI117)</f>
        <v>#N/A</v>
      </c>
      <c r="CK117" s="140" t="e">
        <f ca="1">IF(AND($BB117&gt;=65,$BB117&lt;90),1,IF($CI117&gt;=Control!$C$91,0,$CG117))</f>
        <v>#N/A</v>
      </c>
      <c r="CL117" s="404" t="e">
        <f ca="1">IF($CK117=0,0,IF($CI117&lt;=Control!$C$91,$CG117*(65+(90-65)*($CJ117/Control!$C$91)),0))</f>
        <v>#N/A</v>
      </c>
      <c r="CM117" s="140" t="e">
        <f ca="1">IF($BG117+$BM117+$BS117+$BY117+$CE117+$CK117=1,0,IF(OR($BB117&gt;=90,$CI117&gt;=Control!$C$91),$BA117,$CM116))</f>
        <v>#N/A</v>
      </c>
      <c r="CN117" s="140" t="e">
        <f t="shared" ca="1" si="370"/>
        <v>#N/A</v>
      </c>
      <c r="CO117" s="140" t="e">
        <f t="shared" ca="1" si="371"/>
        <v>#N/A</v>
      </c>
      <c r="CP117" s="140" t="e">
        <f t="shared" ca="1" si="372"/>
        <v>#N/A</v>
      </c>
      <c r="CQ117" s="141" t="e">
        <f ca="1">VLOOKUP($CP117,Control!$B$86:$G$91,6)</f>
        <v>#N/A</v>
      </c>
      <c r="CR117" s="141" t="e">
        <f ca="1">(1-$CQ117)*VLOOKUP($CP117,Control!$B$86:$D$91,3)</f>
        <v>#N/A</v>
      </c>
      <c r="CS117" s="141" t="e">
        <f ca="1">(1-$CQ117)*VLOOKUP($CP117,Control!$B$86:$E$91,4)</f>
        <v>#N/A</v>
      </c>
      <c r="CT117" s="141" t="e">
        <f ca="1">(1-$CQ117)*VLOOKUP($CP117,Control!$B$86:$F$91,5)</f>
        <v>#N/A</v>
      </c>
      <c r="CU117" s="141">
        <f t="shared" ca="1" si="373"/>
        <v>0</v>
      </c>
      <c r="CV117" s="583">
        <f t="shared" ca="1" si="374"/>
        <v>0</v>
      </c>
      <c r="CW117" s="142">
        <f t="shared" ca="1" si="375"/>
        <v>113</v>
      </c>
      <c r="CX117" s="612" t="e">
        <f ca="1">IF(Control!$C$114=1,(MIN(Control!$C$120*(IF($NT117-0.01&lt;0,0,1)),Control!$C$119-$CY117)))</f>
        <v>#DIV/0!</v>
      </c>
      <c r="CY117" s="143" t="e">
        <f t="shared" ca="1" si="376"/>
        <v>#N/A</v>
      </c>
      <c r="CZ117" s="144">
        <f t="shared" ca="1" si="253"/>
        <v>0</v>
      </c>
      <c r="DA117" s="144">
        <f t="shared" ca="1" si="254"/>
        <v>0</v>
      </c>
      <c r="DB117" s="144" t="e">
        <f t="shared" ca="1" si="255"/>
        <v>#N/A</v>
      </c>
      <c r="DC117" s="144" t="e">
        <f t="shared" ca="1" si="256"/>
        <v>#N/A</v>
      </c>
      <c r="DD117" s="144" t="e">
        <f t="shared" ca="1" si="461"/>
        <v>#N/A</v>
      </c>
      <c r="DE117" s="143" t="e">
        <f t="shared" ca="1" si="377"/>
        <v>#N/A</v>
      </c>
      <c r="DF117" s="145" t="e">
        <f ca="1">$DR117*EXP(-Control!$C$158*(1-$KH117))</f>
        <v>#N/A</v>
      </c>
      <c r="DG117" s="146" t="e">
        <f ca="1">IF(Control!$C$114=1, $DF117*$EY117, 0)</f>
        <v>#N/A</v>
      </c>
      <c r="DH117" s="147" t="e">
        <f t="shared" ca="1" si="378"/>
        <v>#N/A</v>
      </c>
      <c r="DI117" s="144" t="e">
        <f t="shared" ca="1" si="439"/>
        <v>#N/A</v>
      </c>
      <c r="DJ117" s="147" t="e">
        <f ca="1">$EF117*Control!$C$109</f>
        <v>#N/A</v>
      </c>
      <c r="DK117" s="144" t="e">
        <f t="shared" ca="1" si="379"/>
        <v>#N/A</v>
      </c>
      <c r="DL117" s="144" t="e">
        <f t="shared" ca="1" si="257"/>
        <v>#N/A</v>
      </c>
      <c r="DM117" s="144" t="e">
        <f ca="1">IF(Control!$C$114=1, (1-EXP(-Control!$C$96*$DK117))*$AR117, 0)</f>
        <v>#N/A</v>
      </c>
      <c r="DN117" s="144">
        <f t="shared" ca="1" si="380"/>
        <v>0</v>
      </c>
      <c r="DO117" s="148">
        <f>Control!$C$97</f>
        <v>4</v>
      </c>
      <c r="DP117" s="145" t="e">
        <f t="shared" ca="1" si="381"/>
        <v>#N/A</v>
      </c>
      <c r="DQ117" s="145" t="e">
        <f ca="1">IF(AND($CP117&gt;=0,$CP117&lt;=90),Control!$C$111,Control!$C$111)</f>
        <v>#N/A</v>
      </c>
      <c r="DR117" s="145" t="e">
        <f t="shared" ca="1" si="258"/>
        <v>#N/A</v>
      </c>
      <c r="DS117" s="143" t="e">
        <f ca="1">Control!$B$22/$DR117</f>
        <v>#N/A</v>
      </c>
      <c r="DT117" s="149" t="e">
        <f ca="1">IF(AND(Control!$C$114=1,$KH117&lt;1),$IM117*$DF117, 0)</f>
        <v>#N/A</v>
      </c>
      <c r="DU117" s="144" t="e">
        <f t="shared" ca="1" si="382"/>
        <v>#N/A</v>
      </c>
      <c r="DV117" s="144">
        <f ca="1">IF($G117-Control!$C$107&lt;=0, 0, 0.83*LN(MAX($G117, 3))-0.8924)</f>
        <v>0</v>
      </c>
      <c r="DW117" s="144" t="e">
        <f t="shared" ca="1" si="259"/>
        <v>#N/A</v>
      </c>
      <c r="DX117" s="150" t="e">
        <f ca="1">MAX(0.01*(1+$CU117/Control!$C$102),0.05*($DK117-Control!$C$97)/Control!$C$97)</f>
        <v>#N/A</v>
      </c>
      <c r="DY117" s="151" t="e">
        <f ca="1">IF(Control!$C$114=1, $DI117*$FS117, 0)</f>
        <v>#N/A</v>
      </c>
      <c r="DZ117" s="196" t="e">
        <f t="shared" ca="1" si="383"/>
        <v>#N/A</v>
      </c>
      <c r="EA117" s="152">
        <f t="shared" ca="1" si="384"/>
        <v>113</v>
      </c>
      <c r="EB117" s="153" t="e">
        <f t="shared" ca="1" si="385"/>
        <v>#N/A</v>
      </c>
      <c r="EC117" s="153" t="e">
        <f t="shared" ca="1" si="386"/>
        <v>#N/A</v>
      </c>
      <c r="ED117" s="154" t="e">
        <f ca="1">IF(Control!$C$114=1, $HM117*$FY117-$FD117, 0)</f>
        <v>#DIV/0!</v>
      </c>
      <c r="EE117" s="155" t="e">
        <f ca="1">IF(Control!$C$114=1, $HM117*$FZ117-$FF117, 0)</f>
        <v>#DIV/0!</v>
      </c>
      <c r="EF117" s="153" t="e">
        <f t="shared" ca="1" si="440"/>
        <v>#N/A</v>
      </c>
      <c r="EG117" s="155" t="e">
        <f ca="1">IF(Control!$C$114=1, $GX117*$FW117-$FI117, 0)</f>
        <v>#DIV/0!</v>
      </c>
      <c r="EH117" s="153" t="e">
        <f t="shared" ca="1" si="387"/>
        <v>#N/A</v>
      </c>
      <c r="EI117" s="156" t="e">
        <f t="shared" ca="1" si="388"/>
        <v>#N/A</v>
      </c>
      <c r="EJ117" s="155" t="e">
        <f ca="1">IF(Control!$C$114=1, $HM117*$GB117, 0)</f>
        <v>#DIV/0!</v>
      </c>
      <c r="EK117" s="153" t="e">
        <f t="shared" ca="1" si="441"/>
        <v>#N/A</v>
      </c>
      <c r="EL117" s="153" t="e">
        <f t="shared" ca="1" si="260"/>
        <v>#N/A</v>
      </c>
      <c r="EM117" s="153" t="e">
        <f t="shared" ca="1" si="261"/>
        <v>#N/A</v>
      </c>
      <c r="EN117" s="153" t="e">
        <f ca="1">IF(Control!$C$108=1,IF(AND(Control!$B$18=1,$EB117&gt;=Control!$B$19),$EB117-$DS117,IF(AND(Control!$B$18=2,$AW117=1,$EB117&gt;$DS117),$EB117-$DS117,0)))</f>
        <v>#N/A</v>
      </c>
      <c r="EO117" s="153" t="e">
        <f ca="1">IF(Control!$C$108=1,IF(AND(Control!$B$18=1,$EB117&gt;=Control!$B$19),$EF117,IF(AND(Control!$B$18=2,$AW117=1),$EF117,0)))</f>
        <v>#N/A</v>
      </c>
      <c r="EP117" s="153" t="e">
        <f ca="1">IF(Control!$C$108=1,IF(AND(Control!$B$18=1,$EB117&gt;=Control!$B$19),$EK117,IF(AND(Control!$B$18=2,$AW117=1),$EK117,0)))</f>
        <v>#N/A</v>
      </c>
      <c r="EQ117" s="153" t="e">
        <f t="shared" ca="1" si="389"/>
        <v>#N/A</v>
      </c>
      <c r="ER117" s="153" t="e">
        <f t="shared" ca="1" si="390"/>
        <v>#N/A</v>
      </c>
      <c r="ES117" s="153" t="e">
        <f t="shared" ca="1" si="442"/>
        <v>#N/A</v>
      </c>
      <c r="ET117" s="153" t="e">
        <f t="shared" ca="1" si="443"/>
        <v>#N/A</v>
      </c>
      <c r="EU117" s="153" t="e">
        <f t="shared" ca="1" si="391"/>
        <v>#N/A</v>
      </c>
      <c r="EV117" s="153" t="e">
        <f t="shared" ca="1" si="262"/>
        <v>#N/A</v>
      </c>
      <c r="EW117" s="153" t="e">
        <f t="shared" ca="1" si="263"/>
        <v>#N/A</v>
      </c>
      <c r="EX117" s="153" t="e">
        <f t="shared" ca="1" si="264"/>
        <v>#N/A</v>
      </c>
      <c r="EY117" s="157" t="e">
        <f t="shared" ca="1" si="265"/>
        <v>#DIV/0!</v>
      </c>
      <c r="EZ117" s="154" t="e">
        <f t="shared" ca="1" si="266"/>
        <v>#DIV/0!</v>
      </c>
      <c r="FA117" s="153" t="e">
        <f t="shared" ca="1" si="392"/>
        <v>#N/A</v>
      </c>
      <c r="FB117" s="153" t="e">
        <f t="shared" ca="1" si="267"/>
        <v>#N/A</v>
      </c>
      <c r="FC117" s="193" t="e">
        <f t="shared" ca="1" si="268"/>
        <v>#N/A</v>
      </c>
      <c r="FD117" s="158" t="e">
        <f t="shared" ca="1" si="393"/>
        <v>#N/A</v>
      </c>
      <c r="FE117" s="158" t="e">
        <f t="shared" ca="1" si="394"/>
        <v>#N/A</v>
      </c>
      <c r="FF117" s="159" t="e">
        <f t="shared" ca="1" si="269"/>
        <v>#N/A</v>
      </c>
      <c r="FG117" s="160" t="e">
        <f t="shared" ca="1" si="395"/>
        <v>#N/A</v>
      </c>
      <c r="FH117" s="158" t="e">
        <f t="shared" ca="1" si="396"/>
        <v>#N/A</v>
      </c>
      <c r="FI117" s="159" t="e">
        <f t="shared" ca="1" si="270"/>
        <v>#N/A</v>
      </c>
      <c r="FJ117" s="160" t="e">
        <f t="shared" ca="1" si="397"/>
        <v>#N/A</v>
      </c>
      <c r="FK117" s="160" t="e">
        <f t="shared" ca="1" si="271"/>
        <v>#N/A</v>
      </c>
      <c r="FL117" s="160" t="e">
        <f t="shared" ca="1" si="444"/>
        <v>#N/A</v>
      </c>
      <c r="FM117" s="160" t="e">
        <f t="shared" ca="1" si="272"/>
        <v>#N/A</v>
      </c>
      <c r="FN117" s="158">
        <f t="shared" ca="1" si="398"/>
        <v>0.01</v>
      </c>
      <c r="FO117" s="160">
        <f>Control!$C$101</f>
        <v>50</v>
      </c>
      <c r="FP117" s="150" t="e">
        <f t="shared" ca="1" si="273"/>
        <v>#N/A</v>
      </c>
      <c r="FQ117" s="150" t="e">
        <f ca="1">MAX(0,(Control!$C$112*(($DK117-Control!$C$97)/Control!$C$97)))</f>
        <v>#N/A</v>
      </c>
      <c r="FR117" s="150" t="e">
        <f ca="1">(1-$NT117)*Control!$C$113</f>
        <v>#DIV/0!</v>
      </c>
      <c r="FS117" s="198" t="e">
        <f t="shared" ca="1" si="274"/>
        <v>#N/A</v>
      </c>
      <c r="FT117" s="161">
        <f t="shared" ca="1" si="399"/>
        <v>113</v>
      </c>
      <c r="FU117" s="162" t="e">
        <f ca="1">IF(Control!$B$34=1,VLOOKUP($CP117,Control!$B$86:$G$91,6),Control!$B$35)</f>
        <v>#N/A</v>
      </c>
      <c r="FV117" s="162" t="e">
        <f t="shared" ca="1" si="275"/>
        <v>#DIV/0!</v>
      </c>
      <c r="FW117" s="162" t="e">
        <f ca="1">IF(Control!$B$31=1,$FU117*$FV117,  $FU117)</f>
        <v>#N/A</v>
      </c>
      <c r="FX117" s="162" t="e">
        <f ca="1">IF(Control!$B$34=1,VLOOKUP($CP117,Control!$B$86:$G$91,3),Control!$B$36)</f>
        <v>#N/A</v>
      </c>
      <c r="FY117" s="162" t="e">
        <f t="shared" ca="1" si="276"/>
        <v>#N/A</v>
      </c>
      <c r="FZ117" s="162" t="e">
        <f ca="1">IF(Control!$B$34=1,VLOOKUP($CP117,Control!$B$86:$G$91,4),Control!$B$37)</f>
        <v>#N/A</v>
      </c>
      <c r="GA117" s="162" t="e">
        <f t="shared" ca="1" si="277"/>
        <v>#N/A</v>
      </c>
      <c r="GB117" s="162" t="e">
        <f ca="1">IF(Control!$B$34=1,VLOOKUP($CP117,Control!$B$86:$G$91,5),Control!$B$38)</f>
        <v>#N/A</v>
      </c>
      <c r="GC117" s="162" t="e">
        <f t="shared" ca="1" si="400"/>
        <v>#N/A</v>
      </c>
      <c r="GD117" s="162">
        <f t="shared" ca="1" si="278"/>
        <v>1</v>
      </c>
      <c r="GE117" s="162">
        <f t="shared" ca="1" si="279"/>
        <v>1</v>
      </c>
      <c r="GF117" s="162">
        <f ca="1">IF(AND(Control!$C$104=1, Control!$C$62="F"),$GE117,1)</f>
        <v>1</v>
      </c>
      <c r="GG117" s="162" t="e">
        <f ca="1">IF(Control!$B$16=40,0,IF(AND(Control!$B$16&gt;40,Control!$B$16&lt;=360),(Control!$B$16-40)*((1-0)/(360-40)),IF(AND(Control!$B$16&gt;360,Control!$B$16&lt;=720),(1+(Control!$B$16-360)*((1.25-1)/(720-360))),IF(AND(Control!$B$16&gt;720,Control!$B$16&lt;=1000),(1.25+(Control!$B$16-720)*((1.35-1.25)/(1000-720))),IF(AND(Control!$B$16&gt;1000,Control!$B$16&lt;=2000),(1.35+(Control!$B$16-1000)*0))))))</f>
        <v>#N/A</v>
      </c>
      <c r="GH117" s="162" t="e">
        <f t="shared" ca="1" si="280"/>
        <v>#N/A</v>
      </c>
      <c r="GI117" s="162">
        <f t="shared" ca="1" si="401"/>
        <v>0</v>
      </c>
      <c r="GJ117" s="162">
        <f t="shared" ca="1" si="281"/>
        <v>0</v>
      </c>
      <c r="GK117" s="162">
        <f t="shared" ca="1" si="402"/>
        <v>1</v>
      </c>
      <c r="GL117" s="162">
        <f t="shared" ca="1" si="282"/>
        <v>1</v>
      </c>
      <c r="GM117" s="162" t="e">
        <f ca="1">MAX(0,MIN(1,1-Control!$C$156*(1.0001-$KH117)^2))</f>
        <v>#N/A</v>
      </c>
      <c r="GN117" s="162" t="e">
        <f ca="1">IF(Control!$B$26=1,$KU117,$KX117)</f>
        <v>#N/A</v>
      </c>
      <c r="GO117" s="162" t="e">
        <f ca="1">IF($CP117&lt;=60,Control!$C$105,IF($CP117&gt;=90,Control!$C$106,Control!$C$105+($CP117-60)*((Control!$C$106-Control!$C$105)/(90-60))))</f>
        <v>#N/A</v>
      </c>
      <c r="GP117" s="162" t="e">
        <f t="shared" ca="1" si="283"/>
        <v>#N/A</v>
      </c>
      <c r="GQ117" s="162" t="e">
        <f t="shared" ca="1" si="403"/>
        <v>#N/A</v>
      </c>
      <c r="GR117" s="163" t="e">
        <f t="shared" ca="1" si="284"/>
        <v>#DIV/0!</v>
      </c>
      <c r="GS117" s="162" t="e">
        <f t="shared" ca="1" si="285"/>
        <v>#DIV/0!</v>
      </c>
      <c r="GT117" s="164" t="e">
        <f t="shared" ca="1" si="404"/>
        <v>#N/A</v>
      </c>
      <c r="GU117" s="162" t="e">
        <f t="shared" ca="1" si="405"/>
        <v>#N/A</v>
      </c>
      <c r="GV117" s="162" t="e">
        <f t="shared" ca="1" si="286"/>
        <v>#N/A</v>
      </c>
      <c r="GW117" s="162" t="e">
        <f t="shared" ca="1" si="287"/>
        <v>#DIV/0!</v>
      </c>
      <c r="GX117" s="162" t="e">
        <f t="shared" ca="1" si="406"/>
        <v>#DIV/0!</v>
      </c>
      <c r="GY117" s="162" t="e">
        <f t="shared" ca="1" si="407"/>
        <v>#DIV/0!</v>
      </c>
      <c r="GZ117" s="165" t="e">
        <f t="shared" ca="1" si="288"/>
        <v>#N/A</v>
      </c>
      <c r="HA117" s="162" t="e">
        <f ca="1">IF(Control!$C$114=1, $DI117*$FS117, 0)</f>
        <v>#N/A</v>
      </c>
      <c r="HB117" s="162" t="e">
        <f ca="1">$FA117/Control!$C$64</f>
        <v>#N/A</v>
      </c>
      <c r="HC117" s="162" t="e">
        <f t="shared" ca="1" si="289"/>
        <v>#DIV/0!</v>
      </c>
      <c r="HD117" s="162">
        <f ca="1">-ASIN(SIN(23.45*Control!$C$139)*COS(2*Control!$C$138*($AH117+10)/365))</f>
        <v>0.20833733874120161</v>
      </c>
      <c r="HE117" s="165">
        <f t="shared" ca="1" si="408"/>
        <v>0</v>
      </c>
      <c r="HF117" s="166">
        <f ca="1">IF(AND(Control!$C$61="T",$HE117&gt;=Control!$C$103,Control!$C$114=0),$AH117,Control!$C$59)</f>
        <v>1</v>
      </c>
      <c r="HG117" s="166">
        <f ca="1">IF(AND(Control!$C$61="T",$HE117&gt;=Control!$C$103,Control!$C$114=0),$HF117,Control!$C$59)</f>
        <v>1</v>
      </c>
      <c r="HH117" s="165">
        <f ca="1">IF(AND(OR(Control!$C$60&lt;=0, $AH117= Control!$C$59, Control!$C$60 &gt;0, $AH117 = Control!$C$60)), Control!$C$59, IF(Control!$C$60&gt;0, 0))</f>
        <v>1</v>
      </c>
      <c r="HI117" s="165">
        <f ca="1">IF(AND(OR(Control!$C$60&lt;=0, $AH117= Control!$C$59, Control!$C$60 &gt;0, $AH117 = Control!$C$60)), Control!$C$60, IF(Control!$C$60&lt;=0, 0))</f>
        <v>0</v>
      </c>
      <c r="HJ117" s="166">
        <f ca="1">IF(AND(Control!$C$62="F",$CV117&gt;=Control!$C$102),$AH117,0)</f>
        <v>0</v>
      </c>
      <c r="HK117" s="165" t="e">
        <f t="shared" ca="1" si="445"/>
        <v>#N/A</v>
      </c>
      <c r="HL117" s="166">
        <f ca="1">IF(AND(Control!$C$61="T",$HE117&gt;=Control!$C$103,Control!$C$114=0),$HF117,0)</f>
        <v>0</v>
      </c>
      <c r="HM117" s="201" t="e">
        <f t="shared" ca="1" si="290"/>
        <v>#DIV/0!</v>
      </c>
      <c r="HN117" s="215">
        <f t="shared" ca="1" si="409"/>
        <v>113</v>
      </c>
      <c r="HO117" s="216" t="e">
        <f ca="1">IF(AND($CP117&gt;=0, $CP117&lt;=90), Control!$C$152, Control!$C$152)</f>
        <v>#N/A</v>
      </c>
      <c r="HP117" s="216" t="e">
        <f t="shared" ca="1" si="291"/>
        <v>#N/A</v>
      </c>
      <c r="HQ117" s="217" t="e">
        <f ca="1">IF(OR(Control!$B$26=1,Control!$B$26=2),$KV117,$KS117)</f>
        <v>#DIV/0!</v>
      </c>
      <c r="HR117" s="218" t="e">
        <f t="shared" ca="1" si="446"/>
        <v>#DIV/0!</v>
      </c>
      <c r="HS117" s="216" t="e">
        <f ca="1">Control!$C$154*$HP117</f>
        <v>#N/A</v>
      </c>
      <c r="HT117" s="216" t="e">
        <f ca="1">Control!$C$155*$HP117</f>
        <v>#N/A</v>
      </c>
      <c r="HU117" s="217" t="e">
        <f ca="1">Control!$C$161*$FI117</f>
        <v>#N/A</v>
      </c>
      <c r="HV117" s="218" t="e">
        <f t="shared" ca="1" si="410"/>
        <v>#N/A</v>
      </c>
      <c r="HW117" s="218" t="e">
        <f ca="1">Control!$C$160*$FF117+$IP117*$EO117</f>
        <v>#N/A</v>
      </c>
      <c r="HX117" s="218" t="e">
        <f t="shared" ca="1" si="447"/>
        <v>#N/A</v>
      </c>
      <c r="HY117" s="219" t="e">
        <f ca="1">IF(Control!$C$114=1, $EB117*$FS117, 0)</f>
        <v>#N/A</v>
      </c>
      <c r="HZ117" s="91" t="e">
        <f t="shared" ca="1" si="292"/>
        <v>#N/A</v>
      </c>
      <c r="IA117" s="220" t="e">
        <f ca="1">Control!$C$153*$HO117</f>
        <v>#N/A</v>
      </c>
      <c r="IB117" s="218" t="e">
        <f t="shared" ca="1" si="293"/>
        <v>#N/A</v>
      </c>
      <c r="IC117" s="220" t="e">
        <f ca="1">Control!$C$153*$HT117</f>
        <v>#N/A</v>
      </c>
      <c r="ID117" s="218" t="e">
        <f t="shared" ca="1" si="294"/>
        <v>#N/A</v>
      </c>
      <c r="IE117" s="221" t="e">
        <f ca="1">($EB117*Control!$C$159+$EF117*Control!$C$160)/(IF($GZ117&lt;&gt;0,$GZ117,1))</f>
        <v>#N/A</v>
      </c>
      <c r="IF117" s="216" t="e">
        <f t="shared" ca="1" si="295"/>
        <v>#N/A</v>
      </c>
      <c r="IG117" s="91">
        <f ca="1">IF(OR(Control!$B$198=$AH117,Control!$B$199=$AH117, Control!$B$200=$AH117, Control!$B$201=$AH117, Control!$B$202=$AH117, Control!$B$203=$AH117, Control!$B$204=$AH117, Control!$B$205=$AH117, Control!$B$206=$AH117, Control!$B$207=$AH117), 1, 0)</f>
        <v>0</v>
      </c>
      <c r="IH117" s="91">
        <f ca="1">IF($IG117=0,0, VLOOKUP($AH117,Control!$B$198:$C$207,2))</f>
        <v>0</v>
      </c>
      <c r="II117" s="222">
        <f t="shared" ca="1" si="411"/>
        <v>0</v>
      </c>
      <c r="IJ117" s="91">
        <f>Control!$C$121</f>
        <v>0.7</v>
      </c>
      <c r="IK117" s="218">
        <f t="shared" ca="1" si="296"/>
        <v>0</v>
      </c>
      <c r="IL117" s="217" t="e">
        <f t="shared" ca="1" si="448"/>
        <v>#N/A</v>
      </c>
      <c r="IM117" s="223" t="e">
        <f ca="1">IF(AND(Control!$C$114=1,$KH117&lt;1),$EB117*Control!$C$148*(1-$KH117), 0)</f>
        <v>#N/A</v>
      </c>
      <c r="IN117" s="217" t="e">
        <f t="shared" ca="1" si="297"/>
        <v>#DIV/0!</v>
      </c>
      <c r="IO117" s="91" t="e">
        <f ca="1">MAX(0,$IL117-$EF117*Control!$C$160)</f>
        <v>#N/A</v>
      </c>
      <c r="IP117" s="220" t="e">
        <f t="shared" ca="1" si="298"/>
        <v>#N/A</v>
      </c>
      <c r="IQ117" s="217" t="e">
        <f t="shared" ca="1" si="412"/>
        <v>#N/A</v>
      </c>
      <c r="IR117" s="218" t="e">
        <f t="shared" ca="1" si="299"/>
        <v>#N/A</v>
      </c>
      <c r="IS117" s="217" t="e">
        <f ca="1">Control!$C$159*MAX(0,$FD117-$EN117)</f>
        <v>#N/A</v>
      </c>
      <c r="IT117" s="217" t="e">
        <f t="shared" ca="1" si="449"/>
        <v>#N/A</v>
      </c>
      <c r="IU117" s="217" t="e">
        <f t="shared" ca="1" si="413"/>
        <v>#N/A</v>
      </c>
      <c r="IV117" s="217" t="e">
        <f t="shared" ca="1" si="450"/>
        <v>#N/A</v>
      </c>
      <c r="IW117" s="217" t="e">
        <f ca="1">IF(OR($AW117=1,AND($AW117=0, Control!$B$18=1,$EN117&lt;&gt;0)), $IQ117-$IU117, $IQ117)</f>
        <v>#N/A</v>
      </c>
      <c r="IX117" s="218" t="e">
        <f t="shared" ca="1" si="300"/>
        <v>#N/A</v>
      </c>
      <c r="IY117" s="218" t="e">
        <f ca="1">MAX(0,$IQ117-$EB117*Control!$C$159)</f>
        <v>#N/A</v>
      </c>
      <c r="IZ117" s="218" t="e">
        <f t="shared" ca="1" si="301"/>
        <v>#N/A</v>
      </c>
      <c r="JA117" s="216" t="e">
        <f t="shared" ca="1" si="302"/>
        <v>#N/A</v>
      </c>
      <c r="JB117" s="217" t="e">
        <f t="shared" ca="1" si="303"/>
        <v>#N/A</v>
      </c>
      <c r="JC117" s="222" t="e">
        <f ca="1">MAX(Control!$C$157*$EK117-$JT117, 0)/Control!$C$162</f>
        <v>#N/A</v>
      </c>
      <c r="JD117" s="218" t="e">
        <f t="shared" ca="1" si="304"/>
        <v>#N/A</v>
      </c>
      <c r="JE117" s="218" t="e">
        <f t="shared" ca="1" si="305"/>
        <v>#N/A</v>
      </c>
      <c r="JF117" s="218" t="e">
        <f t="shared" ca="1" si="414"/>
        <v>#N/A</v>
      </c>
      <c r="JG117" s="218" t="e">
        <f t="shared" ca="1" si="306"/>
        <v>#N/A</v>
      </c>
      <c r="JH117" s="217" t="e">
        <f t="shared" ca="1" si="415"/>
        <v>#N/A</v>
      </c>
      <c r="JI117" s="217" t="e">
        <f t="shared" ca="1" si="416"/>
        <v>#N/A</v>
      </c>
      <c r="JJ117" s="217" t="e">
        <f t="shared" ca="1" si="451"/>
        <v>#N/A</v>
      </c>
      <c r="JK117" s="217" t="e">
        <f ca="1">IF(Control!$C$114=1,IF(Control!$B$24=0,MAX(0,$JI117)*$GN117/Control!$C$64,(MAX(0,MIN($JI117,$JJ117*$GN117/Control!$C$64),0))))</f>
        <v>#N/A</v>
      </c>
      <c r="JL117" s="217" t="e">
        <f ca="1">$IK117/Control!$C$64-$JK117+$HQ117</f>
        <v>#N/A</v>
      </c>
      <c r="JM117" s="217" t="e">
        <f ca="1">IF(Control!$C$114=1,($JB117/(IF($JI117&lt;&gt;0,$JI117,1)))*$JK117,0)</f>
        <v>#N/A</v>
      </c>
      <c r="JN117" s="217" t="e">
        <f ca="1">IF(Control!$C$114=1,($JG117/(IF($JI117&lt;&gt;0,$JI117,1)))*$JK117, 0)</f>
        <v>#N/A</v>
      </c>
      <c r="JO117" s="218" t="e">
        <f t="shared" ca="1" si="307"/>
        <v>#N/A</v>
      </c>
      <c r="JP117" s="218" t="e">
        <f ca="1">MIN(($IY117+$IO117)*Control!$C$151, $JF117-$EH117*Control!$C$161)</f>
        <v>#N/A</v>
      </c>
      <c r="JQ117" s="218" t="e">
        <f t="shared" ca="1" si="308"/>
        <v>#N/A</v>
      </c>
      <c r="JR117" s="217" t="e">
        <f ca="1">IF($CP117-Control!$C$150&lt;0, 0, $JQ117/Control!$C$162)</f>
        <v>#N/A</v>
      </c>
      <c r="JS117" s="218" t="e">
        <f t="shared" ca="1" si="309"/>
        <v>#N/A</v>
      </c>
      <c r="JT117" s="218" t="e">
        <f t="shared" ca="1" si="417"/>
        <v>#N/A</v>
      </c>
      <c r="JU117" s="218" t="e">
        <f t="shared" ca="1" si="310"/>
        <v>#N/A</v>
      </c>
      <c r="JV117" s="218" t="e">
        <f t="shared" ca="1" si="311"/>
        <v>#N/A</v>
      </c>
      <c r="JW117" s="216" t="e">
        <f t="shared" ca="1" si="312"/>
        <v>#N/A</v>
      </c>
      <c r="JX117" s="91" t="e">
        <f t="shared" ca="1" si="313"/>
        <v>#N/A</v>
      </c>
      <c r="JY117" s="218" t="e">
        <f t="shared" ca="1" si="314"/>
        <v>#N/A</v>
      </c>
      <c r="JZ117" s="217" t="e">
        <f ca="1">IF(Control!$C$114=1,($IZ117/(IF($JI117&lt;&gt;0,$JI117,1)))*$JK117, 0)</f>
        <v>#N/A</v>
      </c>
      <c r="KA117" s="218" t="e">
        <f t="shared" ca="1" si="452"/>
        <v>#N/A</v>
      </c>
      <c r="KB117" s="218" t="e">
        <f t="shared" ca="1" si="418"/>
        <v>#N/A</v>
      </c>
      <c r="KC117" s="218" t="e">
        <f t="shared" ca="1" si="315"/>
        <v>#N/A</v>
      </c>
      <c r="KD117" s="218" t="e">
        <f t="shared" ca="1" si="316"/>
        <v>#N/A</v>
      </c>
      <c r="KE117" s="218" t="e">
        <f t="shared" ca="1" si="317"/>
        <v>#N/A</v>
      </c>
      <c r="KF117" s="218" t="e">
        <f t="shared" ca="1" si="318"/>
        <v>#N/A</v>
      </c>
      <c r="KG117" s="216" t="e">
        <f t="shared" ca="1" si="319"/>
        <v>#N/A</v>
      </c>
      <c r="KH117" s="221" t="e">
        <f ca="1">IF(Control!$B$24=0,1,MAX(0.001,MIN(1,IF(($IF117-$IE117)&lt;&gt;0,($KG117-$IE117)/($IF117-$IE117),1))))</f>
        <v>#N/A</v>
      </c>
      <c r="KI117" s="222" t="e">
        <f ca="1">IF(Control!$C$114=1, $KI116+ $KH116, 0)</f>
        <v>#N/A</v>
      </c>
      <c r="KJ117" s="217" t="e">
        <f t="shared" ca="1" si="320"/>
        <v>#N/A</v>
      </c>
      <c r="KK117" s="218" t="e">
        <f t="shared" ca="1" si="321"/>
        <v>#N/A</v>
      </c>
      <c r="KL117" s="274" t="e">
        <f ca="1">IF(Control!$B$26=3,4000000000*EXP(-8400/($G117+273)),IF(Control!$B$26=4,4000000000*EXP(-8400/($G117+273))*($KT117),0))</f>
        <v>#DIV/0!</v>
      </c>
      <c r="KM117" s="274" t="e">
        <f ca="1">IF(Control!$B$26=3,5600000000000*EXP(-9800/($G117+273)),IF(Control!$B$26=4,5600000000000*EXP(-9800/($G117+273))*$KT117,0))</f>
        <v>#DIV/0!</v>
      </c>
      <c r="KN117" s="454" t="e">
        <f t="shared" ca="1" si="419"/>
        <v>#DIV/0!</v>
      </c>
      <c r="KO117" s="274" t="e">
        <f t="shared" ca="1" si="420"/>
        <v>#DIV/0!</v>
      </c>
      <c r="KP117" s="454" t="e">
        <f t="shared" ca="1" si="322"/>
        <v>#DIV/0!</v>
      </c>
      <c r="KQ117" s="454" t="e">
        <f t="shared" ca="1" si="323"/>
        <v>#DIV/0!</v>
      </c>
      <c r="KR117" s="454" t="e">
        <f t="shared" ca="1" si="324"/>
        <v>#DIV/0!</v>
      </c>
      <c r="KS117" s="454" t="e">
        <f t="shared" ca="1" si="325"/>
        <v>#DIV/0!</v>
      </c>
      <c r="KT117" s="455" t="e">
        <f t="shared" ca="1" si="326"/>
        <v>#DIV/0!</v>
      </c>
      <c r="KU117" s="456" t="e">
        <f ca="1">IF($CP117-Control!$C$149&lt;0, IF($NT117-0.01&lt;0,0,1),0)</f>
        <v>#N/A</v>
      </c>
      <c r="KV117" s="456" t="e">
        <f ca="1">IF(Control!$C$114=1,MAX(0,MIN(Control!$C$125*$KW117*$GN117,$KW117)))</f>
        <v>#DIV/0!</v>
      </c>
      <c r="KW117" s="456" t="e">
        <f t="shared" ca="1" si="453"/>
        <v>#DIV/0!</v>
      </c>
      <c r="KX117" s="457" t="e">
        <f ca="1">IF($CP117-Control!$C$149&lt;0, IF($MR117-$OM117&lt;0,0,1),0)</f>
        <v>#N/A</v>
      </c>
      <c r="KY117" s="167">
        <f t="shared" ca="1" si="421"/>
        <v>113</v>
      </c>
      <c r="KZ117" s="168">
        <f ca="1">1370*(1+0.033*COS(2*Control!$C$138*$AH117/365))</f>
        <v>1353.4654933110069</v>
      </c>
      <c r="LA117" s="169">
        <f t="shared" ca="1" si="422"/>
        <v>0.98793115672459009</v>
      </c>
      <c r="LB117" s="169">
        <f t="shared" ca="1" si="423"/>
        <v>0.21559117438833836</v>
      </c>
      <c r="LC117" s="169">
        <f ca="1">ACOS(-TAN((2*Control!$B$8/360))*TAN(Calculations!$LB117))</f>
        <v>1.6359282656556449</v>
      </c>
      <c r="LD117" s="169">
        <f ca="1">((24*60)/PI())*0.082*$LA117*(($LC117*SIN(Control!$B$8*2*PI()/360))*SIN($LB117)+COS(Control!$B$8*2*PI()/360)*COS($LB117)*SIN($LC117))</f>
        <v>32.52467503083529</v>
      </c>
      <c r="LE117" s="170">
        <f t="shared" ca="1" si="327"/>
        <v>32.758149771056836</v>
      </c>
      <c r="LF117" s="170">
        <f ca="1">SIN(Control!$C$139*Control!$B$8)*SIN($HD117)</f>
        <v>0.16298727539400867</v>
      </c>
      <c r="LG117" s="170">
        <f ca="1">COS(Control!$C$139*Control!$B$8)*COS($HD117)</f>
        <v>0.60234687441868007</v>
      </c>
      <c r="LH117" s="170">
        <f ca="1">12*(1+2*ASIN(MAX(-1,MIN(1,$LF117/$LG117))/Control!$C$138))</f>
        <v>14.069692486187387</v>
      </c>
      <c r="LI117" s="170">
        <f ca="1">12*(1+2*ASIN(MAX(-1,MIN(1,(-SIN(-4*Control!$C$139)+$LF117)/$LG117))/Control!$C$138))</f>
        <v>14.959327959820708</v>
      </c>
      <c r="LJ117" s="168">
        <f ca="1">3600*($LH117*$LF117+24*$LG117*SQRT(1-$LK117*$LK117)/Control!$C$138)</f>
        <v>24203.16582354825</v>
      </c>
      <c r="LK117" s="170">
        <f t="shared" ca="1" si="328"/>
        <v>0.27058706920544134</v>
      </c>
      <c r="LL117" s="170">
        <f t="shared" ca="1" si="329"/>
        <v>0</v>
      </c>
      <c r="LM117" s="171">
        <f ca="1">Control!$C$145*$AB117</f>
        <v>6.6660906138995932E-2</v>
      </c>
      <c r="LN117" s="170">
        <f t="shared" ca="1" si="424"/>
        <v>0.54</v>
      </c>
      <c r="LO117" s="170">
        <f t="shared" ca="1" si="330"/>
        <v>0</v>
      </c>
      <c r="LP117" s="170">
        <f ca="1">Control!$C$140*((($D117+273.16)^4+($E117+273.16)^4)/2)*(0.34-0.14*SQRT($Y117))*(1.35*$AQ117/(0.75*$LD117)-0.35)</f>
        <v>-3.2464704755046001</v>
      </c>
      <c r="LQ117" s="170">
        <f ca="1">Control!$C$140*($G117+273)^4*(0.56-0.079*SQRT($Y117*10))*(0.1+0.9*$LO117)</f>
        <v>1.5241745131704001</v>
      </c>
      <c r="LR117" s="170">
        <f ca="1">$AQ117*(1-Control!$C$142)-$LQ117</f>
        <v>-1.5241745131704001</v>
      </c>
      <c r="LS117" s="170">
        <f ca="1">$AQ117*(1-Control!$C$143)-$LQ117</f>
        <v>-1.5241745131704001</v>
      </c>
      <c r="LT117" s="170">
        <f ca="1">$AQ117*(1-Control!$C$144)-$LQ117</f>
        <v>-1.5241745131704001</v>
      </c>
      <c r="LU117" s="169">
        <f ca="1">(1-Control!$C$144)*AQ117-LP117</f>
        <v>3.2464704755046001</v>
      </c>
      <c r="LV117" s="172">
        <f t="shared" ca="1" si="331"/>
        <v>0.79430000000000012</v>
      </c>
      <c r="LW117" s="170">
        <f t="shared" ca="1" si="332"/>
        <v>1.5886000000000002</v>
      </c>
      <c r="LX117" s="170">
        <f ca="1">($AC117*($LR117/Control!$C$141)+$LM117*$LV117)/($AC117+$LM117)</f>
        <v>0.23530094218323697</v>
      </c>
      <c r="LY117" s="170">
        <f ca="1">($AC117*($LS117/Control!$C$141)+$LM117*$LV117)/($AC117+$LM117)</f>
        <v>0.23530094218323697</v>
      </c>
      <c r="LZ117" s="170">
        <f t="shared" ca="1" si="333"/>
        <v>0.23530094218323697</v>
      </c>
      <c r="MA117" s="170">
        <f t="shared" ca="1" si="334"/>
        <v>0.23530094218323697</v>
      </c>
      <c r="MB117" s="170" t="e">
        <f t="shared" ca="1" si="335"/>
        <v>#N/A</v>
      </c>
      <c r="MC117" s="170">
        <f t="shared" ca="1" si="425"/>
        <v>0.6018</v>
      </c>
      <c r="MD117" s="170">
        <f t="shared" ca="1" si="336"/>
        <v>0.52989392535414004</v>
      </c>
      <c r="ME117" s="170">
        <f ca="1">($AC117*($LT117/Control!$C$141)+$LM117*$LW117)/($AC117+$LM117)</f>
        <v>0.71612369323045078</v>
      </c>
      <c r="MF117" s="170" t="e">
        <f ca="1">IF(Control!$B$16&gt;=1000,0.92,IF(AND(720&lt;=Control!$B$16,1000&gt;Control!$B$16),(0.95+(Control!$B$16-720)*((0.92-0.95)/(1000-720))),IF(AND(360&lt;=Control!$B$16,720&gt;Control!$B$16),(1+(Control!$B$16-360)*((0.95-1)/(720-360))),IF(AND(40&lt;=Control!$B$16,360&gt;Control!$B$16),(1.05+(Control!$B$16-40)*((1.05-1)/(360-40)))))))</f>
        <v>#N/A</v>
      </c>
      <c r="MG117" s="170">
        <f t="shared" ca="1" si="337"/>
        <v>0.71612369323045078</v>
      </c>
      <c r="MH117" s="170" t="e">
        <f t="shared" ca="1" si="463"/>
        <v>#N/A</v>
      </c>
      <c r="MI117" s="170" t="e">
        <f t="shared" ca="1" si="463"/>
        <v>#N/A</v>
      </c>
      <c r="MJ117" s="170" t="e">
        <f ca="1">MAX(0.0001, Control!$C$132*$MI117*$DL117)</f>
        <v>#N/A</v>
      </c>
      <c r="MK117" s="170">
        <f ca="1">1/(0.76+1.5*($MG117/10))-(5-Control!$C$110)*0.1</f>
        <v>1.002845988140797</v>
      </c>
      <c r="ML117" s="173">
        <f ca="1">IF(Control!$C$110&lt;3,$MK117+($MG117-0.6)/(Control!$C$110*(Control!$C$110+3)), MAX(0.1, MIN(0.95,$MK117)))</f>
        <v>0.95</v>
      </c>
      <c r="MM117" s="173">
        <f ca="1">IF(Control!$C$110&lt;3,$MK117+(($MI117/10)-0.6)/(Control!$C$110*(Control!$C$110+3)), MAX(0.1, MIN(0.95,$MK117)))</f>
        <v>0.95</v>
      </c>
      <c r="MN117" s="173">
        <f ca="1">(1-$MM117)*(Control!$C$128-Control!$C$127)+Control!$C$127</f>
        <v>0.16</v>
      </c>
      <c r="MO117" s="170" t="e">
        <f ca="1">MAX(0,MIN(1,($MS117-Control!$C$127)/($MN117-Control!$C$127)))</f>
        <v>#DIV/0!</v>
      </c>
      <c r="MP117" s="173" t="e">
        <f ca="1">1/(0.76+1.5*$MI117)-(5-Control!$C$110)*0.1</f>
        <v>#N/A</v>
      </c>
      <c r="MQ117" s="172" t="e">
        <f t="shared" ca="1" si="454"/>
        <v>#DIV/0!</v>
      </c>
      <c r="MR117" s="168" t="e">
        <f t="shared" ca="1" si="426"/>
        <v>#DIV/0!</v>
      </c>
      <c r="MS117" s="173" t="e">
        <f ca="1">MAX(Control!$C$127, MIN(Control!$C$135, $MR117/MAX(0.0001,$CY117)))</f>
        <v>#DIV/0!</v>
      </c>
      <c r="MT117" s="168" t="e">
        <f ca="1">(Control!$C$128-$MS117)*Control!$C$74</f>
        <v>#DIV/0!</v>
      </c>
      <c r="MU117" s="168" t="e">
        <f ca="1">(Control!$C$135-$MS117)*Control!$C$74</f>
        <v>#DIV/0!</v>
      </c>
      <c r="MV117" s="168" t="e">
        <f t="shared" ca="1" si="427"/>
        <v>#DIV/0!</v>
      </c>
      <c r="MW117" s="168" t="e">
        <f t="shared" ca="1" si="428"/>
        <v>#DIV/0!</v>
      </c>
      <c r="MX117" s="171" t="e">
        <f ca="1">MAX(Control!$C$127, MIN(Control!$C$135, $MW117/MAX(0.0001,Control!$C$119-$CY117)))</f>
        <v>#DIV/0!</v>
      </c>
      <c r="MY117" s="54" t="e">
        <f ca="1">IF(Control!$C$114=1, $CX117*$MX117, 0)</f>
        <v>#DIV/0!</v>
      </c>
      <c r="MZ117" s="54" t="e">
        <f t="shared" ca="1" si="429"/>
        <v>#N/A</v>
      </c>
      <c r="NA117" s="168" t="e">
        <f ca="1">(Control!$C$128-$MX117)*(Control!$C$119-Control!$C$74)</f>
        <v>#DIV/0!</v>
      </c>
      <c r="NB117" s="168" t="e">
        <f ca="1">(Control!$C$135-$MX117)*(Control!$C$119-Control!$C$74)</f>
        <v>#DIV/0!</v>
      </c>
      <c r="NC117" s="174" t="e">
        <f t="shared" ca="1" si="430"/>
        <v>#DIV/0!</v>
      </c>
      <c r="ND117" s="54">
        <f ca="1">IF(Control!$C$58=2, IF(OR(Control!$B$218=$AH117,Control!$B$219=$AH117, Control!$B$220=$AH117, Control!$B$221=$AH117, Control!$B$222=$AH117, Control!$B$223=$AH117, Control!$B$224=$AH117, Control!$B$225=$AH117, Control!$B$226=$AH117, Control!$B$227=$AH117, Control!$B$228=$AH117), 1, 0), 0)</f>
        <v>0</v>
      </c>
      <c r="NE117" s="54">
        <f ca="1">IF($ND117=0,0, VLOOKUP($AH117,Control!$B$218:$C$228,2))</f>
        <v>0</v>
      </c>
      <c r="NF117" s="168" t="e">
        <f ca="1">$CY117*(Control!$C$128-Control!$C$127)</f>
        <v>#N/A</v>
      </c>
      <c r="NG117" s="54" t="e">
        <f ca="1">IF(Control!$C$58=2, $NI116-$NJ116, 0)</f>
        <v>#DIV/0!</v>
      </c>
      <c r="NH117" s="54" t="e">
        <f ca="1">IF(AND(Control!$C$58=1, $MS116&lt;= ($MN116+0.02), $I116&lt;10), 0, IF(Control!$C$58=2, $NG116, 0))</f>
        <v>#DIV/0!</v>
      </c>
      <c r="NI117" s="54" t="e">
        <f ca="1">IF(Control!$C$58=2, $NE117+$NH117,0)</f>
        <v>#DIV/0!</v>
      </c>
      <c r="NJ117" s="54" t="e">
        <f ca="1">IF(AND(Control!$C$58=1, $MS117&lt;= ($MN117+0.02), $I117&lt;10), MAX(0, MIN(10, 0.7*($NF117-$MV117))), IF(Control!$C$58=2, MIN(10,$NI117),0))</f>
        <v>#DIV/0!</v>
      </c>
      <c r="NK117" s="54" t="e">
        <f t="shared" ca="1" si="338"/>
        <v>#DIV/0!</v>
      </c>
      <c r="NL117" s="173" t="e">
        <f ca="1">(1-Control!$C$73)*$I117+$NJ117</f>
        <v>#DIV/0!</v>
      </c>
      <c r="NM117" s="172" t="e">
        <f ca="1">IF($NL117&lt;0.5, $MB117* MAX(0, MIN(1, (SQRT($NC117)-SQRT($NC117-1))*Control!$C$71)),0)</f>
        <v>#DIV/0!</v>
      </c>
      <c r="NN117" s="170" t="e">
        <f ca="1">IF($NL117&gt;=5, $MB117, MAX(0,MIN($MB117, $NM117+$NL117,($MS117-Control!$C$129))))</f>
        <v>#DIV/0!</v>
      </c>
      <c r="NO117" s="54">
        <f>IF(Control!$C$133&lt;&gt;1, Control!$C$135-Control!$C$131, 0)</f>
        <v>0.38</v>
      </c>
      <c r="NP117" s="54" t="e">
        <f t="shared" ca="1" si="339"/>
        <v>#DIV/0!</v>
      </c>
      <c r="NQ117" s="173" t="e">
        <f ca="1">MAX(0,MIN(1,(Control!$C$135-$MS117)/(Control!$C$135-$NO117)))</f>
        <v>#DIV/0!</v>
      </c>
      <c r="NR117" s="170" t="e">
        <f ca="1">IF(Control!$C$133&lt;&gt;1, $NQ117+((1-$NP117/4)*(1-$NQ117)),1)</f>
        <v>#DIV/0!</v>
      </c>
      <c r="NS117" s="170" t="e">
        <f ca="1">IF(Control!$B$31=0,$MJ117,MAX(0,MIN($MV117,$MO117*$NR117*$MJ117)))</f>
        <v>#DIV/0!</v>
      </c>
      <c r="NT117" s="170" t="e">
        <f t="shared" ca="1" si="455"/>
        <v>#DIV/0!</v>
      </c>
      <c r="NU117" s="170" t="e">
        <f t="shared" ca="1" si="431"/>
        <v>#N/A</v>
      </c>
      <c r="NV117" s="170" t="e">
        <f t="shared" ca="1" si="340"/>
        <v>#N/A</v>
      </c>
      <c r="NW117" s="175" t="e">
        <f t="shared" ca="1" si="341"/>
        <v>#DIV/0!</v>
      </c>
      <c r="NX117" s="170" t="e">
        <f ca="1">MIN(Control!$C$72+$MU117, $NW117)</f>
        <v>#DIV/0!</v>
      </c>
      <c r="NY117" s="170" t="e">
        <f ca="1">IF($MT117&lt;=$NX117,MIN(Control!$C$72+$NB117,$NX117-$MT117),0)</f>
        <v>#DIV/0!</v>
      </c>
      <c r="NZ117" s="54" t="e">
        <f ca="1">IF(Control!$C$114=1,  $CX117*($MX117-Control!$C$127), 0)</f>
        <v>#DIV/0!</v>
      </c>
      <c r="OA117" s="170" t="e">
        <f t="shared" ca="1" si="342"/>
        <v>#DIV/0!</v>
      </c>
      <c r="OB117" s="170" t="e">
        <f ca="1">IF($NA117 &lt;=$NY117, MIN(Control!$C$72, $NY117-$NA117), 0)</f>
        <v>#DIV/0!</v>
      </c>
      <c r="OC117" s="168" t="e">
        <f t="shared" ca="1" si="343"/>
        <v>#DIV/0!</v>
      </c>
      <c r="OD117" s="168" t="e">
        <f t="shared" ca="1" si="432"/>
        <v>#DIV/0!</v>
      </c>
      <c r="OE117" s="170">
        <f ca="1">Control!$C$73*$I117</f>
        <v>0</v>
      </c>
      <c r="OF117" s="176" t="e">
        <f t="shared" ca="1" si="344"/>
        <v>#DIV/0!</v>
      </c>
      <c r="OG117" s="168" t="e">
        <f t="shared" ca="1" si="345"/>
        <v>#DIV/0!</v>
      </c>
      <c r="OH117" s="168" t="e">
        <f t="shared" ca="1" si="346"/>
        <v>#DIV/0!</v>
      </c>
      <c r="OI117" s="168" t="e">
        <f t="shared" ca="1" si="347"/>
        <v>#DIV/0!</v>
      </c>
      <c r="OJ117" s="168" t="e">
        <f t="shared" ca="1" si="348"/>
        <v>#DIV/0!</v>
      </c>
      <c r="OK117" s="204" t="e">
        <f t="shared" ca="1" si="349"/>
        <v>#DIV/0!</v>
      </c>
      <c r="OL117" s="177">
        <f>Control!$C$127</f>
        <v>0.15</v>
      </c>
      <c r="OM117" s="182" t="e">
        <f t="shared" ca="1" si="350"/>
        <v>#N/A</v>
      </c>
      <c r="ON117" s="177">
        <f>Control!$C$128</f>
        <v>0.35</v>
      </c>
      <c r="OO117" s="182" t="e">
        <f t="shared" ca="1" si="351"/>
        <v>#N/A</v>
      </c>
      <c r="OP117" s="138">
        <f t="shared" ca="1" si="433"/>
        <v>0</v>
      </c>
      <c r="OQ117" s="138" t="e">
        <f t="shared" ca="1" si="456"/>
        <v>#DIV/0!</v>
      </c>
      <c r="OR117" s="138" t="e">
        <f t="shared" ca="1" si="434"/>
        <v>#DIV/0!</v>
      </c>
      <c r="OS117" s="137" t="e">
        <f t="shared" ca="1" si="457"/>
        <v>#DIV/0!</v>
      </c>
      <c r="OT117" s="139" t="e">
        <f t="shared" ca="1" si="458"/>
        <v>#DIV/0!</v>
      </c>
      <c r="OU117" s="138" t="e">
        <f t="shared" ca="1" si="459"/>
        <v>#N/A</v>
      </c>
      <c r="OV117" s="138" t="e">
        <f t="shared" ca="1" si="460"/>
        <v>#DIV/0!</v>
      </c>
      <c r="OW117" s="138" t="e">
        <f t="shared" ca="1" si="435"/>
        <v>#DIV/0!</v>
      </c>
      <c r="OX117" s="138" t="e">
        <f t="shared" ca="1" si="436"/>
        <v>#DIV/0!</v>
      </c>
      <c r="OY117" s="138" t="e">
        <f t="shared" ca="1" si="437"/>
        <v>#DIV/0!</v>
      </c>
      <c r="OZ117" s="138" t="e">
        <f t="shared" ca="1" si="352"/>
        <v>#DIV/0!</v>
      </c>
      <c r="PA117" s="138" t="e">
        <f t="shared" ca="1" si="353"/>
        <v>#DIV/0!</v>
      </c>
      <c r="PB117" s="55">
        <f>IF(Control!$C$61="T", IF(Control!$C$65="F", IF($AH$6-Control!$C$60&lt;0,0,1), IF(365+$AH$6-Control!$C$60&lt;0,0,1)),0)</f>
        <v>0</v>
      </c>
      <c r="PC117" s="55">
        <f ca="1">IF(Control!$C$65="F", IF($AH$6-$HF117&lt;0,0,1), IF(365+$AH$6-$HF117&lt;0,0,1))</f>
        <v>1</v>
      </c>
      <c r="PD117" s="444">
        <f>Control!$C$118</f>
        <v>1500</v>
      </c>
      <c r="PE117" s="180" t="e">
        <f t="shared" ca="1" si="354"/>
        <v>#N/A</v>
      </c>
      <c r="PF117" s="445">
        <f t="shared" ca="1" si="438"/>
        <v>0.71612369323045078</v>
      </c>
      <c r="PT117" s="186"/>
      <c r="PU117" s="186"/>
      <c r="PV117" s="94"/>
      <c r="PW117" s="94"/>
      <c r="PX117" s="94"/>
      <c r="PY117" s="94"/>
      <c r="PZ117" s="94"/>
      <c r="QA117" s="94"/>
      <c r="QB117" s="94"/>
      <c r="QC117" s="94"/>
      <c r="QD117" s="94"/>
      <c r="QE117" s="94"/>
      <c r="QF117" s="94"/>
      <c r="QG117" s="94"/>
      <c r="QH117" s="94"/>
      <c r="QI117" s="94"/>
      <c r="QJ117" s="94"/>
      <c r="QK117" s="94"/>
      <c r="QL117" s="94"/>
      <c r="QM117" s="94"/>
      <c r="QN117" s="94"/>
      <c r="QO117" s="94"/>
      <c r="QP117" s="94"/>
    </row>
    <row r="118" spans="1:458" s="2" customFormat="1" x14ac:dyDescent="0.2">
      <c r="A118" s="395">
        <v>23</v>
      </c>
      <c r="B118" s="396">
        <v>4</v>
      </c>
      <c r="C118" s="387">
        <f ca="1">Weather_data!$B117</f>
        <v>0</v>
      </c>
      <c r="D118" s="388">
        <f ca="1">Weather_data!$F117</f>
        <v>0</v>
      </c>
      <c r="E118" s="388">
        <f ca="1">Weather_data!$E117</f>
        <v>0</v>
      </c>
      <c r="F118" s="388">
        <f t="shared" ca="1" si="355"/>
        <v>0</v>
      </c>
      <c r="G118" s="388">
        <f ca="1">AVERAGE($D118:$E118)+Control!$B$9</f>
        <v>0</v>
      </c>
      <c r="H118" s="388">
        <f ca="1">Weather_data!$G117</f>
        <v>0</v>
      </c>
      <c r="I118" s="388">
        <f ca="1">Weather_data!$I117</f>
        <v>0</v>
      </c>
      <c r="J118" s="388">
        <f ca="1">Weather_data!$H117</f>
        <v>0</v>
      </c>
      <c r="K118" s="389">
        <f ca="1">Weather_data!$D117</f>
        <v>0</v>
      </c>
      <c r="L118" s="388" t="e">
        <f t="shared" ca="1" si="356"/>
        <v>#N/A</v>
      </c>
      <c r="M118" s="388" t="e">
        <f t="shared" ca="1" si="234"/>
        <v>#N/A</v>
      </c>
      <c r="N118" s="388">
        <f t="shared" ca="1" si="235"/>
        <v>-3.7508617880541396E-6</v>
      </c>
      <c r="O118" s="388">
        <f t="shared" ca="1" si="357"/>
        <v>3.7508617880541396E-5</v>
      </c>
      <c r="P118" s="390">
        <v>3</v>
      </c>
      <c r="Q118" s="388">
        <f ca="1">MAX($G118-Control!$C$107,0)</f>
        <v>0</v>
      </c>
      <c r="R118" s="388">
        <f t="shared" ca="1" si="358"/>
        <v>0</v>
      </c>
      <c r="S118" s="388">
        <f t="shared" ca="1" si="236"/>
        <v>0</v>
      </c>
      <c r="T118" s="388">
        <f t="shared" ca="1" si="237"/>
        <v>0</v>
      </c>
      <c r="U118" s="59">
        <f t="shared" ca="1" si="238"/>
        <v>0</v>
      </c>
      <c r="V118" s="391">
        <f ca="1">MAX(0,MIN(Control!$C$100-Control!$C$99,$G118-Control!$C$99)*Control!$C$63)</f>
        <v>0</v>
      </c>
      <c r="W118" s="388">
        <f t="shared" ca="1" si="359"/>
        <v>0</v>
      </c>
      <c r="X118" s="388">
        <f t="shared" ca="1" si="360"/>
        <v>0.6110000000000001</v>
      </c>
      <c r="Y118" s="388">
        <f t="shared" ca="1" si="239"/>
        <v>0</v>
      </c>
      <c r="Z118" s="388">
        <f t="shared" ca="1" si="361"/>
        <v>0.61058800000000002</v>
      </c>
      <c r="AA118" s="388">
        <f t="shared" ca="1" si="240"/>
        <v>0.6018</v>
      </c>
      <c r="AB118" s="388">
        <f ca="1">101.3*EXP(-0.034*Control!$C$66/($G118+273))</f>
        <v>100.69623283836242</v>
      </c>
      <c r="AC118" s="392">
        <f t="shared" ca="1" si="241"/>
        <v>4.3460251046025113E-2</v>
      </c>
      <c r="AD118" s="392">
        <f t="shared" ca="1" si="242"/>
        <v>4.4450382862832649E-2</v>
      </c>
      <c r="AE118" s="388">
        <f t="shared" ca="1" si="243"/>
        <v>0</v>
      </c>
      <c r="AF118" s="388">
        <f ca="1">MAX(0,$G118-Control!$C$92)</f>
        <v>0</v>
      </c>
      <c r="AG118" s="393">
        <f t="shared" ca="1" si="244"/>
        <v>114</v>
      </c>
      <c r="AH118" s="389">
        <f t="shared" ca="1" si="245"/>
        <v>114</v>
      </c>
      <c r="AI118" s="388">
        <f t="shared" ca="1" si="362"/>
        <v>0.21429128438359529</v>
      </c>
      <c r="AJ118" s="388">
        <f ca="1">IF(Control!$C$60&lt;=0,$HH118,$HI118)</f>
        <v>1</v>
      </c>
      <c r="AK118" s="388">
        <f t="shared" ca="1" si="246"/>
        <v>0.58528301491535872</v>
      </c>
      <c r="AL118" s="388">
        <f t="shared" ca="1" si="247"/>
        <v>-4.6886487747865854E-18</v>
      </c>
      <c r="AM118" s="388">
        <f t="shared" ca="1" si="248"/>
        <v>0.58528301491535872</v>
      </c>
      <c r="AN118" s="388">
        <f t="shared" ca="1" si="249"/>
        <v>0.22156718630445776</v>
      </c>
      <c r="AO118" s="388">
        <f ca="1">-0.10453/COS(Control!$B$8*PI()/180)*COS(AN118)</f>
        <v>-0.16563434496136054</v>
      </c>
      <c r="AP118" s="388">
        <f ca="1">ACOS(AO118-TAN(Control!$B$8*PI()/180)*TAN(AN118))</f>
        <v>2.0420022358744609</v>
      </c>
      <c r="AQ118" s="388">
        <f t="shared" ca="1" si="363"/>
        <v>0</v>
      </c>
      <c r="AR118" s="394">
        <f t="shared" ca="1" si="250"/>
        <v>0</v>
      </c>
      <c r="AS118" s="436">
        <f ca="1">IF(Control!$B$18=2,(IF(OR($AH118=Control!$B$175,$AH118=Control!$B$176,$AH118=Control!$B$177,$AH118=Control!$B$178,$AH118=Control!$B$179,$AH118=Control!$B$180,$AH118=Control!$B$181,$AH118=Control!$B$182,$AH118=Control!$B$183,$AH118=Control!$B$184,$AH118=Control!$B$185),1,0)),0)</f>
        <v>0</v>
      </c>
      <c r="AT118" s="436">
        <f>IF(Control!$B$20=8,IF(AND($AH118&gt;=Control!$B$172,$AH118&lt;=Control!$B$173),1,0),0)</f>
        <v>0</v>
      </c>
      <c r="AU118" s="436">
        <f>IF(Control!$B$20=8,IF($AV117=1,1*$AT118,IF($AT118=1,$AU117+1,$AU117)),0)</f>
        <v>0</v>
      </c>
      <c r="AV118" s="436">
        <f>IF(Control!$B$20=8,IF($AU118&gt;=Control!$B$174,1,0),0)</f>
        <v>0</v>
      </c>
      <c r="AW118" s="436">
        <f ca="1">IF(AND(Control!$B$18=2,Control!$B$171=1), $AV118, $AS118)</f>
        <v>0</v>
      </c>
      <c r="AX118" s="436" t="e">
        <f ca="1">IF(AND(Control!$B$18=1,$EU118&gt;=Control!$B$19),-$AY118,IF(AND(Control!$B$18=2,$AW118=1,$EU118&gt;$DS118),-$AY118, IF(Control!$C$108=0,0, IF(Control!$C$108&lt;&gt;0,1))))</f>
        <v>#N/A</v>
      </c>
      <c r="AY118" s="436" t="e">
        <f t="shared" ca="1" si="364"/>
        <v>#N/A</v>
      </c>
      <c r="AZ118" s="436" t="e">
        <f ca="1">IF(AND(Control!$B$18=1,$EB118&gt;Control!$B$19),$AZ117+1, IF(AND(Control!$B$18=2, $AW118=1, $EB118&gt;$DS118), $AZ117+1,$AZ117))</f>
        <v>#N/A</v>
      </c>
      <c r="BA118" s="587">
        <f>IF(Control!$C$81=0,1,IF($AH118&gt;=Control!$C$82,1,0))</f>
        <v>1</v>
      </c>
      <c r="BB118" s="140" t="e">
        <f ca="1">IF($BA118&gt;$BA117,Control!$C$83,IF($AW118&gt;0,$AW118*Control!$C$84,IF(AND(Control!$B$18=1,EN117&lt;&gt;0),Control!$C$84,0)))</f>
        <v>#N/A</v>
      </c>
      <c r="BC118" s="140" t="e">
        <f t="shared" ca="1" si="365"/>
        <v>#N/A</v>
      </c>
      <c r="BD118" s="140" t="e">
        <f ca="1">BC118*IF(OR($G118&lt;Control!$C$92,$G118&gt;Control!$C$95),0,IF(AND($G118&gt;=Control!$C$92,$G118&lt;=Control!$C$93),$G118-Control!$C$92,IF(AND($G118&gt;Control!$C$93,$G118&lt;=Control!$C$94),Control!$C$93-Control!$C$92,IF(AND($G118&gt;Control!$C$94,$G118&lt;=Control!$C$95),(Control!$C$93-Control!$C$92)*(Control!$C$94-$G118)/(Control!$C$95-Control!$C$94)))))</f>
        <v>#N/A</v>
      </c>
      <c r="BE118" s="140" t="e">
        <f t="shared" ca="1" si="366"/>
        <v>#N/A</v>
      </c>
      <c r="BF118" s="140" t="e">
        <f ca="1">IF($BE118&lt;=Control!$C$86,$BE118,Control!$C$86-$BE118)</f>
        <v>#N/A</v>
      </c>
      <c r="BG118" s="140" t="e">
        <f ca="1">IF(AND($AW118=1,Control!$C$84&lt;9),1,IF($BE118&gt;=Control!$C$86,0,$BC118))</f>
        <v>#N/A</v>
      </c>
      <c r="BH118" s="404" t="e">
        <f ca="1">IF($BG118=0,0,IF($BE118&lt;=Control!$C$86,$BC118*9*($BF118/Control!$C$86),0))</f>
        <v>#N/A</v>
      </c>
      <c r="BI118" s="140" t="e">
        <f ca="1">IF($BG118=1,0,IF($BE118&gt;=Control!$C$86,1,IF(AND($BB118&lt;21,$BB118&gt;=9),1,$BM117)))</f>
        <v>#N/A</v>
      </c>
      <c r="BJ118" s="140" t="e">
        <f ca="1">IF($BF118&lt;0,-$BF118,$BI118*IF(OR($G118&lt;Control!$C$92,$G118&gt;Control!$C$95),0,IF(AND($G118&gt;=Control!$C$92,$G118&lt;=Control!$C$93),$G118-Control!$C$92,IF(AND($G118&gt;Control!$C$93,$G118&lt;=Control!$C$94),Control!$C$93-Control!$C$92,IF(AND($G118&gt;Control!$C$94,$G118&lt;=Control!$C$95),(Control!$C$93-Control!$C$92)*(Control!$C$94-$G118)/(Control!$C$95-Control!$C$94))))))</f>
        <v>#N/A</v>
      </c>
      <c r="BK118" s="140" t="e">
        <f t="shared" ca="1" si="367"/>
        <v>#N/A</v>
      </c>
      <c r="BL118" s="140" t="e">
        <f ca="1">IF($BK118&lt;=Control!$C$87,$BK118,Control!$C$87-$BK118)</f>
        <v>#N/A</v>
      </c>
      <c r="BM118" s="140" t="e">
        <f ca="1">IF(AND($BB118&gt;=9,$BB118&lt;21),1,IF($BK118&gt;=Control!$C$87,0,$BI118))</f>
        <v>#N/A</v>
      </c>
      <c r="BN118" s="404" t="e">
        <f ca="1">IF($BM118=0,0,IF($BK118&lt;=Control!$C$87,$BI118*(9+(21-9)*($BL118/Control!$C$87)),0))</f>
        <v>#N/A</v>
      </c>
      <c r="BO118" s="140" t="e">
        <f ca="1">IF($BM118=1,0,IF($BK118&gt;=Control!$C$87,1,IF(AND($BB118&lt;30,$BB118&gt;=21),1,$BS117)))</f>
        <v>#N/A</v>
      </c>
      <c r="BP118" s="140" t="e">
        <f ca="1">IF($BL118&lt;0,-$BL118,$BO118*IF(OR($G118&lt;Control!$C$92,$G118&gt;Control!$C$95),0,IF(AND($G118&gt;=Control!$C$92,$G118&lt;=Control!$C$93),$G118-Control!$C$92,IF(AND($G118&gt;Control!$C$93,$G118&lt;=Control!$C$94),Control!$C$93-Control!$C$92,IF(AND($G118&gt;Control!$C$94,$G118&lt;=Control!$C$95),(Control!$C$93-Control!$C$92)*(Control!$C$94-$G118)/(Control!$C$95-Control!$C$94))))))</f>
        <v>#N/A</v>
      </c>
      <c r="BQ118" s="140" t="e">
        <f t="shared" ca="1" si="251"/>
        <v>#N/A</v>
      </c>
      <c r="BR118" s="140" t="e">
        <f ca="1">IF($BQ118&lt;=Control!$C$88,$BQ118,Control!$C$88-$BQ118)</f>
        <v>#N/A</v>
      </c>
      <c r="BS118" s="140" t="e">
        <f ca="1">IF(AND($BB118&gt;=21,$BB118&lt;30),1,IF($BQ118&gt;=Control!$C$88,0,$BO118))</f>
        <v>#N/A</v>
      </c>
      <c r="BT118" s="404" t="e">
        <f ca="1">IF($BS118=0,0,IF($BQ118&lt;=Control!$C$88,$BO118*(21+(30-21)*(BR118/Control!$C$88)),0))</f>
        <v>#N/A</v>
      </c>
      <c r="BU118" s="140" t="e">
        <f ca="1">IF(BG118+BM118+BS118=1,0,IF(OR(AND($BB118&lt;60,$BB118&gt;=30),$BQ118&gt;=Control!$C$88),1*$BA118,$BY117))</f>
        <v>#N/A</v>
      </c>
      <c r="BV118" s="140" t="e">
        <f ca="1">IF($BR118&lt;0,-$BR118,$BU118*IF(OR($G118&lt;Control!$C$92,$G118&gt;Control!$C$95),0,IF(AND($G118&gt;=Control!$C$92,$G118&lt;=Control!$C$93),$G118-Control!$C$92,IF(AND($G118&gt;Control!$C$93,$G118&lt;=Control!$C$94),Control!$C$93-Control!$C$92,IF(AND($G118&gt;Control!$C$94,$G118&lt;=Control!$C$95),(Control!$C$93-Control!$C$92)*(Control!$C$94-$G118)/(Control!$C$95-Control!$C$94))))))</f>
        <v>#N/A</v>
      </c>
      <c r="BW118" s="140" t="e">
        <f t="shared" ca="1" si="252"/>
        <v>#N/A</v>
      </c>
      <c r="BX118" s="140" t="e">
        <f ca="1">IF($BW118&lt;=Control!$C$89,$BW118,Control!$C$89-$BW118)</f>
        <v>#N/A</v>
      </c>
      <c r="BY118" s="140" t="e">
        <f ca="1">IF(AND($AJ118&gt;=30,$AJ118&lt;60),1,IF($BW118&gt;=Control!$C$89,0,$BU118))</f>
        <v>#N/A</v>
      </c>
      <c r="BZ118" s="404" t="e">
        <f ca="1">IF($BY118=0,0,IF($BW118&lt;=Control!$C$89,$BU118*(30+(60-30)*(BX118/Control!$C$89)),0))</f>
        <v>#N/A</v>
      </c>
      <c r="CA118" s="140" t="e">
        <f ca="1">IF($BG118+$BM118+$BS118+$BY118=1,0,IF(OR(AND($BB118&lt;65,$BB118&gt;=60),$BW118&gt;=Control!$C$89),1*$BA118,$CE117))</f>
        <v>#N/A</v>
      </c>
      <c r="CB118" s="140" t="e">
        <f ca="1">IF($BX118&lt;0,-$BX118,$CA118*IF(OR($G118&lt;Control!$C$92,$G118&gt;Control!$C$95),0,IF(AND($G118&gt;=Control!$C$92,$G118&lt;=Control!$C$93),$G118-Control!$C$92,IF(AND($G118&gt;Control!$C$93,$G118&lt;=Control!$C$94),Control!$C$93-Control!$C$92,IF(AND($G118&gt;Control!$C$94,$G118&lt;=Control!$C$95),(Control!$C$93-Control!$C$92)*(Control!$C$94-$G118)/(Control!$C$95-Control!$C$94))))))</f>
        <v>#N/A</v>
      </c>
      <c r="CC118" s="140" t="e">
        <f t="shared" ca="1" si="368"/>
        <v>#N/A</v>
      </c>
      <c r="CD118" s="140" t="e">
        <f ca="1">IF($CC118&lt;=Control!$C$90,$CC118,Control!$C$90-$CC118)</f>
        <v>#N/A</v>
      </c>
      <c r="CE118" s="140" t="e">
        <f ca="1">IF(AND($BB118&gt;=60,$BB118&lt;65),1,IF($CC118&gt;=Control!$C$90,0,$CA118))</f>
        <v>#N/A</v>
      </c>
      <c r="CF118" s="404" t="e">
        <f ca="1">IF($CE118=0,0,IF($CC118&lt;=Control!$C$90,$CA118*(60+(65-60)*(CD118/Control!$C$90)),0))</f>
        <v>#N/A</v>
      </c>
      <c r="CG118" s="140" t="e">
        <f ca="1">IF($BG118+$BM118+$BS118+$BY118+$CE118=1,0,IF(OR(AND($BB118&lt;90,$BB118&gt;=65),$CC118&gt;=Control!$C$90),$BA118,$CK117))</f>
        <v>#N/A</v>
      </c>
      <c r="CH118" s="140" t="e">
        <f ca="1">IF($CD118&lt;0,-$CD118,$CG118*IF(OR($G118&lt;Control!$C$92,$G118&gt;Control!$C$95),0,IF(AND($G118&gt;=Control!$C$92,$G118&lt;=Control!$C$93),$G118-Control!$C$92,IF(AND($G118&gt;Control!$C$93,$G118&lt;=Control!$C$94),Control!$C$93-Control!$C$92,IF(AND($G118&gt;Control!$C$94,$G118&lt;=Control!$C$95),(Control!$C$93-Control!$C$92)*(Control!$C$94-$G118)/(Control!$C$95-Control!$C$94))))))</f>
        <v>#N/A</v>
      </c>
      <c r="CI118" s="140" t="e">
        <f t="shared" ca="1" si="369"/>
        <v>#N/A</v>
      </c>
      <c r="CJ118" s="140" t="e">
        <f ca="1">IF($CI118&lt;=Control!$C$91,$CI118,Control!$C$91-$CI118)</f>
        <v>#N/A</v>
      </c>
      <c r="CK118" s="140" t="e">
        <f ca="1">IF(AND($BB118&gt;=65,$BB118&lt;90),1,IF($CI118&gt;=Control!$C$91,0,$CG118))</f>
        <v>#N/A</v>
      </c>
      <c r="CL118" s="404" t="e">
        <f ca="1">IF($CK118=0,0,IF($CI118&lt;=Control!$C$91,$CG118*(65+(90-65)*($CJ118/Control!$C$91)),0))</f>
        <v>#N/A</v>
      </c>
      <c r="CM118" s="140" t="e">
        <f ca="1">IF($BG118+$BM118+$BS118+$BY118+$CE118+$CK118=1,0,IF(OR($BB118&gt;=90,$CI118&gt;=Control!$C$91),$BA118,$CM117))</f>
        <v>#N/A</v>
      </c>
      <c r="CN118" s="140" t="e">
        <f t="shared" ca="1" si="370"/>
        <v>#N/A</v>
      </c>
      <c r="CO118" s="140" t="e">
        <f t="shared" ca="1" si="371"/>
        <v>#N/A</v>
      </c>
      <c r="CP118" s="140" t="e">
        <f t="shared" ca="1" si="372"/>
        <v>#N/A</v>
      </c>
      <c r="CQ118" s="141" t="e">
        <f ca="1">VLOOKUP($CP118,Control!$B$86:$G$91,6)</f>
        <v>#N/A</v>
      </c>
      <c r="CR118" s="141" t="e">
        <f ca="1">(1-$CQ118)*VLOOKUP($CP118,Control!$B$86:$D$91,3)</f>
        <v>#N/A</v>
      </c>
      <c r="CS118" s="141" t="e">
        <f ca="1">(1-$CQ118)*VLOOKUP($CP118,Control!$B$86:$E$91,4)</f>
        <v>#N/A</v>
      </c>
      <c r="CT118" s="141" t="e">
        <f ca="1">(1-$CQ118)*VLOOKUP($CP118,Control!$B$86:$F$91,5)</f>
        <v>#N/A</v>
      </c>
      <c r="CU118" s="141">
        <f t="shared" ca="1" si="373"/>
        <v>0</v>
      </c>
      <c r="CV118" s="583">
        <f t="shared" ca="1" si="374"/>
        <v>0</v>
      </c>
      <c r="CW118" s="142">
        <f t="shared" ca="1" si="375"/>
        <v>114</v>
      </c>
      <c r="CX118" s="612" t="e">
        <f ca="1">IF(Control!$C$114=1,(MIN(Control!$C$120*(IF($NT118-0.01&lt;0,0,1)),Control!$C$119-$CY118)))</f>
        <v>#DIV/0!</v>
      </c>
      <c r="CY118" s="143" t="e">
        <f t="shared" ca="1" si="376"/>
        <v>#N/A</v>
      </c>
      <c r="CZ118" s="144">
        <f t="shared" ca="1" si="253"/>
        <v>0</v>
      </c>
      <c r="DA118" s="144">
        <f t="shared" ca="1" si="254"/>
        <v>0</v>
      </c>
      <c r="DB118" s="144" t="e">
        <f t="shared" ca="1" si="255"/>
        <v>#N/A</v>
      </c>
      <c r="DC118" s="144" t="e">
        <f t="shared" ca="1" si="256"/>
        <v>#N/A</v>
      </c>
      <c r="DD118" s="144" t="e">
        <f t="shared" ca="1" si="461"/>
        <v>#N/A</v>
      </c>
      <c r="DE118" s="143" t="e">
        <f t="shared" ca="1" si="377"/>
        <v>#N/A</v>
      </c>
      <c r="DF118" s="145" t="e">
        <f ca="1">$DR118*EXP(-Control!$C$158*(1-$KH118))</f>
        <v>#N/A</v>
      </c>
      <c r="DG118" s="146" t="e">
        <f ca="1">IF(Control!$C$114=1, $DF118*$EY118, 0)</f>
        <v>#N/A</v>
      </c>
      <c r="DH118" s="147" t="e">
        <f t="shared" ca="1" si="378"/>
        <v>#N/A</v>
      </c>
      <c r="DI118" s="144" t="e">
        <f t="shared" ca="1" si="439"/>
        <v>#N/A</v>
      </c>
      <c r="DJ118" s="147" t="e">
        <f ca="1">$EF118*Control!$C$109</f>
        <v>#N/A</v>
      </c>
      <c r="DK118" s="144" t="e">
        <f t="shared" ca="1" si="379"/>
        <v>#N/A</v>
      </c>
      <c r="DL118" s="144" t="e">
        <f t="shared" ca="1" si="257"/>
        <v>#N/A</v>
      </c>
      <c r="DM118" s="144" t="e">
        <f ca="1">IF(Control!$C$114=1, (1-EXP(-Control!$C$96*$DK118))*$AR118, 0)</f>
        <v>#N/A</v>
      </c>
      <c r="DN118" s="144">
        <f t="shared" ca="1" si="380"/>
        <v>0</v>
      </c>
      <c r="DO118" s="148">
        <f>Control!$C$97</f>
        <v>4</v>
      </c>
      <c r="DP118" s="145" t="e">
        <f t="shared" ca="1" si="381"/>
        <v>#N/A</v>
      </c>
      <c r="DQ118" s="145" t="e">
        <f ca="1">IF(AND($CP118&gt;=0,$CP118&lt;=90),Control!$C$111,Control!$C$111)</f>
        <v>#N/A</v>
      </c>
      <c r="DR118" s="145" t="e">
        <f t="shared" ca="1" si="258"/>
        <v>#N/A</v>
      </c>
      <c r="DS118" s="143" t="e">
        <f ca="1">Control!$B$22/$DR118</f>
        <v>#N/A</v>
      </c>
      <c r="DT118" s="149" t="e">
        <f ca="1">IF(AND(Control!$C$114=1,$KH118&lt;1),$IM118*$DF118, 0)</f>
        <v>#N/A</v>
      </c>
      <c r="DU118" s="144" t="e">
        <f t="shared" ca="1" si="382"/>
        <v>#N/A</v>
      </c>
      <c r="DV118" s="144">
        <f ca="1">IF($G118-Control!$C$107&lt;=0, 0, 0.83*LN(MAX($G118, 3))-0.8924)</f>
        <v>0</v>
      </c>
      <c r="DW118" s="144" t="e">
        <f t="shared" ca="1" si="259"/>
        <v>#N/A</v>
      </c>
      <c r="DX118" s="150" t="e">
        <f ca="1">MAX(0.01*(1+$CU118/Control!$C$102),0.05*($DK118-Control!$C$97)/Control!$C$97)</f>
        <v>#N/A</v>
      </c>
      <c r="DY118" s="151" t="e">
        <f ca="1">IF(Control!$C$114=1, $DI118*$FS118, 0)</f>
        <v>#N/A</v>
      </c>
      <c r="DZ118" s="196" t="e">
        <f t="shared" ca="1" si="383"/>
        <v>#N/A</v>
      </c>
      <c r="EA118" s="152">
        <f t="shared" ca="1" si="384"/>
        <v>114</v>
      </c>
      <c r="EB118" s="153" t="e">
        <f t="shared" ca="1" si="385"/>
        <v>#N/A</v>
      </c>
      <c r="EC118" s="153" t="e">
        <f t="shared" ca="1" si="386"/>
        <v>#N/A</v>
      </c>
      <c r="ED118" s="154" t="e">
        <f ca="1">IF(Control!$C$114=1, $HM118*$FY118-$FD118, 0)</f>
        <v>#DIV/0!</v>
      </c>
      <c r="EE118" s="155" t="e">
        <f ca="1">IF(Control!$C$114=1, $HM118*$FZ118-$FF118, 0)</f>
        <v>#DIV/0!</v>
      </c>
      <c r="EF118" s="153" t="e">
        <f t="shared" ca="1" si="440"/>
        <v>#N/A</v>
      </c>
      <c r="EG118" s="155" t="e">
        <f ca="1">IF(Control!$C$114=1, $GX118*$FW118-$FI118, 0)</f>
        <v>#DIV/0!</v>
      </c>
      <c r="EH118" s="153" t="e">
        <f t="shared" ca="1" si="387"/>
        <v>#N/A</v>
      </c>
      <c r="EI118" s="156" t="e">
        <f t="shared" ca="1" si="388"/>
        <v>#N/A</v>
      </c>
      <c r="EJ118" s="155" t="e">
        <f ca="1">IF(Control!$C$114=1, $HM118*$GB118, 0)</f>
        <v>#DIV/0!</v>
      </c>
      <c r="EK118" s="153" t="e">
        <f t="shared" ca="1" si="441"/>
        <v>#N/A</v>
      </c>
      <c r="EL118" s="153" t="e">
        <f t="shared" ca="1" si="260"/>
        <v>#N/A</v>
      </c>
      <c r="EM118" s="153" t="e">
        <f t="shared" ca="1" si="261"/>
        <v>#N/A</v>
      </c>
      <c r="EN118" s="153" t="e">
        <f ca="1">IF(Control!$C$108=1,IF(AND(Control!$B$18=1,$EB118&gt;=Control!$B$19),$EB118-$DS118,IF(AND(Control!$B$18=2,$AW118=1,$EB118&gt;$DS118),$EB118-$DS118,0)))</f>
        <v>#N/A</v>
      </c>
      <c r="EO118" s="153" t="e">
        <f ca="1">IF(Control!$C$108=1,IF(AND(Control!$B$18=1,$EB118&gt;=Control!$B$19),$EF118,IF(AND(Control!$B$18=2,$AW118=1),$EF118,0)))</f>
        <v>#N/A</v>
      </c>
      <c r="EP118" s="153" t="e">
        <f ca="1">IF(Control!$C$108=1,IF(AND(Control!$B$18=1,$EB118&gt;=Control!$B$19),$EK118,IF(AND(Control!$B$18=2,$AW118=1),$EK118,0)))</f>
        <v>#N/A</v>
      </c>
      <c r="EQ118" s="153" t="e">
        <f t="shared" ca="1" si="389"/>
        <v>#N/A</v>
      </c>
      <c r="ER118" s="153" t="e">
        <f t="shared" ca="1" si="390"/>
        <v>#N/A</v>
      </c>
      <c r="ES118" s="153" t="e">
        <f t="shared" ca="1" si="442"/>
        <v>#N/A</v>
      </c>
      <c r="ET118" s="153" t="e">
        <f t="shared" ca="1" si="443"/>
        <v>#N/A</v>
      </c>
      <c r="EU118" s="153" t="e">
        <f t="shared" ca="1" si="391"/>
        <v>#N/A</v>
      </c>
      <c r="EV118" s="153" t="e">
        <f t="shared" ca="1" si="262"/>
        <v>#N/A</v>
      </c>
      <c r="EW118" s="153" t="e">
        <f t="shared" ca="1" si="263"/>
        <v>#N/A</v>
      </c>
      <c r="EX118" s="153" t="e">
        <f t="shared" ca="1" si="264"/>
        <v>#N/A</v>
      </c>
      <c r="EY118" s="157" t="e">
        <f t="shared" ca="1" si="265"/>
        <v>#DIV/0!</v>
      </c>
      <c r="EZ118" s="154" t="e">
        <f t="shared" ca="1" si="266"/>
        <v>#DIV/0!</v>
      </c>
      <c r="FA118" s="153" t="e">
        <f t="shared" ca="1" si="392"/>
        <v>#N/A</v>
      </c>
      <c r="FB118" s="153" t="e">
        <f t="shared" ca="1" si="267"/>
        <v>#N/A</v>
      </c>
      <c r="FC118" s="193" t="e">
        <f t="shared" ca="1" si="268"/>
        <v>#N/A</v>
      </c>
      <c r="FD118" s="158" t="e">
        <f t="shared" ca="1" si="393"/>
        <v>#N/A</v>
      </c>
      <c r="FE118" s="158" t="e">
        <f t="shared" ca="1" si="394"/>
        <v>#N/A</v>
      </c>
      <c r="FF118" s="159" t="e">
        <f t="shared" ca="1" si="269"/>
        <v>#N/A</v>
      </c>
      <c r="FG118" s="160" t="e">
        <f t="shared" ca="1" si="395"/>
        <v>#N/A</v>
      </c>
      <c r="FH118" s="158" t="e">
        <f t="shared" ca="1" si="396"/>
        <v>#N/A</v>
      </c>
      <c r="FI118" s="159" t="e">
        <f t="shared" ca="1" si="270"/>
        <v>#N/A</v>
      </c>
      <c r="FJ118" s="160" t="e">
        <f t="shared" ca="1" si="397"/>
        <v>#N/A</v>
      </c>
      <c r="FK118" s="160" t="e">
        <f t="shared" ca="1" si="271"/>
        <v>#N/A</v>
      </c>
      <c r="FL118" s="160" t="e">
        <f t="shared" ca="1" si="444"/>
        <v>#N/A</v>
      </c>
      <c r="FM118" s="160" t="e">
        <f t="shared" ca="1" si="272"/>
        <v>#N/A</v>
      </c>
      <c r="FN118" s="158">
        <f t="shared" ca="1" si="398"/>
        <v>0.01</v>
      </c>
      <c r="FO118" s="160">
        <f>Control!$C$101</f>
        <v>50</v>
      </c>
      <c r="FP118" s="150" t="e">
        <f t="shared" ca="1" si="273"/>
        <v>#N/A</v>
      </c>
      <c r="FQ118" s="150" t="e">
        <f ca="1">MAX(0,(Control!$C$112*(($DK118-Control!$C$97)/Control!$C$97)))</f>
        <v>#N/A</v>
      </c>
      <c r="FR118" s="150" t="e">
        <f ca="1">(1-$NT118)*Control!$C$113</f>
        <v>#DIV/0!</v>
      </c>
      <c r="FS118" s="198" t="e">
        <f t="shared" ca="1" si="274"/>
        <v>#N/A</v>
      </c>
      <c r="FT118" s="161">
        <f t="shared" ca="1" si="399"/>
        <v>114</v>
      </c>
      <c r="FU118" s="162" t="e">
        <f ca="1">IF(Control!$B$34=1,VLOOKUP($CP118,Control!$B$86:$G$91,6),Control!$B$35)</f>
        <v>#N/A</v>
      </c>
      <c r="FV118" s="162" t="e">
        <f t="shared" ca="1" si="275"/>
        <v>#DIV/0!</v>
      </c>
      <c r="FW118" s="162" t="e">
        <f ca="1">IF(Control!$B$31=1,$FU118*$FV118,  $FU118)</f>
        <v>#N/A</v>
      </c>
      <c r="FX118" s="162" t="e">
        <f ca="1">IF(Control!$B$34=1,VLOOKUP($CP118,Control!$B$86:$G$91,3),Control!$B$36)</f>
        <v>#N/A</v>
      </c>
      <c r="FY118" s="162" t="e">
        <f t="shared" ca="1" si="276"/>
        <v>#N/A</v>
      </c>
      <c r="FZ118" s="162" t="e">
        <f ca="1">IF(Control!$B$34=1,VLOOKUP($CP118,Control!$B$86:$G$91,4),Control!$B$37)</f>
        <v>#N/A</v>
      </c>
      <c r="GA118" s="162" t="e">
        <f t="shared" ca="1" si="277"/>
        <v>#N/A</v>
      </c>
      <c r="GB118" s="162" t="e">
        <f ca="1">IF(Control!$B$34=1,VLOOKUP($CP118,Control!$B$86:$G$91,5),Control!$B$38)</f>
        <v>#N/A</v>
      </c>
      <c r="GC118" s="162" t="e">
        <f t="shared" ca="1" si="400"/>
        <v>#N/A</v>
      </c>
      <c r="GD118" s="162">
        <f t="shared" ca="1" si="278"/>
        <v>1</v>
      </c>
      <c r="GE118" s="162">
        <f t="shared" ca="1" si="279"/>
        <v>1</v>
      </c>
      <c r="GF118" s="162">
        <f ca="1">IF(AND(Control!$C$104=1, Control!$C$62="F"),$GE118,1)</f>
        <v>1</v>
      </c>
      <c r="GG118" s="162" t="e">
        <f ca="1">IF(Control!$B$16=40,0,IF(AND(Control!$B$16&gt;40,Control!$B$16&lt;=360),(Control!$B$16-40)*((1-0)/(360-40)),IF(AND(Control!$B$16&gt;360,Control!$B$16&lt;=720),(1+(Control!$B$16-360)*((1.25-1)/(720-360))),IF(AND(Control!$B$16&gt;720,Control!$B$16&lt;=1000),(1.25+(Control!$B$16-720)*((1.35-1.25)/(1000-720))),IF(AND(Control!$B$16&gt;1000,Control!$B$16&lt;=2000),(1.35+(Control!$B$16-1000)*0))))))</f>
        <v>#N/A</v>
      </c>
      <c r="GH118" s="162" t="e">
        <f t="shared" ca="1" si="280"/>
        <v>#N/A</v>
      </c>
      <c r="GI118" s="162">
        <f t="shared" ca="1" si="401"/>
        <v>0</v>
      </c>
      <c r="GJ118" s="162">
        <f t="shared" ca="1" si="281"/>
        <v>0</v>
      </c>
      <c r="GK118" s="162">
        <f t="shared" ca="1" si="402"/>
        <v>1</v>
      </c>
      <c r="GL118" s="162">
        <f t="shared" ca="1" si="282"/>
        <v>1</v>
      </c>
      <c r="GM118" s="162" t="e">
        <f ca="1">MAX(0,MIN(1,1-Control!$C$156*(1.0001-$KH118)^2))</f>
        <v>#N/A</v>
      </c>
      <c r="GN118" s="162" t="e">
        <f ca="1">IF(Control!$B$26=1,$KU118,$KX118)</f>
        <v>#N/A</v>
      </c>
      <c r="GO118" s="162" t="e">
        <f ca="1">IF($CP118&lt;=60,Control!$C$105,IF($CP118&gt;=90,Control!$C$106,Control!$C$105+($CP118-60)*((Control!$C$106-Control!$C$105)/(90-60))))</f>
        <v>#N/A</v>
      </c>
      <c r="GP118" s="162" t="e">
        <f t="shared" ca="1" si="283"/>
        <v>#N/A</v>
      </c>
      <c r="GQ118" s="162" t="e">
        <f t="shared" ca="1" si="403"/>
        <v>#N/A</v>
      </c>
      <c r="GR118" s="163" t="e">
        <f t="shared" ca="1" si="284"/>
        <v>#DIV/0!</v>
      </c>
      <c r="GS118" s="162" t="e">
        <f t="shared" ca="1" si="285"/>
        <v>#DIV/0!</v>
      </c>
      <c r="GT118" s="164" t="e">
        <f t="shared" ca="1" si="404"/>
        <v>#N/A</v>
      </c>
      <c r="GU118" s="162" t="e">
        <f t="shared" ca="1" si="405"/>
        <v>#N/A</v>
      </c>
      <c r="GV118" s="162" t="e">
        <f t="shared" ca="1" si="286"/>
        <v>#N/A</v>
      </c>
      <c r="GW118" s="162" t="e">
        <f t="shared" ca="1" si="287"/>
        <v>#DIV/0!</v>
      </c>
      <c r="GX118" s="162" t="e">
        <f t="shared" ca="1" si="406"/>
        <v>#DIV/0!</v>
      </c>
      <c r="GY118" s="162" t="e">
        <f t="shared" ca="1" si="407"/>
        <v>#DIV/0!</v>
      </c>
      <c r="GZ118" s="165" t="e">
        <f t="shared" ca="1" si="288"/>
        <v>#N/A</v>
      </c>
      <c r="HA118" s="162" t="e">
        <f ca="1">IF(Control!$C$114=1, $DI118*$FS118, 0)</f>
        <v>#N/A</v>
      </c>
      <c r="HB118" s="162" t="e">
        <f ca="1">$FA118/Control!$C$64</f>
        <v>#N/A</v>
      </c>
      <c r="HC118" s="162" t="e">
        <f t="shared" ca="1" si="289"/>
        <v>#DIV/0!</v>
      </c>
      <c r="HD118" s="162">
        <f ca="1">-ASIN(SIN(23.45*Control!$C$139)*COS(2*Control!$C$138*($AH118+10)/365))</f>
        <v>0.21429128438359529</v>
      </c>
      <c r="HE118" s="165">
        <f t="shared" ca="1" si="408"/>
        <v>0</v>
      </c>
      <c r="HF118" s="166">
        <f ca="1">IF(AND(Control!$C$61="T",$HE118&gt;=Control!$C$103,Control!$C$114=0),$AH118,Control!$C$59)</f>
        <v>1</v>
      </c>
      <c r="HG118" s="166">
        <f ca="1">IF(AND(Control!$C$61="T",$HE118&gt;=Control!$C$103,Control!$C$114=0),$HF118,Control!$C$59)</f>
        <v>1</v>
      </c>
      <c r="HH118" s="165">
        <f ca="1">IF(AND(OR(Control!$C$60&lt;=0, $AH118= Control!$C$59, Control!$C$60 &gt;0, $AH118 = Control!$C$60)), Control!$C$59, IF(Control!$C$60&gt;0, 0))</f>
        <v>1</v>
      </c>
      <c r="HI118" s="165">
        <f ca="1">IF(AND(OR(Control!$C$60&lt;=0, $AH118= Control!$C$59, Control!$C$60 &gt;0, $AH118 = Control!$C$60)), Control!$C$60, IF(Control!$C$60&lt;=0, 0))</f>
        <v>0</v>
      </c>
      <c r="HJ118" s="166">
        <f ca="1">IF(AND(Control!$C$62="F",$CV118&gt;=Control!$C$102),$AH118,0)</f>
        <v>0</v>
      </c>
      <c r="HK118" s="165" t="e">
        <f t="shared" ca="1" si="445"/>
        <v>#N/A</v>
      </c>
      <c r="HL118" s="166">
        <f ca="1">IF(AND(Control!$C$61="T",$HE118&gt;=Control!$C$103,Control!$C$114=0),$HF118,0)</f>
        <v>0</v>
      </c>
      <c r="HM118" s="201" t="e">
        <f t="shared" ca="1" si="290"/>
        <v>#DIV/0!</v>
      </c>
      <c r="HN118" s="215">
        <f t="shared" ca="1" si="409"/>
        <v>114</v>
      </c>
      <c r="HO118" s="216" t="e">
        <f ca="1">IF(AND($CP118&gt;=0, $CP118&lt;=90), Control!$C$152, Control!$C$152)</f>
        <v>#N/A</v>
      </c>
      <c r="HP118" s="216" t="e">
        <f t="shared" ca="1" si="291"/>
        <v>#N/A</v>
      </c>
      <c r="HQ118" s="217" t="e">
        <f ca="1">IF(OR(Control!$B$26=1,Control!$B$26=2),$KV118,$KS118)</f>
        <v>#DIV/0!</v>
      </c>
      <c r="HR118" s="218" t="e">
        <f t="shared" ca="1" si="446"/>
        <v>#DIV/0!</v>
      </c>
      <c r="HS118" s="216" t="e">
        <f ca="1">Control!$C$154*$HP118</f>
        <v>#N/A</v>
      </c>
      <c r="HT118" s="216" t="e">
        <f ca="1">Control!$C$155*$HP118</f>
        <v>#N/A</v>
      </c>
      <c r="HU118" s="217" t="e">
        <f ca="1">Control!$C$161*$FI118</f>
        <v>#N/A</v>
      </c>
      <c r="HV118" s="218" t="e">
        <f t="shared" ca="1" si="410"/>
        <v>#N/A</v>
      </c>
      <c r="HW118" s="218" t="e">
        <f ca="1">Control!$C$160*$FF118+$IP118*$EO118</f>
        <v>#N/A</v>
      </c>
      <c r="HX118" s="218" t="e">
        <f t="shared" ca="1" si="447"/>
        <v>#N/A</v>
      </c>
      <c r="HY118" s="219" t="e">
        <f ca="1">IF(Control!$C$114=1, $EB118*$FS118, 0)</f>
        <v>#N/A</v>
      </c>
      <c r="HZ118" s="91" t="e">
        <f t="shared" ca="1" si="292"/>
        <v>#N/A</v>
      </c>
      <c r="IA118" s="220" t="e">
        <f ca="1">Control!$C$153*$HO118</f>
        <v>#N/A</v>
      </c>
      <c r="IB118" s="218" t="e">
        <f t="shared" ca="1" si="293"/>
        <v>#N/A</v>
      </c>
      <c r="IC118" s="220" t="e">
        <f ca="1">Control!$C$153*$HT118</f>
        <v>#N/A</v>
      </c>
      <c r="ID118" s="218" t="e">
        <f t="shared" ca="1" si="294"/>
        <v>#N/A</v>
      </c>
      <c r="IE118" s="221" t="e">
        <f ca="1">($EB118*Control!$C$159+$EF118*Control!$C$160)/(IF($GZ118&lt;&gt;0,$GZ118,1))</f>
        <v>#N/A</v>
      </c>
      <c r="IF118" s="216" t="e">
        <f t="shared" ca="1" si="295"/>
        <v>#N/A</v>
      </c>
      <c r="IG118" s="91">
        <f ca="1">IF(OR(Control!$B$198=$AH118,Control!$B$199=$AH118, Control!$B$200=$AH118, Control!$B$201=$AH118, Control!$B$202=$AH118, Control!$B$203=$AH118, Control!$B$204=$AH118, Control!$B$205=$AH118, Control!$B$206=$AH118, Control!$B$207=$AH118), 1, 0)</f>
        <v>0</v>
      </c>
      <c r="IH118" s="91">
        <f ca="1">IF($IG118=0,0, VLOOKUP($AH118,Control!$B$198:$C$207,2))</f>
        <v>0</v>
      </c>
      <c r="II118" s="222">
        <f t="shared" ca="1" si="411"/>
        <v>0</v>
      </c>
      <c r="IJ118" s="91">
        <f>Control!$C$121</f>
        <v>0.7</v>
      </c>
      <c r="IK118" s="218">
        <f t="shared" ca="1" si="296"/>
        <v>0</v>
      </c>
      <c r="IL118" s="217" t="e">
        <f t="shared" ca="1" si="448"/>
        <v>#N/A</v>
      </c>
      <c r="IM118" s="223" t="e">
        <f ca="1">IF(AND(Control!$C$114=1,$KH118&lt;1),$EB118*Control!$C$148*(1-$KH118), 0)</f>
        <v>#N/A</v>
      </c>
      <c r="IN118" s="217" t="e">
        <f t="shared" ca="1" si="297"/>
        <v>#DIV/0!</v>
      </c>
      <c r="IO118" s="91" t="e">
        <f ca="1">MAX(0,$IL118-$EF118*Control!$C$160)</f>
        <v>#N/A</v>
      </c>
      <c r="IP118" s="220" t="e">
        <f t="shared" ca="1" si="298"/>
        <v>#N/A</v>
      </c>
      <c r="IQ118" s="217" t="e">
        <f t="shared" ca="1" si="412"/>
        <v>#N/A</v>
      </c>
      <c r="IR118" s="218" t="e">
        <f t="shared" ca="1" si="299"/>
        <v>#N/A</v>
      </c>
      <c r="IS118" s="217" t="e">
        <f ca="1">Control!$C$159*MAX(0,$FD118-$EN118)</f>
        <v>#N/A</v>
      </c>
      <c r="IT118" s="217" t="e">
        <f t="shared" ca="1" si="449"/>
        <v>#N/A</v>
      </c>
      <c r="IU118" s="217" t="e">
        <f t="shared" ca="1" si="413"/>
        <v>#N/A</v>
      </c>
      <c r="IV118" s="217" t="e">
        <f t="shared" ca="1" si="450"/>
        <v>#N/A</v>
      </c>
      <c r="IW118" s="217" t="e">
        <f ca="1">IF(OR($AW118=1,AND($AW118=0, Control!$B$18=1,$EN118&lt;&gt;0)), $IQ118-$IU118, $IQ118)</f>
        <v>#N/A</v>
      </c>
      <c r="IX118" s="218" t="e">
        <f t="shared" ca="1" si="300"/>
        <v>#N/A</v>
      </c>
      <c r="IY118" s="218" t="e">
        <f ca="1">MAX(0,$IQ118-$EB118*Control!$C$159)</f>
        <v>#N/A</v>
      </c>
      <c r="IZ118" s="218" t="e">
        <f t="shared" ca="1" si="301"/>
        <v>#N/A</v>
      </c>
      <c r="JA118" s="216" t="e">
        <f t="shared" ca="1" si="302"/>
        <v>#N/A</v>
      </c>
      <c r="JB118" s="217" t="e">
        <f t="shared" ca="1" si="303"/>
        <v>#N/A</v>
      </c>
      <c r="JC118" s="222" t="e">
        <f ca="1">MAX(Control!$C$157*$EK118-$JT118, 0)/Control!$C$162</f>
        <v>#N/A</v>
      </c>
      <c r="JD118" s="218" t="e">
        <f t="shared" ca="1" si="304"/>
        <v>#N/A</v>
      </c>
      <c r="JE118" s="218" t="e">
        <f t="shared" ca="1" si="305"/>
        <v>#N/A</v>
      </c>
      <c r="JF118" s="218" t="e">
        <f t="shared" ca="1" si="414"/>
        <v>#N/A</v>
      </c>
      <c r="JG118" s="218" t="e">
        <f t="shared" ca="1" si="306"/>
        <v>#N/A</v>
      </c>
      <c r="JH118" s="217" t="e">
        <f t="shared" ca="1" si="415"/>
        <v>#N/A</v>
      </c>
      <c r="JI118" s="217" t="e">
        <f t="shared" ca="1" si="416"/>
        <v>#N/A</v>
      </c>
      <c r="JJ118" s="217" t="e">
        <f t="shared" ca="1" si="451"/>
        <v>#N/A</v>
      </c>
      <c r="JK118" s="217" t="e">
        <f ca="1">IF(Control!$C$114=1,IF(Control!$B$24=0,MAX(0,$JI118)*$GN118/Control!$C$64,(MAX(0,MIN($JI118,$JJ118*$GN118/Control!$C$64),0))))</f>
        <v>#N/A</v>
      </c>
      <c r="JL118" s="217" t="e">
        <f ca="1">$IK118/Control!$C$64-$JK118+$HQ118</f>
        <v>#N/A</v>
      </c>
      <c r="JM118" s="217" t="e">
        <f ca="1">IF(Control!$C$114=1,($JB118/(IF($JI118&lt;&gt;0,$JI118,1)))*$JK118,0)</f>
        <v>#N/A</v>
      </c>
      <c r="JN118" s="217" t="e">
        <f ca="1">IF(Control!$C$114=1,($JG118/(IF($JI118&lt;&gt;0,$JI118,1)))*$JK118, 0)</f>
        <v>#N/A</v>
      </c>
      <c r="JO118" s="218" t="e">
        <f t="shared" ca="1" si="307"/>
        <v>#N/A</v>
      </c>
      <c r="JP118" s="218" t="e">
        <f ca="1">MIN(($IY118+$IO118)*Control!$C$151, $JF118-$EH118*Control!$C$161)</f>
        <v>#N/A</v>
      </c>
      <c r="JQ118" s="218" t="e">
        <f t="shared" ca="1" si="308"/>
        <v>#N/A</v>
      </c>
      <c r="JR118" s="217" t="e">
        <f ca="1">IF($CP118-Control!$C$150&lt;0, 0, $JQ118/Control!$C$162)</f>
        <v>#N/A</v>
      </c>
      <c r="JS118" s="218" t="e">
        <f t="shared" ca="1" si="309"/>
        <v>#N/A</v>
      </c>
      <c r="JT118" s="218" t="e">
        <f t="shared" ca="1" si="417"/>
        <v>#N/A</v>
      </c>
      <c r="JU118" s="218" t="e">
        <f t="shared" ca="1" si="310"/>
        <v>#N/A</v>
      </c>
      <c r="JV118" s="218" t="e">
        <f t="shared" ca="1" si="311"/>
        <v>#N/A</v>
      </c>
      <c r="JW118" s="216" t="e">
        <f t="shared" ca="1" si="312"/>
        <v>#N/A</v>
      </c>
      <c r="JX118" s="91" t="e">
        <f t="shared" ca="1" si="313"/>
        <v>#N/A</v>
      </c>
      <c r="JY118" s="218" t="e">
        <f t="shared" ca="1" si="314"/>
        <v>#N/A</v>
      </c>
      <c r="JZ118" s="217" t="e">
        <f ca="1">IF(Control!$C$114=1,($IZ118/(IF($JI118&lt;&gt;0,$JI118,1)))*$JK118, 0)</f>
        <v>#N/A</v>
      </c>
      <c r="KA118" s="218" t="e">
        <f t="shared" ca="1" si="452"/>
        <v>#N/A</v>
      </c>
      <c r="KB118" s="218" t="e">
        <f t="shared" ca="1" si="418"/>
        <v>#N/A</v>
      </c>
      <c r="KC118" s="218" t="e">
        <f t="shared" ca="1" si="315"/>
        <v>#N/A</v>
      </c>
      <c r="KD118" s="218" t="e">
        <f t="shared" ca="1" si="316"/>
        <v>#N/A</v>
      </c>
      <c r="KE118" s="218" t="e">
        <f t="shared" ca="1" si="317"/>
        <v>#N/A</v>
      </c>
      <c r="KF118" s="218" t="e">
        <f t="shared" ca="1" si="318"/>
        <v>#N/A</v>
      </c>
      <c r="KG118" s="216" t="e">
        <f t="shared" ca="1" si="319"/>
        <v>#N/A</v>
      </c>
      <c r="KH118" s="221" t="e">
        <f ca="1">IF(Control!$B$24=0,1,MAX(0.001,MIN(1,IF(($IF118-$IE118)&lt;&gt;0,($KG118-$IE118)/($IF118-$IE118),1))))</f>
        <v>#N/A</v>
      </c>
      <c r="KI118" s="222" t="e">
        <f ca="1">IF(Control!$C$114=1, $KI117+ $KH117, 0)</f>
        <v>#N/A</v>
      </c>
      <c r="KJ118" s="217" t="e">
        <f t="shared" ca="1" si="320"/>
        <v>#N/A</v>
      </c>
      <c r="KK118" s="218" t="e">
        <f t="shared" ca="1" si="321"/>
        <v>#N/A</v>
      </c>
      <c r="KL118" s="274" t="e">
        <f ca="1">IF(Control!$B$26=3,4000000000*EXP(-8400/($G118+273)),IF(Control!$B$26=4,4000000000*EXP(-8400/($G118+273))*($KT118),0))</f>
        <v>#DIV/0!</v>
      </c>
      <c r="KM118" s="274" t="e">
        <f ca="1">IF(Control!$B$26=3,5600000000000*EXP(-9800/($G118+273)),IF(Control!$B$26=4,5600000000000*EXP(-9800/($G118+273))*$KT118,0))</f>
        <v>#DIV/0!</v>
      </c>
      <c r="KN118" s="454" t="e">
        <f t="shared" ca="1" si="419"/>
        <v>#DIV/0!</v>
      </c>
      <c r="KO118" s="274" t="e">
        <f t="shared" ca="1" si="420"/>
        <v>#DIV/0!</v>
      </c>
      <c r="KP118" s="454" t="e">
        <f t="shared" ca="1" si="322"/>
        <v>#DIV/0!</v>
      </c>
      <c r="KQ118" s="454" t="e">
        <f t="shared" ca="1" si="323"/>
        <v>#DIV/0!</v>
      </c>
      <c r="KR118" s="454" t="e">
        <f t="shared" ca="1" si="324"/>
        <v>#DIV/0!</v>
      </c>
      <c r="KS118" s="454" t="e">
        <f t="shared" ca="1" si="325"/>
        <v>#DIV/0!</v>
      </c>
      <c r="KT118" s="455" t="e">
        <f t="shared" ca="1" si="326"/>
        <v>#DIV/0!</v>
      </c>
      <c r="KU118" s="456" t="e">
        <f ca="1">IF($CP118-Control!$C$149&lt;0, IF($NT118-0.01&lt;0,0,1),0)</f>
        <v>#N/A</v>
      </c>
      <c r="KV118" s="456" t="e">
        <f ca="1">IF(Control!$C$114=1,MAX(0,MIN(Control!$C$125*$KW118*$GN118,$KW118)))</f>
        <v>#DIV/0!</v>
      </c>
      <c r="KW118" s="456" t="e">
        <f t="shared" ca="1" si="453"/>
        <v>#DIV/0!</v>
      </c>
      <c r="KX118" s="457" t="e">
        <f ca="1">IF($CP118-Control!$C$149&lt;0, IF($MR118-$OM118&lt;0,0,1),0)</f>
        <v>#N/A</v>
      </c>
      <c r="KY118" s="167">
        <f t="shared" ca="1" si="421"/>
        <v>114</v>
      </c>
      <c r="KZ118" s="168">
        <f ca="1">1370*(1+0.033*COS(2*Control!$C$138*$AH118/365))</f>
        <v>1352.7436385909384</v>
      </c>
      <c r="LA118" s="169">
        <f t="shared" ca="1" si="422"/>
        <v>0.98740425573120028</v>
      </c>
      <c r="LB118" s="169">
        <f t="shared" ca="1" si="423"/>
        <v>0.22154199276539069</v>
      </c>
      <c r="LC118" s="169">
        <f ca="1">ACOS(-TAN((2*Control!$B$8/360))*TAN(Calculations!$LB118))</f>
        <v>1.63778818504773</v>
      </c>
      <c r="LD118" s="169">
        <f ca="1">((24*60)/PI())*0.082*$LA118*(($LC118*SIN(Control!$B$8*2*PI()/360))*SIN($LB118)+COS(Control!$B$8*2*PI()/360)*COS($LB118)*SIN($LC118))</f>
        <v>32.76505491935454</v>
      </c>
      <c r="LE118" s="170">
        <f t="shared" ca="1" si="327"/>
        <v>33.026404668856195</v>
      </c>
      <c r="LF118" s="170">
        <f ca="1">SIN(Control!$C$139*Control!$B$8)*SIN($HD118)</f>
        <v>0.16757468603097384</v>
      </c>
      <c r="LG118" s="170">
        <f ca="1">COS(Control!$C$139*Control!$B$8)*COS($HD118)</f>
        <v>0.60157803265875442</v>
      </c>
      <c r="LH118" s="170">
        <f ca="1">12*(1+2*ASIN(MAX(-1,MIN(1,$LF118/$LG118))/Control!$C$138))</f>
        <v>14.130823679338611</v>
      </c>
      <c r="LI118" s="170">
        <f ca="1">12*(1+2*ASIN(MAX(-1,MIN(1,(-SIN(-4*Control!$C$139)+$LF118)/$LG118))/Control!$C$138))</f>
        <v>15.021840611384743</v>
      </c>
      <c r="LJ118" s="168">
        <f ca="1">3600*($LH118*$LF118+24*$LG118*SQRT(1-$LK118*$LK118)/Control!$C$138)</f>
        <v>24414.385495286871</v>
      </c>
      <c r="LK118" s="170">
        <f t="shared" ca="1" si="328"/>
        <v>0.2785585193168626</v>
      </c>
      <c r="LL118" s="170">
        <f t="shared" ca="1" si="329"/>
        <v>0</v>
      </c>
      <c r="LM118" s="171">
        <f ca="1">Control!$C$145*$AB118</f>
        <v>6.6660906138995932E-2</v>
      </c>
      <c r="LN118" s="170">
        <f t="shared" ca="1" si="424"/>
        <v>0.54</v>
      </c>
      <c r="LO118" s="170">
        <f t="shared" ca="1" si="330"/>
        <v>0</v>
      </c>
      <c r="LP118" s="170">
        <f ca="1">Control!$C$140*((($D118+273.16)^4+($E118+273.16)^4)/2)*(0.34-0.14*SQRT($Y118))*(1.35*$AQ118/(0.75*$LD118)-0.35)</f>
        <v>-3.2464704755046001</v>
      </c>
      <c r="LQ118" s="170">
        <f ca="1">Control!$C$140*($G118+273)^4*(0.56-0.079*SQRT($Y118*10))*(0.1+0.9*$LO118)</f>
        <v>1.5241745131704001</v>
      </c>
      <c r="LR118" s="170">
        <f ca="1">$AQ118*(1-Control!$C$142)-$LQ118</f>
        <v>-1.5241745131704001</v>
      </c>
      <c r="LS118" s="170">
        <f ca="1">$AQ118*(1-Control!$C$143)-$LQ118</f>
        <v>-1.5241745131704001</v>
      </c>
      <c r="LT118" s="170">
        <f ca="1">$AQ118*(1-Control!$C$144)-$LQ118</f>
        <v>-1.5241745131704001</v>
      </c>
      <c r="LU118" s="169">
        <f ca="1">(1-Control!$C$144)*AQ118-LP118</f>
        <v>3.2464704755046001</v>
      </c>
      <c r="LV118" s="172">
        <f t="shared" ca="1" si="331"/>
        <v>0.79430000000000012</v>
      </c>
      <c r="LW118" s="170">
        <f t="shared" ca="1" si="332"/>
        <v>1.5886000000000002</v>
      </c>
      <c r="LX118" s="170">
        <f ca="1">($AC118*($LR118/Control!$C$141)+$LM118*$LV118)/($AC118+$LM118)</f>
        <v>0.23530094218323697</v>
      </c>
      <c r="LY118" s="170">
        <f ca="1">($AC118*($LS118/Control!$C$141)+$LM118*$LV118)/($AC118+$LM118)</f>
        <v>0.23530094218323697</v>
      </c>
      <c r="LZ118" s="170">
        <f t="shared" ca="1" si="333"/>
        <v>0.23530094218323697</v>
      </c>
      <c r="MA118" s="170">
        <f t="shared" ca="1" si="334"/>
        <v>0.23530094218323697</v>
      </c>
      <c r="MB118" s="170" t="e">
        <f t="shared" ca="1" si="335"/>
        <v>#N/A</v>
      </c>
      <c r="MC118" s="170">
        <f t="shared" ca="1" si="425"/>
        <v>0.6018</v>
      </c>
      <c r="MD118" s="170">
        <f t="shared" ca="1" si="336"/>
        <v>0.52989392535414004</v>
      </c>
      <c r="ME118" s="170">
        <f ca="1">($AC118*($LT118/Control!$C$141)+$LM118*$LW118)/($AC118+$LM118)</f>
        <v>0.71612369323045078</v>
      </c>
      <c r="MF118" s="170" t="e">
        <f ca="1">IF(Control!$B$16&gt;=1000,0.92,IF(AND(720&lt;=Control!$B$16,1000&gt;Control!$B$16),(0.95+(Control!$B$16-720)*((0.92-0.95)/(1000-720))),IF(AND(360&lt;=Control!$B$16,720&gt;Control!$B$16),(1+(Control!$B$16-360)*((0.95-1)/(720-360))),IF(AND(40&lt;=Control!$B$16,360&gt;Control!$B$16),(1.05+(Control!$B$16-40)*((1.05-1)/(360-40)))))))</f>
        <v>#N/A</v>
      </c>
      <c r="MG118" s="170">
        <f t="shared" ca="1" si="337"/>
        <v>0.71612369323045078</v>
      </c>
      <c r="MH118" s="170" t="e">
        <f t="shared" ca="1" si="463"/>
        <v>#N/A</v>
      </c>
      <c r="MI118" s="170" t="e">
        <f t="shared" ca="1" si="463"/>
        <v>#N/A</v>
      </c>
      <c r="MJ118" s="170" t="e">
        <f ca="1">MAX(0.0001, Control!$C$132*$MI118*$DL118)</f>
        <v>#N/A</v>
      </c>
      <c r="MK118" s="170">
        <f ca="1">1/(0.76+1.5*($MG118/10))-(5-Control!$C$110)*0.1</f>
        <v>1.002845988140797</v>
      </c>
      <c r="ML118" s="173">
        <f ca="1">IF(Control!$C$110&lt;3,$MK118+($MG118-0.6)/(Control!$C$110*(Control!$C$110+3)), MAX(0.1, MIN(0.95,$MK118)))</f>
        <v>0.95</v>
      </c>
      <c r="MM118" s="173">
        <f ca="1">IF(Control!$C$110&lt;3,$MK118+(($MI118/10)-0.6)/(Control!$C$110*(Control!$C$110+3)), MAX(0.1, MIN(0.95,$MK118)))</f>
        <v>0.95</v>
      </c>
      <c r="MN118" s="173">
        <f ca="1">(1-$MM118)*(Control!$C$128-Control!$C$127)+Control!$C$127</f>
        <v>0.16</v>
      </c>
      <c r="MO118" s="170" t="e">
        <f ca="1">MAX(0,MIN(1,($MS118-Control!$C$127)/($MN118-Control!$C$127)))</f>
        <v>#DIV/0!</v>
      </c>
      <c r="MP118" s="173" t="e">
        <f ca="1">1/(0.76+1.5*$MI118)-(5-Control!$C$110)*0.1</f>
        <v>#N/A</v>
      </c>
      <c r="MQ118" s="172" t="e">
        <f t="shared" ca="1" si="454"/>
        <v>#DIV/0!</v>
      </c>
      <c r="MR118" s="168" t="e">
        <f t="shared" ca="1" si="426"/>
        <v>#DIV/0!</v>
      </c>
      <c r="MS118" s="173" t="e">
        <f ca="1">MAX(Control!$C$127, MIN(Control!$C$135, $MR118/MAX(0.0001,$CY118)))</f>
        <v>#DIV/0!</v>
      </c>
      <c r="MT118" s="168" t="e">
        <f ca="1">(Control!$C$128-$MS118)*Control!$C$74</f>
        <v>#DIV/0!</v>
      </c>
      <c r="MU118" s="168" t="e">
        <f ca="1">(Control!$C$135-$MS118)*Control!$C$74</f>
        <v>#DIV/0!</v>
      </c>
      <c r="MV118" s="168" t="e">
        <f t="shared" ca="1" si="427"/>
        <v>#DIV/0!</v>
      </c>
      <c r="MW118" s="168" t="e">
        <f t="shared" ca="1" si="428"/>
        <v>#DIV/0!</v>
      </c>
      <c r="MX118" s="171" t="e">
        <f ca="1">MAX(Control!$C$127, MIN(Control!$C$135, $MW118/MAX(0.0001,Control!$C$119-$CY118)))</f>
        <v>#DIV/0!</v>
      </c>
      <c r="MY118" s="54" t="e">
        <f ca="1">IF(Control!$C$114=1, $CX118*$MX118, 0)</f>
        <v>#DIV/0!</v>
      </c>
      <c r="MZ118" s="54" t="e">
        <f t="shared" ca="1" si="429"/>
        <v>#N/A</v>
      </c>
      <c r="NA118" s="168" t="e">
        <f ca="1">(Control!$C$128-$MX118)*(Control!$C$119-Control!$C$74)</f>
        <v>#DIV/0!</v>
      </c>
      <c r="NB118" s="168" t="e">
        <f ca="1">(Control!$C$135-$MX118)*(Control!$C$119-Control!$C$74)</f>
        <v>#DIV/0!</v>
      </c>
      <c r="NC118" s="174" t="e">
        <f t="shared" ca="1" si="430"/>
        <v>#DIV/0!</v>
      </c>
      <c r="ND118" s="54">
        <f ca="1">IF(Control!$C$58=2, IF(OR(Control!$B$218=$AH118,Control!$B$219=$AH118, Control!$B$220=$AH118, Control!$B$221=$AH118, Control!$B$222=$AH118, Control!$B$223=$AH118, Control!$B$224=$AH118, Control!$B$225=$AH118, Control!$B$226=$AH118, Control!$B$227=$AH118, Control!$B$228=$AH118), 1, 0), 0)</f>
        <v>0</v>
      </c>
      <c r="NE118" s="54">
        <f ca="1">IF($ND118=0,0, VLOOKUP($AH118,Control!$B$218:$C$228,2))</f>
        <v>0</v>
      </c>
      <c r="NF118" s="168" t="e">
        <f ca="1">$CY118*(Control!$C$128-Control!$C$127)</f>
        <v>#N/A</v>
      </c>
      <c r="NG118" s="54" t="e">
        <f ca="1">IF(Control!$C$58=2, $NI117-$NJ117, 0)</f>
        <v>#DIV/0!</v>
      </c>
      <c r="NH118" s="54" t="e">
        <f ca="1">IF(AND(Control!$C$58=1, $MS117&lt;= ($MN117+0.02), $I117&lt;10), 0, IF(Control!$C$58=2, $NG117, 0))</f>
        <v>#DIV/0!</v>
      </c>
      <c r="NI118" s="54" t="e">
        <f ca="1">IF(Control!$C$58=2, $NE118+$NH118,0)</f>
        <v>#DIV/0!</v>
      </c>
      <c r="NJ118" s="54" t="e">
        <f ca="1">IF(AND(Control!$C$58=1, $MS118&lt;= ($MN118+0.02), $I118&lt;10), MAX(0, MIN(10, 0.7*($NF118-$MV118))), IF(Control!$C$58=2, MIN(10,$NI118),0))</f>
        <v>#DIV/0!</v>
      </c>
      <c r="NK118" s="54" t="e">
        <f t="shared" ca="1" si="338"/>
        <v>#DIV/0!</v>
      </c>
      <c r="NL118" s="173" t="e">
        <f ca="1">(1-Control!$C$73)*$I118+$NJ118</f>
        <v>#DIV/0!</v>
      </c>
      <c r="NM118" s="172" t="e">
        <f ca="1">IF($NL118&lt;0.5, $MB118* MAX(0, MIN(1, (SQRT($NC118)-SQRT($NC118-1))*Control!$C$71)),0)</f>
        <v>#DIV/0!</v>
      </c>
      <c r="NN118" s="170" t="e">
        <f ca="1">IF($NL118&gt;=5, $MB118, MAX(0,MIN($MB118, $NM118+$NL118,($MS118-Control!$C$129))))</f>
        <v>#DIV/0!</v>
      </c>
      <c r="NO118" s="54">
        <f>IF(Control!$C$133&lt;&gt;1, Control!$C$135-Control!$C$131, 0)</f>
        <v>0.38</v>
      </c>
      <c r="NP118" s="54" t="e">
        <f t="shared" ca="1" si="339"/>
        <v>#DIV/0!</v>
      </c>
      <c r="NQ118" s="173" t="e">
        <f ca="1">MAX(0,MIN(1,(Control!$C$135-$MS118)/(Control!$C$135-$NO118)))</f>
        <v>#DIV/0!</v>
      </c>
      <c r="NR118" s="170" t="e">
        <f ca="1">IF(Control!$C$133&lt;&gt;1, $NQ118+((1-$NP118/4)*(1-$NQ118)),1)</f>
        <v>#DIV/0!</v>
      </c>
      <c r="NS118" s="170" t="e">
        <f ca="1">IF(Control!$B$31=0,$MJ118,MAX(0,MIN($MV118,$MO118*$NR118*$MJ118)))</f>
        <v>#DIV/0!</v>
      </c>
      <c r="NT118" s="170" t="e">
        <f t="shared" ca="1" si="455"/>
        <v>#DIV/0!</v>
      </c>
      <c r="NU118" s="170" t="e">
        <f t="shared" ca="1" si="431"/>
        <v>#N/A</v>
      </c>
      <c r="NV118" s="170" t="e">
        <f t="shared" ca="1" si="340"/>
        <v>#N/A</v>
      </c>
      <c r="NW118" s="175" t="e">
        <f t="shared" ca="1" si="341"/>
        <v>#DIV/0!</v>
      </c>
      <c r="NX118" s="170" t="e">
        <f ca="1">MIN(Control!$C$72+$MU118, $NW118)</f>
        <v>#DIV/0!</v>
      </c>
      <c r="NY118" s="170" t="e">
        <f ca="1">IF($MT118&lt;=$NX118,MIN(Control!$C$72+$NB118,$NX118-$MT118),0)</f>
        <v>#DIV/0!</v>
      </c>
      <c r="NZ118" s="54" t="e">
        <f ca="1">IF(Control!$C$114=1,  $CX118*($MX118-Control!$C$127), 0)</f>
        <v>#DIV/0!</v>
      </c>
      <c r="OA118" s="170" t="e">
        <f t="shared" ca="1" si="342"/>
        <v>#DIV/0!</v>
      </c>
      <c r="OB118" s="170" t="e">
        <f ca="1">IF($NA118 &lt;=$NY118, MIN(Control!$C$72, $NY118-$NA118), 0)</f>
        <v>#DIV/0!</v>
      </c>
      <c r="OC118" s="168" t="e">
        <f t="shared" ca="1" si="343"/>
        <v>#DIV/0!</v>
      </c>
      <c r="OD118" s="168" t="e">
        <f t="shared" ca="1" si="432"/>
        <v>#DIV/0!</v>
      </c>
      <c r="OE118" s="170">
        <f ca="1">Control!$C$73*$I118</f>
        <v>0</v>
      </c>
      <c r="OF118" s="176" t="e">
        <f t="shared" ca="1" si="344"/>
        <v>#DIV/0!</v>
      </c>
      <c r="OG118" s="168" t="e">
        <f t="shared" ca="1" si="345"/>
        <v>#DIV/0!</v>
      </c>
      <c r="OH118" s="168" t="e">
        <f t="shared" ca="1" si="346"/>
        <v>#DIV/0!</v>
      </c>
      <c r="OI118" s="168" t="e">
        <f t="shared" ca="1" si="347"/>
        <v>#DIV/0!</v>
      </c>
      <c r="OJ118" s="168" t="e">
        <f t="shared" ca="1" si="348"/>
        <v>#DIV/0!</v>
      </c>
      <c r="OK118" s="204" t="e">
        <f t="shared" ca="1" si="349"/>
        <v>#DIV/0!</v>
      </c>
      <c r="OL118" s="177">
        <f>Control!$C$127</f>
        <v>0.15</v>
      </c>
      <c r="OM118" s="182" t="e">
        <f t="shared" ca="1" si="350"/>
        <v>#N/A</v>
      </c>
      <c r="ON118" s="177">
        <f>Control!$C$128</f>
        <v>0.35</v>
      </c>
      <c r="OO118" s="182" t="e">
        <f t="shared" ca="1" si="351"/>
        <v>#N/A</v>
      </c>
      <c r="OP118" s="138">
        <f t="shared" ca="1" si="433"/>
        <v>0</v>
      </c>
      <c r="OQ118" s="138" t="e">
        <f t="shared" ca="1" si="456"/>
        <v>#DIV/0!</v>
      </c>
      <c r="OR118" s="138" t="e">
        <f t="shared" ca="1" si="434"/>
        <v>#DIV/0!</v>
      </c>
      <c r="OS118" s="137" t="e">
        <f t="shared" ca="1" si="457"/>
        <v>#DIV/0!</v>
      </c>
      <c r="OT118" s="139" t="e">
        <f t="shared" ca="1" si="458"/>
        <v>#DIV/0!</v>
      </c>
      <c r="OU118" s="138" t="e">
        <f t="shared" ca="1" si="459"/>
        <v>#N/A</v>
      </c>
      <c r="OV118" s="138" t="e">
        <f t="shared" ca="1" si="460"/>
        <v>#DIV/0!</v>
      </c>
      <c r="OW118" s="138" t="e">
        <f t="shared" ca="1" si="435"/>
        <v>#DIV/0!</v>
      </c>
      <c r="OX118" s="138" t="e">
        <f t="shared" ca="1" si="436"/>
        <v>#DIV/0!</v>
      </c>
      <c r="OY118" s="138" t="e">
        <f t="shared" ca="1" si="437"/>
        <v>#DIV/0!</v>
      </c>
      <c r="OZ118" s="138" t="e">
        <f t="shared" ca="1" si="352"/>
        <v>#DIV/0!</v>
      </c>
      <c r="PA118" s="138" t="e">
        <f t="shared" ca="1" si="353"/>
        <v>#DIV/0!</v>
      </c>
      <c r="PB118" s="55">
        <f>IF(Control!$C$61="T", IF(Control!$C$65="F", IF($AH$6-Control!$C$60&lt;0,0,1), IF(365+$AH$6-Control!$C$60&lt;0,0,1)),0)</f>
        <v>0</v>
      </c>
      <c r="PC118" s="55">
        <f ca="1">IF(Control!$C$65="F", IF($AH$6-$HF118&lt;0,0,1), IF(365+$AH$6-$HF118&lt;0,0,1))</f>
        <v>1</v>
      </c>
      <c r="PD118" s="444">
        <f>Control!$C$118</f>
        <v>1500</v>
      </c>
      <c r="PE118" s="180" t="e">
        <f t="shared" ca="1" si="354"/>
        <v>#N/A</v>
      </c>
      <c r="PF118" s="445">
        <f t="shared" ca="1" si="438"/>
        <v>0.71612369323045078</v>
      </c>
      <c r="PT118" s="186"/>
      <c r="PU118" s="186"/>
      <c r="PV118" s="94"/>
      <c r="PW118" s="94"/>
      <c r="PX118" s="94"/>
      <c r="PY118" s="94"/>
      <c r="PZ118" s="94"/>
      <c r="QA118" s="94"/>
      <c r="QB118" s="94"/>
      <c r="QC118" s="94"/>
      <c r="QD118" s="94"/>
      <c r="QE118" s="94"/>
      <c r="QF118" s="94"/>
      <c r="QG118" s="94"/>
      <c r="QH118" s="94"/>
      <c r="QI118" s="94"/>
      <c r="QJ118" s="94"/>
      <c r="QK118" s="94"/>
      <c r="QL118" s="94"/>
      <c r="QM118" s="94"/>
      <c r="QN118" s="94"/>
      <c r="QO118" s="94"/>
      <c r="QP118" s="94"/>
    </row>
    <row r="119" spans="1:458" s="2" customFormat="1" x14ac:dyDescent="0.2">
      <c r="A119" s="395">
        <v>24</v>
      </c>
      <c r="B119" s="396">
        <v>4</v>
      </c>
      <c r="C119" s="387">
        <f ca="1">Weather_data!$B118</f>
        <v>0</v>
      </c>
      <c r="D119" s="388">
        <f ca="1">Weather_data!$F118</f>
        <v>0</v>
      </c>
      <c r="E119" s="388">
        <f ca="1">Weather_data!$E118</f>
        <v>0</v>
      </c>
      <c r="F119" s="388">
        <f t="shared" ca="1" si="355"/>
        <v>0</v>
      </c>
      <c r="G119" s="388">
        <f ca="1">AVERAGE($D119:$E119)+Control!$B$9</f>
        <v>0</v>
      </c>
      <c r="H119" s="388">
        <f ca="1">Weather_data!$G118</f>
        <v>0</v>
      </c>
      <c r="I119" s="388">
        <f ca="1">Weather_data!$I118</f>
        <v>0</v>
      </c>
      <c r="J119" s="388">
        <f ca="1">Weather_data!$H118</f>
        <v>0</v>
      </c>
      <c r="K119" s="389">
        <f ca="1">Weather_data!$D118</f>
        <v>0</v>
      </c>
      <c r="L119" s="388" t="e">
        <f t="shared" ca="1" si="356"/>
        <v>#N/A</v>
      </c>
      <c r="M119" s="388" t="e">
        <f t="shared" ca="1" si="234"/>
        <v>#N/A</v>
      </c>
      <c r="N119" s="388">
        <f t="shared" ca="1" si="235"/>
        <v>-3.3757756092487252E-6</v>
      </c>
      <c r="O119" s="388">
        <f t="shared" ca="1" si="357"/>
        <v>3.3757756092487253E-5</v>
      </c>
      <c r="P119" s="390">
        <v>3</v>
      </c>
      <c r="Q119" s="388">
        <f ca="1">MAX($G119-Control!$C$107,0)</f>
        <v>0</v>
      </c>
      <c r="R119" s="388">
        <f t="shared" ca="1" si="358"/>
        <v>0</v>
      </c>
      <c r="S119" s="388">
        <f t="shared" ca="1" si="236"/>
        <v>0</v>
      </c>
      <c r="T119" s="388">
        <f t="shared" ca="1" si="237"/>
        <v>0</v>
      </c>
      <c r="U119" s="59">
        <f t="shared" ca="1" si="238"/>
        <v>0</v>
      </c>
      <c r="V119" s="391">
        <f ca="1">MAX(0,MIN(Control!$C$100-Control!$C$99,$G119-Control!$C$99)*Control!$C$63)</f>
        <v>0</v>
      </c>
      <c r="W119" s="388">
        <f t="shared" ca="1" si="359"/>
        <v>0</v>
      </c>
      <c r="X119" s="388">
        <f t="shared" ca="1" si="360"/>
        <v>0.6110000000000001</v>
      </c>
      <c r="Y119" s="388">
        <f t="shared" ca="1" si="239"/>
        <v>0</v>
      </c>
      <c r="Z119" s="388">
        <f t="shared" ca="1" si="361"/>
        <v>0.61058800000000002</v>
      </c>
      <c r="AA119" s="388">
        <f t="shared" ca="1" si="240"/>
        <v>0.6018</v>
      </c>
      <c r="AB119" s="388">
        <f ca="1">101.3*EXP(-0.034*Control!$C$66/($G119+273))</f>
        <v>100.69623283836242</v>
      </c>
      <c r="AC119" s="392">
        <f t="shared" ca="1" si="241"/>
        <v>4.3460251046025113E-2</v>
      </c>
      <c r="AD119" s="392">
        <f t="shared" ca="1" si="242"/>
        <v>4.4450382862832649E-2</v>
      </c>
      <c r="AE119" s="388">
        <f t="shared" ca="1" si="243"/>
        <v>0</v>
      </c>
      <c r="AF119" s="388">
        <f ca="1">MAX(0,$G119-Control!$C$92)</f>
        <v>0</v>
      </c>
      <c r="AG119" s="393">
        <f t="shared" ca="1" si="244"/>
        <v>115</v>
      </c>
      <c r="AH119" s="389">
        <f t="shared" ca="1" si="245"/>
        <v>115</v>
      </c>
      <c r="AI119" s="388">
        <f t="shared" ca="1" si="362"/>
        <v>0.22018838105986918</v>
      </c>
      <c r="AJ119" s="388">
        <f ca="1">IF(Control!$C$60&lt;=0,$HH119,$HI119)</f>
        <v>1</v>
      </c>
      <c r="AK119" s="388">
        <f t="shared" ca="1" si="246"/>
        <v>0.60249722123639871</v>
      </c>
      <c r="AL119" s="388">
        <f t="shared" ca="1" si="247"/>
        <v>3.7868996133338941E-18</v>
      </c>
      <c r="AM119" s="388">
        <f t="shared" ca="1" si="248"/>
        <v>0.60249722123639871</v>
      </c>
      <c r="AN119" s="388">
        <f t="shared" ca="1" si="249"/>
        <v>0.22738843781214688</v>
      </c>
      <c r="AO119" s="388">
        <f ca="1">-0.10453/COS(Control!$B$8*PI()/180)*COS(AN119)</f>
        <v>-0.16541433891028851</v>
      </c>
      <c r="AP119" s="388">
        <f ca="1">ACOS(AO119-TAN(Control!$B$8*PI()/180)*TAN(AN119))</f>
        <v>2.0505722641052859</v>
      </c>
      <c r="AQ119" s="388">
        <f t="shared" ca="1" si="363"/>
        <v>0</v>
      </c>
      <c r="AR119" s="394">
        <f t="shared" ca="1" si="250"/>
        <v>0</v>
      </c>
      <c r="AS119" s="436">
        <f ca="1">IF(Control!$B$18=2,(IF(OR($AH119=Control!$B$175,$AH119=Control!$B$176,$AH119=Control!$B$177,$AH119=Control!$B$178,$AH119=Control!$B$179,$AH119=Control!$B$180,$AH119=Control!$B$181,$AH119=Control!$B$182,$AH119=Control!$B$183,$AH119=Control!$B$184,$AH119=Control!$B$185),1,0)),0)</f>
        <v>0</v>
      </c>
      <c r="AT119" s="436">
        <f>IF(Control!$B$20=8,IF(AND($AH119&gt;=Control!$B$172,$AH119&lt;=Control!$B$173),1,0),0)</f>
        <v>0</v>
      </c>
      <c r="AU119" s="436">
        <f>IF(Control!$B$20=8,IF($AV118=1,1*$AT119,IF($AT119=1,$AU118+1,$AU118)),0)</f>
        <v>0</v>
      </c>
      <c r="AV119" s="436">
        <f>IF(Control!$B$20=8,IF($AU119&gt;=Control!$B$174,1,0),0)</f>
        <v>0</v>
      </c>
      <c r="AW119" s="436">
        <f ca="1">IF(AND(Control!$B$18=2,Control!$B$171=1), $AV119, $AS119)</f>
        <v>0</v>
      </c>
      <c r="AX119" s="436" t="e">
        <f ca="1">IF(AND(Control!$B$18=1,$EU119&gt;=Control!$B$19),-$AY119,IF(AND(Control!$B$18=2,$AW119=1,$EU119&gt;$DS119),-$AY119, IF(Control!$C$108=0,0, IF(Control!$C$108&lt;&gt;0,1))))</f>
        <v>#N/A</v>
      </c>
      <c r="AY119" s="436" t="e">
        <f t="shared" ca="1" si="364"/>
        <v>#N/A</v>
      </c>
      <c r="AZ119" s="436" t="e">
        <f ca="1">IF(AND(Control!$B$18=1,$EB119&gt;Control!$B$19),$AZ118+1, IF(AND(Control!$B$18=2, $AW119=1, $EB119&gt;$DS119), $AZ118+1,$AZ118))</f>
        <v>#N/A</v>
      </c>
      <c r="BA119" s="587">
        <f>IF(Control!$C$81=0,1,IF($AH119&gt;=Control!$C$82,1,0))</f>
        <v>1</v>
      </c>
      <c r="BB119" s="140" t="e">
        <f ca="1">IF($BA119&gt;$BA118,Control!$C$83,IF($AW119&gt;0,$AW119*Control!$C$84,IF(AND(Control!$B$18=1,EN118&lt;&gt;0),Control!$C$84,0)))</f>
        <v>#N/A</v>
      </c>
      <c r="BC119" s="140" t="e">
        <f t="shared" ca="1" si="365"/>
        <v>#N/A</v>
      </c>
      <c r="BD119" s="140" t="e">
        <f ca="1">BC119*IF(OR($G119&lt;Control!$C$92,$G119&gt;Control!$C$95),0,IF(AND($G119&gt;=Control!$C$92,$G119&lt;=Control!$C$93),$G119-Control!$C$92,IF(AND($G119&gt;Control!$C$93,$G119&lt;=Control!$C$94),Control!$C$93-Control!$C$92,IF(AND($G119&gt;Control!$C$94,$G119&lt;=Control!$C$95),(Control!$C$93-Control!$C$92)*(Control!$C$94-$G119)/(Control!$C$95-Control!$C$94)))))</f>
        <v>#N/A</v>
      </c>
      <c r="BE119" s="140" t="e">
        <f t="shared" ca="1" si="366"/>
        <v>#N/A</v>
      </c>
      <c r="BF119" s="140" t="e">
        <f ca="1">IF($BE119&lt;=Control!$C$86,$BE119,Control!$C$86-$BE119)</f>
        <v>#N/A</v>
      </c>
      <c r="BG119" s="140" t="e">
        <f ca="1">IF(AND($AW119=1,Control!$C$84&lt;9),1,IF($BE119&gt;=Control!$C$86,0,$BC119))</f>
        <v>#N/A</v>
      </c>
      <c r="BH119" s="404" t="e">
        <f ca="1">IF($BG119=0,0,IF($BE119&lt;=Control!$C$86,$BC119*9*($BF119/Control!$C$86),0))</f>
        <v>#N/A</v>
      </c>
      <c r="BI119" s="140" t="e">
        <f ca="1">IF($BG119=1,0,IF($BE119&gt;=Control!$C$86,1,IF(AND($BB119&lt;21,$BB119&gt;=9),1,$BM118)))</f>
        <v>#N/A</v>
      </c>
      <c r="BJ119" s="140" t="e">
        <f ca="1">IF($BF119&lt;0,-$BF119,$BI119*IF(OR($G119&lt;Control!$C$92,$G119&gt;Control!$C$95),0,IF(AND($G119&gt;=Control!$C$92,$G119&lt;=Control!$C$93),$G119-Control!$C$92,IF(AND($G119&gt;Control!$C$93,$G119&lt;=Control!$C$94),Control!$C$93-Control!$C$92,IF(AND($G119&gt;Control!$C$94,$G119&lt;=Control!$C$95),(Control!$C$93-Control!$C$92)*(Control!$C$94-$G119)/(Control!$C$95-Control!$C$94))))))</f>
        <v>#N/A</v>
      </c>
      <c r="BK119" s="140" t="e">
        <f t="shared" ca="1" si="367"/>
        <v>#N/A</v>
      </c>
      <c r="BL119" s="140" t="e">
        <f ca="1">IF($BK119&lt;=Control!$C$87,$BK119,Control!$C$87-$BK119)</f>
        <v>#N/A</v>
      </c>
      <c r="BM119" s="140" t="e">
        <f ca="1">IF(AND($BB119&gt;=9,$BB119&lt;21),1,IF($BK119&gt;=Control!$C$87,0,$BI119))</f>
        <v>#N/A</v>
      </c>
      <c r="BN119" s="404" t="e">
        <f ca="1">IF($BM119=0,0,IF($BK119&lt;=Control!$C$87,$BI119*(9+(21-9)*($BL119/Control!$C$87)),0))</f>
        <v>#N/A</v>
      </c>
      <c r="BO119" s="140" t="e">
        <f ca="1">IF($BM119=1,0,IF($BK119&gt;=Control!$C$87,1,IF(AND($BB119&lt;30,$BB119&gt;=21),1,$BS118)))</f>
        <v>#N/A</v>
      </c>
      <c r="BP119" s="140" t="e">
        <f ca="1">IF($BL119&lt;0,-$BL119,$BO119*IF(OR($G119&lt;Control!$C$92,$G119&gt;Control!$C$95),0,IF(AND($G119&gt;=Control!$C$92,$G119&lt;=Control!$C$93),$G119-Control!$C$92,IF(AND($G119&gt;Control!$C$93,$G119&lt;=Control!$C$94),Control!$C$93-Control!$C$92,IF(AND($G119&gt;Control!$C$94,$G119&lt;=Control!$C$95),(Control!$C$93-Control!$C$92)*(Control!$C$94-$G119)/(Control!$C$95-Control!$C$94))))))</f>
        <v>#N/A</v>
      </c>
      <c r="BQ119" s="140" t="e">
        <f t="shared" ca="1" si="251"/>
        <v>#N/A</v>
      </c>
      <c r="BR119" s="140" t="e">
        <f ca="1">IF($BQ119&lt;=Control!$C$88,$BQ119,Control!$C$88-$BQ119)</f>
        <v>#N/A</v>
      </c>
      <c r="BS119" s="140" t="e">
        <f ca="1">IF(AND($BB119&gt;=21,$BB119&lt;30),1,IF($BQ119&gt;=Control!$C$88,0,$BO119))</f>
        <v>#N/A</v>
      </c>
      <c r="BT119" s="404" t="e">
        <f ca="1">IF($BS119=0,0,IF($BQ119&lt;=Control!$C$88,$BO119*(21+(30-21)*(BR119/Control!$C$88)),0))</f>
        <v>#N/A</v>
      </c>
      <c r="BU119" s="140" t="e">
        <f ca="1">IF(BG119+BM119+BS119=1,0,IF(OR(AND($BB119&lt;60,$BB119&gt;=30),$BQ119&gt;=Control!$C$88),1*$BA119,$BY118))</f>
        <v>#N/A</v>
      </c>
      <c r="BV119" s="140" t="e">
        <f ca="1">IF($BR119&lt;0,-$BR119,$BU119*IF(OR($G119&lt;Control!$C$92,$G119&gt;Control!$C$95),0,IF(AND($G119&gt;=Control!$C$92,$G119&lt;=Control!$C$93),$G119-Control!$C$92,IF(AND($G119&gt;Control!$C$93,$G119&lt;=Control!$C$94),Control!$C$93-Control!$C$92,IF(AND($G119&gt;Control!$C$94,$G119&lt;=Control!$C$95),(Control!$C$93-Control!$C$92)*(Control!$C$94-$G119)/(Control!$C$95-Control!$C$94))))))</f>
        <v>#N/A</v>
      </c>
      <c r="BW119" s="140" t="e">
        <f t="shared" ca="1" si="252"/>
        <v>#N/A</v>
      </c>
      <c r="BX119" s="140" t="e">
        <f ca="1">IF($BW119&lt;=Control!$C$89,$BW119,Control!$C$89-$BW119)</f>
        <v>#N/A</v>
      </c>
      <c r="BY119" s="140" t="e">
        <f ca="1">IF(AND($AJ119&gt;=30,$AJ119&lt;60),1,IF($BW119&gt;=Control!$C$89,0,$BU119))</f>
        <v>#N/A</v>
      </c>
      <c r="BZ119" s="404" t="e">
        <f ca="1">IF($BY119=0,0,IF($BW119&lt;=Control!$C$89,$BU119*(30+(60-30)*(BX119/Control!$C$89)),0))</f>
        <v>#N/A</v>
      </c>
      <c r="CA119" s="140" t="e">
        <f ca="1">IF($BG119+$BM119+$BS119+$BY119=1,0,IF(OR(AND($BB119&lt;65,$BB119&gt;=60),$BW119&gt;=Control!$C$89),1*$BA119,$CE118))</f>
        <v>#N/A</v>
      </c>
      <c r="CB119" s="140" t="e">
        <f ca="1">IF($BX119&lt;0,-$BX119,$CA119*IF(OR($G119&lt;Control!$C$92,$G119&gt;Control!$C$95),0,IF(AND($G119&gt;=Control!$C$92,$G119&lt;=Control!$C$93),$G119-Control!$C$92,IF(AND($G119&gt;Control!$C$93,$G119&lt;=Control!$C$94),Control!$C$93-Control!$C$92,IF(AND($G119&gt;Control!$C$94,$G119&lt;=Control!$C$95),(Control!$C$93-Control!$C$92)*(Control!$C$94-$G119)/(Control!$C$95-Control!$C$94))))))</f>
        <v>#N/A</v>
      </c>
      <c r="CC119" s="140" t="e">
        <f t="shared" ca="1" si="368"/>
        <v>#N/A</v>
      </c>
      <c r="CD119" s="140" t="e">
        <f ca="1">IF($CC119&lt;=Control!$C$90,$CC119,Control!$C$90-$CC119)</f>
        <v>#N/A</v>
      </c>
      <c r="CE119" s="140" t="e">
        <f ca="1">IF(AND($BB119&gt;=60,$BB119&lt;65),1,IF($CC119&gt;=Control!$C$90,0,$CA119))</f>
        <v>#N/A</v>
      </c>
      <c r="CF119" s="404" t="e">
        <f ca="1">IF($CE119=0,0,IF($CC119&lt;=Control!$C$90,$CA119*(60+(65-60)*(CD119/Control!$C$90)),0))</f>
        <v>#N/A</v>
      </c>
      <c r="CG119" s="140" t="e">
        <f ca="1">IF($BG119+$BM119+$BS119+$BY119+$CE119=1,0,IF(OR(AND($BB119&lt;90,$BB119&gt;=65),$CC119&gt;=Control!$C$90),$BA119,$CK118))</f>
        <v>#N/A</v>
      </c>
      <c r="CH119" s="140" t="e">
        <f ca="1">IF($CD119&lt;0,-$CD119,$CG119*IF(OR($G119&lt;Control!$C$92,$G119&gt;Control!$C$95),0,IF(AND($G119&gt;=Control!$C$92,$G119&lt;=Control!$C$93),$G119-Control!$C$92,IF(AND($G119&gt;Control!$C$93,$G119&lt;=Control!$C$94),Control!$C$93-Control!$C$92,IF(AND($G119&gt;Control!$C$94,$G119&lt;=Control!$C$95),(Control!$C$93-Control!$C$92)*(Control!$C$94-$G119)/(Control!$C$95-Control!$C$94))))))</f>
        <v>#N/A</v>
      </c>
      <c r="CI119" s="140" t="e">
        <f t="shared" ca="1" si="369"/>
        <v>#N/A</v>
      </c>
      <c r="CJ119" s="140" t="e">
        <f ca="1">IF($CI119&lt;=Control!$C$91,$CI119,Control!$C$91-$CI119)</f>
        <v>#N/A</v>
      </c>
      <c r="CK119" s="140" t="e">
        <f ca="1">IF(AND($BB119&gt;=65,$BB119&lt;90),1,IF($CI119&gt;=Control!$C$91,0,$CG119))</f>
        <v>#N/A</v>
      </c>
      <c r="CL119" s="404" t="e">
        <f ca="1">IF($CK119=0,0,IF($CI119&lt;=Control!$C$91,$CG119*(65+(90-65)*($CJ119/Control!$C$91)),0))</f>
        <v>#N/A</v>
      </c>
      <c r="CM119" s="140" t="e">
        <f ca="1">IF($BG119+$BM119+$BS119+$BY119+$CE119+$CK119=1,0,IF(OR($BB119&gt;=90,$CI119&gt;=Control!$C$91),$BA119,$CM118))</f>
        <v>#N/A</v>
      </c>
      <c r="CN119" s="140" t="e">
        <f t="shared" ca="1" si="370"/>
        <v>#N/A</v>
      </c>
      <c r="CO119" s="140" t="e">
        <f t="shared" ca="1" si="371"/>
        <v>#N/A</v>
      </c>
      <c r="CP119" s="140" t="e">
        <f t="shared" ca="1" si="372"/>
        <v>#N/A</v>
      </c>
      <c r="CQ119" s="141" t="e">
        <f ca="1">VLOOKUP($CP119,Control!$B$86:$G$91,6)</f>
        <v>#N/A</v>
      </c>
      <c r="CR119" s="141" t="e">
        <f ca="1">(1-$CQ119)*VLOOKUP($CP119,Control!$B$86:$D$91,3)</f>
        <v>#N/A</v>
      </c>
      <c r="CS119" s="141" t="e">
        <f ca="1">(1-$CQ119)*VLOOKUP($CP119,Control!$B$86:$E$91,4)</f>
        <v>#N/A</v>
      </c>
      <c r="CT119" s="141" t="e">
        <f ca="1">(1-$CQ119)*VLOOKUP($CP119,Control!$B$86:$F$91,5)</f>
        <v>#N/A</v>
      </c>
      <c r="CU119" s="141">
        <f t="shared" ca="1" si="373"/>
        <v>0</v>
      </c>
      <c r="CV119" s="583">
        <f t="shared" ca="1" si="374"/>
        <v>0</v>
      </c>
      <c r="CW119" s="142">
        <f t="shared" ca="1" si="375"/>
        <v>115</v>
      </c>
      <c r="CX119" s="612" t="e">
        <f ca="1">IF(Control!$C$114=1,(MIN(Control!$C$120*(IF($NT119-0.01&lt;0,0,1)),Control!$C$119-$CY119)))</f>
        <v>#DIV/0!</v>
      </c>
      <c r="CY119" s="143" t="e">
        <f t="shared" ca="1" si="376"/>
        <v>#N/A</v>
      </c>
      <c r="CZ119" s="144">
        <f t="shared" ca="1" si="253"/>
        <v>0</v>
      </c>
      <c r="DA119" s="144">
        <f t="shared" ca="1" si="254"/>
        <v>0</v>
      </c>
      <c r="DB119" s="144" t="e">
        <f t="shared" ca="1" si="255"/>
        <v>#N/A</v>
      </c>
      <c r="DC119" s="144" t="e">
        <f t="shared" ca="1" si="256"/>
        <v>#N/A</v>
      </c>
      <c r="DD119" s="144" t="e">
        <f t="shared" ca="1" si="461"/>
        <v>#N/A</v>
      </c>
      <c r="DE119" s="143" t="e">
        <f t="shared" ca="1" si="377"/>
        <v>#N/A</v>
      </c>
      <c r="DF119" s="145" t="e">
        <f ca="1">$DR119*EXP(-Control!$C$158*(1-$KH119))</f>
        <v>#N/A</v>
      </c>
      <c r="DG119" s="146" t="e">
        <f ca="1">IF(Control!$C$114=1, $DF119*$EY119, 0)</f>
        <v>#N/A</v>
      </c>
      <c r="DH119" s="147" t="e">
        <f t="shared" ca="1" si="378"/>
        <v>#N/A</v>
      </c>
      <c r="DI119" s="144" t="e">
        <f t="shared" ca="1" si="439"/>
        <v>#N/A</v>
      </c>
      <c r="DJ119" s="147" t="e">
        <f ca="1">$EF119*Control!$C$109</f>
        <v>#N/A</v>
      </c>
      <c r="DK119" s="144" t="e">
        <f t="shared" ca="1" si="379"/>
        <v>#N/A</v>
      </c>
      <c r="DL119" s="144" t="e">
        <f t="shared" ca="1" si="257"/>
        <v>#N/A</v>
      </c>
      <c r="DM119" s="144" t="e">
        <f ca="1">IF(Control!$C$114=1, (1-EXP(-Control!$C$96*$DK119))*$AR119, 0)</f>
        <v>#N/A</v>
      </c>
      <c r="DN119" s="144">
        <f t="shared" ca="1" si="380"/>
        <v>0</v>
      </c>
      <c r="DO119" s="148">
        <f>Control!$C$97</f>
        <v>4</v>
      </c>
      <c r="DP119" s="145" t="e">
        <f t="shared" ca="1" si="381"/>
        <v>#N/A</v>
      </c>
      <c r="DQ119" s="145" t="e">
        <f ca="1">IF(AND($CP119&gt;=0,$CP119&lt;=90),Control!$C$111,Control!$C$111)</f>
        <v>#N/A</v>
      </c>
      <c r="DR119" s="145" t="e">
        <f t="shared" ca="1" si="258"/>
        <v>#N/A</v>
      </c>
      <c r="DS119" s="143" t="e">
        <f ca="1">Control!$B$22/$DR119</f>
        <v>#N/A</v>
      </c>
      <c r="DT119" s="149" t="e">
        <f ca="1">IF(AND(Control!$C$114=1,$KH119&lt;1),$IM119*$DF119, 0)</f>
        <v>#N/A</v>
      </c>
      <c r="DU119" s="144" t="e">
        <f t="shared" ca="1" si="382"/>
        <v>#N/A</v>
      </c>
      <c r="DV119" s="144">
        <f ca="1">IF($G119-Control!$C$107&lt;=0, 0, 0.83*LN(MAX($G119, 3))-0.8924)</f>
        <v>0</v>
      </c>
      <c r="DW119" s="144" t="e">
        <f t="shared" ca="1" si="259"/>
        <v>#N/A</v>
      </c>
      <c r="DX119" s="150" t="e">
        <f ca="1">MAX(0.01*(1+$CU119/Control!$C$102),0.05*($DK119-Control!$C$97)/Control!$C$97)</f>
        <v>#N/A</v>
      </c>
      <c r="DY119" s="151" t="e">
        <f ca="1">IF(Control!$C$114=1, $DI119*$FS119, 0)</f>
        <v>#N/A</v>
      </c>
      <c r="DZ119" s="196" t="e">
        <f t="shared" ca="1" si="383"/>
        <v>#N/A</v>
      </c>
      <c r="EA119" s="152">
        <f t="shared" ca="1" si="384"/>
        <v>115</v>
      </c>
      <c r="EB119" s="153" t="e">
        <f t="shared" ca="1" si="385"/>
        <v>#N/A</v>
      </c>
      <c r="EC119" s="153" t="e">
        <f t="shared" ca="1" si="386"/>
        <v>#N/A</v>
      </c>
      <c r="ED119" s="154" t="e">
        <f ca="1">IF(Control!$C$114=1, $HM119*$FY119-$FD119, 0)</f>
        <v>#DIV/0!</v>
      </c>
      <c r="EE119" s="155" t="e">
        <f ca="1">IF(Control!$C$114=1, $HM119*$FZ119-$FF119, 0)</f>
        <v>#DIV/0!</v>
      </c>
      <c r="EF119" s="153" t="e">
        <f t="shared" ca="1" si="440"/>
        <v>#N/A</v>
      </c>
      <c r="EG119" s="155" t="e">
        <f ca="1">IF(Control!$C$114=1, $GX119*$FW119-$FI119, 0)</f>
        <v>#DIV/0!</v>
      </c>
      <c r="EH119" s="153" t="e">
        <f t="shared" ca="1" si="387"/>
        <v>#N/A</v>
      </c>
      <c r="EI119" s="156" t="e">
        <f t="shared" ca="1" si="388"/>
        <v>#N/A</v>
      </c>
      <c r="EJ119" s="155" t="e">
        <f ca="1">IF(Control!$C$114=1, $HM119*$GB119, 0)</f>
        <v>#DIV/0!</v>
      </c>
      <c r="EK119" s="153" t="e">
        <f t="shared" ca="1" si="441"/>
        <v>#N/A</v>
      </c>
      <c r="EL119" s="153" t="e">
        <f t="shared" ca="1" si="260"/>
        <v>#N/A</v>
      </c>
      <c r="EM119" s="153" t="e">
        <f t="shared" ca="1" si="261"/>
        <v>#N/A</v>
      </c>
      <c r="EN119" s="153" t="e">
        <f ca="1">IF(Control!$C$108=1,IF(AND(Control!$B$18=1,$EB119&gt;=Control!$B$19),$EB119-$DS119,IF(AND(Control!$B$18=2,$AW119=1,$EB119&gt;$DS119),$EB119-$DS119,0)))</f>
        <v>#N/A</v>
      </c>
      <c r="EO119" s="153" t="e">
        <f ca="1">IF(Control!$C$108=1,IF(AND(Control!$B$18=1,$EB119&gt;=Control!$B$19),$EF119,IF(AND(Control!$B$18=2,$AW119=1),$EF119,0)))</f>
        <v>#N/A</v>
      </c>
      <c r="EP119" s="153" t="e">
        <f ca="1">IF(Control!$C$108=1,IF(AND(Control!$B$18=1,$EB119&gt;=Control!$B$19),$EK119,IF(AND(Control!$B$18=2,$AW119=1),$EK119,0)))</f>
        <v>#N/A</v>
      </c>
      <c r="EQ119" s="153" t="e">
        <f t="shared" ca="1" si="389"/>
        <v>#N/A</v>
      </c>
      <c r="ER119" s="153" t="e">
        <f t="shared" ca="1" si="390"/>
        <v>#N/A</v>
      </c>
      <c r="ES119" s="153" t="e">
        <f t="shared" ca="1" si="442"/>
        <v>#N/A</v>
      </c>
      <c r="ET119" s="153" t="e">
        <f t="shared" ca="1" si="443"/>
        <v>#N/A</v>
      </c>
      <c r="EU119" s="153" t="e">
        <f t="shared" ca="1" si="391"/>
        <v>#N/A</v>
      </c>
      <c r="EV119" s="153" t="e">
        <f t="shared" ca="1" si="262"/>
        <v>#N/A</v>
      </c>
      <c r="EW119" s="153" t="e">
        <f t="shared" ca="1" si="263"/>
        <v>#N/A</v>
      </c>
      <c r="EX119" s="153" t="e">
        <f t="shared" ca="1" si="264"/>
        <v>#N/A</v>
      </c>
      <c r="EY119" s="157" t="e">
        <f t="shared" ca="1" si="265"/>
        <v>#DIV/0!</v>
      </c>
      <c r="EZ119" s="154" t="e">
        <f t="shared" ca="1" si="266"/>
        <v>#DIV/0!</v>
      </c>
      <c r="FA119" s="153" t="e">
        <f t="shared" ca="1" si="392"/>
        <v>#N/A</v>
      </c>
      <c r="FB119" s="153" t="e">
        <f t="shared" ca="1" si="267"/>
        <v>#N/A</v>
      </c>
      <c r="FC119" s="193" t="e">
        <f t="shared" ca="1" si="268"/>
        <v>#N/A</v>
      </c>
      <c r="FD119" s="158" t="e">
        <f t="shared" ca="1" si="393"/>
        <v>#N/A</v>
      </c>
      <c r="FE119" s="158" t="e">
        <f t="shared" ca="1" si="394"/>
        <v>#N/A</v>
      </c>
      <c r="FF119" s="159" t="e">
        <f t="shared" ca="1" si="269"/>
        <v>#N/A</v>
      </c>
      <c r="FG119" s="160" t="e">
        <f t="shared" ca="1" si="395"/>
        <v>#N/A</v>
      </c>
      <c r="FH119" s="158" t="e">
        <f t="shared" ca="1" si="396"/>
        <v>#N/A</v>
      </c>
      <c r="FI119" s="159" t="e">
        <f t="shared" ca="1" si="270"/>
        <v>#N/A</v>
      </c>
      <c r="FJ119" s="160" t="e">
        <f t="shared" ca="1" si="397"/>
        <v>#N/A</v>
      </c>
      <c r="FK119" s="160" t="e">
        <f t="shared" ca="1" si="271"/>
        <v>#N/A</v>
      </c>
      <c r="FL119" s="160" t="e">
        <f t="shared" ca="1" si="444"/>
        <v>#N/A</v>
      </c>
      <c r="FM119" s="160" t="e">
        <f t="shared" ca="1" si="272"/>
        <v>#N/A</v>
      </c>
      <c r="FN119" s="158">
        <f t="shared" ca="1" si="398"/>
        <v>0.01</v>
      </c>
      <c r="FO119" s="160">
        <f>Control!$C$101</f>
        <v>50</v>
      </c>
      <c r="FP119" s="150" t="e">
        <f t="shared" ca="1" si="273"/>
        <v>#N/A</v>
      </c>
      <c r="FQ119" s="150" t="e">
        <f ca="1">MAX(0,(Control!$C$112*(($DK119-Control!$C$97)/Control!$C$97)))</f>
        <v>#N/A</v>
      </c>
      <c r="FR119" s="150" t="e">
        <f ca="1">(1-$NT119)*Control!$C$113</f>
        <v>#DIV/0!</v>
      </c>
      <c r="FS119" s="198" t="e">
        <f t="shared" ca="1" si="274"/>
        <v>#N/A</v>
      </c>
      <c r="FT119" s="161">
        <f t="shared" ca="1" si="399"/>
        <v>115</v>
      </c>
      <c r="FU119" s="162" t="e">
        <f ca="1">IF(Control!$B$34=1,VLOOKUP($CP119,Control!$B$86:$G$91,6),Control!$B$35)</f>
        <v>#N/A</v>
      </c>
      <c r="FV119" s="162" t="e">
        <f t="shared" ca="1" si="275"/>
        <v>#DIV/0!</v>
      </c>
      <c r="FW119" s="162" t="e">
        <f ca="1">IF(Control!$B$31=1,$FU119*$FV119,  $FU119)</f>
        <v>#N/A</v>
      </c>
      <c r="FX119" s="162" t="e">
        <f ca="1">IF(Control!$B$34=1,VLOOKUP($CP119,Control!$B$86:$G$91,3),Control!$B$36)</f>
        <v>#N/A</v>
      </c>
      <c r="FY119" s="162" t="e">
        <f t="shared" ca="1" si="276"/>
        <v>#N/A</v>
      </c>
      <c r="FZ119" s="162" t="e">
        <f ca="1">IF(Control!$B$34=1,VLOOKUP($CP119,Control!$B$86:$G$91,4),Control!$B$37)</f>
        <v>#N/A</v>
      </c>
      <c r="GA119" s="162" t="e">
        <f t="shared" ca="1" si="277"/>
        <v>#N/A</v>
      </c>
      <c r="GB119" s="162" t="e">
        <f ca="1">IF(Control!$B$34=1,VLOOKUP($CP119,Control!$B$86:$G$91,5),Control!$B$38)</f>
        <v>#N/A</v>
      </c>
      <c r="GC119" s="162" t="e">
        <f t="shared" ca="1" si="400"/>
        <v>#N/A</v>
      </c>
      <c r="GD119" s="162">
        <f t="shared" ca="1" si="278"/>
        <v>1</v>
      </c>
      <c r="GE119" s="162">
        <f t="shared" ca="1" si="279"/>
        <v>1</v>
      </c>
      <c r="GF119" s="162">
        <f ca="1">IF(AND(Control!$C$104=1, Control!$C$62="F"),$GE119,1)</f>
        <v>1</v>
      </c>
      <c r="GG119" s="162" t="e">
        <f ca="1">IF(Control!$B$16=40,0,IF(AND(Control!$B$16&gt;40,Control!$B$16&lt;=360),(Control!$B$16-40)*((1-0)/(360-40)),IF(AND(Control!$B$16&gt;360,Control!$B$16&lt;=720),(1+(Control!$B$16-360)*((1.25-1)/(720-360))),IF(AND(Control!$B$16&gt;720,Control!$B$16&lt;=1000),(1.25+(Control!$B$16-720)*((1.35-1.25)/(1000-720))),IF(AND(Control!$B$16&gt;1000,Control!$B$16&lt;=2000),(1.35+(Control!$B$16-1000)*0))))))</f>
        <v>#N/A</v>
      </c>
      <c r="GH119" s="162" t="e">
        <f t="shared" ca="1" si="280"/>
        <v>#N/A</v>
      </c>
      <c r="GI119" s="162">
        <f t="shared" ca="1" si="401"/>
        <v>0</v>
      </c>
      <c r="GJ119" s="162">
        <f t="shared" ca="1" si="281"/>
        <v>0</v>
      </c>
      <c r="GK119" s="162">
        <f t="shared" ca="1" si="402"/>
        <v>1</v>
      </c>
      <c r="GL119" s="162">
        <f t="shared" ca="1" si="282"/>
        <v>1</v>
      </c>
      <c r="GM119" s="162" t="e">
        <f ca="1">MAX(0,MIN(1,1-Control!$C$156*(1.0001-$KH119)^2))</f>
        <v>#N/A</v>
      </c>
      <c r="GN119" s="162" t="e">
        <f ca="1">IF(Control!$B$26=1,$KU119,$KX119)</f>
        <v>#N/A</v>
      </c>
      <c r="GO119" s="162" t="e">
        <f ca="1">IF($CP119&lt;=60,Control!$C$105,IF($CP119&gt;=90,Control!$C$106,Control!$C$105+($CP119-60)*((Control!$C$106-Control!$C$105)/(90-60))))</f>
        <v>#N/A</v>
      </c>
      <c r="GP119" s="162" t="e">
        <f t="shared" ca="1" si="283"/>
        <v>#N/A</v>
      </c>
      <c r="GQ119" s="162" t="e">
        <f t="shared" ca="1" si="403"/>
        <v>#N/A</v>
      </c>
      <c r="GR119" s="163" t="e">
        <f t="shared" ca="1" si="284"/>
        <v>#DIV/0!</v>
      </c>
      <c r="GS119" s="162" t="e">
        <f t="shared" ca="1" si="285"/>
        <v>#DIV/0!</v>
      </c>
      <c r="GT119" s="164" t="e">
        <f t="shared" ca="1" si="404"/>
        <v>#N/A</v>
      </c>
      <c r="GU119" s="162" t="e">
        <f t="shared" ca="1" si="405"/>
        <v>#N/A</v>
      </c>
      <c r="GV119" s="162" t="e">
        <f t="shared" ca="1" si="286"/>
        <v>#N/A</v>
      </c>
      <c r="GW119" s="162" t="e">
        <f t="shared" ca="1" si="287"/>
        <v>#DIV/0!</v>
      </c>
      <c r="GX119" s="162" t="e">
        <f t="shared" ca="1" si="406"/>
        <v>#DIV/0!</v>
      </c>
      <c r="GY119" s="162" t="e">
        <f t="shared" ca="1" si="407"/>
        <v>#DIV/0!</v>
      </c>
      <c r="GZ119" s="165" t="e">
        <f t="shared" ca="1" si="288"/>
        <v>#N/A</v>
      </c>
      <c r="HA119" s="162" t="e">
        <f ca="1">IF(Control!$C$114=1, $DI119*$FS119, 0)</f>
        <v>#N/A</v>
      </c>
      <c r="HB119" s="162" t="e">
        <f ca="1">$FA119/Control!$C$64</f>
        <v>#N/A</v>
      </c>
      <c r="HC119" s="162" t="e">
        <f t="shared" ca="1" si="289"/>
        <v>#DIV/0!</v>
      </c>
      <c r="HD119" s="162">
        <f ca="1">-ASIN(SIN(23.45*Control!$C$139)*COS(2*Control!$C$138*($AH119+10)/365))</f>
        <v>0.22018838105986918</v>
      </c>
      <c r="HE119" s="165">
        <f t="shared" ca="1" si="408"/>
        <v>0</v>
      </c>
      <c r="HF119" s="166">
        <f ca="1">IF(AND(Control!$C$61="T",$HE119&gt;=Control!$C$103,Control!$C$114=0),$AH119,Control!$C$59)</f>
        <v>1</v>
      </c>
      <c r="HG119" s="166">
        <f ca="1">IF(AND(Control!$C$61="T",$HE119&gt;=Control!$C$103,Control!$C$114=0),$HF119,Control!$C$59)</f>
        <v>1</v>
      </c>
      <c r="HH119" s="165">
        <f ca="1">IF(AND(OR(Control!$C$60&lt;=0, $AH119= Control!$C$59, Control!$C$60 &gt;0, $AH119 = Control!$C$60)), Control!$C$59, IF(Control!$C$60&gt;0, 0))</f>
        <v>1</v>
      </c>
      <c r="HI119" s="165">
        <f ca="1">IF(AND(OR(Control!$C$60&lt;=0, $AH119= Control!$C$59, Control!$C$60 &gt;0, $AH119 = Control!$C$60)), Control!$C$60, IF(Control!$C$60&lt;=0, 0))</f>
        <v>0</v>
      </c>
      <c r="HJ119" s="166">
        <f ca="1">IF(AND(Control!$C$62="F",$CV119&gt;=Control!$C$102),$AH119,0)</f>
        <v>0</v>
      </c>
      <c r="HK119" s="165" t="e">
        <f t="shared" ca="1" si="445"/>
        <v>#N/A</v>
      </c>
      <c r="HL119" s="166">
        <f ca="1">IF(AND(Control!$C$61="T",$HE119&gt;=Control!$C$103,Control!$C$114=0),$HF119,0)</f>
        <v>0</v>
      </c>
      <c r="HM119" s="201" t="e">
        <f t="shared" ca="1" si="290"/>
        <v>#DIV/0!</v>
      </c>
      <c r="HN119" s="215">
        <f t="shared" ca="1" si="409"/>
        <v>115</v>
      </c>
      <c r="HO119" s="216" t="e">
        <f ca="1">IF(AND($CP119&gt;=0, $CP119&lt;=90), Control!$C$152, Control!$C$152)</f>
        <v>#N/A</v>
      </c>
      <c r="HP119" s="216" t="e">
        <f t="shared" ca="1" si="291"/>
        <v>#N/A</v>
      </c>
      <c r="HQ119" s="217" t="e">
        <f ca="1">IF(OR(Control!$B$26=1,Control!$B$26=2),$KV119,$KS119)</f>
        <v>#DIV/0!</v>
      </c>
      <c r="HR119" s="218" t="e">
        <f t="shared" ca="1" si="446"/>
        <v>#DIV/0!</v>
      </c>
      <c r="HS119" s="216" t="e">
        <f ca="1">Control!$C$154*$HP119</f>
        <v>#N/A</v>
      </c>
      <c r="HT119" s="216" t="e">
        <f ca="1">Control!$C$155*$HP119</f>
        <v>#N/A</v>
      </c>
      <c r="HU119" s="217" t="e">
        <f ca="1">Control!$C$161*$FI119</f>
        <v>#N/A</v>
      </c>
      <c r="HV119" s="218" t="e">
        <f t="shared" ca="1" si="410"/>
        <v>#N/A</v>
      </c>
      <c r="HW119" s="218" t="e">
        <f ca="1">Control!$C$160*$FF119+$IP119*$EO119</f>
        <v>#N/A</v>
      </c>
      <c r="HX119" s="218" t="e">
        <f t="shared" ca="1" si="447"/>
        <v>#N/A</v>
      </c>
      <c r="HY119" s="219" t="e">
        <f ca="1">IF(Control!$C$114=1, $EB119*$FS119, 0)</f>
        <v>#N/A</v>
      </c>
      <c r="HZ119" s="91" t="e">
        <f t="shared" ca="1" si="292"/>
        <v>#N/A</v>
      </c>
      <c r="IA119" s="220" t="e">
        <f ca="1">Control!$C$153*$HO119</f>
        <v>#N/A</v>
      </c>
      <c r="IB119" s="218" t="e">
        <f t="shared" ca="1" si="293"/>
        <v>#N/A</v>
      </c>
      <c r="IC119" s="220" t="e">
        <f ca="1">Control!$C$153*$HT119</f>
        <v>#N/A</v>
      </c>
      <c r="ID119" s="218" t="e">
        <f t="shared" ca="1" si="294"/>
        <v>#N/A</v>
      </c>
      <c r="IE119" s="221" t="e">
        <f ca="1">($EB119*Control!$C$159+$EF119*Control!$C$160)/(IF($GZ119&lt;&gt;0,$GZ119,1))</f>
        <v>#N/A</v>
      </c>
      <c r="IF119" s="216" t="e">
        <f t="shared" ca="1" si="295"/>
        <v>#N/A</v>
      </c>
      <c r="IG119" s="91">
        <f ca="1">IF(OR(Control!$B$198=$AH119,Control!$B$199=$AH119, Control!$B$200=$AH119, Control!$B$201=$AH119, Control!$B$202=$AH119, Control!$B$203=$AH119, Control!$B$204=$AH119, Control!$B$205=$AH119, Control!$B$206=$AH119, Control!$B$207=$AH119), 1, 0)</f>
        <v>0</v>
      </c>
      <c r="IH119" s="91">
        <f ca="1">IF($IG119=0,0, VLOOKUP($AH119,Control!$B$198:$C$207,2))</f>
        <v>0</v>
      </c>
      <c r="II119" s="222">
        <f t="shared" ca="1" si="411"/>
        <v>0</v>
      </c>
      <c r="IJ119" s="91">
        <f>Control!$C$121</f>
        <v>0.7</v>
      </c>
      <c r="IK119" s="218">
        <f t="shared" ca="1" si="296"/>
        <v>0</v>
      </c>
      <c r="IL119" s="217" t="e">
        <f t="shared" ca="1" si="448"/>
        <v>#N/A</v>
      </c>
      <c r="IM119" s="223" t="e">
        <f ca="1">IF(AND(Control!$C$114=1,$KH119&lt;1),$EB119*Control!$C$148*(1-$KH119), 0)</f>
        <v>#N/A</v>
      </c>
      <c r="IN119" s="217" t="e">
        <f t="shared" ca="1" si="297"/>
        <v>#DIV/0!</v>
      </c>
      <c r="IO119" s="91" t="e">
        <f ca="1">MAX(0,$IL119-$EF119*Control!$C$160)</f>
        <v>#N/A</v>
      </c>
      <c r="IP119" s="220" t="e">
        <f t="shared" ca="1" si="298"/>
        <v>#N/A</v>
      </c>
      <c r="IQ119" s="217" t="e">
        <f t="shared" ca="1" si="412"/>
        <v>#N/A</v>
      </c>
      <c r="IR119" s="218" t="e">
        <f t="shared" ca="1" si="299"/>
        <v>#N/A</v>
      </c>
      <c r="IS119" s="217" t="e">
        <f ca="1">Control!$C$159*MAX(0,$FD119-$EN119)</f>
        <v>#N/A</v>
      </c>
      <c r="IT119" s="217" t="e">
        <f t="shared" ca="1" si="449"/>
        <v>#N/A</v>
      </c>
      <c r="IU119" s="217" t="e">
        <f t="shared" ca="1" si="413"/>
        <v>#N/A</v>
      </c>
      <c r="IV119" s="217" t="e">
        <f t="shared" ca="1" si="450"/>
        <v>#N/A</v>
      </c>
      <c r="IW119" s="217" t="e">
        <f ca="1">IF(OR($AW119=1,AND($AW119=0, Control!$B$18=1,$EN119&lt;&gt;0)), $IQ119-$IU119, $IQ119)</f>
        <v>#N/A</v>
      </c>
      <c r="IX119" s="218" t="e">
        <f t="shared" ca="1" si="300"/>
        <v>#N/A</v>
      </c>
      <c r="IY119" s="218" t="e">
        <f ca="1">MAX(0,$IQ119-$EB119*Control!$C$159)</f>
        <v>#N/A</v>
      </c>
      <c r="IZ119" s="218" t="e">
        <f t="shared" ca="1" si="301"/>
        <v>#N/A</v>
      </c>
      <c r="JA119" s="216" t="e">
        <f t="shared" ca="1" si="302"/>
        <v>#N/A</v>
      </c>
      <c r="JB119" s="217" t="e">
        <f t="shared" ca="1" si="303"/>
        <v>#N/A</v>
      </c>
      <c r="JC119" s="222" t="e">
        <f ca="1">MAX(Control!$C$157*$EK119-$JT119, 0)/Control!$C$162</f>
        <v>#N/A</v>
      </c>
      <c r="JD119" s="218" t="e">
        <f t="shared" ca="1" si="304"/>
        <v>#N/A</v>
      </c>
      <c r="JE119" s="218" t="e">
        <f t="shared" ca="1" si="305"/>
        <v>#N/A</v>
      </c>
      <c r="JF119" s="218" t="e">
        <f t="shared" ca="1" si="414"/>
        <v>#N/A</v>
      </c>
      <c r="JG119" s="218" t="e">
        <f t="shared" ca="1" si="306"/>
        <v>#N/A</v>
      </c>
      <c r="JH119" s="217" t="e">
        <f t="shared" ca="1" si="415"/>
        <v>#N/A</v>
      </c>
      <c r="JI119" s="217" t="e">
        <f t="shared" ca="1" si="416"/>
        <v>#N/A</v>
      </c>
      <c r="JJ119" s="217" t="e">
        <f t="shared" ca="1" si="451"/>
        <v>#N/A</v>
      </c>
      <c r="JK119" s="217" t="e">
        <f ca="1">IF(Control!$C$114=1,IF(Control!$B$24=0,MAX(0,$JI119)*$GN119/Control!$C$64,(MAX(0,MIN($JI119,$JJ119*$GN119/Control!$C$64),0))))</f>
        <v>#N/A</v>
      </c>
      <c r="JL119" s="217" t="e">
        <f ca="1">$IK119/Control!$C$64-$JK119+$HQ119</f>
        <v>#N/A</v>
      </c>
      <c r="JM119" s="217" t="e">
        <f ca="1">IF(Control!$C$114=1,($JB119/(IF($JI119&lt;&gt;0,$JI119,1)))*$JK119,0)</f>
        <v>#N/A</v>
      </c>
      <c r="JN119" s="217" t="e">
        <f ca="1">IF(Control!$C$114=1,($JG119/(IF($JI119&lt;&gt;0,$JI119,1)))*$JK119, 0)</f>
        <v>#N/A</v>
      </c>
      <c r="JO119" s="218" t="e">
        <f t="shared" ca="1" si="307"/>
        <v>#N/A</v>
      </c>
      <c r="JP119" s="218" t="e">
        <f ca="1">MIN(($IY119+$IO119)*Control!$C$151, $JF119-$EH119*Control!$C$161)</f>
        <v>#N/A</v>
      </c>
      <c r="JQ119" s="218" t="e">
        <f t="shared" ca="1" si="308"/>
        <v>#N/A</v>
      </c>
      <c r="JR119" s="217" t="e">
        <f ca="1">IF($CP119-Control!$C$150&lt;0, 0, $JQ119/Control!$C$162)</f>
        <v>#N/A</v>
      </c>
      <c r="JS119" s="218" t="e">
        <f t="shared" ca="1" si="309"/>
        <v>#N/A</v>
      </c>
      <c r="JT119" s="218" t="e">
        <f t="shared" ca="1" si="417"/>
        <v>#N/A</v>
      </c>
      <c r="JU119" s="218" t="e">
        <f t="shared" ca="1" si="310"/>
        <v>#N/A</v>
      </c>
      <c r="JV119" s="218" t="e">
        <f t="shared" ca="1" si="311"/>
        <v>#N/A</v>
      </c>
      <c r="JW119" s="216" t="e">
        <f t="shared" ca="1" si="312"/>
        <v>#N/A</v>
      </c>
      <c r="JX119" s="91" t="e">
        <f t="shared" ca="1" si="313"/>
        <v>#N/A</v>
      </c>
      <c r="JY119" s="218" t="e">
        <f t="shared" ca="1" si="314"/>
        <v>#N/A</v>
      </c>
      <c r="JZ119" s="217" t="e">
        <f ca="1">IF(Control!$C$114=1,($IZ119/(IF($JI119&lt;&gt;0,$JI119,1)))*$JK119, 0)</f>
        <v>#N/A</v>
      </c>
      <c r="KA119" s="218" t="e">
        <f t="shared" ca="1" si="452"/>
        <v>#N/A</v>
      </c>
      <c r="KB119" s="218" t="e">
        <f t="shared" ca="1" si="418"/>
        <v>#N/A</v>
      </c>
      <c r="KC119" s="218" t="e">
        <f t="shared" ca="1" si="315"/>
        <v>#N/A</v>
      </c>
      <c r="KD119" s="218" t="e">
        <f t="shared" ca="1" si="316"/>
        <v>#N/A</v>
      </c>
      <c r="KE119" s="218" t="e">
        <f t="shared" ca="1" si="317"/>
        <v>#N/A</v>
      </c>
      <c r="KF119" s="218" t="e">
        <f t="shared" ca="1" si="318"/>
        <v>#N/A</v>
      </c>
      <c r="KG119" s="216" t="e">
        <f t="shared" ca="1" si="319"/>
        <v>#N/A</v>
      </c>
      <c r="KH119" s="221" t="e">
        <f ca="1">IF(Control!$B$24=0,1,MAX(0.001,MIN(1,IF(($IF119-$IE119)&lt;&gt;0,($KG119-$IE119)/($IF119-$IE119),1))))</f>
        <v>#N/A</v>
      </c>
      <c r="KI119" s="222" t="e">
        <f ca="1">IF(Control!$C$114=1, $KI118+ $KH118, 0)</f>
        <v>#N/A</v>
      </c>
      <c r="KJ119" s="217" t="e">
        <f t="shared" ca="1" si="320"/>
        <v>#N/A</v>
      </c>
      <c r="KK119" s="218" t="e">
        <f t="shared" ca="1" si="321"/>
        <v>#N/A</v>
      </c>
      <c r="KL119" s="274" t="e">
        <f ca="1">IF(Control!$B$26=3,4000000000*EXP(-8400/($G119+273)),IF(Control!$B$26=4,4000000000*EXP(-8400/($G119+273))*($KT119),0))</f>
        <v>#DIV/0!</v>
      </c>
      <c r="KM119" s="274" t="e">
        <f ca="1">IF(Control!$B$26=3,5600000000000*EXP(-9800/($G119+273)),IF(Control!$B$26=4,5600000000000*EXP(-9800/($G119+273))*$KT119,0))</f>
        <v>#DIV/0!</v>
      </c>
      <c r="KN119" s="454" t="e">
        <f t="shared" ca="1" si="419"/>
        <v>#DIV/0!</v>
      </c>
      <c r="KO119" s="274" t="e">
        <f t="shared" ca="1" si="420"/>
        <v>#DIV/0!</v>
      </c>
      <c r="KP119" s="454" t="e">
        <f t="shared" ca="1" si="322"/>
        <v>#DIV/0!</v>
      </c>
      <c r="KQ119" s="454" t="e">
        <f t="shared" ca="1" si="323"/>
        <v>#DIV/0!</v>
      </c>
      <c r="KR119" s="454" t="e">
        <f t="shared" ca="1" si="324"/>
        <v>#DIV/0!</v>
      </c>
      <c r="KS119" s="454" t="e">
        <f t="shared" ca="1" si="325"/>
        <v>#DIV/0!</v>
      </c>
      <c r="KT119" s="455" t="e">
        <f t="shared" ca="1" si="326"/>
        <v>#DIV/0!</v>
      </c>
      <c r="KU119" s="456" t="e">
        <f ca="1">IF($CP119-Control!$C$149&lt;0, IF($NT119-0.01&lt;0,0,1),0)</f>
        <v>#N/A</v>
      </c>
      <c r="KV119" s="456" t="e">
        <f ca="1">IF(Control!$C$114=1,MAX(0,MIN(Control!$C$125*$KW119*$GN119,$KW119)))</f>
        <v>#DIV/0!</v>
      </c>
      <c r="KW119" s="456" t="e">
        <f t="shared" ca="1" si="453"/>
        <v>#DIV/0!</v>
      </c>
      <c r="KX119" s="457" t="e">
        <f ca="1">IF($CP119-Control!$C$149&lt;0, IF($MR119-$OM119&lt;0,0,1),0)</f>
        <v>#N/A</v>
      </c>
      <c r="KY119" s="167">
        <f t="shared" ca="1" si="421"/>
        <v>115</v>
      </c>
      <c r="KZ119" s="168">
        <f ca="1">1370*(1+0.033*COS(2*Control!$C$138*$AH119/365))</f>
        <v>1352.0268973270925</v>
      </c>
      <c r="LA119" s="169">
        <f t="shared" ca="1" si="422"/>
        <v>0.98688108712867562</v>
      </c>
      <c r="LB119" s="169">
        <f t="shared" ca="1" si="423"/>
        <v>0.22742716346871902</v>
      </c>
      <c r="LC119" s="169">
        <f ca="1">ACOS(-TAN((2*Control!$B$8/360))*TAN(Calculations!$LB119))</f>
        <v>1.6396327253460354</v>
      </c>
      <c r="LD119" s="169">
        <f ca="1">((24*60)/PI())*0.082*$LA119*(($LC119*SIN(Control!$B$8*2*PI()/360))*SIN($LB119)+COS(Control!$B$8*2*PI()/360)*COS($LB119)*SIN($LC119))</f>
        <v>33.00188090475843</v>
      </c>
      <c r="LE119" s="170">
        <f t="shared" ca="1" si="327"/>
        <v>33.291846483420038</v>
      </c>
      <c r="LF119" s="170">
        <f ca="1">SIN(Control!$C$139*Control!$B$8)*SIN($HD119)</f>
        <v>0.17211244043968091</v>
      </c>
      <c r="LG119" s="170">
        <f ca="1">COS(Control!$C$139*Control!$B$8)*COS($HD119)</f>
        <v>0.60079551069981507</v>
      </c>
      <c r="LH119" s="170">
        <f ca="1">12*(1+2*ASIN(MAX(-1,MIN(1,$LF119/$LG119))/Control!$C$138))</f>
        <v>14.191541254462543</v>
      </c>
      <c r="LI119" s="170">
        <f ca="1">12*(1+2*ASIN(MAX(-1,MIN(1,(-SIN(-4*Control!$C$139)+$LF119)/$LG119))/Control!$C$138))</f>
        <v>15.083967922345035</v>
      </c>
      <c r="LJ119" s="168">
        <f ca="1">3600*($LH119*$LF119+24*$LG119*SQRT(1-$LK119*$LK119)/Control!$C$138)</f>
        <v>24623.656932592687</v>
      </c>
      <c r="LK119" s="170">
        <f t="shared" ca="1" si="328"/>
        <v>0.28647424518735487</v>
      </c>
      <c r="LL119" s="170">
        <f t="shared" ca="1" si="329"/>
        <v>0</v>
      </c>
      <c r="LM119" s="171">
        <f ca="1">Control!$C$145*$AB119</f>
        <v>6.6660906138995932E-2</v>
      </c>
      <c r="LN119" s="170">
        <f t="shared" ca="1" si="424"/>
        <v>0.54</v>
      </c>
      <c r="LO119" s="170">
        <f t="shared" ca="1" si="330"/>
        <v>0</v>
      </c>
      <c r="LP119" s="170">
        <f ca="1">Control!$C$140*((($D119+273.16)^4+($E119+273.16)^4)/2)*(0.34-0.14*SQRT($Y119))*(1.35*$AQ119/(0.75*$LD119)-0.35)</f>
        <v>-3.2464704755046001</v>
      </c>
      <c r="LQ119" s="170">
        <f ca="1">Control!$C$140*($G119+273)^4*(0.56-0.079*SQRT($Y119*10))*(0.1+0.9*$LO119)</f>
        <v>1.5241745131704001</v>
      </c>
      <c r="LR119" s="170">
        <f ca="1">$AQ119*(1-Control!$C$142)-$LQ119</f>
        <v>-1.5241745131704001</v>
      </c>
      <c r="LS119" s="170">
        <f ca="1">$AQ119*(1-Control!$C$143)-$LQ119</f>
        <v>-1.5241745131704001</v>
      </c>
      <c r="LT119" s="170">
        <f ca="1">$AQ119*(1-Control!$C$144)-$LQ119</f>
        <v>-1.5241745131704001</v>
      </c>
      <c r="LU119" s="169">
        <f ca="1">(1-Control!$C$144)*AQ119-LP119</f>
        <v>3.2464704755046001</v>
      </c>
      <c r="LV119" s="172">
        <f t="shared" ca="1" si="331"/>
        <v>0.79430000000000012</v>
      </c>
      <c r="LW119" s="170">
        <f t="shared" ca="1" si="332"/>
        <v>1.5886000000000002</v>
      </c>
      <c r="LX119" s="170">
        <f ca="1">($AC119*($LR119/Control!$C$141)+$LM119*$LV119)/($AC119+$LM119)</f>
        <v>0.23530094218323697</v>
      </c>
      <c r="LY119" s="170">
        <f ca="1">($AC119*($LS119/Control!$C$141)+$LM119*$LV119)/($AC119+$LM119)</f>
        <v>0.23530094218323697</v>
      </c>
      <c r="LZ119" s="170">
        <f t="shared" ca="1" si="333"/>
        <v>0.23530094218323697</v>
      </c>
      <c r="MA119" s="170">
        <f t="shared" ca="1" si="334"/>
        <v>0.23530094218323697</v>
      </c>
      <c r="MB119" s="170" t="e">
        <f t="shared" ca="1" si="335"/>
        <v>#N/A</v>
      </c>
      <c r="MC119" s="170">
        <f t="shared" ca="1" si="425"/>
        <v>0.6018</v>
      </c>
      <c r="MD119" s="170">
        <f t="shared" ca="1" si="336"/>
        <v>0.52989392535414004</v>
      </c>
      <c r="ME119" s="170">
        <f ca="1">($AC119*($LT119/Control!$C$141)+$LM119*$LW119)/($AC119+$LM119)</f>
        <v>0.71612369323045078</v>
      </c>
      <c r="MF119" s="170" t="e">
        <f ca="1">IF(Control!$B$16&gt;=1000,0.92,IF(AND(720&lt;=Control!$B$16,1000&gt;Control!$B$16),(0.95+(Control!$B$16-720)*((0.92-0.95)/(1000-720))),IF(AND(360&lt;=Control!$B$16,720&gt;Control!$B$16),(1+(Control!$B$16-360)*((0.95-1)/(720-360))),IF(AND(40&lt;=Control!$B$16,360&gt;Control!$B$16),(1.05+(Control!$B$16-40)*((1.05-1)/(360-40)))))))</f>
        <v>#N/A</v>
      </c>
      <c r="MG119" s="170">
        <f t="shared" ca="1" si="337"/>
        <v>0.71612369323045078</v>
      </c>
      <c r="MH119" s="170" t="e">
        <f t="shared" ca="1" si="463"/>
        <v>#N/A</v>
      </c>
      <c r="MI119" s="170" t="e">
        <f t="shared" ca="1" si="463"/>
        <v>#N/A</v>
      </c>
      <c r="MJ119" s="170" t="e">
        <f ca="1">MAX(0.0001, Control!$C$132*$MI119*$DL119)</f>
        <v>#N/A</v>
      </c>
      <c r="MK119" s="170">
        <f ca="1">1/(0.76+1.5*($MG119/10))-(5-Control!$C$110)*0.1</f>
        <v>1.002845988140797</v>
      </c>
      <c r="ML119" s="173">
        <f ca="1">IF(Control!$C$110&lt;3,$MK119+($MG119-0.6)/(Control!$C$110*(Control!$C$110+3)), MAX(0.1, MIN(0.95,$MK119)))</f>
        <v>0.95</v>
      </c>
      <c r="MM119" s="173">
        <f ca="1">IF(Control!$C$110&lt;3,$MK119+(($MI119/10)-0.6)/(Control!$C$110*(Control!$C$110+3)), MAX(0.1, MIN(0.95,$MK119)))</f>
        <v>0.95</v>
      </c>
      <c r="MN119" s="173">
        <f ca="1">(1-$MM119)*(Control!$C$128-Control!$C$127)+Control!$C$127</f>
        <v>0.16</v>
      </c>
      <c r="MO119" s="170" t="e">
        <f ca="1">MAX(0,MIN(1,($MS119-Control!$C$127)/($MN119-Control!$C$127)))</f>
        <v>#DIV/0!</v>
      </c>
      <c r="MP119" s="173" t="e">
        <f ca="1">1/(0.76+1.5*$MI119)-(5-Control!$C$110)*0.1</f>
        <v>#N/A</v>
      </c>
      <c r="MQ119" s="172" t="e">
        <f t="shared" ca="1" si="454"/>
        <v>#DIV/0!</v>
      </c>
      <c r="MR119" s="168" t="e">
        <f t="shared" ca="1" si="426"/>
        <v>#DIV/0!</v>
      </c>
      <c r="MS119" s="173" t="e">
        <f ca="1">MAX(Control!$C$127, MIN(Control!$C$135, $MR119/MAX(0.0001,$CY119)))</f>
        <v>#DIV/0!</v>
      </c>
      <c r="MT119" s="168" t="e">
        <f ca="1">(Control!$C$128-$MS119)*Control!$C$74</f>
        <v>#DIV/0!</v>
      </c>
      <c r="MU119" s="168" t="e">
        <f ca="1">(Control!$C$135-$MS119)*Control!$C$74</f>
        <v>#DIV/0!</v>
      </c>
      <c r="MV119" s="168" t="e">
        <f t="shared" ca="1" si="427"/>
        <v>#DIV/0!</v>
      </c>
      <c r="MW119" s="168" t="e">
        <f t="shared" ca="1" si="428"/>
        <v>#DIV/0!</v>
      </c>
      <c r="MX119" s="171" t="e">
        <f ca="1">MAX(Control!$C$127, MIN(Control!$C$135, $MW119/MAX(0.0001,Control!$C$119-$CY119)))</f>
        <v>#DIV/0!</v>
      </c>
      <c r="MY119" s="54" t="e">
        <f ca="1">IF(Control!$C$114=1, $CX119*$MX119, 0)</f>
        <v>#DIV/0!</v>
      </c>
      <c r="MZ119" s="54" t="e">
        <f t="shared" ca="1" si="429"/>
        <v>#N/A</v>
      </c>
      <c r="NA119" s="168" t="e">
        <f ca="1">(Control!$C$128-$MX119)*(Control!$C$119-Control!$C$74)</f>
        <v>#DIV/0!</v>
      </c>
      <c r="NB119" s="168" t="e">
        <f ca="1">(Control!$C$135-$MX119)*(Control!$C$119-Control!$C$74)</f>
        <v>#DIV/0!</v>
      </c>
      <c r="NC119" s="174" t="e">
        <f t="shared" ca="1" si="430"/>
        <v>#DIV/0!</v>
      </c>
      <c r="ND119" s="54">
        <f ca="1">IF(Control!$C$58=2, IF(OR(Control!$B$218=$AH119,Control!$B$219=$AH119, Control!$B$220=$AH119, Control!$B$221=$AH119, Control!$B$222=$AH119, Control!$B$223=$AH119, Control!$B$224=$AH119, Control!$B$225=$AH119, Control!$B$226=$AH119, Control!$B$227=$AH119, Control!$B$228=$AH119), 1, 0), 0)</f>
        <v>0</v>
      </c>
      <c r="NE119" s="54">
        <f ca="1">IF($ND119=0,0, VLOOKUP($AH119,Control!$B$218:$C$228,2))</f>
        <v>0</v>
      </c>
      <c r="NF119" s="168" t="e">
        <f ca="1">$CY119*(Control!$C$128-Control!$C$127)</f>
        <v>#N/A</v>
      </c>
      <c r="NG119" s="54" t="e">
        <f ca="1">IF(Control!$C$58=2, $NI118-$NJ118, 0)</f>
        <v>#DIV/0!</v>
      </c>
      <c r="NH119" s="54" t="e">
        <f ca="1">IF(AND(Control!$C$58=1, $MS118&lt;= ($MN118+0.02), $I118&lt;10), 0, IF(Control!$C$58=2, $NG118, 0))</f>
        <v>#DIV/0!</v>
      </c>
      <c r="NI119" s="54" t="e">
        <f ca="1">IF(Control!$C$58=2, $NE119+$NH119,0)</f>
        <v>#DIV/0!</v>
      </c>
      <c r="NJ119" s="54" t="e">
        <f ca="1">IF(AND(Control!$C$58=1, $MS119&lt;= ($MN119+0.02), $I119&lt;10), MAX(0, MIN(10, 0.7*($NF119-$MV119))), IF(Control!$C$58=2, MIN(10,$NI119),0))</f>
        <v>#DIV/0!</v>
      </c>
      <c r="NK119" s="54" t="e">
        <f t="shared" ca="1" si="338"/>
        <v>#DIV/0!</v>
      </c>
      <c r="NL119" s="173" t="e">
        <f ca="1">(1-Control!$C$73)*$I119+$NJ119</f>
        <v>#DIV/0!</v>
      </c>
      <c r="NM119" s="172" t="e">
        <f ca="1">IF($NL119&lt;0.5, $MB119* MAX(0, MIN(1, (SQRT($NC119)-SQRT($NC119-1))*Control!$C$71)),0)</f>
        <v>#DIV/0!</v>
      </c>
      <c r="NN119" s="170" t="e">
        <f ca="1">IF($NL119&gt;=5, $MB119, MAX(0,MIN($MB119, $NM119+$NL119,($MS119-Control!$C$129))))</f>
        <v>#DIV/0!</v>
      </c>
      <c r="NO119" s="54">
        <f>IF(Control!$C$133&lt;&gt;1, Control!$C$135-Control!$C$131, 0)</f>
        <v>0.38</v>
      </c>
      <c r="NP119" s="54" t="e">
        <f t="shared" ca="1" si="339"/>
        <v>#DIV/0!</v>
      </c>
      <c r="NQ119" s="173" t="e">
        <f ca="1">MAX(0,MIN(1,(Control!$C$135-$MS119)/(Control!$C$135-$NO119)))</f>
        <v>#DIV/0!</v>
      </c>
      <c r="NR119" s="170" t="e">
        <f ca="1">IF(Control!$C$133&lt;&gt;1, $NQ119+((1-$NP119/4)*(1-$NQ119)),1)</f>
        <v>#DIV/0!</v>
      </c>
      <c r="NS119" s="170" t="e">
        <f ca="1">IF(Control!$B$31=0,$MJ119,MAX(0,MIN($MV119,$MO119*$NR119*$MJ119)))</f>
        <v>#DIV/0!</v>
      </c>
      <c r="NT119" s="170" t="e">
        <f t="shared" ca="1" si="455"/>
        <v>#DIV/0!</v>
      </c>
      <c r="NU119" s="170" t="e">
        <f t="shared" ca="1" si="431"/>
        <v>#N/A</v>
      </c>
      <c r="NV119" s="170" t="e">
        <f t="shared" ca="1" si="340"/>
        <v>#N/A</v>
      </c>
      <c r="NW119" s="175" t="e">
        <f t="shared" ca="1" si="341"/>
        <v>#DIV/0!</v>
      </c>
      <c r="NX119" s="170" t="e">
        <f ca="1">MIN(Control!$C$72+$MU119, $NW119)</f>
        <v>#DIV/0!</v>
      </c>
      <c r="NY119" s="170" t="e">
        <f ca="1">IF($MT119&lt;=$NX119,MIN(Control!$C$72+$NB119,$NX119-$MT119),0)</f>
        <v>#DIV/0!</v>
      </c>
      <c r="NZ119" s="54" t="e">
        <f ca="1">IF(Control!$C$114=1,  $CX119*($MX119-Control!$C$127), 0)</f>
        <v>#DIV/0!</v>
      </c>
      <c r="OA119" s="170" t="e">
        <f t="shared" ca="1" si="342"/>
        <v>#DIV/0!</v>
      </c>
      <c r="OB119" s="170" t="e">
        <f ca="1">IF($NA119 &lt;=$NY119, MIN(Control!$C$72, $NY119-$NA119), 0)</f>
        <v>#DIV/0!</v>
      </c>
      <c r="OC119" s="168" t="e">
        <f t="shared" ca="1" si="343"/>
        <v>#DIV/0!</v>
      </c>
      <c r="OD119" s="168" t="e">
        <f t="shared" ca="1" si="432"/>
        <v>#DIV/0!</v>
      </c>
      <c r="OE119" s="170">
        <f ca="1">Control!$C$73*$I119</f>
        <v>0</v>
      </c>
      <c r="OF119" s="176" t="e">
        <f t="shared" ca="1" si="344"/>
        <v>#DIV/0!</v>
      </c>
      <c r="OG119" s="168" t="e">
        <f t="shared" ca="1" si="345"/>
        <v>#DIV/0!</v>
      </c>
      <c r="OH119" s="168" t="e">
        <f t="shared" ca="1" si="346"/>
        <v>#DIV/0!</v>
      </c>
      <c r="OI119" s="168" t="e">
        <f t="shared" ca="1" si="347"/>
        <v>#DIV/0!</v>
      </c>
      <c r="OJ119" s="168" t="e">
        <f t="shared" ca="1" si="348"/>
        <v>#DIV/0!</v>
      </c>
      <c r="OK119" s="204" t="e">
        <f t="shared" ca="1" si="349"/>
        <v>#DIV/0!</v>
      </c>
      <c r="OL119" s="177">
        <f>Control!$C$127</f>
        <v>0.15</v>
      </c>
      <c r="OM119" s="182" t="e">
        <f t="shared" ca="1" si="350"/>
        <v>#N/A</v>
      </c>
      <c r="ON119" s="177">
        <f>Control!$C$128</f>
        <v>0.35</v>
      </c>
      <c r="OO119" s="182" t="e">
        <f t="shared" ca="1" si="351"/>
        <v>#N/A</v>
      </c>
      <c r="OP119" s="138">
        <f t="shared" ca="1" si="433"/>
        <v>0</v>
      </c>
      <c r="OQ119" s="138" t="e">
        <f t="shared" ca="1" si="456"/>
        <v>#DIV/0!</v>
      </c>
      <c r="OR119" s="138" t="e">
        <f t="shared" ca="1" si="434"/>
        <v>#DIV/0!</v>
      </c>
      <c r="OS119" s="137" t="e">
        <f t="shared" ca="1" si="457"/>
        <v>#DIV/0!</v>
      </c>
      <c r="OT119" s="139" t="e">
        <f t="shared" ca="1" si="458"/>
        <v>#DIV/0!</v>
      </c>
      <c r="OU119" s="138" t="e">
        <f t="shared" ca="1" si="459"/>
        <v>#N/A</v>
      </c>
      <c r="OV119" s="138" t="e">
        <f t="shared" ca="1" si="460"/>
        <v>#DIV/0!</v>
      </c>
      <c r="OW119" s="138" t="e">
        <f t="shared" ca="1" si="435"/>
        <v>#DIV/0!</v>
      </c>
      <c r="OX119" s="138" t="e">
        <f t="shared" ca="1" si="436"/>
        <v>#DIV/0!</v>
      </c>
      <c r="OY119" s="138" t="e">
        <f t="shared" ca="1" si="437"/>
        <v>#DIV/0!</v>
      </c>
      <c r="OZ119" s="138" t="e">
        <f t="shared" ca="1" si="352"/>
        <v>#DIV/0!</v>
      </c>
      <c r="PA119" s="138" t="e">
        <f t="shared" ca="1" si="353"/>
        <v>#DIV/0!</v>
      </c>
      <c r="PB119" s="55">
        <f>IF(Control!$C$61="T", IF(Control!$C$65="F", IF($AH$6-Control!$C$60&lt;0,0,1), IF(365+$AH$6-Control!$C$60&lt;0,0,1)),0)</f>
        <v>0</v>
      </c>
      <c r="PC119" s="55">
        <f ca="1">IF(Control!$C$65="F", IF($AH$6-$HF119&lt;0,0,1), IF(365+$AH$6-$HF119&lt;0,0,1))</f>
        <v>1</v>
      </c>
      <c r="PD119" s="444">
        <f>Control!$C$118</f>
        <v>1500</v>
      </c>
      <c r="PE119" s="180" t="e">
        <f t="shared" ca="1" si="354"/>
        <v>#N/A</v>
      </c>
      <c r="PF119" s="445">
        <f t="shared" ca="1" si="438"/>
        <v>0.71612369323045078</v>
      </c>
      <c r="PT119" s="186"/>
      <c r="PU119" s="186"/>
      <c r="PV119" s="94"/>
      <c r="PW119" s="94"/>
      <c r="PX119" s="94"/>
      <c r="PY119" s="94"/>
      <c r="PZ119" s="94"/>
      <c r="QA119" s="94"/>
      <c r="QB119" s="94"/>
      <c r="QC119" s="94"/>
      <c r="QD119" s="94"/>
      <c r="QE119" s="94"/>
      <c r="QF119" s="94"/>
      <c r="QG119" s="94"/>
      <c r="QH119" s="94"/>
      <c r="QI119" s="94"/>
      <c r="QJ119" s="94"/>
      <c r="QK119" s="94"/>
      <c r="QL119" s="94"/>
      <c r="QM119" s="94"/>
      <c r="QN119" s="94"/>
      <c r="QO119" s="94"/>
      <c r="QP119" s="94"/>
    </row>
    <row r="120" spans="1:458" s="2" customFormat="1" x14ac:dyDescent="0.2">
      <c r="A120" s="395">
        <v>25</v>
      </c>
      <c r="B120" s="396">
        <v>4</v>
      </c>
      <c r="C120" s="387">
        <f ca="1">Weather_data!$B119</f>
        <v>0</v>
      </c>
      <c r="D120" s="388">
        <f ca="1">Weather_data!$F119</f>
        <v>0</v>
      </c>
      <c r="E120" s="388">
        <f ca="1">Weather_data!$E119</f>
        <v>0</v>
      </c>
      <c r="F120" s="388">
        <f t="shared" ca="1" si="355"/>
        <v>0</v>
      </c>
      <c r="G120" s="388">
        <f ca="1">AVERAGE($D120:$E120)+Control!$B$9</f>
        <v>0</v>
      </c>
      <c r="H120" s="388">
        <f ca="1">Weather_data!$G119</f>
        <v>0</v>
      </c>
      <c r="I120" s="388">
        <f ca="1">Weather_data!$I119</f>
        <v>0</v>
      </c>
      <c r="J120" s="388">
        <f ca="1">Weather_data!$H119</f>
        <v>0</v>
      </c>
      <c r="K120" s="389">
        <f ca="1">Weather_data!$D119</f>
        <v>0</v>
      </c>
      <c r="L120" s="388" t="e">
        <f t="shared" ca="1" si="356"/>
        <v>#N/A</v>
      </c>
      <c r="M120" s="388" t="e">
        <f t="shared" ca="1" si="234"/>
        <v>#N/A</v>
      </c>
      <c r="N120" s="388">
        <f t="shared" ca="1" si="235"/>
        <v>-3.0381980483238526E-6</v>
      </c>
      <c r="O120" s="388">
        <f t="shared" ca="1" si="357"/>
        <v>3.0381980483238527E-5</v>
      </c>
      <c r="P120" s="390">
        <v>3</v>
      </c>
      <c r="Q120" s="388">
        <f ca="1">MAX($G120-Control!$C$107,0)</f>
        <v>0</v>
      </c>
      <c r="R120" s="388">
        <f t="shared" ca="1" si="358"/>
        <v>0</v>
      </c>
      <c r="S120" s="388">
        <f t="shared" ca="1" si="236"/>
        <v>0</v>
      </c>
      <c r="T120" s="388">
        <f t="shared" ca="1" si="237"/>
        <v>0</v>
      </c>
      <c r="U120" s="59">
        <f t="shared" ca="1" si="238"/>
        <v>0</v>
      </c>
      <c r="V120" s="391">
        <f ca="1">MAX(0,MIN(Control!$C$100-Control!$C$99,$G120-Control!$C$99)*Control!$C$63)</f>
        <v>0</v>
      </c>
      <c r="W120" s="388">
        <f t="shared" ca="1" si="359"/>
        <v>0</v>
      </c>
      <c r="X120" s="388">
        <f t="shared" ca="1" si="360"/>
        <v>0.6110000000000001</v>
      </c>
      <c r="Y120" s="388">
        <f t="shared" ca="1" si="239"/>
        <v>0</v>
      </c>
      <c r="Z120" s="388">
        <f t="shared" ca="1" si="361"/>
        <v>0.61058800000000002</v>
      </c>
      <c r="AA120" s="388">
        <f t="shared" ca="1" si="240"/>
        <v>0.6018</v>
      </c>
      <c r="AB120" s="388">
        <f ca="1">101.3*EXP(-0.034*Control!$C$66/($G120+273))</f>
        <v>100.69623283836242</v>
      </c>
      <c r="AC120" s="392">
        <f t="shared" ca="1" si="241"/>
        <v>4.3460251046025113E-2</v>
      </c>
      <c r="AD120" s="392">
        <f t="shared" ca="1" si="242"/>
        <v>4.4450382862832649E-2</v>
      </c>
      <c r="AE120" s="388">
        <f t="shared" ca="1" si="243"/>
        <v>0</v>
      </c>
      <c r="AF120" s="388">
        <f ca="1">MAX(0,$G120-Control!$C$92)</f>
        <v>0</v>
      </c>
      <c r="AG120" s="393">
        <f t="shared" ca="1" si="244"/>
        <v>116</v>
      </c>
      <c r="AH120" s="389">
        <f t="shared" ca="1" si="245"/>
        <v>116</v>
      </c>
      <c r="AI120" s="388">
        <f t="shared" ca="1" si="362"/>
        <v>0.22602686094856758</v>
      </c>
      <c r="AJ120" s="388">
        <f ca="1">IF(Control!$C$60&lt;=0,$HH120,$HI120)</f>
        <v>1</v>
      </c>
      <c r="AK120" s="388">
        <f t="shared" ca="1" si="246"/>
        <v>0.61971142755743869</v>
      </c>
      <c r="AL120" s="388">
        <f t="shared" ca="1" si="247"/>
        <v>1.8032589310656986E-18</v>
      </c>
      <c r="AM120" s="388">
        <f t="shared" ca="1" si="248"/>
        <v>0.61971142755743869</v>
      </c>
      <c r="AN120" s="388">
        <f t="shared" ca="1" si="249"/>
        <v>0.23314888197539052</v>
      </c>
      <c r="AO120" s="388">
        <f ca="1">-0.10453/COS(Control!$B$8*PI()/180)*COS(AN120)</f>
        <v>-0.16519111310957835</v>
      </c>
      <c r="AP120" s="388">
        <f ca="1">ACOS(AO120-TAN(Control!$B$8*PI()/180)*TAN(AN120))</f>
        <v>2.059107878631965</v>
      </c>
      <c r="AQ120" s="388">
        <f t="shared" ca="1" si="363"/>
        <v>0</v>
      </c>
      <c r="AR120" s="394">
        <f t="shared" ca="1" si="250"/>
        <v>0</v>
      </c>
      <c r="AS120" s="436">
        <f ca="1">IF(Control!$B$18=2,(IF(OR($AH120=Control!$B$175,$AH120=Control!$B$176,$AH120=Control!$B$177,$AH120=Control!$B$178,$AH120=Control!$B$179,$AH120=Control!$B$180,$AH120=Control!$B$181,$AH120=Control!$B$182,$AH120=Control!$B$183,$AH120=Control!$B$184,$AH120=Control!$B$185),1,0)),0)</f>
        <v>0</v>
      </c>
      <c r="AT120" s="436">
        <f>IF(Control!$B$20=8,IF(AND($AH120&gt;=Control!$B$172,$AH120&lt;=Control!$B$173),1,0),0)</f>
        <v>0</v>
      </c>
      <c r="AU120" s="436">
        <f>IF(Control!$B$20=8,IF($AV119=1,1*$AT120,IF($AT120=1,$AU119+1,$AU119)),0)</f>
        <v>0</v>
      </c>
      <c r="AV120" s="436">
        <f>IF(Control!$B$20=8,IF($AU120&gt;=Control!$B$174,1,0),0)</f>
        <v>0</v>
      </c>
      <c r="AW120" s="436">
        <f ca="1">IF(AND(Control!$B$18=2,Control!$B$171=1), $AV120, $AS120)</f>
        <v>0</v>
      </c>
      <c r="AX120" s="436" t="e">
        <f ca="1">IF(AND(Control!$B$18=1,$EU120&gt;=Control!$B$19),-$AY120,IF(AND(Control!$B$18=2,$AW120=1,$EU120&gt;$DS120),-$AY120, IF(Control!$C$108=0,0, IF(Control!$C$108&lt;&gt;0,1))))</f>
        <v>#N/A</v>
      </c>
      <c r="AY120" s="436" t="e">
        <f t="shared" ca="1" si="364"/>
        <v>#N/A</v>
      </c>
      <c r="AZ120" s="436" t="e">
        <f ca="1">IF(AND(Control!$B$18=1,$EB120&gt;Control!$B$19),$AZ119+1, IF(AND(Control!$B$18=2, $AW120=1, $EB120&gt;$DS120), $AZ119+1,$AZ119))</f>
        <v>#N/A</v>
      </c>
      <c r="BA120" s="587">
        <f>IF(Control!$C$81=0,1,IF($AH120&gt;=Control!$C$82,1,0))</f>
        <v>1</v>
      </c>
      <c r="BB120" s="140" t="e">
        <f ca="1">IF($BA120&gt;$BA119,Control!$C$83,IF($AW120&gt;0,$AW120*Control!$C$84,IF(AND(Control!$B$18=1,EN119&lt;&gt;0),Control!$C$84,0)))</f>
        <v>#N/A</v>
      </c>
      <c r="BC120" s="140" t="e">
        <f t="shared" ca="1" si="365"/>
        <v>#N/A</v>
      </c>
      <c r="BD120" s="140" t="e">
        <f ca="1">BC120*IF(OR($G120&lt;Control!$C$92,$G120&gt;Control!$C$95),0,IF(AND($G120&gt;=Control!$C$92,$G120&lt;=Control!$C$93),$G120-Control!$C$92,IF(AND($G120&gt;Control!$C$93,$G120&lt;=Control!$C$94),Control!$C$93-Control!$C$92,IF(AND($G120&gt;Control!$C$94,$G120&lt;=Control!$C$95),(Control!$C$93-Control!$C$92)*(Control!$C$94-$G120)/(Control!$C$95-Control!$C$94)))))</f>
        <v>#N/A</v>
      </c>
      <c r="BE120" s="140" t="e">
        <f t="shared" ca="1" si="366"/>
        <v>#N/A</v>
      </c>
      <c r="BF120" s="140" t="e">
        <f ca="1">IF($BE120&lt;=Control!$C$86,$BE120,Control!$C$86-$BE120)</f>
        <v>#N/A</v>
      </c>
      <c r="BG120" s="140" t="e">
        <f ca="1">IF(AND($AW120=1,Control!$C$84&lt;9),1,IF($BE120&gt;=Control!$C$86,0,$BC120))</f>
        <v>#N/A</v>
      </c>
      <c r="BH120" s="404" t="e">
        <f ca="1">IF($BG120=0,0,IF($BE120&lt;=Control!$C$86,$BC120*9*($BF120/Control!$C$86),0))</f>
        <v>#N/A</v>
      </c>
      <c r="BI120" s="140" t="e">
        <f ca="1">IF($BG120=1,0,IF($BE120&gt;=Control!$C$86,1,IF(AND($BB120&lt;21,$BB120&gt;=9),1,$BM119)))</f>
        <v>#N/A</v>
      </c>
      <c r="BJ120" s="140" t="e">
        <f ca="1">IF($BF120&lt;0,-$BF120,$BI120*IF(OR($G120&lt;Control!$C$92,$G120&gt;Control!$C$95),0,IF(AND($G120&gt;=Control!$C$92,$G120&lt;=Control!$C$93),$G120-Control!$C$92,IF(AND($G120&gt;Control!$C$93,$G120&lt;=Control!$C$94),Control!$C$93-Control!$C$92,IF(AND($G120&gt;Control!$C$94,$G120&lt;=Control!$C$95),(Control!$C$93-Control!$C$92)*(Control!$C$94-$G120)/(Control!$C$95-Control!$C$94))))))</f>
        <v>#N/A</v>
      </c>
      <c r="BK120" s="140" t="e">
        <f t="shared" ca="1" si="367"/>
        <v>#N/A</v>
      </c>
      <c r="BL120" s="140" t="e">
        <f ca="1">IF($BK120&lt;=Control!$C$87,$BK120,Control!$C$87-$BK120)</f>
        <v>#N/A</v>
      </c>
      <c r="BM120" s="140" t="e">
        <f ca="1">IF(AND($BB120&gt;=9,$BB120&lt;21),1,IF($BK120&gt;=Control!$C$87,0,$BI120))</f>
        <v>#N/A</v>
      </c>
      <c r="BN120" s="404" t="e">
        <f ca="1">IF($BM120=0,0,IF($BK120&lt;=Control!$C$87,$BI120*(9+(21-9)*($BL120/Control!$C$87)),0))</f>
        <v>#N/A</v>
      </c>
      <c r="BO120" s="140" t="e">
        <f ca="1">IF($BM120=1,0,IF($BK120&gt;=Control!$C$87,1,IF(AND($BB120&lt;30,$BB120&gt;=21),1,$BS119)))</f>
        <v>#N/A</v>
      </c>
      <c r="BP120" s="140" t="e">
        <f ca="1">IF($BL120&lt;0,-$BL120,$BO120*IF(OR($G120&lt;Control!$C$92,$G120&gt;Control!$C$95),0,IF(AND($G120&gt;=Control!$C$92,$G120&lt;=Control!$C$93),$G120-Control!$C$92,IF(AND($G120&gt;Control!$C$93,$G120&lt;=Control!$C$94),Control!$C$93-Control!$C$92,IF(AND($G120&gt;Control!$C$94,$G120&lt;=Control!$C$95),(Control!$C$93-Control!$C$92)*(Control!$C$94-$G120)/(Control!$C$95-Control!$C$94))))))</f>
        <v>#N/A</v>
      </c>
      <c r="BQ120" s="140" t="e">
        <f t="shared" ca="1" si="251"/>
        <v>#N/A</v>
      </c>
      <c r="BR120" s="140" t="e">
        <f ca="1">IF($BQ120&lt;=Control!$C$88,$BQ120,Control!$C$88-$BQ120)</f>
        <v>#N/A</v>
      </c>
      <c r="BS120" s="140" t="e">
        <f ca="1">IF(AND($BB120&gt;=21,$BB120&lt;30),1,IF($BQ120&gt;=Control!$C$88,0,$BO120))</f>
        <v>#N/A</v>
      </c>
      <c r="BT120" s="404" t="e">
        <f ca="1">IF($BS120=0,0,IF($BQ120&lt;=Control!$C$88,$BO120*(21+(30-21)*(BR120/Control!$C$88)),0))</f>
        <v>#N/A</v>
      </c>
      <c r="BU120" s="140" t="e">
        <f ca="1">IF(BG120+BM120+BS120=1,0,IF(OR(AND($BB120&lt;60,$BB120&gt;=30),$BQ120&gt;=Control!$C$88),1*$BA120,$BY119))</f>
        <v>#N/A</v>
      </c>
      <c r="BV120" s="140" t="e">
        <f ca="1">IF($BR120&lt;0,-$BR120,$BU120*IF(OR($G120&lt;Control!$C$92,$G120&gt;Control!$C$95),0,IF(AND($G120&gt;=Control!$C$92,$G120&lt;=Control!$C$93),$G120-Control!$C$92,IF(AND($G120&gt;Control!$C$93,$G120&lt;=Control!$C$94),Control!$C$93-Control!$C$92,IF(AND($G120&gt;Control!$C$94,$G120&lt;=Control!$C$95),(Control!$C$93-Control!$C$92)*(Control!$C$94-$G120)/(Control!$C$95-Control!$C$94))))))</f>
        <v>#N/A</v>
      </c>
      <c r="BW120" s="140" t="e">
        <f t="shared" ca="1" si="252"/>
        <v>#N/A</v>
      </c>
      <c r="BX120" s="140" t="e">
        <f ca="1">IF($BW120&lt;=Control!$C$89,$BW120,Control!$C$89-$BW120)</f>
        <v>#N/A</v>
      </c>
      <c r="BY120" s="140" t="e">
        <f ca="1">IF(AND($AJ120&gt;=30,$AJ120&lt;60),1,IF($BW120&gt;=Control!$C$89,0,$BU120))</f>
        <v>#N/A</v>
      </c>
      <c r="BZ120" s="404" t="e">
        <f ca="1">IF($BY120=0,0,IF($BW120&lt;=Control!$C$89,$BU120*(30+(60-30)*(BX120/Control!$C$89)),0))</f>
        <v>#N/A</v>
      </c>
      <c r="CA120" s="140" t="e">
        <f ca="1">IF($BG120+$BM120+$BS120+$BY120=1,0,IF(OR(AND($BB120&lt;65,$BB120&gt;=60),$BW120&gt;=Control!$C$89),1*$BA120,$CE119))</f>
        <v>#N/A</v>
      </c>
      <c r="CB120" s="140" t="e">
        <f ca="1">IF($BX120&lt;0,-$BX120,$CA120*IF(OR($G120&lt;Control!$C$92,$G120&gt;Control!$C$95),0,IF(AND($G120&gt;=Control!$C$92,$G120&lt;=Control!$C$93),$G120-Control!$C$92,IF(AND($G120&gt;Control!$C$93,$G120&lt;=Control!$C$94),Control!$C$93-Control!$C$92,IF(AND($G120&gt;Control!$C$94,$G120&lt;=Control!$C$95),(Control!$C$93-Control!$C$92)*(Control!$C$94-$G120)/(Control!$C$95-Control!$C$94))))))</f>
        <v>#N/A</v>
      </c>
      <c r="CC120" s="140" t="e">
        <f t="shared" ca="1" si="368"/>
        <v>#N/A</v>
      </c>
      <c r="CD120" s="140" t="e">
        <f ca="1">IF($CC120&lt;=Control!$C$90,$CC120,Control!$C$90-$CC120)</f>
        <v>#N/A</v>
      </c>
      <c r="CE120" s="140" t="e">
        <f ca="1">IF(AND($BB120&gt;=60,$BB120&lt;65),1,IF($CC120&gt;=Control!$C$90,0,$CA120))</f>
        <v>#N/A</v>
      </c>
      <c r="CF120" s="404" t="e">
        <f ca="1">IF($CE120=0,0,IF($CC120&lt;=Control!$C$90,$CA120*(60+(65-60)*(CD120/Control!$C$90)),0))</f>
        <v>#N/A</v>
      </c>
      <c r="CG120" s="140" t="e">
        <f ca="1">IF($BG120+$BM120+$BS120+$BY120+$CE120=1,0,IF(OR(AND($BB120&lt;90,$BB120&gt;=65),$CC120&gt;=Control!$C$90),$BA120,$CK119))</f>
        <v>#N/A</v>
      </c>
      <c r="CH120" s="140" t="e">
        <f ca="1">IF($CD120&lt;0,-$CD120,$CG120*IF(OR($G120&lt;Control!$C$92,$G120&gt;Control!$C$95),0,IF(AND($G120&gt;=Control!$C$92,$G120&lt;=Control!$C$93),$G120-Control!$C$92,IF(AND($G120&gt;Control!$C$93,$G120&lt;=Control!$C$94),Control!$C$93-Control!$C$92,IF(AND($G120&gt;Control!$C$94,$G120&lt;=Control!$C$95),(Control!$C$93-Control!$C$92)*(Control!$C$94-$G120)/(Control!$C$95-Control!$C$94))))))</f>
        <v>#N/A</v>
      </c>
      <c r="CI120" s="140" t="e">
        <f t="shared" ca="1" si="369"/>
        <v>#N/A</v>
      </c>
      <c r="CJ120" s="140" t="e">
        <f ca="1">IF($CI120&lt;=Control!$C$91,$CI120,Control!$C$91-$CI120)</f>
        <v>#N/A</v>
      </c>
      <c r="CK120" s="140" t="e">
        <f ca="1">IF(AND($BB120&gt;=65,$BB120&lt;90),1,IF($CI120&gt;=Control!$C$91,0,$CG120))</f>
        <v>#N/A</v>
      </c>
      <c r="CL120" s="404" t="e">
        <f ca="1">IF($CK120=0,0,IF($CI120&lt;=Control!$C$91,$CG120*(65+(90-65)*($CJ120/Control!$C$91)),0))</f>
        <v>#N/A</v>
      </c>
      <c r="CM120" s="140" t="e">
        <f ca="1">IF($BG120+$BM120+$BS120+$BY120+$CE120+$CK120=1,0,IF(OR($BB120&gt;=90,$CI120&gt;=Control!$C$91),$BA120,$CM119))</f>
        <v>#N/A</v>
      </c>
      <c r="CN120" s="140" t="e">
        <f t="shared" ca="1" si="370"/>
        <v>#N/A</v>
      </c>
      <c r="CO120" s="140" t="e">
        <f t="shared" ca="1" si="371"/>
        <v>#N/A</v>
      </c>
      <c r="CP120" s="140" t="e">
        <f t="shared" ca="1" si="372"/>
        <v>#N/A</v>
      </c>
      <c r="CQ120" s="141" t="e">
        <f ca="1">VLOOKUP($CP120,Control!$B$86:$G$91,6)</f>
        <v>#N/A</v>
      </c>
      <c r="CR120" s="141" t="e">
        <f ca="1">(1-$CQ120)*VLOOKUP($CP120,Control!$B$86:$D$91,3)</f>
        <v>#N/A</v>
      </c>
      <c r="CS120" s="141" t="e">
        <f ca="1">(1-$CQ120)*VLOOKUP($CP120,Control!$B$86:$E$91,4)</f>
        <v>#N/A</v>
      </c>
      <c r="CT120" s="141" t="e">
        <f ca="1">(1-$CQ120)*VLOOKUP($CP120,Control!$B$86:$F$91,5)</f>
        <v>#N/A</v>
      </c>
      <c r="CU120" s="141">
        <f t="shared" ca="1" si="373"/>
        <v>0</v>
      </c>
      <c r="CV120" s="583">
        <f t="shared" ca="1" si="374"/>
        <v>0</v>
      </c>
      <c r="CW120" s="142">
        <f t="shared" ca="1" si="375"/>
        <v>116</v>
      </c>
      <c r="CX120" s="612" t="e">
        <f ca="1">IF(Control!$C$114=1,(MIN(Control!$C$120*(IF($NT120-0.01&lt;0,0,1)),Control!$C$119-$CY120)))</f>
        <v>#DIV/0!</v>
      </c>
      <c r="CY120" s="143" t="e">
        <f t="shared" ca="1" si="376"/>
        <v>#N/A</v>
      </c>
      <c r="CZ120" s="144">
        <f t="shared" ca="1" si="253"/>
        <v>0</v>
      </c>
      <c r="DA120" s="144">
        <f t="shared" ca="1" si="254"/>
        <v>0</v>
      </c>
      <c r="DB120" s="144" t="e">
        <f t="shared" ca="1" si="255"/>
        <v>#N/A</v>
      </c>
      <c r="DC120" s="144" t="e">
        <f t="shared" ca="1" si="256"/>
        <v>#N/A</v>
      </c>
      <c r="DD120" s="144" t="e">
        <f t="shared" ca="1" si="461"/>
        <v>#N/A</v>
      </c>
      <c r="DE120" s="143" t="e">
        <f t="shared" ca="1" si="377"/>
        <v>#N/A</v>
      </c>
      <c r="DF120" s="145" t="e">
        <f ca="1">$DR120*EXP(-Control!$C$158*(1-$KH120))</f>
        <v>#N/A</v>
      </c>
      <c r="DG120" s="146" t="e">
        <f ca="1">IF(Control!$C$114=1, $DF120*$EY120, 0)</f>
        <v>#N/A</v>
      </c>
      <c r="DH120" s="147" t="e">
        <f t="shared" ca="1" si="378"/>
        <v>#N/A</v>
      </c>
      <c r="DI120" s="144" t="e">
        <f t="shared" ca="1" si="439"/>
        <v>#N/A</v>
      </c>
      <c r="DJ120" s="147" t="e">
        <f ca="1">$EF120*Control!$C$109</f>
        <v>#N/A</v>
      </c>
      <c r="DK120" s="144" t="e">
        <f t="shared" ca="1" si="379"/>
        <v>#N/A</v>
      </c>
      <c r="DL120" s="144" t="e">
        <f t="shared" ca="1" si="257"/>
        <v>#N/A</v>
      </c>
      <c r="DM120" s="144" t="e">
        <f ca="1">IF(Control!$C$114=1, (1-EXP(-Control!$C$96*$DK120))*$AR120, 0)</f>
        <v>#N/A</v>
      </c>
      <c r="DN120" s="144">
        <f t="shared" ca="1" si="380"/>
        <v>0</v>
      </c>
      <c r="DO120" s="148">
        <f>Control!$C$97</f>
        <v>4</v>
      </c>
      <c r="DP120" s="145" t="e">
        <f t="shared" ca="1" si="381"/>
        <v>#N/A</v>
      </c>
      <c r="DQ120" s="145" t="e">
        <f ca="1">IF(AND($CP120&gt;=0,$CP120&lt;=90),Control!$C$111,Control!$C$111)</f>
        <v>#N/A</v>
      </c>
      <c r="DR120" s="145" t="e">
        <f t="shared" ca="1" si="258"/>
        <v>#N/A</v>
      </c>
      <c r="DS120" s="143" t="e">
        <f ca="1">Control!$B$22/$DR120</f>
        <v>#N/A</v>
      </c>
      <c r="DT120" s="149" t="e">
        <f ca="1">IF(AND(Control!$C$114=1,$KH120&lt;1),$IM120*$DF120, 0)</f>
        <v>#N/A</v>
      </c>
      <c r="DU120" s="144" t="e">
        <f t="shared" ca="1" si="382"/>
        <v>#N/A</v>
      </c>
      <c r="DV120" s="144">
        <f ca="1">IF($G120-Control!$C$107&lt;=0, 0, 0.83*LN(MAX($G120, 3))-0.8924)</f>
        <v>0</v>
      </c>
      <c r="DW120" s="144" t="e">
        <f t="shared" ca="1" si="259"/>
        <v>#N/A</v>
      </c>
      <c r="DX120" s="150" t="e">
        <f ca="1">MAX(0.01*(1+$CU120/Control!$C$102),0.05*($DK120-Control!$C$97)/Control!$C$97)</f>
        <v>#N/A</v>
      </c>
      <c r="DY120" s="151" t="e">
        <f ca="1">IF(Control!$C$114=1, $DI120*$FS120, 0)</f>
        <v>#N/A</v>
      </c>
      <c r="DZ120" s="196" t="e">
        <f t="shared" ca="1" si="383"/>
        <v>#N/A</v>
      </c>
      <c r="EA120" s="152">
        <f t="shared" ca="1" si="384"/>
        <v>116</v>
      </c>
      <c r="EB120" s="153" t="e">
        <f t="shared" ca="1" si="385"/>
        <v>#N/A</v>
      </c>
      <c r="EC120" s="153" t="e">
        <f t="shared" ca="1" si="386"/>
        <v>#N/A</v>
      </c>
      <c r="ED120" s="154" t="e">
        <f ca="1">IF(Control!$C$114=1, $HM120*$FY120-$FD120, 0)</f>
        <v>#DIV/0!</v>
      </c>
      <c r="EE120" s="155" t="e">
        <f ca="1">IF(Control!$C$114=1, $HM120*$FZ120-$FF120, 0)</f>
        <v>#DIV/0!</v>
      </c>
      <c r="EF120" s="153" t="e">
        <f t="shared" ca="1" si="440"/>
        <v>#N/A</v>
      </c>
      <c r="EG120" s="155" t="e">
        <f ca="1">IF(Control!$C$114=1, $GX120*$FW120-$FI120, 0)</f>
        <v>#DIV/0!</v>
      </c>
      <c r="EH120" s="153" t="e">
        <f t="shared" ca="1" si="387"/>
        <v>#N/A</v>
      </c>
      <c r="EI120" s="156" t="e">
        <f t="shared" ca="1" si="388"/>
        <v>#N/A</v>
      </c>
      <c r="EJ120" s="155" t="e">
        <f ca="1">IF(Control!$C$114=1, $HM120*$GB120, 0)</f>
        <v>#DIV/0!</v>
      </c>
      <c r="EK120" s="153" t="e">
        <f t="shared" ca="1" si="441"/>
        <v>#N/A</v>
      </c>
      <c r="EL120" s="153" t="e">
        <f t="shared" ca="1" si="260"/>
        <v>#N/A</v>
      </c>
      <c r="EM120" s="153" t="e">
        <f t="shared" ca="1" si="261"/>
        <v>#N/A</v>
      </c>
      <c r="EN120" s="153" t="e">
        <f ca="1">IF(Control!$C$108=1,IF(AND(Control!$B$18=1,$EB120&gt;=Control!$B$19),$EB120-$DS120,IF(AND(Control!$B$18=2,$AW120=1,$EB120&gt;$DS120),$EB120-$DS120,0)))</f>
        <v>#N/A</v>
      </c>
      <c r="EO120" s="153" t="e">
        <f ca="1">IF(Control!$C$108=1,IF(AND(Control!$B$18=1,$EB120&gt;=Control!$B$19),$EF120,IF(AND(Control!$B$18=2,$AW120=1),$EF120,0)))</f>
        <v>#N/A</v>
      </c>
      <c r="EP120" s="153" t="e">
        <f ca="1">IF(Control!$C$108=1,IF(AND(Control!$B$18=1,$EB120&gt;=Control!$B$19),$EK120,IF(AND(Control!$B$18=2,$AW120=1),$EK120,0)))</f>
        <v>#N/A</v>
      </c>
      <c r="EQ120" s="153" t="e">
        <f t="shared" ca="1" si="389"/>
        <v>#N/A</v>
      </c>
      <c r="ER120" s="153" t="e">
        <f t="shared" ca="1" si="390"/>
        <v>#N/A</v>
      </c>
      <c r="ES120" s="153" t="e">
        <f t="shared" ca="1" si="442"/>
        <v>#N/A</v>
      </c>
      <c r="ET120" s="153" t="e">
        <f t="shared" ca="1" si="443"/>
        <v>#N/A</v>
      </c>
      <c r="EU120" s="153" t="e">
        <f t="shared" ca="1" si="391"/>
        <v>#N/A</v>
      </c>
      <c r="EV120" s="153" t="e">
        <f t="shared" ca="1" si="262"/>
        <v>#N/A</v>
      </c>
      <c r="EW120" s="153" t="e">
        <f t="shared" ca="1" si="263"/>
        <v>#N/A</v>
      </c>
      <c r="EX120" s="153" t="e">
        <f t="shared" ca="1" si="264"/>
        <v>#N/A</v>
      </c>
      <c r="EY120" s="157" t="e">
        <f t="shared" ca="1" si="265"/>
        <v>#DIV/0!</v>
      </c>
      <c r="EZ120" s="154" t="e">
        <f t="shared" ca="1" si="266"/>
        <v>#DIV/0!</v>
      </c>
      <c r="FA120" s="153" t="e">
        <f t="shared" ca="1" si="392"/>
        <v>#N/A</v>
      </c>
      <c r="FB120" s="153" t="e">
        <f t="shared" ca="1" si="267"/>
        <v>#N/A</v>
      </c>
      <c r="FC120" s="193" t="e">
        <f t="shared" ca="1" si="268"/>
        <v>#N/A</v>
      </c>
      <c r="FD120" s="158" t="e">
        <f t="shared" ca="1" si="393"/>
        <v>#N/A</v>
      </c>
      <c r="FE120" s="158" t="e">
        <f t="shared" ca="1" si="394"/>
        <v>#N/A</v>
      </c>
      <c r="FF120" s="159" t="e">
        <f t="shared" ca="1" si="269"/>
        <v>#N/A</v>
      </c>
      <c r="FG120" s="160" t="e">
        <f t="shared" ca="1" si="395"/>
        <v>#N/A</v>
      </c>
      <c r="FH120" s="158" t="e">
        <f t="shared" ca="1" si="396"/>
        <v>#N/A</v>
      </c>
      <c r="FI120" s="159" t="e">
        <f t="shared" ca="1" si="270"/>
        <v>#N/A</v>
      </c>
      <c r="FJ120" s="160" t="e">
        <f t="shared" ca="1" si="397"/>
        <v>#N/A</v>
      </c>
      <c r="FK120" s="160" t="e">
        <f t="shared" ca="1" si="271"/>
        <v>#N/A</v>
      </c>
      <c r="FL120" s="160" t="e">
        <f t="shared" ca="1" si="444"/>
        <v>#N/A</v>
      </c>
      <c r="FM120" s="160" t="e">
        <f t="shared" ca="1" si="272"/>
        <v>#N/A</v>
      </c>
      <c r="FN120" s="158">
        <f t="shared" ca="1" si="398"/>
        <v>0.01</v>
      </c>
      <c r="FO120" s="160">
        <f>Control!$C$101</f>
        <v>50</v>
      </c>
      <c r="FP120" s="150" t="e">
        <f t="shared" ca="1" si="273"/>
        <v>#N/A</v>
      </c>
      <c r="FQ120" s="150" t="e">
        <f ca="1">MAX(0,(Control!$C$112*(($DK120-Control!$C$97)/Control!$C$97)))</f>
        <v>#N/A</v>
      </c>
      <c r="FR120" s="150" t="e">
        <f ca="1">(1-$NT120)*Control!$C$113</f>
        <v>#DIV/0!</v>
      </c>
      <c r="FS120" s="198" t="e">
        <f t="shared" ca="1" si="274"/>
        <v>#N/A</v>
      </c>
      <c r="FT120" s="161">
        <f t="shared" ca="1" si="399"/>
        <v>116</v>
      </c>
      <c r="FU120" s="162" t="e">
        <f ca="1">IF(Control!$B$34=1,VLOOKUP($CP120,Control!$B$86:$G$91,6),Control!$B$35)</f>
        <v>#N/A</v>
      </c>
      <c r="FV120" s="162" t="e">
        <f t="shared" ca="1" si="275"/>
        <v>#DIV/0!</v>
      </c>
      <c r="FW120" s="162" t="e">
        <f ca="1">IF(Control!$B$31=1,$FU120*$FV120,  $FU120)</f>
        <v>#N/A</v>
      </c>
      <c r="FX120" s="162" t="e">
        <f ca="1">IF(Control!$B$34=1,VLOOKUP($CP120,Control!$B$86:$G$91,3),Control!$B$36)</f>
        <v>#N/A</v>
      </c>
      <c r="FY120" s="162" t="e">
        <f t="shared" ca="1" si="276"/>
        <v>#N/A</v>
      </c>
      <c r="FZ120" s="162" t="e">
        <f ca="1">IF(Control!$B$34=1,VLOOKUP($CP120,Control!$B$86:$G$91,4),Control!$B$37)</f>
        <v>#N/A</v>
      </c>
      <c r="GA120" s="162" t="e">
        <f t="shared" ca="1" si="277"/>
        <v>#N/A</v>
      </c>
      <c r="GB120" s="162" t="e">
        <f ca="1">IF(Control!$B$34=1,VLOOKUP($CP120,Control!$B$86:$G$91,5),Control!$B$38)</f>
        <v>#N/A</v>
      </c>
      <c r="GC120" s="162" t="e">
        <f t="shared" ca="1" si="400"/>
        <v>#N/A</v>
      </c>
      <c r="GD120" s="162">
        <f t="shared" ca="1" si="278"/>
        <v>1</v>
      </c>
      <c r="GE120" s="162">
        <f t="shared" ca="1" si="279"/>
        <v>1</v>
      </c>
      <c r="GF120" s="162">
        <f ca="1">IF(AND(Control!$C$104=1, Control!$C$62="F"),$GE120,1)</f>
        <v>1</v>
      </c>
      <c r="GG120" s="162" t="e">
        <f ca="1">IF(Control!$B$16=40,0,IF(AND(Control!$B$16&gt;40,Control!$B$16&lt;=360),(Control!$B$16-40)*((1-0)/(360-40)),IF(AND(Control!$B$16&gt;360,Control!$B$16&lt;=720),(1+(Control!$B$16-360)*((1.25-1)/(720-360))),IF(AND(Control!$B$16&gt;720,Control!$B$16&lt;=1000),(1.25+(Control!$B$16-720)*((1.35-1.25)/(1000-720))),IF(AND(Control!$B$16&gt;1000,Control!$B$16&lt;=2000),(1.35+(Control!$B$16-1000)*0))))))</f>
        <v>#N/A</v>
      </c>
      <c r="GH120" s="162" t="e">
        <f t="shared" ca="1" si="280"/>
        <v>#N/A</v>
      </c>
      <c r="GI120" s="162">
        <f t="shared" ca="1" si="401"/>
        <v>0</v>
      </c>
      <c r="GJ120" s="162">
        <f t="shared" ca="1" si="281"/>
        <v>0</v>
      </c>
      <c r="GK120" s="162">
        <f t="shared" ca="1" si="402"/>
        <v>1</v>
      </c>
      <c r="GL120" s="162">
        <f t="shared" ca="1" si="282"/>
        <v>1</v>
      </c>
      <c r="GM120" s="162" t="e">
        <f ca="1">MAX(0,MIN(1,1-Control!$C$156*(1.0001-$KH120)^2))</f>
        <v>#N/A</v>
      </c>
      <c r="GN120" s="162" t="e">
        <f ca="1">IF(Control!$B$26=1,$KU120,$KX120)</f>
        <v>#N/A</v>
      </c>
      <c r="GO120" s="162" t="e">
        <f ca="1">IF($CP120&lt;=60,Control!$C$105,IF($CP120&gt;=90,Control!$C$106,Control!$C$105+($CP120-60)*((Control!$C$106-Control!$C$105)/(90-60))))</f>
        <v>#N/A</v>
      </c>
      <c r="GP120" s="162" t="e">
        <f t="shared" ca="1" si="283"/>
        <v>#N/A</v>
      </c>
      <c r="GQ120" s="162" t="e">
        <f t="shared" ca="1" si="403"/>
        <v>#N/A</v>
      </c>
      <c r="GR120" s="163" t="e">
        <f t="shared" ca="1" si="284"/>
        <v>#DIV/0!</v>
      </c>
      <c r="GS120" s="162" t="e">
        <f t="shared" ca="1" si="285"/>
        <v>#DIV/0!</v>
      </c>
      <c r="GT120" s="164" t="e">
        <f t="shared" ca="1" si="404"/>
        <v>#N/A</v>
      </c>
      <c r="GU120" s="162" t="e">
        <f t="shared" ca="1" si="405"/>
        <v>#N/A</v>
      </c>
      <c r="GV120" s="162" t="e">
        <f t="shared" ca="1" si="286"/>
        <v>#N/A</v>
      </c>
      <c r="GW120" s="162" t="e">
        <f t="shared" ca="1" si="287"/>
        <v>#DIV/0!</v>
      </c>
      <c r="GX120" s="162" t="e">
        <f t="shared" ca="1" si="406"/>
        <v>#DIV/0!</v>
      </c>
      <c r="GY120" s="162" t="e">
        <f t="shared" ca="1" si="407"/>
        <v>#DIV/0!</v>
      </c>
      <c r="GZ120" s="165" t="e">
        <f t="shared" ca="1" si="288"/>
        <v>#N/A</v>
      </c>
      <c r="HA120" s="162" t="e">
        <f ca="1">IF(Control!$C$114=1, $DI120*$FS120, 0)</f>
        <v>#N/A</v>
      </c>
      <c r="HB120" s="162" t="e">
        <f ca="1">$FA120/Control!$C$64</f>
        <v>#N/A</v>
      </c>
      <c r="HC120" s="162" t="e">
        <f t="shared" ca="1" si="289"/>
        <v>#DIV/0!</v>
      </c>
      <c r="HD120" s="162">
        <f ca="1">-ASIN(SIN(23.45*Control!$C$139)*COS(2*Control!$C$138*($AH120+10)/365))</f>
        <v>0.22602686094856758</v>
      </c>
      <c r="HE120" s="165">
        <f t="shared" ca="1" si="408"/>
        <v>0</v>
      </c>
      <c r="HF120" s="166">
        <f ca="1">IF(AND(Control!$C$61="T",$HE120&gt;=Control!$C$103,Control!$C$114=0),$AH120,Control!$C$59)</f>
        <v>1</v>
      </c>
      <c r="HG120" s="166">
        <f ca="1">IF(AND(Control!$C$61="T",$HE120&gt;=Control!$C$103,Control!$C$114=0),$HF120,Control!$C$59)</f>
        <v>1</v>
      </c>
      <c r="HH120" s="165">
        <f ca="1">IF(AND(OR(Control!$C$60&lt;=0, $AH120= Control!$C$59, Control!$C$60 &gt;0, $AH120 = Control!$C$60)), Control!$C$59, IF(Control!$C$60&gt;0, 0))</f>
        <v>1</v>
      </c>
      <c r="HI120" s="165">
        <f ca="1">IF(AND(OR(Control!$C$60&lt;=0, $AH120= Control!$C$59, Control!$C$60 &gt;0, $AH120 = Control!$C$60)), Control!$C$60, IF(Control!$C$60&lt;=0, 0))</f>
        <v>0</v>
      </c>
      <c r="HJ120" s="166">
        <f ca="1">IF(AND(Control!$C$62="F",$CV120&gt;=Control!$C$102),$AH120,0)</f>
        <v>0</v>
      </c>
      <c r="HK120" s="165" t="e">
        <f t="shared" ca="1" si="445"/>
        <v>#N/A</v>
      </c>
      <c r="HL120" s="166">
        <f ca="1">IF(AND(Control!$C$61="T",$HE120&gt;=Control!$C$103,Control!$C$114=0),$HF120,0)</f>
        <v>0</v>
      </c>
      <c r="HM120" s="201" t="e">
        <f t="shared" ca="1" si="290"/>
        <v>#DIV/0!</v>
      </c>
      <c r="HN120" s="215">
        <f t="shared" ca="1" si="409"/>
        <v>116</v>
      </c>
      <c r="HO120" s="216" t="e">
        <f ca="1">IF(AND($CP120&gt;=0, $CP120&lt;=90), Control!$C$152, Control!$C$152)</f>
        <v>#N/A</v>
      </c>
      <c r="HP120" s="216" t="e">
        <f t="shared" ca="1" si="291"/>
        <v>#N/A</v>
      </c>
      <c r="HQ120" s="217" t="e">
        <f ca="1">IF(OR(Control!$B$26=1,Control!$B$26=2),$KV120,$KS120)</f>
        <v>#DIV/0!</v>
      </c>
      <c r="HR120" s="218" t="e">
        <f t="shared" ca="1" si="446"/>
        <v>#DIV/0!</v>
      </c>
      <c r="HS120" s="216" t="e">
        <f ca="1">Control!$C$154*$HP120</f>
        <v>#N/A</v>
      </c>
      <c r="HT120" s="216" t="e">
        <f ca="1">Control!$C$155*$HP120</f>
        <v>#N/A</v>
      </c>
      <c r="HU120" s="217" t="e">
        <f ca="1">Control!$C$161*$FI120</f>
        <v>#N/A</v>
      </c>
      <c r="HV120" s="218" t="e">
        <f t="shared" ca="1" si="410"/>
        <v>#N/A</v>
      </c>
      <c r="HW120" s="218" t="e">
        <f ca="1">Control!$C$160*$FF120+$IP120*$EO120</f>
        <v>#N/A</v>
      </c>
      <c r="HX120" s="218" t="e">
        <f t="shared" ca="1" si="447"/>
        <v>#N/A</v>
      </c>
      <c r="HY120" s="219" t="e">
        <f ca="1">IF(Control!$C$114=1, $EB120*$FS120, 0)</f>
        <v>#N/A</v>
      </c>
      <c r="HZ120" s="91" t="e">
        <f t="shared" ca="1" si="292"/>
        <v>#N/A</v>
      </c>
      <c r="IA120" s="220" t="e">
        <f ca="1">Control!$C$153*$HO120</f>
        <v>#N/A</v>
      </c>
      <c r="IB120" s="218" t="e">
        <f t="shared" ca="1" si="293"/>
        <v>#N/A</v>
      </c>
      <c r="IC120" s="220" t="e">
        <f ca="1">Control!$C$153*$HT120</f>
        <v>#N/A</v>
      </c>
      <c r="ID120" s="218" t="e">
        <f t="shared" ca="1" si="294"/>
        <v>#N/A</v>
      </c>
      <c r="IE120" s="221" t="e">
        <f ca="1">($EB120*Control!$C$159+$EF120*Control!$C$160)/(IF($GZ120&lt;&gt;0,$GZ120,1))</f>
        <v>#N/A</v>
      </c>
      <c r="IF120" s="216" t="e">
        <f t="shared" ca="1" si="295"/>
        <v>#N/A</v>
      </c>
      <c r="IG120" s="91">
        <f ca="1">IF(OR(Control!$B$198=$AH120,Control!$B$199=$AH120, Control!$B$200=$AH120, Control!$B$201=$AH120, Control!$B$202=$AH120, Control!$B$203=$AH120, Control!$B$204=$AH120, Control!$B$205=$AH120, Control!$B$206=$AH120, Control!$B$207=$AH120), 1, 0)</f>
        <v>0</v>
      </c>
      <c r="IH120" s="91">
        <f ca="1">IF($IG120=0,0, VLOOKUP($AH120,Control!$B$198:$C$207,2))</f>
        <v>0</v>
      </c>
      <c r="II120" s="222">
        <f t="shared" ca="1" si="411"/>
        <v>0</v>
      </c>
      <c r="IJ120" s="91">
        <f>Control!$C$121</f>
        <v>0.7</v>
      </c>
      <c r="IK120" s="218">
        <f t="shared" ca="1" si="296"/>
        <v>0</v>
      </c>
      <c r="IL120" s="217" t="e">
        <f t="shared" ca="1" si="448"/>
        <v>#N/A</v>
      </c>
      <c r="IM120" s="223" t="e">
        <f ca="1">IF(AND(Control!$C$114=1,$KH120&lt;1),$EB120*Control!$C$148*(1-$KH120), 0)</f>
        <v>#N/A</v>
      </c>
      <c r="IN120" s="217" t="e">
        <f t="shared" ca="1" si="297"/>
        <v>#DIV/0!</v>
      </c>
      <c r="IO120" s="91" t="e">
        <f ca="1">MAX(0,$IL120-$EF120*Control!$C$160)</f>
        <v>#N/A</v>
      </c>
      <c r="IP120" s="220" t="e">
        <f t="shared" ca="1" si="298"/>
        <v>#N/A</v>
      </c>
      <c r="IQ120" s="217" t="e">
        <f t="shared" ca="1" si="412"/>
        <v>#N/A</v>
      </c>
      <c r="IR120" s="218" t="e">
        <f t="shared" ca="1" si="299"/>
        <v>#N/A</v>
      </c>
      <c r="IS120" s="217" t="e">
        <f ca="1">Control!$C$159*MAX(0,$FD120-$EN120)</f>
        <v>#N/A</v>
      </c>
      <c r="IT120" s="217" t="e">
        <f t="shared" ca="1" si="449"/>
        <v>#N/A</v>
      </c>
      <c r="IU120" s="217" t="e">
        <f t="shared" ca="1" si="413"/>
        <v>#N/A</v>
      </c>
      <c r="IV120" s="217" t="e">
        <f ca="1">$IV119+$IU120</f>
        <v>#N/A</v>
      </c>
      <c r="IW120" s="217" t="e">
        <f ca="1">IF(OR($AW120=1,AND($AW120=0, Control!$B$18=1,$EN120&lt;&gt;0)), $IQ120-$IU120, $IQ120)</f>
        <v>#N/A</v>
      </c>
      <c r="IX120" s="218" t="e">
        <f t="shared" ca="1" si="300"/>
        <v>#N/A</v>
      </c>
      <c r="IY120" s="218" t="e">
        <f ca="1">MAX(0,$IQ120-$EB120*Control!$C$159)</f>
        <v>#N/A</v>
      </c>
      <c r="IZ120" s="218" t="e">
        <f t="shared" ca="1" si="301"/>
        <v>#N/A</v>
      </c>
      <c r="JA120" s="216" t="e">
        <f t="shared" ca="1" si="302"/>
        <v>#N/A</v>
      </c>
      <c r="JB120" s="217" t="e">
        <f t="shared" ca="1" si="303"/>
        <v>#N/A</v>
      </c>
      <c r="JC120" s="222" t="e">
        <f ca="1">MAX(Control!$C$157*$EK120-$JT120, 0)/Control!$C$162</f>
        <v>#N/A</v>
      </c>
      <c r="JD120" s="218" t="e">
        <f t="shared" ca="1" si="304"/>
        <v>#N/A</v>
      </c>
      <c r="JE120" s="218" t="e">
        <f t="shared" ca="1" si="305"/>
        <v>#N/A</v>
      </c>
      <c r="JF120" s="218" t="e">
        <f t="shared" ca="1" si="414"/>
        <v>#N/A</v>
      </c>
      <c r="JG120" s="218" t="e">
        <f t="shared" ca="1" si="306"/>
        <v>#N/A</v>
      </c>
      <c r="JH120" s="217" t="e">
        <f t="shared" ca="1" si="415"/>
        <v>#N/A</v>
      </c>
      <c r="JI120" s="217" t="e">
        <f t="shared" ca="1" si="416"/>
        <v>#N/A</v>
      </c>
      <c r="JJ120" s="217" t="e">
        <f t="shared" ca="1" si="451"/>
        <v>#N/A</v>
      </c>
      <c r="JK120" s="217" t="e">
        <f ca="1">IF(Control!$C$114=1,IF(Control!$B$24=0,MAX(0,$JI120)*$GN120/Control!$C$64,(MAX(0,MIN($JI120,$JJ120*$GN120/Control!$C$64),0))))</f>
        <v>#N/A</v>
      </c>
      <c r="JL120" s="217" t="e">
        <f ca="1">$IK120/Control!$C$64-$JK120+$HQ120</f>
        <v>#N/A</v>
      </c>
      <c r="JM120" s="217" t="e">
        <f ca="1">IF(Control!$C$114=1,($JB120/(IF($JI120&lt;&gt;0,$JI120,1)))*$JK120,0)</f>
        <v>#N/A</v>
      </c>
      <c r="JN120" s="217" t="e">
        <f ca="1">IF(Control!$C$114=1,($JG120/(IF($JI120&lt;&gt;0,$JI120,1)))*$JK120, 0)</f>
        <v>#N/A</v>
      </c>
      <c r="JO120" s="218" t="e">
        <f t="shared" ca="1" si="307"/>
        <v>#N/A</v>
      </c>
      <c r="JP120" s="218" t="e">
        <f ca="1">MIN(($IY120+$IO120)*Control!$C$151, $JF120-$EH120*Control!$C$161)</f>
        <v>#N/A</v>
      </c>
      <c r="JQ120" s="218" t="e">
        <f t="shared" ca="1" si="308"/>
        <v>#N/A</v>
      </c>
      <c r="JR120" s="217" t="e">
        <f ca="1">IF($CP120-Control!$C$150&lt;0, 0, $JQ120/Control!$C$162)</f>
        <v>#N/A</v>
      </c>
      <c r="JS120" s="218" t="e">
        <f t="shared" ca="1" si="309"/>
        <v>#N/A</v>
      </c>
      <c r="JT120" s="218" t="e">
        <f t="shared" ca="1" si="417"/>
        <v>#N/A</v>
      </c>
      <c r="JU120" s="218" t="e">
        <f t="shared" ca="1" si="310"/>
        <v>#N/A</v>
      </c>
      <c r="JV120" s="218" t="e">
        <f t="shared" ca="1" si="311"/>
        <v>#N/A</v>
      </c>
      <c r="JW120" s="216" t="e">
        <f t="shared" ca="1" si="312"/>
        <v>#N/A</v>
      </c>
      <c r="JX120" s="91" t="e">
        <f t="shared" ca="1" si="313"/>
        <v>#N/A</v>
      </c>
      <c r="JY120" s="218" t="e">
        <f t="shared" ca="1" si="314"/>
        <v>#N/A</v>
      </c>
      <c r="JZ120" s="217" t="e">
        <f ca="1">IF(Control!$C$114=1,($IZ120/(IF($JI120&lt;&gt;0,$JI120,1)))*$JK120, 0)</f>
        <v>#N/A</v>
      </c>
      <c r="KA120" s="218" t="e">
        <f t="shared" ca="1" si="452"/>
        <v>#N/A</v>
      </c>
      <c r="KB120" s="218" t="e">
        <f ca="1">$IV120+$IW120+$HX120+$IL120+$JF120</f>
        <v>#N/A</v>
      </c>
      <c r="KC120" s="218" t="e">
        <f t="shared" ca="1" si="315"/>
        <v>#N/A</v>
      </c>
      <c r="KD120" s="218" t="e">
        <f t="shared" ca="1" si="316"/>
        <v>#N/A</v>
      </c>
      <c r="KE120" s="218" t="e">
        <f t="shared" ca="1" si="317"/>
        <v>#N/A</v>
      </c>
      <c r="KF120" s="218" t="e">
        <f t="shared" ca="1" si="318"/>
        <v>#N/A</v>
      </c>
      <c r="KG120" s="216" t="e">
        <f t="shared" ca="1" si="319"/>
        <v>#N/A</v>
      </c>
      <c r="KH120" s="221" t="e">
        <f ca="1">IF(Control!$B$24=0,1,MAX(0.001,MIN(1,IF(($IF120-$IE120)&lt;&gt;0,($KG120-$IE120)/($IF120-$IE120),1))))</f>
        <v>#N/A</v>
      </c>
      <c r="KI120" s="222" t="e">
        <f ca="1">IF(Control!$C$114=1, $KI119+ $KH119, 0)</f>
        <v>#N/A</v>
      </c>
      <c r="KJ120" s="217" t="e">
        <f t="shared" ca="1" si="320"/>
        <v>#N/A</v>
      </c>
      <c r="KK120" s="218" t="e">
        <f t="shared" ca="1" si="321"/>
        <v>#N/A</v>
      </c>
      <c r="KL120" s="274" t="e">
        <f ca="1">IF(Control!$B$26=3,4000000000*EXP(-8400/($G120+273)),IF(Control!$B$26=4,4000000000*EXP(-8400/($G120+273))*($KT120),0))</f>
        <v>#DIV/0!</v>
      </c>
      <c r="KM120" s="274" t="e">
        <f ca="1">IF(Control!$B$26=3,5600000000000*EXP(-9800/($G120+273)),IF(Control!$B$26=4,5600000000000*EXP(-9800/($G120+273))*$KT120,0))</f>
        <v>#DIV/0!</v>
      </c>
      <c r="KN120" s="454" t="e">
        <f t="shared" ca="1" si="419"/>
        <v>#DIV/0!</v>
      </c>
      <c r="KO120" s="274" t="e">
        <f t="shared" ca="1" si="420"/>
        <v>#DIV/0!</v>
      </c>
      <c r="KP120" s="454" t="e">
        <f t="shared" ca="1" si="322"/>
        <v>#DIV/0!</v>
      </c>
      <c r="KQ120" s="454" t="e">
        <f t="shared" ca="1" si="323"/>
        <v>#DIV/0!</v>
      </c>
      <c r="KR120" s="454" t="e">
        <f t="shared" ca="1" si="324"/>
        <v>#DIV/0!</v>
      </c>
      <c r="KS120" s="454" t="e">
        <f t="shared" ca="1" si="325"/>
        <v>#DIV/0!</v>
      </c>
      <c r="KT120" s="455" t="e">
        <f t="shared" ca="1" si="326"/>
        <v>#DIV/0!</v>
      </c>
      <c r="KU120" s="456" t="e">
        <f ca="1">IF($CP120-Control!$C$149&lt;0, IF($NT120-0.01&lt;0,0,1),0)</f>
        <v>#N/A</v>
      </c>
      <c r="KV120" s="456" t="e">
        <f ca="1">IF(Control!$C$114=1,MAX(0,MIN(Control!$C$125*$KW120*$GN120,$KW120)))</f>
        <v>#DIV/0!</v>
      </c>
      <c r="KW120" s="456" t="e">
        <f t="shared" ca="1" si="453"/>
        <v>#DIV/0!</v>
      </c>
      <c r="KX120" s="457" t="e">
        <f ca="1">IF($CP120-Control!$C$149&lt;0, IF($MR120-$OM120&lt;0,0,1),0)</f>
        <v>#N/A</v>
      </c>
      <c r="KY120" s="167">
        <f t="shared" ca="1" si="421"/>
        <v>116</v>
      </c>
      <c r="KZ120" s="168">
        <f ca="1">1370*(1+0.033*COS(2*Control!$C$138*$AH120/365))</f>
        <v>1351.3154819063673</v>
      </c>
      <c r="LA120" s="169">
        <f t="shared" ca="1" si="422"/>
        <v>0.98636180594316414</v>
      </c>
      <c r="LB120" s="169">
        <f t="shared" ca="1" si="423"/>
        <v>0.23324494259523124</v>
      </c>
      <c r="LC120" s="169">
        <f ca="1">ACOS(-TAN((2*Control!$B$8/360))*TAN(Calculations!$LB120))</f>
        <v>1.6414613199987562</v>
      </c>
      <c r="LD120" s="169">
        <f ca="1">((24*60)/PI())*0.082*$LA120*(($LC120*SIN(Control!$B$8*2*PI()/360))*SIN($LB120)+COS(Control!$B$8*2*PI()/360)*COS($LB120)*SIN($LC120))</f>
        <v>33.235103933875408</v>
      </c>
      <c r="LE120" s="170">
        <f t="shared" ca="1" si="327"/>
        <v>33.55438535875399</v>
      </c>
      <c r="LF120" s="170">
        <f ca="1">SIN(Control!$C$139*Control!$B$8)*SIN($HD120)</f>
        <v>0.17659919397927731</v>
      </c>
      <c r="LG120" s="170">
        <f ca="1">COS(Control!$C$139*Control!$B$8)*COS($HD120)</f>
        <v>0.60000018429960567</v>
      </c>
      <c r="LH120" s="170">
        <f ca="1">12*(1+2*ASIN(MAX(-1,MIN(1,$LF120/$LG120))/Control!$C$138))</f>
        <v>14.25182730586101</v>
      </c>
      <c r="LI120" s="170">
        <f ca="1">12*(1+2*ASIN(MAX(-1,MIN(1,(-SIN(-4*Control!$C$139)+$LF120)/$LG120))/Control!$C$138))</f>
        <v>15.145690702633447</v>
      </c>
      <c r="LJ120" s="168">
        <f ca="1">3600*($LH120*$LF120+24*$LG120*SQRT(1-$LK120*$LK120)/Control!$C$138)</f>
        <v>24830.904261836153</v>
      </c>
      <c r="LK120" s="170">
        <f t="shared" ca="1" si="328"/>
        <v>0.29433189955670713</v>
      </c>
      <c r="LL120" s="170">
        <f t="shared" ca="1" si="329"/>
        <v>0</v>
      </c>
      <c r="LM120" s="171">
        <f ca="1">Control!$C$145*$AB120</f>
        <v>6.6660906138995932E-2</v>
      </c>
      <c r="LN120" s="170">
        <f t="shared" ca="1" si="424"/>
        <v>0.54</v>
      </c>
      <c r="LO120" s="170">
        <f t="shared" ca="1" si="330"/>
        <v>0</v>
      </c>
      <c r="LP120" s="170">
        <f ca="1">Control!$C$140*((($D120+273.16)^4+($E120+273.16)^4)/2)*(0.34-0.14*SQRT($Y120))*(1.35*$AQ120/(0.75*$LD120)-0.35)</f>
        <v>-3.2464704755046001</v>
      </c>
      <c r="LQ120" s="170">
        <f ca="1">Control!$C$140*($G120+273)^4*(0.56-0.079*SQRT($Y120*10))*(0.1+0.9*$LO120)</f>
        <v>1.5241745131704001</v>
      </c>
      <c r="LR120" s="170">
        <f ca="1">$AQ120*(1-Control!$C$142)-$LQ120</f>
        <v>-1.5241745131704001</v>
      </c>
      <c r="LS120" s="170">
        <f ca="1">$AQ120*(1-Control!$C$143)-$LQ120</f>
        <v>-1.5241745131704001</v>
      </c>
      <c r="LT120" s="170">
        <f ca="1">$AQ120*(1-Control!$C$144)-$LQ120</f>
        <v>-1.5241745131704001</v>
      </c>
      <c r="LU120" s="169">
        <f ca="1">(1-Control!$C$144)*AQ120-LP120</f>
        <v>3.2464704755046001</v>
      </c>
      <c r="LV120" s="172">
        <f t="shared" ca="1" si="331"/>
        <v>0.79430000000000012</v>
      </c>
      <c r="LW120" s="170">
        <f t="shared" ca="1" si="332"/>
        <v>1.5886000000000002</v>
      </c>
      <c r="LX120" s="170">
        <f ca="1">($AC120*($LR120/Control!$C$141)+$LM120*$LV120)/($AC120+$LM120)</f>
        <v>0.23530094218323697</v>
      </c>
      <c r="LY120" s="170">
        <f ca="1">($AC120*($LS120/Control!$C$141)+$LM120*$LV120)/($AC120+$LM120)</f>
        <v>0.23530094218323697</v>
      </c>
      <c r="LZ120" s="170">
        <f t="shared" ca="1" si="333"/>
        <v>0.23530094218323697</v>
      </c>
      <c r="MA120" s="170">
        <f t="shared" ca="1" si="334"/>
        <v>0.23530094218323697</v>
      </c>
      <c r="MB120" s="170" t="e">
        <f t="shared" ca="1" si="335"/>
        <v>#N/A</v>
      </c>
      <c r="MC120" s="170">
        <f t="shared" ca="1" si="425"/>
        <v>0.6018</v>
      </c>
      <c r="MD120" s="170">
        <f t="shared" ca="1" si="336"/>
        <v>0.52989392535414004</v>
      </c>
      <c r="ME120" s="170">
        <f ca="1">($AC120*($LT120/Control!$C$141)+$LM120*$LW120)/($AC120+$LM120)</f>
        <v>0.71612369323045078</v>
      </c>
      <c r="MF120" s="170" t="e">
        <f ca="1">IF(Control!$B$16&gt;=1000,0.92,IF(AND(720&lt;=Control!$B$16,1000&gt;Control!$B$16),(0.95+(Control!$B$16-720)*((0.92-0.95)/(1000-720))),IF(AND(360&lt;=Control!$B$16,720&gt;Control!$B$16),(1+(Control!$B$16-360)*((0.95-1)/(720-360))),IF(AND(40&lt;=Control!$B$16,360&gt;Control!$B$16),(1.05+(Control!$B$16-40)*((1.05-1)/(360-40)))))))</f>
        <v>#N/A</v>
      </c>
      <c r="MG120" s="170">
        <f t="shared" ca="1" si="337"/>
        <v>0.71612369323045078</v>
      </c>
      <c r="MH120" s="170" t="e">
        <f t="shared" ca="1" si="463"/>
        <v>#N/A</v>
      </c>
      <c r="MI120" s="170" t="e">
        <f t="shared" ca="1" si="463"/>
        <v>#N/A</v>
      </c>
      <c r="MJ120" s="170" t="e">
        <f ca="1">MAX(0.0001, Control!$C$132*$MI120*$DL120)</f>
        <v>#N/A</v>
      </c>
      <c r="MK120" s="170">
        <f ca="1">1/(0.76+1.5*($MG120/10))-(5-Control!$C$110)*0.1</f>
        <v>1.002845988140797</v>
      </c>
      <c r="ML120" s="173">
        <f ca="1">IF(Control!$C$110&lt;3,$MK120+($MG120-0.6)/(Control!$C$110*(Control!$C$110+3)), MAX(0.1, MIN(0.95,$MK120)))</f>
        <v>0.95</v>
      </c>
      <c r="MM120" s="173">
        <f ca="1">IF(Control!$C$110&lt;3,$MK120+(($MI120/10)-0.6)/(Control!$C$110*(Control!$C$110+3)), MAX(0.1, MIN(0.95,$MK120)))</f>
        <v>0.95</v>
      </c>
      <c r="MN120" s="173">
        <f ca="1">(1-$MM120)*(Control!$C$128-Control!$C$127)+Control!$C$127</f>
        <v>0.16</v>
      </c>
      <c r="MO120" s="170" t="e">
        <f ca="1">MAX(0,MIN(1,($MS120-Control!$C$127)/($MN120-Control!$C$127)))</f>
        <v>#DIV/0!</v>
      </c>
      <c r="MP120" s="173" t="e">
        <f ca="1">1/(0.76+1.5*$MI120)-(5-Control!$C$110)*0.1</f>
        <v>#N/A</v>
      </c>
      <c r="MQ120" s="172" t="e">
        <f t="shared" ca="1" si="454"/>
        <v>#DIV/0!</v>
      </c>
      <c r="MR120" s="168" t="e">
        <f t="shared" ca="1" si="426"/>
        <v>#DIV/0!</v>
      </c>
      <c r="MS120" s="173" t="e">
        <f ca="1">MAX(Control!$C$127, MIN(Control!$C$135, $MR120/MAX(0.0001,$CY120)))</f>
        <v>#DIV/0!</v>
      </c>
      <c r="MT120" s="168" t="e">
        <f ca="1">(Control!$C$128-$MS120)*Control!$C$74</f>
        <v>#DIV/0!</v>
      </c>
      <c r="MU120" s="168" t="e">
        <f ca="1">(Control!$C$135-$MS120)*Control!$C$74</f>
        <v>#DIV/0!</v>
      </c>
      <c r="MV120" s="168" t="e">
        <f t="shared" ca="1" si="427"/>
        <v>#DIV/0!</v>
      </c>
      <c r="MW120" s="168" t="e">
        <f t="shared" ca="1" si="428"/>
        <v>#DIV/0!</v>
      </c>
      <c r="MX120" s="171" t="e">
        <f ca="1">MAX(Control!$C$127, MIN(Control!$C$135, $MW120/MAX(0.0001,Control!$C$119-$CY120)))</f>
        <v>#DIV/0!</v>
      </c>
      <c r="MY120" s="54" t="e">
        <f ca="1">IF(Control!$C$114=1, $CX120*$MX120, 0)</f>
        <v>#DIV/0!</v>
      </c>
      <c r="MZ120" s="54" t="e">
        <f t="shared" ca="1" si="429"/>
        <v>#N/A</v>
      </c>
      <c r="NA120" s="168" t="e">
        <f ca="1">(Control!$C$128-$MX120)*(Control!$C$119-Control!$C$74)</f>
        <v>#DIV/0!</v>
      </c>
      <c r="NB120" s="168" t="e">
        <f ca="1">(Control!$C$135-$MX120)*(Control!$C$119-Control!$C$74)</f>
        <v>#DIV/0!</v>
      </c>
      <c r="NC120" s="174" t="e">
        <f t="shared" ca="1" si="430"/>
        <v>#DIV/0!</v>
      </c>
      <c r="ND120" s="54">
        <f ca="1">IF(Control!$C$58=2, IF(OR(Control!$B$218=$AH120,Control!$B$219=$AH120, Control!$B$220=$AH120, Control!$B$221=$AH120, Control!$B$222=$AH120, Control!$B$223=$AH120, Control!$B$224=$AH120, Control!$B$225=$AH120, Control!$B$226=$AH120, Control!$B$227=$AH120, Control!$B$228=$AH120), 1, 0), 0)</f>
        <v>0</v>
      </c>
      <c r="NE120" s="54">
        <f ca="1">IF($ND120=0,0, VLOOKUP($AH120,Control!$B$218:$C$228,2))</f>
        <v>0</v>
      </c>
      <c r="NF120" s="168" t="e">
        <f ca="1">$CY120*(Control!$C$128-Control!$C$127)</f>
        <v>#N/A</v>
      </c>
      <c r="NG120" s="54" t="e">
        <f ca="1">IF(Control!$C$58=2, $NI119-$NJ119, 0)</f>
        <v>#DIV/0!</v>
      </c>
      <c r="NH120" s="54" t="e">
        <f ca="1">IF(AND(Control!$C$58=1, $MS119&lt;= ($MN119+0.02), $I119&lt;10), 0, IF(Control!$C$58=2, $NG119, 0))</f>
        <v>#DIV/0!</v>
      </c>
      <c r="NI120" s="54" t="e">
        <f ca="1">IF(Control!$C$58=2, $NE120+$NH120,0)</f>
        <v>#DIV/0!</v>
      </c>
      <c r="NJ120" s="54" t="e">
        <f ca="1">IF(AND(Control!$C$58=1, $MS120&lt;= ($MN120+0.02), $I120&lt;10), MAX(0, MIN(10, 0.7*($NF120-$MV120))), IF(Control!$C$58=2, MIN(10,$NI120),0))</f>
        <v>#DIV/0!</v>
      </c>
      <c r="NK120" s="54" t="e">
        <f t="shared" ca="1" si="338"/>
        <v>#DIV/0!</v>
      </c>
      <c r="NL120" s="173" t="e">
        <f ca="1">(1-Control!$C$73)*$I120+$NJ120</f>
        <v>#DIV/0!</v>
      </c>
      <c r="NM120" s="172" t="e">
        <f ca="1">IF($NL120&lt;0.5, $MB120* MAX(0, MIN(1, (SQRT($NC120)-SQRT($NC120-1))*Control!$C$71)),0)</f>
        <v>#DIV/0!</v>
      </c>
      <c r="NN120" s="170" t="e">
        <f ca="1">IF($NL120&gt;=5, $MB120, MAX(0,MIN($MB120, $NM120+$NL120,($MS120-Control!$C$129))))</f>
        <v>#DIV/0!</v>
      </c>
      <c r="NO120" s="54">
        <f>IF(Control!$C$133&lt;&gt;1, Control!$C$135-Control!$C$131, 0)</f>
        <v>0.38</v>
      </c>
      <c r="NP120" s="54" t="e">
        <f t="shared" ca="1" si="339"/>
        <v>#DIV/0!</v>
      </c>
      <c r="NQ120" s="173" t="e">
        <f ca="1">MAX(0,MIN(1,(Control!$C$135-$MS120)/(Control!$C$135-$NO120)))</f>
        <v>#DIV/0!</v>
      </c>
      <c r="NR120" s="170" t="e">
        <f ca="1">IF(Control!$C$133&lt;&gt;1, $NQ120+((1-$NP120/4)*(1-$NQ120)),1)</f>
        <v>#DIV/0!</v>
      </c>
      <c r="NS120" s="170" t="e">
        <f ca="1">IF(Control!$B$31=0,$MJ120,MAX(0,MIN($MV120,$MO120*$NR120*$MJ120)))</f>
        <v>#DIV/0!</v>
      </c>
      <c r="NT120" s="170" t="e">
        <f t="shared" ca="1" si="455"/>
        <v>#DIV/0!</v>
      </c>
      <c r="NU120" s="170" t="e">
        <f t="shared" ca="1" si="431"/>
        <v>#N/A</v>
      </c>
      <c r="NV120" s="170" t="e">
        <f t="shared" ca="1" si="340"/>
        <v>#N/A</v>
      </c>
      <c r="NW120" s="175" t="e">
        <f t="shared" ca="1" si="341"/>
        <v>#DIV/0!</v>
      </c>
      <c r="NX120" s="170" t="e">
        <f ca="1">MIN(Control!$C$72+$MU120, $NW120)</f>
        <v>#DIV/0!</v>
      </c>
      <c r="NY120" s="170" t="e">
        <f ca="1">IF($MT120&lt;=$NX120,MIN(Control!$C$72+$NB120,$NX120-$MT120),0)</f>
        <v>#DIV/0!</v>
      </c>
      <c r="NZ120" s="54" t="e">
        <f ca="1">IF(Control!$C$114=1,  $CX120*($MX120-Control!$C$127), 0)</f>
        <v>#DIV/0!</v>
      </c>
      <c r="OA120" s="170" t="e">
        <f t="shared" ca="1" si="342"/>
        <v>#DIV/0!</v>
      </c>
      <c r="OB120" s="170" t="e">
        <f ca="1">IF($NA120 &lt;=$NY120, MIN(Control!$C$72, $NY120-$NA120), 0)</f>
        <v>#DIV/0!</v>
      </c>
      <c r="OC120" s="168" t="e">
        <f t="shared" ca="1" si="343"/>
        <v>#DIV/0!</v>
      </c>
      <c r="OD120" s="168" t="e">
        <f t="shared" ca="1" si="432"/>
        <v>#DIV/0!</v>
      </c>
      <c r="OE120" s="170">
        <f ca="1">Control!$C$73*$I120</f>
        <v>0</v>
      </c>
      <c r="OF120" s="176" t="e">
        <f t="shared" ca="1" si="344"/>
        <v>#DIV/0!</v>
      </c>
      <c r="OG120" s="168" t="e">
        <f t="shared" ca="1" si="345"/>
        <v>#DIV/0!</v>
      </c>
      <c r="OH120" s="168" t="e">
        <f t="shared" ca="1" si="346"/>
        <v>#DIV/0!</v>
      </c>
      <c r="OI120" s="168" t="e">
        <f t="shared" ca="1" si="347"/>
        <v>#DIV/0!</v>
      </c>
      <c r="OJ120" s="168" t="e">
        <f t="shared" ca="1" si="348"/>
        <v>#DIV/0!</v>
      </c>
      <c r="OK120" s="204" t="e">
        <f t="shared" ca="1" si="349"/>
        <v>#DIV/0!</v>
      </c>
      <c r="OL120" s="177">
        <f>Control!$C$127</f>
        <v>0.15</v>
      </c>
      <c r="OM120" s="182" t="e">
        <f t="shared" ca="1" si="350"/>
        <v>#N/A</v>
      </c>
      <c r="ON120" s="177">
        <f>Control!$C$128</f>
        <v>0.35</v>
      </c>
      <c r="OO120" s="182" t="e">
        <f t="shared" ca="1" si="351"/>
        <v>#N/A</v>
      </c>
      <c r="OP120" s="138">
        <f t="shared" ca="1" si="433"/>
        <v>0</v>
      </c>
      <c r="OQ120" s="138" t="e">
        <f t="shared" ca="1" si="456"/>
        <v>#DIV/0!</v>
      </c>
      <c r="OR120" s="138" t="e">
        <f t="shared" ca="1" si="434"/>
        <v>#DIV/0!</v>
      </c>
      <c r="OS120" s="137" t="e">
        <f t="shared" ca="1" si="457"/>
        <v>#DIV/0!</v>
      </c>
      <c r="OT120" s="139" t="e">
        <f t="shared" ca="1" si="458"/>
        <v>#DIV/0!</v>
      </c>
      <c r="OU120" s="138" t="e">
        <f t="shared" ca="1" si="459"/>
        <v>#N/A</v>
      </c>
      <c r="OV120" s="138" t="e">
        <f t="shared" ca="1" si="460"/>
        <v>#DIV/0!</v>
      </c>
      <c r="OW120" s="138" t="e">
        <f t="shared" ca="1" si="435"/>
        <v>#DIV/0!</v>
      </c>
      <c r="OX120" s="138" t="e">
        <f t="shared" ca="1" si="436"/>
        <v>#DIV/0!</v>
      </c>
      <c r="OY120" s="138" t="e">
        <f t="shared" ca="1" si="437"/>
        <v>#DIV/0!</v>
      </c>
      <c r="OZ120" s="138" t="e">
        <f t="shared" ca="1" si="352"/>
        <v>#DIV/0!</v>
      </c>
      <c r="PA120" s="138" t="e">
        <f t="shared" ca="1" si="353"/>
        <v>#DIV/0!</v>
      </c>
      <c r="PB120" s="55">
        <f>IF(Control!$C$61="T", IF(Control!$C$65="F", IF($AH$6-Control!$C$60&lt;0,0,1), IF(365+$AH$6-Control!$C$60&lt;0,0,1)),0)</f>
        <v>0</v>
      </c>
      <c r="PC120" s="55">
        <f ca="1">IF(Control!$C$65="F", IF($AH$6-$HF120&lt;0,0,1), IF(365+$AH$6-$HF120&lt;0,0,1))</f>
        <v>1</v>
      </c>
      <c r="PD120" s="444">
        <f>Control!$C$118</f>
        <v>1500</v>
      </c>
      <c r="PE120" s="180" t="e">
        <f t="shared" ca="1" si="354"/>
        <v>#N/A</v>
      </c>
      <c r="PF120" s="445">
        <f t="shared" ca="1" si="438"/>
        <v>0.71612369323045078</v>
      </c>
      <c r="PT120" s="186"/>
      <c r="PU120" s="186"/>
      <c r="PV120" s="94"/>
      <c r="PW120" s="94"/>
      <c r="PX120" s="94"/>
      <c r="PY120" s="94"/>
      <c r="PZ120" s="94"/>
      <c r="QA120" s="94"/>
      <c r="QB120" s="94"/>
      <c r="QC120" s="94"/>
      <c r="QD120" s="94"/>
      <c r="QE120" s="94"/>
      <c r="QF120" s="94"/>
      <c r="QG120" s="94"/>
      <c r="QH120" s="94"/>
      <c r="QI120" s="94"/>
      <c r="QJ120" s="94"/>
      <c r="QK120" s="94"/>
      <c r="QL120" s="94"/>
      <c r="QM120" s="94"/>
      <c r="QN120" s="94"/>
      <c r="QO120" s="94"/>
      <c r="QP120" s="94"/>
    </row>
    <row r="121" spans="1:458" s="2" customFormat="1" x14ac:dyDescent="0.2">
      <c r="A121" s="395">
        <v>26</v>
      </c>
      <c r="B121" s="396">
        <v>4</v>
      </c>
      <c r="C121" s="387">
        <f ca="1">Weather_data!$B120</f>
        <v>0</v>
      </c>
      <c r="D121" s="388">
        <f ca="1">Weather_data!$F120</f>
        <v>0</v>
      </c>
      <c r="E121" s="388">
        <f ca="1">Weather_data!$E120</f>
        <v>0</v>
      </c>
      <c r="F121" s="388">
        <f t="shared" ca="1" si="355"/>
        <v>0</v>
      </c>
      <c r="G121" s="388">
        <f ca="1">AVERAGE($D121:$E121)+Control!$B$9</f>
        <v>0</v>
      </c>
      <c r="H121" s="388">
        <f ca="1">Weather_data!$G120</f>
        <v>0</v>
      </c>
      <c r="I121" s="388">
        <f ca="1">Weather_data!$I120</f>
        <v>0</v>
      </c>
      <c r="J121" s="388">
        <f ca="1">Weather_data!$H120</f>
        <v>0</v>
      </c>
      <c r="K121" s="389">
        <f ca="1">Weather_data!$D120</f>
        <v>0</v>
      </c>
      <c r="L121" s="388" t="e">
        <f t="shared" ca="1" si="356"/>
        <v>#N/A</v>
      </c>
      <c r="M121" s="388" t="e">
        <f t="shared" ca="1" si="234"/>
        <v>#N/A</v>
      </c>
      <c r="N121" s="388">
        <f t="shared" ca="1" si="235"/>
        <v>-2.7343782434914676E-6</v>
      </c>
      <c r="O121" s="388">
        <f t="shared" ca="1" si="357"/>
        <v>2.7343782434914676E-5</v>
      </c>
      <c r="P121" s="390">
        <v>3</v>
      </c>
      <c r="Q121" s="388">
        <f ca="1">MAX($G121-Control!$C$107,0)</f>
        <v>0</v>
      </c>
      <c r="R121" s="388">
        <f t="shared" ca="1" si="358"/>
        <v>0</v>
      </c>
      <c r="S121" s="388">
        <f t="shared" ca="1" si="236"/>
        <v>0</v>
      </c>
      <c r="T121" s="388">
        <f t="shared" ca="1" si="237"/>
        <v>0</v>
      </c>
      <c r="U121" s="59">
        <f t="shared" ca="1" si="238"/>
        <v>0</v>
      </c>
      <c r="V121" s="391">
        <f ca="1">MAX(0,MIN(Control!$C$100-Control!$C$99,$G121-Control!$C$99)*Control!$C$63)</f>
        <v>0</v>
      </c>
      <c r="W121" s="388">
        <f t="shared" ca="1" si="359"/>
        <v>0</v>
      </c>
      <c r="X121" s="388">
        <f t="shared" ca="1" si="360"/>
        <v>0.6110000000000001</v>
      </c>
      <c r="Y121" s="388">
        <f t="shared" ca="1" si="239"/>
        <v>0</v>
      </c>
      <c r="Z121" s="388">
        <f t="shared" ca="1" si="361"/>
        <v>0.61058800000000002</v>
      </c>
      <c r="AA121" s="388">
        <f t="shared" ca="1" si="240"/>
        <v>0.6018</v>
      </c>
      <c r="AB121" s="388">
        <f ca="1">101.3*EXP(-0.034*Control!$C$66/($G121+273))</f>
        <v>100.69623283836242</v>
      </c>
      <c r="AC121" s="392">
        <f t="shared" ca="1" si="241"/>
        <v>4.3460251046025113E-2</v>
      </c>
      <c r="AD121" s="392">
        <f t="shared" ca="1" si="242"/>
        <v>4.4450382862832649E-2</v>
      </c>
      <c r="AE121" s="388">
        <f t="shared" ca="1" si="243"/>
        <v>0</v>
      </c>
      <c r="AF121" s="388">
        <f ca="1">MAX(0,$G121-Control!$C$92)</f>
        <v>0</v>
      </c>
      <c r="AG121" s="393">
        <f t="shared" ca="1" si="244"/>
        <v>117</v>
      </c>
      <c r="AH121" s="389">
        <f t="shared" ca="1" si="245"/>
        <v>117</v>
      </c>
      <c r="AI121" s="388">
        <f t="shared" ca="1" si="362"/>
        <v>0.23180495653261846</v>
      </c>
      <c r="AJ121" s="388">
        <f ca="1">IF(Control!$C$60&lt;=0,$HH121,$HI121)</f>
        <v>1</v>
      </c>
      <c r="AK121" s="388">
        <f t="shared" ca="1" si="246"/>
        <v>0.63692563387847867</v>
      </c>
      <c r="AL121" s="388">
        <f t="shared" ca="1" si="247"/>
        <v>-1.8038175120249632E-19</v>
      </c>
      <c r="AM121" s="388">
        <f t="shared" ca="1" si="248"/>
        <v>0.63692563387847867</v>
      </c>
      <c r="AN121" s="388">
        <f t="shared" ca="1" si="249"/>
        <v>0.23884675307485159</v>
      </c>
      <c r="AO121" s="388">
        <f ca="1">-0.10453/COS(Control!$B$8*PI()/180)*COS(AN121)</f>
        <v>-0.16496491959745865</v>
      </c>
      <c r="AP121" s="388">
        <f ca="1">ACOS(AO121-TAN(Control!$B$8*PI()/180)*TAN(AN121))</f>
        <v>2.0676067298974368</v>
      </c>
      <c r="AQ121" s="388">
        <f t="shared" ca="1" si="363"/>
        <v>0</v>
      </c>
      <c r="AR121" s="394">
        <f t="shared" ca="1" si="250"/>
        <v>0</v>
      </c>
      <c r="AS121" s="436">
        <f ca="1">IF(Control!$B$18=2,(IF(OR($AH121=Control!$B$175,$AH121=Control!$B$176,$AH121=Control!$B$177,$AH121=Control!$B$178,$AH121=Control!$B$179,$AH121=Control!$B$180,$AH121=Control!$B$181,$AH121=Control!$B$182,$AH121=Control!$B$183,$AH121=Control!$B$184,$AH121=Control!$B$185),1,0)),0)</f>
        <v>0</v>
      </c>
      <c r="AT121" s="436">
        <f>IF(Control!$B$20=8,IF(AND($AH121&gt;=Control!$B$172,$AH121&lt;=Control!$B$173),1,0),0)</f>
        <v>0</v>
      </c>
      <c r="AU121" s="436">
        <f>IF(Control!$B$20=8,IF($AV120=1,1*$AT121,IF($AT121=1,$AU120+1,$AU120)),0)</f>
        <v>0</v>
      </c>
      <c r="AV121" s="436">
        <f>IF(Control!$B$20=8,IF($AU121&gt;=Control!$B$174,1,0),0)</f>
        <v>0</v>
      </c>
      <c r="AW121" s="436">
        <f ca="1">IF(AND(Control!$B$18=2,Control!$B$171=1), $AV121, $AS121)</f>
        <v>0</v>
      </c>
      <c r="AX121" s="436" t="e">
        <f ca="1">IF(AND(Control!$B$18=1,$EU121&gt;=Control!$B$19),-$AY121,IF(AND(Control!$B$18=2,$AW121=1,$EU121&gt;$DS121),-$AY121, IF(Control!$C$108=0,0, IF(Control!$C$108&lt;&gt;0,1))))</f>
        <v>#N/A</v>
      </c>
      <c r="AY121" s="436" t="e">
        <f t="shared" ca="1" si="364"/>
        <v>#N/A</v>
      </c>
      <c r="AZ121" s="436" t="e">
        <f ca="1">IF(AND(Control!$B$18=1,$EB121&gt;Control!$B$19),$AZ120+1, IF(AND(Control!$B$18=2, $AW121=1, $EB121&gt;$DS121), $AZ120+1,$AZ120))</f>
        <v>#N/A</v>
      </c>
      <c r="BA121" s="587">
        <f>IF(Control!$C$81=0,1,IF($AH121&gt;=Control!$C$82,1,0))</f>
        <v>1</v>
      </c>
      <c r="BB121" s="140" t="e">
        <f ca="1">IF($BA121&gt;$BA120,Control!$C$83,IF($AW121&gt;0,$AW121*Control!$C$84,IF(AND(Control!$B$18=1,EN120&lt;&gt;0),Control!$C$84,0)))</f>
        <v>#N/A</v>
      </c>
      <c r="BC121" s="140" t="e">
        <f t="shared" ca="1" si="365"/>
        <v>#N/A</v>
      </c>
      <c r="BD121" s="140" t="e">
        <f ca="1">BC121*IF(OR($G121&lt;Control!$C$92,$G121&gt;Control!$C$95),0,IF(AND($G121&gt;=Control!$C$92,$G121&lt;=Control!$C$93),$G121-Control!$C$92,IF(AND($G121&gt;Control!$C$93,$G121&lt;=Control!$C$94),Control!$C$93-Control!$C$92,IF(AND($G121&gt;Control!$C$94,$G121&lt;=Control!$C$95),(Control!$C$93-Control!$C$92)*(Control!$C$94-$G121)/(Control!$C$95-Control!$C$94)))))</f>
        <v>#N/A</v>
      </c>
      <c r="BE121" s="140" t="e">
        <f t="shared" ca="1" si="366"/>
        <v>#N/A</v>
      </c>
      <c r="BF121" s="140" t="e">
        <f ca="1">IF($BE121&lt;=Control!$C$86,$BE121,Control!$C$86-$BE121)</f>
        <v>#N/A</v>
      </c>
      <c r="BG121" s="140" t="e">
        <f ca="1">IF(AND($AW121=1,Control!$C$84&lt;9),1,IF($BE121&gt;=Control!$C$86,0,$BC121))</f>
        <v>#N/A</v>
      </c>
      <c r="BH121" s="404" t="e">
        <f ca="1">IF($BG121=0,0,IF($BE121&lt;=Control!$C$86,$BC121*9*($BF121/Control!$C$86),0))</f>
        <v>#N/A</v>
      </c>
      <c r="BI121" s="140" t="e">
        <f ca="1">IF($BG121=1,0,IF($BE121&gt;=Control!$C$86,1,IF(AND($BB121&lt;21,$BB121&gt;=9),1,$BM120)))</f>
        <v>#N/A</v>
      </c>
      <c r="BJ121" s="140" t="e">
        <f ca="1">IF($BF121&lt;0,-$BF121,$BI121*IF(OR($G121&lt;Control!$C$92,$G121&gt;Control!$C$95),0,IF(AND($G121&gt;=Control!$C$92,$G121&lt;=Control!$C$93),$G121-Control!$C$92,IF(AND($G121&gt;Control!$C$93,$G121&lt;=Control!$C$94),Control!$C$93-Control!$C$92,IF(AND($G121&gt;Control!$C$94,$G121&lt;=Control!$C$95),(Control!$C$93-Control!$C$92)*(Control!$C$94-$G121)/(Control!$C$95-Control!$C$94))))))</f>
        <v>#N/A</v>
      </c>
      <c r="BK121" s="140" t="e">
        <f t="shared" ca="1" si="367"/>
        <v>#N/A</v>
      </c>
      <c r="BL121" s="140" t="e">
        <f ca="1">IF($BK121&lt;=Control!$C$87,$BK121,Control!$C$87-$BK121)</f>
        <v>#N/A</v>
      </c>
      <c r="BM121" s="140" t="e">
        <f ca="1">IF(AND($BB121&gt;=9,$BB121&lt;21),1,IF($BK121&gt;=Control!$C$87,0,$BI121))</f>
        <v>#N/A</v>
      </c>
      <c r="BN121" s="404" t="e">
        <f ca="1">IF($BM121=0,0,IF($BK121&lt;=Control!$C$87,$BI121*(9+(21-9)*($BL121/Control!$C$87)),0))</f>
        <v>#N/A</v>
      </c>
      <c r="BO121" s="140" t="e">
        <f ca="1">IF($BM121=1,0,IF($BK121&gt;=Control!$C$87,1,IF(AND($BB121&lt;30,$BB121&gt;=21),1,$BS120)))</f>
        <v>#N/A</v>
      </c>
      <c r="BP121" s="140" t="e">
        <f ca="1">IF($BL121&lt;0,-$BL121,$BO121*IF(OR($G121&lt;Control!$C$92,$G121&gt;Control!$C$95),0,IF(AND($G121&gt;=Control!$C$92,$G121&lt;=Control!$C$93),$G121-Control!$C$92,IF(AND($G121&gt;Control!$C$93,$G121&lt;=Control!$C$94),Control!$C$93-Control!$C$92,IF(AND($G121&gt;Control!$C$94,$G121&lt;=Control!$C$95),(Control!$C$93-Control!$C$92)*(Control!$C$94-$G121)/(Control!$C$95-Control!$C$94))))))</f>
        <v>#N/A</v>
      </c>
      <c r="BQ121" s="140" t="e">
        <f t="shared" ca="1" si="251"/>
        <v>#N/A</v>
      </c>
      <c r="BR121" s="140" t="e">
        <f ca="1">IF($BQ121&lt;=Control!$C$88,$BQ121,Control!$C$88-$BQ121)</f>
        <v>#N/A</v>
      </c>
      <c r="BS121" s="140" t="e">
        <f ca="1">IF(AND($BB121&gt;=21,$BB121&lt;30),1,IF($BQ121&gt;=Control!$C$88,0,$BO121))</f>
        <v>#N/A</v>
      </c>
      <c r="BT121" s="404" t="e">
        <f ca="1">IF($BS121=0,0,IF($BQ121&lt;=Control!$C$88,$BO121*(21+(30-21)*(BR121/Control!$C$88)),0))</f>
        <v>#N/A</v>
      </c>
      <c r="BU121" s="140" t="e">
        <f ca="1">IF(BG121+BM121+BS121=1,0,IF(OR(AND($BB121&lt;60,$BB121&gt;=30),$BQ121&gt;=Control!$C$88),1*$BA121,$BY120))</f>
        <v>#N/A</v>
      </c>
      <c r="BV121" s="140" t="e">
        <f ca="1">IF($BR121&lt;0,-$BR121,$BU121*IF(OR($G121&lt;Control!$C$92,$G121&gt;Control!$C$95),0,IF(AND($G121&gt;=Control!$C$92,$G121&lt;=Control!$C$93),$G121-Control!$C$92,IF(AND($G121&gt;Control!$C$93,$G121&lt;=Control!$C$94),Control!$C$93-Control!$C$92,IF(AND($G121&gt;Control!$C$94,$G121&lt;=Control!$C$95),(Control!$C$93-Control!$C$92)*(Control!$C$94-$G121)/(Control!$C$95-Control!$C$94))))))</f>
        <v>#N/A</v>
      </c>
      <c r="BW121" s="140" t="e">
        <f t="shared" ca="1" si="252"/>
        <v>#N/A</v>
      </c>
      <c r="BX121" s="140" t="e">
        <f ca="1">IF($BW121&lt;=Control!$C$89,$BW121,Control!$C$89-$BW121)</f>
        <v>#N/A</v>
      </c>
      <c r="BY121" s="140" t="e">
        <f ca="1">IF(AND($AJ121&gt;=30,$AJ121&lt;60),1,IF($BW121&gt;=Control!$C$89,0,$BU121))</f>
        <v>#N/A</v>
      </c>
      <c r="BZ121" s="404" t="e">
        <f ca="1">IF($BY121=0,0,IF($BW121&lt;=Control!$C$89,$BU121*(30+(60-30)*(BX121/Control!$C$89)),0))</f>
        <v>#N/A</v>
      </c>
      <c r="CA121" s="140" t="e">
        <f ca="1">IF($BG121+$BM121+$BS121+$BY121=1,0,IF(OR(AND($BB121&lt;65,$BB121&gt;=60),$BW121&gt;=Control!$C$89),1*$BA121,$CE120))</f>
        <v>#N/A</v>
      </c>
      <c r="CB121" s="140" t="e">
        <f ca="1">IF($BX121&lt;0,-$BX121,$CA121*IF(OR($G121&lt;Control!$C$92,$G121&gt;Control!$C$95),0,IF(AND($G121&gt;=Control!$C$92,$G121&lt;=Control!$C$93),$G121-Control!$C$92,IF(AND($G121&gt;Control!$C$93,$G121&lt;=Control!$C$94),Control!$C$93-Control!$C$92,IF(AND($G121&gt;Control!$C$94,$G121&lt;=Control!$C$95),(Control!$C$93-Control!$C$92)*(Control!$C$94-$G121)/(Control!$C$95-Control!$C$94))))))</f>
        <v>#N/A</v>
      </c>
      <c r="CC121" s="140" t="e">
        <f t="shared" ca="1" si="368"/>
        <v>#N/A</v>
      </c>
      <c r="CD121" s="140" t="e">
        <f ca="1">IF($CC121&lt;=Control!$C$90,$CC121,Control!$C$90-$CC121)</f>
        <v>#N/A</v>
      </c>
      <c r="CE121" s="140" t="e">
        <f ca="1">IF(AND($BB121&gt;=60,$BB121&lt;65),1,IF($CC121&gt;=Control!$C$90,0,$CA121))</f>
        <v>#N/A</v>
      </c>
      <c r="CF121" s="404" t="e">
        <f ca="1">IF($CE121=0,0,IF($CC121&lt;=Control!$C$90,$CA121*(60+(65-60)*(CD121/Control!$C$90)),0))</f>
        <v>#N/A</v>
      </c>
      <c r="CG121" s="140" t="e">
        <f ca="1">IF($BG121+$BM121+$BS121+$BY121+$CE121=1,0,IF(OR(AND($BB121&lt;90,$BB121&gt;=65),$CC121&gt;=Control!$C$90),$BA121,$CK120))</f>
        <v>#N/A</v>
      </c>
      <c r="CH121" s="140" t="e">
        <f ca="1">IF($CD121&lt;0,-$CD121,$CG121*IF(OR($G121&lt;Control!$C$92,$G121&gt;Control!$C$95),0,IF(AND($G121&gt;=Control!$C$92,$G121&lt;=Control!$C$93),$G121-Control!$C$92,IF(AND($G121&gt;Control!$C$93,$G121&lt;=Control!$C$94),Control!$C$93-Control!$C$92,IF(AND($G121&gt;Control!$C$94,$G121&lt;=Control!$C$95),(Control!$C$93-Control!$C$92)*(Control!$C$94-$G121)/(Control!$C$95-Control!$C$94))))))</f>
        <v>#N/A</v>
      </c>
      <c r="CI121" s="140" t="e">
        <f t="shared" ca="1" si="369"/>
        <v>#N/A</v>
      </c>
      <c r="CJ121" s="140" t="e">
        <f ca="1">IF($CI121&lt;=Control!$C$91,$CI121,Control!$C$91-$CI121)</f>
        <v>#N/A</v>
      </c>
      <c r="CK121" s="140" t="e">
        <f ca="1">IF(AND($BB121&gt;=65,$BB121&lt;90),1,IF($CI121&gt;=Control!$C$91,0,$CG121))</f>
        <v>#N/A</v>
      </c>
      <c r="CL121" s="404" t="e">
        <f ca="1">IF($CK121=0,0,IF($CI121&lt;=Control!$C$91,$CG121*(65+(90-65)*($CJ121/Control!$C$91)),0))</f>
        <v>#N/A</v>
      </c>
      <c r="CM121" s="140" t="e">
        <f ca="1">IF($BG121+$BM121+$BS121+$BY121+$CE121+$CK121=1,0,IF(OR($BB121&gt;=90,$CI121&gt;=Control!$C$91),$BA121,$CM120))</f>
        <v>#N/A</v>
      </c>
      <c r="CN121" s="140" t="e">
        <f t="shared" ca="1" si="370"/>
        <v>#N/A</v>
      </c>
      <c r="CO121" s="140" t="e">
        <f t="shared" ca="1" si="371"/>
        <v>#N/A</v>
      </c>
      <c r="CP121" s="140" t="e">
        <f t="shared" ca="1" si="372"/>
        <v>#N/A</v>
      </c>
      <c r="CQ121" s="141" t="e">
        <f ca="1">VLOOKUP($CP121,Control!$B$86:$G$91,6)</f>
        <v>#N/A</v>
      </c>
      <c r="CR121" s="141" t="e">
        <f ca="1">(1-$CQ121)*VLOOKUP($CP121,Control!$B$86:$D$91,3)</f>
        <v>#N/A</v>
      </c>
      <c r="CS121" s="141" t="e">
        <f ca="1">(1-$CQ121)*VLOOKUP($CP121,Control!$B$86:$E$91,4)</f>
        <v>#N/A</v>
      </c>
      <c r="CT121" s="141" t="e">
        <f ca="1">(1-$CQ121)*VLOOKUP($CP121,Control!$B$86:$F$91,5)</f>
        <v>#N/A</v>
      </c>
      <c r="CU121" s="141">
        <f t="shared" ca="1" si="373"/>
        <v>0</v>
      </c>
      <c r="CV121" s="583">
        <f t="shared" ca="1" si="374"/>
        <v>0</v>
      </c>
      <c r="CW121" s="142">
        <f t="shared" ca="1" si="375"/>
        <v>117</v>
      </c>
      <c r="CX121" s="612" t="e">
        <f ca="1">IF(Control!$C$114=1,(MIN(Control!$C$120*(IF($NT121-0.01&lt;0,0,1)),Control!$C$119-$CY121)))</f>
        <v>#DIV/0!</v>
      </c>
      <c r="CY121" s="143" t="e">
        <f t="shared" ca="1" si="376"/>
        <v>#N/A</v>
      </c>
      <c r="CZ121" s="144">
        <f t="shared" ca="1" si="253"/>
        <v>0</v>
      </c>
      <c r="DA121" s="144">
        <f t="shared" ca="1" si="254"/>
        <v>0</v>
      </c>
      <c r="DB121" s="144" t="e">
        <f t="shared" ca="1" si="255"/>
        <v>#N/A</v>
      </c>
      <c r="DC121" s="144" t="e">
        <f t="shared" ca="1" si="256"/>
        <v>#N/A</v>
      </c>
      <c r="DD121" s="144" t="e">
        <f t="shared" ca="1" si="461"/>
        <v>#N/A</v>
      </c>
      <c r="DE121" s="143" t="e">
        <f t="shared" ca="1" si="377"/>
        <v>#N/A</v>
      </c>
      <c r="DF121" s="145" t="e">
        <f ca="1">$DR121*EXP(-Control!$C$158*(1-$KH121))</f>
        <v>#N/A</v>
      </c>
      <c r="DG121" s="146" t="e">
        <f ca="1">IF(Control!$C$114=1, $DF121*$EY121, 0)</f>
        <v>#N/A</v>
      </c>
      <c r="DH121" s="147" t="e">
        <f t="shared" ca="1" si="378"/>
        <v>#N/A</v>
      </c>
      <c r="DI121" s="144" t="e">
        <f t="shared" ca="1" si="439"/>
        <v>#N/A</v>
      </c>
      <c r="DJ121" s="147" t="e">
        <f ca="1">$EF121*Control!$C$109</f>
        <v>#N/A</v>
      </c>
      <c r="DK121" s="144" t="e">
        <f t="shared" ca="1" si="379"/>
        <v>#N/A</v>
      </c>
      <c r="DL121" s="144" t="e">
        <f t="shared" ca="1" si="257"/>
        <v>#N/A</v>
      </c>
      <c r="DM121" s="144" t="e">
        <f ca="1">IF(Control!$C$114=1, (1-EXP(-Control!$C$96*$DK121))*$AR121, 0)</f>
        <v>#N/A</v>
      </c>
      <c r="DN121" s="144">
        <f t="shared" ca="1" si="380"/>
        <v>0</v>
      </c>
      <c r="DO121" s="148">
        <f>Control!$C$97</f>
        <v>4</v>
      </c>
      <c r="DP121" s="145" t="e">
        <f t="shared" ca="1" si="381"/>
        <v>#N/A</v>
      </c>
      <c r="DQ121" s="145" t="e">
        <f ca="1">IF(AND($CP121&gt;=0,$CP121&lt;=90),Control!$C$111,Control!$C$111)</f>
        <v>#N/A</v>
      </c>
      <c r="DR121" s="145" t="e">
        <f t="shared" ca="1" si="258"/>
        <v>#N/A</v>
      </c>
      <c r="DS121" s="143" t="e">
        <f ca="1">Control!$B$22/$DR121</f>
        <v>#N/A</v>
      </c>
      <c r="DT121" s="149" t="e">
        <f ca="1">IF(AND(Control!$C$114=1,$KH121&lt;1),$IM121*$DF121, 0)</f>
        <v>#N/A</v>
      </c>
      <c r="DU121" s="144" t="e">
        <f t="shared" ca="1" si="382"/>
        <v>#N/A</v>
      </c>
      <c r="DV121" s="144">
        <f ca="1">IF($G121-Control!$C$107&lt;=0, 0, 0.83*LN(MAX($G121, 3))-0.8924)</f>
        <v>0</v>
      </c>
      <c r="DW121" s="144" t="e">
        <f t="shared" ca="1" si="259"/>
        <v>#N/A</v>
      </c>
      <c r="DX121" s="150" t="e">
        <f ca="1">MAX(0.01*(1+$CU121/Control!$C$102),0.05*($DK121-Control!$C$97)/Control!$C$97)</f>
        <v>#N/A</v>
      </c>
      <c r="DY121" s="151" t="e">
        <f ca="1">IF(Control!$C$114=1, $DI121*$FS121, 0)</f>
        <v>#N/A</v>
      </c>
      <c r="DZ121" s="196" t="e">
        <f t="shared" ca="1" si="383"/>
        <v>#N/A</v>
      </c>
      <c r="EA121" s="152">
        <f t="shared" ca="1" si="384"/>
        <v>117</v>
      </c>
      <c r="EB121" s="153" t="e">
        <f t="shared" ca="1" si="385"/>
        <v>#N/A</v>
      </c>
      <c r="EC121" s="153" t="e">
        <f t="shared" ca="1" si="386"/>
        <v>#N/A</v>
      </c>
      <c r="ED121" s="154" t="e">
        <f ca="1">IF(Control!$C$114=1, $HM121*$FY121-$FD121, 0)</f>
        <v>#DIV/0!</v>
      </c>
      <c r="EE121" s="155" t="e">
        <f ca="1">IF(Control!$C$114=1, $HM121*$FZ121-$FF121, 0)</f>
        <v>#DIV/0!</v>
      </c>
      <c r="EF121" s="153" t="e">
        <f t="shared" ca="1" si="440"/>
        <v>#N/A</v>
      </c>
      <c r="EG121" s="155" t="e">
        <f ca="1">IF(Control!$C$114=1, $GX121*$FW121-$FI121, 0)</f>
        <v>#DIV/0!</v>
      </c>
      <c r="EH121" s="153" t="e">
        <f t="shared" ca="1" si="387"/>
        <v>#N/A</v>
      </c>
      <c r="EI121" s="156" t="e">
        <f t="shared" ca="1" si="388"/>
        <v>#N/A</v>
      </c>
      <c r="EJ121" s="155" t="e">
        <f ca="1">IF(Control!$C$114=1, $HM121*$GB121, 0)</f>
        <v>#DIV/0!</v>
      </c>
      <c r="EK121" s="153" t="e">
        <f t="shared" ca="1" si="441"/>
        <v>#N/A</v>
      </c>
      <c r="EL121" s="153" t="e">
        <f t="shared" ca="1" si="260"/>
        <v>#N/A</v>
      </c>
      <c r="EM121" s="153" t="e">
        <f t="shared" ca="1" si="261"/>
        <v>#N/A</v>
      </c>
      <c r="EN121" s="153" t="e">
        <f ca="1">IF(Control!$C$108=1,IF(AND(Control!$B$18=1,$EB121&gt;=Control!$B$19),$EB121-$DS121,IF(AND(Control!$B$18=2,$AW121=1,$EB121&gt;$DS121),$EB121-$DS121,0)))</f>
        <v>#N/A</v>
      </c>
      <c r="EO121" s="153" t="e">
        <f ca="1">IF(Control!$C$108=1,IF(AND(Control!$B$18=1,$EB121&gt;=Control!$B$19),$EF121,IF(AND(Control!$B$18=2,$AW121=1),$EF121,0)))</f>
        <v>#N/A</v>
      </c>
      <c r="EP121" s="153" t="e">
        <f ca="1">IF(Control!$C$108=1,IF(AND(Control!$B$18=1,$EB121&gt;=Control!$B$19),$EK121,IF(AND(Control!$B$18=2,$AW121=1),$EK121,0)))</f>
        <v>#N/A</v>
      </c>
      <c r="EQ121" s="153" t="e">
        <f t="shared" ca="1" si="389"/>
        <v>#N/A</v>
      </c>
      <c r="ER121" s="153" t="e">
        <f t="shared" ca="1" si="390"/>
        <v>#N/A</v>
      </c>
      <c r="ES121" s="153" t="e">
        <f t="shared" ca="1" si="442"/>
        <v>#N/A</v>
      </c>
      <c r="ET121" s="153" t="e">
        <f t="shared" ca="1" si="443"/>
        <v>#N/A</v>
      </c>
      <c r="EU121" s="153" t="e">
        <f t="shared" ca="1" si="391"/>
        <v>#N/A</v>
      </c>
      <c r="EV121" s="153" t="e">
        <f t="shared" ca="1" si="262"/>
        <v>#N/A</v>
      </c>
      <c r="EW121" s="153" t="e">
        <f t="shared" ca="1" si="263"/>
        <v>#N/A</v>
      </c>
      <c r="EX121" s="153" t="e">
        <f t="shared" ca="1" si="264"/>
        <v>#N/A</v>
      </c>
      <c r="EY121" s="157" t="e">
        <f t="shared" ca="1" si="265"/>
        <v>#DIV/0!</v>
      </c>
      <c r="EZ121" s="154" t="e">
        <f t="shared" ca="1" si="266"/>
        <v>#DIV/0!</v>
      </c>
      <c r="FA121" s="153" t="e">
        <f t="shared" ca="1" si="392"/>
        <v>#N/A</v>
      </c>
      <c r="FB121" s="153" t="e">
        <f t="shared" ca="1" si="267"/>
        <v>#N/A</v>
      </c>
      <c r="FC121" s="193" t="e">
        <f t="shared" ca="1" si="268"/>
        <v>#N/A</v>
      </c>
      <c r="FD121" s="158" t="e">
        <f t="shared" ca="1" si="393"/>
        <v>#N/A</v>
      </c>
      <c r="FE121" s="158" t="e">
        <f t="shared" ca="1" si="394"/>
        <v>#N/A</v>
      </c>
      <c r="FF121" s="159" t="e">
        <f t="shared" ca="1" si="269"/>
        <v>#N/A</v>
      </c>
      <c r="FG121" s="160" t="e">
        <f t="shared" ca="1" si="395"/>
        <v>#N/A</v>
      </c>
      <c r="FH121" s="158" t="e">
        <f t="shared" ca="1" si="396"/>
        <v>#N/A</v>
      </c>
      <c r="FI121" s="159" t="e">
        <f t="shared" ca="1" si="270"/>
        <v>#N/A</v>
      </c>
      <c r="FJ121" s="160" t="e">
        <f t="shared" ca="1" si="397"/>
        <v>#N/A</v>
      </c>
      <c r="FK121" s="160" t="e">
        <f t="shared" ca="1" si="271"/>
        <v>#N/A</v>
      </c>
      <c r="FL121" s="160" t="e">
        <f t="shared" ca="1" si="444"/>
        <v>#N/A</v>
      </c>
      <c r="FM121" s="160" t="e">
        <f t="shared" ca="1" si="272"/>
        <v>#N/A</v>
      </c>
      <c r="FN121" s="158">
        <f t="shared" ca="1" si="398"/>
        <v>0.01</v>
      </c>
      <c r="FO121" s="160">
        <f>Control!$C$101</f>
        <v>50</v>
      </c>
      <c r="FP121" s="150" t="e">
        <f t="shared" ca="1" si="273"/>
        <v>#N/A</v>
      </c>
      <c r="FQ121" s="150" t="e">
        <f ca="1">MAX(0,(Control!$C$112*(($DK121-Control!$C$97)/Control!$C$97)))</f>
        <v>#N/A</v>
      </c>
      <c r="FR121" s="150" t="e">
        <f ca="1">(1-$NT121)*Control!$C$113</f>
        <v>#DIV/0!</v>
      </c>
      <c r="FS121" s="198" t="e">
        <f t="shared" ca="1" si="274"/>
        <v>#N/A</v>
      </c>
      <c r="FT121" s="161">
        <f t="shared" ca="1" si="399"/>
        <v>117</v>
      </c>
      <c r="FU121" s="162" t="e">
        <f ca="1">IF(Control!$B$34=1,VLOOKUP($CP121,Control!$B$86:$G$91,6),Control!$B$35)</f>
        <v>#N/A</v>
      </c>
      <c r="FV121" s="162" t="e">
        <f t="shared" ca="1" si="275"/>
        <v>#DIV/0!</v>
      </c>
      <c r="FW121" s="162" t="e">
        <f ca="1">IF(Control!$B$31=1,$FU121*$FV121,  $FU121)</f>
        <v>#N/A</v>
      </c>
      <c r="FX121" s="162" t="e">
        <f ca="1">IF(Control!$B$34=1,VLOOKUP($CP121,Control!$B$86:$G$91,3),Control!$B$36)</f>
        <v>#N/A</v>
      </c>
      <c r="FY121" s="162" t="e">
        <f t="shared" ca="1" si="276"/>
        <v>#N/A</v>
      </c>
      <c r="FZ121" s="162" t="e">
        <f ca="1">IF(Control!$B$34=1,VLOOKUP($CP121,Control!$B$86:$G$91,4),Control!$B$37)</f>
        <v>#N/A</v>
      </c>
      <c r="GA121" s="162" t="e">
        <f t="shared" ca="1" si="277"/>
        <v>#N/A</v>
      </c>
      <c r="GB121" s="162" t="e">
        <f ca="1">IF(Control!$B$34=1,VLOOKUP($CP121,Control!$B$86:$G$91,5),Control!$B$38)</f>
        <v>#N/A</v>
      </c>
      <c r="GC121" s="162" t="e">
        <f t="shared" ca="1" si="400"/>
        <v>#N/A</v>
      </c>
      <c r="GD121" s="162">
        <f t="shared" ca="1" si="278"/>
        <v>1</v>
      </c>
      <c r="GE121" s="162">
        <f t="shared" ca="1" si="279"/>
        <v>1</v>
      </c>
      <c r="GF121" s="162">
        <f ca="1">IF(AND(Control!$C$104=1, Control!$C$62="F"),$GE121,1)</f>
        <v>1</v>
      </c>
      <c r="GG121" s="162" t="e">
        <f ca="1">IF(Control!$B$16=40,0,IF(AND(Control!$B$16&gt;40,Control!$B$16&lt;=360),(Control!$B$16-40)*((1-0)/(360-40)),IF(AND(Control!$B$16&gt;360,Control!$B$16&lt;=720),(1+(Control!$B$16-360)*((1.25-1)/(720-360))),IF(AND(Control!$B$16&gt;720,Control!$B$16&lt;=1000),(1.25+(Control!$B$16-720)*((1.35-1.25)/(1000-720))),IF(AND(Control!$B$16&gt;1000,Control!$B$16&lt;=2000),(1.35+(Control!$B$16-1000)*0))))))</f>
        <v>#N/A</v>
      </c>
      <c r="GH121" s="162" t="e">
        <f t="shared" ca="1" si="280"/>
        <v>#N/A</v>
      </c>
      <c r="GI121" s="162">
        <f t="shared" ca="1" si="401"/>
        <v>0</v>
      </c>
      <c r="GJ121" s="162">
        <f t="shared" ca="1" si="281"/>
        <v>0</v>
      </c>
      <c r="GK121" s="162">
        <f t="shared" ca="1" si="402"/>
        <v>1</v>
      </c>
      <c r="GL121" s="162">
        <f t="shared" ca="1" si="282"/>
        <v>1</v>
      </c>
      <c r="GM121" s="162" t="e">
        <f ca="1">MAX(0,MIN(1,1-Control!$C$156*(1.0001-$KH121)^2))</f>
        <v>#N/A</v>
      </c>
      <c r="GN121" s="162" t="e">
        <f ca="1">IF(Control!$B$26=1,$KU121,$KX121)</f>
        <v>#N/A</v>
      </c>
      <c r="GO121" s="162" t="e">
        <f ca="1">IF($CP121&lt;=60,Control!$C$105,IF($CP121&gt;=90,Control!$C$106,Control!$C$105+($CP121-60)*((Control!$C$106-Control!$C$105)/(90-60))))</f>
        <v>#N/A</v>
      </c>
      <c r="GP121" s="162" t="e">
        <f t="shared" ca="1" si="283"/>
        <v>#N/A</v>
      </c>
      <c r="GQ121" s="162" t="e">
        <f t="shared" ca="1" si="403"/>
        <v>#N/A</v>
      </c>
      <c r="GR121" s="163" t="e">
        <f t="shared" ca="1" si="284"/>
        <v>#DIV/0!</v>
      </c>
      <c r="GS121" s="162" t="e">
        <f t="shared" ca="1" si="285"/>
        <v>#DIV/0!</v>
      </c>
      <c r="GT121" s="164" t="e">
        <f t="shared" ca="1" si="404"/>
        <v>#N/A</v>
      </c>
      <c r="GU121" s="162" t="e">
        <f t="shared" ca="1" si="405"/>
        <v>#N/A</v>
      </c>
      <c r="GV121" s="162" t="e">
        <f t="shared" ca="1" si="286"/>
        <v>#N/A</v>
      </c>
      <c r="GW121" s="162" t="e">
        <f t="shared" ca="1" si="287"/>
        <v>#DIV/0!</v>
      </c>
      <c r="GX121" s="162" t="e">
        <f t="shared" ca="1" si="406"/>
        <v>#DIV/0!</v>
      </c>
      <c r="GY121" s="162" t="e">
        <f t="shared" ca="1" si="407"/>
        <v>#DIV/0!</v>
      </c>
      <c r="GZ121" s="165" t="e">
        <f t="shared" ca="1" si="288"/>
        <v>#N/A</v>
      </c>
      <c r="HA121" s="162" t="e">
        <f ca="1">IF(Control!$C$114=1, $DI121*$FS121, 0)</f>
        <v>#N/A</v>
      </c>
      <c r="HB121" s="162" t="e">
        <f ca="1">$FA121/Control!$C$64</f>
        <v>#N/A</v>
      </c>
      <c r="HC121" s="162" t="e">
        <f t="shared" ca="1" si="289"/>
        <v>#DIV/0!</v>
      </c>
      <c r="HD121" s="162">
        <f ca="1">-ASIN(SIN(23.45*Control!$C$139)*COS(2*Control!$C$138*($AH121+10)/365))</f>
        <v>0.23180495653261846</v>
      </c>
      <c r="HE121" s="165">
        <f t="shared" ca="1" si="408"/>
        <v>0</v>
      </c>
      <c r="HF121" s="166">
        <f ca="1">IF(AND(Control!$C$61="T",$HE121&gt;=Control!$C$103,Control!$C$114=0),$AH121,Control!$C$59)</f>
        <v>1</v>
      </c>
      <c r="HG121" s="166">
        <f ca="1">IF(AND(Control!$C$61="T",$HE121&gt;=Control!$C$103,Control!$C$114=0),$HF121,Control!$C$59)</f>
        <v>1</v>
      </c>
      <c r="HH121" s="165">
        <f ca="1">IF(AND(OR(Control!$C$60&lt;=0, $AH121= Control!$C$59, Control!$C$60 &gt;0, $AH121 = Control!$C$60)), Control!$C$59, IF(Control!$C$60&gt;0, 0))</f>
        <v>1</v>
      </c>
      <c r="HI121" s="165">
        <f ca="1">IF(AND(OR(Control!$C$60&lt;=0, $AH121= Control!$C$59, Control!$C$60 &gt;0, $AH121 = Control!$C$60)), Control!$C$60, IF(Control!$C$60&lt;=0, 0))</f>
        <v>0</v>
      </c>
      <c r="HJ121" s="166">
        <f ca="1">IF(AND(Control!$C$62="F",$CV121&gt;=Control!$C$102),$AH121,0)</f>
        <v>0</v>
      </c>
      <c r="HK121" s="165" t="e">
        <f t="shared" ca="1" si="445"/>
        <v>#N/A</v>
      </c>
      <c r="HL121" s="166">
        <f ca="1">IF(AND(Control!$C$61="T",$HE121&gt;=Control!$C$103,Control!$C$114=0),$HF121,0)</f>
        <v>0</v>
      </c>
      <c r="HM121" s="201" t="e">
        <f t="shared" ca="1" si="290"/>
        <v>#DIV/0!</v>
      </c>
      <c r="HN121" s="215">
        <f t="shared" ca="1" si="409"/>
        <v>117</v>
      </c>
      <c r="HO121" s="216" t="e">
        <f ca="1">IF(AND($CP121&gt;=0, $CP121&lt;=90), Control!$C$152, Control!$C$152)</f>
        <v>#N/A</v>
      </c>
      <c r="HP121" s="216" t="e">
        <f t="shared" ca="1" si="291"/>
        <v>#N/A</v>
      </c>
      <c r="HQ121" s="217" t="e">
        <f ca="1">IF(OR(Control!$B$26=1,Control!$B$26=2),$KV121,$KS121)</f>
        <v>#DIV/0!</v>
      </c>
      <c r="HR121" s="218" t="e">
        <f t="shared" ca="1" si="446"/>
        <v>#DIV/0!</v>
      </c>
      <c r="HS121" s="216" t="e">
        <f ca="1">Control!$C$154*$HP121</f>
        <v>#N/A</v>
      </c>
      <c r="HT121" s="216" t="e">
        <f ca="1">Control!$C$155*$HP121</f>
        <v>#N/A</v>
      </c>
      <c r="HU121" s="217" t="e">
        <f ca="1">Control!$C$161*$FI121</f>
        <v>#N/A</v>
      </c>
      <c r="HV121" s="218" t="e">
        <f t="shared" ca="1" si="410"/>
        <v>#N/A</v>
      </c>
      <c r="HW121" s="218" t="e">
        <f ca="1">Control!$C$160*$FF121+$IP121*$EO121</f>
        <v>#N/A</v>
      </c>
      <c r="HX121" s="218" t="e">
        <f t="shared" ca="1" si="447"/>
        <v>#N/A</v>
      </c>
      <c r="HY121" s="219" t="e">
        <f ca="1">IF(Control!$C$114=1, $EB121*$FS121, 0)</f>
        <v>#N/A</v>
      </c>
      <c r="HZ121" s="91" t="e">
        <f t="shared" ca="1" si="292"/>
        <v>#N/A</v>
      </c>
      <c r="IA121" s="220" t="e">
        <f ca="1">Control!$C$153*$HO121</f>
        <v>#N/A</v>
      </c>
      <c r="IB121" s="218" t="e">
        <f t="shared" ca="1" si="293"/>
        <v>#N/A</v>
      </c>
      <c r="IC121" s="220" t="e">
        <f ca="1">Control!$C$153*$HT121</f>
        <v>#N/A</v>
      </c>
      <c r="ID121" s="218" t="e">
        <f t="shared" ca="1" si="294"/>
        <v>#N/A</v>
      </c>
      <c r="IE121" s="221" t="e">
        <f ca="1">($EB121*Control!$C$159+$EF121*Control!$C$160)/(IF($GZ121&lt;&gt;0,$GZ121,1))</f>
        <v>#N/A</v>
      </c>
      <c r="IF121" s="216" t="e">
        <f t="shared" ca="1" si="295"/>
        <v>#N/A</v>
      </c>
      <c r="IG121" s="91">
        <f ca="1">IF(OR(Control!$B$198=$AH121,Control!$B$199=$AH121, Control!$B$200=$AH121, Control!$B$201=$AH121, Control!$B$202=$AH121, Control!$B$203=$AH121, Control!$B$204=$AH121, Control!$B$205=$AH121, Control!$B$206=$AH121, Control!$B$207=$AH121), 1, 0)</f>
        <v>0</v>
      </c>
      <c r="IH121" s="91">
        <f ca="1">IF($IG121=0,0, VLOOKUP($AH121,Control!$B$198:$C$207,2))</f>
        <v>0</v>
      </c>
      <c r="II121" s="222">
        <f t="shared" ca="1" si="411"/>
        <v>0</v>
      </c>
      <c r="IJ121" s="91">
        <f>Control!$C$121</f>
        <v>0.7</v>
      </c>
      <c r="IK121" s="218">
        <f t="shared" ca="1" si="296"/>
        <v>0</v>
      </c>
      <c r="IL121" s="217" t="e">
        <f t="shared" ca="1" si="448"/>
        <v>#N/A</v>
      </c>
      <c r="IM121" s="223" t="e">
        <f ca="1">IF(AND(Control!$C$114=1,$KH121&lt;1),$EB121*Control!$C$148*(1-$KH121), 0)</f>
        <v>#N/A</v>
      </c>
      <c r="IN121" s="217" t="e">
        <f t="shared" ca="1" si="297"/>
        <v>#DIV/0!</v>
      </c>
      <c r="IO121" s="91" t="e">
        <f ca="1">MAX(0,$IL121-$EF121*Control!$C$160)</f>
        <v>#N/A</v>
      </c>
      <c r="IP121" s="220" t="e">
        <f t="shared" ca="1" si="298"/>
        <v>#N/A</v>
      </c>
      <c r="IQ121" s="217" t="e">
        <f t="shared" ca="1" si="412"/>
        <v>#N/A</v>
      </c>
      <c r="IR121" s="218" t="e">
        <f t="shared" ca="1" si="299"/>
        <v>#N/A</v>
      </c>
      <c r="IS121" s="217" t="e">
        <f ca="1">Control!$C$159*MAX(0,$FD121-$EN121)</f>
        <v>#N/A</v>
      </c>
      <c r="IT121" s="217" t="e">
        <f t="shared" ca="1" si="449"/>
        <v>#N/A</v>
      </c>
      <c r="IU121" s="217" t="e">
        <f t="shared" ca="1" si="413"/>
        <v>#N/A</v>
      </c>
      <c r="IV121" s="217" t="e">
        <f t="shared" ca="1" si="450"/>
        <v>#N/A</v>
      </c>
      <c r="IW121" s="217" t="e">
        <f ca="1">IF(OR($AW121=1,AND($AW121=0, Control!$B$18=1,$EN121&lt;&gt;0)), $IQ121-$IU121, $IQ121)</f>
        <v>#N/A</v>
      </c>
      <c r="IX121" s="218" t="e">
        <f t="shared" ca="1" si="300"/>
        <v>#N/A</v>
      </c>
      <c r="IY121" s="218" t="e">
        <f ca="1">MAX(0,$IQ121-$EB121*Control!$C$159)</f>
        <v>#N/A</v>
      </c>
      <c r="IZ121" s="218" t="e">
        <f t="shared" ca="1" si="301"/>
        <v>#N/A</v>
      </c>
      <c r="JA121" s="216" t="e">
        <f t="shared" ca="1" si="302"/>
        <v>#N/A</v>
      </c>
      <c r="JB121" s="217" t="e">
        <f t="shared" ca="1" si="303"/>
        <v>#N/A</v>
      </c>
      <c r="JC121" s="222" t="e">
        <f ca="1">MAX(Control!$C$157*$EK121-$JT121, 0)/Control!$C$162</f>
        <v>#N/A</v>
      </c>
      <c r="JD121" s="218" t="e">
        <f t="shared" ca="1" si="304"/>
        <v>#N/A</v>
      </c>
      <c r="JE121" s="218" t="e">
        <f t="shared" ca="1" si="305"/>
        <v>#N/A</v>
      </c>
      <c r="JF121" s="218" t="e">
        <f t="shared" ca="1" si="414"/>
        <v>#N/A</v>
      </c>
      <c r="JG121" s="218" t="e">
        <f t="shared" ca="1" si="306"/>
        <v>#N/A</v>
      </c>
      <c r="JH121" s="217" t="e">
        <f t="shared" ca="1" si="415"/>
        <v>#N/A</v>
      </c>
      <c r="JI121" s="217" t="e">
        <f t="shared" ca="1" si="416"/>
        <v>#N/A</v>
      </c>
      <c r="JJ121" s="217" t="e">
        <f t="shared" ca="1" si="451"/>
        <v>#N/A</v>
      </c>
      <c r="JK121" s="217" t="e">
        <f ca="1">IF(Control!$C$114=1,IF(Control!$B$24=0,MAX(0,$JI121)*$GN121/Control!$C$64,(MAX(0,MIN($JI121,$JJ121*$GN121/Control!$C$64),0))))</f>
        <v>#N/A</v>
      </c>
      <c r="JL121" s="217" t="e">
        <f ca="1">$IK121/Control!$C$64-$JK121+$HQ121</f>
        <v>#N/A</v>
      </c>
      <c r="JM121" s="217" t="e">
        <f ca="1">IF(Control!$C$114=1,($JB121/(IF($JI121&lt;&gt;0,$JI121,1)))*$JK121,0)</f>
        <v>#N/A</v>
      </c>
      <c r="JN121" s="217" t="e">
        <f ca="1">IF(Control!$C$114=1,($JG121/(IF($JI121&lt;&gt;0,$JI121,1)))*$JK121, 0)</f>
        <v>#N/A</v>
      </c>
      <c r="JO121" s="218" t="e">
        <f t="shared" ca="1" si="307"/>
        <v>#N/A</v>
      </c>
      <c r="JP121" s="218" t="e">
        <f ca="1">MIN(($IY121+$IO121)*Control!$C$151, $JF121-$EH121*Control!$C$161)</f>
        <v>#N/A</v>
      </c>
      <c r="JQ121" s="218" t="e">
        <f t="shared" ca="1" si="308"/>
        <v>#N/A</v>
      </c>
      <c r="JR121" s="217" t="e">
        <f ca="1">IF($CP121-Control!$C$150&lt;0, 0, $JQ121/Control!$C$162)</f>
        <v>#N/A</v>
      </c>
      <c r="JS121" s="218" t="e">
        <f t="shared" ca="1" si="309"/>
        <v>#N/A</v>
      </c>
      <c r="JT121" s="218" t="e">
        <f t="shared" ca="1" si="417"/>
        <v>#N/A</v>
      </c>
      <c r="JU121" s="218" t="e">
        <f t="shared" ca="1" si="310"/>
        <v>#N/A</v>
      </c>
      <c r="JV121" s="218" t="e">
        <f t="shared" ca="1" si="311"/>
        <v>#N/A</v>
      </c>
      <c r="JW121" s="216" t="e">
        <f t="shared" ca="1" si="312"/>
        <v>#N/A</v>
      </c>
      <c r="JX121" s="91" t="e">
        <f t="shared" ca="1" si="313"/>
        <v>#N/A</v>
      </c>
      <c r="JY121" s="218" t="e">
        <f t="shared" ca="1" si="314"/>
        <v>#N/A</v>
      </c>
      <c r="JZ121" s="217" t="e">
        <f ca="1">IF(Control!$C$114=1,($IZ121/(IF($JI121&lt;&gt;0,$JI121,1)))*$JK121, 0)</f>
        <v>#N/A</v>
      </c>
      <c r="KA121" s="218" t="e">
        <f t="shared" ca="1" si="452"/>
        <v>#N/A</v>
      </c>
      <c r="KB121" s="218" t="e">
        <f t="shared" ca="1" si="418"/>
        <v>#N/A</v>
      </c>
      <c r="KC121" s="218" t="e">
        <f t="shared" ca="1" si="315"/>
        <v>#N/A</v>
      </c>
      <c r="KD121" s="218" t="e">
        <f t="shared" ca="1" si="316"/>
        <v>#N/A</v>
      </c>
      <c r="KE121" s="218" t="e">
        <f t="shared" ca="1" si="317"/>
        <v>#N/A</v>
      </c>
      <c r="KF121" s="218" t="e">
        <f t="shared" ca="1" si="318"/>
        <v>#N/A</v>
      </c>
      <c r="KG121" s="216" t="e">
        <f t="shared" ca="1" si="319"/>
        <v>#N/A</v>
      </c>
      <c r="KH121" s="221" t="e">
        <f ca="1">IF(Control!$B$24=0,1,MAX(0.001,MIN(1,IF(($IF121-$IE121)&lt;&gt;0,($KG121-$IE121)/($IF121-$IE121),1))))</f>
        <v>#N/A</v>
      </c>
      <c r="KI121" s="222" t="e">
        <f ca="1">IF(Control!$C$114=1, $KI120+ $KH120, 0)</f>
        <v>#N/A</v>
      </c>
      <c r="KJ121" s="217" t="e">
        <f t="shared" ca="1" si="320"/>
        <v>#N/A</v>
      </c>
      <c r="KK121" s="218" t="e">
        <f t="shared" ca="1" si="321"/>
        <v>#N/A</v>
      </c>
      <c r="KL121" s="274" t="e">
        <f ca="1">IF(Control!$B$26=3,4000000000*EXP(-8400/($G121+273)),IF(Control!$B$26=4,4000000000*EXP(-8400/($G121+273))*($KT121),0))</f>
        <v>#DIV/0!</v>
      </c>
      <c r="KM121" s="274" t="e">
        <f ca="1">IF(Control!$B$26=3,5600000000000*EXP(-9800/($G121+273)),IF(Control!$B$26=4,5600000000000*EXP(-9800/($G121+273))*$KT121,0))</f>
        <v>#DIV/0!</v>
      </c>
      <c r="KN121" s="454" t="e">
        <f t="shared" ca="1" si="419"/>
        <v>#DIV/0!</v>
      </c>
      <c r="KO121" s="274" t="e">
        <f t="shared" ca="1" si="420"/>
        <v>#DIV/0!</v>
      </c>
      <c r="KP121" s="454" t="e">
        <f t="shared" ca="1" si="322"/>
        <v>#DIV/0!</v>
      </c>
      <c r="KQ121" s="454" t="e">
        <f t="shared" ca="1" si="323"/>
        <v>#DIV/0!</v>
      </c>
      <c r="KR121" s="454" t="e">
        <f t="shared" ca="1" si="324"/>
        <v>#DIV/0!</v>
      </c>
      <c r="KS121" s="454" t="e">
        <f t="shared" ca="1" si="325"/>
        <v>#DIV/0!</v>
      </c>
      <c r="KT121" s="455" t="e">
        <f t="shared" ca="1" si="326"/>
        <v>#DIV/0!</v>
      </c>
      <c r="KU121" s="456" t="e">
        <f ca="1">IF($CP121-Control!$C$149&lt;0, IF($NT121-0.01&lt;0,0,1),0)</f>
        <v>#N/A</v>
      </c>
      <c r="KV121" s="456" t="e">
        <f ca="1">IF(Control!$C$114=1,MAX(0,MIN(Control!$C$125*$KW121*$GN121,$KW121)))</f>
        <v>#DIV/0!</v>
      </c>
      <c r="KW121" s="456" t="e">
        <f t="shared" ca="1" si="453"/>
        <v>#DIV/0!</v>
      </c>
      <c r="KX121" s="457" t="e">
        <f ca="1">IF($CP121-Control!$C$149&lt;0, IF($MR121-$OM121&lt;0,0,1),0)</f>
        <v>#N/A</v>
      </c>
      <c r="KY121" s="167">
        <f t="shared" ca="1" si="421"/>
        <v>117</v>
      </c>
      <c r="KZ121" s="168">
        <f ca="1">1370*(1+0.033*COS(2*Control!$C$138*$AH121/365))</f>
        <v>1350.6096031374918</v>
      </c>
      <c r="LA121" s="169">
        <f t="shared" ca="1" si="422"/>
        <v>0.9858465660488881</v>
      </c>
      <c r="LB121" s="169">
        <f t="shared" ca="1" si="423"/>
        <v>0.23899360621141433</v>
      </c>
      <c r="LC121" s="169">
        <f ca="1">ACOS(-TAN((2*Control!$B$8/360))*TAN(Calculations!$LB121))</f>
        <v>1.6432733956341217</v>
      </c>
      <c r="LD121" s="169">
        <f ca="1">((24*60)/PI())*0.082*$LA121*(($LC121*SIN(Control!$B$8*2*PI()/360))*SIN($LB121)+COS(Control!$B$8*2*PI()/360)*COS($LB121)*SIN($LC121))</f>
        <v>33.464676945937867</v>
      </c>
      <c r="LE121" s="170">
        <f t="shared" ca="1" si="327"/>
        <v>33.813932199731966</v>
      </c>
      <c r="LF121" s="170">
        <f ca="1">SIN(Control!$C$139*Control!$B$8)*SIN($HD121)</f>
        <v>0.18103361712163948</v>
      </c>
      <c r="LG121" s="170">
        <f ca="1">COS(Control!$C$139*Control!$B$8)*COS($HD121)</f>
        <v>0.59919294699123671</v>
      </c>
      <c r="LH121" s="170">
        <f ca="1">12*(1+2*ASIN(MAX(-1,MIN(1,$LF121/$LG121))/Control!$C$138))</f>
        <v>14.311663515824828</v>
      </c>
      <c r="LI121" s="170">
        <f ca="1">12*(1+2*ASIN(MAX(-1,MIN(1,(-SIN(-4*Control!$C$139)+$LF121)/$LG121))/Control!$C$138))</f>
        <v>15.20698930357843</v>
      </c>
      <c r="LJ121" s="168">
        <f ca="1">3600*($LH121*$LF121+24*$LG121*SQRT(1-$LK121*$LK121)/Control!$C$138)</f>
        <v>25036.051958450138</v>
      </c>
      <c r="LK121" s="170">
        <f t="shared" ca="1" si="328"/>
        <v>0.30212908551523243</v>
      </c>
      <c r="LL121" s="170">
        <f t="shared" ca="1" si="329"/>
        <v>0</v>
      </c>
      <c r="LM121" s="171">
        <f ca="1">Control!$C$145*$AB121</f>
        <v>6.6660906138995932E-2</v>
      </c>
      <c r="LN121" s="170">
        <f t="shared" ca="1" si="424"/>
        <v>0.54</v>
      </c>
      <c r="LO121" s="170">
        <f t="shared" ca="1" si="330"/>
        <v>0</v>
      </c>
      <c r="LP121" s="170">
        <f ca="1">Control!$C$140*((($D121+273.16)^4+($E121+273.16)^4)/2)*(0.34-0.14*SQRT($Y121))*(1.35*$AQ121/(0.75*$LD121)-0.35)</f>
        <v>-3.2464704755046001</v>
      </c>
      <c r="LQ121" s="170">
        <f ca="1">Control!$C$140*($G121+273)^4*(0.56-0.079*SQRT($Y121*10))*(0.1+0.9*$LO121)</f>
        <v>1.5241745131704001</v>
      </c>
      <c r="LR121" s="170">
        <f ca="1">$AQ121*(1-Control!$C$142)-$LQ121</f>
        <v>-1.5241745131704001</v>
      </c>
      <c r="LS121" s="170">
        <f ca="1">$AQ121*(1-Control!$C$143)-$LQ121</f>
        <v>-1.5241745131704001</v>
      </c>
      <c r="LT121" s="170">
        <f ca="1">$AQ121*(1-Control!$C$144)-$LQ121</f>
        <v>-1.5241745131704001</v>
      </c>
      <c r="LU121" s="169">
        <f ca="1">(1-Control!$C$144)*AQ121-LP121</f>
        <v>3.2464704755046001</v>
      </c>
      <c r="LV121" s="172">
        <f t="shared" ca="1" si="331"/>
        <v>0.79430000000000012</v>
      </c>
      <c r="LW121" s="170">
        <f t="shared" ca="1" si="332"/>
        <v>1.5886000000000002</v>
      </c>
      <c r="LX121" s="170">
        <f ca="1">($AC121*($LR121/Control!$C$141)+$LM121*$LV121)/($AC121+$LM121)</f>
        <v>0.23530094218323697</v>
      </c>
      <c r="LY121" s="170">
        <f ca="1">($AC121*($LS121/Control!$C$141)+$LM121*$LV121)/($AC121+$LM121)</f>
        <v>0.23530094218323697</v>
      </c>
      <c r="LZ121" s="170">
        <f t="shared" ca="1" si="333"/>
        <v>0.23530094218323697</v>
      </c>
      <c r="MA121" s="170">
        <f t="shared" ca="1" si="334"/>
        <v>0.23530094218323697</v>
      </c>
      <c r="MB121" s="170" t="e">
        <f t="shared" ca="1" si="335"/>
        <v>#N/A</v>
      </c>
      <c r="MC121" s="170">
        <f t="shared" ca="1" si="425"/>
        <v>0.6018</v>
      </c>
      <c r="MD121" s="170">
        <f t="shared" ca="1" si="336"/>
        <v>0.52989392535414004</v>
      </c>
      <c r="ME121" s="170">
        <f ca="1">($AC121*($LT121/Control!$C$141)+$LM121*$LW121)/($AC121+$LM121)</f>
        <v>0.71612369323045078</v>
      </c>
      <c r="MF121" s="170" t="e">
        <f ca="1">IF(Control!$B$16&gt;=1000,0.92,IF(AND(720&lt;=Control!$B$16,1000&gt;Control!$B$16),(0.95+(Control!$B$16-720)*((0.92-0.95)/(1000-720))),IF(AND(360&lt;=Control!$B$16,720&gt;Control!$B$16),(1+(Control!$B$16-360)*((0.95-1)/(720-360))),IF(AND(40&lt;=Control!$B$16,360&gt;Control!$B$16),(1.05+(Control!$B$16-40)*((1.05-1)/(360-40)))))))</f>
        <v>#N/A</v>
      </c>
      <c r="MG121" s="170">
        <f t="shared" ca="1" si="337"/>
        <v>0.71612369323045078</v>
      </c>
      <c r="MH121" s="170" t="e">
        <f t="shared" ca="1" si="463"/>
        <v>#N/A</v>
      </c>
      <c r="MI121" s="170" t="e">
        <f t="shared" ca="1" si="463"/>
        <v>#N/A</v>
      </c>
      <c r="MJ121" s="170" t="e">
        <f ca="1">MAX(0.0001, Control!$C$132*$MI121*$DL121)</f>
        <v>#N/A</v>
      </c>
      <c r="MK121" s="170">
        <f ca="1">1/(0.76+1.5*($MG121/10))-(5-Control!$C$110)*0.1</f>
        <v>1.002845988140797</v>
      </c>
      <c r="ML121" s="173">
        <f ca="1">IF(Control!$C$110&lt;3,$MK121+($MG121-0.6)/(Control!$C$110*(Control!$C$110+3)), MAX(0.1, MIN(0.95,$MK121)))</f>
        <v>0.95</v>
      </c>
      <c r="MM121" s="173">
        <f ca="1">IF(Control!$C$110&lt;3,$MK121+(($MI121/10)-0.6)/(Control!$C$110*(Control!$C$110+3)), MAX(0.1, MIN(0.95,$MK121)))</f>
        <v>0.95</v>
      </c>
      <c r="MN121" s="173">
        <f ca="1">(1-$MM121)*(Control!$C$128-Control!$C$127)+Control!$C$127</f>
        <v>0.16</v>
      </c>
      <c r="MO121" s="170" t="e">
        <f ca="1">MAX(0,MIN(1,($MS121-Control!$C$127)/($MN121-Control!$C$127)))</f>
        <v>#DIV/0!</v>
      </c>
      <c r="MP121" s="173" t="e">
        <f ca="1">1/(0.76+1.5*$MI121)-(5-Control!$C$110)*0.1</f>
        <v>#N/A</v>
      </c>
      <c r="MQ121" s="172" t="e">
        <f t="shared" ca="1" si="454"/>
        <v>#DIV/0!</v>
      </c>
      <c r="MR121" s="168" t="e">
        <f t="shared" ca="1" si="426"/>
        <v>#DIV/0!</v>
      </c>
      <c r="MS121" s="173" t="e">
        <f ca="1">MAX(Control!$C$127, MIN(Control!$C$135, $MR121/MAX(0.0001,$CY121)))</f>
        <v>#DIV/0!</v>
      </c>
      <c r="MT121" s="168" t="e">
        <f ca="1">(Control!$C$128-$MS121)*Control!$C$74</f>
        <v>#DIV/0!</v>
      </c>
      <c r="MU121" s="168" t="e">
        <f ca="1">(Control!$C$135-$MS121)*Control!$C$74</f>
        <v>#DIV/0!</v>
      </c>
      <c r="MV121" s="168" t="e">
        <f t="shared" ca="1" si="427"/>
        <v>#DIV/0!</v>
      </c>
      <c r="MW121" s="168" t="e">
        <f t="shared" ca="1" si="428"/>
        <v>#DIV/0!</v>
      </c>
      <c r="MX121" s="171" t="e">
        <f ca="1">MAX(Control!$C$127, MIN(Control!$C$135, $MW121/MAX(0.0001,Control!$C$119-$CY121)))</f>
        <v>#DIV/0!</v>
      </c>
      <c r="MY121" s="54" t="e">
        <f ca="1">IF(Control!$C$114=1, $CX121*$MX121, 0)</f>
        <v>#DIV/0!</v>
      </c>
      <c r="MZ121" s="54" t="e">
        <f t="shared" ca="1" si="429"/>
        <v>#N/A</v>
      </c>
      <c r="NA121" s="168" t="e">
        <f ca="1">(Control!$C$128-$MX121)*(Control!$C$119-Control!$C$74)</f>
        <v>#DIV/0!</v>
      </c>
      <c r="NB121" s="168" t="e">
        <f ca="1">(Control!$C$135-$MX121)*(Control!$C$119-Control!$C$74)</f>
        <v>#DIV/0!</v>
      </c>
      <c r="NC121" s="174" t="e">
        <f t="shared" ca="1" si="430"/>
        <v>#DIV/0!</v>
      </c>
      <c r="ND121" s="54">
        <f ca="1">IF(Control!$C$58=2, IF(OR(Control!$B$218=$AH121,Control!$B$219=$AH121, Control!$B$220=$AH121, Control!$B$221=$AH121, Control!$B$222=$AH121, Control!$B$223=$AH121, Control!$B$224=$AH121, Control!$B$225=$AH121, Control!$B$226=$AH121, Control!$B$227=$AH121, Control!$B$228=$AH121), 1, 0), 0)</f>
        <v>0</v>
      </c>
      <c r="NE121" s="54">
        <f ca="1">IF($ND121=0,0, VLOOKUP($AH121,Control!$B$218:$C$228,2))</f>
        <v>0</v>
      </c>
      <c r="NF121" s="168" t="e">
        <f ca="1">$CY121*(Control!$C$128-Control!$C$127)</f>
        <v>#N/A</v>
      </c>
      <c r="NG121" s="54" t="e">
        <f ca="1">IF(Control!$C$58=2, $NI120-$NJ120, 0)</f>
        <v>#DIV/0!</v>
      </c>
      <c r="NH121" s="54" t="e">
        <f ca="1">IF(AND(Control!$C$58=1, $MS120&lt;= ($MN120+0.02), $I120&lt;10), 0, IF(Control!$C$58=2, $NG120, 0))</f>
        <v>#DIV/0!</v>
      </c>
      <c r="NI121" s="54" t="e">
        <f ca="1">IF(Control!$C$58=2, $NE121+$NH121,0)</f>
        <v>#DIV/0!</v>
      </c>
      <c r="NJ121" s="54" t="e">
        <f ca="1">IF(AND(Control!$C$58=1, $MS121&lt;= ($MN121+0.02), $I121&lt;10), MAX(0, MIN(10, 0.7*($NF121-$MV121))), IF(Control!$C$58=2, MIN(10,$NI121),0))</f>
        <v>#DIV/0!</v>
      </c>
      <c r="NK121" s="54" t="e">
        <f t="shared" ca="1" si="338"/>
        <v>#DIV/0!</v>
      </c>
      <c r="NL121" s="173" t="e">
        <f ca="1">(1-Control!$C$73)*$I121+$NJ121</f>
        <v>#DIV/0!</v>
      </c>
      <c r="NM121" s="172" t="e">
        <f ca="1">IF($NL121&lt;0.5, $MB121* MAX(0, MIN(1, (SQRT($NC121)-SQRT($NC121-1))*Control!$C$71)),0)</f>
        <v>#DIV/0!</v>
      </c>
      <c r="NN121" s="170" t="e">
        <f ca="1">IF($NL121&gt;=5, $MB121, MAX(0,MIN($MB121, $NM121+$NL121,($MS121-Control!$C$129))))</f>
        <v>#DIV/0!</v>
      </c>
      <c r="NO121" s="54">
        <f>IF(Control!$C$133&lt;&gt;1, Control!$C$135-Control!$C$131, 0)</f>
        <v>0.38</v>
      </c>
      <c r="NP121" s="54" t="e">
        <f t="shared" ca="1" si="339"/>
        <v>#DIV/0!</v>
      </c>
      <c r="NQ121" s="173" t="e">
        <f ca="1">MAX(0,MIN(1,(Control!$C$135-$MS121)/(Control!$C$135-$NO121)))</f>
        <v>#DIV/0!</v>
      </c>
      <c r="NR121" s="170" t="e">
        <f ca="1">IF(Control!$C$133&lt;&gt;1, $NQ121+((1-$NP121/4)*(1-$NQ121)),1)</f>
        <v>#DIV/0!</v>
      </c>
      <c r="NS121" s="170" t="e">
        <f ca="1">IF(Control!$B$31=0,$MJ121,MAX(0,MIN($MV121,$MO121*$NR121*$MJ121)))</f>
        <v>#DIV/0!</v>
      </c>
      <c r="NT121" s="170" t="e">
        <f t="shared" ca="1" si="455"/>
        <v>#DIV/0!</v>
      </c>
      <c r="NU121" s="170" t="e">
        <f t="shared" ca="1" si="431"/>
        <v>#N/A</v>
      </c>
      <c r="NV121" s="170" t="e">
        <f t="shared" ca="1" si="340"/>
        <v>#N/A</v>
      </c>
      <c r="NW121" s="175" t="e">
        <f t="shared" ca="1" si="341"/>
        <v>#DIV/0!</v>
      </c>
      <c r="NX121" s="170" t="e">
        <f ca="1">MIN(Control!$C$72+$MU121, $NW121)</f>
        <v>#DIV/0!</v>
      </c>
      <c r="NY121" s="170" t="e">
        <f ca="1">IF($MT121&lt;=$NX121,MIN(Control!$C$72+$NB121,$NX121-$MT121),0)</f>
        <v>#DIV/0!</v>
      </c>
      <c r="NZ121" s="54" t="e">
        <f ca="1">IF(Control!$C$114=1,  $CX121*($MX121-Control!$C$127), 0)</f>
        <v>#DIV/0!</v>
      </c>
      <c r="OA121" s="170" t="e">
        <f t="shared" ca="1" si="342"/>
        <v>#DIV/0!</v>
      </c>
      <c r="OB121" s="170" t="e">
        <f ca="1">IF($NA121 &lt;=$NY121, MIN(Control!$C$72, $NY121-$NA121), 0)</f>
        <v>#DIV/0!</v>
      </c>
      <c r="OC121" s="168" t="e">
        <f t="shared" ca="1" si="343"/>
        <v>#DIV/0!</v>
      </c>
      <c r="OD121" s="168" t="e">
        <f t="shared" ca="1" si="432"/>
        <v>#DIV/0!</v>
      </c>
      <c r="OE121" s="170">
        <f ca="1">Control!$C$73*$I121</f>
        <v>0</v>
      </c>
      <c r="OF121" s="176" t="e">
        <f t="shared" ca="1" si="344"/>
        <v>#DIV/0!</v>
      </c>
      <c r="OG121" s="168" t="e">
        <f t="shared" ca="1" si="345"/>
        <v>#DIV/0!</v>
      </c>
      <c r="OH121" s="168" t="e">
        <f t="shared" ca="1" si="346"/>
        <v>#DIV/0!</v>
      </c>
      <c r="OI121" s="168" t="e">
        <f t="shared" ca="1" si="347"/>
        <v>#DIV/0!</v>
      </c>
      <c r="OJ121" s="168" t="e">
        <f t="shared" ca="1" si="348"/>
        <v>#DIV/0!</v>
      </c>
      <c r="OK121" s="204" t="e">
        <f t="shared" ca="1" si="349"/>
        <v>#DIV/0!</v>
      </c>
      <c r="OL121" s="177">
        <f>Control!$C$127</f>
        <v>0.15</v>
      </c>
      <c r="OM121" s="182" t="e">
        <f t="shared" ca="1" si="350"/>
        <v>#N/A</v>
      </c>
      <c r="ON121" s="177">
        <f>Control!$C$128</f>
        <v>0.35</v>
      </c>
      <c r="OO121" s="182" t="e">
        <f t="shared" ca="1" si="351"/>
        <v>#N/A</v>
      </c>
      <c r="OP121" s="138">
        <f t="shared" ca="1" si="433"/>
        <v>0</v>
      </c>
      <c r="OQ121" s="138" t="e">
        <f t="shared" ca="1" si="456"/>
        <v>#DIV/0!</v>
      </c>
      <c r="OR121" s="138" t="e">
        <f t="shared" ca="1" si="434"/>
        <v>#DIV/0!</v>
      </c>
      <c r="OS121" s="137" t="e">
        <f t="shared" ca="1" si="457"/>
        <v>#DIV/0!</v>
      </c>
      <c r="OT121" s="139" t="e">
        <f t="shared" ca="1" si="458"/>
        <v>#DIV/0!</v>
      </c>
      <c r="OU121" s="138" t="e">
        <f t="shared" ca="1" si="459"/>
        <v>#N/A</v>
      </c>
      <c r="OV121" s="138" t="e">
        <f t="shared" ca="1" si="460"/>
        <v>#DIV/0!</v>
      </c>
      <c r="OW121" s="138" t="e">
        <f t="shared" ca="1" si="435"/>
        <v>#DIV/0!</v>
      </c>
      <c r="OX121" s="138" t="e">
        <f t="shared" ca="1" si="436"/>
        <v>#DIV/0!</v>
      </c>
      <c r="OY121" s="138" t="e">
        <f t="shared" ca="1" si="437"/>
        <v>#DIV/0!</v>
      </c>
      <c r="OZ121" s="138" t="e">
        <f t="shared" ca="1" si="352"/>
        <v>#DIV/0!</v>
      </c>
      <c r="PA121" s="138" t="e">
        <f t="shared" ca="1" si="353"/>
        <v>#DIV/0!</v>
      </c>
      <c r="PB121" s="55">
        <f>IF(Control!$C$61="T", IF(Control!$C$65="F", IF($AH$6-Control!$C$60&lt;0,0,1), IF(365+$AH$6-Control!$C$60&lt;0,0,1)),0)</f>
        <v>0</v>
      </c>
      <c r="PC121" s="55">
        <f ca="1">IF(Control!$C$65="F", IF($AH$6-$HF121&lt;0,0,1), IF(365+$AH$6-$HF121&lt;0,0,1))</f>
        <v>1</v>
      </c>
      <c r="PD121" s="444">
        <f>Control!$C$118</f>
        <v>1500</v>
      </c>
      <c r="PE121" s="180" t="e">
        <f t="shared" ca="1" si="354"/>
        <v>#N/A</v>
      </c>
      <c r="PF121" s="445">
        <f t="shared" ca="1" si="438"/>
        <v>0.71612369323045078</v>
      </c>
      <c r="PT121" s="186"/>
      <c r="PU121" s="186"/>
      <c r="PV121" s="94"/>
      <c r="PW121" s="94"/>
      <c r="PX121" s="94"/>
      <c r="PY121" s="94"/>
      <c r="PZ121" s="94"/>
      <c r="QA121" s="94"/>
      <c r="QB121" s="94"/>
      <c r="QC121" s="94"/>
      <c r="QD121" s="94"/>
      <c r="QE121" s="94"/>
      <c r="QF121" s="94"/>
      <c r="QG121" s="94"/>
      <c r="QH121" s="94"/>
      <c r="QI121" s="94"/>
      <c r="QJ121" s="94"/>
      <c r="QK121" s="94"/>
      <c r="QL121" s="94"/>
      <c r="QM121" s="94"/>
      <c r="QN121" s="94"/>
      <c r="QO121" s="94"/>
      <c r="QP121" s="94"/>
    </row>
    <row r="122" spans="1:458" s="2" customFormat="1" x14ac:dyDescent="0.2">
      <c r="A122" s="395">
        <v>27</v>
      </c>
      <c r="B122" s="396">
        <v>4</v>
      </c>
      <c r="C122" s="387">
        <f ca="1">Weather_data!$B121</f>
        <v>0</v>
      </c>
      <c r="D122" s="388">
        <f ca="1">Weather_data!$F121</f>
        <v>0</v>
      </c>
      <c r="E122" s="388">
        <f ca="1">Weather_data!$E121</f>
        <v>0</v>
      </c>
      <c r="F122" s="388">
        <f t="shared" ca="1" si="355"/>
        <v>0</v>
      </c>
      <c r="G122" s="388">
        <f ca="1">AVERAGE($D122:$E122)+Control!$B$9</f>
        <v>0</v>
      </c>
      <c r="H122" s="388">
        <f ca="1">Weather_data!$G121</f>
        <v>0</v>
      </c>
      <c r="I122" s="388">
        <f ca="1">Weather_data!$I121</f>
        <v>0</v>
      </c>
      <c r="J122" s="388">
        <f ca="1">Weather_data!$H121</f>
        <v>0</v>
      </c>
      <c r="K122" s="389">
        <f ca="1">Weather_data!$D121</f>
        <v>0</v>
      </c>
      <c r="L122" s="388" t="e">
        <f t="shared" ca="1" si="356"/>
        <v>#N/A</v>
      </c>
      <c r="M122" s="388" t="e">
        <f t="shared" ca="1" si="234"/>
        <v>#N/A</v>
      </c>
      <c r="N122" s="388">
        <f t="shared" ca="1" si="235"/>
        <v>-2.4609404191423208E-6</v>
      </c>
      <c r="O122" s="388">
        <f t="shared" ca="1" si="357"/>
        <v>2.4609404191423208E-5</v>
      </c>
      <c r="P122" s="390">
        <v>3</v>
      </c>
      <c r="Q122" s="388">
        <f ca="1">MAX($G122-Control!$C$107,0)</f>
        <v>0</v>
      </c>
      <c r="R122" s="388">
        <f t="shared" ca="1" si="358"/>
        <v>0</v>
      </c>
      <c r="S122" s="388">
        <f t="shared" ca="1" si="236"/>
        <v>0</v>
      </c>
      <c r="T122" s="388">
        <f t="shared" ca="1" si="237"/>
        <v>0</v>
      </c>
      <c r="U122" s="59">
        <f t="shared" ca="1" si="238"/>
        <v>0</v>
      </c>
      <c r="V122" s="391">
        <f ca="1">MAX(0,MIN(Control!$C$100-Control!$C$99,$G122-Control!$C$99)*Control!$C$63)</f>
        <v>0</v>
      </c>
      <c r="W122" s="388">
        <f t="shared" ca="1" si="359"/>
        <v>0</v>
      </c>
      <c r="X122" s="388">
        <f t="shared" ca="1" si="360"/>
        <v>0.6110000000000001</v>
      </c>
      <c r="Y122" s="388">
        <f t="shared" ca="1" si="239"/>
        <v>0</v>
      </c>
      <c r="Z122" s="388">
        <f t="shared" ca="1" si="361"/>
        <v>0.61058800000000002</v>
      </c>
      <c r="AA122" s="388">
        <f t="shared" ca="1" si="240"/>
        <v>0.6018</v>
      </c>
      <c r="AB122" s="388">
        <f ca="1">101.3*EXP(-0.034*Control!$C$66/($G122+273))</f>
        <v>100.69623283836242</v>
      </c>
      <c r="AC122" s="392">
        <f t="shared" ca="1" si="241"/>
        <v>4.3460251046025113E-2</v>
      </c>
      <c r="AD122" s="392">
        <f t="shared" ca="1" si="242"/>
        <v>4.4450382862832649E-2</v>
      </c>
      <c r="AE122" s="388">
        <f t="shared" ca="1" si="243"/>
        <v>0</v>
      </c>
      <c r="AF122" s="388">
        <f ca="1">MAX(0,$G122-Control!$C$92)</f>
        <v>0</v>
      </c>
      <c r="AG122" s="393">
        <f t="shared" ca="1" si="244"/>
        <v>118</v>
      </c>
      <c r="AH122" s="389">
        <f t="shared" ca="1" si="245"/>
        <v>118</v>
      </c>
      <c r="AI122" s="388">
        <f t="shared" ca="1" si="362"/>
        <v>0.23752090108196861</v>
      </c>
      <c r="AJ122" s="388">
        <f ca="1">IF(Control!$C$60&lt;=0,$HH122,$HI122)</f>
        <v>1</v>
      </c>
      <c r="AK122" s="388">
        <f t="shared" ca="1" si="246"/>
        <v>0.65413984019951854</v>
      </c>
      <c r="AL122" s="388">
        <f t="shared" ca="1" si="247"/>
        <v>-2.1640224334706914E-18</v>
      </c>
      <c r="AM122" s="388">
        <f t="shared" ca="1" si="248"/>
        <v>0.65413984019951854</v>
      </c>
      <c r="AN122" s="388">
        <f t="shared" ca="1" si="249"/>
        <v>0.24448028685316006</v>
      </c>
      <c r="AO122" s="388">
        <f ca="1">-0.10453/COS(Control!$B$8*PI()/180)*COS(AN122)</f>
        <v>-0.16473601479030756</v>
      </c>
      <c r="AP122" s="388">
        <f ca="1">ACOS(AO122-TAN(Control!$B$8*PI()/180)*TAN(AN122))</f>
        <v>2.0760663571905131</v>
      </c>
      <c r="AQ122" s="388">
        <f t="shared" ca="1" si="363"/>
        <v>0</v>
      </c>
      <c r="AR122" s="394">
        <f t="shared" ca="1" si="250"/>
        <v>0</v>
      </c>
      <c r="AS122" s="436">
        <f ca="1">IF(Control!$B$18=2,(IF(OR($AH122=Control!$B$175,$AH122=Control!$B$176,$AH122=Control!$B$177,$AH122=Control!$B$178,$AH122=Control!$B$179,$AH122=Control!$B$180,$AH122=Control!$B$181,$AH122=Control!$B$182,$AH122=Control!$B$183,$AH122=Control!$B$184,$AH122=Control!$B$185),1,0)),0)</f>
        <v>0</v>
      </c>
      <c r="AT122" s="436">
        <f>IF(Control!$B$20=8,IF(AND($AH122&gt;=Control!$B$172,$AH122&lt;=Control!$B$173),1,0),0)</f>
        <v>0</v>
      </c>
      <c r="AU122" s="436">
        <f>IF(Control!$B$20=8,IF($AV121=1,1*$AT122,IF($AT122=1,$AU121+1,$AU121)),0)</f>
        <v>0</v>
      </c>
      <c r="AV122" s="436">
        <f>IF(Control!$B$20=8,IF($AU122&gt;=Control!$B$174,1,0),0)</f>
        <v>0</v>
      </c>
      <c r="AW122" s="436">
        <f ca="1">IF(AND(Control!$B$18=2,Control!$B$171=1), $AV122, $AS122)</f>
        <v>0</v>
      </c>
      <c r="AX122" s="436" t="e">
        <f ca="1">IF(AND(Control!$B$18=1,$EU122&gt;=Control!$B$19),-$AY122,IF(AND(Control!$B$18=2,$AW122=1,$EU122&gt;$DS122),-$AY122, IF(Control!$C$108=0,0, IF(Control!$C$108&lt;&gt;0,1))))</f>
        <v>#N/A</v>
      </c>
      <c r="AY122" s="436" t="e">
        <f t="shared" ca="1" si="364"/>
        <v>#N/A</v>
      </c>
      <c r="AZ122" s="436" t="e">
        <f ca="1">IF(AND(Control!$B$18=1,$EB122&gt;Control!$B$19),$AZ121+1, IF(AND(Control!$B$18=2, $AW122=1, $EB122&gt;$DS122), $AZ121+1,$AZ121))</f>
        <v>#N/A</v>
      </c>
      <c r="BA122" s="587">
        <f>IF(Control!$C$81=0,1,IF($AH122&gt;=Control!$C$82,1,0))</f>
        <v>1</v>
      </c>
      <c r="BB122" s="140" t="e">
        <f ca="1">IF($BA122&gt;$BA121,Control!$C$83,IF($AW122&gt;0,$AW122*Control!$C$84,IF(AND(Control!$B$18=1,EN121&lt;&gt;0),Control!$C$84,0)))</f>
        <v>#N/A</v>
      </c>
      <c r="BC122" s="140" t="e">
        <f t="shared" ca="1" si="365"/>
        <v>#N/A</v>
      </c>
      <c r="BD122" s="140" t="e">
        <f ca="1">BC122*IF(OR($G122&lt;Control!$C$92,$G122&gt;Control!$C$95),0,IF(AND($G122&gt;=Control!$C$92,$G122&lt;=Control!$C$93),$G122-Control!$C$92,IF(AND($G122&gt;Control!$C$93,$G122&lt;=Control!$C$94),Control!$C$93-Control!$C$92,IF(AND($G122&gt;Control!$C$94,$G122&lt;=Control!$C$95),(Control!$C$93-Control!$C$92)*(Control!$C$94-$G122)/(Control!$C$95-Control!$C$94)))))</f>
        <v>#N/A</v>
      </c>
      <c r="BE122" s="140" t="e">
        <f t="shared" ca="1" si="366"/>
        <v>#N/A</v>
      </c>
      <c r="BF122" s="140" t="e">
        <f ca="1">IF($BE122&lt;=Control!$C$86,$BE122,Control!$C$86-$BE122)</f>
        <v>#N/A</v>
      </c>
      <c r="BG122" s="140" t="e">
        <f ca="1">IF(AND($AW122=1,Control!$C$84&lt;9),1,IF($BE122&gt;=Control!$C$86,0,$BC122))</f>
        <v>#N/A</v>
      </c>
      <c r="BH122" s="404" t="e">
        <f ca="1">IF($BG122=0,0,IF($BE122&lt;=Control!$C$86,$BC122*9*($BF122/Control!$C$86),0))</f>
        <v>#N/A</v>
      </c>
      <c r="BI122" s="140" t="e">
        <f ca="1">IF($BG122=1,0,IF($BE122&gt;=Control!$C$86,1,IF(AND($BB122&lt;21,$BB122&gt;=9),1,$BM121)))</f>
        <v>#N/A</v>
      </c>
      <c r="BJ122" s="140" t="e">
        <f ca="1">IF($BF122&lt;0,-$BF122,$BI122*IF(OR($G122&lt;Control!$C$92,$G122&gt;Control!$C$95),0,IF(AND($G122&gt;=Control!$C$92,$G122&lt;=Control!$C$93),$G122-Control!$C$92,IF(AND($G122&gt;Control!$C$93,$G122&lt;=Control!$C$94),Control!$C$93-Control!$C$92,IF(AND($G122&gt;Control!$C$94,$G122&lt;=Control!$C$95),(Control!$C$93-Control!$C$92)*(Control!$C$94-$G122)/(Control!$C$95-Control!$C$94))))))</f>
        <v>#N/A</v>
      </c>
      <c r="BK122" s="140" t="e">
        <f t="shared" ca="1" si="367"/>
        <v>#N/A</v>
      </c>
      <c r="BL122" s="140" t="e">
        <f ca="1">IF($BK122&lt;=Control!$C$87,$BK122,Control!$C$87-$BK122)</f>
        <v>#N/A</v>
      </c>
      <c r="BM122" s="140" t="e">
        <f ca="1">IF(AND($BB122&gt;=9,$BB122&lt;21),1,IF($BK122&gt;=Control!$C$87,0,$BI122))</f>
        <v>#N/A</v>
      </c>
      <c r="BN122" s="404" t="e">
        <f ca="1">IF($BM122=0,0,IF($BK122&lt;=Control!$C$87,$BI122*(9+(21-9)*($BL122/Control!$C$87)),0))</f>
        <v>#N/A</v>
      </c>
      <c r="BO122" s="140" t="e">
        <f ca="1">IF($BM122=1,0,IF($BK122&gt;=Control!$C$87,1,IF(AND($BB122&lt;30,$BB122&gt;=21),1,$BS121)))</f>
        <v>#N/A</v>
      </c>
      <c r="BP122" s="140" t="e">
        <f ca="1">IF($BL122&lt;0,-$BL122,$BO122*IF(OR($G122&lt;Control!$C$92,$G122&gt;Control!$C$95),0,IF(AND($G122&gt;=Control!$C$92,$G122&lt;=Control!$C$93),$G122-Control!$C$92,IF(AND($G122&gt;Control!$C$93,$G122&lt;=Control!$C$94),Control!$C$93-Control!$C$92,IF(AND($G122&gt;Control!$C$94,$G122&lt;=Control!$C$95),(Control!$C$93-Control!$C$92)*(Control!$C$94-$G122)/(Control!$C$95-Control!$C$94))))))</f>
        <v>#N/A</v>
      </c>
      <c r="BQ122" s="140" t="e">
        <f t="shared" ca="1" si="251"/>
        <v>#N/A</v>
      </c>
      <c r="BR122" s="140" t="e">
        <f ca="1">IF($BQ122&lt;=Control!$C$88,$BQ122,Control!$C$88-$BQ122)</f>
        <v>#N/A</v>
      </c>
      <c r="BS122" s="140" t="e">
        <f ca="1">IF(AND($BB122&gt;=21,$BB122&lt;30),1,IF($BQ122&gt;=Control!$C$88,0,$BO122))</f>
        <v>#N/A</v>
      </c>
      <c r="BT122" s="404" t="e">
        <f ca="1">IF($BS122=0,0,IF($BQ122&lt;=Control!$C$88,$BO122*(21+(30-21)*(BR122/Control!$C$88)),0))</f>
        <v>#N/A</v>
      </c>
      <c r="BU122" s="140" t="e">
        <f ca="1">IF(BG122+BM122+BS122=1,0,IF(OR(AND($BB122&lt;60,$BB122&gt;=30),$BQ122&gt;=Control!$C$88),1*$BA122,$BY121))</f>
        <v>#N/A</v>
      </c>
      <c r="BV122" s="140" t="e">
        <f ca="1">IF($BR122&lt;0,-$BR122,$BU122*IF(OR($G122&lt;Control!$C$92,$G122&gt;Control!$C$95),0,IF(AND($G122&gt;=Control!$C$92,$G122&lt;=Control!$C$93),$G122-Control!$C$92,IF(AND($G122&gt;Control!$C$93,$G122&lt;=Control!$C$94),Control!$C$93-Control!$C$92,IF(AND($G122&gt;Control!$C$94,$G122&lt;=Control!$C$95),(Control!$C$93-Control!$C$92)*(Control!$C$94-$G122)/(Control!$C$95-Control!$C$94))))))</f>
        <v>#N/A</v>
      </c>
      <c r="BW122" s="140" t="e">
        <f t="shared" ca="1" si="252"/>
        <v>#N/A</v>
      </c>
      <c r="BX122" s="140" t="e">
        <f ca="1">IF($BW122&lt;=Control!$C$89,$BW122,Control!$C$89-$BW122)</f>
        <v>#N/A</v>
      </c>
      <c r="BY122" s="140" t="e">
        <f ca="1">IF(AND($AJ122&gt;=30,$AJ122&lt;60),1,IF($BW122&gt;=Control!$C$89,0,$BU122))</f>
        <v>#N/A</v>
      </c>
      <c r="BZ122" s="404" t="e">
        <f ca="1">IF($BY122=0,0,IF($BW122&lt;=Control!$C$89,$BU122*(30+(60-30)*(BX122/Control!$C$89)),0))</f>
        <v>#N/A</v>
      </c>
      <c r="CA122" s="140" t="e">
        <f ca="1">IF($BG122+$BM122+$BS122+$BY122=1,0,IF(OR(AND($BB122&lt;65,$BB122&gt;=60),$BW122&gt;=Control!$C$89),1*$BA122,$CE121))</f>
        <v>#N/A</v>
      </c>
      <c r="CB122" s="140" t="e">
        <f ca="1">IF($BX122&lt;0,-$BX122,$CA122*IF(OR($G122&lt;Control!$C$92,$G122&gt;Control!$C$95),0,IF(AND($G122&gt;=Control!$C$92,$G122&lt;=Control!$C$93),$G122-Control!$C$92,IF(AND($G122&gt;Control!$C$93,$G122&lt;=Control!$C$94),Control!$C$93-Control!$C$92,IF(AND($G122&gt;Control!$C$94,$G122&lt;=Control!$C$95),(Control!$C$93-Control!$C$92)*(Control!$C$94-$G122)/(Control!$C$95-Control!$C$94))))))</f>
        <v>#N/A</v>
      </c>
      <c r="CC122" s="140" t="e">
        <f t="shared" ca="1" si="368"/>
        <v>#N/A</v>
      </c>
      <c r="CD122" s="140" t="e">
        <f ca="1">IF($CC122&lt;=Control!$C$90,$CC122,Control!$C$90-$CC122)</f>
        <v>#N/A</v>
      </c>
      <c r="CE122" s="140" t="e">
        <f ca="1">IF(AND($BB122&gt;=60,$BB122&lt;65),1,IF($CC122&gt;=Control!$C$90,0,$CA122))</f>
        <v>#N/A</v>
      </c>
      <c r="CF122" s="404" t="e">
        <f ca="1">IF($CE122=0,0,IF($CC122&lt;=Control!$C$90,$CA122*(60+(65-60)*(CD122/Control!$C$90)),0))</f>
        <v>#N/A</v>
      </c>
      <c r="CG122" s="140" t="e">
        <f ca="1">IF($BG122+$BM122+$BS122+$BY122+$CE122=1,0,IF(OR(AND($BB122&lt;90,$BB122&gt;=65),$CC122&gt;=Control!$C$90),$BA122,$CK121))</f>
        <v>#N/A</v>
      </c>
      <c r="CH122" s="140" t="e">
        <f ca="1">IF($CD122&lt;0,-$CD122,$CG122*IF(OR($G122&lt;Control!$C$92,$G122&gt;Control!$C$95),0,IF(AND($G122&gt;=Control!$C$92,$G122&lt;=Control!$C$93),$G122-Control!$C$92,IF(AND($G122&gt;Control!$C$93,$G122&lt;=Control!$C$94),Control!$C$93-Control!$C$92,IF(AND($G122&gt;Control!$C$94,$G122&lt;=Control!$C$95),(Control!$C$93-Control!$C$92)*(Control!$C$94-$G122)/(Control!$C$95-Control!$C$94))))))</f>
        <v>#N/A</v>
      </c>
      <c r="CI122" s="140" t="e">
        <f t="shared" ca="1" si="369"/>
        <v>#N/A</v>
      </c>
      <c r="CJ122" s="140" t="e">
        <f ca="1">IF($CI122&lt;=Control!$C$91,$CI122,Control!$C$91-$CI122)</f>
        <v>#N/A</v>
      </c>
      <c r="CK122" s="140" t="e">
        <f ca="1">IF(AND($BB122&gt;=65,$BB122&lt;90),1,IF($CI122&gt;=Control!$C$91,0,$CG122))</f>
        <v>#N/A</v>
      </c>
      <c r="CL122" s="404" t="e">
        <f ca="1">IF($CK122=0,0,IF($CI122&lt;=Control!$C$91,$CG122*(65+(90-65)*($CJ122/Control!$C$91)),0))</f>
        <v>#N/A</v>
      </c>
      <c r="CM122" s="140" t="e">
        <f ca="1">IF($BG122+$BM122+$BS122+$BY122+$CE122+$CK122=1,0,IF(OR($BB122&gt;=90,$CI122&gt;=Control!$C$91),$BA122,$CM121))</f>
        <v>#N/A</v>
      </c>
      <c r="CN122" s="140" t="e">
        <f t="shared" ca="1" si="370"/>
        <v>#N/A</v>
      </c>
      <c r="CO122" s="140" t="e">
        <f t="shared" ca="1" si="371"/>
        <v>#N/A</v>
      </c>
      <c r="CP122" s="140" t="e">
        <f t="shared" ca="1" si="372"/>
        <v>#N/A</v>
      </c>
      <c r="CQ122" s="141" t="e">
        <f ca="1">VLOOKUP($CP122,Control!$B$86:$G$91,6)</f>
        <v>#N/A</v>
      </c>
      <c r="CR122" s="141" t="e">
        <f ca="1">(1-$CQ122)*VLOOKUP($CP122,Control!$B$86:$D$91,3)</f>
        <v>#N/A</v>
      </c>
      <c r="CS122" s="141" t="e">
        <f ca="1">(1-$CQ122)*VLOOKUP($CP122,Control!$B$86:$E$91,4)</f>
        <v>#N/A</v>
      </c>
      <c r="CT122" s="141" t="e">
        <f ca="1">(1-$CQ122)*VLOOKUP($CP122,Control!$B$86:$F$91,5)</f>
        <v>#N/A</v>
      </c>
      <c r="CU122" s="141">
        <f t="shared" ca="1" si="373"/>
        <v>0</v>
      </c>
      <c r="CV122" s="583">
        <f t="shared" ca="1" si="374"/>
        <v>0</v>
      </c>
      <c r="CW122" s="142">
        <f t="shared" ca="1" si="375"/>
        <v>118</v>
      </c>
      <c r="CX122" s="612" t="e">
        <f ca="1">IF(Control!$C$114=1,(MIN(Control!$C$120*(IF($NT122-0.01&lt;0,0,1)),Control!$C$119-$CY122)))</f>
        <v>#DIV/0!</v>
      </c>
      <c r="CY122" s="143" t="e">
        <f t="shared" ca="1" si="376"/>
        <v>#N/A</v>
      </c>
      <c r="CZ122" s="144">
        <f t="shared" ca="1" si="253"/>
        <v>0</v>
      </c>
      <c r="DA122" s="144">
        <f t="shared" ca="1" si="254"/>
        <v>0</v>
      </c>
      <c r="DB122" s="144" t="e">
        <f t="shared" ca="1" si="255"/>
        <v>#N/A</v>
      </c>
      <c r="DC122" s="144" t="e">
        <f t="shared" ca="1" si="256"/>
        <v>#N/A</v>
      </c>
      <c r="DD122" s="144" t="e">
        <f t="shared" ca="1" si="461"/>
        <v>#N/A</v>
      </c>
      <c r="DE122" s="143" t="e">
        <f t="shared" ca="1" si="377"/>
        <v>#N/A</v>
      </c>
      <c r="DF122" s="145" t="e">
        <f ca="1">$DR122*EXP(-Control!$C$158*(1-$KH122))</f>
        <v>#N/A</v>
      </c>
      <c r="DG122" s="146" t="e">
        <f ca="1">IF(Control!$C$114=1, $DF122*$EY122, 0)</f>
        <v>#N/A</v>
      </c>
      <c r="DH122" s="147" t="e">
        <f t="shared" ca="1" si="378"/>
        <v>#N/A</v>
      </c>
      <c r="DI122" s="144" t="e">
        <f t="shared" ca="1" si="439"/>
        <v>#N/A</v>
      </c>
      <c r="DJ122" s="147" t="e">
        <f ca="1">$EF122*Control!$C$109</f>
        <v>#N/A</v>
      </c>
      <c r="DK122" s="144" t="e">
        <f t="shared" ca="1" si="379"/>
        <v>#N/A</v>
      </c>
      <c r="DL122" s="144" t="e">
        <f t="shared" ca="1" si="257"/>
        <v>#N/A</v>
      </c>
      <c r="DM122" s="144" t="e">
        <f ca="1">IF(Control!$C$114=1, (1-EXP(-Control!$C$96*$DK122))*$AR122, 0)</f>
        <v>#N/A</v>
      </c>
      <c r="DN122" s="144">
        <f t="shared" ca="1" si="380"/>
        <v>0</v>
      </c>
      <c r="DO122" s="148">
        <f>Control!$C$97</f>
        <v>4</v>
      </c>
      <c r="DP122" s="145" t="e">
        <f t="shared" ca="1" si="381"/>
        <v>#N/A</v>
      </c>
      <c r="DQ122" s="145" t="e">
        <f ca="1">IF(AND($CP122&gt;=0,$CP122&lt;=90),Control!$C$111,Control!$C$111)</f>
        <v>#N/A</v>
      </c>
      <c r="DR122" s="145" t="e">
        <f t="shared" ca="1" si="258"/>
        <v>#N/A</v>
      </c>
      <c r="DS122" s="143" t="e">
        <f ca="1">Control!$B$22/$DR122</f>
        <v>#N/A</v>
      </c>
      <c r="DT122" s="149" t="e">
        <f ca="1">IF(AND(Control!$C$114=1,$KH122&lt;1),$IM122*$DF122, 0)</f>
        <v>#N/A</v>
      </c>
      <c r="DU122" s="144" t="e">
        <f t="shared" ca="1" si="382"/>
        <v>#N/A</v>
      </c>
      <c r="DV122" s="144">
        <f ca="1">IF($G122-Control!$C$107&lt;=0, 0, 0.83*LN(MAX($G122, 3))-0.8924)</f>
        <v>0</v>
      </c>
      <c r="DW122" s="144" t="e">
        <f t="shared" ca="1" si="259"/>
        <v>#N/A</v>
      </c>
      <c r="DX122" s="150" t="e">
        <f ca="1">MAX(0.01*(1+$CU122/Control!$C$102),0.05*($DK122-Control!$C$97)/Control!$C$97)</f>
        <v>#N/A</v>
      </c>
      <c r="DY122" s="151" t="e">
        <f ca="1">IF(Control!$C$114=1, $DI122*$FS122, 0)</f>
        <v>#N/A</v>
      </c>
      <c r="DZ122" s="196" t="e">
        <f t="shared" ca="1" si="383"/>
        <v>#N/A</v>
      </c>
      <c r="EA122" s="152">
        <f t="shared" ca="1" si="384"/>
        <v>118</v>
      </c>
      <c r="EB122" s="153" t="e">
        <f t="shared" ca="1" si="385"/>
        <v>#N/A</v>
      </c>
      <c r="EC122" s="153" t="e">
        <f t="shared" ca="1" si="386"/>
        <v>#N/A</v>
      </c>
      <c r="ED122" s="154" t="e">
        <f ca="1">IF(Control!$C$114=1, $HM122*$FY122-$FD122, 0)</f>
        <v>#DIV/0!</v>
      </c>
      <c r="EE122" s="155" t="e">
        <f ca="1">IF(Control!$C$114=1, $HM122*$FZ122-$FF122, 0)</f>
        <v>#DIV/0!</v>
      </c>
      <c r="EF122" s="153" t="e">
        <f t="shared" ca="1" si="440"/>
        <v>#N/A</v>
      </c>
      <c r="EG122" s="155" t="e">
        <f ca="1">IF(Control!$C$114=1, $GX122*$FW122-$FI122, 0)</f>
        <v>#DIV/0!</v>
      </c>
      <c r="EH122" s="153" t="e">
        <f t="shared" ca="1" si="387"/>
        <v>#N/A</v>
      </c>
      <c r="EI122" s="156" t="e">
        <f t="shared" ca="1" si="388"/>
        <v>#N/A</v>
      </c>
      <c r="EJ122" s="155" t="e">
        <f ca="1">IF(Control!$C$114=1, $HM122*$GB122, 0)</f>
        <v>#DIV/0!</v>
      </c>
      <c r="EK122" s="153" t="e">
        <f t="shared" ca="1" si="441"/>
        <v>#N/A</v>
      </c>
      <c r="EL122" s="153" t="e">
        <f t="shared" ca="1" si="260"/>
        <v>#N/A</v>
      </c>
      <c r="EM122" s="153" t="e">
        <f t="shared" ca="1" si="261"/>
        <v>#N/A</v>
      </c>
      <c r="EN122" s="153" t="e">
        <f ca="1">IF(Control!$C$108=1,IF(AND(Control!$B$18=1,$EB122&gt;=Control!$B$19),$EB122-$DS122,IF(AND(Control!$B$18=2,$AW122=1,$EB122&gt;$DS122),$EB122-$DS122,0)))</f>
        <v>#N/A</v>
      </c>
      <c r="EO122" s="153" t="e">
        <f ca="1">IF(Control!$C$108=1,IF(AND(Control!$B$18=1,$EB122&gt;=Control!$B$19),$EF122,IF(AND(Control!$B$18=2,$AW122=1),$EF122,0)))</f>
        <v>#N/A</v>
      </c>
      <c r="EP122" s="153" t="e">
        <f ca="1">IF(Control!$C$108=1,IF(AND(Control!$B$18=1,$EB122&gt;=Control!$B$19),$EK122,IF(AND(Control!$B$18=2,$AW122=1),$EK122,0)))</f>
        <v>#N/A</v>
      </c>
      <c r="EQ122" s="153" t="e">
        <f t="shared" ca="1" si="389"/>
        <v>#N/A</v>
      </c>
      <c r="ER122" s="153" t="e">
        <f t="shared" ca="1" si="390"/>
        <v>#N/A</v>
      </c>
      <c r="ES122" s="153" t="e">
        <f t="shared" ca="1" si="442"/>
        <v>#N/A</v>
      </c>
      <c r="ET122" s="153" t="e">
        <f t="shared" ca="1" si="443"/>
        <v>#N/A</v>
      </c>
      <c r="EU122" s="153" t="e">
        <f t="shared" ca="1" si="391"/>
        <v>#N/A</v>
      </c>
      <c r="EV122" s="153" t="e">
        <f t="shared" ca="1" si="262"/>
        <v>#N/A</v>
      </c>
      <c r="EW122" s="153" t="e">
        <f t="shared" ca="1" si="263"/>
        <v>#N/A</v>
      </c>
      <c r="EX122" s="153" t="e">
        <f t="shared" ca="1" si="264"/>
        <v>#N/A</v>
      </c>
      <c r="EY122" s="157" t="e">
        <f t="shared" ca="1" si="265"/>
        <v>#DIV/0!</v>
      </c>
      <c r="EZ122" s="154" t="e">
        <f t="shared" ca="1" si="266"/>
        <v>#DIV/0!</v>
      </c>
      <c r="FA122" s="153" t="e">
        <f t="shared" ca="1" si="392"/>
        <v>#N/A</v>
      </c>
      <c r="FB122" s="153" t="e">
        <f t="shared" ca="1" si="267"/>
        <v>#N/A</v>
      </c>
      <c r="FC122" s="193" t="e">
        <f t="shared" ca="1" si="268"/>
        <v>#N/A</v>
      </c>
      <c r="FD122" s="158" t="e">
        <f t="shared" ca="1" si="393"/>
        <v>#N/A</v>
      </c>
      <c r="FE122" s="158" t="e">
        <f t="shared" ca="1" si="394"/>
        <v>#N/A</v>
      </c>
      <c r="FF122" s="159" t="e">
        <f t="shared" ca="1" si="269"/>
        <v>#N/A</v>
      </c>
      <c r="FG122" s="160" t="e">
        <f t="shared" ca="1" si="395"/>
        <v>#N/A</v>
      </c>
      <c r="FH122" s="158" t="e">
        <f t="shared" ca="1" si="396"/>
        <v>#N/A</v>
      </c>
      <c r="FI122" s="159" t="e">
        <f t="shared" ca="1" si="270"/>
        <v>#N/A</v>
      </c>
      <c r="FJ122" s="160" t="e">
        <f t="shared" ca="1" si="397"/>
        <v>#N/A</v>
      </c>
      <c r="FK122" s="160" t="e">
        <f t="shared" ca="1" si="271"/>
        <v>#N/A</v>
      </c>
      <c r="FL122" s="160" t="e">
        <f t="shared" ca="1" si="444"/>
        <v>#N/A</v>
      </c>
      <c r="FM122" s="160" t="e">
        <f t="shared" ca="1" si="272"/>
        <v>#N/A</v>
      </c>
      <c r="FN122" s="158">
        <f t="shared" ca="1" si="398"/>
        <v>0.01</v>
      </c>
      <c r="FO122" s="160">
        <f>Control!$C$101</f>
        <v>50</v>
      </c>
      <c r="FP122" s="150" t="e">
        <f t="shared" ca="1" si="273"/>
        <v>#N/A</v>
      </c>
      <c r="FQ122" s="150" t="e">
        <f ca="1">MAX(0,(Control!$C$112*(($DK122-Control!$C$97)/Control!$C$97)))</f>
        <v>#N/A</v>
      </c>
      <c r="FR122" s="150" t="e">
        <f ca="1">(1-$NT122)*Control!$C$113</f>
        <v>#DIV/0!</v>
      </c>
      <c r="FS122" s="198" t="e">
        <f t="shared" ca="1" si="274"/>
        <v>#N/A</v>
      </c>
      <c r="FT122" s="161">
        <f t="shared" ca="1" si="399"/>
        <v>118</v>
      </c>
      <c r="FU122" s="162" t="e">
        <f ca="1">IF(Control!$B$34=1,VLOOKUP($CP122,Control!$B$86:$G$91,6),Control!$B$35)</f>
        <v>#N/A</v>
      </c>
      <c r="FV122" s="162" t="e">
        <f t="shared" ca="1" si="275"/>
        <v>#DIV/0!</v>
      </c>
      <c r="FW122" s="162" t="e">
        <f ca="1">IF(Control!$B$31=1,$FU122*$FV122,  $FU122)</f>
        <v>#N/A</v>
      </c>
      <c r="FX122" s="162" t="e">
        <f ca="1">IF(Control!$B$34=1,VLOOKUP($CP122,Control!$B$86:$G$91,3),Control!$B$36)</f>
        <v>#N/A</v>
      </c>
      <c r="FY122" s="162" t="e">
        <f t="shared" ca="1" si="276"/>
        <v>#N/A</v>
      </c>
      <c r="FZ122" s="162" t="e">
        <f ca="1">IF(Control!$B$34=1,VLOOKUP($CP122,Control!$B$86:$G$91,4),Control!$B$37)</f>
        <v>#N/A</v>
      </c>
      <c r="GA122" s="162" t="e">
        <f t="shared" ca="1" si="277"/>
        <v>#N/A</v>
      </c>
      <c r="GB122" s="162" t="e">
        <f ca="1">IF(Control!$B$34=1,VLOOKUP($CP122,Control!$B$86:$G$91,5),Control!$B$38)</f>
        <v>#N/A</v>
      </c>
      <c r="GC122" s="162" t="e">
        <f t="shared" ca="1" si="400"/>
        <v>#N/A</v>
      </c>
      <c r="GD122" s="162">
        <f t="shared" ca="1" si="278"/>
        <v>1</v>
      </c>
      <c r="GE122" s="162">
        <f t="shared" ca="1" si="279"/>
        <v>1</v>
      </c>
      <c r="GF122" s="162">
        <f ca="1">IF(AND(Control!$C$104=1, Control!$C$62="F"),$GE122,1)</f>
        <v>1</v>
      </c>
      <c r="GG122" s="162" t="e">
        <f ca="1">IF(Control!$B$16=40,0,IF(AND(Control!$B$16&gt;40,Control!$B$16&lt;=360),(Control!$B$16-40)*((1-0)/(360-40)),IF(AND(Control!$B$16&gt;360,Control!$B$16&lt;=720),(1+(Control!$B$16-360)*((1.25-1)/(720-360))),IF(AND(Control!$B$16&gt;720,Control!$B$16&lt;=1000),(1.25+(Control!$B$16-720)*((1.35-1.25)/(1000-720))),IF(AND(Control!$B$16&gt;1000,Control!$B$16&lt;=2000),(1.35+(Control!$B$16-1000)*0))))))</f>
        <v>#N/A</v>
      </c>
      <c r="GH122" s="162" t="e">
        <f t="shared" ca="1" si="280"/>
        <v>#N/A</v>
      </c>
      <c r="GI122" s="162">
        <f t="shared" ca="1" si="401"/>
        <v>0</v>
      </c>
      <c r="GJ122" s="162">
        <f t="shared" ca="1" si="281"/>
        <v>0</v>
      </c>
      <c r="GK122" s="162">
        <f t="shared" ca="1" si="402"/>
        <v>1</v>
      </c>
      <c r="GL122" s="162">
        <f t="shared" ca="1" si="282"/>
        <v>1</v>
      </c>
      <c r="GM122" s="162" t="e">
        <f ca="1">MAX(0,MIN(1,1-Control!$C$156*(1.0001-$KH122)^2))</f>
        <v>#N/A</v>
      </c>
      <c r="GN122" s="162" t="e">
        <f ca="1">IF(Control!$B$26=1,$KU122,$KX122)</f>
        <v>#N/A</v>
      </c>
      <c r="GO122" s="162" t="e">
        <f ca="1">IF($CP122&lt;=60,Control!$C$105,IF($CP122&gt;=90,Control!$C$106,Control!$C$105+($CP122-60)*((Control!$C$106-Control!$C$105)/(90-60))))</f>
        <v>#N/A</v>
      </c>
      <c r="GP122" s="162" t="e">
        <f t="shared" ca="1" si="283"/>
        <v>#N/A</v>
      </c>
      <c r="GQ122" s="162" t="e">
        <f t="shared" ca="1" si="403"/>
        <v>#N/A</v>
      </c>
      <c r="GR122" s="163" t="e">
        <f t="shared" ca="1" si="284"/>
        <v>#DIV/0!</v>
      </c>
      <c r="GS122" s="162" t="e">
        <f t="shared" ca="1" si="285"/>
        <v>#DIV/0!</v>
      </c>
      <c r="GT122" s="164" t="e">
        <f t="shared" ca="1" si="404"/>
        <v>#N/A</v>
      </c>
      <c r="GU122" s="162" t="e">
        <f t="shared" ca="1" si="405"/>
        <v>#N/A</v>
      </c>
      <c r="GV122" s="162" t="e">
        <f t="shared" ca="1" si="286"/>
        <v>#N/A</v>
      </c>
      <c r="GW122" s="162" t="e">
        <f t="shared" ca="1" si="287"/>
        <v>#DIV/0!</v>
      </c>
      <c r="GX122" s="162" t="e">
        <f t="shared" ca="1" si="406"/>
        <v>#DIV/0!</v>
      </c>
      <c r="GY122" s="162" t="e">
        <f t="shared" ca="1" si="407"/>
        <v>#DIV/0!</v>
      </c>
      <c r="GZ122" s="165" t="e">
        <f t="shared" ca="1" si="288"/>
        <v>#N/A</v>
      </c>
      <c r="HA122" s="162" t="e">
        <f ca="1">IF(Control!$C$114=1, $DI122*$FS122, 0)</f>
        <v>#N/A</v>
      </c>
      <c r="HB122" s="162" t="e">
        <f ca="1">$FA122/Control!$C$64</f>
        <v>#N/A</v>
      </c>
      <c r="HC122" s="162" t="e">
        <f t="shared" ca="1" si="289"/>
        <v>#DIV/0!</v>
      </c>
      <c r="HD122" s="162">
        <f ca="1">-ASIN(SIN(23.45*Control!$C$139)*COS(2*Control!$C$138*($AH122+10)/365))</f>
        <v>0.23752090108196861</v>
      </c>
      <c r="HE122" s="165">
        <f t="shared" ca="1" si="408"/>
        <v>0</v>
      </c>
      <c r="HF122" s="166">
        <f ca="1">IF(AND(Control!$C$61="T",$HE122&gt;=Control!$C$103,Control!$C$114=0),$AH122,Control!$C$59)</f>
        <v>1</v>
      </c>
      <c r="HG122" s="166">
        <f ca="1">IF(AND(Control!$C$61="T",$HE122&gt;=Control!$C$103,Control!$C$114=0),$HF122,Control!$C$59)</f>
        <v>1</v>
      </c>
      <c r="HH122" s="165">
        <f ca="1">IF(AND(OR(Control!$C$60&lt;=0, $AH122= Control!$C$59, Control!$C$60 &gt;0, $AH122 = Control!$C$60)), Control!$C$59, IF(Control!$C$60&gt;0, 0))</f>
        <v>1</v>
      </c>
      <c r="HI122" s="165">
        <f ca="1">IF(AND(OR(Control!$C$60&lt;=0, $AH122= Control!$C$59, Control!$C$60 &gt;0, $AH122 = Control!$C$60)), Control!$C$60, IF(Control!$C$60&lt;=0, 0))</f>
        <v>0</v>
      </c>
      <c r="HJ122" s="166">
        <f ca="1">IF(AND(Control!$C$62="F",$CV122&gt;=Control!$C$102),$AH122,0)</f>
        <v>0</v>
      </c>
      <c r="HK122" s="165" t="e">
        <f t="shared" ca="1" si="445"/>
        <v>#N/A</v>
      </c>
      <c r="HL122" s="166">
        <f ca="1">IF(AND(Control!$C$61="T",$HE122&gt;=Control!$C$103,Control!$C$114=0),$HF122,0)</f>
        <v>0</v>
      </c>
      <c r="HM122" s="201" t="e">
        <f t="shared" ca="1" si="290"/>
        <v>#DIV/0!</v>
      </c>
      <c r="HN122" s="215">
        <f t="shared" ca="1" si="409"/>
        <v>118</v>
      </c>
      <c r="HO122" s="216" t="e">
        <f ca="1">IF(AND($CP122&gt;=0, $CP122&lt;=90), Control!$C$152, Control!$C$152)</f>
        <v>#N/A</v>
      </c>
      <c r="HP122" s="216" t="e">
        <f t="shared" ca="1" si="291"/>
        <v>#N/A</v>
      </c>
      <c r="HQ122" s="217" t="e">
        <f ca="1">IF(OR(Control!$B$26=1,Control!$B$26=2),$KV122,$KS122)</f>
        <v>#DIV/0!</v>
      </c>
      <c r="HR122" s="218" t="e">
        <f t="shared" ca="1" si="446"/>
        <v>#DIV/0!</v>
      </c>
      <c r="HS122" s="216" t="e">
        <f ca="1">Control!$C$154*$HP122</f>
        <v>#N/A</v>
      </c>
      <c r="HT122" s="216" t="e">
        <f ca="1">Control!$C$155*$HP122</f>
        <v>#N/A</v>
      </c>
      <c r="HU122" s="217" t="e">
        <f ca="1">Control!$C$161*$FI122</f>
        <v>#N/A</v>
      </c>
      <c r="HV122" s="218" t="e">
        <f t="shared" ca="1" si="410"/>
        <v>#N/A</v>
      </c>
      <c r="HW122" s="218" t="e">
        <f ca="1">Control!$C$160*$FF122+$IP122*$EO122</f>
        <v>#N/A</v>
      </c>
      <c r="HX122" s="218" t="e">
        <f t="shared" ca="1" si="447"/>
        <v>#N/A</v>
      </c>
      <c r="HY122" s="219" t="e">
        <f ca="1">IF(Control!$C$114=1, $EB122*$FS122, 0)</f>
        <v>#N/A</v>
      </c>
      <c r="HZ122" s="91" t="e">
        <f t="shared" ca="1" si="292"/>
        <v>#N/A</v>
      </c>
      <c r="IA122" s="220" t="e">
        <f ca="1">Control!$C$153*$HO122</f>
        <v>#N/A</v>
      </c>
      <c r="IB122" s="218" t="e">
        <f t="shared" ca="1" si="293"/>
        <v>#N/A</v>
      </c>
      <c r="IC122" s="220" t="e">
        <f ca="1">Control!$C$153*$HT122</f>
        <v>#N/A</v>
      </c>
      <c r="ID122" s="218" t="e">
        <f t="shared" ca="1" si="294"/>
        <v>#N/A</v>
      </c>
      <c r="IE122" s="221" t="e">
        <f ca="1">($EB122*Control!$C$159+$EF122*Control!$C$160)/(IF($GZ122&lt;&gt;0,$GZ122,1))</f>
        <v>#N/A</v>
      </c>
      <c r="IF122" s="216" t="e">
        <f t="shared" ca="1" si="295"/>
        <v>#N/A</v>
      </c>
      <c r="IG122" s="91">
        <f ca="1">IF(OR(Control!$B$198=$AH122,Control!$B$199=$AH122, Control!$B$200=$AH122, Control!$B$201=$AH122, Control!$B$202=$AH122, Control!$B$203=$AH122, Control!$B$204=$AH122, Control!$B$205=$AH122, Control!$B$206=$AH122, Control!$B$207=$AH122), 1, 0)</f>
        <v>0</v>
      </c>
      <c r="IH122" s="91">
        <f ca="1">IF($IG122=0,0, VLOOKUP($AH122,Control!$B$198:$C$207,2))</f>
        <v>0</v>
      </c>
      <c r="II122" s="222">
        <f t="shared" ca="1" si="411"/>
        <v>0</v>
      </c>
      <c r="IJ122" s="91">
        <f>Control!$C$121</f>
        <v>0.7</v>
      </c>
      <c r="IK122" s="218">
        <f t="shared" ca="1" si="296"/>
        <v>0</v>
      </c>
      <c r="IL122" s="217" t="e">
        <f t="shared" ca="1" si="448"/>
        <v>#N/A</v>
      </c>
      <c r="IM122" s="223" t="e">
        <f ca="1">IF(AND(Control!$C$114=1,$KH122&lt;1),$EB122*Control!$C$148*(1-$KH122), 0)</f>
        <v>#N/A</v>
      </c>
      <c r="IN122" s="217" t="e">
        <f t="shared" ca="1" si="297"/>
        <v>#DIV/0!</v>
      </c>
      <c r="IO122" s="91" t="e">
        <f ca="1">MAX(0,$IL122-$EF122*Control!$C$160)</f>
        <v>#N/A</v>
      </c>
      <c r="IP122" s="220" t="e">
        <f t="shared" ca="1" si="298"/>
        <v>#N/A</v>
      </c>
      <c r="IQ122" s="217" t="e">
        <f t="shared" ca="1" si="412"/>
        <v>#N/A</v>
      </c>
      <c r="IR122" s="218" t="e">
        <f t="shared" ca="1" si="299"/>
        <v>#N/A</v>
      </c>
      <c r="IS122" s="217" t="e">
        <f ca="1">Control!$C$159*MAX(0,$FD122-$EN122)</f>
        <v>#N/A</v>
      </c>
      <c r="IT122" s="217" t="e">
        <f t="shared" ca="1" si="449"/>
        <v>#N/A</v>
      </c>
      <c r="IU122" s="217" t="e">
        <f t="shared" ca="1" si="413"/>
        <v>#N/A</v>
      </c>
      <c r="IV122" s="217" t="e">
        <f t="shared" ca="1" si="450"/>
        <v>#N/A</v>
      </c>
      <c r="IW122" s="217" t="e">
        <f ca="1">IF(OR($AW122=1,AND($AW122=0, Control!$B$18=1,$EN122&lt;&gt;0)), $IQ122-$IU122, $IQ122)</f>
        <v>#N/A</v>
      </c>
      <c r="IX122" s="218" t="e">
        <f t="shared" ca="1" si="300"/>
        <v>#N/A</v>
      </c>
      <c r="IY122" s="218" t="e">
        <f ca="1">MAX(0,$IQ122-$EB122*Control!$C$159)</f>
        <v>#N/A</v>
      </c>
      <c r="IZ122" s="218" t="e">
        <f t="shared" ca="1" si="301"/>
        <v>#N/A</v>
      </c>
      <c r="JA122" s="216" t="e">
        <f t="shared" ca="1" si="302"/>
        <v>#N/A</v>
      </c>
      <c r="JB122" s="217" t="e">
        <f t="shared" ca="1" si="303"/>
        <v>#N/A</v>
      </c>
      <c r="JC122" s="222" t="e">
        <f ca="1">MAX(Control!$C$157*$EK122-$JT122, 0)/Control!$C$162</f>
        <v>#N/A</v>
      </c>
      <c r="JD122" s="218" t="e">
        <f t="shared" ca="1" si="304"/>
        <v>#N/A</v>
      </c>
      <c r="JE122" s="218" t="e">
        <f t="shared" ca="1" si="305"/>
        <v>#N/A</v>
      </c>
      <c r="JF122" s="218" t="e">
        <f t="shared" ca="1" si="414"/>
        <v>#N/A</v>
      </c>
      <c r="JG122" s="218" t="e">
        <f t="shared" ca="1" si="306"/>
        <v>#N/A</v>
      </c>
      <c r="JH122" s="217" t="e">
        <f t="shared" ca="1" si="415"/>
        <v>#N/A</v>
      </c>
      <c r="JI122" s="217" t="e">
        <f t="shared" ca="1" si="416"/>
        <v>#N/A</v>
      </c>
      <c r="JJ122" s="217" t="e">
        <f t="shared" ca="1" si="451"/>
        <v>#N/A</v>
      </c>
      <c r="JK122" s="217" t="e">
        <f ca="1">IF(Control!$C$114=1,IF(Control!$B$24=0,MAX(0,$JI122)*$GN122/Control!$C$64,(MAX(0,MIN($JI122,$JJ122*$GN122/Control!$C$64),0))))</f>
        <v>#N/A</v>
      </c>
      <c r="JL122" s="217" t="e">
        <f ca="1">$IK122/Control!$C$64-$JK122+$HQ122</f>
        <v>#N/A</v>
      </c>
      <c r="JM122" s="217" t="e">
        <f ca="1">IF(Control!$C$114=1,($JB122/(IF($JI122&lt;&gt;0,$JI122,1)))*$JK122,0)</f>
        <v>#N/A</v>
      </c>
      <c r="JN122" s="217" t="e">
        <f ca="1">IF(Control!$C$114=1,($JG122/(IF($JI122&lt;&gt;0,$JI122,1)))*$JK122, 0)</f>
        <v>#N/A</v>
      </c>
      <c r="JO122" s="218" t="e">
        <f t="shared" ca="1" si="307"/>
        <v>#N/A</v>
      </c>
      <c r="JP122" s="218" t="e">
        <f ca="1">MIN(($IY122+$IO122)*Control!$C$151, $JF122-$EH122*Control!$C$161)</f>
        <v>#N/A</v>
      </c>
      <c r="JQ122" s="218" t="e">
        <f t="shared" ca="1" si="308"/>
        <v>#N/A</v>
      </c>
      <c r="JR122" s="217" t="e">
        <f ca="1">IF($CP122-Control!$C$150&lt;0, 0, $JQ122/Control!$C$162)</f>
        <v>#N/A</v>
      </c>
      <c r="JS122" s="218" t="e">
        <f t="shared" ca="1" si="309"/>
        <v>#N/A</v>
      </c>
      <c r="JT122" s="218" t="e">
        <f t="shared" ca="1" si="417"/>
        <v>#N/A</v>
      </c>
      <c r="JU122" s="218" t="e">
        <f t="shared" ca="1" si="310"/>
        <v>#N/A</v>
      </c>
      <c r="JV122" s="218" t="e">
        <f t="shared" ca="1" si="311"/>
        <v>#N/A</v>
      </c>
      <c r="JW122" s="216" t="e">
        <f t="shared" ca="1" si="312"/>
        <v>#N/A</v>
      </c>
      <c r="JX122" s="91" t="e">
        <f t="shared" ca="1" si="313"/>
        <v>#N/A</v>
      </c>
      <c r="JY122" s="218" t="e">
        <f t="shared" ca="1" si="314"/>
        <v>#N/A</v>
      </c>
      <c r="JZ122" s="217" t="e">
        <f ca="1">IF(Control!$C$114=1,($IZ122/(IF($JI122&lt;&gt;0,$JI122,1)))*$JK122, 0)</f>
        <v>#N/A</v>
      </c>
      <c r="KA122" s="218" t="e">
        <f t="shared" ca="1" si="452"/>
        <v>#N/A</v>
      </c>
      <c r="KB122" s="218" t="e">
        <f t="shared" ca="1" si="418"/>
        <v>#N/A</v>
      </c>
      <c r="KC122" s="218" t="e">
        <f t="shared" ca="1" si="315"/>
        <v>#N/A</v>
      </c>
      <c r="KD122" s="218" t="e">
        <f t="shared" ca="1" si="316"/>
        <v>#N/A</v>
      </c>
      <c r="KE122" s="218" t="e">
        <f t="shared" ca="1" si="317"/>
        <v>#N/A</v>
      </c>
      <c r="KF122" s="218" t="e">
        <f t="shared" ca="1" si="318"/>
        <v>#N/A</v>
      </c>
      <c r="KG122" s="216" t="e">
        <f t="shared" ca="1" si="319"/>
        <v>#N/A</v>
      </c>
      <c r="KH122" s="221" t="e">
        <f ca="1">IF(Control!$B$24=0,1,MAX(0.001,MIN(1,IF(($IF122-$IE122)&lt;&gt;0,($KG122-$IE122)/($IF122-$IE122),1))))</f>
        <v>#N/A</v>
      </c>
      <c r="KI122" s="222" t="e">
        <f ca="1">IF(Control!$C$114=1, $KI121+ $KH121, 0)</f>
        <v>#N/A</v>
      </c>
      <c r="KJ122" s="217" t="e">
        <f t="shared" ca="1" si="320"/>
        <v>#N/A</v>
      </c>
      <c r="KK122" s="218" t="e">
        <f t="shared" ca="1" si="321"/>
        <v>#N/A</v>
      </c>
      <c r="KL122" s="274" t="e">
        <f ca="1">IF(Control!$B$26=3,4000000000*EXP(-8400/($G122+273)),IF(Control!$B$26=4,4000000000*EXP(-8400/($G122+273))*($KT122),0))</f>
        <v>#DIV/0!</v>
      </c>
      <c r="KM122" s="274" t="e">
        <f ca="1">IF(Control!$B$26=3,5600000000000*EXP(-9800/($G122+273)),IF(Control!$B$26=4,5600000000000*EXP(-9800/($G122+273))*$KT122,0))</f>
        <v>#DIV/0!</v>
      </c>
      <c r="KN122" s="454" t="e">
        <f t="shared" ca="1" si="419"/>
        <v>#DIV/0!</v>
      </c>
      <c r="KO122" s="274" t="e">
        <f t="shared" ca="1" si="420"/>
        <v>#DIV/0!</v>
      </c>
      <c r="KP122" s="454" t="e">
        <f t="shared" ca="1" si="322"/>
        <v>#DIV/0!</v>
      </c>
      <c r="KQ122" s="454" t="e">
        <f t="shared" ca="1" si="323"/>
        <v>#DIV/0!</v>
      </c>
      <c r="KR122" s="454" t="e">
        <f t="shared" ca="1" si="324"/>
        <v>#DIV/0!</v>
      </c>
      <c r="KS122" s="454" t="e">
        <f t="shared" ca="1" si="325"/>
        <v>#DIV/0!</v>
      </c>
      <c r="KT122" s="455" t="e">
        <f t="shared" ca="1" si="326"/>
        <v>#DIV/0!</v>
      </c>
      <c r="KU122" s="456" t="e">
        <f ca="1">IF($CP122-Control!$C$149&lt;0, IF($NT122-0.01&lt;0,0,1),0)</f>
        <v>#N/A</v>
      </c>
      <c r="KV122" s="456" t="e">
        <f ca="1">IF(Control!$C$114=1,MAX(0,MIN(Control!$C$125*$KW122*$GN122,$KW122)))</f>
        <v>#DIV/0!</v>
      </c>
      <c r="KW122" s="456" t="e">
        <f t="shared" ca="1" si="453"/>
        <v>#DIV/0!</v>
      </c>
      <c r="KX122" s="457" t="e">
        <f ca="1">IF($CP122-Control!$C$149&lt;0, IF($MR122-$OM122&lt;0,0,1),0)</f>
        <v>#N/A</v>
      </c>
      <c r="KY122" s="167">
        <f t="shared" ca="1" si="421"/>
        <v>118</v>
      </c>
      <c r="KZ122" s="168">
        <f ca="1">1370*(1+0.033*COS(2*Control!$C$138*$AH122/365))</f>
        <v>1349.9094701885574</v>
      </c>
      <c r="LA122" s="169">
        <f t="shared" ca="1" si="422"/>
        <v>0.98533552012254777</v>
      </c>
      <c r="LB122" s="169">
        <f t="shared" ca="1" si="423"/>
        <v>0.2446714508641725</v>
      </c>
      <c r="LC122" s="169">
        <f ca="1">ACOS(-TAN((2*Control!$B$8/360))*TAN(Calculations!$LB122))</f>
        <v>1.6450683722185369</v>
      </c>
      <c r="LD122" s="169">
        <f ca="1">((24*60)/PI())*0.082*$LA122*(($LC122*SIN(Control!$B$8*2*PI()/360))*SIN($LB122)+COS(Control!$B$8*2*PI()/360)*COS($LB122)*SIN($LC122))</f>
        <v>33.690554845648364</v>
      </c>
      <c r="LE122" s="170">
        <f t="shared" ca="1" si="327"/>
        <v>34.070398721350749</v>
      </c>
      <c r="LF122" s="170">
        <f ca="1">SIN(Control!$C$139*Control!$B$8)*SIN($HD122)</f>
        <v>0.18541439584534197</v>
      </c>
      <c r="LG122" s="170">
        <f ca="1">COS(Control!$C$139*Control!$B$8)*COS($HD122)</f>
        <v>0.59837470926473779</v>
      </c>
      <c r="LH122" s="170">
        <f ca="1">12*(1+2*ASIN(MAX(-1,MIN(1,$LF122/$LG122))/Control!$C$138))</f>
        <v>14.371031153434298</v>
      </c>
      <c r="LI122" s="170">
        <f ca="1">12*(1+2*ASIN(MAX(-1,MIN(1,(-SIN(-4*Control!$C$139)+$LF122)/$LG122))/Control!$C$138))</f>
        <v>15.267843616620681</v>
      </c>
      <c r="LJ122" s="168">
        <f ca="1">3600*($LH122*$LF122+24*$LG122*SQRT(1-$LK122*$LK122)/Control!$C$138)</f>
        <v>25239.024892974303</v>
      </c>
      <c r="LK122" s="170">
        <f t="shared" ca="1" si="328"/>
        <v>0.30986335647970947</v>
      </c>
      <c r="LL122" s="170">
        <f t="shared" ca="1" si="329"/>
        <v>0</v>
      </c>
      <c r="LM122" s="171">
        <f ca="1">Control!$C$145*$AB122</f>
        <v>6.6660906138995932E-2</v>
      </c>
      <c r="LN122" s="170">
        <f t="shared" ca="1" si="424"/>
        <v>0.54</v>
      </c>
      <c r="LO122" s="170">
        <f t="shared" ca="1" si="330"/>
        <v>0</v>
      </c>
      <c r="LP122" s="170">
        <f ca="1">Control!$C$140*((($D122+273.16)^4+($E122+273.16)^4)/2)*(0.34-0.14*SQRT($Y122))*(1.35*$AQ122/(0.75*$LD122)-0.35)</f>
        <v>-3.2464704755046001</v>
      </c>
      <c r="LQ122" s="170">
        <f ca="1">Control!$C$140*($G122+273)^4*(0.56-0.079*SQRT($Y122*10))*(0.1+0.9*$LO122)</f>
        <v>1.5241745131704001</v>
      </c>
      <c r="LR122" s="170">
        <f ca="1">$AQ122*(1-Control!$C$142)-$LQ122</f>
        <v>-1.5241745131704001</v>
      </c>
      <c r="LS122" s="170">
        <f ca="1">$AQ122*(1-Control!$C$143)-$LQ122</f>
        <v>-1.5241745131704001</v>
      </c>
      <c r="LT122" s="170">
        <f ca="1">$AQ122*(1-Control!$C$144)-$LQ122</f>
        <v>-1.5241745131704001</v>
      </c>
      <c r="LU122" s="169">
        <f ca="1">(1-Control!$C$144)*AQ122-LP122</f>
        <v>3.2464704755046001</v>
      </c>
      <c r="LV122" s="172">
        <f t="shared" ca="1" si="331"/>
        <v>0.79430000000000012</v>
      </c>
      <c r="LW122" s="170">
        <f t="shared" ca="1" si="332"/>
        <v>1.5886000000000002</v>
      </c>
      <c r="LX122" s="170">
        <f ca="1">($AC122*($LR122/Control!$C$141)+$LM122*$LV122)/($AC122+$LM122)</f>
        <v>0.23530094218323697</v>
      </c>
      <c r="LY122" s="170">
        <f ca="1">($AC122*($LS122/Control!$C$141)+$LM122*$LV122)/($AC122+$LM122)</f>
        <v>0.23530094218323697</v>
      </c>
      <c r="LZ122" s="170">
        <f t="shared" ca="1" si="333"/>
        <v>0.23530094218323697</v>
      </c>
      <c r="MA122" s="170">
        <f t="shared" ca="1" si="334"/>
        <v>0.23530094218323697</v>
      </c>
      <c r="MB122" s="170" t="e">
        <f t="shared" ca="1" si="335"/>
        <v>#N/A</v>
      </c>
      <c r="MC122" s="170">
        <f t="shared" ca="1" si="425"/>
        <v>0.6018</v>
      </c>
      <c r="MD122" s="170">
        <f t="shared" ca="1" si="336"/>
        <v>0.52989392535414004</v>
      </c>
      <c r="ME122" s="170">
        <f ca="1">($AC122*($LT122/Control!$C$141)+$LM122*$LW122)/($AC122+$LM122)</f>
        <v>0.71612369323045078</v>
      </c>
      <c r="MF122" s="170" t="e">
        <f ca="1">IF(Control!$B$16&gt;=1000,0.92,IF(AND(720&lt;=Control!$B$16,1000&gt;Control!$B$16),(0.95+(Control!$B$16-720)*((0.92-0.95)/(1000-720))),IF(AND(360&lt;=Control!$B$16,720&gt;Control!$B$16),(1+(Control!$B$16-360)*((0.95-1)/(720-360))),IF(AND(40&lt;=Control!$B$16,360&gt;Control!$B$16),(1.05+(Control!$B$16-40)*((1.05-1)/(360-40)))))))</f>
        <v>#N/A</v>
      </c>
      <c r="MG122" s="170">
        <f t="shared" ca="1" si="337"/>
        <v>0.71612369323045078</v>
      </c>
      <c r="MH122" s="170" t="e">
        <f t="shared" ca="1" si="463"/>
        <v>#N/A</v>
      </c>
      <c r="MI122" s="170" t="e">
        <f t="shared" ca="1" si="463"/>
        <v>#N/A</v>
      </c>
      <c r="MJ122" s="170" t="e">
        <f ca="1">MAX(0.0001, Control!$C$132*$MI122*$DL122)</f>
        <v>#N/A</v>
      </c>
      <c r="MK122" s="170">
        <f ca="1">1/(0.76+1.5*($MG122/10))-(5-Control!$C$110)*0.1</f>
        <v>1.002845988140797</v>
      </c>
      <c r="ML122" s="173">
        <f ca="1">IF(Control!$C$110&lt;3,$MK122+($MG122-0.6)/(Control!$C$110*(Control!$C$110+3)), MAX(0.1, MIN(0.95,$MK122)))</f>
        <v>0.95</v>
      </c>
      <c r="MM122" s="173">
        <f ca="1">IF(Control!$C$110&lt;3,$MK122+(($MI122/10)-0.6)/(Control!$C$110*(Control!$C$110+3)), MAX(0.1, MIN(0.95,$MK122)))</f>
        <v>0.95</v>
      </c>
      <c r="MN122" s="173">
        <f ca="1">(1-$MM122)*(Control!$C$128-Control!$C$127)+Control!$C$127</f>
        <v>0.16</v>
      </c>
      <c r="MO122" s="170" t="e">
        <f ca="1">MAX(0,MIN(1,($MS122-Control!$C$127)/($MN122-Control!$C$127)))</f>
        <v>#DIV/0!</v>
      </c>
      <c r="MP122" s="173" t="e">
        <f ca="1">1/(0.76+1.5*$MI122)-(5-Control!$C$110)*0.1</f>
        <v>#N/A</v>
      </c>
      <c r="MQ122" s="172" t="e">
        <f t="shared" ca="1" si="454"/>
        <v>#DIV/0!</v>
      </c>
      <c r="MR122" s="168" t="e">
        <f t="shared" ca="1" si="426"/>
        <v>#DIV/0!</v>
      </c>
      <c r="MS122" s="173" t="e">
        <f ca="1">MAX(Control!$C$127, MIN(Control!$C$135, $MR122/MAX(0.0001,$CY122)))</f>
        <v>#DIV/0!</v>
      </c>
      <c r="MT122" s="168" t="e">
        <f ca="1">(Control!$C$128-$MS122)*Control!$C$74</f>
        <v>#DIV/0!</v>
      </c>
      <c r="MU122" s="168" t="e">
        <f ca="1">(Control!$C$135-$MS122)*Control!$C$74</f>
        <v>#DIV/0!</v>
      </c>
      <c r="MV122" s="168" t="e">
        <f t="shared" ca="1" si="427"/>
        <v>#DIV/0!</v>
      </c>
      <c r="MW122" s="168" t="e">
        <f t="shared" ca="1" si="428"/>
        <v>#DIV/0!</v>
      </c>
      <c r="MX122" s="171" t="e">
        <f ca="1">MAX(Control!$C$127, MIN(Control!$C$135, $MW122/MAX(0.0001,Control!$C$119-$CY122)))</f>
        <v>#DIV/0!</v>
      </c>
      <c r="MY122" s="54" t="e">
        <f ca="1">IF(Control!$C$114=1, $CX122*$MX122, 0)</f>
        <v>#DIV/0!</v>
      </c>
      <c r="MZ122" s="54" t="e">
        <f t="shared" ca="1" si="429"/>
        <v>#N/A</v>
      </c>
      <c r="NA122" s="168" t="e">
        <f ca="1">(Control!$C$128-$MX122)*(Control!$C$119-Control!$C$74)</f>
        <v>#DIV/0!</v>
      </c>
      <c r="NB122" s="168" t="e">
        <f ca="1">(Control!$C$135-$MX122)*(Control!$C$119-Control!$C$74)</f>
        <v>#DIV/0!</v>
      </c>
      <c r="NC122" s="174" t="e">
        <f t="shared" ca="1" si="430"/>
        <v>#DIV/0!</v>
      </c>
      <c r="ND122" s="54">
        <f ca="1">IF(Control!$C$58=2, IF(OR(Control!$B$218=$AH122,Control!$B$219=$AH122, Control!$B$220=$AH122, Control!$B$221=$AH122, Control!$B$222=$AH122, Control!$B$223=$AH122, Control!$B$224=$AH122, Control!$B$225=$AH122, Control!$B$226=$AH122, Control!$B$227=$AH122, Control!$B$228=$AH122), 1, 0), 0)</f>
        <v>0</v>
      </c>
      <c r="NE122" s="54">
        <f ca="1">IF($ND122=0,0, VLOOKUP($AH122,Control!$B$218:$C$228,2))</f>
        <v>0</v>
      </c>
      <c r="NF122" s="168" t="e">
        <f ca="1">$CY122*(Control!$C$128-Control!$C$127)</f>
        <v>#N/A</v>
      </c>
      <c r="NG122" s="54" t="e">
        <f ca="1">IF(Control!$C$58=2, $NI121-$NJ121, 0)</f>
        <v>#DIV/0!</v>
      </c>
      <c r="NH122" s="54" t="e">
        <f ca="1">IF(AND(Control!$C$58=1, $MS121&lt;= ($MN121+0.02), $I121&lt;10), 0, IF(Control!$C$58=2, $NG121, 0))</f>
        <v>#DIV/0!</v>
      </c>
      <c r="NI122" s="54" t="e">
        <f ca="1">IF(Control!$C$58=2, $NE122+$NH122,0)</f>
        <v>#DIV/0!</v>
      </c>
      <c r="NJ122" s="54" t="e">
        <f ca="1">IF(AND(Control!$C$58=1, $MS122&lt;= ($MN122+0.02), $I122&lt;10), MAX(0, MIN(10, 0.7*($NF122-$MV122))), IF(Control!$C$58=2, MIN(10,$NI122),0))</f>
        <v>#DIV/0!</v>
      </c>
      <c r="NK122" s="54" t="e">
        <f t="shared" ca="1" si="338"/>
        <v>#DIV/0!</v>
      </c>
      <c r="NL122" s="173" t="e">
        <f ca="1">(1-Control!$C$73)*$I122+$NJ122</f>
        <v>#DIV/0!</v>
      </c>
      <c r="NM122" s="172" t="e">
        <f ca="1">IF($NL122&lt;0.5, $MB122* MAX(0, MIN(1, (SQRT($NC122)-SQRT($NC122-1))*Control!$C$71)),0)</f>
        <v>#DIV/0!</v>
      </c>
      <c r="NN122" s="170" t="e">
        <f ca="1">IF($NL122&gt;=5, $MB122, MAX(0,MIN($MB122, $NM122+$NL122,($MS122-Control!$C$129))))</f>
        <v>#DIV/0!</v>
      </c>
      <c r="NO122" s="54">
        <f>IF(Control!$C$133&lt;&gt;1, Control!$C$135-Control!$C$131, 0)</f>
        <v>0.38</v>
      </c>
      <c r="NP122" s="54" t="e">
        <f t="shared" ca="1" si="339"/>
        <v>#DIV/0!</v>
      </c>
      <c r="NQ122" s="173" t="e">
        <f ca="1">MAX(0,MIN(1,(Control!$C$135-$MS122)/(Control!$C$135-$NO122)))</f>
        <v>#DIV/0!</v>
      </c>
      <c r="NR122" s="170" t="e">
        <f ca="1">IF(Control!$C$133&lt;&gt;1, $NQ122+((1-$NP122/4)*(1-$NQ122)),1)</f>
        <v>#DIV/0!</v>
      </c>
      <c r="NS122" s="170" t="e">
        <f ca="1">IF(Control!$B$31=0,$MJ122,MAX(0,MIN($MV122,$MO122*$NR122*$MJ122)))</f>
        <v>#DIV/0!</v>
      </c>
      <c r="NT122" s="170" t="e">
        <f t="shared" ca="1" si="455"/>
        <v>#DIV/0!</v>
      </c>
      <c r="NU122" s="170" t="e">
        <f t="shared" ca="1" si="431"/>
        <v>#N/A</v>
      </c>
      <c r="NV122" s="170" t="e">
        <f t="shared" ca="1" si="340"/>
        <v>#N/A</v>
      </c>
      <c r="NW122" s="175" t="e">
        <f t="shared" ca="1" si="341"/>
        <v>#DIV/0!</v>
      </c>
      <c r="NX122" s="170" t="e">
        <f ca="1">MIN(Control!$C$72+$MU122, $NW122)</f>
        <v>#DIV/0!</v>
      </c>
      <c r="NY122" s="170" t="e">
        <f ca="1">IF($MT122&lt;=$NX122,MIN(Control!$C$72+$NB122,$NX122-$MT122),0)</f>
        <v>#DIV/0!</v>
      </c>
      <c r="NZ122" s="54" t="e">
        <f ca="1">IF(Control!$C$114=1,  $CX122*($MX122-Control!$C$127), 0)</f>
        <v>#DIV/0!</v>
      </c>
      <c r="OA122" s="170" t="e">
        <f t="shared" ca="1" si="342"/>
        <v>#DIV/0!</v>
      </c>
      <c r="OB122" s="170" t="e">
        <f ca="1">IF($NA122 &lt;=$NY122, MIN(Control!$C$72, $NY122-$NA122), 0)</f>
        <v>#DIV/0!</v>
      </c>
      <c r="OC122" s="168" t="e">
        <f t="shared" ca="1" si="343"/>
        <v>#DIV/0!</v>
      </c>
      <c r="OD122" s="168" t="e">
        <f t="shared" ca="1" si="432"/>
        <v>#DIV/0!</v>
      </c>
      <c r="OE122" s="170">
        <f ca="1">Control!$C$73*$I122</f>
        <v>0</v>
      </c>
      <c r="OF122" s="176" t="e">
        <f t="shared" ca="1" si="344"/>
        <v>#DIV/0!</v>
      </c>
      <c r="OG122" s="168" t="e">
        <f t="shared" ca="1" si="345"/>
        <v>#DIV/0!</v>
      </c>
      <c r="OH122" s="168" t="e">
        <f t="shared" ca="1" si="346"/>
        <v>#DIV/0!</v>
      </c>
      <c r="OI122" s="168" t="e">
        <f t="shared" ca="1" si="347"/>
        <v>#DIV/0!</v>
      </c>
      <c r="OJ122" s="168" t="e">
        <f t="shared" ca="1" si="348"/>
        <v>#DIV/0!</v>
      </c>
      <c r="OK122" s="204" t="e">
        <f t="shared" ca="1" si="349"/>
        <v>#DIV/0!</v>
      </c>
      <c r="OL122" s="177">
        <f>Control!$C$127</f>
        <v>0.15</v>
      </c>
      <c r="OM122" s="182" t="e">
        <f t="shared" ca="1" si="350"/>
        <v>#N/A</v>
      </c>
      <c r="ON122" s="177">
        <f>Control!$C$128</f>
        <v>0.35</v>
      </c>
      <c r="OO122" s="182" t="e">
        <f t="shared" ca="1" si="351"/>
        <v>#N/A</v>
      </c>
      <c r="OP122" s="138">
        <f t="shared" ca="1" si="433"/>
        <v>0</v>
      </c>
      <c r="OQ122" s="138" t="e">
        <f t="shared" ca="1" si="456"/>
        <v>#DIV/0!</v>
      </c>
      <c r="OR122" s="138" t="e">
        <f t="shared" ca="1" si="434"/>
        <v>#DIV/0!</v>
      </c>
      <c r="OS122" s="137" t="e">
        <f t="shared" ca="1" si="457"/>
        <v>#DIV/0!</v>
      </c>
      <c r="OT122" s="139" t="e">
        <f t="shared" ca="1" si="458"/>
        <v>#DIV/0!</v>
      </c>
      <c r="OU122" s="138" t="e">
        <f t="shared" ca="1" si="459"/>
        <v>#N/A</v>
      </c>
      <c r="OV122" s="138" t="e">
        <f t="shared" ca="1" si="460"/>
        <v>#DIV/0!</v>
      </c>
      <c r="OW122" s="138" t="e">
        <f t="shared" ca="1" si="435"/>
        <v>#DIV/0!</v>
      </c>
      <c r="OX122" s="138" t="e">
        <f t="shared" ca="1" si="436"/>
        <v>#DIV/0!</v>
      </c>
      <c r="OY122" s="138" t="e">
        <f t="shared" ca="1" si="437"/>
        <v>#DIV/0!</v>
      </c>
      <c r="OZ122" s="138" t="e">
        <f t="shared" ca="1" si="352"/>
        <v>#DIV/0!</v>
      </c>
      <c r="PA122" s="138" t="e">
        <f t="shared" ca="1" si="353"/>
        <v>#DIV/0!</v>
      </c>
      <c r="PB122" s="55">
        <f>IF(Control!$C$61="T", IF(Control!$C$65="F", IF($AH$6-Control!$C$60&lt;0,0,1), IF(365+$AH$6-Control!$C$60&lt;0,0,1)),0)</f>
        <v>0</v>
      </c>
      <c r="PC122" s="55">
        <f ca="1">IF(Control!$C$65="F", IF($AH$6-$HF122&lt;0,0,1), IF(365+$AH$6-$HF122&lt;0,0,1))</f>
        <v>1</v>
      </c>
      <c r="PD122" s="444">
        <f>Control!$C$118</f>
        <v>1500</v>
      </c>
      <c r="PE122" s="180" t="e">
        <f t="shared" ca="1" si="354"/>
        <v>#N/A</v>
      </c>
      <c r="PF122" s="445">
        <f t="shared" ca="1" si="438"/>
        <v>0.71612369323045078</v>
      </c>
      <c r="PT122" s="186"/>
      <c r="PU122" s="186"/>
      <c r="PV122" s="94"/>
      <c r="PW122" s="94"/>
      <c r="PX122" s="94"/>
      <c r="PY122" s="94"/>
      <c r="PZ122" s="94"/>
      <c r="QA122" s="94"/>
      <c r="QB122" s="94"/>
      <c r="QC122" s="94"/>
      <c r="QD122" s="94"/>
      <c r="QE122" s="94"/>
      <c r="QF122" s="94"/>
      <c r="QG122" s="94"/>
      <c r="QH122" s="94"/>
      <c r="QI122" s="94"/>
      <c r="QJ122" s="94"/>
      <c r="QK122" s="94"/>
      <c r="QL122" s="94"/>
      <c r="QM122" s="94"/>
      <c r="QN122" s="94"/>
      <c r="QO122" s="94"/>
      <c r="QP122" s="94"/>
    </row>
    <row r="123" spans="1:458" s="2" customFormat="1" x14ac:dyDescent="0.2">
      <c r="A123" s="395">
        <v>28</v>
      </c>
      <c r="B123" s="396">
        <v>4</v>
      </c>
      <c r="C123" s="387">
        <f ca="1">Weather_data!$B122</f>
        <v>0</v>
      </c>
      <c r="D123" s="388">
        <f ca="1">Weather_data!$F122</f>
        <v>0</v>
      </c>
      <c r="E123" s="388">
        <f ca="1">Weather_data!$E122</f>
        <v>0</v>
      </c>
      <c r="F123" s="388">
        <f t="shared" ca="1" si="355"/>
        <v>0</v>
      </c>
      <c r="G123" s="388">
        <f ca="1">AVERAGE($D123:$E123)+Control!$B$9</f>
        <v>0</v>
      </c>
      <c r="H123" s="388">
        <f ca="1">Weather_data!$G122</f>
        <v>0</v>
      </c>
      <c r="I123" s="388">
        <f ca="1">Weather_data!$I122</f>
        <v>0</v>
      </c>
      <c r="J123" s="388">
        <f ca="1">Weather_data!$H122</f>
        <v>0</v>
      </c>
      <c r="K123" s="389">
        <f ca="1">Weather_data!$D122</f>
        <v>0</v>
      </c>
      <c r="L123" s="388" t="e">
        <f t="shared" ca="1" si="356"/>
        <v>#N/A</v>
      </c>
      <c r="M123" s="388" t="e">
        <f t="shared" ca="1" si="234"/>
        <v>#N/A</v>
      </c>
      <c r="N123" s="388">
        <f t="shared" ca="1" si="235"/>
        <v>-2.2148463772280886E-6</v>
      </c>
      <c r="O123" s="388">
        <f t="shared" ca="1" si="357"/>
        <v>2.2148463772280886E-5</v>
      </c>
      <c r="P123" s="390">
        <v>3</v>
      </c>
      <c r="Q123" s="388">
        <f ca="1">MAX($G123-Control!$C$107,0)</f>
        <v>0</v>
      </c>
      <c r="R123" s="388">
        <f t="shared" ca="1" si="358"/>
        <v>0</v>
      </c>
      <c r="S123" s="388">
        <f t="shared" ca="1" si="236"/>
        <v>0</v>
      </c>
      <c r="T123" s="388">
        <f t="shared" ca="1" si="237"/>
        <v>0</v>
      </c>
      <c r="U123" s="59">
        <f t="shared" ca="1" si="238"/>
        <v>0</v>
      </c>
      <c r="V123" s="391">
        <f ca="1">MAX(0,MIN(Control!$C$100-Control!$C$99,$G123-Control!$C$99)*Control!$C$63)</f>
        <v>0</v>
      </c>
      <c r="W123" s="388">
        <f t="shared" ca="1" si="359"/>
        <v>0</v>
      </c>
      <c r="X123" s="388">
        <f t="shared" ca="1" si="360"/>
        <v>0.6110000000000001</v>
      </c>
      <c r="Y123" s="388">
        <f t="shared" ca="1" si="239"/>
        <v>0</v>
      </c>
      <c r="Z123" s="388">
        <f t="shared" ca="1" si="361"/>
        <v>0.61058800000000002</v>
      </c>
      <c r="AA123" s="388">
        <f t="shared" ca="1" si="240"/>
        <v>0.6018</v>
      </c>
      <c r="AB123" s="388">
        <f ca="1">101.3*EXP(-0.034*Control!$C$66/($G123+273))</f>
        <v>100.69623283836242</v>
      </c>
      <c r="AC123" s="392">
        <f t="shared" ca="1" si="241"/>
        <v>4.3460251046025113E-2</v>
      </c>
      <c r="AD123" s="392">
        <f t="shared" ca="1" si="242"/>
        <v>4.4450382862832649E-2</v>
      </c>
      <c r="AE123" s="388">
        <f t="shared" ca="1" si="243"/>
        <v>0</v>
      </c>
      <c r="AF123" s="388">
        <f ca="1">MAX(0,$G123-Control!$C$92)</f>
        <v>0</v>
      </c>
      <c r="AG123" s="393">
        <f t="shared" ca="1" si="244"/>
        <v>119</v>
      </c>
      <c r="AH123" s="389">
        <f t="shared" ca="1" si="245"/>
        <v>119</v>
      </c>
      <c r="AI123" s="388">
        <f t="shared" ca="1" si="362"/>
        <v>0.24317292917691111</v>
      </c>
      <c r="AJ123" s="388">
        <f ca="1">IF(Control!$C$60&lt;=0,$HH123,$HI123)</f>
        <v>1</v>
      </c>
      <c r="AK123" s="388">
        <f t="shared" ca="1" si="246"/>
        <v>0.67135404652055852</v>
      </c>
      <c r="AL123" s="388">
        <f t="shared" ca="1" si="247"/>
        <v>-4.1476631157388866E-18</v>
      </c>
      <c r="AM123" s="388">
        <f t="shared" ca="1" si="248"/>
        <v>0.67135404652055852</v>
      </c>
      <c r="AN123" s="388">
        <f t="shared" ca="1" si="249"/>
        <v>0.25004772109010315</v>
      </c>
      <c r="AO123" s="388">
        <f ca="1">-0.10453/COS(Control!$B$8*PI()/180)*COS(AN123)</f>
        <v>-0.16450465923813765</v>
      </c>
      <c r="AP123" s="388">
        <f ca="1">ACOS(AO123-TAN(Control!$B$8*PI()/180)*TAN(AN123))</f>
        <v>2.0844841851703078</v>
      </c>
      <c r="AQ123" s="388">
        <f t="shared" ca="1" si="363"/>
        <v>0</v>
      </c>
      <c r="AR123" s="394">
        <f t="shared" ca="1" si="250"/>
        <v>0</v>
      </c>
      <c r="AS123" s="436">
        <f ca="1">IF(Control!$B$18=2,(IF(OR($AH123=Control!$B$175,$AH123=Control!$B$176,$AH123=Control!$B$177,$AH123=Control!$B$178,$AH123=Control!$B$179,$AH123=Control!$B$180,$AH123=Control!$B$181,$AH123=Control!$B$182,$AH123=Control!$B$183,$AH123=Control!$B$184,$AH123=Control!$B$185),1,0)),0)</f>
        <v>0</v>
      </c>
      <c r="AT123" s="436">
        <f>IF(Control!$B$20=8,IF(AND($AH123&gt;=Control!$B$172,$AH123&lt;=Control!$B$173),1,0),0)</f>
        <v>0</v>
      </c>
      <c r="AU123" s="436">
        <f>IF(Control!$B$20=8,IF($AV122=1,1*$AT123,IF($AT123=1,$AU122+1,$AU122)),0)</f>
        <v>0</v>
      </c>
      <c r="AV123" s="436">
        <f>IF(Control!$B$20=8,IF($AU123&gt;=Control!$B$174,1,0),0)</f>
        <v>0</v>
      </c>
      <c r="AW123" s="436">
        <f ca="1">IF(AND(Control!$B$18=2,Control!$B$171=1), $AV123, $AS123)</f>
        <v>0</v>
      </c>
      <c r="AX123" s="436" t="e">
        <f ca="1">IF(AND(Control!$B$18=1,$EU123&gt;=Control!$B$19),-$AY123,IF(AND(Control!$B$18=2,$AW123=1,$EU123&gt;$DS123),-$AY123, IF(Control!$C$108=0,0, IF(Control!$C$108&lt;&gt;0,1))))</f>
        <v>#N/A</v>
      </c>
      <c r="AY123" s="436" t="e">
        <f t="shared" ca="1" si="364"/>
        <v>#N/A</v>
      </c>
      <c r="AZ123" s="436" t="e">
        <f ca="1">IF(AND(Control!$B$18=1,$EB123&gt;Control!$B$19),$AZ122+1, IF(AND(Control!$B$18=2, $AW123=1, $EB123&gt;$DS123), $AZ122+1,$AZ122))</f>
        <v>#N/A</v>
      </c>
      <c r="BA123" s="587">
        <f>IF(Control!$C$81=0,1,IF($AH123&gt;=Control!$C$82,1,0))</f>
        <v>1</v>
      </c>
      <c r="BB123" s="140" t="e">
        <f ca="1">IF($BA123&gt;$BA122,Control!$C$83,IF($AW123&gt;0,$AW123*Control!$C$84,IF(AND(Control!$B$18=1,EN122&lt;&gt;0),Control!$C$84,0)))</f>
        <v>#N/A</v>
      </c>
      <c r="BC123" s="140" t="e">
        <f t="shared" ca="1" si="365"/>
        <v>#N/A</v>
      </c>
      <c r="BD123" s="140" t="e">
        <f ca="1">BC123*IF(OR($G123&lt;Control!$C$92,$G123&gt;Control!$C$95),0,IF(AND($G123&gt;=Control!$C$92,$G123&lt;=Control!$C$93),$G123-Control!$C$92,IF(AND($G123&gt;Control!$C$93,$G123&lt;=Control!$C$94),Control!$C$93-Control!$C$92,IF(AND($G123&gt;Control!$C$94,$G123&lt;=Control!$C$95),(Control!$C$93-Control!$C$92)*(Control!$C$94-$G123)/(Control!$C$95-Control!$C$94)))))</f>
        <v>#N/A</v>
      </c>
      <c r="BE123" s="140" t="e">
        <f t="shared" ca="1" si="366"/>
        <v>#N/A</v>
      </c>
      <c r="BF123" s="140" t="e">
        <f ca="1">IF($BE123&lt;=Control!$C$86,$BE123,Control!$C$86-$BE123)</f>
        <v>#N/A</v>
      </c>
      <c r="BG123" s="140" t="e">
        <f ca="1">IF(AND($AW123=1,Control!$C$84&lt;9),1,IF($BE123&gt;=Control!$C$86,0,$BC123))</f>
        <v>#N/A</v>
      </c>
      <c r="BH123" s="404" t="e">
        <f ca="1">IF($BG123=0,0,IF($BE123&lt;=Control!$C$86,$BC123*9*($BF123/Control!$C$86),0))</f>
        <v>#N/A</v>
      </c>
      <c r="BI123" s="140" t="e">
        <f ca="1">IF($BG123=1,0,IF($BE123&gt;=Control!$C$86,1,IF(AND($BB123&lt;21,$BB123&gt;=9),1,$BM122)))</f>
        <v>#N/A</v>
      </c>
      <c r="BJ123" s="140" t="e">
        <f ca="1">IF($BF123&lt;0,-$BF123,$BI123*IF(OR($G123&lt;Control!$C$92,$G123&gt;Control!$C$95),0,IF(AND($G123&gt;=Control!$C$92,$G123&lt;=Control!$C$93),$G123-Control!$C$92,IF(AND($G123&gt;Control!$C$93,$G123&lt;=Control!$C$94),Control!$C$93-Control!$C$92,IF(AND($G123&gt;Control!$C$94,$G123&lt;=Control!$C$95),(Control!$C$93-Control!$C$92)*(Control!$C$94-$G123)/(Control!$C$95-Control!$C$94))))))</f>
        <v>#N/A</v>
      </c>
      <c r="BK123" s="140" t="e">
        <f t="shared" ca="1" si="367"/>
        <v>#N/A</v>
      </c>
      <c r="BL123" s="140" t="e">
        <f ca="1">IF($BK123&lt;=Control!$C$87,$BK123,Control!$C$87-$BK123)</f>
        <v>#N/A</v>
      </c>
      <c r="BM123" s="140" t="e">
        <f ca="1">IF(AND($BB123&gt;=9,$BB123&lt;21),1,IF($BK123&gt;=Control!$C$87,0,$BI123))</f>
        <v>#N/A</v>
      </c>
      <c r="BN123" s="404" t="e">
        <f ca="1">IF($BM123=0,0,IF($BK123&lt;=Control!$C$87,$BI123*(9+(21-9)*($BL123/Control!$C$87)),0))</f>
        <v>#N/A</v>
      </c>
      <c r="BO123" s="140" t="e">
        <f ca="1">IF($BM123=1,0,IF($BK123&gt;=Control!$C$87,1,IF(AND($BB123&lt;30,$BB123&gt;=21),1,$BS122)))</f>
        <v>#N/A</v>
      </c>
      <c r="BP123" s="140" t="e">
        <f ca="1">IF($BL123&lt;0,-$BL123,$BO123*IF(OR($G123&lt;Control!$C$92,$G123&gt;Control!$C$95),0,IF(AND($G123&gt;=Control!$C$92,$G123&lt;=Control!$C$93),$G123-Control!$C$92,IF(AND($G123&gt;Control!$C$93,$G123&lt;=Control!$C$94),Control!$C$93-Control!$C$92,IF(AND($G123&gt;Control!$C$94,$G123&lt;=Control!$C$95),(Control!$C$93-Control!$C$92)*(Control!$C$94-$G123)/(Control!$C$95-Control!$C$94))))))</f>
        <v>#N/A</v>
      </c>
      <c r="BQ123" s="140" t="e">
        <f t="shared" ca="1" si="251"/>
        <v>#N/A</v>
      </c>
      <c r="BR123" s="140" t="e">
        <f ca="1">IF($BQ123&lt;=Control!$C$88,$BQ123,Control!$C$88-$BQ123)</f>
        <v>#N/A</v>
      </c>
      <c r="BS123" s="140" t="e">
        <f ca="1">IF(AND($BB123&gt;=21,$BB123&lt;30),1,IF($BQ123&gt;=Control!$C$88,0,$BO123))</f>
        <v>#N/A</v>
      </c>
      <c r="BT123" s="404" t="e">
        <f ca="1">IF($BS123=0,0,IF($BQ123&lt;=Control!$C$88,$BO123*(21+(30-21)*(BR123/Control!$C$88)),0))</f>
        <v>#N/A</v>
      </c>
      <c r="BU123" s="140" t="e">
        <f ca="1">IF(BG123+BM123+BS123=1,0,IF(OR(AND($BB123&lt;60,$BB123&gt;=30),$BQ123&gt;=Control!$C$88),1*$BA123,$BY122))</f>
        <v>#N/A</v>
      </c>
      <c r="BV123" s="140" t="e">
        <f ca="1">IF($BR123&lt;0,-$BR123,$BU123*IF(OR($G123&lt;Control!$C$92,$G123&gt;Control!$C$95),0,IF(AND($G123&gt;=Control!$C$92,$G123&lt;=Control!$C$93),$G123-Control!$C$92,IF(AND($G123&gt;Control!$C$93,$G123&lt;=Control!$C$94),Control!$C$93-Control!$C$92,IF(AND($G123&gt;Control!$C$94,$G123&lt;=Control!$C$95),(Control!$C$93-Control!$C$92)*(Control!$C$94-$G123)/(Control!$C$95-Control!$C$94))))))</f>
        <v>#N/A</v>
      </c>
      <c r="BW123" s="140" t="e">
        <f t="shared" ca="1" si="252"/>
        <v>#N/A</v>
      </c>
      <c r="BX123" s="140" t="e">
        <f ca="1">IF($BW123&lt;=Control!$C$89,$BW123,Control!$C$89-$BW123)</f>
        <v>#N/A</v>
      </c>
      <c r="BY123" s="140" t="e">
        <f ca="1">IF(AND($AJ123&gt;=30,$AJ123&lt;60),1,IF($BW123&gt;=Control!$C$89,0,$BU123))</f>
        <v>#N/A</v>
      </c>
      <c r="BZ123" s="404" t="e">
        <f ca="1">IF($BY123=0,0,IF($BW123&lt;=Control!$C$89,$BU123*(30+(60-30)*(BX123/Control!$C$89)),0))</f>
        <v>#N/A</v>
      </c>
      <c r="CA123" s="140" t="e">
        <f ca="1">IF($BG123+$BM123+$BS123+$BY123=1,0,IF(OR(AND($BB123&lt;65,$BB123&gt;=60),$BW123&gt;=Control!$C$89),1*$BA123,$CE122))</f>
        <v>#N/A</v>
      </c>
      <c r="CB123" s="140" t="e">
        <f ca="1">IF($BX123&lt;0,-$BX123,$CA123*IF(OR($G123&lt;Control!$C$92,$G123&gt;Control!$C$95),0,IF(AND($G123&gt;=Control!$C$92,$G123&lt;=Control!$C$93),$G123-Control!$C$92,IF(AND($G123&gt;Control!$C$93,$G123&lt;=Control!$C$94),Control!$C$93-Control!$C$92,IF(AND($G123&gt;Control!$C$94,$G123&lt;=Control!$C$95),(Control!$C$93-Control!$C$92)*(Control!$C$94-$G123)/(Control!$C$95-Control!$C$94))))))</f>
        <v>#N/A</v>
      </c>
      <c r="CC123" s="140" t="e">
        <f t="shared" ca="1" si="368"/>
        <v>#N/A</v>
      </c>
      <c r="CD123" s="140" t="e">
        <f ca="1">IF($CC123&lt;=Control!$C$90,$CC123,Control!$C$90-$CC123)</f>
        <v>#N/A</v>
      </c>
      <c r="CE123" s="140" t="e">
        <f ca="1">IF(AND($BB123&gt;=60,$BB123&lt;65),1,IF($CC123&gt;=Control!$C$90,0,$CA123))</f>
        <v>#N/A</v>
      </c>
      <c r="CF123" s="404" t="e">
        <f ca="1">IF($CE123=0,0,IF($CC123&lt;=Control!$C$90,$CA123*(60+(65-60)*(CD123/Control!$C$90)),0))</f>
        <v>#N/A</v>
      </c>
      <c r="CG123" s="140" t="e">
        <f ca="1">IF($BG123+$BM123+$BS123+$BY123+$CE123=1,0,IF(OR(AND($BB123&lt;90,$BB123&gt;=65),$CC123&gt;=Control!$C$90),$BA123,$CK122))</f>
        <v>#N/A</v>
      </c>
      <c r="CH123" s="140" t="e">
        <f ca="1">IF($CD123&lt;0,-$CD123,$CG123*IF(OR($G123&lt;Control!$C$92,$G123&gt;Control!$C$95),0,IF(AND($G123&gt;=Control!$C$92,$G123&lt;=Control!$C$93),$G123-Control!$C$92,IF(AND($G123&gt;Control!$C$93,$G123&lt;=Control!$C$94),Control!$C$93-Control!$C$92,IF(AND($G123&gt;Control!$C$94,$G123&lt;=Control!$C$95),(Control!$C$93-Control!$C$92)*(Control!$C$94-$G123)/(Control!$C$95-Control!$C$94))))))</f>
        <v>#N/A</v>
      </c>
      <c r="CI123" s="140" t="e">
        <f t="shared" ca="1" si="369"/>
        <v>#N/A</v>
      </c>
      <c r="CJ123" s="140" t="e">
        <f ca="1">IF($CI123&lt;=Control!$C$91,$CI123,Control!$C$91-$CI123)</f>
        <v>#N/A</v>
      </c>
      <c r="CK123" s="140" t="e">
        <f ca="1">IF(AND($BB123&gt;=65,$BB123&lt;90),1,IF($CI123&gt;=Control!$C$91,0,$CG123))</f>
        <v>#N/A</v>
      </c>
      <c r="CL123" s="404" t="e">
        <f ca="1">IF($CK123=0,0,IF($CI123&lt;=Control!$C$91,$CG123*(65+(90-65)*($CJ123/Control!$C$91)),0))</f>
        <v>#N/A</v>
      </c>
      <c r="CM123" s="140" t="e">
        <f ca="1">IF($BG123+$BM123+$BS123+$BY123+$CE123+$CK123=1,0,IF(OR($BB123&gt;=90,$CI123&gt;=Control!$C$91),$BA123,$CM122))</f>
        <v>#N/A</v>
      </c>
      <c r="CN123" s="140" t="e">
        <f t="shared" ca="1" si="370"/>
        <v>#N/A</v>
      </c>
      <c r="CO123" s="140" t="e">
        <f t="shared" ca="1" si="371"/>
        <v>#N/A</v>
      </c>
      <c r="CP123" s="140" t="e">
        <f t="shared" ca="1" si="372"/>
        <v>#N/A</v>
      </c>
      <c r="CQ123" s="141" t="e">
        <f ca="1">VLOOKUP($CP123,Control!$B$86:$G$91,6)</f>
        <v>#N/A</v>
      </c>
      <c r="CR123" s="141" t="e">
        <f ca="1">(1-$CQ123)*VLOOKUP($CP123,Control!$B$86:$D$91,3)</f>
        <v>#N/A</v>
      </c>
      <c r="CS123" s="141" t="e">
        <f ca="1">(1-$CQ123)*VLOOKUP($CP123,Control!$B$86:$E$91,4)</f>
        <v>#N/A</v>
      </c>
      <c r="CT123" s="141" t="e">
        <f ca="1">(1-$CQ123)*VLOOKUP($CP123,Control!$B$86:$F$91,5)</f>
        <v>#N/A</v>
      </c>
      <c r="CU123" s="141">
        <f t="shared" ca="1" si="373"/>
        <v>0</v>
      </c>
      <c r="CV123" s="583">
        <f t="shared" ca="1" si="374"/>
        <v>0</v>
      </c>
      <c r="CW123" s="142">
        <f t="shared" ca="1" si="375"/>
        <v>119</v>
      </c>
      <c r="CX123" s="612" t="e">
        <f ca="1">IF(Control!$C$114=1,(MIN(Control!$C$120*(IF($NT123-0.01&lt;0,0,1)),Control!$C$119-$CY123)))</f>
        <v>#DIV/0!</v>
      </c>
      <c r="CY123" s="143" t="e">
        <f t="shared" ca="1" si="376"/>
        <v>#N/A</v>
      </c>
      <c r="CZ123" s="144">
        <f t="shared" ca="1" si="253"/>
        <v>0</v>
      </c>
      <c r="DA123" s="144">
        <f t="shared" ca="1" si="254"/>
        <v>0</v>
      </c>
      <c r="DB123" s="144" t="e">
        <f t="shared" ca="1" si="255"/>
        <v>#N/A</v>
      </c>
      <c r="DC123" s="144" t="e">
        <f t="shared" ca="1" si="256"/>
        <v>#N/A</v>
      </c>
      <c r="DD123" s="144" t="e">
        <f t="shared" ca="1" si="461"/>
        <v>#N/A</v>
      </c>
      <c r="DE123" s="143" t="e">
        <f t="shared" ca="1" si="377"/>
        <v>#N/A</v>
      </c>
      <c r="DF123" s="145" t="e">
        <f ca="1">$DR123*EXP(-Control!$C$158*(1-$KH123))</f>
        <v>#N/A</v>
      </c>
      <c r="DG123" s="146" t="e">
        <f ca="1">IF(Control!$C$114=1, $DF123*$EY123, 0)</f>
        <v>#N/A</v>
      </c>
      <c r="DH123" s="147" t="e">
        <f t="shared" ca="1" si="378"/>
        <v>#N/A</v>
      </c>
      <c r="DI123" s="144" t="e">
        <f t="shared" ca="1" si="439"/>
        <v>#N/A</v>
      </c>
      <c r="DJ123" s="147" t="e">
        <f ca="1">$EF123*Control!$C$109</f>
        <v>#N/A</v>
      </c>
      <c r="DK123" s="144" t="e">
        <f t="shared" ca="1" si="379"/>
        <v>#N/A</v>
      </c>
      <c r="DL123" s="144" t="e">
        <f t="shared" ca="1" si="257"/>
        <v>#N/A</v>
      </c>
      <c r="DM123" s="144" t="e">
        <f ca="1">IF(Control!$C$114=1, (1-EXP(-Control!$C$96*$DK123))*$AR123, 0)</f>
        <v>#N/A</v>
      </c>
      <c r="DN123" s="144">
        <f t="shared" ca="1" si="380"/>
        <v>0</v>
      </c>
      <c r="DO123" s="148">
        <f>Control!$C$97</f>
        <v>4</v>
      </c>
      <c r="DP123" s="145" t="e">
        <f t="shared" ca="1" si="381"/>
        <v>#N/A</v>
      </c>
      <c r="DQ123" s="145" t="e">
        <f ca="1">IF(AND($CP123&gt;=0,$CP123&lt;=90),Control!$C$111,Control!$C$111)</f>
        <v>#N/A</v>
      </c>
      <c r="DR123" s="145" t="e">
        <f t="shared" ca="1" si="258"/>
        <v>#N/A</v>
      </c>
      <c r="DS123" s="143" t="e">
        <f ca="1">Control!$B$22/$DR123</f>
        <v>#N/A</v>
      </c>
      <c r="DT123" s="149" t="e">
        <f ca="1">IF(AND(Control!$C$114=1,$KH123&lt;1),$IM123*$DF123, 0)</f>
        <v>#N/A</v>
      </c>
      <c r="DU123" s="144" t="e">
        <f t="shared" ca="1" si="382"/>
        <v>#N/A</v>
      </c>
      <c r="DV123" s="144">
        <f ca="1">IF($G123-Control!$C$107&lt;=0, 0, 0.83*LN(MAX($G123, 3))-0.8924)</f>
        <v>0</v>
      </c>
      <c r="DW123" s="144" t="e">
        <f t="shared" ca="1" si="259"/>
        <v>#N/A</v>
      </c>
      <c r="DX123" s="150" t="e">
        <f ca="1">MAX(0.01*(1+$CU123/Control!$C$102),0.05*($DK123-Control!$C$97)/Control!$C$97)</f>
        <v>#N/A</v>
      </c>
      <c r="DY123" s="151" t="e">
        <f ca="1">IF(Control!$C$114=1, $DI123*$FS123, 0)</f>
        <v>#N/A</v>
      </c>
      <c r="DZ123" s="196" t="e">
        <f t="shared" ca="1" si="383"/>
        <v>#N/A</v>
      </c>
      <c r="EA123" s="152">
        <f t="shared" ca="1" si="384"/>
        <v>119</v>
      </c>
      <c r="EB123" s="153" t="e">
        <f t="shared" ca="1" si="385"/>
        <v>#N/A</v>
      </c>
      <c r="EC123" s="153" t="e">
        <f t="shared" ca="1" si="386"/>
        <v>#N/A</v>
      </c>
      <c r="ED123" s="154" t="e">
        <f ca="1">IF(Control!$C$114=1, $HM123*$FY123-$FD123, 0)</f>
        <v>#DIV/0!</v>
      </c>
      <c r="EE123" s="155" t="e">
        <f ca="1">IF(Control!$C$114=1, $HM123*$FZ123-$FF123, 0)</f>
        <v>#DIV/0!</v>
      </c>
      <c r="EF123" s="153" t="e">
        <f t="shared" ca="1" si="440"/>
        <v>#N/A</v>
      </c>
      <c r="EG123" s="155" t="e">
        <f ca="1">IF(Control!$C$114=1, $GX123*$FW123-$FI123, 0)</f>
        <v>#DIV/0!</v>
      </c>
      <c r="EH123" s="153" t="e">
        <f t="shared" ca="1" si="387"/>
        <v>#N/A</v>
      </c>
      <c r="EI123" s="156" t="e">
        <f t="shared" ca="1" si="388"/>
        <v>#N/A</v>
      </c>
      <c r="EJ123" s="155" t="e">
        <f ca="1">IF(Control!$C$114=1, $HM123*$GB123, 0)</f>
        <v>#DIV/0!</v>
      </c>
      <c r="EK123" s="153" t="e">
        <f t="shared" ca="1" si="441"/>
        <v>#N/A</v>
      </c>
      <c r="EL123" s="153" t="e">
        <f t="shared" ca="1" si="260"/>
        <v>#N/A</v>
      </c>
      <c r="EM123" s="153" t="e">
        <f t="shared" ca="1" si="261"/>
        <v>#N/A</v>
      </c>
      <c r="EN123" s="153" t="e">
        <f ca="1">IF(Control!$C$108=1,IF(AND(Control!$B$18=1,$EB123&gt;=Control!$B$19),$EB123-$DS123,IF(AND(Control!$B$18=2,$AW123=1,$EB123&gt;$DS123),$EB123-$DS123,0)))</f>
        <v>#N/A</v>
      </c>
      <c r="EO123" s="153" t="e">
        <f ca="1">IF(Control!$C$108=1,IF(AND(Control!$B$18=1,$EB123&gt;=Control!$B$19),$EF123,IF(AND(Control!$B$18=2,$AW123=1),$EF123,0)))</f>
        <v>#N/A</v>
      </c>
      <c r="EP123" s="153" t="e">
        <f ca="1">IF(Control!$C$108=1,IF(AND(Control!$B$18=1,$EB123&gt;=Control!$B$19),$EK123,IF(AND(Control!$B$18=2,$AW123=1),$EK123,0)))</f>
        <v>#N/A</v>
      </c>
      <c r="EQ123" s="153" t="e">
        <f t="shared" ca="1" si="389"/>
        <v>#N/A</v>
      </c>
      <c r="ER123" s="153" t="e">
        <f t="shared" ca="1" si="390"/>
        <v>#N/A</v>
      </c>
      <c r="ES123" s="153" t="e">
        <f t="shared" ca="1" si="442"/>
        <v>#N/A</v>
      </c>
      <c r="ET123" s="153" t="e">
        <f t="shared" ca="1" si="443"/>
        <v>#N/A</v>
      </c>
      <c r="EU123" s="153" t="e">
        <f t="shared" ca="1" si="391"/>
        <v>#N/A</v>
      </c>
      <c r="EV123" s="153" t="e">
        <f t="shared" ca="1" si="262"/>
        <v>#N/A</v>
      </c>
      <c r="EW123" s="153" t="e">
        <f t="shared" ca="1" si="263"/>
        <v>#N/A</v>
      </c>
      <c r="EX123" s="153" t="e">
        <f t="shared" ca="1" si="264"/>
        <v>#N/A</v>
      </c>
      <c r="EY123" s="157" t="e">
        <f t="shared" ca="1" si="265"/>
        <v>#DIV/0!</v>
      </c>
      <c r="EZ123" s="154" t="e">
        <f t="shared" ca="1" si="266"/>
        <v>#DIV/0!</v>
      </c>
      <c r="FA123" s="153" t="e">
        <f t="shared" ca="1" si="392"/>
        <v>#N/A</v>
      </c>
      <c r="FB123" s="153" t="e">
        <f t="shared" ca="1" si="267"/>
        <v>#N/A</v>
      </c>
      <c r="FC123" s="193" t="e">
        <f t="shared" ca="1" si="268"/>
        <v>#N/A</v>
      </c>
      <c r="FD123" s="158" t="e">
        <f t="shared" ca="1" si="393"/>
        <v>#N/A</v>
      </c>
      <c r="FE123" s="158" t="e">
        <f t="shared" ca="1" si="394"/>
        <v>#N/A</v>
      </c>
      <c r="FF123" s="159" t="e">
        <f t="shared" ca="1" si="269"/>
        <v>#N/A</v>
      </c>
      <c r="FG123" s="160" t="e">
        <f t="shared" ca="1" si="395"/>
        <v>#N/A</v>
      </c>
      <c r="FH123" s="158" t="e">
        <f t="shared" ca="1" si="396"/>
        <v>#N/A</v>
      </c>
      <c r="FI123" s="159" t="e">
        <f t="shared" ca="1" si="270"/>
        <v>#N/A</v>
      </c>
      <c r="FJ123" s="160" t="e">
        <f t="shared" ca="1" si="397"/>
        <v>#N/A</v>
      </c>
      <c r="FK123" s="160" t="e">
        <f t="shared" ca="1" si="271"/>
        <v>#N/A</v>
      </c>
      <c r="FL123" s="160" t="e">
        <f t="shared" ca="1" si="444"/>
        <v>#N/A</v>
      </c>
      <c r="FM123" s="160" t="e">
        <f t="shared" ca="1" si="272"/>
        <v>#N/A</v>
      </c>
      <c r="FN123" s="158">
        <f t="shared" ca="1" si="398"/>
        <v>0.01</v>
      </c>
      <c r="FO123" s="160">
        <f>Control!$C$101</f>
        <v>50</v>
      </c>
      <c r="FP123" s="150" t="e">
        <f t="shared" ca="1" si="273"/>
        <v>#N/A</v>
      </c>
      <c r="FQ123" s="150" t="e">
        <f ca="1">MAX(0,(Control!$C$112*(($DK123-Control!$C$97)/Control!$C$97)))</f>
        <v>#N/A</v>
      </c>
      <c r="FR123" s="150" t="e">
        <f ca="1">(1-$NT123)*Control!$C$113</f>
        <v>#DIV/0!</v>
      </c>
      <c r="FS123" s="198" t="e">
        <f t="shared" ca="1" si="274"/>
        <v>#N/A</v>
      </c>
      <c r="FT123" s="161">
        <f t="shared" ca="1" si="399"/>
        <v>119</v>
      </c>
      <c r="FU123" s="162" t="e">
        <f ca="1">IF(Control!$B$34=1,VLOOKUP($CP123,Control!$B$86:$G$91,6),Control!$B$35)</f>
        <v>#N/A</v>
      </c>
      <c r="FV123" s="162" t="e">
        <f t="shared" ca="1" si="275"/>
        <v>#DIV/0!</v>
      </c>
      <c r="FW123" s="162" t="e">
        <f ca="1">IF(Control!$B$31=1,$FU123*$FV123,  $FU123)</f>
        <v>#N/A</v>
      </c>
      <c r="FX123" s="162" t="e">
        <f ca="1">IF(Control!$B$34=1,VLOOKUP($CP123,Control!$B$86:$G$91,3),Control!$B$36)</f>
        <v>#N/A</v>
      </c>
      <c r="FY123" s="162" t="e">
        <f t="shared" ca="1" si="276"/>
        <v>#N/A</v>
      </c>
      <c r="FZ123" s="162" t="e">
        <f ca="1">IF(Control!$B$34=1,VLOOKUP($CP123,Control!$B$86:$G$91,4),Control!$B$37)</f>
        <v>#N/A</v>
      </c>
      <c r="GA123" s="162" t="e">
        <f t="shared" ca="1" si="277"/>
        <v>#N/A</v>
      </c>
      <c r="GB123" s="162" t="e">
        <f ca="1">IF(Control!$B$34=1,VLOOKUP($CP123,Control!$B$86:$G$91,5),Control!$B$38)</f>
        <v>#N/A</v>
      </c>
      <c r="GC123" s="162" t="e">
        <f t="shared" ca="1" si="400"/>
        <v>#N/A</v>
      </c>
      <c r="GD123" s="162">
        <f t="shared" ca="1" si="278"/>
        <v>1</v>
      </c>
      <c r="GE123" s="162">
        <f t="shared" ca="1" si="279"/>
        <v>1</v>
      </c>
      <c r="GF123" s="162">
        <f ca="1">IF(AND(Control!$C$104=1, Control!$C$62="F"),$GE123,1)</f>
        <v>1</v>
      </c>
      <c r="GG123" s="162" t="e">
        <f ca="1">IF(Control!$B$16=40,0,IF(AND(Control!$B$16&gt;40,Control!$B$16&lt;=360),(Control!$B$16-40)*((1-0)/(360-40)),IF(AND(Control!$B$16&gt;360,Control!$B$16&lt;=720),(1+(Control!$B$16-360)*((1.25-1)/(720-360))),IF(AND(Control!$B$16&gt;720,Control!$B$16&lt;=1000),(1.25+(Control!$B$16-720)*((1.35-1.25)/(1000-720))),IF(AND(Control!$B$16&gt;1000,Control!$B$16&lt;=2000),(1.35+(Control!$B$16-1000)*0))))))</f>
        <v>#N/A</v>
      </c>
      <c r="GH123" s="162" t="e">
        <f t="shared" ca="1" si="280"/>
        <v>#N/A</v>
      </c>
      <c r="GI123" s="162">
        <f t="shared" ca="1" si="401"/>
        <v>0</v>
      </c>
      <c r="GJ123" s="162">
        <f t="shared" ca="1" si="281"/>
        <v>0</v>
      </c>
      <c r="GK123" s="162">
        <f t="shared" ca="1" si="402"/>
        <v>1</v>
      </c>
      <c r="GL123" s="162">
        <f t="shared" ca="1" si="282"/>
        <v>1</v>
      </c>
      <c r="GM123" s="162" t="e">
        <f ca="1">MAX(0,MIN(1,1-Control!$C$156*(1.0001-$KH123)^2))</f>
        <v>#N/A</v>
      </c>
      <c r="GN123" s="162" t="e">
        <f ca="1">IF(Control!$B$26=1,$KU123,$KX123)</f>
        <v>#N/A</v>
      </c>
      <c r="GO123" s="162" t="e">
        <f ca="1">IF($CP123&lt;=60,Control!$C$105,IF($CP123&gt;=90,Control!$C$106,Control!$C$105+($CP123-60)*((Control!$C$106-Control!$C$105)/(90-60))))</f>
        <v>#N/A</v>
      </c>
      <c r="GP123" s="162" t="e">
        <f t="shared" ca="1" si="283"/>
        <v>#N/A</v>
      </c>
      <c r="GQ123" s="162" t="e">
        <f t="shared" ca="1" si="403"/>
        <v>#N/A</v>
      </c>
      <c r="GR123" s="163" t="e">
        <f t="shared" ca="1" si="284"/>
        <v>#DIV/0!</v>
      </c>
      <c r="GS123" s="162" t="e">
        <f t="shared" ca="1" si="285"/>
        <v>#DIV/0!</v>
      </c>
      <c r="GT123" s="164" t="e">
        <f t="shared" ca="1" si="404"/>
        <v>#N/A</v>
      </c>
      <c r="GU123" s="162" t="e">
        <f t="shared" ca="1" si="405"/>
        <v>#N/A</v>
      </c>
      <c r="GV123" s="162" t="e">
        <f t="shared" ca="1" si="286"/>
        <v>#N/A</v>
      </c>
      <c r="GW123" s="162" t="e">
        <f t="shared" ca="1" si="287"/>
        <v>#DIV/0!</v>
      </c>
      <c r="GX123" s="162" t="e">
        <f t="shared" ca="1" si="406"/>
        <v>#DIV/0!</v>
      </c>
      <c r="GY123" s="162" t="e">
        <f t="shared" ca="1" si="407"/>
        <v>#DIV/0!</v>
      </c>
      <c r="GZ123" s="165" t="e">
        <f t="shared" ca="1" si="288"/>
        <v>#N/A</v>
      </c>
      <c r="HA123" s="162" t="e">
        <f ca="1">IF(Control!$C$114=1, $DI123*$FS123, 0)</f>
        <v>#N/A</v>
      </c>
      <c r="HB123" s="162" t="e">
        <f ca="1">$FA123/Control!$C$64</f>
        <v>#N/A</v>
      </c>
      <c r="HC123" s="162" t="e">
        <f t="shared" ca="1" si="289"/>
        <v>#DIV/0!</v>
      </c>
      <c r="HD123" s="162">
        <f ca="1">-ASIN(SIN(23.45*Control!$C$139)*COS(2*Control!$C$138*($AH123+10)/365))</f>
        <v>0.24317292917691111</v>
      </c>
      <c r="HE123" s="165">
        <f t="shared" ca="1" si="408"/>
        <v>0</v>
      </c>
      <c r="HF123" s="166">
        <f ca="1">IF(AND(Control!$C$61="T",$HE123&gt;=Control!$C$103,Control!$C$114=0),$AH123,Control!$C$59)</f>
        <v>1</v>
      </c>
      <c r="HG123" s="166">
        <f ca="1">IF(AND(Control!$C$61="T",$HE123&gt;=Control!$C$103,Control!$C$114=0),$HF123,Control!$C$59)</f>
        <v>1</v>
      </c>
      <c r="HH123" s="165">
        <f ca="1">IF(AND(OR(Control!$C$60&lt;=0, $AH123= Control!$C$59, Control!$C$60 &gt;0, $AH123 = Control!$C$60)), Control!$C$59, IF(Control!$C$60&gt;0, 0))</f>
        <v>1</v>
      </c>
      <c r="HI123" s="165">
        <f ca="1">IF(AND(OR(Control!$C$60&lt;=0, $AH123= Control!$C$59, Control!$C$60 &gt;0, $AH123 = Control!$C$60)), Control!$C$60, IF(Control!$C$60&lt;=0, 0))</f>
        <v>0</v>
      </c>
      <c r="HJ123" s="166">
        <f ca="1">IF(AND(Control!$C$62="F",$CV123&gt;=Control!$C$102),$AH123,0)</f>
        <v>0</v>
      </c>
      <c r="HK123" s="165" t="e">
        <f t="shared" ca="1" si="445"/>
        <v>#N/A</v>
      </c>
      <c r="HL123" s="166">
        <f ca="1">IF(AND(Control!$C$61="T",$HE123&gt;=Control!$C$103,Control!$C$114=0),$HF123,0)</f>
        <v>0</v>
      </c>
      <c r="HM123" s="201" t="e">
        <f t="shared" ca="1" si="290"/>
        <v>#DIV/0!</v>
      </c>
      <c r="HN123" s="215">
        <f t="shared" ca="1" si="409"/>
        <v>119</v>
      </c>
      <c r="HO123" s="216" t="e">
        <f ca="1">IF(AND($CP123&gt;=0, $CP123&lt;=90), Control!$C$152, Control!$C$152)</f>
        <v>#N/A</v>
      </c>
      <c r="HP123" s="216" t="e">
        <f t="shared" ca="1" si="291"/>
        <v>#N/A</v>
      </c>
      <c r="HQ123" s="217" t="e">
        <f ca="1">IF(OR(Control!$B$26=1,Control!$B$26=2),$KV123,$KS123)</f>
        <v>#DIV/0!</v>
      </c>
      <c r="HR123" s="218" t="e">
        <f t="shared" ca="1" si="446"/>
        <v>#DIV/0!</v>
      </c>
      <c r="HS123" s="216" t="e">
        <f ca="1">Control!$C$154*$HP123</f>
        <v>#N/A</v>
      </c>
      <c r="HT123" s="216" t="e">
        <f ca="1">Control!$C$155*$HP123</f>
        <v>#N/A</v>
      </c>
      <c r="HU123" s="217" t="e">
        <f ca="1">Control!$C$161*$FI123</f>
        <v>#N/A</v>
      </c>
      <c r="HV123" s="218" t="e">
        <f t="shared" ca="1" si="410"/>
        <v>#N/A</v>
      </c>
      <c r="HW123" s="218" t="e">
        <f ca="1">Control!$C$160*$FF123+$IP123*$EO123</f>
        <v>#N/A</v>
      </c>
      <c r="HX123" s="218" t="e">
        <f t="shared" ca="1" si="447"/>
        <v>#N/A</v>
      </c>
      <c r="HY123" s="219" t="e">
        <f ca="1">IF(Control!$C$114=1, $EB123*$FS123, 0)</f>
        <v>#N/A</v>
      </c>
      <c r="HZ123" s="91" t="e">
        <f t="shared" ca="1" si="292"/>
        <v>#N/A</v>
      </c>
      <c r="IA123" s="220" t="e">
        <f ca="1">Control!$C$153*$HO123</f>
        <v>#N/A</v>
      </c>
      <c r="IB123" s="218" t="e">
        <f t="shared" ca="1" si="293"/>
        <v>#N/A</v>
      </c>
      <c r="IC123" s="220" t="e">
        <f ca="1">Control!$C$153*$HT123</f>
        <v>#N/A</v>
      </c>
      <c r="ID123" s="218" t="e">
        <f t="shared" ca="1" si="294"/>
        <v>#N/A</v>
      </c>
      <c r="IE123" s="221" t="e">
        <f ca="1">($EB123*Control!$C$159+$EF123*Control!$C$160)/(IF($GZ123&lt;&gt;0,$GZ123,1))</f>
        <v>#N/A</v>
      </c>
      <c r="IF123" s="216" t="e">
        <f t="shared" ca="1" si="295"/>
        <v>#N/A</v>
      </c>
      <c r="IG123" s="91">
        <f ca="1">IF(OR(Control!$B$198=$AH123,Control!$B$199=$AH123, Control!$B$200=$AH123, Control!$B$201=$AH123, Control!$B$202=$AH123, Control!$B$203=$AH123, Control!$B$204=$AH123, Control!$B$205=$AH123, Control!$B$206=$AH123, Control!$B$207=$AH123), 1, 0)</f>
        <v>0</v>
      </c>
      <c r="IH123" s="91">
        <f ca="1">IF($IG123=0,0, VLOOKUP($AH123,Control!$B$198:$C$207,2))</f>
        <v>0</v>
      </c>
      <c r="II123" s="222">
        <f t="shared" ca="1" si="411"/>
        <v>0</v>
      </c>
      <c r="IJ123" s="91">
        <f>Control!$C$121</f>
        <v>0.7</v>
      </c>
      <c r="IK123" s="218">
        <f t="shared" ca="1" si="296"/>
        <v>0</v>
      </c>
      <c r="IL123" s="217" t="e">
        <f t="shared" ca="1" si="448"/>
        <v>#N/A</v>
      </c>
      <c r="IM123" s="223" t="e">
        <f ca="1">IF(AND(Control!$C$114=1,$KH123&lt;1),$EB123*Control!$C$148*(1-$KH123), 0)</f>
        <v>#N/A</v>
      </c>
      <c r="IN123" s="217" t="e">
        <f t="shared" ca="1" si="297"/>
        <v>#DIV/0!</v>
      </c>
      <c r="IO123" s="91" t="e">
        <f ca="1">MAX(0,$IL123-$EF123*Control!$C$160)</f>
        <v>#N/A</v>
      </c>
      <c r="IP123" s="220" t="e">
        <f t="shared" ca="1" si="298"/>
        <v>#N/A</v>
      </c>
      <c r="IQ123" s="217" t="e">
        <f t="shared" ca="1" si="412"/>
        <v>#N/A</v>
      </c>
      <c r="IR123" s="218" t="e">
        <f t="shared" ca="1" si="299"/>
        <v>#N/A</v>
      </c>
      <c r="IS123" s="217" t="e">
        <f ca="1">Control!$C$159*MAX(0,$FD123-$EN123)</f>
        <v>#N/A</v>
      </c>
      <c r="IT123" s="217" t="e">
        <f t="shared" ca="1" si="449"/>
        <v>#N/A</v>
      </c>
      <c r="IU123" s="217" t="e">
        <f t="shared" ca="1" si="413"/>
        <v>#N/A</v>
      </c>
      <c r="IV123" s="217" t="e">
        <f t="shared" ca="1" si="450"/>
        <v>#N/A</v>
      </c>
      <c r="IW123" s="217" t="e">
        <f ca="1">IF(OR($AW123=1,AND($AW123=0, Control!$B$18=1,$EN123&lt;&gt;0)), $IQ123-$IU123, $IQ123)</f>
        <v>#N/A</v>
      </c>
      <c r="IX123" s="218" t="e">
        <f t="shared" ca="1" si="300"/>
        <v>#N/A</v>
      </c>
      <c r="IY123" s="218" t="e">
        <f ca="1">MAX(0,$IQ123-$EB123*Control!$C$159)</f>
        <v>#N/A</v>
      </c>
      <c r="IZ123" s="218" t="e">
        <f t="shared" ca="1" si="301"/>
        <v>#N/A</v>
      </c>
      <c r="JA123" s="216" t="e">
        <f t="shared" ca="1" si="302"/>
        <v>#N/A</v>
      </c>
      <c r="JB123" s="217" t="e">
        <f t="shared" ca="1" si="303"/>
        <v>#N/A</v>
      </c>
      <c r="JC123" s="222" t="e">
        <f ca="1">MAX(Control!$C$157*$EK123-$JT123, 0)/Control!$C$162</f>
        <v>#N/A</v>
      </c>
      <c r="JD123" s="218" t="e">
        <f t="shared" ca="1" si="304"/>
        <v>#N/A</v>
      </c>
      <c r="JE123" s="218" t="e">
        <f t="shared" ca="1" si="305"/>
        <v>#N/A</v>
      </c>
      <c r="JF123" s="218" t="e">
        <f t="shared" ca="1" si="414"/>
        <v>#N/A</v>
      </c>
      <c r="JG123" s="218" t="e">
        <f t="shared" ca="1" si="306"/>
        <v>#N/A</v>
      </c>
      <c r="JH123" s="217" t="e">
        <f t="shared" ca="1" si="415"/>
        <v>#N/A</v>
      </c>
      <c r="JI123" s="217" t="e">
        <f t="shared" ca="1" si="416"/>
        <v>#N/A</v>
      </c>
      <c r="JJ123" s="217" t="e">
        <f t="shared" ca="1" si="451"/>
        <v>#N/A</v>
      </c>
      <c r="JK123" s="217" t="e">
        <f ca="1">IF(Control!$C$114=1,IF(Control!$B$24=0,MAX(0,$JI123)*$GN123/Control!$C$64,(MAX(0,MIN($JI123,$JJ123*$GN123/Control!$C$64),0))))</f>
        <v>#N/A</v>
      </c>
      <c r="JL123" s="217" t="e">
        <f ca="1">$IK123/Control!$C$64-$JK123+$HQ123</f>
        <v>#N/A</v>
      </c>
      <c r="JM123" s="217" t="e">
        <f ca="1">IF(Control!$C$114=1,($JB123/(IF($JI123&lt;&gt;0,$JI123,1)))*$JK123,0)</f>
        <v>#N/A</v>
      </c>
      <c r="JN123" s="217" t="e">
        <f ca="1">IF(Control!$C$114=1,($JG123/(IF($JI123&lt;&gt;0,$JI123,1)))*$JK123, 0)</f>
        <v>#N/A</v>
      </c>
      <c r="JO123" s="218" t="e">
        <f t="shared" ca="1" si="307"/>
        <v>#N/A</v>
      </c>
      <c r="JP123" s="218" t="e">
        <f ca="1">MIN(($IY123+$IO123)*Control!$C$151, $JF123-$EH123*Control!$C$161)</f>
        <v>#N/A</v>
      </c>
      <c r="JQ123" s="218" t="e">
        <f t="shared" ca="1" si="308"/>
        <v>#N/A</v>
      </c>
      <c r="JR123" s="217" t="e">
        <f ca="1">IF($CP123-Control!$C$150&lt;0, 0, $JQ123/Control!$C$162)</f>
        <v>#N/A</v>
      </c>
      <c r="JS123" s="218" t="e">
        <f t="shared" ca="1" si="309"/>
        <v>#N/A</v>
      </c>
      <c r="JT123" s="218" t="e">
        <f t="shared" ca="1" si="417"/>
        <v>#N/A</v>
      </c>
      <c r="JU123" s="218" t="e">
        <f t="shared" ca="1" si="310"/>
        <v>#N/A</v>
      </c>
      <c r="JV123" s="218" t="e">
        <f t="shared" ca="1" si="311"/>
        <v>#N/A</v>
      </c>
      <c r="JW123" s="216" t="e">
        <f t="shared" ca="1" si="312"/>
        <v>#N/A</v>
      </c>
      <c r="JX123" s="91" t="e">
        <f t="shared" ca="1" si="313"/>
        <v>#N/A</v>
      </c>
      <c r="JY123" s="218" t="e">
        <f t="shared" ca="1" si="314"/>
        <v>#N/A</v>
      </c>
      <c r="JZ123" s="217" t="e">
        <f ca="1">IF(Control!$C$114=1,($IZ123/(IF($JI123&lt;&gt;0,$JI123,1)))*$JK123, 0)</f>
        <v>#N/A</v>
      </c>
      <c r="KA123" s="218" t="e">
        <f t="shared" ca="1" si="452"/>
        <v>#N/A</v>
      </c>
      <c r="KB123" s="218" t="e">
        <f t="shared" ca="1" si="418"/>
        <v>#N/A</v>
      </c>
      <c r="KC123" s="218" t="e">
        <f t="shared" ca="1" si="315"/>
        <v>#N/A</v>
      </c>
      <c r="KD123" s="218" t="e">
        <f t="shared" ca="1" si="316"/>
        <v>#N/A</v>
      </c>
      <c r="KE123" s="218" t="e">
        <f t="shared" ca="1" si="317"/>
        <v>#N/A</v>
      </c>
      <c r="KF123" s="218" t="e">
        <f t="shared" ca="1" si="318"/>
        <v>#N/A</v>
      </c>
      <c r="KG123" s="216" t="e">
        <f t="shared" ca="1" si="319"/>
        <v>#N/A</v>
      </c>
      <c r="KH123" s="221" t="e">
        <f ca="1">IF(Control!$B$24=0,1,MAX(0.001,MIN(1,IF(($IF123-$IE123)&lt;&gt;0,($KG123-$IE123)/($IF123-$IE123),1))))</f>
        <v>#N/A</v>
      </c>
      <c r="KI123" s="222" t="e">
        <f ca="1">IF(Control!$C$114=1, $KI122+ $KH122, 0)</f>
        <v>#N/A</v>
      </c>
      <c r="KJ123" s="217" t="e">
        <f t="shared" ca="1" si="320"/>
        <v>#N/A</v>
      </c>
      <c r="KK123" s="218" t="e">
        <f t="shared" ca="1" si="321"/>
        <v>#N/A</v>
      </c>
      <c r="KL123" s="274" t="e">
        <f ca="1">IF(Control!$B$26=3,4000000000*EXP(-8400/($G123+273)),IF(Control!$B$26=4,4000000000*EXP(-8400/($G123+273))*($KT123),0))</f>
        <v>#DIV/0!</v>
      </c>
      <c r="KM123" s="274" t="e">
        <f ca="1">IF(Control!$B$26=3,5600000000000*EXP(-9800/($G123+273)),IF(Control!$B$26=4,5600000000000*EXP(-9800/($G123+273))*$KT123,0))</f>
        <v>#DIV/0!</v>
      </c>
      <c r="KN123" s="454" t="e">
        <f t="shared" ca="1" si="419"/>
        <v>#DIV/0!</v>
      </c>
      <c r="KO123" s="274" t="e">
        <f t="shared" ca="1" si="420"/>
        <v>#DIV/0!</v>
      </c>
      <c r="KP123" s="454" t="e">
        <f t="shared" ca="1" si="322"/>
        <v>#DIV/0!</v>
      </c>
      <c r="KQ123" s="454" t="e">
        <f t="shared" ca="1" si="323"/>
        <v>#DIV/0!</v>
      </c>
      <c r="KR123" s="454" t="e">
        <f t="shared" ca="1" si="324"/>
        <v>#DIV/0!</v>
      </c>
      <c r="KS123" s="454" t="e">
        <f t="shared" ca="1" si="325"/>
        <v>#DIV/0!</v>
      </c>
      <c r="KT123" s="455" t="e">
        <f t="shared" ca="1" si="326"/>
        <v>#DIV/0!</v>
      </c>
      <c r="KU123" s="456" t="e">
        <f ca="1">IF($CP123-Control!$C$149&lt;0, IF($NT123-0.01&lt;0,0,1),0)</f>
        <v>#N/A</v>
      </c>
      <c r="KV123" s="456" t="e">
        <f ca="1">IF(Control!$C$114=1,MAX(0,MIN(Control!$C$125*$KW123*$GN123,$KW123)))</f>
        <v>#DIV/0!</v>
      </c>
      <c r="KW123" s="456" t="e">
        <f t="shared" ca="1" si="453"/>
        <v>#DIV/0!</v>
      </c>
      <c r="KX123" s="457" t="e">
        <f ca="1">IF($CP123-Control!$C$149&lt;0, IF($MR123-$OM123&lt;0,0,1),0)</f>
        <v>#N/A</v>
      </c>
      <c r="KY123" s="167">
        <f t="shared" ca="1" si="421"/>
        <v>119</v>
      </c>
      <c r="KZ123" s="168">
        <f ca="1">1370*(1+0.033*COS(2*Control!$C$138*$AH123/365))</f>
        <v>1349.2152905250371</v>
      </c>
      <c r="LA123" s="169">
        <f t="shared" ca="1" si="422"/>
        <v>0.98482881959808055</v>
      </c>
      <c r="LB123" s="169">
        <f t="shared" ca="1" si="423"/>
        <v>0.25027679408559728</v>
      </c>
      <c r="LC123" s="169">
        <f ca="1">ACOS(-TAN((2*Control!$B$8/360))*TAN(Calculations!$LB123))</f>
        <v>1.6468456632451549</v>
      </c>
      <c r="LD123" s="169">
        <f ca="1">((24*60)/PI())*0.082*$LA123*(($LC123*SIN(Control!$B$8*2*PI()/360))*SIN($LB123)+COS(Control!$B$8*2*PI()/360)*COS($LB123)*SIN($LC123))</f>
        <v>33.912694473974192</v>
      </c>
      <c r="LE123" s="170">
        <f t="shared" ca="1" si="327"/>
        <v>34.32369749954789</v>
      </c>
      <c r="LF123" s="170">
        <f ca="1">SIN(Control!$C$139*Control!$B$8)*SIN($HD123)</f>
        <v>0.18974023202503323</v>
      </c>
      <c r="LG123" s="170">
        <f ca="1">COS(Control!$C$139*Control!$B$8)*COS($HD123)</f>
        <v>0.59754639771819273</v>
      </c>
      <c r="LH123" s="170">
        <f ca="1">12*(1+2*ASIN(MAX(-1,MIN(1,$LF123/$LG123))/Control!$C$138))</f>
        <v>14.429911074596539</v>
      </c>
      <c r="LI123" s="170">
        <f ca="1">12*(1+2*ASIN(MAX(-1,MIN(1,(-SIN(-4*Control!$C$139)+$LF123)/$LG123))/Control!$C$138))</f>
        <v>15.328233073353456</v>
      </c>
      <c r="LJ123" s="168">
        <f ca="1">3600*($LH123*$LF123+24*$LG123*SQRT(1-$LK123*$LK123)/Control!$C$138)</f>
        <v>25439.748378623164</v>
      </c>
      <c r="LK123" s="170">
        <f t="shared" ca="1" si="328"/>
        <v>0.31753221632592976</v>
      </c>
      <c r="LL123" s="170">
        <f t="shared" ca="1" si="329"/>
        <v>0</v>
      </c>
      <c r="LM123" s="171">
        <f ca="1">Control!$C$145*$AB123</f>
        <v>6.6660906138995932E-2</v>
      </c>
      <c r="LN123" s="170">
        <f t="shared" ca="1" si="424"/>
        <v>0.54</v>
      </c>
      <c r="LO123" s="170">
        <f t="shared" ca="1" si="330"/>
        <v>0</v>
      </c>
      <c r="LP123" s="170">
        <f ca="1">Control!$C$140*((($D123+273.16)^4+($E123+273.16)^4)/2)*(0.34-0.14*SQRT($Y123))*(1.35*$AQ123/(0.75*$LD123)-0.35)</f>
        <v>-3.2464704755046001</v>
      </c>
      <c r="LQ123" s="170">
        <f ca="1">Control!$C$140*($G123+273)^4*(0.56-0.079*SQRT($Y123*10))*(0.1+0.9*$LO123)</f>
        <v>1.5241745131704001</v>
      </c>
      <c r="LR123" s="170">
        <f ca="1">$AQ123*(1-Control!$C$142)-$LQ123</f>
        <v>-1.5241745131704001</v>
      </c>
      <c r="LS123" s="170">
        <f ca="1">$AQ123*(1-Control!$C$143)-$LQ123</f>
        <v>-1.5241745131704001</v>
      </c>
      <c r="LT123" s="170">
        <f ca="1">$AQ123*(1-Control!$C$144)-$LQ123</f>
        <v>-1.5241745131704001</v>
      </c>
      <c r="LU123" s="169">
        <f ca="1">(1-Control!$C$144)*AQ123-LP123</f>
        <v>3.2464704755046001</v>
      </c>
      <c r="LV123" s="172">
        <f t="shared" ca="1" si="331"/>
        <v>0.79430000000000012</v>
      </c>
      <c r="LW123" s="170">
        <f t="shared" ca="1" si="332"/>
        <v>1.5886000000000002</v>
      </c>
      <c r="LX123" s="170">
        <f ca="1">($AC123*($LR123/Control!$C$141)+$LM123*$LV123)/($AC123+$LM123)</f>
        <v>0.23530094218323697</v>
      </c>
      <c r="LY123" s="170">
        <f ca="1">($AC123*($LS123/Control!$C$141)+$LM123*$LV123)/($AC123+$LM123)</f>
        <v>0.23530094218323697</v>
      </c>
      <c r="LZ123" s="170">
        <f t="shared" ca="1" si="333"/>
        <v>0.23530094218323697</v>
      </c>
      <c r="MA123" s="170">
        <f t="shared" ca="1" si="334"/>
        <v>0.23530094218323697</v>
      </c>
      <c r="MB123" s="170" t="e">
        <f t="shared" ca="1" si="335"/>
        <v>#N/A</v>
      </c>
      <c r="MC123" s="170">
        <f t="shared" ca="1" si="425"/>
        <v>0.6018</v>
      </c>
      <c r="MD123" s="170">
        <f t="shared" ca="1" si="336"/>
        <v>0.52989392535414004</v>
      </c>
      <c r="ME123" s="170">
        <f ca="1">($AC123*($LT123/Control!$C$141)+$LM123*$LW123)/($AC123+$LM123)</f>
        <v>0.71612369323045078</v>
      </c>
      <c r="MF123" s="170" t="e">
        <f ca="1">IF(Control!$B$16&gt;=1000,0.92,IF(AND(720&lt;=Control!$B$16,1000&gt;Control!$B$16),(0.95+(Control!$B$16-720)*((0.92-0.95)/(1000-720))),IF(AND(360&lt;=Control!$B$16,720&gt;Control!$B$16),(1+(Control!$B$16-360)*((0.95-1)/(720-360))),IF(AND(40&lt;=Control!$B$16,360&gt;Control!$B$16),(1.05+(Control!$B$16-40)*((1.05-1)/(360-40)))))))</f>
        <v>#N/A</v>
      </c>
      <c r="MG123" s="170">
        <f t="shared" ca="1" si="337"/>
        <v>0.71612369323045078</v>
      </c>
      <c r="MH123" s="170" t="e">
        <f t="shared" ca="1" si="463"/>
        <v>#N/A</v>
      </c>
      <c r="MI123" s="170" t="e">
        <f t="shared" ca="1" si="463"/>
        <v>#N/A</v>
      </c>
      <c r="MJ123" s="170" t="e">
        <f ca="1">MAX(0.0001, Control!$C$132*$MI123*$DL123)</f>
        <v>#N/A</v>
      </c>
      <c r="MK123" s="170">
        <f ca="1">1/(0.76+1.5*($MG123/10))-(5-Control!$C$110)*0.1</f>
        <v>1.002845988140797</v>
      </c>
      <c r="ML123" s="173">
        <f ca="1">IF(Control!$C$110&lt;3,$MK123+($MG123-0.6)/(Control!$C$110*(Control!$C$110+3)), MAX(0.1, MIN(0.95,$MK123)))</f>
        <v>0.95</v>
      </c>
      <c r="MM123" s="173">
        <f ca="1">IF(Control!$C$110&lt;3,$MK123+(($MI123/10)-0.6)/(Control!$C$110*(Control!$C$110+3)), MAX(0.1, MIN(0.95,$MK123)))</f>
        <v>0.95</v>
      </c>
      <c r="MN123" s="173">
        <f ca="1">(1-$MM123)*(Control!$C$128-Control!$C$127)+Control!$C$127</f>
        <v>0.16</v>
      </c>
      <c r="MO123" s="170" t="e">
        <f ca="1">MAX(0,MIN(1,($MS123-Control!$C$127)/($MN123-Control!$C$127)))</f>
        <v>#DIV/0!</v>
      </c>
      <c r="MP123" s="173" t="e">
        <f ca="1">1/(0.76+1.5*$MI123)-(5-Control!$C$110)*0.1</f>
        <v>#N/A</v>
      </c>
      <c r="MQ123" s="172" t="e">
        <f t="shared" ca="1" si="454"/>
        <v>#DIV/0!</v>
      </c>
      <c r="MR123" s="168" t="e">
        <f t="shared" ca="1" si="426"/>
        <v>#DIV/0!</v>
      </c>
      <c r="MS123" s="173" t="e">
        <f ca="1">MAX(Control!$C$127, MIN(Control!$C$135, $MR123/MAX(0.0001,$CY123)))</f>
        <v>#DIV/0!</v>
      </c>
      <c r="MT123" s="168" t="e">
        <f ca="1">(Control!$C$128-$MS123)*Control!$C$74</f>
        <v>#DIV/0!</v>
      </c>
      <c r="MU123" s="168" t="e">
        <f ca="1">(Control!$C$135-$MS123)*Control!$C$74</f>
        <v>#DIV/0!</v>
      </c>
      <c r="MV123" s="168" t="e">
        <f t="shared" ca="1" si="427"/>
        <v>#DIV/0!</v>
      </c>
      <c r="MW123" s="168" t="e">
        <f t="shared" ca="1" si="428"/>
        <v>#DIV/0!</v>
      </c>
      <c r="MX123" s="171" t="e">
        <f ca="1">MAX(Control!$C$127, MIN(Control!$C$135, $MW123/MAX(0.0001,Control!$C$119-$CY123)))</f>
        <v>#DIV/0!</v>
      </c>
      <c r="MY123" s="54" t="e">
        <f ca="1">IF(Control!$C$114=1, $CX123*$MX123, 0)</f>
        <v>#DIV/0!</v>
      </c>
      <c r="MZ123" s="54" t="e">
        <f t="shared" ca="1" si="429"/>
        <v>#N/A</v>
      </c>
      <c r="NA123" s="168" t="e">
        <f ca="1">(Control!$C$128-$MX123)*(Control!$C$119-Control!$C$74)</f>
        <v>#DIV/0!</v>
      </c>
      <c r="NB123" s="168" t="e">
        <f ca="1">(Control!$C$135-$MX123)*(Control!$C$119-Control!$C$74)</f>
        <v>#DIV/0!</v>
      </c>
      <c r="NC123" s="174" t="e">
        <f t="shared" ca="1" si="430"/>
        <v>#DIV/0!</v>
      </c>
      <c r="ND123" s="54">
        <f ca="1">IF(Control!$C$58=2, IF(OR(Control!$B$218=$AH123,Control!$B$219=$AH123, Control!$B$220=$AH123, Control!$B$221=$AH123, Control!$B$222=$AH123, Control!$B$223=$AH123, Control!$B$224=$AH123, Control!$B$225=$AH123, Control!$B$226=$AH123, Control!$B$227=$AH123, Control!$B$228=$AH123), 1, 0), 0)</f>
        <v>0</v>
      </c>
      <c r="NE123" s="54">
        <f ca="1">IF($ND123=0,0, VLOOKUP($AH123,Control!$B$218:$C$228,2))</f>
        <v>0</v>
      </c>
      <c r="NF123" s="168" t="e">
        <f ca="1">$CY123*(Control!$C$128-Control!$C$127)</f>
        <v>#N/A</v>
      </c>
      <c r="NG123" s="54" t="e">
        <f ca="1">IF(Control!$C$58=2, $NI122-$NJ122, 0)</f>
        <v>#DIV/0!</v>
      </c>
      <c r="NH123" s="54" t="e">
        <f ca="1">IF(AND(Control!$C$58=1, $MS122&lt;= ($MN122+0.02), $I122&lt;10), 0, IF(Control!$C$58=2, $NG122, 0))</f>
        <v>#DIV/0!</v>
      </c>
      <c r="NI123" s="54" t="e">
        <f ca="1">IF(Control!$C$58=2, $NE123+$NH123,0)</f>
        <v>#DIV/0!</v>
      </c>
      <c r="NJ123" s="54" t="e">
        <f ca="1">IF(AND(Control!$C$58=1, $MS123&lt;= ($MN123+0.02), $I123&lt;10), MAX(0, MIN(10, 0.7*($NF123-$MV123))), IF(Control!$C$58=2, MIN(10,$NI123),0))</f>
        <v>#DIV/0!</v>
      </c>
      <c r="NK123" s="54" t="e">
        <f t="shared" ca="1" si="338"/>
        <v>#DIV/0!</v>
      </c>
      <c r="NL123" s="173" t="e">
        <f ca="1">(1-Control!$C$73)*$I123+$NJ123</f>
        <v>#DIV/0!</v>
      </c>
      <c r="NM123" s="172" t="e">
        <f ca="1">IF($NL123&lt;0.5, $MB123* MAX(0, MIN(1, (SQRT($NC123)-SQRT($NC123-1))*Control!$C$71)),0)</f>
        <v>#DIV/0!</v>
      </c>
      <c r="NN123" s="170" t="e">
        <f ca="1">IF($NL123&gt;=5, $MB123, MAX(0,MIN($MB123, $NM123+$NL123,($MS123-Control!$C$129))))</f>
        <v>#DIV/0!</v>
      </c>
      <c r="NO123" s="54">
        <f>IF(Control!$C$133&lt;&gt;1, Control!$C$135-Control!$C$131, 0)</f>
        <v>0.38</v>
      </c>
      <c r="NP123" s="54" t="e">
        <f t="shared" ca="1" si="339"/>
        <v>#DIV/0!</v>
      </c>
      <c r="NQ123" s="173" t="e">
        <f ca="1">MAX(0,MIN(1,(Control!$C$135-$MS123)/(Control!$C$135-$NO123)))</f>
        <v>#DIV/0!</v>
      </c>
      <c r="NR123" s="170" t="e">
        <f ca="1">IF(Control!$C$133&lt;&gt;1, $NQ123+((1-$NP123/4)*(1-$NQ123)),1)</f>
        <v>#DIV/0!</v>
      </c>
      <c r="NS123" s="170" t="e">
        <f ca="1">IF(Control!$B$31=0,$MJ123,MAX(0,MIN($MV123,$MO123*$NR123*$MJ123)))</f>
        <v>#DIV/0!</v>
      </c>
      <c r="NT123" s="170" t="e">
        <f t="shared" ca="1" si="455"/>
        <v>#DIV/0!</v>
      </c>
      <c r="NU123" s="170" t="e">
        <f t="shared" ca="1" si="431"/>
        <v>#N/A</v>
      </c>
      <c r="NV123" s="170" t="e">
        <f t="shared" ca="1" si="340"/>
        <v>#N/A</v>
      </c>
      <c r="NW123" s="175" t="e">
        <f t="shared" ca="1" si="341"/>
        <v>#DIV/0!</v>
      </c>
      <c r="NX123" s="170" t="e">
        <f ca="1">MIN(Control!$C$72+$MU123, $NW123)</f>
        <v>#DIV/0!</v>
      </c>
      <c r="NY123" s="170" t="e">
        <f ca="1">IF($MT123&lt;=$NX123,MIN(Control!$C$72+$NB123,$NX123-$MT123),0)</f>
        <v>#DIV/0!</v>
      </c>
      <c r="NZ123" s="54" t="e">
        <f ca="1">IF(Control!$C$114=1,  $CX123*($MX123-Control!$C$127), 0)</f>
        <v>#DIV/0!</v>
      </c>
      <c r="OA123" s="170" t="e">
        <f t="shared" ca="1" si="342"/>
        <v>#DIV/0!</v>
      </c>
      <c r="OB123" s="170" t="e">
        <f ca="1">IF($NA123 &lt;=$NY123, MIN(Control!$C$72, $NY123-$NA123), 0)</f>
        <v>#DIV/0!</v>
      </c>
      <c r="OC123" s="168" t="e">
        <f t="shared" ca="1" si="343"/>
        <v>#DIV/0!</v>
      </c>
      <c r="OD123" s="168" t="e">
        <f t="shared" ca="1" si="432"/>
        <v>#DIV/0!</v>
      </c>
      <c r="OE123" s="170">
        <f ca="1">Control!$C$73*$I123</f>
        <v>0</v>
      </c>
      <c r="OF123" s="176" t="e">
        <f t="shared" ca="1" si="344"/>
        <v>#DIV/0!</v>
      </c>
      <c r="OG123" s="168" t="e">
        <f t="shared" ca="1" si="345"/>
        <v>#DIV/0!</v>
      </c>
      <c r="OH123" s="168" t="e">
        <f t="shared" ca="1" si="346"/>
        <v>#DIV/0!</v>
      </c>
      <c r="OI123" s="168" t="e">
        <f t="shared" ca="1" si="347"/>
        <v>#DIV/0!</v>
      </c>
      <c r="OJ123" s="168" t="e">
        <f t="shared" ca="1" si="348"/>
        <v>#DIV/0!</v>
      </c>
      <c r="OK123" s="204" t="e">
        <f t="shared" ca="1" si="349"/>
        <v>#DIV/0!</v>
      </c>
      <c r="OL123" s="177">
        <f>Control!$C$127</f>
        <v>0.15</v>
      </c>
      <c r="OM123" s="182" t="e">
        <f t="shared" ca="1" si="350"/>
        <v>#N/A</v>
      </c>
      <c r="ON123" s="177">
        <f>Control!$C$128</f>
        <v>0.35</v>
      </c>
      <c r="OO123" s="182" t="e">
        <f t="shared" ca="1" si="351"/>
        <v>#N/A</v>
      </c>
      <c r="OP123" s="138">
        <f t="shared" ca="1" si="433"/>
        <v>0</v>
      </c>
      <c r="OQ123" s="138" t="e">
        <f t="shared" ca="1" si="456"/>
        <v>#DIV/0!</v>
      </c>
      <c r="OR123" s="138" t="e">
        <f t="shared" ca="1" si="434"/>
        <v>#DIV/0!</v>
      </c>
      <c r="OS123" s="137" t="e">
        <f t="shared" ca="1" si="457"/>
        <v>#DIV/0!</v>
      </c>
      <c r="OT123" s="139" t="e">
        <f t="shared" ca="1" si="458"/>
        <v>#DIV/0!</v>
      </c>
      <c r="OU123" s="138" t="e">
        <f t="shared" ca="1" si="459"/>
        <v>#N/A</v>
      </c>
      <c r="OV123" s="138" t="e">
        <f t="shared" ca="1" si="460"/>
        <v>#DIV/0!</v>
      </c>
      <c r="OW123" s="138" t="e">
        <f t="shared" ca="1" si="435"/>
        <v>#DIV/0!</v>
      </c>
      <c r="OX123" s="138" t="e">
        <f t="shared" ca="1" si="436"/>
        <v>#DIV/0!</v>
      </c>
      <c r="OY123" s="138" t="e">
        <f t="shared" ca="1" si="437"/>
        <v>#DIV/0!</v>
      </c>
      <c r="OZ123" s="138" t="e">
        <f t="shared" ca="1" si="352"/>
        <v>#DIV/0!</v>
      </c>
      <c r="PA123" s="138" t="e">
        <f t="shared" ca="1" si="353"/>
        <v>#DIV/0!</v>
      </c>
      <c r="PB123" s="55">
        <f>IF(Control!$C$61="T", IF(Control!$C$65="F", IF($AH$6-Control!$C$60&lt;0,0,1), IF(365+$AH$6-Control!$C$60&lt;0,0,1)),0)</f>
        <v>0</v>
      </c>
      <c r="PC123" s="55">
        <f ca="1">IF(Control!$C$65="F", IF($AH$6-$HF123&lt;0,0,1), IF(365+$AH$6-$HF123&lt;0,0,1))</f>
        <v>1</v>
      </c>
      <c r="PD123" s="444">
        <f>Control!$C$118</f>
        <v>1500</v>
      </c>
      <c r="PE123" s="180" t="e">
        <f t="shared" ca="1" si="354"/>
        <v>#N/A</v>
      </c>
      <c r="PF123" s="445">
        <f t="shared" ca="1" si="438"/>
        <v>0.71612369323045078</v>
      </c>
      <c r="PT123" s="186"/>
      <c r="PU123" s="186"/>
      <c r="PV123" s="94"/>
      <c r="PW123" s="94"/>
      <c r="PX123" s="94"/>
      <c r="PY123" s="94"/>
      <c r="PZ123" s="94"/>
      <c r="QA123" s="94"/>
      <c r="QB123" s="94"/>
      <c r="QC123" s="94"/>
      <c r="QD123" s="94"/>
      <c r="QE123" s="94"/>
      <c r="QF123" s="94"/>
      <c r="QG123" s="94"/>
      <c r="QH123" s="94"/>
      <c r="QI123" s="94"/>
      <c r="QJ123" s="94"/>
      <c r="QK123" s="94"/>
      <c r="QL123" s="94"/>
      <c r="QM123" s="94"/>
      <c r="QN123" s="94"/>
      <c r="QO123" s="94"/>
      <c r="QP123" s="94"/>
    </row>
    <row r="124" spans="1:458" s="2" customFormat="1" x14ac:dyDescent="0.2">
      <c r="A124" s="395">
        <v>29</v>
      </c>
      <c r="B124" s="396">
        <v>4</v>
      </c>
      <c r="C124" s="387">
        <f ca="1">Weather_data!$B123</f>
        <v>0</v>
      </c>
      <c r="D124" s="388">
        <f ca="1">Weather_data!$F123</f>
        <v>0</v>
      </c>
      <c r="E124" s="388">
        <f ca="1">Weather_data!$E123</f>
        <v>0</v>
      </c>
      <c r="F124" s="388">
        <f t="shared" ca="1" si="355"/>
        <v>0</v>
      </c>
      <c r="G124" s="388">
        <f ca="1">AVERAGE($D124:$E124)+Control!$B$9</f>
        <v>0</v>
      </c>
      <c r="H124" s="388">
        <f ca="1">Weather_data!$G123</f>
        <v>0</v>
      </c>
      <c r="I124" s="388">
        <f ca="1">Weather_data!$I123</f>
        <v>0</v>
      </c>
      <c r="J124" s="388">
        <f ca="1">Weather_data!$H123</f>
        <v>0</v>
      </c>
      <c r="K124" s="389">
        <f ca="1">Weather_data!$D123</f>
        <v>0</v>
      </c>
      <c r="L124" s="388" t="e">
        <f t="shared" ca="1" si="356"/>
        <v>#N/A</v>
      </c>
      <c r="M124" s="388" t="e">
        <f t="shared" ca="1" si="234"/>
        <v>#N/A</v>
      </c>
      <c r="N124" s="388">
        <f t="shared" ca="1" si="235"/>
        <v>-1.9933617395052798E-6</v>
      </c>
      <c r="O124" s="388">
        <f t="shared" ca="1" si="357"/>
        <v>1.9933617395052797E-5</v>
      </c>
      <c r="P124" s="390">
        <v>3</v>
      </c>
      <c r="Q124" s="388">
        <f ca="1">MAX($G124-Control!$C$107,0)</f>
        <v>0</v>
      </c>
      <c r="R124" s="388">
        <f t="shared" ca="1" si="358"/>
        <v>0</v>
      </c>
      <c r="S124" s="388">
        <f t="shared" ca="1" si="236"/>
        <v>0</v>
      </c>
      <c r="T124" s="388">
        <f t="shared" ca="1" si="237"/>
        <v>0</v>
      </c>
      <c r="U124" s="59">
        <f t="shared" ca="1" si="238"/>
        <v>0</v>
      </c>
      <c r="V124" s="391">
        <f ca="1">MAX(0,MIN(Control!$C$100-Control!$C$99,$G124-Control!$C$99)*Control!$C$63)</f>
        <v>0</v>
      </c>
      <c r="W124" s="388">
        <f t="shared" ca="1" si="359"/>
        <v>0</v>
      </c>
      <c r="X124" s="388">
        <f t="shared" ca="1" si="360"/>
        <v>0.6110000000000001</v>
      </c>
      <c r="Y124" s="388">
        <f t="shared" ca="1" si="239"/>
        <v>0</v>
      </c>
      <c r="Z124" s="388">
        <f t="shared" ca="1" si="361"/>
        <v>0.61058800000000002</v>
      </c>
      <c r="AA124" s="388">
        <f t="shared" ca="1" si="240"/>
        <v>0.6018</v>
      </c>
      <c r="AB124" s="388">
        <f ca="1">101.3*EXP(-0.034*Control!$C$66/($G124+273))</f>
        <v>100.69623283836242</v>
      </c>
      <c r="AC124" s="392">
        <f t="shared" ca="1" si="241"/>
        <v>4.3460251046025113E-2</v>
      </c>
      <c r="AD124" s="392">
        <f t="shared" ca="1" si="242"/>
        <v>4.4450382862832649E-2</v>
      </c>
      <c r="AE124" s="388">
        <f t="shared" ca="1" si="243"/>
        <v>0</v>
      </c>
      <c r="AF124" s="388">
        <f ca="1">MAX(0,$G124-Control!$C$92)</f>
        <v>0</v>
      </c>
      <c r="AG124" s="393">
        <f t="shared" ca="1" si="244"/>
        <v>120</v>
      </c>
      <c r="AH124" s="389">
        <f t="shared" ca="1" si="245"/>
        <v>120</v>
      </c>
      <c r="AI124" s="388">
        <f t="shared" ca="1" si="362"/>
        <v>0.24875927727290326</v>
      </c>
      <c r="AJ124" s="388">
        <f ca="1">IF(Control!$C$60&lt;=0,$HH124,$HI124)</f>
        <v>1</v>
      </c>
      <c r="AK124" s="388">
        <f t="shared" ca="1" si="246"/>
        <v>0.6885682528415985</v>
      </c>
      <c r="AL124" s="388">
        <f t="shared" ca="1" si="247"/>
        <v>-6.1313037980070818E-18</v>
      </c>
      <c r="AM124" s="388">
        <f t="shared" ca="1" si="248"/>
        <v>0.6885682528415985</v>
      </c>
      <c r="AN124" s="388">
        <f t="shared" ca="1" si="249"/>
        <v>0.2555472962201451</v>
      </c>
      <c r="AO124" s="388">
        <f ca="1">-0.10453/COS(Control!$B$8*PI()/180)*COS(AN124)</f>
        <v>-0.16427111737162559</v>
      </c>
      <c r="AP124" s="388">
        <f ca="1">ACOS(AO124-TAN(Control!$B$8*PI()/180)*TAN(AN124))</f>
        <v>2.0928575204974811</v>
      </c>
      <c r="AQ124" s="388">
        <f t="shared" ca="1" si="363"/>
        <v>0</v>
      </c>
      <c r="AR124" s="394">
        <f t="shared" ca="1" si="250"/>
        <v>0</v>
      </c>
      <c r="AS124" s="436">
        <f ca="1">IF(Control!$B$18=2,(IF(OR($AH124=Control!$B$175,$AH124=Control!$B$176,$AH124=Control!$B$177,$AH124=Control!$B$178,$AH124=Control!$B$179,$AH124=Control!$B$180,$AH124=Control!$B$181,$AH124=Control!$B$182,$AH124=Control!$B$183,$AH124=Control!$B$184,$AH124=Control!$B$185),1,0)),0)</f>
        <v>0</v>
      </c>
      <c r="AT124" s="436">
        <f>IF(Control!$B$20=8,IF(AND($AH124&gt;=Control!$B$172,$AH124&lt;=Control!$B$173),1,0),0)</f>
        <v>0</v>
      </c>
      <c r="AU124" s="436">
        <f>IF(Control!$B$20=8,IF($AV123=1,1*$AT124,IF($AT124=1,$AU123+1,$AU123)),0)</f>
        <v>0</v>
      </c>
      <c r="AV124" s="436">
        <f>IF(Control!$B$20=8,IF($AU124&gt;=Control!$B$174,1,0),0)</f>
        <v>0</v>
      </c>
      <c r="AW124" s="436">
        <f ca="1">IF(AND(Control!$B$18=2,Control!$B$171=1), $AV124, $AS124)</f>
        <v>0</v>
      </c>
      <c r="AX124" s="436" t="e">
        <f ca="1">IF(AND(Control!$B$18=1,$EU124&gt;=Control!$B$19),-$AY124,IF(AND(Control!$B$18=2,$AW124=1,$EU124&gt;$DS124),-$AY124, IF(Control!$C$108=0,0, IF(Control!$C$108&lt;&gt;0,1))))</f>
        <v>#N/A</v>
      </c>
      <c r="AY124" s="436" t="e">
        <f t="shared" ca="1" si="364"/>
        <v>#N/A</v>
      </c>
      <c r="AZ124" s="436" t="e">
        <f ca="1">IF(AND(Control!$B$18=1,$EB124&gt;Control!$B$19),$AZ123+1, IF(AND(Control!$B$18=2, $AW124=1, $EB124&gt;$DS124), $AZ123+1,$AZ123))</f>
        <v>#N/A</v>
      </c>
      <c r="BA124" s="587">
        <f>IF(Control!$C$81=0,1,IF($AH124&gt;=Control!$C$82,1,0))</f>
        <v>1</v>
      </c>
      <c r="BB124" s="140" t="e">
        <f ca="1">IF($BA124&gt;$BA123,Control!$C$83,IF($AW124&gt;0,$AW124*Control!$C$84,IF(AND(Control!$B$18=1,EN123&lt;&gt;0),Control!$C$84,0)))</f>
        <v>#N/A</v>
      </c>
      <c r="BC124" s="140" t="e">
        <f t="shared" ca="1" si="365"/>
        <v>#N/A</v>
      </c>
      <c r="BD124" s="140" t="e">
        <f ca="1">BC124*IF(OR($G124&lt;Control!$C$92,$G124&gt;Control!$C$95),0,IF(AND($G124&gt;=Control!$C$92,$G124&lt;=Control!$C$93),$G124-Control!$C$92,IF(AND($G124&gt;Control!$C$93,$G124&lt;=Control!$C$94),Control!$C$93-Control!$C$92,IF(AND($G124&gt;Control!$C$94,$G124&lt;=Control!$C$95),(Control!$C$93-Control!$C$92)*(Control!$C$94-$G124)/(Control!$C$95-Control!$C$94)))))</f>
        <v>#N/A</v>
      </c>
      <c r="BE124" s="140" t="e">
        <f t="shared" ca="1" si="366"/>
        <v>#N/A</v>
      </c>
      <c r="BF124" s="140" t="e">
        <f ca="1">IF($BE124&lt;=Control!$C$86,$BE124,Control!$C$86-$BE124)</f>
        <v>#N/A</v>
      </c>
      <c r="BG124" s="140" t="e">
        <f ca="1">IF(AND($AW124=1,Control!$C$84&lt;9),1,IF($BE124&gt;=Control!$C$86,0,$BC124))</f>
        <v>#N/A</v>
      </c>
      <c r="BH124" s="404" t="e">
        <f ca="1">IF($BG124=0,0,IF($BE124&lt;=Control!$C$86,$BC124*9*($BF124/Control!$C$86),0))</f>
        <v>#N/A</v>
      </c>
      <c r="BI124" s="140" t="e">
        <f ca="1">IF($BG124=1,0,IF($BE124&gt;=Control!$C$86,1,IF(AND($BB124&lt;21,$BB124&gt;=9),1,$BM123)))</f>
        <v>#N/A</v>
      </c>
      <c r="BJ124" s="140" t="e">
        <f ca="1">IF($BF124&lt;0,-$BF124,$BI124*IF(OR($G124&lt;Control!$C$92,$G124&gt;Control!$C$95),0,IF(AND($G124&gt;=Control!$C$92,$G124&lt;=Control!$C$93),$G124-Control!$C$92,IF(AND($G124&gt;Control!$C$93,$G124&lt;=Control!$C$94),Control!$C$93-Control!$C$92,IF(AND($G124&gt;Control!$C$94,$G124&lt;=Control!$C$95),(Control!$C$93-Control!$C$92)*(Control!$C$94-$G124)/(Control!$C$95-Control!$C$94))))))</f>
        <v>#N/A</v>
      </c>
      <c r="BK124" s="140" t="e">
        <f t="shared" ca="1" si="367"/>
        <v>#N/A</v>
      </c>
      <c r="BL124" s="140" t="e">
        <f ca="1">IF($BK124&lt;=Control!$C$87,$BK124,Control!$C$87-$BK124)</f>
        <v>#N/A</v>
      </c>
      <c r="BM124" s="140" t="e">
        <f ca="1">IF(AND($BB124&gt;=9,$BB124&lt;21),1,IF($BK124&gt;=Control!$C$87,0,$BI124))</f>
        <v>#N/A</v>
      </c>
      <c r="BN124" s="404" t="e">
        <f ca="1">IF($BM124=0,0,IF($BK124&lt;=Control!$C$87,$BI124*(9+(21-9)*($BL124/Control!$C$87)),0))</f>
        <v>#N/A</v>
      </c>
      <c r="BO124" s="140" t="e">
        <f ca="1">IF($BM124=1,0,IF($BK124&gt;=Control!$C$87,1,IF(AND($BB124&lt;30,$BB124&gt;=21),1,$BS123)))</f>
        <v>#N/A</v>
      </c>
      <c r="BP124" s="140" t="e">
        <f ca="1">IF($BL124&lt;0,-$BL124,$BO124*IF(OR($G124&lt;Control!$C$92,$G124&gt;Control!$C$95),0,IF(AND($G124&gt;=Control!$C$92,$G124&lt;=Control!$C$93),$G124-Control!$C$92,IF(AND($G124&gt;Control!$C$93,$G124&lt;=Control!$C$94),Control!$C$93-Control!$C$92,IF(AND($G124&gt;Control!$C$94,$G124&lt;=Control!$C$95),(Control!$C$93-Control!$C$92)*(Control!$C$94-$G124)/(Control!$C$95-Control!$C$94))))))</f>
        <v>#N/A</v>
      </c>
      <c r="BQ124" s="140" t="e">
        <f t="shared" ca="1" si="251"/>
        <v>#N/A</v>
      </c>
      <c r="BR124" s="140" t="e">
        <f ca="1">IF($BQ124&lt;=Control!$C$88,$BQ124,Control!$C$88-$BQ124)</f>
        <v>#N/A</v>
      </c>
      <c r="BS124" s="140" t="e">
        <f ca="1">IF(AND($BB124&gt;=21,$BB124&lt;30),1,IF($BQ124&gt;=Control!$C$88,0,$BO124))</f>
        <v>#N/A</v>
      </c>
      <c r="BT124" s="404" t="e">
        <f ca="1">IF($BS124=0,0,IF($BQ124&lt;=Control!$C$88,$BO124*(21+(30-21)*(BR124/Control!$C$88)),0))</f>
        <v>#N/A</v>
      </c>
      <c r="BU124" s="140" t="e">
        <f ca="1">IF(BG124+BM124+BS124=1,0,IF(OR(AND($BB124&lt;60,$BB124&gt;=30),$BQ124&gt;=Control!$C$88),1*$BA124,$BY123))</f>
        <v>#N/A</v>
      </c>
      <c r="BV124" s="140" t="e">
        <f ca="1">IF($BR124&lt;0,-$BR124,$BU124*IF(OR($G124&lt;Control!$C$92,$G124&gt;Control!$C$95),0,IF(AND($G124&gt;=Control!$C$92,$G124&lt;=Control!$C$93),$G124-Control!$C$92,IF(AND($G124&gt;Control!$C$93,$G124&lt;=Control!$C$94),Control!$C$93-Control!$C$92,IF(AND($G124&gt;Control!$C$94,$G124&lt;=Control!$C$95),(Control!$C$93-Control!$C$92)*(Control!$C$94-$G124)/(Control!$C$95-Control!$C$94))))))</f>
        <v>#N/A</v>
      </c>
      <c r="BW124" s="140" t="e">
        <f t="shared" ca="1" si="252"/>
        <v>#N/A</v>
      </c>
      <c r="BX124" s="140" t="e">
        <f ca="1">IF($BW124&lt;=Control!$C$89,$BW124,Control!$C$89-$BW124)</f>
        <v>#N/A</v>
      </c>
      <c r="BY124" s="140" t="e">
        <f ca="1">IF(AND($AJ124&gt;=30,$AJ124&lt;60),1,IF($BW124&gt;=Control!$C$89,0,$BU124))</f>
        <v>#N/A</v>
      </c>
      <c r="BZ124" s="404" t="e">
        <f ca="1">IF($BY124=0,0,IF($BW124&lt;=Control!$C$89,$BU124*(30+(60-30)*(BX124/Control!$C$89)),0))</f>
        <v>#N/A</v>
      </c>
      <c r="CA124" s="140" t="e">
        <f ca="1">IF($BG124+$BM124+$BS124+$BY124=1,0,IF(OR(AND($BB124&lt;65,$BB124&gt;=60),$BW124&gt;=Control!$C$89),1*$BA124,$CE123))</f>
        <v>#N/A</v>
      </c>
      <c r="CB124" s="140" t="e">
        <f ca="1">IF($BX124&lt;0,-$BX124,$CA124*IF(OR($G124&lt;Control!$C$92,$G124&gt;Control!$C$95),0,IF(AND($G124&gt;=Control!$C$92,$G124&lt;=Control!$C$93),$G124-Control!$C$92,IF(AND($G124&gt;Control!$C$93,$G124&lt;=Control!$C$94),Control!$C$93-Control!$C$92,IF(AND($G124&gt;Control!$C$94,$G124&lt;=Control!$C$95),(Control!$C$93-Control!$C$92)*(Control!$C$94-$G124)/(Control!$C$95-Control!$C$94))))))</f>
        <v>#N/A</v>
      </c>
      <c r="CC124" s="140" t="e">
        <f t="shared" ca="1" si="368"/>
        <v>#N/A</v>
      </c>
      <c r="CD124" s="140" t="e">
        <f ca="1">IF($CC124&lt;=Control!$C$90,$CC124,Control!$C$90-$CC124)</f>
        <v>#N/A</v>
      </c>
      <c r="CE124" s="140" t="e">
        <f ca="1">IF(AND($BB124&gt;=60,$BB124&lt;65),1,IF($CC124&gt;=Control!$C$90,0,$CA124))</f>
        <v>#N/A</v>
      </c>
      <c r="CF124" s="404" t="e">
        <f ca="1">IF($CE124=0,0,IF($CC124&lt;=Control!$C$90,$CA124*(60+(65-60)*(CD124/Control!$C$90)),0))</f>
        <v>#N/A</v>
      </c>
      <c r="CG124" s="140" t="e">
        <f ca="1">IF($BG124+$BM124+$BS124+$BY124+$CE124=1,0,IF(OR(AND($BB124&lt;90,$BB124&gt;=65),$CC124&gt;=Control!$C$90),$BA124,$CK123))</f>
        <v>#N/A</v>
      </c>
      <c r="CH124" s="140" t="e">
        <f ca="1">IF($CD124&lt;0,-$CD124,$CG124*IF(OR($G124&lt;Control!$C$92,$G124&gt;Control!$C$95),0,IF(AND($G124&gt;=Control!$C$92,$G124&lt;=Control!$C$93),$G124-Control!$C$92,IF(AND($G124&gt;Control!$C$93,$G124&lt;=Control!$C$94),Control!$C$93-Control!$C$92,IF(AND($G124&gt;Control!$C$94,$G124&lt;=Control!$C$95),(Control!$C$93-Control!$C$92)*(Control!$C$94-$G124)/(Control!$C$95-Control!$C$94))))))</f>
        <v>#N/A</v>
      </c>
      <c r="CI124" s="140" t="e">
        <f t="shared" ca="1" si="369"/>
        <v>#N/A</v>
      </c>
      <c r="CJ124" s="140" t="e">
        <f ca="1">IF($CI124&lt;=Control!$C$91,$CI124,Control!$C$91-$CI124)</f>
        <v>#N/A</v>
      </c>
      <c r="CK124" s="140" t="e">
        <f ca="1">IF(AND($BB124&gt;=65,$BB124&lt;90),1,IF($CI124&gt;=Control!$C$91,0,$CG124))</f>
        <v>#N/A</v>
      </c>
      <c r="CL124" s="404" t="e">
        <f ca="1">IF($CK124=0,0,IF($CI124&lt;=Control!$C$91,$CG124*(65+(90-65)*($CJ124/Control!$C$91)),0))</f>
        <v>#N/A</v>
      </c>
      <c r="CM124" s="140" t="e">
        <f ca="1">IF($BG124+$BM124+$BS124+$BY124+$CE124+$CK124=1,0,IF(OR($BB124&gt;=90,$CI124&gt;=Control!$C$91),$BA124,$CM123))</f>
        <v>#N/A</v>
      </c>
      <c r="CN124" s="140" t="e">
        <f t="shared" ca="1" si="370"/>
        <v>#N/A</v>
      </c>
      <c r="CO124" s="140" t="e">
        <f t="shared" ca="1" si="371"/>
        <v>#N/A</v>
      </c>
      <c r="CP124" s="140" t="e">
        <f t="shared" ca="1" si="372"/>
        <v>#N/A</v>
      </c>
      <c r="CQ124" s="141" t="e">
        <f ca="1">VLOOKUP($CP124,Control!$B$86:$G$91,6)</f>
        <v>#N/A</v>
      </c>
      <c r="CR124" s="141" t="e">
        <f ca="1">(1-$CQ124)*VLOOKUP($CP124,Control!$B$86:$D$91,3)</f>
        <v>#N/A</v>
      </c>
      <c r="CS124" s="141" t="e">
        <f ca="1">(1-$CQ124)*VLOOKUP($CP124,Control!$B$86:$E$91,4)</f>
        <v>#N/A</v>
      </c>
      <c r="CT124" s="141" t="e">
        <f ca="1">(1-$CQ124)*VLOOKUP($CP124,Control!$B$86:$F$91,5)</f>
        <v>#N/A</v>
      </c>
      <c r="CU124" s="141">
        <f t="shared" ca="1" si="373"/>
        <v>0</v>
      </c>
      <c r="CV124" s="583">
        <f t="shared" ca="1" si="374"/>
        <v>0</v>
      </c>
      <c r="CW124" s="142">
        <f t="shared" ca="1" si="375"/>
        <v>120</v>
      </c>
      <c r="CX124" s="612" t="e">
        <f ca="1">IF(Control!$C$114=1,(MIN(Control!$C$120*(IF($NT124-0.01&lt;0,0,1)),Control!$C$119-$CY124)))</f>
        <v>#DIV/0!</v>
      </c>
      <c r="CY124" s="143" t="e">
        <f t="shared" ca="1" si="376"/>
        <v>#N/A</v>
      </c>
      <c r="CZ124" s="144">
        <f t="shared" ca="1" si="253"/>
        <v>0</v>
      </c>
      <c r="DA124" s="144">
        <f t="shared" ca="1" si="254"/>
        <v>0</v>
      </c>
      <c r="DB124" s="144" t="e">
        <f t="shared" ca="1" si="255"/>
        <v>#N/A</v>
      </c>
      <c r="DC124" s="144" t="e">
        <f t="shared" ca="1" si="256"/>
        <v>#N/A</v>
      </c>
      <c r="DD124" s="144" t="e">
        <f t="shared" ca="1" si="461"/>
        <v>#N/A</v>
      </c>
      <c r="DE124" s="143" t="e">
        <f t="shared" ca="1" si="377"/>
        <v>#N/A</v>
      </c>
      <c r="DF124" s="145" t="e">
        <f ca="1">$DR124*EXP(-Control!$C$158*(1-$KH124))</f>
        <v>#N/A</v>
      </c>
      <c r="DG124" s="146" t="e">
        <f ca="1">IF(Control!$C$114=1, $DF124*$EY124, 0)</f>
        <v>#N/A</v>
      </c>
      <c r="DH124" s="147" t="e">
        <f t="shared" ca="1" si="378"/>
        <v>#N/A</v>
      </c>
      <c r="DI124" s="144" t="e">
        <f t="shared" ca="1" si="439"/>
        <v>#N/A</v>
      </c>
      <c r="DJ124" s="147" t="e">
        <f ca="1">$EF124*Control!$C$109</f>
        <v>#N/A</v>
      </c>
      <c r="DK124" s="144" t="e">
        <f t="shared" ca="1" si="379"/>
        <v>#N/A</v>
      </c>
      <c r="DL124" s="144" t="e">
        <f t="shared" ca="1" si="257"/>
        <v>#N/A</v>
      </c>
      <c r="DM124" s="144" t="e">
        <f ca="1">IF(Control!$C$114=1, (1-EXP(-Control!$C$96*$DK124))*$AR124, 0)</f>
        <v>#N/A</v>
      </c>
      <c r="DN124" s="144">
        <f t="shared" ca="1" si="380"/>
        <v>0</v>
      </c>
      <c r="DO124" s="148">
        <f>Control!$C$97</f>
        <v>4</v>
      </c>
      <c r="DP124" s="145" t="e">
        <f t="shared" ca="1" si="381"/>
        <v>#N/A</v>
      </c>
      <c r="DQ124" s="145" t="e">
        <f ca="1">IF(AND($CP124&gt;=0,$CP124&lt;=90),Control!$C$111,Control!$C$111)</f>
        <v>#N/A</v>
      </c>
      <c r="DR124" s="145" t="e">
        <f t="shared" ca="1" si="258"/>
        <v>#N/A</v>
      </c>
      <c r="DS124" s="143" t="e">
        <f ca="1">Control!$B$22/$DR124</f>
        <v>#N/A</v>
      </c>
      <c r="DT124" s="149" t="e">
        <f ca="1">IF(AND(Control!$C$114=1,$KH124&lt;1),$IM124*$DF124, 0)</f>
        <v>#N/A</v>
      </c>
      <c r="DU124" s="144" t="e">
        <f t="shared" ca="1" si="382"/>
        <v>#N/A</v>
      </c>
      <c r="DV124" s="144">
        <f ca="1">IF($G124-Control!$C$107&lt;=0, 0, 0.83*LN(MAX($G124, 3))-0.8924)</f>
        <v>0</v>
      </c>
      <c r="DW124" s="144" t="e">
        <f t="shared" ca="1" si="259"/>
        <v>#N/A</v>
      </c>
      <c r="DX124" s="150" t="e">
        <f ca="1">MAX(0.01*(1+$CU124/Control!$C$102),0.05*($DK124-Control!$C$97)/Control!$C$97)</f>
        <v>#N/A</v>
      </c>
      <c r="DY124" s="151" t="e">
        <f ca="1">IF(Control!$C$114=1, $DI124*$FS124, 0)</f>
        <v>#N/A</v>
      </c>
      <c r="DZ124" s="196" t="e">
        <f t="shared" ca="1" si="383"/>
        <v>#N/A</v>
      </c>
      <c r="EA124" s="152">
        <f t="shared" ca="1" si="384"/>
        <v>120</v>
      </c>
      <c r="EB124" s="153" t="e">
        <f t="shared" ca="1" si="385"/>
        <v>#N/A</v>
      </c>
      <c r="EC124" s="153" t="e">
        <f t="shared" ca="1" si="386"/>
        <v>#N/A</v>
      </c>
      <c r="ED124" s="154" t="e">
        <f ca="1">IF(Control!$C$114=1, $HM124*$FY124-$FD124, 0)</f>
        <v>#DIV/0!</v>
      </c>
      <c r="EE124" s="155" t="e">
        <f ca="1">IF(Control!$C$114=1, $HM124*$FZ124-$FF124, 0)</f>
        <v>#DIV/0!</v>
      </c>
      <c r="EF124" s="153" t="e">
        <f t="shared" ca="1" si="440"/>
        <v>#N/A</v>
      </c>
      <c r="EG124" s="155" t="e">
        <f ca="1">IF(Control!$C$114=1, $GX124*$FW124-$FI124, 0)</f>
        <v>#DIV/0!</v>
      </c>
      <c r="EH124" s="153" t="e">
        <f t="shared" ca="1" si="387"/>
        <v>#N/A</v>
      </c>
      <c r="EI124" s="156" t="e">
        <f t="shared" ca="1" si="388"/>
        <v>#N/A</v>
      </c>
      <c r="EJ124" s="155" t="e">
        <f ca="1">IF(Control!$C$114=1, $HM124*$GB124, 0)</f>
        <v>#DIV/0!</v>
      </c>
      <c r="EK124" s="153" t="e">
        <f t="shared" ca="1" si="441"/>
        <v>#N/A</v>
      </c>
      <c r="EL124" s="153" t="e">
        <f t="shared" ca="1" si="260"/>
        <v>#N/A</v>
      </c>
      <c r="EM124" s="153" t="e">
        <f t="shared" ca="1" si="261"/>
        <v>#N/A</v>
      </c>
      <c r="EN124" s="153" t="e">
        <f ca="1">IF(Control!$C$108=1,IF(AND(Control!$B$18=1,$EB124&gt;=Control!$B$19),$EB124-$DS124,IF(AND(Control!$B$18=2,$AW124=1,$EB124&gt;$DS124),$EB124-$DS124,0)))</f>
        <v>#N/A</v>
      </c>
      <c r="EO124" s="153" t="e">
        <f ca="1">IF(Control!$C$108=1,IF(AND(Control!$B$18=1,$EB124&gt;=Control!$B$19),$EF124,IF(AND(Control!$B$18=2,$AW124=1),$EF124,0)))</f>
        <v>#N/A</v>
      </c>
      <c r="EP124" s="153" t="e">
        <f ca="1">IF(Control!$C$108=1,IF(AND(Control!$B$18=1,$EB124&gt;=Control!$B$19),$EK124,IF(AND(Control!$B$18=2,$AW124=1),$EK124,0)))</f>
        <v>#N/A</v>
      </c>
      <c r="EQ124" s="153" t="e">
        <f t="shared" ca="1" si="389"/>
        <v>#N/A</v>
      </c>
      <c r="ER124" s="153" t="e">
        <f t="shared" ca="1" si="390"/>
        <v>#N/A</v>
      </c>
      <c r="ES124" s="153" t="e">
        <f t="shared" ca="1" si="442"/>
        <v>#N/A</v>
      </c>
      <c r="ET124" s="153" t="e">
        <f t="shared" ca="1" si="443"/>
        <v>#N/A</v>
      </c>
      <c r="EU124" s="153" t="e">
        <f t="shared" ca="1" si="391"/>
        <v>#N/A</v>
      </c>
      <c r="EV124" s="153" t="e">
        <f t="shared" ca="1" si="262"/>
        <v>#N/A</v>
      </c>
      <c r="EW124" s="153" t="e">
        <f t="shared" ca="1" si="263"/>
        <v>#N/A</v>
      </c>
      <c r="EX124" s="153" t="e">
        <f t="shared" ca="1" si="264"/>
        <v>#N/A</v>
      </c>
      <c r="EY124" s="157" t="e">
        <f t="shared" ca="1" si="265"/>
        <v>#DIV/0!</v>
      </c>
      <c r="EZ124" s="154" t="e">
        <f t="shared" ca="1" si="266"/>
        <v>#DIV/0!</v>
      </c>
      <c r="FA124" s="153" t="e">
        <f t="shared" ca="1" si="392"/>
        <v>#N/A</v>
      </c>
      <c r="FB124" s="153" t="e">
        <f t="shared" ca="1" si="267"/>
        <v>#N/A</v>
      </c>
      <c r="FC124" s="193" t="e">
        <f t="shared" ca="1" si="268"/>
        <v>#N/A</v>
      </c>
      <c r="FD124" s="158" t="e">
        <f t="shared" ca="1" si="393"/>
        <v>#N/A</v>
      </c>
      <c r="FE124" s="158" t="e">
        <f t="shared" ca="1" si="394"/>
        <v>#N/A</v>
      </c>
      <c r="FF124" s="159" t="e">
        <f t="shared" ca="1" si="269"/>
        <v>#N/A</v>
      </c>
      <c r="FG124" s="160" t="e">
        <f t="shared" ca="1" si="395"/>
        <v>#N/A</v>
      </c>
      <c r="FH124" s="158" t="e">
        <f t="shared" ca="1" si="396"/>
        <v>#N/A</v>
      </c>
      <c r="FI124" s="159" t="e">
        <f t="shared" ca="1" si="270"/>
        <v>#N/A</v>
      </c>
      <c r="FJ124" s="160" t="e">
        <f t="shared" ca="1" si="397"/>
        <v>#N/A</v>
      </c>
      <c r="FK124" s="160" t="e">
        <f t="shared" ca="1" si="271"/>
        <v>#N/A</v>
      </c>
      <c r="FL124" s="160" t="e">
        <f t="shared" ca="1" si="444"/>
        <v>#N/A</v>
      </c>
      <c r="FM124" s="160" t="e">
        <f t="shared" ca="1" si="272"/>
        <v>#N/A</v>
      </c>
      <c r="FN124" s="158">
        <f t="shared" ca="1" si="398"/>
        <v>0.01</v>
      </c>
      <c r="FO124" s="160">
        <f>Control!$C$101</f>
        <v>50</v>
      </c>
      <c r="FP124" s="150" t="e">
        <f t="shared" ca="1" si="273"/>
        <v>#N/A</v>
      </c>
      <c r="FQ124" s="150" t="e">
        <f ca="1">MAX(0,(Control!$C$112*(($DK124-Control!$C$97)/Control!$C$97)))</f>
        <v>#N/A</v>
      </c>
      <c r="FR124" s="150" t="e">
        <f ca="1">(1-$NT124)*Control!$C$113</f>
        <v>#DIV/0!</v>
      </c>
      <c r="FS124" s="198" t="e">
        <f t="shared" ca="1" si="274"/>
        <v>#N/A</v>
      </c>
      <c r="FT124" s="161">
        <f t="shared" ca="1" si="399"/>
        <v>120</v>
      </c>
      <c r="FU124" s="162" t="e">
        <f ca="1">IF(Control!$B$34=1,VLOOKUP($CP124,Control!$B$86:$G$91,6),Control!$B$35)</f>
        <v>#N/A</v>
      </c>
      <c r="FV124" s="162" t="e">
        <f t="shared" ca="1" si="275"/>
        <v>#DIV/0!</v>
      </c>
      <c r="FW124" s="162" t="e">
        <f ca="1">IF(Control!$B$31=1,$FU124*$FV124,  $FU124)</f>
        <v>#N/A</v>
      </c>
      <c r="FX124" s="162" t="e">
        <f ca="1">IF(Control!$B$34=1,VLOOKUP($CP124,Control!$B$86:$G$91,3),Control!$B$36)</f>
        <v>#N/A</v>
      </c>
      <c r="FY124" s="162" t="e">
        <f t="shared" ca="1" si="276"/>
        <v>#N/A</v>
      </c>
      <c r="FZ124" s="162" t="e">
        <f ca="1">IF(Control!$B$34=1,VLOOKUP($CP124,Control!$B$86:$G$91,4),Control!$B$37)</f>
        <v>#N/A</v>
      </c>
      <c r="GA124" s="162" t="e">
        <f t="shared" ca="1" si="277"/>
        <v>#N/A</v>
      </c>
      <c r="GB124" s="162" t="e">
        <f ca="1">IF(Control!$B$34=1,VLOOKUP($CP124,Control!$B$86:$G$91,5),Control!$B$38)</f>
        <v>#N/A</v>
      </c>
      <c r="GC124" s="162" t="e">
        <f t="shared" ca="1" si="400"/>
        <v>#N/A</v>
      </c>
      <c r="GD124" s="162">
        <f t="shared" ca="1" si="278"/>
        <v>1</v>
      </c>
      <c r="GE124" s="162">
        <f t="shared" ca="1" si="279"/>
        <v>1</v>
      </c>
      <c r="GF124" s="162">
        <f ca="1">IF(AND(Control!$C$104=1, Control!$C$62="F"),$GE124,1)</f>
        <v>1</v>
      </c>
      <c r="GG124" s="162" t="e">
        <f ca="1">IF(Control!$B$16=40,0,IF(AND(Control!$B$16&gt;40,Control!$B$16&lt;=360),(Control!$B$16-40)*((1-0)/(360-40)),IF(AND(Control!$B$16&gt;360,Control!$B$16&lt;=720),(1+(Control!$B$16-360)*((1.25-1)/(720-360))),IF(AND(Control!$B$16&gt;720,Control!$B$16&lt;=1000),(1.25+(Control!$B$16-720)*((1.35-1.25)/(1000-720))),IF(AND(Control!$B$16&gt;1000,Control!$B$16&lt;=2000),(1.35+(Control!$B$16-1000)*0))))))</f>
        <v>#N/A</v>
      </c>
      <c r="GH124" s="162" t="e">
        <f t="shared" ca="1" si="280"/>
        <v>#N/A</v>
      </c>
      <c r="GI124" s="162">
        <f t="shared" ca="1" si="401"/>
        <v>0</v>
      </c>
      <c r="GJ124" s="162">
        <f t="shared" ca="1" si="281"/>
        <v>0</v>
      </c>
      <c r="GK124" s="162">
        <f t="shared" ca="1" si="402"/>
        <v>1</v>
      </c>
      <c r="GL124" s="162">
        <f t="shared" ca="1" si="282"/>
        <v>1</v>
      </c>
      <c r="GM124" s="162" t="e">
        <f ca="1">MAX(0,MIN(1,1-Control!$C$156*(1.0001-$KH124)^2))</f>
        <v>#N/A</v>
      </c>
      <c r="GN124" s="162" t="e">
        <f ca="1">IF(Control!$B$26=1,$KU124,$KX124)</f>
        <v>#N/A</v>
      </c>
      <c r="GO124" s="162" t="e">
        <f ca="1">IF($CP124&lt;=60,Control!$C$105,IF($CP124&gt;=90,Control!$C$106,Control!$C$105+($CP124-60)*((Control!$C$106-Control!$C$105)/(90-60))))</f>
        <v>#N/A</v>
      </c>
      <c r="GP124" s="162" t="e">
        <f t="shared" ca="1" si="283"/>
        <v>#N/A</v>
      </c>
      <c r="GQ124" s="162" t="e">
        <f t="shared" ca="1" si="403"/>
        <v>#N/A</v>
      </c>
      <c r="GR124" s="163" t="e">
        <f t="shared" ca="1" si="284"/>
        <v>#DIV/0!</v>
      </c>
      <c r="GS124" s="162" t="e">
        <f t="shared" ca="1" si="285"/>
        <v>#DIV/0!</v>
      </c>
      <c r="GT124" s="164" t="e">
        <f t="shared" ca="1" si="404"/>
        <v>#N/A</v>
      </c>
      <c r="GU124" s="162" t="e">
        <f t="shared" ca="1" si="405"/>
        <v>#N/A</v>
      </c>
      <c r="GV124" s="162" t="e">
        <f t="shared" ca="1" si="286"/>
        <v>#N/A</v>
      </c>
      <c r="GW124" s="162" t="e">
        <f t="shared" ca="1" si="287"/>
        <v>#DIV/0!</v>
      </c>
      <c r="GX124" s="162" t="e">
        <f t="shared" ca="1" si="406"/>
        <v>#DIV/0!</v>
      </c>
      <c r="GY124" s="162" t="e">
        <f t="shared" ca="1" si="407"/>
        <v>#DIV/0!</v>
      </c>
      <c r="GZ124" s="165" t="e">
        <f t="shared" ca="1" si="288"/>
        <v>#N/A</v>
      </c>
      <c r="HA124" s="162" t="e">
        <f ca="1">IF(Control!$C$114=1, $DI124*$FS124, 0)</f>
        <v>#N/A</v>
      </c>
      <c r="HB124" s="162" t="e">
        <f ca="1">$FA124/Control!$C$64</f>
        <v>#N/A</v>
      </c>
      <c r="HC124" s="162" t="e">
        <f t="shared" ca="1" si="289"/>
        <v>#DIV/0!</v>
      </c>
      <c r="HD124" s="162">
        <f ca="1">-ASIN(SIN(23.45*Control!$C$139)*COS(2*Control!$C$138*($AH124+10)/365))</f>
        <v>0.24875927727290326</v>
      </c>
      <c r="HE124" s="165">
        <f t="shared" ca="1" si="408"/>
        <v>0</v>
      </c>
      <c r="HF124" s="166">
        <f ca="1">IF(AND(Control!$C$61="T",$HE124&gt;=Control!$C$103,Control!$C$114=0),$AH124,Control!$C$59)</f>
        <v>1</v>
      </c>
      <c r="HG124" s="166">
        <f ca="1">IF(AND(Control!$C$61="T",$HE124&gt;=Control!$C$103,Control!$C$114=0),$HF124,Control!$C$59)</f>
        <v>1</v>
      </c>
      <c r="HH124" s="165">
        <f ca="1">IF(AND(OR(Control!$C$60&lt;=0, $AH124= Control!$C$59, Control!$C$60 &gt;0, $AH124 = Control!$C$60)), Control!$C$59, IF(Control!$C$60&gt;0, 0))</f>
        <v>1</v>
      </c>
      <c r="HI124" s="165">
        <f ca="1">IF(AND(OR(Control!$C$60&lt;=0, $AH124= Control!$C$59, Control!$C$60 &gt;0, $AH124 = Control!$C$60)), Control!$C$60, IF(Control!$C$60&lt;=0, 0))</f>
        <v>0</v>
      </c>
      <c r="HJ124" s="166">
        <f ca="1">IF(AND(Control!$C$62="F",$CV124&gt;=Control!$C$102),$AH124,0)</f>
        <v>0</v>
      </c>
      <c r="HK124" s="165" t="e">
        <f t="shared" ca="1" si="445"/>
        <v>#N/A</v>
      </c>
      <c r="HL124" s="166">
        <f ca="1">IF(AND(Control!$C$61="T",$HE124&gt;=Control!$C$103,Control!$C$114=0),$HF124,0)</f>
        <v>0</v>
      </c>
      <c r="HM124" s="201" t="e">
        <f t="shared" ca="1" si="290"/>
        <v>#DIV/0!</v>
      </c>
      <c r="HN124" s="215">
        <f t="shared" ca="1" si="409"/>
        <v>120</v>
      </c>
      <c r="HO124" s="216" t="e">
        <f ca="1">IF(AND($CP124&gt;=0, $CP124&lt;=90), Control!$C$152, Control!$C$152)</f>
        <v>#N/A</v>
      </c>
      <c r="HP124" s="216" t="e">
        <f t="shared" ca="1" si="291"/>
        <v>#N/A</v>
      </c>
      <c r="HQ124" s="217" t="e">
        <f ca="1">IF(OR(Control!$B$26=1,Control!$B$26=2),$KV124,$KS124)</f>
        <v>#DIV/0!</v>
      </c>
      <c r="HR124" s="218" t="e">
        <f t="shared" ca="1" si="446"/>
        <v>#DIV/0!</v>
      </c>
      <c r="HS124" s="216" t="e">
        <f ca="1">Control!$C$154*$HP124</f>
        <v>#N/A</v>
      </c>
      <c r="HT124" s="216" t="e">
        <f ca="1">Control!$C$155*$HP124</f>
        <v>#N/A</v>
      </c>
      <c r="HU124" s="217" t="e">
        <f ca="1">Control!$C$161*$FI124</f>
        <v>#N/A</v>
      </c>
      <c r="HV124" s="218" t="e">
        <f t="shared" ca="1" si="410"/>
        <v>#N/A</v>
      </c>
      <c r="HW124" s="218" t="e">
        <f ca="1">Control!$C$160*$FF124+$IP124*$EO124</f>
        <v>#N/A</v>
      </c>
      <c r="HX124" s="218" t="e">
        <f t="shared" ca="1" si="447"/>
        <v>#N/A</v>
      </c>
      <c r="HY124" s="219" t="e">
        <f ca="1">IF(Control!$C$114=1, $EB124*$FS124, 0)</f>
        <v>#N/A</v>
      </c>
      <c r="HZ124" s="91" t="e">
        <f t="shared" ca="1" si="292"/>
        <v>#N/A</v>
      </c>
      <c r="IA124" s="220" t="e">
        <f ca="1">Control!$C$153*$HO124</f>
        <v>#N/A</v>
      </c>
      <c r="IB124" s="218" t="e">
        <f t="shared" ca="1" si="293"/>
        <v>#N/A</v>
      </c>
      <c r="IC124" s="220" t="e">
        <f ca="1">Control!$C$153*$HT124</f>
        <v>#N/A</v>
      </c>
      <c r="ID124" s="218" t="e">
        <f t="shared" ca="1" si="294"/>
        <v>#N/A</v>
      </c>
      <c r="IE124" s="221" t="e">
        <f ca="1">($EB124*Control!$C$159+$EF124*Control!$C$160)/(IF($GZ124&lt;&gt;0,$GZ124,1))</f>
        <v>#N/A</v>
      </c>
      <c r="IF124" s="216" t="e">
        <f t="shared" ca="1" si="295"/>
        <v>#N/A</v>
      </c>
      <c r="IG124" s="91">
        <f ca="1">IF(OR(Control!$B$198=$AH124,Control!$B$199=$AH124, Control!$B$200=$AH124, Control!$B$201=$AH124, Control!$B$202=$AH124, Control!$B$203=$AH124, Control!$B$204=$AH124, Control!$B$205=$AH124, Control!$B$206=$AH124, Control!$B$207=$AH124), 1, 0)</f>
        <v>0</v>
      </c>
      <c r="IH124" s="91">
        <f ca="1">IF($IG124=0,0, VLOOKUP($AH124,Control!$B$198:$C$207,2))</f>
        <v>0</v>
      </c>
      <c r="II124" s="222">
        <f t="shared" ca="1" si="411"/>
        <v>0</v>
      </c>
      <c r="IJ124" s="91">
        <f>Control!$C$121</f>
        <v>0.7</v>
      </c>
      <c r="IK124" s="218">
        <f t="shared" ca="1" si="296"/>
        <v>0</v>
      </c>
      <c r="IL124" s="217" t="e">
        <f t="shared" ca="1" si="448"/>
        <v>#N/A</v>
      </c>
      <c r="IM124" s="223" t="e">
        <f ca="1">IF(AND(Control!$C$114=1,$KH124&lt;1),$EB124*Control!$C$148*(1-$KH124), 0)</f>
        <v>#N/A</v>
      </c>
      <c r="IN124" s="217" t="e">
        <f t="shared" ca="1" si="297"/>
        <v>#DIV/0!</v>
      </c>
      <c r="IO124" s="91" t="e">
        <f ca="1">MAX(0,$IL124-$EF124*Control!$C$160)</f>
        <v>#N/A</v>
      </c>
      <c r="IP124" s="220" t="e">
        <f t="shared" ca="1" si="298"/>
        <v>#N/A</v>
      </c>
      <c r="IQ124" s="217" t="e">
        <f t="shared" ca="1" si="412"/>
        <v>#N/A</v>
      </c>
      <c r="IR124" s="218" t="e">
        <f t="shared" ca="1" si="299"/>
        <v>#N/A</v>
      </c>
      <c r="IS124" s="217" t="e">
        <f ca="1">Control!$C$159*MAX(0,$FD124-$EN124)</f>
        <v>#N/A</v>
      </c>
      <c r="IT124" s="217" t="e">
        <f t="shared" ca="1" si="449"/>
        <v>#N/A</v>
      </c>
      <c r="IU124" s="217" t="e">
        <f t="shared" ca="1" si="413"/>
        <v>#N/A</v>
      </c>
      <c r="IV124" s="217" t="e">
        <f t="shared" ca="1" si="450"/>
        <v>#N/A</v>
      </c>
      <c r="IW124" s="217" t="e">
        <f ca="1">IF(OR($AW124=1,AND($AW124=0, Control!$B$18=1,$EN124&lt;&gt;0)), $IQ124-$IU124, $IQ124)</f>
        <v>#N/A</v>
      </c>
      <c r="IX124" s="218" t="e">
        <f t="shared" ca="1" si="300"/>
        <v>#N/A</v>
      </c>
      <c r="IY124" s="218" t="e">
        <f ca="1">MAX(0,$IQ124-$EB124*Control!$C$159)</f>
        <v>#N/A</v>
      </c>
      <c r="IZ124" s="218" t="e">
        <f t="shared" ca="1" si="301"/>
        <v>#N/A</v>
      </c>
      <c r="JA124" s="216" t="e">
        <f t="shared" ca="1" si="302"/>
        <v>#N/A</v>
      </c>
      <c r="JB124" s="217" t="e">
        <f t="shared" ca="1" si="303"/>
        <v>#N/A</v>
      </c>
      <c r="JC124" s="222" t="e">
        <f ca="1">MAX(Control!$C$157*$EK124-$JT124, 0)/Control!$C$162</f>
        <v>#N/A</v>
      </c>
      <c r="JD124" s="218" t="e">
        <f t="shared" ca="1" si="304"/>
        <v>#N/A</v>
      </c>
      <c r="JE124" s="218" t="e">
        <f t="shared" ca="1" si="305"/>
        <v>#N/A</v>
      </c>
      <c r="JF124" s="218" t="e">
        <f t="shared" ca="1" si="414"/>
        <v>#N/A</v>
      </c>
      <c r="JG124" s="218" t="e">
        <f t="shared" ca="1" si="306"/>
        <v>#N/A</v>
      </c>
      <c r="JH124" s="217" t="e">
        <f t="shared" ca="1" si="415"/>
        <v>#N/A</v>
      </c>
      <c r="JI124" s="217" t="e">
        <f t="shared" ca="1" si="416"/>
        <v>#N/A</v>
      </c>
      <c r="JJ124" s="217" t="e">
        <f t="shared" ca="1" si="451"/>
        <v>#N/A</v>
      </c>
      <c r="JK124" s="217" t="e">
        <f ca="1">IF(Control!$C$114=1,IF(Control!$B$24=0,MAX(0,$JI124)*$GN124/Control!$C$64,(MAX(0,MIN($JI124,$JJ124*$GN124/Control!$C$64),0))))</f>
        <v>#N/A</v>
      </c>
      <c r="JL124" s="217" t="e">
        <f ca="1">$IK124/Control!$C$64-$JK124+$HQ124</f>
        <v>#N/A</v>
      </c>
      <c r="JM124" s="217" t="e">
        <f ca="1">IF(Control!$C$114=1,($JB124/(IF($JI124&lt;&gt;0,$JI124,1)))*$JK124,0)</f>
        <v>#N/A</v>
      </c>
      <c r="JN124" s="217" t="e">
        <f ca="1">IF(Control!$C$114=1,($JG124/(IF($JI124&lt;&gt;0,$JI124,1)))*$JK124, 0)</f>
        <v>#N/A</v>
      </c>
      <c r="JO124" s="218" t="e">
        <f t="shared" ca="1" si="307"/>
        <v>#N/A</v>
      </c>
      <c r="JP124" s="218" t="e">
        <f ca="1">MIN(($IY124+$IO124)*Control!$C$151, $JF124-$EH124*Control!$C$161)</f>
        <v>#N/A</v>
      </c>
      <c r="JQ124" s="218" t="e">
        <f t="shared" ca="1" si="308"/>
        <v>#N/A</v>
      </c>
      <c r="JR124" s="217" t="e">
        <f ca="1">IF($CP124-Control!$C$150&lt;0, 0, $JQ124/Control!$C$162)</f>
        <v>#N/A</v>
      </c>
      <c r="JS124" s="218" t="e">
        <f t="shared" ca="1" si="309"/>
        <v>#N/A</v>
      </c>
      <c r="JT124" s="218" t="e">
        <f t="shared" ca="1" si="417"/>
        <v>#N/A</v>
      </c>
      <c r="JU124" s="218" t="e">
        <f t="shared" ca="1" si="310"/>
        <v>#N/A</v>
      </c>
      <c r="JV124" s="218" t="e">
        <f t="shared" ca="1" si="311"/>
        <v>#N/A</v>
      </c>
      <c r="JW124" s="216" t="e">
        <f t="shared" ca="1" si="312"/>
        <v>#N/A</v>
      </c>
      <c r="JX124" s="91" t="e">
        <f t="shared" ca="1" si="313"/>
        <v>#N/A</v>
      </c>
      <c r="JY124" s="218" t="e">
        <f t="shared" ca="1" si="314"/>
        <v>#N/A</v>
      </c>
      <c r="JZ124" s="217" t="e">
        <f ca="1">IF(Control!$C$114=1,($IZ124/(IF($JI124&lt;&gt;0,$JI124,1)))*$JK124, 0)</f>
        <v>#N/A</v>
      </c>
      <c r="KA124" s="218" t="e">
        <f t="shared" ca="1" si="452"/>
        <v>#N/A</v>
      </c>
      <c r="KB124" s="218" t="e">
        <f t="shared" ca="1" si="418"/>
        <v>#N/A</v>
      </c>
      <c r="KC124" s="218" t="e">
        <f t="shared" ca="1" si="315"/>
        <v>#N/A</v>
      </c>
      <c r="KD124" s="218" t="e">
        <f t="shared" ca="1" si="316"/>
        <v>#N/A</v>
      </c>
      <c r="KE124" s="218" t="e">
        <f t="shared" ca="1" si="317"/>
        <v>#N/A</v>
      </c>
      <c r="KF124" s="218" t="e">
        <f t="shared" ca="1" si="318"/>
        <v>#N/A</v>
      </c>
      <c r="KG124" s="216" t="e">
        <f t="shared" ca="1" si="319"/>
        <v>#N/A</v>
      </c>
      <c r="KH124" s="221" t="e">
        <f ca="1">IF(Control!$B$24=0,1,MAX(0.001,MIN(1,IF(($IF124-$IE124)&lt;&gt;0,($KG124-$IE124)/($IF124-$IE124),1))))</f>
        <v>#N/A</v>
      </c>
      <c r="KI124" s="222" t="e">
        <f ca="1">IF(Control!$C$114=1, $KI123+ $KH123, 0)</f>
        <v>#N/A</v>
      </c>
      <c r="KJ124" s="217" t="e">
        <f t="shared" ca="1" si="320"/>
        <v>#N/A</v>
      </c>
      <c r="KK124" s="218" t="e">
        <f t="shared" ca="1" si="321"/>
        <v>#N/A</v>
      </c>
      <c r="KL124" s="274" t="e">
        <f ca="1">IF(Control!$B$26=3,4000000000*EXP(-8400/($G124+273)),IF(Control!$B$26=4,4000000000*EXP(-8400/($G124+273))*($KT124),0))</f>
        <v>#DIV/0!</v>
      </c>
      <c r="KM124" s="274" t="e">
        <f ca="1">IF(Control!$B$26=3,5600000000000*EXP(-9800/($G124+273)),IF(Control!$B$26=4,5600000000000*EXP(-9800/($G124+273))*$KT124,0))</f>
        <v>#DIV/0!</v>
      </c>
      <c r="KN124" s="454" t="e">
        <f t="shared" ca="1" si="419"/>
        <v>#DIV/0!</v>
      </c>
      <c r="KO124" s="274" t="e">
        <f t="shared" ca="1" si="420"/>
        <v>#DIV/0!</v>
      </c>
      <c r="KP124" s="454" t="e">
        <f t="shared" ca="1" si="322"/>
        <v>#DIV/0!</v>
      </c>
      <c r="KQ124" s="454" t="e">
        <f t="shared" ca="1" si="323"/>
        <v>#DIV/0!</v>
      </c>
      <c r="KR124" s="454" t="e">
        <f t="shared" ca="1" si="324"/>
        <v>#DIV/0!</v>
      </c>
      <c r="KS124" s="454" t="e">
        <f t="shared" ca="1" si="325"/>
        <v>#DIV/0!</v>
      </c>
      <c r="KT124" s="455" t="e">
        <f t="shared" ca="1" si="326"/>
        <v>#DIV/0!</v>
      </c>
      <c r="KU124" s="456" t="e">
        <f ca="1">IF($CP124-Control!$C$149&lt;0, IF($NT124-0.01&lt;0,0,1),0)</f>
        <v>#N/A</v>
      </c>
      <c r="KV124" s="456" t="e">
        <f ca="1">IF(Control!$C$114=1,MAX(0,MIN(Control!$C$125*$KW124*$GN124,$KW124)))</f>
        <v>#DIV/0!</v>
      </c>
      <c r="KW124" s="456" t="e">
        <f t="shared" ca="1" si="453"/>
        <v>#DIV/0!</v>
      </c>
      <c r="KX124" s="457" t="e">
        <f ca="1">IF($CP124-Control!$C$149&lt;0, IF($MR124-$OM124&lt;0,0,1),0)</f>
        <v>#N/A</v>
      </c>
      <c r="KY124" s="167">
        <f t="shared" ca="1" si="421"/>
        <v>120</v>
      </c>
      <c r="KZ124" s="168">
        <f ca="1">1370*(1+0.033*COS(2*Control!$C$138*$AH124/365))</f>
        <v>1348.5272698483091</v>
      </c>
      <c r="LA124" s="169">
        <f t="shared" ca="1" si="422"/>
        <v>0.98432661462178739</v>
      </c>
      <c r="LB124" s="169">
        <f t="shared" ca="1" si="423"/>
        <v>0.25580797489151891</v>
      </c>
      <c r="LC124" s="169">
        <f ca="1">ACOS(-TAN((2*Control!$B$8/360))*TAN(Calculations!$LB124))</f>
        <v>1.6486046759534503</v>
      </c>
      <c r="LD124" s="169">
        <f ca="1">((24*60)/PI())*0.082*$LA124*(($LC124*SIN(Control!$B$8*2*PI()/360))*SIN($LB124)+COS(Control!$B$8*2*PI()/360)*COS($LB124)*SIN($LC124))</f>
        <v>34.131054576793119</v>
      </c>
      <c r="LE124" s="170">
        <f t="shared" ca="1" si="327"/>
        <v>34.573742023572926</v>
      </c>
      <c r="LF124" s="170">
        <f ca="1">SIN(Control!$C$139*Control!$B$8)*SIN($HD124)</f>
        <v>0.1940098438160992</v>
      </c>
      <c r="LG124" s="170">
        <f ca="1">COS(Control!$C$139*Control!$B$8)*COS($HD124)</f>
        <v>0.59670895417829906</v>
      </c>
      <c r="LH124" s="170">
        <f ca="1">12*(1+2*ASIN(MAX(-1,MIN(1,$LF124/$LG124))/Control!$C$138))</f>
        <v>14.488283723383333</v>
      </c>
      <c r="LI124" s="170">
        <f ca="1">12*(1+2*ASIN(MAX(-1,MIN(1,(-SIN(-4*Control!$C$139)+$LF124)/$LG124))/Control!$C$138))</f>
        <v>15.388136646959209</v>
      </c>
      <c r="LJ124" s="168">
        <f ca="1">3600*($LH124*$LF124+24*$LG124*SQRT(1-$LK124*$LK124)/Control!$C$138)</f>
        <v>25638.148220363393</v>
      </c>
      <c r="LK124" s="170">
        <f t="shared" ca="1" si="328"/>
        <v>0.32513311968522646</v>
      </c>
      <c r="LL124" s="170">
        <f t="shared" ca="1" si="329"/>
        <v>0</v>
      </c>
      <c r="LM124" s="171">
        <f ca="1">Control!$C$145*$AB124</f>
        <v>6.6660906138995932E-2</v>
      </c>
      <c r="LN124" s="170">
        <f t="shared" ca="1" si="424"/>
        <v>0.54</v>
      </c>
      <c r="LO124" s="170">
        <f t="shared" ca="1" si="330"/>
        <v>0</v>
      </c>
      <c r="LP124" s="170">
        <f ca="1">Control!$C$140*((($D124+273.16)^4+($E124+273.16)^4)/2)*(0.34-0.14*SQRT($Y124))*(1.35*$AQ124/(0.75*$LD124)-0.35)</f>
        <v>-3.2464704755046001</v>
      </c>
      <c r="LQ124" s="170">
        <f ca="1">Control!$C$140*($G124+273)^4*(0.56-0.079*SQRT($Y124*10))*(0.1+0.9*$LO124)</f>
        <v>1.5241745131704001</v>
      </c>
      <c r="LR124" s="170">
        <f ca="1">$AQ124*(1-Control!$C$142)-$LQ124</f>
        <v>-1.5241745131704001</v>
      </c>
      <c r="LS124" s="170">
        <f ca="1">$AQ124*(1-Control!$C$143)-$LQ124</f>
        <v>-1.5241745131704001</v>
      </c>
      <c r="LT124" s="170">
        <f ca="1">$AQ124*(1-Control!$C$144)-$LQ124</f>
        <v>-1.5241745131704001</v>
      </c>
      <c r="LU124" s="169">
        <f ca="1">(1-Control!$C$144)*AQ124-LP124</f>
        <v>3.2464704755046001</v>
      </c>
      <c r="LV124" s="172">
        <f t="shared" ca="1" si="331"/>
        <v>0.79430000000000012</v>
      </c>
      <c r="LW124" s="170">
        <f t="shared" ca="1" si="332"/>
        <v>1.5886000000000002</v>
      </c>
      <c r="LX124" s="170">
        <f ca="1">($AC124*($LR124/Control!$C$141)+$LM124*$LV124)/($AC124+$LM124)</f>
        <v>0.23530094218323697</v>
      </c>
      <c r="LY124" s="170">
        <f ca="1">($AC124*($LS124/Control!$C$141)+$LM124*$LV124)/($AC124+$LM124)</f>
        <v>0.23530094218323697</v>
      </c>
      <c r="LZ124" s="170">
        <f t="shared" ca="1" si="333"/>
        <v>0.23530094218323697</v>
      </c>
      <c r="MA124" s="170">
        <f t="shared" ca="1" si="334"/>
        <v>0.23530094218323697</v>
      </c>
      <c r="MB124" s="170" t="e">
        <f t="shared" ca="1" si="335"/>
        <v>#N/A</v>
      </c>
      <c r="MC124" s="170">
        <f t="shared" ca="1" si="425"/>
        <v>0.6018</v>
      </c>
      <c r="MD124" s="170">
        <f t="shared" ca="1" si="336"/>
        <v>0.52989392535414004</v>
      </c>
      <c r="ME124" s="170">
        <f ca="1">($AC124*($LT124/Control!$C$141)+$LM124*$LW124)/($AC124+$LM124)</f>
        <v>0.71612369323045078</v>
      </c>
      <c r="MF124" s="170" t="e">
        <f ca="1">IF(Control!$B$16&gt;=1000,0.92,IF(AND(720&lt;=Control!$B$16,1000&gt;Control!$B$16),(0.95+(Control!$B$16-720)*((0.92-0.95)/(1000-720))),IF(AND(360&lt;=Control!$B$16,720&gt;Control!$B$16),(1+(Control!$B$16-360)*((0.95-1)/(720-360))),IF(AND(40&lt;=Control!$B$16,360&gt;Control!$B$16),(1.05+(Control!$B$16-40)*((1.05-1)/(360-40)))))))</f>
        <v>#N/A</v>
      </c>
      <c r="MG124" s="170">
        <f t="shared" ca="1" si="337"/>
        <v>0.71612369323045078</v>
      </c>
      <c r="MH124" s="170" t="e">
        <f t="shared" ca="1" si="463"/>
        <v>#N/A</v>
      </c>
      <c r="MI124" s="170" t="e">
        <f t="shared" ca="1" si="463"/>
        <v>#N/A</v>
      </c>
      <c r="MJ124" s="170" t="e">
        <f ca="1">MAX(0.0001, Control!$C$132*$MI124*$DL124)</f>
        <v>#N/A</v>
      </c>
      <c r="MK124" s="170">
        <f ca="1">1/(0.76+1.5*($MG124/10))-(5-Control!$C$110)*0.1</f>
        <v>1.002845988140797</v>
      </c>
      <c r="ML124" s="173">
        <f ca="1">IF(Control!$C$110&lt;3,$MK124+($MG124-0.6)/(Control!$C$110*(Control!$C$110+3)), MAX(0.1, MIN(0.95,$MK124)))</f>
        <v>0.95</v>
      </c>
      <c r="MM124" s="173">
        <f ca="1">IF(Control!$C$110&lt;3,$MK124+(($MI124/10)-0.6)/(Control!$C$110*(Control!$C$110+3)), MAX(0.1, MIN(0.95,$MK124)))</f>
        <v>0.95</v>
      </c>
      <c r="MN124" s="173">
        <f ca="1">(1-$MM124)*(Control!$C$128-Control!$C$127)+Control!$C$127</f>
        <v>0.16</v>
      </c>
      <c r="MO124" s="170" t="e">
        <f ca="1">MAX(0,MIN(1,($MS124-Control!$C$127)/($MN124-Control!$C$127)))</f>
        <v>#DIV/0!</v>
      </c>
      <c r="MP124" s="173" t="e">
        <f ca="1">1/(0.76+1.5*$MI124)-(5-Control!$C$110)*0.1</f>
        <v>#N/A</v>
      </c>
      <c r="MQ124" s="172" t="e">
        <f t="shared" ca="1" si="454"/>
        <v>#DIV/0!</v>
      </c>
      <c r="MR124" s="168" t="e">
        <f t="shared" ca="1" si="426"/>
        <v>#DIV/0!</v>
      </c>
      <c r="MS124" s="173" t="e">
        <f ca="1">MAX(Control!$C$127, MIN(Control!$C$135, $MR124/MAX(0.0001,$CY124)))</f>
        <v>#DIV/0!</v>
      </c>
      <c r="MT124" s="168" t="e">
        <f ca="1">(Control!$C$128-$MS124)*Control!$C$74</f>
        <v>#DIV/0!</v>
      </c>
      <c r="MU124" s="168" t="e">
        <f ca="1">(Control!$C$135-$MS124)*Control!$C$74</f>
        <v>#DIV/0!</v>
      </c>
      <c r="MV124" s="168" t="e">
        <f t="shared" ca="1" si="427"/>
        <v>#DIV/0!</v>
      </c>
      <c r="MW124" s="168" t="e">
        <f t="shared" ca="1" si="428"/>
        <v>#DIV/0!</v>
      </c>
      <c r="MX124" s="171" t="e">
        <f ca="1">MAX(Control!$C$127, MIN(Control!$C$135, $MW124/MAX(0.0001,Control!$C$119-$CY124)))</f>
        <v>#DIV/0!</v>
      </c>
      <c r="MY124" s="54" t="e">
        <f ca="1">IF(Control!$C$114=1, $CX124*$MX124, 0)</f>
        <v>#DIV/0!</v>
      </c>
      <c r="MZ124" s="54" t="e">
        <f t="shared" ca="1" si="429"/>
        <v>#N/A</v>
      </c>
      <c r="NA124" s="168" t="e">
        <f ca="1">(Control!$C$128-$MX124)*(Control!$C$119-Control!$C$74)</f>
        <v>#DIV/0!</v>
      </c>
      <c r="NB124" s="168" t="e">
        <f ca="1">(Control!$C$135-$MX124)*(Control!$C$119-Control!$C$74)</f>
        <v>#DIV/0!</v>
      </c>
      <c r="NC124" s="174" t="e">
        <f t="shared" ca="1" si="430"/>
        <v>#DIV/0!</v>
      </c>
      <c r="ND124" s="54">
        <f ca="1">IF(Control!$C$58=2, IF(OR(Control!$B$218=$AH124,Control!$B$219=$AH124, Control!$B$220=$AH124, Control!$B$221=$AH124, Control!$B$222=$AH124, Control!$B$223=$AH124, Control!$B$224=$AH124, Control!$B$225=$AH124, Control!$B$226=$AH124, Control!$B$227=$AH124, Control!$B$228=$AH124), 1, 0), 0)</f>
        <v>0</v>
      </c>
      <c r="NE124" s="54">
        <f ca="1">IF($ND124=0,0, VLOOKUP($AH124,Control!$B$218:$C$228,2))</f>
        <v>0</v>
      </c>
      <c r="NF124" s="168" t="e">
        <f ca="1">$CY124*(Control!$C$128-Control!$C$127)</f>
        <v>#N/A</v>
      </c>
      <c r="NG124" s="54" t="e">
        <f ca="1">IF(Control!$C$58=2, $NI123-$NJ123, 0)</f>
        <v>#DIV/0!</v>
      </c>
      <c r="NH124" s="54" t="e">
        <f ca="1">IF(AND(Control!$C$58=1, $MS123&lt;= ($MN123+0.02), $I123&lt;10), 0, IF(Control!$C$58=2, $NG123, 0))</f>
        <v>#DIV/0!</v>
      </c>
      <c r="NI124" s="54" t="e">
        <f ca="1">IF(Control!$C$58=2, $NE124+$NH124,0)</f>
        <v>#DIV/0!</v>
      </c>
      <c r="NJ124" s="54" t="e">
        <f ca="1">IF(AND(Control!$C$58=1, $MS124&lt;= ($MN124+0.02), $I124&lt;10), MAX(0, MIN(10, 0.7*($NF124-$MV124))), IF(Control!$C$58=2, MIN(10,$NI124),0))</f>
        <v>#DIV/0!</v>
      </c>
      <c r="NK124" s="54" t="e">
        <f t="shared" ca="1" si="338"/>
        <v>#DIV/0!</v>
      </c>
      <c r="NL124" s="173" t="e">
        <f ca="1">(1-Control!$C$73)*$I124+$NJ124</f>
        <v>#DIV/0!</v>
      </c>
      <c r="NM124" s="172" t="e">
        <f ca="1">IF($NL124&lt;0.5, $MB124* MAX(0, MIN(1, (SQRT($NC124)-SQRT($NC124-1))*Control!$C$71)),0)</f>
        <v>#DIV/0!</v>
      </c>
      <c r="NN124" s="170" t="e">
        <f ca="1">IF($NL124&gt;=5, $MB124, MAX(0,MIN($MB124, $NM124+$NL124,($MS124-Control!$C$129))))</f>
        <v>#DIV/0!</v>
      </c>
      <c r="NO124" s="54">
        <f>IF(Control!$C$133&lt;&gt;1, Control!$C$135-Control!$C$131, 0)</f>
        <v>0.38</v>
      </c>
      <c r="NP124" s="54" t="e">
        <f t="shared" ca="1" si="339"/>
        <v>#DIV/0!</v>
      </c>
      <c r="NQ124" s="173" t="e">
        <f ca="1">MAX(0,MIN(1,(Control!$C$135-$MS124)/(Control!$C$135-$NO124)))</f>
        <v>#DIV/0!</v>
      </c>
      <c r="NR124" s="170" t="e">
        <f ca="1">IF(Control!$C$133&lt;&gt;1, $NQ124+((1-$NP124/4)*(1-$NQ124)),1)</f>
        <v>#DIV/0!</v>
      </c>
      <c r="NS124" s="170" t="e">
        <f ca="1">IF(Control!$B$31=0,$MJ124,MAX(0,MIN($MV124,$MO124*$NR124*$MJ124)))</f>
        <v>#DIV/0!</v>
      </c>
      <c r="NT124" s="170" t="e">
        <f t="shared" ca="1" si="455"/>
        <v>#DIV/0!</v>
      </c>
      <c r="NU124" s="170" t="e">
        <f t="shared" ca="1" si="431"/>
        <v>#N/A</v>
      </c>
      <c r="NV124" s="170" t="e">
        <f t="shared" ca="1" si="340"/>
        <v>#N/A</v>
      </c>
      <c r="NW124" s="175" t="e">
        <f t="shared" ca="1" si="341"/>
        <v>#DIV/0!</v>
      </c>
      <c r="NX124" s="170" t="e">
        <f ca="1">MIN(Control!$C$72+$MU124, $NW124)</f>
        <v>#DIV/0!</v>
      </c>
      <c r="NY124" s="170" t="e">
        <f ca="1">IF($MT124&lt;=$NX124,MIN(Control!$C$72+$NB124,$NX124-$MT124),0)</f>
        <v>#DIV/0!</v>
      </c>
      <c r="NZ124" s="54" t="e">
        <f ca="1">IF(Control!$C$114=1,  $CX124*($MX124-Control!$C$127), 0)</f>
        <v>#DIV/0!</v>
      </c>
      <c r="OA124" s="170" t="e">
        <f t="shared" ca="1" si="342"/>
        <v>#DIV/0!</v>
      </c>
      <c r="OB124" s="170" t="e">
        <f ca="1">IF($NA124 &lt;=$NY124, MIN(Control!$C$72, $NY124-$NA124), 0)</f>
        <v>#DIV/0!</v>
      </c>
      <c r="OC124" s="168" t="e">
        <f t="shared" ca="1" si="343"/>
        <v>#DIV/0!</v>
      </c>
      <c r="OD124" s="168" t="e">
        <f t="shared" ca="1" si="432"/>
        <v>#DIV/0!</v>
      </c>
      <c r="OE124" s="170">
        <f ca="1">Control!$C$73*$I124</f>
        <v>0</v>
      </c>
      <c r="OF124" s="176" t="e">
        <f t="shared" ca="1" si="344"/>
        <v>#DIV/0!</v>
      </c>
      <c r="OG124" s="168" t="e">
        <f t="shared" ca="1" si="345"/>
        <v>#DIV/0!</v>
      </c>
      <c r="OH124" s="168" t="e">
        <f t="shared" ca="1" si="346"/>
        <v>#DIV/0!</v>
      </c>
      <c r="OI124" s="168" t="e">
        <f t="shared" ca="1" si="347"/>
        <v>#DIV/0!</v>
      </c>
      <c r="OJ124" s="168" t="e">
        <f t="shared" ca="1" si="348"/>
        <v>#DIV/0!</v>
      </c>
      <c r="OK124" s="204" t="e">
        <f t="shared" ca="1" si="349"/>
        <v>#DIV/0!</v>
      </c>
      <c r="OL124" s="177">
        <f>Control!$C$127</f>
        <v>0.15</v>
      </c>
      <c r="OM124" s="182" t="e">
        <f t="shared" ca="1" si="350"/>
        <v>#N/A</v>
      </c>
      <c r="ON124" s="177">
        <f>Control!$C$128</f>
        <v>0.35</v>
      </c>
      <c r="OO124" s="182" t="e">
        <f t="shared" ca="1" si="351"/>
        <v>#N/A</v>
      </c>
      <c r="OP124" s="138">
        <f t="shared" ca="1" si="433"/>
        <v>0</v>
      </c>
      <c r="OQ124" s="138" t="e">
        <f t="shared" ca="1" si="456"/>
        <v>#DIV/0!</v>
      </c>
      <c r="OR124" s="138" t="e">
        <f t="shared" ca="1" si="434"/>
        <v>#DIV/0!</v>
      </c>
      <c r="OS124" s="137" t="e">
        <f t="shared" ca="1" si="457"/>
        <v>#DIV/0!</v>
      </c>
      <c r="OT124" s="139" t="e">
        <f t="shared" ca="1" si="458"/>
        <v>#DIV/0!</v>
      </c>
      <c r="OU124" s="138" t="e">
        <f t="shared" ca="1" si="459"/>
        <v>#N/A</v>
      </c>
      <c r="OV124" s="138" t="e">
        <f t="shared" ca="1" si="460"/>
        <v>#DIV/0!</v>
      </c>
      <c r="OW124" s="138" t="e">
        <f t="shared" ca="1" si="435"/>
        <v>#DIV/0!</v>
      </c>
      <c r="OX124" s="138" t="e">
        <f t="shared" ca="1" si="436"/>
        <v>#DIV/0!</v>
      </c>
      <c r="OY124" s="138" t="e">
        <f t="shared" ca="1" si="437"/>
        <v>#DIV/0!</v>
      </c>
      <c r="OZ124" s="138" t="e">
        <f t="shared" ca="1" si="352"/>
        <v>#DIV/0!</v>
      </c>
      <c r="PA124" s="138" t="e">
        <f t="shared" ca="1" si="353"/>
        <v>#DIV/0!</v>
      </c>
      <c r="PB124" s="55">
        <f>IF(Control!$C$61="T", IF(Control!$C$65="F", IF($AH$6-Control!$C$60&lt;0,0,1), IF(365+$AH$6-Control!$C$60&lt;0,0,1)),0)</f>
        <v>0</v>
      </c>
      <c r="PC124" s="55">
        <f ca="1">IF(Control!$C$65="F", IF($AH$6-$HF124&lt;0,0,1), IF(365+$AH$6-$HF124&lt;0,0,1))</f>
        <v>1</v>
      </c>
      <c r="PD124" s="444">
        <f>Control!$C$118</f>
        <v>1500</v>
      </c>
      <c r="PE124" s="180" t="e">
        <f t="shared" ca="1" si="354"/>
        <v>#N/A</v>
      </c>
      <c r="PF124" s="445">
        <f t="shared" ca="1" si="438"/>
        <v>0.71612369323045078</v>
      </c>
      <c r="PT124" s="186"/>
      <c r="PU124" s="186"/>
      <c r="PV124" s="94"/>
      <c r="PW124" s="94"/>
      <c r="PX124" s="94"/>
      <c r="PY124" s="94"/>
      <c r="PZ124" s="94"/>
      <c r="QA124" s="94"/>
      <c r="QB124" s="94"/>
      <c r="QC124" s="94"/>
      <c r="QD124" s="94"/>
      <c r="QE124" s="94"/>
      <c r="QF124" s="94"/>
      <c r="QG124" s="94"/>
      <c r="QH124" s="94"/>
      <c r="QI124" s="94"/>
      <c r="QJ124" s="94"/>
      <c r="QK124" s="94"/>
      <c r="QL124" s="94"/>
      <c r="QM124" s="94"/>
      <c r="QN124" s="94"/>
      <c r="QO124" s="94"/>
      <c r="QP124" s="94"/>
    </row>
    <row r="125" spans="1:458" s="2" customFormat="1" x14ac:dyDescent="0.2">
      <c r="A125" s="395">
        <v>30</v>
      </c>
      <c r="B125" s="396">
        <v>4</v>
      </c>
      <c r="C125" s="387">
        <f ca="1">Weather_data!$B124</f>
        <v>0</v>
      </c>
      <c r="D125" s="388">
        <f ca="1">Weather_data!$F124</f>
        <v>0</v>
      </c>
      <c r="E125" s="388">
        <f ca="1">Weather_data!$E124</f>
        <v>0</v>
      </c>
      <c r="F125" s="388">
        <f t="shared" ca="1" si="355"/>
        <v>0</v>
      </c>
      <c r="G125" s="388">
        <f ca="1">AVERAGE($D125:$E125)+Control!$B$9</f>
        <v>0</v>
      </c>
      <c r="H125" s="388">
        <f ca="1">Weather_data!$G124</f>
        <v>0</v>
      </c>
      <c r="I125" s="388">
        <f ca="1">Weather_data!$I124</f>
        <v>0</v>
      </c>
      <c r="J125" s="388">
        <f ca="1">Weather_data!$H124</f>
        <v>0</v>
      </c>
      <c r="K125" s="389">
        <f ca="1">Weather_data!$D124</f>
        <v>0</v>
      </c>
      <c r="L125" s="388" t="e">
        <f t="shared" ca="1" si="356"/>
        <v>#N/A</v>
      </c>
      <c r="M125" s="388" t="e">
        <f t="shared" ca="1" si="234"/>
        <v>#N/A</v>
      </c>
      <c r="N125" s="388">
        <f t="shared" ca="1" si="235"/>
        <v>-1.7940255655547517E-6</v>
      </c>
      <c r="O125" s="388">
        <f t="shared" ca="1" si="357"/>
        <v>1.7940255655547518E-5</v>
      </c>
      <c r="P125" s="390">
        <v>3</v>
      </c>
      <c r="Q125" s="388">
        <f ca="1">MAX($G125-Control!$C$107,0)</f>
        <v>0</v>
      </c>
      <c r="R125" s="388">
        <f t="shared" ca="1" si="358"/>
        <v>0</v>
      </c>
      <c r="S125" s="388">
        <f t="shared" ca="1" si="236"/>
        <v>0</v>
      </c>
      <c r="T125" s="388">
        <f t="shared" ca="1" si="237"/>
        <v>0</v>
      </c>
      <c r="U125" s="59">
        <f t="shared" ca="1" si="238"/>
        <v>0</v>
      </c>
      <c r="V125" s="391">
        <f ca="1">MAX(0,MIN(Control!$C$100-Control!$C$99,$G125-Control!$C$99)*Control!$C$63)</f>
        <v>0</v>
      </c>
      <c r="W125" s="388">
        <f t="shared" ca="1" si="359"/>
        <v>0</v>
      </c>
      <c r="X125" s="388">
        <f t="shared" ca="1" si="360"/>
        <v>0.6110000000000001</v>
      </c>
      <c r="Y125" s="388">
        <f t="shared" ca="1" si="239"/>
        <v>0</v>
      </c>
      <c r="Z125" s="388">
        <f t="shared" ca="1" si="361"/>
        <v>0.61058800000000002</v>
      </c>
      <c r="AA125" s="388">
        <f t="shared" ca="1" si="240"/>
        <v>0.6018</v>
      </c>
      <c r="AB125" s="388">
        <f ca="1">101.3*EXP(-0.034*Control!$C$66/($G125+273))</f>
        <v>100.69623283836242</v>
      </c>
      <c r="AC125" s="392">
        <f t="shared" ca="1" si="241"/>
        <v>4.3460251046025113E-2</v>
      </c>
      <c r="AD125" s="392">
        <f t="shared" ca="1" si="242"/>
        <v>4.4450382862832649E-2</v>
      </c>
      <c r="AE125" s="388">
        <f t="shared" ca="1" si="243"/>
        <v>0</v>
      </c>
      <c r="AF125" s="388">
        <f ca="1">MAX(0,$G125-Control!$C$92)</f>
        <v>0</v>
      </c>
      <c r="AG125" s="393">
        <f t="shared" ca="1" si="244"/>
        <v>121</v>
      </c>
      <c r="AH125" s="389">
        <f t="shared" ca="1" si="245"/>
        <v>121</v>
      </c>
      <c r="AI125" s="388">
        <f t="shared" ca="1" si="362"/>
        <v>0.25427818430760096</v>
      </c>
      <c r="AJ125" s="388">
        <f ca="1">IF(Control!$C$60&lt;=0,$HH125,$HI125)</f>
        <v>1</v>
      </c>
      <c r="AK125" s="388">
        <f t="shared" ca="1" si="246"/>
        <v>0.70578245916263838</v>
      </c>
      <c r="AL125" s="388">
        <f t="shared" ca="1" si="247"/>
        <v>2.3442445901133978E-18</v>
      </c>
      <c r="AM125" s="388">
        <f t="shared" ca="1" si="248"/>
        <v>0.70578245916263838</v>
      </c>
      <c r="AN125" s="388">
        <f t="shared" ca="1" si="249"/>
        <v>0.26097725599288984</v>
      </c>
      <c r="AO125" s="388">
        <f ca="1">-0.10453/COS(Control!$B$8*PI()/180)*COS(AN125)</f>
        <v>-0.16403565724067989</v>
      </c>
      <c r="AP125" s="388">
        <f ca="1">ACOS(AO125-TAN(Control!$B$8*PI()/180)*TAN(AN125))</f>
        <v>2.1011835485950794</v>
      </c>
      <c r="AQ125" s="388">
        <f t="shared" ca="1" si="363"/>
        <v>0</v>
      </c>
      <c r="AR125" s="394">
        <f t="shared" ca="1" si="250"/>
        <v>0</v>
      </c>
      <c r="AS125" s="436">
        <f ca="1">IF(Control!$B$18=2,(IF(OR($AH125=Control!$B$175,$AH125=Control!$B$176,$AH125=Control!$B$177,$AH125=Control!$B$178,$AH125=Control!$B$179,$AH125=Control!$B$180,$AH125=Control!$B$181,$AH125=Control!$B$182,$AH125=Control!$B$183,$AH125=Control!$B$184,$AH125=Control!$B$185),1,0)),0)</f>
        <v>0</v>
      </c>
      <c r="AT125" s="436">
        <f>IF(Control!$B$20=8,IF(AND($AH125&gt;=Control!$B$172,$AH125&lt;=Control!$B$173),1,0),0)</f>
        <v>0</v>
      </c>
      <c r="AU125" s="436">
        <f>IF(Control!$B$20=8,IF($AV124=1,1*$AT125,IF($AT125=1,$AU124+1,$AU124)),0)</f>
        <v>0</v>
      </c>
      <c r="AV125" s="436">
        <f>IF(Control!$B$20=8,IF($AU125&gt;=Control!$B$174,1,0),0)</f>
        <v>0</v>
      </c>
      <c r="AW125" s="436">
        <f ca="1">IF(AND(Control!$B$18=2,Control!$B$171=1), $AV125, $AS125)</f>
        <v>0</v>
      </c>
      <c r="AX125" s="436" t="e">
        <f ca="1">IF(AND(Control!$B$18=1,$EU125&gt;=Control!$B$19),-$AY125,IF(AND(Control!$B$18=2,$AW125=1,$EU125&gt;$DS125),-$AY125, IF(Control!$C$108=0,0, IF(Control!$C$108&lt;&gt;0,1))))</f>
        <v>#N/A</v>
      </c>
      <c r="AY125" s="436" t="e">
        <f t="shared" ca="1" si="364"/>
        <v>#N/A</v>
      </c>
      <c r="AZ125" s="436" t="e">
        <f ca="1">IF(AND(Control!$B$18=1,$EB125&gt;Control!$B$19),$AZ124+1, IF(AND(Control!$B$18=2, $AW125=1, $EB125&gt;$DS125), $AZ124+1,$AZ124))</f>
        <v>#N/A</v>
      </c>
      <c r="BA125" s="587">
        <f>IF(Control!$C$81=0,1,IF($AH125&gt;=Control!$C$82,1,0))</f>
        <v>1</v>
      </c>
      <c r="BB125" s="140" t="e">
        <f ca="1">IF($BA125&gt;$BA124,Control!$C$83,IF($AW125&gt;0,$AW125*Control!$C$84,IF(AND(Control!$B$18=1,EN124&lt;&gt;0),Control!$C$84,0)))</f>
        <v>#N/A</v>
      </c>
      <c r="BC125" s="140" t="e">
        <f t="shared" ca="1" si="365"/>
        <v>#N/A</v>
      </c>
      <c r="BD125" s="140" t="e">
        <f ca="1">BC125*IF(OR($G125&lt;Control!$C$92,$G125&gt;Control!$C$95),0,IF(AND($G125&gt;=Control!$C$92,$G125&lt;=Control!$C$93),$G125-Control!$C$92,IF(AND($G125&gt;Control!$C$93,$G125&lt;=Control!$C$94),Control!$C$93-Control!$C$92,IF(AND($G125&gt;Control!$C$94,$G125&lt;=Control!$C$95),(Control!$C$93-Control!$C$92)*(Control!$C$94-$G125)/(Control!$C$95-Control!$C$94)))))</f>
        <v>#N/A</v>
      </c>
      <c r="BE125" s="140" t="e">
        <f t="shared" ca="1" si="366"/>
        <v>#N/A</v>
      </c>
      <c r="BF125" s="140" t="e">
        <f ca="1">IF($BE125&lt;=Control!$C$86,$BE125,Control!$C$86-$BE125)</f>
        <v>#N/A</v>
      </c>
      <c r="BG125" s="140" t="e">
        <f ca="1">IF(AND($AW125=1,Control!$C$84&lt;9),1,IF($BE125&gt;=Control!$C$86,0,$BC125))</f>
        <v>#N/A</v>
      </c>
      <c r="BH125" s="404" t="e">
        <f ca="1">IF($BG125=0,0,IF($BE125&lt;=Control!$C$86,$BC125*9*($BF125/Control!$C$86),0))</f>
        <v>#N/A</v>
      </c>
      <c r="BI125" s="140" t="e">
        <f ca="1">IF($BG125=1,0,IF($BE125&gt;=Control!$C$86,1,IF(AND($BB125&lt;21,$BB125&gt;=9),1,$BM124)))</f>
        <v>#N/A</v>
      </c>
      <c r="BJ125" s="140" t="e">
        <f ca="1">IF($BF125&lt;0,-$BF125,$BI125*IF(OR($G125&lt;Control!$C$92,$G125&gt;Control!$C$95),0,IF(AND($G125&gt;=Control!$C$92,$G125&lt;=Control!$C$93),$G125-Control!$C$92,IF(AND($G125&gt;Control!$C$93,$G125&lt;=Control!$C$94),Control!$C$93-Control!$C$92,IF(AND($G125&gt;Control!$C$94,$G125&lt;=Control!$C$95),(Control!$C$93-Control!$C$92)*(Control!$C$94-$G125)/(Control!$C$95-Control!$C$94))))))</f>
        <v>#N/A</v>
      </c>
      <c r="BK125" s="140" t="e">
        <f t="shared" ca="1" si="367"/>
        <v>#N/A</v>
      </c>
      <c r="BL125" s="140" t="e">
        <f ca="1">IF($BK125&lt;=Control!$C$87,$BK125,Control!$C$87-$BK125)</f>
        <v>#N/A</v>
      </c>
      <c r="BM125" s="140" t="e">
        <f ca="1">IF(AND($BB125&gt;=9,$BB125&lt;21),1,IF($BK125&gt;=Control!$C$87,0,$BI125))</f>
        <v>#N/A</v>
      </c>
      <c r="BN125" s="404" t="e">
        <f ca="1">IF($BM125=0,0,IF($BK125&lt;=Control!$C$87,$BI125*(9+(21-9)*($BL125/Control!$C$87)),0))</f>
        <v>#N/A</v>
      </c>
      <c r="BO125" s="140" t="e">
        <f ca="1">IF($BM125=1,0,IF($BK125&gt;=Control!$C$87,1,IF(AND($BB125&lt;30,$BB125&gt;=21),1,$BS124)))</f>
        <v>#N/A</v>
      </c>
      <c r="BP125" s="140" t="e">
        <f ca="1">IF($BL125&lt;0,-$BL125,$BO125*IF(OR($G125&lt;Control!$C$92,$G125&gt;Control!$C$95),0,IF(AND($G125&gt;=Control!$C$92,$G125&lt;=Control!$C$93),$G125-Control!$C$92,IF(AND($G125&gt;Control!$C$93,$G125&lt;=Control!$C$94),Control!$C$93-Control!$C$92,IF(AND($G125&gt;Control!$C$94,$G125&lt;=Control!$C$95),(Control!$C$93-Control!$C$92)*(Control!$C$94-$G125)/(Control!$C$95-Control!$C$94))))))</f>
        <v>#N/A</v>
      </c>
      <c r="BQ125" s="140" t="e">
        <f t="shared" ca="1" si="251"/>
        <v>#N/A</v>
      </c>
      <c r="BR125" s="140" t="e">
        <f ca="1">IF($BQ125&lt;=Control!$C$88,$BQ125,Control!$C$88-$BQ125)</f>
        <v>#N/A</v>
      </c>
      <c r="BS125" s="140" t="e">
        <f ca="1">IF(AND($BB125&gt;=21,$BB125&lt;30),1,IF($BQ125&gt;=Control!$C$88,0,$BO125))</f>
        <v>#N/A</v>
      </c>
      <c r="BT125" s="404" t="e">
        <f ca="1">IF($BS125=0,0,IF($BQ125&lt;=Control!$C$88,$BO125*(21+(30-21)*(BR125/Control!$C$88)),0))</f>
        <v>#N/A</v>
      </c>
      <c r="BU125" s="140" t="e">
        <f ca="1">IF(BG125+BM125+BS125=1,0,IF(OR(AND($BB125&lt;60,$BB125&gt;=30),$BQ125&gt;=Control!$C$88),1*$BA125,$BY124))</f>
        <v>#N/A</v>
      </c>
      <c r="BV125" s="140" t="e">
        <f ca="1">IF($BR125&lt;0,-$BR125,$BU125*IF(OR($G125&lt;Control!$C$92,$G125&gt;Control!$C$95),0,IF(AND($G125&gt;=Control!$C$92,$G125&lt;=Control!$C$93),$G125-Control!$C$92,IF(AND($G125&gt;Control!$C$93,$G125&lt;=Control!$C$94),Control!$C$93-Control!$C$92,IF(AND($G125&gt;Control!$C$94,$G125&lt;=Control!$C$95),(Control!$C$93-Control!$C$92)*(Control!$C$94-$G125)/(Control!$C$95-Control!$C$94))))))</f>
        <v>#N/A</v>
      </c>
      <c r="BW125" s="140" t="e">
        <f t="shared" ca="1" si="252"/>
        <v>#N/A</v>
      </c>
      <c r="BX125" s="140" t="e">
        <f ca="1">IF($BW125&lt;=Control!$C$89,$BW125,Control!$C$89-$BW125)</f>
        <v>#N/A</v>
      </c>
      <c r="BY125" s="140" t="e">
        <f ca="1">IF(AND($AJ125&gt;=30,$AJ125&lt;60),1,IF($BW125&gt;=Control!$C$89,0,$BU125))</f>
        <v>#N/A</v>
      </c>
      <c r="BZ125" s="404" t="e">
        <f ca="1">IF($BY125=0,0,IF($BW125&lt;=Control!$C$89,$BU125*(30+(60-30)*(BX125/Control!$C$89)),0))</f>
        <v>#N/A</v>
      </c>
      <c r="CA125" s="140" t="e">
        <f ca="1">IF($BG125+$BM125+$BS125+$BY125=1,0,IF(OR(AND($BB125&lt;65,$BB125&gt;=60),$BW125&gt;=Control!$C$89),1*$BA125,$CE124))</f>
        <v>#N/A</v>
      </c>
      <c r="CB125" s="140" t="e">
        <f ca="1">IF($BX125&lt;0,-$BX125,$CA125*IF(OR($G125&lt;Control!$C$92,$G125&gt;Control!$C$95),0,IF(AND($G125&gt;=Control!$C$92,$G125&lt;=Control!$C$93),$G125-Control!$C$92,IF(AND($G125&gt;Control!$C$93,$G125&lt;=Control!$C$94),Control!$C$93-Control!$C$92,IF(AND($G125&gt;Control!$C$94,$G125&lt;=Control!$C$95),(Control!$C$93-Control!$C$92)*(Control!$C$94-$G125)/(Control!$C$95-Control!$C$94))))))</f>
        <v>#N/A</v>
      </c>
      <c r="CC125" s="140" t="e">
        <f t="shared" ca="1" si="368"/>
        <v>#N/A</v>
      </c>
      <c r="CD125" s="140" t="e">
        <f ca="1">IF($CC125&lt;=Control!$C$90,$CC125,Control!$C$90-$CC125)</f>
        <v>#N/A</v>
      </c>
      <c r="CE125" s="140" t="e">
        <f ca="1">IF(AND($BB125&gt;=60,$BB125&lt;65),1,IF($CC125&gt;=Control!$C$90,0,$CA125))</f>
        <v>#N/A</v>
      </c>
      <c r="CF125" s="404" t="e">
        <f ca="1">IF($CE125=0,0,IF($CC125&lt;=Control!$C$90,$CA125*(60+(65-60)*(CD125/Control!$C$90)),0))</f>
        <v>#N/A</v>
      </c>
      <c r="CG125" s="140" t="e">
        <f ca="1">IF($BG125+$BM125+$BS125+$BY125+$CE125=1,0,IF(OR(AND($BB125&lt;90,$BB125&gt;=65),$CC125&gt;=Control!$C$90),$BA125,$CK124))</f>
        <v>#N/A</v>
      </c>
      <c r="CH125" s="140" t="e">
        <f ca="1">IF($CD125&lt;0,-$CD125,$CG125*IF(OR($G125&lt;Control!$C$92,$G125&gt;Control!$C$95),0,IF(AND($G125&gt;=Control!$C$92,$G125&lt;=Control!$C$93),$G125-Control!$C$92,IF(AND($G125&gt;Control!$C$93,$G125&lt;=Control!$C$94),Control!$C$93-Control!$C$92,IF(AND($G125&gt;Control!$C$94,$G125&lt;=Control!$C$95),(Control!$C$93-Control!$C$92)*(Control!$C$94-$G125)/(Control!$C$95-Control!$C$94))))))</f>
        <v>#N/A</v>
      </c>
      <c r="CI125" s="140" t="e">
        <f t="shared" ca="1" si="369"/>
        <v>#N/A</v>
      </c>
      <c r="CJ125" s="140" t="e">
        <f ca="1">IF($CI125&lt;=Control!$C$91,$CI125,Control!$C$91-$CI125)</f>
        <v>#N/A</v>
      </c>
      <c r="CK125" s="140" t="e">
        <f ca="1">IF(AND($BB125&gt;=65,$BB125&lt;90),1,IF($CI125&gt;=Control!$C$91,0,$CG125))</f>
        <v>#N/A</v>
      </c>
      <c r="CL125" s="404" t="e">
        <f ca="1">IF($CK125=0,0,IF($CI125&lt;=Control!$C$91,$CG125*(65+(90-65)*($CJ125/Control!$C$91)),0))</f>
        <v>#N/A</v>
      </c>
      <c r="CM125" s="140" t="e">
        <f ca="1">IF($BG125+$BM125+$BS125+$BY125+$CE125+$CK125=1,0,IF(OR($BB125&gt;=90,$CI125&gt;=Control!$C$91),$BA125,$CM124))</f>
        <v>#N/A</v>
      </c>
      <c r="CN125" s="140" t="e">
        <f t="shared" ca="1" si="370"/>
        <v>#N/A</v>
      </c>
      <c r="CO125" s="140" t="e">
        <f t="shared" ca="1" si="371"/>
        <v>#N/A</v>
      </c>
      <c r="CP125" s="140" t="e">
        <f t="shared" ca="1" si="372"/>
        <v>#N/A</v>
      </c>
      <c r="CQ125" s="141" t="e">
        <f ca="1">VLOOKUP($CP125,Control!$B$86:$G$91,6)</f>
        <v>#N/A</v>
      </c>
      <c r="CR125" s="141" t="e">
        <f ca="1">(1-$CQ125)*VLOOKUP($CP125,Control!$B$86:$D$91,3)</f>
        <v>#N/A</v>
      </c>
      <c r="CS125" s="141" t="e">
        <f ca="1">(1-$CQ125)*VLOOKUP($CP125,Control!$B$86:$E$91,4)</f>
        <v>#N/A</v>
      </c>
      <c r="CT125" s="141" t="e">
        <f ca="1">(1-$CQ125)*VLOOKUP($CP125,Control!$B$86:$F$91,5)</f>
        <v>#N/A</v>
      </c>
      <c r="CU125" s="141">
        <f t="shared" ca="1" si="373"/>
        <v>0</v>
      </c>
      <c r="CV125" s="583">
        <f t="shared" ca="1" si="374"/>
        <v>0</v>
      </c>
      <c r="CW125" s="142">
        <f t="shared" ca="1" si="375"/>
        <v>121</v>
      </c>
      <c r="CX125" s="612" t="e">
        <f ca="1">IF(Control!$C$114=1,(MIN(Control!$C$120*(IF($NT125-0.01&lt;0,0,1)),Control!$C$119-$CY125)))</f>
        <v>#DIV/0!</v>
      </c>
      <c r="CY125" s="143" t="e">
        <f t="shared" ca="1" si="376"/>
        <v>#N/A</v>
      </c>
      <c r="CZ125" s="144">
        <f t="shared" ca="1" si="253"/>
        <v>0</v>
      </c>
      <c r="DA125" s="144">
        <f t="shared" ca="1" si="254"/>
        <v>0</v>
      </c>
      <c r="DB125" s="144" t="e">
        <f t="shared" ca="1" si="255"/>
        <v>#N/A</v>
      </c>
      <c r="DC125" s="144" t="e">
        <f t="shared" ca="1" si="256"/>
        <v>#N/A</v>
      </c>
      <c r="DD125" s="144" t="e">
        <f t="shared" ca="1" si="461"/>
        <v>#N/A</v>
      </c>
      <c r="DE125" s="143" t="e">
        <f t="shared" ca="1" si="377"/>
        <v>#N/A</v>
      </c>
      <c r="DF125" s="145" t="e">
        <f ca="1">$DR125*EXP(-Control!$C$158*(1-$KH125))</f>
        <v>#N/A</v>
      </c>
      <c r="DG125" s="146" t="e">
        <f ca="1">IF(Control!$C$114=1, $DF125*$EY125, 0)</f>
        <v>#N/A</v>
      </c>
      <c r="DH125" s="147" t="e">
        <f t="shared" ca="1" si="378"/>
        <v>#N/A</v>
      </c>
      <c r="DI125" s="144" t="e">
        <f t="shared" ca="1" si="439"/>
        <v>#N/A</v>
      </c>
      <c r="DJ125" s="147" t="e">
        <f ca="1">$EF125*Control!$C$109</f>
        <v>#N/A</v>
      </c>
      <c r="DK125" s="144" t="e">
        <f t="shared" ca="1" si="379"/>
        <v>#N/A</v>
      </c>
      <c r="DL125" s="144" t="e">
        <f t="shared" ca="1" si="257"/>
        <v>#N/A</v>
      </c>
      <c r="DM125" s="144" t="e">
        <f ca="1">IF(Control!$C$114=1, (1-EXP(-Control!$C$96*$DK125))*$AR125, 0)</f>
        <v>#N/A</v>
      </c>
      <c r="DN125" s="144">
        <f t="shared" ca="1" si="380"/>
        <v>0</v>
      </c>
      <c r="DO125" s="148">
        <f>Control!$C$97</f>
        <v>4</v>
      </c>
      <c r="DP125" s="145" t="e">
        <f t="shared" ca="1" si="381"/>
        <v>#N/A</v>
      </c>
      <c r="DQ125" s="145" t="e">
        <f ca="1">IF(AND($CP125&gt;=0,$CP125&lt;=90),Control!$C$111,Control!$C$111)</f>
        <v>#N/A</v>
      </c>
      <c r="DR125" s="145" t="e">
        <f t="shared" ca="1" si="258"/>
        <v>#N/A</v>
      </c>
      <c r="DS125" s="143" t="e">
        <f ca="1">Control!$B$22/$DR125</f>
        <v>#N/A</v>
      </c>
      <c r="DT125" s="149" t="e">
        <f ca="1">IF(AND(Control!$C$114=1,$KH125&lt;1),$IM125*$DF125, 0)</f>
        <v>#N/A</v>
      </c>
      <c r="DU125" s="144" t="e">
        <f t="shared" ca="1" si="382"/>
        <v>#N/A</v>
      </c>
      <c r="DV125" s="144">
        <f ca="1">IF($G125-Control!$C$107&lt;=0, 0, 0.83*LN(MAX($G125, 3))-0.8924)</f>
        <v>0</v>
      </c>
      <c r="DW125" s="144" t="e">
        <f t="shared" ca="1" si="259"/>
        <v>#N/A</v>
      </c>
      <c r="DX125" s="150" t="e">
        <f ca="1">MAX(0.01*(1+$CU125/Control!$C$102),0.05*($DK125-Control!$C$97)/Control!$C$97)</f>
        <v>#N/A</v>
      </c>
      <c r="DY125" s="151" t="e">
        <f ca="1">IF(Control!$C$114=1, $DI125*$FS125, 0)</f>
        <v>#N/A</v>
      </c>
      <c r="DZ125" s="196" t="e">
        <f t="shared" ca="1" si="383"/>
        <v>#N/A</v>
      </c>
      <c r="EA125" s="152">
        <f t="shared" ca="1" si="384"/>
        <v>121</v>
      </c>
      <c r="EB125" s="153" t="e">
        <f t="shared" ca="1" si="385"/>
        <v>#N/A</v>
      </c>
      <c r="EC125" s="153" t="e">
        <f t="shared" ca="1" si="386"/>
        <v>#N/A</v>
      </c>
      <c r="ED125" s="154" t="e">
        <f ca="1">IF(Control!$C$114=1, $HM125*$FY125-$FD125, 0)</f>
        <v>#DIV/0!</v>
      </c>
      <c r="EE125" s="155" t="e">
        <f ca="1">IF(Control!$C$114=1, $HM125*$FZ125-$FF125, 0)</f>
        <v>#DIV/0!</v>
      </c>
      <c r="EF125" s="153" t="e">
        <f t="shared" ca="1" si="440"/>
        <v>#N/A</v>
      </c>
      <c r="EG125" s="155" t="e">
        <f ca="1">IF(Control!$C$114=1, $GX125*$FW125-$FI125, 0)</f>
        <v>#DIV/0!</v>
      </c>
      <c r="EH125" s="153" t="e">
        <f t="shared" ca="1" si="387"/>
        <v>#N/A</v>
      </c>
      <c r="EI125" s="156" t="e">
        <f t="shared" ca="1" si="388"/>
        <v>#N/A</v>
      </c>
      <c r="EJ125" s="155" t="e">
        <f ca="1">IF(Control!$C$114=1, $HM125*$GB125, 0)</f>
        <v>#DIV/0!</v>
      </c>
      <c r="EK125" s="153" t="e">
        <f t="shared" ca="1" si="441"/>
        <v>#N/A</v>
      </c>
      <c r="EL125" s="153" t="e">
        <f t="shared" ca="1" si="260"/>
        <v>#N/A</v>
      </c>
      <c r="EM125" s="153" t="e">
        <f t="shared" ca="1" si="261"/>
        <v>#N/A</v>
      </c>
      <c r="EN125" s="153" t="e">
        <f ca="1">IF(Control!$C$108=1,IF(AND(Control!$B$18=1,$EB125&gt;=Control!$B$19),$EB125-$DS125,IF(AND(Control!$B$18=2,$AW125=1,$EB125&gt;$DS125),$EB125-$DS125,0)))</f>
        <v>#N/A</v>
      </c>
      <c r="EO125" s="153" t="e">
        <f ca="1">IF(Control!$C$108=1,IF(AND(Control!$B$18=1,$EB125&gt;=Control!$B$19),$EF125,IF(AND(Control!$B$18=2,$AW125=1),$EF125,0)))</f>
        <v>#N/A</v>
      </c>
      <c r="EP125" s="153" t="e">
        <f ca="1">IF(Control!$C$108=1,IF(AND(Control!$B$18=1,$EB125&gt;=Control!$B$19),$EK125,IF(AND(Control!$B$18=2,$AW125=1),$EK125,0)))</f>
        <v>#N/A</v>
      </c>
      <c r="EQ125" s="153" t="e">
        <f t="shared" ca="1" si="389"/>
        <v>#N/A</v>
      </c>
      <c r="ER125" s="153" t="e">
        <f t="shared" ca="1" si="390"/>
        <v>#N/A</v>
      </c>
      <c r="ES125" s="153" t="e">
        <f t="shared" ca="1" si="442"/>
        <v>#N/A</v>
      </c>
      <c r="ET125" s="153" t="e">
        <f t="shared" ca="1" si="443"/>
        <v>#N/A</v>
      </c>
      <c r="EU125" s="153" t="e">
        <f t="shared" ca="1" si="391"/>
        <v>#N/A</v>
      </c>
      <c r="EV125" s="153" t="e">
        <f t="shared" ca="1" si="262"/>
        <v>#N/A</v>
      </c>
      <c r="EW125" s="153" t="e">
        <f t="shared" ca="1" si="263"/>
        <v>#N/A</v>
      </c>
      <c r="EX125" s="153" t="e">
        <f t="shared" ca="1" si="264"/>
        <v>#N/A</v>
      </c>
      <c r="EY125" s="157" t="e">
        <f t="shared" ca="1" si="265"/>
        <v>#DIV/0!</v>
      </c>
      <c r="EZ125" s="154" t="e">
        <f t="shared" ca="1" si="266"/>
        <v>#DIV/0!</v>
      </c>
      <c r="FA125" s="153" t="e">
        <f t="shared" ca="1" si="392"/>
        <v>#N/A</v>
      </c>
      <c r="FB125" s="153" t="e">
        <f t="shared" ca="1" si="267"/>
        <v>#N/A</v>
      </c>
      <c r="FC125" s="193" t="e">
        <f t="shared" ca="1" si="268"/>
        <v>#N/A</v>
      </c>
      <c r="FD125" s="158" t="e">
        <f t="shared" ca="1" si="393"/>
        <v>#N/A</v>
      </c>
      <c r="FE125" s="158" t="e">
        <f t="shared" ca="1" si="394"/>
        <v>#N/A</v>
      </c>
      <c r="FF125" s="159" t="e">
        <f t="shared" ca="1" si="269"/>
        <v>#N/A</v>
      </c>
      <c r="FG125" s="160" t="e">
        <f t="shared" ca="1" si="395"/>
        <v>#N/A</v>
      </c>
      <c r="FH125" s="158" t="e">
        <f t="shared" ca="1" si="396"/>
        <v>#N/A</v>
      </c>
      <c r="FI125" s="159" t="e">
        <f t="shared" ca="1" si="270"/>
        <v>#N/A</v>
      </c>
      <c r="FJ125" s="160" t="e">
        <f t="shared" ca="1" si="397"/>
        <v>#N/A</v>
      </c>
      <c r="FK125" s="160" t="e">
        <f t="shared" ca="1" si="271"/>
        <v>#N/A</v>
      </c>
      <c r="FL125" s="160" t="e">
        <f t="shared" ca="1" si="444"/>
        <v>#N/A</v>
      </c>
      <c r="FM125" s="160" t="e">
        <f t="shared" ca="1" si="272"/>
        <v>#N/A</v>
      </c>
      <c r="FN125" s="158">
        <f t="shared" ca="1" si="398"/>
        <v>0.01</v>
      </c>
      <c r="FO125" s="160">
        <f>Control!$C$101</f>
        <v>50</v>
      </c>
      <c r="FP125" s="150" t="e">
        <f t="shared" ca="1" si="273"/>
        <v>#N/A</v>
      </c>
      <c r="FQ125" s="150" t="e">
        <f ca="1">MAX(0,(Control!$C$112*(($DK125-Control!$C$97)/Control!$C$97)))</f>
        <v>#N/A</v>
      </c>
      <c r="FR125" s="150" t="e">
        <f ca="1">(1-$NT125)*Control!$C$113</f>
        <v>#DIV/0!</v>
      </c>
      <c r="FS125" s="198" t="e">
        <f t="shared" ca="1" si="274"/>
        <v>#N/A</v>
      </c>
      <c r="FT125" s="161">
        <f t="shared" ca="1" si="399"/>
        <v>121</v>
      </c>
      <c r="FU125" s="162" t="e">
        <f ca="1">IF(Control!$B$34=1,VLOOKUP($CP125,Control!$B$86:$G$91,6),Control!$B$35)</f>
        <v>#N/A</v>
      </c>
      <c r="FV125" s="162" t="e">
        <f t="shared" ca="1" si="275"/>
        <v>#DIV/0!</v>
      </c>
      <c r="FW125" s="162" t="e">
        <f ca="1">IF(Control!$B$31=1,$FU125*$FV125,  $FU125)</f>
        <v>#N/A</v>
      </c>
      <c r="FX125" s="162" t="e">
        <f ca="1">IF(Control!$B$34=1,VLOOKUP($CP125,Control!$B$86:$G$91,3),Control!$B$36)</f>
        <v>#N/A</v>
      </c>
      <c r="FY125" s="162" t="e">
        <f t="shared" ca="1" si="276"/>
        <v>#N/A</v>
      </c>
      <c r="FZ125" s="162" t="e">
        <f ca="1">IF(Control!$B$34=1,VLOOKUP($CP125,Control!$B$86:$G$91,4),Control!$B$37)</f>
        <v>#N/A</v>
      </c>
      <c r="GA125" s="162" t="e">
        <f t="shared" ca="1" si="277"/>
        <v>#N/A</v>
      </c>
      <c r="GB125" s="162" t="e">
        <f ca="1">IF(Control!$B$34=1,VLOOKUP($CP125,Control!$B$86:$G$91,5),Control!$B$38)</f>
        <v>#N/A</v>
      </c>
      <c r="GC125" s="162" t="e">
        <f t="shared" ca="1" si="400"/>
        <v>#N/A</v>
      </c>
      <c r="GD125" s="162">
        <f t="shared" ca="1" si="278"/>
        <v>1</v>
      </c>
      <c r="GE125" s="162">
        <f t="shared" ca="1" si="279"/>
        <v>1</v>
      </c>
      <c r="GF125" s="162">
        <f ca="1">IF(AND(Control!$C$104=1, Control!$C$62="F"),$GE125,1)</f>
        <v>1</v>
      </c>
      <c r="GG125" s="162" t="e">
        <f ca="1">IF(Control!$B$16=40,0,IF(AND(Control!$B$16&gt;40,Control!$B$16&lt;=360),(Control!$B$16-40)*((1-0)/(360-40)),IF(AND(Control!$B$16&gt;360,Control!$B$16&lt;=720),(1+(Control!$B$16-360)*((1.25-1)/(720-360))),IF(AND(Control!$B$16&gt;720,Control!$B$16&lt;=1000),(1.25+(Control!$B$16-720)*((1.35-1.25)/(1000-720))),IF(AND(Control!$B$16&gt;1000,Control!$B$16&lt;=2000),(1.35+(Control!$B$16-1000)*0))))))</f>
        <v>#N/A</v>
      </c>
      <c r="GH125" s="162" t="e">
        <f t="shared" ca="1" si="280"/>
        <v>#N/A</v>
      </c>
      <c r="GI125" s="162">
        <f t="shared" ca="1" si="401"/>
        <v>0</v>
      </c>
      <c r="GJ125" s="162">
        <f t="shared" ca="1" si="281"/>
        <v>0</v>
      </c>
      <c r="GK125" s="162">
        <f t="shared" ca="1" si="402"/>
        <v>1</v>
      </c>
      <c r="GL125" s="162">
        <f t="shared" ca="1" si="282"/>
        <v>1</v>
      </c>
      <c r="GM125" s="162" t="e">
        <f ca="1">MAX(0,MIN(1,1-Control!$C$156*(1.0001-$KH125)^2))</f>
        <v>#N/A</v>
      </c>
      <c r="GN125" s="162" t="e">
        <f ca="1">IF(Control!$B$26=1,$KU125,$KX125)</f>
        <v>#N/A</v>
      </c>
      <c r="GO125" s="162" t="e">
        <f ca="1">IF($CP125&lt;=60,Control!$C$105,IF($CP125&gt;=90,Control!$C$106,Control!$C$105+($CP125-60)*((Control!$C$106-Control!$C$105)/(90-60))))</f>
        <v>#N/A</v>
      </c>
      <c r="GP125" s="162" t="e">
        <f t="shared" ca="1" si="283"/>
        <v>#N/A</v>
      </c>
      <c r="GQ125" s="162" t="e">
        <f t="shared" ca="1" si="403"/>
        <v>#N/A</v>
      </c>
      <c r="GR125" s="163" t="e">
        <f t="shared" ca="1" si="284"/>
        <v>#DIV/0!</v>
      </c>
      <c r="GS125" s="162" t="e">
        <f t="shared" ca="1" si="285"/>
        <v>#DIV/0!</v>
      </c>
      <c r="GT125" s="164" t="e">
        <f t="shared" ca="1" si="404"/>
        <v>#N/A</v>
      </c>
      <c r="GU125" s="162" t="e">
        <f t="shared" ca="1" si="405"/>
        <v>#N/A</v>
      </c>
      <c r="GV125" s="162" t="e">
        <f t="shared" ca="1" si="286"/>
        <v>#N/A</v>
      </c>
      <c r="GW125" s="162" t="e">
        <f t="shared" ca="1" si="287"/>
        <v>#DIV/0!</v>
      </c>
      <c r="GX125" s="162" t="e">
        <f t="shared" ca="1" si="406"/>
        <v>#DIV/0!</v>
      </c>
      <c r="GY125" s="162" t="e">
        <f t="shared" ca="1" si="407"/>
        <v>#DIV/0!</v>
      </c>
      <c r="GZ125" s="165" t="e">
        <f t="shared" ca="1" si="288"/>
        <v>#N/A</v>
      </c>
      <c r="HA125" s="162" t="e">
        <f ca="1">IF(Control!$C$114=1, $DI125*$FS125, 0)</f>
        <v>#N/A</v>
      </c>
      <c r="HB125" s="162" t="e">
        <f ca="1">$FA125/Control!$C$64</f>
        <v>#N/A</v>
      </c>
      <c r="HC125" s="162" t="e">
        <f t="shared" ca="1" si="289"/>
        <v>#DIV/0!</v>
      </c>
      <c r="HD125" s="162">
        <f ca="1">-ASIN(SIN(23.45*Control!$C$139)*COS(2*Control!$C$138*($AH125+10)/365))</f>
        <v>0.25427818430760096</v>
      </c>
      <c r="HE125" s="165">
        <f t="shared" ca="1" si="408"/>
        <v>0</v>
      </c>
      <c r="HF125" s="166">
        <f ca="1">IF(AND(Control!$C$61="T",$HE125&gt;=Control!$C$103,Control!$C$114=0),$AH125,Control!$C$59)</f>
        <v>1</v>
      </c>
      <c r="HG125" s="166">
        <f ca="1">IF(AND(Control!$C$61="T",$HE125&gt;=Control!$C$103,Control!$C$114=0),$HF125,Control!$C$59)</f>
        <v>1</v>
      </c>
      <c r="HH125" s="165">
        <f ca="1">IF(AND(OR(Control!$C$60&lt;=0, $AH125= Control!$C$59, Control!$C$60 &gt;0, $AH125 = Control!$C$60)), Control!$C$59, IF(Control!$C$60&gt;0, 0))</f>
        <v>1</v>
      </c>
      <c r="HI125" s="165">
        <f ca="1">IF(AND(OR(Control!$C$60&lt;=0, $AH125= Control!$C$59, Control!$C$60 &gt;0, $AH125 = Control!$C$60)), Control!$C$60, IF(Control!$C$60&lt;=0, 0))</f>
        <v>0</v>
      </c>
      <c r="HJ125" s="166">
        <f ca="1">IF(AND(Control!$C$62="F",$CV125&gt;=Control!$C$102),$AH125,0)</f>
        <v>0</v>
      </c>
      <c r="HK125" s="165" t="e">
        <f t="shared" ca="1" si="445"/>
        <v>#N/A</v>
      </c>
      <c r="HL125" s="166">
        <f ca="1">IF(AND(Control!$C$61="T",$HE125&gt;=Control!$C$103,Control!$C$114=0),$HF125,0)</f>
        <v>0</v>
      </c>
      <c r="HM125" s="201" t="e">
        <f t="shared" ca="1" si="290"/>
        <v>#DIV/0!</v>
      </c>
      <c r="HN125" s="215">
        <f t="shared" ca="1" si="409"/>
        <v>121</v>
      </c>
      <c r="HO125" s="216" t="e">
        <f ca="1">IF(AND($CP125&gt;=0, $CP125&lt;=90), Control!$C$152, Control!$C$152)</f>
        <v>#N/A</v>
      </c>
      <c r="HP125" s="216" t="e">
        <f t="shared" ca="1" si="291"/>
        <v>#N/A</v>
      </c>
      <c r="HQ125" s="217" t="e">
        <f ca="1">IF(OR(Control!$B$26=1,Control!$B$26=2),$KV125,$KS125)</f>
        <v>#DIV/0!</v>
      </c>
      <c r="HR125" s="218" t="e">
        <f t="shared" ca="1" si="446"/>
        <v>#DIV/0!</v>
      </c>
      <c r="HS125" s="216" t="e">
        <f ca="1">Control!$C$154*$HP125</f>
        <v>#N/A</v>
      </c>
      <c r="HT125" s="216" t="e">
        <f ca="1">Control!$C$155*$HP125</f>
        <v>#N/A</v>
      </c>
      <c r="HU125" s="217" t="e">
        <f ca="1">Control!$C$161*$FI125</f>
        <v>#N/A</v>
      </c>
      <c r="HV125" s="218" t="e">
        <f t="shared" ca="1" si="410"/>
        <v>#N/A</v>
      </c>
      <c r="HW125" s="218" t="e">
        <f ca="1">Control!$C$160*$FF125+$IP125*$EO125</f>
        <v>#N/A</v>
      </c>
      <c r="HX125" s="218" t="e">
        <f t="shared" ca="1" si="447"/>
        <v>#N/A</v>
      </c>
      <c r="HY125" s="219" t="e">
        <f ca="1">IF(Control!$C$114=1, $EB125*$FS125, 0)</f>
        <v>#N/A</v>
      </c>
      <c r="HZ125" s="91" t="e">
        <f t="shared" ca="1" si="292"/>
        <v>#N/A</v>
      </c>
      <c r="IA125" s="220" t="e">
        <f ca="1">Control!$C$153*$HO125</f>
        <v>#N/A</v>
      </c>
      <c r="IB125" s="218" t="e">
        <f t="shared" ca="1" si="293"/>
        <v>#N/A</v>
      </c>
      <c r="IC125" s="220" t="e">
        <f ca="1">Control!$C$153*$HT125</f>
        <v>#N/A</v>
      </c>
      <c r="ID125" s="218" t="e">
        <f t="shared" ca="1" si="294"/>
        <v>#N/A</v>
      </c>
      <c r="IE125" s="221" t="e">
        <f ca="1">($EB125*Control!$C$159+$EF125*Control!$C$160)/(IF($GZ125&lt;&gt;0,$GZ125,1))</f>
        <v>#N/A</v>
      </c>
      <c r="IF125" s="216" t="e">
        <f t="shared" ca="1" si="295"/>
        <v>#N/A</v>
      </c>
      <c r="IG125" s="91">
        <f ca="1">IF(OR(Control!$B$198=$AH125,Control!$B$199=$AH125, Control!$B$200=$AH125, Control!$B$201=$AH125, Control!$B$202=$AH125, Control!$B$203=$AH125, Control!$B$204=$AH125, Control!$B$205=$AH125, Control!$B$206=$AH125, Control!$B$207=$AH125), 1, 0)</f>
        <v>0</v>
      </c>
      <c r="IH125" s="91">
        <f ca="1">IF($IG125=0,0, VLOOKUP($AH125,Control!$B$198:$C$207,2))</f>
        <v>0</v>
      </c>
      <c r="II125" s="222">
        <f t="shared" ca="1" si="411"/>
        <v>0</v>
      </c>
      <c r="IJ125" s="91">
        <f>Control!$C$121</f>
        <v>0.7</v>
      </c>
      <c r="IK125" s="218">
        <f t="shared" ca="1" si="296"/>
        <v>0</v>
      </c>
      <c r="IL125" s="217" t="e">
        <f t="shared" ca="1" si="448"/>
        <v>#N/A</v>
      </c>
      <c r="IM125" s="223" t="e">
        <f ca="1">IF(AND(Control!$C$114=1,$KH125&lt;1),$EB125*Control!$C$148*(1-$KH125), 0)</f>
        <v>#N/A</v>
      </c>
      <c r="IN125" s="217" t="e">
        <f t="shared" ca="1" si="297"/>
        <v>#DIV/0!</v>
      </c>
      <c r="IO125" s="91" t="e">
        <f ca="1">MAX(0,$IL125-$EF125*Control!$C$160)</f>
        <v>#N/A</v>
      </c>
      <c r="IP125" s="220" t="e">
        <f t="shared" ca="1" si="298"/>
        <v>#N/A</v>
      </c>
      <c r="IQ125" s="217" t="e">
        <f t="shared" ca="1" si="412"/>
        <v>#N/A</v>
      </c>
      <c r="IR125" s="218" t="e">
        <f t="shared" ca="1" si="299"/>
        <v>#N/A</v>
      </c>
      <c r="IS125" s="217" t="e">
        <f ca="1">Control!$C$159*MAX(0,$FD125-$EN125)</f>
        <v>#N/A</v>
      </c>
      <c r="IT125" s="217" t="e">
        <f t="shared" ca="1" si="449"/>
        <v>#N/A</v>
      </c>
      <c r="IU125" s="217" t="e">
        <f t="shared" ca="1" si="413"/>
        <v>#N/A</v>
      </c>
      <c r="IV125" s="217" t="e">
        <f t="shared" ca="1" si="450"/>
        <v>#N/A</v>
      </c>
      <c r="IW125" s="217" t="e">
        <f ca="1">IF(OR($AW125=1,AND($AW125=0, Control!$B$18=1,$EN125&lt;&gt;0)), $IQ125-$IU125, $IQ125)</f>
        <v>#N/A</v>
      </c>
      <c r="IX125" s="218" t="e">
        <f t="shared" ca="1" si="300"/>
        <v>#N/A</v>
      </c>
      <c r="IY125" s="218" t="e">
        <f ca="1">MAX(0,$IQ125-$EB125*Control!$C$159)</f>
        <v>#N/A</v>
      </c>
      <c r="IZ125" s="218" t="e">
        <f t="shared" ca="1" si="301"/>
        <v>#N/A</v>
      </c>
      <c r="JA125" s="216" t="e">
        <f t="shared" ca="1" si="302"/>
        <v>#N/A</v>
      </c>
      <c r="JB125" s="217" t="e">
        <f t="shared" ca="1" si="303"/>
        <v>#N/A</v>
      </c>
      <c r="JC125" s="222" t="e">
        <f ca="1">MAX(Control!$C$157*$EK125-$JT125, 0)/Control!$C$162</f>
        <v>#N/A</v>
      </c>
      <c r="JD125" s="218" t="e">
        <f t="shared" ca="1" si="304"/>
        <v>#N/A</v>
      </c>
      <c r="JE125" s="218" t="e">
        <f t="shared" ca="1" si="305"/>
        <v>#N/A</v>
      </c>
      <c r="JF125" s="218" t="e">
        <f t="shared" ca="1" si="414"/>
        <v>#N/A</v>
      </c>
      <c r="JG125" s="218" t="e">
        <f t="shared" ca="1" si="306"/>
        <v>#N/A</v>
      </c>
      <c r="JH125" s="217" t="e">
        <f t="shared" ca="1" si="415"/>
        <v>#N/A</v>
      </c>
      <c r="JI125" s="217" t="e">
        <f t="shared" ca="1" si="416"/>
        <v>#N/A</v>
      </c>
      <c r="JJ125" s="217" t="e">
        <f t="shared" ca="1" si="451"/>
        <v>#N/A</v>
      </c>
      <c r="JK125" s="217" t="e">
        <f ca="1">IF(Control!$C$114=1,IF(Control!$B$24=0,MAX(0,$JI125)*$GN125/Control!$C$64,(MAX(0,MIN($JI125,$JJ125*$GN125/Control!$C$64),0))))</f>
        <v>#N/A</v>
      </c>
      <c r="JL125" s="217" t="e">
        <f ca="1">$IK125/Control!$C$64-$JK125+$HQ125</f>
        <v>#N/A</v>
      </c>
      <c r="JM125" s="217" t="e">
        <f ca="1">IF(Control!$C$114=1,($JB125/(IF($JI125&lt;&gt;0,$JI125,1)))*$JK125,0)</f>
        <v>#N/A</v>
      </c>
      <c r="JN125" s="217" t="e">
        <f ca="1">IF(Control!$C$114=1,($JG125/(IF($JI125&lt;&gt;0,$JI125,1)))*$JK125, 0)</f>
        <v>#N/A</v>
      </c>
      <c r="JO125" s="218" t="e">
        <f t="shared" ca="1" si="307"/>
        <v>#N/A</v>
      </c>
      <c r="JP125" s="218" t="e">
        <f ca="1">MIN(($IY125+$IO125)*Control!$C$151, $JF125-$EH125*Control!$C$161)</f>
        <v>#N/A</v>
      </c>
      <c r="JQ125" s="218" t="e">
        <f t="shared" ca="1" si="308"/>
        <v>#N/A</v>
      </c>
      <c r="JR125" s="217" t="e">
        <f ca="1">IF($CP125-Control!$C$150&lt;0, 0, $JQ125/Control!$C$162)</f>
        <v>#N/A</v>
      </c>
      <c r="JS125" s="218" t="e">
        <f t="shared" ca="1" si="309"/>
        <v>#N/A</v>
      </c>
      <c r="JT125" s="218" t="e">
        <f t="shared" ca="1" si="417"/>
        <v>#N/A</v>
      </c>
      <c r="JU125" s="218" t="e">
        <f t="shared" ca="1" si="310"/>
        <v>#N/A</v>
      </c>
      <c r="JV125" s="218" t="e">
        <f t="shared" ca="1" si="311"/>
        <v>#N/A</v>
      </c>
      <c r="JW125" s="216" t="e">
        <f t="shared" ca="1" si="312"/>
        <v>#N/A</v>
      </c>
      <c r="JX125" s="91" t="e">
        <f t="shared" ca="1" si="313"/>
        <v>#N/A</v>
      </c>
      <c r="JY125" s="218" t="e">
        <f t="shared" ca="1" si="314"/>
        <v>#N/A</v>
      </c>
      <c r="JZ125" s="217" t="e">
        <f ca="1">IF(Control!$C$114=1,($IZ125/(IF($JI125&lt;&gt;0,$JI125,1)))*$JK125, 0)</f>
        <v>#N/A</v>
      </c>
      <c r="KA125" s="218" t="e">
        <f t="shared" ca="1" si="452"/>
        <v>#N/A</v>
      </c>
      <c r="KB125" s="218" t="e">
        <f t="shared" ca="1" si="418"/>
        <v>#N/A</v>
      </c>
      <c r="KC125" s="218" t="e">
        <f t="shared" ca="1" si="315"/>
        <v>#N/A</v>
      </c>
      <c r="KD125" s="218" t="e">
        <f t="shared" ca="1" si="316"/>
        <v>#N/A</v>
      </c>
      <c r="KE125" s="218" t="e">
        <f t="shared" ca="1" si="317"/>
        <v>#N/A</v>
      </c>
      <c r="KF125" s="218" t="e">
        <f t="shared" ca="1" si="318"/>
        <v>#N/A</v>
      </c>
      <c r="KG125" s="216" t="e">
        <f t="shared" ca="1" si="319"/>
        <v>#N/A</v>
      </c>
      <c r="KH125" s="221" t="e">
        <f ca="1">IF(Control!$B$24=0,1,MAX(0.001,MIN(1,IF(($IF125-$IE125)&lt;&gt;0,($KG125-$IE125)/($IF125-$IE125),1))))</f>
        <v>#N/A</v>
      </c>
      <c r="KI125" s="222" t="e">
        <f ca="1">IF(Control!$C$114=1, $KI124+ $KH124, 0)</f>
        <v>#N/A</v>
      </c>
      <c r="KJ125" s="217" t="e">
        <f t="shared" ca="1" si="320"/>
        <v>#N/A</v>
      </c>
      <c r="KK125" s="218" t="e">
        <f t="shared" ca="1" si="321"/>
        <v>#N/A</v>
      </c>
      <c r="KL125" s="274" t="e">
        <f ca="1">IF(Control!$B$26=3,4000000000*EXP(-8400/($G125+273)),IF(Control!$B$26=4,4000000000*EXP(-8400/($G125+273))*($KT125),0))</f>
        <v>#DIV/0!</v>
      </c>
      <c r="KM125" s="274" t="e">
        <f ca="1">IF(Control!$B$26=3,5600000000000*EXP(-9800/($G125+273)),IF(Control!$B$26=4,5600000000000*EXP(-9800/($G125+273))*$KT125,0))</f>
        <v>#DIV/0!</v>
      </c>
      <c r="KN125" s="454" t="e">
        <f t="shared" ca="1" si="419"/>
        <v>#DIV/0!</v>
      </c>
      <c r="KO125" s="274" t="e">
        <f t="shared" ca="1" si="420"/>
        <v>#DIV/0!</v>
      </c>
      <c r="KP125" s="454" t="e">
        <f t="shared" ca="1" si="322"/>
        <v>#DIV/0!</v>
      </c>
      <c r="KQ125" s="454" t="e">
        <f t="shared" ca="1" si="323"/>
        <v>#DIV/0!</v>
      </c>
      <c r="KR125" s="454" t="e">
        <f t="shared" ca="1" si="324"/>
        <v>#DIV/0!</v>
      </c>
      <c r="KS125" s="454" t="e">
        <f t="shared" ca="1" si="325"/>
        <v>#DIV/0!</v>
      </c>
      <c r="KT125" s="455" t="e">
        <f t="shared" ca="1" si="326"/>
        <v>#DIV/0!</v>
      </c>
      <c r="KU125" s="456" t="e">
        <f ca="1">IF($CP125-Control!$C$149&lt;0, IF($NT125-0.01&lt;0,0,1),0)</f>
        <v>#N/A</v>
      </c>
      <c r="KV125" s="456" t="e">
        <f ca="1">IF(Control!$C$114=1,MAX(0,MIN(Control!$C$125*$KW125*$GN125,$KW125)))</f>
        <v>#DIV/0!</v>
      </c>
      <c r="KW125" s="456" t="e">
        <f t="shared" ca="1" si="453"/>
        <v>#DIV/0!</v>
      </c>
      <c r="KX125" s="457" t="e">
        <f ca="1">IF($CP125-Control!$C$149&lt;0, IF($MR125-$OM125&lt;0,0,1),0)</f>
        <v>#N/A</v>
      </c>
      <c r="KY125" s="167">
        <f t="shared" ca="1" si="421"/>
        <v>121</v>
      </c>
      <c r="KZ125" s="168">
        <f ca="1">1370*(1+0.033*COS(2*Control!$C$138*$AH125/365))</f>
        <v>1347.8456120347018</v>
      </c>
      <c r="LA125" s="169">
        <f t="shared" ca="1" si="422"/>
        <v>0.98382905400784104</v>
      </c>
      <c r="LB125" s="169">
        <f t="shared" ca="1" si="423"/>
        <v>0.26126335427369202</v>
      </c>
      <c r="LC125" s="169">
        <f ca="1">ACOS(-TAN((2*Control!$B$8/360))*TAN(Calculations!$LB125))</f>
        <v>1.650344811580309</v>
      </c>
      <c r="LD125" s="169">
        <f ca="1">((24*60)/PI())*0.082*$LA125*(($LC125*SIN(Control!$B$8*2*PI()/360))*SIN($LB125)+COS(Control!$B$8*2*PI()/360)*COS($LB125)*SIN($LC125))</f>
        <v>34.345595771516329</v>
      </c>
      <c r="LE125" s="170">
        <f t="shared" ca="1" si="327"/>
        <v>34.820446749883843</v>
      </c>
      <c r="LF125" s="170">
        <f ca="1">SIN(Control!$C$139*Control!$B$8)*SIN($HD125)</f>
        <v>0.19822196603450346</v>
      </c>
      <c r="LG125" s="170">
        <f ca="1">COS(Control!$C$139*Control!$B$8)*COS($HD125)</f>
        <v>0.59586333479024667</v>
      </c>
      <c r="LH125" s="170">
        <f ca="1">12*(1+2*ASIN(MAX(-1,MIN(1,$LF125/$LG125))/Control!$C$138))</f>
        <v>14.546129134733143</v>
      </c>
      <c r="LI125" s="170">
        <f ca="1">12*(1+2*ASIN(MAX(-1,MIN(1,(-SIN(-4*Control!$C$139)+$LF125)/$LG125))/Control!$C$138))</f>
        <v>15.447532855114257</v>
      </c>
      <c r="LJ125" s="168">
        <f ca="1">3600*($LH125*$LF125+24*$LG125*SQRT(1-$LK125*$LK125)/Control!$C$138)</f>
        <v>25834.150765471612</v>
      </c>
      <c r="LK125" s="170">
        <f t="shared" ca="1" si="328"/>
        <v>0.33266347241231203</v>
      </c>
      <c r="LL125" s="170">
        <f t="shared" ca="1" si="329"/>
        <v>0</v>
      </c>
      <c r="LM125" s="171">
        <f ca="1">Control!$C$145*$AB125</f>
        <v>6.6660906138995932E-2</v>
      </c>
      <c r="LN125" s="170">
        <f t="shared" ca="1" si="424"/>
        <v>0.54</v>
      </c>
      <c r="LO125" s="170">
        <f t="shared" ca="1" si="330"/>
        <v>0</v>
      </c>
      <c r="LP125" s="170">
        <f ca="1">Control!$C$140*((($D125+273.16)^4+($E125+273.16)^4)/2)*(0.34-0.14*SQRT($Y125))*(1.35*$AQ125/(0.75*$LD125)-0.35)</f>
        <v>-3.2464704755046001</v>
      </c>
      <c r="LQ125" s="170">
        <f ca="1">Control!$C$140*($G125+273)^4*(0.56-0.079*SQRT($Y125*10))*(0.1+0.9*$LO125)</f>
        <v>1.5241745131704001</v>
      </c>
      <c r="LR125" s="170">
        <f ca="1">$AQ125*(1-Control!$C$142)-$LQ125</f>
        <v>-1.5241745131704001</v>
      </c>
      <c r="LS125" s="170">
        <f ca="1">$AQ125*(1-Control!$C$143)-$LQ125</f>
        <v>-1.5241745131704001</v>
      </c>
      <c r="LT125" s="170">
        <f ca="1">$AQ125*(1-Control!$C$144)-$LQ125</f>
        <v>-1.5241745131704001</v>
      </c>
      <c r="LU125" s="169">
        <f ca="1">(1-Control!$C$144)*AQ125-LP125</f>
        <v>3.2464704755046001</v>
      </c>
      <c r="LV125" s="172">
        <f t="shared" ca="1" si="331"/>
        <v>0.79430000000000012</v>
      </c>
      <c r="LW125" s="170">
        <f t="shared" ca="1" si="332"/>
        <v>1.5886000000000002</v>
      </c>
      <c r="LX125" s="170">
        <f ca="1">($AC125*($LR125/Control!$C$141)+$LM125*$LV125)/($AC125+$LM125)</f>
        <v>0.23530094218323697</v>
      </c>
      <c r="LY125" s="170">
        <f ca="1">($AC125*($LS125/Control!$C$141)+$LM125*$LV125)/($AC125+$LM125)</f>
        <v>0.23530094218323697</v>
      </c>
      <c r="LZ125" s="170">
        <f t="shared" ca="1" si="333"/>
        <v>0.23530094218323697</v>
      </c>
      <c r="MA125" s="170">
        <f t="shared" ca="1" si="334"/>
        <v>0.23530094218323697</v>
      </c>
      <c r="MB125" s="170" t="e">
        <f t="shared" ca="1" si="335"/>
        <v>#N/A</v>
      </c>
      <c r="MC125" s="170">
        <f t="shared" ca="1" si="425"/>
        <v>0.6018</v>
      </c>
      <c r="MD125" s="170">
        <f t="shared" ca="1" si="336"/>
        <v>0.52989392535414004</v>
      </c>
      <c r="ME125" s="170">
        <f ca="1">($AC125*($LT125/Control!$C$141)+$LM125*$LW125)/($AC125+$LM125)</f>
        <v>0.71612369323045078</v>
      </c>
      <c r="MF125" s="170" t="e">
        <f ca="1">IF(Control!$B$16&gt;=1000,0.92,IF(AND(720&lt;=Control!$B$16,1000&gt;Control!$B$16),(0.95+(Control!$B$16-720)*((0.92-0.95)/(1000-720))),IF(AND(360&lt;=Control!$B$16,720&gt;Control!$B$16),(1+(Control!$B$16-360)*((0.95-1)/(720-360))),IF(AND(40&lt;=Control!$B$16,360&gt;Control!$B$16),(1.05+(Control!$B$16-40)*((1.05-1)/(360-40)))))))</f>
        <v>#N/A</v>
      </c>
      <c r="MG125" s="170">
        <f t="shared" ca="1" si="337"/>
        <v>0.71612369323045078</v>
      </c>
      <c r="MH125" s="170" t="e">
        <f t="shared" ca="1" si="463"/>
        <v>#N/A</v>
      </c>
      <c r="MI125" s="170" t="e">
        <f t="shared" ca="1" si="463"/>
        <v>#N/A</v>
      </c>
      <c r="MJ125" s="170" t="e">
        <f ca="1">MAX(0.0001, Control!$C$132*$MI125*$DL125)</f>
        <v>#N/A</v>
      </c>
      <c r="MK125" s="170">
        <f ca="1">1/(0.76+1.5*($MG125/10))-(5-Control!$C$110)*0.1</f>
        <v>1.002845988140797</v>
      </c>
      <c r="ML125" s="173">
        <f ca="1">IF(Control!$C$110&lt;3,$MK125+($MG125-0.6)/(Control!$C$110*(Control!$C$110+3)), MAX(0.1, MIN(0.95,$MK125)))</f>
        <v>0.95</v>
      </c>
      <c r="MM125" s="173">
        <f ca="1">IF(Control!$C$110&lt;3,$MK125+(($MI125/10)-0.6)/(Control!$C$110*(Control!$C$110+3)), MAX(0.1, MIN(0.95,$MK125)))</f>
        <v>0.95</v>
      </c>
      <c r="MN125" s="173">
        <f ca="1">(1-$MM125)*(Control!$C$128-Control!$C$127)+Control!$C$127</f>
        <v>0.16</v>
      </c>
      <c r="MO125" s="170" t="e">
        <f ca="1">MAX(0,MIN(1,($MS125-Control!$C$127)/($MN125-Control!$C$127)))</f>
        <v>#DIV/0!</v>
      </c>
      <c r="MP125" s="173" t="e">
        <f ca="1">1/(0.76+1.5*$MI125)-(5-Control!$C$110)*0.1</f>
        <v>#N/A</v>
      </c>
      <c r="MQ125" s="172" t="e">
        <f t="shared" ca="1" si="454"/>
        <v>#DIV/0!</v>
      </c>
      <c r="MR125" s="168" t="e">
        <f t="shared" ca="1" si="426"/>
        <v>#DIV/0!</v>
      </c>
      <c r="MS125" s="173" t="e">
        <f ca="1">MAX(Control!$C$127, MIN(Control!$C$135, $MR125/MAX(0.0001,$CY125)))</f>
        <v>#DIV/0!</v>
      </c>
      <c r="MT125" s="168" t="e">
        <f ca="1">(Control!$C$128-$MS125)*Control!$C$74</f>
        <v>#DIV/0!</v>
      </c>
      <c r="MU125" s="168" t="e">
        <f ca="1">(Control!$C$135-$MS125)*Control!$C$74</f>
        <v>#DIV/0!</v>
      </c>
      <c r="MV125" s="168" t="e">
        <f t="shared" ca="1" si="427"/>
        <v>#DIV/0!</v>
      </c>
      <c r="MW125" s="168" t="e">
        <f t="shared" ca="1" si="428"/>
        <v>#DIV/0!</v>
      </c>
      <c r="MX125" s="171" t="e">
        <f ca="1">MAX(Control!$C$127, MIN(Control!$C$135, $MW125/MAX(0.0001,Control!$C$119-$CY125)))</f>
        <v>#DIV/0!</v>
      </c>
      <c r="MY125" s="54" t="e">
        <f ca="1">IF(Control!$C$114=1, $CX125*$MX125, 0)</f>
        <v>#DIV/0!</v>
      </c>
      <c r="MZ125" s="54" t="e">
        <f t="shared" ca="1" si="429"/>
        <v>#N/A</v>
      </c>
      <c r="NA125" s="168" t="e">
        <f ca="1">(Control!$C$128-$MX125)*(Control!$C$119-Control!$C$74)</f>
        <v>#DIV/0!</v>
      </c>
      <c r="NB125" s="168" t="e">
        <f ca="1">(Control!$C$135-$MX125)*(Control!$C$119-Control!$C$74)</f>
        <v>#DIV/0!</v>
      </c>
      <c r="NC125" s="174" t="e">
        <f t="shared" ca="1" si="430"/>
        <v>#DIV/0!</v>
      </c>
      <c r="ND125" s="54">
        <f ca="1">IF(Control!$C$58=2, IF(OR(Control!$B$218=$AH125,Control!$B$219=$AH125, Control!$B$220=$AH125, Control!$B$221=$AH125, Control!$B$222=$AH125, Control!$B$223=$AH125, Control!$B$224=$AH125, Control!$B$225=$AH125, Control!$B$226=$AH125, Control!$B$227=$AH125, Control!$B$228=$AH125), 1, 0), 0)</f>
        <v>0</v>
      </c>
      <c r="NE125" s="54">
        <f ca="1">IF($ND125=0,0, VLOOKUP($AH125,Control!$B$218:$C$228,2))</f>
        <v>0</v>
      </c>
      <c r="NF125" s="168" t="e">
        <f ca="1">$CY125*(Control!$C$128-Control!$C$127)</f>
        <v>#N/A</v>
      </c>
      <c r="NG125" s="54" t="e">
        <f ca="1">IF(Control!$C$58=2, $NI124-$NJ124, 0)</f>
        <v>#DIV/0!</v>
      </c>
      <c r="NH125" s="54" t="e">
        <f ca="1">IF(AND(Control!$C$58=1, $MS124&lt;= ($MN124+0.02), $I124&lt;10), 0, IF(Control!$C$58=2, $NG124, 0))</f>
        <v>#DIV/0!</v>
      </c>
      <c r="NI125" s="54" t="e">
        <f ca="1">IF(Control!$C$58=2, $NE125+$NH125,0)</f>
        <v>#DIV/0!</v>
      </c>
      <c r="NJ125" s="54" t="e">
        <f ca="1">IF(AND(Control!$C$58=1, $MS125&lt;= ($MN125+0.02), $I125&lt;10), MAX(0, MIN(10, 0.7*($NF125-$MV125))), IF(Control!$C$58=2, MIN(10,$NI125),0))</f>
        <v>#DIV/0!</v>
      </c>
      <c r="NK125" s="54" t="e">
        <f t="shared" ca="1" si="338"/>
        <v>#DIV/0!</v>
      </c>
      <c r="NL125" s="173" t="e">
        <f ca="1">(1-Control!$C$73)*$I125+$NJ125</f>
        <v>#DIV/0!</v>
      </c>
      <c r="NM125" s="172" t="e">
        <f ca="1">IF($NL125&lt;0.5, $MB125* MAX(0, MIN(1, (SQRT($NC125)-SQRT($NC125-1))*Control!$C$71)),0)</f>
        <v>#DIV/0!</v>
      </c>
      <c r="NN125" s="170" t="e">
        <f ca="1">IF($NL125&gt;=5, $MB125, MAX(0,MIN($MB125, $NM125+$NL125,($MS125-Control!$C$129))))</f>
        <v>#DIV/0!</v>
      </c>
      <c r="NO125" s="54">
        <f>IF(Control!$C$133&lt;&gt;1, Control!$C$135-Control!$C$131, 0)</f>
        <v>0.38</v>
      </c>
      <c r="NP125" s="54" t="e">
        <f t="shared" ca="1" si="339"/>
        <v>#DIV/0!</v>
      </c>
      <c r="NQ125" s="173" t="e">
        <f ca="1">MAX(0,MIN(1,(Control!$C$135-$MS125)/(Control!$C$135-$NO125)))</f>
        <v>#DIV/0!</v>
      </c>
      <c r="NR125" s="170" t="e">
        <f ca="1">IF(Control!$C$133&lt;&gt;1, $NQ125+((1-$NP125/4)*(1-$NQ125)),1)</f>
        <v>#DIV/0!</v>
      </c>
      <c r="NS125" s="170" t="e">
        <f ca="1">IF(Control!$B$31=0,$MJ125,MAX(0,MIN($MV125,$MO125*$NR125*$MJ125)))</f>
        <v>#DIV/0!</v>
      </c>
      <c r="NT125" s="170" t="e">
        <f t="shared" ca="1" si="455"/>
        <v>#DIV/0!</v>
      </c>
      <c r="NU125" s="170" t="e">
        <f t="shared" ca="1" si="431"/>
        <v>#N/A</v>
      </c>
      <c r="NV125" s="170" t="e">
        <f t="shared" ca="1" si="340"/>
        <v>#N/A</v>
      </c>
      <c r="NW125" s="175" t="e">
        <f t="shared" ca="1" si="341"/>
        <v>#DIV/0!</v>
      </c>
      <c r="NX125" s="170" t="e">
        <f ca="1">MIN(Control!$C$72+$MU125, $NW125)</f>
        <v>#DIV/0!</v>
      </c>
      <c r="NY125" s="170" t="e">
        <f ca="1">IF($MT125&lt;=$NX125,MIN(Control!$C$72+$NB125,$NX125-$MT125),0)</f>
        <v>#DIV/0!</v>
      </c>
      <c r="NZ125" s="54" t="e">
        <f ca="1">IF(Control!$C$114=1,  $CX125*($MX125-Control!$C$127), 0)</f>
        <v>#DIV/0!</v>
      </c>
      <c r="OA125" s="170" t="e">
        <f t="shared" ca="1" si="342"/>
        <v>#DIV/0!</v>
      </c>
      <c r="OB125" s="170" t="e">
        <f ca="1">IF($NA125 &lt;=$NY125, MIN(Control!$C$72, $NY125-$NA125), 0)</f>
        <v>#DIV/0!</v>
      </c>
      <c r="OC125" s="168" t="e">
        <f t="shared" ca="1" si="343"/>
        <v>#DIV/0!</v>
      </c>
      <c r="OD125" s="168" t="e">
        <f t="shared" ca="1" si="432"/>
        <v>#DIV/0!</v>
      </c>
      <c r="OE125" s="170">
        <f ca="1">Control!$C$73*$I125</f>
        <v>0</v>
      </c>
      <c r="OF125" s="176" t="e">
        <f t="shared" ca="1" si="344"/>
        <v>#DIV/0!</v>
      </c>
      <c r="OG125" s="168" t="e">
        <f t="shared" ca="1" si="345"/>
        <v>#DIV/0!</v>
      </c>
      <c r="OH125" s="168" t="e">
        <f t="shared" ca="1" si="346"/>
        <v>#DIV/0!</v>
      </c>
      <c r="OI125" s="168" t="e">
        <f t="shared" ca="1" si="347"/>
        <v>#DIV/0!</v>
      </c>
      <c r="OJ125" s="168" t="e">
        <f t="shared" ca="1" si="348"/>
        <v>#DIV/0!</v>
      </c>
      <c r="OK125" s="204" t="e">
        <f t="shared" ca="1" si="349"/>
        <v>#DIV/0!</v>
      </c>
      <c r="OL125" s="177">
        <f>Control!$C$127</f>
        <v>0.15</v>
      </c>
      <c r="OM125" s="182" t="e">
        <f t="shared" ca="1" si="350"/>
        <v>#N/A</v>
      </c>
      <c r="ON125" s="177">
        <f>Control!$C$128</f>
        <v>0.35</v>
      </c>
      <c r="OO125" s="182" t="e">
        <f t="shared" ca="1" si="351"/>
        <v>#N/A</v>
      </c>
      <c r="OP125" s="138">
        <f t="shared" ca="1" si="433"/>
        <v>0</v>
      </c>
      <c r="OQ125" s="138" t="e">
        <f t="shared" ca="1" si="456"/>
        <v>#DIV/0!</v>
      </c>
      <c r="OR125" s="138" t="e">
        <f t="shared" ca="1" si="434"/>
        <v>#DIV/0!</v>
      </c>
      <c r="OS125" s="137" t="e">
        <f t="shared" ca="1" si="457"/>
        <v>#DIV/0!</v>
      </c>
      <c r="OT125" s="139" t="e">
        <f t="shared" ca="1" si="458"/>
        <v>#DIV/0!</v>
      </c>
      <c r="OU125" s="138" t="e">
        <f t="shared" ca="1" si="459"/>
        <v>#N/A</v>
      </c>
      <c r="OV125" s="138" t="e">
        <f t="shared" ca="1" si="460"/>
        <v>#DIV/0!</v>
      </c>
      <c r="OW125" s="138" t="e">
        <f t="shared" ca="1" si="435"/>
        <v>#DIV/0!</v>
      </c>
      <c r="OX125" s="138" t="e">
        <f t="shared" ca="1" si="436"/>
        <v>#DIV/0!</v>
      </c>
      <c r="OY125" s="138" t="e">
        <f t="shared" ca="1" si="437"/>
        <v>#DIV/0!</v>
      </c>
      <c r="OZ125" s="138" t="e">
        <f t="shared" ca="1" si="352"/>
        <v>#DIV/0!</v>
      </c>
      <c r="PA125" s="138" t="e">
        <f t="shared" ca="1" si="353"/>
        <v>#DIV/0!</v>
      </c>
      <c r="PB125" s="55">
        <f>IF(Control!$C$61="T", IF(Control!$C$65="F", IF($AH$6-Control!$C$60&lt;0,0,1), IF(365+$AH$6-Control!$C$60&lt;0,0,1)),0)</f>
        <v>0</v>
      </c>
      <c r="PC125" s="55">
        <f ca="1">IF(Control!$C$65="F", IF($AH$6-$HF125&lt;0,0,1), IF(365+$AH$6-$HF125&lt;0,0,1))</f>
        <v>1</v>
      </c>
      <c r="PD125" s="444">
        <f>Control!$C$118</f>
        <v>1500</v>
      </c>
      <c r="PE125" s="180" t="e">
        <f t="shared" ca="1" si="354"/>
        <v>#N/A</v>
      </c>
      <c r="PF125" s="445">
        <f t="shared" ca="1" si="438"/>
        <v>0.71612369323045078</v>
      </c>
      <c r="PT125" s="186"/>
      <c r="PU125" s="186"/>
      <c r="PV125" s="94"/>
      <c r="PW125" s="94"/>
      <c r="PX125" s="94"/>
      <c r="PY125" s="94"/>
      <c r="PZ125" s="94"/>
      <c r="QA125" s="94"/>
      <c r="QB125" s="94"/>
      <c r="QC125" s="94"/>
      <c r="QD125" s="94"/>
      <c r="QE125" s="94"/>
      <c r="QF125" s="94"/>
      <c r="QG125" s="94"/>
      <c r="QH125" s="94"/>
      <c r="QI125" s="94"/>
      <c r="QJ125" s="94"/>
      <c r="QK125" s="94"/>
      <c r="QL125" s="94"/>
      <c r="QM125" s="94"/>
      <c r="QN125" s="94"/>
      <c r="QO125" s="94"/>
      <c r="QP125" s="94"/>
    </row>
    <row r="126" spans="1:458" s="2" customFormat="1" x14ac:dyDescent="0.2">
      <c r="A126" s="395">
        <v>1</v>
      </c>
      <c r="B126" s="396">
        <v>5</v>
      </c>
      <c r="C126" s="387">
        <f ca="1">Weather_data!$B125</f>
        <v>0</v>
      </c>
      <c r="D126" s="388">
        <f ca="1">Weather_data!$F125</f>
        <v>0</v>
      </c>
      <c r="E126" s="388">
        <f ca="1">Weather_data!$E125</f>
        <v>0</v>
      </c>
      <c r="F126" s="388">
        <f t="shared" ca="1" si="355"/>
        <v>0</v>
      </c>
      <c r="G126" s="388">
        <f ca="1">AVERAGE($D126:$E126)+Control!$B$9</f>
        <v>0</v>
      </c>
      <c r="H126" s="388">
        <f ca="1">Weather_data!$G125</f>
        <v>0</v>
      </c>
      <c r="I126" s="388">
        <f ca="1">Weather_data!$I125</f>
        <v>0</v>
      </c>
      <c r="J126" s="388">
        <f ca="1">Weather_data!$H125</f>
        <v>0</v>
      </c>
      <c r="K126" s="389">
        <f ca="1">Weather_data!$D125</f>
        <v>0</v>
      </c>
      <c r="L126" s="388" t="e">
        <f t="shared" ca="1" si="356"/>
        <v>#N/A</v>
      </c>
      <c r="M126" s="388" t="e">
        <f t="shared" ca="1" si="234"/>
        <v>#N/A</v>
      </c>
      <c r="N126" s="388">
        <f t="shared" ca="1" si="235"/>
        <v>-1.6146230089992765E-6</v>
      </c>
      <c r="O126" s="388">
        <f t="shared" ca="1" si="357"/>
        <v>1.6146230089992765E-5</v>
      </c>
      <c r="P126" s="390">
        <v>3</v>
      </c>
      <c r="Q126" s="388">
        <f ca="1">MAX($G126-Control!$C$107,0)</f>
        <v>0</v>
      </c>
      <c r="R126" s="388">
        <f t="shared" ca="1" si="358"/>
        <v>0</v>
      </c>
      <c r="S126" s="388">
        <f t="shared" ca="1" si="236"/>
        <v>0</v>
      </c>
      <c r="T126" s="388">
        <f t="shared" ca="1" si="237"/>
        <v>0</v>
      </c>
      <c r="U126" s="59">
        <f t="shared" ca="1" si="238"/>
        <v>0</v>
      </c>
      <c r="V126" s="391">
        <f ca="1">MAX(0,MIN(Control!$C$100-Control!$C$99,$G126-Control!$C$99)*Control!$C$63)</f>
        <v>0</v>
      </c>
      <c r="W126" s="388">
        <f t="shared" ca="1" si="359"/>
        <v>0</v>
      </c>
      <c r="X126" s="388">
        <f t="shared" ca="1" si="360"/>
        <v>0.6110000000000001</v>
      </c>
      <c r="Y126" s="388">
        <f t="shared" ca="1" si="239"/>
        <v>0</v>
      </c>
      <c r="Z126" s="388">
        <f t="shared" ca="1" si="361"/>
        <v>0.61058800000000002</v>
      </c>
      <c r="AA126" s="388">
        <f t="shared" ca="1" si="240"/>
        <v>0.6018</v>
      </c>
      <c r="AB126" s="388">
        <f ca="1">101.3*EXP(-0.034*Control!$C$66/($G126+273))</f>
        <v>100.69623283836242</v>
      </c>
      <c r="AC126" s="392">
        <f t="shared" ca="1" si="241"/>
        <v>4.3460251046025113E-2</v>
      </c>
      <c r="AD126" s="392">
        <f t="shared" ca="1" si="242"/>
        <v>4.4450382862832649E-2</v>
      </c>
      <c r="AE126" s="388">
        <f t="shared" ca="1" si="243"/>
        <v>0</v>
      </c>
      <c r="AF126" s="388">
        <f ca="1">MAX(0,$G126-Control!$C$92)</f>
        <v>0</v>
      </c>
      <c r="AG126" s="393">
        <f t="shared" ca="1" si="244"/>
        <v>122</v>
      </c>
      <c r="AH126" s="389">
        <f t="shared" ca="1" si="245"/>
        <v>122</v>
      </c>
      <c r="AI126" s="388">
        <f t="shared" ca="1" si="362"/>
        <v>0.25972789235074434</v>
      </c>
      <c r="AJ126" s="388">
        <f ca="1">IF(Control!$C$60&lt;=0,$HH126,$HI126)</f>
        <v>1</v>
      </c>
      <c r="AK126" s="388">
        <f t="shared" ca="1" si="246"/>
        <v>0.72299666548367847</v>
      </c>
      <c r="AL126" s="388">
        <f t="shared" ca="1" si="247"/>
        <v>3.606039078452028E-19</v>
      </c>
      <c r="AM126" s="388">
        <f t="shared" ca="1" si="248"/>
        <v>0.72299666548367847</v>
      </c>
      <c r="AN126" s="388">
        <f t="shared" ca="1" si="249"/>
        <v>0.26633584817699379</v>
      </c>
      <c r="AO126" s="388">
        <f ca="1">-0.10453/COS(Control!$B$8*PI()/180)*COS(AN126)</f>
        <v>-0.16379855024456225</v>
      </c>
      <c r="AP126" s="388">
        <f ca="1">ACOS(AO126-TAN(Control!$B$8*PI()/180)*TAN(AN126))</f>
        <v>2.1094593305638902</v>
      </c>
      <c r="AQ126" s="388">
        <f t="shared" ca="1" si="363"/>
        <v>0</v>
      </c>
      <c r="AR126" s="394">
        <f t="shared" ca="1" si="250"/>
        <v>0</v>
      </c>
      <c r="AS126" s="436">
        <f ca="1">IF(Control!$B$18=2,(IF(OR($AH126=Control!$B$175,$AH126=Control!$B$176,$AH126=Control!$B$177,$AH126=Control!$B$178,$AH126=Control!$B$179,$AH126=Control!$B$180,$AH126=Control!$B$181,$AH126=Control!$B$182,$AH126=Control!$B$183,$AH126=Control!$B$184,$AH126=Control!$B$185),1,0)),0)</f>
        <v>0</v>
      </c>
      <c r="AT126" s="436">
        <f>IF(Control!$B$20=8,IF(AND($AH126&gt;=Control!$B$172,$AH126&lt;=Control!$B$173),1,0),0)</f>
        <v>0</v>
      </c>
      <c r="AU126" s="436">
        <f>IF(Control!$B$20=8,IF($AV125=1,1*$AT126,IF($AT126=1,$AU125+1,$AU125)),0)</f>
        <v>0</v>
      </c>
      <c r="AV126" s="436">
        <f>IF(Control!$B$20=8,IF($AU126&gt;=Control!$B$174,1,0),0)</f>
        <v>0</v>
      </c>
      <c r="AW126" s="436">
        <f ca="1">IF(AND(Control!$B$18=2,Control!$B$171=1), $AV126, $AS126)</f>
        <v>0</v>
      </c>
      <c r="AX126" s="436" t="e">
        <f ca="1">IF(AND(Control!$B$18=1,$EU126&gt;=Control!$B$19),-$AY126,IF(AND(Control!$B$18=2,$AW126=1,$EU126&gt;$DS126),-$AY126, IF(Control!$C$108=0,0, IF(Control!$C$108&lt;&gt;0,1))))</f>
        <v>#N/A</v>
      </c>
      <c r="AY126" s="436" t="e">
        <f t="shared" ca="1" si="364"/>
        <v>#N/A</v>
      </c>
      <c r="AZ126" s="436" t="e">
        <f ca="1">IF(AND(Control!$B$18=1,$EB126&gt;Control!$B$19),$AZ125+1, IF(AND(Control!$B$18=2, $AW126=1, $EB126&gt;$DS126), $AZ125+1,$AZ125))</f>
        <v>#N/A</v>
      </c>
      <c r="BA126" s="587">
        <f>IF(Control!$C$81=0,1,IF($AH126&gt;=Control!$C$82,1,0))</f>
        <v>1</v>
      </c>
      <c r="BB126" s="140" t="e">
        <f ca="1">IF($BA126&gt;$BA125,Control!$C$83,IF($AW126&gt;0,$AW126*Control!$C$84,IF(AND(Control!$B$18=1,EN125&lt;&gt;0),Control!$C$84,0)))</f>
        <v>#N/A</v>
      </c>
      <c r="BC126" s="140" t="e">
        <f t="shared" ca="1" si="365"/>
        <v>#N/A</v>
      </c>
      <c r="BD126" s="140" t="e">
        <f ca="1">BC126*IF(OR($G126&lt;Control!$C$92,$G126&gt;Control!$C$95),0,IF(AND($G126&gt;=Control!$C$92,$G126&lt;=Control!$C$93),$G126-Control!$C$92,IF(AND($G126&gt;Control!$C$93,$G126&lt;=Control!$C$94),Control!$C$93-Control!$C$92,IF(AND($G126&gt;Control!$C$94,$G126&lt;=Control!$C$95),(Control!$C$93-Control!$C$92)*(Control!$C$94-$G126)/(Control!$C$95-Control!$C$94)))))</f>
        <v>#N/A</v>
      </c>
      <c r="BE126" s="140" t="e">
        <f t="shared" ca="1" si="366"/>
        <v>#N/A</v>
      </c>
      <c r="BF126" s="140" t="e">
        <f ca="1">IF($BE126&lt;=Control!$C$86,$BE126,Control!$C$86-$BE126)</f>
        <v>#N/A</v>
      </c>
      <c r="BG126" s="140" t="e">
        <f ca="1">IF(AND($AW126=1,Control!$C$84&lt;9),1,IF($BE126&gt;=Control!$C$86,0,$BC126))</f>
        <v>#N/A</v>
      </c>
      <c r="BH126" s="404" t="e">
        <f ca="1">IF($BG126=0,0,IF($BE126&lt;=Control!$C$86,$BC126*9*($BF126/Control!$C$86),0))</f>
        <v>#N/A</v>
      </c>
      <c r="BI126" s="140" t="e">
        <f ca="1">IF($BG126=1,0,IF($BE126&gt;=Control!$C$86,1,IF(AND($BB126&lt;21,$BB126&gt;=9),1,$BM125)))</f>
        <v>#N/A</v>
      </c>
      <c r="BJ126" s="140" t="e">
        <f ca="1">IF($BF126&lt;0,-$BF126,$BI126*IF(OR($G126&lt;Control!$C$92,$G126&gt;Control!$C$95),0,IF(AND($G126&gt;=Control!$C$92,$G126&lt;=Control!$C$93),$G126-Control!$C$92,IF(AND($G126&gt;Control!$C$93,$G126&lt;=Control!$C$94),Control!$C$93-Control!$C$92,IF(AND($G126&gt;Control!$C$94,$G126&lt;=Control!$C$95),(Control!$C$93-Control!$C$92)*(Control!$C$94-$G126)/(Control!$C$95-Control!$C$94))))))</f>
        <v>#N/A</v>
      </c>
      <c r="BK126" s="140" t="e">
        <f t="shared" ca="1" si="367"/>
        <v>#N/A</v>
      </c>
      <c r="BL126" s="140" t="e">
        <f ca="1">IF($BK126&lt;=Control!$C$87,$BK126,Control!$C$87-$BK126)</f>
        <v>#N/A</v>
      </c>
      <c r="BM126" s="140" t="e">
        <f ca="1">IF(AND($BB126&gt;=9,$BB126&lt;21),1,IF($BK126&gt;=Control!$C$87,0,$BI126))</f>
        <v>#N/A</v>
      </c>
      <c r="BN126" s="404" t="e">
        <f ca="1">IF($BM126=0,0,IF($BK126&lt;=Control!$C$87,$BI126*(9+(21-9)*($BL126/Control!$C$87)),0))</f>
        <v>#N/A</v>
      </c>
      <c r="BO126" s="140" t="e">
        <f ca="1">IF($BM126=1,0,IF($BK126&gt;=Control!$C$87,1,IF(AND($BB126&lt;30,$BB126&gt;=21),1,$BS125)))</f>
        <v>#N/A</v>
      </c>
      <c r="BP126" s="140" t="e">
        <f ca="1">IF($BL126&lt;0,-$BL126,$BO126*IF(OR($G126&lt;Control!$C$92,$G126&gt;Control!$C$95),0,IF(AND($G126&gt;=Control!$C$92,$G126&lt;=Control!$C$93),$G126-Control!$C$92,IF(AND($G126&gt;Control!$C$93,$G126&lt;=Control!$C$94),Control!$C$93-Control!$C$92,IF(AND($G126&gt;Control!$C$94,$G126&lt;=Control!$C$95),(Control!$C$93-Control!$C$92)*(Control!$C$94-$G126)/(Control!$C$95-Control!$C$94))))))</f>
        <v>#N/A</v>
      </c>
      <c r="BQ126" s="140" t="e">
        <f t="shared" ca="1" si="251"/>
        <v>#N/A</v>
      </c>
      <c r="BR126" s="140" t="e">
        <f ca="1">IF($BQ126&lt;=Control!$C$88,$BQ126,Control!$C$88-$BQ126)</f>
        <v>#N/A</v>
      </c>
      <c r="BS126" s="140" t="e">
        <f ca="1">IF(AND($BB126&gt;=21,$BB126&lt;30),1,IF($BQ126&gt;=Control!$C$88,0,$BO126))</f>
        <v>#N/A</v>
      </c>
      <c r="BT126" s="404" t="e">
        <f ca="1">IF($BS126=0,0,IF($BQ126&lt;=Control!$C$88,$BO126*(21+(30-21)*(BR126/Control!$C$88)),0))</f>
        <v>#N/A</v>
      </c>
      <c r="BU126" s="140" t="e">
        <f ca="1">IF(BG126+BM126+BS126=1,0,IF(OR(AND($BB126&lt;60,$BB126&gt;=30),$BQ126&gt;=Control!$C$88),1*$BA126,$BY125))</f>
        <v>#N/A</v>
      </c>
      <c r="BV126" s="140" t="e">
        <f ca="1">IF($BR126&lt;0,-$BR126,$BU126*IF(OR($G126&lt;Control!$C$92,$G126&gt;Control!$C$95),0,IF(AND($G126&gt;=Control!$C$92,$G126&lt;=Control!$C$93),$G126-Control!$C$92,IF(AND($G126&gt;Control!$C$93,$G126&lt;=Control!$C$94),Control!$C$93-Control!$C$92,IF(AND($G126&gt;Control!$C$94,$G126&lt;=Control!$C$95),(Control!$C$93-Control!$C$92)*(Control!$C$94-$G126)/(Control!$C$95-Control!$C$94))))))</f>
        <v>#N/A</v>
      </c>
      <c r="BW126" s="140" t="e">
        <f t="shared" ca="1" si="252"/>
        <v>#N/A</v>
      </c>
      <c r="BX126" s="140" t="e">
        <f ca="1">IF($BW126&lt;=Control!$C$89,$BW126,Control!$C$89-$BW126)</f>
        <v>#N/A</v>
      </c>
      <c r="BY126" s="140" t="e">
        <f ca="1">IF(AND($AJ126&gt;=30,$AJ126&lt;60),1,IF($BW126&gt;=Control!$C$89,0,$BU126))</f>
        <v>#N/A</v>
      </c>
      <c r="BZ126" s="404" t="e">
        <f ca="1">IF($BY126=0,0,IF($BW126&lt;=Control!$C$89,$BU126*(30+(60-30)*(BX126/Control!$C$89)),0))</f>
        <v>#N/A</v>
      </c>
      <c r="CA126" s="140" t="e">
        <f ca="1">IF($BG126+$BM126+$BS126+$BY126=1,0,IF(OR(AND($BB126&lt;65,$BB126&gt;=60),$BW126&gt;=Control!$C$89),1*$BA126,$CE125))</f>
        <v>#N/A</v>
      </c>
      <c r="CB126" s="140" t="e">
        <f ca="1">IF($BX126&lt;0,-$BX126,$CA126*IF(OR($G126&lt;Control!$C$92,$G126&gt;Control!$C$95),0,IF(AND($G126&gt;=Control!$C$92,$G126&lt;=Control!$C$93),$G126-Control!$C$92,IF(AND($G126&gt;Control!$C$93,$G126&lt;=Control!$C$94),Control!$C$93-Control!$C$92,IF(AND($G126&gt;Control!$C$94,$G126&lt;=Control!$C$95),(Control!$C$93-Control!$C$92)*(Control!$C$94-$G126)/(Control!$C$95-Control!$C$94))))))</f>
        <v>#N/A</v>
      </c>
      <c r="CC126" s="140" t="e">
        <f t="shared" ca="1" si="368"/>
        <v>#N/A</v>
      </c>
      <c r="CD126" s="140" t="e">
        <f ca="1">IF($CC126&lt;=Control!$C$90,$CC126,Control!$C$90-$CC126)</f>
        <v>#N/A</v>
      </c>
      <c r="CE126" s="140" t="e">
        <f ca="1">IF(AND($BB126&gt;=60,$BB126&lt;65),1,IF($CC126&gt;=Control!$C$90,0,$CA126))</f>
        <v>#N/A</v>
      </c>
      <c r="CF126" s="404" t="e">
        <f ca="1">IF($CE126=0,0,IF($CC126&lt;=Control!$C$90,$CA126*(60+(65-60)*(CD126/Control!$C$90)),0))</f>
        <v>#N/A</v>
      </c>
      <c r="CG126" s="140" t="e">
        <f ca="1">IF($BG126+$BM126+$BS126+$BY126+$CE126=1,0,IF(OR(AND($BB126&lt;90,$BB126&gt;=65),$CC126&gt;=Control!$C$90),$BA126,$CK125))</f>
        <v>#N/A</v>
      </c>
      <c r="CH126" s="140" t="e">
        <f ca="1">IF($CD126&lt;0,-$CD126,$CG126*IF(OR($G126&lt;Control!$C$92,$G126&gt;Control!$C$95),0,IF(AND($G126&gt;=Control!$C$92,$G126&lt;=Control!$C$93),$G126-Control!$C$92,IF(AND($G126&gt;Control!$C$93,$G126&lt;=Control!$C$94),Control!$C$93-Control!$C$92,IF(AND($G126&gt;Control!$C$94,$G126&lt;=Control!$C$95),(Control!$C$93-Control!$C$92)*(Control!$C$94-$G126)/(Control!$C$95-Control!$C$94))))))</f>
        <v>#N/A</v>
      </c>
      <c r="CI126" s="140" t="e">
        <f t="shared" ca="1" si="369"/>
        <v>#N/A</v>
      </c>
      <c r="CJ126" s="140" t="e">
        <f ca="1">IF($CI126&lt;=Control!$C$91,$CI126,Control!$C$91-$CI126)</f>
        <v>#N/A</v>
      </c>
      <c r="CK126" s="140" t="e">
        <f ca="1">IF(AND($BB126&gt;=65,$BB126&lt;90),1,IF($CI126&gt;=Control!$C$91,0,$CG126))</f>
        <v>#N/A</v>
      </c>
      <c r="CL126" s="404" t="e">
        <f ca="1">IF($CK126=0,0,IF($CI126&lt;=Control!$C$91,$CG126*(65+(90-65)*($CJ126/Control!$C$91)),0))</f>
        <v>#N/A</v>
      </c>
      <c r="CM126" s="140" t="e">
        <f ca="1">IF($BG126+$BM126+$BS126+$BY126+$CE126+$CK126=1,0,IF(OR($BB126&gt;=90,$CI126&gt;=Control!$C$91),$BA126,$CM125))</f>
        <v>#N/A</v>
      </c>
      <c r="CN126" s="140" t="e">
        <f t="shared" ca="1" si="370"/>
        <v>#N/A</v>
      </c>
      <c r="CO126" s="140" t="e">
        <f t="shared" ca="1" si="371"/>
        <v>#N/A</v>
      </c>
      <c r="CP126" s="140" t="e">
        <f t="shared" ca="1" si="372"/>
        <v>#N/A</v>
      </c>
      <c r="CQ126" s="141" t="e">
        <f ca="1">VLOOKUP($CP126,Control!$B$86:$G$91,6)</f>
        <v>#N/A</v>
      </c>
      <c r="CR126" s="141" t="e">
        <f ca="1">(1-$CQ126)*VLOOKUP($CP126,Control!$B$86:$D$91,3)</f>
        <v>#N/A</v>
      </c>
      <c r="CS126" s="141" t="e">
        <f ca="1">(1-$CQ126)*VLOOKUP($CP126,Control!$B$86:$E$91,4)</f>
        <v>#N/A</v>
      </c>
      <c r="CT126" s="141" t="e">
        <f ca="1">(1-$CQ126)*VLOOKUP($CP126,Control!$B$86:$F$91,5)</f>
        <v>#N/A</v>
      </c>
      <c r="CU126" s="141">
        <f t="shared" ca="1" si="373"/>
        <v>0</v>
      </c>
      <c r="CV126" s="583">
        <f t="shared" ca="1" si="374"/>
        <v>0</v>
      </c>
      <c r="CW126" s="142">
        <f t="shared" ca="1" si="375"/>
        <v>122</v>
      </c>
      <c r="CX126" s="612" t="e">
        <f ca="1">IF(Control!$C$114=1,(MIN(Control!$C$120*(IF($NT126-0.01&lt;0,0,1)),Control!$C$119-$CY126)))</f>
        <v>#DIV/0!</v>
      </c>
      <c r="CY126" s="143" t="e">
        <f t="shared" ca="1" si="376"/>
        <v>#N/A</v>
      </c>
      <c r="CZ126" s="144">
        <f t="shared" ca="1" si="253"/>
        <v>0</v>
      </c>
      <c r="DA126" s="144">
        <f t="shared" ca="1" si="254"/>
        <v>0</v>
      </c>
      <c r="DB126" s="144" t="e">
        <f t="shared" ca="1" si="255"/>
        <v>#N/A</v>
      </c>
      <c r="DC126" s="144" t="e">
        <f t="shared" ca="1" si="256"/>
        <v>#N/A</v>
      </c>
      <c r="DD126" s="144" t="e">
        <f t="shared" ca="1" si="461"/>
        <v>#N/A</v>
      </c>
      <c r="DE126" s="143" t="e">
        <f t="shared" ca="1" si="377"/>
        <v>#N/A</v>
      </c>
      <c r="DF126" s="145" t="e">
        <f ca="1">$DR126*EXP(-Control!$C$158*(1-$KH126))</f>
        <v>#N/A</v>
      </c>
      <c r="DG126" s="146" t="e">
        <f ca="1">IF(Control!$C$114=1, $DF126*$EY126, 0)</f>
        <v>#N/A</v>
      </c>
      <c r="DH126" s="147" t="e">
        <f t="shared" ca="1" si="378"/>
        <v>#N/A</v>
      </c>
      <c r="DI126" s="144" t="e">
        <f t="shared" ca="1" si="439"/>
        <v>#N/A</v>
      </c>
      <c r="DJ126" s="147" t="e">
        <f ca="1">$EF126*Control!$C$109</f>
        <v>#N/A</v>
      </c>
      <c r="DK126" s="144" t="e">
        <f t="shared" ca="1" si="379"/>
        <v>#N/A</v>
      </c>
      <c r="DL126" s="144" t="e">
        <f t="shared" ca="1" si="257"/>
        <v>#N/A</v>
      </c>
      <c r="DM126" s="144" t="e">
        <f ca="1">IF(Control!$C$114=1, (1-EXP(-Control!$C$96*$DK126))*$AR126, 0)</f>
        <v>#N/A</v>
      </c>
      <c r="DN126" s="144">
        <f t="shared" ca="1" si="380"/>
        <v>0</v>
      </c>
      <c r="DO126" s="148">
        <f>Control!$C$97</f>
        <v>4</v>
      </c>
      <c r="DP126" s="145" t="e">
        <f t="shared" ca="1" si="381"/>
        <v>#N/A</v>
      </c>
      <c r="DQ126" s="145" t="e">
        <f ca="1">IF(AND($CP126&gt;=0,$CP126&lt;=90),Control!$C$111,Control!$C$111)</f>
        <v>#N/A</v>
      </c>
      <c r="DR126" s="145" t="e">
        <f t="shared" ca="1" si="258"/>
        <v>#N/A</v>
      </c>
      <c r="DS126" s="143" t="e">
        <f ca="1">Control!$B$22/$DR126</f>
        <v>#N/A</v>
      </c>
      <c r="DT126" s="149" t="e">
        <f ca="1">IF(AND(Control!$C$114=1,$KH126&lt;1),$IM126*$DF126, 0)</f>
        <v>#N/A</v>
      </c>
      <c r="DU126" s="144" t="e">
        <f t="shared" ca="1" si="382"/>
        <v>#N/A</v>
      </c>
      <c r="DV126" s="144">
        <f ca="1">IF($G126-Control!$C$107&lt;=0, 0, 0.83*LN(MAX($G126, 3))-0.8924)</f>
        <v>0</v>
      </c>
      <c r="DW126" s="144" t="e">
        <f t="shared" ca="1" si="259"/>
        <v>#N/A</v>
      </c>
      <c r="DX126" s="150" t="e">
        <f ca="1">MAX(0.01*(1+$CU126/Control!$C$102),0.05*($DK126-Control!$C$97)/Control!$C$97)</f>
        <v>#N/A</v>
      </c>
      <c r="DY126" s="151" t="e">
        <f ca="1">IF(Control!$C$114=1, $DI126*$FS126, 0)</f>
        <v>#N/A</v>
      </c>
      <c r="DZ126" s="196" t="e">
        <f t="shared" ca="1" si="383"/>
        <v>#N/A</v>
      </c>
      <c r="EA126" s="152">
        <f t="shared" ca="1" si="384"/>
        <v>122</v>
      </c>
      <c r="EB126" s="153" t="e">
        <f t="shared" ca="1" si="385"/>
        <v>#N/A</v>
      </c>
      <c r="EC126" s="153" t="e">
        <f t="shared" ca="1" si="386"/>
        <v>#N/A</v>
      </c>
      <c r="ED126" s="154" t="e">
        <f ca="1">IF(Control!$C$114=1, $HM126*$FY126-$FD126, 0)</f>
        <v>#DIV/0!</v>
      </c>
      <c r="EE126" s="155" t="e">
        <f ca="1">IF(Control!$C$114=1, $HM126*$FZ126-$FF126, 0)</f>
        <v>#DIV/0!</v>
      </c>
      <c r="EF126" s="153" t="e">
        <f t="shared" ca="1" si="440"/>
        <v>#N/A</v>
      </c>
      <c r="EG126" s="155" t="e">
        <f ca="1">IF(Control!$C$114=1, $GX126*$FW126-$FI126, 0)</f>
        <v>#DIV/0!</v>
      </c>
      <c r="EH126" s="153" t="e">
        <f t="shared" ca="1" si="387"/>
        <v>#N/A</v>
      </c>
      <c r="EI126" s="156" t="e">
        <f t="shared" ca="1" si="388"/>
        <v>#N/A</v>
      </c>
      <c r="EJ126" s="155" t="e">
        <f ca="1">IF(Control!$C$114=1, $HM126*$GB126, 0)</f>
        <v>#DIV/0!</v>
      </c>
      <c r="EK126" s="153" t="e">
        <f t="shared" ca="1" si="441"/>
        <v>#N/A</v>
      </c>
      <c r="EL126" s="153" t="e">
        <f t="shared" ca="1" si="260"/>
        <v>#N/A</v>
      </c>
      <c r="EM126" s="153" t="e">
        <f t="shared" ca="1" si="261"/>
        <v>#N/A</v>
      </c>
      <c r="EN126" s="153" t="e">
        <f ca="1">IF(Control!$C$108=1,IF(AND(Control!$B$18=1,$EB126&gt;=Control!$B$19),$EB126-$DS126,IF(AND(Control!$B$18=2,$AW126=1,$EB126&gt;$DS126),$EB126-$DS126,0)))</f>
        <v>#N/A</v>
      </c>
      <c r="EO126" s="153" t="e">
        <f ca="1">IF(Control!$C$108=1,IF(AND(Control!$B$18=1,$EB126&gt;=Control!$B$19),$EF126,IF(AND(Control!$B$18=2,$AW126=1),$EF126,0)))</f>
        <v>#N/A</v>
      </c>
      <c r="EP126" s="153" t="e">
        <f ca="1">IF(Control!$C$108=1,IF(AND(Control!$B$18=1,$EB126&gt;=Control!$B$19),$EK126,IF(AND(Control!$B$18=2,$AW126=1),$EK126,0)))</f>
        <v>#N/A</v>
      </c>
      <c r="EQ126" s="153" t="e">
        <f t="shared" ca="1" si="389"/>
        <v>#N/A</v>
      </c>
      <c r="ER126" s="153" t="e">
        <f t="shared" ca="1" si="390"/>
        <v>#N/A</v>
      </c>
      <c r="ES126" s="153" t="e">
        <f t="shared" ca="1" si="442"/>
        <v>#N/A</v>
      </c>
      <c r="ET126" s="153" t="e">
        <f t="shared" ca="1" si="443"/>
        <v>#N/A</v>
      </c>
      <c r="EU126" s="153" t="e">
        <f t="shared" ca="1" si="391"/>
        <v>#N/A</v>
      </c>
      <c r="EV126" s="153" t="e">
        <f t="shared" ca="1" si="262"/>
        <v>#N/A</v>
      </c>
      <c r="EW126" s="153" t="e">
        <f t="shared" ca="1" si="263"/>
        <v>#N/A</v>
      </c>
      <c r="EX126" s="153" t="e">
        <f t="shared" ca="1" si="264"/>
        <v>#N/A</v>
      </c>
      <c r="EY126" s="157" t="e">
        <f t="shared" ca="1" si="265"/>
        <v>#DIV/0!</v>
      </c>
      <c r="EZ126" s="154" t="e">
        <f t="shared" ca="1" si="266"/>
        <v>#DIV/0!</v>
      </c>
      <c r="FA126" s="153" t="e">
        <f t="shared" ca="1" si="392"/>
        <v>#N/A</v>
      </c>
      <c r="FB126" s="153" t="e">
        <f t="shared" ca="1" si="267"/>
        <v>#N/A</v>
      </c>
      <c r="FC126" s="193" t="e">
        <f t="shared" ca="1" si="268"/>
        <v>#N/A</v>
      </c>
      <c r="FD126" s="158" t="e">
        <f t="shared" ca="1" si="393"/>
        <v>#N/A</v>
      </c>
      <c r="FE126" s="158" t="e">
        <f t="shared" ca="1" si="394"/>
        <v>#N/A</v>
      </c>
      <c r="FF126" s="159" t="e">
        <f t="shared" ca="1" si="269"/>
        <v>#N/A</v>
      </c>
      <c r="FG126" s="160" t="e">
        <f t="shared" ca="1" si="395"/>
        <v>#N/A</v>
      </c>
      <c r="FH126" s="158" t="e">
        <f t="shared" ca="1" si="396"/>
        <v>#N/A</v>
      </c>
      <c r="FI126" s="159" t="e">
        <f t="shared" ca="1" si="270"/>
        <v>#N/A</v>
      </c>
      <c r="FJ126" s="160" t="e">
        <f t="shared" ca="1" si="397"/>
        <v>#N/A</v>
      </c>
      <c r="FK126" s="160" t="e">
        <f t="shared" ca="1" si="271"/>
        <v>#N/A</v>
      </c>
      <c r="FL126" s="160" t="e">
        <f t="shared" ca="1" si="444"/>
        <v>#N/A</v>
      </c>
      <c r="FM126" s="160" t="e">
        <f t="shared" ca="1" si="272"/>
        <v>#N/A</v>
      </c>
      <c r="FN126" s="158">
        <f t="shared" ca="1" si="398"/>
        <v>0.01</v>
      </c>
      <c r="FO126" s="160">
        <f>Control!$C$101</f>
        <v>50</v>
      </c>
      <c r="FP126" s="150" t="e">
        <f t="shared" ca="1" si="273"/>
        <v>#N/A</v>
      </c>
      <c r="FQ126" s="150" t="e">
        <f ca="1">MAX(0,(Control!$C$112*(($DK126-Control!$C$97)/Control!$C$97)))</f>
        <v>#N/A</v>
      </c>
      <c r="FR126" s="150" t="e">
        <f ca="1">(1-$NT126)*Control!$C$113</f>
        <v>#DIV/0!</v>
      </c>
      <c r="FS126" s="198" t="e">
        <f t="shared" ca="1" si="274"/>
        <v>#N/A</v>
      </c>
      <c r="FT126" s="161">
        <f t="shared" ca="1" si="399"/>
        <v>122</v>
      </c>
      <c r="FU126" s="162" t="e">
        <f ca="1">IF(Control!$B$34=1,VLOOKUP($CP126,Control!$B$86:$G$91,6),Control!$B$35)</f>
        <v>#N/A</v>
      </c>
      <c r="FV126" s="162" t="e">
        <f t="shared" ca="1" si="275"/>
        <v>#DIV/0!</v>
      </c>
      <c r="FW126" s="162" t="e">
        <f ca="1">IF(Control!$B$31=1,$FU126*$FV126,  $FU126)</f>
        <v>#N/A</v>
      </c>
      <c r="FX126" s="162" t="e">
        <f ca="1">IF(Control!$B$34=1,VLOOKUP($CP126,Control!$B$86:$G$91,3),Control!$B$36)</f>
        <v>#N/A</v>
      </c>
      <c r="FY126" s="162" t="e">
        <f t="shared" ca="1" si="276"/>
        <v>#N/A</v>
      </c>
      <c r="FZ126" s="162" t="e">
        <f ca="1">IF(Control!$B$34=1,VLOOKUP($CP126,Control!$B$86:$G$91,4),Control!$B$37)</f>
        <v>#N/A</v>
      </c>
      <c r="GA126" s="162" t="e">
        <f t="shared" ca="1" si="277"/>
        <v>#N/A</v>
      </c>
      <c r="GB126" s="162" t="e">
        <f ca="1">IF(Control!$B$34=1,VLOOKUP($CP126,Control!$B$86:$G$91,5),Control!$B$38)</f>
        <v>#N/A</v>
      </c>
      <c r="GC126" s="162" t="e">
        <f t="shared" ca="1" si="400"/>
        <v>#N/A</v>
      </c>
      <c r="GD126" s="162">
        <f t="shared" ca="1" si="278"/>
        <v>1</v>
      </c>
      <c r="GE126" s="162">
        <f t="shared" ca="1" si="279"/>
        <v>1</v>
      </c>
      <c r="GF126" s="162">
        <f ca="1">IF(AND(Control!$C$104=1, Control!$C$62="F"),$GE126,1)</f>
        <v>1</v>
      </c>
      <c r="GG126" s="162" t="e">
        <f ca="1">IF(Control!$B$16=40,0,IF(AND(Control!$B$16&gt;40,Control!$B$16&lt;=360),(Control!$B$16-40)*((1-0)/(360-40)),IF(AND(Control!$B$16&gt;360,Control!$B$16&lt;=720),(1+(Control!$B$16-360)*((1.25-1)/(720-360))),IF(AND(Control!$B$16&gt;720,Control!$B$16&lt;=1000),(1.25+(Control!$B$16-720)*((1.35-1.25)/(1000-720))),IF(AND(Control!$B$16&gt;1000,Control!$B$16&lt;=2000),(1.35+(Control!$B$16-1000)*0))))))</f>
        <v>#N/A</v>
      </c>
      <c r="GH126" s="162" t="e">
        <f t="shared" ca="1" si="280"/>
        <v>#N/A</v>
      </c>
      <c r="GI126" s="162">
        <f t="shared" ca="1" si="401"/>
        <v>0</v>
      </c>
      <c r="GJ126" s="162">
        <f t="shared" ca="1" si="281"/>
        <v>0</v>
      </c>
      <c r="GK126" s="162">
        <f t="shared" ca="1" si="402"/>
        <v>1</v>
      </c>
      <c r="GL126" s="162">
        <f t="shared" ca="1" si="282"/>
        <v>1</v>
      </c>
      <c r="GM126" s="162" t="e">
        <f ca="1">MAX(0,MIN(1,1-Control!$C$156*(1.0001-$KH126)^2))</f>
        <v>#N/A</v>
      </c>
      <c r="GN126" s="162" t="e">
        <f ca="1">IF(Control!$B$26=1,$KU126,$KX126)</f>
        <v>#N/A</v>
      </c>
      <c r="GO126" s="162" t="e">
        <f ca="1">IF($CP126&lt;=60,Control!$C$105,IF($CP126&gt;=90,Control!$C$106,Control!$C$105+($CP126-60)*((Control!$C$106-Control!$C$105)/(90-60))))</f>
        <v>#N/A</v>
      </c>
      <c r="GP126" s="162" t="e">
        <f t="shared" ca="1" si="283"/>
        <v>#N/A</v>
      </c>
      <c r="GQ126" s="162" t="e">
        <f t="shared" ca="1" si="403"/>
        <v>#N/A</v>
      </c>
      <c r="GR126" s="163" t="e">
        <f t="shared" ca="1" si="284"/>
        <v>#DIV/0!</v>
      </c>
      <c r="GS126" s="162" t="e">
        <f t="shared" ca="1" si="285"/>
        <v>#DIV/0!</v>
      </c>
      <c r="GT126" s="164" t="e">
        <f t="shared" ca="1" si="404"/>
        <v>#N/A</v>
      </c>
      <c r="GU126" s="162" t="e">
        <f t="shared" ca="1" si="405"/>
        <v>#N/A</v>
      </c>
      <c r="GV126" s="162" t="e">
        <f t="shared" ca="1" si="286"/>
        <v>#N/A</v>
      </c>
      <c r="GW126" s="162" t="e">
        <f t="shared" ca="1" si="287"/>
        <v>#DIV/0!</v>
      </c>
      <c r="GX126" s="162" t="e">
        <f t="shared" ca="1" si="406"/>
        <v>#DIV/0!</v>
      </c>
      <c r="GY126" s="162" t="e">
        <f t="shared" ca="1" si="407"/>
        <v>#DIV/0!</v>
      </c>
      <c r="GZ126" s="165" t="e">
        <f t="shared" ca="1" si="288"/>
        <v>#N/A</v>
      </c>
      <c r="HA126" s="162" t="e">
        <f ca="1">IF(Control!$C$114=1, $DI126*$FS126, 0)</f>
        <v>#N/A</v>
      </c>
      <c r="HB126" s="162" t="e">
        <f ca="1">$FA126/Control!$C$64</f>
        <v>#N/A</v>
      </c>
      <c r="HC126" s="162" t="e">
        <f t="shared" ca="1" si="289"/>
        <v>#DIV/0!</v>
      </c>
      <c r="HD126" s="162">
        <f ca="1">-ASIN(SIN(23.45*Control!$C$139)*COS(2*Control!$C$138*($AH126+10)/365))</f>
        <v>0.25972789235074434</v>
      </c>
      <c r="HE126" s="165">
        <f t="shared" ca="1" si="408"/>
        <v>0</v>
      </c>
      <c r="HF126" s="166">
        <f ca="1">IF(AND(Control!$C$61="T",$HE126&gt;=Control!$C$103,Control!$C$114=0),$AH126,Control!$C$59)</f>
        <v>1</v>
      </c>
      <c r="HG126" s="166">
        <f ca="1">IF(AND(Control!$C$61="T",$HE126&gt;=Control!$C$103,Control!$C$114=0),$HF126,Control!$C$59)</f>
        <v>1</v>
      </c>
      <c r="HH126" s="165">
        <f ca="1">IF(AND(OR(Control!$C$60&lt;=0, $AH126= Control!$C$59, Control!$C$60 &gt;0, $AH126 = Control!$C$60)), Control!$C$59, IF(Control!$C$60&gt;0, 0))</f>
        <v>1</v>
      </c>
      <c r="HI126" s="165">
        <f ca="1">IF(AND(OR(Control!$C$60&lt;=0, $AH126= Control!$C$59, Control!$C$60 &gt;0, $AH126 = Control!$C$60)), Control!$C$60, IF(Control!$C$60&lt;=0, 0))</f>
        <v>0</v>
      </c>
      <c r="HJ126" s="166">
        <f ca="1">IF(AND(Control!$C$62="F",$CV126&gt;=Control!$C$102),$AH126,0)</f>
        <v>0</v>
      </c>
      <c r="HK126" s="165" t="e">
        <f t="shared" ca="1" si="445"/>
        <v>#N/A</v>
      </c>
      <c r="HL126" s="166">
        <f ca="1">IF(AND(Control!$C$61="T",$HE126&gt;=Control!$C$103,Control!$C$114=0),$HF126,0)</f>
        <v>0</v>
      </c>
      <c r="HM126" s="201" t="e">
        <f t="shared" ca="1" si="290"/>
        <v>#DIV/0!</v>
      </c>
      <c r="HN126" s="215">
        <f t="shared" ca="1" si="409"/>
        <v>122</v>
      </c>
      <c r="HO126" s="216" t="e">
        <f ca="1">IF(AND($CP126&gt;=0, $CP126&lt;=90), Control!$C$152, Control!$C$152)</f>
        <v>#N/A</v>
      </c>
      <c r="HP126" s="216" t="e">
        <f t="shared" ca="1" si="291"/>
        <v>#N/A</v>
      </c>
      <c r="HQ126" s="217" t="e">
        <f ca="1">IF(OR(Control!$B$26=1,Control!$B$26=2),$KV126,$KS126)</f>
        <v>#DIV/0!</v>
      </c>
      <c r="HR126" s="218" t="e">
        <f t="shared" ca="1" si="446"/>
        <v>#DIV/0!</v>
      </c>
      <c r="HS126" s="216" t="e">
        <f ca="1">Control!$C$154*$HP126</f>
        <v>#N/A</v>
      </c>
      <c r="HT126" s="216" t="e">
        <f ca="1">Control!$C$155*$HP126</f>
        <v>#N/A</v>
      </c>
      <c r="HU126" s="217" t="e">
        <f ca="1">Control!$C$161*$FI126</f>
        <v>#N/A</v>
      </c>
      <c r="HV126" s="218" t="e">
        <f t="shared" ca="1" si="410"/>
        <v>#N/A</v>
      </c>
      <c r="HW126" s="218" t="e">
        <f ca="1">Control!$C$160*$FF126+$IP126*$EO126</f>
        <v>#N/A</v>
      </c>
      <c r="HX126" s="218" t="e">
        <f t="shared" ca="1" si="447"/>
        <v>#N/A</v>
      </c>
      <c r="HY126" s="219" t="e">
        <f ca="1">IF(Control!$C$114=1, $EB126*$FS126, 0)</f>
        <v>#N/A</v>
      </c>
      <c r="HZ126" s="91" t="e">
        <f t="shared" ca="1" si="292"/>
        <v>#N/A</v>
      </c>
      <c r="IA126" s="220" t="e">
        <f ca="1">Control!$C$153*$HO126</f>
        <v>#N/A</v>
      </c>
      <c r="IB126" s="218" t="e">
        <f t="shared" ca="1" si="293"/>
        <v>#N/A</v>
      </c>
      <c r="IC126" s="220" t="e">
        <f ca="1">Control!$C$153*$HT126</f>
        <v>#N/A</v>
      </c>
      <c r="ID126" s="218" t="e">
        <f t="shared" ca="1" si="294"/>
        <v>#N/A</v>
      </c>
      <c r="IE126" s="221" t="e">
        <f ca="1">($EB126*Control!$C$159+$EF126*Control!$C$160)/(IF($GZ126&lt;&gt;0,$GZ126,1))</f>
        <v>#N/A</v>
      </c>
      <c r="IF126" s="216" t="e">
        <f t="shared" ca="1" si="295"/>
        <v>#N/A</v>
      </c>
      <c r="IG126" s="91">
        <f ca="1">IF(OR(Control!$B$198=$AH126,Control!$B$199=$AH126, Control!$B$200=$AH126, Control!$B$201=$AH126, Control!$B$202=$AH126, Control!$B$203=$AH126, Control!$B$204=$AH126, Control!$B$205=$AH126, Control!$B$206=$AH126, Control!$B$207=$AH126), 1, 0)</f>
        <v>0</v>
      </c>
      <c r="IH126" s="91">
        <f ca="1">IF($IG126=0,0, VLOOKUP($AH126,Control!$B$198:$C$207,2))</f>
        <v>0</v>
      </c>
      <c r="II126" s="222">
        <f t="shared" ca="1" si="411"/>
        <v>0</v>
      </c>
      <c r="IJ126" s="91">
        <f>Control!$C$121</f>
        <v>0.7</v>
      </c>
      <c r="IK126" s="218">
        <f t="shared" ca="1" si="296"/>
        <v>0</v>
      </c>
      <c r="IL126" s="217" t="e">
        <f t="shared" ca="1" si="448"/>
        <v>#N/A</v>
      </c>
      <c r="IM126" s="223" t="e">
        <f ca="1">IF(AND(Control!$C$114=1,$KH126&lt;1),$EB126*Control!$C$148*(1-$KH126), 0)</f>
        <v>#N/A</v>
      </c>
      <c r="IN126" s="217" t="e">
        <f t="shared" ca="1" si="297"/>
        <v>#DIV/0!</v>
      </c>
      <c r="IO126" s="91" t="e">
        <f ca="1">MAX(0,$IL126-$EF126*Control!$C$160)</f>
        <v>#N/A</v>
      </c>
      <c r="IP126" s="220" t="e">
        <f t="shared" ca="1" si="298"/>
        <v>#N/A</v>
      </c>
      <c r="IQ126" s="217" t="e">
        <f t="shared" ca="1" si="412"/>
        <v>#N/A</v>
      </c>
      <c r="IR126" s="218" t="e">
        <f t="shared" ca="1" si="299"/>
        <v>#N/A</v>
      </c>
      <c r="IS126" s="217" t="e">
        <f ca="1">Control!$C$159*MAX(0,$FD126-$EN126)</f>
        <v>#N/A</v>
      </c>
      <c r="IT126" s="217" t="e">
        <f t="shared" ca="1" si="449"/>
        <v>#N/A</v>
      </c>
      <c r="IU126" s="217" t="e">
        <f t="shared" ca="1" si="413"/>
        <v>#N/A</v>
      </c>
      <c r="IV126" s="217" t="e">
        <f t="shared" ca="1" si="450"/>
        <v>#N/A</v>
      </c>
      <c r="IW126" s="217" t="e">
        <f ca="1">IF(OR($AW126=1,AND($AW126=0, Control!$B$18=1,$EN126&lt;&gt;0)), $IQ126-$IU126, $IQ126)</f>
        <v>#N/A</v>
      </c>
      <c r="IX126" s="218" t="e">
        <f t="shared" ca="1" si="300"/>
        <v>#N/A</v>
      </c>
      <c r="IY126" s="218" t="e">
        <f ca="1">MAX(0,$IQ126-$EB126*Control!$C$159)</f>
        <v>#N/A</v>
      </c>
      <c r="IZ126" s="218" t="e">
        <f t="shared" ca="1" si="301"/>
        <v>#N/A</v>
      </c>
      <c r="JA126" s="216" t="e">
        <f t="shared" ca="1" si="302"/>
        <v>#N/A</v>
      </c>
      <c r="JB126" s="217" t="e">
        <f t="shared" ca="1" si="303"/>
        <v>#N/A</v>
      </c>
      <c r="JC126" s="222" t="e">
        <f ca="1">MAX(Control!$C$157*$EK126-$JT126, 0)/Control!$C$162</f>
        <v>#N/A</v>
      </c>
      <c r="JD126" s="218" t="e">
        <f t="shared" ca="1" si="304"/>
        <v>#N/A</v>
      </c>
      <c r="JE126" s="218" t="e">
        <f t="shared" ca="1" si="305"/>
        <v>#N/A</v>
      </c>
      <c r="JF126" s="218" t="e">
        <f t="shared" ca="1" si="414"/>
        <v>#N/A</v>
      </c>
      <c r="JG126" s="218" t="e">
        <f t="shared" ca="1" si="306"/>
        <v>#N/A</v>
      </c>
      <c r="JH126" s="217" t="e">
        <f t="shared" ca="1" si="415"/>
        <v>#N/A</v>
      </c>
      <c r="JI126" s="217" t="e">
        <f t="shared" ca="1" si="416"/>
        <v>#N/A</v>
      </c>
      <c r="JJ126" s="217" t="e">
        <f t="shared" ca="1" si="451"/>
        <v>#N/A</v>
      </c>
      <c r="JK126" s="217" t="e">
        <f ca="1">IF(Control!$C$114=1,IF(Control!$B$24=0,MAX(0,$JI126)*$GN126/Control!$C$64,(MAX(0,MIN($JI126,$JJ126*$GN126/Control!$C$64),0))))</f>
        <v>#N/A</v>
      </c>
      <c r="JL126" s="217" t="e">
        <f ca="1">$IK126/Control!$C$64-$JK126+$HQ126</f>
        <v>#N/A</v>
      </c>
      <c r="JM126" s="217" t="e">
        <f ca="1">IF(Control!$C$114=1,($JB126/(IF($JI126&lt;&gt;0,$JI126,1)))*$JK126,0)</f>
        <v>#N/A</v>
      </c>
      <c r="JN126" s="217" t="e">
        <f ca="1">IF(Control!$C$114=1,($JG126/(IF($JI126&lt;&gt;0,$JI126,1)))*$JK126, 0)</f>
        <v>#N/A</v>
      </c>
      <c r="JO126" s="218" t="e">
        <f t="shared" ca="1" si="307"/>
        <v>#N/A</v>
      </c>
      <c r="JP126" s="218" t="e">
        <f ca="1">MIN(($IY126+$IO126)*Control!$C$151, $JF126-$EH126*Control!$C$161)</f>
        <v>#N/A</v>
      </c>
      <c r="JQ126" s="218" t="e">
        <f t="shared" ca="1" si="308"/>
        <v>#N/A</v>
      </c>
      <c r="JR126" s="217" t="e">
        <f ca="1">IF($CP126-Control!$C$150&lt;0, 0, $JQ126/Control!$C$162)</f>
        <v>#N/A</v>
      </c>
      <c r="JS126" s="218" t="e">
        <f t="shared" ca="1" si="309"/>
        <v>#N/A</v>
      </c>
      <c r="JT126" s="218" t="e">
        <f t="shared" ca="1" si="417"/>
        <v>#N/A</v>
      </c>
      <c r="JU126" s="218" t="e">
        <f t="shared" ca="1" si="310"/>
        <v>#N/A</v>
      </c>
      <c r="JV126" s="218" t="e">
        <f t="shared" ca="1" si="311"/>
        <v>#N/A</v>
      </c>
      <c r="JW126" s="216" t="e">
        <f t="shared" ca="1" si="312"/>
        <v>#N/A</v>
      </c>
      <c r="JX126" s="91" t="e">
        <f t="shared" ca="1" si="313"/>
        <v>#N/A</v>
      </c>
      <c r="JY126" s="218" t="e">
        <f t="shared" ca="1" si="314"/>
        <v>#N/A</v>
      </c>
      <c r="JZ126" s="217" t="e">
        <f ca="1">IF(Control!$C$114=1,($IZ126/(IF($JI126&lt;&gt;0,$JI126,1)))*$JK126, 0)</f>
        <v>#N/A</v>
      </c>
      <c r="KA126" s="218" t="e">
        <f t="shared" ca="1" si="452"/>
        <v>#N/A</v>
      </c>
      <c r="KB126" s="218" t="e">
        <f t="shared" ca="1" si="418"/>
        <v>#N/A</v>
      </c>
      <c r="KC126" s="218" t="e">
        <f t="shared" ca="1" si="315"/>
        <v>#N/A</v>
      </c>
      <c r="KD126" s="218" t="e">
        <f t="shared" ca="1" si="316"/>
        <v>#N/A</v>
      </c>
      <c r="KE126" s="218" t="e">
        <f t="shared" ca="1" si="317"/>
        <v>#N/A</v>
      </c>
      <c r="KF126" s="218" t="e">
        <f t="shared" ca="1" si="318"/>
        <v>#N/A</v>
      </c>
      <c r="KG126" s="216" t="e">
        <f t="shared" ca="1" si="319"/>
        <v>#N/A</v>
      </c>
      <c r="KH126" s="221" t="e">
        <f ca="1">IF(Control!$B$24=0,1,MAX(0.001,MIN(1,IF(($IF126-$IE126)&lt;&gt;0,($KG126-$IE126)/($IF126-$IE126),1))))</f>
        <v>#N/A</v>
      </c>
      <c r="KI126" s="222" t="e">
        <f ca="1">IF(Control!$C$114=1, $KI125+ $KH125, 0)</f>
        <v>#N/A</v>
      </c>
      <c r="KJ126" s="217" t="e">
        <f t="shared" ca="1" si="320"/>
        <v>#N/A</v>
      </c>
      <c r="KK126" s="218" t="e">
        <f t="shared" ca="1" si="321"/>
        <v>#N/A</v>
      </c>
      <c r="KL126" s="274" t="e">
        <f ca="1">IF(Control!$B$26=3,4000000000*EXP(-8400/($G126+273)),IF(Control!$B$26=4,4000000000*EXP(-8400/($G126+273))*($KT126),0))</f>
        <v>#DIV/0!</v>
      </c>
      <c r="KM126" s="274" t="e">
        <f ca="1">IF(Control!$B$26=3,5600000000000*EXP(-9800/($G126+273)),IF(Control!$B$26=4,5600000000000*EXP(-9800/($G126+273))*$KT126,0))</f>
        <v>#DIV/0!</v>
      </c>
      <c r="KN126" s="454" t="e">
        <f t="shared" ca="1" si="419"/>
        <v>#DIV/0!</v>
      </c>
      <c r="KO126" s="274" t="e">
        <f t="shared" ca="1" si="420"/>
        <v>#DIV/0!</v>
      </c>
      <c r="KP126" s="454" t="e">
        <f t="shared" ca="1" si="322"/>
        <v>#DIV/0!</v>
      </c>
      <c r="KQ126" s="454" t="e">
        <f t="shared" ca="1" si="323"/>
        <v>#DIV/0!</v>
      </c>
      <c r="KR126" s="454" t="e">
        <f t="shared" ca="1" si="324"/>
        <v>#DIV/0!</v>
      </c>
      <c r="KS126" s="454" t="e">
        <f t="shared" ca="1" si="325"/>
        <v>#DIV/0!</v>
      </c>
      <c r="KT126" s="455" t="e">
        <f t="shared" ca="1" si="326"/>
        <v>#DIV/0!</v>
      </c>
      <c r="KU126" s="456" t="e">
        <f ca="1">IF($CP126-Control!$C$149&lt;0, IF($NT126-0.01&lt;0,0,1),0)</f>
        <v>#N/A</v>
      </c>
      <c r="KV126" s="456" t="e">
        <f ca="1">IF(Control!$C$114=1,MAX(0,MIN(Control!$C$125*$KW126*$GN126,$KW126)))</f>
        <v>#DIV/0!</v>
      </c>
      <c r="KW126" s="456" t="e">
        <f t="shared" ca="1" si="453"/>
        <v>#DIV/0!</v>
      </c>
      <c r="KX126" s="457" t="e">
        <f ca="1">IF($CP126-Control!$C$149&lt;0, IF($MR126-$OM126&lt;0,0,1),0)</f>
        <v>#N/A</v>
      </c>
      <c r="KY126" s="167">
        <f t="shared" ca="1" si="421"/>
        <v>122</v>
      </c>
      <c r="KZ126" s="168">
        <f ca="1">1370*(1+0.033*COS(2*Control!$C$138*$AH126/365))</f>
        <v>1347.1705190750818</v>
      </c>
      <c r="LA126" s="169">
        <f t="shared" ca="1" si="422"/>
        <v>0.98333628519418981</v>
      </c>
      <c r="LB126" s="169">
        <f t="shared" ca="1" si="423"/>
        <v>0.26664131568546878</v>
      </c>
      <c r="LC126" s="169">
        <f ca="1">ACOS(-TAN((2*Control!$B$8/360))*TAN(Calculations!$LB126))</f>
        <v>1.6520654656430704</v>
      </c>
      <c r="LD126" s="169">
        <f ca="1">((24*60)/PI())*0.082*$LA126*(($LC126*SIN(Control!$B$8*2*PI()/360))*SIN($LB126)+COS(Control!$B$8*2*PI()/360)*COS($LB126)*SIN($LC126))</f>
        <v>34.556280511817818</v>
      </c>
      <c r="LE126" s="170">
        <f t="shared" ca="1" si="327"/>
        <v>35.063727157520681</v>
      </c>
      <c r="LF126" s="170">
        <f ca="1">SIN(Control!$C$139*Control!$B$8)*SIN($HD126)</f>
        <v>0.20237535053169031</v>
      </c>
      <c r="LG126" s="170">
        <f ca="1">COS(Control!$C$139*Control!$B$8)*COS($HD126)</f>
        <v>0.59501050907687869</v>
      </c>
      <c r="LH126" s="170">
        <f ca="1">12*(1+2*ASIN(MAX(-1,MIN(1,$LF126/$LG126))/Control!$C$138))</f>
        <v>14.603426938580515</v>
      </c>
      <c r="LI126" s="170">
        <f ca="1">12*(1+2*ASIN(MAX(-1,MIN(1,(-SIN(-4*Control!$C$139)+$LF126)/$LG126))/Control!$C$138))</f>
        <v>15.506399764432803</v>
      </c>
      <c r="LJ126" s="168">
        <f ca="1">3600*($LH126*$LF126+24*$LG126*SQRT(1-$LK126*$LK126)/Control!$C$138)</f>
        <v>26027.682955528275</v>
      </c>
      <c r="LK126" s="170">
        <f t="shared" ca="1" si="328"/>
        <v>0.34012063223162714</v>
      </c>
      <c r="LL126" s="170">
        <f t="shared" ca="1" si="329"/>
        <v>0</v>
      </c>
      <c r="LM126" s="171">
        <f ca="1">Control!$C$145*$AB126</f>
        <v>6.6660906138995932E-2</v>
      </c>
      <c r="LN126" s="170">
        <f t="shared" ca="1" si="424"/>
        <v>0.54</v>
      </c>
      <c r="LO126" s="170">
        <f t="shared" ca="1" si="330"/>
        <v>0</v>
      </c>
      <c r="LP126" s="170">
        <f ca="1">Control!$C$140*((($D126+273.16)^4+($E126+273.16)^4)/2)*(0.34-0.14*SQRT($Y126))*(1.35*$AQ126/(0.75*$LD126)-0.35)</f>
        <v>-3.2464704755046001</v>
      </c>
      <c r="LQ126" s="170">
        <f ca="1">Control!$C$140*($G126+273)^4*(0.56-0.079*SQRT($Y126*10))*(0.1+0.9*$LO126)</f>
        <v>1.5241745131704001</v>
      </c>
      <c r="LR126" s="170">
        <f ca="1">$AQ126*(1-Control!$C$142)-$LQ126</f>
        <v>-1.5241745131704001</v>
      </c>
      <c r="LS126" s="170">
        <f ca="1">$AQ126*(1-Control!$C$143)-$LQ126</f>
        <v>-1.5241745131704001</v>
      </c>
      <c r="LT126" s="170">
        <f ca="1">$AQ126*(1-Control!$C$144)-$LQ126</f>
        <v>-1.5241745131704001</v>
      </c>
      <c r="LU126" s="169">
        <f ca="1">(1-Control!$C$144)*AQ126-LP126</f>
        <v>3.2464704755046001</v>
      </c>
      <c r="LV126" s="172">
        <f t="shared" ca="1" si="331"/>
        <v>0.79430000000000012</v>
      </c>
      <c r="LW126" s="170">
        <f t="shared" ca="1" si="332"/>
        <v>1.5886000000000002</v>
      </c>
      <c r="LX126" s="170">
        <f ca="1">($AC126*($LR126/Control!$C$141)+$LM126*$LV126)/($AC126+$LM126)</f>
        <v>0.23530094218323697</v>
      </c>
      <c r="LY126" s="170">
        <f ca="1">($AC126*($LS126/Control!$C$141)+$LM126*$LV126)/($AC126+$LM126)</f>
        <v>0.23530094218323697</v>
      </c>
      <c r="LZ126" s="170">
        <f t="shared" ca="1" si="333"/>
        <v>0.23530094218323697</v>
      </c>
      <c r="MA126" s="170">
        <f t="shared" ca="1" si="334"/>
        <v>0.23530094218323697</v>
      </c>
      <c r="MB126" s="170" t="e">
        <f t="shared" ca="1" si="335"/>
        <v>#N/A</v>
      </c>
      <c r="MC126" s="170">
        <f t="shared" ca="1" si="425"/>
        <v>0.6018</v>
      </c>
      <c r="MD126" s="170">
        <f t="shared" ca="1" si="336"/>
        <v>0.52989392535414004</v>
      </c>
      <c r="ME126" s="170">
        <f ca="1">($AC126*($LT126/Control!$C$141)+$LM126*$LW126)/($AC126+$LM126)</f>
        <v>0.71612369323045078</v>
      </c>
      <c r="MF126" s="170" t="e">
        <f ca="1">IF(Control!$B$16&gt;=1000,0.92,IF(AND(720&lt;=Control!$B$16,1000&gt;Control!$B$16),(0.95+(Control!$B$16-720)*((0.92-0.95)/(1000-720))),IF(AND(360&lt;=Control!$B$16,720&gt;Control!$B$16),(1+(Control!$B$16-360)*((0.95-1)/(720-360))),IF(AND(40&lt;=Control!$B$16,360&gt;Control!$B$16),(1.05+(Control!$B$16-40)*((1.05-1)/(360-40)))))))</f>
        <v>#N/A</v>
      </c>
      <c r="MG126" s="170">
        <f t="shared" ca="1" si="337"/>
        <v>0.71612369323045078</v>
      </c>
      <c r="MH126" s="170" t="e">
        <f t="shared" ref="MH126:MI145" ca="1" si="464">$MG126*$MF126</f>
        <v>#N/A</v>
      </c>
      <c r="MI126" s="170" t="e">
        <f t="shared" ca="1" si="464"/>
        <v>#N/A</v>
      </c>
      <c r="MJ126" s="170" t="e">
        <f ca="1">MAX(0.0001, Control!$C$132*$MI126*$DL126)</f>
        <v>#N/A</v>
      </c>
      <c r="MK126" s="170">
        <f ca="1">1/(0.76+1.5*($MG126/10))-(5-Control!$C$110)*0.1</f>
        <v>1.002845988140797</v>
      </c>
      <c r="ML126" s="173">
        <f ca="1">IF(Control!$C$110&lt;3,$MK126+($MG126-0.6)/(Control!$C$110*(Control!$C$110+3)), MAX(0.1, MIN(0.95,$MK126)))</f>
        <v>0.95</v>
      </c>
      <c r="MM126" s="173">
        <f ca="1">IF(Control!$C$110&lt;3,$MK126+(($MI126/10)-0.6)/(Control!$C$110*(Control!$C$110+3)), MAX(0.1, MIN(0.95,$MK126)))</f>
        <v>0.95</v>
      </c>
      <c r="MN126" s="173">
        <f ca="1">(1-$MM126)*(Control!$C$128-Control!$C$127)+Control!$C$127</f>
        <v>0.16</v>
      </c>
      <c r="MO126" s="170" t="e">
        <f ca="1">MAX(0,MIN(1,($MS126-Control!$C$127)/($MN126-Control!$C$127)))</f>
        <v>#DIV/0!</v>
      </c>
      <c r="MP126" s="173" t="e">
        <f ca="1">1/(0.76+1.5*$MI126)-(5-Control!$C$110)*0.1</f>
        <v>#N/A</v>
      </c>
      <c r="MQ126" s="172" t="e">
        <f t="shared" ca="1" si="454"/>
        <v>#DIV/0!</v>
      </c>
      <c r="MR126" s="168" t="e">
        <f t="shared" ca="1" si="426"/>
        <v>#DIV/0!</v>
      </c>
      <c r="MS126" s="173" t="e">
        <f ca="1">MAX(Control!$C$127, MIN(Control!$C$135, $MR126/MAX(0.0001,$CY126)))</f>
        <v>#DIV/0!</v>
      </c>
      <c r="MT126" s="168" t="e">
        <f ca="1">(Control!$C$128-$MS126)*Control!$C$74</f>
        <v>#DIV/0!</v>
      </c>
      <c r="MU126" s="168" t="e">
        <f ca="1">(Control!$C$135-$MS126)*Control!$C$74</f>
        <v>#DIV/0!</v>
      </c>
      <c r="MV126" s="168" t="e">
        <f t="shared" ca="1" si="427"/>
        <v>#DIV/0!</v>
      </c>
      <c r="MW126" s="168" t="e">
        <f t="shared" ca="1" si="428"/>
        <v>#DIV/0!</v>
      </c>
      <c r="MX126" s="171" t="e">
        <f ca="1">MAX(Control!$C$127, MIN(Control!$C$135, $MW126/MAX(0.0001,Control!$C$119-$CY126)))</f>
        <v>#DIV/0!</v>
      </c>
      <c r="MY126" s="54" t="e">
        <f ca="1">IF(Control!$C$114=1, $CX126*$MX126, 0)</f>
        <v>#DIV/0!</v>
      </c>
      <c r="MZ126" s="54" t="e">
        <f t="shared" ca="1" si="429"/>
        <v>#N/A</v>
      </c>
      <c r="NA126" s="168" t="e">
        <f ca="1">(Control!$C$128-$MX126)*(Control!$C$119-Control!$C$74)</f>
        <v>#DIV/0!</v>
      </c>
      <c r="NB126" s="168" t="e">
        <f ca="1">(Control!$C$135-$MX126)*(Control!$C$119-Control!$C$74)</f>
        <v>#DIV/0!</v>
      </c>
      <c r="NC126" s="174" t="e">
        <f t="shared" ca="1" si="430"/>
        <v>#DIV/0!</v>
      </c>
      <c r="ND126" s="54">
        <f ca="1">IF(Control!$C$58=2, IF(OR(Control!$B$218=$AH126,Control!$B$219=$AH126, Control!$B$220=$AH126, Control!$B$221=$AH126, Control!$B$222=$AH126, Control!$B$223=$AH126, Control!$B$224=$AH126, Control!$B$225=$AH126, Control!$B$226=$AH126, Control!$B$227=$AH126, Control!$B$228=$AH126), 1, 0), 0)</f>
        <v>0</v>
      </c>
      <c r="NE126" s="54">
        <f ca="1">IF($ND126=0,0, VLOOKUP($AH126,Control!$B$218:$C$228,2))</f>
        <v>0</v>
      </c>
      <c r="NF126" s="168" t="e">
        <f ca="1">$CY126*(Control!$C$128-Control!$C$127)</f>
        <v>#N/A</v>
      </c>
      <c r="NG126" s="54" t="e">
        <f ca="1">IF(Control!$C$58=2, $NI125-$NJ125, 0)</f>
        <v>#DIV/0!</v>
      </c>
      <c r="NH126" s="54" t="e">
        <f ca="1">IF(AND(Control!$C$58=1, $MS125&lt;= ($MN125+0.02), $I125&lt;10), 0, IF(Control!$C$58=2, $NG125, 0))</f>
        <v>#DIV/0!</v>
      </c>
      <c r="NI126" s="54" t="e">
        <f ca="1">IF(Control!$C$58=2, $NE126+$NH126,0)</f>
        <v>#DIV/0!</v>
      </c>
      <c r="NJ126" s="54" t="e">
        <f ca="1">IF(AND(Control!$C$58=1, $MS126&lt;= ($MN126+0.02), $I126&lt;10), MAX(0, MIN(10, 0.7*($NF126-$MV126))), IF(Control!$C$58=2, MIN(10,$NI126),0))</f>
        <v>#DIV/0!</v>
      </c>
      <c r="NK126" s="54" t="e">
        <f t="shared" ca="1" si="338"/>
        <v>#DIV/0!</v>
      </c>
      <c r="NL126" s="173" t="e">
        <f ca="1">(1-Control!$C$73)*$I126+$NJ126</f>
        <v>#DIV/0!</v>
      </c>
      <c r="NM126" s="172" t="e">
        <f ca="1">IF($NL126&lt;0.5, $MB126* MAX(0, MIN(1, (SQRT($NC126)-SQRT($NC126-1))*Control!$C$71)),0)</f>
        <v>#DIV/0!</v>
      </c>
      <c r="NN126" s="170" t="e">
        <f ca="1">IF($NL126&gt;=5, $MB126, MAX(0,MIN($MB126, $NM126+$NL126,($MS126-Control!$C$129))))</f>
        <v>#DIV/0!</v>
      </c>
      <c r="NO126" s="54">
        <f>IF(Control!$C$133&lt;&gt;1, Control!$C$135-Control!$C$131, 0)</f>
        <v>0.38</v>
      </c>
      <c r="NP126" s="54" t="e">
        <f t="shared" ca="1" si="339"/>
        <v>#DIV/0!</v>
      </c>
      <c r="NQ126" s="173" t="e">
        <f ca="1">MAX(0,MIN(1,(Control!$C$135-$MS126)/(Control!$C$135-$NO126)))</f>
        <v>#DIV/0!</v>
      </c>
      <c r="NR126" s="170" t="e">
        <f ca="1">IF(Control!$C$133&lt;&gt;1, $NQ126+((1-$NP126/4)*(1-$NQ126)),1)</f>
        <v>#DIV/0!</v>
      </c>
      <c r="NS126" s="170" t="e">
        <f ca="1">IF(Control!$B$31=0,$MJ126,MAX(0,MIN($MV126,$MO126*$NR126*$MJ126)))</f>
        <v>#DIV/0!</v>
      </c>
      <c r="NT126" s="170" t="e">
        <f t="shared" ca="1" si="455"/>
        <v>#DIV/0!</v>
      </c>
      <c r="NU126" s="170" t="e">
        <f t="shared" ca="1" si="431"/>
        <v>#N/A</v>
      </c>
      <c r="NV126" s="170" t="e">
        <f t="shared" ca="1" si="340"/>
        <v>#N/A</v>
      </c>
      <c r="NW126" s="175" t="e">
        <f t="shared" ca="1" si="341"/>
        <v>#DIV/0!</v>
      </c>
      <c r="NX126" s="170" t="e">
        <f ca="1">MIN(Control!$C$72+$MU126, $NW126)</f>
        <v>#DIV/0!</v>
      </c>
      <c r="NY126" s="170" t="e">
        <f ca="1">IF($MT126&lt;=$NX126,MIN(Control!$C$72+$NB126,$NX126-$MT126),0)</f>
        <v>#DIV/0!</v>
      </c>
      <c r="NZ126" s="54" t="e">
        <f ca="1">IF(Control!$C$114=1,  $CX126*($MX126-Control!$C$127), 0)</f>
        <v>#DIV/0!</v>
      </c>
      <c r="OA126" s="170" t="e">
        <f t="shared" ca="1" si="342"/>
        <v>#DIV/0!</v>
      </c>
      <c r="OB126" s="170" t="e">
        <f ca="1">IF($NA126 &lt;=$NY126, MIN(Control!$C$72, $NY126-$NA126), 0)</f>
        <v>#DIV/0!</v>
      </c>
      <c r="OC126" s="168" t="e">
        <f t="shared" ca="1" si="343"/>
        <v>#DIV/0!</v>
      </c>
      <c r="OD126" s="168" t="e">
        <f t="shared" ca="1" si="432"/>
        <v>#DIV/0!</v>
      </c>
      <c r="OE126" s="170">
        <f ca="1">Control!$C$73*$I126</f>
        <v>0</v>
      </c>
      <c r="OF126" s="176" t="e">
        <f t="shared" ca="1" si="344"/>
        <v>#DIV/0!</v>
      </c>
      <c r="OG126" s="168" t="e">
        <f t="shared" ca="1" si="345"/>
        <v>#DIV/0!</v>
      </c>
      <c r="OH126" s="168" t="e">
        <f t="shared" ca="1" si="346"/>
        <v>#DIV/0!</v>
      </c>
      <c r="OI126" s="168" t="e">
        <f t="shared" ca="1" si="347"/>
        <v>#DIV/0!</v>
      </c>
      <c r="OJ126" s="168" t="e">
        <f t="shared" ca="1" si="348"/>
        <v>#DIV/0!</v>
      </c>
      <c r="OK126" s="204" t="e">
        <f t="shared" ca="1" si="349"/>
        <v>#DIV/0!</v>
      </c>
      <c r="OL126" s="177">
        <f>Control!$C$127</f>
        <v>0.15</v>
      </c>
      <c r="OM126" s="182" t="e">
        <f t="shared" ca="1" si="350"/>
        <v>#N/A</v>
      </c>
      <c r="ON126" s="177">
        <f>Control!$C$128</f>
        <v>0.35</v>
      </c>
      <c r="OO126" s="182" t="e">
        <f t="shared" ca="1" si="351"/>
        <v>#N/A</v>
      </c>
      <c r="OP126" s="138">
        <f t="shared" ca="1" si="433"/>
        <v>0</v>
      </c>
      <c r="OQ126" s="138" t="e">
        <f t="shared" ca="1" si="456"/>
        <v>#DIV/0!</v>
      </c>
      <c r="OR126" s="138" t="e">
        <f t="shared" ca="1" si="434"/>
        <v>#DIV/0!</v>
      </c>
      <c r="OS126" s="137" t="e">
        <f t="shared" ca="1" si="457"/>
        <v>#DIV/0!</v>
      </c>
      <c r="OT126" s="139" t="e">
        <f t="shared" ca="1" si="458"/>
        <v>#DIV/0!</v>
      </c>
      <c r="OU126" s="138" t="e">
        <f t="shared" ca="1" si="459"/>
        <v>#N/A</v>
      </c>
      <c r="OV126" s="138" t="e">
        <f t="shared" ca="1" si="460"/>
        <v>#DIV/0!</v>
      </c>
      <c r="OW126" s="138" t="e">
        <f t="shared" ca="1" si="435"/>
        <v>#DIV/0!</v>
      </c>
      <c r="OX126" s="138" t="e">
        <f t="shared" ca="1" si="436"/>
        <v>#DIV/0!</v>
      </c>
      <c r="OY126" s="138" t="e">
        <f t="shared" ca="1" si="437"/>
        <v>#DIV/0!</v>
      </c>
      <c r="OZ126" s="138" t="e">
        <f t="shared" ca="1" si="352"/>
        <v>#DIV/0!</v>
      </c>
      <c r="PA126" s="138" t="e">
        <f t="shared" ca="1" si="353"/>
        <v>#DIV/0!</v>
      </c>
      <c r="PB126" s="55">
        <f>IF(Control!$C$61="T", IF(Control!$C$65="F", IF($AH$6-Control!$C$60&lt;0,0,1), IF(365+$AH$6-Control!$C$60&lt;0,0,1)),0)</f>
        <v>0</v>
      </c>
      <c r="PC126" s="55">
        <f ca="1">IF(Control!$C$65="F", IF($AH$6-$HF126&lt;0,0,1), IF(365+$AH$6-$HF126&lt;0,0,1))</f>
        <v>1</v>
      </c>
      <c r="PD126" s="444">
        <f>Control!$C$118</f>
        <v>1500</v>
      </c>
      <c r="PE126" s="180" t="e">
        <f t="shared" ca="1" si="354"/>
        <v>#N/A</v>
      </c>
      <c r="PF126" s="445">
        <f t="shared" ca="1" si="438"/>
        <v>0.71612369323045078</v>
      </c>
      <c r="PT126" s="186"/>
      <c r="PU126" s="186"/>
      <c r="PV126" s="94"/>
      <c r="PW126" s="94"/>
      <c r="PX126" s="94"/>
      <c r="PY126" s="94"/>
      <c r="PZ126" s="94"/>
      <c r="QA126" s="94"/>
      <c r="QB126" s="94"/>
      <c r="QC126" s="94"/>
      <c r="QD126" s="94"/>
      <c r="QE126" s="94"/>
      <c r="QF126" s="94"/>
      <c r="QG126" s="94"/>
      <c r="QH126" s="94"/>
      <c r="QI126" s="94"/>
      <c r="QJ126" s="94"/>
      <c r="QK126" s="94"/>
      <c r="QL126" s="94"/>
      <c r="QM126" s="94"/>
      <c r="QN126" s="94"/>
      <c r="QO126" s="94"/>
      <c r="QP126" s="94"/>
    </row>
    <row r="127" spans="1:458" s="2" customFormat="1" x14ac:dyDescent="0.2">
      <c r="A127" s="395">
        <v>2</v>
      </c>
      <c r="B127" s="396">
        <v>5</v>
      </c>
      <c r="C127" s="387">
        <f ca="1">Weather_data!$B126</f>
        <v>0</v>
      </c>
      <c r="D127" s="388">
        <f ca="1">Weather_data!$F126</f>
        <v>0</v>
      </c>
      <c r="E127" s="388">
        <f ca="1">Weather_data!$E126</f>
        <v>0</v>
      </c>
      <c r="F127" s="388">
        <f t="shared" ca="1" si="355"/>
        <v>0</v>
      </c>
      <c r="G127" s="388">
        <f ca="1">AVERAGE($D127:$E127)+Control!$B$9</f>
        <v>0</v>
      </c>
      <c r="H127" s="388">
        <f ca="1">Weather_data!$G126</f>
        <v>0</v>
      </c>
      <c r="I127" s="388">
        <f ca="1">Weather_data!$I126</f>
        <v>0</v>
      </c>
      <c r="J127" s="388">
        <f ca="1">Weather_data!$H126</f>
        <v>0</v>
      </c>
      <c r="K127" s="389">
        <f ca="1">Weather_data!$D126</f>
        <v>0</v>
      </c>
      <c r="L127" s="388" t="e">
        <f t="shared" ca="1" si="356"/>
        <v>#N/A</v>
      </c>
      <c r="M127" s="388" t="e">
        <f t="shared" ca="1" si="234"/>
        <v>#N/A</v>
      </c>
      <c r="N127" s="388">
        <f t="shared" ca="1" si="235"/>
        <v>-1.4531607080993488E-6</v>
      </c>
      <c r="O127" s="388">
        <f t="shared" ca="1" si="357"/>
        <v>1.4531607080993488E-5</v>
      </c>
      <c r="P127" s="390">
        <v>3</v>
      </c>
      <c r="Q127" s="388">
        <f ca="1">MAX($G127-Control!$C$107,0)</f>
        <v>0</v>
      </c>
      <c r="R127" s="388">
        <f t="shared" ca="1" si="358"/>
        <v>0</v>
      </c>
      <c r="S127" s="388">
        <f t="shared" ca="1" si="236"/>
        <v>0</v>
      </c>
      <c r="T127" s="388">
        <f t="shared" ca="1" si="237"/>
        <v>0</v>
      </c>
      <c r="U127" s="59">
        <f t="shared" ca="1" si="238"/>
        <v>0</v>
      </c>
      <c r="V127" s="391">
        <f ca="1">MAX(0,MIN(Control!$C$100-Control!$C$99,$G127-Control!$C$99)*Control!$C$63)</f>
        <v>0</v>
      </c>
      <c r="W127" s="388">
        <f t="shared" ca="1" si="359"/>
        <v>0</v>
      </c>
      <c r="X127" s="388">
        <f t="shared" ca="1" si="360"/>
        <v>0.6110000000000001</v>
      </c>
      <c r="Y127" s="388">
        <f t="shared" ca="1" si="239"/>
        <v>0</v>
      </c>
      <c r="Z127" s="388">
        <f t="shared" ca="1" si="361"/>
        <v>0.61058800000000002</v>
      </c>
      <c r="AA127" s="388">
        <f t="shared" ca="1" si="240"/>
        <v>0.6018</v>
      </c>
      <c r="AB127" s="388">
        <f ca="1">101.3*EXP(-0.034*Control!$C$66/($G127+273))</f>
        <v>100.69623283836242</v>
      </c>
      <c r="AC127" s="392">
        <f t="shared" ca="1" si="241"/>
        <v>4.3460251046025113E-2</v>
      </c>
      <c r="AD127" s="392">
        <f t="shared" ca="1" si="242"/>
        <v>4.4450382862832649E-2</v>
      </c>
      <c r="AE127" s="388">
        <f t="shared" ca="1" si="243"/>
        <v>0</v>
      </c>
      <c r="AF127" s="388">
        <f ca="1">MAX(0,$G127-Control!$C$92)</f>
        <v>0</v>
      </c>
      <c r="AG127" s="393">
        <f t="shared" ca="1" si="244"/>
        <v>123</v>
      </c>
      <c r="AH127" s="389">
        <f t="shared" ca="1" si="245"/>
        <v>123</v>
      </c>
      <c r="AI127" s="388">
        <f t="shared" ca="1" si="362"/>
        <v>0.26510664729743166</v>
      </c>
      <c r="AJ127" s="388">
        <f ca="1">IF(Control!$C$60&lt;=0,$HH127,$HI127)</f>
        <v>1</v>
      </c>
      <c r="AK127" s="388">
        <f t="shared" ca="1" si="246"/>
        <v>0.74021087180471834</v>
      </c>
      <c r="AL127" s="388">
        <f t="shared" ca="1" si="247"/>
        <v>-1.6230367744229924E-18</v>
      </c>
      <c r="AM127" s="388">
        <f t="shared" ca="1" si="248"/>
        <v>0.74021087180471834</v>
      </c>
      <c r="AN127" s="388">
        <f t="shared" ca="1" si="249"/>
        <v>0.27162132530793492</v>
      </c>
      <c r="AO127" s="388">
        <f ca="1">-0.10453/COS(Control!$B$8*PI()/180)*COS(AN127)</f>
        <v>-0.163560070853597</v>
      </c>
      <c r="AP127" s="388">
        <f ca="1">ACOS(AO127-TAN(Control!$B$8*PI()/180)*TAN(AN127))</f>
        <v>2.1176818002794935</v>
      </c>
      <c r="AQ127" s="388">
        <f t="shared" ca="1" si="363"/>
        <v>0</v>
      </c>
      <c r="AR127" s="394">
        <f t="shared" ca="1" si="250"/>
        <v>0</v>
      </c>
      <c r="AS127" s="436">
        <f ca="1">IF(Control!$B$18=2,(IF(OR($AH127=Control!$B$175,$AH127=Control!$B$176,$AH127=Control!$B$177,$AH127=Control!$B$178,$AH127=Control!$B$179,$AH127=Control!$B$180,$AH127=Control!$B$181,$AH127=Control!$B$182,$AH127=Control!$B$183,$AH127=Control!$B$184,$AH127=Control!$B$185),1,0)),0)</f>
        <v>0</v>
      </c>
      <c r="AT127" s="436">
        <f>IF(Control!$B$20=8,IF(AND($AH127&gt;=Control!$B$172,$AH127&lt;=Control!$B$173),1,0),0)</f>
        <v>0</v>
      </c>
      <c r="AU127" s="436">
        <f>IF(Control!$B$20=8,IF($AV126=1,1*$AT127,IF($AT127=1,$AU126+1,$AU126)),0)</f>
        <v>0</v>
      </c>
      <c r="AV127" s="436">
        <f>IF(Control!$B$20=8,IF($AU127&gt;=Control!$B$174,1,0),0)</f>
        <v>0</v>
      </c>
      <c r="AW127" s="436">
        <f ca="1">IF(AND(Control!$B$18=2,Control!$B$171=1), $AV127, $AS127)</f>
        <v>0</v>
      </c>
      <c r="AX127" s="436" t="e">
        <f ca="1">IF(AND(Control!$B$18=1,$EU127&gt;=Control!$B$19),-$AY127,IF(AND(Control!$B$18=2,$AW127=1,$EU127&gt;$DS127),-$AY127, IF(Control!$C$108=0,0, IF(Control!$C$108&lt;&gt;0,1))))</f>
        <v>#N/A</v>
      </c>
      <c r="AY127" s="436" t="e">
        <f t="shared" ca="1" si="364"/>
        <v>#N/A</v>
      </c>
      <c r="AZ127" s="436" t="e">
        <f ca="1">IF(AND(Control!$B$18=1,$EB127&gt;Control!$B$19),$AZ126+1, IF(AND(Control!$B$18=2, $AW127=1, $EB127&gt;$DS127), $AZ126+1,$AZ126))</f>
        <v>#N/A</v>
      </c>
      <c r="BA127" s="587">
        <f>IF(Control!$C$81=0,1,IF($AH127&gt;=Control!$C$82,1,0))</f>
        <v>1</v>
      </c>
      <c r="BB127" s="140" t="e">
        <f ca="1">IF($BA127&gt;$BA126,Control!$C$83,IF($AW127&gt;0,$AW127*Control!$C$84,IF(AND(Control!$B$18=1,EN126&lt;&gt;0),Control!$C$84,0)))</f>
        <v>#N/A</v>
      </c>
      <c r="BC127" s="140" t="e">
        <f t="shared" ca="1" si="365"/>
        <v>#N/A</v>
      </c>
      <c r="BD127" s="140" t="e">
        <f ca="1">BC127*IF(OR($G127&lt;Control!$C$92,$G127&gt;Control!$C$95),0,IF(AND($G127&gt;=Control!$C$92,$G127&lt;=Control!$C$93),$G127-Control!$C$92,IF(AND($G127&gt;Control!$C$93,$G127&lt;=Control!$C$94),Control!$C$93-Control!$C$92,IF(AND($G127&gt;Control!$C$94,$G127&lt;=Control!$C$95),(Control!$C$93-Control!$C$92)*(Control!$C$94-$G127)/(Control!$C$95-Control!$C$94)))))</f>
        <v>#N/A</v>
      </c>
      <c r="BE127" s="140" t="e">
        <f t="shared" ca="1" si="366"/>
        <v>#N/A</v>
      </c>
      <c r="BF127" s="140" t="e">
        <f ca="1">IF($BE127&lt;=Control!$C$86,$BE127,Control!$C$86-$BE127)</f>
        <v>#N/A</v>
      </c>
      <c r="BG127" s="140" t="e">
        <f ca="1">IF(AND($AW127=1,Control!$C$84&lt;9),1,IF($BE127&gt;=Control!$C$86,0,$BC127))</f>
        <v>#N/A</v>
      </c>
      <c r="BH127" s="404" t="e">
        <f ca="1">IF($BG127=0,0,IF($BE127&lt;=Control!$C$86,$BC127*9*($BF127/Control!$C$86),0))</f>
        <v>#N/A</v>
      </c>
      <c r="BI127" s="140" t="e">
        <f ca="1">IF($BG127=1,0,IF($BE127&gt;=Control!$C$86,1,IF(AND($BB127&lt;21,$BB127&gt;=9),1,$BM126)))</f>
        <v>#N/A</v>
      </c>
      <c r="BJ127" s="140" t="e">
        <f ca="1">IF($BF127&lt;0,-$BF127,$BI127*IF(OR($G127&lt;Control!$C$92,$G127&gt;Control!$C$95),0,IF(AND($G127&gt;=Control!$C$92,$G127&lt;=Control!$C$93),$G127-Control!$C$92,IF(AND($G127&gt;Control!$C$93,$G127&lt;=Control!$C$94),Control!$C$93-Control!$C$92,IF(AND($G127&gt;Control!$C$94,$G127&lt;=Control!$C$95),(Control!$C$93-Control!$C$92)*(Control!$C$94-$G127)/(Control!$C$95-Control!$C$94))))))</f>
        <v>#N/A</v>
      </c>
      <c r="BK127" s="140" t="e">
        <f t="shared" ca="1" si="367"/>
        <v>#N/A</v>
      </c>
      <c r="BL127" s="140" t="e">
        <f ca="1">IF($BK127&lt;=Control!$C$87,$BK127,Control!$C$87-$BK127)</f>
        <v>#N/A</v>
      </c>
      <c r="BM127" s="140" t="e">
        <f ca="1">IF(AND($BB127&gt;=9,$BB127&lt;21),1,IF($BK127&gt;=Control!$C$87,0,$BI127))</f>
        <v>#N/A</v>
      </c>
      <c r="BN127" s="404" t="e">
        <f ca="1">IF($BM127=0,0,IF($BK127&lt;=Control!$C$87,$BI127*(9+(21-9)*($BL127/Control!$C$87)),0))</f>
        <v>#N/A</v>
      </c>
      <c r="BO127" s="140" t="e">
        <f ca="1">IF($BM127=1,0,IF($BK127&gt;=Control!$C$87,1,IF(AND($BB127&lt;30,$BB127&gt;=21),1,$BS126)))</f>
        <v>#N/A</v>
      </c>
      <c r="BP127" s="140" t="e">
        <f ca="1">IF($BL127&lt;0,-$BL127,$BO127*IF(OR($G127&lt;Control!$C$92,$G127&gt;Control!$C$95),0,IF(AND($G127&gt;=Control!$C$92,$G127&lt;=Control!$C$93),$G127-Control!$C$92,IF(AND($G127&gt;Control!$C$93,$G127&lt;=Control!$C$94),Control!$C$93-Control!$C$92,IF(AND($G127&gt;Control!$C$94,$G127&lt;=Control!$C$95),(Control!$C$93-Control!$C$92)*(Control!$C$94-$G127)/(Control!$C$95-Control!$C$94))))))</f>
        <v>#N/A</v>
      </c>
      <c r="BQ127" s="140" t="e">
        <f t="shared" ca="1" si="251"/>
        <v>#N/A</v>
      </c>
      <c r="BR127" s="140" t="e">
        <f ca="1">IF($BQ127&lt;=Control!$C$88,$BQ127,Control!$C$88-$BQ127)</f>
        <v>#N/A</v>
      </c>
      <c r="BS127" s="140" t="e">
        <f ca="1">IF(AND($BB127&gt;=21,$BB127&lt;30),1,IF($BQ127&gt;=Control!$C$88,0,$BO127))</f>
        <v>#N/A</v>
      </c>
      <c r="BT127" s="404" t="e">
        <f ca="1">IF($BS127=0,0,IF($BQ127&lt;=Control!$C$88,$BO127*(21+(30-21)*(BR127/Control!$C$88)),0))</f>
        <v>#N/A</v>
      </c>
      <c r="BU127" s="140" t="e">
        <f ca="1">IF(BG127+BM127+BS127=1,0,IF(OR(AND($BB127&lt;60,$BB127&gt;=30),$BQ127&gt;=Control!$C$88),1*$BA127,$BY126))</f>
        <v>#N/A</v>
      </c>
      <c r="BV127" s="140" t="e">
        <f ca="1">IF($BR127&lt;0,-$BR127,$BU127*IF(OR($G127&lt;Control!$C$92,$G127&gt;Control!$C$95),0,IF(AND($G127&gt;=Control!$C$92,$G127&lt;=Control!$C$93),$G127-Control!$C$92,IF(AND($G127&gt;Control!$C$93,$G127&lt;=Control!$C$94),Control!$C$93-Control!$C$92,IF(AND($G127&gt;Control!$C$94,$G127&lt;=Control!$C$95),(Control!$C$93-Control!$C$92)*(Control!$C$94-$G127)/(Control!$C$95-Control!$C$94))))))</f>
        <v>#N/A</v>
      </c>
      <c r="BW127" s="140" t="e">
        <f t="shared" ca="1" si="252"/>
        <v>#N/A</v>
      </c>
      <c r="BX127" s="140" t="e">
        <f ca="1">IF($BW127&lt;=Control!$C$89,$BW127,Control!$C$89-$BW127)</f>
        <v>#N/A</v>
      </c>
      <c r="BY127" s="140" t="e">
        <f ca="1">IF(AND($AJ127&gt;=30,$AJ127&lt;60),1,IF($BW127&gt;=Control!$C$89,0,$BU127))</f>
        <v>#N/A</v>
      </c>
      <c r="BZ127" s="404" t="e">
        <f ca="1">IF($BY127=0,0,IF($BW127&lt;=Control!$C$89,$BU127*(30+(60-30)*(BX127/Control!$C$89)),0))</f>
        <v>#N/A</v>
      </c>
      <c r="CA127" s="140" t="e">
        <f ca="1">IF($BG127+$BM127+$BS127+$BY127=1,0,IF(OR(AND($BB127&lt;65,$BB127&gt;=60),$BW127&gt;=Control!$C$89),1*$BA127,$CE126))</f>
        <v>#N/A</v>
      </c>
      <c r="CB127" s="140" t="e">
        <f ca="1">IF($BX127&lt;0,-$BX127,$CA127*IF(OR($G127&lt;Control!$C$92,$G127&gt;Control!$C$95),0,IF(AND($G127&gt;=Control!$C$92,$G127&lt;=Control!$C$93),$G127-Control!$C$92,IF(AND($G127&gt;Control!$C$93,$G127&lt;=Control!$C$94),Control!$C$93-Control!$C$92,IF(AND($G127&gt;Control!$C$94,$G127&lt;=Control!$C$95),(Control!$C$93-Control!$C$92)*(Control!$C$94-$G127)/(Control!$C$95-Control!$C$94))))))</f>
        <v>#N/A</v>
      </c>
      <c r="CC127" s="140" t="e">
        <f t="shared" ca="1" si="368"/>
        <v>#N/A</v>
      </c>
      <c r="CD127" s="140" t="e">
        <f ca="1">IF($CC127&lt;=Control!$C$90,$CC127,Control!$C$90-$CC127)</f>
        <v>#N/A</v>
      </c>
      <c r="CE127" s="140" t="e">
        <f ca="1">IF(AND($BB127&gt;=60,$BB127&lt;65),1,IF($CC127&gt;=Control!$C$90,0,$CA127))</f>
        <v>#N/A</v>
      </c>
      <c r="CF127" s="404" t="e">
        <f ca="1">IF($CE127=0,0,IF($CC127&lt;=Control!$C$90,$CA127*(60+(65-60)*(CD127/Control!$C$90)),0))</f>
        <v>#N/A</v>
      </c>
      <c r="CG127" s="140" t="e">
        <f ca="1">IF($BG127+$BM127+$BS127+$BY127+$CE127=1,0,IF(OR(AND($BB127&lt;90,$BB127&gt;=65),$CC127&gt;=Control!$C$90),$BA127,$CK126))</f>
        <v>#N/A</v>
      </c>
      <c r="CH127" s="140" t="e">
        <f ca="1">IF($CD127&lt;0,-$CD127,$CG127*IF(OR($G127&lt;Control!$C$92,$G127&gt;Control!$C$95),0,IF(AND($G127&gt;=Control!$C$92,$G127&lt;=Control!$C$93),$G127-Control!$C$92,IF(AND($G127&gt;Control!$C$93,$G127&lt;=Control!$C$94),Control!$C$93-Control!$C$92,IF(AND($G127&gt;Control!$C$94,$G127&lt;=Control!$C$95),(Control!$C$93-Control!$C$92)*(Control!$C$94-$G127)/(Control!$C$95-Control!$C$94))))))</f>
        <v>#N/A</v>
      </c>
      <c r="CI127" s="140" t="e">
        <f t="shared" ca="1" si="369"/>
        <v>#N/A</v>
      </c>
      <c r="CJ127" s="140" t="e">
        <f ca="1">IF($CI127&lt;=Control!$C$91,$CI127,Control!$C$91-$CI127)</f>
        <v>#N/A</v>
      </c>
      <c r="CK127" s="140" t="e">
        <f ca="1">IF(AND($BB127&gt;=65,$BB127&lt;90),1,IF($CI127&gt;=Control!$C$91,0,$CG127))</f>
        <v>#N/A</v>
      </c>
      <c r="CL127" s="404" t="e">
        <f ca="1">IF($CK127=0,0,IF($CI127&lt;=Control!$C$91,$CG127*(65+(90-65)*($CJ127/Control!$C$91)),0))</f>
        <v>#N/A</v>
      </c>
      <c r="CM127" s="140" t="e">
        <f ca="1">IF($BG127+$BM127+$BS127+$BY127+$CE127+$CK127=1,0,IF(OR($BB127&gt;=90,$CI127&gt;=Control!$C$91),$BA127,$CM126))</f>
        <v>#N/A</v>
      </c>
      <c r="CN127" s="140" t="e">
        <f t="shared" ca="1" si="370"/>
        <v>#N/A</v>
      </c>
      <c r="CO127" s="140" t="e">
        <f t="shared" ca="1" si="371"/>
        <v>#N/A</v>
      </c>
      <c r="CP127" s="140" t="e">
        <f t="shared" ca="1" si="372"/>
        <v>#N/A</v>
      </c>
      <c r="CQ127" s="141" t="e">
        <f ca="1">VLOOKUP($CP127,Control!$B$86:$G$91,6)</f>
        <v>#N/A</v>
      </c>
      <c r="CR127" s="141" t="e">
        <f ca="1">(1-$CQ127)*VLOOKUP($CP127,Control!$B$86:$D$91,3)</f>
        <v>#N/A</v>
      </c>
      <c r="CS127" s="141" t="e">
        <f ca="1">(1-$CQ127)*VLOOKUP($CP127,Control!$B$86:$E$91,4)</f>
        <v>#N/A</v>
      </c>
      <c r="CT127" s="141" t="e">
        <f ca="1">(1-$CQ127)*VLOOKUP($CP127,Control!$B$86:$F$91,5)</f>
        <v>#N/A</v>
      </c>
      <c r="CU127" s="141">
        <f t="shared" ca="1" si="373"/>
        <v>0</v>
      </c>
      <c r="CV127" s="583">
        <f t="shared" ca="1" si="374"/>
        <v>0</v>
      </c>
      <c r="CW127" s="142">
        <f t="shared" ca="1" si="375"/>
        <v>123</v>
      </c>
      <c r="CX127" s="612" t="e">
        <f ca="1">IF(Control!$C$114=1,(MIN(Control!$C$120*(IF($NT127-0.01&lt;0,0,1)),Control!$C$119-$CY127)))</f>
        <v>#DIV/0!</v>
      </c>
      <c r="CY127" s="143" t="e">
        <f t="shared" ca="1" si="376"/>
        <v>#N/A</v>
      </c>
      <c r="CZ127" s="144">
        <f t="shared" ca="1" si="253"/>
        <v>0</v>
      </c>
      <c r="DA127" s="144">
        <f t="shared" ca="1" si="254"/>
        <v>0</v>
      </c>
      <c r="DB127" s="144" t="e">
        <f t="shared" ca="1" si="255"/>
        <v>#N/A</v>
      </c>
      <c r="DC127" s="144" t="e">
        <f t="shared" ca="1" si="256"/>
        <v>#N/A</v>
      </c>
      <c r="DD127" s="144" t="e">
        <f t="shared" ca="1" si="461"/>
        <v>#N/A</v>
      </c>
      <c r="DE127" s="143" t="e">
        <f t="shared" ca="1" si="377"/>
        <v>#N/A</v>
      </c>
      <c r="DF127" s="145" t="e">
        <f ca="1">$DR127*EXP(-Control!$C$158*(1-$KH127))</f>
        <v>#N/A</v>
      </c>
      <c r="DG127" s="146" t="e">
        <f ca="1">IF(Control!$C$114=1, $DF127*$EY127, 0)</f>
        <v>#N/A</v>
      </c>
      <c r="DH127" s="147" t="e">
        <f t="shared" ca="1" si="378"/>
        <v>#N/A</v>
      </c>
      <c r="DI127" s="144" t="e">
        <f t="shared" ca="1" si="439"/>
        <v>#N/A</v>
      </c>
      <c r="DJ127" s="147" t="e">
        <f ca="1">$EF127*Control!$C$109</f>
        <v>#N/A</v>
      </c>
      <c r="DK127" s="144" t="e">
        <f t="shared" ca="1" si="379"/>
        <v>#N/A</v>
      </c>
      <c r="DL127" s="144" t="e">
        <f t="shared" ca="1" si="257"/>
        <v>#N/A</v>
      </c>
      <c r="DM127" s="144" t="e">
        <f ca="1">IF(Control!$C$114=1, (1-EXP(-Control!$C$96*$DK127))*$AR127, 0)</f>
        <v>#N/A</v>
      </c>
      <c r="DN127" s="144">
        <f t="shared" ca="1" si="380"/>
        <v>0</v>
      </c>
      <c r="DO127" s="148">
        <f>Control!$C$97</f>
        <v>4</v>
      </c>
      <c r="DP127" s="145" t="e">
        <f t="shared" ca="1" si="381"/>
        <v>#N/A</v>
      </c>
      <c r="DQ127" s="145" t="e">
        <f ca="1">IF(AND($CP127&gt;=0,$CP127&lt;=90),Control!$C$111,Control!$C$111)</f>
        <v>#N/A</v>
      </c>
      <c r="DR127" s="145" t="e">
        <f t="shared" ca="1" si="258"/>
        <v>#N/A</v>
      </c>
      <c r="DS127" s="143" t="e">
        <f ca="1">Control!$B$22/$DR127</f>
        <v>#N/A</v>
      </c>
      <c r="DT127" s="149" t="e">
        <f ca="1">IF(AND(Control!$C$114=1,$KH127&lt;1),$IM127*$DF127, 0)</f>
        <v>#N/A</v>
      </c>
      <c r="DU127" s="144" t="e">
        <f t="shared" ca="1" si="382"/>
        <v>#N/A</v>
      </c>
      <c r="DV127" s="144">
        <f ca="1">IF($G127-Control!$C$107&lt;=0, 0, 0.83*LN(MAX($G127, 3))-0.8924)</f>
        <v>0</v>
      </c>
      <c r="DW127" s="144" t="e">
        <f t="shared" ca="1" si="259"/>
        <v>#N/A</v>
      </c>
      <c r="DX127" s="150" t="e">
        <f ca="1">MAX(0.01*(1+$CU127/Control!$C$102),0.05*($DK127-Control!$C$97)/Control!$C$97)</f>
        <v>#N/A</v>
      </c>
      <c r="DY127" s="151" t="e">
        <f ca="1">IF(Control!$C$114=1, $DI127*$FS127, 0)</f>
        <v>#N/A</v>
      </c>
      <c r="DZ127" s="196" t="e">
        <f t="shared" ca="1" si="383"/>
        <v>#N/A</v>
      </c>
      <c r="EA127" s="152">
        <f t="shared" ca="1" si="384"/>
        <v>123</v>
      </c>
      <c r="EB127" s="153" t="e">
        <f t="shared" ca="1" si="385"/>
        <v>#N/A</v>
      </c>
      <c r="EC127" s="153" t="e">
        <f t="shared" ca="1" si="386"/>
        <v>#N/A</v>
      </c>
      <c r="ED127" s="154" t="e">
        <f ca="1">IF(Control!$C$114=1, $HM127*$FY127-$FD127, 0)</f>
        <v>#DIV/0!</v>
      </c>
      <c r="EE127" s="155" t="e">
        <f ca="1">IF(Control!$C$114=1, $HM127*$FZ127-$FF127, 0)</f>
        <v>#DIV/0!</v>
      </c>
      <c r="EF127" s="153" t="e">
        <f t="shared" ca="1" si="440"/>
        <v>#N/A</v>
      </c>
      <c r="EG127" s="155" t="e">
        <f ca="1">IF(Control!$C$114=1, $GX127*$FW127-$FI127, 0)</f>
        <v>#DIV/0!</v>
      </c>
      <c r="EH127" s="153" t="e">
        <f t="shared" ca="1" si="387"/>
        <v>#N/A</v>
      </c>
      <c r="EI127" s="156" t="e">
        <f t="shared" ca="1" si="388"/>
        <v>#N/A</v>
      </c>
      <c r="EJ127" s="155" t="e">
        <f ca="1">IF(Control!$C$114=1, $HM127*$GB127, 0)</f>
        <v>#DIV/0!</v>
      </c>
      <c r="EK127" s="153" t="e">
        <f t="shared" ca="1" si="441"/>
        <v>#N/A</v>
      </c>
      <c r="EL127" s="153" t="e">
        <f t="shared" ca="1" si="260"/>
        <v>#N/A</v>
      </c>
      <c r="EM127" s="153" t="e">
        <f t="shared" ca="1" si="261"/>
        <v>#N/A</v>
      </c>
      <c r="EN127" s="153" t="e">
        <f ca="1">IF(Control!$C$108=1,IF(AND(Control!$B$18=1,$EB127&gt;=Control!$B$19),$EB127-$DS127,IF(AND(Control!$B$18=2,$AW127=1,$EB127&gt;$DS127),$EB127-$DS127,0)))</f>
        <v>#N/A</v>
      </c>
      <c r="EO127" s="153" t="e">
        <f ca="1">IF(Control!$C$108=1,IF(AND(Control!$B$18=1,$EB127&gt;=Control!$B$19),$EF127,IF(AND(Control!$B$18=2,$AW127=1),$EF127,0)))</f>
        <v>#N/A</v>
      </c>
      <c r="EP127" s="153" t="e">
        <f ca="1">IF(Control!$C$108=1,IF(AND(Control!$B$18=1,$EB127&gt;=Control!$B$19),$EK127,IF(AND(Control!$B$18=2,$AW127=1),$EK127,0)))</f>
        <v>#N/A</v>
      </c>
      <c r="EQ127" s="153" t="e">
        <f t="shared" ca="1" si="389"/>
        <v>#N/A</v>
      </c>
      <c r="ER127" s="153" t="e">
        <f t="shared" ca="1" si="390"/>
        <v>#N/A</v>
      </c>
      <c r="ES127" s="153" t="e">
        <f t="shared" ca="1" si="442"/>
        <v>#N/A</v>
      </c>
      <c r="ET127" s="153" t="e">
        <f t="shared" ca="1" si="443"/>
        <v>#N/A</v>
      </c>
      <c r="EU127" s="153" t="e">
        <f t="shared" ca="1" si="391"/>
        <v>#N/A</v>
      </c>
      <c r="EV127" s="153" t="e">
        <f t="shared" ca="1" si="262"/>
        <v>#N/A</v>
      </c>
      <c r="EW127" s="153" t="e">
        <f t="shared" ca="1" si="263"/>
        <v>#N/A</v>
      </c>
      <c r="EX127" s="153" t="e">
        <f t="shared" ca="1" si="264"/>
        <v>#N/A</v>
      </c>
      <c r="EY127" s="157" t="e">
        <f t="shared" ca="1" si="265"/>
        <v>#DIV/0!</v>
      </c>
      <c r="EZ127" s="154" t="e">
        <f t="shared" ca="1" si="266"/>
        <v>#DIV/0!</v>
      </c>
      <c r="FA127" s="153" t="e">
        <f t="shared" ca="1" si="392"/>
        <v>#N/A</v>
      </c>
      <c r="FB127" s="153" t="e">
        <f t="shared" ca="1" si="267"/>
        <v>#N/A</v>
      </c>
      <c r="FC127" s="193" t="e">
        <f t="shared" ca="1" si="268"/>
        <v>#N/A</v>
      </c>
      <c r="FD127" s="158" t="e">
        <f t="shared" ca="1" si="393"/>
        <v>#N/A</v>
      </c>
      <c r="FE127" s="158" t="e">
        <f t="shared" ca="1" si="394"/>
        <v>#N/A</v>
      </c>
      <c r="FF127" s="159" t="e">
        <f t="shared" ca="1" si="269"/>
        <v>#N/A</v>
      </c>
      <c r="FG127" s="160" t="e">
        <f t="shared" ca="1" si="395"/>
        <v>#N/A</v>
      </c>
      <c r="FH127" s="158" t="e">
        <f t="shared" ca="1" si="396"/>
        <v>#N/A</v>
      </c>
      <c r="FI127" s="159" t="e">
        <f t="shared" ca="1" si="270"/>
        <v>#N/A</v>
      </c>
      <c r="FJ127" s="160" t="e">
        <f t="shared" ca="1" si="397"/>
        <v>#N/A</v>
      </c>
      <c r="FK127" s="160" t="e">
        <f t="shared" ca="1" si="271"/>
        <v>#N/A</v>
      </c>
      <c r="FL127" s="160" t="e">
        <f t="shared" ca="1" si="444"/>
        <v>#N/A</v>
      </c>
      <c r="FM127" s="160" t="e">
        <f t="shared" ca="1" si="272"/>
        <v>#N/A</v>
      </c>
      <c r="FN127" s="158">
        <f t="shared" ca="1" si="398"/>
        <v>0.01</v>
      </c>
      <c r="FO127" s="160">
        <f>Control!$C$101</f>
        <v>50</v>
      </c>
      <c r="FP127" s="150" t="e">
        <f t="shared" ca="1" si="273"/>
        <v>#N/A</v>
      </c>
      <c r="FQ127" s="150" t="e">
        <f ca="1">MAX(0,(Control!$C$112*(($DK127-Control!$C$97)/Control!$C$97)))</f>
        <v>#N/A</v>
      </c>
      <c r="FR127" s="150" t="e">
        <f ca="1">(1-$NT127)*Control!$C$113</f>
        <v>#DIV/0!</v>
      </c>
      <c r="FS127" s="198" t="e">
        <f t="shared" ca="1" si="274"/>
        <v>#N/A</v>
      </c>
      <c r="FT127" s="161">
        <f t="shared" ca="1" si="399"/>
        <v>123</v>
      </c>
      <c r="FU127" s="162" t="e">
        <f ca="1">IF(Control!$B$34=1,VLOOKUP($CP127,Control!$B$86:$G$91,6),Control!$B$35)</f>
        <v>#N/A</v>
      </c>
      <c r="FV127" s="162" t="e">
        <f t="shared" ca="1" si="275"/>
        <v>#DIV/0!</v>
      </c>
      <c r="FW127" s="162" t="e">
        <f ca="1">IF(Control!$B$31=1,$FU127*$FV127,  $FU127)</f>
        <v>#N/A</v>
      </c>
      <c r="FX127" s="162" t="e">
        <f ca="1">IF(Control!$B$34=1,VLOOKUP($CP127,Control!$B$86:$G$91,3),Control!$B$36)</f>
        <v>#N/A</v>
      </c>
      <c r="FY127" s="162" t="e">
        <f t="shared" ca="1" si="276"/>
        <v>#N/A</v>
      </c>
      <c r="FZ127" s="162" t="e">
        <f ca="1">IF(Control!$B$34=1,VLOOKUP($CP127,Control!$B$86:$G$91,4),Control!$B$37)</f>
        <v>#N/A</v>
      </c>
      <c r="GA127" s="162" t="e">
        <f t="shared" ca="1" si="277"/>
        <v>#N/A</v>
      </c>
      <c r="GB127" s="162" t="e">
        <f ca="1">IF(Control!$B$34=1,VLOOKUP($CP127,Control!$B$86:$G$91,5),Control!$B$38)</f>
        <v>#N/A</v>
      </c>
      <c r="GC127" s="162" t="e">
        <f t="shared" ca="1" si="400"/>
        <v>#N/A</v>
      </c>
      <c r="GD127" s="162">
        <f t="shared" ca="1" si="278"/>
        <v>1</v>
      </c>
      <c r="GE127" s="162">
        <f t="shared" ca="1" si="279"/>
        <v>1</v>
      </c>
      <c r="GF127" s="162">
        <f ca="1">IF(AND(Control!$C$104=1, Control!$C$62="F"),$GE127,1)</f>
        <v>1</v>
      </c>
      <c r="GG127" s="162" t="e">
        <f ca="1">IF(Control!$B$16=40,0,IF(AND(Control!$B$16&gt;40,Control!$B$16&lt;=360),(Control!$B$16-40)*((1-0)/(360-40)),IF(AND(Control!$B$16&gt;360,Control!$B$16&lt;=720),(1+(Control!$B$16-360)*((1.25-1)/(720-360))),IF(AND(Control!$B$16&gt;720,Control!$B$16&lt;=1000),(1.25+(Control!$B$16-720)*((1.35-1.25)/(1000-720))),IF(AND(Control!$B$16&gt;1000,Control!$B$16&lt;=2000),(1.35+(Control!$B$16-1000)*0))))))</f>
        <v>#N/A</v>
      </c>
      <c r="GH127" s="162" t="e">
        <f t="shared" ca="1" si="280"/>
        <v>#N/A</v>
      </c>
      <c r="GI127" s="162">
        <f t="shared" ca="1" si="401"/>
        <v>0</v>
      </c>
      <c r="GJ127" s="162">
        <f t="shared" ca="1" si="281"/>
        <v>0</v>
      </c>
      <c r="GK127" s="162">
        <f t="shared" ca="1" si="402"/>
        <v>1</v>
      </c>
      <c r="GL127" s="162">
        <f t="shared" ca="1" si="282"/>
        <v>1</v>
      </c>
      <c r="GM127" s="162" t="e">
        <f ca="1">MAX(0,MIN(1,1-Control!$C$156*(1.0001-$KH127)^2))</f>
        <v>#N/A</v>
      </c>
      <c r="GN127" s="162" t="e">
        <f ca="1">IF(Control!$B$26=1,$KU127,$KX127)</f>
        <v>#N/A</v>
      </c>
      <c r="GO127" s="162" t="e">
        <f ca="1">IF($CP127&lt;=60,Control!$C$105,IF($CP127&gt;=90,Control!$C$106,Control!$C$105+($CP127-60)*((Control!$C$106-Control!$C$105)/(90-60))))</f>
        <v>#N/A</v>
      </c>
      <c r="GP127" s="162" t="e">
        <f t="shared" ca="1" si="283"/>
        <v>#N/A</v>
      </c>
      <c r="GQ127" s="162" t="e">
        <f t="shared" ca="1" si="403"/>
        <v>#N/A</v>
      </c>
      <c r="GR127" s="163" t="e">
        <f t="shared" ca="1" si="284"/>
        <v>#DIV/0!</v>
      </c>
      <c r="GS127" s="162" t="e">
        <f t="shared" ca="1" si="285"/>
        <v>#DIV/0!</v>
      </c>
      <c r="GT127" s="164" t="e">
        <f t="shared" ca="1" si="404"/>
        <v>#N/A</v>
      </c>
      <c r="GU127" s="162" t="e">
        <f t="shared" ca="1" si="405"/>
        <v>#N/A</v>
      </c>
      <c r="GV127" s="162" t="e">
        <f t="shared" ca="1" si="286"/>
        <v>#N/A</v>
      </c>
      <c r="GW127" s="162" t="e">
        <f t="shared" ca="1" si="287"/>
        <v>#DIV/0!</v>
      </c>
      <c r="GX127" s="162" t="e">
        <f t="shared" ca="1" si="406"/>
        <v>#DIV/0!</v>
      </c>
      <c r="GY127" s="162" t="e">
        <f t="shared" ca="1" si="407"/>
        <v>#DIV/0!</v>
      </c>
      <c r="GZ127" s="165" t="e">
        <f t="shared" ca="1" si="288"/>
        <v>#N/A</v>
      </c>
      <c r="HA127" s="162" t="e">
        <f ca="1">IF(Control!$C$114=1, $DI127*$FS127, 0)</f>
        <v>#N/A</v>
      </c>
      <c r="HB127" s="162" t="e">
        <f ca="1">$FA127/Control!$C$64</f>
        <v>#N/A</v>
      </c>
      <c r="HC127" s="162" t="e">
        <f t="shared" ca="1" si="289"/>
        <v>#DIV/0!</v>
      </c>
      <c r="HD127" s="162">
        <f ca="1">-ASIN(SIN(23.45*Control!$C$139)*COS(2*Control!$C$138*($AH127+10)/365))</f>
        <v>0.26510664729743166</v>
      </c>
      <c r="HE127" s="165">
        <f t="shared" ca="1" si="408"/>
        <v>0</v>
      </c>
      <c r="HF127" s="166">
        <f ca="1">IF(AND(Control!$C$61="T",$HE127&gt;=Control!$C$103,Control!$C$114=0),$AH127,Control!$C$59)</f>
        <v>1</v>
      </c>
      <c r="HG127" s="166">
        <f ca="1">IF(AND(Control!$C$61="T",$HE127&gt;=Control!$C$103,Control!$C$114=0),$HF127,Control!$C$59)</f>
        <v>1</v>
      </c>
      <c r="HH127" s="165">
        <f ca="1">IF(AND(OR(Control!$C$60&lt;=0, $AH127= Control!$C$59, Control!$C$60 &gt;0, $AH127 = Control!$C$60)), Control!$C$59, IF(Control!$C$60&gt;0, 0))</f>
        <v>1</v>
      </c>
      <c r="HI127" s="165">
        <f ca="1">IF(AND(OR(Control!$C$60&lt;=0, $AH127= Control!$C$59, Control!$C$60 &gt;0, $AH127 = Control!$C$60)), Control!$C$60, IF(Control!$C$60&lt;=0, 0))</f>
        <v>0</v>
      </c>
      <c r="HJ127" s="166">
        <f ca="1">IF(AND(Control!$C$62="F",$CV127&gt;=Control!$C$102),$AH127,0)</f>
        <v>0</v>
      </c>
      <c r="HK127" s="165" t="e">
        <f t="shared" ca="1" si="445"/>
        <v>#N/A</v>
      </c>
      <c r="HL127" s="166">
        <f ca="1">IF(AND(Control!$C$61="T",$HE127&gt;=Control!$C$103,Control!$C$114=0),$HF127,0)</f>
        <v>0</v>
      </c>
      <c r="HM127" s="201" t="e">
        <f t="shared" ca="1" si="290"/>
        <v>#DIV/0!</v>
      </c>
      <c r="HN127" s="215">
        <f t="shared" ca="1" si="409"/>
        <v>123</v>
      </c>
      <c r="HO127" s="216" t="e">
        <f ca="1">IF(AND($CP127&gt;=0, $CP127&lt;=90), Control!$C$152, Control!$C$152)</f>
        <v>#N/A</v>
      </c>
      <c r="HP127" s="216" t="e">
        <f t="shared" ca="1" si="291"/>
        <v>#N/A</v>
      </c>
      <c r="HQ127" s="217" t="e">
        <f ca="1">IF(OR(Control!$B$26=1,Control!$B$26=2),$KV127,$KS127)</f>
        <v>#DIV/0!</v>
      </c>
      <c r="HR127" s="218" t="e">
        <f t="shared" ca="1" si="446"/>
        <v>#DIV/0!</v>
      </c>
      <c r="HS127" s="216" t="e">
        <f ca="1">Control!$C$154*$HP127</f>
        <v>#N/A</v>
      </c>
      <c r="HT127" s="216" t="e">
        <f ca="1">Control!$C$155*$HP127</f>
        <v>#N/A</v>
      </c>
      <c r="HU127" s="217" t="e">
        <f ca="1">Control!$C$161*$FI127</f>
        <v>#N/A</v>
      </c>
      <c r="HV127" s="218" t="e">
        <f t="shared" ca="1" si="410"/>
        <v>#N/A</v>
      </c>
      <c r="HW127" s="218" t="e">
        <f ca="1">Control!$C$160*$FF127+$IP127*$EO127</f>
        <v>#N/A</v>
      </c>
      <c r="HX127" s="218" t="e">
        <f t="shared" ca="1" si="447"/>
        <v>#N/A</v>
      </c>
      <c r="HY127" s="219" t="e">
        <f ca="1">IF(Control!$C$114=1, $EB127*$FS127, 0)</f>
        <v>#N/A</v>
      </c>
      <c r="HZ127" s="91" t="e">
        <f t="shared" ca="1" si="292"/>
        <v>#N/A</v>
      </c>
      <c r="IA127" s="220" t="e">
        <f ca="1">Control!$C$153*$HO127</f>
        <v>#N/A</v>
      </c>
      <c r="IB127" s="218" t="e">
        <f t="shared" ca="1" si="293"/>
        <v>#N/A</v>
      </c>
      <c r="IC127" s="220" t="e">
        <f ca="1">Control!$C$153*$HT127</f>
        <v>#N/A</v>
      </c>
      <c r="ID127" s="218" t="e">
        <f t="shared" ca="1" si="294"/>
        <v>#N/A</v>
      </c>
      <c r="IE127" s="221" t="e">
        <f ca="1">($EB127*Control!$C$159+$EF127*Control!$C$160)/(IF($GZ127&lt;&gt;0,$GZ127,1))</f>
        <v>#N/A</v>
      </c>
      <c r="IF127" s="216" t="e">
        <f t="shared" ca="1" si="295"/>
        <v>#N/A</v>
      </c>
      <c r="IG127" s="91">
        <f ca="1">IF(OR(Control!$B$198=$AH127,Control!$B$199=$AH127, Control!$B$200=$AH127, Control!$B$201=$AH127, Control!$B$202=$AH127, Control!$B$203=$AH127, Control!$B$204=$AH127, Control!$B$205=$AH127, Control!$B$206=$AH127, Control!$B$207=$AH127), 1, 0)</f>
        <v>0</v>
      </c>
      <c r="IH127" s="91">
        <f ca="1">IF($IG127=0,0, VLOOKUP($AH127,Control!$B$198:$C$207,2))</f>
        <v>0</v>
      </c>
      <c r="II127" s="222">
        <f t="shared" ca="1" si="411"/>
        <v>0</v>
      </c>
      <c r="IJ127" s="91">
        <f>Control!$C$121</f>
        <v>0.7</v>
      </c>
      <c r="IK127" s="218">
        <f t="shared" ca="1" si="296"/>
        <v>0</v>
      </c>
      <c r="IL127" s="217" t="e">
        <f t="shared" ca="1" si="448"/>
        <v>#N/A</v>
      </c>
      <c r="IM127" s="223" t="e">
        <f ca="1">IF(AND(Control!$C$114=1,$KH127&lt;1),$EB127*Control!$C$148*(1-$KH127), 0)</f>
        <v>#N/A</v>
      </c>
      <c r="IN127" s="217" t="e">
        <f t="shared" ca="1" si="297"/>
        <v>#DIV/0!</v>
      </c>
      <c r="IO127" s="91" t="e">
        <f ca="1">MAX(0,$IL127-$EF127*Control!$C$160)</f>
        <v>#N/A</v>
      </c>
      <c r="IP127" s="220" t="e">
        <f t="shared" ca="1" si="298"/>
        <v>#N/A</v>
      </c>
      <c r="IQ127" s="217" t="e">
        <f t="shared" ca="1" si="412"/>
        <v>#N/A</v>
      </c>
      <c r="IR127" s="218" t="e">
        <f t="shared" ca="1" si="299"/>
        <v>#N/A</v>
      </c>
      <c r="IS127" s="217" t="e">
        <f ca="1">Control!$C$159*MAX(0,$FD127-$EN127)</f>
        <v>#N/A</v>
      </c>
      <c r="IT127" s="217" t="e">
        <f t="shared" ca="1" si="449"/>
        <v>#N/A</v>
      </c>
      <c r="IU127" s="217" t="e">
        <f t="shared" ca="1" si="413"/>
        <v>#N/A</v>
      </c>
      <c r="IV127" s="217" t="e">
        <f t="shared" ca="1" si="450"/>
        <v>#N/A</v>
      </c>
      <c r="IW127" s="217" t="e">
        <f ca="1">IF(OR($AW127=1,AND($AW127=0, Control!$B$18=1,$EN127&lt;&gt;0)), $IQ127-$IU127, $IQ127)</f>
        <v>#N/A</v>
      </c>
      <c r="IX127" s="218" t="e">
        <f t="shared" ca="1" si="300"/>
        <v>#N/A</v>
      </c>
      <c r="IY127" s="218" t="e">
        <f ca="1">MAX(0,$IQ127-$EB127*Control!$C$159)</f>
        <v>#N/A</v>
      </c>
      <c r="IZ127" s="218" t="e">
        <f t="shared" ca="1" si="301"/>
        <v>#N/A</v>
      </c>
      <c r="JA127" s="216" t="e">
        <f t="shared" ca="1" si="302"/>
        <v>#N/A</v>
      </c>
      <c r="JB127" s="217" t="e">
        <f t="shared" ca="1" si="303"/>
        <v>#N/A</v>
      </c>
      <c r="JC127" s="222" t="e">
        <f ca="1">MAX(Control!$C$157*$EK127-$JT127, 0)/Control!$C$162</f>
        <v>#N/A</v>
      </c>
      <c r="JD127" s="218" t="e">
        <f t="shared" ca="1" si="304"/>
        <v>#N/A</v>
      </c>
      <c r="JE127" s="218" t="e">
        <f t="shared" ca="1" si="305"/>
        <v>#N/A</v>
      </c>
      <c r="JF127" s="218" t="e">
        <f t="shared" ca="1" si="414"/>
        <v>#N/A</v>
      </c>
      <c r="JG127" s="218" t="e">
        <f t="shared" ca="1" si="306"/>
        <v>#N/A</v>
      </c>
      <c r="JH127" s="217" t="e">
        <f t="shared" ca="1" si="415"/>
        <v>#N/A</v>
      </c>
      <c r="JI127" s="217" t="e">
        <f t="shared" ca="1" si="416"/>
        <v>#N/A</v>
      </c>
      <c r="JJ127" s="217" t="e">
        <f t="shared" ca="1" si="451"/>
        <v>#N/A</v>
      </c>
      <c r="JK127" s="217" t="e">
        <f ca="1">IF(Control!$C$114=1,IF(Control!$B$24=0,MAX(0,$JI127)*$GN127/Control!$C$64,(MAX(0,MIN($JI127,$JJ127*$GN127/Control!$C$64),0))))</f>
        <v>#N/A</v>
      </c>
      <c r="JL127" s="217" t="e">
        <f ca="1">$IK127/Control!$C$64-$JK127+$HQ127</f>
        <v>#N/A</v>
      </c>
      <c r="JM127" s="217" t="e">
        <f ca="1">IF(Control!$C$114=1,($JB127/(IF($JI127&lt;&gt;0,$JI127,1)))*$JK127,0)</f>
        <v>#N/A</v>
      </c>
      <c r="JN127" s="217" t="e">
        <f ca="1">IF(Control!$C$114=1,($JG127/(IF($JI127&lt;&gt;0,$JI127,1)))*$JK127, 0)</f>
        <v>#N/A</v>
      </c>
      <c r="JO127" s="218" t="e">
        <f t="shared" ca="1" si="307"/>
        <v>#N/A</v>
      </c>
      <c r="JP127" s="218" t="e">
        <f ca="1">MIN(($IY127+$IO127)*Control!$C$151, $JF127-$EH127*Control!$C$161)</f>
        <v>#N/A</v>
      </c>
      <c r="JQ127" s="218" t="e">
        <f t="shared" ca="1" si="308"/>
        <v>#N/A</v>
      </c>
      <c r="JR127" s="217" t="e">
        <f ca="1">IF($CP127-Control!$C$150&lt;0, 0, $JQ127/Control!$C$162)</f>
        <v>#N/A</v>
      </c>
      <c r="JS127" s="218" t="e">
        <f t="shared" ca="1" si="309"/>
        <v>#N/A</v>
      </c>
      <c r="JT127" s="218" t="e">
        <f t="shared" ca="1" si="417"/>
        <v>#N/A</v>
      </c>
      <c r="JU127" s="218" t="e">
        <f t="shared" ca="1" si="310"/>
        <v>#N/A</v>
      </c>
      <c r="JV127" s="218" t="e">
        <f t="shared" ca="1" si="311"/>
        <v>#N/A</v>
      </c>
      <c r="JW127" s="216" t="e">
        <f t="shared" ca="1" si="312"/>
        <v>#N/A</v>
      </c>
      <c r="JX127" s="91" t="e">
        <f t="shared" ca="1" si="313"/>
        <v>#N/A</v>
      </c>
      <c r="JY127" s="218" t="e">
        <f t="shared" ca="1" si="314"/>
        <v>#N/A</v>
      </c>
      <c r="JZ127" s="217" t="e">
        <f ca="1">IF(Control!$C$114=1,($IZ127/(IF($JI127&lt;&gt;0,$JI127,1)))*$JK127, 0)</f>
        <v>#N/A</v>
      </c>
      <c r="KA127" s="218" t="e">
        <f t="shared" ca="1" si="452"/>
        <v>#N/A</v>
      </c>
      <c r="KB127" s="218" t="e">
        <f t="shared" ca="1" si="418"/>
        <v>#N/A</v>
      </c>
      <c r="KC127" s="218" t="e">
        <f t="shared" ca="1" si="315"/>
        <v>#N/A</v>
      </c>
      <c r="KD127" s="218" t="e">
        <f t="shared" ca="1" si="316"/>
        <v>#N/A</v>
      </c>
      <c r="KE127" s="218" t="e">
        <f t="shared" ca="1" si="317"/>
        <v>#N/A</v>
      </c>
      <c r="KF127" s="218" t="e">
        <f t="shared" ca="1" si="318"/>
        <v>#N/A</v>
      </c>
      <c r="KG127" s="216" t="e">
        <f t="shared" ca="1" si="319"/>
        <v>#N/A</v>
      </c>
      <c r="KH127" s="221" t="e">
        <f ca="1">IF(Control!$B$24=0,1,MAX(0.001,MIN(1,IF(($IF127-$IE127)&lt;&gt;0,($KG127-$IE127)/($IF127-$IE127),1))))</f>
        <v>#N/A</v>
      </c>
      <c r="KI127" s="222" t="e">
        <f ca="1">IF(Control!$C$114=1, $KI126+ $KH126, 0)</f>
        <v>#N/A</v>
      </c>
      <c r="KJ127" s="217" t="e">
        <f t="shared" ca="1" si="320"/>
        <v>#N/A</v>
      </c>
      <c r="KK127" s="218" t="e">
        <f t="shared" ca="1" si="321"/>
        <v>#N/A</v>
      </c>
      <c r="KL127" s="274" t="e">
        <f ca="1">IF(Control!$B$26=3,4000000000*EXP(-8400/($G127+273)),IF(Control!$B$26=4,4000000000*EXP(-8400/($G127+273))*($KT127),0))</f>
        <v>#DIV/0!</v>
      </c>
      <c r="KM127" s="274" t="e">
        <f ca="1">IF(Control!$B$26=3,5600000000000*EXP(-9800/($G127+273)),IF(Control!$B$26=4,5600000000000*EXP(-9800/($G127+273))*$KT127,0))</f>
        <v>#DIV/0!</v>
      </c>
      <c r="KN127" s="454" t="e">
        <f t="shared" ca="1" si="419"/>
        <v>#DIV/0!</v>
      </c>
      <c r="KO127" s="274" t="e">
        <f t="shared" ca="1" si="420"/>
        <v>#DIV/0!</v>
      </c>
      <c r="KP127" s="454" t="e">
        <f t="shared" ca="1" si="322"/>
        <v>#DIV/0!</v>
      </c>
      <c r="KQ127" s="454" t="e">
        <f t="shared" ca="1" si="323"/>
        <v>#DIV/0!</v>
      </c>
      <c r="KR127" s="454" t="e">
        <f t="shared" ca="1" si="324"/>
        <v>#DIV/0!</v>
      </c>
      <c r="KS127" s="454" t="e">
        <f t="shared" ca="1" si="325"/>
        <v>#DIV/0!</v>
      </c>
      <c r="KT127" s="455" t="e">
        <f t="shared" ca="1" si="326"/>
        <v>#DIV/0!</v>
      </c>
      <c r="KU127" s="456" t="e">
        <f ca="1">IF($CP127-Control!$C$149&lt;0, IF($NT127-0.01&lt;0,0,1),0)</f>
        <v>#N/A</v>
      </c>
      <c r="KV127" s="456" t="e">
        <f ca="1">IF(Control!$C$114=1,MAX(0,MIN(Control!$C$125*$KW127*$GN127,$KW127)))</f>
        <v>#DIV/0!</v>
      </c>
      <c r="KW127" s="456" t="e">
        <f t="shared" ca="1" si="453"/>
        <v>#DIV/0!</v>
      </c>
      <c r="KX127" s="457" t="e">
        <f ca="1">IF($CP127-Control!$C$149&lt;0, IF($MR127-$OM127&lt;0,0,1),0)</f>
        <v>#N/A</v>
      </c>
      <c r="KY127" s="167">
        <f t="shared" ca="1" si="421"/>
        <v>123</v>
      </c>
      <c r="KZ127" s="168">
        <f ca="1">1370*(1+0.033*COS(2*Control!$C$138*$AH127/365))</f>
        <v>1346.5021910149978</v>
      </c>
      <c r="LA127" s="169">
        <f t="shared" ca="1" si="422"/>
        <v>0.98284845419886802</v>
      </c>
      <c r="LB127" s="169">
        <f t="shared" ca="1" si="423"/>
        <v>0.27194026552081696</v>
      </c>
      <c r="LC127" s="169">
        <f ca="1">ACOS(-TAN((2*Control!$B$8/360))*TAN(Calculations!$LB127))</f>
        <v>1.6537660282548878</v>
      </c>
      <c r="LD127" s="169">
        <f ca="1">((24*60)/PI())*0.082*$LA127*(($LC127*SIN(Control!$B$8*2*PI()/360))*SIN($LB127)+COS(Control!$B$8*2*PI()/360)*COS($LB127)*SIN($LC127))</f>
        <v>34.763073050601847</v>
      </c>
      <c r="LE127" s="170">
        <f t="shared" ca="1" si="327"/>
        <v>35.303499804886243</v>
      </c>
      <c r="LF127" s="170">
        <f ca="1">SIN(Control!$C$139*Control!$B$8)*SIN($HD127)</f>
        <v>0.20646876656444002</v>
      </c>
      <c r="LG127" s="170">
        <f ca="1">COS(Control!$C$139*Control!$B$8)*COS($HD127)</f>
        <v>0.59415145896716492</v>
      </c>
      <c r="LH127" s="170">
        <f ca="1">12*(1+2*ASIN(MAX(-1,MIN(1,$LF127/$LG127))/Control!$C$138))</f>
        <v>14.660156365474995</v>
      </c>
      <c r="LI127" s="170">
        <f ca="1">12*(1+2*ASIN(MAX(-1,MIN(1,(-SIN(-4*Control!$C$139)+$LF127)/$LG127))/Control!$C$138))</f>
        <v>15.564714996520596</v>
      </c>
      <c r="LJ127" s="168">
        <f ca="1">3600*($LH127*$LF127+24*$LG127*SQRT(1-$LK127*$LK127)/Control!$C$138)</f>
        <v>26218.672379785992</v>
      </c>
      <c r="LK127" s="170">
        <f t="shared" ca="1" si="328"/>
        <v>0.34750190956924043</v>
      </c>
      <c r="LL127" s="170">
        <f t="shared" ca="1" si="329"/>
        <v>0</v>
      </c>
      <c r="LM127" s="171">
        <f ca="1">Control!$C$145*$AB127</f>
        <v>6.6660906138995932E-2</v>
      </c>
      <c r="LN127" s="170">
        <f t="shared" ca="1" si="424"/>
        <v>0.54</v>
      </c>
      <c r="LO127" s="170">
        <f t="shared" ca="1" si="330"/>
        <v>0</v>
      </c>
      <c r="LP127" s="170">
        <f ca="1">Control!$C$140*((($D127+273.16)^4+($E127+273.16)^4)/2)*(0.34-0.14*SQRT($Y127))*(1.35*$AQ127/(0.75*$LD127)-0.35)</f>
        <v>-3.2464704755046001</v>
      </c>
      <c r="LQ127" s="170">
        <f ca="1">Control!$C$140*($G127+273)^4*(0.56-0.079*SQRT($Y127*10))*(0.1+0.9*$LO127)</f>
        <v>1.5241745131704001</v>
      </c>
      <c r="LR127" s="170">
        <f ca="1">$AQ127*(1-Control!$C$142)-$LQ127</f>
        <v>-1.5241745131704001</v>
      </c>
      <c r="LS127" s="170">
        <f ca="1">$AQ127*(1-Control!$C$143)-$LQ127</f>
        <v>-1.5241745131704001</v>
      </c>
      <c r="LT127" s="170">
        <f ca="1">$AQ127*(1-Control!$C$144)-$LQ127</f>
        <v>-1.5241745131704001</v>
      </c>
      <c r="LU127" s="169">
        <f ca="1">(1-Control!$C$144)*AQ127-LP127</f>
        <v>3.2464704755046001</v>
      </c>
      <c r="LV127" s="172">
        <f t="shared" ca="1" si="331"/>
        <v>0.79430000000000012</v>
      </c>
      <c r="LW127" s="170">
        <f t="shared" ca="1" si="332"/>
        <v>1.5886000000000002</v>
      </c>
      <c r="LX127" s="170">
        <f ca="1">($AC127*($LR127/Control!$C$141)+$LM127*$LV127)/($AC127+$LM127)</f>
        <v>0.23530094218323697</v>
      </c>
      <c r="LY127" s="170">
        <f ca="1">($AC127*($LS127/Control!$C$141)+$LM127*$LV127)/($AC127+$LM127)</f>
        <v>0.23530094218323697</v>
      </c>
      <c r="LZ127" s="170">
        <f t="shared" ca="1" si="333"/>
        <v>0.23530094218323697</v>
      </c>
      <c r="MA127" s="170">
        <f t="shared" ca="1" si="334"/>
        <v>0.23530094218323697</v>
      </c>
      <c r="MB127" s="170" t="e">
        <f t="shared" ca="1" si="335"/>
        <v>#N/A</v>
      </c>
      <c r="MC127" s="170">
        <f t="shared" ca="1" si="425"/>
        <v>0.6018</v>
      </c>
      <c r="MD127" s="170">
        <f t="shared" ca="1" si="336"/>
        <v>0.52989392535414004</v>
      </c>
      <c r="ME127" s="170">
        <f ca="1">($AC127*($LT127/Control!$C$141)+$LM127*$LW127)/($AC127+$LM127)</f>
        <v>0.71612369323045078</v>
      </c>
      <c r="MF127" s="170" t="e">
        <f ca="1">IF(Control!$B$16&gt;=1000,0.92,IF(AND(720&lt;=Control!$B$16,1000&gt;Control!$B$16),(0.95+(Control!$B$16-720)*((0.92-0.95)/(1000-720))),IF(AND(360&lt;=Control!$B$16,720&gt;Control!$B$16),(1+(Control!$B$16-360)*((0.95-1)/(720-360))),IF(AND(40&lt;=Control!$B$16,360&gt;Control!$B$16),(1.05+(Control!$B$16-40)*((1.05-1)/(360-40)))))))</f>
        <v>#N/A</v>
      </c>
      <c r="MG127" s="170">
        <f t="shared" ca="1" si="337"/>
        <v>0.71612369323045078</v>
      </c>
      <c r="MH127" s="170" t="e">
        <f t="shared" ca="1" si="464"/>
        <v>#N/A</v>
      </c>
      <c r="MI127" s="170" t="e">
        <f t="shared" ca="1" si="464"/>
        <v>#N/A</v>
      </c>
      <c r="MJ127" s="170" t="e">
        <f ca="1">MAX(0.0001, Control!$C$132*$MI127*$DL127)</f>
        <v>#N/A</v>
      </c>
      <c r="MK127" s="170">
        <f ca="1">1/(0.76+1.5*($MG127/10))-(5-Control!$C$110)*0.1</f>
        <v>1.002845988140797</v>
      </c>
      <c r="ML127" s="173">
        <f ca="1">IF(Control!$C$110&lt;3,$MK127+($MG127-0.6)/(Control!$C$110*(Control!$C$110+3)), MAX(0.1, MIN(0.95,$MK127)))</f>
        <v>0.95</v>
      </c>
      <c r="MM127" s="173">
        <f ca="1">IF(Control!$C$110&lt;3,$MK127+(($MI127/10)-0.6)/(Control!$C$110*(Control!$C$110+3)), MAX(0.1, MIN(0.95,$MK127)))</f>
        <v>0.95</v>
      </c>
      <c r="MN127" s="173">
        <f ca="1">(1-$MM127)*(Control!$C$128-Control!$C$127)+Control!$C$127</f>
        <v>0.16</v>
      </c>
      <c r="MO127" s="170" t="e">
        <f ca="1">MAX(0,MIN(1,($MS127-Control!$C$127)/($MN127-Control!$C$127)))</f>
        <v>#DIV/0!</v>
      </c>
      <c r="MP127" s="173" t="e">
        <f ca="1">1/(0.76+1.5*$MI127)-(5-Control!$C$110)*0.1</f>
        <v>#N/A</v>
      </c>
      <c r="MQ127" s="172" t="e">
        <f t="shared" ca="1" si="454"/>
        <v>#DIV/0!</v>
      </c>
      <c r="MR127" s="168" t="e">
        <f t="shared" ca="1" si="426"/>
        <v>#DIV/0!</v>
      </c>
      <c r="MS127" s="173" t="e">
        <f ca="1">MAX(Control!$C$127, MIN(Control!$C$135, $MR127/MAX(0.0001,$CY127)))</f>
        <v>#DIV/0!</v>
      </c>
      <c r="MT127" s="168" t="e">
        <f ca="1">(Control!$C$128-$MS127)*Control!$C$74</f>
        <v>#DIV/0!</v>
      </c>
      <c r="MU127" s="168" t="e">
        <f ca="1">(Control!$C$135-$MS127)*Control!$C$74</f>
        <v>#DIV/0!</v>
      </c>
      <c r="MV127" s="168" t="e">
        <f t="shared" ca="1" si="427"/>
        <v>#DIV/0!</v>
      </c>
      <c r="MW127" s="168" t="e">
        <f t="shared" ca="1" si="428"/>
        <v>#DIV/0!</v>
      </c>
      <c r="MX127" s="171" t="e">
        <f ca="1">MAX(Control!$C$127, MIN(Control!$C$135, $MW127/MAX(0.0001,Control!$C$119-$CY127)))</f>
        <v>#DIV/0!</v>
      </c>
      <c r="MY127" s="54" t="e">
        <f ca="1">IF(Control!$C$114=1, $CX127*$MX127, 0)</f>
        <v>#DIV/0!</v>
      </c>
      <c r="MZ127" s="54" t="e">
        <f t="shared" ca="1" si="429"/>
        <v>#N/A</v>
      </c>
      <c r="NA127" s="168" t="e">
        <f ca="1">(Control!$C$128-$MX127)*(Control!$C$119-Control!$C$74)</f>
        <v>#DIV/0!</v>
      </c>
      <c r="NB127" s="168" t="e">
        <f ca="1">(Control!$C$135-$MX127)*(Control!$C$119-Control!$C$74)</f>
        <v>#DIV/0!</v>
      </c>
      <c r="NC127" s="174" t="e">
        <f t="shared" ca="1" si="430"/>
        <v>#DIV/0!</v>
      </c>
      <c r="ND127" s="54">
        <f ca="1">IF(Control!$C$58=2, IF(OR(Control!$B$218=$AH127,Control!$B$219=$AH127, Control!$B$220=$AH127, Control!$B$221=$AH127, Control!$B$222=$AH127, Control!$B$223=$AH127, Control!$B$224=$AH127, Control!$B$225=$AH127, Control!$B$226=$AH127, Control!$B$227=$AH127, Control!$B$228=$AH127), 1, 0), 0)</f>
        <v>0</v>
      </c>
      <c r="NE127" s="54">
        <f ca="1">IF($ND127=0,0, VLOOKUP($AH127,Control!$B$218:$C$228,2))</f>
        <v>0</v>
      </c>
      <c r="NF127" s="168" t="e">
        <f ca="1">$CY127*(Control!$C$128-Control!$C$127)</f>
        <v>#N/A</v>
      </c>
      <c r="NG127" s="54" t="e">
        <f ca="1">IF(Control!$C$58=2, $NI126-$NJ126, 0)</f>
        <v>#DIV/0!</v>
      </c>
      <c r="NH127" s="54" t="e">
        <f ca="1">IF(AND(Control!$C$58=1, $MS126&lt;= ($MN126+0.02), $I126&lt;10), 0, IF(Control!$C$58=2, $NG126, 0))</f>
        <v>#DIV/0!</v>
      </c>
      <c r="NI127" s="54" t="e">
        <f ca="1">IF(Control!$C$58=2, $NE127+$NH127,0)</f>
        <v>#DIV/0!</v>
      </c>
      <c r="NJ127" s="54" t="e">
        <f ca="1">IF(AND(Control!$C$58=1, $MS127&lt;= ($MN127+0.02), $I127&lt;10), MAX(0, MIN(10, 0.7*($NF127-$MV127))), IF(Control!$C$58=2, MIN(10,$NI127),0))</f>
        <v>#DIV/0!</v>
      </c>
      <c r="NK127" s="54" t="e">
        <f t="shared" ca="1" si="338"/>
        <v>#DIV/0!</v>
      </c>
      <c r="NL127" s="173" t="e">
        <f ca="1">(1-Control!$C$73)*$I127+$NJ127</f>
        <v>#DIV/0!</v>
      </c>
      <c r="NM127" s="172" t="e">
        <f ca="1">IF($NL127&lt;0.5, $MB127* MAX(0, MIN(1, (SQRT($NC127)-SQRT($NC127-1))*Control!$C$71)),0)</f>
        <v>#DIV/0!</v>
      </c>
      <c r="NN127" s="170" t="e">
        <f ca="1">IF($NL127&gt;=5, $MB127, MAX(0,MIN($MB127, $NM127+$NL127,($MS127-Control!$C$129))))</f>
        <v>#DIV/0!</v>
      </c>
      <c r="NO127" s="54">
        <f>IF(Control!$C$133&lt;&gt;1, Control!$C$135-Control!$C$131, 0)</f>
        <v>0.38</v>
      </c>
      <c r="NP127" s="54" t="e">
        <f t="shared" ca="1" si="339"/>
        <v>#DIV/0!</v>
      </c>
      <c r="NQ127" s="173" t="e">
        <f ca="1">MAX(0,MIN(1,(Control!$C$135-$MS127)/(Control!$C$135-$NO127)))</f>
        <v>#DIV/0!</v>
      </c>
      <c r="NR127" s="170" t="e">
        <f ca="1">IF(Control!$C$133&lt;&gt;1, $NQ127+((1-$NP127/4)*(1-$NQ127)),1)</f>
        <v>#DIV/0!</v>
      </c>
      <c r="NS127" s="170" t="e">
        <f ca="1">IF(Control!$B$31=0,$MJ127,MAX(0,MIN($MV127,$MO127*$NR127*$MJ127)))</f>
        <v>#DIV/0!</v>
      </c>
      <c r="NT127" s="170" t="e">
        <f t="shared" ca="1" si="455"/>
        <v>#DIV/0!</v>
      </c>
      <c r="NU127" s="170" t="e">
        <f t="shared" ca="1" si="431"/>
        <v>#N/A</v>
      </c>
      <c r="NV127" s="170" t="e">
        <f t="shared" ca="1" si="340"/>
        <v>#N/A</v>
      </c>
      <c r="NW127" s="175" t="e">
        <f t="shared" ca="1" si="341"/>
        <v>#DIV/0!</v>
      </c>
      <c r="NX127" s="170" t="e">
        <f ca="1">MIN(Control!$C$72+$MU127, $NW127)</f>
        <v>#DIV/0!</v>
      </c>
      <c r="NY127" s="170" t="e">
        <f ca="1">IF($MT127&lt;=$NX127,MIN(Control!$C$72+$NB127,$NX127-$MT127),0)</f>
        <v>#DIV/0!</v>
      </c>
      <c r="NZ127" s="54" t="e">
        <f ca="1">IF(Control!$C$114=1,  $CX127*($MX127-Control!$C$127), 0)</f>
        <v>#DIV/0!</v>
      </c>
      <c r="OA127" s="170" t="e">
        <f t="shared" ca="1" si="342"/>
        <v>#DIV/0!</v>
      </c>
      <c r="OB127" s="170" t="e">
        <f ca="1">IF($NA127 &lt;=$NY127, MIN(Control!$C$72, $NY127-$NA127), 0)</f>
        <v>#DIV/0!</v>
      </c>
      <c r="OC127" s="168" t="e">
        <f t="shared" ca="1" si="343"/>
        <v>#DIV/0!</v>
      </c>
      <c r="OD127" s="168" t="e">
        <f t="shared" ca="1" si="432"/>
        <v>#DIV/0!</v>
      </c>
      <c r="OE127" s="170">
        <f ca="1">Control!$C$73*$I127</f>
        <v>0</v>
      </c>
      <c r="OF127" s="176" t="e">
        <f t="shared" ca="1" si="344"/>
        <v>#DIV/0!</v>
      </c>
      <c r="OG127" s="168" t="e">
        <f t="shared" ca="1" si="345"/>
        <v>#DIV/0!</v>
      </c>
      <c r="OH127" s="168" t="e">
        <f t="shared" ca="1" si="346"/>
        <v>#DIV/0!</v>
      </c>
      <c r="OI127" s="168" t="e">
        <f t="shared" ca="1" si="347"/>
        <v>#DIV/0!</v>
      </c>
      <c r="OJ127" s="168" t="e">
        <f t="shared" ca="1" si="348"/>
        <v>#DIV/0!</v>
      </c>
      <c r="OK127" s="204" t="e">
        <f t="shared" ca="1" si="349"/>
        <v>#DIV/0!</v>
      </c>
      <c r="OL127" s="177">
        <f>Control!$C$127</f>
        <v>0.15</v>
      </c>
      <c r="OM127" s="182" t="e">
        <f t="shared" ca="1" si="350"/>
        <v>#N/A</v>
      </c>
      <c r="ON127" s="177">
        <f>Control!$C$128</f>
        <v>0.35</v>
      </c>
      <c r="OO127" s="182" t="e">
        <f t="shared" ca="1" si="351"/>
        <v>#N/A</v>
      </c>
      <c r="OP127" s="138">
        <f t="shared" ca="1" si="433"/>
        <v>0</v>
      </c>
      <c r="OQ127" s="138" t="e">
        <f t="shared" ca="1" si="456"/>
        <v>#DIV/0!</v>
      </c>
      <c r="OR127" s="138" t="e">
        <f t="shared" ca="1" si="434"/>
        <v>#DIV/0!</v>
      </c>
      <c r="OS127" s="137" t="e">
        <f t="shared" ca="1" si="457"/>
        <v>#DIV/0!</v>
      </c>
      <c r="OT127" s="139" t="e">
        <f t="shared" ca="1" si="458"/>
        <v>#DIV/0!</v>
      </c>
      <c r="OU127" s="138" t="e">
        <f t="shared" ca="1" si="459"/>
        <v>#N/A</v>
      </c>
      <c r="OV127" s="138" t="e">
        <f t="shared" ca="1" si="460"/>
        <v>#DIV/0!</v>
      </c>
      <c r="OW127" s="138" t="e">
        <f t="shared" ca="1" si="435"/>
        <v>#DIV/0!</v>
      </c>
      <c r="OX127" s="138" t="e">
        <f t="shared" ca="1" si="436"/>
        <v>#DIV/0!</v>
      </c>
      <c r="OY127" s="138" t="e">
        <f t="shared" ca="1" si="437"/>
        <v>#DIV/0!</v>
      </c>
      <c r="OZ127" s="138" t="e">
        <f t="shared" ca="1" si="352"/>
        <v>#DIV/0!</v>
      </c>
      <c r="PA127" s="138" t="e">
        <f t="shared" ca="1" si="353"/>
        <v>#DIV/0!</v>
      </c>
      <c r="PB127" s="55">
        <f>IF(Control!$C$61="T", IF(Control!$C$65="F", IF($AH$6-Control!$C$60&lt;0,0,1), IF(365+$AH$6-Control!$C$60&lt;0,0,1)),0)</f>
        <v>0</v>
      </c>
      <c r="PC127" s="55">
        <f ca="1">IF(Control!$C$65="F", IF($AH$6-$HF127&lt;0,0,1), IF(365+$AH$6-$HF127&lt;0,0,1))</f>
        <v>1</v>
      </c>
      <c r="PD127" s="444">
        <f>Control!$C$118</f>
        <v>1500</v>
      </c>
      <c r="PE127" s="180" t="e">
        <f t="shared" ca="1" si="354"/>
        <v>#N/A</v>
      </c>
      <c r="PF127" s="445">
        <f t="shared" ca="1" si="438"/>
        <v>0.71612369323045078</v>
      </c>
      <c r="PT127" s="186"/>
      <c r="PU127" s="186"/>
      <c r="PV127" s="94"/>
      <c r="PW127" s="94"/>
      <c r="PX127" s="94"/>
      <c r="PY127" s="94"/>
      <c r="PZ127" s="94"/>
      <c r="QA127" s="94"/>
      <c r="QB127" s="94"/>
      <c r="QC127" s="94"/>
      <c r="QD127" s="94"/>
      <c r="QE127" s="94"/>
      <c r="QF127" s="94"/>
      <c r="QG127" s="94"/>
      <c r="QH127" s="94"/>
      <c r="QI127" s="94"/>
      <c r="QJ127" s="94"/>
      <c r="QK127" s="94"/>
      <c r="QL127" s="94"/>
      <c r="QM127" s="94"/>
      <c r="QN127" s="94"/>
      <c r="QO127" s="94"/>
      <c r="QP127" s="94"/>
    </row>
    <row r="128" spans="1:458" s="2" customFormat="1" x14ac:dyDescent="0.2">
      <c r="A128" s="395">
        <v>3</v>
      </c>
      <c r="B128" s="396">
        <v>5</v>
      </c>
      <c r="C128" s="387">
        <f ca="1">Weather_data!$B127</f>
        <v>0</v>
      </c>
      <c r="D128" s="388">
        <f ca="1">Weather_data!$F127</f>
        <v>0</v>
      </c>
      <c r="E128" s="388">
        <f ca="1">Weather_data!$E127</f>
        <v>0</v>
      </c>
      <c r="F128" s="388">
        <f t="shared" ca="1" si="355"/>
        <v>0</v>
      </c>
      <c r="G128" s="388">
        <f ca="1">AVERAGE($D128:$E128)+Control!$B$9</f>
        <v>0</v>
      </c>
      <c r="H128" s="388">
        <f ca="1">Weather_data!$G127</f>
        <v>0</v>
      </c>
      <c r="I128" s="388">
        <f ca="1">Weather_data!$I127</f>
        <v>0</v>
      </c>
      <c r="J128" s="388">
        <f ca="1">Weather_data!$H127</f>
        <v>0</v>
      </c>
      <c r="K128" s="389">
        <f ca="1">Weather_data!$D127</f>
        <v>0</v>
      </c>
      <c r="L128" s="388" t="e">
        <f t="shared" ca="1" si="356"/>
        <v>#N/A</v>
      </c>
      <c r="M128" s="388" t="e">
        <f t="shared" ca="1" si="234"/>
        <v>#N/A</v>
      </c>
      <c r="N128" s="388">
        <f t="shared" ca="1" si="235"/>
        <v>-1.3078446372894138E-6</v>
      </c>
      <c r="O128" s="388">
        <f t="shared" ca="1" si="357"/>
        <v>1.3078446372894138E-5</v>
      </c>
      <c r="P128" s="390">
        <v>3</v>
      </c>
      <c r="Q128" s="388">
        <f ca="1">MAX($G128-Control!$C$107,0)</f>
        <v>0</v>
      </c>
      <c r="R128" s="388">
        <f t="shared" ca="1" si="358"/>
        <v>0</v>
      </c>
      <c r="S128" s="388">
        <f t="shared" ca="1" si="236"/>
        <v>0</v>
      </c>
      <c r="T128" s="388">
        <f t="shared" ca="1" si="237"/>
        <v>0</v>
      </c>
      <c r="U128" s="59">
        <f t="shared" ca="1" si="238"/>
        <v>0</v>
      </c>
      <c r="V128" s="391">
        <f ca="1">MAX(0,MIN(Control!$C$100-Control!$C$99,$G128-Control!$C$99)*Control!$C$63)</f>
        <v>0</v>
      </c>
      <c r="W128" s="388">
        <f t="shared" ca="1" si="359"/>
        <v>0</v>
      </c>
      <c r="X128" s="388">
        <f t="shared" ca="1" si="360"/>
        <v>0.6110000000000001</v>
      </c>
      <c r="Y128" s="388">
        <f t="shared" ca="1" si="239"/>
        <v>0</v>
      </c>
      <c r="Z128" s="388">
        <f t="shared" ca="1" si="361"/>
        <v>0.61058800000000002</v>
      </c>
      <c r="AA128" s="388">
        <f t="shared" ca="1" si="240"/>
        <v>0.6018</v>
      </c>
      <c r="AB128" s="388">
        <f ca="1">101.3*EXP(-0.034*Control!$C$66/($G128+273))</f>
        <v>100.69623283836242</v>
      </c>
      <c r="AC128" s="392">
        <f t="shared" ca="1" si="241"/>
        <v>4.3460251046025113E-2</v>
      </c>
      <c r="AD128" s="392">
        <f t="shared" ca="1" si="242"/>
        <v>4.4450382862832649E-2</v>
      </c>
      <c r="AE128" s="388">
        <f t="shared" ca="1" si="243"/>
        <v>0</v>
      </c>
      <c r="AF128" s="388">
        <f ca="1">MAX(0,$G128-Control!$C$92)</f>
        <v>0</v>
      </c>
      <c r="AG128" s="393">
        <f t="shared" ca="1" si="244"/>
        <v>124</v>
      </c>
      <c r="AH128" s="389">
        <f t="shared" ca="1" si="245"/>
        <v>124</v>
      </c>
      <c r="AI128" s="388">
        <f t="shared" ca="1" si="362"/>
        <v>0.27041269960521569</v>
      </c>
      <c r="AJ128" s="388">
        <f ca="1">IF(Control!$C$60&lt;=0,$HH128,$HI128)</f>
        <v>1</v>
      </c>
      <c r="AK128" s="388">
        <f t="shared" ca="1" si="246"/>
        <v>0.75742507812575821</v>
      </c>
      <c r="AL128" s="388">
        <f t="shared" ca="1" si="247"/>
        <v>-3.6066774566911878E-18</v>
      </c>
      <c r="AM128" s="388">
        <f t="shared" ca="1" si="248"/>
        <v>0.75742507812575821</v>
      </c>
      <c r="AN128" s="388">
        <f t="shared" ca="1" si="249"/>
        <v>0.27683194547992335</v>
      </c>
      <c r="AO128" s="388">
        <f ca="1">-0.10453/COS(Control!$B$8*PI()/180)*COS(AN128)</f>
        <v>-0.1633204963225286</v>
      </c>
      <c r="AP128" s="388">
        <f ca="1">ACOS(AO128-TAN(Control!$B$8*PI()/180)*TAN(AN128))</f>
        <v>2.1258477617004834</v>
      </c>
      <c r="AQ128" s="388">
        <f t="shared" ca="1" si="363"/>
        <v>0</v>
      </c>
      <c r="AR128" s="394">
        <f t="shared" ca="1" si="250"/>
        <v>0</v>
      </c>
      <c r="AS128" s="436">
        <f ca="1">IF(Control!$B$18=2,(IF(OR($AH128=Control!$B$175,$AH128=Control!$B$176,$AH128=Control!$B$177,$AH128=Control!$B$178,$AH128=Control!$B$179,$AH128=Control!$B$180,$AH128=Control!$B$181,$AH128=Control!$B$182,$AH128=Control!$B$183,$AH128=Control!$B$184,$AH128=Control!$B$185),1,0)),0)</f>
        <v>0</v>
      </c>
      <c r="AT128" s="436">
        <f>IF(Control!$B$20=8,IF(AND($AH128&gt;=Control!$B$172,$AH128&lt;=Control!$B$173),1,0),0)</f>
        <v>0</v>
      </c>
      <c r="AU128" s="436">
        <f>IF(Control!$B$20=8,IF($AV127=1,1*$AT128,IF($AT128=1,$AU127+1,$AU127)),0)</f>
        <v>0</v>
      </c>
      <c r="AV128" s="436">
        <f>IF(Control!$B$20=8,IF($AU128&gt;=Control!$B$174,1,0),0)</f>
        <v>0</v>
      </c>
      <c r="AW128" s="436">
        <f ca="1">IF(AND(Control!$B$18=2,Control!$B$171=1), $AV128, $AS128)</f>
        <v>0</v>
      </c>
      <c r="AX128" s="436" t="e">
        <f ca="1">IF(AND(Control!$B$18=1,$EU128&gt;=Control!$B$19),-$AY128,IF(AND(Control!$B$18=2,$AW128=1,$EU128&gt;$DS128),-$AY128, IF(Control!$C$108=0,0, IF(Control!$C$108&lt;&gt;0,1))))</f>
        <v>#N/A</v>
      </c>
      <c r="AY128" s="436" t="e">
        <f t="shared" ca="1" si="364"/>
        <v>#N/A</v>
      </c>
      <c r="AZ128" s="436" t="e">
        <f ca="1">IF(AND(Control!$B$18=1,$EB128&gt;Control!$B$19),$AZ127+1, IF(AND(Control!$B$18=2, $AW128=1, $EB128&gt;$DS128), $AZ127+1,$AZ127))</f>
        <v>#N/A</v>
      </c>
      <c r="BA128" s="587">
        <f>IF(Control!$C$81=0,1,IF($AH128&gt;=Control!$C$82,1,0))</f>
        <v>1</v>
      </c>
      <c r="BB128" s="140" t="e">
        <f ca="1">IF($BA128&gt;$BA127,Control!$C$83,IF($AW128&gt;0,$AW128*Control!$C$84,IF(AND(Control!$B$18=1,EN127&lt;&gt;0),Control!$C$84,0)))</f>
        <v>#N/A</v>
      </c>
      <c r="BC128" s="140" t="e">
        <f t="shared" ca="1" si="365"/>
        <v>#N/A</v>
      </c>
      <c r="BD128" s="140" t="e">
        <f ca="1">BC128*IF(OR($G128&lt;Control!$C$92,$G128&gt;Control!$C$95),0,IF(AND($G128&gt;=Control!$C$92,$G128&lt;=Control!$C$93),$G128-Control!$C$92,IF(AND($G128&gt;Control!$C$93,$G128&lt;=Control!$C$94),Control!$C$93-Control!$C$92,IF(AND($G128&gt;Control!$C$94,$G128&lt;=Control!$C$95),(Control!$C$93-Control!$C$92)*(Control!$C$94-$G128)/(Control!$C$95-Control!$C$94)))))</f>
        <v>#N/A</v>
      </c>
      <c r="BE128" s="140" t="e">
        <f t="shared" ca="1" si="366"/>
        <v>#N/A</v>
      </c>
      <c r="BF128" s="140" t="e">
        <f ca="1">IF($BE128&lt;=Control!$C$86,$BE128,Control!$C$86-$BE128)</f>
        <v>#N/A</v>
      </c>
      <c r="BG128" s="140" t="e">
        <f ca="1">IF(AND($AW128=1,Control!$C$84&lt;9),1,IF($BE128&gt;=Control!$C$86,0,$BC128))</f>
        <v>#N/A</v>
      </c>
      <c r="BH128" s="404" t="e">
        <f ca="1">IF($BG128=0,0,IF($BE128&lt;=Control!$C$86,$BC128*9*($BF128/Control!$C$86),0))</f>
        <v>#N/A</v>
      </c>
      <c r="BI128" s="140" t="e">
        <f ca="1">IF($BG128=1,0,IF($BE128&gt;=Control!$C$86,1,IF(AND($BB128&lt;21,$BB128&gt;=9),1,$BM127)))</f>
        <v>#N/A</v>
      </c>
      <c r="BJ128" s="140" t="e">
        <f ca="1">IF($BF128&lt;0,-$BF128,$BI128*IF(OR($G128&lt;Control!$C$92,$G128&gt;Control!$C$95),0,IF(AND($G128&gt;=Control!$C$92,$G128&lt;=Control!$C$93),$G128-Control!$C$92,IF(AND($G128&gt;Control!$C$93,$G128&lt;=Control!$C$94),Control!$C$93-Control!$C$92,IF(AND($G128&gt;Control!$C$94,$G128&lt;=Control!$C$95),(Control!$C$93-Control!$C$92)*(Control!$C$94-$G128)/(Control!$C$95-Control!$C$94))))))</f>
        <v>#N/A</v>
      </c>
      <c r="BK128" s="140" t="e">
        <f t="shared" ca="1" si="367"/>
        <v>#N/A</v>
      </c>
      <c r="BL128" s="140" t="e">
        <f ca="1">IF($BK128&lt;=Control!$C$87,$BK128,Control!$C$87-$BK128)</f>
        <v>#N/A</v>
      </c>
      <c r="BM128" s="140" t="e">
        <f ca="1">IF(AND($BB128&gt;=9,$BB128&lt;21),1,IF($BK128&gt;=Control!$C$87,0,$BI128))</f>
        <v>#N/A</v>
      </c>
      <c r="BN128" s="404" t="e">
        <f ca="1">IF($BM128=0,0,IF($BK128&lt;=Control!$C$87,$BI128*(9+(21-9)*($BL128/Control!$C$87)),0))</f>
        <v>#N/A</v>
      </c>
      <c r="BO128" s="140" t="e">
        <f ca="1">IF($BM128=1,0,IF($BK128&gt;=Control!$C$87,1,IF(AND($BB128&lt;30,$BB128&gt;=21),1,$BS127)))</f>
        <v>#N/A</v>
      </c>
      <c r="BP128" s="140" t="e">
        <f ca="1">IF($BL128&lt;0,-$BL128,$BO128*IF(OR($G128&lt;Control!$C$92,$G128&gt;Control!$C$95),0,IF(AND($G128&gt;=Control!$C$92,$G128&lt;=Control!$C$93),$G128-Control!$C$92,IF(AND($G128&gt;Control!$C$93,$G128&lt;=Control!$C$94),Control!$C$93-Control!$C$92,IF(AND($G128&gt;Control!$C$94,$G128&lt;=Control!$C$95),(Control!$C$93-Control!$C$92)*(Control!$C$94-$G128)/(Control!$C$95-Control!$C$94))))))</f>
        <v>#N/A</v>
      </c>
      <c r="BQ128" s="140" t="e">
        <f t="shared" ca="1" si="251"/>
        <v>#N/A</v>
      </c>
      <c r="BR128" s="140" t="e">
        <f ca="1">IF($BQ128&lt;=Control!$C$88,$BQ128,Control!$C$88-$BQ128)</f>
        <v>#N/A</v>
      </c>
      <c r="BS128" s="140" t="e">
        <f ca="1">IF(AND($BB128&gt;=21,$BB128&lt;30),1,IF($BQ128&gt;=Control!$C$88,0,$BO128))</f>
        <v>#N/A</v>
      </c>
      <c r="BT128" s="404" t="e">
        <f ca="1">IF($BS128=0,0,IF($BQ128&lt;=Control!$C$88,$BO128*(21+(30-21)*(BR128/Control!$C$88)),0))</f>
        <v>#N/A</v>
      </c>
      <c r="BU128" s="140" t="e">
        <f ca="1">IF(BG128+BM128+BS128=1,0,IF(OR(AND($BB128&lt;60,$BB128&gt;=30),$BQ128&gt;=Control!$C$88),1*$BA128,$BY127))</f>
        <v>#N/A</v>
      </c>
      <c r="BV128" s="140" t="e">
        <f ca="1">IF($BR128&lt;0,-$BR128,$BU128*IF(OR($G128&lt;Control!$C$92,$G128&gt;Control!$C$95),0,IF(AND($G128&gt;=Control!$C$92,$G128&lt;=Control!$C$93),$G128-Control!$C$92,IF(AND($G128&gt;Control!$C$93,$G128&lt;=Control!$C$94),Control!$C$93-Control!$C$92,IF(AND($G128&gt;Control!$C$94,$G128&lt;=Control!$C$95),(Control!$C$93-Control!$C$92)*(Control!$C$94-$G128)/(Control!$C$95-Control!$C$94))))))</f>
        <v>#N/A</v>
      </c>
      <c r="BW128" s="140" t="e">
        <f t="shared" ca="1" si="252"/>
        <v>#N/A</v>
      </c>
      <c r="BX128" s="140" t="e">
        <f ca="1">IF($BW128&lt;=Control!$C$89,$BW128,Control!$C$89-$BW128)</f>
        <v>#N/A</v>
      </c>
      <c r="BY128" s="140" t="e">
        <f ca="1">IF(AND($AJ128&gt;=30,$AJ128&lt;60),1,IF($BW128&gt;=Control!$C$89,0,$BU128))</f>
        <v>#N/A</v>
      </c>
      <c r="BZ128" s="404" t="e">
        <f ca="1">IF($BY128=0,0,IF($BW128&lt;=Control!$C$89,$BU128*(30+(60-30)*(BX128/Control!$C$89)),0))</f>
        <v>#N/A</v>
      </c>
      <c r="CA128" s="140" t="e">
        <f ca="1">IF($BG128+$BM128+$BS128+$BY128=1,0,IF(OR(AND($BB128&lt;65,$BB128&gt;=60),$BW128&gt;=Control!$C$89),1*$BA128,$CE127))</f>
        <v>#N/A</v>
      </c>
      <c r="CB128" s="140" t="e">
        <f ca="1">IF($BX128&lt;0,-$BX128,$CA128*IF(OR($G128&lt;Control!$C$92,$G128&gt;Control!$C$95),0,IF(AND($G128&gt;=Control!$C$92,$G128&lt;=Control!$C$93),$G128-Control!$C$92,IF(AND($G128&gt;Control!$C$93,$G128&lt;=Control!$C$94),Control!$C$93-Control!$C$92,IF(AND($G128&gt;Control!$C$94,$G128&lt;=Control!$C$95),(Control!$C$93-Control!$C$92)*(Control!$C$94-$G128)/(Control!$C$95-Control!$C$94))))))</f>
        <v>#N/A</v>
      </c>
      <c r="CC128" s="140" t="e">
        <f t="shared" ca="1" si="368"/>
        <v>#N/A</v>
      </c>
      <c r="CD128" s="140" t="e">
        <f ca="1">IF($CC128&lt;=Control!$C$90,$CC128,Control!$C$90-$CC128)</f>
        <v>#N/A</v>
      </c>
      <c r="CE128" s="140" t="e">
        <f ca="1">IF(AND($BB128&gt;=60,$BB128&lt;65),1,IF($CC128&gt;=Control!$C$90,0,$CA128))</f>
        <v>#N/A</v>
      </c>
      <c r="CF128" s="404" t="e">
        <f ca="1">IF($CE128=0,0,IF($CC128&lt;=Control!$C$90,$CA128*(60+(65-60)*(CD128/Control!$C$90)),0))</f>
        <v>#N/A</v>
      </c>
      <c r="CG128" s="140" t="e">
        <f ca="1">IF($BG128+$BM128+$BS128+$BY128+$CE128=1,0,IF(OR(AND($BB128&lt;90,$BB128&gt;=65),$CC128&gt;=Control!$C$90),$BA128,$CK127))</f>
        <v>#N/A</v>
      </c>
      <c r="CH128" s="140" t="e">
        <f ca="1">IF($CD128&lt;0,-$CD128,$CG128*IF(OR($G128&lt;Control!$C$92,$G128&gt;Control!$C$95),0,IF(AND($G128&gt;=Control!$C$92,$G128&lt;=Control!$C$93),$G128-Control!$C$92,IF(AND($G128&gt;Control!$C$93,$G128&lt;=Control!$C$94),Control!$C$93-Control!$C$92,IF(AND($G128&gt;Control!$C$94,$G128&lt;=Control!$C$95),(Control!$C$93-Control!$C$92)*(Control!$C$94-$G128)/(Control!$C$95-Control!$C$94))))))</f>
        <v>#N/A</v>
      </c>
      <c r="CI128" s="140" t="e">
        <f t="shared" ca="1" si="369"/>
        <v>#N/A</v>
      </c>
      <c r="CJ128" s="140" t="e">
        <f ca="1">IF($CI128&lt;=Control!$C$91,$CI128,Control!$C$91-$CI128)</f>
        <v>#N/A</v>
      </c>
      <c r="CK128" s="140" t="e">
        <f ca="1">IF(AND($BB128&gt;=65,$BB128&lt;90),1,IF($CI128&gt;=Control!$C$91,0,$CG128))</f>
        <v>#N/A</v>
      </c>
      <c r="CL128" s="404" t="e">
        <f ca="1">IF($CK128=0,0,IF($CI128&lt;=Control!$C$91,$CG128*(65+(90-65)*($CJ128/Control!$C$91)),0))</f>
        <v>#N/A</v>
      </c>
      <c r="CM128" s="140" t="e">
        <f ca="1">IF($BG128+$BM128+$BS128+$BY128+$CE128+$CK128=1,0,IF(OR($BB128&gt;=90,$CI128&gt;=Control!$C$91),$BA128,$CM127))</f>
        <v>#N/A</v>
      </c>
      <c r="CN128" s="140" t="e">
        <f t="shared" ca="1" si="370"/>
        <v>#N/A</v>
      </c>
      <c r="CO128" s="140" t="e">
        <f t="shared" ca="1" si="371"/>
        <v>#N/A</v>
      </c>
      <c r="CP128" s="140" t="e">
        <f t="shared" ca="1" si="372"/>
        <v>#N/A</v>
      </c>
      <c r="CQ128" s="141" t="e">
        <f ca="1">VLOOKUP($CP128,Control!$B$86:$G$91,6)</f>
        <v>#N/A</v>
      </c>
      <c r="CR128" s="141" t="e">
        <f ca="1">(1-$CQ128)*VLOOKUP($CP128,Control!$B$86:$D$91,3)</f>
        <v>#N/A</v>
      </c>
      <c r="CS128" s="141" t="e">
        <f ca="1">(1-$CQ128)*VLOOKUP($CP128,Control!$B$86:$E$91,4)</f>
        <v>#N/A</v>
      </c>
      <c r="CT128" s="141" t="e">
        <f ca="1">(1-$CQ128)*VLOOKUP($CP128,Control!$B$86:$F$91,5)</f>
        <v>#N/A</v>
      </c>
      <c r="CU128" s="141">
        <f t="shared" ca="1" si="373"/>
        <v>0</v>
      </c>
      <c r="CV128" s="583">
        <f t="shared" ca="1" si="374"/>
        <v>0</v>
      </c>
      <c r="CW128" s="142">
        <f t="shared" ca="1" si="375"/>
        <v>124</v>
      </c>
      <c r="CX128" s="612" t="e">
        <f ca="1">IF(Control!$C$114=1,(MIN(Control!$C$120*(IF($NT128-0.01&lt;0,0,1)),Control!$C$119-$CY128)))</f>
        <v>#DIV/0!</v>
      </c>
      <c r="CY128" s="143" t="e">
        <f t="shared" ca="1" si="376"/>
        <v>#N/A</v>
      </c>
      <c r="CZ128" s="144">
        <f t="shared" ca="1" si="253"/>
        <v>0</v>
      </c>
      <c r="DA128" s="144">
        <f t="shared" ca="1" si="254"/>
        <v>0</v>
      </c>
      <c r="DB128" s="144" t="e">
        <f t="shared" ca="1" si="255"/>
        <v>#N/A</v>
      </c>
      <c r="DC128" s="144" t="e">
        <f t="shared" ca="1" si="256"/>
        <v>#N/A</v>
      </c>
      <c r="DD128" s="144" t="e">
        <f t="shared" ca="1" si="461"/>
        <v>#N/A</v>
      </c>
      <c r="DE128" s="143" t="e">
        <f t="shared" ca="1" si="377"/>
        <v>#N/A</v>
      </c>
      <c r="DF128" s="145" t="e">
        <f ca="1">$DR128*EXP(-Control!$C$158*(1-$KH128))</f>
        <v>#N/A</v>
      </c>
      <c r="DG128" s="146" t="e">
        <f ca="1">IF(Control!$C$114=1, $DF128*$EY128, 0)</f>
        <v>#N/A</v>
      </c>
      <c r="DH128" s="147" t="e">
        <f t="shared" ca="1" si="378"/>
        <v>#N/A</v>
      </c>
      <c r="DI128" s="144" t="e">
        <f t="shared" ca="1" si="439"/>
        <v>#N/A</v>
      </c>
      <c r="DJ128" s="147" t="e">
        <f ca="1">$EF128*Control!$C$109</f>
        <v>#N/A</v>
      </c>
      <c r="DK128" s="144" t="e">
        <f t="shared" ca="1" si="379"/>
        <v>#N/A</v>
      </c>
      <c r="DL128" s="144" t="e">
        <f t="shared" ca="1" si="257"/>
        <v>#N/A</v>
      </c>
      <c r="DM128" s="144" t="e">
        <f ca="1">IF(Control!$C$114=1, (1-EXP(-Control!$C$96*$DK128))*$AR128, 0)</f>
        <v>#N/A</v>
      </c>
      <c r="DN128" s="144">
        <f t="shared" ca="1" si="380"/>
        <v>0</v>
      </c>
      <c r="DO128" s="148">
        <f>Control!$C$97</f>
        <v>4</v>
      </c>
      <c r="DP128" s="145" t="e">
        <f t="shared" ca="1" si="381"/>
        <v>#N/A</v>
      </c>
      <c r="DQ128" s="145" t="e">
        <f ca="1">IF(AND($CP128&gt;=0,$CP128&lt;=90),Control!$C$111,Control!$C$111)</f>
        <v>#N/A</v>
      </c>
      <c r="DR128" s="145" t="e">
        <f t="shared" ca="1" si="258"/>
        <v>#N/A</v>
      </c>
      <c r="DS128" s="143" t="e">
        <f ca="1">Control!$B$22/$DR128</f>
        <v>#N/A</v>
      </c>
      <c r="DT128" s="149" t="e">
        <f ca="1">IF(AND(Control!$C$114=1,$KH128&lt;1),$IM128*$DF128, 0)</f>
        <v>#N/A</v>
      </c>
      <c r="DU128" s="144" t="e">
        <f t="shared" ca="1" si="382"/>
        <v>#N/A</v>
      </c>
      <c r="DV128" s="144">
        <f ca="1">IF($G128-Control!$C$107&lt;=0, 0, 0.83*LN(MAX($G128, 3))-0.8924)</f>
        <v>0</v>
      </c>
      <c r="DW128" s="144" t="e">
        <f t="shared" ca="1" si="259"/>
        <v>#N/A</v>
      </c>
      <c r="DX128" s="150" t="e">
        <f ca="1">MAX(0.01*(1+$CU128/Control!$C$102),0.05*($DK128-Control!$C$97)/Control!$C$97)</f>
        <v>#N/A</v>
      </c>
      <c r="DY128" s="151" t="e">
        <f ca="1">IF(Control!$C$114=1, $DI128*$FS128, 0)</f>
        <v>#N/A</v>
      </c>
      <c r="DZ128" s="196" t="e">
        <f t="shared" ca="1" si="383"/>
        <v>#N/A</v>
      </c>
      <c r="EA128" s="152">
        <f t="shared" ca="1" si="384"/>
        <v>124</v>
      </c>
      <c r="EB128" s="153" t="e">
        <f t="shared" ca="1" si="385"/>
        <v>#N/A</v>
      </c>
      <c r="EC128" s="153" t="e">
        <f t="shared" ca="1" si="386"/>
        <v>#N/A</v>
      </c>
      <c r="ED128" s="154" t="e">
        <f ca="1">IF(Control!$C$114=1, $HM128*$FY128-$FD128, 0)</f>
        <v>#DIV/0!</v>
      </c>
      <c r="EE128" s="155" t="e">
        <f ca="1">IF(Control!$C$114=1, $HM128*$FZ128-$FF128, 0)</f>
        <v>#DIV/0!</v>
      </c>
      <c r="EF128" s="153" t="e">
        <f t="shared" ca="1" si="440"/>
        <v>#N/A</v>
      </c>
      <c r="EG128" s="155" t="e">
        <f ca="1">IF(Control!$C$114=1, $GX128*$FW128-$FI128, 0)</f>
        <v>#DIV/0!</v>
      </c>
      <c r="EH128" s="153" t="e">
        <f t="shared" ca="1" si="387"/>
        <v>#N/A</v>
      </c>
      <c r="EI128" s="156" t="e">
        <f t="shared" ca="1" si="388"/>
        <v>#N/A</v>
      </c>
      <c r="EJ128" s="155" t="e">
        <f ca="1">IF(Control!$C$114=1, $HM128*$GB128, 0)</f>
        <v>#DIV/0!</v>
      </c>
      <c r="EK128" s="153" t="e">
        <f t="shared" ca="1" si="441"/>
        <v>#N/A</v>
      </c>
      <c r="EL128" s="153" t="e">
        <f t="shared" ca="1" si="260"/>
        <v>#N/A</v>
      </c>
      <c r="EM128" s="153" t="e">
        <f t="shared" ca="1" si="261"/>
        <v>#N/A</v>
      </c>
      <c r="EN128" s="153" t="e">
        <f ca="1">IF(Control!$C$108=1,IF(AND(Control!$B$18=1,$EB128&gt;=Control!$B$19),$EB128-$DS128,IF(AND(Control!$B$18=2,$AW128=1,$EB128&gt;$DS128),$EB128-$DS128,0)))</f>
        <v>#N/A</v>
      </c>
      <c r="EO128" s="153" t="e">
        <f ca="1">IF(Control!$C$108=1,IF(AND(Control!$B$18=1,$EB128&gt;=Control!$B$19),$EF128,IF(AND(Control!$B$18=2,$AW128=1),$EF128,0)))</f>
        <v>#N/A</v>
      </c>
      <c r="EP128" s="153" t="e">
        <f ca="1">IF(Control!$C$108=1,IF(AND(Control!$B$18=1,$EB128&gt;=Control!$B$19),$EK128,IF(AND(Control!$B$18=2,$AW128=1),$EK128,0)))</f>
        <v>#N/A</v>
      </c>
      <c r="EQ128" s="153" t="e">
        <f t="shared" ca="1" si="389"/>
        <v>#N/A</v>
      </c>
      <c r="ER128" s="153" t="e">
        <f t="shared" ca="1" si="390"/>
        <v>#N/A</v>
      </c>
      <c r="ES128" s="153" t="e">
        <f t="shared" ca="1" si="442"/>
        <v>#N/A</v>
      </c>
      <c r="ET128" s="153" t="e">
        <f t="shared" ca="1" si="443"/>
        <v>#N/A</v>
      </c>
      <c r="EU128" s="153" t="e">
        <f t="shared" ca="1" si="391"/>
        <v>#N/A</v>
      </c>
      <c r="EV128" s="153" t="e">
        <f t="shared" ca="1" si="262"/>
        <v>#N/A</v>
      </c>
      <c r="EW128" s="153" t="e">
        <f t="shared" ca="1" si="263"/>
        <v>#N/A</v>
      </c>
      <c r="EX128" s="153" t="e">
        <f t="shared" ca="1" si="264"/>
        <v>#N/A</v>
      </c>
      <c r="EY128" s="157" t="e">
        <f t="shared" ca="1" si="265"/>
        <v>#DIV/0!</v>
      </c>
      <c r="EZ128" s="154" t="e">
        <f t="shared" ca="1" si="266"/>
        <v>#DIV/0!</v>
      </c>
      <c r="FA128" s="153" t="e">
        <f t="shared" ca="1" si="392"/>
        <v>#N/A</v>
      </c>
      <c r="FB128" s="153" t="e">
        <f t="shared" ca="1" si="267"/>
        <v>#N/A</v>
      </c>
      <c r="FC128" s="193" t="e">
        <f t="shared" ca="1" si="268"/>
        <v>#N/A</v>
      </c>
      <c r="FD128" s="158" t="e">
        <f t="shared" ca="1" si="393"/>
        <v>#N/A</v>
      </c>
      <c r="FE128" s="158" t="e">
        <f t="shared" ca="1" si="394"/>
        <v>#N/A</v>
      </c>
      <c r="FF128" s="159" t="e">
        <f t="shared" ca="1" si="269"/>
        <v>#N/A</v>
      </c>
      <c r="FG128" s="160" t="e">
        <f t="shared" ca="1" si="395"/>
        <v>#N/A</v>
      </c>
      <c r="FH128" s="158" t="e">
        <f t="shared" ca="1" si="396"/>
        <v>#N/A</v>
      </c>
      <c r="FI128" s="159" t="e">
        <f t="shared" ca="1" si="270"/>
        <v>#N/A</v>
      </c>
      <c r="FJ128" s="160" t="e">
        <f t="shared" ca="1" si="397"/>
        <v>#N/A</v>
      </c>
      <c r="FK128" s="160" t="e">
        <f t="shared" ca="1" si="271"/>
        <v>#N/A</v>
      </c>
      <c r="FL128" s="160" t="e">
        <f t="shared" ca="1" si="444"/>
        <v>#N/A</v>
      </c>
      <c r="FM128" s="160" t="e">
        <f t="shared" ca="1" si="272"/>
        <v>#N/A</v>
      </c>
      <c r="FN128" s="158">
        <f t="shared" ca="1" si="398"/>
        <v>0.01</v>
      </c>
      <c r="FO128" s="160">
        <f>Control!$C$101</f>
        <v>50</v>
      </c>
      <c r="FP128" s="150" t="e">
        <f t="shared" ca="1" si="273"/>
        <v>#N/A</v>
      </c>
      <c r="FQ128" s="150" t="e">
        <f ca="1">MAX(0,(Control!$C$112*(($DK128-Control!$C$97)/Control!$C$97)))</f>
        <v>#N/A</v>
      </c>
      <c r="FR128" s="150" t="e">
        <f ca="1">(1-$NT128)*Control!$C$113</f>
        <v>#DIV/0!</v>
      </c>
      <c r="FS128" s="198" t="e">
        <f t="shared" ca="1" si="274"/>
        <v>#N/A</v>
      </c>
      <c r="FT128" s="161">
        <f t="shared" ca="1" si="399"/>
        <v>124</v>
      </c>
      <c r="FU128" s="162" t="e">
        <f ca="1">IF(Control!$B$34=1,VLOOKUP($CP128,Control!$B$86:$G$91,6),Control!$B$35)</f>
        <v>#N/A</v>
      </c>
      <c r="FV128" s="162" t="e">
        <f t="shared" ca="1" si="275"/>
        <v>#DIV/0!</v>
      </c>
      <c r="FW128" s="162" t="e">
        <f ca="1">IF(Control!$B$31=1,$FU128*$FV128,  $FU128)</f>
        <v>#N/A</v>
      </c>
      <c r="FX128" s="162" t="e">
        <f ca="1">IF(Control!$B$34=1,VLOOKUP($CP128,Control!$B$86:$G$91,3),Control!$B$36)</f>
        <v>#N/A</v>
      </c>
      <c r="FY128" s="162" t="e">
        <f t="shared" ca="1" si="276"/>
        <v>#N/A</v>
      </c>
      <c r="FZ128" s="162" t="e">
        <f ca="1">IF(Control!$B$34=1,VLOOKUP($CP128,Control!$B$86:$G$91,4),Control!$B$37)</f>
        <v>#N/A</v>
      </c>
      <c r="GA128" s="162" t="e">
        <f t="shared" ca="1" si="277"/>
        <v>#N/A</v>
      </c>
      <c r="GB128" s="162" t="e">
        <f ca="1">IF(Control!$B$34=1,VLOOKUP($CP128,Control!$B$86:$G$91,5),Control!$B$38)</f>
        <v>#N/A</v>
      </c>
      <c r="GC128" s="162" t="e">
        <f t="shared" ca="1" si="400"/>
        <v>#N/A</v>
      </c>
      <c r="GD128" s="162">
        <f t="shared" ca="1" si="278"/>
        <v>1</v>
      </c>
      <c r="GE128" s="162">
        <f t="shared" ca="1" si="279"/>
        <v>1</v>
      </c>
      <c r="GF128" s="162">
        <f ca="1">IF(AND(Control!$C$104=1, Control!$C$62="F"),$GE128,1)</f>
        <v>1</v>
      </c>
      <c r="GG128" s="162" t="e">
        <f ca="1">IF(Control!$B$16=40,0,IF(AND(Control!$B$16&gt;40,Control!$B$16&lt;=360),(Control!$B$16-40)*((1-0)/(360-40)),IF(AND(Control!$B$16&gt;360,Control!$B$16&lt;=720),(1+(Control!$B$16-360)*((1.25-1)/(720-360))),IF(AND(Control!$B$16&gt;720,Control!$B$16&lt;=1000),(1.25+(Control!$B$16-720)*((1.35-1.25)/(1000-720))),IF(AND(Control!$B$16&gt;1000,Control!$B$16&lt;=2000),(1.35+(Control!$B$16-1000)*0))))))</f>
        <v>#N/A</v>
      </c>
      <c r="GH128" s="162" t="e">
        <f t="shared" ca="1" si="280"/>
        <v>#N/A</v>
      </c>
      <c r="GI128" s="162">
        <f t="shared" ca="1" si="401"/>
        <v>0</v>
      </c>
      <c r="GJ128" s="162">
        <f t="shared" ca="1" si="281"/>
        <v>0</v>
      </c>
      <c r="GK128" s="162">
        <f t="shared" ca="1" si="402"/>
        <v>1</v>
      </c>
      <c r="GL128" s="162">
        <f t="shared" ca="1" si="282"/>
        <v>1</v>
      </c>
      <c r="GM128" s="162" t="e">
        <f ca="1">MAX(0,MIN(1,1-Control!$C$156*(1.0001-$KH128)^2))</f>
        <v>#N/A</v>
      </c>
      <c r="GN128" s="162" t="e">
        <f ca="1">IF(Control!$B$26=1,$KU128,$KX128)</f>
        <v>#N/A</v>
      </c>
      <c r="GO128" s="162" t="e">
        <f ca="1">IF($CP128&lt;=60,Control!$C$105,IF($CP128&gt;=90,Control!$C$106,Control!$C$105+($CP128-60)*((Control!$C$106-Control!$C$105)/(90-60))))</f>
        <v>#N/A</v>
      </c>
      <c r="GP128" s="162" t="e">
        <f t="shared" ca="1" si="283"/>
        <v>#N/A</v>
      </c>
      <c r="GQ128" s="162" t="e">
        <f t="shared" ca="1" si="403"/>
        <v>#N/A</v>
      </c>
      <c r="GR128" s="163" t="e">
        <f t="shared" ca="1" si="284"/>
        <v>#DIV/0!</v>
      </c>
      <c r="GS128" s="162" t="e">
        <f t="shared" ca="1" si="285"/>
        <v>#DIV/0!</v>
      </c>
      <c r="GT128" s="164" t="e">
        <f t="shared" ca="1" si="404"/>
        <v>#N/A</v>
      </c>
      <c r="GU128" s="162" t="e">
        <f t="shared" ca="1" si="405"/>
        <v>#N/A</v>
      </c>
      <c r="GV128" s="162" t="e">
        <f t="shared" ca="1" si="286"/>
        <v>#N/A</v>
      </c>
      <c r="GW128" s="162" t="e">
        <f t="shared" ca="1" si="287"/>
        <v>#DIV/0!</v>
      </c>
      <c r="GX128" s="162" t="e">
        <f t="shared" ca="1" si="406"/>
        <v>#DIV/0!</v>
      </c>
      <c r="GY128" s="162" t="e">
        <f t="shared" ca="1" si="407"/>
        <v>#DIV/0!</v>
      </c>
      <c r="GZ128" s="165" t="e">
        <f t="shared" ca="1" si="288"/>
        <v>#N/A</v>
      </c>
      <c r="HA128" s="162" t="e">
        <f ca="1">IF(Control!$C$114=1, $DI128*$FS128, 0)</f>
        <v>#N/A</v>
      </c>
      <c r="HB128" s="162" t="e">
        <f ca="1">$FA128/Control!$C$64</f>
        <v>#N/A</v>
      </c>
      <c r="HC128" s="162" t="e">
        <f t="shared" ca="1" si="289"/>
        <v>#DIV/0!</v>
      </c>
      <c r="HD128" s="162">
        <f ca="1">-ASIN(SIN(23.45*Control!$C$139)*COS(2*Control!$C$138*($AH128+10)/365))</f>
        <v>0.27041269960521569</v>
      </c>
      <c r="HE128" s="165">
        <f t="shared" ca="1" si="408"/>
        <v>0</v>
      </c>
      <c r="HF128" s="166">
        <f ca="1">IF(AND(Control!$C$61="T",$HE128&gt;=Control!$C$103,Control!$C$114=0),$AH128,Control!$C$59)</f>
        <v>1</v>
      </c>
      <c r="HG128" s="166">
        <f ca="1">IF(AND(Control!$C$61="T",$HE128&gt;=Control!$C$103,Control!$C$114=0),$HF128,Control!$C$59)</f>
        <v>1</v>
      </c>
      <c r="HH128" s="165">
        <f ca="1">IF(AND(OR(Control!$C$60&lt;=0, $AH128= Control!$C$59, Control!$C$60 &gt;0, $AH128 = Control!$C$60)), Control!$C$59, IF(Control!$C$60&gt;0, 0))</f>
        <v>1</v>
      </c>
      <c r="HI128" s="165">
        <f ca="1">IF(AND(OR(Control!$C$60&lt;=0, $AH128= Control!$C$59, Control!$C$60 &gt;0, $AH128 = Control!$C$60)), Control!$C$60, IF(Control!$C$60&lt;=0, 0))</f>
        <v>0</v>
      </c>
      <c r="HJ128" s="166">
        <f ca="1">IF(AND(Control!$C$62="F",$CV128&gt;=Control!$C$102),$AH128,0)</f>
        <v>0</v>
      </c>
      <c r="HK128" s="165" t="e">
        <f t="shared" ca="1" si="445"/>
        <v>#N/A</v>
      </c>
      <c r="HL128" s="166">
        <f ca="1">IF(AND(Control!$C$61="T",$HE128&gt;=Control!$C$103,Control!$C$114=0),$HF128,0)</f>
        <v>0</v>
      </c>
      <c r="HM128" s="201" t="e">
        <f t="shared" ca="1" si="290"/>
        <v>#DIV/0!</v>
      </c>
      <c r="HN128" s="215">
        <f t="shared" ca="1" si="409"/>
        <v>124</v>
      </c>
      <c r="HO128" s="216" t="e">
        <f ca="1">IF(AND($CP128&gt;=0, $CP128&lt;=90), Control!$C$152, Control!$C$152)</f>
        <v>#N/A</v>
      </c>
      <c r="HP128" s="216" t="e">
        <f t="shared" ca="1" si="291"/>
        <v>#N/A</v>
      </c>
      <c r="HQ128" s="217" t="e">
        <f ca="1">IF(OR(Control!$B$26=1,Control!$B$26=2),$KV128,$KS128)</f>
        <v>#DIV/0!</v>
      </c>
      <c r="HR128" s="218" t="e">
        <f t="shared" ca="1" si="446"/>
        <v>#DIV/0!</v>
      </c>
      <c r="HS128" s="216" t="e">
        <f ca="1">Control!$C$154*$HP128</f>
        <v>#N/A</v>
      </c>
      <c r="HT128" s="216" t="e">
        <f ca="1">Control!$C$155*$HP128</f>
        <v>#N/A</v>
      </c>
      <c r="HU128" s="217" t="e">
        <f ca="1">Control!$C$161*$FI128</f>
        <v>#N/A</v>
      </c>
      <c r="HV128" s="218" t="e">
        <f t="shared" ca="1" si="410"/>
        <v>#N/A</v>
      </c>
      <c r="HW128" s="218" t="e">
        <f ca="1">Control!$C$160*$FF128+$IP128*$EO128</f>
        <v>#N/A</v>
      </c>
      <c r="HX128" s="218" t="e">
        <f t="shared" ca="1" si="447"/>
        <v>#N/A</v>
      </c>
      <c r="HY128" s="219" t="e">
        <f ca="1">IF(Control!$C$114=1, $EB128*$FS128, 0)</f>
        <v>#N/A</v>
      </c>
      <c r="HZ128" s="91" t="e">
        <f t="shared" ca="1" si="292"/>
        <v>#N/A</v>
      </c>
      <c r="IA128" s="220" t="e">
        <f ca="1">Control!$C$153*$HO128</f>
        <v>#N/A</v>
      </c>
      <c r="IB128" s="218" t="e">
        <f t="shared" ca="1" si="293"/>
        <v>#N/A</v>
      </c>
      <c r="IC128" s="220" t="e">
        <f ca="1">Control!$C$153*$HT128</f>
        <v>#N/A</v>
      </c>
      <c r="ID128" s="218" t="e">
        <f t="shared" ca="1" si="294"/>
        <v>#N/A</v>
      </c>
      <c r="IE128" s="221" t="e">
        <f ca="1">($EB128*Control!$C$159+$EF128*Control!$C$160)/(IF($GZ128&lt;&gt;0,$GZ128,1))</f>
        <v>#N/A</v>
      </c>
      <c r="IF128" s="216" t="e">
        <f t="shared" ca="1" si="295"/>
        <v>#N/A</v>
      </c>
      <c r="IG128" s="91">
        <f ca="1">IF(OR(Control!$B$198=$AH128,Control!$B$199=$AH128, Control!$B$200=$AH128, Control!$B$201=$AH128, Control!$B$202=$AH128, Control!$B$203=$AH128, Control!$B$204=$AH128, Control!$B$205=$AH128, Control!$B$206=$AH128, Control!$B$207=$AH128), 1, 0)</f>
        <v>0</v>
      </c>
      <c r="IH128" s="91">
        <f ca="1">IF($IG128=0,0, VLOOKUP($AH128,Control!$B$198:$C$207,2))</f>
        <v>0</v>
      </c>
      <c r="II128" s="222">
        <f t="shared" ca="1" si="411"/>
        <v>0</v>
      </c>
      <c r="IJ128" s="91">
        <f>Control!$C$121</f>
        <v>0.7</v>
      </c>
      <c r="IK128" s="218">
        <f t="shared" ca="1" si="296"/>
        <v>0</v>
      </c>
      <c r="IL128" s="217" t="e">
        <f t="shared" ca="1" si="448"/>
        <v>#N/A</v>
      </c>
      <c r="IM128" s="223" t="e">
        <f ca="1">IF(AND(Control!$C$114=1,$KH128&lt;1),$EB128*Control!$C$148*(1-$KH128), 0)</f>
        <v>#N/A</v>
      </c>
      <c r="IN128" s="217" t="e">
        <f t="shared" ca="1" si="297"/>
        <v>#DIV/0!</v>
      </c>
      <c r="IO128" s="91" t="e">
        <f ca="1">MAX(0,$IL128-$EF128*Control!$C$160)</f>
        <v>#N/A</v>
      </c>
      <c r="IP128" s="220" t="e">
        <f t="shared" ca="1" si="298"/>
        <v>#N/A</v>
      </c>
      <c r="IQ128" s="217" t="e">
        <f t="shared" ca="1" si="412"/>
        <v>#N/A</v>
      </c>
      <c r="IR128" s="218" t="e">
        <f t="shared" ca="1" si="299"/>
        <v>#N/A</v>
      </c>
      <c r="IS128" s="217" t="e">
        <f ca="1">Control!$C$159*MAX(0,$FD128-$EN128)</f>
        <v>#N/A</v>
      </c>
      <c r="IT128" s="217" t="e">
        <f t="shared" ca="1" si="449"/>
        <v>#N/A</v>
      </c>
      <c r="IU128" s="217" t="e">
        <f t="shared" ca="1" si="413"/>
        <v>#N/A</v>
      </c>
      <c r="IV128" s="217" t="e">
        <f t="shared" ca="1" si="450"/>
        <v>#N/A</v>
      </c>
      <c r="IW128" s="217" t="e">
        <f ca="1">IF(OR($AW128=1,AND($AW128=0, Control!$B$18=1,$EN128&lt;&gt;0)), $IQ128-$IU128, $IQ128)</f>
        <v>#N/A</v>
      </c>
      <c r="IX128" s="218" t="e">
        <f t="shared" ca="1" si="300"/>
        <v>#N/A</v>
      </c>
      <c r="IY128" s="218" t="e">
        <f ca="1">MAX(0,$IQ128-$EB128*Control!$C$159)</f>
        <v>#N/A</v>
      </c>
      <c r="IZ128" s="218" t="e">
        <f t="shared" ca="1" si="301"/>
        <v>#N/A</v>
      </c>
      <c r="JA128" s="216" t="e">
        <f t="shared" ca="1" si="302"/>
        <v>#N/A</v>
      </c>
      <c r="JB128" s="217" t="e">
        <f t="shared" ca="1" si="303"/>
        <v>#N/A</v>
      </c>
      <c r="JC128" s="222" t="e">
        <f ca="1">MAX(Control!$C$157*$EK128-$JT128, 0)/Control!$C$162</f>
        <v>#N/A</v>
      </c>
      <c r="JD128" s="218" t="e">
        <f t="shared" ca="1" si="304"/>
        <v>#N/A</v>
      </c>
      <c r="JE128" s="218" t="e">
        <f t="shared" ca="1" si="305"/>
        <v>#N/A</v>
      </c>
      <c r="JF128" s="218" t="e">
        <f t="shared" ca="1" si="414"/>
        <v>#N/A</v>
      </c>
      <c r="JG128" s="218" t="e">
        <f t="shared" ca="1" si="306"/>
        <v>#N/A</v>
      </c>
      <c r="JH128" s="217" t="e">
        <f t="shared" ca="1" si="415"/>
        <v>#N/A</v>
      </c>
      <c r="JI128" s="217" t="e">
        <f t="shared" ca="1" si="416"/>
        <v>#N/A</v>
      </c>
      <c r="JJ128" s="217" t="e">
        <f t="shared" ca="1" si="451"/>
        <v>#N/A</v>
      </c>
      <c r="JK128" s="217" t="e">
        <f ca="1">IF(Control!$C$114=1,IF(Control!$B$24=0,MAX(0,$JI128)*$GN128/Control!$C$64,(MAX(0,MIN($JI128,$JJ128*$GN128/Control!$C$64),0))))</f>
        <v>#N/A</v>
      </c>
      <c r="JL128" s="217" t="e">
        <f ca="1">$IK128/Control!$C$64-$JK128+$HQ128</f>
        <v>#N/A</v>
      </c>
      <c r="JM128" s="217" t="e">
        <f ca="1">IF(Control!$C$114=1,($JB128/(IF($JI128&lt;&gt;0,$JI128,1)))*$JK128,0)</f>
        <v>#N/A</v>
      </c>
      <c r="JN128" s="217" t="e">
        <f ca="1">IF(Control!$C$114=1,($JG128/(IF($JI128&lt;&gt;0,$JI128,1)))*$JK128, 0)</f>
        <v>#N/A</v>
      </c>
      <c r="JO128" s="218" t="e">
        <f t="shared" ca="1" si="307"/>
        <v>#N/A</v>
      </c>
      <c r="JP128" s="218" t="e">
        <f ca="1">MIN(($IY128+$IO128)*Control!$C$151, $JF128-$EH128*Control!$C$161)</f>
        <v>#N/A</v>
      </c>
      <c r="JQ128" s="218" t="e">
        <f t="shared" ca="1" si="308"/>
        <v>#N/A</v>
      </c>
      <c r="JR128" s="217" t="e">
        <f ca="1">IF($CP128-Control!$C$150&lt;0, 0, $JQ128/Control!$C$162)</f>
        <v>#N/A</v>
      </c>
      <c r="JS128" s="218" t="e">
        <f t="shared" ca="1" si="309"/>
        <v>#N/A</v>
      </c>
      <c r="JT128" s="218" t="e">
        <f t="shared" ca="1" si="417"/>
        <v>#N/A</v>
      </c>
      <c r="JU128" s="218" t="e">
        <f t="shared" ca="1" si="310"/>
        <v>#N/A</v>
      </c>
      <c r="JV128" s="218" t="e">
        <f t="shared" ca="1" si="311"/>
        <v>#N/A</v>
      </c>
      <c r="JW128" s="216" t="e">
        <f t="shared" ca="1" si="312"/>
        <v>#N/A</v>
      </c>
      <c r="JX128" s="91" t="e">
        <f t="shared" ca="1" si="313"/>
        <v>#N/A</v>
      </c>
      <c r="JY128" s="218" t="e">
        <f t="shared" ca="1" si="314"/>
        <v>#N/A</v>
      </c>
      <c r="JZ128" s="217" t="e">
        <f ca="1">IF(Control!$C$114=1,($IZ128/(IF($JI128&lt;&gt;0,$JI128,1)))*$JK128, 0)</f>
        <v>#N/A</v>
      </c>
      <c r="KA128" s="218" t="e">
        <f t="shared" ca="1" si="452"/>
        <v>#N/A</v>
      </c>
      <c r="KB128" s="218" t="e">
        <f t="shared" ca="1" si="418"/>
        <v>#N/A</v>
      </c>
      <c r="KC128" s="218" t="e">
        <f t="shared" ca="1" si="315"/>
        <v>#N/A</v>
      </c>
      <c r="KD128" s="218" t="e">
        <f t="shared" ca="1" si="316"/>
        <v>#N/A</v>
      </c>
      <c r="KE128" s="218" t="e">
        <f t="shared" ca="1" si="317"/>
        <v>#N/A</v>
      </c>
      <c r="KF128" s="218" t="e">
        <f t="shared" ca="1" si="318"/>
        <v>#N/A</v>
      </c>
      <c r="KG128" s="216" t="e">
        <f t="shared" ca="1" si="319"/>
        <v>#N/A</v>
      </c>
      <c r="KH128" s="221" t="e">
        <f ca="1">IF(Control!$B$24=0,1,MAX(0.001,MIN(1,IF(($IF128-$IE128)&lt;&gt;0,($KG128-$IE128)/($IF128-$IE128),1))))</f>
        <v>#N/A</v>
      </c>
      <c r="KI128" s="222" t="e">
        <f ca="1">IF(Control!$C$114=1, $KI127+ $KH127, 0)</f>
        <v>#N/A</v>
      </c>
      <c r="KJ128" s="217" t="e">
        <f t="shared" ca="1" si="320"/>
        <v>#N/A</v>
      </c>
      <c r="KK128" s="218" t="e">
        <f t="shared" ca="1" si="321"/>
        <v>#N/A</v>
      </c>
      <c r="KL128" s="274" t="e">
        <f ca="1">IF(Control!$B$26=3,4000000000*EXP(-8400/($G128+273)),IF(Control!$B$26=4,4000000000*EXP(-8400/($G128+273))*($KT128),0))</f>
        <v>#DIV/0!</v>
      </c>
      <c r="KM128" s="274" t="e">
        <f ca="1">IF(Control!$B$26=3,5600000000000*EXP(-9800/($G128+273)),IF(Control!$B$26=4,5600000000000*EXP(-9800/($G128+273))*$KT128,0))</f>
        <v>#DIV/0!</v>
      </c>
      <c r="KN128" s="454" t="e">
        <f t="shared" ca="1" si="419"/>
        <v>#DIV/0!</v>
      </c>
      <c r="KO128" s="274" t="e">
        <f t="shared" ca="1" si="420"/>
        <v>#DIV/0!</v>
      </c>
      <c r="KP128" s="454" t="e">
        <f t="shared" ca="1" si="322"/>
        <v>#DIV/0!</v>
      </c>
      <c r="KQ128" s="454" t="e">
        <f t="shared" ca="1" si="323"/>
        <v>#DIV/0!</v>
      </c>
      <c r="KR128" s="454" t="e">
        <f t="shared" ca="1" si="324"/>
        <v>#DIV/0!</v>
      </c>
      <c r="KS128" s="454" t="e">
        <f t="shared" ca="1" si="325"/>
        <v>#DIV/0!</v>
      </c>
      <c r="KT128" s="455" t="e">
        <f t="shared" ca="1" si="326"/>
        <v>#DIV/0!</v>
      </c>
      <c r="KU128" s="456" t="e">
        <f ca="1">IF($CP128-Control!$C$149&lt;0, IF($NT128-0.01&lt;0,0,1),0)</f>
        <v>#N/A</v>
      </c>
      <c r="KV128" s="456" t="e">
        <f ca="1">IF(Control!$C$114=1,MAX(0,MIN(Control!$C$125*$KW128*$GN128,$KW128)))</f>
        <v>#DIV/0!</v>
      </c>
      <c r="KW128" s="456" t="e">
        <f t="shared" ca="1" si="453"/>
        <v>#DIV/0!</v>
      </c>
      <c r="KX128" s="457" t="e">
        <f ca="1">IF($CP128-Control!$C$149&lt;0, IF($MR128-$OM128&lt;0,0,1),0)</f>
        <v>#N/A</v>
      </c>
      <c r="KY128" s="167">
        <f t="shared" ca="1" si="421"/>
        <v>124</v>
      </c>
      <c r="KZ128" s="168">
        <f ca="1">1370*(1+0.033*COS(2*Control!$C$138*$AH128/365))</f>
        <v>1345.8408258954044</v>
      </c>
      <c r="LA128" s="169">
        <f t="shared" ca="1" si="422"/>
        <v>0.98236570557672775</v>
      </c>
      <c r="LB128" s="169">
        <f t="shared" ca="1" si="423"/>
        <v>0.27715863358653975</v>
      </c>
      <c r="LC128" s="169">
        <f ca="1">ACOS(-TAN((2*Control!$B$8/360))*TAN(Calculations!$LB128))</f>
        <v>1.6554458844726829</v>
      </c>
      <c r="LD128" s="169">
        <f ca="1">((24*60)/PI())*0.082*$LA128*(($LC128*SIN(Control!$B$8*2*PI()/360))*SIN($LB128)+COS(Control!$B$8*2*PI()/360)*COS($LB128)*SIN($LC128))</f>
        <v>34.965939401342233</v>
      </c>
      <c r="LE128" s="170">
        <f t="shared" ca="1" si="327"/>
        <v>35.539682387840742</v>
      </c>
      <c r="LF128" s="170">
        <f ca="1">SIN(Control!$C$139*Control!$B$8)*SIN($HD128)</f>
        <v>0.21050100115956624</v>
      </c>
      <c r="LG128" s="170">
        <f ca="1">COS(Control!$C$139*Control!$B$8)*COS($HD128)</f>
        <v>0.59328717779409701</v>
      </c>
      <c r="LH128" s="170">
        <f ca="1">12*(1+2*ASIN(MAX(-1,MIN(1,$LF128/$LG128))/Control!$C$138))</f>
        <v>14.716296253750414</v>
      </c>
      <c r="LI128" s="170">
        <f ca="1">12*(1+2*ASIN(MAX(-1,MIN(1,(-SIN(-4*Control!$C$139)+$LF128)/$LG128))/Control!$C$138))</f>
        <v>15.622455735707216</v>
      </c>
      <c r="LJ128" s="168">
        <f ca="1">3600*($LH128*$LF128+24*$LG128*SQRT(1-$LK128*$LK128)/Control!$C$138)</f>
        <v>26407.04732983245</v>
      </c>
      <c r="LK128" s="170">
        <f t="shared" ca="1" si="328"/>
        <v>0.35480456857711085</v>
      </c>
      <c r="LL128" s="170">
        <f t="shared" ca="1" si="329"/>
        <v>0</v>
      </c>
      <c r="LM128" s="171">
        <f ca="1">Control!$C$145*$AB128</f>
        <v>6.6660906138995932E-2</v>
      </c>
      <c r="LN128" s="170">
        <f t="shared" ca="1" si="424"/>
        <v>0.54</v>
      </c>
      <c r="LO128" s="170">
        <f t="shared" ca="1" si="330"/>
        <v>0</v>
      </c>
      <c r="LP128" s="170">
        <f ca="1">Control!$C$140*((($D128+273.16)^4+($E128+273.16)^4)/2)*(0.34-0.14*SQRT($Y128))*(1.35*$AQ128/(0.75*$LD128)-0.35)</f>
        <v>-3.2464704755046001</v>
      </c>
      <c r="LQ128" s="170">
        <f ca="1">Control!$C$140*($G128+273)^4*(0.56-0.079*SQRT($Y128*10))*(0.1+0.9*$LO128)</f>
        <v>1.5241745131704001</v>
      </c>
      <c r="LR128" s="170">
        <f ca="1">$AQ128*(1-Control!$C$142)-$LQ128</f>
        <v>-1.5241745131704001</v>
      </c>
      <c r="LS128" s="170">
        <f ca="1">$AQ128*(1-Control!$C$143)-$LQ128</f>
        <v>-1.5241745131704001</v>
      </c>
      <c r="LT128" s="170">
        <f ca="1">$AQ128*(1-Control!$C$144)-$LQ128</f>
        <v>-1.5241745131704001</v>
      </c>
      <c r="LU128" s="169">
        <f ca="1">(1-Control!$C$144)*AQ128-LP128</f>
        <v>3.2464704755046001</v>
      </c>
      <c r="LV128" s="172">
        <f t="shared" ca="1" si="331"/>
        <v>0.79430000000000012</v>
      </c>
      <c r="LW128" s="170">
        <f t="shared" ca="1" si="332"/>
        <v>1.5886000000000002</v>
      </c>
      <c r="LX128" s="170">
        <f ca="1">($AC128*($LR128/Control!$C$141)+$LM128*$LV128)/($AC128+$LM128)</f>
        <v>0.23530094218323697</v>
      </c>
      <c r="LY128" s="170">
        <f ca="1">($AC128*($LS128/Control!$C$141)+$LM128*$LV128)/($AC128+$LM128)</f>
        <v>0.23530094218323697</v>
      </c>
      <c r="LZ128" s="170">
        <f t="shared" ca="1" si="333"/>
        <v>0.23530094218323697</v>
      </c>
      <c r="MA128" s="170">
        <f t="shared" ca="1" si="334"/>
        <v>0.23530094218323697</v>
      </c>
      <c r="MB128" s="170" t="e">
        <f t="shared" ca="1" si="335"/>
        <v>#N/A</v>
      </c>
      <c r="MC128" s="170">
        <f t="shared" ca="1" si="425"/>
        <v>0.6018</v>
      </c>
      <c r="MD128" s="170">
        <f t="shared" ca="1" si="336"/>
        <v>0.52989392535414004</v>
      </c>
      <c r="ME128" s="170">
        <f ca="1">($AC128*($LT128/Control!$C$141)+$LM128*$LW128)/($AC128+$LM128)</f>
        <v>0.71612369323045078</v>
      </c>
      <c r="MF128" s="170" t="e">
        <f ca="1">IF(Control!$B$16&gt;=1000,0.92,IF(AND(720&lt;=Control!$B$16,1000&gt;Control!$B$16),(0.95+(Control!$B$16-720)*((0.92-0.95)/(1000-720))),IF(AND(360&lt;=Control!$B$16,720&gt;Control!$B$16),(1+(Control!$B$16-360)*((0.95-1)/(720-360))),IF(AND(40&lt;=Control!$B$16,360&gt;Control!$B$16),(1.05+(Control!$B$16-40)*((1.05-1)/(360-40)))))))</f>
        <v>#N/A</v>
      </c>
      <c r="MG128" s="170">
        <f t="shared" ca="1" si="337"/>
        <v>0.71612369323045078</v>
      </c>
      <c r="MH128" s="170" t="e">
        <f t="shared" ca="1" si="464"/>
        <v>#N/A</v>
      </c>
      <c r="MI128" s="170" t="e">
        <f t="shared" ca="1" si="464"/>
        <v>#N/A</v>
      </c>
      <c r="MJ128" s="170" t="e">
        <f ca="1">MAX(0.0001, Control!$C$132*$MI128*$DL128)</f>
        <v>#N/A</v>
      </c>
      <c r="MK128" s="170">
        <f ca="1">1/(0.76+1.5*($MG128/10))-(5-Control!$C$110)*0.1</f>
        <v>1.002845988140797</v>
      </c>
      <c r="ML128" s="173">
        <f ca="1">IF(Control!$C$110&lt;3,$MK128+($MG128-0.6)/(Control!$C$110*(Control!$C$110+3)), MAX(0.1, MIN(0.95,$MK128)))</f>
        <v>0.95</v>
      </c>
      <c r="MM128" s="173">
        <f ca="1">IF(Control!$C$110&lt;3,$MK128+(($MI128/10)-0.6)/(Control!$C$110*(Control!$C$110+3)), MAX(0.1, MIN(0.95,$MK128)))</f>
        <v>0.95</v>
      </c>
      <c r="MN128" s="173">
        <f ca="1">(1-$MM128)*(Control!$C$128-Control!$C$127)+Control!$C$127</f>
        <v>0.16</v>
      </c>
      <c r="MO128" s="170" t="e">
        <f ca="1">MAX(0,MIN(1,($MS128-Control!$C$127)/($MN128-Control!$C$127)))</f>
        <v>#DIV/0!</v>
      </c>
      <c r="MP128" s="173" t="e">
        <f ca="1">1/(0.76+1.5*$MI128)-(5-Control!$C$110)*0.1</f>
        <v>#N/A</v>
      </c>
      <c r="MQ128" s="172" t="e">
        <f t="shared" ca="1" si="454"/>
        <v>#DIV/0!</v>
      </c>
      <c r="MR128" s="168" t="e">
        <f t="shared" ca="1" si="426"/>
        <v>#DIV/0!</v>
      </c>
      <c r="MS128" s="173" t="e">
        <f ca="1">MAX(Control!$C$127, MIN(Control!$C$135, $MR128/MAX(0.0001,$CY128)))</f>
        <v>#DIV/0!</v>
      </c>
      <c r="MT128" s="168" t="e">
        <f ca="1">(Control!$C$128-$MS128)*Control!$C$74</f>
        <v>#DIV/0!</v>
      </c>
      <c r="MU128" s="168" t="e">
        <f ca="1">(Control!$C$135-$MS128)*Control!$C$74</f>
        <v>#DIV/0!</v>
      </c>
      <c r="MV128" s="168" t="e">
        <f t="shared" ca="1" si="427"/>
        <v>#DIV/0!</v>
      </c>
      <c r="MW128" s="168" t="e">
        <f t="shared" ca="1" si="428"/>
        <v>#DIV/0!</v>
      </c>
      <c r="MX128" s="171" t="e">
        <f ca="1">MAX(Control!$C$127, MIN(Control!$C$135, $MW128/MAX(0.0001,Control!$C$119-$CY128)))</f>
        <v>#DIV/0!</v>
      </c>
      <c r="MY128" s="54" t="e">
        <f ca="1">IF(Control!$C$114=1, $CX128*$MX128, 0)</f>
        <v>#DIV/0!</v>
      </c>
      <c r="MZ128" s="54" t="e">
        <f t="shared" ca="1" si="429"/>
        <v>#N/A</v>
      </c>
      <c r="NA128" s="168" t="e">
        <f ca="1">(Control!$C$128-$MX128)*(Control!$C$119-Control!$C$74)</f>
        <v>#DIV/0!</v>
      </c>
      <c r="NB128" s="168" t="e">
        <f ca="1">(Control!$C$135-$MX128)*(Control!$C$119-Control!$C$74)</f>
        <v>#DIV/0!</v>
      </c>
      <c r="NC128" s="174" t="e">
        <f t="shared" ca="1" si="430"/>
        <v>#DIV/0!</v>
      </c>
      <c r="ND128" s="54">
        <f ca="1">IF(Control!$C$58=2, IF(OR(Control!$B$218=$AH128,Control!$B$219=$AH128, Control!$B$220=$AH128, Control!$B$221=$AH128, Control!$B$222=$AH128, Control!$B$223=$AH128, Control!$B$224=$AH128, Control!$B$225=$AH128, Control!$B$226=$AH128, Control!$B$227=$AH128, Control!$B$228=$AH128), 1, 0), 0)</f>
        <v>0</v>
      </c>
      <c r="NE128" s="54">
        <f ca="1">IF($ND128=0,0, VLOOKUP($AH128,Control!$B$218:$C$228,2))</f>
        <v>0</v>
      </c>
      <c r="NF128" s="168" t="e">
        <f ca="1">$CY128*(Control!$C$128-Control!$C$127)</f>
        <v>#N/A</v>
      </c>
      <c r="NG128" s="54" t="e">
        <f ca="1">IF(Control!$C$58=2, $NI127-$NJ127, 0)</f>
        <v>#DIV/0!</v>
      </c>
      <c r="NH128" s="54" t="e">
        <f ca="1">IF(AND(Control!$C$58=1, $MS127&lt;= ($MN127+0.02), $I127&lt;10), 0, IF(Control!$C$58=2, $NG127, 0))</f>
        <v>#DIV/0!</v>
      </c>
      <c r="NI128" s="54" t="e">
        <f ca="1">IF(Control!$C$58=2, $NE128+$NH128,0)</f>
        <v>#DIV/0!</v>
      </c>
      <c r="NJ128" s="54" t="e">
        <f ca="1">IF(AND(Control!$C$58=1, $MS128&lt;= ($MN128+0.02), $I128&lt;10), MAX(0, MIN(10, 0.7*($NF128-$MV128))), IF(Control!$C$58=2, MIN(10,$NI128),0))</f>
        <v>#DIV/0!</v>
      </c>
      <c r="NK128" s="54" t="e">
        <f t="shared" ca="1" si="338"/>
        <v>#DIV/0!</v>
      </c>
      <c r="NL128" s="173" t="e">
        <f ca="1">(1-Control!$C$73)*$I128+$NJ128</f>
        <v>#DIV/0!</v>
      </c>
      <c r="NM128" s="172" t="e">
        <f ca="1">IF($NL128&lt;0.5, $MB128* MAX(0, MIN(1, (SQRT($NC128)-SQRT($NC128-1))*Control!$C$71)),0)</f>
        <v>#DIV/0!</v>
      </c>
      <c r="NN128" s="170" t="e">
        <f ca="1">IF($NL128&gt;=5, $MB128, MAX(0,MIN($MB128, $NM128+$NL128,($MS128-Control!$C$129))))</f>
        <v>#DIV/0!</v>
      </c>
      <c r="NO128" s="54">
        <f>IF(Control!$C$133&lt;&gt;1, Control!$C$135-Control!$C$131, 0)</f>
        <v>0.38</v>
      </c>
      <c r="NP128" s="54" t="e">
        <f t="shared" ca="1" si="339"/>
        <v>#DIV/0!</v>
      </c>
      <c r="NQ128" s="173" t="e">
        <f ca="1">MAX(0,MIN(1,(Control!$C$135-$MS128)/(Control!$C$135-$NO128)))</f>
        <v>#DIV/0!</v>
      </c>
      <c r="NR128" s="170" t="e">
        <f ca="1">IF(Control!$C$133&lt;&gt;1, $NQ128+((1-$NP128/4)*(1-$NQ128)),1)</f>
        <v>#DIV/0!</v>
      </c>
      <c r="NS128" s="170" t="e">
        <f ca="1">IF(Control!$B$31=0,$MJ128,MAX(0,MIN($MV128,$MO128*$NR128*$MJ128)))</f>
        <v>#DIV/0!</v>
      </c>
      <c r="NT128" s="170" t="e">
        <f t="shared" ca="1" si="455"/>
        <v>#DIV/0!</v>
      </c>
      <c r="NU128" s="170" t="e">
        <f t="shared" ca="1" si="431"/>
        <v>#N/A</v>
      </c>
      <c r="NV128" s="170" t="e">
        <f t="shared" ca="1" si="340"/>
        <v>#N/A</v>
      </c>
      <c r="NW128" s="175" t="e">
        <f t="shared" ca="1" si="341"/>
        <v>#DIV/0!</v>
      </c>
      <c r="NX128" s="170" t="e">
        <f ca="1">MIN(Control!$C$72+$MU128, $NW128)</f>
        <v>#DIV/0!</v>
      </c>
      <c r="NY128" s="170" t="e">
        <f ca="1">IF($MT128&lt;=$NX128,MIN(Control!$C$72+$NB128,$NX128-$MT128),0)</f>
        <v>#DIV/0!</v>
      </c>
      <c r="NZ128" s="54" t="e">
        <f ca="1">IF(Control!$C$114=1,  $CX128*($MX128-Control!$C$127), 0)</f>
        <v>#DIV/0!</v>
      </c>
      <c r="OA128" s="170" t="e">
        <f t="shared" ca="1" si="342"/>
        <v>#DIV/0!</v>
      </c>
      <c r="OB128" s="170" t="e">
        <f ca="1">IF($NA128 &lt;=$NY128, MIN(Control!$C$72, $NY128-$NA128), 0)</f>
        <v>#DIV/0!</v>
      </c>
      <c r="OC128" s="168" t="e">
        <f t="shared" ca="1" si="343"/>
        <v>#DIV/0!</v>
      </c>
      <c r="OD128" s="168" t="e">
        <f t="shared" ca="1" si="432"/>
        <v>#DIV/0!</v>
      </c>
      <c r="OE128" s="170">
        <f ca="1">Control!$C$73*$I128</f>
        <v>0</v>
      </c>
      <c r="OF128" s="176" t="e">
        <f t="shared" ca="1" si="344"/>
        <v>#DIV/0!</v>
      </c>
      <c r="OG128" s="168" t="e">
        <f t="shared" ca="1" si="345"/>
        <v>#DIV/0!</v>
      </c>
      <c r="OH128" s="168" t="e">
        <f t="shared" ca="1" si="346"/>
        <v>#DIV/0!</v>
      </c>
      <c r="OI128" s="168" t="e">
        <f t="shared" ca="1" si="347"/>
        <v>#DIV/0!</v>
      </c>
      <c r="OJ128" s="168" t="e">
        <f t="shared" ca="1" si="348"/>
        <v>#DIV/0!</v>
      </c>
      <c r="OK128" s="204" t="e">
        <f t="shared" ca="1" si="349"/>
        <v>#DIV/0!</v>
      </c>
      <c r="OL128" s="177">
        <f>Control!$C$127</f>
        <v>0.15</v>
      </c>
      <c r="OM128" s="182" t="e">
        <f t="shared" ca="1" si="350"/>
        <v>#N/A</v>
      </c>
      <c r="ON128" s="177">
        <f>Control!$C$128</f>
        <v>0.35</v>
      </c>
      <c r="OO128" s="182" t="e">
        <f t="shared" ca="1" si="351"/>
        <v>#N/A</v>
      </c>
      <c r="OP128" s="138">
        <f t="shared" ca="1" si="433"/>
        <v>0</v>
      </c>
      <c r="OQ128" s="138" t="e">
        <f t="shared" ca="1" si="456"/>
        <v>#DIV/0!</v>
      </c>
      <c r="OR128" s="138" t="e">
        <f t="shared" ca="1" si="434"/>
        <v>#DIV/0!</v>
      </c>
      <c r="OS128" s="137" t="e">
        <f t="shared" ca="1" si="457"/>
        <v>#DIV/0!</v>
      </c>
      <c r="OT128" s="139" t="e">
        <f t="shared" ca="1" si="458"/>
        <v>#DIV/0!</v>
      </c>
      <c r="OU128" s="138" t="e">
        <f t="shared" ca="1" si="459"/>
        <v>#N/A</v>
      </c>
      <c r="OV128" s="138" t="e">
        <f t="shared" ca="1" si="460"/>
        <v>#DIV/0!</v>
      </c>
      <c r="OW128" s="138" t="e">
        <f t="shared" ca="1" si="435"/>
        <v>#DIV/0!</v>
      </c>
      <c r="OX128" s="138" t="e">
        <f t="shared" ca="1" si="436"/>
        <v>#DIV/0!</v>
      </c>
      <c r="OY128" s="138" t="e">
        <f t="shared" ca="1" si="437"/>
        <v>#DIV/0!</v>
      </c>
      <c r="OZ128" s="138" t="e">
        <f t="shared" ca="1" si="352"/>
        <v>#DIV/0!</v>
      </c>
      <c r="PA128" s="138" t="e">
        <f t="shared" ca="1" si="353"/>
        <v>#DIV/0!</v>
      </c>
      <c r="PB128" s="55">
        <f>IF(Control!$C$61="T", IF(Control!$C$65="F", IF($AH$6-Control!$C$60&lt;0,0,1), IF(365+$AH$6-Control!$C$60&lt;0,0,1)),0)</f>
        <v>0</v>
      </c>
      <c r="PC128" s="55">
        <f ca="1">IF(Control!$C$65="F", IF($AH$6-$HF128&lt;0,0,1), IF(365+$AH$6-$HF128&lt;0,0,1))</f>
        <v>1</v>
      </c>
      <c r="PD128" s="444">
        <f>Control!$C$118</f>
        <v>1500</v>
      </c>
      <c r="PE128" s="180" t="e">
        <f t="shared" ca="1" si="354"/>
        <v>#N/A</v>
      </c>
      <c r="PF128" s="445">
        <f t="shared" ca="1" si="438"/>
        <v>0.71612369323045078</v>
      </c>
      <c r="PT128" s="186"/>
      <c r="PU128" s="186"/>
      <c r="PV128" s="94"/>
      <c r="PW128" s="94"/>
      <c r="PX128" s="94"/>
      <c r="PY128" s="94"/>
      <c r="PZ128" s="94"/>
      <c r="QA128" s="94"/>
      <c r="QB128" s="94"/>
      <c r="QC128" s="94"/>
      <c r="QD128" s="94"/>
      <c r="QE128" s="94"/>
      <c r="QF128" s="94"/>
      <c r="QG128" s="94"/>
      <c r="QH128" s="94"/>
      <c r="QI128" s="94"/>
      <c r="QJ128" s="94"/>
      <c r="QK128" s="94"/>
      <c r="QL128" s="94"/>
      <c r="QM128" s="94"/>
      <c r="QN128" s="94"/>
      <c r="QO128" s="94"/>
      <c r="QP128" s="94"/>
    </row>
    <row r="129" spans="1:458" s="2" customFormat="1" x14ac:dyDescent="0.2">
      <c r="A129" s="395">
        <v>4</v>
      </c>
      <c r="B129" s="396">
        <v>5</v>
      </c>
      <c r="C129" s="387">
        <f ca="1">Weather_data!$B128</f>
        <v>0</v>
      </c>
      <c r="D129" s="388">
        <f ca="1">Weather_data!$F128</f>
        <v>0</v>
      </c>
      <c r="E129" s="388">
        <f ca="1">Weather_data!$E128</f>
        <v>0</v>
      </c>
      <c r="F129" s="388">
        <f t="shared" ca="1" si="355"/>
        <v>0</v>
      </c>
      <c r="G129" s="388">
        <f ca="1">AVERAGE($D129:$E129)+Control!$B$9</f>
        <v>0</v>
      </c>
      <c r="H129" s="388">
        <f ca="1">Weather_data!$G128</f>
        <v>0</v>
      </c>
      <c r="I129" s="388">
        <f ca="1">Weather_data!$I128</f>
        <v>0</v>
      </c>
      <c r="J129" s="388">
        <f ca="1">Weather_data!$H128</f>
        <v>0</v>
      </c>
      <c r="K129" s="389">
        <f ca="1">Weather_data!$D128</f>
        <v>0</v>
      </c>
      <c r="L129" s="388" t="e">
        <f t="shared" ca="1" si="356"/>
        <v>#N/A</v>
      </c>
      <c r="M129" s="388" t="e">
        <f t="shared" ca="1" si="234"/>
        <v>#N/A</v>
      </c>
      <c r="N129" s="388">
        <f t="shared" ca="1" si="235"/>
        <v>-1.1770601735604724E-6</v>
      </c>
      <c r="O129" s="388">
        <f t="shared" ca="1" si="357"/>
        <v>1.1770601735604724E-5</v>
      </c>
      <c r="P129" s="390">
        <v>3</v>
      </c>
      <c r="Q129" s="388">
        <f ca="1">MAX($G129-Control!$C$107,0)</f>
        <v>0</v>
      </c>
      <c r="R129" s="388">
        <f t="shared" ca="1" si="358"/>
        <v>0</v>
      </c>
      <c r="S129" s="388">
        <f t="shared" ca="1" si="236"/>
        <v>0</v>
      </c>
      <c r="T129" s="388">
        <f t="shared" ca="1" si="237"/>
        <v>0</v>
      </c>
      <c r="U129" s="59">
        <f t="shared" ca="1" si="238"/>
        <v>0</v>
      </c>
      <c r="V129" s="391">
        <f ca="1">MAX(0,MIN(Control!$C$100-Control!$C$99,$G129-Control!$C$99)*Control!$C$63)</f>
        <v>0</v>
      </c>
      <c r="W129" s="388">
        <f t="shared" ca="1" si="359"/>
        <v>0</v>
      </c>
      <c r="X129" s="388">
        <f t="shared" ca="1" si="360"/>
        <v>0.6110000000000001</v>
      </c>
      <c r="Y129" s="388">
        <f t="shared" ca="1" si="239"/>
        <v>0</v>
      </c>
      <c r="Z129" s="388">
        <f t="shared" ca="1" si="361"/>
        <v>0.61058800000000002</v>
      </c>
      <c r="AA129" s="388">
        <f t="shared" ca="1" si="240"/>
        <v>0.6018</v>
      </c>
      <c r="AB129" s="388">
        <f ca="1">101.3*EXP(-0.034*Control!$C$66/($G129+273))</f>
        <v>100.69623283836242</v>
      </c>
      <c r="AC129" s="392">
        <f t="shared" ca="1" si="241"/>
        <v>4.3460251046025113E-2</v>
      </c>
      <c r="AD129" s="392">
        <f t="shared" ca="1" si="242"/>
        <v>4.4450382862832649E-2</v>
      </c>
      <c r="AE129" s="388">
        <f t="shared" ca="1" si="243"/>
        <v>0</v>
      </c>
      <c r="AF129" s="388">
        <f ca="1">MAX(0,$G129-Control!$C$92)</f>
        <v>0</v>
      </c>
      <c r="AG129" s="393">
        <f t="shared" ca="1" si="244"/>
        <v>125</v>
      </c>
      <c r="AH129" s="389">
        <f t="shared" ca="1" si="245"/>
        <v>125</v>
      </c>
      <c r="AI129" s="388">
        <f t="shared" ca="1" si="362"/>
        <v>0.27564430507534021</v>
      </c>
      <c r="AJ129" s="388">
        <f ca="1">IF(Control!$C$60&lt;=0,$HH129,$HI129)</f>
        <v>1</v>
      </c>
      <c r="AK129" s="388">
        <f t="shared" ca="1" si="246"/>
        <v>0.7746392844467983</v>
      </c>
      <c r="AL129" s="388">
        <f t="shared" ca="1" si="247"/>
        <v>-5.5903181389593822E-18</v>
      </c>
      <c r="AM129" s="388">
        <f t="shared" ca="1" si="248"/>
        <v>0.7746392844467983</v>
      </c>
      <c r="AN129" s="388">
        <f t="shared" ca="1" si="249"/>
        <v>0.28196597318211603</v>
      </c>
      <c r="AO129" s="388">
        <f ca="1">-0.10453/COS(Control!$B$8*PI()/180)*COS(AN129)</f>
        <v>-0.16308010639561046</v>
      </c>
      <c r="AP129" s="388">
        <f ca="1">ACOS(AO129-TAN(Control!$B$8*PI()/180)*TAN(AN129))</f>
        <v>2.1339538864197598</v>
      </c>
      <c r="AQ129" s="388">
        <f t="shared" ca="1" si="363"/>
        <v>0</v>
      </c>
      <c r="AR129" s="394">
        <f t="shared" ca="1" si="250"/>
        <v>0</v>
      </c>
      <c r="AS129" s="436">
        <f ca="1">IF(Control!$B$18=2,(IF(OR($AH129=Control!$B$175,$AH129=Control!$B$176,$AH129=Control!$B$177,$AH129=Control!$B$178,$AH129=Control!$B$179,$AH129=Control!$B$180,$AH129=Control!$B$181,$AH129=Control!$B$182,$AH129=Control!$B$183,$AH129=Control!$B$184,$AH129=Control!$B$185),1,0)),0)</f>
        <v>0</v>
      </c>
      <c r="AT129" s="436">
        <f>IF(Control!$B$20=8,IF(AND($AH129&gt;=Control!$B$172,$AH129&lt;=Control!$B$173),1,0),0)</f>
        <v>0</v>
      </c>
      <c r="AU129" s="436">
        <f>IF(Control!$B$20=8,IF($AV128=1,1*$AT129,IF($AT129=1,$AU128+1,$AU128)),0)</f>
        <v>0</v>
      </c>
      <c r="AV129" s="436">
        <f>IF(Control!$B$20=8,IF($AU129&gt;=Control!$B$174,1,0),0)</f>
        <v>0</v>
      </c>
      <c r="AW129" s="436">
        <f ca="1">IF(AND(Control!$B$18=2,Control!$B$171=1), $AV129, $AS129)</f>
        <v>0</v>
      </c>
      <c r="AX129" s="436" t="e">
        <f ca="1">IF(AND(Control!$B$18=1,$EU129&gt;=Control!$B$19),-$AY129,IF(AND(Control!$B$18=2,$AW129=1,$EU129&gt;$DS129),-$AY129, IF(Control!$C$108=0,0, IF(Control!$C$108&lt;&gt;0,1))))</f>
        <v>#N/A</v>
      </c>
      <c r="AY129" s="436" t="e">
        <f t="shared" ca="1" si="364"/>
        <v>#N/A</v>
      </c>
      <c r="AZ129" s="436" t="e">
        <f ca="1">IF(AND(Control!$B$18=1,$EB129&gt;Control!$B$19),$AZ128+1, IF(AND(Control!$B$18=2, $AW129=1, $EB129&gt;$DS129), $AZ128+1,$AZ128))</f>
        <v>#N/A</v>
      </c>
      <c r="BA129" s="587">
        <f>IF(Control!$C$81=0,1,IF($AH129&gt;=Control!$C$82,1,0))</f>
        <v>1</v>
      </c>
      <c r="BB129" s="140" t="e">
        <f ca="1">IF($BA129&gt;$BA128,Control!$C$83,IF($AW129&gt;0,$AW129*Control!$C$84,IF(AND(Control!$B$18=1,EN128&lt;&gt;0),Control!$C$84,0)))</f>
        <v>#N/A</v>
      </c>
      <c r="BC129" s="140" t="e">
        <f t="shared" ca="1" si="365"/>
        <v>#N/A</v>
      </c>
      <c r="BD129" s="140" t="e">
        <f ca="1">BC129*IF(OR($G129&lt;Control!$C$92,$G129&gt;Control!$C$95),0,IF(AND($G129&gt;=Control!$C$92,$G129&lt;=Control!$C$93),$G129-Control!$C$92,IF(AND($G129&gt;Control!$C$93,$G129&lt;=Control!$C$94),Control!$C$93-Control!$C$92,IF(AND($G129&gt;Control!$C$94,$G129&lt;=Control!$C$95),(Control!$C$93-Control!$C$92)*(Control!$C$94-$G129)/(Control!$C$95-Control!$C$94)))))</f>
        <v>#N/A</v>
      </c>
      <c r="BE129" s="140" t="e">
        <f t="shared" ca="1" si="366"/>
        <v>#N/A</v>
      </c>
      <c r="BF129" s="140" t="e">
        <f ca="1">IF($BE129&lt;=Control!$C$86,$BE129,Control!$C$86-$BE129)</f>
        <v>#N/A</v>
      </c>
      <c r="BG129" s="140" t="e">
        <f ca="1">IF(AND($AW129=1,Control!$C$84&lt;9),1,IF($BE129&gt;=Control!$C$86,0,$BC129))</f>
        <v>#N/A</v>
      </c>
      <c r="BH129" s="404" t="e">
        <f ca="1">IF($BG129=0,0,IF($BE129&lt;=Control!$C$86,$BC129*9*($BF129/Control!$C$86),0))</f>
        <v>#N/A</v>
      </c>
      <c r="BI129" s="140" t="e">
        <f ca="1">IF($BG129=1,0,IF($BE129&gt;=Control!$C$86,1,IF(AND($BB129&lt;21,$BB129&gt;=9),1,$BM128)))</f>
        <v>#N/A</v>
      </c>
      <c r="BJ129" s="140" t="e">
        <f ca="1">IF($BF129&lt;0,-$BF129,$BI129*IF(OR($G129&lt;Control!$C$92,$G129&gt;Control!$C$95),0,IF(AND($G129&gt;=Control!$C$92,$G129&lt;=Control!$C$93),$G129-Control!$C$92,IF(AND($G129&gt;Control!$C$93,$G129&lt;=Control!$C$94),Control!$C$93-Control!$C$92,IF(AND($G129&gt;Control!$C$94,$G129&lt;=Control!$C$95),(Control!$C$93-Control!$C$92)*(Control!$C$94-$G129)/(Control!$C$95-Control!$C$94))))))</f>
        <v>#N/A</v>
      </c>
      <c r="BK129" s="140" t="e">
        <f t="shared" ca="1" si="367"/>
        <v>#N/A</v>
      </c>
      <c r="BL129" s="140" t="e">
        <f ca="1">IF($BK129&lt;=Control!$C$87,$BK129,Control!$C$87-$BK129)</f>
        <v>#N/A</v>
      </c>
      <c r="BM129" s="140" t="e">
        <f ca="1">IF(AND($BB129&gt;=9,$BB129&lt;21),1,IF($BK129&gt;=Control!$C$87,0,$BI129))</f>
        <v>#N/A</v>
      </c>
      <c r="BN129" s="404" t="e">
        <f ca="1">IF($BM129=0,0,IF($BK129&lt;=Control!$C$87,$BI129*(9+(21-9)*($BL129/Control!$C$87)),0))</f>
        <v>#N/A</v>
      </c>
      <c r="BO129" s="140" t="e">
        <f ca="1">IF($BM129=1,0,IF($BK129&gt;=Control!$C$87,1,IF(AND($BB129&lt;30,$BB129&gt;=21),1,$BS128)))</f>
        <v>#N/A</v>
      </c>
      <c r="BP129" s="140" t="e">
        <f ca="1">IF($BL129&lt;0,-$BL129,$BO129*IF(OR($G129&lt;Control!$C$92,$G129&gt;Control!$C$95),0,IF(AND($G129&gt;=Control!$C$92,$G129&lt;=Control!$C$93),$G129-Control!$C$92,IF(AND($G129&gt;Control!$C$93,$G129&lt;=Control!$C$94),Control!$C$93-Control!$C$92,IF(AND($G129&gt;Control!$C$94,$G129&lt;=Control!$C$95),(Control!$C$93-Control!$C$92)*(Control!$C$94-$G129)/(Control!$C$95-Control!$C$94))))))</f>
        <v>#N/A</v>
      </c>
      <c r="BQ129" s="140" t="e">
        <f t="shared" ca="1" si="251"/>
        <v>#N/A</v>
      </c>
      <c r="BR129" s="140" t="e">
        <f ca="1">IF($BQ129&lt;=Control!$C$88,$BQ129,Control!$C$88-$BQ129)</f>
        <v>#N/A</v>
      </c>
      <c r="BS129" s="140" t="e">
        <f ca="1">IF(AND($BB129&gt;=21,$BB129&lt;30),1,IF($BQ129&gt;=Control!$C$88,0,$BO129))</f>
        <v>#N/A</v>
      </c>
      <c r="BT129" s="404" t="e">
        <f ca="1">IF($BS129=0,0,IF($BQ129&lt;=Control!$C$88,$BO129*(21+(30-21)*(BR129/Control!$C$88)),0))</f>
        <v>#N/A</v>
      </c>
      <c r="BU129" s="140" t="e">
        <f ca="1">IF(BG129+BM129+BS129=1,0,IF(OR(AND($BB129&lt;60,$BB129&gt;=30),$BQ129&gt;=Control!$C$88),1*$BA129,$BY128))</f>
        <v>#N/A</v>
      </c>
      <c r="BV129" s="140" t="e">
        <f ca="1">IF($BR129&lt;0,-$BR129,$BU129*IF(OR($G129&lt;Control!$C$92,$G129&gt;Control!$C$95),0,IF(AND($G129&gt;=Control!$C$92,$G129&lt;=Control!$C$93),$G129-Control!$C$92,IF(AND($G129&gt;Control!$C$93,$G129&lt;=Control!$C$94),Control!$C$93-Control!$C$92,IF(AND($G129&gt;Control!$C$94,$G129&lt;=Control!$C$95),(Control!$C$93-Control!$C$92)*(Control!$C$94-$G129)/(Control!$C$95-Control!$C$94))))))</f>
        <v>#N/A</v>
      </c>
      <c r="BW129" s="140" t="e">
        <f t="shared" ca="1" si="252"/>
        <v>#N/A</v>
      </c>
      <c r="BX129" s="140" t="e">
        <f ca="1">IF($BW129&lt;=Control!$C$89,$BW129,Control!$C$89-$BW129)</f>
        <v>#N/A</v>
      </c>
      <c r="BY129" s="140" t="e">
        <f ca="1">IF(AND($AJ129&gt;=30,$AJ129&lt;60),1,IF($BW129&gt;=Control!$C$89,0,$BU129))</f>
        <v>#N/A</v>
      </c>
      <c r="BZ129" s="404" t="e">
        <f ca="1">IF($BY129=0,0,IF($BW129&lt;=Control!$C$89,$BU129*(30+(60-30)*(BX129/Control!$C$89)),0))</f>
        <v>#N/A</v>
      </c>
      <c r="CA129" s="140" t="e">
        <f ca="1">IF($BG129+$BM129+$BS129+$BY129=1,0,IF(OR(AND($BB129&lt;65,$BB129&gt;=60),$BW129&gt;=Control!$C$89),1*$BA129,$CE128))</f>
        <v>#N/A</v>
      </c>
      <c r="CB129" s="140" t="e">
        <f ca="1">IF($BX129&lt;0,-$BX129,$CA129*IF(OR($G129&lt;Control!$C$92,$G129&gt;Control!$C$95),0,IF(AND($G129&gt;=Control!$C$92,$G129&lt;=Control!$C$93),$G129-Control!$C$92,IF(AND($G129&gt;Control!$C$93,$G129&lt;=Control!$C$94),Control!$C$93-Control!$C$92,IF(AND($G129&gt;Control!$C$94,$G129&lt;=Control!$C$95),(Control!$C$93-Control!$C$92)*(Control!$C$94-$G129)/(Control!$C$95-Control!$C$94))))))</f>
        <v>#N/A</v>
      </c>
      <c r="CC129" s="140" t="e">
        <f t="shared" ca="1" si="368"/>
        <v>#N/A</v>
      </c>
      <c r="CD129" s="140" t="e">
        <f ca="1">IF($CC129&lt;=Control!$C$90,$CC129,Control!$C$90-$CC129)</f>
        <v>#N/A</v>
      </c>
      <c r="CE129" s="140" t="e">
        <f ca="1">IF(AND($BB129&gt;=60,$BB129&lt;65),1,IF($CC129&gt;=Control!$C$90,0,$CA129))</f>
        <v>#N/A</v>
      </c>
      <c r="CF129" s="404" t="e">
        <f ca="1">IF($CE129=0,0,IF($CC129&lt;=Control!$C$90,$CA129*(60+(65-60)*(CD129/Control!$C$90)),0))</f>
        <v>#N/A</v>
      </c>
      <c r="CG129" s="140" t="e">
        <f ca="1">IF($BG129+$BM129+$BS129+$BY129+$CE129=1,0,IF(OR(AND($BB129&lt;90,$BB129&gt;=65),$CC129&gt;=Control!$C$90),$BA129,$CK128))</f>
        <v>#N/A</v>
      </c>
      <c r="CH129" s="140" t="e">
        <f ca="1">IF($CD129&lt;0,-$CD129,$CG129*IF(OR($G129&lt;Control!$C$92,$G129&gt;Control!$C$95),0,IF(AND($G129&gt;=Control!$C$92,$G129&lt;=Control!$C$93),$G129-Control!$C$92,IF(AND($G129&gt;Control!$C$93,$G129&lt;=Control!$C$94),Control!$C$93-Control!$C$92,IF(AND($G129&gt;Control!$C$94,$G129&lt;=Control!$C$95),(Control!$C$93-Control!$C$92)*(Control!$C$94-$G129)/(Control!$C$95-Control!$C$94))))))</f>
        <v>#N/A</v>
      </c>
      <c r="CI129" s="140" t="e">
        <f t="shared" ca="1" si="369"/>
        <v>#N/A</v>
      </c>
      <c r="CJ129" s="140" t="e">
        <f ca="1">IF($CI129&lt;=Control!$C$91,$CI129,Control!$C$91-$CI129)</f>
        <v>#N/A</v>
      </c>
      <c r="CK129" s="140" t="e">
        <f ca="1">IF(AND($BB129&gt;=65,$BB129&lt;90),1,IF($CI129&gt;=Control!$C$91,0,$CG129))</f>
        <v>#N/A</v>
      </c>
      <c r="CL129" s="404" t="e">
        <f ca="1">IF($CK129=0,0,IF($CI129&lt;=Control!$C$91,$CG129*(65+(90-65)*($CJ129/Control!$C$91)),0))</f>
        <v>#N/A</v>
      </c>
      <c r="CM129" s="140" t="e">
        <f ca="1">IF($BG129+$BM129+$BS129+$BY129+$CE129+$CK129=1,0,IF(OR($BB129&gt;=90,$CI129&gt;=Control!$C$91),$BA129,$CM128))</f>
        <v>#N/A</v>
      </c>
      <c r="CN129" s="140" t="e">
        <f t="shared" ca="1" si="370"/>
        <v>#N/A</v>
      </c>
      <c r="CO129" s="140" t="e">
        <f t="shared" ca="1" si="371"/>
        <v>#N/A</v>
      </c>
      <c r="CP129" s="140" t="e">
        <f t="shared" ca="1" si="372"/>
        <v>#N/A</v>
      </c>
      <c r="CQ129" s="141" t="e">
        <f ca="1">VLOOKUP($CP129,Control!$B$86:$G$91,6)</f>
        <v>#N/A</v>
      </c>
      <c r="CR129" s="141" t="e">
        <f ca="1">(1-$CQ129)*VLOOKUP($CP129,Control!$B$86:$D$91,3)</f>
        <v>#N/A</v>
      </c>
      <c r="CS129" s="141" t="e">
        <f ca="1">(1-$CQ129)*VLOOKUP($CP129,Control!$B$86:$E$91,4)</f>
        <v>#N/A</v>
      </c>
      <c r="CT129" s="141" t="e">
        <f ca="1">(1-$CQ129)*VLOOKUP($CP129,Control!$B$86:$F$91,5)</f>
        <v>#N/A</v>
      </c>
      <c r="CU129" s="141">
        <f t="shared" ca="1" si="373"/>
        <v>0</v>
      </c>
      <c r="CV129" s="583">
        <f t="shared" ca="1" si="374"/>
        <v>0</v>
      </c>
      <c r="CW129" s="142">
        <f t="shared" ca="1" si="375"/>
        <v>125</v>
      </c>
      <c r="CX129" s="612" t="e">
        <f ca="1">IF(Control!$C$114=1,(MIN(Control!$C$120*(IF($NT129-0.01&lt;0,0,1)),Control!$C$119-$CY129)))</f>
        <v>#DIV/0!</v>
      </c>
      <c r="CY129" s="143" t="e">
        <f t="shared" ca="1" si="376"/>
        <v>#N/A</v>
      </c>
      <c r="CZ129" s="144">
        <f t="shared" ca="1" si="253"/>
        <v>0</v>
      </c>
      <c r="DA129" s="144">
        <f t="shared" ca="1" si="254"/>
        <v>0</v>
      </c>
      <c r="DB129" s="144" t="e">
        <f t="shared" ca="1" si="255"/>
        <v>#N/A</v>
      </c>
      <c r="DC129" s="144" t="e">
        <f t="shared" ca="1" si="256"/>
        <v>#N/A</v>
      </c>
      <c r="DD129" s="144" t="e">
        <f t="shared" ca="1" si="461"/>
        <v>#N/A</v>
      </c>
      <c r="DE129" s="143" t="e">
        <f t="shared" ca="1" si="377"/>
        <v>#N/A</v>
      </c>
      <c r="DF129" s="145" t="e">
        <f ca="1">$DR129*EXP(-Control!$C$158*(1-$KH129))</f>
        <v>#N/A</v>
      </c>
      <c r="DG129" s="146" t="e">
        <f ca="1">IF(Control!$C$114=1, $DF129*$EY129, 0)</f>
        <v>#N/A</v>
      </c>
      <c r="DH129" s="147" t="e">
        <f t="shared" ca="1" si="378"/>
        <v>#N/A</v>
      </c>
      <c r="DI129" s="144" t="e">
        <f t="shared" ca="1" si="439"/>
        <v>#N/A</v>
      </c>
      <c r="DJ129" s="147" t="e">
        <f ca="1">$EF129*Control!$C$109</f>
        <v>#N/A</v>
      </c>
      <c r="DK129" s="144" t="e">
        <f t="shared" ca="1" si="379"/>
        <v>#N/A</v>
      </c>
      <c r="DL129" s="144" t="e">
        <f t="shared" ca="1" si="257"/>
        <v>#N/A</v>
      </c>
      <c r="DM129" s="144" t="e">
        <f ca="1">IF(Control!$C$114=1, (1-EXP(-Control!$C$96*$DK129))*$AR129, 0)</f>
        <v>#N/A</v>
      </c>
      <c r="DN129" s="144">
        <f t="shared" ca="1" si="380"/>
        <v>0</v>
      </c>
      <c r="DO129" s="148">
        <f>Control!$C$97</f>
        <v>4</v>
      </c>
      <c r="DP129" s="145" t="e">
        <f t="shared" ca="1" si="381"/>
        <v>#N/A</v>
      </c>
      <c r="DQ129" s="145" t="e">
        <f ca="1">IF(AND($CP129&gt;=0,$CP129&lt;=90),Control!$C$111,Control!$C$111)</f>
        <v>#N/A</v>
      </c>
      <c r="DR129" s="145" t="e">
        <f t="shared" ca="1" si="258"/>
        <v>#N/A</v>
      </c>
      <c r="DS129" s="143" t="e">
        <f ca="1">Control!$B$22/$DR129</f>
        <v>#N/A</v>
      </c>
      <c r="DT129" s="149" t="e">
        <f ca="1">IF(AND(Control!$C$114=1,$KH129&lt;1),$IM129*$DF129, 0)</f>
        <v>#N/A</v>
      </c>
      <c r="DU129" s="144" t="e">
        <f t="shared" ca="1" si="382"/>
        <v>#N/A</v>
      </c>
      <c r="DV129" s="144">
        <f ca="1">IF($G129-Control!$C$107&lt;=0, 0, 0.83*LN(MAX($G129, 3))-0.8924)</f>
        <v>0</v>
      </c>
      <c r="DW129" s="144" t="e">
        <f t="shared" ca="1" si="259"/>
        <v>#N/A</v>
      </c>
      <c r="DX129" s="150" t="e">
        <f ca="1">MAX(0.01*(1+$CU129/Control!$C$102),0.05*($DK129-Control!$C$97)/Control!$C$97)</f>
        <v>#N/A</v>
      </c>
      <c r="DY129" s="151" t="e">
        <f ca="1">IF(Control!$C$114=1, $DI129*$FS129, 0)</f>
        <v>#N/A</v>
      </c>
      <c r="DZ129" s="196" t="e">
        <f t="shared" ca="1" si="383"/>
        <v>#N/A</v>
      </c>
      <c r="EA129" s="152">
        <f t="shared" ca="1" si="384"/>
        <v>125</v>
      </c>
      <c r="EB129" s="153" t="e">
        <f t="shared" ca="1" si="385"/>
        <v>#N/A</v>
      </c>
      <c r="EC129" s="153" t="e">
        <f t="shared" ca="1" si="386"/>
        <v>#N/A</v>
      </c>
      <c r="ED129" s="154" t="e">
        <f ca="1">IF(Control!$C$114=1, $HM129*$FY129-$FD129, 0)</f>
        <v>#DIV/0!</v>
      </c>
      <c r="EE129" s="155" t="e">
        <f ca="1">IF(Control!$C$114=1, $HM129*$FZ129-$FF129, 0)</f>
        <v>#DIV/0!</v>
      </c>
      <c r="EF129" s="153" t="e">
        <f t="shared" ca="1" si="440"/>
        <v>#N/A</v>
      </c>
      <c r="EG129" s="155" t="e">
        <f ca="1">IF(Control!$C$114=1, $GX129*$FW129-$FI129, 0)</f>
        <v>#DIV/0!</v>
      </c>
      <c r="EH129" s="153" t="e">
        <f t="shared" ca="1" si="387"/>
        <v>#N/A</v>
      </c>
      <c r="EI129" s="156" t="e">
        <f t="shared" ca="1" si="388"/>
        <v>#N/A</v>
      </c>
      <c r="EJ129" s="155" t="e">
        <f ca="1">IF(Control!$C$114=1, $HM129*$GB129, 0)</f>
        <v>#DIV/0!</v>
      </c>
      <c r="EK129" s="153" t="e">
        <f t="shared" ca="1" si="441"/>
        <v>#N/A</v>
      </c>
      <c r="EL129" s="153" t="e">
        <f t="shared" ca="1" si="260"/>
        <v>#N/A</v>
      </c>
      <c r="EM129" s="153" t="e">
        <f t="shared" ca="1" si="261"/>
        <v>#N/A</v>
      </c>
      <c r="EN129" s="153" t="e">
        <f ca="1">IF(Control!$C$108=1,IF(AND(Control!$B$18=1,$EB129&gt;=Control!$B$19),$EB129-$DS129,IF(AND(Control!$B$18=2,$AW129=1,$EB129&gt;$DS129),$EB129-$DS129,0)))</f>
        <v>#N/A</v>
      </c>
      <c r="EO129" s="153" t="e">
        <f ca="1">IF(Control!$C$108=1,IF(AND(Control!$B$18=1,$EB129&gt;=Control!$B$19),$EF129,IF(AND(Control!$B$18=2,$AW129=1),$EF129,0)))</f>
        <v>#N/A</v>
      </c>
      <c r="EP129" s="153" t="e">
        <f ca="1">IF(Control!$C$108=1,IF(AND(Control!$B$18=1,$EB129&gt;=Control!$B$19),$EK129,IF(AND(Control!$B$18=2,$AW129=1),$EK129,0)))</f>
        <v>#N/A</v>
      </c>
      <c r="EQ129" s="153" t="e">
        <f t="shared" ca="1" si="389"/>
        <v>#N/A</v>
      </c>
      <c r="ER129" s="153" t="e">
        <f t="shared" ca="1" si="390"/>
        <v>#N/A</v>
      </c>
      <c r="ES129" s="153" t="e">
        <f t="shared" ca="1" si="442"/>
        <v>#N/A</v>
      </c>
      <c r="ET129" s="153" t="e">
        <f t="shared" ca="1" si="443"/>
        <v>#N/A</v>
      </c>
      <c r="EU129" s="153" t="e">
        <f t="shared" ca="1" si="391"/>
        <v>#N/A</v>
      </c>
      <c r="EV129" s="153" t="e">
        <f t="shared" ca="1" si="262"/>
        <v>#N/A</v>
      </c>
      <c r="EW129" s="153" t="e">
        <f t="shared" ca="1" si="263"/>
        <v>#N/A</v>
      </c>
      <c r="EX129" s="153" t="e">
        <f t="shared" ca="1" si="264"/>
        <v>#N/A</v>
      </c>
      <c r="EY129" s="157" t="e">
        <f t="shared" ca="1" si="265"/>
        <v>#DIV/0!</v>
      </c>
      <c r="EZ129" s="154" t="e">
        <f t="shared" ca="1" si="266"/>
        <v>#DIV/0!</v>
      </c>
      <c r="FA129" s="153" t="e">
        <f t="shared" ca="1" si="392"/>
        <v>#N/A</v>
      </c>
      <c r="FB129" s="153" t="e">
        <f t="shared" ca="1" si="267"/>
        <v>#N/A</v>
      </c>
      <c r="FC129" s="193" t="e">
        <f t="shared" ca="1" si="268"/>
        <v>#N/A</v>
      </c>
      <c r="FD129" s="158" t="e">
        <f t="shared" ca="1" si="393"/>
        <v>#N/A</v>
      </c>
      <c r="FE129" s="158" t="e">
        <f t="shared" ca="1" si="394"/>
        <v>#N/A</v>
      </c>
      <c r="FF129" s="159" t="e">
        <f t="shared" ca="1" si="269"/>
        <v>#N/A</v>
      </c>
      <c r="FG129" s="160" t="e">
        <f t="shared" ca="1" si="395"/>
        <v>#N/A</v>
      </c>
      <c r="FH129" s="158" t="e">
        <f t="shared" ca="1" si="396"/>
        <v>#N/A</v>
      </c>
      <c r="FI129" s="159" t="e">
        <f t="shared" ca="1" si="270"/>
        <v>#N/A</v>
      </c>
      <c r="FJ129" s="160" t="e">
        <f t="shared" ca="1" si="397"/>
        <v>#N/A</v>
      </c>
      <c r="FK129" s="160" t="e">
        <f t="shared" ca="1" si="271"/>
        <v>#N/A</v>
      </c>
      <c r="FL129" s="160" t="e">
        <f ca="1">$FL128+$FD128</f>
        <v>#N/A</v>
      </c>
      <c r="FM129" s="160" t="e">
        <f t="shared" ca="1" si="272"/>
        <v>#N/A</v>
      </c>
      <c r="FN129" s="158">
        <f t="shared" ca="1" si="398"/>
        <v>0.01</v>
      </c>
      <c r="FO129" s="160">
        <f>Control!$C$101</f>
        <v>50</v>
      </c>
      <c r="FP129" s="150" t="e">
        <f t="shared" ca="1" si="273"/>
        <v>#N/A</v>
      </c>
      <c r="FQ129" s="150" t="e">
        <f ca="1">MAX(0,(Control!$C$112*(($DK129-Control!$C$97)/Control!$C$97)))</f>
        <v>#N/A</v>
      </c>
      <c r="FR129" s="150" t="e">
        <f ca="1">(1-$NT129)*Control!$C$113</f>
        <v>#DIV/0!</v>
      </c>
      <c r="FS129" s="198" t="e">
        <f t="shared" ca="1" si="274"/>
        <v>#N/A</v>
      </c>
      <c r="FT129" s="161">
        <f t="shared" ca="1" si="399"/>
        <v>125</v>
      </c>
      <c r="FU129" s="162" t="e">
        <f ca="1">IF(Control!$B$34=1,VLOOKUP($CP129,Control!$B$86:$G$91,6),Control!$B$35)</f>
        <v>#N/A</v>
      </c>
      <c r="FV129" s="162" t="e">
        <f t="shared" ca="1" si="275"/>
        <v>#DIV/0!</v>
      </c>
      <c r="FW129" s="162" t="e">
        <f ca="1">IF(Control!$B$31=1,$FU129*$FV129,  $FU129)</f>
        <v>#N/A</v>
      </c>
      <c r="FX129" s="162" t="e">
        <f ca="1">IF(Control!$B$34=1,VLOOKUP($CP129,Control!$B$86:$G$91,3),Control!$B$36)</f>
        <v>#N/A</v>
      </c>
      <c r="FY129" s="162" t="e">
        <f t="shared" ca="1" si="276"/>
        <v>#N/A</v>
      </c>
      <c r="FZ129" s="162" t="e">
        <f ca="1">IF(Control!$B$34=1,VLOOKUP($CP129,Control!$B$86:$G$91,4),Control!$B$37)</f>
        <v>#N/A</v>
      </c>
      <c r="GA129" s="162" t="e">
        <f t="shared" ca="1" si="277"/>
        <v>#N/A</v>
      </c>
      <c r="GB129" s="162" t="e">
        <f ca="1">IF(Control!$B$34=1,VLOOKUP($CP129,Control!$B$86:$G$91,5),Control!$B$38)</f>
        <v>#N/A</v>
      </c>
      <c r="GC129" s="162" t="e">
        <f t="shared" ca="1" si="400"/>
        <v>#N/A</v>
      </c>
      <c r="GD129" s="162">
        <f t="shared" ca="1" si="278"/>
        <v>1</v>
      </c>
      <c r="GE129" s="162">
        <f t="shared" ca="1" si="279"/>
        <v>1</v>
      </c>
      <c r="GF129" s="162">
        <f ca="1">IF(AND(Control!$C$104=1, Control!$C$62="F"),$GE129,1)</f>
        <v>1</v>
      </c>
      <c r="GG129" s="162" t="e">
        <f ca="1">IF(Control!$B$16=40,0,IF(AND(Control!$B$16&gt;40,Control!$B$16&lt;=360),(Control!$B$16-40)*((1-0)/(360-40)),IF(AND(Control!$B$16&gt;360,Control!$B$16&lt;=720),(1+(Control!$B$16-360)*((1.25-1)/(720-360))),IF(AND(Control!$B$16&gt;720,Control!$B$16&lt;=1000),(1.25+(Control!$B$16-720)*((1.35-1.25)/(1000-720))),IF(AND(Control!$B$16&gt;1000,Control!$B$16&lt;=2000),(1.35+(Control!$B$16-1000)*0))))))</f>
        <v>#N/A</v>
      </c>
      <c r="GH129" s="162" t="e">
        <f t="shared" ca="1" si="280"/>
        <v>#N/A</v>
      </c>
      <c r="GI129" s="162">
        <f t="shared" ca="1" si="401"/>
        <v>0</v>
      </c>
      <c r="GJ129" s="162">
        <f t="shared" ca="1" si="281"/>
        <v>0</v>
      </c>
      <c r="GK129" s="162">
        <f t="shared" ca="1" si="402"/>
        <v>1</v>
      </c>
      <c r="GL129" s="162">
        <f t="shared" ca="1" si="282"/>
        <v>1</v>
      </c>
      <c r="GM129" s="162" t="e">
        <f ca="1">MAX(0,MIN(1,1-Control!$C$156*(1.0001-$KH129)^2))</f>
        <v>#N/A</v>
      </c>
      <c r="GN129" s="162" t="e">
        <f ca="1">IF(Control!$B$26=1,$KU129,$KX129)</f>
        <v>#N/A</v>
      </c>
      <c r="GO129" s="162" t="e">
        <f ca="1">IF($CP129&lt;=60,Control!$C$105,IF($CP129&gt;=90,Control!$C$106,Control!$C$105+($CP129-60)*((Control!$C$106-Control!$C$105)/(90-60))))</f>
        <v>#N/A</v>
      </c>
      <c r="GP129" s="162" t="e">
        <f t="shared" ca="1" si="283"/>
        <v>#N/A</v>
      </c>
      <c r="GQ129" s="162" t="e">
        <f t="shared" ca="1" si="403"/>
        <v>#N/A</v>
      </c>
      <c r="GR129" s="163" t="e">
        <f t="shared" ca="1" si="284"/>
        <v>#DIV/0!</v>
      </c>
      <c r="GS129" s="162" t="e">
        <f t="shared" ca="1" si="285"/>
        <v>#DIV/0!</v>
      </c>
      <c r="GT129" s="164" t="e">
        <f t="shared" ca="1" si="404"/>
        <v>#N/A</v>
      </c>
      <c r="GU129" s="162" t="e">
        <f t="shared" ca="1" si="405"/>
        <v>#N/A</v>
      </c>
      <c r="GV129" s="162" t="e">
        <f t="shared" ca="1" si="286"/>
        <v>#N/A</v>
      </c>
      <c r="GW129" s="162" t="e">
        <f t="shared" ca="1" si="287"/>
        <v>#DIV/0!</v>
      </c>
      <c r="GX129" s="162" t="e">
        <f t="shared" ca="1" si="406"/>
        <v>#DIV/0!</v>
      </c>
      <c r="GY129" s="162" t="e">
        <f t="shared" ca="1" si="407"/>
        <v>#DIV/0!</v>
      </c>
      <c r="GZ129" s="165" t="e">
        <f t="shared" ca="1" si="288"/>
        <v>#N/A</v>
      </c>
      <c r="HA129" s="162" t="e">
        <f ca="1">IF(Control!$C$114=1, $DI129*$FS129, 0)</f>
        <v>#N/A</v>
      </c>
      <c r="HB129" s="162" t="e">
        <f ca="1">$FA129/Control!$C$64</f>
        <v>#N/A</v>
      </c>
      <c r="HC129" s="162" t="e">
        <f t="shared" ca="1" si="289"/>
        <v>#DIV/0!</v>
      </c>
      <c r="HD129" s="162">
        <f ca="1">-ASIN(SIN(23.45*Control!$C$139)*COS(2*Control!$C$138*($AH129+10)/365))</f>
        <v>0.27564430507534021</v>
      </c>
      <c r="HE129" s="165">
        <f t="shared" ca="1" si="408"/>
        <v>0</v>
      </c>
      <c r="HF129" s="166">
        <f ca="1">IF(AND(Control!$C$61="T",$HE129&gt;=Control!$C$103,Control!$C$114=0),$AH129,Control!$C$59)</f>
        <v>1</v>
      </c>
      <c r="HG129" s="166">
        <f ca="1">IF(AND(Control!$C$61="T",$HE129&gt;=Control!$C$103,Control!$C$114=0),$HF129,Control!$C$59)</f>
        <v>1</v>
      </c>
      <c r="HH129" s="165">
        <f ca="1">IF(AND(OR(Control!$C$60&lt;=0, $AH129= Control!$C$59, Control!$C$60 &gt;0, $AH129 = Control!$C$60)), Control!$C$59, IF(Control!$C$60&gt;0, 0))</f>
        <v>1</v>
      </c>
      <c r="HI129" s="165">
        <f ca="1">IF(AND(OR(Control!$C$60&lt;=0, $AH129= Control!$C$59, Control!$C$60 &gt;0, $AH129 = Control!$C$60)), Control!$C$60, IF(Control!$C$60&lt;=0, 0))</f>
        <v>0</v>
      </c>
      <c r="HJ129" s="166">
        <f ca="1">IF(AND(Control!$C$62="F",$CV129&gt;=Control!$C$102),$AH129,0)</f>
        <v>0</v>
      </c>
      <c r="HK129" s="165" t="e">
        <f t="shared" ca="1" si="445"/>
        <v>#N/A</v>
      </c>
      <c r="HL129" s="166">
        <f ca="1">IF(AND(Control!$C$61="T",$HE129&gt;=Control!$C$103,Control!$C$114=0),$HF129,0)</f>
        <v>0</v>
      </c>
      <c r="HM129" s="201" t="e">
        <f t="shared" ca="1" si="290"/>
        <v>#DIV/0!</v>
      </c>
      <c r="HN129" s="215">
        <f t="shared" ca="1" si="409"/>
        <v>125</v>
      </c>
      <c r="HO129" s="216" t="e">
        <f ca="1">IF(AND($CP129&gt;=0, $CP129&lt;=90), Control!$C$152, Control!$C$152)</f>
        <v>#N/A</v>
      </c>
      <c r="HP129" s="216" t="e">
        <f t="shared" ca="1" si="291"/>
        <v>#N/A</v>
      </c>
      <c r="HQ129" s="217" t="e">
        <f ca="1">IF(OR(Control!$B$26=1,Control!$B$26=2),$KV129,$KS129)</f>
        <v>#DIV/0!</v>
      </c>
      <c r="HR129" s="218" t="e">
        <f t="shared" ca="1" si="446"/>
        <v>#DIV/0!</v>
      </c>
      <c r="HS129" s="216" t="e">
        <f ca="1">Control!$C$154*$HP129</f>
        <v>#N/A</v>
      </c>
      <c r="HT129" s="216" t="e">
        <f ca="1">Control!$C$155*$HP129</f>
        <v>#N/A</v>
      </c>
      <c r="HU129" s="217" t="e">
        <f ca="1">Control!$C$161*$FI129</f>
        <v>#N/A</v>
      </c>
      <c r="HV129" s="218" t="e">
        <f t="shared" ca="1" si="410"/>
        <v>#N/A</v>
      </c>
      <c r="HW129" s="218" t="e">
        <f ca="1">Control!$C$160*$FF129+$IP129*$EO129</f>
        <v>#N/A</v>
      </c>
      <c r="HX129" s="218" t="e">
        <f t="shared" ca="1" si="447"/>
        <v>#N/A</v>
      </c>
      <c r="HY129" s="219" t="e">
        <f ca="1">IF(Control!$C$114=1, $EB129*$FS129, 0)</f>
        <v>#N/A</v>
      </c>
      <c r="HZ129" s="91" t="e">
        <f t="shared" ca="1" si="292"/>
        <v>#N/A</v>
      </c>
      <c r="IA129" s="220" t="e">
        <f ca="1">Control!$C$153*$HO129</f>
        <v>#N/A</v>
      </c>
      <c r="IB129" s="218" t="e">
        <f t="shared" ca="1" si="293"/>
        <v>#N/A</v>
      </c>
      <c r="IC129" s="220" t="e">
        <f ca="1">Control!$C$153*$HT129</f>
        <v>#N/A</v>
      </c>
      <c r="ID129" s="218" t="e">
        <f t="shared" ca="1" si="294"/>
        <v>#N/A</v>
      </c>
      <c r="IE129" s="221" t="e">
        <f ca="1">($EB129*Control!$C$159+$EF129*Control!$C$160)/(IF($GZ129&lt;&gt;0,$GZ129,1))</f>
        <v>#N/A</v>
      </c>
      <c r="IF129" s="216" t="e">
        <f t="shared" ca="1" si="295"/>
        <v>#N/A</v>
      </c>
      <c r="IG129" s="91">
        <f ca="1">IF(OR(Control!$B$198=$AH129,Control!$B$199=$AH129, Control!$B$200=$AH129, Control!$B$201=$AH129, Control!$B$202=$AH129, Control!$B$203=$AH129, Control!$B$204=$AH129, Control!$B$205=$AH129, Control!$B$206=$AH129, Control!$B$207=$AH129), 1, 0)</f>
        <v>0</v>
      </c>
      <c r="IH129" s="91">
        <f ca="1">IF($IG129=0,0, VLOOKUP($AH129,Control!$B$198:$C$207,2))</f>
        <v>0</v>
      </c>
      <c r="II129" s="222">
        <f t="shared" ca="1" si="411"/>
        <v>0</v>
      </c>
      <c r="IJ129" s="91">
        <f>Control!$C$121</f>
        <v>0.7</v>
      </c>
      <c r="IK129" s="218">
        <f t="shared" ca="1" si="296"/>
        <v>0</v>
      </c>
      <c r="IL129" s="217" t="e">
        <f t="shared" ca="1" si="448"/>
        <v>#N/A</v>
      </c>
      <c r="IM129" s="223" t="e">
        <f ca="1">IF(AND(Control!$C$114=1,$KH129&lt;1),$EB129*Control!$C$148*(1-$KH129), 0)</f>
        <v>#N/A</v>
      </c>
      <c r="IN129" s="217" t="e">
        <f t="shared" ca="1" si="297"/>
        <v>#DIV/0!</v>
      </c>
      <c r="IO129" s="91" t="e">
        <f ca="1">MAX(0,$IL129-$EF129*Control!$C$160)</f>
        <v>#N/A</v>
      </c>
      <c r="IP129" s="220" t="e">
        <f t="shared" ca="1" si="298"/>
        <v>#N/A</v>
      </c>
      <c r="IQ129" s="217" t="e">
        <f t="shared" ca="1" si="412"/>
        <v>#N/A</v>
      </c>
      <c r="IR129" s="218" t="e">
        <f t="shared" ca="1" si="299"/>
        <v>#N/A</v>
      </c>
      <c r="IS129" s="217" t="e">
        <f ca="1">Control!$C$159*MAX(0,$FD129-$EN129)</f>
        <v>#N/A</v>
      </c>
      <c r="IT129" s="217" t="e">
        <f t="shared" ca="1" si="449"/>
        <v>#N/A</v>
      </c>
      <c r="IU129" s="217" t="e">
        <f t="shared" ca="1" si="413"/>
        <v>#N/A</v>
      </c>
      <c r="IV129" s="217" t="e">
        <f t="shared" ca="1" si="450"/>
        <v>#N/A</v>
      </c>
      <c r="IW129" s="217" t="e">
        <f ca="1">IF(OR($AW129=1,AND($AW129=0, Control!$B$18=1,$EN129&lt;&gt;0)), $IQ129-$IU129, $IQ129)</f>
        <v>#N/A</v>
      </c>
      <c r="IX129" s="218" t="e">
        <f t="shared" ca="1" si="300"/>
        <v>#N/A</v>
      </c>
      <c r="IY129" s="218" t="e">
        <f ca="1">MAX(0,$IQ129-$EB129*Control!$C$159)</f>
        <v>#N/A</v>
      </c>
      <c r="IZ129" s="218" t="e">
        <f t="shared" ca="1" si="301"/>
        <v>#N/A</v>
      </c>
      <c r="JA129" s="216" t="e">
        <f t="shared" ca="1" si="302"/>
        <v>#N/A</v>
      </c>
      <c r="JB129" s="217" t="e">
        <f t="shared" ca="1" si="303"/>
        <v>#N/A</v>
      </c>
      <c r="JC129" s="222" t="e">
        <f ca="1">MAX(Control!$C$157*$EK129-$JT129, 0)/Control!$C$162</f>
        <v>#N/A</v>
      </c>
      <c r="JD129" s="218" t="e">
        <f t="shared" ca="1" si="304"/>
        <v>#N/A</v>
      </c>
      <c r="JE129" s="218" t="e">
        <f t="shared" ca="1" si="305"/>
        <v>#N/A</v>
      </c>
      <c r="JF129" s="218" t="e">
        <f t="shared" ca="1" si="414"/>
        <v>#N/A</v>
      </c>
      <c r="JG129" s="218" t="e">
        <f t="shared" ca="1" si="306"/>
        <v>#N/A</v>
      </c>
      <c r="JH129" s="217" t="e">
        <f t="shared" ca="1" si="415"/>
        <v>#N/A</v>
      </c>
      <c r="JI129" s="217" t="e">
        <f t="shared" ca="1" si="416"/>
        <v>#N/A</v>
      </c>
      <c r="JJ129" s="217" t="e">
        <f t="shared" ca="1" si="451"/>
        <v>#N/A</v>
      </c>
      <c r="JK129" s="217" t="e">
        <f ca="1">IF(Control!$C$114=1,IF(Control!$B$24=0,MAX(0,$JI129)*$GN129/Control!$C$64,(MAX(0,MIN($JI129,$JJ129*$GN129/Control!$C$64),0))))</f>
        <v>#N/A</v>
      </c>
      <c r="JL129" s="217" t="e">
        <f ca="1">$IK129/Control!$C$64-$JK129+$HQ129</f>
        <v>#N/A</v>
      </c>
      <c r="JM129" s="217" t="e">
        <f ca="1">IF(Control!$C$114=1,($JB129/(IF($JI129&lt;&gt;0,$JI129,1)))*$JK129,0)</f>
        <v>#N/A</v>
      </c>
      <c r="JN129" s="217" t="e">
        <f ca="1">IF(Control!$C$114=1,($JG129/(IF($JI129&lt;&gt;0,$JI129,1)))*$JK129, 0)</f>
        <v>#N/A</v>
      </c>
      <c r="JO129" s="218" t="e">
        <f t="shared" ca="1" si="307"/>
        <v>#N/A</v>
      </c>
      <c r="JP129" s="218" t="e">
        <f ca="1">MIN(($IY129+$IO129)*Control!$C$151, $JF129-$EH129*Control!$C$161)</f>
        <v>#N/A</v>
      </c>
      <c r="JQ129" s="218" t="e">
        <f t="shared" ca="1" si="308"/>
        <v>#N/A</v>
      </c>
      <c r="JR129" s="217" t="e">
        <f ca="1">IF($CP129-Control!$C$150&lt;0, 0, $JQ129/Control!$C$162)</f>
        <v>#N/A</v>
      </c>
      <c r="JS129" s="218" t="e">
        <f t="shared" ca="1" si="309"/>
        <v>#N/A</v>
      </c>
      <c r="JT129" s="218" t="e">
        <f t="shared" ca="1" si="417"/>
        <v>#N/A</v>
      </c>
      <c r="JU129" s="218" t="e">
        <f t="shared" ca="1" si="310"/>
        <v>#N/A</v>
      </c>
      <c r="JV129" s="218" t="e">
        <f t="shared" ca="1" si="311"/>
        <v>#N/A</v>
      </c>
      <c r="JW129" s="216" t="e">
        <f t="shared" ca="1" si="312"/>
        <v>#N/A</v>
      </c>
      <c r="JX129" s="91" t="e">
        <f t="shared" ca="1" si="313"/>
        <v>#N/A</v>
      </c>
      <c r="JY129" s="218" t="e">
        <f t="shared" ca="1" si="314"/>
        <v>#N/A</v>
      </c>
      <c r="JZ129" s="217" t="e">
        <f ca="1">IF(Control!$C$114=1,($IZ129/(IF($JI129&lt;&gt;0,$JI129,1)))*$JK129, 0)</f>
        <v>#N/A</v>
      </c>
      <c r="KA129" s="218" t="e">
        <f t="shared" ca="1" si="452"/>
        <v>#N/A</v>
      </c>
      <c r="KB129" s="218" t="e">
        <f t="shared" ca="1" si="418"/>
        <v>#N/A</v>
      </c>
      <c r="KC129" s="218" t="e">
        <f t="shared" ca="1" si="315"/>
        <v>#N/A</v>
      </c>
      <c r="KD129" s="218" t="e">
        <f t="shared" ca="1" si="316"/>
        <v>#N/A</v>
      </c>
      <c r="KE129" s="218" t="e">
        <f t="shared" ca="1" si="317"/>
        <v>#N/A</v>
      </c>
      <c r="KF129" s="218" t="e">
        <f t="shared" ca="1" si="318"/>
        <v>#N/A</v>
      </c>
      <c r="KG129" s="216" t="e">
        <f t="shared" ca="1" si="319"/>
        <v>#N/A</v>
      </c>
      <c r="KH129" s="221" t="e">
        <f ca="1">IF(Control!$B$24=0,1,MAX(0.001,MIN(1,IF(($IF129-$IE129)&lt;&gt;0,($KG129-$IE129)/($IF129-$IE129),1))))</f>
        <v>#N/A</v>
      </c>
      <c r="KI129" s="222" t="e">
        <f ca="1">IF(Control!$C$114=1, $KI128+ $KH128, 0)</f>
        <v>#N/A</v>
      </c>
      <c r="KJ129" s="217" t="e">
        <f t="shared" ca="1" si="320"/>
        <v>#N/A</v>
      </c>
      <c r="KK129" s="218" t="e">
        <f t="shared" ca="1" si="321"/>
        <v>#N/A</v>
      </c>
      <c r="KL129" s="274" t="e">
        <f ca="1">IF(Control!$B$26=3,4000000000*EXP(-8400/($G129+273)),IF(Control!$B$26=4,4000000000*EXP(-8400/($G129+273))*($KT129),0))</f>
        <v>#DIV/0!</v>
      </c>
      <c r="KM129" s="274" t="e">
        <f ca="1">IF(Control!$B$26=3,5600000000000*EXP(-9800/($G129+273)),IF(Control!$B$26=4,5600000000000*EXP(-9800/($G129+273))*$KT129,0))</f>
        <v>#DIV/0!</v>
      </c>
      <c r="KN129" s="454" t="e">
        <f t="shared" ca="1" si="419"/>
        <v>#DIV/0!</v>
      </c>
      <c r="KO129" s="274" t="e">
        <f t="shared" ca="1" si="420"/>
        <v>#DIV/0!</v>
      </c>
      <c r="KP129" s="454" t="e">
        <f t="shared" ca="1" si="322"/>
        <v>#DIV/0!</v>
      </c>
      <c r="KQ129" s="454" t="e">
        <f t="shared" ca="1" si="323"/>
        <v>#DIV/0!</v>
      </c>
      <c r="KR129" s="454" t="e">
        <f t="shared" ca="1" si="324"/>
        <v>#DIV/0!</v>
      </c>
      <c r="KS129" s="454" t="e">
        <f t="shared" ca="1" si="325"/>
        <v>#DIV/0!</v>
      </c>
      <c r="KT129" s="455" t="e">
        <f t="shared" ca="1" si="326"/>
        <v>#DIV/0!</v>
      </c>
      <c r="KU129" s="456" t="e">
        <f ca="1">IF($CP129-Control!$C$149&lt;0, IF($NT129-0.01&lt;0,0,1),0)</f>
        <v>#N/A</v>
      </c>
      <c r="KV129" s="456" t="e">
        <f ca="1">IF(Control!$C$114=1,MAX(0,MIN(Control!$C$125*$KW129*$GN129,$KW129)))</f>
        <v>#DIV/0!</v>
      </c>
      <c r="KW129" s="456" t="e">
        <f t="shared" ca="1" si="453"/>
        <v>#DIV/0!</v>
      </c>
      <c r="KX129" s="457" t="e">
        <f ca="1">IF($CP129-Control!$C$149&lt;0, IF($MR129-$OM129&lt;0,0,1),0)</f>
        <v>#N/A</v>
      </c>
      <c r="KY129" s="167">
        <f t="shared" ca="1" si="421"/>
        <v>125</v>
      </c>
      <c r="KZ129" s="168">
        <f ca="1">1370*(1+0.033*COS(2*Control!$C$138*$AH129/365))</f>
        <v>1345.1866196939764</v>
      </c>
      <c r="LA129" s="169">
        <f t="shared" ca="1" si="422"/>
        <v>0.98188818237660425</v>
      </c>
      <c r="LB129" s="169">
        <f t="shared" ca="1" si="423"/>
        <v>0.28229487356755767</v>
      </c>
      <c r="LC129" s="169">
        <f ca="1">ACOS(-TAN((2*Control!$B$8/360))*TAN(Calculations!$LB129))</f>
        <v>1.657104414677887</v>
      </c>
      <c r="LD129" s="169">
        <f ca="1">((24*60)/PI())*0.082*$LA129*(($LC129*SIN(Control!$B$8*2*PI()/360))*SIN($LB129)+COS(Control!$B$8*2*PI()/360)*COS($LB129)*SIN($LC129))</f>
        <v>35.164847297928588</v>
      </c>
      <c r="LE129" s="170">
        <f t="shared" ca="1" si="327"/>
        <v>35.77219379899222</v>
      </c>
      <c r="LF129" s="170">
        <f ca="1">SIN(Control!$C$139*Control!$B$8)*SIN($HD129)</f>
        <v>0.21447085947334765</v>
      </c>
      <c r="LG129" s="170">
        <f ca="1">COS(Control!$C$139*Control!$B$8)*COS($HD129)</f>
        <v>0.59241866926219522</v>
      </c>
      <c r="LH129" s="170">
        <f ca="1">12*(1+2*ASIN(MAX(-1,MIN(1,$LF129/$LG129))/Control!$C$138))</f>
        <v>14.771825058303371</v>
      </c>
      <c r="LI129" s="170">
        <f ca="1">12*(1+2*ASIN(MAX(-1,MIN(1,(-SIN(-4*Control!$C$139)+$LF129)/$LG129))/Control!$C$138))</f>
        <v>15.679598738523783</v>
      </c>
      <c r="LJ129" s="168">
        <f ca="1">3600*($LH129*$LF129+24*$LG129*SQRT(1-$LK129*$LK129)/Control!$C$138)</f>
        <v>26592.736855448522</v>
      </c>
      <c r="LK129" s="170">
        <f t="shared" ca="1" si="328"/>
        <v>0.36202582835624009</v>
      </c>
      <c r="LL129" s="170">
        <f t="shared" ca="1" si="329"/>
        <v>0</v>
      </c>
      <c r="LM129" s="171">
        <f ca="1">Control!$C$145*$AB129</f>
        <v>6.6660906138995932E-2</v>
      </c>
      <c r="LN129" s="170">
        <f t="shared" ca="1" si="424"/>
        <v>0.54</v>
      </c>
      <c r="LO129" s="170">
        <f t="shared" ca="1" si="330"/>
        <v>0</v>
      </c>
      <c r="LP129" s="170">
        <f ca="1">Control!$C$140*((($D129+273.16)^4+($E129+273.16)^4)/2)*(0.34-0.14*SQRT($Y129))*(1.35*$AQ129/(0.75*$LD129)-0.35)</f>
        <v>-3.2464704755046001</v>
      </c>
      <c r="LQ129" s="170">
        <f ca="1">Control!$C$140*($G129+273)^4*(0.56-0.079*SQRT($Y129*10))*(0.1+0.9*$LO129)</f>
        <v>1.5241745131704001</v>
      </c>
      <c r="LR129" s="170">
        <f ca="1">$AQ129*(1-Control!$C$142)-$LQ129</f>
        <v>-1.5241745131704001</v>
      </c>
      <c r="LS129" s="170">
        <f ca="1">$AQ129*(1-Control!$C$143)-$LQ129</f>
        <v>-1.5241745131704001</v>
      </c>
      <c r="LT129" s="170">
        <f ca="1">$AQ129*(1-Control!$C$144)-$LQ129</f>
        <v>-1.5241745131704001</v>
      </c>
      <c r="LU129" s="169">
        <f ca="1">(1-Control!$C$144)*AQ129-LP129</f>
        <v>3.2464704755046001</v>
      </c>
      <c r="LV129" s="172">
        <f t="shared" ca="1" si="331"/>
        <v>0.79430000000000012</v>
      </c>
      <c r="LW129" s="170">
        <f t="shared" ca="1" si="332"/>
        <v>1.5886000000000002</v>
      </c>
      <c r="LX129" s="170">
        <f ca="1">($AC129*($LR129/Control!$C$141)+$LM129*$LV129)/($AC129+$LM129)</f>
        <v>0.23530094218323697</v>
      </c>
      <c r="LY129" s="170">
        <f ca="1">($AC129*($LS129/Control!$C$141)+$LM129*$LV129)/($AC129+$LM129)</f>
        <v>0.23530094218323697</v>
      </c>
      <c r="LZ129" s="170">
        <f t="shared" ca="1" si="333"/>
        <v>0.23530094218323697</v>
      </c>
      <c r="MA129" s="170">
        <f t="shared" ca="1" si="334"/>
        <v>0.23530094218323697</v>
      </c>
      <c r="MB129" s="170" t="e">
        <f t="shared" ca="1" si="335"/>
        <v>#N/A</v>
      </c>
      <c r="MC129" s="170">
        <f t="shared" ca="1" si="425"/>
        <v>0.6018</v>
      </c>
      <c r="MD129" s="170">
        <f t="shared" ca="1" si="336"/>
        <v>0.52989392535414004</v>
      </c>
      <c r="ME129" s="170">
        <f ca="1">($AC129*($LT129/Control!$C$141)+$LM129*$LW129)/($AC129+$LM129)</f>
        <v>0.71612369323045078</v>
      </c>
      <c r="MF129" s="170" t="e">
        <f ca="1">IF(Control!$B$16&gt;=1000,0.92,IF(AND(720&lt;=Control!$B$16,1000&gt;Control!$B$16),(0.95+(Control!$B$16-720)*((0.92-0.95)/(1000-720))),IF(AND(360&lt;=Control!$B$16,720&gt;Control!$B$16),(1+(Control!$B$16-360)*((0.95-1)/(720-360))),IF(AND(40&lt;=Control!$B$16,360&gt;Control!$B$16),(1.05+(Control!$B$16-40)*((1.05-1)/(360-40)))))))</f>
        <v>#N/A</v>
      </c>
      <c r="MG129" s="170">
        <f t="shared" ca="1" si="337"/>
        <v>0.71612369323045078</v>
      </c>
      <c r="MH129" s="170" t="e">
        <f t="shared" ca="1" si="464"/>
        <v>#N/A</v>
      </c>
      <c r="MI129" s="170" t="e">
        <f t="shared" ca="1" si="464"/>
        <v>#N/A</v>
      </c>
      <c r="MJ129" s="170" t="e">
        <f ca="1">MAX(0.0001, Control!$C$132*$MI129*$DL129)</f>
        <v>#N/A</v>
      </c>
      <c r="MK129" s="170">
        <f ca="1">1/(0.76+1.5*($MG129/10))-(5-Control!$C$110)*0.1</f>
        <v>1.002845988140797</v>
      </c>
      <c r="ML129" s="173">
        <f ca="1">IF(Control!$C$110&lt;3,$MK129+($MG129-0.6)/(Control!$C$110*(Control!$C$110+3)), MAX(0.1, MIN(0.95,$MK129)))</f>
        <v>0.95</v>
      </c>
      <c r="MM129" s="173">
        <f ca="1">IF(Control!$C$110&lt;3,$MK129+(($MI129/10)-0.6)/(Control!$C$110*(Control!$C$110+3)), MAX(0.1, MIN(0.95,$MK129)))</f>
        <v>0.95</v>
      </c>
      <c r="MN129" s="173">
        <f ca="1">(1-$MM129)*(Control!$C$128-Control!$C$127)+Control!$C$127</f>
        <v>0.16</v>
      </c>
      <c r="MO129" s="170" t="e">
        <f ca="1">MAX(0,MIN(1,($MS129-Control!$C$127)/($MN129-Control!$C$127)))</f>
        <v>#DIV/0!</v>
      </c>
      <c r="MP129" s="173" t="e">
        <f ca="1">1/(0.76+1.5*$MI129)-(5-Control!$C$110)*0.1</f>
        <v>#N/A</v>
      </c>
      <c r="MQ129" s="172" t="e">
        <f t="shared" ca="1" si="454"/>
        <v>#DIV/0!</v>
      </c>
      <c r="MR129" s="168" t="e">
        <f t="shared" ca="1" si="426"/>
        <v>#DIV/0!</v>
      </c>
      <c r="MS129" s="173" t="e">
        <f ca="1">MAX(Control!$C$127, MIN(Control!$C$135, $MR129/MAX(0.0001,$CY129)))</f>
        <v>#DIV/0!</v>
      </c>
      <c r="MT129" s="168" t="e">
        <f ca="1">(Control!$C$128-$MS129)*Control!$C$74</f>
        <v>#DIV/0!</v>
      </c>
      <c r="MU129" s="168" t="e">
        <f ca="1">(Control!$C$135-$MS129)*Control!$C$74</f>
        <v>#DIV/0!</v>
      </c>
      <c r="MV129" s="168" t="e">
        <f t="shared" ca="1" si="427"/>
        <v>#DIV/0!</v>
      </c>
      <c r="MW129" s="168" t="e">
        <f t="shared" ca="1" si="428"/>
        <v>#DIV/0!</v>
      </c>
      <c r="MX129" s="171" t="e">
        <f ca="1">MAX(Control!$C$127, MIN(Control!$C$135, $MW129/MAX(0.0001,Control!$C$119-$CY129)))</f>
        <v>#DIV/0!</v>
      </c>
      <c r="MY129" s="54" t="e">
        <f ca="1">IF(Control!$C$114=1, $CX129*$MX129, 0)</f>
        <v>#DIV/0!</v>
      </c>
      <c r="MZ129" s="54" t="e">
        <f t="shared" ca="1" si="429"/>
        <v>#N/A</v>
      </c>
      <c r="NA129" s="168" t="e">
        <f ca="1">(Control!$C$128-$MX129)*(Control!$C$119-Control!$C$74)</f>
        <v>#DIV/0!</v>
      </c>
      <c r="NB129" s="168" t="e">
        <f ca="1">(Control!$C$135-$MX129)*(Control!$C$119-Control!$C$74)</f>
        <v>#DIV/0!</v>
      </c>
      <c r="NC129" s="174" t="e">
        <f t="shared" ca="1" si="430"/>
        <v>#DIV/0!</v>
      </c>
      <c r="ND129" s="54">
        <f ca="1">IF(Control!$C$58=2, IF(OR(Control!$B$218=$AH129,Control!$B$219=$AH129, Control!$B$220=$AH129, Control!$B$221=$AH129, Control!$B$222=$AH129, Control!$B$223=$AH129, Control!$B$224=$AH129, Control!$B$225=$AH129, Control!$B$226=$AH129, Control!$B$227=$AH129, Control!$B$228=$AH129), 1, 0), 0)</f>
        <v>0</v>
      </c>
      <c r="NE129" s="54">
        <f ca="1">IF($ND129=0,0, VLOOKUP($AH129,Control!$B$218:$C$228,2))</f>
        <v>0</v>
      </c>
      <c r="NF129" s="168" t="e">
        <f ca="1">$CY129*(Control!$C$128-Control!$C$127)</f>
        <v>#N/A</v>
      </c>
      <c r="NG129" s="54" t="e">
        <f ca="1">IF(Control!$C$58=2, $NI128-$NJ128, 0)</f>
        <v>#DIV/0!</v>
      </c>
      <c r="NH129" s="54" t="e">
        <f ca="1">IF(AND(Control!$C$58=1, $MS128&lt;= ($MN128+0.02), $I128&lt;10), 0, IF(Control!$C$58=2, $NG128, 0))</f>
        <v>#DIV/0!</v>
      </c>
      <c r="NI129" s="54" t="e">
        <f ca="1">IF(Control!$C$58=2, $NE129+$NH129,0)</f>
        <v>#DIV/0!</v>
      </c>
      <c r="NJ129" s="54" t="e">
        <f ca="1">IF(AND(Control!$C$58=1, $MS129&lt;= ($MN129+0.02), $I129&lt;10), MAX(0, MIN(10, 0.7*($NF129-$MV129))), IF(Control!$C$58=2, MIN(10,$NI129),0))</f>
        <v>#DIV/0!</v>
      </c>
      <c r="NK129" s="54" t="e">
        <f t="shared" ca="1" si="338"/>
        <v>#DIV/0!</v>
      </c>
      <c r="NL129" s="173" t="e">
        <f ca="1">(1-Control!$C$73)*$I129+$NJ129</f>
        <v>#DIV/0!</v>
      </c>
      <c r="NM129" s="172" t="e">
        <f ca="1">IF($NL129&lt;0.5, $MB129* MAX(0, MIN(1, (SQRT($NC129)-SQRT($NC129-1))*Control!$C$71)),0)</f>
        <v>#DIV/0!</v>
      </c>
      <c r="NN129" s="170" t="e">
        <f ca="1">IF($NL129&gt;=5, $MB129, MAX(0,MIN($MB129, $NM129+$NL129,($MS129-Control!$C$129))))</f>
        <v>#DIV/0!</v>
      </c>
      <c r="NO129" s="54">
        <f>IF(Control!$C$133&lt;&gt;1, Control!$C$135-Control!$C$131, 0)</f>
        <v>0.38</v>
      </c>
      <c r="NP129" s="54" t="e">
        <f t="shared" ca="1" si="339"/>
        <v>#DIV/0!</v>
      </c>
      <c r="NQ129" s="173" t="e">
        <f ca="1">MAX(0,MIN(1,(Control!$C$135-$MS129)/(Control!$C$135-$NO129)))</f>
        <v>#DIV/0!</v>
      </c>
      <c r="NR129" s="170" t="e">
        <f ca="1">IF(Control!$C$133&lt;&gt;1, $NQ129+((1-$NP129/4)*(1-$NQ129)),1)</f>
        <v>#DIV/0!</v>
      </c>
      <c r="NS129" s="170" t="e">
        <f ca="1">IF(Control!$B$31=0,$MJ129,MAX(0,MIN($MV129,$MO129*$NR129*$MJ129)))</f>
        <v>#DIV/0!</v>
      </c>
      <c r="NT129" s="170" t="e">
        <f t="shared" ca="1" si="455"/>
        <v>#DIV/0!</v>
      </c>
      <c r="NU129" s="170" t="e">
        <f t="shared" ca="1" si="431"/>
        <v>#N/A</v>
      </c>
      <c r="NV129" s="170" t="e">
        <f t="shared" ca="1" si="340"/>
        <v>#N/A</v>
      </c>
      <c r="NW129" s="175" t="e">
        <f t="shared" ca="1" si="341"/>
        <v>#DIV/0!</v>
      </c>
      <c r="NX129" s="170" t="e">
        <f ca="1">MIN(Control!$C$72+$MU129, $NW129)</f>
        <v>#DIV/0!</v>
      </c>
      <c r="NY129" s="170" t="e">
        <f ca="1">IF($MT129&lt;=$NX129,MIN(Control!$C$72+$NB129,$NX129-$MT129),0)</f>
        <v>#DIV/0!</v>
      </c>
      <c r="NZ129" s="54" t="e">
        <f ca="1">IF(Control!$C$114=1,  $CX129*($MX129-Control!$C$127), 0)</f>
        <v>#DIV/0!</v>
      </c>
      <c r="OA129" s="170" t="e">
        <f t="shared" ca="1" si="342"/>
        <v>#DIV/0!</v>
      </c>
      <c r="OB129" s="170" t="e">
        <f ca="1">IF($NA129 &lt;=$NY129, MIN(Control!$C$72, $NY129-$NA129), 0)</f>
        <v>#DIV/0!</v>
      </c>
      <c r="OC129" s="168" t="e">
        <f t="shared" ca="1" si="343"/>
        <v>#DIV/0!</v>
      </c>
      <c r="OD129" s="168" t="e">
        <f t="shared" ca="1" si="432"/>
        <v>#DIV/0!</v>
      </c>
      <c r="OE129" s="170">
        <f ca="1">Control!$C$73*$I129</f>
        <v>0</v>
      </c>
      <c r="OF129" s="176" t="e">
        <f t="shared" ca="1" si="344"/>
        <v>#DIV/0!</v>
      </c>
      <c r="OG129" s="168" t="e">
        <f t="shared" ca="1" si="345"/>
        <v>#DIV/0!</v>
      </c>
      <c r="OH129" s="168" t="e">
        <f t="shared" ca="1" si="346"/>
        <v>#DIV/0!</v>
      </c>
      <c r="OI129" s="168" t="e">
        <f t="shared" ca="1" si="347"/>
        <v>#DIV/0!</v>
      </c>
      <c r="OJ129" s="168" t="e">
        <f t="shared" ca="1" si="348"/>
        <v>#DIV/0!</v>
      </c>
      <c r="OK129" s="204" t="e">
        <f t="shared" ca="1" si="349"/>
        <v>#DIV/0!</v>
      </c>
      <c r="OL129" s="177">
        <f>Control!$C$127</f>
        <v>0.15</v>
      </c>
      <c r="OM129" s="182" t="e">
        <f t="shared" ca="1" si="350"/>
        <v>#N/A</v>
      </c>
      <c r="ON129" s="177">
        <f>Control!$C$128</f>
        <v>0.35</v>
      </c>
      <c r="OO129" s="182" t="e">
        <f t="shared" ca="1" si="351"/>
        <v>#N/A</v>
      </c>
      <c r="OP129" s="138">
        <f t="shared" ca="1" si="433"/>
        <v>0</v>
      </c>
      <c r="OQ129" s="138" t="e">
        <f t="shared" ca="1" si="456"/>
        <v>#DIV/0!</v>
      </c>
      <c r="OR129" s="138" t="e">
        <f t="shared" ca="1" si="434"/>
        <v>#DIV/0!</v>
      </c>
      <c r="OS129" s="137" t="e">
        <f t="shared" ca="1" si="457"/>
        <v>#DIV/0!</v>
      </c>
      <c r="OT129" s="139" t="e">
        <f t="shared" ca="1" si="458"/>
        <v>#DIV/0!</v>
      </c>
      <c r="OU129" s="138" t="e">
        <f t="shared" ca="1" si="459"/>
        <v>#N/A</v>
      </c>
      <c r="OV129" s="138" t="e">
        <f t="shared" ca="1" si="460"/>
        <v>#DIV/0!</v>
      </c>
      <c r="OW129" s="138" t="e">
        <f t="shared" ca="1" si="435"/>
        <v>#DIV/0!</v>
      </c>
      <c r="OX129" s="138" t="e">
        <f t="shared" ca="1" si="436"/>
        <v>#DIV/0!</v>
      </c>
      <c r="OY129" s="138" t="e">
        <f t="shared" ca="1" si="437"/>
        <v>#DIV/0!</v>
      </c>
      <c r="OZ129" s="138" t="e">
        <f t="shared" ca="1" si="352"/>
        <v>#DIV/0!</v>
      </c>
      <c r="PA129" s="138" t="e">
        <f t="shared" ca="1" si="353"/>
        <v>#DIV/0!</v>
      </c>
      <c r="PB129" s="55">
        <f>IF(Control!$C$61="T", IF(Control!$C$65="F", IF($AH$6-Control!$C$60&lt;0,0,1), IF(365+$AH$6-Control!$C$60&lt;0,0,1)),0)</f>
        <v>0</v>
      </c>
      <c r="PC129" s="55">
        <f ca="1">IF(Control!$C$65="F", IF($AH$6-$HF129&lt;0,0,1), IF(365+$AH$6-$HF129&lt;0,0,1))</f>
        <v>1</v>
      </c>
      <c r="PD129" s="444">
        <f>Control!$C$118</f>
        <v>1500</v>
      </c>
      <c r="PE129" s="180" t="e">
        <f t="shared" ca="1" si="354"/>
        <v>#N/A</v>
      </c>
      <c r="PF129" s="445">
        <f t="shared" ca="1" si="438"/>
        <v>0.71612369323045078</v>
      </c>
      <c r="PT129" s="186"/>
      <c r="PU129" s="186"/>
      <c r="PV129" s="94"/>
      <c r="PW129" s="94"/>
      <c r="PX129" s="94"/>
      <c r="PY129" s="94"/>
      <c r="PZ129" s="94"/>
      <c r="QA129" s="94"/>
      <c r="QB129" s="94"/>
      <c r="QC129" s="94"/>
      <c r="QD129" s="94"/>
      <c r="QE129" s="94"/>
      <c r="QF129" s="94"/>
      <c r="QG129" s="94"/>
      <c r="QH129" s="94"/>
      <c r="QI129" s="94"/>
      <c r="QJ129" s="94"/>
      <c r="QK129" s="94"/>
      <c r="QL129" s="94"/>
      <c r="QM129" s="94"/>
      <c r="QN129" s="94"/>
      <c r="QO129" s="94"/>
      <c r="QP129" s="94"/>
    </row>
    <row r="130" spans="1:458" s="2" customFormat="1" x14ac:dyDescent="0.2">
      <c r="A130" s="395">
        <v>5</v>
      </c>
      <c r="B130" s="396">
        <v>5</v>
      </c>
      <c r="C130" s="387">
        <f ca="1">Weather_data!$B129</f>
        <v>0</v>
      </c>
      <c r="D130" s="388">
        <f ca="1">Weather_data!$F129</f>
        <v>0</v>
      </c>
      <c r="E130" s="388">
        <f ca="1">Weather_data!$E129</f>
        <v>0</v>
      </c>
      <c r="F130" s="388">
        <f t="shared" ca="1" si="355"/>
        <v>0</v>
      </c>
      <c r="G130" s="388">
        <f ca="1">AVERAGE($D130:$E130)+Control!$B$9</f>
        <v>0</v>
      </c>
      <c r="H130" s="388">
        <f ca="1">Weather_data!$G129</f>
        <v>0</v>
      </c>
      <c r="I130" s="388">
        <f ca="1">Weather_data!$I129</f>
        <v>0</v>
      </c>
      <c r="J130" s="388">
        <f ca="1">Weather_data!$H129</f>
        <v>0</v>
      </c>
      <c r="K130" s="389">
        <f ca="1">Weather_data!$D129</f>
        <v>0</v>
      </c>
      <c r="L130" s="388" t="e">
        <f t="shared" ca="1" si="356"/>
        <v>#N/A</v>
      </c>
      <c r="M130" s="388" t="e">
        <f t="shared" ca="1" si="234"/>
        <v>#N/A</v>
      </c>
      <c r="N130" s="388">
        <f t="shared" ca="1" si="235"/>
        <v>-1.0593541562044252E-6</v>
      </c>
      <c r="O130" s="388">
        <f t="shared" ca="1" si="357"/>
        <v>1.0593541562044252E-5</v>
      </c>
      <c r="P130" s="390">
        <v>3</v>
      </c>
      <c r="Q130" s="388">
        <f ca="1">MAX($G130-Control!$C$107,0)</f>
        <v>0</v>
      </c>
      <c r="R130" s="388">
        <f t="shared" ca="1" si="358"/>
        <v>0</v>
      </c>
      <c r="S130" s="388">
        <f t="shared" ca="1" si="236"/>
        <v>0</v>
      </c>
      <c r="T130" s="388">
        <f t="shared" ca="1" si="237"/>
        <v>0</v>
      </c>
      <c r="U130" s="59">
        <f t="shared" ca="1" si="238"/>
        <v>0</v>
      </c>
      <c r="V130" s="391">
        <f ca="1">MAX(0,MIN(Control!$C$100-Control!$C$99,$G130-Control!$C$99)*Control!$C$63)</f>
        <v>0</v>
      </c>
      <c r="W130" s="388">
        <f t="shared" ca="1" si="359"/>
        <v>0</v>
      </c>
      <c r="X130" s="388">
        <f t="shared" ca="1" si="360"/>
        <v>0.6110000000000001</v>
      </c>
      <c r="Y130" s="388">
        <f t="shared" ca="1" si="239"/>
        <v>0</v>
      </c>
      <c r="Z130" s="388">
        <f t="shared" ca="1" si="361"/>
        <v>0.61058800000000002</v>
      </c>
      <c r="AA130" s="388">
        <f t="shared" ca="1" si="240"/>
        <v>0.6018</v>
      </c>
      <c r="AB130" s="388">
        <f ca="1">101.3*EXP(-0.034*Control!$C$66/($G130+273))</f>
        <v>100.69623283836242</v>
      </c>
      <c r="AC130" s="392">
        <f t="shared" ca="1" si="241"/>
        <v>4.3460251046025113E-2</v>
      </c>
      <c r="AD130" s="392">
        <f t="shared" ca="1" si="242"/>
        <v>4.4450382862832649E-2</v>
      </c>
      <c r="AE130" s="388">
        <f t="shared" ca="1" si="243"/>
        <v>0</v>
      </c>
      <c r="AF130" s="388">
        <f ca="1">MAX(0,$G130-Control!$C$92)</f>
        <v>0</v>
      </c>
      <c r="AG130" s="393">
        <f t="shared" ca="1" si="244"/>
        <v>126</v>
      </c>
      <c r="AH130" s="389">
        <f t="shared" ca="1" si="245"/>
        <v>126</v>
      </c>
      <c r="AI130" s="388">
        <f t="shared" ca="1" si="362"/>
        <v>0.28079972567831407</v>
      </c>
      <c r="AJ130" s="388">
        <f ca="1">IF(Control!$C$60&lt;=0,$HH130,$HI130)</f>
        <v>1</v>
      </c>
      <c r="AK130" s="388">
        <f t="shared" ca="1" si="246"/>
        <v>0.79185349076783818</v>
      </c>
      <c r="AL130" s="388">
        <f t="shared" ca="1" si="247"/>
        <v>2.8852302491610966E-18</v>
      </c>
      <c r="AM130" s="388">
        <f t="shared" ca="1" si="248"/>
        <v>0.79185349076783818</v>
      </c>
      <c r="AN130" s="388">
        <f t="shared" ca="1" si="249"/>
        <v>0.28702168017916219</v>
      </c>
      <c r="AO130" s="388">
        <f ca="1">-0.10453/COS(Control!$B$8*PI()/180)*COS(AN130)</f>
        <v>-0.16283918300353614</v>
      </c>
      <c r="AP130" s="388">
        <f ca="1">ACOS(AO130-TAN(Control!$B$8*PI()/180)*TAN(AN130))</f>
        <v>2.1419967114932015</v>
      </c>
      <c r="AQ130" s="388">
        <f t="shared" ca="1" si="363"/>
        <v>0</v>
      </c>
      <c r="AR130" s="394">
        <f t="shared" ca="1" si="250"/>
        <v>0</v>
      </c>
      <c r="AS130" s="436">
        <f ca="1">IF(Control!$B$18=2,(IF(OR($AH130=Control!$B$175,$AH130=Control!$B$176,$AH130=Control!$B$177,$AH130=Control!$B$178,$AH130=Control!$B$179,$AH130=Control!$B$180,$AH130=Control!$B$181,$AH130=Control!$B$182,$AH130=Control!$B$183,$AH130=Control!$B$184,$AH130=Control!$B$185),1,0)),0)</f>
        <v>0</v>
      </c>
      <c r="AT130" s="436">
        <f>IF(Control!$B$20=8,IF(AND($AH130&gt;=Control!$B$172,$AH130&lt;=Control!$B$173),1,0),0)</f>
        <v>0</v>
      </c>
      <c r="AU130" s="436">
        <f>IF(Control!$B$20=8,IF($AV129=1,1*$AT130,IF($AT130=1,$AU129+1,$AU129)),0)</f>
        <v>0</v>
      </c>
      <c r="AV130" s="436">
        <f>IF(Control!$B$20=8,IF($AU130&gt;=Control!$B$174,1,0),0)</f>
        <v>0</v>
      </c>
      <c r="AW130" s="436">
        <f ca="1">IF(AND(Control!$B$18=2,Control!$B$171=1), $AV130, $AS130)</f>
        <v>0</v>
      </c>
      <c r="AX130" s="436" t="e">
        <f ca="1">IF(AND(Control!$B$18=1,$EU130&gt;=Control!$B$19),-$AY130,IF(AND(Control!$B$18=2,$AW130=1,$EU130&gt;$DS130),-$AY130, IF(Control!$C$108=0,0, IF(Control!$C$108&lt;&gt;0,1))))</f>
        <v>#N/A</v>
      </c>
      <c r="AY130" s="436" t="e">
        <f t="shared" ca="1" si="364"/>
        <v>#N/A</v>
      </c>
      <c r="AZ130" s="436" t="e">
        <f ca="1">IF(AND(Control!$B$18=1,$EB130&gt;Control!$B$19),$AZ129+1, IF(AND(Control!$B$18=2, $AW130=1, $EB130&gt;$DS130), $AZ129+1,$AZ129))</f>
        <v>#N/A</v>
      </c>
      <c r="BA130" s="587">
        <f>IF(Control!$C$81=0,1,IF($AH130&gt;=Control!$C$82,1,0))</f>
        <v>1</v>
      </c>
      <c r="BB130" s="140" t="e">
        <f ca="1">IF($BA130&gt;$BA129,Control!$C$83,IF($AW130&gt;0,$AW130*Control!$C$84,IF(AND(Control!$B$18=1,EN129&lt;&gt;0),Control!$C$84,0)))</f>
        <v>#N/A</v>
      </c>
      <c r="BC130" s="140" t="e">
        <f t="shared" ca="1" si="365"/>
        <v>#N/A</v>
      </c>
      <c r="BD130" s="140" t="e">
        <f ca="1">BC130*IF(OR($G130&lt;Control!$C$92,$G130&gt;Control!$C$95),0,IF(AND($G130&gt;=Control!$C$92,$G130&lt;=Control!$C$93),$G130-Control!$C$92,IF(AND($G130&gt;Control!$C$93,$G130&lt;=Control!$C$94),Control!$C$93-Control!$C$92,IF(AND($G130&gt;Control!$C$94,$G130&lt;=Control!$C$95),(Control!$C$93-Control!$C$92)*(Control!$C$94-$G130)/(Control!$C$95-Control!$C$94)))))</f>
        <v>#N/A</v>
      </c>
      <c r="BE130" s="140" t="e">
        <f t="shared" ca="1" si="366"/>
        <v>#N/A</v>
      </c>
      <c r="BF130" s="140" t="e">
        <f ca="1">IF($BE130&lt;=Control!$C$86,$BE130,Control!$C$86-$BE130)</f>
        <v>#N/A</v>
      </c>
      <c r="BG130" s="140" t="e">
        <f ca="1">IF(AND($AW130=1,Control!$C$84&lt;9),1,IF($BE130&gt;=Control!$C$86,0,$BC130))</f>
        <v>#N/A</v>
      </c>
      <c r="BH130" s="404" t="e">
        <f ca="1">IF($BG130=0,0,IF($BE130&lt;=Control!$C$86,$BC130*9*($BF130/Control!$C$86),0))</f>
        <v>#N/A</v>
      </c>
      <c r="BI130" s="140" t="e">
        <f ca="1">IF($BG130=1,0,IF($BE130&gt;=Control!$C$86,1,IF(AND($BB130&lt;21,$BB130&gt;=9),1,$BM129)))</f>
        <v>#N/A</v>
      </c>
      <c r="BJ130" s="140" t="e">
        <f ca="1">IF($BF130&lt;0,-$BF130,$BI130*IF(OR($G130&lt;Control!$C$92,$G130&gt;Control!$C$95),0,IF(AND($G130&gt;=Control!$C$92,$G130&lt;=Control!$C$93),$G130-Control!$C$92,IF(AND($G130&gt;Control!$C$93,$G130&lt;=Control!$C$94),Control!$C$93-Control!$C$92,IF(AND($G130&gt;Control!$C$94,$G130&lt;=Control!$C$95),(Control!$C$93-Control!$C$92)*(Control!$C$94-$G130)/(Control!$C$95-Control!$C$94))))))</f>
        <v>#N/A</v>
      </c>
      <c r="BK130" s="140" t="e">
        <f t="shared" ca="1" si="367"/>
        <v>#N/A</v>
      </c>
      <c r="BL130" s="140" t="e">
        <f ca="1">IF($BK130&lt;=Control!$C$87,$BK130,Control!$C$87-$BK130)</f>
        <v>#N/A</v>
      </c>
      <c r="BM130" s="140" t="e">
        <f ca="1">IF(AND($BB130&gt;=9,$BB130&lt;21),1,IF($BK130&gt;=Control!$C$87,0,$BI130))</f>
        <v>#N/A</v>
      </c>
      <c r="BN130" s="404" t="e">
        <f ca="1">IF($BM130=0,0,IF($BK130&lt;=Control!$C$87,$BI130*(9+(21-9)*($BL130/Control!$C$87)),0))</f>
        <v>#N/A</v>
      </c>
      <c r="BO130" s="140" t="e">
        <f ca="1">IF($BM130=1,0,IF($BK130&gt;=Control!$C$87,1,IF(AND($BB130&lt;30,$BB130&gt;=21),1,$BS129)))</f>
        <v>#N/A</v>
      </c>
      <c r="BP130" s="140" t="e">
        <f ca="1">IF($BL130&lt;0,-$BL130,$BO130*IF(OR($G130&lt;Control!$C$92,$G130&gt;Control!$C$95),0,IF(AND($G130&gt;=Control!$C$92,$G130&lt;=Control!$C$93),$G130-Control!$C$92,IF(AND($G130&gt;Control!$C$93,$G130&lt;=Control!$C$94),Control!$C$93-Control!$C$92,IF(AND($G130&gt;Control!$C$94,$G130&lt;=Control!$C$95),(Control!$C$93-Control!$C$92)*(Control!$C$94-$G130)/(Control!$C$95-Control!$C$94))))))</f>
        <v>#N/A</v>
      </c>
      <c r="BQ130" s="140" t="e">
        <f t="shared" ca="1" si="251"/>
        <v>#N/A</v>
      </c>
      <c r="BR130" s="140" t="e">
        <f ca="1">IF($BQ130&lt;=Control!$C$88,$BQ130,Control!$C$88-$BQ130)</f>
        <v>#N/A</v>
      </c>
      <c r="BS130" s="140" t="e">
        <f ca="1">IF(AND($BB130&gt;=21,$BB130&lt;30),1,IF($BQ130&gt;=Control!$C$88,0,$BO130))</f>
        <v>#N/A</v>
      </c>
      <c r="BT130" s="404" t="e">
        <f ca="1">IF($BS130=0,0,IF($BQ130&lt;=Control!$C$88,$BO130*(21+(30-21)*(BR130/Control!$C$88)),0))</f>
        <v>#N/A</v>
      </c>
      <c r="BU130" s="140" t="e">
        <f ca="1">IF(BG130+BM130+BS130=1,0,IF(OR(AND($BB130&lt;60,$BB130&gt;=30),$BQ130&gt;=Control!$C$88),1*$BA130,$BY129))</f>
        <v>#N/A</v>
      </c>
      <c r="BV130" s="140" t="e">
        <f ca="1">IF($BR130&lt;0,-$BR130,$BU130*IF(OR($G130&lt;Control!$C$92,$G130&gt;Control!$C$95),0,IF(AND($G130&gt;=Control!$C$92,$G130&lt;=Control!$C$93),$G130-Control!$C$92,IF(AND($G130&gt;Control!$C$93,$G130&lt;=Control!$C$94),Control!$C$93-Control!$C$92,IF(AND($G130&gt;Control!$C$94,$G130&lt;=Control!$C$95),(Control!$C$93-Control!$C$92)*(Control!$C$94-$G130)/(Control!$C$95-Control!$C$94))))))</f>
        <v>#N/A</v>
      </c>
      <c r="BW130" s="140" t="e">
        <f t="shared" ca="1" si="252"/>
        <v>#N/A</v>
      </c>
      <c r="BX130" s="140" t="e">
        <f ca="1">IF($BW130&lt;=Control!$C$89,$BW130,Control!$C$89-$BW130)</f>
        <v>#N/A</v>
      </c>
      <c r="BY130" s="140" t="e">
        <f ca="1">IF(AND($AJ130&gt;=30,$AJ130&lt;60),1,IF($BW130&gt;=Control!$C$89,0,$BU130))</f>
        <v>#N/A</v>
      </c>
      <c r="BZ130" s="404" t="e">
        <f ca="1">IF($BY130=0,0,IF($BW130&lt;=Control!$C$89,$BU130*(30+(60-30)*(BX130/Control!$C$89)),0))</f>
        <v>#N/A</v>
      </c>
      <c r="CA130" s="140" t="e">
        <f ca="1">IF($BG130+$BM130+$BS130+$BY130=1,0,IF(OR(AND($BB130&lt;65,$BB130&gt;=60),$BW130&gt;=Control!$C$89),1*$BA130,$CE129))</f>
        <v>#N/A</v>
      </c>
      <c r="CB130" s="140" t="e">
        <f ca="1">IF($BX130&lt;0,-$BX130,$CA130*IF(OR($G130&lt;Control!$C$92,$G130&gt;Control!$C$95),0,IF(AND($G130&gt;=Control!$C$92,$G130&lt;=Control!$C$93),$G130-Control!$C$92,IF(AND($G130&gt;Control!$C$93,$G130&lt;=Control!$C$94),Control!$C$93-Control!$C$92,IF(AND($G130&gt;Control!$C$94,$G130&lt;=Control!$C$95),(Control!$C$93-Control!$C$92)*(Control!$C$94-$G130)/(Control!$C$95-Control!$C$94))))))</f>
        <v>#N/A</v>
      </c>
      <c r="CC130" s="140" t="e">
        <f t="shared" ca="1" si="368"/>
        <v>#N/A</v>
      </c>
      <c r="CD130" s="140" t="e">
        <f ca="1">IF($CC130&lt;=Control!$C$90,$CC130,Control!$C$90-$CC130)</f>
        <v>#N/A</v>
      </c>
      <c r="CE130" s="140" t="e">
        <f ca="1">IF(AND($BB130&gt;=60,$BB130&lt;65),1,IF($CC130&gt;=Control!$C$90,0,$CA130))</f>
        <v>#N/A</v>
      </c>
      <c r="CF130" s="404" t="e">
        <f ca="1">IF($CE130=0,0,IF($CC130&lt;=Control!$C$90,$CA130*(60+(65-60)*(CD130/Control!$C$90)),0))</f>
        <v>#N/A</v>
      </c>
      <c r="CG130" s="140" t="e">
        <f ca="1">IF($BG130+$BM130+$BS130+$BY130+$CE130=1,0,IF(OR(AND($BB130&lt;90,$BB130&gt;=65),$CC130&gt;=Control!$C$90),$BA130,$CK129))</f>
        <v>#N/A</v>
      </c>
      <c r="CH130" s="140" t="e">
        <f ca="1">IF($CD130&lt;0,-$CD130,$CG130*IF(OR($G130&lt;Control!$C$92,$G130&gt;Control!$C$95),0,IF(AND($G130&gt;=Control!$C$92,$G130&lt;=Control!$C$93),$G130-Control!$C$92,IF(AND($G130&gt;Control!$C$93,$G130&lt;=Control!$C$94),Control!$C$93-Control!$C$92,IF(AND($G130&gt;Control!$C$94,$G130&lt;=Control!$C$95),(Control!$C$93-Control!$C$92)*(Control!$C$94-$G130)/(Control!$C$95-Control!$C$94))))))</f>
        <v>#N/A</v>
      </c>
      <c r="CI130" s="140" t="e">
        <f t="shared" ca="1" si="369"/>
        <v>#N/A</v>
      </c>
      <c r="CJ130" s="140" t="e">
        <f ca="1">IF($CI130&lt;=Control!$C$91,$CI130,Control!$C$91-$CI130)</f>
        <v>#N/A</v>
      </c>
      <c r="CK130" s="140" t="e">
        <f ca="1">IF(AND($BB130&gt;=65,$BB130&lt;90),1,IF($CI130&gt;=Control!$C$91,0,$CG130))</f>
        <v>#N/A</v>
      </c>
      <c r="CL130" s="404" t="e">
        <f ca="1">IF($CK130=0,0,IF($CI130&lt;=Control!$C$91,$CG130*(65+(90-65)*($CJ130/Control!$C$91)),0))</f>
        <v>#N/A</v>
      </c>
      <c r="CM130" s="140" t="e">
        <f ca="1">IF($BG130+$BM130+$BS130+$BY130+$CE130+$CK130=1,0,IF(OR($BB130&gt;=90,$CI130&gt;=Control!$C$91),$BA130,$CM129))</f>
        <v>#N/A</v>
      </c>
      <c r="CN130" s="140" t="e">
        <f t="shared" ca="1" si="370"/>
        <v>#N/A</v>
      </c>
      <c r="CO130" s="140" t="e">
        <f t="shared" ca="1" si="371"/>
        <v>#N/A</v>
      </c>
      <c r="CP130" s="140" t="e">
        <f t="shared" ca="1" si="372"/>
        <v>#N/A</v>
      </c>
      <c r="CQ130" s="141" t="e">
        <f ca="1">VLOOKUP($CP130,Control!$B$86:$G$91,6)</f>
        <v>#N/A</v>
      </c>
      <c r="CR130" s="141" t="e">
        <f ca="1">(1-$CQ130)*VLOOKUP($CP130,Control!$B$86:$D$91,3)</f>
        <v>#N/A</v>
      </c>
      <c r="CS130" s="141" t="e">
        <f ca="1">(1-$CQ130)*VLOOKUP($CP130,Control!$B$86:$E$91,4)</f>
        <v>#N/A</v>
      </c>
      <c r="CT130" s="141" t="e">
        <f ca="1">(1-$CQ130)*VLOOKUP($CP130,Control!$B$86:$F$91,5)</f>
        <v>#N/A</v>
      </c>
      <c r="CU130" s="141">
        <f t="shared" ca="1" si="373"/>
        <v>0</v>
      </c>
      <c r="CV130" s="583">
        <f t="shared" ca="1" si="374"/>
        <v>0</v>
      </c>
      <c r="CW130" s="142">
        <f t="shared" ca="1" si="375"/>
        <v>126</v>
      </c>
      <c r="CX130" s="612" t="e">
        <f ca="1">IF(Control!$C$114=1,(MIN(Control!$C$120*(IF($NT130-0.01&lt;0,0,1)),Control!$C$119-$CY130)))</f>
        <v>#DIV/0!</v>
      </c>
      <c r="CY130" s="143" t="e">
        <f t="shared" ca="1" si="376"/>
        <v>#N/A</v>
      </c>
      <c r="CZ130" s="144">
        <f t="shared" ca="1" si="253"/>
        <v>0</v>
      </c>
      <c r="DA130" s="144">
        <f t="shared" ca="1" si="254"/>
        <v>0</v>
      </c>
      <c r="DB130" s="144" t="e">
        <f t="shared" ca="1" si="255"/>
        <v>#N/A</v>
      </c>
      <c r="DC130" s="144" t="e">
        <f t="shared" ca="1" si="256"/>
        <v>#N/A</v>
      </c>
      <c r="DD130" s="144" t="e">
        <f t="shared" ca="1" si="461"/>
        <v>#N/A</v>
      </c>
      <c r="DE130" s="143" t="e">
        <f t="shared" ca="1" si="377"/>
        <v>#N/A</v>
      </c>
      <c r="DF130" s="145" t="e">
        <f ca="1">$DR130*EXP(-Control!$C$158*(1-$KH130))</f>
        <v>#N/A</v>
      </c>
      <c r="DG130" s="146" t="e">
        <f ca="1">IF(Control!$C$114=1, $DF130*$EY130, 0)</f>
        <v>#N/A</v>
      </c>
      <c r="DH130" s="147" t="e">
        <f t="shared" ca="1" si="378"/>
        <v>#N/A</v>
      </c>
      <c r="DI130" s="144" t="e">
        <f t="shared" ca="1" si="439"/>
        <v>#N/A</v>
      </c>
      <c r="DJ130" s="147" t="e">
        <f ca="1">$EF130*Control!$C$109</f>
        <v>#N/A</v>
      </c>
      <c r="DK130" s="144" t="e">
        <f t="shared" ca="1" si="379"/>
        <v>#N/A</v>
      </c>
      <c r="DL130" s="144" t="e">
        <f t="shared" ca="1" si="257"/>
        <v>#N/A</v>
      </c>
      <c r="DM130" s="144" t="e">
        <f ca="1">IF(Control!$C$114=1, (1-EXP(-Control!$C$96*$DK130))*$AR130, 0)</f>
        <v>#N/A</v>
      </c>
      <c r="DN130" s="144">
        <f t="shared" ca="1" si="380"/>
        <v>0</v>
      </c>
      <c r="DO130" s="148">
        <f>Control!$C$97</f>
        <v>4</v>
      </c>
      <c r="DP130" s="145" t="e">
        <f t="shared" ca="1" si="381"/>
        <v>#N/A</v>
      </c>
      <c r="DQ130" s="145" t="e">
        <f ca="1">IF(AND($CP130&gt;=0,$CP130&lt;=90),Control!$C$111,Control!$C$111)</f>
        <v>#N/A</v>
      </c>
      <c r="DR130" s="145" t="e">
        <f t="shared" ca="1" si="258"/>
        <v>#N/A</v>
      </c>
      <c r="DS130" s="143" t="e">
        <f ca="1">Control!$B$22/$DR130</f>
        <v>#N/A</v>
      </c>
      <c r="DT130" s="149" t="e">
        <f ca="1">IF(AND(Control!$C$114=1,$KH130&lt;1),$IM130*$DF130, 0)</f>
        <v>#N/A</v>
      </c>
      <c r="DU130" s="144" t="e">
        <f t="shared" ca="1" si="382"/>
        <v>#N/A</v>
      </c>
      <c r="DV130" s="144">
        <f ca="1">IF($G130-Control!$C$107&lt;=0, 0, 0.83*LN(MAX($G130, 3))-0.8924)</f>
        <v>0</v>
      </c>
      <c r="DW130" s="144" t="e">
        <f t="shared" ca="1" si="259"/>
        <v>#N/A</v>
      </c>
      <c r="DX130" s="150" t="e">
        <f ca="1">MAX(0.01*(1+$CU130/Control!$C$102),0.05*($DK130-Control!$C$97)/Control!$C$97)</f>
        <v>#N/A</v>
      </c>
      <c r="DY130" s="151" t="e">
        <f ca="1">IF(Control!$C$114=1, $DI130*$FS130, 0)</f>
        <v>#N/A</v>
      </c>
      <c r="DZ130" s="196" t="e">
        <f t="shared" ca="1" si="383"/>
        <v>#N/A</v>
      </c>
      <c r="EA130" s="152">
        <f t="shared" ca="1" si="384"/>
        <v>126</v>
      </c>
      <c r="EB130" s="153" t="e">
        <f t="shared" ca="1" si="385"/>
        <v>#N/A</v>
      </c>
      <c r="EC130" s="153" t="e">
        <f t="shared" ca="1" si="386"/>
        <v>#N/A</v>
      </c>
      <c r="ED130" s="154" t="e">
        <f ca="1">IF(Control!$C$114=1, $HM130*$FY130-$FD130, 0)</f>
        <v>#DIV/0!</v>
      </c>
      <c r="EE130" s="155" t="e">
        <f ca="1">IF(Control!$C$114=1, $HM130*$FZ130-$FF130, 0)</f>
        <v>#DIV/0!</v>
      </c>
      <c r="EF130" s="153" t="e">
        <f t="shared" ca="1" si="440"/>
        <v>#N/A</v>
      </c>
      <c r="EG130" s="155" t="e">
        <f ca="1">IF(Control!$C$114=1, $GX130*$FW130-$FI130, 0)</f>
        <v>#DIV/0!</v>
      </c>
      <c r="EH130" s="153" t="e">
        <f t="shared" ca="1" si="387"/>
        <v>#N/A</v>
      </c>
      <c r="EI130" s="156" t="e">
        <f t="shared" ca="1" si="388"/>
        <v>#N/A</v>
      </c>
      <c r="EJ130" s="155" t="e">
        <f ca="1">IF(Control!$C$114=1, $HM130*$GB130, 0)</f>
        <v>#DIV/0!</v>
      </c>
      <c r="EK130" s="153" t="e">
        <f t="shared" ca="1" si="441"/>
        <v>#N/A</v>
      </c>
      <c r="EL130" s="153" t="e">
        <f t="shared" ca="1" si="260"/>
        <v>#N/A</v>
      </c>
      <c r="EM130" s="153" t="e">
        <f t="shared" ca="1" si="261"/>
        <v>#N/A</v>
      </c>
      <c r="EN130" s="153" t="e">
        <f ca="1">IF(Control!$C$108=1,IF(AND(Control!$B$18=1,$EB130&gt;=Control!$B$19),$EB130-$DS130,IF(AND(Control!$B$18=2,$AW130=1,$EB130&gt;$DS130),$EB130-$DS130,0)))</f>
        <v>#N/A</v>
      </c>
      <c r="EO130" s="153" t="e">
        <f ca="1">IF(Control!$C$108=1,IF(AND(Control!$B$18=1,$EB130&gt;=Control!$B$19),$EF130,IF(AND(Control!$B$18=2,$AW130=1),$EF130,0)))</f>
        <v>#N/A</v>
      </c>
      <c r="EP130" s="153" t="e">
        <f ca="1">IF(Control!$C$108=1,IF(AND(Control!$B$18=1,$EB130&gt;=Control!$B$19),$EK130,IF(AND(Control!$B$18=2,$AW130=1),$EK130,0)))</f>
        <v>#N/A</v>
      </c>
      <c r="EQ130" s="153" t="e">
        <f t="shared" ca="1" si="389"/>
        <v>#N/A</v>
      </c>
      <c r="ER130" s="153" t="e">
        <f t="shared" ca="1" si="390"/>
        <v>#N/A</v>
      </c>
      <c r="ES130" s="153" t="e">
        <f t="shared" ca="1" si="442"/>
        <v>#N/A</v>
      </c>
      <c r="ET130" s="153" t="e">
        <f t="shared" ca="1" si="443"/>
        <v>#N/A</v>
      </c>
      <c r="EU130" s="153" t="e">
        <f t="shared" ca="1" si="391"/>
        <v>#N/A</v>
      </c>
      <c r="EV130" s="153" t="e">
        <f t="shared" ca="1" si="262"/>
        <v>#N/A</v>
      </c>
      <c r="EW130" s="153" t="e">
        <f t="shared" ca="1" si="263"/>
        <v>#N/A</v>
      </c>
      <c r="EX130" s="153" t="e">
        <f t="shared" ca="1" si="264"/>
        <v>#N/A</v>
      </c>
      <c r="EY130" s="157" t="e">
        <f t="shared" ca="1" si="265"/>
        <v>#DIV/0!</v>
      </c>
      <c r="EZ130" s="154" t="e">
        <f t="shared" ca="1" si="266"/>
        <v>#DIV/0!</v>
      </c>
      <c r="FA130" s="153" t="e">
        <f t="shared" ca="1" si="392"/>
        <v>#N/A</v>
      </c>
      <c r="FB130" s="153" t="e">
        <f t="shared" ca="1" si="267"/>
        <v>#N/A</v>
      </c>
      <c r="FC130" s="193" t="e">
        <f t="shared" ca="1" si="268"/>
        <v>#N/A</v>
      </c>
      <c r="FD130" s="158" t="e">
        <f t="shared" ca="1" si="393"/>
        <v>#N/A</v>
      </c>
      <c r="FE130" s="158" t="e">
        <f t="shared" ca="1" si="394"/>
        <v>#N/A</v>
      </c>
      <c r="FF130" s="159" t="e">
        <f t="shared" ca="1" si="269"/>
        <v>#N/A</v>
      </c>
      <c r="FG130" s="160" t="e">
        <f t="shared" ca="1" si="395"/>
        <v>#N/A</v>
      </c>
      <c r="FH130" s="158" t="e">
        <f t="shared" ca="1" si="396"/>
        <v>#N/A</v>
      </c>
      <c r="FI130" s="159" t="e">
        <f t="shared" ca="1" si="270"/>
        <v>#N/A</v>
      </c>
      <c r="FJ130" s="160" t="e">
        <f t="shared" ca="1" si="397"/>
        <v>#N/A</v>
      </c>
      <c r="FK130" s="160" t="e">
        <f t="shared" ca="1" si="271"/>
        <v>#N/A</v>
      </c>
      <c r="FL130" s="160" t="e">
        <f t="shared" ca="1" si="444"/>
        <v>#N/A</v>
      </c>
      <c r="FM130" s="160" t="e">
        <f t="shared" ca="1" si="272"/>
        <v>#N/A</v>
      </c>
      <c r="FN130" s="158">
        <f t="shared" ca="1" si="398"/>
        <v>0.01</v>
      </c>
      <c r="FO130" s="160">
        <f>Control!$C$101</f>
        <v>50</v>
      </c>
      <c r="FP130" s="150" t="e">
        <f t="shared" ca="1" si="273"/>
        <v>#N/A</v>
      </c>
      <c r="FQ130" s="150" t="e">
        <f ca="1">MAX(0,(Control!$C$112*(($DK130-Control!$C$97)/Control!$C$97)))</f>
        <v>#N/A</v>
      </c>
      <c r="FR130" s="150" t="e">
        <f ca="1">(1-$NT130)*Control!$C$113</f>
        <v>#DIV/0!</v>
      </c>
      <c r="FS130" s="198" t="e">
        <f t="shared" ca="1" si="274"/>
        <v>#N/A</v>
      </c>
      <c r="FT130" s="161">
        <f t="shared" ca="1" si="399"/>
        <v>126</v>
      </c>
      <c r="FU130" s="162" t="e">
        <f ca="1">IF(Control!$B$34=1,VLOOKUP($CP130,Control!$B$86:$G$91,6),Control!$B$35)</f>
        <v>#N/A</v>
      </c>
      <c r="FV130" s="162" t="e">
        <f t="shared" ca="1" si="275"/>
        <v>#DIV/0!</v>
      </c>
      <c r="FW130" s="162" t="e">
        <f ca="1">IF(Control!$B$31=1,$FU130*$FV130,  $FU130)</f>
        <v>#N/A</v>
      </c>
      <c r="FX130" s="162" t="e">
        <f ca="1">IF(Control!$B$34=1,VLOOKUP($CP130,Control!$B$86:$G$91,3),Control!$B$36)</f>
        <v>#N/A</v>
      </c>
      <c r="FY130" s="162" t="e">
        <f t="shared" ca="1" si="276"/>
        <v>#N/A</v>
      </c>
      <c r="FZ130" s="162" t="e">
        <f ca="1">IF(Control!$B$34=1,VLOOKUP($CP130,Control!$B$86:$G$91,4),Control!$B$37)</f>
        <v>#N/A</v>
      </c>
      <c r="GA130" s="162" t="e">
        <f t="shared" ca="1" si="277"/>
        <v>#N/A</v>
      </c>
      <c r="GB130" s="162" t="e">
        <f ca="1">IF(Control!$B$34=1,VLOOKUP($CP130,Control!$B$86:$G$91,5),Control!$B$38)</f>
        <v>#N/A</v>
      </c>
      <c r="GC130" s="162" t="e">
        <f t="shared" ca="1" si="400"/>
        <v>#N/A</v>
      </c>
      <c r="GD130" s="162">
        <f t="shared" ca="1" si="278"/>
        <v>1</v>
      </c>
      <c r="GE130" s="162">
        <f t="shared" ca="1" si="279"/>
        <v>1</v>
      </c>
      <c r="GF130" s="162">
        <f ca="1">IF(AND(Control!$C$104=1, Control!$C$62="F"),$GE130,1)</f>
        <v>1</v>
      </c>
      <c r="GG130" s="162" t="e">
        <f ca="1">IF(Control!$B$16=40,0,IF(AND(Control!$B$16&gt;40,Control!$B$16&lt;=360),(Control!$B$16-40)*((1-0)/(360-40)),IF(AND(Control!$B$16&gt;360,Control!$B$16&lt;=720),(1+(Control!$B$16-360)*((1.25-1)/(720-360))),IF(AND(Control!$B$16&gt;720,Control!$B$16&lt;=1000),(1.25+(Control!$B$16-720)*((1.35-1.25)/(1000-720))),IF(AND(Control!$B$16&gt;1000,Control!$B$16&lt;=2000),(1.35+(Control!$B$16-1000)*0))))))</f>
        <v>#N/A</v>
      </c>
      <c r="GH130" s="162" t="e">
        <f t="shared" ca="1" si="280"/>
        <v>#N/A</v>
      </c>
      <c r="GI130" s="162">
        <f t="shared" ca="1" si="401"/>
        <v>0</v>
      </c>
      <c r="GJ130" s="162">
        <f t="shared" ca="1" si="281"/>
        <v>0</v>
      </c>
      <c r="GK130" s="162">
        <f t="shared" ca="1" si="402"/>
        <v>1</v>
      </c>
      <c r="GL130" s="162">
        <f t="shared" ca="1" si="282"/>
        <v>1</v>
      </c>
      <c r="GM130" s="162" t="e">
        <f ca="1">MAX(0,MIN(1,1-Control!$C$156*(1.0001-$KH130)^2))</f>
        <v>#N/A</v>
      </c>
      <c r="GN130" s="162" t="e">
        <f ca="1">IF(Control!$B$26=1,$KU130,$KX130)</f>
        <v>#N/A</v>
      </c>
      <c r="GO130" s="162" t="e">
        <f ca="1">IF($CP130&lt;=60,Control!$C$105,IF($CP130&gt;=90,Control!$C$106,Control!$C$105+($CP130-60)*((Control!$C$106-Control!$C$105)/(90-60))))</f>
        <v>#N/A</v>
      </c>
      <c r="GP130" s="162" t="e">
        <f t="shared" ca="1" si="283"/>
        <v>#N/A</v>
      </c>
      <c r="GQ130" s="162" t="e">
        <f t="shared" ca="1" si="403"/>
        <v>#N/A</v>
      </c>
      <c r="GR130" s="163" t="e">
        <f t="shared" ca="1" si="284"/>
        <v>#DIV/0!</v>
      </c>
      <c r="GS130" s="162" t="e">
        <f t="shared" ca="1" si="285"/>
        <v>#DIV/0!</v>
      </c>
      <c r="GT130" s="164" t="e">
        <f t="shared" ca="1" si="404"/>
        <v>#N/A</v>
      </c>
      <c r="GU130" s="162" t="e">
        <f t="shared" ca="1" si="405"/>
        <v>#N/A</v>
      </c>
      <c r="GV130" s="162" t="e">
        <f t="shared" ca="1" si="286"/>
        <v>#N/A</v>
      </c>
      <c r="GW130" s="162" t="e">
        <f t="shared" ca="1" si="287"/>
        <v>#DIV/0!</v>
      </c>
      <c r="GX130" s="162" t="e">
        <f t="shared" ca="1" si="406"/>
        <v>#DIV/0!</v>
      </c>
      <c r="GY130" s="162" t="e">
        <f t="shared" ca="1" si="407"/>
        <v>#DIV/0!</v>
      </c>
      <c r="GZ130" s="165" t="e">
        <f t="shared" ca="1" si="288"/>
        <v>#N/A</v>
      </c>
      <c r="HA130" s="162" t="e">
        <f ca="1">IF(Control!$C$114=1, $DI130*$FS130, 0)</f>
        <v>#N/A</v>
      </c>
      <c r="HB130" s="162" t="e">
        <f ca="1">$FA130/Control!$C$64</f>
        <v>#N/A</v>
      </c>
      <c r="HC130" s="162" t="e">
        <f t="shared" ca="1" si="289"/>
        <v>#DIV/0!</v>
      </c>
      <c r="HD130" s="162">
        <f ca="1">-ASIN(SIN(23.45*Control!$C$139)*COS(2*Control!$C$138*($AH130+10)/365))</f>
        <v>0.28079972567831407</v>
      </c>
      <c r="HE130" s="165">
        <f t="shared" ca="1" si="408"/>
        <v>0</v>
      </c>
      <c r="HF130" s="166">
        <f ca="1">IF(AND(Control!$C$61="T",$HE130&gt;=Control!$C$103,Control!$C$114=0),$AH130,Control!$C$59)</f>
        <v>1</v>
      </c>
      <c r="HG130" s="166">
        <f ca="1">IF(AND(Control!$C$61="T",$HE130&gt;=Control!$C$103,Control!$C$114=0),$HF130,Control!$C$59)</f>
        <v>1</v>
      </c>
      <c r="HH130" s="165">
        <f ca="1">IF(AND(OR(Control!$C$60&lt;=0, $AH130= Control!$C$59, Control!$C$60 &gt;0, $AH130 = Control!$C$60)), Control!$C$59, IF(Control!$C$60&gt;0, 0))</f>
        <v>1</v>
      </c>
      <c r="HI130" s="165">
        <f ca="1">IF(AND(OR(Control!$C$60&lt;=0, $AH130= Control!$C$59, Control!$C$60 &gt;0, $AH130 = Control!$C$60)), Control!$C$60, IF(Control!$C$60&lt;=0, 0))</f>
        <v>0</v>
      </c>
      <c r="HJ130" s="166">
        <f ca="1">IF(AND(Control!$C$62="F",$CV130&gt;=Control!$C$102),$AH130,0)</f>
        <v>0</v>
      </c>
      <c r="HK130" s="165" t="e">
        <f t="shared" ca="1" si="445"/>
        <v>#N/A</v>
      </c>
      <c r="HL130" s="166">
        <f ca="1">IF(AND(Control!$C$61="T",$HE130&gt;=Control!$C$103,Control!$C$114=0),$HF130,0)</f>
        <v>0</v>
      </c>
      <c r="HM130" s="201" t="e">
        <f t="shared" ca="1" si="290"/>
        <v>#DIV/0!</v>
      </c>
      <c r="HN130" s="215">
        <f t="shared" ca="1" si="409"/>
        <v>126</v>
      </c>
      <c r="HO130" s="216" t="e">
        <f ca="1">IF(AND($CP130&gt;=0, $CP130&lt;=90), Control!$C$152, Control!$C$152)</f>
        <v>#N/A</v>
      </c>
      <c r="HP130" s="216" t="e">
        <f t="shared" ca="1" si="291"/>
        <v>#N/A</v>
      </c>
      <c r="HQ130" s="217" t="e">
        <f ca="1">IF(OR(Control!$B$26=1,Control!$B$26=2),$KV130,$KS130)</f>
        <v>#DIV/0!</v>
      </c>
      <c r="HR130" s="218" t="e">
        <f t="shared" ca="1" si="446"/>
        <v>#DIV/0!</v>
      </c>
      <c r="HS130" s="216" t="e">
        <f ca="1">Control!$C$154*$HP130</f>
        <v>#N/A</v>
      </c>
      <c r="HT130" s="216" t="e">
        <f ca="1">Control!$C$155*$HP130</f>
        <v>#N/A</v>
      </c>
      <c r="HU130" s="217" t="e">
        <f ca="1">Control!$C$161*$FI130</f>
        <v>#N/A</v>
      </c>
      <c r="HV130" s="218" t="e">
        <f t="shared" ca="1" si="410"/>
        <v>#N/A</v>
      </c>
      <c r="HW130" s="218" t="e">
        <f ca="1">Control!$C$160*$FF130+$IP130*$EO130</f>
        <v>#N/A</v>
      </c>
      <c r="HX130" s="218" t="e">
        <f t="shared" ca="1" si="447"/>
        <v>#N/A</v>
      </c>
      <c r="HY130" s="219" t="e">
        <f ca="1">IF(Control!$C$114=1, $EB130*$FS130, 0)</f>
        <v>#N/A</v>
      </c>
      <c r="HZ130" s="91" t="e">
        <f t="shared" ca="1" si="292"/>
        <v>#N/A</v>
      </c>
      <c r="IA130" s="220" t="e">
        <f ca="1">Control!$C$153*$HO130</f>
        <v>#N/A</v>
      </c>
      <c r="IB130" s="218" t="e">
        <f t="shared" ca="1" si="293"/>
        <v>#N/A</v>
      </c>
      <c r="IC130" s="220" t="e">
        <f ca="1">Control!$C$153*$HT130</f>
        <v>#N/A</v>
      </c>
      <c r="ID130" s="218" t="e">
        <f t="shared" ca="1" si="294"/>
        <v>#N/A</v>
      </c>
      <c r="IE130" s="221" t="e">
        <f ca="1">($EB130*Control!$C$159+$EF130*Control!$C$160)/(IF($GZ130&lt;&gt;0,$GZ130,1))</f>
        <v>#N/A</v>
      </c>
      <c r="IF130" s="216" t="e">
        <f t="shared" ca="1" si="295"/>
        <v>#N/A</v>
      </c>
      <c r="IG130" s="91">
        <f ca="1">IF(OR(Control!$B$198=$AH130,Control!$B$199=$AH130, Control!$B$200=$AH130, Control!$B$201=$AH130, Control!$B$202=$AH130, Control!$B$203=$AH130, Control!$B$204=$AH130, Control!$B$205=$AH130, Control!$B$206=$AH130, Control!$B$207=$AH130), 1, 0)</f>
        <v>0</v>
      </c>
      <c r="IH130" s="91">
        <f ca="1">IF($IG130=0,0, VLOOKUP($AH130,Control!$B$198:$C$207,2))</f>
        <v>0</v>
      </c>
      <c r="II130" s="222">
        <f t="shared" ca="1" si="411"/>
        <v>0</v>
      </c>
      <c r="IJ130" s="91">
        <f>Control!$C$121</f>
        <v>0.7</v>
      </c>
      <c r="IK130" s="218">
        <f t="shared" ca="1" si="296"/>
        <v>0</v>
      </c>
      <c r="IL130" s="217" t="e">
        <f t="shared" ca="1" si="448"/>
        <v>#N/A</v>
      </c>
      <c r="IM130" s="223" t="e">
        <f ca="1">IF(AND(Control!$C$114=1,$KH130&lt;1),$EB130*Control!$C$148*(1-$KH130), 0)</f>
        <v>#N/A</v>
      </c>
      <c r="IN130" s="217" t="e">
        <f t="shared" ca="1" si="297"/>
        <v>#DIV/0!</v>
      </c>
      <c r="IO130" s="91" t="e">
        <f ca="1">MAX(0,$IL130-$EF130*Control!$C$160)</f>
        <v>#N/A</v>
      </c>
      <c r="IP130" s="220" t="e">
        <f t="shared" ca="1" si="298"/>
        <v>#N/A</v>
      </c>
      <c r="IQ130" s="217" t="e">
        <f t="shared" ca="1" si="412"/>
        <v>#N/A</v>
      </c>
      <c r="IR130" s="218" t="e">
        <f t="shared" ca="1" si="299"/>
        <v>#N/A</v>
      </c>
      <c r="IS130" s="217" t="e">
        <f ca="1">Control!$C$159*MAX(0,$FD130-$EN130)</f>
        <v>#N/A</v>
      </c>
      <c r="IT130" s="217" t="e">
        <f t="shared" ca="1" si="449"/>
        <v>#N/A</v>
      </c>
      <c r="IU130" s="217" t="e">
        <f t="shared" ca="1" si="413"/>
        <v>#N/A</v>
      </c>
      <c r="IV130" s="217" t="e">
        <f t="shared" ca="1" si="450"/>
        <v>#N/A</v>
      </c>
      <c r="IW130" s="217" t="e">
        <f ca="1">IF(OR($AW130=1,AND($AW130=0, Control!$B$18=1,$EN130&lt;&gt;0)), $IQ130-$IU130, $IQ130)</f>
        <v>#N/A</v>
      </c>
      <c r="IX130" s="218" t="e">
        <f t="shared" ca="1" si="300"/>
        <v>#N/A</v>
      </c>
      <c r="IY130" s="218" t="e">
        <f ca="1">MAX(0,$IQ130-$EB130*Control!$C$159)</f>
        <v>#N/A</v>
      </c>
      <c r="IZ130" s="218" t="e">
        <f t="shared" ca="1" si="301"/>
        <v>#N/A</v>
      </c>
      <c r="JA130" s="216" t="e">
        <f t="shared" ca="1" si="302"/>
        <v>#N/A</v>
      </c>
      <c r="JB130" s="217" t="e">
        <f t="shared" ca="1" si="303"/>
        <v>#N/A</v>
      </c>
      <c r="JC130" s="222" t="e">
        <f ca="1">MAX(Control!$C$157*$EK130-$JT130, 0)/Control!$C$162</f>
        <v>#N/A</v>
      </c>
      <c r="JD130" s="218" t="e">
        <f t="shared" ca="1" si="304"/>
        <v>#N/A</v>
      </c>
      <c r="JE130" s="218" t="e">
        <f t="shared" ca="1" si="305"/>
        <v>#N/A</v>
      </c>
      <c r="JF130" s="218" t="e">
        <f t="shared" ca="1" si="414"/>
        <v>#N/A</v>
      </c>
      <c r="JG130" s="218" t="e">
        <f t="shared" ca="1" si="306"/>
        <v>#N/A</v>
      </c>
      <c r="JH130" s="217" t="e">
        <f t="shared" ca="1" si="415"/>
        <v>#N/A</v>
      </c>
      <c r="JI130" s="217" t="e">
        <f t="shared" ca="1" si="416"/>
        <v>#N/A</v>
      </c>
      <c r="JJ130" s="217" t="e">
        <f t="shared" ca="1" si="451"/>
        <v>#N/A</v>
      </c>
      <c r="JK130" s="217" t="e">
        <f ca="1">IF(Control!$C$114=1,IF(Control!$B$24=0,MAX(0,$JI130)*$GN130/Control!$C$64,(MAX(0,MIN($JI130,$JJ130*$GN130/Control!$C$64),0))))</f>
        <v>#N/A</v>
      </c>
      <c r="JL130" s="217" t="e">
        <f ca="1">$IK130/Control!$C$64-$JK130+$HQ130</f>
        <v>#N/A</v>
      </c>
      <c r="JM130" s="217" t="e">
        <f ca="1">IF(Control!$C$114=1,($JB130/(IF($JI130&lt;&gt;0,$JI130,1)))*$JK130,0)</f>
        <v>#N/A</v>
      </c>
      <c r="JN130" s="217" t="e">
        <f ca="1">IF(Control!$C$114=1,($JG130/(IF($JI130&lt;&gt;0,$JI130,1)))*$JK130, 0)</f>
        <v>#N/A</v>
      </c>
      <c r="JO130" s="218" t="e">
        <f t="shared" ca="1" si="307"/>
        <v>#N/A</v>
      </c>
      <c r="JP130" s="218" t="e">
        <f ca="1">MIN(($IY130+$IO130)*Control!$C$151, $JF130-$EH130*Control!$C$161)</f>
        <v>#N/A</v>
      </c>
      <c r="JQ130" s="218" t="e">
        <f t="shared" ca="1" si="308"/>
        <v>#N/A</v>
      </c>
      <c r="JR130" s="217" t="e">
        <f ca="1">IF($CP130-Control!$C$150&lt;0, 0, $JQ130/Control!$C$162)</f>
        <v>#N/A</v>
      </c>
      <c r="JS130" s="218" t="e">
        <f t="shared" ca="1" si="309"/>
        <v>#N/A</v>
      </c>
      <c r="JT130" s="218" t="e">
        <f t="shared" ca="1" si="417"/>
        <v>#N/A</v>
      </c>
      <c r="JU130" s="218" t="e">
        <f t="shared" ca="1" si="310"/>
        <v>#N/A</v>
      </c>
      <c r="JV130" s="218" t="e">
        <f t="shared" ca="1" si="311"/>
        <v>#N/A</v>
      </c>
      <c r="JW130" s="216" t="e">
        <f t="shared" ca="1" si="312"/>
        <v>#N/A</v>
      </c>
      <c r="JX130" s="91" t="e">
        <f t="shared" ca="1" si="313"/>
        <v>#N/A</v>
      </c>
      <c r="JY130" s="218" t="e">
        <f t="shared" ca="1" si="314"/>
        <v>#N/A</v>
      </c>
      <c r="JZ130" s="217" t="e">
        <f ca="1">IF(Control!$C$114=1,($IZ130/(IF($JI130&lt;&gt;0,$JI130,1)))*$JK130, 0)</f>
        <v>#N/A</v>
      </c>
      <c r="KA130" s="218" t="e">
        <f t="shared" ca="1" si="452"/>
        <v>#N/A</v>
      </c>
      <c r="KB130" s="218" t="e">
        <f t="shared" ca="1" si="418"/>
        <v>#N/A</v>
      </c>
      <c r="KC130" s="218" t="e">
        <f t="shared" ca="1" si="315"/>
        <v>#N/A</v>
      </c>
      <c r="KD130" s="218" t="e">
        <f t="shared" ca="1" si="316"/>
        <v>#N/A</v>
      </c>
      <c r="KE130" s="218" t="e">
        <f t="shared" ca="1" si="317"/>
        <v>#N/A</v>
      </c>
      <c r="KF130" s="218" t="e">
        <f t="shared" ca="1" si="318"/>
        <v>#N/A</v>
      </c>
      <c r="KG130" s="216" t="e">
        <f t="shared" ca="1" si="319"/>
        <v>#N/A</v>
      </c>
      <c r="KH130" s="221" t="e">
        <f ca="1">IF(Control!$B$24=0,1,MAX(0.001,MIN(1,IF(($IF130-$IE130)&lt;&gt;0,($KG130-$IE130)/($IF130-$IE130),1))))</f>
        <v>#N/A</v>
      </c>
      <c r="KI130" s="222" t="e">
        <f ca="1">IF(Control!$C$114=1, $KI129+ $KH129, 0)</f>
        <v>#N/A</v>
      </c>
      <c r="KJ130" s="217" t="e">
        <f t="shared" ca="1" si="320"/>
        <v>#N/A</v>
      </c>
      <c r="KK130" s="218" t="e">
        <f t="shared" ca="1" si="321"/>
        <v>#N/A</v>
      </c>
      <c r="KL130" s="274" t="e">
        <f ca="1">IF(Control!$B$26=3,4000000000*EXP(-8400/($G130+273)),IF(Control!$B$26=4,4000000000*EXP(-8400/($G130+273))*($KT130),0))</f>
        <v>#DIV/0!</v>
      </c>
      <c r="KM130" s="274" t="e">
        <f ca="1">IF(Control!$B$26=3,5600000000000*EXP(-9800/($G130+273)),IF(Control!$B$26=4,5600000000000*EXP(-9800/($G130+273))*$KT130,0))</f>
        <v>#DIV/0!</v>
      </c>
      <c r="KN130" s="454" t="e">
        <f t="shared" ca="1" si="419"/>
        <v>#DIV/0!</v>
      </c>
      <c r="KO130" s="274" t="e">
        <f t="shared" ca="1" si="420"/>
        <v>#DIV/0!</v>
      </c>
      <c r="KP130" s="454" t="e">
        <f t="shared" ca="1" si="322"/>
        <v>#DIV/0!</v>
      </c>
      <c r="KQ130" s="454" t="e">
        <f t="shared" ca="1" si="323"/>
        <v>#DIV/0!</v>
      </c>
      <c r="KR130" s="454" t="e">
        <f t="shared" ca="1" si="324"/>
        <v>#DIV/0!</v>
      </c>
      <c r="KS130" s="454" t="e">
        <f t="shared" ca="1" si="325"/>
        <v>#DIV/0!</v>
      </c>
      <c r="KT130" s="455" t="e">
        <f t="shared" ca="1" si="326"/>
        <v>#DIV/0!</v>
      </c>
      <c r="KU130" s="456" t="e">
        <f ca="1">IF($CP130-Control!$C$149&lt;0, IF($NT130-0.01&lt;0,0,1),0)</f>
        <v>#N/A</v>
      </c>
      <c r="KV130" s="456" t="e">
        <f ca="1">IF(Control!$C$114=1,MAX(0,MIN(Control!$C$125*$KW130*$GN130,$KW130)))</f>
        <v>#DIV/0!</v>
      </c>
      <c r="KW130" s="456" t="e">
        <f t="shared" ca="1" si="453"/>
        <v>#DIV/0!</v>
      </c>
      <c r="KX130" s="457" t="e">
        <f ca="1">IF($CP130-Control!$C$149&lt;0, IF($MR130-$OM130&lt;0,0,1),0)</f>
        <v>#N/A</v>
      </c>
      <c r="KY130" s="167">
        <f t="shared" ca="1" si="421"/>
        <v>126</v>
      </c>
      <c r="KZ130" s="168">
        <f ca="1">1370*(1+0.033*COS(2*Control!$C$138*$AH130/365))</f>
        <v>1344.5397662670362</v>
      </c>
      <c r="LA130" s="169">
        <f t="shared" ca="1" si="422"/>
        <v>0.98141602609892764</v>
      </c>
      <c r="LB130" s="169">
        <f t="shared" ca="1" si="423"/>
        <v>0.28734746348511525</v>
      </c>
      <c r="LC130" s="169">
        <f ca="1">ACOS(-TAN((2*Control!$B$8/360))*TAN(Calculations!$LB130))</f>
        <v>1.6587409949900616</v>
      </c>
      <c r="LD130" s="169">
        <f ca="1">((24*60)/PI())*0.082*$LA130*(($LC130*SIN(Control!$B$8*2*PI()/360))*SIN($LB130)+COS(Control!$B$8*2*PI()/360)*COS($LB130)*SIN($LC130))</f>
        <v>35.359766153156173</v>
      </c>
      <c r="LE130" s="170">
        <f t="shared" ca="1" si="327"/>
        <v>36.000954188038676</v>
      </c>
      <c r="LF130" s="170">
        <f ca="1">SIN(Control!$C$139*Control!$B$8)*SIN($HD130)</f>
        <v>0.21837716514558775</v>
      </c>
      <c r="LG130" s="170">
        <f ca="1">COS(Control!$C$139*Control!$B$8)*COS($HD130)</f>
        <v>0.59154694638490868</v>
      </c>
      <c r="LH130" s="170">
        <f ca="1">12*(1+2*ASIN(MAX(-1,MIN(1,$LF130/$LG130))/Control!$C$138))</f>
        <v>14.826720861037284</v>
      </c>
      <c r="LI130" s="170">
        <f ca="1">12*(1+2*ASIN(MAX(-1,MIN(1,(-SIN(-4*Control!$C$139)+$LF130)/$LG130))/Control!$C$138))</f>
        <v>15.736120344990464</v>
      </c>
      <c r="LJ130" s="168">
        <f ca="1">3600*($LH130*$LF130+24*$LG130*SQRT(1-$LK130*$LK130)/Control!$C$138)</f>
        <v>26775.670821541626</v>
      </c>
      <c r="LK130" s="170">
        <f t="shared" ca="1" si="328"/>
        <v>0.36916286438488982</v>
      </c>
      <c r="LL130" s="170">
        <f t="shared" ca="1" si="329"/>
        <v>0</v>
      </c>
      <c r="LM130" s="171">
        <f ca="1">Control!$C$145*$AB130</f>
        <v>6.6660906138995932E-2</v>
      </c>
      <c r="LN130" s="170">
        <f t="shared" ca="1" si="424"/>
        <v>0.54</v>
      </c>
      <c r="LO130" s="170">
        <f t="shared" ca="1" si="330"/>
        <v>0</v>
      </c>
      <c r="LP130" s="170">
        <f ca="1">Control!$C$140*((($D130+273.16)^4+($E130+273.16)^4)/2)*(0.34-0.14*SQRT($Y130))*(1.35*$AQ130/(0.75*$LD130)-0.35)</f>
        <v>-3.2464704755046001</v>
      </c>
      <c r="LQ130" s="170">
        <f ca="1">Control!$C$140*($G130+273)^4*(0.56-0.079*SQRT($Y130*10))*(0.1+0.9*$LO130)</f>
        <v>1.5241745131704001</v>
      </c>
      <c r="LR130" s="170">
        <f ca="1">$AQ130*(1-Control!$C$142)-$LQ130</f>
        <v>-1.5241745131704001</v>
      </c>
      <c r="LS130" s="170">
        <f ca="1">$AQ130*(1-Control!$C$143)-$LQ130</f>
        <v>-1.5241745131704001</v>
      </c>
      <c r="LT130" s="170">
        <f ca="1">$AQ130*(1-Control!$C$144)-$LQ130</f>
        <v>-1.5241745131704001</v>
      </c>
      <c r="LU130" s="169">
        <f ca="1">(1-Control!$C$144)*AQ130-LP130</f>
        <v>3.2464704755046001</v>
      </c>
      <c r="LV130" s="172">
        <f t="shared" ca="1" si="331"/>
        <v>0.79430000000000012</v>
      </c>
      <c r="LW130" s="170">
        <f t="shared" ca="1" si="332"/>
        <v>1.5886000000000002</v>
      </c>
      <c r="LX130" s="170">
        <f ca="1">($AC130*($LR130/Control!$C$141)+$LM130*$LV130)/($AC130+$LM130)</f>
        <v>0.23530094218323697</v>
      </c>
      <c r="LY130" s="170">
        <f ca="1">($AC130*($LS130/Control!$C$141)+$LM130*$LV130)/($AC130+$LM130)</f>
        <v>0.23530094218323697</v>
      </c>
      <c r="LZ130" s="170">
        <f t="shared" ca="1" si="333"/>
        <v>0.23530094218323697</v>
      </c>
      <c r="MA130" s="170">
        <f t="shared" ca="1" si="334"/>
        <v>0.23530094218323697</v>
      </c>
      <c r="MB130" s="170" t="e">
        <f t="shared" ca="1" si="335"/>
        <v>#N/A</v>
      </c>
      <c r="MC130" s="170">
        <f t="shared" ca="1" si="425"/>
        <v>0.6018</v>
      </c>
      <c r="MD130" s="170">
        <f t="shared" ca="1" si="336"/>
        <v>0.52989392535414004</v>
      </c>
      <c r="ME130" s="170">
        <f ca="1">($AC130*($LT130/Control!$C$141)+$LM130*$LW130)/($AC130+$LM130)</f>
        <v>0.71612369323045078</v>
      </c>
      <c r="MF130" s="170" t="e">
        <f ca="1">IF(Control!$B$16&gt;=1000,0.92,IF(AND(720&lt;=Control!$B$16,1000&gt;Control!$B$16),(0.95+(Control!$B$16-720)*((0.92-0.95)/(1000-720))),IF(AND(360&lt;=Control!$B$16,720&gt;Control!$B$16),(1+(Control!$B$16-360)*((0.95-1)/(720-360))),IF(AND(40&lt;=Control!$B$16,360&gt;Control!$B$16),(1.05+(Control!$B$16-40)*((1.05-1)/(360-40)))))))</f>
        <v>#N/A</v>
      </c>
      <c r="MG130" s="170">
        <f t="shared" ca="1" si="337"/>
        <v>0.71612369323045078</v>
      </c>
      <c r="MH130" s="170" t="e">
        <f t="shared" ca="1" si="464"/>
        <v>#N/A</v>
      </c>
      <c r="MI130" s="170" t="e">
        <f t="shared" ca="1" si="464"/>
        <v>#N/A</v>
      </c>
      <c r="MJ130" s="170" t="e">
        <f ca="1">MAX(0.0001, Control!$C$132*$MI130*$DL130)</f>
        <v>#N/A</v>
      </c>
      <c r="MK130" s="170">
        <f ca="1">1/(0.76+1.5*($MG130/10))-(5-Control!$C$110)*0.1</f>
        <v>1.002845988140797</v>
      </c>
      <c r="ML130" s="173">
        <f ca="1">IF(Control!$C$110&lt;3,$MK130+($MG130-0.6)/(Control!$C$110*(Control!$C$110+3)), MAX(0.1, MIN(0.95,$MK130)))</f>
        <v>0.95</v>
      </c>
      <c r="MM130" s="173">
        <f ca="1">IF(Control!$C$110&lt;3,$MK130+(($MI130/10)-0.6)/(Control!$C$110*(Control!$C$110+3)), MAX(0.1, MIN(0.95,$MK130)))</f>
        <v>0.95</v>
      </c>
      <c r="MN130" s="173">
        <f ca="1">(1-$MM130)*(Control!$C$128-Control!$C$127)+Control!$C$127</f>
        <v>0.16</v>
      </c>
      <c r="MO130" s="170" t="e">
        <f ca="1">MAX(0,MIN(1,($MS130-Control!$C$127)/($MN130-Control!$C$127)))</f>
        <v>#DIV/0!</v>
      </c>
      <c r="MP130" s="173" t="e">
        <f ca="1">1/(0.76+1.5*$MI130)-(5-Control!$C$110)*0.1</f>
        <v>#N/A</v>
      </c>
      <c r="MQ130" s="172" t="e">
        <f t="shared" ca="1" si="454"/>
        <v>#DIV/0!</v>
      </c>
      <c r="MR130" s="168" t="e">
        <f t="shared" ca="1" si="426"/>
        <v>#DIV/0!</v>
      </c>
      <c r="MS130" s="173" t="e">
        <f ca="1">MAX(Control!$C$127, MIN(Control!$C$135, $MR130/MAX(0.0001,$CY130)))</f>
        <v>#DIV/0!</v>
      </c>
      <c r="MT130" s="168" t="e">
        <f ca="1">(Control!$C$128-$MS130)*Control!$C$74</f>
        <v>#DIV/0!</v>
      </c>
      <c r="MU130" s="168" t="e">
        <f ca="1">(Control!$C$135-$MS130)*Control!$C$74</f>
        <v>#DIV/0!</v>
      </c>
      <c r="MV130" s="168" t="e">
        <f t="shared" ca="1" si="427"/>
        <v>#DIV/0!</v>
      </c>
      <c r="MW130" s="168" t="e">
        <f t="shared" ca="1" si="428"/>
        <v>#DIV/0!</v>
      </c>
      <c r="MX130" s="171" t="e">
        <f ca="1">MAX(Control!$C$127, MIN(Control!$C$135, $MW130/MAX(0.0001,Control!$C$119-$CY130)))</f>
        <v>#DIV/0!</v>
      </c>
      <c r="MY130" s="54" t="e">
        <f ca="1">IF(Control!$C$114=1, $CX130*$MX130, 0)</f>
        <v>#DIV/0!</v>
      </c>
      <c r="MZ130" s="54" t="e">
        <f t="shared" ca="1" si="429"/>
        <v>#N/A</v>
      </c>
      <c r="NA130" s="168" t="e">
        <f ca="1">(Control!$C$128-$MX130)*(Control!$C$119-Control!$C$74)</f>
        <v>#DIV/0!</v>
      </c>
      <c r="NB130" s="168" t="e">
        <f ca="1">(Control!$C$135-$MX130)*(Control!$C$119-Control!$C$74)</f>
        <v>#DIV/0!</v>
      </c>
      <c r="NC130" s="174" t="e">
        <f t="shared" ca="1" si="430"/>
        <v>#DIV/0!</v>
      </c>
      <c r="ND130" s="54">
        <f ca="1">IF(Control!$C$58=2, IF(OR(Control!$B$218=$AH130,Control!$B$219=$AH130, Control!$B$220=$AH130, Control!$B$221=$AH130, Control!$B$222=$AH130, Control!$B$223=$AH130, Control!$B$224=$AH130, Control!$B$225=$AH130, Control!$B$226=$AH130, Control!$B$227=$AH130, Control!$B$228=$AH130), 1, 0), 0)</f>
        <v>0</v>
      </c>
      <c r="NE130" s="54">
        <f ca="1">IF($ND130=0,0, VLOOKUP($AH130,Control!$B$218:$C$228,2))</f>
        <v>0</v>
      </c>
      <c r="NF130" s="168" t="e">
        <f ca="1">$CY130*(Control!$C$128-Control!$C$127)</f>
        <v>#N/A</v>
      </c>
      <c r="NG130" s="54" t="e">
        <f ca="1">IF(Control!$C$58=2, $NI129-$NJ129, 0)</f>
        <v>#DIV/0!</v>
      </c>
      <c r="NH130" s="54" t="e">
        <f ca="1">IF(AND(Control!$C$58=1, $MS129&lt;= ($MN129+0.02), $I129&lt;10), 0, IF(Control!$C$58=2, $NG129, 0))</f>
        <v>#DIV/0!</v>
      </c>
      <c r="NI130" s="54" t="e">
        <f ca="1">IF(Control!$C$58=2, $NE130+$NH130,0)</f>
        <v>#DIV/0!</v>
      </c>
      <c r="NJ130" s="54" t="e">
        <f ca="1">IF(AND(Control!$C$58=1, $MS130&lt;= ($MN130+0.02), $I130&lt;10), MAX(0, MIN(10, 0.7*($NF130-$MV130))), IF(Control!$C$58=2, MIN(10,$NI130),0))</f>
        <v>#DIV/0!</v>
      </c>
      <c r="NK130" s="54" t="e">
        <f t="shared" ca="1" si="338"/>
        <v>#DIV/0!</v>
      </c>
      <c r="NL130" s="173" t="e">
        <f ca="1">(1-Control!$C$73)*$I130+$NJ130</f>
        <v>#DIV/0!</v>
      </c>
      <c r="NM130" s="172" t="e">
        <f ca="1">IF($NL130&lt;0.5, $MB130* MAX(0, MIN(1, (SQRT($NC130)-SQRT($NC130-1))*Control!$C$71)),0)</f>
        <v>#DIV/0!</v>
      </c>
      <c r="NN130" s="170" t="e">
        <f ca="1">IF($NL130&gt;=5, $MB130, MAX(0,MIN($MB130, $NM130+$NL130,($MS130-Control!$C$129))))</f>
        <v>#DIV/0!</v>
      </c>
      <c r="NO130" s="54">
        <f>IF(Control!$C$133&lt;&gt;1, Control!$C$135-Control!$C$131, 0)</f>
        <v>0.38</v>
      </c>
      <c r="NP130" s="54" t="e">
        <f t="shared" ca="1" si="339"/>
        <v>#DIV/0!</v>
      </c>
      <c r="NQ130" s="173" t="e">
        <f ca="1">MAX(0,MIN(1,(Control!$C$135-$MS130)/(Control!$C$135-$NO130)))</f>
        <v>#DIV/0!</v>
      </c>
      <c r="NR130" s="170" t="e">
        <f ca="1">IF(Control!$C$133&lt;&gt;1, $NQ130+((1-$NP130/4)*(1-$NQ130)),1)</f>
        <v>#DIV/0!</v>
      </c>
      <c r="NS130" s="170" t="e">
        <f ca="1">IF(Control!$B$31=0,$MJ130,MAX(0,MIN($MV130,$MO130*$NR130*$MJ130)))</f>
        <v>#DIV/0!</v>
      </c>
      <c r="NT130" s="170" t="e">
        <f t="shared" ca="1" si="455"/>
        <v>#DIV/0!</v>
      </c>
      <c r="NU130" s="170" t="e">
        <f t="shared" ca="1" si="431"/>
        <v>#N/A</v>
      </c>
      <c r="NV130" s="170" t="e">
        <f t="shared" ca="1" si="340"/>
        <v>#N/A</v>
      </c>
      <c r="NW130" s="175" t="e">
        <f t="shared" ca="1" si="341"/>
        <v>#DIV/0!</v>
      </c>
      <c r="NX130" s="170" t="e">
        <f ca="1">MIN(Control!$C$72+$MU130, $NW130)</f>
        <v>#DIV/0!</v>
      </c>
      <c r="NY130" s="170" t="e">
        <f ca="1">IF($MT130&lt;=$NX130,MIN(Control!$C$72+$NB130,$NX130-$MT130),0)</f>
        <v>#DIV/0!</v>
      </c>
      <c r="NZ130" s="54" t="e">
        <f ca="1">IF(Control!$C$114=1,  $CX130*($MX130-Control!$C$127), 0)</f>
        <v>#DIV/0!</v>
      </c>
      <c r="OA130" s="170" t="e">
        <f t="shared" ca="1" si="342"/>
        <v>#DIV/0!</v>
      </c>
      <c r="OB130" s="170" t="e">
        <f ca="1">IF($NA130 &lt;=$NY130, MIN(Control!$C$72, $NY130-$NA130), 0)</f>
        <v>#DIV/0!</v>
      </c>
      <c r="OC130" s="168" t="e">
        <f t="shared" ca="1" si="343"/>
        <v>#DIV/0!</v>
      </c>
      <c r="OD130" s="168" t="e">
        <f t="shared" ca="1" si="432"/>
        <v>#DIV/0!</v>
      </c>
      <c r="OE130" s="170">
        <f ca="1">Control!$C$73*$I130</f>
        <v>0</v>
      </c>
      <c r="OF130" s="176" t="e">
        <f t="shared" ca="1" si="344"/>
        <v>#DIV/0!</v>
      </c>
      <c r="OG130" s="168" t="e">
        <f t="shared" ca="1" si="345"/>
        <v>#DIV/0!</v>
      </c>
      <c r="OH130" s="168" t="e">
        <f t="shared" ca="1" si="346"/>
        <v>#DIV/0!</v>
      </c>
      <c r="OI130" s="168" t="e">
        <f t="shared" ca="1" si="347"/>
        <v>#DIV/0!</v>
      </c>
      <c r="OJ130" s="168" t="e">
        <f t="shared" ca="1" si="348"/>
        <v>#DIV/0!</v>
      </c>
      <c r="OK130" s="204" t="e">
        <f t="shared" ca="1" si="349"/>
        <v>#DIV/0!</v>
      </c>
      <c r="OL130" s="177">
        <f>Control!$C$127</f>
        <v>0.15</v>
      </c>
      <c r="OM130" s="182" t="e">
        <f t="shared" ca="1" si="350"/>
        <v>#N/A</v>
      </c>
      <c r="ON130" s="177">
        <f>Control!$C$128</f>
        <v>0.35</v>
      </c>
      <c r="OO130" s="182" t="e">
        <f t="shared" ca="1" si="351"/>
        <v>#N/A</v>
      </c>
      <c r="OP130" s="138">
        <f t="shared" ca="1" si="433"/>
        <v>0</v>
      </c>
      <c r="OQ130" s="138" t="e">
        <f t="shared" ca="1" si="456"/>
        <v>#DIV/0!</v>
      </c>
      <c r="OR130" s="138" t="e">
        <f t="shared" ca="1" si="434"/>
        <v>#DIV/0!</v>
      </c>
      <c r="OS130" s="137" t="e">
        <f t="shared" ca="1" si="457"/>
        <v>#DIV/0!</v>
      </c>
      <c r="OT130" s="139" t="e">
        <f t="shared" ca="1" si="458"/>
        <v>#DIV/0!</v>
      </c>
      <c r="OU130" s="138" t="e">
        <f t="shared" ca="1" si="459"/>
        <v>#N/A</v>
      </c>
      <c r="OV130" s="138" t="e">
        <f t="shared" ca="1" si="460"/>
        <v>#DIV/0!</v>
      </c>
      <c r="OW130" s="138" t="e">
        <f t="shared" ca="1" si="435"/>
        <v>#DIV/0!</v>
      </c>
      <c r="OX130" s="138" t="e">
        <f t="shared" ca="1" si="436"/>
        <v>#DIV/0!</v>
      </c>
      <c r="OY130" s="138" t="e">
        <f t="shared" ca="1" si="437"/>
        <v>#DIV/0!</v>
      </c>
      <c r="OZ130" s="138" t="e">
        <f t="shared" ca="1" si="352"/>
        <v>#DIV/0!</v>
      </c>
      <c r="PA130" s="138" t="e">
        <f t="shared" ca="1" si="353"/>
        <v>#DIV/0!</v>
      </c>
      <c r="PB130" s="55">
        <f>IF(Control!$C$61="T", IF(Control!$C$65="F", IF($AH$6-Control!$C$60&lt;0,0,1), IF(365+$AH$6-Control!$C$60&lt;0,0,1)),0)</f>
        <v>0</v>
      </c>
      <c r="PC130" s="55">
        <f ca="1">IF(Control!$C$65="F", IF($AH$6-$HF130&lt;0,0,1), IF(365+$AH$6-$HF130&lt;0,0,1))</f>
        <v>1</v>
      </c>
      <c r="PD130" s="444">
        <f>Control!$C$118</f>
        <v>1500</v>
      </c>
      <c r="PE130" s="180" t="e">
        <f t="shared" ca="1" si="354"/>
        <v>#N/A</v>
      </c>
      <c r="PF130" s="445">
        <f t="shared" ca="1" si="438"/>
        <v>0.71612369323045078</v>
      </c>
      <c r="PT130" s="186"/>
      <c r="PU130" s="186"/>
      <c r="PV130" s="94"/>
      <c r="PW130" s="94"/>
      <c r="PX130" s="94"/>
      <c r="PY130" s="94"/>
      <c r="PZ130" s="94"/>
      <c r="QA130" s="94"/>
      <c r="QB130" s="94"/>
      <c r="QC130" s="94"/>
      <c r="QD130" s="94"/>
      <c r="QE130" s="94"/>
      <c r="QF130" s="94"/>
      <c r="QG130" s="94"/>
      <c r="QH130" s="94"/>
      <c r="QI130" s="94"/>
      <c r="QJ130" s="94"/>
      <c r="QK130" s="94"/>
      <c r="QL130" s="94"/>
      <c r="QM130" s="94"/>
      <c r="QN130" s="94"/>
      <c r="QO130" s="94"/>
      <c r="QP130" s="94"/>
    </row>
    <row r="131" spans="1:458" s="2" customFormat="1" x14ac:dyDescent="0.2">
      <c r="A131" s="395">
        <v>6</v>
      </c>
      <c r="B131" s="396">
        <v>5</v>
      </c>
      <c r="C131" s="387">
        <f ca="1">Weather_data!$B130</f>
        <v>0</v>
      </c>
      <c r="D131" s="388">
        <f ca="1">Weather_data!$F130</f>
        <v>0</v>
      </c>
      <c r="E131" s="388">
        <f ca="1">Weather_data!$E130</f>
        <v>0</v>
      </c>
      <c r="F131" s="388">
        <f t="shared" ca="1" si="355"/>
        <v>0</v>
      </c>
      <c r="G131" s="388">
        <f ca="1">AVERAGE($D131:$E131)+Control!$B$9</f>
        <v>0</v>
      </c>
      <c r="H131" s="388">
        <f ca="1">Weather_data!$G130</f>
        <v>0</v>
      </c>
      <c r="I131" s="388">
        <f ca="1">Weather_data!$I130</f>
        <v>0</v>
      </c>
      <c r="J131" s="388">
        <f ca="1">Weather_data!$H130</f>
        <v>0</v>
      </c>
      <c r="K131" s="389">
        <f ca="1">Weather_data!$D130</f>
        <v>0</v>
      </c>
      <c r="L131" s="388" t="e">
        <f t="shared" ca="1" si="356"/>
        <v>#N/A</v>
      </c>
      <c r="M131" s="388" t="e">
        <f t="shared" ca="1" si="234"/>
        <v>#N/A</v>
      </c>
      <c r="N131" s="388">
        <f t="shared" ca="1" si="235"/>
        <v>-9.5341874058398269E-7</v>
      </c>
      <c r="O131" s="388">
        <f t="shared" ca="1" si="357"/>
        <v>9.5341874058398265E-6</v>
      </c>
      <c r="P131" s="390">
        <v>3</v>
      </c>
      <c r="Q131" s="388">
        <f ca="1">MAX($G131-Control!$C$107,0)</f>
        <v>0</v>
      </c>
      <c r="R131" s="388">
        <f t="shared" ca="1" si="358"/>
        <v>0</v>
      </c>
      <c r="S131" s="388">
        <f t="shared" ca="1" si="236"/>
        <v>0</v>
      </c>
      <c r="T131" s="388">
        <f t="shared" ca="1" si="237"/>
        <v>0</v>
      </c>
      <c r="U131" s="59">
        <f t="shared" ca="1" si="238"/>
        <v>0</v>
      </c>
      <c r="V131" s="391">
        <f ca="1">MAX(0,MIN(Control!$C$100-Control!$C$99,$G131-Control!$C$99)*Control!$C$63)</f>
        <v>0</v>
      </c>
      <c r="W131" s="388">
        <f t="shared" ca="1" si="359"/>
        <v>0</v>
      </c>
      <c r="X131" s="388">
        <f t="shared" ca="1" si="360"/>
        <v>0.6110000000000001</v>
      </c>
      <c r="Y131" s="388">
        <f t="shared" ca="1" si="239"/>
        <v>0</v>
      </c>
      <c r="Z131" s="388">
        <f t="shared" ca="1" si="361"/>
        <v>0.61058800000000002</v>
      </c>
      <c r="AA131" s="388">
        <f t="shared" ca="1" si="240"/>
        <v>0.6018</v>
      </c>
      <c r="AB131" s="388">
        <f ca="1">101.3*EXP(-0.034*Control!$C$66/($G131+273))</f>
        <v>100.69623283836242</v>
      </c>
      <c r="AC131" s="392">
        <f t="shared" ca="1" si="241"/>
        <v>4.3460251046025113E-2</v>
      </c>
      <c r="AD131" s="392">
        <f t="shared" ca="1" si="242"/>
        <v>4.4450382862832649E-2</v>
      </c>
      <c r="AE131" s="388">
        <f t="shared" ca="1" si="243"/>
        <v>0</v>
      </c>
      <c r="AF131" s="388">
        <f ca="1">MAX(0,$G131-Control!$C$92)</f>
        <v>0</v>
      </c>
      <c r="AG131" s="393">
        <f t="shared" ca="1" si="244"/>
        <v>127</v>
      </c>
      <c r="AH131" s="389">
        <f t="shared" ca="1" si="245"/>
        <v>127</v>
      </c>
      <c r="AI131" s="388">
        <f t="shared" ca="1" si="362"/>
        <v>0.28587723042388441</v>
      </c>
      <c r="AJ131" s="388">
        <f ca="1">IF(Control!$C$60&lt;=0,$HH131,$HI131)</f>
        <v>1</v>
      </c>
      <c r="AK131" s="388">
        <f t="shared" ca="1" si="246"/>
        <v>0.80906769708887827</v>
      </c>
      <c r="AL131" s="388">
        <f t="shared" ca="1" si="247"/>
        <v>9.0158956689290183E-19</v>
      </c>
      <c r="AM131" s="388">
        <f t="shared" ca="1" si="248"/>
        <v>0.80906769708887827</v>
      </c>
      <c r="AN131" s="388">
        <f t="shared" ca="1" si="249"/>
        <v>0.29199734643596453</v>
      </c>
      <c r="AO131" s="388">
        <f ca="1">-0.10453/COS(Control!$B$8*PI()/180)*COS(AN131)</f>
        <v>-0.16259800995235121</v>
      </c>
      <c r="AP131" s="388">
        <f ca="1">ACOS(AO131-TAN(Control!$B$8*PI()/180)*TAN(AN131))</f>
        <v>2.1499726375825268</v>
      </c>
      <c r="AQ131" s="388">
        <f t="shared" ca="1" si="363"/>
        <v>0</v>
      </c>
      <c r="AR131" s="394">
        <f t="shared" ca="1" si="250"/>
        <v>0</v>
      </c>
      <c r="AS131" s="436">
        <f ca="1">IF(Control!$B$18=2,(IF(OR($AH131=Control!$B$175,$AH131=Control!$B$176,$AH131=Control!$B$177,$AH131=Control!$B$178,$AH131=Control!$B$179,$AH131=Control!$B$180,$AH131=Control!$B$181,$AH131=Control!$B$182,$AH131=Control!$B$183,$AH131=Control!$B$184,$AH131=Control!$B$185),1,0)),0)</f>
        <v>0</v>
      </c>
      <c r="AT131" s="436">
        <f>IF(Control!$B$20=8,IF(AND($AH131&gt;=Control!$B$172,$AH131&lt;=Control!$B$173),1,0),0)</f>
        <v>0</v>
      </c>
      <c r="AU131" s="436">
        <f>IF(Control!$B$20=8,IF($AV130=1,1*$AT131,IF($AT131=1,$AU130+1,$AU130)),0)</f>
        <v>0</v>
      </c>
      <c r="AV131" s="436">
        <f>IF(Control!$B$20=8,IF($AU131&gt;=Control!$B$174,1,0),0)</f>
        <v>0</v>
      </c>
      <c r="AW131" s="436">
        <f ca="1">IF(AND(Control!$B$18=2,Control!$B$171=1), $AV131, $AS131)</f>
        <v>0</v>
      </c>
      <c r="AX131" s="436" t="e">
        <f ca="1">IF(AND(Control!$B$18=1,$EU131&gt;=Control!$B$19),-$AY131,IF(AND(Control!$B$18=2,$AW131=1,$EU131&gt;$DS131),-$AY131, IF(Control!$C$108=0,0, IF(Control!$C$108&lt;&gt;0,1))))</f>
        <v>#N/A</v>
      </c>
      <c r="AY131" s="436" t="e">
        <f t="shared" ca="1" si="364"/>
        <v>#N/A</v>
      </c>
      <c r="AZ131" s="436" t="e">
        <f ca="1">IF(AND(Control!$B$18=1,$EB131&gt;Control!$B$19),$AZ130+1, IF(AND(Control!$B$18=2, $AW131=1, $EB131&gt;$DS131), $AZ130+1,$AZ130))</f>
        <v>#N/A</v>
      </c>
      <c r="BA131" s="587">
        <f>IF(Control!$C$81=0,1,IF($AH131&gt;=Control!$C$82,1,0))</f>
        <v>1</v>
      </c>
      <c r="BB131" s="140" t="e">
        <f ca="1">IF($BA131&gt;$BA130,Control!$C$83,IF($AW131&gt;0,$AW131*Control!$C$84,IF(AND(Control!$B$18=1,EN130&lt;&gt;0),Control!$C$84,0)))</f>
        <v>#N/A</v>
      </c>
      <c r="BC131" s="140" t="e">
        <f t="shared" ca="1" si="365"/>
        <v>#N/A</v>
      </c>
      <c r="BD131" s="140" t="e">
        <f ca="1">BC131*IF(OR($G131&lt;Control!$C$92,$G131&gt;Control!$C$95),0,IF(AND($G131&gt;=Control!$C$92,$G131&lt;=Control!$C$93),$G131-Control!$C$92,IF(AND($G131&gt;Control!$C$93,$G131&lt;=Control!$C$94),Control!$C$93-Control!$C$92,IF(AND($G131&gt;Control!$C$94,$G131&lt;=Control!$C$95),(Control!$C$93-Control!$C$92)*(Control!$C$94-$G131)/(Control!$C$95-Control!$C$94)))))</f>
        <v>#N/A</v>
      </c>
      <c r="BE131" s="140" t="e">
        <f t="shared" ca="1" si="366"/>
        <v>#N/A</v>
      </c>
      <c r="BF131" s="140" t="e">
        <f ca="1">IF($BE131&lt;=Control!$C$86,$BE131,Control!$C$86-$BE131)</f>
        <v>#N/A</v>
      </c>
      <c r="BG131" s="140" t="e">
        <f ca="1">IF(AND($AW131=1,Control!$C$84&lt;9),1,IF($BE131&gt;=Control!$C$86,0,$BC131))</f>
        <v>#N/A</v>
      </c>
      <c r="BH131" s="404" t="e">
        <f ca="1">IF($BG131=0,0,IF($BE131&lt;=Control!$C$86,$BC131*9*($BF131/Control!$C$86),0))</f>
        <v>#N/A</v>
      </c>
      <c r="BI131" s="140" t="e">
        <f ca="1">IF($BG131=1,0,IF($BE131&gt;=Control!$C$86,1,IF(AND($BB131&lt;21,$BB131&gt;=9),1,$BM130)))</f>
        <v>#N/A</v>
      </c>
      <c r="BJ131" s="140" t="e">
        <f ca="1">IF($BF131&lt;0,-$BF131,$BI131*IF(OR($G131&lt;Control!$C$92,$G131&gt;Control!$C$95),0,IF(AND($G131&gt;=Control!$C$92,$G131&lt;=Control!$C$93),$G131-Control!$C$92,IF(AND($G131&gt;Control!$C$93,$G131&lt;=Control!$C$94),Control!$C$93-Control!$C$92,IF(AND($G131&gt;Control!$C$94,$G131&lt;=Control!$C$95),(Control!$C$93-Control!$C$92)*(Control!$C$94-$G131)/(Control!$C$95-Control!$C$94))))))</f>
        <v>#N/A</v>
      </c>
      <c r="BK131" s="140" t="e">
        <f t="shared" ca="1" si="367"/>
        <v>#N/A</v>
      </c>
      <c r="BL131" s="140" t="e">
        <f ca="1">IF($BK131&lt;=Control!$C$87,$BK131,Control!$C$87-$BK131)</f>
        <v>#N/A</v>
      </c>
      <c r="BM131" s="140" t="e">
        <f ca="1">IF(AND($BB131&gt;=9,$BB131&lt;21),1,IF($BK131&gt;=Control!$C$87,0,$BI131))</f>
        <v>#N/A</v>
      </c>
      <c r="BN131" s="404" t="e">
        <f ca="1">IF($BM131=0,0,IF($BK131&lt;=Control!$C$87,$BI131*(9+(21-9)*($BL131/Control!$C$87)),0))</f>
        <v>#N/A</v>
      </c>
      <c r="BO131" s="140" t="e">
        <f ca="1">IF($BM131=1,0,IF($BK131&gt;=Control!$C$87,1,IF(AND($BB131&lt;30,$BB131&gt;=21),1,$BS130)))</f>
        <v>#N/A</v>
      </c>
      <c r="BP131" s="140" t="e">
        <f ca="1">IF($BL131&lt;0,-$BL131,$BO131*IF(OR($G131&lt;Control!$C$92,$G131&gt;Control!$C$95),0,IF(AND($G131&gt;=Control!$C$92,$G131&lt;=Control!$C$93),$G131-Control!$C$92,IF(AND($G131&gt;Control!$C$93,$G131&lt;=Control!$C$94),Control!$C$93-Control!$C$92,IF(AND($G131&gt;Control!$C$94,$G131&lt;=Control!$C$95),(Control!$C$93-Control!$C$92)*(Control!$C$94-$G131)/(Control!$C$95-Control!$C$94))))))</f>
        <v>#N/A</v>
      </c>
      <c r="BQ131" s="140" t="e">
        <f t="shared" ca="1" si="251"/>
        <v>#N/A</v>
      </c>
      <c r="BR131" s="140" t="e">
        <f ca="1">IF($BQ131&lt;=Control!$C$88,$BQ131,Control!$C$88-$BQ131)</f>
        <v>#N/A</v>
      </c>
      <c r="BS131" s="140" t="e">
        <f ca="1">IF(AND($BB131&gt;=21,$BB131&lt;30),1,IF($BQ131&gt;=Control!$C$88,0,$BO131))</f>
        <v>#N/A</v>
      </c>
      <c r="BT131" s="404" t="e">
        <f ca="1">IF($BS131=0,0,IF($BQ131&lt;=Control!$C$88,$BO131*(21+(30-21)*(BR131/Control!$C$88)),0))</f>
        <v>#N/A</v>
      </c>
      <c r="BU131" s="140" t="e">
        <f ca="1">IF(BG131+BM131+BS131=1,0,IF(OR(AND($BB131&lt;60,$BB131&gt;=30),$BQ131&gt;=Control!$C$88),1*$BA131,$BY130))</f>
        <v>#N/A</v>
      </c>
      <c r="BV131" s="140" t="e">
        <f ca="1">IF($BR131&lt;0,-$BR131,$BU131*IF(OR($G131&lt;Control!$C$92,$G131&gt;Control!$C$95),0,IF(AND($G131&gt;=Control!$C$92,$G131&lt;=Control!$C$93),$G131-Control!$C$92,IF(AND($G131&gt;Control!$C$93,$G131&lt;=Control!$C$94),Control!$C$93-Control!$C$92,IF(AND($G131&gt;Control!$C$94,$G131&lt;=Control!$C$95),(Control!$C$93-Control!$C$92)*(Control!$C$94-$G131)/(Control!$C$95-Control!$C$94))))))</f>
        <v>#N/A</v>
      </c>
      <c r="BW131" s="140" t="e">
        <f t="shared" ca="1" si="252"/>
        <v>#N/A</v>
      </c>
      <c r="BX131" s="140" t="e">
        <f ca="1">IF($BW131&lt;=Control!$C$89,$BW131,Control!$C$89-$BW131)</f>
        <v>#N/A</v>
      </c>
      <c r="BY131" s="140" t="e">
        <f ca="1">IF(AND($AJ131&gt;=30,$AJ131&lt;60),1,IF($BW131&gt;=Control!$C$89,0,$BU131))</f>
        <v>#N/A</v>
      </c>
      <c r="BZ131" s="404" t="e">
        <f ca="1">IF($BY131=0,0,IF($BW131&lt;=Control!$C$89,$BU131*(30+(60-30)*(BX131/Control!$C$89)),0))</f>
        <v>#N/A</v>
      </c>
      <c r="CA131" s="140" t="e">
        <f ca="1">IF($BG131+$BM131+$BS131+$BY131=1,0,IF(OR(AND($BB131&lt;65,$BB131&gt;=60),$BW131&gt;=Control!$C$89),1*$BA131,$CE130))</f>
        <v>#N/A</v>
      </c>
      <c r="CB131" s="140" t="e">
        <f ca="1">IF($BX131&lt;0,-$BX131,$CA131*IF(OR($G131&lt;Control!$C$92,$G131&gt;Control!$C$95),0,IF(AND($G131&gt;=Control!$C$92,$G131&lt;=Control!$C$93),$G131-Control!$C$92,IF(AND($G131&gt;Control!$C$93,$G131&lt;=Control!$C$94),Control!$C$93-Control!$C$92,IF(AND($G131&gt;Control!$C$94,$G131&lt;=Control!$C$95),(Control!$C$93-Control!$C$92)*(Control!$C$94-$G131)/(Control!$C$95-Control!$C$94))))))</f>
        <v>#N/A</v>
      </c>
      <c r="CC131" s="140" t="e">
        <f t="shared" ca="1" si="368"/>
        <v>#N/A</v>
      </c>
      <c r="CD131" s="140" t="e">
        <f ca="1">IF($CC131&lt;=Control!$C$90,$CC131,Control!$C$90-$CC131)</f>
        <v>#N/A</v>
      </c>
      <c r="CE131" s="140" t="e">
        <f ca="1">IF(AND($BB131&gt;=60,$BB131&lt;65),1,IF($CC131&gt;=Control!$C$90,0,$CA131))</f>
        <v>#N/A</v>
      </c>
      <c r="CF131" s="404" t="e">
        <f ca="1">IF($CE131=0,0,IF($CC131&lt;=Control!$C$90,$CA131*(60+(65-60)*(CD131/Control!$C$90)),0))</f>
        <v>#N/A</v>
      </c>
      <c r="CG131" s="140" t="e">
        <f ca="1">IF($BG131+$BM131+$BS131+$BY131+$CE131=1,0,IF(OR(AND($BB131&lt;90,$BB131&gt;=65),$CC131&gt;=Control!$C$90),$BA131,$CK130))</f>
        <v>#N/A</v>
      </c>
      <c r="CH131" s="140" t="e">
        <f ca="1">IF($CD131&lt;0,-$CD131,$CG131*IF(OR($G131&lt;Control!$C$92,$G131&gt;Control!$C$95),0,IF(AND($G131&gt;=Control!$C$92,$G131&lt;=Control!$C$93),$G131-Control!$C$92,IF(AND($G131&gt;Control!$C$93,$G131&lt;=Control!$C$94),Control!$C$93-Control!$C$92,IF(AND($G131&gt;Control!$C$94,$G131&lt;=Control!$C$95),(Control!$C$93-Control!$C$92)*(Control!$C$94-$G131)/(Control!$C$95-Control!$C$94))))))</f>
        <v>#N/A</v>
      </c>
      <c r="CI131" s="140" t="e">
        <f t="shared" ca="1" si="369"/>
        <v>#N/A</v>
      </c>
      <c r="CJ131" s="140" t="e">
        <f ca="1">IF($CI131&lt;=Control!$C$91,$CI131,Control!$C$91-$CI131)</f>
        <v>#N/A</v>
      </c>
      <c r="CK131" s="140" t="e">
        <f ca="1">IF(AND($BB131&gt;=65,$BB131&lt;90),1,IF($CI131&gt;=Control!$C$91,0,$CG131))</f>
        <v>#N/A</v>
      </c>
      <c r="CL131" s="404" t="e">
        <f ca="1">IF($CK131=0,0,IF($CI131&lt;=Control!$C$91,$CG131*(65+(90-65)*($CJ131/Control!$C$91)),0))</f>
        <v>#N/A</v>
      </c>
      <c r="CM131" s="140" t="e">
        <f ca="1">IF($BG131+$BM131+$BS131+$BY131+$CE131+$CK131=1,0,IF(OR($BB131&gt;=90,$CI131&gt;=Control!$C$91),$BA131,$CM130))</f>
        <v>#N/A</v>
      </c>
      <c r="CN131" s="140" t="e">
        <f t="shared" ca="1" si="370"/>
        <v>#N/A</v>
      </c>
      <c r="CO131" s="140" t="e">
        <f t="shared" ca="1" si="371"/>
        <v>#N/A</v>
      </c>
      <c r="CP131" s="140" t="e">
        <f t="shared" ca="1" si="372"/>
        <v>#N/A</v>
      </c>
      <c r="CQ131" s="141" t="e">
        <f ca="1">VLOOKUP($CP131,Control!$B$86:$G$91,6)</f>
        <v>#N/A</v>
      </c>
      <c r="CR131" s="141" t="e">
        <f ca="1">(1-$CQ131)*VLOOKUP($CP131,Control!$B$86:$D$91,3)</f>
        <v>#N/A</v>
      </c>
      <c r="CS131" s="141" t="e">
        <f ca="1">(1-$CQ131)*VLOOKUP($CP131,Control!$B$86:$E$91,4)</f>
        <v>#N/A</v>
      </c>
      <c r="CT131" s="141" t="e">
        <f ca="1">(1-$CQ131)*VLOOKUP($CP131,Control!$B$86:$F$91,5)</f>
        <v>#N/A</v>
      </c>
      <c r="CU131" s="141">
        <f t="shared" ca="1" si="373"/>
        <v>0</v>
      </c>
      <c r="CV131" s="583">
        <f t="shared" ca="1" si="374"/>
        <v>0</v>
      </c>
      <c r="CW131" s="142">
        <f t="shared" ca="1" si="375"/>
        <v>127</v>
      </c>
      <c r="CX131" s="612" t="e">
        <f ca="1">IF(Control!$C$114=1,(MIN(Control!$C$120*(IF($NT131-0.01&lt;0,0,1)),Control!$C$119-$CY131)))</f>
        <v>#DIV/0!</v>
      </c>
      <c r="CY131" s="143" t="e">
        <f t="shared" ca="1" si="376"/>
        <v>#N/A</v>
      </c>
      <c r="CZ131" s="144">
        <f t="shared" ca="1" si="253"/>
        <v>0</v>
      </c>
      <c r="DA131" s="144">
        <f t="shared" ca="1" si="254"/>
        <v>0</v>
      </c>
      <c r="DB131" s="144" t="e">
        <f t="shared" ca="1" si="255"/>
        <v>#N/A</v>
      </c>
      <c r="DC131" s="144" t="e">
        <f t="shared" ca="1" si="256"/>
        <v>#N/A</v>
      </c>
      <c r="DD131" s="144" t="e">
        <f t="shared" ca="1" si="461"/>
        <v>#N/A</v>
      </c>
      <c r="DE131" s="143" t="e">
        <f t="shared" ca="1" si="377"/>
        <v>#N/A</v>
      </c>
      <c r="DF131" s="145" t="e">
        <f ca="1">$DR131*EXP(-Control!$C$158*(1-$KH131))</f>
        <v>#N/A</v>
      </c>
      <c r="DG131" s="146" t="e">
        <f ca="1">IF(Control!$C$114=1, $DF131*$EY131, 0)</f>
        <v>#N/A</v>
      </c>
      <c r="DH131" s="147" t="e">
        <f t="shared" ca="1" si="378"/>
        <v>#N/A</v>
      </c>
      <c r="DI131" s="144" t="e">
        <f t="shared" ca="1" si="439"/>
        <v>#N/A</v>
      </c>
      <c r="DJ131" s="147" t="e">
        <f ca="1">$EF131*Control!$C$109</f>
        <v>#N/A</v>
      </c>
      <c r="DK131" s="144" t="e">
        <f t="shared" ca="1" si="379"/>
        <v>#N/A</v>
      </c>
      <c r="DL131" s="144" t="e">
        <f t="shared" ca="1" si="257"/>
        <v>#N/A</v>
      </c>
      <c r="DM131" s="144" t="e">
        <f ca="1">IF(Control!$C$114=1, (1-EXP(-Control!$C$96*$DK131))*$AR131, 0)</f>
        <v>#N/A</v>
      </c>
      <c r="DN131" s="144">
        <f t="shared" ca="1" si="380"/>
        <v>0</v>
      </c>
      <c r="DO131" s="148">
        <f>Control!$C$97</f>
        <v>4</v>
      </c>
      <c r="DP131" s="145" t="e">
        <f t="shared" ca="1" si="381"/>
        <v>#N/A</v>
      </c>
      <c r="DQ131" s="145" t="e">
        <f ca="1">IF(AND($CP131&gt;=0,$CP131&lt;=90),Control!$C$111,Control!$C$111)</f>
        <v>#N/A</v>
      </c>
      <c r="DR131" s="145" t="e">
        <f t="shared" ca="1" si="258"/>
        <v>#N/A</v>
      </c>
      <c r="DS131" s="143" t="e">
        <f ca="1">Control!$B$22/$DR131</f>
        <v>#N/A</v>
      </c>
      <c r="DT131" s="149" t="e">
        <f ca="1">IF(AND(Control!$C$114=1,$KH131&lt;1),$IM131*$DF131, 0)</f>
        <v>#N/A</v>
      </c>
      <c r="DU131" s="144" t="e">
        <f t="shared" ca="1" si="382"/>
        <v>#N/A</v>
      </c>
      <c r="DV131" s="144">
        <f ca="1">IF($G131-Control!$C$107&lt;=0, 0, 0.83*LN(MAX($G131, 3))-0.8924)</f>
        <v>0</v>
      </c>
      <c r="DW131" s="144" t="e">
        <f t="shared" ca="1" si="259"/>
        <v>#N/A</v>
      </c>
      <c r="DX131" s="150" t="e">
        <f ca="1">MAX(0.01*(1+$CU131/Control!$C$102),0.05*($DK131-Control!$C$97)/Control!$C$97)</f>
        <v>#N/A</v>
      </c>
      <c r="DY131" s="151" t="e">
        <f ca="1">IF(Control!$C$114=1, $DI131*$FS131, 0)</f>
        <v>#N/A</v>
      </c>
      <c r="DZ131" s="196" t="e">
        <f t="shared" ca="1" si="383"/>
        <v>#N/A</v>
      </c>
      <c r="EA131" s="152">
        <f t="shared" ca="1" si="384"/>
        <v>127</v>
      </c>
      <c r="EB131" s="153" t="e">
        <f t="shared" ca="1" si="385"/>
        <v>#N/A</v>
      </c>
      <c r="EC131" s="153" t="e">
        <f t="shared" ca="1" si="386"/>
        <v>#N/A</v>
      </c>
      <c r="ED131" s="154" t="e">
        <f ca="1">IF(Control!$C$114=1, $HM131*$FY131-$FD131, 0)</f>
        <v>#DIV/0!</v>
      </c>
      <c r="EE131" s="155" t="e">
        <f ca="1">IF(Control!$C$114=1, $HM131*$FZ131-$FF131, 0)</f>
        <v>#DIV/0!</v>
      </c>
      <c r="EF131" s="153" t="e">
        <f t="shared" ca="1" si="440"/>
        <v>#N/A</v>
      </c>
      <c r="EG131" s="155" t="e">
        <f ca="1">IF(Control!$C$114=1, $GX131*$FW131-$FI131, 0)</f>
        <v>#DIV/0!</v>
      </c>
      <c r="EH131" s="153" t="e">
        <f t="shared" ca="1" si="387"/>
        <v>#N/A</v>
      </c>
      <c r="EI131" s="156" t="e">
        <f t="shared" ca="1" si="388"/>
        <v>#N/A</v>
      </c>
      <c r="EJ131" s="155" t="e">
        <f ca="1">IF(Control!$C$114=1, $HM131*$GB131, 0)</f>
        <v>#DIV/0!</v>
      </c>
      <c r="EK131" s="153" t="e">
        <f t="shared" ca="1" si="441"/>
        <v>#N/A</v>
      </c>
      <c r="EL131" s="153" t="e">
        <f t="shared" ca="1" si="260"/>
        <v>#N/A</v>
      </c>
      <c r="EM131" s="153" t="e">
        <f t="shared" ca="1" si="261"/>
        <v>#N/A</v>
      </c>
      <c r="EN131" s="153" t="e">
        <f ca="1">IF(Control!$C$108=1,IF(AND(Control!$B$18=1,$EB131&gt;=Control!$B$19),$EB131-$DS131,IF(AND(Control!$B$18=2,$AW131=1,$EB131&gt;$DS131),$EB131-$DS131,0)))</f>
        <v>#N/A</v>
      </c>
      <c r="EO131" s="153" t="e">
        <f ca="1">IF(Control!$C$108=1,IF(AND(Control!$B$18=1,$EB131&gt;=Control!$B$19),$EF131,IF(AND(Control!$B$18=2,$AW131=1),$EF131,0)))</f>
        <v>#N/A</v>
      </c>
      <c r="EP131" s="153" t="e">
        <f ca="1">IF(Control!$C$108=1,IF(AND(Control!$B$18=1,$EB131&gt;=Control!$B$19),$EK131,IF(AND(Control!$B$18=2,$AW131=1),$EK131,0)))</f>
        <v>#N/A</v>
      </c>
      <c r="EQ131" s="153" t="e">
        <f t="shared" ca="1" si="389"/>
        <v>#N/A</v>
      </c>
      <c r="ER131" s="153" t="e">
        <f t="shared" ca="1" si="390"/>
        <v>#N/A</v>
      </c>
      <c r="ES131" s="153" t="e">
        <f t="shared" ca="1" si="442"/>
        <v>#N/A</v>
      </c>
      <c r="ET131" s="153" t="e">
        <f t="shared" ca="1" si="443"/>
        <v>#N/A</v>
      </c>
      <c r="EU131" s="153" t="e">
        <f t="shared" ca="1" si="391"/>
        <v>#N/A</v>
      </c>
      <c r="EV131" s="153" t="e">
        <f t="shared" ca="1" si="262"/>
        <v>#N/A</v>
      </c>
      <c r="EW131" s="153" t="e">
        <f t="shared" ca="1" si="263"/>
        <v>#N/A</v>
      </c>
      <c r="EX131" s="153" t="e">
        <f t="shared" ca="1" si="264"/>
        <v>#N/A</v>
      </c>
      <c r="EY131" s="157" t="e">
        <f t="shared" ca="1" si="265"/>
        <v>#DIV/0!</v>
      </c>
      <c r="EZ131" s="154" t="e">
        <f t="shared" ca="1" si="266"/>
        <v>#DIV/0!</v>
      </c>
      <c r="FA131" s="153" t="e">
        <f t="shared" ca="1" si="392"/>
        <v>#N/A</v>
      </c>
      <c r="FB131" s="153" t="e">
        <f t="shared" ca="1" si="267"/>
        <v>#N/A</v>
      </c>
      <c r="FC131" s="193" t="e">
        <f t="shared" ca="1" si="268"/>
        <v>#N/A</v>
      </c>
      <c r="FD131" s="158" t="e">
        <f t="shared" ca="1" si="393"/>
        <v>#N/A</v>
      </c>
      <c r="FE131" s="158" t="e">
        <f t="shared" ca="1" si="394"/>
        <v>#N/A</v>
      </c>
      <c r="FF131" s="159" t="e">
        <f t="shared" ca="1" si="269"/>
        <v>#N/A</v>
      </c>
      <c r="FG131" s="160" t="e">
        <f t="shared" ca="1" si="395"/>
        <v>#N/A</v>
      </c>
      <c r="FH131" s="158" t="e">
        <f t="shared" ca="1" si="396"/>
        <v>#N/A</v>
      </c>
      <c r="FI131" s="159" t="e">
        <f t="shared" ca="1" si="270"/>
        <v>#N/A</v>
      </c>
      <c r="FJ131" s="160" t="e">
        <f t="shared" ca="1" si="397"/>
        <v>#N/A</v>
      </c>
      <c r="FK131" s="160" t="e">
        <f t="shared" ca="1" si="271"/>
        <v>#N/A</v>
      </c>
      <c r="FL131" s="160" t="e">
        <f t="shared" ca="1" si="444"/>
        <v>#N/A</v>
      </c>
      <c r="FM131" s="160" t="e">
        <f t="shared" ca="1" si="272"/>
        <v>#N/A</v>
      </c>
      <c r="FN131" s="158">
        <f t="shared" ca="1" si="398"/>
        <v>0.01</v>
      </c>
      <c r="FO131" s="160">
        <f>Control!$C$101</f>
        <v>50</v>
      </c>
      <c r="FP131" s="150" t="e">
        <f t="shared" ca="1" si="273"/>
        <v>#N/A</v>
      </c>
      <c r="FQ131" s="150" t="e">
        <f ca="1">MAX(0,(Control!$C$112*(($DK131-Control!$C$97)/Control!$C$97)))</f>
        <v>#N/A</v>
      </c>
      <c r="FR131" s="150" t="e">
        <f ca="1">(1-$NT131)*Control!$C$113</f>
        <v>#DIV/0!</v>
      </c>
      <c r="FS131" s="198" t="e">
        <f t="shared" ca="1" si="274"/>
        <v>#N/A</v>
      </c>
      <c r="FT131" s="161">
        <f t="shared" ca="1" si="399"/>
        <v>127</v>
      </c>
      <c r="FU131" s="162" t="e">
        <f ca="1">IF(Control!$B$34=1,VLOOKUP($CP131,Control!$B$86:$G$91,6),Control!$B$35)</f>
        <v>#N/A</v>
      </c>
      <c r="FV131" s="162" t="e">
        <f t="shared" ca="1" si="275"/>
        <v>#DIV/0!</v>
      </c>
      <c r="FW131" s="162" t="e">
        <f ca="1">IF(Control!$B$31=1,$FU131*$FV131,  $FU131)</f>
        <v>#N/A</v>
      </c>
      <c r="FX131" s="162" t="e">
        <f ca="1">IF(Control!$B$34=1,VLOOKUP($CP131,Control!$B$86:$G$91,3),Control!$B$36)</f>
        <v>#N/A</v>
      </c>
      <c r="FY131" s="162" t="e">
        <f t="shared" ca="1" si="276"/>
        <v>#N/A</v>
      </c>
      <c r="FZ131" s="162" t="e">
        <f ca="1">IF(Control!$B$34=1,VLOOKUP($CP131,Control!$B$86:$G$91,4),Control!$B$37)</f>
        <v>#N/A</v>
      </c>
      <c r="GA131" s="162" t="e">
        <f t="shared" ca="1" si="277"/>
        <v>#N/A</v>
      </c>
      <c r="GB131" s="162" t="e">
        <f ca="1">IF(Control!$B$34=1,VLOOKUP($CP131,Control!$B$86:$G$91,5),Control!$B$38)</f>
        <v>#N/A</v>
      </c>
      <c r="GC131" s="162" t="e">
        <f t="shared" ca="1" si="400"/>
        <v>#N/A</v>
      </c>
      <c r="GD131" s="162">
        <f t="shared" ca="1" si="278"/>
        <v>1</v>
      </c>
      <c r="GE131" s="162">
        <f t="shared" ca="1" si="279"/>
        <v>1</v>
      </c>
      <c r="GF131" s="162">
        <f ca="1">IF(AND(Control!$C$104=1, Control!$C$62="F"),$GE131,1)</f>
        <v>1</v>
      </c>
      <c r="GG131" s="162" t="e">
        <f ca="1">IF(Control!$B$16=40,0,IF(AND(Control!$B$16&gt;40,Control!$B$16&lt;=360),(Control!$B$16-40)*((1-0)/(360-40)),IF(AND(Control!$B$16&gt;360,Control!$B$16&lt;=720),(1+(Control!$B$16-360)*((1.25-1)/(720-360))),IF(AND(Control!$B$16&gt;720,Control!$B$16&lt;=1000),(1.25+(Control!$B$16-720)*((1.35-1.25)/(1000-720))),IF(AND(Control!$B$16&gt;1000,Control!$B$16&lt;=2000),(1.35+(Control!$B$16-1000)*0))))))</f>
        <v>#N/A</v>
      </c>
      <c r="GH131" s="162" t="e">
        <f t="shared" ca="1" si="280"/>
        <v>#N/A</v>
      </c>
      <c r="GI131" s="162">
        <f t="shared" ca="1" si="401"/>
        <v>0</v>
      </c>
      <c r="GJ131" s="162">
        <f t="shared" ca="1" si="281"/>
        <v>0</v>
      </c>
      <c r="GK131" s="162">
        <f t="shared" ca="1" si="402"/>
        <v>1</v>
      </c>
      <c r="GL131" s="162">
        <f t="shared" ca="1" si="282"/>
        <v>1</v>
      </c>
      <c r="GM131" s="162" t="e">
        <f ca="1">MAX(0,MIN(1,1-Control!$C$156*(1.0001-$KH131)^2))</f>
        <v>#N/A</v>
      </c>
      <c r="GN131" s="162" t="e">
        <f ca="1">IF(Control!$B$26=1,$KU131,$KX131)</f>
        <v>#N/A</v>
      </c>
      <c r="GO131" s="162" t="e">
        <f ca="1">IF($CP131&lt;=60,Control!$C$105,IF($CP131&gt;=90,Control!$C$106,Control!$C$105+($CP131-60)*((Control!$C$106-Control!$C$105)/(90-60))))</f>
        <v>#N/A</v>
      </c>
      <c r="GP131" s="162" t="e">
        <f t="shared" ca="1" si="283"/>
        <v>#N/A</v>
      </c>
      <c r="GQ131" s="162" t="e">
        <f t="shared" ca="1" si="403"/>
        <v>#N/A</v>
      </c>
      <c r="GR131" s="163" t="e">
        <f t="shared" ca="1" si="284"/>
        <v>#DIV/0!</v>
      </c>
      <c r="GS131" s="162" t="e">
        <f t="shared" ca="1" si="285"/>
        <v>#DIV/0!</v>
      </c>
      <c r="GT131" s="164" t="e">
        <f t="shared" ca="1" si="404"/>
        <v>#N/A</v>
      </c>
      <c r="GU131" s="162" t="e">
        <f t="shared" ca="1" si="405"/>
        <v>#N/A</v>
      </c>
      <c r="GV131" s="162" t="e">
        <f t="shared" ca="1" si="286"/>
        <v>#N/A</v>
      </c>
      <c r="GW131" s="162" t="e">
        <f t="shared" ca="1" si="287"/>
        <v>#DIV/0!</v>
      </c>
      <c r="GX131" s="162" t="e">
        <f t="shared" ca="1" si="406"/>
        <v>#DIV/0!</v>
      </c>
      <c r="GY131" s="162" t="e">
        <f t="shared" ca="1" si="407"/>
        <v>#DIV/0!</v>
      </c>
      <c r="GZ131" s="165" t="e">
        <f t="shared" ca="1" si="288"/>
        <v>#N/A</v>
      </c>
      <c r="HA131" s="162" t="e">
        <f ca="1">IF(Control!$C$114=1, $DI131*$FS131, 0)</f>
        <v>#N/A</v>
      </c>
      <c r="HB131" s="162" t="e">
        <f ca="1">$FA131/Control!$C$64</f>
        <v>#N/A</v>
      </c>
      <c r="HC131" s="162" t="e">
        <f t="shared" ca="1" si="289"/>
        <v>#DIV/0!</v>
      </c>
      <c r="HD131" s="162">
        <f ca="1">-ASIN(SIN(23.45*Control!$C$139)*COS(2*Control!$C$138*($AH131+10)/365))</f>
        <v>0.28587723042388441</v>
      </c>
      <c r="HE131" s="165">
        <f t="shared" ca="1" si="408"/>
        <v>0</v>
      </c>
      <c r="HF131" s="166">
        <f ca="1">IF(AND(Control!$C$61="T",$HE131&gt;=Control!$C$103,Control!$C$114=0),$AH131,Control!$C$59)</f>
        <v>1</v>
      </c>
      <c r="HG131" s="166">
        <f ca="1">IF(AND(Control!$C$61="T",$HE131&gt;=Control!$C$103,Control!$C$114=0),$HF131,Control!$C$59)</f>
        <v>1</v>
      </c>
      <c r="HH131" s="165">
        <f ca="1">IF(AND(OR(Control!$C$60&lt;=0, $AH131= Control!$C$59, Control!$C$60 &gt;0, $AH131 = Control!$C$60)), Control!$C$59, IF(Control!$C$60&gt;0, 0))</f>
        <v>1</v>
      </c>
      <c r="HI131" s="165">
        <f ca="1">IF(AND(OR(Control!$C$60&lt;=0, $AH131= Control!$C$59, Control!$C$60 &gt;0, $AH131 = Control!$C$60)), Control!$C$60, IF(Control!$C$60&lt;=0, 0))</f>
        <v>0</v>
      </c>
      <c r="HJ131" s="166">
        <f ca="1">IF(AND(Control!$C$62="F",$CV131&gt;=Control!$C$102),$AH131,0)</f>
        <v>0</v>
      </c>
      <c r="HK131" s="165" t="e">
        <f t="shared" ca="1" si="445"/>
        <v>#N/A</v>
      </c>
      <c r="HL131" s="166">
        <f ca="1">IF(AND(Control!$C$61="T",$HE131&gt;=Control!$C$103,Control!$C$114=0),$HF131,0)</f>
        <v>0</v>
      </c>
      <c r="HM131" s="201" t="e">
        <f t="shared" ca="1" si="290"/>
        <v>#DIV/0!</v>
      </c>
      <c r="HN131" s="215">
        <f t="shared" ca="1" si="409"/>
        <v>127</v>
      </c>
      <c r="HO131" s="216" t="e">
        <f ca="1">IF(AND($CP131&gt;=0, $CP131&lt;=90), Control!$C$152, Control!$C$152)</f>
        <v>#N/A</v>
      </c>
      <c r="HP131" s="216" t="e">
        <f t="shared" ca="1" si="291"/>
        <v>#N/A</v>
      </c>
      <c r="HQ131" s="217" t="e">
        <f ca="1">IF(OR(Control!$B$26=1,Control!$B$26=2),$KV131,$KS131)</f>
        <v>#DIV/0!</v>
      </c>
      <c r="HR131" s="218" t="e">
        <f t="shared" ca="1" si="446"/>
        <v>#DIV/0!</v>
      </c>
      <c r="HS131" s="216" t="e">
        <f ca="1">Control!$C$154*$HP131</f>
        <v>#N/A</v>
      </c>
      <c r="HT131" s="216" t="e">
        <f ca="1">Control!$C$155*$HP131</f>
        <v>#N/A</v>
      </c>
      <c r="HU131" s="217" t="e">
        <f ca="1">Control!$C$161*$FI131</f>
        <v>#N/A</v>
      </c>
      <c r="HV131" s="218" t="e">
        <f t="shared" ca="1" si="410"/>
        <v>#N/A</v>
      </c>
      <c r="HW131" s="218" t="e">
        <f ca="1">Control!$C$160*$FF131+$IP131*$EO131</f>
        <v>#N/A</v>
      </c>
      <c r="HX131" s="218" t="e">
        <f t="shared" ca="1" si="447"/>
        <v>#N/A</v>
      </c>
      <c r="HY131" s="219" t="e">
        <f ca="1">IF(Control!$C$114=1, $EB131*$FS131, 0)</f>
        <v>#N/A</v>
      </c>
      <c r="HZ131" s="91" t="e">
        <f t="shared" ca="1" si="292"/>
        <v>#N/A</v>
      </c>
      <c r="IA131" s="220" t="e">
        <f ca="1">Control!$C$153*$HO131</f>
        <v>#N/A</v>
      </c>
      <c r="IB131" s="218" t="e">
        <f t="shared" ca="1" si="293"/>
        <v>#N/A</v>
      </c>
      <c r="IC131" s="220" t="e">
        <f ca="1">Control!$C$153*$HT131</f>
        <v>#N/A</v>
      </c>
      <c r="ID131" s="218" t="e">
        <f t="shared" ca="1" si="294"/>
        <v>#N/A</v>
      </c>
      <c r="IE131" s="221" t="e">
        <f ca="1">($EB131*Control!$C$159+$EF131*Control!$C$160)/(IF($GZ131&lt;&gt;0,$GZ131,1))</f>
        <v>#N/A</v>
      </c>
      <c r="IF131" s="216" t="e">
        <f t="shared" ca="1" si="295"/>
        <v>#N/A</v>
      </c>
      <c r="IG131" s="91">
        <f ca="1">IF(OR(Control!$B$198=$AH131,Control!$B$199=$AH131, Control!$B$200=$AH131, Control!$B$201=$AH131, Control!$B$202=$AH131, Control!$B$203=$AH131, Control!$B$204=$AH131, Control!$B$205=$AH131, Control!$B$206=$AH131, Control!$B$207=$AH131), 1, 0)</f>
        <v>0</v>
      </c>
      <c r="IH131" s="91">
        <f ca="1">IF($IG131=0,0, VLOOKUP($AH131,Control!$B$198:$C$207,2))</f>
        <v>0</v>
      </c>
      <c r="II131" s="222">
        <f t="shared" ca="1" si="411"/>
        <v>0</v>
      </c>
      <c r="IJ131" s="91">
        <f>Control!$C$121</f>
        <v>0.7</v>
      </c>
      <c r="IK131" s="218">
        <f t="shared" ca="1" si="296"/>
        <v>0</v>
      </c>
      <c r="IL131" s="217" t="e">
        <f t="shared" ca="1" si="448"/>
        <v>#N/A</v>
      </c>
      <c r="IM131" s="223" t="e">
        <f ca="1">IF(AND(Control!$C$114=1,$KH131&lt;1),$EB131*Control!$C$148*(1-$KH131), 0)</f>
        <v>#N/A</v>
      </c>
      <c r="IN131" s="217" t="e">
        <f t="shared" ca="1" si="297"/>
        <v>#DIV/0!</v>
      </c>
      <c r="IO131" s="91" t="e">
        <f ca="1">MAX(0,$IL131-$EF131*Control!$C$160)</f>
        <v>#N/A</v>
      </c>
      <c r="IP131" s="220" t="e">
        <f t="shared" ca="1" si="298"/>
        <v>#N/A</v>
      </c>
      <c r="IQ131" s="217" t="e">
        <f t="shared" ca="1" si="412"/>
        <v>#N/A</v>
      </c>
      <c r="IR131" s="218" t="e">
        <f t="shared" ca="1" si="299"/>
        <v>#N/A</v>
      </c>
      <c r="IS131" s="217" t="e">
        <f ca="1">Control!$C$159*MAX(0,$FD131-$EN131)</f>
        <v>#N/A</v>
      </c>
      <c r="IT131" s="217" t="e">
        <f t="shared" ca="1" si="449"/>
        <v>#N/A</v>
      </c>
      <c r="IU131" s="217" t="e">
        <f t="shared" ca="1" si="413"/>
        <v>#N/A</v>
      </c>
      <c r="IV131" s="217" t="e">
        <f t="shared" ca="1" si="450"/>
        <v>#N/A</v>
      </c>
      <c r="IW131" s="217" t="e">
        <f ca="1">IF(OR($AW131=1,AND($AW131=0, Control!$B$18=1,$EN131&lt;&gt;0)), $IQ131-$IU131, $IQ131)</f>
        <v>#N/A</v>
      </c>
      <c r="IX131" s="218" t="e">
        <f t="shared" ca="1" si="300"/>
        <v>#N/A</v>
      </c>
      <c r="IY131" s="218" t="e">
        <f ca="1">MAX(0,$IQ131-$EB131*Control!$C$159)</f>
        <v>#N/A</v>
      </c>
      <c r="IZ131" s="218" t="e">
        <f t="shared" ca="1" si="301"/>
        <v>#N/A</v>
      </c>
      <c r="JA131" s="216" t="e">
        <f t="shared" ca="1" si="302"/>
        <v>#N/A</v>
      </c>
      <c r="JB131" s="217" t="e">
        <f t="shared" ca="1" si="303"/>
        <v>#N/A</v>
      </c>
      <c r="JC131" s="222" t="e">
        <f ca="1">MAX(Control!$C$157*$EK131-$JT131, 0)/Control!$C$162</f>
        <v>#N/A</v>
      </c>
      <c r="JD131" s="218" t="e">
        <f t="shared" ca="1" si="304"/>
        <v>#N/A</v>
      </c>
      <c r="JE131" s="218" t="e">
        <f t="shared" ca="1" si="305"/>
        <v>#N/A</v>
      </c>
      <c r="JF131" s="218" t="e">
        <f t="shared" ca="1" si="414"/>
        <v>#N/A</v>
      </c>
      <c r="JG131" s="218" t="e">
        <f t="shared" ca="1" si="306"/>
        <v>#N/A</v>
      </c>
      <c r="JH131" s="217" t="e">
        <f t="shared" ca="1" si="415"/>
        <v>#N/A</v>
      </c>
      <c r="JI131" s="217" t="e">
        <f t="shared" ca="1" si="416"/>
        <v>#N/A</v>
      </c>
      <c r="JJ131" s="217" t="e">
        <f t="shared" ca="1" si="451"/>
        <v>#N/A</v>
      </c>
      <c r="JK131" s="217" t="e">
        <f ca="1">IF(Control!$C$114=1,IF(Control!$B$24=0,MAX(0,$JI131)*$GN131/Control!$C$64,(MAX(0,MIN($JI131,$JJ131*$GN131/Control!$C$64),0))))</f>
        <v>#N/A</v>
      </c>
      <c r="JL131" s="217" t="e">
        <f ca="1">$IK131/Control!$C$64-$JK131+$HQ131</f>
        <v>#N/A</v>
      </c>
      <c r="JM131" s="217" t="e">
        <f ca="1">IF(Control!$C$114=1,($JB131/(IF($JI131&lt;&gt;0,$JI131,1)))*$JK131,0)</f>
        <v>#N/A</v>
      </c>
      <c r="JN131" s="217" t="e">
        <f ca="1">IF(Control!$C$114=1,($JG131/(IF($JI131&lt;&gt;0,$JI131,1)))*$JK131, 0)</f>
        <v>#N/A</v>
      </c>
      <c r="JO131" s="218" t="e">
        <f t="shared" ca="1" si="307"/>
        <v>#N/A</v>
      </c>
      <c r="JP131" s="218" t="e">
        <f ca="1">MIN(($IY131+$IO131)*Control!$C$151, $JF131-$EH131*Control!$C$161)</f>
        <v>#N/A</v>
      </c>
      <c r="JQ131" s="218" t="e">
        <f t="shared" ca="1" si="308"/>
        <v>#N/A</v>
      </c>
      <c r="JR131" s="217" t="e">
        <f ca="1">IF($CP131-Control!$C$150&lt;0, 0, $JQ131/Control!$C$162)</f>
        <v>#N/A</v>
      </c>
      <c r="JS131" s="218" t="e">
        <f t="shared" ca="1" si="309"/>
        <v>#N/A</v>
      </c>
      <c r="JT131" s="218" t="e">
        <f t="shared" ca="1" si="417"/>
        <v>#N/A</v>
      </c>
      <c r="JU131" s="218" t="e">
        <f t="shared" ca="1" si="310"/>
        <v>#N/A</v>
      </c>
      <c r="JV131" s="218" t="e">
        <f t="shared" ca="1" si="311"/>
        <v>#N/A</v>
      </c>
      <c r="JW131" s="216" t="e">
        <f t="shared" ca="1" si="312"/>
        <v>#N/A</v>
      </c>
      <c r="JX131" s="91" t="e">
        <f t="shared" ca="1" si="313"/>
        <v>#N/A</v>
      </c>
      <c r="JY131" s="218" t="e">
        <f t="shared" ca="1" si="314"/>
        <v>#N/A</v>
      </c>
      <c r="JZ131" s="217" t="e">
        <f ca="1">IF(Control!$C$114=1,($IZ131/(IF($JI131&lt;&gt;0,$JI131,1)))*$JK131, 0)</f>
        <v>#N/A</v>
      </c>
      <c r="KA131" s="218" t="e">
        <f t="shared" ca="1" si="452"/>
        <v>#N/A</v>
      </c>
      <c r="KB131" s="218" t="e">
        <f t="shared" ca="1" si="418"/>
        <v>#N/A</v>
      </c>
      <c r="KC131" s="218" t="e">
        <f t="shared" ca="1" si="315"/>
        <v>#N/A</v>
      </c>
      <c r="KD131" s="218" t="e">
        <f t="shared" ca="1" si="316"/>
        <v>#N/A</v>
      </c>
      <c r="KE131" s="218" t="e">
        <f t="shared" ca="1" si="317"/>
        <v>#N/A</v>
      </c>
      <c r="KF131" s="218" t="e">
        <f t="shared" ca="1" si="318"/>
        <v>#N/A</v>
      </c>
      <c r="KG131" s="216" t="e">
        <f t="shared" ca="1" si="319"/>
        <v>#N/A</v>
      </c>
      <c r="KH131" s="221" t="e">
        <f ca="1">IF(Control!$B$24=0,1,MAX(0.001,MIN(1,IF(($IF131-$IE131)&lt;&gt;0,($KG131-$IE131)/($IF131-$IE131),1))))</f>
        <v>#N/A</v>
      </c>
      <c r="KI131" s="222" t="e">
        <f ca="1">IF(Control!$C$114=1, $KI130+ $KH130, 0)</f>
        <v>#N/A</v>
      </c>
      <c r="KJ131" s="217" t="e">
        <f t="shared" ca="1" si="320"/>
        <v>#N/A</v>
      </c>
      <c r="KK131" s="218" t="e">
        <f t="shared" ca="1" si="321"/>
        <v>#N/A</v>
      </c>
      <c r="KL131" s="274" t="e">
        <f ca="1">IF(Control!$B$26=3,4000000000*EXP(-8400/($G131+273)),IF(Control!$B$26=4,4000000000*EXP(-8400/($G131+273))*($KT131),0))</f>
        <v>#DIV/0!</v>
      </c>
      <c r="KM131" s="274" t="e">
        <f ca="1">IF(Control!$B$26=3,5600000000000*EXP(-9800/($G131+273)),IF(Control!$B$26=4,5600000000000*EXP(-9800/($G131+273))*$KT131,0))</f>
        <v>#DIV/0!</v>
      </c>
      <c r="KN131" s="454" t="e">
        <f t="shared" ca="1" si="419"/>
        <v>#DIV/0!</v>
      </c>
      <c r="KO131" s="274" t="e">
        <f t="shared" ca="1" si="420"/>
        <v>#DIV/0!</v>
      </c>
      <c r="KP131" s="454" t="e">
        <f t="shared" ca="1" si="322"/>
        <v>#DIV/0!</v>
      </c>
      <c r="KQ131" s="454" t="e">
        <f t="shared" ca="1" si="323"/>
        <v>#DIV/0!</v>
      </c>
      <c r="KR131" s="454" t="e">
        <f t="shared" ca="1" si="324"/>
        <v>#DIV/0!</v>
      </c>
      <c r="KS131" s="454" t="e">
        <f t="shared" ca="1" si="325"/>
        <v>#DIV/0!</v>
      </c>
      <c r="KT131" s="455" t="e">
        <f t="shared" ca="1" si="326"/>
        <v>#DIV/0!</v>
      </c>
      <c r="KU131" s="456" t="e">
        <f ca="1">IF($CP131-Control!$C$149&lt;0, IF($NT131-0.01&lt;0,0,1),0)</f>
        <v>#N/A</v>
      </c>
      <c r="KV131" s="456" t="e">
        <f ca="1">IF(Control!$C$114=1,MAX(0,MIN(Control!$C$125*$KW131*$GN131,$KW131)))</f>
        <v>#DIV/0!</v>
      </c>
      <c r="KW131" s="456" t="e">
        <f t="shared" ca="1" si="453"/>
        <v>#DIV/0!</v>
      </c>
      <c r="KX131" s="457" t="e">
        <f ca="1">IF($CP131-Control!$C$149&lt;0, IF($MR131-$OM131&lt;0,0,1),0)</f>
        <v>#N/A</v>
      </c>
      <c r="KY131" s="167">
        <f t="shared" ca="1" si="421"/>
        <v>127</v>
      </c>
      <c r="KZ131" s="168">
        <f ca="1">1370*(1+0.033*COS(2*Control!$C$138*$AH131/365))</f>
        <v>1343.9004572921117</v>
      </c>
      <c r="LA131" s="169">
        <f t="shared" ca="1" si="422"/>
        <v>0.980949376653793</v>
      </c>
      <c r="LB131" s="169">
        <f t="shared" ca="1" si="423"/>
        <v>0.29231490614777594</v>
      </c>
      <c r="LC131" s="169">
        <f ca="1">ACOS(-TAN((2*Control!$B$8/360))*TAN(Calculations!$LB131))</f>
        <v>1.6603549977133878</v>
      </c>
      <c r="LD131" s="169">
        <f ca="1">((24*60)/PI())*0.082*$LA131*(($LC131*SIN(Control!$B$8*2*PI()/360))*SIN($LB131)+COS(Control!$B$8*2*PI()/360)*COS($LB131)*SIN($LC131))</f>
        <v>35.550667015995721</v>
      </c>
      <c r="LE131" s="170">
        <f t="shared" ca="1" si="327"/>
        <v>36.225885022989978</v>
      </c>
      <c r="LF131" s="170">
        <f ca="1">SIN(Control!$C$139*Control!$B$8)*SIN($HD131)</f>
        <v>0.22221876064819754</v>
      </c>
      <c r="LG131" s="170">
        <f ca="1">COS(Control!$C$139*Control!$B$8)*COS($HD131)</f>
        <v>0.59067303039228236</v>
      </c>
      <c r="LH131" s="170">
        <f ca="1">12*(1+2*ASIN(MAX(-1,MIN(1,$LF131/$LG131))/Control!$C$138))</f>
        <v>14.880961383025333</v>
      </c>
      <c r="LI131" s="170">
        <f ca="1">12*(1+2*ASIN(MAX(-1,MIN(1,(-SIN(-4*Control!$C$139)+$LF131)/$LG131))/Control!$C$138))</f>
        <v>15.79199649177469</v>
      </c>
      <c r="LJ131" s="168">
        <f ca="1">3600*($LH131*$LF131+24*$LG131*SQRT(1-$LK131*$LK131)/Control!$C$138)</f>
        <v>26955.77996601268</v>
      </c>
      <c r="LK131" s="170">
        <f t="shared" ca="1" si="328"/>
        <v>0.37621281015761948</v>
      </c>
      <c r="LL131" s="170">
        <f t="shared" ca="1" si="329"/>
        <v>0</v>
      </c>
      <c r="LM131" s="171">
        <f ca="1">Control!$C$145*$AB131</f>
        <v>6.6660906138995932E-2</v>
      </c>
      <c r="LN131" s="170">
        <f t="shared" ca="1" si="424"/>
        <v>0.54</v>
      </c>
      <c r="LO131" s="170">
        <f t="shared" ca="1" si="330"/>
        <v>0</v>
      </c>
      <c r="LP131" s="170">
        <f ca="1">Control!$C$140*((($D131+273.16)^4+($E131+273.16)^4)/2)*(0.34-0.14*SQRT($Y131))*(1.35*$AQ131/(0.75*$LD131)-0.35)</f>
        <v>-3.2464704755046001</v>
      </c>
      <c r="LQ131" s="170">
        <f ca="1">Control!$C$140*($G131+273)^4*(0.56-0.079*SQRT($Y131*10))*(0.1+0.9*$LO131)</f>
        <v>1.5241745131704001</v>
      </c>
      <c r="LR131" s="170">
        <f ca="1">$AQ131*(1-Control!$C$142)-$LQ131</f>
        <v>-1.5241745131704001</v>
      </c>
      <c r="LS131" s="170">
        <f ca="1">$AQ131*(1-Control!$C$143)-$LQ131</f>
        <v>-1.5241745131704001</v>
      </c>
      <c r="LT131" s="170">
        <f ca="1">$AQ131*(1-Control!$C$144)-$LQ131</f>
        <v>-1.5241745131704001</v>
      </c>
      <c r="LU131" s="169">
        <f ca="1">(1-Control!$C$144)*AQ131-LP131</f>
        <v>3.2464704755046001</v>
      </c>
      <c r="LV131" s="172">
        <f t="shared" ca="1" si="331"/>
        <v>0.79430000000000012</v>
      </c>
      <c r="LW131" s="170">
        <f t="shared" ca="1" si="332"/>
        <v>1.5886000000000002</v>
      </c>
      <c r="LX131" s="170">
        <f ca="1">($AC131*($LR131/Control!$C$141)+$LM131*$LV131)/($AC131+$LM131)</f>
        <v>0.23530094218323697</v>
      </c>
      <c r="LY131" s="170">
        <f ca="1">($AC131*($LS131/Control!$C$141)+$LM131*$LV131)/($AC131+$LM131)</f>
        <v>0.23530094218323697</v>
      </c>
      <c r="LZ131" s="170">
        <f t="shared" ca="1" si="333"/>
        <v>0.23530094218323697</v>
      </c>
      <c r="MA131" s="170">
        <f t="shared" ca="1" si="334"/>
        <v>0.23530094218323697</v>
      </c>
      <c r="MB131" s="170" t="e">
        <f t="shared" ca="1" si="335"/>
        <v>#N/A</v>
      </c>
      <c r="MC131" s="170">
        <f t="shared" ca="1" si="425"/>
        <v>0.6018</v>
      </c>
      <c r="MD131" s="170">
        <f t="shared" ca="1" si="336"/>
        <v>0.52989392535414004</v>
      </c>
      <c r="ME131" s="170">
        <f ca="1">($AC131*($LT131/Control!$C$141)+$LM131*$LW131)/($AC131+$LM131)</f>
        <v>0.71612369323045078</v>
      </c>
      <c r="MF131" s="170" t="e">
        <f ca="1">IF(Control!$B$16&gt;=1000,0.92,IF(AND(720&lt;=Control!$B$16,1000&gt;Control!$B$16),(0.95+(Control!$B$16-720)*((0.92-0.95)/(1000-720))),IF(AND(360&lt;=Control!$B$16,720&gt;Control!$B$16),(1+(Control!$B$16-360)*((0.95-1)/(720-360))),IF(AND(40&lt;=Control!$B$16,360&gt;Control!$B$16),(1.05+(Control!$B$16-40)*((1.05-1)/(360-40)))))))</f>
        <v>#N/A</v>
      </c>
      <c r="MG131" s="170">
        <f t="shared" ca="1" si="337"/>
        <v>0.71612369323045078</v>
      </c>
      <c r="MH131" s="170" t="e">
        <f t="shared" ca="1" si="464"/>
        <v>#N/A</v>
      </c>
      <c r="MI131" s="170" t="e">
        <f t="shared" ca="1" si="464"/>
        <v>#N/A</v>
      </c>
      <c r="MJ131" s="170" t="e">
        <f ca="1">MAX(0.0001, Control!$C$132*$MI131*$DL131)</f>
        <v>#N/A</v>
      </c>
      <c r="MK131" s="170">
        <f ca="1">1/(0.76+1.5*($MG131/10))-(5-Control!$C$110)*0.1</f>
        <v>1.002845988140797</v>
      </c>
      <c r="ML131" s="173">
        <f ca="1">IF(Control!$C$110&lt;3,$MK131+($MG131-0.6)/(Control!$C$110*(Control!$C$110+3)), MAX(0.1, MIN(0.95,$MK131)))</f>
        <v>0.95</v>
      </c>
      <c r="MM131" s="173">
        <f ca="1">IF(Control!$C$110&lt;3,$MK131+(($MI131/10)-0.6)/(Control!$C$110*(Control!$C$110+3)), MAX(0.1, MIN(0.95,$MK131)))</f>
        <v>0.95</v>
      </c>
      <c r="MN131" s="173">
        <f ca="1">(1-$MM131)*(Control!$C$128-Control!$C$127)+Control!$C$127</f>
        <v>0.16</v>
      </c>
      <c r="MO131" s="170" t="e">
        <f ca="1">MAX(0,MIN(1,($MS131-Control!$C$127)/($MN131-Control!$C$127)))</f>
        <v>#DIV/0!</v>
      </c>
      <c r="MP131" s="173" t="e">
        <f ca="1">1/(0.76+1.5*$MI131)-(5-Control!$C$110)*0.1</f>
        <v>#N/A</v>
      </c>
      <c r="MQ131" s="172" t="e">
        <f t="shared" ca="1" si="454"/>
        <v>#DIV/0!</v>
      </c>
      <c r="MR131" s="168" t="e">
        <f t="shared" ca="1" si="426"/>
        <v>#DIV/0!</v>
      </c>
      <c r="MS131" s="173" t="e">
        <f ca="1">MAX(Control!$C$127, MIN(Control!$C$135, $MR131/MAX(0.0001,$CY131)))</f>
        <v>#DIV/0!</v>
      </c>
      <c r="MT131" s="168" t="e">
        <f ca="1">(Control!$C$128-$MS131)*Control!$C$74</f>
        <v>#DIV/0!</v>
      </c>
      <c r="MU131" s="168" t="e">
        <f ca="1">(Control!$C$135-$MS131)*Control!$C$74</f>
        <v>#DIV/0!</v>
      </c>
      <c r="MV131" s="168" t="e">
        <f t="shared" ca="1" si="427"/>
        <v>#DIV/0!</v>
      </c>
      <c r="MW131" s="168" t="e">
        <f t="shared" ca="1" si="428"/>
        <v>#DIV/0!</v>
      </c>
      <c r="MX131" s="171" t="e">
        <f ca="1">MAX(Control!$C$127, MIN(Control!$C$135, $MW131/MAX(0.0001,Control!$C$119-$CY131)))</f>
        <v>#DIV/0!</v>
      </c>
      <c r="MY131" s="54" t="e">
        <f ca="1">IF(Control!$C$114=1, $CX131*$MX131, 0)</f>
        <v>#DIV/0!</v>
      </c>
      <c r="MZ131" s="54" t="e">
        <f t="shared" ca="1" si="429"/>
        <v>#N/A</v>
      </c>
      <c r="NA131" s="168" t="e">
        <f ca="1">(Control!$C$128-$MX131)*(Control!$C$119-Control!$C$74)</f>
        <v>#DIV/0!</v>
      </c>
      <c r="NB131" s="168" t="e">
        <f ca="1">(Control!$C$135-$MX131)*(Control!$C$119-Control!$C$74)</f>
        <v>#DIV/0!</v>
      </c>
      <c r="NC131" s="174" t="e">
        <f t="shared" ca="1" si="430"/>
        <v>#DIV/0!</v>
      </c>
      <c r="ND131" s="54">
        <f ca="1">IF(Control!$C$58=2, IF(OR(Control!$B$218=$AH131,Control!$B$219=$AH131, Control!$B$220=$AH131, Control!$B$221=$AH131, Control!$B$222=$AH131, Control!$B$223=$AH131, Control!$B$224=$AH131, Control!$B$225=$AH131, Control!$B$226=$AH131, Control!$B$227=$AH131, Control!$B$228=$AH131), 1, 0), 0)</f>
        <v>0</v>
      </c>
      <c r="NE131" s="54">
        <f ca="1">IF($ND131=0,0, VLOOKUP($AH131,Control!$B$218:$C$228,2))</f>
        <v>0</v>
      </c>
      <c r="NF131" s="168" t="e">
        <f ca="1">$CY131*(Control!$C$128-Control!$C$127)</f>
        <v>#N/A</v>
      </c>
      <c r="NG131" s="54" t="e">
        <f ca="1">IF(Control!$C$58=2, $NI130-$NJ130, 0)</f>
        <v>#DIV/0!</v>
      </c>
      <c r="NH131" s="54" t="e">
        <f ca="1">IF(AND(Control!$C$58=1, $MS130&lt;= ($MN130+0.02), $I130&lt;10), 0, IF(Control!$C$58=2, $NG130, 0))</f>
        <v>#DIV/0!</v>
      </c>
      <c r="NI131" s="54" t="e">
        <f ca="1">IF(Control!$C$58=2, $NE131+$NH131,0)</f>
        <v>#DIV/0!</v>
      </c>
      <c r="NJ131" s="54" t="e">
        <f ca="1">IF(AND(Control!$C$58=1, $MS131&lt;= ($MN131+0.02), $I131&lt;10), MAX(0, MIN(10, 0.7*($NF131-$MV131))), IF(Control!$C$58=2, MIN(10,$NI131),0))</f>
        <v>#DIV/0!</v>
      </c>
      <c r="NK131" s="54" t="e">
        <f t="shared" ca="1" si="338"/>
        <v>#DIV/0!</v>
      </c>
      <c r="NL131" s="173" t="e">
        <f ca="1">(1-Control!$C$73)*$I131+$NJ131</f>
        <v>#DIV/0!</v>
      </c>
      <c r="NM131" s="172" t="e">
        <f ca="1">IF($NL131&lt;0.5, $MB131* MAX(0, MIN(1, (SQRT($NC131)-SQRT($NC131-1))*Control!$C$71)),0)</f>
        <v>#DIV/0!</v>
      </c>
      <c r="NN131" s="170" t="e">
        <f ca="1">IF($NL131&gt;=5, $MB131, MAX(0,MIN($MB131, $NM131+$NL131,($MS131-Control!$C$129))))</f>
        <v>#DIV/0!</v>
      </c>
      <c r="NO131" s="54">
        <f>IF(Control!$C$133&lt;&gt;1, Control!$C$135-Control!$C$131, 0)</f>
        <v>0.38</v>
      </c>
      <c r="NP131" s="54" t="e">
        <f t="shared" ca="1" si="339"/>
        <v>#DIV/0!</v>
      </c>
      <c r="NQ131" s="173" t="e">
        <f ca="1">MAX(0,MIN(1,(Control!$C$135-$MS131)/(Control!$C$135-$NO131)))</f>
        <v>#DIV/0!</v>
      </c>
      <c r="NR131" s="170" t="e">
        <f ca="1">IF(Control!$C$133&lt;&gt;1, $NQ131+((1-$NP131/4)*(1-$NQ131)),1)</f>
        <v>#DIV/0!</v>
      </c>
      <c r="NS131" s="170" t="e">
        <f ca="1">IF(Control!$B$31=0,$MJ131,MAX(0,MIN($MV131,$MO131*$NR131*$MJ131)))</f>
        <v>#DIV/0!</v>
      </c>
      <c r="NT131" s="170" t="e">
        <f t="shared" ca="1" si="455"/>
        <v>#DIV/0!</v>
      </c>
      <c r="NU131" s="170" t="e">
        <f t="shared" ca="1" si="431"/>
        <v>#N/A</v>
      </c>
      <c r="NV131" s="170" t="e">
        <f t="shared" ca="1" si="340"/>
        <v>#N/A</v>
      </c>
      <c r="NW131" s="175" t="e">
        <f t="shared" ca="1" si="341"/>
        <v>#DIV/0!</v>
      </c>
      <c r="NX131" s="170" t="e">
        <f ca="1">MIN(Control!$C$72+$MU131, $NW131)</f>
        <v>#DIV/0!</v>
      </c>
      <c r="NY131" s="170" t="e">
        <f ca="1">IF($MT131&lt;=$NX131,MIN(Control!$C$72+$NB131,$NX131-$MT131),0)</f>
        <v>#DIV/0!</v>
      </c>
      <c r="NZ131" s="54" t="e">
        <f ca="1">IF(Control!$C$114=1,  $CX131*($MX131-Control!$C$127), 0)</f>
        <v>#DIV/0!</v>
      </c>
      <c r="OA131" s="170" t="e">
        <f t="shared" ca="1" si="342"/>
        <v>#DIV/0!</v>
      </c>
      <c r="OB131" s="170" t="e">
        <f ca="1">IF($NA131 &lt;=$NY131, MIN(Control!$C$72, $NY131-$NA131), 0)</f>
        <v>#DIV/0!</v>
      </c>
      <c r="OC131" s="168" t="e">
        <f t="shared" ca="1" si="343"/>
        <v>#DIV/0!</v>
      </c>
      <c r="OD131" s="168" t="e">
        <f t="shared" ca="1" si="432"/>
        <v>#DIV/0!</v>
      </c>
      <c r="OE131" s="170">
        <f ca="1">Control!$C$73*$I131</f>
        <v>0</v>
      </c>
      <c r="OF131" s="176" t="e">
        <f t="shared" ca="1" si="344"/>
        <v>#DIV/0!</v>
      </c>
      <c r="OG131" s="168" t="e">
        <f t="shared" ca="1" si="345"/>
        <v>#DIV/0!</v>
      </c>
      <c r="OH131" s="168" t="e">
        <f t="shared" ca="1" si="346"/>
        <v>#DIV/0!</v>
      </c>
      <c r="OI131" s="168" t="e">
        <f t="shared" ca="1" si="347"/>
        <v>#DIV/0!</v>
      </c>
      <c r="OJ131" s="168" t="e">
        <f t="shared" ca="1" si="348"/>
        <v>#DIV/0!</v>
      </c>
      <c r="OK131" s="204" t="e">
        <f t="shared" ca="1" si="349"/>
        <v>#DIV/0!</v>
      </c>
      <c r="OL131" s="177">
        <f>Control!$C$127</f>
        <v>0.15</v>
      </c>
      <c r="OM131" s="182" t="e">
        <f t="shared" ca="1" si="350"/>
        <v>#N/A</v>
      </c>
      <c r="ON131" s="177">
        <f>Control!$C$128</f>
        <v>0.35</v>
      </c>
      <c r="OO131" s="182" t="e">
        <f t="shared" ca="1" si="351"/>
        <v>#N/A</v>
      </c>
      <c r="OP131" s="138">
        <f t="shared" ca="1" si="433"/>
        <v>0</v>
      </c>
      <c r="OQ131" s="138" t="e">
        <f t="shared" ca="1" si="456"/>
        <v>#DIV/0!</v>
      </c>
      <c r="OR131" s="138" t="e">
        <f t="shared" ca="1" si="434"/>
        <v>#DIV/0!</v>
      </c>
      <c r="OS131" s="137" t="e">
        <f t="shared" ca="1" si="457"/>
        <v>#DIV/0!</v>
      </c>
      <c r="OT131" s="139" t="e">
        <f t="shared" ca="1" si="458"/>
        <v>#DIV/0!</v>
      </c>
      <c r="OU131" s="138" t="e">
        <f t="shared" ca="1" si="459"/>
        <v>#N/A</v>
      </c>
      <c r="OV131" s="138" t="e">
        <f t="shared" ca="1" si="460"/>
        <v>#DIV/0!</v>
      </c>
      <c r="OW131" s="138" t="e">
        <f t="shared" ca="1" si="435"/>
        <v>#DIV/0!</v>
      </c>
      <c r="OX131" s="138" t="e">
        <f t="shared" ca="1" si="436"/>
        <v>#DIV/0!</v>
      </c>
      <c r="OY131" s="138" t="e">
        <f t="shared" ca="1" si="437"/>
        <v>#DIV/0!</v>
      </c>
      <c r="OZ131" s="138" t="e">
        <f t="shared" ca="1" si="352"/>
        <v>#DIV/0!</v>
      </c>
      <c r="PA131" s="138" t="e">
        <f t="shared" ca="1" si="353"/>
        <v>#DIV/0!</v>
      </c>
      <c r="PB131" s="55">
        <f>IF(Control!$C$61="T", IF(Control!$C$65="F", IF($AH$6-Control!$C$60&lt;0,0,1), IF(365+$AH$6-Control!$C$60&lt;0,0,1)),0)</f>
        <v>0</v>
      </c>
      <c r="PC131" s="55">
        <f ca="1">IF(Control!$C$65="F", IF($AH$6-$HF131&lt;0,0,1), IF(365+$AH$6-$HF131&lt;0,0,1))</f>
        <v>1</v>
      </c>
      <c r="PD131" s="444">
        <f>Control!$C$118</f>
        <v>1500</v>
      </c>
      <c r="PE131" s="180" t="e">
        <f t="shared" ca="1" si="354"/>
        <v>#N/A</v>
      </c>
      <c r="PF131" s="445">
        <f t="shared" ca="1" si="438"/>
        <v>0.71612369323045078</v>
      </c>
      <c r="PT131" s="186"/>
      <c r="PU131" s="186"/>
      <c r="PV131" s="94"/>
      <c r="PW131" s="94"/>
      <c r="PX131" s="94"/>
      <c r="PY131" s="94"/>
      <c r="PZ131" s="94"/>
      <c r="QA131" s="94"/>
      <c r="QB131" s="94"/>
      <c r="QC131" s="94"/>
      <c r="QD131" s="94"/>
      <c r="QE131" s="94"/>
      <c r="QF131" s="94"/>
      <c r="QG131" s="94"/>
      <c r="QH131" s="94"/>
      <c r="QI131" s="94"/>
      <c r="QJ131" s="94"/>
      <c r="QK131" s="94"/>
      <c r="QL131" s="94"/>
      <c r="QM131" s="94"/>
      <c r="QN131" s="94"/>
      <c r="QO131" s="94"/>
      <c r="QP131" s="94"/>
    </row>
    <row r="132" spans="1:458" s="2" customFormat="1" x14ac:dyDescent="0.2">
      <c r="A132" s="395">
        <v>7</v>
      </c>
      <c r="B132" s="396">
        <v>5</v>
      </c>
      <c r="C132" s="387">
        <f ca="1">Weather_data!$B131</f>
        <v>0</v>
      </c>
      <c r="D132" s="388">
        <f ca="1">Weather_data!$F131</f>
        <v>0</v>
      </c>
      <c r="E132" s="388">
        <f ca="1">Weather_data!$E131</f>
        <v>0</v>
      </c>
      <c r="F132" s="388">
        <f t="shared" ca="1" si="355"/>
        <v>0</v>
      </c>
      <c r="G132" s="388">
        <f ca="1">AVERAGE($D132:$E132)+Control!$B$9</f>
        <v>0</v>
      </c>
      <c r="H132" s="388">
        <f ca="1">Weather_data!$G131</f>
        <v>0</v>
      </c>
      <c r="I132" s="388">
        <f ca="1">Weather_data!$I131</f>
        <v>0</v>
      </c>
      <c r="J132" s="388">
        <f ca="1">Weather_data!$H131</f>
        <v>0</v>
      </c>
      <c r="K132" s="389">
        <f ca="1">Weather_data!$D131</f>
        <v>0</v>
      </c>
      <c r="L132" s="388" t="e">
        <f t="shared" ca="1" si="356"/>
        <v>#N/A</v>
      </c>
      <c r="M132" s="388" t="e">
        <f t="shared" ca="1" si="234"/>
        <v>#N/A</v>
      </c>
      <c r="N132" s="388">
        <f t="shared" ca="1" si="235"/>
        <v>-8.5807686652558429E-7</v>
      </c>
      <c r="O132" s="388">
        <f t="shared" ca="1" si="357"/>
        <v>8.5807686652558431E-6</v>
      </c>
      <c r="P132" s="390">
        <v>3</v>
      </c>
      <c r="Q132" s="388">
        <f ca="1">MAX($G132-Control!$C$107,0)</f>
        <v>0</v>
      </c>
      <c r="R132" s="388">
        <f t="shared" ca="1" si="358"/>
        <v>0</v>
      </c>
      <c r="S132" s="388">
        <f t="shared" ca="1" si="236"/>
        <v>0</v>
      </c>
      <c r="T132" s="388">
        <f t="shared" ca="1" si="237"/>
        <v>0</v>
      </c>
      <c r="U132" s="59">
        <f t="shared" ca="1" si="238"/>
        <v>0</v>
      </c>
      <c r="V132" s="391">
        <f ca="1">MAX(0,MIN(Control!$C$100-Control!$C$99,$G132-Control!$C$99)*Control!$C$63)</f>
        <v>0</v>
      </c>
      <c r="W132" s="388">
        <f t="shared" ca="1" si="359"/>
        <v>0</v>
      </c>
      <c r="X132" s="388">
        <f t="shared" ca="1" si="360"/>
        <v>0.6110000000000001</v>
      </c>
      <c r="Y132" s="388">
        <f t="shared" ca="1" si="239"/>
        <v>0</v>
      </c>
      <c r="Z132" s="388">
        <f t="shared" ca="1" si="361"/>
        <v>0.61058800000000002</v>
      </c>
      <c r="AA132" s="388">
        <f t="shared" ca="1" si="240"/>
        <v>0.6018</v>
      </c>
      <c r="AB132" s="388">
        <f ca="1">101.3*EXP(-0.034*Control!$C$66/($G132+273))</f>
        <v>100.69623283836242</v>
      </c>
      <c r="AC132" s="392">
        <f t="shared" ca="1" si="241"/>
        <v>4.3460251046025113E-2</v>
      </c>
      <c r="AD132" s="392">
        <f t="shared" ca="1" si="242"/>
        <v>4.4450382862832649E-2</v>
      </c>
      <c r="AE132" s="388">
        <f t="shared" ca="1" si="243"/>
        <v>0</v>
      </c>
      <c r="AF132" s="388">
        <f ca="1">MAX(0,$G132-Control!$C$92)</f>
        <v>0</v>
      </c>
      <c r="AG132" s="393">
        <f t="shared" ca="1" si="244"/>
        <v>128</v>
      </c>
      <c r="AH132" s="389">
        <f t="shared" ca="1" si="245"/>
        <v>128</v>
      </c>
      <c r="AI132" s="388">
        <f t="shared" ca="1" si="362"/>
        <v>0.29087509627533159</v>
      </c>
      <c r="AJ132" s="388">
        <f ca="1">IF(Control!$C$60&lt;=0,$HH132,$HI132)</f>
        <v>1</v>
      </c>
      <c r="AK132" s="388">
        <f t="shared" ca="1" si="246"/>
        <v>0.82628190340991814</v>
      </c>
      <c r="AL132" s="388">
        <f t="shared" ca="1" si="247"/>
        <v>-1.0820511153752932E-18</v>
      </c>
      <c r="AM132" s="388">
        <f t="shared" ca="1" si="248"/>
        <v>0.82628190340991814</v>
      </c>
      <c r="AN132" s="388">
        <f t="shared" ca="1" si="249"/>
        <v>0.29689126108638558</v>
      </c>
      <c r="AO132" s="388">
        <f ca="1">-0.10453/COS(Control!$B$8*PI()/180)*COS(AN132)</f>
        <v>-0.16235687260451562</v>
      </c>
      <c r="AP132" s="388">
        <f ca="1">ACOS(AO132-TAN(Control!$B$8*PI()/180)*TAN(AN132))</f>
        <v>2.1578779274516178</v>
      </c>
      <c r="AQ132" s="388">
        <f t="shared" ca="1" si="363"/>
        <v>0</v>
      </c>
      <c r="AR132" s="394">
        <f t="shared" ca="1" si="250"/>
        <v>0</v>
      </c>
      <c r="AS132" s="436">
        <f ca="1">IF(Control!$B$18=2,(IF(OR($AH132=Control!$B$175,$AH132=Control!$B$176,$AH132=Control!$B$177,$AH132=Control!$B$178,$AH132=Control!$B$179,$AH132=Control!$B$180,$AH132=Control!$B$181,$AH132=Control!$B$182,$AH132=Control!$B$183,$AH132=Control!$B$184,$AH132=Control!$B$185),1,0)),0)</f>
        <v>0</v>
      </c>
      <c r="AT132" s="436">
        <f>IF(Control!$B$20=8,IF(AND($AH132&gt;=Control!$B$172,$AH132&lt;=Control!$B$173),1,0),0)</f>
        <v>0</v>
      </c>
      <c r="AU132" s="436">
        <f>IF(Control!$B$20=8,IF($AV131=1,1*$AT132,IF($AT132=1,$AU131+1,$AU131)),0)</f>
        <v>0</v>
      </c>
      <c r="AV132" s="436">
        <f>IF(Control!$B$20=8,IF($AU132&gt;=Control!$B$174,1,0),0)</f>
        <v>0</v>
      </c>
      <c r="AW132" s="436">
        <f ca="1">IF(AND(Control!$B$18=2,Control!$B$171=1), $AV132, $AS132)</f>
        <v>0</v>
      </c>
      <c r="AX132" s="436" t="e">
        <f ca="1">IF(AND(Control!$B$18=1,$EU132&gt;=Control!$B$19),-$AY132,IF(AND(Control!$B$18=2,$AW132=1,$EU132&gt;$DS132),-$AY132, IF(Control!$C$108=0,0, IF(Control!$C$108&lt;&gt;0,1))))</f>
        <v>#N/A</v>
      </c>
      <c r="AY132" s="436" t="e">
        <f t="shared" ca="1" si="364"/>
        <v>#N/A</v>
      </c>
      <c r="AZ132" s="436" t="e">
        <f ca="1">IF(AND(Control!$B$18=1,$EB132&gt;Control!$B$19),$AZ131+1, IF(AND(Control!$B$18=2, $AW132=1, $EB132&gt;$DS132), $AZ131+1,$AZ131))</f>
        <v>#N/A</v>
      </c>
      <c r="BA132" s="587">
        <f>IF(Control!$C$81=0,1,IF($AH132&gt;=Control!$C$82,1,0))</f>
        <v>1</v>
      </c>
      <c r="BB132" s="140" t="e">
        <f ca="1">IF($BA132&gt;$BA131,Control!$C$83,IF($AW132&gt;0,$AW132*Control!$C$84,IF(AND(Control!$B$18=1,EN131&lt;&gt;0),Control!$C$84,0)))</f>
        <v>#N/A</v>
      </c>
      <c r="BC132" s="140" t="e">
        <f t="shared" ca="1" si="365"/>
        <v>#N/A</v>
      </c>
      <c r="BD132" s="140" t="e">
        <f ca="1">BC132*IF(OR($G132&lt;Control!$C$92,$G132&gt;Control!$C$95),0,IF(AND($G132&gt;=Control!$C$92,$G132&lt;=Control!$C$93),$G132-Control!$C$92,IF(AND($G132&gt;Control!$C$93,$G132&lt;=Control!$C$94),Control!$C$93-Control!$C$92,IF(AND($G132&gt;Control!$C$94,$G132&lt;=Control!$C$95),(Control!$C$93-Control!$C$92)*(Control!$C$94-$G132)/(Control!$C$95-Control!$C$94)))))</f>
        <v>#N/A</v>
      </c>
      <c r="BE132" s="140" t="e">
        <f t="shared" ca="1" si="366"/>
        <v>#N/A</v>
      </c>
      <c r="BF132" s="140" t="e">
        <f ca="1">IF($BE132&lt;=Control!$C$86,$BE132,Control!$C$86-$BE132)</f>
        <v>#N/A</v>
      </c>
      <c r="BG132" s="140" t="e">
        <f ca="1">IF(AND($AW132=1,Control!$C$84&lt;9),1,IF($BE132&gt;=Control!$C$86,0,$BC132))</f>
        <v>#N/A</v>
      </c>
      <c r="BH132" s="404" t="e">
        <f ca="1">IF($BG132=0,0,IF($BE132&lt;=Control!$C$86,$BC132*9*($BF132/Control!$C$86),0))</f>
        <v>#N/A</v>
      </c>
      <c r="BI132" s="140" t="e">
        <f ca="1">IF($BG132=1,0,IF($BE132&gt;=Control!$C$86,1,IF(AND($BB132&lt;21,$BB132&gt;=9),1,$BM131)))</f>
        <v>#N/A</v>
      </c>
      <c r="BJ132" s="140" t="e">
        <f ca="1">IF($BF132&lt;0,-$BF132,$BI132*IF(OR($G132&lt;Control!$C$92,$G132&gt;Control!$C$95),0,IF(AND($G132&gt;=Control!$C$92,$G132&lt;=Control!$C$93),$G132-Control!$C$92,IF(AND($G132&gt;Control!$C$93,$G132&lt;=Control!$C$94),Control!$C$93-Control!$C$92,IF(AND($G132&gt;Control!$C$94,$G132&lt;=Control!$C$95),(Control!$C$93-Control!$C$92)*(Control!$C$94-$G132)/(Control!$C$95-Control!$C$94))))))</f>
        <v>#N/A</v>
      </c>
      <c r="BK132" s="140" t="e">
        <f t="shared" ca="1" si="367"/>
        <v>#N/A</v>
      </c>
      <c r="BL132" s="140" t="e">
        <f ca="1">IF($BK132&lt;=Control!$C$87,$BK132,Control!$C$87-$BK132)</f>
        <v>#N/A</v>
      </c>
      <c r="BM132" s="140" t="e">
        <f ca="1">IF(AND($BB132&gt;=9,$BB132&lt;21),1,IF($BK132&gt;=Control!$C$87,0,$BI132))</f>
        <v>#N/A</v>
      </c>
      <c r="BN132" s="404" t="e">
        <f ca="1">IF($BM132=0,0,IF($BK132&lt;=Control!$C$87,$BI132*(9+(21-9)*($BL132/Control!$C$87)),0))</f>
        <v>#N/A</v>
      </c>
      <c r="BO132" s="140" t="e">
        <f ca="1">IF($BM132=1,0,IF($BK132&gt;=Control!$C$87,1,IF(AND($BB132&lt;30,$BB132&gt;=21),1,$BS131)))</f>
        <v>#N/A</v>
      </c>
      <c r="BP132" s="140" t="e">
        <f ca="1">IF($BL132&lt;0,-$BL132,$BO132*IF(OR($G132&lt;Control!$C$92,$G132&gt;Control!$C$95),0,IF(AND($G132&gt;=Control!$C$92,$G132&lt;=Control!$C$93),$G132-Control!$C$92,IF(AND($G132&gt;Control!$C$93,$G132&lt;=Control!$C$94),Control!$C$93-Control!$C$92,IF(AND($G132&gt;Control!$C$94,$G132&lt;=Control!$C$95),(Control!$C$93-Control!$C$92)*(Control!$C$94-$G132)/(Control!$C$95-Control!$C$94))))))</f>
        <v>#N/A</v>
      </c>
      <c r="BQ132" s="140" t="e">
        <f t="shared" ca="1" si="251"/>
        <v>#N/A</v>
      </c>
      <c r="BR132" s="140" t="e">
        <f ca="1">IF($BQ132&lt;=Control!$C$88,$BQ132,Control!$C$88-$BQ132)</f>
        <v>#N/A</v>
      </c>
      <c r="BS132" s="140" t="e">
        <f ca="1">IF(AND($BB132&gt;=21,$BB132&lt;30),1,IF($BQ132&gt;=Control!$C$88,0,$BO132))</f>
        <v>#N/A</v>
      </c>
      <c r="BT132" s="404" t="e">
        <f ca="1">IF($BS132=0,0,IF($BQ132&lt;=Control!$C$88,$BO132*(21+(30-21)*(BR132/Control!$C$88)),0))</f>
        <v>#N/A</v>
      </c>
      <c r="BU132" s="140" t="e">
        <f ca="1">IF(BG132+BM132+BS132=1,0,IF(OR(AND($BB132&lt;60,$BB132&gt;=30),$BQ132&gt;=Control!$C$88),1*$BA132,$BY131))</f>
        <v>#N/A</v>
      </c>
      <c r="BV132" s="140" t="e">
        <f ca="1">IF($BR132&lt;0,-$BR132,$BU132*IF(OR($G132&lt;Control!$C$92,$G132&gt;Control!$C$95),0,IF(AND($G132&gt;=Control!$C$92,$G132&lt;=Control!$C$93),$G132-Control!$C$92,IF(AND($G132&gt;Control!$C$93,$G132&lt;=Control!$C$94),Control!$C$93-Control!$C$92,IF(AND($G132&gt;Control!$C$94,$G132&lt;=Control!$C$95),(Control!$C$93-Control!$C$92)*(Control!$C$94-$G132)/(Control!$C$95-Control!$C$94))))))</f>
        <v>#N/A</v>
      </c>
      <c r="BW132" s="140" t="e">
        <f t="shared" ca="1" si="252"/>
        <v>#N/A</v>
      </c>
      <c r="BX132" s="140" t="e">
        <f ca="1">IF($BW132&lt;=Control!$C$89,$BW132,Control!$C$89-$BW132)</f>
        <v>#N/A</v>
      </c>
      <c r="BY132" s="140" t="e">
        <f ca="1">IF(AND($AJ132&gt;=30,$AJ132&lt;60),1,IF($BW132&gt;=Control!$C$89,0,$BU132))</f>
        <v>#N/A</v>
      </c>
      <c r="BZ132" s="404" t="e">
        <f ca="1">IF($BY132=0,0,IF($BW132&lt;=Control!$C$89,$BU132*(30+(60-30)*(BX132/Control!$C$89)),0))</f>
        <v>#N/A</v>
      </c>
      <c r="CA132" s="140" t="e">
        <f ca="1">IF($BG132+$BM132+$BS132+$BY132=1,0,IF(OR(AND($BB132&lt;65,$BB132&gt;=60),$BW132&gt;=Control!$C$89),1*$BA132,$CE131))</f>
        <v>#N/A</v>
      </c>
      <c r="CB132" s="140" t="e">
        <f ca="1">IF($BX132&lt;0,-$BX132,$CA132*IF(OR($G132&lt;Control!$C$92,$G132&gt;Control!$C$95),0,IF(AND($G132&gt;=Control!$C$92,$G132&lt;=Control!$C$93),$G132-Control!$C$92,IF(AND($G132&gt;Control!$C$93,$G132&lt;=Control!$C$94),Control!$C$93-Control!$C$92,IF(AND($G132&gt;Control!$C$94,$G132&lt;=Control!$C$95),(Control!$C$93-Control!$C$92)*(Control!$C$94-$G132)/(Control!$C$95-Control!$C$94))))))</f>
        <v>#N/A</v>
      </c>
      <c r="CC132" s="140" t="e">
        <f t="shared" ca="1" si="368"/>
        <v>#N/A</v>
      </c>
      <c r="CD132" s="140" t="e">
        <f ca="1">IF($CC132&lt;=Control!$C$90,$CC132,Control!$C$90-$CC132)</f>
        <v>#N/A</v>
      </c>
      <c r="CE132" s="140" t="e">
        <f ca="1">IF(AND($BB132&gt;=60,$BB132&lt;65),1,IF($CC132&gt;=Control!$C$90,0,$CA132))</f>
        <v>#N/A</v>
      </c>
      <c r="CF132" s="404" t="e">
        <f ca="1">IF($CE132=0,0,IF($CC132&lt;=Control!$C$90,$CA132*(60+(65-60)*(CD132/Control!$C$90)),0))</f>
        <v>#N/A</v>
      </c>
      <c r="CG132" s="140" t="e">
        <f ca="1">IF($BG132+$BM132+$BS132+$BY132+$CE132=1,0,IF(OR(AND($BB132&lt;90,$BB132&gt;=65),$CC132&gt;=Control!$C$90),$BA132,$CK131))</f>
        <v>#N/A</v>
      </c>
      <c r="CH132" s="140" t="e">
        <f ca="1">IF($CD132&lt;0,-$CD132,$CG132*IF(OR($G132&lt;Control!$C$92,$G132&gt;Control!$C$95),0,IF(AND($G132&gt;=Control!$C$92,$G132&lt;=Control!$C$93),$G132-Control!$C$92,IF(AND($G132&gt;Control!$C$93,$G132&lt;=Control!$C$94),Control!$C$93-Control!$C$92,IF(AND($G132&gt;Control!$C$94,$G132&lt;=Control!$C$95),(Control!$C$93-Control!$C$92)*(Control!$C$94-$G132)/(Control!$C$95-Control!$C$94))))))</f>
        <v>#N/A</v>
      </c>
      <c r="CI132" s="140" t="e">
        <f t="shared" ca="1" si="369"/>
        <v>#N/A</v>
      </c>
      <c r="CJ132" s="140" t="e">
        <f ca="1">IF($CI132&lt;=Control!$C$91,$CI132,Control!$C$91-$CI132)</f>
        <v>#N/A</v>
      </c>
      <c r="CK132" s="140" t="e">
        <f ca="1">IF(AND($BB132&gt;=65,$BB132&lt;90),1,IF($CI132&gt;=Control!$C$91,0,$CG132))</f>
        <v>#N/A</v>
      </c>
      <c r="CL132" s="404" t="e">
        <f ca="1">IF($CK132=0,0,IF($CI132&lt;=Control!$C$91,$CG132*(65+(90-65)*($CJ132/Control!$C$91)),0))</f>
        <v>#N/A</v>
      </c>
      <c r="CM132" s="140" t="e">
        <f ca="1">IF($BG132+$BM132+$BS132+$BY132+$CE132+$CK132=1,0,IF(OR($BB132&gt;=90,$CI132&gt;=Control!$C$91),$BA132,$CM131))</f>
        <v>#N/A</v>
      </c>
      <c r="CN132" s="140" t="e">
        <f t="shared" ca="1" si="370"/>
        <v>#N/A</v>
      </c>
      <c r="CO132" s="140" t="e">
        <f t="shared" ca="1" si="371"/>
        <v>#N/A</v>
      </c>
      <c r="CP132" s="140" t="e">
        <f t="shared" ca="1" si="372"/>
        <v>#N/A</v>
      </c>
      <c r="CQ132" s="141" t="e">
        <f ca="1">VLOOKUP($CP132,Control!$B$86:$G$91,6)</f>
        <v>#N/A</v>
      </c>
      <c r="CR132" s="141" t="e">
        <f ca="1">(1-$CQ132)*VLOOKUP($CP132,Control!$B$86:$D$91,3)</f>
        <v>#N/A</v>
      </c>
      <c r="CS132" s="141" t="e">
        <f ca="1">(1-$CQ132)*VLOOKUP($CP132,Control!$B$86:$E$91,4)</f>
        <v>#N/A</v>
      </c>
      <c r="CT132" s="141" t="e">
        <f ca="1">(1-$CQ132)*VLOOKUP($CP132,Control!$B$86:$F$91,5)</f>
        <v>#N/A</v>
      </c>
      <c r="CU132" s="141">
        <f t="shared" ca="1" si="373"/>
        <v>0</v>
      </c>
      <c r="CV132" s="583">
        <f t="shared" ca="1" si="374"/>
        <v>0</v>
      </c>
      <c r="CW132" s="142">
        <f t="shared" ca="1" si="375"/>
        <v>128</v>
      </c>
      <c r="CX132" s="612" t="e">
        <f ca="1">IF(Control!$C$114=1,(MIN(Control!$C$120*(IF($NT132-0.01&lt;0,0,1)),Control!$C$119-$CY132)))</f>
        <v>#DIV/0!</v>
      </c>
      <c r="CY132" s="143" t="e">
        <f t="shared" ca="1" si="376"/>
        <v>#N/A</v>
      </c>
      <c r="CZ132" s="144">
        <f t="shared" ca="1" si="253"/>
        <v>0</v>
      </c>
      <c r="DA132" s="144">
        <f t="shared" ca="1" si="254"/>
        <v>0</v>
      </c>
      <c r="DB132" s="144" t="e">
        <f t="shared" ca="1" si="255"/>
        <v>#N/A</v>
      </c>
      <c r="DC132" s="144" t="e">
        <f t="shared" ca="1" si="256"/>
        <v>#N/A</v>
      </c>
      <c r="DD132" s="144" t="e">
        <f t="shared" ca="1" si="461"/>
        <v>#N/A</v>
      </c>
      <c r="DE132" s="143" t="e">
        <f t="shared" ca="1" si="377"/>
        <v>#N/A</v>
      </c>
      <c r="DF132" s="145" t="e">
        <f ca="1">$DR132*EXP(-Control!$C$158*(1-$KH132))</f>
        <v>#N/A</v>
      </c>
      <c r="DG132" s="146" t="e">
        <f ca="1">IF(Control!$C$114=1, $DF132*$EY132, 0)</f>
        <v>#N/A</v>
      </c>
      <c r="DH132" s="147" t="e">
        <f t="shared" ca="1" si="378"/>
        <v>#N/A</v>
      </c>
      <c r="DI132" s="144" t="e">
        <f t="shared" ca="1" si="439"/>
        <v>#N/A</v>
      </c>
      <c r="DJ132" s="147" t="e">
        <f ca="1">$EF132*Control!$C$109</f>
        <v>#N/A</v>
      </c>
      <c r="DK132" s="144" t="e">
        <f t="shared" ca="1" si="379"/>
        <v>#N/A</v>
      </c>
      <c r="DL132" s="144" t="e">
        <f t="shared" ca="1" si="257"/>
        <v>#N/A</v>
      </c>
      <c r="DM132" s="144" t="e">
        <f ca="1">IF(Control!$C$114=1, (1-EXP(-Control!$C$96*$DK132))*$AR132, 0)</f>
        <v>#N/A</v>
      </c>
      <c r="DN132" s="144">
        <f t="shared" ca="1" si="380"/>
        <v>0</v>
      </c>
      <c r="DO132" s="148">
        <f>Control!$C$97</f>
        <v>4</v>
      </c>
      <c r="DP132" s="145" t="e">
        <f t="shared" ca="1" si="381"/>
        <v>#N/A</v>
      </c>
      <c r="DQ132" s="145" t="e">
        <f ca="1">IF(AND($CP132&gt;=0,$CP132&lt;=90),Control!$C$111,Control!$C$111)</f>
        <v>#N/A</v>
      </c>
      <c r="DR132" s="145" t="e">
        <f t="shared" ca="1" si="258"/>
        <v>#N/A</v>
      </c>
      <c r="DS132" s="143" t="e">
        <f ca="1">Control!$B$22/$DR132</f>
        <v>#N/A</v>
      </c>
      <c r="DT132" s="149" t="e">
        <f ca="1">IF(AND(Control!$C$114=1,$KH132&lt;1),$IM132*$DF132, 0)</f>
        <v>#N/A</v>
      </c>
      <c r="DU132" s="144" t="e">
        <f t="shared" ca="1" si="382"/>
        <v>#N/A</v>
      </c>
      <c r="DV132" s="144">
        <f ca="1">IF($G132-Control!$C$107&lt;=0, 0, 0.83*LN(MAX($G132, 3))-0.8924)</f>
        <v>0</v>
      </c>
      <c r="DW132" s="144" t="e">
        <f t="shared" ca="1" si="259"/>
        <v>#N/A</v>
      </c>
      <c r="DX132" s="150" t="e">
        <f ca="1">MAX(0.01*(1+$CU132/Control!$C$102),0.05*($DK132-Control!$C$97)/Control!$C$97)</f>
        <v>#N/A</v>
      </c>
      <c r="DY132" s="151" t="e">
        <f ca="1">IF(Control!$C$114=1, $DI132*$FS132, 0)</f>
        <v>#N/A</v>
      </c>
      <c r="DZ132" s="196" t="e">
        <f t="shared" ca="1" si="383"/>
        <v>#N/A</v>
      </c>
      <c r="EA132" s="152">
        <f t="shared" ca="1" si="384"/>
        <v>128</v>
      </c>
      <c r="EB132" s="153" t="e">
        <f t="shared" ca="1" si="385"/>
        <v>#N/A</v>
      </c>
      <c r="EC132" s="153" t="e">
        <f t="shared" ca="1" si="386"/>
        <v>#N/A</v>
      </c>
      <c r="ED132" s="154" t="e">
        <f ca="1">IF(Control!$C$114=1, $HM132*$FY132-$FD132, 0)</f>
        <v>#DIV/0!</v>
      </c>
      <c r="EE132" s="155" t="e">
        <f ca="1">IF(Control!$C$114=1, $HM132*$FZ132-$FF132, 0)</f>
        <v>#DIV/0!</v>
      </c>
      <c r="EF132" s="153" t="e">
        <f t="shared" ca="1" si="440"/>
        <v>#N/A</v>
      </c>
      <c r="EG132" s="155" t="e">
        <f ca="1">IF(Control!$C$114=1, $GX132*$FW132-$FI132, 0)</f>
        <v>#DIV/0!</v>
      </c>
      <c r="EH132" s="153" t="e">
        <f t="shared" ca="1" si="387"/>
        <v>#N/A</v>
      </c>
      <c r="EI132" s="156" t="e">
        <f t="shared" ca="1" si="388"/>
        <v>#N/A</v>
      </c>
      <c r="EJ132" s="155" t="e">
        <f ca="1">IF(Control!$C$114=1, $HM132*$GB132, 0)</f>
        <v>#DIV/0!</v>
      </c>
      <c r="EK132" s="153" t="e">
        <f t="shared" ca="1" si="441"/>
        <v>#N/A</v>
      </c>
      <c r="EL132" s="153" t="e">
        <f t="shared" ca="1" si="260"/>
        <v>#N/A</v>
      </c>
      <c r="EM132" s="153" t="e">
        <f t="shared" ca="1" si="261"/>
        <v>#N/A</v>
      </c>
      <c r="EN132" s="153" t="e">
        <f ca="1">IF(Control!$C$108=1,IF(AND(Control!$B$18=1,$EB132&gt;=Control!$B$19),$EB132-$DS132,IF(AND(Control!$B$18=2,$AW132=1,$EB132&gt;$DS132),$EB132-$DS132,0)))</f>
        <v>#N/A</v>
      </c>
      <c r="EO132" s="153" t="e">
        <f ca="1">IF(Control!$C$108=1,IF(AND(Control!$B$18=1,$EB132&gt;=Control!$B$19),$EF132,IF(AND(Control!$B$18=2,$AW132=1),$EF132,0)))</f>
        <v>#N/A</v>
      </c>
      <c r="EP132" s="153" t="e">
        <f ca="1">IF(Control!$C$108=1,IF(AND(Control!$B$18=1,$EB132&gt;=Control!$B$19),$EK132,IF(AND(Control!$B$18=2,$AW132=1),$EK132,0)))</f>
        <v>#N/A</v>
      </c>
      <c r="EQ132" s="153" t="e">
        <f t="shared" ca="1" si="389"/>
        <v>#N/A</v>
      </c>
      <c r="ER132" s="153" t="e">
        <f t="shared" ca="1" si="390"/>
        <v>#N/A</v>
      </c>
      <c r="ES132" s="153" t="e">
        <f t="shared" ca="1" si="442"/>
        <v>#N/A</v>
      </c>
      <c r="ET132" s="153" t="e">
        <f t="shared" ca="1" si="443"/>
        <v>#N/A</v>
      </c>
      <c r="EU132" s="153" t="e">
        <f t="shared" ca="1" si="391"/>
        <v>#N/A</v>
      </c>
      <c r="EV132" s="153" t="e">
        <f t="shared" ca="1" si="262"/>
        <v>#N/A</v>
      </c>
      <c r="EW132" s="153" t="e">
        <f t="shared" ca="1" si="263"/>
        <v>#N/A</v>
      </c>
      <c r="EX132" s="153" t="e">
        <f t="shared" ca="1" si="264"/>
        <v>#N/A</v>
      </c>
      <c r="EY132" s="157" t="e">
        <f t="shared" ca="1" si="265"/>
        <v>#DIV/0!</v>
      </c>
      <c r="EZ132" s="154" t="e">
        <f t="shared" ca="1" si="266"/>
        <v>#DIV/0!</v>
      </c>
      <c r="FA132" s="153" t="e">
        <f t="shared" ca="1" si="392"/>
        <v>#N/A</v>
      </c>
      <c r="FB132" s="153" t="e">
        <f t="shared" ca="1" si="267"/>
        <v>#N/A</v>
      </c>
      <c r="FC132" s="193" t="e">
        <f t="shared" ca="1" si="268"/>
        <v>#N/A</v>
      </c>
      <c r="FD132" s="158" t="e">
        <f t="shared" ca="1" si="393"/>
        <v>#N/A</v>
      </c>
      <c r="FE132" s="158" t="e">
        <f t="shared" ca="1" si="394"/>
        <v>#N/A</v>
      </c>
      <c r="FF132" s="159" t="e">
        <f t="shared" ca="1" si="269"/>
        <v>#N/A</v>
      </c>
      <c r="FG132" s="160" t="e">
        <f t="shared" ca="1" si="395"/>
        <v>#N/A</v>
      </c>
      <c r="FH132" s="158" t="e">
        <f t="shared" ca="1" si="396"/>
        <v>#N/A</v>
      </c>
      <c r="FI132" s="159" t="e">
        <f t="shared" ca="1" si="270"/>
        <v>#N/A</v>
      </c>
      <c r="FJ132" s="160" t="e">
        <f t="shared" ca="1" si="397"/>
        <v>#N/A</v>
      </c>
      <c r="FK132" s="160" t="e">
        <f t="shared" ca="1" si="271"/>
        <v>#N/A</v>
      </c>
      <c r="FL132" s="160" t="e">
        <f t="shared" ca="1" si="444"/>
        <v>#N/A</v>
      </c>
      <c r="FM132" s="160" t="e">
        <f t="shared" ca="1" si="272"/>
        <v>#N/A</v>
      </c>
      <c r="FN132" s="158">
        <f t="shared" ca="1" si="398"/>
        <v>0.01</v>
      </c>
      <c r="FO132" s="160">
        <f>Control!$C$101</f>
        <v>50</v>
      </c>
      <c r="FP132" s="150" t="e">
        <f t="shared" ca="1" si="273"/>
        <v>#N/A</v>
      </c>
      <c r="FQ132" s="150" t="e">
        <f ca="1">MAX(0,(Control!$C$112*(($DK132-Control!$C$97)/Control!$C$97)))</f>
        <v>#N/A</v>
      </c>
      <c r="FR132" s="150" t="e">
        <f ca="1">(1-$NT132)*Control!$C$113</f>
        <v>#DIV/0!</v>
      </c>
      <c r="FS132" s="198" t="e">
        <f t="shared" ca="1" si="274"/>
        <v>#N/A</v>
      </c>
      <c r="FT132" s="161">
        <f t="shared" ca="1" si="399"/>
        <v>128</v>
      </c>
      <c r="FU132" s="162" t="e">
        <f ca="1">IF(Control!$B$34=1,VLOOKUP($CP132,Control!$B$86:$G$91,6),Control!$B$35)</f>
        <v>#N/A</v>
      </c>
      <c r="FV132" s="162" t="e">
        <f t="shared" ca="1" si="275"/>
        <v>#DIV/0!</v>
      </c>
      <c r="FW132" s="162" t="e">
        <f ca="1">IF(Control!$B$31=1,$FU132*$FV132,  $FU132)</f>
        <v>#N/A</v>
      </c>
      <c r="FX132" s="162" t="e">
        <f ca="1">IF(Control!$B$34=1,VLOOKUP($CP132,Control!$B$86:$G$91,3),Control!$B$36)</f>
        <v>#N/A</v>
      </c>
      <c r="FY132" s="162" t="e">
        <f t="shared" ca="1" si="276"/>
        <v>#N/A</v>
      </c>
      <c r="FZ132" s="162" t="e">
        <f ca="1">IF(Control!$B$34=1,VLOOKUP($CP132,Control!$B$86:$G$91,4),Control!$B$37)</f>
        <v>#N/A</v>
      </c>
      <c r="GA132" s="162" t="e">
        <f t="shared" ca="1" si="277"/>
        <v>#N/A</v>
      </c>
      <c r="GB132" s="162" t="e">
        <f ca="1">IF(Control!$B$34=1,VLOOKUP($CP132,Control!$B$86:$G$91,5),Control!$B$38)</f>
        <v>#N/A</v>
      </c>
      <c r="GC132" s="162" t="e">
        <f t="shared" ca="1" si="400"/>
        <v>#N/A</v>
      </c>
      <c r="GD132" s="162">
        <f t="shared" ca="1" si="278"/>
        <v>1</v>
      </c>
      <c r="GE132" s="162">
        <f t="shared" ca="1" si="279"/>
        <v>1</v>
      </c>
      <c r="GF132" s="162">
        <f ca="1">IF(AND(Control!$C$104=1, Control!$C$62="F"),$GE132,1)</f>
        <v>1</v>
      </c>
      <c r="GG132" s="162" t="e">
        <f ca="1">IF(Control!$B$16=40,0,IF(AND(Control!$B$16&gt;40,Control!$B$16&lt;=360),(Control!$B$16-40)*((1-0)/(360-40)),IF(AND(Control!$B$16&gt;360,Control!$B$16&lt;=720),(1+(Control!$B$16-360)*((1.25-1)/(720-360))),IF(AND(Control!$B$16&gt;720,Control!$B$16&lt;=1000),(1.25+(Control!$B$16-720)*((1.35-1.25)/(1000-720))),IF(AND(Control!$B$16&gt;1000,Control!$B$16&lt;=2000),(1.35+(Control!$B$16-1000)*0))))))</f>
        <v>#N/A</v>
      </c>
      <c r="GH132" s="162" t="e">
        <f t="shared" ca="1" si="280"/>
        <v>#N/A</v>
      </c>
      <c r="GI132" s="162">
        <f t="shared" ca="1" si="401"/>
        <v>0</v>
      </c>
      <c r="GJ132" s="162">
        <f t="shared" ca="1" si="281"/>
        <v>0</v>
      </c>
      <c r="GK132" s="162">
        <f t="shared" ca="1" si="402"/>
        <v>1</v>
      </c>
      <c r="GL132" s="162">
        <f t="shared" ca="1" si="282"/>
        <v>1</v>
      </c>
      <c r="GM132" s="162" t="e">
        <f ca="1">MAX(0,MIN(1,1-Control!$C$156*(1.0001-$KH132)^2))</f>
        <v>#N/A</v>
      </c>
      <c r="GN132" s="162" t="e">
        <f ca="1">IF(Control!$B$26=1,$KU132,$KX132)</f>
        <v>#N/A</v>
      </c>
      <c r="GO132" s="162" t="e">
        <f ca="1">IF($CP132&lt;=60,Control!$C$105,IF($CP132&gt;=90,Control!$C$106,Control!$C$105+($CP132-60)*((Control!$C$106-Control!$C$105)/(90-60))))</f>
        <v>#N/A</v>
      </c>
      <c r="GP132" s="162" t="e">
        <f t="shared" ca="1" si="283"/>
        <v>#N/A</v>
      </c>
      <c r="GQ132" s="162" t="e">
        <f t="shared" ca="1" si="403"/>
        <v>#N/A</v>
      </c>
      <c r="GR132" s="163" t="e">
        <f t="shared" ca="1" si="284"/>
        <v>#DIV/0!</v>
      </c>
      <c r="GS132" s="162" t="e">
        <f t="shared" ca="1" si="285"/>
        <v>#DIV/0!</v>
      </c>
      <c r="GT132" s="164" t="e">
        <f t="shared" ca="1" si="404"/>
        <v>#N/A</v>
      </c>
      <c r="GU132" s="162" t="e">
        <f t="shared" ca="1" si="405"/>
        <v>#N/A</v>
      </c>
      <c r="GV132" s="162" t="e">
        <f t="shared" ca="1" si="286"/>
        <v>#N/A</v>
      </c>
      <c r="GW132" s="162" t="e">
        <f t="shared" ca="1" si="287"/>
        <v>#DIV/0!</v>
      </c>
      <c r="GX132" s="162" t="e">
        <f t="shared" ca="1" si="406"/>
        <v>#DIV/0!</v>
      </c>
      <c r="GY132" s="162" t="e">
        <f t="shared" ca="1" si="407"/>
        <v>#DIV/0!</v>
      </c>
      <c r="GZ132" s="165" t="e">
        <f t="shared" ca="1" si="288"/>
        <v>#N/A</v>
      </c>
      <c r="HA132" s="162" t="e">
        <f ca="1">IF(Control!$C$114=1, $DI132*$FS132, 0)</f>
        <v>#N/A</v>
      </c>
      <c r="HB132" s="162" t="e">
        <f ca="1">$FA132/Control!$C$64</f>
        <v>#N/A</v>
      </c>
      <c r="HC132" s="162" t="e">
        <f t="shared" ca="1" si="289"/>
        <v>#DIV/0!</v>
      </c>
      <c r="HD132" s="162">
        <f ca="1">-ASIN(SIN(23.45*Control!$C$139)*COS(2*Control!$C$138*($AH132+10)/365))</f>
        <v>0.29087509627533159</v>
      </c>
      <c r="HE132" s="165">
        <f t="shared" ca="1" si="408"/>
        <v>0</v>
      </c>
      <c r="HF132" s="166">
        <f ca="1">IF(AND(Control!$C$61="T",$HE132&gt;=Control!$C$103,Control!$C$114=0),$AH132,Control!$C$59)</f>
        <v>1</v>
      </c>
      <c r="HG132" s="166">
        <f ca="1">IF(AND(Control!$C$61="T",$HE132&gt;=Control!$C$103,Control!$C$114=0),$HF132,Control!$C$59)</f>
        <v>1</v>
      </c>
      <c r="HH132" s="165">
        <f ca="1">IF(AND(OR(Control!$C$60&lt;=0, $AH132= Control!$C$59, Control!$C$60 &gt;0, $AH132 = Control!$C$60)), Control!$C$59, IF(Control!$C$60&gt;0, 0))</f>
        <v>1</v>
      </c>
      <c r="HI132" s="165">
        <f ca="1">IF(AND(OR(Control!$C$60&lt;=0, $AH132= Control!$C$59, Control!$C$60 &gt;0, $AH132 = Control!$C$60)), Control!$C$60, IF(Control!$C$60&lt;=0, 0))</f>
        <v>0</v>
      </c>
      <c r="HJ132" s="166">
        <f ca="1">IF(AND(Control!$C$62="F",$CV132&gt;=Control!$C$102),$AH132,0)</f>
        <v>0</v>
      </c>
      <c r="HK132" s="165" t="e">
        <f t="shared" ca="1" si="445"/>
        <v>#N/A</v>
      </c>
      <c r="HL132" s="166">
        <f ca="1">IF(AND(Control!$C$61="T",$HE132&gt;=Control!$C$103,Control!$C$114=0),$HF132,0)</f>
        <v>0</v>
      </c>
      <c r="HM132" s="201" t="e">
        <f t="shared" ca="1" si="290"/>
        <v>#DIV/0!</v>
      </c>
      <c r="HN132" s="215">
        <f t="shared" ca="1" si="409"/>
        <v>128</v>
      </c>
      <c r="HO132" s="216" t="e">
        <f ca="1">IF(AND($CP132&gt;=0, $CP132&lt;=90), Control!$C$152, Control!$C$152)</f>
        <v>#N/A</v>
      </c>
      <c r="HP132" s="216" t="e">
        <f t="shared" ca="1" si="291"/>
        <v>#N/A</v>
      </c>
      <c r="HQ132" s="217" t="e">
        <f ca="1">IF(OR(Control!$B$26=1,Control!$B$26=2),$KV132,$KS132)</f>
        <v>#DIV/0!</v>
      </c>
      <c r="HR132" s="218" t="e">
        <f t="shared" ca="1" si="446"/>
        <v>#DIV/0!</v>
      </c>
      <c r="HS132" s="216" t="e">
        <f ca="1">Control!$C$154*$HP132</f>
        <v>#N/A</v>
      </c>
      <c r="HT132" s="216" t="e">
        <f ca="1">Control!$C$155*$HP132</f>
        <v>#N/A</v>
      </c>
      <c r="HU132" s="217" t="e">
        <f ca="1">Control!$C$161*$FI132</f>
        <v>#N/A</v>
      </c>
      <c r="HV132" s="218" t="e">
        <f t="shared" ca="1" si="410"/>
        <v>#N/A</v>
      </c>
      <c r="HW132" s="218" t="e">
        <f ca="1">Control!$C$160*$FF132+$IP132*$EO132</f>
        <v>#N/A</v>
      </c>
      <c r="HX132" s="218" t="e">
        <f t="shared" ca="1" si="447"/>
        <v>#N/A</v>
      </c>
      <c r="HY132" s="219" t="e">
        <f ca="1">IF(Control!$C$114=1, $EB132*$FS132, 0)</f>
        <v>#N/A</v>
      </c>
      <c r="HZ132" s="91" t="e">
        <f t="shared" ca="1" si="292"/>
        <v>#N/A</v>
      </c>
      <c r="IA132" s="220" t="e">
        <f ca="1">Control!$C$153*$HO132</f>
        <v>#N/A</v>
      </c>
      <c r="IB132" s="218" t="e">
        <f t="shared" ca="1" si="293"/>
        <v>#N/A</v>
      </c>
      <c r="IC132" s="220" t="e">
        <f ca="1">Control!$C$153*$HT132</f>
        <v>#N/A</v>
      </c>
      <c r="ID132" s="218" t="e">
        <f t="shared" ca="1" si="294"/>
        <v>#N/A</v>
      </c>
      <c r="IE132" s="221" t="e">
        <f ca="1">($EB132*Control!$C$159+$EF132*Control!$C$160)/(IF($GZ132&lt;&gt;0,$GZ132,1))</f>
        <v>#N/A</v>
      </c>
      <c r="IF132" s="216" t="e">
        <f t="shared" ca="1" si="295"/>
        <v>#N/A</v>
      </c>
      <c r="IG132" s="91">
        <f ca="1">IF(OR(Control!$B$198=$AH132,Control!$B$199=$AH132, Control!$B$200=$AH132, Control!$B$201=$AH132, Control!$B$202=$AH132, Control!$B$203=$AH132, Control!$B$204=$AH132, Control!$B$205=$AH132, Control!$B$206=$AH132, Control!$B$207=$AH132), 1, 0)</f>
        <v>0</v>
      </c>
      <c r="IH132" s="91">
        <f ca="1">IF($IG132=0,0, VLOOKUP($AH132,Control!$B$198:$C$207,2))</f>
        <v>0</v>
      </c>
      <c r="II132" s="222">
        <f t="shared" ca="1" si="411"/>
        <v>0</v>
      </c>
      <c r="IJ132" s="91">
        <f>Control!$C$121</f>
        <v>0.7</v>
      </c>
      <c r="IK132" s="218">
        <f t="shared" ca="1" si="296"/>
        <v>0</v>
      </c>
      <c r="IL132" s="217" t="e">
        <f t="shared" ca="1" si="448"/>
        <v>#N/A</v>
      </c>
      <c r="IM132" s="223" t="e">
        <f ca="1">IF(AND(Control!$C$114=1,$KH132&lt;1),$EB132*Control!$C$148*(1-$KH132), 0)</f>
        <v>#N/A</v>
      </c>
      <c r="IN132" s="217" t="e">
        <f t="shared" ca="1" si="297"/>
        <v>#DIV/0!</v>
      </c>
      <c r="IO132" s="91" t="e">
        <f ca="1">MAX(0,$IL132-$EF132*Control!$C$160)</f>
        <v>#N/A</v>
      </c>
      <c r="IP132" s="220" t="e">
        <f t="shared" ca="1" si="298"/>
        <v>#N/A</v>
      </c>
      <c r="IQ132" s="217" t="e">
        <f t="shared" ca="1" si="412"/>
        <v>#N/A</v>
      </c>
      <c r="IR132" s="218" t="e">
        <f t="shared" ca="1" si="299"/>
        <v>#N/A</v>
      </c>
      <c r="IS132" s="217" t="e">
        <f ca="1">Control!$C$159*MAX(0,$FD132-$EN132)</f>
        <v>#N/A</v>
      </c>
      <c r="IT132" s="217" t="e">
        <f t="shared" ca="1" si="449"/>
        <v>#N/A</v>
      </c>
      <c r="IU132" s="217" t="e">
        <f t="shared" ca="1" si="413"/>
        <v>#N/A</v>
      </c>
      <c r="IV132" s="217" t="e">
        <f t="shared" ca="1" si="450"/>
        <v>#N/A</v>
      </c>
      <c r="IW132" s="217" t="e">
        <f ca="1">IF(OR($AW132=1,AND($AW132=0, Control!$B$18=1,$EN132&lt;&gt;0)), $IQ132-$IU132, $IQ132)</f>
        <v>#N/A</v>
      </c>
      <c r="IX132" s="218" t="e">
        <f t="shared" ca="1" si="300"/>
        <v>#N/A</v>
      </c>
      <c r="IY132" s="218" t="e">
        <f ca="1">MAX(0,$IQ132-$EB132*Control!$C$159)</f>
        <v>#N/A</v>
      </c>
      <c r="IZ132" s="218" t="e">
        <f t="shared" ca="1" si="301"/>
        <v>#N/A</v>
      </c>
      <c r="JA132" s="216" t="e">
        <f t="shared" ca="1" si="302"/>
        <v>#N/A</v>
      </c>
      <c r="JB132" s="217" t="e">
        <f t="shared" ca="1" si="303"/>
        <v>#N/A</v>
      </c>
      <c r="JC132" s="222" t="e">
        <f ca="1">MAX(Control!$C$157*$EK132-$JT132, 0)/Control!$C$162</f>
        <v>#N/A</v>
      </c>
      <c r="JD132" s="218" t="e">
        <f t="shared" ca="1" si="304"/>
        <v>#N/A</v>
      </c>
      <c r="JE132" s="218" t="e">
        <f t="shared" ca="1" si="305"/>
        <v>#N/A</v>
      </c>
      <c r="JF132" s="218" t="e">
        <f t="shared" ca="1" si="414"/>
        <v>#N/A</v>
      </c>
      <c r="JG132" s="218" t="e">
        <f t="shared" ca="1" si="306"/>
        <v>#N/A</v>
      </c>
      <c r="JH132" s="217" t="e">
        <f t="shared" ca="1" si="415"/>
        <v>#N/A</v>
      </c>
      <c r="JI132" s="217" t="e">
        <f t="shared" ca="1" si="416"/>
        <v>#N/A</v>
      </c>
      <c r="JJ132" s="217" t="e">
        <f t="shared" ca="1" si="451"/>
        <v>#N/A</v>
      </c>
      <c r="JK132" s="217" t="e">
        <f ca="1">IF(Control!$C$114=1,IF(Control!$B$24=0,MAX(0,$JI132)*$GN132/Control!$C$64,(MAX(0,MIN($JI132,$JJ132*$GN132/Control!$C$64),0))))</f>
        <v>#N/A</v>
      </c>
      <c r="JL132" s="217" t="e">
        <f ca="1">$IK132/Control!$C$64-$JK132+$HQ132</f>
        <v>#N/A</v>
      </c>
      <c r="JM132" s="217" t="e">
        <f ca="1">IF(Control!$C$114=1,($JB132/(IF($JI132&lt;&gt;0,$JI132,1)))*$JK132,0)</f>
        <v>#N/A</v>
      </c>
      <c r="JN132" s="217" t="e">
        <f ca="1">IF(Control!$C$114=1,($JG132/(IF($JI132&lt;&gt;0,$JI132,1)))*$JK132, 0)</f>
        <v>#N/A</v>
      </c>
      <c r="JO132" s="218" t="e">
        <f t="shared" ca="1" si="307"/>
        <v>#N/A</v>
      </c>
      <c r="JP132" s="218" t="e">
        <f ca="1">MIN(($IY132+$IO132)*Control!$C$151, $JF132-$EH132*Control!$C$161)</f>
        <v>#N/A</v>
      </c>
      <c r="JQ132" s="218" t="e">
        <f t="shared" ca="1" si="308"/>
        <v>#N/A</v>
      </c>
      <c r="JR132" s="217" t="e">
        <f ca="1">IF($CP132-Control!$C$150&lt;0, 0, $JQ132/Control!$C$162)</f>
        <v>#N/A</v>
      </c>
      <c r="JS132" s="218" t="e">
        <f t="shared" ca="1" si="309"/>
        <v>#N/A</v>
      </c>
      <c r="JT132" s="218" t="e">
        <f t="shared" ca="1" si="417"/>
        <v>#N/A</v>
      </c>
      <c r="JU132" s="218" t="e">
        <f t="shared" ca="1" si="310"/>
        <v>#N/A</v>
      </c>
      <c r="JV132" s="218" t="e">
        <f t="shared" ca="1" si="311"/>
        <v>#N/A</v>
      </c>
      <c r="JW132" s="216" t="e">
        <f t="shared" ca="1" si="312"/>
        <v>#N/A</v>
      </c>
      <c r="JX132" s="91" t="e">
        <f t="shared" ca="1" si="313"/>
        <v>#N/A</v>
      </c>
      <c r="JY132" s="218" t="e">
        <f t="shared" ca="1" si="314"/>
        <v>#N/A</v>
      </c>
      <c r="JZ132" s="217" t="e">
        <f ca="1">IF(Control!$C$114=1,($IZ132/(IF($JI132&lt;&gt;0,$JI132,1)))*$JK132, 0)</f>
        <v>#N/A</v>
      </c>
      <c r="KA132" s="218" t="e">
        <f t="shared" ca="1" si="452"/>
        <v>#N/A</v>
      </c>
      <c r="KB132" s="218" t="e">
        <f t="shared" ca="1" si="418"/>
        <v>#N/A</v>
      </c>
      <c r="KC132" s="218" t="e">
        <f t="shared" ca="1" si="315"/>
        <v>#N/A</v>
      </c>
      <c r="KD132" s="218" t="e">
        <f t="shared" ca="1" si="316"/>
        <v>#N/A</v>
      </c>
      <c r="KE132" s="218" t="e">
        <f t="shared" ca="1" si="317"/>
        <v>#N/A</v>
      </c>
      <c r="KF132" s="218" t="e">
        <f t="shared" ca="1" si="318"/>
        <v>#N/A</v>
      </c>
      <c r="KG132" s="216" t="e">
        <f t="shared" ca="1" si="319"/>
        <v>#N/A</v>
      </c>
      <c r="KH132" s="221" t="e">
        <f ca="1">IF(Control!$B$24=0,1,MAX(0.001,MIN(1,IF(($IF132-$IE132)&lt;&gt;0,($KG132-$IE132)/($IF132-$IE132),1))))</f>
        <v>#N/A</v>
      </c>
      <c r="KI132" s="222" t="e">
        <f ca="1">IF(Control!$C$114=1, $KI131+ $KH131, 0)</f>
        <v>#N/A</v>
      </c>
      <c r="KJ132" s="217" t="e">
        <f t="shared" ca="1" si="320"/>
        <v>#N/A</v>
      </c>
      <c r="KK132" s="218" t="e">
        <f t="shared" ca="1" si="321"/>
        <v>#N/A</v>
      </c>
      <c r="KL132" s="274" t="e">
        <f ca="1">IF(Control!$B$26=3,4000000000*EXP(-8400/($G132+273)),IF(Control!$B$26=4,4000000000*EXP(-8400/($G132+273))*($KT132),0))</f>
        <v>#DIV/0!</v>
      </c>
      <c r="KM132" s="274" t="e">
        <f ca="1">IF(Control!$B$26=3,5600000000000*EXP(-9800/($G132+273)),IF(Control!$B$26=4,5600000000000*EXP(-9800/($G132+273))*$KT132,0))</f>
        <v>#DIV/0!</v>
      </c>
      <c r="KN132" s="454" t="e">
        <f t="shared" ca="1" si="419"/>
        <v>#DIV/0!</v>
      </c>
      <c r="KO132" s="274" t="e">
        <f t="shared" ca="1" si="420"/>
        <v>#DIV/0!</v>
      </c>
      <c r="KP132" s="454" t="e">
        <f t="shared" ca="1" si="322"/>
        <v>#DIV/0!</v>
      </c>
      <c r="KQ132" s="454" t="e">
        <f t="shared" ca="1" si="323"/>
        <v>#DIV/0!</v>
      </c>
      <c r="KR132" s="454" t="e">
        <f t="shared" ca="1" si="324"/>
        <v>#DIV/0!</v>
      </c>
      <c r="KS132" s="454" t="e">
        <f t="shared" ca="1" si="325"/>
        <v>#DIV/0!</v>
      </c>
      <c r="KT132" s="455" t="e">
        <f t="shared" ca="1" si="326"/>
        <v>#DIV/0!</v>
      </c>
      <c r="KU132" s="456" t="e">
        <f ca="1">IF($CP132-Control!$C$149&lt;0, IF($NT132-0.01&lt;0,0,1),0)</f>
        <v>#N/A</v>
      </c>
      <c r="KV132" s="456" t="e">
        <f ca="1">IF(Control!$C$114=1,MAX(0,MIN(Control!$C$125*$KW132*$GN132,$KW132)))</f>
        <v>#DIV/0!</v>
      </c>
      <c r="KW132" s="456" t="e">
        <f t="shared" ca="1" si="453"/>
        <v>#DIV/0!</v>
      </c>
      <c r="KX132" s="457" t="e">
        <f ca="1">IF($CP132-Control!$C$149&lt;0, IF($MR132-$OM132&lt;0,0,1),0)</f>
        <v>#N/A</v>
      </c>
      <c r="KY132" s="167">
        <f t="shared" ca="1" si="421"/>
        <v>128</v>
      </c>
      <c r="KZ132" s="168">
        <f ca="1">1370*(1+0.033*COS(2*Control!$C$138*$AH132/365))</f>
        <v>1343.2688822111352</v>
      </c>
      <c r="LA132" s="169">
        <f t="shared" ca="1" si="422"/>
        <v>0.98048837231950192</v>
      </c>
      <c r="LB132" s="169">
        <f t="shared" ca="1" si="423"/>
        <v>0.29719572959507262</v>
      </c>
      <c r="LC132" s="169">
        <f ca="1">ACOS(-TAN((2*Control!$B$8/360))*TAN(Calculations!$LB132))</f>
        <v>1.6619457918159144</v>
      </c>
      <c r="LD132" s="169">
        <f ca="1">((24*60)/PI())*0.082*$LA132*(($LC132*SIN(Control!$B$8*2*PI()/360))*SIN($LB132)+COS(Control!$B$8*2*PI()/360)*COS($LB132)*SIN($LC132))</f>
        <v>35.737522527781003</v>
      </c>
      <c r="LE132" s="170">
        <f t="shared" ca="1" si="327"/>
        <v>36.44690915206953</v>
      </c>
      <c r="LF132" s="170">
        <f ca="1">SIN(Control!$C$139*Control!$B$8)*SIN($HD132)</f>
        <v>0.22599450762819737</v>
      </c>
      <c r="LG132" s="170">
        <f ca="1">COS(Control!$C$139*Control!$B$8)*COS($HD132)</f>
        <v>0.58979794960936927</v>
      </c>
      <c r="LH132" s="170">
        <f ca="1">12*(1+2*ASIN(MAX(-1,MIN(1,$LF132/$LG132))/Control!$C$138))</f>
        <v>14.934523998441897</v>
      </c>
      <c r="LI132" s="170">
        <f ca="1">12*(1+2*ASIN(MAX(-1,MIN(1,(-SIN(-4*Control!$C$139)+$LF132)/$LG132))/Control!$C$138))</f>
        <v>15.847202727277175</v>
      </c>
      <c r="LJ132" s="168">
        <f ca="1">3600*($LH132*$LF132+24*$LG132*SQRT(1-$LK132*$LK132)/Control!$C$138)</f>
        <v>27132.995958392792</v>
      </c>
      <c r="LK132" s="170">
        <f t="shared" ca="1" si="328"/>
        <v>0.38317275904040771</v>
      </c>
      <c r="LL132" s="170">
        <f t="shared" ca="1" si="329"/>
        <v>0</v>
      </c>
      <c r="LM132" s="171">
        <f ca="1">Control!$C$145*$AB132</f>
        <v>6.6660906138995932E-2</v>
      </c>
      <c r="LN132" s="170">
        <f t="shared" ca="1" si="424"/>
        <v>0.54</v>
      </c>
      <c r="LO132" s="170">
        <f t="shared" ca="1" si="330"/>
        <v>0</v>
      </c>
      <c r="LP132" s="170">
        <f ca="1">Control!$C$140*((($D132+273.16)^4+($E132+273.16)^4)/2)*(0.34-0.14*SQRT($Y132))*(1.35*$AQ132/(0.75*$LD132)-0.35)</f>
        <v>-3.2464704755046001</v>
      </c>
      <c r="LQ132" s="170">
        <f ca="1">Control!$C$140*($G132+273)^4*(0.56-0.079*SQRT($Y132*10))*(0.1+0.9*$LO132)</f>
        <v>1.5241745131704001</v>
      </c>
      <c r="LR132" s="170">
        <f ca="1">$AQ132*(1-Control!$C$142)-$LQ132</f>
        <v>-1.5241745131704001</v>
      </c>
      <c r="LS132" s="170">
        <f ca="1">$AQ132*(1-Control!$C$143)-$LQ132</f>
        <v>-1.5241745131704001</v>
      </c>
      <c r="LT132" s="170">
        <f ca="1">$AQ132*(1-Control!$C$144)-$LQ132</f>
        <v>-1.5241745131704001</v>
      </c>
      <c r="LU132" s="169">
        <f ca="1">(1-Control!$C$144)*AQ132-LP132</f>
        <v>3.2464704755046001</v>
      </c>
      <c r="LV132" s="172">
        <f t="shared" ca="1" si="331"/>
        <v>0.79430000000000012</v>
      </c>
      <c r="LW132" s="170">
        <f t="shared" ca="1" si="332"/>
        <v>1.5886000000000002</v>
      </c>
      <c r="LX132" s="170">
        <f ca="1">($AC132*($LR132/Control!$C$141)+$LM132*$LV132)/($AC132+$LM132)</f>
        <v>0.23530094218323697</v>
      </c>
      <c r="LY132" s="170">
        <f ca="1">($AC132*($LS132/Control!$C$141)+$LM132*$LV132)/($AC132+$LM132)</f>
        <v>0.23530094218323697</v>
      </c>
      <c r="LZ132" s="170">
        <f t="shared" ca="1" si="333"/>
        <v>0.23530094218323697</v>
      </c>
      <c r="MA132" s="170">
        <f t="shared" ca="1" si="334"/>
        <v>0.23530094218323697</v>
      </c>
      <c r="MB132" s="170" t="e">
        <f t="shared" ca="1" si="335"/>
        <v>#N/A</v>
      </c>
      <c r="MC132" s="170">
        <f t="shared" ca="1" si="425"/>
        <v>0.6018</v>
      </c>
      <c r="MD132" s="170">
        <f t="shared" ca="1" si="336"/>
        <v>0.52989392535414004</v>
      </c>
      <c r="ME132" s="170">
        <f ca="1">($AC132*($LT132/Control!$C$141)+$LM132*$LW132)/($AC132+$LM132)</f>
        <v>0.71612369323045078</v>
      </c>
      <c r="MF132" s="170" t="e">
        <f ca="1">IF(Control!$B$16&gt;=1000,0.92,IF(AND(720&lt;=Control!$B$16,1000&gt;Control!$B$16),(0.95+(Control!$B$16-720)*((0.92-0.95)/(1000-720))),IF(AND(360&lt;=Control!$B$16,720&gt;Control!$B$16),(1+(Control!$B$16-360)*((0.95-1)/(720-360))),IF(AND(40&lt;=Control!$B$16,360&gt;Control!$B$16),(1.05+(Control!$B$16-40)*((1.05-1)/(360-40)))))))</f>
        <v>#N/A</v>
      </c>
      <c r="MG132" s="170">
        <f t="shared" ca="1" si="337"/>
        <v>0.71612369323045078</v>
      </c>
      <c r="MH132" s="170" t="e">
        <f t="shared" ca="1" si="464"/>
        <v>#N/A</v>
      </c>
      <c r="MI132" s="170" t="e">
        <f t="shared" ca="1" si="464"/>
        <v>#N/A</v>
      </c>
      <c r="MJ132" s="170" t="e">
        <f ca="1">MAX(0.0001, Control!$C$132*$MI132*$DL132)</f>
        <v>#N/A</v>
      </c>
      <c r="MK132" s="170">
        <f ca="1">1/(0.76+1.5*($MG132/10))-(5-Control!$C$110)*0.1</f>
        <v>1.002845988140797</v>
      </c>
      <c r="ML132" s="173">
        <f ca="1">IF(Control!$C$110&lt;3,$MK132+($MG132-0.6)/(Control!$C$110*(Control!$C$110+3)), MAX(0.1, MIN(0.95,$MK132)))</f>
        <v>0.95</v>
      </c>
      <c r="MM132" s="173">
        <f ca="1">IF(Control!$C$110&lt;3,$MK132+(($MI132/10)-0.6)/(Control!$C$110*(Control!$C$110+3)), MAX(0.1, MIN(0.95,$MK132)))</f>
        <v>0.95</v>
      </c>
      <c r="MN132" s="173">
        <f ca="1">(1-$MM132)*(Control!$C$128-Control!$C$127)+Control!$C$127</f>
        <v>0.16</v>
      </c>
      <c r="MO132" s="170" t="e">
        <f ca="1">MAX(0,MIN(1,($MS132-Control!$C$127)/($MN132-Control!$C$127)))</f>
        <v>#DIV/0!</v>
      </c>
      <c r="MP132" s="173" t="e">
        <f ca="1">1/(0.76+1.5*$MI132)-(5-Control!$C$110)*0.1</f>
        <v>#N/A</v>
      </c>
      <c r="MQ132" s="172" t="e">
        <f t="shared" ca="1" si="454"/>
        <v>#DIV/0!</v>
      </c>
      <c r="MR132" s="168" t="e">
        <f t="shared" ca="1" si="426"/>
        <v>#DIV/0!</v>
      </c>
      <c r="MS132" s="173" t="e">
        <f ca="1">MAX(Control!$C$127, MIN(Control!$C$135, $MR132/MAX(0.0001,$CY132)))</f>
        <v>#DIV/0!</v>
      </c>
      <c r="MT132" s="168" t="e">
        <f ca="1">(Control!$C$128-$MS132)*Control!$C$74</f>
        <v>#DIV/0!</v>
      </c>
      <c r="MU132" s="168" t="e">
        <f ca="1">(Control!$C$135-$MS132)*Control!$C$74</f>
        <v>#DIV/0!</v>
      </c>
      <c r="MV132" s="168" t="e">
        <f t="shared" ca="1" si="427"/>
        <v>#DIV/0!</v>
      </c>
      <c r="MW132" s="168" t="e">
        <f t="shared" ca="1" si="428"/>
        <v>#DIV/0!</v>
      </c>
      <c r="MX132" s="171" t="e">
        <f ca="1">MAX(Control!$C$127, MIN(Control!$C$135, $MW132/MAX(0.0001,Control!$C$119-$CY132)))</f>
        <v>#DIV/0!</v>
      </c>
      <c r="MY132" s="54" t="e">
        <f ca="1">IF(Control!$C$114=1, $CX132*$MX132, 0)</f>
        <v>#DIV/0!</v>
      </c>
      <c r="MZ132" s="54" t="e">
        <f t="shared" ca="1" si="429"/>
        <v>#N/A</v>
      </c>
      <c r="NA132" s="168" t="e">
        <f ca="1">(Control!$C$128-$MX132)*(Control!$C$119-Control!$C$74)</f>
        <v>#DIV/0!</v>
      </c>
      <c r="NB132" s="168" t="e">
        <f ca="1">(Control!$C$135-$MX132)*(Control!$C$119-Control!$C$74)</f>
        <v>#DIV/0!</v>
      </c>
      <c r="NC132" s="174" t="e">
        <f t="shared" ca="1" si="430"/>
        <v>#DIV/0!</v>
      </c>
      <c r="ND132" s="54">
        <f ca="1">IF(Control!$C$58=2, IF(OR(Control!$B$218=$AH132,Control!$B$219=$AH132, Control!$B$220=$AH132, Control!$B$221=$AH132, Control!$B$222=$AH132, Control!$B$223=$AH132, Control!$B$224=$AH132, Control!$B$225=$AH132, Control!$B$226=$AH132, Control!$B$227=$AH132, Control!$B$228=$AH132), 1, 0), 0)</f>
        <v>0</v>
      </c>
      <c r="NE132" s="54">
        <f ca="1">IF($ND132=0,0, VLOOKUP($AH132,Control!$B$218:$C$228,2))</f>
        <v>0</v>
      </c>
      <c r="NF132" s="168" t="e">
        <f ca="1">$CY132*(Control!$C$128-Control!$C$127)</f>
        <v>#N/A</v>
      </c>
      <c r="NG132" s="54" t="e">
        <f ca="1">IF(Control!$C$58=2, $NI131-$NJ131, 0)</f>
        <v>#DIV/0!</v>
      </c>
      <c r="NH132" s="54" t="e">
        <f ca="1">IF(AND(Control!$C$58=1, $MS131&lt;= ($MN131+0.02), $I131&lt;10), 0, IF(Control!$C$58=2, $NG131, 0))</f>
        <v>#DIV/0!</v>
      </c>
      <c r="NI132" s="54" t="e">
        <f ca="1">IF(Control!$C$58=2, $NE132+$NH132,0)</f>
        <v>#DIV/0!</v>
      </c>
      <c r="NJ132" s="54" t="e">
        <f ca="1">IF(AND(Control!$C$58=1, $MS132&lt;= ($MN132+0.02), $I132&lt;10), MAX(0, MIN(10, 0.7*($NF132-$MV132))), IF(Control!$C$58=2, MIN(10,$NI132),0))</f>
        <v>#DIV/0!</v>
      </c>
      <c r="NK132" s="54" t="e">
        <f t="shared" ca="1" si="338"/>
        <v>#DIV/0!</v>
      </c>
      <c r="NL132" s="173" t="e">
        <f ca="1">(1-Control!$C$73)*$I132+$NJ132</f>
        <v>#DIV/0!</v>
      </c>
      <c r="NM132" s="172" t="e">
        <f ca="1">IF($NL132&lt;0.5, $MB132* MAX(0, MIN(1, (SQRT($NC132)-SQRT($NC132-1))*Control!$C$71)),0)</f>
        <v>#DIV/0!</v>
      </c>
      <c r="NN132" s="170" t="e">
        <f ca="1">IF($NL132&gt;=5, $MB132, MAX(0,MIN($MB132, $NM132+$NL132,($MS132-Control!$C$129))))</f>
        <v>#DIV/0!</v>
      </c>
      <c r="NO132" s="54">
        <f>IF(Control!$C$133&lt;&gt;1, Control!$C$135-Control!$C$131, 0)</f>
        <v>0.38</v>
      </c>
      <c r="NP132" s="54" t="e">
        <f t="shared" ca="1" si="339"/>
        <v>#DIV/0!</v>
      </c>
      <c r="NQ132" s="173" t="e">
        <f ca="1">MAX(0,MIN(1,(Control!$C$135-$MS132)/(Control!$C$135-$NO132)))</f>
        <v>#DIV/0!</v>
      </c>
      <c r="NR132" s="170" t="e">
        <f ca="1">IF(Control!$C$133&lt;&gt;1, $NQ132+((1-$NP132/4)*(1-$NQ132)),1)</f>
        <v>#DIV/0!</v>
      </c>
      <c r="NS132" s="170" t="e">
        <f ca="1">IF(Control!$B$31=0,$MJ132,MAX(0,MIN($MV132,$MO132*$NR132*$MJ132)))</f>
        <v>#DIV/0!</v>
      </c>
      <c r="NT132" s="170" t="e">
        <f t="shared" ca="1" si="455"/>
        <v>#DIV/0!</v>
      </c>
      <c r="NU132" s="170" t="e">
        <f t="shared" ca="1" si="431"/>
        <v>#N/A</v>
      </c>
      <c r="NV132" s="170" t="e">
        <f t="shared" ca="1" si="340"/>
        <v>#N/A</v>
      </c>
      <c r="NW132" s="175" t="e">
        <f t="shared" ca="1" si="341"/>
        <v>#DIV/0!</v>
      </c>
      <c r="NX132" s="170" t="e">
        <f ca="1">MIN(Control!$C$72+$MU132, $NW132)</f>
        <v>#DIV/0!</v>
      </c>
      <c r="NY132" s="170" t="e">
        <f ca="1">IF($MT132&lt;=$NX132,MIN(Control!$C$72+$NB132,$NX132-$MT132),0)</f>
        <v>#DIV/0!</v>
      </c>
      <c r="NZ132" s="54" t="e">
        <f ca="1">IF(Control!$C$114=1,  $CX132*($MX132-Control!$C$127), 0)</f>
        <v>#DIV/0!</v>
      </c>
      <c r="OA132" s="170" t="e">
        <f t="shared" ca="1" si="342"/>
        <v>#DIV/0!</v>
      </c>
      <c r="OB132" s="170" t="e">
        <f ca="1">IF($NA132 &lt;=$NY132, MIN(Control!$C$72, $NY132-$NA132), 0)</f>
        <v>#DIV/0!</v>
      </c>
      <c r="OC132" s="168" t="e">
        <f t="shared" ca="1" si="343"/>
        <v>#DIV/0!</v>
      </c>
      <c r="OD132" s="168" t="e">
        <f t="shared" ca="1" si="432"/>
        <v>#DIV/0!</v>
      </c>
      <c r="OE132" s="170">
        <f ca="1">Control!$C$73*$I132</f>
        <v>0</v>
      </c>
      <c r="OF132" s="176" t="e">
        <f t="shared" ca="1" si="344"/>
        <v>#DIV/0!</v>
      </c>
      <c r="OG132" s="168" t="e">
        <f t="shared" ca="1" si="345"/>
        <v>#DIV/0!</v>
      </c>
      <c r="OH132" s="168" t="e">
        <f t="shared" ca="1" si="346"/>
        <v>#DIV/0!</v>
      </c>
      <c r="OI132" s="168" t="e">
        <f t="shared" ca="1" si="347"/>
        <v>#DIV/0!</v>
      </c>
      <c r="OJ132" s="168" t="e">
        <f t="shared" ca="1" si="348"/>
        <v>#DIV/0!</v>
      </c>
      <c r="OK132" s="204" t="e">
        <f t="shared" ca="1" si="349"/>
        <v>#DIV/0!</v>
      </c>
      <c r="OL132" s="177">
        <f>Control!$C$127</f>
        <v>0.15</v>
      </c>
      <c r="OM132" s="182" t="e">
        <f t="shared" ca="1" si="350"/>
        <v>#N/A</v>
      </c>
      <c r="ON132" s="177">
        <f>Control!$C$128</f>
        <v>0.35</v>
      </c>
      <c r="OO132" s="182" t="e">
        <f t="shared" ca="1" si="351"/>
        <v>#N/A</v>
      </c>
      <c r="OP132" s="138">
        <f t="shared" ca="1" si="433"/>
        <v>0</v>
      </c>
      <c r="OQ132" s="138" t="e">
        <f t="shared" ca="1" si="456"/>
        <v>#DIV/0!</v>
      </c>
      <c r="OR132" s="138" t="e">
        <f t="shared" ca="1" si="434"/>
        <v>#DIV/0!</v>
      </c>
      <c r="OS132" s="137" t="e">
        <f t="shared" ca="1" si="457"/>
        <v>#DIV/0!</v>
      </c>
      <c r="OT132" s="139" t="e">
        <f t="shared" ca="1" si="458"/>
        <v>#DIV/0!</v>
      </c>
      <c r="OU132" s="138" t="e">
        <f t="shared" ca="1" si="459"/>
        <v>#N/A</v>
      </c>
      <c r="OV132" s="138" t="e">
        <f t="shared" ca="1" si="460"/>
        <v>#DIV/0!</v>
      </c>
      <c r="OW132" s="138" t="e">
        <f t="shared" ca="1" si="435"/>
        <v>#DIV/0!</v>
      </c>
      <c r="OX132" s="138" t="e">
        <f t="shared" ca="1" si="436"/>
        <v>#DIV/0!</v>
      </c>
      <c r="OY132" s="138" t="e">
        <f t="shared" ca="1" si="437"/>
        <v>#DIV/0!</v>
      </c>
      <c r="OZ132" s="138" t="e">
        <f t="shared" ca="1" si="352"/>
        <v>#DIV/0!</v>
      </c>
      <c r="PA132" s="138" t="e">
        <f t="shared" ca="1" si="353"/>
        <v>#DIV/0!</v>
      </c>
      <c r="PB132" s="55">
        <f>IF(Control!$C$61="T", IF(Control!$C$65="F", IF($AH$6-Control!$C$60&lt;0,0,1), IF(365+$AH$6-Control!$C$60&lt;0,0,1)),0)</f>
        <v>0</v>
      </c>
      <c r="PC132" s="55">
        <f ca="1">IF(Control!$C$65="F", IF($AH$6-$HF132&lt;0,0,1), IF(365+$AH$6-$HF132&lt;0,0,1))</f>
        <v>1</v>
      </c>
      <c r="PD132" s="444">
        <f>Control!$C$118</f>
        <v>1500</v>
      </c>
      <c r="PE132" s="180" t="e">
        <f t="shared" ca="1" si="354"/>
        <v>#N/A</v>
      </c>
      <c r="PF132" s="445">
        <f t="shared" ca="1" si="438"/>
        <v>0.71612369323045078</v>
      </c>
      <c r="PT132" s="186"/>
      <c r="PU132" s="186"/>
      <c r="PV132" s="94"/>
      <c r="PW132" s="94"/>
      <c r="PX132" s="94"/>
      <c r="PY132" s="94"/>
      <c r="PZ132" s="94"/>
      <c r="QA132" s="94"/>
      <c r="QB132" s="94"/>
      <c r="QC132" s="94"/>
      <c r="QD132" s="94"/>
      <c r="QE132" s="94"/>
      <c r="QF132" s="94"/>
      <c r="QG132" s="94"/>
      <c r="QH132" s="94"/>
      <c r="QI132" s="94"/>
      <c r="QJ132" s="94"/>
      <c r="QK132" s="94"/>
      <c r="QL132" s="94"/>
      <c r="QM132" s="94"/>
      <c r="QN132" s="94"/>
      <c r="QO132" s="94"/>
      <c r="QP132" s="94"/>
    </row>
    <row r="133" spans="1:458" s="2" customFormat="1" x14ac:dyDescent="0.2">
      <c r="A133" s="395">
        <v>8</v>
      </c>
      <c r="B133" s="396">
        <v>5</v>
      </c>
      <c r="C133" s="387">
        <f ca="1">Weather_data!$B132</f>
        <v>0</v>
      </c>
      <c r="D133" s="388">
        <f ca="1">Weather_data!$F132</f>
        <v>0</v>
      </c>
      <c r="E133" s="388">
        <f ca="1">Weather_data!$E132</f>
        <v>0</v>
      </c>
      <c r="F133" s="388">
        <f t="shared" ca="1" si="355"/>
        <v>0</v>
      </c>
      <c r="G133" s="388">
        <f ca="1">AVERAGE($D133:$E133)+Control!$B$9</f>
        <v>0</v>
      </c>
      <c r="H133" s="388">
        <f ca="1">Weather_data!$G132</f>
        <v>0</v>
      </c>
      <c r="I133" s="388">
        <f ca="1">Weather_data!$I132</f>
        <v>0</v>
      </c>
      <c r="J133" s="388">
        <f ca="1">Weather_data!$H132</f>
        <v>0</v>
      </c>
      <c r="K133" s="389">
        <f ca="1">Weather_data!$D132</f>
        <v>0</v>
      </c>
      <c r="L133" s="388" t="e">
        <f t="shared" ca="1" si="356"/>
        <v>#N/A</v>
      </c>
      <c r="M133" s="388" t="e">
        <f t="shared" ca="1" si="234"/>
        <v>#N/A</v>
      </c>
      <c r="N133" s="388">
        <f t="shared" ca="1" si="235"/>
        <v>-7.7226917987302585E-7</v>
      </c>
      <c r="O133" s="388">
        <f t="shared" ca="1" si="357"/>
        <v>7.7226917987302583E-6</v>
      </c>
      <c r="P133" s="390">
        <v>3</v>
      </c>
      <c r="Q133" s="388">
        <f ca="1">MAX($G133-Control!$C$107,0)</f>
        <v>0</v>
      </c>
      <c r="R133" s="388">
        <f t="shared" ca="1" si="358"/>
        <v>0</v>
      </c>
      <c r="S133" s="388">
        <f t="shared" ca="1" si="236"/>
        <v>0</v>
      </c>
      <c r="T133" s="388">
        <f t="shared" ca="1" si="237"/>
        <v>0</v>
      </c>
      <c r="U133" s="59">
        <f t="shared" ca="1" si="238"/>
        <v>0</v>
      </c>
      <c r="V133" s="391">
        <f ca="1">MAX(0,MIN(Control!$C$100-Control!$C$99,$G133-Control!$C$99)*Control!$C$63)</f>
        <v>0</v>
      </c>
      <c r="W133" s="388">
        <f t="shared" ca="1" si="359"/>
        <v>0</v>
      </c>
      <c r="X133" s="388">
        <f t="shared" ca="1" si="360"/>
        <v>0.6110000000000001</v>
      </c>
      <c r="Y133" s="388">
        <f t="shared" ca="1" si="239"/>
        <v>0</v>
      </c>
      <c r="Z133" s="388">
        <f t="shared" ca="1" si="361"/>
        <v>0.61058800000000002</v>
      </c>
      <c r="AA133" s="388">
        <f t="shared" ca="1" si="240"/>
        <v>0.6018</v>
      </c>
      <c r="AB133" s="388">
        <f ca="1">101.3*EXP(-0.034*Control!$C$66/($G133+273))</f>
        <v>100.69623283836242</v>
      </c>
      <c r="AC133" s="392">
        <f t="shared" ca="1" si="241"/>
        <v>4.3460251046025113E-2</v>
      </c>
      <c r="AD133" s="392">
        <f t="shared" ca="1" si="242"/>
        <v>4.4450382862832649E-2</v>
      </c>
      <c r="AE133" s="388">
        <f t="shared" ca="1" si="243"/>
        <v>0</v>
      </c>
      <c r="AF133" s="388">
        <f ca="1">MAX(0,$G133-Control!$C$92)</f>
        <v>0</v>
      </c>
      <c r="AG133" s="393">
        <f t="shared" ca="1" si="244"/>
        <v>129</v>
      </c>
      <c r="AH133" s="389">
        <f t="shared" ca="1" si="245"/>
        <v>129</v>
      </c>
      <c r="AI133" s="388">
        <f t="shared" ca="1" si="362"/>
        <v>0.29579160910785818</v>
      </c>
      <c r="AJ133" s="388">
        <f ca="1">IF(Control!$C$60&lt;=0,$HH133,$HI133)</f>
        <v>1</v>
      </c>
      <c r="AK133" s="388">
        <f t="shared" ca="1" si="246"/>
        <v>0.84349610973095812</v>
      </c>
      <c r="AL133" s="388">
        <f t="shared" ca="1" si="247"/>
        <v>-3.0656917976434882E-18</v>
      </c>
      <c r="AM133" s="388">
        <f t="shared" ca="1" si="248"/>
        <v>0.84349610973095812</v>
      </c>
      <c r="AN133" s="388">
        <f t="shared" ca="1" si="249"/>
        <v>0.30170172344547125</v>
      </c>
      <c r="AO133" s="388">
        <f ca="1">-0.10453/COS(Control!$B$8*PI()/180)*COS(AN133)</f>
        <v>-0.16211605755231609</v>
      </c>
      <c r="AP133" s="388">
        <f ca="1">ACOS(AO133-TAN(Control!$B$8*PI()/180)*TAN(AN133))</f>
        <v>2.1657087048580212</v>
      </c>
      <c r="AQ133" s="388">
        <f t="shared" ca="1" si="363"/>
        <v>0</v>
      </c>
      <c r="AR133" s="394">
        <f t="shared" ca="1" si="250"/>
        <v>0</v>
      </c>
      <c r="AS133" s="436">
        <f ca="1">IF(Control!$B$18=2,(IF(OR($AH133=Control!$B$175,$AH133=Control!$B$176,$AH133=Control!$B$177,$AH133=Control!$B$178,$AH133=Control!$B$179,$AH133=Control!$B$180,$AH133=Control!$B$181,$AH133=Control!$B$182,$AH133=Control!$B$183,$AH133=Control!$B$184,$AH133=Control!$B$185),1,0)),0)</f>
        <v>0</v>
      </c>
      <c r="AT133" s="436">
        <f>IF(Control!$B$20=8,IF(AND($AH133&gt;=Control!$B$172,$AH133&lt;=Control!$B$173),1,0),0)</f>
        <v>0</v>
      </c>
      <c r="AU133" s="436">
        <f>IF(Control!$B$20=8,IF($AV132=1,1*$AT133,IF($AT133=1,$AU132+1,$AU132)),0)</f>
        <v>0</v>
      </c>
      <c r="AV133" s="436">
        <f>IF(Control!$B$20=8,IF($AU133&gt;=Control!$B$174,1,0),0)</f>
        <v>0</v>
      </c>
      <c r="AW133" s="436">
        <f ca="1">IF(AND(Control!$B$18=2,Control!$B$171=1), $AV133, $AS133)</f>
        <v>0</v>
      </c>
      <c r="AX133" s="436" t="e">
        <f ca="1">IF(AND(Control!$B$18=1,$EU133&gt;=Control!$B$19),-$AY133,IF(AND(Control!$B$18=2,$AW133=1,$EU133&gt;$DS133),-$AY133, IF(Control!$C$108=0,0, IF(Control!$C$108&lt;&gt;0,1))))</f>
        <v>#N/A</v>
      </c>
      <c r="AY133" s="436" t="e">
        <f t="shared" ca="1" si="364"/>
        <v>#N/A</v>
      </c>
      <c r="AZ133" s="436" t="e">
        <f ca="1">IF(AND(Control!$B$18=1,$EB133&gt;Control!$B$19),$AZ132+1, IF(AND(Control!$B$18=2, $AW133=1, $EB133&gt;$DS133), $AZ132+1,$AZ132))</f>
        <v>#N/A</v>
      </c>
      <c r="BA133" s="587">
        <f>IF(Control!$C$81=0,1,IF($AH133&gt;=Control!$C$82,1,0))</f>
        <v>1</v>
      </c>
      <c r="BB133" s="140" t="e">
        <f ca="1">IF($BA133&gt;$BA132,Control!$C$83,IF($AW133&gt;0,$AW133*Control!$C$84,IF(AND(Control!$B$18=1,EN132&lt;&gt;0),Control!$C$84,0)))</f>
        <v>#N/A</v>
      </c>
      <c r="BC133" s="140" t="e">
        <f t="shared" ca="1" si="365"/>
        <v>#N/A</v>
      </c>
      <c r="BD133" s="140" t="e">
        <f ca="1">BC133*IF(OR($G133&lt;Control!$C$92,$G133&gt;Control!$C$95),0,IF(AND($G133&gt;=Control!$C$92,$G133&lt;=Control!$C$93),$G133-Control!$C$92,IF(AND($G133&gt;Control!$C$93,$G133&lt;=Control!$C$94),Control!$C$93-Control!$C$92,IF(AND($G133&gt;Control!$C$94,$G133&lt;=Control!$C$95),(Control!$C$93-Control!$C$92)*(Control!$C$94-$G133)/(Control!$C$95-Control!$C$94)))))</f>
        <v>#N/A</v>
      </c>
      <c r="BE133" s="140" t="e">
        <f t="shared" ca="1" si="366"/>
        <v>#N/A</v>
      </c>
      <c r="BF133" s="140" t="e">
        <f ca="1">IF($BE133&lt;=Control!$C$86,$BE133,Control!$C$86-$BE133)</f>
        <v>#N/A</v>
      </c>
      <c r="BG133" s="140" t="e">
        <f ca="1">IF(AND($AW133=1,Control!$C$84&lt;9),1,IF($BE133&gt;=Control!$C$86,0,$BC133))</f>
        <v>#N/A</v>
      </c>
      <c r="BH133" s="404" t="e">
        <f ca="1">IF($BG133=0,0,IF($BE133&lt;=Control!$C$86,$BC133*9*($BF133/Control!$C$86),0))</f>
        <v>#N/A</v>
      </c>
      <c r="BI133" s="140" t="e">
        <f ca="1">IF($BG133=1,0,IF($BE133&gt;=Control!$C$86,1,IF(AND($BB133&lt;21,$BB133&gt;=9),1,$BM132)))</f>
        <v>#N/A</v>
      </c>
      <c r="BJ133" s="140" t="e">
        <f ca="1">IF($BF133&lt;0,-$BF133,$BI133*IF(OR($G133&lt;Control!$C$92,$G133&gt;Control!$C$95),0,IF(AND($G133&gt;=Control!$C$92,$G133&lt;=Control!$C$93),$G133-Control!$C$92,IF(AND($G133&gt;Control!$C$93,$G133&lt;=Control!$C$94),Control!$C$93-Control!$C$92,IF(AND($G133&gt;Control!$C$94,$G133&lt;=Control!$C$95),(Control!$C$93-Control!$C$92)*(Control!$C$94-$G133)/(Control!$C$95-Control!$C$94))))))</f>
        <v>#N/A</v>
      </c>
      <c r="BK133" s="140" t="e">
        <f t="shared" ca="1" si="367"/>
        <v>#N/A</v>
      </c>
      <c r="BL133" s="140" t="e">
        <f ca="1">IF($BK133&lt;=Control!$C$87,$BK133,Control!$C$87-$BK133)</f>
        <v>#N/A</v>
      </c>
      <c r="BM133" s="140" t="e">
        <f ca="1">IF(AND($BB133&gt;=9,$BB133&lt;21),1,IF($BK133&gt;=Control!$C$87,0,$BI133))</f>
        <v>#N/A</v>
      </c>
      <c r="BN133" s="404" t="e">
        <f ca="1">IF($BM133=0,0,IF($BK133&lt;=Control!$C$87,$BI133*(9+(21-9)*($BL133/Control!$C$87)),0))</f>
        <v>#N/A</v>
      </c>
      <c r="BO133" s="140" t="e">
        <f ca="1">IF($BM133=1,0,IF($BK133&gt;=Control!$C$87,1,IF(AND($BB133&lt;30,$BB133&gt;=21),1,$BS132)))</f>
        <v>#N/A</v>
      </c>
      <c r="BP133" s="140" t="e">
        <f ca="1">IF($BL133&lt;0,-$BL133,$BO133*IF(OR($G133&lt;Control!$C$92,$G133&gt;Control!$C$95),0,IF(AND($G133&gt;=Control!$C$92,$G133&lt;=Control!$C$93),$G133-Control!$C$92,IF(AND($G133&gt;Control!$C$93,$G133&lt;=Control!$C$94),Control!$C$93-Control!$C$92,IF(AND($G133&gt;Control!$C$94,$G133&lt;=Control!$C$95),(Control!$C$93-Control!$C$92)*(Control!$C$94-$G133)/(Control!$C$95-Control!$C$94))))))</f>
        <v>#N/A</v>
      </c>
      <c r="BQ133" s="140" t="e">
        <f t="shared" ca="1" si="251"/>
        <v>#N/A</v>
      </c>
      <c r="BR133" s="140" t="e">
        <f ca="1">IF($BQ133&lt;=Control!$C$88,$BQ133,Control!$C$88-$BQ133)</f>
        <v>#N/A</v>
      </c>
      <c r="BS133" s="140" t="e">
        <f ca="1">IF(AND($BB133&gt;=21,$BB133&lt;30),1,IF($BQ133&gt;=Control!$C$88,0,$BO133))</f>
        <v>#N/A</v>
      </c>
      <c r="BT133" s="404" t="e">
        <f ca="1">IF($BS133=0,0,IF($BQ133&lt;=Control!$C$88,$BO133*(21+(30-21)*(BR133/Control!$C$88)),0))</f>
        <v>#N/A</v>
      </c>
      <c r="BU133" s="140" t="e">
        <f ca="1">IF(BG133+BM133+BS133=1,0,IF(OR(AND($BB133&lt;60,$BB133&gt;=30),$BQ133&gt;=Control!$C$88),1*$BA133,$BY132))</f>
        <v>#N/A</v>
      </c>
      <c r="BV133" s="140" t="e">
        <f ca="1">IF($BR133&lt;0,-$BR133,$BU133*IF(OR($G133&lt;Control!$C$92,$G133&gt;Control!$C$95),0,IF(AND($G133&gt;=Control!$C$92,$G133&lt;=Control!$C$93),$G133-Control!$C$92,IF(AND($G133&gt;Control!$C$93,$G133&lt;=Control!$C$94),Control!$C$93-Control!$C$92,IF(AND($G133&gt;Control!$C$94,$G133&lt;=Control!$C$95),(Control!$C$93-Control!$C$92)*(Control!$C$94-$G133)/(Control!$C$95-Control!$C$94))))))</f>
        <v>#N/A</v>
      </c>
      <c r="BW133" s="140" t="e">
        <f t="shared" ca="1" si="252"/>
        <v>#N/A</v>
      </c>
      <c r="BX133" s="140" t="e">
        <f ca="1">IF($BW133&lt;=Control!$C$89,$BW133,Control!$C$89-$BW133)</f>
        <v>#N/A</v>
      </c>
      <c r="BY133" s="140" t="e">
        <f ca="1">IF(AND($AJ133&gt;=30,$AJ133&lt;60),1,IF($BW133&gt;=Control!$C$89,0,$BU133))</f>
        <v>#N/A</v>
      </c>
      <c r="BZ133" s="404" t="e">
        <f ca="1">IF($BY133=0,0,IF($BW133&lt;=Control!$C$89,$BU133*(30+(60-30)*(BX133/Control!$C$89)),0))</f>
        <v>#N/A</v>
      </c>
      <c r="CA133" s="140" t="e">
        <f ca="1">IF($BG133+$BM133+$BS133+$BY133=1,0,IF(OR(AND($BB133&lt;65,$BB133&gt;=60),$BW133&gt;=Control!$C$89),1*$BA133,$CE132))</f>
        <v>#N/A</v>
      </c>
      <c r="CB133" s="140" t="e">
        <f ca="1">IF($BX133&lt;0,-$BX133,$CA133*IF(OR($G133&lt;Control!$C$92,$G133&gt;Control!$C$95),0,IF(AND($G133&gt;=Control!$C$92,$G133&lt;=Control!$C$93),$G133-Control!$C$92,IF(AND($G133&gt;Control!$C$93,$G133&lt;=Control!$C$94),Control!$C$93-Control!$C$92,IF(AND($G133&gt;Control!$C$94,$G133&lt;=Control!$C$95),(Control!$C$93-Control!$C$92)*(Control!$C$94-$G133)/(Control!$C$95-Control!$C$94))))))</f>
        <v>#N/A</v>
      </c>
      <c r="CC133" s="140" t="e">
        <f t="shared" ca="1" si="368"/>
        <v>#N/A</v>
      </c>
      <c r="CD133" s="140" t="e">
        <f ca="1">IF($CC133&lt;=Control!$C$90,$CC133,Control!$C$90-$CC133)</f>
        <v>#N/A</v>
      </c>
      <c r="CE133" s="140" t="e">
        <f ca="1">IF(AND($BB133&gt;=60,$BB133&lt;65),1,IF($CC133&gt;=Control!$C$90,0,$CA133))</f>
        <v>#N/A</v>
      </c>
      <c r="CF133" s="404" t="e">
        <f ca="1">IF($CE133=0,0,IF($CC133&lt;=Control!$C$90,$CA133*(60+(65-60)*(CD133/Control!$C$90)),0))</f>
        <v>#N/A</v>
      </c>
      <c r="CG133" s="140" t="e">
        <f ca="1">IF($BG133+$BM133+$BS133+$BY133+$CE133=1,0,IF(OR(AND($BB133&lt;90,$BB133&gt;=65),$CC133&gt;=Control!$C$90),$BA133,$CK132))</f>
        <v>#N/A</v>
      </c>
      <c r="CH133" s="140" t="e">
        <f ca="1">IF($CD133&lt;0,-$CD133,$CG133*IF(OR($G133&lt;Control!$C$92,$G133&gt;Control!$C$95),0,IF(AND($G133&gt;=Control!$C$92,$G133&lt;=Control!$C$93),$G133-Control!$C$92,IF(AND($G133&gt;Control!$C$93,$G133&lt;=Control!$C$94),Control!$C$93-Control!$C$92,IF(AND($G133&gt;Control!$C$94,$G133&lt;=Control!$C$95),(Control!$C$93-Control!$C$92)*(Control!$C$94-$G133)/(Control!$C$95-Control!$C$94))))))</f>
        <v>#N/A</v>
      </c>
      <c r="CI133" s="140" t="e">
        <f t="shared" ca="1" si="369"/>
        <v>#N/A</v>
      </c>
      <c r="CJ133" s="140" t="e">
        <f ca="1">IF($CI133&lt;=Control!$C$91,$CI133,Control!$C$91-$CI133)</f>
        <v>#N/A</v>
      </c>
      <c r="CK133" s="140" t="e">
        <f ca="1">IF(AND($BB133&gt;=65,$BB133&lt;90),1,IF($CI133&gt;=Control!$C$91,0,$CG133))</f>
        <v>#N/A</v>
      </c>
      <c r="CL133" s="404" t="e">
        <f ca="1">IF($CK133=0,0,IF($CI133&lt;=Control!$C$91,$CG133*(65+(90-65)*($CJ133/Control!$C$91)),0))</f>
        <v>#N/A</v>
      </c>
      <c r="CM133" s="140" t="e">
        <f ca="1">IF($BG133+$BM133+$BS133+$BY133+$CE133+$CK133=1,0,IF(OR($BB133&gt;=90,$CI133&gt;=Control!$C$91),$BA133,$CM132))</f>
        <v>#N/A</v>
      </c>
      <c r="CN133" s="140" t="e">
        <f t="shared" ca="1" si="370"/>
        <v>#N/A</v>
      </c>
      <c r="CO133" s="140" t="e">
        <f t="shared" ca="1" si="371"/>
        <v>#N/A</v>
      </c>
      <c r="CP133" s="140" t="e">
        <f t="shared" ca="1" si="372"/>
        <v>#N/A</v>
      </c>
      <c r="CQ133" s="141" t="e">
        <f ca="1">VLOOKUP($CP133,Control!$B$86:$G$91,6)</f>
        <v>#N/A</v>
      </c>
      <c r="CR133" s="141" t="e">
        <f ca="1">(1-$CQ133)*VLOOKUP($CP133,Control!$B$86:$D$91,3)</f>
        <v>#N/A</v>
      </c>
      <c r="CS133" s="141" t="e">
        <f ca="1">(1-$CQ133)*VLOOKUP($CP133,Control!$B$86:$E$91,4)</f>
        <v>#N/A</v>
      </c>
      <c r="CT133" s="141" t="e">
        <f ca="1">(1-$CQ133)*VLOOKUP($CP133,Control!$B$86:$F$91,5)</f>
        <v>#N/A</v>
      </c>
      <c r="CU133" s="141">
        <f t="shared" ca="1" si="373"/>
        <v>0</v>
      </c>
      <c r="CV133" s="583">
        <f t="shared" ca="1" si="374"/>
        <v>0</v>
      </c>
      <c r="CW133" s="142">
        <f t="shared" ca="1" si="375"/>
        <v>129</v>
      </c>
      <c r="CX133" s="612" t="e">
        <f ca="1">IF(Control!$C$114=1,(MIN(Control!$C$120*(IF($NT133-0.01&lt;0,0,1)),Control!$C$119-$CY133)))</f>
        <v>#DIV/0!</v>
      </c>
      <c r="CY133" s="143" t="e">
        <f t="shared" ca="1" si="376"/>
        <v>#N/A</v>
      </c>
      <c r="CZ133" s="144">
        <f t="shared" ca="1" si="253"/>
        <v>0</v>
      </c>
      <c r="DA133" s="144">
        <f t="shared" ca="1" si="254"/>
        <v>0</v>
      </c>
      <c r="DB133" s="144" t="e">
        <f t="shared" ca="1" si="255"/>
        <v>#N/A</v>
      </c>
      <c r="DC133" s="144" t="e">
        <f t="shared" ca="1" si="256"/>
        <v>#N/A</v>
      </c>
      <c r="DD133" s="144" t="e">
        <f t="shared" ca="1" si="461"/>
        <v>#N/A</v>
      </c>
      <c r="DE133" s="143" t="e">
        <f t="shared" ca="1" si="377"/>
        <v>#N/A</v>
      </c>
      <c r="DF133" s="145" t="e">
        <f ca="1">$DR133*EXP(-Control!$C$158*(1-$KH133))</f>
        <v>#N/A</v>
      </c>
      <c r="DG133" s="146" t="e">
        <f ca="1">IF(Control!$C$114=1, $DF133*$EY133, 0)</f>
        <v>#N/A</v>
      </c>
      <c r="DH133" s="147" t="e">
        <f t="shared" ca="1" si="378"/>
        <v>#N/A</v>
      </c>
      <c r="DI133" s="144" t="e">
        <f t="shared" ca="1" si="439"/>
        <v>#N/A</v>
      </c>
      <c r="DJ133" s="147" t="e">
        <f ca="1">$EF133*Control!$C$109</f>
        <v>#N/A</v>
      </c>
      <c r="DK133" s="144" t="e">
        <f t="shared" ca="1" si="379"/>
        <v>#N/A</v>
      </c>
      <c r="DL133" s="144" t="e">
        <f t="shared" ca="1" si="257"/>
        <v>#N/A</v>
      </c>
      <c r="DM133" s="144" t="e">
        <f ca="1">IF(Control!$C$114=1, (1-EXP(-Control!$C$96*$DK133))*$AR133, 0)</f>
        <v>#N/A</v>
      </c>
      <c r="DN133" s="144">
        <f t="shared" ca="1" si="380"/>
        <v>0</v>
      </c>
      <c r="DO133" s="148">
        <f>Control!$C$97</f>
        <v>4</v>
      </c>
      <c r="DP133" s="145" t="e">
        <f t="shared" ca="1" si="381"/>
        <v>#N/A</v>
      </c>
      <c r="DQ133" s="145" t="e">
        <f ca="1">IF(AND($CP133&gt;=0,$CP133&lt;=90),Control!$C$111,Control!$C$111)</f>
        <v>#N/A</v>
      </c>
      <c r="DR133" s="145" t="e">
        <f t="shared" ca="1" si="258"/>
        <v>#N/A</v>
      </c>
      <c r="DS133" s="143" t="e">
        <f ca="1">Control!$B$22/$DR133</f>
        <v>#N/A</v>
      </c>
      <c r="DT133" s="149" t="e">
        <f ca="1">IF(AND(Control!$C$114=1,$KH133&lt;1),$IM133*$DF133, 0)</f>
        <v>#N/A</v>
      </c>
      <c r="DU133" s="144" t="e">
        <f t="shared" ca="1" si="382"/>
        <v>#N/A</v>
      </c>
      <c r="DV133" s="144">
        <f ca="1">IF($G133-Control!$C$107&lt;=0, 0, 0.83*LN(MAX($G133, 3))-0.8924)</f>
        <v>0</v>
      </c>
      <c r="DW133" s="144" t="e">
        <f t="shared" ca="1" si="259"/>
        <v>#N/A</v>
      </c>
      <c r="DX133" s="150" t="e">
        <f ca="1">MAX(0.01*(1+$CU133/Control!$C$102),0.05*($DK133-Control!$C$97)/Control!$C$97)</f>
        <v>#N/A</v>
      </c>
      <c r="DY133" s="151" t="e">
        <f ca="1">IF(Control!$C$114=1, $DI133*$FS133, 0)</f>
        <v>#N/A</v>
      </c>
      <c r="DZ133" s="196" t="e">
        <f t="shared" ca="1" si="383"/>
        <v>#N/A</v>
      </c>
      <c r="EA133" s="152">
        <f t="shared" ca="1" si="384"/>
        <v>129</v>
      </c>
      <c r="EB133" s="153" t="e">
        <f t="shared" ca="1" si="385"/>
        <v>#N/A</v>
      </c>
      <c r="EC133" s="153" t="e">
        <f t="shared" ca="1" si="386"/>
        <v>#N/A</v>
      </c>
      <c r="ED133" s="154" t="e">
        <f ca="1">IF(Control!$C$114=1, $HM133*$FY133-$FD133, 0)</f>
        <v>#DIV/0!</v>
      </c>
      <c r="EE133" s="155" t="e">
        <f ca="1">IF(Control!$C$114=1, $HM133*$FZ133-$FF133, 0)</f>
        <v>#DIV/0!</v>
      </c>
      <c r="EF133" s="153" t="e">
        <f t="shared" ca="1" si="440"/>
        <v>#N/A</v>
      </c>
      <c r="EG133" s="155" t="e">
        <f ca="1">IF(Control!$C$114=1, $GX133*$FW133-$FI133, 0)</f>
        <v>#DIV/0!</v>
      </c>
      <c r="EH133" s="153" t="e">
        <f t="shared" ca="1" si="387"/>
        <v>#N/A</v>
      </c>
      <c r="EI133" s="156" t="e">
        <f t="shared" ca="1" si="388"/>
        <v>#N/A</v>
      </c>
      <c r="EJ133" s="155" t="e">
        <f ca="1">IF(Control!$C$114=1, $HM133*$GB133, 0)</f>
        <v>#DIV/0!</v>
      </c>
      <c r="EK133" s="153" t="e">
        <f t="shared" ca="1" si="441"/>
        <v>#N/A</v>
      </c>
      <c r="EL133" s="153" t="e">
        <f t="shared" ca="1" si="260"/>
        <v>#N/A</v>
      </c>
      <c r="EM133" s="153" t="e">
        <f t="shared" ca="1" si="261"/>
        <v>#N/A</v>
      </c>
      <c r="EN133" s="153" t="e">
        <f ca="1">IF(Control!$C$108=1,IF(AND(Control!$B$18=1,$EB133&gt;=Control!$B$19),$EB133-$DS133,IF(AND(Control!$B$18=2,$AW133=1,$EB133&gt;$DS133),$EB133-$DS133,0)))</f>
        <v>#N/A</v>
      </c>
      <c r="EO133" s="153" t="e">
        <f ca="1">IF(Control!$C$108=1,IF(AND(Control!$B$18=1,$EB133&gt;=Control!$B$19),$EF133,IF(AND(Control!$B$18=2,$AW133=1),$EF133,0)))</f>
        <v>#N/A</v>
      </c>
      <c r="EP133" s="153" t="e">
        <f ca="1">IF(Control!$C$108=1,IF(AND(Control!$B$18=1,$EB133&gt;=Control!$B$19),$EK133,IF(AND(Control!$B$18=2,$AW133=1),$EK133,0)))</f>
        <v>#N/A</v>
      </c>
      <c r="EQ133" s="153" t="e">
        <f t="shared" ca="1" si="389"/>
        <v>#N/A</v>
      </c>
      <c r="ER133" s="153" t="e">
        <f t="shared" ca="1" si="390"/>
        <v>#N/A</v>
      </c>
      <c r="ES133" s="153" t="e">
        <f t="shared" ca="1" si="442"/>
        <v>#N/A</v>
      </c>
      <c r="ET133" s="153" t="e">
        <f t="shared" ca="1" si="443"/>
        <v>#N/A</v>
      </c>
      <c r="EU133" s="153" t="e">
        <f t="shared" ca="1" si="391"/>
        <v>#N/A</v>
      </c>
      <c r="EV133" s="153" t="e">
        <f t="shared" ca="1" si="262"/>
        <v>#N/A</v>
      </c>
      <c r="EW133" s="153" t="e">
        <f t="shared" ca="1" si="263"/>
        <v>#N/A</v>
      </c>
      <c r="EX133" s="153" t="e">
        <f t="shared" ca="1" si="264"/>
        <v>#N/A</v>
      </c>
      <c r="EY133" s="157" t="e">
        <f t="shared" ca="1" si="265"/>
        <v>#DIV/0!</v>
      </c>
      <c r="EZ133" s="154" t="e">
        <f t="shared" ca="1" si="266"/>
        <v>#DIV/0!</v>
      </c>
      <c r="FA133" s="153" t="e">
        <f t="shared" ca="1" si="392"/>
        <v>#N/A</v>
      </c>
      <c r="FB133" s="153" t="e">
        <f t="shared" ca="1" si="267"/>
        <v>#N/A</v>
      </c>
      <c r="FC133" s="193" t="e">
        <f t="shared" ca="1" si="268"/>
        <v>#N/A</v>
      </c>
      <c r="FD133" s="158" t="e">
        <f t="shared" ca="1" si="393"/>
        <v>#N/A</v>
      </c>
      <c r="FE133" s="158" t="e">
        <f t="shared" ca="1" si="394"/>
        <v>#N/A</v>
      </c>
      <c r="FF133" s="159" t="e">
        <f t="shared" ca="1" si="269"/>
        <v>#N/A</v>
      </c>
      <c r="FG133" s="160" t="e">
        <f t="shared" ca="1" si="395"/>
        <v>#N/A</v>
      </c>
      <c r="FH133" s="158" t="e">
        <f t="shared" ca="1" si="396"/>
        <v>#N/A</v>
      </c>
      <c r="FI133" s="159" t="e">
        <f t="shared" ca="1" si="270"/>
        <v>#N/A</v>
      </c>
      <c r="FJ133" s="160" t="e">
        <f t="shared" ca="1" si="397"/>
        <v>#N/A</v>
      </c>
      <c r="FK133" s="160" t="e">
        <f t="shared" ca="1" si="271"/>
        <v>#N/A</v>
      </c>
      <c r="FL133" s="160" t="e">
        <f t="shared" ca="1" si="444"/>
        <v>#N/A</v>
      </c>
      <c r="FM133" s="160" t="e">
        <f t="shared" ca="1" si="272"/>
        <v>#N/A</v>
      </c>
      <c r="FN133" s="158">
        <f t="shared" ca="1" si="398"/>
        <v>0.01</v>
      </c>
      <c r="FO133" s="160">
        <f>Control!$C$101</f>
        <v>50</v>
      </c>
      <c r="FP133" s="150" t="e">
        <f t="shared" ca="1" si="273"/>
        <v>#N/A</v>
      </c>
      <c r="FQ133" s="150" t="e">
        <f ca="1">MAX(0,(Control!$C$112*(($DK133-Control!$C$97)/Control!$C$97)))</f>
        <v>#N/A</v>
      </c>
      <c r="FR133" s="150" t="e">
        <f ca="1">(1-$NT133)*Control!$C$113</f>
        <v>#DIV/0!</v>
      </c>
      <c r="FS133" s="198" t="e">
        <f t="shared" ca="1" si="274"/>
        <v>#N/A</v>
      </c>
      <c r="FT133" s="161">
        <f t="shared" ca="1" si="399"/>
        <v>129</v>
      </c>
      <c r="FU133" s="162" t="e">
        <f ca="1">IF(Control!$B$34=1,VLOOKUP($CP133,Control!$B$86:$G$91,6),Control!$B$35)</f>
        <v>#N/A</v>
      </c>
      <c r="FV133" s="162" t="e">
        <f t="shared" ca="1" si="275"/>
        <v>#DIV/0!</v>
      </c>
      <c r="FW133" s="162" t="e">
        <f ca="1">IF(Control!$B$31=1,$FU133*$FV133,  $FU133)</f>
        <v>#N/A</v>
      </c>
      <c r="FX133" s="162" t="e">
        <f ca="1">IF(Control!$B$34=1,VLOOKUP($CP133,Control!$B$86:$G$91,3),Control!$B$36)</f>
        <v>#N/A</v>
      </c>
      <c r="FY133" s="162" t="e">
        <f t="shared" ca="1" si="276"/>
        <v>#N/A</v>
      </c>
      <c r="FZ133" s="162" t="e">
        <f ca="1">IF(Control!$B$34=1,VLOOKUP($CP133,Control!$B$86:$G$91,4),Control!$B$37)</f>
        <v>#N/A</v>
      </c>
      <c r="GA133" s="162" t="e">
        <f t="shared" ca="1" si="277"/>
        <v>#N/A</v>
      </c>
      <c r="GB133" s="162" t="e">
        <f ca="1">IF(Control!$B$34=1,VLOOKUP($CP133,Control!$B$86:$G$91,5),Control!$B$38)</f>
        <v>#N/A</v>
      </c>
      <c r="GC133" s="162" t="e">
        <f t="shared" ca="1" si="400"/>
        <v>#N/A</v>
      </c>
      <c r="GD133" s="162">
        <f t="shared" ca="1" si="278"/>
        <v>1</v>
      </c>
      <c r="GE133" s="162">
        <f t="shared" ca="1" si="279"/>
        <v>1</v>
      </c>
      <c r="GF133" s="162">
        <f ca="1">IF(AND(Control!$C$104=1, Control!$C$62="F"),$GE133,1)</f>
        <v>1</v>
      </c>
      <c r="GG133" s="162" t="e">
        <f ca="1">IF(Control!$B$16=40,0,IF(AND(Control!$B$16&gt;40,Control!$B$16&lt;=360),(Control!$B$16-40)*((1-0)/(360-40)),IF(AND(Control!$B$16&gt;360,Control!$B$16&lt;=720),(1+(Control!$B$16-360)*((1.25-1)/(720-360))),IF(AND(Control!$B$16&gt;720,Control!$B$16&lt;=1000),(1.25+(Control!$B$16-720)*((1.35-1.25)/(1000-720))),IF(AND(Control!$B$16&gt;1000,Control!$B$16&lt;=2000),(1.35+(Control!$B$16-1000)*0))))))</f>
        <v>#N/A</v>
      </c>
      <c r="GH133" s="162" t="e">
        <f t="shared" ca="1" si="280"/>
        <v>#N/A</v>
      </c>
      <c r="GI133" s="162">
        <f t="shared" ca="1" si="401"/>
        <v>0</v>
      </c>
      <c r="GJ133" s="162">
        <f t="shared" ca="1" si="281"/>
        <v>0</v>
      </c>
      <c r="GK133" s="162">
        <f t="shared" ca="1" si="402"/>
        <v>1</v>
      </c>
      <c r="GL133" s="162">
        <f t="shared" ca="1" si="282"/>
        <v>1</v>
      </c>
      <c r="GM133" s="162" t="e">
        <f ca="1">MAX(0,MIN(1,1-Control!$C$156*(1.0001-$KH133)^2))</f>
        <v>#N/A</v>
      </c>
      <c r="GN133" s="162" t="e">
        <f ca="1">IF(Control!$B$26=1,$KU133,$KX133)</f>
        <v>#N/A</v>
      </c>
      <c r="GO133" s="162" t="e">
        <f ca="1">IF($CP133&lt;=60,Control!$C$105,IF($CP133&gt;=90,Control!$C$106,Control!$C$105+($CP133-60)*((Control!$C$106-Control!$C$105)/(90-60))))</f>
        <v>#N/A</v>
      </c>
      <c r="GP133" s="162" t="e">
        <f t="shared" ca="1" si="283"/>
        <v>#N/A</v>
      </c>
      <c r="GQ133" s="162" t="e">
        <f t="shared" ca="1" si="403"/>
        <v>#N/A</v>
      </c>
      <c r="GR133" s="163" t="e">
        <f t="shared" ca="1" si="284"/>
        <v>#DIV/0!</v>
      </c>
      <c r="GS133" s="162" t="e">
        <f t="shared" ca="1" si="285"/>
        <v>#DIV/0!</v>
      </c>
      <c r="GT133" s="164" t="e">
        <f t="shared" ca="1" si="404"/>
        <v>#N/A</v>
      </c>
      <c r="GU133" s="162" t="e">
        <f t="shared" ca="1" si="405"/>
        <v>#N/A</v>
      </c>
      <c r="GV133" s="162" t="e">
        <f t="shared" ca="1" si="286"/>
        <v>#N/A</v>
      </c>
      <c r="GW133" s="162" t="e">
        <f t="shared" ca="1" si="287"/>
        <v>#DIV/0!</v>
      </c>
      <c r="GX133" s="162" t="e">
        <f t="shared" ca="1" si="406"/>
        <v>#DIV/0!</v>
      </c>
      <c r="GY133" s="162" t="e">
        <f t="shared" ca="1" si="407"/>
        <v>#DIV/0!</v>
      </c>
      <c r="GZ133" s="165" t="e">
        <f t="shared" ca="1" si="288"/>
        <v>#N/A</v>
      </c>
      <c r="HA133" s="162" t="e">
        <f ca="1">IF(Control!$C$114=1, $DI133*$FS133, 0)</f>
        <v>#N/A</v>
      </c>
      <c r="HB133" s="162" t="e">
        <f ca="1">$FA133/Control!$C$64</f>
        <v>#N/A</v>
      </c>
      <c r="HC133" s="162" t="e">
        <f t="shared" ca="1" si="289"/>
        <v>#DIV/0!</v>
      </c>
      <c r="HD133" s="162">
        <f ca="1">-ASIN(SIN(23.45*Control!$C$139)*COS(2*Control!$C$138*($AH133+10)/365))</f>
        <v>0.29579160910785818</v>
      </c>
      <c r="HE133" s="165">
        <f t="shared" ca="1" si="408"/>
        <v>0</v>
      </c>
      <c r="HF133" s="166">
        <f ca="1">IF(AND(Control!$C$61="T",$HE133&gt;=Control!$C$103,Control!$C$114=0),$AH133,Control!$C$59)</f>
        <v>1</v>
      </c>
      <c r="HG133" s="166">
        <f ca="1">IF(AND(Control!$C$61="T",$HE133&gt;=Control!$C$103,Control!$C$114=0),$HF133,Control!$C$59)</f>
        <v>1</v>
      </c>
      <c r="HH133" s="165">
        <f ca="1">IF(AND(OR(Control!$C$60&lt;=0, $AH133= Control!$C$59, Control!$C$60 &gt;0, $AH133 = Control!$C$60)), Control!$C$59, IF(Control!$C$60&gt;0, 0))</f>
        <v>1</v>
      </c>
      <c r="HI133" s="165">
        <f ca="1">IF(AND(OR(Control!$C$60&lt;=0, $AH133= Control!$C$59, Control!$C$60 &gt;0, $AH133 = Control!$C$60)), Control!$C$60, IF(Control!$C$60&lt;=0, 0))</f>
        <v>0</v>
      </c>
      <c r="HJ133" s="166">
        <f ca="1">IF(AND(Control!$C$62="F",$CV133&gt;=Control!$C$102),$AH133,0)</f>
        <v>0</v>
      </c>
      <c r="HK133" s="165" t="e">
        <f t="shared" ca="1" si="445"/>
        <v>#N/A</v>
      </c>
      <c r="HL133" s="166">
        <f ca="1">IF(AND(Control!$C$61="T",$HE133&gt;=Control!$C$103,Control!$C$114=0),$HF133,0)</f>
        <v>0</v>
      </c>
      <c r="HM133" s="201" t="e">
        <f t="shared" ca="1" si="290"/>
        <v>#DIV/0!</v>
      </c>
      <c r="HN133" s="215">
        <f t="shared" ca="1" si="409"/>
        <v>129</v>
      </c>
      <c r="HO133" s="216" t="e">
        <f ca="1">IF(AND($CP133&gt;=0, $CP133&lt;=90), Control!$C$152, Control!$C$152)</f>
        <v>#N/A</v>
      </c>
      <c r="HP133" s="216" t="e">
        <f t="shared" ca="1" si="291"/>
        <v>#N/A</v>
      </c>
      <c r="HQ133" s="217" t="e">
        <f ca="1">IF(OR(Control!$B$26=1,Control!$B$26=2),$KV133,$KS133)</f>
        <v>#DIV/0!</v>
      </c>
      <c r="HR133" s="218" t="e">
        <f t="shared" ca="1" si="446"/>
        <v>#DIV/0!</v>
      </c>
      <c r="HS133" s="216" t="e">
        <f ca="1">Control!$C$154*$HP133</f>
        <v>#N/A</v>
      </c>
      <c r="HT133" s="216" t="e">
        <f ca="1">Control!$C$155*$HP133</f>
        <v>#N/A</v>
      </c>
      <c r="HU133" s="217" t="e">
        <f ca="1">Control!$C$161*$FI133</f>
        <v>#N/A</v>
      </c>
      <c r="HV133" s="218" t="e">
        <f t="shared" ca="1" si="410"/>
        <v>#N/A</v>
      </c>
      <c r="HW133" s="218" t="e">
        <f ca="1">Control!$C$160*$FF133+$IP133*$EO133</f>
        <v>#N/A</v>
      </c>
      <c r="HX133" s="218" t="e">
        <f t="shared" ca="1" si="447"/>
        <v>#N/A</v>
      </c>
      <c r="HY133" s="219" t="e">
        <f ca="1">IF(Control!$C$114=1, $EB133*$FS133, 0)</f>
        <v>#N/A</v>
      </c>
      <c r="HZ133" s="91" t="e">
        <f t="shared" ca="1" si="292"/>
        <v>#N/A</v>
      </c>
      <c r="IA133" s="220" t="e">
        <f ca="1">Control!$C$153*$HO133</f>
        <v>#N/A</v>
      </c>
      <c r="IB133" s="218" t="e">
        <f t="shared" ca="1" si="293"/>
        <v>#N/A</v>
      </c>
      <c r="IC133" s="220" t="e">
        <f ca="1">Control!$C$153*$HT133</f>
        <v>#N/A</v>
      </c>
      <c r="ID133" s="218" t="e">
        <f t="shared" ca="1" si="294"/>
        <v>#N/A</v>
      </c>
      <c r="IE133" s="221" t="e">
        <f ca="1">($EB133*Control!$C$159+$EF133*Control!$C$160)/(IF($GZ133&lt;&gt;0,$GZ133,1))</f>
        <v>#N/A</v>
      </c>
      <c r="IF133" s="216" t="e">
        <f t="shared" ca="1" si="295"/>
        <v>#N/A</v>
      </c>
      <c r="IG133" s="91">
        <f ca="1">IF(OR(Control!$B$198=$AH133,Control!$B$199=$AH133, Control!$B$200=$AH133, Control!$B$201=$AH133, Control!$B$202=$AH133, Control!$B$203=$AH133, Control!$B$204=$AH133, Control!$B$205=$AH133, Control!$B$206=$AH133, Control!$B$207=$AH133), 1, 0)</f>
        <v>0</v>
      </c>
      <c r="IH133" s="91">
        <f ca="1">IF($IG133=0,0, VLOOKUP($AH133,Control!$B$198:$C$207,2))</f>
        <v>0</v>
      </c>
      <c r="II133" s="222">
        <f t="shared" ca="1" si="411"/>
        <v>0</v>
      </c>
      <c r="IJ133" s="91">
        <f>Control!$C$121</f>
        <v>0.7</v>
      </c>
      <c r="IK133" s="218">
        <f t="shared" ca="1" si="296"/>
        <v>0</v>
      </c>
      <c r="IL133" s="217" t="e">
        <f t="shared" ca="1" si="448"/>
        <v>#N/A</v>
      </c>
      <c r="IM133" s="223" t="e">
        <f ca="1">IF(AND(Control!$C$114=1,$KH133&lt;1),$EB133*Control!$C$148*(1-$KH133), 0)</f>
        <v>#N/A</v>
      </c>
      <c r="IN133" s="217" t="e">
        <f t="shared" ca="1" si="297"/>
        <v>#DIV/0!</v>
      </c>
      <c r="IO133" s="91" t="e">
        <f ca="1">MAX(0,$IL133-$EF133*Control!$C$160)</f>
        <v>#N/A</v>
      </c>
      <c r="IP133" s="220" t="e">
        <f t="shared" ca="1" si="298"/>
        <v>#N/A</v>
      </c>
      <c r="IQ133" s="217" t="e">
        <f t="shared" ca="1" si="412"/>
        <v>#N/A</v>
      </c>
      <c r="IR133" s="218" t="e">
        <f t="shared" ca="1" si="299"/>
        <v>#N/A</v>
      </c>
      <c r="IS133" s="217" t="e">
        <f ca="1">Control!$C$159*MAX(0,$FD133-$EN133)</f>
        <v>#N/A</v>
      </c>
      <c r="IT133" s="217" t="e">
        <f t="shared" ca="1" si="449"/>
        <v>#N/A</v>
      </c>
      <c r="IU133" s="217" t="e">
        <f t="shared" ca="1" si="413"/>
        <v>#N/A</v>
      </c>
      <c r="IV133" s="217" t="e">
        <f t="shared" ca="1" si="450"/>
        <v>#N/A</v>
      </c>
      <c r="IW133" s="217" t="e">
        <f ca="1">IF(OR($AW133=1,AND($AW133=0, Control!$B$18=1,$EN133&lt;&gt;0)), $IQ133-$IU133, $IQ133)</f>
        <v>#N/A</v>
      </c>
      <c r="IX133" s="218" t="e">
        <f t="shared" ca="1" si="300"/>
        <v>#N/A</v>
      </c>
      <c r="IY133" s="218" t="e">
        <f ca="1">MAX(0,$IQ133-$EB133*Control!$C$159)</f>
        <v>#N/A</v>
      </c>
      <c r="IZ133" s="218" t="e">
        <f t="shared" ca="1" si="301"/>
        <v>#N/A</v>
      </c>
      <c r="JA133" s="216" t="e">
        <f t="shared" ca="1" si="302"/>
        <v>#N/A</v>
      </c>
      <c r="JB133" s="217" t="e">
        <f t="shared" ca="1" si="303"/>
        <v>#N/A</v>
      </c>
      <c r="JC133" s="222" t="e">
        <f ca="1">MAX(Control!$C$157*$EK133-$JT133, 0)/Control!$C$162</f>
        <v>#N/A</v>
      </c>
      <c r="JD133" s="218" t="e">
        <f t="shared" ca="1" si="304"/>
        <v>#N/A</v>
      </c>
      <c r="JE133" s="218" t="e">
        <f t="shared" ca="1" si="305"/>
        <v>#N/A</v>
      </c>
      <c r="JF133" s="218" t="e">
        <f t="shared" ca="1" si="414"/>
        <v>#N/A</v>
      </c>
      <c r="JG133" s="218" t="e">
        <f t="shared" ca="1" si="306"/>
        <v>#N/A</v>
      </c>
      <c r="JH133" s="217" t="e">
        <f t="shared" ca="1" si="415"/>
        <v>#N/A</v>
      </c>
      <c r="JI133" s="217" t="e">
        <f t="shared" ca="1" si="416"/>
        <v>#N/A</v>
      </c>
      <c r="JJ133" s="217" t="e">
        <f t="shared" ca="1" si="451"/>
        <v>#N/A</v>
      </c>
      <c r="JK133" s="217" t="e">
        <f ca="1">IF(Control!$C$114=1,IF(Control!$B$24=0,MAX(0,$JI133)*$GN133/Control!$C$64,(MAX(0,MIN($JI133,$JJ133*$GN133/Control!$C$64),0))))</f>
        <v>#N/A</v>
      </c>
      <c r="JL133" s="217" t="e">
        <f ca="1">$IK133/Control!$C$64-$JK133+$HQ133</f>
        <v>#N/A</v>
      </c>
      <c r="JM133" s="217" t="e">
        <f ca="1">IF(Control!$C$114=1,($JB133/(IF($JI133&lt;&gt;0,$JI133,1)))*$JK133,0)</f>
        <v>#N/A</v>
      </c>
      <c r="JN133" s="217" t="e">
        <f ca="1">IF(Control!$C$114=1,($JG133/(IF($JI133&lt;&gt;0,$JI133,1)))*$JK133, 0)</f>
        <v>#N/A</v>
      </c>
      <c r="JO133" s="218" t="e">
        <f t="shared" ca="1" si="307"/>
        <v>#N/A</v>
      </c>
      <c r="JP133" s="218" t="e">
        <f ca="1">MIN(($IY133+$IO133)*Control!$C$151, $JF133-$EH133*Control!$C$161)</f>
        <v>#N/A</v>
      </c>
      <c r="JQ133" s="218" t="e">
        <f t="shared" ca="1" si="308"/>
        <v>#N/A</v>
      </c>
      <c r="JR133" s="217" t="e">
        <f ca="1">IF($CP133-Control!$C$150&lt;0, 0, $JQ133/Control!$C$162)</f>
        <v>#N/A</v>
      </c>
      <c r="JS133" s="218" t="e">
        <f t="shared" ca="1" si="309"/>
        <v>#N/A</v>
      </c>
      <c r="JT133" s="218" t="e">
        <f t="shared" ca="1" si="417"/>
        <v>#N/A</v>
      </c>
      <c r="JU133" s="218" t="e">
        <f t="shared" ca="1" si="310"/>
        <v>#N/A</v>
      </c>
      <c r="JV133" s="218" t="e">
        <f t="shared" ca="1" si="311"/>
        <v>#N/A</v>
      </c>
      <c r="JW133" s="216" t="e">
        <f t="shared" ca="1" si="312"/>
        <v>#N/A</v>
      </c>
      <c r="JX133" s="91" t="e">
        <f t="shared" ca="1" si="313"/>
        <v>#N/A</v>
      </c>
      <c r="JY133" s="218" t="e">
        <f t="shared" ca="1" si="314"/>
        <v>#N/A</v>
      </c>
      <c r="JZ133" s="217" t="e">
        <f ca="1">IF(Control!$C$114=1,($IZ133/(IF($JI133&lt;&gt;0,$JI133,1)))*$JK133, 0)</f>
        <v>#N/A</v>
      </c>
      <c r="KA133" s="218" t="e">
        <f t="shared" ca="1" si="452"/>
        <v>#N/A</v>
      </c>
      <c r="KB133" s="218" t="e">
        <f t="shared" ca="1" si="418"/>
        <v>#N/A</v>
      </c>
      <c r="KC133" s="218" t="e">
        <f t="shared" ca="1" si="315"/>
        <v>#N/A</v>
      </c>
      <c r="KD133" s="218" t="e">
        <f t="shared" ca="1" si="316"/>
        <v>#N/A</v>
      </c>
      <c r="KE133" s="218" t="e">
        <f t="shared" ca="1" si="317"/>
        <v>#N/A</v>
      </c>
      <c r="KF133" s="218" t="e">
        <f t="shared" ca="1" si="318"/>
        <v>#N/A</v>
      </c>
      <c r="KG133" s="216" t="e">
        <f t="shared" ca="1" si="319"/>
        <v>#N/A</v>
      </c>
      <c r="KH133" s="221" t="e">
        <f ca="1">IF(Control!$B$24=0,1,MAX(0.001,MIN(1,IF(($IF133-$IE133)&lt;&gt;0,($KG133-$IE133)/($IF133-$IE133),1))))</f>
        <v>#N/A</v>
      </c>
      <c r="KI133" s="222" t="e">
        <f ca="1">IF(Control!$C$114=1, $KI132+ $KH132, 0)</f>
        <v>#N/A</v>
      </c>
      <c r="KJ133" s="217" t="e">
        <f t="shared" ca="1" si="320"/>
        <v>#N/A</v>
      </c>
      <c r="KK133" s="218" t="e">
        <f t="shared" ca="1" si="321"/>
        <v>#N/A</v>
      </c>
      <c r="KL133" s="274" t="e">
        <f ca="1">IF(Control!$B$26=3,4000000000*EXP(-8400/($G133+273)),IF(Control!$B$26=4,4000000000*EXP(-8400/($G133+273))*($KT133),0))</f>
        <v>#DIV/0!</v>
      </c>
      <c r="KM133" s="274" t="e">
        <f ca="1">IF(Control!$B$26=3,5600000000000*EXP(-9800/($G133+273)),IF(Control!$B$26=4,5600000000000*EXP(-9800/($G133+273))*$KT133,0))</f>
        <v>#DIV/0!</v>
      </c>
      <c r="KN133" s="454" t="e">
        <f t="shared" ca="1" si="419"/>
        <v>#DIV/0!</v>
      </c>
      <c r="KO133" s="274" t="e">
        <f t="shared" ca="1" si="420"/>
        <v>#DIV/0!</v>
      </c>
      <c r="KP133" s="454" t="e">
        <f t="shared" ca="1" si="322"/>
        <v>#DIV/0!</v>
      </c>
      <c r="KQ133" s="454" t="e">
        <f t="shared" ca="1" si="323"/>
        <v>#DIV/0!</v>
      </c>
      <c r="KR133" s="454" t="e">
        <f t="shared" ca="1" si="324"/>
        <v>#DIV/0!</v>
      </c>
      <c r="KS133" s="454" t="e">
        <f t="shared" ca="1" si="325"/>
        <v>#DIV/0!</v>
      </c>
      <c r="KT133" s="455" t="e">
        <f t="shared" ca="1" si="326"/>
        <v>#DIV/0!</v>
      </c>
      <c r="KU133" s="456" t="e">
        <f ca="1">IF($CP133-Control!$C$149&lt;0, IF($NT133-0.01&lt;0,0,1),0)</f>
        <v>#N/A</v>
      </c>
      <c r="KV133" s="456" t="e">
        <f ca="1">IF(Control!$C$114=1,MAX(0,MIN(Control!$C$125*$KW133*$GN133,$KW133)))</f>
        <v>#DIV/0!</v>
      </c>
      <c r="KW133" s="456" t="e">
        <f t="shared" ca="1" si="453"/>
        <v>#DIV/0!</v>
      </c>
      <c r="KX133" s="457" t="e">
        <f ca="1">IF($CP133-Control!$C$149&lt;0, IF($MR133-$OM133&lt;0,0,1),0)</f>
        <v>#N/A</v>
      </c>
      <c r="KY133" s="167">
        <f t="shared" ca="1" si="421"/>
        <v>129</v>
      </c>
      <c r="KZ133" s="168">
        <f ca="1">1370*(1+0.033*COS(2*Control!$C$138*$AH133/365))</f>
        <v>1342.6452281743088</v>
      </c>
      <c r="LA133" s="169">
        <f t="shared" ca="1" si="422"/>
        <v>0.98003314970158795</v>
      </c>
      <c r="LB133" s="169">
        <f t="shared" ca="1" si="423"/>
        <v>0.30198848753368118</v>
      </c>
      <c r="LC133" s="169">
        <f ca="1">ACOS(-TAN((2*Control!$B$8/360))*TAN(Calculations!$LB133))</f>
        <v>1.6635127434413308</v>
      </c>
      <c r="LD133" s="169">
        <f ca="1">((24*60)/PI())*0.082*$LA133*(($LC133*SIN(Control!$B$8*2*PI()/360))*SIN($LB133)+COS(Control!$B$8*2*PI()/360)*COS($LB133)*SIN($LC133))</f>
        <v>35.920306877449995</v>
      </c>
      <c r="LE133" s="170">
        <f t="shared" ca="1" si="327"/>
        <v>36.663950866066585</v>
      </c>
      <c r="LF133" s="170">
        <f ca="1">SIN(Control!$C$139*Control!$B$8)*SIN($HD133)</f>
        <v>0.22970328724503714</v>
      </c>
      <c r="LG133" s="170">
        <f ca="1">COS(Control!$C$139*Control!$B$8)*COS($HD133)</f>
        <v>0.58892273830596953</v>
      </c>
      <c r="LH133" s="170">
        <f ca="1">12*(1+2*ASIN(MAX(-1,MIN(1,$LF133/$LG133))/Control!$C$138))</f>
        <v>14.987385750307848</v>
      </c>
      <c r="LI133" s="170">
        <f ca="1">12*(1+2*ASIN(MAX(-1,MIN(1,(-SIN(-4*Control!$C$139)+$LF133)/$LG133))/Control!$C$138))</f>
        <v>15.90171422869815</v>
      </c>
      <c r="LJ133" s="168">
        <f ca="1">3600*($LH133*$LF133+24*$LG133*SQRT(1-$LK133*$LK133)/Control!$C$138)</f>
        <v>27307.251459062783</v>
      </c>
      <c r="LK133" s="170">
        <f t="shared" ca="1" si="328"/>
        <v>0.39003976634656079</v>
      </c>
      <c r="LL133" s="170">
        <f t="shared" ca="1" si="329"/>
        <v>0</v>
      </c>
      <c r="LM133" s="171">
        <f ca="1">Control!$C$145*$AB133</f>
        <v>6.6660906138995932E-2</v>
      </c>
      <c r="LN133" s="170">
        <f t="shared" ca="1" si="424"/>
        <v>0.54</v>
      </c>
      <c r="LO133" s="170">
        <f t="shared" ca="1" si="330"/>
        <v>0</v>
      </c>
      <c r="LP133" s="170">
        <f ca="1">Control!$C$140*((($D133+273.16)^4+($E133+273.16)^4)/2)*(0.34-0.14*SQRT($Y133))*(1.35*$AQ133/(0.75*$LD133)-0.35)</f>
        <v>-3.2464704755046001</v>
      </c>
      <c r="LQ133" s="170">
        <f ca="1">Control!$C$140*($G133+273)^4*(0.56-0.079*SQRT($Y133*10))*(0.1+0.9*$LO133)</f>
        <v>1.5241745131704001</v>
      </c>
      <c r="LR133" s="170">
        <f ca="1">$AQ133*(1-Control!$C$142)-$LQ133</f>
        <v>-1.5241745131704001</v>
      </c>
      <c r="LS133" s="170">
        <f ca="1">$AQ133*(1-Control!$C$143)-$LQ133</f>
        <v>-1.5241745131704001</v>
      </c>
      <c r="LT133" s="170">
        <f ca="1">$AQ133*(1-Control!$C$144)-$LQ133</f>
        <v>-1.5241745131704001</v>
      </c>
      <c r="LU133" s="169">
        <f ca="1">(1-Control!$C$144)*AQ133-LP133</f>
        <v>3.2464704755046001</v>
      </c>
      <c r="LV133" s="172">
        <f t="shared" ca="1" si="331"/>
        <v>0.79430000000000012</v>
      </c>
      <c r="LW133" s="170">
        <f t="shared" ca="1" si="332"/>
        <v>1.5886000000000002</v>
      </c>
      <c r="LX133" s="170">
        <f ca="1">($AC133*($LR133/Control!$C$141)+$LM133*$LV133)/($AC133+$LM133)</f>
        <v>0.23530094218323697</v>
      </c>
      <c r="LY133" s="170">
        <f ca="1">($AC133*($LS133/Control!$C$141)+$LM133*$LV133)/($AC133+$LM133)</f>
        <v>0.23530094218323697</v>
      </c>
      <c r="LZ133" s="170">
        <f t="shared" ca="1" si="333"/>
        <v>0.23530094218323697</v>
      </c>
      <c r="MA133" s="170">
        <f t="shared" ca="1" si="334"/>
        <v>0.23530094218323697</v>
      </c>
      <c r="MB133" s="170" t="e">
        <f t="shared" ca="1" si="335"/>
        <v>#N/A</v>
      </c>
      <c r="MC133" s="170">
        <f t="shared" ca="1" si="425"/>
        <v>0.6018</v>
      </c>
      <c r="MD133" s="170">
        <f t="shared" ca="1" si="336"/>
        <v>0.52989392535414004</v>
      </c>
      <c r="ME133" s="170">
        <f ca="1">($AC133*($LT133/Control!$C$141)+$LM133*$LW133)/($AC133+$LM133)</f>
        <v>0.71612369323045078</v>
      </c>
      <c r="MF133" s="170" t="e">
        <f ca="1">IF(Control!$B$16&gt;=1000,0.92,IF(AND(720&lt;=Control!$B$16,1000&gt;Control!$B$16),(0.95+(Control!$B$16-720)*((0.92-0.95)/(1000-720))),IF(AND(360&lt;=Control!$B$16,720&gt;Control!$B$16),(1+(Control!$B$16-360)*((0.95-1)/(720-360))),IF(AND(40&lt;=Control!$B$16,360&gt;Control!$B$16),(1.05+(Control!$B$16-40)*((1.05-1)/(360-40)))))))</f>
        <v>#N/A</v>
      </c>
      <c r="MG133" s="170">
        <f t="shared" ca="1" si="337"/>
        <v>0.71612369323045078</v>
      </c>
      <c r="MH133" s="170" t="e">
        <f t="shared" ca="1" si="464"/>
        <v>#N/A</v>
      </c>
      <c r="MI133" s="170" t="e">
        <f t="shared" ca="1" si="464"/>
        <v>#N/A</v>
      </c>
      <c r="MJ133" s="170" t="e">
        <f ca="1">MAX(0.0001, Control!$C$132*$MI133*$DL133)</f>
        <v>#N/A</v>
      </c>
      <c r="MK133" s="170">
        <f ca="1">1/(0.76+1.5*($MG133/10))-(5-Control!$C$110)*0.1</f>
        <v>1.002845988140797</v>
      </c>
      <c r="ML133" s="173">
        <f ca="1">IF(Control!$C$110&lt;3,$MK133+($MG133-0.6)/(Control!$C$110*(Control!$C$110+3)), MAX(0.1, MIN(0.95,$MK133)))</f>
        <v>0.95</v>
      </c>
      <c r="MM133" s="173">
        <f ca="1">IF(Control!$C$110&lt;3,$MK133+(($MI133/10)-0.6)/(Control!$C$110*(Control!$C$110+3)), MAX(0.1, MIN(0.95,$MK133)))</f>
        <v>0.95</v>
      </c>
      <c r="MN133" s="173">
        <f ca="1">(1-$MM133)*(Control!$C$128-Control!$C$127)+Control!$C$127</f>
        <v>0.16</v>
      </c>
      <c r="MO133" s="170" t="e">
        <f ca="1">MAX(0,MIN(1,($MS133-Control!$C$127)/($MN133-Control!$C$127)))</f>
        <v>#DIV/0!</v>
      </c>
      <c r="MP133" s="173" t="e">
        <f ca="1">1/(0.76+1.5*$MI133)-(5-Control!$C$110)*0.1</f>
        <v>#N/A</v>
      </c>
      <c r="MQ133" s="172" t="e">
        <f t="shared" ca="1" si="454"/>
        <v>#DIV/0!</v>
      </c>
      <c r="MR133" s="168" t="e">
        <f t="shared" ca="1" si="426"/>
        <v>#DIV/0!</v>
      </c>
      <c r="MS133" s="173" t="e">
        <f ca="1">MAX(Control!$C$127, MIN(Control!$C$135, $MR133/MAX(0.0001,$CY133)))</f>
        <v>#DIV/0!</v>
      </c>
      <c r="MT133" s="168" t="e">
        <f ca="1">(Control!$C$128-$MS133)*Control!$C$74</f>
        <v>#DIV/0!</v>
      </c>
      <c r="MU133" s="168" t="e">
        <f ca="1">(Control!$C$135-$MS133)*Control!$C$74</f>
        <v>#DIV/0!</v>
      </c>
      <c r="MV133" s="168" t="e">
        <f t="shared" ca="1" si="427"/>
        <v>#DIV/0!</v>
      </c>
      <c r="MW133" s="168" t="e">
        <f t="shared" ca="1" si="428"/>
        <v>#DIV/0!</v>
      </c>
      <c r="MX133" s="171" t="e">
        <f ca="1">MAX(Control!$C$127, MIN(Control!$C$135, $MW133/MAX(0.0001,Control!$C$119-$CY133)))</f>
        <v>#DIV/0!</v>
      </c>
      <c r="MY133" s="54" t="e">
        <f ca="1">IF(Control!$C$114=1, $CX133*$MX133, 0)</f>
        <v>#DIV/0!</v>
      </c>
      <c r="MZ133" s="54" t="e">
        <f t="shared" ca="1" si="429"/>
        <v>#N/A</v>
      </c>
      <c r="NA133" s="168" t="e">
        <f ca="1">(Control!$C$128-$MX133)*(Control!$C$119-Control!$C$74)</f>
        <v>#DIV/0!</v>
      </c>
      <c r="NB133" s="168" t="e">
        <f ca="1">(Control!$C$135-$MX133)*(Control!$C$119-Control!$C$74)</f>
        <v>#DIV/0!</v>
      </c>
      <c r="NC133" s="174" t="e">
        <f t="shared" ca="1" si="430"/>
        <v>#DIV/0!</v>
      </c>
      <c r="ND133" s="54">
        <f ca="1">IF(Control!$C$58=2, IF(OR(Control!$B$218=$AH133,Control!$B$219=$AH133, Control!$B$220=$AH133, Control!$B$221=$AH133, Control!$B$222=$AH133, Control!$B$223=$AH133, Control!$B$224=$AH133, Control!$B$225=$AH133, Control!$B$226=$AH133, Control!$B$227=$AH133, Control!$B$228=$AH133), 1, 0), 0)</f>
        <v>0</v>
      </c>
      <c r="NE133" s="54">
        <f ca="1">IF($ND133=0,0, VLOOKUP($AH133,Control!$B$218:$C$228,2))</f>
        <v>0</v>
      </c>
      <c r="NF133" s="168" t="e">
        <f ca="1">$CY133*(Control!$C$128-Control!$C$127)</f>
        <v>#N/A</v>
      </c>
      <c r="NG133" s="54" t="e">
        <f ca="1">IF(Control!$C$58=2, $NI132-$NJ132, 0)</f>
        <v>#DIV/0!</v>
      </c>
      <c r="NH133" s="54" t="e">
        <f ca="1">IF(AND(Control!$C$58=1, $MS132&lt;= ($MN132+0.02), $I132&lt;10), 0, IF(Control!$C$58=2, $NG132, 0))</f>
        <v>#DIV/0!</v>
      </c>
      <c r="NI133" s="54" t="e">
        <f ca="1">IF(Control!$C$58=2, $NE133+$NH133,0)</f>
        <v>#DIV/0!</v>
      </c>
      <c r="NJ133" s="54" t="e">
        <f ca="1">IF(AND(Control!$C$58=1, $MS133&lt;= ($MN133+0.02), $I133&lt;10), MAX(0, MIN(10, 0.7*($NF133-$MV133))), IF(Control!$C$58=2, MIN(10,$NI133),0))</f>
        <v>#DIV/0!</v>
      </c>
      <c r="NK133" s="54" t="e">
        <f t="shared" ca="1" si="338"/>
        <v>#DIV/0!</v>
      </c>
      <c r="NL133" s="173" t="e">
        <f ca="1">(1-Control!$C$73)*$I133+$NJ133</f>
        <v>#DIV/0!</v>
      </c>
      <c r="NM133" s="172" t="e">
        <f ca="1">IF($NL133&lt;0.5, $MB133* MAX(0, MIN(1, (SQRT($NC133)-SQRT($NC133-1))*Control!$C$71)),0)</f>
        <v>#DIV/0!</v>
      </c>
      <c r="NN133" s="170" t="e">
        <f ca="1">IF($NL133&gt;=5, $MB133, MAX(0,MIN($MB133, $NM133+$NL133,($MS133-Control!$C$129))))</f>
        <v>#DIV/0!</v>
      </c>
      <c r="NO133" s="54">
        <f>IF(Control!$C$133&lt;&gt;1, Control!$C$135-Control!$C$131, 0)</f>
        <v>0.38</v>
      </c>
      <c r="NP133" s="54" t="e">
        <f t="shared" ca="1" si="339"/>
        <v>#DIV/0!</v>
      </c>
      <c r="NQ133" s="173" t="e">
        <f ca="1">MAX(0,MIN(1,(Control!$C$135-$MS133)/(Control!$C$135-$NO133)))</f>
        <v>#DIV/0!</v>
      </c>
      <c r="NR133" s="170" t="e">
        <f ca="1">IF(Control!$C$133&lt;&gt;1, $NQ133+((1-$NP133/4)*(1-$NQ133)),1)</f>
        <v>#DIV/0!</v>
      </c>
      <c r="NS133" s="170" t="e">
        <f ca="1">IF(Control!$B$31=0,$MJ133,MAX(0,MIN($MV133,$MO133*$NR133*$MJ133)))</f>
        <v>#DIV/0!</v>
      </c>
      <c r="NT133" s="170" t="e">
        <f t="shared" ca="1" si="455"/>
        <v>#DIV/0!</v>
      </c>
      <c r="NU133" s="170" t="e">
        <f t="shared" ca="1" si="431"/>
        <v>#N/A</v>
      </c>
      <c r="NV133" s="170" t="e">
        <f t="shared" ca="1" si="340"/>
        <v>#N/A</v>
      </c>
      <c r="NW133" s="175" t="e">
        <f t="shared" ca="1" si="341"/>
        <v>#DIV/0!</v>
      </c>
      <c r="NX133" s="170" t="e">
        <f ca="1">MIN(Control!$C$72+$MU133, $NW133)</f>
        <v>#DIV/0!</v>
      </c>
      <c r="NY133" s="170" t="e">
        <f ca="1">IF($MT133&lt;=$NX133,MIN(Control!$C$72+$NB133,$NX133-$MT133),0)</f>
        <v>#DIV/0!</v>
      </c>
      <c r="NZ133" s="54" t="e">
        <f ca="1">IF(Control!$C$114=1,  $CX133*($MX133-Control!$C$127), 0)</f>
        <v>#DIV/0!</v>
      </c>
      <c r="OA133" s="170" t="e">
        <f t="shared" ca="1" si="342"/>
        <v>#DIV/0!</v>
      </c>
      <c r="OB133" s="170" t="e">
        <f ca="1">IF($NA133 &lt;=$NY133, MIN(Control!$C$72, $NY133-$NA133), 0)</f>
        <v>#DIV/0!</v>
      </c>
      <c r="OC133" s="168" t="e">
        <f t="shared" ca="1" si="343"/>
        <v>#DIV/0!</v>
      </c>
      <c r="OD133" s="168" t="e">
        <f t="shared" ca="1" si="432"/>
        <v>#DIV/0!</v>
      </c>
      <c r="OE133" s="170">
        <f ca="1">Control!$C$73*$I133</f>
        <v>0</v>
      </c>
      <c r="OF133" s="176" t="e">
        <f t="shared" ca="1" si="344"/>
        <v>#DIV/0!</v>
      </c>
      <c r="OG133" s="168" t="e">
        <f t="shared" ca="1" si="345"/>
        <v>#DIV/0!</v>
      </c>
      <c r="OH133" s="168" t="e">
        <f t="shared" ca="1" si="346"/>
        <v>#DIV/0!</v>
      </c>
      <c r="OI133" s="168" t="e">
        <f t="shared" ca="1" si="347"/>
        <v>#DIV/0!</v>
      </c>
      <c r="OJ133" s="168" t="e">
        <f t="shared" ca="1" si="348"/>
        <v>#DIV/0!</v>
      </c>
      <c r="OK133" s="204" t="e">
        <f t="shared" ca="1" si="349"/>
        <v>#DIV/0!</v>
      </c>
      <c r="OL133" s="177">
        <f>Control!$C$127</f>
        <v>0.15</v>
      </c>
      <c r="OM133" s="182" t="e">
        <f t="shared" ca="1" si="350"/>
        <v>#N/A</v>
      </c>
      <c r="ON133" s="177">
        <f>Control!$C$128</f>
        <v>0.35</v>
      </c>
      <c r="OO133" s="182" t="e">
        <f t="shared" ca="1" si="351"/>
        <v>#N/A</v>
      </c>
      <c r="OP133" s="138">
        <f t="shared" ca="1" si="433"/>
        <v>0</v>
      </c>
      <c r="OQ133" s="138" t="e">
        <f t="shared" ca="1" si="456"/>
        <v>#DIV/0!</v>
      </c>
      <c r="OR133" s="138" t="e">
        <f t="shared" ca="1" si="434"/>
        <v>#DIV/0!</v>
      </c>
      <c r="OS133" s="137" t="e">
        <f t="shared" ca="1" si="457"/>
        <v>#DIV/0!</v>
      </c>
      <c r="OT133" s="139" t="e">
        <f t="shared" ca="1" si="458"/>
        <v>#DIV/0!</v>
      </c>
      <c r="OU133" s="138" t="e">
        <f t="shared" ca="1" si="459"/>
        <v>#N/A</v>
      </c>
      <c r="OV133" s="138" t="e">
        <f t="shared" ca="1" si="460"/>
        <v>#DIV/0!</v>
      </c>
      <c r="OW133" s="138" t="e">
        <f t="shared" ca="1" si="435"/>
        <v>#DIV/0!</v>
      </c>
      <c r="OX133" s="138" t="e">
        <f t="shared" ca="1" si="436"/>
        <v>#DIV/0!</v>
      </c>
      <c r="OY133" s="138" t="e">
        <f t="shared" ca="1" si="437"/>
        <v>#DIV/0!</v>
      </c>
      <c r="OZ133" s="138" t="e">
        <f t="shared" ca="1" si="352"/>
        <v>#DIV/0!</v>
      </c>
      <c r="PA133" s="138" t="e">
        <f t="shared" ca="1" si="353"/>
        <v>#DIV/0!</v>
      </c>
      <c r="PB133" s="55">
        <f>IF(Control!$C$61="T", IF(Control!$C$65="F", IF($AH$6-Control!$C$60&lt;0,0,1), IF(365+$AH$6-Control!$C$60&lt;0,0,1)),0)</f>
        <v>0</v>
      </c>
      <c r="PC133" s="55">
        <f ca="1">IF(Control!$C$65="F", IF($AH$6-$HF133&lt;0,0,1), IF(365+$AH$6-$HF133&lt;0,0,1))</f>
        <v>1</v>
      </c>
      <c r="PD133" s="444">
        <f>Control!$C$118</f>
        <v>1500</v>
      </c>
      <c r="PE133" s="180" t="e">
        <f t="shared" ca="1" si="354"/>
        <v>#N/A</v>
      </c>
      <c r="PF133" s="445">
        <f t="shared" ca="1" si="438"/>
        <v>0.71612369323045078</v>
      </c>
      <c r="PT133" s="186"/>
      <c r="PU133" s="186"/>
      <c r="PV133" s="94"/>
      <c r="PW133" s="94"/>
      <c r="PX133" s="94"/>
      <c r="PY133" s="94"/>
      <c r="PZ133" s="94"/>
      <c r="QA133" s="94"/>
      <c r="QB133" s="94"/>
      <c r="QC133" s="94"/>
      <c r="QD133" s="94"/>
      <c r="QE133" s="94"/>
      <c r="QF133" s="94"/>
      <c r="QG133" s="94"/>
      <c r="QH133" s="94"/>
      <c r="QI133" s="94"/>
      <c r="QJ133" s="94"/>
      <c r="QK133" s="94"/>
      <c r="QL133" s="94"/>
      <c r="QM133" s="94"/>
      <c r="QN133" s="94"/>
      <c r="QO133" s="94"/>
      <c r="QP133" s="94"/>
    </row>
    <row r="134" spans="1:458" s="2" customFormat="1" x14ac:dyDescent="0.2">
      <c r="A134" s="395">
        <v>9</v>
      </c>
      <c r="B134" s="396">
        <v>5</v>
      </c>
      <c r="C134" s="387">
        <f ca="1">Weather_data!$B133</f>
        <v>0</v>
      </c>
      <c r="D134" s="388">
        <f ca="1">Weather_data!$F133</f>
        <v>0</v>
      </c>
      <c r="E134" s="388">
        <f ca="1">Weather_data!$E133</f>
        <v>0</v>
      </c>
      <c r="F134" s="388">
        <f t="shared" ca="1" si="355"/>
        <v>0</v>
      </c>
      <c r="G134" s="388">
        <f ca="1">AVERAGE($D134:$E134)+Control!$B$9</f>
        <v>0</v>
      </c>
      <c r="H134" s="388">
        <f ca="1">Weather_data!$G133</f>
        <v>0</v>
      </c>
      <c r="I134" s="388">
        <f ca="1">Weather_data!$I133</f>
        <v>0</v>
      </c>
      <c r="J134" s="388">
        <f ca="1">Weather_data!$H133</f>
        <v>0</v>
      </c>
      <c r="K134" s="389">
        <f ca="1">Weather_data!$D133</f>
        <v>0</v>
      </c>
      <c r="L134" s="388" t="e">
        <f t="shared" ca="1" si="356"/>
        <v>#N/A</v>
      </c>
      <c r="M134" s="388" t="e">
        <f t="shared" ref="M134:M197" ca="1" si="465">($EX134/10)/IF($L134&lt;&gt;0, $L134, 1)</f>
        <v>#N/A</v>
      </c>
      <c r="N134" s="388">
        <f t="shared" ref="N134:N197" ca="1" si="466">($G134-$O134)/10</f>
        <v>-6.9504226188572319E-7</v>
      </c>
      <c r="O134" s="388">
        <f t="shared" ca="1" si="357"/>
        <v>6.9504226188572321E-6</v>
      </c>
      <c r="P134" s="390">
        <v>3</v>
      </c>
      <c r="Q134" s="388">
        <f ca="1">MAX($G134-Control!$C$107,0)</f>
        <v>0</v>
      </c>
      <c r="R134" s="388">
        <f t="shared" ca="1" si="358"/>
        <v>0</v>
      </c>
      <c r="S134" s="388">
        <f t="shared" ref="S134:S197" ca="1" si="467">MAX(0, $R134)</f>
        <v>0</v>
      </c>
      <c r="T134" s="388">
        <f t="shared" ref="T134:T197" ca="1" si="468">$S134*$PC134</f>
        <v>0</v>
      </c>
      <c r="U134" s="59">
        <f t="shared" ref="U134:U197" ca="1" si="469">$S134*$PC134*$GF134</f>
        <v>0</v>
      </c>
      <c r="V134" s="391">
        <f ca="1">MAX(0,MIN(Control!$C$100-Control!$C$99,$G134-Control!$C$99)*Control!$C$63)</f>
        <v>0</v>
      </c>
      <c r="W134" s="388">
        <f t="shared" ca="1" si="359"/>
        <v>0</v>
      </c>
      <c r="X134" s="388">
        <f t="shared" ca="1" si="360"/>
        <v>0.6110000000000001</v>
      </c>
      <c r="Y134" s="388">
        <f t="shared" ref="Y134:Y197" ca="1" si="470">MIN($H134,$X134)</f>
        <v>0</v>
      </c>
      <c r="Z134" s="388">
        <f t="shared" ca="1" si="361"/>
        <v>0.61058800000000002</v>
      </c>
      <c r="AA134" s="388">
        <f t="shared" ref="AA134:AA197" ca="1" si="471">(0.6018*EXP((17.27*D134)/(D134+237.3))+0.6018*EXP((17.27*E134)/(E134+237.3)))/2</f>
        <v>0.6018</v>
      </c>
      <c r="AB134" s="388">
        <f ca="1">101.3*EXP(-0.034*Control!$C$66/($G134+273))</f>
        <v>100.69623283836242</v>
      </c>
      <c r="AC134" s="392">
        <f t="shared" ref="AC134:AC197" ca="1" si="472">(239*17*$X134/($G134+239)^2)</f>
        <v>4.3460251046025113E-2</v>
      </c>
      <c r="AD134" s="392">
        <f t="shared" ref="AD134:AD197" ca="1" si="473">4098*(0.6108*EXP((17.27*G134)/(G134+237.3)))/(G134+237.3)^2</f>
        <v>4.4450382862832649E-2</v>
      </c>
      <c r="AE134" s="388">
        <f t="shared" ref="AE134:AE197" ca="1" si="474">$Y134/$Z134</f>
        <v>0</v>
      </c>
      <c r="AF134" s="388">
        <f ca="1">MAX(0,$G134-Control!$C$92)</f>
        <v>0</v>
      </c>
      <c r="AG134" s="393">
        <f t="shared" ref="AG134:AG197" ca="1" si="475">DATE($C134,$B134,$A134)</f>
        <v>130</v>
      </c>
      <c r="AH134" s="389">
        <f t="shared" ref="AH134:AH197" ca="1" si="476">$AG134+1-DATE($C134,1,1)</f>
        <v>130</v>
      </c>
      <c r="AI134" s="388">
        <f t="shared" ca="1" si="362"/>
        <v>0.30062506471068362</v>
      </c>
      <c r="AJ134" s="388">
        <f ca="1">IF(Control!$C$60&lt;=0,$HH134,$HI134)</f>
        <v>1</v>
      </c>
      <c r="AK134" s="388">
        <f t="shared" ref="AK134:AK197" ca="1" si="477">(2*PI()*(AH134-80)/365)</f>
        <v>0.8607103160519981</v>
      </c>
      <c r="AL134" s="388">
        <f t="shared" ref="AL134:AL197" ca="1" si="478">0.03358*(SIN(2*PI()*AH134)-SIN(2*PI()*80))/365</f>
        <v>-5.0493324799116833E-18</v>
      </c>
      <c r="AM134" s="388">
        <f t="shared" ref="AM134:AM197" ca="1" si="479">AK134+AL134</f>
        <v>0.8607103160519981</v>
      </c>
      <c r="AN134" s="388">
        <f t="shared" ref="AN134:AN197" ca="1" si="480">ASIN(0.3978*SIN(AM134))</f>
        <v>0.30642704406459043</v>
      </c>
      <c r="AO134" s="388">
        <f ca="1">-0.10453/COS(Control!$B$8*PI()/180)*COS(AN134)</f>
        <v>-0.16187585228386289</v>
      </c>
      <c r="AP134" s="388">
        <f ca="1">ACOS(AO134-TAN(Control!$B$8*PI()/180)*TAN(AN134))</f>
        <v>2.1734609538837337</v>
      </c>
      <c r="AQ134" s="388">
        <f t="shared" ca="1" si="363"/>
        <v>0</v>
      </c>
      <c r="AR134" s="394">
        <f t="shared" ref="AR134:AR197" ca="1" si="481">$AQ134*0.5</f>
        <v>0</v>
      </c>
      <c r="AS134" s="436">
        <f ca="1">IF(Control!$B$18=2,(IF(OR($AH134=Control!$B$175,$AH134=Control!$B$176,$AH134=Control!$B$177,$AH134=Control!$B$178,$AH134=Control!$B$179,$AH134=Control!$B$180,$AH134=Control!$B$181,$AH134=Control!$B$182,$AH134=Control!$B$183,$AH134=Control!$B$184,$AH134=Control!$B$185),1,0)),0)</f>
        <v>0</v>
      </c>
      <c r="AT134" s="436">
        <f>IF(Control!$B$20=8,IF(AND($AH134&gt;=Control!$B$172,$AH134&lt;=Control!$B$173),1,0),0)</f>
        <v>0</v>
      </c>
      <c r="AU134" s="436">
        <f>IF(Control!$B$20=8,IF($AV133=1,1*$AT134,IF($AT134=1,$AU133+1,$AU133)),0)</f>
        <v>0</v>
      </c>
      <c r="AV134" s="436">
        <f>IF(Control!$B$20=8,IF($AU134&gt;=Control!$B$174,1,0),0)</f>
        <v>0</v>
      </c>
      <c r="AW134" s="436">
        <f ca="1">IF(AND(Control!$B$18=2,Control!$B$171=1), $AV134, $AS134)</f>
        <v>0</v>
      </c>
      <c r="AX134" s="436" t="e">
        <f ca="1">IF(AND(Control!$B$18=1,$EU134&gt;=Control!$B$19),-$AY134,IF(AND(Control!$B$18=2,$AW134=1,$EU134&gt;$DS134),-$AY134, IF(Control!$C$108=0,0, IF(Control!$C$108&lt;&gt;0,1))))</f>
        <v>#N/A</v>
      </c>
      <c r="AY134" s="436" t="e">
        <f t="shared" ca="1" si="364"/>
        <v>#N/A</v>
      </c>
      <c r="AZ134" s="436" t="e">
        <f ca="1">IF(AND(Control!$B$18=1,$EB134&gt;Control!$B$19),$AZ133+1, IF(AND(Control!$B$18=2, $AW134=1, $EB134&gt;$DS134), $AZ133+1,$AZ133))</f>
        <v>#N/A</v>
      </c>
      <c r="BA134" s="587">
        <f>IF(Control!$C$81=0,1,IF($AH134&gt;=Control!$C$82,1,0))</f>
        <v>1</v>
      </c>
      <c r="BB134" s="140" t="e">
        <f ca="1">IF($BA134&gt;$BA133,Control!$C$83,IF($AW134&gt;0,$AW134*Control!$C$84,IF(AND(Control!$B$18=1,EN133&lt;&gt;0),Control!$C$84,0)))</f>
        <v>#N/A</v>
      </c>
      <c r="BC134" s="140" t="e">
        <f t="shared" ca="1" si="365"/>
        <v>#N/A</v>
      </c>
      <c r="BD134" s="140" t="e">
        <f ca="1">BC134*IF(OR($G134&lt;Control!$C$92,$G134&gt;Control!$C$95),0,IF(AND($G134&gt;=Control!$C$92,$G134&lt;=Control!$C$93),$G134-Control!$C$92,IF(AND($G134&gt;Control!$C$93,$G134&lt;=Control!$C$94),Control!$C$93-Control!$C$92,IF(AND($G134&gt;Control!$C$94,$G134&lt;=Control!$C$95),(Control!$C$93-Control!$C$92)*(Control!$C$94-$G134)/(Control!$C$95-Control!$C$94)))))</f>
        <v>#N/A</v>
      </c>
      <c r="BE134" s="140" t="e">
        <f t="shared" ca="1" si="366"/>
        <v>#N/A</v>
      </c>
      <c r="BF134" s="140" t="e">
        <f ca="1">IF($BE134&lt;=Control!$C$86,$BE134,Control!$C$86-$BE134)</f>
        <v>#N/A</v>
      </c>
      <c r="BG134" s="140" t="e">
        <f ca="1">IF(AND($AW134=1,Control!$C$84&lt;9),1,IF($BE134&gt;=Control!$C$86,0,$BC134))</f>
        <v>#N/A</v>
      </c>
      <c r="BH134" s="404" t="e">
        <f ca="1">IF($BG134=0,0,IF($BE134&lt;=Control!$C$86,$BC134*9*($BF134/Control!$C$86),0))</f>
        <v>#N/A</v>
      </c>
      <c r="BI134" s="140" t="e">
        <f ca="1">IF($BG134=1,0,IF($BE134&gt;=Control!$C$86,1,IF(AND($BB134&lt;21,$BB134&gt;=9),1,$BM133)))</f>
        <v>#N/A</v>
      </c>
      <c r="BJ134" s="140" t="e">
        <f ca="1">IF($BF134&lt;0,-$BF134,$BI134*IF(OR($G134&lt;Control!$C$92,$G134&gt;Control!$C$95),0,IF(AND($G134&gt;=Control!$C$92,$G134&lt;=Control!$C$93),$G134-Control!$C$92,IF(AND($G134&gt;Control!$C$93,$G134&lt;=Control!$C$94),Control!$C$93-Control!$C$92,IF(AND($G134&gt;Control!$C$94,$G134&lt;=Control!$C$95),(Control!$C$93-Control!$C$92)*(Control!$C$94-$G134)/(Control!$C$95-Control!$C$94))))))</f>
        <v>#N/A</v>
      </c>
      <c r="BK134" s="140" t="e">
        <f t="shared" ca="1" si="367"/>
        <v>#N/A</v>
      </c>
      <c r="BL134" s="140" t="e">
        <f ca="1">IF($BK134&lt;=Control!$C$87,$BK134,Control!$C$87-$BK134)</f>
        <v>#N/A</v>
      </c>
      <c r="BM134" s="140" t="e">
        <f ca="1">IF(AND($BB134&gt;=9,$BB134&lt;21),1,IF($BK134&gt;=Control!$C$87,0,$BI134))</f>
        <v>#N/A</v>
      </c>
      <c r="BN134" s="404" t="e">
        <f ca="1">IF($BM134=0,0,IF($BK134&lt;=Control!$C$87,$BI134*(9+(21-9)*($BL134/Control!$C$87)),0))</f>
        <v>#N/A</v>
      </c>
      <c r="BO134" s="140" t="e">
        <f ca="1">IF($BM134=1,0,IF($BK134&gt;=Control!$C$87,1,IF(AND($BB134&lt;30,$BB134&gt;=21),1,$BS133)))</f>
        <v>#N/A</v>
      </c>
      <c r="BP134" s="140" t="e">
        <f ca="1">IF($BL134&lt;0,-$BL134,$BO134*IF(OR($G134&lt;Control!$C$92,$G134&gt;Control!$C$95),0,IF(AND($G134&gt;=Control!$C$92,$G134&lt;=Control!$C$93),$G134-Control!$C$92,IF(AND($G134&gt;Control!$C$93,$G134&lt;=Control!$C$94),Control!$C$93-Control!$C$92,IF(AND($G134&gt;Control!$C$94,$G134&lt;=Control!$C$95),(Control!$C$93-Control!$C$92)*(Control!$C$94-$G134)/(Control!$C$95-Control!$C$94))))))</f>
        <v>#N/A</v>
      </c>
      <c r="BQ134" s="140" t="e">
        <f t="shared" ref="BQ134:BQ197" ca="1" si="482">IF(AND($BO134*$BB134&gt;=21,$BO134*$BB134&lt;30),$BP134,IF($BO134=1,$BQ133+$BP134,0))</f>
        <v>#N/A</v>
      </c>
      <c r="BR134" s="140" t="e">
        <f ca="1">IF($BQ134&lt;=Control!$C$88,$BQ134,Control!$C$88-$BQ134)</f>
        <v>#N/A</v>
      </c>
      <c r="BS134" s="140" t="e">
        <f ca="1">IF(AND($BB134&gt;=21,$BB134&lt;30),1,IF($BQ134&gt;=Control!$C$88,0,$BO134))</f>
        <v>#N/A</v>
      </c>
      <c r="BT134" s="404" t="e">
        <f ca="1">IF($BS134=0,0,IF($BQ134&lt;=Control!$C$88,$BO134*(21+(30-21)*(BR134/Control!$C$88)),0))</f>
        <v>#N/A</v>
      </c>
      <c r="BU134" s="140" t="e">
        <f ca="1">IF(BG134+BM134+BS134=1,0,IF(OR(AND($BB134&lt;60,$BB134&gt;=30),$BQ134&gt;=Control!$C$88),1*$BA134,$BY133))</f>
        <v>#N/A</v>
      </c>
      <c r="BV134" s="140" t="e">
        <f ca="1">IF($BR134&lt;0,-$BR134,$BU134*IF(OR($G134&lt;Control!$C$92,$G134&gt;Control!$C$95),0,IF(AND($G134&gt;=Control!$C$92,$G134&lt;=Control!$C$93),$G134-Control!$C$92,IF(AND($G134&gt;Control!$C$93,$G134&lt;=Control!$C$94),Control!$C$93-Control!$C$92,IF(AND($G134&gt;Control!$C$94,$G134&lt;=Control!$C$95),(Control!$C$93-Control!$C$92)*(Control!$C$94-$G134)/(Control!$C$95-Control!$C$94))))))</f>
        <v>#N/A</v>
      </c>
      <c r="BW134" s="140" t="e">
        <f t="shared" ref="BW134:BW197" ca="1" si="483">IF(AND($BO134*$BB134&gt;=30,$BO134*$BB134&lt;60),$BV134,IF($BU134=1,$BW133+$BV134,0))</f>
        <v>#N/A</v>
      </c>
      <c r="BX134" s="140" t="e">
        <f ca="1">IF($BW134&lt;=Control!$C$89,$BW134,Control!$C$89-$BW134)</f>
        <v>#N/A</v>
      </c>
      <c r="BY134" s="140" t="e">
        <f ca="1">IF(AND($AJ134&gt;=30,$AJ134&lt;60),1,IF($BW134&gt;=Control!$C$89,0,$BU134))</f>
        <v>#N/A</v>
      </c>
      <c r="BZ134" s="404" t="e">
        <f ca="1">IF($BY134=0,0,IF($BW134&lt;=Control!$C$89,$BU134*(30+(60-30)*(BX134/Control!$C$89)),0))</f>
        <v>#N/A</v>
      </c>
      <c r="CA134" s="140" t="e">
        <f ca="1">IF($BG134+$BM134+$BS134+$BY134=1,0,IF(OR(AND($BB134&lt;65,$BB134&gt;=60),$BW134&gt;=Control!$C$89),1*$BA134,$CE133))</f>
        <v>#N/A</v>
      </c>
      <c r="CB134" s="140" t="e">
        <f ca="1">IF($BX134&lt;0,-$BX134,$CA134*IF(OR($G134&lt;Control!$C$92,$G134&gt;Control!$C$95),0,IF(AND($G134&gt;=Control!$C$92,$G134&lt;=Control!$C$93),$G134-Control!$C$92,IF(AND($G134&gt;Control!$C$93,$G134&lt;=Control!$C$94),Control!$C$93-Control!$C$92,IF(AND($G134&gt;Control!$C$94,$G134&lt;=Control!$C$95),(Control!$C$93-Control!$C$92)*(Control!$C$94-$G134)/(Control!$C$95-Control!$C$94))))))</f>
        <v>#N/A</v>
      </c>
      <c r="CC134" s="140" t="e">
        <f t="shared" ca="1" si="368"/>
        <v>#N/A</v>
      </c>
      <c r="CD134" s="140" t="e">
        <f ca="1">IF($CC134&lt;=Control!$C$90,$CC134,Control!$C$90-$CC134)</f>
        <v>#N/A</v>
      </c>
      <c r="CE134" s="140" t="e">
        <f ca="1">IF(AND($BB134&gt;=60,$BB134&lt;65),1,IF($CC134&gt;=Control!$C$90,0,$CA134))</f>
        <v>#N/A</v>
      </c>
      <c r="CF134" s="404" t="e">
        <f ca="1">IF($CE134=0,0,IF($CC134&lt;=Control!$C$90,$CA134*(60+(65-60)*(CD134/Control!$C$90)),0))</f>
        <v>#N/A</v>
      </c>
      <c r="CG134" s="140" t="e">
        <f ca="1">IF($BG134+$BM134+$BS134+$BY134+$CE134=1,0,IF(OR(AND($BB134&lt;90,$BB134&gt;=65),$CC134&gt;=Control!$C$90),$BA134,$CK133))</f>
        <v>#N/A</v>
      </c>
      <c r="CH134" s="140" t="e">
        <f ca="1">IF($CD134&lt;0,-$CD134,$CG134*IF(OR($G134&lt;Control!$C$92,$G134&gt;Control!$C$95),0,IF(AND($G134&gt;=Control!$C$92,$G134&lt;=Control!$C$93),$G134-Control!$C$92,IF(AND($G134&gt;Control!$C$93,$G134&lt;=Control!$C$94),Control!$C$93-Control!$C$92,IF(AND($G134&gt;Control!$C$94,$G134&lt;=Control!$C$95),(Control!$C$93-Control!$C$92)*(Control!$C$94-$G134)/(Control!$C$95-Control!$C$94))))))</f>
        <v>#N/A</v>
      </c>
      <c r="CI134" s="140" t="e">
        <f t="shared" ca="1" si="369"/>
        <v>#N/A</v>
      </c>
      <c r="CJ134" s="140" t="e">
        <f ca="1">IF($CI134&lt;=Control!$C$91,$CI134,Control!$C$91-$CI134)</f>
        <v>#N/A</v>
      </c>
      <c r="CK134" s="140" t="e">
        <f ca="1">IF(AND($BB134&gt;=65,$BB134&lt;90),1,IF($CI134&gt;=Control!$C$91,0,$CG134))</f>
        <v>#N/A</v>
      </c>
      <c r="CL134" s="404" t="e">
        <f ca="1">IF($CK134=0,0,IF($CI134&lt;=Control!$C$91,$CG134*(65+(90-65)*($CJ134/Control!$C$91)),0))</f>
        <v>#N/A</v>
      </c>
      <c r="CM134" s="140" t="e">
        <f ca="1">IF($BG134+$BM134+$BS134+$BY134+$CE134+$CK134=1,0,IF(OR($BB134&gt;=90,$CI134&gt;=Control!$C$91),$BA134,$CM133))</f>
        <v>#N/A</v>
      </c>
      <c r="CN134" s="140" t="e">
        <f t="shared" ca="1" si="370"/>
        <v>#N/A</v>
      </c>
      <c r="CO134" s="140" t="e">
        <f t="shared" ca="1" si="371"/>
        <v>#N/A</v>
      </c>
      <c r="CP134" s="140" t="e">
        <f t="shared" ca="1" si="372"/>
        <v>#N/A</v>
      </c>
      <c r="CQ134" s="141" t="e">
        <f ca="1">VLOOKUP($CP134,Control!$B$86:$G$91,6)</f>
        <v>#N/A</v>
      </c>
      <c r="CR134" s="141" t="e">
        <f ca="1">(1-$CQ134)*VLOOKUP($CP134,Control!$B$86:$D$91,3)</f>
        <v>#N/A</v>
      </c>
      <c r="CS134" s="141" t="e">
        <f ca="1">(1-$CQ134)*VLOOKUP($CP134,Control!$B$86:$E$91,4)</f>
        <v>#N/A</v>
      </c>
      <c r="CT134" s="141" t="e">
        <f ca="1">(1-$CQ134)*VLOOKUP($CP134,Control!$B$86:$F$91,5)</f>
        <v>#N/A</v>
      </c>
      <c r="CU134" s="141">
        <f t="shared" ca="1" si="373"/>
        <v>0</v>
      </c>
      <c r="CV134" s="583">
        <f t="shared" ca="1" si="374"/>
        <v>0</v>
      </c>
      <c r="CW134" s="142">
        <f t="shared" ca="1" si="375"/>
        <v>130</v>
      </c>
      <c r="CX134" s="612" t="e">
        <f ca="1">IF(Control!$C$114=1,(MIN(Control!$C$120*(IF($NT134-0.01&lt;0,0,1)),Control!$C$119-$CY134)))</f>
        <v>#DIV/0!</v>
      </c>
      <c r="CY134" s="143" t="e">
        <f t="shared" ca="1" si="376"/>
        <v>#N/A</v>
      </c>
      <c r="CZ134" s="144">
        <f t="shared" ref="CZ134:CZ197" ca="1" si="484">IF($O134&lt;=3,0,IF(AND($O134&gt;3,$O134&lt;=8),($O134-3)*((1-0)/(8-3)),IF(AND($O134&gt;8,$O134&lt;=30),1,IF(AND($O134&gt;30,$O134&lt;=35),(1+($O134-30)*((0-1)/(35-30))),IF(AND($O134&gt;35,$O134&lt;=40),0)))))</f>
        <v>0</v>
      </c>
      <c r="DA134" s="144">
        <f t="shared" ref="DA134:DA197" ca="1" si="485">IF($CZ134&lt;=0, 0, $O134*0.01)</f>
        <v>0</v>
      </c>
      <c r="DB134" s="144" t="e">
        <f t="shared" ref="DB134:DB197" ca="1" si="486">$KH134*0.693</f>
        <v>#N/A</v>
      </c>
      <c r="DC134" s="144" t="e">
        <f t="shared" ref="DC134:DC197" ca="1" si="487">IF($AY134&lt;8,MAX(0,0.335-0.067*$DK134)*$CZ134,MAX(0,MIN($DB134,0.867-0.183*$DK134))*$CZ134)</f>
        <v>#N/A</v>
      </c>
      <c r="DD134" s="144" t="e">
        <f t="shared" ca="1" si="461"/>
        <v>#N/A</v>
      </c>
      <c r="DE134" s="143" t="e">
        <f t="shared" ca="1" si="377"/>
        <v>#N/A</v>
      </c>
      <c r="DF134" s="145" t="e">
        <f ca="1">$DR134*EXP(-Control!$C$158*(1-$KH134))</f>
        <v>#N/A</v>
      </c>
      <c r="DG134" s="146" t="e">
        <f ca="1">IF(Control!$C$114=1, $DF134*$EY134, 0)</f>
        <v>#N/A</v>
      </c>
      <c r="DH134" s="147" t="e">
        <f t="shared" ca="1" si="378"/>
        <v>#N/A</v>
      </c>
      <c r="DI134" s="144" t="e">
        <f t="shared" ca="1" si="439"/>
        <v>#N/A</v>
      </c>
      <c r="DJ134" s="147" t="e">
        <f ca="1">$EF134*Control!$C$109</f>
        <v>#N/A</v>
      </c>
      <c r="DK134" s="144" t="e">
        <f t="shared" ca="1" si="379"/>
        <v>#N/A</v>
      </c>
      <c r="DL134" s="144" t="e">
        <f t="shared" ref="DL134:DL197" ca="1" si="488">$DM134/$AR134</f>
        <v>#N/A</v>
      </c>
      <c r="DM134" s="144" t="e">
        <f ca="1">IF(Control!$C$114=1, (1-EXP(-Control!$C$96*$DK134))*$AR134, 0)</f>
        <v>#N/A</v>
      </c>
      <c r="DN134" s="144">
        <f t="shared" ca="1" si="380"/>
        <v>0</v>
      </c>
      <c r="DO134" s="148">
        <f>Control!$C$97</f>
        <v>4</v>
      </c>
      <c r="DP134" s="145" t="e">
        <f t="shared" ca="1" si="381"/>
        <v>#N/A</v>
      </c>
      <c r="DQ134" s="145" t="e">
        <f ca="1">IF(AND($CP134&gt;=0,$CP134&lt;=90),Control!$C$111,Control!$C$111)</f>
        <v>#N/A</v>
      </c>
      <c r="DR134" s="145" t="e">
        <f t="shared" ref="DR134:DR197" ca="1" si="489">$DQ134</f>
        <v>#N/A</v>
      </c>
      <c r="DS134" s="143" t="e">
        <f ca="1">Control!$B$22/$DR134</f>
        <v>#N/A</v>
      </c>
      <c r="DT134" s="149" t="e">
        <f ca="1">IF(AND(Control!$C$114=1,$KH134&lt;1),$IM134*$DF134, 0)</f>
        <v>#N/A</v>
      </c>
      <c r="DU134" s="144" t="e">
        <f t="shared" ca="1" si="382"/>
        <v>#N/A</v>
      </c>
      <c r="DV134" s="144">
        <f ca="1">IF($G134-Control!$C$107&lt;=0, 0, 0.83*LN(MAX($G134, 3))-0.8924)</f>
        <v>0</v>
      </c>
      <c r="DW134" s="144" t="e">
        <f t="shared" ref="DW134:DW197" ca="1" si="490">IF(($EN134-0.1)&lt;0,$DV134,(-$DU134))</f>
        <v>#N/A</v>
      </c>
      <c r="DX134" s="150" t="e">
        <f ca="1">MAX(0.01*(1+$CU134/Control!$C$102),0.05*($DK134-Control!$C$97)/Control!$C$97)</f>
        <v>#N/A</v>
      </c>
      <c r="DY134" s="151" t="e">
        <f ca="1">IF(Control!$C$114=1, $DI134*$FS134, 0)</f>
        <v>#N/A</v>
      </c>
      <c r="DZ134" s="196" t="e">
        <f t="shared" ca="1" si="383"/>
        <v>#N/A</v>
      </c>
      <c r="EA134" s="152">
        <f t="shared" ca="1" si="384"/>
        <v>130</v>
      </c>
      <c r="EB134" s="153" t="e">
        <f t="shared" ca="1" si="385"/>
        <v>#N/A</v>
      </c>
      <c r="EC134" s="153" t="e">
        <f t="shared" ca="1" si="386"/>
        <v>#N/A</v>
      </c>
      <c r="ED134" s="154" t="e">
        <f ca="1">IF(Control!$C$114=1, $HM134*$FY134-$FD134, 0)</f>
        <v>#DIV/0!</v>
      </c>
      <c r="EE134" s="155" t="e">
        <f ca="1">IF(Control!$C$114=1, $HM134*$FZ134-$FF134, 0)</f>
        <v>#DIV/0!</v>
      </c>
      <c r="EF134" s="153" t="e">
        <f t="shared" ca="1" si="440"/>
        <v>#N/A</v>
      </c>
      <c r="EG134" s="155" t="e">
        <f ca="1">IF(Control!$C$114=1, $GX134*$FW134-$FI134, 0)</f>
        <v>#DIV/0!</v>
      </c>
      <c r="EH134" s="153" t="e">
        <f t="shared" ca="1" si="387"/>
        <v>#N/A</v>
      </c>
      <c r="EI134" s="156" t="e">
        <f t="shared" ca="1" si="388"/>
        <v>#N/A</v>
      </c>
      <c r="EJ134" s="155" t="e">
        <f ca="1">IF(Control!$C$114=1, $HM134*$GB134, 0)</f>
        <v>#DIV/0!</v>
      </c>
      <c r="EK134" s="153" t="e">
        <f t="shared" ca="1" si="441"/>
        <v>#N/A</v>
      </c>
      <c r="EL134" s="153" t="e">
        <f t="shared" ref="EL134:EL197" ca="1" si="491">$EB134+$EF134+$EK134</f>
        <v>#N/A</v>
      </c>
      <c r="EM134" s="153" t="e">
        <f t="shared" ref="EM134:EM197" ca="1" si="492">MAX(0,$EB134-$DS134)</f>
        <v>#N/A</v>
      </c>
      <c r="EN134" s="153" t="e">
        <f ca="1">IF(Control!$C$108=1,IF(AND(Control!$B$18=1,$EB134&gt;=Control!$B$19),$EB134-$DS134,IF(AND(Control!$B$18=2,$AW134=1,$EB134&gt;$DS134),$EB134-$DS134,0)))</f>
        <v>#N/A</v>
      </c>
      <c r="EO134" s="153" t="e">
        <f ca="1">IF(Control!$C$108=1,IF(AND(Control!$B$18=1,$EB134&gt;=Control!$B$19),$EF134,IF(AND(Control!$B$18=2,$AW134=1),$EF134,0)))</f>
        <v>#N/A</v>
      </c>
      <c r="EP134" s="153" t="e">
        <f ca="1">IF(Control!$C$108=1,IF(AND(Control!$B$18=1,$EB134&gt;=Control!$B$19),$EK134,IF(AND(Control!$B$18=2,$AW134=1),$EK134,0)))</f>
        <v>#N/A</v>
      </c>
      <c r="EQ134" s="153" t="e">
        <f t="shared" ca="1" si="389"/>
        <v>#N/A</v>
      </c>
      <c r="ER134" s="153" t="e">
        <f ca="1">$ER133+$EN133</f>
        <v>#N/A</v>
      </c>
      <c r="ES134" s="153" t="e">
        <f t="shared" ca="1" si="442"/>
        <v>#N/A</v>
      </c>
      <c r="ET134" s="153" t="e">
        <f t="shared" ca="1" si="443"/>
        <v>#N/A</v>
      </c>
      <c r="EU134" s="153" t="e">
        <f t="shared" ca="1" si="391"/>
        <v>#N/A</v>
      </c>
      <c r="EV134" s="153" t="e">
        <f t="shared" ref="EV134:EV197" ca="1" si="493">ER134+EB134</f>
        <v>#N/A</v>
      </c>
      <c r="EW134" s="153" t="e">
        <f t="shared" ref="EW134:EW197" ca="1" si="494">$ER134+MAX(0,$EM134)</f>
        <v>#N/A</v>
      </c>
      <c r="EX134" s="153" t="e">
        <f t="shared" ref="EX134:EX197" ca="1" si="495">$ER134+$EC134</f>
        <v>#N/A</v>
      </c>
      <c r="EY134" s="157" t="e">
        <f t="shared" ref="EY134:EY197" ca="1" si="496">$GX134*$FY134*(1-$FW134)</f>
        <v>#DIV/0!</v>
      </c>
      <c r="EZ134" s="154" t="e">
        <f t="shared" ref="EZ134:EZ197" ca="1" si="497">$EY134-$FD134</f>
        <v>#DIV/0!</v>
      </c>
      <c r="FA134" s="153" t="e">
        <f t="shared" ca="1" si="392"/>
        <v>#N/A</v>
      </c>
      <c r="FB134" s="153" t="e">
        <f t="shared" ref="FB134:FB197" ca="1" si="498">$ER134+$EC134</f>
        <v>#N/A</v>
      </c>
      <c r="FC134" s="193" t="e">
        <f t="shared" ref="FC134:FC197" ca="1" si="499">$EB134+$FM134</f>
        <v>#N/A</v>
      </c>
      <c r="FD134" s="158" t="e">
        <f t="shared" ca="1" si="393"/>
        <v>#N/A</v>
      </c>
      <c r="FE134" s="158" t="e">
        <f t="shared" ca="1" si="394"/>
        <v>#N/A</v>
      </c>
      <c r="FF134" s="159" t="e">
        <f t="shared" ref="FF134:FF197" ca="1" si="500">$EF134*$FE134</f>
        <v>#N/A</v>
      </c>
      <c r="FG134" s="160" t="e">
        <f t="shared" ca="1" si="395"/>
        <v>#N/A</v>
      </c>
      <c r="FH134" s="158" t="e">
        <f t="shared" ca="1" si="396"/>
        <v>#N/A</v>
      </c>
      <c r="FI134" s="159" t="e">
        <f t="shared" ref="FI134:FI197" ca="1" si="501">$FH134*$EH134</f>
        <v>#N/A</v>
      </c>
      <c r="FJ134" s="160" t="e">
        <f t="shared" ca="1" si="397"/>
        <v>#N/A</v>
      </c>
      <c r="FK134" s="160" t="e">
        <f t="shared" ref="FK134:FK197" ca="1" si="502">$EI134-$FG134</f>
        <v>#N/A</v>
      </c>
      <c r="FL134" s="160" t="e">
        <f t="shared" ca="1" si="444"/>
        <v>#N/A</v>
      </c>
      <c r="FM134" s="160" t="e">
        <f t="shared" ref="FM134:FM197" ca="1" si="503">$FL134-$ER134</f>
        <v>#N/A</v>
      </c>
      <c r="FN134" s="158">
        <f t="shared" ca="1" si="398"/>
        <v>0.01</v>
      </c>
      <c r="FO134" s="160">
        <f>Control!$C$101</f>
        <v>50</v>
      </c>
      <c r="FP134" s="150" t="e">
        <f t="shared" ref="FP134:FP197" ca="1" si="504">IF($CP134&lt;$FO134, 0, $FN134)</f>
        <v>#N/A</v>
      </c>
      <c r="FQ134" s="150" t="e">
        <f ca="1">MAX(0,(Control!$C$112*(($DK134-Control!$C$97)/Control!$C$97)))</f>
        <v>#N/A</v>
      </c>
      <c r="FR134" s="150" t="e">
        <f ca="1">(1-$NT134)*Control!$C$113</f>
        <v>#DIV/0!</v>
      </c>
      <c r="FS134" s="198" t="e">
        <f t="shared" ref="FS134:FS197" ca="1" si="505">MAX($FP134,$FQ134,$FR134)</f>
        <v>#N/A</v>
      </c>
      <c r="FT134" s="161">
        <f t="shared" ca="1" si="399"/>
        <v>130</v>
      </c>
      <c r="FU134" s="162" t="e">
        <f ca="1">IF(Control!$B$34=1,VLOOKUP($CP134,Control!$B$86:$G$91,6),Control!$B$35)</f>
        <v>#N/A</v>
      </c>
      <c r="FV134" s="162" t="e">
        <f t="shared" ref="FV134:FV197" ca="1" si="506">IF(AND($NT134&lt;=0,$NT134&gt;=-1),1.6,IF(AND($NT134&lt;1,$NT134&gt;=1.2),1,(1.6+($NT134)*((1-1.6)/(1-0)))))</f>
        <v>#DIV/0!</v>
      </c>
      <c r="FW134" s="162" t="e">
        <f ca="1">IF(Control!$B$31=1,$FU134*$FV134,  $FU134)</f>
        <v>#N/A</v>
      </c>
      <c r="FX134" s="162" t="e">
        <f ca="1">IF(Control!$B$34=1,VLOOKUP($CP134,Control!$B$86:$G$91,3),Control!$B$36)</f>
        <v>#N/A</v>
      </c>
      <c r="FY134" s="162" t="e">
        <f t="shared" ref="FY134:FY197" ca="1" si="507">$FX134</f>
        <v>#N/A</v>
      </c>
      <c r="FZ134" s="162" t="e">
        <f ca="1">IF(Control!$B$34=1,VLOOKUP($CP134,Control!$B$86:$G$91,4),Control!$B$37)</f>
        <v>#N/A</v>
      </c>
      <c r="GA134" s="162" t="e">
        <f t="shared" ref="GA134:GA197" ca="1" si="508">$FZ134</f>
        <v>#N/A</v>
      </c>
      <c r="GB134" s="162" t="e">
        <f ca="1">IF(Control!$B$34=1,VLOOKUP($CP134,Control!$B$86:$G$91,5),Control!$B$38)</f>
        <v>#N/A</v>
      </c>
      <c r="GC134" s="162" t="e">
        <f t="shared" ca="1" si="400"/>
        <v>#N/A</v>
      </c>
      <c r="GD134" s="162">
        <f t="shared" ref="GD134:GD197" ca="1" si="509">IF(AND(0&lt;=$LI134, $LI134&lt;=18), 1, 0.5)</f>
        <v>1</v>
      </c>
      <c r="GE134" s="162">
        <f t="shared" ref="GE134:GE197" ca="1" si="510">$GD134</f>
        <v>1</v>
      </c>
      <c r="GF134" s="162">
        <f ca="1">IF(AND(Control!$C$104=1, Control!$C$62="F"),$GE134,1)</f>
        <v>1</v>
      </c>
      <c r="GG134" s="162" t="e">
        <f ca="1">IF(Control!$B$16=40,0,IF(AND(Control!$B$16&gt;40,Control!$B$16&lt;=360),(Control!$B$16-40)*((1-0)/(360-40)),IF(AND(Control!$B$16&gt;360,Control!$B$16&lt;=720),(1+(Control!$B$16-360)*((1.25-1)/(720-360))),IF(AND(Control!$B$16&gt;720,Control!$B$16&lt;=1000),(1.25+(Control!$B$16-720)*((1.35-1.25)/(1000-720))),IF(AND(Control!$B$16&gt;1000,Control!$B$16&lt;=2000),(1.35+(Control!$B$16-1000)*0))))))</f>
        <v>#N/A</v>
      </c>
      <c r="GH134" s="162" t="e">
        <f t="shared" ref="GH134:GH197" ca="1" si="511">$GG134</f>
        <v>#N/A</v>
      </c>
      <c r="GI134" s="162">
        <f t="shared" ca="1" si="401"/>
        <v>0</v>
      </c>
      <c r="GJ134" s="162">
        <f t="shared" ref="GJ134:GJ197" ca="1" si="512">$CZ134*$GI134</f>
        <v>0</v>
      </c>
      <c r="GK134" s="162">
        <f t="shared" ca="1" si="402"/>
        <v>1</v>
      </c>
      <c r="GL134" s="162">
        <f t="shared" ref="GL134:GL197" ca="1" si="513">$GK134</f>
        <v>1</v>
      </c>
      <c r="GM134" s="162" t="e">
        <f ca="1">MAX(0,MIN(1,1-Control!$C$156*(1.0001-$KH134)^2))</f>
        <v>#N/A</v>
      </c>
      <c r="GN134" s="162" t="e">
        <f ca="1">IF(Control!$B$26=1,$KU134,$KX134)</f>
        <v>#N/A</v>
      </c>
      <c r="GO134" s="162" t="e">
        <f ca="1">IF($CP134&lt;=60,Control!$C$105,IF($CP134&gt;=90,Control!$C$106,Control!$C$105+($CP134-60)*((Control!$C$106-Control!$C$105)/(90-60))))</f>
        <v>#N/A</v>
      </c>
      <c r="GP134" s="162" t="e">
        <f t="shared" ref="GP134:GP197" ca="1" si="514">$GJ134*$GH134*$GL134</f>
        <v>#N/A</v>
      </c>
      <c r="GQ134" s="162" t="e">
        <f t="shared" ca="1" si="403"/>
        <v>#N/A</v>
      </c>
      <c r="GR134" s="163" t="e">
        <f t="shared" ref="GR134:GR197" ca="1" si="515">IF(AND($NT134&lt;=$GM134,$EN134=0),10*$GP134*$GO134*$DM134*$NT134,IF(AND($NT134&gt;$GM134,$EN134=0),10*$GP134*$GO134*$DM134*$GM134,0))</f>
        <v>#DIV/0!</v>
      </c>
      <c r="GS134" s="162" t="e">
        <f t="shared" ref="GS134:GS197" ca="1" si="516">$GR134+$FA134</f>
        <v>#DIV/0!</v>
      </c>
      <c r="GT134" s="164" t="e">
        <f t="shared" ca="1" si="404"/>
        <v>#N/A</v>
      </c>
      <c r="GU134" s="162" t="e">
        <f t="shared" ca="1" si="405"/>
        <v>#N/A</v>
      </c>
      <c r="GV134" s="162" t="e">
        <f t="shared" ref="GV134:GV197" ca="1" si="517">IF($EN134&lt;=0,$GT134*(1/$DF134)*(1/$FY134)*(1/(1-$FW134)),0)</f>
        <v>#N/A</v>
      </c>
      <c r="GW134" s="162" t="e">
        <f t="shared" ref="GW134:GW197" ca="1" si="518">IF($GS134-$GV134&lt;=0,0,$GS134-$GV134)</f>
        <v>#DIV/0!</v>
      </c>
      <c r="GX134" s="162" t="e">
        <f t="shared" ca="1" si="406"/>
        <v>#DIV/0!</v>
      </c>
      <c r="GY134" s="162" t="e">
        <f t="shared" ca="1" si="407"/>
        <v>#DIV/0!</v>
      </c>
      <c r="GZ134" s="165" t="e">
        <f t="shared" ref="GZ134:GZ197" ca="1" si="519">$EF134+$EB134</f>
        <v>#N/A</v>
      </c>
      <c r="HA134" s="162" t="e">
        <f ca="1">IF(Control!$C$114=1, $DI134*$FS134, 0)</f>
        <v>#N/A</v>
      </c>
      <c r="HB134" s="162" t="e">
        <f ca="1">$FA134/Control!$C$64</f>
        <v>#N/A</v>
      </c>
      <c r="HC134" s="162" t="e">
        <f t="shared" ref="HC134:HC197" ca="1" si="520">$GW134-$HB134</f>
        <v>#DIV/0!</v>
      </c>
      <c r="HD134" s="162">
        <f ca="1">-ASIN(SIN(23.45*Control!$C$139)*COS(2*Control!$C$138*($AH134+10)/365))</f>
        <v>0.30062506471068362</v>
      </c>
      <c r="HE134" s="165">
        <f t="shared" ca="1" si="408"/>
        <v>0</v>
      </c>
      <c r="HF134" s="166">
        <f ca="1">IF(AND(Control!$C$61="T",$HE134&gt;=Control!$C$103,Control!$C$114=0),$AH134,Control!$C$59)</f>
        <v>1</v>
      </c>
      <c r="HG134" s="166">
        <f ca="1">IF(AND(Control!$C$61="T",$HE134&gt;=Control!$C$103,Control!$C$114=0),$HF134,Control!$C$59)</f>
        <v>1</v>
      </c>
      <c r="HH134" s="165">
        <f ca="1">IF(AND(OR(Control!$C$60&lt;=0, $AH134= Control!$C$59, Control!$C$60 &gt;0, $AH134 = Control!$C$60)), Control!$C$59, IF(Control!$C$60&gt;0, 0))</f>
        <v>1</v>
      </c>
      <c r="HI134" s="165">
        <f ca="1">IF(AND(OR(Control!$C$60&lt;=0, $AH134= Control!$C$59, Control!$C$60 &gt;0, $AH134 = Control!$C$60)), Control!$C$60, IF(Control!$C$60&lt;=0, 0))</f>
        <v>0</v>
      </c>
      <c r="HJ134" s="166">
        <f ca="1">IF(AND(Control!$C$62="F",$CV134&gt;=Control!$C$102),$AH134,0)</f>
        <v>0</v>
      </c>
      <c r="HK134" s="165" t="e">
        <f t="shared" ca="1" si="445"/>
        <v>#N/A</v>
      </c>
      <c r="HL134" s="166">
        <f ca="1">IF(AND(Control!$C$61="T",$HE134&gt;=Control!$C$103,Control!$C$114=0),$HF134,0)</f>
        <v>0</v>
      </c>
      <c r="HM134" s="201" t="e">
        <f t="shared" ref="HM134:HM197" ca="1" si="521">$GX134*(1-$FW134)</f>
        <v>#DIV/0!</v>
      </c>
      <c r="HN134" s="215">
        <f t="shared" ca="1" si="409"/>
        <v>130</v>
      </c>
      <c r="HO134" s="216" t="e">
        <f ca="1">IF(AND($CP134&gt;=0, $CP134&lt;=90), Control!$C$152, Control!$C$152)</f>
        <v>#N/A</v>
      </c>
      <c r="HP134" s="216" t="e">
        <f t="shared" ref="HP134:HP197" ca="1" si="522">$HO134</f>
        <v>#N/A</v>
      </c>
      <c r="HQ134" s="217" t="e">
        <f ca="1">IF(OR(Control!$B$26=1,Control!$B$26=2),$KV134,$KS134)</f>
        <v>#DIV/0!</v>
      </c>
      <c r="HR134" s="218" t="e">
        <f t="shared" ca="1" si="446"/>
        <v>#DIV/0!</v>
      </c>
      <c r="HS134" s="216" t="e">
        <f ca="1">Control!$C$154*$HP134</f>
        <v>#N/A</v>
      </c>
      <c r="HT134" s="216" t="e">
        <f ca="1">Control!$C$155*$HP134</f>
        <v>#N/A</v>
      </c>
      <c r="HU134" s="217" t="e">
        <f ca="1">Control!$C$161*$FI134</f>
        <v>#N/A</v>
      </c>
      <c r="HV134" s="218" t="e">
        <f t="shared" ca="1" si="410"/>
        <v>#N/A</v>
      </c>
      <c r="HW134" s="218" t="e">
        <f ca="1">Control!$C$160*$FF134+$IP134*$EO134</f>
        <v>#N/A</v>
      </c>
      <c r="HX134" s="218" t="e">
        <f t="shared" ca="1" si="447"/>
        <v>#N/A</v>
      </c>
      <c r="HY134" s="219" t="e">
        <f ca="1">IF(Control!$C$114=1, $EB134*$FS134, 0)</f>
        <v>#N/A</v>
      </c>
      <c r="HZ134" s="91" t="e">
        <f t="shared" ref="HZ134:HZ197" ca="1" si="523">$KA134</f>
        <v>#N/A</v>
      </c>
      <c r="IA134" s="220" t="e">
        <f ca="1">Control!$C$153*$HO134</f>
        <v>#N/A</v>
      </c>
      <c r="IB134" s="218" t="e">
        <f t="shared" ref="IB134:IB197" ca="1" si="524">$IA134*$EB134</f>
        <v>#N/A</v>
      </c>
      <c r="IC134" s="220" t="e">
        <f ca="1">Control!$C$153*$HT134</f>
        <v>#N/A</v>
      </c>
      <c r="ID134" s="218" t="e">
        <f t="shared" ref="ID134:ID197" ca="1" si="525">$IC134*$EF134</f>
        <v>#N/A</v>
      </c>
      <c r="IE134" s="221" t="e">
        <f ca="1">($EB134*Control!$C$159+$EF134*Control!$C$160)/(IF($GZ134&lt;&gt;0,$GZ134,1))</f>
        <v>#N/A</v>
      </c>
      <c r="IF134" s="216" t="e">
        <f t="shared" ref="IF134:IF197" ca="1" si="526">($IB134+$ID134)/IF($GZ134&lt;&gt;0, $GZ134,1)</f>
        <v>#N/A</v>
      </c>
      <c r="IG134" s="91">
        <f ca="1">IF(OR(Control!$B$198=$AH134,Control!$B$199=$AH134, Control!$B$200=$AH134, Control!$B$201=$AH134, Control!$B$202=$AH134, Control!$B$203=$AH134, Control!$B$204=$AH134, Control!$B$205=$AH134, Control!$B$206=$AH134, Control!$B$207=$AH134), 1, 0)</f>
        <v>0</v>
      </c>
      <c r="IH134" s="91">
        <f ca="1">IF($IG134=0,0, VLOOKUP($AH134,Control!$B$198:$C$207,2))</f>
        <v>0</v>
      </c>
      <c r="II134" s="222">
        <f t="shared" ca="1" si="411"/>
        <v>0</v>
      </c>
      <c r="IJ134" s="91">
        <f>Control!$C$121</f>
        <v>0.7</v>
      </c>
      <c r="IK134" s="218">
        <f t="shared" ref="IK134:IK197" ca="1" si="527">$IH134*$IJ134</f>
        <v>0</v>
      </c>
      <c r="IL134" s="217" t="e">
        <f t="shared" ca="1" si="448"/>
        <v>#N/A</v>
      </c>
      <c r="IM134" s="223" t="e">
        <f ca="1">IF(AND(Control!$C$114=1,$KH134&lt;1),$EB134*Control!$C$148*(1-$KH134), 0)</f>
        <v>#N/A</v>
      </c>
      <c r="IN134" s="217" t="e">
        <f t="shared" ref="IN134:IN197" ca="1" si="528">MIN($NT134, $KH134)</f>
        <v>#DIV/0!</v>
      </c>
      <c r="IO134" s="91" t="e">
        <f ca="1">MAX(0,$IL134-$EF134*Control!$C$160)</f>
        <v>#N/A</v>
      </c>
      <c r="IP134" s="220" t="e">
        <f t="shared" ref="IP134:IP197" ca="1" si="529">$IL134/IF($EF134&lt;&gt;0, $EF134, 1)</f>
        <v>#N/A</v>
      </c>
      <c r="IQ134" s="217" t="e">
        <f t="shared" ca="1" si="412"/>
        <v>#N/A</v>
      </c>
      <c r="IR134" s="218" t="e">
        <f t="shared" ref="IR134:IR197" ca="1" si="530">$IQ134+$IL134</f>
        <v>#N/A</v>
      </c>
      <c r="IS134" s="217" t="e">
        <f ca="1">Control!$C$159*MAX(0,$FD134-$EN134)</f>
        <v>#N/A</v>
      </c>
      <c r="IT134" s="217" t="e">
        <f t="shared" ca="1" si="449"/>
        <v>#N/A</v>
      </c>
      <c r="IU134" s="217" t="e">
        <f t="shared" ca="1" si="413"/>
        <v>#N/A</v>
      </c>
      <c r="IV134" s="217" t="e">
        <f t="shared" ca="1" si="450"/>
        <v>#N/A</v>
      </c>
      <c r="IW134" s="217" t="e">
        <f ca="1">IF(OR($AW134=1,AND($AW134=0, Control!$B$18=1,$EN134&lt;&gt;0)), $IQ134-$IU134, $IQ134)</f>
        <v>#N/A</v>
      </c>
      <c r="IX134" s="218" t="e">
        <f t="shared" ref="IX134:IX197" ca="1" si="531">$HX134+$HV134+$IV134</f>
        <v>#N/A</v>
      </c>
      <c r="IY134" s="218" t="e">
        <f ca="1">MAX(0,$IQ134-$EB134*Control!$C$159)</f>
        <v>#N/A</v>
      </c>
      <c r="IZ134" s="218" t="e">
        <f t="shared" ref="IZ134:IZ197" ca="1" si="532">MAX($HO134*$EB134-$IQ134,0)</f>
        <v>#N/A</v>
      </c>
      <c r="JA134" s="216" t="e">
        <f t="shared" ref="JA134:JA197" ca="1" si="533">$IQ134/IF($EB134&lt;&gt;0, $EB134, 1)</f>
        <v>#N/A</v>
      </c>
      <c r="JB134" s="217" t="e">
        <f t="shared" ref="JB134:JB197" ca="1" si="534">MAX($HT134*$EF134-$IL134, 0)</f>
        <v>#N/A</v>
      </c>
      <c r="JC134" s="222" t="e">
        <f ca="1">MAX(Control!$C$157*$EK134-$JT134, 0)/Control!$C$162</f>
        <v>#N/A</v>
      </c>
      <c r="JD134" s="218" t="e">
        <f t="shared" ref="JD134:JD197" ca="1" si="535">$JT134/IF($EK134&lt;&gt;0, $EK134, 1)</f>
        <v>#N/A</v>
      </c>
      <c r="JE134" s="218" t="e">
        <f t="shared" ref="JE134:JE197" ca="1" si="536">$IQ134+$IL134+$JT134</f>
        <v>#N/A</v>
      </c>
      <c r="JF134" s="218" t="e">
        <f t="shared" ca="1" si="414"/>
        <v>#N/A</v>
      </c>
      <c r="JG134" s="218" t="e">
        <f t="shared" ref="JG134:JG197" ca="1" si="537">MAX($HS134*$EH134-$JF134, 0)</f>
        <v>#N/A</v>
      </c>
      <c r="JH134" s="217" t="e">
        <f t="shared" ca="1" si="415"/>
        <v>#N/A</v>
      </c>
      <c r="JI134" s="217" t="e">
        <f t="shared" ca="1" si="416"/>
        <v>#N/A</v>
      </c>
      <c r="JJ134" s="217" t="e">
        <f t="shared" ca="1" si="451"/>
        <v>#N/A</v>
      </c>
      <c r="JK134" s="217" t="e">
        <f ca="1">IF(Control!$C$114=1,IF(Control!$B$24=0,MAX(0,$JI134)*$GN134/Control!$C$64,(MAX(0,MIN($JI134,$JJ134*$GN134/Control!$C$64),0))))</f>
        <v>#N/A</v>
      </c>
      <c r="JL134" s="217" t="e">
        <f ca="1">$IK134/Control!$C$64-$JK134+$HQ134</f>
        <v>#N/A</v>
      </c>
      <c r="JM134" s="217" t="e">
        <f ca="1">IF(Control!$C$114=1,($JB134/(IF($JI134&lt;&gt;0,$JI134,1)))*$JK134,0)</f>
        <v>#N/A</v>
      </c>
      <c r="JN134" s="217" t="e">
        <f ca="1">IF(Control!$C$114=1,($JG134/(IF($JI134&lt;&gt;0,$JI134,1)))*$JK134, 0)</f>
        <v>#N/A</v>
      </c>
      <c r="JO134" s="218" t="e">
        <f t="shared" ref="JO134:JO197" ca="1" si="538">$IQ134+$IL134+$JF134+$JT134</f>
        <v>#N/A</v>
      </c>
      <c r="JP134" s="218" t="e">
        <f ca="1">MIN(($IY134+$IO134)*Control!$C$151, $JF134-$EH134*Control!$C$161)</f>
        <v>#N/A</v>
      </c>
      <c r="JQ134" s="218" t="e">
        <f t="shared" ref="JQ134:JQ197" ca="1" si="539">$JP134+$IO134+$IY134</f>
        <v>#N/A</v>
      </c>
      <c r="JR134" s="217" t="e">
        <f ca="1">IF($CP134-Control!$C$150&lt;0, 0, $JQ134/Control!$C$162)</f>
        <v>#N/A</v>
      </c>
      <c r="JS134" s="218" t="e">
        <f t="shared" ref="JS134:JS197" ca="1" si="540">MIN($JC134,$JR134)</f>
        <v>#N/A</v>
      </c>
      <c r="JT134" s="218" t="e">
        <f t="shared" ca="1" si="417"/>
        <v>#N/A</v>
      </c>
      <c r="JU134" s="218" t="e">
        <f t="shared" ref="JU134:JU197" ca="1" si="541">$JS134*$JP134/(IF($JQ134&lt;&gt;0,$JQ134,1))</f>
        <v>#N/A</v>
      </c>
      <c r="JV134" s="218" t="e">
        <f t="shared" ref="JV134:JV197" ca="1" si="542">$JN134-$JU134-$HU134</f>
        <v>#N/A</v>
      </c>
      <c r="JW134" s="216" t="e">
        <f t="shared" ref="JW134:JW197" ca="1" si="543">$JF134/IF($EH134&lt;&gt;0, $EH134, 1)</f>
        <v>#N/A</v>
      </c>
      <c r="JX134" s="91" t="e">
        <f t="shared" ref="JX134:JX197" ca="1" si="544">$JE134/(IF($EL134&lt;&gt;0,$EL134,1))</f>
        <v>#N/A</v>
      </c>
      <c r="JY134" s="218" t="e">
        <f t="shared" ref="JY134:JY197" ca="1" si="545">$JF134+$HV134</f>
        <v>#N/A</v>
      </c>
      <c r="JZ134" s="217" t="e">
        <f ca="1">IF(Control!$C$114=1,($IZ134/(IF($JI134&lt;&gt;0,$JI134,1)))*$JK134, 0)</f>
        <v>#N/A</v>
      </c>
      <c r="KA134" s="218" t="e">
        <f t="shared" ca="1" si="452"/>
        <v>#N/A</v>
      </c>
      <c r="KB134" s="218" t="e">
        <f t="shared" ca="1" si="418"/>
        <v>#N/A</v>
      </c>
      <c r="KC134" s="218" t="e">
        <f t="shared" ref="KC134:KC197" ca="1" si="546">$JS134*$IO134/(IF($JQ134&lt;&gt;0,$JQ134,1))</f>
        <v>#N/A</v>
      </c>
      <c r="KD134" s="218" t="e">
        <f t="shared" ref="KD134:KD197" ca="1" si="547">$JM134-$KC134-$HW134</f>
        <v>#N/A</v>
      </c>
      <c r="KE134" s="218" t="e">
        <f t="shared" ref="KE134:KE197" ca="1" si="548">$JS134*$IY134/(IF($JQ134&lt;&gt;0,$JQ134,1))</f>
        <v>#N/A</v>
      </c>
      <c r="KF134" s="218" t="e">
        <f t="shared" ref="KF134:KF197" ca="1" si="549">$JZ134-$KE134-$IU134</f>
        <v>#N/A</v>
      </c>
      <c r="KG134" s="216" t="e">
        <f t="shared" ref="KG134:KG197" ca="1" si="550">$IR134/IF($GZ134&lt;&gt;0, $GZ134, 1)</f>
        <v>#N/A</v>
      </c>
      <c r="KH134" s="221" t="e">
        <f ca="1">IF(Control!$B$24=0,1,MAX(0.001,MIN(1,IF(($IF134-$IE134)&lt;&gt;0,($KG134-$IE134)/($IF134-$IE134),1))))</f>
        <v>#N/A</v>
      </c>
      <c r="KI134" s="222" t="e">
        <f ca="1">IF(Control!$C$114=1, $KI133+ $KH133, 0)</f>
        <v>#N/A</v>
      </c>
      <c r="KJ134" s="217" t="e">
        <f t="shared" ref="KJ134:KJ197" ca="1" si="551">IF($AH134&gt;$HF134, $KI134/($AH134-$HF134), $KI134/($AH134+365-$HF134))</f>
        <v>#N/A</v>
      </c>
      <c r="KK134" s="218" t="e">
        <f t="shared" ref="KK134:KK197" ca="1" si="552">$KA134+ ($IQ134+$IL134+$JF134+$JT134)-($IQ134+$IL134+$JF134+$JT134+$IV134+$HV134+$HX134)</f>
        <v>#N/A</v>
      </c>
      <c r="KL134" s="274" t="e">
        <f ca="1">IF(Control!$B$26=3,4000000000*EXP(-8400/($G134+273)),IF(Control!$B$26=4,4000000000*EXP(-8400/($G134+273))*($KT134),0))</f>
        <v>#DIV/0!</v>
      </c>
      <c r="KM134" s="274" t="e">
        <f ca="1">IF(Control!$B$26=3,5600000000000*EXP(-9800/($G134+273)),IF(Control!$B$26=4,5600000000000*EXP(-9800/($G134+273))*$KT134,0))</f>
        <v>#DIV/0!</v>
      </c>
      <c r="KN134" s="454" t="e">
        <f t="shared" ca="1" si="419"/>
        <v>#DIV/0!</v>
      </c>
      <c r="KO134" s="274" t="e">
        <f t="shared" ca="1" si="420"/>
        <v>#DIV/0!</v>
      </c>
      <c r="KP134" s="454" t="e">
        <f t="shared" ref="KP134:KP197" ca="1" si="553">$KO134+$KN134</f>
        <v>#DIV/0!</v>
      </c>
      <c r="KQ134" s="454" t="e">
        <f t="shared" ref="KQ134:KQ197" ca="1" si="554">$KN134-$KN135</f>
        <v>#DIV/0!</v>
      </c>
      <c r="KR134" s="454" t="e">
        <f t="shared" ref="KR134:KR197" ca="1" si="555">$KO134-$KO135</f>
        <v>#DIV/0!</v>
      </c>
      <c r="KS134" s="454" t="e">
        <f t="shared" ref="KS134:KS197" ca="1" si="556">$KQ134+$KR134</f>
        <v>#DIV/0!</v>
      </c>
      <c r="KT134" s="455" t="e">
        <f t="shared" ref="KT134:KT197" ca="1" si="557">$MV134/$OO134</f>
        <v>#DIV/0!</v>
      </c>
      <c r="KU134" s="456" t="e">
        <f ca="1">IF($CP134-Control!$C$149&lt;0, IF($NT134-0.01&lt;0,0,1),0)</f>
        <v>#N/A</v>
      </c>
      <c r="KV134" s="456" t="e">
        <f ca="1">IF(Control!$C$114=1,MAX(0,MIN(Control!$C$125*$KW134*$GN134,$KW134)))</f>
        <v>#DIV/0!</v>
      </c>
      <c r="KW134" s="456" t="e">
        <f t="shared" ca="1" si="453"/>
        <v>#DIV/0!</v>
      </c>
      <c r="KX134" s="457" t="e">
        <f ca="1">IF($CP134-Control!$C$149&lt;0, IF($MR134-$OM134&lt;0,0,1),0)</f>
        <v>#N/A</v>
      </c>
      <c r="KY134" s="167">
        <f t="shared" ca="1" si="421"/>
        <v>130</v>
      </c>
      <c r="KZ134" s="168">
        <f ca="1">1370*(1+0.033*COS(2*Control!$C$138*$AH134/365))</f>
        <v>1342.0296799846476</v>
      </c>
      <c r="LA134" s="169">
        <f t="shared" ca="1" si="422"/>
        <v>0.97958384369233742</v>
      </c>
      <c r="LB134" s="169">
        <f t="shared" ca="1" si="423"/>
        <v>0.30669175976598817</v>
      </c>
      <c r="LC134" s="169">
        <f ca="1">ACOS(-TAN((2*Control!$B$8/360))*TAN(Calculations!$LB134))</f>
        <v>1.6650552164529167</v>
      </c>
      <c r="LD134" s="169">
        <f ca="1">((24*60)/PI())*0.082*$LA134*(($LC134*SIN(Control!$B$8*2*PI()/360))*SIN($LB134)+COS(Control!$B$8*2*PI()/360)*COS($LB134)*SIN($LC134))</f>
        <v>36.09899575597602</v>
      </c>
      <c r="LE134" s="170">
        <f t="shared" ref="LE134:LE197" ca="1" si="558">(MAX(0.0001,$KZ134*$LJ134))/1000000</f>
        <v>36.876935960880452</v>
      </c>
      <c r="LF134" s="170">
        <f ca="1">SIN(Control!$C$139*Control!$B$8)*SIN($HD134)</f>
        <v>0.23334400050213486</v>
      </c>
      <c r="LG134" s="170">
        <f ca="1">COS(Control!$C$139*Control!$B$8)*COS($HD134)</f>
        <v>0.58804843551839714</v>
      </c>
      <c r="LH134" s="170">
        <f ca="1">12*(1+2*ASIN(MAX(-1,MIN(1,$LF134/$LG134))/Control!$C$138))</f>
        <v>15.039523368090006</v>
      </c>
      <c r="LI134" s="170">
        <f ca="1">12*(1+2*ASIN(MAX(-1,MIN(1,(-SIN(-4*Control!$C$139)+$LF134)/$LG134))/Control!$C$138))</f>
        <v>15.955505821130771</v>
      </c>
      <c r="LJ134" s="168">
        <f ca="1">3600*($LH134*$LF134+24*$LG134*SQRT(1-$LK134*$LK134)/Control!$C$138)</f>
        <v>27478.480178845457</v>
      </c>
      <c r="LK134" s="170">
        <f t="shared" ref="LK134:LK197" ca="1" si="559">MAX(-1,MIN(1,$LF134/$LG134))</f>
        <v>0.39681085163746632</v>
      </c>
      <c r="LL134" s="170">
        <f t="shared" ref="LL134:LL197" ca="1" si="560">$AQ134/$LE134</f>
        <v>0</v>
      </c>
      <c r="LM134" s="171">
        <f ca="1">Control!$C$145*$AB134</f>
        <v>6.6660906138995932E-2</v>
      </c>
      <c r="LN134" s="170">
        <f t="shared" ca="1" si="424"/>
        <v>0.54</v>
      </c>
      <c r="LO134" s="170">
        <f t="shared" ref="LO134:LO197" ca="1" si="561">MAX(0,MIN(1,($LL134-0.2)/0.56))</f>
        <v>0</v>
      </c>
      <c r="LP134" s="170">
        <f ca="1">Control!$C$140*((($D134+273.16)^4+($E134+273.16)^4)/2)*(0.34-0.14*SQRT($Y134))*(1.35*$AQ134/(0.75*$LD134)-0.35)</f>
        <v>-3.2464704755046001</v>
      </c>
      <c r="LQ134" s="170">
        <f ca="1">Control!$C$140*($G134+273)^4*(0.56-0.079*SQRT($Y134*10))*(0.1+0.9*$LO134)</f>
        <v>1.5241745131704001</v>
      </c>
      <c r="LR134" s="170">
        <f ca="1">$AQ134*(1-Control!$C$142)-$LQ134</f>
        <v>-1.5241745131704001</v>
      </c>
      <c r="LS134" s="170">
        <f ca="1">$AQ134*(1-Control!$C$143)-$LQ134</f>
        <v>-1.5241745131704001</v>
      </c>
      <c r="LT134" s="170">
        <f ca="1">$AQ134*(1-Control!$C$144)-$LQ134</f>
        <v>-1.5241745131704001</v>
      </c>
      <c r="LU134" s="169">
        <f ca="1">(1-Control!$C$144)*AQ134-LP134</f>
        <v>3.2464704755046001</v>
      </c>
      <c r="LV134" s="172">
        <f t="shared" ref="LV134:LV197" ca="1" si="562">10*0.26*($X134-$Y134)*(0.5+$LN134*$J134)</f>
        <v>0.79430000000000012</v>
      </c>
      <c r="LW134" s="170">
        <f t="shared" ref="LW134:LW197" ca="1" si="563">10*0.26*($X134-$Y134)*(1+$LN134*$J134)</f>
        <v>1.5886000000000002</v>
      </c>
      <c r="LX134" s="170">
        <f ca="1">($AC134*($LR134/Control!$C$141)+$LM134*$LV134)/($AC134+$LM134)</f>
        <v>0.23530094218323697</v>
      </c>
      <c r="LY134" s="170">
        <f ca="1">($AC134*($LS134/Control!$C$141)+$LM134*$LV134)/($AC134+$LM134)</f>
        <v>0.23530094218323697</v>
      </c>
      <c r="LZ134" s="170">
        <f t="shared" ref="LZ134:LZ197" ca="1" si="564">MAX(0,$LX134)</f>
        <v>0.23530094218323697</v>
      </c>
      <c r="MA134" s="170">
        <f t="shared" ref="MA134:MA197" ca="1" si="565">MAX(0,$LY134)</f>
        <v>0.23530094218323697</v>
      </c>
      <c r="MB134" s="170" t="e">
        <f t="shared" ref="MB134:MB197" ca="1" si="566" xml:space="preserve"> $MA134*(1-$DL134)</f>
        <v>#N/A</v>
      </c>
      <c r="MC134" s="170">
        <f t="shared" ca="1" si="425"/>
        <v>0.6018</v>
      </c>
      <c r="MD134" s="170">
        <f t="shared" ref="MD134:MD197" ca="1" si="567">(0.408*AD134*$LU134+$LM134*(900/($G134+273)*$J134*$MC134))/($AD134+$LM134*(1+0.34*$J134))</f>
        <v>0.52989392535414004</v>
      </c>
      <c r="ME134" s="170">
        <f ca="1">($AC134*($LT134/Control!$C$141)+$LM134*$LW134)/($AC134+$LM134)</f>
        <v>0.71612369323045078</v>
      </c>
      <c r="MF134" s="170" t="e">
        <f ca="1">IF(Control!$B$16&gt;=1000,0.92,IF(AND(720&lt;=Control!$B$16,1000&gt;Control!$B$16),(0.95+(Control!$B$16-720)*((0.92-0.95)/(1000-720))),IF(AND(360&lt;=Control!$B$16,720&gt;Control!$B$16),(1+(Control!$B$16-360)*((0.95-1)/(720-360))),IF(AND(40&lt;=Control!$B$16,360&gt;Control!$B$16),(1.05+(Control!$B$16-40)*((1.05-1)/(360-40)))))))</f>
        <v>#N/A</v>
      </c>
      <c r="MG134" s="170">
        <f t="shared" ref="MG134:MG197" ca="1" si="568">MAX(0,$ME134)</f>
        <v>0.71612369323045078</v>
      </c>
      <c r="MH134" s="170" t="e">
        <f t="shared" ca="1" si="464"/>
        <v>#N/A</v>
      </c>
      <c r="MI134" s="170" t="e">
        <f t="shared" ca="1" si="464"/>
        <v>#N/A</v>
      </c>
      <c r="MJ134" s="170" t="e">
        <f ca="1">MAX(0.0001, Control!$C$132*$MI134*$DL134)</f>
        <v>#N/A</v>
      </c>
      <c r="MK134" s="170">
        <f ca="1">1/(0.76+1.5*($MG134/10))-(5-Control!$C$110)*0.1</f>
        <v>1.002845988140797</v>
      </c>
      <c r="ML134" s="173">
        <f ca="1">IF(Control!$C$110&lt;3,$MK134+($MG134-0.6)/(Control!$C$110*(Control!$C$110+3)), MAX(0.1, MIN(0.95,$MK134)))</f>
        <v>0.95</v>
      </c>
      <c r="MM134" s="173">
        <f ca="1">IF(Control!$C$110&lt;3,$MK134+(($MI134/10)-0.6)/(Control!$C$110*(Control!$C$110+3)), MAX(0.1, MIN(0.95,$MK134)))</f>
        <v>0.95</v>
      </c>
      <c r="MN134" s="173">
        <f ca="1">(1-$MM134)*(Control!$C$128-Control!$C$127)+Control!$C$127</f>
        <v>0.16</v>
      </c>
      <c r="MO134" s="170" t="e">
        <f ca="1">MAX(0,MIN(1,($MS134-Control!$C$127)/($MN134-Control!$C$127)))</f>
        <v>#DIV/0!</v>
      </c>
      <c r="MP134" s="173" t="e">
        <f ca="1">1/(0.76+1.5*$MI134)-(5-Control!$C$110)*0.1</f>
        <v>#N/A</v>
      </c>
      <c r="MQ134" s="172" t="e">
        <f t="shared" ca="1" si="454"/>
        <v>#DIV/0!</v>
      </c>
      <c r="MR134" s="168" t="e">
        <f t="shared" ca="1" si="426"/>
        <v>#DIV/0!</v>
      </c>
      <c r="MS134" s="173" t="e">
        <f ca="1">MAX(Control!$C$127, MIN(Control!$C$135, $MR134/MAX(0.0001,$CY134)))</f>
        <v>#DIV/0!</v>
      </c>
      <c r="MT134" s="168" t="e">
        <f ca="1">(Control!$C$128-$MS134)*Control!$C$74</f>
        <v>#DIV/0!</v>
      </c>
      <c r="MU134" s="168" t="e">
        <f ca="1">(Control!$C$135-$MS134)*Control!$C$74</f>
        <v>#DIV/0!</v>
      </c>
      <c r="MV134" s="168" t="e">
        <f t="shared" ca="1" si="427"/>
        <v>#DIV/0!</v>
      </c>
      <c r="MW134" s="168" t="e">
        <f t="shared" ca="1" si="428"/>
        <v>#DIV/0!</v>
      </c>
      <c r="MX134" s="171" t="e">
        <f ca="1">MAX(Control!$C$127, MIN(Control!$C$135, $MW134/MAX(0.0001,Control!$C$119-$CY134)))</f>
        <v>#DIV/0!</v>
      </c>
      <c r="MY134" s="54" t="e">
        <f ca="1">IF(Control!$C$114=1, $CX134*$MX134, 0)</f>
        <v>#DIV/0!</v>
      </c>
      <c r="MZ134" s="54" t="e">
        <f t="shared" ca="1" si="429"/>
        <v>#N/A</v>
      </c>
      <c r="NA134" s="168" t="e">
        <f ca="1">(Control!$C$128-$MX134)*(Control!$C$119-Control!$C$74)</f>
        <v>#DIV/0!</v>
      </c>
      <c r="NB134" s="168" t="e">
        <f ca="1">(Control!$C$135-$MX134)*(Control!$C$119-Control!$C$74)</f>
        <v>#DIV/0!</v>
      </c>
      <c r="NC134" s="174" t="e">
        <f t="shared" ca="1" si="430"/>
        <v>#DIV/0!</v>
      </c>
      <c r="ND134" s="54">
        <f ca="1">IF(Control!$C$58=2, IF(OR(Control!$B$218=$AH134,Control!$B$219=$AH134, Control!$B$220=$AH134, Control!$B$221=$AH134, Control!$B$222=$AH134, Control!$B$223=$AH134, Control!$B$224=$AH134, Control!$B$225=$AH134, Control!$B$226=$AH134, Control!$B$227=$AH134, Control!$B$228=$AH134), 1, 0), 0)</f>
        <v>0</v>
      </c>
      <c r="NE134" s="54">
        <f ca="1">IF($ND134=0,0, VLOOKUP($AH134,Control!$B$218:$C$228,2))</f>
        <v>0</v>
      </c>
      <c r="NF134" s="168" t="e">
        <f ca="1">$CY134*(Control!$C$128-Control!$C$127)</f>
        <v>#N/A</v>
      </c>
      <c r="NG134" s="54" t="e">
        <f ca="1">IF(Control!$C$58=2, $NI133-$NJ133, 0)</f>
        <v>#DIV/0!</v>
      </c>
      <c r="NH134" s="54" t="e">
        <f ca="1">IF(AND(Control!$C$58=1, $MS133&lt;= ($MN133+0.02), $I133&lt;10), 0, IF(Control!$C$58=2, $NG133, 0))</f>
        <v>#DIV/0!</v>
      </c>
      <c r="NI134" s="54" t="e">
        <f ca="1">IF(Control!$C$58=2, $NE134+$NH134,0)</f>
        <v>#DIV/0!</v>
      </c>
      <c r="NJ134" s="54" t="e">
        <f ca="1">IF(AND(Control!$C$58=1, $MS134&lt;= ($MN134+0.02), $I134&lt;10), MAX(0, MIN(10, 0.7*($NF134-$MV134))), IF(Control!$C$58=2, MIN(10,$NI134),0))</f>
        <v>#DIV/0!</v>
      </c>
      <c r="NK134" s="54" t="e">
        <f t="shared" ref="NK134:NK197" ca="1" si="569">$NJ134+$NH134</f>
        <v>#DIV/0!</v>
      </c>
      <c r="NL134" s="173" t="e">
        <f ca="1">(1-Control!$C$73)*$I134+$NJ134</f>
        <v>#DIV/0!</v>
      </c>
      <c r="NM134" s="172" t="e">
        <f ca="1">IF($NL134&lt;0.5, $MB134* MAX(0, MIN(1, (SQRT($NC134)-SQRT($NC134-1))*Control!$C$71)),0)</f>
        <v>#DIV/0!</v>
      </c>
      <c r="NN134" s="170" t="e">
        <f ca="1">IF($NL134&gt;=5, $MB134, MAX(0,MIN($MB134, $NM134+$NL134,($MS134-Control!$C$129))))</f>
        <v>#DIV/0!</v>
      </c>
      <c r="NO134" s="54">
        <f>IF(Control!$C$133&lt;&gt;1, Control!$C$135-Control!$C$131, 0)</f>
        <v>0.38</v>
      </c>
      <c r="NP134" s="54" t="e">
        <f t="shared" ref="NP134:NP197" ca="1" si="570">IF($MS134&gt;=$NO134,MIN($AH133+1,4),0)</f>
        <v>#DIV/0!</v>
      </c>
      <c r="NQ134" s="173" t="e">
        <f ca="1">MAX(0,MIN(1,(Control!$C$135-$MS134)/(Control!$C$135-$NO134)))</f>
        <v>#DIV/0!</v>
      </c>
      <c r="NR134" s="170" t="e">
        <f ca="1">IF(Control!$C$133&lt;&gt;1, $NQ134+((1-$NP134/4)*(1-$NQ134)),1)</f>
        <v>#DIV/0!</v>
      </c>
      <c r="NS134" s="170" t="e">
        <f ca="1">IF(Control!$B$31=0,$MJ134,MAX(0,MIN($MV134,$MO134*$NR134*$MJ134)))</f>
        <v>#DIV/0!</v>
      </c>
      <c r="NT134" s="170" t="e">
        <f t="shared" ca="1" si="455"/>
        <v>#DIV/0!</v>
      </c>
      <c r="NU134" s="170" t="e">
        <f t="shared" ca="1" si="431"/>
        <v>#N/A</v>
      </c>
      <c r="NV134" s="170" t="e">
        <f t="shared" ref="NV134:NV197" ca="1" si="571">IF($AH134&gt;$HF134, $NU134/($AH134-$HF134), $NU134/($AH134+365-$HF134))</f>
        <v>#N/A</v>
      </c>
      <c r="NW134" s="175" t="e">
        <f t="shared" ref="NW134:NW197" ca="1" si="572">$NL134-$NN134-$NS134</f>
        <v>#DIV/0!</v>
      </c>
      <c r="NX134" s="170" t="e">
        <f ca="1">MIN(Control!$C$72+$MU134, $NW134)</f>
        <v>#DIV/0!</v>
      </c>
      <c r="NY134" s="170" t="e">
        <f ca="1">IF($MT134&lt;=$NX134,MIN(Control!$C$72+$NB134,$NX134-$MT134),0)</f>
        <v>#DIV/0!</v>
      </c>
      <c r="NZ134" s="54" t="e">
        <f ca="1">IF(Control!$C$114=1,  $CX134*($MX134-Control!$C$127), 0)</f>
        <v>#DIV/0!</v>
      </c>
      <c r="OA134" s="170" t="e">
        <f t="shared" ref="OA134:OA197" ca="1" si="573">$NX134-$NY134+$NZ134</f>
        <v>#DIV/0!</v>
      </c>
      <c r="OB134" s="170" t="e">
        <f ca="1">IF($NA134 &lt;=$NY134, MIN(Control!$C$72, $NY134-$NA134), 0)</f>
        <v>#DIV/0!</v>
      </c>
      <c r="OC134" s="168" t="e">
        <f t="shared" ref="OC134:OC197" ca="1" si="574">$NY134-$OB134-$NZ134</f>
        <v>#DIV/0!</v>
      </c>
      <c r="OD134" s="168" t="e">
        <f t="shared" ca="1" si="432"/>
        <v>#DIV/0!</v>
      </c>
      <c r="OE134" s="170">
        <f ca="1">Control!$C$73*$I134</f>
        <v>0</v>
      </c>
      <c r="OF134" s="176" t="e">
        <f t="shared" ref="OF134:OF197" ca="1" si="575">$OE134+MAX(0,$NW134-$NX134)</f>
        <v>#DIV/0!</v>
      </c>
      <c r="OG134" s="168" t="e">
        <f t="shared" ref="OG134:OG197" ca="1" si="576">$MV$6-$MV134</f>
        <v>#DIV/0!</v>
      </c>
      <c r="OH134" s="168" t="e">
        <f t="shared" ref="OH134:OH197" ca="1" si="577">$OD$6-$OD134</f>
        <v>#DIV/0!</v>
      </c>
      <c r="OI134" s="168" t="e">
        <f t="shared" ref="OI134:OI197" ca="1" si="578">$NX134-$NY134+$MY134</f>
        <v>#DIV/0!</v>
      </c>
      <c r="OJ134" s="168" t="e">
        <f t="shared" ref="OJ134:OJ197" ca="1" si="579">$NY134-$OB134-$MY134</f>
        <v>#DIV/0!</v>
      </c>
      <c r="OK134" s="204" t="e">
        <f t="shared" ref="OK134:OK197" ca="1" si="580">$OG134+$OH134</f>
        <v>#DIV/0!</v>
      </c>
      <c r="OL134" s="177">
        <f>Control!$C$127</f>
        <v>0.15</v>
      </c>
      <c r="OM134" s="182" t="e">
        <f t="shared" ref="OM134:OM197" ca="1" si="581">$OL134*$CY134</f>
        <v>#N/A</v>
      </c>
      <c r="ON134" s="177">
        <f>Control!$C$128</f>
        <v>0.35</v>
      </c>
      <c r="OO134" s="182" t="e">
        <f t="shared" ref="OO134:OO197" ca="1" si="582">$ON134*$CY134</f>
        <v>#N/A</v>
      </c>
      <c r="OP134" s="138">
        <f t="shared" ca="1" si="433"/>
        <v>0</v>
      </c>
      <c r="OQ134" s="138" t="e">
        <f t="shared" ca="1" si="456"/>
        <v>#DIV/0!</v>
      </c>
      <c r="OR134" s="138" t="e">
        <f t="shared" ca="1" si="434"/>
        <v>#DIV/0!</v>
      </c>
      <c r="OS134" s="137" t="e">
        <f t="shared" ca="1" si="457"/>
        <v>#DIV/0!</v>
      </c>
      <c r="OT134" s="139" t="e">
        <f t="shared" ca="1" si="458"/>
        <v>#DIV/0!</v>
      </c>
      <c r="OU134" s="138" t="e">
        <f t="shared" ca="1" si="459"/>
        <v>#N/A</v>
      </c>
      <c r="OV134" s="138" t="e">
        <f t="shared" ca="1" si="460"/>
        <v>#DIV/0!</v>
      </c>
      <c r="OW134" s="138" t="e">
        <f t="shared" ca="1" si="435"/>
        <v>#DIV/0!</v>
      </c>
      <c r="OX134" s="138" t="e">
        <f t="shared" ca="1" si="436"/>
        <v>#DIV/0!</v>
      </c>
      <c r="OY134" s="138" t="e">
        <f t="shared" ca="1" si="437"/>
        <v>#DIV/0!</v>
      </c>
      <c r="OZ134" s="138" t="e">
        <f t="shared" ref="OZ134:OZ197" ca="1" si="583">ABS($MR134-$NS134-$NN134+$I134+$MY134+$NK134-$OF134-$NY134-$OX134)</f>
        <v>#DIV/0!</v>
      </c>
      <c r="PA134" s="138" t="e">
        <f t="shared" ref="PA134:PA197" ca="1" si="584">ABS($MW134+$NY134-$OB134-$MY134-$OY134)</f>
        <v>#DIV/0!</v>
      </c>
      <c r="PB134" s="55">
        <f>IF(Control!$C$61="T", IF(Control!$C$65="F", IF($AH$6-Control!$C$60&lt;0,0,1), IF(365+$AH$6-Control!$C$60&lt;0,0,1)),0)</f>
        <v>0</v>
      </c>
      <c r="PC134" s="55">
        <f ca="1">IF(Control!$C$65="F", IF($AH$6-$HF134&lt;0,0,1), IF(365+$AH$6-$HF134&lt;0,0,1))</f>
        <v>1</v>
      </c>
      <c r="PD134" s="444">
        <f>Control!$C$118</f>
        <v>1500</v>
      </c>
      <c r="PE134" s="180" t="e">
        <f t="shared" ref="PE134:PE197" ca="1" si="585">$CY134*($ON134-$MS134)</f>
        <v>#N/A</v>
      </c>
      <c r="PF134" s="445">
        <f t="shared" ca="1" si="438"/>
        <v>0.71612369323045078</v>
      </c>
      <c r="PT134" s="186"/>
      <c r="PU134" s="186"/>
      <c r="PV134" s="94"/>
      <c r="PW134" s="94"/>
      <c r="PX134" s="94"/>
      <c r="PY134" s="94"/>
      <c r="PZ134" s="94"/>
      <c r="QA134" s="94"/>
      <c r="QB134" s="94"/>
      <c r="QC134" s="94"/>
      <c r="QD134" s="94"/>
      <c r="QE134" s="94"/>
      <c r="QF134" s="94"/>
      <c r="QG134" s="94"/>
      <c r="QH134" s="94"/>
      <c r="QI134" s="94"/>
      <c r="QJ134" s="94"/>
      <c r="QK134" s="94"/>
      <c r="QL134" s="94"/>
      <c r="QM134" s="94"/>
      <c r="QN134" s="94"/>
      <c r="QO134" s="94"/>
      <c r="QP134" s="94"/>
    </row>
    <row r="135" spans="1:458" s="2" customFormat="1" x14ac:dyDescent="0.2">
      <c r="A135" s="395">
        <v>10</v>
      </c>
      <c r="B135" s="396">
        <v>5</v>
      </c>
      <c r="C135" s="387">
        <f ca="1">Weather_data!$B134</f>
        <v>0</v>
      </c>
      <c r="D135" s="388">
        <f ca="1">Weather_data!$F134</f>
        <v>0</v>
      </c>
      <c r="E135" s="388">
        <f ca="1">Weather_data!$E134</f>
        <v>0</v>
      </c>
      <c r="F135" s="388">
        <f t="shared" ref="F135:F198" ca="1" si="586">$D135-$E135</f>
        <v>0</v>
      </c>
      <c r="G135" s="388">
        <f ca="1">AVERAGE($D135:$E135)+Control!$B$9</f>
        <v>0</v>
      </c>
      <c r="H135" s="388">
        <f ca="1">Weather_data!$G134</f>
        <v>0</v>
      </c>
      <c r="I135" s="388">
        <f ca="1">Weather_data!$I134</f>
        <v>0</v>
      </c>
      <c r="J135" s="388">
        <f ca="1">Weather_data!$H134</f>
        <v>0</v>
      </c>
      <c r="K135" s="389">
        <f ca="1">Weather_data!$D134</f>
        <v>0</v>
      </c>
      <c r="L135" s="388" t="e">
        <f t="shared" ref="L135:L198" ca="1" si="587">$L134+$DM134</f>
        <v>#N/A</v>
      </c>
      <c r="M135" s="388" t="e">
        <f t="shared" ca="1" si="465"/>
        <v>#N/A</v>
      </c>
      <c r="N135" s="388">
        <f t="shared" ca="1" si="466"/>
        <v>-6.2553803569715088E-7</v>
      </c>
      <c r="O135" s="388">
        <f t="shared" ref="O135:O198" ca="1" si="588">$O134+$N134</f>
        <v>6.2553803569715093E-6</v>
      </c>
      <c r="P135" s="390">
        <v>3</v>
      </c>
      <c r="Q135" s="388">
        <f ca="1">MAX($G135-Control!$C$107,0)</f>
        <v>0</v>
      </c>
      <c r="R135" s="388">
        <f t="shared" ref="R135:R198" ca="1" si="589">IF($G135&lt;=3,0,IF(33&gt;=$G135&gt;3,0+($G135-3)*((30-0)/(33-3)),IF($G135&gt;33,30)))</f>
        <v>0</v>
      </c>
      <c r="S135" s="388">
        <f t="shared" ca="1" si="467"/>
        <v>0</v>
      </c>
      <c r="T135" s="388">
        <f t="shared" ca="1" si="468"/>
        <v>0</v>
      </c>
      <c r="U135" s="59">
        <f t="shared" ca="1" si="469"/>
        <v>0</v>
      </c>
      <c r="V135" s="391">
        <f ca="1">MAX(0,MIN(Control!$C$100-Control!$C$99,$G135-Control!$C$99)*Control!$C$63)</f>
        <v>0</v>
      </c>
      <c r="W135" s="388">
        <f t="shared" ref="W135:W198" ca="1" si="590">$D135-0.25*($D135-$E135)</f>
        <v>0</v>
      </c>
      <c r="X135" s="388">
        <f t="shared" ref="X135:X198" ca="1" si="591">6.11*0.1*EXP(17.4*$G135/($G135+239))</f>
        <v>0.6110000000000001</v>
      </c>
      <c r="Y135" s="388">
        <f t="shared" ca="1" si="470"/>
        <v>0</v>
      </c>
      <c r="Z135" s="388">
        <f t="shared" ref="Z135:Z198" ca="1" si="592">6.10588*0.1*EXP((17.32491*$G135)/($G135+238.102))</f>
        <v>0.61058800000000002</v>
      </c>
      <c r="AA135" s="388">
        <f t="shared" ca="1" si="471"/>
        <v>0.6018</v>
      </c>
      <c r="AB135" s="388">
        <f ca="1">101.3*EXP(-0.034*Control!$C$66/($G135+273))</f>
        <v>100.69623283836242</v>
      </c>
      <c r="AC135" s="392">
        <f t="shared" ca="1" si="472"/>
        <v>4.3460251046025113E-2</v>
      </c>
      <c r="AD135" s="392">
        <f t="shared" ca="1" si="473"/>
        <v>4.4450382862832649E-2</v>
      </c>
      <c r="AE135" s="388">
        <f t="shared" ca="1" si="474"/>
        <v>0</v>
      </c>
      <c r="AF135" s="388">
        <f ca="1">MAX(0,$G135-Control!$C$92)</f>
        <v>0</v>
      </c>
      <c r="AG135" s="393">
        <f t="shared" ca="1" si="475"/>
        <v>131</v>
      </c>
      <c r="AH135" s="389">
        <f t="shared" ca="1" si="476"/>
        <v>131</v>
      </c>
      <c r="AI135" s="388">
        <f t="shared" ref="AI135:AI198" ca="1" si="593">$HD135</f>
        <v>0.30537376983228842</v>
      </c>
      <c r="AJ135" s="388">
        <f ca="1">IF(Control!$C$60&lt;=0,$HH135,$HI135)</f>
        <v>1</v>
      </c>
      <c r="AK135" s="388">
        <f t="shared" ca="1" si="477"/>
        <v>0.87792452237303809</v>
      </c>
      <c r="AL135" s="388">
        <f t="shared" ca="1" si="478"/>
        <v>3.4262159082087958E-18</v>
      </c>
      <c r="AM135" s="388">
        <f t="shared" ca="1" si="479"/>
        <v>0.87792452237303809</v>
      </c>
      <c r="AN135" s="388">
        <f t="shared" ca="1" si="480"/>
        <v>0.31106554582871637</v>
      </c>
      <c r="AO135" s="388">
        <f ca="1">-0.10453/COS(Control!$B$8*PI()/180)*COS(AN135)</f>
        <v>-0.16163654484193871</v>
      </c>
      <c r="AP135" s="388">
        <f ca="1">ACOS(AO135-TAN(Control!$B$8*PI()/180)*TAN(AN135))</f>
        <v>2.1811305187516483</v>
      </c>
      <c r="AQ135" s="388">
        <f t="shared" ref="AQ135:AQ198" ca="1" si="594">$K135/1000</f>
        <v>0</v>
      </c>
      <c r="AR135" s="394">
        <f t="shared" ca="1" si="481"/>
        <v>0</v>
      </c>
      <c r="AS135" s="436">
        <f ca="1">IF(Control!$B$18=2,(IF(OR($AH135=Control!$B$175,$AH135=Control!$B$176,$AH135=Control!$B$177,$AH135=Control!$B$178,$AH135=Control!$B$179,$AH135=Control!$B$180,$AH135=Control!$B$181,$AH135=Control!$B$182,$AH135=Control!$B$183,$AH135=Control!$B$184,$AH135=Control!$B$185),1,0)),0)</f>
        <v>0</v>
      </c>
      <c r="AT135" s="436">
        <f>IF(Control!$B$20=8,IF(AND($AH135&gt;=Control!$B$172,$AH135&lt;=Control!$B$173),1,0),0)</f>
        <v>0</v>
      </c>
      <c r="AU135" s="436">
        <f>IF(Control!$B$20=8,IF($AV134=1,1*$AT135,IF($AT135=1,$AU134+1,$AU134)),0)</f>
        <v>0</v>
      </c>
      <c r="AV135" s="436">
        <f>IF(Control!$B$20=8,IF($AU135&gt;=Control!$B$174,1,0),0)</f>
        <v>0</v>
      </c>
      <c r="AW135" s="436">
        <f ca="1">IF(AND(Control!$B$18=2,Control!$B$171=1), $AV135, $AS135)</f>
        <v>0</v>
      </c>
      <c r="AX135" s="436" t="e">
        <f ca="1">IF(AND(Control!$B$18=1,$EU135&gt;=Control!$B$19),-$AY135,IF(AND(Control!$B$18=2,$AW135=1,$EU135&gt;$DS135),-$AY135, IF(Control!$C$108=0,0, IF(Control!$C$108&lt;&gt;0,1))))</f>
        <v>#N/A</v>
      </c>
      <c r="AY135" s="436" t="e">
        <f t="shared" ref="AY135:AY198" ca="1" si="595">$AY134+$AX134</f>
        <v>#N/A</v>
      </c>
      <c r="AZ135" s="436" t="e">
        <f ca="1">IF(AND(Control!$B$18=1,$EB135&gt;Control!$B$19),$AZ134+1, IF(AND(Control!$B$18=2, $AW135=1, $EB135&gt;$DS135), $AZ134+1,$AZ134))</f>
        <v>#N/A</v>
      </c>
      <c r="BA135" s="587">
        <f>IF(Control!$C$81=0,1,IF($AH135&gt;=Control!$C$82,1,0))</f>
        <v>1</v>
      </c>
      <c r="BB135" s="140" t="e">
        <f ca="1">IF($BA135&gt;$BA134,Control!$C$83,IF($AW135&gt;0,$AW135*Control!$C$84,IF(AND(Control!$B$18=1,EN134&lt;&gt;0),Control!$C$84,0)))</f>
        <v>#N/A</v>
      </c>
      <c r="BC135" s="140" t="e">
        <f t="shared" ref="BC135:BC198" ca="1" si="596">IF($BA135=0,0,IF(AND($BB135&gt;0,$BB135&lt;9),1,$BG134))</f>
        <v>#N/A</v>
      </c>
      <c r="BD135" s="140" t="e">
        <f ca="1">BC135*IF(OR($G135&lt;Control!$C$92,$G135&gt;Control!$C$95),0,IF(AND($G135&gt;=Control!$C$92,$G135&lt;=Control!$C$93),$G135-Control!$C$92,IF(AND($G135&gt;Control!$C$93,$G135&lt;=Control!$C$94),Control!$C$93-Control!$C$92,IF(AND($G135&gt;Control!$C$94,$G135&lt;=Control!$C$95),(Control!$C$93-Control!$C$92)*(Control!$C$94-$G135)/(Control!$C$95-Control!$C$94)))))</f>
        <v>#N/A</v>
      </c>
      <c r="BE135" s="140" t="e">
        <f t="shared" ref="BE135:BE198" ca="1" si="597">IF($BC135=0,0,$BF134+$BD135)</f>
        <v>#N/A</v>
      </c>
      <c r="BF135" s="140" t="e">
        <f ca="1">IF($BE135&lt;=Control!$C$86,$BE135,Control!$C$86-$BE135)</f>
        <v>#N/A</v>
      </c>
      <c r="BG135" s="140" t="e">
        <f ca="1">IF(AND($AW135=1,Control!$C$84&lt;9),1,IF($BE135&gt;=Control!$C$86,0,$BC135))</f>
        <v>#N/A</v>
      </c>
      <c r="BH135" s="404" t="e">
        <f ca="1">IF($BG135=0,0,IF($BE135&lt;=Control!$C$86,$BC135*9*($BF135/Control!$C$86),0))</f>
        <v>#N/A</v>
      </c>
      <c r="BI135" s="140" t="e">
        <f ca="1">IF($BG135=1,0,IF($BE135&gt;=Control!$C$86,1,IF(AND($BB135&lt;21,$BB135&gt;=9),1,$BM134)))</f>
        <v>#N/A</v>
      </c>
      <c r="BJ135" s="140" t="e">
        <f ca="1">IF($BF135&lt;0,-$BF135,$BI135*IF(OR($G135&lt;Control!$C$92,$G135&gt;Control!$C$95),0,IF(AND($G135&gt;=Control!$C$92,$G135&lt;=Control!$C$93),$G135-Control!$C$92,IF(AND($G135&gt;Control!$C$93,$G135&lt;=Control!$C$94),Control!$C$93-Control!$C$92,IF(AND($G135&gt;Control!$C$94,$G135&lt;=Control!$C$95),(Control!$C$93-Control!$C$92)*(Control!$C$94-$G135)/(Control!$C$95-Control!$C$94))))))</f>
        <v>#N/A</v>
      </c>
      <c r="BK135" s="140" t="e">
        <f t="shared" ref="BK135:BK198" ca="1" si="598">IF($BI135=0,0,IF($BF135&lt;0,$BL134+$BJ135-$BF135,$BL134+$BJ135))</f>
        <v>#N/A</v>
      </c>
      <c r="BL135" s="140" t="e">
        <f ca="1">IF($BK135&lt;=Control!$C$87,$BK135,Control!$C$87-$BK135)</f>
        <v>#N/A</v>
      </c>
      <c r="BM135" s="140" t="e">
        <f ca="1">IF(AND($BB135&gt;=9,$BB135&lt;21),1,IF($BK135&gt;=Control!$C$87,0,$BI135))</f>
        <v>#N/A</v>
      </c>
      <c r="BN135" s="404" t="e">
        <f ca="1">IF($BM135=0,0,IF($BK135&lt;=Control!$C$87,$BI135*(9+(21-9)*($BL135/Control!$C$87)),0))</f>
        <v>#N/A</v>
      </c>
      <c r="BO135" s="140" t="e">
        <f ca="1">IF($BM135=1,0,IF($BK135&gt;=Control!$C$87,1,IF(AND($BB135&lt;30,$BB135&gt;=21),1,$BS134)))</f>
        <v>#N/A</v>
      </c>
      <c r="BP135" s="140" t="e">
        <f ca="1">IF($BL135&lt;0,-$BL135,$BO135*IF(OR($G135&lt;Control!$C$92,$G135&gt;Control!$C$95),0,IF(AND($G135&gt;=Control!$C$92,$G135&lt;=Control!$C$93),$G135-Control!$C$92,IF(AND($G135&gt;Control!$C$93,$G135&lt;=Control!$C$94),Control!$C$93-Control!$C$92,IF(AND($G135&gt;Control!$C$94,$G135&lt;=Control!$C$95),(Control!$C$93-Control!$C$92)*(Control!$C$94-$G135)/(Control!$C$95-Control!$C$94))))))</f>
        <v>#N/A</v>
      </c>
      <c r="BQ135" s="140" t="e">
        <f t="shared" ca="1" si="482"/>
        <v>#N/A</v>
      </c>
      <c r="BR135" s="140" t="e">
        <f ca="1">IF($BQ135&lt;=Control!$C$88,$BQ135,Control!$C$88-$BQ135)</f>
        <v>#N/A</v>
      </c>
      <c r="BS135" s="140" t="e">
        <f ca="1">IF(AND($BB135&gt;=21,$BB135&lt;30),1,IF($BQ135&gt;=Control!$C$88,0,$BO135))</f>
        <v>#N/A</v>
      </c>
      <c r="BT135" s="404" t="e">
        <f ca="1">IF($BS135=0,0,IF($BQ135&lt;=Control!$C$88,$BO135*(21+(30-21)*(BR135/Control!$C$88)),0))</f>
        <v>#N/A</v>
      </c>
      <c r="BU135" s="140" t="e">
        <f ca="1">IF(BG135+BM135+BS135=1,0,IF(OR(AND($BB135&lt;60,$BB135&gt;=30),$BQ135&gt;=Control!$C$88),1*$BA135,$BY134))</f>
        <v>#N/A</v>
      </c>
      <c r="BV135" s="140" t="e">
        <f ca="1">IF($BR135&lt;0,-$BR135,$BU135*IF(OR($G135&lt;Control!$C$92,$G135&gt;Control!$C$95),0,IF(AND($G135&gt;=Control!$C$92,$G135&lt;=Control!$C$93),$G135-Control!$C$92,IF(AND($G135&gt;Control!$C$93,$G135&lt;=Control!$C$94),Control!$C$93-Control!$C$92,IF(AND($G135&gt;Control!$C$94,$G135&lt;=Control!$C$95),(Control!$C$93-Control!$C$92)*(Control!$C$94-$G135)/(Control!$C$95-Control!$C$94))))))</f>
        <v>#N/A</v>
      </c>
      <c r="BW135" s="140" t="e">
        <f t="shared" ca="1" si="483"/>
        <v>#N/A</v>
      </c>
      <c r="BX135" s="140" t="e">
        <f ca="1">IF($BW135&lt;=Control!$C$89,$BW135,Control!$C$89-$BW135)</f>
        <v>#N/A</v>
      </c>
      <c r="BY135" s="140" t="e">
        <f ca="1">IF(AND($AJ135&gt;=30,$AJ135&lt;60),1,IF($BW135&gt;=Control!$C$89,0,$BU135))</f>
        <v>#N/A</v>
      </c>
      <c r="BZ135" s="404" t="e">
        <f ca="1">IF($BY135=0,0,IF($BW135&lt;=Control!$C$89,$BU135*(30+(60-30)*(BX135/Control!$C$89)),0))</f>
        <v>#N/A</v>
      </c>
      <c r="CA135" s="140" t="e">
        <f ca="1">IF($BG135+$BM135+$BS135+$BY135=1,0,IF(OR(AND($BB135&lt;65,$BB135&gt;=60),$BW135&gt;=Control!$C$89),1*$BA135,$CE134))</f>
        <v>#N/A</v>
      </c>
      <c r="CB135" s="140" t="e">
        <f ca="1">IF($BX135&lt;0,-$BX135,$CA135*IF(OR($G135&lt;Control!$C$92,$G135&gt;Control!$C$95),0,IF(AND($G135&gt;=Control!$C$92,$G135&lt;=Control!$C$93),$G135-Control!$C$92,IF(AND($G135&gt;Control!$C$93,$G135&lt;=Control!$C$94),Control!$C$93-Control!$C$92,IF(AND($G135&gt;Control!$C$94,$G135&lt;=Control!$C$95),(Control!$C$93-Control!$C$92)*(Control!$C$94-$G135)/(Control!$C$95-Control!$C$94))))))</f>
        <v>#N/A</v>
      </c>
      <c r="CC135" s="140" t="e">
        <f t="shared" ref="CC135:CC198" ca="1" si="599">IF($CA135=1,$CC134+$CB135,0)</f>
        <v>#N/A</v>
      </c>
      <c r="CD135" s="140" t="e">
        <f ca="1">IF($CC135&lt;=Control!$C$90,$CC135,Control!$C$90-$CC135)</f>
        <v>#N/A</v>
      </c>
      <c r="CE135" s="140" t="e">
        <f ca="1">IF(AND($BB135&gt;=60,$BB135&lt;65),1,IF($CC135&gt;=Control!$C$90,0,$CA135))</f>
        <v>#N/A</v>
      </c>
      <c r="CF135" s="404" t="e">
        <f ca="1">IF($CE135=0,0,IF($CC135&lt;=Control!$C$90,$CA135*(60+(65-60)*(CD135/Control!$C$90)),0))</f>
        <v>#N/A</v>
      </c>
      <c r="CG135" s="140" t="e">
        <f ca="1">IF($BG135+$BM135+$BS135+$BY135+$CE135=1,0,IF(OR(AND($BB135&lt;90,$BB135&gt;=65),$CC135&gt;=Control!$C$90),$BA135,$CK134))</f>
        <v>#N/A</v>
      </c>
      <c r="CH135" s="140" t="e">
        <f ca="1">IF($CD135&lt;0,-$CD135,$CG135*IF(OR($G135&lt;Control!$C$92,$G135&gt;Control!$C$95),0,IF(AND($G135&gt;=Control!$C$92,$G135&lt;=Control!$C$93),$G135-Control!$C$92,IF(AND($G135&gt;Control!$C$93,$G135&lt;=Control!$C$94),Control!$C$93-Control!$C$92,IF(AND($G135&gt;Control!$C$94,$G135&lt;=Control!$C$95),(Control!$C$93-Control!$C$92)*(Control!$C$94-$G135)/(Control!$C$95-Control!$C$94))))))</f>
        <v>#N/A</v>
      </c>
      <c r="CI135" s="140" t="e">
        <f t="shared" ref="CI135:CI198" ca="1" si="600">IF($CG135=1,$CI134+$CH135,0)</f>
        <v>#N/A</v>
      </c>
      <c r="CJ135" s="140" t="e">
        <f ca="1">IF($CI135&lt;=Control!$C$91,$CI135,Control!$C$91-$CI135)</f>
        <v>#N/A</v>
      </c>
      <c r="CK135" s="140" t="e">
        <f ca="1">IF(AND($BB135&gt;=65,$BB135&lt;90),1,IF($CI135&gt;=Control!$C$91,0,$CG135))</f>
        <v>#N/A</v>
      </c>
      <c r="CL135" s="404" t="e">
        <f ca="1">IF($CK135=0,0,IF($CI135&lt;=Control!$C$91,$CG135*(65+(90-65)*($CJ135/Control!$C$91)),0))</f>
        <v>#N/A</v>
      </c>
      <c r="CM135" s="140" t="e">
        <f ca="1">IF($BG135+$BM135+$BS135+$BY135+$CE135+$CK135=1,0,IF(OR($BB135&gt;=90,$CI135&gt;=Control!$C$91),$BA135,$CM134))</f>
        <v>#N/A</v>
      </c>
      <c r="CN135" s="140" t="e">
        <f t="shared" ref="CN135:CN198" ca="1" si="601">CM135*90</f>
        <v>#N/A</v>
      </c>
      <c r="CO135" s="140" t="e">
        <f t="shared" ref="CO135:CO198" ca="1" si="602">MAX(0.0001,$BF135+$BL135+$BR135+$BX135+$CD135+$CJ135)</f>
        <v>#N/A</v>
      </c>
      <c r="CP135" s="140" t="e">
        <f t="shared" ref="CP135:CP198" ca="1" si="603">BH135+BN135+BT135+BZ135+CF135+CL135+CN135</f>
        <v>#N/A</v>
      </c>
      <c r="CQ135" s="141" t="e">
        <f ca="1">VLOOKUP($CP135,Control!$B$86:$G$91,6)</f>
        <v>#N/A</v>
      </c>
      <c r="CR135" s="141" t="e">
        <f ca="1">(1-$CQ135)*VLOOKUP($CP135,Control!$B$86:$D$91,3)</f>
        <v>#N/A</v>
      </c>
      <c r="CS135" s="141" t="e">
        <f ca="1">(1-$CQ135)*VLOOKUP($CP135,Control!$B$86:$E$91,4)</f>
        <v>#N/A</v>
      </c>
      <c r="CT135" s="141" t="e">
        <f ca="1">(1-$CQ135)*VLOOKUP($CP135,Control!$B$86:$F$91,5)</f>
        <v>#N/A</v>
      </c>
      <c r="CU135" s="141">
        <f t="shared" ref="CU135:CU198" ca="1" si="604">$CU134+$T134</f>
        <v>0</v>
      </c>
      <c r="CV135" s="583">
        <f t="shared" ref="CV135:CV198" ca="1" si="605">$CV134+$U134</f>
        <v>0</v>
      </c>
      <c r="CW135" s="142">
        <f t="shared" ref="CW135:CW198" ca="1" si="606">$AG135</f>
        <v>131</v>
      </c>
      <c r="CX135" s="612" t="e">
        <f ca="1">IF(Control!$C$114=1,(MIN(Control!$C$120*(IF($NT135-0.01&lt;0,0,1)),Control!$C$119-$CY135)))</f>
        <v>#DIV/0!</v>
      </c>
      <c r="CY135" s="143" t="e">
        <f t="shared" ref="CY135:CY198" ca="1" si="607">$CY134+$CX134</f>
        <v>#N/A</v>
      </c>
      <c r="CZ135" s="144">
        <f t="shared" ca="1" si="484"/>
        <v>0</v>
      </c>
      <c r="DA135" s="144">
        <f t="shared" ca="1" si="485"/>
        <v>0</v>
      </c>
      <c r="DB135" s="144" t="e">
        <f t="shared" ca="1" si="486"/>
        <v>#N/A</v>
      </c>
      <c r="DC135" s="144" t="e">
        <f t="shared" ca="1" si="487"/>
        <v>#N/A</v>
      </c>
      <c r="DD135" s="144" t="e">
        <f t="shared" ca="1" si="461"/>
        <v>#N/A</v>
      </c>
      <c r="DE135" s="143" t="e">
        <f t="shared" ref="DE135:DE198" ca="1" si="608">$DE134+$DD134</f>
        <v>#N/A</v>
      </c>
      <c r="DF135" s="145" t="e">
        <f ca="1">$DR135*EXP(-Control!$C$158*(1-$KH135))</f>
        <v>#N/A</v>
      </c>
      <c r="DG135" s="146" t="e">
        <f ca="1">IF(Control!$C$114=1, $DF135*$EY135, 0)</f>
        <v>#N/A</v>
      </c>
      <c r="DH135" s="147" t="e">
        <f t="shared" ref="DH135:DH198" ca="1" si="609">$DG135-$DZ135</f>
        <v>#N/A</v>
      </c>
      <c r="DI135" s="144" t="e">
        <f t="shared" ca="1" si="439"/>
        <v>#N/A</v>
      </c>
      <c r="DJ135" s="147" t="e">
        <f ca="1">$EF135*Control!$C$109</f>
        <v>#N/A</v>
      </c>
      <c r="DK135" s="144" t="e">
        <f t="shared" ref="DK135:DK198" ca="1" si="610">$DI135+$DJ135</f>
        <v>#N/A</v>
      </c>
      <c r="DL135" s="144" t="e">
        <f t="shared" ca="1" si="488"/>
        <v>#N/A</v>
      </c>
      <c r="DM135" s="144" t="e">
        <f ca="1">IF(Control!$C$114=1, (1-EXP(-Control!$C$96*$DK135))*$AR135, 0)</f>
        <v>#N/A</v>
      </c>
      <c r="DN135" s="144">
        <f t="shared" ref="DN135:DN198" ca="1" si="611">$DN134+$AR134</f>
        <v>0</v>
      </c>
      <c r="DO135" s="148">
        <f>Control!$C$97</f>
        <v>4</v>
      </c>
      <c r="DP135" s="145" t="e">
        <f t="shared" ref="DP135:DP198" ca="1" si="612">$DI135/MAX(0.1,$EB135)</f>
        <v>#N/A</v>
      </c>
      <c r="DQ135" s="145" t="e">
        <f ca="1">IF(AND($CP135&gt;=0,$CP135&lt;=90),Control!$C$111,Control!$C$111)</f>
        <v>#N/A</v>
      </c>
      <c r="DR135" s="145" t="e">
        <f t="shared" ca="1" si="489"/>
        <v>#N/A</v>
      </c>
      <c r="DS135" s="143" t="e">
        <f ca="1">Control!$B$22/$DR135</f>
        <v>#N/A</v>
      </c>
      <c r="DT135" s="149" t="e">
        <f ca="1">IF(AND(Control!$C$114=1,$KH135&lt;1),$IM135*$DF135, 0)</f>
        <v>#N/A</v>
      </c>
      <c r="DU135" s="144" t="e">
        <f t="shared" ref="DU135:DU198" ca="1" si="613">$DU134+$DW134</f>
        <v>#N/A</v>
      </c>
      <c r="DV135" s="144">
        <f ca="1">IF($G135-Control!$C$107&lt;=0, 0, 0.83*LN(MAX($G135, 3))-0.8924)</f>
        <v>0</v>
      </c>
      <c r="DW135" s="144" t="e">
        <f t="shared" ca="1" si="490"/>
        <v>#N/A</v>
      </c>
      <c r="DX135" s="150" t="e">
        <f ca="1">MAX(0.01*(1+$CU135/Control!$C$102),0.05*($DK135-Control!$C$97)/Control!$C$97)</f>
        <v>#N/A</v>
      </c>
      <c r="DY135" s="151" t="e">
        <f ca="1">IF(Control!$C$114=1, $DI135*$FS135, 0)</f>
        <v>#N/A</v>
      </c>
      <c r="DZ135" s="196" t="e">
        <f t="shared" ref="DZ135:DZ198" ca="1" si="614">IF($EN135&lt;=0, MIN(($DI135-0.08), $DY135+$DT135), $EN135*$DP135)</f>
        <v>#N/A</v>
      </c>
      <c r="EA135" s="152">
        <f t="shared" ref="EA135:EA198" ca="1" si="615">$AG135</f>
        <v>131</v>
      </c>
      <c r="EB135" s="153" t="e">
        <f t="shared" ref="EB135:EB198" ca="1" si="616">$EB134+$ED134</f>
        <v>#N/A</v>
      </c>
      <c r="EC135" s="153" t="e">
        <f t="shared" ref="EC135:EC198" ca="1" si="617">$EL135+$FM135+$FG135</f>
        <v>#N/A</v>
      </c>
      <c r="ED135" s="154" t="e">
        <f ca="1">IF(Control!$C$114=1, $HM135*$FY135-$FD135, 0)</f>
        <v>#DIV/0!</v>
      </c>
      <c r="EE135" s="155" t="e">
        <f ca="1">IF(Control!$C$114=1, $HM135*$FZ135-$FF135, 0)</f>
        <v>#DIV/0!</v>
      </c>
      <c r="EF135" s="153" t="e">
        <f t="shared" ca="1" si="440"/>
        <v>#N/A</v>
      </c>
      <c r="EG135" s="155" t="e">
        <f ca="1">IF(Control!$C$114=1, $GX135*$FW135-$FI135, 0)</f>
        <v>#DIV/0!</v>
      </c>
      <c r="EH135" s="153" t="e">
        <f t="shared" ref="EH135:EH198" ca="1" si="618">$EH134+$EG134</f>
        <v>#N/A</v>
      </c>
      <c r="EI135" s="156" t="e">
        <f t="shared" ref="EI135:EI198" ca="1" si="619">-$EH135</f>
        <v>#N/A</v>
      </c>
      <c r="EJ135" s="155" t="e">
        <f ca="1">IF(Control!$C$114=1, $HM135*$GB135, 0)</f>
        <v>#DIV/0!</v>
      </c>
      <c r="EK135" s="153" t="e">
        <f t="shared" ca="1" si="441"/>
        <v>#N/A</v>
      </c>
      <c r="EL135" s="153" t="e">
        <f t="shared" ca="1" si="491"/>
        <v>#N/A</v>
      </c>
      <c r="EM135" s="153" t="e">
        <f t="shared" ca="1" si="492"/>
        <v>#N/A</v>
      </c>
      <c r="EN135" s="153" t="e">
        <f ca="1">IF(Control!$C$108=1,IF(AND(Control!$B$18=1,$EB135&gt;=Control!$B$19),$EB135-$DS135,IF(AND(Control!$B$18=2,$AW135=1,$EB135&gt;$DS135),$EB135-$DS135,0)))</f>
        <v>#N/A</v>
      </c>
      <c r="EO135" s="153" t="e">
        <f ca="1">IF(Control!$C$108=1,IF(AND(Control!$B$18=1,$EB135&gt;=Control!$B$19),$EF135,IF(AND(Control!$B$18=2,$AW135=1),$EF135,0)))</f>
        <v>#N/A</v>
      </c>
      <c r="EP135" s="153" t="e">
        <f ca="1">IF(Control!$C$108=1,IF(AND(Control!$B$18=1,$EB135&gt;=Control!$B$19),$EK135,IF(AND(Control!$B$18=2,$AW135=1),$EK135,0)))</f>
        <v>#N/A</v>
      </c>
      <c r="EQ135" s="153" t="e">
        <f t="shared" ref="EQ135:EQ198" ca="1" si="620">$EN135+$EO135+$EP135</f>
        <v>#N/A</v>
      </c>
      <c r="ER135" s="153" t="e">
        <f t="shared" ref="ER135:ER198" ca="1" si="621">$ER134+$EN134</f>
        <v>#N/A</v>
      </c>
      <c r="ES135" s="153" t="e">
        <f t="shared" ca="1" si="442"/>
        <v>#N/A</v>
      </c>
      <c r="ET135" s="153" t="e">
        <f t="shared" ca="1" si="443"/>
        <v>#N/A</v>
      </c>
      <c r="EU135" s="153" t="e">
        <f t="shared" ref="EU135:EU198" ca="1" si="622">ER135+ES135+ET135</f>
        <v>#N/A</v>
      </c>
      <c r="EV135" s="153" t="e">
        <f t="shared" ca="1" si="493"/>
        <v>#N/A</v>
      </c>
      <c r="EW135" s="153" t="e">
        <f t="shared" ca="1" si="494"/>
        <v>#N/A</v>
      </c>
      <c r="EX135" s="153" t="e">
        <f t="shared" ca="1" si="495"/>
        <v>#N/A</v>
      </c>
      <c r="EY135" s="157" t="e">
        <f t="shared" ca="1" si="496"/>
        <v>#DIV/0!</v>
      </c>
      <c r="EZ135" s="154" t="e">
        <f t="shared" ca="1" si="497"/>
        <v>#DIV/0!</v>
      </c>
      <c r="FA135" s="153" t="e">
        <f t="shared" ref="FA135:FA198" ca="1" si="623">$FA134+$HC134</f>
        <v>#N/A</v>
      </c>
      <c r="FB135" s="153" t="e">
        <f t="shared" ca="1" si="498"/>
        <v>#N/A</v>
      </c>
      <c r="FC135" s="193" t="e">
        <f t="shared" ca="1" si="499"/>
        <v>#N/A</v>
      </c>
      <c r="FD135" s="158" t="e">
        <f t="shared" ref="FD135:FD198" ca="1" si="624">IF($EN135&lt;=0, MIN(($DI135-0.08)/$DF135, $HY135+$IM135), $EN135)</f>
        <v>#N/A</v>
      </c>
      <c r="FE135" s="158" t="e">
        <f t="shared" ref="FE135:FE198" ca="1" si="625">IF(AND($CP135&gt;=0, $CP135&lt;=90),0,0)</f>
        <v>#N/A</v>
      </c>
      <c r="FF135" s="159" t="e">
        <f t="shared" ca="1" si="500"/>
        <v>#N/A</v>
      </c>
      <c r="FG135" s="160" t="e">
        <f t="shared" ref="FG135:FG198" ca="1" si="626">$FG134+$FF134</f>
        <v>#N/A</v>
      </c>
      <c r="FH135" s="158" t="e">
        <f t="shared" ref="FH135:FH198" ca="1" si="627">IF(AND($CP135&gt;=0, $CP135&lt;=90), 0,0)</f>
        <v>#N/A</v>
      </c>
      <c r="FI135" s="159" t="e">
        <f t="shared" ca="1" si="501"/>
        <v>#N/A</v>
      </c>
      <c r="FJ135" s="160" t="e">
        <f t="shared" ref="FJ135:FJ198" ca="1" si="628">$FJ134+$FI134</f>
        <v>#N/A</v>
      </c>
      <c r="FK135" s="160" t="e">
        <f t="shared" ca="1" si="502"/>
        <v>#N/A</v>
      </c>
      <c r="FL135" s="160" t="e">
        <f t="shared" ca="1" si="444"/>
        <v>#N/A</v>
      </c>
      <c r="FM135" s="160" t="e">
        <f t="shared" ca="1" si="503"/>
        <v>#N/A</v>
      </c>
      <c r="FN135" s="158">
        <f t="shared" ref="FN135:FN198" ca="1" si="629">IF(AND($G135&lt;=50,$G135&gt;=30),(0.05+($G135-30)*((0.09-0.05)/(50-30))),IF(AND($G135&lt;30,$G135&gt;=15),(0.02+($G135-15)*((0.05-0.02)/(30-15))),IF(AND($G135&lt;15,$G135&gt;=10),(0.01+($G135-10)*((0.02-0.01)/(15-10))),IF(AND($G135&lt;10,$G135&gt;=-10),($G135+10)*((0.02-0)/(10+10)),IF($G135=-10,0)))))</f>
        <v>0.01</v>
      </c>
      <c r="FO135" s="160">
        <f>Control!$C$101</f>
        <v>50</v>
      </c>
      <c r="FP135" s="150" t="e">
        <f t="shared" ca="1" si="504"/>
        <v>#N/A</v>
      </c>
      <c r="FQ135" s="150" t="e">
        <f ca="1">MAX(0,(Control!$C$112*(($DK135-Control!$C$97)/Control!$C$97)))</f>
        <v>#N/A</v>
      </c>
      <c r="FR135" s="150" t="e">
        <f ca="1">(1-$NT135)*Control!$C$113</f>
        <v>#DIV/0!</v>
      </c>
      <c r="FS135" s="198" t="e">
        <f t="shared" ca="1" si="505"/>
        <v>#N/A</v>
      </c>
      <c r="FT135" s="161">
        <f t="shared" ref="FT135:FT198" ca="1" si="630">$AG135</f>
        <v>131</v>
      </c>
      <c r="FU135" s="162" t="e">
        <f ca="1">IF(Control!$B$34=1,VLOOKUP($CP135,Control!$B$86:$G$91,6),Control!$B$35)</f>
        <v>#N/A</v>
      </c>
      <c r="FV135" s="162" t="e">
        <f t="shared" ca="1" si="506"/>
        <v>#DIV/0!</v>
      </c>
      <c r="FW135" s="162" t="e">
        <f ca="1">IF(Control!$B$31=1,$FU135*$FV135,  $FU135)</f>
        <v>#N/A</v>
      </c>
      <c r="FX135" s="162" t="e">
        <f ca="1">IF(Control!$B$34=1,VLOOKUP($CP135,Control!$B$86:$G$91,3),Control!$B$36)</f>
        <v>#N/A</v>
      </c>
      <c r="FY135" s="162" t="e">
        <f t="shared" ca="1" si="507"/>
        <v>#N/A</v>
      </c>
      <c r="FZ135" s="162" t="e">
        <f ca="1">IF(Control!$B$34=1,VLOOKUP($CP135,Control!$B$86:$G$91,4),Control!$B$37)</f>
        <v>#N/A</v>
      </c>
      <c r="GA135" s="162" t="e">
        <f t="shared" ca="1" si="508"/>
        <v>#N/A</v>
      </c>
      <c r="GB135" s="162" t="e">
        <f ca="1">IF(Control!$B$34=1,VLOOKUP($CP135,Control!$B$86:$G$91,5),Control!$B$38)</f>
        <v>#N/A</v>
      </c>
      <c r="GC135" s="162" t="e">
        <f t="shared" ref="GC135:GC198" ca="1" si="631">$GB135</f>
        <v>#N/A</v>
      </c>
      <c r="GD135" s="162">
        <f t="shared" ca="1" si="509"/>
        <v>1</v>
      </c>
      <c r="GE135" s="162">
        <f t="shared" ca="1" si="510"/>
        <v>1</v>
      </c>
      <c r="GF135" s="162">
        <f ca="1">IF(AND(Control!$C$104=1, Control!$C$62="F"),$GE135,1)</f>
        <v>1</v>
      </c>
      <c r="GG135" s="162" t="e">
        <f ca="1">IF(Control!$B$16=40,0,IF(AND(Control!$B$16&gt;40,Control!$B$16&lt;=360),(Control!$B$16-40)*((1-0)/(360-40)),IF(AND(Control!$B$16&gt;360,Control!$B$16&lt;=720),(1+(Control!$B$16-360)*((1.25-1)/(720-360))),IF(AND(Control!$B$16&gt;720,Control!$B$16&lt;=1000),(1.25+(Control!$B$16-720)*((1.35-1.25)/(1000-720))),IF(AND(Control!$B$16&gt;1000,Control!$B$16&lt;=2000),(1.35+(Control!$B$16-1000)*0))))))</f>
        <v>#N/A</v>
      </c>
      <c r="GH135" s="162" t="e">
        <f t="shared" ca="1" si="511"/>
        <v>#N/A</v>
      </c>
      <c r="GI135" s="162">
        <f t="shared" ref="GI135:GI198" ca="1" si="632">IF($E135&lt;=0,0,IF(AND($E135&gt;=3,$E135&lt;=30),1,(($E135-0)*((1-0)/(3-0)))))</f>
        <v>0</v>
      </c>
      <c r="GJ135" s="162">
        <f t="shared" ca="1" si="512"/>
        <v>0</v>
      </c>
      <c r="GK135" s="162">
        <f t="shared" ref="GK135:GK198" ca="1" si="633">IF(AND($AR135&gt;=0,$AR135&lt;=10),1,IF(AND($AR135&gt;=40,$AR135&lt;=42),0.33,((1+($AR135-10)*((0.33-1)/(40-10))))))</f>
        <v>1</v>
      </c>
      <c r="GL135" s="162">
        <f t="shared" ca="1" si="513"/>
        <v>1</v>
      </c>
      <c r="GM135" s="162" t="e">
        <f ca="1">MAX(0,MIN(1,1-Control!$C$156*(1.0001-$KH135)^2))</f>
        <v>#N/A</v>
      </c>
      <c r="GN135" s="162" t="e">
        <f ca="1">IF(Control!$B$26=1,$KU135,$KX135)</f>
        <v>#N/A</v>
      </c>
      <c r="GO135" s="162" t="e">
        <f ca="1">IF($CP135&lt;=60,Control!$C$105,IF($CP135&gt;=90,Control!$C$106,Control!$C$105+($CP135-60)*((Control!$C$106-Control!$C$105)/(90-60))))</f>
        <v>#N/A</v>
      </c>
      <c r="GP135" s="162" t="e">
        <f t="shared" ca="1" si="514"/>
        <v>#N/A</v>
      </c>
      <c r="GQ135" s="162" t="e">
        <f t="shared" ref="GQ135:GQ198" ca="1" si="634">GN135*GO135*GP135</f>
        <v>#N/A</v>
      </c>
      <c r="GR135" s="163" t="e">
        <f t="shared" ca="1" si="515"/>
        <v>#DIV/0!</v>
      </c>
      <c r="GS135" s="162" t="e">
        <f t="shared" ca="1" si="516"/>
        <v>#DIV/0!</v>
      </c>
      <c r="GT135" s="164" t="e">
        <f t="shared" ref="GT135:GT198" ca="1" si="635">($DE135*10000*($DV135*0.31))*0.00000001</f>
        <v>#N/A</v>
      </c>
      <c r="GU135" s="162" t="e">
        <f t="shared" ref="GU135:GU198" ca="1" si="636">IF($EN135&lt;=0,$GT135*(1/$DF135),0)</f>
        <v>#N/A</v>
      </c>
      <c r="GV135" s="162" t="e">
        <f t="shared" ca="1" si="517"/>
        <v>#N/A</v>
      </c>
      <c r="GW135" s="162" t="e">
        <f t="shared" ca="1" si="518"/>
        <v>#DIV/0!</v>
      </c>
      <c r="GX135" s="162" t="e">
        <f t="shared" ref="GX135:GX198" ca="1" si="637">IF($GS135-$GV135&lt;=0, $GS135, $GV135)</f>
        <v>#DIV/0!</v>
      </c>
      <c r="GY135" s="162" t="e">
        <f t="shared" ref="GY135:GY198" ca="1" si="638">IF($GS135-$GU135&lt;=0, $GS135, $GU135)</f>
        <v>#DIV/0!</v>
      </c>
      <c r="GZ135" s="165" t="e">
        <f t="shared" ca="1" si="519"/>
        <v>#N/A</v>
      </c>
      <c r="HA135" s="162" t="e">
        <f ca="1">IF(Control!$C$114=1, $DI135*$FS135, 0)</f>
        <v>#N/A</v>
      </c>
      <c r="HB135" s="162" t="e">
        <f ca="1">$FA135/Control!$C$64</f>
        <v>#N/A</v>
      </c>
      <c r="HC135" s="162" t="e">
        <f t="shared" ca="1" si="520"/>
        <v>#DIV/0!</v>
      </c>
      <c r="HD135" s="162">
        <f ca="1">-ASIN(SIN(23.45*Control!$C$139)*COS(2*Control!$C$138*($AH135+10)/365))</f>
        <v>0.30537376983228842</v>
      </c>
      <c r="HE135" s="165">
        <f t="shared" ref="HE135:HE198" ca="1" si="639">$HE134+$V135</f>
        <v>0</v>
      </c>
      <c r="HF135" s="166">
        <f ca="1">IF(AND(Control!$C$61="T",$HE135&gt;=Control!$C$103,Control!$C$114=0),$AH135,Control!$C$59)</f>
        <v>1</v>
      </c>
      <c r="HG135" s="166">
        <f ca="1">IF(AND(Control!$C$61="T",$HE135&gt;=Control!$C$103,Control!$C$114=0),$HF135,Control!$C$59)</f>
        <v>1</v>
      </c>
      <c r="HH135" s="165">
        <f ca="1">IF(AND(OR(Control!$C$60&lt;=0, $AH135= Control!$C$59, Control!$C$60 &gt;0, $AH135 = Control!$C$60)), Control!$C$59, IF(Control!$C$60&gt;0, 0))</f>
        <v>1</v>
      </c>
      <c r="HI135" s="165">
        <f ca="1">IF(AND(OR(Control!$C$60&lt;=0, $AH135= Control!$C$59, Control!$C$60 &gt;0, $AH135 = Control!$C$60)), Control!$C$60, IF(Control!$C$60&lt;=0, 0))</f>
        <v>0</v>
      </c>
      <c r="HJ135" s="166">
        <f ca="1">IF(AND(Control!$C$62="F",$CV135&gt;=Control!$C$102),$AH135,0)</f>
        <v>0</v>
      </c>
      <c r="HK135" s="165" t="e">
        <f t="shared" ca="1" si="445"/>
        <v>#N/A</v>
      </c>
      <c r="HL135" s="166">
        <f ca="1">IF(AND(Control!$C$61="T",$HE135&gt;=Control!$C$103,Control!$C$114=0),$HF135,0)</f>
        <v>0</v>
      </c>
      <c r="HM135" s="201" t="e">
        <f t="shared" ca="1" si="521"/>
        <v>#DIV/0!</v>
      </c>
      <c r="HN135" s="215">
        <f t="shared" ref="HN135:HN198" ca="1" si="640">$CW135</f>
        <v>131</v>
      </c>
      <c r="HO135" s="216" t="e">
        <f ca="1">IF(AND($CP135&gt;=0, $CP135&lt;=90), Control!$C$152, Control!$C$152)</f>
        <v>#N/A</v>
      </c>
      <c r="HP135" s="216" t="e">
        <f t="shared" ca="1" si="522"/>
        <v>#N/A</v>
      </c>
      <c r="HQ135" s="217" t="e">
        <f ca="1">IF(OR(Control!$B$26=1,Control!$B$26=2),$KV135,$KS135)</f>
        <v>#DIV/0!</v>
      </c>
      <c r="HR135" s="218" t="e">
        <f t="shared" ca="1" si="446"/>
        <v>#DIV/0!</v>
      </c>
      <c r="HS135" s="216" t="e">
        <f ca="1">Control!$C$154*$HP135</f>
        <v>#N/A</v>
      </c>
      <c r="HT135" s="216" t="e">
        <f ca="1">Control!$C$155*$HP135</f>
        <v>#N/A</v>
      </c>
      <c r="HU135" s="217" t="e">
        <f ca="1">Control!$C$161*$FI135</f>
        <v>#N/A</v>
      </c>
      <c r="HV135" s="218" t="e">
        <f t="shared" ref="HV135:HV198" ca="1" si="641">$HV134+$HU134</f>
        <v>#N/A</v>
      </c>
      <c r="HW135" s="218" t="e">
        <f ca="1">Control!$C$160*$FF135+$IP135*$EO135</f>
        <v>#N/A</v>
      </c>
      <c r="HX135" s="218" t="e">
        <f t="shared" ca="1" si="447"/>
        <v>#N/A</v>
      </c>
      <c r="HY135" s="219" t="e">
        <f ca="1">IF(Control!$C$114=1, $EB135*$FS135, 0)</f>
        <v>#N/A</v>
      </c>
      <c r="HZ135" s="91" t="e">
        <f t="shared" ca="1" si="523"/>
        <v>#N/A</v>
      </c>
      <c r="IA135" s="220" t="e">
        <f ca="1">Control!$C$153*$HO135</f>
        <v>#N/A</v>
      </c>
      <c r="IB135" s="218" t="e">
        <f t="shared" ca="1" si="524"/>
        <v>#N/A</v>
      </c>
      <c r="IC135" s="220" t="e">
        <f ca="1">Control!$C$153*$HT135</f>
        <v>#N/A</v>
      </c>
      <c r="ID135" s="218" t="e">
        <f t="shared" ca="1" si="525"/>
        <v>#N/A</v>
      </c>
      <c r="IE135" s="221" t="e">
        <f ca="1">($EB135*Control!$C$159+$EF135*Control!$C$160)/(IF($GZ135&lt;&gt;0,$GZ135,1))</f>
        <v>#N/A</v>
      </c>
      <c r="IF135" s="216" t="e">
        <f t="shared" ca="1" si="526"/>
        <v>#N/A</v>
      </c>
      <c r="IG135" s="91">
        <f ca="1">IF(OR(Control!$B$198=$AH135,Control!$B$199=$AH135, Control!$B$200=$AH135, Control!$B$201=$AH135, Control!$B$202=$AH135, Control!$B$203=$AH135, Control!$B$204=$AH135, Control!$B$205=$AH135, Control!$B$206=$AH135, Control!$B$207=$AH135), 1, 0)</f>
        <v>0</v>
      </c>
      <c r="IH135" s="91">
        <f ca="1">IF($IG135=0,0, VLOOKUP($AH135,Control!$B$198:$C$207,2))</f>
        <v>0</v>
      </c>
      <c r="II135" s="222">
        <f t="shared" ref="II135:II198" ca="1" si="642">$II134+$IH135</f>
        <v>0</v>
      </c>
      <c r="IJ135" s="91">
        <f>Control!$C$121</f>
        <v>0.7</v>
      </c>
      <c r="IK135" s="218">
        <f t="shared" ca="1" si="527"/>
        <v>0</v>
      </c>
      <c r="IL135" s="217" t="e">
        <f t="shared" ca="1" si="448"/>
        <v>#N/A</v>
      </c>
      <c r="IM135" s="223" t="e">
        <f ca="1">IF(AND(Control!$C$114=1,$KH135&lt;1),$EB135*Control!$C$148*(1-$KH135), 0)</f>
        <v>#N/A</v>
      </c>
      <c r="IN135" s="217" t="e">
        <f t="shared" ca="1" si="528"/>
        <v>#DIV/0!</v>
      </c>
      <c r="IO135" s="91" t="e">
        <f ca="1">MAX(0,$IL135-$EF135*Control!$C$160)</f>
        <v>#N/A</v>
      </c>
      <c r="IP135" s="220" t="e">
        <f t="shared" ca="1" si="529"/>
        <v>#N/A</v>
      </c>
      <c r="IQ135" s="217" t="e">
        <f t="shared" ref="IQ135:IQ198" ca="1" si="643">$IQ134+$KF134</f>
        <v>#N/A</v>
      </c>
      <c r="IR135" s="218" t="e">
        <f t="shared" ca="1" si="530"/>
        <v>#N/A</v>
      </c>
      <c r="IS135" s="217" t="e">
        <f ca="1">Control!$C$159*MAX(0,$FD135-$EN135)</f>
        <v>#N/A</v>
      </c>
      <c r="IT135" s="217" t="e">
        <f t="shared" ca="1" si="449"/>
        <v>#N/A</v>
      </c>
      <c r="IU135" s="217" t="e">
        <f t="shared" ref="IU135:IU198" ca="1" si="644">$KG135*$EN135</f>
        <v>#N/A</v>
      </c>
      <c r="IV135" s="217" t="e">
        <f t="shared" ca="1" si="450"/>
        <v>#N/A</v>
      </c>
      <c r="IW135" s="217" t="e">
        <f ca="1">IF(OR($AW135=1,AND($AW135=0, Control!$B$18=1,$EN135&lt;&gt;0)), $IQ135-$IU135, $IQ135)</f>
        <v>#N/A</v>
      </c>
      <c r="IX135" s="218" t="e">
        <f t="shared" ca="1" si="531"/>
        <v>#N/A</v>
      </c>
      <c r="IY135" s="218" t="e">
        <f ca="1">MAX(0,$IQ135-$EB135*Control!$C$159)</f>
        <v>#N/A</v>
      </c>
      <c r="IZ135" s="218" t="e">
        <f t="shared" ca="1" si="532"/>
        <v>#N/A</v>
      </c>
      <c r="JA135" s="216" t="e">
        <f t="shared" ca="1" si="533"/>
        <v>#N/A</v>
      </c>
      <c r="JB135" s="217" t="e">
        <f t="shared" ca="1" si="534"/>
        <v>#N/A</v>
      </c>
      <c r="JC135" s="222" t="e">
        <f ca="1">MAX(Control!$C$157*$EK135-$JT135, 0)/Control!$C$162</f>
        <v>#N/A</v>
      </c>
      <c r="JD135" s="218" t="e">
        <f t="shared" ca="1" si="535"/>
        <v>#N/A</v>
      </c>
      <c r="JE135" s="218" t="e">
        <f t="shared" ca="1" si="536"/>
        <v>#N/A</v>
      </c>
      <c r="JF135" s="218" t="e">
        <f t="shared" ref="JF135:JF198" ca="1" si="645">$JF134+$JV134</f>
        <v>#N/A</v>
      </c>
      <c r="JG135" s="218" t="e">
        <f t="shared" ca="1" si="537"/>
        <v>#N/A</v>
      </c>
      <c r="JH135" s="217" t="e">
        <f t="shared" ref="JH135:JH198" ca="1" si="646">$IS135</f>
        <v>#N/A</v>
      </c>
      <c r="JI135" s="217" t="e">
        <f t="shared" ref="JI135:JI198" ca="1" si="647">MAX(0, $IZ135+$JB135+$JG135-JH135)</f>
        <v>#N/A</v>
      </c>
      <c r="JJ135" s="217" t="e">
        <f t="shared" ca="1" si="451"/>
        <v>#N/A</v>
      </c>
      <c r="JK135" s="217" t="e">
        <f ca="1">IF(Control!$C$114=1,IF(Control!$B$24=0,MAX(0,$JI135)*$GN135/Control!$C$64,(MAX(0,MIN($JI135,$JJ135*$GN135/Control!$C$64),0))))</f>
        <v>#N/A</v>
      </c>
      <c r="JL135" s="217" t="e">
        <f ca="1">$IK135/Control!$C$64-$JK135+$HQ135</f>
        <v>#N/A</v>
      </c>
      <c r="JM135" s="217" t="e">
        <f ca="1">IF(Control!$C$114=1,($JB135/(IF($JI135&lt;&gt;0,$JI135,1)))*$JK135,0)</f>
        <v>#N/A</v>
      </c>
      <c r="JN135" s="217" t="e">
        <f ca="1">IF(Control!$C$114=1,($JG135/(IF($JI135&lt;&gt;0,$JI135,1)))*$JK135, 0)</f>
        <v>#N/A</v>
      </c>
      <c r="JO135" s="218" t="e">
        <f t="shared" ca="1" si="538"/>
        <v>#N/A</v>
      </c>
      <c r="JP135" s="218" t="e">
        <f ca="1">MIN(($IY135+$IO135)*Control!$C$151, $JF135-$EH135*Control!$C$161)</f>
        <v>#N/A</v>
      </c>
      <c r="JQ135" s="218" t="e">
        <f t="shared" ca="1" si="539"/>
        <v>#N/A</v>
      </c>
      <c r="JR135" s="217" t="e">
        <f ca="1">IF($CP135-Control!$C$150&lt;0, 0, $JQ135/Control!$C$162)</f>
        <v>#N/A</v>
      </c>
      <c r="JS135" s="218" t="e">
        <f t="shared" ca="1" si="540"/>
        <v>#N/A</v>
      </c>
      <c r="JT135" s="218" t="e">
        <f t="shared" ref="JT135:JT198" ca="1" si="648">$JT134+$JS134</f>
        <v>#N/A</v>
      </c>
      <c r="JU135" s="218" t="e">
        <f t="shared" ca="1" si="541"/>
        <v>#N/A</v>
      </c>
      <c r="JV135" s="218" t="e">
        <f t="shared" ca="1" si="542"/>
        <v>#N/A</v>
      </c>
      <c r="JW135" s="216" t="e">
        <f t="shared" ca="1" si="543"/>
        <v>#N/A</v>
      </c>
      <c r="JX135" s="91" t="e">
        <f t="shared" ca="1" si="544"/>
        <v>#N/A</v>
      </c>
      <c r="JY135" s="218" t="e">
        <f t="shared" ca="1" si="545"/>
        <v>#N/A</v>
      </c>
      <c r="JZ135" s="217" t="e">
        <f ca="1">IF(Control!$C$114=1,($IZ135/(IF($JI135&lt;&gt;0,$JI135,1)))*$JK135, 0)</f>
        <v>#N/A</v>
      </c>
      <c r="KA135" s="218" t="e">
        <f t="shared" ca="1" si="452"/>
        <v>#N/A</v>
      </c>
      <c r="KB135" s="218" t="e">
        <f t="shared" ref="KB135:KB198" ca="1" si="649">$IV135+$IW135+$HX135+$IL135+$JF135</f>
        <v>#N/A</v>
      </c>
      <c r="KC135" s="218" t="e">
        <f t="shared" ca="1" si="546"/>
        <v>#N/A</v>
      </c>
      <c r="KD135" s="218" t="e">
        <f t="shared" ca="1" si="547"/>
        <v>#N/A</v>
      </c>
      <c r="KE135" s="218" t="e">
        <f t="shared" ca="1" si="548"/>
        <v>#N/A</v>
      </c>
      <c r="KF135" s="218" t="e">
        <f t="shared" ca="1" si="549"/>
        <v>#N/A</v>
      </c>
      <c r="KG135" s="216" t="e">
        <f t="shared" ca="1" si="550"/>
        <v>#N/A</v>
      </c>
      <c r="KH135" s="221" t="e">
        <f ca="1">IF(Control!$B$24=0,1,MAX(0.001,MIN(1,IF(($IF135-$IE135)&lt;&gt;0,($KG135-$IE135)/($IF135-$IE135),1))))</f>
        <v>#N/A</v>
      </c>
      <c r="KI135" s="222" t="e">
        <f ca="1">IF(Control!$C$114=1, $KI134+ $KH134, 0)</f>
        <v>#N/A</v>
      </c>
      <c r="KJ135" s="217" t="e">
        <f t="shared" ca="1" si="551"/>
        <v>#N/A</v>
      </c>
      <c r="KK135" s="218" t="e">
        <f t="shared" ca="1" si="552"/>
        <v>#N/A</v>
      </c>
      <c r="KL135" s="274" t="e">
        <f ca="1">IF(Control!$B$26=3,4000000000*EXP(-8400/($G135+273)),IF(Control!$B$26=4,4000000000*EXP(-8400/($G135+273))*($KT135),0))</f>
        <v>#DIV/0!</v>
      </c>
      <c r="KM135" s="274" t="e">
        <f ca="1">IF(Control!$B$26=3,5600000000000*EXP(-9800/($G135+273)),IF(Control!$B$26=4,5600000000000*EXP(-9800/($G135+273))*$KT135,0))</f>
        <v>#DIV/0!</v>
      </c>
      <c r="KN135" s="454" t="e">
        <f t="shared" ref="KN135:KN198" ca="1" si="650">$KN134-$KN134*(1-EXP(-$KL134))</f>
        <v>#DIV/0!</v>
      </c>
      <c r="KO135" s="274" t="e">
        <f t="shared" ref="KO135:KO198" ca="1" si="651">$KO134-$KO134*(1-EXP(-$KM134))</f>
        <v>#DIV/0!</v>
      </c>
      <c r="KP135" s="454" t="e">
        <f t="shared" ca="1" si="553"/>
        <v>#DIV/0!</v>
      </c>
      <c r="KQ135" s="454" t="e">
        <f t="shared" ca="1" si="554"/>
        <v>#DIV/0!</v>
      </c>
      <c r="KR135" s="454" t="e">
        <f t="shared" ca="1" si="555"/>
        <v>#DIV/0!</v>
      </c>
      <c r="KS135" s="454" t="e">
        <f t="shared" ca="1" si="556"/>
        <v>#DIV/0!</v>
      </c>
      <c r="KT135" s="455" t="e">
        <f t="shared" ca="1" si="557"/>
        <v>#DIV/0!</v>
      </c>
      <c r="KU135" s="456" t="e">
        <f ca="1">IF($CP135-Control!$C$149&lt;0, IF($NT135-0.01&lt;0,0,1),0)</f>
        <v>#N/A</v>
      </c>
      <c r="KV135" s="456" t="e">
        <f ca="1">IF(Control!$C$114=1,MAX(0,MIN(Control!$C$125*$KW135*$GN135,$KW135)))</f>
        <v>#DIV/0!</v>
      </c>
      <c r="KW135" s="456" t="e">
        <f t="shared" ca="1" si="453"/>
        <v>#DIV/0!</v>
      </c>
      <c r="KX135" s="457" t="e">
        <f ca="1">IF($CP135-Control!$C$149&lt;0, IF($MR135-$OM135&lt;0,0,1),0)</f>
        <v>#N/A</v>
      </c>
      <c r="KY135" s="167">
        <f t="shared" ref="KY135:KY198" ca="1" si="652">$AG135</f>
        <v>131</v>
      </c>
      <c r="KZ135" s="168">
        <f ca="1">1370*(1+0.033*COS(2*Control!$C$138*$AH135/365))</f>
        <v>1341.4224200432182</v>
      </c>
      <c r="LA135" s="169">
        <f t="shared" ref="LA135:LA198" ca="1" si="653">1+0.033*COS((2*PI()/365)*$AH135)</f>
        <v>0.97914058743081744</v>
      </c>
      <c r="LB135" s="169">
        <f t="shared" ref="LB135:LB198" ca="1" si="654">0.409*SIN((2*PI()*$AH135/365)-1.39)</f>
        <v>0.31130415261092631</v>
      </c>
      <c r="LC135" s="169">
        <f ca="1">ACOS(-TAN((2*Control!$B$8/360))*TAN(Calculations!$LB135))</f>
        <v>1.6665725730092003</v>
      </c>
      <c r="LD135" s="169">
        <f ca="1">((24*60)/PI())*0.082*$LA135*(($LC135*SIN(Control!$B$8*2*PI()/360))*SIN($LB135)+COS(Control!$B$8*2*PI()/360)*COS($LB135)*SIN($LC135))</f>
        <v>36.273566310123101</v>
      </c>
      <c r="LE135" s="170">
        <f t="shared" ca="1" si="558"/>
        <v>37.08579179996844</v>
      </c>
      <c r="LF135" s="170">
        <f ca="1">SIN(Control!$C$139*Control!$B$8)*SIN($HD135)</f>
        <v>0.23691556857253376</v>
      </c>
      <c r="LG135" s="170">
        <f ca="1">COS(Control!$C$139*Control!$B$8)*COS($HD135)</f>
        <v>0.58717608384408682</v>
      </c>
      <c r="LH135" s="170">
        <f ca="1">12*(1+2*ASIN(MAX(-1,MIN(1,$LF135/$LG135))/Control!$C$138))</f>
        <v>15.090913287189435</v>
      </c>
      <c r="LI135" s="170">
        <f ca="1">12*(1+2*ASIN(MAX(-1,MIN(1,(-SIN(-4*Control!$C$139)+$LF135)/$LG135))/Control!$C$138))</f>
        <v>16.00855199872256</v>
      </c>
      <c r="LJ135" s="168">
        <f ca="1">3600*($LH135*$LF135+24*$LG135*SQRT(1-$LK135*$LK135)/Control!$C$138)</f>
        <v>27646.616938737025</v>
      </c>
      <c r="LK135" s="170">
        <f t="shared" ca="1" si="559"/>
        <v>0.40348300125153275</v>
      </c>
      <c r="LL135" s="170">
        <f t="shared" ca="1" si="560"/>
        <v>0</v>
      </c>
      <c r="LM135" s="171">
        <f ca="1">Control!$C$145*$AB135</f>
        <v>6.6660906138995932E-2</v>
      </c>
      <c r="LN135" s="170">
        <f t="shared" ref="LN135:LN198" ca="1" si="655">0.54+0.35*MAX(0,MIN(1,$F135-12)/4)</f>
        <v>0.54</v>
      </c>
      <c r="LO135" s="170">
        <f t="shared" ca="1" si="561"/>
        <v>0</v>
      </c>
      <c r="LP135" s="170">
        <f ca="1">Control!$C$140*((($D135+273.16)^4+($E135+273.16)^4)/2)*(0.34-0.14*SQRT($Y135))*(1.35*$AQ135/(0.75*$LD135)-0.35)</f>
        <v>-3.2464704755046001</v>
      </c>
      <c r="LQ135" s="170">
        <f ca="1">Control!$C$140*($G135+273)^4*(0.56-0.079*SQRT($Y135*10))*(0.1+0.9*$LO135)</f>
        <v>1.5241745131704001</v>
      </c>
      <c r="LR135" s="170">
        <f ca="1">$AQ135*(1-Control!$C$142)-$LQ135</f>
        <v>-1.5241745131704001</v>
      </c>
      <c r="LS135" s="170">
        <f ca="1">$AQ135*(1-Control!$C$143)-$LQ135</f>
        <v>-1.5241745131704001</v>
      </c>
      <c r="LT135" s="170">
        <f ca="1">$AQ135*(1-Control!$C$144)-$LQ135</f>
        <v>-1.5241745131704001</v>
      </c>
      <c r="LU135" s="169">
        <f ca="1">(1-Control!$C$144)*AQ135-LP135</f>
        <v>3.2464704755046001</v>
      </c>
      <c r="LV135" s="172">
        <f t="shared" ca="1" si="562"/>
        <v>0.79430000000000012</v>
      </c>
      <c r="LW135" s="170">
        <f t="shared" ca="1" si="563"/>
        <v>1.5886000000000002</v>
      </c>
      <c r="LX135" s="170">
        <f ca="1">($AC135*($LR135/Control!$C$141)+$LM135*$LV135)/($AC135+$LM135)</f>
        <v>0.23530094218323697</v>
      </c>
      <c r="LY135" s="170">
        <f ca="1">($AC135*($LS135/Control!$C$141)+$LM135*$LV135)/($AC135+$LM135)</f>
        <v>0.23530094218323697</v>
      </c>
      <c r="LZ135" s="170">
        <f t="shared" ca="1" si="564"/>
        <v>0.23530094218323697</v>
      </c>
      <c r="MA135" s="170">
        <f t="shared" ca="1" si="565"/>
        <v>0.23530094218323697</v>
      </c>
      <c r="MB135" s="170" t="e">
        <f t="shared" ca="1" si="566"/>
        <v>#N/A</v>
      </c>
      <c r="MC135" s="170">
        <f t="shared" ref="MC135:MC198" ca="1" si="656">$AA135-$Y135</f>
        <v>0.6018</v>
      </c>
      <c r="MD135" s="170">
        <f t="shared" ca="1" si="567"/>
        <v>0.52989392535414004</v>
      </c>
      <c r="ME135" s="170">
        <f ca="1">($AC135*($LT135/Control!$C$141)+$LM135*$LW135)/($AC135+$LM135)</f>
        <v>0.71612369323045078</v>
      </c>
      <c r="MF135" s="170" t="e">
        <f ca="1">IF(Control!$B$16&gt;=1000,0.92,IF(AND(720&lt;=Control!$B$16,1000&gt;Control!$B$16),(0.95+(Control!$B$16-720)*((0.92-0.95)/(1000-720))),IF(AND(360&lt;=Control!$B$16,720&gt;Control!$B$16),(1+(Control!$B$16-360)*((0.95-1)/(720-360))),IF(AND(40&lt;=Control!$B$16,360&gt;Control!$B$16),(1.05+(Control!$B$16-40)*((1.05-1)/(360-40)))))))</f>
        <v>#N/A</v>
      </c>
      <c r="MG135" s="170">
        <f t="shared" ca="1" si="568"/>
        <v>0.71612369323045078</v>
      </c>
      <c r="MH135" s="170" t="e">
        <f t="shared" ca="1" si="464"/>
        <v>#N/A</v>
      </c>
      <c r="MI135" s="170" t="e">
        <f t="shared" ca="1" si="464"/>
        <v>#N/A</v>
      </c>
      <c r="MJ135" s="170" t="e">
        <f ca="1">MAX(0.0001, Control!$C$132*$MI135*$DL135)</f>
        <v>#N/A</v>
      </c>
      <c r="MK135" s="170">
        <f ca="1">1/(0.76+1.5*($MG135/10))-(5-Control!$C$110)*0.1</f>
        <v>1.002845988140797</v>
      </c>
      <c r="ML135" s="173">
        <f ca="1">IF(Control!$C$110&lt;3,$MK135+($MG135-0.6)/(Control!$C$110*(Control!$C$110+3)), MAX(0.1, MIN(0.95,$MK135)))</f>
        <v>0.95</v>
      </c>
      <c r="MM135" s="173">
        <f ca="1">IF(Control!$C$110&lt;3,$MK135+(($MI135/10)-0.6)/(Control!$C$110*(Control!$C$110+3)), MAX(0.1, MIN(0.95,$MK135)))</f>
        <v>0.95</v>
      </c>
      <c r="MN135" s="173">
        <f ca="1">(1-$MM135)*(Control!$C$128-Control!$C$127)+Control!$C$127</f>
        <v>0.16</v>
      </c>
      <c r="MO135" s="170" t="e">
        <f ca="1">MAX(0,MIN(1,($MS135-Control!$C$127)/($MN135-Control!$C$127)))</f>
        <v>#DIV/0!</v>
      </c>
      <c r="MP135" s="173" t="e">
        <f ca="1">1/(0.76+1.5*$MI135)-(5-Control!$C$110)*0.1</f>
        <v>#N/A</v>
      </c>
      <c r="MQ135" s="172" t="e">
        <f t="shared" ca="1" si="454"/>
        <v>#DIV/0!</v>
      </c>
      <c r="MR135" s="168" t="e">
        <f t="shared" ref="MR135:MR198" ca="1" si="657">$MR134+$OI134</f>
        <v>#DIV/0!</v>
      </c>
      <c r="MS135" s="173" t="e">
        <f ca="1">MAX(Control!$C$127, MIN(Control!$C$135, $MR135/MAX(0.0001,$CY135)))</f>
        <v>#DIV/0!</v>
      </c>
      <c r="MT135" s="168" t="e">
        <f ca="1">(Control!$C$128-$MS135)*Control!$C$74</f>
        <v>#DIV/0!</v>
      </c>
      <c r="MU135" s="168" t="e">
        <f ca="1">(Control!$C$135-$MS135)*Control!$C$74</f>
        <v>#DIV/0!</v>
      </c>
      <c r="MV135" s="168" t="e">
        <f t="shared" ref="MV135:MV198" ca="1" si="658">$MV134+$OA134</f>
        <v>#DIV/0!</v>
      </c>
      <c r="MW135" s="168" t="e">
        <f t="shared" ref="MW135:MW198" ca="1" si="659">$MW134+$OJ134</f>
        <v>#DIV/0!</v>
      </c>
      <c r="MX135" s="171" t="e">
        <f ca="1">MAX(Control!$C$127, MIN(Control!$C$135, $MW135/MAX(0.0001,Control!$C$119-$CY135)))</f>
        <v>#DIV/0!</v>
      </c>
      <c r="MY135" s="54" t="e">
        <f ca="1">IF(Control!$C$114=1, $CX135*$MX135, 0)</f>
        <v>#DIV/0!</v>
      </c>
      <c r="MZ135" s="54" t="e">
        <f t="shared" ref="MZ135:MZ198" ca="1" si="660">$MZ134+$MY134</f>
        <v>#N/A</v>
      </c>
      <c r="NA135" s="168" t="e">
        <f ca="1">(Control!$C$128-$MX135)*(Control!$C$119-Control!$C$74)</f>
        <v>#DIV/0!</v>
      </c>
      <c r="NB135" s="168" t="e">
        <f ca="1">(Control!$C$135-$MX135)*(Control!$C$119-Control!$C$74)</f>
        <v>#DIV/0!</v>
      </c>
      <c r="NC135" s="174" t="e">
        <f t="shared" ref="NC135:NC198" ca="1" si="661">IF($NL134&gt;=5, 1, $NC134+1)</f>
        <v>#DIV/0!</v>
      </c>
      <c r="ND135" s="54">
        <f ca="1">IF(Control!$C$58=2, IF(OR(Control!$B$218=$AH135,Control!$B$219=$AH135, Control!$B$220=$AH135, Control!$B$221=$AH135, Control!$B$222=$AH135, Control!$B$223=$AH135, Control!$B$224=$AH135, Control!$B$225=$AH135, Control!$B$226=$AH135, Control!$B$227=$AH135, Control!$B$228=$AH135), 1, 0), 0)</f>
        <v>0</v>
      </c>
      <c r="NE135" s="54">
        <f ca="1">IF($ND135=0,0, VLOOKUP($AH135,Control!$B$218:$C$228,2))</f>
        <v>0</v>
      </c>
      <c r="NF135" s="168" t="e">
        <f ca="1">$CY135*(Control!$C$128-Control!$C$127)</f>
        <v>#N/A</v>
      </c>
      <c r="NG135" s="54" t="e">
        <f ca="1">IF(Control!$C$58=2, $NI134-$NJ134, 0)</f>
        <v>#DIV/0!</v>
      </c>
      <c r="NH135" s="54" t="e">
        <f ca="1">IF(AND(Control!$C$58=1, $MS134&lt;= ($MN134+0.02), $I134&lt;10), 0, IF(Control!$C$58=2, $NG134, 0))</f>
        <v>#DIV/0!</v>
      </c>
      <c r="NI135" s="54" t="e">
        <f ca="1">IF(Control!$C$58=2, $NE135+$NH135,0)</f>
        <v>#DIV/0!</v>
      </c>
      <c r="NJ135" s="54" t="e">
        <f ca="1">IF(AND(Control!$C$58=1, $MS135&lt;= ($MN135+0.02), $I135&lt;10), MAX(0, MIN(10, 0.7*($NF135-$MV135))), IF(Control!$C$58=2, MIN(10,$NI135),0))</f>
        <v>#DIV/0!</v>
      </c>
      <c r="NK135" s="54" t="e">
        <f t="shared" ca="1" si="569"/>
        <v>#DIV/0!</v>
      </c>
      <c r="NL135" s="173" t="e">
        <f ca="1">(1-Control!$C$73)*$I135+$NJ135</f>
        <v>#DIV/0!</v>
      </c>
      <c r="NM135" s="172" t="e">
        <f ca="1">IF($NL135&lt;0.5, $MB135* MAX(0, MIN(1, (SQRT($NC135)-SQRT($NC135-1))*Control!$C$71)),0)</f>
        <v>#DIV/0!</v>
      </c>
      <c r="NN135" s="170" t="e">
        <f ca="1">IF($NL135&gt;=5, $MB135, MAX(0,MIN($MB135, $NM135+$NL135,($MS135-Control!$C$129))))</f>
        <v>#DIV/0!</v>
      </c>
      <c r="NO135" s="54">
        <f>IF(Control!$C$133&lt;&gt;1, Control!$C$135-Control!$C$131, 0)</f>
        <v>0.38</v>
      </c>
      <c r="NP135" s="54" t="e">
        <f t="shared" ca="1" si="570"/>
        <v>#DIV/0!</v>
      </c>
      <c r="NQ135" s="173" t="e">
        <f ca="1">MAX(0,MIN(1,(Control!$C$135-$MS135)/(Control!$C$135-$NO135)))</f>
        <v>#DIV/0!</v>
      </c>
      <c r="NR135" s="170" t="e">
        <f ca="1">IF(Control!$C$133&lt;&gt;1, $NQ135+((1-$NP135/4)*(1-$NQ135)),1)</f>
        <v>#DIV/0!</v>
      </c>
      <c r="NS135" s="170" t="e">
        <f ca="1">IF(Control!$B$31=0,$MJ135,MAX(0,MIN($MV135,$MO135*$NR135*$MJ135)))</f>
        <v>#DIV/0!</v>
      </c>
      <c r="NT135" s="170" t="e">
        <f t="shared" ca="1" si="455"/>
        <v>#DIV/0!</v>
      </c>
      <c r="NU135" s="170" t="e">
        <f t="shared" ref="NU135:NU198" ca="1" si="662">$NU134+$NT135</f>
        <v>#N/A</v>
      </c>
      <c r="NV135" s="170" t="e">
        <f t="shared" ca="1" si="571"/>
        <v>#N/A</v>
      </c>
      <c r="NW135" s="175" t="e">
        <f t="shared" ca="1" si="572"/>
        <v>#DIV/0!</v>
      </c>
      <c r="NX135" s="170" t="e">
        <f ca="1">MIN(Control!$C$72+$MU135, $NW135)</f>
        <v>#DIV/0!</v>
      </c>
      <c r="NY135" s="170" t="e">
        <f ca="1">IF($MT135&lt;=$NX135,MIN(Control!$C$72+$NB135,$NX135-$MT135),0)</f>
        <v>#DIV/0!</v>
      </c>
      <c r="NZ135" s="54" t="e">
        <f ca="1">IF(Control!$C$114=1,  $CX135*($MX135-Control!$C$127), 0)</f>
        <v>#DIV/0!</v>
      </c>
      <c r="OA135" s="170" t="e">
        <f t="shared" ca="1" si="573"/>
        <v>#DIV/0!</v>
      </c>
      <c r="OB135" s="170" t="e">
        <f ca="1">IF($NA135 &lt;=$NY135, MIN(Control!$C$72, $NY135-$NA135), 0)</f>
        <v>#DIV/0!</v>
      </c>
      <c r="OC135" s="168" t="e">
        <f t="shared" ca="1" si="574"/>
        <v>#DIV/0!</v>
      </c>
      <c r="OD135" s="168" t="e">
        <f t="shared" ref="OD135:OD198" ca="1" si="663">$OD134+$OC134</f>
        <v>#DIV/0!</v>
      </c>
      <c r="OE135" s="170">
        <f ca="1">Control!$C$73*$I135</f>
        <v>0</v>
      </c>
      <c r="OF135" s="176" t="e">
        <f t="shared" ca="1" si="575"/>
        <v>#DIV/0!</v>
      </c>
      <c r="OG135" s="168" t="e">
        <f t="shared" ca="1" si="576"/>
        <v>#DIV/0!</v>
      </c>
      <c r="OH135" s="168" t="e">
        <f t="shared" ca="1" si="577"/>
        <v>#DIV/0!</v>
      </c>
      <c r="OI135" s="168" t="e">
        <f t="shared" ca="1" si="578"/>
        <v>#DIV/0!</v>
      </c>
      <c r="OJ135" s="168" t="e">
        <f t="shared" ca="1" si="579"/>
        <v>#DIV/0!</v>
      </c>
      <c r="OK135" s="204" t="e">
        <f t="shared" ca="1" si="580"/>
        <v>#DIV/0!</v>
      </c>
      <c r="OL135" s="177">
        <f>Control!$C$127</f>
        <v>0.15</v>
      </c>
      <c r="OM135" s="182" t="e">
        <f t="shared" ca="1" si="581"/>
        <v>#N/A</v>
      </c>
      <c r="ON135" s="177">
        <f>Control!$C$128</f>
        <v>0.35</v>
      </c>
      <c r="OO135" s="182" t="e">
        <f t="shared" ca="1" si="582"/>
        <v>#N/A</v>
      </c>
      <c r="OP135" s="138">
        <f t="shared" ref="OP135:OP198" ca="1" si="664">$OP134+$I134</f>
        <v>0</v>
      </c>
      <c r="OQ135" s="138" t="e">
        <f t="shared" ca="1" si="456"/>
        <v>#DIV/0!</v>
      </c>
      <c r="OR135" s="138" t="e">
        <f t="shared" ref="OR135:OR198" ca="1" si="665">$OP135+$OQ135</f>
        <v>#DIV/0!</v>
      </c>
      <c r="OS135" s="137" t="e">
        <f t="shared" ca="1" si="457"/>
        <v>#DIV/0!</v>
      </c>
      <c r="OT135" s="139" t="e">
        <f t="shared" ca="1" si="458"/>
        <v>#DIV/0!</v>
      </c>
      <c r="OU135" s="138" t="e">
        <f t="shared" ca="1" si="459"/>
        <v>#N/A</v>
      </c>
      <c r="OV135" s="138" t="e">
        <f t="shared" ca="1" si="460"/>
        <v>#DIV/0!</v>
      </c>
      <c r="OW135" s="138" t="e">
        <f t="shared" ref="OW135:OW198" ca="1" si="666">$OW134+$OI135</f>
        <v>#DIV/0!</v>
      </c>
      <c r="OX135" s="138" t="e">
        <f t="shared" ref="OX135:OX198" ca="1" si="667">$OX134+$OI134</f>
        <v>#DIV/0!</v>
      </c>
      <c r="OY135" s="138" t="e">
        <f t="shared" ref="OY135:OY198" ca="1" si="668">$OY134+$OJ134</f>
        <v>#DIV/0!</v>
      </c>
      <c r="OZ135" s="138" t="e">
        <f t="shared" ca="1" si="583"/>
        <v>#DIV/0!</v>
      </c>
      <c r="PA135" s="138" t="e">
        <f t="shared" ca="1" si="584"/>
        <v>#DIV/0!</v>
      </c>
      <c r="PB135" s="55">
        <f>IF(Control!$C$61="T", IF(Control!$C$65="F", IF($AH$6-Control!$C$60&lt;0,0,1), IF(365+$AH$6-Control!$C$60&lt;0,0,1)),0)</f>
        <v>0</v>
      </c>
      <c r="PC135" s="55">
        <f ca="1">IF(Control!$C$65="F", IF($AH$6-$HF135&lt;0,0,1), IF(365+$AH$6-$HF135&lt;0,0,1))</f>
        <v>1</v>
      </c>
      <c r="PD135" s="444">
        <f>Control!$C$118</f>
        <v>1500</v>
      </c>
      <c r="PE135" s="180" t="e">
        <f t="shared" ca="1" si="585"/>
        <v>#N/A</v>
      </c>
      <c r="PF135" s="445">
        <f t="shared" ref="PF135:PF198" ca="1" si="669">$ME135</f>
        <v>0.71612369323045078</v>
      </c>
      <c r="PT135" s="186"/>
      <c r="PU135" s="186"/>
      <c r="PV135" s="94"/>
      <c r="PW135" s="94"/>
      <c r="PX135" s="94"/>
      <c r="PY135" s="94"/>
      <c r="PZ135" s="94"/>
      <c r="QA135" s="94"/>
      <c r="QB135" s="94"/>
      <c r="QC135" s="94"/>
      <c r="QD135" s="94"/>
      <c r="QE135" s="94"/>
      <c r="QF135" s="94"/>
      <c r="QG135" s="94"/>
      <c r="QH135" s="94"/>
      <c r="QI135" s="94"/>
      <c r="QJ135" s="94"/>
      <c r="QK135" s="94"/>
      <c r="QL135" s="94"/>
      <c r="QM135" s="94"/>
      <c r="QN135" s="94"/>
      <c r="QO135" s="94"/>
      <c r="QP135" s="94"/>
    </row>
    <row r="136" spans="1:458" s="2" customFormat="1" x14ac:dyDescent="0.2">
      <c r="A136" s="395">
        <v>11</v>
      </c>
      <c r="B136" s="396">
        <v>5</v>
      </c>
      <c r="C136" s="387">
        <f ca="1">Weather_data!$B135</f>
        <v>0</v>
      </c>
      <c r="D136" s="388">
        <f ca="1">Weather_data!$F135</f>
        <v>0</v>
      </c>
      <c r="E136" s="388">
        <f ca="1">Weather_data!$E135</f>
        <v>0</v>
      </c>
      <c r="F136" s="388">
        <f t="shared" ca="1" si="586"/>
        <v>0</v>
      </c>
      <c r="G136" s="388">
        <f ca="1">AVERAGE($D136:$E136)+Control!$B$9</f>
        <v>0</v>
      </c>
      <c r="H136" s="388">
        <f ca="1">Weather_data!$G135</f>
        <v>0</v>
      </c>
      <c r="I136" s="388">
        <f ca="1">Weather_data!$I135</f>
        <v>0</v>
      </c>
      <c r="J136" s="388">
        <f ca="1">Weather_data!$H135</f>
        <v>0</v>
      </c>
      <c r="K136" s="389">
        <f ca="1">Weather_data!$D135</f>
        <v>0</v>
      </c>
      <c r="L136" s="388" t="e">
        <f t="shared" ca="1" si="587"/>
        <v>#N/A</v>
      </c>
      <c r="M136" s="388" t="e">
        <f t="shared" ca="1" si="465"/>
        <v>#N/A</v>
      </c>
      <c r="N136" s="388">
        <f t="shared" ca="1" si="466"/>
        <v>-5.6298423212743582E-7</v>
      </c>
      <c r="O136" s="388">
        <f t="shared" ca="1" si="588"/>
        <v>5.6298423212743586E-6</v>
      </c>
      <c r="P136" s="390">
        <v>3</v>
      </c>
      <c r="Q136" s="388">
        <f ca="1">MAX($G136-Control!$C$107,0)</f>
        <v>0</v>
      </c>
      <c r="R136" s="388">
        <f t="shared" ca="1" si="589"/>
        <v>0</v>
      </c>
      <c r="S136" s="388">
        <f t="shared" ca="1" si="467"/>
        <v>0</v>
      </c>
      <c r="T136" s="388">
        <f t="shared" ca="1" si="468"/>
        <v>0</v>
      </c>
      <c r="U136" s="59">
        <f t="shared" ca="1" si="469"/>
        <v>0</v>
      </c>
      <c r="V136" s="391">
        <f ca="1">MAX(0,MIN(Control!$C$100-Control!$C$99,$G136-Control!$C$99)*Control!$C$63)</f>
        <v>0</v>
      </c>
      <c r="W136" s="388">
        <f t="shared" ca="1" si="590"/>
        <v>0</v>
      </c>
      <c r="X136" s="388">
        <f t="shared" ca="1" si="591"/>
        <v>0.6110000000000001</v>
      </c>
      <c r="Y136" s="388">
        <f t="shared" ca="1" si="470"/>
        <v>0</v>
      </c>
      <c r="Z136" s="388">
        <f t="shared" ca="1" si="592"/>
        <v>0.61058800000000002</v>
      </c>
      <c r="AA136" s="388">
        <f t="shared" ca="1" si="471"/>
        <v>0.6018</v>
      </c>
      <c r="AB136" s="388">
        <f ca="1">101.3*EXP(-0.034*Control!$C$66/($G136+273))</f>
        <v>100.69623283836242</v>
      </c>
      <c r="AC136" s="392">
        <f t="shared" ca="1" si="472"/>
        <v>4.3460251046025113E-2</v>
      </c>
      <c r="AD136" s="392">
        <f t="shared" ca="1" si="473"/>
        <v>4.4450382862832649E-2</v>
      </c>
      <c r="AE136" s="388">
        <f t="shared" ca="1" si="474"/>
        <v>0</v>
      </c>
      <c r="AF136" s="388">
        <f ca="1">MAX(0,$G136-Control!$C$92)</f>
        <v>0</v>
      </c>
      <c r="AG136" s="393">
        <f t="shared" ca="1" si="475"/>
        <v>132</v>
      </c>
      <c r="AH136" s="389">
        <f t="shared" ca="1" si="476"/>
        <v>132</v>
      </c>
      <c r="AI136" s="388">
        <f t="shared" ca="1" si="593"/>
        <v>0.31003604326807971</v>
      </c>
      <c r="AJ136" s="388">
        <f ca="1">IF(Control!$C$60&lt;=0,$HH136,$HI136)</f>
        <v>1</v>
      </c>
      <c r="AK136" s="388">
        <f t="shared" ca="1" si="477"/>
        <v>0.89513872869407807</v>
      </c>
      <c r="AL136" s="388">
        <f t="shared" ca="1" si="478"/>
        <v>1.4425752259406009E-18</v>
      </c>
      <c r="AM136" s="388">
        <f t="shared" ca="1" si="479"/>
        <v>0.89513872869407807</v>
      </c>
      <c r="AN136" s="388">
        <f t="shared" ca="1" si="480"/>
        <v>0.31561556509488281</v>
      </c>
      <c r="AO136" s="388">
        <f ca="1">-0.10453/COS(Control!$B$8*PI()/180)*COS(AN136)</f>
        <v>-0.16139842347600381</v>
      </c>
      <c r="AP136" s="388">
        <f ca="1">ACOS(AO136-TAN(Control!$B$8*PI()/180)*TAN(AN136))</f>
        <v>2.1887131041761245</v>
      </c>
      <c r="AQ136" s="388">
        <f t="shared" ca="1" si="594"/>
        <v>0</v>
      </c>
      <c r="AR136" s="394">
        <f t="shared" ca="1" si="481"/>
        <v>0</v>
      </c>
      <c r="AS136" s="436">
        <f ca="1">IF(Control!$B$18=2,(IF(OR($AH136=Control!$B$175,$AH136=Control!$B$176,$AH136=Control!$B$177,$AH136=Control!$B$178,$AH136=Control!$B$179,$AH136=Control!$B$180,$AH136=Control!$B$181,$AH136=Control!$B$182,$AH136=Control!$B$183,$AH136=Control!$B$184,$AH136=Control!$B$185),1,0)),0)</f>
        <v>0</v>
      </c>
      <c r="AT136" s="436">
        <f>IF(Control!$B$20=8,IF(AND($AH136&gt;=Control!$B$172,$AH136&lt;=Control!$B$173),1,0),0)</f>
        <v>0</v>
      </c>
      <c r="AU136" s="436">
        <f>IF(Control!$B$20=8,IF($AV135=1,1*$AT136,IF($AT136=1,$AU135+1,$AU135)),0)</f>
        <v>0</v>
      </c>
      <c r="AV136" s="436">
        <f>IF(Control!$B$20=8,IF($AU136&gt;=Control!$B$174,1,0),0)</f>
        <v>0</v>
      </c>
      <c r="AW136" s="436">
        <f ca="1">IF(AND(Control!$B$18=2,Control!$B$171=1), $AV136, $AS136)</f>
        <v>0</v>
      </c>
      <c r="AX136" s="436" t="e">
        <f ca="1">IF(AND(Control!$B$18=1,$EU136&gt;=Control!$B$19),-$AY136,IF(AND(Control!$B$18=2,$AW136=1,$EU136&gt;$DS136),-$AY136, IF(Control!$C$108=0,0, IF(Control!$C$108&lt;&gt;0,1))))</f>
        <v>#N/A</v>
      </c>
      <c r="AY136" s="436" t="e">
        <f t="shared" ca="1" si="595"/>
        <v>#N/A</v>
      </c>
      <c r="AZ136" s="436" t="e">
        <f ca="1">IF(AND(Control!$B$18=1,$EB136&gt;Control!$B$19),$AZ135+1, IF(AND(Control!$B$18=2, $AW136=1, $EB136&gt;$DS136), $AZ135+1,$AZ135))</f>
        <v>#N/A</v>
      </c>
      <c r="BA136" s="587">
        <f>IF(Control!$C$81=0,1,IF($AH136&gt;=Control!$C$82,1,0))</f>
        <v>1</v>
      </c>
      <c r="BB136" s="140" t="e">
        <f ca="1">IF($BA136&gt;$BA135,Control!$C$83,IF($AW136&gt;0,$AW136*Control!$C$84,IF(AND(Control!$B$18=1,EN135&lt;&gt;0),Control!$C$84,0)))</f>
        <v>#N/A</v>
      </c>
      <c r="BC136" s="140" t="e">
        <f t="shared" ca="1" si="596"/>
        <v>#N/A</v>
      </c>
      <c r="BD136" s="140" t="e">
        <f ca="1">BC136*IF(OR($G136&lt;Control!$C$92,$G136&gt;Control!$C$95),0,IF(AND($G136&gt;=Control!$C$92,$G136&lt;=Control!$C$93),$G136-Control!$C$92,IF(AND($G136&gt;Control!$C$93,$G136&lt;=Control!$C$94),Control!$C$93-Control!$C$92,IF(AND($G136&gt;Control!$C$94,$G136&lt;=Control!$C$95),(Control!$C$93-Control!$C$92)*(Control!$C$94-$G136)/(Control!$C$95-Control!$C$94)))))</f>
        <v>#N/A</v>
      </c>
      <c r="BE136" s="140" t="e">
        <f t="shared" ca="1" si="597"/>
        <v>#N/A</v>
      </c>
      <c r="BF136" s="140" t="e">
        <f ca="1">IF($BE136&lt;=Control!$C$86,$BE136,Control!$C$86-$BE136)</f>
        <v>#N/A</v>
      </c>
      <c r="BG136" s="140" t="e">
        <f ca="1">IF(AND($AW136=1,Control!$C$84&lt;9),1,IF($BE136&gt;=Control!$C$86,0,$BC136))</f>
        <v>#N/A</v>
      </c>
      <c r="BH136" s="404" t="e">
        <f ca="1">IF($BG136=0,0,IF($BE136&lt;=Control!$C$86,$BC136*9*($BF136/Control!$C$86),0))</f>
        <v>#N/A</v>
      </c>
      <c r="BI136" s="140" t="e">
        <f ca="1">IF($BG136=1,0,IF($BE136&gt;=Control!$C$86,1,IF(AND($BB136&lt;21,$BB136&gt;=9),1,$BM135)))</f>
        <v>#N/A</v>
      </c>
      <c r="BJ136" s="140" t="e">
        <f ca="1">IF($BF136&lt;0,-$BF136,$BI136*IF(OR($G136&lt;Control!$C$92,$G136&gt;Control!$C$95),0,IF(AND($G136&gt;=Control!$C$92,$G136&lt;=Control!$C$93),$G136-Control!$C$92,IF(AND($G136&gt;Control!$C$93,$G136&lt;=Control!$C$94),Control!$C$93-Control!$C$92,IF(AND($G136&gt;Control!$C$94,$G136&lt;=Control!$C$95),(Control!$C$93-Control!$C$92)*(Control!$C$94-$G136)/(Control!$C$95-Control!$C$94))))))</f>
        <v>#N/A</v>
      </c>
      <c r="BK136" s="140" t="e">
        <f t="shared" ca="1" si="598"/>
        <v>#N/A</v>
      </c>
      <c r="BL136" s="140" t="e">
        <f ca="1">IF($BK136&lt;=Control!$C$87,$BK136,Control!$C$87-$BK136)</f>
        <v>#N/A</v>
      </c>
      <c r="BM136" s="140" t="e">
        <f ca="1">IF(AND($BB136&gt;=9,$BB136&lt;21),1,IF($BK136&gt;=Control!$C$87,0,$BI136))</f>
        <v>#N/A</v>
      </c>
      <c r="BN136" s="404" t="e">
        <f ca="1">IF($BM136=0,0,IF($BK136&lt;=Control!$C$87,$BI136*(9+(21-9)*($BL136/Control!$C$87)),0))</f>
        <v>#N/A</v>
      </c>
      <c r="BO136" s="140" t="e">
        <f ca="1">IF($BM136=1,0,IF($BK136&gt;=Control!$C$87,1,IF(AND($BB136&lt;30,$BB136&gt;=21),1,$BS135)))</f>
        <v>#N/A</v>
      </c>
      <c r="BP136" s="140" t="e">
        <f ca="1">IF($BL136&lt;0,-$BL136,$BO136*IF(OR($G136&lt;Control!$C$92,$G136&gt;Control!$C$95),0,IF(AND($G136&gt;=Control!$C$92,$G136&lt;=Control!$C$93),$G136-Control!$C$92,IF(AND($G136&gt;Control!$C$93,$G136&lt;=Control!$C$94),Control!$C$93-Control!$C$92,IF(AND($G136&gt;Control!$C$94,$G136&lt;=Control!$C$95),(Control!$C$93-Control!$C$92)*(Control!$C$94-$G136)/(Control!$C$95-Control!$C$94))))))</f>
        <v>#N/A</v>
      </c>
      <c r="BQ136" s="140" t="e">
        <f t="shared" ca="1" si="482"/>
        <v>#N/A</v>
      </c>
      <c r="BR136" s="140" t="e">
        <f ca="1">IF($BQ136&lt;=Control!$C$88,$BQ136,Control!$C$88-$BQ136)</f>
        <v>#N/A</v>
      </c>
      <c r="BS136" s="140" t="e">
        <f ca="1">IF(AND($BB136&gt;=21,$BB136&lt;30),1,IF($BQ136&gt;=Control!$C$88,0,$BO136))</f>
        <v>#N/A</v>
      </c>
      <c r="BT136" s="404" t="e">
        <f ca="1">IF($BS136=0,0,IF($BQ136&lt;=Control!$C$88,$BO136*(21+(30-21)*(BR136/Control!$C$88)),0))</f>
        <v>#N/A</v>
      </c>
      <c r="BU136" s="140" t="e">
        <f ca="1">IF(BG136+BM136+BS136=1,0,IF(OR(AND($BB136&lt;60,$BB136&gt;=30),$BQ136&gt;=Control!$C$88),1*$BA136,$BY135))</f>
        <v>#N/A</v>
      </c>
      <c r="BV136" s="140" t="e">
        <f ca="1">IF($BR136&lt;0,-$BR136,$BU136*IF(OR($G136&lt;Control!$C$92,$G136&gt;Control!$C$95),0,IF(AND($G136&gt;=Control!$C$92,$G136&lt;=Control!$C$93),$G136-Control!$C$92,IF(AND($G136&gt;Control!$C$93,$G136&lt;=Control!$C$94),Control!$C$93-Control!$C$92,IF(AND($G136&gt;Control!$C$94,$G136&lt;=Control!$C$95),(Control!$C$93-Control!$C$92)*(Control!$C$94-$G136)/(Control!$C$95-Control!$C$94))))))</f>
        <v>#N/A</v>
      </c>
      <c r="BW136" s="140" t="e">
        <f t="shared" ca="1" si="483"/>
        <v>#N/A</v>
      </c>
      <c r="BX136" s="140" t="e">
        <f ca="1">IF($BW136&lt;=Control!$C$89,$BW136,Control!$C$89-$BW136)</f>
        <v>#N/A</v>
      </c>
      <c r="BY136" s="140" t="e">
        <f ca="1">IF(AND($AJ136&gt;=30,$AJ136&lt;60),1,IF($BW136&gt;=Control!$C$89,0,$BU136))</f>
        <v>#N/A</v>
      </c>
      <c r="BZ136" s="404" t="e">
        <f ca="1">IF($BY136=0,0,IF($BW136&lt;=Control!$C$89,$BU136*(30+(60-30)*(BX136/Control!$C$89)),0))</f>
        <v>#N/A</v>
      </c>
      <c r="CA136" s="140" t="e">
        <f ca="1">IF($BG136+$BM136+$BS136+$BY136=1,0,IF(OR(AND($BB136&lt;65,$BB136&gt;=60),$BW136&gt;=Control!$C$89),1*$BA136,$CE135))</f>
        <v>#N/A</v>
      </c>
      <c r="CB136" s="140" t="e">
        <f ca="1">IF($BX136&lt;0,-$BX136,$CA136*IF(OR($G136&lt;Control!$C$92,$G136&gt;Control!$C$95),0,IF(AND($G136&gt;=Control!$C$92,$G136&lt;=Control!$C$93),$G136-Control!$C$92,IF(AND($G136&gt;Control!$C$93,$G136&lt;=Control!$C$94),Control!$C$93-Control!$C$92,IF(AND($G136&gt;Control!$C$94,$G136&lt;=Control!$C$95),(Control!$C$93-Control!$C$92)*(Control!$C$94-$G136)/(Control!$C$95-Control!$C$94))))))</f>
        <v>#N/A</v>
      </c>
      <c r="CC136" s="140" t="e">
        <f t="shared" ca="1" si="599"/>
        <v>#N/A</v>
      </c>
      <c r="CD136" s="140" t="e">
        <f ca="1">IF($CC136&lt;=Control!$C$90,$CC136,Control!$C$90-$CC136)</f>
        <v>#N/A</v>
      </c>
      <c r="CE136" s="140" t="e">
        <f ca="1">IF(AND($BB136&gt;=60,$BB136&lt;65),1,IF($CC136&gt;=Control!$C$90,0,$CA136))</f>
        <v>#N/A</v>
      </c>
      <c r="CF136" s="404" t="e">
        <f ca="1">IF($CE136=0,0,IF($CC136&lt;=Control!$C$90,$CA136*(60+(65-60)*(CD136/Control!$C$90)),0))</f>
        <v>#N/A</v>
      </c>
      <c r="CG136" s="140" t="e">
        <f ca="1">IF($BG136+$BM136+$BS136+$BY136+$CE136=1,0,IF(OR(AND($BB136&lt;90,$BB136&gt;=65),$CC136&gt;=Control!$C$90),$BA136,$CK135))</f>
        <v>#N/A</v>
      </c>
      <c r="CH136" s="140" t="e">
        <f ca="1">IF($CD136&lt;0,-$CD136,$CG136*IF(OR($G136&lt;Control!$C$92,$G136&gt;Control!$C$95),0,IF(AND($G136&gt;=Control!$C$92,$G136&lt;=Control!$C$93),$G136-Control!$C$92,IF(AND($G136&gt;Control!$C$93,$G136&lt;=Control!$C$94),Control!$C$93-Control!$C$92,IF(AND($G136&gt;Control!$C$94,$G136&lt;=Control!$C$95),(Control!$C$93-Control!$C$92)*(Control!$C$94-$G136)/(Control!$C$95-Control!$C$94))))))</f>
        <v>#N/A</v>
      </c>
      <c r="CI136" s="140" t="e">
        <f t="shared" ca="1" si="600"/>
        <v>#N/A</v>
      </c>
      <c r="CJ136" s="140" t="e">
        <f ca="1">IF($CI136&lt;=Control!$C$91,$CI136,Control!$C$91-$CI136)</f>
        <v>#N/A</v>
      </c>
      <c r="CK136" s="140" t="e">
        <f ca="1">IF(AND($BB136&gt;=65,$BB136&lt;90),1,IF($CI136&gt;=Control!$C$91,0,$CG136))</f>
        <v>#N/A</v>
      </c>
      <c r="CL136" s="404" t="e">
        <f ca="1">IF($CK136=0,0,IF($CI136&lt;=Control!$C$91,$CG136*(65+(90-65)*($CJ136/Control!$C$91)),0))</f>
        <v>#N/A</v>
      </c>
      <c r="CM136" s="140" t="e">
        <f ca="1">IF($BG136+$BM136+$BS136+$BY136+$CE136+$CK136=1,0,IF(OR($BB136&gt;=90,$CI136&gt;=Control!$C$91),$BA136,$CM135))</f>
        <v>#N/A</v>
      </c>
      <c r="CN136" s="140" t="e">
        <f t="shared" ca="1" si="601"/>
        <v>#N/A</v>
      </c>
      <c r="CO136" s="140" t="e">
        <f t="shared" ca="1" si="602"/>
        <v>#N/A</v>
      </c>
      <c r="CP136" s="140" t="e">
        <f t="shared" ca="1" si="603"/>
        <v>#N/A</v>
      </c>
      <c r="CQ136" s="141" t="e">
        <f ca="1">VLOOKUP($CP136,Control!$B$86:$G$91,6)</f>
        <v>#N/A</v>
      </c>
      <c r="CR136" s="141" t="e">
        <f ca="1">(1-$CQ136)*VLOOKUP($CP136,Control!$B$86:$D$91,3)</f>
        <v>#N/A</v>
      </c>
      <c r="CS136" s="141" t="e">
        <f ca="1">(1-$CQ136)*VLOOKUP($CP136,Control!$B$86:$E$91,4)</f>
        <v>#N/A</v>
      </c>
      <c r="CT136" s="141" t="e">
        <f ca="1">(1-$CQ136)*VLOOKUP($CP136,Control!$B$86:$F$91,5)</f>
        <v>#N/A</v>
      </c>
      <c r="CU136" s="141">
        <f t="shared" ca="1" si="604"/>
        <v>0</v>
      </c>
      <c r="CV136" s="583">
        <f t="shared" ca="1" si="605"/>
        <v>0</v>
      </c>
      <c r="CW136" s="142">
        <f t="shared" ca="1" si="606"/>
        <v>132</v>
      </c>
      <c r="CX136" s="612" t="e">
        <f ca="1">IF(Control!$C$114=1,(MIN(Control!$C$120*(IF($NT136-0.01&lt;0,0,1)),Control!$C$119-$CY136)))</f>
        <v>#DIV/0!</v>
      </c>
      <c r="CY136" s="143" t="e">
        <f t="shared" ca="1" si="607"/>
        <v>#N/A</v>
      </c>
      <c r="CZ136" s="144">
        <f t="shared" ca="1" si="484"/>
        <v>0</v>
      </c>
      <c r="DA136" s="144">
        <f t="shared" ca="1" si="485"/>
        <v>0</v>
      </c>
      <c r="DB136" s="144" t="e">
        <f t="shared" ca="1" si="486"/>
        <v>#N/A</v>
      </c>
      <c r="DC136" s="144" t="e">
        <f t="shared" ca="1" si="487"/>
        <v>#N/A</v>
      </c>
      <c r="DD136" s="144" t="e">
        <f t="shared" ca="1" si="461"/>
        <v>#N/A</v>
      </c>
      <c r="DE136" s="143" t="e">
        <f t="shared" ca="1" si="608"/>
        <v>#N/A</v>
      </c>
      <c r="DF136" s="145" t="e">
        <f ca="1">$DR136*EXP(-Control!$C$158*(1-$KH136))</f>
        <v>#N/A</v>
      </c>
      <c r="DG136" s="146" t="e">
        <f ca="1">IF(Control!$C$114=1, $DF136*$EY136, 0)</f>
        <v>#N/A</v>
      </c>
      <c r="DH136" s="147" t="e">
        <f t="shared" ca="1" si="609"/>
        <v>#N/A</v>
      </c>
      <c r="DI136" s="144" t="e">
        <f t="shared" ref="DI136:DI199" ca="1" si="670">IF($DI135+$DH135&lt;0,0,$DI135+$DH135)</f>
        <v>#N/A</v>
      </c>
      <c r="DJ136" s="147" t="e">
        <f ca="1">$EF136*Control!$C$109</f>
        <v>#N/A</v>
      </c>
      <c r="DK136" s="144" t="e">
        <f t="shared" ca="1" si="610"/>
        <v>#N/A</v>
      </c>
      <c r="DL136" s="144" t="e">
        <f t="shared" ca="1" si="488"/>
        <v>#N/A</v>
      </c>
      <c r="DM136" s="144" t="e">
        <f ca="1">IF(Control!$C$114=1, (1-EXP(-Control!$C$96*$DK136))*$AR136, 0)</f>
        <v>#N/A</v>
      </c>
      <c r="DN136" s="144">
        <f t="shared" ca="1" si="611"/>
        <v>0</v>
      </c>
      <c r="DO136" s="148">
        <f>Control!$C$97</f>
        <v>4</v>
      </c>
      <c r="DP136" s="145" t="e">
        <f t="shared" ca="1" si="612"/>
        <v>#N/A</v>
      </c>
      <c r="DQ136" s="145" t="e">
        <f ca="1">IF(AND($CP136&gt;=0,$CP136&lt;=90),Control!$C$111,Control!$C$111)</f>
        <v>#N/A</v>
      </c>
      <c r="DR136" s="145" t="e">
        <f t="shared" ca="1" si="489"/>
        <v>#N/A</v>
      </c>
      <c r="DS136" s="143" t="e">
        <f ca="1">Control!$B$22/$DR136</f>
        <v>#N/A</v>
      </c>
      <c r="DT136" s="149" t="e">
        <f ca="1">IF(AND(Control!$C$114=1,$KH136&lt;1),$IM136*$DF136, 0)</f>
        <v>#N/A</v>
      </c>
      <c r="DU136" s="144" t="e">
        <f t="shared" ca="1" si="613"/>
        <v>#N/A</v>
      </c>
      <c r="DV136" s="144">
        <f ca="1">IF($G136-Control!$C$107&lt;=0, 0, 0.83*LN(MAX($G136, 3))-0.8924)</f>
        <v>0</v>
      </c>
      <c r="DW136" s="144" t="e">
        <f t="shared" ca="1" si="490"/>
        <v>#N/A</v>
      </c>
      <c r="DX136" s="150" t="e">
        <f ca="1">MAX(0.01*(1+$CU136/Control!$C$102),0.05*($DK136-Control!$C$97)/Control!$C$97)</f>
        <v>#N/A</v>
      </c>
      <c r="DY136" s="151" t="e">
        <f ca="1">IF(Control!$C$114=1, $DI136*$FS136, 0)</f>
        <v>#N/A</v>
      </c>
      <c r="DZ136" s="196" t="e">
        <f t="shared" ca="1" si="614"/>
        <v>#N/A</v>
      </c>
      <c r="EA136" s="152">
        <f t="shared" ca="1" si="615"/>
        <v>132</v>
      </c>
      <c r="EB136" s="153" t="e">
        <f t="shared" ca="1" si="616"/>
        <v>#N/A</v>
      </c>
      <c r="EC136" s="153" t="e">
        <f t="shared" ca="1" si="617"/>
        <v>#N/A</v>
      </c>
      <c r="ED136" s="154" t="e">
        <f ca="1">IF(Control!$C$114=1, $HM136*$FY136-$FD136, 0)</f>
        <v>#DIV/0!</v>
      </c>
      <c r="EE136" s="155" t="e">
        <f ca="1">IF(Control!$C$114=1, $HM136*$FZ136-$FF136, 0)</f>
        <v>#DIV/0!</v>
      </c>
      <c r="EF136" s="153" t="e">
        <f t="shared" ref="EF136:EF199" ca="1" si="671">$EF135+$EE135-$EO135</f>
        <v>#N/A</v>
      </c>
      <c r="EG136" s="155" t="e">
        <f ca="1">IF(Control!$C$114=1, $GX136*$FW136-$FI136, 0)</f>
        <v>#DIV/0!</v>
      </c>
      <c r="EH136" s="153" t="e">
        <f t="shared" ca="1" si="618"/>
        <v>#N/A</v>
      </c>
      <c r="EI136" s="156" t="e">
        <f t="shared" ca="1" si="619"/>
        <v>#N/A</v>
      </c>
      <c r="EJ136" s="155" t="e">
        <f ca="1">IF(Control!$C$114=1, $HM136*$GB136, 0)</f>
        <v>#DIV/0!</v>
      </c>
      <c r="EK136" s="153" t="e">
        <f t="shared" ref="EK136:EK199" ca="1" si="672">$EK135+$EJ135-$EP135</f>
        <v>#N/A</v>
      </c>
      <c r="EL136" s="153" t="e">
        <f t="shared" ca="1" si="491"/>
        <v>#N/A</v>
      </c>
      <c r="EM136" s="153" t="e">
        <f t="shared" ca="1" si="492"/>
        <v>#N/A</v>
      </c>
      <c r="EN136" s="153" t="e">
        <f ca="1">IF(Control!$C$108=1,IF(AND(Control!$B$18=1,$EB136&gt;=Control!$B$19),$EB136-$DS136,IF(AND(Control!$B$18=2,$AW136=1,$EB136&gt;$DS136),$EB136-$DS136,0)))</f>
        <v>#N/A</v>
      </c>
      <c r="EO136" s="153" t="e">
        <f ca="1">IF(Control!$C$108=1,IF(AND(Control!$B$18=1,$EB136&gt;=Control!$B$19),$EF136,IF(AND(Control!$B$18=2,$AW136=1),$EF136,0)))</f>
        <v>#N/A</v>
      </c>
      <c r="EP136" s="153" t="e">
        <f ca="1">IF(Control!$C$108=1,IF(AND(Control!$B$18=1,$EB136&gt;=Control!$B$19),$EK136,IF(AND(Control!$B$18=2,$AW136=1),$EK136,0)))</f>
        <v>#N/A</v>
      </c>
      <c r="EQ136" s="153" t="e">
        <f t="shared" ca="1" si="620"/>
        <v>#N/A</v>
      </c>
      <c r="ER136" s="153" t="e">
        <f t="shared" ca="1" si="621"/>
        <v>#N/A</v>
      </c>
      <c r="ES136" s="153" t="e">
        <f t="shared" ref="ES136:ES199" ca="1" si="673">$ES135+$EO135</f>
        <v>#N/A</v>
      </c>
      <c r="ET136" s="153" t="e">
        <f t="shared" ref="ET136:ET199" ca="1" si="674">$ET135+$EP135</f>
        <v>#N/A</v>
      </c>
      <c r="EU136" s="153" t="e">
        <f t="shared" ca="1" si="622"/>
        <v>#N/A</v>
      </c>
      <c r="EV136" s="153" t="e">
        <f t="shared" ca="1" si="493"/>
        <v>#N/A</v>
      </c>
      <c r="EW136" s="153" t="e">
        <f t="shared" ca="1" si="494"/>
        <v>#N/A</v>
      </c>
      <c r="EX136" s="153" t="e">
        <f t="shared" ca="1" si="495"/>
        <v>#N/A</v>
      </c>
      <c r="EY136" s="157" t="e">
        <f t="shared" ca="1" si="496"/>
        <v>#DIV/0!</v>
      </c>
      <c r="EZ136" s="154" t="e">
        <f t="shared" ca="1" si="497"/>
        <v>#DIV/0!</v>
      </c>
      <c r="FA136" s="153" t="e">
        <f t="shared" ca="1" si="623"/>
        <v>#N/A</v>
      </c>
      <c r="FB136" s="153" t="e">
        <f t="shared" ca="1" si="498"/>
        <v>#N/A</v>
      </c>
      <c r="FC136" s="193" t="e">
        <f t="shared" ca="1" si="499"/>
        <v>#N/A</v>
      </c>
      <c r="FD136" s="158" t="e">
        <f t="shared" ca="1" si="624"/>
        <v>#N/A</v>
      </c>
      <c r="FE136" s="158" t="e">
        <f t="shared" ca="1" si="625"/>
        <v>#N/A</v>
      </c>
      <c r="FF136" s="159" t="e">
        <f t="shared" ca="1" si="500"/>
        <v>#N/A</v>
      </c>
      <c r="FG136" s="160" t="e">
        <f t="shared" ca="1" si="626"/>
        <v>#N/A</v>
      </c>
      <c r="FH136" s="158" t="e">
        <f t="shared" ca="1" si="627"/>
        <v>#N/A</v>
      </c>
      <c r="FI136" s="159" t="e">
        <f t="shared" ca="1" si="501"/>
        <v>#N/A</v>
      </c>
      <c r="FJ136" s="160" t="e">
        <f t="shared" ca="1" si="628"/>
        <v>#N/A</v>
      </c>
      <c r="FK136" s="160" t="e">
        <f t="shared" ca="1" si="502"/>
        <v>#N/A</v>
      </c>
      <c r="FL136" s="160" t="e">
        <f t="shared" ref="FL136:FL199" ca="1" si="675">$FL135+$FD135</f>
        <v>#N/A</v>
      </c>
      <c r="FM136" s="160" t="e">
        <f t="shared" ca="1" si="503"/>
        <v>#N/A</v>
      </c>
      <c r="FN136" s="158">
        <f t="shared" ca="1" si="629"/>
        <v>0.01</v>
      </c>
      <c r="FO136" s="160">
        <f>Control!$C$101</f>
        <v>50</v>
      </c>
      <c r="FP136" s="150" t="e">
        <f t="shared" ca="1" si="504"/>
        <v>#N/A</v>
      </c>
      <c r="FQ136" s="150" t="e">
        <f ca="1">MAX(0,(Control!$C$112*(($DK136-Control!$C$97)/Control!$C$97)))</f>
        <v>#N/A</v>
      </c>
      <c r="FR136" s="150" t="e">
        <f ca="1">(1-$NT136)*Control!$C$113</f>
        <v>#DIV/0!</v>
      </c>
      <c r="FS136" s="198" t="e">
        <f t="shared" ca="1" si="505"/>
        <v>#N/A</v>
      </c>
      <c r="FT136" s="161">
        <f t="shared" ca="1" si="630"/>
        <v>132</v>
      </c>
      <c r="FU136" s="162" t="e">
        <f ca="1">IF(Control!$B$34=1,VLOOKUP($CP136,Control!$B$86:$G$91,6),Control!$B$35)</f>
        <v>#N/A</v>
      </c>
      <c r="FV136" s="162" t="e">
        <f t="shared" ca="1" si="506"/>
        <v>#DIV/0!</v>
      </c>
      <c r="FW136" s="162" t="e">
        <f ca="1">IF(Control!$B$31=1,$FU136*$FV136,  $FU136)</f>
        <v>#N/A</v>
      </c>
      <c r="FX136" s="162" t="e">
        <f ca="1">IF(Control!$B$34=1,VLOOKUP($CP136,Control!$B$86:$G$91,3),Control!$B$36)</f>
        <v>#N/A</v>
      </c>
      <c r="FY136" s="162" t="e">
        <f t="shared" ca="1" si="507"/>
        <v>#N/A</v>
      </c>
      <c r="FZ136" s="162" t="e">
        <f ca="1">IF(Control!$B$34=1,VLOOKUP($CP136,Control!$B$86:$G$91,4),Control!$B$37)</f>
        <v>#N/A</v>
      </c>
      <c r="GA136" s="162" t="e">
        <f t="shared" ca="1" si="508"/>
        <v>#N/A</v>
      </c>
      <c r="GB136" s="162" t="e">
        <f ca="1">IF(Control!$B$34=1,VLOOKUP($CP136,Control!$B$86:$G$91,5),Control!$B$38)</f>
        <v>#N/A</v>
      </c>
      <c r="GC136" s="162" t="e">
        <f t="shared" ca="1" si="631"/>
        <v>#N/A</v>
      </c>
      <c r="GD136" s="162">
        <f t="shared" ca="1" si="509"/>
        <v>1</v>
      </c>
      <c r="GE136" s="162">
        <f t="shared" ca="1" si="510"/>
        <v>1</v>
      </c>
      <c r="GF136" s="162">
        <f ca="1">IF(AND(Control!$C$104=1, Control!$C$62="F"),$GE136,1)</f>
        <v>1</v>
      </c>
      <c r="GG136" s="162" t="e">
        <f ca="1">IF(Control!$B$16=40,0,IF(AND(Control!$B$16&gt;40,Control!$B$16&lt;=360),(Control!$B$16-40)*((1-0)/(360-40)),IF(AND(Control!$B$16&gt;360,Control!$B$16&lt;=720),(1+(Control!$B$16-360)*((1.25-1)/(720-360))),IF(AND(Control!$B$16&gt;720,Control!$B$16&lt;=1000),(1.25+(Control!$B$16-720)*((1.35-1.25)/(1000-720))),IF(AND(Control!$B$16&gt;1000,Control!$B$16&lt;=2000),(1.35+(Control!$B$16-1000)*0))))))</f>
        <v>#N/A</v>
      </c>
      <c r="GH136" s="162" t="e">
        <f t="shared" ca="1" si="511"/>
        <v>#N/A</v>
      </c>
      <c r="GI136" s="162">
        <f t="shared" ca="1" si="632"/>
        <v>0</v>
      </c>
      <c r="GJ136" s="162">
        <f t="shared" ca="1" si="512"/>
        <v>0</v>
      </c>
      <c r="GK136" s="162">
        <f t="shared" ca="1" si="633"/>
        <v>1</v>
      </c>
      <c r="GL136" s="162">
        <f t="shared" ca="1" si="513"/>
        <v>1</v>
      </c>
      <c r="GM136" s="162" t="e">
        <f ca="1">MAX(0,MIN(1,1-Control!$C$156*(1.0001-$KH136)^2))</f>
        <v>#N/A</v>
      </c>
      <c r="GN136" s="162" t="e">
        <f ca="1">IF(Control!$B$26=1,$KU136,$KX136)</f>
        <v>#N/A</v>
      </c>
      <c r="GO136" s="162" t="e">
        <f ca="1">IF($CP136&lt;=60,Control!$C$105,IF($CP136&gt;=90,Control!$C$106,Control!$C$105+($CP136-60)*((Control!$C$106-Control!$C$105)/(90-60))))</f>
        <v>#N/A</v>
      </c>
      <c r="GP136" s="162" t="e">
        <f t="shared" ca="1" si="514"/>
        <v>#N/A</v>
      </c>
      <c r="GQ136" s="162" t="e">
        <f t="shared" ca="1" si="634"/>
        <v>#N/A</v>
      </c>
      <c r="GR136" s="163" t="e">
        <f t="shared" ca="1" si="515"/>
        <v>#DIV/0!</v>
      </c>
      <c r="GS136" s="162" t="e">
        <f t="shared" ca="1" si="516"/>
        <v>#DIV/0!</v>
      </c>
      <c r="GT136" s="164" t="e">
        <f t="shared" ca="1" si="635"/>
        <v>#N/A</v>
      </c>
      <c r="GU136" s="162" t="e">
        <f t="shared" ca="1" si="636"/>
        <v>#N/A</v>
      </c>
      <c r="GV136" s="162" t="e">
        <f t="shared" ca="1" si="517"/>
        <v>#N/A</v>
      </c>
      <c r="GW136" s="162" t="e">
        <f t="shared" ca="1" si="518"/>
        <v>#DIV/0!</v>
      </c>
      <c r="GX136" s="162" t="e">
        <f t="shared" ca="1" si="637"/>
        <v>#DIV/0!</v>
      </c>
      <c r="GY136" s="162" t="e">
        <f t="shared" ca="1" si="638"/>
        <v>#DIV/0!</v>
      </c>
      <c r="GZ136" s="165" t="e">
        <f t="shared" ca="1" si="519"/>
        <v>#N/A</v>
      </c>
      <c r="HA136" s="162" t="e">
        <f ca="1">IF(Control!$C$114=1, $DI136*$FS136, 0)</f>
        <v>#N/A</v>
      </c>
      <c r="HB136" s="162" t="e">
        <f ca="1">$FA136/Control!$C$64</f>
        <v>#N/A</v>
      </c>
      <c r="HC136" s="162" t="e">
        <f t="shared" ca="1" si="520"/>
        <v>#DIV/0!</v>
      </c>
      <c r="HD136" s="162">
        <f ca="1">-ASIN(SIN(23.45*Control!$C$139)*COS(2*Control!$C$138*($AH136+10)/365))</f>
        <v>0.31003604326807971</v>
      </c>
      <c r="HE136" s="165">
        <f t="shared" ca="1" si="639"/>
        <v>0</v>
      </c>
      <c r="HF136" s="166">
        <f ca="1">IF(AND(Control!$C$61="T",$HE136&gt;=Control!$C$103,Control!$C$114=0),$AH136,Control!$C$59)</f>
        <v>1</v>
      </c>
      <c r="HG136" s="166">
        <f ca="1">IF(AND(Control!$C$61="T",$HE136&gt;=Control!$C$103,Control!$C$114=0),$HF136,Control!$C$59)</f>
        <v>1</v>
      </c>
      <c r="HH136" s="165">
        <f ca="1">IF(AND(OR(Control!$C$60&lt;=0, $AH136= Control!$C$59, Control!$C$60 &gt;0, $AH136 = Control!$C$60)), Control!$C$59, IF(Control!$C$60&gt;0, 0))</f>
        <v>1</v>
      </c>
      <c r="HI136" s="165">
        <f ca="1">IF(AND(OR(Control!$C$60&lt;=0, $AH136= Control!$C$59, Control!$C$60 &gt;0, $AH136 = Control!$C$60)), Control!$C$60, IF(Control!$C$60&lt;=0, 0))</f>
        <v>0</v>
      </c>
      <c r="HJ136" s="166">
        <f ca="1">IF(AND(Control!$C$62="F",$CV136&gt;=Control!$C$102),$AH136,0)</f>
        <v>0</v>
      </c>
      <c r="HK136" s="165" t="e">
        <f t="shared" ref="HK136:HK199" ca="1" si="676">$HK135+$GX135</f>
        <v>#N/A</v>
      </c>
      <c r="HL136" s="166">
        <f ca="1">IF(AND(Control!$C$61="T",$HE136&gt;=Control!$C$103,Control!$C$114=0),$HF136,0)</f>
        <v>0</v>
      </c>
      <c r="HM136" s="201" t="e">
        <f t="shared" ca="1" si="521"/>
        <v>#DIV/0!</v>
      </c>
      <c r="HN136" s="215">
        <f t="shared" ca="1" si="640"/>
        <v>132</v>
      </c>
      <c r="HO136" s="216" t="e">
        <f ca="1">IF(AND($CP136&gt;=0, $CP136&lt;=90), Control!$C$152, Control!$C$152)</f>
        <v>#N/A</v>
      </c>
      <c r="HP136" s="216" t="e">
        <f t="shared" ca="1" si="522"/>
        <v>#N/A</v>
      </c>
      <c r="HQ136" s="217" t="e">
        <f ca="1">IF(OR(Control!$B$26=1,Control!$B$26=2),$KV136,$KS136)</f>
        <v>#DIV/0!</v>
      </c>
      <c r="HR136" s="218" t="e">
        <f t="shared" ref="HR136:HR199" ca="1" si="677">$HR135-$HQ135</f>
        <v>#DIV/0!</v>
      </c>
      <c r="HS136" s="216" t="e">
        <f ca="1">Control!$C$154*$HP136</f>
        <v>#N/A</v>
      </c>
      <c r="HT136" s="216" t="e">
        <f ca="1">Control!$C$155*$HP136</f>
        <v>#N/A</v>
      </c>
      <c r="HU136" s="217" t="e">
        <f ca="1">Control!$C$161*$FI136</f>
        <v>#N/A</v>
      </c>
      <c r="HV136" s="218" t="e">
        <f t="shared" ca="1" si="641"/>
        <v>#N/A</v>
      </c>
      <c r="HW136" s="218" t="e">
        <f ca="1">Control!$C$160*$FF136+$IP136*$EO136</f>
        <v>#N/A</v>
      </c>
      <c r="HX136" s="218" t="e">
        <f t="shared" ref="HX136:HX199" ca="1" si="678">$HX135+$HW135</f>
        <v>#N/A</v>
      </c>
      <c r="HY136" s="219" t="e">
        <f ca="1">IF(Control!$C$114=1, $EB136*$FS136, 0)</f>
        <v>#N/A</v>
      </c>
      <c r="HZ136" s="91" t="e">
        <f t="shared" ca="1" si="523"/>
        <v>#N/A</v>
      </c>
      <c r="IA136" s="220" t="e">
        <f ca="1">Control!$C$153*$HO136</f>
        <v>#N/A</v>
      </c>
      <c r="IB136" s="218" t="e">
        <f t="shared" ca="1" si="524"/>
        <v>#N/A</v>
      </c>
      <c r="IC136" s="220" t="e">
        <f ca="1">Control!$C$153*$HT136</f>
        <v>#N/A</v>
      </c>
      <c r="ID136" s="218" t="e">
        <f t="shared" ca="1" si="525"/>
        <v>#N/A</v>
      </c>
      <c r="IE136" s="221" t="e">
        <f ca="1">($EB136*Control!$C$159+$EF136*Control!$C$160)/(IF($GZ136&lt;&gt;0,$GZ136,1))</f>
        <v>#N/A</v>
      </c>
      <c r="IF136" s="216" t="e">
        <f t="shared" ca="1" si="526"/>
        <v>#N/A</v>
      </c>
      <c r="IG136" s="91">
        <f ca="1">IF(OR(Control!$B$198=$AH136,Control!$B$199=$AH136, Control!$B$200=$AH136, Control!$B$201=$AH136, Control!$B$202=$AH136, Control!$B$203=$AH136, Control!$B$204=$AH136, Control!$B$205=$AH136, Control!$B$206=$AH136, Control!$B$207=$AH136), 1, 0)</f>
        <v>0</v>
      </c>
      <c r="IH136" s="91">
        <f ca="1">IF($IG136=0,0, VLOOKUP($AH136,Control!$B$198:$C$207,2))</f>
        <v>0</v>
      </c>
      <c r="II136" s="222">
        <f t="shared" ca="1" si="642"/>
        <v>0</v>
      </c>
      <c r="IJ136" s="91">
        <f>Control!$C$121</f>
        <v>0.7</v>
      </c>
      <c r="IK136" s="218">
        <f t="shared" ca="1" si="527"/>
        <v>0</v>
      </c>
      <c r="IL136" s="217" t="e">
        <f t="shared" ref="IL136:IL199" ca="1" si="679">$IL135+$KD135</f>
        <v>#N/A</v>
      </c>
      <c r="IM136" s="223" t="e">
        <f ca="1">IF(AND(Control!$C$114=1,$KH136&lt;1),$EB136*Control!$C$148*(1-$KH136), 0)</f>
        <v>#N/A</v>
      </c>
      <c r="IN136" s="217" t="e">
        <f t="shared" ca="1" si="528"/>
        <v>#DIV/0!</v>
      </c>
      <c r="IO136" s="91" t="e">
        <f ca="1">MAX(0,$IL136-$EF136*Control!$C$160)</f>
        <v>#N/A</v>
      </c>
      <c r="IP136" s="220" t="e">
        <f t="shared" ca="1" si="529"/>
        <v>#N/A</v>
      </c>
      <c r="IQ136" s="217" t="e">
        <f t="shared" ca="1" si="643"/>
        <v>#N/A</v>
      </c>
      <c r="IR136" s="218" t="e">
        <f t="shared" ca="1" si="530"/>
        <v>#N/A</v>
      </c>
      <c r="IS136" s="217" t="e">
        <f ca="1">Control!$C$159*MAX(0,$FD136-$EN136)</f>
        <v>#N/A</v>
      </c>
      <c r="IT136" s="217" t="e">
        <f t="shared" ref="IT136:IT199" ca="1" si="680">$IT135+$IS136</f>
        <v>#N/A</v>
      </c>
      <c r="IU136" s="217" t="e">
        <f t="shared" ca="1" si="644"/>
        <v>#N/A</v>
      </c>
      <c r="IV136" s="217" t="e">
        <f t="shared" ref="IV136:IV199" ca="1" si="681">$IV135+$IU136</f>
        <v>#N/A</v>
      </c>
      <c r="IW136" s="217" t="e">
        <f ca="1">IF(OR($AW136=1,AND($AW136=0, Control!$B$18=1,$EN136&lt;&gt;0)), $IQ136-$IU136, $IQ136)</f>
        <v>#N/A</v>
      </c>
      <c r="IX136" s="218" t="e">
        <f t="shared" ca="1" si="531"/>
        <v>#N/A</v>
      </c>
      <c r="IY136" s="218" t="e">
        <f ca="1">MAX(0,$IQ136-$EB136*Control!$C$159)</f>
        <v>#N/A</v>
      </c>
      <c r="IZ136" s="218" t="e">
        <f t="shared" ca="1" si="532"/>
        <v>#N/A</v>
      </c>
      <c r="JA136" s="216" t="e">
        <f t="shared" ca="1" si="533"/>
        <v>#N/A</v>
      </c>
      <c r="JB136" s="217" t="e">
        <f t="shared" ca="1" si="534"/>
        <v>#N/A</v>
      </c>
      <c r="JC136" s="222" t="e">
        <f ca="1">MAX(Control!$C$157*$EK136-$JT136, 0)/Control!$C$162</f>
        <v>#N/A</v>
      </c>
      <c r="JD136" s="218" t="e">
        <f t="shared" ca="1" si="535"/>
        <v>#N/A</v>
      </c>
      <c r="JE136" s="218" t="e">
        <f t="shared" ca="1" si="536"/>
        <v>#N/A</v>
      </c>
      <c r="JF136" s="218" t="e">
        <f t="shared" ca="1" si="645"/>
        <v>#N/A</v>
      </c>
      <c r="JG136" s="218" t="e">
        <f t="shared" ca="1" si="537"/>
        <v>#N/A</v>
      </c>
      <c r="JH136" s="217" t="e">
        <f t="shared" ca="1" si="646"/>
        <v>#N/A</v>
      </c>
      <c r="JI136" s="217" t="e">
        <f t="shared" ca="1" si="647"/>
        <v>#N/A</v>
      </c>
      <c r="JJ136" s="217" t="e">
        <f t="shared" ref="JJ136:JJ199" ca="1" si="682">$JJ135+$JL135</f>
        <v>#N/A</v>
      </c>
      <c r="JK136" s="217" t="e">
        <f ca="1">IF(Control!$C$114=1,IF(Control!$B$24=0,MAX(0,$JI136)*$GN136/Control!$C$64,(MAX(0,MIN($JI136,$JJ136*$GN136/Control!$C$64),0))))</f>
        <v>#N/A</v>
      </c>
      <c r="JL136" s="217" t="e">
        <f ca="1">$IK136/Control!$C$64-$JK136+$HQ136</f>
        <v>#N/A</v>
      </c>
      <c r="JM136" s="217" t="e">
        <f ca="1">IF(Control!$C$114=1,($JB136/(IF($JI136&lt;&gt;0,$JI136,1)))*$JK136,0)</f>
        <v>#N/A</v>
      </c>
      <c r="JN136" s="217" t="e">
        <f ca="1">IF(Control!$C$114=1,($JG136/(IF($JI136&lt;&gt;0,$JI136,1)))*$JK136, 0)</f>
        <v>#N/A</v>
      </c>
      <c r="JO136" s="218" t="e">
        <f t="shared" ca="1" si="538"/>
        <v>#N/A</v>
      </c>
      <c r="JP136" s="218" t="e">
        <f ca="1">MIN(($IY136+$IO136)*Control!$C$151, $JF136-$EH136*Control!$C$161)</f>
        <v>#N/A</v>
      </c>
      <c r="JQ136" s="218" t="e">
        <f t="shared" ca="1" si="539"/>
        <v>#N/A</v>
      </c>
      <c r="JR136" s="217" t="e">
        <f ca="1">IF($CP136-Control!$C$150&lt;0, 0, $JQ136/Control!$C$162)</f>
        <v>#N/A</v>
      </c>
      <c r="JS136" s="218" t="e">
        <f t="shared" ca="1" si="540"/>
        <v>#N/A</v>
      </c>
      <c r="JT136" s="218" t="e">
        <f t="shared" ca="1" si="648"/>
        <v>#N/A</v>
      </c>
      <c r="JU136" s="218" t="e">
        <f t="shared" ca="1" si="541"/>
        <v>#N/A</v>
      </c>
      <c r="JV136" s="218" t="e">
        <f t="shared" ca="1" si="542"/>
        <v>#N/A</v>
      </c>
      <c r="JW136" s="216" t="e">
        <f t="shared" ca="1" si="543"/>
        <v>#N/A</v>
      </c>
      <c r="JX136" s="91" t="e">
        <f t="shared" ca="1" si="544"/>
        <v>#N/A</v>
      </c>
      <c r="JY136" s="218" t="e">
        <f t="shared" ca="1" si="545"/>
        <v>#N/A</v>
      </c>
      <c r="JZ136" s="217" t="e">
        <f ca="1">IF(Control!$C$114=1,($IZ136/(IF($JI136&lt;&gt;0,$JI136,1)))*$JK136, 0)</f>
        <v>#N/A</v>
      </c>
      <c r="KA136" s="218" t="e">
        <f t="shared" ref="KA136:KA199" ca="1" si="683">KA135+JK135</f>
        <v>#N/A</v>
      </c>
      <c r="KB136" s="218" t="e">
        <f t="shared" ca="1" si="649"/>
        <v>#N/A</v>
      </c>
      <c r="KC136" s="218" t="e">
        <f t="shared" ca="1" si="546"/>
        <v>#N/A</v>
      </c>
      <c r="KD136" s="218" t="e">
        <f t="shared" ca="1" si="547"/>
        <v>#N/A</v>
      </c>
      <c r="KE136" s="218" t="e">
        <f t="shared" ca="1" si="548"/>
        <v>#N/A</v>
      </c>
      <c r="KF136" s="218" t="e">
        <f t="shared" ca="1" si="549"/>
        <v>#N/A</v>
      </c>
      <c r="KG136" s="216" t="e">
        <f t="shared" ca="1" si="550"/>
        <v>#N/A</v>
      </c>
      <c r="KH136" s="221" t="e">
        <f ca="1">IF(Control!$B$24=0,1,MAX(0.001,MIN(1,IF(($IF136-$IE136)&lt;&gt;0,($KG136-$IE136)/($IF136-$IE136),1))))</f>
        <v>#N/A</v>
      </c>
      <c r="KI136" s="222" t="e">
        <f ca="1">IF(Control!$C$114=1, $KI135+ $KH135, 0)</f>
        <v>#N/A</v>
      </c>
      <c r="KJ136" s="217" t="e">
        <f t="shared" ca="1" si="551"/>
        <v>#N/A</v>
      </c>
      <c r="KK136" s="218" t="e">
        <f t="shared" ca="1" si="552"/>
        <v>#N/A</v>
      </c>
      <c r="KL136" s="274" t="e">
        <f ca="1">IF(Control!$B$26=3,4000000000*EXP(-8400/($G136+273)),IF(Control!$B$26=4,4000000000*EXP(-8400/($G136+273))*($KT136),0))</f>
        <v>#DIV/0!</v>
      </c>
      <c r="KM136" s="274" t="e">
        <f ca="1">IF(Control!$B$26=3,5600000000000*EXP(-9800/($G136+273)),IF(Control!$B$26=4,5600000000000*EXP(-9800/($G136+273))*$KT136,0))</f>
        <v>#DIV/0!</v>
      </c>
      <c r="KN136" s="454" t="e">
        <f t="shared" ca="1" si="650"/>
        <v>#DIV/0!</v>
      </c>
      <c r="KO136" s="274" t="e">
        <f t="shared" ca="1" si="651"/>
        <v>#DIV/0!</v>
      </c>
      <c r="KP136" s="454" t="e">
        <f t="shared" ca="1" si="553"/>
        <v>#DIV/0!</v>
      </c>
      <c r="KQ136" s="454" t="e">
        <f t="shared" ca="1" si="554"/>
        <v>#DIV/0!</v>
      </c>
      <c r="KR136" s="454" t="e">
        <f t="shared" ca="1" si="555"/>
        <v>#DIV/0!</v>
      </c>
      <c r="KS136" s="454" t="e">
        <f t="shared" ca="1" si="556"/>
        <v>#DIV/0!</v>
      </c>
      <c r="KT136" s="455" t="e">
        <f t="shared" ca="1" si="557"/>
        <v>#DIV/0!</v>
      </c>
      <c r="KU136" s="456" t="e">
        <f ca="1">IF($CP136-Control!$C$149&lt;0, IF($NT136-0.01&lt;0,0,1),0)</f>
        <v>#N/A</v>
      </c>
      <c r="KV136" s="456" t="e">
        <f ca="1">IF(Control!$C$114=1,MAX(0,MIN(Control!$C$125*$KW136*$GN136,$KW136)))</f>
        <v>#DIV/0!</v>
      </c>
      <c r="KW136" s="456" t="e">
        <f t="shared" ref="KW136:KW199" ca="1" si="684">KW135-KV135</f>
        <v>#DIV/0!</v>
      </c>
      <c r="KX136" s="457" t="e">
        <f ca="1">IF($CP136-Control!$C$149&lt;0, IF($MR136-$OM136&lt;0,0,1),0)</f>
        <v>#N/A</v>
      </c>
      <c r="KY136" s="167">
        <f t="shared" ca="1" si="652"/>
        <v>132</v>
      </c>
      <c r="KZ136" s="168">
        <f ca="1">1370*(1+0.033*COS(2*Control!$C$138*$AH136/365))</f>
        <v>1340.8236282950879</v>
      </c>
      <c r="LA136" s="169">
        <f t="shared" ca="1" si="653"/>
        <v>0.97870351226342489</v>
      </c>
      <c r="LB136" s="169">
        <f t="shared" ca="1" si="654"/>
        <v>0.31582429931695188</v>
      </c>
      <c r="LC136" s="169">
        <f ca="1">ACOS(-TAN((2*Control!$B$8/360))*TAN(Calculations!$LB136))</f>
        <v>1.6680641741707216</v>
      </c>
      <c r="LD136" s="169">
        <f ca="1">((24*60)/PI())*0.082*$LA136*(($LC136*SIN(Control!$B$8*2*PI()/360))*SIN($LB136)+COS(Control!$B$8*2*PI()/360)*COS($LB136)*SIN($LC136))</f>
        <v>36.443997095658403</v>
      </c>
      <c r="LE136" s="170">
        <f t="shared" ca="1" si="558"/>
        <v>37.290447376380115</v>
      </c>
      <c r="LF136" s="170">
        <f ca="1">SIN(Control!$C$139*Control!$B$8)*SIN($HD136)</f>
        <v>0.24041693311858431</v>
      </c>
      <c r="LG136" s="170">
        <f ca="1">COS(Control!$C$139*Control!$B$8)*COS($HD136)</f>
        <v>0.58630672820998397</v>
      </c>
      <c r="LH136" s="170">
        <f ca="1">12*(1+2*ASIN(MAX(-1,MIN(1,$LF136/$LG136))/Control!$C$138))</f>
        <v>15.141531670346977</v>
      </c>
      <c r="LI136" s="170">
        <f ca="1">12*(1+2*ASIN(MAX(-1,MIN(1,(-SIN(-4*Control!$C$139)+$LF136)/$LG136))/Control!$C$138))</f>
        <v>16.060826947938821</v>
      </c>
      <c r="LJ136" s="168">
        <f ca="1">3600*($LH136*$LF136+24*$LG136*SQRT(1-$LK136*$LK136)/Control!$C$138)</f>
        <v>27811.597729521254</v>
      </c>
      <c r="LK136" s="170">
        <f t="shared" ca="1" si="559"/>
        <v>0.4100531710638663</v>
      </c>
      <c r="LL136" s="170">
        <f t="shared" ca="1" si="560"/>
        <v>0</v>
      </c>
      <c r="LM136" s="171">
        <f ca="1">Control!$C$145*$AB136</f>
        <v>6.6660906138995932E-2</v>
      </c>
      <c r="LN136" s="170">
        <f t="shared" ca="1" si="655"/>
        <v>0.54</v>
      </c>
      <c r="LO136" s="170">
        <f t="shared" ca="1" si="561"/>
        <v>0</v>
      </c>
      <c r="LP136" s="170">
        <f ca="1">Control!$C$140*((($D136+273.16)^4+($E136+273.16)^4)/2)*(0.34-0.14*SQRT($Y136))*(1.35*$AQ136/(0.75*$LD136)-0.35)</f>
        <v>-3.2464704755046001</v>
      </c>
      <c r="LQ136" s="170">
        <f ca="1">Control!$C$140*($G136+273)^4*(0.56-0.079*SQRT($Y136*10))*(0.1+0.9*$LO136)</f>
        <v>1.5241745131704001</v>
      </c>
      <c r="LR136" s="170">
        <f ca="1">$AQ136*(1-Control!$C$142)-$LQ136</f>
        <v>-1.5241745131704001</v>
      </c>
      <c r="LS136" s="170">
        <f ca="1">$AQ136*(1-Control!$C$143)-$LQ136</f>
        <v>-1.5241745131704001</v>
      </c>
      <c r="LT136" s="170">
        <f ca="1">$AQ136*(1-Control!$C$144)-$LQ136</f>
        <v>-1.5241745131704001</v>
      </c>
      <c r="LU136" s="169">
        <f ca="1">(1-Control!$C$144)*AQ136-LP136</f>
        <v>3.2464704755046001</v>
      </c>
      <c r="LV136" s="172">
        <f t="shared" ca="1" si="562"/>
        <v>0.79430000000000012</v>
      </c>
      <c r="LW136" s="170">
        <f t="shared" ca="1" si="563"/>
        <v>1.5886000000000002</v>
      </c>
      <c r="LX136" s="170">
        <f ca="1">($AC136*($LR136/Control!$C$141)+$LM136*$LV136)/($AC136+$LM136)</f>
        <v>0.23530094218323697</v>
      </c>
      <c r="LY136" s="170">
        <f ca="1">($AC136*($LS136/Control!$C$141)+$LM136*$LV136)/($AC136+$LM136)</f>
        <v>0.23530094218323697</v>
      </c>
      <c r="LZ136" s="170">
        <f t="shared" ca="1" si="564"/>
        <v>0.23530094218323697</v>
      </c>
      <c r="MA136" s="170">
        <f t="shared" ca="1" si="565"/>
        <v>0.23530094218323697</v>
      </c>
      <c r="MB136" s="170" t="e">
        <f t="shared" ca="1" si="566"/>
        <v>#N/A</v>
      </c>
      <c r="MC136" s="170">
        <f t="shared" ca="1" si="656"/>
        <v>0.6018</v>
      </c>
      <c r="MD136" s="170">
        <f t="shared" ca="1" si="567"/>
        <v>0.52989392535414004</v>
      </c>
      <c r="ME136" s="170">
        <f ca="1">($AC136*($LT136/Control!$C$141)+$LM136*$LW136)/($AC136+$LM136)</f>
        <v>0.71612369323045078</v>
      </c>
      <c r="MF136" s="170" t="e">
        <f ca="1">IF(Control!$B$16&gt;=1000,0.92,IF(AND(720&lt;=Control!$B$16,1000&gt;Control!$B$16),(0.95+(Control!$B$16-720)*((0.92-0.95)/(1000-720))),IF(AND(360&lt;=Control!$B$16,720&gt;Control!$B$16),(1+(Control!$B$16-360)*((0.95-1)/(720-360))),IF(AND(40&lt;=Control!$B$16,360&gt;Control!$B$16),(1.05+(Control!$B$16-40)*((1.05-1)/(360-40)))))))</f>
        <v>#N/A</v>
      </c>
      <c r="MG136" s="170">
        <f t="shared" ca="1" si="568"/>
        <v>0.71612369323045078</v>
      </c>
      <c r="MH136" s="170" t="e">
        <f t="shared" ca="1" si="464"/>
        <v>#N/A</v>
      </c>
      <c r="MI136" s="170" t="e">
        <f t="shared" ca="1" si="464"/>
        <v>#N/A</v>
      </c>
      <c r="MJ136" s="170" t="e">
        <f ca="1">MAX(0.0001, Control!$C$132*$MI136*$DL136)</f>
        <v>#N/A</v>
      </c>
      <c r="MK136" s="170">
        <f ca="1">1/(0.76+1.5*($MG136/10))-(5-Control!$C$110)*0.1</f>
        <v>1.002845988140797</v>
      </c>
      <c r="ML136" s="173">
        <f ca="1">IF(Control!$C$110&lt;3,$MK136+($MG136-0.6)/(Control!$C$110*(Control!$C$110+3)), MAX(0.1, MIN(0.95,$MK136)))</f>
        <v>0.95</v>
      </c>
      <c r="MM136" s="173">
        <f ca="1">IF(Control!$C$110&lt;3,$MK136+(($MI136/10)-0.6)/(Control!$C$110*(Control!$C$110+3)), MAX(0.1, MIN(0.95,$MK136)))</f>
        <v>0.95</v>
      </c>
      <c r="MN136" s="173">
        <f ca="1">(1-$MM136)*(Control!$C$128-Control!$C$127)+Control!$C$127</f>
        <v>0.16</v>
      </c>
      <c r="MO136" s="170" t="e">
        <f ca="1">MAX(0,MIN(1,($MS136-Control!$C$127)/($MN136-Control!$C$127)))</f>
        <v>#DIV/0!</v>
      </c>
      <c r="MP136" s="173" t="e">
        <f ca="1">1/(0.76+1.5*$MI136)-(5-Control!$C$110)*0.1</f>
        <v>#N/A</v>
      </c>
      <c r="MQ136" s="172" t="e">
        <f t="shared" ref="MQ136:MQ199" ca="1" si="685">$MQ135+$NL135</f>
        <v>#DIV/0!</v>
      </c>
      <c r="MR136" s="168" t="e">
        <f t="shared" ca="1" si="657"/>
        <v>#DIV/0!</v>
      </c>
      <c r="MS136" s="173" t="e">
        <f ca="1">MAX(Control!$C$127, MIN(Control!$C$135, $MR136/MAX(0.0001,$CY136)))</f>
        <v>#DIV/0!</v>
      </c>
      <c r="MT136" s="168" t="e">
        <f ca="1">(Control!$C$128-$MS136)*Control!$C$74</f>
        <v>#DIV/0!</v>
      </c>
      <c r="MU136" s="168" t="e">
        <f ca="1">(Control!$C$135-$MS136)*Control!$C$74</f>
        <v>#DIV/0!</v>
      </c>
      <c r="MV136" s="168" t="e">
        <f t="shared" ca="1" si="658"/>
        <v>#DIV/0!</v>
      </c>
      <c r="MW136" s="168" t="e">
        <f t="shared" ca="1" si="659"/>
        <v>#DIV/0!</v>
      </c>
      <c r="MX136" s="171" t="e">
        <f ca="1">MAX(Control!$C$127, MIN(Control!$C$135, $MW136/MAX(0.0001,Control!$C$119-$CY136)))</f>
        <v>#DIV/0!</v>
      </c>
      <c r="MY136" s="54" t="e">
        <f ca="1">IF(Control!$C$114=1, $CX136*$MX136, 0)</f>
        <v>#DIV/0!</v>
      </c>
      <c r="MZ136" s="54" t="e">
        <f t="shared" ca="1" si="660"/>
        <v>#N/A</v>
      </c>
      <c r="NA136" s="168" t="e">
        <f ca="1">(Control!$C$128-$MX136)*(Control!$C$119-Control!$C$74)</f>
        <v>#DIV/0!</v>
      </c>
      <c r="NB136" s="168" t="e">
        <f ca="1">(Control!$C$135-$MX136)*(Control!$C$119-Control!$C$74)</f>
        <v>#DIV/0!</v>
      </c>
      <c r="NC136" s="174" t="e">
        <f t="shared" ca="1" si="661"/>
        <v>#DIV/0!</v>
      </c>
      <c r="ND136" s="54">
        <f ca="1">IF(Control!$C$58=2, IF(OR(Control!$B$218=$AH136,Control!$B$219=$AH136, Control!$B$220=$AH136, Control!$B$221=$AH136, Control!$B$222=$AH136, Control!$B$223=$AH136, Control!$B$224=$AH136, Control!$B$225=$AH136, Control!$B$226=$AH136, Control!$B$227=$AH136, Control!$B$228=$AH136), 1, 0), 0)</f>
        <v>0</v>
      </c>
      <c r="NE136" s="54">
        <f ca="1">IF($ND136=0,0, VLOOKUP($AH136,Control!$B$218:$C$228,2))</f>
        <v>0</v>
      </c>
      <c r="NF136" s="168" t="e">
        <f ca="1">$CY136*(Control!$C$128-Control!$C$127)</f>
        <v>#N/A</v>
      </c>
      <c r="NG136" s="54" t="e">
        <f ca="1">IF(Control!$C$58=2, $NI135-$NJ135, 0)</f>
        <v>#DIV/0!</v>
      </c>
      <c r="NH136" s="54" t="e">
        <f ca="1">IF(AND(Control!$C$58=1, $MS135&lt;= ($MN135+0.02), $I135&lt;10), 0, IF(Control!$C$58=2, $NG135, 0))</f>
        <v>#DIV/0!</v>
      </c>
      <c r="NI136" s="54" t="e">
        <f ca="1">IF(Control!$C$58=2, $NE136+$NH136,0)</f>
        <v>#DIV/0!</v>
      </c>
      <c r="NJ136" s="54" t="e">
        <f ca="1">IF(AND(Control!$C$58=1, $MS136&lt;= ($MN136+0.02), $I136&lt;10), MAX(0, MIN(10, 0.7*($NF136-$MV136))), IF(Control!$C$58=2, MIN(10,$NI136),0))</f>
        <v>#DIV/0!</v>
      </c>
      <c r="NK136" s="54" t="e">
        <f t="shared" ca="1" si="569"/>
        <v>#DIV/0!</v>
      </c>
      <c r="NL136" s="173" t="e">
        <f ca="1">(1-Control!$C$73)*$I136+$NJ136</f>
        <v>#DIV/0!</v>
      </c>
      <c r="NM136" s="172" t="e">
        <f ca="1">IF($NL136&lt;0.5, $MB136* MAX(0, MIN(1, (SQRT($NC136)-SQRT($NC136-1))*Control!$C$71)),0)</f>
        <v>#DIV/0!</v>
      </c>
      <c r="NN136" s="170" t="e">
        <f ca="1">IF($NL136&gt;=5, $MB136, MAX(0,MIN($MB136, $NM136+$NL136,($MS136-Control!$C$129))))</f>
        <v>#DIV/0!</v>
      </c>
      <c r="NO136" s="54">
        <f>IF(Control!$C$133&lt;&gt;1, Control!$C$135-Control!$C$131, 0)</f>
        <v>0.38</v>
      </c>
      <c r="NP136" s="54" t="e">
        <f t="shared" ca="1" si="570"/>
        <v>#DIV/0!</v>
      </c>
      <c r="NQ136" s="173" t="e">
        <f ca="1">MAX(0,MIN(1,(Control!$C$135-$MS136)/(Control!$C$135-$NO136)))</f>
        <v>#DIV/0!</v>
      </c>
      <c r="NR136" s="170" t="e">
        <f ca="1">IF(Control!$C$133&lt;&gt;1, $NQ136+((1-$NP136/4)*(1-$NQ136)),1)</f>
        <v>#DIV/0!</v>
      </c>
      <c r="NS136" s="170" t="e">
        <f ca="1">IF(Control!$B$31=0,$MJ136,MAX(0,MIN($MV136,$MO136*$NR136*$MJ136)))</f>
        <v>#DIV/0!</v>
      </c>
      <c r="NT136" s="170" t="e">
        <f t="shared" ref="NT136:NT199" ca="1" si="686">$NS136/$MJ136</f>
        <v>#DIV/0!</v>
      </c>
      <c r="NU136" s="170" t="e">
        <f t="shared" ca="1" si="662"/>
        <v>#N/A</v>
      </c>
      <c r="NV136" s="170" t="e">
        <f t="shared" ca="1" si="571"/>
        <v>#N/A</v>
      </c>
      <c r="NW136" s="175" t="e">
        <f t="shared" ca="1" si="572"/>
        <v>#DIV/0!</v>
      </c>
      <c r="NX136" s="170" t="e">
        <f ca="1">MIN(Control!$C$72+$MU136, $NW136)</f>
        <v>#DIV/0!</v>
      </c>
      <c r="NY136" s="170" t="e">
        <f ca="1">IF($MT136&lt;=$NX136,MIN(Control!$C$72+$NB136,$NX136-$MT136),0)</f>
        <v>#DIV/0!</v>
      </c>
      <c r="NZ136" s="54" t="e">
        <f ca="1">IF(Control!$C$114=1,  $CX136*($MX136-Control!$C$127), 0)</f>
        <v>#DIV/0!</v>
      </c>
      <c r="OA136" s="170" t="e">
        <f t="shared" ca="1" si="573"/>
        <v>#DIV/0!</v>
      </c>
      <c r="OB136" s="170" t="e">
        <f ca="1">IF($NA136 &lt;=$NY136, MIN(Control!$C$72, $NY136-$NA136), 0)</f>
        <v>#DIV/0!</v>
      </c>
      <c r="OC136" s="168" t="e">
        <f t="shared" ca="1" si="574"/>
        <v>#DIV/0!</v>
      </c>
      <c r="OD136" s="168" t="e">
        <f t="shared" ca="1" si="663"/>
        <v>#DIV/0!</v>
      </c>
      <c r="OE136" s="170">
        <f ca="1">Control!$C$73*$I136</f>
        <v>0</v>
      </c>
      <c r="OF136" s="176" t="e">
        <f t="shared" ca="1" si="575"/>
        <v>#DIV/0!</v>
      </c>
      <c r="OG136" s="168" t="e">
        <f t="shared" ca="1" si="576"/>
        <v>#DIV/0!</v>
      </c>
      <c r="OH136" s="168" t="e">
        <f t="shared" ca="1" si="577"/>
        <v>#DIV/0!</v>
      </c>
      <c r="OI136" s="168" t="e">
        <f t="shared" ca="1" si="578"/>
        <v>#DIV/0!</v>
      </c>
      <c r="OJ136" s="168" t="e">
        <f t="shared" ca="1" si="579"/>
        <v>#DIV/0!</v>
      </c>
      <c r="OK136" s="204" t="e">
        <f t="shared" ca="1" si="580"/>
        <v>#DIV/0!</v>
      </c>
      <c r="OL136" s="177">
        <f>Control!$C$127</f>
        <v>0.15</v>
      </c>
      <c r="OM136" s="182" t="e">
        <f t="shared" ca="1" si="581"/>
        <v>#N/A</v>
      </c>
      <c r="ON136" s="177">
        <f>Control!$C$128</f>
        <v>0.35</v>
      </c>
      <c r="OO136" s="182" t="e">
        <f t="shared" ca="1" si="582"/>
        <v>#N/A</v>
      </c>
      <c r="OP136" s="138">
        <f t="shared" ca="1" si="664"/>
        <v>0</v>
      </c>
      <c r="OQ136" s="138" t="e">
        <f t="shared" ref="OQ136:OQ199" ca="1" si="687">$OQ135+$NJ135</f>
        <v>#DIV/0!</v>
      </c>
      <c r="OR136" s="138" t="e">
        <f t="shared" ca="1" si="665"/>
        <v>#DIV/0!</v>
      </c>
      <c r="OS136" s="137" t="e">
        <f t="shared" ref="OS136:OS199" ca="1" si="688">$OS135+$OF135</f>
        <v>#DIV/0!</v>
      </c>
      <c r="OT136" s="139" t="e">
        <f t="shared" ref="OT136:OT199" ca="1" si="689">$OT135+$OB135</f>
        <v>#DIV/0!</v>
      </c>
      <c r="OU136" s="138" t="e">
        <f t="shared" ref="OU136:OU199" ca="1" si="690">$OU135+$NS135</f>
        <v>#N/A</v>
      </c>
      <c r="OV136" s="138" t="e">
        <f t="shared" ref="OV136:OV199" ca="1" si="691">$OV135+$NN135</f>
        <v>#DIV/0!</v>
      </c>
      <c r="OW136" s="138" t="e">
        <f t="shared" ca="1" si="666"/>
        <v>#DIV/0!</v>
      </c>
      <c r="OX136" s="138" t="e">
        <f t="shared" ca="1" si="667"/>
        <v>#DIV/0!</v>
      </c>
      <c r="OY136" s="138" t="e">
        <f t="shared" ca="1" si="668"/>
        <v>#DIV/0!</v>
      </c>
      <c r="OZ136" s="138" t="e">
        <f t="shared" ca="1" si="583"/>
        <v>#DIV/0!</v>
      </c>
      <c r="PA136" s="138" t="e">
        <f t="shared" ca="1" si="584"/>
        <v>#DIV/0!</v>
      </c>
      <c r="PB136" s="55">
        <f>IF(Control!$C$61="T", IF(Control!$C$65="F", IF($AH$6-Control!$C$60&lt;0,0,1), IF(365+$AH$6-Control!$C$60&lt;0,0,1)),0)</f>
        <v>0</v>
      </c>
      <c r="PC136" s="55">
        <f ca="1">IF(Control!$C$65="F", IF($AH$6-$HF136&lt;0,0,1), IF(365+$AH$6-$HF136&lt;0,0,1))</f>
        <v>1</v>
      </c>
      <c r="PD136" s="444">
        <f>Control!$C$118</f>
        <v>1500</v>
      </c>
      <c r="PE136" s="180" t="e">
        <f t="shared" ca="1" si="585"/>
        <v>#N/A</v>
      </c>
      <c r="PF136" s="445">
        <f t="shared" ca="1" si="669"/>
        <v>0.71612369323045078</v>
      </c>
      <c r="PT136" s="186"/>
      <c r="PU136" s="186"/>
      <c r="PV136" s="94"/>
      <c r="PW136" s="94"/>
      <c r="PX136" s="94"/>
      <c r="PY136" s="94"/>
      <c r="PZ136" s="94"/>
      <c r="QA136" s="94"/>
      <c r="QB136" s="94"/>
      <c r="QC136" s="94"/>
      <c r="QD136" s="94"/>
      <c r="QE136" s="94"/>
      <c r="QF136" s="94"/>
      <c r="QG136" s="94"/>
      <c r="QH136" s="94"/>
      <c r="QI136" s="94"/>
      <c r="QJ136" s="94"/>
      <c r="QK136" s="94"/>
      <c r="QL136" s="94"/>
      <c r="QM136" s="94"/>
      <c r="QN136" s="94"/>
      <c r="QO136" s="94"/>
      <c r="QP136" s="94"/>
    </row>
    <row r="137" spans="1:458" s="2" customFormat="1" x14ac:dyDescent="0.2">
      <c r="A137" s="395">
        <v>12</v>
      </c>
      <c r="B137" s="396">
        <v>5</v>
      </c>
      <c r="C137" s="387">
        <f ca="1">Weather_data!$B136</f>
        <v>0</v>
      </c>
      <c r="D137" s="388">
        <f ca="1">Weather_data!$F136</f>
        <v>0</v>
      </c>
      <c r="E137" s="388">
        <f ca="1">Weather_data!$E136</f>
        <v>0</v>
      </c>
      <c r="F137" s="388">
        <f t="shared" ca="1" si="586"/>
        <v>0</v>
      </c>
      <c r="G137" s="388">
        <f ca="1">AVERAGE($D137:$E137)+Control!$B$9</f>
        <v>0</v>
      </c>
      <c r="H137" s="388">
        <f ca="1">Weather_data!$G136</f>
        <v>0</v>
      </c>
      <c r="I137" s="388">
        <f ca="1">Weather_data!$I136</f>
        <v>0</v>
      </c>
      <c r="J137" s="388">
        <f ca="1">Weather_data!$H136</f>
        <v>0</v>
      </c>
      <c r="K137" s="389">
        <f ca="1">Weather_data!$D136</f>
        <v>0</v>
      </c>
      <c r="L137" s="388" t="e">
        <f t="shared" ca="1" si="587"/>
        <v>#N/A</v>
      </c>
      <c r="M137" s="388" t="e">
        <f t="shared" ca="1" si="465"/>
        <v>#N/A</v>
      </c>
      <c r="N137" s="388">
        <f t="shared" ca="1" si="466"/>
        <v>-5.0668580891469228E-7</v>
      </c>
      <c r="O137" s="388">
        <f t="shared" ca="1" si="588"/>
        <v>5.0668580891469226E-6</v>
      </c>
      <c r="P137" s="390">
        <v>3</v>
      </c>
      <c r="Q137" s="388">
        <f ca="1">MAX($G137-Control!$C$107,0)</f>
        <v>0</v>
      </c>
      <c r="R137" s="388">
        <f t="shared" ca="1" si="589"/>
        <v>0</v>
      </c>
      <c r="S137" s="388">
        <f t="shared" ca="1" si="467"/>
        <v>0</v>
      </c>
      <c r="T137" s="388">
        <f t="shared" ca="1" si="468"/>
        <v>0</v>
      </c>
      <c r="U137" s="59">
        <f t="shared" ca="1" si="469"/>
        <v>0</v>
      </c>
      <c r="V137" s="391">
        <f ca="1">MAX(0,MIN(Control!$C$100-Control!$C$99,$G137-Control!$C$99)*Control!$C$63)</f>
        <v>0</v>
      </c>
      <c r="W137" s="388">
        <f t="shared" ca="1" si="590"/>
        <v>0</v>
      </c>
      <c r="X137" s="388">
        <f t="shared" ca="1" si="591"/>
        <v>0.6110000000000001</v>
      </c>
      <c r="Y137" s="388">
        <f t="shared" ca="1" si="470"/>
        <v>0</v>
      </c>
      <c r="Z137" s="388">
        <f t="shared" ca="1" si="592"/>
        <v>0.61058800000000002</v>
      </c>
      <c r="AA137" s="388">
        <f t="shared" ca="1" si="471"/>
        <v>0.6018</v>
      </c>
      <c r="AB137" s="388">
        <f ca="1">101.3*EXP(-0.034*Control!$C$66/($G137+273))</f>
        <v>100.69623283836242</v>
      </c>
      <c r="AC137" s="392">
        <f t="shared" ca="1" si="472"/>
        <v>4.3460251046025113E-2</v>
      </c>
      <c r="AD137" s="392">
        <f t="shared" ca="1" si="473"/>
        <v>4.4450382862832649E-2</v>
      </c>
      <c r="AE137" s="388">
        <f t="shared" ca="1" si="474"/>
        <v>0</v>
      </c>
      <c r="AF137" s="388">
        <f ca="1">MAX(0,$G137-Control!$C$92)</f>
        <v>0</v>
      </c>
      <c r="AG137" s="393">
        <f t="shared" ca="1" si="475"/>
        <v>133</v>
      </c>
      <c r="AH137" s="389">
        <f t="shared" ca="1" si="476"/>
        <v>133</v>
      </c>
      <c r="AI137" s="388">
        <f t="shared" ca="1" si="593"/>
        <v>0.31461021698955938</v>
      </c>
      <c r="AJ137" s="388">
        <f ca="1">IF(Control!$C$60&lt;=0,$HH137,$HI137)</f>
        <v>1</v>
      </c>
      <c r="AK137" s="388">
        <f t="shared" ca="1" si="477"/>
        <v>0.91235293501511805</v>
      </c>
      <c r="AL137" s="388">
        <f t="shared" ca="1" si="478"/>
        <v>-5.4106545632759404E-19</v>
      </c>
      <c r="AM137" s="388">
        <f t="shared" ca="1" si="479"/>
        <v>0.91235293501511805</v>
      </c>
      <c r="AN137" s="388">
        <f t="shared" ca="1" si="480"/>
        <v>0.32007545287066502</v>
      </c>
      <c r="AO137" s="388">
        <f ca="1">-0.10453/COS(Control!$B$8*PI()/180)*COS(AN137)</f>
        <v>-0.16116177628769876</v>
      </c>
      <c r="AP137" s="388">
        <f ca="1">ACOS(AO137-TAN(Control!$B$8*PI()/180)*TAN(AN137))</f>
        <v>2.1962042762980643</v>
      </c>
      <c r="AQ137" s="388">
        <f t="shared" ca="1" si="594"/>
        <v>0</v>
      </c>
      <c r="AR137" s="394">
        <f t="shared" ca="1" si="481"/>
        <v>0</v>
      </c>
      <c r="AS137" s="436">
        <f ca="1">IF(Control!$B$18=2,(IF(OR($AH137=Control!$B$175,$AH137=Control!$B$176,$AH137=Control!$B$177,$AH137=Control!$B$178,$AH137=Control!$B$179,$AH137=Control!$B$180,$AH137=Control!$B$181,$AH137=Control!$B$182,$AH137=Control!$B$183,$AH137=Control!$B$184,$AH137=Control!$B$185),1,0)),0)</f>
        <v>0</v>
      </c>
      <c r="AT137" s="436">
        <f>IF(Control!$B$20=8,IF(AND($AH137&gt;=Control!$B$172,$AH137&lt;=Control!$B$173),1,0),0)</f>
        <v>0</v>
      </c>
      <c r="AU137" s="436">
        <f>IF(Control!$B$20=8,IF($AV136=1,1*$AT137,IF($AT137=1,$AU136+1,$AU136)),0)</f>
        <v>0</v>
      </c>
      <c r="AV137" s="436">
        <f>IF(Control!$B$20=8,IF($AU137&gt;=Control!$B$174,1,0),0)</f>
        <v>0</v>
      </c>
      <c r="AW137" s="436">
        <f ca="1">IF(AND(Control!$B$18=2,Control!$B$171=1), $AV137, $AS137)</f>
        <v>0</v>
      </c>
      <c r="AX137" s="436" t="e">
        <f ca="1">IF(AND(Control!$B$18=1,$EU137&gt;=Control!$B$19),-$AY137,IF(AND(Control!$B$18=2,$AW137=1,$EU137&gt;$DS137),-$AY137, IF(Control!$C$108=0,0, IF(Control!$C$108&lt;&gt;0,1))))</f>
        <v>#N/A</v>
      </c>
      <c r="AY137" s="436" t="e">
        <f t="shared" ca="1" si="595"/>
        <v>#N/A</v>
      </c>
      <c r="AZ137" s="436" t="e">
        <f ca="1">IF(AND(Control!$B$18=1,$EB137&gt;Control!$B$19),$AZ136+1, IF(AND(Control!$B$18=2, $AW137=1, $EB137&gt;$DS137), $AZ136+1,$AZ136))</f>
        <v>#N/A</v>
      </c>
      <c r="BA137" s="587">
        <f>IF(Control!$C$81=0,1,IF($AH137&gt;=Control!$C$82,1,0))</f>
        <v>1</v>
      </c>
      <c r="BB137" s="140" t="e">
        <f ca="1">IF($BA137&gt;$BA136,Control!$C$83,IF($AW137&gt;0,$AW137*Control!$C$84,IF(AND(Control!$B$18=1,EN136&lt;&gt;0),Control!$C$84,0)))</f>
        <v>#N/A</v>
      </c>
      <c r="BC137" s="140" t="e">
        <f t="shared" ca="1" si="596"/>
        <v>#N/A</v>
      </c>
      <c r="BD137" s="140" t="e">
        <f ca="1">BC137*IF(OR($G137&lt;Control!$C$92,$G137&gt;Control!$C$95),0,IF(AND($G137&gt;=Control!$C$92,$G137&lt;=Control!$C$93),$G137-Control!$C$92,IF(AND($G137&gt;Control!$C$93,$G137&lt;=Control!$C$94),Control!$C$93-Control!$C$92,IF(AND($G137&gt;Control!$C$94,$G137&lt;=Control!$C$95),(Control!$C$93-Control!$C$92)*(Control!$C$94-$G137)/(Control!$C$95-Control!$C$94)))))</f>
        <v>#N/A</v>
      </c>
      <c r="BE137" s="140" t="e">
        <f t="shared" ca="1" si="597"/>
        <v>#N/A</v>
      </c>
      <c r="BF137" s="140" t="e">
        <f ca="1">IF($BE137&lt;=Control!$C$86,$BE137,Control!$C$86-$BE137)</f>
        <v>#N/A</v>
      </c>
      <c r="BG137" s="140" t="e">
        <f ca="1">IF(AND($AW137=1,Control!$C$84&lt;9),1,IF($BE137&gt;=Control!$C$86,0,$BC137))</f>
        <v>#N/A</v>
      </c>
      <c r="BH137" s="404" t="e">
        <f ca="1">IF($BG137=0,0,IF($BE137&lt;=Control!$C$86,$BC137*9*($BF137/Control!$C$86),0))</f>
        <v>#N/A</v>
      </c>
      <c r="BI137" s="140" t="e">
        <f ca="1">IF($BG137=1,0,IF($BE137&gt;=Control!$C$86,1,IF(AND($BB137&lt;21,$BB137&gt;=9),1,$BM136)))</f>
        <v>#N/A</v>
      </c>
      <c r="BJ137" s="140" t="e">
        <f ca="1">IF($BF137&lt;0,-$BF137,$BI137*IF(OR($G137&lt;Control!$C$92,$G137&gt;Control!$C$95),0,IF(AND($G137&gt;=Control!$C$92,$G137&lt;=Control!$C$93),$G137-Control!$C$92,IF(AND($G137&gt;Control!$C$93,$G137&lt;=Control!$C$94),Control!$C$93-Control!$C$92,IF(AND($G137&gt;Control!$C$94,$G137&lt;=Control!$C$95),(Control!$C$93-Control!$C$92)*(Control!$C$94-$G137)/(Control!$C$95-Control!$C$94))))))</f>
        <v>#N/A</v>
      </c>
      <c r="BK137" s="140" t="e">
        <f t="shared" ca="1" si="598"/>
        <v>#N/A</v>
      </c>
      <c r="BL137" s="140" t="e">
        <f ca="1">IF($BK137&lt;=Control!$C$87,$BK137,Control!$C$87-$BK137)</f>
        <v>#N/A</v>
      </c>
      <c r="BM137" s="140" t="e">
        <f ca="1">IF(AND($BB137&gt;=9,$BB137&lt;21),1,IF($BK137&gt;=Control!$C$87,0,$BI137))</f>
        <v>#N/A</v>
      </c>
      <c r="BN137" s="404" t="e">
        <f ca="1">IF($BM137=0,0,IF($BK137&lt;=Control!$C$87,$BI137*(9+(21-9)*($BL137/Control!$C$87)),0))</f>
        <v>#N/A</v>
      </c>
      <c r="BO137" s="140" t="e">
        <f ca="1">IF($BM137=1,0,IF($BK137&gt;=Control!$C$87,1,IF(AND($BB137&lt;30,$BB137&gt;=21),1,$BS136)))</f>
        <v>#N/A</v>
      </c>
      <c r="BP137" s="140" t="e">
        <f ca="1">IF($BL137&lt;0,-$BL137,$BO137*IF(OR($G137&lt;Control!$C$92,$G137&gt;Control!$C$95),0,IF(AND($G137&gt;=Control!$C$92,$G137&lt;=Control!$C$93),$G137-Control!$C$92,IF(AND($G137&gt;Control!$C$93,$G137&lt;=Control!$C$94),Control!$C$93-Control!$C$92,IF(AND($G137&gt;Control!$C$94,$G137&lt;=Control!$C$95),(Control!$C$93-Control!$C$92)*(Control!$C$94-$G137)/(Control!$C$95-Control!$C$94))))))</f>
        <v>#N/A</v>
      </c>
      <c r="BQ137" s="140" t="e">
        <f t="shared" ca="1" si="482"/>
        <v>#N/A</v>
      </c>
      <c r="BR137" s="140" t="e">
        <f ca="1">IF($BQ137&lt;=Control!$C$88,$BQ137,Control!$C$88-$BQ137)</f>
        <v>#N/A</v>
      </c>
      <c r="BS137" s="140" t="e">
        <f ca="1">IF(AND($BB137&gt;=21,$BB137&lt;30),1,IF($BQ137&gt;=Control!$C$88,0,$BO137))</f>
        <v>#N/A</v>
      </c>
      <c r="BT137" s="404" t="e">
        <f ca="1">IF($BS137=0,0,IF($BQ137&lt;=Control!$C$88,$BO137*(21+(30-21)*(BR137/Control!$C$88)),0))</f>
        <v>#N/A</v>
      </c>
      <c r="BU137" s="140" t="e">
        <f ca="1">IF(BG137+BM137+BS137=1,0,IF(OR(AND($BB137&lt;60,$BB137&gt;=30),$BQ137&gt;=Control!$C$88),1*$BA137,$BY136))</f>
        <v>#N/A</v>
      </c>
      <c r="BV137" s="140" t="e">
        <f ca="1">IF($BR137&lt;0,-$BR137,$BU137*IF(OR($G137&lt;Control!$C$92,$G137&gt;Control!$C$95),0,IF(AND($G137&gt;=Control!$C$92,$G137&lt;=Control!$C$93),$G137-Control!$C$92,IF(AND($G137&gt;Control!$C$93,$G137&lt;=Control!$C$94),Control!$C$93-Control!$C$92,IF(AND($G137&gt;Control!$C$94,$G137&lt;=Control!$C$95),(Control!$C$93-Control!$C$92)*(Control!$C$94-$G137)/(Control!$C$95-Control!$C$94))))))</f>
        <v>#N/A</v>
      </c>
      <c r="BW137" s="140" t="e">
        <f t="shared" ca="1" si="483"/>
        <v>#N/A</v>
      </c>
      <c r="BX137" s="140" t="e">
        <f ca="1">IF($BW137&lt;=Control!$C$89,$BW137,Control!$C$89-$BW137)</f>
        <v>#N/A</v>
      </c>
      <c r="BY137" s="140" t="e">
        <f ca="1">IF(AND($AJ137&gt;=30,$AJ137&lt;60),1,IF($BW137&gt;=Control!$C$89,0,$BU137))</f>
        <v>#N/A</v>
      </c>
      <c r="BZ137" s="404" t="e">
        <f ca="1">IF($BY137=0,0,IF($BW137&lt;=Control!$C$89,$BU137*(30+(60-30)*(BX137/Control!$C$89)),0))</f>
        <v>#N/A</v>
      </c>
      <c r="CA137" s="140" t="e">
        <f ca="1">IF($BG137+$BM137+$BS137+$BY137=1,0,IF(OR(AND($BB137&lt;65,$BB137&gt;=60),$BW137&gt;=Control!$C$89),1*$BA137,$CE136))</f>
        <v>#N/A</v>
      </c>
      <c r="CB137" s="140" t="e">
        <f ca="1">IF($BX137&lt;0,-$BX137,$CA137*IF(OR($G137&lt;Control!$C$92,$G137&gt;Control!$C$95),0,IF(AND($G137&gt;=Control!$C$92,$G137&lt;=Control!$C$93),$G137-Control!$C$92,IF(AND($G137&gt;Control!$C$93,$G137&lt;=Control!$C$94),Control!$C$93-Control!$C$92,IF(AND($G137&gt;Control!$C$94,$G137&lt;=Control!$C$95),(Control!$C$93-Control!$C$92)*(Control!$C$94-$G137)/(Control!$C$95-Control!$C$94))))))</f>
        <v>#N/A</v>
      </c>
      <c r="CC137" s="140" t="e">
        <f t="shared" ca="1" si="599"/>
        <v>#N/A</v>
      </c>
      <c r="CD137" s="140" t="e">
        <f ca="1">IF($CC137&lt;=Control!$C$90,$CC137,Control!$C$90-$CC137)</f>
        <v>#N/A</v>
      </c>
      <c r="CE137" s="140" t="e">
        <f ca="1">IF(AND($BB137&gt;=60,$BB137&lt;65),1,IF($CC137&gt;=Control!$C$90,0,$CA137))</f>
        <v>#N/A</v>
      </c>
      <c r="CF137" s="404" t="e">
        <f ca="1">IF($CE137=0,0,IF($CC137&lt;=Control!$C$90,$CA137*(60+(65-60)*(CD137/Control!$C$90)),0))</f>
        <v>#N/A</v>
      </c>
      <c r="CG137" s="140" t="e">
        <f ca="1">IF($BG137+$BM137+$BS137+$BY137+$CE137=1,0,IF(OR(AND($BB137&lt;90,$BB137&gt;=65),$CC137&gt;=Control!$C$90),$BA137,$CK136))</f>
        <v>#N/A</v>
      </c>
      <c r="CH137" s="140" t="e">
        <f ca="1">IF($CD137&lt;0,-$CD137,$CG137*IF(OR($G137&lt;Control!$C$92,$G137&gt;Control!$C$95),0,IF(AND($G137&gt;=Control!$C$92,$G137&lt;=Control!$C$93),$G137-Control!$C$92,IF(AND($G137&gt;Control!$C$93,$G137&lt;=Control!$C$94),Control!$C$93-Control!$C$92,IF(AND($G137&gt;Control!$C$94,$G137&lt;=Control!$C$95),(Control!$C$93-Control!$C$92)*(Control!$C$94-$G137)/(Control!$C$95-Control!$C$94))))))</f>
        <v>#N/A</v>
      </c>
      <c r="CI137" s="140" t="e">
        <f t="shared" ca="1" si="600"/>
        <v>#N/A</v>
      </c>
      <c r="CJ137" s="140" t="e">
        <f ca="1">IF($CI137&lt;=Control!$C$91,$CI137,Control!$C$91-$CI137)</f>
        <v>#N/A</v>
      </c>
      <c r="CK137" s="140" t="e">
        <f ca="1">IF(AND($BB137&gt;=65,$BB137&lt;90),1,IF($CI137&gt;=Control!$C$91,0,$CG137))</f>
        <v>#N/A</v>
      </c>
      <c r="CL137" s="404" t="e">
        <f ca="1">IF($CK137=0,0,IF($CI137&lt;=Control!$C$91,$CG137*(65+(90-65)*($CJ137/Control!$C$91)),0))</f>
        <v>#N/A</v>
      </c>
      <c r="CM137" s="140" t="e">
        <f ca="1">IF($BG137+$BM137+$BS137+$BY137+$CE137+$CK137=1,0,IF(OR($BB137&gt;=90,$CI137&gt;=Control!$C$91),$BA137,$CM136))</f>
        <v>#N/A</v>
      </c>
      <c r="CN137" s="140" t="e">
        <f t="shared" ca="1" si="601"/>
        <v>#N/A</v>
      </c>
      <c r="CO137" s="140" t="e">
        <f t="shared" ca="1" si="602"/>
        <v>#N/A</v>
      </c>
      <c r="CP137" s="140" t="e">
        <f t="shared" ca="1" si="603"/>
        <v>#N/A</v>
      </c>
      <c r="CQ137" s="141" t="e">
        <f ca="1">VLOOKUP($CP137,Control!$B$86:$G$91,6)</f>
        <v>#N/A</v>
      </c>
      <c r="CR137" s="141" t="e">
        <f ca="1">(1-$CQ137)*VLOOKUP($CP137,Control!$B$86:$D$91,3)</f>
        <v>#N/A</v>
      </c>
      <c r="CS137" s="141" t="e">
        <f ca="1">(1-$CQ137)*VLOOKUP($CP137,Control!$B$86:$E$91,4)</f>
        <v>#N/A</v>
      </c>
      <c r="CT137" s="141" t="e">
        <f ca="1">(1-$CQ137)*VLOOKUP($CP137,Control!$B$86:$F$91,5)</f>
        <v>#N/A</v>
      </c>
      <c r="CU137" s="141">
        <f t="shared" ca="1" si="604"/>
        <v>0</v>
      </c>
      <c r="CV137" s="583">
        <f t="shared" ca="1" si="605"/>
        <v>0</v>
      </c>
      <c r="CW137" s="142">
        <f t="shared" ca="1" si="606"/>
        <v>133</v>
      </c>
      <c r="CX137" s="612" t="e">
        <f ca="1">IF(Control!$C$114=1,(MIN(Control!$C$120*(IF($NT137-0.01&lt;0,0,1)),Control!$C$119-$CY137)))</f>
        <v>#DIV/0!</v>
      </c>
      <c r="CY137" s="143" t="e">
        <f t="shared" ca="1" si="607"/>
        <v>#N/A</v>
      </c>
      <c r="CZ137" s="144">
        <f t="shared" ca="1" si="484"/>
        <v>0</v>
      </c>
      <c r="DA137" s="144">
        <f t="shared" ca="1" si="485"/>
        <v>0</v>
      </c>
      <c r="DB137" s="144" t="e">
        <f t="shared" ca="1" si="486"/>
        <v>#N/A</v>
      </c>
      <c r="DC137" s="144" t="e">
        <f t="shared" ca="1" si="487"/>
        <v>#N/A</v>
      </c>
      <c r="DD137" s="144" t="e">
        <f t="shared" ref="DD137:DD200" ca="1" si="692">IF($DE136&lt;14000,(($DC136-$DX136)*$DA136*$DE136),(-$DX136*$DA136*$DE136))</f>
        <v>#N/A</v>
      </c>
      <c r="DE137" s="143" t="e">
        <f t="shared" ca="1" si="608"/>
        <v>#N/A</v>
      </c>
      <c r="DF137" s="145" t="e">
        <f ca="1">$DR137*EXP(-Control!$C$158*(1-$KH137))</f>
        <v>#N/A</v>
      </c>
      <c r="DG137" s="146" t="e">
        <f ca="1">IF(Control!$C$114=1, $DF137*$EY137, 0)</f>
        <v>#N/A</v>
      </c>
      <c r="DH137" s="147" t="e">
        <f t="shared" ca="1" si="609"/>
        <v>#N/A</v>
      </c>
      <c r="DI137" s="144" t="e">
        <f t="shared" ca="1" si="670"/>
        <v>#N/A</v>
      </c>
      <c r="DJ137" s="147" t="e">
        <f ca="1">$EF137*Control!$C$109</f>
        <v>#N/A</v>
      </c>
      <c r="DK137" s="144" t="e">
        <f t="shared" ca="1" si="610"/>
        <v>#N/A</v>
      </c>
      <c r="DL137" s="144" t="e">
        <f t="shared" ca="1" si="488"/>
        <v>#N/A</v>
      </c>
      <c r="DM137" s="144" t="e">
        <f ca="1">IF(Control!$C$114=1, (1-EXP(-Control!$C$96*$DK137))*$AR137, 0)</f>
        <v>#N/A</v>
      </c>
      <c r="DN137" s="144">
        <f t="shared" ca="1" si="611"/>
        <v>0</v>
      </c>
      <c r="DO137" s="148">
        <f>Control!$C$97</f>
        <v>4</v>
      </c>
      <c r="DP137" s="145" t="e">
        <f t="shared" ca="1" si="612"/>
        <v>#N/A</v>
      </c>
      <c r="DQ137" s="145" t="e">
        <f ca="1">IF(AND($CP137&gt;=0,$CP137&lt;=90),Control!$C$111,Control!$C$111)</f>
        <v>#N/A</v>
      </c>
      <c r="DR137" s="145" t="e">
        <f t="shared" ca="1" si="489"/>
        <v>#N/A</v>
      </c>
      <c r="DS137" s="143" t="e">
        <f ca="1">Control!$B$22/$DR137</f>
        <v>#N/A</v>
      </c>
      <c r="DT137" s="149" t="e">
        <f ca="1">IF(AND(Control!$C$114=1,$KH137&lt;1),$IM137*$DF137, 0)</f>
        <v>#N/A</v>
      </c>
      <c r="DU137" s="144" t="e">
        <f t="shared" ca="1" si="613"/>
        <v>#N/A</v>
      </c>
      <c r="DV137" s="144">
        <f ca="1">IF($G137-Control!$C$107&lt;=0, 0, 0.83*LN(MAX($G137, 3))-0.8924)</f>
        <v>0</v>
      </c>
      <c r="DW137" s="144" t="e">
        <f t="shared" ca="1" si="490"/>
        <v>#N/A</v>
      </c>
      <c r="DX137" s="150" t="e">
        <f ca="1">MAX(0.01*(1+$CU137/Control!$C$102),0.05*($DK137-Control!$C$97)/Control!$C$97)</f>
        <v>#N/A</v>
      </c>
      <c r="DY137" s="151" t="e">
        <f ca="1">IF(Control!$C$114=1, $DI137*$FS137, 0)</f>
        <v>#N/A</v>
      </c>
      <c r="DZ137" s="196" t="e">
        <f t="shared" ca="1" si="614"/>
        <v>#N/A</v>
      </c>
      <c r="EA137" s="152">
        <f t="shared" ca="1" si="615"/>
        <v>133</v>
      </c>
      <c r="EB137" s="153" t="e">
        <f t="shared" ca="1" si="616"/>
        <v>#N/A</v>
      </c>
      <c r="EC137" s="153" t="e">
        <f t="shared" ca="1" si="617"/>
        <v>#N/A</v>
      </c>
      <c r="ED137" s="154" t="e">
        <f ca="1">IF(Control!$C$114=1, $HM137*$FY137-$FD137, 0)</f>
        <v>#DIV/0!</v>
      </c>
      <c r="EE137" s="155" t="e">
        <f ca="1">IF(Control!$C$114=1, $HM137*$FZ137-$FF137, 0)</f>
        <v>#DIV/0!</v>
      </c>
      <c r="EF137" s="153" t="e">
        <f t="shared" ca="1" si="671"/>
        <v>#N/A</v>
      </c>
      <c r="EG137" s="155" t="e">
        <f ca="1">IF(Control!$C$114=1, $GX137*$FW137-$FI137, 0)</f>
        <v>#DIV/0!</v>
      </c>
      <c r="EH137" s="153" t="e">
        <f t="shared" ca="1" si="618"/>
        <v>#N/A</v>
      </c>
      <c r="EI137" s="156" t="e">
        <f t="shared" ca="1" si="619"/>
        <v>#N/A</v>
      </c>
      <c r="EJ137" s="155" t="e">
        <f ca="1">IF(Control!$C$114=1, $HM137*$GB137, 0)</f>
        <v>#DIV/0!</v>
      </c>
      <c r="EK137" s="153" t="e">
        <f t="shared" ca="1" si="672"/>
        <v>#N/A</v>
      </c>
      <c r="EL137" s="153" t="e">
        <f t="shared" ca="1" si="491"/>
        <v>#N/A</v>
      </c>
      <c r="EM137" s="153" t="e">
        <f t="shared" ca="1" si="492"/>
        <v>#N/A</v>
      </c>
      <c r="EN137" s="153" t="e">
        <f ca="1">IF(Control!$C$108=1,IF(AND(Control!$B$18=1,$EB137&gt;=Control!$B$19),$EB137-$DS137,IF(AND(Control!$B$18=2,$AW137=1,$EB137&gt;$DS137),$EB137-$DS137,0)))</f>
        <v>#N/A</v>
      </c>
      <c r="EO137" s="153" t="e">
        <f ca="1">IF(Control!$C$108=1,IF(AND(Control!$B$18=1,$EB137&gt;=Control!$B$19),$EF137,IF(AND(Control!$B$18=2,$AW137=1),$EF137,0)))</f>
        <v>#N/A</v>
      </c>
      <c r="EP137" s="153" t="e">
        <f ca="1">IF(Control!$C$108=1,IF(AND(Control!$B$18=1,$EB137&gt;=Control!$B$19),$EK137,IF(AND(Control!$B$18=2,$AW137=1),$EK137,0)))</f>
        <v>#N/A</v>
      </c>
      <c r="EQ137" s="153" t="e">
        <f t="shared" ca="1" si="620"/>
        <v>#N/A</v>
      </c>
      <c r="ER137" s="153" t="e">
        <f t="shared" ca="1" si="621"/>
        <v>#N/A</v>
      </c>
      <c r="ES137" s="153" t="e">
        <f t="shared" ca="1" si="673"/>
        <v>#N/A</v>
      </c>
      <c r="ET137" s="153" t="e">
        <f t="shared" ca="1" si="674"/>
        <v>#N/A</v>
      </c>
      <c r="EU137" s="153" t="e">
        <f t="shared" ca="1" si="622"/>
        <v>#N/A</v>
      </c>
      <c r="EV137" s="153" t="e">
        <f t="shared" ca="1" si="493"/>
        <v>#N/A</v>
      </c>
      <c r="EW137" s="153" t="e">
        <f t="shared" ca="1" si="494"/>
        <v>#N/A</v>
      </c>
      <c r="EX137" s="153" t="e">
        <f t="shared" ca="1" si="495"/>
        <v>#N/A</v>
      </c>
      <c r="EY137" s="157" t="e">
        <f t="shared" ca="1" si="496"/>
        <v>#DIV/0!</v>
      </c>
      <c r="EZ137" s="154" t="e">
        <f t="shared" ca="1" si="497"/>
        <v>#DIV/0!</v>
      </c>
      <c r="FA137" s="153" t="e">
        <f t="shared" ca="1" si="623"/>
        <v>#N/A</v>
      </c>
      <c r="FB137" s="153" t="e">
        <f t="shared" ca="1" si="498"/>
        <v>#N/A</v>
      </c>
      <c r="FC137" s="193" t="e">
        <f t="shared" ca="1" si="499"/>
        <v>#N/A</v>
      </c>
      <c r="FD137" s="158" t="e">
        <f t="shared" ca="1" si="624"/>
        <v>#N/A</v>
      </c>
      <c r="FE137" s="158" t="e">
        <f t="shared" ca="1" si="625"/>
        <v>#N/A</v>
      </c>
      <c r="FF137" s="159" t="e">
        <f t="shared" ca="1" si="500"/>
        <v>#N/A</v>
      </c>
      <c r="FG137" s="160" t="e">
        <f t="shared" ca="1" si="626"/>
        <v>#N/A</v>
      </c>
      <c r="FH137" s="158" t="e">
        <f t="shared" ca="1" si="627"/>
        <v>#N/A</v>
      </c>
      <c r="FI137" s="159" t="e">
        <f t="shared" ca="1" si="501"/>
        <v>#N/A</v>
      </c>
      <c r="FJ137" s="160" t="e">
        <f t="shared" ca="1" si="628"/>
        <v>#N/A</v>
      </c>
      <c r="FK137" s="160" t="e">
        <f t="shared" ca="1" si="502"/>
        <v>#N/A</v>
      </c>
      <c r="FL137" s="160" t="e">
        <f t="shared" ca="1" si="675"/>
        <v>#N/A</v>
      </c>
      <c r="FM137" s="160" t="e">
        <f t="shared" ca="1" si="503"/>
        <v>#N/A</v>
      </c>
      <c r="FN137" s="158">
        <f t="shared" ca="1" si="629"/>
        <v>0.01</v>
      </c>
      <c r="FO137" s="160">
        <f>Control!$C$101</f>
        <v>50</v>
      </c>
      <c r="FP137" s="150" t="e">
        <f t="shared" ca="1" si="504"/>
        <v>#N/A</v>
      </c>
      <c r="FQ137" s="150" t="e">
        <f ca="1">MAX(0,(Control!$C$112*(($DK137-Control!$C$97)/Control!$C$97)))</f>
        <v>#N/A</v>
      </c>
      <c r="FR137" s="150" t="e">
        <f ca="1">(1-$NT137)*Control!$C$113</f>
        <v>#DIV/0!</v>
      </c>
      <c r="FS137" s="198" t="e">
        <f t="shared" ca="1" si="505"/>
        <v>#N/A</v>
      </c>
      <c r="FT137" s="161">
        <f t="shared" ca="1" si="630"/>
        <v>133</v>
      </c>
      <c r="FU137" s="162" t="e">
        <f ca="1">IF(Control!$B$34=1,VLOOKUP($CP137,Control!$B$86:$G$91,6),Control!$B$35)</f>
        <v>#N/A</v>
      </c>
      <c r="FV137" s="162" t="e">
        <f t="shared" ca="1" si="506"/>
        <v>#DIV/0!</v>
      </c>
      <c r="FW137" s="162" t="e">
        <f ca="1">IF(Control!$B$31=1,$FU137*$FV137,  $FU137)</f>
        <v>#N/A</v>
      </c>
      <c r="FX137" s="162" t="e">
        <f ca="1">IF(Control!$B$34=1,VLOOKUP($CP137,Control!$B$86:$G$91,3),Control!$B$36)</f>
        <v>#N/A</v>
      </c>
      <c r="FY137" s="162" t="e">
        <f t="shared" ca="1" si="507"/>
        <v>#N/A</v>
      </c>
      <c r="FZ137" s="162" t="e">
        <f ca="1">IF(Control!$B$34=1,VLOOKUP($CP137,Control!$B$86:$G$91,4),Control!$B$37)</f>
        <v>#N/A</v>
      </c>
      <c r="GA137" s="162" t="e">
        <f t="shared" ca="1" si="508"/>
        <v>#N/A</v>
      </c>
      <c r="GB137" s="162" t="e">
        <f ca="1">IF(Control!$B$34=1,VLOOKUP($CP137,Control!$B$86:$G$91,5),Control!$B$38)</f>
        <v>#N/A</v>
      </c>
      <c r="GC137" s="162" t="e">
        <f t="shared" ca="1" si="631"/>
        <v>#N/A</v>
      </c>
      <c r="GD137" s="162">
        <f t="shared" ca="1" si="509"/>
        <v>1</v>
      </c>
      <c r="GE137" s="162">
        <f t="shared" ca="1" si="510"/>
        <v>1</v>
      </c>
      <c r="GF137" s="162">
        <f ca="1">IF(AND(Control!$C$104=1, Control!$C$62="F"),$GE137,1)</f>
        <v>1</v>
      </c>
      <c r="GG137" s="162" t="e">
        <f ca="1">IF(Control!$B$16=40,0,IF(AND(Control!$B$16&gt;40,Control!$B$16&lt;=360),(Control!$B$16-40)*((1-0)/(360-40)),IF(AND(Control!$B$16&gt;360,Control!$B$16&lt;=720),(1+(Control!$B$16-360)*((1.25-1)/(720-360))),IF(AND(Control!$B$16&gt;720,Control!$B$16&lt;=1000),(1.25+(Control!$B$16-720)*((1.35-1.25)/(1000-720))),IF(AND(Control!$B$16&gt;1000,Control!$B$16&lt;=2000),(1.35+(Control!$B$16-1000)*0))))))</f>
        <v>#N/A</v>
      </c>
      <c r="GH137" s="162" t="e">
        <f t="shared" ca="1" si="511"/>
        <v>#N/A</v>
      </c>
      <c r="GI137" s="162">
        <f t="shared" ca="1" si="632"/>
        <v>0</v>
      </c>
      <c r="GJ137" s="162">
        <f t="shared" ca="1" si="512"/>
        <v>0</v>
      </c>
      <c r="GK137" s="162">
        <f t="shared" ca="1" si="633"/>
        <v>1</v>
      </c>
      <c r="GL137" s="162">
        <f t="shared" ca="1" si="513"/>
        <v>1</v>
      </c>
      <c r="GM137" s="162" t="e">
        <f ca="1">MAX(0,MIN(1,1-Control!$C$156*(1.0001-$KH137)^2))</f>
        <v>#N/A</v>
      </c>
      <c r="GN137" s="162" t="e">
        <f ca="1">IF(Control!$B$26=1,$KU137,$KX137)</f>
        <v>#N/A</v>
      </c>
      <c r="GO137" s="162" t="e">
        <f ca="1">IF($CP137&lt;=60,Control!$C$105,IF($CP137&gt;=90,Control!$C$106,Control!$C$105+($CP137-60)*((Control!$C$106-Control!$C$105)/(90-60))))</f>
        <v>#N/A</v>
      </c>
      <c r="GP137" s="162" t="e">
        <f t="shared" ca="1" si="514"/>
        <v>#N/A</v>
      </c>
      <c r="GQ137" s="162" t="e">
        <f t="shared" ca="1" si="634"/>
        <v>#N/A</v>
      </c>
      <c r="GR137" s="163" t="e">
        <f t="shared" ca="1" si="515"/>
        <v>#DIV/0!</v>
      </c>
      <c r="GS137" s="162" t="e">
        <f t="shared" ca="1" si="516"/>
        <v>#DIV/0!</v>
      </c>
      <c r="GT137" s="164" t="e">
        <f t="shared" ca="1" si="635"/>
        <v>#N/A</v>
      </c>
      <c r="GU137" s="162" t="e">
        <f t="shared" ca="1" si="636"/>
        <v>#N/A</v>
      </c>
      <c r="GV137" s="162" t="e">
        <f t="shared" ca="1" si="517"/>
        <v>#N/A</v>
      </c>
      <c r="GW137" s="162" t="e">
        <f t="shared" ca="1" si="518"/>
        <v>#DIV/0!</v>
      </c>
      <c r="GX137" s="162" t="e">
        <f t="shared" ca="1" si="637"/>
        <v>#DIV/0!</v>
      </c>
      <c r="GY137" s="162" t="e">
        <f t="shared" ca="1" si="638"/>
        <v>#DIV/0!</v>
      </c>
      <c r="GZ137" s="165" t="e">
        <f t="shared" ca="1" si="519"/>
        <v>#N/A</v>
      </c>
      <c r="HA137" s="162" t="e">
        <f ca="1">IF(Control!$C$114=1, $DI137*$FS137, 0)</f>
        <v>#N/A</v>
      </c>
      <c r="HB137" s="162" t="e">
        <f ca="1">$FA137/Control!$C$64</f>
        <v>#N/A</v>
      </c>
      <c r="HC137" s="162" t="e">
        <f t="shared" ca="1" si="520"/>
        <v>#DIV/0!</v>
      </c>
      <c r="HD137" s="162">
        <f ca="1">-ASIN(SIN(23.45*Control!$C$139)*COS(2*Control!$C$138*($AH137+10)/365))</f>
        <v>0.31461021698955938</v>
      </c>
      <c r="HE137" s="165">
        <f t="shared" ca="1" si="639"/>
        <v>0</v>
      </c>
      <c r="HF137" s="166">
        <f ca="1">IF(AND(Control!$C$61="T",$HE137&gt;=Control!$C$103,Control!$C$114=0),$AH137,Control!$C$59)</f>
        <v>1</v>
      </c>
      <c r="HG137" s="166">
        <f ca="1">IF(AND(Control!$C$61="T",$HE137&gt;=Control!$C$103,Control!$C$114=0),$HF137,Control!$C$59)</f>
        <v>1</v>
      </c>
      <c r="HH137" s="165">
        <f ca="1">IF(AND(OR(Control!$C$60&lt;=0, $AH137= Control!$C$59, Control!$C$60 &gt;0, $AH137 = Control!$C$60)), Control!$C$59, IF(Control!$C$60&gt;0, 0))</f>
        <v>1</v>
      </c>
      <c r="HI137" s="165">
        <f ca="1">IF(AND(OR(Control!$C$60&lt;=0, $AH137= Control!$C$59, Control!$C$60 &gt;0, $AH137 = Control!$C$60)), Control!$C$60, IF(Control!$C$60&lt;=0, 0))</f>
        <v>0</v>
      </c>
      <c r="HJ137" s="166">
        <f ca="1">IF(AND(Control!$C$62="F",$CV137&gt;=Control!$C$102),$AH137,0)</f>
        <v>0</v>
      </c>
      <c r="HK137" s="165" t="e">
        <f t="shared" ca="1" si="676"/>
        <v>#N/A</v>
      </c>
      <c r="HL137" s="166">
        <f ca="1">IF(AND(Control!$C$61="T",$HE137&gt;=Control!$C$103,Control!$C$114=0),$HF137,0)</f>
        <v>0</v>
      </c>
      <c r="HM137" s="201" t="e">
        <f t="shared" ca="1" si="521"/>
        <v>#DIV/0!</v>
      </c>
      <c r="HN137" s="215">
        <f t="shared" ca="1" si="640"/>
        <v>133</v>
      </c>
      <c r="HO137" s="216" t="e">
        <f ca="1">IF(AND($CP137&gt;=0, $CP137&lt;=90), Control!$C$152, Control!$C$152)</f>
        <v>#N/A</v>
      </c>
      <c r="HP137" s="216" t="e">
        <f t="shared" ca="1" si="522"/>
        <v>#N/A</v>
      </c>
      <c r="HQ137" s="217" t="e">
        <f ca="1">IF(OR(Control!$B$26=1,Control!$B$26=2),$KV137,$KS137)</f>
        <v>#DIV/0!</v>
      </c>
      <c r="HR137" s="218" t="e">
        <f t="shared" ca="1" si="677"/>
        <v>#DIV/0!</v>
      </c>
      <c r="HS137" s="216" t="e">
        <f ca="1">Control!$C$154*$HP137</f>
        <v>#N/A</v>
      </c>
      <c r="HT137" s="216" t="e">
        <f ca="1">Control!$C$155*$HP137</f>
        <v>#N/A</v>
      </c>
      <c r="HU137" s="217" t="e">
        <f ca="1">Control!$C$161*$FI137</f>
        <v>#N/A</v>
      </c>
      <c r="HV137" s="218" t="e">
        <f t="shared" ca="1" si="641"/>
        <v>#N/A</v>
      </c>
      <c r="HW137" s="218" t="e">
        <f ca="1">Control!$C$160*$FF137+$IP137*$EO137</f>
        <v>#N/A</v>
      </c>
      <c r="HX137" s="218" t="e">
        <f t="shared" ca="1" si="678"/>
        <v>#N/A</v>
      </c>
      <c r="HY137" s="219" t="e">
        <f ca="1">IF(Control!$C$114=1, $EB137*$FS137, 0)</f>
        <v>#N/A</v>
      </c>
      <c r="HZ137" s="91" t="e">
        <f t="shared" ca="1" si="523"/>
        <v>#N/A</v>
      </c>
      <c r="IA137" s="220" t="e">
        <f ca="1">Control!$C$153*$HO137</f>
        <v>#N/A</v>
      </c>
      <c r="IB137" s="218" t="e">
        <f t="shared" ca="1" si="524"/>
        <v>#N/A</v>
      </c>
      <c r="IC137" s="220" t="e">
        <f ca="1">Control!$C$153*$HT137</f>
        <v>#N/A</v>
      </c>
      <c r="ID137" s="218" t="e">
        <f t="shared" ca="1" si="525"/>
        <v>#N/A</v>
      </c>
      <c r="IE137" s="221" t="e">
        <f ca="1">($EB137*Control!$C$159+$EF137*Control!$C$160)/(IF($GZ137&lt;&gt;0,$GZ137,1))</f>
        <v>#N/A</v>
      </c>
      <c r="IF137" s="216" t="e">
        <f t="shared" ca="1" si="526"/>
        <v>#N/A</v>
      </c>
      <c r="IG137" s="91">
        <f ca="1">IF(OR(Control!$B$198=$AH137,Control!$B$199=$AH137, Control!$B$200=$AH137, Control!$B$201=$AH137, Control!$B$202=$AH137, Control!$B$203=$AH137, Control!$B$204=$AH137, Control!$B$205=$AH137, Control!$B$206=$AH137, Control!$B$207=$AH137), 1, 0)</f>
        <v>0</v>
      </c>
      <c r="IH137" s="91">
        <f ca="1">IF($IG137=0,0, VLOOKUP($AH137,Control!$B$198:$C$207,2))</f>
        <v>0</v>
      </c>
      <c r="II137" s="222">
        <f t="shared" ca="1" si="642"/>
        <v>0</v>
      </c>
      <c r="IJ137" s="91">
        <f>Control!$C$121</f>
        <v>0.7</v>
      </c>
      <c r="IK137" s="218">
        <f t="shared" ca="1" si="527"/>
        <v>0</v>
      </c>
      <c r="IL137" s="217" t="e">
        <f t="shared" ca="1" si="679"/>
        <v>#N/A</v>
      </c>
      <c r="IM137" s="223" t="e">
        <f ca="1">IF(AND(Control!$C$114=1,$KH137&lt;1),$EB137*Control!$C$148*(1-$KH137), 0)</f>
        <v>#N/A</v>
      </c>
      <c r="IN137" s="217" t="e">
        <f t="shared" ca="1" si="528"/>
        <v>#DIV/0!</v>
      </c>
      <c r="IO137" s="91" t="e">
        <f ca="1">MAX(0,$IL137-$EF137*Control!$C$160)</f>
        <v>#N/A</v>
      </c>
      <c r="IP137" s="220" t="e">
        <f t="shared" ca="1" si="529"/>
        <v>#N/A</v>
      </c>
      <c r="IQ137" s="217" t="e">
        <f t="shared" ca="1" si="643"/>
        <v>#N/A</v>
      </c>
      <c r="IR137" s="218" t="e">
        <f t="shared" ca="1" si="530"/>
        <v>#N/A</v>
      </c>
      <c r="IS137" s="217" t="e">
        <f ca="1">Control!$C$159*MAX(0,$FD137-$EN137)</f>
        <v>#N/A</v>
      </c>
      <c r="IT137" s="217" t="e">
        <f t="shared" ca="1" si="680"/>
        <v>#N/A</v>
      </c>
      <c r="IU137" s="217" t="e">
        <f t="shared" ca="1" si="644"/>
        <v>#N/A</v>
      </c>
      <c r="IV137" s="217" t="e">
        <f t="shared" ca="1" si="681"/>
        <v>#N/A</v>
      </c>
      <c r="IW137" s="217" t="e">
        <f ca="1">IF(OR($AW137=1,AND($AW137=0, Control!$B$18=1,$EN137&lt;&gt;0)), $IQ137-$IU137, $IQ137)</f>
        <v>#N/A</v>
      </c>
      <c r="IX137" s="218" t="e">
        <f t="shared" ca="1" si="531"/>
        <v>#N/A</v>
      </c>
      <c r="IY137" s="218" t="e">
        <f ca="1">MAX(0,$IQ137-$EB137*Control!$C$159)</f>
        <v>#N/A</v>
      </c>
      <c r="IZ137" s="218" t="e">
        <f t="shared" ca="1" si="532"/>
        <v>#N/A</v>
      </c>
      <c r="JA137" s="216" t="e">
        <f t="shared" ca="1" si="533"/>
        <v>#N/A</v>
      </c>
      <c r="JB137" s="217" t="e">
        <f t="shared" ca="1" si="534"/>
        <v>#N/A</v>
      </c>
      <c r="JC137" s="222" t="e">
        <f ca="1">MAX(Control!$C$157*$EK137-$JT137, 0)/Control!$C$162</f>
        <v>#N/A</v>
      </c>
      <c r="JD137" s="218" t="e">
        <f t="shared" ca="1" si="535"/>
        <v>#N/A</v>
      </c>
      <c r="JE137" s="218" t="e">
        <f t="shared" ca="1" si="536"/>
        <v>#N/A</v>
      </c>
      <c r="JF137" s="218" t="e">
        <f t="shared" ca="1" si="645"/>
        <v>#N/A</v>
      </c>
      <c r="JG137" s="218" t="e">
        <f t="shared" ca="1" si="537"/>
        <v>#N/A</v>
      </c>
      <c r="JH137" s="217" t="e">
        <f t="shared" ca="1" si="646"/>
        <v>#N/A</v>
      </c>
      <c r="JI137" s="217" t="e">
        <f t="shared" ca="1" si="647"/>
        <v>#N/A</v>
      </c>
      <c r="JJ137" s="217" t="e">
        <f t="shared" ca="1" si="682"/>
        <v>#N/A</v>
      </c>
      <c r="JK137" s="217" t="e">
        <f ca="1">IF(Control!$C$114=1,IF(Control!$B$24=0,MAX(0,$JI137)*$GN137/Control!$C$64,(MAX(0,MIN($JI137,$JJ137*$GN137/Control!$C$64),0))))</f>
        <v>#N/A</v>
      </c>
      <c r="JL137" s="217" t="e">
        <f ca="1">$IK137/Control!$C$64-$JK137+$HQ137</f>
        <v>#N/A</v>
      </c>
      <c r="JM137" s="217" t="e">
        <f ca="1">IF(Control!$C$114=1,($JB137/(IF($JI137&lt;&gt;0,$JI137,1)))*$JK137,0)</f>
        <v>#N/A</v>
      </c>
      <c r="JN137" s="217" t="e">
        <f ca="1">IF(Control!$C$114=1,($JG137/(IF($JI137&lt;&gt;0,$JI137,1)))*$JK137, 0)</f>
        <v>#N/A</v>
      </c>
      <c r="JO137" s="218" t="e">
        <f t="shared" ca="1" si="538"/>
        <v>#N/A</v>
      </c>
      <c r="JP137" s="218" t="e">
        <f ca="1">MIN(($IY137+$IO137)*Control!$C$151, $JF137-$EH137*Control!$C$161)</f>
        <v>#N/A</v>
      </c>
      <c r="JQ137" s="218" t="e">
        <f t="shared" ca="1" si="539"/>
        <v>#N/A</v>
      </c>
      <c r="JR137" s="217" t="e">
        <f ca="1">IF($CP137-Control!$C$150&lt;0, 0, $JQ137/Control!$C$162)</f>
        <v>#N/A</v>
      </c>
      <c r="JS137" s="218" t="e">
        <f t="shared" ca="1" si="540"/>
        <v>#N/A</v>
      </c>
      <c r="JT137" s="218" t="e">
        <f t="shared" ca="1" si="648"/>
        <v>#N/A</v>
      </c>
      <c r="JU137" s="218" t="e">
        <f t="shared" ca="1" si="541"/>
        <v>#N/A</v>
      </c>
      <c r="JV137" s="218" t="e">
        <f t="shared" ca="1" si="542"/>
        <v>#N/A</v>
      </c>
      <c r="JW137" s="216" t="e">
        <f t="shared" ca="1" si="543"/>
        <v>#N/A</v>
      </c>
      <c r="JX137" s="91" t="e">
        <f t="shared" ca="1" si="544"/>
        <v>#N/A</v>
      </c>
      <c r="JY137" s="218" t="e">
        <f t="shared" ca="1" si="545"/>
        <v>#N/A</v>
      </c>
      <c r="JZ137" s="217" t="e">
        <f ca="1">IF(Control!$C$114=1,($IZ137/(IF($JI137&lt;&gt;0,$JI137,1)))*$JK137, 0)</f>
        <v>#N/A</v>
      </c>
      <c r="KA137" s="218" t="e">
        <f t="shared" ca="1" si="683"/>
        <v>#N/A</v>
      </c>
      <c r="KB137" s="218" t="e">
        <f t="shared" ca="1" si="649"/>
        <v>#N/A</v>
      </c>
      <c r="KC137" s="218" t="e">
        <f t="shared" ca="1" si="546"/>
        <v>#N/A</v>
      </c>
      <c r="KD137" s="218" t="e">
        <f t="shared" ca="1" si="547"/>
        <v>#N/A</v>
      </c>
      <c r="KE137" s="218" t="e">
        <f t="shared" ca="1" si="548"/>
        <v>#N/A</v>
      </c>
      <c r="KF137" s="218" t="e">
        <f t="shared" ca="1" si="549"/>
        <v>#N/A</v>
      </c>
      <c r="KG137" s="216" t="e">
        <f t="shared" ca="1" si="550"/>
        <v>#N/A</v>
      </c>
      <c r="KH137" s="221" t="e">
        <f ca="1">IF(Control!$B$24=0,1,MAX(0.001,MIN(1,IF(($IF137-$IE137)&lt;&gt;0,($KG137-$IE137)/($IF137-$IE137),1))))</f>
        <v>#N/A</v>
      </c>
      <c r="KI137" s="222" t="e">
        <f ca="1">IF(Control!$C$114=1, $KI136+ $KH136, 0)</f>
        <v>#N/A</v>
      </c>
      <c r="KJ137" s="217" t="e">
        <f t="shared" ca="1" si="551"/>
        <v>#N/A</v>
      </c>
      <c r="KK137" s="218" t="e">
        <f t="shared" ca="1" si="552"/>
        <v>#N/A</v>
      </c>
      <c r="KL137" s="274" t="e">
        <f ca="1">IF(Control!$B$26=3,4000000000*EXP(-8400/($G137+273)),IF(Control!$B$26=4,4000000000*EXP(-8400/($G137+273))*($KT137),0))</f>
        <v>#DIV/0!</v>
      </c>
      <c r="KM137" s="274" t="e">
        <f ca="1">IF(Control!$B$26=3,5600000000000*EXP(-9800/($G137+273)),IF(Control!$B$26=4,5600000000000*EXP(-9800/($G137+273))*$KT137,0))</f>
        <v>#DIV/0!</v>
      </c>
      <c r="KN137" s="454" t="e">
        <f t="shared" ca="1" si="650"/>
        <v>#DIV/0!</v>
      </c>
      <c r="KO137" s="274" t="e">
        <f t="shared" ca="1" si="651"/>
        <v>#DIV/0!</v>
      </c>
      <c r="KP137" s="454" t="e">
        <f t="shared" ca="1" si="553"/>
        <v>#DIV/0!</v>
      </c>
      <c r="KQ137" s="454" t="e">
        <f t="shared" ca="1" si="554"/>
        <v>#DIV/0!</v>
      </c>
      <c r="KR137" s="454" t="e">
        <f t="shared" ca="1" si="555"/>
        <v>#DIV/0!</v>
      </c>
      <c r="KS137" s="454" t="e">
        <f t="shared" ca="1" si="556"/>
        <v>#DIV/0!</v>
      </c>
      <c r="KT137" s="455" t="e">
        <f t="shared" ca="1" si="557"/>
        <v>#DIV/0!</v>
      </c>
      <c r="KU137" s="456" t="e">
        <f ca="1">IF($CP137-Control!$C$149&lt;0, IF($NT137-0.01&lt;0,0,1),0)</f>
        <v>#N/A</v>
      </c>
      <c r="KV137" s="456" t="e">
        <f ca="1">IF(Control!$C$114=1,MAX(0,MIN(Control!$C$125*$KW137*$GN137,$KW137)))</f>
        <v>#DIV/0!</v>
      </c>
      <c r="KW137" s="456" t="e">
        <f t="shared" ca="1" si="684"/>
        <v>#DIV/0!</v>
      </c>
      <c r="KX137" s="457" t="e">
        <f ca="1">IF($CP137-Control!$C$149&lt;0, IF($MR137-$OM137&lt;0,0,1),0)</f>
        <v>#N/A</v>
      </c>
      <c r="KY137" s="167">
        <f t="shared" ca="1" si="652"/>
        <v>133</v>
      </c>
      <c r="KZ137" s="168">
        <f ca="1">1370*(1+0.033*COS(2*Control!$C$138*$AH137/365))</f>
        <v>1340.2334821760048</v>
      </c>
      <c r="LA137" s="169">
        <f t="shared" ca="1" si="653"/>
        <v>0.97827274770496442</v>
      </c>
      <c r="LB137" s="169">
        <f t="shared" ca="1" si="654"/>
        <v>0.32025086046704321</v>
      </c>
      <c r="LC137" s="169">
        <f ca="1">ACOS(-TAN((2*Control!$B$8/360))*TAN(Calculations!$LB137))</f>
        <v>1.6695293805371687</v>
      </c>
      <c r="LD137" s="169">
        <f ca="1">((24*60)/PI())*0.082*$LA137*(($LC137*SIN(Control!$B$8*2*PI()/360))*SIN($LB137)+COS(Control!$B$8*2*PI()/360)*COS($LB137)*SIN($LC137))</f>
        <v>36.610268030152362</v>
      </c>
      <c r="LE137" s="170">
        <f t="shared" ca="1" si="558"/>
        <v>37.490833374032249</v>
      </c>
      <c r="LF137" s="170">
        <f ca="1">SIN(Control!$C$139*Control!$B$8)*SIN($HD137)</f>
        <v>0.24384705660555389</v>
      </c>
      <c r="LG137" s="170">
        <f ca="1">COS(Control!$C$139*Control!$B$8)*COS($HD137)</f>
        <v>0.5854414146157858</v>
      </c>
      <c r="LH137" s="170">
        <f ca="1">12*(1+2*ASIN(MAX(-1,MIN(1,$LF137/$LG137))/Control!$C$138))</f>
        <v>15.191354430987218</v>
      </c>
      <c r="LI137" s="170">
        <f ca="1">12*(1+2*ASIN(MAX(-1,MIN(1,(-SIN(-4*Control!$C$139)+$LF137)/$LG137))/Control!$C$138))</f>
        <v>16.112304572954123</v>
      </c>
      <c r="LJ137" s="168">
        <f ca="1">3600*($LH137*$LF137+24*$LG137*SQRT(1-$LK137*$LK137)/Control!$C$138)</f>
        <v>27973.359770987128</v>
      </c>
      <c r="LK137" s="170">
        <f t="shared" ca="1" si="559"/>
        <v>0.41651828947835223</v>
      </c>
      <c r="LL137" s="170">
        <f t="shared" ca="1" si="560"/>
        <v>0</v>
      </c>
      <c r="LM137" s="171">
        <f ca="1">Control!$C$145*$AB137</f>
        <v>6.6660906138995932E-2</v>
      </c>
      <c r="LN137" s="170">
        <f t="shared" ca="1" si="655"/>
        <v>0.54</v>
      </c>
      <c r="LO137" s="170">
        <f t="shared" ca="1" si="561"/>
        <v>0</v>
      </c>
      <c r="LP137" s="170">
        <f ca="1">Control!$C$140*((($D137+273.16)^4+($E137+273.16)^4)/2)*(0.34-0.14*SQRT($Y137))*(1.35*$AQ137/(0.75*$LD137)-0.35)</f>
        <v>-3.2464704755046001</v>
      </c>
      <c r="LQ137" s="170">
        <f ca="1">Control!$C$140*($G137+273)^4*(0.56-0.079*SQRT($Y137*10))*(0.1+0.9*$LO137)</f>
        <v>1.5241745131704001</v>
      </c>
      <c r="LR137" s="170">
        <f ca="1">$AQ137*(1-Control!$C$142)-$LQ137</f>
        <v>-1.5241745131704001</v>
      </c>
      <c r="LS137" s="170">
        <f ca="1">$AQ137*(1-Control!$C$143)-$LQ137</f>
        <v>-1.5241745131704001</v>
      </c>
      <c r="LT137" s="170">
        <f ca="1">$AQ137*(1-Control!$C$144)-$LQ137</f>
        <v>-1.5241745131704001</v>
      </c>
      <c r="LU137" s="169">
        <f ca="1">(1-Control!$C$144)*AQ137-LP137</f>
        <v>3.2464704755046001</v>
      </c>
      <c r="LV137" s="172">
        <f t="shared" ca="1" si="562"/>
        <v>0.79430000000000012</v>
      </c>
      <c r="LW137" s="170">
        <f t="shared" ca="1" si="563"/>
        <v>1.5886000000000002</v>
      </c>
      <c r="LX137" s="170">
        <f ca="1">($AC137*($LR137/Control!$C$141)+$LM137*$LV137)/($AC137+$LM137)</f>
        <v>0.23530094218323697</v>
      </c>
      <c r="LY137" s="170">
        <f ca="1">($AC137*($LS137/Control!$C$141)+$LM137*$LV137)/($AC137+$LM137)</f>
        <v>0.23530094218323697</v>
      </c>
      <c r="LZ137" s="170">
        <f t="shared" ca="1" si="564"/>
        <v>0.23530094218323697</v>
      </c>
      <c r="MA137" s="170">
        <f t="shared" ca="1" si="565"/>
        <v>0.23530094218323697</v>
      </c>
      <c r="MB137" s="170" t="e">
        <f t="shared" ca="1" si="566"/>
        <v>#N/A</v>
      </c>
      <c r="MC137" s="170">
        <f t="shared" ca="1" si="656"/>
        <v>0.6018</v>
      </c>
      <c r="MD137" s="170">
        <f t="shared" ca="1" si="567"/>
        <v>0.52989392535414004</v>
      </c>
      <c r="ME137" s="170">
        <f ca="1">($AC137*($LT137/Control!$C$141)+$LM137*$LW137)/($AC137+$LM137)</f>
        <v>0.71612369323045078</v>
      </c>
      <c r="MF137" s="170" t="e">
        <f ca="1">IF(Control!$B$16&gt;=1000,0.92,IF(AND(720&lt;=Control!$B$16,1000&gt;Control!$B$16),(0.95+(Control!$B$16-720)*((0.92-0.95)/(1000-720))),IF(AND(360&lt;=Control!$B$16,720&gt;Control!$B$16),(1+(Control!$B$16-360)*((0.95-1)/(720-360))),IF(AND(40&lt;=Control!$B$16,360&gt;Control!$B$16),(1.05+(Control!$B$16-40)*((1.05-1)/(360-40)))))))</f>
        <v>#N/A</v>
      </c>
      <c r="MG137" s="170">
        <f t="shared" ca="1" si="568"/>
        <v>0.71612369323045078</v>
      </c>
      <c r="MH137" s="170" t="e">
        <f t="shared" ca="1" si="464"/>
        <v>#N/A</v>
      </c>
      <c r="MI137" s="170" t="e">
        <f t="shared" ca="1" si="464"/>
        <v>#N/A</v>
      </c>
      <c r="MJ137" s="170" t="e">
        <f ca="1">MAX(0.0001, Control!$C$132*$MI137*$DL137)</f>
        <v>#N/A</v>
      </c>
      <c r="MK137" s="170">
        <f ca="1">1/(0.76+1.5*($MG137/10))-(5-Control!$C$110)*0.1</f>
        <v>1.002845988140797</v>
      </c>
      <c r="ML137" s="173">
        <f ca="1">IF(Control!$C$110&lt;3,$MK137+($MG137-0.6)/(Control!$C$110*(Control!$C$110+3)), MAX(0.1, MIN(0.95,$MK137)))</f>
        <v>0.95</v>
      </c>
      <c r="MM137" s="173">
        <f ca="1">IF(Control!$C$110&lt;3,$MK137+(($MI137/10)-0.6)/(Control!$C$110*(Control!$C$110+3)), MAX(0.1, MIN(0.95,$MK137)))</f>
        <v>0.95</v>
      </c>
      <c r="MN137" s="173">
        <f ca="1">(1-$MM137)*(Control!$C$128-Control!$C$127)+Control!$C$127</f>
        <v>0.16</v>
      </c>
      <c r="MO137" s="170" t="e">
        <f ca="1">MAX(0,MIN(1,($MS137-Control!$C$127)/($MN137-Control!$C$127)))</f>
        <v>#DIV/0!</v>
      </c>
      <c r="MP137" s="173" t="e">
        <f ca="1">1/(0.76+1.5*$MI137)-(5-Control!$C$110)*0.1</f>
        <v>#N/A</v>
      </c>
      <c r="MQ137" s="172" t="e">
        <f t="shared" ca="1" si="685"/>
        <v>#DIV/0!</v>
      </c>
      <c r="MR137" s="168" t="e">
        <f t="shared" ca="1" si="657"/>
        <v>#DIV/0!</v>
      </c>
      <c r="MS137" s="173" t="e">
        <f ca="1">MAX(Control!$C$127, MIN(Control!$C$135, $MR137/MAX(0.0001,$CY137)))</f>
        <v>#DIV/0!</v>
      </c>
      <c r="MT137" s="168" t="e">
        <f ca="1">(Control!$C$128-$MS137)*Control!$C$74</f>
        <v>#DIV/0!</v>
      </c>
      <c r="MU137" s="168" t="e">
        <f ca="1">(Control!$C$135-$MS137)*Control!$C$74</f>
        <v>#DIV/0!</v>
      </c>
      <c r="MV137" s="168" t="e">
        <f t="shared" ca="1" si="658"/>
        <v>#DIV/0!</v>
      </c>
      <c r="MW137" s="168" t="e">
        <f t="shared" ca="1" si="659"/>
        <v>#DIV/0!</v>
      </c>
      <c r="MX137" s="171" t="e">
        <f ca="1">MAX(Control!$C$127, MIN(Control!$C$135, $MW137/MAX(0.0001,Control!$C$119-$CY137)))</f>
        <v>#DIV/0!</v>
      </c>
      <c r="MY137" s="54" t="e">
        <f ca="1">IF(Control!$C$114=1, $CX137*$MX137, 0)</f>
        <v>#DIV/0!</v>
      </c>
      <c r="MZ137" s="54" t="e">
        <f t="shared" ca="1" si="660"/>
        <v>#N/A</v>
      </c>
      <c r="NA137" s="168" t="e">
        <f ca="1">(Control!$C$128-$MX137)*(Control!$C$119-Control!$C$74)</f>
        <v>#DIV/0!</v>
      </c>
      <c r="NB137" s="168" t="e">
        <f ca="1">(Control!$C$135-$MX137)*(Control!$C$119-Control!$C$74)</f>
        <v>#DIV/0!</v>
      </c>
      <c r="NC137" s="174" t="e">
        <f t="shared" ca="1" si="661"/>
        <v>#DIV/0!</v>
      </c>
      <c r="ND137" s="54">
        <f ca="1">IF(Control!$C$58=2, IF(OR(Control!$B$218=$AH137,Control!$B$219=$AH137, Control!$B$220=$AH137, Control!$B$221=$AH137, Control!$B$222=$AH137, Control!$B$223=$AH137, Control!$B$224=$AH137, Control!$B$225=$AH137, Control!$B$226=$AH137, Control!$B$227=$AH137, Control!$B$228=$AH137), 1, 0), 0)</f>
        <v>0</v>
      </c>
      <c r="NE137" s="54">
        <f ca="1">IF($ND137=0,0, VLOOKUP($AH137,Control!$B$218:$C$228,2))</f>
        <v>0</v>
      </c>
      <c r="NF137" s="168" t="e">
        <f ca="1">$CY137*(Control!$C$128-Control!$C$127)</f>
        <v>#N/A</v>
      </c>
      <c r="NG137" s="54" t="e">
        <f ca="1">IF(Control!$C$58=2, $NI136-$NJ136, 0)</f>
        <v>#DIV/0!</v>
      </c>
      <c r="NH137" s="54" t="e">
        <f ca="1">IF(AND(Control!$C$58=1, $MS136&lt;= ($MN136+0.02), $I136&lt;10), 0, IF(Control!$C$58=2, $NG136, 0))</f>
        <v>#DIV/0!</v>
      </c>
      <c r="NI137" s="54" t="e">
        <f ca="1">IF(Control!$C$58=2, $NE137+$NH137,0)</f>
        <v>#DIV/0!</v>
      </c>
      <c r="NJ137" s="54" t="e">
        <f ca="1">IF(AND(Control!$C$58=1, $MS137&lt;= ($MN137+0.02), $I137&lt;10), MAX(0, MIN(10, 0.7*($NF137-$MV137))), IF(Control!$C$58=2, MIN(10,$NI137),0))</f>
        <v>#DIV/0!</v>
      </c>
      <c r="NK137" s="54" t="e">
        <f t="shared" ca="1" si="569"/>
        <v>#DIV/0!</v>
      </c>
      <c r="NL137" s="173" t="e">
        <f ca="1">(1-Control!$C$73)*$I137+$NJ137</f>
        <v>#DIV/0!</v>
      </c>
      <c r="NM137" s="172" t="e">
        <f ca="1">IF($NL137&lt;0.5, $MB137* MAX(0, MIN(1, (SQRT($NC137)-SQRT($NC137-1))*Control!$C$71)),0)</f>
        <v>#DIV/0!</v>
      </c>
      <c r="NN137" s="170" t="e">
        <f ca="1">IF($NL137&gt;=5, $MB137, MAX(0,MIN($MB137, $NM137+$NL137,($MS137-Control!$C$129))))</f>
        <v>#DIV/0!</v>
      </c>
      <c r="NO137" s="54">
        <f>IF(Control!$C$133&lt;&gt;1, Control!$C$135-Control!$C$131, 0)</f>
        <v>0.38</v>
      </c>
      <c r="NP137" s="54" t="e">
        <f t="shared" ca="1" si="570"/>
        <v>#DIV/0!</v>
      </c>
      <c r="NQ137" s="173" t="e">
        <f ca="1">MAX(0,MIN(1,(Control!$C$135-$MS137)/(Control!$C$135-$NO137)))</f>
        <v>#DIV/0!</v>
      </c>
      <c r="NR137" s="170" t="e">
        <f ca="1">IF(Control!$C$133&lt;&gt;1, $NQ137+((1-$NP137/4)*(1-$NQ137)),1)</f>
        <v>#DIV/0!</v>
      </c>
      <c r="NS137" s="170" t="e">
        <f ca="1">IF(Control!$B$31=0,$MJ137,MAX(0,MIN($MV137,$MO137*$NR137*$MJ137)))</f>
        <v>#DIV/0!</v>
      </c>
      <c r="NT137" s="170" t="e">
        <f t="shared" ca="1" si="686"/>
        <v>#DIV/0!</v>
      </c>
      <c r="NU137" s="170" t="e">
        <f t="shared" ca="1" si="662"/>
        <v>#N/A</v>
      </c>
      <c r="NV137" s="170" t="e">
        <f t="shared" ca="1" si="571"/>
        <v>#N/A</v>
      </c>
      <c r="NW137" s="175" t="e">
        <f t="shared" ca="1" si="572"/>
        <v>#DIV/0!</v>
      </c>
      <c r="NX137" s="170" t="e">
        <f ca="1">MIN(Control!$C$72+$MU137, $NW137)</f>
        <v>#DIV/0!</v>
      </c>
      <c r="NY137" s="170" t="e">
        <f ca="1">IF($MT137&lt;=$NX137,MIN(Control!$C$72+$NB137,$NX137-$MT137),0)</f>
        <v>#DIV/0!</v>
      </c>
      <c r="NZ137" s="54" t="e">
        <f ca="1">IF(Control!$C$114=1,  $CX137*($MX137-Control!$C$127), 0)</f>
        <v>#DIV/0!</v>
      </c>
      <c r="OA137" s="170" t="e">
        <f t="shared" ca="1" si="573"/>
        <v>#DIV/0!</v>
      </c>
      <c r="OB137" s="170" t="e">
        <f ca="1">IF($NA137 &lt;=$NY137, MIN(Control!$C$72, $NY137-$NA137), 0)</f>
        <v>#DIV/0!</v>
      </c>
      <c r="OC137" s="168" t="e">
        <f t="shared" ca="1" si="574"/>
        <v>#DIV/0!</v>
      </c>
      <c r="OD137" s="168" t="e">
        <f t="shared" ca="1" si="663"/>
        <v>#DIV/0!</v>
      </c>
      <c r="OE137" s="170">
        <f ca="1">Control!$C$73*$I137</f>
        <v>0</v>
      </c>
      <c r="OF137" s="176" t="e">
        <f t="shared" ca="1" si="575"/>
        <v>#DIV/0!</v>
      </c>
      <c r="OG137" s="168" t="e">
        <f t="shared" ca="1" si="576"/>
        <v>#DIV/0!</v>
      </c>
      <c r="OH137" s="168" t="e">
        <f t="shared" ca="1" si="577"/>
        <v>#DIV/0!</v>
      </c>
      <c r="OI137" s="168" t="e">
        <f t="shared" ca="1" si="578"/>
        <v>#DIV/0!</v>
      </c>
      <c r="OJ137" s="168" t="e">
        <f t="shared" ca="1" si="579"/>
        <v>#DIV/0!</v>
      </c>
      <c r="OK137" s="204" t="e">
        <f t="shared" ca="1" si="580"/>
        <v>#DIV/0!</v>
      </c>
      <c r="OL137" s="177">
        <f>Control!$C$127</f>
        <v>0.15</v>
      </c>
      <c r="OM137" s="182" t="e">
        <f t="shared" ca="1" si="581"/>
        <v>#N/A</v>
      </c>
      <c r="ON137" s="177">
        <f>Control!$C$128</f>
        <v>0.35</v>
      </c>
      <c r="OO137" s="182" t="e">
        <f t="shared" ca="1" si="582"/>
        <v>#N/A</v>
      </c>
      <c r="OP137" s="138">
        <f t="shared" ca="1" si="664"/>
        <v>0</v>
      </c>
      <c r="OQ137" s="138" t="e">
        <f t="shared" ca="1" si="687"/>
        <v>#DIV/0!</v>
      </c>
      <c r="OR137" s="138" t="e">
        <f t="shared" ca="1" si="665"/>
        <v>#DIV/0!</v>
      </c>
      <c r="OS137" s="137" t="e">
        <f t="shared" ca="1" si="688"/>
        <v>#DIV/0!</v>
      </c>
      <c r="OT137" s="139" t="e">
        <f t="shared" ca="1" si="689"/>
        <v>#DIV/0!</v>
      </c>
      <c r="OU137" s="138" t="e">
        <f t="shared" ca="1" si="690"/>
        <v>#N/A</v>
      </c>
      <c r="OV137" s="138" t="e">
        <f t="shared" ca="1" si="691"/>
        <v>#DIV/0!</v>
      </c>
      <c r="OW137" s="138" t="e">
        <f t="shared" ca="1" si="666"/>
        <v>#DIV/0!</v>
      </c>
      <c r="OX137" s="138" t="e">
        <f t="shared" ca="1" si="667"/>
        <v>#DIV/0!</v>
      </c>
      <c r="OY137" s="138" t="e">
        <f t="shared" ca="1" si="668"/>
        <v>#DIV/0!</v>
      </c>
      <c r="OZ137" s="138" t="e">
        <f t="shared" ca="1" si="583"/>
        <v>#DIV/0!</v>
      </c>
      <c r="PA137" s="138" t="e">
        <f t="shared" ca="1" si="584"/>
        <v>#DIV/0!</v>
      </c>
      <c r="PB137" s="55">
        <f>IF(Control!$C$61="T", IF(Control!$C$65="F", IF($AH$6-Control!$C$60&lt;0,0,1), IF(365+$AH$6-Control!$C$60&lt;0,0,1)),0)</f>
        <v>0</v>
      </c>
      <c r="PC137" s="55">
        <f ca="1">IF(Control!$C$65="F", IF($AH$6-$HF137&lt;0,0,1), IF(365+$AH$6-$HF137&lt;0,0,1))</f>
        <v>1</v>
      </c>
      <c r="PD137" s="444">
        <f>Control!$C$118</f>
        <v>1500</v>
      </c>
      <c r="PE137" s="180" t="e">
        <f t="shared" ca="1" si="585"/>
        <v>#N/A</v>
      </c>
      <c r="PF137" s="445">
        <f t="shared" ca="1" si="669"/>
        <v>0.71612369323045078</v>
      </c>
      <c r="PT137" s="186"/>
      <c r="PU137" s="186"/>
      <c r="PV137" s="94"/>
      <c r="PW137" s="94"/>
      <c r="PX137" s="94"/>
      <c r="PY137" s="94"/>
      <c r="PZ137" s="94"/>
      <c r="QA137" s="94"/>
      <c r="QB137" s="94"/>
      <c r="QC137" s="94"/>
      <c r="QD137" s="94"/>
      <c r="QE137" s="94"/>
      <c r="QF137" s="94"/>
      <c r="QG137" s="94"/>
      <c r="QH137" s="94"/>
      <c r="QI137" s="94"/>
      <c r="QJ137" s="94"/>
      <c r="QK137" s="94"/>
      <c r="QL137" s="94"/>
      <c r="QM137" s="94"/>
      <c r="QN137" s="94"/>
      <c r="QO137" s="94"/>
      <c r="QP137" s="94"/>
    </row>
    <row r="138" spans="1:458" s="2" customFormat="1" x14ac:dyDescent="0.2">
      <c r="A138" s="395">
        <v>13</v>
      </c>
      <c r="B138" s="396">
        <v>5</v>
      </c>
      <c r="C138" s="387">
        <f ca="1">Weather_data!$B137</f>
        <v>0</v>
      </c>
      <c r="D138" s="388">
        <f ca="1">Weather_data!$F137</f>
        <v>0</v>
      </c>
      <c r="E138" s="388">
        <f ca="1">Weather_data!$E137</f>
        <v>0</v>
      </c>
      <c r="F138" s="388">
        <f t="shared" ca="1" si="586"/>
        <v>0</v>
      </c>
      <c r="G138" s="388">
        <f ca="1">AVERAGE($D138:$E138)+Control!$B$9</f>
        <v>0</v>
      </c>
      <c r="H138" s="388">
        <f ca="1">Weather_data!$G137</f>
        <v>0</v>
      </c>
      <c r="I138" s="388">
        <f ca="1">Weather_data!$I137</f>
        <v>0</v>
      </c>
      <c r="J138" s="388">
        <f ca="1">Weather_data!$H137</f>
        <v>0</v>
      </c>
      <c r="K138" s="389">
        <f ca="1">Weather_data!$D137</f>
        <v>0</v>
      </c>
      <c r="L138" s="388" t="e">
        <f t="shared" ca="1" si="587"/>
        <v>#N/A</v>
      </c>
      <c r="M138" s="388" t="e">
        <f t="shared" ca="1" si="465"/>
        <v>#N/A</v>
      </c>
      <c r="N138" s="388">
        <f t="shared" ca="1" si="466"/>
        <v>-4.5601722802322303E-7</v>
      </c>
      <c r="O138" s="388">
        <f t="shared" ca="1" si="588"/>
        <v>4.5601722802322304E-6</v>
      </c>
      <c r="P138" s="390">
        <v>3</v>
      </c>
      <c r="Q138" s="388">
        <f ca="1">MAX($G138-Control!$C$107,0)</f>
        <v>0</v>
      </c>
      <c r="R138" s="388">
        <f t="shared" ca="1" si="589"/>
        <v>0</v>
      </c>
      <c r="S138" s="388">
        <f t="shared" ca="1" si="467"/>
        <v>0</v>
      </c>
      <c r="T138" s="388">
        <f t="shared" ca="1" si="468"/>
        <v>0</v>
      </c>
      <c r="U138" s="59">
        <f t="shared" ca="1" si="469"/>
        <v>0</v>
      </c>
      <c r="V138" s="391">
        <f ca="1">MAX(0,MIN(Control!$C$100-Control!$C$99,$G138-Control!$C$99)*Control!$C$63)</f>
        <v>0</v>
      </c>
      <c r="W138" s="388">
        <f t="shared" ca="1" si="590"/>
        <v>0</v>
      </c>
      <c r="X138" s="388">
        <f t="shared" ca="1" si="591"/>
        <v>0.6110000000000001</v>
      </c>
      <c r="Y138" s="388">
        <f t="shared" ca="1" si="470"/>
        <v>0</v>
      </c>
      <c r="Z138" s="388">
        <f t="shared" ca="1" si="592"/>
        <v>0.61058800000000002</v>
      </c>
      <c r="AA138" s="388">
        <f t="shared" ca="1" si="471"/>
        <v>0.6018</v>
      </c>
      <c r="AB138" s="388">
        <f ca="1">101.3*EXP(-0.034*Control!$C$66/($G138+273))</f>
        <v>100.69623283836242</v>
      </c>
      <c r="AC138" s="392">
        <f t="shared" ca="1" si="472"/>
        <v>4.3460251046025113E-2</v>
      </c>
      <c r="AD138" s="392">
        <f t="shared" ca="1" si="473"/>
        <v>4.4450382862832649E-2</v>
      </c>
      <c r="AE138" s="388">
        <f t="shared" ca="1" si="474"/>
        <v>0</v>
      </c>
      <c r="AF138" s="388">
        <f ca="1">MAX(0,$G138-Control!$C$92)</f>
        <v>0</v>
      </c>
      <c r="AG138" s="393">
        <f t="shared" ca="1" si="475"/>
        <v>134</v>
      </c>
      <c r="AH138" s="389">
        <f t="shared" ca="1" si="476"/>
        <v>134</v>
      </c>
      <c r="AI138" s="388">
        <f t="shared" ca="1" si="593"/>
        <v>0.31909463731388998</v>
      </c>
      <c r="AJ138" s="388">
        <f ca="1">IF(Control!$C$60&lt;=0,$HH138,$HI138)</f>
        <v>1</v>
      </c>
      <c r="AK138" s="388">
        <f t="shared" ca="1" si="477"/>
        <v>0.92956714133615792</v>
      </c>
      <c r="AL138" s="388">
        <f t="shared" ca="1" si="478"/>
        <v>-2.5247061385957889E-18</v>
      </c>
      <c r="AM138" s="388">
        <f t="shared" ca="1" si="479"/>
        <v>0.92956714133615792</v>
      </c>
      <c r="AN138" s="388">
        <f t="shared" ca="1" si="480"/>
        <v>0.32444357603132828</v>
      </c>
      <c r="AO138" s="388">
        <f ca="1">-0.10453/COS(Control!$B$8*PI()/180)*COS(AN138)</f>
        <v>-0.16092689087022366</v>
      </c>
      <c r="AP138" s="388">
        <f ca="1">ACOS(AO138-TAN(Control!$B$8*PI()/180)*TAN(AN138))</f>
        <v>2.2035994642564525</v>
      </c>
      <c r="AQ138" s="388">
        <f t="shared" ca="1" si="594"/>
        <v>0</v>
      </c>
      <c r="AR138" s="394">
        <f t="shared" ca="1" si="481"/>
        <v>0</v>
      </c>
      <c r="AS138" s="436">
        <f ca="1">IF(Control!$B$18=2,(IF(OR($AH138=Control!$B$175,$AH138=Control!$B$176,$AH138=Control!$B$177,$AH138=Control!$B$178,$AH138=Control!$B$179,$AH138=Control!$B$180,$AH138=Control!$B$181,$AH138=Control!$B$182,$AH138=Control!$B$183,$AH138=Control!$B$184,$AH138=Control!$B$185),1,0)),0)</f>
        <v>0</v>
      </c>
      <c r="AT138" s="436">
        <f>IF(Control!$B$20=8,IF(AND($AH138&gt;=Control!$B$172,$AH138&lt;=Control!$B$173),1,0),0)</f>
        <v>0</v>
      </c>
      <c r="AU138" s="436">
        <f>IF(Control!$B$20=8,IF($AV137=1,1*$AT138,IF($AT138=1,$AU137+1,$AU137)),0)</f>
        <v>0</v>
      </c>
      <c r="AV138" s="436">
        <f>IF(Control!$B$20=8,IF($AU138&gt;=Control!$B$174,1,0),0)</f>
        <v>0</v>
      </c>
      <c r="AW138" s="436">
        <f ca="1">IF(AND(Control!$B$18=2,Control!$B$171=1), $AV138, $AS138)</f>
        <v>0</v>
      </c>
      <c r="AX138" s="436" t="e">
        <f ca="1">IF(AND(Control!$B$18=1,$EU138&gt;=Control!$B$19),-$AY138,IF(AND(Control!$B$18=2,$AW138=1,$EU138&gt;$DS138),-$AY138, IF(Control!$C$108=0,0, IF(Control!$C$108&lt;&gt;0,1))))</f>
        <v>#N/A</v>
      </c>
      <c r="AY138" s="436" t="e">
        <f t="shared" ca="1" si="595"/>
        <v>#N/A</v>
      </c>
      <c r="AZ138" s="436" t="e">
        <f ca="1">IF(AND(Control!$B$18=1,$EB138&gt;Control!$B$19),$AZ137+1, IF(AND(Control!$B$18=2, $AW138=1, $EB138&gt;$DS138), $AZ137+1,$AZ137))</f>
        <v>#N/A</v>
      </c>
      <c r="BA138" s="587">
        <f>IF(Control!$C$81=0,1,IF($AH138&gt;=Control!$C$82,1,0))</f>
        <v>1</v>
      </c>
      <c r="BB138" s="140" t="e">
        <f ca="1">IF($BA138&gt;$BA137,Control!$C$83,IF($AW138&gt;0,$AW138*Control!$C$84,IF(AND(Control!$B$18=1,EN137&lt;&gt;0),Control!$C$84,0)))</f>
        <v>#N/A</v>
      </c>
      <c r="BC138" s="140" t="e">
        <f t="shared" ca="1" si="596"/>
        <v>#N/A</v>
      </c>
      <c r="BD138" s="140" t="e">
        <f ca="1">BC138*IF(OR($G138&lt;Control!$C$92,$G138&gt;Control!$C$95),0,IF(AND($G138&gt;=Control!$C$92,$G138&lt;=Control!$C$93),$G138-Control!$C$92,IF(AND($G138&gt;Control!$C$93,$G138&lt;=Control!$C$94),Control!$C$93-Control!$C$92,IF(AND($G138&gt;Control!$C$94,$G138&lt;=Control!$C$95),(Control!$C$93-Control!$C$92)*(Control!$C$94-$G138)/(Control!$C$95-Control!$C$94)))))</f>
        <v>#N/A</v>
      </c>
      <c r="BE138" s="140" t="e">
        <f t="shared" ca="1" si="597"/>
        <v>#N/A</v>
      </c>
      <c r="BF138" s="140" t="e">
        <f ca="1">IF($BE138&lt;=Control!$C$86,$BE138,Control!$C$86-$BE138)</f>
        <v>#N/A</v>
      </c>
      <c r="BG138" s="140" t="e">
        <f ca="1">IF(AND($AW138=1,Control!$C$84&lt;9),1,IF($BE138&gt;=Control!$C$86,0,$BC138))</f>
        <v>#N/A</v>
      </c>
      <c r="BH138" s="404" t="e">
        <f ca="1">IF($BG138=0,0,IF($BE138&lt;=Control!$C$86,$BC138*9*($BF138/Control!$C$86),0))</f>
        <v>#N/A</v>
      </c>
      <c r="BI138" s="140" t="e">
        <f ca="1">IF($BG138=1,0,IF($BE138&gt;=Control!$C$86,1,IF(AND($BB138&lt;21,$BB138&gt;=9),1,$BM137)))</f>
        <v>#N/A</v>
      </c>
      <c r="BJ138" s="140" t="e">
        <f ca="1">IF($BF138&lt;0,-$BF138,$BI138*IF(OR($G138&lt;Control!$C$92,$G138&gt;Control!$C$95),0,IF(AND($G138&gt;=Control!$C$92,$G138&lt;=Control!$C$93),$G138-Control!$C$92,IF(AND($G138&gt;Control!$C$93,$G138&lt;=Control!$C$94),Control!$C$93-Control!$C$92,IF(AND($G138&gt;Control!$C$94,$G138&lt;=Control!$C$95),(Control!$C$93-Control!$C$92)*(Control!$C$94-$G138)/(Control!$C$95-Control!$C$94))))))</f>
        <v>#N/A</v>
      </c>
      <c r="BK138" s="140" t="e">
        <f t="shared" ca="1" si="598"/>
        <v>#N/A</v>
      </c>
      <c r="BL138" s="140" t="e">
        <f ca="1">IF($BK138&lt;=Control!$C$87,$BK138,Control!$C$87-$BK138)</f>
        <v>#N/A</v>
      </c>
      <c r="BM138" s="140" t="e">
        <f ca="1">IF(AND($BB138&gt;=9,$BB138&lt;21),1,IF($BK138&gt;=Control!$C$87,0,$BI138))</f>
        <v>#N/A</v>
      </c>
      <c r="BN138" s="404" t="e">
        <f ca="1">IF($BM138=0,0,IF($BK138&lt;=Control!$C$87,$BI138*(9+(21-9)*($BL138/Control!$C$87)),0))</f>
        <v>#N/A</v>
      </c>
      <c r="BO138" s="140" t="e">
        <f ca="1">IF($BM138=1,0,IF($BK138&gt;=Control!$C$87,1,IF(AND($BB138&lt;30,$BB138&gt;=21),1,$BS137)))</f>
        <v>#N/A</v>
      </c>
      <c r="BP138" s="140" t="e">
        <f ca="1">IF($BL138&lt;0,-$BL138,$BO138*IF(OR($G138&lt;Control!$C$92,$G138&gt;Control!$C$95),0,IF(AND($G138&gt;=Control!$C$92,$G138&lt;=Control!$C$93),$G138-Control!$C$92,IF(AND($G138&gt;Control!$C$93,$G138&lt;=Control!$C$94),Control!$C$93-Control!$C$92,IF(AND($G138&gt;Control!$C$94,$G138&lt;=Control!$C$95),(Control!$C$93-Control!$C$92)*(Control!$C$94-$G138)/(Control!$C$95-Control!$C$94))))))</f>
        <v>#N/A</v>
      </c>
      <c r="BQ138" s="140" t="e">
        <f t="shared" ca="1" si="482"/>
        <v>#N/A</v>
      </c>
      <c r="BR138" s="140" t="e">
        <f ca="1">IF($BQ138&lt;=Control!$C$88,$BQ138,Control!$C$88-$BQ138)</f>
        <v>#N/A</v>
      </c>
      <c r="BS138" s="140" t="e">
        <f ca="1">IF(AND($BB138&gt;=21,$BB138&lt;30),1,IF($BQ138&gt;=Control!$C$88,0,$BO138))</f>
        <v>#N/A</v>
      </c>
      <c r="BT138" s="404" t="e">
        <f ca="1">IF($BS138=0,0,IF($BQ138&lt;=Control!$C$88,$BO138*(21+(30-21)*(BR138/Control!$C$88)),0))</f>
        <v>#N/A</v>
      </c>
      <c r="BU138" s="140" t="e">
        <f ca="1">IF(BG138+BM138+BS138=1,0,IF(OR(AND($BB138&lt;60,$BB138&gt;=30),$BQ138&gt;=Control!$C$88),1*$BA138,$BY137))</f>
        <v>#N/A</v>
      </c>
      <c r="BV138" s="140" t="e">
        <f ca="1">IF($BR138&lt;0,-$BR138,$BU138*IF(OR($G138&lt;Control!$C$92,$G138&gt;Control!$C$95),0,IF(AND($G138&gt;=Control!$C$92,$G138&lt;=Control!$C$93),$G138-Control!$C$92,IF(AND($G138&gt;Control!$C$93,$G138&lt;=Control!$C$94),Control!$C$93-Control!$C$92,IF(AND($G138&gt;Control!$C$94,$G138&lt;=Control!$C$95),(Control!$C$93-Control!$C$92)*(Control!$C$94-$G138)/(Control!$C$95-Control!$C$94))))))</f>
        <v>#N/A</v>
      </c>
      <c r="BW138" s="140" t="e">
        <f t="shared" ca="1" si="483"/>
        <v>#N/A</v>
      </c>
      <c r="BX138" s="140" t="e">
        <f ca="1">IF($BW138&lt;=Control!$C$89,$BW138,Control!$C$89-$BW138)</f>
        <v>#N/A</v>
      </c>
      <c r="BY138" s="140" t="e">
        <f ca="1">IF(AND($AJ138&gt;=30,$AJ138&lt;60),1,IF($BW138&gt;=Control!$C$89,0,$BU138))</f>
        <v>#N/A</v>
      </c>
      <c r="BZ138" s="404" t="e">
        <f ca="1">IF($BY138=0,0,IF($BW138&lt;=Control!$C$89,$BU138*(30+(60-30)*(BX138/Control!$C$89)),0))</f>
        <v>#N/A</v>
      </c>
      <c r="CA138" s="140" t="e">
        <f ca="1">IF($BG138+$BM138+$BS138+$BY138=1,0,IF(OR(AND($BB138&lt;65,$BB138&gt;=60),$BW138&gt;=Control!$C$89),1*$BA138,$CE137))</f>
        <v>#N/A</v>
      </c>
      <c r="CB138" s="140" t="e">
        <f ca="1">IF($BX138&lt;0,-$BX138,$CA138*IF(OR($G138&lt;Control!$C$92,$G138&gt;Control!$C$95),0,IF(AND($G138&gt;=Control!$C$92,$G138&lt;=Control!$C$93),$G138-Control!$C$92,IF(AND($G138&gt;Control!$C$93,$G138&lt;=Control!$C$94),Control!$C$93-Control!$C$92,IF(AND($G138&gt;Control!$C$94,$G138&lt;=Control!$C$95),(Control!$C$93-Control!$C$92)*(Control!$C$94-$G138)/(Control!$C$95-Control!$C$94))))))</f>
        <v>#N/A</v>
      </c>
      <c r="CC138" s="140" t="e">
        <f t="shared" ca="1" si="599"/>
        <v>#N/A</v>
      </c>
      <c r="CD138" s="140" t="e">
        <f ca="1">IF($CC138&lt;=Control!$C$90,$CC138,Control!$C$90-$CC138)</f>
        <v>#N/A</v>
      </c>
      <c r="CE138" s="140" t="e">
        <f ca="1">IF(AND($BB138&gt;=60,$BB138&lt;65),1,IF($CC138&gt;=Control!$C$90,0,$CA138))</f>
        <v>#N/A</v>
      </c>
      <c r="CF138" s="404" t="e">
        <f ca="1">IF($CE138=0,0,IF($CC138&lt;=Control!$C$90,$CA138*(60+(65-60)*(CD138/Control!$C$90)),0))</f>
        <v>#N/A</v>
      </c>
      <c r="CG138" s="140" t="e">
        <f ca="1">IF($BG138+$BM138+$BS138+$BY138+$CE138=1,0,IF(OR(AND($BB138&lt;90,$BB138&gt;=65),$CC138&gt;=Control!$C$90),$BA138,$CK137))</f>
        <v>#N/A</v>
      </c>
      <c r="CH138" s="140" t="e">
        <f ca="1">IF($CD138&lt;0,-$CD138,$CG138*IF(OR($G138&lt;Control!$C$92,$G138&gt;Control!$C$95),0,IF(AND($G138&gt;=Control!$C$92,$G138&lt;=Control!$C$93),$G138-Control!$C$92,IF(AND($G138&gt;Control!$C$93,$G138&lt;=Control!$C$94),Control!$C$93-Control!$C$92,IF(AND($G138&gt;Control!$C$94,$G138&lt;=Control!$C$95),(Control!$C$93-Control!$C$92)*(Control!$C$94-$G138)/(Control!$C$95-Control!$C$94))))))</f>
        <v>#N/A</v>
      </c>
      <c r="CI138" s="140" t="e">
        <f t="shared" ca="1" si="600"/>
        <v>#N/A</v>
      </c>
      <c r="CJ138" s="140" t="e">
        <f ca="1">IF($CI138&lt;=Control!$C$91,$CI138,Control!$C$91-$CI138)</f>
        <v>#N/A</v>
      </c>
      <c r="CK138" s="140" t="e">
        <f ca="1">IF(AND($BB138&gt;=65,$BB138&lt;90),1,IF($CI138&gt;=Control!$C$91,0,$CG138))</f>
        <v>#N/A</v>
      </c>
      <c r="CL138" s="404" t="e">
        <f ca="1">IF($CK138=0,0,IF($CI138&lt;=Control!$C$91,$CG138*(65+(90-65)*($CJ138/Control!$C$91)),0))</f>
        <v>#N/A</v>
      </c>
      <c r="CM138" s="140" t="e">
        <f ca="1">IF($BG138+$BM138+$BS138+$BY138+$CE138+$CK138=1,0,IF(OR($BB138&gt;=90,$CI138&gt;=Control!$C$91),$BA138,$CM137))</f>
        <v>#N/A</v>
      </c>
      <c r="CN138" s="140" t="e">
        <f t="shared" ca="1" si="601"/>
        <v>#N/A</v>
      </c>
      <c r="CO138" s="140" t="e">
        <f t="shared" ca="1" si="602"/>
        <v>#N/A</v>
      </c>
      <c r="CP138" s="140" t="e">
        <f t="shared" ca="1" si="603"/>
        <v>#N/A</v>
      </c>
      <c r="CQ138" s="141" t="e">
        <f ca="1">VLOOKUP($CP138,Control!$B$86:$G$91,6)</f>
        <v>#N/A</v>
      </c>
      <c r="CR138" s="141" t="e">
        <f ca="1">(1-$CQ138)*VLOOKUP($CP138,Control!$B$86:$D$91,3)</f>
        <v>#N/A</v>
      </c>
      <c r="CS138" s="141" t="e">
        <f ca="1">(1-$CQ138)*VLOOKUP($CP138,Control!$B$86:$E$91,4)</f>
        <v>#N/A</v>
      </c>
      <c r="CT138" s="141" t="e">
        <f ca="1">(1-$CQ138)*VLOOKUP($CP138,Control!$B$86:$F$91,5)</f>
        <v>#N/A</v>
      </c>
      <c r="CU138" s="141">
        <f t="shared" ca="1" si="604"/>
        <v>0</v>
      </c>
      <c r="CV138" s="583">
        <f t="shared" ca="1" si="605"/>
        <v>0</v>
      </c>
      <c r="CW138" s="142">
        <f t="shared" ca="1" si="606"/>
        <v>134</v>
      </c>
      <c r="CX138" s="612" t="e">
        <f ca="1">IF(Control!$C$114=1,(MIN(Control!$C$120*(IF($NT138-0.01&lt;0,0,1)),Control!$C$119-$CY138)))</f>
        <v>#DIV/0!</v>
      </c>
      <c r="CY138" s="143" t="e">
        <f t="shared" ca="1" si="607"/>
        <v>#N/A</v>
      </c>
      <c r="CZ138" s="144">
        <f t="shared" ca="1" si="484"/>
        <v>0</v>
      </c>
      <c r="DA138" s="144">
        <f t="shared" ca="1" si="485"/>
        <v>0</v>
      </c>
      <c r="DB138" s="144" t="e">
        <f t="shared" ca="1" si="486"/>
        <v>#N/A</v>
      </c>
      <c r="DC138" s="144" t="e">
        <f t="shared" ca="1" si="487"/>
        <v>#N/A</v>
      </c>
      <c r="DD138" s="144" t="e">
        <f t="shared" ca="1" si="692"/>
        <v>#N/A</v>
      </c>
      <c r="DE138" s="143" t="e">
        <f t="shared" ca="1" si="608"/>
        <v>#N/A</v>
      </c>
      <c r="DF138" s="145" t="e">
        <f ca="1">$DR138*EXP(-Control!$C$158*(1-$KH138))</f>
        <v>#N/A</v>
      </c>
      <c r="DG138" s="146" t="e">
        <f ca="1">IF(Control!$C$114=1, $DF138*$EY138, 0)</f>
        <v>#N/A</v>
      </c>
      <c r="DH138" s="147" t="e">
        <f t="shared" ca="1" si="609"/>
        <v>#N/A</v>
      </c>
      <c r="DI138" s="144" t="e">
        <f t="shared" ca="1" si="670"/>
        <v>#N/A</v>
      </c>
      <c r="DJ138" s="147" t="e">
        <f ca="1">$EF138*Control!$C$109</f>
        <v>#N/A</v>
      </c>
      <c r="DK138" s="144" t="e">
        <f t="shared" ca="1" si="610"/>
        <v>#N/A</v>
      </c>
      <c r="DL138" s="144" t="e">
        <f t="shared" ca="1" si="488"/>
        <v>#N/A</v>
      </c>
      <c r="DM138" s="144" t="e">
        <f ca="1">IF(Control!$C$114=1, (1-EXP(-Control!$C$96*$DK138))*$AR138, 0)</f>
        <v>#N/A</v>
      </c>
      <c r="DN138" s="144">
        <f t="shared" ca="1" si="611"/>
        <v>0</v>
      </c>
      <c r="DO138" s="148">
        <f>Control!$C$97</f>
        <v>4</v>
      </c>
      <c r="DP138" s="145" t="e">
        <f t="shared" ca="1" si="612"/>
        <v>#N/A</v>
      </c>
      <c r="DQ138" s="145" t="e">
        <f ca="1">IF(AND($CP138&gt;=0,$CP138&lt;=90),Control!$C$111,Control!$C$111)</f>
        <v>#N/A</v>
      </c>
      <c r="DR138" s="145" t="e">
        <f t="shared" ca="1" si="489"/>
        <v>#N/A</v>
      </c>
      <c r="DS138" s="143" t="e">
        <f ca="1">Control!$B$22/$DR138</f>
        <v>#N/A</v>
      </c>
      <c r="DT138" s="149" t="e">
        <f ca="1">IF(AND(Control!$C$114=1,$KH138&lt;1),$IM138*$DF138, 0)</f>
        <v>#N/A</v>
      </c>
      <c r="DU138" s="144" t="e">
        <f t="shared" ca="1" si="613"/>
        <v>#N/A</v>
      </c>
      <c r="DV138" s="144">
        <f ca="1">IF($G138-Control!$C$107&lt;=0, 0, 0.83*LN(MAX($G138, 3))-0.8924)</f>
        <v>0</v>
      </c>
      <c r="DW138" s="144" t="e">
        <f t="shared" ca="1" si="490"/>
        <v>#N/A</v>
      </c>
      <c r="DX138" s="150" t="e">
        <f ca="1">MAX(0.01*(1+$CU138/Control!$C$102),0.05*($DK138-Control!$C$97)/Control!$C$97)</f>
        <v>#N/A</v>
      </c>
      <c r="DY138" s="151" t="e">
        <f ca="1">IF(Control!$C$114=1, $DI138*$FS138, 0)</f>
        <v>#N/A</v>
      </c>
      <c r="DZ138" s="196" t="e">
        <f t="shared" ca="1" si="614"/>
        <v>#N/A</v>
      </c>
      <c r="EA138" s="152">
        <f t="shared" ca="1" si="615"/>
        <v>134</v>
      </c>
      <c r="EB138" s="153" t="e">
        <f t="shared" ca="1" si="616"/>
        <v>#N/A</v>
      </c>
      <c r="EC138" s="153" t="e">
        <f t="shared" ca="1" si="617"/>
        <v>#N/A</v>
      </c>
      <c r="ED138" s="154" t="e">
        <f ca="1">IF(Control!$C$114=1, $HM138*$FY138-$FD138, 0)</f>
        <v>#DIV/0!</v>
      </c>
      <c r="EE138" s="155" t="e">
        <f ca="1">IF(Control!$C$114=1, $HM138*$FZ138-$FF138, 0)</f>
        <v>#DIV/0!</v>
      </c>
      <c r="EF138" s="153" t="e">
        <f t="shared" ca="1" si="671"/>
        <v>#N/A</v>
      </c>
      <c r="EG138" s="155" t="e">
        <f ca="1">IF(Control!$C$114=1, $GX138*$FW138-$FI138, 0)</f>
        <v>#DIV/0!</v>
      </c>
      <c r="EH138" s="153" t="e">
        <f t="shared" ca="1" si="618"/>
        <v>#N/A</v>
      </c>
      <c r="EI138" s="156" t="e">
        <f t="shared" ca="1" si="619"/>
        <v>#N/A</v>
      </c>
      <c r="EJ138" s="155" t="e">
        <f ca="1">IF(Control!$C$114=1, $HM138*$GB138, 0)</f>
        <v>#DIV/0!</v>
      </c>
      <c r="EK138" s="153" t="e">
        <f t="shared" ca="1" si="672"/>
        <v>#N/A</v>
      </c>
      <c r="EL138" s="153" t="e">
        <f t="shared" ca="1" si="491"/>
        <v>#N/A</v>
      </c>
      <c r="EM138" s="153" t="e">
        <f t="shared" ca="1" si="492"/>
        <v>#N/A</v>
      </c>
      <c r="EN138" s="153" t="e">
        <f ca="1">IF(Control!$C$108=1,IF(AND(Control!$B$18=1,$EB138&gt;=Control!$B$19),$EB138-$DS138,IF(AND(Control!$B$18=2,$AW138=1,$EB138&gt;$DS138),$EB138-$DS138,0)))</f>
        <v>#N/A</v>
      </c>
      <c r="EO138" s="153" t="e">
        <f ca="1">IF(Control!$C$108=1,IF(AND(Control!$B$18=1,$EB138&gt;=Control!$B$19),$EF138,IF(AND(Control!$B$18=2,$AW138=1),$EF138,0)))</f>
        <v>#N/A</v>
      </c>
      <c r="EP138" s="153" t="e">
        <f ca="1">IF(Control!$C$108=1,IF(AND(Control!$B$18=1,$EB138&gt;=Control!$B$19),$EK138,IF(AND(Control!$B$18=2,$AW138=1),$EK138,0)))</f>
        <v>#N/A</v>
      </c>
      <c r="EQ138" s="153" t="e">
        <f t="shared" ca="1" si="620"/>
        <v>#N/A</v>
      </c>
      <c r="ER138" s="153" t="e">
        <f t="shared" ca="1" si="621"/>
        <v>#N/A</v>
      </c>
      <c r="ES138" s="153" t="e">
        <f t="shared" ca="1" si="673"/>
        <v>#N/A</v>
      </c>
      <c r="ET138" s="153" t="e">
        <f t="shared" ca="1" si="674"/>
        <v>#N/A</v>
      </c>
      <c r="EU138" s="153" t="e">
        <f t="shared" ca="1" si="622"/>
        <v>#N/A</v>
      </c>
      <c r="EV138" s="153" t="e">
        <f t="shared" ca="1" si="493"/>
        <v>#N/A</v>
      </c>
      <c r="EW138" s="153" t="e">
        <f t="shared" ca="1" si="494"/>
        <v>#N/A</v>
      </c>
      <c r="EX138" s="153" t="e">
        <f t="shared" ca="1" si="495"/>
        <v>#N/A</v>
      </c>
      <c r="EY138" s="157" t="e">
        <f t="shared" ca="1" si="496"/>
        <v>#DIV/0!</v>
      </c>
      <c r="EZ138" s="154" t="e">
        <f t="shared" ca="1" si="497"/>
        <v>#DIV/0!</v>
      </c>
      <c r="FA138" s="153" t="e">
        <f t="shared" ca="1" si="623"/>
        <v>#N/A</v>
      </c>
      <c r="FB138" s="153" t="e">
        <f t="shared" ca="1" si="498"/>
        <v>#N/A</v>
      </c>
      <c r="FC138" s="193" t="e">
        <f t="shared" ca="1" si="499"/>
        <v>#N/A</v>
      </c>
      <c r="FD138" s="158" t="e">
        <f t="shared" ca="1" si="624"/>
        <v>#N/A</v>
      </c>
      <c r="FE138" s="158" t="e">
        <f t="shared" ca="1" si="625"/>
        <v>#N/A</v>
      </c>
      <c r="FF138" s="159" t="e">
        <f t="shared" ca="1" si="500"/>
        <v>#N/A</v>
      </c>
      <c r="FG138" s="160" t="e">
        <f t="shared" ca="1" si="626"/>
        <v>#N/A</v>
      </c>
      <c r="FH138" s="158" t="e">
        <f t="shared" ca="1" si="627"/>
        <v>#N/A</v>
      </c>
      <c r="FI138" s="159" t="e">
        <f t="shared" ca="1" si="501"/>
        <v>#N/A</v>
      </c>
      <c r="FJ138" s="160" t="e">
        <f t="shared" ca="1" si="628"/>
        <v>#N/A</v>
      </c>
      <c r="FK138" s="160" t="e">
        <f t="shared" ca="1" si="502"/>
        <v>#N/A</v>
      </c>
      <c r="FL138" s="160" t="e">
        <f t="shared" ca="1" si="675"/>
        <v>#N/A</v>
      </c>
      <c r="FM138" s="160" t="e">
        <f t="shared" ca="1" si="503"/>
        <v>#N/A</v>
      </c>
      <c r="FN138" s="158">
        <f t="shared" ca="1" si="629"/>
        <v>0.01</v>
      </c>
      <c r="FO138" s="160">
        <f>Control!$C$101</f>
        <v>50</v>
      </c>
      <c r="FP138" s="150" t="e">
        <f t="shared" ca="1" si="504"/>
        <v>#N/A</v>
      </c>
      <c r="FQ138" s="150" t="e">
        <f ca="1">MAX(0,(Control!$C$112*(($DK138-Control!$C$97)/Control!$C$97)))</f>
        <v>#N/A</v>
      </c>
      <c r="FR138" s="150" t="e">
        <f ca="1">(1-$NT138)*Control!$C$113</f>
        <v>#DIV/0!</v>
      </c>
      <c r="FS138" s="198" t="e">
        <f t="shared" ca="1" si="505"/>
        <v>#N/A</v>
      </c>
      <c r="FT138" s="161">
        <f t="shared" ca="1" si="630"/>
        <v>134</v>
      </c>
      <c r="FU138" s="162" t="e">
        <f ca="1">IF(Control!$B$34=1,VLOOKUP($CP138,Control!$B$86:$G$91,6),Control!$B$35)</f>
        <v>#N/A</v>
      </c>
      <c r="FV138" s="162" t="e">
        <f t="shared" ca="1" si="506"/>
        <v>#DIV/0!</v>
      </c>
      <c r="FW138" s="162" t="e">
        <f ca="1">IF(Control!$B$31=1,$FU138*$FV138,  $FU138)</f>
        <v>#N/A</v>
      </c>
      <c r="FX138" s="162" t="e">
        <f ca="1">IF(Control!$B$34=1,VLOOKUP($CP138,Control!$B$86:$G$91,3),Control!$B$36)</f>
        <v>#N/A</v>
      </c>
      <c r="FY138" s="162" t="e">
        <f t="shared" ca="1" si="507"/>
        <v>#N/A</v>
      </c>
      <c r="FZ138" s="162" t="e">
        <f ca="1">IF(Control!$B$34=1,VLOOKUP($CP138,Control!$B$86:$G$91,4),Control!$B$37)</f>
        <v>#N/A</v>
      </c>
      <c r="GA138" s="162" t="e">
        <f t="shared" ca="1" si="508"/>
        <v>#N/A</v>
      </c>
      <c r="GB138" s="162" t="e">
        <f ca="1">IF(Control!$B$34=1,VLOOKUP($CP138,Control!$B$86:$G$91,5),Control!$B$38)</f>
        <v>#N/A</v>
      </c>
      <c r="GC138" s="162" t="e">
        <f t="shared" ca="1" si="631"/>
        <v>#N/A</v>
      </c>
      <c r="GD138" s="162">
        <f t="shared" ca="1" si="509"/>
        <v>1</v>
      </c>
      <c r="GE138" s="162">
        <f t="shared" ca="1" si="510"/>
        <v>1</v>
      </c>
      <c r="GF138" s="162">
        <f ca="1">IF(AND(Control!$C$104=1, Control!$C$62="F"),$GE138,1)</f>
        <v>1</v>
      </c>
      <c r="GG138" s="162" t="e">
        <f ca="1">IF(Control!$B$16=40,0,IF(AND(Control!$B$16&gt;40,Control!$B$16&lt;=360),(Control!$B$16-40)*((1-0)/(360-40)),IF(AND(Control!$B$16&gt;360,Control!$B$16&lt;=720),(1+(Control!$B$16-360)*((1.25-1)/(720-360))),IF(AND(Control!$B$16&gt;720,Control!$B$16&lt;=1000),(1.25+(Control!$B$16-720)*((1.35-1.25)/(1000-720))),IF(AND(Control!$B$16&gt;1000,Control!$B$16&lt;=2000),(1.35+(Control!$B$16-1000)*0))))))</f>
        <v>#N/A</v>
      </c>
      <c r="GH138" s="162" t="e">
        <f t="shared" ca="1" si="511"/>
        <v>#N/A</v>
      </c>
      <c r="GI138" s="162">
        <f t="shared" ca="1" si="632"/>
        <v>0</v>
      </c>
      <c r="GJ138" s="162">
        <f t="shared" ca="1" si="512"/>
        <v>0</v>
      </c>
      <c r="GK138" s="162">
        <f t="shared" ca="1" si="633"/>
        <v>1</v>
      </c>
      <c r="GL138" s="162">
        <f t="shared" ca="1" si="513"/>
        <v>1</v>
      </c>
      <c r="GM138" s="162" t="e">
        <f ca="1">MAX(0,MIN(1,1-Control!$C$156*(1.0001-$KH138)^2))</f>
        <v>#N/A</v>
      </c>
      <c r="GN138" s="162" t="e">
        <f ca="1">IF(Control!$B$26=1,$KU138,$KX138)</f>
        <v>#N/A</v>
      </c>
      <c r="GO138" s="162" t="e">
        <f ca="1">IF($CP138&lt;=60,Control!$C$105,IF($CP138&gt;=90,Control!$C$106,Control!$C$105+($CP138-60)*((Control!$C$106-Control!$C$105)/(90-60))))</f>
        <v>#N/A</v>
      </c>
      <c r="GP138" s="162" t="e">
        <f t="shared" ca="1" si="514"/>
        <v>#N/A</v>
      </c>
      <c r="GQ138" s="162" t="e">
        <f t="shared" ca="1" si="634"/>
        <v>#N/A</v>
      </c>
      <c r="GR138" s="163" t="e">
        <f t="shared" ca="1" si="515"/>
        <v>#DIV/0!</v>
      </c>
      <c r="GS138" s="162" t="e">
        <f t="shared" ca="1" si="516"/>
        <v>#DIV/0!</v>
      </c>
      <c r="GT138" s="164" t="e">
        <f t="shared" ca="1" si="635"/>
        <v>#N/A</v>
      </c>
      <c r="GU138" s="162" t="e">
        <f t="shared" ca="1" si="636"/>
        <v>#N/A</v>
      </c>
      <c r="GV138" s="162" t="e">
        <f t="shared" ca="1" si="517"/>
        <v>#N/A</v>
      </c>
      <c r="GW138" s="162" t="e">
        <f t="shared" ca="1" si="518"/>
        <v>#DIV/0!</v>
      </c>
      <c r="GX138" s="162" t="e">
        <f t="shared" ca="1" si="637"/>
        <v>#DIV/0!</v>
      </c>
      <c r="GY138" s="162" t="e">
        <f t="shared" ca="1" si="638"/>
        <v>#DIV/0!</v>
      </c>
      <c r="GZ138" s="165" t="e">
        <f t="shared" ca="1" si="519"/>
        <v>#N/A</v>
      </c>
      <c r="HA138" s="162" t="e">
        <f ca="1">IF(Control!$C$114=1, $DI138*$FS138, 0)</f>
        <v>#N/A</v>
      </c>
      <c r="HB138" s="162" t="e">
        <f ca="1">$FA138/Control!$C$64</f>
        <v>#N/A</v>
      </c>
      <c r="HC138" s="162" t="e">
        <f t="shared" ca="1" si="520"/>
        <v>#DIV/0!</v>
      </c>
      <c r="HD138" s="162">
        <f ca="1">-ASIN(SIN(23.45*Control!$C$139)*COS(2*Control!$C$138*($AH138+10)/365))</f>
        <v>0.31909463731388998</v>
      </c>
      <c r="HE138" s="165">
        <f t="shared" ca="1" si="639"/>
        <v>0</v>
      </c>
      <c r="HF138" s="166">
        <f ca="1">IF(AND(Control!$C$61="T",$HE138&gt;=Control!$C$103,Control!$C$114=0),$AH138,Control!$C$59)</f>
        <v>1</v>
      </c>
      <c r="HG138" s="166">
        <f ca="1">IF(AND(Control!$C$61="T",$HE138&gt;=Control!$C$103,Control!$C$114=0),$HF138,Control!$C$59)</f>
        <v>1</v>
      </c>
      <c r="HH138" s="165">
        <f ca="1">IF(AND(OR(Control!$C$60&lt;=0, $AH138= Control!$C$59, Control!$C$60 &gt;0, $AH138 = Control!$C$60)), Control!$C$59, IF(Control!$C$60&gt;0, 0))</f>
        <v>1</v>
      </c>
      <c r="HI138" s="165">
        <f ca="1">IF(AND(OR(Control!$C$60&lt;=0, $AH138= Control!$C$59, Control!$C$60 &gt;0, $AH138 = Control!$C$60)), Control!$C$60, IF(Control!$C$60&lt;=0, 0))</f>
        <v>0</v>
      </c>
      <c r="HJ138" s="166">
        <f ca="1">IF(AND(Control!$C$62="F",$CV138&gt;=Control!$C$102),$AH138,0)</f>
        <v>0</v>
      </c>
      <c r="HK138" s="165" t="e">
        <f t="shared" ca="1" si="676"/>
        <v>#N/A</v>
      </c>
      <c r="HL138" s="166">
        <f ca="1">IF(AND(Control!$C$61="T",$HE138&gt;=Control!$C$103,Control!$C$114=0),$HF138,0)</f>
        <v>0</v>
      </c>
      <c r="HM138" s="201" t="e">
        <f t="shared" ca="1" si="521"/>
        <v>#DIV/0!</v>
      </c>
      <c r="HN138" s="215">
        <f t="shared" ca="1" si="640"/>
        <v>134</v>
      </c>
      <c r="HO138" s="216" t="e">
        <f ca="1">IF(AND($CP138&gt;=0, $CP138&lt;=90), Control!$C$152, Control!$C$152)</f>
        <v>#N/A</v>
      </c>
      <c r="HP138" s="216" t="e">
        <f t="shared" ca="1" si="522"/>
        <v>#N/A</v>
      </c>
      <c r="HQ138" s="217" t="e">
        <f ca="1">IF(OR(Control!$B$26=1,Control!$B$26=2),$KV138,$KS138)</f>
        <v>#DIV/0!</v>
      </c>
      <c r="HR138" s="218" t="e">
        <f t="shared" ca="1" si="677"/>
        <v>#DIV/0!</v>
      </c>
      <c r="HS138" s="216" t="e">
        <f ca="1">Control!$C$154*$HP138</f>
        <v>#N/A</v>
      </c>
      <c r="HT138" s="216" t="e">
        <f ca="1">Control!$C$155*$HP138</f>
        <v>#N/A</v>
      </c>
      <c r="HU138" s="217" t="e">
        <f ca="1">Control!$C$161*$FI138</f>
        <v>#N/A</v>
      </c>
      <c r="HV138" s="218" t="e">
        <f t="shared" ca="1" si="641"/>
        <v>#N/A</v>
      </c>
      <c r="HW138" s="218" t="e">
        <f ca="1">Control!$C$160*$FF138+$IP138*$EO138</f>
        <v>#N/A</v>
      </c>
      <c r="HX138" s="218" t="e">
        <f t="shared" ca="1" si="678"/>
        <v>#N/A</v>
      </c>
      <c r="HY138" s="219" t="e">
        <f ca="1">IF(Control!$C$114=1, $EB138*$FS138, 0)</f>
        <v>#N/A</v>
      </c>
      <c r="HZ138" s="91" t="e">
        <f t="shared" ca="1" si="523"/>
        <v>#N/A</v>
      </c>
      <c r="IA138" s="220" t="e">
        <f ca="1">Control!$C$153*$HO138</f>
        <v>#N/A</v>
      </c>
      <c r="IB138" s="218" t="e">
        <f t="shared" ca="1" si="524"/>
        <v>#N/A</v>
      </c>
      <c r="IC138" s="220" t="e">
        <f ca="1">Control!$C$153*$HT138</f>
        <v>#N/A</v>
      </c>
      <c r="ID138" s="218" t="e">
        <f t="shared" ca="1" si="525"/>
        <v>#N/A</v>
      </c>
      <c r="IE138" s="221" t="e">
        <f ca="1">($EB138*Control!$C$159+$EF138*Control!$C$160)/(IF($GZ138&lt;&gt;0,$GZ138,1))</f>
        <v>#N/A</v>
      </c>
      <c r="IF138" s="216" t="e">
        <f t="shared" ca="1" si="526"/>
        <v>#N/A</v>
      </c>
      <c r="IG138" s="91">
        <f ca="1">IF(OR(Control!$B$198=$AH138,Control!$B$199=$AH138, Control!$B$200=$AH138, Control!$B$201=$AH138, Control!$B$202=$AH138, Control!$B$203=$AH138, Control!$B$204=$AH138, Control!$B$205=$AH138, Control!$B$206=$AH138, Control!$B$207=$AH138), 1, 0)</f>
        <v>0</v>
      </c>
      <c r="IH138" s="91">
        <f ca="1">IF($IG138=0,0, VLOOKUP($AH138,Control!$B$198:$C$207,2))</f>
        <v>0</v>
      </c>
      <c r="II138" s="222">
        <f t="shared" ca="1" si="642"/>
        <v>0</v>
      </c>
      <c r="IJ138" s="91">
        <f>Control!$C$121</f>
        <v>0.7</v>
      </c>
      <c r="IK138" s="218">
        <f t="shared" ca="1" si="527"/>
        <v>0</v>
      </c>
      <c r="IL138" s="217" t="e">
        <f t="shared" ca="1" si="679"/>
        <v>#N/A</v>
      </c>
      <c r="IM138" s="223" t="e">
        <f ca="1">IF(AND(Control!$C$114=1,$KH138&lt;1),$EB138*Control!$C$148*(1-$KH138), 0)</f>
        <v>#N/A</v>
      </c>
      <c r="IN138" s="217" t="e">
        <f t="shared" ca="1" si="528"/>
        <v>#DIV/0!</v>
      </c>
      <c r="IO138" s="91" t="e">
        <f ca="1">MAX(0,$IL138-$EF138*Control!$C$160)</f>
        <v>#N/A</v>
      </c>
      <c r="IP138" s="220" t="e">
        <f t="shared" ca="1" si="529"/>
        <v>#N/A</v>
      </c>
      <c r="IQ138" s="217" t="e">
        <f t="shared" ca="1" si="643"/>
        <v>#N/A</v>
      </c>
      <c r="IR138" s="218" t="e">
        <f t="shared" ca="1" si="530"/>
        <v>#N/A</v>
      </c>
      <c r="IS138" s="217" t="e">
        <f ca="1">Control!$C$159*MAX(0,$FD138-$EN138)</f>
        <v>#N/A</v>
      </c>
      <c r="IT138" s="217" t="e">
        <f t="shared" ca="1" si="680"/>
        <v>#N/A</v>
      </c>
      <c r="IU138" s="217" t="e">
        <f t="shared" ca="1" si="644"/>
        <v>#N/A</v>
      </c>
      <c r="IV138" s="217" t="e">
        <f t="shared" ca="1" si="681"/>
        <v>#N/A</v>
      </c>
      <c r="IW138" s="217" t="e">
        <f ca="1">IF(OR($AW138=1,AND($AW138=0, Control!$B$18=1,$EN138&lt;&gt;0)), $IQ138-$IU138, $IQ138)</f>
        <v>#N/A</v>
      </c>
      <c r="IX138" s="218" t="e">
        <f t="shared" ca="1" si="531"/>
        <v>#N/A</v>
      </c>
      <c r="IY138" s="218" t="e">
        <f ca="1">MAX(0,$IQ138-$EB138*Control!$C$159)</f>
        <v>#N/A</v>
      </c>
      <c r="IZ138" s="218" t="e">
        <f t="shared" ca="1" si="532"/>
        <v>#N/A</v>
      </c>
      <c r="JA138" s="216" t="e">
        <f t="shared" ca="1" si="533"/>
        <v>#N/A</v>
      </c>
      <c r="JB138" s="217" t="e">
        <f t="shared" ca="1" si="534"/>
        <v>#N/A</v>
      </c>
      <c r="JC138" s="222" t="e">
        <f ca="1">MAX(Control!$C$157*$EK138-$JT138, 0)/Control!$C$162</f>
        <v>#N/A</v>
      </c>
      <c r="JD138" s="218" t="e">
        <f t="shared" ca="1" si="535"/>
        <v>#N/A</v>
      </c>
      <c r="JE138" s="218" t="e">
        <f t="shared" ca="1" si="536"/>
        <v>#N/A</v>
      </c>
      <c r="JF138" s="218" t="e">
        <f t="shared" ca="1" si="645"/>
        <v>#N/A</v>
      </c>
      <c r="JG138" s="218" t="e">
        <f t="shared" ca="1" si="537"/>
        <v>#N/A</v>
      </c>
      <c r="JH138" s="217" t="e">
        <f t="shared" ca="1" si="646"/>
        <v>#N/A</v>
      </c>
      <c r="JI138" s="217" t="e">
        <f t="shared" ca="1" si="647"/>
        <v>#N/A</v>
      </c>
      <c r="JJ138" s="217" t="e">
        <f t="shared" ca="1" si="682"/>
        <v>#N/A</v>
      </c>
      <c r="JK138" s="217" t="e">
        <f ca="1">IF(Control!$C$114=1,IF(Control!$B$24=0,MAX(0,$JI138)*$GN138/Control!$C$64,(MAX(0,MIN($JI138,$JJ138*$GN138/Control!$C$64),0))))</f>
        <v>#N/A</v>
      </c>
      <c r="JL138" s="217" t="e">
        <f ca="1">$IK138/Control!$C$64-$JK138+$HQ138</f>
        <v>#N/A</v>
      </c>
      <c r="JM138" s="217" t="e">
        <f ca="1">IF(Control!$C$114=1,($JB138/(IF($JI138&lt;&gt;0,$JI138,1)))*$JK138,0)</f>
        <v>#N/A</v>
      </c>
      <c r="JN138" s="217" t="e">
        <f ca="1">IF(Control!$C$114=1,($JG138/(IF($JI138&lt;&gt;0,$JI138,1)))*$JK138, 0)</f>
        <v>#N/A</v>
      </c>
      <c r="JO138" s="218" t="e">
        <f t="shared" ca="1" si="538"/>
        <v>#N/A</v>
      </c>
      <c r="JP138" s="218" t="e">
        <f ca="1">MIN(($IY138+$IO138)*Control!$C$151, $JF138-$EH138*Control!$C$161)</f>
        <v>#N/A</v>
      </c>
      <c r="JQ138" s="218" t="e">
        <f t="shared" ca="1" si="539"/>
        <v>#N/A</v>
      </c>
      <c r="JR138" s="217" t="e">
        <f ca="1">IF($CP138-Control!$C$150&lt;0, 0, $JQ138/Control!$C$162)</f>
        <v>#N/A</v>
      </c>
      <c r="JS138" s="218" t="e">
        <f t="shared" ca="1" si="540"/>
        <v>#N/A</v>
      </c>
      <c r="JT138" s="218" t="e">
        <f t="shared" ca="1" si="648"/>
        <v>#N/A</v>
      </c>
      <c r="JU138" s="218" t="e">
        <f t="shared" ca="1" si="541"/>
        <v>#N/A</v>
      </c>
      <c r="JV138" s="218" t="e">
        <f t="shared" ca="1" si="542"/>
        <v>#N/A</v>
      </c>
      <c r="JW138" s="216" t="e">
        <f t="shared" ca="1" si="543"/>
        <v>#N/A</v>
      </c>
      <c r="JX138" s="91" t="e">
        <f t="shared" ca="1" si="544"/>
        <v>#N/A</v>
      </c>
      <c r="JY138" s="218" t="e">
        <f t="shared" ca="1" si="545"/>
        <v>#N/A</v>
      </c>
      <c r="JZ138" s="217" t="e">
        <f ca="1">IF(Control!$C$114=1,($IZ138/(IF($JI138&lt;&gt;0,$JI138,1)))*$JK138, 0)</f>
        <v>#N/A</v>
      </c>
      <c r="KA138" s="218" t="e">
        <f t="shared" ca="1" si="683"/>
        <v>#N/A</v>
      </c>
      <c r="KB138" s="218" t="e">
        <f t="shared" ca="1" si="649"/>
        <v>#N/A</v>
      </c>
      <c r="KC138" s="218" t="e">
        <f t="shared" ca="1" si="546"/>
        <v>#N/A</v>
      </c>
      <c r="KD138" s="218" t="e">
        <f t="shared" ca="1" si="547"/>
        <v>#N/A</v>
      </c>
      <c r="KE138" s="218" t="e">
        <f t="shared" ca="1" si="548"/>
        <v>#N/A</v>
      </c>
      <c r="KF138" s="218" t="e">
        <f t="shared" ca="1" si="549"/>
        <v>#N/A</v>
      </c>
      <c r="KG138" s="216" t="e">
        <f t="shared" ca="1" si="550"/>
        <v>#N/A</v>
      </c>
      <c r="KH138" s="221" t="e">
        <f ca="1">IF(Control!$B$24=0,1,MAX(0.001,MIN(1,IF(($IF138-$IE138)&lt;&gt;0,($KG138-$IE138)/($IF138-$IE138),1))))</f>
        <v>#N/A</v>
      </c>
      <c r="KI138" s="222" t="e">
        <f ca="1">IF(Control!$C$114=1, $KI137+ $KH137, 0)</f>
        <v>#N/A</v>
      </c>
      <c r="KJ138" s="217" t="e">
        <f t="shared" ca="1" si="551"/>
        <v>#N/A</v>
      </c>
      <c r="KK138" s="218" t="e">
        <f t="shared" ca="1" si="552"/>
        <v>#N/A</v>
      </c>
      <c r="KL138" s="274" t="e">
        <f ca="1">IF(Control!$B$26=3,4000000000*EXP(-8400/($G138+273)),IF(Control!$B$26=4,4000000000*EXP(-8400/($G138+273))*($KT138),0))</f>
        <v>#DIV/0!</v>
      </c>
      <c r="KM138" s="274" t="e">
        <f ca="1">IF(Control!$B$26=3,5600000000000*EXP(-9800/($G138+273)),IF(Control!$B$26=4,5600000000000*EXP(-9800/($G138+273))*$KT138,0))</f>
        <v>#DIV/0!</v>
      </c>
      <c r="KN138" s="454" t="e">
        <f t="shared" ca="1" si="650"/>
        <v>#DIV/0!</v>
      </c>
      <c r="KO138" s="274" t="e">
        <f t="shared" ca="1" si="651"/>
        <v>#DIV/0!</v>
      </c>
      <c r="KP138" s="454" t="e">
        <f t="shared" ca="1" si="553"/>
        <v>#DIV/0!</v>
      </c>
      <c r="KQ138" s="454" t="e">
        <f t="shared" ca="1" si="554"/>
        <v>#DIV/0!</v>
      </c>
      <c r="KR138" s="454" t="e">
        <f t="shared" ca="1" si="555"/>
        <v>#DIV/0!</v>
      </c>
      <c r="KS138" s="454" t="e">
        <f t="shared" ca="1" si="556"/>
        <v>#DIV/0!</v>
      </c>
      <c r="KT138" s="455" t="e">
        <f t="shared" ca="1" si="557"/>
        <v>#DIV/0!</v>
      </c>
      <c r="KU138" s="456" t="e">
        <f ca="1">IF($CP138-Control!$C$149&lt;0, IF($NT138-0.01&lt;0,0,1),0)</f>
        <v>#N/A</v>
      </c>
      <c r="KV138" s="456" t="e">
        <f ca="1">IF(Control!$C$114=1,MAX(0,MIN(Control!$C$125*$KW138*$GN138,$KW138)))</f>
        <v>#DIV/0!</v>
      </c>
      <c r="KW138" s="456" t="e">
        <f t="shared" ca="1" si="684"/>
        <v>#DIV/0!</v>
      </c>
      <c r="KX138" s="457" t="e">
        <f ca="1">IF($CP138-Control!$C$149&lt;0, IF($MR138-$OM138&lt;0,0,1),0)</f>
        <v>#N/A</v>
      </c>
      <c r="KY138" s="167">
        <f t="shared" ca="1" si="652"/>
        <v>134</v>
      </c>
      <c r="KZ138" s="168">
        <f ca="1">1370*(1+0.033*COS(2*Control!$C$138*$AH138/365))</f>
        <v>1339.6521565598182</v>
      </c>
      <c r="LA138" s="169">
        <f t="shared" ca="1" si="653"/>
        <v>0.97784842140027151</v>
      </c>
      <c r="LB138" s="169">
        <f t="shared" ca="1" si="654"/>
        <v>0.32458252437559854</v>
      </c>
      <c r="LC138" s="169">
        <f ca="1">ACOS(-TAN((2*Control!$B$8/360))*TAN(Calculations!$LB138))</f>
        <v>1.6709675529140178</v>
      </c>
      <c r="LD138" s="169">
        <f ca="1">((24*60)/PI())*0.082*$LA138*(($LC138*SIN(Control!$B$8*2*PI()/360))*SIN($LB138)+COS(Control!$B$8*2*PI()/360)*COS($LB138)*SIN($LC138))</f>
        <v>36.772360345494597</v>
      </c>
      <c r="LE138" s="170">
        <f t="shared" ca="1" si="558"/>
        <v>37.686882227852159</v>
      </c>
      <c r="LF138" s="170">
        <f ca="1">SIN(Control!$C$139*Control!$B$8)*SIN($HD138)</f>
        <v>0.24720492260907118</v>
      </c>
      <c r="LG138" s="170">
        <f ca="1">COS(Control!$C$139*Control!$B$8)*COS($HD138)</f>
        <v>0.58458118885323862</v>
      </c>
      <c r="LH138" s="170">
        <f ca="1">12*(1+2*ASIN(MAX(-1,MIN(1,$LF138/$LG138))/Control!$C$138))</f>
        <v>15.240357258514415</v>
      </c>
      <c r="LI138" s="170">
        <f ca="1">12*(1+2*ASIN(MAX(-1,MIN(1,(-SIN(-4*Control!$C$139)+$LF138)/$LG138))/Control!$C$138))</f>
        <v>16.162958523189577</v>
      </c>
      <c r="LJ138" s="168">
        <f ca="1">3600*($LH138*$LF138+24*$LG138*SQRT(1-$LK138*$LK138)/Control!$C$138)</f>
        <v>28131.841570449757</v>
      </c>
      <c r="LK138" s="170">
        <f t="shared" ca="1" si="559"/>
        <v>0.42287526065285846</v>
      </c>
      <c r="LL138" s="170">
        <f t="shared" ca="1" si="560"/>
        <v>0</v>
      </c>
      <c r="LM138" s="171">
        <f ca="1">Control!$C$145*$AB138</f>
        <v>6.6660906138995932E-2</v>
      </c>
      <c r="LN138" s="170">
        <f t="shared" ca="1" si="655"/>
        <v>0.54</v>
      </c>
      <c r="LO138" s="170">
        <f t="shared" ca="1" si="561"/>
        <v>0</v>
      </c>
      <c r="LP138" s="170">
        <f ca="1">Control!$C$140*((($D138+273.16)^4+($E138+273.16)^4)/2)*(0.34-0.14*SQRT($Y138))*(1.35*$AQ138/(0.75*$LD138)-0.35)</f>
        <v>-3.2464704755046001</v>
      </c>
      <c r="LQ138" s="170">
        <f ca="1">Control!$C$140*($G138+273)^4*(0.56-0.079*SQRT($Y138*10))*(0.1+0.9*$LO138)</f>
        <v>1.5241745131704001</v>
      </c>
      <c r="LR138" s="170">
        <f ca="1">$AQ138*(1-Control!$C$142)-$LQ138</f>
        <v>-1.5241745131704001</v>
      </c>
      <c r="LS138" s="170">
        <f ca="1">$AQ138*(1-Control!$C$143)-$LQ138</f>
        <v>-1.5241745131704001</v>
      </c>
      <c r="LT138" s="170">
        <f ca="1">$AQ138*(1-Control!$C$144)-$LQ138</f>
        <v>-1.5241745131704001</v>
      </c>
      <c r="LU138" s="169">
        <f ca="1">(1-Control!$C$144)*AQ138-LP138</f>
        <v>3.2464704755046001</v>
      </c>
      <c r="LV138" s="172">
        <f t="shared" ca="1" si="562"/>
        <v>0.79430000000000012</v>
      </c>
      <c r="LW138" s="170">
        <f t="shared" ca="1" si="563"/>
        <v>1.5886000000000002</v>
      </c>
      <c r="LX138" s="170">
        <f ca="1">($AC138*($LR138/Control!$C$141)+$LM138*$LV138)/($AC138+$LM138)</f>
        <v>0.23530094218323697</v>
      </c>
      <c r="LY138" s="170">
        <f ca="1">($AC138*($LS138/Control!$C$141)+$LM138*$LV138)/($AC138+$LM138)</f>
        <v>0.23530094218323697</v>
      </c>
      <c r="LZ138" s="170">
        <f t="shared" ca="1" si="564"/>
        <v>0.23530094218323697</v>
      </c>
      <c r="MA138" s="170">
        <f t="shared" ca="1" si="565"/>
        <v>0.23530094218323697</v>
      </c>
      <c r="MB138" s="170" t="e">
        <f t="shared" ca="1" si="566"/>
        <v>#N/A</v>
      </c>
      <c r="MC138" s="170">
        <f t="shared" ca="1" si="656"/>
        <v>0.6018</v>
      </c>
      <c r="MD138" s="170">
        <f t="shared" ca="1" si="567"/>
        <v>0.52989392535414004</v>
      </c>
      <c r="ME138" s="170">
        <f ca="1">($AC138*($LT138/Control!$C$141)+$LM138*$LW138)/($AC138+$LM138)</f>
        <v>0.71612369323045078</v>
      </c>
      <c r="MF138" s="170" t="e">
        <f ca="1">IF(Control!$B$16&gt;=1000,0.92,IF(AND(720&lt;=Control!$B$16,1000&gt;Control!$B$16),(0.95+(Control!$B$16-720)*((0.92-0.95)/(1000-720))),IF(AND(360&lt;=Control!$B$16,720&gt;Control!$B$16),(1+(Control!$B$16-360)*((0.95-1)/(720-360))),IF(AND(40&lt;=Control!$B$16,360&gt;Control!$B$16),(1.05+(Control!$B$16-40)*((1.05-1)/(360-40)))))))</f>
        <v>#N/A</v>
      </c>
      <c r="MG138" s="170">
        <f t="shared" ca="1" si="568"/>
        <v>0.71612369323045078</v>
      </c>
      <c r="MH138" s="170" t="e">
        <f t="shared" ca="1" si="464"/>
        <v>#N/A</v>
      </c>
      <c r="MI138" s="170" t="e">
        <f t="shared" ca="1" si="464"/>
        <v>#N/A</v>
      </c>
      <c r="MJ138" s="170" t="e">
        <f ca="1">MAX(0.0001, Control!$C$132*$MI138*$DL138)</f>
        <v>#N/A</v>
      </c>
      <c r="MK138" s="170">
        <f ca="1">1/(0.76+1.5*($MG138/10))-(5-Control!$C$110)*0.1</f>
        <v>1.002845988140797</v>
      </c>
      <c r="ML138" s="173">
        <f ca="1">IF(Control!$C$110&lt;3,$MK138+($MG138-0.6)/(Control!$C$110*(Control!$C$110+3)), MAX(0.1, MIN(0.95,$MK138)))</f>
        <v>0.95</v>
      </c>
      <c r="MM138" s="173">
        <f ca="1">IF(Control!$C$110&lt;3,$MK138+(($MI138/10)-0.6)/(Control!$C$110*(Control!$C$110+3)), MAX(0.1, MIN(0.95,$MK138)))</f>
        <v>0.95</v>
      </c>
      <c r="MN138" s="173">
        <f ca="1">(1-$MM138)*(Control!$C$128-Control!$C$127)+Control!$C$127</f>
        <v>0.16</v>
      </c>
      <c r="MO138" s="170" t="e">
        <f ca="1">MAX(0,MIN(1,($MS138-Control!$C$127)/($MN138-Control!$C$127)))</f>
        <v>#DIV/0!</v>
      </c>
      <c r="MP138" s="173" t="e">
        <f ca="1">1/(0.76+1.5*$MI138)-(5-Control!$C$110)*0.1</f>
        <v>#N/A</v>
      </c>
      <c r="MQ138" s="172" t="e">
        <f t="shared" ca="1" si="685"/>
        <v>#DIV/0!</v>
      </c>
      <c r="MR138" s="168" t="e">
        <f t="shared" ca="1" si="657"/>
        <v>#DIV/0!</v>
      </c>
      <c r="MS138" s="173" t="e">
        <f ca="1">MAX(Control!$C$127, MIN(Control!$C$135, $MR138/MAX(0.0001,$CY138)))</f>
        <v>#DIV/0!</v>
      </c>
      <c r="MT138" s="168" t="e">
        <f ca="1">(Control!$C$128-$MS138)*Control!$C$74</f>
        <v>#DIV/0!</v>
      </c>
      <c r="MU138" s="168" t="e">
        <f ca="1">(Control!$C$135-$MS138)*Control!$C$74</f>
        <v>#DIV/0!</v>
      </c>
      <c r="MV138" s="168" t="e">
        <f t="shared" ca="1" si="658"/>
        <v>#DIV/0!</v>
      </c>
      <c r="MW138" s="168" t="e">
        <f t="shared" ca="1" si="659"/>
        <v>#DIV/0!</v>
      </c>
      <c r="MX138" s="171" t="e">
        <f ca="1">MAX(Control!$C$127, MIN(Control!$C$135, $MW138/MAX(0.0001,Control!$C$119-$CY138)))</f>
        <v>#DIV/0!</v>
      </c>
      <c r="MY138" s="54" t="e">
        <f ca="1">IF(Control!$C$114=1, $CX138*$MX138, 0)</f>
        <v>#DIV/0!</v>
      </c>
      <c r="MZ138" s="54" t="e">
        <f t="shared" ca="1" si="660"/>
        <v>#N/A</v>
      </c>
      <c r="NA138" s="168" t="e">
        <f ca="1">(Control!$C$128-$MX138)*(Control!$C$119-Control!$C$74)</f>
        <v>#DIV/0!</v>
      </c>
      <c r="NB138" s="168" t="e">
        <f ca="1">(Control!$C$135-$MX138)*(Control!$C$119-Control!$C$74)</f>
        <v>#DIV/0!</v>
      </c>
      <c r="NC138" s="174" t="e">
        <f t="shared" ca="1" si="661"/>
        <v>#DIV/0!</v>
      </c>
      <c r="ND138" s="54">
        <f ca="1">IF(Control!$C$58=2, IF(OR(Control!$B$218=$AH138,Control!$B$219=$AH138, Control!$B$220=$AH138, Control!$B$221=$AH138, Control!$B$222=$AH138, Control!$B$223=$AH138, Control!$B$224=$AH138, Control!$B$225=$AH138, Control!$B$226=$AH138, Control!$B$227=$AH138, Control!$B$228=$AH138), 1, 0), 0)</f>
        <v>1</v>
      </c>
      <c r="NE138" s="54">
        <f ca="1">IF($ND138=0,0, VLOOKUP($AH138,Control!$B$218:$C$228,2))</f>
        <v>0</v>
      </c>
      <c r="NF138" s="168" t="e">
        <f ca="1">$CY138*(Control!$C$128-Control!$C$127)</f>
        <v>#N/A</v>
      </c>
      <c r="NG138" s="54" t="e">
        <f ca="1">IF(Control!$C$58=2, $NI137-$NJ137, 0)</f>
        <v>#DIV/0!</v>
      </c>
      <c r="NH138" s="54" t="e">
        <f ca="1">IF(AND(Control!$C$58=1, $MS137&lt;= ($MN137+0.02), $I137&lt;10), 0, IF(Control!$C$58=2, $NG137, 0))</f>
        <v>#DIV/0!</v>
      </c>
      <c r="NI138" s="54" t="e">
        <f ca="1">IF(Control!$C$58=2, $NE138+$NH138,0)</f>
        <v>#DIV/0!</v>
      </c>
      <c r="NJ138" s="54" t="e">
        <f ca="1">IF(AND(Control!$C$58=1, $MS138&lt;= ($MN138+0.02), $I138&lt;10), MAX(0, MIN(10, 0.7*($NF138-$MV138))), IF(Control!$C$58=2, MIN(10,$NI138),0))</f>
        <v>#DIV/0!</v>
      </c>
      <c r="NK138" s="54" t="e">
        <f t="shared" ca="1" si="569"/>
        <v>#DIV/0!</v>
      </c>
      <c r="NL138" s="173" t="e">
        <f ca="1">(1-Control!$C$73)*$I138+$NJ138</f>
        <v>#DIV/0!</v>
      </c>
      <c r="NM138" s="172" t="e">
        <f ca="1">IF($NL138&lt;0.5, $MB138* MAX(0, MIN(1, (SQRT($NC138)-SQRT($NC138-1))*Control!$C$71)),0)</f>
        <v>#DIV/0!</v>
      </c>
      <c r="NN138" s="170" t="e">
        <f ca="1">IF($NL138&gt;=5, $MB138, MAX(0,MIN($MB138, $NM138+$NL138,($MS138-Control!$C$129))))</f>
        <v>#DIV/0!</v>
      </c>
      <c r="NO138" s="54">
        <f>IF(Control!$C$133&lt;&gt;1, Control!$C$135-Control!$C$131, 0)</f>
        <v>0.38</v>
      </c>
      <c r="NP138" s="54" t="e">
        <f t="shared" ca="1" si="570"/>
        <v>#DIV/0!</v>
      </c>
      <c r="NQ138" s="173" t="e">
        <f ca="1">MAX(0,MIN(1,(Control!$C$135-$MS138)/(Control!$C$135-$NO138)))</f>
        <v>#DIV/0!</v>
      </c>
      <c r="NR138" s="170" t="e">
        <f ca="1">IF(Control!$C$133&lt;&gt;1, $NQ138+((1-$NP138/4)*(1-$NQ138)),1)</f>
        <v>#DIV/0!</v>
      </c>
      <c r="NS138" s="170" t="e">
        <f ca="1">IF(Control!$B$31=0,$MJ138,MAX(0,MIN($MV138,$MO138*$NR138*$MJ138)))</f>
        <v>#DIV/0!</v>
      </c>
      <c r="NT138" s="170" t="e">
        <f t="shared" ca="1" si="686"/>
        <v>#DIV/0!</v>
      </c>
      <c r="NU138" s="170" t="e">
        <f t="shared" ca="1" si="662"/>
        <v>#N/A</v>
      </c>
      <c r="NV138" s="170" t="e">
        <f t="shared" ca="1" si="571"/>
        <v>#N/A</v>
      </c>
      <c r="NW138" s="175" t="e">
        <f t="shared" ca="1" si="572"/>
        <v>#DIV/0!</v>
      </c>
      <c r="NX138" s="170" t="e">
        <f ca="1">MIN(Control!$C$72+$MU138, $NW138)</f>
        <v>#DIV/0!</v>
      </c>
      <c r="NY138" s="170" t="e">
        <f ca="1">IF($MT138&lt;=$NX138,MIN(Control!$C$72+$NB138,$NX138-$MT138),0)</f>
        <v>#DIV/0!</v>
      </c>
      <c r="NZ138" s="54" t="e">
        <f ca="1">IF(Control!$C$114=1,  $CX138*($MX138-Control!$C$127), 0)</f>
        <v>#DIV/0!</v>
      </c>
      <c r="OA138" s="170" t="e">
        <f t="shared" ca="1" si="573"/>
        <v>#DIV/0!</v>
      </c>
      <c r="OB138" s="170" t="e">
        <f ca="1">IF($NA138 &lt;=$NY138, MIN(Control!$C$72, $NY138-$NA138), 0)</f>
        <v>#DIV/0!</v>
      </c>
      <c r="OC138" s="168" t="e">
        <f t="shared" ca="1" si="574"/>
        <v>#DIV/0!</v>
      </c>
      <c r="OD138" s="168" t="e">
        <f t="shared" ca="1" si="663"/>
        <v>#DIV/0!</v>
      </c>
      <c r="OE138" s="170">
        <f ca="1">Control!$C$73*$I138</f>
        <v>0</v>
      </c>
      <c r="OF138" s="176" t="e">
        <f t="shared" ca="1" si="575"/>
        <v>#DIV/0!</v>
      </c>
      <c r="OG138" s="168" t="e">
        <f t="shared" ca="1" si="576"/>
        <v>#DIV/0!</v>
      </c>
      <c r="OH138" s="168" t="e">
        <f t="shared" ca="1" si="577"/>
        <v>#DIV/0!</v>
      </c>
      <c r="OI138" s="168" t="e">
        <f t="shared" ca="1" si="578"/>
        <v>#DIV/0!</v>
      </c>
      <c r="OJ138" s="168" t="e">
        <f t="shared" ca="1" si="579"/>
        <v>#DIV/0!</v>
      </c>
      <c r="OK138" s="204" t="e">
        <f t="shared" ca="1" si="580"/>
        <v>#DIV/0!</v>
      </c>
      <c r="OL138" s="177">
        <f>Control!$C$127</f>
        <v>0.15</v>
      </c>
      <c r="OM138" s="182" t="e">
        <f t="shared" ca="1" si="581"/>
        <v>#N/A</v>
      </c>
      <c r="ON138" s="177">
        <f>Control!$C$128</f>
        <v>0.35</v>
      </c>
      <c r="OO138" s="182" t="e">
        <f t="shared" ca="1" si="582"/>
        <v>#N/A</v>
      </c>
      <c r="OP138" s="138">
        <f t="shared" ca="1" si="664"/>
        <v>0</v>
      </c>
      <c r="OQ138" s="138" t="e">
        <f t="shared" ca="1" si="687"/>
        <v>#DIV/0!</v>
      </c>
      <c r="OR138" s="138" t="e">
        <f t="shared" ca="1" si="665"/>
        <v>#DIV/0!</v>
      </c>
      <c r="OS138" s="137" t="e">
        <f t="shared" ca="1" si="688"/>
        <v>#DIV/0!</v>
      </c>
      <c r="OT138" s="139" t="e">
        <f t="shared" ca="1" si="689"/>
        <v>#DIV/0!</v>
      </c>
      <c r="OU138" s="138" t="e">
        <f t="shared" ca="1" si="690"/>
        <v>#N/A</v>
      </c>
      <c r="OV138" s="138" t="e">
        <f t="shared" ca="1" si="691"/>
        <v>#DIV/0!</v>
      </c>
      <c r="OW138" s="138" t="e">
        <f t="shared" ca="1" si="666"/>
        <v>#DIV/0!</v>
      </c>
      <c r="OX138" s="138" t="e">
        <f t="shared" ca="1" si="667"/>
        <v>#DIV/0!</v>
      </c>
      <c r="OY138" s="138" t="e">
        <f t="shared" ca="1" si="668"/>
        <v>#DIV/0!</v>
      </c>
      <c r="OZ138" s="138" t="e">
        <f t="shared" ca="1" si="583"/>
        <v>#DIV/0!</v>
      </c>
      <c r="PA138" s="138" t="e">
        <f t="shared" ca="1" si="584"/>
        <v>#DIV/0!</v>
      </c>
      <c r="PB138" s="55">
        <f>IF(Control!$C$61="T", IF(Control!$C$65="F", IF($AH$6-Control!$C$60&lt;0,0,1), IF(365+$AH$6-Control!$C$60&lt;0,0,1)),0)</f>
        <v>0</v>
      </c>
      <c r="PC138" s="55">
        <f ca="1">IF(Control!$C$65="F", IF($AH$6-$HF138&lt;0,0,1), IF(365+$AH$6-$HF138&lt;0,0,1))</f>
        <v>1</v>
      </c>
      <c r="PD138" s="444">
        <f>Control!$C$118</f>
        <v>1500</v>
      </c>
      <c r="PE138" s="180" t="e">
        <f t="shared" ca="1" si="585"/>
        <v>#N/A</v>
      </c>
      <c r="PF138" s="445">
        <f t="shared" ca="1" si="669"/>
        <v>0.71612369323045078</v>
      </c>
      <c r="PT138" s="186"/>
      <c r="PU138" s="186"/>
      <c r="PV138" s="94"/>
      <c r="PW138" s="94"/>
      <c r="PX138" s="94"/>
      <c r="PY138" s="94"/>
      <c r="PZ138" s="94"/>
      <c r="QA138" s="94"/>
      <c r="QB138" s="94"/>
      <c r="QC138" s="94"/>
      <c r="QD138" s="94"/>
      <c r="QE138" s="94"/>
      <c r="QF138" s="94"/>
      <c r="QG138" s="94"/>
      <c r="QH138" s="94"/>
      <c r="QI138" s="94"/>
      <c r="QJ138" s="94"/>
      <c r="QK138" s="94"/>
      <c r="QL138" s="94"/>
      <c r="QM138" s="94"/>
      <c r="QN138" s="94"/>
      <c r="QO138" s="94"/>
      <c r="QP138" s="94"/>
    </row>
    <row r="139" spans="1:458" s="2" customFormat="1" x14ac:dyDescent="0.2">
      <c r="A139" s="395">
        <v>14</v>
      </c>
      <c r="B139" s="396">
        <v>5</v>
      </c>
      <c r="C139" s="387">
        <f ca="1">Weather_data!$B138</f>
        <v>0</v>
      </c>
      <c r="D139" s="388">
        <f ca="1">Weather_data!$F138</f>
        <v>0</v>
      </c>
      <c r="E139" s="388">
        <f ca="1">Weather_data!$E138</f>
        <v>0</v>
      </c>
      <c r="F139" s="388">
        <f t="shared" ca="1" si="586"/>
        <v>0</v>
      </c>
      <c r="G139" s="388">
        <f ca="1">AVERAGE($D139:$E139)+Control!$B$9</f>
        <v>0</v>
      </c>
      <c r="H139" s="388">
        <f ca="1">Weather_data!$G138</f>
        <v>0</v>
      </c>
      <c r="I139" s="388">
        <f ca="1">Weather_data!$I138</f>
        <v>0</v>
      </c>
      <c r="J139" s="388">
        <f ca="1">Weather_data!$H138</f>
        <v>0</v>
      </c>
      <c r="K139" s="389">
        <f ca="1">Weather_data!$D138</f>
        <v>0</v>
      </c>
      <c r="L139" s="388" t="e">
        <f t="shared" ca="1" si="587"/>
        <v>#N/A</v>
      </c>
      <c r="M139" s="388" t="e">
        <f t="shared" ca="1" si="465"/>
        <v>#N/A</v>
      </c>
      <c r="N139" s="388">
        <f t="shared" ca="1" si="466"/>
        <v>-4.1041550522090073E-7</v>
      </c>
      <c r="O139" s="388">
        <f t="shared" ca="1" si="588"/>
        <v>4.1041550522090075E-6</v>
      </c>
      <c r="P139" s="390">
        <v>3</v>
      </c>
      <c r="Q139" s="388">
        <f ca="1">MAX($G139-Control!$C$107,0)</f>
        <v>0</v>
      </c>
      <c r="R139" s="388">
        <f t="shared" ca="1" si="589"/>
        <v>0</v>
      </c>
      <c r="S139" s="388">
        <f t="shared" ca="1" si="467"/>
        <v>0</v>
      </c>
      <c r="T139" s="388">
        <f t="shared" ca="1" si="468"/>
        <v>0</v>
      </c>
      <c r="U139" s="59">
        <f t="shared" ca="1" si="469"/>
        <v>0</v>
      </c>
      <c r="V139" s="391">
        <f ca="1">MAX(0,MIN(Control!$C$100-Control!$C$99,$G139-Control!$C$99)*Control!$C$63)</f>
        <v>0</v>
      </c>
      <c r="W139" s="388">
        <f t="shared" ca="1" si="590"/>
        <v>0</v>
      </c>
      <c r="X139" s="388">
        <f t="shared" ca="1" si="591"/>
        <v>0.6110000000000001</v>
      </c>
      <c r="Y139" s="388">
        <f t="shared" ca="1" si="470"/>
        <v>0</v>
      </c>
      <c r="Z139" s="388">
        <f t="shared" ca="1" si="592"/>
        <v>0.61058800000000002</v>
      </c>
      <c r="AA139" s="388">
        <f t="shared" ca="1" si="471"/>
        <v>0.6018</v>
      </c>
      <c r="AB139" s="388">
        <f ca="1">101.3*EXP(-0.034*Control!$C$66/($G139+273))</f>
        <v>100.69623283836242</v>
      </c>
      <c r="AC139" s="392">
        <f t="shared" ca="1" si="472"/>
        <v>4.3460251046025113E-2</v>
      </c>
      <c r="AD139" s="392">
        <f t="shared" ca="1" si="473"/>
        <v>4.4450382862832649E-2</v>
      </c>
      <c r="AE139" s="388">
        <f t="shared" ca="1" si="474"/>
        <v>0</v>
      </c>
      <c r="AF139" s="388">
        <f ca="1">MAX(0,$G139-Control!$C$92)</f>
        <v>0</v>
      </c>
      <c r="AG139" s="393">
        <f t="shared" ca="1" si="475"/>
        <v>135</v>
      </c>
      <c r="AH139" s="389">
        <f t="shared" ca="1" si="476"/>
        <v>135</v>
      </c>
      <c r="AI139" s="388">
        <f t="shared" ca="1" si="593"/>
        <v>0.32348766611255786</v>
      </c>
      <c r="AJ139" s="388">
        <f ca="1">IF(Control!$C$60&lt;=0,$HH139,$HI139)</f>
        <v>1</v>
      </c>
      <c r="AK139" s="388">
        <f t="shared" ca="1" si="477"/>
        <v>0.94678134765719801</v>
      </c>
      <c r="AL139" s="388">
        <f t="shared" ca="1" si="478"/>
        <v>-4.5083468208639845E-18</v>
      </c>
      <c r="AM139" s="388">
        <f t="shared" ca="1" si="479"/>
        <v>0.94678134765719801</v>
      </c>
      <c r="AN139" s="388">
        <f t="shared" ca="1" si="480"/>
        <v>0.3287183185740879</v>
      </c>
      <c r="AO139" s="388">
        <f ca="1">-0.10453/COS(Control!$B$8*PI()/180)*COS(AN139)</f>
        <v>-0.16069405394201258</v>
      </c>
      <c r="AP139" s="388">
        <f ca="1">ACOS(AO139-TAN(Control!$B$8*PI()/180)*TAN(AN139))</f>
        <v>2.2108939624495587</v>
      </c>
      <c r="AQ139" s="388">
        <f t="shared" ca="1" si="594"/>
        <v>0</v>
      </c>
      <c r="AR139" s="394">
        <f t="shared" ca="1" si="481"/>
        <v>0</v>
      </c>
      <c r="AS139" s="436">
        <f ca="1">IF(Control!$B$18=2,(IF(OR($AH139=Control!$B$175,$AH139=Control!$B$176,$AH139=Control!$B$177,$AH139=Control!$B$178,$AH139=Control!$B$179,$AH139=Control!$B$180,$AH139=Control!$B$181,$AH139=Control!$B$182,$AH139=Control!$B$183,$AH139=Control!$B$184,$AH139=Control!$B$185),1,0)),0)</f>
        <v>0</v>
      </c>
      <c r="AT139" s="436">
        <f>IF(Control!$B$20=8,IF(AND($AH139&gt;=Control!$B$172,$AH139&lt;=Control!$B$173),1,0),0)</f>
        <v>0</v>
      </c>
      <c r="AU139" s="436">
        <f>IF(Control!$B$20=8,IF($AV138=1,1*$AT139,IF($AT139=1,$AU138+1,$AU138)),0)</f>
        <v>0</v>
      </c>
      <c r="AV139" s="436">
        <f>IF(Control!$B$20=8,IF($AU139&gt;=Control!$B$174,1,0),0)</f>
        <v>0</v>
      </c>
      <c r="AW139" s="436">
        <f ca="1">IF(AND(Control!$B$18=2,Control!$B$171=1), $AV139, $AS139)</f>
        <v>0</v>
      </c>
      <c r="AX139" s="436" t="e">
        <f ca="1">IF(AND(Control!$B$18=1,$EU139&gt;=Control!$B$19),-$AY139,IF(AND(Control!$B$18=2,$AW139=1,$EU139&gt;$DS139),-$AY139, IF(Control!$C$108=0,0, IF(Control!$C$108&lt;&gt;0,1))))</f>
        <v>#N/A</v>
      </c>
      <c r="AY139" s="436" t="e">
        <f t="shared" ca="1" si="595"/>
        <v>#N/A</v>
      </c>
      <c r="AZ139" s="436" t="e">
        <f ca="1">IF(AND(Control!$B$18=1,$EB139&gt;Control!$B$19),$AZ138+1, IF(AND(Control!$B$18=2, $AW139=1, $EB139&gt;$DS139), $AZ138+1,$AZ138))</f>
        <v>#N/A</v>
      </c>
      <c r="BA139" s="587">
        <f>IF(Control!$C$81=0,1,IF($AH139&gt;=Control!$C$82,1,0))</f>
        <v>1</v>
      </c>
      <c r="BB139" s="140" t="e">
        <f ca="1">IF($BA139&gt;$BA138,Control!$C$83,IF($AW139&gt;0,$AW139*Control!$C$84,IF(AND(Control!$B$18=1,EN138&lt;&gt;0),Control!$C$84,0)))</f>
        <v>#N/A</v>
      </c>
      <c r="BC139" s="140" t="e">
        <f t="shared" ca="1" si="596"/>
        <v>#N/A</v>
      </c>
      <c r="BD139" s="140" t="e">
        <f ca="1">BC139*IF(OR($G139&lt;Control!$C$92,$G139&gt;Control!$C$95),0,IF(AND($G139&gt;=Control!$C$92,$G139&lt;=Control!$C$93),$G139-Control!$C$92,IF(AND($G139&gt;Control!$C$93,$G139&lt;=Control!$C$94),Control!$C$93-Control!$C$92,IF(AND($G139&gt;Control!$C$94,$G139&lt;=Control!$C$95),(Control!$C$93-Control!$C$92)*(Control!$C$94-$G139)/(Control!$C$95-Control!$C$94)))))</f>
        <v>#N/A</v>
      </c>
      <c r="BE139" s="140" t="e">
        <f t="shared" ca="1" si="597"/>
        <v>#N/A</v>
      </c>
      <c r="BF139" s="140" t="e">
        <f ca="1">IF($BE139&lt;=Control!$C$86,$BE139,Control!$C$86-$BE139)</f>
        <v>#N/A</v>
      </c>
      <c r="BG139" s="140" t="e">
        <f ca="1">IF(AND($AW139=1,Control!$C$84&lt;9),1,IF($BE139&gt;=Control!$C$86,0,$BC139))</f>
        <v>#N/A</v>
      </c>
      <c r="BH139" s="404" t="e">
        <f ca="1">IF($BG139=0,0,IF($BE139&lt;=Control!$C$86,$BC139*9*($BF139/Control!$C$86),0))</f>
        <v>#N/A</v>
      </c>
      <c r="BI139" s="140" t="e">
        <f ca="1">IF($BG139=1,0,IF($BE139&gt;=Control!$C$86,1,IF(AND($BB139&lt;21,$BB139&gt;=9),1,$BM138)))</f>
        <v>#N/A</v>
      </c>
      <c r="BJ139" s="140" t="e">
        <f ca="1">IF($BF139&lt;0,-$BF139,$BI139*IF(OR($G139&lt;Control!$C$92,$G139&gt;Control!$C$95),0,IF(AND($G139&gt;=Control!$C$92,$G139&lt;=Control!$C$93),$G139-Control!$C$92,IF(AND($G139&gt;Control!$C$93,$G139&lt;=Control!$C$94),Control!$C$93-Control!$C$92,IF(AND($G139&gt;Control!$C$94,$G139&lt;=Control!$C$95),(Control!$C$93-Control!$C$92)*(Control!$C$94-$G139)/(Control!$C$95-Control!$C$94))))))</f>
        <v>#N/A</v>
      </c>
      <c r="BK139" s="140" t="e">
        <f t="shared" ca="1" si="598"/>
        <v>#N/A</v>
      </c>
      <c r="BL139" s="140" t="e">
        <f ca="1">IF($BK139&lt;=Control!$C$87,$BK139,Control!$C$87-$BK139)</f>
        <v>#N/A</v>
      </c>
      <c r="BM139" s="140" t="e">
        <f ca="1">IF(AND($BB139&gt;=9,$BB139&lt;21),1,IF($BK139&gt;=Control!$C$87,0,$BI139))</f>
        <v>#N/A</v>
      </c>
      <c r="BN139" s="404" t="e">
        <f ca="1">IF($BM139=0,0,IF($BK139&lt;=Control!$C$87,$BI139*(9+(21-9)*($BL139/Control!$C$87)),0))</f>
        <v>#N/A</v>
      </c>
      <c r="BO139" s="140" t="e">
        <f ca="1">IF($BM139=1,0,IF($BK139&gt;=Control!$C$87,1,IF(AND($BB139&lt;30,$BB139&gt;=21),1,$BS138)))</f>
        <v>#N/A</v>
      </c>
      <c r="BP139" s="140" t="e">
        <f ca="1">IF($BL139&lt;0,-$BL139,$BO139*IF(OR($G139&lt;Control!$C$92,$G139&gt;Control!$C$95),0,IF(AND($G139&gt;=Control!$C$92,$G139&lt;=Control!$C$93),$G139-Control!$C$92,IF(AND($G139&gt;Control!$C$93,$G139&lt;=Control!$C$94),Control!$C$93-Control!$C$92,IF(AND($G139&gt;Control!$C$94,$G139&lt;=Control!$C$95),(Control!$C$93-Control!$C$92)*(Control!$C$94-$G139)/(Control!$C$95-Control!$C$94))))))</f>
        <v>#N/A</v>
      </c>
      <c r="BQ139" s="140" t="e">
        <f t="shared" ca="1" si="482"/>
        <v>#N/A</v>
      </c>
      <c r="BR139" s="140" t="e">
        <f ca="1">IF($BQ139&lt;=Control!$C$88,$BQ139,Control!$C$88-$BQ139)</f>
        <v>#N/A</v>
      </c>
      <c r="BS139" s="140" t="e">
        <f ca="1">IF(AND($BB139&gt;=21,$BB139&lt;30),1,IF($BQ139&gt;=Control!$C$88,0,$BO139))</f>
        <v>#N/A</v>
      </c>
      <c r="BT139" s="404" t="e">
        <f ca="1">IF($BS139=0,0,IF($BQ139&lt;=Control!$C$88,$BO139*(21+(30-21)*(BR139/Control!$C$88)),0))</f>
        <v>#N/A</v>
      </c>
      <c r="BU139" s="140" t="e">
        <f ca="1">IF(BG139+BM139+BS139=1,0,IF(OR(AND($BB139&lt;60,$BB139&gt;=30),$BQ139&gt;=Control!$C$88),1*$BA139,$BY138))</f>
        <v>#N/A</v>
      </c>
      <c r="BV139" s="140" t="e">
        <f ca="1">IF($BR139&lt;0,-$BR139,$BU139*IF(OR($G139&lt;Control!$C$92,$G139&gt;Control!$C$95),0,IF(AND($G139&gt;=Control!$C$92,$G139&lt;=Control!$C$93),$G139-Control!$C$92,IF(AND($G139&gt;Control!$C$93,$G139&lt;=Control!$C$94),Control!$C$93-Control!$C$92,IF(AND($G139&gt;Control!$C$94,$G139&lt;=Control!$C$95),(Control!$C$93-Control!$C$92)*(Control!$C$94-$G139)/(Control!$C$95-Control!$C$94))))))</f>
        <v>#N/A</v>
      </c>
      <c r="BW139" s="140" t="e">
        <f t="shared" ca="1" si="483"/>
        <v>#N/A</v>
      </c>
      <c r="BX139" s="140" t="e">
        <f ca="1">IF($BW139&lt;=Control!$C$89,$BW139,Control!$C$89-$BW139)</f>
        <v>#N/A</v>
      </c>
      <c r="BY139" s="140" t="e">
        <f ca="1">IF(AND($AJ139&gt;=30,$AJ139&lt;60),1,IF($BW139&gt;=Control!$C$89,0,$BU139))</f>
        <v>#N/A</v>
      </c>
      <c r="BZ139" s="404" t="e">
        <f ca="1">IF($BY139=0,0,IF($BW139&lt;=Control!$C$89,$BU139*(30+(60-30)*(BX139/Control!$C$89)),0))</f>
        <v>#N/A</v>
      </c>
      <c r="CA139" s="140" t="e">
        <f ca="1">IF($BG139+$BM139+$BS139+$BY139=1,0,IF(OR(AND($BB139&lt;65,$BB139&gt;=60),$BW139&gt;=Control!$C$89),1*$BA139,$CE138))</f>
        <v>#N/A</v>
      </c>
      <c r="CB139" s="140" t="e">
        <f ca="1">IF($BX139&lt;0,-$BX139,$CA139*IF(OR($G139&lt;Control!$C$92,$G139&gt;Control!$C$95),0,IF(AND($G139&gt;=Control!$C$92,$G139&lt;=Control!$C$93),$G139-Control!$C$92,IF(AND($G139&gt;Control!$C$93,$G139&lt;=Control!$C$94),Control!$C$93-Control!$C$92,IF(AND($G139&gt;Control!$C$94,$G139&lt;=Control!$C$95),(Control!$C$93-Control!$C$92)*(Control!$C$94-$G139)/(Control!$C$95-Control!$C$94))))))</f>
        <v>#N/A</v>
      </c>
      <c r="CC139" s="140" t="e">
        <f t="shared" ca="1" si="599"/>
        <v>#N/A</v>
      </c>
      <c r="CD139" s="140" t="e">
        <f ca="1">IF($CC139&lt;=Control!$C$90,$CC139,Control!$C$90-$CC139)</f>
        <v>#N/A</v>
      </c>
      <c r="CE139" s="140" t="e">
        <f ca="1">IF(AND($BB139&gt;=60,$BB139&lt;65),1,IF($CC139&gt;=Control!$C$90,0,$CA139))</f>
        <v>#N/A</v>
      </c>
      <c r="CF139" s="404" t="e">
        <f ca="1">IF($CE139=0,0,IF($CC139&lt;=Control!$C$90,$CA139*(60+(65-60)*(CD139/Control!$C$90)),0))</f>
        <v>#N/A</v>
      </c>
      <c r="CG139" s="140" t="e">
        <f ca="1">IF($BG139+$BM139+$BS139+$BY139+$CE139=1,0,IF(OR(AND($BB139&lt;90,$BB139&gt;=65),$CC139&gt;=Control!$C$90),$BA139,$CK138))</f>
        <v>#N/A</v>
      </c>
      <c r="CH139" s="140" t="e">
        <f ca="1">IF($CD139&lt;0,-$CD139,$CG139*IF(OR($G139&lt;Control!$C$92,$G139&gt;Control!$C$95),0,IF(AND($G139&gt;=Control!$C$92,$G139&lt;=Control!$C$93),$G139-Control!$C$92,IF(AND($G139&gt;Control!$C$93,$G139&lt;=Control!$C$94),Control!$C$93-Control!$C$92,IF(AND($G139&gt;Control!$C$94,$G139&lt;=Control!$C$95),(Control!$C$93-Control!$C$92)*(Control!$C$94-$G139)/(Control!$C$95-Control!$C$94))))))</f>
        <v>#N/A</v>
      </c>
      <c r="CI139" s="140" t="e">
        <f t="shared" ca="1" si="600"/>
        <v>#N/A</v>
      </c>
      <c r="CJ139" s="140" t="e">
        <f ca="1">IF($CI139&lt;=Control!$C$91,$CI139,Control!$C$91-$CI139)</f>
        <v>#N/A</v>
      </c>
      <c r="CK139" s="140" t="e">
        <f ca="1">IF(AND($BB139&gt;=65,$BB139&lt;90),1,IF($CI139&gt;=Control!$C$91,0,$CG139))</f>
        <v>#N/A</v>
      </c>
      <c r="CL139" s="404" t="e">
        <f ca="1">IF($CK139=0,0,IF($CI139&lt;=Control!$C$91,$CG139*(65+(90-65)*($CJ139/Control!$C$91)),0))</f>
        <v>#N/A</v>
      </c>
      <c r="CM139" s="140" t="e">
        <f ca="1">IF($BG139+$BM139+$BS139+$BY139+$CE139+$CK139=1,0,IF(OR($BB139&gt;=90,$CI139&gt;=Control!$C$91),$BA139,$CM138))</f>
        <v>#N/A</v>
      </c>
      <c r="CN139" s="140" t="e">
        <f t="shared" ca="1" si="601"/>
        <v>#N/A</v>
      </c>
      <c r="CO139" s="140" t="e">
        <f t="shared" ca="1" si="602"/>
        <v>#N/A</v>
      </c>
      <c r="CP139" s="140" t="e">
        <f t="shared" ca="1" si="603"/>
        <v>#N/A</v>
      </c>
      <c r="CQ139" s="141" t="e">
        <f ca="1">VLOOKUP($CP139,Control!$B$86:$G$91,6)</f>
        <v>#N/A</v>
      </c>
      <c r="CR139" s="141" t="e">
        <f ca="1">(1-$CQ139)*VLOOKUP($CP139,Control!$B$86:$D$91,3)</f>
        <v>#N/A</v>
      </c>
      <c r="CS139" s="141" t="e">
        <f ca="1">(1-$CQ139)*VLOOKUP($CP139,Control!$B$86:$E$91,4)</f>
        <v>#N/A</v>
      </c>
      <c r="CT139" s="141" t="e">
        <f ca="1">(1-$CQ139)*VLOOKUP($CP139,Control!$B$86:$F$91,5)</f>
        <v>#N/A</v>
      </c>
      <c r="CU139" s="141">
        <f t="shared" ca="1" si="604"/>
        <v>0</v>
      </c>
      <c r="CV139" s="583">
        <f t="shared" ca="1" si="605"/>
        <v>0</v>
      </c>
      <c r="CW139" s="142">
        <f t="shared" ca="1" si="606"/>
        <v>135</v>
      </c>
      <c r="CX139" s="612" t="e">
        <f ca="1">IF(Control!$C$114=1,(MIN(Control!$C$120*(IF($NT139-0.01&lt;0,0,1)),Control!$C$119-$CY139)))</f>
        <v>#DIV/0!</v>
      </c>
      <c r="CY139" s="143" t="e">
        <f t="shared" ca="1" si="607"/>
        <v>#N/A</v>
      </c>
      <c r="CZ139" s="144">
        <f t="shared" ca="1" si="484"/>
        <v>0</v>
      </c>
      <c r="DA139" s="144">
        <f t="shared" ca="1" si="485"/>
        <v>0</v>
      </c>
      <c r="DB139" s="144" t="e">
        <f t="shared" ca="1" si="486"/>
        <v>#N/A</v>
      </c>
      <c r="DC139" s="144" t="e">
        <f t="shared" ca="1" si="487"/>
        <v>#N/A</v>
      </c>
      <c r="DD139" s="144" t="e">
        <f t="shared" ca="1" si="692"/>
        <v>#N/A</v>
      </c>
      <c r="DE139" s="143" t="e">
        <f t="shared" ca="1" si="608"/>
        <v>#N/A</v>
      </c>
      <c r="DF139" s="145" t="e">
        <f ca="1">$DR139*EXP(-Control!$C$158*(1-$KH139))</f>
        <v>#N/A</v>
      </c>
      <c r="DG139" s="146" t="e">
        <f ca="1">IF(Control!$C$114=1, $DF139*$EY139, 0)</f>
        <v>#N/A</v>
      </c>
      <c r="DH139" s="147" t="e">
        <f t="shared" ca="1" si="609"/>
        <v>#N/A</v>
      </c>
      <c r="DI139" s="144" t="e">
        <f t="shared" ca="1" si="670"/>
        <v>#N/A</v>
      </c>
      <c r="DJ139" s="147" t="e">
        <f ca="1">$EF139*Control!$C$109</f>
        <v>#N/A</v>
      </c>
      <c r="DK139" s="144" t="e">
        <f t="shared" ca="1" si="610"/>
        <v>#N/A</v>
      </c>
      <c r="DL139" s="144" t="e">
        <f t="shared" ca="1" si="488"/>
        <v>#N/A</v>
      </c>
      <c r="DM139" s="144" t="e">
        <f ca="1">IF(Control!$C$114=1, (1-EXP(-Control!$C$96*$DK139))*$AR139, 0)</f>
        <v>#N/A</v>
      </c>
      <c r="DN139" s="144">
        <f t="shared" ca="1" si="611"/>
        <v>0</v>
      </c>
      <c r="DO139" s="148">
        <f>Control!$C$97</f>
        <v>4</v>
      </c>
      <c r="DP139" s="145" t="e">
        <f t="shared" ca="1" si="612"/>
        <v>#N/A</v>
      </c>
      <c r="DQ139" s="145" t="e">
        <f ca="1">IF(AND($CP139&gt;=0,$CP139&lt;=90),Control!$C$111,Control!$C$111)</f>
        <v>#N/A</v>
      </c>
      <c r="DR139" s="145" t="e">
        <f t="shared" ca="1" si="489"/>
        <v>#N/A</v>
      </c>
      <c r="DS139" s="143" t="e">
        <f ca="1">Control!$B$22/$DR139</f>
        <v>#N/A</v>
      </c>
      <c r="DT139" s="149" t="e">
        <f ca="1">IF(AND(Control!$C$114=1,$KH139&lt;1),$IM139*$DF139, 0)</f>
        <v>#N/A</v>
      </c>
      <c r="DU139" s="144" t="e">
        <f t="shared" ca="1" si="613"/>
        <v>#N/A</v>
      </c>
      <c r="DV139" s="144">
        <f ca="1">IF($G139-Control!$C$107&lt;=0, 0, 0.83*LN(MAX($G139, 3))-0.8924)</f>
        <v>0</v>
      </c>
      <c r="DW139" s="144" t="e">
        <f t="shared" ca="1" si="490"/>
        <v>#N/A</v>
      </c>
      <c r="DX139" s="150" t="e">
        <f ca="1">MAX(0.01*(1+$CU139/Control!$C$102),0.05*($DK139-Control!$C$97)/Control!$C$97)</f>
        <v>#N/A</v>
      </c>
      <c r="DY139" s="151" t="e">
        <f ca="1">IF(Control!$C$114=1, $DI139*$FS139, 0)</f>
        <v>#N/A</v>
      </c>
      <c r="DZ139" s="196" t="e">
        <f t="shared" ca="1" si="614"/>
        <v>#N/A</v>
      </c>
      <c r="EA139" s="152">
        <f t="shared" ca="1" si="615"/>
        <v>135</v>
      </c>
      <c r="EB139" s="153" t="e">
        <f t="shared" ca="1" si="616"/>
        <v>#N/A</v>
      </c>
      <c r="EC139" s="153" t="e">
        <f t="shared" ca="1" si="617"/>
        <v>#N/A</v>
      </c>
      <c r="ED139" s="154" t="e">
        <f ca="1">IF(Control!$C$114=1, $HM139*$FY139-$FD139, 0)</f>
        <v>#DIV/0!</v>
      </c>
      <c r="EE139" s="155" t="e">
        <f ca="1">IF(Control!$C$114=1, $HM139*$FZ139-$FF139, 0)</f>
        <v>#DIV/0!</v>
      </c>
      <c r="EF139" s="153" t="e">
        <f t="shared" ca="1" si="671"/>
        <v>#N/A</v>
      </c>
      <c r="EG139" s="155" t="e">
        <f ca="1">IF(Control!$C$114=1, $GX139*$FW139-$FI139, 0)</f>
        <v>#DIV/0!</v>
      </c>
      <c r="EH139" s="153" t="e">
        <f t="shared" ca="1" si="618"/>
        <v>#N/A</v>
      </c>
      <c r="EI139" s="156" t="e">
        <f t="shared" ca="1" si="619"/>
        <v>#N/A</v>
      </c>
      <c r="EJ139" s="155" t="e">
        <f ca="1">IF(Control!$C$114=1, $HM139*$GB139, 0)</f>
        <v>#DIV/0!</v>
      </c>
      <c r="EK139" s="153" t="e">
        <f t="shared" ca="1" si="672"/>
        <v>#N/A</v>
      </c>
      <c r="EL139" s="153" t="e">
        <f t="shared" ca="1" si="491"/>
        <v>#N/A</v>
      </c>
      <c r="EM139" s="153" t="e">
        <f t="shared" ca="1" si="492"/>
        <v>#N/A</v>
      </c>
      <c r="EN139" s="153" t="e">
        <f ca="1">IF(Control!$C$108=1,IF(AND(Control!$B$18=1,$EB139&gt;=Control!$B$19),$EB139-$DS139,IF(AND(Control!$B$18=2,$AW139=1,$EB139&gt;$DS139),$EB139-$DS139,0)))</f>
        <v>#N/A</v>
      </c>
      <c r="EO139" s="153" t="e">
        <f ca="1">IF(Control!$C$108=1,IF(AND(Control!$B$18=1,$EB139&gt;=Control!$B$19),$EF139,IF(AND(Control!$B$18=2,$AW139=1),$EF139,0)))</f>
        <v>#N/A</v>
      </c>
      <c r="EP139" s="153" t="e">
        <f ca="1">IF(Control!$C$108=1,IF(AND(Control!$B$18=1,$EB139&gt;=Control!$B$19),$EK139,IF(AND(Control!$B$18=2,$AW139=1),$EK139,0)))</f>
        <v>#N/A</v>
      </c>
      <c r="EQ139" s="153" t="e">
        <f t="shared" ca="1" si="620"/>
        <v>#N/A</v>
      </c>
      <c r="ER139" s="153" t="e">
        <f t="shared" ca="1" si="621"/>
        <v>#N/A</v>
      </c>
      <c r="ES139" s="153" t="e">
        <f t="shared" ca="1" si="673"/>
        <v>#N/A</v>
      </c>
      <c r="ET139" s="153" t="e">
        <f t="shared" ca="1" si="674"/>
        <v>#N/A</v>
      </c>
      <c r="EU139" s="153" t="e">
        <f t="shared" ca="1" si="622"/>
        <v>#N/A</v>
      </c>
      <c r="EV139" s="153" t="e">
        <f t="shared" ca="1" si="493"/>
        <v>#N/A</v>
      </c>
      <c r="EW139" s="153" t="e">
        <f t="shared" ca="1" si="494"/>
        <v>#N/A</v>
      </c>
      <c r="EX139" s="153" t="e">
        <f t="shared" ca="1" si="495"/>
        <v>#N/A</v>
      </c>
      <c r="EY139" s="157" t="e">
        <f t="shared" ca="1" si="496"/>
        <v>#DIV/0!</v>
      </c>
      <c r="EZ139" s="154" t="e">
        <f t="shared" ca="1" si="497"/>
        <v>#DIV/0!</v>
      </c>
      <c r="FA139" s="153" t="e">
        <f t="shared" ca="1" si="623"/>
        <v>#N/A</v>
      </c>
      <c r="FB139" s="153" t="e">
        <f t="shared" ca="1" si="498"/>
        <v>#N/A</v>
      </c>
      <c r="FC139" s="193" t="e">
        <f t="shared" ca="1" si="499"/>
        <v>#N/A</v>
      </c>
      <c r="FD139" s="158" t="e">
        <f t="shared" ca="1" si="624"/>
        <v>#N/A</v>
      </c>
      <c r="FE139" s="158" t="e">
        <f t="shared" ca="1" si="625"/>
        <v>#N/A</v>
      </c>
      <c r="FF139" s="159" t="e">
        <f t="shared" ca="1" si="500"/>
        <v>#N/A</v>
      </c>
      <c r="FG139" s="160" t="e">
        <f t="shared" ca="1" si="626"/>
        <v>#N/A</v>
      </c>
      <c r="FH139" s="158" t="e">
        <f t="shared" ca="1" si="627"/>
        <v>#N/A</v>
      </c>
      <c r="FI139" s="159" t="e">
        <f t="shared" ca="1" si="501"/>
        <v>#N/A</v>
      </c>
      <c r="FJ139" s="160" t="e">
        <f t="shared" ca="1" si="628"/>
        <v>#N/A</v>
      </c>
      <c r="FK139" s="160" t="e">
        <f t="shared" ca="1" si="502"/>
        <v>#N/A</v>
      </c>
      <c r="FL139" s="160" t="e">
        <f t="shared" ca="1" si="675"/>
        <v>#N/A</v>
      </c>
      <c r="FM139" s="160" t="e">
        <f t="shared" ca="1" si="503"/>
        <v>#N/A</v>
      </c>
      <c r="FN139" s="158">
        <f t="shared" ca="1" si="629"/>
        <v>0.01</v>
      </c>
      <c r="FO139" s="160">
        <f>Control!$C$101</f>
        <v>50</v>
      </c>
      <c r="FP139" s="150" t="e">
        <f t="shared" ca="1" si="504"/>
        <v>#N/A</v>
      </c>
      <c r="FQ139" s="150" t="e">
        <f ca="1">MAX(0,(Control!$C$112*(($DK139-Control!$C$97)/Control!$C$97)))</f>
        <v>#N/A</v>
      </c>
      <c r="FR139" s="150" t="e">
        <f ca="1">(1-$NT139)*Control!$C$113</f>
        <v>#DIV/0!</v>
      </c>
      <c r="FS139" s="198" t="e">
        <f t="shared" ca="1" si="505"/>
        <v>#N/A</v>
      </c>
      <c r="FT139" s="161">
        <f t="shared" ca="1" si="630"/>
        <v>135</v>
      </c>
      <c r="FU139" s="162" t="e">
        <f ca="1">IF(Control!$B$34=1,VLOOKUP($CP139,Control!$B$86:$G$91,6),Control!$B$35)</f>
        <v>#N/A</v>
      </c>
      <c r="FV139" s="162" t="e">
        <f t="shared" ca="1" si="506"/>
        <v>#DIV/0!</v>
      </c>
      <c r="FW139" s="162" t="e">
        <f ca="1">IF(Control!$B$31=1,$FU139*$FV139,  $FU139)</f>
        <v>#N/A</v>
      </c>
      <c r="FX139" s="162" t="e">
        <f ca="1">IF(Control!$B$34=1,VLOOKUP($CP139,Control!$B$86:$G$91,3),Control!$B$36)</f>
        <v>#N/A</v>
      </c>
      <c r="FY139" s="162" t="e">
        <f t="shared" ca="1" si="507"/>
        <v>#N/A</v>
      </c>
      <c r="FZ139" s="162" t="e">
        <f ca="1">IF(Control!$B$34=1,VLOOKUP($CP139,Control!$B$86:$G$91,4),Control!$B$37)</f>
        <v>#N/A</v>
      </c>
      <c r="GA139" s="162" t="e">
        <f t="shared" ca="1" si="508"/>
        <v>#N/A</v>
      </c>
      <c r="GB139" s="162" t="e">
        <f ca="1">IF(Control!$B$34=1,VLOOKUP($CP139,Control!$B$86:$G$91,5),Control!$B$38)</f>
        <v>#N/A</v>
      </c>
      <c r="GC139" s="162" t="e">
        <f t="shared" ca="1" si="631"/>
        <v>#N/A</v>
      </c>
      <c r="GD139" s="162">
        <f t="shared" ca="1" si="509"/>
        <v>1</v>
      </c>
      <c r="GE139" s="162">
        <f t="shared" ca="1" si="510"/>
        <v>1</v>
      </c>
      <c r="GF139" s="162">
        <f ca="1">IF(AND(Control!$C$104=1, Control!$C$62="F"),$GE139,1)</f>
        <v>1</v>
      </c>
      <c r="GG139" s="162" t="e">
        <f ca="1">IF(Control!$B$16=40,0,IF(AND(Control!$B$16&gt;40,Control!$B$16&lt;=360),(Control!$B$16-40)*((1-0)/(360-40)),IF(AND(Control!$B$16&gt;360,Control!$B$16&lt;=720),(1+(Control!$B$16-360)*((1.25-1)/(720-360))),IF(AND(Control!$B$16&gt;720,Control!$B$16&lt;=1000),(1.25+(Control!$B$16-720)*((1.35-1.25)/(1000-720))),IF(AND(Control!$B$16&gt;1000,Control!$B$16&lt;=2000),(1.35+(Control!$B$16-1000)*0))))))</f>
        <v>#N/A</v>
      </c>
      <c r="GH139" s="162" t="e">
        <f t="shared" ca="1" si="511"/>
        <v>#N/A</v>
      </c>
      <c r="GI139" s="162">
        <f t="shared" ca="1" si="632"/>
        <v>0</v>
      </c>
      <c r="GJ139" s="162">
        <f t="shared" ca="1" si="512"/>
        <v>0</v>
      </c>
      <c r="GK139" s="162">
        <f t="shared" ca="1" si="633"/>
        <v>1</v>
      </c>
      <c r="GL139" s="162">
        <f t="shared" ca="1" si="513"/>
        <v>1</v>
      </c>
      <c r="GM139" s="162" t="e">
        <f ca="1">MAX(0,MIN(1,1-Control!$C$156*(1.0001-$KH139)^2))</f>
        <v>#N/A</v>
      </c>
      <c r="GN139" s="162" t="e">
        <f ca="1">IF(Control!$B$26=1,$KU139,$KX139)</f>
        <v>#N/A</v>
      </c>
      <c r="GO139" s="162" t="e">
        <f ca="1">IF($CP139&lt;=60,Control!$C$105,IF($CP139&gt;=90,Control!$C$106,Control!$C$105+($CP139-60)*((Control!$C$106-Control!$C$105)/(90-60))))</f>
        <v>#N/A</v>
      </c>
      <c r="GP139" s="162" t="e">
        <f t="shared" ca="1" si="514"/>
        <v>#N/A</v>
      </c>
      <c r="GQ139" s="162" t="e">
        <f t="shared" ca="1" si="634"/>
        <v>#N/A</v>
      </c>
      <c r="GR139" s="163" t="e">
        <f t="shared" ca="1" si="515"/>
        <v>#DIV/0!</v>
      </c>
      <c r="GS139" s="162" t="e">
        <f t="shared" ca="1" si="516"/>
        <v>#DIV/0!</v>
      </c>
      <c r="GT139" s="164" t="e">
        <f t="shared" ca="1" si="635"/>
        <v>#N/A</v>
      </c>
      <c r="GU139" s="162" t="e">
        <f t="shared" ca="1" si="636"/>
        <v>#N/A</v>
      </c>
      <c r="GV139" s="162" t="e">
        <f t="shared" ca="1" si="517"/>
        <v>#N/A</v>
      </c>
      <c r="GW139" s="162" t="e">
        <f t="shared" ca="1" si="518"/>
        <v>#DIV/0!</v>
      </c>
      <c r="GX139" s="162" t="e">
        <f t="shared" ca="1" si="637"/>
        <v>#DIV/0!</v>
      </c>
      <c r="GY139" s="162" t="e">
        <f t="shared" ca="1" si="638"/>
        <v>#DIV/0!</v>
      </c>
      <c r="GZ139" s="165" t="e">
        <f t="shared" ca="1" si="519"/>
        <v>#N/A</v>
      </c>
      <c r="HA139" s="162" t="e">
        <f ca="1">IF(Control!$C$114=1, $DI139*$FS139, 0)</f>
        <v>#N/A</v>
      </c>
      <c r="HB139" s="162" t="e">
        <f ca="1">$FA139/Control!$C$64</f>
        <v>#N/A</v>
      </c>
      <c r="HC139" s="162" t="e">
        <f t="shared" ca="1" si="520"/>
        <v>#DIV/0!</v>
      </c>
      <c r="HD139" s="162">
        <f ca="1">-ASIN(SIN(23.45*Control!$C$139)*COS(2*Control!$C$138*($AH139+10)/365))</f>
        <v>0.32348766611255786</v>
      </c>
      <c r="HE139" s="165">
        <f t="shared" ca="1" si="639"/>
        <v>0</v>
      </c>
      <c r="HF139" s="166">
        <f ca="1">IF(AND(Control!$C$61="T",$HE139&gt;=Control!$C$103,Control!$C$114=0),$AH139,Control!$C$59)</f>
        <v>1</v>
      </c>
      <c r="HG139" s="166">
        <f ca="1">IF(AND(Control!$C$61="T",$HE139&gt;=Control!$C$103,Control!$C$114=0),$HF139,Control!$C$59)</f>
        <v>1</v>
      </c>
      <c r="HH139" s="165">
        <f ca="1">IF(AND(OR(Control!$C$60&lt;=0, $AH139= Control!$C$59, Control!$C$60 &gt;0, $AH139 = Control!$C$60)), Control!$C$59, IF(Control!$C$60&gt;0, 0))</f>
        <v>1</v>
      </c>
      <c r="HI139" s="165">
        <f ca="1">IF(AND(OR(Control!$C$60&lt;=0, $AH139= Control!$C$59, Control!$C$60 &gt;0, $AH139 = Control!$C$60)), Control!$C$60, IF(Control!$C$60&lt;=0, 0))</f>
        <v>0</v>
      </c>
      <c r="HJ139" s="166">
        <f ca="1">IF(AND(Control!$C$62="F",$CV139&gt;=Control!$C$102),$AH139,0)</f>
        <v>0</v>
      </c>
      <c r="HK139" s="165" t="e">
        <f t="shared" ca="1" si="676"/>
        <v>#N/A</v>
      </c>
      <c r="HL139" s="166">
        <f ca="1">IF(AND(Control!$C$61="T",$HE139&gt;=Control!$C$103,Control!$C$114=0),$HF139,0)</f>
        <v>0</v>
      </c>
      <c r="HM139" s="201" t="e">
        <f t="shared" ca="1" si="521"/>
        <v>#DIV/0!</v>
      </c>
      <c r="HN139" s="215">
        <f t="shared" ca="1" si="640"/>
        <v>135</v>
      </c>
      <c r="HO139" s="216" t="e">
        <f ca="1">IF(AND($CP139&gt;=0, $CP139&lt;=90), Control!$C$152, Control!$C$152)</f>
        <v>#N/A</v>
      </c>
      <c r="HP139" s="216" t="e">
        <f t="shared" ca="1" si="522"/>
        <v>#N/A</v>
      </c>
      <c r="HQ139" s="217" t="e">
        <f ca="1">IF(OR(Control!$B$26=1,Control!$B$26=2),$KV139,$KS139)</f>
        <v>#DIV/0!</v>
      </c>
      <c r="HR139" s="218" t="e">
        <f t="shared" ca="1" si="677"/>
        <v>#DIV/0!</v>
      </c>
      <c r="HS139" s="216" t="e">
        <f ca="1">Control!$C$154*$HP139</f>
        <v>#N/A</v>
      </c>
      <c r="HT139" s="216" t="e">
        <f ca="1">Control!$C$155*$HP139</f>
        <v>#N/A</v>
      </c>
      <c r="HU139" s="217" t="e">
        <f ca="1">Control!$C$161*$FI139</f>
        <v>#N/A</v>
      </c>
      <c r="HV139" s="218" t="e">
        <f t="shared" ca="1" si="641"/>
        <v>#N/A</v>
      </c>
      <c r="HW139" s="218" t="e">
        <f ca="1">Control!$C$160*$FF139+$IP139*$EO139</f>
        <v>#N/A</v>
      </c>
      <c r="HX139" s="218" t="e">
        <f t="shared" ca="1" si="678"/>
        <v>#N/A</v>
      </c>
      <c r="HY139" s="219" t="e">
        <f ca="1">IF(Control!$C$114=1, $EB139*$FS139, 0)</f>
        <v>#N/A</v>
      </c>
      <c r="HZ139" s="91" t="e">
        <f t="shared" ca="1" si="523"/>
        <v>#N/A</v>
      </c>
      <c r="IA139" s="220" t="e">
        <f ca="1">Control!$C$153*$HO139</f>
        <v>#N/A</v>
      </c>
      <c r="IB139" s="218" t="e">
        <f t="shared" ca="1" si="524"/>
        <v>#N/A</v>
      </c>
      <c r="IC139" s="220" t="e">
        <f ca="1">Control!$C$153*$HT139</f>
        <v>#N/A</v>
      </c>
      <c r="ID139" s="218" t="e">
        <f t="shared" ca="1" si="525"/>
        <v>#N/A</v>
      </c>
      <c r="IE139" s="221" t="e">
        <f ca="1">($EB139*Control!$C$159+$EF139*Control!$C$160)/(IF($GZ139&lt;&gt;0,$GZ139,1))</f>
        <v>#N/A</v>
      </c>
      <c r="IF139" s="216" t="e">
        <f t="shared" ca="1" si="526"/>
        <v>#N/A</v>
      </c>
      <c r="IG139" s="91">
        <f ca="1">IF(OR(Control!$B$198=$AH139,Control!$B$199=$AH139, Control!$B$200=$AH139, Control!$B$201=$AH139, Control!$B$202=$AH139, Control!$B$203=$AH139, Control!$B$204=$AH139, Control!$B$205=$AH139, Control!$B$206=$AH139, Control!$B$207=$AH139), 1, 0)</f>
        <v>0</v>
      </c>
      <c r="IH139" s="91">
        <f ca="1">IF($IG139=0,0, VLOOKUP($AH139,Control!$B$198:$C$207,2))</f>
        <v>0</v>
      </c>
      <c r="II139" s="222">
        <f t="shared" ca="1" si="642"/>
        <v>0</v>
      </c>
      <c r="IJ139" s="91">
        <f>Control!$C$121</f>
        <v>0.7</v>
      </c>
      <c r="IK139" s="218">
        <f t="shared" ca="1" si="527"/>
        <v>0</v>
      </c>
      <c r="IL139" s="217" t="e">
        <f t="shared" ca="1" si="679"/>
        <v>#N/A</v>
      </c>
      <c r="IM139" s="223" t="e">
        <f ca="1">IF(AND(Control!$C$114=1,$KH139&lt;1),$EB139*Control!$C$148*(1-$KH139), 0)</f>
        <v>#N/A</v>
      </c>
      <c r="IN139" s="217" t="e">
        <f t="shared" ca="1" si="528"/>
        <v>#DIV/0!</v>
      </c>
      <c r="IO139" s="91" t="e">
        <f ca="1">MAX(0,$IL139-$EF139*Control!$C$160)</f>
        <v>#N/A</v>
      </c>
      <c r="IP139" s="220" t="e">
        <f t="shared" ca="1" si="529"/>
        <v>#N/A</v>
      </c>
      <c r="IQ139" s="217" t="e">
        <f t="shared" ca="1" si="643"/>
        <v>#N/A</v>
      </c>
      <c r="IR139" s="218" t="e">
        <f t="shared" ca="1" si="530"/>
        <v>#N/A</v>
      </c>
      <c r="IS139" s="217" t="e">
        <f ca="1">Control!$C$159*MAX(0,$FD139-$EN139)</f>
        <v>#N/A</v>
      </c>
      <c r="IT139" s="217" t="e">
        <f t="shared" ca="1" si="680"/>
        <v>#N/A</v>
      </c>
      <c r="IU139" s="217" t="e">
        <f t="shared" ca="1" si="644"/>
        <v>#N/A</v>
      </c>
      <c r="IV139" s="217" t="e">
        <f t="shared" ca="1" si="681"/>
        <v>#N/A</v>
      </c>
      <c r="IW139" s="217" t="e">
        <f ca="1">IF(OR($AW139=1,AND($AW139=0, Control!$B$18=1,$EN139&lt;&gt;0)), $IQ139-$IU139, $IQ139)</f>
        <v>#N/A</v>
      </c>
      <c r="IX139" s="218" t="e">
        <f t="shared" ca="1" si="531"/>
        <v>#N/A</v>
      </c>
      <c r="IY139" s="218" t="e">
        <f ca="1">MAX(0,$IQ139-$EB139*Control!$C$159)</f>
        <v>#N/A</v>
      </c>
      <c r="IZ139" s="218" t="e">
        <f t="shared" ca="1" si="532"/>
        <v>#N/A</v>
      </c>
      <c r="JA139" s="216" t="e">
        <f t="shared" ca="1" si="533"/>
        <v>#N/A</v>
      </c>
      <c r="JB139" s="217" t="e">
        <f t="shared" ca="1" si="534"/>
        <v>#N/A</v>
      </c>
      <c r="JC139" s="222" t="e">
        <f ca="1">MAX(Control!$C$157*$EK139-$JT139, 0)/Control!$C$162</f>
        <v>#N/A</v>
      </c>
      <c r="JD139" s="218" t="e">
        <f t="shared" ca="1" si="535"/>
        <v>#N/A</v>
      </c>
      <c r="JE139" s="218" t="e">
        <f t="shared" ca="1" si="536"/>
        <v>#N/A</v>
      </c>
      <c r="JF139" s="218" t="e">
        <f t="shared" ca="1" si="645"/>
        <v>#N/A</v>
      </c>
      <c r="JG139" s="218" t="e">
        <f t="shared" ca="1" si="537"/>
        <v>#N/A</v>
      </c>
      <c r="JH139" s="217" t="e">
        <f t="shared" ca="1" si="646"/>
        <v>#N/A</v>
      </c>
      <c r="JI139" s="217" t="e">
        <f t="shared" ca="1" si="647"/>
        <v>#N/A</v>
      </c>
      <c r="JJ139" s="217" t="e">
        <f t="shared" ca="1" si="682"/>
        <v>#N/A</v>
      </c>
      <c r="JK139" s="217" t="e">
        <f ca="1">IF(Control!$C$114=1,IF(Control!$B$24=0,MAX(0,$JI139)*$GN139/Control!$C$64,(MAX(0,MIN($JI139,$JJ139*$GN139/Control!$C$64),0))))</f>
        <v>#N/A</v>
      </c>
      <c r="JL139" s="217" t="e">
        <f ca="1">$IK139/Control!$C$64-$JK139+$HQ139</f>
        <v>#N/A</v>
      </c>
      <c r="JM139" s="217" t="e">
        <f ca="1">IF(Control!$C$114=1,($JB139/(IF($JI139&lt;&gt;0,$JI139,1)))*$JK139,0)</f>
        <v>#N/A</v>
      </c>
      <c r="JN139" s="217" t="e">
        <f ca="1">IF(Control!$C$114=1,($JG139/(IF($JI139&lt;&gt;0,$JI139,1)))*$JK139, 0)</f>
        <v>#N/A</v>
      </c>
      <c r="JO139" s="218" t="e">
        <f t="shared" ca="1" si="538"/>
        <v>#N/A</v>
      </c>
      <c r="JP139" s="218" t="e">
        <f ca="1">MIN(($IY139+$IO139)*Control!$C$151, $JF139-$EH139*Control!$C$161)</f>
        <v>#N/A</v>
      </c>
      <c r="JQ139" s="218" t="e">
        <f t="shared" ca="1" si="539"/>
        <v>#N/A</v>
      </c>
      <c r="JR139" s="217" t="e">
        <f ca="1">IF($CP139-Control!$C$150&lt;0, 0, $JQ139/Control!$C$162)</f>
        <v>#N/A</v>
      </c>
      <c r="JS139" s="218" t="e">
        <f t="shared" ca="1" si="540"/>
        <v>#N/A</v>
      </c>
      <c r="JT139" s="218" t="e">
        <f t="shared" ca="1" si="648"/>
        <v>#N/A</v>
      </c>
      <c r="JU139" s="218" t="e">
        <f t="shared" ca="1" si="541"/>
        <v>#N/A</v>
      </c>
      <c r="JV139" s="218" t="e">
        <f t="shared" ca="1" si="542"/>
        <v>#N/A</v>
      </c>
      <c r="JW139" s="216" t="e">
        <f t="shared" ca="1" si="543"/>
        <v>#N/A</v>
      </c>
      <c r="JX139" s="91" t="e">
        <f t="shared" ca="1" si="544"/>
        <v>#N/A</v>
      </c>
      <c r="JY139" s="218" t="e">
        <f t="shared" ca="1" si="545"/>
        <v>#N/A</v>
      </c>
      <c r="JZ139" s="217" t="e">
        <f ca="1">IF(Control!$C$114=1,($IZ139/(IF($JI139&lt;&gt;0,$JI139,1)))*$JK139, 0)</f>
        <v>#N/A</v>
      </c>
      <c r="KA139" s="218" t="e">
        <f t="shared" ca="1" si="683"/>
        <v>#N/A</v>
      </c>
      <c r="KB139" s="218" t="e">
        <f t="shared" ca="1" si="649"/>
        <v>#N/A</v>
      </c>
      <c r="KC139" s="218" t="e">
        <f t="shared" ca="1" si="546"/>
        <v>#N/A</v>
      </c>
      <c r="KD139" s="218" t="e">
        <f t="shared" ca="1" si="547"/>
        <v>#N/A</v>
      </c>
      <c r="KE139" s="218" t="e">
        <f t="shared" ca="1" si="548"/>
        <v>#N/A</v>
      </c>
      <c r="KF139" s="218" t="e">
        <f t="shared" ca="1" si="549"/>
        <v>#N/A</v>
      </c>
      <c r="KG139" s="216" t="e">
        <f t="shared" ca="1" si="550"/>
        <v>#N/A</v>
      </c>
      <c r="KH139" s="221" t="e">
        <f ca="1">IF(Control!$B$24=0,1,MAX(0.001,MIN(1,IF(($IF139-$IE139)&lt;&gt;0,($KG139-$IE139)/($IF139-$IE139),1))))</f>
        <v>#N/A</v>
      </c>
      <c r="KI139" s="222" t="e">
        <f ca="1">IF(Control!$C$114=1, $KI138+ $KH138, 0)</f>
        <v>#N/A</v>
      </c>
      <c r="KJ139" s="217" t="e">
        <f t="shared" ca="1" si="551"/>
        <v>#N/A</v>
      </c>
      <c r="KK139" s="218" t="e">
        <f t="shared" ca="1" si="552"/>
        <v>#N/A</v>
      </c>
      <c r="KL139" s="274" t="e">
        <f ca="1">IF(Control!$B$26=3,4000000000*EXP(-8400/($G139+273)),IF(Control!$B$26=4,4000000000*EXP(-8400/($G139+273))*($KT139),0))</f>
        <v>#DIV/0!</v>
      </c>
      <c r="KM139" s="274" t="e">
        <f ca="1">IF(Control!$B$26=3,5600000000000*EXP(-9800/($G139+273)),IF(Control!$B$26=4,5600000000000*EXP(-9800/($G139+273))*$KT139,0))</f>
        <v>#DIV/0!</v>
      </c>
      <c r="KN139" s="454" t="e">
        <f t="shared" ca="1" si="650"/>
        <v>#DIV/0!</v>
      </c>
      <c r="KO139" s="274" t="e">
        <f t="shared" ca="1" si="651"/>
        <v>#DIV/0!</v>
      </c>
      <c r="KP139" s="454" t="e">
        <f t="shared" ca="1" si="553"/>
        <v>#DIV/0!</v>
      </c>
      <c r="KQ139" s="454" t="e">
        <f t="shared" ca="1" si="554"/>
        <v>#DIV/0!</v>
      </c>
      <c r="KR139" s="454" t="e">
        <f t="shared" ca="1" si="555"/>
        <v>#DIV/0!</v>
      </c>
      <c r="KS139" s="454" t="e">
        <f t="shared" ca="1" si="556"/>
        <v>#DIV/0!</v>
      </c>
      <c r="KT139" s="455" t="e">
        <f t="shared" ca="1" si="557"/>
        <v>#DIV/0!</v>
      </c>
      <c r="KU139" s="456" t="e">
        <f ca="1">IF($CP139-Control!$C$149&lt;0, IF($NT139-0.01&lt;0,0,1),0)</f>
        <v>#N/A</v>
      </c>
      <c r="KV139" s="456" t="e">
        <f ca="1">IF(Control!$C$114=1,MAX(0,MIN(Control!$C$125*$KW139*$GN139,$KW139)))</f>
        <v>#DIV/0!</v>
      </c>
      <c r="KW139" s="456" t="e">
        <f t="shared" ca="1" si="684"/>
        <v>#DIV/0!</v>
      </c>
      <c r="KX139" s="457" t="e">
        <f ca="1">IF($CP139-Control!$C$149&lt;0, IF($MR139-$OM139&lt;0,0,1),0)</f>
        <v>#N/A</v>
      </c>
      <c r="KY139" s="167">
        <f t="shared" ca="1" si="652"/>
        <v>135</v>
      </c>
      <c r="KZ139" s="168">
        <f ca="1">1370*(1+0.033*COS(2*Control!$C$138*$AH139/365))</f>
        <v>1339.0798237066597</v>
      </c>
      <c r="LA139" s="169">
        <f t="shared" ca="1" si="653"/>
        <v>0.97743065908638782</v>
      </c>
      <c r="LB139" s="169">
        <f t="shared" ca="1" si="654"/>
        <v>0.32881800747711681</v>
      </c>
      <c r="LC139" s="169">
        <f ca="1">ACOS(-TAN((2*Control!$B$8/360))*TAN(Calculations!$LB139))</f>
        <v>1.6723780530076693</v>
      </c>
      <c r="LD139" s="169">
        <f ca="1">((24*60)/PI())*0.082*$LA139*(($LC139*SIN(Control!$B$8*2*PI()/360))*SIN($LB139)+COS(Control!$B$8*2*PI()/360)*COS($LB139)*SIN($LC139))</f>
        <v>36.930256540250753</v>
      </c>
      <c r="LE139" s="170">
        <f t="shared" ca="1" si="558"/>
        <v>37.878528182392124</v>
      </c>
      <c r="LF139" s="170">
        <f ca="1">SIN(Control!$C$139*Control!$B$8)*SIN($HD139)</f>
        <v>0.25048953611631769</v>
      </c>
      <c r="LG139" s="170">
        <f ca="1">COS(Control!$C$139*Control!$B$8)*COS($HD139)</f>
        <v>0.58372709520282817</v>
      </c>
      <c r="LH139" s="170">
        <f ca="1">12*(1+2*ASIN(MAX(-1,MIN(1,$LF139/$LG139))/Control!$C$138))</f>
        <v>15.288515645565546</v>
      </c>
      <c r="LI139" s="170">
        <f ca="1">12*(1+2*ASIN(MAX(-1,MIN(1,(-SIN(-4*Control!$C$139)+$LF139)/$LG139))/Control!$C$138))</f>
        <v>16.212762223004301</v>
      </c>
      <c r="LJ139" s="168">
        <f ca="1">3600*($LH139*$LF139+24*$LG139*SQRT(1-$LK139*$LK139)/Control!$C$138)</f>
        <v>28286.982980254234</v>
      </c>
      <c r="LK139" s="170">
        <f t="shared" ca="1" si="559"/>
        <v>0.42912096795726068</v>
      </c>
      <c r="LL139" s="170">
        <f t="shared" ca="1" si="560"/>
        <v>0</v>
      </c>
      <c r="LM139" s="171">
        <f ca="1">Control!$C$145*$AB139</f>
        <v>6.6660906138995932E-2</v>
      </c>
      <c r="LN139" s="170">
        <f t="shared" ca="1" si="655"/>
        <v>0.54</v>
      </c>
      <c r="LO139" s="170">
        <f t="shared" ca="1" si="561"/>
        <v>0</v>
      </c>
      <c r="LP139" s="170">
        <f ca="1">Control!$C$140*((($D139+273.16)^4+($E139+273.16)^4)/2)*(0.34-0.14*SQRT($Y139))*(1.35*$AQ139/(0.75*$LD139)-0.35)</f>
        <v>-3.2464704755046001</v>
      </c>
      <c r="LQ139" s="170">
        <f ca="1">Control!$C$140*($G139+273)^4*(0.56-0.079*SQRT($Y139*10))*(0.1+0.9*$LO139)</f>
        <v>1.5241745131704001</v>
      </c>
      <c r="LR139" s="170">
        <f ca="1">$AQ139*(1-Control!$C$142)-$LQ139</f>
        <v>-1.5241745131704001</v>
      </c>
      <c r="LS139" s="170">
        <f ca="1">$AQ139*(1-Control!$C$143)-$LQ139</f>
        <v>-1.5241745131704001</v>
      </c>
      <c r="LT139" s="170">
        <f ca="1">$AQ139*(1-Control!$C$144)-$LQ139</f>
        <v>-1.5241745131704001</v>
      </c>
      <c r="LU139" s="169">
        <f ca="1">(1-Control!$C$144)*AQ139-LP139</f>
        <v>3.2464704755046001</v>
      </c>
      <c r="LV139" s="172">
        <f t="shared" ca="1" si="562"/>
        <v>0.79430000000000012</v>
      </c>
      <c r="LW139" s="170">
        <f t="shared" ca="1" si="563"/>
        <v>1.5886000000000002</v>
      </c>
      <c r="LX139" s="170">
        <f ca="1">($AC139*($LR139/Control!$C$141)+$LM139*$LV139)/($AC139+$LM139)</f>
        <v>0.23530094218323697</v>
      </c>
      <c r="LY139" s="170">
        <f ca="1">($AC139*($LS139/Control!$C$141)+$LM139*$LV139)/($AC139+$LM139)</f>
        <v>0.23530094218323697</v>
      </c>
      <c r="LZ139" s="170">
        <f t="shared" ca="1" si="564"/>
        <v>0.23530094218323697</v>
      </c>
      <c r="MA139" s="170">
        <f t="shared" ca="1" si="565"/>
        <v>0.23530094218323697</v>
      </c>
      <c r="MB139" s="170" t="e">
        <f t="shared" ca="1" si="566"/>
        <v>#N/A</v>
      </c>
      <c r="MC139" s="170">
        <f t="shared" ca="1" si="656"/>
        <v>0.6018</v>
      </c>
      <c r="MD139" s="170">
        <f t="shared" ca="1" si="567"/>
        <v>0.52989392535414004</v>
      </c>
      <c r="ME139" s="170">
        <f ca="1">($AC139*($LT139/Control!$C$141)+$LM139*$LW139)/($AC139+$LM139)</f>
        <v>0.71612369323045078</v>
      </c>
      <c r="MF139" s="170" t="e">
        <f ca="1">IF(Control!$B$16&gt;=1000,0.92,IF(AND(720&lt;=Control!$B$16,1000&gt;Control!$B$16),(0.95+(Control!$B$16-720)*((0.92-0.95)/(1000-720))),IF(AND(360&lt;=Control!$B$16,720&gt;Control!$B$16),(1+(Control!$B$16-360)*((0.95-1)/(720-360))),IF(AND(40&lt;=Control!$B$16,360&gt;Control!$B$16),(1.05+(Control!$B$16-40)*((1.05-1)/(360-40)))))))</f>
        <v>#N/A</v>
      </c>
      <c r="MG139" s="170">
        <f t="shared" ca="1" si="568"/>
        <v>0.71612369323045078</v>
      </c>
      <c r="MH139" s="170" t="e">
        <f t="shared" ca="1" si="464"/>
        <v>#N/A</v>
      </c>
      <c r="MI139" s="170" t="e">
        <f t="shared" ca="1" si="464"/>
        <v>#N/A</v>
      </c>
      <c r="MJ139" s="170" t="e">
        <f ca="1">MAX(0.0001, Control!$C$132*$MI139*$DL139)</f>
        <v>#N/A</v>
      </c>
      <c r="MK139" s="170">
        <f ca="1">1/(0.76+1.5*($MG139/10))-(5-Control!$C$110)*0.1</f>
        <v>1.002845988140797</v>
      </c>
      <c r="ML139" s="173">
        <f ca="1">IF(Control!$C$110&lt;3,$MK139+($MG139-0.6)/(Control!$C$110*(Control!$C$110+3)), MAX(0.1, MIN(0.95,$MK139)))</f>
        <v>0.95</v>
      </c>
      <c r="MM139" s="173">
        <f ca="1">IF(Control!$C$110&lt;3,$MK139+(($MI139/10)-0.6)/(Control!$C$110*(Control!$C$110+3)), MAX(0.1, MIN(0.95,$MK139)))</f>
        <v>0.95</v>
      </c>
      <c r="MN139" s="173">
        <f ca="1">(1-$MM139)*(Control!$C$128-Control!$C$127)+Control!$C$127</f>
        <v>0.16</v>
      </c>
      <c r="MO139" s="170" t="e">
        <f ca="1">MAX(0,MIN(1,($MS139-Control!$C$127)/($MN139-Control!$C$127)))</f>
        <v>#DIV/0!</v>
      </c>
      <c r="MP139" s="173" t="e">
        <f ca="1">1/(0.76+1.5*$MI139)-(5-Control!$C$110)*0.1</f>
        <v>#N/A</v>
      </c>
      <c r="MQ139" s="172" t="e">
        <f t="shared" ca="1" si="685"/>
        <v>#DIV/0!</v>
      </c>
      <c r="MR139" s="168" t="e">
        <f t="shared" ca="1" si="657"/>
        <v>#DIV/0!</v>
      </c>
      <c r="MS139" s="173" t="e">
        <f ca="1">MAX(Control!$C$127, MIN(Control!$C$135, $MR139/MAX(0.0001,$CY139)))</f>
        <v>#DIV/0!</v>
      </c>
      <c r="MT139" s="168" t="e">
        <f ca="1">(Control!$C$128-$MS139)*Control!$C$74</f>
        <v>#DIV/0!</v>
      </c>
      <c r="MU139" s="168" t="e">
        <f ca="1">(Control!$C$135-$MS139)*Control!$C$74</f>
        <v>#DIV/0!</v>
      </c>
      <c r="MV139" s="168" t="e">
        <f t="shared" ca="1" si="658"/>
        <v>#DIV/0!</v>
      </c>
      <c r="MW139" s="168" t="e">
        <f t="shared" ca="1" si="659"/>
        <v>#DIV/0!</v>
      </c>
      <c r="MX139" s="171" t="e">
        <f ca="1">MAX(Control!$C$127, MIN(Control!$C$135, $MW139/MAX(0.0001,Control!$C$119-$CY139)))</f>
        <v>#DIV/0!</v>
      </c>
      <c r="MY139" s="54" t="e">
        <f ca="1">IF(Control!$C$114=1, $CX139*$MX139, 0)</f>
        <v>#DIV/0!</v>
      </c>
      <c r="MZ139" s="54" t="e">
        <f t="shared" ca="1" si="660"/>
        <v>#N/A</v>
      </c>
      <c r="NA139" s="168" t="e">
        <f ca="1">(Control!$C$128-$MX139)*(Control!$C$119-Control!$C$74)</f>
        <v>#DIV/0!</v>
      </c>
      <c r="NB139" s="168" t="e">
        <f ca="1">(Control!$C$135-$MX139)*(Control!$C$119-Control!$C$74)</f>
        <v>#DIV/0!</v>
      </c>
      <c r="NC139" s="174" t="e">
        <f t="shared" ca="1" si="661"/>
        <v>#DIV/0!</v>
      </c>
      <c r="ND139" s="54">
        <f ca="1">IF(Control!$C$58=2, IF(OR(Control!$B$218=$AH139,Control!$B$219=$AH139, Control!$B$220=$AH139, Control!$B$221=$AH139, Control!$B$222=$AH139, Control!$B$223=$AH139, Control!$B$224=$AH139, Control!$B$225=$AH139, Control!$B$226=$AH139, Control!$B$227=$AH139, Control!$B$228=$AH139), 1, 0), 0)</f>
        <v>0</v>
      </c>
      <c r="NE139" s="54">
        <f ca="1">IF($ND139=0,0, VLOOKUP($AH139,Control!$B$218:$C$228,2))</f>
        <v>0</v>
      </c>
      <c r="NF139" s="168" t="e">
        <f ca="1">$CY139*(Control!$C$128-Control!$C$127)</f>
        <v>#N/A</v>
      </c>
      <c r="NG139" s="54" t="e">
        <f ca="1">IF(Control!$C$58=2, $NI138-$NJ138, 0)</f>
        <v>#DIV/0!</v>
      </c>
      <c r="NH139" s="54" t="e">
        <f ca="1">IF(AND(Control!$C$58=1, $MS138&lt;= ($MN138+0.02), $I138&lt;10), 0, IF(Control!$C$58=2, $NG138, 0))</f>
        <v>#DIV/0!</v>
      </c>
      <c r="NI139" s="54" t="e">
        <f ca="1">IF(Control!$C$58=2, $NE139+$NH139,0)</f>
        <v>#DIV/0!</v>
      </c>
      <c r="NJ139" s="54" t="e">
        <f ca="1">IF(AND(Control!$C$58=1, $MS139&lt;= ($MN139+0.02), $I139&lt;10), MAX(0, MIN(10, 0.7*($NF139-$MV139))), IF(Control!$C$58=2, MIN(10,$NI139),0))</f>
        <v>#DIV/0!</v>
      </c>
      <c r="NK139" s="54" t="e">
        <f t="shared" ca="1" si="569"/>
        <v>#DIV/0!</v>
      </c>
      <c r="NL139" s="173" t="e">
        <f ca="1">(1-Control!$C$73)*$I139+$NJ139</f>
        <v>#DIV/0!</v>
      </c>
      <c r="NM139" s="172" t="e">
        <f ca="1">IF($NL139&lt;0.5, $MB139* MAX(0, MIN(1, (SQRT($NC139)-SQRT($NC139-1))*Control!$C$71)),0)</f>
        <v>#DIV/0!</v>
      </c>
      <c r="NN139" s="170" t="e">
        <f ca="1">IF($NL139&gt;=5, $MB139, MAX(0,MIN($MB139, $NM139+$NL139,($MS139-Control!$C$129))))</f>
        <v>#DIV/0!</v>
      </c>
      <c r="NO139" s="54">
        <f>IF(Control!$C$133&lt;&gt;1, Control!$C$135-Control!$C$131, 0)</f>
        <v>0.38</v>
      </c>
      <c r="NP139" s="54" t="e">
        <f t="shared" ca="1" si="570"/>
        <v>#DIV/0!</v>
      </c>
      <c r="NQ139" s="173" t="e">
        <f ca="1">MAX(0,MIN(1,(Control!$C$135-$MS139)/(Control!$C$135-$NO139)))</f>
        <v>#DIV/0!</v>
      </c>
      <c r="NR139" s="170" t="e">
        <f ca="1">IF(Control!$C$133&lt;&gt;1, $NQ139+((1-$NP139/4)*(1-$NQ139)),1)</f>
        <v>#DIV/0!</v>
      </c>
      <c r="NS139" s="170" t="e">
        <f ca="1">IF(Control!$B$31=0,$MJ139,MAX(0,MIN($MV139,$MO139*$NR139*$MJ139)))</f>
        <v>#DIV/0!</v>
      </c>
      <c r="NT139" s="170" t="e">
        <f t="shared" ca="1" si="686"/>
        <v>#DIV/0!</v>
      </c>
      <c r="NU139" s="170" t="e">
        <f t="shared" ca="1" si="662"/>
        <v>#N/A</v>
      </c>
      <c r="NV139" s="170" t="e">
        <f t="shared" ca="1" si="571"/>
        <v>#N/A</v>
      </c>
      <c r="NW139" s="175" t="e">
        <f t="shared" ca="1" si="572"/>
        <v>#DIV/0!</v>
      </c>
      <c r="NX139" s="170" t="e">
        <f ca="1">MIN(Control!$C$72+$MU139, $NW139)</f>
        <v>#DIV/0!</v>
      </c>
      <c r="NY139" s="170" t="e">
        <f ca="1">IF($MT139&lt;=$NX139,MIN(Control!$C$72+$NB139,$NX139-$MT139),0)</f>
        <v>#DIV/0!</v>
      </c>
      <c r="NZ139" s="54" t="e">
        <f ca="1">IF(Control!$C$114=1,  $CX139*($MX139-Control!$C$127), 0)</f>
        <v>#DIV/0!</v>
      </c>
      <c r="OA139" s="170" t="e">
        <f t="shared" ca="1" si="573"/>
        <v>#DIV/0!</v>
      </c>
      <c r="OB139" s="170" t="e">
        <f ca="1">IF($NA139 &lt;=$NY139, MIN(Control!$C$72, $NY139-$NA139), 0)</f>
        <v>#DIV/0!</v>
      </c>
      <c r="OC139" s="168" t="e">
        <f t="shared" ca="1" si="574"/>
        <v>#DIV/0!</v>
      </c>
      <c r="OD139" s="168" t="e">
        <f t="shared" ca="1" si="663"/>
        <v>#DIV/0!</v>
      </c>
      <c r="OE139" s="170">
        <f ca="1">Control!$C$73*$I139</f>
        <v>0</v>
      </c>
      <c r="OF139" s="176" t="e">
        <f t="shared" ca="1" si="575"/>
        <v>#DIV/0!</v>
      </c>
      <c r="OG139" s="168" t="e">
        <f t="shared" ca="1" si="576"/>
        <v>#DIV/0!</v>
      </c>
      <c r="OH139" s="168" t="e">
        <f t="shared" ca="1" si="577"/>
        <v>#DIV/0!</v>
      </c>
      <c r="OI139" s="168" t="e">
        <f t="shared" ca="1" si="578"/>
        <v>#DIV/0!</v>
      </c>
      <c r="OJ139" s="168" t="e">
        <f t="shared" ca="1" si="579"/>
        <v>#DIV/0!</v>
      </c>
      <c r="OK139" s="204" t="e">
        <f t="shared" ca="1" si="580"/>
        <v>#DIV/0!</v>
      </c>
      <c r="OL139" s="177">
        <f>Control!$C$127</f>
        <v>0.15</v>
      </c>
      <c r="OM139" s="182" t="e">
        <f t="shared" ca="1" si="581"/>
        <v>#N/A</v>
      </c>
      <c r="ON139" s="177">
        <f>Control!$C$128</f>
        <v>0.35</v>
      </c>
      <c r="OO139" s="182" t="e">
        <f t="shared" ca="1" si="582"/>
        <v>#N/A</v>
      </c>
      <c r="OP139" s="138">
        <f t="shared" ca="1" si="664"/>
        <v>0</v>
      </c>
      <c r="OQ139" s="138" t="e">
        <f t="shared" ca="1" si="687"/>
        <v>#DIV/0!</v>
      </c>
      <c r="OR139" s="138" t="e">
        <f t="shared" ca="1" si="665"/>
        <v>#DIV/0!</v>
      </c>
      <c r="OS139" s="137" t="e">
        <f t="shared" ca="1" si="688"/>
        <v>#DIV/0!</v>
      </c>
      <c r="OT139" s="139" t="e">
        <f t="shared" ca="1" si="689"/>
        <v>#DIV/0!</v>
      </c>
      <c r="OU139" s="138" t="e">
        <f t="shared" ca="1" si="690"/>
        <v>#N/A</v>
      </c>
      <c r="OV139" s="138" t="e">
        <f t="shared" ca="1" si="691"/>
        <v>#DIV/0!</v>
      </c>
      <c r="OW139" s="138" t="e">
        <f t="shared" ca="1" si="666"/>
        <v>#DIV/0!</v>
      </c>
      <c r="OX139" s="138" t="e">
        <f t="shared" ca="1" si="667"/>
        <v>#DIV/0!</v>
      </c>
      <c r="OY139" s="138" t="e">
        <f t="shared" ca="1" si="668"/>
        <v>#DIV/0!</v>
      </c>
      <c r="OZ139" s="138" t="e">
        <f t="shared" ca="1" si="583"/>
        <v>#DIV/0!</v>
      </c>
      <c r="PA139" s="138" t="e">
        <f t="shared" ca="1" si="584"/>
        <v>#DIV/0!</v>
      </c>
      <c r="PB139" s="55">
        <f>IF(Control!$C$61="T", IF(Control!$C$65="F", IF($AH$6-Control!$C$60&lt;0,0,1), IF(365+$AH$6-Control!$C$60&lt;0,0,1)),0)</f>
        <v>0</v>
      </c>
      <c r="PC139" s="55">
        <f ca="1">IF(Control!$C$65="F", IF($AH$6-$HF139&lt;0,0,1), IF(365+$AH$6-$HF139&lt;0,0,1))</f>
        <v>1</v>
      </c>
      <c r="PD139" s="444">
        <f>Control!$C$118</f>
        <v>1500</v>
      </c>
      <c r="PE139" s="180" t="e">
        <f t="shared" ca="1" si="585"/>
        <v>#N/A</v>
      </c>
      <c r="PF139" s="445">
        <f t="shared" ca="1" si="669"/>
        <v>0.71612369323045078</v>
      </c>
      <c r="PT139" s="186"/>
      <c r="PU139" s="186"/>
      <c r="PV139" s="94"/>
      <c r="PW139" s="94"/>
      <c r="PX139" s="94"/>
      <c r="PY139" s="94"/>
      <c r="PZ139" s="94"/>
      <c r="QA139" s="94"/>
      <c r="QB139" s="94"/>
      <c r="QC139" s="94"/>
      <c r="QD139" s="94"/>
      <c r="QE139" s="94"/>
      <c r="QF139" s="94"/>
      <c r="QG139" s="94"/>
      <c r="QH139" s="94"/>
      <c r="QI139" s="94"/>
      <c r="QJ139" s="94"/>
      <c r="QK139" s="94"/>
      <c r="QL139" s="94"/>
      <c r="QM139" s="94"/>
      <c r="QN139" s="94"/>
      <c r="QO139" s="94"/>
      <c r="QP139" s="94"/>
    </row>
    <row r="140" spans="1:458" s="2" customFormat="1" x14ac:dyDescent="0.2">
      <c r="A140" s="395">
        <v>15</v>
      </c>
      <c r="B140" s="396">
        <v>5</v>
      </c>
      <c r="C140" s="387">
        <f ca="1">Weather_data!$B139</f>
        <v>0</v>
      </c>
      <c r="D140" s="388">
        <f ca="1">Weather_data!$F139</f>
        <v>0</v>
      </c>
      <c r="E140" s="388">
        <f ca="1">Weather_data!$E139</f>
        <v>0</v>
      </c>
      <c r="F140" s="388">
        <f t="shared" ca="1" si="586"/>
        <v>0</v>
      </c>
      <c r="G140" s="388">
        <f ca="1">AVERAGE($D140:$E140)+Control!$B$9</f>
        <v>0</v>
      </c>
      <c r="H140" s="388">
        <f ca="1">Weather_data!$G139</f>
        <v>0</v>
      </c>
      <c r="I140" s="388">
        <f ca="1">Weather_data!$I139</f>
        <v>0</v>
      </c>
      <c r="J140" s="388">
        <f ca="1">Weather_data!$H139</f>
        <v>0</v>
      </c>
      <c r="K140" s="389">
        <f ca="1">Weather_data!$D139</f>
        <v>0</v>
      </c>
      <c r="L140" s="388" t="e">
        <f t="shared" ca="1" si="587"/>
        <v>#N/A</v>
      </c>
      <c r="M140" s="388" t="e">
        <f t="shared" ca="1" si="465"/>
        <v>#N/A</v>
      </c>
      <c r="N140" s="388">
        <f t="shared" ca="1" si="466"/>
        <v>-3.6937395469881068E-7</v>
      </c>
      <c r="O140" s="388">
        <f t="shared" ca="1" si="588"/>
        <v>3.6937395469881067E-6</v>
      </c>
      <c r="P140" s="390">
        <v>3</v>
      </c>
      <c r="Q140" s="388">
        <f ca="1">MAX($G140-Control!$C$107,0)</f>
        <v>0</v>
      </c>
      <c r="R140" s="388">
        <f t="shared" ca="1" si="589"/>
        <v>0</v>
      </c>
      <c r="S140" s="388">
        <f t="shared" ca="1" si="467"/>
        <v>0</v>
      </c>
      <c r="T140" s="388">
        <f t="shared" ca="1" si="468"/>
        <v>0</v>
      </c>
      <c r="U140" s="59">
        <f t="shared" ca="1" si="469"/>
        <v>0</v>
      </c>
      <c r="V140" s="391">
        <f ca="1">MAX(0,MIN(Control!$C$100-Control!$C$99,$G140-Control!$C$99)*Control!$C$63)</f>
        <v>0</v>
      </c>
      <c r="W140" s="388">
        <f t="shared" ca="1" si="590"/>
        <v>0</v>
      </c>
      <c r="X140" s="388">
        <f t="shared" ca="1" si="591"/>
        <v>0.6110000000000001</v>
      </c>
      <c r="Y140" s="388">
        <f t="shared" ca="1" si="470"/>
        <v>0</v>
      </c>
      <c r="Z140" s="388">
        <f t="shared" ca="1" si="592"/>
        <v>0.61058800000000002</v>
      </c>
      <c r="AA140" s="388">
        <f t="shared" ca="1" si="471"/>
        <v>0.6018</v>
      </c>
      <c r="AB140" s="388">
        <f ca="1">101.3*EXP(-0.034*Control!$C$66/($G140+273))</f>
        <v>100.69623283836242</v>
      </c>
      <c r="AC140" s="392">
        <f t="shared" ca="1" si="472"/>
        <v>4.3460251046025113E-2</v>
      </c>
      <c r="AD140" s="392">
        <f t="shared" ca="1" si="473"/>
        <v>4.4450382862832649E-2</v>
      </c>
      <c r="AE140" s="388">
        <f t="shared" ca="1" si="474"/>
        <v>0</v>
      </c>
      <c r="AF140" s="388">
        <f ca="1">MAX(0,$G140-Control!$C$92)</f>
        <v>0</v>
      </c>
      <c r="AG140" s="393">
        <f t="shared" ca="1" si="475"/>
        <v>136</v>
      </c>
      <c r="AH140" s="389">
        <f t="shared" ca="1" si="476"/>
        <v>136</v>
      </c>
      <c r="AI140" s="388">
        <f t="shared" ca="1" si="593"/>
        <v>0.32778768205762016</v>
      </c>
      <c r="AJ140" s="388">
        <f ca="1">IF(Control!$C$60&lt;=0,$HH140,$HI140)</f>
        <v>1</v>
      </c>
      <c r="AK140" s="388">
        <f t="shared" ca="1" si="477"/>
        <v>0.96399555397823788</v>
      </c>
      <c r="AL140" s="388">
        <f t="shared" ca="1" si="478"/>
        <v>3.9672015672564951E-18</v>
      </c>
      <c r="AM140" s="388">
        <f t="shared" ca="1" si="479"/>
        <v>0.96399555397823788</v>
      </c>
      <c r="AN140" s="388">
        <f t="shared" ca="1" si="480"/>
        <v>0.33289808290771239</v>
      </c>
      <c r="AO140" s="388">
        <f ca="1">-0.10453/COS(Control!$B$8*PI()/180)*COS(AN140)</f>
        <v>-0.16046355097516121</v>
      </c>
      <c r="AP140" s="388">
        <f ca="1">ACOS(AO140-TAN(Control!$B$8*PI()/180)*TAN(AN140))</f>
        <v>2.2180829335398151</v>
      </c>
      <c r="AQ140" s="388">
        <f t="shared" ca="1" si="594"/>
        <v>0</v>
      </c>
      <c r="AR140" s="394">
        <f t="shared" ca="1" si="481"/>
        <v>0</v>
      </c>
      <c r="AS140" s="436">
        <f ca="1">IF(Control!$B$18=2,(IF(OR($AH140=Control!$B$175,$AH140=Control!$B$176,$AH140=Control!$B$177,$AH140=Control!$B$178,$AH140=Control!$B$179,$AH140=Control!$B$180,$AH140=Control!$B$181,$AH140=Control!$B$182,$AH140=Control!$B$183,$AH140=Control!$B$184,$AH140=Control!$B$185),1,0)),0)</f>
        <v>0</v>
      </c>
      <c r="AT140" s="436">
        <f>IF(Control!$B$20=8,IF(AND($AH140&gt;=Control!$B$172,$AH140&lt;=Control!$B$173),1,0),0)</f>
        <v>0</v>
      </c>
      <c r="AU140" s="436">
        <f>IF(Control!$B$20=8,IF($AV139=1,1*$AT140,IF($AT140=1,$AU139+1,$AU139)),0)</f>
        <v>0</v>
      </c>
      <c r="AV140" s="436">
        <f>IF(Control!$B$20=8,IF($AU140&gt;=Control!$B$174,1,0),0)</f>
        <v>0</v>
      </c>
      <c r="AW140" s="436">
        <f ca="1">IF(AND(Control!$B$18=2,Control!$B$171=1), $AV140, $AS140)</f>
        <v>0</v>
      </c>
      <c r="AX140" s="436" t="e">
        <f ca="1">IF(AND(Control!$B$18=1,$EU140&gt;=Control!$B$19),-$AY140,IF(AND(Control!$B$18=2,$AW140=1,$EU140&gt;$DS140),-$AY140, IF(Control!$C$108=0,0, IF(Control!$C$108&lt;&gt;0,1))))</f>
        <v>#N/A</v>
      </c>
      <c r="AY140" s="436" t="e">
        <f t="shared" ca="1" si="595"/>
        <v>#N/A</v>
      </c>
      <c r="AZ140" s="436" t="e">
        <f ca="1">IF(AND(Control!$B$18=1,$EB140&gt;Control!$B$19),$AZ139+1, IF(AND(Control!$B$18=2, $AW140=1, $EB140&gt;$DS140), $AZ139+1,$AZ139))</f>
        <v>#N/A</v>
      </c>
      <c r="BA140" s="587">
        <f>IF(Control!$C$81=0,1,IF($AH140&gt;=Control!$C$82,1,0))</f>
        <v>1</v>
      </c>
      <c r="BB140" s="140" t="e">
        <f ca="1">IF($BA140&gt;$BA139,Control!$C$83,IF($AW140&gt;0,$AW140*Control!$C$84,IF(AND(Control!$B$18=1,EN139&lt;&gt;0),Control!$C$84,0)))</f>
        <v>#N/A</v>
      </c>
      <c r="BC140" s="140" t="e">
        <f t="shared" ca="1" si="596"/>
        <v>#N/A</v>
      </c>
      <c r="BD140" s="140" t="e">
        <f ca="1">BC140*IF(OR($G140&lt;Control!$C$92,$G140&gt;Control!$C$95),0,IF(AND($G140&gt;=Control!$C$92,$G140&lt;=Control!$C$93),$G140-Control!$C$92,IF(AND($G140&gt;Control!$C$93,$G140&lt;=Control!$C$94),Control!$C$93-Control!$C$92,IF(AND($G140&gt;Control!$C$94,$G140&lt;=Control!$C$95),(Control!$C$93-Control!$C$92)*(Control!$C$94-$G140)/(Control!$C$95-Control!$C$94)))))</f>
        <v>#N/A</v>
      </c>
      <c r="BE140" s="140" t="e">
        <f t="shared" ca="1" si="597"/>
        <v>#N/A</v>
      </c>
      <c r="BF140" s="140" t="e">
        <f ca="1">IF($BE140&lt;=Control!$C$86,$BE140,Control!$C$86-$BE140)</f>
        <v>#N/A</v>
      </c>
      <c r="BG140" s="140" t="e">
        <f ca="1">IF(AND($AW140=1,Control!$C$84&lt;9),1,IF($BE140&gt;=Control!$C$86,0,$BC140))</f>
        <v>#N/A</v>
      </c>
      <c r="BH140" s="404" t="e">
        <f ca="1">IF($BG140=0,0,IF($BE140&lt;=Control!$C$86,$BC140*9*($BF140/Control!$C$86),0))</f>
        <v>#N/A</v>
      </c>
      <c r="BI140" s="140" t="e">
        <f ca="1">IF($BG140=1,0,IF($BE140&gt;=Control!$C$86,1,IF(AND($BB140&lt;21,$BB140&gt;=9),1,$BM139)))</f>
        <v>#N/A</v>
      </c>
      <c r="BJ140" s="140" t="e">
        <f ca="1">IF($BF140&lt;0,-$BF140,$BI140*IF(OR($G140&lt;Control!$C$92,$G140&gt;Control!$C$95),0,IF(AND($G140&gt;=Control!$C$92,$G140&lt;=Control!$C$93),$G140-Control!$C$92,IF(AND($G140&gt;Control!$C$93,$G140&lt;=Control!$C$94),Control!$C$93-Control!$C$92,IF(AND($G140&gt;Control!$C$94,$G140&lt;=Control!$C$95),(Control!$C$93-Control!$C$92)*(Control!$C$94-$G140)/(Control!$C$95-Control!$C$94))))))</f>
        <v>#N/A</v>
      </c>
      <c r="BK140" s="140" t="e">
        <f t="shared" ca="1" si="598"/>
        <v>#N/A</v>
      </c>
      <c r="BL140" s="140" t="e">
        <f ca="1">IF($BK140&lt;=Control!$C$87,$BK140,Control!$C$87-$BK140)</f>
        <v>#N/A</v>
      </c>
      <c r="BM140" s="140" t="e">
        <f ca="1">IF(AND($BB140&gt;=9,$BB140&lt;21),1,IF($BK140&gt;=Control!$C$87,0,$BI140))</f>
        <v>#N/A</v>
      </c>
      <c r="BN140" s="404" t="e">
        <f ca="1">IF($BM140=0,0,IF($BK140&lt;=Control!$C$87,$BI140*(9+(21-9)*($BL140/Control!$C$87)),0))</f>
        <v>#N/A</v>
      </c>
      <c r="BO140" s="140" t="e">
        <f ca="1">IF($BM140=1,0,IF($BK140&gt;=Control!$C$87,1,IF(AND($BB140&lt;30,$BB140&gt;=21),1,$BS139)))</f>
        <v>#N/A</v>
      </c>
      <c r="BP140" s="140" t="e">
        <f ca="1">IF($BL140&lt;0,-$BL140,$BO140*IF(OR($G140&lt;Control!$C$92,$G140&gt;Control!$C$95),0,IF(AND($G140&gt;=Control!$C$92,$G140&lt;=Control!$C$93),$G140-Control!$C$92,IF(AND($G140&gt;Control!$C$93,$G140&lt;=Control!$C$94),Control!$C$93-Control!$C$92,IF(AND($G140&gt;Control!$C$94,$G140&lt;=Control!$C$95),(Control!$C$93-Control!$C$92)*(Control!$C$94-$G140)/(Control!$C$95-Control!$C$94))))))</f>
        <v>#N/A</v>
      </c>
      <c r="BQ140" s="140" t="e">
        <f t="shared" ca="1" si="482"/>
        <v>#N/A</v>
      </c>
      <c r="BR140" s="140" t="e">
        <f ca="1">IF($BQ140&lt;=Control!$C$88,$BQ140,Control!$C$88-$BQ140)</f>
        <v>#N/A</v>
      </c>
      <c r="BS140" s="140" t="e">
        <f ca="1">IF(AND($BB140&gt;=21,$BB140&lt;30),1,IF($BQ140&gt;=Control!$C$88,0,$BO140))</f>
        <v>#N/A</v>
      </c>
      <c r="BT140" s="404" t="e">
        <f ca="1">IF($BS140=0,0,IF($BQ140&lt;=Control!$C$88,$BO140*(21+(30-21)*(BR140/Control!$C$88)),0))</f>
        <v>#N/A</v>
      </c>
      <c r="BU140" s="140" t="e">
        <f ca="1">IF(BG140+BM140+BS140=1,0,IF(OR(AND($BB140&lt;60,$BB140&gt;=30),$BQ140&gt;=Control!$C$88),1*$BA140,$BY139))</f>
        <v>#N/A</v>
      </c>
      <c r="BV140" s="140" t="e">
        <f ca="1">IF($BR140&lt;0,-$BR140,$BU140*IF(OR($G140&lt;Control!$C$92,$G140&gt;Control!$C$95),0,IF(AND($G140&gt;=Control!$C$92,$G140&lt;=Control!$C$93),$G140-Control!$C$92,IF(AND($G140&gt;Control!$C$93,$G140&lt;=Control!$C$94),Control!$C$93-Control!$C$92,IF(AND($G140&gt;Control!$C$94,$G140&lt;=Control!$C$95),(Control!$C$93-Control!$C$92)*(Control!$C$94-$G140)/(Control!$C$95-Control!$C$94))))))</f>
        <v>#N/A</v>
      </c>
      <c r="BW140" s="140" t="e">
        <f t="shared" ca="1" si="483"/>
        <v>#N/A</v>
      </c>
      <c r="BX140" s="140" t="e">
        <f ca="1">IF($BW140&lt;=Control!$C$89,$BW140,Control!$C$89-$BW140)</f>
        <v>#N/A</v>
      </c>
      <c r="BY140" s="140" t="e">
        <f ca="1">IF(AND($AJ140&gt;=30,$AJ140&lt;60),1,IF($BW140&gt;=Control!$C$89,0,$BU140))</f>
        <v>#N/A</v>
      </c>
      <c r="BZ140" s="404" t="e">
        <f ca="1">IF($BY140=0,0,IF($BW140&lt;=Control!$C$89,$BU140*(30+(60-30)*(BX140/Control!$C$89)),0))</f>
        <v>#N/A</v>
      </c>
      <c r="CA140" s="140" t="e">
        <f ca="1">IF($BG140+$BM140+$BS140+$BY140=1,0,IF(OR(AND($BB140&lt;65,$BB140&gt;=60),$BW140&gt;=Control!$C$89),1*$BA140,$CE139))</f>
        <v>#N/A</v>
      </c>
      <c r="CB140" s="140" t="e">
        <f ca="1">IF($BX140&lt;0,-$BX140,$CA140*IF(OR($G140&lt;Control!$C$92,$G140&gt;Control!$C$95),0,IF(AND($G140&gt;=Control!$C$92,$G140&lt;=Control!$C$93),$G140-Control!$C$92,IF(AND($G140&gt;Control!$C$93,$G140&lt;=Control!$C$94),Control!$C$93-Control!$C$92,IF(AND($G140&gt;Control!$C$94,$G140&lt;=Control!$C$95),(Control!$C$93-Control!$C$92)*(Control!$C$94-$G140)/(Control!$C$95-Control!$C$94))))))</f>
        <v>#N/A</v>
      </c>
      <c r="CC140" s="140" t="e">
        <f t="shared" ca="1" si="599"/>
        <v>#N/A</v>
      </c>
      <c r="CD140" s="140" t="e">
        <f ca="1">IF($CC140&lt;=Control!$C$90,$CC140,Control!$C$90-$CC140)</f>
        <v>#N/A</v>
      </c>
      <c r="CE140" s="140" t="e">
        <f ca="1">IF(AND($BB140&gt;=60,$BB140&lt;65),1,IF($CC140&gt;=Control!$C$90,0,$CA140))</f>
        <v>#N/A</v>
      </c>
      <c r="CF140" s="404" t="e">
        <f ca="1">IF($CE140=0,0,IF($CC140&lt;=Control!$C$90,$CA140*(60+(65-60)*(CD140/Control!$C$90)),0))</f>
        <v>#N/A</v>
      </c>
      <c r="CG140" s="140" t="e">
        <f ca="1">IF($BG140+$BM140+$BS140+$BY140+$CE140=1,0,IF(OR(AND($BB140&lt;90,$BB140&gt;=65),$CC140&gt;=Control!$C$90),$BA140,$CK139))</f>
        <v>#N/A</v>
      </c>
      <c r="CH140" s="140" t="e">
        <f ca="1">IF($CD140&lt;0,-$CD140,$CG140*IF(OR($G140&lt;Control!$C$92,$G140&gt;Control!$C$95),0,IF(AND($G140&gt;=Control!$C$92,$G140&lt;=Control!$C$93),$G140-Control!$C$92,IF(AND($G140&gt;Control!$C$93,$G140&lt;=Control!$C$94),Control!$C$93-Control!$C$92,IF(AND($G140&gt;Control!$C$94,$G140&lt;=Control!$C$95),(Control!$C$93-Control!$C$92)*(Control!$C$94-$G140)/(Control!$C$95-Control!$C$94))))))</f>
        <v>#N/A</v>
      </c>
      <c r="CI140" s="140" t="e">
        <f t="shared" ca="1" si="600"/>
        <v>#N/A</v>
      </c>
      <c r="CJ140" s="140" t="e">
        <f ca="1">IF($CI140&lt;=Control!$C$91,$CI140,Control!$C$91-$CI140)</f>
        <v>#N/A</v>
      </c>
      <c r="CK140" s="140" t="e">
        <f ca="1">IF(AND($BB140&gt;=65,$BB140&lt;90),1,IF($CI140&gt;=Control!$C$91,0,$CG140))</f>
        <v>#N/A</v>
      </c>
      <c r="CL140" s="404" t="e">
        <f ca="1">IF($CK140=0,0,IF($CI140&lt;=Control!$C$91,$CG140*(65+(90-65)*($CJ140/Control!$C$91)),0))</f>
        <v>#N/A</v>
      </c>
      <c r="CM140" s="140" t="e">
        <f ca="1">IF($BG140+$BM140+$BS140+$BY140+$CE140+$CK140=1,0,IF(OR($BB140&gt;=90,$CI140&gt;=Control!$C$91),$BA140,$CM139))</f>
        <v>#N/A</v>
      </c>
      <c r="CN140" s="140" t="e">
        <f t="shared" ca="1" si="601"/>
        <v>#N/A</v>
      </c>
      <c r="CO140" s="140" t="e">
        <f t="shared" ca="1" si="602"/>
        <v>#N/A</v>
      </c>
      <c r="CP140" s="140" t="e">
        <f t="shared" ca="1" si="603"/>
        <v>#N/A</v>
      </c>
      <c r="CQ140" s="141" t="e">
        <f ca="1">VLOOKUP($CP140,Control!$B$86:$G$91,6)</f>
        <v>#N/A</v>
      </c>
      <c r="CR140" s="141" t="e">
        <f ca="1">(1-$CQ140)*VLOOKUP($CP140,Control!$B$86:$D$91,3)</f>
        <v>#N/A</v>
      </c>
      <c r="CS140" s="141" t="e">
        <f ca="1">(1-$CQ140)*VLOOKUP($CP140,Control!$B$86:$E$91,4)</f>
        <v>#N/A</v>
      </c>
      <c r="CT140" s="141" t="e">
        <f ca="1">(1-$CQ140)*VLOOKUP($CP140,Control!$B$86:$F$91,5)</f>
        <v>#N/A</v>
      </c>
      <c r="CU140" s="141">
        <f t="shared" ca="1" si="604"/>
        <v>0</v>
      </c>
      <c r="CV140" s="583">
        <f t="shared" ca="1" si="605"/>
        <v>0</v>
      </c>
      <c r="CW140" s="142">
        <f t="shared" ca="1" si="606"/>
        <v>136</v>
      </c>
      <c r="CX140" s="612" t="e">
        <f ca="1">IF(Control!$C$114=1,(MIN(Control!$C$120*(IF($NT140-0.01&lt;0,0,1)),Control!$C$119-$CY140)))</f>
        <v>#DIV/0!</v>
      </c>
      <c r="CY140" s="143" t="e">
        <f t="shared" ca="1" si="607"/>
        <v>#N/A</v>
      </c>
      <c r="CZ140" s="144">
        <f t="shared" ca="1" si="484"/>
        <v>0</v>
      </c>
      <c r="DA140" s="144">
        <f t="shared" ca="1" si="485"/>
        <v>0</v>
      </c>
      <c r="DB140" s="144" t="e">
        <f t="shared" ca="1" si="486"/>
        <v>#N/A</v>
      </c>
      <c r="DC140" s="144" t="e">
        <f t="shared" ca="1" si="487"/>
        <v>#N/A</v>
      </c>
      <c r="DD140" s="144" t="e">
        <f t="shared" ca="1" si="692"/>
        <v>#N/A</v>
      </c>
      <c r="DE140" s="143" t="e">
        <f t="shared" ca="1" si="608"/>
        <v>#N/A</v>
      </c>
      <c r="DF140" s="145" t="e">
        <f ca="1">$DR140*EXP(-Control!$C$158*(1-$KH140))</f>
        <v>#N/A</v>
      </c>
      <c r="DG140" s="146" t="e">
        <f ca="1">IF(Control!$C$114=1, $DF140*$EY140, 0)</f>
        <v>#N/A</v>
      </c>
      <c r="DH140" s="147" t="e">
        <f t="shared" ca="1" si="609"/>
        <v>#N/A</v>
      </c>
      <c r="DI140" s="144" t="e">
        <f t="shared" ca="1" si="670"/>
        <v>#N/A</v>
      </c>
      <c r="DJ140" s="147" t="e">
        <f ca="1">$EF140*Control!$C$109</f>
        <v>#N/A</v>
      </c>
      <c r="DK140" s="144" t="e">
        <f t="shared" ca="1" si="610"/>
        <v>#N/A</v>
      </c>
      <c r="DL140" s="144" t="e">
        <f t="shared" ca="1" si="488"/>
        <v>#N/A</v>
      </c>
      <c r="DM140" s="144" t="e">
        <f ca="1">IF(Control!$C$114=1, (1-EXP(-Control!$C$96*$DK140))*$AR140, 0)</f>
        <v>#N/A</v>
      </c>
      <c r="DN140" s="144">
        <f t="shared" ca="1" si="611"/>
        <v>0</v>
      </c>
      <c r="DO140" s="148">
        <f>Control!$C$97</f>
        <v>4</v>
      </c>
      <c r="DP140" s="145" t="e">
        <f t="shared" ca="1" si="612"/>
        <v>#N/A</v>
      </c>
      <c r="DQ140" s="145" t="e">
        <f ca="1">IF(AND($CP140&gt;=0,$CP140&lt;=90),Control!$C$111,Control!$C$111)</f>
        <v>#N/A</v>
      </c>
      <c r="DR140" s="145" t="e">
        <f t="shared" ca="1" si="489"/>
        <v>#N/A</v>
      </c>
      <c r="DS140" s="143" t="e">
        <f ca="1">Control!$B$22/$DR140</f>
        <v>#N/A</v>
      </c>
      <c r="DT140" s="149" t="e">
        <f ca="1">IF(AND(Control!$C$114=1,$KH140&lt;1),$IM140*$DF140, 0)</f>
        <v>#N/A</v>
      </c>
      <c r="DU140" s="144" t="e">
        <f t="shared" ca="1" si="613"/>
        <v>#N/A</v>
      </c>
      <c r="DV140" s="144">
        <f ca="1">IF($G140-Control!$C$107&lt;=0, 0, 0.83*LN(MAX($G140, 3))-0.8924)</f>
        <v>0</v>
      </c>
      <c r="DW140" s="144" t="e">
        <f t="shared" ca="1" si="490"/>
        <v>#N/A</v>
      </c>
      <c r="DX140" s="150" t="e">
        <f ca="1">MAX(0.01*(1+$CU140/Control!$C$102),0.05*($DK140-Control!$C$97)/Control!$C$97)</f>
        <v>#N/A</v>
      </c>
      <c r="DY140" s="151" t="e">
        <f ca="1">IF(Control!$C$114=1, $DI140*$FS140, 0)</f>
        <v>#N/A</v>
      </c>
      <c r="DZ140" s="196" t="e">
        <f t="shared" ca="1" si="614"/>
        <v>#N/A</v>
      </c>
      <c r="EA140" s="152">
        <f t="shared" ca="1" si="615"/>
        <v>136</v>
      </c>
      <c r="EB140" s="153" t="e">
        <f t="shared" ca="1" si="616"/>
        <v>#N/A</v>
      </c>
      <c r="EC140" s="153" t="e">
        <f t="shared" ca="1" si="617"/>
        <v>#N/A</v>
      </c>
      <c r="ED140" s="154" t="e">
        <f ca="1">IF(Control!$C$114=1, $HM140*$FY140-$FD140, 0)</f>
        <v>#DIV/0!</v>
      </c>
      <c r="EE140" s="155" t="e">
        <f ca="1">IF(Control!$C$114=1, $HM140*$FZ140-$FF140, 0)</f>
        <v>#DIV/0!</v>
      </c>
      <c r="EF140" s="153" t="e">
        <f t="shared" ca="1" si="671"/>
        <v>#N/A</v>
      </c>
      <c r="EG140" s="155" t="e">
        <f ca="1">IF(Control!$C$114=1, $GX140*$FW140-$FI140, 0)</f>
        <v>#DIV/0!</v>
      </c>
      <c r="EH140" s="153" t="e">
        <f t="shared" ca="1" si="618"/>
        <v>#N/A</v>
      </c>
      <c r="EI140" s="156" t="e">
        <f t="shared" ca="1" si="619"/>
        <v>#N/A</v>
      </c>
      <c r="EJ140" s="155" t="e">
        <f ca="1">IF(Control!$C$114=1, $HM140*$GB140, 0)</f>
        <v>#DIV/0!</v>
      </c>
      <c r="EK140" s="153" t="e">
        <f t="shared" ca="1" si="672"/>
        <v>#N/A</v>
      </c>
      <c r="EL140" s="153" t="e">
        <f t="shared" ca="1" si="491"/>
        <v>#N/A</v>
      </c>
      <c r="EM140" s="153" t="e">
        <f t="shared" ca="1" si="492"/>
        <v>#N/A</v>
      </c>
      <c r="EN140" s="153" t="e">
        <f ca="1">IF(Control!$C$108=1,IF(AND(Control!$B$18=1,$EB140&gt;=Control!$B$19),$EB140-$DS140,IF(AND(Control!$B$18=2,$AW140=1,$EB140&gt;$DS140),$EB140-$DS140,0)))</f>
        <v>#N/A</v>
      </c>
      <c r="EO140" s="153" t="e">
        <f ca="1">IF(Control!$C$108=1,IF(AND(Control!$B$18=1,$EB140&gt;=Control!$B$19),$EF140,IF(AND(Control!$B$18=2,$AW140=1),$EF140,0)))</f>
        <v>#N/A</v>
      </c>
      <c r="EP140" s="153" t="e">
        <f ca="1">IF(Control!$C$108=1,IF(AND(Control!$B$18=1,$EB140&gt;=Control!$B$19),$EK140,IF(AND(Control!$B$18=2,$AW140=1),$EK140,0)))</f>
        <v>#N/A</v>
      </c>
      <c r="EQ140" s="153" t="e">
        <f t="shared" ca="1" si="620"/>
        <v>#N/A</v>
      </c>
      <c r="ER140" s="153" t="e">
        <f t="shared" ca="1" si="621"/>
        <v>#N/A</v>
      </c>
      <c r="ES140" s="153" t="e">
        <f t="shared" ca="1" si="673"/>
        <v>#N/A</v>
      </c>
      <c r="ET140" s="153" t="e">
        <f t="shared" ca="1" si="674"/>
        <v>#N/A</v>
      </c>
      <c r="EU140" s="153" t="e">
        <f t="shared" ca="1" si="622"/>
        <v>#N/A</v>
      </c>
      <c r="EV140" s="153" t="e">
        <f t="shared" ca="1" si="493"/>
        <v>#N/A</v>
      </c>
      <c r="EW140" s="153" t="e">
        <f t="shared" ca="1" si="494"/>
        <v>#N/A</v>
      </c>
      <c r="EX140" s="153" t="e">
        <f t="shared" ca="1" si="495"/>
        <v>#N/A</v>
      </c>
      <c r="EY140" s="157" t="e">
        <f t="shared" ca="1" si="496"/>
        <v>#DIV/0!</v>
      </c>
      <c r="EZ140" s="154" t="e">
        <f t="shared" ca="1" si="497"/>
        <v>#DIV/0!</v>
      </c>
      <c r="FA140" s="153" t="e">
        <f t="shared" ca="1" si="623"/>
        <v>#N/A</v>
      </c>
      <c r="FB140" s="153" t="e">
        <f t="shared" ca="1" si="498"/>
        <v>#N/A</v>
      </c>
      <c r="FC140" s="193" t="e">
        <f t="shared" ca="1" si="499"/>
        <v>#N/A</v>
      </c>
      <c r="FD140" s="158" t="e">
        <f t="shared" ca="1" si="624"/>
        <v>#N/A</v>
      </c>
      <c r="FE140" s="158" t="e">
        <f t="shared" ca="1" si="625"/>
        <v>#N/A</v>
      </c>
      <c r="FF140" s="159" t="e">
        <f t="shared" ca="1" si="500"/>
        <v>#N/A</v>
      </c>
      <c r="FG140" s="160" t="e">
        <f t="shared" ca="1" si="626"/>
        <v>#N/A</v>
      </c>
      <c r="FH140" s="158" t="e">
        <f t="shared" ca="1" si="627"/>
        <v>#N/A</v>
      </c>
      <c r="FI140" s="159" t="e">
        <f t="shared" ca="1" si="501"/>
        <v>#N/A</v>
      </c>
      <c r="FJ140" s="160" t="e">
        <f t="shared" ca="1" si="628"/>
        <v>#N/A</v>
      </c>
      <c r="FK140" s="160" t="e">
        <f t="shared" ca="1" si="502"/>
        <v>#N/A</v>
      </c>
      <c r="FL140" s="160" t="e">
        <f t="shared" ca="1" si="675"/>
        <v>#N/A</v>
      </c>
      <c r="FM140" s="160" t="e">
        <f t="shared" ca="1" si="503"/>
        <v>#N/A</v>
      </c>
      <c r="FN140" s="158">
        <f t="shared" ca="1" si="629"/>
        <v>0.01</v>
      </c>
      <c r="FO140" s="160">
        <f>Control!$C$101</f>
        <v>50</v>
      </c>
      <c r="FP140" s="150" t="e">
        <f t="shared" ca="1" si="504"/>
        <v>#N/A</v>
      </c>
      <c r="FQ140" s="150" t="e">
        <f ca="1">MAX(0,(Control!$C$112*(($DK140-Control!$C$97)/Control!$C$97)))</f>
        <v>#N/A</v>
      </c>
      <c r="FR140" s="150" t="e">
        <f ca="1">(1-$NT140)*Control!$C$113</f>
        <v>#DIV/0!</v>
      </c>
      <c r="FS140" s="198" t="e">
        <f t="shared" ca="1" si="505"/>
        <v>#N/A</v>
      </c>
      <c r="FT140" s="161">
        <f t="shared" ca="1" si="630"/>
        <v>136</v>
      </c>
      <c r="FU140" s="162" t="e">
        <f ca="1">IF(Control!$B$34=1,VLOOKUP($CP140,Control!$B$86:$G$91,6),Control!$B$35)</f>
        <v>#N/A</v>
      </c>
      <c r="FV140" s="162" t="e">
        <f t="shared" ca="1" si="506"/>
        <v>#DIV/0!</v>
      </c>
      <c r="FW140" s="162" t="e">
        <f ca="1">IF(Control!$B$31=1,$FU140*$FV140,  $FU140)</f>
        <v>#N/A</v>
      </c>
      <c r="FX140" s="162" t="e">
        <f ca="1">IF(Control!$B$34=1,VLOOKUP($CP140,Control!$B$86:$G$91,3),Control!$B$36)</f>
        <v>#N/A</v>
      </c>
      <c r="FY140" s="162" t="e">
        <f t="shared" ca="1" si="507"/>
        <v>#N/A</v>
      </c>
      <c r="FZ140" s="162" t="e">
        <f ca="1">IF(Control!$B$34=1,VLOOKUP($CP140,Control!$B$86:$G$91,4),Control!$B$37)</f>
        <v>#N/A</v>
      </c>
      <c r="GA140" s="162" t="e">
        <f t="shared" ca="1" si="508"/>
        <v>#N/A</v>
      </c>
      <c r="GB140" s="162" t="e">
        <f ca="1">IF(Control!$B$34=1,VLOOKUP($CP140,Control!$B$86:$G$91,5),Control!$B$38)</f>
        <v>#N/A</v>
      </c>
      <c r="GC140" s="162" t="e">
        <f t="shared" ca="1" si="631"/>
        <v>#N/A</v>
      </c>
      <c r="GD140" s="162">
        <f t="shared" ca="1" si="509"/>
        <v>1</v>
      </c>
      <c r="GE140" s="162">
        <f t="shared" ca="1" si="510"/>
        <v>1</v>
      </c>
      <c r="GF140" s="162">
        <f ca="1">IF(AND(Control!$C$104=1, Control!$C$62="F"),$GE140,1)</f>
        <v>1</v>
      </c>
      <c r="GG140" s="162" t="e">
        <f ca="1">IF(Control!$B$16=40,0,IF(AND(Control!$B$16&gt;40,Control!$B$16&lt;=360),(Control!$B$16-40)*((1-0)/(360-40)),IF(AND(Control!$B$16&gt;360,Control!$B$16&lt;=720),(1+(Control!$B$16-360)*((1.25-1)/(720-360))),IF(AND(Control!$B$16&gt;720,Control!$B$16&lt;=1000),(1.25+(Control!$B$16-720)*((1.35-1.25)/(1000-720))),IF(AND(Control!$B$16&gt;1000,Control!$B$16&lt;=2000),(1.35+(Control!$B$16-1000)*0))))))</f>
        <v>#N/A</v>
      </c>
      <c r="GH140" s="162" t="e">
        <f t="shared" ca="1" si="511"/>
        <v>#N/A</v>
      </c>
      <c r="GI140" s="162">
        <f t="shared" ca="1" si="632"/>
        <v>0</v>
      </c>
      <c r="GJ140" s="162">
        <f t="shared" ca="1" si="512"/>
        <v>0</v>
      </c>
      <c r="GK140" s="162">
        <f t="shared" ca="1" si="633"/>
        <v>1</v>
      </c>
      <c r="GL140" s="162">
        <f t="shared" ca="1" si="513"/>
        <v>1</v>
      </c>
      <c r="GM140" s="162" t="e">
        <f ca="1">MAX(0,MIN(1,1-Control!$C$156*(1.0001-$KH140)^2))</f>
        <v>#N/A</v>
      </c>
      <c r="GN140" s="162" t="e">
        <f ca="1">IF(Control!$B$26=1,$KU140,$KX140)</f>
        <v>#N/A</v>
      </c>
      <c r="GO140" s="162" t="e">
        <f ca="1">IF($CP140&lt;=60,Control!$C$105,IF($CP140&gt;=90,Control!$C$106,Control!$C$105+($CP140-60)*((Control!$C$106-Control!$C$105)/(90-60))))</f>
        <v>#N/A</v>
      </c>
      <c r="GP140" s="162" t="e">
        <f t="shared" ca="1" si="514"/>
        <v>#N/A</v>
      </c>
      <c r="GQ140" s="162" t="e">
        <f t="shared" ca="1" si="634"/>
        <v>#N/A</v>
      </c>
      <c r="GR140" s="163" t="e">
        <f t="shared" ca="1" si="515"/>
        <v>#DIV/0!</v>
      </c>
      <c r="GS140" s="162" t="e">
        <f t="shared" ca="1" si="516"/>
        <v>#DIV/0!</v>
      </c>
      <c r="GT140" s="164" t="e">
        <f t="shared" ca="1" si="635"/>
        <v>#N/A</v>
      </c>
      <c r="GU140" s="162" t="e">
        <f t="shared" ca="1" si="636"/>
        <v>#N/A</v>
      </c>
      <c r="GV140" s="162" t="e">
        <f t="shared" ca="1" si="517"/>
        <v>#N/A</v>
      </c>
      <c r="GW140" s="162" t="e">
        <f t="shared" ca="1" si="518"/>
        <v>#DIV/0!</v>
      </c>
      <c r="GX140" s="162" t="e">
        <f t="shared" ca="1" si="637"/>
        <v>#DIV/0!</v>
      </c>
      <c r="GY140" s="162" t="e">
        <f t="shared" ca="1" si="638"/>
        <v>#DIV/0!</v>
      </c>
      <c r="GZ140" s="165" t="e">
        <f t="shared" ca="1" si="519"/>
        <v>#N/A</v>
      </c>
      <c r="HA140" s="162" t="e">
        <f ca="1">IF(Control!$C$114=1, $DI140*$FS140, 0)</f>
        <v>#N/A</v>
      </c>
      <c r="HB140" s="162" t="e">
        <f ca="1">$FA140/Control!$C$64</f>
        <v>#N/A</v>
      </c>
      <c r="HC140" s="162" t="e">
        <f t="shared" ca="1" si="520"/>
        <v>#DIV/0!</v>
      </c>
      <c r="HD140" s="162">
        <f ca="1">-ASIN(SIN(23.45*Control!$C$139)*COS(2*Control!$C$138*($AH140+10)/365))</f>
        <v>0.32778768205762016</v>
      </c>
      <c r="HE140" s="165">
        <f t="shared" ca="1" si="639"/>
        <v>0</v>
      </c>
      <c r="HF140" s="166">
        <f ca="1">IF(AND(Control!$C$61="T",$HE140&gt;=Control!$C$103,Control!$C$114=0),$AH140,Control!$C$59)</f>
        <v>1</v>
      </c>
      <c r="HG140" s="166">
        <f ca="1">IF(AND(Control!$C$61="T",$HE140&gt;=Control!$C$103,Control!$C$114=0),$HF140,Control!$C$59)</f>
        <v>1</v>
      </c>
      <c r="HH140" s="165">
        <f ca="1">IF(AND(OR(Control!$C$60&lt;=0, $AH140= Control!$C$59, Control!$C$60 &gt;0, $AH140 = Control!$C$60)), Control!$C$59, IF(Control!$C$60&gt;0, 0))</f>
        <v>1</v>
      </c>
      <c r="HI140" s="165">
        <f ca="1">IF(AND(OR(Control!$C$60&lt;=0, $AH140= Control!$C$59, Control!$C$60 &gt;0, $AH140 = Control!$C$60)), Control!$C$60, IF(Control!$C$60&lt;=0, 0))</f>
        <v>0</v>
      </c>
      <c r="HJ140" s="166">
        <f ca="1">IF(AND(Control!$C$62="F",$CV140&gt;=Control!$C$102),$AH140,0)</f>
        <v>0</v>
      </c>
      <c r="HK140" s="165" t="e">
        <f t="shared" ca="1" si="676"/>
        <v>#N/A</v>
      </c>
      <c r="HL140" s="166">
        <f ca="1">IF(AND(Control!$C$61="T",$HE140&gt;=Control!$C$103,Control!$C$114=0),$HF140,0)</f>
        <v>0</v>
      </c>
      <c r="HM140" s="201" t="e">
        <f t="shared" ca="1" si="521"/>
        <v>#DIV/0!</v>
      </c>
      <c r="HN140" s="215">
        <f t="shared" ca="1" si="640"/>
        <v>136</v>
      </c>
      <c r="HO140" s="216" t="e">
        <f ca="1">IF(AND($CP140&gt;=0, $CP140&lt;=90), Control!$C$152, Control!$C$152)</f>
        <v>#N/A</v>
      </c>
      <c r="HP140" s="216" t="e">
        <f t="shared" ca="1" si="522"/>
        <v>#N/A</v>
      </c>
      <c r="HQ140" s="217" t="e">
        <f ca="1">IF(OR(Control!$B$26=1,Control!$B$26=2),$KV140,$KS140)</f>
        <v>#DIV/0!</v>
      </c>
      <c r="HR140" s="218" t="e">
        <f t="shared" ca="1" si="677"/>
        <v>#DIV/0!</v>
      </c>
      <c r="HS140" s="216" t="e">
        <f ca="1">Control!$C$154*$HP140</f>
        <v>#N/A</v>
      </c>
      <c r="HT140" s="216" t="e">
        <f ca="1">Control!$C$155*$HP140</f>
        <v>#N/A</v>
      </c>
      <c r="HU140" s="217" t="e">
        <f ca="1">Control!$C$161*$FI140</f>
        <v>#N/A</v>
      </c>
      <c r="HV140" s="218" t="e">
        <f t="shared" ca="1" si="641"/>
        <v>#N/A</v>
      </c>
      <c r="HW140" s="218" t="e">
        <f ca="1">Control!$C$160*$FF140+$IP140*$EO140</f>
        <v>#N/A</v>
      </c>
      <c r="HX140" s="218" t="e">
        <f t="shared" ca="1" si="678"/>
        <v>#N/A</v>
      </c>
      <c r="HY140" s="219" t="e">
        <f ca="1">IF(Control!$C$114=1, $EB140*$FS140, 0)</f>
        <v>#N/A</v>
      </c>
      <c r="HZ140" s="91" t="e">
        <f t="shared" ca="1" si="523"/>
        <v>#N/A</v>
      </c>
      <c r="IA140" s="220" t="e">
        <f ca="1">Control!$C$153*$HO140</f>
        <v>#N/A</v>
      </c>
      <c r="IB140" s="218" t="e">
        <f t="shared" ca="1" si="524"/>
        <v>#N/A</v>
      </c>
      <c r="IC140" s="220" t="e">
        <f ca="1">Control!$C$153*$HT140</f>
        <v>#N/A</v>
      </c>
      <c r="ID140" s="218" t="e">
        <f t="shared" ca="1" si="525"/>
        <v>#N/A</v>
      </c>
      <c r="IE140" s="221" t="e">
        <f ca="1">($EB140*Control!$C$159+$EF140*Control!$C$160)/(IF($GZ140&lt;&gt;0,$GZ140,1))</f>
        <v>#N/A</v>
      </c>
      <c r="IF140" s="216" t="e">
        <f t="shared" ca="1" si="526"/>
        <v>#N/A</v>
      </c>
      <c r="IG140" s="91">
        <f ca="1">IF(OR(Control!$B$198=$AH140,Control!$B$199=$AH140, Control!$B$200=$AH140, Control!$B$201=$AH140, Control!$B$202=$AH140, Control!$B$203=$AH140, Control!$B$204=$AH140, Control!$B$205=$AH140, Control!$B$206=$AH140, Control!$B$207=$AH140), 1, 0)</f>
        <v>0</v>
      </c>
      <c r="IH140" s="91">
        <f ca="1">IF($IG140=0,0, VLOOKUP($AH140,Control!$B$198:$C$207,2))</f>
        <v>0</v>
      </c>
      <c r="II140" s="222">
        <f t="shared" ca="1" si="642"/>
        <v>0</v>
      </c>
      <c r="IJ140" s="91">
        <f>Control!$C$121</f>
        <v>0.7</v>
      </c>
      <c r="IK140" s="218">
        <f t="shared" ca="1" si="527"/>
        <v>0</v>
      </c>
      <c r="IL140" s="217" t="e">
        <f t="shared" ca="1" si="679"/>
        <v>#N/A</v>
      </c>
      <c r="IM140" s="223" t="e">
        <f ca="1">IF(AND(Control!$C$114=1,$KH140&lt;1),$EB140*Control!$C$148*(1-$KH140), 0)</f>
        <v>#N/A</v>
      </c>
      <c r="IN140" s="217" t="e">
        <f t="shared" ca="1" si="528"/>
        <v>#DIV/0!</v>
      </c>
      <c r="IO140" s="91" t="e">
        <f ca="1">MAX(0,$IL140-$EF140*Control!$C$160)</f>
        <v>#N/A</v>
      </c>
      <c r="IP140" s="220" t="e">
        <f t="shared" ca="1" si="529"/>
        <v>#N/A</v>
      </c>
      <c r="IQ140" s="217" t="e">
        <f t="shared" ca="1" si="643"/>
        <v>#N/A</v>
      </c>
      <c r="IR140" s="218" t="e">
        <f t="shared" ca="1" si="530"/>
        <v>#N/A</v>
      </c>
      <c r="IS140" s="217" t="e">
        <f ca="1">Control!$C$159*MAX(0,$FD140-$EN140)</f>
        <v>#N/A</v>
      </c>
      <c r="IT140" s="217" t="e">
        <f t="shared" ca="1" si="680"/>
        <v>#N/A</v>
      </c>
      <c r="IU140" s="217" t="e">
        <f t="shared" ca="1" si="644"/>
        <v>#N/A</v>
      </c>
      <c r="IV140" s="217" t="e">
        <f t="shared" ca="1" si="681"/>
        <v>#N/A</v>
      </c>
      <c r="IW140" s="217" t="e">
        <f ca="1">IF(OR($AW140=1,AND($AW140=0, Control!$B$18=1,$EN140&lt;&gt;0)), $IQ140-$IU140, $IQ140)</f>
        <v>#N/A</v>
      </c>
      <c r="IX140" s="218" t="e">
        <f t="shared" ca="1" si="531"/>
        <v>#N/A</v>
      </c>
      <c r="IY140" s="218" t="e">
        <f ca="1">MAX(0,$IQ140-$EB140*Control!$C$159)</f>
        <v>#N/A</v>
      </c>
      <c r="IZ140" s="218" t="e">
        <f t="shared" ca="1" si="532"/>
        <v>#N/A</v>
      </c>
      <c r="JA140" s="216" t="e">
        <f t="shared" ca="1" si="533"/>
        <v>#N/A</v>
      </c>
      <c r="JB140" s="217" t="e">
        <f t="shared" ca="1" si="534"/>
        <v>#N/A</v>
      </c>
      <c r="JC140" s="222" t="e">
        <f ca="1">MAX(Control!$C$157*$EK140-$JT140, 0)/Control!$C$162</f>
        <v>#N/A</v>
      </c>
      <c r="JD140" s="218" t="e">
        <f t="shared" ca="1" si="535"/>
        <v>#N/A</v>
      </c>
      <c r="JE140" s="218" t="e">
        <f t="shared" ca="1" si="536"/>
        <v>#N/A</v>
      </c>
      <c r="JF140" s="218" t="e">
        <f t="shared" ca="1" si="645"/>
        <v>#N/A</v>
      </c>
      <c r="JG140" s="218" t="e">
        <f t="shared" ca="1" si="537"/>
        <v>#N/A</v>
      </c>
      <c r="JH140" s="217" t="e">
        <f t="shared" ca="1" si="646"/>
        <v>#N/A</v>
      </c>
      <c r="JI140" s="217" t="e">
        <f t="shared" ca="1" si="647"/>
        <v>#N/A</v>
      </c>
      <c r="JJ140" s="217" t="e">
        <f t="shared" ca="1" si="682"/>
        <v>#N/A</v>
      </c>
      <c r="JK140" s="217" t="e">
        <f ca="1">IF(Control!$C$114=1,IF(Control!$B$24=0,MAX(0,$JI140)*$GN140/Control!$C$64,(MAX(0,MIN($JI140,$JJ140*$GN140/Control!$C$64),0))))</f>
        <v>#N/A</v>
      </c>
      <c r="JL140" s="217" t="e">
        <f ca="1">$IK140/Control!$C$64-$JK140+$HQ140</f>
        <v>#N/A</v>
      </c>
      <c r="JM140" s="217" t="e">
        <f ca="1">IF(Control!$C$114=1,($JB140/(IF($JI140&lt;&gt;0,$JI140,1)))*$JK140,0)</f>
        <v>#N/A</v>
      </c>
      <c r="JN140" s="217" t="e">
        <f ca="1">IF(Control!$C$114=1,($JG140/(IF($JI140&lt;&gt;0,$JI140,1)))*$JK140, 0)</f>
        <v>#N/A</v>
      </c>
      <c r="JO140" s="218" t="e">
        <f t="shared" ca="1" si="538"/>
        <v>#N/A</v>
      </c>
      <c r="JP140" s="218" t="e">
        <f ca="1">MIN(($IY140+$IO140)*Control!$C$151, $JF140-$EH140*Control!$C$161)</f>
        <v>#N/A</v>
      </c>
      <c r="JQ140" s="218" t="e">
        <f t="shared" ca="1" si="539"/>
        <v>#N/A</v>
      </c>
      <c r="JR140" s="217" t="e">
        <f ca="1">IF($CP140-Control!$C$150&lt;0, 0, $JQ140/Control!$C$162)</f>
        <v>#N/A</v>
      </c>
      <c r="JS140" s="218" t="e">
        <f t="shared" ca="1" si="540"/>
        <v>#N/A</v>
      </c>
      <c r="JT140" s="218" t="e">
        <f t="shared" ca="1" si="648"/>
        <v>#N/A</v>
      </c>
      <c r="JU140" s="218" t="e">
        <f t="shared" ca="1" si="541"/>
        <v>#N/A</v>
      </c>
      <c r="JV140" s="218" t="e">
        <f t="shared" ca="1" si="542"/>
        <v>#N/A</v>
      </c>
      <c r="JW140" s="216" t="e">
        <f t="shared" ca="1" si="543"/>
        <v>#N/A</v>
      </c>
      <c r="JX140" s="91" t="e">
        <f t="shared" ca="1" si="544"/>
        <v>#N/A</v>
      </c>
      <c r="JY140" s="218" t="e">
        <f t="shared" ca="1" si="545"/>
        <v>#N/A</v>
      </c>
      <c r="JZ140" s="217" t="e">
        <f ca="1">IF(Control!$C$114=1,($IZ140/(IF($JI140&lt;&gt;0,$JI140,1)))*$JK140, 0)</f>
        <v>#N/A</v>
      </c>
      <c r="KA140" s="218" t="e">
        <f t="shared" ca="1" si="683"/>
        <v>#N/A</v>
      </c>
      <c r="KB140" s="218" t="e">
        <f t="shared" ca="1" si="649"/>
        <v>#N/A</v>
      </c>
      <c r="KC140" s="218" t="e">
        <f t="shared" ca="1" si="546"/>
        <v>#N/A</v>
      </c>
      <c r="KD140" s="218" t="e">
        <f t="shared" ca="1" si="547"/>
        <v>#N/A</v>
      </c>
      <c r="KE140" s="218" t="e">
        <f t="shared" ca="1" si="548"/>
        <v>#N/A</v>
      </c>
      <c r="KF140" s="218" t="e">
        <f t="shared" ca="1" si="549"/>
        <v>#N/A</v>
      </c>
      <c r="KG140" s="216" t="e">
        <f t="shared" ca="1" si="550"/>
        <v>#N/A</v>
      </c>
      <c r="KH140" s="221" t="e">
        <f ca="1">IF(Control!$B$24=0,1,MAX(0.001,MIN(1,IF(($IF140-$IE140)&lt;&gt;0,($KG140-$IE140)/($IF140-$IE140),1))))</f>
        <v>#N/A</v>
      </c>
      <c r="KI140" s="222" t="e">
        <f ca="1">IF(Control!$C$114=1, $KI139+ $KH139, 0)</f>
        <v>#N/A</v>
      </c>
      <c r="KJ140" s="217" t="e">
        <f t="shared" ca="1" si="551"/>
        <v>#N/A</v>
      </c>
      <c r="KK140" s="218" t="e">
        <f t="shared" ca="1" si="552"/>
        <v>#N/A</v>
      </c>
      <c r="KL140" s="274" t="e">
        <f ca="1">IF(Control!$B$26=3,4000000000*EXP(-8400/($G140+273)),IF(Control!$B$26=4,4000000000*EXP(-8400/($G140+273))*($KT140),0))</f>
        <v>#DIV/0!</v>
      </c>
      <c r="KM140" s="274" t="e">
        <f ca="1">IF(Control!$B$26=3,5600000000000*EXP(-9800/($G140+273)),IF(Control!$B$26=4,5600000000000*EXP(-9800/($G140+273))*$KT140,0))</f>
        <v>#DIV/0!</v>
      </c>
      <c r="KN140" s="454" t="e">
        <f t="shared" ca="1" si="650"/>
        <v>#DIV/0!</v>
      </c>
      <c r="KO140" s="274" t="e">
        <f t="shared" ca="1" si="651"/>
        <v>#DIV/0!</v>
      </c>
      <c r="KP140" s="454" t="e">
        <f t="shared" ca="1" si="553"/>
        <v>#DIV/0!</v>
      </c>
      <c r="KQ140" s="454" t="e">
        <f t="shared" ca="1" si="554"/>
        <v>#DIV/0!</v>
      </c>
      <c r="KR140" s="454" t="e">
        <f t="shared" ca="1" si="555"/>
        <v>#DIV/0!</v>
      </c>
      <c r="KS140" s="454" t="e">
        <f t="shared" ca="1" si="556"/>
        <v>#DIV/0!</v>
      </c>
      <c r="KT140" s="455" t="e">
        <f t="shared" ca="1" si="557"/>
        <v>#DIV/0!</v>
      </c>
      <c r="KU140" s="456" t="e">
        <f ca="1">IF($CP140-Control!$C$149&lt;0, IF($NT140-0.01&lt;0,0,1),0)</f>
        <v>#N/A</v>
      </c>
      <c r="KV140" s="456" t="e">
        <f ca="1">IF(Control!$C$114=1,MAX(0,MIN(Control!$C$125*$KW140*$GN140,$KW140)))</f>
        <v>#DIV/0!</v>
      </c>
      <c r="KW140" s="456" t="e">
        <f t="shared" ca="1" si="684"/>
        <v>#DIV/0!</v>
      </c>
      <c r="KX140" s="457" t="e">
        <f ca="1">IF($CP140-Control!$C$149&lt;0, IF($MR140-$OM140&lt;0,0,1),0)</f>
        <v>#N/A</v>
      </c>
      <c r="KY140" s="167">
        <f t="shared" ca="1" si="652"/>
        <v>136</v>
      </c>
      <c r="KZ140" s="168">
        <f ca="1">1370*(1+0.033*COS(2*Control!$C$138*$AH140/365))</f>
        <v>1338.5166532118992</v>
      </c>
      <c r="LA140" s="169">
        <f t="shared" ca="1" si="653"/>
        <v>0.97701958455530324</v>
      </c>
      <c r="LB140" s="169">
        <f t="shared" ca="1" si="654"/>
        <v>0.33295605470654577</v>
      </c>
      <c r="LC140" s="169">
        <f ca="1">ACOS(-TAN((2*Control!$B$8/360))*TAN(Calculations!$LB140))</f>
        <v>1.6737602441479289</v>
      </c>
      <c r="LD140" s="169">
        <f ca="1">((24*60)/PI())*0.082*$LA140*(($LC140*SIN(Control!$B$8*2*PI()/360))*SIN($LB140)+COS(Control!$B$8*2*PI()/360)*COS($LB140)*SIN($LC140))</f>
        <v>37.083940331982035</v>
      </c>
      <c r="LE140" s="170">
        <f t="shared" ca="1" si="558"/>
        <v>38.065707348495032</v>
      </c>
      <c r="LF140" s="170">
        <f ca="1">SIN(Control!$C$139*Control!$B$8)*SIN($HD140)</f>
        <v>0.2536999238208712</v>
      </c>
      <c r="LG140" s="170">
        <f ca="1">COS(Control!$C$139*Control!$B$8)*COS($HD140)</f>
        <v>0.58288017510935086</v>
      </c>
      <c r="LH140" s="170">
        <f ca="1">12*(1+2*ASIN(MAX(-1,MIN(1,$LF140/$LG140))/Control!$C$138))</f>
        <v>15.335804917216196</v>
      </c>
      <c r="LI140" s="170">
        <f ca="1">12*(1+2*ASIN(MAX(-1,MIN(1,(-SIN(-4*Control!$C$139)+$LF140)/$LG140))/Control!$C$138))</f>
        <v>16.261688903539156</v>
      </c>
      <c r="LJ140" s="168">
        <f ca="1">3600*($LH140*$LF140+24*$LG140*SQRT(1-$LK140*$LK140)/Control!$C$138)</f>
        <v>28438.725253923971</v>
      </c>
      <c r="LK140" s="170">
        <f t="shared" ca="1" si="559"/>
        <v>0.43525227766285923</v>
      </c>
      <c r="LL140" s="170">
        <f t="shared" ca="1" si="560"/>
        <v>0</v>
      </c>
      <c r="LM140" s="171">
        <f ca="1">Control!$C$145*$AB140</f>
        <v>6.6660906138995932E-2</v>
      </c>
      <c r="LN140" s="170">
        <f t="shared" ca="1" si="655"/>
        <v>0.54</v>
      </c>
      <c r="LO140" s="170">
        <f t="shared" ca="1" si="561"/>
        <v>0</v>
      </c>
      <c r="LP140" s="170">
        <f ca="1">Control!$C$140*((($D140+273.16)^4+($E140+273.16)^4)/2)*(0.34-0.14*SQRT($Y140))*(1.35*$AQ140/(0.75*$LD140)-0.35)</f>
        <v>-3.2464704755046001</v>
      </c>
      <c r="LQ140" s="170">
        <f ca="1">Control!$C$140*($G140+273)^4*(0.56-0.079*SQRT($Y140*10))*(0.1+0.9*$LO140)</f>
        <v>1.5241745131704001</v>
      </c>
      <c r="LR140" s="170">
        <f ca="1">$AQ140*(1-Control!$C$142)-$LQ140</f>
        <v>-1.5241745131704001</v>
      </c>
      <c r="LS140" s="170">
        <f ca="1">$AQ140*(1-Control!$C$143)-$LQ140</f>
        <v>-1.5241745131704001</v>
      </c>
      <c r="LT140" s="170">
        <f ca="1">$AQ140*(1-Control!$C$144)-$LQ140</f>
        <v>-1.5241745131704001</v>
      </c>
      <c r="LU140" s="169">
        <f ca="1">(1-Control!$C$144)*AQ140-LP140</f>
        <v>3.2464704755046001</v>
      </c>
      <c r="LV140" s="172">
        <f t="shared" ca="1" si="562"/>
        <v>0.79430000000000012</v>
      </c>
      <c r="LW140" s="170">
        <f t="shared" ca="1" si="563"/>
        <v>1.5886000000000002</v>
      </c>
      <c r="LX140" s="170">
        <f ca="1">($AC140*($LR140/Control!$C$141)+$LM140*$LV140)/($AC140+$LM140)</f>
        <v>0.23530094218323697</v>
      </c>
      <c r="LY140" s="170">
        <f ca="1">($AC140*($LS140/Control!$C$141)+$LM140*$LV140)/($AC140+$LM140)</f>
        <v>0.23530094218323697</v>
      </c>
      <c r="LZ140" s="170">
        <f t="shared" ca="1" si="564"/>
        <v>0.23530094218323697</v>
      </c>
      <c r="MA140" s="170">
        <f t="shared" ca="1" si="565"/>
        <v>0.23530094218323697</v>
      </c>
      <c r="MB140" s="170" t="e">
        <f t="shared" ca="1" si="566"/>
        <v>#N/A</v>
      </c>
      <c r="MC140" s="170">
        <f t="shared" ca="1" si="656"/>
        <v>0.6018</v>
      </c>
      <c r="MD140" s="170">
        <f t="shared" ca="1" si="567"/>
        <v>0.52989392535414004</v>
      </c>
      <c r="ME140" s="170">
        <f ca="1">($AC140*($LT140/Control!$C$141)+$LM140*$LW140)/($AC140+$LM140)</f>
        <v>0.71612369323045078</v>
      </c>
      <c r="MF140" s="170" t="e">
        <f ca="1">IF(Control!$B$16&gt;=1000,0.92,IF(AND(720&lt;=Control!$B$16,1000&gt;Control!$B$16),(0.95+(Control!$B$16-720)*((0.92-0.95)/(1000-720))),IF(AND(360&lt;=Control!$B$16,720&gt;Control!$B$16),(1+(Control!$B$16-360)*((0.95-1)/(720-360))),IF(AND(40&lt;=Control!$B$16,360&gt;Control!$B$16),(1.05+(Control!$B$16-40)*((1.05-1)/(360-40)))))))</f>
        <v>#N/A</v>
      </c>
      <c r="MG140" s="170">
        <f t="shared" ca="1" si="568"/>
        <v>0.71612369323045078</v>
      </c>
      <c r="MH140" s="170" t="e">
        <f t="shared" ca="1" si="464"/>
        <v>#N/A</v>
      </c>
      <c r="MI140" s="170" t="e">
        <f t="shared" ca="1" si="464"/>
        <v>#N/A</v>
      </c>
      <c r="MJ140" s="170" t="e">
        <f ca="1">MAX(0.0001, Control!$C$132*$MI140*$DL140)</f>
        <v>#N/A</v>
      </c>
      <c r="MK140" s="170">
        <f ca="1">1/(0.76+1.5*($MG140/10))-(5-Control!$C$110)*0.1</f>
        <v>1.002845988140797</v>
      </c>
      <c r="ML140" s="173">
        <f ca="1">IF(Control!$C$110&lt;3,$MK140+($MG140-0.6)/(Control!$C$110*(Control!$C$110+3)), MAX(0.1, MIN(0.95,$MK140)))</f>
        <v>0.95</v>
      </c>
      <c r="MM140" s="173">
        <f ca="1">IF(Control!$C$110&lt;3,$MK140+(($MI140/10)-0.6)/(Control!$C$110*(Control!$C$110+3)), MAX(0.1, MIN(0.95,$MK140)))</f>
        <v>0.95</v>
      </c>
      <c r="MN140" s="173">
        <f ca="1">(1-$MM140)*(Control!$C$128-Control!$C$127)+Control!$C$127</f>
        <v>0.16</v>
      </c>
      <c r="MO140" s="170" t="e">
        <f ca="1">MAX(0,MIN(1,($MS140-Control!$C$127)/($MN140-Control!$C$127)))</f>
        <v>#DIV/0!</v>
      </c>
      <c r="MP140" s="173" t="e">
        <f ca="1">1/(0.76+1.5*$MI140)-(5-Control!$C$110)*0.1</f>
        <v>#N/A</v>
      </c>
      <c r="MQ140" s="172" t="e">
        <f t="shared" ca="1" si="685"/>
        <v>#DIV/0!</v>
      </c>
      <c r="MR140" s="168" t="e">
        <f t="shared" ca="1" si="657"/>
        <v>#DIV/0!</v>
      </c>
      <c r="MS140" s="173" t="e">
        <f ca="1">MAX(Control!$C$127, MIN(Control!$C$135, $MR140/MAX(0.0001,$CY140)))</f>
        <v>#DIV/0!</v>
      </c>
      <c r="MT140" s="168" t="e">
        <f ca="1">(Control!$C$128-$MS140)*Control!$C$74</f>
        <v>#DIV/0!</v>
      </c>
      <c r="MU140" s="168" t="e">
        <f ca="1">(Control!$C$135-$MS140)*Control!$C$74</f>
        <v>#DIV/0!</v>
      </c>
      <c r="MV140" s="168" t="e">
        <f t="shared" ca="1" si="658"/>
        <v>#DIV/0!</v>
      </c>
      <c r="MW140" s="168" t="e">
        <f t="shared" ca="1" si="659"/>
        <v>#DIV/0!</v>
      </c>
      <c r="MX140" s="171" t="e">
        <f ca="1">MAX(Control!$C$127, MIN(Control!$C$135, $MW140/MAX(0.0001,Control!$C$119-$CY140)))</f>
        <v>#DIV/0!</v>
      </c>
      <c r="MY140" s="54" t="e">
        <f ca="1">IF(Control!$C$114=1, $CX140*$MX140, 0)</f>
        <v>#DIV/0!</v>
      </c>
      <c r="MZ140" s="54" t="e">
        <f t="shared" ca="1" si="660"/>
        <v>#N/A</v>
      </c>
      <c r="NA140" s="168" t="e">
        <f ca="1">(Control!$C$128-$MX140)*(Control!$C$119-Control!$C$74)</f>
        <v>#DIV/0!</v>
      </c>
      <c r="NB140" s="168" t="e">
        <f ca="1">(Control!$C$135-$MX140)*(Control!$C$119-Control!$C$74)</f>
        <v>#DIV/0!</v>
      </c>
      <c r="NC140" s="174" t="e">
        <f t="shared" ca="1" si="661"/>
        <v>#DIV/0!</v>
      </c>
      <c r="ND140" s="54">
        <f ca="1">IF(Control!$C$58=2, IF(OR(Control!$B$218=$AH140,Control!$B$219=$AH140, Control!$B$220=$AH140, Control!$B$221=$AH140, Control!$B$222=$AH140, Control!$B$223=$AH140, Control!$B$224=$AH140, Control!$B$225=$AH140, Control!$B$226=$AH140, Control!$B$227=$AH140, Control!$B$228=$AH140), 1, 0), 0)</f>
        <v>0</v>
      </c>
      <c r="NE140" s="54">
        <f ca="1">IF($ND140=0,0, VLOOKUP($AH140,Control!$B$218:$C$228,2))</f>
        <v>0</v>
      </c>
      <c r="NF140" s="168" t="e">
        <f ca="1">$CY140*(Control!$C$128-Control!$C$127)</f>
        <v>#N/A</v>
      </c>
      <c r="NG140" s="54" t="e">
        <f ca="1">IF(Control!$C$58=2, $NI139-$NJ139, 0)</f>
        <v>#DIV/0!</v>
      </c>
      <c r="NH140" s="54" t="e">
        <f ca="1">IF(AND(Control!$C$58=1, $MS139&lt;= ($MN139+0.02), $I139&lt;10), 0, IF(Control!$C$58=2, $NG139, 0))</f>
        <v>#DIV/0!</v>
      </c>
      <c r="NI140" s="54" t="e">
        <f ca="1">IF(Control!$C$58=2, $NE140+$NH140,0)</f>
        <v>#DIV/0!</v>
      </c>
      <c r="NJ140" s="54" t="e">
        <f ca="1">IF(AND(Control!$C$58=1, $MS140&lt;= ($MN140+0.02), $I140&lt;10), MAX(0, MIN(10, 0.7*($NF140-$MV140))), IF(Control!$C$58=2, MIN(10,$NI140),0))</f>
        <v>#DIV/0!</v>
      </c>
      <c r="NK140" s="54" t="e">
        <f t="shared" ca="1" si="569"/>
        <v>#DIV/0!</v>
      </c>
      <c r="NL140" s="173" t="e">
        <f ca="1">(1-Control!$C$73)*$I140+$NJ140</f>
        <v>#DIV/0!</v>
      </c>
      <c r="NM140" s="172" t="e">
        <f ca="1">IF($NL140&lt;0.5, $MB140* MAX(0, MIN(1, (SQRT($NC140)-SQRT($NC140-1))*Control!$C$71)),0)</f>
        <v>#DIV/0!</v>
      </c>
      <c r="NN140" s="170" t="e">
        <f ca="1">IF($NL140&gt;=5, $MB140, MAX(0,MIN($MB140, $NM140+$NL140,($MS140-Control!$C$129))))</f>
        <v>#DIV/0!</v>
      </c>
      <c r="NO140" s="54">
        <f>IF(Control!$C$133&lt;&gt;1, Control!$C$135-Control!$C$131, 0)</f>
        <v>0.38</v>
      </c>
      <c r="NP140" s="54" t="e">
        <f t="shared" ca="1" si="570"/>
        <v>#DIV/0!</v>
      </c>
      <c r="NQ140" s="173" t="e">
        <f ca="1">MAX(0,MIN(1,(Control!$C$135-$MS140)/(Control!$C$135-$NO140)))</f>
        <v>#DIV/0!</v>
      </c>
      <c r="NR140" s="170" t="e">
        <f ca="1">IF(Control!$C$133&lt;&gt;1, $NQ140+((1-$NP140/4)*(1-$NQ140)),1)</f>
        <v>#DIV/0!</v>
      </c>
      <c r="NS140" s="170" t="e">
        <f ca="1">IF(Control!$B$31=0,$MJ140,MAX(0,MIN($MV140,$MO140*$NR140*$MJ140)))</f>
        <v>#DIV/0!</v>
      </c>
      <c r="NT140" s="170" t="e">
        <f t="shared" ca="1" si="686"/>
        <v>#DIV/0!</v>
      </c>
      <c r="NU140" s="170" t="e">
        <f t="shared" ca="1" si="662"/>
        <v>#N/A</v>
      </c>
      <c r="NV140" s="170" t="e">
        <f t="shared" ca="1" si="571"/>
        <v>#N/A</v>
      </c>
      <c r="NW140" s="175" t="e">
        <f t="shared" ca="1" si="572"/>
        <v>#DIV/0!</v>
      </c>
      <c r="NX140" s="170" t="e">
        <f ca="1">MIN(Control!$C$72+$MU140, $NW140)</f>
        <v>#DIV/0!</v>
      </c>
      <c r="NY140" s="170" t="e">
        <f ca="1">IF($MT140&lt;=$NX140,MIN(Control!$C$72+$NB140,$NX140-$MT140),0)</f>
        <v>#DIV/0!</v>
      </c>
      <c r="NZ140" s="54" t="e">
        <f ca="1">IF(Control!$C$114=1,  $CX140*($MX140-Control!$C$127), 0)</f>
        <v>#DIV/0!</v>
      </c>
      <c r="OA140" s="170" t="e">
        <f t="shared" ca="1" si="573"/>
        <v>#DIV/0!</v>
      </c>
      <c r="OB140" s="170" t="e">
        <f ca="1">IF($NA140 &lt;=$NY140, MIN(Control!$C$72, $NY140-$NA140), 0)</f>
        <v>#DIV/0!</v>
      </c>
      <c r="OC140" s="168" t="e">
        <f t="shared" ca="1" si="574"/>
        <v>#DIV/0!</v>
      </c>
      <c r="OD140" s="168" t="e">
        <f t="shared" ca="1" si="663"/>
        <v>#DIV/0!</v>
      </c>
      <c r="OE140" s="170">
        <f ca="1">Control!$C$73*$I140</f>
        <v>0</v>
      </c>
      <c r="OF140" s="176" t="e">
        <f t="shared" ca="1" si="575"/>
        <v>#DIV/0!</v>
      </c>
      <c r="OG140" s="168" t="e">
        <f t="shared" ca="1" si="576"/>
        <v>#DIV/0!</v>
      </c>
      <c r="OH140" s="168" t="e">
        <f t="shared" ca="1" si="577"/>
        <v>#DIV/0!</v>
      </c>
      <c r="OI140" s="168" t="e">
        <f t="shared" ca="1" si="578"/>
        <v>#DIV/0!</v>
      </c>
      <c r="OJ140" s="168" t="e">
        <f t="shared" ca="1" si="579"/>
        <v>#DIV/0!</v>
      </c>
      <c r="OK140" s="204" t="e">
        <f t="shared" ca="1" si="580"/>
        <v>#DIV/0!</v>
      </c>
      <c r="OL140" s="177">
        <f>Control!$C$127</f>
        <v>0.15</v>
      </c>
      <c r="OM140" s="182" t="e">
        <f t="shared" ca="1" si="581"/>
        <v>#N/A</v>
      </c>
      <c r="ON140" s="177">
        <f>Control!$C$128</f>
        <v>0.35</v>
      </c>
      <c r="OO140" s="182" t="e">
        <f t="shared" ca="1" si="582"/>
        <v>#N/A</v>
      </c>
      <c r="OP140" s="138">
        <f t="shared" ca="1" si="664"/>
        <v>0</v>
      </c>
      <c r="OQ140" s="138" t="e">
        <f t="shared" ca="1" si="687"/>
        <v>#DIV/0!</v>
      </c>
      <c r="OR140" s="138" t="e">
        <f t="shared" ca="1" si="665"/>
        <v>#DIV/0!</v>
      </c>
      <c r="OS140" s="137" t="e">
        <f t="shared" ca="1" si="688"/>
        <v>#DIV/0!</v>
      </c>
      <c r="OT140" s="139" t="e">
        <f t="shared" ca="1" si="689"/>
        <v>#DIV/0!</v>
      </c>
      <c r="OU140" s="138" t="e">
        <f t="shared" ca="1" si="690"/>
        <v>#N/A</v>
      </c>
      <c r="OV140" s="138" t="e">
        <f t="shared" ca="1" si="691"/>
        <v>#DIV/0!</v>
      </c>
      <c r="OW140" s="138" t="e">
        <f t="shared" ca="1" si="666"/>
        <v>#DIV/0!</v>
      </c>
      <c r="OX140" s="138" t="e">
        <f t="shared" ca="1" si="667"/>
        <v>#DIV/0!</v>
      </c>
      <c r="OY140" s="138" t="e">
        <f t="shared" ca="1" si="668"/>
        <v>#DIV/0!</v>
      </c>
      <c r="OZ140" s="138" t="e">
        <f t="shared" ca="1" si="583"/>
        <v>#DIV/0!</v>
      </c>
      <c r="PA140" s="138" t="e">
        <f t="shared" ca="1" si="584"/>
        <v>#DIV/0!</v>
      </c>
      <c r="PB140" s="55">
        <f>IF(Control!$C$61="T", IF(Control!$C$65="F", IF($AH$6-Control!$C$60&lt;0,0,1), IF(365+$AH$6-Control!$C$60&lt;0,0,1)),0)</f>
        <v>0</v>
      </c>
      <c r="PC140" s="55">
        <f ca="1">IF(Control!$C$65="F", IF($AH$6-$HF140&lt;0,0,1), IF(365+$AH$6-$HF140&lt;0,0,1))</f>
        <v>1</v>
      </c>
      <c r="PD140" s="444">
        <f>Control!$C$118</f>
        <v>1500</v>
      </c>
      <c r="PE140" s="180" t="e">
        <f t="shared" ca="1" si="585"/>
        <v>#N/A</v>
      </c>
      <c r="PF140" s="445">
        <f t="shared" ca="1" si="669"/>
        <v>0.71612369323045078</v>
      </c>
      <c r="PT140" s="186"/>
      <c r="PU140" s="186"/>
      <c r="PV140" s="94"/>
      <c r="PW140" s="94"/>
      <c r="PX140" s="94"/>
      <c r="PY140" s="94"/>
      <c r="PZ140" s="94"/>
      <c r="QA140" s="94"/>
      <c r="QB140" s="94"/>
      <c r="QC140" s="94"/>
      <c r="QD140" s="94"/>
      <c r="QE140" s="94"/>
      <c r="QF140" s="94"/>
      <c r="QG140" s="94"/>
      <c r="QH140" s="94"/>
      <c r="QI140" s="94"/>
      <c r="QJ140" s="94"/>
      <c r="QK140" s="94"/>
      <c r="QL140" s="94"/>
      <c r="QM140" s="94"/>
      <c r="QN140" s="94"/>
      <c r="QO140" s="94"/>
      <c r="QP140" s="94"/>
    </row>
    <row r="141" spans="1:458" s="2" customFormat="1" x14ac:dyDescent="0.2">
      <c r="A141" s="395">
        <v>16</v>
      </c>
      <c r="B141" s="396">
        <v>5</v>
      </c>
      <c r="C141" s="387">
        <f ca="1">Weather_data!$B140</f>
        <v>0</v>
      </c>
      <c r="D141" s="388">
        <f ca="1">Weather_data!$F140</f>
        <v>0</v>
      </c>
      <c r="E141" s="388">
        <f ca="1">Weather_data!$E140</f>
        <v>0</v>
      </c>
      <c r="F141" s="388">
        <f t="shared" ca="1" si="586"/>
        <v>0</v>
      </c>
      <c r="G141" s="388">
        <f ca="1">AVERAGE($D141:$E141)+Control!$B$9</f>
        <v>0</v>
      </c>
      <c r="H141" s="388">
        <f ca="1">Weather_data!$G140</f>
        <v>0</v>
      </c>
      <c r="I141" s="388">
        <f ca="1">Weather_data!$I140</f>
        <v>0</v>
      </c>
      <c r="J141" s="388">
        <f ca="1">Weather_data!$H140</f>
        <v>0</v>
      </c>
      <c r="K141" s="389">
        <f ca="1">Weather_data!$D140</f>
        <v>0</v>
      </c>
      <c r="L141" s="388" t="e">
        <f t="shared" ca="1" si="587"/>
        <v>#N/A</v>
      </c>
      <c r="M141" s="388" t="e">
        <f t="shared" ca="1" si="465"/>
        <v>#N/A</v>
      </c>
      <c r="N141" s="388">
        <f t="shared" ca="1" si="466"/>
        <v>-3.324365592289296E-7</v>
      </c>
      <c r="O141" s="388">
        <f t="shared" ca="1" si="588"/>
        <v>3.3243655922892961E-6</v>
      </c>
      <c r="P141" s="390">
        <v>3</v>
      </c>
      <c r="Q141" s="388">
        <f ca="1">MAX($G141-Control!$C$107,0)</f>
        <v>0</v>
      </c>
      <c r="R141" s="388">
        <f t="shared" ca="1" si="589"/>
        <v>0</v>
      </c>
      <c r="S141" s="388">
        <f t="shared" ca="1" si="467"/>
        <v>0</v>
      </c>
      <c r="T141" s="388">
        <f t="shared" ca="1" si="468"/>
        <v>0</v>
      </c>
      <c r="U141" s="59">
        <f t="shared" ca="1" si="469"/>
        <v>0</v>
      </c>
      <c r="V141" s="391">
        <f ca="1">MAX(0,MIN(Control!$C$100-Control!$C$99,$G141-Control!$C$99)*Control!$C$63)</f>
        <v>0</v>
      </c>
      <c r="W141" s="388">
        <f t="shared" ca="1" si="590"/>
        <v>0</v>
      </c>
      <c r="X141" s="388">
        <f t="shared" ca="1" si="591"/>
        <v>0.6110000000000001</v>
      </c>
      <c r="Y141" s="388">
        <f t="shared" ca="1" si="470"/>
        <v>0</v>
      </c>
      <c r="Z141" s="388">
        <f t="shared" ca="1" si="592"/>
        <v>0.61058800000000002</v>
      </c>
      <c r="AA141" s="388">
        <f t="shared" ca="1" si="471"/>
        <v>0.6018</v>
      </c>
      <c r="AB141" s="388">
        <f ca="1">101.3*EXP(-0.034*Control!$C$66/($G141+273))</f>
        <v>100.69623283836242</v>
      </c>
      <c r="AC141" s="392">
        <f t="shared" ca="1" si="472"/>
        <v>4.3460251046025113E-2</v>
      </c>
      <c r="AD141" s="392">
        <f t="shared" ca="1" si="473"/>
        <v>4.4450382862832649E-2</v>
      </c>
      <c r="AE141" s="388">
        <f t="shared" ca="1" si="474"/>
        <v>0</v>
      </c>
      <c r="AF141" s="388">
        <f ca="1">MAX(0,$G141-Control!$C$92)</f>
        <v>0</v>
      </c>
      <c r="AG141" s="393">
        <f t="shared" ca="1" si="475"/>
        <v>137</v>
      </c>
      <c r="AH141" s="389">
        <f t="shared" ca="1" si="476"/>
        <v>137</v>
      </c>
      <c r="AI141" s="388">
        <f t="shared" ca="1" si="593"/>
        <v>0.33199308190382781</v>
      </c>
      <c r="AJ141" s="388">
        <f ca="1">IF(Control!$C$60&lt;=0,$HH141,$HI141)</f>
        <v>1</v>
      </c>
      <c r="AK141" s="388">
        <f t="shared" ca="1" si="477"/>
        <v>0.98120976029927776</v>
      </c>
      <c r="AL141" s="388">
        <f t="shared" ca="1" si="478"/>
        <v>1.9835608849883003E-18</v>
      </c>
      <c r="AM141" s="388">
        <f t="shared" ca="1" si="479"/>
        <v>0.98120976029927776</v>
      </c>
      <c r="AN141" s="388">
        <f t="shared" ca="1" si="480"/>
        <v>0.33698129117549092</v>
      </c>
      <c r="AO141" s="388">
        <f ca="1">-0.10453/COS(Control!$B$8*PI()/180)*COS(AN141)</f>
        <v>-0.16023566581910612</v>
      </c>
      <c r="AP141" s="388">
        <f ca="1">ACOS(AO141-TAN(Control!$B$8*PI()/180)*TAN(AN141))</f>
        <v>2.225161412256623</v>
      </c>
      <c r="AQ141" s="388">
        <f t="shared" ca="1" si="594"/>
        <v>0</v>
      </c>
      <c r="AR141" s="394">
        <f t="shared" ca="1" si="481"/>
        <v>0</v>
      </c>
      <c r="AS141" s="436">
        <f ca="1">IF(Control!$B$18=2,(IF(OR($AH141=Control!$B$175,$AH141=Control!$B$176,$AH141=Control!$B$177,$AH141=Control!$B$178,$AH141=Control!$B$179,$AH141=Control!$B$180,$AH141=Control!$B$181,$AH141=Control!$B$182,$AH141=Control!$B$183,$AH141=Control!$B$184,$AH141=Control!$B$185),1,0)),0)</f>
        <v>0</v>
      </c>
      <c r="AT141" s="436">
        <f>IF(Control!$B$20=8,IF(AND($AH141&gt;=Control!$B$172,$AH141&lt;=Control!$B$173),1,0),0)</f>
        <v>0</v>
      </c>
      <c r="AU141" s="436">
        <f>IF(Control!$B$20=8,IF($AV140=1,1*$AT141,IF($AT141=1,$AU140+1,$AU140)),0)</f>
        <v>0</v>
      </c>
      <c r="AV141" s="436">
        <f>IF(Control!$B$20=8,IF($AU141&gt;=Control!$B$174,1,0),0)</f>
        <v>0</v>
      </c>
      <c r="AW141" s="436">
        <f ca="1">IF(AND(Control!$B$18=2,Control!$B$171=1), $AV141, $AS141)</f>
        <v>0</v>
      </c>
      <c r="AX141" s="436" t="e">
        <f ca="1">IF(AND(Control!$B$18=1,$EU141&gt;=Control!$B$19),-$AY141,IF(AND(Control!$B$18=2,$AW141=1,$EU141&gt;$DS141),-$AY141, IF(Control!$C$108=0,0, IF(Control!$C$108&lt;&gt;0,1))))</f>
        <v>#N/A</v>
      </c>
      <c r="AY141" s="436" t="e">
        <f t="shared" ca="1" si="595"/>
        <v>#N/A</v>
      </c>
      <c r="AZ141" s="436" t="e">
        <f ca="1">IF(AND(Control!$B$18=1,$EB141&gt;Control!$B$19),$AZ140+1, IF(AND(Control!$B$18=2, $AW141=1, $EB141&gt;$DS141), $AZ140+1,$AZ140))</f>
        <v>#N/A</v>
      </c>
      <c r="BA141" s="587">
        <f>IF(Control!$C$81=0,1,IF($AH141&gt;=Control!$C$82,1,0))</f>
        <v>1</v>
      </c>
      <c r="BB141" s="140" t="e">
        <f ca="1">IF($BA141&gt;$BA140,Control!$C$83,IF($AW141&gt;0,$AW141*Control!$C$84,IF(AND(Control!$B$18=1,EN140&lt;&gt;0),Control!$C$84,0)))</f>
        <v>#N/A</v>
      </c>
      <c r="BC141" s="140" t="e">
        <f t="shared" ca="1" si="596"/>
        <v>#N/A</v>
      </c>
      <c r="BD141" s="140" t="e">
        <f ca="1">BC141*IF(OR($G141&lt;Control!$C$92,$G141&gt;Control!$C$95),0,IF(AND($G141&gt;=Control!$C$92,$G141&lt;=Control!$C$93),$G141-Control!$C$92,IF(AND($G141&gt;Control!$C$93,$G141&lt;=Control!$C$94),Control!$C$93-Control!$C$92,IF(AND($G141&gt;Control!$C$94,$G141&lt;=Control!$C$95),(Control!$C$93-Control!$C$92)*(Control!$C$94-$G141)/(Control!$C$95-Control!$C$94)))))</f>
        <v>#N/A</v>
      </c>
      <c r="BE141" s="140" t="e">
        <f t="shared" ca="1" si="597"/>
        <v>#N/A</v>
      </c>
      <c r="BF141" s="140" t="e">
        <f ca="1">IF($BE141&lt;=Control!$C$86,$BE141,Control!$C$86-$BE141)</f>
        <v>#N/A</v>
      </c>
      <c r="BG141" s="140" t="e">
        <f ca="1">IF(AND($AW141=1,Control!$C$84&lt;9),1,IF($BE141&gt;=Control!$C$86,0,$BC141))</f>
        <v>#N/A</v>
      </c>
      <c r="BH141" s="404" t="e">
        <f ca="1">IF($BG141=0,0,IF($BE141&lt;=Control!$C$86,$BC141*9*($BF141/Control!$C$86),0))</f>
        <v>#N/A</v>
      </c>
      <c r="BI141" s="140" t="e">
        <f ca="1">IF($BG141=1,0,IF($BE141&gt;=Control!$C$86,1,IF(AND($BB141&lt;21,$BB141&gt;=9),1,$BM140)))</f>
        <v>#N/A</v>
      </c>
      <c r="BJ141" s="140" t="e">
        <f ca="1">IF($BF141&lt;0,-$BF141,$BI141*IF(OR($G141&lt;Control!$C$92,$G141&gt;Control!$C$95),0,IF(AND($G141&gt;=Control!$C$92,$G141&lt;=Control!$C$93),$G141-Control!$C$92,IF(AND($G141&gt;Control!$C$93,$G141&lt;=Control!$C$94),Control!$C$93-Control!$C$92,IF(AND($G141&gt;Control!$C$94,$G141&lt;=Control!$C$95),(Control!$C$93-Control!$C$92)*(Control!$C$94-$G141)/(Control!$C$95-Control!$C$94))))))</f>
        <v>#N/A</v>
      </c>
      <c r="BK141" s="140" t="e">
        <f t="shared" ca="1" si="598"/>
        <v>#N/A</v>
      </c>
      <c r="BL141" s="140" t="e">
        <f ca="1">IF($BK141&lt;=Control!$C$87,$BK141,Control!$C$87-$BK141)</f>
        <v>#N/A</v>
      </c>
      <c r="BM141" s="140" t="e">
        <f ca="1">IF(AND($BB141&gt;=9,$BB141&lt;21),1,IF($BK141&gt;=Control!$C$87,0,$BI141))</f>
        <v>#N/A</v>
      </c>
      <c r="BN141" s="404" t="e">
        <f ca="1">IF($BM141=0,0,IF($BK141&lt;=Control!$C$87,$BI141*(9+(21-9)*($BL141/Control!$C$87)),0))</f>
        <v>#N/A</v>
      </c>
      <c r="BO141" s="140" t="e">
        <f ca="1">IF($BM141=1,0,IF($BK141&gt;=Control!$C$87,1,IF(AND($BB141&lt;30,$BB141&gt;=21),1,$BS140)))</f>
        <v>#N/A</v>
      </c>
      <c r="BP141" s="140" t="e">
        <f ca="1">IF($BL141&lt;0,-$BL141,$BO141*IF(OR($G141&lt;Control!$C$92,$G141&gt;Control!$C$95),0,IF(AND($G141&gt;=Control!$C$92,$G141&lt;=Control!$C$93),$G141-Control!$C$92,IF(AND($G141&gt;Control!$C$93,$G141&lt;=Control!$C$94),Control!$C$93-Control!$C$92,IF(AND($G141&gt;Control!$C$94,$G141&lt;=Control!$C$95),(Control!$C$93-Control!$C$92)*(Control!$C$94-$G141)/(Control!$C$95-Control!$C$94))))))</f>
        <v>#N/A</v>
      </c>
      <c r="BQ141" s="140" t="e">
        <f t="shared" ca="1" si="482"/>
        <v>#N/A</v>
      </c>
      <c r="BR141" s="140" t="e">
        <f ca="1">IF($BQ141&lt;=Control!$C$88,$BQ141,Control!$C$88-$BQ141)</f>
        <v>#N/A</v>
      </c>
      <c r="BS141" s="140" t="e">
        <f ca="1">IF(AND($BB141&gt;=21,$BB141&lt;30),1,IF($BQ141&gt;=Control!$C$88,0,$BO141))</f>
        <v>#N/A</v>
      </c>
      <c r="BT141" s="404" t="e">
        <f ca="1">IF($BS141=0,0,IF($BQ141&lt;=Control!$C$88,$BO141*(21+(30-21)*(BR141/Control!$C$88)),0))</f>
        <v>#N/A</v>
      </c>
      <c r="BU141" s="140" t="e">
        <f ca="1">IF(BG141+BM141+BS141=1,0,IF(OR(AND($BB141&lt;60,$BB141&gt;=30),$BQ141&gt;=Control!$C$88),1*$BA141,$BY140))</f>
        <v>#N/A</v>
      </c>
      <c r="BV141" s="140" t="e">
        <f ca="1">IF($BR141&lt;0,-$BR141,$BU141*IF(OR($G141&lt;Control!$C$92,$G141&gt;Control!$C$95),0,IF(AND($G141&gt;=Control!$C$92,$G141&lt;=Control!$C$93),$G141-Control!$C$92,IF(AND($G141&gt;Control!$C$93,$G141&lt;=Control!$C$94),Control!$C$93-Control!$C$92,IF(AND($G141&gt;Control!$C$94,$G141&lt;=Control!$C$95),(Control!$C$93-Control!$C$92)*(Control!$C$94-$G141)/(Control!$C$95-Control!$C$94))))))</f>
        <v>#N/A</v>
      </c>
      <c r="BW141" s="140" t="e">
        <f t="shared" ca="1" si="483"/>
        <v>#N/A</v>
      </c>
      <c r="BX141" s="140" t="e">
        <f ca="1">IF($BW141&lt;=Control!$C$89,$BW141,Control!$C$89-$BW141)</f>
        <v>#N/A</v>
      </c>
      <c r="BY141" s="140" t="e">
        <f ca="1">IF(AND($AJ141&gt;=30,$AJ141&lt;60),1,IF($BW141&gt;=Control!$C$89,0,$BU141))</f>
        <v>#N/A</v>
      </c>
      <c r="BZ141" s="404" t="e">
        <f ca="1">IF($BY141=0,0,IF($BW141&lt;=Control!$C$89,$BU141*(30+(60-30)*(BX141/Control!$C$89)),0))</f>
        <v>#N/A</v>
      </c>
      <c r="CA141" s="140" t="e">
        <f ca="1">IF($BG141+$BM141+$BS141+$BY141=1,0,IF(OR(AND($BB141&lt;65,$BB141&gt;=60),$BW141&gt;=Control!$C$89),1*$BA141,$CE140))</f>
        <v>#N/A</v>
      </c>
      <c r="CB141" s="140" t="e">
        <f ca="1">IF($BX141&lt;0,-$BX141,$CA141*IF(OR($G141&lt;Control!$C$92,$G141&gt;Control!$C$95),0,IF(AND($G141&gt;=Control!$C$92,$G141&lt;=Control!$C$93),$G141-Control!$C$92,IF(AND($G141&gt;Control!$C$93,$G141&lt;=Control!$C$94),Control!$C$93-Control!$C$92,IF(AND($G141&gt;Control!$C$94,$G141&lt;=Control!$C$95),(Control!$C$93-Control!$C$92)*(Control!$C$94-$G141)/(Control!$C$95-Control!$C$94))))))</f>
        <v>#N/A</v>
      </c>
      <c r="CC141" s="140" t="e">
        <f t="shared" ca="1" si="599"/>
        <v>#N/A</v>
      </c>
      <c r="CD141" s="140" t="e">
        <f ca="1">IF($CC141&lt;=Control!$C$90,$CC141,Control!$C$90-$CC141)</f>
        <v>#N/A</v>
      </c>
      <c r="CE141" s="140" t="e">
        <f ca="1">IF(AND($BB141&gt;=60,$BB141&lt;65),1,IF($CC141&gt;=Control!$C$90,0,$CA141))</f>
        <v>#N/A</v>
      </c>
      <c r="CF141" s="404" t="e">
        <f ca="1">IF($CE141=0,0,IF($CC141&lt;=Control!$C$90,$CA141*(60+(65-60)*(CD141/Control!$C$90)),0))</f>
        <v>#N/A</v>
      </c>
      <c r="CG141" s="140" t="e">
        <f ca="1">IF($BG141+$BM141+$BS141+$BY141+$CE141=1,0,IF(OR(AND($BB141&lt;90,$BB141&gt;=65),$CC141&gt;=Control!$C$90),$BA141,$CK140))</f>
        <v>#N/A</v>
      </c>
      <c r="CH141" s="140" t="e">
        <f ca="1">IF($CD141&lt;0,-$CD141,$CG141*IF(OR($G141&lt;Control!$C$92,$G141&gt;Control!$C$95),0,IF(AND($G141&gt;=Control!$C$92,$G141&lt;=Control!$C$93),$G141-Control!$C$92,IF(AND($G141&gt;Control!$C$93,$G141&lt;=Control!$C$94),Control!$C$93-Control!$C$92,IF(AND($G141&gt;Control!$C$94,$G141&lt;=Control!$C$95),(Control!$C$93-Control!$C$92)*(Control!$C$94-$G141)/(Control!$C$95-Control!$C$94))))))</f>
        <v>#N/A</v>
      </c>
      <c r="CI141" s="140" t="e">
        <f t="shared" ca="1" si="600"/>
        <v>#N/A</v>
      </c>
      <c r="CJ141" s="140" t="e">
        <f ca="1">IF($CI141&lt;=Control!$C$91,$CI141,Control!$C$91-$CI141)</f>
        <v>#N/A</v>
      </c>
      <c r="CK141" s="140" t="e">
        <f ca="1">IF(AND($BB141&gt;=65,$BB141&lt;90),1,IF($CI141&gt;=Control!$C$91,0,$CG141))</f>
        <v>#N/A</v>
      </c>
      <c r="CL141" s="404" t="e">
        <f ca="1">IF($CK141=0,0,IF($CI141&lt;=Control!$C$91,$CG141*(65+(90-65)*($CJ141/Control!$C$91)),0))</f>
        <v>#N/A</v>
      </c>
      <c r="CM141" s="140" t="e">
        <f ca="1">IF($BG141+$BM141+$BS141+$BY141+$CE141+$CK141=1,0,IF(OR($BB141&gt;=90,$CI141&gt;=Control!$C$91),$BA141,$CM140))</f>
        <v>#N/A</v>
      </c>
      <c r="CN141" s="140" t="e">
        <f t="shared" ca="1" si="601"/>
        <v>#N/A</v>
      </c>
      <c r="CO141" s="140" t="e">
        <f t="shared" ca="1" si="602"/>
        <v>#N/A</v>
      </c>
      <c r="CP141" s="140" t="e">
        <f t="shared" ca="1" si="603"/>
        <v>#N/A</v>
      </c>
      <c r="CQ141" s="141" t="e">
        <f ca="1">VLOOKUP($CP141,Control!$B$86:$G$91,6)</f>
        <v>#N/A</v>
      </c>
      <c r="CR141" s="141" t="e">
        <f ca="1">(1-$CQ141)*VLOOKUP($CP141,Control!$B$86:$D$91,3)</f>
        <v>#N/A</v>
      </c>
      <c r="CS141" s="141" t="e">
        <f ca="1">(1-$CQ141)*VLOOKUP($CP141,Control!$B$86:$E$91,4)</f>
        <v>#N/A</v>
      </c>
      <c r="CT141" s="141" t="e">
        <f ca="1">(1-$CQ141)*VLOOKUP($CP141,Control!$B$86:$F$91,5)</f>
        <v>#N/A</v>
      </c>
      <c r="CU141" s="141">
        <f t="shared" ca="1" si="604"/>
        <v>0</v>
      </c>
      <c r="CV141" s="583">
        <f t="shared" ca="1" si="605"/>
        <v>0</v>
      </c>
      <c r="CW141" s="142">
        <f t="shared" ca="1" si="606"/>
        <v>137</v>
      </c>
      <c r="CX141" s="612" t="e">
        <f ca="1">IF(Control!$C$114=1,(MIN(Control!$C$120*(IF($NT141-0.01&lt;0,0,1)),Control!$C$119-$CY141)))</f>
        <v>#DIV/0!</v>
      </c>
      <c r="CY141" s="143" t="e">
        <f t="shared" ca="1" si="607"/>
        <v>#N/A</v>
      </c>
      <c r="CZ141" s="144">
        <f t="shared" ca="1" si="484"/>
        <v>0</v>
      </c>
      <c r="DA141" s="144">
        <f t="shared" ca="1" si="485"/>
        <v>0</v>
      </c>
      <c r="DB141" s="144" t="e">
        <f t="shared" ca="1" si="486"/>
        <v>#N/A</v>
      </c>
      <c r="DC141" s="144" t="e">
        <f t="shared" ca="1" si="487"/>
        <v>#N/A</v>
      </c>
      <c r="DD141" s="144" t="e">
        <f t="shared" ca="1" si="692"/>
        <v>#N/A</v>
      </c>
      <c r="DE141" s="143" t="e">
        <f t="shared" ca="1" si="608"/>
        <v>#N/A</v>
      </c>
      <c r="DF141" s="145" t="e">
        <f ca="1">$DR141*EXP(-Control!$C$158*(1-$KH141))</f>
        <v>#N/A</v>
      </c>
      <c r="DG141" s="146" t="e">
        <f ca="1">IF(Control!$C$114=1, $DF141*$EY141, 0)</f>
        <v>#N/A</v>
      </c>
      <c r="DH141" s="147" t="e">
        <f t="shared" ca="1" si="609"/>
        <v>#N/A</v>
      </c>
      <c r="DI141" s="144" t="e">
        <f t="shared" ca="1" si="670"/>
        <v>#N/A</v>
      </c>
      <c r="DJ141" s="147" t="e">
        <f ca="1">$EF141*Control!$C$109</f>
        <v>#N/A</v>
      </c>
      <c r="DK141" s="144" t="e">
        <f t="shared" ca="1" si="610"/>
        <v>#N/A</v>
      </c>
      <c r="DL141" s="144" t="e">
        <f t="shared" ca="1" si="488"/>
        <v>#N/A</v>
      </c>
      <c r="DM141" s="144" t="e">
        <f ca="1">IF(Control!$C$114=1, (1-EXP(-Control!$C$96*$DK141))*$AR141, 0)</f>
        <v>#N/A</v>
      </c>
      <c r="DN141" s="144">
        <f t="shared" ca="1" si="611"/>
        <v>0</v>
      </c>
      <c r="DO141" s="148">
        <f>Control!$C$97</f>
        <v>4</v>
      </c>
      <c r="DP141" s="145" t="e">
        <f t="shared" ca="1" si="612"/>
        <v>#N/A</v>
      </c>
      <c r="DQ141" s="145" t="e">
        <f ca="1">IF(AND($CP141&gt;=0,$CP141&lt;=90),Control!$C$111,Control!$C$111)</f>
        <v>#N/A</v>
      </c>
      <c r="DR141" s="145" t="e">
        <f t="shared" ca="1" si="489"/>
        <v>#N/A</v>
      </c>
      <c r="DS141" s="143" t="e">
        <f ca="1">Control!$B$22/$DR141</f>
        <v>#N/A</v>
      </c>
      <c r="DT141" s="149" t="e">
        <f ca="1">IF(AND(Control!$C$114=1,$KH141&lt;1),$IM141*$DF141, 0)</f>
        <v>#N/A</v>
      </c>
      <c r="DU141" s="144" t="e">
        <f t="shared" ca="1" si="613"/>
        <v>#N/A</v>
      </c>
      <c r="DV141" s="144">
        <f ca="1">IF($G141-Control!$C$107&lt;=0, 0, 0.83*LN(MAX($G141, 3))-0.8924)</f>
        <v>0</v>
      </c>
      <c r="DW141" s="144" t="e">
        <f t="shared" ca="1" si="490"/>
        <v>#N/A</v>
      </c>
      <c r="DX141" s="150" t="e">
        <f ca="1">MAX(0.01*(1+$CU141/Control!$C$102),0.05*($DK141-Control!$C$97)/Control!$C$97)</f>
        <v>#N/A</v>
      </c>
      <c r="DY141" s="151" t="e">
        <f ca="1">IF(Control!$C$114=1, $DI141*$FS141, 0)</f>
        <v>#N/A</v>
      </c>
      <c r="DZ141" s="196" t="e">
        <f t="shared" ca="1" si="614"/>
        <v>#N/A</v>
      </c>
      <c r="EA141" s="152">
        <f t="shared" ca="1" si="615"/>
        <v>137</v>
      </c>
      <c r="EB141" s="153" t="e">
        <f t="shared" ca="1" si="616"/>
        <v>#N/A</v>
      </c>
      <c r="EC141" s="153" t="e">
        <f t="shared" ca="1" si="617"/>
        <v>#N/A</v>
      </c>
      <c r="ED141" s="154" t="e">
        <f ca="1">IF(Control!$C$114=1, $HM141*$FY141-$FD141, 0)</f>
        <v>#DIV/0!</v>
      </c>
      <c r="EE141" s="155" t="e">
        <f ca="1">IF(Control!$C$114=1, $HM141*$FZ141-$FF141, 0)</f>
        <v>#DIV/0!</v>
      </c>
      <c r="EF141" s="153" t="e">
        <f t="shared" ca="1" si="671"/>
        <v>#N/A</v>
      </c>
      <c r="EG141" s="155" t="e">
        <f ca="1">IF(Control!$C$114=1, $GX141*$FW141-$FI141, 0)</f>
        <v>#DIV/0!</v>
      </c>
      <c r="EH141" s="153" t="e">
        <f t="shared" ca="1" si="618"/>
        <v>#N/A</v>
      </c>
      <c r="EI141" s="156" t="e">
        <f t="shared" ca="1" si="619"/>
        <v>#N/A</v>
      </c>
      <c r="EJ141" s="155" t="e">
        <f ca="1">IF(Control!$C$114=1, $HM141*$GB141, 0)</f>
        <v>#DIV/0!</v>
      </c>
      <c r="EK141" s="153" t="e">
        <f t="shared" ca="1" si="672"/>
        <v>#N/A</v>
      </c>
      <c r="EL141" s="153" t="e">
        <f t="shared" ca="1" si="491"/>
        <v>#N/A</v>
      </c>
      <c r="EM141" s="153" t="e">
        <f t="shared" ca="1" si="492"/>
        <v>#N/A</v>
      </c>
      <c r="EN141" s="153" t="e">
        <f ca="1">IF(Control!$C$108=1,IF(AND(Control!$B$18=1,$EB141&gt;=Control!$B$19),$EB141-$DS141,IF(AND(Control!$B$18=2,$AW141=1,$EB141&gt;$DS141),$EB141-$DS141,0)))</f>
        <v>#N/A</v>
      </c>
      <c r="EO141" s="153" t="e">
        <f ca="1">IF(Control!$C$108=1,IF(AND(Control!$B$18=1,$EB141&gt;=Control!$B$19),$EF141,IF(AND(Control!$B$18=2,$AW141=1),$EF141,0)))</f>
        <v>#N/A</v>
      </c>
      <c r="EP141" s="153" t="e">
        <f ca="1">IF(Control!$C$108=1,IF(AND(Control!$B$18=1,$EB141&gt;=Control!$B$19),$EK141,IF(AND(Control!$B$18=2,$AW141=1),$EK141,0)))</f>
        <v>#N/A</v>
      </c>
      <c r="EQ141" s="153" t="e">
        <f t="shared" ca="1" si="620"/>
        <v>#N/A</v>
      </c>
      <c r="ER141" s="153" t="e">
        <f t="shared" ca="1" si="621"/>
        <v>#N/A</v>
      </c>
      <c r="ES141" s="153" t="e">
        <f t="shared" ca="1" si="673"/>
        <v>#N/A</v>
      </c>
      <c r="ET141" s="153" t="e">
        <f t="shared" ca="1" si="674"/>
        <v>#N/A</v>
      </c>
      <c r="EU141" s="153" t="e">
        <f t="shared" ca="1" si="622"/>
        <v>#N/A</v>
      </c>
      <c r="EV141" s="153" t="e">
        <f t="shared" ca="1" si="493"/>
        <v>#N/A</v>
      </c>
      <c r="EW141" s="153" t="e">
        <f t="shared" ca="1" si="494"/>
        <v>#N/A</v>
      </c>
      <c r="EX141" s="153" t="e">
        <f t="shared" ca="1" si="495"/>
        <v>#N/A</v>
      </c>
      <c r="EY141" s="157" t="e">
        <f t="shared" ca="1" si="496"/>
        <v>#DIV/0!</v>
      </c>
      <c r="EZ141" s="154" t="e">
        <f t="shared" ca="1" si="497"/>
        <v>#DIV/0!</v>
      </c>
      <c r="FA141" s="153" t="e">
        <f t="shared" ca="1" si="623"/>
        <v>#N/A</v>
      </c>
      <c r="FB141" s="153" t="e">
        <f t="shared" ca="1" si="498"/>
        <v>#N/A</v>
      </c>
      <c r="FC141" s="193" t="e">
        <f t="shared" ca="1" si="499"/>
        <v>#N/A</v>
      </c>
      <c r="FD141" s="158" t="e">
        <f t="shared" ca="1" si="624"/>
        <v>#N/A</v>
      </c>
      <c r="FE141" s="158" t="e">
        <f t="shared" ca="1" si="625"/>
        <v>#N/A</v>
      </c>
      <c r="FF141" s="159" t="e">
        <f t="shared" ca="1" si="500"/>
        <v>#N/A</v>
      </c>
      <c r="FG141" s="160" t="e">
        <f t="shared" ca="1" si="626"/>
        <v>#N/A</v>
      </c>
      <c r="FH141" s="158" t="e">
        <f t="shared" ca="1" si="627"/>
        <v>#N/A</v>
      </c>
      <c r="FI141" s="159" t="e">
        <f t="shared" ca="1" si="501"/>
        <v>#N/A</v>
      </c>
      <c r="FJ141" s="160" t="e">
        <f t="shared" ca="1" si="628"/>
        <v>#N/A</v>
      </c>
      <c r="FK141" s="160" t="e">
        <f t="shared" ca="1" si="502"/>
        <v>#N/A</v>
      </c>
      <c r="FL141" s="160" t="e">
        <f t="shared" ca="1" si="675"/>
        <v>#N/A</v>
      </c>
      <c r="FM141" s="160" t="e">
        <f t="shared" ca="1" si="503"/>
        <v>#N/A</v>
      </c>
      <c r="FN141" s="158">
        <f t="shared" ca="1" si="629"/>
        <v>0.01</v>
      </c>
      <c r="FO141" s="160">
        <f>Control!$C$101</f>
        <v>50</v>
      </c>
      <c r="FP141" s="150" t="e">
        <f t="shared" ca="1" si="504"/>
        <v>#N/A</v>
      </c>
      <c r="FQ141" s="150" t="e">
        <f ca="1">MAX(0,(Control!$C$112*(($DK141-Control!$C$97)/Control!$C$97)))</f>
        <v>#N/A</v>
      </c>
      <c r="FR141" s="150" t="e">
        <f ca="1">(1-$NT141)*Control!$C$113</f>
        <v>#DIV/0!</v>
      </c>
      <c r="FS141" s="198" t="e">
        <f t="shared" ca="1" si="505"/>
        <v>#N/A</v>
      </c>
      <c r="FT141" s="161">
        <f t="shared" ca="1" si="630"/>
        <v>137</v>
      </c>
      <c r="FU141" s="162" t="e">
        <f ca="1">IF(Control!$B$34=1,VLOOKUP($CP141,Control!$B$86:$G$91,6),Control!$B$35)</f>
        <v>#N/A</v>
      </c>
      <c r="FV141" s="162" t="e">
        <f t="shared" ca="1" si="506"/>
        <v>#DIV/0!</v>
      </c>
      <c r="FW141" s="162" t="e">
        <f ca="1">IF(Control!$B$31=1,$FU141*$FV141,  $FU141)</f>
        <v>#N/A</v>
      </c>
      <c r="FX141" s="162" t="e">
        <f ca="1">IF(Control!$B$34=1,VLOOKUP($CP141,Control!$B$86:$G$91,3),Control!$B$36)</f>
        <v>#N/A</v>
      </c>
      <c r="FY141" s="162" t="e">
        <f t="shared" ca="1" si="507"/>
        <v>#N/A</v>
      </c>
      <c r="FZ141" s="162" t="e">
        <f ca="1">IF(Control!$B$34=1,VLOOKUP($CP141,Control!$B$86:$G$91,4),Control!$B$37)</f>
        <v>#N/A</v>
      </c>
      <c r="GA141" s="162" t="e">
        <f t="shared" ca="1" si="508"/>
        <v>#N/A</v>
      </c>
      <c r="GB141" s="162" t="e">
        <f ca="1">IF(Control!$B$34=1,VLOOKUP($CP141,Control!$B$86:$G$91,5),Control!$B$38)</f>
        <v>#N/A</v>
      </c>
      <c r="GC141" s="162" t="e">
        <f t="shared" ca="1" si="631"/>
        <v>#N/A</v>
      </c>
      <c r="GD141" s="162">
        <f t="shared" ca="1" si="509"/>
        <v>1</v>
      </c>
      <c r="GE141" s="162">
        <f t="shared" ca="1" si="510"/>
        <v>1</v>
      </c>
      <c r="GF141" s="162">
        <f ca="1">IF(AND(Control!$C$104=1, Control!$C$62="F"),$GE141,1)</f>
        <v>1</v>
      </c>
      <c r="GG141" s="162" t="e">
        <f ca="1">IF(Control!$B$16=40,0,IF(AND(Control!$B$16&gt;40,Control!$B$16&lt;=360),(Control!$B$16-40)*((1-0)/(360-40)),IF(AND(Control!$B$16&gt;360,Control!$B$16&lt;=720),(1+(Control!$B$16-360)*((1.25-1)/(720-360))),IF(AND(Control!$B$16&gt;720,Control!$B$16&lt;=1000),(1.25+(Control!$B$16-720)*((1.35-1.25)/(1000-720))),IF(AND(Control!$B$16&gt;1000,Control!$B$16&lt;=2000),(1.35+(Control!$B$16-1000)*0))))))</f>
        <v>#N/A</v>
      </c>
      <c r="GH141" s="162" t="e">
        <f t="shared" ca="1" si="511"/>
        <v>#N/A</v>
      </c>
      <c r="GI141" s="162">
        <f t="shared" ca="1" si="632"/>
        <v>0</v>
      </c>
      <c r="GJ141" s="162">
        <f t="shared" ca="1" si="512"/>
        <v>0</v>
      </c>
      <c r="GK141" s="162">
        <f t="shared" ca="1" si="633"/>
        <v>1</v>
      </c>
      <c r="GL141" s="162">
        <f t="shared" ca="1" si="513"/>
        <v>1</v>
      </c>
      <c r="GM141" s="162" t="e">
        <f ca="1">MAX(0,MIN(1,1-Control!$C$156*(1.0001-$KH141)^2))</f>
        <v>#N/A</v>
      </c>
      <c r="GN141" s="162" t="e">
        <f ca="1">IF(Control!$B$26=1,$KU141,$KX141)</f>
        <v>#N/A</v>
      </c>
      <c r="GO141" s="162" t="e">
        <f ca="1">IF($CP141&lt;=60,Control!$C$105,IF($CP141&gt;=90,Control!$C$106,Control!$C$105+($CP141-60)*((Control!$C$106-Control!$C$105)/(90-60))))</f>
        <v>#N/A</v>
      </c>
      <c r="GP141" s="162" t="e">
        <f t="shared" ca="1" si="514"/>
        <v>#N/A</v>
      </c>
      <c r="GQ141" s="162" t="e">
        <f t="shared" ca="1" si="634"/>
        <v>#N/A</v>
      </c>
      <c r="GR141" s="163" t="e">
        <f t="shared" ca="1" si="515"/>
        <v>#DIV/0!</v>
      </c>
      <c r="GS141" s="162" t="e">
        <f t="shared" ca="1" si="516"/>
        <v>#DIV/0!</v>
      </c>
      <c r="GT141" s="164" t="e">
        <f t="shared" ca="1" si="635"/>
        <v>#N/A</v>
      </c>
      <c r="GU141" s="162" t="e">
        <f t="shared" ca="1" si="636"/>
        <v>#N/A</v>
      </c>
      <c r="GV141" s="162" t="e">
        <f t="shared" ca="1" si="517"/>
        <v>#N/A</v>
      </c>
      <c r="GW141" s="162" t="e">
        <f t="shared" ca="1" si="518"/>
        <v>#DIV/0!</v>
      </c>
      <c r="GX141" s="162" t="e">
        <f t="shared" ca="1" si="637"/>
        <v>#DIV/0!</v>
      </c>
      <c r="GY141" s="162" t="e">
        <f t="shared" ca="1" si="638"/>
        <v>#DIV/0!</v>
      </c>
      <c r="GZ141" s="165" t="e">
        <f t="shared" ca="1" si="519"/>
        <v>#N/A</v>
      </c>
      <c r="HA141" s="162" t="e">
        <f ca="1">IF(Control!$C$114=1, $DI141*$FS141, 0)</f>
        <v>#N/A</v>
      </c>
      <c r="HB141" s="162" t="e">
        <f ca="1">$FA141/Control!$C$64</f>
        <v>#N/A</v>
      </c>
      <c r="HC141" s="162" t="e">
        <f t="shared" ca="1" si="520"/>
        <v>#DIV/0!</v>
      </c>
      <c r="HD141" s="162">
        <f ca="1">-ASIN(SIN(23.45*Control!$C$139)*COS(2*Control!$C$138*($AH141+10)/365))</f>
        <v>0.33199308190382781</v>
      </c>
      <c r="HE141" s="165">
        <f t="shared" ca="1" si="639"/>
        <v>0</v>
      </c>
      <c r="HF141" s="166">
        <f ca="1">IF(AND(Control!$C$61="T",$HE141&gt;=Control!$C$103,Control!$C$114=0),$AH141,Control!$C$59)</f>
        <v>1</v>
      </c>
      <c r="HG141" s="166">
        <f ca="1">IF(AND(Control!$C$61="T",$HE141&gt;=Control!$C$103,Control!$C$114=0),$HF141,Control!$C$59)</f>
        <v>1</v>
      </c>
      <c r="HH141" s="165">
        <f ca="1">IF(AND(OR(Control!$C$60&lt;=0, $AH141= Control!$C$59, Control!$C$60 &gt;0, $AH141 = Control!$C$60)), Control!$C$59, IF(Control!$C$60&gt;0, 0))</f>
        <v>1</v>
      </c>
      <c r="HI141" s="165">
        <f ca="1">IF(AND(OR(Control!$C$60&lt;=0, $AH141= Control!$C$59, Control!$C$60 &gt;0, $AH141 = Control!$C$60)), Control!$C$60, IF(Control!$C$60&lt;=0, 0))</f>
        <v>0</v>
      </c>
      <c r="HJ141" s="166">
        <f ca="1">IF(AND(Control!$C$62="F",$CV141&gt;=Control!$C$102),$AH141,0)</f>
        <v>0</v>
      </c>
      <c r="HK141" s="165" t="e">
        <f t="shared" ca="1" si="676"/>
        <v>#N/A</v>
      </c>
      <c r="HL141" s="166">
        <f ca="1">IF(AND(Control!$C$61="T",$HE141&gt;=Control!$C$103,Control!$C$114=0),$HF141,0)</f>
        <v>0</v>
      </c>
      <c r="HM141" s="201" t="e">
        <f t="shared" ca="1" si="521"/>
        <v>#DIV/0!</v>
      </c>
      <c r="HN141" s="215">
        <f t="shared" ca="1" si="640"/>
        <v>137</v>
      </c>
      <c r="HO141" s="216" t="e">
        <f ca="1">IF(AND($CP141&gt;=0, $CP141&lt;=90), Control!$C$152, Control!$C$152)</f>
        <v>#N/A</v>
      </c>
      <c r="HP141" s="216" t="e">
        <f t="shared" ca="1" si="522"/>
        <v>#N/A</v>
      </c>
      <c r="HQ141" s="217" t="e">
        <f ca="1">IF(OR(Control!$B$26=1,Control!$B$26=2),$KV141,$KS141)</f>
        <v>#DIV/0!</v>
      </c>
      <c r="HR141" s="218" t="e">
        <f t="shared" ca="1" si="677"/>
        <v>#DIV/0!</v>
      </c>
      <c r="HS141" s="216" t="e">
        <f ca="1">Control!$C$154*$HP141</f>
        <v>#N/A</v>
      </c>
      <c r="HT141" s="216" t="e">
        <f ca="1">Control!$C$155*$HP141</f>
        <v>#N/A</v>
      </c>
      <c r="HU141" s="217" t="e">
        <f ca="1">Control!$C$161*$FI141</f>
        <v>#N/A</v>
      </c>
      <c r="HV141" s="218" t="e">
        <f t="shared" ca="1" si="641"/>
        <v>#N/A</v>
      </c>
      <c r="HW141" s="218" t="e">
        <f ca="1">Control!$C$160*$FF141+$IP141*$EO141</f>
        <v>#N/A</v>
      </c>
      <c r="HX141" s="218" t="e">
        <f t="shared" ca="1" si="678"/>
        <v>#N/A</v>
      </c>
      <c r="HY141" s="219" t="e">
        <f ca="1">IF(Control!$C$114=1, $EB141*$FS141, 0)</f>
        <v>#N/A</v>
      </c>
      <c r="HZ141" s="91" t="e">
        <f t="shared" ca="1" si="523"/>
        <v>#N/A</v>
      </c>
      <c r="IA141" s="220" t="e">
        <f ca="1">Control!$C$153*$HO141</f>
        <v>#N/A</v>
      </c>
      <c r="IB141" s="218" t="e">
        <f t="shared" ca="1" si="524"/>
        <v>#N/A</v>
      </c>
      <c r="IC141" s="220" t="e">
        <f ca="1">Control!$C$153*$HT141</f>
        <v>#N/A</v>
      </c>
      <c r="ID141" s="218" t="e">
        <f t="shared" ca="1" si="525"/>
        <v>#N/A</v>
      </c>
      <c r="IE141" s="221" t="e">
        <f ca="1">($EB141*Control!$C$159+$EF141*Control!$C$160)/(IF($GZ141&lt;&gt;0,$GZ141,1))</f>
        <v>#N/A</v>
      </c>
      <c r="IF141" s="216" t="e">
        <f t="shared" ca="1" si="526"/>
        <v>#N/A</v>
      </c>
      <c r="IG141" s="91">
        <f ca="1">IF(OR(Control!$B$198=$AH141,Control!$B$199=$AH141, Control!$B$200=$AH141, Control!$B$201=$AH141, Control!$B$202=$AH141, Control!$B$203=$AH141, Control!$B$204=$AH141, Control!$B$205=$AH141, Control!$B$206=$AH141, Control!$B$207=$AH141), 1, 0)</f>
        <v>0</v>
      </c>
      <c r="IH141" s="91">
        <f ca="1">IF($IG141=0,0, VLOOKUP($AH141,Control!$B$198:$C$207,2))</f>
        <v>0</v>
      </c>
      <c r="II141" s="222">
        <f t="shared" ca="1" si="642"/>
        <v>0</v>
      </c>
      <c r="IJ141" s="91">
        <f>Control!$C$121</f>
        <v>0.7</v>
      </c>
      <c r="IK141" s="218">
        <f t="shared" ca="1" si="527"/>
        <v>0</v>
      </c>
      <c r="IL141" s="217" t="e">
        <f t="shared" ca="1" si="679"/>
        <v>#N/A</v>
      </c>
      <c r="IM141" s="223" t="e">
        <f ca="1">IF(AND(Control!$C$114=1,$KH141&lt;1),$EB141*Control!$C$148*(1-$KH141), 0)</f>
        <v>#N/A</v>
      </c>
      <c r="IN141" s="217" t="e">
        <f t="shared" ca="1" si="528"/>
        <v>#DIV/0!</v>
      </c>
      <c r="IO141" s="91" t="e">
        <f ca="1">MAX(0,$IL141-$EF141*Control!$C$160)</f>
        <v>#N/A</v>
      </c>
      <c r="IP141" s="220" t="e">
        <f t="shared" ca="1" si="529"/>
        <v>#N/A</v>
      </c>
      <c r="IQ141" s="217" t="e">
        <f t="shared" ca="1" si="643"/>
        <v>#N/A</v>
      </c>
      <c r="IR141" s="218" t="e">
        <f t="shared" ca="1" si="530"/>
        <v>#N/A</v>
      </c>
      <c r="IS141" s="217" t="e">
        <f ca="1">Control!$C$159*MAX(0,$FD141-$EN141)</f>
        <v>#N/A</v>
      </c>
      <c r="IT141" s="217" t="e">
        <f t="shared" ca="1" si="680"/>
        <v>#N/A</v>
      </c>
      <c r="IU141" s="217" t="e">
        <f t="shared" ca="1" si="644"/>
        <v>#N/A</v>
      </c>
      <c r="IV141" s="217" t="e">
        <f t="shared" ca="1" si="681"/>
        <v>#N/A</v>
      </c>
      <c r="IW141" s="217" t="e">
        <f ca="1">IF(OR($AW141=1,AND($AW141=0, Control!$B$18=1,$EN141&lt;&gt;0)), $IQ141-$IU141, $IQ141)</f>
        <v>#N/A</v>
      </c>
      <c r="IX141" s="218" t="e">
        <f t="shared" ca="1" si="531"/>
        <v>#N/A</v>
      </c>
      <c r="IY141" s="218" t="e">
        <f ca="1">MAX(0,$IQ141-$EB141*Control!$C$159)</f>
        <v>#N/A</v>
      </c>
      <c r="IZ141" s="218" t="e">
        <f t="shared" ca="1" si="532"/>
        <v>#N/A</v>
      </c>
      <c r="JA141" s="216" t="e">
        <f t="shared" ca="1" si="533"/>
        <v>#N/A</v>
      </c>
      <c r="JB141" s="217" t="e">
        <f t="shared" ca="1" si="534"/>
        <v>#N/A</v>
      </c>
      <c r="JC141" s="222" t="e">
        <f ca="1">MAX(Control!$C$157*$EK141-$JT141, 0)/Control!$C$162</f>
        <v>#N/A</v>
      </c>
      <c r="JD141" s="218" t="e">
        <f t="shared" ca="1" si="535"/>
        <v>#N/A</v>
      </c>
      <c r="JE141" s="218" t="e">
        <f t="shared" ca="1" si="536"/>
        <v>#N/A</v>
      </c>
      <c r="JF141" s="218" t="e">
        <f t="shared" ca="1" si="645"/>
        <v>#N/A</v>
      </c>
      <c r="JG141" s="218" t="e">
        <f t="shared" ca="1" si="537"/>
        <v>#N/A</v>
      </c>
      <c r="JH141" s="217" t="e">
        <f t="shared" ca="1" si="646"/>
        <v>#N/A</v>
      </c>
      <c r="JI141" s="217" t="e">
        <f t="shared" ca="1" si="647"/>
        <v>#N/A</v>
      </c>
      <c r="JJ141" s="217" t="e">
        <f t="shared" ca="1" si="682"/>
        <v>#N/A</v>
      </c>
      <c r="JK141" s="217" t="e">
        <f ca="1">IF(Control!$C$114=1,IF(Control!$B$24=0,MAX(0,$JI141)*$GN141/Control!$C$64,(MAX(0,MIN($JI141,$JJ141*$GN141/Control!$C$64),0))))</f>
        <v>#N/A</v>
      </c>
      <c r="JL141" s="217" t="e">
        <f ca="1">$IK141/Control!$C$64-$JK141+$HQ141</f>
        <v>#N/A</v>
      </c>
      <c r="JM141" s="217" t="e">
        <f ca="1">IF(Control!$C$114=1,($JB141/(IF($JI141&lt;&gt;0,$JI141,1)))*$JK141,0)</f>
        <v>#N/A</v>
      </c>
      <c r="JN141" s="217" t="e">
        <f ca="1">IF(Control!$C$114=1,($JG141/(IF($JI141&lt;&gt;0,$JI141,1)))*$JK141, 0)</f>
        <v>#N/A</v>
      </c>
      <c r="JO141" s="218" t="e">
        <f t="shared" ca="1" si="538"/>
        <v>#N/A</v>
      </c>
      <c r="JP141" s="218" t="e">
        <f ca="1">MIN(($IY141+$IO141)*Control!$C$151, $JF141-$EH141*Control!$C$161)</f>
        <v>#N/A</v>
      </c>
      <c r="JQ141" s="218" t="e">
        <f t="shared" ca="1" si="539"/>
        <v>#N/A</v>
      </c>
      <c r="JR141" s="217" t="e">
        <f ca="1">IF($CP141-Control!$C$150&lt;0, 0, $JQ141/Control!$C$162)</f>
        <v>#N/A</v>
      </c>
      <c r="JS141" s="218" t="e">
        <f t="shared" ca="1" si="540"/>
        <v>#N/A</v>
      </c>
      <c r="JT141" s="218" t="e">
        <f t="shared" ca="1" si="648"/>
        <v>#N/A</v>
      </c>
      <c r="JU141" s="218" t="e">
        <f t="shared" ca="1" si="541"/>
        <v>#N/A</v>
      </c>
      <c r="JV141" s="218" t="e">
        <f t="shared" ca="1" si="542"/>
        <v>#N/A</v>
      </c>
      <c r="JW141" s="216" t="e">
        <f t="shared" ca="1" si="543"/>
        <v>#N/A</v>
      </c>
      <c r="JX141" s="91" t="e">
        <f t="shared" ca="1" si="544"/>
        <v>#N/A</v>
      </c>
      <c r="JY141" s="218" t="e">
        <f t="shared" ca="1" si="545"/>
        <v>#N/A</v>
      </c>
      <c r="JZ141" s="217" t="e">
        <f ca="1">IF(Control!$C$114=1,($IZ141/(IF($JI141&lt;&gt;0,$JI141,1)))*$JK141, 0)</f>
        <v>#N/A</v>
      </c>
      <c r="KA141" s="218" t="e">
        <f t="shared" ca="1" si="683"/>
        <v>#N/A</v>
      </c>
      <c r="KB141" s="218" t="e">
        <f t="shared" ca="1" si="649"/>
        <v>#N/A</v>
      </c>
      <c r="KC141" s="218" t="e">
        <f t="shared" ca="1" si="546"/>
        <v>#N/A</v>
      </c>
      <c r="KD141" s="218" t="e">
        <f t="shared" ca="1" si="547"/>
        <v>#N/A</v>
      </c>
      <c r="KE141" s="218" t="e">
        <f t="shared" ca="1" si="548"/>
        <v>#N/A</v>
      </c>
      <c r="KF141" s="218" t="e">
        <f t="shared" ca="1" si="549"/>
        <v>#N/A</v>
      </c>
      <c r="KG141" s="216" t="e">
        <f t="shared" ca="1" si="550"/>
        <v>#N/A</v>
      </c>
      <c r="KH141" s="221" t="e">
        <f ca="1">IF(Control!$B$24=0,1,MAX(0.001,MIN(1,IF(($IF141-$IE141)&lt;&gt;0,($KG141-$IE141)/($IF141-$IE141),1))))</f>
        <v>#N/A</v>
      </c>
      <c r="KI141" s="222" t="e">
        <f ca="1">IF(Control!$C$114=1, $KI140+ $KH140, 0)</f>
        <v>#N/A</v>
      </c>
      <c r="KJ141" s="217" t="e">
        <f t="shared" ca="1" si="551"/>
        <v>#N/A</v>
      </c>
      <c r="KK141" s="218" t="e">
        <f t="shared" ca="1" si="552"/>
        <v>#N/A</v>
      </c>
      <c r="KL141" s="274" t="e">
        <f ca="1">IF(Control!$B$26=3,4000000000*EXP(-8400/($G141+273)),IF(Control!$B$26=4,4000000000*EXP(-8400/($G141+273))*($KT141),0))</f>
        <v>#DIV/0!</v>
      </c>
      <c r="KM141" s="274" t="e">
        <f ca="1">IF(Control!$B$26=3,5600000000000*EXP(-9800/($G141+273)),IF(Control!$B$26=4,5600000000000*EXP(-9800/($G141+273))*$KT141,0))</f>
        <v>#DIV/0!</v>
      </c>
      <c r="KN141" s="454" t="e">
        <f t="shared" ca="1" si="650"/>
        <v>#DIV/0!</v>
      </c>
      <c r="KO141" s="274" t="e">
        <f t="shared" ca="1" si="651"/>
        <v>#DIV/0!</v>
      </c>
      <c r="KP141" s="454" t="e">
        <f t="shared" ca="1" si="553"/>
        <v>#DIV/0!</v>
      </c>
      <c r="KQ141" s="454" t="e">
        <f t="shared" ca="1" si="554"/>
        <v>#DIV/0!</v>
      </c>
      <c r="KR141" s="454" t="e">
        <f t="shared" ca="1" si="555"/>
        <v>#DIV/0!</v>
      </c>
      <c r="KS141" s="454" t="e">
        <f t="shared" ca="1" si="556"/>
        <v>#DIV/0!</v>
      </c>
      <c r="KT141" s="455" t="e">
        <f t="shared" ca="1" si="557"/>
        <v>#DIV/0!</v>
      </c>
      <c r="KU141" s="456" t="e">
        <f ca="1">IF($CP141-Control!$C$149&lt;0, IF($NT141-0.01&lt;0,0,1),0)</f>
        <v>#N/A</v>
      </c>
      <c r="KV141" s="456" t="e">
        <f ca="1">IF(Control!$C$114=1,MAX(0,MIN(Control!$C$125*$KW141*$GN141,$KW141)))</f>
        <v>#DIV/0!</v>
      </c>
      <c r="KW141" s="456" t="e">
        <f t="shared" ca="1" si="684"/>
        <v>#DIV/0!</v>
      </c>
      <c r="KX141" s="457" t="e">
        <f ca="1">IF($CP141-Control!$C$149&lt;0, IF($MR141-$OM141&lt;0,0,1),0)</f>
        <v>#N/A</v>
      </c>
      <c r="KY141" s="167">
        <f t="shared" ca="1" si="652"/>
        <v>137</v>
      </c>
      <c r="KZ141" s="168">
        <f ca="1">1370*(1+0.033*COS(2*Control!$C$138*$AH141/365))</f>
        <v>1337.9628119558886</v>
      </c>
      <c r="LA141" s="169">
        <f t="shared" ca="1" si="653"/>
        <v>0.97661531961727288</v>
      </c>
      <c r="LB141" s="169">
        <f t="shared" ca="1" si="654"/>
        <v>0.33699543987118497</v>
      </c>
      <c r="LC141" s="169">
        <f ca="1">ACOS(-TAN((2*Control!$B$8/360))*TAN(Calculations!$LB141))</f>
        <v>1.6751134920365409</v>
      </c>
      <c r="LD141" s="169">
        <f ca="1">((24*60)/PI())*0.082*$LA141*(($LC141*SIN(Control!$B$8*2*PI()/360))*SIN($LB141)+COS(Control!$B$8*2*PI()/360)*COS($LB141)*SIN($LC141))</f>
        <v>37.233396609645723</v>
      </c>
      <c r="LE141" s="170">
        <f t="shared" ca="1" si="558"/>
        <v>38.24835775757321</v>
      </c>
      <c r="LF141" s="170">
        <f ca="1">SIN(Control!$C$139*Control!$B$8)*SIN($HD141)</f>
        <v>0.25683513441112021</v>
      </c>
      <c r="LG141" s="170">
        <f ca="1">COS(Control!$C$139*Control!$B$8)*COS($HD141)</f>
        <v>0.58204146583798611</v>
      </c>
      <c r="LH141" s="170">
        <f ca="1">12*(1+2*ASIN(MAX(-1,MIN(1,$LF141/$LG141))/Control!$C$138))</f>
        <v>15.382200262125618</v>
      </c>
      <c r="LI141" s="170">
        <f ca="1">12*(1+2*ASIN(MAX(-1,MIN(1,(-SIN(-4*Control!$C$139)+$LF141)/$LG141))/Control!$C$138))</f>
        <v>16.309711636700442</v>
      </c>
      <c r="LJ141" s="168">
        <f ca="1">3600*($LH141*$LF141+24*$LG141*SQRT(1-$LK141*$LK141)/Control!$C$138)</f>
        <v>28587.011100600172</v>
      </c>
      <c r="LK141" s="170">
        <f t="shared" ca="1" si="559"/>
        <v>0.44126604286061544</v>
      </c>
      <c r="LL141" s="170">
        <f t="shared" ca="1" si="560"/>
        <v>0</v>
      </c>
      <c r="LM141" s="171">
        <f ca="1">Control!$C$145*$AB141</f>
        <v>6.6660906138995932E-2</v>
      </c>
      <c r="LN141" s="170">
        <f t="shared" ca="1" si="655"/>
        <v>0.54</v>
      </c>
      <c r="LO141" s="170">
        <f t="shared" ca="1" si="561"/>
        <v>0</v>
      </c>
      <c r="LP141" s="170">
        <f ca="1">Control!$C$140*((($D141+273.16)^4+($E141+273.16)^4)/2)*(0.34-0.14*SQRT($Y141))*(1.35*$AQ141/(0.75*$LD141)-0.35)</f>
        <v>-3.2464704755046001</v>
      </c>
      <c r="LQ141" s="170">
        <f ca="1">Control!$C$140*($G141+273)^4*(0.56-0.079*SQRT($Y141*10))*(0.1+0.9*$LO141)</f>
        <v>1.5241745131704001</v>
      </c>
      <c r="LR141" s="170">
        <f ca="1">$AQ141*(1-Control!$C$142)-$LQ141</f>
        <v>-1.5241745131704001</v>
      </c>
      <c r="LS141" s="170">
        <f ca="1">$AQ141*(1-Control!$C$143)-$LQ141</f>
        <v>-1.5241745131704001</v>
      </c>
      <c r="LT141" s="170">
        <f ca="1">$AQ141*(1-Control!$C$144)-$LQ141</f>
        <v>-1.5241745131704001</v>
      </c>
      <c r="LU141" s="169">
        <f ca="1">(1-Control!$C$144)*AQ141-LP141</f>
        <v>3.2464704755046001</v>
      </c>
      <c r="LV141" s="172">
        <f t="shared" ca="1" si="562"/>
        <v>0.79430000000000012</v>
      </c>
      <c r="LW141" s="170">
        <f t="shared" ca="1" si="563"/>
        <v>1.5886000000000002</v>
      </c>
      <c r="LX141" s="170">
        <f ca="1">($AC141*($LR141/Control!$C$141)+$LM141*$LV141)/($AC141+$LM141)</f>
        <v>0.23530094218323697</v>
      </c>
      <c r="LY141" s="170">
        <f ca="1">($AC141*($LS141/Control!$C$141)+$LM141*$LV141)/($AC141+$LM141)</f>
        <v>0.23530094218323697</v>
      </c>
      <c r="LZ141" s="170">
        <f t="shared" ca="1" si="564"/>
        <v>0.23530094218323697</v>
      </c>
      <c r="MA141" s="170">
        <f t="shared" ca="1" si="565"/>
        <v>0.23530094218323697</v>
      </c>
      <c r="MB141" s="170" t="e">
        <f t="shared" ca="1" si="566"/>
        <v>#N/A</v>
      </c>
      <c r="MC141" s="170">
        <f t="shared" ca="1" si="656"/>
        <v>0.6018</v>
      </c>
      <c r="MD141" s="170">
        <f t="shared" ca="1" si="567"/>
        <v>0.52989392535414004</v>
      </c>
      <c r="ME141" s="170">
        <f ca="1">($AC141*($LT141/Control!$C$141)+$LM141*$LW141)/($AC141+$LM141)</f>
        <v>0.71612369323045078</v>
      </c>
      <c r="MF141" s="170" t="e">
        <f ca="1">IF(Control!$B$16&gt;=1000,0.92,IF(AND(720&lt;=Control!$B$16,1000&gt;Control!$B$16),(0.95+(Control!$B$16-720)*((0.92-0.95)/(1000-720))),IF(AND(360&lt;=Control!$B$16,720&gt;Control!$B$16),(1+(Control!$B$16-360)*((0.95-1)/(720-360))),IF(AND(40&lt;=Control!$B$16,360&gt;Control!$B$16),(1.05+(Control!$B$16-40)*((1.05-1)/(360-40)))))))</f>
        <v>#N/A</v>
      </c>
      <c r="MG141" s="170">
        <f t="shared" ca="1" si="568"/>
        <v>0.71612369323045078</v>
      </c>
      <c r="MH141" s="170" t="e">
        <f t="shared" ca="1" si="464"/>
        <v>#N/A</v>
      </c>
      <c r="MI141" s="170" t="e">
        <f t="shared" ca="1" si="464"/>
        <v>#N/A</v>
      </c>
      <c r="MJ141" s="170" t="e">
        <f ca="1">MAX(0.0001, Control!$C$132*$MI141*$DL141)</f>
        <v>#N/A</v>
      </c>
      <c r="MK141" s="170">
        <f ca="1">1/(0.76+1.5*($MG141/10))-(5-Control!$C$110)*0.1</f>
        <v>1.002845988140797</v>
      </c>
      <c r="ML141" s="173">
        <f ca="1">IF(Control!$C$110&lt;3,$MK141+($MG141-0.6)/(Control!$C$110*(Control!$C$110+3)), MAX(0.1, MIN(0.95,$MK141)))</f>
        <v>0.95</v>
      </c>
      <c r="MM141" s="173">
        <f ca="1">IF(Control!$C$110&lt;3,$MK141+(($MI141/10)-0.6)/(Control!$C$110*(Control!$C$110+3)), MAX(0.1, MIN(0.95,$MK141)))</f>
        <v>0.95</v>
      </c>
      <c r="MN141" s="173">
        <f ca="1">(1-$MM141)*(Control!$C$128-Control!$C$127)+Control!$C$127</f>
        <v>0.16</v>
      </c>
      <c r="MO141" s="170" t="e">
        <f ca="1">MAX(0,MIN(1,($MS141-Control!$C$127)/($MN141-Control!$C$127)))</f>
        <v>#DIV/0!</v>
      </c>
      <c r="MP141" s="173" t="e">
        <f ca="1">1/(0.76+1.5*$MI141)-(5-Control!$C$110)*0.1</f>
        <v>#N/A</v>
      </c>
      <c r="MQ141" s="172" t="e">
        <f t="shared" ca="1" si="685"/>
        <v>#DIV/0!</v>
      </c>
      <c r="MR141" s="168" t="e">
        <f t="shared" ca="1" si="657"/>
        <v>#DIV/0!</v>
      </c>
      <c r="MS141" s="173" t="e">
        <f ca="1">MAX(Control!$C$127, MIN(Control!$C$135, $MR141/MAX(0.0001,$CY141)))</f>
        <v>#DIV/0!</v>
      </c>
      <c r="MT141" s="168" t="e">
        <f ca="1">(Control!$C$128-$MS141)*Control!$C$74</f>
        <v>#DIV/0!</v>
      </c>
      <c r="MU141" s="168" t="e">
        <f ca="1">(Control!$C$135-$MS141)*Control!$C$74</f>
        <v>#DIV/0!</v>
      </c>
      <c r="MV141" s="168" t="e">
        <f t="shared" ca="1" si="658"/>
        <v>#DIV/0!</v>
      </c>
      <c r="MW141" s="168" t="e">
        <f t="shared" ca="1" si="659"/>
        <v>#DIV/0!</v>
      </c>
      <c r="MX141" s="171" t="e">
        <f ca="1">MAX(Control!$C$127, MIN(Control!$C$135, $MW141/MAX(0.0001,Control!$C$119-$CY141)))</f>
        <v>#DIV/0!</v>
      </c>
      <c r="MY141" s="54" t="e">
        <f ca="1">IF(Control!$C$114=1, $CX141*$MX141, 0)</f>
        <v>#DIV/0!</v>
      </c>
      <c r="MZ141" s="54" t="e">
        <f t="shared" ca="1" si="660"/>
        <v>#N/A</v>
      </c>
      <c r="NA141" s="168" t="e">
        <f ca="1">(Control!$C$128-$MX141)*(Control!$C$119-Control!$C$74)</f>
        <v>#DIV/0!</v>
      </c>
      <c r="NB141" s="168" t="e">
        <f ca="1">(Control!$C$135-$MX141)*(Control!$C$119-Control!$C$74)</f>
        <v>#DIV/0!</v>
      </c>
      <c r="NC141" s="174" t="e">
        <f t="shared" ca="1" si="661"/>
        <v>#DIV/0!</v>
      </c>
      <c r="ND141" s="54">
        <f ca="1">IF(Control!$C$58=2, IF(OR(Control!$B$218=$AH141,Control!$B$219=$AH141, Control!$B$220=$AH141, Control!$B$221=$AH141, Control!$B$222=$AH141, Control!$B$223=$AH141, Control!$B$224=$AH141, Control!$B$225=$AH141, Control!$B$226=$AH141, Control!$B$227=$AH141, Control!$B$228=$AH141), 1, 0), 0)</f>
        <v>0</v>
      </c>
      <c r="NE141" s="54">
        <f ca="1">IF($ND141=0,0, VLOOKUP($AH141,Control!$B$218:$C$228,2))</f>
        <v>0</v>
      </c>
      <c r="NF141" s="168" t="e">
        <f ca="1">$CY141*(Control!$C$128-Control!$C$127)</f>
        <v>#N/A</v>
      </c>
      <c r="NG141" s="54" t="e">
        <f ca="1">IF(Control!$C$58=2, $NI140-$NJ140, 0)</f>
        <v>#DIV/0!</v>
      </c>
      <c r="NH141" s="54" t="e">
        <f ca="1">IF(AND(Control!$C$58=1, $MS140&lt;= ($MN140+0.02), $I140&lt;10), 0, IF(Control!$C$58=2, $NG140, 0))</f>
        <v>#DIV/0!</v>
      </c>
      <c r="NI141" s="54" t="e">
        <f ca="1">IF(Control!$C$58=2, $NE141+$NH141,0)</f>
        <v>#DIV/0!</v>
      </c>
      <c r="NJ141" s="54" t="e">
        <f ca="1">IF(AND(Control!$C$58=1, $MS141&lt;= ($MN141+0.02), $I141&lt;10), MAX(0, MIN(10, 0.7*($NF141-$MV141))), IF(Control!$C$58=2, MIN(10,$NI141),0))</f>
        <v>#DIV/0!</v>
      </c>
      <c r="NK141" s="54" t="e">
        <f t="shared" ca="1" si="569"/>
        <v>#DIV/0!</v>
      </c>
      <c r="NL141" s="173" t="e">
        <f ca="1">(1-Control!$C$73)*$I141+$NJ141</f>
        <v>#DIV/0!</v>
      </c>
      <c r="NM141" s="172" t="e">
        <f ca="1">IF($NL141&lt;0.5, $MB141* MAX(0, MIN(1, (SQRT($NC141)-SQRT($NC141-1))*Control!$C$71)),0)</f>
        <v>#DIV/0!</v>
      </c>
      <c r="NN141" s="170" t="e">
        <f ca="1">IF($NL141&gt;=5, $MB141, MAX(0,MIN($MB141, $NM141+$NL141,($MS141-Control!$C$129))))</f>
        <v>#DIV/0!</v>
      </c>
      <c r="NO141" s="54">
        <f>IF(Control!$C$133&lt;&gt;1, Control!$C$135-Control!$C$131, 0)</f>
        <v>0.38</v>
      </c>
      <c r="NP141" s="54" t="e">
        <f t="shared" ca="1" si="570"/>
        <v>#DIV/0!</v>
      </c>
      <c r="NQ141" s="173" t="e">
        <f ca="1">MAX(0,MIN(1,(Control!$C$135-$MS141)/(Control!$C$135-$NO141)))</f>
        <v>#DIV/0!</v>
      </c>
      <c r="NR141" s="170" t="e">
        <f ca="1">IF(Control!$C$133&lt;&gt;1, $NQ141+((1-$NP141/4)*(1-$NQ141)),1)</f>
        <v>#DIV/0!</v>
      </c>
      <c r="NS141" s="170" t="e">
        <f ca="1">IF(Control!$B$31=0,$MJ141,MAX(0,MIN($MV141,$MO141*$NR141*$MJ141)))</f>
        <v>#DIV/0!</v>
      </c>
      <c r="NT141" s="170" t="e">
        <f t="shared" ca="1" si="686"/>
        <v>#DIV/0!</v>
      </c>
      <c r="NU141" s="170" t="e">
        <f t="shared" ca="1" si="662"/>
        <v>#N/A</v>
      </c>
      <c r="NV141" s="170" t="e">
        <f t="shared" ca="1" si="571"/>
        <v>#N/A</v>
      </c>
      <c r="NW141" s="175" t="e">
        <f t="shared" ca="1" si="572"/>
        <v>#DIV/0!</v>
      </c>
      <c r="NX141" s="170" t="e">
        <f ca="1">MIN(Control!$C$72+$MU141, $NW141)</f>
        <v>#DIV/0!</v>
      </c>
      <c r="NY141" s="170" t="e">
        <f ca="1">IF($MT141&lt;=$NX141,MIN(Control!$C$72+$NB141,$NX141-$MT141),0)</f>
        <v>#DIV/0!</v>
      </c>
      <c r="NZ141" s="54" t="e">
        <f ca="1">IF(Control!$C$114=1,  $CX141*($MX141-Control!$C$127), 0)</f>
        <v>#DIV/0!</v>
      </c>
      <c r="OA141" s="170" t="e">
        <f t="shared" ca="1" si="573"/>
        <v>#DIV/0!</v>
      </c>
      <c r="OB141" s="170" t="e">
        <f ca="1">IF($NA141 &lt;=$NY141, MIN(Control!$C$72, $NY141-$NA141), 0)</f>
        <v>#DIV/0!</v>
      </c>
      <c r="OC141" s="168" t="e">
        <f t="shared" ca="1" si="574"/>
        <v>#DIV/0!</v>
      </c>
      <c r="OD141" s="168" t="e">
        <f t="shared" ca="1" si="663"/>
        <v>#DIV/0!</v>
      </c>
      <c r="OE141" s="170">
        <f ca="1">Control!$C$73*$I141</f>
        <v>0</v>
      </c>
      <c r="OF141" s="176" t="e">
        <f t="shared" ca="1" si="575"/>
        <v>#DIV/0!</v>
      </c>
      <c r="OG141" s="168" t="e">
        <f t="shared" ca="1" si="576"/>
        <v>#DIV/0!</v>
      </c>
      <c r="OH141" s="168" t="e">
        <f t="shared" ca="1" si="577"/>
        <v>#DIV/0!</v>
      </c>
      <c r="OI141" s="168" t="e">
        <f t="shared" ca="1" si="578"/>
        <v>#DIV/0!</v>
      </c>
      <c r="OJ141" s="168" t="e">
        <f t="shared" ca="1" si="579"/>
        <v>#DIV/0!</v>
      </c>
      <c r="OK141" s="204" t="e">
        <f t="shared" ca="1" si="580"/>
        <v>#DIV/0!</v>
      </c>
      <c r="OL141" s="177">
        <f>Control!$C$127</f>
        <v>0.15</v>
      </c>
      <c r="OM141" s="182" t="e">
        <f t="shared" ca="1" si="581"/>
        <v>#N/A</v>
      </c>
      <c r="ON141" s="177">
        <f>Control!$C$128</f>
        <v>0.35</v>
      </c>
      <c r="OO141" s="182" t="e">
        <f t="shared" ca="1" si="582"/>
        <v>#N/A</v>
      </c>
      <c r="OP141" s="138">
        <f t="shared" ca="1" si="664"/>
        <v>0</v>
      </c>
      <c r="OQ141" s="138" t="e">
        <f t="shared" ca="1" si="687"/>
        <v>#DIV/0!</v>
      </c>
      <c r="OR141" s="138" t="e">
        <f t="shared" ca="1" si="665"/>
        <v>#DIV/0!</v>
      </c>
      <c r="OS141" s="137" t="e">
        <f t="shared" ca="1" si="688"/>
        <v>#DIV/0!</v>
      </c>
      <c r="OT141" s="139" t="e">
        <f t="shared" ca="1" si="689"/>
        <v>#DIV/0!</v>
      </c>
      <c r="OU141" s="138" t="e">
        <f t="shared" ca="1" si="690"/>
        <v>#N/A</v>
      </c>
      <c r="OV141" s="138" t="e">
        <f t="shared" ca="1" si="691"/>
        <v>#DIV/0!</v>
      </c>
      <c r="OW141" s="138" t="e">
        <f t="shared" ca="1" si="666"/>
        <v>#DIV/0!</v>
      </c>
      <c r="OX141" s="138" t="e">
        <f t="shared" ca="1" si="667"/>
        <v>#DIV/0!</v>
      </c>
      <c r="OY141" s="138" t="e">
        <f t="shared" ca="1" si="668"/>
        <v>#DIV/0!</v>
      </c>
      <c r="OZ141" s="138" t="e">
        <f t="shared" ca="1" si="583"/>
        <v>#DIV/0!</v>
      </c>
      <c r="PA141" s="138" t="e">
        <f t="shared" ca="1" si="584"/>
        <v>#DIV/0!</v>
      </c>
      <c r="PB141" s="55">
        <f>IF(Control!$C$61="T", IF(Control!$C$65="F", IF($AH$6-Control!$C$60&lt;0,0,1), IF(365+$AH$6-Control!$C$60&lt;0,0,1)),0)</f>
        <v>0</v>
      </c>
      <c r="PC141" s="55">
        <f ca="1">IF(Control!$C$65="F", IF($AH$6-$HF141&lt;0,0,1), IF(365+$AH$6-$HF141&lt;0,0,1))</f>
        <v>1</v>
      </c>
      <c r="PD141" s="444">
        <f>Control!$C$118</f>
        <v>1500</v>
      </c>
      <c r="PE141" s="180" t="e">
        <f t="shared" ca="1" si="585"/>
        <v>#N/A</v>
      </c>
      <c r="PF141" s="445">
        <f t="shared" ca="1" si="669"/>
        <v>0.71612369323045078</v>
      </c>
      <c r="PT141" s="186"/>
      <c r="PU141" s="186"/>
      <c r="PV141" s="94"/>
      <c r="PW141" s="94"/>
      <c r="PX141" s="94"/>
      <c r="PY141" s="94"/>
      <c r="PZ141" s="94"/>
      <c r="QA141" s="94"/>
      <c r="QB141" s="94"/>
      <c r="QC141" s="94"/>
      <c r="QD141" s="94"/>
      <c r="QE141" s="94"/>
      <c r="QF141" s="94"/>
      <c r="QG141" s="94"/>
      <c r="QH141" s="94"/>
      <c r="QI141" s="94"/>
      <c r="QJ141" s="94"/>
      <c r="QK141" s="94"/>
      <c r="QL141" s="94"/>
      <c r="QM141" s="94"/>
      <c r="QN141" s="94"/>
      <c r="QO141" s="94"/>
      <c r="QP141" s="94"/>
    </row>
    <row r="142" spans="1:458" s="2" customFormat="1" x14ac:dyDescent="0.2">
      <c r="A142" s="395">
        <v>17</v>
      </c>
      <c r="B142" s="396">
        <v>5</v>
      </c>
      <c r="C142" s="387">
        <f ca="1">Weather_data!$B141</f>
        <v>0</v>
      </c>
      <c r="D142" s="388">
        <f ca="1">Weather_data!$F141</f>
        <v>0</v>
      </c>
      <c r="E142" s="388">
        <f ca="1">Weather_data!$E141</f>
        <v>0</v>
      </c>
      <c r="F142" s="388">
        <f t="shared" ca="1" si="586"/>
        <v>0</v>
      </c>
      <c r="G142" s="388">
        <f ca="1">AVERAGE($D142:$E142)+Control!$B$9</f>
        <v>0</v>
      </c>
      <c r="H142" s="388">
        <f ca="1">Weather_data!$G141</f>
        <v>0</v>
      </c>
      <c r="I142" s="388">
        <f ca="1">Weather_data!$I141</f>
        <v>0</v>
      </c>
      <c r="J142" s="388">
        <f ca="1">Weather_data!$H141</f>
        <v>0</v>
      </c>
      <c r="K142" s="389">
        <f ca="1">Weather_data!$D141</f>
        <v>0</v>
      </c>
      <c r="L142" s="388" t="e">
        <f t="shared" ca="1" si="587"/>
        <v>#N/A</v>
      </c>
      <c r="M142" s="388" t="e">
        <f t="shared" ca="1" si="465"/>
        <v>#N/A</v>
      </c>
      <c r="N142" s="388">
        <f t="shared" ca="1" si="466"/>
        <v>-2.9919290330603667E-7</v>
      </c>
      <c r="O142" s="388">
        <f t="shared" ca="1" si="588"/>
        <v>2.9919290330603666E-6</v>
      </c>
      <c r="P142" s="390">
        <v>3</v>
      </c>
      <c r="Q142" s="388">
        <f ca="1">MAX($G142-Control!$C$107,0)</f>
        <v>0</v>
      </c>
      <c r="R142" s="388">
        <f t="shared" ca="1" si="589"/>
        <v>0</v>
      </c>
      <c r="S142" s="388">
        <f t="shared" ca="1" si="467"/>
        <v>0</v>
      </c>
      <c r="T142" s="388">
        <f t="shared" ca="1" si="468"/>
        <v>0</v>
      </c>
      <c r="U142" s="59">
        <f t="shared" ca="1" si="469"/>
        <v>0</v>
      </c>
      <c r="V142" s="391">
        <f ca="1">MAX(0,MIN(Control!$C$100-Control!$C$99,$G142-Control!$C$99)*Control!$C$63)</f>
        <v>0</v>
      </c>
      <c r="W142" s="388">
        <f t="shared" ca="1" si="590"/>
        <v>0</v>
      </c>
      <c r="X142" s="388">
        <f t="shared" ca="1" si="591"/>
        <v>0.6110000000000001</v>
      </c>
      <c r="Y142" s="388">
        <f t="shared" ca="1" si="470"/>
        <v>0</v>
      </c>
      <c r="Z142" s="388">
        <f t="shared" ca="1" si="592"/>
        <v>0.61058800000000002</v>
      </c>
      <c r="AA142" s="388">
        <f t="shared" ca="1" si="471"/>
        <v>0.6018</v>
      </c>
      <c r="AB142" s="388">
        <f ca="1">101.3*EXP(-0.034*Control!$C$66/($G142+273))</f>
        <v>100.69623283836242</v>
      </c>
      <c r="AC142" s="392">
        <f t="shared" ca="1" si="472"/>
        <v>4.3460251046025113E-2</v>
      </c>
      <c r="AD142" s="392">
        <f t="shared" ca="1" si="473"/>
        <v>4.4450382862832649E-2</v>
      </c>
      <c r="AE142" s="388">
        <f t="shared" ca="1" si="474"/>
        <v>0</v>
      </c>
      <c r="AF142" s="388">
        <f ca="1">MAX(0,$G142-Control!$C$92)</f>
        <v>0</v>
      </c>
      <c r="AG142" s="393">
        <f t="shared" ca="1" si="475"/>
        <v>138</v>
      </c>
      <c r="AH142" s="389">
        <f t="shared" ca="1" si="476"/>
        <v>138</v>
      </c>
      <c r="AI142" s="388">
        <f t="shared" ca="1" si="593"/>
        <v>0.33610228180469048</v>
      </c>
      <c r="AJ142" s="388">
        <f ca="1">IF(Control!$C$60&lt;=0,$HH142,$HI142)</f>
        <v>1</v>
      </c>
      <c r="AK142" s="388">
        <f t="shared" ca="1" si="477"/>
        <v>0.99842396662031785</v>
      </c>
      <c r="AL142" s="388">
        <f t="shared" ca="1" si="478"/>
        <v>-7.9797279894933126E-23</v>
      </c>
      <c r="AM142" s="388">
        <f t="shared" ca="1" si="479"/>
        <v>0.99842396662031785</v>
      </c>
      <c r="AN142" s="388">
        <f t="shared" ca="1" si="480"/>
        <v>0.34096638660937006</v>
      </c>
      <c r="AO142" s="388">
        <f ca="1">-0.10453/COS(Control!$B$8*PI()/180)*COS(AN142)</f>
        <v>-0.16001068032009463</v>
      </c>
      <c r="AP142" s="388">
        <f ca="1">ACOS(AO142-TAN(Control!$B$8*PI()/180)*TAN(AN142))</f>
        <v>2.2321243100510126</v>
      </c>
      <c r="AQ142" s="388">
        <f t="shared" ca="1" si="594"/>
        <v>0</v>
      </c>
      <c r="AR142" s="394">
        <f t="shared" ca="1" si="481"/>
        <v>0</v>
      </c>
      <c r="AS142" s="436">
        <f ca="1">IF(Control!$B$18=2,(IF(OR($AH142=Control!$B$175,$AH142=Control!$B$176,$AH142=Control!$B$177,$AH142=Control!$B$178,$AH142=Control!$B$179,$AH142=Control!$B$180,$AH142=Control!$B$181,$AH142=Control!$B$182,$AH142=Control!$B$183,$AH142=Control!$B$184,$AH142=Control!$B$185),1,0)),0)</f>
        <v>0</v>
      </c>
      <c r="AT142" s="436">
        <f>IF(Control!$B$20=8,IF(AND($AH142&gt;=Control!$B$172,$AH142&lt;=Control!$B$173),1,0),0)</f>
        <v>0</v>
      </c>
      <c r="AU142" s="436">
        <f>IF(Control!$B$20=8,IF($AV141=1,1*$AT142,IF($AT142=1,$AU141+1,$AU141)),0)</f>
        <v>0</v>
      </c>
      <c r="AV142" s="436">
        <f>IF(Control!$B$20=8,IF($AU142&gt;=Control!$B$174,1,0),0)</f>
        <v>0</v>
      </c>
      <c r="AW142" s="436">
        <f ca="1">IF(AND(Control!$B$18=2,Control!$B$171=1), $AV142, $AS142)</f>
        <v>0</v>
      </c>
      <c r="AX142" s="436" t="e">
        <f ca="1">IF(AND(Control!$B$18=1,$EU142&gt;=Control!$B$19),-$AY142,IF(AND(Control!$B$18=2,$AW142=1,$EU142&gt;$DS142),-$AY142, IF(Control!$C$108=0,0, IF(Control!$C$108&lt;&gt;0,1))))</f>
        <v>#N/A</v>
      </c>
      <c r="AY142" s="436" t="e">
        <f t="shared" ca="1" si="595"/>
        <v>#N/A</v>
      </c>
      <c r="AZ142" s="436" t="e">
        <f ca="1">IF(AND(Control!$B$18=1,$EB142&gt;Control!$B$19),$AZ141+1, IF(AND(Control!$B$18=2, $AW142=1, $EB142&gt;$DS142), $AZ141+1,$AZ141))</f>
        <v>#N/A</v>
      </c>
      <c r="BA142" s="587">
        <f>IF(Control!$C$81=0,1,IF($AH142&gt;=Control!$C$82,1,0))</f>
        <v>1</v>
      </c>
      <c r="BB142" s="140" t="e">
        <f ca="1">IF($BA142&gt;$BA141,Control!$C$83,IF($AW142&gt;0,$AW142*Control!$C$84,IF(AND(Control!$B$18=1,EN141&lt;&gt;0),Control!$C$84,0)))</f>
        <v>#N/A</v>
      </c>
      <c r="BC142" s="140" t="e">
        <f t="shared" ca="1" si="596"/>
        <v>#N/A</v>
      </c>
      <c r="BD142" s="140" t="e">
        <f ca="1">BC142*IF(OR($G142&lt;Control!$C$92,$G142&gt;Control!$C$95),0,IF(AND($G142&gt;=Control!$C$92,$G142&lt;=Control!$C$93),$G142-Control!$C$92,IF(AND($G142&gt;Control!$C$93,$G142&lt;=Control!$C$94),Control!$C$93-Control!$C$92,IF(AND($G142&gt;Control!$C$94,$G142&lt;=Control!$C$95),(Control!$C$93-Control!$C$92)*(Control!$C$94-$G142)/(Control!$C$95-Control!$C$94)))))</f>
        <v>#N/A</v>
      </c>
      <c r="BE142" s="140" t="e">
        <f t="shared" ca="1" si="597"/>
        <v>#N/A</v>
      </c>
      <c r="BF142" s="140" t="e">
        <f ca="1">IF($BE142&lt;=Control!$C$86,$BE142,Control!$C$86-$BE142)</f>
        <v>#N/A</v>
      </c>
      <c r="BG142" s="140" t="e">
        <f ca="1">IF(AND($AW142=1,Control!$C$84&lt;9),1,IF($BE142&gt;=Control!$C$86,0,$BC142))</f>
        <v>#N/A</v>
      </c>
      <c r="BH142" s="404" t="e">
        <f ca="1">IF($BG142=0,0,IF($BE142&lt;=Control!$C$86,$BC142*9*($BF142/Control!$C$86),0))</f>
        <v>#N/A</v>
      </c>
      <c r="BI142" s="140" t="e">
        <f ca="1">IF($BG142=1,0,IF($BE142&gt;=Control!$C$86,1,IF(AND($BB142&lt;21,$BB142&gt;=9),1,$BM141)))</f>
        <v>#N/A</v>
      </c>
      <c r="BJ142" s="140" t="e">
        <f ca="1">IF($BF142&lt;0,-$BF142,$BI142*IF(OR($G142&lt;Control!$C$92,$G142&gt;Control!$C$95),0,IF(AND($G142&gt;=Control!$C$92,$G142&lt;=Control!$C$93),$G142-Control!$C$92,IF(AND($G142&gt;Control!$C$93,$G142&lt;=Control!$C$94),Control!$C$93-Control!$C$92,IF(AND($G142&gt;Control!$C$94,$G142&lt;=Control!$C$95),(Control!$C$93-Control!$C$92)*(Control!$C$94-$G142)/(Control!$C$95-Control!$C$94))))))</f>
        <v>#N/A</v>
      </c>
      <c r="BK142" s="140" t="e">
        <f t="shared" ca="1" si="598"/>
        <v>#N/A</v>
      </c>
      <c r="BL142" s="140" t="e">
        <f ca="1">IF($BK142&lt;=Control!$C$87,$BK142,Control!$C$87-$BK142)</f>
        <v>#N/A</v>
      </c>
      <c r="BM142" s="140" t="e">
        <f ca="1">IF(AND($BB142&gt;=9,$BB142&lt;21),1,IF($BK142&gt;=Control!$C$87,0,$BI142))</f>
        <v>#N/A</v>
      </c>
      <c r="BN142" s="404" t="e">
        <f ca="1">IF($BM142=0,0,IF($BK142&lt;=Control!$C$87,$BI142*(9+(21-9)*($BL142/Control!$C$87)),0))</f>
        <v>#N/A</v>
      </c>
      <c r="BO142" s="140" t="e">
        <f ca="1">IF($BM142=1,0,IF($BK142&gt;=Control!$C$87,1,IF(AND($BB142&lt;30,$BB142&gt;=21),1,$BS141)))</f>
        <v>#N/A</v>
      </c>
      <c r="BP142" s="140" t="e">
        <f ca="1">IF($BL142&lt;0,-$BL142,$BO142*IF(OR($G142&lt;Control!$C$92,$G142&gt;Control!$C$95),0,IF(AND($G142&gt;=Control!$C$92,$G142&lt;=Control!$C$93),$G142-Control!$C$92,IF(AND($G142&gt;Control!$C$93,$G142&lt;=Control!$C$94),Control!$C$93-Control!$C$92,IF(AND($G142&gt;Control!$C$94,$G142&lt;=Control!$C$95),(Control!$C$93-Control!$C$92)*(Control!$C$94-$G142)/(Control!$C$95-Control!$C$94))))))</f>
        <v>#N/A</v>
      </c>
      <c r="BQ142" s="140" t="e">
        <f t="shared" ca="1" si="482"/>
        <v>#N/A</v>
      </c>
      <c r="BR142" s="140" t="e">
        <f ca="1">IF($BQ142&lt;=Control!$C$88,$BQ142,Control!$C$88-$BQ142)</f>
        <v>#N/A</v>
      </c>
      <c r="BS142" s="140" t="e">
        <f ca="1">IF(AND($BB142&gt;=21,$BB142&lt;30),1,IF($BQ142&gt;=Control!$C$88,0,$BO142))</f>
        <v>#N/A</v>
      </c>
      <c r="BT142" s="404" t="e">
        <f ca="1">IF($BS142=0,0,IF($BQ142&lt;=Control!$C$88,$BO142*(21+(30-21)*(BR142/Control!$C$88)),0))</f>
        <v>#N/A</v>
      </c>
      <c r="BU142" s="140" t="e">
        <f ca="1">IF(BG142+BM142+BS142=1,0,IF(OR(AND($BB142&lt;60,$BB142&gt;=30),$BQ142&gt;=Control!$C$88),1*$BA142,$BY141))</f>
        <v>#N/A</v>
      </c>
      <c r="BV142" s="140" t="e">
        <f ca="1">IF($BR142&lt;0,-$BR142,$BU142*IF(OR($G142&lt;Control!$C$92,$G142&gt;Control!$C$95),0,IF(AND($G142&gt;=Control!$C$92,$G142&lt;=Control!$C$93),$G142-Control!$C$92,IF(AND($G142&gt;Control!$C$93,$G142&lt;=Control!$C$94),Control!$C$93-Control!$C$92,IF(AND($G142&gt;Control!$C$94,$G142&lt;=Control!$C$95),(Control!$C$93-Control!$C$92)*(Control!$C$94-$G142)/(Control!$C$95-Control!$C$94))))))</f>
        <v>#N/A</v>
      </c>
      <c r="BW142" s="140" t="e">
        <f t="shared" ca="1" si="483"/>
        <v>#N/A</v>
      </c>
      <c r="BX142" s="140" t="e">
        <f ca="1">IF($BW142&lt;=Control!$C$89,$BW142,Control!$C$89-$BW142)</f>
        <v>#N/A</v>
      </c>
      <c r="BY142" s="140" t="e">
        <f ca="1">IF(AND($AJ142&gt;=30,$AJ142&lt;60),1,IF($BW142&gt;=Control!$C$89,0,$BU142))</f>
        <v>#N/A</v>
      </c>
      <c r="BZ142" s="404" t="e">
        <f ca="1">IF($BY142=0,0,IF($BW142&lt;=Control!$C$89,$BU142*(30+(60-30)*(BX142/Control!$C$89)),0))</f>
        <v>#N/A</v>
      </c>
      <c r="CA142" s="140" t="e">
        <f ca="1">IF($BG142+$BM142+$BS142+$BY142=1,0,IF(OR(AND($BB142&lt;65,$BB142&gt;=60),$BW142&gt;=Control!$C$89),1*$BA142,$CE141))</f>
        <v>#N/A</v>
      </c>
      <c r="CB142" s="140" t="e">
        <f ca="1">IF($BX142&lt;0,-$BX142,$CA142*IF(OR($G142&lt;Control!$C$92,$G142&gt;Control!$C$95),0,IF(AND($G142&gt;=Control!$C$92,$G142&lt;=Control!$C$93),$G142-Control!$C$92,IF(AND($G142&gt;Control!$C$93,$G142&lt;=Control!$C$94),Control!$C$93-Control!$C$92,IF(AND($G142&gt;Control!$C$94,$G142&lt;=Control!$C$95),(Control!$C$93-Control!$C$92)*(Control!$C$94-$G142)/(Control!$C$95-Control!$C$94))))))</f>
        <v>#N/A</v>
      </c>
      <c r="CC142" s="140" t="e">
        <f t="shared" ca="1" si="599"/>
        <v>#N/A</v>
      </c>
      <c r="CD142" s="140" t="e">
        <f ca="1">IF($CC142&lt;=Control!$C$90,$CC142,Control!$C$90-$CC142)</f>
        <v>#N/A</v>
      </c>
      <c r="CE142" s="140" t="e">
        <f ca="1">IF(AND($BB142&gt;=60,$BB142&lt;65),1,IF($CC142&gt;=Control!$C$90,0,$CA142))</f>
        <v>#N/A</v>
      </c>
      <c r="CF142" s="404" t="e">
        <f ca="1">IF($CE142=0,0,IF($CC142&lt;=Control!$C$90,$CA142*(60+(65-60)*(CD142/Control!$C$90)),0))</f>
        <v>#N/A</v>
      </c>
      <c r="CG142" s="140" t="e">
        <f ca="1">IF($BG142+$BM142+$BS142+$BY142+$CE142=1,0,IF(OR(AND($BB142&lt;90,$BB142&gt;=65),$CC142&gt;=Control!$C$90),$BA142,$CK141))</f>
        <v>#N/A</v>
      </c>
      <c r="CH142" s="140" t="e">
        <f ca="1">IF($CD142&lt;0,-$CD142,$CG142*IF(OR($G142&lt;Control!$C$92,$G142&gt;Control!$C$95),0,IF(AND($G142&gt;=Control!$C$92,$G142&lt;=Control!$C$93),$G142-Control!$C$92,IF(AND($G142&gt;Control!$C$93,$G142&lt;=Control!$C$94),Control!$C$93-Control!$C$92,IF(AND($G142&gt;Control!$C$94,$G142&lt;=Control!$C$95),(Control!$C$93-Control!$C$92)*(Control!$C$94-$G142)/(Control!$C$95-Control!$C$94))))))</f>
        <v>#N/A</v>
      </c>
      <c r="CI142" s="140" t="e">
        <f t="shared" ca="1" si="600"/>
        <v>#N/A</v>
      </c>
      <c r="CJ142" s="140" t="e">
        <f ca="1">IF($CI142&lt;=Control!$C$91,$CI142,Control!$C$91-$CI142)</f>
        <v>#N/A</v>
      </c>
      <c r="CK142" s="140" t="e">
        <f ca="1">IF(AND($BB142&gt;=65,$BB142&lt;90),1,IF($CI142&gt;=Control!$C$91,0,$CG142))</f>
        <v>#N/A</v>
      </c>
      <c r="CL142" s="404" t="e">
        <f ca="1">IF($CK142=0,0,IF($CI142&lt;=Control!$C$91,$CG142*(65+(90-65)*($CJ142/Control!$C$91)),0))</f>
        <v>#N/A</v>
      </c>
      <c r="CM142" s="140" t="e">
        <f ca="1">IF($BG142+$BM142+$BS142+$BY142+$CE142+$CK142=1,0,IF(OR($BB142&gt;=90,$CI142&gt;=Control!$C$91),$BA142,$CM141))</f>
        <v>#N/A</v>
      </c>
      <c r="CN142" s="140" t="e">
        <f t="shared" ca="1" si="601"/>
        <v>#N/A</v>
      </c>
      <c r="CO142" s="140" t="e">
        <f t="shared" ca="1" si="602"/>
        <v>#N/A</v>
      </c>
      <c r="CP142" s="140" t="e">
        <f t="shared" ca="1" si="603"/>
        <v>#N/A</v>
      </c>
      <c r="CQ142" s="141" t="e">
        <f ca="1">VLOOKUP($CP142,Control!$B$86:$G$91,6)</f>
        <v>#N/A</v>
      </c>
      <c r="CR142" s="141" t="e">
        <f ca="1">(1-$CQ142)*VLOOKUP($CP142,Control!$B$86:$D$91,3)</f>
        <v>#N/A</v>
      </c>
      <c r="CS142" s="141" t="e">
        <f ca="1">(1-$CQ142)*VLOOKUP($CP142,Control!$B$86:$E$91,4)</f>
        <v>#N/A</v>
      </c>
      <c r="CT142" s="141" t="e">
        <f ca="1">(1-$CQ142)*VLOOKUP($CP142,Control!$B$86:$F$91,5)</f>
        <v>#N/A</v>
      </c>
      <c r="CU142" s="141">
        <f t="shared" ca="1" si="604"/>
        <v>0</v>
      </c>
      <c r="CV142" s="583">
        <f t="shared" ca="1" si="605"/>
        <v>0</v>
      </c>
      <c r="CW142" s="142">
        <f t="shared" ca="1" si="606"/>
        <v>138</v>
      </c>
      <c r="CX142" s="612" t="e">
        <f ca="1">IF(Control!$C$114=1,(MIN(Control!$C$120*(IF($NT142-0.01&lt;0,0,1)),Control!$C$119-$CY142)))</f>
        <v>#DIV/0!</v>
      </c>
      <c r="CY142" s="143" t="e">
        <f t="shared" ca="1" si="607"/>
        <v>#N/A</v>
      </c>
      <c r="CZ142" s="144">
        <f t="shared" ca="1" si="484"/>
        <v>0</v>
      </c>
      <c r="DA142" s="144">
        <f t="shared" ca="1" si="485"/>
        <v>0</v>
      </c>
      <c r="DB142" s="144" t="e">
        <f t="shared" ca="1" si="486"/>
        <v>#N/A</v>
      </c>
      <c r="DC142" s="144" t="e">
        <f t="shared" ca="1" si="487"/>
        <v>#N/A</v>
      </c>
      <c r="DD142" s="144" t="e">
        <f t="shared" ca="1" si="692"/>
        <v>#N/A</v>
      </c>
      <c r="DE142" s="143" t="e">
        <f t="shared" ca="1" si="608"/>
        <v>#N/A</v>
      </c>
      <c r="DF142" s="145" t="e">
        <f ca="1">$DR142*EXP(-Control!$C$158*(1-$KH142))</f>
        <v>#N/A</v>
      </c>
      <c r="DG142" s="146" t="e">
        <f ca="1">IF(Control!$C$114=1, $DF142*$EY142, 0)</f>
        <v>#N/A</v>
      </c>
      <c r="DH142" s="147" t="e">
        <f t="shared" ca="1" si="609"/>
        <v>#N/A</v>
      </c>
      <c r="DI142" s="144" t="e">
        <f t="shared" ca="1" si="670"/>
        <v>#N/A</v>
      </c>
      <c r="DJ142" s="147" t="e">
        <f ca="1">$EF142*Control!$C$109</f>
        <v>#N/A</v>
      </c>
      <c r="DK142" s="144" t="e">
        <f t="shared" ca="1" si="610"/>
        <v>#N/A</v>
      </c>
      <c r="DL142" s="144" t="e">
        <f t="shared" ca="1" si="488"/>
        <v>#N/A</v>
      </c>
      <c r="DM142" s="144" t="e">
        <f ca="1">IF(Control!$C$114=1, (1-EXP(-Control!$C$96*$DK142))*$AR142, 0)</f>
        <v>#N/A</v>
      </c>
      <c r="DN142" s="144">
        <f t="shared" ca="1" si="611"/>
        <v>0</v>
      </c>
      <c r="DO142" s="148">
        <f>Control!$C$97</f>
        <v>4</v>
      </c>
      <c r="DP142" s="145" t="e">
        <f t="shared" ca="1" si="612"/>
        <v>#N/A</v>
      </c>
      <c r="DQ142" s="145" t="e">
        <f ca="1">IF(AND($CP142&gt;=0,$CP142&lt;=90),Control!$C$111,Control!$C$111)</f>
        <v>#N/A</v>
      </c>
      <c r="DR142" s="145" t="e">
        <f t="shared" ca="1" si="489"/>
        <v>#N/A</v>
      </c>
      <c r="DS142" s="143" t="e">
        <f ca="1">Control!$B$22/$DR142</f>
        <v>#N/A</v>
      </c>
      <c r="DT142" s="149" t="e">
        <f ca="1">IF(AND(Control!$C$114=1,$KH142&lt;1),$IM142*$DF142, 0)</f>
        <v>#N/A</v>
      </c>
      <c r="DU142" s="144" t="e">
        <f t="shared" ca="1" si="613"/>
        <v>#N/A</v>
      </c>
      <c r="DV142" s="144">
        <f ca="1">IF($G142-Control!$C$107&lt;=0, 0, 0.83*LN(MAX($G142, 3))-0.8924)</f>
        <v>0</v>
      </c>
      <c r="DW142" s="144" t="e">
        <f t="shared" ca="1" si="490"/>
        <v>#N/A</v>
      </c>
      <c r="DX142" s="150" t="e">
        <f ca="1">MAX(0.01*(1+$CU142/Control!$C$102),0.05*($DK142-Control!$C$97)/Control!$C$97)</f>
        <v>#N/A</v>
      </c>
      <c r="DY142" s="151" t="e">
        <f ca="1">IF(Control!$C$114=1, $DI142*$FS142, 0)</f>
        <v>#N/A</v>
      </c>
      <c r="DZ142" s="196" t="e">
        <f t="shared" ca="1" si="614"/>
        <v>#N/A</v>
      </c>
      <c r="EA142" s="152">
        <f t="shared" ca="1" si="615"/>
        <v>138</v>
      </c>
      <c r="EB142" s="153" t="e">
        <f t="shared" ca="1" si="616"/>
        <v>#N/A</v>
      </c>
      <c r="EC142" s="153" t="e">
        <f t="shared" ca="1" si="617"/>
        <v>#N/A</v>
      </c>
      <c r="ED142" s="154" t="e">
        <f ca="1">IF(Control!$C$114=1, $HM142*$FY142-$FD142, 0)</f>
        <v>#DIV/0!</v>
      </c>
      <c r="EE142" s="155" t="e">
        <f ca="1">IF(Control!$C$114=1, $HM142*$FZ142-$FF142, 0)</f>
        <v>#DIV/0!</v>
      </c>
      <c r="EF142" s="153" t="e">
        <f t="shared" ca="1" si="671"/>
        <v>#N/A</v>
      </c>
      <c r="EG142" s="155" t="e">
        <f ca="1">IF(Control!$C$114=1, $GX142*$FW142-$FI142, 0)</f>
        <v>#DIV/0!</v>
      </c>
      <c r="EH142" s="153" t="e">
        <f t="shared" ca="1" si="618"/>
        <v>#N/A</v>
      </c>
      <c r="EI142" s="156" t="e">
        <f t="shared" ca="1" si="619"/>
        <v>#N/A</v>
      </c>
      <c r="EJ142" s="155" t="e">
        <f ca="1">IF(Control!$C$114=1, $HM142*$GB142, 0)</f>
        <v>#DIV/0!</v>
      </c>
      <c r="EK142" s="153" t="e">
        <f t="shared" ca="1" si="672"/>
        <v>#N/A</v>
      </c>
      <c r="EL142" s="153" t="e">
        <f t="shared" ca="1" si="491"/>
        <v>#N/A</v>
      </c>
      <c r="EM142" s="153" t="e">
        <f t="shared" ca="1" si="492"/>
        <v>#N/A</v>
      </c>
      <c r="EN142" s="153" t="e">
        <f ca="1">IF(Control!$C$108=1,IF(AND(Control!$B$18=1,$EB142&gt;=Control!$B$19),$EB142-$DS142,IF(AND(Control!$B$18=2,$AW142=1,$EB142&gt;$DS142),$EB142-$DS142,0)))</f>
        <v>#N/A</v>
      </c>
      <c r="EO142" s="153" t="e">
        <f ca="1">IF(Control!$C$108=1,IF(AND(Control!$B$18=1,$EB142&gt;=Control!$B$19),$EF142,IF(AND(Control!$B$18=2,$AW142=1),$EF142,0)))</f>
        <v>#N/A</v>
      </c>
      <c r="EP142" s="153" t="e">
        <f ca="1">IF(Control!$C$108=1,IF(AND(Control!$B$18=1,$EB142&gt;=Control!$B$19),$EK142,IF(AND(Control!$B$18=2,$AW142=1),$EK142,0)))</f>
        <v>#N/A</v>
      </c>
      <c r="EQ142" s="153" t="e">
        <f t="shared" ca="1" si="620"/>
        <v>#N/A</v>
      </c>
      <c r="ER142" s="153" t="e">
        <f ca="1">$ER141+$EN141</f>
        <v>#N/A</v>
      </c>
      <c r="ES142" s="153" t="e">
        <f t="shared" ca="1" si="673"/>
        <v>#N/A</v>
      </c>
      <c r="ET142" s="153" t="e">
        <f t="shared" ca="1" si="674"/>
        <v>#N/A</v>
      </c>
      <c r="EU142" s="153" t="e">
        <f t="shared" ca="1" si="622"/>
        <v>#N/A</v>
      </c>
      <c r="EV142" s="153" t="e">
        <f t="shared" ca="1" si="493"/>
        <v>#N/A</v>
      </c>
      <c r="EW142" s="153" t="e">
        <f t="shared" ca="1" si="494"/>
        <v>#N/A</v>
      </c>
      <c r="EX142" s="153" t="e">
        <f t="shared" ca="1" si="495"/>
        <v>#N/A</v>
      </c>
      <c r="EY142" s="157" t="e">
        <f t="shared" ca="1" si="496"/>
        <v>#DIV/0!</v>
      </c>
      <c r="EZ142" s="154" t="e">
        <f t="shared" ca="1" si="497"/>
        <v>#DIV/0!</v>
      </c>
      <c r="FA142" s="153" t="e">
        <f t="shared" ca="1" si="623"/>
        <v>#N/A</v>
      </c>
      <c r="FB142" s="153" t="e">
        <f t="shared" ca="1" si="498"/>
        <v>#N/A</v>
      </c>
      <c r="FC142" s="193" t="e">
        <f t="shared" ca="1" si="499"/>
        <v>#N/A</v>
      </c>
      <c r="FD142" s="158" t="e">
        <f t="shared" ca="1" si="624"/>
        <v>#N/A</v>
      </c>
      <c r="FE142" s="158" t="e">
        <f t="shared" ca="1" si="625"/>
        <v>#N/A</v>
      </c>
      <c r="FF142" s="159" t="e">
        <f t="shared" ca="1" si="500"/>
        <v>#N/A</v>
      </c>
      <c r="FG142" s="160" t="e">
        <f t="shared" ca="1" si="626"/>
        <v>#N/A</v>
      </c>
      <c r="FH142" s="158" t="e">
        <f t="shared" ca="1" si="627"/>
        <v>#N/A</v>
      </c>
      <c r="FI142" s="159" t="e">
        <f t="shared" ca="1" si="501"/>
        <v>#N/A</v>
      </c>
      <c r="FJ142" s="160" t="e">
        <f t="shared" ca="1" si="628"/>
        <v>#N/A</v>
      </c>
      <c r="FK142" s="160" t="e">
        <f t="shared" ca="1" si="502"/>
        <v>#N/A</v>
      </c>
      <c r="FL142" s="160" t="e">
        <f ca="1">$FL141+$FD141</f>
        <v>#N/A</v>
      </c>
      <c r="FM142" s="160" t="e">
        <f t="shared" ca="1" si="503"/>
        <v>#N/A</v>
      </c>
      <c r="FN142" s="158">
        <f t="shared" ca="1" si="629"/>
        <v>0.01</v>
      </c>
      <c r="FO142" s="160">
        <f>Control!$C$101</f>
        <v>50</v>
      </c>
      <c r="FP142" s="150" t="e">
        <f t="shared" ca="1" si="504"/>
        <v>#N/A</v>
      </c>
      <c r="FQ142" s="150" t="e">
        <f ca="1">MAX(0,(Control!$C$112*(($DK142-Control!$C$97)/Control!$C$97)))</f>
        <v>#N/A</v>
      </c>
      <c r="FR142" s="150" t="e">
        <f ca="1">(1-$NT142)*Control!$C$113</f>
        <v>#DIV/0!</v>
      </c>
      <c r="FS142" s="198" t="e">
        <f t="shared" ca="1" si="505"/>
        <v>#N/A</v>
      </c>
      <c r="FT142" s="161">
        <f t="shared" ca="1" si="630"/>
        <v>138</v>
      </c>
      <c r="FU142" s="162" t="e">
        <f ca="1">IF(Control!$B$34=1,VLOOKUP($CP142,Control!$B$86:$G$91,6),Control!$B$35)</f>
        <v>#N/A</v>
      </c>
      <c r="FV142" s="162" t="e">
        <f t="shared" ca="1" si="506"/>
        <v>#DIV/0!</v>
      </c>
      <c r="FW142" s="162" t="e">
        <f ca="1">IF(Control!$B$31=1,$FU142*$FV142,  $FU142)</f>
        <v>#N/A</v>
      </c>
      <c r="FX142" s="162" t="e">
        <f ca="1">IF(Control!$B$34=1,VLOOKUP($CP142,Control!$B$86:$G$91,3),Control!$B$36)</f>
        <v>#N/A</v>
      </c>
      <c r="FY142" s="162" t="e">
        <f t="shared" ca="1" si="507"/>
        <v>#N/A</v>
      </c>
      <c r="FZ142" s="162" t="e">
        <f ca="1">IF(Control!$B$34=1,VLOOKUP($CP142,Control!$B$86:$G$91,4),Control!$B$37)</f>
        <v>#N/A</v>
      </c>
      <c r="GA142" s="162" t="e">
        <f t="shared" ca="1" si="508"/>
        <v>#N/A</v>
      </c>
      <c r="GB142" s="162" t="e">
        <f ca="1">IF(Control!$B$34=1,VLOOKUP($CP142,Control!$B$86:$G$91,5),Control!$B$38)</f>
        <v>#N/A</v>
      </c>
      <c r="GC142" s="162" t="e">
        <f t="shared" ca="1" si="631"/>
        <v>#N/A</v>
      </c>
      <c r="GD142" s="162">
        <f t="shared" ca="1" si="509"/>
        <v>1</v>
      </c>
      <c r="GE142" s="162">
        <f t="shared" ca="1" si="510"/>
        <v>1</v>
      </c>
      <c r="GF142" s="162">
        <f ca="1">IF(AND(Control!$C$104=1, Control!$C$62="F"),$GE142,1)</f>
        <v>1</v>
      </c>
      <c r="GG142" s="162" t="e">
        <f ca="1">IF(Control!$B$16=40,0,IF(AND(Control!$B$16&gt;40,Control!$B$16&lt;=360),(Control!$B$16-40)*((1-0)/(360-40)),IF(AND(Control!$B$16&gt;360,Control!$B$16&lt;=720),(1+(Control!$B$16-360)*((1.25-1)/(720-360))),IF(AND(Control!$B$16&gt;720,Control!$B$16&lt;=1000),(1.25+(Control!$B$16-720)*((1.35-1.25)/(1000-720))),IF(AND(Control!$B$16&gt;1000,Control!$B$16&lt;=2000),(1.35+(Control!$B$16-1000)*0))))))</f>
        <v>#N/A</v>
      </c>
      <c r="GH142" s="162" t="e">
        <f t="shared" ca="1" si="511"/>
        <v>#N/A</v>
      </c>
      <c r="GI142" s="162">
        <f t="shared" ca="1" si="632"/>
        <v>0</v>
      </c>
      <c r="GJ142" s="162">
        <f t="shared" ca="1" si="512"/>
        <v>0</v>
      </c>
      <c r="GK142" s="162">
        <f t="shared" ca="1" si="633"/>
        <v>1</v>
      </c>
      <c r="GL142" s="162">
        <f t="shared" ca="1" si="513"/>
        <v>1</v>
      </c>
      <c r="GM142" s="162" t="e">
        <f ca="1">MAX(0,MIN(1,1-Control!$C$156*(1.0001-$KH142)^2))</f>
        <v>#N/A</v>
      </c>
      <c r="GN142" s="162" t="e">
        <f ca="1">IF(Control!$B$26=1,$KU142,$KX142)</f>
        <v>#N/A</v>
      </c>
      <c r="GO142" s="162" t="e">
        <f ca="1">IF($CP142&lt;=60,Control!$C$105,IF($CP142&gt;=90,Control!$C$106,Control!$C$105+($CP142-60)*((Control!$C$106-Control!$C$105)/(90-60))))</f>
        <v>#N/A</v>
      </c>
      <c r="GP142" s="162" t="e">
        <f t="shared" ca="1" si="514"/>
        <v>#N/A</v>
      </c>
      <c r="GQ142" s="162" t="e">
        <f t="shared" ca="1" si="634"/>
        <v>#N/A</v>
      </c>
      <c r="GR142" s="163" t="e">
        <f t="shared" ca="1" si="515"/>
        <v>#DIV/0!</v>
      </c>
      <c r="GS142" s="162" t="e">
        <f t="shared" ca="1" si="516"/>
        <v>#DIV/0!</v>
      </c>
      <c r="GT142" s="164" t="e">
        <f t="shared" ca="1" si="635"/>
        <v>#N/A</v>
      </c>
      <c r="GU142" s="162" t="e">
        <f t="shared" ca="1" si="636"/>
        <v>#N/A</v>
      </c>
      <c r="GV142" s="162" t="e">
        <f t="shared" ca="1" si="517"/>
        <v>#N/A</v>
      </c>
      <c r="GW142" s="162" t="e">
        <f t="shared" ca="1" si="518"/>
        <v>#DIV/0!</v>
      </c>
      <c r="GX142" s="162" t="e">
        <f t="shared" ca="1" si="637"/>
        <v>#DIV/0!</v>
      </c>
      <c r="GY142" s="162" t="e">
        <f t="shared" ca="1" si="638"/>
        <v>#DIV/0!</v>
      </c>
      <c r="GZ142" s="165" t="e">
        <f t="shared" ca="1" si="519"/>
        <v>#N/A</v>
      </c>
      <c r="HA142" s="162" t="e">
        <f ca="1">IF(Control!$C$114=1, $DI142*$FS142, 0)</f>
        <v>#N/A</v>
      </c>
      <c r="HB142" s="162" t="e">
        <f ca="1">$FA142/Control!$C$64</f>
        <v>#N/A</v>
      </c>
      <c r="HC142" s="162" t="e">
        <f t="shared" ca="1" si="520"/>
        <v>#DIV/0!</v>
      </c>
      <c r="HD142" s="162">
        <f ca="1">-ASIN(SIN(23.45*Control!$C$139)*COS(2*Control!$C$138*($AH142+10)/365))</f>
        <v>0.33610228180469048</v>
      </c>
      <c r="HE142" s="165">
        <f t="shared" ca="1" si="639"/>
        <v>0</v>
      </c>
      <c r="HF142" s="166">
        <f ca="1">IF(AND(Control!$C$61="T",$HE142&gt;=Control!$C$103,Control!$C$114=0),$AH142,Control!$C$59)</f>
        <v>1</v>
      </c>
      <c r="HG142" s="166">
        <f ca="1">IF(AND(Control!$C$61="T",$HE142&gt;=Control!$C$103,Control!$C$114=0),$HF142,Control!$C$59)</f>
        <v>1</v>
      </c>
      <c r="HH142" s="165">
        <f ca="1">IF(AND(OR(Control!$C$60&lt;=0, $AH142= Control!$C$59, Control!$C$60 &gt;0, $AH142 = Control!$C$60)), Control!$C$59, IF(Control!$C$60&gt;0, 0))</f>
        <v>1</v>
      </c>
      <c r="HI142" s="165">
        <f ca="1">IF(AND(OR(Control!$C$60&lt;=0, $AH142= Control!$C$59, Control!$C$60 &gt;0, $AH142 = Control!$C$60)), Control!$C$60, IF(Control!$C$60&lt;=0, 0))</f>
        <v>0</v>
      </c>
      <c r="HJ142" s="166">
        <f ca="1">IF(AND(Control!$C$62="F",$CV142&gt;=Control!$C$102),$AH142,0)</f>
        <v>0</v>
      </c>
      <c r="HK142" s="165" t="e">
        <f t="shared" ca="1" si="676"/>
        <v>#N/A</v>
      </c>
      <c r="HL142" s="166">
        <f ca="1">IF(AND(Control!$C$61="T",$HE142&gt;=Control!$C$103,Control!$C$114=0),$HF142,0)</f>
        <v>0</v>
      </c>
      <c r="HM142" s="201" t="e">
        <f t="shared" ca="1" si="521"/>
        <v>#DIV/0!</v>
      </c>
      <c r="HN142" s="215">
        <f t="shared" ca="1" si="640"/>
        <v>138</v>
      </c>
      <c r="HO142" s="216" t="e">
        <f ca="1">IF(AND($CP142&gt;=0, $CP142&lt;=90), Control!$C$152, Control!$C$152)</f>
        <v>#N/A</v>
      </c>
      <c r="HP142" s="216" t="e">
        <f t="shared" ca="1" si="522"/>
        <v>#N/A</v>
      </c>
      <c r="HQ142" s="217" t="e">
        <f ca="1">IF(OR(Control!$B$26=1,Control!$B$26=2),$KV142,$KS142)</f>
        <v>#DIV/0!</v>
      </c>
      <c r="HR142" s="218" t="e">
        <f t="shared" ca="1" si="677"/>
        <v>#DIV/0!</v>
      </c>
      <c r="HS142" s="216" t="e">
        <f ca="1">Control!$C$154*$HP142</f>
        <v>#N/A</v>
      </c>
      <c r="HT142" s="216" t="e">
        <f ca="1">Control!$C$155*$HP142</f>
        <v>#N/A</v>
      </c>
      <c r="HU142" s="217" t="e">
        <f ca="1">Control!$C$161*$FI142</f>
        <v>#N/A</v>
      </c>
      <c r="HV142" s="218" t="e">
        <f t="shared" ca="1" si="641"/>
        <v>#N/A</v>
      </c>
      <c r="HW142" s="218" t="e">
        <f ca="1">Control!$C$160*$FF142+$IP142*$EO142</f>
        <v>#N/A</v>
      </c>
      <c r="HX142" s="218" t="e">
        <f t="shared" ca="1" si="678"/>
        <v>#N/A</v>
      </c>
      <c r="HY142" s="219" t="e">
        <f ca="1">IF(Control!$C$114=1, $EB142*$FS142, 0)</f>
        <v>#N/A</v>
      </c>
      <c r="HZ142" s="91" t="e">
        <f t="shared" ca="1" si="523"/>
        <v>#N/A</v>
      </c>
      <c r="IA142" s="220" t="e">
        <f ca="1">Control!$C$153*$HO142</f>
        <v>#N/A</v>
      </c>
      <c r="IB142" s="218" t="e">
        <f t="shared" ca="1" si="524"/>
        <v>#N/A</v>
      </c>
      <c r="IC142" s="220" t="e">
        <f ca="1">Control!$C$153*$HT142</f>
        <v>#N/A</v>
      </c>
      <c r="ID142" s="218" t="e">
        <f t="shared" ca="1" si="525"/>
        <v>#N/A</v>
      </c>
      <c r="IE142" s="221" t="e">
        <f ca="1">($EB142*Control!$C$159+$EF142*Control!$C$160)/(IF($GZ142&lt;&gt;0,$GZ142,1))</f>
        <v>#N/A</v>
      </c>
      <c r="IF142" s="216" t="e">
        <f t="shared" ca="1" si="526"/>
        <v>#N/A</v>
      </c>
      <c r="IG142" s="91">
        <f ca="1">IF(OR(Control!$B$198=$AH142,Control!$B$199=$AH142, Control!$B$200=$AH142, Control!$B$201=$AH142, Control!$B$202=$AH142, Control!$B$203=$AH142, Control!$B$204=$AH142, Control!$B$205=$AH142, Control!$B$206=$AH142, Control!$B$207=$AH142), 1, 0)</f>
        <v>0</v>
      </c>
      <c r="IH142" s="91">
        <f ca="1">IF($IG142=0,0, VLOOKUP($AH142,Control!$B$198:$C$207,2))</f>
        <v>0</v>
      </c>
      <c r="II142" s="222">
        <f t="shared" ca="1" si="642"/>
        <v>0</v>
      </c>
      <c r="IJ142" s="91">
        <f>Control!$C$121</f>
        <v>0.7</v>
      </c>
      <c r="IK142" s="218">
        <f t="shared" ca="1" si="527"/>
        <v>0</v>
      </c>
      <c r="IL142" s="217" t="e">
        <f t="shared" ca="1" si="679"/>
        <v>#N/A</v>
      </c>
      <c r="IM142" s="223" t="e">
        <f ca="1">IF(AND(Control!$C$114=1,$KH142&lt;1),$EB142*Control!$C$148*(1-$KH142), 0)</f>
        <v>#N/A</v>
      </c>
      <c r="IN142" s="217" t="e">
        <f t="shared" ca="1" si="528"/>
        <v>#DIV/0!</v>
      </c>
      <c r="IO142" s="91" t="e">
        <f ca="1">MAX(0,$IL142-$EF142*Control!$C$160)</f>
        <v>#N/A</v>
      </c>
      <c r="IP142" s="220" t="e">
        <f t="shared" ca="1" si="529"/>
        <v>#N/A</v>
      </c>
      <c r="IQ142" s="217" t="e">
        <f t="shared" ca="1" si="643"/>
        <v>#N/A</v>
      </c>
      <c r="IR142" s="218" t="e">
        <f t="shared" ca="1" si="530"/>
        <v>#N/A</v>
      </c>
      <c r="IS142" s="217" t="e">
        <f ca="1">Control!$C$159*MAX(0,$FD142-$EN142)</f>
        <v>#N/A</v>
      </c>
      <c r="IT142" s="217" t="e">
        <f t="shared" ca="1" si="680"/>
        <v>#N/A</v>
      </c>
      <c r="IU142" s="217" t="e">
        <f t="shared" ca="1" si="644"/>
        <v>#N/A</v>
      </c>
      <c r="IV142" s="217" t="e">
        <f t="shared" ca="1" si="681"/>
        <v>#N/A</v>
      </c>
      <c r="IW142" s="217" t="e">
        <f ca="1">IF(OR($AW142=1,AND($AW142=0, Control!$B$18=1,$EN142&lt;&gt;0)), $IQ142-$IU142, $IQ142)</f>
        <v>#N/A</v>
      </c>
      <c r="IX142" s="218" t="e">
        <f t="shared" ca="1" si="531"/>
        <v>#N/A</v>
      </c>
      <c r="IY142" s="218" t="e">
        <f ca="1">MAX(0,$IQ142-$EB142*Control!$C$159)</f>
        <v>#N/A</v>
      </c>
      <c r="IZ142" s="218" t="e">
        <f t="shared" ca="1" si="532"/>
        <v>#N/A</v>
      </c>
      <c r="JA142" s="216" t="e">
        <f t="shared" ca="1" si="533"/>
        <v>#N/A</v>
      </c>
      <c r="JB142" s="217" t="e">
        <f t="shared" ca="1" si="534"/>
        <v>#N/A</v>
      </c>
      <c r="JC142" s="222" t="e">
        <f ca="1">MAX(Control!$C$157*$EK142-$JT142, 0)/Control!$C$162</f>
        <v>#N/A</v>
      </c>
      <c r="JD142" s="218" t="e">
        <f t="shared" ca="1" si="535"/>
        <v>#N/A</v>
      </c>
      <c r="JE142" s="218" t="e">
        <f t="shared" ca="1" si="536"/>
        <v>#N/A</v>
      </c>
      <c r="JF142" s="218" t="e">
        <f t="shared" ca="1" si="645"/>
        <v>#N/A</v>
      </c>
      <c r="JG142" s="218" t="e">
        <f t="shared" ca="1" si="537"/>
        <v>#N/A</v>
      </c>
      <c r="JH142" s="217" t="e">
        <f t="shared" ca="1" si="646"/>
        <v>#N/A</v>
      </c>
      <c r="JI142" s="217" t="e">
        <f t="shared" ca="1" si="647"/>
        <v>#N/A</v>
      </c>
      <c r="JJ142" s="217" t="e">
        <f t="shared" ca="1" si="682"/>
        <v>#N/A</v>
      </c>
      <c r="JK142" s="217" t="e">
        <f ca="1">IF(Control!$C$114=1,IF(Control!$B$24=0,MAX(0,$JI142)*$GN142/Control!$C$64,(MAX(0,MIN($JI142,$JJ142*$GN142/Control!$C$64),0))))</f>
        <v>#N/A</v>
      </c>
      <c r="JL142" s="217" t="e">
        <f ca="1">$IK142/Control!$C$64-$JK142+$HQ142</f>
        <v>#N/A</v>
      </c>
      <c r="JM142" s="217" t="e">
        <f ca="1">IF(Control!$C$114=1,($JB142/(IF($JI142&lt;&gt;0,$JI142,1)))*$JK142,0)</f>
        <v>#N/A</v>
      </c>
      <c r="JN142" s="217" t="e">
        <f ca="1">IF(Control!$C$114=1,($JG142/(IF($JI142&lt;&gt;0,$JI142,1)))*$JK142, 0)</f>
        <v>#N/A</v>
      </c>
      <c r="JO142" s="218" t="e">
        <f t="shared" ca="1" si="538"/>
        <v>#N/A</v>
      </c>
      <c r="JP142" s="218" t="e">
        <f ca="1">MIN(($IY142+$IO142)*Control!$C$151, $JF142-$EH142*Control!$C$161)</f>
        <v>#N/A</v>
      </c>
      <c r="JQ142" s="218" t="e">
        <f t="shared" ca="1" si="539"/>
        <v>#N/A</v>
      </c>
      <c r="JR142" s="217" t="e">
        <f ca="1">IF($CP142-Control!$C$150&lt;0, 0, $JQ142/Control!$C$162)</f>
        <v>#N/A</v>
      </c>
      <c r="JS142" s="218" t="e">
        <f t="shared" ca="1" si="540"/>
        <v>#N/A</v>
      </c>
      <c r="JT142" s="218" t="e">
        <f t="shared" ca="1" si="648"/>
        <v>#N/A</v>
      </c>
      <c r="JU142" s="218" t="e">
        <f t="shared" ca="1" si="541"/>
        <v>#N/A</v>
      </c>
      <c r="JV142" s="218" t="e">
        <f t="shared" ca="1" si="542"/>
        <v>#N/A</v>
      </c>
      <c r="JW142" s="216" t="e">
        <f t="shared" ca="1" si="543"/>
        <v>#N/A</v>
      </c>
      <c r="JX142" s="91" t="e">
        <f t="shared" ca="1" si="544"/>
        <v>#N/A</v>
      </c>
      <c r="JY142" s="218" t="e">
        <f t="shared" ca="1" si="545"/>
        <v>#N/A</v>
      </c>
      <c r="JZ142" s="217" t="e">
        <f ca="1">IF(Control!$C$114=1,($IZ142/(IF($JI142&lt;&gt;0,$JI142,1)))*$JK142, 0)</f>
        <v>#N/A</v>
      </c>
      <c r="KA142" s="218" t="e">
        <f t="shared" ca="1" si="683"/>
        <v>#N/A</v>
      </c>
      <c r="KB142" s="218" t="e">
        <f t="shared" ca="1" si="649"/>
        <v>#N/A</v>
      </c>
      <c r="KC142" s="218" t="e">
        <f t="shared" ca="1" si="546"/>
        <v>#N/A</v>
      </c>
      <c r="KD142" s="218" t="e">
        <f t="shared" ca="1" si="547"/>
        <v>#N/A</v>
      </c>
      <c r="KE142" s="218" t="e">
        <f t="shared" ca="1" si="548"/>
        <v>#N/A</v>
      </c>
      <c r="KF142" s="218" t="e">
        <f t="shared" ca="1" si="549"/>
        <v>#N/A</v>
      </c>
      <c r="KG142" s="216" t="e">
        <f t="shared" ca="1" si="550"/>
        <v>#N/A</v>
      </c>
      <c r="KH142" s="221" t="e">
        <f ca="1">IF(Control!$B$24=0,1,MAX(0.001,MIN(1,IF(($IF142-$IE142)&lt;&gt;0,($KG142-$IE142)/($IF142-$IE142),1))))</f>
        <v>#N/A</v>
      </c>
      <c r="KI142" s="222" t="e">
        <f ca="1">IF(Control!$C$114=1, $KI141+ $KH141, 0)</f>
        <v>#N/A</v>
      </c>
      <c r="KJ142" s="217" t="e">
        <f t="shared" ca="1" si="551"/>
        <v>#N/A</v>
      </c>
      <c r="KK142" s="218" t="e">
        <f t="shared" ca="1" si="552"/>
        <v>#N/A</v>
      </c>
      <c r="KL142" s="274" t="e">
        <f ca="1">IF(Control!$B$26=3,4000000000*EXP(-8400/($G142+273)),IF(Control!$B$26=4,4000000000*EXP(-8400/($G142+273))*($KT142),0))</f>
        <v>#DIV/0!</v>
      </c>
      <c r="KM142" s="274" t="e">
        <f ca="1">IF(Control!$B$26=3,5600000000000*EXP(-9800/($G142+273)),IF(Control!$B$26=4,5600000000000*EXP(-9800/($G142+273))*$KT142,0))</f>
        <v>#DIV/0!</v>
      </c>
      <c r="KN142" s="454" t="e">
        <f t="shared" ca="1" si="650"/>
        <v>#DIV/0!</v>
      </c>
      <c r="KO142" s="274" t="e">
        <f t="shared" ca="1" si="651"/>
        <v>#DIV/0!</v>
      </c>
      <c r="KP142" s="454" t="e">
        <f t="shared" ca="1" si="553"/>
        <v>#DIV/0!</v>
      </c>
      <c r="KQ142" s="454" t="e">
        <f t="shared" ca="1" si="554"/>
        <v>#DIV/0!</v>
      </c>
      <c r="KR142" s="454" t="e">
        <f t="shared" ca="1" si="555"/>
        <v>#DIV/0!</v>
      </c>
      <c r="KS142" s="454" t="e">
        <f t="shared" ca="1" si="556"/>
        <v>#DIV/0!</v>
      </c>
      <c r="KT142" s="455" t="e">
        <f t="shared" ca="1" si="557"/>
        <v>#DIV/0!</v>
      </c>
      <c r="KU142" s="456" t="e">
        <f ca="1">IF($CP142-Control!$C$149&lt;0, IF($NT142-0.01&lt;0,0,1),0)</f>
        <v>#N/A</v>
      </c>
      <c r="KV142" s="456" t="e">
        <f ca="1">IF(Control!$C$114=1,MAX(0,MIN(Control!$C$125*$KW142*$GN142,$KW142)))</f>
        <v>#DIV/0!</v>
      </c>
      <c r="KW142" s="456" t="e">
        <f t="shared" ca="1" si="684"/>
        <v>#DIV/0!</v>
      </c>
      <c r="KX142" s="457" t="e">
        <f ca="1">IF($CP142-Control!$C$149&lt;0, IF($MR142-$OM142&lt;0,0,1),0)</f>
        <v>#N/A</v>
      </c>
      <c r="KY142" s="167">
        <f t="shared" ca="1" si="652"/>
        <v>138</v>
      </c>
      <c r="KZ142" s="168">
        <f ca="1">1370*(1+0.033*COS(2*Control!$C$138*$AH142/365))</f>
        <v>1337.4184640545125</v>
      </c>
      <c r="LA142" s="169">
        <f t="shared" ca="1" si="653"/>
        <v>0.9762179840647226</v>
      </c>
      <c r="LB142" s="169">
        <f t="shared" ca="1" si="654"/>
        <v>0.34093496601403311</v>
      </c>
      <c r="LC142" s="169">
        <f ca="1">ACOS(-TAN((2*Control!$B$8/360))*TAN(Calculations!$LB142))</f>
        <v>1.6764371655203372</v>
      </c>
      <c r="LD142" s="169">
        <f ca="1">((24*60)/PI())*0.082*$LA142*(($LC142*SIN(Control!$B$8*2*PI()/360))*SIN($LB142)+COS(Control!$B$8*2*PI()/360)*COS($LB142)*SIN($LC142))</f>
        <v>37.378611386190869</v>
      </c>
      <c r="LE142" s="170">
        <f t="shared" ca="1" si="558"/>
        <v>38.426419413046425</v>
      </c>
      <c r="LF142" s="170">
        <f ca="1">SIN(Control!$C$139*Control!$B$8)*SIN($HD142)</f>
        <v>0.25989423885215845</v>
      </c>
      <c r="LG142" s="170">
        <f ca="1">COS(Control!$C$139*Control!$B$8)*COS($HD142)</f>
        <v>0.58121199911264543</v>
      </c>
      <c r="LH142" s="170">
        <f ca="1">12*(1+2*ASIN(MAX(-1,MIN(1,$LF142/$LG142))/Control!$C$138))</f>
        <v>15.427676765596413</v>
      </c>
      <c r="LI142" s="170">
        <f ca="1">12*(1+2*ASIN(MAX(-1,MIN(1,(-SIN(-4*Control!$C$139)+$LF142)/$LG142))/Control!$C$138))</f>
        <v>16.356803371259215</v>
      </c>
      <c r="LJ142" s="168">
        <f ca="1">3600*($LH142*$LF142+24*$LG142*SQRT(1-$LK142*$LK142)/Control!$C$138)</f>
        <v>28731.784737406007</v>
      </c>
      <c r="LK142" s="170">
        <f t="shared" ca="1" si="559"/>
        <v>0.44715910760436317</v>
      </c>
      <c r="LL142" s="170">
        <f t="shared" ca="1" si="560"/>
        <v>0</v>
      </c>
      <c r="LM142" s="171">
        <f ca="1">Control!$C$145*$AB142</f>
        <v>6.6660906138995932E-2</v>
      </c>
      <c r="LN142" s="170">
        <f t="shared" ca="1" si="655"/>
        <v>0.54</v>
      </c>
      <c r="LO142" s="170">
        <f t="shared" ca="1" si="561"/>
        <v>0</v>
      </c>
      <c r="LP142" s="170">
        <f ca="1">Control!$C$140*((($D142+273.16)^4+($E142+273.16)^4)/2)*(0.34-0.14*SQRT($Y142))*(1.35*$AQ142/(0.75*$LD142)-0.35)</f>
        <v>-3.2464704755046001</v>
      </c>
      <c r="LQ142" s="170">
        <f ca="1">Control!$C$140*($G142+273)^4*(0.56-0.079*SQRT($Y142*10))*(0.1+0.9*$LO142)</f>
        <v>1.5241745131704001</v>
      </c>
      <c r="LR142" s="170">
        <f ca="1">$AQ142*(1-Control!$C$142)-$LQ142</f>
        <v>-1.5241745131704001</v>
      </c>
      <c r="LS142" s="170">
        <f ca="1">$AQ142*(1-Control!$C$143)-$LQ142</f>
        <v>-1.5241745131704001</v>
      </c>
      <c r="LT142" s="170">
        <f ca="1">$AQ142*(1-Control!$C$144)-$LQ142</f>
        <v>-1.5241745131704001</v>
      </c>
      <c r="LU142" s="169">
        <f ca="1">(1-Control!$C$144)*AQ142-LP142</f>
        <v>3.2464704755046001</v>
      </c>
      <c r="LV142" s="172">
        <f t="shared" ca="1" si="562"/>
        <v>0.79430000000000012</v>
      </c>
      <c r="LW142" s="170">
        <f t="shared" ca="1" si="563"/>
        <v>1.5886000000000002</v>
      </c>
      <c r="LX142" s="170">
        <f ca="1">($AC142*($LR142/Control!$C$141)+$LM142*$LV142)/($AC142+$LM142)</f>
        <v>0.23530094218323697</v>
      </c>
      <c r="LY142" s="170">
        <f ca="1">($AC142*($LS142/Control!$C$141)+$LM142*$LV142)/($AC142+$LM142)</f>
        <v>0.23530094218323697</v>
      </c>
      <c r="LZ142" s="170">
        <f t="shared" ca="1" si="564"/>
        <v>0.23530094218323697</v>
      </c>
      <c r="MA142" s="170">
        <f t="shared" ca="1" si="565"/>
        <v>0.23530094218323697</v>
      </c>
      <c r="MB142" s="170" t="e">
        <f t="shared" ca="1" si="566"/>
        <v>#N/A</v>
      </c>
      <c r="MC142" s="170">
        <f t="shared" ca="1" si="656"/>
        <v>0.6018</v>
      </c>
      <c r="MD142" s="170">
        <f t="shared" ca="1" si="567"/>
        <v>0.52989392535414004</v>
      </c>
      <c r="ME142" s="170">
        <f ca="1">($AC142*($LT142/Control!$C$141)+$LM142*$LW142)/($AC142+$LM142)</f>
        <v>0.71612369323045078</v>
      </c>
      <c r="MF142" s="170" t="e">
        <f ca="1">IF(Control!$B$16&gt;=1000,0.92,IF(AND(720&lt;=Control!$B$16,1000&gt;Control!$B$16),(0.95+(Control!$B$16-720)*((0.92-0.95)/(1000-720))),IF(AND(360&lt;=Control!$B$16,720&gt;Control!$B$16),(1+(Control!$B$16-360)*((0.95-1)/(720-360))),IF(AND(40&lt;=Control!$B$16,360&gt;Control!$B$16),(1.05+(Control!$B$16-40)*((1.05-1)/(360-40)))))))</f>
        <v>#N/A</v>
      </c>
      <c r="MG142" s="170">
        <f t="shared" ca="1" si="568"/>
        <v>0.71612369323045078</v>
      </c>
      <c r="MH142" s="170" t="e">
        <f t="shared" ca="1" si="464"/>
        <v>#N/A</v>
      </c>
      <c r="MI142" s="170" t="e">
        <f t="shared" ca="1" si="464"/>
        <v>#N/A</v>
      </c>
      <c r="MJ142" s="170" t="e">
        <f ca="1">MAX(0.0001, Control!$C$132*$MI142*$DL142)</f>
        <v>#N/A</v>
      </c>
      <c r="MK142" s="170">
        <f ca="1">1/(0.76+1.5*($MG142/10))-(5-Control!$C$110)*0.1</f>
        <v>1.002845988140797</v>
      </c>
      <c r="ML142" s="173">
        <f ca="1">IF(Control!$C$110&lt;3,$MK142+($MG142-0.6)/(Control!$C$110*(Control!$C$110+3)), MAX(0.1, MIN(0.95,$MK142)))</f>
        <v>0.95</v>
      </c>
      <c r="MM142" s="173">
        <f ca="1">IF(Control!$C$110&lt;3,$MK142+(($MI142/10)-0.6)/(Control!$C$110*(Control!$C$110+3)), MAX(0.1, MIN(0.95,$MK142)))</f>
        <v>0.95</v>
      </c>
      <c r="MN142" s="173">
        <f ca="1">(1-$MM142)*(Control!$C$128-Control!$C$127)+Control!$C$127</f>
        <v>0.16</v>
      </c>
      <c r="MO142" s="170" t="e">
        <f ca="1">MAX(0,MIN(1,($MS142-Control!$C$127)/($MN142-Control!$C$127)))</f>
        <v>#DIV/0!</v>
      </c>
      <c r="MP142" s="173" t="e">
        <f ca="1">1/(0.76+1.5*$MI142)-(5-Control!$C$110)*0.1</f>
        <v>#N/A</v>
      </c>
      <c r="MQ142" s="172" t="e">
        <f t="shared" ca="1" si="685"/>
        <v>#DIV/0!</v>
      </c>
      <c r="MR142" s="168" t="e">
        <f t="shared" ca="1" si="657"/>
        <v>#DIV/0!</v>
      </c>
      <c r="MS142" s="173" t="e">
        <f ca="1">MAX(Control!$C$127, MIN(Control!$C$135, $MR142/MAX(0.0001,$CY142)))</f>
        <v>#DIV/0!</v>
      </c>
      <c r="MT142" s="168" t="e">
        <f ca="1">(Control!$C$128-$MS142)*Control!$C$74</f>
        <v>#DIV/0!</v>
      </c>
      <c r="MU142" s="168" t="e">
        <f ca="1">(Control!$C$135-$MS142)*Control!$C$74</f>
        <v>#DIV/0!</v>
      </c>
      <c r="MV142" s="168" t="e">
        <f t="shared" ca="1" si="658"/>
        <v>#DIV/0!</v>
      </c>
      <c r="MW142" s="168" t="e">
        <f t="shared" ca="1" si="659"/>
        <v>#DIV/0!</v>
      </c>
      <c r="MX142" s="171" t="e">
        <f ca="1">MAX(Control!$C$127, MIN(Control!$C$135, $MW142/MAX(0.0001,Control!$C$119-$CY142)))</f>
        <v>#DIV/0!</v>
      </c>
      <c r="MY142" s="54" t="e">
        <f ca="1">IF(Control!$C$114=1, $CX142*$MX142, 0)</f>
        <v>#DIV/0!</v>
      </c>
      <c r="MZ142" s="54" t="e">
        <f t="shared" ca="1" si="660"/>
        <v>#N/A</v>
      </c>
      <c r="NA142" s="168" t="e">
        <f ca="1">(Control!$C$128-$MX142)*(Control!$C$119-Control!$C$74)</f>
        <v>#DIV/0!</v>
      </c>
      <c r="NB142" s="168" t="e">
        <f ca="1">(Control!$C$135-$MX142)*(Control!$C$119-Control!$C$74)</f>
        <v>#DIV/0!</v>
      </c>
      <c r="NC142" s="174" t="e">
        <f t="shared" ca="1" si="661"/>
        <v>#DIV/0!</v>
      </c>
      <c r="ND142" s="54">
        <f ca="1">IF(Control!$C$58=2, IF(OR(Control!$B$218=$AH142,Control!$B$219=$AH142, Control!$B$220=$AH142, Control!$B$221=$AH142, Control!$B$222=$AH142, Control!$B$223=$AH142, Control!$B$224=$AH142, Control!$B$225=$AH142, Control!$B$226=$AH142, Control!$B$227=$AH142, Control!$B$228=$AH142), 1, 0), 0)</f>
        <v>0</v>
      </c>
      <c r="NE142" s="54">
        <f ca="1">IF($ND142=0,0, VLOOKUP($AH142,Control!$B$218:$C$228,2))</f>
        <v>0</v>
      </c>
      <c r="NF142" s="168" t="e">
        <f ca="1">$CY142*(Control!$C$128-Control!$C$127)</f>
        <v>#N/A</v>
      </c>
      <c r="NG142" s="54" t="e">
        <f ca="1">IF(Control!$C$58=2, $NI141-$NJ141, 0)</f>
        <v>#DIV/0!</v>
      </c>
      <c r="NH142" s="54" t="e">
        <f ca="1">IF(AND(Control!$C$58=1, $MS141&lt;= ($MN141+0.02), $I141&lt;10), 0, IF(Control!$C$58=2, $NG141, 0))</f>
        <v>#DIV/0!</v>
      </c>
      <c r="NI142" s="54" t="e">
        <f ca="1">IF(Control!$C$58=2, $NE142+$NH142,0)</f>
        <v>#DIV/0!</v>
      </c>
      <c r="NJ142" s="54" t="e">
        <f ca="1">IF(AND(Control!$C$58=1, $MS142&lt;= ($MN142+0.02), $I142&lt;10), MAX(0, MIN(10, 0.7*($NF142-$MV142))), IF(Control!$C$58=2, MIN(10,$NI142),0))</f>
        <v>#DIV/0!</v>
      </c>
      <c r="NK142" s="54" t="e">
        <f t="shared" ca="1" si="569"/>
        <v>#DIV/0!</v>
      </c>
      <c r="NL142" s="173" t="e">
        <f ca="1">(1-Control!$C$73)*$I142+$NJ142</f>
        <v>#DIV/0!</v>
      </c>
      <c r="NM142" s="172" t="e">
        <f ca="1">IF($NL142&lt;0.5, $MB142* MAX(0, MIN(1, (SQRT($NC142)-SQRT($NC142-1))*Control!$C$71)),0)</f>
        <v>#DIV/0!</v>
      </c>
      <c r="NN142" s="170" t="e">
        <f ca="1">IF($NL142&gt;=5, $MB142, MAX(0,MIN($MB142, $NM142+$NL142,($MS142-Control!$C$129))))</f>
        <v>#DIV/0!</v>
      </c>
      <c r="NO142" s="54">
        <f>IF(Control!$C$133&lt;&gt;1, Control!$C$135-Control!$C$131, 0)</f>
        <v>0.38</v>
      </c>
      <c r="NP142" s="54" t="e">
        <f t="shared" ca="1" si="570"/>
        <v>#DIV/0!</v>
      </c>
      <c r="NQ142" s="173" t="e">
        <f ca="1">MAX(0,MIN(1,(Control!$C$135-$MS142)/(Control!$C$135-$NO142)))</f>
        <v>#DIV/0!</v>
      </c>
      <c r="NR142" s="170" t="e">
        <f ca="1">IF(Control!$C$133&lt;&gt;1, $NQ142+((1-$NP142/4)*(1-$NQ142)),1)</f>
        <v>#DIV/0!</v>
      </c>
      <c r="NS142" s="170" t="e">
        <f ca="1">IF(Control!$B$31=0,$MJ142,MAX(0,MIN($MV142,$MO142*$NR142*$MJ142)))</f>
        <v>#DIV/0!</v>
      </c>
      <c r="NT142" s="170" t="e">
        <f t="shared" ca="1" si="686"/>
        <v>#DIV/0!</v>
      </c>
      <c r="NU142" s="170" t="e">
        <f t="shared" ca="1" si="662"/>
        <v>#N/A</v>
      </c>
      <c r="NV142" s="170" t="e">
        <f t="shared" ca="1" si="571"/>
        <v>#N/A</v>
      </c>
      <c r="NW142" s="175" t="e">
        <f t="shared" ca="1" si="572"/>
        <v>#DIV/0!</v>
      </c>
      <c r="NX142" s="170" t="e">
        <f ca="1">MIN(Control!$C$72+$MU142, $NW142)</f>
        <v>#DIV/0!</v>
      </c>
      <c r="NY142" s="170" t="e">
        <f ca="1">IF($MT142&lt;=$NX142,MIN(Control!$C$72+$NB142,$NX142-$MT142),0)</f>
        <v>#DIV/0!</v>
      </c>
      <c r="NZ142" s="54" t="e">
        <f ca="1">IF(Control!$C$114=1,  $CX142*($MX142-Control!$C$127), 0)</f>
        <v>#DIV/0!</v>
      </c>
      <c r="OA142" s="170" t="e">
        <f t="shared" ca="1" si="573"/>
        <v>#DIV/0!</v>
      </c>
      <c r="OB142" s="170" t="e">
        <f ca="1">IF($NA142 &lt;=$NY142, MIN(Control!$C$72, $NY142-$NA142), 0)</f>
        <v>#DIV/0!</v>
      </c>
      <c r="OC142" s="168" t="e">
        <f t="shared" ca="1" si="574"/>
        <v>#DIV/0!</v>
      </c>
      <c r="OD142" s="168" t="e">
        <f t="shared" ca="1" si="663"/>
        <v>#DIV/0!</v>
      </c>
      <c r="OE142" s="170">
        <f ca="1">Control!$C$73*$I142</f>
        <v>0</v>
      </c>
      <c r="OF142" s="176" t="e">
        <f t="shared" ca="1" si="575"/>
        <v>#DIV/0!</v>
      </c>
      <c r="OG142" s="168" t="e">
        <f t="shared" ca="1" si="576"/>
        <v>#DIV/0!</v>
      </c>
      <c r="OH142" s="168" t="e">
        <f t="shared" ca="1" si="577"/>
        <v>#DIV/0!</v>
      </c>
      <c r="OI142" s="168" t="e">
        <f t="shared" ca="1" si="578"/>
        <v>#DIV/0!</v>
      </c>
      <c r="OJ142" s="168" t="e">
        <f t="shared" ca="1" si="579"/>
        <v>#DIV/0!</v>
      </c>
      <c r="OK142" s="204" t="e">
        <f t="shared" ca="1" si="580"/>
        <v>#DIV/0!</v>
      </c>
      <c r="OL142" s="177">
        <f>Control!$C$127</f>
        <v>0.15</v>
      </c>
      <c r="OM142" s="182" t="e">
        <f t="shared" ca="1" si="581"/>
        <v>#N/A</v>
      </c>
      <c r="ON142" s="177">
        <f>Control!$C$128</f>
        <v>0.35</v>
      </c>
      <c r="OO142" s="182" t="e">
        <f t="shared" ca="1" si="582"/>
        <v>#N/A</v>
      </c>
      <c r="OP142" s="138">
        <f t="shared" ca="1" si="664"/>
        <v>0</v>
      </c>
      <c r="OQ142" s="138" t="e">
        <f t="shared" ca="1" si="687"/>
        <v>#DIV/0!</v>
      </c>
      <c r="OR142" s="138" t="e">
        <f t="shared" ca="1" si="665"/>
        <v>#DIV/0!</v>
      </c>
      <c r="OS142" s="137" t="e">
        <f t="shared" ca="1" si="688"/>
        <v>#DIV/0!</v>
      </c>
      <c r="OT142" s="139" t="e">
        <f t="shared" ca="1" si="689"/>
        <v>#DIV/0!</v>
      </c>
      <c r="OU142" s="138" t="e">
        <f t="shared" ca="1" si="690"/>
        <v>#N/A</v>
      </c>
      <c r="OV142" s="138" t="e">
        <f t="shared" ca="1" si="691"/>
        <v>#DIV/0!</v>
      </c>
      <c r="OW142" s="138" t="e">
        <f t="shared" ca="1" si="666"/>
        <v>#DIV/0!</v>
      </c>
      <c r="OX142" s="138" t="e">
        <f t="shared" ca="1" si="667"/>
        <v>#DIV/0!</v>
      </c>
      <c r="OY142" s="138" t="e">
        <f t="shared" ca="1" si="668"/>
        <v>#DIV/0!</v>
      </c>
      <c r="OZ142" s="138" t="e">
        <f t="shared" ca="1" si="583"/>
        <v>#DIV/0!</v>
      </c>
      <c r="PA142" s="138" t="e">
        <f t="shared" ca="1" si="584"/>
        <v>#DIV/0!</v>
      </c>
      <c r="PB142" s="55">
        <f>IF(Control!$C$61="T", IF(Control!$C$65="F", IF($AH$6-Control!$C$60&lt;0,0,1), IF(365+$AH$6-Control!$C$60&lt;0,0,1)),0)</f>
        <v>0</v>
      </c>
      <c r="PC142" s="55">
        <f ca="1">IF(Control!$C$65="F", IF($AH$6-$HF142&lt;0,0,1), IF(365+$AH$6-$HF142&lt;0,0,1))</f>
        <v>1</v>
      </c>
      <c r="PD142" s="444">
        <f>Control!$C$118</f>
        <v>1500</v>
      </c>
      <c r="PE142" s="180" t="e">
        <f t="shared" ca="1" si="585"/>
        <v>#N/A</v>
      </c>
      <c r="PF142" s="445">
        <f t="shared" ca="1" si="669"/>
        <v>0.71612369323045078</v>
      </c>
      <c r="PT142" s="186"/>
      <c r="PU142" s="186"/>
      <c r="PV142" s="94"/>
      <c r="PW142" s="94"/>
      <c r="PX142" s="94"/>
      <c r="PY142" s="94"/>
      <c r="PZ142" s="94"/>
      <c r="QA142" s="94"/>
      <c r="QB142" s="94"/>
      <c r="QC142" s="94"/>
      <c r="QD142" s="94"/>
      <c r="QE142" s="94"/>
      <c r="QF142" s="94"/>
      <c r="QG142" s="94"/>
      <c r="QH142" s="94"/>
      <c r="QI142" s="94"/>
      <c r="QJ142" s="94"/>
      <c r="QK142" s="94"/>
      <c r="QL142" s="94"/>
      <c r="QM142" s="94"/>
      <c r="QN142" s="94"/>
      <c r="QO142" s="94"/>
      <c r="QP142" s="94"/>
    </row>
    <row r="143" spans="1:458" s="2" customFormat="1" x14ac:dyDescent="0.2">
      <c r="A143" s="395">
        <v>18</v>
      </c>
      <c r="B143" s="396">
        <v>5</v>
      </c>
      <c r="C143" s="387">
        <f ca="1">Weather_data!$B142</f>
        <v>0</v>
      </c>
      <c r="D143" s="388">
        <f ca="1">Weather_data!$F142</f>
        <v>0</v>
      </c>
      <c r="E143" s="388">
        <f ca="1">Weather_data!$E142</f>
        <v>0</v>
      </c>
      <c r="F143" s="388">
        <f t="shared" ca="1" si="586"/>
        <v>0</v>
      </c>
      <c r="G143" s="388">
        <f ca="1">AVERAGE($D143:$E143)+Control!$B$9</f>
        <v>0</v>
      </c>
      <c r="H143" s="388">
        <f ca="1">Weather_data!$G142</f>
        <v>0</v>
      </c>
      <c r="I143" s="388">
        <f ca="1">Weather_data!$I142</f>
        <v>0</v>
      </c>
      <c r="J143" s="388">
        <f ca="1">Weather_data!$H142</f>
        <v>0</v>
      </c>
      <c r="K143" s="389">
        <f ca="1">Weather_data!$D142</f>
        <v>0</v>
      </c>
      <c r="L143" s="388" t="e">
        <f t="shared" ca="1" si="587"/>
        <v>#N/A</v>
      </c>
      <c r="M143" s="388" t="e">
        <f t="shared" ca="1" si="465"/>
        <v>#N/A</v>
      </c>
      <c r="N143" s="388">
        <f t="shared" ca="1" si="466"/>
        <v>-2.6927361297543298E-7</v>
      </c>
      <c r="O143" s="388">
        <f t="shared" ca="1" si="588"/>
        <v>2.69273612975433E-6</v>
      </c>
      <c r="P143" s="390">
        <v>3</v>
      </c>
      <c r="Q143" s="388">
        <f ca="1">MAX($G143-Control!$C$107,0)</f>
        <v>0</v>
      </c>
      <c r="R143" s="388">
        <f t="shared" ca="1" si="589"/>
        <v>0</v>
      </c>
      <c r="S143" s="388">
        <f t="shared" ca="1" si="467"/>
        <v>0</v>
      </c>
      <c r="T143" s="388">
        <f t="shared" ca="1" si="468"/>
        <v>0</v>
      </c>
      <c r="U143" s="59">
        <f t="shared" ca="1" si="469"/>
        <v>0</v>
      </c>
      <c r="V143" s="391">
        <f ca="1">MAX(0,MIN(Control!$C$100-Control!$C$99,$G143-Control!$C$99)*Control!$C$63)</f>
        <v>0</v>
      </c>
      <c r="W143" s="388">
        <f t="shared" ca="1" si="590"/>
        <v>0</v>
      </c>
      <c r="X143" s="388">
        <f t="shared" ca="1" si="591"/>
        <v>0.6110000000000001</v>
      </c>
      <c r="Y143" s="388">
        <f t="shared" ca="1" si="470"/>
        <v>0</v>
      </c>
      <c r="Z143" s="388">
        <f t="shared" ca="1" si="592"/>
        <v>0.61058800000000002</v>
      </c>
      <c r="AA143" s="388">
        <f t="shared" ca="1" si="471"/>
        <v>0.6018</v>
      </c>
      <c r="AB143" s="388">
        <f ca="1">101.3*EXP(-0.034*Control!$C$66/($G143+273))</f>
        <v>100.69623283836242</v>
      </c>
      <c r="AC143" s="392">
        <f t="shared" ca="1" si="472"/>
        <v>4.3460251046025113E-2</v>
      </c>
      <c r="AD143" s="392">
        <f t="shared" ca="1" si="473"/>
        <v>4.4450382862832649E-2</v>
      </c>
      <c r="AE143" s="388">
        <f t="shared" ca="1" si="474"/>
        <v>0</v>
      </c>
      <c r="AF143" s="388">
        <f ca="1">MAX(0,$G143-Control!$C$92)</f>
        <v>0</v>
      </c>
      <c r="AG143" s="393">
        <f t="shared" ca="1" si="475"/>
        <v>139</v>
      </c>
      <c r="AH143" s="389">
        <f t="shared" ca="1" si="476"/>
        <v>139</v>
      </c>
      <c r="AI143" s="388">
        <f t="shared" ca="1" si="593"/>
        <v>0.34011371866034545</v>
      </c>
      <c r="AJ143" s="388">
        <f ca="1">IF(Control!$C$60&lt;=0,$HH143,$HI143)</f>
        <v>1</v>
      </c>
      <c r="AK143" s="388">
        <f t="shared" ca="1" si="477"/>
        <v>1.0156381729413577</v>
      </c>
      <c r="AL143" s="388">
        <f t="shared" ca="1" si="478"/>
        <v>-1.9837204795480901E-18</v>
      </c>
      <c r="AM143" s="388">
        <f t="shared" ca="1" si="479"/>
        <v>1.0156381729413577</v>
      </c>
      <c r="AN143" s="388">
        <f t="shared" ca="1" si="480"/>
        <v>0.34485183491284688</v>
      </c>
      <c r="AO143" s="388">
        <f ca="1">-0.10453/COS(Control!$B$8*PI()/180)*COS(AN143)</f>
        <v>-0.15978887393702537</v>
      </c>
      <c r="AP143" s="388">
        <f ca="1">ACOS(AO143-TAN(Control!$B$8*PI()/180)*TAN(AN143))</f>
        <v>2.2389664206549704</v>
      </c>
      <c r="AQ143" s="388">
        <f t="shared" ca="1" si="594"/>
        <v>0</v>
      </c>
      <c r="AR143" s="394">
        <f t="shared" ca="1" si="481"/>
        <v>0</v>
      </c>
      <c r="AS143" s="436">
        <f ca="1">IF(Control!$B$18=2,(IF(OR($AH143=Control!$B$175,$AH143=Control!$B$176,$AH143=Control!$B$177,$AH143=Control!$B$178,$AH143=Control!$B$179,$AH143=Control!$B$180,$AH143=Control!$B$181,$AH143=Control!$B$182,$AH143=Control!$B$183,$AH143=Control!$B$184,$AH143=Control!$B$185),1,0)),0)</f>
        <v>0</v>
      </c>
      <c r="AT143" s="436">
        <f>IF(Control!$B$20=8,IF(AND($AH143&gt;=Control!$B$172,$AH143&lt;=Control!$B$173),1,0),0)</f>
        <v>0</v>
      </c>
      <c r="AU143" s="436">
        <f>IF(Control!$B$20=8,IF($AV142=1,1*$AT143,IF($AT143=1,$AU142+1,$AU142)),0)</f>
        <v>0</v>
      </c>
      <c r="AV143" s="436">
        <f>IF(Control!$B$20=8,IF($AU143&gt;=Control!$B$174,1,0),0)</f>
        <v>0</v>
      </c>
      <c r="AW143" s="436">
        <f ca="1">IF(AND(Control!$B$18=2,Control!$B$171=1), $AV143, $AS143)</f>
        <v>0</v>
      </c>
      <c r="AX143" s="436" t="e">
        <f ca="1">IF(AND(Control!$B$18=1,$EU143&gt;=Control!$B$19),-$AY143,IF(AND(Control!$B$18=2,$AW143=1,$EU143&gt;$DS143),-$AY143, IF(Control!$C$108=0,0, IF(Control!$C$108&lt;&gt;0,1))))</f>
        <v>#N/A</v>
      </c>
      <c r="AY143" s="436" t="e">
        <f t="shared" ca="1" si="595"/>
        <v>#N/A</v>
      </c>
      <c r="AZ143" s="436" t="e">
        <f ca="1">IF(AND(Control!$B$18=1,$EB143&gt;Control!$B$19),$AZ142+1, IF(AND(Control!$B$18=2, $AW143=1, $EB143&gt;$DS143), $AZ142+1,$AZ142))</f>
        <v>#N/A</v>
      </c>
      <c r="BA143" s="587">
        <f>IF(Control!$C$81=0,1,IF($AH143&gt;=Control!$C$82,1,0))</f>
        <v>1</v>
      </c>
      <c r="BB143" s="140" t="e">
        <f ca="1">IF($BA143&gt;$BA142,Control!$C$83,IF($AW143&gt;0,$AW143*Control!$C$84,IF(AND(Control!$B$18=1,EN142&lt;&gt;0),Control!$C$84,0)))</f>
        <v>#N/A</v>
      </c>
      <c r="BC143" s="140" t="e">
        <f t="shared" ca="1" si="596"/>
        <v>#N/A</v>
      </c>
      <c r="BD143" s="140" t="e">
        <f ca="1">BC143*IF(OR($G143&lt;Control!$C$92,$G143&gt;Control!$C$95),0,IF(AND($G143&gt;=Control!$C$92,$G143&lt;=Control!$C$93),$G143-Control!$C$92,IF(AND($G143&gt;Control!$C$93,$G143&lt;=Control!$C$94),Control!$C$93-Control!$C$92,IF(AND($G143&gt;Control!$C$94,$G143&lt;=Control!$C$95),(Control!$C$93-Control!$C$92)*(Control!$C$94-$G143)/(Control!$C$95-Control!$C$94)))))</f>
        <v>#N/A</v>
      </c>
      <c r="BE143" s="140" t="e">
        <f t="shared" ca="1" si="597"/>
        <v>#N/A</v>
      </c>
      <c r="BF143" s="140" t="e">
        <f ca="1">IF($BE143&lt;=Control!$C$86,$BE143,Control!$C$86-$BE143)</f>
        <v>#N/A</v>
      </c>
      <c r="BG143" s="140" t="e">
        <f ca="1">IF(AND($AW143=1,Control!$C$84&lt;9),1,IF($BE143&gt;=Control!$C$86,0,$BC143))</f>
        <v>#N/A</v>
      </c>
      <c r="BH143" s="404" t="e">
        <f ca="1">IF($BG143=0,0,IF($BE143&lt;=Control!$C$86,$BC143*9*($BF143/Control!$C$86),0))</f>
        <v>#N/A</v>
      </c>
      <c r="BI143" s="140" t="e">
        <f ca="1">IF($BG143=1,0,IF($BE143&gt;=Control!$C$86,1,IF(AND($BB143&lt;21,$BB143&gt;=9),1,$BM142)))</f>
        <v>#N/A</v>
      </c>
      <c r="BJ143" s="140" t="e">
        <f ca="1">IF($BF143&lt;0,-$BF143,$BI143*IF(OR($G143&lt;Control!$C$92,$G143&gt;Control!$C$95),0,IF(AND($G143&gt;=Control!$C$92,$G143&lt;=Control!$C$93),$G143-Control!$C$92,IF(AND($G143&gt;Control!$C$93,$G143&lt;=Control!$C$94),Control!$C$93-Control!$C$92,IF(AND($G143&gt;Control!$C$94,$G143&lt;=Control!$C$95),(Control!$C$93-Control!$C$92)*(Control!$C$94-$G143)/(Control!$C$95-Control!$C$94))))))</f>
        <v>#N/A</v>
      </c>
      <c r="BK143" s="140" t="e">
        <f t="shared" ca="1" si="598"/>
        <v>#N/A</v>
      </c>
      <c r="BL143" s="140" t="e">
        <f ca="1">IF($BK143&lt;=Control!$C$87,$BK143,Control!$C$87-$BK143)</f>
        <v>#N/A</v>
      </c>
      <c r="BM143" s="140" t="e">
        <f ca="1">IF(AND($BB143&gt;=9,$BB143&lt;21),1,IF($BK143&gt;=Control!$C$87,0,$BI143))</f>
        <v>#N/A</v>
      </c>
      <c r="BN143" s="404" t="e">
        <f ca="1">IF($BM143=0,0,IF($BK143&lt;=Control!$C$87,$BI143*(9+(21-9)*($BL143/Control!$C$87)),0))</f>
        <v>#N/A</v>
      </c>
      <c r="BO143" s="140" t="e">
        <f ca="1">IF($BM143=1,0,IF($BK143&gt;=Control!$C$87,1,IF(AND($BB143&lt;30,$BB143&gt;=21),1,$BS142)))</f>
        <v>#N/A</v>
      </c>
      <c r="BP143" s="140" t="e">
        <f ca="1">IF($BL143&lt;0,-$BL143,$BO143*IF(OR($G143&lt;Control!$C$92,$G143&gt;Control!$C$95),0,IF(AND($G143&gt;=Control!$C$92,$G143&lt;=Control!$C$93),$G143-Control!$C$92,IF(AND($G143&gt;Control!$C$93,$G143&lt;=Control!$C$94),Control!$C$93-Control!$C$92,IF(AND($G143&gt;Control!$C$94,$G143&lt;=Control!$C$95),(Control!$C$93-Control!$C$92)*(Control!$C$94-$G143)/(Control!$C$95-Control!$C$94))))))</f>
        <v>#N/A</v>
      </c>
      <c r="BQ143" s="140" t="e">
        <f t="shared" ca="1" si="482"/>
        <v>#N/A</v>
      </c>
      <c r="BR143" s="140" t="e">
        <f ca="1">IF($BQ143&lt;=Control!$C$88,$BQ143,Control!$C$88-$BQ143)</f>
        <v>#N/A</v>
      </c>
      <c r="BS143" s="140" t="e">
        <f ca="1">IF(AND($BB143&gt;=21,$BB143&lt;30),1,IF($BQ143&gt;=Control!$C$88,0,$BO143))</f>
        <v>#N/A</v>
      </c>
      <c r="BT143" s="404" t="e">
        <f ca="1">IF($BS143=0,0,IF($BQ143&lt;=Control!$C$88,$BO143*(21+(30-21)*(BR143/Control!$C$88)),0))</f>
        <v>#N/A</v>
      </c>
      <c r="BU143" s="140" t="e">
        <f ca="1">IF(BG143+BM143+BS143=1,0,IF(OR(AND($BB143&lt;60,$BB143&gt;=30),$BQ143&gt;=Control!$C$88),1*$BA143,$BY142))</f>
        <v>#N/A</v>
      </c>
      <c r="BV143" s="140" t="e">
        <f ca="1">IF($BR143&lt;0,-$BR143,$BU143*IF(OR($G143&lt;Control!$C$92,$G143&gt;Control!$C$95),0,IF(AND($G143&gt;=Control!$C$92,$G143&lt;=Control!$C$93),$G143-Control!$C$92,IF(AND($G143&gt;Control!$C$93,$G143&lt;=Control!$C$94),Control!$C$93-Control!$C$92,IF(AND($G143&gt;Control!$C$94,$G143&lt;=Control!$C$95),(Control!$C$93-Control!$C$92)*(Control!$C$94-$G143)/(Control!$C$95-Control!$C$94))))))</f>
        <v>#N/A</v>
      </c>
      <c r="BW143" s="140" t="e">
        <f t="shared" ca="1" si="483"/>
        <v>#N/A</v>
      </c>
      <c r="BX143" s="140" t="e">
        <f ca="1">IF($BW143&lt;=Control!$C$89,$BW143,Control!$C$89-$BW143)</f>
        <v>#N/A</v>
      </c>
      <c r="BY143" s="140" t="e">
        <f ca="1">IF(AND($AJ143&gt;=30,$AJ143&lt;60),1,IF($BW143&gt;=Control!$C$89,0,$BU143))</f>
        <v>#N/A</v>
      </c>
      <c r="BZ143" s="404" t="e">
        <f ca="1">IF($BY143=0,0,IF($BW143&lt;=Control!$C$89,$BU143*(30+(60-30)*(BX143/Control!$C$89)),0))</f>
        <v>#N/A</v>
      </c>
      <c r="CA143" s="140" t="e">
        <f ca="1">IF($BG143+$BM143+$BS143+$BY143=1,0,IF(OR(AND($BB143&lt;65,$BB143&gt;=60),$BW143&gt;=Control!$C$89),1*$BA143,$CE142))</f>
        <v>#N/A</v>
      </c>
      <c r="CB143" s="140" t="e">
        <f ca="1">IF($BX143&lt;0,-$BX143,$CA143*IF(OR($G143&lt;Control!$C$92,$G143&gt;Control!$C$95),0,IF(AND($G143&gt;=Control!$C$92,$G143&lt;=Control!$C$93),$G143-Control!$C$92,IF(AND($G143&gt;Control!$C$93,$G143&lt;=Control!$C$94),Control!$C$93-Control!$C$92,IF(AND($G143&gt;Control!$C$94,$G143&lt;=Control!$C$95),(Control!$C$93-Control!$C$92)*(Control!$C$94-$G143)/(Control!$C$95-Control!$C$94))))))</f>
        <v>#N/A</v>
      </c>
      <c r="CC143" s="140" t="e">
        <f t="shared" ca="1" si="599"/>
        <v>#N/A</v>
      </c>
      <c r="CD143" s="140" t="e">
        <f ca="1">IF($CC143&lt;=Control!$C$90,$CC143,Control!$C$90-$CC143)</f>
        <v>#N/A</v>
      </c>
      <c r="CE143" s="140" t="e">
        <f ca="1">IF(AND($BB143&gt;=60,$BB143&lt;65),1,IF($CC143&gt;=Control!$C$90,0,$CA143))</f>
        <v>#N/A</v>
      </c>
      <c r="CF143" s="404" t="e">
        <f ca="1">IF($CE143=0,0,IF($CC143&lt;=Control!$C$90,$CA143*(60+(65-60)*(CD143/Control!$C$90)),0))</f>
        <v>#N/A</v>
      </c>
      <c r="CG143" s="140" t="e">
        <f ca="1">IF($BG143+$BM143+$BS143+$BY143+$CE143=1,0,IF(OR(AND($BB143&lt;90,$BB143&gt;=65),$CC143&gt;=Control!$C$90),$BA143,$CK142))</f>
        <v>#N/A</v>
      </c>
      <c r="CH143" s="140" t="e">
        <f ca="1">IF($CD143&lt;0,-$CD143,$CG143*IF(OR($G143&lt;Control!$C$92,$G143&gt;Control!$C$95),0,IF(AND($G143&gt;=Control!$C$92,$G143&lt;=Control!$C$93),$G143-Control!$C$92,IF(AND($G143&gt;Control!$C$93,$G143&lt;=Control!$C$94),Control!$C$93-Control!$C$92,IF(AND($G143&gt;Control!$C$94,$G143&lt;=Control!$C$95),(Control!$C$93-Control!$C$92)*(Control!$C$94-$G143)/(Control!$C$95-Control!$C$94))))))</f>
        <v>#N/A</v>
      </c>
      <c r="CI143" s="140" t="e">
        <f t="shared" ca="1" si="600"/>
        <v>#N/A</v>
      </c>
      <c r="CJ143" s="140" t="e">
        <f ca="1">IF($CI143&lt;=Control!$C$91,$CI143,Control!$C$91-$CI143)</f>
        <v>#N/A</v>
      </c>
      <c r="CK143" s="140" t="e">
        <f ca="1">IF(AND($BB143&gt;=65,$BB143&lt;90),1,IF($CI143&gt;=Control!$C$91,0,$CG143))</f>
        <v>#N/A</v>
      </c>
      <c r="CL143" s="404" t="e">
        <f ca="1">IF($CK143=0,0,IF($CI143&lt;=Control!$C$91,$CG143*(65+(90-65)*($CJ143/Control!$C$91)),0))</f>
        <v>#N/A</v>
      </c>
      <c r="CM143" s="140" t="e">
        <f ca="1">IF($BG143+$BM143+$BS143+$BY143+$CE143+$CK143=1,0,IF(OR($BB143&gt;=90,$CI143&gt;=Control!$C$91),$BA143,$CM142))</f>
        <v>#N/A</v>
      </c>
      <c r="CN143" s="140" t="e">
        <f t="shared" ca="1" si="601"/>
        <v>#N/A</v>
      </c>
      <c r="CO143" s="140" t="e">
        <f t="shared" ca="1" si="602"/>
        <v>#N/A</v>
      </c>
      <c r="CP143" s="140" t="e">
        <f t="shared" ca="1" si="603"/>
        <v>#N/A</v>
      </c>
      <c r="CQ143" s="141" t="e">
        <f ca="1">VLOOKUP($CP143,Control!$B$86:$G$91,6)</f>
        <v>#N/A</v>
      </c>
      <c r="CR143" s="141" t="e">
        <f ca="1">(1-$CQ143)*VLOOKUP($CP143,Control!$B$86:$D$91,3)</f>
        <v>#N/A</v>
      </c>
      <c r="CS143" s="141" t="e">
        <f ca="1">(1-$CQ143)*VLOOKUP($CP143,Control!$B$86:$E$91,4)</f>
        <v>#N/A</v>
      </c>
      <c r="CT143" s="141" t="e">
        <f ca="1">(1-$CQ143)*VLOOKUP($CP143,Control!$B$86:$F$91,5)</f>
        <v>#N/A</v>
      </c>
      <c r="CU143" s="141">
        <f t="shared" ca="1" si="604"/>
        <v>0</v>
      </c>
      <c r="CV143" s="583">
        <f t="shared" ca="1" si="605"/>
        <v>0</v>
      </c>
      <c r="CW143" s="142">
        <f t="shared" ca="1" si="606"/>
        <v>139</v>
      </c>
      <c r="CX143" s="612" t="e">
        <f ca="1">IF(Control!$C$114=1,(MIN(Control!$C$120*(IF($NT143-0.01&lt;0,0,1)),Control!$C$119-$CY143)))</f>
        <v>#DIV/0!</v>
      </c>
      <c r="CY143" s="143" t="e">
        <f t="shared" ca="1" si="607"/>
        <v>#N/A</v>
      </c>
      <c r="CZ143" s="144">
        <f t="shared" ca="1" si="484"/>
        <v>0</v>
      </c>
      <c r="DA143" s="144">
        <f t="shared" ca="1" si="485"/>
        <v>0</v>
      </c>
      <c r="DB143" s="144" t="e">
        <f t="shared" ca="1" si="486"/>
        <v>#N/A</v>
      </c>
      <c r="DC143" s="144" t="e">
        <f t="shared" ca="1" si="487"/>
        <v>#N/A</v>
      </c>
      <c r="DD143" s="144" t="e">
        <f t="shared" ca="1" si="692"/>
        <v>#N/A</v>
      </c>
      <c r="DE143" s="143" t="e">
        <f t="shared" ca="1" si="608"/>
        <v>#N/A</v>
      </c>
      <c r="DF143" s="145" t="e">
        <f ca="1">$DR143*EXP(-Control!$C$158*(1-$KH143))</f>
        <v>#N/A</v>
      </c>
      <c r="DG143" s="146" t="e">
        <f ca="1">IF(Control!$C$114=1, $DF143*$EY143, 0)</f>
        <v>#N/A</v>
      </c>
      <c r="DH143" s="147" t="e">
        <f t="shared" ca="1" si="609"/>
        <v>#N/A</v>
      </c>
      <c r="DI143" s="144" t="e">
        <f t="shared" ca="1" si="670"/>
        <v>#N/A</v>
      </c>
      <c r="DJ143" s="147" t="e">
        <f ca="1">$EF143*Control!$C$109</f>
        <v>#N/A</v>
      </c>
      <c r="DK143" s="144" t="e">
        <f t="shared" ca="1" si="610"/>
        <v>#N/A</v>
      </c>
      <c r="DL143" s="144" t="e">
        <f t="shared" ca="1" si="488"/>
        <v>#N/A</v>
      </c>
      <c r="DM143" s="144" t="e">
        <f ca="1">IF(Control!$C$114=1, (1-EXP(-Control!$C$96*$DK143))*$AR143, 0)</f>
        <v>#N/A</v>
      </c>
      <c r="DN143" s="144">
        <f t="shared" ca="1" si="611"/>
        <v>0</v>
      </c>
      <c r="DO143" s="148">
        <f>Control!$C$97</f>
        <v>4</v>
      </c>
      <c r="DP143" s="145" t="e">
        <f t="shared" ca="1" si="612"/>
        <v>#N/A</v>
      </c>
      <c r="DQ143" s="145" t="e">
        <f ca="1">IF(AND($CP143&gt;=0,$CP143&lt;=90),Control!$C$111,Control!$C$111)</f>
        <v>#N/A</v>
      </c>
      <c r="DR143" s="145" t="e">
        <f t="shared" ca="1" si="489"/>
        <v>#N/A</v>
      </c>
      <c r="DS143" s="143" t="e">
        <f ca="1">Control!$B$22/$DR143</f>
        <v>#N/A</v>
      </c>
      <c r="DT143" s="149" t="e">
        <f ca="1">IF(AND(Control!$C$114=1,$KH143&lt;1),$IM143*$DF143, 0)</f>
        <v>#N/A</v>
      </c>
      <c r="DU143" s="144" t="e">
        <f t="shared" ca="1" si="613"/>
        <v>#N/A</v>
      </c>
      <c r="DV143" s="144">
        <f ca="1">IF($G143-Control!$C$107&lt;=0, 0, 0.83*LN(MAX($G143, 3))-0.8924)</f>
        <v>0</v>
      </c>
      <c r="DW143" s="144" t="e">
        <f t="shared" ca="1" si="490"/>
        <v>#N/A</v>
      </c>
      <c r="DX143" s="150" t="e">
        <f ca="1">MAX(0.01*(1+$CU143/Control!$C$102),0.05*($DK143-Control!$C$97)/Control!$C$97)</f>
        <v>#N/A</v>
      </c>
      <c r="DY143" s="151" t="e">
        <f ca="1">IF(Control!$C$114=1, $DI143*$FS143, 0)</f>
        <v>#N/A</v>
      </c>
      <c r="DZ143" s="196" t="e">
        <f t="shared" ca="1" si="614"/>
        <v>#N/A</v>
      </c>
      <c r="EA143" s="152">
        <f t="shared" ca="1" si="615"/>
        <v>139</v>
      </c>
      <c r="EB143" s="153" t="e">
        <f t="shared" ca="1" si="616"/>
        <v>#N/A</v>
      </c>
      <c r="EC143" s="153" t="e">
        <f t="shared" ca="1" si="617"/>
        <v>#N/A</v>
      </c>
      <c r="ED143" s="154" t="e">
        <f ca="1">IF(Control!$C$114=1, $HM143*$FY143-$FD143, 0)</f>
        <v>#DIV/0!</v>
      </c>
      <c r="EE143" s="155" t="e">
        <f ca="1">IF(Control!$C$114=1, $HM143*$FZ143-$FF143, 0)</f>
        <v>#DIV/0!</v>
      </c>
      <c r="EF143" s="153" t="e">
        <f t="shared" ca="1" si="671"/>
        <v>#N/A</v>
      </c>
      <c r="EG143" s="155" t="e">
        <f ca="1">IF(Control!$C$114=1, $GX143*$FW143-$FI143, 0)</f>
        <v>#DIV/0!</v>
      </c>
      <c r="EH143" s="153" t="e">
        <f t="shared" ca="1" si="618"/>
        <v>#N/A</v>
      </c>
      <c r="EI143" s="156" t="e">
        <f t="shared" ca="1" si="619"/>
        <v>#N/A</v>
      </c>
      <c r="EJ143" s="155" t="e">
        <f ca="1">IF(Control!$C$114=1, $HM143*$GB143, 0)</f>
        <v>#DIV/0!</v>
      </c>
      <c r="EK143" s="153" t="e">
        <f t="shared" ca="1" si="672"/>
        <v>#N/A</v>
      </c>
      <c r="EL143" s="153" t="e">
        <f t="shared" ca="1" si="491"/>
        <v>#N/A</v>
      </c>
      <c r="EM143" s="153" t="e">
        <f t="shared" ca="1" si="492"/>
        <v>#N/A</v>
      </c>
      <c r="EN143" s="153" t="e">
        <f ca="1">IF(Control!$C$108=1,IF(AND(Control!$B$18=1,$EB143&gt;=Control!$B$19),$EB143-$DS143,IF(AND(Control!$B$18=2,$AW143=1,$EB143&gt;$DS143),$EB143-$DS143,0)))</f>
        <v>#N/A</v>
      </c>
      <c r="EO143" s="153" t="e">
        <f ca="1">IF(Control!$C$108=1,IF(AND(Control!$B$18=1,$EB143&gt;=Control!$B$19),$EF143,IF(AND(Control!$B$18=2,$AW143=1),$EF143,0)))</f>
        <v>#N/A</v>
      </c>
      <c r="EP143" s="153" t="e">
        <f ca="1">IF(Control!$C$108=1,IF(AND(Control!$B$18=1,$EB143&gt;=Control!$B$19),$EK143,IF(AND(Control!$B$18=2,$AW143=1),$EK143,0)))</f>
        <v>#N/A</v>
      </c>
      <c r="EQ143" s="153" t="e">
        <f t="shared" ca="1" si="620"/>
        <v>#N/A</v>
      </c>
      <c r="ER143" s="153" t="e">
        <f ca="1">$ER142+$EN142</f>
        <v>#N/A</v>
      </c>
      <c r="ES143" s="153" t="e">
        <f t="shared" ca="1" si="673"/>
        <v>#N/A</v>
      </c>
      <c r="ET143" s="153" t="e">
        <f t="shared" ca="1" si="674"/>
        <v>#N/A</v>
      </c>
      <c r="EU143" s="153" t="e">
        <f ca="1">ER143+ES143+ET143</f>
        <v>#N/A</v>
      </c>
      <c r="EV143" s="153" t="e">
        <f t="shared" ca="1" si="493"/>
        <v>#N/A</v>
      </c>
      <c r="EW143" s="153" t="e">
        <f t="shared" ca="1" si="494"/>
        <v>#N/A</v>
      </c>
      <c r="EX143" s="153" t="e">
        <f t="shared" ca="1" si="495"/>
        <v>#N/A</v>
      </c>
      <c r="EY143" s="157" t="e">
        <f t="shared" ca="1" si="496"/>
        <v>#DIV/0!</v>
      </c>
      <c r="EZ143" s="154" t="e">
        <f t="shared" ca="1" si="497"/>
        <v>#DIV/0!</v>
      </c>
      <c r="FA143" s="153" t="e">
        <f t="shared" ca="1" si="623"/>
        <v>#N/A</v>
      </c>
      <c r="FB143" s="153" t="e">
        <f t="shared" ca="1" si="498"/>
        <v>#N/A</v>
      </c>
      <c r="FC143" s="193" t="e">
        <f t="shared" ca="1" si="499"/>
        <v>#N/A</v>
      </c>
      <c r="FD143" s="158" t="e">
        <f t="shared" ca="1" si="624"/>
        <v>#N/A</v>
      </c>
      <c r="FE143" s="158" t="e">
        <f t="shared" ca="1" si="625"/>
        <v>#N/A</v>
      </c>
      <c r="FF143" s="159" t="e">
        <f t="shared" ca="1" si="500"/>
        <v>#N/A</v>
      </c>
      <c r="FG143" s="160" t="e">
        <f t="shared" ca="1" si="626"/>
        <v>#N/A</v>
      </c>
      <c r="FH143" s="158" t="e">
        <f t="shared" ca="1" si="627"/>
        <v>#N/A</v>
      </c>
      <c r="FI143" s="159" t="e">
        <f t="shared" ca="1" si="501"/>
        <v>#N/A</v>
      </c>
      <c r="FJ143" s="160" t="e">
        <f t="shared" ca="1" si="628"/>
        <v>#N/A</v>
      </c>
      <c r="FK143" s="160" t="e">
        <f t="shared" ca="1" si="502"/>
        <v>#N/A</v>
      </c>
      <c r="FL143" s="160" t="e">
        <f ca="1">$FL142+$FD142</f>
        <v>#N/A</v>
      </c>
      <c r="FM143" s="160" t="e">
        <f t="shared" ca="1" si="503"/>
        <v>#N/A</v>
      </c>
      <c r="FN143" s="158">
        <f t="shared" ca="1" si="629"/>
        <v>0.01</v>
      </c>
      <c r="FO143" s="160">
        <f>Control!$C$101</f>
        <v>50</v>
      </c>
      <c r="FP143" s="150" t="e">
        <f t="shared" ca="1" si="504"/>
        <v>#N/A</v>
      </c>
      <c r="FQ143" s="150" t="e">
        <f ca="1">MAX(0,(Control!$C$112*(($DK143-Control!$C$97)/Control!$C$97)))</f>
        <v>#N/A</v>
      </c>
      <c r="FR143" s="150" t="e">
        <f ca="1">(1-$NT143)*Control!$C$113</f>
        <v>#DIV/0!</v>
      </c>
      <c r="FS143" s="198" t="e">
        <f t="shared" ca="1" si="505"/>
        <v>#N/A</v>
      </c>
      <c r="FT143" s="161">
        <f t="shared" ca="1" si="630"/>
        <v>139</v>
      </c>
      <c r="FU143" s="162" t="e">
        <f ca="1">IF(Control!$B$34=1,VLOOKUP($CP143,Control!$B$86:$G$91,6),Control!$B$35)</f>
        <v>#N/A</v>
      </c>
      <c r="FV143" s="162" t="e">
        <f t="shared" ca="1" si="506"/>
        <v>#DIV/0!</v>
      </c>
      <c r="FW143" s="162" t="e">
        <f ca="1">IF(Control!$B$31=1,$FU143*$FV143,  $FU143)</f>
        <v>#N/A</v>
      </c>
      <c r="FX143" s="162" t="e">
        <f ca="1">IF(Control!$B$34=1,VLOOKUP($CP143,Control!$B$86:$G$91,3),Control!$B$36)</f>
        <v>#N/A</v>
      </c>
      <c r="FY143" s="162" t="e">
        <f t="shared" ca="1" si="507"/>
        <v>#N/A</v>
      </c>
      <c r="FZ143" s="162" t="e">
        <f ca="1">IF(Control!$B$34=1,VLOOKUP($CP143,Control!$B$86:$G$91,4),Control!$B$37)</f>
        <v>#N/A</v>
      </c>
      <c r="GA143" s="162" t="e">
        <f t="shared" ca="1" si="508"/>
        <v>#N/A</v>
      </c>
      <c r="GB143" s="162" t="e">
        <f ca="1">IF(Control!$B$34=1,VLOOKUP($CP143,Control!$B$86:$G$91,5),Control!$B$38)</f>
        <v>#N/A</v>
      </c>
      <c r="GC143" s="162" t="e">
        <f t="shared" ca="1" si="631"/>
        <v>#N/A</v>
      </c>
      <c r="GD143" s="162">
        <f t="shared" ca="1" si="509"/>
        <v>1</v>
      </c>
      <c r="GE143" s="162">
        <f t="shared" ca="1" si="510"/>
        <v>1</v>
      </c>
      <c r="GF143" s="162">
        <f ca="1">IF(AND(Control!$C$104=1, Control!$C$62="F"),$GE143,1)</f>
        <v>1</v>
      </c>
      <c r="GG143" s="162" t="e">
        <f ca="1">IF(Control!$B$16=40,0,IF(AND(Control!$B$16&gt;40,Control!$B$16&lt;=360),(Control!$B$16-40)*((1-0)/(360-40)),IF(AND(Control!$B$16&gt;360,Control!$B$16&lt;=720),(1+(Control!$B$16-360)*((1.25-1)/(720-360))),IF(AND(Control!$B$16&gt;720,Control!$B$16&lt;=1000),(1.25+(Control!$B$16-720)*((1.35-1.25)/(1000-720))),IF(AND(Control!$B$16&gt;1000,Control!$B$16&lt;=2000),(1.35+(Control!$B$16-1000)*0))))))</f>
        <v>#N/A</v>
      </c>
      <c r="GH143" s="162" t="e">
        <f t="shared" ca="1" si="511"/>
        <v>#N/A</v>
      </c>
      <c r="GI143" s="162">
        <f t="shared" ca="1" si="632"/>
        <v>0</v>
      </c>
      <c r="GJ143" s="162">
        <f t="shared" ca="1" si="512"/>
        <v>0</v>
      </c>
      <c r="GK143" s="162">
        <f t="shared" ca="1" si="633"/>
        <v>1</v>
      </c>
      <c r="GL143" s="162">
        <f t="shared" ca="1" si="513"/>
        <v>1</v>
      </c>
      <c r="GM143" s="162" t="e">
        <f ca="1">MAX(0,MIN(1,1-Control!$C$156*(1.0001-$KH143)^2))</f>
        <v>#N/A</v>
      </c>
      <c r="GN143" s="162" t="e">
        <f ca="1">IF(Control!$B$26=1,$KU143,$KX143)</f>
        <v>#N/A</v>
      </c>
      <c r="GO143" s="162" t="e">
        <f ca="1">IF($CP143&lt;=60,Control!$C$105,IF($CP143&gt;=90,Control!$C$106,Control!$C$105+($CP143-60)*((Control!$C$106-Control!$C$105)/(90-60))))</f>
        <v>#N/A</v>
      </c>
      <c r="GP143" s="162" t="e">
        <f t="shared" ca="1" si="514"/>
        <v>#N/A</v>
      </c>
      <c r="GQ143" s="162" t="e">
        <f t="shared" ca="1" si="634"/>
        <v>#N/A</v>
      </c>
      <c r="GR143" s="163" t="e">
        <f t="shared" ca="1" si="515"/>
        <v>#DIV/0!</v>
      </c>
      <c r="GS143" s="162" t="e">
        <f t="shared" ca="1" si="516"/>
        <v>#DIV/0!</v>
      </c>
      <c r="GT143" s="164" t="e">
        <f t="shared" ca="1" si="635"/>
        <v>#N/A</v>
      </c>
      <c r="GU143" s="162" t="e">
        <f t="shared" ca="1" si="636"/>
        <v>#N/A</v>
      </c>
      <c r="GV143" s="162" t="e">
        <f t="shared" ca="1" si="517"/>
        <v>#N/A</v>
      </c>
      <c r="GW143" s="162" t="e">
        <f t="shared" ca="1" si="518"/>
        <v>#DIV/0!</v>
      </c>
      <c r="GX143" s="162" t="e">
        <f t="shared" ca="1" si="637"/>
        <v>#DIV/0!</v>
      </c>
      <c r="GY143" s="162" t="e">
        <f t="shared" ca="1" si="638"/>
        <v>#DIV/0!</v>
      </c>
      <c r="GZ143" s="165" t="e">
        <f t="shared" ca="1" si="519"/>
        <v>#N/A</v>
      </c>
      <c r="HA143" s="162" t="e">
        <f ca="1">IF(Control!$C$114=1, $DI143*$FS143, 0)</f>
        <v>#N/A</v>
      </c>
      <c r="HB143" s="162" t="e">
        <f ca="1">$FA143/Control!$C$64</f>
        <v>#N/A</v>
      </c>
      <c r="HC143" s="162" t="e">
        <f t="shared" ca="1" si="520"/>
        <v>#DIV/0!</v>
      </c>
      <c r="HD143" s="162">
        <f ca="1">-ASIN(SIN(23.45*Control!$C$139)*COS(2*Control!$C$138*($AH143+10)/365))</f>
        <v>0.34011371866034545</v>
      </c>
      <c r="HE143" s="165">
        <f t="shared" ca="1" si="639"/>
        <v>0</v>
      </c>
      <c r="HF143" s="166">
        <f ca="1">IF(AND(Control!$C$61="T",$HE143&gt;=Control!$C$103,Control!$C$114=0),$AH143,Control!$C$59)</f>
        <v>1</v>
      </c>
      <c r="HG143" s="166">
        <f ca="1">IF(AND(Control!$C$61="T",$HE143&gt;=Control!$C$103,Control!$C$114=0),$HF143,Control!$C$59)</f>
        <v>1</v>
      </c>
      <c r="HH143" s="165">
        <f ca="1">IF(AND(OR(Control!$C$60&lt;=0, $AH143= Control!$C$59, Control!$C$60 &gt;0, $AH143 = Control!$C$60)), Control!$C$59, IF(Control!$C$60&gt;0, 0))</f>
        <v>1</v>
      </c>
      <c r="HI143" s="165">
        <f ca="1">IF(AND(OR(Control!$C$60&lt;=0, $AH143= Control!$C$59, Control!$C$60 &gt;0, $AH143 = Control!$C$60)), Control!$C$60, IF(Control!$C$60&lt;=0, 0))</f>
        <v>0</v>
      </c>
      <c r="HJ143" s="166">
        <f ca="1">IF(AND(Control!$C$62="F",$CV143&gt;=Control!$C$102),$AH143,0)</f>
        <v>0</v>
      </c>
      <c r="HK143" s="165" t="e">
        <f t="shared" ca="1" si="676"/>
        <v>#N/A</v>
      </c>
      <c r="HL143" s="166">
        <f ca="1">IF(AND(Control!$C$61="T",$HE143&gt;=Control!$C$103,Control!$C$114=0),$HF143,0)</f>
        <v>0</v>
      </c>
      <c r="HM143" s="201" t="e">
        <f t="shared" ca="1" si="521"/>
        <v>#DIV/0!</v>
      </c>
      <c r="HN143" s="215">
        <f t="shared" ca="1" si="640"/>
        <v>139</v>
      </c>
      <c r="HO143" s="216" t="e">
        <f ca="1">IF(AND($CP143&gt;=0, $CP143&lt;=90), Control!$C$152, Control!$C$152)</f>
        <v>#N/A</v>
      </c>
      <c r="HP143" s="216" t="e">
        <f t="shared" ca="1" si="522"/>
        <v>#N/A</v>
      </c>
      <c r="HQ143" s="217" t="e">
        <f ca="1">IF(OR(Control!$B$26=1,Control!$B$26=2),$KV143,$KS143)</f>
        <v>#DIV/0!</v>
      </c>
      <c r="HR143" s="218" t="e">
        <f t="shared" ca="1" si="677"/>
        <v>#DIV/0!</v>
      </c>
      <c r="HS143" s="216" t="e">
        <f ca="1">Control!$C$154*$HP143</f>
        <v>#N/A</v>
      </c>
      <c r="HT143" s="216" t="e">
        <f ca="1">Control!$C$155*$HP143</f>
        <v>#N/A</v>
      </c>
      <c r="HU143" s="217" t="e">
        <f ca="1">Control!$C$161*$FI143</f>
        <v>#N/A</v>
      </c>
      <c r="HV143" s="218" t="e">
        <f t="shared" ca="1" si="641"/>
        <v>#N/A</v>
      </c>
      <c r="HW143" s="218" t="e">
        <f ca="1">Control!$C$160*$FF143+$IP143*$EO143</f>
        <v>#N/A</v>
      </c>
      <c r="HX143" s="218" t="e">
        <f t="shared" ca="1" si="678"/>
        <v>#N/A</v>
      </c>
      <c r="HY143" s="219" t="e">
        <f ca="1">IF(Control!$C$114=1, $EB143*$FS143, 0)</f>
        <v>#N/A</v>
      </c>
      <c r="HZ143" s="91" t="e">
        <f t="shared" ca="1" si="523"/>
        <v>#N/A</v>
      </c>
      <c r="IA143" s="220" t="e">
        <f ca="1">Control!$C$153*$HO143</f>
        <v>#N/A</v>
      </c>
      <c r="IB143" s="218" t="e">
        <f t="shared" ca="1" si="524"/>
        <v>#N/A</v>
      </c>
      <c r="IC143" s="220" t="e">
        <f ca="1">Control!$C$153*$HT143</f>
        <v>#N/A</v>
      </c>
      <c r="ID143" s="218" t="e">
        <f t="shared" ca="1" si="525"/>
        <v>#N/A</v>
      </c>
      <c r="IE143" s="221" t="e">
        <f ca="1">($EB143*Control!$C$159+$EF143*Control!$C$160)/(IF($GZ143&lt;&gt;0,$GZ143,1))</f>
        <v>#N/A</v>
      </c>
      <c r="IF143" s="216" t="e">
        <f t="shared" ca="1" si="526"/>
        <v>#N/A</v>
      </c>
      <c r="IG143" s="91">
        <f ca="1">IF(OR(Control!$B$198=$AH143,Control!$B$199=$AH143, Control!$B$200=$AH143, Control!$B$201=$AH143, Control!$B$202=$AH143, Control!$B$203=$AH143, Control!$B$204=$AH143, Control!$B$205=$AH143, Control!$B$206=$AH143, Control!$B$207=$AH143), 1, 0)</f>
        <v>0</v>
      </c>
      <c r="IH143" s="91">
        <f ca="1">IF($IG143=0,0, VLOOKUP($AH143,Control!$B$198:$C$207,2))</f>
        <v>0</v>
      </c>
      <c r="II143" s="222">
        <f t="shared" ca="1" si="642"/>
        <v>0</v>
      </c>
      <c r="IJ143" s="91">
        <f>Control!$C$121</f>
        <v>0.7</v>
      </c>
      <c r="IK143" s="218">
        <f t="shared" ca="1" si="527"/>
        <v>0</v>
      </c>
      <c r="IL143" s="217" t="e">
        <f t="shared" ca="1" si="679"/>
        <v>#N/A</v>
      </c>
      <c r="IM143" s="223" t="e">
        <f ca="1">IF(AND(Control!$C$114=1,$KH143&lt;1),$EB143*Control!$C$148*(1-$KH143), 0)</f>
        <v>#N/A</v>
      </c>
      <c r="IN143" s="217" t="e">
        <f t="shared" ca="1" si="528"/>
        <v>#DIV/0!</v>
      </c>
      <c r="IO143" s="91" t="e">
        <f ca="1">MAX(0,$IL143-$EF143*Control!$C$160)</f>
        <v>#N/A</v>
      </c>
      <c r="IP143" s="220" t="e">
        <f t="shared" ca="1" si="529"/>
        <v>#N/A</v>
      </c>
      <c r="IQ143" s="217" t="e">
        <f t="shared" ca="1" si="643"/>
        <v>#N/A</v>
      </c>
      <c r="IR143" s="218" t="e">
        <f t="shared" ca="1" si="530"/>
        <v>#N/A</v>
      </c>
      <c r="IS143" s="217" t="e">
        <f ca="1">Control!$C$159*MAX(0,$FD143-$EN143)</f>
        <v>#N/A</v>
      </c>
      <c r="IT143" s="217" t="e">
        <f t="shared" ca="1" si="680"/>
        <v>#N/A</v>
      </c>
      <c r="IU143" s="217" t="e">
        <f t="shared" ca="1" si="644"/>
        <v>#N/A</v>
      </c>
      <c r="IV143" s="217" t="e">
        <f t="shared" ca="1" si="681"/>
        <v>#N/A</v>
      </c>
      <c r="IW143" s="217" t="e">
        <f ca="1">IF(OR($AW143=1,AND($AW143=0, Control!$B$18=1,$EN143&lt;&gt;0)), $IQ143-$IU143, $IQ143)</f>
        <v>#N/A</v>
      </c>
      <c r="IX143" s="218" t="e">
        <f t="shared" ca="1" si="531"/>
        <v>#N/A</v>
      </c>
      <c r="IY143" s="218" t="e">
        <f ca="1">MAX(0,$IQ143-$EB143*Control!$C$159)</f>
        <v>#N/A</v>
      </c>
      <c r="IZ143" s="218" t="e">
        <f t="shared" ca="1" si="532"/>
        <v>#N/A</v>
      </c>
      <c r="JA143" s="216" t="e">
        <f t="shared" ca="1" si="533"/>
        <v>#N/A</v>
      </c>
      <c r="JB143" s="217" t="e">
        <f t="shared" ca="1" si="534"/>
        <v>#N/A</v>
      </c>
      <c r="JC143" s="222" t="e">
        <f ca="1">MAX(Control!$C$157*$EK143-$JT143, 0)/Control!$C$162</f>
        <v>#N/A</v>
      </c>
      <c r="JD143" s="218" t="e">
        <f t="shared" ca="1" si="535"/>
        <v>#N/A</v>
      </c>
      <c r="JE143" s="218" t="e">
        <f t="shared" ca="1" si="536"/>
        <v>#N/A</v>
      </c>
      <c r="JF143" s="218" t="e">
        <f t="shared" ca="1" si="645"/>
        <v>#N/A</v>
      </c>
      <c r="JG143" s="218" t="e">
        <f t="shared" ca="1" si="537"/>
        <v>#N/A</v>
      </c>
      <c r="JH143" s="217" t="e">
        <f t="shared" ca="1" si="646"/>
        <v>#N/A</v>
      </c>
      <c r="JI143" s="217" t="e">
        <f t="shared" ca="1" si="647"/>
        <v>#N/A</v>
      </c>
      <c r="JJ143" s="217" t="e">
        <f t="shared" ca="1" si="682"/>
        <v>#N/A</v>
      </c>
      <c r="JK143" s="217" t="e">
        <f ca="1">IF(Control!$C$114=1,IF(Control!$B$24=0,MAX(0,$JI143)*$GN143/Control!$C$64,(MAX(0,MIN($JI143,$JJ143*$GN143/Control!$C$64),0))))</f>
        <v>#N/A</v>
      </c>
      <c r="JL143" s="217" t="e">
        <f ca="1">$IK143/Control!$C$64-$JK143+$HQ143</f>
        <v>#N/A</v>
      </c>
      <c r="JM143" s="217" t="e">
        <f ca="1">IF(Control!$C$114=1,($JB143/(IF($JI143&lt;&gt;0,$JI143,1)))*$JK143,0)</f>
        <v>#N/A</v>
      </c>
      <c r="JN143" s="217" t="e">
        <f ca="1">IF(Control!$C$114=1,($JG143/(IF($JI143&lt;&gt;0,$JI143,1)))*$JK143, 0)</f>
        <v>#N/A</v>
      </c>
      <c r="JO143" s="218" t="e">
        <f t="shared" ca="1" si="538"/>
        <v>#N/A</v>
      </c>
      <c r="JP143" s="218" t="e">
        <f ca="1">MIN(($IY143+$IO143)*Control!$C$151, $JF143-$EH143*Control!$C$161)</f>
        <v>#N/A</v>
      </c>
      <c r="JQ143" s="218" t="e">
        <f t="shared" ca="1" si="539"/>
        <v>#N/A</v>
      </c>
      <c r="JR143" s="217" t="e">
        <f ca="1">IF($CP143-Control!$C$150&lt;0, 0, $JQ143/Control!$C$162)</f>
        <v>#N/A</v>
      </c>
      <c r="JS143" s="218" t="e">
        <f t="shared" ca="1" si="540"/>
        <v>#N/A</v>
      </c>
      <c r="JT143" s="218" t="e">
        <f t="shared" ca="1" si="648"/>
        <v>#N/A</v>
      </c>
      <c r="JU143" s="218" t="e">
        <f t="shared" ca="1" si="541"/>
        <v>#N/A</v>
      </c>
      <c r="JV143" s="218" t="e">
        <f t="shared" ca="1" si="542"/>
        <v>#N/A</v>
      </c>
      <c r="JW143" s="216" t="e">
        <f t="shared" ca="1" si="543"/>
        <v>#N/A</v>
      </c>
      <c r="JX143" s="91" t="e">
        <f t="shared" ca="1" si="544"/>
        <v>#N/A</v>
      </c>
      <c r="JY143" s="218" t="e">
        <f t="shared" ca="1" si="545"/>
        <v>#N/A</v>
      </c>
      <c r="JZ143" s="217" t="e">
        <f ca="1">IF(Control!$C$114=1,($IZ143/(IF($JI143&lt;&gt;0,$JI143,1)))*$JK143, 0)</f>
        <v>#N/A</v>
      </c>
      <c r="KA143" s="218" t="e">
        <f t="shared" ca="1" si="683"/>
        <v>#N/A</v>
      </c>
      <c r="KB143" s="218" t="e">
        <f t="shared" ca="1" si="649"/>
        <v>#N/A</v>
      </c>
      <c r="KC143" s="218" t="e">
        <f t="shared" ca="1" si="546"/>
        <v>#N/A</v>
      </c>
      <c r="KD143" s="218" t="e">
        <f t="shared" ca="1" si="547"/>
        <v>#N/A</v>
      </c>
      <c r="KE143" s="218" t="e">
        <f t="shared" ca="1" si="548"/>
        <v>#N/A</v>
      </c>
      <c r="KF143" s="218" t="e">
        <f t="shared" ca="1" si="549"/>
        <v>#N/A</v>
      </c>
      <c r="KG143" s="216" t="e">
        <f t="shared" ca="1" si="550"/>
        <v>#N/A</v>
      </c>
      <c r="KH143" s="221" t="e">
        <f ca="1">IF(Control!$B$24=0,1,MAX(0.001,MIN(1,IF(($IF143-$IE143)&lt;&gt;0,($KG143-$IE143)/($IF143-$IE143),1))))</f>
        <v>#N/A</v>
      </c>
      <c r="KI143" s="222" t="e">
        <f ca="1">IF(Control!$C$114=1, $KI142+ $KH142, 0)</f>
        <v>#N/A</v>
      </c>
      <c r="KJ143" s="217" t="e">
        <f t="shared" ca="1" si="551"/>
        <v>#N/A</v>
      </c>
      <c r="KK143" s="218" t="e">
        <f t="shared" ca="1" si="552"/>
        <v>#N/A</v>
      </c>
      <c r="KL143" s="274" t="e">
        <f ca="1">IF(Control!$B$26=3,4000000000*EXP(-8400/($G143+273)),IF(Control!$B$26=4,4000000000*EXP(-8400/($G143+273))*($KT143),0))</f>
        <v>#DIV/0!</v>
      </c>
      <c r="KM143" s="274" t="e">
        <f ca="1">IF(Control!$B$26=3,5600000000000*EXP(-9800/($G143+273)),IF(Control!$B$26=4,5600000000000*EXP(-9800/($G143+273))*$KT143,0))</f>
        <v>#DIV/0!</v>
      </c>
      <c r="KN143" s="454" t="e">
        <f t="shared" ca="1" si="650"/>
        <v>#DIV/0!</v>
      </c>
      <c r="KO143" s="274" t="e">
        <f t="shared" ca="1" si="651"/>
        <v>#DIV/0!</v>
      </c>
      <c r="KP143" s="454" t="e">
        <f t="shared" ca="1" si="553"/>
        <v>#DIV/0!</v>
      </c>
      <c r="KQ143" s="454" t="e">
        <f t="shared" ca="1" si="554"/>
        <v>#DIV/0!</v>
      </c>
      <c r="KR143" s="454" t="e">
        <f t="shared" ca="1" si="555"/>
        <v>#DIV/0!</v>
      </c>
      <c r="KS143" s="454" t="e">
        <f t="shared" ca="1" si="556"/>
        <v>#DIV/0!</v>
      </c>
      <c r="KT143" s="455" t="e">
        <f t="shared" ca="1" si="557"/>
        <v>#DIV/0!</v>
      </c>
      <c r="KU143" s="456" t="e">
        <f ca="1">IF($CP143-Control!$C$149&lt;0, IF($NT143-0.01&lt;0,0,1),0)</f>
        <v>#N/A</v>
      </c>
      <c r="KV143" s="456" t="e">
        <f ca="1">IF(Control!$C$114=1,MAX(0,MIN(Control!$C$125*$KW143*$GN143,$KW143)))</f>
        <v>#DIV/0!</v>
      </c>
      <c r="KW143" s="456" t="e">
        <f t="shared" ca="1" si="684"/>
        <v>#DIV/0!</v>
      </c>
      <c r="KX143" s="457" t="e">
        <f ca="1">IF($CP143-Control!$C$149&lt;0, IF($MR143-$OM143&lt;0,0,1),0)</f>
        <v>#N/A</v>
      </c>
      <c r="KY143" s="167">
        <f t="shared" ca="1" si="652"/>
        <v>139</v>
      </c>
      <c r="KZ143" s="168">
        <f ca="1">1370*(1+0.033*COS(2*Control!$C$138*$AH143/365))</f>
        <v>1336.8837708105564</v>
      </c>
      <c r="LA143" s="169">
        <f t="shared" ca="1" si="653"/>
        <v>0.97582769563675187</v>
      </c>
      <c r="LB143" s="169">
        <f t="shared" ca="1" si="654"/>
        <v>0.34477346576847218</v>
      </c>
      <c r="LC143" s="169">
        <f ca="1">ACOS(-TAN((2*Control!$B$8/360))*TAN(Calculations!$LB143))</f>
        <v>1.6777306373874206</v>
      </c>
      <c r="LD143" s="169">
        <f ca="1">((24*60)/PI())*0.082*$LA143*(($LC143*SIN(Control!$B$8*2*PI()/360))*SIN($LB143)+COS(Control!$B$8*2*PI()/360)*COS($LB143)*SIN($LC143))</f>
        <v>37.519571751459154</v>
      </c>
      <c r="LE143" s="170">
        <f t="shared" ca="1" si="558"/>
        <v>38.59983433847551</v>
      </c>
      <c r="LF143" s="170">
        <f ca="1">SIN(Control!$C$139*Control!$B$8)*SIN($HD143)</f>
        <v>0.26287633066107985</v>
      </c>
      <c r="LG143" s="170">
        <f ca="1">COS(Control!$C$139*Control!$B$8)*COS($HD143)</f>
        <v>0.58039279973851543</v>
      </c>
      <c r="LH143" s="170">
        <f ca="1">12*(1+2*ASIN(MAX(-1,MIN(1,$LF143/$LG143))/Control!$C$138))</f>
        <v>15.472209444513622</v>
      </c>
      <c r="LI143" s="170">
        <f ca="1">12*(1+2*ASIN(MAX(-1,MIN(1,(-SIN(-4*Control!$C$139)+$LF143)/$LG143))/Control!$C$138))</f>
        <v>16.402936971030002</v>
      </c>
      <c r="LJ143" s="168">
        <f ca="1">3600*($LH143*$LF143+24*$LG143*SQRT(1-$LK143*$LK143)/Control!$C$138)</f>
        <v>28872.991939360832</v>
      </c>
      <c r="LK143" s="170">
        <f t="shared" ca="1" si="559"/>
        <v>0.45292831127387112</v>
      </c>
      <c r="LL143" s="170">
        <f t="shared" ca="1" si="560"/>
        <v>0</v>
      </c>
      <c r="LM143" s="171">
        <f ca="1">Control!$C$145*$AB143</f>
        <v>6.6660906138995932E-2</v>
      </c>
      <c r="LN143" s="170">
        <f t="shared" ca="1" si="655"/>
        <v>0.54</v>
      </c>
      <c r="LO143" s="170">
        <f t="shared" ca="1" si="561"/>
        <v>0</v>
      </c>
      <c r="LP143" s="170">
        <f ca="1">Control!$C$140*((($D143+273.16)^4+($E143+273.16)^4)/2)*(0.34-0.14*SQRT($Y143))*(1.35*$AQ143/(0.75*$LD143)-0.35)</f>
        <v>-3.2464704755046001</v>
      </c>
      <c r="LQ143" s="170">
        <f ca="1">Control!$C$140*($G143+273)^4*(0.56-0.079*SQRT($Y143*10))*(0.1+0.9*$LO143)</f>
        <v>1.5241745131704001</v>
      </c>
      <c r="LR143" s="170">
        <f ca="1">$AQ143*(1-Control!$C$142)-$LQ143</f>
        <v>-1.5241745131704001</v>
      </c>
      <c r="LS143" s="170">
        <f ca="1">$AQ143*(1-Control!$C$143)-$LQ143</f>
        <v>-1.5241745131704001</v>
      </c>
      <c r="LT143" s="170">
        <f ca="1">$AQ143*(1-Control!$C$144)-$LQ143</f>
        <v>-1.5241745131704001</v>
      </c>
      <c r="LU143" s="169">
        <f ca="1">(1-Control!$C$144)*AQ143-LP143</f>
        <v>3.2464704755046001</v>
      </c>
      <c r="LV143" s="172">
        <f t="shared" ca="1" si="562"/>
        <v>0.79430000000000012</v>
      </c>
      <c r="LW143" s="170">
        <f t="shared" ca="1" si="563"/>
        <v>1.5886000000000002</v>
      </c>
      <c r="LX143" s="170">
        <f ca="1">($AC143*($LR143/Control!$C$141)+$LM143*$LV143)/($AC143+$LM143)</f>
        <v>0.23530094218323697</v>
      </c>
      <c r="LY143" s="170">
        <f ca="1">($AC143*($LS143/Control!$C$141)+$LM143*$LV143)/($AC143+$LM143)</f>
        <v>0.23530094218323697</v>
      </c>
      <c r="LZ143" s="170">
        <f t="shared" ca="1" si="564"/>
        <v>0.23530094218323697</v>
      </c>
      <c r="MA143" s="170">
        <f t="shared" ca="1" si="565"/>
        <v>0.23530094218323697</v>
      </c>
      <c r="MB143" s="170" t="e">
        <f t="shared" ca="1" si="566"/>
        <v>#N/A</v>
      </c>
      <c r="MC143" s="170">
        <f t="shared" ca="1" si="656"/>
        <v>0.6018</v>
      </c>
      <c r="MD143" s="170">
        <f t="shared" ca="1" si="567"/>
        <v>0.52989392535414004</v>
      </c>
      <c r="ME143" s="170">
        <f ca="1">($AC143*($LT143/Control!$C$141)+$LM143*$LW143)/($AC143+$LM143)</f>
        <v>0.71612369323045078</v>
      </c>
      <c r="MF143" s="170" t="e">
        <f ca="1">IF(Control!$B$16&gt;=1000,0.92,IF(AND(720&lt;=Control!$B$16,1000&gt;Control!$B$16),(0.95+(Control!$B$16-720)*((0.92-0.95)/(1000-720))),IF(AND(360&lt;=Control!$B$16,720&gt;Control!$B$16),(1+(Control!$B$16-360)*((0.95-1)/(720-360))),IF(AND(40&lt;=Control!$B$16,360&gt;Control!$B$16),(1.05+(Control!$B$16-40)*((1.05-1)/(360-40)))))))</f>
        <v>#N/A</v>
      </c>
      <c r="MG143" s="170">
        <f t="shared" ca="1" si="568"/>
        <v>0.71612369323045078</v>
      </c>
      <c r="MH143" s="170" t="e">
        <f t="shared" ca="1" si="464"/>
        <v>#N/A</v>
      </c>
      <c r="MI143" s="170" t="e">
        <f t="shared" ca="1" si="464"/>
        <v>#N/A</v>
      </c>
      <c r="MJ143" s="170" t="e">
        <f ca="1">MAX(0.0001, Control!$C$132*$MI143*$DL143)</f>
        <v>#N/A</v>
      </c>
      <c r="MK143" s="170">
        <f ca="1">1/(0.76+1.5*($MG143/10))-(5-Control!$C$110)*0.1</f>
        <v>1.002845988140797</v>
      </c>
      <c r="ML143" s="173">
        <f ca="1">IF(Control!$C$110&lt;3,$MK143+($MG143-0.6)/(Control!$C$110*(Control!$C$110+3)), MAX(0.1, MIN(0.95,$MK143)))</f>
        <v>0.95</v>
      </c>
      <c r="MM143" s="173">
        <f ca="1">IF(Control!$C$110&lt;3,$MK143+(($MI143/10)-0.6)/(Control!$C$110*(Control!$C$110+3)), MAX(0.1, MIN(0.95,$MK143)))</f>
        <v>0.95</v>
      </c>
      <c r="MN143" s="173">
        <f ca="1">(1-$MM143)*(Control!$C$128-Control!$C$127)+Control!$C$127</f>
        <v>0.16</v>
      </c>
      <c r="MO143" s="170" t="e">
        <f ca="1">MAX(0,MIN(1,($MS143-Control!$C$127)/($MN143-Control!$C$127)))</f>
        <v>#DIV/0!</v>
      </c>
      <c r="MP143" s="173" t="e">
        <f ca="1">1/(0.76+1.5*$MI143)-(5-Control!$C$110)*0.1</f>
        <v>#N/A</v>
      </c>
      <c r="MQ143" s="172" t="e">
        <f t="shared" ca="1" si="685"/>
        <v>#DIV/0!</v>
      </c>
      <c r="MR143" s="168" t="e">
        <f t="shared" ca="1" si="657"/>
        <v>#DIV/0!</v>
      </c>
      <c r="MS143" s="173" t="e">
        <f ca="1">MAX(Control!$C$127, MIN(Control!$C$135, $MR143/MAX(0.0001,$CY143)))</f>
        <v>#DIV/0!</v>
      </c>
      <c r="MT143" s="168" t="e">
        <f ca="1">(Control!$C$128-$MS143)*Control!$C$74</f>
        <v>#DIV/0!</v>
      </c>
      <c r="MU143" s="168" t="e">
        <f ca="1">(Control!$C$135-$MS143)*Control!$C$74</f>
        <v>#DIV/0!</v>
      </c>
      <c r="MV143" s="168" t="e">
        <f t="shared" ca="1" si="658"/>
        <v>#DIV/0!</v>
      </c>
      <c r="MW143" s="168" t="e">
        <f t="shared" ca="1" si="659"/>
        <v>#DIV/0!</v>
      </c>
      <c r="MX143" s="171" t="e">
        <f ca="1">MAX(Control!$C$127, MIN(Control!$C$135, $MW143/MAX(0.0001,Control!$C$119-$CY143)))</f>
        <v>#DIV/0!</v>
      </c>
      <c r="MY143" s="54" t="e">
        <f ca="1">IF(Control!$C$114=1, $CX143*$MX143, 0)</f>
        <v>#DIV/0!</v>
      </c>
      <c r="MZ143" s="54" t="e">
        <f t="shared" ca="1" si="660"/>
        <v>#N/A</v>
      </c>
      <c r="NA143" s="168" t="e">
        <f ca="1">(Control!$C$128-$MX143)*(Control!$C$119-Control!$C$74)</f>
        <v>#DIV/0!</v>
      </c>
      <c r="NB143" s="168" t="e">
        <f ca="1">(Control!$C$135-$MX143)*(Control!$C$119-Control!$C$74)</f>
        <v>#DIV/0!</v>
      </c>
      <c r="NC143" s="174" t="e">
        <f t="shared" ca="1" si="661"/>
        <v>#DIV/0!</v>
      </c>
      <c r="ND143" s="54">
        <f ca="1">IF(Control!$C$58=2, IF(OR(Control!$B$218=$AH143,Control!$B$219=$AH143, Control!$B$220=$AH143, Control!$B$221=$AH143, Control!$B$222=$AH143, Control!$B$223=$AH143, Control!$B$224=$AH143, Control!$B$225=$AH143, Control!$B$226=$AH143, Control!$B$227=$AH143, Control!$B$228=$AH143), 1, 0), 0)</f>
        <v>0</v>
      </c>
      <c r="NE143" s="54">
        <f ca="1">IF($ND143=0,0, VLOOKUP($AH143,Control!$B$218:$C$228,2))</f>
        <v>0</v>
      </c>
      <c r="NF143" s="168" t="e">
        <f ca="1">$CY143*(Control!$C$128-Control!$C$127)</f>
        <v>#N/A</v>
      </c>
      <c r="NG143" s="54" t="e">
        <f ca="1">IF(Control!$C$58=2, $NI142-$NJ142, 0)</f>
        <v>#DIV/0!</v>
      </c>
      <c r="NH143" s="54" t="e">
        <f ca="1">IF(AND(Control!$C$58=1, $MS142&lt;= ($MN142+0.02), $I142&lt;10), 0, IF(Control!$C$58=2, $NG142, 0))</f>
        <v>#DIV/0!</v>
      </c>
      <c r="NI143" s="54" t="e">
        <f ca="1">IF(Control!$C$58=2, $NE143+$NH143,0)</f>
        <v>#DIV/0!</v>
      </c>
      <c r="NJ143" s="54" t="e">
        <f ca="1">IF(AND(Control!$C$58=1, $MS143&lt;= ($MN143+0.02), $I143&lt;10), MAX(0, MIN(10, 0.7*($NF143-$MV143))), IF(Control!$C$58=2, MIN(10,$NI143),0))</f>
        <v>#DIV/0!</v>
      </c>
      <c r="NK143" s="54" t="e">
        <f t="shared" ca="1" si="569"/>
        <v>#DIV/0!</v>
      </c>
      <c r="NL143" s="173" t="e">
        <f ca="1">(1-Control!$C$73)*$I143+$NJ143</f>
        <v>#DIV/0!</v>
      </c>
      <c r="NM143" s="172" t="e">
        <f ca="1">IF($NL143&lt;0.5, $MB143* MAX(0, MIN(1, (SQRT($NC143)-SQRT($NC143-1))*Control!$C$71)),0)</f>
        <v>#DIV/0!</v>
      </c>
      <c r="NN143" s="170" t="e">
        <f ca="1">IF($NL143&gt;=5, $MB143, MAX(0,MIN($MB143, $NM143+$NL143,($MS143-Control!$C$129))))</f>
        <v>#DIV/0!</v>
      </c>
      <c r="NO143" s="54">
        <f>IF(Control!$C$133&lt;&gt;1, Control!$C$135-Control!$C$131, 0)</f>
        <v>0.38</v>
      </c>
      <c r="NP143" s="54" t="e">
        <f t="shared" ca="1" si="570"/>
        <v>#DIV/0!</v>
      </c>
      <c r="NQ143" s="173" t="e">
        <f ca="1">MAX(0,MIN(1,(Control!$C$135-$MS143)/(Control!$C$135-$NO143)))</f>
        <v>#DIV/0!</v>
      </c>
      <c r="NR143" s="170" t="e">
        <f ca="1">IF(Control!$C$133&lt;&gt;1, $NQ143+((1-$NP143/4)*(1-$NQ143)),1)</f>
        <v>#DIV/0!</v>
      </c>
      <c r="NS143" s="170" t="e">
        <f ca="1">IF(Control!$B$31=0,$MJ143,MAX(0,MIN($MV143,$MO143*$NR143*$MJ143)))</f>
        <v>#DIV/0!</v>
      </c>
      <c r="NT143" s="170" t="e">
        <f t="shared" ca="1" si="686"/>
        <v>#DIV/0!</v>
      </c>
      <c r="NU143" s="170" t="e">
        <f t="shared" ca="1" si="662"/>
        <v>#N/A</v>
      </c>
      <c r="NV143" s="170" t="e">
        <f t="shared" ca="1" si="571"/>
        <v>#N/A</v>
      </c>
      <c r="NW143" s="175" t="e">
        <f t="shared" ca="1" si="572"/>
        <v>#DIV/0!</v>
      </c>
      <c r="NX143" s="170" t="e">
        <f ca="1">MIN(Control!$C$72+$MU143, $NW143)</f>
        <v>#DIV/0!</v>
      </c>
      <c r="NY143" s="170" t="e">
        <f ca="1">IF($MT143&lt;=$NX143,MIN(Control!$C$72+$NB143,$NX143-$MT143),0)</f>
        <v>#DIV/0!</v>
      </c>
      <c r="NZ143" s="54" t="e">
        <f ca="1">IF(Control!$C$114=1,  $CX143*($MX143-Control!$C$127), 0)</f>
        <v>#DIV/0!</v>
      </c>
      <c r="OA143" s="170" t="e">
        <f t="shared" ca="1" si="573"/>
        <v>#DIV/0!</v>
      </c>
      <c r="OB143" s="170" t="e">
        <f ca="1">IF($NA143 &lt;=$NY143, MIN(Control!$C$72, $NY143-$NA143), 0)</f>
        <v>#DIV/0!</v>
      </c>
      <c r="OC143" s="168" t="e">
        <f t="shared" ca="1" si="574"/>
        <v>#DIV/0!</v>
      </c>
      <c r="OD143" s="168" t="e">
        <f t="shared" ca="1" si="663"/>
        <v>#DIV/0!</v>
      </c>
      <c r="OE143" s="170">
        <f ca="1">Control!$C$73*$I143</f>
        <v>0</v>
      </c>
      <c r="OF143" s="176" t="e">
        <f t="shared" ca="1" si="575"/>
        <v>#DIV/0!</v>
      </c>
      <c r="OG143" s="168" t="e">
        <f t="shared" ca="1" si="576"/>
        <v>#DIV/0!</v>
      </c>
      <c r="OH143" s="168" t="e">
        <f t="shared" ca="1" si="577"/>
        <v>#DIV/0!</v>
      </c>
      <c r="OI143" s="168" t="e">
        <f t="shared" ca="1" si="578"/>
        <v>#DIV/0!</v>
      </c>
      <c r="OJ143" s="168" t="e">
        <f t="shared" ca="1" si="579"/>
        <v>#DIV/0!</v>
      </c>
      <c r="OK143" s="204" t="e">
        <f t="shared" ca="1" si="580"/>
        <v>#DIV/0!</v>
      </c>
      <c r="OL143" s="177">
        <f>Control!$C$127</f>
        <v>0.15</v>
      </c>
      <c r="OM143" s="182" t="e">
        <f t="shared" ca="1" si="581"/>
        <v>#N/A</v>
      </c>
      <c r="ON143" s="177">
        <f>Control!$C$128</f>
        <v>0.35</v>
      </c>
      <c r="OO143" s="182" t="e">
        <f t="shared" ca="1" si="582"/>
        <v>#N/A</v>
      </c>
      <c r="OP143" s="138">
        <f t="shared" ca="1" si="664"/>
        <v>0</v>
      </c>
      <c r="OQ143" s="138" t="e">
        <f t="shared" ca="1" si="687"/>
        <v>#DIV/0!</v>
      </c>
      <c r="OR143" s="138" t="e">
        <f t="shared" ca="1" si="665"/>
        <v>#DIV/0!</v>
      </c>
      <c r="OS143" s="137" t="e">
        <f t="shared" ca="1" si="688"/>
        <v>#DIV/0!</v>
      </c>
      <c r="OT143" s="139" t="e">
        <f t="shared" ca="1" si="689"/>
        <v>#DIV/0!</v>
      </c>
      <c r="OU143" s="138" t="e">
        <f t="shared" ca="1" si="690"/>
        <v>#N/A</v>
      </c>
      <c r="OV143" s="138" t="e">
        <f t="shared" ca="1" si="691"/>
        <v>#DIV/0!</v>
      </c>
      <c r="OW143" s="138" t="e">
        <f t="shared" ca="1" si="666"/>
        <v>#DIV/0!</v>
      </c>
      <c r="OX143" s="138" t="e">
        <f t="shared" ca="1" si="667"/>
        <v>#DIV/0!</v>
      </c>
      <c r="OY143" s="138" t="e">
        <f t="shared" ca="1" si="668"/>
        <v>#DIV/0!</v>
      </c>
      <c r="OZ143" s="138" t="e">
        <f t="shared" ca="1" si="583"/>
        <v>#DIV/0!</v>
      </c>
      <c r="PA143" s="138" t="e">
        <f t="shared" ca="1" si="584"/>
        <v>#DIV/0!</v>
      </c>
      <c r="PB143" s="55">
        <f>IF(Control!$C$61="T", IF(Control!$C$65="F", IF($AH$6-Control!$C$60&lt;0,0,1), IF(365+$AH$6-Control!$C$60&lt;0,0,1)),0)</f>
        <v>0</v>
      </c>
      <c r="PC143" s="55">
        <f ca="1">IF(Control!$C$65="F", IF($AH$6-$HF143&lt;0,0,1), IF(365+$AH$6-$HF143&lt;0,0,1))</f>
        <v>1</v>
      </c>
      <c r="PD143" s="444">
        <f>Control!$C$118</f>
        <v>1500</v>
      </c>
      <c r="PE143" s="180" t="e">
        <f t="shared" ca="1" si="585"/>
        <v>#N/A</v>
      </c>
      <c r="PF143" s="445">
        <f t="shared" ca="1" si="669"/>
        <v>0.71612369323045078</v>
      </c>
      <c r="PT143" s="186"/>
      <c r="PU143" s="186"/>
      <c r="PV143" s="94"/>
      <c r="PW143" s="94"/>
      <c r="PX143" s="94"/>
      <c r="PY143" s="94"/>
      <c r="PZ143" s="94"/>
      <c r="QA143" s="94"/>
      <c r="QB143" s="94"/>
      <c r="QC143" s="94"/>
      <c r="QD143" s="94"/>
      <c r="QE143" s="94"/>
      <c r="QF143" s="94"/>
      <c r="QG143" s="94"/>
      <c r="QH143" s="94"/>
      <c r="QI143" s="94"/>
      <c r="QJ143" s="94"/>
      <c r="QK143" s="94"/>
      <c r="QL143" s="94"/>
      <c r="QM143" s="94"/>
      <c r="QN143" s="94"/>
      <c r="QO143" s="94"/>
      <c r="QP143" s="94"/>
    </row>
    <row r="144" spans="1:458" s="2" customFormat="1" x14ac:dyDescent="0.2">
      <c r="A144" s="395">
        <v>19</v>
      </c>
      <c r="B144" s="396">
        <v>5</v>
      </c>
      <c r="C144" s="387">
        <f ca="1">Weather_data!$B143</f>
        <v>0</v>
      </c>
      <c r="D144" s="388">
        <f ca="1">Weather_data!$F143</f>
        <v>0</v>
      </c>
      <c r="E144" s="388">
        <f ca="1">Weather_data!$E143</f>
        <v>0</v>
      </c>
      <c r="F144" s="388">
        <f t="shared" ca="1" si="586"/>
        <v>0</v>
      </c>
      <c r="G144" s="388">
        <f ca="1">AVERAGE($D144:$E144)+Control!$B$9</f>
        <v>0</v>
      </c>
      <c r="H144" s="388">
        <f ca="1">Weather_data!$G143</f>
        <v>0</v>
      </c>
      <c r="I144" s="388">
        <f ca="1">Weather_data!$I143</f>
        <v>0</v>
      </c>
      <c r="J144" s="388">
        <f ca="1">Weather_data!$H143</f>
        <v>0</v>
      </c>
      <c r="K144" s="389">
        <f ca="1">Weather_data!$D143</f>
        <v>0</v>
      </c>
      <c r="L144" s="388" t="e">
        <f t="shared" ca="1" si="587"/>
        <v>#N/A</v>
      </c>
      <c r="M144" s="388" t="e">
        <f t="shared" ca="1" si="465"/>
        <v>#N/A</v>
      </c>
      <c r="N144" s="388">
        <f t="shared" ca="1" si="466"/>
        <v>-2.4234625167788968E-7</v>
      </c>
      <c r="O144" s="388">
        <f t="shared" ca="1" si="588"/>
        <v>2.4234625167788969E-6</v>
      </c>
      <c r="P144" s="390">
        <v>3</v>
      </c>
      <c r="Q144" s="388">
        <f ca="1">MAX($G144-Control!$C$107,0)</f>
        <v>0</v>
      </c>
      <c r="R144" s="388">
        <f t="shared" ca="1" si="589"/>
        <v>0</v>
      </c>
      <c r="S144" s="388">
        <f t="shared" ca="1" si="467"/>
        <v>0</v>
      </c>
      <c r="T144" s="388">
        <f t="shared" ca="1" si="468"/>
        <v>0</v>
      </c>
      <c r="U144" s="59">
        <f t="shared" ca="1" si="469"/>
        <v>0</v>
      </c>
      <c r="V144" s="391">
        <f ca="1">MAX(0,MIN(Control!$C$100-Control!$C$99,$G144-Control!$C$99)*Control!$C$63)</f>
        <v>0</v>
      </c>
      <c r="W144" s="388">
        <f t="shared" ca="1" si="590"/>
        <v>0</v>
      </c>
      <c r="X144" s="388">
        <f t="shared" ca="1" si="591"/>
        <v>0.6110000000000001</v>
      </c>
      <c r="Y144" s="388">
        <f t="shared" ca="1" si="470"/>
        <v>0</v>
      </c>
      <c r="Z144" s="388">
        <f t="shared" ca="1" si="592"/>
        <v>0.61058800000000002</v>
      </c>
      <c r="AA144" s="388">
        <f t="shared" ca="1" si="471"/>
        <v>0.6018</v>
      </c>
      <c r="AB144" s="388">
        <f ca="1">101.3*EXP(-0.034*Control!$C$66/($G144+273))</f>
        <v>100.69623283836242</v>
      </c>
      <c r="AC144" s="392">
        <f t="shared" ca="1" si="472"/>
        <v>4.3460251046025113E-2</v>
      </c>
      <c r="AD144" s="392">
        <f t="shared" ca="1" si="473"/>
        <v>4.4450382862832649E-2</v>
      </c>
      <c r="AE144" s="388">
        <f t="shared" ca="1" si="474"/>
        <v>0</v>
      </c>
      <c r="AF144" s="388">
        <f ca="1">MAX(0,$G144-Control!$C$92)</f>
        <v>0</v>
      </c>
      <c r="AG144" s="393">
        <f t="shared" ca="1" si="475"/>
        <v>140</v>
      </c>
      <c r="AH144" s="389">
        <f t="shared" ca="1" si="476"/>
        <v>140</v>
      </c>
      <c r="AI144" s="388">
        <f t="shared" ca="1" si="593"/>
        <v>0.34402585149486842</v>
      </c>
      <c r="AJ144" s="388">
        <f ca="1">IF(Control!$C$60&lt;=0,$HH144,$HI144)</f>
        <v>1</v>
      </c>
      <c r="AK144" s="388">
        <f t="shared" ca="1" si="477"/>
        <v>1.0328523792623976</v>
      </c>
      <c r="AL144" s="388">
        <f t="shared" ca="1" si="478"/>
        <v>-3.9673611618162849E-18</v>
      </c>
      <c r="AM144" s="388">
        <f t="shared" ca="1" si="479"/>
        <v>1.0328523792623976</v>
      </c>
      <c r="AN144" s="388">
        <f t="shared" ca="1" si="480"/>
        <v>0.34863612566999258</v>
      </c>
      <c r="AO144" s="388">
        <f ca="1">-0.10453/COS(Control!$B$8*PI()/180)*COS(AN144)</f>
        <v>-0.15957052335427868</v>
      </c>
      <c r="AP144" s="388">
        <f ca="1">ACOS(AO144-TAN(Control!$B$8*PI()/180)*TAN(AN144))</f>
        <v>2.2456824265963617</v>
      </c>
      <c r="AQ144" s="388">
        <f t="shared" ca="1" si="594"/>
        <v>0</v>
      </c>
      <c r="AR144" s="394">
        <f t="shared" ca="1" si="481"/>
        <v>0</v>
      </c>
      <c r="AS144" s="436">
        <f ca="1">IF(Control!$B$18=2,(IF(OR($AH144=Control!$B$175,$AH144=Control!$B$176,$AH144=Control!$B$177,$AH144=Control!$B$178,$AH144=Control!$B$179,$AH144=Control!$B$180,$AH144=Control!$B$181,$AH144=Control!$B$182,$AH144=Control!$B$183,$AH144=Control!$B$184,$AH144=Control!$B$185),1,0)),0)</f>
        <v>0</v>
      </c>
      <c r="AT144" s="436">
        <f>IF(Control!$B$20=8,IF(AND($AH144&gt;=Control!$B$172,$AH144&lt;=Control!$B$173),1,0),0)</f>
        <v>0</v>
      </c>
      <c r="AU144" s="436">
        <f>IF(Control!$B$20=8,IF($AV143=1,1*$AT144,IF($AT144=1,$AU143+1,$AU143)),0)</f>
        <v>0</v>
      </c>
      <c r="AV144" s="436">
        <f>IF(Control!$B$20=8,IF($AU144&gt;=Control!$B$174,1,0),0)</f>
        <v>0</v>
      </c>
      <c r="AW144" s="436">
        <f ca="1">IF(AND(Control!$B$18=2,Control!$B$171=1), $AV144, $AS144)</f>
        <v>0</v>
      </c>
      <c r="AX144" s="436" t="e">
        <f ca="1">IF(AND(Control!$B$18=1,$EU144&gt;=Control!$B$19),-$AY144,IF(AND(Control!$B$18=2,$AW144=1,$EU144&gt;$DS144),-$AY144, IF(Control!$C$108=0,0, IF(Control!$C$108&lt;&gt;0,1))))</f>
        <v>#N/A</v>
      </c>
      <c r="AY144" s="436" t="e">
        <f t="shared" ca="1" si="595"/>
        <v>#N/A</v>
      </c>
      <c r="AZ144" s="436" t="e">
        <f ca="1">IF(AND(Control!$B$18=1,$EB144&gt;Control!$B$19),$AZ143+1, IF(AND(Control!$B$18=2, $AW144=1, $EB144&gt;$DS144), $AZ143+1,$AZ143))</f>
        <v>#N/A</v>
      </c>
      <c r="BA144" s="587">
        <f>IF(Control!$C$81=0,1,IF($AH144&gt;=Control!$C$82,1,0))</f>
        <v>1</v>
      </c>
      <c r="BB144" s="140" t="e">
        <f ca="1">IF($BA144&gt;$BA143,Control!$C$83,IF($AW144&gt;0,$AW144*Control!$C$84,IF(AND(Control!$B$18=1,EN143&lt;&gt;0),Control!$C$84,0)))</f>
        <v>#N/A</v>
      </c>
      <c r="BC144" s="140" t="e">
        <f t="shared" ca="1" si="596"/>
        <v>#N/A</v>
      </c>
      <c r="BD144" s="140" t="e">
        <f ca="1">BC144*IF(OR($G144&lt;Control!$C$92,$G144&gt;Control!$C$95),0,IF(AND($G144&gt;=Control!$C$92,$G144&lt;=Control!$C$93),$G144-Control!$C$92,IF(AND($G144&gt;Control!$C$93,$G144&lt;=Control!$C$94),Control!$C$93-Control!$C$92,IF(AND($G144&gt;Control!$C$94,$G144&lt;=Control!$C$95),(Control!$C$93-Control!$C$92)*(Control!$C$94-$G144)/(Control!$C$95-Control!$C$94)))))</f>
        <v>#N/A</v>
      </c>
      <c r="BE144" s="140" t="e">
        <f t="shared" ca="1" si="597"/>
        <v>#N/A</v>
      </c>
      <c r="BF144" s="140" t="e">
        <f ca="1">IF($BE144&lt;=Control!$C$86,$BE144,Control!$C$86-$BE144)</f>
        <v>#N/A</v>
      </c>
      <c r="BG144" s="140" t="e">
        <f ca="1">IF(AND($AW144=1,Control!$C$84&lt;9),1,IF($BE144&gt;=Control!$C$86,0,$BC144))</f>
        <v>#N/A</v>
      </c>
      <c r="BH144" s="404" t="e">
        <f ca="1">IF($BG144=0,0,IF($BE144&lt;=Control!$C$86,$BC144*9*($BF144/Control!$C$86),0))</f>
        <v>#N/A</v>
      </c>
      <c r="BI144" s="140" t="e">
        <f ca="1">IF($BG144=1,0,IF($BE144&gt;=Control!$C$86,1,IF(AND($BB144&lt;21,$BB144&gt;=9),1,$BM143)))</f>
        <v>#N/A</v>
      </c>
      <c r="BJ144" s="140" t="e">
        <f ca="1">IF($BF144&lt;0,-$BF144,$BI144*IF(OR($G144&lt;Control!$C$92,$G144&gt;Control!$C$95),0,IF(AND($G144&gt;=Control!$C$92,$G144&lt;=Control!$C$93),$G144-Control!$C$92,IF(AND($G144&gt;Control!$C$93,$G144&lt;=Control!$C$94),Control!$C$93-Control!$C$92,IF(AND($G144&gt;Control!$C$94,$G144&lt;=Control!$C$95),(Control!$C$93-Control!$C$92)*(Control!$C$94-$G144)/(Control!$C$95-Control!$C$94))))))</f>
        <v>#N/A</v>
      </c>
      <c r="BK144" s="140" t="e">
        <f t="shared" ca="1" si="598"/>
        <v>#N/A</v>
      </c>
      <c r="BL144" s="140" t="e">
        <f ca="1">IF($BK144&lt;=Control!$C$87,$BK144,Control!$C$87-$BK144)</f>
        <v>#N/A</v>
      </c>
      <c r="BM144" s="140" t="e">
        <f ca="1">IF(AND($BB144&gt;=9,$BB144&lt;21),1,IF($BK144&gt;=Control!$C$87,0,$BI144))</f>
        <v>#N/A</v>
      </c>
      <c r="BN144" s="404" t="e">
        <f ca="1">IF($BM144=0,0,IF($BK144&lt;=Control!$C$87,$BI144*(9+(21-9)*($BL144/Control!$C$87)),0))</f>
        <v>#N/A</v>
      </c>
      <c r="BO144" s="140" t="e">
        <f ca="1">IF($BM144=1,0,IF($BK144&gt;=Control!$C$87,1,IF(AND($BB144&lt;30,$BB144&gt;=21),1,$BS143)))</f>
        <v>#N/A</v>
      </c>
      <c r="BP144" s="140" t="e">
        <f ca="1">IF($BL144&lt;0,-$BL144,$BO144*IF(OR($G144&lt;Control!$C$92,$G144&gt;Control!$C$95),0,IF(AND($G144&gt;=Control!$C$92,$G144&lt;=Control!$C$93),$G144-Control!$C$92,IF(AND($G144&gt;Control!$C$93,$G144&lt;=Control!$C$94),Control!$C$93-Control!$C$92,IF(AND($G144&gt;Control!$C$94,$G144&lt;=Control!$C$95),(Control!$C$93-Control!$C$92)*(Control!$C$94-$G144)/(Control!$C$95-Control!$C$94))))))</f>
        <v>#N/A</v>
      </c>
      <c r="BQ144" s="140" t="e">
        <f t="shared" ca="1" si="482"/>
        <v>#N/A</v>
      </c>
      <c r="BR144" s="140" t="e">
        <f ca="1">IF($BQ144&lt;=Control!$C$88,$BQ144,Control!$C$88-$BQ144)</f>
        <v>#N/A</v>
      </c>
      <c r="BS144" s="140" t="e">
        <f ca="1">IF(AND($BB144&gt;=21,$BB144&lt;30),1,IF($BQ144&gt;=Control!$C$88,0,$BO144))</f>
        <v>#N/A</v>
      </c>
      <c r="BT144" s="404" t="e">
        <f ca="1">IF($BS144=0,0,IF($BQ144&lt;=Control!$C$88,$BO144*(21+(30-21)*(BR144/Control!$C$88)),0))</f>
        <v>#N/A</v>
      </c>
      <c r="BU144" s="140" t="e">
        <f ca="1">IF(BG144+BM144+BS144=1,0,IF(OR(AND($BB144&lt;60,$BB144&gt;=30),$BQ144&gt;=Control!$C$88),1*$BA144,$BY143))</f>
        <v>#N/A</v>
      </c>
      <c r="BV144" s="140" t="e">
        <f ca="1">IF($BR144&lt;0,-$BR144,$BU144*IF(OR($G144&lt;Control!$C$92,$G144&gt;Control!$C$95),0,IF(AND($G144&gt;=Control!$C$92,$G144&lt;=Control!$C$93),$G144-Control!$C$92,IF(AND($G144&gt;Control!$C$93,$G144&lt;=Control!$C$94),Control!$C$93-Control!$C$92,IF(AND($G144&gt;Control!$C$94,$G144&lt;=Control!$C$95),(Control!$C$93-Control!$C$92)*(Control!$C$94-$G144)/(Control!$C$95-Control!$C$94))))))</f>
        <v>#N/A</v>
      </c>
      <c r="BW144" s="140" t="e">
        <f t="shared" ca="1" si="483"/>
        <v>#N/A</v>
      </c>
      <c r="BX144" s="140" t="e">
        <f ca="1">IF($BW144&lt;=Control!$C$89,$BW144,Control!$C$89-$BW144)</f>
        <v>#N/A</v>
      </c>
      <c r="BY144" s="140" t="e">
        <f ca="1">IF(AND($AJ144&gt;=30,$AJ144&lt;60),1,IF($BW144&gt;=Control!$C$89,0,$BU144))</f>
        <v>#N/A</v>
      </c>
      <c r="BZ144" s="404" t="e">
        <f ca="1">IF($BY144=0,0,IF($BW144&lt;=Control!$C$89,$BU144*(30+(60-30)*(BX144/Control!$C$89)),0))</f>
        <v>#N/A</v>
      </c>
      <c r="CA144" s="140" t="e">
        <f ca="1">IF($BG144+$BM144+$BS144+$BY144=1,0,IF(OR(AND($BB144&lt;65,$BB144&gt;=60),$BW144&gt;=Control!$C$89),1*$BA144,$CE143))</f>
        <v>#N/A</v>
      </c>
      <c r="CB144" s="140" t="e">
        <f ca="1">IF($BX144&lt;0,-$BX144,$CA144*IF(OR($G144&lt;Control!$C$92,$G144&gt;Control!$C$95),0,IF(AND($G144&gt;=Control!$C$92,$G144&lt;=Control!$C$93),$G144-Control!$C$92,IF(AND($G144&gt;Control!$C$93,$G144&lt;=Control!$C$94),Control!$C$93-Control!$C$92,IF(AND($G144&gt;Control!$C$94,$G144&lt;=Control!$C$95),(Control!$C$93-Control!$C$92)*(Control!$C$94-$G144)/(Control!$C$95-Control!$C$94))))))</f>
        <v>#N/A</v>
      </c>
      <c r="CC144" s="140" t="e">
        <f t="shared" ca="1" si="599"/>
        <v>#N/A</v>
      </c>
      <c r="CD144" s="140" t="e">
        <f ca="1">IF($CC144&lt;=Control!$C$90,$CC144,Control!$C$90-$CC144)</f>
        <v>#N/A</v>
      </c>
      <c r="CE144" s="140" t="e">
        <f ca="1">IF(AND($BB144&gt;=60,$BB144&lt;65),1,IF($CC144&gt;=Control!$C$90,0,$CA144))</f>
        <v>#N/A</v>
      </c>
      <c r="CF144" s="404" t="e">
        <f ca="1">IF($CE144=0,0,IF($CC144&lt;=Control!$C$90,$CA144*(60+(65-60)*(CD144/Control!$C$90)),0))</f>
        <v>#N/A</v>
      </c>
      <c r="CG144" s="140" t="e">
        <f ca="1">IF($BG144+$BM144+$BS144+$BY144+$CE144=1,0,IF(OR(AND($BB144&lt;90,$BB144&gt;=65),$CC144&gt;=Control!$C$90),$BA144,$CK143))</f>
        <v>#N/A</v>
      </c>
      <c r="CH144" s="140" t="e">
        <f ca="1">IF($CD144&lt;0,-$CD144,$CG144*IF(OR($G144&lt;Control!$C$92,$G144&gt;Control!$C$95),0,IF(AND($G144&gt;=Control!$C$92,$G144&lt;=Control!$C$93),$G144-Control!$C$92,IF(AND($G144&gt;Control!$C$93,$G144&lt;=Control!$C$94),Control!$C$93-Control!$C$92,IF(AND($G144&gt;Control!$C$94,$G144&lt;=Control!$C$95),(Control!$C$93-Control!$C$92)*(Control!$C$94-$G144)/(Control!$C$95-Control!$C$94))))))</f>
        <v>#N/A</v>
      </c>
      <c r="CI144" s="140" t="e">
        <f t="shared" ca="1" si="600"/>
        <v>#N/A</v>
      </c>
      <c r="CJ144" s="140" t="e">
        <f ca="1">IF($CI144&lt;=Control!$C$91,$CI144,Control!$C$91-$CI144)</f>
        <v>#N/A</v>
      </c>
      <c r="CK144" s="140" t="e">
        <f ca="1">IF(AND($BB144&gt;=65,$BB144&lt;90),1,IF($CI144&gt;=Control!$C$91,0,$CG144))</f>
        <v>#N/A</v>
      </c>
      <c r="CL144" s="404" t="e">
        <f ca="1">IF($CK144=0,0,IF($CI144&lt;=Control!$C$91,$CG144*(65+(90-65)*($CJ144/Control!$C$91)),0))</f>
        <v>#N/A</v>
      </c>
      <c r="CM144" s="140" t="e">
        <f ca="1">IF($BG144+$BM144+$BS144+$BY144+$CE144+$CK144=1,0,IF(OR($BB144&gt;=90,$CI144&gt;=Control!$C$91),$BA144,$CM143))</f>
        <v>#N/A</v>
      </c>
      <c r="CN144" s="140" t="e">
        <f t="shared" ca="1" si="601"/>
        <v>#N/A</v>
      </c>
      <c r="CO144" s="140" t="e">
        <f t="shared" ca="1" si="602"/>
        <v>#N/A</v>
      </c>
      <c r="CP144" s="140" t="e">
        <f t="shared" ca="1" si="603"/>
        <v>#N/A</v>
      </c>
      <c r="CQ144" s="141" t="e">
        <f ca="1">VLOOKUP($CP144,Control!$B$86:$G$91,6)</f>
        <v>#N/A</v>
      </c>
      <c r="CR144" s="141" t="e">
        <f ca="1">(1-$CQ144)*VLOOKUP($CP144,Control!$B$86:$D$91,3)</f>
        <v>#N/A</v>
      </c>
      <c r="CS144" s="141" t="e">
        <f ca="1">(1-$CQ144)*VLOOKUP($CP144,Control!$B$86:$E$91,4)</f>
        <v>#N/A</v>
      </c>
      <c r="CT144" s="141" t="e">
        <f ca="1">(1-$CQ144)*VLOOKUP($CP144,Control!$B$86:$F$91,5)</f>
        <v>#N/A</v>
      </c>
      <c r="CU144" s="141">
        <f t="shared" ca="1" si="604"/>
        <v>0</v>
      </c>
      <c r="CV144" s="583">
        <f t="shared" ca="1" si="605"/>
        <v>0</v>
      </c>
      <c r="CW144" s="142">
        <f t="shared" ca="1" si="606"/>
        <v>140</v>
      </c>
      <c r="CX144" s="612" t="e">
        <f ca="1">IF(Control!$C$114=1,(MIN(Control!$C$120*(IF($NT144-0.01&lt;0,0,1)),Control!$C$119-$CY144)))</f>
        <v>#DIV/0!</v>
      </c>
      <c r="CY144" s="143" t="e">
        <f t="shared" ca="1" si="607"/>
        <v>#N/A</v>
      </c>
      <c r="CZ144" s="144">
        <f t="shared" ca="1" si="484"/>
        <v>0</v>
      </c>
      <c r="DA144" s="144">
        <f t="shared" ca="1" si="485"/>
        <v>0</v>
      </c>
      <c r="DB144" s="144" t="e">
        <f t="shared" ca="1" si="486"/>
        <v>#N/A</v>
      </c>
      <c r="DC144" s="144" t="e">
        <f t="shared" ca="1" si="487"/>
        <v>#N/A</v>
      </c>
      <c r="DD144" s="144" t="e">
        <f t="shared" ca="1" si="692"/>
        <v>#N/A</v>
      </c>
      <c r="DE144" s="143" t="e">
        <f t="shared" ca="1" si="608"/>
        <v>#N/A</v>
      </c>
      <c r="DF144" s="145" t="e">
        <f ca="1">$DR144*EXP(-Control!$C$158*(1-$KH144))</f>
        <v>#N/A</v>
      </c>
      <c r="DG144" s="146" t="e">
        <f ca="1">IF(Control!$C$114=1, $DF144*$EY144, 0)</f>
        <v>#N/A</v>
      </c>
      <c r="DH144" s="147" t="e">
        <f t="shared" ca="1" si="609"/>
        <v>#N/A</v>
      </c>
      <c r="DI144" s="144" t="e">
        <f t="shared" ca="1" si="670"/>
        <v>#N/A</v>
      </c>
      <c r="DJ144" s="147" t="e">
        <f ca="1">$EF144*Control!$C$109</f>
        <v>#N/A</v>
      </c>
      <c r="DK144" s="144" t="e">
        <f t="shared" ca="1" si="610"/>
        <v>#N/A</v>
      </c>
      <c r="DL144" s="144" t="e">
        <f t="shared" ca="1" si="488"/>
        <v>#N/A</v>
      </c>
      <c r="DM144" s="144" t="e">
        <f ca="1">IF(Control!$C$114=1, (1-EXP(-Control!$C$96*$DK144))*$AR144, 0)</f>
        <v>#N/A</v>
      </c>
      <c r="DN144" s="144">
        <f t="shared" ca="1" si="611"/>
        <v>0</v>
      </c>
      <c r="DO144" s="148">
        <f>Control!$C$97</f>
        <v>4</v>
      </c>
      <c r="DP144" s="145" t="e">
        <f t="shared" ca="1" si="612"/>
        <v>#N/A</v>
      </c>
      <c r="DQ144" s="145" t="e">
        <f ca="1">IF(AND($CP144&gt;=0,$CP144&lt;=90),Control!$C$111,Control!$C$111)</f>
        <v>#N/A</v>
      </c>
      <c r="DR144" s="145" t="e">
        <f t="shared" ca="1" si="489"/>
        <v>#N/A</v>
      </c>
      <c r="DS144" s="143" t="e">
        <f ca="1">Control!$B$22/$DR144</f>
        <v>#N/A</v>
      </c>
      <c r="DT144" s="149" t="e">
        <f ca="1">IF(AND(Control!$C$114=1,$KH144&lt;1),$IM144*$DF144, 0)</f>
        <v>#N/A</v>
      </c>
      <c r="DU144" s="144" t="e">
        <f t="shared" ca="1" si="613"/>
        <v>#N/A</v>
      </c>
      <c r="DV144" s="144">
        <f ca="1">IF($G144-Control!$C$107&lt;=0, 0, 0.83*LN(MAX($G144, 3))-0.8924)</f>
        <v>0</v>
      </c>
      <c r="DW144" s="144" t="e">
        <f t="shared" ca="1" si="490"/>
        <v>#N/A</v>
      </c>
      <c r="DX144" s="150" t="e">
        <f ca="1">MAX(0.01*(1+$CU144/Control!$C$102),0.05*($DK144-Control!$C$97)/Control!$C$97)</f>
        <v>#N/A</v>
      </c>
      <c r="DY144" s="151" t="e">
        <f ca="1">IF(Control!$C$114=1, $DI144*$FS144, 0)</f>
        <v>#N/A</v>
      </c>
      <c r="DZ144" s="196" t="e">
        <f t="shared" ca="1" si="614"/>
        <v>#N/A</v>
      </c>
      <c r="EA144" s="152">
        <f t="shared" ca="1" si="615"/>
        <v>140</v>
      </c>
      <c r="EB144" s="153" t="e">
        <f t="shared" ca="1" si="616"/>
        <v>#N/A</v>
      </c>
      <c r="EC144" s="153" t="e">
        <f t="shared" ca="1" si="617"/>
        <v>#N/A</v>
      </c>
      <c r="ED144" s="154" t="e">
        <f ca="1">IF(Control!$C$114=1, $HM144*$FY144-$FD144, 0)</f>
        <v>#DIV/0!</v>
      </c>
      <c r="EE144" s="155" t="e">
        <f ca="1">IF(Control!$C$114=1, $HM144*$FZ144-$FF144, 0)</f>
        <v>#DIV/0!</v>
      </c>
      <c r="EF144" s="153" t="e">
        <f t="shared" ca="1" si="671"/>
        <v>#N/A</v>
      </c>
      <c r="EG144" s="155" t="e">
        <f ca="1">IF(Control!$C$114=1, $GX144*$FW144-$FI144, 0)</f>
        <v>#DIV/0!</v>
      </c>
      <c r="EH144" s="153" t="e">
        <f t="shared" ca="1" si="618"/>
        <v>#N/A</v>
      </c>
      <c r="EI144" s="156" t="e">
        <f t="shared" ca="1" si="619"/>
        <v>#N/A</v>
      </c>
      <c r="EJ144" s="155" t="e">
        <f ca="1">IF(Control!$C$114=1, $HM144*$GB144, 0)</f>
        <v>#DIV/0!</v>
      </c>
      <c r="EK144" s="153" t="e">
        <f t="shared" ca="1" si="672"/>
        <v>#N/A</v>
      </c>
      <c r="EL144" s="153" t="e">
        <f t="shared" ca="1" si="491"/>
        <v>#N/A</v>
      </c>
      <c r="EM144" s="153" t="e">
        <f t="shared" ca="1" si="492"/>
        <v>#N/A</v>
      </c>
      <c r="EN144" s="153" t="e">
        <f ca="1">IF(Control!$C$108=1,IF(AND(Control!$B$18=1,$EB144&gt;=Control!$B$19),$EB144-$DS144,IF(AND(Control!$B$18=2,$AW144=1,$EB144&gt;$DS144),$EB144-$DS144,0)))</f>
        <v>#N/A</v>
      </c>
      <c r="EO144" s="153" t="e">
        <f ca="1">IF(Control!$C$108=1,IF(AND(Control!$B$18=1,$EB144&gt;=Control!$B$19),$EF144,IF(AND(Control!$B$18=2,$AW144=1),$EF144,0)))</f>
        <v>#N/A</v>
      </c>
      <c r="EP144" s="153" t="e">
        <f ca="1">IF(Control!$C$108=1,IF(AND(Control!$B$18=1,$EB144&gt;=Control!$B$19),$EK144,IF(AND(Control!$B$18=2,$AW144=1),$EK144,0)))</f>
        <v>#N/A</v>
      </c>
      <c r="EQ144" s="153" t="e">
        <f t="shared" ca="1" si="620"/>
        <v>#N/A</v>
      </c>
      <c r="ER144" s="153" t="e">
        <f t="shared" ca="1" si="621"/>
        <v>#N/A</v>
      </c>
      <c r="ES144" s="153" t="e">
        <f t="shared" ca="1" si="673"/>
        <v>#N/A</v>
      </c>
      <c r="ET144" s="153" t="e">
        <f t="shared" ca="1" si="674"/>
        <v>#N/A</v>
      </c>
      <c r="EU144" s="153" t="e">
        <f t="shared" ca="1" si="622"/>
        <v>#N/A</v>
      </c>
      <c r="EV144" s="153" t="e">
        <f t="shared" ca="1" si="493"/>
        <v>#N/A</v>
      </c>
      <c r="EW144" s="153" t="e">
        <f t="shared" ca="1" si="494"/>
        <v>#N/A</v>
      </c>
      <c r="EX144" s="153" t="e">
        <f t="shared" ca="1" si="495"/>
        <v>#N/A</v>
      </c>
      <c r="EY144" s="157" t="e">
        <f t="shared" ca="1" si="496"/>
        <v>#DIV/0!</v>
      </c>
      <c r="EZ144" s="154" t="e">
        <f t="shared" ca="1" si="497"/>
        <v>#DIV/0!</v>
      </c>
      <c r="FA144" s="153" t="e">
        <f t="shared" ca="1" si="623"/>
        <v>#N/A</v>
      </c>
      <c r="FB144" s="153" t="e">
        <f t="shared" ca="1" si="498"/>
        <v>#N/A</v>
      </c>
      <c r="FC144" s="193" t="e">
        <f t="shared" ca="1" si="499"/>
        <v>#N/A</v>
      </c>
      <c r="FD144" s="158" t="e">
        <f t="shared" ca="1" si="624"/>
        <v>#N/A</v>
      </c>
      <c r="FE144" s="158" t="e">
        <f t="shared" ca="1" si="625"/>
        <v>#N/A</v>
      </c>
      <c r="FF144" s="159" t="e">
        <f t="shared" ca="1" si="500"/>
        <v>#N/A</v>
      </c>
      <c r="FG144" s="160" t="e">
        <f t="shared" ca="1" si="626"/>
        <v>#N/A</v>
      </c>
      <c r="FH144" s="158" t="e">
        <f t="shared" ca="1" si="627"/>
        <v>#N/A</v>
      </c>
      <c r="FI144" s="159" t="e">
        <f t="shared" ca="1" si="501"/>
        <v>#N/A</v>
      </c>
      <c r="FJ144" s="160" t="e">
        <f t="shared" ca="1" si="628"/>
        <v>#N/A</v>
      </c>
      <c r="FK144" s="160" t="e">
        <f t="shared" ca="1" si="502"/>
        <v>#N/A</v>
      </c>
      <c r="FL144" s="160" t="e">
        <f ca="1">$FL143+$FD143</f>
        <v>#N/A</v>
      </c>
      <c r="FM144" s="160" t="e">
        <f t="shared" ca="1" si="503"/>
        <v>#N/A</v>
      </c>
      <c r="FN144" s="158">
        <f t="shared" ca="1" si="629"/>
        <v>0.01</v>
      </c>
      <c r="FO144" s="160">
        <f>Control!$C$101</f>
        <v>50</v>
      </c>
      <c r="FP144" s="150" t="e">
        <f t="shared" ca="1" si="504"/>
        <v>#N/A</v>
      </c>
      <c r="FQ144" s="150" t="e">
        <f ca="1">MAX(0,(Control!$C$112*(($DK144-Control!$C$97)/Control!$C$97)))</f>
        <v>#N/A</v>
      </c>
      <c r="FR144" s="150" t="e">
        <f ca="1">(1-$NT144)*Control!$C$113</f>
        <v>#DIV/0!</v>
      </c>
      <c r="FS144" s="198" t="e">
        <f t="shared" ca="1" si="505"/>
        <v>#N/A</v>
      </c>
      <c r="FT144" s="161">
        <f t="shared" ca="1" si="630"/>
        <v>140</v>
      </c>
      <c r="FU144" s="162" t="e">
        <f ca="1">IF(Control!$B$34=1,VLOOKUP($CP144,Control!$B$86:$G$91,6),Control!$B$35)</f>
        <v>#N/A</v>
      </c>
      <c r="FV144" s="162" t="e">
        <f t="shared" ca="1" si="506"/>
        <v>#DIV/0!</v>
      </c>
      <c r="FW144" s="162" t="e">
        <f ca="1">IF(Control!$B$31=1,$FU144*$FV144,  $FU144)</f>
        <v>#N/A</v>
      </c>
      <c r="FX144" s="162" t="e">
        <f ca="1">IF(Control!$B$34=1,VLOOKUP($CP144,Control!$B$86:$G$91,3),Control!$B$36)</f>
        <v>#N/A</v>
      </c>
      <c r="FY144" s="162" t="e">
        <f t="shared" ca="1" si="507"/>
        <v>#N/A</v>
      </c>
      <c r="FZ144" s="162" t="e">
        <f ca="1">IF(Control!$B$34=1,VLOOKUP($CP144,Control!$B$86:$G$91,4),Control!$B$37)</f>
        <v>#N/A</v>
      </c>
      <c r="GA144" s="162" t="e">
        <f t="shared" ca="1" si="508"/>
        <v>#N/A</v>
      </c>
      <c r="GB144" s="162" t="e">
        <f ca="1">IF(Control!$B$34=1,VLOOKUP($CP144,Control!$B$86:$G$91,5),Control!$B$38)</f>
        <v>#N/A</v>
      </c>
      <c r="GC144" s="162" t="e">
        <f t="shared" ca="1" si="631"/>
        <v>#N/A</v>
      </c>
      <c r="GD144" s="162">
        <f t="shared" ca="1" si="509"/>
        <v>1</v>
      </c>
      <c r="GE144" s="162">
        <f t="shared" ca="1" si="510"/>
        <v>1</v>
      </c>
      <c r="GF144" s="162">
        <f ca="1">IF(AND(Control!$C$104=1, Control!$C$62="F"),$GE144,1)</f>
        <v>1</v>
      </c>
      <c r="GG144" s="162" t="e">
        <f ca="1">IF(Control!$B$16=40,0,IF(AND(Control!$B$16&gt;40,Control!$B$16&lt;=360),(Control!$B$16-40)*((1-0)/(360-40)),IF(AND(Control!$B$16&gt;360,Control!$B$16&lt;=720),(1+(Control!$B$16-360)*((1.25-1)/(720-360))),IF(AND(Control!$B$16&gt;720,Control!$B$16&lt;=1000),(1.25+(Control!$B$16-720)*((1.35-1.25)/(1000-720))),IF(AND(Control!$B$16&gt;1000,Control!$B$16&lt;=2000),(1.35+(Control!$B$16-1000)*0))))))</f>
        <v>#N/A</v>
      </c>
      <c r="GH144" s="162" t="e">
        <f t="shared" ca="1" si="511"/>
        <v>#N/A</v>
      </c>
      <c r="GI144" s="162">
        <f t="shared" ca="1" si="632"/>
        <v>0</v>
      </c>
      <c r="GJ144" s="162">
        <f t="shared" ca="1" si="512"/>
        <v>0</v>
      </c>
      <c r="GK144" s="162">
        <f t="shared" ca="1" si="633"/>
        <v>1</v>
      </c>
      <c r="GL144" s="162">
        <f t="shared" ca="1" si="513"/>
        <v>1</v>
      </c>
      <c r="GM144" s="162" t="e">
        <f ca="1">MAX(0,MIN(1,1-Control!$C$156*(1.0001-$KH144)^2))</f>
        <v>#N/A</v>
      </c>
      <c r="GN144" s="162" t="e">
        <f ca="1">IF(Control!$B$26=1,$KU144,$KX144)</f>
        <v>#N/A</v>
      </c>
      <c r="GO144" s="162" t="e">
        <f ca="1">IF($CP144&lt;=60,Control!$C$105,IF($CP144&gt;=90,Control!$C$106,Control!$C$105+($CP144-60)*((Control!$C$106-Control!$C$105)/(90-60))))</f>
        <v>#N/A</v>
      </c>
      <c r="GP144" s="162" t="e">
        <f t="shared" ca="1" si="514"/>
        <v>#N/A</v>
      </c>
      <c r="GQ144" s="162" t="e">
        <f t="shared" ca="1" si="634"/>
        <v>#N/A</v>
      </c>
      <c r="GR144" s="163" t="e">
        <f t="shared" ca="1" si="515"/>
        <v>#DIV/0!</v>
      </c>
      <c r="GS144" s="162" t="e">
        <f t="shared" ca="1" si="516"/>
        <v>#DIV/0!</v>
      </c>
      <c r="GT144" s="164" t="e">
        <f t="shared" ca="1" si="635"/>
        <v>#N/A</v>
      </c>
      <c r="GU144" s="162" t="e">
        <f t="shared" ca="1" si="636"/>
        <v>#N/A</v>
      </c>
      <c r="GV144" s="162" t="e">
        <f t="shared" ca="1" si="517"/>
        <v>#N/A</v>
      </c>
      <c r="GW144" s="162" t="e">
        <f t="shared" ca="1" si="518"/>
        <v>#DIV/0!</v>
      </c>
      <c r="GX144" s="162" t="e">
        <f t="shared" ca="1" si="637"/>
        <v>#DIV/0!</v>
      </c>
      <c r="GY144" s="162" t="e">
        <f t="shared" ca="1" si="638"/>
        <v>#DIV/0!</v>
      </c>
      <c r="GZ144" s="165" t="e">
        <f t="shared" ca="1" si="519"/>
        <v>#N/A</v>
      </c>
      <c r="HA144" s="162" t="e">
        <f ca="1">IF(Control!$C$114=1, $DI144*$FS144, 0)</f>
        <v>#N/A</v>
      </c>
      <c r="HB144" s="162" t="e">
        <f ca="1">$FA144/Control!$C$64</f>
        <v>#N/A</v>
      </c>
      <c r="HC144" s="162" t="e">
        <f t="shared" ca="1" si="520"/>
        <v>#DIV/0!</v>
      </c>
      <c r="HD144" s="162">
        <f ca="1">-ASIN(SIN(23.45*Control!$C$139)*COS(2*Control!$C$138*($AH144+10)/365))</f>
        <v>0.34402585149486842</v>
      </c>
      <c r="HE144" s="165">
        <f t="shared" ca="1" si="639"/>
        <v>0</v>
      </c>
      <c r="HF144" s="166">
        <f ca="1">IF(AND(Control!$C$61="T",$HE144&gt;=Control!$C$103,Control!$C$114=0),$AH144,Control!$C$59)</f>
        <v>1</v>
      </c>
      <c r="HG144" s="166">
        <f ca="1">IF(AND(Control!$C$61="T",$HE144&gt;=Control!$C$103,Control!$C$114=0),$HF144,Control!$C$59)</f>
        <v>1</v>
      </c>
      <c r="HH144" s="165">
        <f ca="1">IF(AND(OR(Control!$C$60&lt;=0, $AH144= Control!$C$59, Control!$C$60 &gt;0, $AH144 = Control!$C$60)), Control!$C$59, IF(Control!$C$60&gt;0, 0))</f>
        <v>1</v>
      </c>
      <c r="HI144" s="165">
        <f ca="1">IF(AND(OR(Control!$C$60&lt;=0, $AH144= Control!$C$59, Control!$C$60 &gt;0, $AH144 = Control!$C$60)), Control!$C$60, IF(Control!$C$60&lt;=0, 0))</f>
        <v>0</v>
      </c>
      <c r="HJ144" s="166">
        <f ca="1">IF(AND(Control!$C$62="F",$CV144&gt;=Control!$C$102),$AH144,0)</f>
        <v>0</v>
      </c>
      <c r="HK144" s="165" t="e">
        <f t="shared" ca="1" si="676"/>
        <v>#N/A</v>
      </c>
      <c r="HL144" s="166">
        <f ca="1">IF(AND(Control!$C$61="T",$HE144&gt;=Control!$C$103,Control!$C$114=0),$HF144,0)</f>
        <v>0</v>
      </c>
      <c r="HM144" s="201" t="e">
        <f t="shared" ca="1" si="521"/>
        <v>#DIV/0!</v>
      </c>
      <c r="HN144" s="215">
        <f t="shared" ca="1" si="640"/>
        <v>140</v>
      </c>
      <c r="HO144" s="216" t="e">
        <f ca="1">IF(AND($CP144&gt;=0, $CP144&lt;=90), Control!$C$152, Control!$C$152)</f>
        <v>#N/A</v>
      </c>
      <c r="HP144" s="216" t="e">
        <f t="shared" ca="1" si="522"/>
        <v>#N/A</v>
      </c>
      <c r="HQ144" s="217" t="e">
        <f ca="1">IF(OR(Control!$B$26=1,Control!$B$26=2),$KV144,$KS144)</f>
        <v>#DIV/0!</v>
      </c>
      <c r="HR144" s="218" t="e">
        <f t="shared" ca="1" si="677"/>
        <v>#DIV/0!</v>
      </c>
      <c r="HS144" s="216" t="e">
        <f ca="1">Control!$C$154*$HP144</f>
        <v>#N/A</v>
      </c>
      <c r="HT144" s="216" t="e">
        <f ca="1">Control!$C$155*$HP144</f>
        <v>#N/A</v>
      </c>
      <c r="HU144" s="217" t="e">
        <f ca="1">Control!$C$161*$FI144</f>
        <v>#N/A</v>
      </c>
      <c r="HV144" s="218" t="e">
        <f t="shared" ca="1" si="641"/>
        <v>#N/A</v>
      </c>
      <c r="HW144" s="218" t="e">
        <f ca="1">Control!$C$160*$FF144+$IP144*$EO144</f>
        <v>#N/A</v>
      </c>
      <c r="HX144" s="218" t="e">
        <f t="shared" ca="1" si="678"/>
        <v>#N/A</v>
      </c>
      <c r="HY144" s="219" t="e">
        <f ca="1">IF(Control!$C$114=1, $EB144*$FS144, 0)</f>
        <v>#N/A</v>
      </c>
      <c r="HZ144" s="91" t="e">
        <f t="shared" ca="1" si="523"/>
        <v>#N/A</v>
      </c>
      <c r="IA144" s="220" t="e">
        <f ca="1">Control!$C$153*$HO144</f>
        <v>#N/A</v>
      </c>
      <c r="IB144" s="218" t="e">
        <f t="shared" ca="1" si="524"/>
        <v>#N/A</v>
      </c>
      <c r="IC144" s="220" t="e">
        <f ca="1">Control!$C$153*$HT144</f>
        <v>#N/A</v>
      </c>
      <c r="ID144" s="218" t="e">
        <f t="shared" ca="1" si="525"/>
        <v>#N/A</v>
      </c>
      <c r="IE144" s="221" t="e">
        <f ca="1">($EB144*Control!$C$159+$EF144*Control!$C$160)/(IF($GZ144&lt;&gt;0,$GZ144,1))</f>
        <v>#N/A</v>
      </c>
      <c r="IF144" s="216" t="e">
        <f t="shared" ca="1" si="526"/>
        <v>#N/A</v>
      </c>
      <c r="IG144" s="91">
        <f ca="1">IF(OR(Control!$B$198=$AH144,Control!$B$199=$AH144, Control!$B$200=$AH144, Control!$B$201=$AH144, Control!$B$202=$AH144, Control!$B$203=$AH144, Control!$B$204=$AH144, Control!$B$205=$AH144, Control!$B$206=$AH144, Control!$B$207=$AH144), 1, 0)</f>
        <v>0</v>
      </c>
      <c r="IH144" s="91">
        <f ca="1">IF($IG144=0,0, VLOOKUP($AH144,Control!$B$198:$C$207,2))</f>
        <v>0</v>
      </c>
      <c r="II144" s="222">
        <f t="shared" ca="1" si="642"/>
        <v>0</v>
      </c>
      <c r="IJ144" s="91">
        <f>Control!$C$121</f>
        <v>0.7</v>
      </c>
      <c r="IK144" s="218">
        <f t="shared" ca="1" si="527"/>
        <v>0</v>
      </c>
      <c r="IL144" s="217" t="e">
        <f t="shared" ca="1" si="679"/>
        <v>#N/A</v>
      </c>
      <c r="IM144" s="223" t="e">
        <f ca="1">IF(AND(Control!$C$114=1,$KH144&lt;1),$EB144*Control!$C$148*(1-$KH144), 0)</f>
        <v>#N/A</v>
      </c>
      <c r="IN144" s="217" t="e">
        <f t="shared" ca="1" si="528"/>
        <v>#DIV/0!</v>
      </c>
      <c r="IO144" s="91" t="e">
        <f ca="1">MAX(0,$IL144-$EF144*Control!$C$160)</f>
        <v>#N/A</v>
      </c>
      <c r="IP144" s="220" t="e">
        <f t="shared" ca="1" si="529"/>
        <v>#N/A</v>
      </c>
      <c r="IQ144" s="217" t="e">
        <f t="shared" ca="1" si="643"/>
        <v>#N/A</v>
      </c>
      <c r="IR144" s="218" t="e">
        <f t="shared" ca="1" si="530"/>
        <v>#N/A</v>
      </c>
      <c r="IS144" s="217" t="e">
        <f ca="1">Control!$C$159*MAX(0,$FD144-$EN144)</f>
        <v>#N/A</v>
      </c>
      <c r="IT144" s="217" t="e">
        <f t="shared" ca="1" si="680"/>
        <v>#N/A</v>
      </c>
      <c r="IU144" s="217" t="e">
        <f t="shared" ca="1" si="644"/>
        <v>#N/A</v>
      </c>
      <c r="IV144" s="217" t="e">
        <f t="shared" ca="1" si="681"/>
        <v>#N/A</v>
      </c>
      <c r="IW144" s="217" t="e">
        <f ca="1">IF(OR($AW144=1,AND($AW144=0, Control!$B$18=1,$EN144&lt;&gt;0)), $IQ144-$IU144, $IQ144)</f>
        <v>#N/A</v>
      </c>
      <c r="IX144" s="218" t="e">
        <f t="shared" ca="1" si="531"/>
        <v>#N/A</v>
      </c>
      <c r="IY144" s="218" t="e">
        <f ca="1">MAX(0,$IQ144-$EB144*Control!$C$159)</f>
        <v>#N/A</v>
      </c>
      <c r="IZ144" s="218" t="e">
        <f t="shared" ca="1" si="532"/>
        <v>#N/A</v>
      </c>
      <c r="JA144" s="216" t="e">
        <f t="shared" ca="1" si="533"/>
        <v>#N/A</v>
      </c>
      <c r="JB144" s="217" t="e">
        <f t="shared" ca="1" si="534"/>
        <v>#N/A</v>
      </c>
      <c r="JC144" s="222" t="e">
        <f ca="1">MAX(Control!$C$157*$EK144-$JT144, 0)/Control!$C$162</f>
        <v>#N/A</v>
      </c>
      <c r="JD144" s="218" t="e">
        <f t="shared" ca="1" si="535"/>
        <v>#N/A</v>
      </c>
      <c r="JE144" s="218" t="e">
        <f t="shared" ca="1" si="536"/>
        <v>#N/A</v>
      </c>
      <c r="JF144" s="218" t="e">
        <f t="shared" ca="1" si="645"/>
        <v>#N/A</v>
      </c>
      <c r="JG144" s="218" t="e">
        <f t="shared" ca="1" si="537"/>
        <v>#N/A</v>
      </c>
      <c r="JH144" s="217" t="e">
        <f t="shared" ca="1" si="646"/>
        <v>#N/A</v>
      </c>
      <c r="JI144" s="217" t="e">
        <f t="shared" ca="1" si="647"/>
        <v>#N/A</v>
      </c>
      <c r="JJ144" s="217" t="e">
        <f t="shared" ca="1" si="682"/>
        <v>#N/A</v>
      </c>
      <c r="JK144" s="217" t="e">
        <f ca="1">IF(Control!$C$114=1,IF(Control!$B$24=0,MAX(0,$JI144)*$GN144/Control!$C$64,(MAX(0,MIN($JI144,$JJ144*$GN144/Control!$C$64),0))))</f>
        <v>#N/A</v>
      </c>
      <c r="JL144" s="217" t="e">
        <f ca="1">$IK144/Control!$C$64-$JK144+$HQ144</f>
        <v>#N/A</v>
      </c>
      <c r="JM144" s="217" t="e">
        <f ca="1">IF(Control!$C$114=1,($JB144/(IF($JI144&lt;&gt;0,$JI144,1)))*$JK144,0)</f>
        <v>#N/A</v>
      </c>
      <c r="JN144" s="217" t="e">
        <f ca="1">IF(Control!$C$114=1,($JG144/(IF($JI144&lt;&gt;0,$JI144,1)))*$JK144, 0)</f>
        <v>#N/A</v>
      </c>
      <c r="JO144" s="218" t="e">
        <f t="shared" ca="1" si="538"/>
        <v>#N/A</v>
      </c>
      <c r="JP144" s="218" t="e">
        <f ca="1">MIN(($IY144+$IO144)*Control!$C$151, $JF144-$EH144*Control!$C$161)</f>
        <v>#N/A</v>
      </c>
      <c r="JQ144" s="218" t="e">
        <f t="shared" ca="1" si="539"/>
        <v>#N/A</v>
      </c>
      <c r="JR144" s="217" t="e">
        <f ca="1">IF($CP144-Control!$C$150&lt;0, 0, $JQ144/Control!$C$162)</f>
        <v>#N/A</v>
      </c>
      <c r="JS144" s="218" t="e">
        <f t="shared" ca="1" si="540"/>
        <v>#N/A</v>
      </c>
      <c r="JT144" s="218" t="e">
        <f t="shared" ca="1" si="648"/>
        <v>#N/A</v>
      </c>
      <c r="JU144" s="218" t="e">
        <f t="shared" ca="1" si="541"/>
        <v>#N/A</v>
      </c>
      <c r="JV144" s="218" t="e">
        <f t="shared" ca="1" si="542"/>
        <v>#N/A</v>
      </c>
      <c r="JW144" s="216" t="e">
        <f t="shared" ca="1" si="543"/>
        <v>#N/A</v>
      </c>
      <c r="JX144" s="91" t="e">
        <f t="shared" ca="1" si="544"/>
        <v>#N/A</v>
      </c>
      <c r="JY144" s="218" t="e">
        <f t="shared" ca="1" si="545"/>
        <v>#N/A</v>
      </c>
      <c r="JZ144" s="217" t="e">
        <f ca="1">IF(Control!$C$114=1,($IZ144/(IF($JI144&lt;&gt;0,$JI144,1)))*$JK144, 0)</f>
        <v>#N/A</v>
      </c>
      <c r="KA144" s="218" t="e">
        <f t="shared" ca="1" si="683"/>
        <v>#N/A</v>
      </c>
      <c r="KB144" s="218" t="e">
        <f t="shared" ca="1" si="649"/>
        <v>#N/A</v>
      </c>
      <c r="KC144" s="218" t="e">
        <f t="shared" ca="1" si="546"/>
        <v>#N/A</v>
      </c>
      <c r="KD144" s="218" t="e">
        <f t="shared" ca="1" si="547"/>
        <v>#N/A</v>
      </c>
      <c r="KE144" s="218" t="e">
        <f t="shared" ca="1" si="548"/>
        <v>#N/A</v>
      </c>
      <c r="KF144" s="218" t="e">
        <f t="shared" ca="1" si="549"/>
        <v>#N/A</v>
      </c>
      <c r="KG144" s="216" t="e">
        <f t="shared" ca="1" si="550"/>
        <v>#N/A</v>
      </c>
      <c r="KH144" s="221" t="e">
        <f ca="1">IF(Control!$B$24=0,1,MAX(0.001,MIN(1,IF(($IF144-$IE144)&lt;&gt;0,($KG144-$IE144)/($IF144-$IE144),1))))</f>
        <v>#N/A</v>
      </c>
      <c r="KI144" s="222" t="e">
        <f ca="1">IF(Control!$C$114=1, $KI143+ $KH143, 0)</f>
        <v>#N/A</v>
      </c>
      <c r="KJ144" s="217" t="e">
        <f t="shared" ca="1" si="551"/>
        <v>#N/A</v>
      </c>
      <c r="KK144" s="218" t="e">
        <f t="shared" ca="1" si="552"/>
        <v>#N/A</v>
      </c>
      <c r="KL144" s="274" t="e">
        <f ca="1">IF(Control!$B$26=3,4000000000*EXP(-8400/($G144+273)),IF(Control!$B$26=4,4000000000*EXP(-8400/($G144+273))*($KT144),0))</f>
        <v>#DIV/0!</v>
      </c>
      <c r="KM144" s="274" t="e">
        <f ca="1">IF(Control!$B$26=3,5600000000000*EXP(-9800/($G144+273)),IF(Control!$B$26=4,5600000000000*EXP(-9800/($G144+273))*$KT144,0))</f>
        <v>#DIV/0!</v>
      </c>
      <c r="KN144" s="454" t="e">
        <f t="shared" ca="1" si="650"/>
        <v>#DIV/0!</v>
      </c>
      <c r="KO144" s="274" t="e">
        <f t="shared" ca="1" si="651"/>
        <v>#DIV/0!</v>
      </c>
      <c r="KP144" s="454" t="e">
        <f t="shared" ca="1" si="553"/>
        <v>#DIV/0!</v>
      </c>
      <c r="KQ144" s="454" t="e">
        <f t="shared" ca="1" si="554"/>
        <v>#DIV/0!</v>
      </c>
      <c r="KR144" s="454" t="e">
        <f t="shared" ca="1" si="555"/>
        <v>#DIV/0!</v>
      </c>
      <c r="KS144" s="454" t="e">
        <f t="shared" ca="1" si="556"/>
        <v>#DIV/0!</v>
      </c>
      <c r="KT144" s="455" t="e">
        <f t="shared" ca="1" si="557"/>
        <v>#DIV/0!</v>
      </c>
      <c r="KU144" s="456" t="e">
        <f ca="1">IF($CP144-Control!$C$149&lt;0, IF($NT144-0.01&lt;0,0,1),0)</f>
        <v>#N/A</v>
      </c>
      <c r="KV144" s="456" t="e">
        <f ca="1">IF(Control!$C$114=1,MAX(0,MIN(Control!$C$125*$KW144*$GN144,$KW144)))</f>
        <v>#DIV/0!</v>
      </c>
      <c r="KW144" s="456" t="e">
        <f t="shared" ca="1" si="684"/>
        <v>#DIV/0!</v>
      </c>
      <c r="KX144" s="457" t="e">
        <f ca="1">IF($CP144-Control!$C$149&lt;0, IF($MR144-$OM144&lt;0,0,1),0)</f>
        <v>#N/A</v>
      </c>
      <c r="KY144" s="167">
        <f t="shared" ca="1" si="652"/>
        <v>140</v>
      </c>
      <c r="KZ144" s="168">
        <f ca="1">1370*(1+0.033*COS(2*Control!$C$138*$AH144/365))</f>
        <v>1336.3588906659093</v>
      </c>
      <c r="LA144" s="169">
        <f t="shared" ca="1" si="653"/>
        <v>0.97544456998424511</v>
      </c>
      <c r="LB144" s="169">
        <f t="shared" ca="1" si="654"/>
        <v>0.34850980170418311</v>
      </c>
      <c r="LC144" s="169">
        <f ca="1">ACOS(-TAN((2*Control!$B$8/360))*TAN(Calculations!$LB144))</f>
        <v>1.6789932851846583</v>
      </c>
      <c r="LD144" s="169">
        <f ca="1">((24*60)/PI())*0.082*$LA144*(($LC144*SIN(Control!$B$8*2*PI()/360))*SIN($LB144)+COS(Control!$B$8*2*PI()/360)*COS($LB144)*SIN($LC144))</f>
        <v>37.656265825496497</v>
      </c>
      <c r="LE144" s="170">
        <f t="shared" ca="1" si="558"/>
        <v>38.768546621922553</v>
      </c>
      <c r="LF144" s="170">
        <f ca="1">SIN(Control!$C$139*Control!$B$8)*SIN($HD144)</f>
        <v>0.26578052617559</v>
      </c>
      <c r="LG144" s="170">
        <f ca="1">COS(Control!$C$139*Control!$B$8)*COS($HD144)</f>
        <v>0.57958488421086307</v>
      </c>
      <c r="LH144" s="170">
        <f ca="1">12*(1+2*ASIN(MAX(-1,MIN(1,$LF144/$LG144))/Control!$C$138))</f>
        <v>15.515773284116213</v>
      </c>
      <c r="LI144" s="170">
        <f ca="1">12*(1+2*ASIN(MAX(-1,MIN(1,(-SIN(-4*Control!$C$139)+$LF144)/$LG144))/Control!$C$138))</f>
        <v>16.448085255079693</v>
      </c>
      <c r="LJ144" s="168">
        <f ca="1">3600*($LH144*$LF144+24*$LG144*SQRT(1-$LK144*$LK144)/Control!$C$138)</f>
        <v>29010.580086464754</v>
      </c>
      <c r="LK144" s="170">
        <f t="shared" ca="1" si="559"/>
        <v>0.45857049315125759</v>
      </c>
      <c r="LL144" s="170">
        <f t="shared" ca="1" si="560"/>
        <v>0</v>
      </c>
      <c r="LM144" s="171">
        <f ca="1">Control!$C$145*$AB144</f>
        <v>6.6660906138995932E-2</v>
      </c>
      <c r="LN144" s="170">
        <f t="shared" ca="1" si="655"/>
        <v>0.54</v>
      </c>
      <c r="LO144" s="170">
        <f t="shared" ca="1" si="561"/>
        <v>0</v>
      </c>
      <c r="LP144" s="170">
        <f ca="1">Control!$C$140*((($D144+273.16)^4+($E144+273.16)^4)/2)*(0.34-0.14*SQRT($Y144))*(1.35*$AQ144/(0.75*$LD144)-0.35)</f>
        <v>-3.2464704755046001</v>
      </c>
      <c r="LQ144" s="170">
        <f ca="1">Control!$C$140*($G144+273)^4*(0.56-0.079*SQRT($Y144*10))*(0.1+0.9*$LO144)</f>
        <v>1.5241745131704001</v>
      </c>
      <c r="LR144" s="170">
        <f ca="1">$AQ144*(1-Control!$C$142)-$LQ144</f>
        <v>-1.5241745131704001</v>
      </c>
      <c r="LS144" s="170">
        <f ca="1">$AQ144*(1-Control!$C$143)-$LQ144</f>
        <v>-1.5241745131704001</v>
      </c>
      <c r="LT144" s="170">
        <f ca="1">$AQ144*(1-Control!$C$144)-$LQ144</f>
        <v>-1.5241745131704001</v>
      </c>
      <c r="LU144" s="169">
        <f ca="1">(1-Control!$C$144)*AQ144-LP144</f>
        <v>3.2464704755046001</v>
      </c>
      <c r="LV144" s="172">
        <f t="shared" ca="1" si="562"/>
        <v>0.79430000000000012</v>
      </c>
      <c r="LW144" s="170">
        <f t="shared" ca="1" si="563"/>
        <v>1.5886000000000002</v>
      </c>
      <c r="LX144" s="170">
        <f ca="1">($AC144*($LR144/Control!$C$141)+$LM144*$LV144)/($AC144+$LM144)</f>
        <v>0.23530094218323697</v>
      </c>
      <c r="LY144" s="170">
        <f ca="1">($AC144*($LS144/Control!$C$141)+$LM144*$LV144)/($AC144+$LM144)</f>
        <v>0.23530094218323697</v>
      </c>
      <c r="LZ144" s="170">
        <f t="shared" ca="1" si="564"/>
        <v>0.23530094218323697</v>
      </c>
      <c r="MA144" s="170">
        <f t="shared" ca="1" si="565"/>
        <v>0.23530094218323697</v>
      </c>
      <c r="MB144" s="170" t="e">
        <f t="shared" ca="1" si="566"/>
        <v>#N/A</v>
      </c>
      <c r="MC144" s="170">
        <f t="shared" ca="1" si="656"/>
        <v>0.6018</v>
      </c>
      <c r="MD144" s="170">
        <f t="shared" ca="1" si="567"/>
        <v>0.52989392535414004</v>
      </c>
      <c r="ME144" s="170">
        <f ca="1">($AC144*($LT144/Control!$C$141)+$LM144*$LW144)/($AC144+$LM144)</f>
        <v>0.71612369323045078</v>
      </c>
      <c r="MF144" s="170" t="e">
        <f ca="1">IF(Control!$B$16&gt;=1000,0.92,IF(AND(720&lt;=Control!$B$16,1000&gt;Control!$B$16),(0.95+(Control!$B$16-720)*((0.92-0.95)/(1000-720))),IF(AND(360&lt;=Control!$B$16,720&gt;Control!$B$16),(1+(Control!$B$16-360)*((0.95-1)/(720-360))),IF(AND(40&lt;=Control!$B$16,360&gt;Control!$B$16),(1.05+(Control!$B$16-40)*((1.05-1)/(360-40)))))))</f>
        <v>#N/A</v>
      </c>
      <c r="MG144" s="170">
        <f t="shared" ca="1" si="568"/>
        <v>0.71612369323045078</v>
      </c>
      <c r="MH144" s="170" t="e">
        <f t="shared" ca="1" si="464"/>
        <v>#N/A</v>
      </c>
      <c r="MI144" s="170" t="e">
        <f t="shared" ca="1" si="464"/>
        <v>#N/A</v>
      </c>
      <c r="MJ144" s="170" t="e">
        <f ca="1">MAX(0.0001, Control!$C$132*$MI144*$DL144)</f>
        <v>#N/A</v>
      </c>
      <c r="MK144" s="170">
        <f ca="1">1/(0.76+1.5*($MG144/10))-(5-Control!$C$110)*0.1</f>
        <v>1.002845988140797</v>
      </c>
      <c r="ML144" s="173">
        <f ca="1">IF(Control!$C$110&lt;3,$MK144+($MG144-0.6)/(Control!$C$110*(Control!$C$110+3)), MAX(0.1, MIN(0.95,$MK144)))</f>
        <v>0.95</v>
      </c>
      <c r="MM144" s="173">
        <f ca="1">IF(Control!$C$110&lt;3,$MK144+(($MI144/10)-0.6)/(Control!$C$110*(Control!$C$110+3)), MAX(0.1, MIN(0.95,$MK144)))</f>
        <v>0.95</v>
      </c>
      <c r="MN144" s="173">
        <f ca="1">(1-$MM144)*(Control!$C$128-Control!$C$127)+Control!$C$127</f>
        <v>0.16</v>
      </c>
      <c r="MO144" s="170" t="e">
        <f ca="1">MAX(0,MIN(1,($MS144-Control!$C$127)/($MN144-Control!$C$127)))</f>
        <v>#DIV/0!</v>
      </c>
      <c r="MP144" s="173" t="e">
        <f ca="1">1/(0.76+1.5*$MI144)-(5-Control!$C$110)*0.1</f>
        <v>#N/A</v>
      </c>
      <c r="MQ144" s="172" t="e">
        <f t="shared" ca="1" si="685"/>
        <v>#DIV/0!</v>
      </c>
      <c r="MR144" s="168" t="e">
        <f t="shared" ca="1" si="657"/>
        <v>#DIV/0!</v>
      </c>
      <c r="MS144" s="173" t="e">
        <f ca="1">MAX(Control!$C$127, MIN(Control!$C$135, $MR144/MAX(0.0001,$CY144)))</f>
        <v>#DIV/0!</v>
      </c>
      <c r="MT144" s="168" t="e">
        <f ca="1">(Control!$C$128-$MS144)*Control!$C$74</f>
        <v>#DIV/0!</v>
      </c>
      <c r="MU144" s="168" t="e">
        <f ca="1">(Control!$C$135-$MS144)*Control!$C$74</f>
        <v>#DIV/0!</v>
      </c>
      <c r="MV144" s="168" t="e">
        <f t="shared" ca="1" si="658"/>
        <v>#DIV/0!</v>
      </c>
      <c r="MW144" s="168" t="e">
        <f t="shared" ca="1" si="659"/>
        <v>#DIV/0!</v>
      </c>
      <c r="MX144" s="171" t="e">
        <f ca="1">MAX(Control!$C$127, MIN(Control!$C$135, $MW144/MAX(0.0001,Control!$C$119-$CY144)))</f>
        <v>#DIV/0!</v>
      </c>
      <c r="MY144" s="54" t="e">
        <f ca="1">IF(Control!$C$114=1, $CX144*$MX144, 0)</f>
        <v>#DIV/0!</v>
      </c>
      <c r="MZ144" s="54" t="e">
        <f t="shared" ca="1" si="660"/>
        <v>#N/A</v>
      </c>
      <c r="NA144" s="168" t="e">
        <f ca="1">(Control!$C$128-$MX144)*(Control!$C$119-Control!$C$74)</f>
        <v>#DIV/0!</v>
      </c>
      <c r="NB144" s="168" t="e">
        <f ca="1">(Control!$C$135-$MX144)*(Control!$C$119-Control!$C$74)</f>
        <v>#DIV/0!</v>
      </c>
      <c r="NC144" s="174" t="e">
        <f t="shared" ca="1" si="661"/>
        <v>#DIV/0!</v>
      </c>
      <c r="ND144" s="54">
        <f ca="1">IF(Control!$C$58=2, IF(OR(Control!$B$218=$AH144,Control!$B$219=$AH144, Control!$B$220=$AH144, Control!$B$221=$AH144, Control!$B$222=$AH144, Control!$B$223=$AH144, Control!$B$224=$AH144, Control!$B$225=$AH144, Control!$B$226=$AH144, Control!$B$227=$AH144, Control!$B$228=$AH144), 1, 0), 0)</f>
        <v>0</v>
      </c>
      <c r="NE144" s="54">
        <f ca="1">IF($ND144=0,0, VLOOKUP($AH144,Control!$B$218:$C$228,2))</f>
        <v>0</v>
      </c>
      <c r="NF144" s="168" t="e">
        <f ca="1">$CY144*(Control!$C$128-Control!$C$127)</f>
        <v>#N/A</v>
      </c>
      <c r="NG144" s="54" t="e">
        <f ca="1">IF(Control!$C$58=2, $NI143-$NJ143, 0)</f>
        <v>#DIV/0!</v>
      </c>
      <c r="NH144" s="54" t="e">
        <f ca="1">IF(AND(Control!$C$58=1, $MS143&lt;= ($MN143+0.02), $I143&lt;10), 0, IF(Control!$C$58=2, $NG143, 0))</f>
        <v>#DIV/0!</v>
      </c>
      <c r="NI144" s="54" t="e">
        <f ca="1">IF(Control!$C$58=2, $NE144+$NH144,0)</f>
        <v>#DIV/0!</v>
      </c>
      <c r="NJ144" s="54" t="e">
        <f ca="1">IF(AND(Control!$C$58=1, $MS144&lt;= ($MN144+0.02), $I144&lt;10), MAX(0, MIN(10, 0.7*($NF144-$MV144))), IF(Control!$C$58=2, MIN(10,$NI144),0))</f>
        <v>#DIV/0!</v>
      </c>
      <c r="NK144" s="54" t="e">
        <f t="shared" ca="1" si="569"/>
        <v>#DIV/0!</v>
      </c>
      <c r="NL144" s="173" t="e">
        <f ca="1">(1-Control!$C$73)*$I144+$NJ144</f>
        <v>#DIV/0!</v>
      </c>
      <c r="NM144" s="172" t="e">
        <f ca="1">IF($NL144&lt;0.5, $MB144* MAX(0, MIN(1, (SQRT($NC144)-SQRT($NC144-1))*Control!$C$71)),0)</f>
        <v>#DIV/0!</v>
      </c>
      <c r="NN144" s="170" t="e">
        <f ca="1">IF($NL144&gt;=5, $MB144, MAX(0,MIN($MB144, $NM144+$NL144,($MS144-Control!$C$129))))</f>
        <v>#DIV/0!</v>
      </c>
      <c r="NO144" s="54">
        <f>IF(Control!$C$133&lt;&gt;1, Control!$C$135-Control!$C$131, 0)</f>
        <v>0.38</v>
      </c>
      <c r="NP144" s="54" t="e">
        <f t="shared" ca="1" si="570"/>
        <v>#DIV/0!</v>
      </c>
      <c r="NQ144" s="173" t="e">
        <f ca="1">MAX(0,MIN(1,(Control!$C$135-$MS144)/(Control!$C$135-$NO144)))</f>
        <v>#DIV/0!</v>
      </c>
      <c r="NR144" s="170" t="e">
        <f ca="1">IF(Control!$C$133&lt;&gt;1, $NQ144+((1-$NP144/4)*(1-$NQ144)),1)</f>
        <v>#DIV/0!</v>
      </c>
      <c r="NS144" s="170" t="e">
        <f ca="1">IF(Control!$B$31=0,$MJ144,MAX(0,MIN($MV144,$MO144*$NR144*$MJ144)))</f>
        <v>#DIV/0!</v>
      </c>
      <c r="NT144" s="170" t="e">
        <f t="shared" ca="1" si="686"/>
        <v>#DIV/0!</v>
      </c>
      <c r="NU144" s="170" t="e">
        <f t="shared" ca="1" si="662"/>
        <v>#N/A</v>
      </c>
      <c r="NV144" s="170" t="e">
        <f t="shared" ca="1" si="571"/>
        <v>#N/A</v>
      </c>
      <c r="NW144" s="175" t="e">
        <f t="shared" ca="1" si="572"/>
        <v>#DIV/0!</v>
      </c>
      <c r="NX144" s="170" t="e">
        <f ca="1">MIN(Control!$C$72+$MU144, $NW144)</f>
        <v>#DIV/0!</v>
      </c>
      <c r="NY144" s="170" t="e">
        <f ca="1">IF($MT144&lt;=$NX144,MIN(Control!$C$72+$NB144,$NX144-$MT144),0)</f>
        <v>#DIV/0!</v>
      </c>
      <c r="NZ144" s="54" t="e">
        <f ca="1">IF(Control!$C$114=1,  $CX144*($MX144-Control!$C$127), 0)</f>
        <v>#DIV/0!</v>
      </c>
      <c r="OA144" s="170" t="e">
        <f t="shared" ca="1" si="573"/>
        <v>#DIV/0!</v>
      </c>
      <c r="OB144" s="170" t="e">
        <f ca="1">IF($NA144 &lt;=$NY144, MIN(Control!$C$72, $NY144-$NA144), 0)</f>
        <v>#DIV/0!</v>
      </c>
      <c r="OC144" s="168" t="e">
        <f t="shared" ca="1" si="574"/>
        <v>#DIV/0!</v>
      </c>
      <c r="OD144" s="168" t="e">
        <f t="shared" ca="1" si="663"/>
        <v>#DIV/0!</v>
      </c>
      <c r="OE144" s="170">
        <f ca="1">Control!$C$73*$I144</f>
        <v>0</v>
      </c>
      <c r="OF144" s="176" t="e">
        <f t="shared" ca="1" si="575"/>
        <v>#DIV/0!</v>
      </c>
      <c r="OG144" s="168" t="e">
        <f t="shared" ca="1" si="576"/>
        <v>#DIV/0!</v>
      </c>
      <c r="OH144" s="168" t="e">
        <f t="shared" ca="1" si="577"/>
        <v>#DIV/0!</v>
      </c>
      <c r="OI144" s="168" t="e">
        <f t="shared" ca="1" si="578"/>
        <v>#DIV/0!</v>
      </c>
      <c r="OJ144" s="168" t="e">
        <f t="shared" ca="1" si="579"/>
        <v>#DIV/0!</v>
      </c>
      <c r="OK144" s="204" t="e">
        <f t="shared" ca="1" si="580"/>
        <v>#DIV/0!</v>
      </c>
      <c r="OL144" s="177">
        <f>Control!$C$127</f>
        <v>0.15</v>
      </c>
      <c r="OM144" s="182" t="e">
        <f t="shared" ca="1" si="581"/>
        <v>#N/A</v>
      </c>
      <c r="ON144" s="177">
        <f>Control!$C$128</f>
        <v>0.35</v>
      </c>
      <c r="OO144" s="182" t="e">
        <f t="shared" ca="1" si="582"/>
        <v>#N/A</v>
      </c>
      <c r="OP144" s="138">
        <f t="shared" ca="1" si="664"/>
        <v>0</v>
      </c>
      <c r="OQ144" s="138" t="e">
        <f t="shared" ca="1" si="687"/>
        <v>#DIV/0!</v>
      </c>
      <c r="OR144" s="138" t="e">
        <f t="shared" ca="1" si="665"/>
        <v>#DIV/0!</v>
      </c>
      <c r="OS144" s="137" t="e">
        <f t="shared" ca="1" si="688"/>
        <v>#DIV/0!</v>
      </c>
      <c r="OT144" s="139" t="e">
        <f t="shared" ca="1" si="689"/>
        <v>#DIV/0!</v>
      </c>
      <c r="OU144" s="138" t="e">
        <f t="shared" ca="1" si="690"/>
        <v>#N/A</v>
      </c>
      <c r="OV144" s="138" t="e">
        <f t="shared" ca="1" si="691"/>
        <v>#DIV/0!</v>
      </c>
      <c r="OW144" s="138" t="e">
        <f t="shared" ca="1" si="666"/>
        <v>#DIV/0!</v>
      </c>
      <c r="OX144" s="138" t="e">
        <f t="shared" ca="1" si="667"/>
        <v>#DIV/0!</v>
      </c>
      <c r="OY144" s="138" t="e">
        <f t="shared" ca="1" si="668"/>
        <v>#DIV/0!</v>
      </c>
      <c r="OZ144" s="138" t="e">
        <f t="shared" ca="1" si="583"/>
        <v>#DIV/0!</v>
      </c>
      <c r="PA144" s="138" t="e">
        <f t="shared" ca="1" si="584"/>
        <v>#DIV/0!</v>
      </c>
      <c r="PB144" s="55">
        <f>IF(Control!$C$61="T", IF(Control!$C$65="F", IF($AH$6-Control!$C$60&lt;0,0,1), IF(365+$AH$6-Control!$C$60&lt;0,0,1)),0)</f>
        <v>0</v>
      </c>
      <c r="PC144" s="55">
        <f ca="1">IF(Control!$C$65="F", IF($AH$6-$HF144&lt;0,0,1), IF(365+$AH$6-$HF144&lt;0,0,1))</f>
        <v>1</v>
      </c>
      <c r="PD144" s="444">
        <f>Control!$C$118</f>
        <v>1500</v>
      </c>
      <c r="PE144" s="180" t="e">
        <f t="shared" ca="1" si="585"/>
        <v>#N/A</v>
      </c>
      <c r="PF144" s="445">
        <f t="shared" ca="1" si="669"/>
        <v>0.71612369323045078</v>
      </c>
      <c r="PT144" s="186"/>
      <c r="PU144" s="186"/>
      <c r="PV144" s="94"/>
      <c r="PW144" s="94"/>
      <c r="PX144" s="94"/>
      <c r="PY144" s="94"/>
      <c r="PZ144" s="94"/>
      <c r="QA144" s="94"/>
      <c r="QB144" s="94"/>
      <c r="QC144" s="94"/>
      <c r="QD144" s="94"/>
      <c r="QE144" s="94"/>
      <c r="QF144" s="94"/>
      <c r="QG144" s="94"/>
      <c r="QH144" s="94"/>
      <c r="QI144" s="94"/>
      <c r="QJ144" s="94"/>
      <c r="QK144" s="94"/>
      <c r="QL144" s="94"/>
      <c r="QM144" s="94"/>
      <c r="QN144" s="94"/>
      <c r="QO144" s="94"/>
      <c r="QP144" s="94"/>
    </row>
    <row r="145" spans="1:458" s="2" customFormat="1" x14ac:dyDescent="0.2">
      <c r="A145" s="395">
        <v>20</v>
      </c>
      <c r="B145" s="396">
        <v>5</v>
      </c>
      <c r="C145" s="387">
        <f ca="1">Weather_data!$B144</f>
        <v>0</v>
      </c>
      <c r="D145" s="388">
        <f ca="1">Weather_data!$F144</f>
        <v>0</v>
      </c>
      <c r="E145" s="388">
        <f ca="1">Weather_data!$E144</f>
        <v>0</v>
      </c>
      <c r="F145" s="388">
        <f t="shared" ca="1" si="586"/>
        <v>0</v>
      </c>
      <c r="G145" s="388">
        <f ca="1">AVERAGE($D145:$E145)+Control!$B$9</f>
        <v>0</v>
      </c>
      <c r="H145" s="388">
        <f ca="1">Weather_data!$G144</f>
        <v>0</v>
      </c>
      <c r="I145" s="388">
        <f ca="1">Weather_data!$I144</f>
        <v>0</v>
      </c>
      <c r="J145" s="388">
        <f ca="1">Weather_data!$H144</f>
        <v>0</v>
      </c>
      <c r="K145" s="389">
        <f ca="1">Weather_data!$D144</f>
        <v>0</v>
      </c>
      <c r="L145" s="388" t="e">
        <f t="shared" ca="1" si="587"/>
        <v>#N/A</v>
      </c>
      <c r="M145" s="388" t="e">
        <f t="shared" ca="1" si="465"/>
        <v>#N/A</v>
      </c>
      <c r="N145" s="388">
        <f t="shared" ca="1" si="466"/>
        <v>-2.1811162651010072E-7</v>
      </c>
      <c r="O145" s="388">
        <f t="shared" ca="1" si="588"/>
        <v>2.1811162651010072E-6</v>
      </c>
      <c r="P145" s="390">
        <v>3</v>
      </c>
      <c r="Q145" s="388">
        <f ca="1">MAX($G145-Control!$C$107,0)</f>
        <v>0</v>
      </c>
      <c r="R145" s="388">
        <f t="shared" ca="1" si="589"/>
        <v>0</v>
      </c>
      <c r="S145" s="388">
        <f t="shared" ca="1" si="467"/>
        <v>0</v>
      </c>
      <c r="T145" s="388">
        <f t="shared" ca="1" si="468"/>
        <v>0</v>
      </c>
      <c r="U145" s="59">
        <f t="shared" ca="1" si="469"/>
        <v>0</v>
      </c>
      <c r="V145" s="391">
        <f ca="1">MAX(0,MIN(Control!$C$100-Control!$C$99,$G145-Control!$C$99)*Control!$C$63)</f>
        <v>0</v>
      </c>
      <c r="W145" s="388">
        <f t="shared" ca="1" si="590"/>
        <v>0</v>
      </c>
      <c r="X145" s="388">
        <f t="shared" ca="1" si="591"/>
        <v>0.6110000000000001</v>
      </c>
      <c r="Y145" s="388">
        <f t="shared" ca="1" si="470"/>
        <v>0</v>
      </c>
      <c r="Z145" s="388">
        <f t="shared" ca="1" si="592"/>
        <v>0.61058800000000002</v>
      </c>
      <c r="AA145" s="388">
        <f t="shared" ca="1" si="471"/>
        <v>0.6018</v>
      </c>
      <c r="AB145" s="388">
        <f ca="1">101.3*EXP(-0.034*Control!$C$66/($G145+273))</f>
        <v>100.69623283836242</v>
      </c>
      <c r="AC145" s="392">
        <f t="shared" ca="1" si="472"/>
        <v>4.3460251046025113E-2</v>
      </c>
      <c r="AD145" s="392">
        <f t="shared" ca="1" si="473"/>
        <v>4.4450382862832649E-2</v>
      </c>
      <c r="AE145" s="388">
        <f t="shared" ca="1" si="474"/>
        <v>0</v>
      </c>
      <c r="AF145" s="388">
        <f ca="1">MAX(0,$G145-Control!$C$92)</f>
        <v>0</v>
      </c>
      <c r="AG145" s="393">
        <f t="shared" ca="1" si="475"/>
        <v>141</v>
      </c>
      <c r="AH145" s="389">
        <f t="shared" ca="1" si="476"/>
        <v>141</v>
      </c>
      <c r="AI145" s="388">
        <f t="shared" ca="1" si="593"/>
        <v>0.34783716286045013</v>
      </c>
      <c r="AJ145" s="388">
        <f ca="1">IF(Control!$C$60&lt;=0,$HH145,$HI145)</f>
        <v>1</v>
      </c>
      <c r="AK145" s="388">
        <f t="shared" ca="1" si="477"/>
        <v>1.0500665855834377</v>
      </c>
      <c r="AL145" s="388">
        <f t="shared" ca="1" si="478"/>
        <v>-5.9510018440844808E-18</v>
      </c>
      <c r="AM145" s="388">
        <f t="shared" ca="1" si="479"/>
        <v>1.0500665855834377</v>
      </c>
      <c r="AN145" s="388">
        <f t="shared" ca="1" si="480"/>
        <v>0.3523177737777618</v>
      </c>
      <c r="AO145" s="388">
        <f ca="1">-0.10453/COS(Control!$B$8*PI()/180)*COS(AN145)</f>
        <v>-0.15935590209219805</v>
      </c>
      <c r="AP145" s="388">
        <f ca="1">ACOS(AO145-TAN(Control!$B$8*PI()/180)*TAN(AN145))</f>
        <v>2.2522669067175092</v>
      </c>
      <c r="AQ145" s="388">
        <f t="shared" ca="1" si="594"/>
        <v>0</v>
      </c>
      <c r="AR145" s="394">
        <f t="shared" ca="1" si="481"/>
        <v>0</v>
      </c>
      <c r="AS145" s="436">
        <f ca="1">IF(Control!$B$18=2,(IF(OR($AH145=Control!$B$175,$AH145=Control!$B$176,$AH145=Control!$B$177,$AH145=Control!$B$178,$AH145=Control!$B$179,$AH145=Control!$B$180,$AH145=Control!$B$181,$AH145=Control!$B$182,$AH145=Control!$B$183,$AH145=Control!$B$184,$AH145=Control!$B$185),1,0)),0)</f>
        <v>0</v>
      </c>
      <c r="AT145" s="436">
        <f>IF(Control!$B$20=8,IF(AND($AH145&gt;=Control!$B$172,$AH145&lt;=Control!$B$173),1,0),0)</f>
        <v>0</v>
      </c>
      <c r="AU145" s="436">
        <f>IF(Control!$B$20=8,IF($AV144=1,1*$AT145,IF($AT145=1,$AU144+1,$AU144)),0)</f>
        <v>0</v>
      </c>
      <c r="AV145" s="436">
        <f>IF(Control!$B$20=8,IF($AU145&gt;=Control!$B$174,1,0),0)</f>
        <v>0</v>
      </c>
      <c r="AW145" s="436">
        <f ca="1">IF(AND(Control!$B$18=2,Control!$B$171=1), $AV145, $AS145)</f>
        <v>0</v>
      </c>
      <c r="AX145" s="436" t="e">
        <f ca="1">IF(AND(Control!$B$18=1,$EU145&gt;=Control!$B$19),-$AY145,IF(AND(Control!$B$18=2,$AW145=1,$EU145&gt;$DS145),-$AY145, IF(Control!$C$108=0,0, IF(Control!$C$108&lt;&gt;0,1))))</f>
        <v>#N/A</v>
      </c>
      <c r="AY145" s="436" t="e">
        <f t="shared" ca="1" si="595"/>
        <v>#N/A</v>
      </c>
      <c r="AZ145" s="436" t="e">
        <f ca="1">IF(AND(Control!$B$18=1,$EB145&gt;Control!$B$19),$AZ144+1, IF(AND(Control!$B$18=2, $AW145=1, $EB145&gt;$DS145), $AZ144+1,$AZ144))</f>
        <v>#N/A</v>
      </c>
      <c r="BA145" s="587">
        <f>IF(Control!$C$81=0,1,IF($AH145&gt;=Control!$C$82,1,0))</f>
        <v>1</v>
      </c>
      <c r="BB145" s="140" t="e">
        <f ca="1">IF($BA145&gt;$BA144,Control!$C$83,IF($AW145&gt;0,$AW145*Control!$C$84,IF(AND(Control!$B$18=1,EN144&lt;&gt;0),Control!$C$84,0)))</f>
        <v>#N/A</v>
      </c>
      <c r="BC145" s="140" t="e">
        <f t="shared" ca="1" si="596"/>
        <v>#N/A</v>
      </c>
      <c r="BD145" s="140" t="e">
        <f ca="1">BC145*IF(OR($G145&lt;Control!$C$92,$G145&gt;Control!$C$95),0,IF(AND($G145&gt;=Control!$C$92,$G145&lt;=Control!$C$93),$G145-Control!$C$92,IF(AND($G145&gt;Control!$C$93,$G145&lt;=Control!$C$94),Control!$C$93-Control!$C$92,IF(AND($G145&gt;Control!$C$94,$G145&lt;=Control!$C$95),(Control!$C$93-Control!$C$92)*(Control!$C$94-$G145)/(Control!$C$95-Control!$C$94)))))</f>
        <v>#N/A</v>
      </c>
      <c r="BE145" s="140" t="e">
        <f t="shared" ca="1" si="597"/>
        <v>#N/A</v>
      </c>
      <c r="BF145" s="140" t="e">
        <f ca="1">IF($BE145&lt;=Control!$C$86,$BE145,Control!$C$86-$BE145)</f>
        <v>#N/A</v>
      </c>
      <c r="BG145" s="140" t="e">
        <f ca="1">IF(AND($AW145=1,Control!$C$84&lt;9),1,IF($BE145&gt;=Control!$C$86,0,$BC145))</f>
        <v>#N/A</v>
      </c>
      <c r="BH145" s="404" t="e">
        <f ca="1">IF($BG145=0,0,IF($BE145&lt;=Control!$C$86,$BC145*9*($BF145/Control!$C$86),0))</f>
        <v>#N/A</v>
      </c>
      <c r="BI145" s="140" t="e">
        <f ca="1">IF($BG145=1,0,IF($BE145&gt;=Control!$C$86,1,IF(AND($BB145&lt;21,$BB145&gt;=9),1,$BM144)))</f>
        <v>#N/A</v>
      </c>
      <c r="BJ145" s="140" t="e">
        <f ca="1">IF($BF145&lt;0,-$BF145,$BI145*IF(OR($G145&lt;Control!$C$92,$G145&gt;Control!$C$95),0,IF(AND($G145&gt;=Control!$C$92,$G145&lt;=Control!$C$93),$G145-Control!$C$92,IF(AND($G145&gt;Control!$C$93,$G145&lt;=Control!$C$94),Control!$C$93-Control!$C$92,IF(AND($G145&gt;Control!$C$94,$G145&lt;=Control!$C$95),(Control!$C$93-Control!$C$92)*(Control!$C$94-$G145)/(Control!$C$95-Control!$C$94))))))</f>
        <v>#N/A</v>
      </c>
      <c r="BK145" s="140" t="e">
        <f t="shared" ca="1" si="598"/>
        <v>#N/A</v>
      </c>
      <c r="BL145" s="140" t="e">
        <f ca="1">IF($BK145&lt;=Control!$C$87,$BK145,Control!$C$87-$BK145)</f>
        <v>#N/A</v>
      </c>
      <c r="BM145" s="140" t="e">
        <f ca="1">IF(AND($BB145&gt;=9,$BB145&lt;21),1,IF($BK145&gt;=Control!$C$87,0,$BI145))</f>
        <v>#N/A</v>
      </c>
      <c r="BN145" s="404" t="e">
        <f ca="1">IF($BM145=0,0,IF($BK145&lt;=Control!$C$87,$BI145*(9+(21-9)*($BL145/Control!$C$87)),0))</f>
        <v>#N/A</v>
      </c>
      <c r="BO145" s="140" t="e">
        <f ca="1">IF($BM145=1,0,IF($BK145&gt;=Control!$C$87,1,IF(AND($BB145&lt;30,$BB145&gt;=21),1,$BS144)))</f>
        <v>#N/A</v>
      </c>
      <c r="BP145" s="140" t="e">
        <f ca="1">IF($BL145&lt;0,-$BL145,$BO145*IF(OR($G145&lt;Control!$C$92,$G145&gt;Control!$C$95),0,IF(AND($G145&gt;=Control!$C$92,$G145&lt;=Control!$C$93),$G145-Control!$C$92,IF(AND($G145&gt;Control!$C$93,$G145&lt;=Control!$C$94),Control!$C$93-Control!$C$92,IF(AND($G145&gt;Control!$C$94,$G145&lt;=Control!$C$95),(Control!$C$93-Control!$C$92)*(Control!$C$94-$G145)/(Control!$C$95-Control!$C$94))))))</f>
        <v>#N/A</v>
      </c>
      <c r="BQ145" s="140" t="e">
        <f t="shared" ca="1" si="482"/>
        <v>#N/A</v>
      </c>
      <c r="BR145" s="140" t="e">
        <f ca="1">IF($BQ145&lt;=Control!$C$88,$BQ145,Control!$C$88-$BQ145)</f>
        <v>#N/A</v>
      </c>
      <c r="BS145" s="140" t="e">
        <f ca="1">IF(AND($BB145&gt;=21,$BB145&lt;30),1,IF($BQ145&gt;=Control!$C$88,0,$BO145))</f>
        <v>#N/A</v>
      </c>
      <c r="BT145" s="404" t="e">
        <f ca="1">IF($BS145=0,0,IF($BQ145&lt;=Control!$C$88,$BO145*(21+(30-21)*(BR145/Control!$C$88)),0))</f>
        <v>#N/A</v>
      </c>
      <c r="BU145" s="140" t="e">
        <f ca="1">IF(BG145+BM145+BS145=1,0,IF(OR(AND($BB145&lt;60,$BB145&gt;=30),$BQ145&gt;=Control!$C$88),1*$BA145,$BY144))</f>
        <v>#N/A</v>
      </c>
      <c r="BV145" s="140" t="e">
        <f ca="1">IF($BR145&lt;0,-$BR145,$BU145*IF(OR($G145&lt;Control!$C$92,$G145&gt;Control!$C$95),0,IF(AND($G145&gt;=Control!$C$92,$G145&lt;=Control!$C$93),$G145-Control!$C$92,IF(AND($G145&gt;Control!$C$93,$G145&lt;=Control!$C$94),Control!$C$93-Control!$C$92,IF(AND($G145&gt;Control!$C$94,$G145&lt;=Control!$C$95),(Control!$C$93-Control!$C$92)*(Control!$C$94-$G145)/(Control!$C$95-Control!$C$94))))))</f>
        <v>#N/A</v>
      </c>
      <c r="BW145" s="140" t="e">
        <f t="shared" ca="1" si="483"/>
        <v>#N/A</v>
      </c>
      <c r="BX145" s="140" t="e">
        <f ca="1">IF($BW145&lt;=Control!$C$89,$BW145,Control!$C$89-$BW145)</f>
        <v>#N/A</v>
      </c>
      <c r="BY145" s="140" t="e">
        <f ca="1">IF(AND($AJ145&gt;=30,$AJ145&lt;60),1,IF($BW145&gt;=Control!$C$89,0,$BU145))</f>
        <v>#N/A</v>
      </c>
      <c r="BZ145" s="404" t="e">
        <f ca="1">IF($BY145=0,0,IF($BW145&lt;=Control!$C$89,$BU145*(30+(60-30)*(BX145/Control!$C$89)),0))</f>
        <v>#N/A</v>
      </c>
      <c r="CA145" s="140" t="e">
        <f ca="1">IF($BG145+$BM145+$BS145+$BY145=1,0,IF(OR(AND($BB145&lt;65,$BB145&gt;=60),$BW145&gt;=Control!$C$89),1*$BA145,$CE144))</f>
        <v>#N/A</v>
      </c>
      <c r="CB145" s="140" t="e">
        <f ca="1">IF($BX145&lt;0,-$BX145,$CA145*IF(OR($G145&lt;Control!$C$92,$G145&gt;Control!$C$95),0,IF(AND($G145&gt;=Control!$C$92,$G145&lt;=Control!$C$93),$G145-Control!$C$92,IF(AND($G145&gt;Control!$C$93,$G145&lt;=Control!$C$94),Control!$C$93-Control!$C$92,IF(AND($G145&gt;Control!$C$94,$G145&lt;=Control!$C$95),(Control!$C$93-Control!$C$92)*(Control!$C$94-$G145)/(Control!$C$95-Control!$C$94))))))</f>
        <v>#N/A</v>
      </c>
      <c r="CC145" s="140" t="e">
        <f t="shared" ca="1" si="599"/>
        <v>#N/A</v>
      </c>
      <c r="CD145" s="140" t="e">
        <f ca="1">IF($CC145&lt;=Control!$C$90,$CC145,Control!$C$90-$CC145)</f>
        <v>#N/A</v>
      </c>
      <c r="CE145" s="140" t="e">
        <f ca="1">IF(AND($BB145&gt;=60,$BB145&lt;65),1,IF($CC145&gt;=Control!$C$90,0,$CA145))</f>
        <v>#N/A</v>
      </c>
      <c r="CF145" s="404" t="e">
        <f ca="1">IF($CE145=0,0,IF($CC145&lt;=Control!$C$90,$CA145*(60+(65-60)*(CD145/Control!$C$90)),0))</f>
        <v>#N/A</v>
      </c>
      <c r="CG145" s="140" t="e">
        <f ca="1">IF($BG145+$BM145+$BS145+$BY145+$CE145=1,0,IF(OR(AND($BB145&lt;90,$BB145&gt;=65),$CC145&gt;=Control!$C$90),$BA145,$CK144))</f>
        <v>#N/A</v>
      </c>
      <c r="CH145" s="140" t="e">
        <f ca="1">IF($CD145&lt;0,-$CD145,$CG145*IF(OR($G145&lt;Control!$C$92,$G145&gt;Control!$C$95),0,IF(AND($G145&gt;=Control!$C$92,$G145&lt;=Control!$C$93),$G145-Control!$C$92,IF(AND($G145&gt;Control!$C$93,$G145&lt;=Control!$C$94),Control!$C$93-Control!$C$92,IF(AND($G145&gt;Control!$C$94,$G145&lt;=Control!$C$95),(Control!$C$93-Control!$C$92)*(Control!$C$94-$G145)/(Control!$C$95-Control!$C$94))))))</f>
        <v>#N/A</v>
      </c>
      <c r="CI145" s="140" t="e">
        <f t="shared" ca="1" si="600"/>
        <v>#N/A</v>
      </c>
      <c r="CJ145" s="140" t="e">
        <f ca="1">IF($CI145&lt;=Control!$C$91,$CI145,Control!$C$91-$CI145)</f>
        <v>#N/A</v>
      </c>
      <c r="CK145" s="140" t="e">
        <f ca="1">IF(AND($BB145&gt;=65,$BB145&lt;90),1,IF($CI145&gt;=Control!$C$91,0,$CG145))</f>
        <v>#N/A</v>
      </c>
      <c r="CL145" s="404" t="e">
        <f ca="1">IF($CK145=0,0,IF($CI145&lt;=Control!$C$91,$CG145*(65+(90-65)*($CJ145/Control!$C$91)),0))</f>
        <v>#N/A</v>
      </c>
      <c r="CM145" s="140" t="e">
        <f ca="1">IF($BG145+$BM145+$BS145+$BY145+$CE145+$CK145=1,0,IF(OR($BB145&gt;=90,$CI145&gt;=Control!$C$91),$BA145,$CM144))</f>
        <v>#N/A</v>
      </c>
      <c r="CN145" s="140" t="e">
        <f t="shared" ca="1" si="601"/>
        <v>#N/A</v>
      </c>
      <c r="CO145" s="140" t="e">
        <f t="shared" ca="1" si="602"/>
        <v>#N/A</v>
      </c>
      <c r="CP145" s="140" t="e">
        <f t="shared" ca="1" si="603"/>
        <v>#N/A</v>
      </c>
      <c r="CQ145" s="141" t="e">
        <f ca="1">VLOOKUP($CP145,Control!$B$86:$G$91,6)</f>
        <v>#N/A</v>
      </c>
      <c r="CR145" s="141" t="e">
        <f ca="1">(1-$CQ145)*VLOOKUP($CP145,Control!$B$86:$D$91,3)</f>
        <v>#N/A</v>
      </c>
      <c r="CS145" s="141" t="e">
        <f ca="1">(1-$CQ145)*VLOOKUP($CP145,Control!$B$86:$E$91,4)</f>
        <v>#N/A</v>
      </c>
      <c r="CT145" s="141" t="e">
        <f ca="1">(1-$CQ145)*VLOOKUP($CP145,Control!$B$86:$F$91,5)</f>
        <v>#N/A</v>
      </c>
      <c r="CU145" s="141">
        <f t="shared" ca="1" si="604"/>
        <v>0</v>
      </c>
      <c r="CV145" s="583">
        <f t="shared" ca="1" si="605"/>
        <v>0</v>
      </c>
      <c r="CW145" s="142">
        <f t="shared" ca="1" si="606"/>
        <v>141</v>
      </c>
      <c r="CX145" s="612" t="e">
        <f ca="1">IF(Control!$C$114=1,(MIN(Control!$C$120*(IF($NT145-0.01&lt;0,0,1)),Control!$C$119-$CY145)))</f>
        <v>#DIV/0!</v>
      </c>
      <c r="CY145" s="143" t="e">
        <f t="shared" ca="1" si="607"/>
        <v>#N/A</v>
      </c>
      <c r="CZ145" s="144">
        <f t="shared" ca="1" si="484"/>
        <v>0</v>
      </c>
      <c r="DA145" s="144">
        <f t="shared" ca="1" si="485"/>
        <v>0</v>
      </c>
      <c r="DB145" s="144" t="e">
        <f t="shared" ca="1" si="486"/>
        <v>#N/A</v>
      </c>
      <c r="DC145" s="144" t="e">
        <f t="shared" ca="1" si="487"/>
        <v>#N/A</v>
      </c>
      <c r="DD145" s="144" t="e">
        <f t="shared" ca="1" si="692"/>
        <v>#N/A</v>
      </c>
      <c r="DE145" s="143" t="e">
        <f t="shared" ca="1" si="608"/>
        <v>#N/A</v>
      </c>
      <c r="DF145" s="145" t="e">
        <f ca="1">$DR145*EXP(-Control!$C$158*(1-$KH145))</f>
        <v>#N/A</v>
      </c>
      <c r="DG145" s="146" t="e">
        <f ca="1">IF(Control!$C$114=1, $DF145*$EY145, 0)</f>
        <v>#N/A</v>
      </c>
      <c r="DH145" s="147" t="e">
        <f t="shared" ca="1" si="609"/>
        <v>#N/A</v>
      </c>
      <c r="DI145" s="144" t="e">
        <f t="shared" ca="1" si="670"/>
        <v>#N/A</v>
      </c>
      <c r="DJ145" s="147" t="e">
        <f ca="1">$EF145*Control!$C$109</f>
        <v>#N/A</v>
      </c>
      <c r="DK145" s="144" t="e">
        <f t="shared" ca="1" si="610"/>
        <v>#N/A</v>
      </c>
      <c r="DL145" s="144" t="e">
        <f t="shared" ca="1" si="488"/>
        <v>#N/A</v>
      </c>
      <c r="DM145" s="144" t="e">
        <f ca="1">IF(Control!$C$114=1, (1-EXP(-Control!$C$96*$DK145))*$AR145, 0)</f>
        <v>#N/A</v>
      </c>
      <c r="DN145" s="144">
        <f t="shared" ca="1" si="611"/>
        <v>0</v>
      </c>
      <c r="DO145" s="148">
        <f>Control!$C$97</f>
        <v>4</v>
      </c>
      <c r="DP145" s="145" t="e">
        <f t="shared" ca="1" si="612"/>
        <v>#N/A</v>
      </c>
      <c r="DQ145" s="145" t="e">
        <f ca="1">IF(AND($CP145&gt;=0,$CP145&lt;=90),Control!$C$111,Control!$C$111)</f>
        <v>#N/A</v>
      </c>
      <c r="DR145" s="145" t="e">
        <f t="shared" ca="1" si="489"/>
        <v>#N/A</v>
      </c>
      <c r="DS145" s="143" t="e">
        <f ca="1">Control!$B$22/$DR145</f>
        <v>#N/A</v>
      </c>
      <c r="DT145" s="149" t="e">
        <f ca="1">IF(AND(Control!$C$114=1,$KH145&lt;1),$IM145*$DF145, 0)</f>
        <v>#N/A</v>
      </c>
      <c r="DU145" s="144" t="e">
        <f t="shared" ca="1" si="613"/>
        <v>#N/A</v>
      </c>
      <c r="DV145" s="144">
        <f ca="1">IF($G145-Control!$C$107&lt;=0, 0, 0.83*LN(MAX($G145, 3))-0.8924)</f>
        <v>0</v>
      </c>
      <c r="DW145" s="144" t="e">
        <f t="shared" ca="1" si="490"/>
        <v>#N/A</v>
      </c>
      <c r="DX145" s="150" t="e">
        <f ca="1">MAX(0.01*(1+$CU145/Control!$C$102),0.05*($DK145-Control!$C$97)/Control!$C$97)</f>
        <v>#N/A</v>
      </c>
      <c r="DY145" s="151" t="e">
        <f ca="1">IF(Control!$C$114=1, $DI145*$FS145, 0)</f>
        <v>#N/A</v>
      </c>
      <c r="DZ145" s="196" t="e">
        <f t="shared" ca="1" si="614"/>
        <v>#N/A</v>
      </c>
      <c r="EA145" s="152">
        <f t="shared" ca="1" si="615"/>
        <v>141</v>
      </c>
      <c r="EB145" s="153" t="e">
        <f t="shared" ca="1" si="616"/>
        <v>#N/A</v>
      </c>
      <c r="EC145" s="153" t="e">
        <f t="shared" ca="1" si="617"/>
        <v>#N/A</v>
      </c>
      <c r="ED145" s="154" t="e">
        <f ca="1">IF(Control!$C$114=1, $HM145*$FY145-$FD145, 0)</f>
        <v>#DIV/0!</v>
      </c>
      <c r="EE145" s="155" t="e">
        <f ca="1">IF(Control!$C$114=1, $HM145*$FZ145-$FF145, 0)</f>
        <v>#DIV/0!</v>
      </c>
      <c r="EF145" s="153" t="e">
        <f t="shared" ca="1" si="671"/>
        <v>#N/A</v>
      </c>
      <c r="EG145" s="155" t="e">
        <f ca="1">IF(Control!$C$114=1, $GX145*$FW145-$FI145, 0)</f>
        <v>#DIV/0!</v>
      </c>
      <c r="EH145" s="153" t="e">
        <f t="shared" ca="1" si="618"/>
        <v>#N/A</v>
      </c>
      <c r="EI145" s="156" t="e">
        <f t="shared" ca="1" si="619"/>
        <v>#N/A</v>
      </c>
      <c r="EJ145" s="155" t="e">
        <f ca="1">IF(Control!$C$114=1, $HM145*$GB145, 0)</f>
        <v>#DIV/0!</v>
      </c>
      <c r="EK145" s="153" t="e">
        <f t="shared" ca="1" si="672"/>
        <v>#N/A</v>
      </c>
      <c r="EL145" s="153" t="e">
        <f t="shared" ca="1" si="491"/>
        <v>#N/A</v>
      </c>
      <c r="EM145" s="153" t="e">
        <f t="shared" ca="1" si="492"/>
        <v>#N/A</v>
      </c>
      <c r="EN145" s="153" t="e">
        <f ca="1">IF(Control!$C$108=1,IF(AND(Control!$B$18=1,$EB145&gt;=Control!$B$19),$EB145-$DS145,IF(AND(Control!$B$18=2,$AW145=1,$EB145&gt;$DS145),$EB145-$DS145,0)))</f>
        <v>#N/A</v>
      </c>
      <c r="EO145" s="153" t="e">
        <f ca="1">IF(Control!$C$108=1,IF(AND(Control!$B$18=1,$EB145&gt;=Control!$B$19),$EF145,IF(AND(Control!$B$18=2,$AW145=1),$EF145,0)))</f>
        <v>#N/A</v>
      </c>
      <c r="EP145" s="153" t="e">
        <f ca="1">IF(Control!$C$108=1,IF(AND(Control!$B$18=1,$EB145&gt;=Control!$B$19),$EK145,IF(AND(Control!$B$18=2,$AW145=1),$EK145,0)))</f>
        <v>#N/A</v>
      </c>
      <c r="EQ145" s="153" t="e">
        <f t="shared" ca="1" si="620"/>
        <v>#N/A</v>
      </c>
      <c r="ER145" s="153" t="e">
        <f t="shared" ca="1" si="621"/>
        <v>#N/A</v>
      </c>
      <c r="ES145" s="153" t="e">
        <f t="shared" ca="1" si="673"/>
        <v>#N/A</v>
      </c>
      <c r="ET145" s="153" t="e">
        <f t="shared" ca="1" si="674"/>
        <v>#N/A</v>
      </c>
      <c r="EU145" s="153" t="e">
        <f t="shared" ca="1" si="622"/>
        <v>#N/A</v>
      </c>
      <c r="EV145" s="153" t="e">
        <f t="shared" ca="1" si="493"/>
        <v>#N/A</v>
      </c>
      <c r="EW145" s="153" t="e">
        <f t="shared" ca="1" si="494"/>
        <v>#N/A</v>
      </c>
      <c r="EX145" s="153" t="e">
        <f t="shared" ca="1" si="495"/>
        <v>#N/A</v>
      </c>
      <c r="EY145" s="157" t="e">
        <f t="shared" ca="1" si="496"/>
        <v>#DIV/0!</v>
      </c>
      <c r="EZ145" s="154" t="e">
        <f t="shared" ca="1" si="497"/>
        <v>#DIV/0!</v>
      </c>
      <c r="FA145" s="153" t="e">
        <f t="shared" ca="1" si="623"/>
        <v>#N/A</v>
      </c>
      <c r="FB145" s="153" t="e">
        <f t="shared" ca="1" si="498"/>
        <v>#N/A</v>
      </c>
      <c r="FC145" s="193" t="e">
        <f t="shared" ca="1" si="499"/>
        <v>#N/A</v>
      </c>
      <c r="FD145" s="158" t="e">
        <f t="shared" ca="1" si="624"/>
        <v>#N/A</v>
      </c>
      <c r="FE145" s="158" t="e">
        <f t="shared" ca="1" si="625"/>
        <v>#N/A</v>
      </c>
      <c r="FF145" s="159" t="e">
        <f t="shared" ca="1" si="500"/>
        <v>#N/A</v>
      </c>
      <c r="FG145" s="160" t="e">
        <f t="shared" ca="1" si="626"/>
        <v>#N/A</v>
      </c>
      <c r="FH145" s="158" t="e">
        <f t="shared" ca="1" si="627"/>
        <v>#N/A</v>
      </c>
      <c r="FI145" s="159" t="e">
        <f t="shared" ca="1" si="501"/>
        <v>#N/A</v>
      </c>
      <c r="FJ145" s="160" t="e">
        <f t="shared" ca="1" si="628"/>
        <v>#N/A</v>
      </c>
      <c r="FK145" s="160" t="e">
        <f t="shared" ca="1" si="502"/>
        <v>#N/A</v>
      </c>
      <c r="FL145" s="160" t="e">
        <f t="shared" ca="1" si="675"/>
        <v>#N/A</v>
      </c>
      <c r="FM145" s="160" t="e">
        <f t="shared" ca="1" si="503"/>
        <v>#N/A</v>
      </c>
      <c r="FN145" s="158">
        <f t="shared" ca="1" si="629"/>
        <v>0.01</v>
      </c>
      <c r="FO145" s="160">
        <f>Control!$C$101</f>
        <v>50</v>
      </c>
      <c r="FP145" s="150" t="e">
        <f t="shared" ca="1" si="504"/>
        <v>#N/A</v>
      </c>
      <c r="FQ145" s="150" t="e">
        <f ca="1">MAX(0,(Control!$C$112*(($DK145-Control!$C$97)/Control!$C$97)))</f>
        <v>#N/A</v>
      </c>
      <c r="FR145" s="150" t="e">
        <f ca="1">(1-$NT145)*Control!$C$113</f>
        <v>#DIV/0!</v>
      </c>
      <c r="FS145" s="198" t="e">
        <f t="shared" ca="1" si="505"/>
        <v>#N/A</v>
      </c>
      <c r="FT145" s="161">
        <f t="shared" ca="1" si="630"/>
        <v>141</v>
      </c>
      <c r="FU145" s="162" t="e">
        <f ca="1">IF(Control!$B$34=1,VLOOKUP($CP145,Control!$B$86:$G$91,6),Control!$B$35)</f>
        <v>#N/A</v>
      </c>
      <c r="FV145" s="162" t="e">
        <f t="shared" ca="1" si="506"/>
        <v>#DIV/0!</v>
      </c>
      <c r="FW145" s="162" t="e">
        <f ca="1">IF(Control!$B$31=1,$FU145*$FV145,  $FU145)</f>
        <v>#N/A</v>
      </c>
      <c r="FX145" s="162" t="e">
        <f ca="1">IF(Control!$B$34=1,VLOOKUP($CP145,Control!$B$86:$G$91,3),Control!$B$36)</f>
        <v>#N/A</v>
      </c>
      <c r="FY145" s="162" t="e">
        <f t="shared" ca="1" si="507"/>
        <v>#N/A</v>
      </c>
      <c r="FZ145" s="162" t="e">
        <f ca="1">IF(Control!$B$34=1,VLOOKUP($CP145,Control!$B$86:$G$91,4),Control!$B$37)</f>
        <v>#N/A</v>
      </c>
      <c r="GA145" s="162" t="e">
        <f t="shared" ca="1" si="508"/>
        <v>#N/A</v>
      </c>
      <c r="GB145" s="162" t="e">
        <f ca="1">IF(Control!$B$34=1,VLOOKUP($CP145,Control!$B$86:$G$91,5),Control!$B$38)</f>
        <v>#N/A</v>
      </c>
      <c r="GC145" s="162" t="e">
        <f t="shared" ca="1" si="631"/>
        <v>#N/A</v>
      </c>
      <c r="GD145" s="162">
        <f t="shared" ca="1" si="509"/>
        <v>1</v>
      </c>
      <c r="GE145" s="162">
        <f t="shared" ca="1" si="510"/>
        <v>1</v>
      </c>
      <c r="GF145" s="162">
        <f ca="1">IF(AND(Control!$C$104=1, Control!$C$62="F"),$GE145,1)</f>
        <v>1</v>
      </c>
      <c r="GG145" s="162" t="e">
        <f ca="1">IF(Control!$B$16=40,0,IF(AND(Control!$B$16&gt;40,Control!$B$16&lt;=360),(Control!$B$16-40)*((1-0)/(360-40)),IF(AND(Control!$B$16&gt;360,Control!$B$16&lt;=720),(1+(Control!$B$16-360)*((1.25-1)/(720-360))),IF(AND(Control!$B$16&gt;720,Control!$B$16&lt;=1000),(1.25+(Control!$B$16-720)*((1.35-1.25)/(1000-720))),IF(AND(Control!$B$16&gt;1000,Control!$B$16&lt;=2000),(1.35+(Control!$B$16-1000)*0))))))</f>
        <v>#N/A</v>
      </c>
      <c r="GH145" s="162" t="e">
        <f t="shared" ca="1" si="511"/>
        <v>#N/A</v>
      </c>
      <c r="GI145" s="162">
        <f t="shared" ca="1" si="632"/>
        <v>0</v>
      </c>
      <c r="GJ145" s="162">
        <f t="shared" ca="1" si="512"/>
        <v>0</v>
      </c>
      <c r="GK145" s="162">
        <f t="shared" ca="1" si="633"/>
        <v>1</v>
      </c>
      <c r="GL145" s="162">
        <f t="shared" ca="1" si="513"/>
        <v>1</v>
      </c>
      <c r="GM145" s="162" t="e">
        <f ca="1">MAX(0,MIN(1,1-Control!$C$156*(1.0001-$KH145)^2))</f>
        <v>#N/A</v>
      </c>
      <c r="GN145" s="162" t="e">
        <f ca="1">IF(Control!$B$26=1,$KU145,$KX145)</f>
        <v>#N/A</v>
      </c>
      <c r="GO145" s="162" t="e">
        <f ca="1">IF($CP145&lt;=60,Control!$C$105,IF($CP145&gt;=90,Control!$C$106,Control!$C$105+($CP145-60)*((Control!$C$106-Control!$C$105)/(90-60))))</f>
        <v>#N/A</v>
      </c>
      <c r="GP145" s="162" t="e">
        <f t="shared" ca="1" si="514"/>
        <v>#N/A</v>
      </c>
      <c r="GQ145" s="162" t="e">
        <f t="shared" ca="1" si="634"/>
        <v>#N/A</v>
      </c>
      <c r="GR145" s="163" t="e">
        <f t="shared" ca="1" si="515"/>
        <v>#DIV/0!</v>
      </c>
      <c r="GS145" s="162" t="e">
        <f t="shared" ca="1" si="516"/>
        <v>#DIV/0!</v>
      </c>
      <c r="GT145" s="164" t="e">
        <f t="shared" ca="1" si="635"/>
        <v>#N/A</v>
      </c>
      <c r="GU145" s="162" t="e">
        <f t="shared" ca="1" si="636"/>
        <v>#N/A</v>
      </c>
      <c r="GV145" s="162" t="e">
        <f t="shared" ca="1" si="517"/>
        <v>#N/A</v>
      </c>
      <c r="GW145" s="162" t="e">
        <f t="shared" ca="1" si="518"/>
        <v>#DIV/0!</v>
      </c>
      <c r="GX145" s="162" t="e">
        <f t="shared" ca="1" si="637"/>
        <v>#DIV/0!</v>
      </c>
      <c r="GY145" s="162" t="e">
        <f t="shared" ca="1" si="638"/>
        <v>#DIV/0!</v>
      </c>
      <c r="GZ145" s="165" t="e">
        <f t="shared" ca="1" si="519"/>
        <v>#N/A</v>
      </c>
      <c r="HA145" s="162" t="e">
        <f ca="1">IF(Control!$C$114=1, $DI145*$FS145, 0)</f>
        <v>#N/A</v>
      </c>
      <c r="HB145" s="162" t="e">
        <f ca="1">$FA145/Control!$C$64</f>
        <v>#N/A</v>
      </c>
      <c r="HC145" s="162" t="e">
        <f t="shared" ca="1" si="520"/>
        <v>#DIV/0!</v>
      </c>
      <c r="HD145" s="162">
        <f ca="1">-ASIN(SIN(23.45*Control!$C$139)*COS(2*Control!$C$138*($AH145+10)/365))</f>
        <v>0.34783716286045013</v>
      </c>
      <c r="HE145" s="165">
        <f t="shared" ca="1" si="639"/>
        <v>0</v>
      </c>
      <c r="HF145" s="166">
        <f ca="1">IF(AND(Control!$C$61="T",$HE145&gt;=Control!$C$103,Control!$C$114=0),$AH145,Control!$C$59)</f>
        <v>1</v>
      </c>
      <c r="HG145" s="166">
        <f ca="1">IF(AND(Control!$C$61="T",$HE145&gt;=Control!$C$103,Control!$C$114=0),$HF145,Control!$C$59)</f>
        <v>1</v>
      </c>
      <c r="HH145" s="165">
        <f ca="1">IF(AND(OR(Control!$C$60&lt;=0, $AH145= Control!$C$59, Control!$C$60 &gt;0, $AH145 = Control!$C$60)), Control!$C$59, IF(Control!$C$60&gt;0, 0))</f>
        <v>1</v>
      </c>
      <c r="HI145" s="165">
        <f ca="1">IF(AND(OR(Control!$C$60&lt;=0, $AH145= Control!$C$59, Control!$C$60 &gt;0, $AH145 = Control!$C$60)), Control!$C$60, IF(Control!$C$60&lt;=0, 0))</f>
        <v>0</v>
      </c>
      <c r="HJ145" s="166">
        <f ca="1">IF(AND(Control!$C$62="F",$CV145&gt;=Control!$C$102),$AH145,0)</f>
        <v>0</v>
      </c>
      <c r="HK145" s="165" t="e">
        <f t="shared" ca="1" si="676"/>
        <v>#N/A</v>
      </c>
      <c r="HL145" s="166">
        <f ca="1">IF(AND(Control!$C$61="T",$HE145&gt;=Control!$C$103,Control!$C$114=0),$HF145,0)</f>
        <v>0</v>
      </c>
      <c r="HM145" s="201" t="e">
        <f t="shared" ca="1" si="521"/>
        <v>#DIV/0!</v>
      </c>
      <c r="HN145" s="215">
        <f t="shared" ca="1" si="640"/>
        <v>141</v>
      </c>
      <c r="HO145" s="216" t="e">
        <f ca="1">IF(AND($CP145&gt;=0, $CP145&lt;=90), Control!$C$152, Control!$C$152)</f>
        <v>#N/A</v>
      </c>
      <c r="HP145" s="216" t="e">
        <f t="shared" ca="1" si="522"/>
        <v>#N/A</v>
      </c>
      <c r="HQ145" s="217" t="e">
        <f ca="1">IF(OR(Control!$B$26=1,Control!$B$26=2),$KV145,$KS145)</f>
        <v>#DIV/0!</v>
      </c>
      <c r="HR145" s="218" t="e">
        <f t="shared" ca="1" si="677"/>
        <v>#DIV/0!</v>
      </c>
      <c r="HS145" s="216" t="e">
        <f ca="1">Control!$C$154*$HP145</f>
        <v>#N/A</v>
      </c>
      <c r="HT145" s="216" t="e">
        <f ca="1">Control!$C$155*$HP145</f>
        <v>#N/A</v>
      </c>
      <c r="HU145" s="217" t="e">
        <f ca="1">Control!$C$161*$FI145</f>
        <v>#N/A</v>
      </c>
      <c r="HV145" s="218" t="e">
        <f t="shared" ca="1" si="641"/>
        <v>#N/A</v>
      </c>
      <c r="HW145" s="218" t="e">
        <f ca="1">Control!$C$160*$FF145+$IP145*$EO145</f>
        <v>#N/A</v>
      </c>
      <c r="HX145" s="218" t="e">
        <f t="shared" ca="1" si="678"/>
        <v>#N/A</v>
      </c>
      <c r="HY145" s="219" t="e">
        <f ca="1">IF(Control!$C$114=1, $EB145*$FS145, 0)</f>
        <v>#N/A</v>
      </c>
      <c r="HZ145" s="91" t="e">
        <f t="shared" ca="1" si="523"/>
        <v>#N/A</v>
      </c>
      <c r="IA145" s="220" t="e">
        <f ca="1">Control!$C$153*$HO145</f>
        <v>#N/A</v>
      </c>
      <c r="IB145" s="218" t="e">
        <f t="shared" ca="1" si="524"/>
        <v>#N/A</v>
      </c>
      <c r="IC145" s="220" t="e">
        <f ca="1">Control!$C$153*$HT145</f>
        <v>#N/A</v>
      </c>
      <c r="ID145" s="218" t="e">
        <f t="shared" ca="1" si="525"/>
        <v>#N/A</v>
      </c>
      <c r="IE145" s="221" t="e">
        <f ca="1">($EB145*Control!$C$159+$EF145*Control!$C$160)/(IF($GZ145&lt;&gt;0,$GZ145,1))</f>
        <v>#N/A</v>
      </c>
      <c r="IF145" s="216" t="e">
        <f t="shared" ca="1" si="526"/>
        <v>#N/A</v>
      </c>
      <c r="IG145" s="91">
        <f ca="1">IF(OR(Control!$B$198=$AH145,Control!$B$199=$AH145, Control!$B$200=$AH145, Control!$B$201=$AH145, Control!$B$202=$AH145, Control!$B$203=$AH145, Control!$B$204=$AH145, Control!$B$205=$AH145, Control!$B$206=$AH145, Control!$B$207=$AH145), 1, 0)</f>
        <v>0</v>
      </c>
      <c r="IH145" s="91">
        <f ca="1">IF($IG145=0,0, VLOOKUP($AH145,Control!$B$198:$C$207,2))</f>
        <v>0</v>
      </c>
      <c r="II145" s="222">
        <f t="shared" ca="1" si="642"/>
        <v>0</v>
      </c>
      <c r="IJ145" s="91">
        <f>Control!$C$121</f>
        <v>0.7</v>
      </c>
      <c r="IK145" s="218">
        <f t="shared" ca="1" si="527"/>
        <v>0</v>
      </c>
      <c r="IL145" s="217" t="e">
        <f t="shared" ca="1" si="679"/>
        <v>#N/A</v>
      </c>
      <c r="IM145" s="223" t="e">
        <f ca="1">IF(AND(Control!$C$114=1,$KH145&lt;1),$EB145*Control!$C$148*(1-$KH145), 0)</f>
        <v>#N/A</v>
      </c>
      <c r="IN145" s="217" t="e">
        <f t="shared" ca="1" si="528"/>
        <v>#DIV/0!</v>
      </c>
      <c r="IO145" s="91" t="e">
        <f ca="1">MAX(0,$IL145-$EF145*Control!$C$160)</f>
        <v>#N/A</v>
      </c>
      <c r="IP145" s="220" t="e">
        <f t="shared" ca="1" si="529"/>
        <v>#N/A</v>
      </c>
      <c r="IQ145" s="217" t="e">
        <f t="shared" ca="1" si="643"/>
        <v>#N/A</v>
      </c>
      <c r="IR145" s="218" t="e">
        <f t="shared" ca="1" si="530"/>
        <v>#N/A</v>
      </c>
      <c r="IS145" s="217" t="e">
        <f ca="1">Control!$C$159*MAX(0,$FD145-$EN145)</f>
        <v>#N/A</v>
      </c>
      <c r="IT145" s="217" t="e">
        <f t="shared" ca="1" si="680"/>
        <v>#N/A</v>
      </c>
      <c r="IU145" s="217" t="e">
        <f t="shared" ca="1" si="644"/>
        <v>#N/A</v>
      </c>
      <c r="IV145" s="217" t="e">
        <f t="shared" ca="1" si="681"/>
        <v>#N/A</v>
      </c>
      <c r="IW145" s="217" t="e">
        <f ca="1">IF(OR($AW145=1,AND($AW145=0, Control!$B$18=1,$EN145&lt;&gt;0)), $IQ145-$IU145, $IQ145)</f>
        <v>#N/A</v>
      </c>
      <c r="IX145" s="218" t="e">
        <f t="shared" ca="1" si="531"/>
        <v>#N/A</v>
      </c>
      <c r="IY145" s="218" t="e">
        <f ca="1">MAX(0,$IQ145-$EB145*Control!$C$159)</f>
        <v>#N/A</v>
      </c>
      <c r="IZ145" s="218" t="e">
        <f t="shared" ca="1" si="532"/>
        <v>#N/A</v>
      </c>
      <c r="JA145" s="216" t="e">
        <f t="shared" ca="1" si="533"/>
        <v>#N/A</v>
      </c>
      <c r="JB145" s="217" t="e">
        <f t="shared" ca="1" si="534"/>
        <v>#N/A</v>
      </c>
      <c r="JC145" s="222" t="e">
        <f ca="1">MAX(Control!$C$157*$EK145-$JT145, 0)/Control!$C$162</f>
        <v>#N/A</v>
      </c>
      <c r="JD145" s="218" t="e">
        <f t="shared" ca="1" si="535"/>
        <v>#N/A</v>
      </c>
      <c r="JE145" s="218" t="e">
        <f t="shared" ca="1" si="536"/>
        <v>#N/A</v>
      </c>
      <c r="JF145" s="218" t="e">
        <f t="shared" ca="1" si="645"/>
        <v>#N/A</v>
      </c>
      <c r="JG145" s="218" t="e">
        <f t="shared" ca="1" si="537"/>
        <v>#N/A</v>
      </c>
      <c r="JH145" s="217" t="e">
        <f t="shared" ca="1" si="646"/>
        <v>#N/A</v>
      </c>
      <c r="JI145" s="217" t="e">
        <f t="shared" ca="1" si="647"/>
        <v>#N/A</v>
      </c>
      <c r="JJ145" s="217" t="e">
        <f t="shared" ca="1" si="682"/>
        <v>#N/A</v>
      </c>
      <c r="JK145" s="217" t="e">
        <f ca="1">IF(Control!$C$114=1,IF(Control!$B$24=0,MAX(0,$JI145)*$GN145/Control!$C$64,(MAX(0,MIN($JI145,$JJ145*$GN145/Control!$C$64),0))))</f>
        <v>#N/A</v>
      </c>
      <c r="JL145" s="217" t="e">
        <f ca="1">$IK145/Control!$C$64-$JK145+$HQ145</f>
        <v>#N/A</v>
      </c>
      <c r="JM145" s="217" t="e">
        <f ca="1">IF(Control!$C$114=1,($JB145/(IF($JI145&lt;&gt;0,$JI145,1)))*$JK145,0)</f>
        <v>#N/A</v>
      </c>
      <c r="JN145" s="217" t="e">
        <f ca="1">IF(Control!$C$114=1,($JG145/(IF($JI145&lt;&gt;0,$JI145,1)))*$JK145, 0)</f>
        <v>#N/A</v>
      </c>
      <c r="JO145" s="218" t="e">
        <f t="shared" ca="1" si="538"/>
        <v>#N/A</v>
      </c>
      <c r="JP145" s="218" t="e">
        <f ca="1">MIN(($IY145+$IO145)*Control!$C$151, $JF145-$EH145*Control!$C$161)</f>
        <v>#N/A</v>
      </c>
      <c r="JQ145" s="218" t="e">
        <f t="shared" ca="1" si="539"/>
        <v>#N/A</v>
      </c>
      <c r="JR145" s="217" t="e">
        <f ca="1">IF($CP145-Control!$C$150&lt;0, 0, $JQ145/Control!$C$162)</f>
        <v>#N/A</v>
      </c>
      <c r="JS145" s="218" t="e">
        <f t="shared" ca="1" si="540"/>
        <v>#N/A</v>
      </c>
      <c r="JT145" s="218" t="e">
        <f t="shared" ca="1" si="648"/>
        <v>#N/A</v>
      </c>
      <c r="JU145" s="218" t="e">
        <f t="shared" ca="1" si="541"/>
        <v>#N/A</v>
      </c>
      <c r="JV145" s="218" t="e">
        <f t="shared" ca="1" si="542"/>
        <v>#N/A</v>
      </c>
      <c r="JW145" s="216" t="e">
        <f t="shared" ca="1" si="543"/>
        <v>#N/A</v>
      </c>
      <c r="JX145" s="91" t="e">
        <f t="shared" ca="1" si="544"/>
        <v>#N/A</v>
      </c>
      <c r="JY145" s="218" t="e">
        <f t="shared" ca="1" si="545"/>
        <v>#N/A</v>
      </c>
      <c r="JZ145" s="217" t="e">
        <f ca="1">IF(Control!$C$114=1,($IZ145/(IF($JI145&lt;&gt;0,$JI145,1)))*$JK145, 0)</f>
        <v>#N/A</v>
      </c>
      <c r="KA145" s="218" t="e">
        <f t="shared" ca="1" si="683"/>
        <v>#N/A</v>
      </c>
      <c r="KB145" s="218" t="e">
        <f t="shared" ca="1" si="649"/>
        <v>#N/A</v>
      </c>
      <c r="KC145" s="218" t="e">
        <f t="shared" ca="1" si="546"/>
        <v>#N/A</v>
      </c>
      <c r="KD145" s="218" t="e">
        <f t="shared" ca="1" si="547"/>
        <v>#N/A</v>
      </c>
      <c r="KE145" s="218" t="e">
        <f t="shared" ca="1" si="548"/>
        <v>#N/A</v>
      </c>
      <c r="KF145" s="218" t="e">
        <f t="shared" ca="1" si="549"/>
        <v>#N/A</v>
      </c>
      <c r="KG145" s="216" t="e">
        <f t="shared" ca="1" si="550"/>
        <v>#N/A</v>
      </c>
      <c r="KH145" s="221" t="e">
        <f ca="1">IF(Control!$B$24=0,1,MAX(0.001,MIN(1,IF(($IF145-$IE145)&lt;&gt;0,($KG145-$IE145)/($IF145-$IE145),1))))</f>
        <v>#N/A</v>
      </c>
      <c r="KI145" s="222" t="e">
        <f ca="1">IF(Control!$C$114=1, $KI144+ $KH144, 0)</f>
        <v>#N/A</v>
      </c>
      <c r="KJ145" s="217" t="e">
        <f t="shared" ca="1" si="551"/>
        <v>#N/A</v>
      </c>
      <c r="KK145" s="218" t="e">
        <f t="shared" ca="1" si="552"/>
        <v>#N/A</v>
      </c>
      <c r="KL145" s="274" t="e">
        <f ca="1">IF(Control!$B$26=3,4000000000*EXP(-8400/($G145+273)),IF(Control!$B$26=4,4000000000*EXP(-8400/($G145+273))*($KT145),0))</f>
        <v>#DIV/0!</v>
      </c>
      <c r="KM145" s="274" t="e">
        <f ca="1">IF(Control!$B$26=3,5600000000000*EXP(-9800/($G145+273)),IF(Control!$B$26=4,5600000000000*EXP(-9800/($G145+273))*$KT145,0))</f>
        <v>#DIV/0!</v>
      </c>
      <c r="KN145" s="454" t="e">
        <f t="shared" ca="1" si="650"/>
        <v>#DIV/0!</v>
      </c>
      <c r="KO145" s="274" t="e">
        <f t="shared" ca="1" si="651"/>
        <v>#DIV/0!</v>
      </c>
      <c r="KP145" s="454" t="e">
        <f t="shared" ca="1" si="553"/>
        <v>#DIV/0!</v>
      </c>
      <c r="KQ145" s="454" t="e">
        <f t="shared" ca="1" si="554"/>
        <v>#DIV/0!</v>
      </c>
      <c r="KR145" s="454" t="e">
        <f t="shared" ca="1" si="555"/>
        <v>#DIV/0!</v>
      </c>
      <c r="KS145" s="454" t="e">
        <f t="shared" ca="1" si="556"/>
        <v>#DIV/0!</v>
      </c>
      <c r="KT145" s="455" t="e">
        <f t="shared" ca="1" si="557"/>
        <v>#DIV/0!</v>
      </c>
      <c r="KU145" s="456" t="e">
        <f ca="1">IF($CP145-Control!$C$149&lt;0, IF($NT145-0.01&lt;0,0,1),0)</f>
        <v>#N/A</v>
      </c>
      <c r="KV145" s="456" t="e">
        <f ca="1">IF(Control!$C$114=1,MAX(0,MIN(Control!$C$125*$KW145*$GN145,$KW145)))</f>
        <v>#DIV/0!</v>
      </c>
      <c r="KW145" s="456" t="e">
        <f t="shared" ca="1" si="684"/>
        <v>#DIV/0!</v>
      </c>
      <c r="KX145" s="457" t="e">
        <f ca="1">IF($CP145-Control!$C$149&lt;0, IF($MR145-$OM145&lt;0,0,1),0)</f>
        <v>#N/A</v>
      </c>
      <c r="KY145" s="167">
        <f t="shared" ca="1" si="652"/>
        <v>141</v>
      </c>
      <c r="KZ145" s="168">
        <f ca="1">1370*(1+0.033*COS(2*Control!$C$138*$AH145/365))</f>
        <v>1335.8439791546132</v>
      </c>
      <c r="LA145" s="169">
        <f t="shared" ca="1" si="653"/>
        <v>0.97506872063560157</v>
      </c>
      <c r="LB145" s="169">
        <f t="shared" ca="1" si="654"/>
        <v>0.35214286666419159</v>
      </c>
      <c r="LC145" s="169">
        <f ca="1">ACOS(-TAN((2*Control!$B$8/360))*TAN(Calculations!$LB145))</f>
        <v>1.6802244920546199</v>
      </c>
      <c r="LD145" s="169">
        <f ca="1">((24*60)/PI())*0.082*$LA145*(($LC145*SIN(Control!$B$8*2*PI()/360))*SIN($LB145)+COS(Control!$B$8*2*PI()/360)*COS($LB145)*SIN($LC145))</f>
        <v>37.788682712376222</v>
      </c>
      <c r="LE145" s="170">
        <f t="shared" ca="1" si="558"/>
        <v>38.932502456070068</v>
      </c>
      <c r="LF145" s="170">
        <f ca="1">SIN(Control!$C$139*Control!$B$8)*SIN($HD145)</f>
        <v>0.26860596481585541</v>
      </c>
      <c r="LG145" s="170">
        <f ca="1">COS(Control!$C$139*Control!$B$8)*COS($HD145)</f>
        <v>0.57878925931231562</v>
      </c>
      <c r="LH145" s="170">
        <f ca="1">12*(1+2*ASIN(MAX(-1,MIN(1,$LF145/$LG145))/Control!$C$138))</f>
        <v>15.558343276541992</v>
      </c>
      <c r="LI145" s="170">
        <f ca="1">12*(1+2*ASIN(MAX(-1,MIN(1,(-SIN(-4*Control!$C$139)+$LF145)/$LG145))/Control!$C$138))</f>
        <v>16.492221039903985</v>
      </c>
      <c r="LJ145" s="168">
        <f ca="1">3600*($LH145*$LF145+24*$LG145*SQRT(1-$LK145*$LK145)/Control!$C$138)</f>
        <v>29144.498207573939</v>
      </c>
      <c r="LK145" s="170">
        <f t="shared" ca="1" si="559"/>
        <v>0.46408249720286393</v>
      </c>
      <c r="LL145" s="170">
        <f t="shared" ca="1" si="560"/>
        <v>0</v>
      </c>
      <c r="LM145" s="171">
        <f ca="1">Control!$C$145*$AB145</f>
        <v>6.6660906138995932E-2</v>
      </c>
      <c r="LN145" s="170">
        <f t="shared" ca="1" si="655"/>
        <v>0.54</v>
      </c>
      <c r="LO145" s="170">
        <f t="shared" ca="1" si="561"/>
        <v>0</v>
      </c>
      <c r="LP145" s="170">
        <f ca="1">Control!$C$140*((($D145+273.16)^4+($E145+273.16)^4)/2)*(0.34-0.14*SQRT($Y145))*(1.35*$AQ145/(0.75*$LD145)-0.35)</f>
        <v>-3.2464704755046001</v>
      </c>
      <c r="LQ145" s="170">
        <f ca="1">Control!$C$140*($G145+273)^4*(0.56-0.079*SQRT($Y145*10))*(0.1+0.9*$LO145)</f>
        <v>1.5241745131704001</v>
      </c>
      <c r="LR145" s="170">
        <f ca="1">$AQ145*(1-Control!$C$142)-$LQ145</f>
        <v>-1.5241745131704001</v>
      </c>
      <c r="LS145" s="170">
        <f ca="1">$AQ145*(1-Control!$C$143)-$LQ145</f>
        <v>-1.5241745131704001</v>
      </c>
      <c r="LT145" s="170">
        <f ca="1">$AQ145*(1-Control!$C$144)-$LQ145</f>
        <v>-1.5241745131704001</v>
      </c>
      <c r="LU145" s="169">
        <f ca="1">(1-Control!$C$144)*AQ145-LP145</f>
        <v>3.2464704755046001</v>
      </c>
      <c r="LV145" s="172">
        <f t="shared" ca="1" si="562"/>
        <v>0.79430000000000012</v>
      </c>
      <c r="LW145" s="170">
        <f t="shared" ca="1" si="563"/>
        <v>1.5886000000000002</v>
      </c>
      <c r="LX145" s="170">
        <f ca="1">($AC145*($LR145/Control!$C$141)+$LM145*$LV145)/($AC145+$LM145)</f>
        <v>0.23530094218323697</v>
      </c>
      <c r="LY145" s="170">
        <f ca="1">($AC145*($LS145/Control!$C$141)+$LM145*$LV145)/($AC145+$LM145)</f>
        <v>0.23530094218323697</v>
      </c>
      <c r="LZ145" s="170">
        <f t="shared" ca="1" si="564"/>
        <v>0.23530094218323697</v>
      </c>
      <c r="MA145" s="170">
        <f t="shared" ca="1" si="565"/>
        <v>0.23530094218323697</v>
      </c>
      <c r="MB145" s="170" t="e">
        <f t="shared" ca="1" si="566"/>
        <v>#N/A</v>
      </c>
      <c r="MC145" s="170">
        <f t="shared" ca="1" si="656"/>
        <v>0.6018</v>
      </c>
      <c r="MD145" s="170">
        <f t="shared" ca="1" si="567"/>
        <v>0.52989392535414004</v>
      </c>
      <c r="ME145" s="170">
        <f ca="1">($AC145*($LT145/Control!$C$141)+$LM145*$LW145)/($AC145+$LM145)</f>
        <v>0.71612369323045078</v>
      </c>
      <c r="MF145" s="170" t="e">
        <f ca="1">IF(Control!$B$16&gt;=1000,0.92,IF(AND(720&lt;=Control!$B$16,1000&gt;Control!$B$16),(0.95+(Control!$B$16-720)*((0.92-0.95)/(1000-720))),IF(AND(360&lt;=Control!$B$16,720&gt;Control!$B$16),(1+(Control!$B$16-360)*((0.95-1)/(720-360))),IF(AND(40&lt;=Control!$B$16,360&gt;Control!$B$16),(1.05+(Control!$B$16-40)*((1.05-1)/(360-40)))))))</f>
        <v>#N/A</v>
      </c>
      <c r="MG145" s="170">
        <f t="shared" ca="1" si="568"/>
        <v>0.71612369323045078</v>
      </c>
      <c r="MH145" s="170" t="e">
        <f t="shared" ca="1" si="464"/>
        <v>#N/A</v>
      </c>
      <c r="MI145" s="170" t="e">
        <f t="shared" ca="1" si="464"/>
        <v>#N/A</v>
      </c>
      <c r="MJ145" s="170" t="e">
        <f ca="1">MAX(0.0001, Control!$C$132*$MI145*$DL145)</f>
        <v>#N/A</v>
      </c>
      <c r="MK145" s="170">
        <f ca="1">1/(0.76+1.5*($MG145/10))-(5-Control!$C$110)*0.1</f>
        <v>1.002845988140797</v>
      </c>
      <c r="ML145" s="173">
        <f ca="1">IF(Control!$C$110&lt;3,$MK145+($MG145-0.6)/(Control!$C$110*(Control!$C$110+3)), MAX(0.1, MIN(0.95,$MK145)))</f>
        <v>0.95</v>
      </c>
      <c r="MM145" s="173">
        <f ca="1">IF(Control!$C$110&lt;3,$MK145+(($MI145/10)-0.6)/(Control!$C$110*(Control!$C$110+3)), MAX(0.1, MIN(0.95,$MK145)))</f>
        <v>0.95</v>
      </c>
      <c r="MN145" s="173">
        <f ca="1">(1-$MM145)*(Control!$C$128-Control!$C$127)+Control!$C$127</f>
        <v>0.16</v>
      </c>
      <c r="MO145" s="170" t="e">
        <f ca="1">MAX(0,MIN(1,($MS145-Control!$C$127)/($MN145-Control!$C$127)))</f>
        <v>#DIV/0!</v>
      </c>
      <c r="MP145" s="173" t="e">
        <f ca="1">1/(0.76+1.5*$MI145)-(5-Control!$C$110)*0.1</f>
        <v>#N/A</v>
      </c>
      <c r="MQ145" s="172" t="e">
        <f t="shared" ca="1" si="685"/>
        <v>#DIV/0!</v>
      </c>
      <c r="MR145" s="168" t="e">
        <f t="shared" ca="1" si="657"/>
        <v>#DIV/0!</v>
      </c>
      <c r="MS145" s="173" t="e">
        <f ca="1">MAX(Control!$C$127, MIN(Control!$C$135, $MR145/MAX(0.0001,$CY145)))</f>
        <v>#DIV/0!</v>
      </c>
      <c r="MT145" s="168" t="e">
        <f ca="1">(Control!$C$128-$MS145)*Control!$C$74</f>
        <v>#DIV/0!</v>
      </c>
      <c r="MU145" s="168" t="e">
        <f ca="1">(Control!$C$135-$MS145)*Control!$C$74</f>
        <v>#DIV/0!</v>
      </c>
      <c r="MV145" s="168" t="e">
        <f t="shared" ca="1" si="658"/>
        <v>#DIV/0!</v>
      </c>
      <c r="MW145" s="168" t="e">
        <f t="shared" ca="1" si="659"/>
        <v>#DIV/0!</v>
      </c>
      <c r="MX145" s="171" t="e">
        <f ca="1">MAX(Control!$C$127, MIN(Control!$C$135, $MW145/MAX(0.0001,Control!$C$119-$CY145)))</f>
        <v>#DIV/0!</v>
      </c>
      <c r="MY145" s="54" t="e">
        <f ca="1">IF(Control!$C$114=1, $CX145*$MX145, 0)</f>
        <v>#DIV/0!</v>
      </c>
      <c r="MZ145" s="54" t="e">
        <f t="shared" ca="1" si="660"/>
        <v>#N/A</v>
      </c>
      <c r="NA145" s="168" t="e">
        <f ca="1">(Control!$C$128-$MX145)*(Control!$C$119-Control!$C$74)</f>
        <v>#DIV/0!</v>
      </c>
      <c r="NB145" s="168" t="e">
        <f ca="1">(Control!$C$135-$MX145)*(Control!$C$119-Control!$C$74)</f>
        <v>#DIV/0!</v>
      </c>
      <c r="NC145" s="174" t="e">
        <f t="shared" ca="1" si="661"/>
        <v>#DIV/0!</v>
      </c>
      <c r="ND145" s="54">
        <f ca="1">IF(Control!$C$58=2, IF(OR(Control!$B$218=$AH145,Control!$B$219=$AH145, Control!$B$220=$AH145, Control!$B$221=$AH145, Control!$B$222=$AH145, Control!$B$223=$AH145, Control!$B$224=$AH145, Control!$B$225=$AH145, Control!$B$226=$AH145, Control!$B$227=$AH145, Control!$B$228=$AH145), 1, 0), 0)</f>
        <v>0</v>
      </c>
      <c r="NE145" s="54">
        <f ca="1">IF($ND145=0,0, VLOOKUP($AH145,Control!$B$218:$C$228,2))</f>
        <v>0</v>
      </c>
      <c r="NF145" s="168" t="e">
        <f ca="1">$CY145*(Control!$C$128-Control!$C$127)</f>
        <v>#N/A</v>
      </c>
      <c r="NG145" s="54" t="e">
        <f ca="1">IF(Control!$C$58=2, $NI144-$NJ144, 0)</f>
        <v>#DIV/0!</v>
      </c>
      <c r="NH145" s="54" t="e">
        <f ca="1">IF(AND(Control!$C$58=1, $MS144&lt;= ($MN144+0.02), $I144&lt;10), 0, IF(Control!$C$58=2, $NG144, 0))</f>
        <v>#DIV/0!</v>
      </c>
      <c r="NI145" s="54" t="e">
        <f ca="1">IF(Control!$C$58=2, $NE145+$NH145,0)</f>
        <v>#DIV/0!</v>
      </c>
      <c r="NJ145" s="54" t="e">
        <f ca="1">IF(AND(Control!$C$58=1, $MS145&lt;= ($MN145+0.02), $I145&lt;10), MAX(0, MIN(10, 0.7*($NF145-$MV145))), IF(Control!$C$58=2, MIN(10,$NI145),0))</f>
        <v>#DIV/0!</v>
      </c>
      <c r="NK145" s="54" t="e">
        <f t="shared" ca="1" si="569"/>
        <v>#DIV/0!</v>
      </c>
      <c r="NL145" s="173" t="e">
        <f ca="1">(1-Control!$C$73)*$I145+$NJ145</f>
        <v>#DIV/0!</v>
      </c>
      <c r="NM145" s="172" t="e">
        <f ca="1">IF($NL145&lt;0.5, $MB145* MAX(0, MIN(1, (SQRT($NC145)-SQRT($NC145-1))*Control!$C$71)),0)</f>
        <v>#DIV/0!</v>
      </c>
      <c r="NN145" s="170" t="e">
        <f ca="1">IF($NL145&gt;=5, $MB145, MAX(0,MIN($MB145, $NM145+$NL145,($MS145-Control!$C$129))))</f>
        <v>#DIV/0!</v>
      </c>
      <c r="NO145" s="54">
        <f>IF(Control!$C$133&lt;&gt;1, Control!$C$135-Control!$C$131, 0)</f>
        <v>0.38</v>
      </c>
      <c r="NP145" s="54" t="e">
        <f t="shared" ca="1" si="570"/>
        <v>#DIV/0!</v>
      </c>
      <c r="NQ145" s="173" t="e">
        <f ca="1">MAX(0,MIN(1,(Control!$C$135-$MS145)/(Control!$C$135-$NO145)))</f>
        <v>#DIV/0!</v>
      </c>
      <c r="NR145" s="170" t="e">
        <f ca="1">IF(Control!$C$133&lt;&gt;1, $NQ145+((1-$NP145/4)*(1-$NQ145)),1)</f>
        <v>#DIV/0!</v>
      </c>
      <c r="NS145" s="170" t="e">
        <f ca="1">IF(Control!$B$31=0,$MJ145,MAX(0,MIN($MV145,$MO145*$NR145*$MJ145)))</f>
        <v>#DIV/0!</v>
      </c>
      <c r="NT145" s="170" t="e">
        <f t="shared" ca="1" si="686"/>
        <v>#DIV/0!</v>
      </c>
      <c r="NU145" s="170" t="e">
        <f t="shared" ca="1" si="662"/>
        <v>#N/A</v>
      </c>
      <c r="NV145" s="170" t="e">
        <f t="shared" ca="1" si="571"/>
        <v>#N/A</v>
      </c>
      <c r="NW145" s="175" t="e">
        <f t="shared" ca="1" si="572"/>
        <v>#DIV/0!</v>
      </c>
      <c r="NX145" s="170" t="e">
        <f ca="1">MIN(Control!$C$72+$MU145, $NW145)</f>
        <v>#DIV/0!</v>
      </c>
      <c r="NY145" s="170" t="e">
        <f ca="1">IF($MT145&lt;=$NX145,MIN(Control!$C$72+$NB145,$NX145-$MT145),0)</f>
        <v>#DIV/0!</v>
      </c>
      <c r="NZ145" s="54" t="e">
        <f ca="1">IF(Control!$C$114=1,  $CX145*($MX145-Control!$C$127), 0)</f>
        <v>#DIV/0!</v>
      </c>
      <c r="OA145" s="170" t="e">
        <f t="shared" ca="1" si="573"/>
        <v>#DIV/0!</v>
      </c>
      <c r="OB145" s="170" t="e">
        <f ca="1">IF($NA145 &lt;=$NY145, MIN(Control!$C$72, $NY145-$NA145), 0)</f>
        <v>#DIV/0!</v>
      </c>
      <c r="OC145" s="168" t="e">
        <f t="shared" ca="1" si="574"/>
        <v>#DIV/0!</v>
      </c>
      <c r="OD145" s="168" t="e">
        <f t="shared" ca="1" si="663"/>
        <v>#DIV/0!</v>
      </c>
      <c r="OE145" s="170">
        <f ca="1">Control!$C$73*$I145</f>
        <v>0</v>
      </c>
      <c r="OF145" s="176" t="e">
        <f t="shared" ca="1" si="575"/>
        <v>#DIV/0!</v>
      </c>
      <c r="OG145" s="168" t="e">
        <f t="shared" ca="1" si="576"/>
        <v>#DIV/0!</v>
      </c>
      <c r="OH145" s="168" t="e">
        <f t="shared" ca="1" si="577"/>
        <v>#DIV/0!</v>
      </c>
      <c r="OI145" s="168" t="e">
        <f t="shared" ca="1" si="578"/>
        <v>#DIV/0!</v>
      </c>
      <c r="OJ145" s="168" t="e">
        <f t="shared" ca="1" si="579"/>
        <v>#DIV/0!</v>
      </c>
      <c r="OK145" s="204" t="e">
        <f t="shared" ca="1" si="580"/>
        <v>#DIV/0!</v>
      </c>
      <c r="OL145" s="177">
        <f>Control!$C$127</f>
        <v>0.15</v>
      </c>
      <c r="OM145" s="182" t="e">
        <f t="shared" ca="1" si="581"/>
        <v>#N/A</v>
      </c>
      <c r="ON145" s="177">
        <f>Control!$C$128</f>
        <v>0.35</v>
      </c>
      <c r="OO145" s="182" t="e">
        <f t="shared" ca="1" si="582"/>
        <v>#N/A</v>
      </c>
      <c r="OP145" s="138">
        <f t="shared" ca="1" si="664"/>
        <v>0</v>
      </c>
      <c r="OQ145" s="138" t="e">
        <f t="shared" ca="1" si="687"/>
        <v>#DIV/0!</v>
      </c>
      <c r="OR145" s="138" t="e">
        <f t="shared" ca="1" si="665"/>
        <v>#DIV/0!</v>
      </c>
      <c r="OS145" s="137" t="e">
        <f t="shared" ca="1" si="688"/>
        <v>#DIV/0!</v>
      </c>
      <c r="OT145" s="139" t="e">
        <f t="shared" ca="1" si="689"/>
        <v>#DIV/0!</v>
      </c>
      <c r="OU145" s="138" t="e">
        <f t="shared" ca="1" si="690"/>
        <v>#N/A</v>
      </c>
      <c r="OV145" s="138" t="e">
        <f t="shared" ca="1" si="691"/>
        <v>#DIV/0!</v>
      </c>
      <c r="OW145" s="138" t="e">
        <f t="shared" ca="1" si="666"/>
        <v>#DIV/0!</v>
      </c>
      <c r="OX145" s="138" t="e">
        <f t="shared" ca="1" si="667"/>
        <v>#DIV/0!</v>
      </c>
      <c r="OY145" s="138" t="e">
        <f t="shared" ca="1" si="668"/>
        <v>#DIV/0!</v>
      </c>
      <c r="OZ145" s="138" t="e">
        <f t="shared" ca="1" si="583"/>
        <v>#DIV/0!</v>
      </c>
      <c r="PA145" s="138" t="e">
        <f t="shared" ca="1" si="584"/>
        <v>#DIV/0!</v>
      </c>
      <c r="PB145" s="55">
        <f>IF(Control!$C$61="T", IF(Control!$C$65="F", IF($AH$6-Control!$C$60&lt;0,0,1), IF(365+$AH$6-Control!$C$60&lt;0,0,1)),0)</f>
        <v>0</v>
      </c>
      <c r="PC145" s="55">
        <f ca="1">IF(Control!$C$65="F", IF($AH$6-$HF145&lt;0,0,1), IF(365+$AH$6-$HF145&lt;0,0,1))</f>
        <v>1</v>
      </c>
      <c r="PD145" s="444">
        <f>Control!$C$118</f>
        <v>1500</v>
      </c>
      <c r="PE145" s="180" t="e">
        <f t="shared" ca="1" si="585"/>
        <v>#N/A</v>
      </c>
      <c r="PF145" s="445">
        <f t="shared" ca="1" si="669"/>
        <v>0.71612369323045078</v>
      </c>
      <c r="PT145" s="186"/>
      <c r="PU145" s="186"/>
      <c r="PV145" s="94"/>
      <c r="PW145" s="94"/>
      <c r="PX145" s="94"/>
      <c r="PY145" s="94"/>
      <c r="PZ145" s="94"/>
      <c r="QA145" s="94"/>
      <c r="QB145" s="94"/>
      <c r="QC145" s="94"/>
      <c r="QD145" s="94"/>
      <c r="QE145" s="94"/>
      <c r="QF145" s="94"/>
      <c r="QG145" s="94"/>
      <c r="QH145" s="94"/>
      <c r="QI145" s="94"/>
      <c r="QJ145" s="94"/>
      <c r="QK145" s="94"/>
      <c r="QL145" s="94"/>
      <c r="QM145" s="94"/>
      <c r="QN145" s="94"/>
      <c r="QO145" s="94"/>
      <c r="QP145" s="94"/>
    </row>
    <row r="146" spans="1:458" s="2" customFormat="1" x14ac:dyDescent="0.2">
      <c r="A146" s="395">
        <v>21</v>
      </c>
      <c r="B146" s="396">
        <v>5</v>
      </c>
      <c r="C146" s="387">
        <f ca="1">Weather_data!$B145</f>
        <v>0</v>
      </c>
      <c r="D146" s="388">
        <f ca="1">Weather_data!$F145</f>
        <v>0</v>
      </c>
      <c r="E146" s="388">
        <f ca="1">Weather_data!$E145</f>
        <v>0</v>
      </c>
      <c r="F146" s="388">
        <f t="shared" ca="1" si="586"/>
        <v>0</v>
      </c>
      <c r="G146" s="388">
        <f ca="1">AVERAGE($D146:$E146)+Control!$B$9</f>
        <v>0</v>
      </c>
      <c r="H146" s="388">
        <f ca="1">Weather_data!$G145</f>
        <v>0</v>
      </c>
      <c r="I146" s="388">
        <f ca="1">Weather_data!$I145</f>
        <v>0</v>
      </c>
      <c r="J146" s="388">
        <f ca="1">Weather_data!$H145</f>
        <v>0</v>
      </c>
      <c r="K146" s="389">
        <f ca="1">Weather_data!$D145</f>
        <v>0</v>
      </c>
      <c r="L146" s="388" t="e">
        <f t="shared" ca="1" si="587"/>
        <v>#N/A</v>
      </c>
      <c r="M146" s="388" t="e">
        <f t="shared" ca="1" si="465"/>
        <v>#N/A</v>
      </c>
      <c r="N146" s="388">
        <f t="shared" ca="1" si="466"/>
        <v>-1.9630046385909064E-7</v>
      </c>
      <c r="O146" s="388">
        <f t="shared" ca="1" si="588"/>
        <v>1.9630046385909065E-6</v>
      </c>
      <c r="P146" s="390">
        <v>3</v>
      </c>
      <c r="Q146" s="388">
        <f ca="1">MAX($G146-Control!$C$107,0)</f>
        <v>0</v>
      </c>
      <c r="R146" s="388">
        <f t="shared" ca="1" si="589"/>
        <v>0</v>
      </c>
      <c r="S146" s="388">
        <f t="shared" ca="1" si="467"/>
        <v>0</v>
      </c>
      <c r="T146" s="388">
        <f t="shared" ca="1" si="468"/>
        <v>0</v>
      </c>
      <c r="U146" s="59">
        <f t="shared" ca="1" si="469"/>
        <v>0</v>
      </c>
      <c r="V146" s="391">
        <f ca="1">MAX(0,MIN(Control!$C$100-Control!$C$99,$G146-Control!$C$99)*Control!$C$63)</f>
        <v>0</v>
      </c>
      <c r="W146" s="388">
        <f t="shared" ca="1" si="590"/>
        <v>0</v>
      </c>
      <c r="X146" s="388">
        <f t="shared" ca="1" si="591"/>
        <v>0.6110000000000001</v>
      </c>
      <c r="Y146" s="388">
        <f t="shared" ca="1" si="470"/>
        <v>0</v>
      </c>
      <c r="Z146" s="388">
        <f t="shared" ca="1" si="592"/>
        <v>0.61058800000000002</v>
      </c>
      <c r="AA146" s="388">
        <f t="shared" ca="1" si="471"/>
        <v>0.6018</v>
      </c>
      <c r="AB146" s="388">
        <f ca="1">101.3*EXP(-0.034*Control!$C$66/($G146+273))</f>
        <v>100.69623283836242</v>
      </c>
      <c r="AC146" s="392">
        <f t="shared" ca="1" si="472"/>
        <v>4.3460251046025113E-2</v>
      </c>
      <c r="AD146" s="392">
        <f t="shared" ca="1" si="473"/>
        <v>4.4450382862832649E-2</v>
      </c>
      <c r="AE146" s="388">
        <f t="shared" ca="1" si="474"/>
        <v>0</v>
      </c>
      <c r="AF146" s="388">
        <f ca="1">MAX(0,$G146-Control!$C$92)</f>
        <v>0</v>
      </c>
      <c r="AG146" s="393">
        <f t="shared" ca="1" si="475"/>
        <v>142</v>
      </c>
      <c r="AH146" s="389">
        <f t="shared" ca="1" si="476"/>
        <v>142</v>
      </c>
      <c r="AI146" s="388">
        <f t="shared" ca="1" si="593"/>
        <v>0.35154616026564883</v>
      </c>
      <c r="AJ146" s="388">
        <f ca="1">IF(Control!$C$60&lt;=0,$HH146,$HI146)</f>
        <v>1</v>
      </c>
      <c r="AK146" s="388">
        <f t="shared" ca="1" si="477"/>
        <v>1.0672807919044776</v>
      </c>
      <c r="AL146" s="388">
        <f t="shared" ca="1" si="478"/>
        <v>2.5245465440359991E-18</v>
      </c>
      <c r="AM146" s="388">
        <f t="shared" ca="1" si="479"/>
        <v>1.0672807919044776</v>
      </c>
      <c r="AN146" s="388">
        <f t="shared" ca="1" si="480"/>
        <v>0.35589532089853304</v>
      </c>
      <c r="AO146" s="388">
        <f ca="1">-0.10453/COS(Control!$B$8*PI()/180)*COS(AN146)</f>
        <v>-0.15914528011592075</v>
      </c>
      <c r="AP146" s="388">
        <f ca="1">ACOS(AO146-TAN(Control!$B$8*PI()/180)*TAN(AN146))</f>
        <v>2.2587143447416169</v>
      </c>
      <c r="AQ146" s="388">
        <f t="shared" ca="1" si="594"/>
        <v>0</v>
      </c>
      <c r="AR146" s="394">
        <f t="shared" ca="1" si="481"/>
        <v>0</v>
      </c>
      <c r="AS146" s="436">
        <f ca="1">IF(Control!$B$18=2,(IF(OR($AH146=Control!$B$175,$AH146=Control!$B$176,$AH146=Control!$B$177,$AH146=Control!$B$178,$AH146=Control!$B$179,$AH146=Control!$B$180,$AH146=Control!$B$181,$AH146=Control!$B$182,$AH146=Control!$B$183,$AH146=Control!$B$184,$AH146=Control!$B$185),1,0)),0)</f>
        <v>0</v>
      </c>
      <c r="AT146" s="436">
        <f>IF(Control!$B$20=8,IF(AND($AH146&gt;=Control!$B$172,$AH146&lt;=Control!$B$173),1,0),0)</f>
        <v>0</v>
      </c>
      <c r="AU146" s="436">
        <f>IF(Control!$B$20=8,IF($AV145=1,1*$AT146,IF($AT146=1,$AU145+1,$AU145)),0)</f>
        <v>0</v>
      </c>
      <c r="AV146" s="436">
        <f>IF(Control!$B$20=8,IF($AU146&gt;=Control!$B$174,1,0),0)</f>
        <v>0</v>
      </c>
      <c r="AW146" s="436">
        <f ca="1">IF(AND(Control!$B$18=2,Control!$B$171=1), $AV146, $AS146)</f>
        <v>0</v>
      </c>
      <c r="AX146" s="436" t="e">
        <f ca="1">IF(AND(Control!$B$18=1,$EU146&gt;=Control!$B$19),-$AY146,IF(AND(Control!$B$18=2,$AW146=1,$EU146&gt;$DS146),-$AY146, IF(Control!$C$108=0,0, IF(Control!$C$108&lt;&gt;0,1))))</f>
        <v>#N/A</v>
      </c>
      <c r="AY146" s="436" t="e">
        <f t="shared" ca="1" si="595"/>
        <v>#N/A</v>
      </c>
      <c r="AZ146" s="436" t="e">
        <f ca="1">IF(AND(Control!$B$18=1,$EB146&gt;Control!$B$19),$AZ145+1, IF(AND(Control!$B$18=2, $AW146=1, $EB146&gt;$DS146), $AZ145+1,$AZ145))</f>
        <v>#N/A</v>
      </c>
      <c r="BA146" s="587">
        <f>IF(Control!$C$81=0,1,IF($AH146&gt;=Control!$C$82,1,0))</f>
        <v>1</v>
      </c>
      <c r="BB146" s="140" t="e">
        <f ca="1">IF($BA146&gt;$BA145,Control!$C$83,IF($AW146&gt;0,$AW146*Control!$C$84,IF(AND(Control!$B$18=1,EN145&lt;&gt;0),Control!$C$84,0)))</f>
        <v>#N/A</v>
      </c>
      <c r="BC146" s="140" t="e">
        <f t="shared" ca="1" si="596"/>
        <v>#N/A</v>
      </c>
      <c r="BD146" s="140" t="e">
        <f ca="1">BC146*IF(OR($G146&lt;Control!$C$92,$G146&gt;Control!$C$95),0,IF(AND($G146&gt;=Control!$C$92,$G146&lt;=Control!$C$93),$G146-Control!$C$92,IF(AND($G146&gt;Control!$C$93,$G146&lt;=Control!$C$94),Control!$C$93-Control!$C$92,IF(AND($G146&gt;Control!$C$94,$G146&lt;=Control!$C$95),(Control!$C$93-Control!$C$92)*(Control!$C$94-$G146)/(Control!$C$95-Control!$C$94)))))</f>
        <v>#N/A</v>
      </c>
      <c r="BE146" s="140" t="e">
        <f t="shared" ca="1" si="597"/>
        <v>#N/A</v>
      </c>
      <c r="BF146" s="140" t="e">
        <f ca="1">IF($BE146&lt;=Control!$C$86,$BE146,Control!$C$86-$BE146)</f>
        <v>#N/A</v>
      </c>
      <c r="BG146" s="140" t="e">
        <f ca="1">IF(AND($AW146=1,Control!$C$84&lt;9),1,IF($BE146&gt;=Control!$C$86,0,$BC146))</f>
        <v>#N/A</v>
      </c>
      <c r="BH146" s="404" t="e">
        <f ca="1">IF($BG146=0,0,IF($BE146&lt;=Control!$C$86,$BC146*9*($BF146/Control!$C$86),0))</f>
        <v>#N/A</v>
      </c>
      <c r="BI146" s="140" t="e">
        <f ca="1">IF($BG146=1,0,IF($BE146&gt;=Control!$C$86,1,IF(AND($BB146&lt;21,$BB146&gt;=9),1,$BM145)))</f>
        <v>#N/A</v>
      </c>
      <c r="BJ146" s="140" t="e">
        <f ca="1">IF($BF146&lt;0,-$BF146,$BI146*IF(OR($G146&lt;Control!$C$92,$G146&gt;Control!$C$95),0,IF(AND($G146&gt;=Control!$C$92,$G146&lt;=Control!$C$93),$G146-Control!$C$92,IF(AND($G146&gt;Control!$C$93,$G146&lt;=Control!$C$94),Control!$C$93-Control!$C$92,IF(AND($G146&gt;Control!$C$94,$G146&lt;=Control!$C$95),(Control!$C$93-Control!$C$92)*(Control!$C$94-$G146)/(Control!$C$95-Control!$C$94))))))</f>
        <v>#N/A</v>
      </c>
      <c r="BK146" s="140" t="e">
        <f t="shared" ca="1" si="598"/>
        <v>#N/A</v>
      </c>
      <c r="BL146" s="140" t="e">
        <f ca="1">IF($BK146&lt;=Control!$C$87,$BK146,Control!$C$87-$BK146)</f>
        <v>#N/A</v>
      </c>
      <c r="BM146" s="140" t="e">
        <f ca="1">IF(AND($BB146&gt;=9,$BB146&lt;21),1,IF($BK146&gt;=Control!$C$87,0,$BI146))</f>
        <v>#N/A</v>
      </c>
      <c r="BN146" s="404" t="e">
        <f ca="1">IF($BM146=0,0,IF($BK146&lt;=Control!$C$87,$BI146*(9+(21-9)*($BL146/Control!$C$87)),0))</f>
        <v>#N/A</v>
      </c>
      <c r="BO146" s="140" t="e">
        <f ca="1">IF($BM146=1,0,IF($BK146&gt;=Control!$C$87,1,IF(AND($BB146&lt;30,$BB146&gt;=21),1,$BS145)))</f>
        <v>#N/A</v>
      </c>
      <c r="BP146" s="140" t="e">
        <f ca="1">IF($BL146&lt;0,-$BL146,$BO146*IF(OR($G146&lt;Control!$C$92,$G146&gt;Control!$C$95),0,IF(AND($G146&gt;=Control!$C$92,$G146&lt;=Control!$C$93),$G146-Control!$C$92,IF(AND($G146&gt;Control!$C$93,$G146&lt;=Control!$C$94),Control!$C$93-Control!$C$92,IF(AND($G146&gt;Control!$C$94,$G146&lt;=Control!$C$95),(Control!$C$93-Control!$C$92)*(Control!$C$94-$G146)/(Control!$C$95-Control!$C$94))))))</f>
        <v>#N/A</v>
      </c>
      <c r="BQ146" s="140" t="e">
        <f t="shared" ca="1" si="482"/>
        <v>#N/A</v>
      </c>
      <c r="BR146" s="140" t="e">
        <f ca="1">IF($BQ146&lt;=Control!$C$88,$BQ146,Control!$C$88-$BQ146)</f>
        <v>#N/A</v>
      </c>
      <c r="BS146" s="140" t="e">
        <f ca="1">IF(AND($BB146&gt;=21,$BB146&lt;30),1,IF($BQ146&gt;=Control!$C$88,0,$BO146))</f>
        <v>#N/A</v>
      </c>
      <c r="BT146" s="404" t="e">
        <f ca="1">IF($BS146=0,0,IF($BQ146&lt;=Control!$C$88,$BO146*(21+(30-21)*(BR146/Control!$C$88)),0))</f>
        <v>#N/A</v>
      </c>
      <c r="BU146" s="140" t="e">
        <f ca="1">IF(BG146+BM146+BS146=1,0,IF(OR(AND($BB146&lt;60,$BB146&gt;=30),$BQ146&gt;=Control!$C$88),1*$BA146,$BY145))</f>
        <v>#N/A</v>
      </c>
      <c r="BV146" s="140" t="e">
        <f ca="1">IF($BR146&lt;0,-$BR146,$BU146*IF(OR($G146&lt;Control!$C$92,$G146&gt;Control!$C$95),0,IF(AND($G146&gt;=Control!$C$92,$G146&lt;=Control!$C$93),$G146-Control!$C$92,IF(AND($G146&gt;Control!$C$93,$G146&lt;=Control!$C$94),Control!$C$93-Control!$C$92,IF(AND($G146&gt;Control!$C$94,$G146&lt;=Control!$C$95),(Control!$C$93-Control!$C$92)*(Control!$C$94-$G146)/(Control!$C$95-Control!$C$94))))))</f>
        <v>#N/A</v>
      </c>
      <c r="BW146" s="140" t="e">
        <f t="shared" ca="1" si="483"/>
        <v>#N/A</v>
      </c>
      <c r="BX146" s="140" t="e">
        <f ca="1">IF($BW146&lt;=Control!$C$89,$BW146,Control!$C$89-$BW146)</f>
        <v>#N/A</v>
      </c>
      <c r="BY146" s="140" t="e">
        <f ca="1">IF(AND($AJ146&gt;=30,$AJ146&lt;60),1,IF($BW146&gt;=Control!$C$89,0,$BU146))</f>
        <v>#N/A</v>
      </c>
      <c r="BZ146" s="404" t="e">
        <f ca="1">IF($BY146=0,0,IF($BW146&lt;=Control!$C$89,$BU146*(30+(60-30)*(BX146/Control!$C$89)),0))</f>
        <v>#N/A</v>
      </c>
      <c r="CA146" s="140" t="e">
        <f ca="1">IF($BG146+$BM146+$BS146+$BY146=1,0,IF(OR(AND($BB146&lt;65,$BB146&gt;=60),$BW146&gt;=Control!$C$89),1*$BA146,$CE145))</f>
        <v>#N/A</v>
      </c>
      <c r="CB146" s="140" t="e">
        <f ca="1">IF($BX146&lt;0,-$BX146,$CA146*IF(OR($G146&lt;Control!$C$92,$G146&gt;Control!$C$95),0,IF(AND($G146&gt;=Control!$C$92,$G146&lt;=Control!$C$93),$G146-Control!$C$92,IF(AND($G146&gt;Control!$C$93,$G146&lt;=Control!$C$94),Control!$C$93-Control!$C$92,IF(AND($G146&gt;Control!$C$94,$G146&lt;=Control!$C$95),(Control!$C$93-Control!$C$92)*(Control!$C$94-$G146)/(Control!$C$95-Control!$C$94))))))</f>
        <v>#N/A</v>
      </c>
      <c r="CC146" s="140" t="e">
        <f t="shared" ca="1" si="599"/>
        <v>#N/A</v>
      </c>
      <c r="CD146" s="140" t="e">
        <f ca="1">IF($CC146&lt;=Control!$C$90,$CC146,Control!$C$90-$CC146)</f>
        <v>#N/A</v>
      </c>
      <c r="CE146" s="140" t="e">
        <f ca="1">IF(AND($BB146&gt;=60,$BB146&lt;65),1,IF($CC146&gt;=Control!$C$90,0,$CA146))</f>
        <v>#N/A</v>
      </c>
      <c r="CF146" s="404" t="e">
        <f ca="1">IF($CE146=0,0,IF($CC146&lt;=Control!$C$90,$CA146*(60+(65-60)*(CD146/Control!$C$90)),0))</f>
        <v>#N/A</v>
      </c>
      <c r="CG146" s="140" t="e">
        <f ca="1">IF($BG146+$BM146+$BS146+$BY146+$CE146=1,0,IF(OR(AND($BB146&lt;90,$BB146&gt;=65),$CC146&gt;=Control!$C$90),$BA146,$CK145))</f>
        <v>#N/A</v>
      </c>
      <c r="CH146" s="140" t="e">
        <f ca="1">IF($CD146&lt;0,-$CD146,$CG146*IF(OR($G146&lt;Control!$C$92,$G146&gt;Control!$C$95),0,IF(AND($G146&gt;=Control!$C$92,$G146&lt;=Control!$C$93),$G146-Control!$C$92,IF(AND($G146&gt;Control!$C$93,$G146&lt;=Control!$C$94),Control!$C$93-Control!$C$92,IF(AND($G146&gt;Control!$C$94,$G146&lt;=Control!$C$95),(Control!$C$93-Control!$C$92)*(Control!$C$94-$G146)/(Control!$C$95-Control!$C$94))))))</f>
        <v>#N/A</v>
      </c>
      <c r="CI146" s="140" t="e">
        <f t="shared" ca="1" si="600"/>
        <v>#N/A</v>
      </c>
      <c r="CJ146" s="140" t="e">
        <f ca="1">IF($CI146&lt;=Control!$C$91,$CI146,Control!$C$91-$CI146)</f>
        <v>#N/A</v>
      </c>
      <c r="CK146" s="140" t="e">
        <f ca="1">IF(AND($BB146&gt;=65,$BB146&lt;90),1,IF($CI146&gt;=Control!$C$91,0,$CG146))</f>
        <v>#N/A</v>
      </c>
      <c r="CL146" s="404" t="e">
        <f ca="1">IF($CK146=0,0,IF($CI146&lt;=Control!$C$91,$CG146*(65+(90-65)*($CJ146/Control!$C$91)),0))</f>
        <v>#N/A</v>
      </c>
      <c r="CM146" s="140" t="e">
        <f ca="1">IF($BG146+$BM146+$BS146+$BY146+$CE146+$CK146=1,0,IF(OR($BB146&gt;=90,$CI146&gt;=Control!$C$91),$BA146,$CM145))</f>
        <v>#N/A</v>
      </c>
      <c r="CN146" s="140" t="e">
        <f t="shared" ca="1" si="601"/>
        <v>#N/A</v>
      </c>
      <c r="CO146" s="140" t="e">
        <f t="shared" ca="1" si="602"/>
        <v>#N/A</v>
      </c>
      <c r="CP146" s="140" t="e">
        <f t="shared" ca="1" si="603"/>
        <v>#N/A</v>
      </c>
      <c r="CQ146" s="141" t="e">
        <f ca="1">VLOOKUP($CP146,Control!$B$86:$G$91,6)</f>
        <v>#N/A</v>
      </c>
      <c r="CR146" s="141" t="e">
        <f ca="1">(1-$CQ146)*VLOOKUP($CP146,Control!$B$86:$D$91,3)</f>
        <v>#N/A</v>
      </c>
      <c r="CS146" s="141" t="e">
        <f ca="1">(1-$CQ146)*VLOOKUP($CP146,Control!$B$86:$E$91,4)</f>
        <v>#N/A</v>
      </c>
      <c r="CT146" s="141" t="e">
        <f ca="1">(1-$CQ146)*VLOOKUP($CP146,Control!$B$86:$F$91,5)</f>
        <v>#N/A</v>
      </c>
      <c r="CU146" s="141">
        <f t="shared" ca="1" si="604"/>
        <v>0</v>
      </c>
      <c r="CV146" s="583">
        <f t="shared" ca="1" si="605"/>
        <v>0</v>
      </c>
      <c r="CW146" s="142">
        <f t="shared" ca="1" si="606"/>
        <v>142</v>
      </c>
      <c r="CX146" s="612" t="e">
        <f ca="1">IF(Control!$C$114=1,(MIN(Control!$C$120*(IF($NT146-0.01&lt;0,0,1)),Control!$C$119-$CY146)))</f>
        <v>#DIV/0!</v>
      </c>
      <c r="CY146" s="143" t="e">
        <f t="shared" ca="1" si="607"/>
        <v>#N/A</v>
      </c>
      <c r="CZ146" s="144">
        <f t="shared" ca="1" si="484"/>
        <v>0</v>
      </c>
      <c r="DA146" s="144">
        <f t="shared" ca="1" si="485"/>
        <v>0</v>
      </c>
      <c r="DB146" s="144" t="e">
        <f t="shared" ca="1" si="486"/>
        <v>#N/A</v>
      </c>
      <c r="DC146" s="144" t="e">
        <f t="shared" ca="1" si="487"/>
        <v>#N/A</v>
      </c>
      <c r="DD146" s="144" t="e">
        <f t="shared" ca="1" si="692"/>
        <v>#N/A</v>
      </c>
      <c r="DE146" s="143" t="e">
        <f t="shared" ca="1" si="608"/>
        <v>#N/A</v>
      </c>
      <c r="DF146" s="145" t="e">
        <f ca="1">$DR146*EXP(-Control!$C$158*(1-$KH146))</f>
        <v>#N/A</v>
      </c>
      <c r="DG146" s="146" t="e">
        <f ca="1">IF(Control!$C$114=1, $DF146*$EY146, 0)</f>
        <v>#N/A</v>
      </c>
      <c r="DH146" s="147" t="e">
        <f t="shared" ca="1" si="609"/>
        <v>#N/A</v>
      </c>
      <c r="DI146" s="144" t="e">
        <f t="shared" ca="1" si="670"/>
        <v>#N/A</v>
      </c>
      <c r="DJ146" s="147" t="e">
        <f ca="1">$EF146*Control!$C$109</f>
        <v>#N/A</v>
      </c>
      <c r="DK146" s="144" t="e">
        <f t="shared" ca="1" si="610"/>
        <v>#N/A</v>
      </c>
      <c r="DL146" s="144" t="e">
        <f t="shared" ca="1" si="488"/>
        <v>#N/A</v>
      </c>
      <c r="DM146" s="144" t="e">
        <f ca="1">IF(Control!$C$114=1, (1-EXP(-Control!$C$96*$DK146))*$AR146, 0)</f>
        <v>#N/A</v>
      </c>
      <c r="DN146" s="144">
        <f t="shared" ca="1" si="611"/>
        <v>0</v>
      </c>
      <c r="DO146" s="148">
        <f>Control!$C$97</f>
        <v>4</v>
      </c>
      <c r="DP146" s="145" t="e">
        <f t="shared" ca="1" si="612"/>
        <v>#N/A</v>
      </c>
      <c r="DQ146" s="145" t="e">
        <f ca="1">IF(AND($CP146&gt;=0,$CP146&lt;=90),Control!$C$111,Control!$C$111)</f>
        <v>#N/A</v>
      </c>
      <c r="DR146" s="145" t="e">
        <f t="shared" ca="1" si="489"/>
        <v>#N/A</v>
      </c>
      <c r="DS146" s="143" t="e">
        <f ca="1">Control!$B$22/$DR146</f>
        <v>#N/A</v>
      </c>
      <c r="DT146" s="149" t="e">
        <f ca="1">IF(AND(Control!$C$114=1,$KH146&lt;1),$IM146*$DF146, 0)</f>
        <v>#N/A</v>
      </c>
      <c r="DU146" s="144" t="e">
        <f t="shared" ca="1" si="613"/>
        <v>#N/A</v>
      </c>
      <c r="DV146" s="144">
        <f ca="1">IF($G146-Control!$C$107&lt;=0, 0, 0.83*LN(MAX($G146, 3))-0.8924)</f>
        <v>0</v>
      </c>
      <c r="DW146" s="144" t="e">
        <f t="shared" ca="1" si="490"/>
        <v>#N/A</v>
      </c>
      <c r="DX146" s="150" t="e">
        <f ca="1">MAX(0.01*(1+$CU146/Control!$C$102),0.05*($DK146-Control!$C$97)/Control!$C$97)</f>
        <v>#N/A</v>
      </c>
      <c r="DY146" s="151" t="e">
        <f ca="1">IF(Control!$C$114=1, $DI146*$FS146, 0)</f>
        <v>#N/A</v>
      </c>
      <c r="DZ146" s="196" t="e">
        <f t="shared" ca="1" si="614"/>
        <v>#N/A</v>
      </c>
      <c r="EA146" s="152">
        <f t="shared" ca="1" si="615"/>
        <v>142</v>
      </c>
      <c r="EB146" s="153" t="e">
        <f t="shared" ca="1" si="616"/>
        <v>#N/A</v>
      </c>
      <c r="EC146" s="153" t="e">
        <f t="shared" ca="1" si="617"/>
        <v>#N/A</v>
      </c>
      <c r="ED146" s="154" t="e">
        <f ca="1">IF(Control!$C$114=1, $HM146*$FY146-$FD146, 0)</f>
        <v>#DIV/0!</v>
      </c>
      <c r="EE146" s="155" t="e">
        <f ca="1">IF(Control!$C$114=1, $HM146*$FZ146-$FF146, 0)</f>
        <v>#DIV/0!</v>
      </c>
      <c r="EF146" s="153" t="e">
        <f t="shared" ca="1" si="671"/>
        <v>#N/A</v>
      </c>
      <c r="EG146" s="155" t="e">
        <f ca="1">IF(Control!$C$114=1, $GX146*$FW146-$FI146, 0)</f>
        <v>#DIV/0!</v>
      </c>
      <c r="EH146" s="153" t="e">
        <f t="shared" ca="1" si="618"/>
        <v>#N/A</v>
      </c>
      <c r="EI146" s="156" t="e">
        <f t="shared" ca="1" si="619"/>
        <v>#N/A</v>
      </c>
      <c r="EJ146" s="155" t="e">
        <f ca="1">IF(Control!$C$114=1, $HM146*$GB146, 0)</f>
        <v>#DIV/0!</v>
      </c>
      <c r="EK146" s="153" t="e">
        <f t="shared" ca="1" si="672"/>
        <v>#N/A</v>
      </c>
      <c r="EL146" s="153" t="e">
        <f t="shared" ca="1" si="491"/>
        <v>#N/A</v>
      </c>
      <c r="EM146" s="153" t="e">
        <f t="shared" ca="1" si="492"/>
        <v>#N/A</v>
      </c>
      <c r="EN146" s="153" t="e">
        <f ca="1">IF(Control!$C$108=1,IF(AND(Control!$B$18=1,$EB146&gt;=Control!$B$19),$EB146-$DS146,IF(AND(Control!$B$18=2,$AW146=1,$EB146&gt;$DS146),$EB146-$DS146,0)))</f>
        <v>#N/A</v>
      </c>
      <c r="EO146" s="153" t="e">
        <f ca="1">IF(Control!$C$108=1,IF(AND(Control!$B$18=1,$EB146&gt;=Control!$B$19),$EF146,IF(AND(Control!$B$18=2,$AW146=1),$EF146,0)))</f>
        <v>#N/A</v>
      </c>
      <c r="EP146" s="153" t="e">
        <f ca="1">IF(Control!$C$108=1,IF(AND(Control!$B$18=1,$EB146&gt;=Control!$B$19),$EK146,IF(AND(Control!$B$18=2,$AW146=1),$EK146,0)))</f>
        <v>#N/A</v>
      </c>
      <c r="EQ146" s="153" t="e">
        <f t="shared" ca="1" si="620"/>
        <v>#N/A</v>
      </c>
      <c r="ER146" s="153" t="e">
        <f t="shared" ca="1" si="621"/>
        <v>#N/A</v>
      </c>
      <c r="ES146" s="153" t="e">
        <f t="shared" ca="1" si="673"/>
        <v>#N/A</v>
      </c>
      <c r="ET146" s="153" t="e">
        <f t="shared" ca="1" si="674"/>
        <v>#N/A</v>
      </c>
      <c r="EU146" s="153" t="e">
        <f t="shared" ca="1" si="622"/>
        <v>#N/A</v>
      </c>
      <c r="EV146" s="153" t="e">
        <f t="shared" ca="1" si="493"/>
        <v>#N/A</v>
      </c>
      <c r="EW146" s="153" t="e">
        <f t="shared" ca="1" si="494"/>
        <v>#N/A</v>
      </c>
      <c r="EX146" s="153" t="e">
        <f t="shared" ca="1" si="495"/>
        <v>#N/A</v>
      </c>
      <c r="EY146" s="157" t="e">
        <f t="shared" ca="1" si="496"/>
        <v>#DIV/0!</v>
      </c>
      <c r="EZ146" s="154" t="e">
        <f t="shared" ca="1" si="497"/>
        <v>#DIV/0!</v>
      </c>
      <c r="FA146" s="153" t="e">
        <f t="shared" ca="1" si="623"/>
        <v>#N/A</v>
      </c>
      <c r="FB146" s="153" t="e">
        <f t="shared" ca="1" si="498"/>
        <v>#N/A</v>
      </c>
      <c r="FC146" s="193" t="e">
        <f t="shared" ca="1" si="499"/>
        <v>#N/A</v>
      </c>
      <c r="FD146" s="158" t="e">
        <f t="shared" ca="1" si="624"/>
        <v>#N/A</v>
      </c>
      <c r="FE146" s="158" t="e">
        <f t="shared" ca="1" si="625"/>
        <v>#N/A</v>
      </c>
      <c r="FF146" s="159" t="e">
        <f t="shared" ca="1" si="500"/>
        <v>#N/A</v>
      </c>
      <c r="FG146" s="160" t="e">
        <f t="shared" ca="1" si="626"/>
        <v>#N/A</v>
      </c>
      <c r="FH146" s="158" t="e">
        <f t="shared" ca="1" si="627"/>
        <v>#N/A</v>
      </c>
      <c r="FI146" s="159" t="e">
        <f t="shared" ca="1" si="501"/>
        <v>#N/A</v>
      </c>
      <c r="FJ146" s="160" t="e">
        <f t="shared" ca="1" si="628"/>
        <v>#N/A</v>
      </c>
      <c r="FK146" s="160" t="e">
        <f t="shared" ca="1" si="502"/>
        <v>#N/A</v>
      </c>
      <c r="FL146" s="160" t="e">
        <f t="shared" ca="1" si="675"/>
        <v>#N/A</v>
      </c>
      <c r="FM146" s="160" t="e">
        <f t="shared" ca="1" si="503"/>
        <v>#N/A</v>
      </c>
      <c r="FN146" s="158">
        <f t="shared" ca="1" si="629"/>
        <v>0.01</v>
      </c>
      <c r="FO146" s="160">
        <f>Control!$C$101</f>
        <v>50</v>
      </c>
      <c r="FP146" s="150" t="e">
        <f t="shared" ca="1" si="504"/>
        <v>#N/A</v>
      </c>
      <c r="FQ146" s="150" t="e">
        <f ca="1">MAX(0,(Control!$C$112*(($DK146-Control!$C$97)/Control!$C$97)))</f>
        <v>#N/A</v>
      </c>
      <c r="FR146" s="150" t="e">
        <f ca="1">(1-$NT146)*Control!$C$113</f>
        <v>#DIV/0!</v>
      </c>
      <c r="FS146" s="198" t="e">
        <f t="shared" ca="1" si="505"/>
        <v>#N/A</v>
      </c>
      <c r="FT146" s="161">
        <f t="shared" ca="1" si="630"/>
        <v>142</v>
      </c>
      <c r="FU146" s="162" t="e">
        <f ca="1">IF(Control!$B$34=1,VLOOKUP($CP146,Control!$B$86:$G$91,6),Control!$B$35)</f>
        <v>#N/A</v>
      </c>
      <c r="FV146" s="162" t="e">
        <f t="shared" ca="1" si="506"/>
        <v>#DIV/0!</v>
      </c>
      <c r="FW146" s="162" t="e">
        <f ca="1">IF(Control!$B$31=1,$FU146*$FV146,  $FU146)</f>
        <v>#N/A</v>
      </c>
      <c r="FX146" s="162" t="e">
        <f ca="1">IF(Control!$B$34=1,VLOOKUP($CP146,Control!$B$86:$G$91,3),Control!$B$36)</f>
        <v>#N/A</v>
      </c>
      <c r="FY146" s="162" t="e">
        <f t="shared" ca="1" si="507"/>
        <v>#N/A</v>
      </c>
      <c r="FZ146" s="162" t="e">
        <f ca="1">IF(Control!$B$34=1,VLOOKUP($CP146,Control!$B$86:$G$91,4),Control!$B$37)</f>
        <v>#N/A</v>
      </c>
      <c r="GA146" s="162" t="e">
        <f t="shared" ca="1" si="508"/>
        <v>#N/A</v>
      </c>
      <c r="GB146" s="162" t="e">
        <f ca="1">IF(Control!$B$34=1,VLOOKUP($CP146,Control!$B$86:$G$91,5),Control!$B$38)</f>
        <v>#N/A</v>
      </c>
      <c r="GC146" s="162" t="e">
        <f t="shared" ca="1" si="631"/>
        <v>#N/A</v>
      </c>
      <c r="GD146" s="162">
        <f t="shared" ca="1" si="509"/>
        <v>1</v>
      </c>
      <c r="GE146" s="162">
        <f t="shared" ca="1" si="510"/>
        <v>1</v>
      </c>
      <c r="GF146" s="162">
        <f ca="1">IF(AND(Control!$C$104=1, Control!$C$62="F"),$GE146,1)</f>
        <v>1</v>
      </c>
      <c r="GG146" s="162" t="e">
        <f ca="1">IF(Control!$B$16=40,0,IF(AND(Control!$B$16&gt;40,Control!$B$16&lt;=360),(Control!$B$16-40)*((1-0)/(360-40)),IF(AND(Control!$B$16&gt;360,Control!$B$16&lt;=720),(1+(Control!$B$16-360)*((1.25-1)/(720-360))),IF(AND(Control!$B$16&gt;720,Control!$B$16&lt;=1000),(1.25+(Control!$B$16-720)*((1.35-1.25)/(1000-720))),IF(AND(Control!$B$16&gt;1000,Control!$B$16&lt;=2000),(1.35+(Control!$B$16-1000)*0))))))</f>
        <v>#N/A</v>
      </c>
      <c r="GH146" s="162" t="e">
        <f t="shared" ca="1" si="511"/>
        <v>#N/A</v>
      </c>
      <c r="GI146" s="162">
        <f t="shared" ca="1" si="632"/>
        <v>0</v>
      </c>
      <c r="GJ146" s="162">
        <f t="shared" ca="1" si="512"/>
        <v>0</v>
      </c>
      <c r="GK146" s="162">
        <f t="shared" ca="1" si="633"/>
        <v>1</v>
      </c>
      <c r="GL146" s="162">
        <f t="shared" ca="1" si="513"/>
        <v>1</v>
      </c>
      <c r="GM146" s="162" t="e">
        <f ca="1">MAX(0,MIN(1,1-Control!$C$156*(1.0001-$KH146)^2))</f>
        <v>#N/A</v>
      </c>
      <c r="GN146" s="162" t="e">
        <f ca="1">IF(Control!$B$26=1,$KU146,$KX146)</f>
        <v>#N/A</v>
      </c>
      <c r="GO146" s="162" t="e">
        <f ca="1">IF($CP146&lt;=60,Control!$C$105,IF($CP146&gt;=90,Control!$C$106,Control!$C$105+($CP146-60)*((Control!$C$106-Control!$C$105)/(90-60))))</f>
        <v>#N/A</v>
      </c>
      <c r="GP146" s="162" t="e">
        <f t="shared" ca="1" si="514"/>
        <v>#N/A</v>
      </c>
      <c r="GQ146" s="162" t="e">
        <f t="shared" ca="1" si="634"/>
        <v>#N/A</v>
      </c>
      <c r="GR146" s="163" t="e">
        <f t="shared" ca="1" si="515"/>
        <v>#DIV/0!</v>
      </c>
      <c r="GS146" s="162" t="e">
        <f t="shared" ca="1" si="516"/>
        <v>#DIV/0!</v>
      </c>
      <c r="GT146" s="164" t="e">
        <f t="shared" ca="1" si="635"/>
        <v>#N/A</v>
      </c>
      <c r="GU146" s="162" t="e">
        <f t="shared" ca="1" si="636"/>
        <v>#N/A</v>
      </c>
      <c r="GV146" s="162" t="e">
        <f t="shared" ca="1" si="517"/>
        <v>#N/A</v>
      </c>
      <c r="GW146" s="162" t="e">
        <f t="shared" ca="1" si="518"/>
        <v>#DIV/0!</v>
      </c>
      <c r="GX146" s="162" t="e">
        <f t="shared" ca="1" si="637"/>
        <v>#DIV/0!</v>
      </c>
      <c r="GY146" s="162" t="e">
        <f t="shared" ca="1" si="638"/>
        <v>#DIV/0!</v>
      </c>
      <c r="GZ146" s="165" t="e">
        <f t="shared" ca="1" si="519"/>
        <v>#N/A</v>
      </c>
      <c r="HA146" s="162" t="e">
        <f ca="1">IF(Control!$C$114=1, $DI146*$FS146, 0)</f>
        <v>#N/A</v>
      </c>
      <c r="HB146" s="162" t="e">
        <f ca="1">$FA146/Control!$C$64</f>
        <v>#N/A</v>
      </c>
      <c r="HC146" s="162" t="e">
        <f t="shared" ca="1" si="520"/>
        <v>#DIV/0!</v>
      </c>
      <c r="HD146" s="162">
        <f ca="1">-ASIN(SIN(23.45*Control!$C$139)*COS(2*Control!$C$138*($AH146+10)/365))</f>
        <v>0.35154616026564883</v>
      </c>
      <c r="HE146" s="165">
        <f t="shared" ca="1" si="639"/>
        <v>0</v>
      </c>
      <c r="HF146" s="166">
        <f ca="1">IF(AND(Control!$C$61="T",$HE146&gt;=Control!$C$103,Control!$C$114=0),$AH146,Control!$C$59)</f>
        <v>1</v>
      </c>
      <c r="HG146" s="166">
        <f ca="1">IF(AND(Control!$C$61="T",$HE146&gt;=Control!$C$103,Control!$C$114=0),$HF146,Control!$C$59)</f>
        <v>1</v>
      </c>
      <c r="HH146" s="165">
        <f ca="1">IF(AND(OR(Control!$C$60&lt;=0, $AH146= Control!$C$59, Control!$C$60 &gt;0, $AH146 = Control!$C$60)), Control!$C$59, IF(Control!$C$60&gt;0, 0))</f>
        <v>1</v>
      </c>
      <c r="HI146" s="165">
        <f ca="1">IF(AND(OR(Control!$C$60&lt;=0, $AH146= Control!$C$59, Control!$C$60 &gt;0, $AH146 = Control!$C$60)), Control!$C$60, IF(Control!$C$60&lt;=0, 0))</f>
        <v>0</v>
      </c>
      <c r="HJ146" s="166">
        <f ca="1">IF(AND(Control!$C$62="F",$CV146&gt;=Control!$C$102),$AH146,0)</f>
        <v>0</v>
      </c>
      <c r="HK146" s="165" t="e">
        <f t="shared" ca="1" si="676"/>
        <v>#N/A</v>
      </c>
      <c r="HL146" s="166">
        <f ca="1">IF(AND(Control!$C$61="T",$HE146&gt;=Control!$C$103,Control!$C$114=0),$HF146,0)</f>
        <v>0</v>
      </c>
      <c r="HM146" s="201" t="e">
        <f t="shared" ca="1" si="521"/>
        <v>#DIV/0!</v>
      </c>
      <c r="HN146" s="215">
        <f t="shared" ca="1" si="640"/>
        <v>142</v>
      </c>
      <c r="HO146" s="216" t="e">
        <f ca="1">IF(AND($CP146&gt;=0, $CP146&lt;=90), Control!$C$152, Control!$C$152)</f>
        <v>#N/A</v>
      </c>
      <c r="HP146" s="216" t="e">
        <f t="shared" ca="1" si="522"/>
        <v>#N/A</v>
      </c>
      <c r="HQ146" s="217" t="e">
        <f ca="1">IF(OR(Control!$B$26=1,Control!$B$26=2),$KV146,$KS146)</f>
        <v>#DIV/0!</v>
      </c>
      <c r="HR146" s="218" t="e">
        <f t="shared" ca="1" si="677"/>
        <v>#DIV/0!</v>
      </c>
      <c r="HS146" s="216" t="e">
        <f ca="1">Control!$C$154*$HP146</f>
        <v>#N/A</v>
      </c>
      <c r="HT146" s="216" t="e">
        <f ca="1">Control!$C$155*$HP146</f>
        <v>#N/A</v>
      </c>
      <c r="HU146" s="217" t="e">
        <f ca="1">Control!$C$161*$FI146</f>
        <v>#N/A</v>
      </c>
      <c r="HV146" s="218" t="e">
        <f t="shared" ca="1" si="641"/>
        <v>#N/A</v>
      </c>
      <c r="HW146" s="218" t="e">
        <f ca="1">Control!$C$160*$FF146+$IP146*$EO146</f>
        <v>#N/A</v>
      </c>
      <c r="HX146" s="218" t="e">
        <f t="shared" ca="1" si="678"/>
        <v>#N/A</v>
      </c>
      <c r="HY146" s="219" t="e">
        <f ca="1">IF(Control!$C$114=1, $EB146*$FS146, 0)</f>
        <v>#N/A</v>
      </c>
      <c r="HZ146" s="91" t="e">
        <f t="shared" ca="1" si="523"/>
        <v>#N/A</v>
      </c>
      <c r="IA146" s="220" t="e">
        <f ca="1">Control!$C$153*$HO146</f>
        <v>#N/A</v>
      </c>
      <c r="IB146" s="218" t="e">
        <f t="shared" ca="1" si="524"/>
        <v>#N/A</v>
      </c>
      <c r="IC146" s="220" t="e">
        <f ca="1">Control!$C$153*$HT146</f>
        <v>#N/A</v>
      </c>
      <c r="ID146" s="218" t="e">
        <f t="shared" ca="1" si="525"/>
        <v>#N/A</v>
      </c>
      <c r="IE146" s="221" t="e">
        <f ca="1">($EB146*Control!$C$159+$EF146*Control!$C$160)/(IF($GZ146&lt;&gt;0,$GZ146,1))</f>
        <v>#N/A</v>
      </c>
      <c r="IF146" s="216" t="e">
        <f t="shared" ca="1" si="526"/>
        <v>#N/A</v>
      </c>
      <c r="IG146" s="91">
        <f ca="1">IF(OR(Control!$B$198=$AH146,Control!$B$199=$AH146, Control!$B$200=$AH146, Control!$B$201=$AH146, Control!$B$202=$AH146, Control!$B$203=$AH146, Control!$B$204=$AH146, Control!$B$205=$AH146, Control!$B$206=$AH146, Control!$B$207=$AH146), 1, 0)</f>
        <v>0</v>
      </c>
      <c r="IH146" s="91">
        <f ca="1">IF($IG146=0,0, VLOOKUP($AH146,Control!$B$198:$C$207,2))</f>
        <v>0</v>
      </c>
      <c r="II146" s="222">
        <f t="shared" ca="1" si="642"/>
        <v>0</v>
      </c>
      <c r="IJ146" s="91">
        <f>Control!$C$121</f>
        <v>0.7</v>
      </c>
      <c r="IK146" s="218">
        <f t="shared" ca="1" si="527"/>
        <v>0</v>
      </c>
      <c r="IL146" s="217" t="e">
        <f t="shared" ca="1" si="679"/>
        <v>#N/A</v>
      </c>
      <c r="IM146" s="223" t="e">
        <f ca="1">IF(AND(Control!$C$114=1,$KH146&lt;1),$EB146*Control!$C$148*(1-$KH146), 0)</f>
        <v>#N/A</v>
      </c>
      <c r="IN146" s="217" t="e">
        <f t="shared" ca="1" si="528"/>
        <v>#DIV/0!</v>
      </c>
      <c r="IO146" s="91" t="e">
        <f ca="1">MAX(0,$IL146-$EF146*Control!$C$160)</f>
        <v>#N/A</v>
      </c>
      <c r="IP146" s="220" t="e">
        <f t="shared" ca="1" si="529"/>
        <v>#N/A</v>
      </c>
      <c r="IQ146" s="217" t="e">
        <f t="shared" ca="1" si="643"/>
        <v>#N/A</v>
      </c>
      <c r="IR146" s="218" t="e">
        <f t="shared" ca="1" si="530"/>
        <v>#N/A</v>
      </c>
      <c r="IS146" s="217" t="e">
        <f ca="1">Control!$C$159*MAX(0,$FD146-$EN146)</f>
        <v>#N/A</v>
      </c>
      <c r="IT146" s="217" t="e">
        <f t="shared" ca="1" si="680"/>
        <v>#N/A</v>
      </c>
      <c r="IU146" s="217" t="e">
        <f t="shared" ca="1" si="644"/>
        <v>#N/A</v>
      </c>
      <c r="IV146" s="217" t="e">
        <f t="shared" ca="1" si="681"/>
        <v>#N/A</v>
      </c>
      <c r="IW146" s="217" t="e">
        <f ca="1">IF(OR($AW146=1,AND($AW146=0, Control!$B$18=1,$EN146&lt;&gt;0)), $IQ146-$IU146, $IQ146)</f>
        <v>#N/A</v>
      </c>
      <c r="IX146" s="218" t="e">
        <f t="shared" ca="1" si="531"/>
        <v>#N/A</v>
      </c>
      <c r="IY146" s="218" t="e">
        <f ca="1">MAX(0,$IQ146-$EB146*Control!$C$159)</f>
        <v>#N/A</v>
      </c>
      <c r="IZ146" s="218" t="e">
        <f t="shared" ca="1" si="532"/>
        <v>#N/A</v>
      </c>
      <c r="JA146" s="216" t="e">
        <f t="shared" ca="1" si="533"/>
        <v>#N/A</v>
      </c>
      <c r="JB146" s="217" t="e">
        <f t="shared" ca="1" si="534"/>
        <v>#N/A</v>
      </c>
      <c r="JC146" s="222" t="e">
        <f ca="1">MAX(Control!$C$157*$EK146-$JT146, 0)/Control!$C$162</f>
        <v>#N/A</v>
      </c>
      <c r="JD146" s="218" t="e">
        <f t="shared" ca="1" si="535"/>
        <v>#N/A</v>
      </c>
      <c r="JE146" s="218" t="e">
        <f t="shared" ca="1" si="536"/>
        <v>#N/A</v>
      </c>
      <c r="JF146" s="218" t="e">
        <f t="shared" ca="1" si="645"/>
        <v>#N/A</v>
      </c>
      <c r="JG146" s="218" t="e">
        <f t="shared" ca="1" si="537"/>
        <v>#N/A</v>
      </c>
      <c r="JH146" s="217" t="e">
        <f t="shared" ca="1" si="646"/>
        <v>#N/A</v>
      </c>
      <c r="JI146" s="217" t="e">
        <f t="shared" ca="1" si="647"/>
        <v>#N/A</v>
      </c>
      <c r="JJ146" s="217" t="e">
        <f t="shared" ca="1" si="682"/>
        <v>#N/A</v>
      </c>
      <c r="JK146" s="217" t="e">
        <f ca="1">IF(Control!$C$114=1,IF(Control!$B$24=0,MAX(0,$JI146)*$GN146/Control!$C$64,(MAX(0,MIN($JI146,$JJ146*$GN146/Control!$C$64),0))))</f>
        <v>#N/A</v>
      </c>
      <c r="JL146" s="217" t="e">
        <f ca="1">$IK146/Control!$C$64-$JK146+$HQ146</f>
        <v>#N/A</v>
      </c>
      <c r="JM146" s="217" t="e">
        <f ca="1">IF(Control!$C$114=1,($JB146/(IF($JI146&lt;&gt;0,$JI146,1)))*$JK146,0)</f>
        <v>#N/A</v>
      </c>
      <c r="JN146" s="217" t="e">
        <f ca="1">IF(Control!$C$114=1,($JG146/(IF($JI146&lt;&gt;0,$JI146,1)))*$JK146, 0)</f>
        <v>#N/A</v>
      </c>
      <c r="JO146" s="218" t="e">
        <f t="shared" ca="1" si="538"/>
        <v>#N/A</v>
      </c>
      <c r="JP146" s="218" t="e">
        <f ca="1">MIN(($IY146+$IO146)*Control!$C$151, $JF146-$EH146*Control!$C$161)</f>
        <v>#N/A</v>
      </c>
      <c r="JQ146" s="218" t="e">
        <f t="shared" ca="1" si="539"/>
        <v>#N/A</v>
      </c>
      <c r="JR146" s="217" t="e">
        <f ca="1">IF($CP146-Control!$C$150&lt;0, 0, $JQ146/Control!$C$162)</f>
        <v>#N/A</v>
      </c>
      <c r="JS146" s="218" t="e">
        <f t="shared" ca="1" si="540"/>
        <v>#N/A</v>
      </c>
      <c r="JT146" s="218" t="e">
        <f t="shared" ca="1" si="648"/>
        <v>#N/A</v>
      </c>
      <c r="JU146" s="218" t="e">
        <f t="shared" ca="1" si="541"/>
        <v>#N/A</v>
      </c>
      <c r="JV146" s="218" t="e">
        <f t="shared" ca="1" si="542"/>
        <v>#N/A</v>
      </c>
      <c r="JW146" s="216" t="e">
        <f t="shared" ca="1" si="543"/>
        <v>#N/A</v>
      </c>
      <c r="JX146" s="91" t="e">
        <f t="shared" ca="1" si="544"/>
        <v>#N/A</v>
      </c>
      <c r="JY146" s="218" t="e">
        <f t="shared" ca="1" si="545"/>
        <v>#N/A</v>
      </c>
      <c r="JZ146" s="217" t="e">
        <f ca="1">IF(Control!$C$114=1,($IZ146/(IF($JI146&lt;&gt;0,$JI146,1)))*$JK146, 0)</f>
        <v>#N/A</v>
      </c>
      <c r="KA146" s="218" t="e">
        <f t="shared" ca="1" si="683"/>
        <v>#N/A</v>
      </c>
      <c r="KB146" s="218" t="e">
        <f t="shared" ca="1" si="649"/>
        <v>#N/A</v>
      </c>
      <c r="KC146" s="218" t="e">
        <f t="shared" ca="1" si="546"/>
        <v>#N/A</v>
      </c>
      <c r="KD146" s="218" t="e">
        <f t="shared" ca="1" si="547"/>
        <v>#N/A</v>
      </c>
      <c r="KE146" s="218" t="e">
        <f t="shared" ca="1" si="548"/>
        <v>#N/A</v>
      </c>
      <c r="KF146" s="218" t="e">
        <f t="shared" ca="1" si="549"/>
        <v>#N/A</v>
      </c>
      <c r="KG146" s="216" t="e">
        <f t="shared" ca="1" si="550"/>
        <v>#N/A</v>
      </c>
      <c r="KH146" s="221" t="e">
        <f ca="1">IF(Control!$B$24=0,1,MAX(0.001,MIN(1,IF(($IF146-$IE146)&lt;&gt;0,($KG146-$IE146)/($IF146-$IE146),1))))</f>
        <v>#N/A</v>
      </c>
      <c r="KI146" s="222" t="e">
        <f ca="1">IF(Control!$C$114=1, $KI145+ $KH145, 0)</f>
        <v>#N/A</v>
      </c>
      <c r="KJ146" s="217" t="e">
        <f t="shared" ca="1" si="551"/>
        <v>#N/A</v>
      </c>
      <c r="KK146" s="218" t="e">
        <f t="shared" ca="1" si="552"/>
        <v>#N/A</v>
      </c>
      <c r="KL146" s="274" t="e">
        <f ca="1">IF(Control!$B$26=3,4000000000*EXP(-8400/($G146+273)),IF(Control!$B$26=4,4000000000*EXP(-8400/($G146+273))*($KT146),0))</f>
        <v>#DIV/0!</v>
      </c>
      <c r="KM146" s="274" t="e">
        <f ca="1">IF(Control!$B$26=3,5600000000000*EXP(-9800/($G146+273)),IF(Control!$B$26=4,5600000000000*EXP(-9800/($G146+273))*$KT146,0))</f>
        <v>#DIV/0!</v>
      </c>
      <c r="KN146" s="454" t="e">
        <f t="shared" ca="1" si="650"/>
        <v>#DIV/0!</v>
      </c>
      <c r="KO146" s="274" t="e">
        <f t="shared" ca="1" si="651"/>
        <v>#DIV/0!</v>
      </c>
      <c r="KP146" s="454" t="e">
        <f t="shared" ca="1" si="553"/>
        <v>#DIV/0!</v>
      </c>
      <c r="KQ146" s="454" t="e">
        <f t="shared" ca="1" si="554"/>
        <v>#DIV/0!</v>
      </c>
      <c r="KR146" s="454" t="e">
        <f t="shared" ca="1" si="555"/>
        <v>#DIV/0!</v>
      </c>
      <c r="KS146" s="454" t="e">
        <f t="shared" ca="1" si="556"/>
        <v>#DIV/0!</v>
      </c>
      <c r="KT146" s="455" t="e">
        <f t="shared" ca="1" si="557"/>
        <v>#DIV/0!</v>
      </c>
      <c r="KU146" s="456" t="e">
        <f ca="1">IF($CP146-Control!$C$149&lt;0, IF($NT146-0.01&lt;0,0,1),0)</f>
        <v>#N/A</v>
      </c>
      <c r="KV146" s="456" t="e">
        <f ca="1">IF(Control!$C$114=1,MAX(0,MIN(Control!$C$125*$KW146*$GN146,$KW146)))</f>
        <v>#DIV/0!</v>
      </c>
      <c r="KW146" s="456" t="e">
        <f t="shared" ca="1" si="684"/>
        <v>#DIV/0!</v>
      </c>
      <c r="KX146" s="457" t="e">
        <f ca="1">IF($CP146-Control!$C$149&lt;0, IF($MR146-$OM146&lt;0,0,1),0)</f>
        <v>#N/A</v>
      </c>
      <c r="KY146" s="167">
        <f t="shared" ca="1" si="652"/>
        <v>142</v>
      </c>
      <c r="KZ146" s="168">
        <f ca="1">1370*(1+0.033*COS(2*Control!$C$138*$AH146/365))</f>
        <v>1335.3391888567753</v>
      </c>
      <c r="LA146" s="169">
        <f t="shared" ca="1" si="653"/>
        <v>0.97470025896309476</v>
      </c>
      <c r="LB146" s="169">
        <f t="shared" ca="1" si="654"/>
        <v>0.35567158409294203</v>
      </c>
      <c r="LC146" s="169">
        <f ca="1">ACOS(-TAN((2*Control!$B$8/360))*TAN(Calculations!$LB146))</f>
        <v>1.6814236475899589</v>
      </c>
      <c r="LD146" s="169">
        <f ca="1">((24*60)/PI())*0.082*$LA146*(($LC146*SIN(Control!$B$8*2*PI()/360))*SIN($LB146)+COS(Control!$B$8*2*PI()/360)*COS($LB146)*SIN($LC146))</f>
        <v>37.91681245462965</v>
      </c>
      <c r="LE146" s="170">
        <f t="shared" ca="1" si="558"/>
        <v>39.091650173639515</v>
      </c>
      <c r="LF146" s="170">
        <f ca="1">SIN(Control!$C$139*Control!$B$8)*SIN($HD146)</f>
        <v>0.27135180933951353</v>
      </c>
      <c r="LG146" s="170">
        <f ca="1">COS(Control!$C$139*Control!$B$8)*COS($HD146)</f>
        <v>0.57800692070097603</v>
      </c>
      <c r="LH146" s="170">
        <f ca="1">12*(1+2*ASIN(MAX(-1,MIN(1,$LF146/$LG146))/Control!$C$138))</f>
        <v>15.599894461074538</v>
      </c>
      <c r="LI146" s="170">
        <f ca="1">12*(1+2*ASIN(MAX(-1,MIN(1,(-SIN(-4*Control!$C$139)+$LF146)/$LG146))/Control!$C$138))</f>
        <v>16.535317183494993</v>
      </c>
      <c r="LJ146" s="168">
        <f ca="1">3600*($LH146*$LF146+24*$LG146*SQRT(1-$LK146*$LK146)/Control!$C$138)</f>
        <v>29274.697020692598</v>
      </c>
      <c r="LK146" s="170">
        <f t="shared" ca="1" si="559"/>
        <v>0.46946117705724438</v>
      </c>
      <c r="LL146" s="170">
        <f t="shared" ca="1" si="560"/>
        <v>0</v>
      </c>
      <c r="LM146" s="171">
        <f ca="1">Control!$C$145*$AB146</f>
        <v>6.6660906138995932E-2</v>
      </c>
      <c r="LN146" s="170">
        <f t="shared" ca="1" si="655"/>
        <v>0.54</v>
      </c>
      <c r="LO146" s="170">
        <f t="shared" ca="1" si="561"/>
        <v>0</v>
      </c>
      <c r="LP146" s="170">
        <f ca="1">Control!$C$140*((($D146+273.16)^4+($E146+273.16)^4)/2)*(0.34-0.14*SQRT($Y146))*(1.35*$AQ146/(0.75*$LD146)-0.35)</f>
        <v>-3.2464704755046001</v>
      </c>
      <c r="LQ146" s="170">
        <f ca="1">Control!$C$140*($G146+273)^4*(0.56-0.079*SQRT($Y146*10))*(0.1+0.9*$LO146)</f>
        <v>1.5241745131704001</v>
      </c>
      <c r="LR146" s="170">
        <f ca="1">$AQ146*(1-Control!$C$142)-$LQ146</f>
        <v>-1.5241745131704001</v>
      </c>
      <c r="LS146" s="170">
        <f ca="1">$AQ146*(1-Control!$C$143)-$LQ146</f>
        <v>-1.5241745131704001</v>
      </c>
      <c r="LT146" s="170">
        <f ca="1">$AQ146*(1-Control!$C$144)-$LQ146</f>
        <v>-1.5241745131704001</v>
      </c>
      <c r="LU146" s="169">
        <f ca="1">(1-Control!$C$144)*AQ146-LP146</f>
        <v>3.2464704755046001</v>
      </c>
      <c r="LV146" s="172">
        <f t="shared" ca="1" si="562"/>
        <v>0.79430000000000012</v>
      </c>
      <c r="LW146" s="170">
        <f t="shared" ca="1" si="563"/>
        <v>1.5886000000000002</v>
      </c>
      <c r="LX146" s="170">
        <f ca="1">($AC146*($LR146/Control!$C$141)+$LM146*$LV146)/($AC146+$LM146)</f>
        <v>0.23530094218323697</v>
      </c>
      <c r="LY146" s="170">
        <f ca="1">($AC146*($LS146/Control!$C$141)+$LM146*$LV146)/($AC146+$LM146)</f>
        <v>0.23530094218323697</v>
      </c>
      <c r="LZ146" s="170">
        <f t="shared" ca="1" si="564"/>
        <v>0.23530094218323697</v>
      </c>
      <c r="MA146" s="170">
        <f t="shared" ca="1" si="565"/>
        <v>0.23530094218323697</v>
      </c>
      <c r="MB146" s="170" t="e">
        <f t="shared" ca="1" si="566"/>
        <v>#N/A</v>
      </c>
      <c r="MC146" s="170">
        <f t="shared" ca="1" si="656"/>
        <v>0.6018</v>
      </c>
      <c r="MD146" s="170">
        <f t="shared" ca="1" si="567"/>
        <v>0.52989392535414004</v>
      </c>
      <c r="ME146" s="170">
        <f ca="1">($AC146*($LT146/Control!$C$141)+$LM146*$LW146)/($AC146+$LM146)</f>
        <v>0.71612369323045078</v>
      </c>
      <c r="MF146" s="170" t="e">
        <f ca="1">IF(Control!$B$16&gt;=1000,0.92,IF(AND(720&lt;=Control!$B$16,1000&gt;Control!$B$16),(0.95+(Control!$B$16-720)*((0.92-0.95)/(1000-720))),IF(AND(360&lt;=Control!$B$16,720&gt;Control!$B$16),(1+(Control!$B$16-360)*((0.95-1)/(720-360))),IF(AND(40&lt;=Control!$B$16,360&gt;Control!$B$16),(1.05+(Control!$B$16-40)*((1.05-1)/(360-40)))))))</f>
        <v>#N/A</v>
      </c>
      <c r="MG146" s="170">
        <f t="shared" ca="1" si="568"/>
        <v>0.71612369323045078</v>
      </c>
      <c r="MH146" s="170" t="e">
        <f t="shared" ref="MH146:MI165" ca="1" si="693">$MG146*$MF146</f>
        <v>#N/A</v>
      </c>
      <c r="MI146" s="170" t="e">
        <f t="shared" ca="1" si="693"/>
        <v>#N/A</v>
      </c>
      <c r="MJ146" s="170" t="e">
        <f ca="1">MAX(0.0001, Control!$C$132*$MI146*$DL146)</f>
        <v>#N/A</v>
      </c>
      <c r="MK146" s="170">
        <f ca="1">1/(0.76+1.5*($MG146/10))-(5-Control!$C$110)*0.1</f>
        <v>1.002845988140797</v>
      </c>
      <c r="ML146" s="173">
        <f ca="1">IF(Control!$C$110&lt;3,$MK146+($MG146-0.6)/(Control!$C$110*(Control!$C$110+3)), MAX(0.1, MIN(0.95,$MK146)))</f>
        <v>0.95</v>
      </c>
      <c r="MM146" s="173">
        <f ca="1">IF(Control!$C$110&lt;3,$MK146+(($MI146/10)-0.6)/(Control!$C$110*(Control!$C$110+3)), MAX(0.1, MIN(0.95,$MK146)))</f>
        <v>0.95</v>
      </c>
      <c r="MN146" s="173">
        <f ca="1">(1-$MM146)*(Control!$C$128-Control!$C$127)+Control!$C$127</f>
        <v>0.16</v>
      </c>
      <c r="MO146" s="170" t="e">
        <f ca="1">MAX(0,MIN(1,($MS146-Control!$C$127)/($MN146-Control!$C$127)))</f>
        <v>#DIV/0!</v>
      </c>
      <c r="MP146" s="173" t="e">
        <f ca="1">1/(0.76+1.5*$MI146)-(5-Control!$C$110)*0.1</f>
        <v>#N/A</v>
      </c>
      <c r="MQ146" s="172" t="e">
        <f t="shared" ca="1" si="685"/>
        <v>#DIV/0!</v>
      </c>
      <c r="MR146" s="168" t="e">
        <f t="shared" ca="1" si="657"/>
        <v>#DIV/0!</v>
      </c>
      <c r="MS146" s="173" t="e">
        <f ca="1">MAX(Control!$C$127, MIN(Control!$C$135, $MR146/MAX(0.0001,$CY146)))</f>
        <v>#DIV/0!</v>
      </c>
      <c r="MT146" s="168" t="e">
        <f ca="1">(Control!$C$128-$MS146)*Control!$C$74</f>
        <v>#DIV/0!</v>
      </c>
      <c r="MU146" s="168" t="e">
        <f ca="1">(Control!$C$135-$MS146)*Control!$C$74</f>
        <v>#DIV/0!</v>
      </c>
      <c r="MV146" s="168" t="e">
        <f t="shared" ca="1" si="658"/>
        <v>#DIV/0!</v>
      </c>
      <c r="MW146" s="168" t="e">
        <f t="shared" ca="1" si="659"/>
        <v>#DIV/0!</v>
      </c>
      <c r="MX146" s="171" t="e">
        <f ca="1">MAX(Control!$C$127, MIN(Control!$C$135, $MW146/MAX(0.0001,Control!$C$119-$CY146)))</f>
        <v>#DIV/0!</v>
      </c>
      <c r="MY146" s="54" t="e">
        <f ca="1">IF(Control!$C$114=1, $CX146*$MX146, 0)</f>
        <v>#DIV/0!</v>
      </c>
      <c r="MZ146" s="54" t="e">
        <f t="shared" ca="1" si="660"/>
        <v>#N/A</v>
      </c>
      <c r="NA146" s="168" t="e">
        <f ca="1">(Control!$C$128-$MX146)*(Control!$C$119-Control!$C$74)</f>
        <v>#DIV/0!</v>
      </c>
      <c r="NB146" s="168" t="e">
        <f ca="1">(Control!$C$135-$MX146)*(Control!$C$119-Control!$C$74)</f>
        <v>#DIV/0!</v>
      </c>
      <c r="NC146" s="174" t="e">
        <f t="shared" ca="1" si="661"/>
        <v>#DIV/0!</v>
      </c>
      <c r="ND146" s="54">
        <f ca="1">IF(Control!$C$58=2, IF(OR(Control!$B$218=$AH146,Control!$B$219=$AH146, Control!$B$220=$AH146, Control!$B$221=$AH146, Control!$B$222=$AH146, Control!$B$223=$AH146, Control!$B$224=$AH146, Control!$B$225=$AH146, Control!$B$226=$AH146, Control!$B$227=$AH146, Control!$B$228=$AH146), 1, 0), 0)</f>
        <v>0</v>
      </c>
      <c r="NE146" s="54">
        <f ca="1">IF($ND146=0,0, VLOOKUP($AH146,Control!$B$218:$C$228,2))</f>
        <v>0</v>
      </c>
      <c r="NF146" s="168" t="e">
        <f ca="1">$CY146*(Control!$C$128-Control!$C$127)</f>
        <v>#N/A</v>
      </c>
      <c r="NG146" s="54" t="e">
        <f ca="1">IF(Control!$C$58=2, $NI145-$NJ145, 0)</f>
        <v>#DIV/0!</v>
      </c>
      <c r="NH146" s="54" t="e">
        <f ca="1">IF(AND(Control!$C$58=1, $MS145&lt;= ($MN145+0.02), $I145&lt;10), 0, IF(Control!$C$58=2, $NG145, 0))</f>
        <v>#DIV/0!</v>
      </c>
      <c r="NI146" s="54" t="e">
        <f ca="1">IF(Control!$C$58=2, $NE146+$NH146,0)</f>
        <v>#DIV/0!</v>
      </c>
      <c r="NJ146" s="54" t="e">
        <f ca="1">IF(AND(Control!$C$58=1, $MS146&lt;= ($MN146+0.02), $I146&lt;10), MAX(0, MIN(10, 0.7*($NF146-$MV146))), IF(Control!$C$58=2, MIN(10,$NI146),0))</f>
        <v>#DIV/0!</v>
      </c>
      <c r="NK146" s="54" t="e">
        <f t="shared" ca="1" si="569"/>
        <v>#DIV/0!</v>
      </c>
      <c r="NL146" s="173" t="e">
        <f ca="1">(1-Control!$C$73)*$I146+$NJ146</f>
        <v>#DIV/0!</v>
      </c>
      <c r="NM146" s="172" t="e">
        <f ca="1">IF($NL146&lt;0.5, $MB146* MAX(0, MIN(1, (SQRT($NC146)-SQRT($NC146-1))*Control!$C$71)),0)</f>
        <v>#DIV/0!</v>
      </c>
      <c r="NN146" s="170" t="e">
        <f ca="1">IF($NL146&gt;=5, $MB146, MAX(0,MIN($MB146, $NM146+$NL146,($MS146-Control!$C$129))))</f>
        <v>#DIV/0!</v>
      </c>
      <c r="NO146" s="54">
        <f>IF(Control!$C$133&lt;&gt;1, Control!$C$135-Control!$C$131, 0)</f>
        <v>0.38</v>
      </c>
      <c r="NP146" s="54" t="e">
        <f t="shared" ca="1" si="570"/>
        <v>#DIV/0!</v>
      </c>
      <c r="NQ146" s="173" t="e">
        <f ca="1">MAX(0,MIN(1,(Control!$C$135-$MS146)/(Control!$C$135-$NO146)))</f>
        <v>#DIV/0!</v>
      </c>
      <c r="NR146" s="170" t="e">
        <f ca="1">IF(Control!$C$133&lt;&gt;1, $NQ146+((1-$NP146/4)*(1-$NQ146)),1)</f>
        <v>#DIV/0!</v>
      </c>
      <c r="NS146" s="170" t="e">
        <f ca="1">IF(Control!$B$31=0,$MJ146,MAX(0,MIN($MV146,$MO146*$NR146*$MJ146)))</f>
        <v>#DIV/0!</v>
      </c>
      <c r="NT146" s="170" t="e">
        <f t="shared" ca="1" si="686"/>
        <v>#DIV/0!</v>
      </c>
      <c r="NU146" s="170" t="e">
        <f t="shared" ca="1" si="662"/>
        <v>#N/A</v>
      </c>
      <c r="NV146" s="170" t="e">
        <f t="shared" ca="1" si="571"/>
        <v>#N/A</v>
      </c>
      <c r="NW146" s="175" t="e">
        <f t="shared" ca="1" si="572"/>
        <v>#DIV/0!</v>
      </c>
      <c r="NX146" s="170" t="e">
        <f ca="1">MIN(Control!$C$72+$MU146, $NW146)</f>
        <v>#DIV/0!</v>
      </c>
      <c r="NY146" s="170" t="e">
        <f ca="1">IF($MT146&lt;=$NX146,MIN(Control!$C$72+$NB146,$NX146-$MT146),0)</f>
        <v>#DIV/0!</v>
      </c>
      <c r="NZ146" s="54" t="e">
        <f ca="1">IF(Control!$C$114=1,  $CX146*($MX146-Control!$C$127), 0)</f>
        <v>#DIV/0!</v>
      </c>
      <c r="OA146" s="170" t="e">
        <f t="shared" ca="1" si="573"/>
        <v>#DIV/0!</v>
      </c>
      <c r="OB146" s="170" t="e">
        <f ca="1">IF($NA146 &lt;=$NY146, MIN(Control!$C$72, $NY146-$NA146), 0)</f>
        <v>#DIV/0!</v>
      </c>
      <c r="OC146" s="168" t="e">
        <f t="shared" ca="1" si="574"/>
        <v>#DIV/0!</v>
      </c>
      <c r="OD146" s="168" t="e">
        <f t="shared" ca="1" si="663"/>
        <v>#DIV/0!</v>
      </c>
      <c r="OE146" s="170">
        <f ca="1">Control!$C$73*$I146</f>
        <v>0</v>
      </c>
      <c r="OF146" s="176" t="e">
        <f t="shared" ca="1" si="575"/>
        <v>#DIV/0!</v>
      </c>
      <c r="OG146" s="168" t="e">
        <f t="shared" ca="1" si="576"/>
        <v>#DIV/0!</v>
      </c>
      <c r="OH146" s="168" t="e">
        <f t="shared" ca="1" si="577"/>
        <v>#DIV/0!</v>
      </c>
      <c r="OI146" s="168" t="e">
        <f t="shared" ca="1" si="578"/>
        <v>#DIV/0!</v>
      </c>
      <c r="OJ146" s="168" t="e">
        <f t="shared" ca="1" si="579"/>
        <v>#DIV/0!</v>
      </c>
      <c r="OK146" s="204" t="e">
        <f t="shared" ca="1" si="580"/>
        <v>#DIV/0!</v>
      </c>
      <c r="OL146" s="177">
        <f>Control!$C$127</f>
        <v>0.15</v>
      </c>
      <c r="OM146" s="182" t="e">
        <f t="shared" ca="1" si="581"/>
        <v>#N/A</v>
      </c>
      <c r="ON146" s="177">
        <f>Control!$C$128</f>
        <v>0.35</v>
      </c>
      <c r="OO146" s="182" t="e">
        <f t="shared" ca="1" si="582"/>
        <v>#N/A</v>
      </c>
      <c r="OP146" s="138">
        <f t="shared" ca="1" si="664"/>
        <v>0</v>
      </c>
      <c r="OQ146" s="138" t="e">
        <f t="shared" ca="1" si="687"/>
        <v>#DIV/0!</v>
      </c>
      <c r="OR146" s="138" t="e">
        <f t="shared" ca="1" si="665"/>
        <v>#DIV/0!</v>
      </c>
      <c r="OS146" s="137" t="e">
        <f t="shared" ca="1" si="688"/>
        <v>#DIV/0!</v>
      </c>
      <c r="OT146" s="139" t="e">
        <f t="shared" ca="1" si="689"/>
        <v>#DIV/0!</v>
      </c>
      <c r="OU146" s="138" t="e">
        <f t="shared" ca="1" si="690"/>
        <v>#N/A</v>
      </c>
      <c r="OV146" s="138" t="e">
        <f t="shared" ca="1" si="691"/>
        <v>#DIV/0!</v>
      </c>
      <c r="OW146" s="138" t="e">
        <f t="shared" ca="1" si="666"/>
        <v>#DIV/0!</v>
      </c>
      <c r="OX146" s="138" t="e">
        <f t="shared" ca="1" si="667"/>
        <v>#DIV/0!</v>
      </c>
      <c r="OY146" s="138" t="e">
        <f t="shared" ca="1" si="668"/>
        <v>#DIV/0!</v>
      </c>
      <c r="OZ146" s="138" t="e">
        <f t="shared" ca="1" si="583"/>
        <v>#DIV/0!</v>
      </c>
      <c r="PA146" s="138" t="e">
        <f t="shared" ca="1" si="584"/>
        <v>#DIV/0!</v>
      </c>
      <c r="PB146" s="55">
        <f>IF(Control!$C$61="T", IF(Control!$C$65="F", IF($AH$6-Control!$C$60&lt;0,0,1), IF(365+$AH$6-Control!$C$60&lt;0,0,1)),0)</f>
        <v>0</v>
      </c>
      <c r="PC146" s="55">
        <f ca="1">IF(Control!$C$65="F", IF($AH$6-$HF146&lt;0,0,1), IF(365+$AH$6-$HF146&lt;0,0,1))</f>
        <v>1</v>
      </c>
      <c r="PD146" s="444">
        <f>Control!$C$118</f>
        <v>1500</v>
      </c>
      <c r="PE146" s="180" t="e">
        <f t="shared" ca="1" si="585"/>
        <v>#N/A</v>
      </c>
      <c r="PF146" s="445">
        <f t="shared" ca="1" si="669"/>
        <v>0.71612369323045078</v>
      </c>
      <c r="PT146" s="186"/>
      <c r="PU146" s="186"/>
      <c r="PV146" s="94"/>
      <c r="PW146" s="94"/>
      <c r="PX146" s="94"/>
      <c r="PY146" s="94"/>
      <c r="PZ146" s="94"/>
      <c r="QA146" s="94"/>
      <c r="QB146" s="94"/>
      <c r="QC146" s="94"/>
      <c r="QD146" s="94"/>
      <c r="QE146" s="94"/>
      <c r="QF146" s="94"/>
      <c r="QG146" s="94"/>
      <c r="QH146" s="94"/>
      <c r="QI146" s="94"/>
      <c r="QJ146" s="94"/>
      <c r="QK146" s="94"/>
      <c r="QL146" s="94"/>
      <c r="QM146" s="94"/>
      <c r="QN146" s="94"/>
      <c r="QO146" s="94"/>
      <c r="QP146" s="94"/>
    </row>
    <row r="147" spans="1:458" s="2" customFormat="1" x14ac:dyDescent="0.2">
      <c r="A147" s="395">
        <v>22</v>
      </c>
      <c r="B147" s="396">
        <v>5</v>
      </c>
      <c r="C147" s="387">
        <f ca="1">Weather_data!$B146</f>
        <v>0</v>
      </c>
      <c r="D147" s="388">
        <f ca="1">Weather_data!$F146</f>
        <v>0</v>
      </c>
      <c r="E147" s="388">
        <f ca="1">Weather_data!$E146</f>
        <v>0</v>
      </c>
      <c r="F147" s="388">
        <f t="shared" ca="1" si="586"/>
        <v>0</v>
      </c>
      <c r="G147" s="388">
        <f ca="1">AVERAGE($D147:$E147)+Control!$B$9</f>
        <v>0</v>
      </c>
      <c r="H147" s="388">
        <f ca="1">Weather_data!$G146</f>
        <v>0</v>
      </c>
      <c r="I147" s="388">
        <f ca="1">Weather_data!$I146</f>
        <v>0</v>
      </c>
      <c r="J147" s="388">
        <f ca="1">Weather_data!$H146</f>
        <v>0</v>
      </c>
      <c r="K147" s="389">
        <f ca="1">Weather_data!$D146</f>
        <v>0</v>
      </c>
      <c r="L147" s="388" t="e">
        <f t="shared" ca="1" si="587"/>
        <v>#N/A</v>
      </c>
      <c r="M147" s="388" t="e">
        <f t="shared" ca="1" si="465"/>
        <v>#N/A</v>
      </c>
      <c r="N147" s="388">
        <f t="shared" ca="1" si="466"/>
        <v>-1.7667041747318157E-7</v>
      </c>
      <c r="O147" s="388">
        <f t="shared" ca="1" si="588"/>
        <v>1.7667041747318158E-6</v>
      </c>
      <c r="P147" s="390">
        <v>3</v>
      </c>
      <c r="Q147" s="388">
        <f ca="1">MAX($G147-Control!$C$107,0)</f>
        <v>0</v>
      </c>
      <c r="R147" s="388">
        <f t="shared" ca="1" si="589"/>
        <v>0</v>
      </c>
      <c r="S147" s="388">
        <f t="shared" ca="1" si="467"/>
        <v>0</v>
      </c>
      <c r="T147" s="388">
        <f t="shared" ca="1" si="468"/>
        <v>0</v>
      </c>
      <c r="U147" s="59">
        <f t="shared" ca="1" si="469"/>
        <v>0</v>
      </c>
      <c r="V147" s="391">
        <f ca="1">MAX(0,MIN(Control!$C$100-Control!$C$99,$G147-Control!$C$99)*Control!$C$63)</f>
        <v>0</v>
      </c>
      <c r="W147" s="388">
        <f t="shared" ca="1" si="590"/>
        <v>0</v>
      </c>
      <c r="X147" s="388">
        <f t="shared" ca="1" si="591"/>
        <v>0.6110000000000001</v>
      </c>
      <c r="Y147" s="388">
        <f t="shared" ca="1" si="470"/>
        <v>0</v>
      </c>
      <c r="Z147" s="388">
        <f t="shared" ca="1" si="592"/>
        <v>0.61058800000000002</v>
      </c>
      <c r="AA147" s="388">
        <f t="shared" ca="1" si="471"/>
        <v>0.6018</v>
      </c>
      <c r="AB147" s="388">
        <f ca="1">101.3*EXP(-0.034*Control!$C$66/($G147+273))</f>
        <v>100.69623283836242</v>
      </c>
      <c r="AC147" s="392">
        <f t="shared" ca="1" si="472"/>
        <v>4.3460251046025113E-2</v>
      </c>
      <c r="AD147" s="392">
        <f t="shared" ca="1" si="473"/>
        <v>4.4450382862832649E-2</v>
      </c>
      <c r="AE147" s="388">
        <f t="shared" ca="1" si="474"/>
        <v>0</v>
      </c>
      <c r="AF147" s="388">
        <f ca="1">MAX(0,$G147-Control!$C$92)</f>
        <v>0</v>
      </c>
      <c r="AG147" s="393">
        <f t="shared" ca="1" si="475"/>
        <v>143</v>
      </c>
      <c r="AH147" s="389">
        <f t="shared" ca="1" si="476"/>
        <v>143</v>
      </c>
      <c r="AI147" s="388">
        <f t="shared" ca="1" si="593"/>
        <v>0.35515137762470861</v>
      </c>
      <c r="AJ147" s="388">
        <f ca="1">IF(Control!$C$60&lt;=0,$HH147,$HI147)</f>
        <v>1</v>
      </c>
      <c r="AK147" s="388">
        <f t="shared" ca="1" si="477"/>
        <v>1.0844949982255176</v>
      </c>
      <c r="AL147" s="388">
        <f t="shared" ca="1" si="478"/>
        <v>5.4090586176780421E-19</v>
      </c>
      <c r="AM147" s="388">
        <f t="shared" ca="1" si="479"/>
        <v>1.0844949982255176</v>
      </c>
      <c r="AN147" s="388">
        <f t="shared" ca="1" si="480"/>
        <v>0.35936733692961814</v>
      </c>
      <c r="AO147" s="388">
        <f ca="1">-0.10453/COS(Control!$B$8*PI()/180)*COS(AN147)</f>
        <v>-0.15893892344329544</v>
      </c>
      <c r="AP147" s="388">
        <f ca="1">ACOS(AO147-TAN(Control!$B$8*PI()/180)*TAN(AN147))</f>
        <v>2.2650191389262018</v>
      </c>
      <c r="AQ147" s="388">
        <f t="shared" ca="1" si="594"/>
        <v>0</v>
      </c>
      <c r="AR147" s="394">
        <f t="shared" ca="1" si="481"/>
        <v>0</v>
      </c>
      <c r="AS147" s="436">
        <f ca="1">IF(Control!$B$18=2,(IF(OR($AH147=Control!$B$175,$AH147=Control!$B$176,$AH147=Control!$B$177,$AH147=Control!$B$178,$AH147=Control!$B$179,$AH147=Control!$B$180,$AH147=Control!$B$181,$AH147=Control!$B$182,$AH147=Control!$B$183,$AH147=Control!$B$184,$AH147=Control!$B$185),1,0)),0)</f>
        <v>0</v>
      </c>
      <c r="AT147" s="436">
        <f>IF(Control!$B$20=8,IF(AND($AH147&gt;=Control!$B$172,$AH147&lt;=Control!$B$173),1,0),0)</f>
        <v>0</v>
      </c>
      <c r="AU147" s="436">
        <f>IF(Control!$B$20=8,IF($AV146=1,1*$AT147,IF($AT147=1,$AU146+1,$AU146)),0)</f>
        <v>0</v>
      </c>
      <c r="AV147" s="436">
        <f>IF(Control!$B$20=8,IF($AU147&gt;=Control!$B$174,1,0),0)</f>
        <v>0</v>
      </c>
      <c r="AW147" s="436">
        <f ca="1">IF(AND(Control!$B$18=2,Control!$B$171=1), $AV147, $AS147)</f>
        <v>0</v>
      </c>
      <c r="AX147" s="436" t="e">
        <f ca="1">IF(AND(Control!$B$18=1,$EU147&gt;=Control!$B$19),-$AY147,IF(AND(Control!$B$18=2,$AW147=1,$EU147&gt;$DS147),-$AY147, IF(Control!$C$108=0,0, IF(Control!$C$108&lt;&gt;0,1))))</f>
        <v>#N/A</v>
      </c>
      <c r="AY147" s="436" t="e">
        <f t="shared" ca="1" si="595"/>
        <v>#N/A</v>
      </c>
      <c r="AZ147" s="436" t="e">
        <f ca="1">IF(AND(Control!$B$18=1,$EB147&gt;Control!$B$19),$AZ146+1, IF(AND(Control!$B$18=2, $AW147=1, $EB147&gt;$DS147), $AZ146+1,$AZ146))</f>
        <v>#N/A</v>
      </c>
      <c r="BA147" s="587">
        <f>IF(Control!$C$81=0,1,IF($AH147&gt;=Control!$C$82,1,0))</f>
        <v>1</v>
      </c>
      <c r="BB147" s="140" t="e">
        <f ca="1">IF($BA147&gt;$BA146,Control!$C$83,IF($AW147&gt;0,$AW147*Control!$C$84,IF(AND(Control!$B$18=1,EN146&lt;&gt;0),Control!$C$84,0)))</f>
        <v>#N/A</v>
      </c>
      <c r="BC147" s="140" t="e">
        <f t="shared" ca="1" si="596"/>
        <v>#N/A</v>
      </c>
      <c r="BD147" s="140" t="e">
        <f ca="1">BC147*IF(OR($G147&lt;Control!$C$92,$G147&gt;Control!$C$95),0,IF(AND($G147&gt;=Control!$C$92,$G147&lt;=Control!$C$93),$G147-Control!$C$92,IF(AND($G147&gt;Control!$C$93,$G147&lt;=Control!$C$94),Control!$C$93-Control!$C$92,IF(AND($G147&gt;Control!$C$94,$G147&lt;=Control!$C$95),(Control!$C$93-Control!$C$92)*(Control!$C$94-$G147)/(Control!$C$95-Control!$C$94)))))</f>
        <v>#N/A</v>
      </c>
      <c r="BE147" s="140" t="e">
        <f t="shared" ca="1" si="597"/>
        <v>#N/A</v>
      </c>
      <c r="BF147" s="140" t="e">
        <f ca="1">IF($BE147&lt;=Control!$C$86,$BE147,Control!$C$86-$BE147)</f>
        <v>#N/A</v>
      </c>
      <c r="BG147" s="140" t="e">
        <f ca="1">IF(AND($AW147=1,Control!$C$84&lt;9),1,IF($BE147&gt;=Control!$C$86,0,$BC147))</f>
        <v>#N/A</v>
      </c>
      <c r="BH147" s="404" t="e">
        <f ca="1">IF($BG147=0,0,IF($BE147&lt;=Control!$C$86,$BC147*9*($BF147/Control!$C$86),0))</f>
        <v>#N/A</v>
      </c>
      <c r="BI147" s="140" t="e">
        <f ca="1">IF($BG147=1,0,IF($BE147&gt;=Control!$C$86,1,IF(AND($BB147&lt;21,$BB147&gt;=9),1,$BM146)))</f>
        <v>#N/A</v>
      </c>
      <c r="BJ147" s="140" t="e">
        <f ca="1">IF($BF147&lt;0,-$BF147,$BI147*IF(OR($G147&lt;Control!$C$92,$G147&gt;Control!$C$95),0,IF(AND($G147&gt;=Control!$C$92,$G147&lt;=Control!$C$93),$G147-Control!$C$92,IF(AND($G147&gt;Control!$C$93,$G147&lt;=Control!$C$94),Control!$C$93-Control!$C$92,IF(AND($G147&gt;Control!$C$94,$G147&lt;=Control!$C$95),(Control!$C$93-Control!$C$92)*(Control!$C$94-$G147)/(Control!$C$95-Control!$C$94))))))</f>
        <v>#N/A</v>
      </c>
      <c r="BK147" s="140" t="e">
        <f t="shared" ca="1" si="598"/>
        <v>#N/A</v>
      </c>
      <c r="BL147" s="140" t="e">
        <f ca="1">IF($BK147&lt;=Control!$C$87,$BK147,Control!$C$87-$BK147)</f>
        <v>#N/A</v>
      </c>
      <c r="BM147" s="140" t="e">
        <f ca="1">IF(AND($BB147&gt;=9,$BB147&lt;21),1,IF($BK147&gt;=Control!$C$87,0,$BI147))</f>
        <v>#N/A</v>
      </c>
      <c r="BN147" s="404" t="e">
        <f ca="1">IF($BM147=0,0,IF($BK147&lt;=Control!$C$87,$BI147*(9+(21-9)*($BL147/Control!$C$87)),0))</f>
        <v>#N/A</v>
      </c>
      <c r="BO147" s="140" t="e">
        <f ca="1">IF($BM147=1,0,IF($BK147&gt;=Control!$C$87,1,IF(AND($BB147&lt;30,$BB147&gt;=21),1,$BS146)))</f>
        <v>#N/A</v>
      </c>
      <c r="BP147" s="140" t="e">
        <f ca="1">IF($BL147&lt;0,-$BL147,$BO147*IF(OR($G147&lt;Control!$C$92,$G147&gt;Control!$C$95),0,IF(AND($G147&gt;=Control!$C$92,$G147&lt;=Control!$C$93),$G147-Control!$C$92,IF(AND($G147&gt;Control!$C$93,$G147&lt;=Control!$C$94),Control!$C$93-Control!$C$92,IF(AND($G147&gt;Control!$C$94,$G147&lt;=Control!$C$95),(Control!$C$93-Control!$C$92)*(Control!$C$94-$G147)/(Control!$C$95-Control!$C$94))))))</f>
        <v>#N/A</v>
      </c>
      <c r="BQ147" s="140" t="e">
        <f t="shared" ca="1" si="482"/>
        <v>#N/A</v>
      </c>
      <c r="BR147" s="140" t="e">
        <f ca="1">IF($BQ147&lt;=Control!$C$88,$BQ147,Control!$C$88-$BQ147)</f>
        <v>#N/A</v>
      </c>
      <c r="BS147" s="140" t="e">
        <f ca="1">IF(AND($BB147&gt;=21,$BB147&lt;30),1,IF($BQ147&gt;=Control!$C$88,0,$BO147))</f>
        <v>#N/A</v>
      </c>
      <c r="BT147" s="404" t="e">
        <f ca="1">IF($BS147=0,0,IF($BQ147&lt;=Control!$C$88,$BO147*(21+(30-21)*(BR147/Control!$C$88)),0))</f>
        <v>#N/A</v>
      </c>
      <c r="BU147" s="140" t="e">
        <f ca="1">IF(BG147+BM147+BS147=1,0,IF(OR(AND($BB147&lt;60,$BB147&gt;=30),$BQ147&gt;=Control!$C$88),1*$BA147,$BY146))</f>
        <v>#N/A</v>
      </c>
      <c r="BV147" s="140" t="e">
        <f ca="1">IF($BR147&lt;0,-$BR147,$BU147*IF(OR($G147&lt;Control!$C$92,$G147&gt;Control!$C$95),0,IF(AND($G147&gt;=Control!$C$92,$G147&lt;=Control!$C$93),$G147-Control!$C$92,IF(AND($G147&gt;Control!$C$93,$G147&lt;=Control!$C$94),Control!$C$93-Control!$C$92,IF(AND($G147&gt;Control!$C$94,$G147&lt;=Control!$C$95),(Control!$C$93-Control!$C$92)*(Control!$C$94-$G147)/(Control!$C$95-Control!$C$94))))))</f>
        <v>#N/A</v>
      </c>
      <c r="BW147" s="140" t="e">
        <f t="shared" ca="1" si="483"/>
        <v>#N/A</v>
      </c>
      <c r="BX147" s="140" t="e">
        <f ca="1">IF($BW147&lt;=Control!$C$89,$BW147,Control!$C$89-$BW147)</f>
        <v>#N/A</v>
      </c>
      <c r="BY147" s="140" t="e">
        <f ca="1">IF(AND($AJ147&gt;=30,$AJ147&lt;60),1,IF($BW147&gt;=Control!$C$89,0,$BU147))</f>
        <v>#N/A</v>
      </c>
      <c r="BZ147" s="404" t="e">
        <f ca="1">IF($BY147=0,0,IF($BW147&lt;=Control!$C$89,$BU147*(30+(60-30)*(BX147/Control!$C$89)),0))</f>
        <v>#N/A</v>
      </c>
      <c r="CA147" s="140" t="e">
        <f ca="1">IF($BG147+$BM147+$BS147+$BY147=1,0,IF(OR(AND($BB147&lt;65,$BB147&gt;=60),$BW147&gt;=Control!$C$89),1*$BA147,$CE146))</f>
        <v>#N/A</v>
      </c>
      <c r="CB147" s="140" t="e">
        <f ca="1">IF($BX147&lt;0,-$BX147,$CA147*IF(OR($G147&lt;Control!$C$92,$G147&gt;Control!$C$95),0,IF(AND($G147&gt;=Control!$C$92,$G147&lt;=Control!$C$93),$G147-Control!$C$92,IF(AND($G147&gt;Control!$C$93,$G147&lt;=Control!$C$94),Control!$C$93-Control!$C$92,IF(AND($G147&gt;Control!$C$94,$G147&lt;=Control!$C$95),(Control!$C$93-Control!$C$92)*(Control!$C$94-$G147)/(Control!$C$95-Control!$C$94))))))</f>
        <v>#N/A</v>
      </c>
      <c r="CC147" s="140" t="e">
        <f t="shared" ca="1" si="599"/>
        <v>#N/A</v>
      </c>
      <c r="CD147" s="140" t="e">
        <f ca="1">IF($CC147&lt;=Control!$C$90,$CC147,Control!$C$90-$CC147)</f>
        <v>#N/A</v>
      </c>
      <c r="CE147" s="140" t="e">
        <f ca="1">IF(AND($BB147&gt;=60,$BB147&lt;65),1,IF($CC147&gt;=Control!$C$90,0,$CA147))</f>
        <v>#N/A</v>
      </c>
      <c r="CF147" s="404" t="e">
        <f ca="1">IF($CE147=0,0,IF($CC147&lt;=Control!$C$90,$CA147*(60+(65-60)*(CD147/Control!$C$90)),0))</f>
        <v>#N/A</v>
      </c>
      <c r="CG147" s="140" t="e">
        <f ca="1">IF($BG147+$BM147+$BS147+$BY147+$CE147=1,0,IF(OR(AND($BB147&lt;90,$BB147&gt;=65),$CC147&gt;=Control!$C$90),$BA147,$CK146))</f>
        <v>#N/A</v>
      </c>
      <c r="CH147" s="140" t="e">
        <f ca="1">IF($CD147&lt;0,-$CD147,$CG147*IF(OR($G147&lt;Control!$C$92,$G147&gt;Control!$C$95),0,IF(AND($G147&gt;=Control!$C$92,$G147&lt;=Control!$C$93),$G147-Control!$C$92,IF(AND($G147&gt;Control!$C$93,$G147&lt;=Control!$C$94),Control!$C$93-Control!$C$92,IF(AND($G147&gt;Control!$C$94,$G147&lt;=Control!$C$95),(Control!$C$93-Control!$C$92)*(Control!$C$94-$G147)/(Control!$C$95-Control!$C$94))))))</f>
        <v>#N/A</v>
      </c>
      <c r="CI147" s="140" t="e">
        <f t="shared" ca="1" si="600"/>
        <v>#N/A</v>
      </c>
      <c r="CJ147" s="140" t="e">
        <f ca="1">IF($CI147&lt;=Control!$C$91,$CI147,Control!$C$91-$CI147)</f>
        <v>#N/A</v>
      </c>
      <c r="CK147" s="140" t="e">
        <f ca="1">IF(AND($BB147&gt;=65,$BB147&lt;90),1,IF($CI147&gt;=Control!$C$91,0,$CG147))</f>
        <v>#N/A</v>
      </c>
      <c r="CL147" s="404" t="e">
        <f ca="1">IF($CK147=0,0,IF($CI147&lt;=Control!$C$91,$CG147*(65+(90-65)*($CJ147/Control!$C$91)),0))</f>
        <v>#N/A</v>
      </c>
      <c r="CM147" s="140" t="e">
        <f ca="1">IF($BG147+$BM147+$BS147+$BY147+$CE147+$CK147=1,0,IF(OR($BB147&gt;=90,$CI147&gt;=Control!$C$91),$BA147,$CM146))</f>
        <v>#N/A</v>
      </c>
      <c r="CN147" s="140" t="e">
        <f t="shared" ca="1" si="601"/>
        <v>#N/A</v>
      </c>
      <c r="CO147" s="140" t="e">
        <f t="shared" ca="1" si="602"/>
        <v>#N/A</v>
      </c>
      <c r="CP147" s="140" t="e">
        <f t="shared" ca="1" si="603"/>
        <v>#N/A</v>
      </c>
      <c r="CQ147" s="141" t="e">
        <f ca="1">VLOOKUP($CP147,Control!$B$86:$G$91,6)</f>
        <v>#N/A</v>
      </c>
      <c r="CR147" s="141" t="e">
        <f ca="1">(1-$CQ147)*VLOOKUP($CP147,Control!$B$86:$D$91,3)</f>
        <v>#N/A</v>
      </c>
      <c r="CS147" s="141" t="e">
        <f ca="1">(1-$CQ147)*VLOOKUP($CP147,Control!$B$86:$E$91,4)</f>
        <v>#N/A</v>
      </c>
      <c r="CT147" s="141" t="e">
        <f ca="1">(1-$CQ147)*VLOOKUP($CP147,Control!$B$86:$F$91,5)</f>
        <v>#N/A</v>
      </c>
      <c r="CU147" s="141">
        <f t="shared" ca="1" si="604"/>
        <v>0</v>
      </c>
      <c r="CV147" s="583">
        <f t="shared" ca="1" si="605"/>
        <v>0</v>
      </c>
      <c r="CW147" s="142">
        <f t="shared" ca="1" si="606"/>
        <v>143</v>
      </c>
      <c r="CX147" s="612" t="e">
        <f ca="1">IF(Control!$C$114=1,(MIN(Control!$C$120*(IF($NT147-0.01&lt;0,0,1)),Control!$C$119-$CY147)))</f>
        <v>#DIV/0!</v>
      </c>
      <c r="CY147" s="143" t="e">
        <f t="shared" ca="1" si="607"/>
        <v>#N/A</v>
      </c>
      <c r="CZ147" s="144">
        <f t="shared" ca="1" si="484"/>
        <v>0</v>
      </c>
      <c r="DA147" s="144">
        <f t="shared" ca="1" si="485"/>
        <v>0</v>
      </c>
      <c r="DB147" s="144" t="e">
        <f t="shared" ca="1" si="486"/>
        <v>#N/A</v>
      </c>
      <c r="DC147" s="144" t="e">
        <f t="shared" ca="1" si="487"/>
        <v>#N/A</v>
      </c>
      <c r="DD147" s="144" t="e">
        <f t="shared" ca="1" si="692"/>
        <v>#N/A</v>
      </c>
      <c r="DE147" s="143" t="e">
        <f t="shared" ca="1" si="608"/>
        <v>#N/A</v>
      </c>
      <c r="DF147" s="145" t="e">
        <f ca="1">$DR147*EXP(-Control!$C$158*(1-$KH147))</f>
        <v>#N/A</v>
      </c>
      <c r="DG147" s="146" t="e">
        <f ca="1">IF(Control!$C$114=1, $DF147*$EY147, 0)</f>
        <v>#N/A</v>
      </c>
      <c r="DH147" s="147" t="e">
        <f t="shared" ca="1" si="609"/>
        <v>#N/A</v>
      </c>
      <c r="DI147" s="144" t="e">
        <f t="shared" ca="1" si="670"/>
        <v>#N/A</v>
      </c>
      <c r="DJ147" s="147" t="e">
        <f ca="1">$EF147*Control!$C$109</f>
        <v>#N/A</v>
      </c>
      <c r="DK147" s="144" t="e">
        <f t="shared" ca="1" si="610"/>
        <v>#N/A</v>
      </c>
      <c r="DL147" s="144" t="e">
        <f t="shared" ca="1" si="488"/>
        <v>#N/A</v>
      </c>
      <c r="DM147" s="144" t="e">
        <f ca="1">IF(Control!$C$114=1, (1-EXP(-Control!$C$96*$DK147))*$AR147, 0)</f>
        <v>#N/A</v>
      </c>
      <c r="DN147" s="144">
        <f t="shared" ca="1" si="611"/>
        <v>0</v>
      </c>
      <c r="DO147" s="148">
        <f>Control!$C$97</f>
        <v>4</v>
      </c>
      <c r="DP147" s="145" t="e">
        <f t="shared" ca="1" si="612"/>
        <v>#N/A</v>
      </c>
      <c r="DQ147" s="145" t="e">
        <f ca="1">IF(AND($CP147&gt;=0,$CP147&lt;=90),Control!$C$111,Control!$C$111)</f>
        <v>#N/A</v>
      </c>
      <c r="DR147" s="145" t="e">
        <f t="shared" ca="1" si="489"/>
        <v>#N/A</v>
      </c>
      <c r="DS147" s="143" t="e">
        <f ca="1">Control!$B$22/$DR147</f>
        <v>#N/A</v>
      </c>
      <c r="DT147" s="149" t="e">
        <f ca="1">IF(AND(Control!$C$114=1,$KH147&lt;1),$IM147*$DF147, 0)</f>
        <v>#N/A</v>
      </c>
      <c r="DU147" s="144" t="e">
        <f t="shared" ca="1" si="613"/>
        <v>#N/A</v>
      </c>
      <c r="DV147" s="144">
        <f ca="1">IF($G147-Control!$C$107&lt;=0, 0, 0.83*LN(MAX($G147, 3))-0.8924)</f>
        <v>0</v>
      </c>
      <c r="DW147" s="144" t="e">
        <f t="shared" ca="1" si="490"/>
        <v>#N/A</v>
      </c>
      <c r="DX147" s="150" t="e">
        <f ca="1">MAX(0.01*(1+$CU147/Control!$C$102),0.05*($DK147-Control!$C$97)/Control!$C$97)</f>
        <v>#N/A</v>
      </c>
      <c r="DY147" s="151" t="e">
        <f ca="1">IF(Control!$C$114=1, $DI147*$FS147, 0)</f>
        <v>#N/A</v>
      </c>
      <c r="DZ147" s="196" t="e">
        <f t="shared" ca="1" si="614"/>
        <v>#N/A</v>
      </c>
      <c r="EA147" s="152">
        <f t="shared" ca="1" si="615"/>
        <v>143</v>
      </c>
      <c r="EB147" s="153" t="e">
        <f t="shared" ca="1" si="616"/>
        <v>#N/A</v>
      </c>
      <c r="EC147" s="153" t="e">
        <f t="shared" ca="1" si="617"/>
        <v>#N/A</v>
      </c>
      <c r="ED147" s="154" t="e">
        <f ca="1">IF(Control!$C$114=1, $HM147*$FY147-$FD147, 0)</f>
        <v>#DIV/0!</v>
      </c>
      <c r="EE147" s="155" t="e">
        <f ca="1">IF(Control!$C$114=1, $HM147*$FZ147-$FF147, 0)</f>
        <v>#DIV/0!</v>
      </c>
      <c r="EF147" s="153" t="e">
        <f t="shared" ca="1" si="671"/>
        <v>#N/A</v>
      </c>
      <c r="EG147" s="155" t="e">
        <f ca="1">IF(Control!$C$114=1, $GX147*$FW147-$FI147, 0)</f>
        <v>#DIV/0!</v>
      </c>
      <c r="EH147" s="153" t="e">
        <f t="shared" ca="1" si="618"/>
        <v>#N/A</v>
      </c>
      <c r="EI147" s="156" t="e">
        <f t="shared" ca="1" si="619"/>
        <v>#N/A</v>
      </c>
      <c r="EJ147" s="155" t="e">
        <f ca="1">IF(Control!$C$114=1, $HM147*$GB147, 0)</f>
        <v>#DIV/0!</v>
      </c>
      <c r="EK147" s="153" t="e">
        <f t="shared" ca="1" si="672"/>
        <v>#N/A</v>
      </c>
      <c r="EL147" s="153" t="e">
        <f t="shared" ca="1" si="491"/>
        <v>#N/A</v>
      </c>
      <c r="EM147" s="153" t="e">
        <f t="shared" ca="1" si="492"/>
        <v>#N/A</v>
      </c>
      <c r="EN147" s="153" t="e">
        <f ca="1">IF(Control!$C$108=1,IF(AND(Control!$B$18=1,$EB147&gt;=Control!$B$19),$EB147-$DS147,IF(AND(Control!$B$18=2,$AW147=1,$EB147&gt;$DS147),$EB147-$DS147,0)))</f>
        <v>#N/A</v>
      </c>
      <c r="EO147" s="153" t="e">
        <f ca="1">IF(Control!$C$108=1,IF(AND(Control!$B$18=1,$EB147&gt;=Control!$B$19),$EF147,IF(AND(Control!$B$18=2,$AW147=1),$EF147,0)))</f>
        <v>#N/A</v>
      </c>
      <c r="EP147" s="153" t="e">
        <f ca="1">IF(Control!$C$108=1,IF(AND(Control!$B$18=1,$EB147&gt;=Control!$B$19),$EK147,IF(AND(Control!$B$18=2,$AW147=1),$EK147,0)))</f>
        <v>#N/A</v>
      </c>
      <c r="EQ147" s="153" t="e">
        <f t="shared" ca="1" si="620"/>
        <v>#N/A</v>
      </c>
      <c r="ER147" s="153" t="e">
        <f t="shared" ca="1" si="621"/>
        <v>#N/A</v>
      </c>
      <c r="ES147" s="153" t="e">
        <f t="shared" ca="1" si="673"/>
        <v>#N/A</v>
      </c>
      <c r="ET147" s="153" t="e">
        <f t="shared" ca="1" si="674"/>
        <v>#N/A</v>
      </c>
      <c r="EU147" s="153" t="e">
        <f t="shared" ca="1" si="622"/>
        <v>#N/A</v>
      </c>
      <c r="EV147" s="153" t="e">
        <f t="shared" ca="1" si="493"/>
        <v>#N/A</v>
      </c>
      <c r="EW147" s="153" t="e">
        <f t="shared" ca="1" si="494"/>
        <v>#N/A</v>
      </c>
      <c r="EX147" s="153" t="e">
        <f t="shared" ca="1" si="495"/>
        <v>#N/A</v>
      </c>
      <c r="EY147" s="157" t="e">
        <f t="shared" ca="1" si="496"/>
        <v>#DIV/0!</v>
      </c>
      <c r="EZ147" s="154" t="e">
        <f t="shared" ca="1" si="497"/>
        <v>#DIV/0!</v>
      </c>
      <c r="FA147" s="153" t="e">
        <f t="shared" ca="1" si="623"/>
        <v>#N/A</v>
      </c>
      <c r="FB147" s="153" t="e">
        <f t="shared" ca="1" si="498"/>
        <v>#N/A</v>
      </c>
      <c r="FC147" s="193" t="e">
        <f t="shared" ca="1" si="499"/>
        <v>#N/A</v>
      </c>
      <c r="FD147" s="158" t="e">
        <f t="shared" ca="1" si="624"/>
        <v>#N/A</v>
      </c>
      <c r="FE147" s="158" t="e">
        <f t="shared" ca="1" si="625"/>
        <v>#N/A</v>
      </c>
      <c r="FF147" s="159" t="e">
        <f t="shared" ca="1" si="500"/>
        <v>#N/A</v>
      </c>
      <c r="FG147" s="160" t="e">
        <f t="shared" ca="1" si="626"/>
        <v>#N/A</v>
      </c>
      <c r="FH147" s="158" t="e">
        <f t="shared" ca="1" si="627"/>
        <v>#N/A</v>
      </c>
      <c r="FI147" s="159" t="e">
        <f t="shared" ca="1" si="501"/>
        <v>#N/A</v>
      </c>
      <c r="FJ147" s="160" t="e">
        <f t="shared" ca="1" si="628"/>
        <v>#N/A</v>
      </c>
      <c r="FK147" s="160" t="e">
        <f t="shared" ca="1" si="502"/>
        <v>#N/A</v>
      </c>
      <c r="FL147" s="160" t="e">
        <f t="shared" ca="1" si="675"/>
        <v>#N/A</v>
      </c>
      <c r="FM147" s="160" t="e">
        <f t="shared" ca="1" si="503"/>
        <v>#N/A</v>
      </c>
      <c r="FN147" s="158">
        <f t="shared" ca="1" si="629"/>
        <v>0.01</v>
      </c>
      <c r="FO147" s="160">
        <f>Control!$C$101</f>
        <v>50</v>
      </c>
      <c r="FP147" s="150" t="e">
        <f t="shared" ca="1" si="504"/>
        <v>#N/A</v>
      </c>
      <c r="FQ147" s="150" t="e">
        <f ca="1">MAX(0,(Control!$C$112*(($DK147-Control!$C$97)/Control!$C$97)))</f>
        <v>#N/A</v>
      </c>
      <c r="FR147" s="150" t="e">
        <f ca="1">(1-$NT147)*Control!$C$113</f>
        <v>#DIV/0!</v>
      </c>
      <c r="FS147" s="198" t="e">
        <f t="shared" ca="1" si="505"/>
        <v>#N/A</v>
      </c>
      <c r="FT147" s="161">
        <f t="shared" ca="1" si="630"/>
        <v>143</v>
      </c>
      <c r="FU147" s="162" t="e">
        <f ca="1">IF(Control!$B$34=1,VLOOKUP($CP147,Control!$B$86:$G$91,6),Control!$B$35)</f>
        <v>#N/A</v>
      </c>
      <c r="FV147" s="162" t="e">
        <f t="shared" ca="1" si="506"/>
        <v>#DIV/0!</v>
      </c>
      <c r="FW147" s="162" t="e">
        <f ca="1">IF(Control!$B$31=1,$FU147*$FV147,  $FU147)</f>
        <v>#N/A</v>
      </c>
      <c r="FX147" s="162" t="e">
        <f ca="1">IF(Control!$B$34=1,VLOOKUP($CP147,Control!$B$86:$G$91,3),Control!$B$36)</f>
        <v>#N/A</v>
      </c>
      <c r="FY147" s="162" t="e">
        <f t="shared" ca="1" si="507"/>
        <v>#N/A</v>
      </c>
      <c r="FZ147" s="162" t="e">
        <f ca="1">IF(Control!$B$34=1,VLOOKUP($CP147,Control!$B$86:$G$91,4),Control!$B$37)</f>
        <v>#N/A</v>
      </c>
      <c r="GA147" s="162" t="e">
        <f t="shared" ca="1" si="508"/>
        <v>#N/A</v>
      </c>
      <c r="GB147" s="162" t="e">
        <f ca="1">IF(Control!$B$34=1,VLOOKUP($CP147,Control!$B$86:$G$91,5),Control!$B$38)</f>
        <v>#N/A</v>
      </c>
      <c r="GC147" s="162" t="e">
        <f t="shared" ca="1" si="631"/>
        <v>#N/A</v>
      </c>
      <c r="GD147" s="162">
        <f t="shared" ca="1" si="509"/>
        <v>1</v>
      </c>
      <c r="GE147" s="162">
        <f t="shared" ca="1" si="510"/>
        <v>1</v>
      </c>
      <c r="GF147" s="162">
        <f ca="1">IF(AND(Control!$C$104=1, Control!$C$62="F"),$GE147,1)</f>
        <v>1</v>
      </c>
      <c r="GG147" s="162" t="e">
        <f ca="1">IF(Control!$B$16=40,0,IF(AND(Control!$B$16&gt;40,Control!$B$16&lt;=360),(Control!$B$16-40)*((1-0)/(360-40)),IF(AND(Control!$B$16&gt;360,Control!$B$16&lt;=720),(1+(Control!$B$16-360)*((1.25-1)/(720-360))),IF(AND(Control!$B$16&gt;720,Control!$B$16&lt;=1000),(1.25+(Control!$B$16-720)*((1.35-1.25)/(1000-720))),IF(AND(Control!$B$16&gt;1000,Control!$B$16&lt;=2000),(1.35+(Control!$B$16-1000)*0))))))</f>
        <v>#N/A</v>
      </c>
      <c r="GH147" s="162" t="e">
        <f t="shared" ca="1" si="511"/>
        <v>#N/A</v>
      </c>
      <c r="GI147" s="162">
        <f t="shared" ca="1" si="632"/>
        <v>0</v>
      </c>
      <c r="GJ147" s="162">
        <f t="shared" ca="1" si="512"/>
        <v>0</v>
      </c>
      <c r="GK147" s="162">
        <f t="shared" ca="1" si="633"/>
        <v>1</v>
      </c>
      <c r="GL147" s="162">
        <f t="shared" ca="1" si="513"/>
        <v>1</v>
      </c>
      <c r="GM147" s="162" t="e">
        <f ca="1">MAX(0,MIN(1,1-Control!$C$156*(1.0001-$KH147)^2))</f>
        <v>#N/A</v>
      </c>
      <c r="GN147" s="162" t="e">
        <f ca="1">IF(Control!$B$26=1,$KU147,$KX147)</f>
        <v>#N/A</v>
      </c>
      <c r="GO147" s="162" t="e">
        <f ca="1">IF($CP147&lt;=60,Control!$C$105,IF($CP147&gt;=90,Control!$C$106,Control!$C$105+($CP147-60)*((Control!$C$106-Control!$C$105)/(90-60))))</f>
        <v>#N/A</v>
      </c>
      <c r="GP147" s="162" t="e">
        <f t="shared" ca="1" si="514"/>
        <v>#N/A</v>
      </c>
      <c r="GQ147" s="162" t="e">
        <f t="shared" ca="1" si="634"/>
        <v>#N/A</v>
      </c>
      <c r="GR147" s="163" t="e">
        <f t="shared" ca="1" si="515"/>
        <v>#DIV/0!</v>
      </c>
      <c r="GS147" s="162" t="e">
        <f t="shared" ca="1" si="516"/>
        <v>#DIV/0!</v>
      </c>
      <c r="GT147" s="164" t="e">
        <f t="shared" ca="1" si="635"/>
        <v>#N/A</v>
      </c>
      <c r="GU147" s="162" t="e">
        <f t="shared" ca="1" si="636"/>
        <v>#N/A</v>
      </c>
      <c r="GV147" s="162" t="e">
        <f t="shared" ca="1" si="517"/>
        <v>#N/A</v>
      </c>
      <c r="GW147" s="162" t="e">
        <f t="shared" ca="1" si="518"/>
        <v>#DIV/0!</v>
      </c>
      <c r="GX147" s="162" t="e">
        <f t="shared" ca="1" si="637"/>
        <v>#DIV/0!</v>
      </c>
      <c r="GY147" s="162" t="e">
        <f t="shared" ca="1" si="638"/>
        <v>#DIV/0!</v>
      </c>
      <c r="GZ147" s="165" t="e">
        <f t="shared" ca="1" si="519"/>
        <v>#N/A</v>
      </c>
      <c r="HA147" s="162" t="e">
        <f ca="1">IF(Control!$C$114=1, $DI147*$FS147, 0)</f>
        <v>#N/A</v>
      </c>
      <c r="HB147" s="162" t="e">
        <f ca="1">$FA147/Control!$C$64</f>
        <v>#N/A</v>
      </c>
      <c r="HC147" s="162" t="e">
        <f t="shared" ca="1" si="520"/>
        <v>#DIV/0!</v>
      </c>
      <c r="HD147" s="162">
        <f ca="1">-ASIN(SIN(23.45*Control!$C$139)*COS(2*Control!$C$138*($AH147+10)/365))</f>
        <v>0.35515137762470861</v>
      </c>
      <c r="HE147" s="165">
        <f t="shared" ca="1" si="639"/>
        <v>0</v>
      </c>
      <c r="HF147" s="166">
        <f ca="1">IF(AND(Control!$C$61="T",$HE147&gt;=Control!$C$103,Control!$C$114=0),$AH147,Control!$C$59)</f>
        <v>1</v>
      </c>
      <c r="HG147" s="166">
        <f ca="1">IF(AND(Control!$C$61="T",$HE147&gt;=Control!$C$103,Control!$C$114=0),$HF147,Control!$C$59)</f>
        <v>1</v>
      </c>
      <c r="HH147" s="165">
        <f ca="1">IF(AND(OR(Control!$C$60&lt;=0, $AH147= Control!$C$59, Control!$C$60 &gt;0, $AH147 = Control!$C$60)), Control!$C$59, IF(Control!$C$60&gt;0, 0))</f>
        <v>1</v>
      </c>
      <c r="HI147" s="165">
        <f ca="1">IF(AND(OR(Control!$C$60&lt;=0, $AH147= Control!$C$59, Control!$C$60 &gt;0, $AH147 = Control!$C$60)), Control!$C$60, IF(Control!$C$60&lt;=0, 0))</f>
        <v>0</v>
      </c>
      <c r="HJ147" s="166">
        <f ca="1">IF(AND(Control!$C$62="F",$CV147&gt;=Control!$C$102),$AH147,0)</f>
        <v>0</v>
      </c>
      <c r="HK147" s="165" t="e">
        <f t="shared" ca="1" si="676"/>
        <v>#N/A</v>
      </c>
      <c r="HL147" s="166">
        <f ca="1">IF(AND(Control!$C$61="T",$HE147&gt;=Control!$C$103,Control!$C$114=0),$HF147,0)</f>
        <v>0</v>
      </c>
      <c r="HM147" s="201" t="e">
        <f t="shared" ca="1" si="521"/>
        <v>#DIV/0!</v>
      </c>
      <c r="HN147" s="215">
        <f t="shared" ca="1" si="640"/>
        <v>143</v>
      </c>
      <c r="HO147" s="216" t="e">
        <f ca="1">IF(AND($CP147&gt;=0, $CP147&lt;=90), Control!$C$152, Control!$C$152)</f>
        <v>#N/A</v>
      </c>
      <c r="HP147" s="216" t="e">
        <f t="shared" ca="1" si="522"/>
        <v>#N/A</v>
      </c>
      <c r="HQ147" s="217" t="e">
        <f ca="1">IF(OR(Control!$B$26=1,Control!$B$26=2),$KV147,$KS147)</f>
        <v>#DIV/0!</v>
      </c>
      <c r="HR147" s="218" t="e">
        <f t="shared" ca="1" si="677"/>
        <v>#DIV/0!</v>
      </c>
      <c r="HS147" s="216" t="e">
        <f ca="1">Control!$C$154*$HP147</f>
        <v>#N/A</v>
      </c>
      <c r="HT147" s="216" t="e">
        <f ca="1">Control!$C$155*$HP147</f>
        <v>#N/A</v>
      </c>
      <c r="HU147" s="217" t="e">
        <f ca="1">Control!$C$161*$FI147</f>
        <v>#N/A</v>
      </c>
      <c r="HV147" s="218" t="e">
        <f t="shared" ca="1" si="641"/>
        <v>#N/A</v>
      </c>
      <c r="HW147" s="218" t="e">
        <f ca="1">Control!$C$160*$FF147+$IP147*$EO147</f>
        <v>#N/A</v>
      </c>
      <c r="HX147" s="218" t="e">
        <f t="shared" ca="1" si="678"/>
        <v>#N/A</v>
      </c>
      <c r="HY147" s="219" t="e">
        <f ca="1">IF(Control!$C$114=1, $EB147*$FS147, 0)</f>
        <v>#N/A</v>
      </c>
      <c r="HZ147" s="91" t="e">
        <f t="shared" ca="1" si="523"/>
        <v>#N/A</v>
      </c>
      <c r="IA147" s="220" t="e">
        <f ca="1">Control!$C$153*$HO147</f>
        <v>#N/A</v>
      </c>
      <c r="IB147" s="218" t="e">
        <f t="shared" ca="1" si="524"/>
        <v>#N/A</v>
      </c>
      <c r="IC147" s="220" t="e">
        <f ca="1">Control!$C$153*$HT147</f>
        <v>#N/A</v>
      </c>
      <c r="ID147" s="218" t="e">
        <f t="shared" ca="1" si="525"/>
        <v>#N/A</v>
      </c>
      <c r="IE147" s="221" t="e">
        <f ca="1">($EB147*Control!$C$159+$EF147*Control!$C$160)/(IF($GZ147&lt;&gt;0,$GZ147,1))</f>
        <v>#N/A</v>
      </c>
      <c r="IF147" s="216" t="e">
        <f t="shared" ca="1" si="526"/>
        <v>#N/A</v>
      </c>
      <c r="IG147" s="91">
        <f ca="1">IF(OR(Control!$B$198=$AH147,Control!$B$199=$AH147, Control!$B$200=$AH147, Control!$B$201=$AH147, Control!$B$202=$AH147, Control!$B$203=$AH147, Control!$B$204=$AH147, Control!$B$205=$AH147, Control!$B$206=$AH147, Control!$B$207=$AH147), 1, 0)</f>
        <v>0</v>
      </c>
      <c r="IH147" s="91">
        <f ca="1">IF($IG147=0,0, VLOOKUP($AH147,Control!$B$198:$C$207,2))</f>
        <v>0</v>
      </c>
      <c r="II147" s="222">
        <f t="shared" ca="1" si="642"/>
        <v>0</v>
      </c>
      <c r="IJ147" s="91">
        <f>Control!$C$121</f>
        <v>0.7</v>
      </c>
      <c r="IK147" s="218">
        <f t="shared" ca="1" si="527"/>
        <v>0</v>
      </c>
      <c r="IL147" s="217" t="e">
        <f t="shared" ca="1" si="679"/>
        <v>#N/A</v>
      </c>
      <c r="IM147" s="223" t="e">
        <f ca="1">IF(AND(Control!$C$114=1,$KH147&lt;1),$EB147*Control!$C$148*(1-$KH147), 0)</f>
        <v>#N/A</v>
      </c>
      <c r="IN147" s="217" t="e">
        <f t="shared" ca="1" si="528"/>
        <v>#DIV/0!</v>
      </c>
      <c r="IO147" s="91" t="e">
        <f ca="1">MAX(0,$IL147-$EF147*Control!$C$160)</f>
        <v>#N/A</v>
      </c>
      <c r="IP147" s="220" t="e">
        <f t="shared" ca="1" si="529"/>
        <v>#N/A</v>
      </c>
      <c r="IQ147" s="217" t="e">
        <f t="shared" ca="1" si="643"/>
        <v>#N/A</v>
      </c>
      <c r="IR147" s="218" t="e">
        <f t="shared" ca="1" si="530"/>
        <v>#N/A</v>
      </c>
      <c r="IS147" s="217" t="e">
        <f ca="1">Control!$C$159*MAX(0,$FD147-$EN147)</f>
        <v>#N/A</v>
      </c>
      <c r="IT147" s="217" t="e">
        <f t="shared" ca="1" si="680"/>
        <v>#N/A</v>
      </c>
      <c r="IU147" s="217" t="e">
        <f t="shared" ca="1" si="644"/>
        <v>#N/A</v>
      </c>
      <c r="IV147" s="217" t="e">
        <f t="shared" ca="1" si="681"/>
        <v>#N/A</v>
      </c>
      <c r="IW147" s="217" t="e">
        <f ca="1">IF(OR($AW147=1,AND($AW147=0, Control!$B$18=1,$EN147&lt;&gt;0)), $IQ147-$IU147, $IQ147)</f>
        <v>#N/A</v>
      </c>
      <c r="IX147" s="218" t="e">
        <f t="shared" ca="1" si="531"/>
        <v>#N/A</v>
      </c>
      <c r="IY147" s="218" t="e">
        <f ca="1">MAX(0,$IQ147-$EB147*Control!$C$159)</f>
        <v>#N/A</v>
      </c>
      <c r="IZ147" s="218" t="e">
        <f t="shared" ca="1" si="532"/>
        <v>#N/A</v>
      </c>
      <c r="JA147" s="216" t="e">
        <f t="shared" ca="1" si="533"/>
        <v>#N/A</v>
      </c>
      <c r="JB147" s="217" t="e">
        <f t="shared" ca="1" si="534"/>
        <v>#N/A</v>
      </c>
      <c r="JC147" s="222" t="e">
        <f ca="1">MAX(Control!$C$157*$EK147-$JT147, 0)/Control!$C$162</f>
        <v>#N/A</v>
      </c>
      <c r="JD147" s="218" t="e">
        <f t="shared" ca="1" si="535"/>
        <v>#N/A</v>
      </c>
      <c r="JE147" s="218" t="e">
        <f t="shared" ca="1" si="536"/>
        <v>#N/A</v>
      </c>
      <c r="JF147" s="218" t="e">
        <f t="shared" ca="1" si="645"/>
        <v>#N/A</v>
      </c>
      <c r="JG147" s="218" t="e">
        <f t="shared" ca="1" si="537"/>
        <v>#N/A</v>
      </c>
      <c r="JH147" s="217" t="e">
        <f t="shared" ca="1" si="646"/>
        <v>#N/A</v>
      </c>
      <c r="JI147" s="217" t="e">
        <f t="shared" ca="1" si="647"/>
        <v>#N/A</v>
      </c>
      <c r="JJ147" s="217" t="e">
        <f t="shared" ca="1" si="682"/>
        <v>#N/A</v>
      </c>
      <c r="JK147" s="217" t="e">
        <f ca="1">IF(Control!$C$114=1,IF(Control!$B$24=0,MAX(0,$JI147)*$GN147/Control!$C$64,(MAX(0,MIN($JI147,$JJ147*$GN147/Control!$C$64),0))))</f>
        <v>#N/A</v>
      </c>
      <c r="JL147" s="217" t="e">
        <f ca="1">$IK147/Control!$C$64-$JK147+$HQ147</f>
        <v>#N/A</v>
      </c>
      <c r="JM147" s="217" t="e">
        <f ca="1">IF(Control!$C$114=1,($JB147/(IF($JI147&lt;&gt;0,$JI147,1)))*$JK147,0)</f>
        <v>#N/A</v>
      </c>
      <c r="JN147" s="217" t="e">
        <f ca="1">IF(Control!$C$114=1,($JG147/(IF($JI147&lt;&gt;0,$JI147,1)))*$JK147, 0)</f>
        <v>#N/A</v>
      </c>
      <c r="JO147" s="218" t="e">
        <f t="shared" ca="1" si="538"/>
        <v>#N/A</v>
      </c>
      <c r="JP147" s="218" t="e">
        <f ca="1">MIN(($IY147+$IO147)*Control!$C$151, $JF147-$EH147*Control!$C$161)</f>
        <v>#N/A</v>
      </c>
      <c r="JQ147" s="218" t="e">
        <f t="shared" ca="1" si="539"/>
        <v>#N/A</v>
      </c>
      <c r="JR147" s="217" t="e">
        <f ca="1">IF($CP147-Control!$C$150&lt;0, 0, $JQ147/Control!$C$162)</f>
        <v>#N/A</v>
      </c>
      <c r="JS147" s="218" t="e">
        <f t="shared" ca="1" si="540"/>
        <v>#N/A</v>
      </c>
      <c r="JT147" s="218" t="e">
        <f t="shared" ca="1" si="648"/>
        <v>#N/A</v>
      </c>
      <c r="JU147" s="218" t="e">
        <f t="shared" ca="1" si="541"/>
        <v>#N/A</v>
      </c>
      <c r="JV147" s="218" t="e">
        <f t="shared" ca="1" si="542"/>
        <v>#N/A</v>
      </c>
      <c r="JW147" s="216" t="e">
        <f t="shared" ca="1" si="543"/>
        <v>#N/A</v>
      </c>
      <c r="JX147" s="91" t="e">
        <f t="shared" ca="1" si="544"/>
        <v>#N/A</v>
      </c>
      <c r="JY147" s="218" t="e">
        <f t="shared" ca="1" si="545"/>
        <v>#N/A</v>
      </c>
      <c r="JZ147" s="217" t="e">
        <f ca="1">IF(Control!$C$114=1,($IZ147/(IF($JI147&lt;&gt;0,$JI147,1)))*$JK147, 0)</f>
        <v>#N/A</v>
      </c>
      <c r="KA147" s="218" t="e">
        <f t="shared" ca="1" si="683"/>
        <v>#N/A</v>
      </c>
      <c r="KB147" s="218" t="e">
        <f t="shared" ca="1" si="649"/>
        <v>#N/A</v>
      </c>
      <c r="KC147" s="218" t="e">
        <f t="shared" ca="1" si="546"/>
        <v>#N/A</v>
      </c>
      <c r="KD147" s="218" t="e">
        <f t="shared" ca="1" si="547"/>
        <v>#N/A</v>
      </c>
      <c r="KE147" s="218" t="e">
        <f t="shared" ca="1" si="548"/>
        <v>#N/A</v>
      </c>
      <c r="KF147" s="218" t="e">
        <f t="shared" ca="1" si="549"/>
        <v>#N/A</v>
      </c>
      <c r="KG147" s="216" t="e">
        <f t="shared" ca="1" si="550"/>
        <v>#N/A</v>
      </c>
      <c r="KH147" s="221" t="e">
        <f ca="1">IF(Control!$B$24=0,1,MAX(0.001,MIN(1,IF(($IF147-$IE147)&lt;&gt;0,($KG147-$IE147)/($IF147-$IE147),1))))</f>
        <v>#N/A</v>
      </c>
      <c r="KI147" s="222" t="e">
        <f ca="1">IF(Control!$C$114=1, $KI146+ $KH146, 0)</f>
        <v>#N/A</v>
      </c>
      <c r="KJ147" s="217" t="e">
        <f t="shared" ca="1" si="551"/>
        <v>#N/A</v>
      </c>
      <c r="KK147" s="218" t="e">
        <f t="shared" ca="1" si="552"/>
        <v>#N/A</v>
      </c>
      <c r="KL147" s="274" t="e">
        <f ca="1">IF(Control!$B$26=3,4000000000*EXP(-8400/($G147+273)),IF(Control!$B$26=4,4000000000*EXP(-8400/($G147+273))*($KT147),0))</f>
        <v>#DIV/0!</v>
      </c>
      <c r="KM147" s="274" t="e">
        <f ca="1">IF(Control!$B$26=3,5600000000000*EXP(-9800/($G147+273)),IF(Control!$B$26=4,5600000000000*EXP(-9800/($G147+273))*$KT147,0))</f>
        <v>#DIV/0!</v>
      </c>
      <c r="KN147" s="454" t="e">
        <f t="shared" ca="1" si="650"/>
        <v>#DIV/0!</v>
      </c>
      <c r="KO147" s="274" t="e">
        <f t="shared" ca="1" si="651"/>
        <v>#DIV/0!</v>
      </c>
      <c r="KP147" s="454" t="e">
        <f t="shared" ca="1" si="553"/>
        <v>#DIV/0!</v>
      </c>
      <c r="KQ147" s="454" t="e">
        <f t="shared" ca="1" si="554"/>
        <v>#DIV/0!</v>
      </c>
      <c r="KR147" s="454" t="e">
        <f t="shared" ca="1" si="555"/>
        <v>#DIV/0!</v>
      </c>
      <c r="KS147" s="454" t="e">
        <f t="shared" ca="1" si="556"/>
        <v>#DIV/0!</v>
      </c>
      <c r="KT147" s="455" t="e">
        <f t="shared" ca="1" si="557"/>
        <v>#DIV/0!</v>
      </c>
      <c r="KU147" s="456" t="e">
        <f ca="1">IF($CP147-Control!$C$149&lt;0, IF($NT147-0.01&lt;0,0,1),0)</f>
        <v>#N/A</v>
      </c>
      <c r="KV147" s="456" t="e">
        <f ca="1">IF(Control!$C$114=1,MAX(0,MIN(Control!$C$125*$KW147*$GN147,$KW147)))</f>
        <v>#DIV/0!</v>
      </c>
      <c r="KW147" s="456" t="e">
        <f t="shared" ca="1" si="684"/>
        <v>#DIV/0!</v>
      </c>
      <c r="KX147" s="457" t="e">
        <f ca="1">IF($CP147-Control!$C$149&lt;0, IF($MR147-$OM147&lt;0,0,1),0)</f>
        <v>#N/A</v>
      </c>
      <c r="KY147" s="167">
        <f t="shared" ca="1" si="652"/>
        <v>143</v>
      </c>
      <c r="KZ147" s="168">
        <f ca="1">1370*(1+0.033*COS(2*Control!$C$138*$AH147/365))</f>
        <v>1334.8446693533542</v>
      </c>
      <c r="LA147" s="169">
        <f t="shared" ca="1" si="653"/>
        <v>0.97433929414987031</v>
      </c>
      <c r="LB147" s="169">
        <f t="shared" ca="1" si="654"/>
        <v>0.35909490835530428</v>
      </c>
      <c r="LC147" s="169">
        <f ca="1">ACOS(-TAN((2*Control!$B$8/360))*TAN(Calculations!$LB147))</f>
        <v>1.6825901487030963</v>
      </c>
      <c r="LD147" s="169">
        <f ca="1">((24*60)/PI())*0.082*$LA147*(($LC147*SIN(Control!$B$8*2*PI()/360))*SIN($LB147)+COS(Control!$B$8*2*PI()/360)*COS($LB147)*SIN($LC147))</f>
        <v>38.040645988375218</v>
      </c>
      <c r="LE147" s="170">
        <f t="shared" ca="1" si="558"/>
        <v>39.245940277664531</v>
      </c>
      <c r="LF147" s="170">
        <f ca="1">SIN(Control!$C$139*Control!$B$8)*SIN($HD147)</f>
        <v>0.27401724608976674</v>
      </c>
      <c r="LG147" s="170">
        <f ca="1">COS(Control!$C$139*Control!$B$8)*COS($HD147)</f>
        <v>0.57723885149187582</v>
      </c>
      <c r="LH147" s="170">
        <f ca="1">12*(1+2*ASIN(MAX(-1,MIN(1,$LF147/$LG147))/Control!$C$138))</f>
        <v>15.640401966007881</v>
      </c>
      <c r="LI147" s="170">
        <f ca="1">12*(1+2*ASIN(MAX(-1,MIN(1,(-SIN(-4*Control!$C$139)+$LF147)/$LG147))/Control!$C$138))</f>
        <v>16.577346631209217</v>
      </c>
      <c r="LJ147" s="168">
        <f ca="1">3600*($LH147*$LF147+24*$LG147*SQRT(1-$LK147*$LK147)/Control!$C$138)</f>
        <v>29401.128969317939</v>
      </c>
      <c r="LK147" s="170">
        <f t="shared" ca="1" si="559"/>
        <v>0.47470340116845605</v>
      </c>
      <c r="LL147" s="170">
        <f t="shared" ca="1" si="560"/>
        <v>0</v>
      </c>
      <c r="LM147" s="171">
        <f ca="1">Control!$C$145*$AB147</f>
        <v>6.6660906138995932E-2</v>
      </c>
      <c r="LN147" s="170">
        <f t="shared" ca="1" si="655"/>
        <v>0.54</v>
      </c>
      <c r="LO147" s="170">
        <f t="shared" ca="1" si="561"/>
        <v>0</v>
      </c>
      <c r="LP147" s="170">
        <f ca="1">Control!$C$140*((($D147+273.16)^4+($E147+273.16)^4)/2)*(0.34-0.14*SQRT($Y147))*(1.35*$AQ147/(0.75*$LD147)-0.35)</f>
        <v>-3.2464704755046001</v>
      </c>
      <c r="LQ147" s="170">
        <f ca="1">Control!$C$140*($G147+273)^4*(0.56-0.079*SQRT($Y147*10))*(0.1+0.9*$LO147)</f>
        <v>1.5241745131704001</v>
      </c>
      <c r="LR147" s="170">
        <f ca="1">$AQ147*(1-Control!$C$142)-$LQ147</f>
        <v>-1.5241745131704001</v>
      </c>
      <c r="LS147" s="170">
        <f ca="1">$AQ147*(1-Control!$C$143)-$LQ147</f>
        <v>-1.5241745131704001</v>
      </c>
      <c r="LT147" s="170">
        <f ca="1">$AQ147*(1-Control!$C$144)-$LQ147</f>
        <v>-1.5241745131704001</v>
      </c>
      <c r="LU147" s="169">
        <f ca="1">(1-Control!$C$144)*AQ147-LP147</f>
        <v>3.2464704755046001</v>
      </c>
      <c r="LV147" s="172">
        <f t="shared" ca="1" si="562"/>
        <v>0.79430000000000012</v>
      </c>
      <c r="LW147" s="170">
        <f t="shared" ca="1" si="563"/>
        <v>1.5886000000000002</v>
      </c>
      <c r="LX147" s="170">
        <f ca="1">($AC147*($LR147/Control!$C$141)+$LM147*$LV147)/($AC147+$LM147)</f>
        <v>0.23530094218323697</v>
      </c>
      <c r="LY147" s="170">
        <f ca="1">($AC147*($LS147/Control!$C$141)+$LM147*$LV147)/($AC147+$LM147)</f>
        <v>0.23530094218323697</v>
      </c>
      <c r="LZ147" s="170">
        <f t="shared" ca="1" si="564"/>
        <v>0.23530094218323697</v>
      </c>
      <c r="MA147" s="170">
        <f t="shared" ca="1" si="565"/>
        <v>0.23530094218323697</v>
      </c>
      <c r="MB147" s="170" t="e">
        <f t="shared" ca="1" si="566"/>
        <v>#N/A</v>
      </c>
      <c r="MC147" s="170">
        <f t="shared" ca="1" si="656"/>
        <v>0.6018</v>
      </c>
      <c r="MD147" s="170">
        <f t="shared" ca="1" si="567"/>
        <v>0.52989392535414004</v>
      </c>
      <c r="ME147" s="170">
        <f ca="1">($AC147*($LT147/Control!$C$141)+$LM147*$LW147)/($AC147+$LM147)</f>
        <v>0.71612369323045078</v>
      </c>
      <c r="MF147" s="170" t="e">
        <f ca="1">IF(Control!$B$16&gt;=1000,0.92,IF(AND(720&lt;=Control!$B$16,1000&gt;Control!$B$16),(0.95+(Control!$B$16-720)*((0.92-0.95)/(1000-720))),IF(AND(360&lt;=Control!$B$16,720&gt;Control!$B$16),(1+(Control!$B$16-360)*((0.95-1)/(720-360))),IF(AND(40&lt;=Control!$B$16,360&gt;Control!$B$16),(1.05+(Control!$B$16-40)*((1.05-1)/(360-40)))))))</f>
        <v>#N/A</v>
      </c>
      <c r="MG147" s="170">
        <f t="shared" ca="1" si="568"/>
        <v>0.71612369323045078</v>
      </c>
      <c r="MH147" s="170" t="e">
        <f t="shared" ca="1" si="693"/>
        <v>#N/A</v>
      </c>
      <c r="MI147" s="170" t="e">
        <f t="shared" ca="1" si="693"/>
        <v>#N/A</v>
      </c>
      <c r="MJ147" s="170" t="e">
        <f ca="1">MAX(0.0001, Control!$C$132*$MI147*$DL147)</f>
        <v>#N/A</v>
      </c>
      <c r="MK147" s="170">
        <f ca="1">1/(0.76+1.5*($MG147/10))-(5-Control!$C$110)*0.1</f>
        <v>1.002845988140797</v>
      </c>
      <c r="ML147" s="173">
        <f ca="1">IF(Control!$C$110&lt;3,$MK147+($MG147-0.6)/(Control!$C$110*(Control!$C$110+3)), MAX(0.1, MIN(0.95,$MK147)))</f>
        <v>0.95</v>
      </c>
      <c r="MM147" s="173">
        <f ca="1">IF(Control!$C$110&lt;3,$MK147+(($MI147/10)-0.6)/(Control!$C$110*(Control!$C$110+3)), MAX(0.1, MIN(0.95,$MK147)))</f>
        <v>0.95</v>
      </c>
      <c r="MN147" s="173">
        <f ca="1">(1-$MM147)*(Control!$C$128-Control!$C$127)+Control!$C$127</f>
        <v>0.16</v>
      </c>
      <c r="MO147" s="170" t="e">
        <f ca="1">MAX(0,MIN(1,($MS147-Control!$C$127)/($MN147-Control!$C$127)))</f>
        <v>#DIV/0!</v>
      </c>
      <c r="MP147" s="173" t="e">
        <f ca="1">1/(0.76+1.5*$MI147)-(5-Control!$C$110)*0.1</f>
        <v>#N/A</v>
      </c>
      <c r="MQ147" s="172" t="e">
        <f t="shared" ca="1" si="685"/>
        <v>#DIV/0!</v>
      </c>
      <c r="MR147" s="168" t="e">
        <f t="shared" ca="1" si="657"/>
        <v>#DIV/0!</v>
      </c>
      <c r="MS147" s="173" t="e">
        <f ca="1">MAX(Control!$C$127, MIN(Control!$C$135, $MR147/MAX(0.0001,$CY147)))</f>
        <v>#DIV/0!</v>
      </c>
      <c r="MT147" s="168" t="e">
        <f ca="1">(Control!$C$128-$MS147)*Control!$C$74</f>
        <v>#DIV/0!</v>
      </c>
      <c r="MU147" s="168" t="e">
        <f ca="1">(Control!$C$135-$MS147)*Control!$C$74</f>
        <v>#DIV/0!</v>
      </c>
      <c r="MV147" s="168" t="e">
        <f t="shared" ca="1" si="658"/>
        <v>#DIV/0!</v>
      </c>
      <c r="MW147" s="168" t="e">
        <f t="shared" ca="1" si="659"/>
        <v>#DIV/0!</v>
      </c>
      <c r="MX147" s="171" t="e">
        <f ca="1">MAX(Control!$C$127, MIN(Control!$C$135, $MW147/MAX(0.0001,Control!$C$119-$CY147)))</f>
        <v>#DIV/0!</v>
      </c>
      <c r="MY147" s="54" t="e">
        <f ca="1">IF(Control!$C$114=1, $CX147*$MX147, 0)</f>
        <v>#DIV/0!</v>
      </c>
      <c r="MZ147" s="54" t="e">
        <f t="shared" ca="1" si="660"/>
        <v>#N/A</v>
      </c>
      <c r="NA147" s="168" t="e">
        <f ca="1">(Control!$C$128-$MX147)*(Control!$C$119-Control!$C$74)</f>
        <v>#DIV/0!</v>
      </c>
      <c r="NB147" s="168" t="e">
        <f ca="1">(Control!$C$135-$MX147)*(Control!$C$119-Control!$C$74)</f>
        <v>#DIV/0!</v>
      </c>
      <c r="NC147" s="174" t="e">
        <f t="shared" ca="1" si="661"/>
        <v>#DIV/0!</v>
      </c>
      <c r="ND147" s="54">
        <f ca="1">IF(Control!$C$58=2, IF(OR(Control!$B$218=$AH147,Control!$B$219=$AH147, Control!$B$220=$AH147, Control!$B$221=$AH147, Control!$B$222=$AH147, Control!$B$223=$AH147, Control!$B$224=$AH147, Control!$B$225=$AH147, Control!$B$226=$AH147, Control!$B$227=$AH147, Control!$B$228=$AH147), 1, 0), 0)</f>
        <v>0</v>
      </c>
      <c r="NE147" s="54">
        <f ca="1">IF($ND147=0,0, VLOOKUP($AH147,Control!$B$218:$C$228,2))</f>
        <v>0</v>
      </c>
      <c r="NF147" s="168" t="e">
        <f ca="1">$CY147*(Control!$C$128-Control!$C$127)</f>
        <v>#N/A</v>
      </c>
      <c r="NG147" s="54" t="e">
        <f ca="1">IF(Control!$C$58=2, $NI146-$NJ146, 0)</f>
        <v>#DIV/0!</v>
      </c>
      <c r="NH147" s="54" t="e">
        <f ca="1">IF(AND(Control!$C$58=1, $MS146&lt;= ($MN146+0.02), $I146&lt;10), 0, IF(Control!$C$58=2, $NG146, 0))</f>
        <v>#DIV/0!</v>
      </c>
      <c r="NI147" s="54" t="e">
        <f ca="1">IF(Control!$C$58=2, $NE147+$NH147,0)</f>
        <v>#DIV/0!</v>
      </c>
      <c r="NJ147" s="54" t="e">
        <f ca="1">IF(AND(Control!$C$58=1, $MS147&lt;= ($MN147+0.02), $I147&lt;10), MAX(0, MIN(10, 0.7*($NF147-$MV147))), IF(Control!$C$58=2, MIN(10,$NI147),0))</f>
        <v>#DIV/0!</v>
      </c>
      <c r="NK147" s="54" t="e">
        <f t="shared" ca="1" si="569"/>
        <v>#DIV/0!</v>
      </c>
      <c r="NL147" s="173" t="e">
        <f ca="1">(1-Control!$C$73)*$I147+$NJ147</f>
        <v>#DIV/0!</v>
      </c>
      <c r="NM147" s="172" t="e">
        <f ca="1">IF($NL147&lt;0.5, $MB147* MAX(0, MIN(1, (SQRT($NC147)-SQRT($NC147-1))*Control!$C$71)),0)</f>
        <v>#DIV/0!</v>
      </c>
      <c r="NN147" s="170" t="e">
        <f ca="1">IF($NL147&gt;=5, $MB147, MAX(0,MIN($MB147, $NM147+$NL147,($MS147-Control!$C$129))))</f>
        <v>#DIV/0!</v>
      </c>
      <c r="NO147" s="54">
        <f>IF(Control!$C$133&lt;&gt;1, Control!$C$135-Control!$C$131, 0)</f>
        <v>0.38</v>
      </c>
      <c r="NP147" s="54" t="e">
        <f t="shared" ca="1" si="570"/>
        <v>#DIV/0!</v>
      </c>
      <c r="NQ147" s="173" t="e">
        <f ca="1">MAX(0,MIN(1,(Control!$C$135-$MS147)/(Control!$C$135-$NO147)))</f>
        <v>#DIV/0!</v>
      </c>
      <c r="NR147" s="170" t="e">
        <f ca="1">IF(Control!$C$133&lt;&gt;1, $NQ147+((1-$NP147/4)*(1-$NQ147)),1)</f>
        <v>#DIV/0!</v>
      </c>
      <c r="NS147" s="170" t="e">
        <f ca="1">IF(Control!$B$31=0,$MJ147,MAX(0,MIN($MV147,$MO147*$NR147*$MJ147)))</f>
        <v>#DIV/0!</v>
      </c>
      <c r="NT147" s="170" t="e">
        <f t="shared" ca="1" si="686"/>
        <v>#DIV/0!</v>
      </c>
      <c r="NU147" s="170" t="e">
        <f t="shared" ca="1" si="662"/>
        <v>#N/A</v>
      </c>
      <c r="NV147" s="170" t="e">
        <f t="shared" ca="1" si="571"/>
        <v>#N/A</v>
      </c>
      <c r="NW147" s="175" t="e">
        <f t="shared" ca="1" si="572"/>
        <v>#DIV/0!</v>
      </c>
      <c r="NX147" s="170" t="e">
        <f ca="1">MIN(Control!$C$72+$MU147, $NW147)</f>
        <v>#DIV/0!</v>
      </c>
      <c r="NY147" s="170" t="e">
        <f ca="1">IF($MT147&lt;=$NX147,MIN(Control!$C$72+$NB147,$NX147-$MT147),0)</f>
        <v>#DIV/0!</v>
      </c>
      <c r="NZ147" s="54" t="e">
        <f ca="1">IF(Control!$C$114=1,  $CX147*($MX147-Control!$C$127), 0)</f>
        <v>#DIV/0!</v>
      </c>
      <c r="OA147" s="170" t="e">
        <f t="shared" ca="1" si="573"/>
        <v>#DIV/0!</v>
      </c>
      <c r="OB147" s="170" t="e">
        <f ca="1">IF($NA147 &lt;=$NY147, MIN(Control!$C$72, $NY147-$NA147), 0)</f>
        <v>#DIV/0!</v>
      </c>
      <c r="OC147" s="168" t="e">
        <f t="shared" ca="1" si="574"/>
        <v>#DIV/0!</v>
      </c>
      <c r="OD147" s="168" t="e">
        <f t="shared" ca="1" si="663"/>
        <v>#DIV/0!</v>
      </c>
      <c r="OE147" s="170">
        <f ca="1">Control!$C$73*$I147</f>
        <v>0</v>
      </c>
      <c r="OF147" s="176" t="e">
        <f t="shared" ca="1" si="575"/>
        <v>#DIV/0!</v>
      </c>
      <c r="OG147" s="168" t="e">
        <f t="shared" ca="1" si="576"/>
        <v>#DIV/0!</v>
      </c>
      <c r="OH147" s="168" t="e">
        <f t="shared" ca="1" si="577"/>
        <v>#DIV/0!</v>
      </c>
      <c r="OI147" s="168" t="e">
        <f t="shared" ca="1" si="578"/>
        <v>#DIV/0!</v>
      </c>
      <c r="OJ147" s="168" t="e">
        <f t="shared" ca="1" si="579"/>
        <v>#DIV/0!</v>
      </c>
      <c r="OK147" s="204" t="e">
        <f t="shared" ca="1" si="580"/>
        <v>#DIV/0!</v>
      </c>
      <c r="OL147" s="177">
        <f>Control!$C$127</f>
        <v>0.15</v>
      </c>
      <c r="OM147" s="182" t="e">
        <f t="shared" ca="1" si="581"/>
        <v>#N/A</v>
      </c>
      <c r="ON147" s="177">
        <f>Control!$C$128</f>
        <v>0.35</v>
      </c>
      <c r="OO147" s="182" t="e">
        <f t="shared" ca="1" si="582"/>
        <v>#N/A</v>
      </c>
      <c r="OP147" s="138">
        <f t="shared" ca="1" si="664"/>
        <v>0</v>
      </c>
      <c r="OQ147" s="138" t="e">
        <f t="shared" ca="1" si="687"/>
        <v>#DIV/0!</v>
      </c>
      <c r="OR147" s="138" t="e">
        <f t="shared" ca="1" si="665"/>
        <v>#DIV/0!</v>
      </c>
      <c r="OS147" s="137" t="e">
        <f t="shared" ca="1" si="688"/>
        <v>#DIV/0!</v>
      </c>
      <c r="OT147" s="139" t="e">
        <f t="shared" ca="1" si="689"/>
        <v>#DIV/0!</v>
      </c>
      <c r="OU147" s="138" t="e">
        <f t="shared" ca="1" si="690"/>
        <v>#N/A</v>
      </c>
      <c r="OV147" s="138" t="e">
        <f t="shared" ca="1" si="691"/>
        <v>#DIV/0!</v>
      </c>
      <c r="OW147" s="138" t="e">
        <f t="shared" ca="1" si="666"/>
        <v>#DIV/0!</v>
      </c>
      <c r="OX147" s="138" t="e">
        <f t="shared" ca="1" si="667"/>
        <v>#DIV/0!</v>
      </c>
      <c r="OY147" s="138" t="e">
        <f t="shared" ca="1" si="668"/>
        <v>#DIV/0!</v>
      </c>
      <c r="OZ147" s="138" t="e">
        <f t="shared" ca="1" si="583"/>
        <v>#DIV/0!</v>
      </c>
      <c r="PA147" s="138" t="e">
        <f t="shared" ca="1" si="584"/>
        <v>#DIV/0!</v>
      </c>
      <c r="PB147" s="55">
        <f>IF(Control!$C$61="T", IF(Control!$C$65="F", IF($AH$6-Control!$C$60&lt;0,0,1), IF(365+$AH$6-Control!$C$60&lt;0,0,1)),0)</f>
        <v>0</v>
      </c>
      <c r="PC147" s="55">
        <f ca="1">IF(Control!$C$65="F", IF($AH$6-$HF147&lt;0,0,1), IF(365+$AH$6-$HF147&lt;0,0,1))</f>
        <v>1</v>
      </c>
      <c r="PD147" s="444">
        <f>Control!$C$118</f>
        <v>1500</v>
      </c>
      <c r="PE147" s="180" t="e">
        <f t="shared" ca="1" si="585"/>
        <v>#N/A</v>
      </c>
      <c r="PF147" s="445">
        <f t="shared" ca="1" si="669"/>
        <v>0.71612369323045078</v>
      </c>
      <c r="PT147" s="186"/>
      <c r="PU147" s="186"/>
      <c r="PV147" s="94"/>
      <c r="PW147" s="94"/>
      <c r="PX147" s="94"/>
      <c r="PY147" s="94"/>
      <c r="PZ147" s="94"/>
      <c r="QA147" s="94"/>
      <c r="QB147" s="94"/>
      <c r="QC147" s="94"/>
      <c r="QD147" s="94"/>
      <c r="QE147" s="94"/>
      <c r="QF147" s="94"/>
      <c r="QG147" s="94"/>
      <c r="QH147" s="94"/>
      <c r="QI147" s="94"/>
      <c r="QJ147" s="94"/>
      <c r="QK147" s="94"/>
      <c r="QL147" s="94"/>
      <c r="QM147" s="94"/>
      <c r="QN147" s="94"/>
      <c r="QO147" s="94"/>
      <c r="QP147" s="94"/>
    </row>
    <row r="148" spans="1:458" s="2" customFormat="1" x14ac:dyDescent="0.2">
      <c r="A148" s="395">
        <v>23</v>
      </c>
      <c r="B148" s="396">
        <v>5</v>
      </c>
      <c r="C148" s="387">
        <f ca="1">Weather_data!$B147</f>
        <v>0</v>
      </c>
      <c r="D148" s="388">
        <f ca="1">Weather_data!$F147</f>
        <v>0</v>
      </c>
      <c r="E148" s="388">
        <f ca="1">Weather_data!$E147</f>
        <v>0</v>
      </c>
      <c r="F148" s="388">
        <f t="shared" ca="1" si="586"/>
        <v>0</v>
      </c>
      <c r="G148" s="388">
        <f ca="1">AVERAGE($D148:$E148)+Control!$B$9</f>
        <v>0</v>
      </c>
      <c r="H148" s="388">
        <f ca="1">Weather_data!$G147</f>
        <v>0</v>
      </c>
      <c r="I148" s="388">
        <f ca="1">Weather_data!$I147</f>
        <v>0</v>
      </c>
      <c r="J148" s="388">
        <f ca="1">Weather_data!$H147</f>
        <v>0</v>
      </c>
      <c r="K148" s="389">
        <f ca="1">Weather_data!$D147</f>
        <v>0</v>
      </c>
      <c r="L148" s="388" t="e">
        <f t="shared" ca="1" si="587"/>
        <v>#N/A</v>
      </c>
      <c r="M148" s="388" t="e">
        <f t="shared" ca="1" si="465"/>
        <v>#N/A</v>
      </c>
      <c r="N148" s="388">
        <f t="shared" ca="1" si="466"/>
        <v>-1.5900337572586342E-7</v>
      </c>
      <c r="O148" s="388">
        <f t="shared" ca="1" si="588"/>
        <v>1.5900337572586343E-6</v>
      </c>
      <c r="P148" s="390">
        <v>3</v>
      </c>
      <c r="Q148" s="388">
        <f ca="1">MAX($G148-Control!$C$107,0)</f>
        <v>0</v>
      </c>
      <c r="R148" s="388">
        <f t="shared" ca="1" si="589"/>
        <v>0</v>
      </c>
      <c r="S148" s="388">
        <f t="shared" ca="1" si="467"/>
        <v>0</v>
      </c>
      <c r="T148" s="388">
        <f t="shared" ca="1" si="468"/>
        <v>0</v>
      </c>
      <c r="U148" s="59">
        <f t="shared" ca="1" si="469"/>
        <v>0</v>
      </c>
      <c r="V148" s="391">
        <f ca="1">MAX(0,MIN(Control!$C$100-Control!$C$99,$G148-Control!$C$99)*Control!$C$63)</f>
        <v>0</v>
      </c>
      <c r="W148" s="388">
        <f t="shared" ca="1" si="590"/>
        <v>0</v>
      </c>
      <c r="X148" s="388">
        <f t="shared" ca="1" si="591"/>
        <v>0.6110000000000001</v>
      </c>
      <c r="Y148" s="388">
        <f t="shared" ca="1" si="470"/>
        <v>0</v>
      </c>
      <c r="Z148" s="388">
        <f t="shared" ca="1" si="592"/>
        <v>0.61058800000000002</v>
      </c>
      <c r="AA148" s="388">
        <f t="shared" ca="1" si="471"/>
        <v>0.6018</v>
      </c>
      <c r="AB148" s="388">
        <f ca="1">101.3*EXP(-0.034*Control!$C$66/($G148+273))</f>
        <v>100.69623283836242</v>
      </c>
      <c r="AC148" s="392">
        <f t="shared" ca="1" si="472"/>
        <v>4.3460251046025113E-2</v>
      </c>
      <c r="AD148" s="392">
        <f t="shared" ca="1" si="473"/>
        <v>4.4450382862832649E-2</v>
      </c>
      <c r="AE148" s="388">
        <f t="shared" ca="1" si="474"/>
        <v>0</v>
      </c>
      <c r="AF148" s="388">
        <f ca="1">MAX(0,$G148-Control!$C$92)</f>
        <v>0</v>
      </c>
      <c r="AG148" s="393">
        <f t="shared" ca="1" si="475"/>
        <v>144</v>
      </c>
      <c r="AH148" s="389">
        <f t="shared" ca="1" si="476"/>
        <v>144</v>
      </c>
      <c r="AI148" s="388">
        <f t="shared" ca="1" si="593"/>
        <v>0.35865137672473207</v>
      </c>
      <c r="AJ148" s="388">
        <f ca="1">IF(Control!$C$60&lt;=0,$HH148,$HI148)</f>
        <v>1</v>
      </c>
      <c r="AK148" s="388">
        <f t="shared" ca="1" si="477"/>
        <v>1.1017092045465575</v>
      </c>
      <c r="AL148" s="388">
        <f t="shared" ca="1" si="478"/>
        <v>-1.4427348205003909E-18</v>
      </c>
      <c r="AM148" s="388">
        <f t="shared" ca="1" si="479"/>
        <v>1.1017092045465575</v>
      </c>
      <c r="AN148" s="388">
        <f t="shared" ca="1" si="480"/>
        <v>0.36273242148627755</v>
      </c>
      <c r="AO148" s="388">
        <f ca="1">-0.10453/COS(Control!$B$8*PI()/180)*COS(AN148)</f>
        <v>-0.1587370937526604</v>
      </c>
      <c r="AP148" s="388">
        <f ca="1">ACOS(AO148-TAN(Control!$B$8*PI()/180)*TAN(AN148))</f>
        <v>2.2711756128364291</v>
      </c>
      <c r="AQ148" s="388">
        <f t="shared" ca="1" si="594"/>
        <v>0</v>
      </c>
      <c r="AR148" s="394">
        <f t="shared" ca="1" si="481"/>
        <v>0</v>
      </c>
      <c r="AS148" s="436">
        <f ca="1">IF(Control!$B$18=2,(IF(OR($AH148=Control!$B$175,$AH148=Control!$B$176,$AH148=Control!$B$177,$AH148=Control!$B$178,$AH148=Control!$B$179,$AH148=Control!$B$180,$AH148=Control!$B$181,$AH148=Control!$B$182,$AH148=Control!$B$183,$AH148=Control!$B$184,$AH148=Control!$B$185),1,0)),0)</f>
        <v>0</v>
      </c>
      <c r="AT148" s="436">
        <f>IF(Control!$B$20=8,IF(AND($AH148&gt;=Control!$B$172,$AH148&lt;=Control!$B$173),1,0),0)</f>
        <v>0</v>
      </c>
      <c r="AU148" s="436">
        <f>IF(Control!$B$20=8,IF($AV147=1,1*$AT148,IF($AT148=1,$AU147+1,$AU147)),0)</f>
        <v>0</v>
      </c>
      <c r="AV148" s="436">
        <f>IF(Control!$B$20=8,IF($AU148&gt;=Control!$B$174,1,0),0)</f>
        <v>0</v>
      </c>
      <c r="AW148" s="436">
        <f ca="1">IF(AND(Control!$B$18=2,Control!$B$171=1), $AV148, $AS148)</f>
        <v>0</v>
      </c>
      <c r="AX148" s="436" t="e">
        <f ca="1">IF(AND(Control!$B$18=1,$EU148&gt;=Control!$B$19),-$AY148,IF(AND(Control!$B$18=2,$AW148=1,$EU148&gt;$DS148),-$AY148, IF(Control!$C$108=0,0, IF(Control!$C$108&lt;&gt;0,1))))</f>
        <v>#N/A</v>
      </c>
      <c r="AY148" s="436" t="e">
        <f t="shared" ca="1" si="595"/>
        <v>#N/A</v>
      </c>
      <c r="AZ148" s="436" t="e">
        <f ca="1">IF(AND(Control!$B$18=1,$EB148&gt;Control!$B$19),$AZ147+1, IF(AND(Control!$B$18=2, $AW148=1, $EB148&gt;$DS148), $AZ147+1,$AZ147))</f>
        <v>#N/A</v>
      </c>
      <c r="BA148" s="587">
        <f>IF(Control!$C$81=0,1,IF($AH148&gt;=Control!$C$82,1,0))</f>
        <v>1</v>
      </c>
      <c r="BB148" s="140" t="e">
        <f ca="1">IF($BA148&gt;$BA147,Control!$C$83,IF($AW148&gt;0,$AW148*Control!$C$84,IF(AND(Control!$B$18=1,EN147&lt;&gt;0),Control!$C$84,0)))</f>
        <v>#N/A</v>
      </c>
      <c r="BC148" s="140" t="e">
        <f t="shared" ca="1" si="596"/>
        <v>#N/A</v>
      </c>
      <c r="BD148" s="140" t="e">
        <f ca="1">BC148*IF(OR($G148&lt;Control!$C$92,$G148&gt;Control!$C$95),0,IF(AND($G148&gt;=Control!$C$92,$G148&lt;=Control!$C$93),$G148-Control!$C$92,IF(AND($G148&gt;Control!$C$93,$G148&lt;=Control!$C$94),Control!$C$93-Control!$C$92,IF(AND($G148&gt;Control!$C$94,$G148&lt;=Control!$C$95),(Control!$C$93-Control!$C$92)*(Control!$C$94-$G148)/(Control!$C$95-Control!$C$94)))))</f>
        <v>#N/A</v>
      </c>
      <c r="BE148" s="140" t="e">
        <f t="shared" ca="1" si="597"/>
        <v>#N/A</v>
      </c>
      <c r="BF148" s="140" t="e">
        <f ca="1">IF($BE148&lt;=Control!$C$86,$BE148,Control!$C$86-$BE148)</f>
        <v>#N/A</v>
      </c>
      <c r="BG148" s="140" t="e">
        <f ca="1">IF(AND($AW148=1,Control!$C$84&lt;9),1,IF($BE148&gt;=Control!$C$86,0,$BC148))</f>
        <v>#N/A</v>
      </c>
      <c r="BH148" s="404" t="e">
        <f ca="1">IF($BG148=0,0,IF($BE148&lt;=Control!$C$86,$BC148*9*($BF148/Control!$C$86),0))</f>
        <v>#N/A</v>
      </c>
      <c r="BI148" s="140" t="e">
        <f ca="1">IF($BG148=1,0,IF($BE148&gt;=Control!$C$86,1,IF(AND($BB148&lt;21,$BB148&gt;=9),1,$BM147)))</f>
        <v>#N/A</v>
      </c>
      <c r="BJ148" s="140" t="e">
        <f ca="1">IF($BF148&lt;0,-$BF148,$BI148*IF(OR($G148&lt;Control!$C$92,$G148&gt;Control!$C$95),0,IF(AND($G148&gt;=Control!$C$92,$G148&lt;=Control!$C$93),$G148-Control!$C$92,IF(AND($G148&gt;Control!$C$93,$G148&lt;=Control!$C$94),Control!$C$93-Control!$C$92,IF(AND($G148&gt;Control!$C$94,$G148&lt;=Control!$C$95),(Control!$C$93-Control!$C$92)*(Control!$C$94-$G148)/(Control!$C$95-Control!$C$94))))))</f>
        <v>#N/A</v>
      </c>
      <c r="BK148" s="140" t="e">
        <f t="shared" ca="1" si="598"/>
        <v>#N/A</v>
      </c>
      <c r="BL148" s="140" t="e">
        <f ca="1">IF($BK148&lt;=Control!$C$87,$BK148,Control!$C$87-$BK148)</f>
        <v>#N/A</v>
      </c>
      <c r="BM148" s="140" t="e">
        <f ca="1">IF(AND($BB148&gt;=9,$BB148&lt;21),1,IF($BK148&gt;=Control!$C$87,0,$BI148))</f>
        <v>#N/A</v>
      </c>
      <c r="BN148" s="404" t="e">
        <f ca="1">IF($BM148=0,0,IF($BK148&lt;=Control!$C$87,$BI148*(9+(21-9)*($BL148/Control!$C$87)),0))</f>
        <v>#N/A</v>
      </c>
      <c r="BO148" s="140" t="e">
        <f ca="1">IF($BM148=1,0,IF($BK148&gt;=Control!$C$87,1,IF(AND($BB148&lt;30,$BB148&gt;=21),1,$BS147)))</f>
        <v>#N/A</v>
      </c>
      <c r="BP148" s="140" t="e">
        <f ca="1">IF($BL148&lt;0,-$BL148,$BO148*IF(OR($G148&lt;Control!$C$92,$G148&gt;Control!$C$95),0,IF(AND($G148&gt;=Control!$C$92,$G148&lt;=Control!$C$93),$G148-Control!$C$92,IF(AND($G148&gt;Control!$C$93,$G148&lt;=Control!$C$94),Control!$C$93-Control!$C$92,IF(AND($G148&gt;Control!$C$94,$G148&lt;=Control!$C$95),(Control!$C$93-Control!$C$92)*(Control!$C$94-$G148)/(Control!$C$95-Control!$C$94))))))</f>
        <v>#N/A</v>
      </c>
      <c r="BQ148" s="140" t="e">
        <f t="shared" ca="1" si="482"/>
        <v>#N/A</v>
      </c>
      <c r="BR148" s="140" t="e">
        <f ca="1">IF($BQ148&lt;=Control!$C$88,$BQ148,Control!$C$88-$BQ148)</f>
        <v>#N/A</v>
      </c>
      <c r="BS148" s="140" t="e">
        <f ca="1">IF(AND($BB148&gt;=21,$BB148&lt;30),1,IF($BQ148&gt;=Control!$C$88,0,$BO148))</f>
        <v>#N/A</v>
      </c>
      <c r="BT148" s="404" t="e">
        <f ca="1">IF($BS148=0,0,IF($BQ148&lt;=Control!$C$88,$BO148*(21+(30-21)*(BR148/Control!$C$88)),0))</f>
        <v>#N/A</v>
      </c>
      <c r="BU148" s="140" t="e">
        <f ca="1">IF(BG148+BM148+BS148=1,0,IF(OR(AND($BB148&lt;60,$BB148&gt;=30),$BQ148&gt;=Control!$C$88),1*$BA148,$BY147))</f>
        <v>#N/A</v>
      </c>
      <c r="BV148" s="140" t="e">
        <f ca="1">IF($BR148&lt;0,-$BR148,$BU148*IF(OR($G148&lt;Control!$C$92,$G148&gt;Control!$C$95),0,IF(AND($G148&gt;=Control!$C$92,$G148&lt;=Control!$C$93),$G148-Control!$C$92,IF(AND($G148&gt;Control!$C$93,$G148&lt;=Control!$C$94),Control!$C$93-Control!$C$92,IF(AND($G148&gt;Control!$C$94,$G148&lt;=Control!$C$95),(Control!$C$93-Control!$C$92)*(Control!$C$94-$G148)/(Control!$C$95-Control!$C$94))))))</f>
        <v>#N/A</v>
      </c>
      <c r="BW148" s="140" t="e">
        <f t="shared" ca="1" si="483"/>
        <v>#N/A</v>
      </c>
      <c r="BX148" s="140" t="e">
        <f ca="1">IF($BW148&lt;=Control!$C$89,$BW148,Control!$C$89-$BW148)</f>
        <v>#N/A</v>
      </c>
      <c r="BY148" s="140" t="e">
        <f ca="1">IF(AND($AJ148&gt;=30,$AJ148&lt;60),1,IF($BW148&gt;=Control!$C$89,0,$BU148))</f>
        <v>#N/A</v>
      </c>
      <c r="BZ148" s="404" t="e">
        <f ca="1">IF($BY148=0,0,IF($BW148&lt;=Control!$C$89,$BU148*(30+(60-30)*(BX148/Control!$C$89)),0))</f>
        <v>#N/A</v>
      </c>
      <c r="CA148" s="140" t="e">
        <f ca="1">IF($BG148+$BM148+$BS148+$BY148=1,0,IF(OR(AND($BB148&lt;65,$BB148&gt;=60),$BW148&gt;=Control!$C$89),1*$BA148,$CE147))</f>
        <v>#N/A</v>
      </c>
      <c r="CB148" s="140" t="e">
        <f ca="1">IF($BX148&lt;0,-$BX148,$CA148*IF(OR($G148&lt;Control!$C$92,$G148&gt;Control!$C$95),0,IF(AND($G148&gt;=Control!$C$92,$G148&lt;=Control!$C$93),$G148-Control!$C$92,IF(AND($G148&gt;Control!$C$93,$G148&lt;=Control!$C$94),Control!$C$93-Control!$C$92,IF(AND($G148&gt;Control!$C$94,$G148&lt;=Control!$C$95),(Control!$C$93-Control!$C$92)*(Control!$C$94-$G148)/(Control!$C$95-Control!$C$94))))))</f>
        <v>#N/A</v>
      </c>
      <c r="CC148" s="140" t="e">
        <f t="shared" ca="1" si="599"/>
        <v>#N/A</v>
      </c>
      <c r="CD148" s="140" t="e">
        <f ca="1">IF($CC148&lt;=Control!$C$90,$CC148,Control!$C$90-$CC148)</f>
        <v>#N/A</v>
      </c>
      <c r="CE148" s="140" t="e">
        <f ca="1">IF(AND($BB148&gt;=60,$BB148&lt;65),1,IF($CC148&gt;=Control!$C$90,0,$CA148))</f>
        <v>#N/A</v>
      </c>
      <c r="CF148" s="404" t="e">
        <f ca="1">IF($CE148=0,0,IF($CC148&lt;=Control!$C$90,$CA148*(60+(65-60)*(CD148/Control!$C$90)),0))</f>
        <v>#N/A</v>
      </c>
      <c r="CG148" s="140" t="e">
        <f ca="1">IF($BG148+$BM148+$BS148+$BY148+$CE148=1,0,IF(OR(AND($BB148&lt;90,$BB148&gt;=65),$CC148&gt;=Control!$C$90),$BA148,$CK147))</f>
        <v>#N/A</v>
      </c>
      <c r="CH148" s="140" t="e">
        <f ca="1">IF($CD148&lt;0,-$CD148,$CG148*IF(OR($G148&lt;Control!$C$92,$G148&gt;Control!$C$95),0,IF(AND($G148&gt;=Control!$C$92,$G148&lt;=Control!$C$93),$G148-Control!$C$92,IF(AND($G148&gt;Control!$C$93,$G148&lt;=Control!$C$94),Control!$C$93-Control!$C$92,IF(AND($G148&gt;Control!$C$94,$G148&lt;=Control!$C$95),(Control!$C$93-Control!$C$92)*(Control!$C$94-$G148)/(Control!$C$95-Control!$C$94))))))</f>
        <v>#N/A</v>
      </c>
      <c r="CI148" s="140" t="e">
        <f t="shared" ca="1" si="600"/>
        <v>#N/A</v>
      </c>
      <c r="CJ148" s="140" t="e">
        <f ca="1">IF($CI148&lt;=Control!$C$91,$CI148,Control!$C$91-$CI148)</f>
        <v>#N/A</v>
      </c>
      <c r="CK148" s="140" t="e">
        <f ca="1">IF(AND($BB148&gt;=65,$BB148&lt;90),1,IF($CI148&gt;=Control!$C$91,0,$CG148))</f>
        <v>#N/A</v>
      </c>
      <c r="CL148" s="404" t="e">
        <f ca="1">IF($CK148=0,0,IF($CI148&lt;=Control!$C$91,$CG148*(65+(90-65)*($CJ148/Control!$C$91)),0))</f>
        <v>#N/A</v>
      </c>
      <c r="CM148" s="140" t="e">
        <f ca="1">IF($BG148+$BM148+$BS148+$BY148+$CE148+$CK148=1,0,IF(OR($BB148&gt;=90,$CI148&gt;=Control!$C$91),$BA148,$CM147))</f>
        <v>#N/A</v>
      </c>
      <c r="CN148" s="140" t="e">
        <f t="shared" ca="1" si="601"/>
        <v>#N/A</v>
      </c>
      <c r="CO148" s="140" t="e">
        <f t="shared" ca="1" si="602"/>
        <v>#N/A</v>
      </c>
      <c r="CP148" s="140" t="e">
        <f t="shared" ca="1" si="603"/>
        <v>#N/A</v>
      </c>
      <c r="CQ148" s="141" t="e">
        <f ca="1">VLOOKUP($CP148,Control!$B$86:$G$91,6)</f>
        <v>#N/A</v>
      </c>
      <c r="CR148" s="141" t="e">
        <f ca="1">(1-$CQ148)*VLOOKUP($CP148,Control!$B$86:$D$91,3)</f>
        <v>#N/A</v>
      </c>
      <c r="CS148" s="141" t="e">
        <f ca="1">(1-$CQ148)*VLOOKUP($CP148,Control!$B$86:$E$91,4)</f>
        <v>#N/A</v>
      </c>
      <c r="CT148" s="141" t="e">
        <f ca="1">(1-$CQ148)*VLOOKUP($CP148,Control!$B$86:$F$91,5)</f>
        <v>#N/A</v>
      </c>
      <c r="CU148" s="141">
        <f t="shared" ca="1" si="604"/>
        <v>0</v>
      </c>
      <c r="CV148" s="583">
        <f t="shared" ca="1" si="605"/>
        <v>0</v>
      </c>
      <c r="CW148" s="142">
        <f t="shared" ca="1" si="606"/>
        <v>144</v>
      </c>
      <c r="CX148" s="612" t="e">
        <f ca="1">IF(Control!$C$114=1,(MIN(Control!$C$120*(IF($NT148-0.01&lt;0,0,1)),Control!$C$119-$CY148)))</f>
        <v>#DIV/0!</v>
      </c>
      <c r="CY148" s="143" t="e">
        <f t="shared" ca="1" si="607"/>
        <v>#N/A</v>
      </c>
      <c r="CZ148" s="144">
        <f t="shared" ca="1" si="484"/>
        <v>0</v>
      </c>
      <c r="DA148" s="144">
        <f t="shared" ca="1" si="485"/>
        <v>0</v>
      </c>
      <c r="DB148" s="144" t="e">
        <f t="shared" ca="1" si="486"/>
        <v>#N/A</v>
      </c>
      <c r="DC148" s="144" t="e">
        <f t="shared" ca="1" si="487"/>
        <v>#N/A</v>
      </c>
      <c r="DD148" s="144" t="e">
        <f t="shared" ca="1" si="692"/>
        <v>#N/A</v>
      </c>
      <c r="DE148" s="143" t="e">
        <f t="shared" ca="1" si="608"/>
        <v>#N/A</v>
      </c>
      <c r="DF148" s="145" t="e">
        <f ca="1">$DR148*EXP(-Control!$C$158*(1-$KH148))</f>
        <v>#N/A</v>
      </c>
      <c r="DG148" s="146" t="e">
        <f ca="1">IF(Control!$C$114=1, $DF148*$EY148, 0)</f>
        <v>#N/A</v>
      </c>
      <c r="DH148" s="147" t="e">
        <f t="shared" ca="1" si="609"/>
        <v>#N/A</v>
      </c>
      <c r="DI148" s="144" t="e">
        <f t="shared" ca="1" si="670"/>
        <v>#N/A</v>
      </c>
      <c r="DJ148" s="147" t="e">
        <f ca="1">$EF148*Control!$C$109</f>
        <v>#N/A</v>
      </c>
      <c r="DK148" s="144" t="e">
        <f t="shared" ca="1" si="610"/>
        <v>#N/A</v>
      </c>
      <c r="DL148" s="144" t="e">
        <f t="shared" ca="1" si="488"/>
        <v>#N/A</v>
      </c>
      <c r="DM148" s="144" t="e">
        <f ca="1">IF(Control!$C$114=1, (1-EXP(-Control!$C$96*$DK148))*$AR148, 0)</f>
        <v>#N/A</v>
      </c>
      <c r="DN148" s="144">
        <f t="shared" ca="1" si="611"/>
        <v>0</v>
      </c>
      <c r="DO148" s="148">
        <f>Control!$C$97</f>
        <v>4</v>
      </c>
      <c r="DP148" s="145" t="e">
        <f t="shared" ca="1" si="612"/>
        <v>#N/A</v>
      </c>
      <c r="DQ148" s="145" t="e">
        <f ca="1">IF(AND($CP148&gt;=0,$CP148&lt;=90),Control!$C$111,Control!$C$111)</f>
        <v>#N/A</v>
      </c>
      <c r="DR148" s="145" t="e">
        <f t="shared" ca="1" si="489"/>
        <v>#N/A</v>
      </c>
      <c r="DS148" s="143" t="e">
        <f ca="1">Control!$B$22/$DR148</f>
        <v>#N/A</v>
      </c>
      <c r="DT148" s="149" t="e">
        <f ca="1">IF(AND(Control!$C$114=1,$KH148&lt;1),$IM148*$DF148, 0)</f>
        <v>#N/A</v>
      </c>
      <c r="DU148" s="144" t="e">
        <f t="shared" ca="1" si="613"/>
        <v>#N/A</v>
      </c>
      <c r="DV148" s="144">
        <f ca="1">IF($G148-Control!$C$107&lt;=0, 0, 0.83*LN(MAX($G148, 3))-0.8924)</f>
        <v>0</v>
      </c>
      <c r="DW148" s="144" t="e">
        <f t="shared" ca="1" si="490"/>
        <v>#N/A</v>
      </c>
      <c r="DX148" s="150" t="e">
        <f ca="1">MAX(0.01*(1+$CU148/Control!$C$102),0.05*($DK148-Control!$C$97)/Control!$C$97)</f>
        <v>#N/A</v>
      </c>
      <c r="DY148" s="151" t="e">
        <f ca="1">IF(Control!$C$114=1, $DI148*$FS148, 0)</f>
        <v>#N/A</v>
      </c>
      <c r="DZ148" s="196" t="e">
        <f t="shared" ca="1" si="614"/>
        <v>#N/A</v>
      </c>
      <c r="EA148" s="152">
        <f t="shared" ca="1" si="615"/>
        <v>144</v>
      </c>
      <c r="EB148" s="153" t="e">
        <f t="shared" ca="1" si="616"/>
        <v>#N/A</v>
      </c>
      <c r="EC148" s="153" t="e">
        <f t="shared" ca="1" si="617"/>
        <v>#N/A</v>
      </c>
      <c r="ED148" s="154" t="e">
        <f ca="1">IF(Control!$C$114=1, $HM148*$FY148-$FD148, 0)</f>
        <v>#DIV/0!</v>
      </c>
      <c r="EE148" s="155" t="e">
        <f ca="1">IF(Control!$C$114=1, $HM148*$FZ148-$FF148, 0)</f>
        <v>#DIV/0!</v>
      </c>
      <c r="EF148" s="153" t="e">
        <f t="shared" ca="1" si="671"/>
        <v>#N/A</v>
      </c>
      <c r="EG148" s="155" t="e">
        <f ca="1">IF(Control!$C$114=1, $GX148*$FW148-$FI148, 0)</f>
        <v>#DIV/0!</v>
      </c>
      <c r="EH148" s="153" t="e">
        <f t="shared" ca="1" si="618"/>
        <v>#N/A</v>
      </c>
      <c r="EI148" s="156" t="e">
        <f t="shared" ca="1" si="619"/>
        <v>#N/A</v>
      </c>
      <c r="EJ148" s="155" t="e">
        <f ca="1">IF(Control!$C$114=1, $HM148*$GB148, 0)</f>
        <v>#DIV/0!</v>
      </c>
      <c r="EK148" s="153" t="e">
        <f t="shared" ca="1" si="672"/>
        <v>#N/A</v>
      </c>
      <c r="EL148" s="153" t="e">
        <f t="shared" ca="1" si="491"/>
        <v>#N/A</v>
      </c>
      <c r="EM148" s="153" t="e">
        <f t="shared" ca="1" si="492"/>
        <v>#N/A</v>
      </c>
      <c r="EN148" s="153" t="e">
        <f ca="1">IF(Control!$C$108=1,IF(AND(Control!$B$18=1,$EB148&gt;=Control!$B$19),$EB148-$DS148,IF(AND(Control!$B$18=2,$AW148=1,$EB148&gt;$DS148),$EB148-$DS148,0)))</f>
        <v>#N/A</v>
      </c>
      <c r="EO148" s="153" t="e">
        <f ca="1">IF(Control!$C$108=1,IF(AND(Control!$B$18=1,$EB148&gt;=Control!$B$19),$EF148,IF(AND(Control!$B$18=2,$AW148=1),$EF148,0)))</f>
        <v>#N/A</v>
      </c>
      <c r="EP148" s="153" t="e">
        <f ca="1">IF(Control!$C$108=1,IF(AND(Control!$B$18=1,$EB148&gt;=Control!$B$19),$EK148,IF(AND(Control!$B$18=2,$AW148=1),$EK148,0)))</f>
        <v>#N/A</v>
      </c>
      <c r="EQ148" s="153" t="e">
        <f t="shared" ca="1" si="620"/>
        <v>#N/A</v>
      </c>
      <c r="ER148" s="153" t="e">
        <f t="shared" ca="1" si="621"/>
        <v>#N/A</v>
      </c>
      <c r="ES148" s="153" t="e">
        <f t="shared" ca="1" si="673"/>
        <v>#N/A</v>
      </c>
      <c r="ET148" s="153" t="e">
        <f t="shared" ca="1" si="674"/>
        <v>#N/A</v>
      </c>
      <c r="EU148" s="153" t="e">
        <f t="shared" ca="1" si="622"/>
        <v>#N/A</v>
      </c>
      <c r="EV148" s="153" t="e">
        <f t="shared" ca="1" si="493"/>
        <v>#N/A</v>
      </c>
      <c r="EW148" s="153" t="e">
        <f t="shared" ca="1" si="494"/>
        <v>#N/A</v>
      </c>
      <c r="EX148" s="153" t="e">
        <f t="shared" ca="1" si="495"/>
        <v>#N/A</v>
      </c>
      <c r="EY148" s="157" t="e">
        <f t="shared" ca="1" si="496"/>
        <v>#DIV/0!</v>
      </c>
      <c r="EZ148" s="154" t="e">
        <f t="shared" ca="1" si="497"/>
        <v>#DIV/0!</v>
      </c>
      <c r="FA148" s="153" t="e">
        <f t="shared" ca="1" si="623"/>
        <v>#N/A</v>
      </c>
      <c r="FB148" s="153" t="e">
        <f t="shared" ca="1" si="498"/>
        <v>#N/A</v>
      </c>
      <c r="FC148" s="193" t="e">
        <f t="shared" ca="1" si="499"/>
        <v>#N/A</v>
      </c>
      <c r="FD148" s="158" t="e">
        <f t="shared" ca="1" si="624"/>
        <v>#N/A</v>
      </c>
      <c r="FE148" s="158" t="e">
        <f t="shared" ca="1" si="625"/>
        <v>#N/A</v>
      </c>
      <c r="FF148" s="159" t="e">
        <f t="shared" ca="1" si="500"/>
        <v>#N/A</v>
      </c>
      <c r="FG148" s="160" t="e">
        <f t="shared" ca="1" si="626"/>
        <v>#N/A</v>
      </c>
      <c r="FH148" s="158" t="e">
        <f t="shared" ca="1" si="627"/>
        <v>#N/A</v>
      </c>
      <c r="FI148" s="159" t="e">
        <f t="shared" ca="1" si="501"/>
        <v>#N/A</v>
      </c>
      <c r="FJ148" s="160" t="e">
        <f t="shared" ca="1" si="628"/>
        <v>#N/A</v>
      </c>
      <c r="FK148" s="160" t="e">
        <f t="shared" ca="1" si="502"/>
        <v>#N/A</v>
      </c>
      <c r="FL148" s="160" t="e">
        <f t="shared" ca="1" si="675"/>
        <v>#N/A</v>
      </c>
      <c r="FM148" s="160" t="e">
        <f t="shared" ca="1" si="503"/>
        <v>#N/A</v>
      </c>
      <c r="FN148" s="158">
        <f t="shared" ca="1" si="629"/>
        <v>0.01</v>
      </c>
      <c r="FO148" s="160">
        <f>Control!$C$101</f>
        <v>50</v>
      </c>
      <c r="FP148" s="150" t="e">
        <f t="shared" ca="1" si="504"/>
        <v>#N/A</v>
      </c>
      <c r="FQ148" s="150" t="e">
        <f ca="1">MAX(0,(Control!$C$112*(($DK148-Control!$C$97)/Control!$C$97)))</f>
        <v>#N/A</v>
      </c>
      <c r="FR148" s="150" t="e">
        <f ca="1">(1-$NT148)*Control!$C$113</f>
        <v>#DIV/0!</v>
      </c>
      <c r="FS148" s="198" t="e">
        <f t="shared" ca="1" si="505"/>
        <v>#N/A</v>
      </c>
      <c r="FT148" s="161">
        <f t="shared" ca="1" si="630"/>
        <v>144</v>
      </c>
      <c r="FU148" s="162" t="e">
        <f ca="1">IF(Control!$B$34=1,VLOOKUP($CP148,Control!$B$86:$G$91,6),Control!$B$35)</f>
        <v>#N/A</v>
      </c>
      <c r="FV148" s="162" t="e">
        <f t="shared" ca="1" si="506"/>
        <v>#DIV/0!</v>
      </c>
      <c r="FW148" s="162" t="e">
        <f ca="1">IF(Control!$B$31=1,$FU148*$FV148,  $FU148)</f>
        <v>#N/A</v>
      </c>
      <c r="FX148" s="162" t="e">
        <f ca="1">IF(Control!$B$34=1,VLOOKUP($CP148,Control!$B$86:$G$91,3),Control!$B$36)</f>
        <v>#N/A</v>
      </c>
      <c r="FY148" s="162" t="e">
        <f t="shared" ca="1" si="507"/>
        <v>#N/A</v>
      </c>
      <c r="FZ148" s="162" t="e">
        <f ca="1">IF(Control!$B$34=1,VLOOKUP($CP148,Control!$B$86:$G$91,4),Control!$B$37)</f>
        <v>#N/A</v>
      </c>
      <c r="GA148" s="162" t="e">
        <f t="shared" ca="1" si="508"/>
        <v>#N/A</v>
      </c>
      <c r="GB148" s="162" t="e">
        <f ca="1">IF(Control!$B$34=1,VLOOKUP($CP148,Control!$B$86:$G$91,5),Control!$B$38)</f>
        <v>#N/A</v>
      </c>
      <c r="GC148" s="162" t="e">
        <f t="shared" ca="1" si="631"/>
        <v>#N/A</v>
      </c>
      <c r="GD148" s="162">
        <f t="shared" ca="1" si="509"/>
        <v>1</v>
      </c>
      <c r="GE148" s="162">
        <f t="shared" ca="1" si="510"/>
        <v>1</v>
      </c>
      <c r="GF148" s="162">
        <f ca="1">IF(AND(Control!$C$104=1, Control!$C$62="F"),$GE148,1)</f>
        <v>1</v>
      </c>
      <c r="GG148" s="162" t="e">
        <f ca="1">IF(Control!$B$16=40,0,IF(AND(Control!$B$16&gt;40,Control!$B$16&lt;=360),(Control!$B$16-40)*((1-0)/(360-40)),IF(AND(Control!$B$16&gt;360,Control!$B$16&lt;=720),(1+(Control!$B$16-360)*((1.25-1)/(720-360))),IF(AND(Control!$B$16&gt;720,Control!$B$16&lt;=1000),(1.25+(Control!$B$16-720)*((1.35-1.25)/(1000-720))),IF(AND(Control!$B$16&gt;1000,Control!$B$16&lt;=2000),(1.35+(Control!$B$16-1000)*0))))))</f>
        <v>#N/A</v>
      </c>
      <c r="GH148" s="162" t="e">
        <f t="shared" ca="1" si="511"/>
        <v>#N/A</v>
      </c>
      <c r="GI148" s="162">
        <f t="shared" ca="1" si="632"/>
        <v>0</v>
      </c>
      <c r="GJ148" s="162">
        <f t="shared" ca="1" si="512"/>
        <v>0</v>
      </c>
      <c r="GK148" s="162">
        <f t="shared" ca="1" si="633"/>
        <v>1</v>
      </c>
      <c r="GL148" s="162">
        <f t="shared" ca="1" si="513"/>
        <v>1</v>
      </c>
      <c r="GM148" s="162" t="e">
        <f ca="1">MAX(0,MIN(1,1-Control!$C$156*(1.0001-$KH148)^2))</f>
        <v>#N/A</v>
      </c>
      <c r="GN148" s="162" t="e">
        <f ca="1">IF(Control!$B$26=1,$KU148,$KX148)</f>
        <v>#N/A</v>
      </c>
      <c r="GO148" s="162" t="e">
        <f ca="1">IF($CP148&lt;=60,Control!$C$105,IF($CP148&gt;=90,Control!$C$106,Control!$C$105+($CP148-60)*((Control!$C$106-Control!$C$105)/(90-60))))</f>
        <v>#N/A</v>
      </c>
      <c r="GP148" s="162" t="e">
        <f t="shared" ca="1" si="514"/>
        <v>#N/A</v>
      </c>
      <c r="GQ148" s="162" t="e">
        <f t="shared" ca="1" si="634"/>
        <v>#N/A</v>
      </c>
      <c r="GR148" s="163" t="e">
        <f t="shared" ca="1" si="515"/>
        <v>#DIV/0!</v>
      </c>
      <c r="GS148" s="162" t="e">
        <f t="shared" ca="1" si="516"/>
        <v>#DIV/0!</v>
      </c>
      <c r="GT148" s="164" t="e">
        <f t="shared" ca="1" si="635"/>
        <v>#N/A</v>
      </c>
      <c r="GU148" s="162" t="e">
        <f t="shared" ca="1" si="636"/>
        <v>#N/A</v>
      </c>
      <c r="GV148" s="162" t="e">
        <f t="shared" ca="1" si="517"/>
        <v>#N/A</v>
      </c>
      <c r="GW148" s="162" t="e">
        <f t="shared" ca="1" si="518"/>
        <v>#DIV/0!</v>
      </c>
      <c r="GX148" s="162" t="e">
        <f t="shared" ca="1" si="637"/>
        <v>#DIV/0!</v>
      </c>
      <c r="GY148" s="162" t="e">
        <f t="shared" ca="1" si="638"/>
        <v>#DIV/0!</v>
      </c>
      <c r="GZ148" s="165" t="e">
        <f t="shared" ca="1" si="519"/>
        <v>#N/A</v>
      </c>
      <c r="HA148" s="162" t="e">
        <f ca="1">IF(Control!$C$114=1, $DI148*$FS148, 0)</f>
        <v>#N/A</v>
      </c>
      <c r="HB148" s="162" t="e">
        <f ca="1">$FA148/Control!$C$64</f>
        <v>#N/A</v>
      </c>
      <c r="HC148" s="162" t="e">
        <f t="shared" ca="1" si="520"/>
        <v>#DIV/0!</v>
      </c>
      <c r="HD148" s="162">
        <f ca="1">-ASIN(SIN(23.45*Control!$C$139)*COS(2*Control!$C$138*($AH148+10)/365))</f>
        <v>0.35865137672473207</v>
      </c>
      <c r="HE148" s="165">
        <f t="shared" ca="1" si="639"/>
        <v>0</v>
      </c>
      <c r="HF148" s="166">
        <f ca="1">IF(AND(Control!$C$61="T",$HE148&gt;=Control!$C$103,Control!$C$114=0),$AH148,Control!$C$59)</f>
        <v>1</v>
      </c>
      <c r="HG148" s="166">
        <f ca="1">IF(AND(Control!$C$61="T",$HE148&gt;=Control!$C$103,Control!$C$114=0),$HF148,Control!$C$59)</f>
        <v>1</v>
      </c>
      <c r="HH148" s="165">
        <f ca="1">IF(AND(OR(Control!$C$60&lt;=0, $AH148= Control!$C$59, Control!$C$60 &gt;0, $AH148 = Control!$C$60)), Control!$C$59, IF(Control!$C$60&gt;0, 0))</f>
        <v>1</v>
      </c>
      <c r="HI148" s="165">
        <f ca="1">IF(AND(OR(Control!$C$60&lt;=0, $AH148= Control!$C$59, Control!$C$60 &gt;0, $AH148 = Control!$C$60)), Control!$C$60, IF(Control!$C$60&lt;=0, 0))</f>
        <v>0</v>
      </c>
      <c r="HJ148" s="166">
        <f ca="1">IF(AND(Control!$C$62="F",$CV148&gt;=Control!$C$102),$AH148,0)</f>
        <v>0</v>
      </c>
      <c r="HK148" s="165" t="e">
        <f t="shared" ca="1" si="676"/>
        <v>#N/A</v>
      </c>
      <c r="HL148" s="166">
        <f ca="1">IF(AND(Control!$C$61="T",$HE148&gt;=Control!$C$103,Control!$C$114=0),$HF148,0)</f>
        <v>0</v>
      </c>
      <c r="HM148" s="201" t="e">
        <f t="shared" ca="1" si="521"/>
        <v>#DIV/0!</v>
      </c>
      <c r="HN148" s="215">
        <f t="shared" ca="1" si="640"/>
        <v>144</v>
      </c>
      <c r="HO148" s="216" t="e">
        <f ca="1">IF(AND($CP148&gt;=0, $CP148&lt;=90), Control!$C$152, Control!$C$152)</f>
        <v>#N/A</v>
      </c>
      <c r="HP148" s="216" t="e">
        <f t="shared" ca="1" si="522"/>
        <v>#N/A</v>
      </c>
      <c r="HQ148" s="217" t="e">
        <f ca="1">IF(OR(Control!$B$26=1,Control!$B$26=2),$KV148,$KS148)</f>
        <v>#DIV/0!</v>
      </c>
      <c r="HR148" s="218" t="e">
        <f t="shared" ca="1" si="677"/>
        <v>#DIV/0!</v>
      </c>
      <c r="HS148" s="216" t="e">
        <f ca="1">Control!$C$154*$HP148</f>
        <v>#N/A</v>
      </c>
      <c r="HT148" s="216" t="e">
        <f ca="1">Control!$C$155*$HP148</f>
        <v>#N/A</v>
      </c>
      <c r="HU148" s="217" t="e">
        <f ca="1">Control!$C$161*$FI148</f>
        <v>#N/A</v>
      </c>
      <c r="HV148" s="218" t="e">
        <f t="shared" ca="1" si="641"/>
        <v>#N/A</v>
      </c>
      <c r="HW148" s="218" t="e">
        <f ca="1">Control!$C$160*$FF148+$IP148*$EO148</f>
        <v>#N/A</v>
      </c>
      <c r="HX148" s="218" t="e">
        <f t="shared" ca="1" si="678"/>
        <v>#N/A</v>
      </c>
      <c r="HY148" s="219" t="e">
        <f ca="1">IF(Control!$C$114=1, $EB148*$FS148, 0)</f>
        <v>#N/A</v>
      </c>
      <c r="HZ148" s="91" t="e">
        <f t="shared" ca="1" si="523"/>
        <v>#N/A</v>
      </c>
      <c r="IA148" s="220" t="e">
        <f ca="1">Control!$C$153*$HO148</f>
        <v>#N/A</v>
      </c>
      <c r="IB148" s="218" t="e">
        <f t="shared" ca="1" si="524"/>
        <v>#N/A</v>
      </c>
      <c r="IC148" s="220" t="e">
        <f ca="1">Control!$C$153*$HT148</f>
        <v>#N/A</v>
      </c>
      <c r="ID148" s="218" t="e">
        <f t="shared" ca="1" si="525"/>
        <v>#N/A</v>
      </c>
      <c r="IE148" s="221" t="e">
        <f ca="1">($EB148*Control!$C$159+$EF148*Control!$C$160)/(IF($GZ148&lt;&gt;0,$GZ148,1))</f>
        <v>#N/A</v>
      </c>
      <c r="IF148" s="216" t="e">
        <f t="shared" ca="1" si="526"/>
        <v>#N/A</v>
      </c>
      <c r="IG148" s="91">
        <f ca="1">IF(OR(Control!$B$198=$AH148,Control!$B$199=$AH148, Control!$B$200=$AH148, Control!$B$201=$AH148, Control!$B$202=$AH148, Control!$B$203=$AH148, Control!$B$204=$AH148, Control!$B$205=$AH148, Control!$B$206=$AH148, Control!$B$207=$AH148), 1, 0)</f>
        <v>0</v>
      </c>
      <c r="IH148" s="91">
        <f ca="1">IF($IG148=0,0, VLOOKUP($AH148,Control!$B$198:$C$207,2))</f>
        <v>0</v>
      </c>
      <c r="II148" s="222">
        <f t="shared" ca="1" si="642"/>
        <v>0</v>
      </c>
      <c r="IJ148" s="91">
        <f>Control!$C$121</f>
        <v>0.7</v>
      </c>
      <c r="IK148" s="218">
        <f t="shared" ca="1" si="527"/>
        <v>0</v>
      </c>
      <c r="IL148" s="217" t="e">
        <f t="shared" ca="1" si="679"/>
        <v>#N/A</v>
      </c>
      <c r="IM148" s="223" t="e">
        <f ca="1">IF(AND(Control!$C$114=1,$KH148&lt;1),$EB148*Control!$C$148*(1-$KH148), 0)</f>
        <v>#N/A</v>
      </c>
      <c r="IN148" s="217" t="e">
        <f t="shared" ca="1" si="528"/>
        <v>#DIV/0!</v>
      </c>
      <c r="IO148" s="91" t="e">
        <f ca="1">MAX(0,$IL148-$EF148*Control!$C$160)</f>
        <v>#N/A</v>
      </c>
      <c r="IP148" s="220" t="e">
        <f t="shared" ca="1" si="529"/>
        <v>#N/A</v>
      </c>
      <c r="IQ148" s="217" t="e">
        <f t="shared" ca="1" si="643"/>
        <v>#N/A</v>
      </c>
      <c r="IR148" s="218" t="e">
        <f t="shared" ca="1" si="530"/>
        <v>#N/A</v>
      </c>
      <c r="IS148" s="217" t="e">
        <f ca="1">Control!$C$159*MAX(0,$FD148-$EN148)</f>
        <v>#N/A</v>
      </c>
      <c r="IT148" s="217" t="e">
        <f t="shared" ca="1" si="680"/>
        <v>#N/A</v>
      </c>
      <c r="IU148" s="217" t="e">
        <f t="shared" ca="1" si="644"/>
        <v>#N/A</v>
      </c>
      <c r="IV148" s="217" t="e">
        <f t="shared" ca="1" si="681"/>
        <v>#N/A</v>
      </c>
      <c r="IW148" s="217" t="e">
        <f ca="1">IF(OR($AW148=1,AND($AW148=0, Control!$B$18=1,$EN148&lt;&gt;0)), $IQ148-$IU148, $IQ148)</f>
        <v>#N/A</v>
      </c>
      <c r="IX148" s="218" t="e">
        <f t="shared" ca="1" si="531"/>
        <v>#N/A</v>
      </c>
      <c r="IY148" s="218" t="e">
        <f ca="1">MAX(0,$IQ148-$EB148*Control!$C$159)</f>
        <v>#N/A</v>
      </c>
      <c r="IZ148" s="218" t="e">
        <f t="shared" ca="1" si="532"/>
        <v>#N/A</v>
      </c>
      <c r="JA148" s="216" t="e">
        <f t="shared" ca="1" si="533"/>
        <v>#N/A</v>
      </c>
      <c r="JB148" s="217" t="e">
        <f t="shared" ca="1" si="534"/>
        <v>#N/A</v>
      </c>
      <c r="JC148" s="222" t="e">
        <f ca="1">MAX(Control!$C$157*$EK148-$JT148, 0)/Control!$C$162</f>
        <v>#N/A</v>
      </c>
      <c r="JD148" s="218" t="e">
        <f t="shared" ca="1" si="535"/>
        <v>#N/A</v>
      </c>
      <c r="JE148" s="218" t="e">
        <f t="shared" ca="1" si="536"/>
        <v>#N/A</v>
      </c>
      <c r="JF148" s="218" t="e">
        <f t="shared" ca="1" si="645"/>
        <v>#N/A</v>
      </c>
      <c r="JG148" s="218" t="e">
        <f t="shared" ca="1" si="537"/>
        <v>#N/A</v>
      </c>
      <c r="JH148" s="217" t="e">
        <f t="shared" ca="1" si="646"/>
        <v>#N/A</v>
      </c>
      <c r="JI148" s="217" t="e">
        <f t="shared" ca="1" si="647"/>
        <v>#N/A</v>
      </c>
      <c r="JJ148" s="217" t="e">
        <f t="shared" ca="1" si="682"/>
        <v>#N/A</v>
      </c>
      <c r="JK148" s="217" t="e">
        <f ca="1">IF(Control!$C$114=1,IF(Control!$B$24=0,MAX(0,$JI148)*$GN148/Control!$C$64,(MAX(0,MIN($JI148,$JJ148*$GN148/Control!$C$64),0))))</f>
        <v>#N/A</v>
      </c>
      <c r="JL148" s="217" t="e">
        <f ca="1">$IK148/Control!$C$64-$JK148+$HQ148</f>
        <v>#N/A</v>
      </c>
      <c r="JM148" s="217" t="e">
        <f ca="1">IF(Control!$C$114=1,($JB148/(IF($JI148&lt;&gt;0,$JI148,1)))*$JK148,0)</f>
        <v>#N/A</v>
      </c>
      <c r="JN148" s="217" t="e">
        <f ca="1">IF(Control!$C$114=1,($JG148/(IF($JI148&lt;&gt;0,$JI148,1)))*$JK148, 0)</f>
        <v>#N/A</v>
      </c>
      <c r="JO148" s="218" t="e">
        <f t="shared" ca="1" si="538"/>
        <v>#N/A</v>
      </c>
      <c r="JP148" s="218" t="e">
        <f ca="1">MIN(($IY148+$IO148)*Control!$C$151, $JF148-$EH148*Control!$C$161)</f>
        <v>#N/A</v>
      </c>
      <c r="JQ148" s="218" t="e">
        <f t="shared" ca="1" si="539"/>
        <v>#N/A</v>
      </c>
      <c r="JR148" s="217" t="e">
        <f ca="1">IF($CP148-Control!$C$150&lt;0, 0, $JQ148/Control!$C$162)</f>
        <v>#N/A</v>
      </c>
      <c r="JS148" s="218" t="e">
        <f t="shared" ca="1" si="540"/>
        <v>#N/A</v>
      </c>
      <c r="JT148" s="218" t="e">
        <f t="shared" ca="1" si="648"/>
        <v>#N/A</v>
      </c>
      <c r="JU148" s="218" t="e">
        <f t="shared" ca="1" si="541"/>
        <v>#N/A</v>
      </c>
      <c r="JV148" s="218" t="e">
        <f t="shared" ca="1" si="542"/>
        <v>#N/A</v>
      </c>
      <c r="JW148" s="216" t="e">
        <f t="shared" ca="1" si="543"/>
        <v>#N/A</v>
      </c>
      <c r="JX148" s="91" t="e">
        <f t="shared" ca="1" si="544"/>
        <v>#N/A</v>
      </c>
      <c r="JY148" s="218" t="e">
        <f t="shared" ca="1" si="545"/>
        <v>#N/A</v>
      </c>
      <c r="JZ148" s="217" t="e">
        <f ca="1">IF(Control!$C$114=1,($IZ148/(IF($JI148&lt;&gt;0,$JI148,1)))*$JK148, 0)</f>
        <v>#N/A</v>
      </c>
      <c r="KA148" s="218" t="e">
        <f t="shared" ca="1" si="683"/>
        <v>#N/A</v>
      </c>
      <c r="KB148" s="218" t="e">
        <f t="shared" ca="1" si="649"/>
        <v>#N/A</v>
      </c>
      <c r="KC148" s="218" t="e">
        <f t="shared" ca="1" si="546"/>
        <v>#N/A</v>
      </c>
      <c r="KD148" s="218" t="e">
        <f t="shared" ca="1" si="547"/>
        <v>#N/A</v>
      </c>
      <c r="KE148" s="218" t="e">
        <f t="shared" ca="1" si="548"/>
        <v>#N/A</v>
      </c>
      <c r="KF148" s="218" t="e">
        <f t="shared" ca="1" si="549"/>
        <v>#N/A</v>
      </c>
      <c r="KG148" s="216" t="e">
        <f t="shared" ca="1" si="550"/>
        <v>#N/A</v>
      </c>
      <c r="KH148" s="221" t="e">
        <f ca="1">IF(Control!$B$24=0,1,MAX(0.001,MIN(1,IF(($IF148-$IE148)&lt;&gt;0,($KG148-$IE148)/($IF148-$IE148),1))))</f>
        <v>#N/A</v>
      </c>
      <c r="KI148" s="222" t="e">
        <f ca="1">IF(Control!$C$114=1, $KI147+ $KH147, 0)</f>
        <v>#N/A</v>
      </c>
      <c r="KJ148" s="217" t="e">
        <f t="shared" ca="1" si="551"/>
        <v>#N/A</v>
      </c>
      <c r="KK148" s="218" t="e">
        <f t="shared" ca="1" si="552"/>
        <v>#N/A</v>
      </c>
      <c r="KL148" s="274" t="e">
        <f ca="1">IF(Control!$B$26=3,4000000000*EXP(-8400/($G148+273)),IF(Control!$B$26=4,4000000000*EXP(-8400/($G148+273))*($KT148),0))</f>
        <v>#DIV/0!</v>
      </c>
      <c r="KM148" s="274" t="e">
        <f ca="1">IF(Control!$B$26=3,5600000000000*EXP(-9800/($G148+273)),IF(Control!$B$26=4,5600000000000*EXP(-9800/($G148+273))*$KT148,0))</f>
        <v>#DIV/0!</v>
      </c>
      <c r="KN148" s="454" t="e">
        <f t="shared" ca="1" si="650"/>
        <v>#DIV/0!</v>
      </c>
      <c r="KO148" s="274" t="e">
        <f t="shared" ca="1" si="651"/>
        <v>#DIV/0!</v>
      </c>
      <c r="KP148" s="454" t="e">
        <f t="shared" ca="1" si="553"/>
        <v>#DIV/0!</v>
      </c>
      <c r="KQ148" s="454" t="e">
        <f t="shared" ca="1" si="554"/>
        <v>#DIV/0!</v>
      </c>
      <c r="KR148" s="454" t="e">
        <f t="shared" ca="1" si="555"/>
        <v>#DIV/0!</v>
      </c>
      <c r="KS148" s="454" t="e">
        <f t="shared" ca="1" si="556"/>
        <v>#DIV/0!</v>
      </c>
      <c r="KT148" s="455" t="e">
        <f t="shared" ca="1" si="557"/>
        <v>#DIV/0!</v>
      </c>
      <c r="KU148" s="456" t="e">
        <f ca="1">IF($CP148-Control!$C$149&lt;0, IF($NT148-0.01&lt;0,0,1),0)</f>
        <v>#N/A</v>
      </c>
      <c r="KV148" s="456" t="e">
        <f ca="1">IF(Control!$C$114=1,MAX(0,MIN(Control!$C$125*$KW148*$GN148,$KW148)))</f>
        <v>#DIV/0!</v>
      </c>
      <c r="KW148" s="456" t="e">
        <f t="shared" ca="1" si="684"/>
        <v>#DIV/0!</v>
      </c>
      <c r="KX148" s="457" t="e">
        <f ca="1">IF($CP148-Control!$C$149&lt;0, IF($MR148-$OM148&lt;0,0,1),0)</f>
        <v>#N/A</v>
      </c>
      <c r="KY148" s="167">
        <f t="shared" ca="1" si="652"/>
        <v>144</v>
      </c>
      <c r="KZ148" s="168">
        <f ca="1">1370*(1+0.033*COS(2*Control!$C$138*$AH148/365))</f>
        <v>1334.3605671818373</v>
      </c>
      <c r="LA148" s="169">
        <f t="shared" ca="1" si="653"/>
        <v>0.97398593315759263</v>
      </c>
      <c r="LB148" s="169">
        <f t="shared" ca="1" si="654"/>
        <v>0.36241182504641795</v>
      </c>
      <c r="LC148" s="169">
        <f ca="1">ACOS(-TAN((2*Control!$B$8/360))*TAN(Calculations!$LB148))</f>
        <v>1.6837234005089439</v>
      </c>
      <c r="LD148" s="169">
        <f ca="1">((24*60)/PI())*0.082*$LA148*(($LC148*SIN(Control!$B$8*2*PI()/360))*SIN($LB148)+COS(Control!$B$8*2*PI()/360)*COS($LB148)*SIN($LC148))</f>
        <v>38.160175099231417</v>
      </c>
      <c r="LE148" s="170">
        <f t="shared" ca="1" si="558"/>
        <v>39.395325466198074</v>
      </c>
      <c r="LF148" s="170">
        <f ca="1">SIN(Control!$C$139*Control!$B$8)*SIN($HD148)</f>
        <v>0.27660148523648703</v>
      </c>
      <c r="LG148" s="170">
        <f ca="1">COS(Control!$C$139*Control!$B$8)*COS($HD148)</f>
        <v>0.57648602083440825</v>
      </c>
      <c r="LH148" s="170">
        <f ca="1">12*(1+2*ASIN(MAX(-1,MIN(1,$LF148/$LG148))/Control!$C$138))</f>
        <v>15.679841052031783</v>
      </c>
      <c r="LI148" s="170">
        <f ca="1">12*(1+2*ASIN(MAX(-1,MIN(1,(-SIN(-4*Control!$C$139)+$LF148)/$LG148))/Control!$C$138))</f>
        <v>16.618282463330729</v>
      </c>
      <c r="LJ148" s="168">
        <f ca="1">3600*($LH148*$LF148+24*$LG148*SQRT(1-$LK148*$LK148)/Control!$C$138)</f>
        <v>29523.74825449226</v>
      </c>
      <c r="LK148" s="170">
        <f t="shared" ca="1" si="559"/>
        <v>0.47980605815234323</v>
      </c>
      <c r="LL148" s="170">
        <f t="shared" ca="1" si="560"/>
        <v>0</v>
      </c>
      <c r="LM148" s="171">
        <f ca="1">Control!$C$145*$AB148</f>
        <v>6.6660906138995932E-2</v>
      </c>
      <c r="LN148" s="170">
        <f t="shared" ca="1" si="655"/>
        <v>0.54</v>
      </c>
      <c r="LO148" s="170">
        <f t="shared" ca="1" si="561"/>
        <v>0</v>
      </c>
      <c r="LP148" s="170">
        <f ca="1">Control!$C$140*((($D148+273.16)^4+($E148+273.16)^4)/2)*(0.34-0.14*SQRT($Y148))*(1.35*$AQ148/(0.75*$LD148)-0.35)</f>
        <v>-3.2464704755046001</v>
      </c>
      <c r="LQ148" s="170">
        <f ca="1">Control!$C$140*($G148+273)^4*(0.56-0.079*SQRT($Y148*10))*(0.1+0.9*$LO148)</f>
        <v>1.5241745131704001</v>
      </c>
      <c r="LR148" s="170">
        <f ca="1">$AQ148*(1-Control!$C$142)-$LQ148</f>
        <v>-1.5241745131704001</v>
      </c>
      <c r="LS148" s="170">
        <f ca="1">$AQ148*(1-Control!$C$143)-$LQ148</f>
        <v>-1.5241745131704001</v>
      </c>
      <c r="LT148" s="170">
        <f ca="1">$AQ148*(1-Control!$C$144)-$LQ148</f>
        <v>-1.5241745131704001</v>
      </c>
      <c r="LU148" s="169">
        <f ca="1">(1-Control!$C$144)*AQ148-LP148</f>
        <v>3.2464704755046001</v>
      </c>
      <c r="LV148" s="172">
        <f t="shared" ca="1" si="562"/>
        <v>0.79430000000000012</v>
      </c>
      <c r="LW148" s="170">
        <f t="shared" ca="1" si="563"/>
        <v>1.5886000000000002</v>
      </c>
      <c r="LX148" s="170">
        <f ca="1">($AC148*($LR148/Control!$C$141)+$LM148*$LV148)/($AC148+$LM148)</f>
        <v>0.23530094218323697</v>
      </c>
      <c r="LY148" s="170">
        <f ca="1">($AC148*($LS148/Control!$C$141)+$LM148*$LV148)/($AC148+$LM148)</f>
        <v>0.23530094218323697</v>
      </c>
      <c r="LZ148" s="170">
        <f t="shared" ca="1" si="564"/>
        <v>0.23530094218323697</v>
      </c>
      <c r="MA148" s="170">
        <f t="shared" ca="1" si="565"/>
        <v>0.23530094218323697</v>
      </c>
      <c r="MB148" s="170" t="e">
        <f t="shared" ca="1" si="566"/>
        <v>#N/A</v>
      </c>
      <c r="MC148" s="170">
        <f t="shared" ca="1" si="656"/>
        <v>0.6018</v>
      </c>
      <c r="MD148" s="170">
        <f t="shared" ca="1" si="567"/>
        <v>0.52989392535414004</v>
      </c>
      <c r="ME148" s="170">
        <f ca="1">($AC148*($LT148/Control!$C$141)+$LM148*$LW148)/($AC148+$LM148)</f>
        <v>0.71612369323045078</v>
      </c>
      <c r="MF148" s="170" t="e">
        <f ca="1">IF(Control!$B$16&gt;=1000,0.92,IF(AND(720&lt;=Control!$B$16,1000&gt;Control!$B$16),(0.95+(Control!$B$16-720)*((0.92-0.95)/(1000-720))),IF(AND(360&lt;=Control!$B$16,720&gt;Control!$B$16),(1+(Control!$B$16-360)*((0.95-1)/(720-360))),IF(AND(40&lt;=Control!$B$16,360&gt;Control!$B$16),(1.05+(Control!$B$16-40)*((1.05-1)/(360-40)))))))</f>
        <v>#N/A</v>
      </c>
      <c r="MG148" s="170">
        <f t="shared" ca="1" si="568"/>
        <v>0.71612369323045078</v>
      </c>
      <c r="MH148" s="170" t="e">
        <f t="shared" ca="1" si="693"/>
        <v>#N/A</v>
      </c>
      <c r="MI148" s="170" t="e">
        <f t="shared" ca="1" si="693"/>
        <v>#N/A</v>
      </c>
      <c r="MJ148" s="170" t="e">
        <f ca="1">MAX(0.0001, Control!$C$132*$MI148*$DL148)</f>
        <v>#N/A</v>
      </c>
      <c r="MK148" s="170">
        <f ca="1">1/(0.76+1.5*($MG148/10))-(5-Control!$C$110)*0.1</f>
        <v>1.002845988140797</v>
      </c>
      <c r="ML148" s="173">
        <f ca="1">IF(Control!$C$110&lt;3,$MK148+($MG148-0.6)/(Control!$C$110*(Control!$C$110+3)), MAX(0.1, MIN(0.95,$MK148)))</f>
        <v>0.95</v>
      </c>
      <c r="MM148" s="173">
        <f ca="1">IF(Control!$C$110&lt;3,$MK148+(($MI148/10)-0.6)/(Control!$C$110*(Control!$C$110+3)), MAX(0.1, MIN(0.95,$MK148)))</f>
        <v>0.95</v>
      </c>
      <c r="MN148" s="173">
        <f ca="1">(1-$MM148)*(Control!$C$128-Control!$C$127)+Control!$C$127</f>
        <v>0.16</v>
      </c>
      <c r="MO148" s="170" t="e">
        <f ca="1">MAX(0,MIN(1,($MS148-Control!$C$127)/($MN148-Control!$C$127)))</f>
        <v>#DIV/0!</v>
      </c>
      <c r="MP148" s="173" t="e">
        <f ca="1">1/(0.76+1.5*$MI148)-(5-Control!$C$110)*0.1</f>
        <v>#N/A</v>
      </c>
      <c r="MQ148" s="172" t="e">
        <f t="shared" ca="1" si="685"/>
        <v>#DIV/0!</v>
      </c>
      <c r="MR148" s="168" t="e">
        <f t="shared" ca="1" si="657"/>
        <v>#DIV/0!</v>
      </c>
      <c r="MS148" s="173" t="e">
        <f ca="1">MAX(Control!$C$127, MIN(Control!$C$135, $MR148/MAX(0.0001,$CY148)))</f>
        <v>#DIV/0!</v>
      </c>
      <c r="MT148" s="168" t="e">
        <f ca="1">(Control!$C$128-$MS148)*Control!$C$74</f>
        <v>#DIV/0!</v>
      </c>
      <c r="MU148" s="168" t="e">
        <f ca="1">(Control!$C$135-$MS148)*Control!$C$74</f>
        <v>#DIV/0!</v>
      </c>
      <c r="MV148" s="168" t="e">
        <f t="shared" ca="1" si="658"/>
        <v>#DIV/0!</v>
      </c>
      <c r="MW148" s="168" t="e">
        <f t="shared" ca="1" si="659"/>
        <v>#DIV/0!</v>
      </c>
      <c r="MX148" s="171" t="e">
        <f ca="1">MAX(Control!$C$127, MIN(Control!$C$135, $MW148/MAX(0.0001,Control!$C$119-$CY148)))</f>
        <v>#DIV/0!</v>
      </c>
      <c r="MY148" s="54" t="e">
        <f ca="1">IF(Control!$C$114=1, $CX148*$MX148, 0)</f>
        <v>#DIV/0!</v>
      </c>
      <c r="MZ148" s="54" t="e">
        <f t="shared" ca="1" si="660"/>
        <v>#N/A</v>
      </c>
      <c r="NA148" s="168" t="e">
        <f ca="1">(Control!$C$128-$MX148)*(Control!$C$119-Control!$C$74)</f>
        <v>#DIV/0!</v>
      </c>
      <c r="NB148" s="168" t="e">
        <f ca="1">(Control!$C$135-$MX148)*(Control!$C$119-Control!$C$74)</f>
        <v>#DIV/0!</v>
      </c>
      <c r="NC148" s="174" t="e">
        <f t="shared" ca="1" si="661"/>
        <v>#DIV/0!</v>
      </c>
      <c r="ND148" s="54">
        <f ca="1">IF(Control!$C$58=2, IF(OR(Control!$B$218=$AH148,Control!$B$219=$AH148, Control!$B$220=$AH148, Control!$B$221=$AH148, Control!$B$222=$AH148, Control!$B$223=$AH148, Control!$B$224=$AH148, Control!$B$225=$AH148, Control!$B$226=$AH148, Control!$B$227=$AH148, Control!$B$228=$AH148), 1, 0), 0)</f>
        <v>0</v>
      </c>
      <c r="NE148" s="54">
        <f ca="1">IF($ND148=0,0, VLOOKUP($AH148,Control!$B$218:$C$228,2))</f>
        <v>0</v>
      </c>
      <c r="NF148" s="168" t="e">
        <f ca="1">$CY148*(Control!$C$128-Control!$C$127)</f>
        <v>#N/A</v>
      </c>
      <c r="NG148" s="54" t="e">
        <f ca="1">IF(Control!$C$58=2, $NI147-$NJ147, 0)</f>
        <v>#DIV/0!</v>
      </c>
      <c r="NH148" s="54" t="e">
        <f ca="1">IF(AND(Control!$C$58=1, $MS147&lt;= ($MN147+0.02), $I147&lt;10), 0, IF(Control!$C$58=2, $NG147, 0))</f>
        <v>#DIV/0!</v>
      </c>
      <c r="NI148" s="54" t="e">
        <f ca="1">IF(Control!$C$58=2, $NE148+$NH148,0)</f>
        <v>#DIV/0!</v>
      </c>
      <c r="NJ148" s="54" t="e">
        <f ca="1">IF(AND(Control!$C$58=1, $MS148&lt;= ($MN148+0.02), $I148&lt;10), MAX(0, MIN(10, 0.7*($NF148-$MV148))), IF(Control!$C$58=2, MIN(10,$NI148),0))</f>
        <v>#DIV/0!</v>
      </c>
      <c r="NK148" s="54" t="e">
        <f t="shared" ca="1" si="569"/>
        <v>#DIV/0!</v>
      </c>
      <c r="NL148" s="173" t="e">
        <f ca="1">(1-Control!$C$73)*$I148+$NJ148</f>
        <v>#DIV/0!</v>
      </c>
      <c r="NM148" s="172" t="e">
        <f ca="1">IF($NL148&lt;0.5, $MB148* MAX(0, MIN(1, (SQRT($NC148)-SQRT($NC148-1))*Control!$C$71)),0)</f>
        <v>#DIV/0!</v>
      </c>
      <c r="NN148" s="170" t="e">
        <f ca="1">IF($NL148&gt;=5, $MB148, MAX(0,MIN($MB148, $NM148+$NL148,($MS148-Control!$C$129))))</f>
        <v>#DIV/0!</v>
      </c>
      <c r="NO148" s="54">
        <f>IF(Control!$C$133&lt;&gt;1, Control!$C$135-Control!$C$131, 0)</f>
        <v>0.38</v>
      </c>
      <c r="NP148" s="54" t="e">
        <f t="shared" ca="1" si="570"/>
        <v>#DIV/0!</v>
      </c>
      <c r="NQ148" s="173" t="e">
        <f ca="1">MAX(0,MIN(1,(Control!$C$135-$MS148)/(Control!$C$135-$NO148)))</f>
        <v>#DIV/0!</v>
      </c>
      <c r="NR148" s="170" t="e">
        <f ca="1">IF(Control!$C$133&lt;&gt;1, $NQ148+((1-$NP148/4)*(1-$NQ148)),1)</f>
        <v>#DIV/0!</v>
      </c>
      <c r="NS148" s="170" t="e">
        <f ca="1">IF(Control!$B$31=0,$MJ148,MAX(0,MIN($MV148,$MO148*$NR148*$MJ148)))</f>
        <v>#DIV/0!</v>
      </c>
      <c r="NT148" s="170" t="e">
        <f t="shared" ca="1" si="686"/>
        <v>#DIV/0!</v>
      </c>
      <c r="NU148" s="170" t="e">
        <f t="shared" ca="1" si="662"/>
        <v>#N/A</v>
      </c>
      <c r="NV148" s="170" t="e">
        <f t="shared" ca="1" si="571"/>
        <v>#N/A</v>
      </c>
      <c r="NW148" s="175" t="e">
        <f t="shared" ca="1" si="572"/>
        <v>#DIV/0!</v>
      </c>
      <c r="NX148" s="170" t="e">
        <f ca="1">MIN(Control!$C$72+$MU148, $NW148)</f>
        <v>#DIV/0!</v>
      </c>
      <c r="NY148" s="170" t="e">
        <f ca="1">IF($MT148&lt;=$NX148,MIN(Control!$C$72+$NB148,$NX148-$MT148),0)</f>
        <v>#DIV/0!</v>
      </c>
      <c r="NZ148" s="54" t="e">
        <f ca="1">IF(Control!$C$114=1,  $CX148*($MX148-Control!$C$127), 0)</f>
        <v>#DIV/0!</v>
      </c>
      <c r="OA148" s="170" t="e">
        <f t="shared" ca="1" si="573"/>
        <v>#DIV/0!</v>
      </c>
      <c r="OB148" s="170" t="e">
        <f ca="1">IF($NA148 &lt;=$NY148, MIN(Control!$C$72, $NY148-$NA148), 0)</f>
        <v>#DIV/0!</v>
      </c>
      <c r="OC148" s="168" t="e">
        <f t="shared" ca="1" si="574"/>
        <v>#DIV/0!</v>
      </c>
      <c r="OD148" s="168" t="e">
        <f t="shared" ca="1" si="663"/>
        <v>#DIV/0!</v>
      </c>
      <c r="OE148" s="170">
        <f ca="1">Control!$C$73*$I148</f>
        <v>0</v>
      </c>
      <c r="OF148" s="176" t="e">
        <f t="shared" ca="1" si="575"/>
        <v>#DIV/0!</v>
      </c>
      <c r="OG148" s="168" t="e">
        <f t="shared" ca="1" si="576"/>
        <v>#DIV/0!</v>
      </c>
      <c r="OH148" s="168" t="e">
        <f t="shared" ca="1" si="577"/>
        <v>#DIV/0!</v>
      </c>
      <c r="OI148" s="168" t="e">
        <f t="shared" ca="1" si="578"/>
        <v>#DIV/0!</v>
      </c>
      <c r="OJ148" s="168" t="e">
        <f t="shared" ca="1" si="579"/>
        <v>#DIV/0!</v>
      </c>
      <c r="OK148" s="204" t="e">
        <f t="shared" ca="1" si="580"/>
        <v>#DIV/0!</v>
      </c>
      <c r="OL148" s="177">
        <f>Control!$C$127</f>
        <v>0.15</v>
      </c>
      <c r="OM148" s="182" t="e">
        <f t="shared" ca="1" si="581"/>
        <v>#N/A</v>
      </c>
      <c r="ON148" s="177">
        <f>Control!$C$128</f>
        <v>0.35</v>
      </c>
      <c r="OO148" s="182" t="e">
        <f t="shared" ca="1" si="582"/>
        <v>#N/A</v>
      </c>
      <c r="OP148" s="138">
        <f t="shared" ca="1" si="664"/>
        <v>0</v>
      </c>
      <c r="OQ148" s="138" t="e">
        <f t="shared" ca="1" si="687"/>
        <v>#DIV/0!</v>
      </c>
      <c r="OR148" s="138" t="e">
        <f t="shared" ca="1" si="665"/>
        <v>#DIV/0!</v>
      </c>
      <c r="OS148" s="137" t="e">
        <f t="shared" ca="1" si="688"/>
        <v>#DIV/0!</v>
      </c>
      <c r="OT148" s="139" t="e">
        <f t="shared" ca="1" si="689"/>
        <v>#DIV/0!</v>
      </c>
      <c r="OU148" s="138" t="e">
        <f t="shared" ca="1" si="690"/>
        <v>#N/A</v>
      </c>
      <c r="OV148" s="138" t="e">
        <f t="shared" ca="1" si="691"/>
        <v>#DIV/0!</v>
      </c>
      <c r="OW148" s="138" t="e">
        <f t="shared" ca="1" si="666"/>
        <v>#DIV/0!</v>
      </c>
      <c r="OX148" s="138" t="e">
        <f t="shared" ca="1" si="667"/>
        <v>#DIV/0!</v>
      </c>
      <c r="OY148" s="138" t="e">
        <f t="shared" ca="1" si="668"/>
        <v>#DIV/0!</v>
      </c>
      <c r="OZ148" s="138" t="e">
        <f t="shared" ca="1" si="583"/>
        <v>#DIV/0!</v>
      </c>
      <c r="PA148" s="138" t="e">
        <f t="shared" ca="1" si="584"/>
        <v>#DIV/0!</v>
      </c>
      <c r="PB148" s="55">
        <f>IF(Control!$C$61="T", IF(Control!$C$65="F", IF($AH$6-Control!$C$60&lt;0,0,1), IF(365+$AH$6-Control!$C$60&lt;0,0,1)),0)</f>
        <v>0</v>
      </c>
      <c r="PC148" s="55">
        <f ca="1">IF(Control!$C$65="F", IF($AH$6-$HF148&lt;0,0,1), IF(365+$AH$6-$HF148&lt;0,0,1))</f>
        <v>1</v>
      </c>
      <c r="PD148" s="444">
        <f>Control!$C$118</f>
        <v>1500</v>
      </c>
      <c r="PE148" s="180" t="e">
        <f t="shared" ca="1" si="585"/>
        <v>#N/A</v>
      </c>
      <c r="PF148" s="445">
        <f t="shared" ca="1" si="669"/>
        <v>0.71612369323045078</v>
      </c>
      <c r="PT148" s="186"/>
      <c r="PU148" s="186"/>
      <c r="PV148" s="94"/>
      <c r="PW148" s="94"/>
      <c r="PX148" s="94"/>
      <c r="PY148" s="94"/>
      <c r="PZ148" s="94"/>
      <c r="QA148" s="94"/>
      <c r="QB148" s="94"/>
      <c r="QC148" s="94"/>
      <c r="QD148" s="94"/>
      <c r="QE148" s="94"/>
      <c r="QF148" s="94"/>
      <c r="QG148" s="94"/>
      <c r="QH148" s="94"/>
      <c r="QI148" s="94"/>
      <c r="QJ148" s="94"/>
      <c r="QK148" s="94"/>
      <c r="QL148" s="94"/>
      <c r="QM148" s="94"/>
      <c r="QN148" s="94"/>
      <c r="QO148" s="94"/>
      <c r="QP148" s="94"/>
    </row>
    <row r="149" spans="1:458" s="2" customFormat="1" x14ac:dyDescent="0.2">
      <c r="A149" s="395">
        <v>24</v>
      </c>
      <c r="B149" s="396">
        <v>5</v>
      </c>
      <c r="C149" s="387">
        <f ca="1">Weather_data!$B148</f>
        <v>0</v>
      </c>
      <c r="D149" s="388">
        <f ca="1">Weather_data!$F148</f>
        <v>0</v>
      </c>
      <c r="E149" s="388">
        <f ca="1">Weather_data!$E148</f>
        <v>0</v>
      </c>
      <c r="F149" s="388">
        <f t="shared" ca="1" si="586"/>
        <v>0</v>
      </c>
      <c r="G149" s="388">
        <f ca="1">AVERAGE($D149:$E149)+Control!$B$9</f>
        <v>0</v>
      </c>
      <c r="H149" s="388">
        <f ca="1">Weather_data!$G148</f>
        <v>0</v>
      </c>
      <c r="I149" s="388">
        <f ca="1">Weather_data!$I148</f>
        <v>0</v>
      </c>
      <c r="J149" s="388">
        <f ca="1">Weather_data!$H148</f>
        <v>0</v>
      </c>
      <c r="K149" s="389">
        <f ca="1">Weather_data!$D148</f>
        <v>0</v>
      </c>
      <c r="L149" s="388" t="e">
        <f t="shared" ca="1" si="587"/>
        <v>#N/A</v>
      </c>
      <c r="M149" s="388" t="e">
        <f t="shared" ca="1" si="465"/>
        <v>#N/A</v>
      </c>
      <c r="N149" s="388">
        <f t="shared" ca="1" si="466"/>
        <v>-1.4310303815327708E-7</v>
      </c>
      <c r="O149" s="388">
        <f t="shared" ca="1" si="588"/>
        <v>1.4310303815327709E-6</v>
      </c>
      <c r="P149" s="390">
        <v>3</v>
      </c>
      <c r="Q149" s="388">
        <f ca="1">MAX($G149-Control!$C$107,0)</f>
        <v>0</v>
      </c>
      <c r="R149" s="388">
        <f t="shared" ca="1" si="589"/>
        <v>0</v>
      </c>
      <c r="S149" s="388">
        <f t="shared" ca="1" si="467"/>
        <v>0</v>
      </c>
      <c r="T149" s="388">
        <f t="shared" ca="1" si="468"/>
        <v>0</v>
      </c>
      <c r="U149" s="59">
        <f t="shared" ca="1" si="469"/>
        <v>0</v>
      </c>
      <c r="V149" s="391">
        <f ca="1">MAX(0,MIN(Control!$C$100-Control!$C$99,$G149-Control!$C$99)*Control!$C$63)</f>
        <v>0</v>
      </c>
      <c r="W149" s="388">
        <f t="shared" ca="1" si="590"/>
        <v>0</v>
      </c>
      <c r="X149" s="388">
        <f t="shared" ca="1" si="591"/>
        <v>0.6110000000000001</v>
      </c>
      <c r="Y149" s="388">
        <f t="shared" ca="1" si="470"/>
        <v>0</v>
      </c>
      <c r="Z149" s="388">
        <f t="shared" ca="1" si="592"/>
        <v>0.61058800000000002</v>
      </c>
      <c r="AA149" s="388">
        <f t="shared" ca="1" si="471"/>
        <v>0.6018</v>
      </c>
      <c r="AB149" s="388">
        <f ca="1">101.3*EXP(-0.034*Control!$C$66/($G149+273))</f>
        <v>100.69623283836242</v>
      </c>
      <c r="AC149" s="392">
        <f t="shared" ca="1" si="472"/>
        <v>4.3460251046025113E-2</v>
      </c>
      <c r="AD149" s="392">
        <f t="shared" ca="1" si="473"/>
        <v>4.4450382862832649E-2</v>
      </c>
      <c r="AE149" s="388">
        <f t="shared" ca="1" si="474"/>
        <v>0</v>
      </c>
      <c r="AF149" s="388">
        <f ca="1">MAX(0,$G149-Control!$C$92)</f>
        <v>0</v>
      </c>
      <c r="AG149" s="393">
        <f t="shared" ca="1" si="475"/>
        <v>145</v>
      </c>
      <c r="AH149" s="389">
        <f t="shared" ca="1" si="476"/>
        <v>145</v>
      </c>
      <c r="AI149" s="388">
        <f t="shared" ca="1" si="593"/>
        <v>0.36204474870728931</v>
      </c>
      <c r="AJ149" s="388">
        <f ca="1">IF(Control!$C$60&lt;=0,$HH149,$HI149)</f>
        <v>1</v>
      </c>
      <c r="AK149" s="388">
        <f t="shared" ca="1" si="477"/>
        <v>1.1189234108675974</v>
      </c>
      <c r="AL149" s="388">
        <f t="shared" ca="1" si="478"/>
        <v>-3.4263755027685861E-18</v>
      </c>
      <c r="AM149" s="388">
        <f t="shared" ca="1" si="479"/>
        <v>1.1189234108675974</v>
      </c>
      <c r="AN149" s="388">
        <f t="shared" ca="1" si="480"/>
        <v>0.36598920539458424</v>
      </c>
      <c r="AO149" s="388">
        <f ca="1">-0.10453/COS(Control!$B$8*PI()/180)*COS(AN149)</f>
        <v>-0.15854004799129071</v>
      </c>
      <c r="AP149" s="388">
        <f ca="1">ACOS(AO149-TAN(Control!$B$8*PI()/180)*TAN(AN149))</f>
        <v>2.2771780272636928</v>
      </c>
      <c r="AQ149" s="388">
        <f t="shared" ca="1" si="594"/>
        <v>0</v>
      </c>
      <c r="AR149" s="394">
        <f t="shared" ca="1" si="481"/>
        <v>0</v>
      </c>
      <c r="AS149" s="436">
        <f ca="1">IF(Control!$B$18=2,(IF(OR($AH149=Control!$B$175,$AH149=Control!$B$176,$AH149=Control!$B$177,$AH149=Control!$B$178,$AH149=Control!$B$179,$AH149=Control!$B$180,$AH149=Control!$B$181,$AH149=Control!$B$182,$AH149=Control!$B$183,$AH149=Control!$B$184,$AH149=Control!$B$185),1,0)),0)</f>
        <v>0</v>
      </c>
      <c r="AT149" s="436">
        <f>IF(Control!$B$20=8,IF(AND($AH149&gt;=Control!$B$172,$AH149&lt;=Control!$B$173),1,0),0)</f>
        <v>0</v>
      </c>
      <c r="AU149" s="436">
        <f>IF(Control!$B$20=8,IF($AV148=1,1*$AT149,IF($AT149=1,$AU148+1,$AU148)),0)</f>
        <v>0</v>
      </c>
      <c r="AV149" s="436">
        <f>IF(Control!$B$20=8,IF($AU149&gt;=Control!$B$174,1,0),0)</f>
        <v>0</v>
      </c>
      <c r="AW149" s="436">
        <f ca="1">IF(AND(Control!$B$18=2,Control!$B$171=1), $AV149, $AS149)</f>
        <v>0</v>
      </c>
      <c r="AX149" s="436" t="e">
        <f ca="1">IF(AND(Control!$B$18=1,$EU149&gt;=Control!$B$19),-$AY149,IF(AND(Control!$B$18=2,$AW149=1,$EU149&gt;$DS149),-$AY149, IF(Control!$C$108=0,0, IF(Control!$C$108&lt;&gt;0,1))))</f>
        <v>#N/A</v>
      </c>
      <c r="AY149" s="436" t="e">
        <f t="shared" ca="1" si="595"/>
        <v>#N/A</v>
      </c>
      <c r="AZ149" s="436" t="e">
        <f ca="1">IF(AND(Control!$B$18=1,$EB149&gt;Control!$B$19),$AZ148+1, IF(AND(Control!$B$18=2, $AW149=1, $EB149&gt;$DS149), $AZ148+1,$AZ148))</f>
        <v>#N/A</v>
      </c>
      <c r="BA149" s="587">
        <f>IF(Control!$C$81=0,1,IF($AH149&gt;=Control!$C$82,1,0))</f>
        <v>1</v>
      </c>
      <c r="BB149" s="140" t="e">
        <f ca="1">IF($BA149&gt;$BA148,Control!$C$83,IF($AW149&gt;0,$AW149*Control!$C$84,IF(AND(Control!$B$18=1,EN148&lt;&gt;0),Control!$C$84,0)))</f>
        <v>#N/A</v>
      </c>
      <c r="BC149" s="140" t="e">
        <f t="shared" ca="1" si="596"/>
        <v>#N/A</v>
      </c>
      <c r="BD149" s="140" t="e">
        <f ca="1">BC149*IF(OR($G149&lt;Control!$C$92,$G149&gt;Control!$C$95),0,IF(AND($G149&gt;=Control!$C$92,$G149&lt;=Control!$C$93),$G149-Control!$C$92,IF(AND($G149&gt;Control!$C$93,$G149&lt;=Control!$C$94),Control!$C$93-Control!$C$92,IF(AND($G149&gt;Control!$C$94,$G149&lt;=Control!$C$95),(Control!$C$93-Control!$C$92)*(Control!$C$94-$G149)/(Control!$C$95-Control!$C$94)))))</f>
        <v>#N/A</v>
      </c>
      <c r="BE149" s="140" t="e">
        <f t="shared" ca="1" si="597"/>
        <v>#N/A</v>
      </c>
      <c r="BF149" s="140" t="e">
        <f ca="1">IF($BE149&lt;=Control!$C$86,$BE149,Control!$C$86-$BE149)</f>
        <v>#N/A</v>
      </c>
      <c r="BG149" s="140" t="e">
        <f ca="1">IF(AND($AW149=1,Control!$C$84&lt;9),1,IF($BE149&gt;=Control!$C$86,0,$BC149))</f>
        <v>#N/A</v>
      </c>
      <c r="BH149" s="404" t="e">
        <f ca="1">IF($BG149=0,0,IF($BE149&lt;=Control!$C$86,$BC149*9*($BF149/Control!$C$86),0))</f>
        <v>#N/A</v>
      </c>
      <c r="BI149" s="140" t="e">
        <f ca="1">IF($BG149=1,0,IF($BE149&gt;=Control!$C$86,1,IF(AND($BB149&lt;21,$BB149&gt;=9),1,$BM148)))</f>
        <v>#N/A</v>
      </c>
      <c r="BJ149" s="140" t="e">
        <f ca="1">IF($BF149&lt;0,-$BF149,$BI149*IF(OR($G149&lt;Control!$C$92,$G149&gt;Control!$C$95),0,IF(AND($G149&gt;=Control!$C$92,$G149&lt;=Control!$C$93),$G149-Control!$C$92,IF(AND($G149&gt;Control!$C$93,$G149&lt;=Control!$C$94),Control!$C$93-Control!$C$92,IF(AND($G149&gt;Control!$C$94,$G149&lt;=Control!$C$95),(Control!$C$93-Control!$C$92)*(Control!$C$94-$G149)/(Control!$C$95-Control!$C$94))))))</f>
        <v>#N/A</v>
      </c>
      <c r="BK149" s="140" t="e">
        <f t="shared" ca="1" si="598"/>
        <v>#N/A</v>
      </c>
      <c r="BL149" s="140" t="e">
        <f ca="1">IF($BK149&lt;=Control!$C$87,$BK149,Control!$C$87-$BK149)</f>
        <v>#N/A</v>
      </c>
      <c r="BM149" s="140" t="e">
        <f ca="1">IF(AND($BB149&gt;=9,$BB149&lt;21),1,IF($BK149&gt;=Control!$C$87,0,$BI149))</f>
        <v>#N/A</v>
      </c>
      <c r="BN149" s="404" t="e">
        <f ca="1">IF($BM149=0,0,IF($BK149&lt;=Control!$C$87,$BI149*(9+(21-9)*($BL149/Control!$C$87)),0))</f>
        <v>#N/A</v>
      </c>
      <c r="BO149" s="140" t="e">
        <f ca="1">IF($BM149=1,0,IF($BK149&gt;=Control!$C$87,1,IF(AND($BB149&lt;30,$BB149&gt;=21),1,$BS148)))</f>
        <v>#N/A</v>
      </c>
      <c r="BP149" s="140" t="e">
        <f ca="1">IF($BL149&lt;0,-$BL149,$BO149*IF(OR($G149&lt;Control!$C$92,$G149&gt;Control!$C$95),0,IF(AND($G149&gt;=Control!$C$92,$G149&lt;=Control!$C$93),$G149-Control!$C$92,IF(AND($G149&gt;Control!$C$93,$G149&lt;=Control!$C$94),Control!$C$93-Control!$C$92,IF(AND($G149&gt;Control!$C$94,$G149&lt;=Control!$C$95),(Control!$C$93-Control!$C$92)*(Control!$C$94-$G149)/(Control!$C$95-Control!$C$94))))))</f>
        <v>#N/A</v>
      </c>
      <c r="BQ149" s="140" t="e">
        <f t="shared" ca="1" si="482"/>
        <v>#N/A</v>
      </c>
      <c r="BR149" s="140" t="e">
        <f ca="1">IF($BQ149&lt;=Control!$C$88,$BQ149,Control!$C$88-$BQ149)</f>
        <v>#N/A</v>
      </c>
      <c r="BS149" s="140" t="e">
        <f ca="1">IF(AND($BB149&gt;=21,$BB149&lt;30),1,IF($BQ149&gt;=Control!$C$88,0,$BO149))</f>
        <v>#N/A</v>
      </c>
      <c r="BT149" s="404" t="e">
        <f ca="1">IF($BS149=0,0,IF($BQ149&lt;=Control!$C$88,$BO149*(21+(30-21)*(BR149/Control!$C$88)),0))</f>
        <v>#N/A</v>
      </c>
      <c r="BU149" s="140" t="e">
        <f ca="1">IF(BG149+BM149+BS149=1,0,IF(OR(AND($BB149&lt;60,$BB149&gt;=30),$BQ149&gt;=Control!$C$88),1*$BA149,$BY148))</f>
        <v>#N/A</v>
      </c>
      <c r="BV149" s="140" t="e">
        <f ca="1">IF($BR149&lt;0,-$BR149,$BU149*IF(OR($G149&lt;Control!$C$92,$G149&gt;Control!$C$95),0,IF(AND($G149&gt;=Control!$C$92,$G149&lt;=Control!$C$93),$G149-Control!$C$92,IF(AND($G149&gt;Control!$C$93,$G149&lt;=Control!$C$94),Control!$C$93-Control!$C$92,IF(AND($G149&gt;Control!$C$94,$G149&lt;=Control!$C$95),(Control!$C$93-Control!$C$92)*(Control!$C$94-$G149)/(Control!$C$95-Control!$C$94))))))</f>
        <v>#N/A</v>
      </c>
      <c r="BW149" s="140" t="e">
        <f t="shared" ca="1" si="483"/>
        <v>#N/A</v>
      </c>
      <c r="BX149" s="140" t="e">
        <f ca="1">IF($BW149&lt;=Control!$C$89,$BW149,Control!$C$89-$BW149)</f>
        <v>#N/A</v>
      </c>
      <c r="BY149" s="140" t="e">
        <f ca="1">IF(AND($AJ149&gt;=30,$AJ149&lt;60),1,IF($BW149&gt;=Control!$C$89,0,$BU149))</f>
        <v>#N/A</v>
      </c>
      <c r="BZ149" s="404" t="e">
        <f ca="1">IF($BY149=0,0,IF($BW149&lt;=Control!$C$89,$BU149*(30+(60-30)*(BX149/Control!$C$89)),0))</f>
        <v>#N/A</v>
      </c>
      <c r="CA149" s="140" t="e">
        <f ca="1">IF($BG149+$BM149+$BS149+$BY149=1,0,IF(OR(AND($BB149&lt;65,$BB149&gt;=60),$BW149&gt;=Control!$C$89),1*$BA149,$CE148))</f>
        <v>#N/A</v>
      </c>
      <c r="CB149" s="140" t="e">
        <f ca="1">IF($BX149&lt;0,-$BX149,$CA149*IF(OR($G149&lt;Control!$C$92,$G149&gt;Control!$C$95),0,IF(AND($G149&gt;=Control!$C$92,$G149&lt;=Control!$C$93),$G149-Control!$C$92,IF(AND($G149&gt;Control!$C$93,$G149&lt;=Control!$C$94),Control!$C$93-Control!$C$92,IF(AND($G149&gt;Control!$C$94,$G149&lt;=Control!$C$95),(Control!$C$93-Control!$C$92)*(Control!$C$94-$G149)/(Control!$C$95-Control!$C$94))))))</f>
        <v>#N/A</v>
      </c>
      <c r="CC149" s="140" t="e">
        <f t="shared" ca="1" si="599"/>
        <v>#N/A</v>
      </c>
      <c r="CD149" s="140" t="e">
        <f ca="1">IF($CC149&lt;=Control!$C$90,$CC149,Control!$C$90-$CC149)</f>
        <v>#N/A</v>
      </c>
      <c r="CE149" s="140" t="e">
        <f ca="1">IF(AND($BB149&gt;=60,$BB149&lt;65),1,IF($CC149&gt;=Control!$C$90,0,$CA149))</f>
        <v>#N/A</v>
      </c>
      <c r="CF149" s="404" t="e">
        <f ca="1">IF($CE149=0,0,IF($CC149&lt;=Control!$C$90,$CA149*(60+(65-60)*(CD149/Control!$C$90)),0))</f>
        <v>#N/A</v>
      </c>
      <c r="CG149" s="140" t="e">
        <f ca="1">IF($BG149+$BM149+$BS149+$BY149+$CE149=1,0,IF(OR(AND($BB149&lt;90,$BB149&gt;=65),$CC149&gt;=Control!$C$90),$BA149,$CK148))</f>
        <v>#N/A</v>
      </c>
      <c r="CH149" s="140" t="e">
        <f ca="1">IF($CD149&lt;0,-$CD149,$CG149*IF(OR($G149&lt;Control!$C$92,$G149&gt;Control!$C$95),0,IF(AND($G149&gt;=Control!$C$92,$G149&lt;=Control!$C$93),$G149-Control!$C$92,IF(AND($G149&gt;Control!$C$93,$G149&lt;=Control!$C$94),Control!$C$93-Control!$C$92,IF(AND($G149&gt;Control!$C$94,$G149&lt;=Control!$C$95),(Control!$C$93-Control!$C$92)*(Control!$C$94-$G149)/(Control!$C$95-Control!$C$94))))))</f>
        <v>#N/A</v>
      </c>
      <c r="CI149" s="140" t="e">
        <f t="shared" ca="1" si="600"/>
        <v>#N/A</v>
      </c>
      <c r="CJ149" s="140" t="e">
        <f ca="1">IF($CI149&lt;=Control!$C$91,$CI149,Control!$C$91-$CI149)</f>
        <v>#N/A</v>
      </c>
      <c r="CK149" s="140" t="e">
        <f ca="1">IF(AND($BB149&gt;=65,$BB149&lt;90),1,IF($CI149&gt;=Control!$C$91,0,$CG149))</f>
        <v>#N/A</v>
      </c>
      <c r="CL149" s="404" t="e">
        <f ca="1">IF($CK149=0,0,IF($CI149&lt;=Control!$C$91,$CG149*(65+(90-65)*($CJ149/Control!$C$91)),0))</f>
        <v>#N/A</v>
      </c>
      <c r="CM149" s="140" t="e">
        <f ca="1">IF($BG149+$BM149+$BS149+$BY149+$CE149+$CK149=1,0,IF(OR($BB149&gt;=90,$CI149&gt;=Control!$C$91),$BA149,$CM148))</f>
        <v>#N/A</v>
      </c>
      <c r="CN149" s="140" t="e">
        <f t="shared" ca="1" si="601"/>
        <v>#N/A</v>
      </c>
      <c r="CO149" s="140" t="e">
        <f t="shared" ca="1" si="602"/>
        <v>#N/A</v>
      </c>
      <c r="CP149" s="140" t="e">
        <f t="shared" ca="1" si="603"/>
        <v>#N/A</v>
      </c>
      <c r="CQ149" s="141" t="e">
        <f ca="1">VLOOKUP($CP149,Control!$B$86:$G$91,6)</f>
        <v>#N/A</v>
      </c>
      <c r="CR149" s="141" t="e">
        <f ca="1">(1-$CQ149)*VLOOKUP($CP149,Control!$B$86:$D$91,3)</f>
        <v>#N/A</v>
      </c>
      <c r="CS149" s="141" t="e">
        <f ca="1">(1-$CQ149)*VLOOKUP($CP149,Control!$B$86:$E$91,4)</f>
        <v>#N/A</v>
      </c>
      <c r="CT149" s="141" t="e">
        <f ca="1">(1-$CQ149)*VLOOKUP($CP149,Control!$B$86:$F$91,5)</f>
        <v>#N/A</v>
      </c>
      <c r="CU149" s="141">
        <f t="shared" ca="1" si="604"/>
        <v>0</v>
      </c>
      <c r="CV149" s="583">
        <f t="shared" ca="1" si="605"/>
        <v>0</v>
      </c>
      <c r="CW149" s="142">
        <f t="shared" ca="1" si="606"/>
        <v>145</v>
      </c>
      <c r="CX149" s="612" t="e">
        <f ca="1">IF(Control!$C$114=1,(MIN(Control!$C$120*(IF($NT149-0.01&lt;0,0,1)),Control!$C$119-$CY149)))</f>
        <v>#DIV/0!</v>
      </c>
      <c r="CY149" s="143" t="e">
        <f t="shared" ca="1" si="607"/>
        <v>#N/A</v>
      </c>
      <c r="CZ149" s="144">
        <f t="shared" ca="1" si="484"/>
        <v>0</v>
      </c>
      <c r="DA149" s="144">
        <f t="shared" ca="1" si="485"/>
        <v>0</v>
      </c>
      <c r="DB149" s="144" t="e">
        <f t="shared" ca="1" si="486"/>
        <v>#N/A</v>
      </c>
      <c r="DC149" s="144" t="e">
        <f t="shared" ca="1" si="487"/>
        <v>#N/A</v>
      </c>
      <c r="DD149" s="144" t="e">
        <f t="shared" ca="1" si="692"/>
        <v>#N/A</v>
      </c>
      <c r="DE149" s="143" t="e">
        <f t="shared" ca="1" si="608"/>
        <v>#N/A</v>
      </c>
      <c r="DF149" s="145" t="e">
        <f ca="1">$DR149*EXP(-Control!$C$158*(1-$KH149))</f>
        <v>#N/A</v>
      </c>
      <c r="DG149" s="146" t="e">
        <f ca="1">IF(Control!$C$114=1, $DF149*$EY149, 0)</f>
        <v>#N/A</v>
      </c>
      <c r="DH149" s="147" t="e">
        <f t="shared" ca="1" si="609"/>
        <v>#N/A</v>
      </c>
      <c r="DI149" s="144" t="e">
        <f t="shared" ca="1" si="670"/>
        <v>#N/A</v>
      </c>
      <c r="DJ149" s="147" t="e">
        <f ca="1">$EF149*Control!$C$109</f>
        <v>#N/A</v>
      </c>
      <c r="DK149" s="144" t="e">
        <f t="shared" ca="1" si="610"/>
        <v>#N/A</v>
      </c>
      <c r="DL149" s="144" t="e">
        <f t="shared" ca="1" si="488"/>
        <v>#N/A</v>
      </c>
      <c r="DM149" s="144" t="e">
        <f ca="1">IF(Control!$C$114=1, (1-EXP(-Control!$C$96*$DK149))*$AR149, 0)</f>
        <v>#N/A</v>
      </c>
      <c r="DN149" s="144">
        <f t="shared" ca="1" si="611"/>
        <v>0</v>
      </c>
      <c r="DO149" s="148">
        <f>Control!$C$97</f>
        <v>4</v>
      </c>
      <c r="DP149" s="145" t="e">
        <f t="shared" ca="1" si="612"/>
        <v>#N/A</v>
      </c>
      <c r="DQ149" s="145" t="e">
        <f ca="1">IF(AND($CP149&gt;=0,$CP149&lt;=90),Control!$C$111,Control!$C$111)</f>
        <v>#N/A</v>
      </c>
      <c r="DR149" s="145" t="e">
        <f t="shared" ca="1" si="489"/>
        <v>#N/A</v>
      </c>
      <c r="DS149" s="143" t="e">
        <f ca="1">Control!$B$22/$DR149</f>
        <v>#N/A</v>
      </c>
      <c r="DT149" s="149" t="e">
        <f ca="1">IF(AND(Control!$C$114=1,$KH149&lt;1),$IM149*$DF149, 0)</f>
        <v>#N/A</v>
      </c>
      <c r="DU149" s="144" t="e">
        <f t="shared" ca="1" si="613"/>
        <v>#N/A</v>
      </c>
      <c r="DV149" s="144">
        <f ca="1">IF($G149-Control!$C$107&lt;=0, 0, 0.83*LN(MAX($G149, 3))-0.8924)</f>
        <v>0</v>
      </c>
      <c r="DW149" s="144" t="e">
        <f t="shared" ca="1" si="490"/>
        <v>#N/A</v>
      </c>
      <c r="DX149" s="150" t="e">
        <f ca="1">MAX(0.01*(1+$CU149/Control!$C$102),0.05*($DK149-Control!$C$97)/Control!$C$97)</f>
        <v>#N/A</v>
      </c>
      <c r="DY149" s="151" t="e">
        <f ca="1">IF(Control!$C$114=1, $DI149*$FS149, 0)</f>
        <v>#N/A</v>
      </c>
      <c r="DZ149" s="196" t="e">
        <f t="shared" ca="1" si="614"/>
        <v>#N/A</v>
      </c>
      <c r="EA149" s="152">
        <f t="shared" ca="1" si="615"/>
        <v>145</v>
      </c>
      <c r="EB149" s="153" t="e">
        <f t="shared" ca="1" si="616"/>
        <v>#N/A</v>
      </c>
      <c r="EC149" s="153" t="e">
        <f t="shared" ca="1" si="617"/>
        <v>#N/A</v>
      </c>
      <c r="ED149" s="154" t="e">
        <f ca="1">IF(Control!$C$114=1, $HM149*$FY149-$FD149, 0)</f>
        <v>#DIV/0!</v>
      </c>
      <c r="EE149" s="155" t="e">
        <f ca="1">IF(Control!$C$114=1, $HM149*$FZ149-$FF149, 0)</f>
        <v>#DIV/0!</v>
      </c>
      <c r="EF149" s="153" t="e">
        <f t="shared" ca="1" si="671"/>
        <v>#N/A</v>
      </c>
      <c r="EG149" s="155" t="e">
        <f ca="1">IF(Control!$C$114=1, $GX149*$FW149-$FI149, 0)</f>
        <v>#DIV/0!</v>
      </c>
      <c r="EH149" s="153" t="e">
        <f t="shared" ca="1" si="618"/>
        <v>#N/A</v>
      </c>
      <c r="EI149" s="156" t="e">
        <f t="shared" ca="1" si="619"/>
        <v>#N/A</v>
      </c>
      <c r="EJ149" s="155" t="e">
        <f ca="1">IF(Control!$C$114=1, $HM149*$GB149, 0)</f>
        <v>#DIV/0!</v>
      </c>
      <c r="EK149" s="153" t="e">
        <f t="shared" ca="1" si="672"/>
        <v>#N/A</v>
      </c>
      <c r="EL149" s="153" t="e">
        <f t="shared" ca="1" si="491"/>
        <v>#N/A</v>
      </c>
      <c r="EM149" s="153" t="e">
        <f t="shared" ca="1" si="492"/>
        <v>#N/A</v>
      </c>
      <c r="EN149" s="153" t="e">
        <f ca="1">IF(Control!$C$108=1,IF(AND(Control!$B$18=1,$EB149&gt;=Control!$B$19),$EB149-$DS149,IF(AND(Control!$B$18=2,$AW149=1,$EB149&gt;$DS149),$EB149-$DS149,0)))</f>
        <v>#N/A</v>
      </c>
      <c r="EO149" s="153" t="e">
        <f ca="1">IF(Control!$C$108=1,IF(AND(Control!$B$18=1,$EB149&gt;=Control!$B$19),$EF149,IF(AND(Control!$B$18=2,$AW149=1),$EF149,0)))</f>
        <v>#N/A</v>
      </c>
      <c r="EP149" s="153" t="e">
        <f ca="1">IF(Control!$C$108=1,IF(AND(Control!$B$18=1,$EB149&gt;=Control!$B$19),$EK149,IF(AND(Control!$B$18=2,$AW149=1),$EK149,0)))</f>
        <v>#N/A</v>
      </c>
      <c r="EQ149" s="153" t="e">
        <f t="shared" ca="1" si="620"/>
        <v>#N/A</v>
      </c>
      <c r="ER149" s="153" t="e">
        <f t="shared" ca="1" si="621"/>
        <v>#N/A</v>
      </c>
      <c r="ES149" s="153" t="e">
        <f t="shared" ca="1" si="673"/>
        <v>#N/A</v>
      </c>
      <c r="ET149" s="153" t="e">
        <f t="shared" ca="1" si="674"/>
        <v>#N/A</v>
      </c>
      <c r="EU149" s="153" t="e">
        <f t="shared" ca="1" si="622"/>
        <v>#N/A</v>
      </c>
      <c r="EV149" s="153" t="e">
        <f t="shared" ca="1" si="493"/>
        <v>#N/A</v>
      </c>
      <c r="EW149" s="153" t="e">
        <f t="shared" ca="1" si="494"/>
        <v>#N/A</v>
      </c>
      <c r="EX149" s="153" t="e">
        <f t="shared" ca="1" si="495"/>
        <v>#N/A</v>
      </c>
      <c r="EY149" s="157" t="e">
        <f t="shared" ca="1" si="496"/>
        <v>#DIV/0!</v>
      </c>
      <c r="EZ149" s="154" t="e">
        <f t="shared" ca="1" si="497"/>
        <v>#DIV/0!</v>
      </c>
      <c r="FA149" s="153" t="e">
        <f t="shared" ca="1" si="623"/>
        <v>#N/A</v>
      </c>
      <c r="FB149" s="153" t="e">
        <f t="shared" ca="1" si="498"/>
        <v>#N/A</v>
      </c>
      <c r="FC149" s="193" t="e">
        <f t="shared" ca="1" si="499"/>
        <v>#N/A</v>
      </c>
      <c r="FD149" s="158" t="e">
        <f t="shared" ca="1" si="624"/>
        <v>#N/A</v>
      </c>
      <c r="FE149" s="158" t="e">
        <f t="shared" ca="1" si="625"/>
        <v>#N/A</v>
      </c>
      <c r="FF149" s="159" t="e">
        <f t="shared" ca="1" si="500"/>
        <v>#N/A</v>
      </c>
      <c r="FG149" s="160" t="e">
        <f t="shared" ca="1" si="626"/>
        <v>#N/A</v>
      </c>
      <c r="FH149" s="158" t="e">
        <f t="shared" ca="1" si="627"/>
        <v>#N/A</v>
      </c>
      <c r="FI149" s="159" t="e">
        <f t="shared" ca="1" si="501"/>
        <v>#N/A</v>
      </c>
      <c r="FJ149" s="160" t="e">
        <f t="shared" ca="1" si="628"/>
        <v>#N/A</v>
      </c>
      <c r="FK149" s="160" t="e">
        <f t="shared" ca="1" si="502"/>
        <v>#N/A</v>
      </c>
      <c r="FL149" s="160" t="e">
        <f t="shared" ca="1" si="675"/>
        <v>#N/A</v>
      </c>
      <c r="FM149" s="160" t="e">
        <f t="shared" ca="1" si="503"/>
        <v>#N/A</v>
      </c>
      <c r="FN149" s="158">
        <f t="shared" ca="1" si="629"/>
        <v>0.01</v>
      </c>
      <c r="FO149" s="160">
        <f>Control!$C$101</f>
        <v>50</v>
      </c>
      <c r="FP149" s="150" t="e">
        <f t="shared" ca="1" si="504"/>
        <v>#N/A</v>
      </c>
      <c r="FQ149" s="150" t="e">
        <f ca="1">MAX(0,(Control!$C$112*(($DK149-Control!$C$97)/Control!$C$97)))</f>
        <v>#N/A</v>
      </c>
      <c r="FR149" s="150" t="e">
        <f ca="1">(1-$NT149)*Control!$C$113</f>
        <v>#DIV/0!</v>
      </c>
      <c r="FS149" s="198" t="e">
        <f t="shared" ca="1" si="505"/>
        <v>#N/A</v>
      </c>
      <c r="FT149" s="161">
        <f t="shared" ca="1" si="630"/>
        <v>145</v>
      </c>
      <c r="FU149" s="162" t="e">
        <f ca="1">IF(Control!$B$34=1,VLOOKUP($CP149,Control!$B$86:$G$91,6),Control!$B$35)</f>
        <v>#N/A</v>
      </c>
      <c r="FV149" s="162" t="e">
        <f t="shared" ca="1" si="506"/>
        <v>#DIV/0!</v>
      </c>
      <c r="FW149" s="162" t="e">
        <f ca="1">IF(Control!$B$31=1,$FU149*$FV149,  $FU149)</f>
        <v>#N/A</v>
      </c>
      <c r="FX149" s="162" t="e">
        <f ca="1">IF(Control!$B$34=1,VLOOKUP($CP149,Control!$B$86:$G$91,3),Control!$B$36)</f>
        <v>#N/A</v>
      </c>
      <c r="FY149" s="162" t="e">
        <f t="shared" ca="1" si="507"/>
        <v>#N/A</v>
      </c>
      <c r="FZ149" s="162" t="e">
        <f ca="1">IF(Control!$B$34=1,VLOOKUP($CP149,Control!$B$86:$G$91,4),Control!$B$37)</f>
        <v>#N/A</v>
      </c>
      <c r="GA149" s="162" t="e">
        <f t="shared" ca="1" si="508"/>
        <v>#N/A</v>
      </c>
      <c r="GB149" s="162" t="e">
        <f ca="1">IF(Control!$B$34=1,VLOOKUP($CP149,Control!$B$86:$G$91,5),Control!$B$38)</f>
        <v>#N/A</v>
      </c>
      <c r="GC149" s="162" t="e">
        <f t="shared" ca="1" si="631"/>
        <v>#N/A</v>
      </c>
      <c r="GD149" s="162">
        <f t="shared" ca="1" si="509"/>
        <v>1</v>
      </c>
      <c r="GE149" s="162">
        <f t="shared" ca="1" si="510"/>
        <v>1</v>
      </c>
      <c r="GF149" s="162">
        <f ca="1">IF(AND(Control!$C$104=1, Control!$C$62="F"),$GE149,1)</f>
        <v>1</v>
      </c>
      <c r="GG149" s="162" t="e">
        <f ca="1">IF(Control!$B$16=40,0,IF(AND(Control!$B$16&gt;40,Control!$B$16&lt;=360),(Control!$B$16-40)*((1-0)/(360-40)),IF(AND(Control!$B$16&gt;360,Control!$B$16&lt;=720),(1+(Control!$B$16-360)*((1.25-1)/(720-360))),IF(AND(Control!$B$16&gt;720,Control!$B$16&lt;=1000),(1.25+(Control!$B$16-720)*((1.35-1.25)/(1000-720))),IF(AND(Control!$B$16&gt;1000,Control!$B$16&lt;=2000),(1.35+(Control!$B$16-1000)*0))))))</f>
        <v>#N/A</v>
      </c>
      <c r="GH149" s="162" t="e">
        <f t="shared" ca="1" si="511"/>
        <v>#N/A</v>
      </c>
      <c r="GI149" s="162">
        <f t="shared" ca="1" si="632"/>
        <v>0</v>
      </c>
      <c r="GJ149" s="162">
        <f t="shared" ca="1" si="512"/>
        <v>0</v>
      </c>
      <c r="GK149" s="162">
        <f t="shared" ca="1" si="633"/>
        <v>1</v>
      </c>
      <c r="GL149" s="162">
        <f t="shared" ca="1" si="513"/>
        <v>1</v>
      </c>
      <c r="GM149" s="162" t="e">
        <f ca="1">MAX(0,MIN(1,1-Control!$C$156*(1.0001-$KH149)^2))</f>
        <v>#N/A</v>
      </c>
      <c r="GN149" s="162" t="e">
        <f ca="1">IF(Control!$B$26=1,$KU149,$KX149)</f>
        <v>#N/A</v>
      </c>
      <c r="GO149" s="162" t="e">
        <f ca="1">IF($CP149&lt;=60,Control!$C$105,IF($CP149&gt;=90,Control!$C$106,Control!$C$105+($CP149-60)*((Control!$C$106-Control!$C$105)/(90-60))))</f>
        <v>#N/A</v>
      </c>
      <c r="GP149" s="162" t="e">
        <f t="shared" ca="1" si="514"/>
        <v>#N/A</v>
      </c>
      <c r="GQ149" s="162" t="e">
        <f t="shared" ca="1" si="634"/>
        <v>#N/A</v>
      </c>
      <c r="GR149" s="163" t="e">
        <f t="shared" ca="1" si="515"/>
        <v>#DIV/0!</v>
      </c>
      <c r="GS149" s="162" t="e">
        <f t="shared" ca="1" si="516"/>
        <v>#DIV/0!</v>
      </c>
      <c r="GT149" s="164" t="e">
        <f t="shared" ca="1" si="635"/>
        <v>#N/A</v>
      </c>
      <c r="GU149" s="162" t="e">
        <f t="shared" ca="1" si="636"/>
        <v>#N/A</v>
      </c>
      <c r="GV149" s="162" t="e">
        <f t="shared" ca="1" si="517"/>
        <v>#N/A</v>
      </c>
      <c r="GW149" s="162" t="e">
        <f t="shared" ca="1" si="518"/>
        <v>#DIV/0!</v>
      </c>
      <c r="GX149" s="162" t="e">
        <f t="shared" ca="1" si="637"/>
        <v>#DIV/0!</v>
      </c>
      <c r="GY149" s="162" t="e">
        <f t="shared" ca="1" si="638"/>
        <v>#DIV/0!</v>
      </c>
      <c r="GZ149" s="165" t="e">
        <f t="shared" ca="1" si="519"/>
        <v>#N/A</v>
      </c>
      <c r="HA149" s="162" t="e">
        <f ca="1">IF(Control!$C$114=1, $DI149*$FS149, 0)</f>
        <v>#N/A</v>
      </c>
      <c r="HB149" s="162" t="e">
        <f ca="1">$FA149/Control!$C$64</f>
        <v>#N/A</v>
      </c>
      <c r="HC149" s="162" t="e">
        <f t="shared" ca="1" si="520"/>
        <v>#DIV/0!</v>
      </c>
      <c r="HD149" s="162">
        <f ca="1">-ASIN(SIN(23.45*Control!$C$139)*COS(2*Control!$C$138*($AH149+10)/365))</f>
        <v>0.36204474870728931</v>
      </c>
      <c r="HE149" s="165">
        <f t="shared" ca="1" si="639"/>
        <v>0</v>
      </c>
      <c r="HF149" s="166">
        <f ca="1">IF(AND(Control!$C$61="T",$HE149&gt;=Control!$C$103,Control!$C$114=0),$AH149,Control!$C$59)</f>
        <v>1</v>
      </c>
      <c r="HG149" s="166">
        <f ca="1">IF(AND(Control!$C$61="T",$HE149&gt;=Control!$C$103,Control!$C$114=0),$HF149,Control!$C$59)</f>
        <v>1</v>
      </c>
      <c r="HH149" s="165">
        <f ca="1">IF(AND(OR(Control!$C$60&lt;=0, $AH149= Control!$C$59, Control!$C$60 &gt;0, $AH149 = Control!$C$60)), Control!$C$59, IF(Control!$C$60&gt;0, 0))</f>
        <v>1</v>
      </c>
      <c r="HI149" s="165">
        <f ca="1">IF(AND(OR(Control!$C$60&lt;=0, $AH149= Control!$C$59, Control!$C$60 &gt;0, $AH149 = Control!$C$60)), Control!$C$60, IF(Control!$C$60&lt;=0, 0))</f>
        <v>0</v>
      </c>
      <c r="HJ149" s="166">
        <f ca="1">IF(AND(Control!$C$62="F",$CV149&gt;=Control!$C$102),$AH149,0)</f>
        <v>0</v>
      </c>
      <c r="HK149" s="165" t="e">
        <f t="shared" ca="1" si="676"/>
        <v>#N/A</v>
      </c>
      <c r="HL149" s="166">
        <f ca="1">IF(AND(Control!$C$61="T",$HE149&gt;=Control!$C$103,Control!$C$114=0),$HF149,0)</f>
        <v>0</v>
      </c>
      <c r="HM149" s="201" t="e">
        <f t="shared" ca="1" si="521"/>
        <v>#DIV/0!</v>
      </c>
      <c r="HN149" s="215">
        <f t="shared" ca="1" si="640"/>
        <v>145</v>
      </c>
      <c r="HO149" s="216" t="e">
        <f ca="1">IF(AND($CP149&gt;=0, $CP149&lt;=90), Control!$C$152, Control!$C$152)</f>
        <v>#N/A</v>
      </c>
      <c r="HP149" s="216" t="e">
        <f t="shared" ca="1" si="522"/>
        <v>#N/A</v>
      </c>
      <c r="HQ149" s="217" t="e">
        <f ca="1">IF(OR(Control!$B$26=1,Control!$B$26=2),$KV149,$KS149)</f>
        <v>#DIV/0!</v>
      </c>
      <c r="HR149" s="218" t="e">
        <f t="shared" ca="1" si="677"/>
        <v>#DIV/0!</v>
      </c>
      <c r="HS149" s="216" t="e">
        <f ca="1">Control!$C$154*$HP149</f>
        <v>#N/A</v>
      </c>
      <c r="HT149" s="216" t="e">
        <f ca="1">Control!$C$155*$HP149</f>
        <v>#N/A</v>
      </c>
      <c r="HU149" s="217" t="e">
        <f ca="1">Control!$C$161*$FI149</f>
        <v>#N/A</v>
      </c>
      <c r="HV149" s="218" t="e">
        <f t="shared" ca="1" si="641"/>
        <v>#N/A</v>
      </c>
      <c r="HW149" s="218" t="e">
        <f ca="1">Control!$C$160*$FF149+$IP149*$EO149</f>
        <v>#N/A</v>
      </c>
      <c r="HX149" s="218" t="e">
        <f t="shared" ca="1" si="678"/>
        <v>#N/A</v>
      </c>
      <c r="HY149" s="219" t="e">
        <f ca="1">IF(Control!$C$114=1, $EB149*$FS149, 0)</f>
        <v>#N/A</v>
      </c>
      <c r="HZ149" s="91" t="e">
        <f t="shared" ca="1" si="523"/>
        <v>#N/A</v>
      </c>
      <c r="IA149" s="220" t="e">
        <f ca="1">Control!$C$153*$HO149</f>
        <v>#N/A</v>
      </c>
      <c r="IB149" s="218" t="e">
        <f t="shared" ca="1" si="524"/>
        <v>#N/A</v>
      </c>
      <c r="IC149" s="220" t="e">
        <f ca="1">Control!$C$153*$HT149</f>
        <v>#N/A</v>
      </c>
      <c r="ID149" s="218" t="e">
        <f t="shared" ca="1" si="525"/>
        <v>#N/A</v>
      </c>
      <c r="IE149" s="221" t="e">
        <f ca="1">($EB149*Control!$C$159+$EF149*Control!$C$160)/(IF($GZ149&lt;&gt;0,$GZ149,1))</f>
        <v>#N/A</v>
      </c>
      <c r="IF149" s="216" t="e">
        <f t="shared" ca="1" si="526"/>
        <v>#N/A</v>
      </c>
      <c r="IG149" s="91">
        <f ca="1">IF(OR(Control!$B$198=$AH149,Control!$B$199=$AH149, Control!$B$200=$AH149, Control!$B$201=$AH149, Control!$B$202=$AH149, Control!$B$203=$AH149, Control!$B$204=$AH149, Control!$B$205=$AH149, Control!$B$206=$AH149, Control!$B$207=$AH149), 1, 0)</f>
        <v>0</v>
      </c>
      <c r="IH149" s="91">
        <f ca="1">IF($IG149=0,0, VLOOKUP($AH149,Control!$B$198:$C$207,2))</f>
        <v>0</v>
      </c>
      <c r="II149" s="222">
        <f t="shared" ca="1" si="642"/>
        <v>0</v>
      </c>
      <c r="IJ149" s="91">
        <f>Control!$C$121</f>
        <v>0.7</v>
      </c>
      <c r="IK149" s="218">
        <f t="shared" ca="1" si="527"/>
        <v>0</v>
      </c>
      <c r="IL149" s="217" t="e">
        <f t="shared" ca="1" si="679"/>
        <v>#N/A</v>
      </c>
      <c r="IM149" s="223" t="e">
        <f ca="1">IF(AND(Control!$C$114=1,$KH149&lt;1),$EB149*Control!$C$148*(1-$KH149), 0)</f>
        <v>#N/A</v>
      </c>
      <c r="IN149" s="217" t="e">
        <f t="shared" ca="1" si="528"/>
        <v>#DIV/0!</v>
      </c>
      <c r="IO149" s="91" t="e">
        <f ca="1">MAX(0,$IL149-$EF149*Control!$C$160)</f>
        <v>#N/A</v>
      </c>
      <c r="IP149" s="220" t="e">
        <f t="shared" ca="1" si="529"/>
        <v>#N/A</v>
      </c>
      <c r="IQ149" s="217" t="e">
        <f t="shared" ca="1" si="643"/>
        <v>#N/A</v>
      </c>
      <c r="IR149" s="218" t="e">
        <f t="shared" ca="1" si="530"/>
        <v>#N/A</v>
      </c>
      <c r="IS149" s="217" t="e">
        <f ca="1">Control!$C$159*MAX(0,$FD149-$EN149)</f>
        <v>#N/A</v>
      </c>
      <c r="IT149" s="217" t="e">
        <f t="shared" ca="1" si="680"/>
        <v>#N/A</v>
      </c>
      <c r="IU149" s="217" t="e">
        <f t="shared" ca="1" si="644"/>
        <v>#N/A</v>
      </c>
      <c r="IV149" s="217" t="e">
        <f t="shared" ca="1" si="681"/>
        <v>#N/A</v>
      </c>
      <c r="IW149" s="217" t="e">
        <f ca="1">IF(OR($AW149=1,AND($AW149=0, Control!$B$18=1,$EN149&lt;&gt;0)), $IQ149-$IU149, $IQ149)</f>
        <v>#N/A</v>
      </c>
      <c r="IX149" s="218" t="e">
        <f t="shared" ca="1" si="531"/>
        <v>#N/A</v>
      </c>
      <c r="IY149" s="218" t="e">
        <f ca="1">MAX(0,$IQ149-$EB149*Control!$C$159)</f>
        <v>#N/A</v>
      </c>
      <c r="IZ149" s="218" t="e">
        <f t="shared" ca="1" si="532"/>
        <v>#N/A</v>
      </c>
      <c r="JA149" s="216" t="e">
        <f t="shared" ca="1" si="533"/>
        <v>#N/A</v>
      </c>
      <c r="JB149" s="217" t="e">
        <f t="shared" ca="1" si="534"/>
        <v>#N/A</v>
      </c>
      <c r="JC149" s="222" t="e">
        <f ca="1">MAX(Control!$C$157*$EK149-$JT149, 0)/Control!$C$162</f>
        <v>#N/A</v>
      </c>
      <c r="JD149" s="218" t="e">
        <f t="shared" ca="1" si="535"/>
        <v>#N/A</v>
      </c>
      <c r="JE149" s="218" t="e">
        <f t="shared" ca="1" si="536"/>
        <v>#N/A</v>
      </c>
      <c r="JF149" s="218" t="e">
        <f t="shared" ca="1" si="645"/>
        <v>#N/A</v>
      </c>
      <c r="JG149" s="218" t="e">
        <f t="shared" ca="1" si="537"/>
        <v>#N/A</v>
      </c>
      <c r="JH149" s="217" t="e">
        <f t="shared" ca="1" si="646"/>
        <v>#N/A</v>
      </c>
      <c r="JI149" s="217" t="e">
        <f t="shared" ca="1" si="647"/>
        <v>#N/A</v>
      </c>
      <c r="JJ149" s="217" t="e">
        <f t="shared" ca="1" si="682"/>
        <v>#N/A</v>
      </c>
      <c r="JK149" s="217" t="e">
        <f ca="1">IF(Control!$C$114=1,IF(Control!$B$24=0,MAX(0,$JI149)*$GN149/Control!$C$64,(MAX(0,MIN($JI149,$JJ149*$GN149/Control!$C$64),0))))</f>
        <v>#N/A</v>
      </c>
      <c r="JL149" s="217" t="e">
        <f ca="1">$IK149/Control!$C$64-$JK149+$HQ149</f>
        <v>#N/A</v>
      </c>
      <c r="JM149" s="217" t="e">
        <f ca="1">IF(Control!$C$114=1,($JB149/(IF($JI149&lt;&gt;0,$JI149,1)))*$JK149,0)</f>
        <v>#N/A</v>
      </c>
      <c r="JN149" s="217" t="e">
        <f ca="1">IF(Control!$C$114=1,($JG149/(IF($JI149&lt;&gt;0,$JI149,1)))*$JK149, 0)</f>
        <v>#N/A</v>
      </c>
      <c r="JO149" s="218" t="e">
        <f t="shared" ca="1" si="538"/>
        <v>#N/A</v>
      </c>
      <c r="JP149" s="218" t="e">
        <f ca="1">MIN(($IY149+$IO149)*Control!$C$151, $JF149-$EH149*Control!$C$161)</f>
        <v>#N/A</v>
      </c>
      <c r="JQ149" s="218" t="e">
        <f t="shared" ca="1" si="539"/>
        <v>#N/A</v>
      </c>
      <c r="JR149" s="217" t="e">
        <f ca="1">IF($CP149-Control!$C$150&lt;0, 0, $JQ149/Control!$C$162)</f>
        <v>#N/A</v>
      </c>
      <c r="JS149" s="218" t="e">
        <f t="shared" ca="1" si="540"/>
        <v>#N/A</v>
      </c>
      <c r="JT149" s="218" t="e">
        <f t="shared" ca="1" si="648"/>
        <v>#N/A</v>
      </c>
      <c r="JU149" s="218" t="e">
        <f t="shared" ca="1" si="541"/>
        <v>#N/A</v>
      </c>
      <c r="JV149" s="218" t="e">
        <f t="shared" ca="1" si="542"/>
        <v>#N/A</v>
      </c>
      <c r="JW149" s="216" t="e">
        <f t="shared" ca="1" si="543"/>
        <v>#N/A</v>
      </c>
      <c r="JX149" s="91" t="e">
        <f t="shared" ca="1" si="544"/>
        <v>#N/A</v>
      </c>
      <c r="JY149" s="218" t="e">
        <f t="shared" ca="1" si="545"/>
        <v>#N/A</v>
      </c>
      <c r="JZ149" s="217" t="e">
        <f ca="1">IF(Control!$C$114=1,($IZ149/(IF($JI149&lt;&gt;0,$JI149,1)))*$JK149, 0)</f>
        <v>#N/A</v>
      </c>
      <c r="KA149" s="218" t="e">
        <f t="shared" ca="1" si="683"/>
        <v>#N/A</v>
      </c>
      <c r="KB149" s="218" t="e">
        <f t="shared" ca="1" si="649"/>
        <v>#N/A</v>
      </c>
      <c r="KC149" s="218" t="e">
        <f t="shared" ca="1" si="546"/>
        <v>#N/A</v>
      </c>
      <c r="KD149" s="218" t="e">
        <f t="shared" ca="1" si="547"/>
        <v>#N/A</v>
      </c>
      <c r="KE149" s="218" t="e">
        <f t="shared" ca="1" si="548"/>
        <v>#N/A</v>
      </c>
      <c r="KF149" s="218" t="e">
        <f t="shared" ca="1" si="549"/>
        <v>#N/A</v>
      </c>
      <c r="KG149" s="216" t="e">
        <f t="shared" ca="1" si="550"/>
        <v>#N/A</v>
      </c>
      <c r="KH149" s="221" t="e">
        <f ca="1">IF(Control!$B$24=0,1,MAX(0.001,MIN(1,IF(($IF149-$IE149)&lt;&gt;0,($KG149-$IE149)/($IF149-$IE149),1))))</f>
        <v>#N/A</v>
      </c>
      <c r="KI149" s="222" t="e">
        <f ca="1">IF(Control!$C$114=1, $KI148+ $KH148, 0)</f>
        <v>#N/A</v>
      </c>
      <c r="KJ149" s="217" t="e">
        <f t="shared" ca="1" si="551"/>
        <v>#N/A</v>
      </c>
      <c r="KK149" s="218" t="e">
        <f t="shared" ca="1" si="552"/>
        <v>#N/A</v>
      </c>
      <c r="KL149" s="274" t="e">
        <f ca="1">IF(Control!$B$26=3,4000000000*EXP(-8400/($G149+273)),IF(Control!$B$26=4,4000000000*EXP(-8400/($G149+273))*($KT149),0))</f>
        <v>#DIV/0!</v>
      </c>
      <c r="KM149" s="274" t="e">
        <f ca="1">IF(Control!$B$26=3,5600000000000*EXP(-9800/($G149+273)),IF(Control!$B$26=4,5600000000000*EXP(-9800/($G149+273))*$KT149,0))</f>
        <v>#DIV/0!</v>
      </c>
      <c r="KN149" s="454" t="e">
        <f t="shared" ca="1" si="650"/>
        <v>#DIV/0!</v>
      </c>
      <c r="KO149" s="274" t="e">
        <f t="shared" ca="1" si="651"/>
        <v>#DIV/0!</v>
      </c>
      <c r="KP149" s="454" t="e">
        <f t="shared" ca="1" si="553"/>
        <v>#DIV/0!</v>
      </c>
      <c r="KQ149" s="454" t="e">
        <f t="shared" ca="1" si="554"/>
        <v>#DIV/0!</v>
      </c>
      <c r="KR149" s="454" t="e">
        <f t="shared" ca="1" si="555"/>
        <v>#DIV/0!</v>
      </c>
      <c r="KS149" s="454" t="e">
        <f t="shared" ca="1" si="556"/>
        <v>#DIV/0!</v>
      </c>
      <c r="KT149" s="455" t="e">
        <f t="shared" ca="1" si="557"/>
        <v>#DIV/0!</v>
      </c>
      <c r="KU149" s="456" t="e">
        <f ca="1">IF($CP149-Control!$C$149&lt;0, IF($NT149-0.01&lt;0,0,1),0)</f>
        <v>#N/A</v>
      </c>
      <c r="KV149" s="456" t="e">
        <f ca="1">IF(Control!$C$114=1,MAX(0,MIN(Control!$C$125*$KW149*$GN149,$KW149)))</f>
        <v>#DIV/0!</v>
      </c>
      <c r="KW149" s="456" t="e">
        <f t="shared" ca="1" si="684"/>
        <v>#DIV/0!</v>
      </c>
      <c r="KX149" s="457" t="e">
        <f ca="1">IF($CP149-Control!$C$149&lt;0, IF($MR149-$OM149&lt;0,0,1),0)</f>
        <v>#N/A</v>
      </c>
      <c r="KY149" s="167">
        <f t="shared" ca="1" si="652"/>
        <v>145</v>
      </c>
      <c r="KZ149" s="168">
        <f ca="1">1370*(1+0.033*COS(2*Control!$C$138*$AH149/365))</f>
        <v>1333.8870257928161</v>
      </c>
      <c r="LA149" s="169">
        <f t="shared" ca="1" si="653"/>
        <v>0.97364028069474995</v>
      </c>
      <c r="LB149" s="169">
        <f t="shared" ca="1" si="654"/>
        <v>0.36562135129228263</v>
      </c>
      <c r="LC149" s="169">
        <f ca="1">ACOS(-TAN((2*Control!$B$8/360))*TAN(Calculations!$LB149))</f>
        <v>1.6848228172182707</v>
      </c>
      <c r="LD149" s="169">
        <f ca="1">((24*60)/PI())*0.082*$LA149*(($LC149*SIN(Control!$B$8*2*PI()/360))*SIN($LB149)+COS(Control!$B$8*2*PI()/360)*COS($LB149)*SIN($LC149))</f>
        <v>38.27539237909459</v>
      </c>
      <c r="LE149" s="170">
        <f t="shared" ca="1" si="558"/>
        <v>39.539760651063823</v>
      </c>
      <c r="LF149" s="170">
        <f ca="1">SIN(Control!$C$139*Control!$B$8)*SIN($HD149)</f>
        <v>0.27910376101026152</v>
      </c>
      <c r="LG149" s="170">
        <f ca="1">COS(Control!$C$139*Control!$B$8)*COS($HD149)</f>
        <v>0.57574938248851648</v>
      </c>
      <c r="LH149" s="170">
        <f ca="1">12*(1+2*ASIN(MAX(-1,MIN(1,$LF149/$LG149))/Control!$C$138))</f>
        <v>15.718187157027208</v>
      </c>
      <c r="LI149" s="170">
        <f ca="1">12*(1+2*ASIN(MAX(-1,MIN(1,(-SIN(-4*Control!$C$139)+$LF149)/$LG149))/Control!$C$138))</f>
        <v>16.658097944209594</v>
      </c>
      <c r="LJ149" s="168">
        <f ca="1">3600*($LH149*$LF149+24*$LG149*SQRT(1-$LK149*$LK149)/Control!$C$138)</f>
        <v>29642.510862239447</v>
      </c>
      <c r="LK149" s="170">
        <f t="shared" ca="1" si="559"/>
        <v>0.48476606228201791</v>
      </c>
      <c r="LL149" s="170">
        <f t="shared" ca="1" si="560"/>
        <v>0</v>
      </c>
      <c r="LM149" s="171">
        <f ca="1">Control!$C$145*$AB149</f>
        <v>6.6660906138995932E-2</v>
      </c>
      <c r="LN149" s="170">
        <f t="shared" ca="1" si="655"/>
        <v>0.54</v>
      </c>
      <c r="LO149" s="170">
        <f t="shared" ca="1" si="561"/>
        <v>0</v>
      </c>
      <c r="LP149" s="170">
        <f ca="1">Control!$C$140*((($D149+273.16)^4+($E149+273.16)^4)/2)*(0.34-0.14*SQRT($Y149))*(1.35*$AQ149/(0.75*$LD149)-0.35)</f>
        <v>-3.2464704755046001</v>
      </c>
      <c r="LQ149" s="170">
        <f ca="1">Control!$C$140*($G149+273)^4*(0.56-0.079*SQRT($Y149*10))*(0.1+0.9*$LO149)</f>
        <v>1.5241745131704001</v>
      </c>
      <c r="LR149" s="170">
        <f ca="1">$AQ149*(1-Control!$C$142)-$LQ149</f>
        <v>-1.5241745131704001</v>
      </c>
      <c r="LS149" s="170">
        <f ca="1">$AQ149*(1-Control!$C$143)-$LQ149</f>
        <v>-1.5241745131704001</v>
      </c>
      <c r="LT149" s="170">
        <f ca="1">$AQ149*(1-Control!$C$144)-$LQ149</f>
        <v>-1.5241745131704001</v>
      </c>
      <c r="LU149" s="169">
        <f ca="1">(1-Control!$C$144)*AQ149-LP149</f>
        <v>3.2464704755046001</v>
      </c>
      <c r="LV149" s="172">
        <f t="shared" ca="1" si="562"/>
        <v>0.79430000000000012</v>
      </c>
      <c r="LW149" s="170">
        <f t="shared" ca="1" si="563"/>
        <v>1.5886000000000002</v>
      </c>
      <c r="LX149" s="170">
        <f ca="1">($AC149*($LR149/Control!$C$141)+$LM149*$LV149)/($AC149+$LM149)</f>
        <v>0.23530094218323697</v>
      </c>
      <c r="LY149" s="170">
        <f ca="1">($AC149*($LS149/Control!$C$141)+$LM149*$LV149)/($AC149+$LM149)</f>
        <v>0.23530094218323697</v>
      </c>
      <c r="LZ149" s="170">
        <f t="shared" ca="1" si="564"/>
        <v>0.23530094218323697</v>
      </c>
      <c r="MA149" s="170">
        <f t="shared" ca="1" si="565"/>
        <v>0.23530094218323697</v>
      </c>
      <c r="MB149" s="170" t="e">
        <f t="shared" ca="1" si="566"/>
        <v>#N/A</v>
      </c>
      <c r="MC149" s="170">
        <f t="shared" ca="1" si="656"/>
        <v>0.6018</v>
      </c>
      <c r="MD149" s="170">
        <f t="shared" ca="1" si="567"/>
        <v>0.52989392535414004</v>
      </c>
      <c r="ME149" s="170">
        <f ca="1">($AC149*($LT149/Control!$C$141)+$LM149*$LW149)/($AC149+$LM149)</f>
        <v>0.71612369323045078</v>
      </c>
      <c r="MF149" s="170" t="e">
        <f ca="1">IF(Control!$B$16&gt;=1000,0.92,IF(AND(720&lt;=Control!$B$16,1000&gt;Control!$B$16),(0.95+(Control!$B$16-720)*((0.92-0.95)/(1000-720))),IF(AND(360&lt;=Control!$B$16,720&gt;Control!$B$16),(1+(Control!$B$16-360)*((0.95-1)/(720-360))),IF(AND(40&lt;=Control!$B$16,360&gt;Control!$B$16),(1.05+(Control!$B$16-40)*((1.05-1)/(360-40)))))))</f>
        <v>#N/A</v>
      </c>
      <c r="MG149" s="170">
        <f t="shared" ca="1" si="568"/>
        <v>0.71612369323045078</v>
      </c>
      <c r="MH149" s="170" t="e">
        <f t="shared" ca="1" si="693"/>
        <v>#N/A</v>
      </c>
      <c r="MI149" s="170" t="e">
        <f t="shared" ca="1" si="693"/>
        <v>#N/A</v>
      </c>
      <c r="MJ149" s="170" t="e">
        <f ca="1">MAX(0.0001, Control!$C$132*$MI149*$DL149)</f>
        <v>#N/A</v>
      </c>
      <c r="MK149" s="170">
        <f ca="1">1/(0.76+1.5*($MG149/10))-(5-Control!$C$110)*0.1</f>
        <v>1.002845988140797</v>
      </c>
      <c r="ML149" s="173">
        <f ca="1">IF(Control!$C$110&lt;3,$MK149+($MG149-0.6)/(Control!$C$110*(Control!$C$110+3)), MAX(0.1, MIN(0.95,$MK149)))</f>
        <v>0.95</v>
      </c>
      <c r="MM149" s="173">
        <f ca="1">IF(Control!$C$110&lt;3,$MK149+(($MI149/10)-0.6)/(Control!$C$110*(Control!$C$110+3)), MAX(0.1, MIN(0.95,$MK149)))</f>
        <v>0.95</v>
      </c>
      <c r="MN149" s="173">
        <f ca="1">(1-$MM149)*(Control!$C$128-Control!$C$127)+Control!$C$127</f>
        <v>0.16</v>
      </c>
      <c r="MO149" s="170" t="e">
        <f ca="1">MAX(0,MIN(1,($MS149-Control!$C$127)/($MN149-Control!$C$127)))</f>
        <v>#DIV/0!</v>
      </c>
      <c r="MP149" s="173" t="e">
        <f ca="1">1/(0.76+1.5*$MI149)-(5-Control!$C$110)*0.1</f>
        <v>#N/A</v>
      </c>
      <c r="MQ149" s="172" t="e">
        <f t="shared" ca="1" si="685"/>
        <v>#DIV/0!</v>
      </c>
      <c r="MR149" s="168" t="e">
        <f t="shared" ca="1" si="657"/>
        <v>#DIV/0!</v>
      </c>
      <c r="MS149" s="173" t="e">
        <f ca="1">MAX(Control!$C$127, MIN(Control!$C$135, $MR149/MAX(0.0001,$CY149)))</f>
        <v>#DIV/0!</v>
      </c>
      <c r="MT149" s="168" t="e">
        <f ca="1">(Control!$C$128-$MS149)*Control!$C$74</f>
        <v>#DIV/0!</v>
      </c>
      <c r="MU149" s="168" t="e">
        <f ca="1">(Control!$C$135-$MS149)*Control!$C$74</f>
        <v>#DIV/0!</v>
      </c>
      <c r="MV149" s="168" t="e">
        <f t="shared" ca="1" si="658"/>
        <v>#DIV/0!</v>
      </c>
      <c r="MW149" s="168" t="e">
        <f t="shared" ca="1" si="659"/>
        <v>#DIV/0!</v>
      </c>
      <c r="MX149" s="171" t="e">
        <f ca="1">MAX(Control!$C$127, MIN(Control!$C$135, $MW149/MAX(0.0001,Control!$C$119-$CY149)))</f>
        <v>#DIV/0!</v>
      </c>
      <c r="MY149" s="54" t="e">
        <f ca="1">IF(Control!$C$114=1, $CX149*$MX149, 0)</f>
        <v>#DIV/0!</v>
      </c>
      <c r="MZ149" s="54" t="e">
        <f t="shared" ca="1" si="660"/>
        <v>#N/A</v>
      </c>
      <c r="NA149" s="168" t="e">
        <f ca="1">(Control!$C$128-$MX149)*(Control!$C$119-Control!$C$74)</f>
        <v>#DIV/0!</v>
      </c>
      <c r="NB149" s="168" t="e">
        <f ca="1">(Control!$C$135-$MX149)*(Control!$C$119-Control!$C$74)</f>
        <v>#DIV/0!</v>
      </c>
      <c r="NC149" s="174" t="e">
        <f t="shared" ca="1" si="661"/>
        <v>#DIV/0!</v>
      </c>
      <c r="ND149" s="54">
        <f ca="1">IF(Control!$C$58=2, IF(OR(Control!$B$218=$AH149,Control!$B$219=$AH149, Control!$B$220=$AH149, Control!$B$221=$AH149, Control!$B$222=$AH149, Control!$B$223=$AH149, Control!$B$224=$AH149, Control!$B$225=$AH149, Control!$B$226=$AH149, Control!$B$227=$AH149, Control!$B$228=$AH149), 1, 0), 0)</f>
        <v>0</v>
      </c>
      <c r="NE149" s="54">
        <f ca="1">IF($ND149=0,0, VLOOKUP($AH149,Control!$B$218:$C$228,2))</f>
        <v>0</v>
      </c>
      <c r="NF149" s="168" t="e">
        <f ca="1">$CY149*(Control!$C$128-Control!$C$127)</f>
        <v>#N/A</v>
      </c>
      <c r="NG149" s="54" t="e">
        <f ca="1">IF(Control!$C$58=2, $NI148-$NJ148, 0)</f>
        <v>#DIV/0!</v>
      </c>
      <c r="NH149" s="54" t="e">
        <f ca="1">IF(AND(Control!$C$58=1, $MS148&lt;= ($MN148+0.02), $I148&lt;10), 0, IF(Control!$C$58=2, $NG148, 0))</f>
        <v>#DIV/0!</v>
      </c>
      <c r="NI149" s="54" t="e">
        <f ca="1">IF(Control!$C$58=2, $NE149+$NH149,0)</f>
        <v>#DIV/0!</v>
      </c>
      <c r="NJ149" s="54" t="e">
        <f ca="1">IF(AND(Control!$C$58=1, $MS149&lt;= ($MN149+0.02), $I149&lt;10), MAX(0, MIN(10, 0.7*($NF149-$MV149))), IF(Control!$C$58=2, MIN(10,$NI149),0))</f>
        <v>#DIV/0!</v>
      </c>
      <c r="NK149" s="54" t="e">
        <f t="shared" ca="1" si="569"/>
        <v>#DIV/0!</v>
      </c>
      <c r="NL149" s="173" t="e">
        <f ca="1">(1-Control!$C$73)*$I149+$NJ149</f>
        <v>#DIV/0!</v>
      </c>
      <c r="NM149" s="172" t="e">
        <f ca="1">IF($NL149&lt;0.5, $MB149* MAX(0, MIN(1, (SQRT($NC149)-SQRT($NC149-1))*Control!$C$71)),0)</f>
        <v>#DIV/0!</v>
      </c>
      <c r="NN149" s="170" t="e">
        <f ca="1">IF($NL149&gt;=5, $MB149, MAX(0,MIN($MB149, $NM149+$NL149,($MS149-Control!$C$129))))</f>
        <v>#DIV/0!</v>
      </c>
      <c r="NO149" s="54">
        <f>IF(Control!$C$133&lt;&gt;1, Control!$C$135-Control!$C$131, 0)</f>
        <v>0.38</v>
      </c>
      <c r="NP149" s="54" t="e">
        <f t="shared" ca="1" si="570"/>
        <v>#DIV/0!</v>
      </c>
      <c r="NQ149" s="173" t="e">
        <f ca="1">MAX(0,MIN(1,(Control!$C$135-$MS149)/(Control!$C$135-$NO149)))</f>
        <v>#DIV/0!</v>
      </c>
      <c r="NR149" s="170" t="e">
        <f ca="1">IF(Control!$C$133&lt;&gt;1, $NQ149+((1-$NP149/4)*(1-$NQ149)),1)</f>
        <v>#DIV/0!</v>
      </c>
      <c r="NS149" s="170" t="e">
        <f ca="1">IF(Control!$B$31=0,$MJ149,MAX(0,MIN($MV149,$MO149*$NR149*$MJ149)))</f>
        <v>#DIV/0!</v>
      </c>
      <c r="NT149" s="170" t="e">
        <f t="shared" ca="1" si="686"/>
        <v>#DIV/0!</v>
      </c>
      <c r="NU149" s="170" t="e">
        <f t="shared" ca="1" si="662"/>
        <v>#N/A</v>
      </c>
      <c r="NV149" s="170" t="e">
        <f t="shared" ca="1" si="571"/>
        <v>#N/A</v>
      </c>
      <c r="NW149" s="175" t="e">
        <f t="shared" ca="1" si="572"/>
        <v>#DIV/0!</v>
      </c>
      <c r="NX149" s="170" t="e">
        <f ca="1">MIN(Control!$C$72+$MU149, $NW149)</f>
        <v>#DIV/0!</v>
      </c>
      <c r="NY149" s="170" t="e">
        <f ca="1">IF($MT149&lt;=$NX149,MIN(Control!$C$72+$NB149,$NX149-$MT149),0)</f>
        <v>#DIV/0!</v>
      </c>
      <c r="NZ149" s="54" t="e">
        <f ca="1">IF(Control!$C$114=1,  $CX149*($MX149-Control!$C$127), 0)</f>
        <v>#DIV/0!</v>
      </c>
      <c r="OA149" s="170" t="e">
        <f t="shared" ca="1" si="573"/>
        <v>#DIV/0!</v>
      </c>
      <c r="OB149" s="170" t="e">
        <f ca="1">IF($NA149 &lt;=$NY149, MIN(Control!$C$72, $NY149-$NA149), 0)</f>
        <v>#DIV/0!</v>
      </c>
      <c r="OC149" s="168" t="e">
        <f t="shared" ca="1" si="574"/>
        <v>#DIV/0!</v>
      </c>
      <c r="OD149" s="168" t="e">
        <f t="shared" ca="1" si="663"/>
        <v>#DIV/0!</v>
      </c>
      <c r="OE149" s="170">
        <f ca="1">Control!$C$73*$I149</f>
        <v>0</v>
      </c>
      <c r="OF149" s="176" t="e">
        <f t="shared" ca="1" si="575"/>
        <v>#DIV/0!</v>
      </c>
      <c r="OG149" s="168" t="e">
        <f t="shared" ca="1" si="576"/>
        <v>#DIV/0!</v>
      </c>
      <c r="OH149" s="168" t="e">
        <f t="shared" ca="1" si="577"/>
        <v>#DIV/0!</v>
      </c>
      <c r="OI149" s="168" t="e">
        <f t="shared" ca="1" si="578"/>
        <v>#DIV/0!</v>
      </c>
      <c r="OJ149" s="168" t="e">
        <f t="shared" ca="1" si="579"/>
        <v>#DIV/0!</v>
      </c>
      <c r="OK149" s="204" t="e">
        <f t="shared" ca="1" si="580"/>
        <v>#DIV/0!</v>
      </c>
      <c r="OL149" s="177">
        <f>Control!$C$127</f>
        <v>0.15</v>
      </c>
      <c r="OM149" s="182" t="e">
        <f t="shared" ca="1" si="581"/>
        <v>#N/A</v>
      </c>
      <c r="ON149" s="177">
        <f>Control!$C$128</f>
        <v>0.35</v>
      </c>
      <c r="OO149" s="182" t="e">
        <f t="shared" ca="1" si="582"/>
        <v>#N/A</v>
      </c>
      <c r="OP149" s="138">
        <f t="shared" ca="1" si="664"/>
        <v>0</v>
      </c>
      <c r="OQ149" s="138" t="e">
        <f t="shared" ca="1" si="687"/>
        <v>#DIV/0!</v>
      </c>
      <c r="OR149" s="138" t="e">
        <f t="shared" ca="1" si="665"/>
        <v>#DIV/0!</v>
      </c>
      <c r="OS149" s="137" t="e">
        <f t="shared" ca="1" si="688"/>
        <v>#DIV/0!</v>
      </c>
      <c r="OT149" s="139" t="e">
        <f t="shared" ca="1" si="689"/>
        <v>#DIV/0!</v>
      </c>
      <c r="OU149" s="138" t="e">
        <f t="shared" ca="1" si="690"/>
        <v>#N/A</v>
      </c>
      <c r="OV149" s="138" t="e">
        <f t="shared" ca="1" si="691"/>
        <v>#DIV/0!</v>
      </c>
      <c r="OW149" s="138" t="e">
        <f t="shared" ca="1" si="666"/>
        <v>#DIV/0!</v>
      </c>
      <c r="OX149" s="138" t="e">
        <f t="shared" ca="1" si="667"/>
        <v>#DIV/0!</v>
      </c>
      <c r="OY149" s="138" t="e">
        <f t="shared" ca="1" si="668"/>
        <v>#DIV/0!</v>
      </c>
      <c r="OZ149" s="138" t="e">
        <f t="shared" ca="1" si="583"/>
        <v>#DIV/0!</v>
      </c>
      <c r="PA149" s="138" t="e">
        <f t="shared" ca="1" si="584"/>
        <v>#DIV/0!</v>
      </c>
      <c r="PB149" s="55">
        <f>IF(Control!$C$61="T", IF(Control!$C$65="F", IF($AH$6-Control!$C$60&lt;0,0,1), IF(365+$AH$6-Control!$C$60&lt;0,0,1)),0)</f>
        <v>0</v>
      </c>
      <c r="PC149" s="55">
        <f ca="1">IF(Control!$C$65="F", IF($AH$6-$HF149&lt;0,0,1), IF(365+$AH$6-$HF149&lt;0,0,1))</f>
        <v>1</v>
      </c>
      <c r="PD149" s="444">
        <f>Control!$C$118</f>
        <v>1500</v>
      </c>
      <c r="PE149" s="180" t="e">
        <f t="shared" ca="1" si="585"/>
        <v>#N/A</v>
      </c>
      <c r="PF149" s="445">
        <f t="shared" ca="1" si="669"/>
        <v>0.71612369323045078</v>
      </c>
      <c r="PT149" s="186"/>
      <c r="PU149" s="186"/>
      <c r="PV149" s="94"/>
      <c r="PW149" s="94"/>
      <c r="PX149" s="94"/>
      <c r="PY149" s="94"/>
      <c r="PZ149" s="94"/>
      <c r="QA149" s="94"/>
      <c r="QB149" s="94"/>
      <c r="QC149" s="94"/>
      <c r="QD149" s="94"/>
      <c r="QE149" s="94"/>
      <c r="QF149" s="94"/>
      <c r="QG149" s="94"/>
      <c r="QH149" s="94"/>
      <c r="QI149" s="94"/>
      <c r="QJ149" s="94"/>
      <c r="QK149" s="94"/>
      <c r="QL149" s="94"/>
      <c r="QM149" s="94"/>
      <c r="QN149" s="94"/>
      <c r="QO149" s="94"/>
      <c r="QP149" s="94"/>
    </row>
    <row r="150" spans="1:458" s="2" customFormat="1" x14ac:dyDescent="0.2">
      <c r="A150" s="395">
        <v>25</v>
      </c>
      <c r="B150" s="396">
        <v>5</v>
      </c>
      <c r="C150" s="387">
        <f ca="1">Weather_data!$B149</f>
        <v>0</v>
      </c>
      <c r="D150" s="388">
        <f ca="1">Weather_data!$F149</f>
        <v>0</v>
      </c>
      <c r="E150" s="388">
        <f ca="1">Weather_data!$E149</f>
        <v>0</v>
      </c>
      <c r="F150" s="388">
        <f t="shared" ca="1" si="586"/>
        <v>0</v>
      </c>
      <c r="G150" s="388">
        <f ca="1">AVERAGE($D150:$E150)+Control!$B$9</f>
        <v>0</v>
      </c>
      <c r="H150" s="388">
        <f ca="1">Weather_data!$G149</f>
        <v>0</v>
      </c>
      <c r="I150" s="388">
        <f ca="1">Weather_data!$I149</f>
        <v>0</v>
      </c>
      <c r="J150" s="388">
        <f ca="1">Weather_data!$H149</f>
        <v>0</v>
      </c>
      <c r="K150" s="389">
        <f ca="1">Weather_data!$D149</f>
        <v>0</v>
      </c>
      <c r="L150" s="388" t="e">
        <f t="shared" ca="1" si="587"/>
        <v>#N/A</v>
      </c>
      <c r="M150" s="388" t="e">
        <f t="shared" ca="1" si="465"/>
        <v>#N/A</v>
      </c>
      <c r="N150" s="388">
        <f t="shared" ca="1" si="466"/>
        <v>-1.2879273433794939E-7</v>
      </c>
      <c r="O150" s="388">
        <f t="shared" ca="1" si="588"/>
        <v>1.2879273433794938E-6</v>
      </c>
      <c r="P150" s="390">
        <v>3</v>
      </c>
      <c r="Q150" s="388">
        <f ca="1">MAX($G150-Control!$C$107,0)</f>
        <v>0</v>
      </c>
      <c r="R150" s="388">
        <f t="shared" ca="1" si="589"/>
        <v>0</v>
      </c>
      <c r="S150" s="388">
        <f t="shared" ca="1" si="467"/>
        <v>0</v>
      </c>
      <c r="T150" s="388">
        <f t="shared" ca="1" si="468"/>
        <v>0</v>
      </c>
      <c r="U150" s="59">
        <f t="shared" ca="1" si="469"/>
        <v>0</v>
      </c>
      <c r="V150" s="391">
        <f ca="1">MAX(0,MIN(Control!$C$100-Control!$C$99,$G150-Control!$C$99)*Control!$C$63)</f>
        <v>0</v>
      </c>
      <c r="W150" s="388">
        <f t="shared" ca="1" si="590"/>
        <v>0</v>
      </c>
      <c r="X150" s="388">
        <f t="shared" ca="1" si="591"/>
        <v>0.6110000000000001</v>
      </c>
      <c r="Y150" s="388">
        <f t="shared" ca="1" si="470"/>
        <v>0</v>
      </c>
      <c r="Z150" s="388">
        <f t="shared" ca="1" si="592"/>
        <v>0.61058800000000002</v>
      </c>
      <c r="AA150" s="388">
        <f t="shared" ca="1" si="471"/>
        <v>0.6018</v>
      </c>
      <c r="AB150" s="388">
        <f ca="1">101.3*EXP(-0.034*Control!$C$66/($G150+273))</f>
        <v>100.69623283836242</v>
      </c>
      <c r="AC150" s="392">
        <f t="shared" ca="1" si="472"/>
        <v>4.3460251046025113E-2</v>
      </c>
      <c r="AD150" s="392">
        <f t="shared" ca="1" si="473"/>
        <v>4.4450382862832649E-2</v>
      </c>
      <c r="AE150" s="388">
        <f t="shared" ca="1" si="474"/>
        <v>0</v>
      </c>
      <c r="AF150" s="388">
        <f ca="1">MAX(0,$G150-Control!$C$92)</f>
        <v>0</v>
      </c>
      <c r="AG150" s="393">
        <f t="shared" ca="1" si="475"/>
        <v>146</v>
      </c>
      <c r="AH150" s="389">
        <f t="shared" ca="1" si="476"/>
        <v>146</v>
      </c>
      <c r="AI150" s="388">
        <f t="shared" ca="1" si="593"/>
        <v>0.36533011556084738</v>
      </c>
      <c r="AJ150" s="388">
        <f ca="1">IF(Control!$C$60&lt;=0,$HH150,$HI150)</f>
        <v>1</v>
      </c>
      <c r="AK150" s="388">
        <f t="shared" ca="1" si="477"/>
        <v>1.1361376171886375</v>
      </c>
      <c r="AL150" s="388">
        <f t="shared" ca="1" si="478"/>
        <v>-5.4100161850367805E-18</v>
      </c>
      <c r="AM150" s="388">
        <f t="shared" ca="1" si="479"/>
        <v>1.1361376171886375</v>
      </c>
      <c r="AN150" s="388">
        <f t="shared" ca="1" si="480"/>
        <v>0.36913635219029806</v>
      </c>
      <c r="AO150" s="388">
        <f ca="1">-0.10453/COS(Control!$B$8*PI()/180)*COS(AN150)</f>
        <v>-0.15834803798535635</v>
      </c>
      <c r="AP150" s="388">
        <f ca="1">ACOS(AO150-TAN(Control!$B$8*PI()/180)*TAN(AN150))</f>
        <v>2.2830205933058161</v>
      </c>
      <c r="AQ150" s="388">
        <f t="shared" ca="1" si="594"/>
        <v>0</v>
      </c>
      <c r="AR150" s="394">
        <f t="shared" ca="1" si="481"/>
        <v>0</v>
      </c>
      <c r="AS150" s="436">
        <f ca="1">IF(Control!$B$18=2,(IF(OR($AH150=Control!$B$175,$AH150=Control!$B$176,$AH150=Control!$B$177,$AH150=Control!$B$178,$AH150=Control!$B$179,$AH150=Control!$B$180,$AH150=Control!$B$181,$AH150=Control!$B$182,$AH150=Control!$B$183,$AH150=Control!$B$184,$AH150=Control!$B$185),1,0)),0)</f>
        <v>0</v>
      </c>
      <c r="AT150" s="436">
        <f>IF(Control!$B$20=8,IF(AND($AH150&gt;=Control!$B$172,$AH150&lt;=Control!$B$173),1,0),0)</f>
        <v>0</v>
      </c>
      <c r="AU150" s="436">
        <f>IF(Control!$B$20=8,IF($AV149=1,1*$AT150,IF($AT150=1,$AU149+1,$AU149)),0)</f>
        <v>0</v>
      </c>
      <c r="AV150" s="436">
        <f>IF(Control!$B$20=8,IF($AU150&gt;=Control!$B$174,1,0),0)</f>
        <v>0</v>
      </c>
      <c r="AW150" s="436">
        <f ca="1">IF(AND(Control!$B$18=2,Control!$B$171=1), $AV150, $AS150)</f>
        <v>0</v>
      </c>
      <c r="AX150" s="436" t="e">
        <f ca="1">IF(AND(Control!$B$18=1,$EU150&gt;=Control!$B$19),-$AY150,IF(AND(Control!$B$18=2,$AW150=1,$EU150&gt;$DS150),-$AY150, IF(Control!$C$108=0,0, IF(Control!$C$108&lt;&gt;0,1))))</f>
        <v>#N/A</v>
      </c>
      <c r="AY150" s="436" t="e">
        <f t="shared" ca="1" si="595"/>
        <v>#N/A</v>
      </c>
      <c r="AZ150" s="436" t="e">
        <f ca="1">IF(AND(Control!$B$18=1,$EB150&gt;Control!$B$19),$AZ149+1, IF(AND(Control!$B$18=2, $AW150=1, $EB150&gt;$DS150), $AZ149+1,$AZ149))</f>
        <v>#N/A</v>
      </c>
      <c r="BA150" s="587">
        <f>IF(Control!$C$81=0,1,IF($AH150&gt;=Control!$C$82,1,0))</f>
        <v>1</v>
      </c>
      <c r="BB150" s="140" t="e">
        <f ca="1">IF($BA150&gt;$BA149,Control!$C$83,IF($AW150&gt;0,$AW150*Control!$C$84,IF(AND(Control!$B$18=1,EN149&lt;&gt;0),Control!$C$84,0)))</f>
        <v>#N/A</v>
      </c>
      <c r="BC150" s="140" t="e">
        <f t="shared" ca="1" si="596"/>
        <v>#N/A</v>
      </c>
      <c r="BD150" s="140" t="e">
        <f ca="1">BC150*IF(OR($G150&lt;Control!$C$92,$G150&gt;Control!$C$95),0,IF(AND($G150&gt;=Control!$C$92,$G150&lt;=Control!$C$93),$G150-Control!$C$92,IF(AND($G150&gt;Control!$C$93,$G150&lt;=Control!$C$94),Control!$C$93-Control!$C$92,IF(AND($G150&gt;Control!$C$94,$G150&lt;=Control!$C$95),(Control!$C$93-Control!$C$92)*(Control!$C$94-$G150)/(Control!$C$95-Control!$C$94)))))</f>
        <v>#N/A</v>
      </c>
      <c r="BE150" s="140" t="e">
        <f t="shared" ca="1" si="597"/>
        <v>#N/A</v>
      </c>
      <c r="BF150" s="140" t="e">
        <f ca="1">IF($BE150&lt;=Control!$C$86,$BE150,Control!$C$86-$BE150)</f>
        <v>#N/A</v>
      </c>
      <c r="BG150" s="140" t="e">
        <f ca="1">IF(AND($AW150=1,Control!$C$84&lt;9),1,IF($BE150&gt;=Control!$C$86,0,$BC150))</f>
        <v>#N/A</v>
      </c>
      <c r="BH150" s="404" t="e">
        <f ca="1">IF($BG150=0,0,IF($BE150&lt;=Control!$C$86,$BC150*9*($BF150/Control!$C$86),0))</f>
        <v>#N/A</v>
      </c>
      <c r="BI150" s="140" t="e">
        <f ca="1">IF($BG150=1,0,IF($BE150&gt;=Control!$C$86,1,IF(AND($BB150&lt;21,$BB150&gt;=9),1,$BM149)))</f>
        <v>#N/A</v>
      </c>
      <c r="BJ150" s="140" t="e">
        <f ca="1">IF($BF150&lt;0,-$BF150,$BI150*IF(OR($G150&lt;Control!$C$92,$G150&gt;Control!$C$95),0,IF(AND($G150&gt;=Control!$C$92,$G150&lt;=Control!$C$93),$G150-Control!$C$92,IF(AND($G150&gt;Control!$C$93,$G150&lt;=Control!$C$94),Control!$C$93-Control!$C$92,IF(AND($G150&gt;Control!$C$94,$G150&lt;=Control!$C$95),(Control!$C$93-Control!$C$92)*(Control!$C$94-$G150)/(Control!$C$95-Control!$C$94))))))</f>
        <v>#N/A</v>
      </c>
      <c r="BK150" s="140" t="e">
        <f t="shared" ca="1" si="598"/>
        <v>#N/A</v>
      </c>
      <c r="BL150" s="140" t="e">
        <f ca="1">IF($BK150&lt;=Control!$C$87,$BK150,Control!$C$87-$BK150)</f>
        <v>#N/A</v>
      </c>
      <c r="BM150" s="140" t="e">
        <f ca="1">IF(AND($BB150&gt;=9,$BB150&lt;21),1,IF($BK150&gt;=Control!$C$87,0,$BI150))</f>
        <v>#N/A</v>
      </c>
      <c r="BN150" s="404" t="e">
        <f ca="1">IF($BM150=0,0,IF($BK150&lt;=Control!$C$87,$BI150*(9+(21-9)*($BL150/Control!$C$87)),0))</f>
        <v>#N/A</v>
      </c>
      <c r="BO150" s="140" t="e">
        <f ca="1">IF($BM150=1,0,IF($BK150&gt;=Control!$C$87,1,IF(AND($BB150&lt;30,$BB150&gt;=21),1,$BS149)))</f>
        <v>#N/A</v>
      </c>
      <c r="BP150" s="140" t="e">
        <f ca="1">IF($BL150&lt;0,-$BL150,$BO150*IF(OR($G150&lt;Control!$C$92,$G150&gt;Control!$C$95),0,IF(AND($G150&gt;=Control!$C$92,$G150&lt;=Control!$C$93),$G150-Control!$C$92,IF(AND($G150&gt;Control!$C$93,$G150&lt;=Control!$C$94),Control!$C$93-Control!$C$92,IF(AND($G150&gt;Control!$C$94,$G150&lt;=Control!$C$95),(Control!$C$93-Control!$C$92)*(Control!$C$94-$G150)/(Control!$C$95-Control!$C$94))))))</f>
        <v>#N/A</v>
      </c>
      <c r="BQ150" s="140" t="e">
        <f t="shared" ca="1" si="482"/>
        <v>#N/A</v>
      </c>
      <c r="BR150" s="140" t="e">
        <f ca="1">IF($BQ150&lt;=Control!$C$88,$BQ150,Control!$C$88-$BQ150)</f>
        <v>#N/A</v>
      </c>
      <c r="BS150" s="140" t="e">
        <f ca="1">IF(AND($BB150&gt;=21,$BB150&lt;30),1,IF($BQ150&gt;=Control!$C$88,0,$BO150))</f>
        <v>#N/A</v>
      </c>
      <c r="BT150" s="404" t="e">
        <f ca="1">IF($BS150=0,0,IF($BQ150&lt;=Control!$C$88,$BO150*(21+(30-21)*(BR150/Control!$C$88)),0))</f>
        <v>#N/A</v>
      </c>
      <c r="BU150" s="140" t="e">
        <f ca="1">IF(BG150+BM150+BS150=1,0,IF(OR(AND($BB150&lt;60,$BB150&gt;=30),$BQ150&gt;=Control!$C$88),1*$BA150,$BY149))</f>
        <v>#N/A</v>
      </c>
      <c r="BV150" s="140" t="e">
        <f ca="1">IF($BR150&lt;0,-$BR150,$BU150*IF(OR($G150&lt;Control!$C$92,$G150&gt;Control!$C$95),0,IF(AND($G150&gt;=Control!$C$92,$G150&lt;=Control!$C$93),$G150-Control!$C$92,IF(AND($G150&gt;Control!$C$93,$G150&lt;=Control!$C$94),Control!$C$93-Control!$C$92,IF(AND($G150&gt;Control!$C$94,$G150&lt;=Control!$C$95),(Control!$C$93-Control!$C$92)*(Control!$C$94-$G150)/(Control!$C$95-Control!$C$94))))))</f>
        <v>#N/A</v>
      </c>
      <c r="BW150" s="140" t="e">
        <f t="shared" ca="1" si="483"/>
        <v>#N/A</v>
      </c>
      <c r="BX150" s="140" t="e">
        <f ca="1">IF($BW150&lt;=Control!$C$89,$BW150,Control!$C$89-$BW150)</f>
        <v>#N/A</v>
      </c>
      <c r="BY150" s="140" t="e">
        <f ca="1">IF(AND($AJ150&gt;=30,$AJ150&lt;60),1,IF($BW150&gt;=Control!$C$89,0,$BU150))</f>
        <v>#N/A</v>
      </c>
      <c r="BZ150" s="404" t="e">
        <f ca="1">IF($BY150=0,0,IF($BW150&lt;=Control!$C$89,$BU150*(30+(60-30)*(BX150/Control!$C$89)),0))</f>
        <v>#N/A</v>
      </c>
      <c r="CA150" s="140" t="e">
        <f ca="1">IF($BG150+$BM150+$BS150+$BY150=1,0,IF(OR(AND($BB150&lt;65,$BB150&gt;=60),$BW150&gt;=Control!$C$89),1*$BA150,$CE149))</f>
        <v>#N/A</v>
      </c>
      <c r="CB150" s="140" t="e">
        <f ca="1">IF($BX150&lt;0,-$BX150,$CA150*IF(OR($G150&lt;Control!$C$92,$G150&gt;Control!$C$95),0,IF(AND($G150&gt;=Control!$C$92,$G150&lt;=Control!$C$93),$G150-Control!$C$92,IF(AND($G150&gt;Control!$C$93,$G150&lt;=Control!$C$94),Control!$C$93-Control!$C$92,IF(AND($G150&gt;Control!$C$94,$G150&lt;=Control!$C$95),(Control!$C$93-Control!$C$92)*(Control!$C$94-$G150)/(Control!$C$95-Control!$C$94))))))</f>
        <v>#N/A</v>
      </c>
      <c r="CC150" s="140" t="e">
        <f t="shared" ca="1" si="599"/>
        <v>#N/A</v>
      </c>
      <c r="CD150" s="140" t="e">
        <f ca="1">IF($CC150&lt;=Control!$C$90,$CC150,Control!$C$90-$CC150)</f>
        <v>#N/A</v>
      </c>
      <c r="CE150" s="140" t="e">
        <f ca="1">IF(AND($BB150&gt;=60,$BB150&lt;65),1,IF($CC150&gt;=Control!$C$90,0,$CA150))</f>
        <v>#N/A</v>
      </c>
      <c r="CF150" s="404" t="e">
        <f ca="1">IF($CE150=0,0,IF($CC150&lt;=Control!$C$90,$CA150*(60+(65-60)*(CD150/Control!$C$90)),0))</f>
        <v>#N/A</v>
      </c>
      <c r="CG150" s="140" t="e">
        <f ca="1">IF($BG150+$BM150+$BS150+$BY150+$CE150=1,0,IF(OR(AND($BB150&lt;90,$BB150&gt;=65),$CC150&gt;=Control!$C$90),$BA150,$CK149))</f>
        <v>#N/A</v>
      </c>
      <c r="CH150" s="140" t="e">
        <f ca="1">IF($CD150&lt;0,-$CD150,$CG150*IF(OR($G150&lt;Control!$C$92,$G150&gt;Control!$C$95),0,IF(AND($G150&gt;=Control!$C$92,$G150&lt;=Control!$C$93),$G150-Control!$C$92,IF(AND($G150&gt;Control!$C$93,$G150&lt;=Control!$C$94),Control!$C$93-Control!$C$92,IF(AND($G150&gt;Control!$C$94,$G150&lt;=Control!$C$95),(Control!$C$93-Control!$C$92)*(Control!$C$94-$G150)/(Control!$C$95-Control!$C$94))))))</f>
        <v>#N/A</v>
      </c>
      <c r="CI150" s="140" t="e">
        <f t="shared" ca="1" si="600"/>
        <v>#N/A</v>
      </c>
      <c r="CJ150" s="140" t="e">
        <f ca="1">IF($CI150&lt;=Control!$C$91,$CI150,Control!$C$91-$CI150)</f>
        <v>#N/A</v>
      </c>
      <c r="CK150" s="140" t="e">
        <f ca="1">IF(AND($BB150&gt;=65,$BB150&lt;90),1,IF($CI150&gt;=Control!$C$91,0,$CG150))</f>
        <v>#N/A</v>
      </c>
      <c r="CL150" s="404" t="e">
        <f ca="1">IF($CK150=0,0,IF($CI150&lt;=Control!$C$91,$CG150*(65+(90-65)*($CJ150/Control!$C$91)),0))</f>
        <v>#N/A</v>
      </c>
      <c r="CM150" s="140" t="e">
        <f ca="1">IF($BG150+$BM150+$BS150+$BY150+$CE150+$CK150=1,0,IF(OR($BB150&gt;=90,$CI150&gt;=Control!$C$91),$BA150,$CM149))</f>
        <v>#N/A</v>
      </c>
      <c r="CN150" s="140" t="e">
        <f t="shared" ca="1" si="601"/>
        <v>#N/A</v>
      </c>
      <c r="CO150" s="140" t="e">
        <f t="shared" ca="1" si="602"/>
        <v>#N/A</v>
      </c>
      <c r="CP150" s="140" t="e">
        <f t="shared" ca="1" si="603"/>
        <v>#N/A</v>
      </c>
      <c r="CQ150" s="141" t="e">
        <f ca="1">VLOOKUP($CP150,Control!$B$86:$G$91,6)</f>
        <v>#N/A</v>
      </c>
      <c r="CR150" s="141" t="e">
        <f ca="1">(1-$CQ150)*VLOOKUP($CP150,Control!$B$86:$D$91,3)</f>
        <v>#N/A</v>
      </c>
      <c r="CS150" s="141" t="e">
        <f ca="1">(1-$CQ150)*VLOOKUP($CP150,Control!$B$86:$E$91,4)</f>
        <v>#N/A</v>
      </c>
      <c r="CT150" s="141" t="e">
        <f ca="1">(1-$CQ150)*VLOOKUP($CP150,Control!$B$86:$F$91,5)</f>
        <v>#N/A</v>
      </c>
      <c r="CU150" s="141">
        <f t="shared" ca="1" si="604"/>
        <v>0</v>
      </c>
      <c r="CV150" s="583">
        <f t="shared" ca="1" si="605"/>
        <v>0</v>
      </c>
      <c r="CW150" s="142">
        <f t="shared" ca="1" si="606"/>
        <v>146</v>
      </c>
      <c r="CX150" s="612" t="e">
        <f ca="1">IF(Control!$C$114=1,(MIN(Control!$C$120*(IF($NT150-0.01&lt;0,0,1)),Control!$C$119-$CY150)))</f>
        <v>#DIV/0!</v>
      </c>
      <c r="CY150" s="143" t="e">
        <f t="shared" ca="1" si="607"/>
        <v>#N/A</v>
      </c>
      <c r="CZ150" s="144">
        <f t="shared" ca="1" si="484"/>
        <v>0</v>
      </c>
      <c r="DA150" s="144">
        <f t="shared" ca="1" si="485"/>
        <v>0</v>
      </c>
      <c r="DB150" s="144" t="e">
        <f t="shared" ca="1" si="486"/>
        <v>#N/A</v>
      </c>
      <c r="DC150" s="144" t="e">
        <f t="shared" ca="1" si="487"/>
        <v>#N/A</v>
      </c>
      <c r="DD150" s="144" t="e">
        <f t="shared" ca="1" si="692"/>
        <v>#N/A</v>
      </c>
      <c r="DE150" s="143" t="e">
        <f t="shared" ca="1" si="608"/>
        <v>#N/A</v>
      </c>
      <c r="DF150" s="145" t="e">
        <f ca="1">$DR150*EXP(-Control!$C$158*(1-$KH150))</f>
        <v>#N/A</v>
      </c>
      <c r="DG150" s="146" t="e">
        <f ca="1">IF(Control!$C$114=1, $DF150*$EY150, 0)</f>
        <v>#N/A</v>
      </c>
      <c r="DH150" s="147" t="e">
        <f t="shared" ca="1" si="609"/>
        <v>#N/A</v>
      </c>
      <c r="DI150" s="144" t="e">
        <f t="shared" ca="1" si="670"/>
        <v>#N/A</v>
      </c>
      <c r="DJ150" s="147" t="e">
        <f ca="1">$EF150*Control!$C$109</f>
        <v>#N/A</v>
      </c>
      <c r="DK150" s="144" t="e">
        <f t="shared" ca="1" si="610"/>
        <v>#N/A</v>
      </c>
      <c r="DL150" s="144" t="e">
        <f t="shared" ca="1" si="488"/>
        <v>#N/A</v>
      </c>
      <c r="DM150" s="144" t="e">
        <f ca="1">IF(Control!$C$114=1, (1-EXP(-Control!$C$96*$DK150))*$AR150, 0)</f>
        <v>#N/A</v>
      </c>
      <c r="DN150" s="144">
        <f t="shared" ca="1" si="611"/>
        <v>0</v>
      </c>
      <c r="DO150" s="148">
        <f>Control!$C$97</f>
        <v>4</v>
      </c>
      <c r="DP150" s="145" t="e">
        <f t="shared" ca="1" si="612"/>
        <v>#N/A</v>
      </c>
      <c r="DQ150" s="145" t="e">
        <f ca="1">IF(AND($CP150&gt;=0,$CP150&lt;=90),Control!$C$111,Control!$C$111)</f>
        <v>#N/A</v>
      </c>
      <c r="DR150" s="145" t="e">
        <f t="shared" ca="1" si="489"/>
        <v>#N/A</v>
      </c>
      <c r="DS150" s="143" t="e">
        <f ca="1">Control!$B$22/$DR150</f>
        <v>#N/A</v>
      </c>
      <c r="DT150" s="149" t="e">
        <f ca="1">IF(AND(Control!$C$114=1,$KH150&lt;1),$IM150*$DF150, 0)</f>
        <v>#N/A</v>
      </c>
      <c r="DU150" s="144" t="e">
        <f t="shared" ca="1" si="613"/>
        <v>#N/A</v>
      </c>
      <c r="DV150" s="144">
        <f ca="1">IF($G150-Control!$C$107&lt;=0, 0, 0.83*LN(MAX($G150, 3))-0.8924)</f>
        <v>0</v>
      </c>
      <c r="DW150" s="144" t="e">
        <f t="shared" ca="1" si="490"/>
        <v>#N/A</v>
      </c>
      <c r="DX150" s="150" t="e">
        <f ca="1">MAX(0.01*(1+$CU150/Control!$C$102),0.05*($DK150-Control!$C$97)/Control!$C$97)</f>
        <v>#N/A</v>
      </c>
      <c r="DY150" s="151" t="e">
        <f ca="1">IF(Control!$C$114=1, $DI150*$FS150, 0)</f>
        <v>#N/A</v>
      </c>
      <c r="DZ150" s="196" t="e">
        <f t="shared" ca="1" si="614"/>
        <v>#N/A</v>
      </c>
      <c r="EA150" s="152">
        <f t="shared" ca="1" si="615"/>
        <v>146</v>
      </c>
      <c r="EB150" s="153" t="e">
        <f t="shared" ca="1" si="616"/>
        <v>#N/A</v>
      </c>
      <c r="EC150" s="153" t="e">
        <f t="shared" ca="1" si="617"/>
        <v>#N/A</v>
      </c>
      <c r="ED150" s="154" t="e">
        <f ca="1">IF(Control!$C$114=1, $HM150*$FY150-$FD150, 0)</f>
        <v>#DIV/0!</v>
      </c>
      <c r="EE150" s="155" t="e">
        <f ca="1">IF(Control!$C$114=1, $HM150*$FZ150-$FF150, 0)</f>
        <v>#DIV/0!</v>
      </c>
      <c r="EF150" s="153" t="e">
        <f t="shared" ca="1" si="671"/>
        <v>#N/A</v>
      </c>
      <c r="EG150" s="155" t="e">
        <f ca="1">IF(Control!$C$114=1, $GX150*$FW150-$FI150, 0)</f>
        <v>#DIV/0!</v>
      </c>
      <c r="EH150" s="153" t="e">
        <f t="shared" ca="1" si="618"/>
        <v>#N/A</v>
      </c>
      <c r="EI150" s="156" t="e">
        <f t="shared" ca="1" si="619"/>
        <v>#N/A</v>
      </c>
      <c r="EJ150" s="155" t="e">
        <f ca="1">IF(Control!$C$114=1, $HM150*$GB150, 0)</f>
        <v>#DIV/0!</v>
      </c>
      <c r="EK150" s="153" t="e">
        <f t="shared" ca="1" si="672"/>
        <v>#N/A</v>
      </c>
      <c r="EL150" s="153" t="e">
        <f t="shared" ca="1" si="491"/>
        <v>#N/A</v>
      </c>
      <c r="EM150" s="153" t="e">
        <f t="shared" ca="1" si="492"/>
        <v>#N/A</v>
      </c>
      <c r="EN150" s="153" t="e">
        <f ca="1">IF(Control!$C$108=1,IF(AND(Control!$B$18=1,$EB150&gt;=Control!$B$19),$EB150-$DS150,IF(AND(Control!$B$18=2,$AW150=1,$EB150&gt;$DS150),$EB150-$DS150,0)))</f>
        <v>#N/A</v>
      </c>
      <c r="EO150" s="153" t="e">
        <f ca="1">IF(Control!$C$108=1,IF(AND(Control!$B$18=1,$EB150&gt;=Control!$B$19),$EF150,IF(AND(Control!$B$18=2,$AW150=1),$EF150,0)))</f>
        <v>#N/A</v>
      </c>
      <c r="EP150" s="153" t="e">
        <f ca="1">IF(Control!$C$108=1,IF(AND(Control!$B$18=1,$EB150&gt;=Control!$B$19),$EK150,IF(AND(Control!$B$18=2,$AW150=1),$EK150,0)))</f>
        <v>#N/A</v>
      </c>
      <c r="EQ150" s="153" t="e">
        <f t="shared" ca="1" si="620"/>
        <v>#N/A</v>
      </c>
      <c r="ER150" s="153" t="e">
        <f t="shared" ca="1" si="621"/>
        <v>#N/A</v>
      </c>
      <c r="ES150" s="153" t="e">
        <f t="shared" ca="1" si="673"/>
        <v>#N/A</v>
      </c>
      <c r="ET150" s="153" t="e">
        <f t="shared" ca="1" si="674"/>
        <v>#N/A</v>
      </c>
      <c r="EU150" s="153" t="e">
        <f t="shared" ca="1" si="622"/>
        <v>#N/A</v>
      </c>
      <c r="EV150" s="153" t="e">
        <f t="shared" ca="1" si="493"/>
        <v>#N/A</v>
      </c>
      <c r="EW150" s="153" t="e">
        <f t="shared" ca="1" si="494"/>
        <v>#N/A</v>
      </c>
      <c r="EX150" s="153" t="e">
        <f t="shared" ca="1" si="495"/>
        <v>#N/A</v>
      </c>
      <c r="EY150" s="157" t="e">
        <f t="shared" ca="1" si="496"/>
        <v>#DIV/0!</v>
      </c>
      <c r="EZ150" s="154" t="e">
        <f t="shared" ca="1" si="497"/>
        <v>#DIV/0!</v>
      </c>
      <c r="FA150" s="153" t="e">
        <f t="shared" ca="1" si="623"/>
        <v>#N/A</v>
      </c>
      <c r="FB150" s="153" t="e">
        <f t="shared" ca="1" si="498"/>
        <v>#N/A</v>
      </c>
      <c r="FC150" s="193" t="e">
        <f t="shared" ca="1" si="499"/>
        <v>#N/A</v>
      </c>
      <c r="FD150" s="158" t="e">
        <f t="shared" ca="1" si="624"/>
        <v>#N/A</v>
      </c>
      <c r="FE150" s="158" t="e">
        <f t="shared" ca="1" si="625"/>
        <v>#N/A</v>
      </c>
      <c r="FF150" s="159" t="e">
        <f t="shared" ca="1" si="500"/>
        <v>#N/A</v>
      </c>
      <c r="FG150" s="160" t="e">
        <f t="shared" ca="1" si="626"/>
        <v>#N/A</v>
      </c>
      <c r="FH150" s="158" t="e">
        <f t="shared" ca="1" si="627"/>
        <v>#N/A</v>
      </c>
      <c r="FI150" s="159" t="e">
        <f t="shared" ca="1" si="501"/>
        <v>#N/A</v>
      </c>
      <c r="FJ150" s="160" t="e">
        <f t="shared" ca="1" si="628"/>
        <v>#N/A</v>
      </c>
      <c r="FK150" s="160" t="e">
        <f t="shared" ca="1" si="502"/>
        <v>#N/A</v>
      </c>
      <c r="FL150" s="160" t="e">
        <f t="shared" ca="1" si="675"/>
        <v>#N/A</v>
      </c>
      <c r="FM150" s="160" t="e">
        <f t="shared" ca="1" si="503"/>
        <v>#N/A</v>
      </c>
      <c r="FN150" s="158">
        <f t="shared" ca="1" si="629"/>
        <v>0.01</v>
      </c>
      <c r="FO150" s="160">
        <f>Control!$C$101</f>
        <v>50</v>
      </c>
      <c r="FP150" s="150" t="e">
        <f t="shared" ca="1" si="504"/>
        <v>#N/A</v>
      </c>
      <c r="FQ150" s="150" t="e">
        <f ca="1">MAX(0,(Control!$C$112*(($DK150-Control!$C$97)/Control!$C$97)))</f>
        <v>#N/A</v>
      </c>
      <c r="FR150" s="150" t="e">
        <f ca="1">(1-$NT150)*Control!$C$113</f>
        <v>#DIV/0!</v>
      </c>
      <c r="FS150" s="198" t="e">
        <f t="shared" ca="1" si="505"/>
        <v>#N/A</v>
      </c>
      <c r="FT150" s="161">
        <f t="shared" ca="1" si="630"/>
        <v>146</v>
      </c>
      <c r="FU150" s="162" t="e">
        <f ca="1">IF(Control!$B$34=1,VLOOKUP($CP150,Control!$B$86:$G$91,6),Control!$B$35)</f>
        <v>#N/A</v>
      </c>
      <c r="FV150" s="162" t="e">
        <f t="shared" ca="1" si="506"/>
        <v>#DIV/0!</v>
      </c>
      <c r="FW150" s="162" t="e">
        <f ca="1">IF(Control!$B$31=1,$FU150*$FV150,  $FU150)</f>
        <v>#N/A</v>
      </c>
      <c r="FX150" s="162" t="e">
        <f ca="1">IF(Control!$B$34=1,VLOOKUP($CP150,Control!$B$86:$G$91,3),Control!$B$36)</f>
        <v>#N/A</v>
      </c>
      <c r="FY150" s="162" t="e">
        <f t="shared" ca="1" si="507"/>
        <v>#N/A</v>
      </c>
      <c r="FZ150" s="162" t="e">
        <f ca="1">IF(Control!$B$34=1,VLOOKUP($CP150,Control!$B$86:$G$91,4),Control!$B$37)</f>
        <v>#N/A</v>
      </c>
      <c r="GA150" s="162" t="e">
        <f t="shared" ca="1" si="508"/>
        <v>#N/A</v>
      </c>
      <c r="GB150" s="162" t="e">
        <f ca="1">IF(Control!$B$34=1,VLOOKUP($CP150,Control!$B$86:$G$91,5),Control!$B$38)</f>
        <v>#N/A</v>
      </c>
      <c r="GC150" s="162" t="e">
        <f t="shared" ca="1" si="631"/>
        <v>#N/A</v>
      </c>
      <c r="GD150" s="162">
        <f t="shared" ca="1" si="509"/>
        <v>1</v>
      </c>
      <c r="GE150" s="162">
        <f t="shared" ca="1" si="510"/>
        <v>1</v>
      </c>
      <c r="GF150" s="162">
        <f ca="1">IF(AND(Control!$C$104=1, Control!$C$62="F"),$GE150,1)</f>
        <v>1</v>
      </c>
      <c r="GG150" s="162" t="e">
        <f ca="1">IF(Control!$B$16=40,0,IF(AND(Control!$B$16&gt;40,Control!$B$16&lt;=360),(Control!$B$16-40)*((1-0)/(360-40)),IF(AND(Control!$B$16&gt;360,Control!$B$16&lt;=720),(1+(Control!$B$16-360)*((1.25-1)/(720-360))),IF(AND(Control!$B$16&gt;720,Control!$B$16&lt;=1000),(1.25+(Control!$B$16-720)*((1.35-1.25)/(1000-720))),IF(AND(Control!$B$16&gt;1000,Control!$B$16&lt;=2000),(1.35+(Control!$B$16-1000)*0))))))</f>
        <v>#N/A</v>
      </c>
      <c r="GH150" s="162" t="e">
        <f t="shared" ca="1" si="511"/>
        <v>#N/A</v>
      </c>
      <c r="GI150" s="162">
        <f t="shared" ca="1" si="632"/>
        <v>0</v>
      </c>
      <c r="GJ150" s="162">
        <f t="shared" ca="1" si="512"/>
        <v>0</v>
      </c>
      <c r="GK150" s="162">
        <f t="shared" ca="1" si="633"/>
        <v>1</v>
      </c>
      <c r="GL150" s="162">
        <f t="shared" ca="1" si="513"/>
        <v>1</v>
      </c>
      <c r="GM150" s="162" t="e">
        <f ca="1">MAX(0,MIN(1,1-Control!$C$156*(1.0001-$KH150)^2))</f>
        <v>#N/A</v>
      </c>
      <c r="GN150" s="162" t="e">
        <f ca="1">IF(Control!$B$26=1,$KU150,$KX150)</f>
        <v>#N/A</v>
      </c>
      <c r="GO150" s="162" t="e">
        <f ca="1">IF($CP150&lt;=60,Control!$C$105,IF($CP150&gt;=90,Control!$C$106,Control!$C$105+($CP150-60)*((Control!$C$106-Control!$C$105)/(90-60))))</f>
        <v>#N/A</v>
      </c>
      <c r="GP150" s="162" t="e">
        <f t="shared" ca="1" si="514"/>
        <v>#N/A</v>
      </c>
      <c r="GQ150" s="162" t="e">
        <f t="shared" ca="1" si="634"/>
        <v>#N/A</v>
      </c>
      <c r="GR150" s="163" t="e">
        <f t="shared" ca="1" si="515"/>
        <v>#DIV/0!</v>
      </c>
      <c r="GS150" s="162" t="e">
        <f t="shared" ca="1" si="516"/>
        <v>#DIV/0!</v>
      </c>
      <c r="GT150" s="164" t="e">
        <f t="shared" ca="1" si="635"/>
        <v>#N/A</v>
      </c>
      <c r="GU150" s="162" t="e">
        <f t="shared" ca="1" si="636"/>
        <v>#N/A</v>
      </c>
      <c r="GV150" s="162" t="e">
        <f t="shared" ca="1" si="517"/>
        <v>#N/A</v>
      </c>
      <c r="GW150" s="162" t="e">
        <f t="shared" ca="1" si="518"/>
        <v>#DIV/0!</v>
      </c>
      <c r="GX150" s="162" t="e">
        <f t="shared" ca="1" si="637"/>
        <v>#DIV/0!</v>
      </c>
      <c r="GY150" s="162" t="e">
        <f t="shared" ca="1" si="638"/>
        <v>#DIV/0!</v>
      </c>
      <c r="GZ150" s="165" t="e">
        <f t="shared" ca="1" si="519"/>
        <v>#N/A</v>
      </c>
      <c r="HA150" s="162" t="e">
        <f ca="1">IF(Control!$C$114=1, $DI150*$FS150, 0)</f>
        <v>#N/A</v>
      </c>
      <c r="HB150" s="162" t="e">
        <f ca="1">$FA150/Control!$C$64</f>
        <v>#N/A</v>
      </c>
      <c r="HC150" s="162" t="e">
        <f t="shared" ca="1" si="520"/>
        <v>#DIV/0!</v>
      </c>
      <c r="HD150" s="162">
        <f ca="1">-ASIN(SIN(23.45*Control!$C$139)*COS(2*Control!$C$138*($AH150+10)/365))</f>
        <v>0.36533011556084738</v>
      </c>
      <c r="HE150" s="165">
        <f t="shared" ca="1" si="639"/>
        <v>0</v>
      </c>
      <c r="HF150" s="166">
        <f ca="1">IF(AND(Control!$C$61="T",$HE150&gt;=Control!$C$103,Control!$C$114=0),$AH150,Control!$C$59)</f>
        <v>1</v>
      </c>
      <c r="HG150" s="166">
        <f ca="1">IF(AND(Control!$C$61="T",$HE150&gt;=Control!$C$103,Control!$C$114=0),$HF150,Control!$C$59)</f>
        <v>1</v>
      </c>
      <c r="HH150" s="165">
        <f ca="1">IF(AND(OR(Control!$C$60&lt;=0, $AH150= Control!$C$59, Control!$C$60 &gt;0, $AH150 = Control!$C$60)), Control!$C$59, IF(Control!$C$60&gt;0, 0))</f>
        <v>1</v>
      </c>
      <c r="HI150" s="165">
        <f ca="1">IF(AND(OR(Control!$C$60&lt;=0, $AH150= Control!$C$59, Control!$C$60 &gt;0, $AH150 = Control!$C$60)), Control!$C$60, IF(Control!$C$60&lt;=0, 0))</f>
        <v>0</v>
      </c>
      <c r="HJ150" s="166">
        <f ca="1">IF(AND(Control!$C$62="F",$CV150&gt;=Control!$C$102),$AH150,0)</f>
        <v>0</v>
      </c>
      <c r="HK150" s="165" t="e">
        <f t="shared" ca="1" si="676"/>
        <v>#N/A</v>
      </c>
      <c r="HL150" s="166">
        <f ca="1">IF(AND(Control!$C$61="T",$HE150&gt;=Control!$C$103,Control!$C$114=0),$HF150,0)</f>
        <v>0</v>
      </c>
      <c r="HM150" s="201" t="e">
        <f t="shared" ca="1" si="521"/>
        <v>#DIV/0!</v>
      </c>
      <c r="HN150" s="215">
        <f t="shared" ca="1" si="640"/>
        <v>146</v>
      </c>
      <c r="HO150" s="216" t="e">
        <f ca="1">IF(AND($CP150&gt;=0, $CP150&lt;=90), Control!$C$152, Control!$C$152)</f>
        <v>#N/A</v>
      </c>
      <c r="HP150" s="216" t="e">
        <f t="shared" ca="1" si="522"/>
        <v>#N/A</v>
      </c>
      <c r="HQ150" s="217" t="e">
        <f ca="1">IF(OR(Control!$B$26=1,Control!$B$26=2),$KV150,$KS150)</f>
        <v>#DIV/0!</v>
      </c>
      <c r="HR150" s="218" t="e">
        <f t="shared" ca="1" si="677"/>
        <v>#DIV/0!</v>
      </c>
      <c r="HS150" s="216" t="e">
        <f ca="1">Control!$C$154*$HP150</f>
        <v>#N/A</v>
      </c>
      <c r="HT150" s="216" t="e">
        <f ca="1">Control!$C$155*$HP150</f>
        <v>#N/A</v>
      </c>
      <c r="HU150" s="217" t="e">
        <f ca="1">Control!$C$161*$FI150</f>
        <v>#N/A</v>
      </c>
      <c r="HV150" s="218" t="e">
        <f t="shared" ca="1" si="641"/>
        <v>#N/A</v>
      </c>
      <c r="HW150" s="218" t="e">
        <f ca="1">Control!$C$160*$FF150+$IP150*$EO150</f>
        <v>#N/A</v>
      </c>
      <c r="HX150" s="218" t="e">
        <f t="shared" ca="1" si="678"/>
        <v>#N/A</v>
      </c>
      <c r="HY150" s="219" t="e">
        <f ca="1">IF(Control!$C$114=1, $EB150*$FS150, 0)</f>
        <v>#N/A</v>
      </c>
      <c r="HZ150" s="91" t="e">
        <f t="shared" ca="1" si="523"/>
        <v>#N/A</v>
      </c>
      <c r="IA150" s="220" t="e">
        <f ca="1">Control!$C$153*$HO150</f>
        <v>#N/A</v>
      </c>
      <c r="IB150" s="218" t="e">
        <f t="shared" ca="1" si="524"/>
        <v>#N/A</v>
      </c>
      <c r="IC150" s="220" t="e">
        <f ca="1">Control!$C$153*$HT150</f>
        <v>#N/A</v>
      </c>
      <c r="ID150" s="218" t="e">
        <f t="shared" ca="1" si="525"/>
        <v>#N/A</v>
      </c>
      <c r="IE150" s="221" t="e">
        <f ca="1">($EB150*Control!$C$159+$EF150*Control!$C$160)/(IF($GZ150&lt;&gt;0,$GZ150,1))</f>
        <v>#N/A</v>
      </c>
      <c r="IF150" s="216" t="e">
        <f t="shared" ca="1" si="526"/>
        <v>#N/A</v>
      </c>
      <c r="IG150" s="91">
        <f ca="1">IF(OR(Control!$B$198=$AH150,Control!$B$199=$AH150, Control!$B$200=$AH150, Control!$B$201=$AH150, Control!$B$202=$AH150, Control!$B$203=$AH150, Control!$B$204=$AH150, Control!$B$205=$AH150, Control!$B$206=$AH150, Control!$B$207=$AH150), 1, 0)</f>
        <v>0</v>
      </c>
      <c r="IH150" s="91">
        <f ca="1">IF($IG150=0,0, VLOOKUP($AH150,Control!$B$198:$C$207,2))</f>
        <v>0</v>
      </c>
      <c r="II150" s="222">
        <f t="shared" ca="1" si="642"/>
        <v>0</v>
      </c>
      <c r="IJ150" s="91">
        <f>Control!$C$121</f>
        <v>0.7</v>
      </c>
      <c r="IK150" s="218">
        <f t="shared" ca="1" si="527"/>
        <v>0</v>
      </c>
      <c r="IL150" s="217" t="e">
        <f t="shared" ca="1" si="679"/>
        <v>#N/A</v>
      </c>
      <c r="IM150" s="223" t="e">
        <f ca="1">IF(AND(Control!$C$114=1,$KH150&lt;1),$EB150*Control!$C$148*(1-$KH150), 0)</f>
        <v>#N/A</v>
      </c>
      <c r="IN150" s="217" t="e">
        <f t="shared" ca="1" si="528"/>
        <v>#DIV/0!</v>
      </c>
      <c r="IO150" s="91" t="e">
        <f ca="1">MAX(0,$IL150-$EF150*Control!$C$160)</f>
        <v>#N/A</v>
      </c>
      <c r="IP150" s="220" t="e">
        <f t="shared" ca="1" si="529"/>
        <v>#N/A</v>
      </c>
      <c r="IQ150" s="217" t="e">
        <f t="shared" ca="1" si="643"/>
        <v>#N/A</v>
      </c>
      <c r="IR150" s="218" t="e">
        <f t="shared" ca="1" si="530"/>
        <v>#N/A</v>
      </c>
      <c r="IS150" s="217" t="e">
        <f ca="1">Control!$C$159*MAX(0,$FD150-$EN150)</f>
        <v>#N/A</v>
      </c>
      <c r="IT150" s="217" t="e">
        <f t="shared" ca="1" si="680"/>
        <v>#N/A</v>
      </c>
      <c r="IU150" s="217" t="e">
        <f t="shared" ca="1" si="644"/>
        <v>#N/A</v>
      </c>
      <c r="IV150" s="217" t="e">
        <f t="shared" ca="1" si="681"/>
        <v>#N/A</v>
      </c>
      <c r="IW150" s="217" t="e">
        <f ca="1">IF(OR($AW150=1,AND($AW150=0, Control!$B$18=1,$EN150&lt;&gt;0)), $IQ150-$IU150, $IQ150)</f>
        <v>#N/A</v>
      </c>
      <c r="IX150" s="218" t="e">
        <f t="shared" ca="1" si="531"/>
        <v>#N/A</v>
      </c>
      <c r="IY150" s="218" t="e">
        <f ca="1">MAX(0,$IQ150-$EB150*Control!$C$159)</f>
        <v>#N/A</v>
      </c>
      <c r="IZ150" s="218" t="e">
        <f t="shared" ca="1" si="532"/>
        <v>#N/A</v>
      </c>
      <c r="JA150" s="216" t="e">
        <f t="shared" ca="1" si="533"/>
        <v>#N/A</v>
      </c>
      <c r="JB150" s="217" t="e">
        <f t="shared" ca="1" si="534"/>
        <v>#N/A</v>
      </c>
      <c r="JC150" s="222" t="e">
        <f ca="1">MAX(Control!$C$157*$EK150-$JT150, 0)/Control!$C$162</f>
        <v>#N/A</v>
      </c>
      <c r="JD150" s="218" t="e">
        <f t="shared" ca="1" si="535"/>
        <v>#N/A</v>
      </c>
      <c r="JE150" s="218" t="e">
        <f t="shared" ca="1" si="536"/>
        <v>#N/A</v>
      </c>
      <c r="JF150" s="218" t="e">
        <f t="shared" ca="1" si="645"/>
        <v>#N/A</v>
      </c>
      <c r="JG150" s="218" t="e">
        <f t="shared" ca="1" si="537"/>
        <v>#N/A</v>
      </c>
      <c r="JH150" s="217" t="e">
        <f t="shared" ca="1" si="646"/>
        <v>#N/A</v>
      </c>
      <c r="JI150" s="217" t="e">
        <f t="shared" ca="1" si="647"/>
        <v>#N/A</v>
      </c>
      <c r="JJ150" s="217" t="e">
        <f t="shared" ca="1" si="682"/>
        <v>#N/A</v>
      </c>
      <c r="JK150" s="217" t="e">
        <f ca="1">IF(Control!$C$114=1,IF(Control!$B$24=0,MAX(0,$JI150)*$GN150/Control!$C$64,(MAX(0,MIN($JI150,$JJ150*$GN150/Control!$C$64),0))))</f>
        <v>#N/A</v>
      </c>
      <c r="JL150" s="217" t="e">
        <f ca="1">$IK150/Control!$C$64-$JK150+$HQ150</f>
        <v>#N/A</v>
      </c>
      <c r="JM150" s="217" t="e">
        <f ca="1">IF(Control!$C$114=1,($JB150/(IF($JI150&lt;&gt;0,$JI150,1)))*$JK150,0)</f>
        <v>#N/A</v>
      </c>
      <c r="JN150" s="217" t="e">
        <f ca="1">IF(Control!$C$114=1,($JG150/(IF($JI150&lt;&gt;0,$JI150,1)))*$JK150, 0)</f>
        <v>#N/A</v>
      </c>
      <c r="JO150" s="218" t="e">
        <f t="shared" ca="1" si="538"/>
        <v>#N/A</v>
      </c>
      <c r="JP150" s="218" t="e">
        <f ca="1">MIN(($IY150+$IO150)*Control!$C$151, $JF150-$EH150*Control!$C$161)</f>
        <v>#N/A</v>
      </c>
      <c r="JQ150" s="218" t="e">
        <f t="shared" ca="1" si="539"/>
        <v>#N/A</v>
      </c>
      <c r="JR150" s="217" t="e">
        <f ca="1">IF($CP150-Control!$C$150&lt;0, 0, $JQ150/Control!$C$162)</f>
        <v>#N/A</v>
      </c>
      <c r="JS150" s="218" t="e">
        <f t="shared" ca="1" si="540"/>
        <v>#N/A</v>
      </c>
      <c r="JT150" s="218" t="e">
        <f t="shared" ca="1" si="648"/>
        <v>#N/A</v>
      </c>
      <c r="JU150" s="218" t="e">
        <f t="shared" ca="1" si="541"/>
        <v>#N/A</v>
      </c>
      <c r="JV150" s="218" t="e">
        <f t="shared" ca="1" si="542"/>
        <v>#N/A</v>
      </c>
      <c r="JW150" s="216" t="e">
        <f t="shared" ca="1" si="543"/>
        <v>#N/A</v>
      </c>
      <c r="JX150" s="91" t="e">
        <f t="shared" ca="1" si="544"/>
        <v>#N/A</v>
      </c>
      <c r="JY150" s="218" t="e">
        <f t="shared" ca="1" si="545"/>
        <v>#N/A</v>
      </c>
      <c r="JZ150" s="217" t="e">
        <f ca="1">IF(Control!$C$114=1,($IZ150/(IF($JI150&lt;&gt;0,$JI150,1)))*$JK150, 0)</f>
        <v>#N/A</v>
      </c>
      <c r="KA150" s="218" t="e">
        <f t="shared" ca="1" si="683"/>
        <v>#N/A</v>
      </c>
      <c r="KB150" s="218" t="e">
        <f t="shared" ca="1" si="649"/>
        <v>#N/A</v>
      </c>
      <c r="KC150" s="218" t="e">
        <f t="shared" ca="1" si="546"/>
        <v>#N/A</v>
      </c>
      <c r="KD150" s="218" t="e">
        <f t="shared" ca="1" si="547"/>
        <v>#N/A</v>
      </c>
      <c r="KE150" s="218" t="e">
        <f t="shared" ca="1" si="548"/>
        <v>#N/A</v>
      </c>
      <c r="KF150" s="218" t="e">
        <f t="shared" ca="1" si="549"/>
        <v>#N/A</v>
      </c>
      <c r="KG150" s="216" t="e">
        <f t="shared" ca="1" si="550"/>
        <v>#N/A</v>
      </c>
      <c r="KH150" s="221" t="e">
        <f ca="1">IF(Control!$B$24=0,1,MAX(0.001,MIN(1,IF(($IF150-$IE150)&lt;&gt;0,($KG150-$IE150)/($IF150-$IE150),1))))</f>
        <v>#N/A</v>
      </c>
      <c r="KI150" s="222" t="e">
        <f ca="1">IF(Control!$C$114=1, $KI149+ $KH149, 0)</f>
        <v>#N/A</v>
      </c>
      <c r="KJ150" s="217" t="e">
        <f t="shared" ca="1" si="551"/>
        <v>#N/A</v>
      </c>
      <c r="KK150" s="218" t="e">
        <f t="shared" ca="1" si="552"/>
        <v>#N/A</v>
      </c>
      <c r="KL150" s="274" t="e">
        <f ca="1">IF(Control!$B$26=3,4000000000*EXP(-8400/($G150+273)),IF(Control!$B$26=4,4000000000*EXP(-8400/($G150+273))*($KT150),0))</f>
        <v>#DIV/0!</v>
      </c>
      <c r="KM150" s="274" t="e">
        <f ca="1">IF(Control!$B$26=3,5600000000000*EXP(-9800/($G150+273)),IF(Control!$B$26=4,5600000000000*EXP(-9800/($G150+273))*$KT150,0))</f>
        <v>#DIV/0!</v>
      </c>
      <c r="KN150" s="454" t="e">
        <f t="shared" ca="1" si="650"/>
        <v>#DIV/0!</v>
      </c>
      <c r="KO150" s="274" t="e">
        <f t="shared" ca="1" si="651"/>
        <v>#DIV/0!</v>
      </c>
      <c r="KP150" s="454" t="e">
        <f t="shared" ca="1" si="553"/>
        <v>#DIV/0!</v>
      </c>
      <c r="KQ150" s="454" t="e">
        <f t="shared" ca="1" si="554"/>
        <v>#DIV/0!</v>
      </c>
      <c r="KR150" s="454" t="e">
        <f t="shared" ca="1" si="555"/>
        <v>#DIV/0!</v>
      </c>
      <c r="KS150" s="454" t="e">
        <f t="shared" ca="1" si="556"/>
        <v>#DIV/0!</v>
      </c>
      <c r="KT150" s="455" t="e">
        <f t="shared" ca="1" si="557"/>
        <v>#DIV/0!</v>
      </c>
      <c r="KU150" s="456" t="e">
        <f ca="1">IF($CP150-Control!$C$149&lt;0, IF($NT150-0.01&lt;0,0,1),0)</f>
        <v>#N/A</v>
      </c>
      <c r="KV150" s="456" t="e">
        <f ca="1">IF(Control!$C$114=1,MAX(0,MIN(Control!$C$125*$KW150*$GN150,$KW150)))</f>
        <v>#DIV/0!</v>
      </c>
      <c r="KW150" s="456" t="e">
        <f t="shared" ca="1" si="684"/>
        <v>#DIV/0!</v>
      </c>
      <c r="KX150" s="457" t="e">
        <f ca="1">IF($CP150-Control!$C$149&lt;0, IF($MR150-$OM150&lt;0,0,1),0)</f>
        <v>#N/A</v>
      </c>
      <c r="KY150" s="167">
        <f t="shared" ca="1" si="652"/>
        <v>146</v>
      </c>
      <c r="KZ150" s="168">
        <f ca="1">1370*(1+0.033*COS(2*Control!$C$138*$AH150/365))</f>
        <v>1333.4241855074806</v>
      </c>
      <c r="LA150" s="169">
        <f t="shared" ca="1" si="653"/>
        <v>0.97330243918562676</v>
      </c>
      <c r="LB150" s="169">
        <f t="shared" ca="1" si="654"/>
        <v>0.3687225360410043</v>
      </c>
      <c r="LC150" s="169">
        <f ca="1">ACOS(-TAN((2*Control!$B$8/360))*TAN(Calculations!$LB150))</f>
        <v>1.6858878230392131</v>
      </c>
      <c r="LD150" s="169">
        <f ca="1">((24*60)/PI())*0.082*$LA150*(($LC150*SIN(Control!$B$8*2*PI()/360))*SIN($LB150)+COS(Control!$B$8*2*PI()/360)*COS($LB150)*SIN($LC150))</f>
        <v>38.386291183856201</v>
      </c>
      <c r="LE150" s="170">
        <f t="shared" ca="1" si="558"/>
        <v>39.679202970303223</v>
      </c>
      <c r="LF150" s="170">
        <f ca="1">SIN(Control!$C$139*Control!$B$8)*SIN($HD150)</f>
        <v>0.28152333192930723</v>
      </c>
      <c r="LG150" s="170">
        <f ca="1">COS(Control!$C$139*Control!$B$8)*COS($HD150)</f>
        <v>0.57502987340254408</v>
      </c>
      <c r="LH150" s="170">
        <f ca="1">12*(1+2*ASIN(MAX(-1,MIN(1,$LF150/$LG150))/Control!$C$138))</f>
        <v>15.755415942148513</v>
      </c>
      <c r="LI150" s="170">
        <f ca="1">12*(1+2*ASIN(MAX(-1,MIN(1,(-SIN(-4*Control!$C$139)+$LF150)/$LG150))/Control!$C$138))</f>
        <v>16.696766572840865</v>
      </c>
      <c r="LJ150" s="168">
        <f ca="1">3600*($LH150*$LF150+24*$LG150*SQRT(1-$LK150*$LK150)/Control!$C$138)</f>
        <v>29757.374586093872</v>
      </c>
      <c r="LK150" s="170">
        <f t="shared" ca="1" si="559"/>
        <v>0.48958035912723713</v>
      </c>
      <c r="LL150" s="170">
        <f t="shared" ca="1" si="560"/>
        <v>0</v>
      </c>
      <c r="LM150" s="171">
        <f ca="1">Control!$C$145*$AB150</f>
        <v>6.6660906138995932E-2</v>
      </c>
      <c r="LN150" s="170">
        <f t="shared" ca="1" si="655"/>
        <v>0.54</v>
      </c>
      <c r="LO150" s="170">
        <f t="shared" ca="1" si="561"/>
        <v>0</v>
      </c>
      <c r="LP150" s="170">
        <f ca="1">Control!$C$140*((($D150+273.16)^4+($E150+273.16)^4)/2)*(0.34-0.14*SQRT($Y150))*(1.35*$AQ150/(0.75*$LD150)-0.35)</f>
        <v>-3.2464704755046001</v>
      </c>
      <c r="LQ150" s="170">
        <f ca="1">Control!$C$140*($G150+273)^4*(0.56-0.079*SQRT($Y150*10))*(0.1+0.9*$LO150)</f>
        <v>1.5241745131704001</v>
      </c>
      <c r="LR150" s="170">
        <f ca="1">$AQ150*(1-Control!$C$142)-$LQ150</f>
        <v>-1.5241745131704001</v>
      </c>
      <c r="LS150" s="170">
        <f ca="1">$AQ150*(1-Control!$C$143)-$LQ150</f>
        <v>-1.5241745131704001</v>
      </c>
      <c r="LT150" s="170">
        <f ca="1">$AQ150*(1-Control!$C$144)-$LQ150</f>
        <v>-1.5241745131704001</v>
      </c>
      <c r="LU150" s="169">
        <f ca="1">(1-Control!$C$144)*AQ150-LP150</f>
        <v>3.2464704755046001</v>
      </c>
      <c r="LV150" s="172">
        <f t="shared" ca="1" si="562"/>
        <v>0.79430000000000012</v>
      </c>
      <c r="LW150" s="170">
        <f t="shared" ca="1" si="563"/>
        <v>1.5886000000000002</v>
      </c>
      <c r="LX150" s="170">
        <f ca="1">($AC150*($LR150/Control!$C$141)+$LM150*$LV150)/($AC150+$LM150)</f>
        <v>0.23530094218323697</v>
      </c>
      <c r="LY150" s="170">
        <f ca="1">($AC150*($LS150/Control!$C$141)+$LM150*$LV150)/($AC150+$LM150)</f>
        <v>0.23530094218323697</v>
      </c>
      <c r="LZ150" s="170">
        <f t="shared" ca="1" si="564"/>
        <v>0.23530094218323697</v>
      </c>
      <c r="MA150" s="170">
        <f t="shared" ca="1" si="565"/>
        <v>0.23530094218323697</v>
      </c>
      <c r="MB150" s="170" t="e">
        <f t="shared" ca="1" si="566"/>
        <v>#N/A</v>
      </c>
      <c r="MC150" s="170">
        <f t="shared" ca="1" si="656"/>
        <v>0.6018</v>
      </c>
      <c r="MD150" s="170">
        <f t="shared" ca="1" si="567"/>
        <v>0.52989392535414004</v>
      </c>
      <c r="ME150" s="170">
        <f ca="1">($AC150*($LT150/Control!$C$141)+$LM150*$LW150)/($AC150+$LM150)</f>
        <v>0.71612369323045078</v>
      </c>
      <c r="MF150" s="170" t="e">
        <f ca="1">IF(Control!$B$16&gt;=1000,0.92,IF(AND(720&lt;=Control!$B$16,1000&gt;Control!$B$16),(0.95+(Control!$B$16-720)*((0.92-0.95)/(1000-720))),IF(AND(360&lt;=Control!$B$16,720&gt;Control!$B$16),(1+(Control!$B$16-360)*((0.95-1)/(720-360))),IF(AND(40&lt;=Control!$B$16,360&gt;Control!$B$16),(1.05+(Control!$B$16-40)*((1.05-1)/(360-40)))))))</f>
        <v>#N/A</v>
      </c>
      <c r="MG150" s="170">
        <f t="shared" ca="1" si="568"/>
        <v>0.71612369323045078</v>
      </c>
      <c r="MH150" s="170" t="e">
        <f t="shared" ca="1" si="693"/>
        <v>#N/A</v>
      </c>
      <c r="MI150" s="170" t="e">
        <f t="shared" ca="1" si="693"/>
        <v>#N/A</v>
      </c>
      <c r="MJ150" s="170" t="e">
        <f ca="1">MAX(0.0001, Control!$C$132*$MI150*$DL150)</f>
        <v>#N/A</v>
      </c>
      <c r="MK150" s="170">
        <f ca="1">1/(0.76+1.5*($MG150/10))-(5-Control!$C$110)*0.1</f>
        <v>1.002845988140797</v>
      </c>
      <c r="ML150" s="173">
        <f ca="1">IF(Control!$C$110&lt;3,$MK150+($MG150-0.6)/(Control!$C$110*(Control!$C$110+3)), MAX(0.1, MIN(0.95,$MK150)))</f>
        <v>0.95</v>
      </c>
      <c r="MM150" s="173">
        <f ca="1">IF(Control!$C$110&lt;3,$MK150+(($MI150/10)-0.6)/(Control!$C$110*(Control!$C$110+3)), MAX(0.1, MIN(0.95,$MK150)))</f>
        <v>0.95</v>
      </c>
      <c r="MN150" s="173">
        <f ca="1">(1-$MM150)*(Control!$C$128-Control!$C$127)+Control!$C$127</f>
        <v>0.16</v>
      </c>
      <c r="MO150" s="170" t="e">
        <f ca="1">MAX(0,MIN(1,($MS150-Control!$C$127)/($MN150-Control!$C$127)))</f>
        <v>#DIV/0!</v>
      </c>
      <c r="MP150" s="173" t="e">
        <f ca="1">1/(0.76+1.5*$MI150)-(5-Control!$C$110)*0.1</f>
        <v>#N/A</v>
      </c>
      <c r="MQ150" s="172" t="e">
        <f t="shared" ca="1" si="685"/>
        <v>#DIV/0!</v>
      </c>
      <c r="MR150" s="168" t="e">
        <f t="shared" ca="1" si="657"/>
        <v>#DIV/0!</v>
      </c>
      <c r="MS150" s="173" t="e">
        <f ca="1">MAX(Control!$C$127, MIN(Control!$C$135, $MR150/MAX(0.0001,$CY150)))</f>
        <v>#DIV/0!</v>
      </c>
      <c r="MT150" s="168" t="e">
        <f ca="1">(Control!$C$128-$MS150)*Control!$C$74</f>
        <v>#DIV/0!</v>
      </c>
      <c r="MU150" s="168" t="e">
        <f ca="1">(Control!$C$135-$MS150)*Control!$C$74</f>
        <v>#DIV/0!</v>
      </c>
      <c r="MV150" s="168" t="e">
        <f t="shared" ca="1" si="658"/>
        <v>#DIV/0!</v>
      </c>
      <c r="MW150" s="168" t="e">
        <f t="shared" ca="1" si="659"/>
        <v>#DIV/0!</v>
      </c>
      <c r="MX150" s="171" t="e">
        <f ca="1">MAX(Control!$C$127, MIN(Control!$C$135, $MW150/MAX(0.0001,Control!$C$119-$CY150)))</f>
        <v>#DIV/0!</v>
      </c>
      <c r="MY150" s="54" t="e">
        <f ca="1">IF(Control!$C$114=1, $CX150*$MX150, 0)</f>
        <v>#DIV/0!</v>
      </c>
      <c r="MZ150" s="54" t="e">
        <f t="shared" ca="1" si="660"/>
        <v>#N/A</v>
      </c>
      <c r="NA150" s="168" t="e">
        <f ca="1">(Control!$C$128-$MX150)*(Control!$C$119-Control!$C$74)</f>
        <v>#DIV/0!</v>
      </c>
      <c r="NB150" s="168" t="e">
        <f ca="1">(Control!$C$135-$MX150)*(Control!$C$119-Control!$C$74)</f>
        <v>#DIV/0!</v>
      </c>
      <c r="NC150" s="174" t="e">
        <f t="shared" ca="1" si="661"/>
        <v>#DIV/0!</v>
      </c>
      <c r="ND150" s="54">
        <f ca="1">IF(Control!$C$58=2, IF(OR(Control!$B$218=$AH150,Control!$B$219=$AH150, Control!$B$220=$AH150, Control!$B$221=$AH150, Control!$B$222=$AH150, Control!$B$223=$AH150, Control!$B$224=$AH150, Control!$B$225=$AH150, Control!$B$226=$AH150, Control!$B$227=$AH150, Control!$B$228=$AH150), 1, 0), 0)</f>
        <v>0</v>
      </c>
      <c r="NE150" s="54">
        <f ca="1">IF($ND150=0,0, VLOOKUP($AH150,Control!$B$218:$C$228,2))</f>
        <v>0</v>
      </c>
      <c r="NF150" s="168" t="e">
        <f ca="1">$CY150*(Control!$C$128-Control!$C$127)</f>
        <v>#N/A</v>
      </c>
      <c r="NG150" s="54" t="e">
        <f ca="1">IF(Control!$C$58=2, $NI149-$NJ149, 0)</f>
        <v>#DIV/0!</v>
      </c>
      <c r="NH150" s="54" t="e">
        <f ca="1">IF(AND(Control!$C$58=1, $MS149&lt;= ($MN149+0.02), $I149&lt;10), 0, IF(Control!$C$58=2, $NG149, 0))</f>
        <v>#DIV/0!</v>
      </c>
      <c r="NI150" s="54" t="e">
        <f ca="1">IF(Control!$C$58=2, $NE150+$NH150,0)</f>
        <v>#DIV/0!</v>
      </c>
      <c r="NJ150" s="54" t="e">
        <f ca="1">IF(AND(Control!$C$58=1, $MS150&lt;= ($MN150+0.02), $I150&lt;10), MAX(0, MIN(10, 0.7*($NF150-$MV150))), IF(Control!$C$58=2, MIN(10,$NI150),0))</f>
        <v>#DIV/0!</v>
      </c>
      <c r="NK150" s="54" t="e">
        <f t="shared" ca="1" si="569"/>
        <v>#DIV/0!</v>
      </c>
      <c r="NL150" s="173" t="e">
        <f ca="1">(1-Control!$C$73)*$I150+$NJ150</f>
        <v>#DIV/0!</v>
      </c>
      <c r="NM150" s="172" t="e">
        <f ca="1">IF($NL150&lt;0.5, $MB150* MAX(0, MIN(1, (SQRT($NC150)-SQRT($NC150-1))*Control!$C$71)),0)</f>
        <v>#DIV/0!</v>
      </c>
      <c r="NN150" s="170" t="e">
        <f ca="1">IF($NL150&gt;=5, $MB150, MAX(0,MIN($MB150, $NM150+$NL150,($MS150-Control!$C$129))))</f>
        <v>#DIV/0!</v>
      </c>
      <c r="NO150" s="54">
        <f>IF(Control!$C$133&lt;&gt;1, Control!$C$135-Control!$C$131, 0)</f>
        <v>0.38</v>
      </c>
      <c r="NP150" s="54" t="e">
        <f t="shared" ca="1" si="570"/>
        <v>#DIV/0!</v>
      </c>
      <c r="NQ150" s="173" t="e">
        <f ca="1">MAX(0,MIN(1,(Control!$C$135-$MS150)/(Control!$C$135-$NO150)))</f>
        <v>#DIV/0!</v>
      </c>
      <c r="NR150" s="170" t="e">
        <f ca="1">IF(Control!$C$133&lt;&gt;1, $NQ150+((1-$NP150/4)*(1-$NQ150)),1)</f>
        <v>#DIV/0!</v>
      </c>
      <c r="NS150" s="170" t="e">
        <f ca="1">IF(Control!$B$31=0,$MJ150,MAX(0,MIN($MV150,$MO150*$NR150*$MJ150)))</f>
        <v>#DIV/0!</v>
      </c>
      <c r="NT150" s="170" t="e">
        <f t="shared" ca="1" si="686"/>
        <v>#DIV/0!</v>
      </c>
      <c r="NU150" s="170" t="e">
        <f t="shared" ca="1" si="662"/>
        <v>#N/A</v>
      </c>
      <c r="NV150" s="170" t="e">
        <f t="shared" ca="1" si="571"/>
        <v>#N/A</v>
      </c>
      <c r="NW150" s="175" t="e">
        <f t="shared" ca="1" si="572"/>
        <v>#DIV/0!</v>
      </c>
      <c r="NX150" s="170" t="e">
        <f ca="1">MIN(Control!$C$72+$MU150, $NW150)</f>
        <v>#DIV/0!</v>
      </c>
      <c r="NY150" s="170" t="e">
        <f ca="1">IF($MT150&lt;=$NX150,MIN(Control!$C$72+$NB150,$NX150-$MT150),0)</f>
        <v>#DIV/0!</v>
      </c>
      <c r="NZ150" s="54" t="e">
        <f ca="1">IF(Control!$C$114=1,  $CX150*($MX150-Control!$C$127), 0)</f>
        <v>#DIV/0!</v>
      </c>
      <c r="OA150" s="170" t="e">
        <f t="shared" ca="1" si="573"/>
        <v>#DIV/0!</v>
      </c>
      <c r="OB150" s="170" t="e">
        <f ca="1">IF($NA150 &lt;=$NY150, MIN(Control!$C$72, $NY150-$NA150), 0)</f>
        <v>#DIV/0!</v>
      </c>
      <c r="OC150" s="168" t="e">
        <f t="shared" ca="1" si="574"/>
        <v>#DIV/0!</v>
      </c>
      <c r="OD150" s="168" t="e">
        <f t="shared" ca="1" si="663"/>
        <v>#DIV/0!</v>
      </c>
      <c r="OE150" s="170">
        <f ca="1">Control!$C$73*$I150</f>
        <v>0</v>
      </c>
      <c r="OF150" s="176" t="e">
        <f t="shared" ca="1" si="575"/>
        <v>#DIV/0!</v>
      </c>
      <c r="OG150" s="168" t="e">
        <f t="shared" ca="1" si="576"/>
        <v>#DIV/0!</v>
      </c>
      <c r="OH150" s="168" t="e">
        <f t="shared" ca="1" si="577"/>
        <v>#DIV/0!</v>
      </c>
      <c r="OI150" s="168" t="e">
        <f t="shared" ca="1" si="578"/>
        <v>#DIV/0!</v>
      </c>
      <c r="OJ150" s="168" t="e">
        <f t="shared" ca="1" si="579"/>
        <v>#DIV/0!</v>
      </c>
      <c r="OK150" s="204" t="e">
        <f t="shared" ca="1" si="580"/>
        <v>#DIV/0!</v>
      </c>
      <c r="OL150" s="177">
        <f>Control!$C$127</f>
        <v>0.15</v>
      </c>
      <c r="OM150" s="182" t="e">
        <f t="shared" ca="1" si="581"/>
        <v>#N/A</v>
      </c>
      <c r="ON150" s="177">
        <f>Control!$C$128</f>
        <v>0.35</v>
      </c>
      <c r="OO150" s="182" t="e">
        <f t="shared" ca="1" si="582"/>
        <v>#N/A</v>
      </c>
      <c r="OP150" s="138">
        <f t="shared" ca="1" si="664"/>
        <v>0</v>
      </c>
      <c r="OQ150" s="138" t="e">
        <f t="shared" ca="1" si="687"/>
        <v>#DIV/0!</v>
      </c>
      <c r="OR150" s="138" t="e">
        <f t="shared" ca="1" si="665"/>
        <v>#DIV/0!</v>
      </c>
      <c r="OS150" s="137" t="e">
        <f t="shared" ca="1" si="688"/>
        <v>#DIV/0!</v>
      </c>
      <c r="OT150" s="139" t="e">
        <f t="shared" ca="1" si="689"/>
        <v>#DIV/0!</v>
      </c>
      <c r="OU150" s="138" t="e">
        <f t="shared" ca="1" si="690"/>
        <v>#N/A</v>
      </c>
      <c r="OV150" s="138" t="e">
        <f t="shared" ca="1" si="691"/>
        <v>#DIV/0!</v>
      </c>
      <c r="OW150" s="138" t="e">
        <f t="shared" ca="1" si="666"/>
        <v>#DIV/0!</v>
      </c>
      <c r="OX150" s="138" t="e">
        <f t="shared" ca="1" si="667"/>
        <v>#DIV/0!</v>
      </c>
      <c r="OY150" s="138" t="e">
        <f t="shared" ca="1" si="668"/>
        <v>#DIV/0!</v>
      </c>
      <c r="OZ150" s="138" t="e">
        <f t="shared" ca="1" si="583"/>
        <v>#DIV/0!</v>
      </c>
      <c r="PA150" s="138" t="e">
        <f t="shared" ca="1" si="584"/>
        <v>#DIV/0!</v>
      </c>
      <c r="PB150" s="55">
        <f>IF(Control!$C$61="T", IF(Control!$C$65="F", IF($AH$6-Control!$C$60&lt;0,0,1), IF(365+$AH$6-Control!$C$60&lt;0,0,1)),0)</f>
        <v>0</v>
      </c>
      <c r="PC150" s="55">
        <f ca="1">IF(Control!$C$65="F", IF($AH$6-$HF150&lt;0,0,1), IF(365+$AH$6-$HF150&lt;0,0,1))</f>
        <v>1</v>
      </c>
      <c r="PD150" s="444">
        <f>Control!$C$118</f>
        <v>1500</v>
      </c>
      <c r="PE150" s="180" t="e">
        <f t="shared" ca="1" si="585"/>
        <v>#N/A</v>
      </c>
      <c r="PF150" s="445">
        <f t="shared" ca="1" si="669"/>
        <v>0.71612369323045078</v>
      </c>
      <c r="PT150" s="186"/>
      <c r="PU150" s="186"/>
      <c r="PV150" s="94"/>
      <c r="PW150" s="94"/>
      <c r="PX150" s="94"/>
      <c r="PY150" s="94"/>
      <c r="PZ150" s="94"/>
      <c r="QA150" s="94"/>
      <c r="QB150" s="94"/>
      <c r="QC150" s="94"/>
      <c r="QD150" s="94"/>
      <c r="QE150" s="94"/>
      <c r="QF150" s="94"/>
      <c r="QG150" s="94"/>
      <c r="QH150" s="94"/>
      <c r="QI150" s="94"/>
      <c r="QJ150" s="94"/>
      <c r="QK150" s="94"/>
      <c r="QL150" s="94"/>
      <c r="QM150" s="94"/>
      <c r="QN150" s="94"/>
      <c r="QO150" s="94"/>
      <c r="QP150" s="94"/>
    </row>
    <row r="151" spans="1:458" s="2" customFormat="1" x14ac:dyDescent="0.2">
      <c r="A151" s="395">
        <v>26</v>
      </c>
      <c r="B151" s="396">
        <v>5</v>
      </c>
      <c r="C151" s="387">
        <f ca="1">Weather_data!$B150</f>
        <v>0</v>
      </c>
      <c r="D151" s="388">
        <f ca="1">Weather_data!$F150</f>
        <v>0</v>
      </c>
      <c r="E151" s="388">
        <f ca="1">Weather_data!$E150</f>
        <v>0</v>
      </c>
      <c r="F151" s="388">
        <f t="shared" ca="1" si="586"/>
        <v>0</v>
      </c>
      <c r="G151" s="388">
        <f ca="1">AVERAGE($D151:$E151)+Control!$B$9</f>
        <v>0</v>
      </c>
      <c r="H151" s="388">
        <f ca="1">Weather_data!$G150</f>
        <v>0</v>
      </c>
      <c r="I151" s="388">
        <f ca="1">Weather_data!$I150</f>
        <v>0</v>
      </c>
      <c r="J151" s="388">
        <f ca="1">Weather_data!$H150</f>
        <v>0</v>
      </c>
      <c r="K151" s="389">
        <f ca="1">Weather_data!$D150</f>
        <v>0</v>
      </c>
      <c r="L151" s="388" t="e">
        <f t="shared" ca="1" si="587"/>
        <v>#N/A</v>
      </c>
      <c r="M151" s="388" t="e">
        <f t="shared" ca="1" si="465"/>
        <v>#N/A</v>
      </c>
      <c r="N151" s="388">
        <f t="shared" ca="1" si="466"/>
        <v>-1.1591346090415443E-7</v>
      </c>
      <c r="O151" s="388">
        <f t="shared" ca="1" si="588"/>
        <v>1.1591346090415443E-6</v>
      </c>
      <c r="P151" s="390">
        <v>3</v>
      </c>
      <c r="Q151" s="388">
        <f ca="1">MAX($G151-Control!$C$107,0)</f>
        <v>0</v>
      </c>
      <c r="R151" s="388">
        <f t="shared" ca="1" si="589"/>
        <v>0</v>
      </c>
      <c r="S151" s="388">
        <f t="shared" ca="1" si="467"/>
        <v>0</v>
      </c>
      <c r="T151" s="388">
        <f t="shared" ca="1" si="468"/>
        <v>0</v>
      </c>
      <c r="U151" s="59">
        <f t="shared" ca="1" si="469"/>
        <v>0</v>
      </c>
      <c r="V151" s="391">
        <f ca="1">MAX(0,MIN(Control!$C$100-Control!$C$99,$G151-Control!$C$99)*Control!$C$63)</f>
        <v>0</v>
      </c>
      <c r="W151" s="388">
        <f t="shared" ca="1" si="590"/>
        <v>0</v>
      </c>
      <c r="X151" s="388">
        <f t="shared" ca="1" si="591"/>
        <v>0.6110000000000001</v>
      </c>
      <c r="Y151" s="388">
        <f t="shared" ca="1" si="470"/>
        <v>0</v>
      </c>
      <c r="Z151" s="388">
        <f t="shared" ca="1" si="592"/>
        <v>0.61058800000000002</v>
      </c>
      <c r="AA151" s="388">
        <f t="shared" ca="1" si="471"/>
        <v>0.6018</v>
      </c>
      <c r="AB151" s="388">
        <f ca="1">101.3*EXP(-0.034*Control!$C$66/($G151+273))</f>
        <v>100.69623283836242</v>
      </c>
      <c r="AC151" s="392">
        <f t="shared" ca="1" si="472"/>
        <v>4.3460251046025113E-2</v>
      </c>
      <c r="AD151" s="392">
        <f t="shared" ca="1" si="473"/>
        <v>4.4450382862832649E-2</v>
      </c>
      <c r="AE151" s="388">
        <f t="shared" ca="1" si="474"/>
        <v>0</v>
      </c>
      <c r="AF151" s="388">
        <f ca="1">MAX(0,$G151-Control!$C$92)</f>
        <v>0</v>
      </c>
      <c r="AG151" s="393">
        <f t="shared" ca="1" si="475"/>
        <v>147</v>
      </c>
      <c r="AH151" s="389">
        <f t="shared" ca="1" si="476"/>
        <v>147</v>
      </c>
      <c r="AI151" s="388">
        <f t="shared" ca="1" si="593"/>
        <v>0.36850613162022267</v>
      </c>
      <c r="AJ151" s="388">
        <f ca="1">IF(Control!$C$60&lt;=0,$HH151,$HI151)</f>
        <v>1</v>
      </c>
      <c r="AK151" s="388">
        <f t="shared" ca="1" si="477"/>
        <v>1.1533518235096774</v>
      </c>
      <c r="AL151" s="388">
        <f t="shared" ca="1" si="478"/>
        <v>3.0655322030836983E-18</v>
      </c>
      <c r="AM151" s="388">
        <f t="shared" ca="1" si="479"/>
        <v>1.1533518235096774</v>
      </c>
      <c r="AN151" s="388">
        <f t="shared" ca="1" si="480"/>
        <v>0.37217255961973794</v>
      </c>
      <c r="AO151" s="388">
        <f ca="1">-0.10453/COS(Control!$B$8*PI()/180)*COS(AN151)</f>
        <v>-0.15816131005226272</v>
      </c>
      <c r="AP151" s="388">
        <f ca="1">ACOS(AO151-TAN(Control!$B$8*PI()/180)*TAN(AN151))</f>
        <v>2.288697486614895</v>
      </c>
      <c r="AQ151" s="388">
        <f t="shared" ca="1" si="594"/>
        <v>0</v>
      </c>
      <c r="AR151" s="394">
        <f t="shared" ca="1" si="481"/>
        <v>0</v>
      </c>
      <c r="AS151" s="436">
        <f ca="1">IF(Control!$B$18=2,(IF(OR($AH151=Control!$B$175,$AH151=Control!$B$176,$AH151=Control!$B$177,$AH151=Control!$B$178,$AH151=Control!$B$179,$AH151=Control!$B$180,$AH151=Control!$B$181,$AH151=Control!$B$182,$AH151=Control!$B$183,$AH151=Control!$B$184,$AH151=Control!$B$185),1,0)),0)</f>
        <v>0</v>
      </c>
      <c r="AT151" s="436">
        <f>IF(Control!$B$20=8,IF(AND($AH151&gt;=Control!$B$172,$AH151&lt;=Control!$B$173),1,0),0)</f>
        <v>0</v>
      </c>
      <c r="AU151" s="436">
        <f>IF(Control!$B$20=8,IF($AV150=1,1*$AT151,IF($AT151=1,$AU150+1,$AU150)),0)</f>
        <v>0</v>
      </c>
      <c r="AV151" s="436">
        <f>IF(Control!$B$20=8,IF($AU151&gt;=Control!$B$174,1,0),0)</f>
        <v>0</v>
      </c>
      <c r="AW151" s="436">
        <f ca="1">IF(AND(Control!$B$18=2,Control!$B$171=1), $AV151, $AS151)</f>
        <v>0</v>
      </c>
      <c r="AX151" s="436" t="e">
        <f ca="1">IF(AND(Control!$B$18=1,$EU151&gt;=Control!$B$19),-$AY151,IF(AND(Control!$B$18=2,$AW151=1,$EU151&gt;$DS151),-$AY151, IF(Control!$C$108=0,0, IF(Control!$C$108&lt;&gt;0,1))))</f>
        <v>#N/A</v>
      </c>
      <c r="AY151" s="436" t="e">
        <f t="shared" ca="1" si="595"/>
        <v>#N/A</v>
      </c>
      <c r="AZ151" s="436" t="e">
        <f ca="1">IF(AND(Control!$B$18=1,$EB151&gt;Control!$B$19),$AZ150+1, IF(AND(Control!$B$18=2, $AW151=1, $EB151&gt;$DS151), $AZ150+1,$AZ150))</f>
        <v>#N/A</v>
      </c>
      <c r="BA151" s="587">
        <f>IF(Control!$C$81=0,1,IF($AH151&gt;=Control!$C$82,1,0))</f>
        <v>1</v>
      </c>
      <c r="BB151" s="140" t="e">
        <f ca="1">IF($BA151&gt;$BA150,Control!$C$83,IF($AW151&gt;0,$AW151*Control!$C$84,IF(AND(Control!$B$18=1,EN150&lt;&gt;0),Control!$C$84,0)))</f>
        <v>#N/A</v>
      </c>
      <c r="BC151" s="140" t="e">
        <f t="shared" ca="1" si="596"/>
        <v>#N/A</v>
      </c>
      <c r="BD151" s="140" t="e">
        <f ca="1">BC151*IF(OR($G151&lt;Control!$C$92,$G151&gt;Control!$C$95),0,IF(AND($G151&gt;=Control!$C$92,$G151&lt;=Control!$C$93),$G151-Control!$C$92,IF(AND($G151&gt;Control!$C$93,$G151&lt;=Control!$C$94),Control!$C$93-Control!$C$92,IF(AND($G151&gt;Control!$C$94,$G151&lt;=Control!$C$95),(Control!$C$93-Control!$C$92)*(Control!$C$94-$G151)/(Control!$C$95-Control!$C$94)))))</f>
        <v>#N/A</v>
      </c>
      <c r="BE151" s="140" t="e">
        <f t="shared" ca="1" si="597"/>
        <v>#N/A</v>
      </c>
      <c r="BF151" s="140" t="e">
        <f ca="1">IF($BE151&lt;=Control!$C$86,$BE151,Control!$C$86-$BE151)</f>
        <v>#N/A</v>
      </c>
      <c r="BG151" s="140" t="e">
        <f ca="1">IF(AND($AW151=1,Control!$C$84&lt;9),1,IF($BE151&gt;=Control!$C$86,0,$BC151))</f>
        <v>#N/A</v>
      </c>
      <c r="BH151" s="404" t="e">
        <f ca="1">IF($BG151=0,0,IF($BE151&lt;=Control!$C$86,$BC151*9*($BF151/Control!$C$86),0))</f>
        <v>#N/A</v>
      </c>
      <c r="BI151" s="140" t="e">
        <f ca="1">IF($BG151=1,0,IF($BE151&gt;=Control!$C$86,1,IF(AND($BB151&lt;21,$BB151&gt;=9),1,$BM150)))</f>
        <v>#N/A</v>
      </c>
      <c r="BJ151" s="140" t="e">
        <f ca="1">IF($BF151&lt;0,-$BF151,$BI151*IF(OR($G151&lt;Control!$C$92,$G151&gt;Control!$C$95),0,IF(AND($G151&gt;=Control!$C$92,$G151&lt;=Control!$C$93),$G151-Control!$C$92,IF(AND($G151&gt;Control!$C$93,$G151&lt;=Control!$C$94),Control!$C$93-Control!$C$92,IF(AND($G151&gt;Control!$C$94,$G151&lt;=Control!$C$95),(Control!$C$93-Control!$C$92)*(Control!$C$94-$G151)/(Control!$C$95-Control!$C$94))))))</f>
        <v>#N/A</v>
      </c>
      <c r="BK151" s="140" t="e">
        <f t="shared" ca="1" si="598"/>
        <v>#N/A</v>
      </c>
      <c r="BL151" s="140" t="e">
        <f ca="1">IF($BK151&lt;=Control!$C$87,$BK151,Control!$C$87-$BK151)</f>
        <v>#N/A</v>
      </c>
      <c r="BM151" s="140" t="e">
        <f ca="1">IF(AND($BB151&gt;=9,$BB151&lt;21),1,IF($BK151&gt;=Control!$C$87,0,$BI151))</f>
        <v>#N/A</v>
      </c>
      <c r="BN151" s="404" t="e">
        <f ca="1">IF($BM151=0,0,IF($BK151&lt;=Control!$C$87,$BI151*(9+(21-9)*($BL151/Control!$C$87)),0))</f>
        <v>#N/A</v>
      </c>
      <c r="BO151" s="140" t="e">
        <f ca="1">IF($BM151=1,0,IF($BK151&gt;=Control!$C$87,1,IF(AND($BB151&lt;30,$BB151&gt;=21),1,$BS150)))</f>
        <v>#N/A</v>
      </c>
      <c r="BP151" s="140" t="e">
        <f ca="1">IF($BL151&lt;0,-$BL151,$BO151*IF(OR($G151&lt;Control!$C$92,$G151&gt;Control!$C$95),0,IF(AND($G151&gt;=Control!$C$92,$G151&lt;=Control!$C$93),$G151-Control!$C$92,IF(AND($G151&gt;Control!$C$93,$G151&lt;=Control!$C$94),Control!$C$93-Control!$C$92,IF(AND($G151&gt;Control!$C$94,$G151&lt;=Control!$C$95),(Control!$C$93-Control!$C$92)*(Control!$C$94-$G151)/(Control!$C$95-Control!$C$94))))))</f>
        <v>#N/A</v>
      </c>
      <c r="BQ151" s="140" t="e">
        <f t="shared" ca="1" si="482"/>
        <v>#N/A</v>
      </c>
      <c r="BR151" s="140" t="e">
        <f ca="1">IF($BQ151&lt;=Control!$C$88,$BQ151,Control!$C$88-$BQ151)</f>
        <v>#N/A</v>
      </c>
      <c r="BS151" s="140" t="e">
        <f ca="1">IF(AND($BB151&gt;=21,$BB151&lt;30),1,IF($BQ151&gt;=Control!$C$88,0,$BO151))</f>
        <v>#N/A</v>
      </c>
      <c r="BT151" s="404" t="e">
        <f ca="1">IF($BS151=0,0,IF($BQ151&lt;=Control!$C$88,$BO151*(21+(30-21)*(BR151/Control!$C$88)),0))</f>
        <v>#N/A</v>
      </c>
      <c r="BU151" s="140" t="e">
        <f ca="1">IF(BG151+BM151+BS151=1,0,IF(OR(AND($BB151&lt;60,$BB151&gt;=30),$BQ151&gt;=Control!$C$88),1*$BA151,$BY150))</f>
        <v>#N/A</v>
      </c>
      <c r="BV151" s="140" t="e">
        <f ca="1">IF($BR151&lt;0,-$BR151,$BU151*IF(OR($G151&lt;Control!$C$92,$G151&gt;Control!$C$95),0,IF(AND($G151&gt;=Control!$C$92,$G151&lt;=Control!$C$93),$G151-Control!$C$92,IF(AND($G151&gt;Control!$C$93,$G151&lt;=Control!$C$94),Control!$C$93-Control!$C$92,IF(AND($G151&gt;Control!$C$94,$G151&lt;=Control!$C$95),(Control!$C$93-Control!$C$92)*(Control!$C$94-$G151)/(Control!$C$95-Control!$C$94))))))</f>
        <v>#N/A</v>
      </c>
      <c r="BW151" s="140" t="e">
        <f t="shared" ca="1" si="483"/>
        <v>#N/A</v>
      </c>
      <c r="BX151" s="140" t="e">
        <f ca="1">IF($BW151&lt;=Control!$C$89,$BW151,Control!$C$89-$BW151)</f>
        <v>#N/A</v>
      </c>
      <c r="BY151" s="140" t="e">
        <f ca="1">IF(AND($AJ151&gt;=30,$AJ151&lt;60),1,IF($BW151&gt;=Control!$C$89,0,$BU151))</f>
        <v>#N/A</v>
      </c>
      <c r="BZ151" s="404" t="e">
        <f ca="1">IF($BY151=0,0,IF($BW151&lt;=Control!$C$89,$BU151*(30+(60-30)*(BX151/Control!$C$89)),0))</f>
        <v>#N/A</v>
      </c>
      <c r="CA151" s="140" t="e">
        <f ca="1">IF($BG151+$BM151+$BS151+$BY151=1,0,IF(OR(AND($BB151&lt;65,$BB151&gt;=60),$BW151&gt;=Control!$C$89),1*$BA151,$CE150))</f>
        <v>#N/A</v>
      </c>
      <c r="CB151" s="140" t="e">
        <f ca="1">IF($BX151&lt;0,-$BX151,$CA151*IF(OR($G151&lt;Control!$C$92,$G151&gt;Control!$C$95),0,IF(AND($G151&gt;=Control!$C$92,$G151&lt;=Control!$C$93),$G151-Control!$C$92,IF(AND($G151&gt;Control!$C$93,$G151&lt;=Control!$C$94),Control!$C$93-Control!$C$92,IF(AND($G151&gt;Control!$C$94,$G151&lt;=Control!$C$95),(Control!$C$93-Control!$C$92)*(Control!$C$94-$G151)/(Control!$C$95-Control!$C$94))))))</f>
        <v>#N/A</v>
      </c>
      <c r="CC151" s="140" t="e">
        <f t="shared" ca="1" si="599"/>
        <v>#N/A</v>
      </c>
      <c r="CD151" s="140" t="e">
        <f ca="1">IF($CC151&lt;=Control!$C$90,$CC151,Control!$C$90-$CC151)</f>
        <v>#N/A</v>
      </c>
      <c r="CE151" s="140" t="e">
        <f ca="1">IF(AND($BB151&gt;=60,$BB151&lt;65),1,IF($CC151&gt;=Control!$C$90,0,$CA151))</f>
        <v>#N/A</v>
      </c>
      <c r="CF151" s="404" t="e">
        <f ca="1">IF($CE151=0,0,IF($CC151&lt;=Control!$C$90,$CA151*(60+(65-60)*(CD151/Control!$C$90)),0))</f>
        <v>#N/A</v>
      </c>
      <c r="CG151" s="140" t="e">
        <f ca="1">IF($BG151+$BM151+$BS151+$BY151+$CE151=1,0,IF(OR(AND($BB151&lt;90,$BB151&gt;=65),$CC151&gt;=Control!$C$90),$BA151,$CK150))</f>
        <v>#N/A</v>
      </c>
      <c r="CH151" s="140" t="e">
        <f ca="1">IF($CD151&lt;0,-$CD151,$CG151*IF(OR($G151&lt;Control!$C$92,$G151&gt;Control!$C$95),0,IF(AND($G151&gt;=Control!$C$92,$G151&lt;=Control!$C$93),$G151-Control!$C$92,IF(AND($G151&gt;Control!$C$93,$G151&lt;=Control!$C$94),Control!$C$93-Control!$C$92,IF(AND($G151&gt;Control!$C$94,$G151&lt;=Control!$C$95),(Control!$C$93-Control!$C$92)*(Control!$C$94-$G151)/(Control!$C$95-Control!$C$94))))))</f>
        <v>#N/A</v>
      </c>
      <c r="CI151" s="140" t="e">
        <f t="shared" ca="1" si="600"/>
        <v>#N/A</v>
      </c>
      <c r="CJ151" s="140" t="e">
        <f ca="1">IF($CI151&lt;=Control!$C$91,$CI151,Control!$C$91-$CI151)</f>
        <v>#N/A</v>
      </c>
      <c r="CK151" s="140" t="e">
        <f ca="1">IF(AND($BB151&gt;=65,$BB151&lt;90),1,IF($CI151&gt;=Control!$C$91,0,$CG151))</f>
        <v>#N/A</v>
      </c>
      <c r="CL151" s="404" t="e">
        <f ca="1">IF($CK151=0,0,IF($CI151&lt;=Control!$C$91,$CG151*(65+(90-65)*($CJ151/Control!$C$91)),0))</f>
        <v>#N/A</v>
      </c>
      <c r="CM151" s="140" t="e">
        <f ca="1">IF($BG151+$BM151+$BS151+$BY151+$CE151+$CK151=1,0,IF(OR($BB151&gt;=90,$CI151&gt;=Control!$C$91),$BA151,$CM150))</f>
        <v>#N/A</v>
      </c>
      <c r="CN151" s="140" t="e">
        <f t="shared" ca="1" si="601"/>
        <v>#N/A</v>
      </c>
      <c r="CO151" s="140" t="e">
        <f t="shared" ca="1" si="602"/>
        <v>#N/A</v>
      </c>
      <c r="CP151" s="140" t="e">
        <f t="shared" ca="1" si="603"/>
        <v>#N/A</v>
      </c>
      <c r="CQ151" s="141" t="e">
        <f ca="1">VLOOKUP($CP151,Control!$B$86:$G$91,6)</f>
        <v>#N/A</v>
      </c>
      <c r="CR151" s="141" t="e">
        <f ca="1">(1-$CQ151)*VLOOKUP($CP151,Control!$B$86:$D$91,3)</f>
        <v>#N/A</v>
      </c>
      <c r="CS151" s="141" t="e">
        <f ca="1">(1-$CQ151)*VLOOKUP($CP151,Control!$B$86:$E$91,4)</f>
        <v>#N/A</v>
      </c>
      <c r="CT151" s="141" t="e">
        <f ca="1">(1-$CQ151)*VLOOKUP($CP151,Control!$B$86:$F$91,5)</f>
        <v>#N/A</v>
      </c>
      <c r="CU151" s="141">
        <f t="shared" ca="1" si="604"/>
        <v>0</v>
      </c>
      <c r="CV151" s="583">
        <f t="shared" ca="1" si="605"/>
        <v>0</v>
      </c>
      <c r="CW151" s="142">
        <f t="shared" ca="1" si="606"/>
        <v>147</v>
      </c>
      <c r="CX151" s="612" t="e">
        <f ca="1">IF(Control!$C$114=1,(MIN(Control!$C$120*(IF($NT151-0.01&lt;0,0,1)),Control!$C$119-$CY151)))</f>
        <v>#DIV/0!</v>
      </c>
      <c r="CY151" s="143" t="e">
        <f t="shared" ca="1" si="607"/>
        <v>#N/A</v>
      </c>
      <c r="CZ151" s="144">
        <f t="shared" ca="1" si="484"/>
        <v>0</v>
      </c>
      <c r="DA151" s="144">
        <f t="shared" ca="1" si="485"/>
        <v>0</v>
      </c>
      <c r="DB151" s="144" t="e">
        <f t="shared" ca="1" si="486"/>
        <v>#N/A</v>
      </c>
      <c r="DC151" s="144" t="e">
        <f t="shared" ca="1" si="487"/>
        <v>#N/A</v>
      </c>
      <c r="DD151" s="144" t="e">
        <f t="shared" ca="1" si="692"/>
        <v>#N/A</v>
      </c>
      <c r="DE151" s="143" t="e">
        <f t="shared" ca="1" si="608"/>
        <v>#N/A</v>
      </c>
      <c r="DF151" s="145" t="e">
        <f ca="1">$DR151*EXP(-Control!$C$158*(1-$KH151))</f>
        <v>#N/A</v>
      </c>
      <c r="DG151" s="146" t="e">
        <f ca="1">IF(Control!$C$114=1, $DF151*$EY151, 0)</f>
        <v>#N/A</v>
      </c>
      <c r="DH151" s="147" t="e">
        <f t="shared" ca="1" si="609"/>
        <v>#N/A</v>
      </c>
      <c r="DI151" s="144" t="e">
        <f t="shared" ca="1" si="670"/>
        <v>#N/A</v>
      </c>
      <c r="DJ151" s="147" t="e">
        <f ca="1">$EF151*Control!$C$109</f>
        <v>#N/A</v>
      </c>
      <c r="DK151" s="144" t="e">
        <f t="shared" ca="1" si="610"/>
        <v>#N/A</v>
      </c>
      <c r="DL151" s="144" t="e">
        <f t="shared" ca="1" si="488"/>
        <v>#N/A</v>
      </c>
      <c r="DM151" s="144" t="e">
        <f ca="1">IF(Control!$C$114=1, (1-EXP(-Control!$C$96*$DK151))*$AR151, 0)</f>
        <v>#N/A</v>
      </c>
      <c r="DN151" s="144">
        <f t="shared" ca="1" si="611"/>
        <v>0</v>
      </c>
      <c r="DO151" s="148">
        <f>Control!$C$97</f>
        <v>4</v>
      </c>
      <c r="DP151" s="145" t="e">
        <f t="shared" ca="1" si="612"/>
        <v>#N/A</v>
      </c>
      <c r="DQ151" s="145" t="e">
        <f ca="1">IF(AND($CP151&gt;=0,$CP151&lt;=90),Control!$C$111,Control!$C$111)</f>
        <v>#N/A</v>
      </c>
      <c r="DR151" s="145" t="e">
        <f t="shared" ca="1" si="489"/>
        <v>#N/A</v>
      </c>
      <c r="DS151" s="143" t="e">
        <f ca="1">Control!$B$22/$DR151</f>
        <v>#N/A</v>
      </c>
      <c r="DT151" s="149" t="e">
        <f ca="1">IF(AND(Control!$C$114=1,$KH151&lt;1),$IM151*$DF151, 0)</f>
        <v>#N/A</v>
      </c>
      <c r="DU151" s="144" t="e">
        <f t="shared" ca="1" si="613"/>
        <v>#N/A</v>
      </c>
      <c r="DV151" s="144">
        <f ca="1">IF($G151-Control!$C$107&lt;=0, 0, 0.83*LN(MAX($G151, 3))-0.8924)</f>
        <v>0</v>
      </c>
      <c r="DW151" s="144" t="e">
        <f t="shared" ca="1" si="490"/>
        <v>#N/A</v>
      </c>
      <c r="DX151" s="150" t="e">
        <f ca="1">MAX(0.01*(1+$CU151/Control!$C$102),0.05*($DK151-Control!$C$97)/Control!$C$97)</f>
        <v>#N/A</v>
      </c>
      <c r="DY151" s="151" t="e">
        <f ca="1">IF(Control!$C$114=1, $DI151*$FS151, 0)</f>
        <v>#N/A</v>
      </c>
      <c r="DZ151" s="196" t="e">
        <f t="shared" ca="1" si="614"/>
        <v>#N/A</v>
      </c>
      <c r="EA151" s="152">
        <f t="shared" ca="1" si="615"/>
        <v>147</v>
      </c>
      <c r="EB151" s="153" t="e">
        <f t="shared" ca="1" si="616"/>
        <v>#N/A</v>
      </c>
      <c r="EC151" s="153" t="e">
        <f t="shared" ca="1" si="617"/>
        <v>#N/A</v>
      </c>
      <c r="ED151" s="154" t="e">
        <f ca="1">IF(Control!$C$114=1, $HM151*$FY151-$FD151, 0)</f>
        <v>#DIV/0!</v>
      </c>
      <c r="EE151" s="155" t="e">
        <f ca="1">IF(Control!$C$114=1, $HM151*$FZ151-$FF151, 0)</f>
        <v>#DIV/0!</v>
      </c>
      <c r="EF151" s="153" t="e">
        <f t="shared" ca="1" si="671"/>
        <v>#N/A</v>
      </c>
      <c r="EG151" s="155" t="e">
        <f ca="1">IF(Control!$C$114=1, $GX151*$FW151-$FI151, 0)</f>
        <v>#DIV/0!</v>
      </c>
      <c r="EH151" s="153" t="e">
        <f t="shared" ca="1" si="618"/>
        <v>#N/A</v>
      </c>
      <c r="EI151" s="156" t="e">
        <f t="shared" ca="1" si="619"/>
        <v>#N/A</v>
      </c>
      <c r="EJ151" s="155" t="e">
        <f ca="1">IF(Control!$C$114=1, $HM151*$GB151, 0)</f>
        <v>#DIV/0!</v>
      </c>
      <c r="EK151" s="153" t="e">
        <f t="shared" ca="1" si="672"/>
        <v>#N/A</v>
      </c>
      <c r="EL151" s="153" t="e">
        <f t="shared" ca="1" si="491"/>
        <v>#N/A</v>
      </c>
      <c r="EM151" s="153" t="e">
        <f t="shared" ca="1" si="492"/>
        <v>#N/A</v>
      </c>
      <c r="EN151" s="153" t="e">
        <f ca="1">IF(Control!$C$108=1,IF(AND(Control!$B$18=1,$EB151&gt;=Control!$B$19),$EB151-$DS151,IF(AND(Control!$B$18=2,$AW151=1,$EB151&gt;$DS151),$EB151-$DS151,0)))</f>
        <v>#N/A</v>
      </c>
      <c r="EO151" s="153" t="e">
        <f ca="1">IF(Control!$C$108=1,IF(AND(Control!$B$18=1,$EB151&gt;=Control!$B$19),$EF151,IF(AND(Control!$B$18=2,$AW151=1),$EF151,0)))</f>
        <v>#N/A</v>
      </c>
      <c r="EP151" s="153" t="e">
        <f ca="1">IF(Control!$C$108=1,IF(AND(Control!$B$18=1,$EB151&gt;=Control!$B$19),$EK151,IF(AND(Control!$B$18=2,$AW151=1),$EK151,0)))</f>
        <v>#N/A</v>
      </c>
      <c r="EQ151" s="153" t="e">
        <f t="shared" ca="1" si="620"/>
        <v>#N/A</v>
      </c>
      <c r="ER151" s="153" t="e">
        <f t="shared" ca="1" si="621"/>
        <v>#N/A</v>
      </c>
      <c r="ES151" s="153" t="e">
        <f t="shared" ca="1" si="673"/>
        <v>#N/A</v>
      </c>
      <c r="ET151" s="153" t="e">
        <f t="shared" ca="1" si="674"/>
        <v>#N/A</v>
      </c>
      <c r="EU151" s="153" t="e">
        <f t="shared" ca="1" si="622"/>
        <v>#N/A</v>
      </c>
      <c r="EV151" s="153" t="e">
        <f t="shared" ca="1" si="493"/>
        <v>#N/A</v>
      </c>
      <c r="EW151" s="153" t="e">
        <f t="shared" ca="1" si="494"/>
        <v>#N/A</v>
      </c>
      <c r="EX151" s="153" t="e">
        <f t="shared" ca="1" si="495"/>
        <v>#N/A</v>
      </c>
      <c r="EY151" s="157" t="e">
        <f t="shared" ca="1" si="496"/>
        <v>#DIV/0!</v>
      </c>
      <c r="EZ151" s="154" t="e">
        <f t="shared" ca="1" si="497"/>
        <v>#DIV/0!</v>
      </c>
      <c r="FA151" s="153" t="e">
        <f t="shared" ca="1" si="623"/>
        <v>#N/A</v>
      </c>
      <c r="FB151" s="153" t="e">
        <f t="shared" ca="1" si="498"/>
        <v>#N/A</v>
      </c>
      <c r="FC151" s="193" t="e">
        <f t="shared" ca="1" si="499"/>
        <v>#N/A</v>
      </c>
      <c r="FD151" s="158" t="e">
        <f t="shared" ca="1" si="624"/>
        <v>#N/A</v>
      </c>
      <c r="FE151" s="158" t="e">
        <f t="shared" ca="1" si="625"/>
        <v>#N/A</v>
      </c>
      <c r="FF151" s="159" t="e">
        <f t="shared" ca="1" si="500"/>
        <v>#N/A</v>
      </c>
      <c r="FG151" s="160" t="e">
        <f t="shared" ca="1" si="626"/>
        <v>#N/A</v>
      </c>
      <c r="FH151" s="158" t="e">
        <f t="shared" ca="1" si="627"/>
        <v>#N/A</v>
      </c>
      <c r="FI151" s="159" t="e">
        <f t="shared" ca="1" si="501"/>
        <v>#N/A</v>
      </c>
      <c r="FJ151" s="160" t="e">
        <f t="shared" ca="1" si="628"/>
        <v>#N/A</v>
      </c>
      <c r="FK151" s="160" t="e">
        <f t="shared" ca="1" si="502"/>
        <v>#N/A</v>
      </c>
      <c r="FL151" s="160" t="e">
        <f t="shared" ca="1" si="675"/>
        <v>#N/A</v>
      </c>
      <c r="FM151" s="160" t="e">
        <f t="shared" ca="1" si="503"/>
        <v>#N/A</v>
      </c>
      <c r="FN151" s="158">
        <f t="shared" ca="1" si="629"/>
        <v>0.01</v>
      </c>
      <c r="FO151" s="160">
        <f>Control!$C$101</f>
        <v>50</v>
      </c>
      <c r="FP151" s="150" t="e">
        <f t="shared" ca="1" si="504"/>
        <v>#N/A</v>
      </c>
      <c r="FQ151" s="150" t="e">
        <f ca="1">MAX(0,(Control!$C$112*(($DK151-Control!$C$97)/Control!$C$97)))</f>
        <v>#N/A</v>
      </c>
      <c r="FR151" s="150" t="e">
        <f ca="1">(1-$NT151)*Control!$C$113</f>
        <v>#DIV/0!</v>
      </c>
      <c r="FS151" s="198" t="e">
        <f t="shared" ca="1" si="505"/>
        <v>#N/A</v>
      </c>
      <c r="FT151" s="161">
        <f t="shared" ca="1" si="630"/>
        <v>147</v>
      </c>
      <c r="FU151" s="162" t="e">
        <f ca="1">IF(Control!$B$34=1,VLOOKUP($CP151,Control!$B$86:$G$91,6),Control!$B$35)</f>
        <v>#N/A</v>
      </c>
      <c r="FV151" s="162" t="e">
        <f t="shared" ca="1" si="506"/>
        <v>#DIV/0!</v>
      </c>
      <c r="FW151" s="162" t="e">
        <f ca="1">IF(Control!$B$31=1,$FU151*$FV151,  $FU151)</f>
        <v>#N/A</v>
      </c>
      <c r="FX151" s="162" t="e">
        <f ca="1">IF(Control!$B$34=1,VLOOKUP($CP151,Control!$B$86:$G$91,3),Control!$B$36)</f>
        <v>#N/A</v>
      </c>
      <c r="FY151" s="162" t="e">
        <f t="shared" ca="1" si="507"/>
        <v>#N/A</v>
      </c>
      <c r="FZ151" s="162" t="e">
        <f ca="1">IF(Control!$B$34=1,VLOOKUP($CP151,Control!$B$86:$G$91,4),Control!$B$37)</f>
        <v>#N/A</v>
      </c>
      <c r="GA151" s="162" t="e">
        <f t="shared" ca="1" si="508"/>
        <v>#N/A</v>
      </c>
      <c r="GB151" s="162" t="e">
        <f ca="1">IF(Control!$B$34=1,VLOOKUP($CP151,Control!$B$86:$G$91,5),Control!$B$38)</f>
        <v>#N/A</v>
      </c>
      <c r="GC151" s="162" t="e">
        <f t="shared" ca="1" si="631"/>
        <v>#N/A</v>
      </c>
      <c r="GD151" s="162">
        <f t="shared" ca="1" si="509"/>
        <v>1</v>
      </c>
      <c r="GE151" s="162">
        <f t="shared" ca="1" si="510"/>
        <v>1</v>
      </c>
      <c r="GF151" s="162">
        <f ca="1">IF(AND(Control!$C$104=1, Control!$C$62="F"),$GE151,1)</f>
        <v>1</v>
      </c>
      <c r="GG151" s="162" t="e">
        <f ca="1">IF(Control!$B$16=40,0,IF(AND(Control!$B$16&gt;40,Control!$B$16&lt;=360),(Control!$B$16-40)*((1-0)/(360-40)),IF(AND(Control!$B$16&gt;360,Control!$B$16&lt;=720),(1+(Control!$B$16-360)*((1.25-1)/(720-360))),IF(AND(Control!$B$16&gt;720,Control!$B$16&lt;=1000),(1.25+(Control!$B$16-720)*((1.35-1.25)/(1000-720))),IF(AND(Control!$B$16&gt;1000,Control!$B$16&lt;=2000),(1.35+(Control!$B$16-1000)*0))))))</f>
        <v>#N/A</v>
      </c>
      <c r="GH151" s="162" t="e">
        <f t="shared" ca="1" si="511"/>
        <v>#N/A</v>
      </c>
      <c r="GI151" s="162">
        <f t="shared" ca="1" si="632"/>
        <v>0</v>
      </c>
      <c r="GJ151" s="162">
        <f t="shared" ca="1" si="512"/>
        <v>0</v>
      </c>
      <c r="GK151" s="162">
        <f t="shared" ca="1" si="633"/>
        <v>1</v>
      </c>
      <c r="GL151" s="162">
        <f t="shared" ca="1" si="513"/>
        <v>1</v>
      </c>
      <c r="GM151" s="162" t="e">
        <f ca="1">MAX(0,MIN(1,1-Control!$C$156*(1.0001-$KH151)^2))</f>
        <v>#N/A</v>
      </c>
      <c r="GN151" s="162" t="e">
        <f ca="1">IF(Control!$B$26=1,$KU151,$KX151)</f>
        <v>#N/A</v>
      </c>
      <c r="GO151" s="162" t="e">
        <f ca="1">IF($CP151&lt;=60,Control!$C$105,IF($CP151&gt;=90,Control!$C$106,Control!$C$105+($CP151-60)*((Control!$C$106-Control!$C$105)/(90-60))))</f>
        <v>#N/A</v>
      </c>
      <c r="GP151" s="162" t="e">
        <f t="shared" ca="1" si="514"/>
        <v>#N/A</v>
      </c>
      <c r="GQ151" s="162" t="e">
        <f t="shared" ca="1" si="634"/>
        <v>#N/A</v>
      </c>
      <c r="GR151" s="163" t="e">
        <f t="shared" ca="1" si="515"/>
        <v>#DIV/0!</v>
      </c>
      <c r="GS151" s="162" t="e">
        <f t="shared" ca="1" si="516"/>
        <v>#DIV/0!</v>
      </c>
      <c r="GT151" s="164" t="e">
        <f t="shared" ca="1" si="635"/>
        <v>#N/A</v>
      </c>
      <c r="GU151" s="162" t="e">
        <f t="shared" ca="1" si="636"/>
        <v>#N/A</v>
      </c>
      <c r="GV151" s="162" t="e">
        <f t="shared" ca="1" si="517"/>
        <v>#N/A</v>
      </c>
      <c r="GW151" s="162" t="e">
        <f t="shared" ca="1" si="518"/>
        <v>#DIV/0!</v>
      </c>
      <c r="GX151" s="162" t="e">
        <f t="shared" ca="1" si="637"/>
        <v>#DIV/0!</v>
      </c>
      <c r="GY151" s="162" t="e">
        <f t="shared" ca="1" si="638"/>
        <v>#DIV/0!</v>
      </c>
      <c r="GZ151" s="165" t="e">
        <f t="shared" ca="1" si="519"/>
        <v>#N/A</v>
      </c>
      <c r="HA151" s="162" t="e">
        <f ca="1">IF(Control!$C$114=1, $DI151*$FS151, 0)</f>
        <v>#N/A</v>
      </c>
      <c r="HB151" s="162" t="e">
        <f ca="1">$FA151/Control!$C$64</f>
        <v>#N/A</v>
      </c>
      <c r="HC151" s="162" t="e">
        <f t="shared" ca="1" si="520"/>
        <v>#DIV/0!</v>
      </c>
      <c r="HD151" s="162">
        <f ca="1">-ASIN(SIN(23.45*Control!$C$139)*COS(2*Control!$C$138*($AH151+10)/365))</f>
        <v>0.36850613162022267</v>
      </c>
      <c r="HE151" s="165">
        <f t="shared" ca="1" si="639"/>
        <v>0</v>
      </c>
      <c r="HF151" s="166">
        <f ca="1">IF(AND(Control!$C$61="T",$HE151&gt;=Control!$C$103,Control!$C$114=0),$AH151,Control!$C$59)</f>
        <v>1</v>
      </c>
      <c r="HG151" s="166">
        <f ca="1">IF(AND(Control!$C$61="T",$HE151&gt;=Control!$C$103,Control!$C$114=0),$HF151,Control!$C$59)</f>
        <v>1</v>
      </c>
      <c r="HH151" s="165">
        <f ca="1">IF(AND(OR(Control!$C$60&lt;=0, $AH151= Control!$C$59, Control!$C$60 &gt;0, $AH151 = Control!$C$60)), Control!$C$59, IF(Control!$C$60&gt;0, 0))</f>
        <v>1</v>
      </c>
      <c r="HI151" s="165">
        <f ca="1">IF(AND(OR(Control!$C$60&lt;=0, $AH151= Control!$C$59, Control!$C$60 &gt;0, $AH151 = Control!$C$60)), Control!$C$60, IF(Control!$C$60&lt;=0, 0))</f>
        <v>0</v>
      </c>
      <c r="HJ151" s="166">
        <f ca="1">IF(AND(Control!$C$62="F",$CV151&gt;=Control!$C$102),$AH151,0)</f>
        <v>0</v>
      </c>
      <c r="HK151" s="165" t="e">
        <f t="shared" ca="1" si="676"/>
        <v>#N/A</v>
      </c>
      <c r="HL151" s="166">
        <f ca="1">IF(AND(Control!$C$61="T",$HE151&gt;=Control!$C$103,Control!$C$114=0),$HF151,0)</f>
        <v>0</v>
      </c>
      <c r="HM151" s="201" t="e">
        <f t="shared" ca="1" si="521"/>
        <v>#DIV/0!</v>
      </c>
      <c r="HN151" s="215">
        <f t="shared" ca="1" si="640"/>
        <v>147</v>
      </c>
      <c r="HO151" s="216" t="e">
        <f ca="1">IF(AND($CP151&gt;=0, $CP151&lt;=90), Control!$C$152, Control!$C$152)</f>
        <v>#N/A</v>
      </c>
      <c r="HP151" s="216" t="e">
        <f t="shared" ca="1" si="522"/>
        <v>#N/A</v>
      </c>
      <c r="HQ151" s="217" t="e">
        <f ca="1">IF(OR(Control!$B$26=1,Control!$B$26=2),$KV151,$KS151)</f>
        <v>#DIV/0!</v>
      </c>
      <c r="HR151" s="218" t="e">
        <f t="shared" ca="1" si="677"/>
        <v>#DIV/0!</v>
      </c>
      <c r="HS151" s="216" t="e">
        <f ca="1">Control!$C$154*$HP151</f>
        <v>#N/A</v>
      </c>
      <c r="HT151" s="216" t="e">
        <f ca="1">Control!$C$155*$HP151</f>
        <v>#N/A</v>
      </c>
      <c r="HU151" s="217" t="e">
        <f ca="1">Control!$C$161*$FI151</f>
        <v>#N/A</v>
      </c>
      <c r="HV151" s="218" t="e">
        <f t="shared" ca="1" si="641"/>
        <v>#N/A</v>
      </c>
      <c r="HW151" s="218" t="e">
        <f ca="1">Control!$C$160*$FF151+$IP151*$EO151</f>
        <v>#N/A</v>
      </c>
      <c r="HX151" s="218" t="e">
        <f t="shared" ca="1" si="678"/>
        <v>#N/A</v>
      </c>
      <c r="HY151" s="219" t="e">
        <f ca="1">IF(Control!$C$114=1, $EB151*$FS151, 0)</f>
        <v>#N/A</v>
      </c>
      <c r="HZ151" s="91" t="e">
        <f t="shared" ca="1" si="523"/>
        <v>#N/A</v>
      </c>
      <c r="IA151" s="220" t="e">
        <f ca="1">Control!$C$153*$HO151</f>
        <v>#N/A</v>
      </c>
      <c r="IB151" s="218" t="e">
        <f t="shared" ca="1" si="524"/>
        <v>#N/A</v>
      </c>
      <c r="IC151" s="220" t="e">
        <f ca="1">Control!$C$153*$HT151</f>
        <v>#N/A</v>
      </c>
      <c r="ID151" s="218" t="e">
        <f t="shared" ca="1" si="525"/>
        <v>#N/A</v>
      </c>
      <c r="IE151" s="221" t="e">
        <f ca="1">($EB151*Control!$C$159+$EF151*Control!$C$160)/(IF($GZ151&lt;&gt;0,$GZ151,1))</f>
        <v>#N/A</v>
      </c>
      <c r="IF151" s="216" t="e">
        <f t="shared" ca="1" si="526"/>
        <v>#N/A</v>
      </c>
      <c r="IG151" s="91">
        <f ca="1">IF(OR(Control!$B$198=$AH151,Control!$B$199=$AH151, Control!$B$200=$AH151, Control!$B$201=$AH151, Control!$B$202=$AH151, Control!$B$203=$AH151, Control!$B$204=$AH151, Control!$B$205=$AH151, Control!$B$206=$AH151, Control!$B$207=$AH151), 1, 0)</f>
        <v>0</v>
      </c>
      <c r="IH151" s="91">
        <f ca="1">IF($IG151=0,0, VLOOKUP($AH151,Control!$B$198:$C$207,2))</f>
        <v>0</v>
      </c>
      <c r="II151" s="222">
        <f t="shared" ca="1" si="642"/>
        <v>0</v>
      </c>
      <c r="IJ151" s="91">
        <f>Control!$C$121</f>
        <v>0.7</v>
      </c>
      <c r="IK151" s="218">
        <f t="shared" ca="1" si="527"/>
        <v>0</v>
      </c>
      <c r="IL151" s="217" t="e">
        <f t="shared" ca="1" si="679"/>
        <v>#N/A</v>
      </c>
      <c r="IM151" s="223" t="e">
        <f ca="1">IF(AND(Control!$C$114=1,$KH151&lt;1),$EB151*Control!$C$148*(1-$KH151), 0)</f>
        <v>#N/A</v>
      </c>
      <c r="IN151" s="217" t="e">
        <f t="shared" ca="1" si="528"/>
        <v>#DIV/0!</v>
      </c>
      <c r="IO151" s="91" t="e">
        <f ca="1">MAX(0,$IL151-$EF151*Control!$C$160)</f>
        <v>#N/A</v>
      </c>
      <c r="IP151" s="220" t="e">
        <f t="shared" ca="1" si="529"/>
        <v>#N/A</v>
      </c>
      <c r="IQ151" s="217" t="e">
        <f t="shared" ca="1" si="643"/>
        <v>#N/A</v>
      </c>
      <c r="IR151" s="218" t="e">
        <f t="shared" ca="1" si="530"/>
        <v>#N/A</v>
      </c>
      <c r="IS151" s="217" t="e">
        <f ca="1">Control!$C$159*MAX(0,$FD151-$EN151)</f>
        <v>#N/A</v>
      </c>
      <c r="IT151" s="217" t="e">
        <f t="shared" ca="1" si="680"/>
        <v>#N/A</v>
      </c>
      <c r="IU151" s="217" t="e">
        <f t="shared" ca="1" si="644"/>
        <v>#N/A</v>
      </c>
      <c r="IV151" s="217" t="e">
        <f t="shared" ca="1" si="681"/>
        <v>#N/A</v>
      </c>
      <c r="IW151" s="217" t="e">
        <f ca="1">IF(OR($AW151=1,AND($AW151=0, Control!$B$18=1,$EN151&lt;&gt;0)), $IQ151-$IU151, $IQ151)</f>
        <v>#N/A</v>
      </c>
      <c r="IX151" s="218" t="e">
        <f t="shared" ca="1" si="531"/>
        <v>#N/A</v>
      </c>
      <c r="IY151" s="218" t="e">
        <f ca="1">MAX(0,$IQ151-$EB151*Control!$C$159)</f>
        <v>#N/A</v>
      </c>
      <c r="IZ151" s="218" t="e">
        <f t="shared" ca="1" si="532"/>
        <v>#N/A</v>
      </c>
      <c r="JA151" s="216" t="e">
        <f t="shared" ca="1" si="533"/>
        <v>#N/A</v>
      </c>
      <c r="JB151" s="217" t="e">
        <f t="shared" ca="1" si="534"/>
        <v>#N/A</v>
      </c>
      <c r="JC151" s="222" t="e">
        <f ca="1">MAX(Control!$C$157*$EK151-$JT151, 0)/Control!$C$162</f>
        <v>#N/A</v>
      </c>
      <c r="JD151" s="218" t="e">
        <f t="shared" ca="1" si="535"/>
        <v>#N/A</v>
      </c>
      <c r="JE151" s="218" t="e">
        <f t="shared" ca="1" si="536"/>
        <v>#N/A</v>
      </c>
      <c r="JF151" s="218" t="e">
        <f t="shared" ca="1" si="645"/>
        <v>#N/A</v>
      </c>
      <c r="JG151" s="218" t="e">
        <f t="shared" ca="1" si="537"/>
        <v>#N/A</v>
      </c>
      <c r="JH151" s="217" t="e">
        <f t="shared" ca="1" si="646"/>
        <v>#N/A</v>
      </c>
      <c r="JI151" s="217" t="e">
        <f t="shared" ca="1" si="647"/>
        <v>#N/A</v>
      </c>
      <c r="JJ151" s="217" t="e">
        <f t="shared" ca="1" si="682"/>
        <v>#N/A</v>
      </c>
      <c r="JK151" s="217" t="e">
        <f ca="1">IF(Control!$C$114=1,IF(Control!$B$24=0,MAX(0,$JI151)*$GN151/Control!$C$64,(MAX(0,MIN($JI151,$JJ151*$GN151/Control!$C$64),0))))</f>
        <v>#N/A</v>
      </c>
      <c r="JL151" s="217" t="e">
        <f ca="1">$IK151/Control!$C$64-$JK151+$HQ151</f>
        <v>#N/A</v>
      </c>
      <c r="JM151" s="217" t="e">
        <f ca="1">IF(Control!$C$114=1,($JB151/(IF($JI151&lt;&gt;0,$JI151,1)))*$JK151,0)</f>
        <v>#N/A</v>
      </c>
      <c r="JN151" s="217" t="e">
        <f ca="1">IF(Control!$C$114=1,($JG151/(IF($JI151&lt;&gt;0,$JI151,1)))*$JK151, 0)</f>
        <v>#N/A</v>
      </c>
      <c r="JO151" s="218" t="e">
        <f t="shared" ca="1" si="538"/>
        <v>#N/A</v>
      </c>
      <c r="JP151" s="218" t="e">
        <f ca="1">MIN(($IY151+$IO151)*Control!$C$151, $JF151-$EH151*Control!$C$161)</f>
        <v>#N/A</v>
      </c>
      <c r="JQ151" s="218" t="e">
        <f t="shared" ca="1" si="539"/>
        <v>#N/A</v>
      </c>
      <c r="JR151" s="217" t="e">
        <f ca="1">IF($CP151-Control!$C$150&lt;0, 0, $JQ151/Control!$C$162)</f>
        <v>#N/A</v>
      </c>
      <c r="JS151" s="218" t="e">
        <f t="shared" ca="1" si="540"/>
        <v>#N/A</v>
      </c>
      <c r="JT151" s="218" t="e">
        <f t="shared" ca="1" si="648"/>
        <v>#N/A</v>
      </c>
      <c r="JU151" s="218" t="e">
        <f t="shared" ca="1" si="541"/>
        <v>#N/A</v>
      </c>
      <c r="JV151" s="218" t="e">
        <f t="shared" ca="1" si="542"/>
        <v>#N/A</v>
      </c>
      <c r="JW151" s="216" t="e">
        <f t="shared" ca="1" si="543"/>
        <v>#N/A</v>
      </c>
      <c r="JX151" s="91" t="e">
        <f t="shared" ca="1" si="544"/>
        <v>#N/A</v>
      </c>
      <c r="JY151" s="218" t="e">
        <f t="shared" ca="1" si="545"/>
        <v>#N/A</v>
      </c>
      <c r="JZ151" s="217" t="e">
        <f ca="1">IF(Control!$C$114=1,($IZ151/(IF($JI151&lt;&gt;0,$JI151,1)))*$JK151, 0)</f>
        <v>#N/A</v>
      </c>
      <c r="KA151" s="218" t="e">
        <f t="shared" ca="1" si="683"/>
        <v>#N/A</v>
      </c>
      <c r="KB151" s="218" t="e">
        <f t="shared" ca="1" si="649"/>
        <v>#N/A</v>
      </c>
      <c r="KC151" s="218" t="e">
        <f t="shared" ca="1" si="546"/>
        <v>#N/A</v>
      </c>
      <c r="KD151" s="218" t="e">
        <f t="shared" ca="1" si="547"/>
        <v>#N/A</v>
      </c>
      <c r="KE151" s="218" t="e">
        <f t="shared" ca="1" si="548"/>
        <v>#N/A</v>
      </c>
      <c r="KF151" s="218" t="e">
        <f t="shared" ca="1" si="549"/>
        <v>#N/A</v>
      </c>
      <c r="KG151" s="216" t="e">
        <f t="shared" ca="1" si="550"/>
        <v>#N/A</v>
      </c>
      <c r="KH151" s="221" t="e">
        <f ca="1">IF(Control!$B$24=0,1,MAX(0.001,MIN(1,IF(($IF151-$IE151)&lt;&gt;0,($KG151-$IE151)/($IF151-$IE151),1))))</f>
        <v>#N/A</v>
      </c>
      <c r="KI151" s="222" t="e">
        <f ca="1">IF(Control!$C$114=1, $KI150+ $KH150, 0)</f>
        <v>#N/A</v>
      </c>
      <c r="KJ151" s="217" t="e">
        <f t="shared" ca="1" si="551"/>
        <v>#N/A</v>
      </c>
      <c r="KK151" s="218" t="e">
        <f t="shared" ca="1" si="552"/>
        <v>#N/A</v>
      </c>
      <c r="KL151" s="274" t="e">
        <f ca="1">IF(Control!$B$26=3,4000000000*EXP(-8400/($G151+273)),IF(Control!$B$26=4,4000000000*EXP(-8400/($G151+273))*($KT151),0))</f>
        <v>#DIV/0!</v>
      </c>
      <c r="KM151" s="274" t="e">
        <f ca="1">IF(Control!$B$26=3,5600000000000*EXP(-9800/($G151+273)),IF(Control!$B$26=4,5600000000000*EXP(-9800/($G151+273))*$KT151,0))</f>
        <v>#DIV/0!</v>
      </c>
      <c r="KN151" s="454" t="e">
        <f t="shared" ca="1" si="650"/>
        <v>#DIV/0!</v>
      </c>
      <c r="KO151" s="274" t="e">
        <f t="shared" ca="1" si="651"/>
        <v>#DIV/0!</v>
      </c>
      <c r="KP151" s="454" t="e">
        <f t="shared" ca="1" si="553"/>
        <v>#DIV/0!</v>
      </c>
      <c r="KQ151" s="454" t="e">
        <f t="shared" ca="1" si="554"/>
        <v>#DIV/0!</v>
      </c>
      <c r="KR151" s="454" t="e">
        <f t="shared" ca="1" si="555"/>
        <v>#DIV/0!</v>
      </c>
      <c r="KS151" s="454" t="e">
        <f t="shared" ca="1" si="556"/>
        <v>#DIV/0!</v>
      </c>
      <c r="KT151" s="455" t="e">
        <f t="shared" ca="1" si="557"/>
        <v>#DIV/0!</v>
      </c>
      <c r="KU151" s="456" t="e">
        <f ca="1">IF($CP151-Control!$C$149&lt;0, IF($NT151-0.01&lt;0,0,1),0)</f>
        <v>#N/A</v>
      </c>
      <c r="KV151" s="456" t="e">
        <f ca="1">IF(Control!$C$114=1,MAX(0,MIN(Control!$C$125*$KW151*$GN151,$KW151)))</f>
        <v>#DIV/0!</v>
      </c>
      <c r="KW151" s="456" t="e">
        <f t="shared" ca="1" si="684"/>
        <v>#DIV/0!</v>
      </c>
      <c r="KX151" s="457" t="e">
        <f ca="1">IF($CP151-Control!$C$149&lt;0, IF($MR151-$OM151&lt;0,0,1),0)</f>
        <v>#N/A</v>
      </c>
      <c r="KY151" s="167">
        <f t="shared" ca="1" si="652"/>
        <v>147</v>
      </c>
      <c r="KZ151" s="168">
        <f ca="1">1370*(1+0.033*COS(2*Control!$C$138*$AH151/365))</f>
        <v>1332.972183476038</v>
      </c>
      <c r="LA151" s="169">
        <f t="shared" ca="1" si="653"/>
        <v>0.97297250873995333</v>
      </c>
      <c r="LB151" s="169">
        <f t="shared" ca="1" si="654"/>
        <v>0.37171446034461308</v>
      </c>
      <c r="LC151" s="169">
        <f ca="1">ACOS(-TAN((2*Control!$B$8/360))*TAN(Calculations!$LB151))</f>
        <v>1.6869178530843061</v>
      </c>
      <c r="LD151" s="169">
        <f ca="1">((24*60)/PI())*0.082*$LA151*(($LC151*SIN(Control!$B$8*2*PI()/360))*SIN($LB151)+COS(Control!$B$8*2*PI()/360)*COS($LB151)*SIN($LC151))</f>
        <v>38.492865592129796</v>
      </c>
      <c r="LE151" s="170">
        <f t="shared" ca="1" si="558"/>
        <v>39.81361179401847</v>
      </c>
      <c r="LF151" s="170">
        <f ca="1">SIN(Control!$C$139*Control!$B$8)*SIN($HD151)</f>
        <v>0.28385948101918912</v>
      </c>
      <c r="LG151" s="170">
        <f ca="1">COS(Control!$C$139*Control!$B$8)*COS($HD151)</f>
        <v>0.57432841229577103</v>
      </c>
      <c r="LH151" s="170">
        <f ca="1">12*(1+2*ASIN(MAX(-1,MIN(1,$LF151/$LG151))/Control!$C$138))</f>
        <v>15.791503339055822</v>
      </c>
      <c r="LI151" s="170">
        <f ca="1">12*(1+2*ASIN(MAX(-1,MIN(1,(-SIN(-4*Control!$C$139)+$LF151)/$LG151))/Control!$C$138))</f>
        <v>16.734262134734905</v>
      </c>
      <c r="LJ151" s="168">
        <f ca="1">3600*($LH151*$LF151+24*$LG151*SQRT(1-$LK151*$LK151)/Control!$C$138)</f>
        <v>29868.299044467025</v>
      </c>
      <c r="LK151" s="170">
        <f t="shared" ca="1" si="559"/>
        <v>0.49424593132092076</v>
      </c>
      <c r="LL151" s="170">
        <f t="shared" ca="1" si="560"/>
        <v>0</v>
      </c>
      <c r="LM151" s="171">
        <f ca="1">Control!$C$145*$AB151</f>
        <v>6.6660906138995932E-2</v>
      </c>
      <c r="LN151" s="170">
        <f t="shared" ca="1" si="655"/>
        <v>0.54</v>
      </c>
      <c r="LO151" s="170">
        <f t="shared" ca="1" si="561"/>
        <v>0</v>
      </c>
      <c r="LP151" s="170">
        <f ca="1">Control!$C$140*((($D151+273.16)^4+($E151+273.16)^4)/2)*(0.34-0.14*SQRT($Y151))*(1.35*$AQ151/(0.75*$LD151)-0.35)</f>
        <v>-3.2464704755046001</v>
      </c>
      <c r="LQ151" s="170">
        <f ca="1">Control!$C$140*($G151+273)^4*(0.56-0.079*SQRT($Y151*10))*(0.1+0.9*$LO151)</f>
        <v>1.5241745131704001</v>
      </c>
      <c r="LR151" s="170">
        <f ca="1">$AQ151*(1-Control!$C$142)-$LQ151</f>
        <v>-1.5241745131704001</v>
      </c>
      <c r="LS151" s="170">
        <f ca="1">$AQ151*(1-Control!$C$143)-$LQ151</f>
        <v>-1.5241745131704001</v>
      </c>
      <c r="LT151" s="170">
        <f ca="1">$AQ151*(1-Control!$C$144)-$LQ151</f>
        <v>-1.5241745131704001</v>
      </c>
      <c r="LU151" s="169">
        <f ca="1">(1-Control!$C$144)*AQ151-LP151</f>
        <v>3.2464704755046001</v>
      </c>
      <c r="LV151" s="172">
        <f t="shared" ca="1" si="562"/>
        <v>0.79430000000000012</v>
      </c>
      <c r="LW151" s="170">
        <f t="shared" ca="1" si="563"/>
        <v>1.5886000000000002</v>
      </c>
      <c r="LX151" s="170">
        <f ca="1">($AC151*($LR151/Control!$C$141)+$LM151*$LV151)/($AC151+$LM151)</f>
        <v>0.23530094218323697</v>
      </c>
      <c r="LY151" s="170">
        <f ca="1">($AC151*($LS151/Control!$C$141)+$LM151*$LV151)/($AC151+$LM151)</f>
        <v>0.23530094218323697</v>
      </c>
      <c r="LZ151" s="170">
        <f t="shared" ca="1" si="564"/>
        <v>0.23530094218323697</v>
      </c>
      <c r="MA151" s="170">
        <f t="shared" ca="1" si="565"/>
        <v>0.23530094218323697</v>
      </c>
      <c r="MB151" s="170" t="e">
        <f t="shared" ca="1" si="566"/>
        <v>#N/A</v>
      </c>
      <c r="MC151" s="170">
        <f t="shared" ca="1" si="656"/>
        <v>0.6018</v>
      </c>
      <c r="MD151" s="170">
        <f t="shared" ca="1" si="567"/>
        <v>0.52989392535414004</v>
      </c>
      <c r="ME151" s="170">
        <f ca="1">($AC151*($LT151/Control!$C$141)+$LM151*$LW151)/($AC151+$LM151)</f>
        <v>0.71612369323045078</v>
      </c>
      <c r="MF151" s="170" t="e">
        <f ca="1">IF(Control!$B$16&gt;=1000,0.92,IF(AND(720&lt;=Control!$B$16,1000&gt;Control!$B$16),(0.95+(Control!$B$16-720)*((0.92-0.95)/(1000-720))),IF(AND(360&lt;=Control!$B$16,720&gt;Control!$B$16),(1+(Control!$B$16-360)*((0.95-1)/(720-360))),IF(AND(40&lt;=Control!$B$16,360&gt;Control!$B$16),(1.05+(Control!$B$16-40)*((1.05-1)/(360-40)))))))</f>
        <v>#N/A</v>
      </c>
      <c r="MG151" s="170">
        <f t="shared" ca="1" si="568"/>
        <v>0.71612369323045078</v>
      </c>
      <c r="MH151" s="170" t="e">
        <f t="shared" ca="1" si="693"/>
        <v>#N/A</v>
      </c>
      <c r="MI151" s="170" t="e">
        <f t="shared" ca="1" si="693"/>
        <v>#N/A</v>
      </c>
      <c r="MJ151" s="170" t="e">
        <f ca="1">MAX(0.0001, Control!$C$132*$MI151*$DL151)</f>
        <v>#N/A</v>
      </c>
      <c r="MK151" s="170">
        <f ca="1">1/(0.76+1.5*($MG151/10))-(5-Control!$C$110)*0.1</f>
        <v>1.002845988140797</v>
      </c>
      <c r="ML151" s="173">
        <f ca="1">IF(Control!$C$110&lt;3,$MK151+($MG151-0.6)/(Control!$C$110*(Control!$C$110+3)), MAX(0.1, MIN(0.95,$MK151)))</f>
        <v>0.95</v>
      </c>
      <c r="MM151" s="173">
        <f ca="1">IF(Control!$C$110&lt;3,$MK151+(($MI151/10)-0.6)/(Control!$C$110*(Control!$C$110+3)), MAX(0.1, MIN(0.95,$MK151)))</f>
        <v>0.95</v>
      </c>
      <c r="MN151" s="173">
        <f ca="1">(1-$MM151)*(Control!$C$128-Control!$C$127)+Control!$C$127</f>
        <v>0.16</v>
      </c>
      <c r="MO151" s="170" t="e">
        <f ca="1">MAX(0,MIN(1,($MS151-Control!$C$127)/($MN151-Control!$C$127)))</f>
        <v>#DIV/0!</v>
      </c>
      <c r="MP151" s="173" t="e">
        <f ca="1">1/(0.76+1.5*$MI151)-(5-Control!$C$110)*0.1</f>
        <v>#N/A</v>
      </c>
      <c r="MQ151" s="172" t="e">
        <f t="shared" ca="1" si="685"/>
        <v>#DIV/0!</v>
      </c>
      <c r="MR151" s="168" t="e">
        <f t="shared" ca="1" si="657"/>
        <v>#DIV/0!</v>
      </c>
      <c r="MS151" s="173" t="e">
        <f ca="1">MAX(Control!$C$127, MIN(Control!$C$135, $MR151/MAX(0.0001,$CY151)))</f>
        <v>#DIV/0!</v>
      </c>
      <c r="MT151" s="168" t="e">
        <f ca="1">(Control!$C$128-$MS151)*Control!$C$74</f>
        <v>#DIV/0!</v>
      </c>
      <c r="MU151" s="168" t="e">
        <f ca="1">(Control!$C$135-$MS151)*Control!$C$74</f>
        <v>#DIV/0!</v>
      </c>
      <c r="MV151" s="168" t="e">
        <f t="shared" ca="1" si="658"/>
        <v>#DIV/0!</v>
      </c>
      <c r="MW151" s="168" t="e">
        <f t="shared" ca="1" si="659"/>
        <v>#DIV/0!</v>
      </c>
      <c r="MX151" s="171" t="e">
        <f ca="1">MAX(Control!$C$127, MIN(Control!$C$135, $MW151/MAX(0.0001,Control!$C$119-$CY151)))</f>
        <v>#DIV/0!</v>
      </c>
      <c r="MY151" s="54" t="e">
        <f ca="1">IF(Control!$C$114=1, $CX151*$MX151, 0)</f>
        <v>#DIV/0!</v>
      </c>
      <c r="MZ151" s="54" t="e">
        <f t="shared" ca="1" si="660"/>
        <v>#N/A</v>
      </c>
      <c r="NA151" s="168" t="e">
        <f ca="1">(Control!$C$128-$MX151)*(Control!$C$119-Control!$C$74)</f>
        <v>#DIV/0!</v>
      </c>
      <c r="NB151" s="168" t="e">
        <f ca="1">(Control!$C$135-$MX151)*(Control!$C$119-Control!$C$74)</f>
        <v>#DIV/0!</v>
      </c>
      <c r="NC151" s="174" t="e">
        <f t="shared" ca="1" si="661"/>
        <v>#DIV/0!</v>
      </c>
      <c r="ND151" s="54">
        <f ca="1">IF(Control!$C$58=2, IF(OR(Control!$B$218=$AH151,Control!$B$219=$AH151, Control!$B$220=$AH151, Control!$B$221=$AH151, Control!$B$222=$AH151, Control!$B$223=$AH151, Control!$B$224=$AH151, Control!$B$225=$AH151, Control!$B$226=$AH151, Control!$B$227=$AH151, Control!$B$228=$AH151), 1, 0), 0)</f>
        <v>0</v>
      </c>
      <c r="NE151" s="54">
        <f ca="1">IF($ND151=0,0, VLOOKUP($AH151,Control!$B$218:$C$228,2))</f>
        <v>0</v>
      </c>
      <c r="NF151" s="168" t="e">
        <f ca="1">$CY151*(Control!$C$128-Control!$C$127)</f>
        <v>#N/A</v>
      </c>
      <c r="NG151" s="54" t="e">
        <f ca="1">IF(Control!$C$58=2, $NI150-$NJ150, 0)</f>
        <v>#DIV/0!</v>
      </c>
      <c r="NH151" s="54" t="e">
        <f ca="1">IF(AND(Control!$C$58=1, $MS150&lt;= ($MN150+0.02), $I150&lt;10), 0, IF(Control!$C$58=2, $NG150, 0))</f>
        <v>#DIV/0!</v>
      </c>
      <c r="NI151" s="54" t="e">
        <f ca="1">IF(Control!$C$58=2, $NE151+$NH151,0)</f>
        <v>#DIV/0!</v>
      </c>
      <c r="NJ151" s="54" t="e">
        <f ca="1">IF(AND(Control!$C$58=1, $MS151&lt;= ($MN151+0.02), $I151&lt;10), MAX(0, MIN(10, 0.7*($NF151-$MV151))), IF(Control!$C$58=2, MIN(10,$NI151),0))</f>
        <v>#DIV/0!</v>
      </c>
      <c r="NK151" s="54" t="e">
        <f t="shared" ca="1" si="569"/>
        <v>#DIV/0!</v>
      </c>
      <c r="NL151" s="173" t="e">
        <f ca="1">(1-Control!$C$73)*$I151+$NJ151</f>
        <v>#DIV/0!</v>
      </c>
      <c r="NM151" s="172" t="e">
        <f ca="1">IF($NL151&lt;0.5, $MB151* MAX(0, MIN(1, (SQRT($NC151)-SQRT($NC151-1))*Control!$C$71)),0)</f>
        <v>#DIV/0!</v>
      </c>
      <c r="NN151" s="170" t="e">
        <f ca="1">IF($NL151&gt;=5, $MB151, MAX(0,MIN($MB151, $NM151+$NL151,($MS151-Control!$C$129))))</f>
        <v>#DIV/0!</v>
      </c>
      <c r="NO151" s="54">
        <f>IF(Control!$C$133&lt;&gt;1, Control!$C$135-Control!$C$131, 0)</f>
        <v>0.38</v>
      </c>
      <c r="NP151" s="54" t="e">
        <f t="shared" ca="1" si="570"/>
        <v>#DIV/0!</v>
      </c>
      <c r="NQ151" s="173" t="e">
        <f ca="1">MAX(0,MIN(1,(Control!$C$135-$MS151)/(Control!$C$135-$NO151)))</f>
        <v>#DIV/0!</v>
      </c>
      <c r="NR151" s="170" t="e">
        <f ca="1">IF(Control!$C$133&lt;&gt;1, $NQ151+((1-$NP151/4)*(1-$NQ151)),1)</f>
        <v>#DIV/0!</v>
      </c>
      <c r="NS151" s="170" t="e">
        <f ca="1">IF(Control!$B$31=0,$MJ151,MAX(0,MIN($MV151,$MO151*$NR151*$MJ151)))</f>
        <v>#DIV/0!</v>
      </c>
      <c r="NT151" s="170" t="e">
        <f t="shared" ca="1" si="686"/>
        <v>#DIV/0!</v>
      </c>
      <c r="NU151" s="170" t="e">
        <f t="shared" ca="1" si="662"/>
        <v>#N/A</v>
      </c>
      <c r="NV151" s="170" t="e">
        <f t="shared" ca="1" si="571"/>
        <v>#N/A</v>
      </c>
      <c r="NW151" s="175" t="e">
        <f t="shared" ca="1" si="572"/>
        <v>#DIV/0!</v>
      </c>
      <c r="NX151" s="170" t="e">
        <f ca="1">MIN(Control!$C$72+$MU151, $NW151)</f>
        <v>#DIV/0!</v>
      </c>
      <c r="NY151" s="170" t="e">
        <f ca="1">IF($MT151&lt;=$NX151,MIN(Control!$C$72+$NB151,$NX151-$MT151),0)</f>
        <v>#DIV/0!</v>
      </c>
      <c r="NZ151" s="54" t="e">
        <f ca="1">IF(Control!$C$114=1,  $CX151*($MX151-Control!$C$127), 0)</f>
        <v>#DIV/0!</v>
      </c>
      <c r="OA151" s="170" t="e">
        <f t="shared" ca="1" si="573"/>
        <v>#DIV/0!</v>
      </c>
      <c r="OB151" s="170" t="e">
        <f ca="1">IF($NA151 &lt;=$NY151, MIN(Control!$C$72, $NY151-$NA151), 0)</f>
        <v>#DIV/0!</v>
      </c>
      <c r="OC151" s="168" t="e">
        <f t="shared" ca="1" si="574"/>
        <v>#DIV/0!</v>
      </c>
      <c r="OD151" s="168" t="e">
        <f t="shared" ca="1" si="663"/>
        <v>#DIV/0!</v>
      </c>
      <c r="OE151" s="170">
        <f ca="1">Control!$C$73*$I151</f>
        <v>0</v>
      </c>
      <c r="OF151" s="176" t="e">
        <f t="shared" ca="1" si="575"/>
        <v>#DIV/0!</v>
      </c>
      <c r="OG151" s="168" t="e">
        <f t="shared" ca="1" si="576"/>
        <v>#DIV/0!</v>
      </c>
      <c r="OH151" s="168" t="e">
        <f t="shared" ca="1" si="577"/>
        <v>#DIV/0!</v>
      </c>
      <c r="OI151" s="168" t="e">
        <f t="shared" ca="1" si="578"/>
        <v>#DIV/0!</v>
      </c>
      <c r="OJ151" s="168" t="e">
        <f t="shared" ca="1" si="579"/>
        <v>#DIV/0!</v>
      </c>
      <c r="OK151" s="204" t="e">
        <f t="shared" ca="1" si="580"/>
        <v>#DIV/0!</v>
      </c>
      <c r="OL151" s="177">
        <f>Control!$C$127</f>
        <v>0.15</v>
      </c>
      <c r="OM151" s="182" t="e">
        <f t="shared" ca="1" si="581"/>
        <v>#N/A</v>
      </c>
      <c r="ON151" s="177">
        <f>Control!$C$128</f>
        <v>0.35</v>
      </c>
      <c r="OO151" s="182" t="e">
        <f t="shared" ca="1" si="582"/>
        <v>#N/A</v>
      </c>
      <c r="OP151" s="138">
        <f t="shared" ca="1" si="664"/>
        <v>0</v>
      </c>
      <c r="OQ151" s="138" t="e">
        <f t="shared" ca="1" si="687"/>
        <v>#DIV/0!</v>
      </c>
      <c r="OR151" s="138" t="e">
        <f t="shared" ca="1" si="665"/>
        <v>#DIV/0!</v>
      </c>
      <c r="OS151" s="137" t="e">
        <f t="shared" ca="1" si="688"/>
        <v>#DIV/0!</v>
      </c>
      <c r="OT151" s="139" t="e">
        <f t="shared" ca="1" si="689"/>
        <v>#DIV/0!</v>
      </c>
      <c r="OU151" s="138" t="e">
        <f t="shared" ca="1" si="690"/>
        <v>#N/A</v>
      </c>
      <c r="OV151" s="138" t="e">
        <f t="shared" ca="1" si="691"/>
        <v>#DIV/0!</v>
      </c>
      <c r="OW151" s="138" t="e">
        <f t="shared" ca="1" si="666"/>
        <v>#DIV/0!</v>
      </c>
      <c r="OX151" s="138" t="e">
        <f t="shared" ca="1" si="667"/>
        <v>#DIV/0!</v>
      </c>
      <c r="OY151" s="138" t="e">
        <f t="shared" ca="1" si="668"/>
        <v>#DIV/0!</v>
      </c>
      <c r="OZ151" s="138" t="e">
        <f t="shared" ca="1" si="583"/>
        <v>#DIV/0!</v>
      </c>
      <c r="PA151" s="138" t="e">
        <f t="shared" ca="1" si="584"/>
        <v>#DIV/0!</v>
      </c>
      <c r="PB151" s="55">
        <f>IF(Control!$C$61="T", IF(Control!$C$65="F", IF($AH$6-Control!$C$60&lt;0,0,1), IF(365+$AH$6-Control!$C$60&lt;0,0,1)),0)</f>
        <v>0</v>
      </c>
      <c r="PC151" s="55">
        <f ca="1">IF(Control!$C$65="F", IF($AH$6-$HF151&lt;0,0,1), IF(365+$AH$6-$HF151&lt;0,0,1))</f>
        <v>1</v>
      </c>
      <c r="PD151" s="444">
        <f>Control!$C$118</f>
        <v>1500</v>
      </c>
      <c r="PE151" s="180" t="e">
        <f t="shared" ca="1" si="585"/>
        <v>#N/A</v>
      </c>
      <c r="PF151" s="445">
        <f t="shared" ca="1" si="669"/>
        <v>0.71612369323045078</v>
      </c>
      <c r="PT151" s="186"/>
      <c r="PU151" s="186"/>
      <c r="PV151" s="94"/>
      <c r="PW151" s="94"/>
      <c r="PX151" s="94"/>
      <c r="PY151" s="94"/>
      <c r="PZ151" s="94"/>
      <c r="QA151" s="94"/>
      <c r="QB151" s="94"/>
      <c r="QC151" s="94"/>
      <c r="QD151" s="94"/>
      <c r="QE151" s="94"/>
      <c r="QF151" s="94"/>
      <c r="QG151" s="94"/>
      <c r="QH151" s="94"/>
      <c r="QI151" s="94"/>
      <c r="QJ151" s="94"/>
      <c r="QK151" s="94"/>
      <c r="QL151" s="94"/>
      <c r="QM151" s="94"/>
      <c r="QN151" s="94"/>
      <c r="QO151" s="94"/>
      <c r="QP151" s="94"/>
    </row>
    <row r="152" spans="1:458" s="2" customFormat="1" x14ac:dyDescent="0.2">
      <c r="A152" s="395">
        <v>27</v>
      </c>
      <c r="B152" s="396">
        <v>5</v>
      </c>
      <c r="C152" s="387">
        <f ca="1">Weather_data!$B151</f>
        <v>0</v>
      </c>
      <c r="D152" s="388">
        <f ca="1">Weather_data!$F151</f>
        <v>0</v>
      </c>
      <c r="E152" s="388">
        <f ca="1">Weather_data!$E151</f>
        <v>0</v>
      </c>
      <c r="F152" s="388">
        <f t="shared" ca="1" si="586"/>
        <v>0</v>
      </c>
      <c r="G152" s="388">
        <f ca="1">AVERAGE($D152:$E152)+Control!$B$9</f>
        <v>0</v>
      </c>
      <c r="H152" s="388">
        <f ca="1">Weather_data!$G151</f>
        <v>0</v>
      </c>
      <c r="I152" s="388">
        <f ca="1">Weather_data!$I151</f>
        <v>0</v>
      </c>
      <c r="J152" s="388">
        <f ca="1">Weather_data!$H151</f>
        <v>0</v>
      </c>
      <c r="K152" s="389">
        <f ca="1">Weather_data!$D151</f>
        <v>0</v>
      </c>
      <c r="L152" s="388" t="e">
        <f t="shared" ca="1" si="587"/>
        <v>#N/A</v>
      </c>
      <c r="M152" s="388" t="e">
        <f t="shared" ca="1" si="465"/>
        <v>#N/A</v>
      </c>
      <c r="N152" s="388">
        <f t="shared" ca="1" si="466"/>
        <v>-1.0432211481373898E-7</v>
      </c>
      <c r="O152" s="388">
        <f t="shared" ca="1" si="588"/>
        <v>1.0432211481373899E-6</v>
      </c>
      <c r="P152" s="390">
        <v>3</v>
      </c>
      <c r="Q152" s="388">
        <f ca="1">MAX($G152-Control!$C$107,0)</f>
        <v>0</v>
      </c>
      <c r="R152" s="388">
        <f t="shared" ca="1" si="589"/>
        <v>0</v>
      </c>
      <c r="S152" s="388">
        <f t="shared" ca="1" si="467"/>
        <v>0</v>
      </c>
      <c r="T152" s="388">
        <f t="shared" ca="1" si="468"/>
        <v>0</v>
      </c>
      <c r="U152" s="59">
        <f t="shared" ca="1" si="469"/>
        <v>0</v>
      </c>
      <c r="V152" s="391">
        <f ca="1">MAX(0,MIN(Control!$C$100-Control!$C$99,$G152-Control!$C$99)*Control!$C$63)</f>
        <v>0</v>
      </c>
      <c r="W152" s="388">
        <f t="shared" ca="1" si="590"/>
        <v>0</v>
      </c>
      <c r="X152" s="388">
        <f t="shared" ca="1" si="591"/>
        <v>0.6110000000000001</v>
      </c>
      <c r="Y152" s="388">
        <f t="shared" ca="1" si="470"/>
        <v>0</v>
      </c>
      <c r="Z152" s="388">
        <f t="shared" ca="1" si="592"/>
        <v>0.61058800000000002</v>
      </c>
      <c r="AA152" s="388">
        <f t="shared" ca="1" si="471"/>
        <v>0.6018</v>
      </c>
      <c r="AB152" s="388">
        <f ca="1">101.3*EXP(-0.034*Control!$C$66/($G152+273))</f>
        <v>100.69623283836242</v>
      </c>
      <c r="AC152" s="392">
        <f t="shared" ca="1" si="472"/>
        <v>4.3460251046025113E-2</v>
      </c>
      <c r="AD152" s="392">
        <f t="shared" ca="1" si="473"/>
        <v>4.4450382862832649E-2</v>
      </c>
      <c r="AE152" s="388">
        <f t="shared" ca="1" si="474"/>
        <v>0</v>
      </c>
      <c r="AF152" s="388">
        <f ca="1">MAX(0,$G152-Control!$C$92)</f>
        <v>0</v>
      </c>
      <c r="AG152" s="393">
        <f t="shared" ca="1" si="475"/>
        <v>148</v>
      </c>
      <c r="AH152" s="389">
        <f t="shared" ca="1" si="476"/>
        <v>148</v>
      </c>
      <c r="AI152" s="388">
        <f t="shared" ca="1" si="593"/>
        <v>0.3715714850690805</v>
      </c>
      <c r="AJ152" s="388">
        <f ca="1">IF(Control!$C$60&lt;=0,$HH152,$HI152)</f>
        <v>1</v>
      </c>
      <c r="AK152" s="388">
        <f t="shared" ca="1" si="477"/>
        <v>1.1705660298307174</v>
      </c>
      <c r="AL152" s="388">
        <f t="shared" ca="1" si="478"/>
        <v>1.0818915208155033E-18</v>
      </c>
      <c r="AM152" s="388">
        <f t="shared" ca="1" si="479"/>
        <v>1.1705660298307174</v>
      </c>
      <c r="AN152" s="388">
        <f t="shared" ca="1" si="480"/>
        <v>0.37509656113848588</v>
      </c>
      <c r="AO152" s="388">
        <f ca="1">-0.10453/COS(Control!$B$8*PI()/180)*COS(AN152)</f>
        <v>-0.15798010461627285</v>
      </c>
      <c r="AP152" s="388">
        <f ca="1">ACOS(AO152-TAN(Control!$B$8*PI()/180)*TAN(AN152))</f>
        <v>2.2942028628069964</v>
      </c>
      <c r="AQ152" s="388">
        <f t="shared" ca="1" si="594"/>
        <v>0</v>
      </c>
      <c r="AR152" s="394">
        <f t="shared" ca="1" si="481"/>
        <v>0</v>
      </c>
      <c r="AS152" s="436">
        <f ca="1">IF(Control!$B$18=2,(IF(OR($AH152=Control!$B$175,$AH152=Control!$B$176,$AH152=Control!$B$177,$AH152=Control!$B$178,$AH152=Control!$B$179,$AH152=Control!$B$180,$AH152=Control!$B$181,$AH152=Control!$B$182,$AH152=Control!$B$183,$AH152=Control!$B$184,$AH152=Control!$B$185),1,0)),0)</f>
        <v>0</v>
      </c>
      <c r="AT152" s="436">
        <f>IF(Control!$B$20=8,IF(AND($AH152&gt;=Control!$B$172,$AH152&lt;=Control!$B$173),1,0),0)</f>
        <v>0</v>
      </c>
      <c r="AU152" s="436">
        <f>IF(Control!$B$20=8,IF($AV151=1,1*$AT152,IF($AT152=1,$AU151+1,$AU151)),0)</f>
        <v>0</v>
      </c>
      <c r="AV152" s="436">
        <f>IF(Control!$B$20=8,IF($AU152&gt;=Control!$B$174,1,0),0)</f>
        <v>0</v>
      </c>
      <c r="AW152" s="436">
        <f ca="1">IF(AND(Control!$B$18=2,Control!$B$171=1), $AV152, $AS152)</f>
        <v>0</v>
      </c>
      <c r="AX152" s="436" t="e">
        <f ca="1">IF(AND(Control!$B$18=1,$EU152&gt;=Control!$B$19),-$AY152,IF(AND(Control!$B$18=2,$AW152=1,$EU152&gt;$DS152),-$AY152, IF(Control!$C$108=0,0, IF(Control!$C$108&lt;&gt;0,1))))</f>
        <v>#N/A</v>
      </c>
      <c r="AY152" s="436" t="e">
        <f t="shared" ca="1" si="595"/>
        <v>#N/A</v>
      </c>
      <c r="AZ152" s="436" t="e">
        <f ca="1">IF(AND(Control!$B$18=1,$EB152&gt;Control!$B$19),$AZ151+1, IF(AND(Control!$B$18=2, $AW152=1, $EB152&gt;$DS152), $AZ151+1,$AZ151))</f>
        <v>#N/A</v>
      </c>
      <c r="BA152" s="587">
        <f>IF(Control!$C$81=0,1,IF($AH152&gt;=Control!$C$82,1,0))</f>
        <v>1</v>
      </c>
      <c r="BB152" s="140" t="e">
        <f ca="1">IF($BA152&gt;$BA151,Control!$C$83,IF($AW152&gt;0,$AW152*Control!$C$84,IF(AND(Control!$B$18=1,EN151&lt;&gt;0),Control!$C$84,0)))</f>
        <v>#N/A</v>
      </c>
      <c r="BC152" s="140" t="e">
        <f t="shared" ca="1" si="596"/>
        <v>#N/A</v>
      </c>
      <c r="BD152" s="140" t="e">
        <f ca="1">BC152*IF(OR($G152&lt;Control!$C$92,$G152&gt;Control!$C$95),0,IF(AND($G152&gt;=Control!$C$92,$G152&lt;=Control!$C$93),$G152-Control!$C$92,IF(AND($G152&gt;Control!$C$93,$G152&lt;=Control!$C$94),Control!$C$93-Control!$C$92,IF(AND($G152&gt;Control!$C$94,$G152&lt;=Control!$C$95),(Control!$C$93-Control!$C$92)*(Control!$C$94-$G152)/(Control!$C$95-Control!$C$94)))))</f>
        <v>#N/A</v>
      </c>
      <c r="BE152" s="140" t="e">
        <f t="shared" ca="1" si="597"/>
        <v>#N/A</v>
      </c>
      <c r="BF152" s="140" t="e">
        <f ca="1">IF($BE152&lt;=Control!$C$86,$BE152,Control!$C$86-$BE152)</f>
        <v>#N/A</v>
      </c>
      <c r="BG152" s="140" t="e">
        <f ca="1">IF(AND($AW152=1,Control!$C$84&lt;9),1,IF($BE152&gt;=Control!$C$86,0,$BC152))</f>
        <v>#N/A</v>
      </c>
      <c r="BH152" s="404" t="e">
        <f ca="1">IF($BG152=0,0,IF($BE152&lt;=Control!$C$86,$BC152*9*($BF152/Control!$C$86),0))</f>
        <v>#N/A</v>
      </c>
      <c r="BI152" s="140" t="e">
        <f ca="1">IF($BG152=1,0,IF($BE152&gt;=Control!$C$86,1,IF(AND($BB152&lt;21,$BB152&gt;=9),1,$BM151)))</f>
        <v>#N/A</v>
      </c>
      <c r="BJ152" s="140" t="e">
        <f ca="1">IF($BF152&lt;0,-$BF152,$BI152*IF(OR($G152&lt;Control!$C$92,$G152&gt;Control!$C$95),0,IF(AND($G152&gt;=Control!$C$92,$G152&lt;=Control!$C$93),$G152-Control!$C$92,IF(AND($G152&gt;Control!$C$93,$G152&lt;=Control!$C$94),Control!$C$93-Control!$C$92,IF(AND($G152&gt;Control!$C$94,$G152&lt;=Control!$C$95),(Control!$C$93-Control!$C$92)*(Control!$C$94-$G152)/(Control!$C$95-Control!$C$94))))))</f>
        <v>#N/A</v>
      </c>
      <c r="BK152" s="140" t="e">
        <f t="shared" ca="1" si="598"/>
        <v>#N/A</v>
      </c>
      <c r="BL152" s="140" t="e">
        <f ca="1">IF($BK152&lt;=Control!$C$87,$BK152,Control!$C$87-$BK152)</f>
        <v>#N/A</v>
      </c>
      <c r="BM152" s="140" t="e">
        <f ca="1">IF(AND($BB152&gt;=9,$BB152&lt;21),1,IF($BK152&gt;=Control!$C$87,0,$BI152))</f>
        <v>#N/A</v>
      </c>
      <c r="BN152" s="404" t="e">
        <f ca="1">IF($BM152=0,0,IF($BK152&lt;=Control!$C$87,$BI152*(9+(21-9)*($BL152/Control!$C$87)),0))</f>
        <v>#N/A</v>
      </c>
      <c r="BO152" s="140" t="e">
        <f ca="1">IF($BM152=1,0,IF($BK152&gt;=Control!$C$87,1,IF(AND($BB152&lt;30,$BB152&gt;=21),1,$BS151)))</f>
        <v>#N/A</v>
      </c>
      <c r="BP152" s="140" t="e">
        <f ca="1">IF($BL152&lt;0,-$BL152,$BO152*IF(OR($G152&lt;Control!$C$92,$G152&gt;Control!$C$95),0,IF(AND($G152&gt;=Control!$C$92,$G152&lt;=Control!$C$93),$G152-Control!$C$92,IF(AND($G152&gt;Control!$C$93,$G152&lt;=Control!$C$94),Control!$C$93-Control!$C$92,IF(AND($G152&gt;Control!$C$94,$G152&lt;=Control!$C$95),(Control!$C$93-Control!$C$92)*(Control!$C$94-$G152)/(Control!$C$95-Control!$C$94))))))</f>
        <v>#N/A</v>
      </c>
      <c r="BQ152" s="140" t="e">
        <f t="shared" ca="1" si="482"/>
        <v>#N/A</v>
      </c>
      <c r="BR152" s="140" t="e">
        <f ca="1">IF($BQ152&lt;=Control!$C$88,$BQ152,Control!$C$88-$BQ152)</f>
        <v>#N/A</v>
      </c>
      <c r="BS152" s="140" t="e">
        <f ca="1">IF(AND($BB152&gt;=21,$BB152&lt;30),1,IF($BQ152&gt;=Control!$C$88,0,$BO152))</f>
        <v>#N/A</v>
      </c>
      <c r="BT152" s="404" t="e">
        <f ca="1">IF($BS152=0,0,IF($BQ152&lt;=Control!$C$88,$BO152*(21+(30-21)*(BR152/Control!$C$88)),0))</f>
        <v>#N/A</v>
      </c>
      <c r="BU152" s="140" t="e">
        <f ca="1">IF(BG152+BM152+BS152=1,0,IF(OR(AND($BB152&lt;60,$BB152&gt;=30),$BQ152&gt;=Control!$C$88),1*$BA152,$BY151))</f>
        <v>#N/A</v>
      </c>
      <c r="BV152" s="140" t="e">
        <f ca="1">IF($BR152&lt;0,-$BR152,$BU152*IF(OR($G152&lt;Control!$C$92,$G152&gt;Control!$C$95),0,IF(AND($G152&gt;=Control!$C$92,$G152&lt;=Control!$C$93),$G152-Control!$C$92,IF(AND($G152&gt;Control!$C$93,$G152&lt;=Control!$C$94),Control!$C$93-Control!$C$92,IF(AND($G152&gt;Control!$C$94,$G152&lt;=Control!$C$95),(Control!$C$93-Control!$C$92)*(Control!$C$94-$G152)/(Control!$C$95-Control!$C$94))))))</f>
        <v>#N/A</v>
      </c>
      <c r="BW152" s="140" t="e">
        <f t="shared" ca="1" si="483"/>
        <v>#N/A</v>
      </c>
      <c r="BX152" s="140" t="e">
        <f ca="1">IF($BW152&lt;=Control!$C$89,$BW152,Control!$C$89-$BW152)</f>
        <v>#N/A</v>
      </c>
      <c r="BY152" s="140" t="e">
        <f ca="1">IF(AND($AJ152&gt;=30,$AJ152&lt;60),1,IF($BW152&gt;=Control!$C$89,0,$BU152))</f>
        <v>#N/A</v>
      </c>
      <c r="BZ152" s="404" t="e">
        <f ca="1">IF($BY152=0,0,IF($BW152&lt;=Control!$C$89,$BU152*(30+(60-30)*(BX152/Control!$C$89)),0))</f>
        <v>#N/A</v>
      </c>
      <c r="CA152" s="140" t="e">
        <f ca="1">IF($BG152+$BM152+$BS152+$BY152=1,0,IF(OR(AND($BB152&lt;65,$BB152&gt;=60),$BW152&gt;=Control!$C$89),1*$BA152,$CE151))</f>
        <v>#N/A</v>
      </c>
      <c r="CB152" s="140" t="e">
        <f ca="1">IF($BX152&lt;0,-$BX152,$CA152*IF(OR($G152&lt;Control!$C$92,$G152&gt;Control!$C$95),0,IF(AND($G152&gt;=Control!$C$92,$G152&lt;=Control!$C$93),$G152-Control!$C$92,IF(AND($G152&gt;Control!$C$93,$G152&lt;=Control!$C$94),Control!$C$93-Control!$C$92,IF(AND($G152&gt;Control!$C$94,$G152&lt;=Control!$C$95),(Control!$C$93-Control!$C$92)*(Control!$C$94-$G152)/(Control!$C$95-Control!$C$94))))))</f>
        <v>#N/A</v>
      </c>
      <c r="CC152" s="140" t="e">
        <f t="shared" ca="1" si="599"/>
        <v>#N/A</v>
      </c>
      <c r="CD152" s="140" t="e">
        <f ca="1">IF($CC152&lt;=Control!$C$90,$CC152,Control!$C$90-$CC152)</f>
        <v>#N/A</v>
      </c>
      <c r="CE152" s="140" t="e">
        <f ca="1">IF(AND($BB152&gt;=60,$BB152&lt;65),1,IF($CC152&gt;=Control!$C$90,0,$CA152))</f>
        <v>#N/A</v>
      </c>
      <c r="CF152" s="404" t="e">
        <f ca="1">IF($CE152=0,0,IF($CC152&lt;=Control!$C$90,$CA152*(60+(65-60)*(CD152/Control!$C$90)),0))</f>
        <v>#N/A</v>
      </c>
      <c r="CG152" s="140" t="e">
        <f ca="1">IF($BG152+$BM152+$BS152+$BY152+$CE152=1,0,IF(OR(AND($BB152&lt;90,$BB152&gt;=65),$CC152&gt;=Control!$C$90),$BA152,$CK151))</f>
        <v>#N/A</v>
      </c>
      <c r="CH152" s="140" t="e">
        <f ca="1">IF($CD152&lt;0,-$CD152,$CG152*IF(OR($G152&lt;Control!$C$92,$G152&gt;Control!$C$95),0,IF(AND($G152&gt;=Control!$C$92,$G152&lt;=Control!$C$93),$G152-Control!$C$92,IF(AND($G152&gt;Control!$C$93,$G152&lt;=Control!$C$94),Control!$C$93-Control!$C$92,IF(AND($G152&gt;Control!$C$94,$G152&lt;=Control!$C$95),(Control!$C$93-Control!$C$92)*(Control!$C$94-$G152)/(Control!$C$95-Control!$C$94))))))</f>
        <v>#N/A</v>
      </c>
      <c r="CI152" s="140" t="e">
        <f t="shared" ca="1" si="600"/>
        <v>#N/A</v>
      </c>
      <c r="CJ152" s="140" t="e">
        <f ca="1">IF($CI152&lt;=Control!$C$91,$CI152,Control!$C$91-$CI152)</f>
        <v>#N/A</v>
      </c>
      <c r="CK152" s="140" t="e">
        <f ca="1">IF(AND($BB152&gt;=65,$BB152&lt;90),1,IF($CI152&gt;=Control!$C$91,0,$CG152))</f>
        <v>#N/A</v>
      </c>
      <c r="CL152" s="404" t="e">
        <f ca="1">IF($CK152=0,0,IF($CI152&lt;=Control!$C$91,$CG152*(65+(90-65)*($CJ152/Control!$C$91)),0))</f>
        <v>#N/A</v>
      </c>
      <c r="CM152" s="140" t="e">
        <f ca="1">IF($BG152+$BM152+$BS152+$BY152+$CE152+$CK152=1,0,IF(OR($BB152&gt;=90,$CI152&gt;=Control!$C$91),$BA152,$CM151))</f>
        <v>#N/A</v>
      </c>
      <c r="CN152" s="140" t="e">
        <f t="shared" ca="1" si="601"/>
        <v>#N/A</v>
      </c>
      <c r="CO152" s="140" t="e">
        <f t="shared" ca="1" si="602"/>
        <v>#N/A</v>
      </c>
      <c r="CP152" s="140" t="e">
        <f t="shared" ca="1" si="603"/>
        <v>#N/A</v>
      </c>
      <c r="CQ152" s="141" t="e">
        <f ca="1">VLOOKUP($CP152,Control!$B$86:$G$91,6)</f>
        <v>#N/A</v>
      </c>
      <c r="CR152" s="141" t="e">
        <f ca="1">(1-$CQ152)*VLOOKUP($CP152,Control!$B$86:$D$91,3)</f>
        <v>#N/A</v>
      </c>
      <c r="CS152" s="141" t="e">
        <f ca="1">(1-$CQ152)*VLOOKUP($CP152,Control!$B$86:$E$91,4)</f>
        <v>#N/A</v>
      </c>
      <c r="CT152" s="141" t="e">
        <f ca="1">(1-$CQ152)*VLOOKUP($CP152,Control!$B$86:$F$91,5)</f>
        <v>#N/A</v>
      </c>
      <c r="CU152" s="141">
        <f t="shared" ca="1" si="604"/>
        <v>0</v>
      </c>
      <c r="CV152" s="583">
        <f t="shared" ca="1" si="605"/>
        <v>0</v>
      </c>
      <c r="CW152" s="142">
        <f t="shared" ca="1" si="606"/>
        <v>148</v>
      </c>
      <c r="CX152" s="612" t="e">
        <f ca="1">IF(Control!$C$114=1,(MIN(Control!$C$120*(IF($NT152-0.01&lt;0,0,1)),Control!$C$119-$CY152)))</f>
        <v>#DIV/0!</v>
      </c>
      <c r="CY152" s="143" t="e">
        <f t="shared" ca="1" si="607"/>
        <v>#N/A</v>
      </c>
      <c r="CZ152" s="144">
        <f t="shared" ca="1" si="484"/>
        <v>0</v>
      </c>
      <c r="DA152" s="144">
        <f t="shared" ca="1" si="485"/>
        <v>0</v>
      </c>
      <c r="DB152" s="144" t="e">
        <f t="shared" ca="1" si="486"/>
        <v>#N/A</v>
      </c>
      <c r="DC152" s="144" t="e">
        <f t="shared" ca="1" si="487"/>
        <v>#N/A</v>
      </c>
      <c r="DD152" s="144" t="e">
        <f t="shared" ca="1" si="692"/>
        <v>#N/A</v>
      </c>
      <c r="DE152" s="143" t="e">
        <f t="shared" ca="1" si="608"/>
        <v>#N/A</v>
      </c>
      <c r="DF152" s="145" t="e">
        <f ca="1">$DR152*EXP(-Control!$C$158*(1-$KH152))</f>
        <v>#N/A</v>
      </c>
      <c r="DG152" s="146" t="e">
        <f ca="1">IF(Control!$C$114=1, $DF152*$EY152, 0)</f>
        <v>#N/A</v>
      </c>
      <c r="DH152" s="147" t="e">
        <f t="shared" ca="1" si="609"/>
        <v>#N/A</v>
      </c>
      <c r="DI152" s="144" t="e">
        <f t="shared" ca="1" si="670"/>
        <v>#N/A</v>
      </c>
      <c r="DJ152" s="147" t="e">
        <f ca="1">$EF152*Control!$C$109</f>
        <v>#N/A</v>
      </c>
      <c r="DK152" s="144" t="e">
        <f t="shared" ca="1" si="610"/>
        <v>#N/A</v>
      </c>
      <c r="DL152" s="144" t="e">
        <f t="shared" ca="1" si="488"/>
        <v>#N/A</v>
      </c>
      <c r="DM152" s="144" t="e">
        <f ca="1">IF(Control!$C$114=1, (1-EXP(-Control!$C$96*$DK152))*$AR152, 0)</f>
        <v>#N/A</v>
      </c>
      <c r="DN152" s="144">
        <f t="shared" ca="1" si="611"/>
        <v>0</v>
      </c>
      <c r="DO152" s="148">
        <f>Control!$C$97</f>
        <v>4</v>
      </c>
      <c r="DP152" s="145" t="e">
        <f t="shared" ca="1" si="612"/>
        <v>#N/A</v>
      </c>
      <c r="DQ152" s="145" t="e">
        <f ca="1">IF(AND($CP152&gt;=0,$CP152&lt;=90),Control!$C$111,Control!$C$111)</f>
        <v>#N/A</v>
      </c>
      <c r="DR152" s="145" t="e">
        <f t="shared" ca="1" si="489"/>
        <v>#N/A</v>
      </c>
      <c r="DS152" s="143" t="e">
        <f ca="1">Control!$B$22/$DR152</f>
        <v>#N/A</v>
      </c>
      <c r="DT152" s="149" t="e">
        <f ca="1">IF(AND(Control!$C$114=1,$KH152&lt;1),$IM152*$DF152, 0)</f>
        <v>#N/A</v>
      </c>
      <c r="DU152" s="144" t="e">
        <f t="shared" ca="1" si="613"/>
        <v>#N/A</v>
      </c>
      <c r="DV152" s="144">
        <f ca="1">IF($G152-Control!$C$107&lt;=0, 0, 0.83*LN(MAX($G152, 3))-0.8924)</f>
        <v>0</v>
      </c>
      <c r="DW152" s="144" t="e">
        <f t="shared" ca="1" si="490"/>
        <v>#N/A</v>
      </c>
      <c r="DX152" s="150" t="e">
        <f ca="1">MAX(0.01*(1+$CU152/Control!$C$102),0.05*($DK152-Control!$C$97)/Control!$C$97)</f>
        <v>#N/A</v>
      </c>
      <c r="DY152" s="151" t="e">
        <f ca="1">IF(Control!$C$114=1, $DI152*$FS152, 0)</f>
        <v>#N/A</v>
      </c>
      <c r="DZ152" s="196" t="e">
        <f t="shared" ca="1" si="614"/>
        <v>#N/A</v>
      </c>
      <c r="EA152" s="152">
        <f t="shared" ca="1" si="615"/>
        <v>148</v>
      </c>
      <c r="EB152" s="153" t="e">
        <f t="shared" ca="1" si="616"/>
        <v>#N/A</v>
      </c>
      <c r="EC152" s="153" t="e">
        <f t="shared" ca="1" si="617"/>
        <v>#N/A</v>
      </c>
      <c r="ED152" s="154" t="e">
        <f ca="1">IF(Control!$C$114=1, $HM152*$FY152-$FD152, 0)</f>
        <v>#DIV/0!</v>
      </c>
      <c r="EE152" s="155" t="e">
        <f ca="1">IF(Control!$C$114=1, $HM152*$FZ152-$FF152, 0)</f>
        <v>#DIV/0!</v>
      </c>
      <c r="EF152" s="153" t="e">
        <f t="shared" ca="1" si="671"/>
        <v>#N/A</v>
      </c>
      <c r="EG152" s="155" t="e">
        <f ca="1">IF(Control!$C$114=1, $GX152*$FW152-$FI152, 0)</f>
        <v>#DIV/0!</v>
      </c>
      <c r="EH152" s="153" t="e">
        <f t="shared" ca="1" si="618"/>
        <v>#N/A</v>
      </c>
      <c r="EI152" s="156" t="e">
        <f t="shared" ca="1" si="619"/>
        <v>#N/A</v>
      </c>
      <c r="EJ152" s="155" t="e">
        <f ca="1">IF(Control!$C$114=1, $HM152*$GB152, 0)</f>
        <v>#DIV/0!</v>
      </c>
      <c r="EK152" s="153" t="e">
        <f t="shared" ca="1" si="672"/>
        <v>#N/A</v>
      </c>
      <c r="EL152" s="153" t="e">
        <f t="shared" ca="1" si="491"/>
        <v>#N/A</v>
      </c>
      <c r="EM152" s="153" t="e">
        <f t="shared" ca="1" si="492"/>
        <v>#N/A</v>
      </c>
      <c r="EN152" s="153" t="e">
        <f ca="1">IF(Control!$C$108=1,IF(AND(Control!$B$18=1,$EB152&gt;=Control!$B$19),$EB152-$DS152,IF(AND(Control!$B$18=2,$AW152=1,$EB152&gt;$DS152),$EB152-$DS152,0)))</f>
        <v>#N/A</v>
      </c>
      <c r="EO152" s="153" t="e">
        <f ca="1">IF(Control!$C$108=1,IF(AND(Control!$B$18=1,$EB152&gt;=Control!$B$19),$EF152,IF(AND(Control!$B$18=2,$AW152=1),$EF152,0)))</f>
        <v>#N/A</v>
      </c>
      <c r="EP152" s="153" t="e">
        <f ca="1">IF(Control!$C$108=1,IF(AND(Control!$B$18=1,$EB152&gt;=Control!$B$19),$EK152,IF(AND(Control!$B$18=2,$AW152=1),$EK152,0)))</f>
        <v>#N/A</v>
      </c>
      <c r="EQ152" s="153" t="e">
        <f t="shared" ca="1" si="620"/>
        <v>#N/A</v>
      </c>
      <c r="ER152" s="153" t="e">
        <f t="shared" ca="1" si="621"/>
        <v>#N/A</v>
      </c>
      <c r="ES152" s="153" t="e">
        <f t="shared" ca="1" si="673"/>
        <v>#N/A</v>
      </c>
      <c r="ET152" s="153" t="e">
        <f t="shared" ca="1" si="674"/>
        <v>#N/A</v>
      </c>
      <c r="EU152" s="153" t="e">
        <f t="shared" ca="1" si="622"/>
        <v>#N/A</v>
      </c>
      <c r="EV152" s="153" t="e">
        <f t="shared" ca="1" si="493"/>
        <v>#N/A</v>
      </c>
      <c r="EW152" s="153" t="e">
        <f t="shared" ca="1" si="494"/>
        <v>#N/A</v>
      </c>
      <c r="EX152" s="153" t="e">
        <f t="shared" ca="1" si="495"/>
        <v>#N/A</v>
      </c>
      <c r="EY152" s="157" t="e">
        <f t="shared" ca="1" si="496"/>
        <v>#DIV/0!</v>
      </c>
      <c r="EZ152" s="154" t="e">
        <f t="shared" ca="1" si="497"/>
        <v>#DIV/0!</v>
      </c>
      <c r="FA152" s="153" t="e">
        <f t="shared" ca="1" si="623"/>
        <v>#N/A</v>
      </c>
      <c r="FB152" s="153" t="e">
        <f t="shared" ca="1" si="498"/>
        <v>#N/A</v>
      </c>
      <c r="FC152" s="193" t="e">
        <f t="shared" ca="1" si="499"/>
        <v>#N/A</v>
      </c>
      <c r="FD152" s="158" t="e">
        <f t="shared" ca="1" si="624"/>
        <v>#N/A</v>
      </c>
      <c r="FE152" s="158" t="e">
        <f t="shared" ca="1" si="625"/>
        <v>#N/A</v>
      </c>
      <c r="FF152" s="159" t="e">
        <f t="shared" ca="1" si="500"/>
        <v>#N/A</v>
      </c>
      <c r="FG152" s="160" t="e">
        <f t="shared" ca="1" si="626"/>
        <v>#N/A</v>
      </c>
      <c r="FH152" s="158" t="e">
        <f t="shared" ca="1" si="627"/>
        <v>#N/A</v>
      </c>
      <c r="FI152" s="159" t="e">
        <f t="shared" ca="1" si="501"/>
        <v>#N/A</v>
      </c>
      <c r="FJ152" s="160" t="e">
        <f t="shared" ca="1" si="628"/>
        <v>#N/A</v>
      </c>
      <c r="FK152" s="160" t="e">
        <f t="shared" ca="1" si="502"/>
        <v>#N/A</v>
      </c>
      <c r="FL152" s="160" t="e">
        <f t="shared" ca="1" si="675"/>
        <v>#N/A</v>
      </c>
      <c r="FM152" s="160" t="e">
        <f t="shared" ca="1" si="503"/>
        <v>#N/A</v>
      </c>
      <c r="FN152" s="158">
        <f t="shared" ca="1" si="629"/>
        <v>0.01</v>
      </c>
      <c r="FO152" s="160">
        <f>Control!$C$101</f>
        <v>50</v>
      </c>
      <c r="FP152" s="150" t="e">
        <f t="shared" ca="1" si="504"/>
        <v>#N/A</v>
      </c>
      <c r="FQ152" s="150" t="e">
        <f ca="1">MAX(0,(Control!$C$112*(($DK152-Control!$C$97)/Control!$C$97)))</f>
        <v>#N/A</v>
      </c>
      <c r="FR152" s="150" t="e">
        <f ca="1">(1-$NT152)*Control!$C$113</f>
        <v>#DIV/0!</v>
      </c>
      <c r="FS152" s="198" t="e">
        <f t="shared" ca="1" si="505"/>
        <v>#N/A</v>
      </c>
      <c r="FT152" s="161">
        <f t="shared" ca="1" si="630"/>
        <v>148</v>
      </c>
      <c r="FU152" s="162" t="e">
        <f ca="1">IF(Control!$B$34=1,VLOOKUP($CP152,Control!$B$86:$G$91,6),Control!$B$35)</f>
        <v>#N/A</v>
      </c>
      <c r="FV152" s="162" t="e">
        <f t="shared" ca="1" si="506"/>
        <v>#DIV/0!</v>
      </c>
      <c r="FW152" s="162" t="e">
        <f ca="1">IF(Control!$B$31=1,$FU152*$FV152,  $FU152)</f>
        <v>#N/A</v>
      </c>
      <c r="FX152" s="162" t="e">
        <f ca="1">IF(Control!$B$34=1,VLOOKUP($CP152,Control!$B$86:$G$91,3),Control!$B$36)</f>
        <v>#N/A</v>
      </c>
      <c r="FY152" s="162" t="e">
        <f t="shared" ca="1" si="507"/>
        <v>#N/A</v>
      </c>
      <c r="FZ152" s="162" t="e">
        <f ca="1">IF(Control!$B$34=1,VLOOKUP($CP152,Control!$B$86:$G$91,4),Control!$B$37)</f>
        <v>#N/A</v>
      </c>
      <c r="GA152" s="162" t="e">
        <f t="shared" ca="1" si="508"/>
        <v>#N/A</v>
      </c>
      <c r="GB152" s="162" t="e">
        <f ca="1">IF(Control!$B$34=1,VLOOKUP($CP152,Control!$B$86:$G$91,5),Control!$B$38)</f>
        <v>#N/A</v>
      </c>
      <c r="GC152" s="162" t="e">
        <f t="shared" ca="1" si="631"/>
        <v>#N/A</v>
      </c>
      <c r="GD152" s="162">
        <f t="shared" ca="1" si="509"/>
        <v>1</v>
      </c>
      <c r="GE152" s="162">
        <f t="shared" ca="1" si="510"/>
        <v>1</v>
      </c>
      <c r="GF152" s="162">
        <f ca="1">IF(AND(Control!$C$104=1, Control!$C$62="F"),$GE152,1)</f>
        <v>1</v>
      </c>
      <c r="GG152" s="162" t="e">
        <f ca="1">IF(Control!$B$16=40,0,IF(AND(Control!$B$16&gt;40,Control!$B$16&lt;=360),(Control!$B$16-40)*((1-0)/(360-40)),IF(AND(Control!$B$16&gt;360,Control!$B$16&lt;=720),(1+(Control!$B$16-360)*((1.25-1)/(720-360))),IF(AND(Control!$B$16&gt;720,Control!$B$16&lt;=1000),(1.25+(Control!$B$16-720)*((1.35-1.25)/(1000-720))),IF(AND(Control!$B$16&gt;1000,Control!$B$16&lt;=2000),(1.35+(Control!$B$16-1000)*0))))))</f>
        <v>#N/A</v>
      </c>
      <c r="GH152" s="162" t="e">
        <f t="shared" ca="1" si="511"/>
        <v>#N/A</v>
      </c>
      <c r="GI152" s="162">
        <f t="shared" ca="1" si="632"/>
        <v>0</v>
      </c>
      <c r="GJ152" s="162">
        <f t="shared" ca="1" si="512"/>
        <v>0</v>
      </c>
      <c r="GK152" s="162">
        <f t="shared" ca="1" si="633"/>
        <v>1</v>
      </c>
      <c r="GL152" s="162">
        <f t="shared" ca="1" si="513"/>
        <v>1</v>
      </c>
      <c r="GM152" s="162" t="e">
        <f ca="1">MAX(0,MIN(1,1-Control!$C$156*(1.0001-$KH152)^2))</f>
        <v>#N/A</v>
      </c>
      <c r="GN152" s="162" t="e">
        <f ca="1">IF(Control!$B$26=1,$KU152,$KX152)</f>
        <v>#N/A</v>
      </c>
      <c r="GO152" s="162" t="e">
        <f ca="1">IF($CP152&lt;=60,Control!$C$105,IF($CP152&gt;=90,Control!$C$106,Control!$C$105+($CP152-60)*((Control!$C$106-Control!$C$105)/(90-60))))</f>
        <v>#N/A</v>
      </c>
      <c r="GP152" s="162" t="e">
        <f t="shared" ca="1" si="514"/>
        <v>#N/A</v>
      </c>
      <c r="GQ152" s="162" t="e">
        <f t="shared" ca="1" si="634"/>
        <v>#N/A</v>
      </c>
      <c r="GR152" s="163" t="e">
        <f t="shared" ca="1" si="515"/>
        <v>#DIV/0!</v>
      </c>
      <c r="GS152" s="162" t="e">
        <f t="shared" ca="1" si="516"/>
        <v>#DIV/0!</v>
      </c>
      <c r="GT152" s="164" t="e">
        <f t="shared" ca="1" si="635"/>
        <v>#N/A</v>
      </c>
      <c r="GU152" s="162" t="e">
        <f t="shared" ca="1" si="636"/>
        <v>#N/A</v>
      </c>
      <c r="GV152" s="162" t="e">
        <f t="shared" ca="1" si="517"/>
        <v>#N/A</v>
      </c>
      <c r="GW152" s="162" t="e">
        <f t="shared" ca="1" si="518"/>
        <v>#DIV/0!</v>
      </c>
      <c r="GX152" s="162" t="e">
        <f t="shared" ca="1" si="637"/>
        <v>#DIV/0!</v>
      </c>
      <c r="GY152" s="162" t="e">
        <f t="shared" ca="1" si="638"/>
        <v>#DIV/0!</v>
      </c>
      <c r="GZ152" s="165" t="e">
        <f t="shared" ca="1" si="519"/>
        <v>#N/A</v>
      </c>
      <c r="HA152" s="162" t="e">
        <f ca="1">IF(Control!$C$114=1, $DI152*$FS152, 0)</f>
        <v>#N/A</v>
      </c>
      <c r="HB152" s="162" t="e">
        <f ca="1">$FA152/Control!$C$64</f>
        <v>#N/A</v>
      </c>
      <c r="HC152" s="162" t="e">
        <f t="shared" ca="1" si="520"/>
        <v>#DIV/0!</v>
      </c>
      <c r="HD152" s="162">
        <f ca="1">-ASIN(SIN(23.45*Control!$C$139)*COS(2*Control!$C$138*($AH152+10)/365))</f>
        <v>0.3715714850690805</v>
      </c>
      <c r="HE152" s="165">
        <f t="shared" ca="1" si="639"/>
        <v>0</v>
      </c>
      <c r="HF152" s="166">
        <f ca="1">IF(AND(Control!$C$61="T",$HE152&gt;=Control!$C$103,Control!$C$114=0),$AH152,Control!$C$59)</f>
        <v>1</v>
      </c>
      <c r="HG152" s="166">
        <f ca="1">IF(AND(Control!$C$61="T",$HE152&gt;=Control!$C$103,Control!$C$114=0),$HF152,Control!$C$59)</f>
        <v>1</v>
      </c>
      <c r="HH152" s="165">
        <f ca="1">IF(AND(OR(Control!$C$60&lt;=0, $AH152= Control!$C$59, Control!$C$60 &gt;0, $AH152 = Control!$C$60)), Control!$C$59, IF(Control!$C$60&gt;0, 0))</f>
        <v>1</v>
      </c>
      <c r="HI152" s="165">
        <f ca="1">IF(AND(OR(Control!$C$60&lt;=0, $AH152= Control!$C$59, Control!$C$60 &gt;0, $AH152 = Control!$C$60)), Control!$C$60, IF(Control!$C$60&lt;=0, 0))</f>
        <v>0</v>
      </c>
      <c r="HJ152" s="166">
        <f ca="1">IF(AND(Control!$C$62="F",$CV152&gt;=Control!$C$102),$AH152,0)</f>
        <v>0</v>
      </c>
      <c r="HK152" s="165" t="e">
        <f t="shared" ca="1" si="676"/>
        <v>#N/A</v>
      </c>
      <c r="HL152" s="166">
        <f ca="1">IF(AND(Control!$C$61="T",$HE152&gt;=Control!$C$103,Control!$C$114=0),$HF152,0)</f>
        <v>0</v>
      </c>
      <c r="HM152" s="201" t="e">
        <f t="shared" ca="1" si="521"/>
        <v>#DIV/0!</v>
      </c>
      <c r="HN152" s="215">
        <f t="shared" ca="1" si="640"/>
        <v>148</v>
      </c>
      <c r="HO152" s="216" t="e">
        <f ca="1">IF(AND($CP152&gt;=0, $CP152&lt;=90), Control!$C$152, Control!$C$152)</f>
        <v>#N/A</v>
      </c>
      <c r="HP152" s="216" t="e">
        <f t="shared" ca="1" si="522"/>
        <v>#N/A</v>
      </c>
      <c r="HQ152" s="217" t="e">
        <f ca="1">IF(OR(Control!$B$26=1,Control!$B$26=2),$KV152,$KS152)</f>
        <v>#DIV/0!</v>
      </c>
      <c r="HR152" s="218" t="e">
        <f t="shared" ca="1" si="677"/>
        <v>#DIV/0!</v>
      </c>
      <c r="HS152" s="216" t="e">
        <f ca="1">Control!$C$154*$HP152</f>
        <v>#N/A</v>
      </c>
      <c r="HT152" s="216" t="e">
        <f ca="1">Control!$C$155*$HP152</f>
        <v>#N/A</v>
      </c>
      <c r="HU152" s="217" t="e">
        <f ca="1">Control!$C$161*$FI152</f>
        <v>#N/A</v>
      </c>
      <c r="HV152" s="218" t="e">
        <f t="shared" ca="1" si="641"/>
        <v>#N/A</v>
      </c>
      <c r="HW152" s="218" t="e">
        <f ca="1">Control!$C$160*$FF152+$IP152*$EO152</f>
        <v>#N/A</v>
      </c>
      <c r="HX152" s="218" t="e">
        <f t="shared" ca="1" si="678"/>
        <v>#N/A</v>
      </c>
      <c r="HY152" s="219" t="e">
        <f ca="1">IF(Control!$C$114=1, $EB152*$FS152, 0)</f>
        <v>#N/A</v>
      </c>
      <c r="HZ152" s="91" t="e">
        <f t="shared" ca="1" si="523"/>
        <v>#N/A</v>
      </c>
      <c r="IA152" s="220" t="e">
        <f ca="1">Control!$C$153*$HO152</f>
        <v>#N/A</v>
      </c>
      <c r="IB152" s="218" t="e">
        <f t="shared" ca="1" si="524"/>
        <v>#N/A</v>
      </c>
      <c r="IC152" s="220" t="e">
        <f ca="1">Control!$C$153*$HT152</f>
        <v>#N/A</v>
      </c>
      <c r="ID152" s="218" t="e">
        <f t="shared" ca="1" si="525"/>
        <v>#N/A</v>
      </c>
      <c r="IE152" s="221" t="e">
        <f ca="1">($EB152*Control!$C$159+$EF152*Control!$C$160)/(IF($GZ152&lt;&gt;0,$GZ152,1))</f>
        <v>#N/A</v>
      </c>
      <c r="IF152" s="216" t="e">
        <f t="shared" ca="1" si="526"/>
        <v>#N/A</v>
      </c>
      <c r="IG152" s="91">
        <f ca="1">IF(OR(Control!$B$198=$AH152,Control!$B$199=$AH152, Control!$B$200=$AH152, Control!$B$201=$AH152, Control!$B$202=$AH152, Control!$B$203=$AH152, Control!$B$204=$AH152, Control!$B$205=$AH152, Control!$B$206=$AH152, Control!$B$207=$AH152), 1, 0)</f>
        <v>0</v>
      </c>
      <c r="IH152" s="91">
        <f ca="1">IF($IG152=0,0, VLOOKUP($AH152,Control!$B$198:$C$207,2))</f>
        <v>0</v>
      </c>
      <c r="II152" s="222">
        <f t="shared" ca="1" si="642"/>
        <v>0</v>
      </c>
      <c r="IJ152" s="91">
        <f>Control!$C$121</f>
        <v>0.7</v>
      </c>
      <c r="IK152" s="218">
        <f t="shared" ca="1" si="527"/>
        <v>0</v>
      </c>
      <c r="IL152" s="217" t="e">
        <f t="shared" ca="1" si="679"/>
        <v>#N/A</v>
      </c>
      <c r="IM152" s="223" t="e">
        <f ca="1">IF(AND(Control!$C$114=1,$KH152&lt;1),$EB152*Control!$C$148*(1-$KH152), 0)</f>
        <v>#N/A</v>
      </c>
      <c r="IN152" s="217" t="e">
        <f t="shared" ca="1" si="528"/>
        <v>#DIV/0!</v>
      </c>
      <c r="IO152" s="91" t="e">
        <f ca="1">MAX(0,$IL152-$EF152*Control!$C$160)</f>
        <v>#N/A</v>
      </c>
      <c r="IP152" s="220" t="e">
        <f t="shared" ca="1" si="529"/>
        <v>#N/A</v>
      </c>
      <c r="IQ152" s="217" t="e">
        <f t="shared" ca="1" si="643"/>
        <v>#N/A</v>
      </c>
      <c r="IR152" s="218" t="e">
        <f t="shared" ca="1" si="530"/>
        <v>#N/A</v>
      </c>
      <c r="IS152" s="217" t="e">
        <f ca="1">Control!$C$159*MAX(0,$FD152-$EN152)</f>
        <v>#N/A</v>
      </c>
      <c r="IT152" s="217" t="e">
        <f t="shared" ca="1" si="680"/>
        <v>#N/A</v>
      </c>
      <c r="IU152" s="217" t="e">
        <f t="shared" ca="1" si="644"/>
        <v>#N/A</v>
      </c>
      <c r="IV152" s="217" t="e">
        <f t="shared" ca="1" si="681"/>
        <v>#N/A</v>
      </c>
      <c r="IW152" s="217" t="e">
        <f ca="1">IF(OR($AW152=1,AND($AW152=0, Control!$B$18=1,$EN152&lt;&gt;0)), $IQ152-$IU152, $IQ152)</f>
        <v>#N/A</v>
      </c>
      <c r="IX152" s="218" t="e">
        <f t="shared" ca="1" si="531"/>
        <v>#N/A</v>
      </c>
      <c r="IY152" s="218" t="e">
        <f ca="1">MAX(0,$IQ152-$EB152*Control!$C$159)</f>
        <v>#N/A</v>
      </c>
      <c r="IZ152" s="218" t="e">
        <f t="shared" ca="1" si="532"/>
        <v>#N/A</v>
      </c>
      <c r="JA152" s="216" t="e">
        <f t="shared" ca="1" si="533"/>
        <v>#N/A</v>
      </c>
      <c r="JB152" s="217" t="e">
        <f t="shared" ca="1" si="534"/>
        <v>#N/A</v>
      </c>
      <c r="JC152" s="222" t="e">
        <f ca="1">MAX(Control!$C$157*$EK152-$JT152, 0)/Control!$C$162</f>
        <v>#N/A</v>
      </c>
      <c r="JD152" s="218" t="e">
        <f t="shared" ca="1" si="535"/>
        <v>#N/A</v>
      </c>
      <c r="JE152" s="218" t="e">
        <f t="shared" ca="1" si="536"/>
        <v>#N/A</v>
      </c>
      <c r="JF152" s="218" t="e">
        <f t="shared" ca="1" si="645"/>
        <v>#N/A</v>
      </c>
      <c r="JG152" s="218" t="e">
        <f t="shared" ca="1" si="537"/>
        <v>#N/A</v>
      </c>
      <c r="JH152" s="217" t="e">
        <f t="shared" ca="1" si="646"/>
        <v>#N/A</v>
      </c>
      <c r="JI152" s="217" t="e">
        <f t="shared" ca="1" si="647"/>
        <v>#N/A</v>
      </c>
      <c r="JJ152" s="217" t="e">
        <f t="shared" ca="1" si="682"/>
        <v>#N/A</v>
      </c>
      <c r="JK152" s="217" t="e">
        <f ca="1">IF(Control!$C$114=1,IF(Control!$B$24=0,MAX(0,$JI152)*$GN152/Control!$C$64,(MAX(0,MIN($JI152,$JJ152*$GN152/Control!$C$64),0))))</f>
        <v>#N/A</v>
      </c>
      <c r="JL152" s="217" t="e">
        <f ca="1">$IK152/Control!$C$64-$JK152+$HQ152</f>
        <v>#N/A</v>
      </c>
      <c r="JM152" s="217" t="e">
        <f ca="1">IF(Control!$C$114=1,($JB152/(IF($JI152&lt;&gt;0,$JI152,1)))*$JK152,0)</f>
        <v>#N/A</v>
      </c>
      <c r="JN152" s="217" t="e">
        <f ca="1">IF(Control!$C$114=1,($JG152/(IF($JI152&lt;&gt;0,$JI152,1)))*$JK152, 0)</f>
        <v>#N/A</v>
      </c>
      <c r="JO152" s="218" t="e">
        <f t="shared" ca="1" si="538"/>
        <v>#N/A</v>
      </c>
      <c r="JP152" s="218" t="e">
        <f ca="1">MIN(($IY152+$IO152)*Control!$C$151, $JF152-$EH152*Control!$C$161)</f>
        <v>#N/A</v>
      </c>
      <c r="JQ152" s="218" t="e">
        <f t="shared" ca="1" si="539"/>
        <v>#N/A</v>
      </c>
      <c r="JR152" s="217" t="e">
        <f ca="1">IF($CP152-Control!$C$150&lt;0, 0, $JQ152/Control!$C$162)</f>
        <v>#N/A</v>
      </c>
      <c r="JS152" s="218" t="e">
        <f t="shared" ca="1" si="540"/>
        <v>#N/A</v>
      </c>
      <c r="JT152" s="218" t="e">
        <f t="shared" ca="1" si="648"/>
        <v>#N/A</v>
      </c>
      <c r="JU152" s="218" t="e">
        <f t="shared" ca="1" si="541"/>
        <v>#N/A</v>
      </c>
      <c r="JV152" s="218" t="e">
        <f t="shared" ca="1" si="542"/>
        <v>#N/A</v>
      </c>
      <c r="JW152" s="216" t="e">
        <f t="shared" ca="1" si="543"/>
        <v>#N/A</v>
      </c>
      <c r="JX152" s="91" t="e">
        <f t="shared" ca="1" si="544"/>
        <v>#N/A</v>
      </c>
      <c r="JY152" s="218" t="e">
        <f t="shared" ca="1" si="545"/>
        <v>#N/A</v>
      </c>
      <c r="JZ152" s="217" t="e">
        <f ca="1">IF(Control!$C$114=1,($IZ152/(IF($JI152&lt;&gt;0,$JI152,1)))*$JK152, 0)</f>
        <v>#N/A</v>
      </c>
      <c r="KA152" s="218" t="e">
        <f t="shared" ca="1" si="683"/>
        <v>#N/A</v>
      </c>
      <c r="KB152" s="218" t="e">
        <f t="shared" ca="1" si="649"/>
        <v>#N/A</v>
      </c>
      <c r="KC152" s="218" t="e">
        <f t="shared" ca="1" si="546"/>
        <v>#N/A</v>
      </c>
      <c r="KD152" s="218" t="e">
        <f t="shared" ca="1" si="547"/>
        <v>#N/A</v>
      </c>
      <c r="KE152" s="218" t="e">
        <f t="shared" ca="1" si="548"/>
        <v>#N/A</v>
      </c>
      <c r="KF152" s="218" t="e">
        <f t="shared" ca="1" si="549"/>
        <v>#N/A</v>
      </c>
      <c r="KG152" s="216" t="e">
        <f t="shared" ca="1" si="550"/>
        <v>#N/A</v>
      </c>
      <c r="KH152" s="221" t="e">
        <f ca="1">IF(Control!$B$24=0,1,MAX(0.001,MIN(1,IF(($IF152-$IE152)&lt;&gt;0,($KG152-$IE152)/($IF152-$IE152),1))))</f>
        <v>#N/A</v>
      </c>
      <c r="KI152" s="222" t="e">
        <f ca="1">IF(Control!$C$114=1, $KI151+ $KH151, 0)</f>
        <v>#N/A</v>
      </c>
      <c r="KJ152" s="217" t="e">
        <f t="shared" ca="1" si="551"/>
        <v>#N/A</v>
      </c>
      <c r="KK152" s="218" t="e">
        <f t="shared" ca="1" si="552"/>
        <v>#N/A</v>
      </c>
      <c r="KL152" s="274" t="e">
        <f ca="1">IF(Control!$B$26=3,4000000000*EXP(-8400/($G152+273)),IF(Control!$B$26=4,4000000000*EXP(-8400/($G152+273))*($KT152),0))</f>
        <v>#DIV/0!</v>
      </c>
      <c r="KM152" s="274" t="e">
        <f ca="1">IF(Control!$B$26=3,5600000000000*EXP(-9800/($G152+273)),IF(Control!$B$26=4,5600000000000*EXP(-9800/($G152+273))*$KT152,0))</f>
        <v>#DIV/0!</v>
      </c>
      <c r="KN152" s="454" t="e">
        <f t="shared" ca="1" si="650"/>
        <v>#DIV/0!</v>
      </c>
      <c r="KO152" s="274" t="e">
        <f t="shared" ca="1" si="651"/>
        <v>#DIV/0!</v>
      </c>
      <c r="KP152" s="454" t="e">
        <f t="shared" ca="1" si="553"/>
        <v>#DIV/0!</v>
      </c>
      <c r="KQ152" s="454" t="e">
        <f t="shared" ca="1" si="554"/>
        <v>#DIV/0!</v>
      </c>
      <c r="KR152" s="454" t="e">
        <f t="shared" ca="1" si="555"/>
        <v>#DIV/0!</v>
      </c>
      <c r="KS152" s="454" t="e">
        <f t="shared" ca="1" si="556"/>
        <v>#DIV/0!</v>
      </c>
      <c r="KT152" s="455" t="e">
        <f t="shared" ca="1" si="557"/>
        <v>#DIV/0!</v>
      </c>
      <c r="KU152" s="456" t="e">
        <f ca="1">IF($CP152-Control!$C$149&lt;0, IF($NT152-0.01&lt;0,0,1),0)</f>
        <v>#N/A</v>
      </c>
      <c r="KV152" s="456" t="e">
        <f ca="1">IF(Control!$C$114=1,MAX(0,MIN(Control!$C$125*$KW152*$GN152,$KW152)))</f>
        <v>#DIV/0!</v>
      </c>
      <c r="KW152" s="456" t="e">
        <f t="shared" ca="1" si="684"/>
        <v>#DIV/0!</v>
      </c>
      <c r="KX152" s="457" t="e">
        <f ca="1">IF($CP152-Control!$C$149&lt;0, IF($MR152-$OM152&lt;0,0,1),0)</f>
        <v>#N/A</v>
      </c>
      <c r="KY152" s="167">
        <f t="shared" ca="1" si="652"/>
        <v>148</v>
      </c>
      <c r="KZ152" s="168">
        <f ca="1">1370*(1+0.033*COS(2*Control!$C$138*$AH152/365))</f>
        <v>1332.5311536370709</v>
      </c>
      <c r="LA152" s="169">
        <f t="shared" ca="1" si="653"/>
        <v>0.97265058712324137</v>
      </c>
      <c r="LB152" s="169">
        <f t="shared" ca="1" si="654"/>
        <v>0.37459623763136657</v>
      </c>
      <c r="LC152" s="169">
        <f ca="1">ACOS(-TAN((2*Control!$B$8/360))*TAN(Calculations!$LB152))</f>
        <v>1.6879123542803267</v>
      </c>
      <c r="LD152" s="169">
        <f ca="1">((24*60)/PI())*0.082*$LA152*(($LC152*SIN(Control!$B$8*2*PI()/360))*SIN($LB152)+COS(Control!$B$8*2*PI()/360)*COS($LB152)*SIN($LC152))</f>
        <v>38.595110365051937</v>
      </c>
      <c r="LE152" s="170">
        <f t="shared" ca="1" si="558"/>
        <v>39.942948723370336</v>
      </c>
      <c r="LF152" s="170">
        <f ca="1">SIN(Control!$C$139*Control!$B$8)*SIN($HD152)</f>
        <v>0.28611151602527612</v>
      </c>
      <c r="LG152" s="170">
        <f ca="1">COS(Control!$C$139*Control!$B$8)*COS($HD152)</f>
        <v>0.57364589824877699</v>
      </c>
      <c r="LH152" s="170">
        <f ca="1">12*(1+2*ASIN(MAX(-1,MIN(1,$LF152/$LG152))/Control!$C$138))</f>
        <v>15.826425598148191</v>
      </c>
      <c r="LI152" s="170">
        <f ca="1">12*(1+2*ASIN(MAX(-1,MIN(1,(-SIN(-4*Control!$C$139)+$LF152)/$LG152))/Control!$C$138))</f>
        <v>16.770558754915314</v>
      </c>
      <c r="LJ152" s="168">
        <f ca="1">3600*($LH152*$LF152+24*$LG152*SQRT(1-$LK152*$LK152)/Control!$C$138)</f>
        <v>29975.245692641587</v>
      </c>
      <c r="LK152" s="170">
        <f t="shared" ca="1" si="559"/>
        <v>0.49875980443460988</v>
      </c>
      <c r="LL152" s="170">
        <f t="shared" ca="1" si="560"/>
        <v>0</v>
      </c>
      <c r="LM152" s="171">
        <f ca="1">Control!$C$145*$AB152</f>
        <v>6.6660906138995932E-2</v>
      </c>
      <c r="LN152" s="170">
        <f t="shared" ca="1" si="655"/>
        <v>0.54</v>
      </c>
      <c r="LO152" s="170">
        <f t="shared" ca="1" si="561"/>
        <v>0</v>
      </c>
      <c r="LP152" s="170">
        <f ca="1">Control!$C$140*((($D152+273.16)^4+($E152+273.16)^4)/2)*(0.34-0.14*SQRT($Y152))*(1.35*$AQ152/(0.75*$LD152)-0.35)</f>
        <v>-3.2464704755046001</v>
      </c>
      <c r="LQ152" s="170">
        <f ca="1">Control!$C$140*($G152+273)^4*(0.56-0.079*SQRT($Y152*10))*(0.1+0.9*$LO152)</f>
        <v>1.5241745131704001</v>
      </c>
      <c r="LR152" s="170">
        <f ca="1">$AQ152*(1-Control!$C$142)-$LQ152</f>
        <v>-1.5241745131704001</v>
      </c>
      <c r="LS152" s="170">
        <f ca="1">$AQ152*(1-Control!$C$143)-$LQ152</f>
        <v>-1.5241745131704001</v>
      </c>
      <c r="LT152" s="170">
        <f ca="1">$AQ152*(1-Control!$C$144)-$LQ152</f>
        <v>-1.5241745131704001</v>
      </c>
      <c r="LU152" s="169">
        <f ca="1">(1-Control!$C$144)*AQ152-LP152</f>
        <v>3.2464704755046001</v>
      </c>
      <c r="LV152" s="172">
        <f t="shared" ca="1" si="562"/>
        <v>0.79430000000000012</v>
      </c>
      <c r="LW152" s="170">
        <f t="shared" ca="1" si="563"/>
        <v>1.5886000000000002</v>
      </c>
      <c r="LX152" s="170">
        <f ca="1">($AC152*($LR152/Control!$C$141)+$LM152*$LV152)/($AC152+$LM152)</f>
        <v>0.23530094218323697</v>
      </c>
      <c r="LY152" s="170">
        <f ca="1">($AC152*($LS152/Control!$C$141)+$LM152*$LV152)/($AC152+$LM152)</f>
        <v>0.23530094218323697</v>
      </c>
      <c r="LZ152" s="170">
        <f t="shared" ca="1" si="564"/>
        <v>0.23530094218323697</v>
      </c>
      <c r="MA152" s="170">
        <f t="shared" ca="1" si="565"/>
        <v>0.23530094218323697</v>
      </c>
      <c r="MB152" s="170" t="e">
        <f t="shared" ca="1" si="566"/>
        <v>#N/A</v>
      </c>
      <c r="MC152" s="170">
        <f t="shared" ca="1" si="656"/>
        <v>0.6018</v>
      </c>
      <c r="MD152" s="170">
        <f t="shared" ca="1" si="567"/>
        <v>0.52989392535414004</v>
      </c>
      <c r="ME152" s="170">
        <f ca="1">($AC152*($LT152/Control!$C$141)+$LM152*$LW152)/($AC152+$LM152)</f>
        <v>0.71612369323045078</v>
      </c>
      <c r="MF152" s="170" t="e">
        <f ca="1">IF(Control!$B$16&gt;=1000,0.92,IF(AND(720&lt;=Control!$B$16,1000&gt;Control!$B$16),(0.95+(Control!$B$16-720)*((0.92-0.95)/(1000-720))),IF(AND(360&lt;=Control!$B$16,720&gt;Control!$B$16),(1+(Control!$B$16-360)*((0.95-1)/(720-360))),IF(AND(40&lt;=Control!$B$16,360&gt;Control!$B$16),(1.05+(Control!$B$16-40)*((1.05-1)/(360-40)))))))</f>
        <v>#N/A</v>
      </c>
      <c r="MG152" s="170">
        <f t="shared" ca="1" si="568"/>
        <v>0.71612369323045078</v>
      </c>
      <c r="MH152" s="170" t="e">
        <f t="shared" ca="1" si="693"/>
        <v>#N/A</v>
      </c>
      <c r="MI152" s="170" t="e">
        <f t="shared" ca="1" si="693"/>
        <v>#N/A</v>
      </c>
      <c r="MJ152" s="170" t="e">
        <f ca="1">MAX(0.0001, Control!$C$132*$MI152*$DL152)</f>
        <v>#N/A</v>
      </c>
      <c r="MK152" s="170">
        <f ca="1">1/(0.76+1.5*($MG152/10))-(5-Control!$C$110)*0.1</f>
        <v>1.002845988140797</v>
      </c>
      <c r="ML152" s="173">
        <f ca="1">IF(Control!$C$110&lt;3,$MK152+($MG152-0.6)/(Control!$C$110*(Control!$C$110+3)), MAX(0.1, MIN(0.95,$MK152)))</f>
        <v>0.95</v>
      </c>
      <c r="MM152" s="173">
        <f ca="1">IF(Control!$C$110&lt;3,$MK152+(($MI152/10)-0.6)/(Control!$C$110*(Control!$C$110+3)), MAX(0.1, MIN(0.95,$MK152)))</f>
        <v>0.95</v>
      </c>
      <c r="MN152" s="173">
        <f ca="1">(1-$MM152)*(Control!$C$128-Control!$C$127)+Control!$C$127</f>
        <v>0.16</v>
      </c>
      <c r="MO152" s="170" t="e">
        <f ca="1">MAX(0,MIN(1,($MS152-Control!$C$127)/($MN152-Control!$C$127)))</f>
        <v>#DIV/0!</v>
      </c>
      <c r="MP152" s="173" t="e">
        <f ca="1">1/(0.76+1.5*$MI152)-(5-Control!$C$110)*0.1</f>
        <v>#N/A</v>
      </c>
      <c r="MQ152" s="172" t="e">
        <f t="shared" ca="1" si="685"/>
        <v>#DIV/0!</v>
      </c>
      <c r="MR152" s="168" t="e">
        <f t="shared" ca="1" si="657"/>
        <v>#DIV/0!</v>
      </c>
      <c r="MS152" s="173" t="e">
        <f ca="1">MAX(Control!$C$127, MIN(Control!$C$135, $MR152/MAX(0.0001,$CY152)))</f>
        <v>#DIV/0!</v>
      </c>
      <c r="MT152" s="168" t="e">
        <f ca="1">(Control!$C$128-$MS152)*Control!$C$74</f>
        <v>#DIV/0!</v>
      </c>
      <c r="MU152" s="168" t="e">
        <f ca="1">(Control!$C$135-$MS152)*Control!$C$74</f>
        <v>#DIV/0!</v>
      </c>
      <c r="MV152" s="168" t="e">
        <f t="shared" ca="1" si="658"/>
        <v>#DIV/0!</v>
      </c>
      <c r="MW152" s="168" t="e">
        <f t="shared" ca="1" si="659"/>
        <v>#DIV/0!</v>
      </c>
      <c r="MX152" s="171" t="e">
        <f ca="1">MAX(Control!$C$127, MIN(Control!$C$135, $MW152/MAX(0.0001,Control!$C$119-$CY152)))</f>
        <v>#DIV/0!</v>
      </c>
      <c r="MY152" s="54" t="e">
        <f ca="1">IF(Control!$C$114=1, $CX152*$MX152, 0)</f>
        <v>#DIV/0!</v>
      </c>
      <c r="MZ152" s="54" t="e">
        <f t="shared" ca="1" si="660"/>
        <v>#N/A</v>
      </c>
      <c r="NA152" s="168" t="e">
        <f ca="1">(Control!$C$128-$MX152)*(Control!$C$119-Control!$C$74)</f>
        <v>#DIV/0!</v>
      </c>
      <c r="NB152" s="168" t="e">
        <f ca="1">(Control!$C$135-$MX152)*(Control!$C$119-Control!$C$74)</f>
        <v>#DIV/0!</v>
      </c>
      <c r="NC152" s="174" t="e">
        <f t="shared" ca="1" si="661"/>
        <v>#DIV/0!</v>
      </c>
      <c r="ND152" s="54">
        <f ca="1">IF(Control!$C$58=2, IF(OR(Control!$B$218=$AH152,Control!$B$219=$AH152, Control!$B$220=$AH152, Control!$B$221=$AH152, Control!$B$222=$AH152, Control!$B$223=$AH152, Control!$B$224=$AH152, Control!$B$225=$AH152, Control!$B$226=$AH152, Control!$B$227=$AH152, Control!$B$228=$AH152), 1, 0), 0)</f>
        <v>0</v>
      </c>
      <c r="NE152" s="54">
        <f ca="1">IF($ND152=0,0, VLOOKUP($AH152,Control!$B$218:$C$228,2))</f>
        <v>0</v>
      </c>
      <c r="NF152" s="168" t="e">
        <f ca="1">$CY152*(Control!$C$128-Control!$C$127)</f>
        <v>#N/A</v>
      </c>
      <c r="NG152" s="54" t="e">
        <f ca="1">IF(Control!$C$58=2, $NI151-$NJ151, 0)</f>
        <v>#DIV/0!</v>
      </c>
      <c r="NH152" s="54" t="e">
        <f ca="1">IF(AND(Control!$C$58=1, $MS151&lt;= ($MN151+0.02), $I151&lt;10), 0, IF(Control!$C$58=2, $NG151, 0))</f>
        <v>#DIV/0!</v>
      </c>
      <c r="NI152" s="54" t="e">
        <f ca="1">IF(Control!$C$58=2, $NE152+$NH152,0)</f>
        <v>#DIV/0!</v>
      </c>
      <c r="NJ152" s="54" t="e">
        <f ca="1">IF(AND(Control!$C$58=1, $MS152&lt;= ($MN152+0.02), $I152&lt;10), MAX(0, MIN(10, 0.7*($NF152-$MV152))), IF(Control!$C$58=2, MIN(10,$NI152),0))</f>
        <v>#DIV/0!</v>
      </c>
      <c r="NK152" s="54" t="e">
        <f t="shared" ca="1" si="569"/>
        <v>#DIV/0!</v>
      </c>
      <c r="NL152" s="173" t="e">
        <f ca="1">(1-Control!$C$73)*$I152+$NJ152</f>
        <v>#DIV/0!</v>
      </c>
      <c r="NM152" s="172" t="e">
        <f ca="1">IF($NL152&lt;0.5, $MB152* MAX(0, MIN(1, (SQRT($NC152)-SQRT($NC152-1))*Control!$C$71)),0)</f>
        <v>#DIV/0!</v>
      </c>
      <c r="NN152" s="170" t="e">
        <f ca="1">IF($NL152&gt;=5, $MB152, MAX(0,MIN($MB152, $NM152+$NL152,($MS152-Control!$C$129))))</f>
        <v>#DIV/0!</v>
      </c>
      <c r="NO152" s="54">
        <f>IF(Control!$C$133&lt;&gt;1, Control!$C$135-Control!$C$131, 0)</f>
        <v>0.38</v>
      </c>
      <c r="NP152" s="54" t="e">
        <f t="shared" ca="1" si="570"/>
        <v>#DIV/0!</v>
      </c>
      <c r="NQ152" s="173" t="e">
        <f ca="1">MAX(0,MIN(1,(Control!$C$135-$MS152)/(Control!$C$135-$NO152)))</f>
        <v>#DIV/0!</v>
      </c>
      <c r="NR152" s="170" t="e">
        <f ca="1">IF(Control!$C$133&lt;&gt;1, $NQ152+((1-$NP152/4)*(1-$NQ152)),1)</f>
        <v>#DIV/0!</v>
      </c>
      <c r="NS152" s="170" t="e">
        <f ca="1">IF(Control!$B$31=0,$MJ152,MAX(0,MIN($MV152,$MO152*$NR152*$MJ152)))</f>
        <v>#DIV/0!</v>
      </c>
      <c r="NT152" s="170" t="e">
        <f t="shared" ca="1" si="686"/>
        <v>#DIV/0!</v>
      </c>
      <c r="NU152" s="170" t="e">
        <f t="shared" ca="1" si="662"/>
        <v>#N/A</v>
      </c>
      <c r="NV152" s="170" t="e">
        <f t="shared" ca="1" si="571"/>
        <v>#N/A</v>
      </c>
      <c r="NW152" s="175" t="e">
        <f t="shared" ca="1" si="572"/>
        <v>#DIV/0!</v>
      </c>
      <c r="NX152" s="170" t="e">
        <f ca="1">MIN(Control!$C$72+$MU152, $NW152)</f>
        <v>#DIV/0!</v>
      </c>
      <c r="NY152" s="170" t="e">
        <f ca="1">IF($MT152&lt;=$NX152,MIN(Control!$C$72+$NB152,$NX152-$MT152),0)</f>
        <v>#DIV/0!</v>
      </c>
      <c r="NZ152" s="54" t="e">
        <f ca="1">IF(Control!$C$114=1,  $CX152*($MX152-Control!$C$127), 0)</f>
        <v>#DIV/0!</v>
      </c>
      <c r="OA152" s="170" t="e">
        <f t="shared" ca="1" si="573"/>
        <v>#DIV/0!</v>
      </c>
      <c r="OB152" s="170" t="e">
        <f ca="1">IF($NA152 &lt;=$NY152, MIN(Control!$C$72, $NY152-$NA152), 0)</f>
        <v>#DIV/0!</v>
      </c>
      <c r="OC152" s="168" t="e">
        <f t="shared" ca="1" si="574"/>
        <v>#DIV/0!</v>
      </c>
      <c r="OD152" s="168" t="e">
        <f t="shared" ca="1" si="663"/>
        <v>#DIV/0!</v>
      </c>
      <c r="OE152" s="170">
        <f ca="1">Control!$C$73*$I152</f>
        <v>0</v>
      </c>
      <c r="OF152" s="176" t="e">
        <f t="shared" ca="1" si="575"/>
        <v>#DIV/0!</v>
      </c>
      <c r="OG152" s="168" t="e">
        <f t="shared" ca="1" si="576"/>
        <v>#DIV/0!</v>
      </c>
      <c r="OH152" s="168" t="e">
        <f t="shared" ca="1" si="577"/>
        <v>#DIV/0!</v>
      </c>
      <c r="OI152" s="168" t="e">
        <f t="shared" ca="1" si="578"/>
        <v>#DIV/0!</v>
      </c>
      <c r="OJ152" s="168" t="e">
        <f t="shared" ca="1" si="579"/>
        <v>#DIV/0!</v>
      </c>
      <c r="OK152" s="204" t="e">
        <f t="shared" ca="1" si="580"/>
        <v>#DIV/0!</v>
      </c>
      <c r="OL152" s="177">
        <f>Control!$C$127</f>
        <v>0.15</v>
      </c>
      <c r="OM152" s="182" t="e">
        <f t="shared" ca="1" si="581"/>
        <v>#N/A</v>
      </c>
      <c r="ON152" s="177">
        <f>Control!$C$128</f>
        <v>0.35</v>
      </c>
      <c r="OO152" s="182" t="e">
        <f t="shared" ca="1" si="582"/>
        <v>#N/A</v>
      </c>
      <c r="OP152" s="138">
        <f t="shared" ca="1" si="664"/>
        <v>0</v>
      </c>
      <c r="OQ152" s="138" t="e">
        <f t="shared" ca="1" si="687"/>
        <v>#DIV/0!</v>
      </c>
      <c r="OR152" s="138" t="e">
        <f t="shared" ca="1" si="665"/>
        <v>#DIV/0!</v>
      </c>
      <c r="OS152" s="137" t="e">
        <f t="shared" ca="1" si="688"/>
        <v>#DIV/0!</v>
      </c>
      <c r="OT152" s="139" t="e">
        <f t="shared" ca="1" si="689"/>
        <v>#DIV/0!</v>
      </c>
      <c r="OU152" s="138" t="e">
        <f t="shared" ca="1" si="690"/>
        <v>#N/A</v>
      </c>
      <c r="OV152" s="138" t="e">
        <f t="shared" ca="1" si="691"/>
        <v>#DIV/0!</v>
      </c>
      <c r="OW152" s="138" t="e">
        <f t="shared" ca="1" si="666"/>
        <v>#DIV/0!</v>
      </c>
      <c r="OX152" s="138" t="e">
        <f t="shared" ca="1" si="667"/>
        <v>#DIV/0!</v>
      </c>
      <c r="OY152" s="138" t="e">
        <f t="shared" ca="1" si="668"/>
        <v>#DIV/0!</v>
      </c>
      <c r="OZ152" s="138" t="e">
        <f t="shared" ca="1" si="583"/>
        <v>#DIV/0!</v>
      </c>
      <c r="PA152" s="138" t="e">
        <f t="shared" ca="1" si="584"/>
        <v>#DIV/0!</v>
      </c>
      <c r="PB152" s="55">
        <f>IF(Control!$C$61="T", IF(Control!$C$65="F", IF($AH$6-Control!$C$60&lt;0,0,1), IF(365+$AH$6-Control!$C$60&lt;0,0,1)),0)</f>
        <v>0</v>
      </c>
      <c r="PC152" s="55">
        <f ca="1">IF(Control!$C$65="F", IF($AH$6-$HF152&lt;0,0,1), IF(365+$AH$6-$HF152&lt;0,0,1))</f>
        <v>1</v>
      </c>
      <c r="PD152" s="444">
        <f>Control!$C$118</f>
        <v>1500</v>
      </c>
      <c r="PE152" s="180" t="e">
        <f t="shared" ca="1" si="585"/>
        <v>#N/A</v>
      </c>
      <c r="PF152" s="445">
        <f t="shared" ca="1" si="669"/>
        <v>0.71612369323045078</v>
      </c>
      <c r="PT152" s="186"/>
      <c r="PU152" s="186"/>
      <c r="PV152" s="94"/>
      <c r="PW152" s="94"/>
      <c r="PX152" s="94"/>
      <c r="PY152" s="94"/>
      <c r="PZ152" s="94"/>
      <c r="QA152" s="94"/>
      <c r="QB152" s="94"/>
      <c r="QC152" s="94"/>
      <c r="QD152" s="94"/>
      <c r="QE152" s="94"/>
      <c r="QF152" s="94"/>
      <c r="QG152" s="94"/>
      <c r="QH152" s="94"/>
      <c r="QI152" s="94"/>
      <c r="QJ152" s="94"/>
      <c r="QK152" s="94"/>
      <c r="QL152" s="94"/>
      <c r="QM152" s="94"/>
      <c r="QN152" s="94"/>
      <c r="QO152" s="94"/>
      <c r="QP152" s="94"/>
    </row>
    <row r="153" spans="1:458" s="2" customFormat="1" x14ac:dyDescent="0.2">
      <c r="A153" s="395">
        <v>28</v>
      </c>
      <c r="B153" s="396">
        <v>5</v>
      </c>
      <c r="C153" s="387">
        <f ca="1">Weather_data!$B152</f>
        <v>0</v>
      </c>
      <c r="D153" s="388">
        <f ca="1">Weather_data!$F152</f>
        <v>0</v>
      </c>
      <c r="E153" s="388">
        <f ca="1">Weather_data!$E152</f>
        <v>0</v>
      </c>
      <c r="F153" s="388">
        <f t="shared" ca="1" si="586"/>
        <v>0</v>
      </c>
      <c r="G153" s="388">
        <f ca="1">AVERAGE($D153:$E153)+Control!$B$9</f>
        <v>0</v>
      </c>
      <c r="H153" s="388">
        <f ca="1">Weather_data!$G152</f>
        <v>0</v>
      </c>
      <c r="I153" s="388">
        <f ca="1">Weather_data!$I152</f>
        <v>0</v>
      </c>
      <c r="J153" s="388">
        <f ca="1">Weather_data!$H152</f>
        <v>0</v>
      </c>
      <c r="K153" s="389">
        <f ca="1">Weather_data!$D152</f>
        <v>0</v>
      </c>
      <c r="L153" s="388" t="e">
        <f t="shared" ca="1" si="587"/>
        <v>#N/A</v>
      </c>
      <c r="M153" s="388" t="e">
        <f t="shared" ca="1" si="465"/>
        <v>#N/A</v>
      </c>
      <c r="N153" s="388">
        <f t="shared" ca="1" si="466"/>
        <v>-9.3889903332365082E-8</v>
      </c>
      <c r="O153" s="388">
        <f t="shared" ca="1" si="588"/>
        <v>9.3889903332365087E-7</v>
      </c>
      <c r="P153" s="390">
        <v>3</v>
      </c>
      <c r="Q153" s="388">
        <f ca="1">MAX($G153-Control!$C$107,0)</f>
        <v>0</v>
      </c>
      <c r="R153" s="388">
        <f t="shared" ca="1" si="589"/>
        <v>0</v>
      </c>
      <c r="S153" s="388">
        <f t="shared" ca="1" si="467"/>
        <v>0</v>
      </c>
      <c r="T153" s="388">
        <f t="shared" ca="1" si="468"/>
        <v>0</v>
      </c>
      <c r="U153" s="59">
        <f t="shared" ca="1" si="469"/>
        <v>0</v>
      </c>
      <c r="V153" s="391">
        <f ca="1">MAX(0,MIN(Control!$C$100-Control!$C$99,$G153-Control!$C$99)*Control!$C$63)</f>
        <v>0</v>
      </c>
      <c r="W153" s="388">
        <f t="shared" ca="1" si="590"/>
        <v>0</v>
      </c>
      <c r="X153" s="388">
        <f t="shared" ca="1" si="591"/>
        <v>0.6110000000000001</v>
      </c>
      <c r="Y153" s="388">
        <f t="shared" ca="1" si="470"/>
        <v>0</v>
      </c>
      <c r="Z153" s="388">
        <f t="shared" ca="1" si="592"/>
        <v>0.61058800000000002</v>
      </c>
      <c r="AA153" s="388">
        <f t="shared" ca="1" si="471"/>
        <v>0.6018</v>
      </c>
      <c r="AB153" s="388">
        <f ca="1">101.3*EXP(-0.034*Control!$C$66/($G153+273))</f>
        <v>100.69623283836242</v>
      </c>
      <c r="AC153" s="392">
        <f t="shared" ca="1" si="472"/>
        <v>4.3460251046025113E-2</v>
      </c>
      <c r="AD153" s="392">
        <f t="shared" ca="1" si="473"/>
        <v>4.4450382862832649E-2</v>
      </c>
      <c r="AE153" s="388">
        <f t="shared" ca="1" si="474"/>
        <v>0</v>
      </c>
      <c r="AF153" s="388">
        <f ca="1">MAX(0,$G153-Control!$C$92)</f>
        <v>0</v>
      </c>
      <c r="AG153" s="393">
        <f t="shared" ca="1" si="475"/>
        <v>149</v>
      </c>
      <c r="AH153" s="389">
        <f t="shared" ca="1" si="476"/>
        <v>149</v>
      </c>
      <c r="AI153" s="388">
        <f t="shared" ca="1" si="593"/>
        <v>0.3745248994413462</v>
      </c>
      <c r="AJ153" s="388">
        <f ca="1">IF(Control!$C$60&lt;=0,$HH153,$HI153)</f>
        <v>1</v>
      </c>
      <c r="AK153" s="388">
        <f t="shared" ca="1" si="477"/>
        <v>1.1877802361517573</v>
      </c>
      <c r="AL153" s="388">
        <f t="shared" ca="1" si="478"/>
        <v>-9.0174916145269166E-19</v>
      </c>
      <c r="AM153" s="388">
        <f t="shared" ca="1" si="479"/>
        <v>1.1877802361517573</v>
      </c>
      <c r="AN153" s="388">
        <f t="shared" ca="1" si="480"/>
        <v>0.37790712740360816</v>
      </c>
      <c r="AO153" s="388">
        <f ca="1">-0.10453/COS(Control!$B$8*PI()/180)*COS(AN153)</f>
        <v>-0.15780465582833522</v>
      </c>
      <c r="AP153" s="388">
        <f ca="1">ACOS(AO153-TAN(Control!$B$8*PI()/180)*TAN(AN153))</f>
        <v>2.2995308740147204</v>
      </c>
      <c r="AQ153" s="388">
        <f t="shared" ca="1" si="594"/>
        <v>0</v>
      </c>
      <c r="AR153" s="394">
        <f t="shared" ca="1" si="481"/>
        <v>0</v>
      </c>
      <c r="AS153" s="436">
        <f ca="1">IF(Control!$B$18=2,(IF(OR($AH153=Control!$B$175,$AH153=Control!$B$176,$AH153=Control!$B$177,$AH153=Control!$B$178,$AH153=Control!$B$179,$AH153=Control!$B$180,$AH153=Control!$B$181,$AH153=Control!$B$182,$AH153=Control!$B$183,$AH153=Control!$B$184,$AH153=Control!$B$185),1,0)),0)</f>
        <v>0</v>
      </c>
      <c r="AT153" s="436">
        <f>IF(Control!$B$20=8,IF(AND($AH153&gt;=Control!$B$172,$AH153&lt;=Control!$B$173),1,0),0)</f>
        <v>0</v>
      </c>
      <c r="AU153" s="436">
        <f>IF(Control!$B$20=8,IF($AV152=1,1*$AT153,IF($AT153=1,$AU152+1,$AU152)),0)</f>
        <v>0</v>
      </c>
      <c r="AV153" s="436">
        <f>IF(Control!$B$20=8,IF($AU153&gt;=Control!$B$174,1,0),0)</f>
        <v>0</v>
      </c>
      <c r="AW153" s="436">
        <f ca="1">IF(AND(Control!$B$18=2,Control!$B$171=1), $AV153, $AS153)</f>
        <v>0</v>
      </c>
      <c r="AX153" s="436" t="e">
        <f ca="1">IF(AND(Control!$B$18=1,$EU153&gt;=Control!$B$19),-$AY153,IF(AND(Control!$B$18=2,$AW153=1,$EU153&gt;$DS153),-$AY153, IF(Control!$C$108=0,0, IF(Control!$C$108&lt;&gt;0,1))))</f>
        <v>#N/A</v>
      </c>
      <c r="AY153" s="436" t="e">
        <f t="shared" ca="1" si="595"/>
        <v>#N/A</v>
      </c>
      <c r="AZ153" s="436" t="e">
        <f ca="1">IF(AND(Control!$B$18=1,$EB153&gt;Control!$B$19),$AZ152+1, IF(AND(Control!$B$18=2, $AW153=1, $EB153&gt;$DS153), $AZ152+1,$AZ152))</f>
        <v>#N/A</v>
      </c>
      <c r="BA153" s="587">
        <f>IF(Control!$C$81=0,1,IF($AH153&gt;=Control!$C$82,1,0))</f>
        <v>1</v>
      </c>
      <c r="BB153" s="140" t="e">
        <f ca="1">IF($BA153&gt;$BA152,Control!$C$83,IF($AW153&gt;0,$AW153*Control!$C$84,IF(AND(Control!$B$18=1,EN152&lt;&gt;0),Control!$C$84,0)))</f>
        <v>#N/A</v>
      </c>
      <c r="BC153" s="140" t="e">
        <f t="shared" ca="1" si="596"/>
        <v>#N/A</v>
      </c>
      <c r="BD153" s="140" t="e">
        <f ca="1">BC153*IF(OR($G153&lt;Control!$C$92,$G153&gt;Control!$C$95),0,IF(AND($G153&gt;=Control!$C$92,$G153&lt;=Control!$C$93),$G153-Control!$C$92,IF(AND($G153&gt;Control!$C$93,$G153&lt;=Control!$C$94),Control!$C$93-Control!$C$92,IF(AND($G153&gt;Control!$C$94,$G153&lt;=Control!$C$95),(Control!$C$93-Control!$C$92)*(Control!$C$94-$G153)/(Control!$C$95-Control!$C$94)))))</f>
        <v>#N/A</v>
      </c>
      <c r="BE153" s="140" t="e">
        <f t="shared" ca="1" si="597"/>
        <v>#N/A</v>
      </c>
      <c r="BF153" s="140" t="e">
        <f ca="1">IF($BE153&lt;=Control!$C$86,$BE153,Control!$C$86-$BE153)</f>
        <v>#N/A</v>
      </c>
      <c r="BG153" s="140" t="e">
        <f ca="1">IF(AND($AW153=1,Control!$C$84&lt;9),1,IF($BE153&gt;=Control!$C$86,0,$BC153))</f>
        <v>#N/A</v>
      </c>
      <c r="BH153" s="404" t="e">
        <f ca="1">IF($BG153=0,0,IF($BE153&lt;=Control!$C$86,$BC153*9*($BF153/Control!$C$86),0))</f>
        <v>#N/A</v>
      </c>
      <c r="BI153" s="140" t="e">
        <f ca="1">IF($BG153=1,0,IF($BE153&gt;=Control!$C$86,1,IF(AND($BB153&lt;21,$BB153&gt;=9),1,$BM152)))</f>
        <v>#N/A</v>
      </c>
      <c r="BJ153" s="140" t="e">
        <f ca="1">IF($BF153&lt;0,-$BF153,$BI153*IF(OR($G153&lt;Control!$C$92,$G153&gt;Control!$C$95),0,IF(AND($G153&gt;=Control!$C$92,$G153&lt;=Control!$C$93),$G153-Control!$C$92,IF(AND($G153&gt;Control!$C$93,$G153&lt;=Control!$C$94),Control!$C$93-Control!$C$92,IF(AND($G153&gt;Control!$C$94,$G153&lt;=Control!$C$95),(Control!$C$93-Control!$C$92)*(Control!$C$94-$G153)/(Control!$C$95-Control!$C$94))))))</f>
        <v>#N/A</v>
      </c>
      <c r="BK153" s="140" t="e">
        <f t="shared" ca="1" si="598"/>
        <v>#N/A</v>
      </c>
      <c r="BL153" s="140" t="e">
        <f ca="1">IF($BK153&lt;=Control!$C$87,$BK153,Control!$C$87-$BK153)</f>
        <v>#N/A</v>
      </c>
      <c r="BM153" s="140" t="e">
        <f ca="1">IF(AND($BB153&gt;=9,$BB153&lt;21),1,IF($BK153&gt;=Control!$C$87,0,$BI153))</f>
        <v>#N/A</v>
      </c>
      <c r="BN153" s="404" t="e">
        <f ca="1">IF($BM153=0,0,IF($BK153&lt;=Control!$C$87,$BI153*(9+(21-9)*($BL153/Control!$C$87)),0))</f>
        <v>#N/A</v>
      </c>
      <c r="BO153" s="140" t="e">
        <f ca="1">IF($BM153=1,0,IF($BK153&gt;=Control!$C$87,1,IF(AND($BB153&lt;30,$BB153&gt;=21),1,$BS152)))</f>
        <v>#N/A</v>
      </c>
      <c r="BP153" s="140" t="e">
        <f ca="1">IF($BL153&lt;0,-$BL153,$BO153*IF(OR($G153&lt;Control!$C$92,$G153&gt;Control!$C$95),0,IF(AND($G153&gt;=Control!$C$92,$G153&lt;=Control!$C$93),$G153-Control!$C$92,IF(AND($G153&gt;Control!$C$93,$G153&lt;=Control!$C$94),Control!$C$93-Control!$C$92,IF(AND($G153&gt;Control!$C$94,$G153&lt;=Control!$C$95),(Control!$C$93-Control!$C$92)*(Control!$C$94-$G153)/(Control!$C$95-Control!$C$94))))))</f>
        <v>#N/A</v>
      </c>
      <c r="BQ153" s="140" t="e">
        <f t="shared" ca="1" si="482"/>
        <v>#N/A</v>
      </c>
      <c r="BR153" s="140" t="e">
        <f ca="1">IF($BQ153&lt;=Control!$C$88,$BQ153,Control!$C$88-$BQ153)</f>
        <v>#N/A</v>
      </c>
      <c r="BS153" s="140" t="e">
        <f ca="1">IF(AND($BB153&gt;=21,$BB153&lt;30),1,IF($BQ153&gt;=Control!$C$88,0,$BO153))</f>
        <v>#N/A</v>
      </c>
      <c r="BT153" s="404" t="e">
        <f ca="1">IF($BS153=0,0,IF($BQ153&lt;=Control!$C$88,$BO153*(21+(30-21)*(BR153/Control!$C$88)),0))</f>
        <v>#N/A</v>
      </c>
      <c r="BU153" s="140" t="e">
        <f ca="1">IF(BG153+BM153+BS153=1,0,IF(OR(AND($BB153&lt;60,$BB153&gt;=30),$BQ153&gt;=Control!$C$88),1*$BA153,$BY152))</f>
        <v>#N/A</v>
      </c>
      <c r="BV153" s="140" t="e">
        <f ca="1">IF($BR153&lt;0,-$BR153,$BU153*IF(OR($G153&lt;Control!$C$92,$G153&gt;Control!$C$95),0,IF(AND($G153&gt;=Control!$C$92,$G153&lt;=Control!$C$93),$G153-Control!$C$92,IF(AND($G153&gt;Control!$C$93,$G153&lt;=Control!$C$94),Control!$C$93-Control!$C$92,IF(AND($G153&gt;Control!$C$94,$G153&lt;=Control!$C$95),(Control!$C$93-Control!$C$92)*(Control!$C$94-$G153)/(Control!$C$95-Control!$C$94))))))</f>
        <v>#N/A</v>
      </c>
      <c r="BW153" s="140" t="e">
        <f t="shared" ca="1" si="483"/>
        <v>#N/A</v>
      </c>
      <c r="BX153" s="140" t="e">
        <f ca="1">IF($BW153&lt;=Control!$C$89,$BW153,Control!$C$89-$BW153)</f>
        <v>#N/A</v>
      </c>
      <c r="BY153" s="140" t="e">
        <f ca="1">IF(AND($AJ153&gt;=30,$AJ153&lt;60),1,IF($BW153&gt;=Control!$C$89,0,$BU153))</f>
        <v>#N/A</v>
      </c>
      <c r="BZ153" s="404" t="e">
        <f ca="1">IF($BY153=0,0,IF($BW153&lt;=Control!$C$89,$BU153*(30+(60-30)*(BX153/Control!$C$89)),0))</f>
        <v>#N/A</v>
      </c>
      <c r="CA153" s="140" t="e">
        <f ca="1">IF($BG153+$BM153+$BS153+$BY153=1,0,IF(OR(AND($BB153&lt;65,$BB153&gt;=60),$BW153&gt;=Control!$C$89),1*$BA153,$CE152))</f>
        <v>#N/A</v>
      </c>
      <c r="CB153" s="140" t="e">
        <f ca="1">IF($BX153&lt;0,-$BX153,$CA153*IF(OR($G153&lt;Control!$C$92,$G153&gt;Control!$C$95),0,IF(AND($G153&gt;=Control!$C$92,$G153&lt;=Control!$C$93),$G153-Control!$C$92,IF(AND($G153&gt;Control!$C$93,$G153&lt;=Control!$C$94),Control!$C$93-Control!$C$92,IF(AND($G153&gt;Control!$C$94,$G153&lt;=Control!$C$95),(Control!$C$93-Control!$C$92)*(Control!$C$94-$G153)/(Control!$C$95-Control!$C$94))))))</f>
        <v>#N/A</v>
      </c>
      <c r="CC153" s="140" t="e">
        <f t="shared" ca="1" si="599"/>
        <v>#N/A</v>
      </c>
      <c r="CD153" s="140" t="e">
        <f ca="1">IF($CC153&lt;=Control!$C$90,$CC153,Control!$C$90-$CC153)</f>
        <v>#N/A</v>
      </c>
      <c r="CE153" s="140" t="e">
        <f ca="1">IF(AND($BB153&gt;=60,$BB153&lt;65),1,IF($CC153&gt;=Control!$C$90,0,$CA153))</f>
        <v>#N/A</v>
      </c>
      <c r="CF153" s="404" t="e">
        <f ca="1">IF($CE153=0,0,IF($CC153&lt;=Control!$C$90,$CA153*(60+(65-60)*(CD153/Control!$C$90)),0))</f>
        <v>#N/A</v>
      </c>
      <c r="CG153" s="140" t="e">
        <f ca="1">IF($BG153+$BM153+$BS153+$BY153+$CE153=1,0,IF(OR(AND($BB153&lt;90,$BB153&gt;=65),$CC153&gt;=Control!$C$90),$BA153,$CK152))</f>
        <v>#N/A</v>
      </c>
      <c r="CH153" s="140" t="e">
        <f ca="1">IF($CD153&lt;0,-$CD153,$CG153*IF(OR($G153&lt;Control!$C$92,$G153&gt;Control!$C$95),0,IF(AND($G153&gt;=Control!$C$92,$G153&lt;=Control!$C$93),$G153-Control!$C$92,IF(AND($G153&gt;Control!$C$93,$G153&lt;=Control!$C$94),Control!$C$93-Control!$C$92,IF(AND($G153&gt;Control!$C$94,$G153&lt;=Control!$C$95),(Control!$C$93-Control!$C$92)*(Control!$C$94-$G153)/(Control!$C$95-Control!$C$94))))))</f>
        <v>#N/A</v>
      </c>
      <c r="CI153" s="140" t="e">
        <f t="shared" ca="1" si="600"/>
        <v>#N/A</v>
      </c>
      <c r="CJ153" s="140" t="e">
        <f ca="1">IF($CI153&lt;=Control!$C$91,$CI153,Control!$C$91-$CI153)</f>
        <v>#N/A</v>
      </c>
      <c r="CK153" s="140" t="e">
        <f ca="1">IF(AND($BB153&gt;=65,$BB153&lt;90),1,IF($CI153&gt;=Control!$C$91,0,$CG153))</f>
        <v>#N/A</v>
      </c>
      <c r="CL153" s="404" t="e">
        <f ca="1">IF($CK153=0,0,IF($CI153&lt;=Control!$C$91,$CG153*(65+(90-65)*($CJ153/Control!$C$91)),0))</f>
        <v>#N/A</v>
      </c>
      <c r="CM153" s="140" t="e">
        <f ca="1">IF($BG153+$BM153+$BS153+$BY153+$CE153+$CK153=1,0,IF(OR($BB153&gt;=90,$CI153&gt;=Control!$C$91),$BA153,$CM152))</f>
        <v>#N/A</v>
      </c>
      <c r="CN153" s="140" t="e">
        <f t="shared" ca="1" si="601"/>
        <v>#N/A</v>
      </c>
      <c r="CO153" s="140" t="e">
        <f t="shared" ca="1" si="602"/>
        <v>#N/A</v>
      </c>
      <c r="CP153" s="140" t="e">
        <f t="shared" ca="1" si="603"/>
        <v>#N/A</v>
      </c>
      <c r="CQ153" s="141" t="e">
        <f ca="1">VLOOKUP($CP153,Control!$B$86:$G$91,6)</f>
        <v>#N/A</v>
      </c>
      <c r="CR153" s="141" t="e">
        <f ca="1">(1-$CQ153)*VLOOKUP($CP153,Control!$B$86:$D$91,3)</f>
        <v>#N/A</v>
      </c>
      <c r="CS153" s="141" t="e">
        <f ca="1">(1-$CQ153)*VLOOKUP($CP153,Control!$B$86:$E$91,4)</f>
        <v>#N/A</v>
      </c>
      <c r="CT153" s="141" t="e">
        <f ca="1">(1-$CQ153)*VLOOKUP($CP153,Control!$B$86:$F$91,5)</f>
        <v>#N/A</v>
      </c>
      <c r="CU153" s="141">
        <f t="shared" ca="1" si="604"/>
        <v>0</v>
      </c>
      <c r="CV153" s="583">
        <f t="shared" ca="1" si="605"/>
        <v>0</v>
      </c>
      <c r="CW153" s="142">
        <f t="shared" ca="1" si="606"/>
        <v>149</v>
      </c>
      <c r="CX153" s="612" t="e">
        <f ca="1">IF(Control!$C$114=1,(MIN(Control!$C$120*(IF($NT153-0.01&lt;0,0,1)),Control!$C$119-$CY153)))</f>
        <v>#DIV/0!</v>
      </c>
      <c r="CY153" s="143" t="e">
        <f t="shared" ca="1" si="607"/>
        <v>#N/A</v>
      </c>
      <c r="CZ153" s="144">
        <f t="shared" ca="1" si="484"/>
        <v>0</v>
      </c>
      <c r="DA153" s="144">
        <f t="shared" ca="1" si="485"/>
        <v>0</v>
      </c>
      <c r="DB153" s="144" t="e">
        <f t="shared" ca="1" si="486"/>
        <v>#N/A</v>
      </c>
      <c r="DC153" s="144" t="e">
        <f t="shared" ca="1" si="487"/>
        <v>#N/A</v>
      </c>
      <c r="DD153" s="144" t="e">
        <f t="shared" ca="1" si="692"/>
        <v>#N/A</v>
      </c>
      <c r="DE153" s="143" t="e">
        <f t="shared" ca="1" si="608"/>
        <v>#N/A</v>
      </c>
      <c r="DF153" s="145" t="e">
        <f ca="1">$DR153*EXP(-Control!$C$158*(1-$KH153))</f>
        <v>#N/A</v>
      </c>
      <c r="DG153" s="146" t="e">
        <f ca="1">IF(Control!$C$114=1, $DF153*$EY153, 0)</f>
        <v>#N/A</v>
      </c>
      <c r="DH153" s="147" t="e">
        <f t="shared" ca="1" si="609"/>
        <v>#N/A</v>
      </c>
      <c r="DI153" s="144" t="e">
        <f t="shared" ca="1" si="670"/>
        <v>#N/A</v>
      </c>
      <c r="DJ153" s="147" t="e">
        <f ca="1">$EF153*Control!$C$109</f>
        <v>#N/A</v>
      </c>
      <c r="DK153" s="144" t="e">
        <f t="shared" ca="1" si="610"/>
        <v>#N/A</v>
      </c>
      <c r="DL153" s="144" t="e">
        <f t="shared" ca="1" si="488"/>
        <v>#N/A</v>
      </c>
      <c r="DM153" s="144" t="e">
        <f ca="1">IF(Control!$C$114=1, (1-EXP(-Control!$C$96*$DK153))*$AR153, 0)</f>
        <v>#N/A</v>
      </c>
      <c r="DN153" s="144">
        <f t="shared" ca="1" si="611"/>
        <v>0</v>
      </c>
      <c r="DO153" s="148">
        <f>Control!$C$97</f>
        <v>4</v>
      </c>
      <c r="DP153" s="145" t="e">
        <f t="shared" ca="1" si="612"/>
        <v>#N/A</v>
      </c>
      <c r="DQ153" s="145" t="e">
        <f ca="1">IF(AND($CP153&gt;=0,$CP153&lt;=90),Control!$C$111,Control!$C$111)</f>
        <v>#N/A</v>
      </c>
      <c r="DR153" s="145" t="e">
        <f t="shared" ca="1" si="489"/>
        <v>#N/A</v>
      </c>
      <c r="DS153" s="143" t="e">
        <f ca="1">Control!$B$22/$DR153</f>
        <v>#N/A</v>
      </c>
      <c r="DT153" s="149" t="e">
        <f ca="1">IF(AND(Control!$C$114=1,$KH153&lt;1),$IM153*$DF153, 0)</f>
        <v>#N/A</v>
      </c>
      <c r="DU153" s="144" t="e">
        <f t="shared" ca="1" si="613"/>
        <v>#N/A</v>
      </c>
      <c r="DV153" s="144">
        <f ca="1">IF($G153-Control!$C$107&lt;=0, 0, 0.83*LN(MAX($G153, 3))-0.8924)</f>
        <v>0</v>
      </c>
      <c r="DW153" s="144" t="e">
        <f t="shared" ca="1" si="490"/>
        <v>#N/A</v>
      </c>
      <c r="DX153" s="150" t="e">
        <f ca="1">MAX(0.01*(1+$CU153/Control!$C$102),0.05*($DK153-Control!$C$97)/Control!$C$97)</f>
        <v>#N/A</v>
      </c>
      <c r="DY153" s="151" t="e">
        <f ca="1">IF(Control!$C$114=1, $DI153*$FS153, 0)</f>
        <v>#N/A</v>
      </c>
      <c r="DZ153" s="196" t="e">
        <f t="shared" ca="1" si="614"/>
        <v>#N/A</v>
      </c>
      <c r="EA153" s="152">
        <f t="shared" ca="1" si="615"/>
        <v>149</v>
      </c>
      <c r="EB153" s="153" t="e">
        <f t="shared" ca="1" si="616"/>
        <v>#N/A</v>
      </c>
      <c r="EC153" s="153" t="e">
        <f t="shared" ca="1" si="617"/>
        <v>#N/A</v>
      </c>
      <c r="ED153" s="154" t="e">
        <f ca="1">IF(Control!$C$114=1, $HM153*$FY153-$FD153, 0)</f>
        <v>#DIV/0!</v>
      </c>
      <c r="EE153" s="155" t="e">
        <f ca="1">IF(Control!$C$114=1, $HM153*$FZ153-$FF153, 0)</f>
        <v>#DIV/0!</v>
      </c>
      <c r="EF153" s="153" t="e">
        <f t="shared" ca="1" si="671"/>
        <v>#N/A</v>
      </c>
      <c r="EG153" s="155" t="e">
        <f ca="1">IF(Control!$C$114=1, $GX153*$FW153-$FI153, 0)</f>
        <v>#DIV/0!</v>
      </c>
      <c r="EH153" s="153" t="e">
        <f t="shared" ca="1" si="618"/>
        <v>#N/A</v>
      </c>
      <c r="EI153" s="156" t="e">
        <f t="shared" ca="1" si="619"/>
        <v>#N/A</v>
      </c>
      <c r="EJ153" s="155" t="e">
        <f ca="1">IF(Control!$C$114=1, $HM153*$GB153, 0)</f>
        <v>#DIV/0!</v>
      </c>
      <c r="EK153" s="153" t="e">
        <f t="shared" ca="1" si="672"/>
        <v>#N/A</v>
      </c>
      <c r="EL153" s="153" t="e">
        <f t="shared" ca="1" si="491"/>
        <v>#N/A</v>
      </c>
      <c r="EM153" s="153" t="e">
        <f t="shared" ca="1" si="492"/>
        <v>#N/A</v>
      </c>
      <c r="EN153" s="153" t="e">
        <f ca="1">IF(Control!$C$108=1,IF(AND(Control!$B$18=1,$EB153&gt;=Control!$B$19),$EB153-$DS153,IF(AND(Control!$B$18=2,$AW153=1,$EB153&gt;$DS153),$EB153-$DS153,0)))</f>
        <v>#N/A</v>
      </c>
      <c r="EO153" s="153" t="e">
        <f ca="1">IF(Control!$C$108=1,IF(AND(Control!$B$18=1,$EB153&gt;=Control!$B$19),$EF153,IF(AND(Control!$B$18=2,$AW153=1),$EF153,0)))</f>
        <v>#N/A</v>
      </c>
      <c r="EP153" s="153" t="e">
        <f ca="1">IF(Control!$C$108=1,IF(AND(Control!$B$18=1,$EB153&gt;=Control!$B$19),$EK153,IF(AND(Control!$B$18=2,$AW153=1),$EK153,0)))</f>
        <v>#N/A</v>
      </c>
      <c r="EQ153" s="153" t="e">
        <f t="shared" ca="1" si="620"/>
        <v>#N/A</v>
      </c>
      <c r="ER153" s="153" t="e">
        <f t="shared" ca="1" si="621"/>
        <v>#N/A</v>
      </c>
      <c r="ES153" s="153" t="e">
        <f t="shared" ca="1" si="673"/>
        <v>#N/A</v>
      </c>
      <c r="ET153" s="153" t="e">
        <f t="shared" ca="1" si="674"/>
        <v>#N/A</v>
      </c>
      <c r="EU153" s="153" t="e">
        <f t="shared" ca="1" si="622"/>
        <v>#N/A</v>
      </c>
      <c r="EV153" s="153" t="e">
        <f t="shared" ca="1" si="493"/>
        <v>#N/A</v>
      </c>
      <c r="EW153" s="153" t="e">
        <f t="shared" ca="1" si="494"/>
        <v>#N/A</v>
      </c>
      <c r="EX153" s="153" t="e">
        <f t="shared" ca="1" si="495"/>
        <v>#N/A</v>
      </c>
      <c r="EY153" s="157" t="e">
        <f t="shared" ca="1" si="496"/>
        <v>#DIV/0!</v>
      </c>
      <c r="EZ153" s="154" t="e">
        <f t="shared" ca="1" si="497"/>
        <v>#DIV/0!</v>
      </c>
      <c r="FA153" s="153" t="e">
        <f t="shared" ca="1" si="623"/>
        <v>#N/A</v>
      </c>
      <c r="FB153" s="153" t="e">
        <f t="shared" ca="1" si="498"/>
        <v>#N/A</v>
      </c>
      <c r="FC153" s="193" t="e">
        <f t="shared" ca="1" si="499"/>
        <v>#N/A</v>
      </c>
      <c r="FD153" s="158" t="e">
        <f t="shared" ca="1" si="624"/>
        <v>#N/A</v>
      </c>
      <c r="FE153" s="158" t="e">
        <f t="shared" ca="1" si="625"/>
        <v>#N/A</v>
      </c>
      <c r="FF153" s="159" t="e">
        <f t="shared" ca="1" si="500"/>
        <v>#N/A</v>
      </c>
      <c r="FG153" s="160" t="e">
        <f t="shared" ca="1" si="626"/>
        <v>#N/A</v>
      </c>
      <c r="FH153" s="158" t="e">
        <f t="shared" ca="1" si="627"/>
        <v>#N/A</v>
      </c>
      <c r="FI153" s="159" t="e">
        <f t="shared" ca="1" si="501"/>
        <v>#N/A</v>
      </c>
      <c r="FJ153" s="160" t="e">
        <f t="shared" ca="1" si="628"/>
        <v>#N/A</v>
      </c>
      <c r="FK153" s="160" t="e">
        <f t="shared" ca="1" si="502"/>
        <v>#N/A</v>
      </c>
      <c r="FL153" s="160" t="e">
        <f t="shared" ca="1" si="675"/>
        <v>#N/A</v>
      </c>
      <c r="FM153" s="160" t="e">
        <f t="shared" ca="1" si="503"/>
        <v>#N/A</v>
      </c>
      <c r="FN153" s="158">
        <f t="shared" ca="1" si="629"/>
        <v>0.01</v>
      </c>
      <c r="FO153" s="160">
        <f>Control!$C$101</f>
        <v>50</v>
      </c>
      <c r="FP153" s="150" t="e">
        <f t="shared" ca="1" si="504"/>
        <v>#N/A</v>
      </c>
      <c r="FQ153" s="150" t="e">
        <f ca="1">MAX(0,(Control!$C$112*(($DK153-Control!$C$97)/Control!$C$97)))</f>
        <v>#N/A</v>
      </c>
      <c r="FR153" s="150" t="e">
        <f ca="1">(1-$NT153)*Control!$C$113</f>
        <v>#DIV/0!</v>
      </c>
      <c r="FS153" s="198" t="e">
        <f t="shared" ca="1" si="505"/>
        <v>#N/A</v>
      </c>
      <c r="FT153" s="161">
        <f t="shared" ca="1" si="630"/>
        <v>149</v>
      </c>
      <c r="FU153" s="162" t="e">
        <f ca="1">IF(Control!$B$34=1,VLOOKUP($CP153,Control!$B$86:$G$91,6),Control!$B$35)</f>
        <v>#N/A</v>
      </c>
      <c r="FV153" s="162" t="e">
        <f t="shared" ca="1" si="506"/>
        <v>#DIV/0!</v>
      </c>
      <c r="FW153" s="162" t="e">
        <f ca="1">IF(Control!$B$31=1,$FU153*$FV153,  $FU153)</f>
        <v>#N/A</v>
      </c>
      <c r="FX153" s="162" t="e">
        <f ca="1">IF(Control!$B$34=1,VLOOKUP($CP153,Control!$B$86:$G$91,3),Control!$B$36)</f>
        <v>#N/A</v>
      </c>
      <c r="FY153" s="162" t="e">
        <f t="shared" ca="1" si="507"/>
        <v>#N/A</v>
      </c>
      <c r="FZ153" s="162" t="e">
        <f ca="1">IF(Control!$B$34=1,VLOOKUP($CP153,Control!$B$86:$G$91,4),Control!$B$37)</f>
        <v>#N/A</v>
      </c>
      <c r="GA153" s="162" t="e">
        <f t="shared" ca="1" si="508"/>
        <v>#N/A</v>
      </c>
      <c r="GB153" s="162" t="e">
        <f ca="1">IF(Control!$B$34=1,VLOOKUP($CP153,Control!$B$86:$G$91,5),Control!$B$38)</f>
        <v>#N/A</v>
      </c>
      <c r="GC153" s="162" t="e">
        <f t="shared" ca="1" si="631"/>
        <v>#N/A</v>
      </c>
      <c r="GD153" s="162">
        <f t="shared" ca="1" si="509"/>
        <v>1</v>
      </c>
      <c r="GE153" s="162">
        <f t="shared" ca="1" si="510"/>
        <v>1</v>
      </c>
      <c r="GF153" s="162">
        <f ca="1">IF(AND(Control!$C$104=1, Control!$C$62="F"),$GE153,1)</f>
        <v>1</v>
      </c>
      <c r="GG153" s="162" t="e">
        <f ca="1">IF(Control!$B$16=40,0,IF(AND(Control!$B$16&gt;40,Control!$B$16&lt;=360),(Control!$B$16-40)*((1-0)/(360-40)),IF(AND(Control!$B$16&gt;360,Control!$B$16&lt;=720),(1+(Control!$B$16-360)*((1.25-1)/(720-360))),IF(AND(Control!$B$16&gt;720,Control!$B$16&lt;=1000),(1.25+(Control!$B$16-720)*((1.35-1.25)/(1000-720))),IF(AND(Control!$B$16&gt;1000,Control!$B$16&lt;=2000),(1.35+(Control!$B$16-1000)*0))))))</f>
        <v>#N/A</v>
      </c>
      <c r="GH153" s="162" t="e">
        <f t="shared" ca="1" si="511"/>
        <v>#N/A</v>
      </c>
      <c r="GI153" s="162">
        <f t="shared" ca="1" si="632"/>
        <v>0</v>
      </c>
      <c r="GJ153" s="162">
        <f t="shared" ca="1" si="512"/>
        <v>0</v>
      </c>
      <c r="GK153" s="162">
        <f t="shared" ca="1" si="633"/>
        <v>1</v>
      </c>
      <c r="GL153" s="162">
        <f t="shared" ca="1" si="513"/>
        <v>1</v>
      </c>
      <c r="GM153" s="162" t="e">
        <f ca="1">MAX(0,MIN(1,1-Control!$C$156*(1.0001-$KH153)^2))</f>
        <v>#N/A</v>
      </c>
      <c r="GN153" s="162" t="e">
        <f ca="1">IF(Control!$B$26=1,$KU153,$KX153)</f>
        <v>#N/A</v>
      </c>
      <c r="GO153" s="162" t="e">
        <f ca="1">IF($CP153&lt;=60,Control!$C$105,IF($CP153&gt;=90,Control!$C$106,Control!$C$105+($CP153-60)*((Control!$C$106-Control!$C$105)/(90-60))))</f>
        <v>#N/A</v>
      </c>
      <c r="GP153" s="162" t="e">
        <f t="shared" ca="1" si="514"/>
        <v>#N/A</v>
      </c>
      <c r="GQ153" s="162" t="e">
        <f t="shared" ca="1" si="634"/>
        <v>#N/A</v>
      </c>
      <c r="GR153" s="163" t="e">
        <f t="shared" ca="1" si="515"/>
        <v>#DIV/0!</v>
      </c>
      <c r="GS153" s="162" t="e">
        <f t="shared" ca="1" si="516"/>
        <v>#DIV/0!</v>
      </c>
      <c r="GT153" s="164" t="e">
        <f t="shared" ca="1" si="635"/>
        <v>#N/A</v>
      </c>
      <c r="GU153" s="162" t="e">
        <f t="shared" ca="1" si="636"/>
        <v>#N/A</v>
      </c>
      <c r="GV153" s="162" t="e">
        <f t="shared" ca="1" si="517"/>
        <v>#N/A</v>
      </c>
      <c r="GW153" s="162" t="e">
        <f t="shared" ca="1" si="518"/>
        <v>#DIV/0!</v>
      </c>
      <c r="GX153" s="162" t="e">
        <f t="shared" ca="1" si="637"/>
        <v>#DIV/0!</v>
      </c>
      <c r="GY153" s="162" t="e">
        <f t="shared" ca="1" si="638"/>
        <v>#DIV/0!</v>
      </c>
      <c r="GZ153" s="165" t="e">
        <f t="shared" ca="1" si="519"/>
        <v>#N/A</v>
      </c>
      <c r="HA153" s="162" t="e">
        <f ca="1">IF(Control!$C$114=1, $DI153*$FS153, 0)</f>
        <v>#N/A</v>
      </c>
      <c r="HB153" s="162" t="e">
        <f ca="1">$FA153/Control!$C$64</f>
        <v>#N/A</v>
      </c>
      <c r="HC153" s="162" t="e">
        <f t="shared" ca="1" si="520"/>
        <v>#DIV/0!</v>
      </c>
      <c r="HD153" s="162">
        <f ca="1">-ASIN(SIN(23.45*Control!$C$139)*COS(2*Control!$C$138*($AH153+10)/365))</f>
        <v>0.3745248994413462</v>
      </c>
      <c r="HE153" s="165">
        <f t="shared" ca="1" si="639"/>
        <v>0</v>
      </c>
      <c r="HF153" s="166">
        <f ca="1">IF(AND(Control!$C$61="T",$HE153&gt;=Control!$C$103,Control!$C$114=0),$AH153,Control!$C$59)</f>
        <v>1</v>
      </c>
      <c r="HG153" s="166">
        <f ca="1">IF(AND(Control!$C$61="T",$HE153&gt;=Control!$C$103,Control!$C$114=0),$HF153,Control!$C$59)</f>
        <v>1</v>
      </c>
      <c r="HH153" s="165">
        <f ca="1">IF(AND(OR(Control!$C$60&lt;=0, $AH153= Control!$C$59, Control!$C$60 &gt;0, $AH153 = Control!$C$60)), Control!$C$59, IF(Control!$C$60&gt;0, 0))</f>
        <v>1</v>
      </c>
      <c r="HI153" s="165">
        <f ca="1">IF(AND(OR(Control!$C$60&lt;=0, $AH153= Control!$C$59, Control!$C$60 &gt;0, $AH153 = Control!$C$60)), Control!$C$60, IF(Control!$C$60&lt;=0, 0))</f>
        <v>0</v>
      </c>
      <c r="HJ153" s="166">
        <f ca="1">IF(AND(Control!$C$62="F",$CV153&gt;=Control!$C$102),$AH153,0)</f>
        <v>0</v>
      </c>
      <c r="HK153" s="165" t="e">
        <f t="shared" ca="1" si="676"/>
        <v>#N/A</v>
      </c>
      <c r="HL153" s="166">
        <f ca="1">IF(AND(Control!$C$61="T",$HE153&gt;=Control!$C$103,Control!$C$114=0),$HF153,0)</f>
        <v>0</v>
      </c>
      <c r="HM153" s="201" t="e">
        <f t="shared" ca="1" si="521"/>
        <v>#DIV/0!</v>
      </c>
      <c r="HN153" s="215">
        <f t="shared" ca="1" si="640"/>
        <v>149</v>
      </c>
      <c r="HO153" s="216" t="e">
        <f ca="1">IF(AND($CP153&gt;=0, $CP153&lt;=90), Control!$C$152, Control!$C$152)</f>
        <v>#N/A</v>
      </c>
      <c r="HP153" s="216" t="e">
        <f t="shared" ca="1" si="522"/>
        <v>#N/A</v>
      </c>
      <c r="HQ153" s="217" t="e">
        <f ca="1">IF(OR(Control!$B$26=1,Control!$B$26=2),$KV153,$KS153)</f>
        <v>#DIV/0!</v>
      </c>
      <c r="HR153" s="218" t="e">
        <f t="shared" ca="1" si="677"/>
        <v>#DIV/0!</v>
      </c>
      <c r="HS153" s="216" t="e">
        <f ca="1">Control!$C$154*$HP153</f>
        <v>#N/A</v>
      </c>
      <c r="HT153" s="216" t="e">
        <f ca="1">Control!$C$155*$HP153</f>
        <v>#N/A</v>
      </c>
      <c r="HU153" s="217" t="e">
        <f ca="1">Control!$C$161*$FI153</f>
        <v>#N/A</v>
      </c>
      <c r="HV153" s="218" t="e">
        <f t="shared" ca="1" si="641"/>
        <v>#N/A</v>
      </c>
      <c r="HW153" s="218" t="e">
        <f ca="1">Control!$C$160*$FF153+$IP153*$EO153</f>
        <v>#N/A</v>
      </c>
      <c r="HX153" s="218" t="e">
        <f t="shared" ca="1" si="678"/>
        <v>#N/A</v>
      </c>
      <c r="HY153" s="219" t="e">
        <f ca="1">IF(Control!$C$114=1, $EB153*$FS153, 0)</f>
        <v>#N/A</v>
      </c>
      <c r="HZ153" s="91" t="e">
        <f t="shared" ca="1" si="523"/>
        <v>#N/A</v>
      </c>
      <c r="IA153" s="220" t="e">
        <f ca="1">Control!$C$153*$HO153</f>
        <v>#N/A</v>
      </c>
      <c r="IB153" s="218" t="e">
        <f t="shared" ca="1" si="524"/>
        <v>#N/A</v>
      </c>
      <c r="IC153" s="220" t="e">
        <f ca="1">Control!$C$153*$HT153</f>
        <v>#N/A</v>
      </c>
      <c r="ID153" s="218" t="e">
        <f t="shared" ca="1" si="525"/>
        <v>#N/A</v>
      </c>
      <c r="IE153" s="221" t="e">
        <f ca="1">($EB153*Control!$C$159+$EF153*Control!$C$160)/(IF($GZ153&lt;&gt;0,$GZ153,1))</f>
        <v>#N/A</v>
      </c>
      <c r="IF153" s="216" t="e">
        <f t="shared" ca="1" si="526"/>
        <v>#N/A</v>
      </c>
      <c r="IG153" s="91">
        <f ca="1">IF(OR(Control!$B$198=$AH153,Control!$B$199=$AH153, Control!$B$200=$AH153, Control!$B$201=$AH153, Control!$B$202=$AH153, Control!$B$203=$AH153, Control!$B$204=$AH153, Control!$B$205=$AH153, Control!$B$206=$AH153, Control!$B$207=$AH153), 1, 0)</f>
        <v>0</v>
      </c>
      <c r="IH153" s="91">
        <f ca="1">IF($IG153=0,0, VLOOKUP($AH153,Control!$B$198:$C$207,2))</f>
        <v>0</v>
      </c>
      <c r="II153" s="222">
        <f t="shared" ca="1" si="642"/>
        <v>0</v>
      </c>
      <c r="IJ153" s="91">
        <f>Control!$C$121</f>
        <v>0.7</v>
      </c>
      <c r="IK153" s="218">
        <f t="shared" ca="1" si="527"/>
        <v>0</v>
      </c>
      <c r="IL153" s="217" t="e">
        <f t="shared" ca="1" si="679"/>
        <v>#N/A</v>
      </c>
      <c r="IM153" s="223" t="e">
        <f ca="1">IF(AND(Control!$C$114=1,$KH153&lt;1),$EB153*Control!$C$148*(1-$KH153), 0)</f>
        <v>#N/A</v>
      </c>
      <c r="IN153" s="217" t="e">
        <f t="shared" ca="1" si="528"/>
        <v>#DIV/0!</v>
      </c>
      <c r="IO153" s="91" t="e">
        <f ca="1">MAX(0,$IL153-$EF153*Control!$C$160)</f>
        <v>#N/A</v>
      </c>
      <c r="IP153" s="220" t="e">
        <f t="shared" ca="1" si="529"/>
        <v>#N/A</v>
      </c>
      <c r="IQ153" s="217" t="e">
        <f t="shared" ca="1" si="643"/>
        <v>#N/A</v>
      </c>
      <c r="IR153" s="218" t="e">
        <f t="shared" ca="1" si="530"/>
        <v>#N/A</v>
      </c>
      <c r="IS153" s="217" t="e">
        <f ca="1">Control!$C$159*MAX(0,$FD153-$EN153)</f>
        <v>#N/A</v>
      </c>
      <c r="IT153" s="217" t="e">
        <f t="shared" ca="1" si="680"/>
        <v>#N/A</v>
      </c>
      <c r="IU153" s="217" t="e">
        <f t="shared" ca="1" si="644"/>
        <v>#N/A</v>
      </c>
      <c r="IV153" s="217" t="e">
        <f t="shared" ca="1" si="681"/>
        <v>#N/A</v>
      </c>
      <c r="IW153" s="217" t="e">
        <f ca="1">IF(OR($AW153=1,AND($AW153=0, Control!$B$18=1,$EN153&lt;&gt;0)), $IQ153-$IU153, $IQ153)</f>
        <v>#N/A</v>
      </c>
      <c r="IX153" s="218" t="e">
        <f t="shared" ca="1" si="531"/>
        <v>#N/A</v>
      </c>
      <c r="IY153" s="218" t="e">
        <f ca="1">MAX(0,$IQ153-$EB153*Control!$C$159)</f>
        <v>#N/A</v>
      </c>
      <c r="IZ153" s="218" t="e">
        <f t="shared" ca="1" si="532"/>
        <v>#N/A</v>
      </c>
      <c r="JA153" s="216" t="e">
        <f t="shared" ca="1" si="533"/>
        <v>#N/A</v>
      </c>
      <c r="JB153" s="217" t="e">
        <f t="shared" ca="1" si="534"/>
        <v>#N/A</v>
      </c>
      <c r="JC153" s="222" t="e">
        <f ca="1">MAX(Control!$C$157*$EK153-$JT153, 0)/Control!$C$162</f>
        <v>#N/A</v>
      </c>
      <c r="JD153" s="218" t="e">
        <f t="shared" ca="1" si="535"/>
        <v>#N/A</v>
      </c>
      <c r="JE153" s="218" t="e">
        <f t="shared" ca="1" si="536"/>
        <v>#N/A</v>
      </c>
      <c r="JF153" s="218" t="e">
        <f t="shared" ca="1" si="645"/>
        <v>#N/A</v>
      </c>
      <c r="JG153" s="218" t="e">
        <f t="shared" ca="1" si="537"/>
        <v>#N/A</v>
      </c>
      <c r="JH153" s="217" t="e">
        <f t="shared" ca="1" si="646"/>
        <v>#N/A</v>
      </c>
      <c r="JI153" s="217" t="e">
        <f t="shared" ca="1" si="647"/>
        <v>#N/A</v>
      </c>
      <c r="JJ153" s="217" t="e">
        <f t="shared" ca="1" si="682"/>
        <v>#N/A</v>
      </c>
      <c r="JK153" s="217" t="e">
        <f ca="1">IF(Control!$C$114=1,IF(Control!$B$24=0,MAX(0,$JI153)*$GN153/Control!$C$64,(MAX(0,MIN($JI153,$JJ153*$GN153/Control!$C$64),0))))</f>
        <v>#N/A</v>
      </c>
      <c r="JL153" s="217" t="e">
        <f ca="1">$IK153/Control!$C$64-$JK153+$HQ153</f>
        <v>#N/A</v>
      </c>
      <c r="JM153" s="217" t="e">
        <f ca="1">IF(Control!$C$114=1,($JB153/(IF($JI153&lt;&gt;0,$JI153,1)))*$JK153,0)</f>
        <v>#N/A</v>
      </c>
      <c r="JN153" s="217" t="e">
        <f ca="1">IF(Control!$C$114=1,($JG153/(IF($JI153&lt;&gt;0,$JI153,1)))*$JK153, 0)</f>
        <v>#N/A</v>
      </c>
      <c r="JO153" s="218" t="e">
        <f t="shared" ca="1" si="538"/>
        <v>#N/A</v>
      </c>
      <c r="JP153" s="218" t="e">
        <f ca="1">MIN(($IY153+$IO153)*Control!$C$151, $JF153-$EH153*Control!$C$161)</f>
        <v>#N/A</v>
      </c>
      <c r="JQ153" s="218" t="e">
        <f t="shared" ca="1" si="539"/>
        <v>#N/A</v>
      </c>
      <c r="JR153" s="217" t="e">
        <f ca="1">IF($CP153-Control!$C$150&lt;0, 0, $JQ153/Control!$C$162)</f>
        <v>#N/A</v>
      </c>
      <c r="JS153" s="218" t="e">
        <f t="shared" ca="1" si="540"/>
        <v>#N/A</v>
      </c>
      <c r="JT153" s="218" t="e">
        <f t="shared" ca="1" si="648"/>
        <v>#N/A</v>
      </c>
      <c r="JU153" s="218" t="e">
        <f t="shared" ca="1" si="541"/>
        <v>#N/A</v>
      </c>
      <c r="JV153" s="218" t="e">
        <f t="shared" ca="1" si="542"/>
        <v>#N/A</v>
      </c>
      <c r="JW153" s="216" t="e">
        <f t="shared" ca="1" si="543"/>
        <v>#N/A</v>
      </c>
      <c r="JX153" s="91" t="e">
        <f t="shared" ca="1" si="544"/>
        <v>#N/A</v>
      </c>
      <c r="JY153" s="218" t="e">
        <f t="shared" ca="1" si="545"/>
        <v>#N/A</v>
      </c>
      <c r="JZ153" s="217" t="e">
        <f ca="1">IF(Control!$C$114=1,($IZ153/(IF($JI153&lt;&gt;0,$JI153,1)))*$JK153, 0)</f>
        <v>#N/A</v>
      </c>
      <c r="KA153" s="218" t="e">
        <f t="shared" ca="1" si="683"/>
        <v>#N/A</v>
      </c>
      <c r="KB153" s="218" t="e">
        <f t="shared" ca="1" si="649"/>
        <v>#N/A</v>
      </c>
      <c r="KC153" s="218" t="e">
        <f t="shared" ca="1" si="546"/>
        <v>#N/A</v>
      </c>
      <c r="KD153" s="218" t="e">
        <f t="shared" ca="1" si="547"/>
        <v>#N/A</v>
      </c>
      <c r="KE153" s="218" t="e">
        <f t="shared" ca="1" si="548"/>
        <v>#N/A</v>
      </c>
      <c r="KF153" s="218" t="e">
        <f t="shared" ca="1" si="549"/>
        <v>#N/A</v>
      </c>
      <c r="KG153" s="216" t="e">
        <f t="shared" ca="1" si="550"/>
        <v>#N/A</v>
      </c>
      <c r="KH153" s="221" t="e">
        <f ca="1">IF(Control!$B$24=0,1,MAX(0.001,MIN(1,IF(($IF153-$IE153)&lt;&gt;0,($KG153-$IE153)/($IF153-$IE153),1))))</f>
        <v>#N/A</v>
      </c>
      <c r="KI153" s="222" t="e">
        <f ca="1">IF(Control!$C$114=1, $KI152+ $KH152, 0)</f>
        <v>#N/A</v>
      </c>
      <c r="KJ153" s="217" t="e">
        <f t="shared" ca="1" si="551"/>
        <v>#N/A</v>
      </c>
      <c r="KK153" s="218" t="e">
        <f t="shared" ca="1" si="552"/>
        <v>#N/A</v>
      </c>
      <c r="KL153" s="274" t="e">
        <f ca="1">IF(Control!$B$26=3,4000000000*EXP(-8400/($G153+273)),IF(Control!$B$26=4,4000000000*EXP(-8400/($G153+273))*($KT153),0))</f>
        <v>#DIV/0!</v>
      </c>
      <c r="KM153" s="274" t="e">
        <f ca="1">IF(Control!$B$26=3,5600000000000*EXP(-9800/($G153+273)),IF(Control!$B$26=4,5600000000000*EXP(-9800/($G153+273))*$KT153,0))</f>
        <v>#DIV/0!</v>
      </c>
      <c r="KN153" s="454" t="e">
        <f t="shared" ca="1" si="650"/>
        <v>#DIV/0!</v>
      </c>
      <c r="KO153" s="274" t="e">
        <f t="shared" ca="1" si="651"/>
        <v>#DIV/0!</v>
      </c>
      <c r="KP153" s="454" t="e">
        <f t="shared" ca="1" si="553"/>
        <v>#DIV/0!</v>
      </c>
      <c r="KQ153" s="454" t="e">
        <f t="shared" ca="1" si="554"/>
        <v>#DIV/0!</v>
      </c>
      <c r="KR153" s="454" t="e">
        <f t="shared" ca="1" si="555"/>
        <v>#DIV/0!</v>
      </c>
      <c r="KS153" s="454" t="e">
        <f t="shared" ca="1" si="556"/>
        <v>#DIV/0!</v>
      </c>
      <c r="KT153" s="455" t="e">
        <f t="shared" ca="1" si="557"/>
        <v>#DIV/0!</v>
      </c>
      <c r="KU153" s="456" t="e">
        <f ca="1">IF($CP153-Control!$C$149&lt;0, IF($NT153-0.01&lt;0,0,1),0)</f>
        <v>#N/A</v>
      </c>
      <c r="KV153" s="456" t="e">
        <f ca="1">IF(Control!$C$114=1,MAX(0,MIN(Control!$C$125*$KW153*$GN153,$KW153)))</f>
        <v>#DIV/0!</v>
      </c>
      <c r="KW153" s="456" t="e">
        <f t="shared" ca="1" si="684"/>
        <v>#DIV/0!</v>
      </c>
      <c r="KX153" s="457" t="e">
        <f ca="1">IF($CP153-Control!$C$149&lt;0, IF($MR153-$OM153&lt;0,0,1),0)</f>
        <v>#N/A</v>
      </c>
      <c r="KY153" s="167">
        <f t="shared" ca="1" si="652"/>
        <v>149</v>
      </c>
      <c r="KZ153" s="168">
        <f ca="1">1370*(1+0.033*COS(2*Control!$C$138*$AH153/365))</f>
        <v>1332.1012266778505</v>
      </c>
      <c r="LA153" s="169">
        <f t="shared" ca="1" si="653"/>
        <v>0.97233676972781347</v>
      </c>
      <c r="LB153" s="169">
        <f t="shared" ca="1" si="654"/>
        <v>0.37736701396846101</v>
      </c>
      <c r="LC153" s="169">
        <f ca="1">ACOS(-TAN((2*Control!$B$8/360))*TAN(Calculations!$LB153))</f>
        <v>1.6888707862781436</v>
      </c>
      <c r="LD153" s="169">
        <f ca="1">((24*60)/PI())*0.082*$LA153*(($LC153*SIN(Control!$B$8*2*PI()/360))*SIN($LB153)+COS(Control!$B$8*2*PI()/360)*COS($LB153)*SIN($LC153))</f>
        <v>38.693020907216479</v>
      </c>
      <c r="LE153" s="170">
        <f t="shared" ca="1" si="558"/>
        <v>40.067177582556951</v>
      </c>
      <c r="LF153" s="170">
        <f ca="1">SIN(Control!$C$139*Control!$B$8)*SIN($HD153)</f>
        <v>0.28827876961787219</v>
      </c>
      <c r="LG153" s="170">
        <f ca="1">COS(Control!$C$139*Control!$B$8)*COS($HD153)</f>
        <v>0.57298320930486957</v>
      </c>
      <c r="LH153" s="170">
        <f ca="1">12*(1+2*ASIN(MAX(-1,MIN(1,$LF153/$LG153))/Control!$C$138))</f>
        <v>15.860159337635855</v>
      </c>
      <c r="LI153" s="170">
        <f ca="1">12*(1+2*ASIN(MAX(-1,MIN(1,(-SIN(-4*Control!$C$139)+$LF153)/$LG153))/Control!$C$138))</f>
        <v>16.805630951866796</v>
      </c>
      <c r="LJ153" s="168">
        <f ca="1">3600*($LH153*$LF153+24*$LG153*SQRT(1-$LK153*$LK153)/Control!$C$138)</f>
        <v>30078.17782923386</v>
      </c>
      <c r="LK153" s="170">
        <f t="shared" ca="1" si="559"/>
        <v>0.50311905294328874</v>
      </c>
      <c r="LL153" s="170">
        <f t="shared" ca="1" si="560"/>
        <v>0</v>
      </c>
      <c r="LM153" s="171">
        <f ca="1">Control!$C$145*$AB153</f>
        <v>6.6660906138995932E-2</v>
      </c>
      <c r="LN153" s="170">
        <f t="shared" ca="1" si="655"/>
        <v>0.54</v>
      </c>
      <c r="LO153" s="170">
        <f t="shared" ca="1" si="561"/>
        <v>0</v>
      </c>
      <c r="LP153" s="170">
        <f ca="1">Control!$C$140*((($D153+273.16)^4+($E153+273.16)^4)/2)*(0.34-0.14*SQRT($Y153))*(1.35*$AQ153/(0.75*$LD153)-0.35)</f>
        <v>-3.2464704755046001</v>
      </c>
      <c r="LQ153" s="170">
        <f ca="1">Control!$C$140*($G153+273)^4*(0.56-0.079*SQRT($Y153*10))*(0.1+0.9*$LO153)</f>
        <v>1.5241745131704001</v>
      </c>
      <c r="LR153" s="170">
        <f ca="1">$AQ153*(1-Control!$C$142)-$LQ153</f>
        <v>-1.5241745131704001</v>
      </c>
      <c r="LS153" s="170">
        <f ca="1">$AQ153*(1-Control!$C$143)-$LQ153</f>
        <v>-1.5241745131704001</v>
      </c>
      <c r="LT153" s="170">
        <f ca="1">$AQ153*(1-Control!$C$144)-$LQ153</f>
        <v>-1.5241745131704001</v>
      </c>
      <c r="LU153" s="169">
        <f ca="1">(1-Control!$C$144)*AQ153-LP153</f>
        <v>3.2464704755046001</v>
      </c>
      <c r="LV153" s="172">
        <f t="shared" ca="1" si="562"/>
        <v>0.79430000000000012</v>
      </c>
      <c r="LW153" s="170">
        <f t="shared" ca="1" si="563"/>
        <v>1.5886000000000002</v>
      </c>
      <c r="LX153" s="170">
        <f ca="1">($AC153*($LR153/Control!$C$141)+$LM153*$LV153)/($AC153+$LM153)</f>
        <v>0.23530094218323697</v>
      </c>
      <c r="LY153" s="170">
        <f ca="1">($AC153*($LS153/Control!$C$141)+$LM153*$LV153)/($AC153+$LM153)</f>
        <v>0.23530094218323697</v>
      </c>
      <c r="LZ153" s="170">
        <f t="shared" ca="1" si="564"/>
        <v>0.23530094218323697</v>
      </c>
      <c r="MA153" s="170">
        <f t="shared" ca="1" si="565"/>
        <v>0.23530094218323697</v>
      </c>
      <c r="MB153" s="170" t="e">
        <f t="shared" ca="1" si="566"/>
        <v>#N/A</v>
      </c>
      <c r="MC153" s="170">
        <f t="shared" ca="1" si="656"/>
        <v>0.6018</v>
      </c>
      <c r="MD153" s="170">
        <f t="shared" ca="1" si="567"/>
        <v>0.52989392535414004</v>
      </c>
      <c r="ME153" s="170">
        <f ca="1">($AC153*($LT153/Control!$C$141)+$LM153*$LW153)/($AC153+$LM153)</f>
        <v>0.71612369323045078</v>
      </c>
      <c r="MF153" s="170" t="e">
        <f ca="1">IF(Control!$B$16&gt;=1000,0.92,IF(AND(720&lt;=Control!$B$16,1000&gt;Control!$B$16),(0.95+(Control!$B$16-720)*((0.92-0.95)/(1000-720))),IF(AND(360&lt;=Control!$B$16,720&gt;Control!$B$16),(1+(Control!$B$16-360)*((0.95-1)/(720-360))),IF(AND(40&lt;=Control!$B$16,360&gt;Control!$B$16),(1.05+(Control!$B$16-40)*((1.05-1)/(360-40)))))))</f>
        <v>#N/A</v>
      </c>
      <c r="MG153" s="170">
        <f t="shared" ca="1" si="568"/>
        <v>0.71612369323045078</v>
      </c>
      <c r="MH153" s="170" t="e">
        <f t="shared" ca="1" si="693"/>
        <v>#N/A</v>
      </c>
      <c r="MI153" s="170" t="e">
        <f t="shared" ca="1" si="693"/>
        <v>#N/A</v>
      </c>
      <c r="MJ153" s="170" t="e">
        <f ca="1">MAX(0.0001, Control!$C$132*$MI153*$DL153)</f>
        <v>#N/A</v>
      </c>
      <c r="MK153" s="170">
        <f ca="1">1/(0.76+1.5*($MG153/10))-(5-Control!$C$110)*0.1</f>
        <v>1.002845988140797</v>
      </c>
      <c r="ML153" s="173">
        <f ca="1">IF(Control!$C$110&lt;3,$MK153+($MG153-0.6)/(Control!$C$110*(Control!$C$110+3)), MAX(0.1, MIN(0.95,$MK153)))</f>
        <v>0.95</v>
      </c>
      <c r="MM153" s="173">
        <f ca="1">IF(Control!$C$110&lt;3,$MK153+(($MI153/10)-0.6)/(Control!$C$110*(Control!$C$110+3)), MAX(0.1, MIN(0.95,$MK153)))</f>
        <v>0.95</v>
      </c>
      <c r="MN153" s="173">
        <f ca="1">(1-$MM153)*(Control!$C$128-Control!$C$127)+Control!$C$127</f>
        <v>0.16</v>
      </c>
      <c r="MO153" s="170" t="e">
        <f ca="1">MAX(0,MIN(1,($MS153-Control!$C$127)/($MN153-Control!$C$127)))</f>
        <v>#DIV/0!</v>
      </c>
      <c r="MP153" s="173" t="e">
        <f ca="1">1/(0.76+1.5*$MI153)-(5-Control!$C$110)*0.1</f>
        <v>#N/A</v>
      </c>
      <c r="MQ153" s="172" t="e">
        <f t="shared" ca="1" si="685"/>
        <v>#DIV/0!</v>
      </c>
      <c r="MR153" s="168" t="e">
        <f t="shared" ca="1" si="657"/>
        <v>#DIV/0!</v>
      </c>
      <c r="MS153" s="173" t="e">
        <f ca="1">MAX(Control!$C$127, MIN(Control!$C$135, $MR153/MAX(0.0001,$CY153)))</f>
        <v>#DIV/0!</v>
      </c>
      <c r="MT153" s="168" t="e">
        <f ca="1">(Control!$C$128-$MS153)*Control!$C$74</f>
        <v>#DIV/0!</v>
      </c>
      <c r="MU153" s="168" t="e">
        <f ca="1">(Control!$C$135-$MS153)*Control!$C$74</f>
        <v>#DIV/0!</v>
      </c>
      <c r="MV153" s="168" t="e">
        <f t="shared" ca="1" si="658"/>
        <v>#DIV/0!</v>
      </c>
      <c r="MW153" s="168" t="e">
        <f t="shared" ca="1" si="659"/>
        <v>#DIV/0!</v>
      </c>
      <c r="MX153" s="171" t="e">
        <f ca="1">MAX(Control!$C$127, MIN(Control!$C$135, $MW153/MAX(0.0001,Control!$C$119-$CY153)))</f>
        <v>#DIV/0!</v>
      </c>
      <c r="MY153" s="54" t="e">
        <f ca="1">IF(Control!$C$114=1, $CX153*$MX153, 0)</f>
        <v>#DIV/0!</v>
      </c>
      <c r="MZ153" s="54" t="e">
        <f t="shared" ca="1" si="660"/>
        <v>#N/A</v>
      </c>
      <c r="NA153" s="168" t="e">
        <f ca="1">(Control!$C$128-$MX153)*(Control!$C$119-Control!$C$74)</f>
        <v>#DIV/0!</v>
      </c>
      <c r="NB153" s="168" t="e">
        <f ca="1">(Control!$C$135-$MX153)*(Control!$C$119-Control!$C$74)</f>
        <v>#DIV/0!</v>
      </c>
      <c r="NC153" s="174" t="e">
        <f t="shared" ca="1" si="661"/>
        <v>#DIV/0!</v>
      </c>
      <c r="ND153" s="54">
        <f ca="1">IF(Control!$C$58=2, IF(OR(Control!$B$218=$AH153,Control!$B$219=$AH153, Control!$B$220=$AH153, Control!$B$221=$AH153, Control!$B$222=$AH153, Control!$B$223=$AH153, Control!$B$224=$AH153, Control!$B$225=$AH153, Control!$B$226=$AH153, Control!$B$227=$AH153, Control!$B$228=$AH153), 1, 0), 0)</f>
        <v>0</v>
      </c>
      <c r="NE153" s="54">
        <f ca="1">IF($ND153=0,0, VLOOKUP($AH153,Control!$B$218:$C$228,2))</f>
        <v>0</v>
      </c>
      <c r="NF153" s="168" t="e">
        <f ca="1">$CY153*(Control!$C$128-Control!$C$127)</f>
        <v>#N/A</v>
      </c>
      <c r="NG153" s="54" t="e">
        <f ca="1">IF(Control!$C$58=2, $NI152-$NJ152, 0)</f>
        <v>#DIV/0!</v>
      </c>
      <c r="NH153" s="54" t="e">
        <f ca="1">IF(AND(Control!$C$58=1, $MS152&lt;= ($MN152+0.02), $I152&lt;10), 0, IF(Control!$C$58=2, $NG152, 0))</f>
        <v>#DIV/0!</v>
      </c>
      <c r="NI153" s="54" t="e">
        <f ca="1">IF(Control!$C$58=2, $NE153+$NH153,0)</f>
        <v>#DIV/0!</v>
      </c>
      <c r="NJ153" s="54" t="e">
        <f ca="1">IF(AND(Control!$C$58=1, $MS153&lt;= ($MN153+0.02), $I153&lt;10), MAX(0, MIN(10, 0.7*($NF153-$MV153))), IF(Control!$C$58=2, MIN(10,$NI153),0))</f>
        <v>#DIV/0!</v>
      </c>
      <c r="NK153" s="54" t="e">
        <f t="shared" ca="1" si="569"/>
        <v>#DIV/0!</v>
      </c>
      <c r="NL153" s="173" t="e">
        <f ca="1">(1-Control!$C$73)*$I153+$NJ153</f>
        <v>#DIV/0!</v>
      </c>
      <c r="NM153" s="172" t="e">
        <f ca="1">IF($NL153&lt;0.5, $MB153* MAX(0, MIN(1, (SQRT($NC153)-SQRT($NC153-1))*Control!$C$71)),0)</f>
        <v>#DIV/0!</v>
      </c>
      <c r="NN153" s="170" t="e">
        <f ca="1">IF($NL153&gt;=5, $MB153, MAX(0,MIN($MB153, $NM153+$NL153,($MS153-Control!$C$129))))</f>
        <v>#DIV/0!</v>
      </c>
      <c r="NO153" s="54">
        <f>IF(Control!$C$133&lt;&gt;1, Control!$C$135-Control!$C$131, 0)</f>
        <v>0.38</v>
      </c>
      <c r="NP153" s="54" t="e">
        <f t="shared" ca="1" si="570"/>
        <v>#DIV/0!</v>
      </c>
      <c r="NQ153" s="173" t="e">
        <f ca="1">MAX(0,MIN(1,(Control!$C$135-$MS153)/(Control!$C$135-$NO153)))</f>
        <v>#DIV/0!</v>
      </c>
      <c r="NR153" s="170" t="e">
        <f ca="1">IF(Control!$C$133&lt;&gt;1, $NQ153+((1-$NP153/4)*(1-$NQ153)),1)</f>
        <v>#DIV/0!</v>
      </c>
      <c r="NS153" s="170" t="e">
        <f ca="1">IF(Control!$B$31=0,$MJ153,MAX(0,MIN($MV153,$MO153*$NR153*$MJ153)))</f>
        <v>#DIV/0!</v>
      </c>
      <c r="NT153" s="170" t="e">
        <f t="shared" ca="1" si="686"/>
        <v>#DIV/0!</v>
      </c>
      <c r="NU153" s="170" t="e">
        <f t="shared" ca="1" si="662"/>
        <v>#N/A</v>
      </c>
      <c r="NV153" s="170" t="e">
        <f t="shared" ca="1" si="571"/>
        <v>#N/A</v>
      </c>
      <c r="NW153" s="175" t="e">
        <f t="shared" ca="1" si="572"/>
        <v>#DIV/0!</v>
      </c>
      <c r="NX153" s="170" t="e">
        <f ca="1">MIN(Control!$C$72+$MU153, $NW153)</f>
        <v>#DIV/0!</v>
      </c>
      <c r="NY153" s="170" t="e">
        <f ca="1">IF($MT153&lt;=$NX153,MIN(Control!$C$72+$NB153,$NX153-$MT153),0)</f>
        <v>#DIV/0!</v>
      </c>
      <c r="NZ153" s="54" t="e">
        <f ca="1">IF(Control!$C$114=1,  $CX153*($MX153-Control!$C$127), 0)</f>
        <v>#DIV/0!</v>
      </c>
      <c r="OA153" s="170" t="e">
        <f t="shared" ca="1" si="573"/>
        <v>#DIV/0!</v>
      </c>
      <c r="OB153" s="170" t="e">
        <f ca="1">IF($NA153 &lt;=$NY153, MIN(Control!$C$72, $NY153-$NA153), 0)</f>
        <v>#DIV/0!</v>
      </c>
      <c r="OC153" s="168" t="e">
        <f t="shared" ca="1" si="574"/>
        <v>#DIV/0!</v>
      </c>
      <c r="OD153" s="168" t="e">
        <f t="shared" ca="1" si="663"/>
        <v>#DIV/0!</v>
      </c>
      <c r="OE153" s="170">
        <f ca="1">Control!$C$73*$I153</f>
        <v>0</v>
      </c>
      <c r="OF153" s="176" t="e">
        <f t="shared" ca="1" si="575"/>
        <v>#DIV/0!</v>
      </c>
      <c r="OG153" s="168" t="e">
        <f t="shared" ca="1" si="576"/>
        <v>#DIV/0!</v>
      </c>
      <c r="OH153" s="168" t="e">
        <f t="shared" ca="1" si="577"/>
        <v>#DIV/0!</v>
      </c>
      <c r="OI153" s="168" t="e">
        <f t="shared" ca="1" si="578"/>
        <v>#DIV/0!</v>
      </c>
      <c r="OJ153" s="168" t="e">
        <f t="shared" ca="1" si="579"/>
        <v>#DIV/0!</v>
      </c>
      <c r="OK153" s="204" t="e">
        <f t="shared" ca="1" si="580"/>
        <v>#DIV/0!</v>
      </c>
      <c r="OL153" s="177">
        <f>Control!$C$127</f>
        <v>0.15</v>
      </c>
      <c r="OM153" s="182" t="e">
        <f t="shared" ca="1" si="581"/>
        <v>#N/A</v>
      </c>
      <c r="ON153" s="177">
        <f>Control!$C$128</f>
        <v>0.35</v>
      </c>
      <c r="OO153" s="182" t="e">
        <f t="shared" ca="1" si="582"/>
        <v>#N/A</v>
      </c>
      <c r="OP153" s="138">
        <f t="shared" ca="1" si="664"/>
        <v>0</v>
      </c>
      <c r="OQ153" s="138" t="e">
        <f t="shared" ca="1" si="687"/>
        <v>#DIV/0!</v>
      </c>
      <c r="OR153" s="138" t="e">
        <f t="shared" ca="1" si="665"/>
        <v>#DIV/0!</v>
      </c>
      <c r="OS153" s="137" t="e">
        <f t="shared" ca="1" si="688"/>
        <v>#DIV/0!</v>
      </c>
      <c r="OT153" s="139" t="e">
        <f t="shared" ca="1" si="689"/>
        <v>#DIV/0!</v>
      </c>
      <c r="OU153" s="138" t="e">
        <f t="shared" ca="1" si="690"/>
        <v>#N/A</v>
      </c>
      <c r="OV153" s="138" t="e">
        <f t="shared" ca="1" si="691"/>
        <v>#DIV/0!</v>
      </c>
      <c r="OW153" s="138" t="e">
        <f t="shared" ca="1" si="666"/>
        <v>#DIV/0!</v>
      </c>
      <c r="OX153" s="138" t="e">
        <f t="shared" ca="1" si="667"/>
        <v>#DIV/0!</v>
      </c>
      <c r="OY153" s="138" t="e">
        <f t="shared" ca="1" si="668"/>
        <v>#DIV/0!</v>
      </c>
      <c r="OZ153" s="138" t="e">
        <f t="shared" ca="1" si="583"/>
        <v>#DIV/0!</v>
      </c>
      <c r="PA153" s="138" t="e">
        <f t="shared" ca="1" si="584"/>
        <v>#DIV/0!</v>
      </c>
      <c r="PB153" s="55">
        <f>IF(Control!$C$61="T", IF(Control!$C$65="F", IF($AH$6-Control!$C$60&lt;0,0,1), IF(365+$AH$6-Control!$C$60&lt;0,0,1)),0)</f>
        <v>0</v>
      </c>
      <c r="PC153" s="55">
        <f ca="1">IF(Control!$C$65="F", IF($AH$6-$HF153&lt;0,0,1), IF(365+$AH$6-$HF153&lt;0,0,1))</f>
        <v>1</v>
      </c>
      <c r="PD153" s="444">
        <f>Control!$C$118</f>
        <v>1500</v>
      </c>
      <c r="PE153" s="180" t="e">
        <f t="shared" ca="1" si="585"/>
        <v>#N/A</v>
      </c>
      <c r="PF153" s="445">
        <f t="shared" ca="1" si="669"/>
        <v>0.71612369323045078</v>
      </c>
      <c r="PT153" s="186"/>
      <c r="PU153" s="186"/>
      <c r="PV153" s="94"/>
      <c r="PW153" s="94"/>
      <c r="PX153" s="94"/>
      <c r="PY153" s="94"/>
      <c r="PZ153" s="94"/>
      <c r="QA153" s="94"/>
      <c r="QB153" s="94"/>
      <c r="QC153" s="94"/>
      <c r="QD153" s="94"/>
      <c r="QE153" s="94"/>
      <c r="QF153" s="94"/>
      <c r="QG153" s="94"/>
      <c r="QH153" s="94"/>
      <c r="QI153" s="94"/>
      <c r="QJ153" s="94"/>
      <c r="QK153" s="94"/>
      <c r="QL153" s="94"/>
      <c r="QM153" s="94"/>
      <c r="QN153" s="94"/>
      <c r="QO153" s="94"/>
      <c r="QP153" s="94"/>
    </row>
    <row r="154" spans="1:458" s="2" customFormat="1" x14ac:dyDescent="0.2">
      <c r="A154" s="395">
        <v>29</v>
      </c>
      <c r="B154" s="396">
        <v>5</v>
      </c>
      <c r="C154" s="387">
        <f ca="1">Weather_data!$B153</f>
        <v>0</v>
      </c>
      <c r="D154" s="388">
        <f ca="1">Weather_data!$F153</f>
        <v>0</v>
      </c>
      <c r="E154" s="388">
        <f ca="1">Weather_data!$E153</f>
        <v>0</v>
      </c>
      <c r="F154" s="388">
        <f t="shared" ca="1" si="586"/>
        <v>0</v>
      </c>
      <c r="G154" s="388">
        <f ca="1">AVERAGE($D154:$E154)+Control!$B$9</f>
        <v>0</v>
      </c>
      <c r="H154" s="388">
        <f ca="1">Weather_data!$G153</f>
        <v>0</v>
      </c>
      <c r="I154" s="388">
        <f ca="1">Weather_data!$I153</f>
        <v>0</v>
      </c>
      <c r="J154" s="388">
        <f ca="1">Weather_data!$H153</f>
        <v>0</v>
      </c>
      <c r="K154" s="389">
        <f ca="1">Weather_data!$D153</f>
        <v>0</v>
      </c>
      <c r="L154" s="388" t="e">
        <f t="shared" ca="1" si="587"/>
        <v>#N/A</v>
      </c>
      <c r="M154" s="388" t="e">
        <f t="shared" ca="1" si="465"/>
        <v>#N/A</v>
      </c>
      <c r="N154" s="388">
        <f t="shared" ca="1" si="466"/>
        <v>-8.4500912999128574E-8</v>
      </c>
      <c r="O154" s="388">
        <f t="shared" ca="1" si="588"/>
        <v>8.4500912999128577E-7</v>
      </c>
      <c r="P154" s="390">
        <v>3</v>
      </c>
      <c r="Q154" s="388">
        <f ca="1">MAX($G154-Control!$C$107,0)</f>
        <v>0</v>
      </c>
      <c r="R154" s="388">
        <f t="shared" ca="1" si="589"/>
        <v>0</v>
      </c>
      <c r="S154" s="388">
        <f t="shared" ca="1" si="467"/>
        <v>0</v>
      </c>
      <c r="T154" s="388">
        <f t="shared" ca="1" si="468"/>
        <v>0</v>
      </c>
      <c r="U154" s="59">
        <f t="shared" ca="1" si="469"/>
        <v>0</v>
      </c>
      <c r="V154" s="391">
        <f ca="1">MAX(0,MIN(Control!$C$100-Control!$C$99,$G154-Control!$C$99)*Control!$C$63)</f>
        <v>0</v>
      </c>
      <c r="W154" s="388">
        <f t="shared" ca="1" si="590"/>
        <v>0</v>
      </c>
      <c r="X154" s="388">
        <f t="shared" ca="1" si="591"/>
        <v>0.6110000000000001</v>
      </c>
      <c r="Y154" s="388">
        <f t="shared" ca="1" si="470"/>
        <v>0</v>
      </c>
      <c r="Z154" s="388">
        <f t="shared" ca="1" si="592"/>
        <v>0.61058800000000002</v>
      </c>
      <c r="AA154" s="388">
        <f t="shared" ca="1" si="471"/>
        <v>0.6018</v>
      </c>
      <c r="AB154" s="388">
        <f ca="1">101.3*EXP(-0.034*Control!$C$66/($G154+273))</f>
        <v>100.69623283836242</v>
      </c>
      <c r="AC154" s="392">
        <f t="shared" ca="1" si="472"/>
        <v>4.3460251046025113E-2</v>
      </c>
      <c r="AD154" s="392">
        <f t="shared" ca="1" si="473"/>
        <v>4.4450382862832649E-2</v>
      </c>
      <c r="AE154" s="388">
        <f t="shared" ca="1" si="474"/>
        <v>0</v>
      </c>
      <c r="AF154" s="388">
        <f ca="1">MAX(0,$G154-Control!$C$92)</f>
        <v>0</v>
      </c>
      <c r="AG154" s="393">
        <f t="shared" ca="1" si="475"/>
        <v>150</v>
      </c>
      <c r="AH154" s="389">
        <f t="shared" ca="1" si="476"/>
        <v>150</v>
      </c>
      <c r="AI154" s="388">
        <f t="shared" ca="1" si="593"/>
        <v>0.37736513511724296</v>
      </c>
      <c r="AJ154" s="388">
        <f ca="1">IF(Control!$C$60&lt;=0,$HH154,$HI154)</f>
        <v>1</v>
      </c>
      <c r="AK154" s="388">
        <f t="shared" ca="1" si="477"/>
        <v>1.2049944424727974</v>
      </c>
      <c r="AL154" s="388">
        <f t="shared" ca="1" si="478"/>
        <v>-2.8853898437208868E-18</v>
      </c>
      <c r="AM154" s="388">
        <f t="shared" ca="1" si="479"/>
        <v>1.2049944424727974</v>
      </c>
      <c r="AN154" s="388">
        <f t="shared" ca="1" si="480"/>
        <v>0.38060306775496017</v>
      </c>
      <c r="AO154" s="388">
        <f ca="1">-0.10453/COS(Control!$B$8*PI()/180)*COS(AN154)</f>
        <v>-0.15763519119106192</v>
      </c>
      <c r="AP154" s="388">
        <f ca="1">ACOS(AO154-TAN(Control!$B$8*PI()/180)*TAN(AN154))</f>
        <v>2.3046756865490727</v>
      </c>
      <c r="AQ154" s="388">
        <f t="shared" ca="1" si="594"/>
        <v>0</v>
      </c>
      <c r="AR154" s="394">
        <f t="shared" ca="1" si="481"/>
        <v>0</v>
      </c>
      <c r="AS154" s="436">
        <f ca="1">IF(Control!$B$18=2,(IF(OR($AH154=Control!$B$175,$AH154=Control!$B$176,$AH154=Control!$B$177,$AH154=Control!$B$178,$AH154=Control!$B$179,$AH154=Control!$B$180,$AH154=Control!$B$181,$AH154=Control!$B$182,$AH154=Control!$B$183,$AH154=Control!$B$184,$AH154=Control!$B$185),1,0)),0)</f>
        <v>0</v>
      </c>
      <c r="AT154" s="436">
        <f>IF(Control!$B$20=8,IF(AND($AH154&gt;=Control!$B$172,$AH154&lt;=Control!$B$173),1,0),0)</f>
        <v>0</v>
      </c>
      <c r="AU154" s="436">
        <f>IF(Control!$B$20=8,IF($AV153=1,1*$AT154,IF($AT154=1,$AU153+1,$AU153)),0)</f>
        <v>0</v>
      </c>
      <c r="AV154" s="436">
        <f>IF(Control!$B$20=8,IF($AU154&gt;=Control!$B$174,1,0),0)</f>
        <v>0</v>
      </c>
      <c r="AW154" s="436">
        <f ca="1">IF(AND(Control!$B$18=2,Control!$B$171=1), $AV154, $AS154)</f>
        <v>0</v>
      </c>
      <c r="AX154" s="436" t="e">
        <f ca="1">IF(AND(Control!$B$18=1,$EU154&gt;=Control!$B$19),-$AY154,IF(AND(Control!$B$18=2,$AW154=1,$EU154&gt;$DS154),-$AY154, IF(Control!$C$108=0,0, IF(Control!$C$108&lt;&gt;0,1))))</f>
        <v>#N/A</v>
      </c>
      <c r="AY154" s="436" t="e">
        <f t="shared" ca="1" si="595"/>
        <v>#N/A</v>
      </c>
      <c r="AZ154" s="436" t="e">
        <f ca="1">IF(AND(Control!$B$18=1,$EB154&gt;Control!$B$19),$AZ153+1, IF(AND(Control!$B$18=2, $AW154=1, $EB154&gt;$DS154), $AZ153+1,$AZ153))</f>
        <v>#N/A</v>
      </c>
      <c r="BA154" s="587">
        <f>IF(Control!$C$81=0,1,IF($AH154&gt;=Control!$C$82,1,0))</f>
        <v>1</v>
      </c>
      <c r="BB154" s="140" t="e">
        <f ca="1">IF($BA154&gt;$BA153,Control!$C$83,IF($AW154&gt;0,$AW154*Control!$C$84,IF(AND(Control!$B$18=1,EN153&lt;&gt;0),Control!$C$84,0)))</f>
        <v>#N/A</v>
      </c>
      <c r="BC154" s="140" t="e">
        <f t="shared" ca="1" si="596"/>
        <v>#N/A</v>
      </c>
      <c r="BD154" s="140" t="e">
        <f ca="1">BC154*IF(OR($G154&lt;Control!$C$92,$G154&gt;Control!$C$95),0,IF(AND($G154&gt;=Control!$C$92,$G154&lt;=Control!$C$93),$G154-Control!$C$92,IF(AND($G154&gt;Control!$C$93,$G154&lt;=Control!$C$94),Control!$C$93-Control!$C$92,IF(AND($G154&gt;Control!$C$94,$G154&lt;=Control!$C$95),(Control!$C$93-Control!$C$92)*(Control!$C$94-$G154)/(Control!$C$95-Control!$C$94)))))</f>
        <v>#N/A</v>
      </c>
      <c r="BE154" s="140" t="e">
        <f t="shared" ca="1" si="597"/>
        <v>#N/A</v>
      </c>
      <c r="BF154" s="140" t="e">
        <f ca="1">IF($BE154&lt;=Control!$C$86,$BE154,Control!$C$86-$BE154)</f>
        <v>#N/A</v>
      </c>
      <c r="BG154" s="140" t="e">
        <f ca="1">IF(AND($AW154=1,Control!$C$84&lt;9),1,IF($BE154&gt;=Control!$C$86,0,$BC154))</f>
        <v>#N/A</v>
      </c>
      <c r="BH154" s="404" t="e">
        <f ca="1">IF($BG154=0,0,IF($BE154&lt;=Control!$C$86,$BC154*9*($BF154/Control!$C$86),0))</f>
        <v>#N/A</v>
      </c>
      <c r="BI154" s="140" t="e">
        <f ca="1">IF($BG154=1,0,IF($BE154&gt;=Control!$C$86,1,IF(AND($BB154&lt;21,$BB154&gt;=9),1,$BM153)))</f>
        <v>#N/A</v>
      </c>
      <c r="BJ154" s="140" t="e">
        <f ca="1">IF($BF154&lt;0,-$BF154,$BI154*IF(OR($G154&lt;Control!$C$92,$G154&gt;Control!$C$95),0,IF(AND($G154&gt;=Control!$C$92,$G154&lt;=Control!$C$93),$G154-Control!$C$92,IF(AND($G154&gt;Control!$C$93,$G154&lt;=Control!$C$94),Control!$C$93-Control!$C$92,IF(AND($G154&gt;Control!$C$94,$G154&lt;=Control!$C$95),(Control!$C$93-Control!$C$92)*(Control!$C$94-$G154)/(Control!$C$95-Control!$C$94))))))</f>
        <v>#N/A</v>
      </c>
      <c r="BK154" s="140" t="e">
        <f t="shared" ca="1" si="598"/>
        <v>#N/A</v>
      </c>
      <c r="BL154" s="140" t="e">
        <f ca="1">IF($BK154&lt;=Control!$C$87,$BK154,Control!$C$87-$BK154)</f>
        <v>#N/A</v>
      </c>
      <c r="BM154" s="140" t="e">
        <f ca="1">IF(AND($BB154&gt;=9,$BB154&lt;21),1,IF($BK154&gt;=Control!$C$87,0,$BI154))</f>
        <v>#N/A</v>
      </c>
      <c r="BN154" s="404" t="e">
        <f ca="1">IF($BM154=0,0,IF($BK154&lt;=Control!$C$87,$BI154*(9+(21-9)*($BL154/Control!$C$87)),0))</f>
        <v>#N/A</v>
      </c>
      <c r="BO154" s="140" t="e">
        <f ca="1">IF($BM154=1,0,IF($BK154&gt;=Control!$C$87,1,IF(AND($BB154&lt;30,$BB154&gt;=21),1,$BS153)))</f>
        <v>#N/A</v>
      </c>
      <c r="BP154" s="140" t="e">
        <f ca="1">IF($BL154&lt;0,-$BL154,$BO154*IF(OR($G154&lt;Control!$C$92,$G154&gt;Control!$C$95),0,IF(AND($G154&gt;=Control!$C$92,$G154&lt;=Control!$C$93),$G154-Control!$C$92,IF(AND($G154&gt;Control!$C$93,$G154&lt;=Control!$C$94),Control!$C$93-Control!$C$92,IF(AND($G154&gt;Control!$C$94,$G154&lt;=Control!$C$95),(Control!$C$93-Control!$C$92)*(Control!$C$94-$G154)/(Control!$C$95-Control!$C$94))))))</f>
        <v>#N/A</v>
      </c>
      <c r="BQ154" s="140" t="e">
        <f t="shared" ca="1" si="482"/>
        <v>#N/A</v>
      </c>
      <c r="BR154" s="140" t="e">
        <f ca="1">IF($BQ154&lt;=Control!$C$88,$BQ154,Control!$C$88-$BQ154)</f>
        <v>#N/A</v>
      </c>
      <c r="BS154" s="140" t="e">
        <f ca="1">IF(AND($BB154&gt;=21,$BB154&lt;30),1,IF($BQ154&gt;=Control!$C$88,0,$BO154))</f>
        <v>#N/A</v>
      </c>
      <c r="BT154" s="404" t="e">
        <f ca="1">IF($BS154=0,0,IF($BQ154&lt;=Control!$C$88,$BO154*(21+(30-21)*(BR154/Control!$C$88)),0))</f>
        <v>#N/A</v>
      </c>
      <c r="BU154" s="140" t="e">
        <f ca="1">IF(BG154+BM154+BS154=1,0,IF(OR(AND($BB154&lt;60,$BB154&gt;=30),$BQ154&gt;=Control!$C$88),1*$BA154,$BY153))</f>
        <v>#N/A</v>
      </c>
      <c r="BV154" s="140" t="e">
        <f ca="1">IF($BR154&lt;0,-$BR154,$BU154*IF(OR($G154&lt;Control!$C$92,$G154&gt;Control!$C$95),0,IF(AND($G154&gt;=Control!$C$92,$G154&lt;=Control!$C$93),$G154-Control!$C$92,IF(AND($G154&gt;Control!$C$93,$G154&lt;=Control!$C$94),Control!$C$93-Control!$C$92,IF(AND($G154&gt;Control!$C$94,$G154&lt;=Control!$C$95),(Control!$C$93-Control!$C$92)*(Control!$C$94-$G154)/(Control!$C$95-Control!$C$94))))))</f>
        <v>#N/A</v>
      </c>
      <c r="BW154" s="140" t="e">
        <f t="shared" ca="1" si="483"/>
        <v>#N/A</v>
      </c>
      <c r="BX154" s="140" t="e">
        <f ca="1">IF($BW154&lt;=Control!$C$89,$BW154,Control!$C$89-$BW154)</f>
        <v>#N/A</v>
      </c>
      <c r="BY154" s="140" t="e">
        <f ca="1">IF(AND($AJ154&gt;=30,$AJ154&lt;60),1,IF($BW154&gt;=Control!$C$89,0,$BU154))</f>
        <v>#N/A</v>
      </c>
      <c r="BZ154" s="404" t="e">
        <f ca="1">IF($BY154=0,0,IF($BW154&lt;=Control!$C$89,$BU154*(30+(60-30)*(BX154/Control!$C$89)),0))</f>
        <v>#N/A</v>
      </c>
      <c r="CA154" s="140" t="e">
        <f ca="1">IF($BG154+$BM154+$BS154+$BY154=1,0,IF(OR(AND($BB154&lt;65,$BB154&gt;=60),$BW154&gt;=Control!$C$89),1*$BA154,$CE153))</f>
        <v>#N/A</v>
      </c>
      <c r="CB154" s="140" t="e">
        <f ca="1">IF($BX154&lt;0,-$BX154,$CA154*IF(OR($G154&lt;Control!$C$92,$G154&gt;Control!$C$95),0,IF(AND($G154&gt;=Control!$C$92,$G154&lt;=Control!$C$93),$G154-Control!$C$92,IF(AND($G154&gt;Control!$C$93,$G154&lt;=Control!$C$94),Control!$C$93-Control!$C$92,IF(AND($G154&gt;Control!$C$94,$G154&lt;=Control!$C$95),(Control!$C$93-Control!$C$92)*(Control!$C$94-$G154)/(Control!$C$95-Control!$C$94))))))</f>
        <v>#N/A</v>
      </c>
      <c r="CC154" s="140" t="e">
        <f t="shared" ca="1" si="599"/>
        <v>#N/A</v>
      </c>
      <c r="CD154" s="140" t="e">
        <f ca="1">IF($CC154&lt;=Control!$C$90,$CC154,Control!$C$90-$CC154)</f>
        <v>#N/A</v>
      </c>
      <c r="CE154" s="140" t="e">
        <f ca="1">IF(AND($BB154&gt;=60,$BB154&lt;65),1,IF($CC154&gt;=Control!$C$90,0,$CA154))</f>
        <v>#N/A</v>
      </c>
      <c r="CF154" s="404" t="e">
        <f ca="1">IF($CE154=0,0,IF($CC154&lt;=Control!$C$90,$CA154*(60+(65-60)*(CD154/Control!$C$90)),0))</f>
        <v>#N/A</v>
      </c>
      <c r="CG154" s="140" t="e">
        <f ca="1">IF($BG154+$BM154+$BS154+$BY154+$CE154=1,0,IF(OR(AND($BB154&lt;90,$BB154&gt;=65),$CC154&gt;=Control!$C$90),$BA154,$CK153))</f>
        <v>#N/A</v>
      </c>
      <c r="CH154" s="140" t="e">
        <f ca="1">IF($CD154&lt;0,-$CD154,$CG154*IF(OR($G154&lt;Control!$C$92,$G154&gt;Control!$C$95),0,IF(AND($G154&gt;=Control!$C$92,$G154&lt;=Control!$C$93),$G154-Control!$C$92,IF(AND($G154&gt;Control!$C$93,$G154&lt;=Control!$C$94),Control!$C$93-Control!$C$92,IF(AND($G154&gt;Control!$C$94,$G154&lt;=Control!$C$95),(Control!$C$93-Control!$C$92)*(Control!$C$94-$G154)/(Control!$C$95-Control!$C$94))))))</f>
        <v>#N/A</v>
      </c>
      <c r="CI154" s="140" t="e">
        <f t="shared" ca="1" si="600"/>
        <v>#N/A</v>
      </c>
      <c r="CJ154" s="140" t="e">
        <f ca="1">IF($CI154&lt;=Control!$C$91,$CI154,Control!$C$91-$CI154)</f>
        <v>#N/A</v>
      </c>
      <c r="CK154" s="140" t="e">
        <f ca="1">IF(AND($BB154&gt;=65,$BB154&lt;90),1,IF($CI154&gt;=Control!$C$91,0,$CG154))</f>
        <v>#N/A</v>
      </c>
      <c r="CL154" s="404" t="e">
        <f ca="1">IF($CK154=0,0,IF($CI154&lt;=Control!$C$91,$CG154*(65+(90-65)*($CJ154/Control!$C$91)),0))</f>
        <v>#N/A</v>
      </c>
      <c r="CM154" s="140" t="e">
        <f ca="1">IF($BG154+$BM154+$BS154+$BY154+$CE154+$CK154=1,0,IF(OR($BB154&gt;=90,$CI154&gt;=Control!$C$91),$BA154,$CM153))</f>
        <v>#N/A</v>
      </c>
      <c r="CN154" s="140" t="e">
        <f t="shared" ca="1" si="601"/>
        <v>#N/A</v>
      </c>
      <c r="CO154" s="140" t="e">
        <f t="shared" ca="1" si="602"/>
        <v>#N/A</v>
      </c>
      <c r="CP154" s="140" t="e">
        <f t="shared" ca="1" si="603"/>
        <v>#N/A</v>
      </c>
      <c r="CQ154" s="141" t="e">
        <f ca="1">VLOOKUP($CP154,Control!$B$86:$G$91,6)</f>
        <v>#N/A</v>
      </c>
      <c r="CR154" s="141" t="e">
        <f ca="1">(1-$CQ154)*VLOOKUP($CP154,Control!$B$86:$D$91,3)</f>
        <v>#N/A</v>
      </c>
      <c r="CS154" s="141" t="e">
        <f ca="1">(1-$CQ154)*VLOOKUP($CP154,Control!$B$86:$E$91,4)</f>
        <v>#N/A</v>
      </c>
      <c r="CT154" s="141" t="e">
        <f ca="1">(1-$CQ154)*VLOOKUP($CP154,Control!$B$86:$F$91,5)</f>
        <v>#N/A</v>
      </c>
      <c r="CU154" s="141">
        <f t="shared" ca="1" si="604"/>
        <v>0</v>
      </c>
      <c r="CV154" s="583">
        <f t="shared" ca="1" si="605"/>
        <v>0</v>
      </c>
      <c r="CW154" s="142">
        <f t="shared" ca="1" si="606"/>
        <v>150</v>
      </c>
      <c r="CX154" s="612" t="e">
        <f ca="1">IF(Control!$C$114=1,(MIN(Control!$C$120*(IF($NT154-0.01&lt;0,0,1)),Control!$C$119-$CY154)))</f>
        <v>#DIV/0!</v>
      </c>
      <c r="CY154" s="143" t="e">
        <f t="shared" ca="1" si="607"/>
        <v>#N/A</v>
      </c>
      <c r="CZ154" s="144">
        <f t="shared" ca="1" si="484"/>
        <v>0</v>
      </c>
      <c r="DA154" s="144">
        <f t="shared" ca="1" si="485"/>
        <v>0</v>
      </c>
      <c r="DB154" s="144" t="e">
        <f t="shared" ca="1" si="486"/>
        <v>#N/A</v>
      </c>
      <c r="DC154" s="144" t="e">
        <f t="shared" ca="1" si="487"/>
        <v>#N/A</v>
      </c>
      <c r="DD154" s="144" t="e">
        <f t="shared" ca="1" si="692"/>
        <v>#N/A</v>
      </c>
      <c r="DE154" s="143" t="e">
        <f t="shared" ca="1" si="608"/>
        <v>#N/A</v>
      </c>
      <c r="DF154" s="145" t="e">
        <f ca="1">$DR154*EXP(-Control!$C$158*(1-$KH154))</f>
        <v>#N/A</v>
      </c>
      <c r="DG154" s="146" t="e">
        <f ca="1">IF(Control!$C$114=1, $DF154*$EY154, 0)</f>
        <v>#N/A</v>
      </c>
      <c r="DH154" s="147" t="e">
        <f t="shared" ca="1" si="609"/>
        <v>#N/A</v>
      </c>
      <c r="DI154" s="144" t="e">
        <f t="shared" ca="1" si="670"/>
        <v>#N/A</v>
      </c>
      <c r="DJ154" s="147" t="e">
        <f ca="1">$EF154*Control!$C$109</f>
        <v>#N/A</v>
      </c>
      <c r="DK154" s="144" t="e">
        <f t="shared" ca="1" si="610"/>
        <v>#N/A</v>
      </c>
      <c r="DL154" s="144" t="e">
        <f t="shared" ca="1" si="488"/>
        <v>#N/A</v>
      </c>
      <c r="DM154" s="144" t="e">
        <f ca="1">IF(Control!$C$114=1, (1-EXP(-Control!$C$96*$DK154))*$AR154, 0)</f>
        <v>#N/A</v>
      </c>
      <c r="DN154" s="144">
        <f t="shared" ca="1" si="611"/>
        <v>0</v>
      </c>
      <c r="DO154" s="148">
        <f>Control!$C$97</f>
        <v>4</v>
      </c>
      <c r="DP154" s="145" t="e">
        <f t="shared" ca="1" si="612"/>
        <v>#N/A</v>
      </c>
      <c r="DQ154" s="145" t="e">
        <f ca="1">IF(AND($CP154&gt;=0,$CP154&lt;=90),Control!$C$111,Control!$C$111)</f>
        <v>#N/A</v>
      </c>
      <c r="DR154" s="145" t="e">
        <f t="shared" ca="1" si="489"/>
        <v>#N/A</v>
      </c>
      <c r="DS154" s="143" t="e">
        <f ca="1">Control!$B$22/$DR154</f>
        <v>#N/A</v>
      </c>
      <c r="DT154" s="149" t="e">
        <f ca="1">IF(AND(Control!$C$114=1,$KH154&lt;1),$IM154*$DF154, 0)</f>
        <v>#N/A</v>
      </c>
      <c r="DU154" s="144" t="e">
        <f t="shared" ca="1" si="613"/>
        <v>#N/A</v>
      </c>
      <c r="DV154" s="144">
        <f ca="1">IF($G154-Control!$C$107&lt;=0, 0, 0.83*LN(MAX($G154, 3))-0.8924)</f>
        <v>0</v>
      </c>
      <c r="DW154" s="144" t="e">
        <f t="shared" ca="1" si="490"/>
        <v>#N/A</v>
      </c>
      <c r="DX154" s="150" t="e">
        <f ca="1">MAX(0.01*(1+$CU154/Control!$C$102),0.05*($DK154-Control!$C$97)/Control!$C$97)</f>
        <v>#N/A</v>
      </c>
      <c r="DY154" s="151" t="e">
        <f ca="1">IF(Control!$C$114=1, $DI154*$FS154, 0)</f>
        <v>#N/A</v>
      </c>
      <c r="DZ154" s="196" t="e">
        <f t="shared" ca="1" si="614"/>
        <v>#N/A</v>
      </c>
      <c r="EA154" s="152">
        <f t="shared" ca="1" si="615"/>
        <v>150</v>
      </c>
      <c r="EB154" s="153" t="e">
        <f t="shared" ca="1" si="616"/>
        <v>#N/A</v>
      </c>
      <c r="EC154" s="153" t="e">
        <f t="shared" ca="1" si="617"/>
        <v>#N/A</v>
      </c>
      <c r="ED154" s="154" t="e">
        <f ca="1">IF(Control!$C$114=1, $HM154*$FY154-$FD154, 0)</f>
        <v>#DIV/0!</v>
      </c>
      <c r="EE154" s="155" t="e">
        <f ca="1">IF(Control!$C$114=1, $HM154*$FZ154-$FF154, 0)</f>
        <v>#DIV/0!</v>
      </c>
      <c r="EF154" s="153" t="e">
        <f t="shared" ca="1" si="671"/>
        <v>#N/A</v>
      </c>
      <c r="EG154" s="155" t="e">
        <f ca="1">IF(Control!$C$114=1, $GX154*$FW154-$FI154, 0)</f>
        <v>#DIV/0!</v>
      </c>
      <c r="EH154" s="153" t="e">
        <f t="shared" ca="1" si="618"/>
        <v>#N/A</v>
      </c>
      <c r="EI154" s="156" t="e">
        <f t="shared" ca="1" si="619"/>
        <v>#N/A</v>
      </c>
      <c r="EJ154" s="155" t="e">
        <f ca="1">IF(Control!$C$114=1, $HM154*$GB154, 0)</f>
        <v>#DIV/0!</v>
      </c>
      <c r="EK154" s="153" t="e">
        <f t="shared" ca="1" si="672"/>
        <v>#N/A</v>
      </c>
      <c r="EL154" s="153" t="e">
        <f t="shared" ca="1" si="491"/>
        <v>#N/A</v>
      </c>
      <c r="EM154" s="153" t="e">
        <f t="shared" ca="1" si="492"/>
        <v>#N/A</v>
      </c>
      <c r="EN154" s="153" t="e">
        <f ca="1">IF(Control!$C$108=1,IF(AND(Control!$B$18=1,$EB154&gt;=Control!$B$19),$EB154-$DS154,IF(AND(Control!$B$18=2,$AW154=1,$EB154&gt;$DS154),$EB154-$DS154,0)))</f>
        <v>#N/A</v>
      </c>
      <c r="EO154" s="153" t="e">
        <f ca="1">IF(Control!$C$108=1,IF(AND(Control!$B$18=1,$EB154&gt;=Control!$B$19),$EF154,IF(AND(Control!$B$18=2,$AW154=1),$EF154,0)))</f>
        <v>#N/A</v>
      </c>
      <c r="EP154" s="153" t="e">
        <f ca="1">IF(Control!$C$108=1,IF(AND(Control!$B$18=1,$EB154&gt;=Control!$B$19),$EK154,IF(AND(Control!$B$18=2,$AW154=1),$EK154,0)))</f>
        <v>#N/A</v>
      </c>
      <c r="EQ154" s="153" t="e">
        <f t="shared" ca="1" si="620"/>
        <v>#N/A</v>
      </c>
      <c r="ER154" s="153" t="e">
        <f t="shared" ca="1" si="621"/>
        <v>#N/A</v>
      </c>
      <c r="ES154" s="153" t="e">
        <f t="shared" ca="1" si="673"/>
        <v>#N/A</v>
      </c>
      <c r="ET154" s="153" t="e">
        <f t="shared" ca="1" si="674"/>
        <v>#N/A</v>
      </c>
      <c r="EU154" s="153" t="e">
        <f t="shared" ca="1" si="622"/>
        <v>#N/A</v>
      </c>
      <c r="EV154" s="153" t="e">
        <f t="shared" ca="1" si="493"/>
        <v>#N/A</v>
      </c>
      <c r="EW154" s="153" t="e">
        <f t="shared" ca="1" si="494"/>
        <v>#N/A</v>
      </c>
      <c r="EX154" s="153" t="e">
        <f t="shared" ca="1" si="495"/>
        <v>#N/A</v>
      </c>
      <c r="EY154" s="157" t="e">
        <f t="shared" ca="1" si="496"/>
        <v>#DIV/0!</v>
      </c>
      <c r="EZ154" s="154" t="e">
        <f t="shared" ca="1" si="497"/>
        <v>#DIV/0!</v>
      </c>
      <c r="FA154" s="153" t="e">
        <f t="shared" ca="1" si="623"/>
        <v>#N/A</v>
      </c>
      <c r="FB154" s="153" t="e">
        <f t="shared" ca="1" si="498"/>
        <v>#N/A</v>
      </c>
      <c r="FC154" s="193" t="e">
        <f t="shared" ca="1" si="499"/>
        <v>#N/A</v>
      </c>
      <c r="FD154" s="158" t="e">
        <f t="shared" ca="1" si="624"/>
        <v>#N/A</v>
      </c>
      <c r="FE154" s="158" t="e">
        <f t="shared" ca="1" si="625"/>
        <v>#N/A</v>
      </c>
      <c r="FF154" s="159" t="e">
        <f t="shared" ca="1" si="500"/>
        <v>#N/A</v>
      </c>
      <c r="FG154" s="160" t="e">
        <f t="shared" ca="1" si="626"/>
        <v>#N/A</v>
      </c>
      <c r="FH154" s="158" t="e">
        <f t="shared" ca="1" si="627"/>
        <v>#N/A</v>
      </c>
      <c r="FI154" s="159" t="e">
        <f t="shared" ca="1" si="501"/>
        <v>#N/A</v>
      </c>
      <c r="FJ154" s="160" t="e">
        <f t="shared" ca="1" si="628"/>
        <v>#N/A</v>
      </c>
      <c r="FK154" s="160" t="e">
        <f t="shared" ca="1" si="502"/>
        <v>#N/A</v>
      </c>
      <c r="FL154" s="160" t="e">
        <f t="shared" ca="1" si="675"/>
        <v>#N/A</v>
      </c>
      <c r="FM154" s="160" t="e">
        <f t="shared" ca="1" si="503"/>
        <v>#N/A</v>
      </c>
      <c r="FN154" s="158">
        <f t="shared" ca="1" si="629"/>
        <v>0.01</v>
      </c>
      <c r="FO154" s="160">
        <f>Control!$C$101</f>
        <v>50</v>
      </c>
      <c r="FP154" s="150" t="e">
        <f t="shared" ca="1" si="504"/>
        <v>#N/A</v>
      </c>
      <c r="FQ154" s="150" t="e">
        <f ca="1">MAX(0,(Control!$C$112*(($DK154-Control!$C$97)/Control!$C$97)))</f>
        <v>#N/A</v>
      </c>
      <c r="FR154" s="150" t="e">
        <f ca="1">(1-$NT154)*Control!$C$113</f>
        <v>#DIV/0!</v>
      </c>
      <c r="FS154" s="198" t="e">
        <f t="shared" ca="1" si="505"/>
        <v>#N/A</v>
      </c>
      <c r="FT154" s="161">
        <f t="shared" ca="1" si="630"/>
        <v>150</v>
      </c>
      <c r="FU154" s="162" t="e">
        <f ca="1">IF(Control!$B$34=1,VLOOKUP($CP154,Control!$B$86:$G$91,6),Control!$B$35)</f>
        <v>#N/A</v>
      </c>
      <c r="FV154" s="162" t="e">
        <f t="shared" ca="1" si="506"/>
        <v>#DIV/0!</v>
      </c>
      <c r="FW154" s="162" t="e">
        <f ca="1">IF(Control!$B$31=1,$FU154*$FV154,  $FU154)</f>
        <v>#N/A</v>
      </c>
      <c r="FX154" s="162" t="e">
        <f ca="1">IF(Control!$B$34=1,VLOOKUP($CP154,Control!$B$86:$G$91,3),Control!$B$36)</f>
        <v>#N/A</v>
      </c>
      <c r="FY154" s="162" t="e">
        <f t="shared" ca="1" si="507"/>
        <v>#N/A</v>
      </c>
      <c r="FZ154" s="162" t="e">
        <f ca="1">IF(Control!$B$34=1,VLOOKUP($CP154,Control!$B$86:$G$91,4),Control!$B$37)</f>
        <v>#N/A</v>
      </c>
      <c r="GA154" s="162" t="e">
        <f t="shared" ca="1" si="508"/>
        <v>#N/A</v>
      </c>
      <c r="GB154" s="162" t="e">
        <f ca="1">IF(Control!$B$34=1,VLOOKUP($CP154,Control!$B$86:$G$91,5),Control!$B$38)</f>
        <v>#N/A</v>
      </c>
      <c r="GC154" s="162" t="e">
        <f t="shared" ca="1" si="631"/>
        <v>#N/A</v>
      </c>
      <c r="GD154" s="162">
        <f t="shared" ca="1" si="509"/>
        <v>1</v>
      </c>
      <c r="GE154" s="162">
        <f t="shared" ca="1" si="510"/>
        <v>1</v>
      </c>
      <c r="GF154" s="162">
        <f ca="1">IF(AND(Control!$C$104=1, Control!$C$62="F"),$GE154,1)</f>
        <v>1</v>
      </c>
      <c r="GG154" s="162" t="e">
        <f ca="1">IF(Control!$B$16=40,0,IF(AND(Control!$B$16&gt;40,Control!$B$16&lt;=360),(Control!$B$16-40)*((1-0)/(360-40)),IF(AND(Control!$B$16&gt;360,Control!$B$16&lt;=720),(1+(Control!$B$16-360)*((1.25-1)/(720-360))),IF(AND(Control!$B$16&gt;720,Control!$B$16&lt;=1000),(1.25+(Control!$B$16-720)*((1.35-1.25)/(1000-720))),IF(AND(Control!$B$16&gt;1000,Control!$B$16&lt;=2000),(1.35+(Control!$B$16-1000)*0))))))</f>
        <v>#N/A</v>
      </c>
      <c r="GH154" s="162" t="e">
        <f t="shared" ca="1" si="511"/>
        <v>#N/A</v>
      </c>
      <c r="GI154" s="162">
        <f t="shared" ca="1" si="632"/>
        <v>0</v>
      </c>
      <c r="GJ154" s="162">
        <f t="shared" ca="1" si="512"/>
        <v>0</v>
      </c>
      <c r="GK154" s="162">
        <f t="shared" ca="1" si="633"/>
        <v>1</v>
      </c>
      <c r="GL154" s="162">
        <f t="shared" ca="1" si="513"/>
        <v>1</v>
      </c>
      <c r="GM154" s="162" t="e">
        <f ca="1">MAX(0,MIN(1,1-Control!$C$156*(1.0001-$KH154)^2))</f>
        <v>#N/A</v>
      </c>
      <c r="GN154" s="162" t="e">
        <f ca="1">IF(Control!$B$26=1,$KU154,$KX154)</f>
        <v>#N/A</v>
      </c>
      <c r="GO154" s="162" t="e">
        <f ca="1">IF($CP154&lt;=60,Control!$C$105,IF($CP154&gt;=90,Control!$C$106,Control!$C$105+($CP154-60)*((Control!$C$106-Control!$C$105)/(90-60))))</f>
        <v>#N/A</v>
      </c>
      <c r="GP154" s="162" t="e">
        <f t="shared" ca="1" si="514"/>
        <v>#N/A</v>
      </c>
      <c r="GQ154" s="162" t="e">
        <f t="shared" ca="1" si="634"/>
        <v>#N/A</v>
      </c>
      <c r="GR154" s="163" t="e">
        <f t="shared" ca="1" si="515"/>
        <v>#DIV/0!</v>
      </c>
      <c r="GS154" s="162" t="e">
        <f t="shared" ca="1" si="516"/>
        <v>#DIV/0!</v>
      </c>
      <c r="GT154" s="164" t="e">
        <f t="shared" ca="1" si="635"/>
        <v>#N/A</v>
      </c>
      <c r="GU154" s="162" t="e">
        <f t="shared" ca="1" si="636"/>
        <v>#N/A</v>
      </c>
      <c r="GV154" s="162" t="e">
        <f t="shared" ca="1" si="517"/>
        <v>#N/A</v>
      </c>
      <c r="GW154" s="162" t="e">
        <f t="shared" ca="1" si="518"/>
        <v>#DIV/0!</v>
      </c>
      <c r="GX154" s="162" t="e">
        <f t="shared" ca="1" si="637"/>
        <v>#DIV/0!</v>
      </c>
      <c r="GY154" s="162" t="e">
        <f t="shared" ca="1" si="638"/>
        <v>#DIV/0!</v>
      </c>
      <c r="GZ154" s="165" t="e">
        <f t="shared" ca="1" si="519"/>
        <v>#N/A</v>
      </c>
      <c r="HA154" s="162" t="e">
        <f ca="1">IF(Control!$C$114=1, $DI154*$FS154, 0)</f>
        <v>#N/A</v>
      </c>
      <c r="HB154" s="162" t="e">
        <f ca="1">$FA154/Control!$C$64</f>
        <v>#N/A</v>
      </c>
      <c r="HC154" s="162" t="e">
        <f t="shared" ca="1" si="520"/>
        <v>#DIV/0!</v>
      </c>
      <c r="HD154" s="162">
        <f ca="1">-ASIN(SIN(23.45*Control!$C$139)*COS(2*Control!$C$138*($AH154+10)/365))</f>
        <v>0.37736513511724296</v>
      </c>
      <c r="HE154" s="165">
        <f t="shared" ca="1" si="639"/>
        <v>0</v>
      </c>
      <c r="HF154" s="166">
        <f ca="1">IF(AND(Control!$C$61="T",$HE154&gt;=Control!$C$103,Control!$C$114=0),$AH154,Control!$C$59)</f>
        <v>1</v>
      </c>
      <c r="HG154" s="166">
        <f ca="1">IF(AND(Control!$C$61="T",$HE154&gt;=Control!$C$103,Control!$C$114=0),$HF154,Control!$C$59)</f>
        <v>1</v>
      </c>
      <c r="HH154" s="165">
        <f ca="1">IF(AND(OR(Control!$C$60&lt;=0, $AH154= Control!$C$59, Control!$C$60 &gt;0, $AH154 = Control!$C$60)), Control!$C$59, IF(Control!$C$60&gt;0, 0))</f>
        <v>1</v>
      </c>
      <c r="HI154" s="165">
        <f ca="1">IF(AND(OR(Control!$C$60&lt;=0, $AH154= Control!$C$59, Control!$C$60 &gt;0, $AH154 = Control!$C$60)), Control!$C$60, IF(Control!$C$60&lt;=0, 0))</f>
        <v>0</v>
      </c>
      <c r="HJ154" s="166">
        <f ca="1">IF(AND(Control!$C$62="F",$CV154&gt;=Control!$C$102),$AH154,0)</f>
        <v>0</v>
      </c>
      <c r="HK154" s="165" t="e">
        <f t="shared" ca="1" si="676"/>
        <v>#N/A</v>
      </c>
      <c r="HL154" s="166">
        <f ca="1">IF(AND(Control!$C$61="T",$HE154&gt;=Control!$C$103,Control!$C$114=0),$HF154,0)</f>
        <v>0</v>
      </c>
      <c r="HM154" s="201" t="e">
        <f t="shared" ca="1" si="521"/>
        <v>#DIV/0!</v>
      </c>
      <c r="HN154" s="215">
        <f t="shared" ca="1" si="640"/>
        <v>150</v>
      </c>
      <c r="HO154" s="216" t="e">
        <f ca="1">IF(AND($CP154&gt;=0, $CP154&lt;=90), Control!$C$152, Control!$C$152)</f>
        <v>#N/A</v>
      </c>
      <c r="HP154" s="216" t="e">
        <f t="shared" ca="1" si="522"/>
        <v>#N/A</v>
      </c>
      <c r="HQ154" s="217" t="e">
        <f ca="1">IF(OR(Control!$B$26=1,Control!$B$26=2),$KV154,$KS154)</f>
        <v>#DIV/0!</v>
      </c>
      <c r="HR154" s="218" t="e">
        <f t="shared" ca="1" si="677"/>
        <v>#DIV/0!</v>
      </c>
      <c r="HS154" s="216" t="e">
        <f ca="1">Control!$C$154*$HP154</f>
        <v>#N/A</v>
      </c>
      <c r="HT154" s="216" t="e">
        <f ca="1">Control!$C$155*$HP154</f>
        <v>#N/A</v>
      </c>
      <c r="HU154" s="217" t="e">
        <f ca="1">Control!$C$161*$FI154</f>
        <v>#N/A</v>
      </c>
      <c r="HV154" s="218" t="e">
        <f t="shared" ca="1" si="641"/>
        <v>#N/A</v>
      </c>
      <c r="HW154" s="218" t="e">
        <f ca="1">Control!$C$160*$FF154+$IP154*$EO154</f>
        <v>#N/A</v>
      </c>
      <c r="HX154" s="218" t="e">
        <f t="shared" ca="1" si="678"/>
        <v>#N/A</v>
      </c>
      <c r="HY154" s="219" t="e">
        <f ca="1">IF(Control!$C$114=1, $EB154*$FS154, 0)</f>
        <v>#N/A</v>
      </c>
      <c r="HZ154" s="91" t="e">
        <f t="shared" ca="1" si="523"/>
        <v>#N/A</v>
      </c>
      <c r="IA154" s="220" t="e">
        <f ca="1">Control!$C$153*$HO154</f>
        <v>#N/A</v>
      </c>
      <c r="IB154" s="218" t="e">
        <f t="shared" ca="1" si="524"/>
        <v>#N/A</v>
      </c>
      <c r="IC154" s="220" t="e">
        <f ca="1">Control!$C$153*$HT154</f>
        <v>#N/A</v>
      </c>
      <c r="ID154" s="218" t="e">
        <f t="shared" ca="1" si="525"/>
        <v>#N/A</v>
      </c>
      <c r="IE154" s="221" t="e">
        <f ca="1">($EB154*Control!$C$159+$EF154*Control!$C$160)/(IF($GZ154&lt;&gt;0,$GZ154,1))</f>
        <v>#N/A</v>
      </c>
      <c r="IF154" s="216" t="e">
        <f t="shared" ca="1" si="526"/>
        <v>#N/A</v>
      </c>
      <c r="IG154" s="91">
        <f ca="1">IF(OR(Control!$B$198=$AH154,Control!$B$199=$AH154, Control!$B$200=$AH154, Control!$B$201=$AH154, Control!$B$202=$AH154, Control!$B$203=$AH154, Control!$B$204=$AH154, Control!$B$205=$AH154, Control!$B$206=$AH154, Control!$B$207=$AH154), 1, 0)</f>
        <v>0</v>
      </c>
      <c r="IH154" s="91">
        <f ca="1">IF($IG154=0,0, VLOOKUP($AH154,Control!$B$198:$C$207,2))</f>
        <v>0</v>
      </c>
      <c r="II154" s="222">
        <f t="shared" ca="1" si="642"/>
        <v>0</v>
      </c>
      <c r="IJ154" s="91">
        <f>Control!$C$121</f>
        <v>0.7</v>
      </c>
      <c r="IK154" s="218">
        <f t="shared" ca="1" si="527"/>
        <v>0</v>
      </c>
      <c r="IL154" s="217" t="e">
        <f t="shared" ca="1" si="679"/>
        <v>#N/A</v>
      </c>
      <c r="IM154" s="223" t="e">
        <f ca="1">IF(AND(Control!$C$114=1,$KH154&lt;1),$EB154*Control!$C$148*(1-$KH154), 0)</f>
        <v>#N/A</v>
      </c>
      <c r="IN154" s="217" t="e">
        <f t="shared" ca="1" si="528"/>
        <v>#DIV/0!</v>
      </c>
      <c r="IO154" s="91" t="e">
        <f ca="1">MAX(0,$IL154-$EF154*Control!$C$160)</f>
        <v>#N/A</v>
      </c>
      <c r="IP154" s="220" t="e">
        <f t="shared" ca="1" si="529"/>
        <v>#N/A</v>
      </c>
      <c r="IQ154" s="217" t="e">
        <f t="shared" ca="1" si="643"/>
        <v>#N/A</v>
      </c>
      <c r="IR154" s="218" t="e">
        <f t="shared" ca="1" si="530"/>
        <v>#N/A</v>
      </c>
      <c r="IS154" s="217" t="e">
        <f ca="1">Control!$C$159*MAX(0,$FD154-$EN154)</f>
        <v>#N/A</v>
      </c>
      <c r="IT154" s="217" t="e">
        <f t="shared" ca="1" si="680"/>
        <v>#N/A</v>
      </c>
      <c r="IU154" s="217" t="e">
        <f t="shared" ca="1" si="644"/>
        <v>#N/A</v>
      </c>
      <c r="IV154" s="217" t="e">
        <f t="shared" ca="1" si="681"/>
        <v>#N/A</v>
      </c>
      <c r="IW154" s="217" t="e">
        <f ca="1">IF(OR($AW154=1,AND($AW154=0, Control!$B$18=1,$EN154&lt;&gt;0)), $IQ154-$IU154, $IQ154)</f>
        <v>#N/A</v>
      </c>
      <c r="IX154" s="218" t="e">
        <f t="shared" ca="1" si="531"/>
        <v>#N/A</v>
      </c>
      <c r="IY154" s="218" t="e">
        <f ca="1">MAX(0,$IQ154-$EB154*Control!$C$159)</f>
        <v>#N/A</v>
      </c>
      <c r="IZ154" s="218" t="e">
        <f t="shared" ca="1" si="532"/>
        <v>#N/A</v>
      </c>
      <c r="JA154" s="216" t="e">
        <f t="shared" ca="1" si="533"/>
        <v>#N/A</v>
      </c>
      <c r="JB154" s="217" t="e">
        <f t="shared" ca="1" si="534"/>
        <v>#N/A</v>
      </c>
      <c r="JC154" s="222" t="e">
        <f ca="1">MAX(Control!$C$157*$EK154-$JT154, 0)/Control!$C$162</f>
        <v>#N/A</v>
      </c>
      <c r="JD154" s="218" t="e">
        <f t="shared" ca="1" si="535"/>
        <v>#N/A</v>
      </c>
      <c r="JE154" s="218" t="e">
        <f t="shared" ca="1" si="536"/>
        <v>#N/A</v>
      </c>
      <c r="JF154" s="218" t="e">
        <f t="shared" ca="1" si="645"/>
        <v>#N/A</v>
      </c>
      <c r="JG154" s="218" t="e">
        <f t="shared" ca="1" si="537"/>
        <v>#N/A</v>
      </c>
      <c r="JH154" s="217" t="e">
        <f t="shared" ca="1" si="646"/>
        <v>#N/A</v>
      </c>
      <c r="JI154" s="217" t="e">
        <f t="shared" ca="1" si="647"/>
        <v>#N/A</v>
      </c>
      <c r="JJ154" s="217" t="e">
        <f t="shared" ca="1" si="682"/>
        <v>#N/A</v>
      </c>
      <c r="JK154" s="217" t="e">
        <f ca="1">IF(Control!$C$114=1,IF(Control!$B$24=0,MAX(0,$JI154)*$GN154/Control!$C$64,(MAX(0,MIN($JI154,$JJ154*$GN154/Control!$C$64),0))))</f>
        <v>#N/A</v>
      </c>
      <c r="JL154" s="217" t="e">
        <f ca="1">$IK154/Control!$C$64-$JK154+$HQ154</f>
        <v>#N/A</v>
      </c>
      <c r="JM154" s="217" t="e">
        <f ca="1">IF(Control!$C$114=1,($JB154/(IF($JI154&lt;&gt;0,$JI154,1)))*$JK154,0)</f>
        <v>#N/A</v>
      </c>
      <c r="JN154" s="217" t="e">
        <f ca="1">IF(Control!$C$114=1,($JG154/(IF($JI154&lt;&gt;0,$JI154,1)))*$JK154, 0)</f>
        <v>#N/A</v>
      </c>
      <c r="JO154" s="218" t="e">
        <f t="shared" ca="1" si="538"/>
        <v>#N/A</v>
      </c>
      <c r="JP154" s="218" t="e">
        <f ca="1">MIN(($IY154+$IO154)*Control!$C$151, $JF154-$EH154*Control!$C$161)</f>
        <v>#N/A</v>
      </c>
      <c r="JQ154" s="218" t="e">
        <f t="shared" ca="1" si="539"/>
        <v>#N/A</v>
      </c>
      <c r="JR154" s="217" t="e">
        <f ca="1">IF($CP154-Control!$C$150&lt;0, 0, $JQ154/Control!$C$162)</f>
        <v>#N/A</v>
      </c>
      <c r="JS154" s="218" t="e">
        <f t="shared" ca="1" si="540"/>
        <v>#N/A</v>
      </c>
      <c r="JT154" s="218" t="e">
        <f t="shared" ca="1" si="648"/>
        <v>#N/A</v>
      </c>
      <c r="JU154" s="218" t="e">
        <f t="shared" ca="1" si="541"/>
        <v>#N/A</v>
      </c>
      <c r="JV154" s="218" t="e">
        <f t="shared" ca="1" si="542"/>
        <v>#N/A</v>
      </c>
      <c r="JW154" s="216" t="e">
        <f t="shared" ca="1" si="543"/>
        <v>#N/A</v>
      </c>
      <c r="JX154" s="91" t="e">
        <f t="shared" ca="1" si="544"/>
        <v>#N/A</v>
      </c>
      <c r="JY154" s="218" t="e">
        <f t="shared" ca="1" si="545"/>
        <v>#N/A</v>
      </c>
      <c r="JZ154" s="217" t="e">
        <f ca="1">IF(Control!$C$114=1,($IZ154/(IF($JI154&lt;&gt;0,$JI154,1)))*$JK154, 0)</f>
        <v>#N/A</v>
      </c>
      <c r="KA154" s="218" t="e">
        <f t="shared" ca="1" si="683"/>
        <v>#N/A</v>
      </c>
      <c r="KB154" s="218" t="e">
        <f t="shared" ca="1" si="649"/>
        <v>#N/A</v>
      </c>
      <c r="KC154" s="218" t="e">
        <f t="shared" ca="1" si="546"/>
        <v>#N/A</v>
      </c>
      <c r="KD154" s="218" t="e">
        <f t="shared" ca="1" si="547"/>
        <v>#N/A</v>
      </c>
      <c r="KE154" s="218" t="e">
        <f t="shared" ca="1" si="548"/>
        <v>#N/A</v>
      </c>
      <c r="KF154" s="218" t="e">
        <f t="shared" ca="1" si="549"/>
        <v>#N/A</v>
      </c>
      <c r="KG154" s="216" t="e">
        <f t="shared" ca="1" si="550"/>
        <v>#N/A</v>
      </c>
      <c r="KH154" s="221" t="e">
        <f ca="1">IF(Control!$B$24=0,1,MAX(0.001,MIN(1,IF(($IF154-$IE154)&lt;&gt;0,($KG154-$IE154)/($IF154-$IE154),1))))</f>
        <v>#N/A</v>
      </c>
      <c r="KI154" s="222" t="e">
        <f ca="1">IF(Control!$C$114=1, $KI153+ $KH153, 0)</f>
        <v>#N/A</v>
      </c>
      <c r="KJ154" s="217" t="e">
        <f t="shared" ca="1" si="551"/>
        <v>#N/A</v>
      </c>
      <c r="KK154" s="218" t="e">
        <f t="shared" ca="1" si="552"/>
        <v>#N/A</v>
      </c>
      <c r="KL154" s="274" t="e">
        <f ca="1">IF(Control!$B$26=3,4000000000*EXP(-8400/($G154+273)),IF(Control!$B$26=4,4000000000*EXP(-8400/($G154+273))*($KT154),0))</f>
        <v>#DIV/0!</v>
      </c>
      <c r="KM154" s="274" t="e">
        <f ca="1">IF(Control!$B$26=3,5600000000000*EXP(-9800/($G154+273)),IF(Control!$B$26=4,5600000000000*EXP(-9800/($G154+273))*$KT154,0))</f>
        <v>#DIV/0!</v>
      </c>
      <c r="KN154" s="454" t="e">
        <f t="shared" ca="1" si="650"/>
        <v>#DIV/0!</v>
      </c>
      <c r="KO154" s="274" t="e">
        <f t="shared" ca="1" si="651"/>
        <v>#DIV/0!</v>
      </c>
      <c r="KP154" s="454" t="e">
        <f t="shared" ca="1" si="553"/>
        <v>#DIV/0!</v>
      </c>
      <c r="KQ154" s="454" t="e">
        <f t="shared" ca="1" si="554"/>
        <v>#DIV/0!</v>
      </c>
      <c r="KR154" s="454" t="e">
        <f t="shared" ca="1" si="555"/>
        <v>#DIV/0!</v>
      </c>
      <c r="KS154" s="454" t="e">
        <f t="shared" ca="1" si="556"/>
        <v>#DIV/0!</v>
      </c>
      <c r="KT154" s="455" t="e">
        <f t="shared" ca="1" si="557"/>
        <v>#DIV/0!</v>
      </c>
      <c r="KU154" s="456" t="e">
        <f ca="1">IF($CP154-Control!$C$149&lt;0, IF($NT154-0.01&lt;0,0,1),0)</f>
        <v>#N/A</v>
      </c>
      <c r="KV154" s="456" t="e">
        <f ca="1">IF(Control!$C$114=1,MAX(0,MIN(Control!$C$125*$KW154*$GN154,$KW154)))</f>
        <v>#DIV/0!</v>
      </c>
      <c r="KW154" s="456" t="e">
        <f t="shared" ca="1" si="684"/>
        <v>#DIV/0!</v>
      </c>
      <c r="KX154" s="457" t="e">
        <f ca="1">IF($CP154-Control!$C$149&lt;0, IF($MR154-$OM154&lt;0,0,1),0)</f>
        <v>#N/A</v>
      </c>
      <c r="KY154" s="167">
        <f t="shared" ca="1" si="652"/>
        <v>150</v>
      </c>
      <c r="KZ154" s="168">
        <f ca="1">1370*(1+0.033*COS(2*Control!$C$138*$AH154/365))</f>
        <v>1331.682529995609</v>
      </c>
      <c r="LA154" s="169">
        <f t="shared" ca="1" si="653"/>
        <v>0.97203114954453662</v>
      </c>
      <c r="LB154" s="169">
        <f t="shared" ca="1" si="654"/>
        <v>0.38002596831506935</v>
      </c>
      <c r="LC154" s="169">
        <f ca="1">ACOS(-TAN((2*Control!$B$8/360))*TAN(Calculations!$LB154))</f>
        <v>1.6897926223596935</v>
      </c>
      <c r="LD154" s="169">
        <f ca="1">((24*60)/PI())*0.082*$LA154*(($LC154*SIN(Control!$B$8*2*PI()/360))*SIN($LB154)+COS(Control!$B$8*2*PI()/360)*COS($LB154)*SIN($LC154))</f>
        <v>38.786593228796391</v>
      </c>
      <c r="LE154" s="170">
        <f t="shared" ca="1" si="558"/>
        <v>40.186264403674748</v>
      </c>
      <c r="LF154" s="170">
        <f ca="1">SIN(Control!$C$139*Control!$B$8)*SIN($HD154)</f>
        <v>0.29036059958996113</v>
      </c>
      <c r="LG154" s="170">
        <f ca="1">COS(Control!$C$139*Control!$B$8)*COS($HD154)</f>
        <v>0.57234120108591513</v>
      </c>
      <c r="LH154" s="170">
        <f ca="1">12*(1+2*ASIN(MAX(-1,MIN(1,$LF154/$LG154))/Control!$C$138))</f>
        <v>15.892681593277747</v>
      </c>
      <c r="LI154" s="170">
        <f ca="1">12*(1+2*ASIN(MAX(-1,MIN(1,(-SIN(-4*Control!$C$139)+$LF154)/$LG154))/Control!$C$138))</f>
        <v>16.839453692241833</v>
      </c>
      <c r="LJ154" s="168">
        <f ca="1">3600*($LH154*$LF154+24*$LG154*SQRT(1-$LK154*$LK154)/Control!$C$138)</f>
        <v>30177.060597023272</v>
      </c>
      <c r="LK154" s="170">
        <f t="shared" ca="1" si="559"/>
        <v>0.50732080625866838</v>
      </c>
      <c r="LL154" s="170">
        <f t="shared" ca="1" si="560"/>
        <v>0</v>
      </c>
      <c r="LM154" s="171">
        <f ca="1">Control!$C$145*$AB154</f>
        <v>6.6660906138995932E-2</v>
      </c>
      <c r="LN154" s="170">
        <f t="shared" ca="1" si="655"/>
        <v>0.54</v>
      </c>
      <c r="LO154" s="170">
        <f t="shared" ca="1" si="561"/>
        <v>0</v>
      </c>
      <c r="LP154" s="170">
        <f ca="1">Control!$C$140*((($D154+273.16)^4+($E154+273.16)^4)/2)*(0.34-0.14*SQRT($Y154))*(1.35*$AQ154/(0.75*$LD154)-0.35)</f>
        <v>-3.2464704755046001</v>
      </c>
      <c r="LQ154" s="170">
        <f ca="1">Control!$C$140*($G154+273)^4*(0.56-0.079*SQRT($Y154*10))*(0.1+0.9*$LO154)</f>
        <v>1.5241745131704001</v>
      </c>
      <c r="LR154" s="170">
        <f ca="1">$AQ154*(1-Control!$C$142)-$LQ154</f>
        <v>-1.5241745131704001</v>
      </c>
      <c r="LS154" s="170">
        <f ca="1">$AQ154*(1-Control!$C$143)-$LQ154</f>
        <v>-1.5241745131704001</v>
      </c>
      <c r="LT154" s="170">
        <f ca="1">$AQ154*(1-Control!$C$144)-$LQ154</f>
        <v>-1.5241745131704001</v>
      </c>
      <c r="LU154" s="169">
        <f ca="1">(1-Control!$C$144)*AQ154-LP154</f>
        <v>3.2464704755046001</v>
      </c>
      <c r="LV154" s="172">
        <f t="shared" ca="1" si="562"/>
        <v>0.79430000000000012</v>
      </c>
      <c r="LW154" s="170">
        <f t="shared" ca="1" si="563"/>
        <v>1.5886000000000002</v>
      </c>
      <c r="LX154" s="170">
        <f ca="1">($AC154*($LR154/Control!$C$141)+$LM154*$LV154)/($AC154+$LM154)</f>
        <v>0.23530094218323697</v>
      </c>
      <c r="LY154" s="170">
        <f ca="1">($AC154*($LS154/Control!$C$141)+$LM154*$LV154)/($AC154+$LM154)</f>
        <v>0.23530094218323697</v>
      </c>
      <c r="LZ154" s="170">
        <f t="shared" ca="1" si="564"/>
        <v>0.23530094218323697</v>
      </c>
      <c r="MA154" s="170">
        <f t="shared" ca="1" si="565"/>
        <v>0.23530094218323697</v>
      </c>
      <c r="MB154" s="170" t="e">
        <f t="shared" ca="1" si="566"/>
        <v>#N/A</v>
      </c>
      <c r="MC154" s="170">
        <f t="shared" ca="1" si="656"/>
        <v>0.6018</v>
      </c>
      <c r="MD154" s="170">
        <f t="shared" ca="1" si="567"/>
        <v>0.52989392535414004</v>
      </c>
      <c r="ME154" s="170">
        <f ca="1">($AC154*($LT154/Control!$C$141)+$LM154*$LW154)/($AC154+$LM154)</f>
        <v>0.71612369323045078</v>
      </c>
      <c r="MF154" s="170" t="e">
        <f ca="1">IF(Control!$B$16&gt;=1000,0.92,IF(AND(720&lt;=Control!$B$16,1000&gt;Control!$B$16),(0.95+(Control!$B$16-720)*((0.92-0.95)/(1000-720))),IF(AND(360&lt;=Control!$B$16,720&gt;Control!$B$16),(1+(Control!$B$16-360)*((0.95-1)/(720-360))),IF(AND(40&lt;=Control!$B$16,360&gt;Control!$B$16),(1.05+(Control!$B$16-40)*((1.05-1)/(360-40)))))))</f>
        <v>#N/A</v>
      </c>
      <c r="MG154" s="170">
        <f t="shared" ca="1" si="568"/>
        <v>0.71612369323045078</v>
      </c>
      <c r="MH154" s="170" t="e">
        <f t="shared" ca="1" si="693"/>
        <v>#N/A</v>
      </c>
      <c r="MI154" s="170" t="e">
        <f t="shared" ca="1" si="693"/>
        <v>#N/A</v>
      </c>
      <c r="MJ154" s="170" t="e">
        <f ca="1">MAX(0.0001, Control!$C$132*$MI154*$DL154)</f>
        <v>#N/A</v>
      </c>
      <c r="MK154" s="170">
        <f ca="1">1/(0.76+1.5*($MG154/10))-(5-Control!$C$110)*0.1</f>
        <v>1.002845988140797</v>
      </c>
      <c r="ML154" s="173">
        <f ca="1">IF(Control!$C$110&lt;3,$MK154+($MG154-0.6)/(Control!$C$110*(Control!$C$110+3)), MAX(0.1, MIN(0.95,$MK154)))</f>
        <v>0.95</v>
      </c>
      <c r="MM154" s="173">
        <f ca="1">IF(Control!$C$110&lt;3,$MK154+(($MI154/10)-0.6)/(Control!$C$110*(Control!$C$110+3)), MAX(0.1, MIN(0.95,$MK154)))</f>
        <v>0.95</v>
      </c>
      <c r="MN154" s="173">
        <f ca="1">(1-$MM154)*(Control!$C$128-Control!$C$127)+Control!$C$127</f>
        <v>0.16</v>
      </c>
      <c r="MO154" s="170" t="e">
        <f ca="1">MAX(0,MIN(1,($MS154-Control!$C$127)/($MN154-Control!$C$127)))</f>
        <v>#DIV/0!</v>
      </c>
      <c r="MP154" s="173" t="e">
        <f ca="1">1/(0.76+1.5*$MI154)-(5-Control!$C$110)*0.1</f>
        <v>#N/A</v>
      </c>
      <c r="MQ154" s="172" t="e">
        <f t="shared" ca="1" si="685"/>
        <v>#DIV/0!</v>
      </c>
      <c r="MR154" s="168" t="e">
        <f t="shared" ca="1" si="657"/>
        <v>#DIV/0!</v>
      </c>
      <c r="MS154" s="173" t="e">
        <f ca="1">MAX(Control!$C$127, MIN(Control!$C$135, $MR154/MAX(0.0001,$CY154)))</f>
        <v>#DIV/0!</v>
      </c>
      <c r="MT154" s="168" t="e">
        <f ca="1">(Control!$C$128-$MS154)*Control!$C$74</f>
        <v>#DIV/0!</v>
      </c>
      <c r="MU154" s="168" t="e">
        <f ca="1">(Control!$C$135-$MS154)*Control!$C$74</f>
        <v>#DIV/0!</v>
      </c>
      <c r="MV154" s="168" t="e">
        <f t="shared" ca="1" si="658"/>
        <v>#DIV/0!</v>
      </c>
      <c r="MW154" s="168" t="e">
        <f t="shared" ca="1" si="659"/>
        <v>#DIV/0!</v>
      </c>
      <c r="MX154" s="171" t="e">
        <f ca="1">MAX(Control!$C$127, MIN(Control!$C$135, $MW154/MAX(0.0001,Control!$C$119-$CY154)))</f>
        <v>#DIV/0!</v>
      </c>
      <c r="MY154" s="54" t="e">
        <f ca="1">IF(Control!$C$114=1, $CX154*$MX154, 0)</f>
        <v>#DIV/0!</v>
      </c>
      <c r="MZ154" s="54" t="e">
        <f t="shared" ca="1" si="660"/>
        <v>#N/A</v>
      </c>
      <c r="NA154" s="168" t="e">
        <f ca="1">(Control!$C$128-$MX154)*(Control!$C$119-Control!$C$74)</f>
        <v>#DIV/0!</v>
      </c>
      <c r="NB154" s="168" t="e">
        <f ca="1">(Control!$C$135-$MX154)*(Control!$C$119-Control!$C$74)</f>
        <v>#DIV/0!</v>
      </c>
      <c r="NC154" s="174" t="e">
        <f t="shared" ca="1" si="661"/>
        <v>#DIV/0!</v>
      </c>
      <c r="ND154" s="54">
        <f ca="1">IF(Control!$C$58=2, IF(OR(Control!$B$218=$AH154,Control!$B$219=$AH154, Control!$B$220=$AH154, Control!$B$221=$AH154, Control!$B$222=$AH154, Control!$B$223=$AH154, Control!$B$224=$AH154, Control!$B$225=$AH154, Control!$B$226=$AH154, Control!$B$227=$AH154, Control!$B$228=$AH154), 1, 0), 0)</f>
        <v>0</v>
      </c>
      <c r="NE154" s="54">
        <f ca="1">IF($ND154=0,0, VLOOKUP($AH154,Control!$B$218:$C$228,2))</f>
        <v>0</v>
      </c>
      <c r="NF154" s="168" t="e">
        <f ca="1">$CY154*(Control!$C$128-Control!$C$127)</f>
        <v>#N/A</v>
      </c>
      <c r="NG154" s="54" t="e">
        <f ca="1">IF(Control!$C$58=2, $NI153-$NJ153, 0)</f>
        <v>#DIV/0!</v>
      </c>
      <c r="NH154" s="54" t="e">
        <f ca="1">IF(AND(Control!$C$58=1, $MS153&lt;= ($MN153+0.02), $I153&lt;10), 0, IF(Control!$C$58=2, $NG153, 0))</f>
        <v>#DIV/0!</v>
      </c>
      <c r="NI154" s="54" t="e">
        <f ca="1">IF(Control!$C$58=2, $NE154+$NH154,0)</f>
        <v>#DIV/0!</v>
      </c>
      <c r="NJ154" s="54" t="e">
        <f ca="1">IF(AND(Control!$C$58=1, $MS154&lt;= ($MN154+0.02), $I154&lt;10), MAX(0, MIN(10, 0.7*($NF154-$MV154))), IF(Control!$C$58=2, MIN(10,$NI154),0))</f>
        <v>#DIV/0!</v>
      </c>
      <c r="NK154" s="54" t="e">
        <f t="shared" ca="1" si="569"/>
        <v>#DIV/0!</v>
      </c>
      <c r="NL154" s="173" t="e">
        <f ca="1">(1-Control!$C$73)*$I154+$NJ154</f>
        <v>#DIV/0!</v>
      </c>
      <c r="NM154" s="172" t="e">
        <f ca="1">IF($NL154&lt;0.5, $MB154* MAX(0, MIN(1, (SQRT($NC154)-SQRT($NC154-1))*Control!$C$71)),0)</f>
        <v>#DIV/0!</v>
      </c>
      <c r="NN154" s="170" t="e">
        <f ca="1">IF($NL154&gt;=5, $MB154, MAX(0,MIN($MB154, $NM154+$NL154,($MS154-Control!$C$129))))</f>
        <v>#DIV/0!</v>
      </c>
      <c r="NO154" s="54">
        <f>IF(Control!$C$133&lt;&gt;1, Control!$C$135-Control!$C$131, 0)</f>
        <v>0.38</v>
      </c>
      <c r="NP154" s="54" t="e">
        <f t="shared" ca="1" si="570"/>
        <v>#DIV/0!</v>
      </c>
      <c r="NQ154" s="173" t="e">
        <f ca="1">MAX(0,MIN(1,(Control!$C$135-$MS154)/(Control!$C$135-$NO154)))</f>
        <v>#DIV/0!</v>
      </c>
      <c r="NR154" s="170" t="e">
        <f ca="1">IF(Control!$C$133&lt;&gt;1, $NQ154+((1-$NP154/4)*(1-$NQ154)),1)</f>
        <v>#DIV/0!</v>
      </c>
      <c r="NS154" s="170" t="e">
        <f ca="1">IF(Control!$B$31=0,$MJ154,MAX(0,MIN($MV154,$MO154*$NR154*$MJ154)))</f>
        <v>#DIV/0!</v>
      </c>
      <c r="NT154" s="170" t="e">
        <f t="shared" ca="1" si="686"/>
        <v>#DIV/0!</v>
      </c>
      <c r="NU154" s="170" t="e">
        <f t="shared" ca="1" si="662"/>
        <v>#N/A</v>
      </c>
      <c r="NV154" s="170" t="e">
        <f t="shared" ca="1" si="571"/>
        <v>#N/A</v>
      </c>
      <c r="NW154" s="175" t="e">
        <f t="shared" ca="1" si="572"/>
        <v>#DIV/0!</v>
      </c>
      <c r="NX154" s="170" t="e">
        <f ca="1">MIN(Control!$C$72+$MU154, $NW154)</f>
        <v>#DIV/0!</v>
      </c>
      <c r="NY154" s="170" t="e">
        <f ca="1">IF($MT154&lt;=$NX154,MIN(Control!$C$72+$NB154,$NX154-$MT154),0)</f>
        <v>#DIV/0!</v>
      </c>
      <c r="NZ154" s="54" t="e">
        <f ca="1">IF(Control!$C$114=1,  $CX154*($MX154-Control!$C$127), 0)</f>
        <v>#DIV/0!</v>
      </c>
      <c r="OA154" s="170" t="e">
        <f t="shared" ca="1" si="573"/>
        <v>#DIV/0!</v>
      </c>
      <c r="OB154" s="170" t="e">
        <f ca="1">IF($NA154 &lt;=$NY154, MIN(Control!$C$72, $NY154-$NA154), 0)</f>
        <v>#DIV/0!</v>
      </c>
      <c r="OC154" s="168" t="e">
        <f t="shared" ca="1" si="574"/>
        <v>#DIV/0!</v>
      </c>
      <c r="OD154" s="168" t="e">
        <f t="shared" ca="1" si="663"/>
        <v>#DIV/0!</v>
      </c>
      <c r="OE154" s="170">
        <f ca="1">Control!$C$73*$I154</f>
        <v>0</v>
      </c>
      <c r="OF154" s="176" t="e">
        <f t="shared" ca="1" si="575"/>
        <v>#DIV/0!</v>
      </c>
      <c r="OG154" s="168" t="e">
        <f t="shared" ca="1" si="576"/>
        <v>#DIV/0!</v>
      </c>
      <c r="OH154" s="168" t="e">
        <f t="shared" ca="1" si="577"/>
        <v>#DIV/0!</v>
      </c>
      <c r="OI154" s="168" t="e">
        <f t="shared" ca="1" si="578"/>
        <v>#DIV/0!</v>
      </c>
      <c r="OJ154" s="168" t="e">
        <f t="shared" ca="1" si="579"/>
        <v>#DIV/0!</v>
      </c>
      <c r="OK154" s="204" t="e">
        <f t="shared" ca="1" si="580"/>
        <v>#DIV/0!</v>
      </c>
      <c r="OL154" s="177">
        <f>Control!$C$127</f>
        <v>0.15</v>
      </c>
      <c r="OM154" s="182" t="e">
        <f t="shared" ca="1" si="581"/>
        <v>#N/A</v>
      </c>
      <c r="ON154" s="177">
        <f>Control!$C$128</f>
        <v>0.35</v>
      </c>
      <c r="OO154" s="182" t="e">
        <f t="shared" ca="1" si="582"/>
        <v>#N/A</v>
      </c>
      <c r="OP154" s="138">
        <f t="shared" ca="1" si="664"/>
        <v>0</v>
      </c>
      <c r="OQ154" s="138" t="e">
        <f t="shared" ca="1" si="687"/>
        <v>#DIV/0!</v>
      </c>
      <c r="OR154" s="138" t="e">
        <f t="shared" ca="1" si="665"/>
        <v>#DIV/0!</v>
      </c>
      <c r="OS154" s="137" t="e">
        <f t="shared" ca="1" si="688"/>
        <v>#DIV/0!</v>
      </c>
      <c r="OT154" s="139" t="e">
        <f t="shared" ca="1" si="689"/>
        <v>#DIV/0!</v>
      </c>
      <c r="OU154" s="138" t="e">
        <f t="shared" ca="1" si="690"/>
        <v>#N/A</v>
      </c>
      <c r="OV154" s="138" t="e">
        <f t="shared" ca="1" si="691"/>
        <v>#DIV/0!</v>
      </c>
      <c r="OW154" s="138" t="e">
        <f t="shared" ca="1" si="666"/>
        <v>#DIV/0!</v>
      </c>
      <c r="OX154" s="138" t="e">
        <f t="shared" ca="1" si="667"/>
        <v>#DIV/0!</v>
      </c>
      <c r="OY154" s="138" t="e">
        <f t="shared" ca="1" si="668"/>
        <v>#DIV/0!</v>
      </c>
      <c r="OZ154" s="138" t="e">
        <f t="shared" ca="1" si="583"/>
        <v>#DIV/0!</v>
      </c>
      <c r="PA154" s="138" t="e">
        <f t="shared" ca="1" si="584"/>
        <v>#DIV/0!</v>
      </c>
      <c r="PB154" s="55">
        <f>IF(Control!$C$61="T", IF(Control!$C$65="F", IF($AH$6-Control!$C$60&lt;0,0,1), IF(365+$AH$6-Control!$C$60&lt;0,0,1)),0)</f>
        <v>0</v>
      </c>
      <c r="PC154" s="55">
        <f ca="1">IF(Control!$C$65="F", IF($AH$6-$HF154&lt;0,0,1), IF(365+$AH$6-$HF154&lt;0,0,1))</f>
        <v>1</v>
      </c>
      <c r="PD154" s="444">
        <f>Control!$C$118</f>
        <v>1500</v>
      </c>
      <c r="PE154" s="180" t="e">
        <f t="shared" ca="1" si="585"/>
        <v>#N/A</v>
      </c>
      <c r="PF154" s="445">
        <f t="shared" ca="1" si="669"/>
        <v>0.71612369323045078</v>
      </c>
      <c r="PT154" s="186"/>
      <c r="PU154" s="186"/>
      <c r="PV154" s="94"/>
      <c r="PW154" s="94"/>
      <c r="PX154" s="94"/>
      <c r="PY154" s="94"/>
      <c r="PZ154" s="94"/>
      <c r="QA154" s="94"/>
      <c r="QB154" s="94"/>
      <c r="QC154" s="94"/>
      <c r="QD154" s="94"/>
      <c r="QE154" s="94"/>
      <c r="QF154" s="94"/>
      <c r="QG154" s="94"/>
      <c r="QH154" s="94"/>
      <c r="QI154" s="94"/>
      <c r="QJ154" s="94"/>
      <c r="QK154" s="94"/>
      <c r="QL154" s="94"/>
      <c r="QM154" s="94"/>
      <c r="QN154" s="94"/>
      <c r="QO154" s="94"/>
      <c r="QP154" s="94"/>
    </row>
    <row r="155" spans="1:458" s="2" customFormat="1" x14ac:dyDescent="0.2">
      <c r="A155" s="395">
        <v>30</v>
      </c>
      <c r="B155" s="396">
        <v>5</v>
      </c>
      <c r="C155" s="387">
        <f ca="1">Weather_data!$B154</f>
        <v>0</v>
      </c>
      <c r="D155" s="388">
        <f ca="1">Weather_data!$F154</f>
        <v>0</v>
      </c>
      <c r="E155" s="388">
        <f ca="1">Weather_data!$E154</f>
        <v>0</v>
      </c>
      <c r="F155" s="388">
        <f t="shared" ca="1" si="586"/>
        <v>0</v>
      </c>
      <c r="G155" s="388">
        <f ca="1">AVERAGE($D155:$E155)+Control!$B$9</f>
        <v>0</v>
      </c>
      <c r="H155" s="388">
        <f ca="1">Weather_data!$G154</f>
        <v>0</v>
      </c>
      <c r="I155" s="388">
        <f ca="1">Weather_data!$I154</f>
        <v>0</v>
      </c>
      <c r="J155" s="388">
        <f ca="1">Weather_data!$H154</f>
        <v>0</v>
      </c>
      <c r="K155" s="389">
        <f ca="1">Weather_data!$D154</f>
        <v>0</v>
      </c>
      <c r="L155" s="388" t="e">
        <f t="shared" ca="1" si="587"/>
        <v>#N/A</v>
      </c>
      <c r="M155" s="388" t="e">
        <f t="shared" ca="1" si="465"/>
        <v>#N/A</v>
      </c>
      <c r="N155" s="388">
        <f t="shared" ca="1" si="466"/>
        <v>-7.6050821699215728E-8</v>
      </c>
      <c r="O155" s="388">
        <f t="shared" ca="1" si="588"/>
        <v>7.6050821699215723E-7</v>
      </c>
      <c r="P155" s="390">
        <v>3</v>
      </c>
      <c r="Q155" s="388">
        <f ca="1">MAX($G155-Control!$C$107,0)</f>
        <v>0</v>
      </c>
      <c r="R155" s="388">
        <f t="shared" ca="1" si="589"/>
        <v>0</v>
      </c>
      <c r="S155" s="388">
        <f t="shared" ca="1" si="467"/>
        <v>0</v>
      </c>
      <c r="T155" s="388">
        <f t="shared" ca="1" si="468"/>
        <v>0</v>
      </c>
      <c r="U155" s="59">
        <f t="shared" ca="1" si="469"/>
        <v>0</v>
      </c>
      <c r="V155" s="391">
        <f ca="1">MAX(0,MIN(Control!$C$100-Control!$C$99,$G155-Control!$C$99)*Control!$C$63)</f>
        <v>0</v>
      </c>
      <c r="W155" s="388">
        <f t="shared" ca="1" si="590"/>
        <v>0</v>
      </c>
      <c r="X155" s="388">
        <f t="shared" ca="1" si="591"/>
        <v>0.6110000000000001</v>
      </c>
      <c r="Y155" s="388">
        <f t="shared" ca="1" si="470"/>
        <v>0</v>
      </c>
      <c r="Z155" s="388">
        <f t="shared" ca="1" si="592"/>
        <v>0.61058800000000002</v>
      </c>
      <c r="AA155" s="388">
        <f t="shared" ca="1" si="471"/>
        <v>0.6018</v>
      </c>
      <c r="AB155" s="388">
        <f ca="1">101.3*EXP(-0.034*Control!$C$66/($G155+273))</f>
        <v>100.69623283836242</v>
      </c>
      <c r="AC155" s="392">
        <f t="shared" ca="1" si="472"/>
        <v>4.3460251046025113E-2</v>
      </c>
      <c r="AD155" s="392">
        <f t="shared" ca="1" si="473"/>
        <v>4.4450382862832649E-2</v>
      </c>
      <c r="AE155" s="388">
        <f t="shared" ca="1" si="474"/>
        <v>0</v>
      </c>
      <c r="AF155" s="388">
        <f ca="1">MAX(0,$G155-Control!$C$92)</f>
        <v>0</v>
      </c>
      <c r="AG155" s="393">
        <f t="shared" ca="1" si="475"/>
        <v>151</v>
      </c>
      <c r="AH155" s="389">
        <f t="shared" ca="1" si="476"/>
        <v>151</v>
      </c>
      <c r="AI155" s="388">
        <f t="shared" ca="1" si="593"/>
        <v>0.38009099080954462</v>
      </c>
      <c r="AJ155" s="388">
        <f ca="1">IF(Control!$C$60&lt;=0,$HH155,$HI155)</f>
        <v>1</v>
      </c>
      <c r="AK155" s="388">
        <f t="shared" ca="1" si="477"/>
        <v>1.2222086487938373</v>
      </c>
      <c r="AL155" s="388">
        <f t="shared" ca="1" si="478"/>
        <v>-4.8690305259890824E-18</v>
      </c>
      <c r="AM155" s="388">
        <f t="shared" ca="1" si="479"/>
        <v>1.2222086487938373</v>
      </c>
      <c r="AN155" s="388">
        <f t="shared" ca="1" si="480"/>
        <v>0.38318323168102897</v>
      </c>
      <c r="AO155" s="388">
        <f ca="1">-0.10453/COS(Control!$B$8*PI()/180)*COS(AN155)</f>
        <v>-0.15747193118981923</v>
      </c>
      <c r="AP155" s="388">
        <f ca="1">ACOS(AO155-TAN(Control!$B$8*PI()/180)*TAN(AN155))</f>
        <v>2.3096314996212768</v>
      </c>
      <c r="AQ155" s="388">
        <f t="shared" ca="1" si="594"/>
        <v>0</v>
      </c>
      <c r="AR155" s="394">
        <f t="shared" ca="1" si="481"/>
        <v>0</v>
      </c>
      <c r="AS155" s="436">
        <f ca="1">IF(Control!$B$18=2,(IF(OR($AH155=Control!$B$175,$AH155=Control!$B$176,$AH155=Control!$B$177,$AH155=Control!$B$178,$AH155=Control!$B$179,$AH155=Control!$B$180,$AH155=Control!$B$181,$AH155=Control!$B$182,$AH155=Control!$B$183,$AH155=Control!$B$184,$AH155=Control!$B$185),1,0)),0)</f>
        <v>0</v>
      </c>
      <c r="AT155" s="436">
        <f>IF(Control!$B$20=8,IF(AND($AH155&gt;=Control!$B$172,$AH155&lt;=Control!$B$173),1,0),0)</f>
        <v>0</v>
      </c>
      <c r="AU155" s="436">
        <f>IF(Control!$B$20=8,IF($AV154=1,1*$AT155,IF($AT155=1,$AU154+1,$AU154)),0)</f>
        <v>0</v>
      </c>
      <c r="AV155" s="436">
        <f>IF(Control!$B$20=8,IF($AU155&gt;=Control!$B$174,1,0),0)</f>
        <v>0</v>
      </c>
      <c r="AW155" s="436">
        <f ca="1">IF(AND(Control!$B$18=2,Control!$B$171=1), $AV155, $AS155)</f>
        <v>0</v>
      </c>
      <c r="AX155" s="436" t="e">
        <f ca="1">IF(AND(Control!$B$18=1,$EU155&gt;=Control!$B$19),-$AY155,IF(AND(Control!$B$18=2,$AW155=1,$EU155&gt;$DS155),-$AY155, IF(Control!$C$108=0,0, IF(Control!$C$108&lt;&gt;0,1))))</f>
        <v>#N/A</v>
      </c>
      <c r="AY155" s="436" t="e">
        <f t="shared" ca="1" si="595"/>
        <v>#N/A</v>
      </c>
      <c r="AZ155" s="436" t="e">
        <f ca="1">IF(AND(Control!$B$18=1,$EB155&gt;Control!$B$19),$AZ154+1, IF(AND(Control!$B$18=2, $AW155=1, $EB155&gt;$DS155), $AZ154+1,$AZ154))</f>
        <v>#N/A</v>
      </c>
      <c r="BA155" s="587">
        <f>IF(Control!$C$81=0,1,IF($AH155&gt;=Control!$C$82,1,0))</f>
        <v>1</v>
      </c>
      <c r="BB155" s="140" t="e">
        <f ca="1">IF($BA155&gt;$BA154,Control!$C$83,IF($AW155&gt;0,$AW155*Control!$C$84,IF(AND(Control!$B$18=1,EN154&lt;&gt;0),Control!$C$84,0)))</f>
        <v>#N/A</v>
      </c>
      <c r="BC155" s="140" t="e">
        <f t="shared" ca="1" si="596"/>
        <v>#N/A</v>
      </c>
      <c r="BD155" s="140" t="e">
        <f ca="1">BC155*IF(OR($G155&lt;Control!$C$92,$G155&gt;Control!$C$95),0,IF(AND($G155&gt;=Control!$C$92,$G155&lt;=Control!$C$93),$G155-Control!$C$92,IF(AND($G155&gt;Control!$C$93,$G155&lt;=Control!$C$94),Control!$C$93-Control!$C$92,IF(AND($G155&gt;Control!$C$94,$G155&lt;=Control!$C$95),(Control!$C$93-Control!$C$92)*(Control!$C$94-$G155)/(Control!$C$95-Control!$C$94)))))</f>
        <v>#N/A</v>
      </c>
      <c r="BE155" s="140" t="e">
        <f t="shared" ca="1" si="597"/>
        <v>#N/A</v>
      </c>
      <c r="BF155" s="140" t="e">
        <f ca="1">IF($BE155&lt;=Control!$C$86,$BE155,Control!$C$86-$BE155)</f>
        <v>#N/A</v>
      </c>
      <c r="BG155" s="140" t="e">
        <f ca="1">IF(AND($AW155=1,Control!$C$84&lt;9),1,IF($BE155&gt;=Control!$C$86,0,$BC155))</f>
        <v>#N/A</v>
      </c>
      <c r="BH155" s="404" t="e">
        <f ca="1">IF($BG155=0,0,IF($BE155&lt;=Control!$C$86,$BC155*9*($BF155/Control!$C$86),0))</f>
        <v>#N/A</v>
      </c>
      <c r="BI155" s="140" t="e">
        <f ca="1">IF($BG155=1,0,IF($BE155&gt;=Control!$C$86,1,IF(AND($BB155&lt;21,$BB155&gt;=9),1,$BM154)))</f>
        <v>#N/A</v>
      </c>
      <c r="BJ155" s="140" t="e">
        <f ca="1">IF($BF155&lt;0,-$BF155,$BI155*IF(OR($G155&lt;Control!$C$92,$G155&gt;Control!$C$95),0,IF(AND($G155&gt;=Control!$C$92,$G155&lt;=Control!$C$93),$G155-Control!$C$92,IF(AND($G155&gt;Control!$C$93,$G155&lt;=Control!$C$94),Control!$C$93-Control!$C$92,IF(AND($G155&gt;Control!$C$94,$G155&lt;=Control!$C$95),(Control!$C$93-Control!$C$92)*(Control!$C$94-$G155)/(Control!$C$95-Control!$C$94))))))</f>
        <v>#N/A</v>
      </c>
      <c r="BK155" s="140" t="e">
        <f t="shared" ca="1" si="598"/>
        <v>#N/A</v>
      </c>
      <c r="BL155" s="140" t="e">
        <f ca="1">IF($BK155&lt;=Control!$C$87,$BK155,Control!$C$87-$BK155)</f>
        <v>#N/A</v>
      </c>
      <c r="BM155" s="140" t="e">
        <f ca="1">IF(AND($BB155&gt;=9,$BB155&lt;21),1,IF($BK155&gt;=Control!$C$87,0,$BI155))</f>
        <v>#N/A</v>
      </c>
      <c r="BN155" s="404" t="e">
        <f ca="1">IF($BM155=0,0,IF($BK155&lt;=Control!$C$87,$BI155*(9+(21-9)*($BL155/Control!$C$87)),0))</f>
        <v>#N/A</v>
      </c>
      <c r="BO155" s="140" t="e">
        <f ca="1">IF($BM155=1,0,IF($BK155&gt;=Control!$C$87,1,IF(AND($BB155&lt;30,$BB155&gt;=21),1,$BS154)))</f>
        <v>#N/A</v>
      </c>
      <c r="BP155" s="140" t="e">
        <f ca="1">IF($BL155&lt;0,-$BL155,$BO155*IF(OR($G155&lt;Control!$C$92,$G155&gt;Control!$C$95),0,IF(AND($G155&gt;=Control!$C$92,$G155&lt;=Control!$C$93),$G155-Control!$C$92,IF(AND($G155&gt;Control!$C$93,$G155&lt;=Control!$C$94),Control!$C$93-Control!$C$92,IF(AND($G155&gt;Control!$C$94,$G155&lt;=Control!$C$95),(Control!$C$93-Control!$C$92)*(Control!$C$94-$G155)/(Control!$C$95-Control!$C$94))))))</f>
        <v>#N/A</v>
      </c>
      <c r="BQ155" s="140" t="e">
        <f t="shared" ca="1" si="482"/>
        <v>#N/A</v>
      </c>
      <c r="BR155" s="140" t="e">
        <f ca="1">IF($BQ155&lt;=Control!$C$88,$BQ155,Control!$C$88-$BQ155)</f>
        <v>#N/A</v>
      </c>
      <c r="BS155" s="140" t="e">
        <f ca="1">IF(AND($BB155&gt;=21,$BB155&lt;30),1,IF($BQ155&gt;=Control!$C$88,0,$BO155))</f>
        <v>#N/A</v>
      </c>
      <c r="BT155" s="404" t="e">
        <f ca="1">IF($BS155=0,0,IF($BQ155&lt;=Control!$C$88,$BO155*(21+(30-21)*(BR155/Control!$C$88)),0))</f>
        <v>#N/A</v>
      </c>
      <c r="BU155" s="140" t="e">
        <f ca="1">IF(BG155+BM155+BS155=1,0,IF(OR(AND($BB155&lt;60,$BB155&gt;=30),$BQ155&gt;=Control!$C$88),1*$BA155,$BY154))</f>
        <v>#N/A</v>
      </c>
      <c r="BV155" s="140" t="e">
        <f ca="1">IF($BR155&lt;0,-$BR155,$BU155*IF(OR($G155&lt;Control!$C$92,$G155&gt;Control!$C$95),0,IF(AND($G155&gt;=Control!$C$92,$G155&lt;=Control!$C$93),$G155-Control!$C$92,IF(AND($G155&gt;Control!$C$93,$G155&lt;=Control!$C$94),Control!$C$93-Control!$C$92,IF(AND($G155&gt;Control!$C$94,$G155&lt;=Control!$C$95),(Control!$C$93-Control!$C$92)*(Control!$C$94-$G155)/(Control!$C$95-Control!$C$94))))))</f>
        <v>#N/A</v>
      </c>
      <c r="BW155" s="140" t="e">
        <f t="shared" ca="1" si="483"/>
        <v>#N/A</v>
      </c>
      <c r="BX155" s="140" t="e">
        <f ca="1">IF($BW155&lt;=Control!$C$89,$BW155,Control!$C$89-$BW155)</f>
        <v>#N/A</v>
      </c>
      <c r="BY155" s="140" t="e">
        <f ca="1">IF(AND($AJ155&gt;=30,$AJ155&lt;60),1,IF($BW155&gt;=Control!$C$89,0,$BU155))</f>
        <v>#N/A</v>
      </c>
      <c r="BZ155" s="404" t="e">
        <f ca="1">IF($BY155=0,0,IF($BW155&lt;=Control!$C$89,$BU155*(30+(60-30)*(BX155/Control!$C$89)),0))</f>
        <v>#N/A</v>
      </c>
      <c r="CA155" s="140" t="e">
        <f ca="1">IF($BG155+$BM155+$BS155+$BY155=1,0,IF(OR(AND($BB155&lt;65,$BB155&gt;=60),$BW155&gt;=Control!$C$89),1*$BA155,$CE154))</f>
        <v>#N/A</v>
      </c>
      <c r="CB155" s="140" t="e">
        <f ca="1">IF($BX155&lt;0,-$BX155,$CA155*IF(OR($G155&lt;Control!$C$92,$G155&gt;Control!$C$95),0,IF(AND($G155&gt;=Control!$C$92,$G155&lt;=Control!$C$93),$G155-Control!$C$92,IF(AND($G155&gt;Control!$C$93,$G155&lt;=Control!$C$94),Control!$C$93-Control!$C$92,IF(AND($G155&gt;Control!$C$94,$G155&lt;=Control!$C$95),(Control!$C$93-Control!$C$92)*(Control!$C$94-$G155)/(Control!$C$95-Control!$C$94))))))</f>
        <v>#N/A</v>
      </c>
      <c r="CC155" s="140" t="e">
        <f t="shared" ca="1" si="599"/>
        <v>#N/A</v>
      </c>
      <c r="CD155" s="140" t="e">
        <f ca="1">IF($CC155&lt;=Control!$C$90,$CC155,Control!$C$90-$CC155)</f>
        <v>#N/A</v>
      </c>
      <c r="CE155" s="140" t="e">
        <f ca="1">IF(AND($BB155&gt;=60,$BB155&lt;65),1,IF($CC155&gt;=Control!$C$90,0,$CA155))</f>
        <v>#N/A</v>
      </c>
      <c r="CF155" s="404" t="e">
        <f ca="1">IF($CE155=0,0,IF($CC155&lt;=Control!$C$90,$CA155*(60+(65-60)*(CD155/Control!$C$90)),0))</f>
        <v>#N/A</v>
      </c>
      <c r="CG155" s="140" t="e">
        <f ca="1">IF($BG155+$BM155+$BS155+$BY155+$CE155=1,0,IF(OR(AND($BB155&lt;90,$BB155&gt;=65),$CC155&gt;=Control!$C$90),$BA155,$CK154))</f>
        <v>#N/A</v>
      </c>
      <c r="CH155" s="140" t="e">
        <f ca="1">IF($CD155&lt;0,-$CD155,$CG155*IF(OR($G155&lt;Control!$C$92,$G155&gt;Control!$C$95),0,IF(AND($G155&gt;=Control!$C$92,$G155&lt;=Control!$C$93),$G155-Control!$C$92,IF(AND($G155&gt;Control!$C$93,$G155&lt;=Control!$C$94),Control!$C$93-Control!$C$92,IF(AND($G155&gt;Control!$C$94,$G155&lt;=Control!$C$95),(Control!$C$93-Control!$C$92)*(Control!$C$94-$G155)/(Control!$C$95-Control!$C$94))))))</f>
        <v>#N/A</v>
      </c>
      <c r="CI155" s="140" t="e">
        <f t="shared" ca="1" si="600"/>
        <v>#N/A</v>
      </c>
      <c r="CJ155" s="140" t="e">
        <f ca="1">IF($CI155&lt;=Control!$C$91,$CI155,Control!$C$91-$CI155)</f>
        <v>#N/A</v>
      </c>
      <c r="CK155" s="140" t="e">
        <f ca="1">IF(AND($BB155&gt;=65,$BB155&lt;90),1,IF($CI155&gt;=Control!$C$91,0,$CG155))</f>
        <v>#N/A</v>
      </c>
      <c r="CL155" s="404" t="e">
        <f ca="1">IF($CK155=0,0,IF($CI155&lt;=Control!$C$91,$CG155*(65+(90-65)*($CJ155/Control!$C$91)),0))</f>
        <v>#N/A</v>
      </c>
      <c r="CM155" s="140" t="e">
        <f ca="1">IF($BG155+$BM155+$BS155+$BY155+$CE155+$CK155=1,0,IF(OR($BB155&gt;=90,$CI155&gt;=Control!$C$91),$BA155,$CM154))</f>
        <v>#N/A</v>
      </c>
      <c r="CN155" s="140" t="e">
        <f t="shared" ca="1" si="601"/>
        <v>#N/A</v>
      </c>
      <c r="CO155" s="140" t="e">
        <f t="shared" ca="1" si="602"/>
        <v>#N/A</v>
      </c>
      <c r="CP155" s="140" t="e">
        <f t="shared" ca="1" si="603"/>
        <v>#N/A</v>
      </c>
      <c r="CQ155" s="141" t="e">
        <f ca="1">VLOOKUP($CP155,Control!$B$86:$G$91,6)</f>
        <v>#N/A</v>
      </c>
      <c r="CR155" s="141" t="e">
        <f ca="1">(1-$CQ155)*VLOOKUP($CP155,Control!$B$86:$D$91,3)</f>
        <v>#N/A</v>
      </c>
      <c r="CS155" s="141" t="e">
        <f ca="1">(1-$CQ155)*VLOOKUP($CP155,Control!$B$86:$E$91,4)</f>
        <v>#N/A</v>
      </c>
      <c r="CT155" s="141" t="e">
        <f ca="1">(1-$CQ155)*VLOOKUP($CP155,Control!$B$86:$F$91,5)</f>
        <v>#N/A</v>
      </c>
      <c r="CU155" s="141">
        <f t="shared" ca="1" si="604"/>
        <v>0</v>
      </c>
      <c r="CV155" s="583">
        <f t="shared" ca="1" si="605"/>
        <v>0</v>
      </c>
      <c r="CW155" s="142">
        <f t="shared" ca="1" si="606"/>
        <v>151</v>
      </c>
      <c r="CX155" s="612" t="e">
        <f ca="1">IF(Control!$C$114=1,(MIN(Control!$C$120*(IF($NT155-0.01&lt;0,0,1)),Control!$C$119-$CY155)))</f>
        <v>#DIV/0!</v>
      </c>
      <c r="CY155" s="143" t="e">
        <f t="shared" ca="1" si="607"/>
        <v>#N/A</v>
      </c>
      <c r="CZ155" s="144">
        <f t="shared" ca="1" si="484"/>
        <v>0</v>
      </c>
      <c r="DA155" s="144">
        <f t="shared" ca="1" si="485"/>
        <v>0</v>
      </c>
      <c r="DB155" s="144" t="e">
        <f t="shared" ca="1" si="486"/>
        <v>#N/A</v>
      </c>
      <c r="DC155" s="144" t="e">
        <f t="shared" ca="1" si="487"/>
        <v>#N/A</v>
      </c>
      <c r="DD155" s="144" t="e">
        <f t="shared" ca="1" si="692"/>
        <v>#N/A</v>
      </c>
      <c r="DE155" s="143" t="e">
        <f t="shared" ca="1" si="608"/>
        <v>#N/A</v>
      </c>
      <c r="DF155" s="145" t="e">
        <f ca="1">$DR155*EXP(-Control!$C$158*(1-$KH155))</f>
        <v>#N/A</v>
      </c>
      <c r="DG155" s="146" t="e">
        <f ca="1">IF(Control!$C$114=1, $DF155*$EY155, 0)</f>
        <v>#N/A</v>
      </c>
      <c r="DH155" s="147" t="e">
        <f t="shared" ca="1" si="609"/>
        <v>#N/A</v>
      </c>
      <c r="DI155" s="144" t="e">
        <f t="shared" ca="1" si="670"/>
        <v>#N/A</v>
      </c>
      <c r="DJ155" s="147" t="e">
        <f ca="1">$EF155*Control!$C$109</f>
        <v>#N/A</v>
      </c>
      <c r="DK155" s="144" t="e">
        <f t="shared" ca="1" si="610"/>
        <v>#N/A</v>
      </c>
      <c r="DL155" s="144" t="e">
        <f t="shared" ca="1" si="488"/>
        <v>#N/A</v>
      </c>
      <c r="DM155" s="144" t="e">
        <f ca="1">IF(Control!$C$114=1, (1-EXP(-Control!$C$96*$DK155))*$AR155, 0)</f>
        <v>#N/A</v>
      </c>
      <c r="DN155" s="144">
        <f t="shared" ca="1" si="611"/>
        <v>0</v>
      </c>
      <c r="DO155" s="148">
        <f>Control!$C$97</f>
        <v>4</v>
      </c>
      <c r="DP155" s="145" t="e">
        <f t="shared" ca="1" si="612"/>
        <v>#N/A</v>
      </c>
      <c r="DQ155" s="145" t="e">
        <f ca="1">IF(AND($CP155&gt;=0,$CP155&lt;=90),Control!$C$111,Control!$C$111)</f>
        <v>#N/A</v>
      </c>
      <c r="DR155" s="145" t="e">
        <f t="shared" ca="1" si="489"/>
        <v>#N/A</v>
      </c>
      <c r="DS155" s="143" t="e">
        <f ca="1">Control!$B$22/$DR155</f>
        <v>#N/A</v>
      </c>
      <c r="DT155" s="149" t="e">
        <f ca="1">IF(AND(Control!$C$114=1,$KH155&lt;1),$IM155*$DF155, 0)</f>
        <v>#N/A</v>
      </c>
      <c r="DU155" s="144" t="e">
        <f t="shared" ca="1" si="613"/>
        <v>#N/A</v>
      </c>
      <c r="DV155" s="144">
        <f ca="1">IF($G155-Control!$C$107&lt;=0, 0, 0.83*LN(MAX($G155, 3))-0.8924)</f>
        <v>0</v>
      </c>
      <c r="DW155" s="144" t="e">
        <f t="shared" ca="1" si="490"/>
        <v>#N/A</v>
      </c>
      <c r="DX155" s="150" t="e">
        <f ca="1">MAX(0.01*(1+$CU155/Control!$C$102),0.05*($DK155-Control!$C$97)/Control!$C$97)</f>
        <v>#N/A</v>
      </c>
      <c r="DY155" s="151" t="e">
        <f ca="1">IF(Control!$C$114=1, $DI155*$FS155, 0)</f>
        <v>#N/A</v>
      </c>
      <c r="DZ155" s="196" t="e">
        <f t="shared" ca="1" si="614"/>
        <v>#N/A</v>
      </c>
      <c r="EA155" s="152">
        <f t="shared" ca="1" si="615"/>
        <v>151</v>
      </c>
      <c r="EB155" s="153" t="e">
        <f t="shared" ca="1" si="616"/>
        <v>#N/A</v>
      </c>
      <c r="EC155" s="153" t="e">
        <f t="shared" ca="1" si="617"/>
        <v>#N/A</v>
      </c>
      <c r="ED155" s="154" t="e">
        <f ca="1">IF(Control!$C$114=1, $HM155*$FY155-$FD155, 0)</f>
        <v>#DIV/0!</v>
      </c>
      <c r="EE155" s="155" t="e">
        <f ca="1">IF(Control!$C$114=1, $HM155*$FZ155-$FF155, 0)</f>
        <v>#DIV/0!</v>
      </c>
      <c r="EF155" s="153" t="e">
        <f t="shared" ca="1" si="671"/>
        <v>#N/A</v>
      </c>
      <c r="EG155" s="155" t="e">
        <f ca="1">IF(Control!$C$114=1, $GX155*$FW155-$FI155, 0)</f>
        <v>#DIV/0!</v>
      </c>
      <c r="EH155" s="153" t="e">
        <f t="shared" ca="1" si="618"/>
        <v>#N/A</v>
      </c>
      <c r="EI155" s="156" t="e">
        <f t="shared" ca="1" si="619"/>
        <v>#N/A</v>
      </c>
      <c r="EJ155" s="155" t="e">
        <f ca="1">IF(Control!$C$114=1, $HM155*$GB155, 0)</f>
        <v>#DIV/0!</v>
      </c>
      <c r="EK155" s="153" t="e">
        <f t="shared" ca="1" si="672"/>
        <v>#N/A</v>
      </c>
      <c r="EL155" s="153" t="e">
        <f t="shared" ca="1" si="491"/>
        <v>#N/A</v>
      </c>
      <c r="EM155" s="153" t="e">
        <f t="shared" ca="1" si="492"/>
        <v>#N/A</v>
      </c>
      <c r="EN155" s="153" t="e">
        <f ca="1">IF(Control!$C$108=1,IF(AND(Control!$B$18=1,$EB155&gt;=Control!$B$19),$EB155-$DS155,IF(AND(Control!$B$18=2,$AW155=1,$EB155&gt;$DS155),$EB155-$DS155,0)))</f>
        <v>#N/A</v>
      </c>
      <c r="EO155" s="153" t="e">
        <f ca="1">IF(Control!$C$108=1,IF(AND(Control!$B$18=1,$EB155&gt;=Control!$B$19),$EF155,IF(AND(Control!$B$18=2,$AW155=1),$EF155,0)))</f>
        <v>#N/A</v>
      </c>
      <c r="EP155" s="153" t="e">
        <f ca="1">IF(Control!$C$108=1,IF(AND(Control!$B$18=1,$EB155&gt;=Control!$B$19),$EK155,IF(AND(Control!$B$18=2,$AW155=1),$EK155,0)))</f>
        <v>#N/A</v>
      </c>
      <c r="EQ155" s="153" t="e">
        <f t="shared" ca="1" si="620"/>
        <v>#N/A</v>
      </c>
      <c r="ER155" s="153" t="e">
        <f t="shared" ca="1" si="621"/>
        <v>#N/A</v>
      </c>
      <c r="ES155" s="153" t="e">
        <f t="shared" ca="1" si="673"/>
        <v>#N/A</v>
      </c>
      <c r="ET155" s="153" t="e">
        <f t="shared" ca="1" si="674"/>
        <v>#N/A</v>
      </c>
      <c r="EU155" s="153" t="e">
        <f t="shared" ca="1" si="622"/>
        <v>#N/A</v>
      </c>
      <c r="EV155" s="153" t="e">
        <f t="shared" ca="1" si="493"/>
        <v>#N/A</v>
      </c>
      <c r="EW155" s="153" t="e">
        <f t="shared" ca="1" si="494"/>
        <v>#N/A</v>
      </c>
      <c r="EX155" s="153" t="e">
        <f t="shared" ca="1" si="495"/>
        <v>#N/A</v>
      </c>
      <c r="EY155" s="157" t="e">
        <f t="shared" ca="1" si="496"/>
        <v>#DIV/0!</v>
      </c>
      <c r="EZ155" s="154" t="e">
        <f t="shared" ca="1" si="497"/>
        <v>#DIV/0!</v>
      </c>
      <c r="FA155" s="153" t="e">
        <f t="shared" ca="1" si="623"/>
        <v>#N/A</v>
      </c>
      <c r="FB155" s="153" t="e">
        <f t="shared" ca="1" si="498"/>
        <v>#N/A</v>
      </c>
      <c r="FC155" s="193" t="e">
        <f t="shared" ca="1" si="499"/>
        <v>#N/A</v>
      </c>
      <c r="FD155" s="158" t="e">
        <f t="shared" ca="1" si="624"/>
        <v>#N/A</v>
      </c>
      <c r="FE155" s="158" t="e">
        <f t="shared" ca="1" si="625"/>
        <v>#N/A</v>
      </c>
      <c r="FF155" s="159" t="e">
        <f t="shared" ca="1" si="500"/>
        <v>#N/A</v>
      </c>
      <c r="FG155" s="160" t="e">
        <f t="shared" ca="1" si="626"/>
        <v>#N/A</v>
      </c>
      <c r="FH155" s="158" t="e">
        <f t="shared" ca="1" si="627"/>
        <v>#N/A</v>
      </c>
      <c r="FI155" s="159" t="e">
        <f t="shared" ca="1" si="501"/>
        <v>#N/A</v>
      </c>
      <c r="FJ155" s="160" t="e">
        <f t="shared" ca="1" si="628"/>
        <v>#N/A</v>
      </c>
      <c r="FK155" s="160" t="e">
        <f t="shared" ca="1" si="502"/>
        <v>#N/A</v>
      </c>
      <c r="FL155" s="160" t="e">
        <f t="shared" ca="1" si="675"/>
        <v>#N/A</v>
      </c>
      <c r="FM155" s="160" t="e">
        <f t="shared" ca="1" si="503"/>
        <v>#N/A</v>
      </c>
      <c r="FN155" s="158">
        <f t="shared" ca="1" si="629"/>
        <v>0.01</v>
      </c>
      <c r="FO155" s="160">
        <f>Control!$C$101</f>
        <v>50</v>
      </c>
      <c r="FP155" s="150" t="e">
        <f t="shared" ca="1" si="504"/>
        <v>#N/A</v>
      </c>
      <c r="FQ155" s="150" t="e">
        <f ca="1">MAX(0,(Control!$C$112*(($DK155-Control!$C$97)/Control!$C$97)))</f>
        <v>#N/A</v>
      </c>
      <c r="FR155" s="150" t="e">
        <f ca="1">(1-$NT155)*Control!$C$113</f>
        <v>#DIV/0!</v>
      </c>
      <c r="FS155" s="198" t="e">
        <f t="shared" ca="1" si="505"/>
        <v>#N/A</v>
      </c>
      <c r="FT155" s="161">
        <f t="shared" ca="1" si="630"/>
        <v>151</v>
      </c>
      <c r="FU155" s="162" t="e">
        <f ca="1">IF(Control!$B$34=1,VLOOKUP($CP155,Control!$B$86:$G$91,6),Control!$B$35)</f>
        <v>#N/A</v>
      </c>
      <c r="FV155" s="162" t="e">
        <f t="shared" ca="1" si="506"/>
        <v>#DIV/0!</v>
      </c>
      <c r="FW155" s="162" t="e">
        <f ca="1">IF(Control!$B$31=1,$FU155*$FV155,  $FU155)</f>
        <v>#N/A</v>
      </c>
      <c r="FX155" s="162" t="e">
        <f ca="1">IF(Control!$B$34=1,VLOOKUP($CP155,Control!$B$86:$G$91,3),Control!$B$36)</f>
        <v>#N/A</v>
      </c>
      <c r="FY155" s="162" t="e">
        <f t="shared" ca="1" si="507"/>
        <v>#N/A</v>
      </c>
      <c r="FZ155" s="162" t="e">
        <f ca="1">IF(Control!$B$34=1,VLOOKUP($CP155,Control!$B$86:$G$91,4),Control!$B$37)</f>
        <v>#N/A</v>
      </c>
      <c r="GA155" s="162" t="e">
        <f t="shared" ca="1" si="508"/>
        <v>#N/A</v>
      </c>
      <c r="GB155" s="162" t="e">
        <f ca="1">IF(Control!$B$34=1,VLOOKUP($CP155,Control!$B$86:$G$91,5),Control!$B$38)</f>
        <v>#N/A</v>
      </c>
      <c r="GC155" s="162" t="e">
        <f t="shared" ca="1" si="631"/>
        <v>#N/A</v>
      </c>
      <c r="GD155" s="162">
        <f t="shared" ca="1" si="509"/>
        <v>1</v>
      </c>
      <c r="GE155" s="162">
        <f t="shared" ca="1" si="510"/>
        <v>1</v>
      </c>
      <c r="GF155" s="162">
        <f ca="1">IF(AND(Control!$C$104=1, Control!$C$62="F"),$GE155,1)</f>
        <v>1</v>
      </c>
      <c r="GG155" s="162" t="e">
        <f ca="1">IF(Control!$B$16=40,0,IF(AND(Control!$B$16&gt;40,Control!$B$16&lt;=360),(Control!$B$16-40)*((1-0)/(360-40)),IF(AND(Control!$B$16&gt;360,Control!$B$16&lt;=720),(1+(Control!$B$16-360)*((1.25-1)/(720-360))),IF(AND(Control!$B$16&gt;720,Control!$B$16&lt;=1000),(1.25+(Control!$B$16-720)*((1.35-1.25)/(1000-720))),IF(AND(Control!$B$16&gt;1000,Control!$B$16&lt;=2000),(1.35+(Control!$B$16-1000)*0))))))</f>
        <v>#N/A</v>
      </c>
      <c r="GH155" s="162" t="e">
        <f t="shared" ca="1" si="511"/>
        <v>#N/A</v>
      </c>
      <c r="GI155" s="162">
        <f t="shared" ca="1" si="632"/>
        <v>0</v>
      </c>
      <c r="GJ155" s="162">
        <f t="shared" ca="1" si="512"/>
        <v>0</v>
      </c>
      <c r="GK155" s="162">
        <f t="shared" ca="1" si="633"/>
        <v>1</v>
      </c>
      <c r="GL155" s="162">
        <f t="shared" ca="1" si="513"/>
        <v>1</v>
      </c>
      <c r="GM155" s="162" t="e">
        <f ca="1">MAX(0,MIN(1,1-Control!$C$156*(1.0001-$KH155)^2))</f>
        <v>#N/A</v>
      </c>
      <c r="GN155" s="162" t="e">
        <f ca="1">IF(Control!$B$26=1,$KU155,$KX155)</f>
        <v>#N/A</v>
      </c>
      <c r="GO155" s="162" t="e">
        <f ca="1">IF($CP155&lt;=60,Control!$C$105,IF($CP155&gt;=90,Control!$C$106,Control!$C$105+($CP155-60)*((Control!$C$106-Control!$C$105)/(90-60))))</f>
        <v>#N/A</v>
      </c>
      <c r="GP155" s="162" t="e">
        <f t="shared" ca="1" si="514"/>
        <v>#N/A</v>
      </c>
      <c r="GQ155" s="162" t="e">
        <f t="shared" ca="1" si="634"/>
        <v>#N/A</v>
      </c>
      <c r="GR155" s="163" t="e">
        <f t="shared" ca="1" si="515"/>
        <v>#DIV/0!</v>
      </c>
      <c r="GS155" s="162" t="e">
        <f t="shared" ca="1" si="516"/>
        <v>#DIV/0!</v>
      </c>
      <c r="GT155" s="164" t="e">
        <f t="shared" ca="1" si="635"/>
        <v>#N/A</v>
      </c>
      <c r="GU155" s="162" t="e">
        <f t="shared" ca="1" si="636"/>
        <v>#N/A</v>
      </c>
      <c r="GV155" s="162" t="e">
        <f t="shared" ca="1" si="517"/>
        <v>#N/A</v>
      </c>
      <c r="GW155" s="162" t="e">
        <f t="shared" ca="1" si="518"/>
        <v>#DIV/0!</v>
      </c>
      <c r="GX155" s="162" t="e">
        <f t="shared" ca="1" si="637"/>
        <v>#DIV/0!</v>
      </c>
      <c r="GY155" s="162" t="e">
        <f t="shared" ca="1" si="638"/>
        <v>#DIV/0!</v>
      </c>
      <c r="GZ155" s="165" t="e">
        <f t="shared" ca="1" si="519"/>
        <v>#N/A</v>
      </c>
      <c r="HA155" s="162" t="e">
        <f ca="1">IF(Control!$C$114=1, $DI155*$FS155, 0)</f>
        <v>#N/A</v>
      </c>
      <c r="HB155" s="162" t="e">
        <f ca="1">$FA155/Control!$C$64</f>
        <v>#N/A</v>
      </c>
      <c r="HC155" s="162" t="e">
        <f t="shared" ca="1" si="520"/>
        <v>#DIV/0!</v>
      </c>
      <c r="HD155" s="162">
        <f ca="1">-ASIN(SIN(23.45*Control!$C$139)*COS(2*Control!$C$138*($AH155+10)/365))</f>
        <v>0.38009099080954462</v>
      </c>
      <c r="HE155" s="165">
        <f t="shared" ca="1" si="639"/>
        <v>0</v>
      </c>
      <c r="HF155" s="166">
        <f ca="1">IF(AND(Control!$C$61="T",$HE155&gt;=Control!$C$103,Control!$C$114=0),$AH155,Control!$C$59)</f>
        <v>1</v>
      </c>
      <c r="HG155" s="166">
        <f ca="1">IF(AND(Control!$C$61="T",$HE155&gt;=Control!$C$103,Control!$C$114=0),$HF155,Control!$C$59)</f>
        <v>1</v>
      </c>
      <c r="HH155" s="165">
        <f ca="1">IF(AND(OR(Control!$C$60&lt;=0, $AH155= Control!$C$59, Control!$C$60 &gt;0, $AH155 = Control!$C$60)), Control!$C$59, IF(Control!$C$60&gt;0, 0))</f>
        <v>1</v>
      </c>
      <c r="HI155" s="165">
        <f ca="1">IF(AND(OR(Control!$C$60&lt;=0, $AH155= Control!$C$59, Control!$C$60 &gt;0, $AH155 = Control!$C$60)), Control!$C$60, IF(Control!$C$60&lt;=0, 0))</f>
        <v>0</v>
      </c>
      <c r="HJ155" s="166">
        <f ca="1">IF(AND(Control!$C$62="F",$CV155&gt;=Control!$C$102),$AH155,0)</f>
        <v>0</v>
      </c>
      <c r="HK155" s="165" t="e">
        <f t="shared" ca="1" si="676"/>
        <v>#N/A</v>
      </c>
      <c r="HL155" s="166">
        <f ca="1">IF(AND(Control!$C$61="T",$HE155&gt;=Control!$C$103,Control!$C$114=0),$HF155,0)</f>
        <v>0</v>
      </c>
      <c r="HM155" s="201" t="e">
        <f t="shared" ca="1" si="521"/>
        <v>#DIV/0!</v>
      </c>
      <c r="HN155" s="215">
        <f t="shared" ca="1" si="640"/>
        <v>151</v>
      </c>
      <c r="HO155" s="216" t="e">
        <f ca="1">IF(AND($CP155&gt;=0, $CP155&lt;=90), Control!$C$152, Control!$C$152)</f>
        <v>#N/A</v>
      </c>
      <c r="HP155" s="216" t="e">
        <f t="shared" ca="1" si="522"/>
        <v>#N/A</v>
      </c>
      <c r="HQ155" s="217" t="e">
        <f ca="1">IF(OR(Control!$B$26=1,Control!$B$26=2),$KV155,$KS155)</f>
        <v>#DIV/0!</v>
      </c>
      <c r="HR155" s="218" t="e">
        <f t="shared" ca="1" si="677"/>
        <v>#DIV/0!</v>
      </c>
      <c r="HS155" s="216" t="e">
        <f ca="1">Control!$C$154*$HP155</f>
        <v>#N/A</v>
      </c>
      <c r="HT155" s="216" t="e">
        <f ca="1">Control!$C$155*$HP155</f>
        <v>#N/A</v>
      </c>
      <c r="HU155" s="217" t="e">
        <f ca="1">Control!$C$161*$FI155</f>
        <v>#N/A</v>
      </c>
      <c r="HV155" s="218" t="e">
        <f t="shared" ca="1" si="641"/>
        <v>#N/A</v>
      </c>
      <c r="HW155" s="218" t="e">
        <f ca="1">Control!$C$160*$FF155+$IP155*$EO155</f>
        <v>#N/A</v>
      </c>
      <c r="HX155" s="218" t="e">
        <f t="shared" ca="1" si="678"/>
        <v>#N/A</v>
      </c>
      <c r="HY155" s="219" t="e">
        <f ca="1">IF(Control!$C$114=1, $EB155*$FS155, 0)</f>
        <v>#N/A</v>
      </c>
      <c r="HZ155" s="91" t="e">
        <f t="shared" ca="1" si="523"/>
        <v>#N/A</v>
      </c>
      <c r="IA155" s="220" t="e">
        <f ca="1">Control!$C$153*$HO155</f>
        <v>#N/A</v>
      </c>
      <c r="IB155" s="218" t="e">
        <f t="shared" ca="1" si="524"/>
        <v>#N/A</v>
      </c>
      <c r="IC155" s="220" t="e">
        <f ca="1">Control!$C$153*$HT155</f>
        <v>#N/A</v>
      </c>
      <c r="ID155" s="218" t="e">
        <f t="shared" ca="1" si="525"/>
        <v>#N/A</v>
      </c>
      <c r="IE155" s="221" t="e">
        <f ca="1">($EB155*Control!$C$159+$EF155*Control!$C$160)/(IF($GZ155&lt;&gt;0,$GZ155,1))</f>
        <v>#N/A</v>
      </c>
      <c r="IF155" s="216" t="e">
        <f t="shared" ca="1" si="526"/>
        <v>#N/A</v>
      </c>
      <c r="IG155" s="91">
        <f ca="1">IF(OR(Control!$B$198=$AH155,Control!$B$199=$AH155, Control!$B$200=$AH155, Control!$B$201=$AH155, Control!$B$202=$AH155, Control!$B$203=$AH155, Control!$B$204=$AH155, Control!$B$205=$AH155, Control!$B$206=$AH155, Control!$B$207=$AH155), 1, 0)</f>
        <v>0</v>
      </c>
      <c r="IH155" s="91">
        <f ca="1">IF($IG155=0,0, VLOOKUP($AH155,Control!$B$198:$C$207,2))</f>
        <v>0</v>
      </c>
      <c r="II155" s="222">
        <f t="shared" ca="1" si="642"/>
        <v>0</v>
      </c>
      <c r="IJ155" s="91">
        <f>Control!$C$121</f>
        <v>0.7</v>
      </c>
      <c r="IK155" s="218">
        <f t="shared" ca="1" si="527"/>
        <v>0</v>
      </c>
      <c r="IL155" s="217" t="e">
        <f t="shared" ca="1" si="679"/>
        <v>#N/A</v>
      </c>
      <c r="IM155" s="223" t="e">
        <f ca="1">IF(AND(Control!$C$114=1,$KH155&lt;1),$EB155*Control!$C$148*(1-$KH155), 0)</f>
        <v>#N/A</v>
      </c>
      <c r="IN155" s="217" t="e">
        <f t="shared" ca="1" si="528"/>
        <v>#DIV/0!</v>
      </c>
      <c r="IO155" s="91" t="e">
        <f ca="1">MAX(0,$IL155-$EF155*Control!$C$160)</f>
        <v>#N/A</v>
      </c>
      <c r="IP155" s="220" t="e">
        <f t="shared" ca="1" si="529"/>
        <v>#N/A</v>
      </c>
      <c r="IQ155" s="217" t="e">
        <f t="shared" ca="1" si="643"/>
        <v>#N/A</v>
      </c>
      <c r="IR155" s="218" t="e">
        <f t="shared" ca="1" si="530"/>
        <v>#N/A</v>
      </c>
      <c r="IS155" s="217" t="e">
        <f ca="1">Control!$C$159*MAX(0,$FD155-$EN155)</f>
        <v>#N/A</v>
      </c>
      <c r="IT155" s="217" t="e">
        <f t="shared" ca="1" si="680"/>
        <v>#N/A</v>
      </c>
      <c r="IU155" s="217" t="e">
        <f t="shared" ca="1" si="644"/>
        <v>#N/A</v>
      </c>
      <c r="IV155" s="217" t="e">
        <f t="shared" ca="1" si="681"/>
        <v>#N/A</v>
      </c>
      <c r="IW155" s="217" t="e">
        <f ca="1">IF(OR($AW155=1,AND($AW155=0, Control!$B$18=1,$EN155&lt;&gt;0)), $IQ155-$IU155, $IQ155)</f>
        <v>#N/A</v>
      </c>
      <c r="IX155" s="218" t="e">
        <f t="shared" ca="1" si="531"/>
        <v>#N/A</v>
      </c>
      <c r="IY155" s="218" t="e">
        <f ca="1">MAX(0,$IQ155-$EB155*Control!$C$159)</f>
        <v>#N/A</v>
      </c>
      <c r="IZ155" s="218" t="e">
        <f t="shared" ca="1" si="532"/>
        <v>#N/A</v>
      </c>
      <c r="JA155" s="216" t="e">
        <f t="shared" ca="1" si="533"/>
        <v>#N/A</v>
      </c>
      <c r="JB155" s="217" t="e">
        <f t="shared" ca="1" si="534"/>
        <v>#N/A</v>
      </c>
      <c r="JC155" s="222" t="e">
        <f ca="1">MAX(Control!$C$157*$EK155-$JT155, 0)/Control!$C$162</f>
        <v>#N/A</v>
      </c>
      <c r="JD155" s="218" t="e">
        <f t="shared" ca="1" si="535"/>
        <v>#N/A</v>
      </c>
      <c r="JE155" s="218" t="e">
        <f t="shared" ca="1" si="536"/>
        <v>#N/A</v>
      </c>
      <c r="JF155" s="218" t="e">
        <f t="shared" ca="1" si="645"/>
        <v>#N/A</v>
      </c>
      <c r="JG155" s="218" t="e">
        <f t="shared" ca="1" si="537"/>
        <v>#N/A</v>
      </c>
      <c r="JH155" s="217" t="e">
        <f t="shared" ca="1" si="646"/>
        <v>#N/A</v>
      </c>
      <c r="JI155" s="217" t="e">
        <f t="shared" ca="1" si="647"/>
        <v>#N/A</v>
      </c>
      <c r="JJ155" s="217" t="e">
        <f t="shared" ca="1" si="682"/>
        <v>#N/A</v>
      </c>
      <c r="JK155" s="217" t="e">
        <f ca="1">IF(Control!$C$114=1,IF(Control!$B$24=0,MAX(0,$JI155)*$GN155/Control!$C$64,(MAX(0,MIN($JI155,$JJ155*$GN155/Control!$C$64),0))))</f>
        <v>#N/A</v>
      </c>
      <c r="JL155" s="217" t="e">
        <f ca="1">$IK155/Control!$C$64-$JK155+$HQ155</f>
        <v>#N/A</v>
      </c>
      <c r="JM155" s="217" t="e">
        <f ca="1">IF(Control!$C$114=1,($JB155/(IF($JI155&lt;&gt;0,$JI155,1)))*$JK155,0)</f>
        <v>#N/A</v>
      </c>
      <c r="JN155" s="217" t="e">
        <f ca="1">IF(Control!$C$114=1,($JG155/(IF($JI155&lt;&gt;0,$JI155,1)))*$JK155, 0)</f>
        <v>#N/A</v>
      </c>
      <c r="JO155" s="218" t="e">
        <f t="shared" ca="1" si="538"/>
        <v>#N/A</v>
      </c>
      <c r="JP155" s="218" t="e">
        <f ca="1">MIN(($IY155+$IO155)*Control!$C$151, $JF155-$EH155*Control!$C$161)</f>
        <v>#N/A</v>
      </c>
      <c r="JQ155" s="218" t="e">
        <f t="shared" ca="1" si="539"/>
        <v>#N/A</v>
      </c>
      <c r="JR155" s="217" t="e">
        <f ca="1">IF($CP155-Control!$C$150&lt;0, 0, $JQ155/Control!$C$162)</f>
        <v>#N/A</v>
      </c>
      <c r="JS155" s="218" t="e">
        <f t="shared" ca="1" si="540"/>
        <v>#N/A</v>
      </c>
      <c r="JT155" s="218" t="e">
        <f t="shared" ca="1" si="648"/>
        <v>#N/A</v>
      </c>
      <c r="JU155" s="218" t="e">
        <f t="shared" ca="1" si="541"/>
        <v>#N/A</v>
      </c>
      <c r="JV155" s="218" t="e">
        <f t="shared" ca="1" si="542"/>
        <v>#N/A</v>
      </c>
      <c r="JW155" s="216" t="e">
        <f t="shared" ca="1" si="543"/>
        <v>#N/A</v>
      </c>
      <c r="JX155" s="91" t="e">
        <f t="shared" ca="1" si="544"/>
        <v>#N/A</v>
      </c>
      <c r="JY155" s="218" t="e">
        <f t="shared" ca="1" si="545"/>
        <v>#N/A</v>
      </c>
      <c r="JZ155" s="217" t="e">
        <f ca="1">IF(Control!$C$114=1,($IZ155/(IF($JI155&lt;&gt;0,$JI155,1)))*$JK155, 0)</f>
        <v>#N/A</v>
      </c>
      <c r="KA155" s="218" t="e">
        <f t="shared" ca="1" si="683"/>
        <v>#N/A</v>
      </c>
      <c r="KB155" s="218" t="e">
        <f t="shared" ca="1" si="649"/>
        <v>#N/A</v>
      </c>
      <c r="KC155" s="218" t="e">
        <f t="shared" ca="1" si="546"/>
        <v>#N/A</v>
      </c>
      <c r="KD155" s="218" t="e">
        <f t="shared" ca="1" si="547"/>
        <v>#N/A</v>
      </c>
      <c r="KE155" s="218" t="e">
        <f t="shared" ca="1" si="548"/>
        <v>#N/A</v>
      </c>
      <c r="KF155" s="218" t="e">
        <f t="shared" ca="1" si="549"/>
        <v>#N/A</v>
      </c>
      <c r="KG155" s="216" t="e">
        <f t="shared" ca="1" si="550"/>
        <v>#N/A</v>
      </c>
      <c r="KH155" s="221" t="e">
        <f ca="1">IF(Control!$B$24=0,1,MAX(0.001,MIN(1,IF(($IF155-$IE155)&lt;&gt;0,($KG155-$IE155)/($IF155-$IE155),1))))</f>
        <v>#N/A</v>
      </c>
      <c r="KI155" s="222" t="e">
        <f ca="1">IF(Control!$C$114=1, $KI154+ $KH154, 0)</f>
        <v>#N/A</v>
      </c>
      <c r="KJ155" s="217" t="e">
        <f t="shared" ca="1" si="551"/>
        <v>#N/A</v>
      </c>
      <c r="KK155" s="218" t="e">
        <f t="shared" ca="1" si="552"/>
        <v>#N/A</v>
      </c>
      <c r="KL155" s="274" t="e">
        <f ca="1">IF(Control!$B$26=3,4000000000*EXP(-8400/($G155+273)),IF(Control!$B$26=4,4000000000*EXP(-8400/($G155+273))*($KT155),0))</f>
        <v>#DIV/0!</v>
      </c>
      <c r="KM155" s="274" t="e">
        <f ca="1">IF(Control!$B$26=3,5600000000000*EXP(-9800/($G155+273)),IF(Control!$B$26=4,5600000000000*EXP(-9800/($G155+273))*$KT155,0))</f>
        <v>#DIV/0!</v>
      </c>
      <c r="KN155" s="454" t="e">
        <f t="shared" ca="1" si="650"/>
        <v>#DIV/0!</v>
      </c>
      <c r="KO155" s="274" t="e">
        <f t="shared" ca="1" si="651"/>
        <v>#DIV/0!</v>
      </c>
      <c r="KP155" s="454" t="e">
        <f t="shared" ca="1" si="553"/>
        <v>#DIV/0!</v>
      </c>
      <c r="KQ155" s="454" t="e">
        <f t="shared" ca="1" si="554"/>
        <v>#DIV/0!</v>
      </c>
      <c r="KR155" s="454" t="e">
        <f t="shared" ca="1" si="555"/>
        <v>#DIV/0!</v>
      </c>
      <c r="KS155" s="454" t="e">
        <f t="shared" ca="1" si="556"/>
        <v>#DIV/0!</v>
      </c>
      <c r="KT155" s="455" t="e">
        <f t="shared" ca="1" si="557"/>
        <v>#DIV/0!</v>
      </c>
      <c r="KU155" s="456" t="e">
        <f ca="1">IF($CP155-Control!$C$149&lt;0, IF($NT155-0.01&lt;0,0,1),0)</f>
        <v>#N/A</v>
      </c>
      <c r="KV155" s="456" t="e">
        <f ca="1">IF(Control!$C$114=1,MAX(0,MIN(Control!$C$125*$KW155*$GN155,$KW155)))</f>
        <v>#DIV/0!</v>
      </c>
      <c r="KW155" s="456" t="e">
        <f t="shared" ca="1" si="684"/>
        <v>#DIV/0!</v>
      </c>
      <c r="KX155" s="457" t="e">
        <f ca="1">IF($CP155-Control!$C$149&lt;0, IF($MR155-$OM155&lt;0,0,1),0)</f>
        <v>#N/A</v>
      </c>
      <c r="KY155" s="167">
        <f t="shared" ca="1" si="652"/>
        <v>151</v>
      </c>
      <c r="KZ155" s="168">
        <f ca="1">1370*(1+0.033*COS(2*Control!$C$138*$AH155/365))</f>
        <v>1331.2751876597897</v>
      </c>
      <c r="LA155" s="169">
        <f t="shared" ca="1" si="653"/>
        <v>0.97173381713526685</v>
      </c>
      <c r="LB155" s="169">
        <f t="shared" ca="1" si="654"/>
        <v>0.38257231276563386</v>
      </c>
      <c r="LC155" s="169">
        <f ca="1">ACOS(-TAN((2*Control!$B$8/360))*TAN(Calculations!$LB155))</f>
        <v>1.6906773503391377</v>
      </c>
      <c r="LD155" s="169">
        <f ca="1">((24*60)/PI())*0.082*$LA155*(($LC155*SIN(Control!$B$8*2*PI()/360))*SIN($LB155)+COS(Control!$B$8*2*PI()/360)*COS($LB155)*SIN($LC155))</f>
        <v>38.875823908901864</v>
      </c>
      <c r="LE155" s="170">
        <f t="shared" ca="1" si="558"/>
        <v>40.300177404446217</v>
      </c>
      <c r="LF155" s="170">
        <f ca="1">SIN(Control!$C$139*Control!$B$8)*SIN($HD155)</f>
        <v>0.29235638904750771</v>
      </c>
      <c r="LG155" s="170">
        <f ca="1">COS(Control!$C$139*Control!$B$8)*COS($HD155)</f>
        <v>0.57172070542598141</v>
      </c>
      <c r="LH155" s="170">
        <f ca="1">12*(1+2*ASIN(MAX(-1,MIN(1,$LF155/$LG155))/Control!$C$138))</f>
        <v>15.923969868599382</v>
      </c>
      <c r="LI155" s="170">
        <f ca="1">12*(1+2*ASIN(MAX(-1,MIN(1,(-SIN(-4*Control!$C$139)+$LF155)/$LG155))/Control!$C$138))</f>
        <v>16.87200244612232</v>
      </c>
      <c r="LJ155" s="168">
        <f ca="1">3600*($LH155*$LF155+24*$LG155*SQRT(1-$LK155*$LK155)/Control!$C$138)</f>
        <v>30271.860978111319</v>
      </c>
      <c r="LK155" s="170">
        <f t="shared" ca="1" si="559"/>
        <v>0.51136225480880027</v>
      </c>
      <c r="LL155" s="170">
        <f t="shared" ca="1" si="560"/>
        <v>0</v>
      </c>
      <c r="LM155" s="171">
        <f ca="1">Control!$C$145*$AB155</f>
        <v>6.6660906138995932E-2</v>
      </c>
      <c r="LN155" s="170">
        <f t="shared" ca="1" si="655"/>
        <v>0.54</v>
      </c>
      <c r="LO155" s="170">
        <f t="shared" ca="1" si="561"/>
        <v>0</v>
      </c>
      <c r="LP155" s="170">
        <f ca="1">Control!$C$140*((($D155+273.16)^4+($E155+273.16)^4)/2)*(0.34-0.14*SQRT($Y155))*(1.35*$AQ155/(0.75*$LD155)-0.35)</f>
        <v>-3.2464704755046001</v>
      </c>
      <c r="LQ155" s="170">
        <f ca="1">Control!$C$140*($G155+273)^4*(0.56-0.079*SQRT($Y155*10))*(0.1+0.9*$LO155)</f>
        <v>1.5241745131704001</v>
      </c>
      <c r="LR155" s="170">
        <f ca="1">$AQ155*(1-Control!$C$142)-$LQ155</f>
        <v>-1.5241745131704001</v>
      </c>
      <c r="LS155" s="170">
        <f ca="1">$AQ155*(1-Control!$C$143)-$LQ155</f>
        <v>-1.5241745131704001</v>
      </c>
      <c r="LT155" s="170">
        <f ca="1">$AQ155*(1-Control!$C$144)-$LQ155</f>
        <v>-1.5241745131704001</v>
      </c>
      <c r="LU155" s="169">
        <f ca="1">(1-Control!$C$144)*AQ155-LP155</f>
        <v>3.2464704755046001</v>
      </c>
      <c r="LV155" s="172">
        <f t="shared" ca="1" si="562"/>
        <v>0.79430000000000012</v>
      </c>
      <c r="LW155" s="170">
        <f t="shared" ca="1" si="563"/>
        <v>1.5886000000000002</v>
      </c>
      <c r="LX155" s="170">
        <f ca="1">($AC155*($LR155/Control!$C$141)+$LM155*$LV155)/($AC155+$LM155)</f>
        <v>0.23530094218323697</v>
      </c>
      <c r="LY155" s="170">
        <f ca="1">($AC155*($LS155/Control!$C$141)+$LM155*$LV155)/($AC155+$LM155)</f>
        <v>0.23530094218323697</v>
      </c>
      <c r="LZ155" s="170">
        <f t="shared" ca="1" si="564"/>
        <v>0.23530094218323697</v>
      </c>
      <c r="MA155" s="170">
        <f t="shared" ca="1" si="565"/>
        <v>0.23530094218323697</v>
      </c>
      <c r="MB155" s="170" t="e">
        <f t="shared" ca="1" si="566"/>
        <v>#N/A</v>
      </c>
      <c r="MC155" s="170">
        <f t="shared" ca="1" si="656"/>
        <v>0.6018</v>
      </c>
      <c r="MD155" s="170">
        <f t="shared" ca="1" si="567"/>
        <v>0.52989392535414004</v>
      </c>
      <c r="ME155" s="170">
        <f ca="1">($AC155*($LT155/Control!$C$141)+$LM155*$LW155)/($AC155+$LM155)</f>
        <v>0.71612369323045078</v>
      </c>
      <c r="MF155" s="170" t="e">
        <f ca="1">IF(Control!$B$16&gt;=1000,0.92,IF(AND(720&lt;=Control!$B$16,1000&gt;Control!$B$16),(0.95+(Control!$B$16-720)*((0.92-0.95)/(1000-720))),IF(AND(360&lt;=Control!$B$16,720&gt;Control!$B$16),(1+(Control!$B$16-360)*((0.95-1)/(720-360))),IF(AND(40&lt;=Control!$B$16,360&gt;Control!$B$16),(1.05+(Control!$B$16-40)*((1.05-1)/(360-40)))))))</f>
        <v>#N/A</v>
      </c>
      <c r="MG155" s="170">
        <f t="shared" ca="1" si="568"/>
        <v>0.71612369323045078</v>
      </c>
      <c r="MH155" s="170" t="e">
        <f t="shared" ca="1" si="693"/>
        <v>#N/A</v>
      </c>
      <c r="MI155" s="170" t="e">
        <f t="shared" ca="1" si="693"/>
        <v>#N/A</v>
      </c>
      <c r="MJ155" s="170" t="e">
        <f ca="1">MAX(0.0001, Control!$C$132*$MI155*$DL155)</f>
        <v>#N/A</v>
      </c>
      <c r="MK155" s="170">
        <f ca="1">1/(0.76+1.5*($MG155/10))-(5-Control!$C$110)*0.1</f>
        <v>1.002845988140797</v>
      </c>
      <c r="ML155" s="173">
        <f ca="1">IF(Control!$C$110&lt;3,$MK155+($MG155-0.6)/(Control!$C$110*(Control!$C$110+3)), MAX(0.1, MIN(0.95,$MK155)))</f>
        <v>0.95</v>
      </c>
      <c r="MM155" s="173">
        <f ca="1">IF(Control!$C$110&lt;3,$MK155+(($MI155/10)-0.6)/(Control!$C$110*(Control!$C$110+3)), MAX(0.1, MIN(0.95,$MK155)))</f>
        <v>0.95</v>
      </c>
      <c r="MN155" s="173">
        <f ca="1">(1-$MM155)*(Control!$C$128-Control!$C$127)+Control!$C$127</f>
        <v>0.16</v>
      </c>
      <c r="MO155" s="170" t="e">
        <f ca="1">MAX(0,MIN(1,($MS155-Control!$C$127)/($MN155-Control!$C$127)))</f>
        <v>#DIV/0!</v>
      </c>
      <c r="MP155" s="173" t="e">
        <f ca="1">1/(0.76+1.5*$MI155)-(5-Control!$C$110)*0.1</f>
        <v>#N/A</v>
      </c>
      <c r="MQ155" s="172" t="e">
        <f t="shared" ca="1" si="685"/>
        <v>#DIV/0!</v>
      </c>
      <c r="MR155" s="168" t="e">
        <f t="shared" ca="1" si="657"/>
        <v>#DIV/0!</v>
      </c>
      <c r="MS155" s="173" t="e">
        <f ca="1">MAX(Control!$C$127, MIN(Control!$C$135, $MR155/MAX(0.0001,$CY155)))</f>
        <v>#DIV/0!</v>
      </c>
      <c r="MT155" s="168" t="e">
        <f ca="1">(Control!$C$128-$MS155)*Control!$C$74</f>
        <v>#DIV/0!</v>
      </c>
      <c r="MU155" s="168" t="e">
        <f ca="1">(Control!$C$135-$MS155)*Control!$C$74</f>
        <v>#DIV/0!</v>
      </c>
      <c r="MV155" s="168" t="e">
        <f t="shared" ca="1" si="658"/>
        <v>#DIV/0!</v>
      </c>
      <c r="MW155" s="168" t="e">
        <f t="shared" ca="1" si="659"/>
        <v>#DIV/0!</v>
      </c>
      <c r="MX155" s="171" t="e">
        <f ca="1">MAX(Control!$C$127, MIN(Control!$C$135, $MW155/MAX(0.0001,Control!$C$119-$CY155)))</f>
        <v>#DIV/0!</v>
      </c>
      <c r="MY155" s="54" t="e">
        <f ca="1">IF(Control!$C$114=1, $CX155*$MX155, 0)</f>
        <v>#DIV/0!</v>
      </c>
      <c r="MZ155" s="54" t="e">
        <f t="shared" ca="1" si="660"/>
        <v>#N/A</v>
      </c>
      <c r="NA155" s="168" t="e">
        <f ca="1">(Control!$C$128-$MX155)*(Control!$C$119-Control!$C$74)</f>
        <v>#DIV/0!</v>
      </c>
      <c r="NB155" s="168" t="e">
        <f ca="1">(Control!$C$135-$MX155)*(Control!$C$119-Control!$C$74)</f>
        <v>#DIV/0!</v>
      </c>
      <c r="NC155" s="174" t="e">
        <f t="shared" ca="1" si="661"/>
        <v>#DIV/0!</v>
      </c>
      <c r="ND155" s="54">
        <f ca="1">IF(Control!$C$58=2, IF(OR(Control!$B$218=$AH155,Control!$B$219=$AH155, Control!$B$220=$AH155, Control!$B$221=$AH155, Control!$B$222=$AH155, Control!$B$223=$AH155, Control!$B$224=$AH155, Control!$B$225=$AH155, Control!$B$226=$AH155, Control!$B$227=$AH155, Control!$B$228=$AH155), 1, 0), 0)</f>
        <v>1</v>
      </c>
      <c r="NE155" s="54">
        <f ca="1">IF($ND155=0,0, VLOOKUP($AH155,Control!$B$218:$C$228,2))</f>
        <v>0</v>
      </c>
      <c r="NF155" s="168" t="e">
        <f ca="1">$CY155*(Control!$C$128-Control!$C$127)</f>
        <v>#N/A</v>
      </c>
      <c r="NG155" s="54" t="e">
        <f ca="1">IF(Control!$C$58=2, $NI154-$NJ154, 0)</f>
        <v>#DIV/0!</v>
      </c>
      <c r="NH155" s="54" t="e">
        <f ca="1">IF(AND(Control!$C$58=1, $MS154&lt;= ($MN154+0.02), $I154&lt;10), 0, IF(Control!$C$58=2, $NG154, 0))</f>
        <v>#DIV/0!</v>
      </c>
      <c r="NI155" s="54" t="e">
        <f ca="1">IF(Control!$C$58=2, $NE155+$NH155,0)</f>
        <v>#DIV/0!</v>
      </c>
      <c r="NJ155" s="54" t="e">
        <f ca="1">IF(AND(Control!$C$58=1, $MS155&lt;= ($MN155+0.02), $I155&lt;10), MAX(0, MIN(10, 0.7*($NF155-$MV155))), IF(Control!$C$58=2, MIN(10,$NI155),0))</f>
        <v>#DIV/0!</v>
      </c>
      <c r="NK155" s="54" t="e">
        <f t="shared" ca="1" si="569"/>
        <v>#DIV/0!</v>
      </c>
      <c r="NL155" s="173" t="e">
        <f ca="1">(1-Control!$C$73)*$I155+$NJ155</f>
        <v>#DIV/0!</v>
      </c>
      <c r="NM155" s="172" t="e">
        <f ca="1">IF($NL155&lt;0.5, $MB155* MAX(0, MIN(1, (SQRT($NC155)-SQRT($NC155-1))*Control!$C$71)),0)</f>
        <v>#DIV/0!</v>
      </c>
      <c r="NN155" s="170" t="e">
        <f ca="1">IF($NL155&gt;=5, $MB155, MAX(0,MIN($MB155, $NM155+$NL155,($MS155-Control!$C$129))))</f>
        <v>#DIV/0!</v>
      </c>
      <c r="NO155" s="54">
        <f>IF(Control!$C$133&lt;&gt;1, Control!$C$135-Control!$C$131, 0)</f>
        <v>0.38</v>
      </c>
      <c r="NP155" s="54" t="e">
        <f t="shared" ca="1" si="570"/>
        <v>#DIV/0!</v>
      </c>
      <c r="NQ155" s="173" t="e">
        <f ca="1">MAX(0,MIN(1,(Control!$C$135-$MS155)/(Control!$C$135-$NO155)))</f>
        <v>#DIV/0!</v>
      </c>
      <c r="NR155" s="170" t="e">
        <f ca="1">IF(Control!$C$133&lt;&gt;1, $NQ155+((1-$NP155/4)*(1-$NQ155)),1)</f>
        <v>#DIV/0!</v>
      </c>
      <c r="NS155" s="170" t="e">
        <f ca="1">IF(Control!$B$31=0,$MJ155,MAX(0,MIN($MV155,$MO155*$NR155*$MJ155)))</f>
        <v>#DIV/0!</v>
      </c>
      <c r="NT155" s="170" t="e">
        <f t="shared" ca="1" si="686"/>
        <v>#DIV/0!</v>
      </c>
      <c r="NU155" s="170" t="e">
        <f t="shared" ca="1" si="662"/>
        <v>#N/A</v>
      </c>
      <c r="NV155" s="170" t="e">
        <f t="shared" ca="1" si="571"/>
        <v>#N/A</v>
      </c>
      <c r="NW155" s="175" t="e">
        <f t="shared" ca="1" si="572"/>
        <v>#DIV/0!</v>
      </c>
      <c r="NX155" s="170" t="e">
        <f ca="1">MIN(Control!$C$72+$MU155, $NW155)</f>
        <v>#DIV/0!</v>
      </c>
      <c r="NY155" s="170" t="e">
        <f ca="1">IF($MT155&lt;=$NX155,MIN(Control!$C$72+$NB155,$NX155-$MT155),0)</f>
        <v>#DIV/0!</v>
      </c>
      <c r="NZ155" s="54" t="e">
        <f ca="1">IF(Control!$C$114=1,  $CX155*($MX155-Control!$C$127), 0)</f>
        <v>#DIV/0!</v>
      </c>
      <c r="OA155" s="170" t="e">
        <f t="shared" ca="1" si="573"/>
        <v>#DIV/0!</v>
      </c>
      <c r="OB155" s="170" t="e">
        <f ca="1">IF($NA155 &lt;=$NY155, MIN(Control!$C$72, $NY155-$NA155), 0)</f>
        <v>#DIV/0!</v>
      </c>
      <c r="OC155" s="168" t="e">
        <f t="shared" ca="1" si="574"/>
        <v>#DIV/0!</v>
      </c>
      <c r="OD155" s="168" t="e">
        <f t="shared" ca="1" si="663"/>
        <v>#DIV/0!</v>
      </c>
      <c r="OE155" s="170">
        <f ca="1">Control!$C$73*$I155</f>
        <v>0</v>
      </c>
      <c r="OF155" s="176" t="e">
        <f t="shared" ca="1" si="575"/>
        <v>#DIV/0!</v>
      </c>
      <c r="OG155" s="168" t="e">
        <f t="shared" ca="1" si="576"/>
        <v>#DIV/0!</v>
      </c>
      <c r="OH155" s="168" t="e">
        <f t="shared" ca="1" si="577"/>
        <v>#DIV/0!</v>
      </c>
      <c r="OI155" s="168" t="e">
        <f t="shared" ca="1" si="578"/>
        <v>#DIV/0!</v>
      </c>
      <c r="OJ155" s="168" t="e">
        <f t="shared" ca="1" si="579"/>
        <v>#DIV/0!</v>
      </c>
      <c r="OK155" s="204" t="e">
        <f t="shared" ca="1" si="580"/>
        <v>#DIV/0!</v>
      </c>
      <c r="OL155" s="177">
        <f>Control!$C$127</f>
        <v>0.15</v>
      </c>
      <c r="OM155" s="182" t="e">
        <f t="shared" ca="1" si="581"/>
        <v>#N/A</v>
      </c>
      <c r="ON155" s="177">
        <f>Control!$C$128</f>
        <v>0.35</v>
      </c>
      <c r="OO155" s="182" t="e">
        <f t="shared" ca="1" si="582"/>
        <v>#N/A</v>
      </c>
      <c r="OP155" s="138">
        <f t="shared" ca="1" si="664"/>
        <v>0</v>
      </c>
      <c r="OQ155" s="138" t="e">
        <f t="shared" ca="1" si="687"/>
        <v>#DIV/0!</v>
      </c>
      <c r="OR155" s="138" t="e">
        <f t="shared" ca="1" si="665"/>
        <v>#DIV/0!</v>
      </c>
      <c r="OS155" s="137" t="e">
        <f t="shared" ca="1" si="688"/>
        <v>#DIV/0!</v>
      </c>
      <c r="OT155" s="139" t="e">
        <f t="shared" ca="1" si="689"/>
        <v>#DIV/0!</v>
      </c>
      <c r="OU155" s="138" t="e">
        <f t="shared" ca="1" si="690"/>
        <v>#N/A</v>
      </c>
      <c r="OV155" s="138" t="e">
        <f t="shared" ca="1" si="691"/>
        <v>#DIV/0!</v>
      </c>
      <c r="OW155" s="138" t="e">
        <f t="shared" ca="1" si="666"/>
        <v>#DIV/0!</v>
      </c>
      <c r="OX155" s="138" t="e">
        <f t="shared" ca="1" si="667"/>
        <v>#DIV/0!</v>
      </c>
      <c r="OY155" s="138" t="e">
        <f t="shared" ca="1" si="668"/>
        <v>#DIV/0!</v>
      </c>
      <c r="OZ155" s="138" t="e">
        <f t="shared" ca="1" si="583"/>
        <v>#DIV/0!</v>
      </c>
      <c r="PA155" s="138" t="e">
        <f t="shared" ca="1" si="584"/>
        <v>#DIV/0!</v>
      </c>
      <c r="PB155" s="55">
        <f>IF(Control!$C$61="T", IF(Control!$C$65="F", IF($AH$6-Control!$C$60&lt;0,0,1), IF(365+$AH$6-Control!$C$60&lt;0,0,1)),0)</f>
        <v>0</v>
      </c>
      <c r="PC155" s="55">
        <f ca="1">IF(Control!$C$65="F", IF($AH$6-$HF155&lt;0,0,1), IF(365+$AH$6-$HF155&lt;0,0,1))</f>
        <v>1</v>
      </c>
      <c r="PD155" s="444">
        <f>Control!$C$118</f>
        <v>1500</v>
      </c>
      <c r="PE155" s="180" t="e">
        <f t="shared" ca="1" si="585"/>
        <v>#N/A</v>
      </c>
      <c r="PF155" s="445">
        <f t="shared" ca="1" si="669"/>
        <v>0.71612369323045078</v>
      </c>
      <c r="PT155" s="186"/>
      <c r="PU155" s="186"/>
      <c r="PV155" s="94"/>
      <c r="PW155" s="94"/>
      <c r="PX155" s="94"/>
      <c r="PY155" s="94"/>
      <c r="PZ155" s="94"/>
      <c r="QA155" s="94"/>
      <c r="QB155" s="94"/>
      <c r="QC155" s="94"/>
      <c r="QD155" s="94"/>
      <c r="QE155" s="94"/>
      <c r="QF155" s="94"/>
      <c r="QG155" s="94"/>
      <c r="QH155" s="94"/>
      <c r="QI155" s="94"/>
      <c r="QJ155" s="94"/>
      <c r="QK155" s="94"/>
      <c r="QL155" s="94"/>
      <c r="QM155" s="94"/>
      <c r="QN155" s="94"/>
      <c r="QO155" s="94"/>
      <c r="QP155" s="94"/>
    </row>
    <row r="156" spans="1:458" s="2" customFormat="1" x14ac:dyDescent="0.2">
      <c r="A156" s="395">
        <v>31</v>
      </c>
      <c r="B156" s="396">
        <v>5</v>
      </c>
      <c r="C156" s="387">
        <f ca="1">Weather_data!$B155</f>
        <v>0</v>
      </c>
      <c r="D156" s="388">
        <f ca="1">Weather_data!$F155</f>
        <v>0</v>
      </c>
      <c r="E156" s="388">
        <f ca="1">Weather_data!$E155</f>
        <v>0</v>
      </c>
      <c r="F156" s="388">
        <f t="shared" ca="1" si="586"/>
        <v>0</v>
      </c>
      <c r="G156" s="388">
        <f ca="1">AVERAGE($D156:$E156)+Control!$B$9</f>
        <v>0</v>
      </c>
      <c r="H156" s="388">
        <f ca="1">Weather_data!$G155</f>
        <v>0</v>
      </c>
      <c r="I156" s="388">
        <f ca="1">Weather_data!$I155</f>
        <v>0</v>
      </c>
      <c r="J156" s="388">
        <f ca="1">Weather_data!$H155</f>
        <v>0</v>
      </c>
      <c r="K156" s="389">
        <f ca="1">Weather_data!$D155</f>
        <v>0</v>
      </c>
      <c r="L156" s="388" t="e">
        <f t="shared" ca="1" si="587"/>
        <v>#N/A</v>
      </c>
      <c r="M156" s="388" t="e">
        <f t="shared" ca="1" si="465"/>
        <v>#N/A</v>
      </c>
      <c r="N156" s="388">
        <f t="shared" ca="1" si="466"/>
        <v>-6.8445739529294142E-8</v>
      </c>
      <c r="O156" s="388">
        <f t="shared" ca="1" si="588"/>
        <v>6.8445739529294148E-7</v>
      </c>
      <c r="P156" s="390">
        <v>3</v>
      </c>
      <c r="Q156" s="388">
        <f ca="1">MAX($G156-Control!$C$107,0)</f>
        <v>0</v>
      </c>
      <c r="R156" s="388">
        <f t="shared" ca="1" si="589"/>
        <v>0</v>
      </c>
      <c r="S156" s="388">
        <f t="shared" ca="1" si="467"/>
        <v>0</v>
      </c>
      <c r="T156" s="388">
        <f t="shared" ca="1" si="468"/>
        <v>0</v>
      </c>
      <c r="U156" s="59">
        <f t="shared" ca="1" si="469"/>
        <v>0</v>
      </c>
      <c r="V156" s="391">
        <f ca="1">MAX(0,MIN(Control!$C$100-Control!$C$99,$G156-Control!$C$99)*Control!$C$63)</f>
        <v>0</v>
      </c>
      <c r="W156" s="388">
        <f t="shared" ca="1" si="590"/>
        <v>0</v>
      </c>
      <c r="X156" s="388">
        <f t="shared" ca="1" si="591"/>
        <v>0.6110000000000001</v>
      </c>
      <c r="Y156" s="388">
        <f t="shared" ca="1" si="470"/>
        <v>0</v>
      </c>
      <c r="Z156" s="388">
        <f t="shared" ca="1" si="592"/>
        <v>0.61058800000000002</v>
      </c>
      <c r="AA156" s="388">
        <f t="shared" ca="1" si="471"/>
        <v>0.6018</v>
      </c>
      <c r="AB156" s="388">
        <f ca="1">101.3*EXP(-0.034*Control!$C$66/($G156+273))</f>
        <v>100.69623283836242</v>
      </c>
      <c r="AC156" s="392">
        <f t="shared" ca="1" si="472"/>
        <v>4.3460251046025113E-2</v>
      </c>
      <c r="AD156" s="392">
        <f t="shared" ca="1" si="473"/>
        <v>4.4450382862832649E-2</v>
      </c>
      <c r="AE156" s="388">
        <f t="shared" ca="1" si="474"/>
        <v>0</v>
      </c>
      <c r="AF156" s="388">
        <f ca="1">MAX(0,$G156-Control!$C$92)</f>
        <v>0</v>
      </c>
      <c r="AG156" s="393">
        <f t="shared" ca="1" si="475"/>
        <v>152</v>
      </c>
      <c r="AH156" s="389">
        <f t="shared" ca="1" si="476"/>
        <v>152</v>
      </c>
      <c r="AI156" s="388">
        <f t="shared" ca="1" si="593"/>
        <v>0.38270130503551575</v>
      </c>
      <c r="AJ156" s="388">
        <f ca="1">IF(Control!$C$60&lt;=0,$HH156,$HI156)</f>
        <v>1</v>
      </c>
      <c r="AK156" s="388">
        <f t="shared" ca="1" si="477"/>
        <v>1.2394228551148774</v>
      </c>
      <c r="AL156" s="388">
        <f t="shared" ca="1" si="478"/>
        <v>-6.8526712082572761E-18</v>
      </c>
      <c r="AM156" s="388">
        <f t="shared" ca="1" si="479"/>
        <v>1.2394228551148774</v>
      </c>
      <c r="AN156" s="388">
        <f t="shared" ca="1" si="480"/>
        <v>0.38564651026468511</v>
      </c>
      <c r="AO156" s="388">
        <f ca="1">-0.10453/COS(Control!$B$8*PI()/180)*COS(AN156)</f>
        <v>-0.15731508893090596</v>
      </c>
      <c r="AP156" s="388">
        <f ca="1">ACOS(AO156-TAN(Control!$B$8*PI()/180)*TAN(AN156))</f>
        <v>2.3143925650582746</v>
      </c>
      <c r="AQ156" s="388">
        <f t="shared" ca="1" si="594"/>
        <v>0</v>
      </c>
      <c r="AR156" s="394">
        <f t="shared" ca="1" si="481"/>
        <v>0</v>
      </c>
      <c r="AS156" s="436">
        <f ca="1">IF(Control!$B$18=2,(IF(OR($AH156=Control!$B$175,$AH156=Control!$B$176,$AH156=Control!$B$177,$AH156=Control!$B$178,$AH156=Control!$B$179,$AH156=Control!$B$180,$AH156=Control!$B$181,$AH156=Control!$B$182,$AH156=Control!$B$183,$AH156=Control!$B$184,$AH156=Control!$B$185),1,0)),0)</f>
        <v>0</v>
      </c>
      <c r="AT156" s="436">
        <f>IF(Control!$B$20=8,IF(AND($AH156&gt;=Control!$B$172,$AH156&lt;=Control!$B$173),1,0),0)</f>
        <v>0</v>
      </c>
      <c r="AU156" s="436">
        <f>IF(Control!$B$20=8,IF($AV155=1,1*$AT156,IF($AT156=1,$AU155+1,$AU155)),0)</f>
        <v>0</v>
      </c>
      <c r="AV156" s="436">
        <f>IF(Control!$B$20=8,IF($AU156&gt;=Control!$B$174,1,0),0)</f>
        <v>0</v>
      </c>
      <c r="AW156" s="436">
        <f ca="1">IF(AND(Control!$B$18=2,Control!$B$171=1), $AV156, $AS156)</f>
        <v>0</v>
      </c>
      <c r="AX156" s="436" t="e">
        <f ca="1">IF(AND(Control!$B$18=1,$EU156&gt;=Control!$B$19),-$AY156,IF(AND(Control!$B$18=2,$AW156=1,$EU156&gt;$DS156),-$AY156, IF(Control!$C$108=0,0, IF(Control!$C$108&lt;&gt;0,1))))</f>
        <v>#N/A</v>
      </c>
      <c r="AY156" s="436" t="e">
        <f t="shared" ca="1" si="595"/>
        <v>#N/A</v>
      </c>
      <c r="AZ156" s="436" t="e">
        <f ca="1">IF(AND(Control!$B$18=1,$EB156&gt;Control!$B$19),$AZ155+1, IF(AND(Control!$B$18=2, $AW156=1, $EB156&gt;$DS156), $AZ155+1,$AZ155))</f>
        <v>#N/A</v>
      </c>
      <c r="BA156" s="587">
        <f>IF(Control!$C$81=0,1,IF($AH156&gt;=Control!$C$82,1,0))</f>
        <v>1</v>
      </c>
      <c r="BB156" s="140" t="e">
        <f ca="1">IF($BA156&gt;$BA155,Control!$C$83,IF($AW156&gt;0,$AW156*Control!$C$84,IF(AND(Control!$B$18=1,EN155&lt;&gt;0),Control!$C$84,0)))</f>
        <v>#N/A</v>
      </c>
      <c r="BC156" s="140" t="e">
        <f t="shared" ca="1" si="596"/>
        <v>#N/A</v>
      </c>
      <c r="BD156" s="140" t="e">
        <f ca="1">BC156*IF(OR($G156&lt;Control!$C$92,$G156&gt;Control!$C$95),0,IF(AND($G156&gt;=Control!$C$92,$G156&lt;=Control!$C$93),$G156-Control!$C$92,IF(AND($G156&gt;Control!$C$93,$G156&lt;=Control!$C$94),Control!$C$93-Control!$C$92,IF(AND($G156&gt;Control!$C$94,$G156&lt;=Control!$C$95),(Control!$C$93-Control!$C$92)*(Control!$C$94-$G156)/(Control!$C$95-Control!$C$94)))))</f>
        <v>#N/A</v>
      </c>
      <c r="BE156" s="140" t="e">
        <f t="shared" ca="1" si="597"/>
        <v>#N/A</v>
      </c>
      <c r="BF156" s="140" t="e">
        <f ca="1">IF($BE156&lt;=Control!$C$86,$BE156,Control!$C$86-$BE156)</f>
        <v>#N/A</v>
      </c>
      <c r="BG156" s="140" t="e">
        <f ca="1">IF(AND($AW156=1,Control!$C$84&lt;9),1,IF($BE156&gt;=Control!$C$86,0,$BC156))</f>
        <v>#N/A</v>
      </c>
      <c r="BH156" s="404" t="e">
        <f ca="1">IF($BG156=0,0,IF($BE156&lt;=Control!$C$86,$BC156*9*($BF156/Control!$C$86),0))</f>
        <v>#N/A</v>
      </c>
      <c r="BI156" s="140" t="e">
        <f ca="1">IF($BG156=1,0,IF($BE156&gt;=Control!$C$86,1,IF(AND($BB156&lt;21,$BB156&gt;=9),1,$BM155)))</f>
        <v>#N/A</v>
      </c>
      <c r="BJ156" s="140" t="e">
        <f ca="1">IF($BF156&lt;0,-$BF156,$BI156*IF(OR($G156&lt;Control!$C$92,$G156&gt;Control!$C$95),0,IF(AND($G156&gt;=Control!$C$92,$G156&lt;=Control!$C$93),$G156-Control!$C$92,IF(AND($G156&gt;Control!$C$93,$G156&lt;=Control!$C$94),Control!$C$93-Control!$C$92,IF(AND($G156&gt;Control!$C$94,$G156&lt;=Control!$C$95),(Control!$C$93-Control!$C$92)*(Control!$C$94-$G156)/(Control!$C$95-Control!$C$94))))))</f>
        <v>#N/A</v>
      </c>
      <c r="BK156" s="140" t="e">
        <f t="shared" ca="1" si="598"/>
        <v>#N/A</v>
      </c>
      <c r="BL156" s="140" t="e">
        <f ca="1">IF($BK156&lt;=Control!$C$87,$BK156,Control!$C$87-$BK156)</f>
        <v>#N/A</v>
      </c>
      <c r="BM156" s="140" t="e">
        <f ca="1">IF(AND($BB156&gt;=9,$BB156&lt;21),1,IF($BK156&gt;=Control!$C$87,0,$BI156))</f>
        <v>#N/A</v>
      </c>
      <c r="BN156" s="404" t="e">
        <f ca="1">IF($BM156=0,0,IF($BK156&lt;=Control!$C$87,$BI156*(9+(21-9)*($BL156/Control!$C$87)),0))</f>
        <v>#N/A</v>
      </c>
      <c r="BO156" s="140" t="e">
        <f ca="1">IF($BM156=1,0,IF($BK156&gt;=Control!$C$87,1,IF(AND($BB156&lt;30,$BB156&gt;=21),1,$BS155)))</f>
        <v>#N/A</v>
      </c>
      <c r="BP156" s="140" t="e">
        <f ca="1">IF($BL156&lt;0,-$BL156,$BO156*IF(OR($G156&lt;Control!$C$92,$G156&gt;Control!$C$95),0,IF(AND($G156&gt;=Control!$C$92,$G156&lt;=Control!$C$93),$G156-Control!$C$92,IF(AND($G156&gt;Control!$C$93,$G156&lt;=Control!$C$94),Control!$C$93-Control!$C$92,IF(AND($G156&gt;Control!$C$94,$G156&lt;=Control!$C$95),(Control!$C$93-Control!$C$92)*(Control!$C$94-$G156)/(Control!$C$95-Control!$C$94))))))</f>
        <v>#N/A</v>
      </c>
      <c r="BQ156" s="140" t="e">
        <f t="shared" ca="1" si="482"/>
        <v>#N/A</v>
      </c>
      <c r="BR156" s="140" t="e">
        <f ca="1">IF($BQ156&lt;=Control!$C$88,$BQ156,Control!$C$88-$BQ156)</f>
        <v>#N/A</v>
      </c>
      <c r="BS156" s="140" t="e">
        <f ca="1">IF(AND($BB156&gt;=21,$BB156&lt;30),1,IF($BQ156&gt;=Control!$C$88,0,$BO156))</f>
        <v>#N/A</v>
      </c>
      <c r="BT156" s="404" t="e">
        <f ca="1">IF($BS156=0,0,IF($BQ156&lt;=Control!$C$88,$BO156*(21+(30-21)*(BR156/Control!$C$88)),0))</f>
        <v>#N/A</v>
      </c>
      <c r="BU156" s="140" t="e">
        <f ca="1">IF(BG156+BM156+BS156=1,0,IF(OR(AND($BB156&lt;60,$BB156&gt;=30),$BQ156&gt;=Control!$C$88),1*$BA156,$BY155))</f>
        <v>#N/A</v>
      </c>
      <c r="BV156" s="140" t="e">
        <f ca="1">IF($BR156&lt;0,-$BR156,$BU156*IF(OR($G156&lt;Control!$C$92,$G156&gt;Control!$C$95),0,IF(AND($G156&gt;=Control!$C$92,$G156&lt;=Control!$C$93),$G156-Control!$C$92,IF(AND($G156&gt;Control!$C$93,$G156&lt;=Control!$C$94),Control!$C$93-Control!$C$92,IF(AND($G156&gt;Control!$C$94,$G156&lt;=Control!$C$95),(Control!$C$93-Control!$C$92)*(Control!$C$94-$G156)/(Control!$C$95-Control!$C$94))))))</f>
        <v>#N/A</v>
      </c>
      <c r="BW156" s="140" t="e">
        <f t="shared" ca="1" si="483"/>
        <v>#N/A</v>
      </c>
      <c r="BX156" s="140" t="e">
        <f ca="1">IF($BW156&lt;=Control!$C$89,$BW156,Control!$C$89-$BW156)</f>
        <v>#N/A</v>
      </c>
      <c r="BY156" s="140" t="e">
        <f ca="1">IF(AND($AJ156&gt;=30,$AJ156&lt;60),1,IF($BW156&gt;=Control!$C$89,0,$BU156))</f>
        <v>#N/A</v>
      </c>
      <c r="BZ156" s="404" t="e">
        <f ca="1">IF($BY156=0,0,IF($BW156&lt;=Control!$C$89,$BU156*(30+(60-30)*(BX156/Control!$C$89)),0))</f>
        <v>#N/A</v>
      </c>
      <c r="CA156" s="140" t="e">
        <f ca="1">IF($BG156+$BM156+$BS156+$BY156=1,0,IF(OR(AND($BB156&lt;65,$BB156&gt;=60),$BW156&gt;=Control!$C$89),1*$BA156,$CE155))</f>
        <v>#N/A</v>
      </c>
      <c r="CB156" s="140" t="e">
        <f ca="1">IF($BX156&lt;0,-$BX156,$CA156*IF(OR($G156&lt;Control!$C$92,$G156&gt;Control!$C$95),0,IF(AND($G156&gt;=Control!$C$92,$G156&lt;=Control!$C$93),$G156-Control!$C$92,IF(AND($G156&gt;Control!$C$93,$G156&lt;=Control!$C$94),Control!$C$93-Control!$C$92,IF(AND($G156&gt;Control!$C$94,$G156&lt;=Control!$C$95),(Control!$C$93-Control!$C$92)*(Control!$C$94-$G156)/(Control!$C$95-Control!$C$94))))))</f>
        <v>#N/A</v>
      </c>
      <c r="CC156" s="140" t="e">
        <f t="shared" ca="1" si="599"/>
        <v>#N/A</v>
      </c>
      <c r="CD156" s="140" t="e">
        <f ca="1">IF($CC156&lt;=Control!$C$90,$CC156,Control!$C$90-$CC156)</f>
        <v>#N/A</v>
      </c>
      <c r="CE156" s="140" t="e">
        <f ca="1">IF(AND($BB156&gt;=60,$BB156&lt;65),1,IF($CC156&gt;=Control!$C$90,0,$CA156))</f>
        <v>#N/A</v>
      </c>
      <c r="CF156" s="404" t="e">
        <f ca="1">IF($CE156=0,0,IF($CC156&lt;=Control!$C$90,$CA156*(60+(65-60)*(CD156/Control!$C$90)),0))</f>
        <v>#N/A</v>
      </c>
      <c r="CG156" s="140" t="e">
        <f ca="1">IF($BG156+$BM156+$BS156+$BY156+$CE156=1,0,IF(OR(AND($BB156&lt;90,$BB156&gt;=65),$CC156&gt;=Control!$C$90),$BA156,$CK155))</f>
        <v>#N/A</v>
      </c>
      <c r="CH156" s="140" t="e">
        <f ca="1">IF($CD156&lt;0,-$CD156,$CG156*IF(OR($G156&lt;Control!$C$92,$G156&gt;Control!$C$95),0,IF(AND($G156&gt;=Control!$C$92,$G156&lt;=Control!$C$93),$G156-Control!$C$92,IF(AND($G156&gt;Control!$C$93,$G156&lt;=Control!$C$94),Control!$C$93-Control!$C$92,IF(AND($G156&gt;Control!$C$94,$G156&lt;=Control!$C$95),(Control!$C$93-Control!$C$92)*(Control!$C$94-$G156)/(Control!$C$95-Control!$C$94))))))</f>
        <v>#N/A</v>
      </c>
      <c r="CI156" s="140" t="e">
        <f t="shared" ca="1" si="600"/>
        <v>#N/A</v>
      </c>
      <c r="CJ156" s="140" t="e">
        <f ca="1">IF($CI156&lt;=Control!$C$91,$CI156,Control!$C$91-$CI156)</f>
        <v>#N/A</v>
      </c>
      <c r="CK156" s="140" t="e">
        <f ca="1">IF(AND($BB156&gt;=65,$BB156&lt;90),1,IF($CI156&gt;=Control!$C$91,0,$CG156))</f>
        <v>#N/A</v>
      </c>
      <c r="CL156" s="404" t="e">
        <f ca="1">IF($CK156=0,0,IF($CI156&lt;=Control!$C$91,$CG156*(65+(90-65)*($CJ156/Control!$C$91)),0))</f>
        <v>#N/A</v>
      </c>
      <c r="CM156" s="140" t="e">
        <f ca="1">IF($BG156+$BM156+$BS156+$BY156+$CE156+$CK156=1,0,IF(OR($BB156&gt;=90,$CI156&gt;=Control!$C$91),$BA156,$CM155))</f>
        <v>#N/A</v>
      </c>
      <c r="CN156" s="140" t="e">
        <f t="shared" ca="1" si="601"/>
        <v>#N/A</v>
      </c>
      <c r="CO156" s="140" t="e">
        <f t="shared" ca="1" si="602"/>
        <v>#N/A</v>
      </c>
      <c r="CP156" s="140" t="e">
        <f t="shared" ca="1" si="603"/>
        <v>#N/A</v>
      </c>
      <c r="CQ156" s="141" t="e">
        <f ca="1">VLOOKUP($CP156,Control!$B$86:$G$91,6)</f>
        <v>#N/A</v>
      </c>
      <c r="CR156" s="141" t="e">
        <f ca="1">(1-$CQ156)*VLOOKUP($CP156,Control!$B$86:$D$91,3)</f>
        <v>#N/A</v>
      </c>
      <c r="CS156" s="141" t="e">
        <f ca="1">(1-$CQ156)*VLOOKUP($CP156,Control!$B$86:$E$91,4)</f>
        <v>#N/A</v>
      </c>
      <c r="CT156" s="141" t="e">
        <f ca="1">(1-$CQ156)*VLOOKUP($CP156,Control!$B$86:$F$91,5)</f>
        <v>#N/A</v>
      </c>
      <c r="CU156" s="141">
        <f t="shared" ca="1" si="604"/>
        <v>0</v>
      </c>
      <c r="CV156" s="583">
        <f t="shared" ca="1" si="605"/>
        <v>0</v>
      </c>
      <c r="CW156" s="142">
        <f t="shared" ca="1" si="606"/>
        <v>152</v>
      </c>
      <c r="CX156" s="612" t="e">
        <f ca="1">IF(Control!$C$114=1,(MIN(Control!$C$120*(IF($NT156-0.01&lt;0,0,1)),Control!$C$119-$CY156)))</f>
        <v>#DIV/0!</v>
      </c>
      <c r="CY156" s="143" t="e">
        <f t="shared" ca="1" si="607"/>
        <v>#N/A</v>
      </c>
      <c r="CZ156" s="144">
        <f t="shared" ca="1" si="484"/>
        <v>0</v>
      </c>
      <c r="DA156" s="144">
        <f t="shared" ca="1" si="485"/>
        <v>0</v>
      </c>
      <c r="DB156" s="144" t="e">
        <f t="shared" ca="1" si="486"/>
        <v>#N/A</v>
      </c>
      <c r="DC156" s="144" t="e">
        <f t="shared" ca="1" si="487"/>
        <v>#N/A</v>
      </c>
      <c r="DD156" s="144" t="e">
        <f t="shared" ca="1" si="692"/>
        <v>#N/A</v>
      </c>
      <c r="DE156" s="143" t="e">
        <f t="shared" ca="1" si="608"/>
        <v>#N/A</v>
      </c>
      <c r="DF156" s="145" t="e">
        <f ca="1">$DR156*EXP(-Control!$C$158*(1-$KH156))</f>
        <v>#N/A</v>
      </c>
      <c r="DG156" s="146" t="e">
        <f ca="1">IF(Control!$C$114=1, $DF156*$EY156, 0)</f>
        <v>#N/A</v>
      </c>
      <c r="DH156" s="147" t="e">
        <f t="shared" ca="1" si="609"/>
        <v>#N/A</v>
      </c>
      <c r="DI156" s="144" t="e">
        <f t="shared" ca="1" si="670"/>
        <v>#N/A</v>
      </c>
      <c r="DJ156" s="147" t="e">
        <f ca="1">$EF156*Control!$C$109</f>
        <v>#N/A</v>
      </c>
      <c r="DK156" s="144" t="e">
        <f t="shared" ca="1" si="610"/>
        <v>#N/A</v>
      </c>
      <c r="DL156" s="144" t="e">
        <f t="shared" ca="1" si="488"/>
        <v>#N/A</v>
      </c>
      <c r="DM156" s="144" t="e">
        <f ca="1">IF(Control!$C$114=1, (1-EXP(-Control!$C$96*$DK156))*$AR156, 0)</f>
        <v>#N/A</v>
      </c>
      <c r="DN156" s="144">
        <f t="shared" ca="1" si="611"/>
        <v>0</v>
      </c>
      <c r="DO156" s="148">
        <f>Control!$C$97</f>
        <v>4</v>
      </c>
      <c r="DP156" s="145" t="e">
        <f t="shared" ca="1" si="612"/>
        <v>#N/A</v>
      </c>
      <c r="DQ156" s="145" t="e">
        <f ca="1">IF(AND($CP156&gt;=0,$CP156&lt;=90),Control!$C$111,Control!$C$111)</f>
        <v>#N/A</v>
      </c>
      <c r="DR156" s="145" t="e">
        <f t="shared" ca="1" si="489"/>
        <v>#N/A</v>
      </c>
      <c r="DS156" s="143" t="e">
        <f ca="1">Control!$B$22/$DR156</f>
        <v>#N/A</v>
      </c>
      <c r="DT156" s="149" t="e">
        <f ca="1">IF(AND(Control!$C$114=1,$KH156&lt;1),$IM156*$DF156, 0)</f>
        <v>#N/A</v>
      </c>
      <c r="DU156" s="144" t="e">
        <f t="shared" ca="1" si="613"/>
        <v>#N/A</v>
      </c>
      <c r="DV156" s="144">
        <f ca="1">IF($G156-Control!$C$107&lt;=0, 0, 0.83*LN(MAX($G156, 3))-0.8924)</f>
        <v>0</v>
      </c>
      <c r="DW156" s="144" t="e">
        <f t="shared" ca="1" si="490"/>
        <v>#N/A</v>
      </c>
      <c r="DX156" s="150" t="e">
        <f ca="1">MAX(0.01*(1+$CU156/Control!$C$102),0.05*($DK156-Control!$C$97)/Control!$C$97)</f>
        <v>#N/A</v>
      </c>
      <c r="DY156" s="151" t="e">
        <f ca="1">IF(Control!$C$114=1, $DI156*$FS156, 0)</f>
        <v>#N/A</v>
      </c>
      <c r="DZ156" s="196" t="e">
        <f t="shared" ca="1" si="614"/>
        <v>#N/A</v>
      </c>
      <c r="EA156" s="152">
        <f t="shared" ca="1" si="615"/>
        <v>152</v>
      </c>
      <c r="EB156" s="153" t="e">
        <f t="shared" ca="1" si="616"/>
        <v>#N/A</v>
      </c>
      <c r="EC156" s="153" t="e">
        <f t="shared" ca="1" si="617"/>
        <v>#N/A</v>
      </c>
      <c r="ED156" s="154" t="e">
        <f ca="1">IF(Control!$C$114=1, $HM156*$FY156-$FD156, 0)</f>
        <v>#DIV/0!</v>
      </c>
      <c r="EE156" s="155" t="e">
        <f ca="1">IF(Control!$C$114=1, $HM156*$FZ156-$FF156, 0)</f>
        <v>#DIV/0!</v>
      </c>
      <c r="EF156" s="153" t="e">
        <f t="shared" ca="1" si="671"/>
        <v>#N/A</v>
      </c>
      <c r="EG156" s="155" t="e">
        <f ca="1">IF(Control!$C$114=1, $GX156*$FW156-$FI156, 0)</f>
        <v>#DIV/0!</v>
      </c>
      <c r="EH156" s="153" t="e">
        <f t="shared" ca="1" si="618"/>
        <v>#N/A</v>
      </c>
      <c r="EI156" s="156" t="e">
        <f t="shared" ca="1" si="619"/>
        <v>#N/A</v>
      </c>
      <c r="EJ156" s="155" t="e">
        <f ca="1">IF(Control!$C$114=1, $HM156*$GB156, 0)</f>
        <v>#DIV/0!</v>
      </c>
      <c r="EK156" s="153" t="e">
        <f t="shared" ca="1" si="672"/>
        <v>#N/A</v>
      </c>
      <c r="EL156" s="153" t="e">
        <f t="shared" ca="1" si="491"/>
        <v>#N/A</v>
      </c>
      <c r="EM156" s="153" t="e">
        <f t="shared" ca="1" si="492"/>
        <v>#N/A</v>
      </c>
      <c r="EN156" s="153" t="e">
        <f ca="1">IF(Control!$C$108=1,IF(AND(Control!$B$18=1,$EB156&gt;=Control!$B$19),$EB156-$DS156,IF(AND(Control!$B$18=2,$AW156=1,$EB156&gt;$DS156),$EB156-$DS156,0)))</f>
        <v>#N/A</v>
      </c>
      <c r="EO156" s="153" t="e">
        <f ca="1">IF(Control!$C$108=1,IF(AND(Control!$B$18=1,$EB156&gt;=Control!$B$19),$EF156,IF(AND(Control!$B$18=2,$AW156=1),$EF156,0)))</f>
        <v>#N/A</v>
      </c>
      <c r="EP156" s="153" t="e">
        <f ca="1">IF(Control!$C$108=1,IF(AND(Control!$B$18=1,$EB156&gt;=Control!$B$19),$EK156,IF(AND(Control!$B$18=2,$AW156=1),$EK156,0)))</f>
        <v>#N/A</v>
      </c>
      <c r="EQ156" s="153" t="e">
        <f t="shared" ca="1" si="620"/>
        <v>#N/A</v>
      </c>
      <c r="ER156" s="153" t="e">
        <f t="shared" ca="1" si="621"/>
        <v>#N/A</v>
      </c>
      <c r="ES156" s="153" t="e">
        <f t="shared" ca="1" si="673"/>
        <v>#N/A</v>
      </c>
      <c r="ET156" s="153" t="e">
        <f t="shared" ca="1" si="674"/>
        <v>#N/A</v>
      </c>
      <c r="EU156" s="153" t="e">
        <f t="shared" ca="1" si="622"/>
        <v>#N/A</v>
      </c>
      <c r="EV156" s="153" t="e">
        <f t="shared" ca="1" si="493"/>
        <v>#N/A</v>
      </c>
      <c r="EW156" s="153" t="e">
        <f t="shared" ca="1" si="494"/>
        <v>#N/A</v>
      </c>
      <c r="EX156" s="153" t="e">
        <f t="shared" ca="1" si="495"/>
        <v>#N/A</v>
      </c>
      <c r="EY156" s="157" t="e">
        <f t="shared" ca="1" si="496"/>
        <v>#DIV/0!</v>
      </c>
      <c r="EZ156" s="154" t="e">
        <f t="shared" ca="1" si="497"/>
        <v>#DIV/0!</v>
      </c>
      <c r="FA156" s="153" t="e">
        <f t="shared" ca="1" si="623"/>
        <v>#N/A</v>
      </c>
      <c r="FB156" s="153" t="e">
        <f t="shared" ca="1" si="498"/>
        <v>#N/A</v>
      </c>
      <c r="FC156" s="193" t="e">
        <f t="shared" ca="1" si="499"/>
        <v>#N/A</v>
      </c>
      <c r="FD156" s="158" t="e">
        <f t="shared" ca="1" si="624"/>
        <v>#N/A</v>
      </c>
      <c r="FE156" s="158" t="e">
        <f t="shared" ca="1" si="625"/>
        <v>#N/A</v>
      </c>
      <c r="FF156" s="159" t="e">
        <f t="shared" ca="1" si="500"/>
        <v>#N/A</v>
      </c>
      <c r="FG156" s="160" t="e">
        <f t="shared" ca="1" si="626"/>
        <v>#N/A</v>
      </c>
      <c r="FH156" s="158" t="e">
        <f t="shared" ca="1" si="627"/>
        <v>#N/A</v>
      </c>
      <c r="FI156" s="159" t="e">
        <f t="shared" ca="1" si="501"/>
        <v>#N/A</v>
      </c>
      <c r="FJ156" s="160" t="e">
        <f t="shared" ca="1" si="628"/>
        <v>#N/A</v>
      </c>
      <c r="FK156" s="160" t="e">
        <f t="shared" ca="1" si="502"/>
        <v>#N/A</v>
      </c>
      <c r="FL156" s="160" t="e">
        <f t="shared" ca="1" si="675"/>
        <v>#N/A</v>
      </c>
      <c r="FM156" s="160" t="e">
        <f t="shared" ca="1" si="503"/>
        <v>#N/A</v>
      </c>
      <c r="FN156" s="158">
        <f t="shared" ca="1" si="629"/>
        <v>0.01</v>
      </c>
      <c r="FO156" s="160">
        <f>Control!$C$101</f>
        <v>50</v>
      </c>
      <c r="FP156" s="150" t="e">
        <f t="shared" ca="1" si="504"/>
        <v>#N/A</v>
      </c>
      <c r="FQ156" s="150" t="e">
        <f ca="1">MAX(0,(Control!$C$112*(($DK156-Control!$C$97)/Control!$C$97)))</f>
        <v>#N/A</v>
      </c>
      <c r="FR156" s="150" t="e">
        <f ca="1">(1-$NT156)*Control!$C$113</f>
        <v>#DIV/0!</v>
      </c>
      <c r="FS156" s="198" t="e">
        <f t="shared" ca="1" si="505"/>
        <v>#N/A</v>
      </c>
      <c r="FT156" s="161">
        <f t="shared" ca="1" si="630"/>
        <v>152</v>
      </c>
      <c r="FU156" s="162" t="e">
        <f ca="1">IF(Control!$B$34=1,VLOOKUP($CP156,Control!$B$86:$G$91,6),Control!$B$35)</f>
        <v>#N/A</v>
      </c>
      <c r="FV156" s="162" t="e">
        <f t="shared" ca="1" si="506"/>
        <v>#DIV/0!</v>
      </c>
      <c r="FW156" s="162" t="e">
        <f ca="1">IF(Control!$B$31=1,$FU156*$FV156,  $FU156)</f>
        <v>#N/A</v>
      </c>
      <c r="FX156" s="162" t="e">
        <f ca="1">IF(Control!$B$34=1,VLOOKUP($CP156,Control!$B$86:$G$91,3),Control!$B$36)</f>
        <v>#N/A</v>
      </c>
      <c r="FY156" s="162" t="e">
        <f t="shared" ca="1" si="507"/>
        <v>#N/A</v>
      </c>
      <c r="FZ156" s="162" t="e">
        <f ca="1">IF(Control!$B$34=1,VLOOKUP($CP156,Control!$B$86:$G$91,4),Control!$B$37)</f>
        <v>#N/A</v>
      </c>
      <c r="GA156" s="162" t="e">
        <f t="shared" ca="1" si="508"/>
        <v>#N/A</v>
      </c>
      <c r="GB156" s="162" t="e">
        <f ca="1">IF(Control!$B$34=1,VLOOKUP($CP156,Control!$B$86:$G$91,5),Control!$B$38)</f>
        <v>#N/A</v>
      </c>
      <c r="GC156" s="162" t="e">
        <f t="shared" ca="1" si="631"/>
        <v>#N/A</v>
      </c>
      <c r="GD156" s="162">
        <f t="shared" ca="1" si="509"/>
        <v>1</v>
      </c>
      <c r="GE156" s="162">
        <f t="shared" ca="1" si="510"/>
        <v>1</v>
      </c>
      <c r="GF156" s="162">
        <f ca="1">IF(AND(Control!$C$104=1, Control!$C$62="F"),$GE156,1)</f>
        <v>1</v>
      </c>
      <c r="GG156" s="162" t="e">
        <f ca="1">IF(Control!$B$16=40,0,IF(AND(Control!$B$16&gt;40,Control!$B$16&lt;=360),(Control!$B$16-40)*((1-0)/(360-40)),IF(AND(Control!$B$16&gt;360,Control!$B$16&lt;=720),(1+(Control!$B$16-360)*((1.25-1)/(720-360))),IF(AND(Control!$B$16&gt;720,Control!$B$16&lt;=1000),(1.25+(Control!$B$16-720)*((1.35-1.25)/(1000-720))),IF(AND(Control!$B$16&gt;1000,Control!$B$16&lt;=2000),(1.35+(Control!$B$16-1000)*0))))))</f>
        <v>#N/A</v>
      </c>
      <c r="GH156" s="162" t="e">
        <f t="shared" ca="1" si="511"/>
        <v>#N/A</v>
      </c>
      <c r="GI156" s="162">
        <f t="shared" ca="1" si="632"/>
        <v>0</v>
      </c>
      <c r="GJ156" s="162">
        <f t="shared" ca="1" si="512"/>
        <v>0</v>
      </c>
      <c r="GK156" s="162">
        <f t="shared" ca="1" si="633"/>
        <v>1</v>
      </c>
      <c r="GL156" s="162">
        <f t="shared" ca="1" si="513"/>
        <v>1</v>
      </c>
      <c r="GM156" s="162" t="e">
        <f ca="1">MAX(0,MIN(1,1-Control!$C$156*(1.0001-$KH156)^2))</f>
        <v>#N/A</v>
      </c>
      <c r="GN156" s="162" t="e">
        <f ca="1">IF(Control!$B$26=1,$KU156,$KX156)</f>
        <v>#N/A</v>
      </c>
      <c r="GO156" s="162" t="e">
        <f ca="1">IF($CP156&lt;=60,Control!$C$105,IF($CP156&gt;=90,Control!$C$106,Control!$C$105+($CP156-60)*((Control!$C$106-Control!$C$105)/(90-60))))</f>
        <v>#N/A</v>
      </c>
      <c r="GP156" s="162" t="e">
        <f t="shared" ca="1" si="514"/>
        <v>#N/A</v>
      </c>
      <c r="GQ156" s="162" t="e">
        <f t="shared" ca="1" si="634"/>
        <v>#N/A</v>
      </c>
      <c r="GR156" s="163" t="e">
        <f t="shared" ca="1" si="515"/>
        <v>#DIV/0!</v>
      </c>
      <c r="GS156" s="162" t="e">
        <f t="shared" ca="1" si="516"/>
        <v>#DIV/0!</v>
      </c>
      <c r="GT156" s="164" t="e">
        <f t="shared" ca="1" si="635"/>
        <v>#N/A</v>
      </c>
      <c r="GU156" s="162" t="e">
        <f t="shared" ca="1" si="636"/>
        <v>#N/A</v>
      </c>
      <c r="GV156" s="162" t="e">
        <f t="shared" ca="1" si="517"/>
        <v>#N/A</v>
      </c>
      <c r="GW156" s="162" t="e">
        <f t="shared" ca="1" si="518"/>
        <v>#DIV/0!</v>
      </c>
      <c r="GX156" s="162" t="e">
        <f t="shared" ca="1" si="637"/>
        <v>#DIV/0!</v>
      </c>
      <c r="GY156" s="162" t="e">
        <f t="shared" ca="1" si="638"/>
        <v>#DIV/0!</v>
      </c>
      <c r="GZ156" s="165" t="e">
        <f t="shared" ca="1" si="519"/>
        <v>#N/A</v>
      </c>
      <c r="HA156" s="162" t="e">
        <f ca="1">IF(Control!$C$114=1, $DI156*$FS156, 0)</f>
        <v>#N/A</v>
      </c>
      <c r="HB156" s="162" t="e">
        <f ca="1">$FA156/Control!$C$64</f>
        <v>#N/A</v>
      </c>
      <c r="HC156" s="162" t="e">
        <f t="shared" ca="1" si="520"/>
        <v>#DIV/0!</v>
      </c>
      <c r="HD156" s="162">
        <f ca="1">-ASIN(SIN(23.45*Control!$C$139)*COS(2*Control!$C$138*($AH156+10)/365))</f>
        <v>0.38270130503551575</v>
      </c>
      <c r="HE156" s="165">
        <f t="shared" ca="1" si="639"/>
        <v>0</v>
      </c>
      <c r="HF156" s="166">
        <f ca="1">IF(AND(Control!$C$61="T",$HE156&gt;=Control!$C$103,Control!$C$114=0),$AH156,Control!$C$59)</f>
        <v>1</v>
      </c>
      <c r="HG156" s="166">
        <f ca="1">IF(AND(Control!$C$61="T",$HE156&gt;=Control!$C$103,Control!$C$114=0),$HF156,Control!$C$59)</f>
        <v>1</v>
      </c>
      <c r="HH156" s="165">
        <f ca="1">IF(AND(OR(Control!$C$60&lt;=0, $AH156= Control!$C$59, Control!$C$60 &gt;0, $AH156 = Control!$C$60)), Control!$C$59, IF(Control!$C$60&gt;0, 0))</f>
        <v>1</v>
      </c>
      <c r="HI156" s="165">
        <f ca="1">IF(AND(OR(Control!$C$60&lt;=0, $AH156= Control!$C$59, Control!$C$60 &gt;0, $AH156 = Control!$C$60)), Control!$C$60, IF(Control!$C$60&lt;=0, 0))</f>
        <v>0</v>
      </c>
      <c r="HJ156" s="166">
        <f ca="1">IF(AND(Control!$C$62="F",$CV156&gt;=Control!$C$102),$AH156,0)</f>
        <v>0</v>
      </c>
      <c r="HK156" s="165" t="e">
        <f t="shared" ca="1" si="676"/>
        <v>#N/A</v>
      </c>
      <c r="HL156" s="166">
        <f ca="1">IF(AND(Control!$C$61="T",$HE156&gt;=Control!$C$103,Control!$C$114=0),$HF156,0)</f>
        <v>0</v>
      </c>
      <c r="HM156" s="201" t="e">
        <f t="shared" ca="1" si="521"/>
        <v>#DIV/0!</v>
      </c>
      <c r="HN156" s="215">
        <f t="shared" ca="1" si="640"/>
        <v>152</v>
      </c>
      <c r="HO156" s="216" t="e">
        <f ca="1">IF(AND($CP156&gt;=0, $CP156&lt;=90), Control!$C$152, Control!$C$152)</f>
        <v>#N/A</v>
      </c>
      <c r="HP156" s="216" t="e">
        <f t="shared" ca="1" si="522"/>
        <v>#N/A</v>
      </c>
      <c r="HQ156" s="217" t="e">
        <f ca="1">IF(OR(Control!$B$26=1,Control!$B$26=2),$KV156,$KS156)</f>
        <v>#DIV/0!</v>
      </c>
      <c r="HR156" s="218" t="e">
        <f t="shared" ca="1" si="677"/>
        <v>#DIV/0!</v>
      </c>
      <c r="HS156" s="216" t="e">
        <f ca="1">Control!$C$154*$HP156</f>
        <v>#N/A</v>
      </c>
      <c r="HT156" s="216" t="e">
        <f ca="1">Control!$C$155*$HP156</f>
        <v>#N/A</v>
      </c>
      <c r="HU156" s="217" t="e">
        <f ca="1">Control!$C$161*$FI156</f>
        <v>#N/A</v>
      </c>
      <c r="HV156" s="218" t="e">
        <f t="shared" ca="1" si="641"/>
        <v>#N/A</v>
      </c>
      <c r="HW156" s="218" t="e">
        <f ca="1">Control!$C$160*$FF156+$IP156*$EO156</f>
        <v>#N/A</v>
      </c>
      <c r="HX156" s="218" t="e">
        <f t="shared" ca="1" si="678"/>
        <v>#N/A</v>
      </c>
      <c r="HY156" s="219" t="e">
        <f ca="1">IF(Control!$C$114=1, $EB156*$FS156, 0)</f>
        <v>#N/A</v>
      </c>
      <c r="HZ156" s="91" t="e">
        <f t="shared" ca="1" si="523"/>
        <v>#N/A</v>
      </c>
      <c r="IA156" s="220" t="e">
        <f ca="1">Control!$C$153*$HO156</f>
        <v>#N/A</v>
      </c>
      <c r="IB156" s="218" t="e">
        <f t="shared" ca="1" si="524"/>
        <v>#N/A</v>
      </c>
      <c r="IC156" s="220" t="e">
        <f ca="1">Control!$C$153*$HT156</f>
        <v>#N/A</v>
      </c>
      <c r="ID156" s="218" t="e">
        <f t="shared" ca="1" si="525"/>
        <v>#N/A</v>
      </c>
      <c r="IE156" s="221" t="e">
        <f ca="1">($EB156*Control!$C$159+$EF156*Control!$C$160)/(IF($GZ156&lt;&gt;0,$GZ156,1))</f>
        <v>#N/A</v>
      </c>
      <c r="IF156" s="216" t="e">
        <f t="shared" ca="1" si="526"/>
        <v>#N/A</v>
      </c>
      <c r="IG156" s="91">
        <f ca="1">IF(OR(Control!$B$198=$AH156,Control!$B$199=$AH156, Control!$B$200=$AH156, Control!$B$201=$AH156, Control!$B$202=$AH156, Control!$B$203=$AH156, Control!$B$204=$AH156, Control!$B$205=$AH156, Control!$B$206=$AH156, Control!$B$207=$AH156), 1, 0)</f>
        <v>0</v>
      </c>
      <c r="IH156" s="91">
        <f ca="1">IF($IG156=0,0, VLOOKUP($AH156,Control!$B$198:$C$207,2))</f>
        <v>0</v>
      </c>
      <c r="II156" s="222">
        <f t="shared" ca="1" si="642"/>
        <v>0</v>
      </c>
      <c r="IJ156" s="91">
        <f>Control!$C$121</f>
        <v>0.7</v>
      </c>
      <c r="IK156" s="218">
        <f t="shared" ca="1" si="527"/>
        <v>0</v>
      </c>
      <c r="IL156" s="217" t="e">
        <f t="shared" ca="1" si="679"/>
        <v>#N/A</v>
      </c>
      <c r="IM156" s="223" t="e">
        <f ca="1">IF(AND(Control!$C$114=1,$KH156&lt;1),$EB156*Control!$C$148*(1-$KH156), 0)</f>
        <v>#N/A</v>
      </c>
      <c r="IN156" s="217" t="e">
        <f t="shared" ca="1" si="528"/>
        <v>#DIV/0!</v>
      </c>
      <c r="IO156" s="91" t="e">
        <f ca="1">MAX(0,$IL156-$EF156*Control!$C$160)</f>
        <v>#N/A</v>
      </c>
      <c r="IP156" s="220" t="e">
        <f t="shared" ca="1" si="529"/>
        <v>#N/A</v>
      </c>
      <c r="IQ156" s="217" t="e">
        <f t="shared" ca="1" si="643"/>
        <v>#N/A</v>
      </c>
      <c r="IR156" s="218" t="e">
        <f t="shared" ca="1" si="530"/>
        <v>#N/A</v>
      </c>
      <c r="IS156" s="217" t="e">
        <f ca="1">Control!$C$159*MAX(0,$FD156-$EN156)</f>
        <v>#N/A</v>
      </c>
      <c r="IT156" s="217" t="e">
        <f t="shared" ca="1" si="680"/>
        <v>#N/A</v>
      </c>
      <c r="IU156" s="217" t="e">
        <f t="shared" ca="1" si="644"/>
        <v>#N/A</v>
      </c>
      <c r="IV156" s="217" t="e">
        <f t="shared" ca="1" si="681"/>
        <v>#N/A</v>
      </c>
      <c r="IW156" s="217" t="e">
        <f ca="1">IF(OR($AW156=1,AND($AW156=0, Control!$B$18=1,$EN156&lt;&gt;0)), $IQ156-$IU156, $IQ156)</f>
        <v>#N/A</v>
      </c>
      <c r="IX156" s="218" t="e">
        <f t="shared" ca="1" si="531"/>
        <v>#N/A</v>
      </c>
      <c r="IY156" s="218" t="e">
        <f ca="1">MAX(0,$IQ156-$EB156*Control!$C$159)</f>
        <v>#N/A</v>
      </c>
      <c r="IZ156" s="218" t="e">
        <f t="shared" ca="1" si="532"/>
        <v>#N/A</v>
      </c>
      <c r="JA156" s="216" t="e">
        <f t="shared" ca="1" si="533"/>
        <v>#N/A</v>
      </c>
      <c r="JB156" s="217" t="e">
        <f t="shared" ca="1" si="534"/>
        <v>#N/A</v>
      </c>
      <c r="JC156" s="222" t="e">
        <f ca="1">MAX(Control!$C$157*$EK156-$JT156, 0)/Control!$C$162</f>
        <v>#N/A</v>
      </c>
      <c r="JD156" s="218" t="e">
        <f t="shared" ca="1" si="535"/>
        <v>#N/A</v>
      </c>
      <c r="JE156" s="218" t="e">
        <f t="shared" ca="1" si="536"/>
        <v>#N/A</v>
      </c>
      <c r="JF156" s="218" t="e">
        <f t="shared" ca="1" si="645"/>
        <v>#N/A</v>
      </c>
      <c r="JG156" s="218" t="e">
        <f t="shared" ca="1" si="537"/>
        <v>#N/A</v>
      </c>
      <c r="JH156" s="217" t="e">
        <f t="shared" ca="1" si="646"/>
        <v>#N/A</v>
      </c>
      <c r="JI156" s="217" t="e">
        <f t="shared" ca="1" si="647"/>
        <v>#N/A</v>
      </c>
      <c r="JJ156" s="217" t="e">
        <f t="shared" ca="1" si="682"/>
        <v>#N/A</v>
      </c>
      <c r="JK156" s="217" t="e">
        <f ca="1">IF(Control!$C$114=1,IF(Control!$B$24=0,MAX(0,$JI156)*$GN156/Control!$C$64,(MAX(0,MIN($JI156,$JJ156*$GN156/Control!$C$64),0))))</f>
        <v>#N/A</v>
      </c>
      <c r="JL156" s="217" t="e">
        <f ca="1">$IK156/Control!$C$64-$JK156+$HQ156</f>
        <v>#N/A</v>
      </c>
      <c r="JM156" s="217" t="e">
        <f ca="1">IF(Control!$C$114=1,($JB156/(IF($JI156&lt;&gt;0,$JI156,1)))*$JK156,0)</f>
        <v>#N/A</v>
      </c>
      <c r="JN156" s="217" t="e">
        <f ca="1">IF(Control!$C$114=1,($JG156/(IF($JI156&lt;&gt;0,$JI156,1)))*$JK156, 0)</f>
        <v>#N/A</v>
      </c>
      <c r="JO156" s="218" t="e">
        <f t="shared" ca="1" si="538"/>
        <v>#N/A</v>
      </c>
      <c r="JP156" s="218" t="e">
        <f ca="1">MIN(($IY156+$IO156)*Control!$C$151, $JF156-$EH156*Control!$C$161)</f>
        <v>#N/A</v>
      </c>
      <c r="JQ156" s="218" t="e">
        <f t="shared" ca="1" si="539"/>
        <v>#N/A</v>
      </c>
      <c r="JR156" s="217" t="e">
        <f ca="1">IF($CP156-Control!$C$150&lt;0, 0, $JQ156/Control!$C$162)</f>
        <v>#N/A</v>
      </c>
      <c r="JS156" s="218" t="e">
        <f t="shared" ca="1" si="540"/>
        <v>#N/A</v>
      </c>
      <c r="JT156" s="218" t="e">
        <f t="shared" ca="1" si="648"/>
        <v>#N/A</v>
      </c>
      <c r="JU156" s="218" t="e">
        <f t="shared" ca="1" si="541"/>
        <v>#N/A</v>
      </c>
      <c r="JV156" s="218" t="e">
        <f t="shared" ca="1" si="542"/>
        <v>#N/A</v>
      </c>
      <c r="JW156" s="216" t="e">
        <f t="shared" ca="1" si="543"/>
        <v>#N/A</v>
      </c>
      <c r="JX156" s="91" t="e">
        <f t="shared" ca="1" si="544"/>
        <v>#N/A</v>
      </c>
      <c r="JY156" s="218" t="e">
        <f t="shared" ca="1" si="545"/>
        <v>#N/A</v>
      </c>
      <c r="JZ156" s="217" t="e">
        <f ca="1">IF(Control!$C$114=1,($IZ156/(IF($JI156&lt;&gt;0,$JI156,1)))*$JK156, 0)</f>
        <v>#N/A</v>
      </c>
      <c r="KA156" s="218" t="e">
        <f t="shared" ca="1" si="683"/>
        <v>#N/A</v>
      </c>
      <c r="KB156" s="218" t="e">
        <f t="shared" ca="1" si="649"/>
        <v>#N/A</v>
      </c>
      <c r="KC156" s="218" t="e">
        <f t="shared" ca="1" si="546"/>
        <v>#N/A</v>
      </c>
      <c r="KD156" s="218" t="e">
        <f t="shared" ca="1" si="547"/>
        <v>#N/A</v>
      </c>
      <c r="KE156" s="218" t="e">
        <f t="shared" ca="1" si="548"/>
        <v>#N/A</v>
      </c>
      <c r="KF156" s="218" t="e">
        <f t="shared" ca="1" si="549"/>
        <v>#N/A</v>
      </c>
      <c r="KG156" s="216" t="e">
        <f t="shared" ca="1" si="550"/>
        <v>#N/A</v>
      </c>
      <c r="KH156" s="221" t="e">
        <f ca="1">IF(Control!$B$24=0,1,MAX(0.001,MIN(1,IF(($IF156-$IE156)&lt;&gt;0,($KG156-$IE156)/($IF156-$IE156),1))))</f>
        <v>#N/A</v>
      </c>
      <c r="KI156" s="222" t="e">
        <f ca="1">IF(Control!$C$114=1, $KI155+ $KH155, 0)</f>
        <v>#N/A</v>
      </c>
      <c r="KJ156" s="217" t="e">
        <f t="shared" ca="1" si="551"/>
        <v>#N/A</v>
      </c>
      <c r="KK156" s="218" t="e">
        <f t="shared" ca="1" si="552"/>
        <v>#N/A</v>
      </c>
      <c r="KL156" s="274" t="e">
        <f ca="1">IF(Control!$B$26=3,4000000000*EXP(-8400/($G156+273)),IF(Control!$B$26=4,4000000000*EXP(-8400/($G156+273))*($KT156),0))</f>
        <v>#DIV/0!</v>
      </c>
      <c r="KM156" s="274" t="e">
        <f ca="1">IF(Control!$B$26=3,5600000000000*EXP(-9800/($G156+273)),IF(Control!$B$26=4,5600000000000*EXP(-9800/($G156+273))*$KT156,0))</f>
        <v>#DIV/0!</v>
      </c>
      <c r="KN156" s="454" t="e">
        <f t="shared" ca="1" si="650"/>
        <v>#DIV/0!</v>
      </c>
      <c r="KO156" s="274" t="e">
        <f t="shared" ca="1" si="651"/>
        <v>#DIV/0!</v>
      </c>
      <c r="KP156" s="454" t="e">
        <f t="shared" ca="1" si="553"/>
        <v>#DIV/0!</v>
      </c>
      <c r="KQ156" s="454" t="e">
        <f t="shared" ca="1" si="554"/>
        <v>#DIV/0!</v>
      </c>
      <c r="KR156" s="454" t="e">
        <f t="shared" ca="1" si="555"/>
        <v>#DIV/0!</v>
      </c>
      <c r="KS156" s="454" t="e">
        <f t="shared" ca="1" si="556"/>
        <v>#DIV/0!</v>
      </c>
      <c r="KT156" s="455" t="e">
        <f t="shared" ca="1" si="557"/>
        <v>#DIV/0!</v>
      </c>
      <c r="KU156" s="456" t="e">
        <f ca="1">IF($CP156-Control!$C$149&lt;0, IF($NT156-0.01&lt;0,0,1),0)</f>
        <v>#N/A</v>
      </c>
      <c r="KV156" s="456" t="e">
        <f ca="1">IF(Control!$C$114=1,MAX(0,MIN(Control!$C$125*$KW156*$GN156,$KW156)))</f>
        <v>#DIV/0!</v>
      </c>
      <c r="KW156" s="456" t="e">
        <f t="shared" ca="1" si="684"/>
        <v>#DIV/0!</v>
      </c>
      <c r="KX156" s="457" t="e">
        <f ca="1">IF($CP156-Control!$C$149&lt;0, IF($MR156-$OM156&lt;0,0,1),0)</f>
        <v>#N/A</v>
      </c>
      <c r="KY156" s="167">
        <f t="shared" ca="1" si="652"/>
        <v>152</v>
      </c>
      <c r="KZ156" s="168">
        <f ca="1">1370*(1+0.033*COS(2*Control!$C$138*$AH156/365))</f>
        <v>1330.8793203752828</v>
      </c>
      <c r="LA156" s="169">
        <f t="shared" ca="1" si="653"/>
        <v>0.9714448606060142</v>
      </c>
      <c r="LB156" s="169">
        <f t="shared" ca="1" si="654"/>
        <v>0.38500529278333917</v>
      </c>
      <c r="LC156" s="169">
        <f ca="1">ACOS(-TAN((2*Control!$B$8/360))*TAN(Calculations!$LB156))</f>
        <v>1.6915244734551986</v>
      </c>
      <c r="LD156" s="169">
        <f ca="1">((24*60)/PI())*0.082*$LA156*(($LC156*SIN(Control!$B$8*2*PI()/360))*SIN($LB156)+COS(Control!$B$8*2*PI()/360)*COS($LB156)*SIN($LC156))</f>
        <v>38.960710060219292</v>
      </c>
      <c r="LE156" s="170">
        <f t="shared" ca="1" si="558"/>
        <v>40.408886958888843</v>
      </c>
      <c r="LF156" s="170">
        <f ca="1">SIN(Control!$C$139*Control!$B$8)*SIN($HD156)</f>
        <v>0.29426554659225701</v>
      </c>
      <c r="LG156" s="170">
        <f ca="1">COS(Control!$C$139*Control!$B$8)*COS($HD156)</f>
        <v>0.57112252902627347</v>
      </c>
      <c r="LH156" s="170">
        <f ca="1">12*(1+2*ASIN(MAX(-1,MIN(1,$LF156/$LG156))/Control!$C$138))</f>
        <v>15.95400218539557</v>
      </c>
      <c r="LI156" s="170">
        <f ca="1">12*(1+2*ASIN(MAX(-1,MIN(1,(-SIN(-4*Control!$C$139)+$LF156)/$LG156))/Control!$C$138))</f>
        <v>16.903253242620401</v>
      </c>
      <c r="LJ156" s="168">
        <f ca="1">3600*($LH156*$LF156+24*$LG156*SQRT(1-$LK156*$LK156)/Control!$C$138)</f>
        <v>30362.547783441627</v>
      </c>
      <c r="LK156" s="170">
        <f t="shared" ca="1" si="559"/>
        <v>0.51524065614074177</v>
      </c>
      <c r="LL156" s="170">
        <f t="shared" ca="1" si="560"/>
        <v>0</v>
      </c>
      <c r="LM156" s="171">
        <f ca="1">Control!$C$145*$AB156</f>
        <v>6.6660906138995932E-2</v>
      </c>
      <c r="LN156" s="170">
        <f t="shared" ca="1" si="655"/>
        <v>0.54</v>
      </c>
      <c r="LO156" s="170">
        <f t="shared" ca="1" si="561"/>
        <v>0</v>
      </c>
      <c r="LP156" s="170">
        <f ca="1">Control!$C$140*((($D156+273.16)^4+($E156+273.16)^4)/2)*(0.34-0.14*SQRT($Y156))*(1.35*$AQ156/(0.75*$LD156)-0.35)</f>
        <v>-3.2464704755046001</v>
      </c>
      <c r="LQ156" s="170">
        <f ca="1">Control!$C$140*($G156+273)^4*(0.56-0.079*SQRT($Y156*10))*(0.1+0.9*$LO156)</f>
        <v>1.5241745131704001</v>
      </c>
      <c r="LR156" s="170">
        <f ca="1">$AQ156*(1-Control!$C$142)-$LQ156</f>
        <v>-1.5241745131704001</v>
      </c>
      <c r="LS156" s="170">
        <f ca="1">$AQ156*(1-Control!$C$143)-$LQ156</f>
        <v>-1.5241745131704001</v>
      </c>
      <c r="LT156" s="170">
        <f ca="1">$AQ156*(1-Control!$C$144)-$LQ156</f>
        <v>-1.5241745131704001</v>
      </c>
      <c r="LU156" s="169">
        <f ca="1">(1-Control!$C$144)*AQ156-LP156</f>
        <v>3.2464704755046001</v>
      </c>
      <c r="LV156" s="172">
        <f t="shared" ca="1" si="562"/>
        <v>0.79430000000000012</v>
      </c>
      <c r="LW156" s="170">
        <f t="shared" ca="1" si="563"/>
        <v>1.5886000000000002</v>
      </c>
      <c r="LX156" s="170">
        <f ca="1">($AC156*($LR156/Control!$C$141)+$LM156*$LV156)/($AC156+$LM156)</f>
        <v>0.23530094218323697</v>
      </c>
      <c r="LY156" s="170">
        <f ca="1">($AC156*($LS156/Control!$C$141)+$LM156*$LV156)/($AC156+$LM156)</f>
        <v>0.23530094218323697</v>
      </c>
      <c r="LZ156" s="170">
        <f t="shared" ca="1" si="564"/>
        <v>0.23530094218323697</v>
      </c>
      <c r="MA156" s="170">
        <f t="shared" ca="1" si="565"/>
        <v>0.23530094218323697</v>
      </c>
      <c r="MB156" s="170" t="e">
        <f t="shared" ca="1" si="566"/>
        <v>#N/A</v>
      </c>
      <c r="MC156" s="170">
        <f t="shared" ca="1" si="656"/>
        <v>0.6018</v>
      </c>
      <c r="MD156" s="170">
        <f t="shared" ca="1" si="567"/>
        <v>0.52989392535414004</v>
      </c>
      <c r="ME156" s="170">
        <f ca="1">($AC156*($LT156/Control!$C$141)+$LM156*$LW156)/($AC156+$LM156)</f>
        <v>0.71612369323045078</v>
      </c>
      <c r="MF156" s="170" t="e">
        <f ca="1">IF(Control!$B$16&gt;=1000,0.92,IF(AND(720&lt;=Control!$B$16,1000&gt;Control!$B$16),(0.95+(Control!$B$16-720)*((0.92-0.95)/(1000-720))),IF(AND(360&lt;=Control!$B$16,720&gt;Control!$B$16),(1+(Control!$B$16-360)*((0.95-1)/(720-360))),IF(AND(40&lt;=Control!$B$16,360&gt;Control!$B$16),(1.05+(Control!$B$16-40)*((1.05-1)/(360-40)))))))</f>
        <v>#N/A</v>
      </c>
      <c r="MG156" s="170">
        <f t="shared" ca="1" si="568"/>
        <v>0.71612369323045078</v>
      </c>
      <c r="MH156" s="170" t="e">
        <f t="shared" ca="1" si="693"/>
        <v>#N/A</v>
      </c>
      <c r="MI156" s="170" t="e">
        <f t="shared" ca="1" si="693"/>
        <v>#N/A</v>
      </c>
      <c r="MJ156" s="170" t="e">
        <f ca="1">MAX(0.0001, Control!$C$132*$MI156*$DL156)</f>
        <v>#N/A</v>
      </c>
      <c r="MK156" s="170">
        <f ca="1">1/(0.76+1.5*($MG156/10))-(5-Control!$C$110)*0.1</f>
        <v>1.002845988140797</v>
      </c>
      <c r="ML156" s="173">
        <f ca="1">IF(Control!$C$110&lt;3,$MK156+($MG156-0.6)/(Control!$C$110*(Control!$C$110+3)), MAX(0.1, MIN(0.95,$MK156)))</f>
        <v>0.95</v>
      </c>
      <c r="MM156" s="173">
        <f ca="1">IF(Control!$C$110&lt;3,$MK156+(($MI156/10)-0.6)/(Control!$C$110*(Control!$C$110+3)), MAX(0.1, MIN(0.95,$MK156)))</f>
        <v>0.95</v>
      </c>
      <c r="MN156" s="173">
        <f ca="1">(1-$MM156)*(Control!$C$128-Control!$C$127)+Control!$C$127</f>
        <v>0.16</v>
      </c>
      <c r="MO156" s="170" t="e">
        <f ca="1">MAX(0,MIN(1,($MS156-Control!$C$127)/($MN156-Control!$C$127)))</f>
        <v>#DIV/0!</v>
      </c>
      <c r="MP156" s="173" t="e">
        <f ca="1">1/(0.76+1.5*$MI156)-(5-Control!$C$110)*0.1</f>
        <v>#N/A</v>
      </c>
      <c r="MQ156" s="172" t="e">
        <f t="shared" ca="1" si="685"/>
        <v>#DIV/0!</v>
      </c>
      <c r="MR156" s="168" t="e">
        <f t="shared" ca="1" si="657"/>
        <v>#DIV/0!</v>
      </c>
      <c r="MS156" s="173" t="e">
        <f ca="1">MAX(Control!$C$127, MIN(Control!$C$135, $MR156/MAX(0.0001,$CY156)))</f>
        <v>#DIV/0!</v>
      </c>
      <c r="MT156" s="168" t="e">
        <f ca="1">(Control!$C$128-$MS156)*Control!$C$74</f>
        <v>#DIV/0!</v>
      </c>
      <c r="MU156" s="168" t="e">
        <f ca="1">(Control!$C$135-$MS156)*Control!$C$74</f>
        <v>#DIV/0!</v>
      </c>
      <c r="MV156" s="168" t="e">
        <f t="shared" ca="1" si="658"/>
        <v>#DIV/0!</v>
      </c>
      <c r="MW156" s="168" t="e">
        <f t="shared" ca="1" si="659"/>
        <v>#DIV/0!</v>
      </c>
      <c r="MX156" s="171" t="e">
        <f ca="1">MAX(Control!$C$127, MIN(Control!$C$135, $MW156/MAX(0.0001,Control!$C$119-$CY156)))</f>
        <v>#DIV/0!</v>
      </c>
      <c r="MY156" s="54" t="e">
        <f ca="1">IF(Control!$C$114=1, $CX156*$MX156, 0)</f>
        <v>#DIV/0!</v>
      </c>
      <c r="MZ156" s="54" t="e">
        <f t="shared" ca="1" si="660"/>
        <v>#N/A</v>
      </c>
      <c r="NA156" s="168" t="e">
        <f ca="1">(Control!$C$128-$MX156)*(Control!$C$119-Control!$C$74)</f>
        <v>#DIV/0!</v>
      </c>
      <c r="NB156" s="168" t="e">
        <f ca="1">(Control!$C$135-$MX156)*(Control!$C$119-Control!$C$74)</f>
        <v>#DIV/0!</v>
      </c>
      <c r="NC156" s="174" t="e">
        <f t="shared" ca="1" si="661"/>
        <v>#DIV/0!</v>
      </c>
      <c r="ND156" s="54">
        <f ca="1">IF(Control!$C$58=2, IF(OR(Control!$B$218=$AH156,Control!$B$219=$AH156, Control!$B$220=$AH156, Control!$B$221=$AH156, Control!$B$222=$AH156, Control!$B$223=$AH156, Control!$B$224=$AH156, Control!$B$225=$AH156, Control!$B$226=$AH156, Control!$B$227=$AH156, Control!$B$228=$AH156), 1, 0), 0)</f>
        <v>0</v>
      </c>
      <c r="NE156" s="54">
        <f ca="1">IF($ND156=0,0, VLOOKUP($AH156,Control!$B$218:$C$228,2))</f>
        <v>0</v>
      </c>
      <c r="NF156" s="168" t="e">
        <f ca="1">$CY156*(Control!$C$128-Control!$C$127)</f>
        <v>#N/A</v>
      </c>
      <c r="NG156" s="54" t="e">
        <f ca="1">IF(Control!$C$58=2, $NI155-$NJ155, 0)</f>
        <v>#DIV/0!</v>
      </c>
      <c r="NH156" s="54" t="e">
        <f ca="1">IF(AND(Control!$C$58=1, $MS155&lt;= ($MN155+0.02), $I155&lt;10), 0, IF(Control!$C$58=2, $NG155, 0))</f>
        <v>#DIV/0!</v>
      </c>
      <c r="NI156" s="54" t="e">
        <f ca="1">IF(Control!$C$58=2, $NE156+$NH156,0)</f>
        <v>#DIV/0!</v>
      </c>
      <c r="NJ156" s="54" t="e">
        <f ca="1">IF(AND(Control!$C$58=1, $MS156&lt;= ($MN156+0.02), $I156&lt;10), MAX(0, MIN(10, 0.7*($NF156-$MV156))), IF(Control!$C$58=2, MIN(10,$NI156),0))</f>
        <v>#DIV/0!</v>
      </c>
      <c r="NK156" s="54" t="e">
        <f t="shared" ca="1" si="569"/>
        <v>#DIV/0!</v>
      </c>
      <c r="NL156" s="173" t="e">
        <f ca="1">(1-Control!$C$73)*$I156+$NJ156</f>
        <v>#DIV/0!</v>
      </c>
      <c r="NM156" s="172" t="e">
        <f ca="1">IF($NL156&lt;0.5, $MB156* MAX(0, MIN(1, (SQRT($NC156)-SQRT($NC156-1))*Control!$C$71)),0)</f>
        <v>#DIV/0!</v>
      </c>
      <c r="NN156" s="170" t="e">
        <f ca="1">IF($NL156&gt;=5, $MB156, MAX(0,MIN($MB156, $NM156+$NL156,($MS156-Control!$C$129))))</f>
        <v>#DIV/0!</v>
      </c>
      <c r="NO156" s="54">
        <f>IF(Control!$C$133&lt;&gt;1, Control!$C$135-Control!$C$131, 0)</f>
        <v>0.38</v>
      </c>
      <c r="NP156" s="54" t="e">
        <f t="shared" ca="1" si="570"/>
        <v>#DIV/0!</v>
      </c>
      <c r="NQ156" s="173" t="e">
        <f ca="1">MAX(0,MIN(1,(Control!$C$135-$MS156)/(Control!$C$135-$NO156)))</f>
        <v>#DIV/0!</v>
      </c>
      <c r="NR156" s="170" t="e">
        <f ca="1">IF(Control!$C$133&lt;&gt;1, $NQ156+((1-$NP156/4)*(1-$NQ156)),1)</f>
        <v>#DIV/0!</v>
      </c>
      <c r="NS156" s="170" t="e">
        <f ca="1">IF(Control!$B$31=0,$MJ156,MAX(0,MIN($MV156,$MO156*$NR156*$MJ156)))</f>
        <v>#DIV/0!</v>
      </c>
      <c r="NT156" s="170" t="e">
        <f t="shared" ca="1" si="686"/>
        <v>#DIV/0!</v>
      </c>
      <c r="NU156" s="170" t="e">
        <f t="shared" ca="1" si="662"/>
        <v>#N/A</v>
      </c>
      <c r="NV156" s="170" t="e">
        <f t="shared" ca="1" si="571"/>
        <v>#N/A</v>
      </c>
      <c r="NW156" s="175" t="e">
        <f t="shared" ca="1" si="572"/>
        <v>#DIV/0!</v>
      </c>
      <c r="NX156" s="170" t="e">
        <f ca="1">MIN(Control!$C$72+$MU156, $NW156)</f>
        <v>#DIV/0!</v>
      </c>
      <c r="NY156" s="170" t="e">
        <f ca="1">IF($MT156&lt;=$NX156,MIN(Control!$C$72+$NB156,$NX156-$MT156),0)</f>
        <v>#DIV/0!</v>
      </c>
      <c r="NZ156" s="54" t="e">
        <f ca="1">IF(Control!$C$114=1,  $CX156*($MX156-Control!$C$127), 0)</f>
        <v>#DIV/0!</v>
      </c>
      <c r="OA156" s="170" t="e">
        <f t="shared" ca="1" si="573"/>
        <v>#DIV/0!</v>
      </c>
      <c r="OB156" s="170" t="e">
        <f ca="1">IF($NA156 &lt;=$NY156, MIN(Control!$C$72, $NY156-$NA156), 0)</f>
        <v>#DIV/0!</v>
      </c>
      <c r="OC156" s="168" t="e">
        <f t="shared" ca="1" si="574"/>
        <v>#DIV/0!</v>
      </c>
      <c r="OD156" s="168" t="e">
        <f t="shared" ca="1" si="663"/>
        <v>#DIV/0!</v>
      </c>
      <c r="OE156" s="170">
        <f ca="1">Control!$C$73*$I156</f>
        <v>0</v>
      </c>
      <c r="OF156" s="176" t="e">
        <f t="shared" ca="1" si="575"/>
        <v>#DIV/0!</v>
      </c>
      <c r="OG156" s="168" t="e">
        <f t="shared" ca="1" si="576"/>
        <v>#DIV/0!</v>
      </c>
      <c r="OH156" s="168" t="e">
        <f t="shared" ca="1" si="577"/>
        <v>#DIV/0!</v>
      </c>
      <c r="OI156" s="168" t="e">
        <f t="shared" ca="1" si="578"/>
        <v>#DIV/0!</v>
      </c>
      <c r="OJ156" s="168" t="e">
        <f t="shared" ca="1" si="579"/>
        <v>#DIV/0!</v>
      </c>
      <c r="OK156" s="204" t="e">
        <f t="shared" ca="1" si="580"/>
        <v>#DIV/0!</v>
      </c>
      <c r="OL156" s="177">
        <f>Control!$C$127</f>
        <v>0.15</v>
      </c>
      <c r="OM156" s="182" t="e">
        <f t="shared" ca="1" si="581"/>
        <v>#N/A</v>
      </c>
      <c r="ON156" s="177">
        <f>Control!$C$128</f>
        <v>0.35</v>
      </c>
      <c r="OO156" s="182" t="e">
        <f t="shared" ca="1" si="582"/>
        <v>#N/A</v>
      </c>
      <c r="OP156" s="138">
        <f t="shared" ca="1" si="664"/>
        <v>0</v>
      </c>
      <c r="OQ156" s="138" t="e">
        <f t="shared" ca="1" si="687"/>
        <v>#DIV/0!</v>
      </c>
      <c r="OR156" s="138" t="e">
        <f t="shared" ca="1" si="665"/>
        <v>#DIV/0!</v>
      </c>
      <c r="OS156" s="137" t="e">
        <f t="shared" ca="1" si="688"/>
        <v>#DIV/0!</v>
      </c>
      <c r="OT156" s="139" t="e">
        <f t="shared" ca="1" si="689"/>
        <v>#DIV/0!</v>
      </c>
      <c r="OU156" s="138" t="e">
        <f t="shared" ca="1" si="690"/>
        <v>#N/A</v>
      </c>
      <c r="OV156" s="138" t="e">
        <f t="shared" ca="1" si="691"/>
        <v>#DIV/0!</v>
      </c>
      <c r="OW156" s="138" t="e">
        <f t="shared" ca="1" si="666"/>
        <v>#DIV/0!</v>
      </c>
      <c r="OX156" s="138" t="e">
        <f t="shared" ca="1" si="667"/>
        <v>#DIV/0!</v>
      </c>
      <c r="OY156" s="138" t="e">
        <f t="shared" ca="1" si="668"/>
        <v>#DIV/0!</v>
      </c>
      <c r="OZ156" s="138" t="e">
        <f t="shared" ca="1" si="583"/>
        <v>#DIV/0!</v>
      </c>
      <c r="PA156" s="138" t="e">
        <f t="shared" ca="1" si="584"/>
        <v>#DIV/0!</v>
      </c>
      <c r="PB156" s="55">
        <f>IF(Control!$C$61="T", IF(Control!$C$65="F", IF($AH$6-Control!$C$60&lt;0,0,1), IF(365+$AH$6-Control!$C$60&lt;0,0,1)),0)</f>
        <v>0</v>
      </c>
      <c r="PC156" s="55">
        <f ca="1">IF(Control!$C$65="F", IF($AH$6-$HF156&lt;0,0,1), IF(365+$AH$6-$HF156&lt;0,0,1))</f>
        <v>1</v>
      </c>
      <c r="PD156" s="444">
        <f>Control!$C$118</f>
        <v>1500</v>
      </c>
      <c r="PE156" s="180" t="e">
        <f t="shared" ca="1" si="585"/>
        <v>#N/A</v>
      </c>
      <c r="PF156" s="445">
        <f t="shared" ca="1" si="669"/>
        <v>0.71612369323045078</v>
      </c>
      <c r="PT156" s="186"/>
      <c r="PU156" s="186"/>
      <c r="PV156" s="94"/>
      <c r="PW156" s="94"/>
      <c r="PX156" s="94"/>
      <c r="PY156" s="94"/>
      <c r="PZ156" s="94"/>
      <c r="QA156" s="94"/>
      <c r="QB156" s="94"/>
      <c r="QC156" s="94"/>
      <c r="QD156" s="94"/>
      <c r="QE156" s="94"/>
      <c r="QF156" s="94"/>
      <c r="QG156" s="94"/>
      <c r="QH156" s="94"/>
      <c r="QI156" s="94"/>
      <c r="QJ156" s="94"/>
      <c r="QK156" s="94"/>
      <c r="QL156" s="94"/>
      <c r="QM156" s="94"/>
      <c r="QN156" s="94"/>
      <c r="QO156" s="94"/>
      <c r="QP156" s="94"/>
    </row>
    <row r="157" spans="1:458" s="2" customFormat="1" x14ac:dyDescent="0.2">
      <c r="A157" s="395">
        <v>1</v>
      </c>
      <c r="B157" s="396">
        <v>6</v>
      </c>
      <c r="C157" s="387">
        <f ca="1">Weather_data!$B156</f>
        <v>0</v>
      </c>
      <c r="D157" s="388">
        <f ca="1">Weather_data!$F156</f>
        <v>0</v>
      </c>
      <c r="E157" s="388">
        <f ca="1">Weather_data!$E156</f>
        <v>0</v>
      </c>
      <c r="F157" s="388">
        <f t="shared" ca="1" si="586"/>
        <v>0</v>
      </c>
      <c r="G157" s="388">
        <f ca="1">AVERAGE($D157:$E157)+Control!$B$9</f>
        <v>0</v>
      </c>
      <c r="H157" s="388">
        <f ca="1">Weather_data!$G156</f>
        <v>0</v>
      </c>
      <c r="I157" s="388">
        <f ca="1">Weather_data!$I156</f>
        <v>0</v>
      </c>
      <c r="J157" s="388">
        <f ca="1">Weather_data!$H156</f>
        <v>0</v>
      </c>
      <c r="K157" s="389">
        <f ca="1">Weather_data!$D156</f>
        <v>0</v>
      </c>
      <c r="L157" s="388" t="e">
        <f t="shared" ca="1" si="587"/>
        <v>#N/A</v>
      </c>
      <c r="M157" s="388" t="e">
        <f t="shared" ca="1" si="465"/>
        <v>#N/A</v>
      </c>
      <c r="N157" s="388">
        <f t="shared" ca="1" si="466"/>
        <v>-6.1601165576364733E-8</v>
      </c>
      <c r="O157" s="388">
        <f t="shared" ca="1" si="588"/>
        <v>6.1601165576364736E-7</v>
      </c>
      <c r="P157" s="390">
        <v>3</v>
      </c>
      <c r="Q157" s="388">
        <f ca="1">MAX($G157-Control!$C$107,0)</f>
        <v>0</v>
      </c>
      <c r="R157" s="388">
        <f t="shared" ca="1" si="589"/>
        <v>0</v>
      </c>
      <c r="S157" s="388">
        <f t="shared" ca="1" si="467"/>
        <v>0</v>
      </c>
      <c r="T157" s="388">
        <f t="shared" ca="1" si="468"/>
        <v>0</v>
      </c>
      <c r="U157" s="59">
        <f t="shared" ca="1" si="469"/>
        <v>0</v>
      </c>
      <c r="V157" s="391">
        <f ca="1">MAX(0,MIN(Control!$C$100-Control!$C$99,$G157-Control!$C$99)*Control!$C$63)</f>
        <v>0</v>
      </c>
      <c r="W157" s="388">
        <f t="shared" ca="1" si="590"/>
        <v>0</v>
      </c>
      <c r="X157" s="388">
        <f t="shared" ca="1" si="591"/>
        <v>0.6110000000000001</v>
      </c>
      <c r="Y157" s="388">
        <f t="shared" ca="1" si="470"/>
        <v>0</v>
      </c>
      <c r="Z157" s="388">
        <f t="shared" ca="1" si="592"/>
        <v>0.61058800000000002</v>
      </c>
      <c r="AA157" s="388">
        <f t="shared" ca="1" si="471"/>
        <v>0.6018</v>
      </c>
      <c r="AB157" s="388">
        <f ca="1">101.3*EXP(-0.034*Control!$C$66/($G157+273))</f>
        <v>100.69623283836242</v>
      </c>
      <c r="AC157" s="392">
        <f t="shared" ca="1" si="472"/>
        <v>4.3460251046025113E-2</v>
      </c>
      <c r="AD157" s="392">
        <f t="shared" ca="1" si="473"/>
        <v>4.4450382862832649E-2</v>
      </c>
      <c r="AE157" s="388">
        <f t="shared" ca="1" si="474"/>
        <v>0</v>
      </c>
      <c r="AF157" s="388">
        <f ca="1">MAX(0,$G157-Control!$C$92)</f>
        <v>0</v>
      </c>
      <c r="AG157" s="393">
        <f t="shared" ca="1" si="475"/>
        <v>153</v>
      </c>
      <c r="AH157" s="389">
        <f t="shared" ca="1" si="476"/>
        <v>153</v>
      </c>
      <c r="AI157" s="388">
        <f t="shared" ca="1" si="593"/>
        <v>0.38519495756992339</v>
      </c>
      <c r="AJ157" s="388">
        <f ca="1">IF(Control!$C$60&lt;=0,$HH157,$HI157)</f>
        <v>1</v>
      </c>
      <c r="AK157" s="388">
        <f t="shared" ca="1" si="477"/>
        <v>1.2566370614359172</v>
      </c>
      <c r="AL157" s="388">
        <f t="shared" ca="1" si="478"/>
        <v>1.6228771798632024E-18</v>
      </c>
      <c r="AM157" s="388">
        <f t="shared" ca="1" si="479"/>
        <v>1.2566370614359172</v>
      </c>
      <c r="AN157" s="388">
        <f t="shared" ca="1" si="480"/>
        <v>0.38799183760414879</v>
      </c>
      <c r="AO157" s="388">
        <f ca="1">-0.10453/COS(Control!$B$8*PI()/180)*COS(AN157)</f>
        <v>-0.15716486978780345</v>
      </c>
      <c r="AP157" s="388">
        <f ca="1">ACOS(AO157-TAN(Control!$B$8*PI()/180)*TAN(AN157))</f>
        <v>2.3189532079278692</v>
      </c>
      <c r="AQ157" s="388">
        <f t="shared" ca="1" si="594"/>
        <v>0</v>
      </c>
      <c r="AR157" s="394">
        <f t="shared" ca="1" si="481"/>
        <v>0</v>
      </c>
      <c r="AS157" s="436">
        <f ca="1">IF(Control!$B$18=2,(IF(OR($AH157=Control!$B$175,$AH157=Control!$B$176,$AH157=Control!$B$177,$AH157=Control!$B$178,$AH157=Control!$B$179,$AH157=Control!$B$180,$AH157=Control!$B$181,$AH157=Control!$B$182,$AH157=Control!$B$183,$AH157=Control!$B$184,$AH157=Control!$B$185),1,0)),0)</f>
        <v>0</v>
      </c>
      <c r="AT157" s="436">
        <f>IF(Control!$B$20=8,IF(AND($AH157&gt;=Control!$B$172,$AH157&lt;=Control!$B$173),1,0),0)</f>
        <v>0</v>
      </c>
      <c r="AU157" s="436">
        <f>IF(Control!$B$20=8,IF($AV156=1,1*$AT157,IF($AT157=1,$AU156+1,$AU156)),0)</f>
        <v>0</v>
      </c>
      <c r="AV157" s="436">
        <f>IF(Control!$B$20=8,IF($AU157&gt;=Control!$B$174,1,0),0)</f>
        <v>0</v>
      </c>
      <c r="AW157" s="436">
        <f ca="1">IF(AND(Control!$B$18=2,Control!$B$171=1), $AV157, $AS157)</f>
        <v>0</v>
      </c>
      <c r="AX157" s="436" t="e">
        <f ca="1">IF(AND(Control!$B$18=1,$EU157&gt;=Control!$B$19),-$AY157,IF(AND(Control!$B$18=2,$AW157=1,$EU157&gt;$DS157),-$AY157, IF(Control!$C$108=0,0, IF(Control!$C$108&lt;&gt;0,1))))</f>
        <v>#N/A</v>
      </c>
      <c r="AY157" s="436" t="e">
        <f t="shared" ca="1" si="595"/>
        <v>#N/A</v>
      </c>
      <c r="AZ157" s="436" t="e">
        <f ca="1">IF(AND(Control!$B$18=1,$EB157&gt;Control!$B$19),$AZ156+1, IF(AND(Control!$B$18=2, $AW157=1, $EB157&gt;$DS157), $AZ156+1,$AZ156))</f>
        <v>#N/A</v>
      </c>
      <c r="BA157" s="587">
        <f>IF(Control!$C$81=0,1,IF($AH157&gt;=Control!$C$82,1,0))</f>
        <v>1</v>
      </c>
      <c r="BB157" s="140" t="e">
        <f ca="1">IF($BA157&gt;$BA156,Control!$C$83,IF($AW157&gt;0,$AW157*Control!$C$84,IF(AND(Control!$B$18=1,EN156&lt;&gt;0),Control!$C$84,0)))</f>
        <v>#N/A</v>
      </c>
      <c r="BC157" s="140" t="e">
        <f t="shared" ca="1" si="596"/>
        <v>#N/A</v>
      </c>
      <c r="BD157" s="140" t="e">
        <f ca="1">BC157*IF(OR($G157&lt;Control!$C$92,$G157&gt;Control!$C$95),0,IF(AND($G157&gt;=Control!$C$92,$G157&lt;=Control!$C$93),$G157-Control!$C$92,IF(AND($G157&gt;Control!$C$93,$G157&lt;=Control!$C$94),Control!$C$93-Control!$C$92,IF(AND($G157&gt;Control!$C$94,$G157&lt;=Control!$C$95),(Control!$C$93-Control!$C$92)*(Control!$C$94-$G157)/(Control!$C$95-Control!$C$94)))))</f>
        <v>#N/A</v>
      </c>
      <c r="BE157" s="140" t="e">
        <f t="shared" ca="1" si="597"/>
        <v>#N/A</v>
      </c>
      <c r="BF157" s="140" t="e">
        <f ca="1">IF($BE157&lt;=Control!$C$86,$BE157,Control!$C$86-$BE157)</f>
        <v>#N/A</v>
      </c>
      <c r="BG157" s="140" t="e">
        <f ca="1">IF(AND($AW157=1,Control!$C$84&lt;9),1,IF($BE157&gt;=Control!$C$86,0,$BC157))</f>
        <v>#N/A</v>
      </c>
      <c r="BH157" s="404" t="e">
        <f ca="1">IF($BG157=0,0,IF($BE157&lt;=Control!$C$86,$BC157*9*($BF157/Control!$C$86),0))</f>
        <v>#N/A</v>
      </c>
      <c r="BI157" s="140" t="e">
        <f ca="1">IF($BG157=1,0,IF($BE157&gt;=Control!$C$86,1,IF(AND($BB157&lt;21,$BB157&gt;=9),1,$BM156)))</f>
        <v>#N/A</v>
      </c>
      <c r="BJ157" s="140" t="e">
        <f ca="1">IF($BF157&lt;0,-$BF157,$BI157*IF(OR($G157&lt;Control!$C$92,$G157&gt;Control!$C$95),0,IF(AND($G157&gt;=Control!$C$92,$G157&lt;=Control!$C$93),$G157-Control!$C$92,IF(AND($G157&gt;Control!$C$93,$G157&lt;=Control!$C$94),Control!$C$93-Control!$C$92,IF(AND($G157&gt;Control!$C$94,$G157&lt;=Control!$C$95),(Control!$C$93-Control!$C$92)*(Control!$C$94-$G157)/(Control!$C$95-Control!$C$94))))))</f>
        <v>#N/A</v>
      </c>
      <c r="BK157" s="140" t="e">
        <f t="shared" ca="1" si="598"/>
        <v>#N/A</v>
      </c>
      <c r="BL157" s="140" t="e">
        <f ca="1">IF($BK157&lt;=Control!$C$87,$BK157,Control!$C$87-$BK157)</f>
        <v>#N/A</v>
      </c>
      <c r="BM157" s="140" t="e">
        <f ca="1">IF(AND($BB157&gt;=9,$BB157&lt;21),1,IF($BK157&gt;=Control!$C$87,0,$BI157))</f>
        <v>#N/A</v>
      </c>
      <c r="BN157" s="404" t="e">
        <f ca="1">IF($BM157=0,0,IF($BK157&lt;=Control!$C$87,$BI157*(9+(21-9)*($BL157/Control!$C$87)),0))</f>
        <v>#N/A</v>
      </c>
      <c r="BO157" s="140" t="e">
        <f ca="1">IF($BM157=1,0,IF($BK157&gt;=Control!$C$87,1,IF(AND($BB157&lt;30,$BB157&gt;=21),1,$BS156)))</f>
        <v>#N/A</v>
      </c>
      <c r="BP157" s="140" t="e">
        <f ca="1">IF($BL157&lt;0,-$BL157,$BO157*IF(OR($G157&lt;Control!$C$92,$G157&gt;Control!$C$95),0,IF(AND($G157&gt;=Control!$C$92,$G157&lt;=Control!$C$93),$G157-Control!$C$92,IF(AND($G157&gt;Control!$C$93,$G157&lt;=Control!$C$94),Control!$C$93-Control!$C$92,IF(AND($G157&gt;Control!$C$94,$G157&lt;=Control!$C$95),(Control!$C$93-Control!$C$92)*(Control!$C$94-$G157)/(Control!$C$95-Control!$C$94))))))</f>
        <v>#N/A</v>
      </c>
      <c r="BQ157" s="140" t="e">
        <f t="shared" ca="1" si="482"/>
        <v>#N/A</v>
      </c>
      <c r="BR157" s="140" t="e">
        <f ca="1">IF($BQ157&lt;=Control!$C$88,$BQ157,Control!$C$88-$BQ157)</f>
        <v>#N/A</v>
      </c>
      <c r="BS157" s="140" t="e">
        <f ca="1">IF(AND($BB157&gt;=21,$BB157&lt;30),1,IF($BQ157&gt;=Control!$C$88,0,$BO157))</f>
        <v>#N/A</v>
      </c>
      <c r="BT157" s="404" t="e">
        <f ca="1">IF($BS157=0,0,IF($BQ157&lt;=Control!$C$88,$BO157*(21+(30-21)*(BR157/Control!$C$88)),0))</f>
        <v>#N/A</v>
      </c>
      <c r="BU157" s="140" t="e">
        <f ca="1">IF(BG157+BM157+BS157=1,0,IF(OR(AND($BB157&lt;60,$BB157&gt;=30),$BQ157&gt;=Control!$C$88),1*$BA157,$BY156))</f>
        <v>#N/A</v>
      </c>
      <c r="BV157" s="140" t="e">
        <f ca="1">IF($BR157&lt;0,-$BR157,$BU157*IF(OR($G157&lt;Control!$C$92,$G157&gt;Control!$C$95),0,IF(AND($G157&gt;=Control!$C$92,$G157&lt;=Control!$C$93),$G157-Control!$C$92,IF(AND($G157&gt;Control!$C$93,$G157&lt;=Control!$C$94),Control!$C$93-Control!$C$92,IF(AND($G157&gt;Control!$C$94,$G157&lt;=Control!$C$95),(Control!$C$93-Control!$C$92)*(Control!$C$94-$G157)/(Control!$C$95-Control!$C$94))))))</f>
        <v>#N/A</v>
      </c>
      <c r="BW157" s="140" t="e">
        <f t="shared" ca="1" si="483"/>
        <v>#N/A</v>
      </c>
      <c r="BX157" s="140" t="e">
        <f ca="1">IF($BW157&lt;=Control!$C$89,$BW157,Control!$C$89-$BW157)</f>
        <v>#N/A</v>
      </c>
      <c r="BY157" s="140" t="e">
        <f ca="1">IF(AND($AJ157&gt;=30,$AJ157&lt;60),1,IF($BW157&gt;=Control!$C$89,0,$BU157))</f>
        <v>#N/A</v>
      </c>
      <c r="BZ157" s="404" t="e">
        <f ca="1">IF($BY157=0,0,IF($BW157&lt;=Control!$C$89,$BU157*(30+(60-30)*(BX157/Control!$C$89)),0))</f>
        <v>#N/A</v>
      </c>
      <c r="CA157" s="140" t="e">
        <f ca="1">IF($BG157+$BM157+$BS157+$BY157=1,0,IF(OR(AND($BB157&lt;65,$BB157&gt;=60),$BW157&gt;=Control!$C$89),1*$BA157,$CE156))</f>
        <v>#N/A</v>
      </c>
      <c r="CB157" s="140" t="e">
        <f ca="1">IF($BX157&lt;0,-$BX157,$CA157*IF(OR($G157&lt;Control!$C$92,$G157&gt;Control!$C$95),0,IF(AND($G157&gt;=Control!$C$92,$G157&lt;=Control!$C$93),$G157-Control!$C$92,IF(AND($G157&gt;Control!$C$93,$G157&lt;=Control!$C$94),Control!$C$93-Control!$C$92,IF(AND($G157&gt;Control!$C$94,$G157&lt;=Control!$C$95),(Control!$C$93-Control!$C$92)*(Control!$C$94-$G157)/(Control!$C$95-Control!$C$94))))))</f>
        <v>#N/A</v>
      </c>
      <c r="CC157" s="140" t="e">
        <f t="shared" ca="1" si="599"/>
        <v>#N/A</v>
      </c>
      <c r="CD157" s="140" t="e">
        <f ca="1">IF($CC157&lt;=Control!$C$90,$CC157,Control!$C$90-$CC157)</f>
        <v>#N/A</v>
      </c>
      <c r="CE157" s="140" t="e">
        <f ca="1">IF(AND($BB157&gt;=60,$BB157&lt;65),1,IF($CC157&gt;=Control!$C$90,0,$CA157))</f>
        <v>#N/A</v>
      </c>
      <c r="CF157" s="404" t="e">
        <f ca="1">IF($CE157=0,0,IF($CC157&lt;=Control!$C$90,$CA157*(60+(65-60)*(CD157/Control!$C$90)),0))</f>
        <v>#N/A</v>
      </c>
      <c r="CG157" s="140" t="e">
        <f ca="1">IF($BG157+$BM157+$BS157+$BY157+$CE157=1,0,IF(OR(AND($BB157&lt;90,$BB157&gt;=65),$CC157&gt;=Control!$C$90),$BA157,$CK156))</f>
        <v>#N/A</v>
      </c>
      <c r="CH157" s="140" t="e">
        <f ca="1">IF($CD157&lt;0,-$CD157,$CG157*IF(OR($G157&lt;Control!$C$92,$G157&gt;Control!$C$95),0,IF(AND($G157&gt;=Control!$C$92,$G157&lt;=Control!$C$93),$G157-Control!$C$92,IF(AND($G157&gt;Control!$C$93,$G157&lt;=Control!$C$94),Control!$C$93-Control!$C$92,IF(AND($G157&gt;Control!$C$94,$G157&lt;=Control!$C$95),(Control!$C$93-Control!$C$92)*(Control!$C$94-$G157)/(Control!$C$95-Control!$C$94))))))</f>
        <v>#N/A</v>
      </c>
      <c r="CI157" s="140" t="e">
        <f t="shared" ca="1" si="600"/>
        <v>#N/A</v>
      </c>
      <c r="CJ157" s="140" t="e">
        <f ca="1">IF($CI157&lt;=Control!$C$91,$CI157,Control!$C$91-$CI157)</f>
        <v>#N/A</v>
      </c>
      <c r="CK157" s="140" t="e">
        <f ca="1">IF(AND($BB157&gt;=65,$BB157&lt;90),1,IF($CI157&gt;=Control!$C$91,0,$CG157))</f>
        <v>#N/A</v>
      </c>
      <c r="CL157" s="404" t="e">
        <f ca="1">IF($CK157=0,0,IF($CI157&lt;=Control!$C$91,$CG157*(65+(90-65)*($CJ157/Control!$C$91)),0))</f>
        <v>#N/A</v>
      </c>
      <c r="CM157" s="140" t="e">
        <f ca="1">IF($BG157+$BM157+$BS157+$BY157+$CE157+$CK157=1,0,IF(OR($BB157&gt;=90,$CI157&gt;=Control!$C$91),$BA157,$CM156))</f>
        <v>#N/A</v>
      </c>
      <c r="CN157" s="140" t="e">
        <f t="shared" ca="1" si="601"/>
        <v>#N/A</v>
      </c>
      <c r="CO157" s="140" t="e">
        <f t="shared" ca="1" si="602"/>
        <v>#N/A</v>
      </c>
      <c r="CP157" s="140" t="e">
        <f t="shared" ca="1" si="603"/>
        <v>#N/A</v>
      </c>
      <c r="CQ157" s="141" t="e">
        <f ca="1">VLOOKUP($CP157,Control!$B$86:$G$91,6)</f>
        <v>#N/A</v>
      </c>
      <c r="CR157" s="141" t="e">
        <f ca="1">(1-$CQ157)*VLOOKUP($CP157,Control!$B$86:$D$91,3)</f>
        <v>#N/A</v>
      </c>
      <c r="CS157" s="141" t="e">
        <f ca="1">(1-$CQ157)*VLOOKUP($CP157,Control!$B$86:$E$91,4)</f>
        <v>#N/A</v>
      </c>
      <c r="CT157" s="141" t="e">
        <f ca="1">(1-$CQ157)*VLOOKUP($CP157,Control!$B$86:$F$91,5)</f>
        <v>#N/A</v>
      </c>
      <c r="CU157" s="141">
        <f t="shared" ca="1" si="604"/>
        <v>0</v>
      </c>
      <c r="CV157" s="583">
        <f t="shared" ca="1" si="605"/>
        <v>0</v>
      </c>
      <c r="CW157" s="142">
        <f t="shared" ca="1" si="606"/>
        <v>153</v>
      </c>
      <c r="CX157" s="612" t="e">
        <f ca="1">IF(Control!$C$114=1,(MIN(Control!$C$120*(IF($NT157-0.01&lt;0,0,1)),Control!$C$119-$CY157)))</f>
        <v>#DIV/0!</v>
      </c>
      <c r="CY157" s="143" t="e">
        <f t="shared" ca="1" si="607"/>
        <v>#N/A</v>
      </c>
      <c r="CZ157" s="144">
        <f t="shared" ca="1" si="484"/>
        <v>0</v>
      </c>
      <c r="DA157" s="144">
        <f t="shared" ca="1" si="485"/>
        <v>0</v>
      </c>
      <c r="DB157" s="144" t="e">
        <f t="shared" ca="1" si="486"/>
        <v>#N/A</v>
      </c>
      <c r="DC157" s="144" t="e">
        <f t="shared" ca="1" si="487"/>
        <v>#N/A</v>
      </c>
      <c r="DD157" s="144" t="e">
        <f t="shared" ca="1" si="692"/>
        <v>#N/A</v>
      </c>
      <c r="DE157" s="143" t="e">
        <f t="shared" ca="1" si="608"/>
        <v>#N/A</v>
      </c>
      <c r="DF157" s="145" t="e">
        <f ca="1">$DR157*EXP(-Control!$C$158*(1-$KH157))</f>
        <v>#N/A</v>
      </c>
      <c r="DG157" s="146" t="e">
        <f ca="1">IF(Control!$C$114=1, $DF157*$EY157, 0)</f>
        <v>#N/A</v>
      </c>
      <c r="DH157" s="147" t="e">
        <f t="shared" ca="1" si="609"/>
        <v>#N/A</v>
      </c>
      <c r="DI157" s="144" t="e">
        <f t="shared" ca="1" si="670"/>
        <v>#N/A</v>
      </c>
      <c r="DJ157" s="147" t="e">
        <f ca="1">$EF157*Control!$C$109</f>
        <v>#N/A</v>
      </c>
      <c r="DK157" s="144" t="e">
        <f t="shared" ca="1" si="610"/>
        <v>#N/A</v>
      </c>
      <c r="DL157" s="144" t="e">
        <f t="shared" ca="1" si="488"/>
        <v>#N/A</v>
      </c>
      <c r="DM157" s="144" t="e">
        <f ca="1">IF(Control!$C$114=1, (1-EXP(-Control!$C$96*$DK157))*$AR157, 0)</f>
        <v>#N/A</v>
      </c>
      <c r="DN157" s="144">
        <f t="shared" ca="1" si="611"/>
        <v>0</v>
      </c>
      <c r="DO157" s="148">
        <f>Control!$C$97</f>
        <v>4</v>
      </c>
      <c r="DP157" s="145" t="e">
        <f t="shared" ca="1" si="612"/>
        <v>#N/A</v>
      </c>
      <c r="DQ157" s="145" t="e">
        <f ca="1">IF(AND($CP157&gt;=0,$CP157&lt;=90),Control!$C$111,Control!$C$111)</f>
        <v>#N/A</v>
      </c>
      <c r="DR157" s="145" t="e">
        <f t="shared" ca="1" si="489"/>
        <v>#N/A</v>
      </c>
      <c r="DS157" s="143" t="e">
        <f ca="1">Control!$B$22/$DR157</f>
        <v>#N/A</v>
      </c>
      <c r="DT157" s="149" t="e">
        <f ca="1">IF(AND(Control!$C$114=1,$KH157&lt;1),$IM157*$DF157, 0)</f>
        <v>#N/A</v>
      </c>
      <c r="DU157" s="144" t="e">
        <f ca="1">$DU156+$DW156</f>
        <v>#N/A</v>
      </c>
      <c r="DV157" s="144">
        <f ca="1">IF($G157-Control!$C$107&lt;=0, 0, 0.83*LN(MAX($G157, 3))-0.8924)</f>
        <v>0</v>
      </c>
      <c r="DW157" s="144" t="e">
        <f t="shared" ca="1" si="490"/>
        <v>#N/A</v>
      </c>
      <c r="DX157" s="150" t="e">
        <f ca="1">MAX(0.01*(1+$CU157/Control!$C$102),0.05*($DK157-Control!$C$97)/Control!$C$97)</f>
        <v>#N/A</v>
      </c>
      <c r="DY157" s="151" t="e">
        <f ca="1">IF(Control!$C$114=1, $DI157*$FS157, 0)</f>
        <v>#N/A</v>
      </c>
      <c r="DZ157" s="196" t="e">
        <f t="shared" ca="1" si="614"/>
        <v>#N/A</v>
      </c>
      <c r="EA157" s="152">
        <f t="shared" ca="1" si="615"/>
        <v>153</v>
      </c>
      <c r="EB157" s="153" t="e">
        <f t="shared" ca="1" si="616"/>
        <v>#N/A</v>
      </c>
      <c r="EC157" s="153" t="e">
        <f t="shared" ca="1" si="617"/>
        <v>#N/A</v>
      </c>
      <c r="ED157" s="154" t="e">
        <f ca="1">IF(Control!$C$114=1, $HM157*$FY157-$FD157, 0)</f>
        <v>#DIV/0!</v>
      </c>
      <c r="EE157" s="155" t="e">
        <f ca="1">IF(Control!$C$114=1, $HM157*$FZ157-$FF157, 0)</f>
        <v>#DIV/0!</v>
      </c>
      <c r="EF157" s="153" t="e">
        <f t="shared" ca="1" si="671"/>
        <v>#N/A</v>
      </c>
      <c r="EG157" s="155" t="e">
        <f ca="1">IF(Control!$C$114=1, $GX157*$FW157-$FI157, 0)</f>
        <v>#DIV/0!</v>
      </c>
      <c r="EH157" s="153" t="e">
        <f t="shared" ca="1" si="618"/>
        <v>#N/A</v>
      </c>
      <c r="EI157" s="156" t="e">
        <f t="shared" ca="1" si="619"/>
        <v>#N/A</v>
      </c>
      <c r="EJ157" s="155" t="e">
        <f ca="1">IF(Control!$C$114=1, $HM157*$GB157, 0)</f>
        <v>#DIV/0!</v>
      </c>
      <c r="EK157" s="153" t="e">
        <f t="shared" ca="1" si="672"/>
        <v>#N/A</v>
      </c>
      <c r="EL157" s="153" t="e">
        <f t="shared" ca="1" si="491"/>
        <v>#N/A</v>
      </c>
      <c r="EM157" s="153" t="e">
        <f t="shared" ca="1" si="492"/>
        <v>#N/A</v>
      </c>
      <c r="EN157" s="153" t="e">
        <f ca="1">IF(Control!$C$108=1,IF(AND(Control!$B$18=1,$EB157&gt;=Control!$B$19),$EB157-$DS157,IF(AND(Control!$B$18=2,$AW157=1,$EB157&gt;$DS157),$EB157-$DS157,0)))</f>
        <v>#N/A</v>
      </c>
      <c r="EO157" s="153" t="e">
        <f ca="1">IF(Control!$C$108=1,IF(AND(Control!$B$18=1,$EB157&gt;=Control!$B$19),$EF157,IF(AND(Control!$B$18=2,$AW157=1),$EF157,0)))</f>
        <v>#N/A</v>
      </c>
      <c r="EP157" s="153" t="e">
        <f ca="1">IF(Control!$C$108=1,IF(AND(Control!$B$18=1,$EB157&gt;=Control!$B$19),$EK157,IF(AND(Control!$B$18=2,$AW157=1),$EK157,0)))</f>
        <v>#N/A</v>
      </c>
      <c r="EQ157" s="153" t="e">
        <f t="shared" ca="1" si="620"/>
        <v>#N/A</v>
      </c>
      <c r="ER157" s="153" t="e">
        <f t="shared" ca="1" si="621"/>
        <v>#N/A</v>
      </c>
      <c r="ES157" s="153" t="e">
        <f t="shared" ca="1" si="673"/>
        <v>#N/A</v>
      </c>
      <c r="ET157" s="153" t="e">
        <f t="shared" ca="1" si="674"/>
        <v>#N/A</v>
      </c>
      <c r="EU157" s="153" t="e">
        <f t="shared" ca="1" si="622"/>
        <v>#N/A</v>
      </c>
      <c r="EV157" s="153" t="e">
        <f t="shared" ca="1" si="493"/>
        <v>#N/A</v>
      </c>
      <c r="EW157" s="153" t="e">
        <f t="shared" ca="1" si="494"/>
        <v>#N/A</v>
      </c>
      <c r="EX157" s="153" t="e">
        <f t="shared" ca="1" si="495"/>
        <v>#N/A</v>
      </c>
      <c r="EY157" s="157" t="e">
        <f t="shared" ca="1" si="496"/>
        <v>#DIV/0!</v>
      </c>
      <c r="EZ157" s="154" t="e">
        <f t="shared" ca="1" si="497"/>
        <v>#DIV/0!</v>
      </c>
      <c r="FA157" s="153" t="e">
        <f t="shared" ca="1" si="623"/>
        <v>#N/A</v>
      </c>
      <c r="FB157" s="153" t="e">
        <f t="shared" ca="1" si="498"/>
        <v>#N/A</v>
      </c>
      <c r="FC157" s="193" t="e">
        <f t="shared" ca="1" si="499"/>
        <v>#N/A</v>
      </c>
      <c r="FD157" s="158" t="e">
        <f t="shared" ca="1" si="624"/>
        <v>#N/A</v>
      </c>
      <c r="FE157" s="158" t="e">
        <f t="shared" ca="1" si="625"/>
        <v>#N/A</v>
      </c>
      <c r="FF157" s="159" t="e">
        <f t="shared" ca="1" si="500"/>
        <v>#N/A</v>
      </c>
      <c r="FG157" s="160" t="e">
        <f t="shared" ca="1" si="626"/>
        <v>#N/A</v>
      </c>
      <c r="FH157" s="158" t="e">
        <f t="shared" ca="1" si="627"/>
        <v>#N/A</v>
      </c>
      <c r="FI157" s="159" t="e">
        <f t="shared" ca="1" si="501"/>
        <v>#N/A</v>
      </c>
      <c r="FJ157" s="160" t="e">
        <f t="shared" ca="1" si="628"/>
        <v>#N/A</v>
      </c>
      <c r="FK157" s="160" t="e">
        <f t="shared" ca="1" si="502"/>
        <v>#N/A</v>
      </c>
      <c r="FL157" s="160" t="e">
        <f t="shared" ca="1" si="675"/>
        <v>#N/A</v>
      </c>
      <c r="FM157" s="160" t="e">
        <f t="shared" ca="1" si="503"/>
        <v>#N/A</v>
      </c>
      <c r="FN157" s="158">
        <f t="shared" ca="1" si="629"/>
        <v>0.01</v>
      </c>
      <c r="FO157" s="160">
        <f>Control!$C$101</f>
        <v>50</v>
      </c>
      <c r="FP157" s="150" t="e">
        <f t="shared" ca="1" si="504"/>
        <v>#N/A</v>
      </c>
      <c r="FQ157" s="150" t="e">
        <f ca="1">MAX(0,(Control!$C$112*(($DK157-Control!$C$97)/Control!$C$97)))</f>
        <v>#N/A</v>
      </c>
      <c r="FR157" s="150" t="e">
        <f ca="1">(1-$NT157)*Control!$C$113</f>
        <v>#DIV/0!</v>
      </c>
      <c r="FS157" s="198" t="e">
        <f t="shared" ca="1" si="505"/>
        <v>#N/A</v>
      </c>
      <c r="FT157" s="161">
        <f t="shared" ca="1" si="630"/>
        <v>153</v>
      </c>
      <c r="FU157" s="162" t="e">
        <f ca="1">IF(Control!$B$34=1,VLOOKUP($CP157,Control!$B$86:$G$91,6),Control!$B$35)</f>
        <v>#N/A</v>
      </c>
      <c r="FV157" s="162" t="e">
        <f t="shared" ca="1" si="506"/>
        <v>#DIV/0!</v>
      </c>
      <c r="FW157" s="162" t="e">
        <f ca="1">IF(Control!$B$31=1,$FU157*$FV157,  $FU157)</f>
        <v>#N/A</v>
      </c>
      <c r="FX157" s="162" t="e">
        <f ca="1">IF(Control!$B$34=1,VLOOKUP($CP157,Control!$B$86:$G$91,3),Control!$B$36)</f>
        <v>#N/A</v>
      </c>
      <c r="FY157" s="162" t="e">
        <f t="shared" ca="1" si="507"/>
        <v>#N/A</v>
      </c>
      <c r="FZ157" s="162" t="e">
        <f ca="1">IF(Control!$B$34=1,VLOOKUP($CP157,Control!$B$86:$G$91,4),Control!$B$37)</f>
        <v>#N/A</v>
      </c>
      <c r="GA157" s="162" t="e">
        <f t="shared" ca="1" si="508"/>
        <v>#N/A</v>
      </c>
      <c r="GB157" s="162" t="e">
        <f ca="1">IF(Control!$B$34=1,VLOOKUP($CP157,Control!$B$86:$G$91,5),Control!$B$38)</f>
        <v>#N/A</v>
      </c>
      <c r="GC157" s="162" t="e">
        <f t="shared" ca="1" si="631"/>
        <v>#N/A</v>
      </c>
      <c r="GD157" s="162">
        <f t="shared" ca="1" si="509"/>
        <v>1</v>
      </c>
      <c r="GE157" s="162">
        <f t="shared" ca="1" si="510"/>
        <v>1</v>
      </c>
      <c r="GF157" s="162">
        <f ca="1">IF(AND(Control!$C$104=1, Control!$C$62="F"),$GE157,1)</f>
        <v>1</v>
      </c>
      <c r="GG157" s="162" t="e">
        <f ca="1">IF(Control!$B$16=40,0,IF(AND(Control!$B$16&gt;40,Control!$B$16&lt;=360),(Control!$B$16-40)*((1-0)/(360-40)),IF(AND(Control!$B$16&gt;360,Control!$B$16&lt;=720),(1+(Control!$B$16-360)*((1.25-1)/(720-360))),IF(AND(Control!$B$16&gt;720,Control!$B$16&lt;=1000),(1.25+(Control!$B$16-720)*((1.35-1.25)/(1000-720))),IF(AND(Control!$B$16&gt;1000,Control!$B$16&lt;=2000),(1.35+(Control!$B$16-1000)*0))))))</f>
        <v>#N/A</v>
      </c>
      <c r="GH157" s="162" t="e">
        <f t="shared" ca="1" si="511"/>
        <v>#N/A</v>
      </c>
      <c r="GI157" s="162">
        <f t="shared" ca="1" si="632"/>
        <v>0</v>
      </c>
      <c r="GJ157" s="162">
        <f t="shared" ca="1" si="512"/>
        <v>0</v>
      </c>
      <c r="GK157" s="162">
        <f t="shared" ca="1" si="633"/>
        <v>1</v>
      </c>
      <c r="GL157" s="162">
        <f t="shared" ca="1" si="513"/>
        <v>1</v>
      </c>
      <c r="GM157" s="162" t="e">
        <f ca="1">MAX(0,MIN(1,1-Control!$C$156*(1.0001-$KH157)^2))</f>
        <v>#N/A</v>
      </c>
      <c r="GN157" s="162" t="e">
        <f ca="1">IF(Control!$B$26=1,$KU157,$KX157)</f>
        <v>#N/A</v>
      </c>
      <c r="GO157" s="162" t="e">
        <f ca="1">IF($CP157&lt;=60,Control!$C$105,IF($CP157&gt;=90,Control!$C$106,Control!$C$105+($CP157-60)*((Control!$C$106-Control!$C$105)/(90-60))))</f>
        <v>#N/A</v>
      </c>
      <c r="GP157" s="162" t="e">
        <f t="shared" ca="1" si="514"/>
        <v>#N/A</v>
      </c>
      <c r="GQ157" s="162" t="e">
        <f t="shared" ca="1" si="634"/>
        <v>#N/A</v>
      </c>
      <c r="GR157" s="163" t="e">
        <f t="shared" ca="1" si="515"/>
        <v>#DIV/0!</v>
      </c>
      <c r="GS157" s="162" t="e">
        <f t="shared" ca="1" si="516"/>
        <v>#DIV/0!</v>
      </c>
      <c r="GT157" s="164" t="e">
        <f t="shared" ca="1" si="635"/>
        <v>#N/A</v>
      </c>
      <c r="GU157" s="162" t="e">
        <f t="shared" ca="1" si="636"/>
        <v>#N/A</v>
      </c>
      <c r="GV157" s="162" t="e">
        <f t="shared" ca="1" si="517"/>
        <v>#N/A</v>
      </c>
      <c r="GW157" s="162" t="e">
        <f t="shared" ca="1" si="518"/>
        <v>#DIV/0!</v>
      </c>
      <c r="GX157" s="162" t="e">
        <f t="shared" ca="1" si="637"/>
        <v>#DIV/0!</v>
      </c>
      <c r="GY157" s="162" t="e">
        <f t="shared" ca="1" si="638"/>
        <v>#DIV/0!</v>
      </c>
      <c r="GZ157" s="165" t="e">
        <f t="shared" ca="1" si="519"/>
        <v>#N/A</v>
      </c>
      <c r="HA157" s="162" t="e">
        <f ca="1">IF(Control!$C$114=1, $DI157*$FS157, 0)</f>
        <v>#N/A</v>
      </c>
      <c r="HB157" s="162" t="e">
        <f ca="1">$FA157/Control!$C$64</f>
        <v>#N/A</v>
      </c>
      <c r="HC157" s="162" t="e">
        <f t="shared" ca="1" si="520"/>
        <v>#DIV/0!</v>
      </c>
      <c r="HD157" s="162">
        <f ca="1">-ASIN(SIN(23.45*Control!$C$139)*COS(2*Control!$C$138*($AH157+10)/365))</f>
        <v>0.38519495756992339</v>
      </c>
      <c r="HE157" s="165">
        <f t="shared" ca="1" si="639"/>
        <v>0</v>
      </c>
      <c r="HF157" s="166">
        <f ca="1">IF(AND(Control!$C$61="T",$HE157&gt;=Control!$C$103,Control!$C$114=0),$AH157,Control!$C$59)</f>
        <v>1</v>
      </c>
      <c r="HG157" s="166">
        <f ca="1">IF(AND(Control!$C$61="T",$HE157&gt;=Control!$C$103,Control!$C$114=0),$HF157,Control!$C$59)</f>
        <v>1</v>
      </c>
      <c r="HH157" s="165">
        <f ca="1">IF(AND(OR(Control!$C$60&lt;=0, $AH157= Control!$C$59, Control!$C$60 &gt;0, $AH157 = Control!$C$60)), Control!$C$59, IF(Control!$C$60&gt;0, 0))</f>
        <v>1</v>
      </c>
      <c r="HI157" s="165">
        <f ca="1">IF(AND(OR(Control!$C$60&lt;=0, $AH157= Control!$C$59, Control!$C$60 &gt;0, $AH157 = Control!$C$60)), Control!$C$60, IF(Control!$C$60&lt;=0, 0))</f>
        <v>0</v>
      </c>
      <c r="HJ157" s="166">
        <f ca="1">IF(AND(Control!$C$62="F",$CV157&gt;=Control!$C$102),$AH157,0)</f>
        <v>0</v>
      </c>
      <c r="HK157" s="165" t="e">
        <f t="shared" ca="1" si="676"/>
        <v>#N/A</v>
      </c>
      <c r="HL157" s="166">
        <f ca="1">IF(AND(Control!$C$61="T",$HE157&gt;=Control!$C$103,Control!$C$114=0),$HF157,0)</f>
        <v>0</v>
      </c>
      <c r="HM157" s="201" t="e">
        <f t="shared" ca="1" si="521"/>
        <v>#DIV/0!</v>
      </c>
      <c r="HN157" s="215">
        <f t="shared" ca="1" si="640"/>
        <v>153</v>
      </c>
      <c r="HO157" s="216" t="e">
        <f ca="1">IF(AND($CP157&gt;=0, $CP157&lt;=90), Control!$C$152, Control!$C$152)</f>
        <v>#N/A</v>
      </c>
      <c r="HP157" s="216" t="e">
        <f t="shared" ca="1" si="522"/>
        <v>#N/A</v>
      </c>
      <c r="HQ157" s="217" t="e">
        <f ca="1">IF(OR(Control!$B$26=1,Control!$B$26=2),$KV157,$KS157)</f>
        <v>#DIV/0!</v>
      </c>
      <c r="HR157" s="218" t="e">
        <f t="shared" ca="1" si="677"/>
        <v>#DIV/0!</v>
      </c>
      <c r="HS157" s="216" t="e">
        <f ca="1">Control!$C$154*$HP157</f>
        <v>#N/A</v>
      </c>
      <c r="HT157" s="216" t="e">
        <f ca="1">Control!$C$155*$HP157</f>
        <v>#N/A</v>
      </c>
      <c r="HU157" s="217" t="e">
        <f ca="1">Control!$C$161*$FI157</f>
        <v>#N/A</v>
      </c>
      <c r="HV157" s="218" t="e">
        <f t="shared" ca="1" si="641"/>
        <v>#N/A</v>
      </c>
      <c r="HW157" s="218" t="e">
        <f ca="1">Control!$C$160*$FF157+$IP157*$EO157</f>
        <v>#N/A</v>
      </c>
      <c r="HX157" s="218" t="e">
        <f t="shared" ca="1" si="678"/>
        <v>#N/A</v>
      </c>
      <c r="HY157" s="219" t="e">
        <f ca="1">IF(Control!$C$114=1, $EB157*$FS157, 0)</f>
        <v>#N/A</v>
      </c>
      <c r="HZ157" s="91" t="e">
        <f t="shared" ca="1" si="523"/>
        <v>#N/A</v>
      </c>
      <c r="IA157" s="220" t="e">
        <f ca="1">Control!$C$153*$HO157</f>
        <v>#N/A</v>
      </c>
      <c r="IB157" s="218" t="e">
        <f t="shared" ca="1" si="524"/>
        <v>#N/A</v>
      </c>
      <c r="IC157" s="220" t="e">
        <f ca="1">Control!$C$153*$HT157</f>
        <v>#N/A</v>
      </c>
      <c r="ID157" s="218" t="e">
        <f t="shared" ca="1" si="525"/>
        <v>#N/A</v>
      </c>
      <c r="IE157" s="221" t="e">
        <f ca="1">($EB157*Control!$C$159+$EF157*Control!$C$160)/(IF($GZ157&lt;&gt;0,$GZ157,1))</f>
        <v>#N/A</v>
      </c>
      <c r="IF157" s="216" t="e">
        <f t="shared" ca="1" si="526"/>
        <v>#N/A</v>
      </c>
      <c r="IG157" s="91">
        <f ca="1">IF(OR(Control!$B$198=$AH157,Control!$B$199=$AH157, Control!$B$200=$AH157, Control!$B$201=$AH157, Control!$B$202=$AH157, Control!$B$203=$AH157, Control!$B$204=$AH157, Control!$B$205=$AH157, Control!$B$206=$AH157, Control!$B$207=$AH157), 1, 0)</f>
        <v>0</v>
      </c>
      <c r="IH157" s="91">
        <f ca="1">IF($IG157=0,0, VLOOKUP($AH157,Control!$B$198:$C$207,2))</f>
        <v>0</v>
      </c>
      <c r="II157" s="222">
        <f t="shared" ca="1" si="642"/>
        <v>0</v>
      </c>
      <c r="IJ157" s="91">
        <f>Control!$C$121</f>
        <v>0.7</v>
      </c>
      <c r="IK157" s="218">
        <f t="shared" ca="1" si="527"/>
        <v>0</v>
      </c>
      <c r="IL157" s="217" t="e">
        <f t="shared" ca="1" si="679"/>
        <v>#N/A</v>
      </c>
      <c r="IM157" s="223" t="e">
        <f ca="1">IF(AND(Control!$C$114=1,$KH157&lt;1),$EB157*Control!$C$148*(1-$KH157), 0)</f>
        <v>#N/A</v>
      </c>
      <c r="IN157" s="217" t="e">
        <f t="shared" ca="1" si="528"/>
        <v>#DIV/0!</v>
      </c>
      <c r="IO157" s="91" t="e">
        <f ca="1">MAX(0,$IL157-$EF157*Control!$C$160)</f>
        <v>#N/A</v>
      </c>
      <c r="IP157" s="220" t="e">
        <f t="shared" ca="1" si="529"/>
        <v>#N/A</v>
      </c>
      <c r="IQ157" s="217" t="e">
        <f t="shared" ca="1" si="643"/>
        <v>#N/A</v>
      </c>
      <c r="IR157" s="218" t="e">
        <f t="shared" ca="1" si="530"/>
        <v>#N/A</v>
      </c>
      <c r="IS157" s="217" t="e">
        <f ca="1">Control!$C$159*MAX(0,$FD157-$EN157)</f>
        <v>#N/A</v>
      </c>
      <c r="IT157" s="217" t="e">
        <f t="shared" ca="1" si="680"/>
        <v>#N/A</v>
      </c>
      <c r="IU157" s="217" t="e">
        <f t="shared" ca="1" si="644"/>
        <v>#N/A</v>
      </c>
      <c r="IV157" s="217" t="e">
        <f t="shared" ca="1" si="681"/>
        <v>#N/A</v>
      </c>
      <c r="IW157" s="217" t="e">
        <f ca="1">IF(OR($AW157=1,AND($AW157=0, Control!$B$18=1,$EN157&lt;&gt;0)), $IQ157-$IU157, $IQ157)</f>
        <v>#N/A</v>
      </c>
      <c r="IX157" s="218" t="e">
        <f t="shared" ca="1" si="531"/>
        <v>#N/A</v>
      </c>
      <c r="IY157" s="218" t="e">
        <f ca="1">MAX(0,$IQ157-$EB157*Control!$C$159)</f>
        <v>#N/A</v>
      </c>
      <c r="IZ157" s="218" t="e">
        <f t="shared" ca="1" si="532"/>
        <v>#N/A</v>
      </c>
      <c r="JA157" s="216" t="e">
        <f t="shared" ca="1" si="533"/>
        <v>#N/A</v>
      </c>
      <c r="JB157" s="217" t="e">
        <f t="shared" ca="1" si="534"/>
        <v>#N/A</v>
      </c>
      <c r="JC157" s="222" t="e">
        <f ca="1">MAX(Control!$C$157*$EK157-$JT157, 0)/Control!$C$162</f>
        <v>#N/A</v>
      </c>
      <c r="JD157" s="218" t="e">
        <f t="shared" ca="1" si="535"/>
        <v>#N/A</v>
      </c>
      <c r="JE157" s="218" t="e">
        <f t="shared" ca="1" si="536"/>
        <v>#N/A</v>
      </c>
      <c r="JF157" s="218" t="e">
        <f t="shared" ca="1" si="645"/>
        <v>#N/A</v>
      </c>
      <c r="JG157" s="218" t="e">
        <f t="shared" ca="1" si="537"/>
        <v>#N/A</v>
      </c>
      <c r="JH157" s="217" t="e">
        <f t="shared" ca="1" si="646"/>
        <v>#N/A</v>
      </c>
      <c r="JI157" s="217" t="e">
        <f t="shared" ca="1" si="647"/>
        <v>#N/A</v>
      </c>
      <c r="JJ157" s="217" t="e">
        <f t="shared" ca="1" si="682"/>
        <v>#N/A</v>
      </c>
      <c r="JK157" s="217" t="e">
        <f ca="1">IF(Control!$C$114=1,IF(Control!$B$24=0,MAX(0,$JI157)*$GN157/Control!$C$64,(MAX(0,MIN($JI157,$JJ157*$GN157/Control!$C$64),0))))</f>
        <v>#N/A</v>
      </c>
      <c r="JL157" s="217" t="e">
        <f ca="1">$IK157/Control!$C$64-$JK157+$HQ157</f>
        <v>#N/A</v>
      </c>
      <c r="JM157" s="217" t="e">
        <f ca="1">IF(Control!$C$114=1,($JB157/(IF($JI157&lt;&gt;0,$JI157,1)))*$JK157,0)</f>
        <v>#N/A</v>
      </c>
      <c r="JN157" s="217" t="e">
        <f ca="1">IF(Control!$C$114=1,($JG157/(IF($JI157&lt;&gt;0,$JI157,1)))*$JK157, 0)</f>
        <v>#N/A</v>
      </c>
      <c r="JO157" s="218" t="e">
        <f t="shared" ca="1" si="538"/>
        <v>#N/A</v>
      </c>
      <c r="JP157" s="218" t="e">
        <f ca="1">MIN(($IY157+$IO157)*Control!$C$151, $JF157-$EH157*Control!$C$161)</f>
        <v>#N/A</v>
      </c>
      <c r="JQ157" s="218" t="e">
        <f t="shared" ca="1" si="539"/>
        <v>#N/A</v>
      </c>
      <c r="JR157" s="217" t="e">
        <f ca="1">IF($CP157-Control!$C$150&lt;0, 0, $JQ157/Control!$C$162)</f>
        <v>#N/A</v>
      </c>
      <c r="JS157" s="218" t="e">
        <f t="shared" ca="1" si="540"/>
        <v>#N/A</v>
      </c>
      <c r="JT157" s="218" t="e">
        <f t="shared" ca="1" si="648"/>
        <v>#N/A</v>
      </c>
      <c r="JU157" s="218" t="e">
        <f t="shared" ca="1" si="541"/>
        <v>#N/A</v>
      </c>
      <c r="JV157" s="218" t="e">
        <f t="shared" ca="1" si="542"/>
        <v>#N/A</v>
      </c>
      <c r="JW157" s="216" t="e">
        <f t="shared" ca="1" si="543"/>
        <v>#N/A</v>
      </c>
      <c r="JX157" s="91" t="e">
        <f t="shared" ca="1" si="544"/>
        <v>#N/A</v>
      </c>
      <c r="JY157" s="218" t="e">
        <f t="shared" ca="1" si="545"/>
        <v>#N/A</v>
      </c>
      <c r="JZ157" s="217" t="e">
        <f ca="1">IF(Control!$C$114=1,($IZ157/(IF($JI157&lt;&gt;0,$JI157,1)))*$JK157, 0)</f>
        <v>#N/A</v>
      </c>
      <c r="KA157" s="218" t="e">
        <f t="shared" ca="1" si="683"/>
        <v>#N/A</v>
      </c>
      <c r="KB157" s="218" t="e">
        <f t="shared" ca="1" si="649"/>
        <v>#N/A</v>
      </c>
      <c r="KC157" s="218" t="e">
        <f t="shared" ca="1" si="546"/>
        <v>#N/A</v>
      </c>
      <c r="KD157" s="218" t="e">
        <f t="shared" ca="1" si="547"/>
        <v>#N/A</v>
      </c>
      <c r="KE157" s="218" t="e">
        <f t="shared" ca="1" si="548"/>
        <v>#N/A</v>
      </c>
      <c r="KF157" s="218" t="e">
        <f t="shared" ca="1" si="549"/>
        <v>#N/A</v>
      </c>
      <c r="KG157" s="216" t="e">
        <f t="shared" ca="1" si="550"/>
        <v>#N/A</v>
      </c>
      <c r="KH157" s="221" t="e">
        <f ca="1">IF(Control!$B$24=0,1,MAX(0.001,MIN(1,IF(($IF157-$IE157)&lt;&gt;0,($KG157-$IE157)/($IF157-$IE157),1))))</f>
        <v>#N/A</v>
      </c>
      <c r="KI157" s="222" t="e">
        <f ca="1">IF(Control!$C$114=1, $KI156+ $KH156, 0)</f>
        <v>#N/A</v>
      </c>
      <c r="KJ157" s="217" t="e">
        <f t="shared" ca="1" si="551"/>
        <v>#N/A</v>
      </c>
      <c r="KK157" s="218" t="e">
        <f t="shared" ca="1" si="552"/>
        <v>#N/A</v>
      </c>
      <c r="KL157" s="274" t="e">
        <f ca="1">IF(Control!$B$26=3,4000000000*EXP(-8400/($G157+273)),IF(Control!$B$26=4,4000000000*EXP(-8400/($G157+273))*($KT157),0))</f>
        <v>#DIV/0!</v>
      </c>
      <c r="KM157" s="274" t="e">
        <f ca="1">IF(Control!$B$26=3,5600000000000*EXP(-9800/($G157+273)),IF(Control!$B$26=4,5600000000000*EXP(-9800/($G157+273))*$KT157,0))</f>
        <v>#DIV/0!</v>
      </c>
      <c r="KN157" s="454" t="e">
        <f t="shared" ca="1" si="650"/>
        <v>#DIV/0!</v>
      </c>
      <c r="KO157" s="274" t="e">
        <f t="shared" ca="1" si="651"/>
        <v>#DIV/0!</v>
      </c>
      <c r="KP157" s="454" t="e">
        <f t="shared" ca="1" si="553"/>
        <v>#DIV/0!</v>
      </c>
      <c r="KQ157" s="454" t="e">
        <f t="shared" ca="1" si="554"/>
        <v>#DIV/0!</v>
      </c>
      <c r="KR157" s="454" t="e">
        <f t="shared" ca="1" si="555"/>
        <v>#DIV/0!</v>
      </c>
      <c r="KS157" s="454" t="e">
        <f t="shared" ca="1" si="556"/>
        <v>#DIV/0!</v>
      </c>
      <c r="KT157" s="455" t="e">
        <f t="shared" ca="1" si="557"/>
        <v>#DIV/0!</v>
      </c>
      <c r="KU157" s="456" t="e">
        <f ca="1">IF($CP157-Control!$C$149&lt;0, IF($NT157-0.01&lt;0,0,1),0)</f>
        <v>#N/A</v>
      </c>
      <c r="KV157" s="456" t="e">
        <f ca="1">IF(Control!$C$114=1,MAX(0,MIN(Control!$C$125*$KW157*$GN157,$KW157)))</f>
        <v>#DIV/0!</v>
      </c>
      <c r="KW157" s="456" t="e">
        <f t="shared" ca="1" si="684"/>
        <v>#DIV/0!</v>
      </c>
      <c r="KX157" s="457" t="e">
        <f ca="1">IF($CP157-Control!$C$149&lt;0, IF($MR157-$OM157&lt;0,0,1),0)</f>
        <v>#N/A</v>
      </c>
      <c r="KY157" s="167">
        <f t="shared" ca="1" si="652"/>
        <v>153</v>
      </c>
      <c r="KZ157" s="168">
        <f ca="1">1370*(1+0.033*COS(2*Control!$C$138*$AH157/365))</f>
        <v>1330.4950454466564</v>
      </c>
      <c r="LA157" s="169">
        <f t="shared" ca="1" si="653"/>
        <v>0.9711643655808343</v>
      </c>
      <c r="LB157" s="169">
        <f t="shared" ca="1" si="654"/>
        <v>0.38732418742369806</v>
      </c>
      <c r="LC157" s="169">
        <f ca="1">ACOS(-TAN((2*Control!$B$8/360))*TAN(Calculations!$LB157))</f>
        <v>1.6923335112516416</v>
      </c>
      <c r="LD157" s="169">
        <f ca="1">((24*60)/PI())*0.082*$LA157*(($LC157*SIN(Control!$B$8*2*PI()/360))*SIN($LB157)+COS(Control!$B$8*2*PI()/360)*COS($LB157)*SIN($LC157))</f>
        <v>39.041249294970001</v>
      </c>
      <c r="LE157" s="170">
        <f t="shared" ca="1" si="558"/>
        <v>40.512365561095415</v>
      </c>
      <c r="LF157" s="170">
        <f ca="1">SIN(Control!$C$139*Control!$B$8)*SIN($HD157)</f>
        <v>0.29608750649697996</v>
      </c>
      <c r="LG157" s="170">
        <f ca="1">COS(Control!$C$139*Control!$B$8)*COS($HD157)</f>
        <v>0.570547452134893</v>
      </c>
      <c r="LH157" s="170">
        <f ca="1">12*(1+2*ASIN(MAX(-1,MIN(1,$LF157/$LG157))/Control!$C$138))</f>
        <v>15.982757134313006</v>
      </c>
      <c r="LI157" s="170">
        <f ca="1">12*(1+2*ASIN(MAX(-1,MIN(1,(-SIN(-4*Control!$C$139)+$LF157)/$LG157))/Control!$C$138))</f>
        <v>16.933182725592001</v>
      </c>
      <c r="LJ157" s="168">
        <f ca="1">3600*($LH157*$LF157+24*$LG157*SQRT(1-$LK157*$LK157)/Control!$C$138)</f>
        <v>30449.091636786317</v>
      </c>
      <c r="LK157" s="170">
        <f t="shared" ca="1" si="559"/>
        <v>0.51895334102197832</v>
      </c>
      <c r="LL157" s="170">
        <f t="shared" ca="1" si="560"/>
        <v>0</v>
      </c>
      <c r="LM157" s="171">
        <f ca="1">Control!$C$145*$AB157</f>
        <v>6.6660906138995932E-2</v>
      </c>
      <c r="LN157" s="170">
        <f t="shared" ca="1" si="655"/>
        <v>0.54</v>
      </c>
      <c r="LO157" s="170">
        <f t="shared" ca="1" si="561"/>
        <v>0</v>
      </c>
      <c r="LP157" s="170">
        <f ca="1">Control!$C$140*((($D157+273.16)^4+($E157+273.16)^4)/2)*(0.34-0.14*SQRT($Y157))*(1.35*$AQ157/(0.75*$LD157)-0.35)</f>
        <v>-3.2464704755046001</v>
      </c>
      <c r="LQ157" s="170">
        <f ca="1">Control!$C$140*($G157+273)^4*(0.56-0.079*SQRT($Y157*10))*(0.1+0.9*$LO157)</f>
        <v>1.5241745131704001</v>
      </c>
      <c r="LR157" s="170">
        <f ca="1">$AQ157*(1-Control!$C$142)-$LQ157</f>
        <v>-1.5241745131704001</v>
      </c>
      <c r="LS157" s="170">
        <f ca="1">$AQ157*(1-Control!$C$143)-$LQ157</f>
        <v>-1.5241745131704001</v>
      </c>
      <c r="LT157" s="170">
        <f ca="1">$AQ157*(1-Control!$C$144)-$LQ157</f>
        <v>-1.5241745131704001</v>
      </c>
      <c r="LU157" s="169">
        <f ca="1">(1-Control!$C$144)*AQ157-LP157</f>
        <v>3.2464704755046001</v>
      </c>
      <c r="LV157" s="172">
        <f t="shared" ca="1" si="562"/>
        <v>0.79430000000000012</v>
      </c>
      <c r="LW157" s="170">
        <f t="shared" ca="1" si="563"/>
        <v>1.5886000000000002</v>
      </c>
      <c r="LX157" s="170">
        <f ca="1">($AC157*($LR157/Control!$C$141)+$LM157*$LV157)/($AC157+$LM157)</f>
        <v>0.23530094218323697</v>
      </c>
      <c r="LY157" s="170">
        <f ca="1">($AC157*($LS157/Control!$C$141)+$LM157*$LV157)/($AC157+$LM157)</f>
        <v>0.23530094218323697</v>
      </c>
      <c r="LZ157" s="170">
        <f t="shared" ca="1" si="564"/>
        <v>0.23530094218323697</v>
      </c>
      <c r="MA157" s="170">
        <f t="shared" ca="1" si="565"/>
        <v>0.23530094218323697</v>
      </c>
      <c r="MB157" s="170" t="e">
        <f t="shared" ca="1" si="566"/>
        <v>#N/A</v>
      </c>
      <c r="MC157" s="170">
        <f t="shared" ca="1" si="656"/>
        <v>0.6018</v>
      </c>
      <c r="MD157" s="170">
        <f t="shared" ca="1" si="567"/>
        <v>0.52989392535414004</v>
      </c>
      <c r="ME157" s="170">
        <f ca="1">($AC157*($LT157/Control!$C$141)+$LM157*$LW157)/($AC157+$LM157)</f>
        <v>0.71612369323045078</v>
      </c>
      <c r="MF157" s="170" t="e">
        <f ca="1">IF(Control!$B$16&gt;=1000,0.92,IF(AND(720&lt;=Control!$B$16,1000&gt;Control!$B$16),(0.95+(Control!$B$16-720)*((0.92-0.95)/(1000-720))),IF(AND(360&lt;=Control!$B$16,720&gt;Control!$B$16),(1+(Control!$B$16-360)*((0.95-1)/(720-360))),IF(AND(40&lt;=Control!$B$16,360&gt;Control!$B$16),(1.05+(Control!$B$16-40)*((1.05-1)/(360-40)))))))</f>
        <v>#N/A</v>
      </c>
      <c r="MG157" s="170">
        <f t="shared" ca="1" si="568"/>
        <v>0.71612369323045078</v>
      </c>
      <c r="MH157" s="170" t="e">
        <f t="shared" ca="1" si="693"/>
        <v>#N/A</v>
      </c>
      <c r="MI157" s="170" t="e">
        <f t="shared" ca="1" si="693"/>
        <v>#N/A</v>
      </c>
      <c r="MJ157" s="170" t="e">
        <f ca="1">MAX(0.0001, Control!$C$132*$MI157*$DL157)</f>
        <v>#N/A</v>
      </c>
      <c r="MK157" s="170">
        <f ca="1">1/(0.76+1.5*($MG157/10))-(5-Control!$C$110)*0.1</f>
        <v>1.002845988140797</v>
      </c>
      <c r="ML157" s="173">
        <f ca="1">IF(Control!$C$110&lt;3,$MK157+($MG157-0.6)/(Control!$C$110*(Control!$C$110+3)), MAX(0.1, MIN(0.95,$MK157)))</f>
        <v>0.95</v>
      </c>
      <c r="MM157" s="173">
        <f ca="1">IF(Control!$C$110&lt;3,$MK157+(($MI157/10)-0.6)/(Control!$C$110*(Control!$C$110+3)), MAX(0.1, MIN(0.95,$MK157)))</f>
        <v>0.95</v>
      </c>
      <c r="MN157" s="173">
        <f ca="1">(1-$MM157)*(Control!$C$128-Control!$C$127)+Control!$C$127</f>
        <v>0.16</v>
      </c>
      <c r="MO157" s="170" t="e">
        <f ca="1">MAX(0,MIN(1,($MS157-Control!$C$127)/($MN157-Control!$C$127)))</f>
        <v>#DIV/0!</v>
      </c>
      <c r="MP157" s="173" t="e">
        <f ca="1">1/(0.76+1.5*$MI157)-(5-Control!$C$110)*0.1</f>
        <v>#N/A</v>
      </c>
      <c r="MQ157" s="172" t="e">
        <f t="shared" ca="1" si="685"/>
        <v>#DIV/0!</v>
      </c>
      <c r="MR157" s="168" t="e">
        <f t="shared" ca="1" si="657"/>
        <v>#DIV/0!</v>
      </c>
      <c r="MS157" s="173" t="e">
        <f ca="1">MAX(Control!$C$127, MIN(Control!$C$135, $MR157/MAX(0.0001,$CY157)))</f>
        <v>#DIV/0!</v>
      </c>
      <c r="MT157" s="168" t="e">
        <f ca="1">(Control!$C$128-$MS157)*Control!$C$74</f>
        <v>#DIV/0!</v>
      </c>
      <c r="MU157" s="168" t="e">
        <f ca="1">(Control!$C$135-$MS157)*Control!$C$74</f>
        <v>#DIV/0!</v>
      </c>
      <c r="MV157" s="168" t="e">
        <f t="shared" ca="1" si="658"/>
        <v>#DIV/0!</v>
      </c>
      <c r="MW157" s="168" t="e">
        <f t="shared" ca="1" si="659"/>
        <v>#DIV/0!</v>
      </c>
      <c r="MX157" s="171" t="e">
        <f ca="1">MAX(Control!$C$127, MIN(Control!$C$135, $MW157/MAX(0.0001,Control!$C$119-$CY157)))</f>
        <v>#DIV/0!</v>
      </c>
      <c r="MY157" s="54" t="e">
        <f ca="1">IF(Control!$C$114=1, $CX157*$MX157, 0)</f>
        <v>#DIV/0!</v>
      </c>
      <c r="MZ157" s="54" t="e">
        <f t="shared" ca="1" si="660"/>
        <v>#N/A</v>
      </c>
      <c r="NA157" s="168" t="e">
        <f ca="1">(Control!$C$128-$MX157)*(Control!$C$119-Control!$C$74)</f>
        <v>#DIV/0!</v>
      </c>
      <c r="NB157" s="168" t="e">
        <f ca="1">(Control!$C$135-$MX157)*(Control!$C$119-Control!$C$74)</f>
        <v>#DIV/0!</v>
      </c>
      <c r="NC157" s="174" t="e">
        <f t="shared" ca="1" si="661"/>
        <v>#DIV/0!</v>
      </c>
      <c r="ND157" s="54">
        <f ca="1">IF(Control!$C$58=2, IF(OR(Control!$B$218=$AH157,Control!$B$219=$AH157, Control!$B$220=$AH157, Control!$B$221=$AH157, Control!$B$222=$AH157, Control!$B$223=$AH157, Control!$B$224=$AH157, Control!$B$225=$AH157, Control!$B$226=$AH157, Control!$B$227=$AH157, Control!$B$228=$AH157), 1, 0), 0)</f>
        <v>0</v>
      </c>
      <c r="NE157" s="54">
        <f ca="1">IF($ND157=0,0, VLOOKUP($AH157,Control!$B$218:$C$228,2))</f>
        <v>0</v>
      </c>
      <c r="NF157" s="168" t="e">
        <f ca="1">$CY157*(Control!$C$128-Control!$C$127)</f>
        <v>#N/A</v>
      </c>
      <c r="NG157" s="54" t="e">
        <f ca="1">IF(Control!$C$58=2, $NI156-$NJ156, 0)</f>
        <v>#DIV/0!</v>
      </c>
      <c r="NH157" s="54" t="e">
        <f ca="1">IF(AND(Control!$C$58=1, $MS156&lt;= ($MN156+0.02), $I156&lt;10), 0, IF(Control!$C$58=2, $NG156, 0))</f>
        <v>#DIV/0!</v>
      </c>
      <c r="NI157" s="54" t="e">
        <f ca="1">IF(Control!$C$58=2, $NE157+$NH157,0)</f>
        <v>#DIV/0!</v>
      </c>
      <c r="NJ157" s="54" t="e">
        <f ca="1">IF(AND(Control!$C$58=1, $MS157&lt;= ($MN157+0.02), $I157&lt;10), MAX(0, MIN(10, 0.7*($NF157-$MV157))), IF(Control!$C$58=2, MIN(10,$NI157),0))</f>
        <v>#DIV/0!</v>
      </c>
      <c r="NK157" s="54" t="e">
        <f t="shared" ca="1" si="569"/>
        <v>#DIV/0!</v>
      </c>
      <c r="NL157" s="173" t="e">
        <f ca="1">(1-Control!$C$73)*$I157+$NJ157</f>
        <v>#DIV/0!</v>
      </c>
      <c r="NM157" s="172" t="e">
        <f ca="1">IF($NL157&lt;0.5, $MB157* MAX(0, MIN(1, (SQRT($NC157)-SQRT($NC157-1))*Control!$C$71)),0)</f>
        <v>#DIV/0!</v>
      </c>
      <c r="NN157" s="170" t="e">
        <f ca="1">IF($NL157&gt;=5, $MB157, MAX(0,MIN($MB157, $NM157+$NL157,($MS157-Control!$C$129))))</f>
        <v>#DIV/0!</v>
      </c>
      <c r="NO157" s="54">
        <f>IF(Control!$C$133&lt;&gt;1, Control!$C$135-Control!$C$131, 0)</f>
        <v>0.38</v>
      </c>
      <c r="NP157" s="54" t="e">
        <f t="shared" ca="1" si="570"/>
        <v>#DIV/0!</v>
      </c>
      <c r="NQ157" s="173" t="e">
        <f ca="1">MAX(0,MIN(1,(Control!$C$135-$MS157)/(Control!$C$135-$NO157)))</f>
        <v>#DIV/0!</v>
      </c>
      <c r="NR157" s="170" t="e">
        <f ca="1">IF(Control!$C$133&lt;&gt;1, $NQ157+((1-$NP157/4)*(1-$NQ157)),1)</f>
        <v>#DIV/0!</v>
      </c>
      <c r="NS157" s="170" t="e">
        <f ca="1">IF(Control!$B$31=0,$MJ157,MAX(0,MIN($MV157,$MO157*$NR157*$MJ157)))</f>
        <v>#DIV/0!</v>
      </c>
      <c r="NT157" s="170" t="e">
        <f t="shared" ca="1" si="686"/>
        <v>#DIV/0!</v>
      </c>
      <c r="NU157" s="170" t="e">
        <f t="shared" ca="1" si="662"/>
        <v>#N/A</v>
      </c>
      <c r="NV157" s="170" t="e">
        <f t="shared" ca="1" si="571"/>
        <v>#N/A</v>
      </c>
      <c r="NW157" s="175" t="e">
        <f t="shared" ca="1" si="572"/>
        <v>#DIV/0!</v>
      </c>
      <c r="NX157" s="170" t="e">
        <f ca="1">MIN(Control!$C$72+$MU157, $NW157)</f>
        <v>#DIV/0!</v>
      </c>
      <c r="NY157" s="170" t="e">
        <f ca="1">IF($MT157&lt;=$NX157,MIN(Control!$C$72+$NB157,$NX157-$MT157),0)</f>
        <v>#DIV/0!</v>
      </c>
      <c r="NZ157" s="54" t="e">
        <f ca="1">IF(Control!$C$114=1,  $CX157*($MX157-Control!$C$127), 0)</f>
        <v>#DIV/0!</v>
      </c>
      <c r="OA157" s="170" t="e">
        <f t="shared" ca="1" si="573"/>
        <v>#DIV/0!</v>
      </c>
      <c r="OB157" s="170" t="e">
        <f ca="1">IF($NA157 &lt;=$NY157, MIN(Control!$C$72, $NY157-$NA157), 0)</f>
        <v>#DIV/0!</v>
      </c>
      <c r="OC157" s="168" t="e">
        <f t="shared" ca="1" si="574"/>
        <v>#DIV/0!</v>
      </c>
      <c r="OD157" s="168" t="e">
        <f t="shared" ca="1" si="663"/>
        <v>#DIV/0!</v>
      </c>
      <c r="OE157" s="170">
        <f ca="1">Control!$C$73*$I157</f>
        <v>0</v>
      </c>
      <c r="OF157" s="176" t="e">
        <f t="shared" ca="1" si="575"/>
        <v>#DIV/0!</v>
      </c>
      <c r="OG157" s="168" t="e">
        <f t="shared" ca="1" si="576"/>
        <v>#DIV/0!</v>
      </c>
      <c r="OH157" s="168" t="e">
        <f t="shared" ca="1" si="577"/>
        <v>#DIV/0!</v>
      </c>
      <c r="OI157" s="168" t="e">
        <f t="shared" ca="1" si="578"/>
        <v>#DIV/0!</v>
      </c>
      <c r="OJ157" s="168" t="e">
        <f t="shared" ca="1" si="579"/>
        <v>#DIV/0!</v>
      </c>
      <c r="OK157" s="204" t="e">
        <f t="shared" ca="1" si="580"/>
        <v>#DIV/0!</v>
      </c>
      <c r="OL157" s="177">
        <f>Control!$C$127</f>
        <v>0.15</v>
      </c>
      <c r="OM157" s="182" t="e">
        <f t="shared" ca="1" si="581"/>
        <v>#N/A</v>
      </c>
      <c r="ON157" s="177">
        <f>Control!$C$128</f>
        <v>0.35</v>
      </c>
      <c r="OO157" s="182" t="e">
        <f t="shared" ca="1" si="582"/>
        <v>#N/A</v>
      </c>
      <c r="OP157" s="138">
        <f t="shared" ca="1" si="664"/>
        <v>0</v>
      </c>
      <c r="OQ157" s="138" t="e">
        <f t="shared" ca="1" si="687"/>
        <v>#DIV/0!</v>
      </c>
      <c r="OR157" s="138" t="e">
        <f t="shared" ca="1" si="665"/>
        <v>#DIV/0!</v>
      </c>
      <c r="OS157" s="137" t="e">
        <f t="shared" ca="1" si="688"/>
        <v>#DIV/0!</v>
      </c>
      <c r="OT157" s="139" t="e">
        <f t="shared" ca="1" si="689"/>
        <v>#DIV/0!</v>
      </c>
      <c r="OU157" s="138" t="e">
        <f t="shared" ca="1" si="690"/>
        <v>#N/A</v>
      </c>
      <c r="OV157" s="138" t="e">
        <f t="shared" ca="1" si="691"/>
        <v>#DIV/0!</v>
      </c>
      <c r="OW157" s="138" t="e">
        <f t="shared" ca="1" si="666"/>
        <v>#DIV/0!</v>
      </c>
      <c r="OX157" s="138" t="e">
        <f t="shared" ca="1" si="667"/>
        <v>#DIV/0!</v>
      </c>
      <c r="OY157" s="138" t="e">
        <f t="shared" ca="1" si="668"/>
        <v>#DIV/0!</v>
      </c>
      <c r="OZ157" s="138" t="e">
        <f t="shared" ca="1" si="583"/>
        <v>#DIV/0!</v>
      </c>
      <c r="PA157" s="138" t="e">
        <f t="shared" ca="1" si="584"/>
        <v>#DIV/0!</v>
      </c>
      <c r="PB157" s="55">
        <f>IF(Control!$C$61="T", IF(Control!$C$65="F", IF($AH$6-Control!$C$60&lt;0,0,1), IF(365+$AH$6-Control!$C$60&lt;0,0,1)),0)</f>
        <v>0</v>
      </c>
      <c r="PC157" s="55">
        <f ca="1">IF(Control!$C$65="F", IF($AH$6-$HF157&lt;0,0,1), IF(365+$AH$6-$HF157&lt;0,0,1))</f>
        <v>1</v>
      </c>
      <c r="PD157" s="444">
        <f>Control!$C$118</f>
        <v>1500</v>
      </c>
      <c r="PE157" s="180" t="e">
        <f t="shared" ca="1" si="585"/>
        <v>#N/A</v>
      </c>
      <c r="PF157" s="445">
        <f t="shared" ca="1" si="669"/>
        <v>0.71612369323045078</v>
      </c>
      <c r="PT157" s="186"/>
      <c r="PU157" s="186"/>
      <c r="PV157" s="94"/>
      <c r="PW157" s="94"/>
      <c r="PX157" s="94"/>
      <c r="PY157" s="94"/>
      <c r="PZ157" s="94"/>
      <c r="QA157" s="94"/>
      <c r="QB157" s="94"/>
      <c r="QC157" s="94"/>
      <c r="QD157" s="94"/>
      <c r="QE157" s="94"/>
      <c r="QF157" s="94"/>
      <c r="QG157" s="94"/>
      <c r="QH157" s="94"/>
      <c r="QI157" s="94"/>
      <c r="QJ157" s="94"/>
      <c r="QK157" s="94"/>
      <c r="QL157" s="94"/>
      <c r="QM157" s="94"/>
      <c r="QN157" s="94"/>
      <c r="QO157" s="94"/>
      <c r="QP157" s="94"/>
    </row>
    <row r="158" spans="1:458" s="2" customFormat="1" x14ac:dyDescent="0.2">
      <c r="A158" s="395">
        <v>2</v>
      </c>
      <c r="B158" s="396">
        <v>6</v>
      </c>
      <c r="C158" s="387">
        <f ca="1">Weather_data!$B157</f>
        <v>0</v>
      </c>
      <c r="D158" s="388">
        <f ca="1">Weather_data!$F157</f>
        <v>0</v>
      </c>
      <c r="E158" s="388">
        <f ca="1">Weather_data!$E157</f>
        <v>0</v>
      </c>
      <c r="F158" s="388">
        <f t="shared" ca="1" si="586"/>
        <v>0</v>
      </c>
      <c r="G158" s="388">
        <f ca="1">AVERAGE($D158:$E158)+Control!$B$9</f>
        <v>0</v>
      </c>
      <c r="H158" s="388">
        <f ca="1">Weather_data!$G157</f>
        <v>0</v>
      </c>
      <c r="I158" s="388">
        <f ca="1">Weather_data!$I157</f>
        <v>0</v>
      </c>
      <c r="J158" s="388">
        <f ca="1">Weather_data!$H157</f>
        <v>0</v>
      </c>
      <c r="K158" s="389">
        <f ca="1">Weather_data!$D157</f>
        <v>0</v>
      </c>
      <c r="L158" s="388" t="e">
        <f t="shared" ca="1" si="587"/>
        <v>#N/A</v>
      </c>
      <c r="M158" s="388" t="e">
        <f t="shared" ca="1" si="465"/>
        <v>#N/A</v>
      </c>
      <c r="N158" s="388">
        <f t="shared" ca="1" si="466"/>
        <v>-5.5441049018728268E-8</v>
      </c>
      <c r="O158" s="388">
        <f t="shared" ca="1" si="588"/>
        <v>5.5441049018728267E-7</v>
      </c>
      <c r="P158" s="390">
        <v>3</v>
      </c>
      <c r="Q158" s="388">
        <f ca="1">MAX($G158-Control!$C$107,0)</f>
        <v>0</v>
      </c>
      <c r="R158" s="388">
        <f t="shared" ca="1" si="589"/>
        <v>0</v>
      </c>
      <c r="S158" s="388">
        <f t="shared" ca="1" si="467"/>
        <v>0</v>
      </c>
      <c r="T158" s="388">
        <f t="shared" ca="1" si="468"/>
        <v>0</v>
      </c>
      <c r="U158" s="59">
        <f t="shared" ca="1" si="469"/>
        <v>0</v>
      </c>
      <c r="V158" s="391">
        <f ca="1">MAX(0,MIN(Control!$C$100-Control!$C$99,$G158-Control!$C$99)*Control!$C$63)</f>
        <v>0</v>
      </c>
      <c r="W158" s="388">
        <f t="shared" ca="1" si="590"/>
        <v>0</v>
      </c>
      <c r="X158" s="388">
        <f t="shared" ca="1" si="591"/>
        <v>0.6110000000000001</v>
      </c>
      <c r="Y158" s="388">
        <f t="shared" ca="1" si="470"/>
        <v>0</v>
      </c>
      <c r="Z158" s="388">
        <f t="shared" ca="1" si="592"/>
        <v>0.61058800000000002</v>
      </c>
      <c r="AA158" s="388">
        <f t="shared" ca="1" si="471"/>
        <v>0.6018</v>
      </c>
      <c r="AB158" s="388">
        <f ca="1">101.3*EXP(-0.034*Control!$C$66/($G158+273))</f>
        <v>100.69623283836242</v>
      </c>
      <c r="AC158" s="392">
        <f t="shared" ca="1" si="472"/>
        <v>4.3460251046025113E-2</v>
      </c>
      <c r="AD158" s="392">
        <f t="shared" ca="1" si="473"/>
        <v>4.4450382862832649E-2</v>
      </c>
      <c r="AE158" s="388">
        <f t="shared" ca="1" si="474"/>
        <v>0</v>
      </c>
      <c r="AF158" s="388">
        <f ca="1">MAX(0,$G158-Control!$C$92)</f>
        <v>0</v>
      </c>
      <c r="AG158" s="393">
        <f t="shared" ca="1" si="475"/>
        <v>154</v>
      </c>
      <c r="AH158" s="389">
        <f t="shared" ca="1" si="476"/>
        <v>154</v>
      </c>
      <c r="AI158" s="388">
        <f t="shared" ca="1" si="593"/>
        <v>0.38757087087443132</v>
      </c>
      <c r="AJ158" s="388">
        <f ca="1">IF(Control!$C$60&lt;=0,$HH158,$HI158)</f>
        <v>1</v>
      </c>
      <c r="AK158" s="388">
        <f t="shared" ca="1" si="477"/>
        <v>1.2738512677569573</v>
      </c>
      <c r="AL158" s="388">
        <f t="shared" ca="1" si="478"/>
        <v>-3.6076350240499264E-19</v>
      </c>
      <c r="AM158" s="388">
        <f t="shared" ca="1" si="479"/>
        <v>1.2738512677569573</v>
      </c>
      <c r="AN158" s="388">
        <f t="shared" ca="1" si="480"/>
        <v>0.3902181922044371</v>
      </c>
      <c r="AO158" s="388">
        <f ca="1">-0.10453/COS(Control!$B$8*PI()/180)*COS(AN158)</f>
        <v>-0.15702147105648578</v>
      </c>
      <c r="AP158" s="388">
        <f ca="1">ACOS(AO158-TAN(Control!$B$8*PI()/180)*TAN(AN158))</f>
        <v>2.3233078479710683</v>
      </c>
      <c r="AQ158" s="388">
        <f t="shared" ca="1" si="594"/>
        <v>0</v>
      </c>
      <c r="AR158" s="394">
        <f t="shared" ca="1" si="481"/>
        <v>0</v>
      </c>
      <c r="AS158" s="436">
        <f ca="1">IF(Control!$B$18=2,(IF(OR($AH158=Control!$B$175,$AH158=Control!$B$176,$AH158=Control!$B$177,$AH158=Control!$B$178,$AH158=Control!$B$179,$AH158=Control!$B$180,$AH158=Control!$B$181,$AH158=Control!$B$182,$AH158=Control!$B$183,$AH158=Control!$B$184,$AH158=Control!$B$185),1,0)),0)</f>
        <v>0</v>
      </c>
      <c r="AT158" s="436">
        <f>IF(Control!$B$20=8,IF(AND($AH158&gt;=Control!$B$172,$AH158&lt;=Control!$B$173),1,0),0)</f>
        <v>0</v>
      </c>
      <c r="AU158" s="436">
        <f>IF(Control!$B$20=8,IF($AV157=1,1*$AT158,IF($AT158=1,$AU157+1,$AU157)),0)</f>
        <v>0</v>
      </c>
      <c r="AV158" s="436">
        <f>IF(Control!$B$20=8,IF($AU158&gt;=Control!$B$174,1,0),0)</f>
        <v>0</v>
      </c>
      <c r="AW158" s="436">
        <f ca="1">IF(AND(Control!$B$18=2,Control!$B$171=1), $AV158, $AS158)</f>
        <v>0</v>
      </c>
      <c r="AX158" s="436" t="e">
        <f ca="1">IF(AND(Control!$B$18=1,$EU158&gt;=Control!$B$19),-$AY158,IF(AND(Control!$B$18=2,$AW158=1,$EU158&gt;$DS158),-$AY158, IF(Control!$C$108=0,0, IF(Control!$C$108&lt;&gt;0,1))))</f>
        <v>#N/A</v>
      </c>
      <c r="AY158" s="436" t="e">
        <f t="shared" ca="1" si="595"/>
        <v>#N/A</v>
      </c>
      <c r="AZ158" s="436" t="e">
        <f ca="1">IF(AND(Control!$B$18=1,$EB158&gt;Control!$B$19),$AZ157+1, IF(AND(Control!$B$18=2, $AW158=1, $EB158&gt;$DS158), $AZ157+1,$AZ157))</f>
        <v>#N/A</v>
      </c>
      <c r="BA158" s="587">
        <f>IF(Control!$C$81=0,1,IF($AH158&gt;=Control!$C$82,1,0))</f>
        <v>1</v>
      </c>
      <c r="BB158" s="140" t="e">
        <f ca="1">IF($BA158&gt;$BA157,Control!$C$83,IF($AW158&gt;0,$AW158*Control!$C$84,IF(AND(Control!$B$18=1,EN157&lt;&gt;0),Control!$C$84,0)))</f>
        <v>#N/A</v>
      </c>
      <c r="BC158" s="140" t="e">
        <f t="shared" ca="1" si="596"/>
        <v>#N/A</v>
      </c>
      <c r="BD158" s="140" t="e">
        <f ca="1">BC158*IF(OR($G158&lt;Control!$C$92,$G158&gt;Control!$C$95),0,IF(AND($G158&gt;=Control!$C$92,$G158&lt;=Control!$C$93),$G158-Control!$C$92,IF(AND($G158&gt;Control!$C$93,$G158&lt;=Control!$C$94),Control!$C$93-Control!$C$92,IF(AND($G158&gt;Control!$C$94,$G158&lt;=Control!$C$95),(Control!$C$93-Control!$C$92)*(Control!$C$94-$G158)/(Control!$C$95-Control!$C$94)))))</f>
        <v>#N/A</v>
      </c>
      <c r="BE158" s="140" t="e">
        <f t="shared" ca="1" si="597"/>
        <v>#N/A</v>
      </c>
      <c r="BF158" s="140" t="e">
        <f ca="1">IF($BE158&lt;=Control!$C$86,$BE158,Control!$C$86-$BE158)</f>
        <v>#N/A</v>
      </c>
      <c r="BG158" s="140" t="e">
        <f ca="1">IF(AND($AW158=1,Control!$C$84&lt;9),1,IF($BE158&gt;=Control!$C$86,0,$BC158))</f>
        <v>#N/A</v>
      </c>
      <c r="BH158" s="404" t="e">
        <f ca="1">IF($BG158=0,0,IF($BE158&lt;=Control!$C$86,$BC158*9*($BF158/Control!$C$86),0))</f>
        <v>#N/A</v>
      </c>
      <c r="BI158" s="140" t="e">
        <f ca="1">IF($BG158=1,0,IF($BE158&gt;=Control!$C$86,1,IF(AND($BB158&lt;21,$BB158&gt;=9),1,$BM157)))</f>
        <v>#N/A</v>
      </c>
      <c r="BJ158" s="140" t="e">
        <f ca="1">IF($BF158&lt;0,-$BF158,$BI158*IF(OR($G158&lt;Control!$C$92,$G158&gt;Control!$C$95),0,IF(AND($G158&gt;=Control!$C$92,$G158&lt;=Control!$C$93),$G158-Control!$C$92,IF(AND($G158&gt;Control!$C$93,$G158&lt;=Control!$C$94),Control!$C$93-Control!$C$92,IF(AND($G158&gt;Control!$C$94,$G158&lt;=Control!$C$95),(Control!$C$93-Control!$C$92)*(Control!$C$94-$G158)/(Control!$C$95-Control!$C$94))))))</f>
        <v>#N/A</v>
      </c>
      <c r="BK158" s="140" t="e">
        <f t="shared" ca="1" si="598"/>
        <v>#N/A</v>
      </c>
      <c r="BL158" s="140" t="e">
        <f ca="1">IF($BK158&lt;=Control!$C$87,$BK158,Control!$C$87-$BK158)</f>
        <v>#N/A</v>
      </c>
      <c r="BM158" s="140" t="e">
        <f ca="1">IF(AND($BB158&gt;=9,$BB158&lt;21),1,IF($BK158&gt;=Control!$C$87,0,$BI158))</f>
        <v>#N/A</v>
      </c>
      <c r="BN158" s="404" t="e">
        <f ca="1">IF($BM158=0,0,IF($BK158&lt;=Control!$C$87,$BI158*(9+(21-9)*($BL158/Control!$C$87)),0))</f>
        <v>#N/A</v>
      </c>
      <c r="BO158" s="140" t="e">
        <f ca="1">IF($BM158=1,0,IF($BK158&gt;=Control!$C$87,1,IF(AND($BB158&lt;30,$BB158&gt;=21),1,$BS157)))</f>
        <v>#N/A</v>
      </c>
      <c r="BP158" s="140" t="e">
        <f ca="1">IF($BL158&lt;0,-$BL158,$BO158*IF(OR($G158&lt;Control!$C$92,$G158&gt;Control!$C$95),0,IF(AND($G158&gt;=Control!$C$92,$G158&lt;=Control!$C$93),$G158-Control!$C$92,IF(AND($G158&gt;Control!$C$93,$G158&lt;=Control!$C$94),Control!$C$93-Control!$C$92,IF(AND($G158&gt;Control!$C$94,$G158&lt;=Control!$C$95),(Control!$C$93-Control!$C$92)*(Control!$C$94-$G158)/(Control!$C$95-Control!$C$94))))))</f>
        <v>#N/A</v>
      </c>
      <c r="BQ158" s="140" t="e">
        <f t="shared" ca="1" si="482"/>
        <v>#N/A</v>
      </c>
      <c r="BR158" s="140" t="e">
        <f ca="1">IF($BQ158&lt;=Control!$C$88,$BQ158,Control!$C$88-$BQ158)</f>
        <v>#N/A</v>
      </c>
      <c r="BS158" s="140" t="e">
        <f ca="1">IF(AND($BB158&gt;=21,$BB158&lt;30),1,IF($BQ158&gt;=Control!$C$88,0,$BO158))</f>
        <v>#N/A</v>
      </c>
      <c r="BT158" s="404" t="e">
        <f ca="1">IF($BS158=0,0,IF($BQ158&lt;=Control!$C$88,$BO158*(21+(30-21)*(BR158/Control!$C$88)),0))</f>
        <v>#N/A</v>
      </c>
      <c r="BU158" s="140" t="e">
        <f ca="1">IF(BG158+BM158+BS158=1,0,IF(OR(AND($BB158&lt;60,$BB158&gt;=30),$BQ158&gt;=Control!$C$88),1*$BA158,$BY157))</f>
        <v>#N/A</v>
      </c>
      <c r="BV158" s="140" t="e">
        <f ca="1">IF($BR158&lt;0,-$BR158,$BU158*IF(OR($G158&lt;Control!$C$92,$G158&gt;Control!$C$95),0,IF(AND($G158&gt;=Control!$C$92,$G158&lt;=Control!$C$93),$G158-Control!$C$92,IF(AND($G158&gt;Control!$C$93,$G158&lt;=Control!$C$94),Control!$C$93-Control!$C$92,IF(AND($G158&gt;Control!$C$94,$G158&lt;=Control!$C$95),(Control!$C$93-Control!$C$92)*(Control!$C$94-$G158)/(Control!$C$95-Control!$C$94))))))</f>
        <v>#N/A</v>
      </c>
      <c r="BW158" s="140" t="e">
        <f t="shared" ca="1" si="483"/>
        <v>#N/A</v>
      </c>
      <c r="BX158" s="140" t="e">
        <f ca="1">IF($BW158&lt;=Control!$C$89,$BW158,Control!$C$89-$BW158)</f>
        <v>#N/A</v>
      </c>
      <c r="BY158" s="140" t="e">
        <f ca="1">IF(AND($AJ158&gt;=30,$AJ158&lt;60),1,IF($BW158&gt;=Control!$C$89,0,$BU158))</f>
        <v>#N/A</v>
      </c>
      <c r="BZ158" s="404" t="e">
        <f ca="1">IF($BY158=0,0,IF($BW158&lt;=Control!$C$89,$BU158*(30+(60-30)*(BX158/Control!$C$89)),0))</f>
        <v>#N/A</v>
      </c>
      <c r="CA158" s="140" t="e">
        <f ca="1">IF($BG158+$BM158+$BS158+$BY158=1,0,IF(OR(AND($BB158&lt;65,$BB158&gt;=60),$BW158&gt;=Control!$C$89),1*$BA158,$CE157))</f>
        <v>#N/A</v>
      </c>
      <c r="CB158" s="140" t="e">
        <f ca="1">IF($BX158&lt;0,-$BX158,$CA158*IF(OR($G158&lt;Control!$C$92,$G158&gt;Control!$C$95),0,IF(AND($G158&gt;=Control!$C$92,$G158&lt;=Control!$C$93),$G158-Control!$C$92,IF(AND($G158&gt;Control!$C$93,$G158&lt;=Control!$C$94),Control!$C$93-Control!$C$92,IF(AND($G158&gt;Control!$C$94,$G158&lt;=Control!$C$95),(Control!$C$93-Control!$C$92)*(Control!$C$94-$G158)/(Control!$C$95-Control!$C$94))))))</f>
        <v>#N/A</v>
      </c>
      <c r="CC158" s="140" t="e">
        <f t="shared" ca="1" si="599"/>
        <v>#N/A</v>
      </c>
      <c r="CD158" s="140" t="e">
        <f ca="1">IF($CC158&lt;=Control!$C$90,$CC158,Control!$C$90-$CC158)</f>
        <v>#N/A</v>
      </c>
      <c r="CE158" s="140" t="e">
        <f ca="1">IF(AND($BB158&gt;=60,$BB158&lt;65),1,IF($CC158&gt;=Control!$C$90,0,$CA158))</f>
        <v>#N/A</v>
      </c>
      <c r="CF158" s="404" t="e">
        <f ca="1">IF($CE158=0,0,IF($CC158&lt;=Control!$C$90,$CA158*(60+(65-60)*(CD158/Control!$C$90)),0))</f>
        <v>#N/A</v>
      </c>
      <c r="CG158" s="140" t="e">
        <f ca="1">IF($BG158+$BM158+$BS158+$BY158+$CE158=1,0,IF(OR(AND($BB158&lt;90,$BB158&gt;=65),$CC158&gt;=Control!$C$90),$BA158,$CK157))</f>
        <v>#N/A</v>
      </c>
      <c r="CH158" s="140" t="e">
        <f ca="1">IF($CD158&lt;0,-$CD158,$CG158*IF(OR($G158&lt;Control!$C$92,$G158&gt;Control!$C$95),0,IF(AND($G158&gt;=Control!$C$92,$G158&lt;=Control!$C$93),$G158-Control!$C$92,IF(AND($G158&gt;Control!$C$93,$G158&lt;=Control!$C$94),Control!$C$93-Control!$C$92,IF(AND($G158&gt;Control!$C$94,$G158&lt;=Control!$C$95),(Control!$C$93-Control!$C$92)*(Control!$C$94-$G158)/(Control!$C$95-Control!$C$94))))))</f>
        <v>#N/A</v>
      </c>
      <c r="CI158" s="140" t="e">
        <f t="shared" ca="1" si="600"/>
        <v>#N/A</v>
      </c>
      <c r="CJ158" s="140" t="e">
        <f ca="1">IF($CI158&lt;=Control!$C$91,$CI158,Control!$C$91-$CI158)</f>
        <v>#N/A</v>
      </c>
      <c r="CK158" s="140" t="e">
        <f ca="1">IF(AND($BB158&gt;=65,$BB158&lt;90),1,IF($CI158&gt;=Control!$C$91,0,$CG158))</f>
        <v>#N/A</v>
      </c>
      <c r="CL158" s="404" t="e">
        <f ca="1">IF($CK158=0,0,IF($CI158&lt;=Control!$C$91,$CG158*(65+(90-65)*($CJ158/Control!$C$91)),0))</f>
        <v>#N/A</v>
      </c>
      <c r="CM158" s="140" t="e">
        <f ca="1">IF($BG158+$BM158+$BS158+$BY158+$CE158+$CK158=1,0,IF(OR($BB158&gt;=90,$CI158&gt;=Control!$C$91),$BA158,$CM157))</f>
        <v>#N/A</v>
      </c>
      <c r="CN158" s="140" t="e">
        <f t="shared" ca="1" si="601"/>
        <v>#N/A</v>
      </c>
      <c r="CO158" s="140" t="e">
        <f t="shared" ca="1" si="602"/>
        <v>#N/A</v>
      </c>
      <c r="CP158" s="140" t="e">
        <f t="shared" ca="1" si="603"/>
        <v>#N/A</v>
      </c>
      <c r="CQ158" s="141" t="e">
        <f ca="1">VLOOKUP($CP158,Control!$B$86:$G$91,6)</f>
        <v>#N/A</v>
      </c>
      <c r="CR158" s="141" t="e">
        <f ca="1">(1-$CQ158)*VLOOKUP($CP158,Control!$B$86:$D$91,3)</f>
        <v>#N/A</v>
      </c>
      <c r="CS158" s="141" t="e">
        <f ca="1">(1-$CQ158)*VLOOKUP($CP158,Control!$B$86:$E$91,4)</f>
        <v>#N/A</v>
      </c>
      <c r="CT158" s="141" t="e">
        <f ca="1">(1-$CQ158)*VLOOKUP($CP158,Control!$B$86:$F$91,5)</f>
        <v>#N/A</v>
      </c>
      <c r="CU158" s="141">
        <f t="shared" ca="1" si="604"/>
        <v>0</v>
      </c>
      <c r="CV158" s="583">
        <f t="shared" ca="1" si="605"/>
        <v>0</v>
      </c>
      <c r="CW158" s="142">
        <f t="shared" ca="1" si="606"/>
        <v>154</v>
      </c>
      <c r="CX158" s="612" t="e">
        <f ca="1">IF(Control!$C$114=1,(MIN(Control!$C$120*(IF($NT158-0.01&lt;0,0,1)),Control!$C$119-$CY158)))</f>
        <v>#DIV/0!</v>
      </c>
      <c r="CY158" s="143" t="e">
        <f t="shared" ca="1" si="607"/>
        <v>#N/A</v>
      </c>
      <c r="CZ158" s="144">
        <f t="shared" ca="1" si="484"/>
        <v>0</v>
      </c>
      <c r="DA158" s="144">
        <f t="shared" ca="1" si="485"/>
        <v>0</v>
      </c>
      <c r="DB158" s="144" t="e">
        <f t="shared" ca="1" si="486"/>
        <v>#N/A</v>
      </c>
      <c r="DC158" s="144" t="e">
        <f t="shared" ca="1" si="487"/>
        <v>#N/A</v>
      </c>
      <c r="DD158" s="144" t="e">
        <f t="shared" ca="1" si="692"/>
        <v>#N/A</v>
      </c>
      <c r="DE158" s="143" t="e">
        <f t="shared" ca="1" si="608"/>
        <v>#N/A</v>
      </c>
      <c r="DF158" s="145" t="e">
        <f ca="1">$DR158*EXP(-Control!$C$158*(1-$KH158))</f>
        <v>#N/A</v>
      </c>
      <c r="DG158" s="146" t="e">
        <f ca="1">IF(Control!$C$114=1, $DF158*$EY158, 0)</f>
        <v>#N/A</v>
      </c>
      <c r="DH158" s="147" t="e">
        <f t="shared" ca="1" si="609"/>
        <v>#N/A</v>
      </c>
      <c r="DI158" s="144" t="e">
        <f t="shared" ca="1" si="670"/>
        <v>#N/A</v>
      </c>
      <c r="DJ158" s="147" t="e">
        <f ca="1">$EF158*Control!$C$109</f>
        <v>#N/A</v>
      </c>
      <c r="DK158" s="144" t="e">
        <f t="shared" ca="1" si="610"/>
        <v>#N/A</v>
      </c>
      <c r="DL158" s="144" t="e">
        <f t="shared" ca="1" si="488"/>
        <v>#N/A</v>
      </c>
      <c r="DM158" s="144" t="e">
        <f ca="1">IF(Control!$C$114=1, (1-EXP(-Control!$C$96*$DK158))*$AR158, 0)</f>
        <v>#N/A</v>
      </c>
      <c r="DN158" s="144">
        <f t="shared" ca="1" si="611"/>
        <v>0</v>
      </c>
      <c r="DO158" s="148">
        <f>Control!$C$97</f>
        <v>4</v>
      </c>
      <c r="DP158" s="145" t="e">
        <f t="shared" ca="1" si="612"/>
        <v>#N/A</v>
      </c>
      <c r="DQ158" s="145" t="e">
        <f ca="1">IF(AND($CP158&gt;=0,$CP158&lt;=90),Control!$C$111,Control!$C$111)</f>
        <v>#N/A</v>
      </c>
      <c r="DR158" s="145" t="e">
        <f t="shared" ca="1" si="489"/>
        <v>#N/A</v>
      </c>
      <c r="DS158" s="143" t="e">
        <f ca="1">Control!$B$22/$DR158</f>
        <v>#N/A</v>
      </c>
      <c r="DT158" s="149" t="e">
        <f ca="1">IF(AND(Control!$C$114=1,$KH158&lt;1),$IM158*$DF158, 0)</f>
        <v>#N/A</v>
      </c>
      <c r="DU158" s="144" t="e">
        <f ca="1">$DU157+$DW157</f>
        <v>#N/A</v>
      </c>
      <c r="DV158" s="144">
        <f ca="1">IF($G158-Control!$C$107&lt;=0, 0, 0.83*LN(MAX($G158, 3))-0.8924)</f>
        <v>0</v>
      </c>
      <c r="DW158" s="144" t="e">
        <f t="shared" ca="1" si="490"/>
        <v>#N/A</v>
      </c>
      <c r="DX158" s="150" t="e">
        <f ca="1">MAX(0.01*(1+$CU158/Control!$C$102),0.05*($DK158-Control!$C$97)/Control!$C$97)</f>
        <v>#N/A</v>
      </c>
      <c r="DY158" s="151" t="e">
        <f ca="1">IF(Control!$C$114=1, $DI158*$FS158, 0)</f>
        <v>#N/A</v>
      </c>
      <c r="DZ158" s="196" t="e">
        <f t="shared" ca="1" si="614"/>
        <v>#N/A</v>
      </c>
      <c r="EA158" s="152">
        <f t="shared" ca="1" si="615"/>
        <v>154</v>
      </c>
      <c r="EB158" s="153" t="e">
        <f ca="1">$EB157+$ED157</f>
        <v>#N/A</v>
      </c>
      <c r="EC158" s="153" t="e">
        <f t="shared" ca="1" si="617"/>
        <v>#N/A</v>
      </c>
      <c r="ED158" s="154" t="e">
        <f ca="1">IF(Control!$C$114=1, $HM158*$FY158-$FD158, 0)</f>
        <v>#DIV/0!</v>
      </c>
      <c r="EE158" s="155" t="e">
        <f ca="1">IF(Control!$C$114=1, $HM158*$FZ158-$FF158, 0)</f>
        <v>#DIV/0!</v>
      </c>
      <c r="EF158" s="153" t="e">
        <f t="shared" ca="1" si="671"/>
        <v>#N/A</v>
      </c>
      <c r="EG158" s="155" t="e">
        <f ca="1">IF(Control!$C$114=1, $GX158*$FW158-$FI158, 0)</f>
        <v>#DIV/0!</v>
      </c>
      <c r="EH158" s="153" t="e">
        <f t="shared" ca="1" si="618"/>
        <v>#N/A</v>
      </c>
      <c r="EI158" s="156" t="e">
        <f t="shared" ca="1" si="619"/>
        <v>#N/A</v>
      </c>
      <c r="EJ158" s="155" t="e">
        <f ca="1">IF(Control!$C$114=1, $HM158*$GB158, 0)</f>
        <v>#DIV/0!</v>
      </c>
      <c r="EK158" s="153" t="e">
        <f t="shared" ca="1" si="672"/>
        <v>#N/A</v>
      </c>
      <c r="EL158" s="153" t="e">
        <f t="shared" ca="1" si="491"/>
        <v>#N/A</v>
      </c>
      <c r="EM158" s="153" t="e">
        <f t="shared" ca="1" si="492"/>
        <v>#N/A</v>
      </c>
      <c r="EN158" s="153" t="e">
        <f ca="1">IF(Control!$C$108=1,IF(AND(Control!$B$18=1,$EB158&gt;=Control!$B$19),$EB158-$DS158,IF(AND(Control!$B$18=2,$AW158=1,$EB158&gt;$DS158),$EB158-$DS158,0)))</f>
        <v>#N/A</v>
      </c>
      <c r="EO158" s="153" t="e">
        <f ca="1">IF(Control!$C$108=1,IF(AND(Control!$B$18=1,$EB158&gt;=Control!$B$19),$EF158,IF(AND(Control!$B$18=2,$AW158=1),$EF158,0)))</f>
        <v>#N/A</v>
      </c>
      <c r="EP158" s="153" t="e">
        <f ca="1">IF(Control!$C$108=1,IF(AND(Control!$B$18=1,$EB158&gt;=Control!$B$19),$EK158,IF(AND(Control!$B$18=2,$AW158=1),$EK158,0)))</f>
        <v>#N/A</v>
      </c>
      <c r="EQ158" s="153" t="e">
        <f t="shared" ca="1" si="620"/>
        <v>#N/A</v>
      </c>
      <c r="ER158" s="153" t="e">
        <f t="shared" ca="1" si="621"/>
        <v>#N/A</v>
      </c>
      <c r="ES158" s="153" t="e">
        <f t="shared" ca="1" si="673"/>
        <v>#N/A</v>
      </c>
      <c r="ET158" s="153" t="e">
        <f t="shared" ca="1" si="674"/>
        <v>#N/A</v>
      </c>
      <c r="EU158" s="153" t="e">
        <f t="shared" ca="1" si="622"/>
        <v>#N/A</v>
      </c>
      <c r="EV158" s="153" t="e">
        <f t="shared" ca="1" si="493"/>
        <v>#N/A</v>
      </c>
      <c r="EW158" s="153" t="e">
        <f t="shared" ca="1" si="494"/>
        <v>#N/A</v>
      </c>
      <c r="EX158" s="153" t="e">
        <f t="shared" ca="1" si="495"/>
        <v>#N/A</v>
      </c>
      <c r="EY158" s="157" t="e">
        <f t="shared" ca="1" si="496"/>
        <v>#DIV/0!</v>
      </c>
      <c r="EZ158" s="154" t="e">
        <f t="shared" ca="1" si="497"/>
        <v>#DIV/0!</v>
      </c>
      <c r="FA158" s="153" t="e">
        <f t="shared" ca="1" si="623"/>
        <v>#N/A</v>
      </c>
      <c r="FB158" s="153" t="e">
        <f t="shared" ca="1" si="498"/>
        <v>#N/A</v>
      </c>
      <c r="FC158" s="193" t="e">
        <f t="shared" ca="1" si="499"/>
        <v>#N/A</v>
      </c>
      <c r="FD158" s="158" t="e">
        <f t="shared" ca="1" si="624"/>
        <v>#N/A</v>
      </c>
      <c r="FE158" s="158" t="e">
        <f t="shared" ca="1" si="625"/>
        <v>#N/A</v>
      </c>
      <c r="FF158" s="159" t="e">
        <f t="shared" ca="1" si="500"/>
        <v>#N/A</v>
      </c>
      <c r="FG158" s="160" t="e">
        <f t="shared" ca="1" si="626"/>
        <v>#N/A</v>
      </c>
      <c r="FH158" s="158" t="e">
        <f t="shared" ca="1" si="627"/>
        <v>#N/A</v>
      </c>
      <c r="FI158" s="159" t="e">
        <f t="shared" ca="1" si="501"/>
        <v>#N/A</v>
      </c>
      <c r="FJ158" s="160" t="e">
        <f t="shared" ca="1" si="628"/>
        <v>#N/A</v>
      </c>
      <c r="FK158" s="160" t="e">
        <f t="shared" ca="1" si="502"/>
        <v>#N/A</v>
      </c>
      <c r="FL158" s="160" t="e">
        <f ca="1">$FL157+$FD157</f>
        <v>#N/A</v>
      </c>
      <c r="FM158" s="160" t="e">
        <f t="shared" ca="1" si="503"/>
        <v>#N/A</v>
      </c>
      <c r="FN158" s="158">
        <f t="shared" ca="1" si="629"/>
        <v>0.01</v>
      </c>
      <c r="FO158" s="160">
        <f>Control!$C$101</f>
        <v>50</v>
      </c>
      <c r="FP158" s="150" t="e">
        <f t="shared" ca="1" si="504"/>
        <v>#N/A</v>
      </c>
      <c r="FQ158" s="150" t="e">
        <f ca="1">MAX(0,(Control!$C$112*(($DK158-Control!$C$97)/Control!$C$97)))</f>
        <v>#N/A</v>
      </c>
      <c r="FR158" s="150" t="e">
        <f ca="1">(1-$NT158)*Control!$C$113</f>
        <v>#DIV/0!</v>
      </c>
      <c r="FS158" s="198" t="e">
        <f t="shared" ca="1" si="505"/>
        <v>#N/A</v>
      </c>
      <c r="FT158" s="161">
        <f t="shared" ca="1" si="630"/>
        <v>154</v>
      </c>
      <c r="FU158" s="162" t="e">
        <f ca="1">IF(Control!$B$34=1,VLOOKUP($CP158,Control!$B$86:$G$91,6),Control!$B$35)</f>
        <v>#N/A</v>
      </c>
      <c r="FV158" s="162" t="e">
        <f t="shared" ca="1" si="506"/>
        <v>#DIV/0!</v>
      </c>
      <c r="FW158" s="162" t="e">
        <f ca="1">IF(Control!$B$31=1,$FU158*$FV158,  $FU158)</f>
        <v>#N/A</v>
      </c>
      <c r="FX158" s="162" t="e">
        <f ca="1">IF(Control!$B$34=1,VLOOKUP($CP158,Control!$B$86:$G$91,3),Control!$B$36)</f>
        <v>#N/A</v>
      </c>
      <c r="FY158" s="162" t="e">
        <f t="shared" ca="1" si="507"/>
        <v>#N/A</v>
      </c>
      <c r="FZ158" s="162" t="e">
        <f ca="1">IF(Control!$B$34=1,VLOOKUP($CP158,Control!$B$86:$G$91,4),Control!$B$37)</f>
        <v>#N/A</v>
      </c>
      <c r="GA158" s="162" t="e">
        <f t="shared" ca="1" si="508"/>
        <v>#N/A</v>
      </c>
      <c r="GB158" s="162" t="e">
        <f ca="1">IF(Control!$B$34=1,VLOOKUP($CP158,Control!$B$86:$G$91,5),Control!$B$38)</f>
        <v>#N/A</v>
      </c>
      <c r="GC158" s="162" t="e">
        <f t="shared" ca="1" si="631"/>
        <v>#N/A</v>
      </c>
      <c r="GD158" s="162">
        <f t="shared" ca="1" si="509"/>
        <v>1</v>
      </c>
      <c r="GE158" s="162">
        <f t="shared" ca="1" si="510"/>
        <v>1</v>
      </c>
      <c r="GF158" s="162">
        <f ca="1">IF(AND(Control!$C$104=1, Control!$C$62="F"),$GE158,1)</f>
        <v>1</v>
      </c>
      <c r="GG158" s="162" t="e">
        <f ca="1">IF(Control!$B$16=40,0,IF(AND(Control!$B$16&gt;40,Control!$B$16&lt;=360),(Control!$B$16-40)*((1-0)/(360-40)),IF(AND(Control!$B$16&gt;360,Control!$B$16&lt;=720),(1+(Control!$B$16-360)*((1.25-1)/(720-360))),IF(AND(Control!$B$16&gt;720,Control!$B$16&lt;=1000),(1.25+(Control!$B$16-720)*((1.35-1.25)/(1000-720))),IF(AND(Control!$B$16&gt;1000,Control!$B$16&lt;=2000),(1.35+(Control!$B$16-1000)*0))))))</f>
        <v>#N/A</v>
      </c>
      <c r="GH158" s="162" t="e">
        <f t="shared" ca="1" si="511"/>
        <v>#N/A</v>
      </c>
      <c r="GI158" s="162">
        <f t="shared" ca="1" si="632"/>
        <v>0</v>
      </c>
      <c r="GJ158" s="162">
        <f t="shared" ca="1" si="512"/>
        <v>0</v>
      </c>
      <c r="GK158" s="162">
        <f t="shared" ca="1" si="633"/>
        <v>1</v>
      </c>
      <c r="GL158" s="162">
        <f t="shared" ca="1" si="513"/>
        <v>1</v>
      </c>
      <c r="GM158" s="162" t="e">
        <f ca="1">MAX(0,MIN(1,1-Control!$C$156*(1.0001-$KH158)^2))</f>
        <v>#N/A</v>
      </c>
      <c r="GN158" s="162" t="e">
        <f ca="1">IF(Control!$B$26=1,$KU158,$KX158)</f>
        <v>#N/A</v>
      </c>
      <c r="GO158" s="162" t="e">
        <f ca="1">IF($CP158&lt;=60,Control!$C$105,IF($CP158&gt;=90,Control!$C$106,Control!$C$105+($CP158-60)*((Control!$C$106-Control!$C$105)/(90-60))))</f>
        <v>#N/A</v>
      </c>
      <c r="GP158" s="162" t="e">
        <f t="shared" ca="1" si="514"/>
        <v>#N/A</v>
      </c>
      <c r="GQ158" s="162" t="e">
        <f t="shared" ca="1" si="634"/>
        <v>#N/A</v>
      </c>
      <c r="GR158" s="163" t="e">
        <f t="shared" ca="1" si="515"/>
        <v>#DIV/0!</v>
      </c>
      <c r="GS158" s="162" t="e">
        <f t="shared" ca="1" si="516"/>
        <v>#DIV/0!</v>
      </c>
      <c r="GT158" s="164" t="e">
        <f t="shared" ca="1" si="635"/>
        <v>#N/A</v>
      </c>
      <c r="GU158" s="162" t="e">
        <f t="shared" ca="1" si="636"/>
        <v>#N/A</v>
      </c>
      <c r="GV158" s="162" t="e">
        <f t="shared" ca="1" si="517"/>
        <v>#N/A</v>
      </c>
      <c r="GW158" s="162" t="e">
        <f t="shared" ca="1" si="518"/>
        <v>#DIV/0!</v>
      </c>
      <c r="GX158" s="162" t="e">
        <f t="shared" ca="1" si="637"/>
        <v>#DIV/0!</v>
      </c>
      <c r="GY158" s="162" t="e">
        <f t="shared" ca="1" si="638"/>
        <v>#DIV/0!</v>
      </c>
      <c r="GZ158" s="165" t="e">
        <f t="shared" ca="1" si="519"/>
        <v>#N/A</v>
      </c>
      <c r="HA158" s="162" t="e">
        <f ca="1">IF(Control!$C$114=1, $DI158*$FS158, 0)</f>
        <v>#N/A</v>
      </c>
      <c r="HB158" s="162" t="e">
        <f ca="1">$FA158/Control!$C$64</f>
        <v>#N/A</v>
      </c>
      <c r="HC158" s="162" t="e">
        <f t="shared" ca="1" si="520"/>
        <v>#DIV/0!</v>
      </c>
      <c r="HD158" s="162">
        <f ca="1">-ASIN(SIN(23.45*Control!$C$139)*COS(2*Control!$C$138*($AH158+10)/365))</f>
        <v>0.38757087087443132</v>
      </c>
      <c r="HE158" s="165">
        <f t="shared" ca="1" si="639"/>
        <v>0</v>
      </c>
      <c r="HF158" s="166">
        <f ca="1">IF(AND(Control!$C$61="T",$HE158&gt;=Control!$C$103,Control!$C$114=0),$AH158,Control!$C$59)</f>
        <v>1</v>
      </c>
      <c r="HG158" s="166">
        <f ca="1">IF(AND(Control!$C$61="T",$HE158&gt;=Control!$C$103,Control!$C$114=0),$HF158,Control!$C$59)</f>
        <v>1</v>
      </c>
      <c r="HH158" s="165">
        <f ca="1">IF(AND(OR(Control!$C$60&lt;=0, $AH158= Control!$C$59, Control!$C$60 &gt;0, $AH158 = Control!$C$60)), Control!$C$59, IF(Control!$C$60&gt;0, 0))</f>
        <v>1</v>
      </c>
      <c r="HI158" s="165">
        <f ca="1">IF(AND(OR(Control!$C$60&lt;=0, $AH158= Control!$C$59, Control!$C$60 &gt;0, $AH158 = Control!$C$60)), Control!$C$60, IF(Control!$C$60&lt;=0, 0))</f>
        <v>0</v>
      </c>
      <c r="HJ158" s="166">
        <f ca="1">IF(AND(Control!$C$62="F",$CV158&gt;=Control!$C$102),$AH158,0)</f>
        <v>0</v>
      </c>
      <c r="HK158" s="165" t="e">
        <f t="shared" ca="1" si="676"/>
        <v>#N/A</v>
      </c>
      <c r="HL158" s="166">
        <f ca="1">IF(AND(Control!$C$61="T",$HE158&gt;=Control!$C$103,Control!$C$114=0),$HF158,0)</f>
        <v>0</v>
      </c>
      <c r="HM158" s="201" t="e">
        <f t="shared" ca="1" si="521"/>
        <v>#DIV/0!</v>
      </c>
      <c r="HN158" s="215">
        <f t="shared" ca="1" si="640"/>
        <v>154</v>
      </c>
      <c r="HO158" s="216" t="e">
        <f ca="1">IF(AND($CP158&gt;=0, $CP158&lt;=90), Control!$C$152, Control!$C$152)</f>
        <v>#N/A</v>
      </c>
      <c r="HP158" s="216" t="e">
        <f t="shared" ca="1" si="522"/>
        <v>#N/A</v>
      </c>
      <c r="HQ158" s="217" t="e">
        <f ca="1">IF(OR(Control!$B$26=1,Control!$B$26=2),$KV158,$KS158)</f>
        <v>#DIV/0!</v>
      </c>
      <c r="HR158" s="218" t="e">
        <f t="shared" ca="1" si="677"/>
        <v>#DIV/0!</v>
      </c>
      <c r="HS158" s="216" t="e">
        <f ca="1">Control!$C$154*$HP158</f>
        <v>#N/A</v>
      </c>
      <c r="HT158" s="216" t="e">
        <f ca="1">Control!$C$155*$HP158</f>
        <v>#N/A</v>
      </c>
      <c r="HU158" s="217" t="e">
        <f ca="1">Control!$C$161*$FI158</f>
        <v>#N/A</v>
      </c>
      <c r="HV158" s="218" t="e">
        <f t="shared" ca="1" si="641"/>
        <v>#N/A</v>
      </c>
      <c r="HW158" s="218" t="e">
        <f ca="1">Control!$C$160*$FF158+$IP158*$EO158</f>
        <v>#N/A</v>
      </c>
      <c r="HX158" s="218" t="e">
        <f t="shared" ca="1" si="678"/>
        <v>#N/A</v>
      </c>
      <c r="HY158" s="219" t="e">
        <f ca="1">IF(Control!$C$114=1, $EB158*$FS158, 0)</f>
        <v>#N/A</v>
      </c>
      <c r="HZ158" s="91" t="e">
        <f t="shared" ca="1" si="523"/>
        <v>#N/A</v>
      </c>
      <c r="IA158" s="220" t="e">
        <f ca="1">Control!$C$153*$HO158</f>
        <v>#N/A</v>
      </c>
      <c r="IB158" s="218" t="e">
        <f t="shared" ca="1" si="524"/>
        <v>#N/A</v>
      </c>
      <c r="IC158" s="220" t="e">
        <f ca="1">Control!$C$153*$HT158</f>
        <v>#N/A</v>
      </c>
      <c r="ID158" s="218" t="e">
        <f t="shared" ca="1" si="525"/>
        <v>#N/A</v>
      </c>
      <c r="IE158" s="221" t="e">
        <f ca="1">($EB158*Control!$C$159+$EF158*Control!$C$160)/(IF($GZ158&lt;&gt;0,$GZ158,1))</f>
        <v>#N/A</v>
      </c>
      <c r="IF158" s="216" t="e">
        <f t="shared" ca="1" si="526"/>
        <v>#N/A</v>
      </c>
      <c r="IG158" s="91">
        <f ca="1">IF(OR(Control!$B$198=$AH158,Control!$B$199=$AH158, Control!$B$200=$AH158, Control!$B$201=$AH158, Control!$B$202=$AH158, Control!$B$203=$AH158, Control!$B$204=$AH158, Control!$B$205=$AH158, Control!$B$206=$AH158, Control!$B$207=$AH158), 1, 0)</f>
        <v>0</v>
      </c>
      <c r="IH158" s="91">
        <f ca="1">IF($IG158=0,0, VLOOKUP($AH158,Control!$B$198:$C$207,2))</f>
        <v>0</v>
      </c>
      <c r="II158" s="222">
        <f t="shared" ca="1" si="642"/>
        <v>0</v>
      </c>
      <c r="IJ158" s="91">
        <f>Control!$C$121</f>
        <v>0.7</v>
      </c>
      <c r="IK158" s="218">
        <f t="shared" ca="1" si="527"/>
        <v>0</v>
      </c>
      <c r="IL158" s="217" t="e">
        <f t="shared" ca="1" si="679"/>
        <v>#N/A</v>
      </c>
      <c r="IM158" s="223" t="e">
        <f ca="1">IF(AND(Control!$C$114=1,$KH158&lt;1),$EB158*Control!$C$148*(1-$KH158), 0)</f>
        <v>#N/A</v>
      </c>
      <c r="IN158" s="217" t="e">
        <f t="shared" ca="1" si="528"/>
        <v>#DIV/0!</v>
      </c>
      <c r="IO158" s="91" t="e">
        <f ca="1">MAX(0,$IL158-$EF158*Control!$C$160)</f>
        <v>#N/A</v>
      </c>
      <c r="IP158" s="220" t="e">
        <f t="shared" ca="1" si="529"/>
        <v>#N/A</v>
      </c>
      <c r="IQ158" s="217" t="e">
        <f t="shared" ca="1" si="643"/>
        <v>#N/A</v>
      </c>
      <c r="IR158" s="218" t="e">
        <f t="shared" ca="1" si="530"/>
        <v>#N/A</v>
      </c>
      <c r="IS158" s="217" t="e">
        <f ca="1">Control!$C$159*MAX(0,$FD158-$EN158)</f>
        <v>#N/A</v>
      </c>
      <c r="IT158" s="217" t="e">
        <f t="shared" ca="1" si="680"/>
        <v>#N/A</v>
      </c>
      <c r="IU158" s="217" t="e">
        <f t="shared" ca="1" si="644"/>
        <v>#N/A</v>
      </c>
      <c r="IV158" s="217" t="e">
        <f t="shared" ca="1" si="681"/>
        <v>#N/A</v>
      </c>
      <c r="IW158" s="217" t="e">
        <f ca="1">IF(OR($AW158=1,AND($AW158=0, Control!$B$18=1,$EN158&lt;&gt;0)), $IQ158-$IU158, $IQ158)</f>
        <v>#N/A</v>
      </c>
      <c r="IX158" s="218" t="e">
        <f t="shared" ca="1" si="531"/>
        <v>#N/A</v>
      </c>
      <c r="IY158" s="218" t="e">
        <f ca="1">MAX(0,$IQ158-$EB158*Control!$C$159)</f>
        <v>#N/A</v>
      </c>
      <c r="IZ158" s="218" t="e">
        <f t="shared" ca="1" si="532"/>
        <v>#N/A</v>
      </c>
      <c r="JA158" s="216" t="e">
        <f t="shared" ca="1" si="533"/>
        <v>#N/A</v>
      </c>
      <c r="JB158" s="217" t="e">
        <f t="shared" ca="1" si="534"/>
        <v>#N/A</v>
      </c>
      <c r="JC158" s="222" t="e">
        <f ca="1">MAX(Control!$C$157*$EK158-$JT158, 0)/Control!$C$162</f>
        <v>#N/A</v>
      </c>
      <c r="JD158" s="218" t="e">
        <f t="shared" ca="1" si="535"/>
        <v>#N/A</v>
      </c>
      <c r="JE158" s="218" t="e">
        <f t="shared" ca="1" si="536"/>
        <v>#N/A</v>
      </c>
      <c r="JF158" s="218" t="e">
        <f t="shared" ca="1" si="645"/>
        <v>#N/A</v>
      </c>
      <c r="JG158" s="218" t="e">
        <f t="shared" ca="1" si="537"/>
        <v>#N/A</v>
      </c>
      <c r="JH158" s="217" t="e">
        <f t="shared" ca="1" si="646"/>
        <v>#N/A</v>
      </c>
      <c r="JI158" s="217" t="e">
        <f t="shared" ca="1" si="647"/>
        <v>#N/A</v>
      </c>
      <c r="JJ158" s="217" t="e">
        <f t="shared" ca="1" si="682"/>
        <v>#N/A</v>
      </c>
      <c r="JK158" s="217" t="e">
        <f ca="1">IF(Control!$C$114=1,IF(Control!$B$24=0,MAX(0,$JI158)*$GN158/Control!$C$64,(MAX(0,MIN($JI158,$JJ158*$GN158/Control!$C$64),0))))</f>
        <v>#N/A</v>
      </c>
      <c r="JL158" s="217" t="e">
        <f ca="1">$IK158/Control!$C$64-$JK158+$HQ158</f>
        <v>#N/A</v>
      </c>
      <c r="JM158" s="217" t="e">
        <f ca="1">IF(Control!$C$114=1,($JB158/(IF($JI158&lt;&gt;0,$JI158,1)))*$JK158,0)</f>
        <v>#N/A</v>
      </c>
      <c r="JN158" s="217" t="e">
        <f ca="1">IF(Control!$C$114=1,($JG158/(IF($JI158&lt;&gt;0,$JI158,1)))*$JK158, 0)</f>
        <v>#N/A</v>
      </c>
      <c r="JO158" s="218" t="e">
        <f t="shared" ca="1" si="538"/>
        <v>#N/A</v>
      </c>
      <c r="JP158" s="218" t="e">
        <f ca="1">MIN(($IY158+$IO158)*Control!$C$151, $JF158-$EH158*Control!$C$161)</f>
        <v>#N/A</v>
      </c>
      <c r="JQ158" s="218" t="e">
        <f t="shared" ca="1" si="539"/>
        <v>#N/A</v>
      </c>
      <c r="JR158" s="217" t="e">
        <f ca="1">IF($CP158-Control!$C$150&lt;0, 0, $JQ158/Control!$C$162)</f>
        <v>#N/A</v>
      </c>
      <c r="JS158" s="218" t="e">
        <f t="shared" ca="1" si="540"/>
        <v>#N/A</v>
      </c>
      <c r="JT158" s="218" t="e">
        <f t="shared" ca="1" si="648"/>
        <v>#N/A</v>
      </c>
      <c r="JU158" s="218" t="e">
        <f t="shared" ca="1" si="541"/>
        <v>#N/A</v>
      </c>
      <c r="JV158" s="218" t="e">
        <f t="shared" ca="1" si="542"/>
        <v>#N/A</v>
      </c>
      <c r="JW158" s="216" t="e">
        <f t="shared" ca="1" si="543"/>
        <v>#N/A</v>
      </c>
      <c r="JX158" s="91" t="e">
        <f t="shared" ca="1" si="544"/>
        <v>#N/A</v>
      </c>
      <c r="JY158" s="218" t="e">
        <f t="shared" ca="1" si="545"/>
        <v>#N/A</v>
      </c>
      <c r="JZ158" s="217" t="e">
        <f ca="1">IF(Control!$C$114=1,($IZ158/(IF($JI158&lt;&gt;0,$JI158,1)))*$JK158, 0)</f>
        <v>#N/A</v>
      </c>
      <c r="KA158" s="218" t="e">
        <f t="shared" ca="1" si="683"/>
        <v>#N/A</v>
      </c>
      <c r="KB158" s="218" t="e">
        <f t="shared" ca="1" si="649"/>
        <v>#N/A</v>
      </c>
      <c r="KC158" s="218" t="e">
        <f t="shared" ca="1" si="546"/>
        <v>#N/A</v>
      </c>
      <c r="KD158" s="218" t="e">
        <f t="shared" ca="1" si="547"/>
        <v>#N/A</v>
      </c>
      <c r="KE158" s="218" t="e">
        <f t="shared" ca="1" si="548"/>
        <v>#N/A</v>
      </c>
      <c r="KF158" s="218" t="e">
        <f t="shared" ca="1" si="549"/>
        <v>#N/A</v>
      </c>
      <c r="KG158" s="216" t="e">
        <f t="shared" ca="1" si="550"/>
        <v>#N/A</v>
      </c>
      <c r="KH158" s="221" t="e">
        <f ca="1">IF(Control!$B$24=0,1,MAX(0.001,MIN(1,IF(($IF158-$IE158)&lt;&gt;0,($KG158-$IE158)/($IF158-$IE158),1))))</f>
        <v>#N/A</v>
      </c>
      <c r="KI158" s="222" t="e">
        <f ca="1">IF(Control!$C$114=1, $KI157+ $KH157, 0)</f>
        <v>#N/A</v>
      </c>
      <c r="KJ158" s="217" t="e">
        <f t="shared" ca="1" si="551"/>
        <v>#N/A</v>
      </c>
      <c r="KK158" s="218" t="e">
        <f t="shared" ca="1" si="552"/>
        <v>#N/A</v>
      </c>
      <c r="KL158" s="274" t="e">
        <f ca="1">IF(Control!$B$26=3,4000000000*EXP(-8400/($G158+273)),IF(Control!$B$26=4,4000000000*EXP(-8400/($G158+273))*($KT158),0))</f>
        <v>#DIV/0!</v>
      </c>
      <c r="KM158" s="274" t="e">
        <f ca="1">IF(Control!$B$26=3,5600000000000*EXP(-9800/($G158+273)),IF(Control!$B$26=4,5600000000000*EXP(-9800/($G158+273))*$KT158,0))</f>
        <v>#DIV/0!</v>
      </c>
      <c r="KN158" s="454" t="e">
        <f t="shared" ca="1" si="650"/>
        <v>#DIV/0!</v>
      </c>
      <c r="KO158" s="274" t="e">
        <f t="shared" ca="1" si="651"/>
        <v>#DIV/0!</v>
      </c>
      <c r="KP158" s="454" t="e">
        <f t="shared" ca="1" si="553"/>
        <v>#DIV/0!</v>
      </c>
      <c r="KQ158" s="454" t="e">
        <f t="shared" ca="1" si="554"/>
        <v>#DIV/0!</v>
      </c>
      <c r="KR158" s="454" t="e">
        <f t="shared" ca="1" si="555"/>
        <v>#DIV/0!</v>
      </c>
      <c r="KS158" s="454" t="e">
        <f t="shared" ca="1" si="556"/>
        <v>#DIV/0!</v>
      </c>
      <c r="KT158" s="455" t="e">
        <f t="shared" ca="1" si="557"/>
        <v>#DIV/0!</v>
      </c>
      <c r="KU158" s="456" t="e">
        <f ca="1">IF($CP158-Control!$C$149&lt;0, IF($NT158-0.01&lt;0,0,1),0)</f>
        <v>#N/A</v>
      </c>
      <c r="KV158" s="456" t="e">
        <f ca="1">IF(Control!$C$114=1,MAX(0,MIN(Control!$C$125*$KW158*$GN158,$KW158)))</f>
        <v>#DIV/0!</v>
      </c>
      <c r="KW158" s="456" t="e">
        <f t="shared" ca="1" si="684"/>
        <v>#DIV/0!</v>
      </c>
      <c r="KX158" s="457" t="e">
        <f ca="1">IF($CP158-Control!$C$149&lt;0, IF($MR158-$OM158&lt;0,0,1),0)</f>
        <v>#N/A</v>
      </c>
      <c r="KY158" s="167">
        <f t="shared" ca="1" si="652"/>
        <v>154</v>
      </c>
      <c r="KZ158" s="168">
        <f ca="1">1370*(1+0.033*COS(2*Control!$C$138*$AH158/365))</f>
        <v>1330.1224767433976</v>
      </c>
      <c r="LA158" s="169">
        <f t="shared" ca="1" si="653"/>
        <v>0.97089241517645686</v>
      </c>
      <c r="LB158" s="169">
        <f t="shared" ca="1" si="654"/>
        <v>0.38952830954818274</v>
      </c>
      <c r="LC158" s="169">
        <f ca="1">ACOS(-TAN((2*Control!$B$8/360))*TAN(Calculations!$LB158))</f>
        <v>1.6931040004428366</v>
      </c>
      <c r="LD158" s="169">
        <f ca="1">((24*60)/PI())*0.082*$LA158*(($LC158*SIN(Control!$B$8*2*PI()/360))*SIN($LB158)+COS(Control!$B$8*2*PI()/360)*COS($LB158)*SIN($LC158))</f>
        <v>39.117439692224053</v>
      </c>
      <c r="LE158" s="170">
        <f t="shared" ca="1" si="558"/>
        <v>40.610587782395278</v>
      </c>
      <c r="LF158" s="170">
        <f ca="1">SIN(Control!$C$139*Control!$B$8)*SIN($HD158)</f>
        <v>0.2978217288731107</v>
      </c>
      <c r="LG158" s="170">
        <f ca="1">COS(Control!$C$139*Control!$B$8)*COS($HD158)</f>
        <v>0.56999622725498944</v>
      </c>
      <c r="LH158" s="170">
        <f ca="1">12*(1+2*ASIN(MAX(-1,MIN(1,$LF158/$LG158))/Control!$C$138))</f>
        <v>16.010213925299261</v>
      </c>
      <c r="LI158" s="170">
        <f ca="1">12*(1+2*ASIN(MAX(-1,MIN(1,(-SIN(-4*Control!$C$139)+$LF158)/$LG158))/Control!$C$138))</f>
        <v>16.961768209226847</v>
      </c>
      <c r="LJ158" s="168">
        <f ca="1">3600*($LH158*$LF158+24*$LG158*SQRT(1-$LK158*$LK158)/Control!$C$138)</f>
        <v>30531.464953380928</v>
      </c>
      <c r="LK158" s="170">
        <f t="shared" ca="1" si="559"/>
        <v>0.52249771951539481</v>
      </c>
      <c r="LL158" s="170">
        <f t="shared" ca="1" si="560"/>
        <v>0</v>
      </c>
      <c r="LM158" s="171">
        <f ca="1">Control!$C$145*$AB158</f>
        <v>6.6660906138995932E-2</v>
      </c>
      <c r="LN158" s="170">
        <f t="shared" ca="1" si="655"/>
        <v>0.54</v>
      </c>
      <c r="LO158" s="170">
        <f t="shared" ca="1" si="561"/>
        <v>0</v>
      </c>
      <c r="LP158" s="170">
        <f ca="1">Control!$C$140*((($D158+273.16)^4+($E158+273.16)^4)/2)*(0.34-0.14*SQRT($Y158))*(1.35*$AQ158/(0.75*$LD158)-0.35)</f>
        <v>-3.2464704755046001</v>
      </c>
      <c r="LQ158" s="170">
        <f ca="1">Control!$C$140*($G158+273)^4*(0.56-0.079*SQRT($Y158*10))*(0.1+0.9*$LO158)</f>
        <v>1.5241745131704001</v>
      </c>
      <c r="LR158" s="170">
        <f ca="1">$AQ158*(1-Control!$C$142)-$LQ158</f>
        <v>-1.5241745131704001</v>
      </c>
      <c r="LS158" s="170">
        <f ca="1">$AQ158*(1-Control!$C$143)-$LQ158</f>
        <v>-1.5241745131704001</v>
      </c>
      <c r="LT158" s="170">
        <f ca="1">$AQ158*(1-Control!$C$144)-$LQ158</f>
        <v>-1.5241745131704001</v>
      </c>
      <c r="LU158" s="169">
        <f ca="1">(1-Control!$C$144)*AQ158-LP158</f>
        <v>3.2464704755046001</v>
      </c>
      <c r="LV158" s="172">
        <f t="shared" ca="1" si="562"/>
        <v>0.79430000000000012</v>
      </c>
      <c r="LW158" s="170">
        <f t="shared" ca="1" si="563"/>
        <v>1.5886000000000002</v>
      </c>
      <c r="LX158" s="170">
        <f ca="1">($AC158*($LR158/Control!$C$141)+$LM158*$LV158)/($AC158+$LM158)</f>
        <v>0.23530094218323697</v>
      </c>
      <c r="LY158" s="170">
        <f ca="1">($AC158*($LS158/Control!$C$141)+$LM158*$LV158)/($AC158+$LM158)</f>
        <v>0.23530094218323697</v>
      </c>
      <c r="LZ158" s="170">
        <f t="shared" ca="1" si="564"/>
        <v>0.23530094218323697</v>
      </c>
      <c r="MA158" s="170">
        <f t="shared" ca="1" si="565"/>
        <v>0.23530094218323697</v>
      </c>
      <c r="MB158" s="170" t="e">
        <f t="shared" ca="1" si="566"/>
        <v>#N/A</v>
      </c>
      <c r="MC158" s="170">
        <f t="shared" ca="1" si="656"/>
        <v>0.6018</v>
      </c>
      <c r="MD158" s="170">
        <f t="shared" ca="1" si="567"/>
        <v>0.52989392535414004</v>
      </c>
      <c r="ME158" s="170">
        <f ca="1">($AC158*($LT158/Control!$C$141)+$LM158*$LW158)/($AC158+$LM158)</f>
        <v>0.71612369323045078</v>
      </c>
      <c r="MF158" s="170" t="e">
        <f ca="1">IF(Control!$B$16&gt;=1000,0.92,IF(AND(720&lt;=Control!$B$16,1000&gt;Control!$B$16),(0.95+(Control!$B$16-720)*((0.92-0.95)/(1000-720))),IF(AND(360&lt;=Control!$B$16,720&gt;Control!$B$16),(1+(Control!$B$16-360)*((0.95-1)/(720-360))),IF(AND(40&lt;=Control!$B$16,360&gt;Control!$B$16),(1.05+(Control!$B$16-40)*((1.05-1)/(360-40)))))))</f>
        <v>#N/A</v>
      </c>
      <c r="MG158" s="170">
        <f t="shared" ca="1" si="568"/>
        <v>0.71612369323045078</v>
      </c>
      <c r="MH158" s="170" t="e">
        <f t="shared" ca="1" si="693"/>
        <v>#N/A</v>
      </c>
      <c r="MI158" s="170" t="e">
        <f t="shared" ca="1" si="693"/>
        <v>#N/A</v>
      </c>
      <c r="MJ158" s="170" t="e">
        <f ca="1">MAX(0.0001, Control!$C$132*$MI158*$DL158)</f>
        <v>#N/A</v>
      </c>
      <c r="MK158" s="170">
        <f ca="1">1/(0.76+1.5*($MG158/10))-(5-Control!$C$110)*0.1</f>
        <v>1.002845988140797</v>
      </c>
      <c r="ML158" s="173">
        <f ca="1">IF(Control!$C$110&lt;3,$MK158+($MG158-0.6)/(Control!$C$110*(Control!$C$110+3)), MAX(0.1, MIN(0.95,$MK158)))</f>
        <v>0.95</v>
      </c>
      <c r="MM158" s="173">
        <f ca="1">IF(Control!$C$110&lt;3,$MK158+(($MI158/10)-0.6)/(Control!$C$110*(Control!$C$110+3)), MAX(0.1, MIN(0.95,$MK158)))</f>
        <v>0.95</v>
      </c>
      <c r="MN158" s="173">
        <f ca="1">(1-$MM158)*(Control!$C$128-Control!$C$127)+Control!$C$127</f>
        <v>0.16</v>
      </c>
      <c r="MO158" s="170" t="e">
        <f ca="1">MAX(0,MIN(1,($MS158-Control!$C$127)/($MN158-Control!$C$127)))</f>
        <v>#DIV/0!</v>
      </c>
      <c r="MP158" s="173" t="e">
        <f ca="1">1/(0.76+1.5*$MI158)-(5-Control!$C$110)*0.1</f>
        <v>#N/A</v>
      </c>
      <c r="MQ158" s="172" t="e">
        <f t="shared" ca="1" si="685"/>
        <v>#DIV/0!</v>
      </c>
      <c r="MR158" s="168" t="e">
        <f t="shared" ca="1" si="657"/>
        <v>#DIV/0!</v>
      </c>
      <c r="MS158" s="173" t="e">
        <f ca="1">MAX(Control!$C$127, MIN(Control!$C$135, $MR158/MAX(0.0001,$CY158)))</f>
        <v>#DIV/0!</v>
      </c>
      <c r="MT158" s="168" t="e">
        <f ca="1">(Control!$C$128-$MS158)*Control!$C$74</f>
        <v>#DIV/0!</v>
      </c>
      <c r="MU158" s="168" t="e">
        <f ca="1">(Control!$C$135-$MS158)*Control!$C$74</f>
        <v>#DIV/0!</v>
      </c>
      <c r="MV158" s="168" t="e">
        <f t="shared" ca="1" si="658"/>
        <v>#DIV/0!</v>
      </c>
      <c r="MW158" s="168" t="e">
        <f t="shared" ca="1" si="659"/>
        <v>#DIV/0!</v>
      </c>
      <c r="MX158" s="171" t="e">
        <f ca="1">MAX(Control!$C$127, MIN(Control!$C$135, $MW158/MAX(0.0001,Control!$C$119-$CY158)))</f>
        <v>#DIV/0!</v>
      </c>
      <c r="MY158" s="54" t="e">
        <f ca="1">IF(Control!$C$114=1, $CX158*$MX158, 0)</f>
        <v>#DIV/0!</v>
      </c>
      <c r="MZ158" s="54" t="e">
        <f t="shared" ca="1" si="660"/>
        <v>#N/A</v>
      </c>
      <c r="NA158" s="168" t="e">
        <f ca="1">(Control!$C$128-$MX158)*(Control!$C$119-Control!$C$74)</f>
        <v>#DIV/0!</v>
      </c>
      <c r="NB158" s="168" t="e">
        <f ca="1">(Control!$C$135-$MX158)*(Control!$C$119-Control!$C$74)</f>
        <v>#DIV/0!</v>
      </c>
      <c r="NC158" s="174" t="e">
        <f t="shared" ca="1" si="661"/>
        <v>#DIV/0!</v>
      </c>
      <c r="ND158" s="54">
        <f ca="1">IF(Control!$C$58=2, IF(OR(Control!$B$218=$AH158,Control!$B$219=$AH158, Control!$B$220=$AH158, Control!$B$221=$AH158, Control!$B$222=$AH158, Control!$B$223=$AH158, Control!$B$224=$AH158, Control!$B$225=$AH158, Control!$B$226=$AH158, Control!$B$227=$AH158, Control!$B$228=$AH158), 1, 0), 0)</f>
        <v>0</v>
      </c>
      <c r="NE158" s="54">
        <f ca="1">IF($ND158=0,0, VLOOKUP($AH158,Control!$B$218:$C$228,2))</f>
        <v>0</v>
      </c>
      <c r="NF158" s="168" t="e">
        <f ca="1">$CY158*(Control!$C$128-Control!$C$127)</f>
        <v>#N/A</v>
      </c>
      <c r="NG158" s="54" t="e">
        <f ca="1">IF(Control!$C$58=2, $NI157-$NJ157, 0)</f>
        <v>#DIV/0!</v>
      </c>
      <c r="NH158" s="54" t="e">
        <f ca="1">IF(AND(Control!$C$58=1, $MS157&lt;= ($MN157+0.02), $I157&lt;10), 0, IF(Control!$C$58=2, $NG157, 0))</f>
        <v>#DIV/0!</v>
      </c>
      <c r="NI158" s="54" t="e">
        <f ca="1">IF(Control!$C$58=2, $NE158+$NH158,0)</f>
        <v>#DIV/0!</v>
      </c>
      <c r="NJ158" s="54" t="e">
        <f ca="1">IF(AND(Control!$C$58=1, $MS158&lt;= ($MN158+0.02), $I158&lt;10), MAX(0, MIN(10, 0.7*($NF158-$MV158))), IF(Control!$C$58=2, MIN(10,$NI158),0))</f>
        <v>#DIV/0!</v>
      </c>
      <c r="NK158" s="54" t="e">
        <f t="shared" ca="1" si="569"/>
        <v>#DIV/0!</v>
      </c>
      <c r="NL158" s="173" t="e">
        <f ca="1">(1-Control!$C$73)*$I158+$NJ158</f>
        <v>#DIV/0!</v>
      </c>
      <c r="NM158" s="172" t="e">
        <f ca="1">IF($NL158&lt;0.5, $MB158* MAX(0, MIN(1, (SQRT($NC158)-SQRT($NC158-1))*Control!$C$71)),0)</f>
        <v>#DIV/0!</v>
      </c>
      <c r="NN158" s="170" t="e">
        <f ca="1">IF($NL158&gt;=5, $MB158, MAX(0,MIN($MB158, $NM158+$NL158,($MS158-Control!$C$129))))</f>
        <v>#DIV/0!</v>
      </c>
      <c r="NO158" s="54">
        <f>IF(Control!$C$133&lt;&gt;1, Control!$C$135-Control!$C$131, 0)</f>
        <v>0.38</v>
      </c>
      <c r="NP158" s="54" t="e">
        <f t="shared" ca="1" si="570"/>
        <v>#DIV/0!</v>
      </c>
      <c r="NQ158" s="173" t="e">
        <f ca="1">MAX(0,MIN(1,(Control!$C$135-$MS158)/(Control!$C$135-$NO158)))</f>
        <v>#DIV/0!</v>
      </c>
      <c r="NR158" s="170" t="e">
        <f ca="1">IF(Control!$C$133&lt;&gt;1, $NQ158+((1-$NP158/4)*(1-$NQ158)),1)</f>
        <v>#DIV/0!</v>
      </c>
      <c r="NS158" s="170" t="e">
        <f ca="1">IF(Control!$B$31=0,$MJ158,MAX(0,MIN($MV158,$MO158*$NR158*$MJ158)))</f>
        <v>#DIV/0!</v>
      </c>
      <c r="NT158" s="170" t="e">
        <f t="shared" ca="1" si="686"/>
        <v>#DIV/0!</v>
      </c>
      <c r="NU158" s="170" t="e">
        <f t="shared" ca="1" si="662"/>
        <v>#N/A</v>
      </c>
      <c r="NV158" s="170" t="e">
        <f t="shared" ca="1" si="571"/>
        <v>#N/A</v>
      </c>
      <c r="NW158" s="175" t="e">
        <f t="shared" ca="1" si="572"/>
        <v>#DIV/0!</v>
      </c>
      <c r="NX158" s="170" t="e">
        <f ca="1">MIN(Control!$C$72+$MU158, $NW158)</f>
        <v>#DIV/0!</v>
      </c>
      <c r="NY158" s="170" t="e">
        <f ca="1">IF($MT158&lt;=$NX158,MIN(Control!$C$72+$NB158,$NX158-$MT158),0)</f>
        <v>#DIV/0!</v>
      </c>
      <c r="NZ158" s="54" t="e">
        <f ca="1">IF(Control!$C$114=1,  $CX158*($MX158-Control!$C$127), 0)</f>
        <v>#DIV/0!</v>
      </c>
      <c r="OA158" s="170" t="e">
        <f t="shared" ca="1" si="573"/>
        <v>#DIV/0!</v>
      </c>
      <c r="OB158" s="170" t="e">
        <f ca="1">IF($NA158 &lt;=$NY158, MIN(Control!$C$72, $NY158-$NA158), 0)</f>
        <v>#DIV/0!</v>
      </c>
      <c r="OC158" s="168" t="e">
        <f t="shared" ca="1" si="574"/>
        <v>#DIV/0!</v>
      </c>
      <c r="OD158" s="168" t="e">
        <f t="shared" ca="1" si="663"/>
        <v>#DIV/0!</v>
      </c>
      <c r="OE158" s="170">
        <f ca="1">Control!$C$73*$I158</f>
        <v>0</v>
      </c>
      <c r="OF158" s="176" t="e">
        <f t="shared" ca="1" si="575"/>
        <v>#DIV/0!</v>
      </c>
      <c r="OG158" s="168" t="e">
        <f t="shared" ca="1" si="576"/>
        <v>#DIV/0!</v>
      </c>
      <c r="OH158" s="168" t="e">
        <f t="shared" ca="1" si="577"/>
        <v>#DIV/0!</v>
      </c>
      <c r="OI158" s="168" t="e">
        <f t="shared" ca="1" si="578"/>
        <v>#DIV/0!</v>
      </c>
      <c r="OJ158" s="168" t="e">
        <f t="shared" ca="1" si="579"/>
        <v>#DIV/0!</v>
      </c>
      <c r="OK158" s="204" t="e">
        <f t="shared" ca="1" si="580"/>
        <v>#DIV/0!</v>
      </c>
      <c r="OL158" s="177">
        <f>Control!$C$127</f>
        <v>0.15</v>
      </c>
      <c r="OM158" s="182" t="e">
        <f t="shared" ca="1" si="581"/>
        <v>#N/A</v>
      </c>
      <c r="ON158" s="177">
        <f>Control!$C$128</f>
        <v>0.35</v>
      </c>
      <c r="OO158" s="182" t="e">
        <f t="shared" ca="1" si="582"/>
        <v>#N/A</v>
      </c>
      <c r="OP158" s="138">
        <f t="shared" ca="1" si="664"/>
        <v>0</v>
      </c>
      <c r="OQ158" s="138" t="e">
        <f t="shared" ca="1" si="687"/>
        <v>#DIV/0!</v>
      </c>
      <c r="OR158" s="138" t="e">
        <f t="shared" ca="1" si="665"/>
        <v>#DIV/0!</v>
      </c>
      <c r="OS158" s="137" t="e">
        <f t="shared" ca="1" si="688"/>
        <v>#DIV/0!</v>
      </c>
      <c r="OT158" s="139" t="e">
        <f t="shared" ca="1" si="689"/>
        <v>#DIV/0!</v>
      </c>
      <c r="OU158" s="138" t="e">
        <f t="shared" ca="1" si="690"/>
        <v>#N/A</v>
      </c>
      <c r="OV158" s="138" t="e">
        <f t="shared" ca="1" si="691"/>
        <v>#DIV/0!</v>
      </c>
      <c r="OW158" s="138" t="e">
        <f t="shared" ca="1" si="666"/>
        <v>#DIV/0!</v>
      </c>
      <c r="OX158" s="138" t="e">
        <f t="shared" ca="1" si="667"/>
        <v>#DIV/0!</v>
      </c>
      <c r="OY158" s="138" t="e">
        <f t="shared" ca="1" si="668"/>
        <v>#DIV/0!</v>
      </c>
      <c r="OZ158" s="138" t="e">
        <f t="shared" ca="1" si="583"/>
        <v>#DIV/0!</v>
      </c>
      <c r="PA158" s="138" t="e">
        <f t="shared" ca="1" si="584"/>
        <v>#DIV/0!</v>
      </c>
      <c r="PB158" s="55">
        <f>IF(Control!$C$61="T", IF(Control!$C$65="F", IF($AH$6-Control!$C$60&lt;0,0,1), IF(365+$AH$6-Control!$C$60&lt;0,0,1)),0)</f>
        <v>0</v>
      </c>
      <c r="PC158" s="55">
        <f ca="1">IF(Control!$C$65="F", IF($AH$6-$HF158&lt;0,0,1), IF(365+$AH$6-$HF158&lt;0,0,1))</f>
        <v>1</v>
      </c>
      <c r="PD158" s="444">
        <f>Control!$C$118</f>
        <v>1500</v>
      </c>
      <c r="PE158" s="180" t="e">
        <f t="shared" ca="1" si="585"/>
        <v>#N/A</v>
      </c>
      <c r="PF158" s="445">
        <f t="shared" ca="1" si="669"/>
        <v>0.71612369323045078</v>
      </c>
      <c r="PT158" s="186"/>
      <c r="PU158" s="186"/>
      <c r="PV158" s="94"/>
      <c r="PW158" s="94"/>
      <c r="PX158" s="94"/>
      <c r="PY158" s="94"/>
      <c r="PZ158" s="94"/>
      <c r="QA158" s="94"/>
      <c r="QB158" s="94"/>
      <c r="QC158" s="94"/>
      <c r="QD158" s="94"/>
      <c r="QE158" s="94"/>
      <c r="QF158" s="94"/>
      <c r="QG158" s="94"/>
      <c r="QH158" s="94"/>
      <c r="QI158" s="94"/>
      <c r="QJ158" s="94"/>
      <c r="QK158" s="94"/>
      <c r="QL158" s="94"/>
      <c r="QM158" s="94"/>
      <c r="QN158" s="94"/>
      <c r="QO158" s="94"/>
      <c r="QP158" s="94"/>
    </row>
    <row r="159" spans="1:458" s="2" customFormat="1" x14ac:dyDescent="0.2">
      <c r="A159" s="395">
        <v>3</v>
      </c>
      <c r="B159" s="396">
        <v>6</v>
      </c>
      <c r="C159" s="387">
        <f ca="1">Weather_data!$B158</f>
        <v>0</v>
      </c>
      <c r="D159" s="388">
        <f ca="1">Weather_data!$F158</f>
        <v>0</v>
      </c>
      <c r="E159" s="388">
        <f ca="1">Weather_data!$E158</f>
        <v>0</v>
      </c>
      <c r="F159" s="388">
        <f t="shared" ca="1" si="586"/>
        <v>0</v>
      </c>
      <c r="G159" s="388">
        <f ca="1">AVERAGE($D159:$E159)+Control!$B$9</f>
        <v>0</v>
      </c>
      <c r="H159" s="388">
        <f ca="1">Weather_data!$G158</f>
        <v>0</v>
      </c>
      <c r="I159" s="388">
        <f ca="1">Weather_data!$I158</f>
        <v>0</v>
      </c>
      <c r="J159" s="388">
        <f ca="1">Weather_data!$H158</f>
        <v>0</v>
      </c>
      <c r="K159" s="389">
        <f ca="1">Weather_data!$D158</f>
        <v>0</v>
      </c>
      <c r="L159" s="388" t="e">
        <f t="shared" ca="1" si="587"/>
        <v>#N/A</v>
      </c>
      <c r="M159" s="388" t="e">
        <f t="shared" ca="1" si="465"/>
        <v>#N/A</v>
      </c>
      <c r="N159" s="388">
        <f t="shared" ca="1" si="466"/>
        <v>-4.9896944116855437E-8</v>
      </c>
      <c r="O159" s="388">
        <f t="shared" ca="1" si="588"/>
        <v>4.9896944116855438E-7</v>
      </c>
      <c r="P159" s="390">
        <v>3</v>
      </c>
      <c r="Q159" s="388">
        <f ca="1">MAX($G159-Control!$C$107,0)</f>
        <v>0</v>
      </c>
      <c r="R159" s="388">
        <f t="shared" ca="1" si="589"/>
        <v>0</v>
      </c>
      <c r="S159" s="388">
        <f t="shared" ca="1" si="467"/>
        <v>0</v>
      </c>
      <c r="T159" s="388">
        <f t="shared" ca="1" si="468"/>
        <v>0</v>
      </c>
      <c r="U159" s="59">
        <f t="shared" ca="1" si="469"/>
        <v>0</v>
      </c>
      <c r="V159" s="391">
        <f ca="1">MAX(0,MIN(Control!$C$100-Control!$C$99,$G159-Control!$C$99)*Control!$C$63)</f>
        <v>0</v>
      </c>
      <c r="W159" s="388">
        <f t="shared" ca="1" si="590"/>
        <v>0</v>
      </c>
      <c r="X159" s="388">
        <f t="shared" ca="1" si="591"/>
        <v>0.6110000000000001</v>
      </c>
      <c r="Y159" s="388">
        <f t="shared" ca="1" si="470"/>
        <v>0</v>
      </c>
      <c r="Z159" s="388">
        <f t="shared" ca="1" si="592"/>
        <v>0.61058800000000002</v>
      </c>
      <c r="AA159" s="388">
        <f t="shared" ca="1" si="471"/>
        <v>0.6018</v>
      </c>
      <c r="AB159" s="388">
        <f ca="1">101.3*EXP(-0.034*Control!$C$66/($G159+273))</f>
        <v>100.69623283836242</v>
      </c>
      <c r="AC159" s="392">
        <f t="shared" ca="1" si="472"/>
        <v>4.3460251046025113E-2</v>
      </c>
      <c r="AD159" s="392">
        <f t="shared" ca="1" si="473"/>
        <v>4.4450382862832649E-2</v>
      </c>
      <c r="AE159" s="388">
        <f t="shared" ca="1" si="474"/>
        <v>0</v>
      </c>
      <c r="AF159" s="388">
        <f ca="1">MAX(0,$G159-Control!$C$92)</f>
        <v>0</v>
      </c>
      <c r="AG159" s="393">
        <f t="shared" ca="1" si="475"/>
        <v>155</v>
      </c>
      <c r="AH159" s="389">
        <f t="shared" ca="1" si="476"/>
        <v>155</v>
      </c>
      <c r="AI159" s="388">
        <f t="shared" ca="1" si="593"/>
        <v>0.38982801149864343</v>
      </c>
      <c r="AJ159" s="388">
        <f ca="1">IF(Control!$C$60&lt;=0,$HH159,$HI159)</f>
        <v>1</v>
      </c>
      <c r="AK159" s="388">
        <f t="shared" ca="1" si="477"/>
        <v>1.2910654740779972</v>
      </c>
      <c r="AL159" s="388">
        <f t="shared" ca="1" si="478"/>
        <v>-2.3444041846731876E-18</v>
      </c>
      <c r="AM159" s="388">
        <f t="shared" ca="1" si="479"/>
        <v>1.2910654740779972</v>
      </c>
      <c r="AN159" s="388">
        <f t="shared" ca="1" si="480"/>
        <v>0.39232459833453975</v>
      </c>
      <c r="AO159" s="388">
        <f ca="1">-0.10453/COS(Control!$B$8*PI()/180)*COS(AN159)</f>
        <v>-0.1568850816207778</v>
      </c>
      <c r="AP159" s="388">
        <f ca="1">ACOS(AO159-TAN(Control!$B$8*PI()/180)*TAN(AN159))</f>
        <v>2.3274510217205027</v>
      </c>
      <c r="AQ159" s="388">
        <f t="shared" ca="1" si="594"/>
        <v>0</v>
      </c>
      <c r="AR159" s="394">
        <f t="shared" ca="1" si="481"/>
        <v>0</v>
      </c>
      <c r="AS159" s="436">
        <f ca="1">IF(Control!$B$18=2,(IF(OR($AH159=Control!$B$175,$AH159=Control!$B$176,$AH159=Control!$B$177,$AH159=Control!$B$178,$AH159=Control!$B$179,$AH159=Control!$B$180,$AH159=Control!$B$181,$AH159=Control!$B$182,$AH159=Control!$B$183,$AH159=Control!$B$184,$AH159=Control!$B$185),1,0)),0)</f>
        <v>0</v>
      </c>
      <c r="AT159" s="436">
        <f>IF(Control!$B$20=8,IF(AND($AH159&gt;=Control!$B$172,$AH159&lt;=Control!$B$173),1,0),0)</f>
        <v>0</v>
      </c>
      <c r="AU159" s="436">
        <f>IF(Control!$B$20=8,IF($AV158=1,1*$AT159,IF($AT159=1,$AU158+1,$AU158)),0)</f>
        <v>0</v>
      </c>
      <c r="AV159" s="436">
        <f>IF(Control!$B$20=8,IF($AU159&gt;=Control!$B$174,1,0),0)</f>
        <v>0</v>
      </c>
      <c r="AW159" s="436">
        <f ca="1">IF(AND(Control!$B$18=2,Control!$B$171=1), $AV159, $AS159)</f>
        <v>0</v>
      </c>
      <c r="AX159" s="436" t="e">
        <f ca="1">IF(AND(Control!$B$18=1,$EU159&gt;=Control!$B$19),-$AY159,IF(AND(Control!$B$18=2,$AW159=1,$EU159&gt;$DS159),-$AY159, IF(Control!$C$108=0,0, IF(Control!$C$108&lt;&gt;0,1))))</f>
        <v>#N/A</v>
      </c>
      <c r="AY159" s="436" t="e">
        <f t="shared" ca="1" si="595"/>
        <v>#N/A</v>
      </c>
      <c r="AZ159" s="436" t="e">
        <f ca="1">IF(AND(Control!$B$18=1,$EB159&gt;Control!$B$19),$AZ158+1, IF(AND(Control!$B$18=2, $AW159=1, $EB159&gt;$DS159), $AZ158+1,$AZ158))</f>
        <v>#N/A</v>
      </c>
      <c r="BA159" s="587">
        <f>IF(Control!$C$81=0,1,IF($AH159&gt;=Control!$C$82,1,0))</f>
        <v>1</v>
      </c>
      <c r="BB159" s="140" t="e">
        <f ca="1">IF($BA159&gt;$BA158,Control!$C$83,IF($AW159&gt;0,$AW159*Control!$C$84,IF(AND(Control!$B$18=1,EN158&lt;&gt;0),Control!$C$84,0)))</f>
        <v>#N/A</v>
      </c>
      <c r="BC159" s="140" t="e">
        <f t="shared" ca="1" si="596"/>
        <v>#N/A</v>
      </c>
      <c r="BD159" s="140" t="e">
        <f ca="1">BC159*IF(OR($G159&lt;Control!$C$92,$G159&gt;Control!$C$95),0,IF(AND($G159&gt;=Control!$C$92,$G159&lt;=Control!$C$93),$G159-Control!$C$92,IF(AND($G159&gt;Control!$C$93,$G159&lt;=Control!$C$94),Control!$C$93-Control!$C$92,IF(AND($G159&gt;Control!$C$94,$G159&lt;=Control!$C$95),(Control!$C$93-Control!$C$92)*(Control!$C$94-$G159)/(Control!$C$95-Control!$C$94)))))</f>
        <v>#N/A</v>
      </c>
      <c r="BE159" s="140" t="e">
        <f t="shared" ca="1" si="597"/>
        <v>#N/A</v>
      </c>
      <c r="BF159" s="140" t="e">
        <f ca="1">IF($BE159&lt;=Control!$C$86,$BE159,Control!$C$86-$BE159)</f>
        <v>#N/A</v>
      </c>
      <c r="BG159" s="140" t="e">
        <f ca="1">IF(AND($AW159=1,Control!$C$84&lt;9),1,IF($BE159&gt;=Control!$C$86,0,$BC159))</f>
        <v>#N/A</v>
      </c>
      <c r="BH159" s="404" t="e">
        <f ca="1">IF($BG159=0,0,IF($BE159&lt;=Control!$C$86,$BC159*9*($BF159/Control!$C$86),0))</f>
        <v>#N/A</v>
      </c>
      <c r="BI159" s="140" t="e">
        <f ca="1">IF($BG159=1,0,IF($BE159&gt;=Control!$C$86,1,IF(AND($BB159&lt;21,$BB159&gt;=9),1,$BM158)))</f>
        <v>#N/A</v>
      </c>
      <c r="BJ159" s="140" t="e">
        <f ca="1">IF($BF159&lt;0,-$BF159,$BI159*IF(OR($G159&lt;Control!$C$92,$G159&gt;Control!$C$95),0,IF(AND($G159&gt;=Control!$C$92,$G159&lt;=Control!$C$93),$G159-Control!$C$92,IF(AND($G159&gt;Control!$C$93,$G159&lt;=Control!$C$94),Control!$C$93-Control!$C$92,IF(AND($G159&gt;Control!$C$94,$G159&lt;=Control!$C$95),(Control!$C$93-Control!$C$92)*(Control!$C$94-$G159)/(Control!$C$95-Control!$C$94))))))</f>
        <v>#N/A</v>
      </c>
      <c r="BK159" s="140" t="e">
        <f t="shared" ca="1" si="598"/>
        <v>#N/A</v>
      </c>
      <c r="BL159" s="140" t="e">
        <f ca="1">IF($BK159&lt;=Control!$C$87,$BK159,Control!$C$87-$BK159)</f>
        <v>#N/A</v>
      </c>
      <c r="BM159" s="140" t="e">
        <f ca="1">IF(AND($BB159&gt;=9,$BB159&lt;21),1,IF($BK159&gt;=Control!$C$87,0,$BI159))</f>
        <v>#N/A</v>
      </c>
      <c r="BN159" s="404" t="e">
        <f ca="1">IF($BM159=0,0,IF($BK159&lt;=Control!$C$87,$BI159*(9+(21-9)*($BL159/Control!$C$87)),0))</f>
        <v>#N/A</v>
      </c>
      <c r="BO159" s="140" t="e">
        <f ca="1">IF($BM159=1,0,IF($BK159&gt;=Control!$C$87,1,IF(AND($BB159&lt;30,$BB159&gt;=21),1,$BS158)))</f>
        <v>#N/A</v>
      </c>
      <c r="BP159" s="140" t="e">
        <f ca="1">IF($BL159&lt;0,-$BL159,$BO159*IF(OR($G159&lt;Control!$C$92,$G159&gt;Control!$C$95),0,IF(AND($G159&gt;=Control!$C$92,$G159&lt;=Control!$C$93),$G159-Control!$C$92,IF(AND($G159&gt;Control!$C$93,$G159&lt;=Control!$C$94),Control!$C$93-Control!$C$92,IF(AND($G159&gt;Control!$C$94,$G159&lt;=Control!$C$95),(Control!$C$93-Control!$C$92)*(Control!$C$94-$G159)/(Control!$C$95-Control!$C$94))))))</f>
        <v>#N/A</v>
      </c>
      <c r="BQ159" s="140" t="e">
        <f t="shared" ca="1" si="482"/>
        <v>#N/A</v>
      </c>
      <c r="BR159" s="140" t="e">
        <f ca="1">IF($BQ159&lt;=Control!$C$88,$BQ159,Control!$C$88-$BQ159)</f>
        <v>#N/A</v>
      </c>
      <c r="BS159" s="140" t="e">
        <f ca="1">IF(AND($BB159&gt;=21,$BB159&lt;30),1,IF($BQ159&gt;=Control!$C$88,0,$BO159))</f>
        <v>#N/A</v>
      </c>
      <c r="BT159" s="404" t="e">
        <f ca="1">IF($BS159=0,0,IF($BQ159&lt;=Control!$C$88,$BO159*(21+(30-21)*(BR159/Control!$C$88)),0))</f>
        <v>#N/A</v>
      </c>
      <c r="BU159" s="140" t="e">
        <f ca="1">IF(BG159+BM159+BS159=1,0,IF(OR(AND($BB159&lt;60,$BB159&gt;=30),$BQ159&gt;=Control!$C$88),1*$BA159,$BY158))</f>
        <v>#N/A</v>
      </c>
      <c r="BV159" s="140" t="e">
        <f ca="1">IF($BR159&lt;0,-$BR159,$BU159*IF(OR($G159&lt;Control!$C$92,$G159&gt;Control!$C$95),0,IF(AND($G159&gt;=Control!$C$92,$G159&lt;=Control!$C$93),$G159-Control!$C$92,IF(AND($G159&gt;Control!$C$93,$G159&lt;=Control!$C$94),Control!$C$93-Control!$C$92,IF(AND($G159&gt;Control!$C$94,$G159&lt;=Control!$C$95),(Control!$C$93-Control!$C$92)*(Control!$C$94-$G159)/(Control!$C$95-Control!$C$94))))))</f>
        <v>#N/A</v>
      </c>
      <c r="BW159" s="140" t="e">
        <f t="shared" ca="1" si="483"/>
        <v>#N/A</v>
      </c>
      <c r="BX159" s="140" t="e">
        <f ca="1">IF($BW159&lt;=Control!$C$89,$BW159,Control!$C$89-$BW159)</f>
        <v>#N/A</v>
      </c>
      <c r="BY159" s="140" t="e">
        <f ca="1">IF(AND($AJ159&gt;=30,$AJ159&lt;60),1,IF($BW159&gt;=Control!$C$89,0,$BU159))</f>
        <v>#N/A</v>
      </c>
      <c r="BZ159" s="404" t="e">
        <f ca="1">IF($BY159=0,0,IF($BW159&lt;=Control!$C$89,$BU159*(30+(60-30)*(BX159/Control!$C$89)),0))</f>
        <v>#N/A</v>
      </c>
      <c r="CA159" s="140" t="e">
        <f ca="1">IF($BG159+$BM159+$BS159+$BY159=1,0,IF(OR(AND($BB159&lt;65,$BB159&gt;=60),$BW159&gt;=Control!$C$89),1*$BA159,$CE158))</f>
        <v>#N/A</v>
      </c>
      <c r="CB159" s="140" t="e">
        <f ca="1">IF($BX159&lt;0,-$BX159,$CA159*IF(OR($G159&lt;Control!$C$92,$G159&gt;Control!$C$95),0,IF(AND($G159&gt;=Control!$C$92,$G159&lt;=Control!$C$93),$G159-Control!$C$92,IF(AND($G159&gt;Control!$C$93,$G159&lt;=Control!$C$94),Control!$C$93-Control!$C$92,IF(AND($G159&gt;Control!$C$94,$G159&lt;=Control!$C$95),(Control!$C$93-Control!$C$92)*(Control!$C$94-$G159)/(Control!$C$95-Control!$C$94))))))</f>
        <v>#N/A</v>
      </c>
      <c r="CC159" s="140" t="e">
        <f t="shared" ca="1" si="599"/>
        <v>#N/A</v>
      </c>
      <c r="CD159" s="140" t="e">
        <f ca="1">IF($CC159&lt;=Control!$C$90,$CC159,Control!$C$90-$CC159)</f>
        <v>#N/A</v>
      </c>
      <c r="CE159" s="140" t="e">
        <f ca="1">IF(AND($BB159&gt;=60,$BB159&lt;65),1,IF($CC159&gt;=Control!$C$90,0,$CA159))</f>
        <v>#N/A</v>
      </c>
      <c r="CF159" s="404" t="e">
        <f ca="1">IF($CE159=0,0,IF($CC159&lt;=Control!$C$90,$CA159*(60+(65-60)*(CD159/Control!$C$90)),0))</f>
        <v>#N/A</v>
      </c>
      <c r="CG159" s="140" t="e">
        <f ca="1">IF($BG159+$BM159+$BS159+$BY159+$CE159=1,0,IF(OR(AND($BB159&lt;90,$BB159&gt;=65),$CC159&gt;=Control!$C$90),$BA159,$CK158))</f>
        <v>#N/A</v>
      </c>
      <c r="CH159" s="140" t="e">
        <f ca="1">IF($CD159&lt;0,-$CD159,$CG159*IF(OR($G159&lt;Control!$C$92,$G159&gt;Control!$C$95),0,IF(AND($G159&gt;=Control!$C$92,$G159&lt;=Control!$C$93),$G159-Control!$C$92,IF(AND($G159&gt;Control!$C$93,$G159&lt;=Control!$C$94),Control!$C$93-Control!$C$92,IF(AND($G159&gt;Control!$C$94,$G159&lt;=Control!$C$95),(Control!$C$93-Control!$C$92)*(Control!$C$94-$G159)/(Control!$C$95-Control!$C$94))))))</f>
        <v>#N/A</v>
      </c>
      <c r="CI159" s="140" t="e">
        <f t="shared" ca="1" si="600"/>
        <v>#N/A</v>
      </c>
      <c r="CJ159" s="140" t="e">
        <f ca="1">IF($CI159&lt;=Control!$C$91,$CI159,Control!$C$91-$CI159)</f>
        <v>#N/A</v>
      </c>
      <c r="CK159" s="140" t="e">
        <f ca="1">IF(AND($BB159&gt;=65,$BB159&lt;90),1,IF($CI159&gt;=Control!$C$91,0,$CG159))</f>
        <v>#N/A</v>
      </c>
      <c r="CL159" s="404" t="e">
        <f ca="1">IF($CK159=0,0,IF($CI159&lt;=Control!$C$91,$CG159*(65+(90-65)*($CJ159/Control!$C$91)),0))</f>
        <v>#N/A</v>
      </c>
      <c r="CM159" s="140" t="e">
        <f ca="1">IF($BG159+$BM159+$BS159+$BY159+$CE159+$CK159=1,0,IF(OR($BB159&gt;=90,$CI159&gt;=Control!$C$91),$BA159,$CM158))</f>
        <v>#N/A</v>
      </c>
      <c r="CN159" s="140" t="e">
        <f t="shared" ca="1" si="601"/>
        <v>#N/A</v>
      </c>
      <c r="CO159" s="140" t="e">
        <f t="shared" ca="1" si="602"/>
        <v>#N/A</v>
      </c>
      <c r="CP159" s="140" t="e">
        <f t="shared" ca="1" si="603"/>
        <v>#N/A</v>
      </c>
      <c r="CQ159" s="141" t="e">
        <f ca="1">VLOOKUP($CP159,Control!$B$86:$G$91,6)</f>
        <v>#N/A</v>
      </c>
      <c r="CR159" s="141" t="e">
        <f ca="1">(1-$CQ159)*VLOOKUP($CP159,Control!$B$86:$D$91,3)</f>
        <v>#N/A</v>
      </c>
      <c r="CS159" s="141" t="e">
        <f ca="1">(1-$CQ159)*VLOOKUP($CP159,Control!$B$86:$E$91,4)</f>
        <v>#N/A</v>
      </c>
      <c r="CT159" s="141" t="e">
        <f ca="1">(1-$CQ159)*VLOOKUP($CP159,Control!$B$86:$F$91,5)</f>
        <v>#N/A</v>
      </c>
      <c r="CU159" s="141">
        <f t="shared" ca="1" si="604"/>
        <v>0</v>
      </c>
      <c r="CV159" s="583">
        <f t="shared" ca="1" si="605"/>
        <v>0</v>
      </c>
      <c r="CW159" s="142">
        <f t="shared" ca="1" si="606"/>
        <v>155</v>
      </c>
      <c r="CX159" s="612" t="e">
        <f ca="1">IF(Control!$C$114=1,(MIN(Control!$C$120*(IF($NT159-0.01&lt;0,0,1)),Control!$C$119-$CY159)))</f>
        <v>#DIV/0!</v>
      </c>
      <c r="CY159" s="143" t="e">
        <f t="shared" ca="1" si="607"/>
        <v>#N/A</v>
      </c>
      <c r="CZ159" s="144">
        <f t="shared" ca="1" si="484"/>
        <v>0</v>
      </c>
      <c r="DA159" s="144">
        <f t="shared" ca="1" si="485"/>
        <v>0</v>
      </c>
      <c r="DB159" s="144" t="e">
        <f t="shared" ca="1" si="486"/>
        <v>#N/A</v>
      </c>
      <c r="DC159" s="144" t="e">
        <f t="shared" ca="1" si="487"/>
        <v>#N/A</v>
      </c>
      <c r="DD159" s="144" t="e">
        <f t="shared" ca="1" si="692"/>
        <v>#N/A</v>
      </c>
      <c r="DE159" s="143" t="e">
        <f t="shared" ca="1" si="608"/>
        <v>#N/A</v>
      </c>
      <c r="DF159" s="145" t="e">
        <f ca="1">$DR159*EXP(-Control!$C$158*(1-$KH159))</f>
        <v>#N/A</v>
      </c>
      <c r="DG159" s="146" t="e">
        <f ca="1">IF(Control!$C$114=1, $DF159*$EY159, 0)</f>
        <v>#N/A</v>
      </c>
      <c r="DH159" s="147" t="e">
        <f t="shared" ca="1" si="609"/>
        <v>#N/A</v>
      </c>
      <c r="DI159" s="144" t="e">
        <f t="shared" ca="1" si="670"/>
        <v>#N/A</v>
      </c>
      <c r="DJ159" s="147" t="e">
        <f ca="1">$EF159*Control!$C$109</f>
        <v>#N/A</v>
      </c>
      <c r="DK159" s="144" t="e">
        <f t="shared" ca="1" si="610"/>
        <v>#N/A</v>
      </c>
      <c r="DL159" s="144" t="e">
        <f t="shared" ca="1" si="488"/>
        <v>#N/A</v>
      </c>
      <c r="DM159" s="144" t="e">
        <f ca="1">IF(Control!$C$114=1, (1-EXP(-Control!$C$96*$DK159))*$AR159, 0)</f>
        <v>#N/A</v>
      </c>
      <c r="DN159" s="144">
        <f t="shared" ca="1" si="611"/>
        <v>0</v>
      </c>
      <c r="DO159" s="148">
        <f>Control!$C$97</f>
        <v>4</v>
      </c>
      <c r="DP159" s="145" t="e">
        <f t="shared" ca="1" si="612"/>
        <v>#N/A</v>
      </c>
      <c r="DQ159" s="145" t="e">
        <f ca="1">IF(AND($CP159&gt;=0,$CP159&lt;=90),Control!$C$111,Control!$C$111)</f>
        <v>#N/A</v>
      </c>
      <c r="DR159" s="145" t="e">
        <f t="shared" ca="1" si="489"/>
        <v>#N/A</v>
      </c>
      <c r="DS159" s="143" t="e">
        <f ca="1">Control!$B$22/$DR159</f>
        <v>#N/A</v>
      </c>
      <c r="DT159" s="149" t="e">
        <f ca="1">IF(AND(Control!$C$114=1,$KH159&lt;1),$IM159*$DF159, 0)</f>
        <v>#N/A</v>
      </c>
      <c r="DU159" s="144" t="e">
        <f t="shared" ca="1" si="613"/>
        <v>#N/A</v>
      </c>
      <c r="DV159" s="144">
        <f ca="1">IF($G159-Control!$C$107&lt;=0, 0, 0.83*LN(MAX($G159, 3))-0.8924)</f>
        <v>0</v>
      </c>
      <c r="DW159" s="144" t="e">
        <f t="shared" ca="1" si="490"/>
        <v>#N/A</v>
      </c>
      <c r="DX159" s="150" t="e">
        <f ca="1">MAX(0.01*(1+$CU159/Control!$C$102),0.05*($DK159-Control!$C$97)/Control!$C$97)</f>
        <v>#N/A</v>
      </c>
      <c r="DY159" s="151" t="e">
        <f ca="1">IF(Control!$C$114=1, $DI159*$FS159, 0)</f>
        <v>#N/A</v>
      </c>
      <c r="DZ159" s="196" t="e">
        <f t="shared" ca="1" si="614"/>
        <v>#N/A</v>
      </c>
      <c r="EA159" s="152">
        <f t="shared" ca="1" si="615"/>
        <v>155</v>
      </c>
      <c r="EB159" s="153" t="e">
        <f t="shared" ca="1" si="616"/>
        <v>#N/A</v>
      </c>
      <c r="EC159" s="153" t="e">
        <f t="shared" ca="1" si="617"/>
        <v>#N/A</v>
      </c>
      <c r="ED159" s="154" t="e">
        <f ca="1">IF(Control!$C$114=1, $HM159*$FY159-$FD159, 0)</f>
        <v>#DIV/0!</v>
      </c>
      <c r="EE159" s="155" t="e">
        <f ca="1">IF(Control!$C$114=1, $HM159*$FZ159-$FF159, 0)</f>
        <v>#DIV/0!</v>
      </c>
      <c r="EF159" s="153" t="e">
        <f t="shared" ca="1" si="671"/>
        <v>#N/A</v>
      </c>
      <c r="EG159" s="155" t="e">
        <f ca="1">IF(Control!$C$114=1, $GX159*$FW159-$FI159, 0)</f>
        <v>#DIV/0!</v>
      </c>
      <c r="EH159" s="153" t="e">
        <f t="shared" ca="1" si="618"/>
        <v>#N/A</v>
      </c>
      <c r="EI159" s="156" t="e">
        <f t="shared" ca="1" si="619"/>
        <v>#N/A</v>
      </c>
      <c r="EJ159" s="155" t="e">
        <f ca="1">IF(Control!$C$114=1, $HM159*$GB159, 0)</f>
        <v>#DIV/0!</v>
      </c>
      <c r="EK159" s="153" t="e">
        <f t="shared" ca="1" si="672"/>
        <v>#N/A</v>
      </c>
      <c r="EL159" s="153" t="e">
        <f t="shared" ca="1" si="491"/>
        <v>#N/A</v>
      </c>
      <c r="EM159" s="153" t="e">
        <f t="shared" ca="1" si="492"/>
        <v>#N/A</v>
      </c>
      <c r="EN159" s="153" t="e">
        <f ca="1">IF(Control!$C$108=1,IF(AND(Control!$B$18=1,$EB159&gt;=Control!$B$19),$EB159-$DS159,IF(AND(Control!$B$18=2,$AW159=1,$EB159&gt;$DS159),$EB159-$DS159,0)))</f>
        <v>#N/A</v>
      </c>
      <c r="EO159" s="153" t="e">
        <f ca="1">IF(Control!$C$108=1,IF(AND(Control!$B$18=1,$EB159&gt;=Control!$B$19),$EF159,IF(AND(Control!$B$18=2,$AW159=1),$EF159,0)))</f>
        <v>#N/A</v>
      </c>
      <c r="EP159" s="153" t="e">
        <f ca="1">IF(Control!$C$108=1,IF(AND(Control!$B$18=1,$EB159&gt;=Control!$B$19),$EK159,IF(AND(Control!$B$18=2,$AW159=1),$EK159,0)))</f>
        <v>#N/A</v>
      </c>
      <c r="EQ159" s="153" t="e">
        <f t="shared" ca="1" si="620"/>
        <v>#N/A</v>
      </c>
      <c r="ER159" s="153" t="e">
        <f t="shared" ca="1" si="621"/>
        <v>#N/A</v>
      </c>
      <c r="ES159" s="153" t="e">
        <f t="shared" ca="1" si="673"/>
        <v>#N/A</v>
      </c>
      <c r="ET159" s="153" t="e">
        <f t="shared" ca="1" si="674"/>
        <v>#N/A</v>
      </c>
      <c r="EU159" s="153" t="e">
        <f t="shared" ca="1" si="622"/>
        <v>#N/A</v>
      </c>
      <c r="EV159" s="153" t="e">
        <f t="shared" ca="1" si="493"/>
        <v>#N/A</v>
      </c>
      <c r="EW159" s="153" t="e">
        <f t="shared" ca="1" si="494"/>
        <v>#N/A</v>
      </c>
      <c r="EX159" s="153" t="e">
        <f t="shared" ca="1" si="495"/>
        <v>#N/A</v>
      </c>
      <c r="EY159" s="157" t="e">
        <f t="shared" ca="1" si="496"/>
        <v>#DIV/0!</v>
      </c>
      <c r="EZ159" s="154" t="e">
        <f t="shared" ca="1" si="497"/>
        <v>#DIV/0!</v>
      </c>
      <c r="FA159" s="153" t="e">
        <f t="shared" ca="1" si="623"/>
        <v>#N/A</v>
      </c>
      <c r="FB159" s="153" t="e">
        <f t="shared" ca="1" si="498"/>
        <v>#N/A</v>
      </c>
      <c r="FC159" s="193" t="e">
        <f t="shared" ca="1" si="499"/>
        <v>#N/A</v>
      </c>
      <c r="FD159" s="158" t="e">
        <f t="shared" ca="1" si="624"/>
        <v>#N/A</v>
      </c>
      <c r="FE159" s="158" t="e">
        <f t="shared" ca="1" si="625"/>
        <v>#N/A</v>
      </c>
      <c r="FF159" s="159" t="e">
        <f t="shared" ca="1" si="500"/>
        <v>#N/A</v>
      </c>
      <c r="FG159" s="160" t="e">
        <f t="shared" ca="1" si="626"/>
        <v>#N/A</v>
      </c>
      <c r="FH159" s="158" t="e">
        <f t="shared" ca="1" si="627"/>
        <v>#N/A</v>
      </c>
      <c r="FI159" s="159" t="e">
        <f t="shared" ca="1" si="501"/>
        <v>#N/A</v>
      </c>
      <c r="FJ159" s="160" t="e">
        <f t="shared" ca="1" si="628"/>
        <v>#N/A</v>
      </c>
      <c r="FK159" s="160" t="e">
        <f t="shared" ca="1" si="502"/>
        <v>#N/A</v>
      </c>
      <c r="FL159" s="160" t="e">
        <f t="shared" ca="1" si="675"/>
        <v>#N/A</v>
      </c>
      <c r="FM159" s="160" t="e">
        <f t="shared" ca="1" si="503"/>
        <v>#N/A</v>
      </c>
      <c r="FN159" s="158">
        <f t="shared" ca="1" si="629"/>
        <v>0.01</v>
      </c>
      <c r="FO159" s="160">
        <f>Control!$C$101</f>
        <v>50</v>
      </c>
      <c r="FP159" s="150" t="e">
        <f t="shared" ca="1" si="504"/>
        <v>#N/A</v>
      </c>
      <c r="FQ159" s="150" t="e">
        <f ca="1">MAX(0,(Control!$C$112*(($DK159-Control!$C$97)/Control!$C$97)))</f>
        <v>#N/A</v>
      </c>
      <c r="FR159" s="150" t="e">
        <f ca="1">(1-$NT159)*Control!$C$113</f>
        <v>#DIV/0!</v>
      </c>
      <c r="FS159" s="198" t="e">
        <f t="shared" ca="1" si="505"/>
        <v>#N/A</v>
      </c>
      <c r="FT159" s="161">
        <f t="shared" ca="1" si="630"/>
        <v>155</v>
      </c>
      <c r="FU159" s="162" t="e">
        <f ca="1">IF(Control!$B$34=1,VLOOKUP($CP159,Control!$B$86:$G$91,6),Control!$B$35)</f>
        <v>#N/A</v>
      </c>
      <c r="FV159" s="162" t="e">
        <f t="shared" ca="1" si="506"/>
        <v>#DIV/0!</v>
      </c>
      <c r="FW159" s="162" t="e">
        <f ca="1">IF(Control!$B$31=1,$FU159*$FV159,  $FU159)</f>
        <v>#N/A</v>
      </c>
      <c r="FX159" s="162" t="e">
        <f ca="1">IF(Control!$B$34=1,VLOOKUP($CP159,Control!$B$86:$G$91,3),Control!$B$36)</f>
        <v>#N/A</v>
      </c>
      <c r="FY159" s="162" t="e">
        <f t="shared" ca="1" si="507"/>
        <v>#N/A</v>
      </c>
      <c r="FZ159" s="162" t="e">
        <f ca="1">IF(Control!$B$34=1,VLOOKUP($CP159,Control!$B$86:$G$91,4),Control!$B$37)</f>
        <v>#N/A</v>
      </c>
      <c r="GA159" s="162" t="e">
        <f t="shared" ca="1" si="508"/>
        <v>#N/A</v>
      </c>
      <c r="GB159" s="162" t="e">
        <f ca="1">IF(Control!$B$34=1,VLOOKUP($CP159,Control!$B$86:$G$91,5),Control!$B$38)</f>
        <v>#N/A</v>
      </c>
      <c r="GC159" s="162" t="e">
        <f t="shared" ca="1" si="631"/>
        <v>#N/A</v>
      </c>
      <c r="GD159" s="162">
        <f t="shared" ca="1" si="509"/>
        <v>1</v>
      </c>
      <c r="GE159" s="162">
        <f t="shared" ca="1" si="510"/>
        <v>1</v>
      </c>
      <c r="GF159" s="162">
        <f ca="1">IF(AND(Control!$C$104=1, Control!$C$62="F"),$GE159,1)</f>
        <v>1</v>
      </c>
      <c r="GG159" s="162" t="e">
        <f ca="1">IF(Control!$B$16=40,0,IF(AND(Control!$B$16&gt;40,Control!$B$16&lt;=360),(Control!$B$16-40)*((1-0)/(360-40)),IF(AND(Control!$B$16&gt;360,Control!$B$16&lt;=720),(1+(Control!$B$16-360)*((1.25-1)/(720-360))),IF(AND(Control!$B$16&gt;720,Control!$B$16&lt;=1000),(1.25+(Control!$B$16-720)*((1.35-1.25)/(1000-720))),IF(AND(Control!$B$16&gt;1000,Control!$B$16&lt;=2000),(1.35+(Control!$B$16-1000)*0))))))</f>
        <v>#N/A</v>
      </c>
      <c r="GH159" s="162" t="e">
        <f t="shared" ca="1" si="511"/>
        <v>#N/A</v>
      </c>
      <c r="GI159" s="162">
        <f t="shared" ca="1" si="632"/>
        <v>0</v>
      </c>
      <c r="GJ159" s="162">
        <f t="shared" ca="1" si="512"/>
        <v>0</v>
      </c>
      <c r="GK159" s="162">
        <f t="shared" ca="1" si="633"/>
        <v>1</v>
      </c>
      <c r="GL159" s="162">
        <f t="shared" ca="1" si="513"/>
        <v>1</v>
      </c>
      <c r="GM159" s="162" t="e">
        <f ca="1">MAX(0,MIN(1,1-Control!$C$156*(1.0001-$KH159)^2))</f>
        <v>#N/A</v>
      </c>
      <c r="GN159" s="162" t="e">
        <f ca="1">IF(Control!$B$26=1,$KU159,$KX159)</f>
        <v>#N/A</v>
      </c>
      <c r="GO159" s="162" t="e">
        <f ca="1">IF($CP159&lt;=60,Control!$C$105,IF($CP159&gt;=90,Control!$C$106,Control!$C$105+($CP159-60)*((Control!$C$106-Control!$C$105)/(90-60))))</f>
        <v>#N/A</v>
      </c>
      <c r="GP159" s="162" t="e">
        <f t="shared" ca="1" si="514"/>
        <v>#N/A</v>
      </c>
      <c r="GQ159" s="162" t="e">
        <f t="shared" ca="1" si="634"/>
        <v>#N/A</v>
      </c>
      <c r="GR159" s="163" t="e">
        <f t="shared" ca="1" si="515"/>
        <v>#DIV/0!</v>
      </c>
      <c r="GS159" s="162" t="e">
        <f t="shared" ca="1" si="516"/>
        <v>#DIV/0!</v>
      </c>
      <c r="GT159" s="164" t="e">
        <f t="shared" ca="1" si="635"/>
        <v>#N/A</v>
      </c>
      <c r="GU159" s="162" t="e">
        <f t="shared" ca="1" si="636"/>
        <v>#N/A</v>
      </c>
      <c r="GV159" s="162" t="e">
        <f t="shared" ca="1" si="517"/>
        <v>#N/A</v>
      </c>
      <c r="GW159" s="162" t="e">
        <f t="shared" ca="1" si="518"/>
        <v>#DIV/0!</v>
      </c>
      <c r="GX159" s="162" t="e">
        <f t="shared" ca="1" si="637"/>
        <v>#DIV/0!</v>
      </c>
      <c r="GY159" s="162" t="e">
        <f t="shared" ca="1" si="638"/>
        <v>#DIV/0!</v>
      </c>
      <c r="GZ159" s="165" t="e">
        <f t="shared" ca="1" si="519"/>
        <v>#N/A</v>
      </c>
      <c r="HA159" s="162" t="e">
        <f ca="1">IF(Control!$C$114=1, $DI159*$FS159, 0)</f>
        <v>#N/A</v>
      </c>
      <c r="HB159" s="162" t="e">
        <f ca="1">$FA159/Control!$C$64</f>
        <v>#N/A</v>
      </c>
      <c r="HC159" s="162" t="e">
        <f t="shared" ca="1" si="520"/>
        <v>#DIV/0!</v>
      </c>
      <c r="HD159" s="162">
        <f ca="1">-ASIN(SIN(23.45*Control!$C$139)*COS(2*Control!$C$138*($AH159+10)/365))</f>
        <v>0.38982801149864343</v>
      </c>
      <c r="HE159" s="165">
        <f t="shared" ca="1" si="639"/>
        <v>0</v>
      </c>
      <c r="HF159" s="166">
        <f ca="1">IF(AND(Control!$C$61="T",$HE159&gt;=Control!$C$103,Control!$C$114=0),$AH159,Control!$C$59)</f>
        <v>1</v>
      </c>
      <c r="HG159" s="166">
        <f ca="1">IF(AND(Control!$C$61="T",$HE159&gt;=Control!$C$103,Control!$C$114=0),$HF159,Control!$C$59)</f>
        <v>1</v>
      </c>
      <c r="HH159" s="165">
        <f ca="1">IF(AND(OR(Control!$C$60&lt;=0, $AH159= Control!$C$59, Control!$C$60 &gt;0, $AH159 = Control!$C$60)), Control!$C$59, IF(Control!$C$60&gt;0, 0))</f>
        <v>1</v>
      </c>
      <c r="HI159" s="165">
        <f ca="1">IF(AND(OR(Control!$C$60&lt;=0, $AH159= Control!$C$59, Control!$C$60 &gt;0, $AH159 = Control!$C$60)), Control!$C$60, IF(Control!$C$60&lt;=0, 0))</f>
        <v>0</v>
      </c>
      <c r="HJ159" s="166">
        <f ca="1">IF(AND(Control!$C$62="F",$CV159&gt;=Control!$C$102),$AH159,0)</f>
        <v>0</v>
      </c>
      <c r="HK159" s="165" t="e">
        <f t="shared" ca="1" si="676"/>
        <v>#N/A</v>
      </c>
      <c r="HL159" s="166">
        <f ca="1">IF(AND(Control!$C$61="T",$HE159&gt;=Control!$C$103,Control!$C$114=0),$HF159,0)</f>
        <v>0</v>
      </c>
      <c r="HM159" s="201" t="e">
        <f t="shared" ca="1" si="521"/>
        <v>#DIV/0!</v>
      </c>
      <c r="HN159" s="215">
        <f t="shared" ca="1" si="640"/>
        <v>155</v>
      </c>
      <c r="HO159" s="216" t="e">
        <f ca="1">IF(AND($CP159&gt;=0, $CP159&lt;=90), Control!$C$152, Control!$C$152)</f>
        <v>#N/A</v>
      </c>
      <c r="HP159" s="216" t="e">
        <f t="shared" ca="1" si="522"/>
        <v>#N/A</v>
      </c>
      <c r="HQ159" s="217" t="e">
        <f ca="1">IF(OR(Control!$B$26=1,Control!$B$26=2),$KV159,$KS159)</f>
        <v>#DIV/0!</v>
      </c>
      <c r="HR159" s="218" t="e">
        <f t="shared" ca="1" si="677"/>
        <v>#DIV/0!</v>
      </c>
      <c r="HS159" s="216" t="e">
        <f ca="1">Control!$C$154*$HP159</f>
        <v>#N/A</v>
      </c>
      <c r="HT159" s="216" t="e">
        <f ca="1">Control!$C$155*$HP159</f>
        <v>#N/A</v>
      </c>
      <c r="HU159" s="217" t="e">
        <f ca="1">Control!$C$161*$FI159</f>
        <v>#N/A</v>
      </c>
      <c r="HV159" s="218" t="e">
        <f t="shared" ca="1" si="641"/>
        <v>#N/A</v>
      </c>
      <c r="HW159" s="218" t="e">
        <f ca="1">Control!$C$160*$FF159+$IP159*$EO159</f>
        <v>#N/A</v>
      </c>
      <c r="HX159" s="218" t="e">
        <f t="shared" ca="1" si="678"/>
        <v>#N/A</v>
      </c>
      <c r="HY159" s="219" t="e">
        <f ca="1">IF(Control!$C$114=1, $EB159*$FS159, 0)</f>
        <v>#N/A</v>
      </c>
      <c r="HZ159" s="91" t="e">
        <f t="shared" ca="1" si="523"/>
        <v>#N/A</v>
      </c>
      <c r="IA159" s="220" t="e">
        <f ca="1">Control!$C$153*$HO159</f>
        <v>#N/A</v>
      </c>
      <c r="IB159" s="218" t="e">
        <f t="shared" ca="1" si="524"/>
        <v>#N/A</v>
      </c>
      <c r="IC159" s="220" t="e">
        <f ca="1">Control!$C$153*$HT159</f>
        <v>#N/A</v>
      </c>
      <c r="ID159" s="218" t="e">
        <f t="shared" ca="1" si="525"/>
        <v>#N/A</v>
      </c>
      <c r="IE159" s="221" t="e">
        <f ca="1">($EB159*Control!$C$159+$EF159*Control!$C$160)/(IF($GZ159&lt;&gt;0,$GZ159,1))</f>
        <v>#N/A</v>
      </c>
      <c r="IF159" s="216" t="e">
        <f t="shared" ca="1" si="526"/>
        <v>#N/A</v>
      </c>
      <c r="IG159" s="91">
        <f ca="1">IF(OR(Control!$B$198=$AH159,Control!$B$199=$AH159, Control!$B$200=$AH159, Control!$B$201=$AH159, Control!$B$202=$AH159, Control!$B$203=$AH159, Control!$B$204=$AH159, Control!$B$205=$AH159, Control!$B$206=$AH159, Control!$B$207=$AH159), 1, 0)</f>
        <v>0</v>
      </c>
      <c r="IH159" s="91">
        <f ca="1">IF($IG159=0,0, VLOOKUP($AH159,Control!$B$198:$C$207,2))</f>
        <v>0</v>
      </c>
      <c r="II159" s="222">
        <f t="shared" ca="1" si="642"/>
        <v>0</v>
      </c>
      <c r="IJ159" s="91">
        <f>Control!$C$121</f>
        <v>0.7</v>
      </c>
      <c r="IK159" s="218">
        <f t="shared" ca="1" si="527"/>
        <v>0</v>
      </c>
      <c r="IL159" s="217" t="e">
        <f t="shared" ca="1" si="679"/>
        <v>#N/A</v>
      </c>
      <c r="IM159" s="223" t="e">
        <f ca="1">IF(AND(Control!$C$114=1,$KH159&lt;1),$EB159*Control!$C$148*(1-$KH159), 0)</f>
        <v>#N/A</v>
      </c>
      <c r="IN159" s="217" t="e">
        <f t="shared" ca="1" si="528"/>
        <v>#DIV/0!</v>
      </c>
      <c r="IO159" s="91" t="e">
        <f ca="1">MAX(0,$IL159-$EF159*Control!$C$160)</f>
        <v>#N/A</v>
      </c>
      <c r="IP159" s="220" t="e">
        <f t="shared" ca="1" si="529"/>
        <v>#N/A</v>
      </c>
      <c r="IQ159" s="217" t="e">
        <f t="shared" ca="1" si="643"/>
        <v>#N/A</v>
      </c>
      <c r="IR159" s="218" t="e">
        <f t="shared" ca="1" si="530"/>
        <v>#N/A</v>
      </c>
      <c r="IS159" s="217" t="e">
        <f ca="1">Control!$C$159*MAX(0,$FD159-$EN159)</f>
        <v>#N/A</v>
      </c>
      <c r="IT159" s="217" t="e">
        <f t="shared" ca="1" si="680"/>
        <v>#N/A</v>
      </c>
      <c r="IU159" s="217" t="e">
        <f t="shared" ca="1" si="644"/>
        <v>#N/A</v>
      </c>
      <c r="IV159" s="217" t="e">
        <f t="shared" ca="1" si="681"/>
        <v>#N/A</v>
      </c>
      <c r="IW159" s="217" t="e">
        <f ca="1">IF(OR($AW159=1,AND($AW159=0, Control!$B$18=1,$EN159&lt;&gt;0)), $IQ159-$IU159, $IQ159)</f>
        <v>#N/A</v>
      </c>
      <c r="IX159" s="218" t="e">
        <f t="shared" ca="1" si="531"/>
        <v>#N/A</v>
      </c>
      <c r="IY159" s="218" t="e">
        <f ca="1">MAX(0,$IQ159-$EB159*Control!$C$159)</f>
        <v>#N/A</v>
      </c>
      <c r="IZ159" s="218" t="e">
        <f t="shared" ca="1" si="532"/>
        <v>#N/A</v>
      </c>
      <c r="JA159" s="216" t="e">
        <f t="shared" ca="1" si="533"/>
        <v>#N/A</v>
      </c>
      <c r="JB159" s="217" t="e">
        <f t="shared" ca="1" si="534"/>
        <v>#N/A</v>
      </c>
      <c r="JC159" s="222" t="e">
        <f ca="1">MAX(Control!$C$157*$EK159-$JT159, 0)/Control!$C$162</f>
        <v>#N/A</v>
      </c>
      <c r="JD159" s="218" t="e">
        <f t="shared" ca="1" si="535"/>
        <v>#N/A</v>
      </c>
      <c r="JE159" s="218" t="e">
        <f t="shared" ca="1" si="536"/>
        <v>#N/A</v>
      </c>
      <c r="JF159" s="218" t="e">
        <f t="shared" ca="1" si="645"/>
        <v>#N/A</v>
      </c>
      <c r="JG159" s="218" t="e">
        <f t="shared" ca="1" si="537"/>
        <v>#N/A</v>
      </c>
      <c r="JH159" s="217" t="e">
        <f t="shared" ca="1" si="646"/>
        <v>#N/A</v>
      </c>
      <c r="JI159" s="217" t="e">
        <f t="shared" ca="1" si="647"/>
        <v>#N/A</v>
      </c>
      <c r="JJ159" s="217" t="e">
        <f t="shared" ca="1" si="682"/>
        <v>#N/A</v>
      </c>
      <c r="JK159" s="217" t="e">
        <f ca="1">IF(Control!$C$114=1,IF(Control!$B$24=0,MAX(0,$JI159)*$GN159/Control!$C$64,(MAX(0,MIN($JI159,$JJ159*$GN159/Control!$C$64),0))))</f>
        <v>#N/A</v>
      </c>
      <c r="JL159" s="217" t="e">
        <f ca="1">$IK159/Control!$C$64-$JK159+$HQ159</f>
        <v>#N/A</v>
      </c>
      <c r="JM159" s="217" t="e">
        <f ca="1">IF(Control!$C$114=1,($JB159/(IF($JI159&lt;&gt;0,$JI159,1)))*$JK159,0)</f>
        <v>#N/A</v>
      </c>
      <c r="JN159" s="217" t="e">
        <f ca="1">IF(Control!$C$114=1,($JG159/(IF($JI159&lt;&gt;0,$JI159,1)))*$JK159, 0)</f>
        <v>#N/A</v>
      </c>
      <c r="JO159" s="218" t="e">
        <f t="shared" ca="1" si="538"/>
        <v>#N/A</v>
      </c>
      <c r="JP159" s="218" t="e">
        <f ca="1">MIN(($IY159+$IO159)*Control!$C$151, $JF159-$EH159*Control!$C$161)</f>
        <v>#N/A</v>
      </c>
      <c r="JQ159" s="218" t="e">
        <f t="shared" ca="1" si="539"/>
        <v>#N/A</v>
      </c>
      <c r="JR159" s="217" t="e">
        <f ca="1">IF($CP159-Control!$C$150&lt;0, 0, $JQ159/Control!$C$162)</f>
        <v>#N/A</v>
      </c>
      <c r="JS159" s="218" t="e">
        <f t="shared" ca="1" si="540"/>
        <v>#N/A</v>
      </c>
      <c r="JT159" s="218" t="e">
        <f t="shared" ca="1" si="648"/>
        <v>#N/A</v>
      </c>
      <c r="JU159" s="218" t="e">
        <f t="shared" ca="1" si="541"/>
        <v>#N/A</v>
      </c>
      <c r="JV159" s="218" t="e">
        <f t="shared" ca="1" si="542"/>
        <v>#N/A</v>
      </c>
      <c r="JW159" s="216" t="e">
        <f t="shared" ca="1" si="543"/>
        <v>#N/A</v>
      </c>
      <c r="JX159" s="91" t="e">
        <f t="shared" ca="1" si="544"/>
        <v>#N/A</v>
      </c>
      <c r="JY159" s="218" t="e">
        <f t="shared" ca="1" si="545"/>
        <v>#N/A</v>
      </c>
      <c r="JZ159" s="217" t="e">
        <f ca="1">IF(Control!$C$114=1,($IZ159/(IF($JI159&lt;&gt;0,$JI159,1)))*$JK159, 0)</f>
        <v>#N/A</v>
      </c>
      <c r="KA159" s="218" t="e">
        <f t="shared" ca="1" si="683"/>
        <v>#N/A</v>
      </c>
      <c r="KB159" s="218" t="e">
        <f t="shared" ca="1" si="649"/>
        <v>#N/A</v>
      </c>
      <c r="KC159" s="218" t="e">
        <f t="shared" ca="1" si="546"/>
        <v>#N/A</v>
      </c>
      <c r="KD159" s="218" t="e">
        <f t="shared" ca="1" si="547"/>
        <v>#N/A</v>
      </c>
      <c r="KE159" s="218" t="e">
        <f t="shared" ca="1" si="548"/>
        <v>#N/A</v>
      </c>
      <c r="KF159" s="218" t="e">
        <f t="shared" ca="1" si="549"/>
        <v>#N/A</v>
      </c>
      <c r="KG159" s="216" t="e">
        <f t="shared" ca="1" si="550"/>
        <v>#N/A</v>
      </c>
      <c r="KH159" s="221" t="e">
        <f ca="1">IF(Control!$B$24=0,1,MAX(0.001,MIN(1,IF(($IF159-$IE159)&lt;&gt;0,($KG159-$IE159)/($IF159-$IE159),1))))</f>
        <v>#N/A</v>
      </c>
      <c r="KI159" s="222" t="e">
        <f ca="1">IF(Control!$C$114=1, $KI158+ $KH158, 0)</f>
        <v>#N/A</v>
      </c>
      <c r="KJ159" s="217" t="e">
        <f t="shared" ca="1" si="551"/>
        <v>#N/A</v>
      </c>
      <c r="KK159" s="218" t="e">
        <f t="shared" ca="1" si="552"/>
        <v>#N/A</v>
      </c>
      <c r="KL159" s="274" t="e">
        <f ca="1">IF(Control!$B$26=3,4000000000*EXP(-8400/($G159+273)),IF(Control!$B$26=4,4000000000*EXP(-8400/($G159+273))*($KT159),0))</f>
        <v>#DIV/0!</v>
      </c>
      <c r="KM159" s="274" t="e">
        <f ca="1">IF(Control!$B$26=3,5600000000000*EXP(-9800/($G159+273)),IF(Control!$B$26=4,5600000000000*EXP(-9800/($G159+273))*$KT159,0))</f>
        <v>#DIV/0!</v>
      </c>
      <c r="KN159" s="454" t="e">
        <f t="shared" ca="1" si="650"/>
        <v>#DIV/0!</v>
      </c>
      <c r="KO159" s="274" t="e">
        <f t="shared" ca="1" si="651"/>
        <v>#DIV/0!</v>
      </c>
      <c r="KP159" s="454" t="e">
        <f t="shared" ca="1" si="553"/>
        <v>#DIV/0!</v>
      </c>
      <c r="KQ159" s="454" t="e">
        <f t="shared" ca="1" si="554"/>
        <v>#DIV/0!</v>
      </c>
      <c r="KR159" s="454" t="e">
        <f t="shared" ca="1" si="555"/>
        <v>#DIV/0!</v>
      </c>
      <c r="KS159" s="454" t="e">
        <f t="shared" ca="1" si="556"/>
        <v>#DIV/0!</v>
      </c>
      <c r="KT159" s="455" t="e">
        <f t="shared" ca="1" si="557"/>
        <v>#DIV/0!</v>
      </c>
      <c r="KU159" s="456" t="e">
        <f ca="1">IF($CP159-Control!$C$149&lt;0, IF($NT159-0.01&lt;0,0,1),0)</f>
        <v>#N/A</v>
      </c>
      <c r="KV159" s="456" t="e">
        <f ca="1">IF(Control!$C$114=1,MAX(0,MIN(Control!$C$125*$KW159*$GN159,$KW159)))</f>
        <v>#DIV/0!</v>
      </c>
      <c r="KW159" s="456" t="e">
        <f t="shared" ca="1" si="684"/>
        <v>#DIV/0!</v>
      </c>
      <c r="KX159" s="457" t="e">
        <f ca="1">IF($CP159-Control!$C$149&lt;0, IF($MR159-$OM159&lt;0,0,1),0)</f>
        <v>#N/A</v>
      </c>
      <c r="KY159" s="167">
        <f t="shared" ca="1" si="652"/>
        <v>155</v>
      </c>
      <c r="KZ159" s="168">
        <f ca="1">1370*(1+0.033*COS(2*Control!$C$138*$AH159/365))</f>
        <v>1329.7617246661707</v>
      </c>
      <c r="LA159" s="169">
        <f t="shared" ca="1" si="653"/>
        <v>0.97062908997765562</v>
      </c>
      <c r="LB159" s="169">
        <f t="shared" ca="1" si="654"/>
        <v>0.39161700602783883</v>
      </c>
      <c r="LC159" s="169">
        <f ca="1">ACOS(-TAN((2*Control!$B$8/360))*TAN(Calculations!$LB159))</f>
        <v>1.6938354957613342</v>
      </c>
      <c r="LD159" s="169">
        <f ca="1">((24*60)/PI())*0.082*$LA159*(($LC159*SIN(Control!$B$8*2*PI()/360))*SIN($LB159)+COS(Control!$B$8*2*PI()/360)*COS($LB159)*SIN($LC159))</f>
        <v>39.189279766599377</v>
      </c>
      <c r="LE159" s="170">
        <f t="shared" ca="1" si="558"/>
        <v>40.703530222268569</v>
      </c>
      <c r="LF159" s="170">
        <f ca="1">SIN(Control!$C$139*Control!$B$8)*SIN($HD159)</f>
        <v>0.29946769983072818</v>
      </c>
      <c r="LG159" s="170">
        <f ca="1">COS(Control!$C$139*Control!$B$8)*COS($HD159)</f>
        <v>0.56946957788488861</v>
      </c>
      <c r="LH159" s="170">
        <f ca="1">12*(1+2*ASIN(MAX(-1,MIN(1,$LF159/$LG159))/Control!$C$138))</f>
        <v>16.036352437697481</v>
      </c>
      <c r="LI159" s="170">
        <f ca="1">12*(1+2*ASIN(MAX(-1,MIN(1,(-SIN(-4*Control!$C$139)+$LF159)/$LG159))/Control!$C$138))</f>
        <v>16.988987733270591</v>
      </c>
      <c r="LJ159" s="168">
        <f ca="1">3600*($LH159*$LF159+24*$LG159*SQRT(1-$LK159*$LK159)/Control!$C$138)</f>
        <v>30609.641913469091</v>
      </c>
      <c r="LK159" s="170">
        <f t="shared" ca="1" si="559"/>
        <v>0.52587128700185271</v>
      </c>
      <c r="LL159" s="170">
        <f t="shared" ca="1" si="560"/>
        <v>0</v>
      </c>
      <c r="LM159" s="171">
        <f ca="1">Control!$C$145*$AB159</f>
        <v>6.6660906138995932E-2</v>
      </c>
      <c r="LN159" s="170">
        <f t="shared" ca="1" si="655"/>
        <v>0.54</v>
      </c>
      <c r="LO159" s="170">
        <f t="shared" ca="1" si="561"/>
        <v>0</v>
      </c>
      <c r="LP159" s="170">
        <f ca="1">Control!$C$140*((($D159+273.16)^4+($E159+273.16)^4)/2)*(0.34-0.14*SQRT($Y159))*(1.35*$AQ159/(0.75*$LD159)-0.35)</f>
        <v>-3.2464704755046001</v>
      </c>
      <c r="LQ159" s="170">
        <f ca="1">Control!$C$140*($G159+273)^4*(0.56-0.079*SQRT($Y159*10))*(0.1+0.9*$LO159)</f>
        <v>1.5241745131704001</v>
      </c>
      <c r="LR159" s="170">
        <f ca="1">$AQ159*(1-Control!$C$142)-$LQ159</f>
        <v>-1.5241745131704001</v>
      </c>
      <c r="LS159" s="170">
        <f ca="1">$AQ159*(1-Control!$C$143)-$LQ159</f>
        <v>-1.5241745131704001</v>
      </c>
      <c r="LT159" s="170">
        <f ca="1">$AQ159*(1-Control!$C$144)-$LQ159</f>
        <v>-1.5241745131704001</v>
      </c>
      <c r="LU159" s="169">
        <f ca="1">(1-Control!$C$144)*AQ159-LP159</f>
        <v>3.2464704755046001</v>
      </c>
      <c r="LV159" s="172">
        <f t="shared" ca="1" si="562"/>
        <v>0.79430000000000012</v>
      </c>
      <c r="LW159" s="170">
        <f t="shared" ca="1" si="563"/>
        <v>1.5886000000000002</v>
      </c>
      <c r="LX159" s="170">
        <f ca="1">($AC159*($LR159/Control!$C$141)+$LM159*$LV159)/($AC159+$LM159)</f>
        <v>0.23530094218323697</v>
      </c>
      <c r="LY159" s="170">
        <f ca="1">($AC159*($LS159/Control!$C$141)+$LM159*$LV159)/($AC159+$LM159)</f>
        <v>0.23530094218323697</v>
      </c>
      <c r="LZ159" s="170">
        <f t="shared" ca="1" si="564"/>
        <v>0.23530094218323697</v>
      </c>
      <c r="MA159" s="170">
        <f t="shared" ca="1" si="565"/>
        <v>0.23530094218323697</v>
      </c>
      <c r="MB159" s="170" t="e">
        <f t="shared" ca="1" si="566"/>
        <v>#N/A</v>
      </c>
      <c r="MC159" s="170">
        <f t="shared" ca="1" si="656"/>
        <v>0.6018</v>
      </c>
      <c r="MD159" s="170">
        <f t="shared" ca="1" si="567"/>
        <v>0.52989392535414004</v>
      </c>
      <c r="ME159" s="170">
        <f ca="1">($AC159*($LT159/Control!$C$141)+$LM159*$LW159)/($AC159+$LM159)</f>
        <v>0.71612369323045078</v>
      </c>
      <c r="MF159" s="170" t="e">
        <f ca="1">IF(Control!$B$16&gt;=1000,0.92,IF(AND(720&lt;=Control!$B$16,1000&gt;Control!$B$16),(0.95+(Control!$B$16-720)*((0.92-0.95)/(1000-720))),IF(AND(360&lt;=Control!$B$16,720&gt;Control!$B$16),(1+(Control!$B$16-360)*((0.95-1)/(720-360))),IF(AND(40&lt;=Control!$B$16,360&gt;Control!$B$16),(1.05+(Control!$B$16-40)*((1.05-1)/(360-40)))))))</f>
        <v>#N/A</v>
      </c>
      <c r="MG159" s="170">
        <f t="shared" ca="1" si="568"/>
        <v>0.71612369323045078</v>
      </c>
      <c r="MH159" s="170" t="e">
        <f t="shared" ca="1" si="693"/>
        <v>#N/A</v>
      </c>
      <c r="MI159" s="170" t="e">
        <f t="shared" ca="1" si="693"/>
        <v>#N/A</v>
      </c>
      <c r="MJ159" s="170" t="e">
        <f ca="1">MAX(0.0001, Control!$C$132*$MI159*$DL159)</f>
        <v>#N/A</v>
      </c>
      <c r="MK159" s="170">
        <f ca="1">1/(0.76+1.5*($MG159/10))-(5-Control!$C$110)*0.1</f>
        <v>1.002845988140797</v>
      </c>
      <c r="ML159" s="173">
        <f ca="1">IF(Control!$C$110&lt;3,$MK159+($MG159-0.6)/(Control!$C$110*(Control!$C$110+3)), MAX(0.1, MIN(0.95,$MK159)))</f>
        <v>0.95</v>
      </c>
      <c r="MM159" s="173">
        <f ca="1">IF(Control!$C$110&lt;3,$MK159+(($MI159/10)-0.6)/(Control!$C$110*(Control!$C$110+3)), MAX(0.1, MIN(0.95,$MK159)))</f>
        <v>0.95</v>
      </c>
      <c r="MN159" s="173">
        <f ca="1">(1-$MM159)*(Control!$C$128-Control!$C$127)+Control!$C$127</f>
        <v>0.16</v>
      </c>
      <c r="MO159" s="170" t="e">
        <f ca="1">MAX(0,MIN(1,($MS159-Control!$C$127)/($MN159-Control!$C$127)))</f>
        <v>#DIV/0!</v>
      </c>
      <c r="MP159" s="173" t="e">
        <f ca="1">1/(0.76+1.5*$MI159)-(5-Control!$C$110)*0.1</f>
        <v>#N/A</v>
      </c>
      <c r="MQ159" s="172" t="e">
        <f t="shared" ca="1" si="685"/>
        <v>#DIV/0!</v>
      </c>
      <c r="MR159" s="168" t="e">
        <f t="shared" ca="1" si="657"/>
        <v>#DIV/0!</v>
      </c>
      <c r="MS159" s="173" t="e">
        <f ca="1">MAX(Control!$C$127, MIN(Control!$C$135, $MR159/MAX(0.0001,$CY159)))</f>
        <v>#DIV/0!</v>
      </c>
      <c r="MT159" s="168" t="e">
        <f ca="1">(Control!$C$128-$MS159)*Control!$C$74</f>
        <v>#DIV/0!</v>
      </c>
      <c r="MU159" s="168" t="e">
        <f ca="1">(Control!$C$135-$MS159)*Control!$C$74</f>
        <v>#DIV/0!</v>
      </c>
      <c r="MV159" s="168" t="e">
        <f t="shared" ca="1" si="658"/>
        <v>#DIV/0!</v>
      </c>
      <c r="MW159" s="168" t="e">
        <f t="shared" ca="1" si="659"/>
        <v>#DIV/0!</v>
      </c>
      <c r="MX159" s="171" t="e">
        <f ca="1">MAX(Control!$C$127, MIN(Control!$C$135, $MW159/MAX(0.0001,Control!$C$119-$CY159)))</f>
        <v>#DIV/0!</v>
      </c>
      <c r="MY159" s="54" t="e">
        <f ca="1">IF(Control!$C$114=1, $CX159*$MX159, 0)</f>
        <v>#DIV/0!</v>
      </c>
      <c r="MZ159" s="54" t="e">
        <f t="shared" ca="1" si="660"/>
        <v>#N/A</v>
      </c>
      <c r="NA159" s="168" t="e">
        <f ca="1">(Control!$C$128-$MX159)*(Control!$C$119-Control!$C$74)</f>
        <v>#DIV/0!</v>
      </c>
      <c r="NB159" s="168" t="e">
        <f ca="1">(Control!$C$135-$MX159)*(Control!$C$119-Control!$C$74)</f>
        <v>#DIV/0!</v>
      </c>
      <c r="NC159" s="174" t="e">
        <f t="shared" ca="1" si="661"/>
        <v>#DIV/0!</v>
      </c>
      <c r="ND159" s="54">
        <f ca="1">IF(Control!$C$58=2, IF(OR(Control!$B$218=$AH159,Control!$B$219=$AH159, Control!$B$220=$AH159, Control!$B$221=$AH159, Control!$B$222=$AH159, Control!$B$223=$AH159, Control!$B$224=$AH159, Control!$B$225=$AH159, Control!$B$226=$AH159, Control!$B$227=$AH159, Control!$B$228=$AH159), 1, 0), 0)</f>
        <v>0</v>
      </c>
      <c r="NE159" s="54">
        <f ca="1">IF($ND159=0,0, VLOOKUP($AH159,Control!$B$218:$C$228,2))</f>
        <v>0</v>
      </c>
      <c r="NF159" s="168" t="e">
        <f ca="1">$CY159*(Control!$C$128-Control!$C$127)</f>
        <v>#N/A</v>
      </c>
      <c r="NG159" s="54" t="e">
        <f ca="1">IF(Control!$C$58=2, $NI158-$NJ158, 0)</f>
        <v>#DIV/0!</v>
      </c>
      <c r="NH159" s="54" t="e">
        <f ca="1">IF(AND(Control!$C$58=1, $MS158&lt;= ($MN158+0.02), $I158&lt;10), 0, IF(Control!$C$58=2, $NG158, 0))</f>
        <v>#DIV/0!</v>
      </c>
      <c r="NI159" s="54" t="e">
        <f ca="1">IF(Control!$C$58=2, $NE159+$NH159,0)</f>
        <v>#DIV/0!</v>
      </c>
      <c r="NJ159" s="54" t="e">
        <f ca="1">IF(AND(Control!$C$58=1, $MS159&lt;= ($MN159+0.02), $I159&lt;10), MAX(0, MIN(10, 0.7*($NF159-$MV159))), IF(Control!$C$58=2, MIN(10,$NI159),0))</f>
        <v>#DIV/0!</v>
      </c>
      <c r="NK159" s="54" t="e">
        <f t="shared" ca="1" si="569"/>
        <v>#DIV/0!</v>
      </c>
      <c r="NL159" s="173" t="e">
        <f ca="1">(1-Control!$C$73)*$I159+$NJ159</f>
        <v>#DIV/0!</v>
      </c>
      <c r="NM159" s="172" t="e">
        <f ca="1">IF($NL159&lt;0.5, $MB159* MAX(0, MIN(1, (SQRT($NC159)-SQRT($NC159-1))*Control!$C$71)),0)</f>
        <v>#DIV/0!</v>
      </c>
      <c r="NN159" s="170" t="e">
        <f ca="1">IF($NL159&gt;=5, $MB159, MAX(0,MIN($MB159, $NM159+$NL159,($MS159-Control!$C$129))))</f>
        <v>#DIV/0!</v>
      </c>
      <c r="NO159" s="54">
        <f>IF(Control!$C$133&lt;&gt;1, Control!$C$135-Control!$C$131, 0)</f>
        <v>0.38</v>
      </c>
      <c r="NP159" s="54" t="e">
        <f t="shared" ca="1" si="570"/>
        <v>#DIV/0!</v>
      </c>
      <c r="NQ159" s="173" t="e">
        <f ca="1">MAX(0,MIN(1,(Control!$C$135-$MS159)/(Control!$C$135-$NO159)))</f>
        <v>#DIV/0!</v>
      </c>
      <c r="NR159" s="170" t="e">
        <f ca="1">IF(Control!$C$133&lt;&gt;1, $NQ159+((1-$NP159/4)*(1-$NQ159)),1)</f>
        <v>#DIV/0!</v>
      </c>
      <c r="NS159" s="170" t="e">
        <f ca="1">IF(Control!$B$31=0,$MJ159,MAX(0,MIN($MV159,$MO159*$NR159*$MJ159)))</f>
        <v>#DIV/0!</v>
      </c>
      <c r="NT159" s="170" t="e">
        <f t="shared" ca="1" si="686"/>
        <v>#DIV/0!</v>
      </c>
      <c r="NU159" s="170" t="e">
        <f t="shared" ca="1" si="662"/>
        <v>#N/A</v>
      </c>
      <c r="NV159" s="170" t="e">
        <f t="shared" ca="1" si="571"/>
        <v>#N/A</v>
      </c>
      <c r="NW159" s="175" t="e">
        <f t="shared" ca="1" si="572"/>
        <v>#DIV/0!</v>
      </c>
      <c r="NX159" s="170" t="e">
        <f ca="1">MIN(Control!$C$72+$MU159, $NW159)</f>
        <v>#DIV/0!</v>
      </c>
      <c r="NY159" s="170" t="e">
        <f ca="1">IF($MT159&lt;=$NX159,MIN(Control!$C$72+$NB159,$NX159-$MT159),0)</f>
        <v>#DIV/0!</v>
      </c>
      <c r="NZ159" s="54" t="e">
        <f ca="1">IF(Control!$C$114=1,  $CX159*($MX159-Control!$C$127), 0)</f>
        <v>#DIV/0!</v>
      </c>
      <c r="OA159" s="170" t="e">
        <f t="shared" ca="1" si="573"/>
        <v>#DIV/0!</v>
      </c>
      <c r="OB159" s="170" t="e">
        <f ca="1">IF($NA159 &lt;=$NY159, MIN(Control!$C$72, $NY159-$NA159), 0)</f>
        <v>#DIV/0!</v>
      </c>
      <c r="OC159" s="168" t="e">
        <f t="shared" ca="1" si="574"/>
        <v>#DIV/0!</v>
      </c>
      <c r="OD159" s="168" t="e">
        <f t="shared" ca="1" si="663"/>
        <v>#DIV/0!</v>
      </c>
      <c r="OE159" s="170">
        <f ca="1">Control!$C$73*$I159</f>
        <v>0</v>
      </c>
      <c r="OF159" s="176" t="e">
        <f t="shared" ca="1" si="575"/>
        <v>#DIV/0!</v>
      </c>
      <c r="OG159" s="168" t="e">
        <f t="shared" ca="1" si="576"/>
        <v>#DIV/0!</v>
      </c>
      <c r="OH159" s="168" t="e">
        <f t="shared" ca="1" si="577"/>
        <v>#DIV/0!</v>
      </c>
      <c r="OI159" s="168" t="e">
        <f t="shared" ca="1" si="578"/>
        <v>#DIV/0!</v>
      </c>
      <c r="OJ159" s="168" t="e">
        <f t="shared" ca="1" si="579"/>
        <v>#DIV/0!</v>
      </c>
      <c r="OK159" s="204" t="e">
        <f t="shared" ca="1" si="580"/>
        <v>#DIV/0!</v>
      </c>
      <c r="OL159" s="177">
        <f>Control!$C$127</f>
        <v>0.15</v>
      </c>
      <c r="OM159" s="182" t="e">
        <f t="shared" ca="1" si="581"/>
        <v>#N/A</v>
      </c>
      <c r="ON159" s="177">
        <f>Control!$C$128</f>
        <v>0.35</v>
      </c>
      <c r="OO159" s="182" t="e">
        <f t="shared" ca="1" si="582"/>
        <v>#N/A</v>
      </c>
      <c r="OP159" s="138">
        <f t="shared" ca="1" si="664"/>
        <v>0</v>
      </c>
      <c r="OQ159" s="138" t="e">
        <f t="shared" ca="1" si="687"/>
        <v>#DIV/0!</v>
      </c>
      <c r="OR159" s="138" t="e">
        <f t="shared" ca="1" si="665"/>
        <v>#DIV/0!</v>
      </c>
      <c r="OS159" s="137" t="e">
        <f t="shared" ca="1" si="688"/>
        <v>#DIV/0!</v>
      </c>
      <c r="OT159" s="139" t="e">
        <f t="shared" ca="1" si="689"/>
        <v>#DIV/0!</v>
      </c>
      <c r="OU159" s="138" t="e">
        <f t="shared" ca="1" si="690"/>
        <v>#N/A</v>
      </c>
      <c r="OV159" s="138" t="e">
        <f t="shared" ca="1" si="691"/>
        <v>#DIV/0!</v>
      </c>
      <c r="OW159" s="138" t="e">
        <f t="shared" ca="1" si="666"/>
        <v>#DIV/0!</v>
      </c>
      <c r="OX159" s="138" t="e">
        <f t="shared" ca="1" si="667"/>
        <v>#DIV/0!</v>
      </c>
      <c r="OY159" s="138" t="e">
        <f t="shared" ca="1" si="668"/>
        <v>#DIV/0!</v>
      </c>
      <c r="OZ159" s="138" t="e">
        <f t="shared" ca="1" si="583"/>
        <v>#DIV/0!</v>
      </c>
      <c r="PA159" s="138" t="e">
        <f t="shared" ca="1" si="584"/>
        <v>#DIV/0!</v>
      </c>
      <c r="PB159" s="55">
        <f>IF(Control!$C$61="T", IF(Control!$C$65="F", IF($AH$6-Control!$C$60&lt;0,0,1), IF(365+$AH$6-Control!$C$60&lt;0,0,1)),0)</f>
        <v>0</v>
      </c>
      <c r="PC159" s="55">
        <f ca="1">IF(Control!$C$65="F", IF($AH$6-$HF159&lt;0,0,1), IF(365+$AH$6-$HF159&lt;0,0,1))</f>
        <v>1</v>
      </c>
      <c r="PD159" s="444">
        <f>Control!$C$118</f>
        <v>1500</v>
      </c>
      <c r="PE159" s="180" t="e">
        <f t="shared" ca="1" si="585"/>
        <v>#N/A</v>
      </c>
      <c r="PF159" s="445">
        <f t="shared" ca="1" si="669"/>
        <v>0.71612369323045078</v>
      </c>
      <c r="PT159" s="186"/>
      <c r="PU159" s="186"/>
      <c r="PV159" s="94"/>
      <c r="PW159" s="94"/>
      <c r="PX159" s="94"/>
      <c r="PY159" s="94"/>
      <c r="PZ159" s="94"/>
      <c r="QA159" s="94"/>
      <c r="QB159" s="94"/>
      <c r="QC159" s="94"/>
      <c r="QD159" s="94"/>
      <c r="QE159" s="94"/>
      <c r="QF159" s="94"/>
      <c r="QG159" s="94"/>
      <c r="QH159" s="94"/>
      <c r="QI159" s="94"/>
      <c r="QJ159" s="94"/>
      <c r="QK159" s="94"/>
      <c r="QL159" s="94"/>
      <c r="QM159" s="94"/>
      <c r="QN159" s="94"/>
      <c r="QO159" s="94"/>
      <c r="QP159" s="94"/>
    </row>
    <row r="160" spans="1:458" s="2" customFormat="1" x14ac:dyDescent="0.2">
      <c r="A160" s="395">
        <v>4</v>
      </c>
      <c r="B160" s="396">
        <v>6</v>
      </c>
      <c r="C160" s="387">
        <f ca="1">Weather_data!$B159</f>
        <v>0</v>
      </c>
      <c r="D160" s="388">
        <f ca="1">Weather_data!$F159</f>
        <v>0</v>
      </c>
      <c r="E160" s="388">
        <f ca="1">Weather_data!$E159</f>
        <v>0</v>
      </c>
      <c r="F160" s="388">
        <f t="shared" ca="1" si="586"/>
        <v>0</v>
      </c>
      <c r="G160" s="388">
        <f ca="1">AVERAGE($D160:$E160)+Control!$B$9</f>
        <v>0</v>
      </c>
      <c r="H160" s="388">
        <f ca="1">Weather_data!$G159</f>
        <v>0</v>
      </c>
      <c r="I160" s="388">
        <f ca="1">Weather_data!$I159</f>
        <v>0</v>
      </c>
      <c r="J160" s="388">
        <f ca="1">Weather_data!$H159</f>
        <v>0</v>
      </c>
      <c r="K160" s="389">
        <f ca="1">Weather_data!$D159</f>
        <v>0</v>
      </c>
      <c r="L160" s="388" t="e">
        <f t="shared" ca="1" si="587"/>
        <v>#N/A</v>
      </c>
      <c r="M160" s="388" t="e">
        <f t="shared" ca="1" si="465"/>
        <v>#N/A</v>
      </c>
      <c r="N160" s="388">
        <f t="shared" ca="1" si="466"/>
        <v>-4.4907249705169894E-8</v>
      </c>
      <c r="O160" s="388">
        <f t="shared" ca="1" si="588"/>
        <v>4.4907249705169896E-7</v>
      </c>
      <c r="P160" s="390">
        <v>3</v>
      </c>
      <c r="Q160" s="388">
        <f ca="1">MAX($G160-Control!$C$107,0)</f>
        <v>0</v>
      </c>
      <c r="R160" s="388">
        <f t="shared" ca="1" si="589"/>
        <v>0</v>
      </c>
      <c r="S160" s="388">
        <f t="shared" ca="1" si="467"/>
        <v>0</v>
      </c>
      <c r="T160" s="388">
        <f t="shared" ca="1" si="468"/>
        <v>0</v>
      </c>
      <c r="U160" s="59">
        <f t="shared" ca="1" si="469"/>
        <v>0</v>
      </c>
      <c r="V160" s="391">
        <f ca="1">MAX(0,MIN(Control!$C$100-Control!$C$99,$G160-Control!$C$99)*Control!$C$63)</f>
        <v>0</v>
      </c>
      <c r="W160" s="388">
        <f t="shared" ca="1" si="590"/>
        <v>0</v>
      </c>
      <c r="X160" s="388">
        <f t="shared" ca="1" si="591"/>
        <v>0.6110000000000001</v>
      </c>
      <c r="Y160" s="388">
        <f t="shared" ca="1" si="470"/>
        <v>0</v>
      </c>
      <c r="Z160" s="388">
        <f t="shared" ca="1" si="592"/>
        <v>0.61058800000000002</v>
      </c>
      <c r="AA160" s="388">
        <f t="shared" ca="1" si="471"/>
        <v>0.6018</v>
      </c>
      <c r="AB160" s="388">
        <f ca="1">101.3*EXP(-0.034*Control!$C$66/($G160+273))</f>
        <v>100.69623283836242</v>
      </c>
      <c r="AC160" s="392">
        <f t="shared" ca="1" si="472"/>
        <v>4.3460251046025113E-2</v>
      </c>
      <c r="AD160" s="392">
        <f t="shared" ca="1" si="473"/>
        <v>4.4450382862832649E-2</v>
      </c>
      <c r="AE160" s="388">
        <f t="shared" ca="1" si="474"/>
        <v>0</v>
      </c>
      <c r="AF160" s="388">
        <f ca="1">MAX(0,$G160-Control!$C$92)</f>
        <v>0</v>
      </c>
      <c r="AG160" s="393">
        <f t="shared" ca="1" si="475"/>
        <v>156</v>
      </c>
      <c r="AH160" s="389">
        <f t="shared" ca="1" si="476"/>
        <v>156</v>
      </c>
      <c r="AI160" s="388">
        <f t="shared" ca="1" si="593"/>
        <v>0.39196539144803894</v>
      </c>
      <c r="AJ160" s="388">
        <f ca="1">IF(Control!$C$60&lt;=0,$HH160,$HI160)</f>
        <v>1</v>
      </c>
      <c r="AK160" s="388">
        <f t="shared" ca="1" si="477"/>
        <v>1.3082796803990371</v>
      </c>
      <c r="AL160" s="388">
        <f t="shared" ca="1" si="478"/>
        <v>-4.3280448669413828E-18</v>
      </c>
      <c r="AM160" s="388">
        <f t="shared" ca="1" si="479"/>
        <v>1.3082796803990371</v>
      </c>
      <c r="AN160" s="388">
        <f t="shared" ca="1" si="480"/>
        <v>0.39431012734558313</v>
      </c>
      <c r="AO160" s="388">
        <f ca="1">-0.10453/COS(Control!$B$8*PI()/180)*COS(AN160)</f>
        <v>-0.15675588162874321</v>
      </c>
      <c r="AP160" s="388">
        <f ca="1">ACOS(AO160-TAN(Control!$B$8*PI()/180)*TAN(AN160))</f>
        <v>2.3313774051651501</v>
      </c>
      <c r="AQ160" s="388">
        <f t="shared" ca="1" si="594"/>
        <v>0</v>
      </c>
      <c r="AR160" s="394">
        <f t="shared" ca="1" si="481"/>
        <v>0</v>
      </c>
      <c r="AS160" s="436">
        <f ca="1">IF(Control!$B$18=2,(IF(OR($AH160=Control!$B$175,$AH160=Control!$B$176,$AH160=Control!$B$177,$AH160=Control!$B$178,$AH160=Control!$B$179,$AH160=Control!$B$180,$AH160=Control!$B$181,$AH160=Control!$B$182,$AH160=Control!$B$183,$AH160=Control!$B$184,$AH160=Control!$B$185),1,0)),0)</f>
        <v>0</v>
      </c>
      <c r="AT160" s="436">
        <f>IF(Control!$B$20=8,IF(AND($AH160&gt;=Control!$B$172,$AH160&lt;=Control!$B$173),1,0),0)</f>
        <v>0</v>
      </c>
      <c r="AU160" s="436">
        <f>IF(Control!$B$20=8,IF($AV159=1,1*$AT160,IF($AT160=1,$AU159+1,$AU159)),0)</f>
        <v>0</v>
      </c>
      <c r="AV160" s="436">
        <f>IF(Control!$B$20=8,IF($AU160&gt;=Control!$B$174,1,0),0)</f>
        <v>0</v>
      </c>
      <c r="AW160" s="436">
        <f ca="1">IF(AND(Control!$B$18=2,Control!$B$171=1), $AV160, $AS160)</f>
        <v>0</v>
      </c>
      <c r="AX160" s="436" t="e">
        <f ca="1">IF(AND(Control!$B$18=1,$EU160&gt;=Control!$B$19),-$AY160,IF(AND(Control!$B$18=2,$AW160=1,$EU160&gt;$DS160),-$AY160, IF(Control!$C$108=0,0, IF(Control!$C$108&lt;&gt;0,1))))</f>
        <v>#N/A</v>
      </c>
      <c r="AY160" s="436" t="e">
        <f t="shared" ca="1" si="595"/>
        <v>#N/A</v>
      </c>
      <c r="AZ160" s="436" t="e">
        <f ca="1">IF(AND(Control!$B$18=1,$EB160&gt;Control!$B$19),$AZ159+1, IF(AND(Control!$B$18=2, $AW160=1, $EB160&gt;$DS160), $AZ159+1,$AZ159))</f>
        <v>#N/A</v>
      </c>
      <c r="BA160" s="587">
        <f>IF(Control!$C$81=0,1,IF($AH160&gt;=Control!$C$82,1,0))</f>
        <v>1</v>
      </c>
      <c r="BB160" s="140" t="e">
        <f ca="1">IF($BA160&gt;$BA159,Control!$C$83,IF($AW160&gt;0,$AW160*Control!$C$84,IF(AND(Control!$B$18=1,EN159&lt;&gt;0),Control!$C$84,0)))</f>
        <v>#N/A</v>
      </c>
      <c r="BC160" s="140" t="e">
        <f t="shared" ca="1" si="596"/>
        <v>#N/A</v>
      </c>
      <c r="BD160" s="140" t="e">
        <f ca="1">BC160*IF(OR($G160&lt;Control!$C$92,$G160&gt;Control!$C$95),0,IF(AND($G160&gt;=Control!$C$92,$G160&lt;=Control!$C$93),$G160-Control!$C$92,IF(AND($G160&gt;Control!$C$93,$G160&lt;=Control!$C$94),Control!$C$93-Control!$C$92,IF(AND($G160&gt;Control!$C$94,$G160&lt;=Control!$C$95),(Control!$C$93-Control!$C$92)*(Control!$C$94-$G160)/(Control!$C$95-Control!$C$94)))))</f>
        <v>#N/A</v>
      </c>
      <c r="BE160" s="140" t="e">
        <f t="shared" ca="1" si="597"/>
        <v>#N/A</v>
      </c>
      <c r="BF160" s="140" t="e">
        <f ca="1">IF($BE160&lt;=Control!$C$86,$BE160,Control!$C$86-$BE160)</f>
        <v>#N/A</v>
      </c>
      <c r="BG160" s="140" t="e">
        <f ca="1">IF(AND($AW160=1,Control!$C$84&lt;9),1,IF($BE160&gt;=Control!$C$86,0,$BC160))</f>
        <v>#N/A</v>
      </c>
      <c r="BH160" s="404" t="e">
        <f ca="1">IF($BG160=0,0,IF($BE160&lt;=Control!$C$86,$BC160*9*($BF160/Control!$C$86),0))</f>
        <v>#N/A</v>
      </c>
      <c r="BI160" s="140" t="e">
        <f ca="1">IF($BG160=1,0,IF($BE160&gt;=Control!$C$86,1,IF(AND($BB160&lt;21,$BB160&gt;=9),1,$BM159)))</f>
        <v>#N/A</v>
      </c>
      <c r="BJ160" s="140" t="e">
        <f ca="1">IF($BF160&lt;0,-$BF160,$BI160*IF(OR($G160&lt;Control!$C$92,$G160&gt;Control!$C$95),0,IF(AND($G160&gt;=Control!$C$92,$G160&lt;=Control!$C$93),$G160-Control!$C$92,IF(AND($G160&gt;Control!$C$93,$G160&lt;=Control!$C$94),Control!$C$93-Control!$C$92,IF(AND($G160&gt;Control!$C$94,$G160&lt;=Control!$C$95),(Control!$C$93-Control!$C$92)*(Control!$C$94-$G160)/(Control!$C$95-Control!$C$94))))))</f>
        <v>#N/A</v>
      </c>
      <c r="BK160" s="140" t="e">
        <f t="shared" ca="1" si="598"/>
        <v>#N/A</v>
      </c>
      <c r="BL160" s="140" t="e">
        <f ca="1">IF($BK160&lt;=Control!$C$87,$BK160,Control!$C$87-$BK160)</f>
        <v>#N/A</v>
      </c>
      <c r="BM160" s="140" t="e">
        <f ca="1">IF(AND($BB160&gt;=9,$BB160&lt;21),1,IF($BK160&gt;=Control!$C$87,0,$BI160))</f>
        <v>#N/A</v>
      </c>
      <c r="BN160" s="404" t="e">
        <f ca="1">IF($BM160=0,0,IF($BK160&lt;=Control!$C$87,$BI160*(9+(21-9)*($BL160/Control!$C$87)),0))</f>
        <v>#N/A</v>
      </c>
      <c r="BO160" s="140" t="e">
        <f ca="1">IF($BM160=1,0,IF($BK160&gt;=Control!$C$87,1,IF(AND($BB160&lt;30,$BB160&gt;=21),1,$BS159)))</f>
        <v>#N/A</v>
      </c>
      <c r="BP160" s="140" t="e">
        <f ca="1">IF($BL160&lt;0,-$BL160,$BO160*IF(OR($G160&lt;Control!$C$92,$G160&gt;Control!$C$95),0,IF(AND($G160&gt;=Control!$C$92,$G160&lt;=Control!$C$93),$G160-Control!$C$92,IF(AND($G160&gt;Control!$C$93,$G160&lt;=Control!$C$94),Control!$C$93-Control!$C$92,IF(AND($G160&gt;Control!$C$94,$G160&lt;=Control!$C$95),(Control!$C$93-Control!$C$92)*(Control!$C$94-$G160)/(Control!$C$95-Control!$C$94))))))</f>
        <v>#N/A</v>
      </c>
      <c r="BQ160" s="140" t="e">
        <f t="shared" ca="1" si="482"/>
        <v>#N/A</v>
      </c>
      <c r="BR160" s="140" t="e">
        <f ca="1">IF($BQ160&lt;=Control!$C$88,$BQ160,Control!$C$88-$BQ160)</f>
        <v>#N/A</v>
      </c>
      <c r="BS160" s="140" t="e">
        <f ca="1">IF(AND($BB160&gt;=21,$BB160&lt;30),1,IF($BQ160&gt;=Control!$C$88,0,$BO160))</f>
        <v>#N/A</v>
      </c>
      <c r="BT160" s="404" t="e">
        <f ca="1">IF($BS160=0,0,IF($BQ160&lt;=Control!$C$88,$BO160*(21+(30-21)*(BR160/Control!$C$88)),0))</f>
        <v>#N/A</v>
      </c>
      <c r="BU160" s="140" t="e">
        <f ca="1">IF(BG160+BM160+BS160=1,0,IF(OR(AND($BB160&lt;60,$BB160&gt;=30),$BQ160&gt;=Control!$C$88),1*$BA160,$BY159))</f>
        <v>#N/A</v>
      </c>
      <c r="BV160" s="140" t="e">
        <f ca="1">IF($BR160&lt;0,-$BR160,$BU160*IF(OR($G160&lt;Control!$C$92,$G160&gt;Control!$C$95),0,IF(AND($G160&gt;=Control!$C$92,$G160&lt;=Control!$C$93),$G160-Control!$C$92,IF(AND($G160&gt;Control!$C$93,$G160&lt;=Control!$C$94),Control!$C$93-Control!$C$92,IF(AND($G160&gt;Control!$C$94,$G160&lt;=Control!$C$95),(Control!$C$93-Control!$C$92)*(Control!$C$94-$G160)/(Control!$C$95-Control!$C$94))))))</f>
        <v>#N/A</v>
      </c>
      <c r="BW160" s="140" t="e">
        <f t="shared" ca="1" si="483"/>
        <v>#N/A</v>
      </c>
      <c r="BX160" s="140" t="e">
        <f ca="1">IF($BW160&lt;=Control!$C$89,$BW160,Control!$C$89-$BW160)</f>
        <v>#N/A</v>
      </c>
      <c r="BY160" s="140" t="e">
        <f ca="1">IF(AND($AJ160&gt;=30,$AJ160&lt;60),1,IF($BW160&gt;=Control!$C$89,0,$BU160))</f>
        <v>#N/A</v>
      </c>
      <c r="BZ160" s="404" t="e">
        <f ca="1">IF($BY160=0,0,IF($BW160&lt;=Control!$C$89,$BU160*(30+(60-30)*(BX160/Control!$C$89)),0))</f>
        <v>#N/A</v>
      </c>
      <c r="CA160" s="140" t="e">
        <f ca="1">IF($BG160+$BM160+$BS160+$BY160=1,0,IF(OR(AND($BB160&lt;65,$BB160&gt;=60),$BW160&gt;=Control!$C$89),1*$BA160,$CE159))</f>
        <v>#N/A</v>
      </c>
      <c r="CB160" s="140" t="e">
        <f ca="1">IF($BX160&lt;0,-$BX160,$CA160*IF(OR($G160&lt;Control!$C$92,$G160&gt;Control!$C$95),0,IF(AND($G160&gt;=Control!$C$92,$G160&lt;=Control!$C$93),$G160-Control!$C$92,IF(AND($G160&gt;Control!$C$93,$G160&lt;=Control!$C$94),Control!$C$93-Control!$C$92,IF(AND($G160&gt;Control!$C$94,$G160&lt;=Control!$C$95),(Control!$C$93-Control!$C$92)*(Control!$C$94-$G160)/(Control!$C$95-Control!$C$94))))))</f>
        <v>#N/A</v>
      </c>
      <c r="CC160" s="140" t="e">
        <f t="shared" ca="1" si="599"/>
        <v>#N/A</v>
      </c>
      <c r="CD160" s="140" t="e">
        <f ca="1">IF($CC160&lt;=Control!$C$90,$CC160,Control!$C$90-$CC160)</f>
        <v>#N/A</v>
      </c>
      <c r="CE160" s="140" t="e">
        <f ca="1">IF(AND($BB160&gt;=60,$BB160&lt;65),1,IF($CC160&gt;=Control!$C$90,0,$CA160))</f>
        <v>#N/A</v>
      </c>
      <c r="CF160" s="404" t="e">
        <f ca="1">IF($CE160=0,0,IF($CC160&lt;=Control!$C$90,$CA160*(60+(65-60)*(CD160/Control!$C$90)),0))</f>
        <v>#N/A</v>
      </c>
      <c r="CG160" s="140" t="e">
        <f ca="1">IF($BG160+$BM160+$BS160+$BY160+$CE160=1,0,IF(OR(AND($BB160&lt;90,$BB160&gt;=65),$CC160&gt;=Control!$C$90),$BA160,$CK159))</f>
        <v>#N/A</v>
      </c>
      <c r="CH160" s="140" t="e">
        <f ca="1">IF($CD160&lt;0,-$CD160,$CG160*IF(OR($G160&lt;Control!$C$92,$G160&gt;Control!$C$95),0,IF(AND($G160&gt;=Control!$C$92,$G160&lt;=Control!$C$93),$G160-Control!$C$92,IF(AND($G160&gt;Control!$C$93,$G160&lt;=Control!$C$94),Control!$C$93-Control!$C$92,IF(AND($G160&gt;Control!$C$94,$G160&lt;=Control!$C$95),(Control!$C$93-Control!$C$92)*(Control!$C$94-$G160)/(Control!$C$95-Control!$C$94))))))</f>
        <v>#N/A</v>
      </c>
      <c r="CI160" s="140" t="e">
        <f t="shared" ca="1" si="600"/>
        <v>#N/A</v>
      </c>
      <c r="CJ160" s="140" t="e">
        <f ca="1">IF($CI160&lt;=Control!$C$91,$CI160,Control!$C$91-$CI160)</f>
        <v>#N/A</v>
      </c>
      <c r="CK160" s="140" t="e">
        <f ca="1">IF(AND($BB160&gt;=65,$BB160&lt;90),1,IF($CI160&gt;=Control!$C$91,0,$CG160))</f>
        <v>#N/A</v>
      </c>
      <c r="CL160" s="404" t="e">
        <f ca="1">IF($CK160=0,0,IF($CI160&lt;=Control!$C$91,$CG160*(65+(90-65)*($CJ160/Control!$C$91)),0))</f>
        <v>#N/A</v>
      </c>
      <c r="CM160" s="140" t="e">
        <f ca="1">IF($BG160+$BM160+$BS160+$BY160+$CE160+$CK160=1,0,IF(OR($BB160&gt;=90,$CI160&gt;=Control!$C$91),$BA160,$CM159))</f>
        <v>#N/A</v>
      </c>
      <c r="CN160" s="140" t="e">
        <f t="shared" ca="1" si="601"/>
        <v>#N/A</v>
      </c>
      <c r="CO160" s="140" t="e">
        <f t="shared" ca="1" si="602"/>
        <v>#N/A</v>
      </c>
      <c r="CP160" s="140" t="e">
        <f t="shared" ca="1" si="603"/>
        <v>#N/A</v>
      </c>
      <c r="CQ160" s="141" t="e">
        <f ca="1">VLOOKUP($CP160,Control!$B$86:$G$91,6)</f>
        <v>#N/A</v>
      </c>
      <c r="CR160" s="141" t="e">
        <f ca="1">(1-$CQ160)*VLOOKUP($CP160,Control!$B$86:$D$91,3)</f>
        <v>#N/A</v>
      </c>
      <c r="CS160" s="141" t="e">
        <f ca="1">(1-$CQ160)*VLOOKUP($CP160,Control!$B$86:$E$91,4)</f>
        <v>#N/A</v>
      </c>
      <c r="CT160" s="141" t="e">
        <f ca="1">(1-$CQ160)*VLOOKUP($CP160,Control!$B$86:$F$91,5)</f>
        <v>#N/A</v>
      </c>
      <c r="CU160" s="141">
        <f t="shared" ca="1" si="604"/>
        <v>0</v>
      </c>
      <c r="CV160" s="583">
        <f t="shared" ca="1" si="605"/>
        <v>0</v>
      </c>
      <c r="CW160" s="142">
        <f t="shared" ca="1" si="606"/>
        <v>156</v>
      </c>
      <c r="CX160" s="612" t="e">
        <f ca="1">IF(Control!$C$114=1,(MIN(Control!$C$120*(IF($NT160-0.01&lt;0,0,1)),Control!$C$119-$CY160)))</f>
        <v>#DIV/0!</v>
      </c>
      <c r="CY160" s="143" t="e">
        <f t="shared" ca="1" si="607"/>
        <v>#N/A</v>
      </c>
      <c r="CZ160" s="144">
        <f t="shared" ca="1" si="484"/>
        <v>0</v>
      </c>
      <c r="DA160" s="144">
        <f t="shared" ca="1" si="485"/>
        <v>0</v>
      </c>
      <c r="DB160" s="144" t="e">
        <f t="shared" ca="1" si="486"/>
        <v>#N/A</v>
      </c>
      <c r="DC160" s="144" t="e">
        <f t="shared" ca="1" si="487"/>
        <v>#N/A</v>
      </c>
      <c r="DD160" s="144" t="e">
        <f t="shared" ca="1" si="692"/>
        <v>#N/A</v>
      </c>
      <c r="DE160" s="143" t="e">
        <f t="shared" ca="1" si="608"/>
        <v>#N/A</v>
      </c>
      <c r="DF160" s="145" t="e">
        <f ca="1">$DR160*EXP(-Control!$C$158*(1-$KH160))</f>
        <v>#N/A</v>
      </c>
      <c r="DG160" s="146" t="e">
        <f ca="1">IF(Control!$C$114=1, $DF160*$EY160, 0)</f>
        <v>#N/A</v>
      </c>
      <c r="DH160" s="147" t="e">
        <f t="shared" ca="1" si="609"/>
        <v>#N/A</v>
      </c>
      <c r="DI160" s="144" t="e">
        <f t="shared" ca="1" si="670"/>
        <v>#N/A</v>
      </c>
      <c r="DJ160" s="147" t="e">
        <f ca="1">$EF160*Control!$C$109</f>
        <v>#N/A</v>
      </c>
      <c r="DK160" s="144" t="e">
        <f t="shared" ca="1" si="610"/>
        <v>#N/A</v>
      </c>
      <c r="DL160" s="144" t="e">
        <f t="shared" ca="1" si="488"/>
        <v>#N/A</v>
      </c>
      <c r="DM160" s="144" t="e">
        <f ca="1">IF(Control!$C$114=1, (1-EXP(-Control!$C$96*$DK160))*$AR160, 0)</f>
        <v>#N/A</v>
      </c>
      <c r="DN160" s="144">
        <f t="shared" ca="1" si="611"/>
        <v>0</v>
      </c>
      <c r="DO160" s="148">
        <f>Control!$C$97</f>
        <v>4</v>
      </c>
      <c r="DP160" s="145" t="e">
        <f t="shared" ca="1" si="612"/>
        <v>#N/A</v>
      </c>
      <c r="DQ160" s="145" t="e">
        <f ca="1">IF(AND($CP160&gt;=0,$CP160&lt;=90),Control!$C$111,Control!$C$111)</f>
        <v>#N/A</v>
      </c>
      <c r="DR160" s="145" t="e">
        <f t="shared" ca="1" si="489"/>
        <v>#N/A</v>
      </c>
      <c r="DS160" s="143" t="e">
        <f ca="1">Control!$B$22/$DR160</f>
        <v>#N/A</v>
      </c>
      <c r="DT160" s="149" t="e">
        <f ca="1">IF(AND(Control!$C$114=1,$KH160&lt;1),$IM160*$DF160, 0)</f>
        <v>#N/A</v>
      </c>
      <c r="DU160" s="144" t="e">
        <f t="shared" ca="1" si="613"/>
        <v>#N/A</v>
      </c>
      <c r="DV160" s="144">
        <f ca="1">IF($G160-Control!$C$107&lt;=0, 0, 0.83*LN(MAX($G160, 3))-0.8924)</f>
        <v>0</v>
      </c>
      <c r="DW160" s="144" t="e">
        <f t="shared" ca="1" si="490"/>
        <v>#N/A</v>
      </c>
      <c r="DX160" s="150" t="e">
        <f ca="1">MAX(0.01*(1+$CU160/Control!$C$102),0.05*($DK160-Control!$C$97)/Control!$C$97)</f>
        <v>#N/A</v>
      </c>
      <c r="DY160" s="151" t="e">
        <f ca="1">IF(Control!$C$114=1, $DI160*$FS160, 0)</f>
        <v>#N/A</v>
      </c>
      <c r="DZ160" s="196" t="e">
        <f t="shared" ca="1" si="614"/>
        <v>#N/A</v>
      </c>
      <c r="EA160" s="152">
        <f t="shared" ca="1" si="615"/>
        <v>156</v>
      </c>
      <c r="EB160" s="153" t="e">
        <f t="shared" ca="1" si="616"/>
        <v>#N/A</v>
      </c>
      <c r="EC160" s="153" t="e">
        <f t="shared" ca="1" si="617"/>
        <v>#N/A</v>
      </c>
      <c r="ED160" s="154" t="e">
        <f ca="1">IF(Control!$C$114=1, $HM160*$FY160-$FD160, 0)</f>
        <v>#DIV/0!</v>
      </c>
      <c r="EE160" s="155" t="e">
        <f ca="1">IF(Control!$C$114=1, $HM160*$FZ160-$FF160, 0)</f>
        <v>#DIV/0!</v>
      </c>
      <c r="EF160" s="153" t="e">
        <f t="shared" ca="1" si="671"/>
        <v>#N/A</v>
      </c>
      <c r="EG160" s="155" t="e">
        <f ca="1">IF(Control!$C$114=1, $GX160*$FW160-$FI160, 0)</f>
        <v>#DIV/0!</v>
      </c>
      <c r="EH160" s="153" t="e">
        <f t="shared" ca="1" si="618"/>
        <v>#N/A</v>
      </c>
      <c r="EI160" s="156" t="e">
        <f t="shared" ca="1" si="619"/>
        <v>#N/A</v>
      </c>
      <c r="EJ160" s="155" t="e">
        <f ca="1">IF(Control!$C$114=1, $HM160*$GB160, 0)</f>
        <v>#DIV/0!</v>
      </c>
      <c r="EK160" s="153" t="e">
        <f t="shared" ca="1" si="672"/>
        <v>#N/A</v>
      </c>
      <c r="EL160" s="153" t="e">
        <f t="shared" ca="1" si="491"/>
        <v>#N/A</v>
      </c>
      <c r="EM160" s="153" t="e">
        <f t="shared" ca="1" si="492"/>
        <v>#N/A</v>
      </c>
      <c r="EN160" s="153" t="e">
        <f ca="1">IF(Control!$C$108=1,IF(AND(Control!$B$18=1,$EB160&gt;=Control!$B$19),$EB160-$DS160,IF(AND(Control!$B$18=2,$AW160=1,$EB160&gt;$DS160),$EB160-$DS160,0)))</f>
        <v>#N/A</v>
      </c>
      <c r="EO160" s="153" t="e">
        <f ca="1">IF(Control!$C$108=1,IF(AND(Control!$B$18=1,$EB160&gt;=Control!$B$19),$EF160,IF(AND(Control!$B$18=2,$AW160=1),$EF160,0)))</f>
        <v>#N/A</v>
      </c>
      <c r="EP160" s="153" t="e">
        <f ca="1">IF(Control!$C$108=1,IF(AND(Control!$B$18=1,$EB160&gt;=Control!$B$19),$EK160,IF(AND(Control!$B$18=2,$AW160=1),$EK160,0)))</f>
        <v>#N/A</v>
      </c>
      <c r="EQ160" s="153" t="e">
        <f t="shared" ca="1" si="620"/>
        <v>#N/A</v>
      </c>
      <c r="ER160" s="153" t="e">
        <f t="shared" ca="1" si="621"/>
        <v>#N/A</v>
      </c>
      <c r="ES160" s="153" t="e">
        <f t="shared" ca="1" si="673"/>
        <v>#N/A</v>
      </c>
      <c r="ET160" s="153" t="e">
        <f t="shared" ca="1" si="674"/>
        <v>#N/A</v>
      </c>
      <c r="EU160" s="153" t="e">
        <f t="shared" ca="1" si="622"/>
        <v>#N/A</v>
      </c>
      <c r="EV160" s="153" t="e">
        <f t="shared" ca="1" si="493"/>
        <v>#N/A</v>
      </c>
      <c r="EW160" s="153" t="e">
        <f t="shared" ca="1" si="494"/>
        <v>#N/A</v>
      </c>
      <c r="EX160" s="153" t="e">
        <f t="shared" ca="1" si="495"/>
        <v>#N/A</v>
      </c>
      <c r="EY160" s="157" t="e">
        <f t="shared" ca="1" si="496"/>
        <v>#DIV/0!</v>
      </c>
      <c r="EZ160" s="154" t="e">
        <f t="shared" ca="1" si="497"/>
        <v>#DIV/0!</v>
      </c>
      <c r="FA160" s="153" t="e">
        <f t="shared" ca="1" si="623"/>
        <v>#N/A</v>
      </c>
      <c r="FB160" s="153" t="e">
        <f t="shared" ca="1" si="498"/>
        <v>#N/A</v>
      </c>
      <c r="FC160" s="193" t="e">
        <f t="shared" ca="1" si="499"/>
        <v>#N/A</v>
      </c>
      <c r="FD160" s="158" t="e">
        <f t="shared" ca="1" si="624"/>
        <v>#N/A</v>
      </c>
      <c r="FE160" s="158" t="e">
        <f t="shared" ca="1" si="625"/>
        <v>#N/A</v>
      </c>
      <c r="FF160" s="159" t="e">
        <f t="shared" ca="1" si="500"/>
        <v>#N/A</v>
      </c>
      <c r="FG160" s="160" t="e">
        <f t="shared" ca="1" si="626"/>
        <v>#N/A</v>
      </c>
      <c r="FH160" s="158" t="e">
        <f t="shared" ca="1" si="627"/>
        <v>#N/A</v>
      </c>
      <c r="FI160" s="159" t="e">
        <f t="shared" ca="1" si="501"/>
        <v>#N/A</v>
      </c>
      <c r="FJ160" s="160" t="e">
        <f t="shared" ca="1" si="628"/>
        <v>#N/A</v>
      </c>
      <c r="FK160" s="160" t="e">
        <f t="shared" ca="1" si="502"/>
        <v>#N/A</v>
      </c>
      <c r="FL160" s="160" t="e">
        <f t="shared" ca="1" si="675"/>
        <v>#N/A</v>
      </c>
      <c r="FM160" s="160" t="e">
        <f t="shared" ca="1" si="503"/>
        <v>#N/A</v>
      </c>
      <c r="FN160" s="158">
        <f t="shared" ca="1" si="629"/>
        <v>0.01</v>
      </c>
      <c r="FO160" s="160">
        <f>Control!$C$101</f>
        <v>50</v>
      </c>
      <c r="FP160" s="150" t="e">
        <f t="shared" ca="1" si="504"/>
        <v>#N/A</v>
      </c>
      <c r="FQ160" s="150" t="e">
        <f ca="1">MAX(0,(Control!$C$112*(($DK160-Control!$C$97)/Control!$C$97)))</f>
        <v>#N/A</v>
      </c>
      <c r="FR160" s="150" t="e">
        <f ca="1">(1-$NT160)*Control!$C$113</f>
        <v>#DIV/0!</v>
      </c>
      <c r="FS160" s="198" t="e">
        <f t="shared" ca="1" si="505"/>
        <v>#N/A</v>
      </c>
      <c r="FT160" s="161">
        <f t="shared" ca="1" si="630"/>
        <v>156</v>
      </c>
      <c r="FU160" s="162" t="e">
        <f ca="1">IF(Control!$B$34=1,VLOOKUP($CP160,Control!$B$86:$G$91,6),Control!$B$35)</f>
        <v>#N/A</v>
      </c>
      <c r="FV160" s="162" t="e">
        <f t="shared" ca="1" si="506"/>
        <v>#DIV/0!</v>
      </c>
      <c r="FW160" s="162" t="e">
        <f ca="1">IF(Control!$B$31=1,$FU160*$FV160,  $FU160)</f>
        <v>#N/A</v>
      </c>
      <c r="FX160" s="162" t="e">
        <f ca="1">IF(Control!$B$34=1,VLOOKUP($CP160,Control!$B$86:$G$91,3),Control!$B$36)</f>
        <v>#N/A</v>
      </c>
      <c r="FY160" s="162" t="e">
        <f t="shared" ca="1" si="507"/>
        <v>#N/A</v>
      </c>
      <c r="FZ160" s="162" t="e">
        <f ca="1">IF(Control!$B$34=1,VLOOKUP($CP160,Control!$B$86:$G$91,4),Control!$B$37)</f>
        <v>#N/A</v>
      </c>
      <c r="GA160" s="162" t="e">
        <f t="shared" ca="1" si="508"/>
        <v>#N/A</v>
      </c>
      <c r="GB160" s="162" t="e">
        <f ca="1">IF(Control!$B$34=1,VLOOKUP($CP160,Control!$B$86:$G$91,5),Control!$B$38)</f>
        <v>#N/A</v>
      </c>
      <c r="GC160" s="162" t="e">
        <f t="shared" ca="1" si="631"/>
        <v>#N/A</v>
      </c>
      <c r="GD160" s="162">
        <f t="shared" ca="1" si="509"/>
        <v>1</v>
      </c>
      <c r="GE160" s="162">
        <f t="shared" ca="1" si="510"/>
        <v>1</v>
      </c>
      <c r="GF160" s="162">
        <f ca="1">IF(AND(Control!$C$104=1, Control!$C$62="F"),$GE160,1)</f>
        <v>1</v>
      </c>
      <c r="GG160" s="162" t="e">
        <f ca="1">IF(Control!$B$16=40,0,IF(AND(Control!$B$16&gt;40,Control!$B$16&lt;=360),(Control!$B$16-40)*((1-0)/(360-40)),IF(AND(Control!$B$16&gt;360,Control!$B$16&lt;=720),(1+(Control!$B$16-360)*((1.25-1)/(720-360))),IF(AND(Control!$B$16&gt;720,Control!$B$16&lt;=1000),(1.25+(Control!$B$16-720)*((1.35-1.25)/(1000-720))),IF(AND(Control!$B$16&gt;1000,Control!$B$16&lt;=2000),(1.35+(Control!$B$16-1000)*0))))))</f>
        <v>#N/A</v>
      </c>
      <c r="GH160" s="162" t="e">
        <f t="shared" ca="1" si="511"/>
        <v>#N/A</v>
      </c>
      <c r="GI160" s="162">
        <f t="shared" ca="1" si="632"/>
        <v>0</v>
      </c>
      <c r="GJ160" s="162">
        <f t="shared" ca="1" si="512"/>
        <v>0</v>
      </c>
      <c r="GK160" s="162">
        <f t="shared" ca="1" si="633"/>
        <v>1</v>
      </c>
      <c r="GL160" s="162">
        <f t="shared" ca="1" si="513"/>
        <v>1</v>
      </c>
      <c r="GM160" s="162" t="e">
        <f ca="1">MAX(0,MIN(1,1-Control!$C$156*(1.0001-$KH160)^2))</f>
        <v>#N/A</v>
      </c>
      <c r="GN160" s="162" t="e">
        <f ca="1">IF(Control!$B$26=1,$KU160,$KX160)</f>
        <v>#N/A</v>
      </c>
      <c r="GO160" s="162" t="e">
        <f ca="1">IF($CP160&lt;=60,Control!$C$105,IF($CP160&gt;=90,Control!$C$106,Control!$C$105+($CP160-60)*((Control!$C$106-Control!$C$105)/(90-60))))</f>
        <v>#N/A</v>
      </c>
      <c r="GP160" s="162" t="e">
        <f t="shared" ca="1" si="514"/>
        <v>#N/A</v>
      </c>
      <c r="GQ160" s="162" t="e">
        <f t="shared" ca="1" si="634"/>
        <v>#N/A</v>
      </c>
      <c r="GR160" s="163" t="e">
        <f t="shared" ca="1" si="515"/>
        <v>#DIV/0!</v>
      </c>
      <c r="GS160" s="162" t="e">
        <f t="shared" ca="1" si="516"/>
        <v>#DIV/0!</v>
      </c>
      <c r="GT160" s="164" t="e">
        <f t="shared" ca="1" si="635"/>
        <v>#N/A</v>
      </c>
      <c r="GU160" s="162" t="e">
        <f t="shared" ca="1" si="636"/>
        <v>#N/A</v>
      </c>
      <c r="GV160" s="162" t="e">
        <f t="shared" ca="1" si="517"/>
        <v>#N/A</v>
      </c>
      <c r="GW160" s="162" t="e">
        <f t="shared" ca="1" si="518"/>
        <v>#DIV/0!</v>
      </c>
      <c r="GX160" s="162" t="e">
        <f t="shared" ca="1" si="637"/>
        <v>#DIV/0!</v>
      </c>
      <c r="GY160" s="162" t="e">
        <f t="shared" ca="1" si="638"/>
        <v>#DIV/0!</v>
      </c>
      <c r="GZ160" s="165" t="e">
        <f t="shared" ca="1" si="519"/>
        <v>#N/A</v>
      </c>
      <c r="HA160" s="162" t="e">
        <f ca="1">IF(Control!$C$114=1, $DI160*$FS160, 0)</f>
        <v>#N/A</v>
      </c>
      <c r="HB160" s="162" t="e">
        <f ca="1">$FA160/Control!$C$64</f>
        <v>#N/A</v>
      </c>
      <c r="HC160" s="162" t="e">
        <f t="shared" ca="1" si="520"/>
        <v>#DIV/0!</v>
      </c>
      <c r="HD160" s="162">
        <f ca="1">-ASIN(SIN(23.45*Control!$C$139)*COS(2*Control!$C$138*($AH160+10)/365))</f>
        <v>0.39196539144803894</v>
      </c>
      <c r="HE160" s="165">
        <f t="shared" ca="1" si="639"/>
        <v>0</v>
      </c>
      <c r="HF160" s="166">
        <f ca="1">IF(AND(Control!$C$61="T",$HE160&gt;=Control!$C$103,Control!$C$114=0),$AH160,Control!$C$59)</f>
        <v>1</v>
      </c>
      <c r="HG160" s="166">
        <f ca="1">IF(AND(Control!$C$61="T",$HE160&gt;=Control!$C$103,Control!$C$114=0),$HF160,Control!$C$59)</f>
        <v>1</v>
      </c>
      <c r="HH160" s="165">
        <f ca="1">IF(AND(OR(Control!$C$60&lt;=0, $AH160= Control!$C$59, Control!$C$60 &gt;0, $AH160 = Control!$C$60)), Control!$C$59, IF(Control!$C$60&gt;0, 0))</f>
        <v>1</v>
      </c>
      <c r="HI160" s="165">
        <f ca="1">IF(AND(OR(Control!$C$60&lt;=0, $AH160= Control!$C$59, Control!$C$60 &gt;0, $AH160 = Control!$C$60)), Control!$C$60, IF(Control!$C$60&lt;=0, 0))</f>
        <v>0</v>
      </c>
      <c r="HJ160" s="166">
        <f ca="1">IF(AND(Control!$C$62="F",$CV160&gt;=Control!$C$102),$AH160,0)</f>
        <v>0</v>
      </c>
      <c r="HK160" s="165" t="e">
        <f t="shared" ca="1" si="676"/>
        <v>#N/A</v>
      </c>
      <c r="HL160" s="166">
        <f ca="1">IF(AND(Control!$C$61="T",$HE160&gt;=Control!$C$103,Control!$C$114=0),$HF160,0)</f>
        <v>0</v>
      </c>
      <c r="HM160" s="201" t="e">
        <f t="shared" ca="1" si="521"/>
        <v>#DIV/0!</v>
      </c>
      <c r="HN160" s="215">
        <f t="shared" ca="1" si="640"/>
        <v>156</v>
      </c>
      <c r="HO160" s="216" t="e">
        <f ca="1">IF(AND($CP160&gt;=0, $CP160&lt;=90), Control!$C$152, Control!$C$152)</f>
        <v>#N/A</v>
      </c>
      <c r="HP160" s="216" t="e">
        <f t="shared" ca="1" si="522"/>
        <v>#N/A</v>
      </c>
      <c r="HQ160" s="217" t="e">
        <f ca="1">IF(OR(Control!$B$26=1,Control!$B$26=2),$KV160,$KS160)</f>
        <v>#DIV/0!</v>
      </c>
      <c r="HR160" s="218" t="e">
        <f t="shared" ca="1" si="677"/>
        <v>#DIV/0!</v>
      </c>
      <c r="HS160" s="216" t="e">
        <f ca="1">Control!$C$154*$HP160</f>
        <v>#N/A</v>
      </c>
      <c r="HT160" s="216" t="e">
        <f ca="1">Control!$C$155*$HP160</f>
        <v>#N/A</v>
      </c>
      <c r="HU160" s="217" t="e">
        <f ca="1">Control!$C$161*$FI160</f>
        <v>#N/A</v>
      </c>
      <c r="HV160" s="218" t="e">
        <f t="shared" ca="1" si="641"/>
        <v>#N/A</v>
      </c>
      <c r="HW160" s="218" t="e">
        <f ca="1">Control!$C$160*$FF160+$IP160*$EO160</f>
        <v>#N/A</v>
      </c>
      <c r="HX160" s="218" t="e">
        <f t="shared" ca="1" si="678"/>
        <v>#N/A</v>
      </c>
      <c r="HY160" s="219" t="e">
        <f ca="1">IF(Control!$C$114=1, $EB160*$FS160, 0)</f>
        <v>#N/A</v>
      </c>
      <c r="HZ160" s="91" t="e">
        <f t="shared" ca="1" si="523"/>
        <v>#N/A</v>
      </c>
      <c r="IA160" s="220" t="e">
        <f ca="1">Control!$C$153*$HO160</f>
        <v>#N/A</v>
      </c>
      <c r="IB160" s="218" t="e">
        <f t="shared" ca="1" si="524"/>
        <v>#N/A</v>
      </c>
      <c r="IC160" s="220" t="e">
        <f ca="1">Control!$C$153*$HT160</f>
        <v>#N/A</v>
      </c>
      <c r="ID160" s="218" t="e">
        <f t="shared" ca="1" si="525"/>
        <v>#N/A</v>
      </c>
      <c r="IE160" s="221" t="e">
        <f ca="1">($EB160*Control!$C$159+$EF160*Control!$C$160)/(IF($GZ160&lt;&gt;0,$GZ160,1))</f>
        <v>#N/A</v>
      </c>
      <c r="IF160" s="216" t="e">
        <f t="shared" ca="1" si="526"/>
        <v>#N/A</v>
      </c>
      <c r="IG160" s="91">
        <f ca="1">IF(OR(Control!$B$198=$AH160,Control!$B$199=$AH160, Control!$B$200=$AH160, Control!$B$201=$AH160, Control!$B$202=$AH160, Control!$B$203=$AH160, Control!$B$204=$AH160, Control!$B$205=$AH160, Control!$B$206=$AH160, Control!$B$207=$AH160), 1, 0)</f>
        <v>0</v>
      </c>
      <c r="IH160" s="91">
        <f ca="1">IF($IG160=0,0, VLOOKUP($AH160,Control!$B$198:$C$207,2))</f>
        <v>0</v>
      </c>
      <c r="II160" s="222">
        <f t="shared" ca="1" si="642"/>
        <v>0</v>
      </c>
      <c r="IJ160" s="91">
        <f>Control!$C$121</f>
        <v>0.7</v>
      </c>
      <c r="IK160" s="218">
        <f t="shared" ca="1" si="527"/>
        <v>0</v>
      </c>
      <c r="IL160" s="217" t="e">
        <f t="shared" ca="1" si="679"/>
        <v>#N/A</v>
      </c>
      <c r="IM160" s="223" t="e">
        <f ca="1">IF(AND(Control!$C$114=1,$KH160&lt;1),$EB160*Control!$C$148*(1-$KH160), 0)</f>
        <v>#N/A</v>
      </c>
      <c r="IN160" s="217" t="e">
        <f t="shared" ca="1" si="528"/>
        <v>#DIV/0!</v>
      </c>
      <c r="IO160" s="91" t="e">
        <f ca="1">MAX(0,$IL160-$EF160*Control!$C$160)</f>
        <v>#N/A</v>
      </c>
      <c r="IP160" s="220" t="e">
        <f t="shared" ca="1" si="529"/>
        <v>#N/A</v>
      </c>
      <c r="IQ160" s="217" t="e">
        <f t="shared" ca="1" si="643"/>
        <v>#N/A</v>
      </c>
      <c r="IR160" s="218" t="e">
        <f t="shared" ca="1" si="530"/>
        <v>#N/A</v>
      </c>
      <c r="IS160" s="217" t="e">
        <f ca="1">Control!$C$159*MAX(0,$FD160-$EN160)</f>
        <v>#N/A</v>
      </c>
      <c r="IT160" s="217" t="e">
        <f t="shared" ca="1" si="680"/>
        <v>#N/A</v>
      </c>
      <c r="IU160" s="217" t="e">
        <f t="shared" ca="1" si="644"/>
        <v>#N/A</v>
      </c>
      <c r="IV160" s="217" t="e">
        <f t="shared" ca="1" si="681"/>
        <v>#N/A</v>
      </c>
      <c r="IW160" s="217" t="e">
        <f ca="1">IF(OR($AW160=1,AND($AW160=0, Control!$B$18=1,$EN160&lt;&gt;0)), $IQ160-$IU160, $IQ160)</f>
        <v>#N/A</v>
      </c>
      <c r="IX160" s="218" t="e">
        <f t="shared" ca="1" si="531"/>
        <v>#N/A</v>
      </c>
      <c r="IY160" s="218" t="e">
        <f ca="1">MAX(0,$IQ160-$EB160*Control!$C$159)</f>
        <v>#N/A</v>
      </c>
      <c r="IZ160" s="218" t="e">
        <f t="shared" ca="1" si="532"/>
        <v>#N/A</v>
      </c>
      <c r="JA160" s="216" t="e">
        <f t="shared" ca="1" si="533"/>
        <v>#N/A</v>
      </c>
      <c r="JB160" s="217" t="e">
        <f t="shared" ca="1" si="534"/>
        <v>#N/A</v>
      </c>
      <c r="JC160" s="222" t="e">
        <f ca="1">MAX(Control!$C$157*$EK160-$JT160, 0)/Control!$C$162</f>
        <v>#N/A</v>
      </c>
      <c r="JD160" s="218" t="e">
        <f t="shared" ca="1" si="535"/>
        <v>#N/A</v>
      </c>
      <c r="JE160" s="218" t="e">
        <f t="shared" ca="1" si="536"/>
        <v>#N/A</v>
      </c>
      <c r="JF160" s="218" t="e">
        <f t="shared" ca="1" si="645"/>
        <v>#N/A</v>
      </c>
      <c r="JG160" s="218" t="e">
        <f t="shared" ca="1" si="537"/>
        <v>#N/A</v>
      </c>
      <c r="JH160" s="217" t="e">
        <f t="shared" ca="1" si="646"/>
        <v>#N/A</v>
      </c>
      <c r="JI160" s="217" t="e">
        <f t="shared" ca="1" si="647"/>
        <v>#N/A</v>
      </c>
      <c r="JJ160" s="217" t="e">
        <f t="shared" ca="1" si="682"/>
        <v>#N/A</v>
      </c>
      <c r="JK160" s="217" t="e">
        <f ca="1">IF(Control!$C$114=1,IF(Control!$B$24=0,MAX(0,$JI160)*$GN160/Control!$C$64,(MAX(0,MIN($JI160,$JJ160*$GN160/Control!$C$64),0))))</f>
        <v>#N/A</v>
      </c>
      <c r="JL160" s="217" t="e">
        <f ca="1">$IK160/Control!$C$64-$JK160+$HQ160</f>
        <v>#N/A</v>
      </c>
      <c r="JM160" s="217" t="e">
        <f ca="1">IF(Control!$C$114=1,($JB160/(IF($JI160&lt;&gt;0,$JI160,1)))*$JK160,0)</f>
        <v>#N/A</v>
      </c>
      <c r="JN160" s="217" t="e">
        <f ca="1">IF(Control!$C$114=1,($JG160/(IF($JI160&lt;&gt;0,$JI160,1)))*$JK160, 0)</f>
        <v>#N/A</v>
      </c>
      <c r="JO160" s="218" t="e">
        <f t="shared" ca="1" si="538"/>
        <v>#N/A</v>
      </c>
      <c r="JP160" s="218" t="e">
        <f ca="1">MIN(($IY160+$IO160)*Control!$C$151, $JF160-$EH160*Control!$C$161)</f>
        <v>#N/A</v>
      </c>
      <c r="JQ160" s="218" t="e">
        <f t="shared" ca="1" si="539"/>
        <v>#N/A</v>
      </c>
      <c r="JR160" s="217" t="e">
        <f ca="1">IF($CP160-Control!$C$150&lt;0, 0, $JQ160/Control!$C$162)</f>
        <v>#N/A</v>
      </c>
      <c r="JS160" s="218" t="e">
        <f t="shared" ca="1" si="540"/>
        <v>#N/A</v>
      </c>
      <c r="JT160" s="218" t="e">
        <f t="shared" ca="1" si="648"/>
        <v>#N/A</v>
      </c>
      <c r="JU160" s="218" t="e">
        <f t="shared" ca="1" si="541"/>
        <v>#N/A</v>
      </c>
      <c r="JV160" s="218" t="e">
        <f t="shared" ca="1" si="542"/>
        <v>#N/A</v>
      </c>
      <c r="JW160" s="216" t="e">
        <f t="shared" ca="1" si="543"/>
        <v>#N/A</v>
      </c>
      <c r="JX160" s="91" t="e">
        <f t="shared" ca="1" si="544"/>
        <v>#N/A</v>
      </c>
      <c r="JY160" s="218" t="e">
        <f t="shared" ca="1" si="545"/>
        <v>#N/A</v>
      </c>
      <c r="JZ160" s="217" t="e">
        <f ca="1">IF(Control!$C$114=1,($IZ160/(IF($JI160&lt;&gt;0,$JI160,1)))*$JK160, 0)</f>
        <v>#N/A</v>
      </c>
      <c r="KA160" s="218" t="e">
        <f t="shared" ca="1" si="683"/>
        <v>#N/A</v>
      </c>
      <c r="KB160" s="218" t="e">
        <f t="shared" ca="1" si="649"/>
        <v>#N/A</v>
      </c>
      <c r="KC160" s="218" t="e">
        <f t="shared" ca="1" si="546"/>
        <v>#N/A</v>
      </c>
      <c r="KD160" s="218" t="e">
        <f t="shared" ca="1" si="547"/>
        <v>#N/A</v>
      </c>
      <c r="KE160" s="218" t="e">
        <f t="shared" ca="1" si="548"/>
        <v>#N/A</v>
      </c>
      <c r="KF160" s="218" t="e">
        <f t="shared" ca="1" si="549"/>
        <v>#N/A</v>
      </c>
      <c r="KG160" s="216" t="e">
        <f t="shared" ca="1" si="550"/>
        <v>#N/A</v>
      </c>
      <c r="KH160" s="221" t="e">
        <f ca="1">IF(Control!$B$24=0,1,MAX(0.001,MIN(1,IF(($IF160-$IE160)&lt;&gt;0,($KG160-$IE160)/($IF160-$IE160),1))))</f>
        <v>#N/A</v>
      </c>
      <c r="KI160" s="222" t="e">
        <f ca="1">IF(Control!$C$114=1, $KI159+ $KH159, 0)</f>
        <v>#N/A</v>
      </c>
      <c r="KJ160" s="217" t="e">
        <f t="shared" ca="1" si="551"/>
        <v>#N/A</v>
      </c>
      <c r="KK160" s="218" t="e">
        <f t="shared" ca="1" si="552"/>
        <v>#N/A</v>
      </c>
      <c r="KL160" s="274" t="e">
        <f ca="1">IF(Control!$B$26=3,4000000000*EXP(-8400/($G160+273)),IF(Control!$B$26=4,4000000000*EXP(-8400/($G160+273))*($KT160),0))</f>
        <v>#DIV/0!</v>
      </c>
      <c r="KM160" s="274" t="e">
        <f ca="1">IF(Control!$B$26=3,5600000000000*EXP(-9800/($G160+273)),IF(Control!$B$26=4,5600000000000*EXP(-9800/($G160+273))*$KT160,0))</f>
        <v>#DIV/0!</v>
      </c>
      <c r="KN160" s="454" t="e">
        <f t="shared" ca="1" si="650"/>
        <v>#DIV/0!</v>
      </c>
      <c r="KO160" s="274" t="e">
        <f t="shared" ca="1" si="651"/>
        <v>#DIV/0!</v>
      </c>
      <c r="KP160" s="454" t="e">
        <f t="shared" ca="1" si="553"/>
        <v>#DIV/0!</v>
      </c>
      <c r="KQ160" s="454" t="e">
        <f t="shared" ca="1" si="554"/>
        <v>#DIV/0!</v>
      </c>
      <c r="KR160" s="454" t="e">
        <f t="shared" ca="1" si="555"/>
        <v>#DIV/0!</v>
      </c>
      <c r="KS160" s="454" t="e">
        <f t="shared" ca="1" si="556"/>
        <v>#DIV/0!</v>
      </c>
      <c r="KT160" s="455" t="e">
        <f t="shared" ca="1" si="557"/>
        <v>#DIV/0!</v>
      </c>
      <c r="KU160" s="456" t="e">
        <f ca="1">IF($CP160-Control!$C$149&lt;0, IF($NT160-0.01&lt;0,0,1),0)</f>
        <v>#N/A</v>
      </c>
      <c r="KV160" s="456" t="e">
        <f ca="1">IF(Control!$C$114=1,MAX(0,MIN(Control!$C$125*$KW160*$GN160,$KW160)))</f>
        <v>#DIV/0!</v>
      </c>
      <c r="KW160" s="456" t="e">
        <f t="shared" ca="1" si="684"/>
        <v>#DIV/0!</v>
      </c>
      <c r="KX160" s="457" t="e">
        <f ca="1">IF($CP160-Control!$C$149&lt;0, IF($MR160-$OM160&lt;0,0,1),0)</f>
        <v>#N/A</v>
      </c>
      <c r="KY160" s="167">
        <f t="shared" ca="1" si="652"/>
        <v>156</v>
      </c>
      <c r="KZ160" s="168">
        <f ca="1">1370*(1+0.033*COS(2*Control!$C$138*$AH160/365))</f>
        <v>1329.4128961141014</v>
      </c>
      <c r="LA160" s="169">
        <f t="shared" ca="1" si="653"/>
        <v>0.97037446801337024</v>
      </c>
      <c r="LB160" s="169">
        <f t="shared" ca="1" si="654"/>
        <v>0.3935896579368216</v>
      </c>
      <c r="LC160" s="169">
        <f ca="1">ACOS(-TAN((2*Control!$B$8/360))*TAN(Calculations!$LB160))</f>
        <v>1.6945275707843881</v>
      </c>
      <c r="LD160" s="169">
        <f ca="1">((24*60)/PI())*0.082*$LA160*(($LC160*SIN(Control!$B$8*2*PI()/360))*SIN($LB160)+COS(Control!$B$8*2*PI()/360)*COS($LB160)*SIN($LC160))</f>
        <v>39.256768438372852</v>
      </c>
      <c r="LE160" s="170">
        <f t="shared" ca="1" si="558"/>
        <v>40.791171453488772</v>
      </c>
      <c r="LF160" s="170">
        <f ca="1">SIN(Control!$C$139*Control!$B$8)*SIN($HD160)</f>
        <v>0.30102493163083366</v>
      </c>
      <c r="LG160" s="170">
        <f ca="1">COS(Control!$C$139*Control!$B$8)*COS($HD160)</f>
        <v>0.56896819729379</v>
      </c>
      <c r="LH160" s="170">
        <f ca="1">12*(1+2*ASIN(MAX(-1,MIN(1,$LF160/$LG160))/Control!$C$138))</f>
        <v>16.061153269760311</v>
      </c>
      <c r="LI160" s="170">
        <f ca="1">12*(1+2*ASIN(MAX(-1,MIN(1,(-SIN(-4*Control!$C$139)+$LF160)/$LG160))/Control!$C$138))</f>
        <v>17.014820117627806</v>
      </c>
      <c r="LJ160" s="168">
        <f ca="1">3600*($LH160*$LF160+24*$LG160*SQRT(1-$LK160*$LK160)/Control!$C$138)</f>
        <v>30683.598431098515</v>
      </c>
      <c r="LK160" s="170">
        <f t="shared" ca="1" si="559"/>
        <v>0.52907163012381464</v>
      </c>
      <c r="LL160" s="170">
        <f t="shared" ca="1" si="560"/>
        <v>0</v>
      </c>
      <c r="LM160" s="171">
        <f ca="1">Control!$C$145*$AB160</f>
        <v>6.6660906138995932E-2</v>
      </c>
      <c r="LN160" s="170">
        <f t="shared" ca="1" si="655"/>
        <v>0.54</v>
      </c>
      <c r="LO160" s="170">
        <f t="shared" ca="1" si="561"/>
        <v>0</v>
      </c>
      <c r="LP160" s="170">
        <f ca="1">Control!$C$140*((($D160+273.16)^4+($E160+273.16)^4)/2)*(0.34-0.14*SQRT($Y160))*(1.35*$AQ160/(0.75*$LD160)-0.35)</f>
        <v>-3.2464704755046001</v>
      </c>
      <c r="LQ160" s="170">
        <f ca="1">Control!$C$140*($G160+273)^4*(0.56-0.079*SQRT($Y160*10))*(0.1+0.9*$LO160)</f>
        <v>1.5241745131704001</v>
      </c>
      <c r="LR160" s="170">
        <f ca="1">$AQ160*(1-Control!$C$142)-$LQ160</f>
        <v>-1.5241745131704001</v>
      </c>
      <c r="LS160" s="170">
        <f ca="1">$AQ160*(1-Control!$C$143)-$LQ160</f>
        <v>-1.5241745131704001</v>
      </c>
      <c r="LT160" s="170">
        <f ca="1">$AQ160*(1-Control!$C$144)-$LQ160</f>
        <v>-1.5241745131704001</v>
      </c>
      <c r="LU160" s="169">
        <f ca="1">(1-Control!$C$144)*AQ160-LP160</f>
        <v>3.2464704755046001</v>
      </c>
      <c r="LV160" s="172">
        <f t="shared" ca="1" si="562"/>
        <v>0.79430000000000012</v>
      </c>
      <c r="LW160" s="170">
        <f t="shared" ca="1" si="563"/>
        <v>1.5886000000000002</v>
      </c>
      <c r="LX160" s="170">
        <f ca="1">($AC160*($LR160/Control!$C$141)+$LM160*$LV160)/($AC160+$LM160)</f>
        <v>0.23530094218323697</v>
      </c>
      <c r="LY160" s="170">
        <f ca="1">($AC160*($LS160/Control!$C$141)+$LM160*$LV160)/($AC160+$LM160)</f>
        <v>0.23530094218323697</v>
      </c>
      <c r="LZ160" s="170">
        <f t="shared" ca="1" si="564"/>
        <v>0.23530094218323697</v>
      </c>
      <c r="MA160" s="170">
        <f t="shared" ca="1" si="565"/>
        <v>0.23530094218323697</v>
      </c>
      <c r="MB160" s="170" t="e">
        <f t="shared" ca="1" si="566"/>
        <v>#N/A</v>
      </c>
      <c r="MC160" s="170">
        <f t="shared" ca="1" si="656"/>
        <v>0.6018</v>
      </c>
      <c r="MD160" s="170">
        <f t="shared" ca="1" si="567"/>
        <v>0.52989392535414004</v>
      </c>
      <c r="ME160" s="170">
        <f ca="1">($AC160*($LT160/Control!$C$141)+$LM160*$LW160)/($AC160+$LM160)</f>
        <v>0.71612369323045078</v>
      </c>
      <c r="MF160" s="170" t="e">
        <f ca="1">IF(Control!$B$16&gt;=1000,0.92,IF(AND(720&lt;=Control!$B$16,1000&gt;Control!$B$16),(0.95+(Control!$B$16-720)*((0.92-0.95)/(1000-720))),IF(AND(360&lt;=Control!$B$16,720&gt;Control!$B$16),(1+(Control!$B$16-360)*((0.95-1)/(720-360))),IF(AND(40&lt;=Control!$B$16,360&gt;Control!$B$16),(1.05+(Control!$B$16-40)*((1.05-1)/(360-40)))))))</f>
        <v>#N/A</v>
      </c>
      <c r="MG160" s="170">
        <f t="shared" ca="1" si="568"/>
        <v>0.71612369323045078</v>
      </c>
      <c r="MH160" s="170" t="e">
        <f t="shared" ca="1" si="693"/>
        <v>#N/A</v>
      </c>
      <c r="MI160" s="170" t="e">
        <f t="shared" ca="1" si="693"/>
        <v>#N/A</v>
      </c>
      <c r="MJ160" s="170" t="e">
        <f ca="1">MAX(0.0001, Control!$C$132*$MI160*$DL160)</f>
        <v>#N/A</v>
      </c>
      <c r="MK160" s="170">
        <f ca="1">1/(0.76+1.5*($MG160/10))-(5-Control!$C$110)*0.1</f>
        <v>1.002845988140797</v>
      </c>
      <c r="ML160" s="173">
        <f ca="1">IF(Control!$C$110&lt;3,$MK160+($MG160-0.6)/(Control!$C$110*(Control!$C$110+3)), MAX(0.1, MIN(0.95,$MK160)))</f>
        <v>0.95</v>
      </c>
      <c r="MM160" s="173">
        <f ca="1">IF(Control!$C$110&lt;3,$MK160+(($MI160/10)-0.6)/(Control!$C$110*(Control!$C$110+3)), MAX(0.1, MIN(0.95,$MK160)))</f>
        <v>0.95</v>
      </c>
      <c r="MN160" s="173">
        <f ca="1">(1-$MM160)*(Control!$C$128-Control!$C$127)+Control!$C$127</f>
        <v>0.16</v>
      </c>
      <c r="MO160" s="170" t="e">
        <f ca="1">MAX(0,MIN(1,($MS160-Control!$C$127)/($MN160-Control!$C$127)))</f>
        <v>#DIV/0!</v>
      </c>
      <c r="MP160" s="173" t="e">
        <f ca="1">1/(0.76+1.5*$MI160)-(5-Control!$C$110)*0.1</f>
        <v>#N/A</v>
      </c>
      <c r="MQ160" s="172" t="e">
        <f t="shared" ca="1" si="685"/>
        <v>#DIV/0!</v>
      </c>
      <c r="MR160" s="168" t="e">
        <f t="shared" ca="1" si="657"/>
        <v>#DIV/0!</v>
      </c>
      <c r="MS160" s="173" t="e">
        <f ca="1">MAX(Control!$C$127, MIN(Control!$C$135, $MR160/MAX(0.0001,$CY160)))</f>
        <v>#DIV/0!</v>
      </c>
      <c r="MT160" s="168" t="e">
        <f ca="1">(Control!$C$128-$MS160)*Control!$C$74</f>
        <v>#DIV/0!</v>
      </c>
      <c r="MU160" s="168" t="e">
        <f ca="1">(Control!$C$135-$MS160)*Control!$C$74</f>
        <v>#DIV/0!</v>
      </c>
      <c r="MV160" s="168" t="e">
        <f t="shared" ca="1" si="658"/>
        <v>#DIV/0!</v>
      </c>
      <c r="MW160" s="168" t="e">
        <f t="shared" ca="1" si="659"/>
        <v>#DIV/0!</v>
      </c>
      <c r="MX160" s="171" t="e">
        <f ca="1">MAX(Control!$C$127, MIN(Control!$C$135, $MW160/MAX(0.0001,Control!$C$119-$CY160)))</f>
        <v>#DIV/0!</v>
      </c>
      <c r="MY160" s="54" t="e">
        <f ca="1">IF(Control!$C$114=1, $CX160*$MX160, 0)</f>
        <v>#DIV/0!</v>
      </c>
      <c r="MZ160" s="54" t="e">
        <f t="shared" ca="1" si="660"/>
        <v>#N/A</v>
      </c>
      <c r="NA160" s="168" t="e">
        <f ca="1">(Control!$C$128-$MX160)*(Control!$C$119-Control!$C$74)</f>
        <v>#DIV/0!</v>
      </c>
      <c r="NB160" s="168" t="e">
        <f ca="1">(Control!$C$135-$MX160)*(Control!$C$119-Control!$C$74)</f>
        <v>#DIV/0!</v>
      </c>
      <c r="NC160" s="174" t="e">
        <f t="shared" ca="1" si="661"/>
        <v>#DIV/0!</v>
      </c>
      <c r="ND160" s="54">
        <f ca="1">IF(Control!$C$58=2, IF(OR(Control!$B$218=$AH160,Control!$B$219=$AH160, Control!$B$220=$AH160, Control!$B$221=$AH160, Control!$B$222=$AH160, Control!$B$223=$AH160, Control!$B$224=$AH160, Control!$B$225=$AH160, Control!$B$226=$AH160, Control!$B$227=$AH160, Control!$B$228=$AH160), 1, 0), 0)</f>
        <v>0</v>
      </c>
      <c r="NE160" s="54">
        <f ca="1">IF($ND160=0,0, VLOOKUP($AH160,Control!$B$218:$C$228,2))</f>
        <v>0</v>
      </c>
      <c r="NF160" s="168" t="e">
        <f ca="1">$CY160*(Control!$C$128-Control!$C$127)</f>
        <v>#N/A</v>
      </c>
      <c r="NG160" s="54" t="e">
        <f ca="1">IF(Control!$C$58=2, $NI159-$NJ159, 0)</f>
        <v>#DIV/0!</v>
      </c>
      <c r="NH160" s="54" t="e">
        <f ca="1">IF(AND(Control!$C$58=1, $MS159&lt;= ($MN159+0.02), $I159&lt;10), 0, IF(Control!$C$58=2, $NG159, 0))</f>
        <v>#DIV/0!</v>
      </c>
      <c r="NI160" s="54" t="e">
        <f ca="1">IF(Control!$C$58=2, $NE160+$NH160,0)</f>
        <v>#DIV/0!</v>
      </c>
      <c r="NJ160" s="54" t="e">
        <f ca="1">IF(AND(Control!$C$58=1, $MS160&lt;= ($MN160+0.02), $I160&lt;10), MAX(0, MIN(10, 0.7*($NF160-$MV160))), IF(Control!$C$58=2, MIN(10,$NI160),0))</f>
        <v>#DIV/0!</v>
      </c>
      <c r="NK160" s="54" t="e">
        <f t="shared" ca="1" si="569"/>
        <v>#DIV/0!</v>
      </c>
      <c r="NL160" s="173" t="e">
        <f ca="1">(1-Control!$C$73)*$I160+$NJ160</f>
        <v>#DIV/0!</v>
      </c>
      <c r="NM160" s="172" t="e">
        <f ca="1">IF($NL160&lt;0.5, $MB160* MAX(0, MIN(1, (SQRT($NC160)-SQRT($NC160-1))*Control!$C$71)),0)</f>
        <v>#DIV/0!</v>
      </c>
      <c r="NN160" s="170" t="e">
        <f ca="1">IF($NL160&gt;=5, $MB160, MAX(0,MIN($MB160, $NM160+$NL160,($MS160-Control!$C$129))))</f>
        <v>#DIV/0!</v>
      </c>
      <c r="NO160" s="54">
        <f>IF(Control!$C$133&lt;&gt;1, Control!$C$135-Control!$C$131, 0)</f>
        <v>0.38</v>
      </c>
      <c r="NP160" s="54" t="e">
        <f t="shared" ca="1" si="570"/>
        <v>#DIV/0!</v>
      </c>
      <c r="NQ160" s="173" t="e">
        <f ca="1">MAX(0,MIN(1,(Control!$C$135-$MS160)/(Control!$C$135-$NO160)))</f>
        <v>#DIV/0!</v>
      </c>
      <c r="NR160" s="170" t="e">
        <f ca="1">IF(Control!$C$133&lt;&gt;1, $NQ160+((1-$NP160/4)*(1-$NQ160)),1)</f>
        <v>#DIV/0!</v>
      </c>
      <c r="NS160" s="170" t="e">
        <f ca="1">IF(Control!$B$31=0,$MJ160,MAX(0,MIN($MV160,$MO160*$NR160*$MJ160)))</f>
        <v>#DIV/0!</v>
      </c>
      <c r="NT160" s="170" t="e">
        <f t="shared" ca="1" si="686"/>
        <v>#DIV/0!</v>
      </c>
      <c r="NU160" s="170" t="e">
        <f t="shared" ca="1" si="662"/>
        <v>#N/A</v>
      </c>
      <c r="NV160" s="170" t="e">
        <f t="shared" ca="1" si="571"/>
        <v>#N/A</v>
      </c>
      <c r="NW160" s="175" t="e">
        <f t="shared" ca="1" si="572"/>
        <v>#DIV/0!</v>
      </c>
      <c r="NX160" s="170" t="e">
        <f ca="1">MIN(Control!$C$72+$MU160, $NW160)</f>
        <v>#DIV/0!</v>
      </c>
      <c r="NY160" s="170" t="e">
        <f ca="1">IF($MT160&lt;=$NX160,MIN(Control!$C$72+$NB160,$NX160-$MT160),0)</f>
        <v>#DIV/0!</v>
      </c>
      <c r="NZ160" s="54" t="e">
        <f ca="1">IF(Control!$C$114=1,  $CX160*($MX160-Control!$C$127), 0)</f>
        <v>#DIV/0!</v>
      </c>
      <c r="OA160" s="170" t="e">
        <f t="shared" ca="1" si="573"/>
        <v>#DIV/0!</v>
      </c>
      <c r="OB160" s="170" t="e">
        <f ca="1">IF($NA160 &lt;=$NY160, MIN(Control!$C$72, $NY160-$NA160), 0)</f>
        <v>#DIV/0!</v>
      </c>
      <c r="OC160" s="168" t="e">
        <f t="shared" ca="1" si="574"/>
        <v>#DIV/0!</v>
      </c>
      <c r="OD160" s="168" t="e">
        <f t="shared" ca="1" si="663"/>
        <v>#DIV/0!</v>
      </c>
      <c r="OE160" s="170">
        <f ca="1">Control!$C$73*$I160</f>
        <v>0</v>
      </c>
      <c r="OF160" s="176" t="e">
        <f t="shared" ca="1" si="575"/>
        <v>#DIV/0!</v>
      </c>
      <c r="OG160" s="168" t="e">
        <f t="shared" ca="1" si="576"/>
        <v>#DIV/0!</v>
      </c>
      <c r="OH160" s="168" t="e">
        <f t="shared" ca="1" si="577"/>
        <v>#DIV/0!</v>
      </c>
      <c r="OI160" s="168" t="e">
        <f t="shared" ca="1" si="578"/>
        <v>#DIV/0!</v>
      </c>
      <c r="OJ160" s="168" t="e">
        <f t="shared" ca="1" si="579"/>
        <v>#DIV/0!</v>
      </c>
      <c r="OK160" s="204" t="e">
        <f t="shared" ca="1" si="580"/>
        <v>#DIV/0!</v>
      </c>
      <c r="OL160" s="177">
        <f>Control!$C$127</f>
        <v>0.15</v>
      </c>
      <c r="OM160" s="182" t="e">
        <f t="shared" ca="1" si="581"/>
        <v>#N/A</v>
      </c>
      <c r="ON160" s="177">
        <f>Control!$C$128</f>
        <v>0.35</v>
      </c>
      <c r="OO160" s="182" t="e">
        <f t="shared" ca="1" si="582"/>
        <v>#N/A</v>
      </c>
      <c r="OP160" s="138">
        <f t="shared" ca="1" si="664"/>
        <v>0</v>
      </c>
      <c r="OQ160" s="138" t="e">
        <f t="shared" ca="1" si="687"/>
        <v>#DIV/0!</v>
      </c>
      <c r="OR160" s="138" t="e">
        <f t="shared" ca="1" si="665"/>
        <v>#DIV/0!</v>
      </c>
      <c r="OS160" s="137" t="e">
        <f t="shared" ca="1" si="688"/>
        <v>#DIV/0!</v>
      </c>
      <c r="OT160" s="139" t="e">
        <f t="shared" ca="1" si="689"/>
        <v>#DIV/0!</v>
      </c>
      <c r="OU160" s="138" t="e">
        <f t="shared" ca="1" si="690"/>
        <v>#N/A</v>
      </c>
      <c r="OV160" s="138" t="e">
        <f t="shared" ca="1" si="691"/>
        <v>#DIV/0!</v>
      </c>
      <c r="OW160" s="138" t="e">
        <f t="shared" ca="1" si="666"/>
        <v>#DIV/0!</v>
      </c>
      <c r="OX160" s="138" t="e">
        <f t="shared" ca="1" si="667"/>
        <v>#DIV/0!</v>
      </c>
      <c r="OY160" s="138" t="e">
        <f t="shared" ca="1" si="668"/>
        <v>#DIV/0!</v>
      </c>
      <c r="OZ160" s="138" t="e">
        <f t="shared" ca="1" si="583"/>
        <v>#DIV/0!</v>
      </c>
      <c r="PA160" s="138" t="e">
        <f t="shared" ca="1" si="584"/>
        <v>#DIV/0!</v>
      </c>
      <c r="PB160" s="55">
        <f>IF(Control!$C$61="T", IF(Control!$C$65="F", IF($AH$6-Control!$C$60&lt;0,0,1), IF(365+$AH$6-Control!$C$60&lt;0,0,1)),0)</f>
        <v>0</v>
      </c>
      <c r="PC160" s="55">
        <f ca="1">IF(Control!$C$65="F", IF($AH$6-$HF160&lt;0,0,1), IF(365+$AH$6-$HF160&lt;0,0,1))</f>
        <v>1</v>
      </c>
      <c r="PD160" s="444">
        <f>Control!$C$118</f>
        <v>1500</v>
      </c>
      <c r="PE160" s="180" t="e">
        <f t="shared" ca="1" si="585"/>
        <v>#N/A</v>
      </c>
      <c r="PF160" s="445">
        <f t="shared" ca="1" si="669"/>
        <v>0.71612369323045078</v>
      </c>
      <c r="PT160" s="186"/>
      <c r="PU160" s="186"/>
      <c r="PV160" s="94"/>
      <c r="PW160" s="94"/>
      <c r="PX160" s="94"/>
      <c r="PY160" s="94"/>
      <c r="PZ160" s="94"/>
      <c r="QA160" s="94"/>
      <c r="QB160" s="94"/>
      <c r="QC160" s="94"/>
      <c r="QD160" s="94"/>
      <c r="QE160" s="94"/>
      <c r="QF160" s="94"/>
      <c r="QG160" s="94"/>
      <c r="QH160" s="94"/>
      <c r="QI160" s="94"/>
      <c r="QJ160" s="94"/>
      <c r="QK160" s="94"/>
      <c r="QL160" s="94"/>
      <c r="QM160" s="94"/>
      <c r="QN160" s="94"/>
      <c r="QO160" s="94"/>
      <c r="QP160" s="94"/>
    </row>
    <row r="161" spans="1:458" s="2" customFormat="1" x14ac:dyDescent="0.2">
      <c r="A161" s="395">
        <v>5</v>
      </c>
      <c r="B161" s="396">
        <v>6</v>
      </c>
      <c r="C161" s="387">
        <f ca="1">Weather_data!$B160</f>
        <v>0</v>
      </c>
      <c r="D161" s="388">
        <f ca="1">Weather_data!$F160</f>
        <v>0</v>
      </c>
      <c r="E161" s="388">
        <f ca="1">Weather_data!$E160</f>
        <v>0</v>
      </c>
      <c r="F161" s="388">
        <f t="shared" ca="1" si="586"/>
        <v>0</v>
      </c>
      <c r="G161" s="388">
        <f ca="1">AVERAGE($D161:$E161)+Control!$B$9</f>
        <v>0</v>
      </c>
      <c r="H161" s="388">
        <f ca="1">Weather_data!$G160</f>
        <v>0</v>
      </c>
      <c r="I161" s="388">
        <f ca="1">Weather_data!$I160</f>
        <v>0</v>
      </c>
      <c r="J161" s="388">
        <f ca="1">Weather_data!$H160</f>
        <v>0</v>
      </c>
      <c r="K161" s="389">
        <f ca="1">Weather_data!$D160</f>
        <v>0</v>
      </c>
      <c r="L161" s="388" t="e">
        <f t="shared" ca="1" si="587"/>
        <v>#N/A</v>
      </c>
      <c r="M161" s="388" t="e">
        <f t="shared" ca="1" si="465"/>
        <v>#N/A</v>
      </c>
      <c r="N161" s="388">
        <f t="shared" ca="1" si="466"/>
        <v>-4.0416524734652908E-8</v>
      </c>
      <c r="O161" s="388">
        <f t="shared" ca="1" si="588"/>
        <v>4.0416524734652908E-7</v>
      </c>
      <c r="P161" s="390">
        <v>3</v>
      </c>
      <c r="Q161" s="388">
        <f ca="1">MAX($G161-Control!$C$107,0)</f>
        <v>0</v>
      </c>
      <c r="R161" s="388">
        <f t="shared" ca="1" si="589"/>
        <v>0</v>
      </c>
      <c r="S161" s="388">
        <f t="shared" ca="1" si="467"/>
        <v>0</v>
      </c>
      <c r="T161" s="388">
        <f t="shared" ca="1" si="468"/>
        <v>0</v>
      </c>
      <c r="U161" s="59">
        <f t="shared" ca="1" si="469"/>
        <v>0</v>
      </c>
      <c r="V161" s="391">
        <f ca="1">MAX(0,MIN(Control!$C$100-Control!$C$99,$G161-Control!$C$99)*Control!$C$63)</f>
        <v>0</v>
      </c>
      <c r="W161" s="388">
        <f t="shared" ca="1" si="590"/>
        <v>0</v>
      </c>
      <c r="X161" s="388">
        <f t="shared" ca="1" si="591"/>
        <v>0.6110000000000001</v>
      </c>
      <c r="Y161" s="388">
        <f t="shared" ca="1" si="470"/>
        <v>0</v>
      </c>
      <c r="Z161" s="388">
        <f t="shared" ca="1" si="592"/>
        <v>0.61058800000000002</v>
      </c>
      <c r="AA161" s="388">
        <f t="shared" ca="1" si="471"/>
        <v>0.6018</v>
      </c>
      <c r="AB161" s="388">
        <f ca="1">101.3*EXP(-0.034*Control!$C$66/($G161+273))</f>
        <v>100.69623283836242</v>
      </c>
      <c r="AC161" s="392">
        <f t="shared" ca="1" si="472"/>
        <v>4.3460251046025113E-2</v>
      </c>
      <c r="AD161" s="392">
        <f t="shared" ca="1" si="473"/>
        <v>4.4450382862832649E-2</v>
      </c>
      <c r="AE161" s="388">
        <f t="shared" ca="1" si="474"/>
        <v>0</v>
      </c>
      <c r="AF161" s="388">
        <f ca="1">MAX(0,$G161-Control!$C$92)</f>
        <v>0</v>
      </c>
      <c r="AG161" s="393">
        <f t="shared" ca="1" si="475"/>
        <v>157</v>
      </c>
      <c r="AH161" s="389">
        <f t="shared" ca="1" si="476"/>
        <v>157</v>
      </c>
      <c r="AI161" s="388">
        <f t="shared" ca="1" si="593"/>
        <v>0.39398206951404491</v>
      </c>
      <c r="AJ161" s="388">
        <f ca="1">IF(Control!$C$60&lt;=0,$HH161,$HI161)</f>
        <v>1</v>
      </c>
      <c r="AK161" s="388">
        <f t="shared" ca="1" si="477"/>
        <v>1.3254938867200772</v>
      </c>
      <c r="AL161" s="388">
        <f t="shared" ca="1" si="478"/>
        <v>-6.311685549209578E-18</v>
      </c>
      <c r="AM161" s="388">
        <f t="shared" ca="1" si="479"/>
        <v>1.3254938867200772</v>
      </c>
      <c r="AN161" s="388">
        <f t="shared" ca="1" si="480"/>
        <v>0.39617389894527749</v>
      </c>
      <c r="AO161" s="388">
        <f ca="1">-0.10453/COS(Control!$B$8*PI()/180)*COS(AN161)</f>
        <v>-0.15663404218107393</v>
      </c>
      <c r="AP161" s="388">
        <f ca="1">ACOS(AO161-TAN(Control!$B$8*PI()/180)*TAN(AN161))</f>
        <v>2.3350818368034814</v>
      </c>
      <c r="AQ161" s="388">
        <f t="shared" ca="1" si="594"/>
        <v>0</v>
      </c>
      <c r="AR161" s="394">
        <f t="shared" ca="1" si="481"/>
        <v>0</v>
      </c>
      <c r="AS161" s="436">
        <f ca="1">IF(Control!$B$18=2,(IF(OR($AH161=Control!$B$175,$AH161=Control!$B$176,$AH161=Control!$B$177,$AH161=Control!$B$178,$AH161=Control!$B$179,$AH161=Control!$B$180,$AH161=Control!$B$181,$AH161=Control!$B$182,$AH161=Control!$B$183,$AH161=Control!$B$184,$AH161=Control!$B$185),1,0)),0)</f>
        <v>0</v>
      </c>
      <c r="AT161" s="436">
        <f>IF(Control!$B$20=8,IF(AND($AH161&gt;=Control!$B$172,$AH161&lt;=Control!$B$173),1,0),0)</f>
        <v>0</v>
      </c>
      <c r="AU161" s="436">
        <f>IF(Control!$B$20=8,IF($AV160=1,1*$AT161,IF($AT161=1,$AU160+1,$AU160)),0)</f>
        <v>0</v>
      </c>
      <c r="AV161" s="436">
        <f>IF(Control!$B$20=8,IF($AU161&gt;=Control!$B$174,1,0),0)</f>
        <v>0</v>
      </c>
      <c r="AW161" s="436">
        <f ca="1">IF(AND(Control!$B$18=2,Control!$B$171=1), $AV161, $AS161)</f>
        <v>0</v>
      </c>
      <c r="AX161" s="436" t="e">
        <f ca="1">IF(AND(Control!$B$18=1,$EU161&gt;=Control!$B$19),-$AY161,IF(AND(Control!$B$18=2,$AW161=1,$EU161&gt;$DS161),-$AY161, IF(Control!$C$108=0,0, IF(Control!$C$108&lt;&gt;0,1))))</f>
        <v>#N/A</v>
      </c>
      <c r="AY161" s="436" t="e">
        <f t="shared" ca="1" si="595"/>
        <v>#N/A</v>
      </c>
      <c r="AZ161" s="436" t="e">
        <f ca="1">IF(AND(Control!$B$18=1,$EB161&gt;Control!$B$19),$AZ160+1, IF(AND(Control!$B$18=2, $AW161=1, $EB161&gt;$DS161), $AZ160+1,$AZ160))</f>
        <v>#N/A</v>
      </c>
      <c r="BA161" s="587">
        <f>IF(Control!$C$81=0,1,IF($AH161&gt;=Control!$C$82,1,0))</f>
        <v>1</v>
      </c>
      <c r="BB161" s="140" t="e">
        <f ca="1">IF($BA161&gt;$BA160,Control!$C$83,IF($AW161&gt;0,$AW161*Control!$C$84,IF(AND(Control!$B$18=1,EN160&lt;&gt;0),Control!$C$84,0)))</f>
        <v>#N/A</v>
      </c>
      <c r="BC161" s="140" t="e">
        <f t="shared" ca="1" si="596"/>
        <v>#N/A</v>
      </c>
      <c r="BD161" s="140" t="e">
        <f ca="1">BC161*IF(OR($G161&lt;Control!$C$92,$G161&gt;Control!$C$95),0,IF(AND($G161&gt;=Control!$C$92,$G161&lt;=Control!$C$93),$G161-Control!$C$92,IF(AND($G161&gt;Control!$C$93,$G161&lt;=Control!$C$94),Control!$C$93-Control!$C$92,IF(AND($G161&gt;Control!$C$94,$G161&lt;=Control!$C$95),(Control!$C$93-Control!$C$92)*(Control!$C$94-$G161)/(Control!$C$95-Control!$C$94)))))</f>
        <v>#N/A</v>
      </c>
      <c r="BE161" s="140" t="e">
        <f t="shared" ca="1" si="597"/>
        <v>#N/A</v>
      </c>
      <c r="BF161" s="140" t="e">
        <f ca="1">IF($BE161&lt;=Control!$C$86,$BE161,Control!$C$86-$BE161)</f>
        <v>#N/A</v>
      </c>
      <c r="BG161" s="140" t="e">
        <f ca="1">IF(AND($AW161=1,Control!$C$84&lt;9),1,IF($BE161&gt;=Control!$C$86,0,$BC161))</f>
        <v>#N/A</v>
      </c>
      <c r="BH161" s="404" t="e">
        <f ca="1">IF($BG161=0,0,IF($BE161&lt;=Control!$C$86,$BC161*9*($BF161/Control!$C$86),0))</f>
        <v>#N/A</v>
      </c>
      <c r="BI161" s="140" t="e">
        <f ca="1">IF($BG161=1,0,IF($BE161&gt;=Control!$C$86,1,IF(AND($BB161&lt;21,$BB161&gt;=9),1,$BM160)))</f>
        <v>#N/A</v>
      </c>
      <c r="BJ161" s="140" t="e">
        <f ca="1">IF($BF161&lt;0,-$BF161,$BI161*IF(OR($G161&lt;Control!$C$92,$G161&gt;Control!$C$95),0,IF(AND($G161&gt;=Control!$C$92,$G161&lt;=Control!$C$93),$G161-Control!$C$92,IF(AND($G161&gt;Control!$C$93,$G161&lt;=Control!$C$94),Control!$C$93-Control!$C$92,IF(AND($G161&gt;Control!$C$94,$G161&lt;=Control!$C$95),(Control!$C$93-Control!$C$92)*(Control!$C$94-$G161)/(Control!$C$95-Control!$C$94))))))</f>
        <v>#N/A</v>
      </c>
      <c r="BK161" s="140" t="e">
        <f t="shared" ca="1" si="598"/>
        <v>#N/A</v>
      </c>
      <c r="BL161" s="140" t="e">
        <f ca="1">IF($BK161&lt;=Control!$C$87,$BK161,Control!$C$87-$BK161)</f>
        <v>#N/A</v>
      </c>
      <c r="BM161" s="140" t="e">
        <f ca="1">IF(AND($BB161&gt;=9,$BB161&lt;21),1,IF($BK161&gt;=Control!$C$87,0,$BI161))</f>
        <v>#N/A</v>
      </c>
      <c r="BN161" s="404" t="e">
        <f ca="1">IF($BM161=0,0,IF($BK161&lt;=Control!$C$87,$BI161*(9+(21-9)*($BL161/Control!$C$87)),0))</f>
        <v>#N/A</v>
      </c>
      <c r="BO161" s="140" t="e">
        <f ca="1">IF($BM161=1,0,IF($BK161&gt;=Control!$C$87,1,IF(AND($BB161&lt;30,$BB161&gt;=21),1,$BS160)))</f>
        <v>#N/A</v>
      </c>
      <c r="BP161" s="140" t="e">
        <f ca="1">IF($BL161&lt;0,-$BL161,$BO161*IF(OR($G161&lt;Control!$C$92,$G161&gt;Control!$C$95),0,IF(AND($G161&gt;=Control!$C$92,$G161&lt;=Control!$C$93),$G161-Control!$C$92,IF(AND($G161&gt;Control!$C$93,$G161&lt;=Control!$C$94),Control!$C$93-Control!$C$92,IF(AND($G161&gt;Control!$C$94,$G161&lt;=Control!$C$95),(Control!$C$93-Control!$C$92)*(Control!$C$94-$G161)/(Control!$C$95-Control!$C$94))))))</f>
        <v>#N/A</v>
      </c>
      <c r="BQ161" s="140" t="e">
        <f t="shared" ca="1" si="482"/>
        <v>#N/A</v>
      </c>
      <c r="BR161" s="140" t="e">
        <f ca="1">IF($BQ161&lt;=Control!$C$88,$BQ161,Control!$C$88-$BQ161)</f>
        <v>#N/A</v>
      </c>
      <c r="BS161" s="140" t="e">
        <f ca="1">IF(AND($BB161&gt;=21,$BB161&lt;30),1,IF($BQ161&gt;=Control!$C$88,0,$BO161))</f>
        <v>#N/A</v>
      </c>
      <c r="BT161" s="404" t="e">
        <f ca="1">IF($BS161=0,0,IF($BQ161&lt;=Control!$C$88,$BO161*(21+(30-21)*(BR161/Control!$C$88)),0))</f>
        <v>#N/A</v>
      </c>
      <c r="BU161" s="140" t="e">
        <f ca="1">IF(BG161+BM161+BS161=1,0,IF(OR(AND($BB161&lt;60,$BB161&gt;=30),$BQ161&gt;=Control!$C$88),1*$BA161,$BY160))</f>
        <v>#N/A</v>
      </c>
      <c r="BV161" s="140" t="e">
        <f ca="1">IF($BR161&lt;0,-$BR161,$BU161*IF(OR($G161&lt;Control!$C$92,$G161&gt;Control!$C$95),0,IF(AND($G161&gt;=Control!$C$92,$G161&lt;=Control!$C$93),$G161-Control!$C$92,IF(AND($G161&gt;Control!$C$93,$G161&lt;=Control!$C$94),Control!$C$93-Control!$C$92,IF(AND($G161&gt;Control!$C$94,$G161&lt;=Control!$C$95),(Control!$C$93-Control!$C$92)*(Control!$C$94-$G161)/(Control!$C$95-Control!$C$94))))))</f>
        <v>#N/A</v>
      </c>
      <c r="BW161" s="140" t="e">
        <f t="shared" ca="1" si="483"/>
        <v>#N/A</v>
      </c>
      <c r="BX161" s="140" t="e">
        <f ca="1">IF($BW161&lt;=Control!$C$89,$BW161,Control!$C$89-$BW161)</f>
        <v>#N/A</v>
      </c>
      <c r="BY161" s="140" t="e">
        <f ca="1">IF(AND($AJ161&gt;=30,$AJ161&lt;60),1,IF($BW161&gt;=Control!$C$89,0,$BU161))</f>
        <v>#N/A</v>
      </c>
      <c r="BZ161" s="404" t="e">
        <f ca="1">IF($BY161=0,0,IF($BW161&lt;=Control!$C$89,$BU161*(30+(60-30)*(BX161/Control!$C$89)),0))</f>
        <v>#N/A</v>
      </c>
      <c r="CA161" s="140" t="e">
        <f ca="1">IF($BG161+$BM161+$BS161+$BY161=1,0,IF(OR(AND($BB161&lt;65,$BB161&gt;=60),$BW161&gt;=Control!$C$89),1*$BA161,$CE160))</f>
        <v>#N/A</v>
      </c>
      <c r="CB161" s="140" t="e">
        <f ca="1">IF($BX161&lt;0,-$BX161,$CA161*IF(OR($G161&lt;Control!$C$92,$G161&gt;Control!$C$95),0,IF(AND($G161&gt;=Control!$C$92,$G161&lt;=Control!$C$93),$G161-Control!$C$92,IF(AND($G161&gt;Control!$C$93,$G161&lt;=Control!$C$94),Control!$C$93-Control!$C$92,IF(AND($G161&gt;Control!$C$94,$G161&lt;=Control!$C$95),(Control!$C$93-Control!$C$92)*(Control!$C$94-$G161)/(Control!$C$95-Control!$C$94))))))</f>
        <v>#N/A</v>
      </c>
      <c r="CC161" s="140" t="e">
        <f t="shared" ca="1" si="599"/>
        <v>#N/A</v>
      </c>
      <c r="CD161" s="140" t="e">
        <f ca="1">IF($CC161&lt;=Control!$C$90,$CC161,Control!$C$90-$CC161)</f>
        <v>#N/A</v>
      </c>
      <c r="CE161" s="140" t="e">
        <f ca="1">IF(AND($BB161&gt;=60,$BB161&lt;65),1,IF($CC161&gt;=Control!$C$90,0,$CA161))</f>
        <v>#N/A</v>
      </c>
      <c r="CF161" s="404" t="e">
        <f ca="1">IF($CE161=0,0,IF($CC161&lt;=Control!$C$90,$CA161*(60+(65-60)*(CD161/Control!$C$90)),0))</f>
        <v>#N/A</v>
      </c>
      <c r="CG161" s="140" t="e">
        <f ca="1">IF($BG161+$BM161+$BS161+$BY161+$CE161=1,0,IF(OR(AND($BB161&lt;90,$BB161&gt;=65),$CC161&gt;=Control!$C$90),$BA161,$CK160))</f>
        <v>#N/A</v>
      </c>
      <c r="CH161" s="140" t="e">
        <f ca="1">IF($CD161&lt;0,-$CD161,$CG161*IF(OR($G161&lt;Control!$C$92,$G161&gt;Control!$C$95),0,IF(AND($G161&gt;=Control!$C$92,$G161&lt;=Control!$C$93),$G161-Control!$C$92,IF(AND($G161&gt;Control!$C$93,$G161&lt;=Control!$C$94),Control!$C$93-Control!$C$92,IF(AND($G161&gt;Control!$C$94,$G161&lt;=Control!$C$95),(Control!$C$93-Control!$C$92)*(Control!$C$94-$G161)/(Control!$C$95-Control!$C$94))))))</f>
        <v>#N/A</v>
      </c>
      <c r="CI161" s="140" t="e">
        <f t="shared" ca="1" si="600"/>
        <v>#N/A</v>
      </c>
      <c r="CJ161" s="140" t="e">
        <f ca="1">IF($CI161&lt;=Control!$C$91,$CI161,Control!$C$91-$CI161)</f>
        <v>#N/A</v>
      </c>
      <c r="CK161" s="140" t="e">
        <f ca="1">IF(AND($BB161&gt;=65,$BB161&lt;90),1,IF($CI161&gt;=Control!$C$91,0,$CG161))</f>
        <v>#N/A</v>
      </c>
      <c r="CL161" s="404" t="e">
        <f ca="1">IF($CK161=0,0,IF($CI161&lt;=Control!$C$91,$CG161*(65+(90-65)*($CJ161/Control!$C$91)),0))</f>
        <v>#N/A</v>
      </c>
      <c r="CM161" s="140" t="e">
        <f ca="1">IF($BG161+$BM161+$BS161+$BY161+$CE161+$CK161=1,0,IF(OR($BB161&gt;=90,$CI161&gt;=Control!$C$91),$BA161,$CM160))</f>
        <v>#N/A</v>
      </c>
      <c r="CN161" s="140" t="e">
        <f t="shared" ca="1" si="601"/>
        <v>#N/A</v>
      </c>
      <c r="CO161" s="140" t="e">
        <f t="shared" ca="1" si="602"/>
        <v>#N/A</v>
      </c>
      <c r="CP161" s="140" t="e">
        <f t="shared" ca="1" si="603"/>
        <v>#N/A</v>
      </c>
      <c r="CQ161" s="141" t="e">
        <f ca="1">VLOOKUP($CP161,Control!$B$86:$G$91,6)</f>
        <v>#N/A</v>
      </c>
      <c r="CR161" s="141" t="e">
        <f ca="1">(1-$CQ161)*VLOOKUP($CP161,Control!$B$86:$D$91,3)</f>
        <v>#N/A</v>
      </c>
      <c r="CS161" s="141" t="e">
        <f ca="1">(1-$CQ161)*VLOOKUP($CP161,Control!$B$86:$E$91,4)</f>
        <v>#N/A</v>
      </c>
      <c r="CT161" s="141" t="e">
        <f ca="1">(1-$CQ161)*VLOOKUP($CP161,Control!$B$86:$F$91,5)</f>
        <v>#N/A</v>
      </c>
      <c r="CU161" s="141">
        <f t="shared" ca="1" si="604"/>
        <v>0</v>
      </c>
      <c r="CV161" s="583">
        <f t="shared" ca="1" si="605"/>
        <v>0</v>
      </c>
      <c r="CW161" s="142">
        <f t="shared" ca="1" si="606"/>
        <v>157</v>
      </c>
      <c r="CX161" s="612" t="e">
        <f ca="1">IF(Control!$C$114=1,(MIN(Control!$C$120*(IF($NT161-0.01&lt;0,0,1)),Control!$C$119-$CY161)))</f>
        <v>#DIV/0!</v>
      </c>
      <c r="CY161" s="143" t="e">
        <f t="shared" ca="1" si="607"/>
        <v>#N/A</v>
      </c>
      <c r="CZ161" s="144">
        <f t="shared" ca="1" si="484"/>
        <v>0</v>
      </c>
      <c r="DA161" s="144">
        <f t="shared" ca="1" si="485"/>
        <v>0</v>
      </c>
      <c r="DB161" s="144" t="e">
        <f t="shared" ca="1" si="486"/>
        <v>#N/A</v>
      </c>
      <c r="DC161" s="144" t="e">
        <f t="shared" ca="1" si="487"/>
        <v>#N/A</v>
      </c>
      <c r="DD161" s="144" t="e">
        <f t="shared" ca="1" si="692"/>
        <v>#N/A</v>
      </c>
      <c r="DE161" s="143" t="e">
        <f t="shared" ca="1" si="608"/>
        <v>#N/A</v>
      </c>
      <c r="DF161" s="145" t="e">
        <f ca="1">$DR161*EXP(-Control!$C$158*(1-$KH161))</f>
        <v>#N/A</v>
      </c>
      <c r="DG161" s="146" t="e">
        <f ca="1">IF(Control!$C$114=1, $DF161*$EY161, 0)</f>
        <v>#N/A</v>
      </c>
      <c r="DH161" s="147" t="e">
        <f t="shared" ca="1" si="609"/>
        <v>#N/A</v>
      </c>
      <c r="DI161" s="144" t="e">
        <f t="shared" ca="1" si="670"/>
        <v>#N/A</v>
      </c>
      <c r="DJ161" s="147" t="e">
        <f ca="1">$EF161*Control!$C$109</f>
        <v>#N/A</v>
      </c>
      <c r="DK161" s="144" t="e">
        <f t="shared" ca="1" si="610"/>
        <v>#N/A</v>
      </c>
      <c r="DL161" s="144" t="e">
        <f t="shared" ca="1" si="488"/>
        <v>#N/A</v>
      </c>
      <c r="DM161" s="144" t="e">
        <f ca="1">IF(Control!$C$114=1, (1-EXP(-Control!$C$96*$DK161))*$AR161, 0)</f>
        <v>#N/A</v>
      </c>
      <c r="DN161" s="144">
        <f t="shared" ca="1" si="611"/>
        <v>0</v>
      </c>
      <c r="DO161" s="148">
        <f>Control!$C$97</f>
        <v>4</v>
      </c>
      <c r="DP161" s="145" t="e">
        <f t="shared" ca="1" si="612"/>
        <v>#N/A</v>
      </c>
      <c r="DQ161" s="145" t="e">
        <f ca="1">IF(AND($CP161&gt;=0,$CP161&lt;=90),Control!$C$111,Control!$C$111)</f>
        <v>#N/A</v>
      </c>
      <c r="DR161" s="145" t="e">
        <f t="shared" ca="1" si="489"/>
        <v>#N/A</v>
      </c>
      <c r="DS161" s="143" t="e">
        <f ca="1">Control!$B$22/$DR161</f>
        <v>#N/A</v>
      </c>
      <c r="DT161" s="149" t="e">
        <f ca="1">IF(AND(Control!$C$114=1,$KH161&lt;1),$IM161*$DF161, 0)</f>
        <v>#N/A</v>
      </c>
      <c r="DU161" s="144" t="e">
        <f t="shared" ca="1" si="613"/>
        <v>#N/A</v>
      </c>
      <c r="DV161" s="144">
        <f ca="1">IF($G161-Control!$C$107&lt;=0, 0, 0.83*LN(MAX($G161, 3))-0.8924)</f>
        <v>0</v>
      </c>
      <c r="DW161" s="144" t="e">
        <f t="shared" ca="1" si="490"/>
        <v>#N/A</v>
      </c>
      <c r="DX161" s="150" t="e">
        <f ca="1">MAX(0.01*(1+$CU161/Control!$C$102),0.05*($DK161-Control!$C$97)/Control!$C$97)</f>
        <v>#N/A</v>
      </c>
      <c r="DY161" s="151" t="e">
        <f ca="1">IF(Control!$C$114=1, $DI161*$FS161, 0)</f>
        <v>#N/A</v>
      </c>
      <c r="DZ161" s="196" t="e">
        <f t="shared" ca="1" si="614"/>
        <v>#N/A</v>
      </c>
      <c r="EA161" s="152">
        <f t="shared" ca="1" si="615"/>
        <v>157</v>
      </c>
      <c r="EB161" s="153" t="e">
        <f t="shared" ca="1" si="616"/>
        <v>#N/A</v>
      </c>
      <c r="EC161" s="153" t="e">
        <f t="shared" ca="1" si="617"/>
        <v>#N/A</v>
      </c>
      <c r="ED161" s="154" t="e">
        <f ca="1">IF(Control!$C$114=1, $HM161*$FY161-$FD161, 0)</f>
        <v>#DIV/0!</v>
      </c>
      <c r="EE161" s="155" t="e">
        <f ca="1">IF(Control!$C$114=1, $HM161*$FZ161-$FF161, 0)</f>
        <v>#DIV/0!</v>
      </c>
      <c r="EF161" s="153" t="e">
        <f t="shared" ca="1" si="671"/>
        <v>#N/A</v>
      </c>
      <c r="EG161" s="155" t="e">
        <f ca="1">IF(Control!$C$114=1, $GX161*$FW161-$FI161, 0)</f>
        <v>#DIV/0!</v>
      </c>
      <c r="EH161" s="153" t="e">
        <f t="shared" ca="1" si="618"/>
        <v>#N/A</v>
      </c>
      <c r="EI161" s="156" t="e">
        <f t="shared" ca="1" si="619"/>
        <v>#N/A</v>
      </c>
      <c r="EJ161" s="155" t="e">
        <f ca="1">IF(Control!$C$114=1, $HM161*$GB161, 0)</f>
        <v>#DIV/0!</v>
      </c>
      <c r="EK161" s="153" t="e">
        <f t="shared" ca="1" si="672"/>
        <v>#N/A</v>
      </c>
      <c r="EL161" s="153" t="e">
        <f t="shared" ca="1" si="491"/>
        <v>#N/A</v>
      </c>
      <c r="EM161" s="153" t="e">
        <f t="shared" ca="1" si="492"/>
        <v>#N/A</v>
      </c>
      <c r="EN161" s="153" t="e">
        <f ca="1">IF(Control!$C$108=1,IF(AND(Control!$B$18=1,$EB161&gt;=Control!$B$19),$EB161-$DS161,IF(AND(Control!$B$18=2,$AW161=1,$EB161&gt;$DS161),$EB161-$DS161,0)))</f>
        <v>#N/A</v>
      </c>
      <c r="EO161" s="153" t="e">
        <f ca="1">IF(Control!$C$108=1,IF(AND(Control!$B$18=1,$EB161&gt;=Control!$B$19),$EF161,IF(AND(Control!$B$18=2,$AW161=1),$EF161,0)))</f>
        <v>#N/A</v>
      </c>
      <c r="EP161" s="153" t="e">
        <f ca="1">IF(Control!$C$108=1,IF(AND(Control!$B$18=1,$EB161&gt;=Control!$B$19),$EK161,IF(AND(Control!$B$18=2,$AW161=1),$EK161,0)))</f>
        <v>#N/A</v>
      </c>
      <c r="EQ161" s="153" t="e">
        <f t="shared" ca="1" si="620"/>
        <v>#N/A</v>
      </c>
      <c r="ER161" s="153" t="e">
        <f t="shared" ca="1" si="621"/>
        <v>#N/A</v>
      </c>
      <c r="ES161" s="153" t="e">
        <f t="shared" ca="1" si="673"/>
        <v>#N/A</v>
      </c>
      <c r="ET161" s="153" t="e">
        <f t="shared" ca="1" si="674"/>
        <v>#N/A</v>
      </c>
      <c r="EU161" s="153" t="e">
        <f t="shared" ca="1" si="622"/>
        <v>#N/A</v>
      </c>
      <c r="EV161" s="153" t="e">
        <f t="shared" ca="1" si="493"/>
        <v>#N/A</v>
      </c>
      <c r="EW161" s="153" t="e">
        <f t="shared" ca="1" si="494"/>
        <v>#N/A</v>
      </c>
      <c r="EX161" s="153" t="e">
        <f t="shared" ca="1" si="495"/>
        <v>#N/A</v>
      </c>
      <c r="EY161" s="157" t="e">
        <f t="shared" ca="1" si="496"/>
        <v>#DIV/0!</v>
      </c>
      <c r="EZ161" s="154" t="e">
        <f t="shared" ca="1" si="497"/>
        <v>#DIV/0!</v>
      </c>
      <c r="FA161" s="153" t="e">
        <f t="shared" ca="1" si="623"/>
        <v>#N/A</v>
      </c>
      <c r="FB161" s="153" t="e">
        <f t="shared" ca="1" si="498"/>
        <v>#N/A</v>
      </c>
      <c r="FC161" s="193" t="e">
        <f t="shared" ca="1" si="499"/>
        <v>#N/A</v>
      </c>
      <c r="FD161" s="158" t="e">
        <f t="shared" ca="1" si="624"/>
        <v>#N/A</v>
      </c>
      <c r="FE161" s="158" t="e">
        <f t="shared" ca="1" si="625"/>
        <v>#N/A</v>
      </c>
      <c r="FF161" s="159" t="e">
        <f t="shared" ca="1" si="500"/>
        <v>#N/A</v>
      </c>
      <c r="FG161" s="160" t="e">
        <f t="shared" ca="1" si="626"/>
        <v>#N/A</v>
      </c>
      <c r="FH161" s="158" t="e">
        <f t="shared" ca="1" si="627"/>
        <v>#N/A</v>
      </c>
      <c r="FI161" s="159" t="e">
        <f t="shared" ca="1" si="501"/>
        <v>#N/A</v>
      </c>
      <c r="FJ161" s="160" t="e">
        <f t="shared" ca="1" si="628"/>
        <v>#N/A</v>
      </c>
      <c r="FK161" s="160" t="e">
        <f t="shared" ca="1" si="502"/>
        <v>#N/A</v>
      </c>
      <c r="FL161" s="160" t="e">
        <f t="shared" ca="1" si="675"/>
        <v>#N/A</v>
      </c>
      <c r="FM161" s="160" t="e">
        <f t="shared" ca="1" si="503"/>
        <v>#N/A</v>
      </c>
      <c r="FN161" s="158">
        <f t="shared" ca="1" si="629"/>
        <v>0.01</v>
      </c>
      <c r="FO161" s="160">
        <f>Control!$C$101</f>
        <v>50</v>
      </c>
      <c r="FP161" s="150" t="e">
        <f t="shared" ca="1" si="504"/>
        <v>#N/A</v>
      </c>
      <c r="FQ161" s="150" t="e">
        <f ca="1">MAX(0,(Control!$C$112*(($DK161-Control!$C$97)/Control!$C$97)))</f>
        <v>#N/A</v>
      </c>
      <c r="FR161" s="150" t="e">
        <f ca="1">(1-$NT161)*Control!$C$113</f>
        <v>#DIV/0!</v>
      </c>
      <c r="FS161" s="198" t="e">
        <f t="shared" ca="1" si="505"/>
        <v>#N/A</v>
      </c>
      <c r="FT161" s="161">
        <f t="shared" ca="1" si="630"/>
        <v>157</v>
      </c>
      <c r="FU161" s="162" t="e">
        <f ca="1">IF(Control!$B$34=1,VLOOKUP($CP161,Control!$B$86:$G$91,6),Control!$B$35)</f>
        <v>#N/A</v>
      </c>
      <c r="FV161" s="162" t="e">
        <f t="shared" ca="1" si="506"/>
        <v>#DIV/0!</v>
      </c>
      <c r="FW161" s="162" t="e">
        <f ca="1">IF(Control!$B$31=1,$FU161*$FV161,  $FU161)</f>
        <v>#N/A</v>
      </c>
      <c r="FX161" s="162" t="e">
        <f ca="1">IF(Control!$B$34=1,VLOOKUP($CP161,Control!$B$86:$G$91,3),Control!$B$36)</f>
        <v>#N/A</v>
      </c>
      <c r="FY161" s="162" t="e">
        <f t="shared" ca="1" si="507"/>
        <v>#N/A</v>
      </c>
      <c r="FZ161" s="162" t="e">
        <f ca="1">IF(Control!$B$34=1,VLOOKUP($CP161,Control!$B$86:$G$91,4),Control!$B$37)</f>
        <v>#N/A</v>
      </c>
      <c r="GA161" s="162" t="e">
        <f t="shared" ca="1" si="508"/>
        <v>#N/A</v>
      </c>
      <c r="GB161" s="162" t="e">
        <f ca="1">IF(Control!$B$34=1,VLOOKUP($CP161,Control!$B$86:$G$91,5),Control!$B$38)</f>
        <v>#N/A</v>
      </c>
      <c r="GC161" s="162" t="e">
        <f t="shared" ca="1" si="631"/>
        <v>#N/A</v>
      </c>
      <c r="GD161" s="162">
        <f t="shared" ca="1" si="509"/>
        <v>1</v>
      </c>
      <c r="GE161" s="162">
        <f t="shared" ca="1" si="510"/>
        <v>1</v>
      </c>
      <c r="GF161" s="162">
        <f ca="1">IF(AND(Control!$C$104=1, Control!$C$62="F"),$GE161,1)</f>
        <v>1</v>
      </c>
      <c r="GG161" s="162" t="e">
        <f ca="1">IF(Control!$B$16=40,0,IF(AND(Control!$B$16&gt;40,Control!$B$16&lt;=360),(Control!$B$16-40)*((1-0)/(360-40)),IF(AND(Control!$B$16&gt;360,Control!$B$16&lt;=720),(1+(Control!$B$16-360)*((1.25-1)/(720-360))),IF(AND(Control!$B$16&gt;720,Control!$B$16&lt;=1000),(1.25+(Control!$B$16-720)*((1.35-1.25)/(1000-720))),IF(AND(Control!$B$16&gt;1000,Control!$B$16&lt;=2000),(1.35+(Control!$B$16-1000)*0))))))</f>
        <v>#N/A</v>
      </c>
      <c r="GH161" s="162" t="e">
        <f t="shared" ca="1" si="511"/>
        <v>#N/A</v>
      </c>
      <c r="GI161" s="162">
        <f t="shared" ca="1" si="632"/>
        <v>0</v>
      </c>
      <c r="GJ161" s="162">
        <f t="shared" ca="1" si="512"/>
        <v>0</v>
      </c>
      <c r="GK161" s="162">
        <f t="shared" ca="1" si="633"/>
        <v>1</v>
      </c>
      <c r="GL161" s="162">
        <f t="shared" ca="1" si="513"/>
        <v>1</v>
      </c>
      <c r="GM161" s="162" t="e">
        <f ca="1">MAX(0,MIN(1,1-Control!$C$156*(1.0001-$KH161)^2))</f>
        <v>#N/A</v>
      </c>
      <c r="GN161" s="162" t="e">
        <f ca="1">IF(Control!$B$26=1,$KU161,$KX161)</f>
        <v>#N/A</v>
      </c>
      <c r="GO161" s="162" t="e">
        <f ca="1">IF($CP161&lt;=60,Control!$C$105,IF($CP161&gt;=90,Control!$C$106,Control!$C$105+($CP161-60)*((Control!$C$106-Control!$C$105)/(90-60))))</f>
        <v>#N/A</v>
      </c>
      <c r="GP161" s="162" t="e">
        <f t="shared" ca="1" si="514"/>
        <v>#N/A</v>
      </c>
      <c r="GQ161" s="162" t="e">
        <f t="shared" ca="1" si="634"/>
        <v>#N/A</v>
      </c>
      <c r="GR161" s="163" t="e">
        <f t="shared" ca="1" si="515"/>
        <v>#DIV/0!</v>
      </c>
      <c r="GS161" s="162" t="e">
        <f t="shared" ca="1" si="516"/>
        <v>#DIV/0!</v>
      </c>
      <c r="GT161" s="164" t="e">
        <f t="shared" ca="1" si="635"/>
        <v>#N/A</v>
      </c>
      <c r="GU161" s="162" t="e">
        <f t="shared" ca="1" si="636"/>
        <v>#N/A</v>
      </c>
      <c r="GV161" s="162" t="e">
        <f t="shared" ca="1" si="517"/>
        <v>#N/A</v>
      </c>
      <c r="GW161" s="162" t="e">
        <f t="shared" ca="1" si="518"/>
        <v>#DIV/0!</v>
      </c>
      <c r="GX161" s="162" t="e">
        <f t="shared" ca="1" si="637"/>
        <v>#DIV/0!</v>
      </c>
      <c r="GY161" s="162" t="e">
        <f t="shared" ca="1" si="638"/>
        <v>#DIV/0!</v>
      </c>
      <c r="GZ161" s="165" t="e">
        <f t="shared" ca="1" si="519"/>
        <v>#N/A</v>
      </c>
      <c r="HA161" s="162" t="e">
        <f ca="1">IF(Control!$C$114=1, $DI161*$FS161, 0)</f>
        <v>#N/A</v>
      </c>
      <c r="HB161" s="162" t="e">
        <f ca="1">$FA161/Control!$C$64</f>
        <v>#N/A</v>
      </c>
      <c r="HC161" s="162" t="e">
        <f t="shared" ca="1" si="520"/>
        <v>#DIV/0!</v>
      </c>
      <c r="HD161" s="162">
        <f ca="1">-ASIN(SIN(23.45*Control!$C$139)*COS(2*Control!$C$138*($AH161+10)/365))</f>
        <v>0.39398206951404491</v>
      </c>
      <c r="HE161" s="165">
        <f t="shared" ca="1" si="639"/>
        <v>0</v>
      </c>
      <c r="HF161" s="166">
        <f ca="1">IF(AND(Control!$C$61="T",$HE161&gt;=Control!$C$103,Control!$C$114=0),$AH161,Control!$C$59)</f>
        <v>1</v>
      </c>
      <c r="HG161" s="166">
        <f ca="1">IF(AND(Control!$C$61="T",$HE161&gt;=Control!$C$103,Control!$C$114=0),$HF161,Control!$C$59)</f>
        <v>1</v>
      </c>
      <c r="HH161" s="165">
        <f ca="1">IF(AND(OR(Control!$C$60&lt;=0, $AH161= Control!$C$59, Control!$C$60 &gt;0, $AH161 = Control!$C$60)), Control!$C$59, IF(Control!$C$60&gt;0, 0))</f>
        <v>1</v>
      </c>
      <c r="HI161" s="165">
        <f ca="1">IF(AND(OR(Control!$C$60&lt;=0, $AH161= Control!$C$59, Control!$C$60 &gt;0, $AH161 = Control!$C$60)), Control!$C$60, IF(Control!$C$60&lt;=0, 0))</f>
        <v>0</v>
      </c>
      <c r="HJ161" s="166">
        <f ca="1">IF(AND(Control!$C$62="F",$CV161&gt;=Control!$C$102),$AH161,0)</f>
        <v>0</v>
      </c>
      <c r="HK161" s="165" t="e">
        <f t="shared" ca="1" si="676"/>
        <v>#N/A</v>
      </c>
      <c r="HL161" s="166">
        <f ca="1">IF(AND(Control!$C$61="T",$HE161&gt;=Control!$C$103,Control!$C$114=0),$HF161,0)</f>
        <v>0</v>
      </c>
      <c r="HM161" s="201" t="e">
        <f t="shared" ca="1" si="521"/>
        <v>#DIV/0!</v>
      </c>
      <c r="HN161" s="215">
        <f t="shared" ca="1" si="640"/>
        <v>157</v>
      </c>
      <c r="HO161" s="216" t="e">
        <f ca="1">IF(AND($CP161&gt;=0, $CP161&lt;=90), Control!$C$152, Control!$C$152)</f>
        <v>#N/A</v>
      </c>
      <c r="HP161" s="216" t="e">
        <f t="shared" ca="1" si="522"/>
        <v>#N/A</v>
      </c>
      <c r="HQ161" s="217" t="e">
        <f ca="1">IF(OR(Control!$B$26=1,Control!$B$26=2),$KV161,$KS161)</f>
        <v>#DIV/0!</v>
      </c>
      <c r="HR161" s="218" t="e">
        <f t="shared" ca="1" si="677"/>
        <v>#DIV/0!</v>
      </c>
      <c r="HS161" s="216" t="e">
        <f ca="1">Control!$C$154*$HP161</f>
        <v>#N/A</v>
      </c>
      <c r="HT161" s="216" t="e">
        <f ca="1">Control!$C$155*$HP161</f>
        <v>#N/A</v>
      </c>
      <c r="HU161" s="217" t="e">
        <f ca="1">Control!$C$161*$FI161</f>
        <v>#N/A</v>
      </c>
      <c r="HV161" s="218" t="e">
        <f t="shared" ca="1" si="641"/>
        <v>#N/A</v>
      </c>
      <c r="HW161" s="218" t="e">
        <f ca="1">Control!$C$160*$FF161+$IP161*$EO161</f>
        <v>#N/A</v>
      </c>
      <c r="HX161" s="218" t="e">
        <f t="shared" ca="1" si="678"/>
        <v>#N/A</v>
      </c>
      <c r="HY161" s="219" t="e">
        <f ca="1">IF(Control!$C$114=1, $EB161*$FS161, 0)</f>
        <v>#N/A</v>
      </c>
      <c r="HZ161" s="91" t="e">
        <f t="shared" ca="1" si="523"/>
        <v>#N/A</v>
      </c>
      <c r="IA161" s="220" t="e">
        <f ca="1">Control!$C$153*$HO161</f>
        <v>#N/A</v>
      </c>
      <c r="IB161" s="218" t="e">
        <f t="shared" ca="1" si="524"/>
        <v>#N/A</v>
      </c>
      <c r="IC161" s="220" t="e">
        <f ca="1">Control!$C$153*$HT161</f>
        <v>#N/A</v>
      </c>
      <c r="ID161" s="218" t="e">
        <f t="shared" ca="1" si="525"/>
        <v>#N/A</v>
      </c>
      <c r="IE161" s="221" t="e">
        <f ca="1">($EB161*Control!$C$159+$EF161*Control!$C$160)/(IF($GZ161&lt;&gt;0,$GZ161,1))</f>
        <v>#N/A</v>
      </c>
      <c r="IF161" s="216" t="e">
        <f t="shared" ca="1" si="526"/>
        <v>#N/A</v>
      </c>
      <c r="IG161" s="91">
        <f ca="1">IF(OR(Control!$B$198=$AH161,Control!$B$199=$AH161, Control!$B$200=$AH161, Control!$B$201=$AH161, Control!$B$202=$AH161, Control!$B$203=$AH161, Control!$B$204=$AH161, Control!$B$205=$AH161, Control!$B$206=$AH161, Control!$B$207=$AH161), 1, 0)</f>
        <v>0</v>
      </c>
      <c r="IH161" s="91">
        <f ca="1">IF($IG161=0,0, VLOOKUP($AH161,Control!$B$198:$C$207,2))</f>
        <v>0</v>
      </c>
      <c r="II161" s="222">
        <f t="shared" ca="1" si="642"/>
        <v>0</v>
      </c>
      <c r="IJ161" s="91">
        <f>Control!$C$121</f>
        <v>0.7</v>
      </c>
      <c r="IK161" s="218">
        <f t="shared" ca="1" si="527"/>
        <v>0</v>
      </c>
      <c r="IL161" s="217" t="e">
        <f t="shared" ca="1" si="679"/>
        <v>#N/A</v>
      </c>
      <c r="IM161" s="223" t="e">
        <f ca="1">IF(AND(Control!$C$114=1,$KH161&lt;1),$EB161*Control!$C$148*(1-$KH161), 0)</f>
        <v>#N/A</v>
      </c>
      <c r="IN161" s="217" t="e">
        <f t="shared" ca="1" si="528"/>
        <v>#DIV/0!</v>
      </c>
      <c r="IO161" s="91" t="e">
        <f ca="1">MAX(0,$IL161-$EF161*Control!$C$160)</f>
        <v>#N/A</v>
      </c>
      <c r="IP161" s="220" t="e">
        <f t="shared" ca="1" si="529"/>
        <v>#N/A</v>
      </c>
      <c r="IQ161" s="217" t="e">
        <f t="shared" ca="1" si="643"/>
        <v>#N/A</v>
      </c>
      <c r="IR161" s="218" t="e">
        <f ca="1">$IQ161+$IL161</f>
        <v>#N/A</v>
      </c>
      <c r="IS161" s="217" t="e">
        <f ca="1">Control!$C$159*MAX(0,$FD161-$EN161)</f>
        <v>#N/A</v>
      </c>
      <c r="IT161" s="217" t="e">
        <f t="shared" ca="1" si="680"/>
        <v>#N/A</v>
      </c>
      <c r="IU161" s="217" t="e">
        <f t="shared" ca="1" si="644"/>
        <v>#N/A</v>
      </c>
      <c r="IV161" s="217" t="e">
        <f t="shared" ca="1" si="681"/>
        <v>#N/A</v>
      </c>
      <c r="IW161" s="217" t="e">
        <f ca="1">IF(OR($AW161=1,AND($AW161=0, Control!$B$18=1,$EN161&lt;&gt;0)), $IQ161-$IU161, $IQ161)</f>
        <v>#N/A</v>
      </c>
      <c r="IX161" s="218" t="e">
        <f t="shared" ca="1" si="531"/>
        <v>#N/A</v>
      </c>
      <c r="IY161" s="218" t="e">
        <f ca="1">MAX(0,$IQ161-$EB161*Control!$C$159)</f>
        <v>#N/A</v>
      </c>
      <c r="IZ161" s="218" t="e">
        <f t="shared" ca="1" si="532"/>
        <v>#N/A</v>
      </c>
      <c r="JA161" s="216" t="e">
        <f t="shared" ca="1" si="533"/>
        <v>#N/A</v>
      </c>
      <c r="JB161" s="217" t="e">
        <f t="shared" ca="1" si="534"/>
        <v>#N/A</v>
      </c>
      <c r="JC161" s="222" t="e">
        <f ca="1">MAX(Control!$C$157*$EK161-$JT161, 0)/Control!$C$162</f>
        <v>#N/A</v>
      </c>
      <c r="JD161" s="218" t="e">
        <f t="shared" ca="1" si="535"/>
        <v>#N/A</v>
      </c>
      <c r="JE161" s="218" t="e">
        <f t="shared" ca="1" si="536"/>
        <v>#N/A</v>
      </c>
      <c r="JF161" s="218" t="e">
        <f t="shared" ca="1" si="645"/>
        <v>#N/A</v>
      </c>
      <c r="JG161" s="218" t="e">
        <f t="shared" ca="1" si="537"/>
        <v>#N/A</v>
      </c>
      <c r="JH161" s="217" t="e">
        <f t="shared" ca="1" si="646"/>
        <v>#N/A</v>
      </c>
      <c r="JI161" s="217" t="e">
        <f t="shared" ca="1" si="647"/>
        <v>#N/A</v>
      </c>
      <c r="JJ161" s="217" t="e">
        <f t="shared" ca="1" si="682"/>
        <v>#N/A</v>
      </c>
      <c r="JK161" s="217" t="e">
        <f ca="1">IF(Control!$C$114=1,IF(Control!$B$24=0,MAX(0,$JI161)*$GN161/Control!$C$64,(MAX(0,MIN($JI161,$JJ161*$GN161/Control!$C$64),0))))</f>
        <v>#N/A</v>
      </c>
      <c r="JL161" s="217" t="e">
        <f ca="1">$IK161/Control!$C$64-$JK161+$HQ161</f>
        <v>#N/A</v>
      </c>
      <c r="JM161" s="217" t="e">
        <f ca="1">IF(Control!$C$114=1,($JB161/(IF($JI161&lt;&gt;0,$JI161,1)))*$JK161,0)</f>
        <v>#N/A</v>
      </c>
      <c r="JN161" s="217" t="e">
        <f ca="1">IF(Control!$C$114=1,($JG161/(IF($JI161&lt;&gt;0,$JI161,1)))*$JK161, 0)</f>
        <v>#N/A</v>
      </c>
      <c r="JO161" s="218" t="e">
        <f t="shared" ca="1" si="538"/>
        <v>#N/A</v>
      </c>
      <c r="JP161" s="218" t="e">
        <f ca="1">MIN(($IY161+$IO161)*Control!$C$151, $JF161-$EH161*Control!$C$161)</f>
        <v>#N/A</v>
      </c>
      <c r="JQ161" s="218" t="e">
        <f t="shared" ca="1" si="539"/>
        <v>#N/A</v>
      </c>
      <c r="JR161" s="217" t="e">
        <f ca="1">IF($CP161-Control!$C$150&lt;0, 0, $JQ161/Control!$C$162)</f>
        <v>#N/A</v>
      </c>
      <c r="JS161" s="218" t="e">
        <f t="shared" ca="1" si="540"/>
        <v>#N/A</v>
      </c>
      <c r="JT161" s="218" t="e">
        <f t="shared" ca="1" si="648"/>
        <v>#N/A</v>
      </c>
      <c r="JU161" s="218" t="e">
        <f t="shared" ca="1" si="541"/>
        <v>#N/A</v>
      </c>
      <c r="JV161" s="218" t="e">
        <f t="shared" ca="1" si="542"/>
        <v>#N/A</v>
      </c>
      <c r="JW161" s="216" t="e">
        <f t="shared" ca="1" si="543"/>
        <v>#N/A</v>
      </c>
      <c r="JX161" s="91" t="e">
        <f t="shared" ca="1" si="544"/>
        <v>#N/A</v>
      </c>
      <c r="JY161" s="218" t="e">
        <f t="shared" ca="1" si="545"/>
        <v>#N/A</v>
      </c>
      <c r="JZ161" s="217" t="e">
        <f ca="1">IF(Control!$C$114=1,($IZ161/(IF($JI161&lt;&gt;0,$JI161,1)))*$JK161, 0)</f>
        <v>#N/A</v>
      </c>
      <c r="KA161" s="218" t="e">
        <f t="shared" ca="1" si="683"/>
        <v>#N/A</v>
      </c>
      <c r="KB161" s="218" t="e">
        <f t="shared" ca="1" si="649"/>
        <v>#N/A</v>
      </c>
      <c r="KC161" s="218" t="e">
        <f t="shared" ca="1" si="546"/>
        <v>#N/A</v>
      </c>
      <c r="KD161" s="218" t="e">
        <f t="shared" ca="1" si="547"/>
        <v>#N/A</v>
      </c>
      <c r="KE161" s="218" t="e">
        <f t="shared" ca="1" si="548"/>
        <v>#N/A</v>
      </c>
      <c r="KF161" s="218" t="e">
        <f t="shared" ca="1" si="549"/>
        <v>#N/A</v>
      </c>
      <c r="KG161" s="216" t="e">
        <f t="shared" ca="1" si="550"/>
        <v>#N/A</v>
      </c>
      <c r="KH161" s="221" t="e">
        <f ca="1">IF(Control!$B$24=0,1,MAX(0.001,MIN(1,IF(($IF161-$IE161)&lt;&gt;0,($KG161-$IE161)/($IF161-$IE161),1))))</f>
        <v>#N/A</v>
      </c>
      <c r="KI161" s="222" t="e">
        <f ca="1">IF(Control!$C$114=1, $KI160+ $KH160, 0)</f>
        <v>#N/A</v>
      </c>
      <c r="KJ161" s="217" t="e">
        <f t="shared" ca="1" si="551"/>
        <v>#N/A</v>
      </c>
      <c r="KK161" s="218" t="e">
        <f t="shared" ca="1" si="552"/>
        <v>#N/A</v>
      </c>
      <c r="KL161" s="274" t="e">
        <f ca="1">IF(Control!$B$26=3,4000000000*EXP(-8400/($G161+273)),IF(Control!$B$26=4,4000000000*EXP(-8400/($G161+273))*($KT161),0))</f>
        <v>#DIV/0!</v>
      </c>
      <c r="KM161" s="274" t="e">
        <f ca="1">IF(Control!$B$26=3,5600000000000*EXP(-9800/($G161+273)),IF(Control!$B$26=4,5600000000000*EXP(-9800/($G161+273))*$KT161,0))</f>
        <v>#DIV/0!</v>
      </c>
      <c r="KN161" s="454" t="e">
        <f t="shared" ca="1" si="650"/>
        <v>#DIV/0!</v>
      </c>
      <c r="KO161" s="274" t="e">
        <f t="shared" ca="1" si="651"/>
        <v>#DIV/0!</v>
      </c>
      <c r="KP161" s="454" t="e">
        <f t="shared" ca="1" si="553"/>
        <v>#DIV/0!</v>
      </c>
      <c r="KQ161" s="454" t="e">
        <f t="shared" ca="1" si="554"/>
        <v>#DIV/0!</v>
      </c>
      <c r="KR161" s="454" t="e">
        <f t="shared" ca="1" si="555"/>
        <v>#DIV/0!</v>
      </c>
      <c r="KS161" s="454" t="e">
        <f t="shared" ca="1" si="556"/>
        <v>#DIV/0!</v>
      </c>
      <c r="KT161" s="455" t="e">
        <f t="shared" ca="1" si="557"/>
        <v>#DIV/0!</v>
      </c>
      <c r="KU161" s="456" t="e">
        <f ca="1">IF($CP161-Control!$C$149&lt;0, IF($NT161-0.01&lt;0,0,1),0)</f>
        <v>#N/A</v>
      </c>
      <c r="KV161" s="456" t="e">
        <f ca="1">IF(Control!$C$114=1,MAX(0,MIN(Control!$C$125*$KW161*$GN161,$KW161)))</f>
        <v>#DIV/0!</v>
      </c>
      <c r="KW161" s="456" t="e">
        <f t="shared" ca="1" si="684"/>
        <v>#DIV/0!</v>
      </c>
      <c r="KX161" s="457" t="e">
        <f ca="1">IF($CP161-Control!$C$149&lt;0, IF($MR161-$OM161&lt;0,0,1),0)</f>
        <v>#N/A</v>
      </c>
      <c r="KY161" s="167">
        <f t="shared" ca="1" si="652"/>
        <v>157</v>
      </c>
      <c r="KZ161" s="168">
        <f ca="1">1370*(1+0.033*COS(2*Control!$C$138*$AH161/365))</f>
        <v>1329.0760944531016</v>
      </c>
      <c r="LA161" s="169">
        <f t="shared" ca="1" si="653"/>
        <v>0.97012862473358386</v>
      </c>
      <c r="LB161" s="169">
        <f t="shared" ca="1" si="654"/>
        <v>0.39544568073579722</v>
      </c>
      <c r="LC161" s="169">
        <f ca="1">ACOS(-TAN((2*Control!$B$8/360))*TAN(Calculations!$LB161))</f>
        <v>1.6951798187363867</v>
      </c>
      <c r="LD161" s="169">
        <f ca="1">((24*60)/PI())*0.082*$LA161*(($LC161*SIN(Control!$B$8*2*PI()/360))*SIN($LB161)+COS(Control!$B$8*2*PI()/360)*COS($LB161)*SIN($LC161))</f>
        <v>39.319905005025966</v>
      </c>
      <c r="LE161" s="170">
        <f t="shared" ca="1" si="558"/>
        <v>40.873491962069842</v>
      </c>
      <c r="LF161" s="170">
        <f ca="1">SIN(Control!$C$139*Control!$B$8)*SIN($HD161)</f>
        <v>0.30249296282987909</v>
      </c>
      <c r="LG161" s="170">
        <f ca="1">COS(Control!$C$139*Control!$B$8)*COS($HD161)</f>
        <v>0.56849274733660504</v>
      </c>
      <c r="LH161" s="170">
        <f ca="1">12*(1+2*ASIN(MAX(-1,MIN(1,$LF161/$LG161))/Control!$C$138))</f>
        <v>16.084597787351981</v>
      </c>
      <c r="LI161" s="170">
        <f ca="1">12*(1+2*ASIN(MAX(-1,MIN(1,(-SIN(-4*Control!$C$139)+$LF161)/$LG161))/Control!$C$138))</f>
        <v>17.03924501608962</v>
      </c>
      <c r="LJ161" s="168">
        <f ca="1">3600*($LH161*$LF161+24*$LG161*SQRT(1-$LK161*$LK161)/Control!$C$138)</f>
        <v>30753.312118587746</v>
      </c>
      <c r="LK161" s="170">
        <f t="shared" ca="1" si="559"/>
        <v>0.53209643262304052</v>
      </c>
      <c r="LL161" s="170">
        <f t="shared" ca="1" si="560"/>
        <v>0</v>
      </c>
      <c r="LM161" s="171">
        <f ca="1">Control!$C$145*$AB161</f>
        <v>6.6660906138995932E-2</v>
      </c>
      <c r="LN161" s="170">
        <f t="shared" ca="1" si="655"/>
        <v>0.54</v>
      </c>
      <c r="LO161" s="170">
        <f t="shared" ca="1" si="561"/>
        <v>0</v>
      </c>
      <c r="LP161" s="170">
        <f ca="1">Control!$C$140*((($D161+273.16)^4+($E161+273.16)^4)/2)*(0.34-0.14*SQRT($Y161))*(1.35*$AQ161/(0.75*$LD161)-0.35)</f>
        <v>-3.2464704755046001</v>
      </c>
      <c r="LQ161" s="170">
        <f ca="1">Control!$C$140*($G161+273)^4*(0.56-0.079*SQRT($Y161*10))*(0.1+0.9*$LO161)</f>
        <v>1.5241745131704001</v>
      </c>
      <c r="LR161" s="170">
        <f ca="1">$AQ161*(1-Control!$C$142)-$LQ161</f>
        <v>-1.5241745131704001</v>
      </c>
      <c r="LS161" s="170">
        <f ca="1">$AQ161*(1-Control!$C$143)-$LQ161</f>
        <v>-1.5241745131704001</v>
      </c>
      <c r="LT161" s="170">
        <f ca="1">$AQ161*(1-Control!$C$144)-$LQ161</f>
        <v>-1.5241745131704001</v>
      </c>
      <c r="LU161" s="169">
        <f ca="1">(1-Control!$C$144)*AQ161-LP161</f>
        <v>3.2464704755046001</v>
      </c>
      <c r="LV161" s="172">
        <f t="shared" ca="1" si="562"/>
        <v>0.79430000000000012</v>
      </c>
      <c r="LW161" s="170">
        <f t="shared" ca="1" si="563"/>
        <v>1.5886000000000002</v>
      </c>
      <c r="LX161" s="170">
        <f ca="1">($AC161*($LR161/Control!$C$141)+$LM161*$LV161)/($AC161+$LM161)</f>
        <v>0.23530094218323697</v>
      </c>
      <c r="LY161" s="170">
        <f ca="1">($AC161*($LS161/Control!$C$141)+$LM161*$LV161)/($AC161+$LM161)</f>
        <v>0.23530094218323697</v>
      </c>
      <c r="LZ161" s="170">
        <f t="shared" ca="1" si="564"/>
        <v>0.23530094218323697</v>
      </c>
      <c r="MA161" s="170">
        <f t="shared" ca="1" si="565"/>
        <v>0.23530094218323697</v>
      </c>
      <c r="MB161" s="170" t="e">
        <f t="shared" ca="1" si="566"/>
        <v>#N/A</v>
      </c>
      <c r="MC161" s="170">
        <f t="shared" ca="1" si="656"/>
        <v>0.6018</v>
      </c>
      <c r="MD161" s="170">
        <f t="shared" ca="1" si="567"/>
        <v>0.52989392535414004</v>
      </c>
      <c r="ME161" s="170">
        <f ca="1">($AC161*($LT161/Control!$C$141)+$LM161*$LW161)/($AC161+$LM161)</f>
        <v>0.71612369323045078</v>
      </c>
      <c r="MF161" s="170" t="e">
        <f ca="1">IF(Control!$B$16&gt;=1000,0.92,IF(AND(720&lt;=Control!$B$16,1000&gt;Control!$B$16),(0.95+(Control!$B$16-720)*((0.92-0.95)/(1000-720))),IF(AND(360&lt;=Control!$B$16,720&gt;Control!$B$16),(1+(Control!$B$16-360)*((0.95-1)/(720-360))),IF(AND(40&lt;=Control!$B$16,360&gt;Control!$B$16),(1.05+(Control!$B$16-40)*((1.05-1)/(360-40)))))))</f>
        <v>#N/A</v>
      </c>
      <c r="MG161" s="170">
        <f t="shared" ca="1" si="568"/>
        <v>0.71612369323045078</v>
      </c>
      <c r="MH161" s="170" t="e">
        <f t="shared" ca="1" si="693"/>
        <v>#N/A</v>
      </c>
      <c r="MI161" s="170" t="e">
        <f t="shared" ca="1" si="693"/>
        <v>#N/A</v>
      </c>
      <c r="MJ161" s="170" t="e">
        <f ca="1">MAX(0.0001, Control!$C$132*$MI161*$DL161)</f>
        <v>#N/A</v>
      </c>
      <c r="MK161" s="170">
        <f ca="1">1/(0.76+1.5*($MG161/10))-(5-Control!$C$110)*0.1</f>
        <v>1.002845988140797</v>
      </c>
      <c r="ML161" s="173">
        <f ca="1">IF(Control!$C$110&lt;3,$MK161+($MG161-0.6)/(Control!$C$110*(Control!$C$110+3)), MAX(0.1, MIN(0.95,$MK161)))</f>
        <v>0.95</v>
      </c>
      <c r="MM161" s="173">
        <f ca="1">IF(Control!$C$110&lt;3,$MK161+(($MI161/10)-0.6)/(Control!$C$110*(Control!$C$110+3)), MAX(0.1, MIN(0.95,$MK161)))</f>
        <v>0.95</v>
      </c>
      <c r="MN161" s="173">
        <f ca="1">(1-$MM161)*(Control!$C$128-Control!$C$127)+Control!$C$127</f>
        <v>0.16</v>
      </c>
      <c r="MO161" s="170" t="e">
        <f ca="1">MAX(0,MIN(1,($MS161-Control!$C$127)/($MN161-Control!$C$127)))</f>
        <v>#DIV/0!</v>
      </c>
      <c r="MP161" s="173" t="e">
        <f ca="1">1/(0.76+1.5*$MI161)-(5-Control!$C$110)*0.1</f>
        <v>#N/A</v>
      </c>
      <c r="MQ161" s="172" t="e">
        <f t="shared" ca="1" si="685"/>
        <v>#DIV/0!</v>
      </c>
      <c r="MR161" s="168" t="e">
        <f t="shared" ca="1" si="657"/>
        <v>#DIV/0!</v>
      </c>
      <c r="MS161" s="173" t="e">
        <f ca="1">MAX(Control!$C$127, MIN(Control!$C$135, $MR161/MAX(0.0001,$CY161)))</f>
        <v>#DIV/0!</v>
      </c>
      <c r="MT161" s="168" t="e">
        <f ca="1">(Control!$C$128-$MS161)*Control!$C$74</f>
        <v>#DIV/0!</v>
      </c>
      <c r="MU161" s="168" t="e">
        <f ca="1">(Control!$C$135-$MS161)*Control!$C$74</f>
        <v>#DIV/0!</v>
      </c>
      <c r="MV161" s="168" t="e">
        <f t="shared" ca="1" si="658"/>
        <v>#DIV/0!</v>
      </c>
      <c r="MW161" s="168" t="e">
        <f t="shared" ca="1" si="659"/>
        <v>#DIV/0!</v>
      </c>
      <c r="MX161" s="171" t="e">
        <f ca="1">MAX(Control!$C$127, MIN(Control!$C$135, $MW161/MAX(0.0001,Control!$C$119-$CY161)))</f>
        <v>#DIV/0!</v>
      </c>
      <c r="MY161" s="54" t="e">
        <f ca="1">IF(Control!$C$114=1, $CX161*$MX161, 0)</f>
        <v>#DIV/0!</v>
      </c>
      <c r="MZ161" s="54" t="e">
        <f t="shared" ca="1" si="660"/>
        <v>#N/A</v>
      </c>
      <c r="NA161" s="168" t="e">
        <f ca="1">(Control!$C$128-$MX161)*(Control!$C$119-Control!$C$74)</f>
        <v>#DIV/0!</v>
      </c>
      <c r="NB161" s="168" t="e">
        <f ca="1">(Control!$C$135-$MX161)*(Control!$C$119-Control!$C$74)</f>
        <v>#DIV/0!</v>
      </c>
      <c r="NC161" s="174" t="e">
        <f t="shared" ca="1" si="661"/>
        <v>#DIV/0!</v>
      </c>
      <c r="ND161" s="54">
        <f ca="1">IF(Control!$C$58=2, IF(OR(Control!$B$218=$AH161,Control!$B$219=$AH161, Control!$B$220=$AH161, Control!$B$221=$AH161, Control!$B$222=$AH161, Control!$B$223=$AH161, Control!$B$224=$AH161, Control!$B$225=$AH161, Control!$B$226=$AH161, Control!$B$227=$AH161, Control!$B$228=$AH161), 1, 0), 0)</f>
        <v>0</v>
      </c>
      <c r="NE161" s="54">
        <f ca="1">IF($ND161=0,0, VLOOKUP($AH161,Control!$B$218:$C$228,2))</f>
        <v>0</v>
      </c>
      <c r="NF161" s="168" t="e">
        <f ca="1">$CY161*(Control!$C$128-Control!$C$127)</f>
        <v>#N/A</v>
      </c>
      <c r="NG161" s="54" t="e">
        <f ca="1">IF(Control!$C$58=2, $NI160-$NJ160, 0)</f>
        <v>#DIV/0!</v>
      </c>
      <c r="NH161" s="54" t="e">
        <f ca="1">IF(AND(Control!$C$58=1, $MS160&lt;= ($MN160+0.02), $I160&lt;10), 0, IF(Control!$C$58=2, $NG160, 0))</f>
        <v>#DIV/0!</v>
      </c>
      <c r="NI161" s="54" t="e">
        <f ca="1">IF(Control!$C$58=2, $NE161+$NH161,0)</f>
        <v>#DIV/0!</v>
      </c>
      <c r="NJ161" s="54" t="e">
        <f ca="1">IF(AND(Control!$C$58=1, $MS161&lt;= ($MN161+0.02), $I161&lt;10), MAX(0, MIN(10, 0.7*($NF161-$MV161))), IF(Control!$C$58=2, MIN(10,$NI161),0))</f>
        <v>#DIV/0!</v>
      </c>
      <c r="NK161" s="54" t="e">
        <f t="shared" ca="1" si="569"/>
        <v>#DIV/0!</v>
      </c>
      <c r="NL161" s="173" t="e">
        <f ca="1">(1-Control!$C$73)*$I161+$NJ161</f>
        <v>#DIV/0!</v>
      </c>
      <c r="NM161" s="172" t="e">
        <f ca="1">IF($NL161&lt;0.5, $MB161* MAX(0, MIN(1, (SQRT($NC161)-SQRT($NC161-1))*Control!$C$71)),0)</f>
        <v>#DIV/0!</v>
      </c>
      <c r="NN161" s="170" t="e">
        <f ca="1">IF($NL161&gt;=5, $MB161, MAX(0,MIN($MB161, $NM161+$NL161,($MS161-Control!$C$129))))</f>
        <v>#DIV/0!</v>
      </c>
      <c r="NO161" s="54">
        <f>IF(Control!$C$133&lt;&gt;1, Control!$C$135-Control!$C$131, 0)</f>
        <v>0.38</v>
      </c>
      <c r="NP161" s="54" t="e">
        <f t="shared" ca="1" si="570"/>
        <v>#DIV/0!</v>
      </c>
      <c r="NQ161" s="173" t="e">
        <f ca="1">MAX(0,MIN(1,(Control!$C$135-$MS161)/(Control!$C$135-$NO161)))</f>
        <v>#DIV/0!</v>
      </c>
      <c r="NR161" s="170" t="e">
        <f ca="1">IF(Control!$C$133&lt;&gt;1, $NQ161+((1-$NP161/4)*(1-$NQ161)),1)</f>
        <v>#DIV/0!</v>
      </c>
      <c r="NS161" s="170" t="e">
        <f ca="1">IF(Control!$B$31=0,$MJ161,MAX(0,MIN($MV161,$MO161*$NR161*$MJ161)))</f>
        <v>#DIV/0!</v>
      </c>
      <c r="NT161" s="170" t="e">
        <f t="shared" ca="1" si="686"/>
        <v>#DIV/0!</v>
      </c>
      <c r="NU161" s="170" t="e">
        <f t="shared" ca="1" si="662"/>
        <v>#N/A</v>
      </c>
      <c r="NV161" s="170" t="e">
        <f t="shared" ca="1" si="571"/>
        <v>#N/A</v>
      </c>
      <c r="NW161" s="175" t="e">
        <f t="shared" ca="1" si="572"/>
        <v>#DIV/0!</v>
      </c>
      <c r="NX161" s="170" t="e">
        <f ca="1">MIN(Control!$C$72+$MU161, $NW161)</f>
        <v>#DIV/0!</v>
      </c>
      <c r="NY161" s="170" t="e">
        <f ca="1">IF($MT161&lt;=$NX161,MIN(Control!$C$72+$NB161,$NX161-$MT161),0)</f>
        <v>#DIV/0!</v>
      </c>
      <c r="NZ161" s="54" t="e">
        <f ca="1">IF(Control!$C$114=1,  $CX161*($MX161-Control!$C$127), 0)</f>
        <v>#DIV/0!</v>
      </c>
      <c r="OA161" s="170" t="e">
        <f t="shared" ca="1" si="573"/>
        <v>#DIV/0!</v>
      </c>
      <c r="OB161" s="170" t="e">
        <f ca="1">IF($NA161 &lt;=$NY161, MIN(Control!$C$72, $NY161-$NA161), 0)</f>
        <v>#DIV/0!</v>
      </c>
      <c r="OC161" s="168" t="e">
        <f t="shared" ca="1" si="574"/>
        <v>#DIV/0!</v>
      </c>
      <c r="OD161" s="168" t="e">
        <f t="shared" ca="1" si="663"/>
        <v>#DIV/0!</v>
      </c>
      <c r="OE161" s="170">
        <f ca="1">Control!$C$73*$I161</f>
        <v>0</v>
      </c>
      <c r="OF161" s="176" t="e">
        <f t="shared" ca="1" si="575"/>
        <v>#DIV/0!</v>
      </c>
      <c r="OG161" s="168" t="e">
        <f t="shared" ca="1" si="576"/>
        <v>#DIV/0!</v>
      </c>
      <c r="OH161" s="168" t="e">
        <f t="shared" ca="1" si="577"/>
        <v>#DIV/0!</v>
      </c>
      <c r="OI161" s="168" t="e">
        <f t="shared" ca="1" si="578"/>
        <v>#DIV/0!</v>
      </c>
      <c r="OJ161" s="168" t="e">
        <f t="shared" ca="1" si="579"/>
        <v>#DIV/0!</v>
      </c>
      <c r="OK161" s="204" t="e">
        <f t="shared" ca="1" si="580"/>
        <v>#DIV/0!</v>
      </c>
      <c r="OL161" s="177">
        <f>Control!$C$127</f>
        <v>0.15</v>
      </c>
      <c r="OM161" s="182" t="e">
        <f t="shared" ca="1" si="581"/>
        <v>#N/A</v>
      </c>
      <c r="ON161" s="177">
        <f>Control!$C$128</f>
        <v>0.35</v>
      </c>
      <c r="OO161" s="182" t="e">
        <f t="shared" ca="1" si="582"/>
        <v>#N/A</v>
      </c>
      <c r="OP161" s="138">
        <f t="shared" ca="1" si="664"/>
        <v>0</v>
      </c>
      <c r="OQ161" s="138" t="e">
        <f t="shared" ca="1" si="687"/>
        <v>#DIV/0!</v>
      </c>
      <c r="OR161" s="138" t="e">
        <f t="shared" ca="1" si="665"/>
        <v>#DIV/0!</v>
      </c>
      <c r="OS161" s="137" t="e">
        <f t="shared" ca="1" si="688"/>
        <v>#DIV/0!</v>
      </c>
      <c r="OT161" s="139" t="e">
        <f t="shared" ca="1" si="689"/>
        <v>#DIV/0!</v>
      </c>
      <c r="OU161" s="138" t="e">
        <f t="shared" ca="1" si="690"/>
        <v>#N/A</v>
      </c>
      <c r="OV161" s="138" t="e">
        <f t="shared" ca="1" si="691"/>
        <v>#DIV/0!</v>
      </c>
      <c r="OW161" s="138" t="e">
        <f t="shared" ca="1" si="666"/>
        <v>#DIV/0!</v>
      </c>
      <c r="OX161" s="138" t="e">
        <f t="shared" ca="1" si="667"/>
        <v>#DIV/0!</v>
      </c>
      <c r="OY161" s="138" t="e">
        <f t="shared" ca="1" si="668"/>
        <v>#DIV/0!</v>
      </c>
      <c r="OZ161" s="138" t="e">
        <f t="shared" ca="1" si="583"/>
        <v>#DIV/0!</v>
      </c>
      <c r="PA161" s="138" t="e">
        <f t="shared" ca="1" si="584"/>
        <v>#DIV/0!</v>
      </c>
      <c r="PB161" s="55">
        <f>IF(Control!$C$61="T", IF(Control!$C$65="F", IF($AH$6-Control!$C$60&lt;0,0,1), IF(365+$AH$6-Control!$C$60&lt;0,0,1)),0)</f>
        <v>0</v>
      </c>
      <c r="PC161" s="55">
        <f ca="1">IF(Control!$C$65="F", IF($AH$6-$HF161&lt;0,0,1), IF(365+$AH$6-$HF161&lt;0,0,1))</f>
        <v>1</v>
      </c>
      <c r="PD161" s="444">
        <f>Control!$C$118</f>
        <v>1500</v>
      </c>
      <c r="PE161" s="180" t="e">
        <f t="shared" ca="1" si="585"/>
        <v>#N/A</v>
      </c>
      <c r="PF161" s="445">
        <f t="shared" ca="1" si="669"/>
        <v>0.71612369323045078</v>
      </c>
      <c r="PT161" s="186"/>
      <c r="PU161" s="186"/>
      <c r="PV161" s="94"/>
      <c r="PW161" s="94"/>
      <c r="PX161" s="94"/>
      <c r="PY161" s="94"/>
      <c r="PZ161" s="94"/>
      <c r="QA161" s="94"/>
      <c r="QB161" s="94"/>
      <c r="QC161" s="94"/>
      <c r="QD161" s="94"/>
      <c r="QE161" s="94"/>
      <c r="QF161" s="94"/>
      <c r="QG161" s="94"/>
      <c r="QH161" s="94"/>
      <c r="QI161" s="94"/>
      <c r="QJ161" s="94"/>
      <c r="QK161" s="94"/>
      <c r="QL161" s="94"/>
      <c r="QM161" s="94"/>
      <c r="QN161" s="94"/>
      <c r="QO161" s="94"/>
      <c r="QP161" s="94"/>
    </row>
    <row r="162" spans="1:458" s="2" customFormat="1" x14ac:dyDescent="0.2">
      <c r="A162" s="395">
        <v>6</v>
      </c>
      <c r="B162" s="396">
        <v>6</v>
      </c>
      <c r="C162" s="387">
        <f ca="1">Weather_data!$B161</f>
        <v>0</v>
      </c>
      <c r="D162" s="388">
        <f ca="1">Weather_data!$F161</f>
        <v>0</v>
      </c>
      <c r="E162" s="388">
        <f ca="1">Weather_data!$E161</f>
        <v>0</v>
      </c>
      <c r="F162" s="388">
        <f t="shared" ca="1" si="586"/>
        <v>0</v>
      </c>
      <c r="G162" s="388">
        <f ca="1">AVERAGE($D162:$E162)+Control!$B$9</f>
        <v>0</v>
      </c>
      <c r="H162" s="388">
        <f ca="1">Weather_data!$G161</f>
        <v>0</v>
      </c>
      <c r="I162" s="388">
        <f ca="1">Weather_data!$I161</f>
        <v>0</v>
      </c>
      <c r="J162" s="388">
        <f ca="1">Weather_data!$H161</f>
        <v>0</v>
      </c>
      <c r="K162" s="389">
        <f ca="1">Weather_data!$D161</f>
        <v>0</v>
      </c>
      <c r="L162" s="388" t="e">
        <f t="shared" ca="1" si="587"/>
        <v>#N/A</v>
      </c>
      <c r="M162" s="388" t="e">
        <f t="shared" ca="1" si="465"/>
        <v>#N/A</v>
      </c>
      <c r="N162" s="388">
        <f t="shared" ca="1" si="466"/>
        <v>-3.6374872261187617E-8</v>
      </c>
      <c r="O162" s="388">
        <f t="shared" ca="1" si="588"/>
        <v>3.637487226118762E-7</v>
      </c>
      <c r="P162" s="390">
        <v>3</v>
      </c>
      <c r="Q162" s="388">
        <f ca="1">MAX($G162-Control!$C$107,0)</f>
        <v>0</v>
      </c>
      <c r="R162" s="388">
        <f t="shared" ca="1" si="589"/>
        <v>0</v>
      </c>
      <c r="S162" s="388">
        <f t="shared" ca="1" si="467"/>
        <v>0</v>
      </c>
      <c r="T162" s="388">
        <f t="shared" ca="1" si="468"/>
        <v>0</v>
      </c>
      <c r="U162" s="59">
        <f t="shared" ca="1" si="469"/>
        <v>0</v>
      </c>
      <c r="V162" s="391">
        <f ca="1">MAX(0,MIN(Control!$C$100-Control!$C$99,$G162-Control!$C$99)*Control!$C$63)</f>
        <v>0</v>
      </c>
      <c r="W162" s="388">
        <f t="shared" ca="1" si="590"/>
        <v>0</v>
      </c>
      <c r="X162" s="388">
        <f t="shared" ca="1" si="591"/>
        <v>0.6110000000000001</v>
      </c>
      <c r="Y162" s="388">
        <f t="shared" ca="1" si="470"/>
        <v>0</v>
      </c>
      <c r="Z162" s="388">
        <f t="shared" ca="1" si="592"/>
        <v>0.61058800000000002</v>
      </c>
      <c r="AA162" s="388">
        <f t="shared" ca="1" si="471"/>
        <v>0.6018</v>
      </c>
      <c r="AB162" s="388">
        <f ca="1">101.3*EXP(-0.034*Control!$C$66/($G162+273))</f>
        <v>100.69623283836242</v>
      </c>
      <c r="AC162" s="392">
        <f t="shared" ca="1" si="472"/>
        <v>4.3460251046025113E-2</v>
      </c>
      <c r="AD162" s="392">
        <f t="shared" ca="1" si="473"/>
        <v>4.4450382862832649E-2</v>
      </c>
      <c r="AE162" s="388">
        <f t="shared" ca="1" si="474"/>
        <v>0</v>
      </c>
      <c r="AF162" s="388">
        <f ca="1">MAX(0,$G162-Control!$C$92)</f>
        <v>0</v>
      </c>
      <c r="AG162" s="393">
        <f t="shared" ca="1" si="475"/>
        <v>158</v>
      </c>
      <c r="AH162" s="389">
        <f t="shared" ca="1" si="476"/>
        <v>158</v>
      </c>
      <c r="AI162" s="388">
        <f t="shared" ca="1" si="593"/>
        <v>0.39587715256152151</v>
      </c>
      <c r="AJ162" s="388">
        <f ca="1">IF(Control!$C$60&lt;=0,$HH162,$HI162)</f>
        <v>1</v>
      </c>
      <c r="AK162" s="388">
        <f t="shared" ca="1" si="477"/>
        <v>1.342708093041117</v>
      </c>
      <c r="AL162" s="388">
        <f t="shared" ca="1" si="478"/>
        <v>2.1638628389109016E-18</v>
      </c>
      <c r="AM162" s="388">
        <f t="shared" ca="1" si="479"/>
        <v>1.342708093041117</v>
      </c>
      <c r="AN162" s="388">
        <f t="shared" ca="1" si="480"/>
        <v>0.39791508242400636</v>
      </c>
      <c r="AO162" s="388">
        <f ca="1">-0.10453/COS(Control!$B$8*PI()/180)*COS(AN162)</f>
        <v>-0.15651972503243614</v>
      </c>
      <c r="AP162" s="388">
        <f ca="1">ACOS(AO162-TAN(Control!$B$8*PI()/180)*TAN(AN162))</f>
        <v>2.3385593409099652</v>
      </c>
      <c r="AQ162" s="388">
        <f t="shared" ca="1" si="594"/>
        <v>0</v>
      </c>
      <c r="AR162" s="394">
        <f t="shared" ca="1" si="481"/>
        <v>0</v>
      </c>
      <c r="AS162" s="436">
        <f ca="1">IF(Control!$B$18=2,(IF(OR($AH162=Control!$B$175,$AH162=Control!$B$176,$AH162=Control!$B$177,$AH162=Control!$B$178,$AH162=Control!$B$179,$AH162=Control!$B$180,$AH162=Control!$B$181,$AH162=Control!$B$182,$AH162=Control!$B$183,$AH162=Control!$B$184,$AH162=Control!$B$185),1,0)),0)</f>
        <v>0</v>
      </c>
      <c r="AT162" s="436">
        <f>IF(Control!$B$20=8,IF(AND($AH162&gt;=Control!$B$172,$AH162&lt;=Control!$B$173),1,0),0)</f>
        <v>0</v>
      </c>
      <c r="AU162" s="436">
        <f>IF(Control!$B$20=8,IF($AV161=1,1*$AT162,IF($AT162=1,$AU161+1,$AU161)),0)</f>
        <v>0</v>
      </c>
      <c r="AV162" s="436">
        <f>IF(Control!$B$20=8,IF($AU162&gt;=Control!$B$174,1,0),0)</f>
        <v>0</v>
      </c>
      <c r="AW162" s="436">
        <f ca="1">IF(AND(Control!$B$18=2,Control!$B$171=1), $AV162, $AS162)</f>
        <v>0</v>
      </c>
      <c r="AX162" s="436" t="e">
        <f ca="1">IF(AND(Control!$B$18=1,$EU162&gt;=Control!$B$19),-$AY162,IF(AND(Control!$B$18=2,$AW162=1,$EU162&gt;$DS162),-$AY162, IF(Control!$C$108=0,0, IF(Control!$C$108&lt;&gt;0,1))))</f>
        <v>#N/A</v>
      </c>
      <c r="AY162" s="436" t="e">
        <f t="shared" ca="1" si="595"/>
        <v>#N/A</v>
      </c>
      <c r="AZ162" s="436" t="e">
        <f ca="1">IF(AND(Control!$B$18=1,$EB162&gt;Control!$B$19),$AZ161+1, IF(AND(Control!$B$18=2, $AW162=1, $EB162&gt;$DS162), $AZ161+1,$AZ161))</f>
        <v>#N/A</v>
      </c>
      <c r="BA162" s="587">
        <f>IF(Control!$C$81=0,1,IF($AH162&gt;=Control!$C$82,1,0))</f>
        <v>1</v>
      </c>
      <c r="BB162" s="140" t="e">
        <f ca="1">IF($BA162&gt;$BA161,Control!$C$83,IF($AW162&gt;0,$AW162*Control!$C$84,IF(AND(Control!$B$18=1,EN161&lt;&gt;0),Control!$C$84,0)))</f>
        <v>#N/A</v>
      </c>
      <c r="BC162" s="140" t="e">
        <f t="shared" ca="1" si="596"/>
        <v>#N/A</v>
      </c>
      <c r="BD162" s="140" t="e">
        <f ca="1">BC162*IF(OR($G162&lt;Control!$C$92,$G162&gt;Control!$C$95),0,IF(AND($G162&gt;=Control!$C$92,$G162&lt;=Control!$C$93),$G162-Control!$C$92,IF(AND($G162&gt;Control!$C$93,$G162&lt;=Control!$C$94),Control!$C$93-Control!$C$92,IF(AND($G162&gt;Control!$C$94,$G162&lt;=Control!$C$95),(Control!$C$93-Control!$C$92)*(Control!$C$94-$G162)/(Control!$C$95-Control!$C$94)))))</f>
        <v>#N/A</v>
      </c>
      <c r="BE162" s="140" t="e">
        <f t="shared" ca="1" si="597"/>
        <v>#N/A</v>
      </c>
      <c r="BF162" s="140" t="e">
        <f ca="1">IF($BE162&lt;=Control!$C$86,$BE162,Control!$C$86-$BE162)</f>
        <v>#N/A</v>
      </c>
      <c r="BG162" s="140" t="e">
        <f ca="1">IF(AND($AW162=1,Control!$C$84&lt;9),1,IF($BE162&gt;=Control!$C$86,0,$BC162))</f>
        <v>#N/A</v>
      </c>
      <c r="BH162" s="404" t="e">
        <f ca="1">IF($BG162=0,0,IF($BE162&lt;=Control!$C$86,$BC162*9*($BF162/Control!$C$86),0))</f>
        <v>#N/A</v>
      </c>
      <c r="BI162" s="140" t="e">
        <f ca="1">IF($BG162=1,0,IF($BE162&gt;=Control!$C$86,1,IF(AND($BB162&lt;21,$BB162&gt;=9),1,$BM161)))</f>
        <v>#N/A</v>
      </c>
      <c r="BJ162" s="140" t="e">
        <f ca="1">IF($BF162&lt;0,-$BF162,$BI162*IF(OR($G162&lt;Control!$C$92,$G162&gt;Control!$C$95),0,IF(AND($G162&gt;=Control!$C$92,$G162&lt;=Control!$C$93),$G162-Control!$C$92,IF(AND($G162&gt;Control!$C$93,$G162&lt;=Control!$C$94),Control!$C$93-Control!$C$92,IF(AND($G162&gt;Control!$C$94,$G162&lt;=Control!$C$95),(Control!$C$93-Control!$C$92)*(Control!$C$94-$G162)/(Control!$C$95-Control!$C$94))))))</f>
        <v>#N/A</v>
      </c>
      <c r="BK162" s="140" t="e">
        <f t="shared" ca="1" si="598"/>
        <v>#N/A</v>
      </c>
      <c r="BL162" s="140" t="e">
        <f ca="1">IF($BK162&lt;=Control!$C$87,$BK162,Control!$C$87-$BK162)</f>
        <v>#N/A</v>
      </c>
      <c r="BM162" s="140" t="e">
        <f ca="1">IF(AND($BB162&gt;=9,$BB162&lt;21),1,IF($BK162&gt;=Control!$C$87,0,$BI162))</f>
        <v>#N/A</v>
      </c>
      <c r="BN162" s="404" t="e">
        <f ca="1">IF($BM162=0,0,IF($BK162&lt;=Control!$C$87,$BI162*(9+(21-9)*($BL162/Control!$C$87)),0))</f>
        <v>#N/A</v>
      </c>
      <c r="BO162" s="140" t="e">
        <f ca="1">IF($BM162=1,0,IF($BK162&gt;=Control!$C$87,1,IF(AND($BB162&lt;30,$BB162&gt;=21),1,$BS161)))</f>
        <v>#N/A</v>
      </c>
      <c r="BP162" s="140" t="e">
        <f ca="1">IF($BL162&lt;0,-$BL162,$BO162*IF(OR($G162&lt;Control!$C$92,$G162&gt;Control!$C$95),0,IF(AND($G162&gt;=Control!$C$92,$G162&lt;=Control!$C$93),$G162-Control!$C$92,IF(AND($G162&gt;Control!$C$93,$G162&lt;=Control!$C$94),Control!$C$93-Control!$C$92,IF(AND($G162&gt;Control!$C$94,$G162&lt;=Control!$C$95),(Control!$C$93-Control!$C$92)*(Control!$C$94-$G162)/(Control!$C$95-Control!$C$94))))))</f>
        <v>#N/A</v>
      </c>
      <c r="BQ162" s="140" t="e">
        <f t="shared" ca="1" si="482"/>
        <v>#N/A</v>
      </c>
      <c r="BR162" s="140" t="e">
        <f ca="1">IF($BQ162&lt;=Control!$C$88,$BQ162,Control!$C$88-$BQ162)</f>
        <v>#N/A</v>
      </c>
      <c r="BS162" s="140" t="e">
        <f ca="1">IF(AND($BB162&gt;=21,$BB162&lt;30),1,IF($BQ162&gt;=Control!$C$88,0,$BO162))</f>
        <v>#N/A</v>
      </c>
      <c r="BT162" s="404" t="e">
        <f ca="1">IF($BS162=0,0,IF($BQ162&lt;=Control!$C$88,$BO162*(21+(30-21)*(BR162/Control!$C$88)),0))</f>
        <v>#N/A</v>
      </c>
      <c r="BU162" s="140" t="e">
        <f ca="1">IF(BG162+BM162+BS162=1,0,IF(OR(AND($BB162&lt;60,$BB162&gt;=30),$BQ162&gt;=Control!$C$88),1*$BA162,$BY161))</f>
        <v>#N/A</v>
      </c>
      <c r="BV162" s="140" t="e">
        <f ca="1">IF($BR162&lt;0,-$BR162,$BU162*IF(OR($G162&lt;Control!$C$92,$G162&gt;Control!$C$95),0,IF(AND($G162&gt;=Control!$C$92,$G162&lt;=Control!$C$93),$G162-Control!$C$92,IF(AND($G162&gt;Control!$C$93,$G162&lt;=Control!$C$94),Control!$C$93-Control!$C$92,IF(AND($G162&gt;Control!$C$94,$G162&lt;=Control!$C$95),(Control!$C$93-Control!$C$92)*(Control!$C$94-$G162)/(Control!$C$95-Control!$C$94))))))</f>
        <v>#N/A</v>
      </c>
      <c r="BW162" s="140" t="e">
        <f t="shared" ca="1" si="483"/>
        <v>#N/A</v>
      </c>
      <c r="BX162" s="140" t="e">
        <f ca="1">IF($BW162&lt;=Control!$C$89,$BW162,Control!$C$89-$BW162)</f>
        <v>#N/A</v>
      </c>
      <c r="BY162" s="140" t="e">
        <f ca="1">IF(AND($AJ162&gt;=30,$AJ162&lt;60),1,IF($BW162&gt;=Control!$C$89,0,$BU162))</f>
        <v>#N/A</v>
      </c>
      <c r="BZ162" s="404" t="e">
        <f ca="1">IF($BY162=0,0,IF($BW162&lt;=Control!$C$89,$BU162*(30+(60-30)*(BX162/Control!$C$89)),0))</f>
        <v>#N/A</v>
      </c>
      <c r="CA162" s="140" t="e">
        <f ca="1">IF($BG162+$BM162+$BS162+$BY162=1,0,IF(OR(AND($BB162&lt;65,$BB162&gt;=60),$BW162&gt;=Control!$C$89),1*$BA162,$CE161))</f>
        <v>#N/A</v>
      </c>
      <c r="CB162" s="140" t="e">
        <f ca="1">IF($BX162&lt;0,-$BX162,$CA162*IF(OR($G162&lt;Control!$C$92,$G162&gt;Control!$C$95),0,IF(AND($G162&gt;=Control!$C$92,$G162&lt;=Control!$C$93),$G162-Control!$C$92,IF(AND($G162&gt;Control!$C$93,$G162&lt;=Control!$C$94),Control!$C$93-Control!$C$92,IF(AND($G162&gt;Control!$C$94,$G162&lt;=Control!$C$95),(Control!$C$93-Control!$C$92)*(Control!$C$94-$G162)/(Control!$C$95-Control!$C$94))))))</f>
        <v>#N/A</v>
      </c>
      <c r="CC162" s="140" t="e">
        <f t="shared" ca="1" si="599"/>
        <v>#N/A</v>
      </c>
      <c r="CD162" s="140" t="e">
        <f ca="1">IF($CC162&lt;=Control!$C$90,$CC162,Control!$C$90-$CC162)</f>
        <v>#N/A</v>
      </c>
      <c r="CE162" s="140" t="e">
        <f ca="1">IF(AND($BB162&gt;=60,$BB162&lt;65),1,IF($CC162&gt;=Control!$C$90,0,$CA162))</f>
        <v>#N/A</v>
      </c>
      <c r="CF162" s="404" t="e">
        <f ca="1">IF($CE162=0,0,IF($CC162&lt;=Control!$C$90,$CA162*(60+(65-60)*(CD162/Control!$C$90)),0))</f>
        <v>#N/A</v>
      </c>
      <c r="CG162" s="140" t="e">
        <f ca="1">IF($BG162+$BM162+$BS162+$BY162+$CE162=1,0,IF(OR(AND($BB162&lt;90,$BB162&gt;=65),$CC162&gt;=Control!$C$90),$BA162,$CK161))</f>
        <v>#N/A</v>
      </c>
      <c r="CH162" s="140" t="e">
        <f ca="1">IF($CD162&lt;0,-$CD162,$CG162*IF(OR($G162&lt;Control!$C$92,$G162&gt;Control!$C$95),0,IF(AND($G162&gt;=Control!$C$92,$G162&lt;=Control!$C$93),$G162-Control!$C$92,IF(AND($G162&gt;Control!$C$93,$G162&lt;=Control!$C$94),Control!$C$93-Control!$C$92,IF(AND($G162&gt;Control!$C$94,$G162&lt;=Control!$C$95),(Control!$C$93-Control!$C$92)*(Control!$C$94-$G162)/(Control!$C$95-Control!$C$94))))))</f>
        <v>#N/A</v>
      </c>
      <c r="CI162" s="140" t="e">
        <f t="shared" ca="1" si="600"/>
        <v>#N/A</v>
      </c>
      <c r="CJ162" s="140" t="e">
        <f ca="1">IF($CI162&lt;=Control!$C$91,$CI162,Control!$C$91-$CI162)</f>
        <v>#N/A</v>
      </c>
      <c r="CK162" s="140" t="e">
        <f ca="1">IF(AND($BB162&gt;=65,$BB162&lt;90),1,IF($CI162&gt;=Control!$C$91,0,$CG162))</f>
        <v>#N/A</v>
      </c>
      <c r="CL162" s="404" t="e">
        <f ca="1">IF($CK162=0,0,IF($CI162&lt;=Control!$C$91,$CG162*(65+(90-65)*($CJ162/Control!$C$91)),0))</f>
        <v>#N/A</v>
      </c>
      <c r="CM162" s="140" t="e">
        <f ca="1">IF($BG162+$BM162+$BS162+$BY162+$CE162+$CK162=1,0,IF(OR($BB162&gt;=90,$CI162&gt;=Control!$C$91),$BA162,$CM161))</f>
        <v>#N/A</v>
      </c>
      <c r="CN162" s="140" t="e">
        <f t="shared" ca="1" si="601"/>
        <v>#N/A</v>
      </c>
      <c r="CO162" s="140" t="e">
        <f t="shared" ca="1" si="602"/>
        <v>#N/A</v>
      </c>
      <c r="CP162" s="140" t="e">
        <f t="shared" ca="1" si="603"/>
        <v>#N/A</v>
      </c>
      <c r="CQ162" s="141" t="e">
        <f ca="1">VLOOKUP($CP162,Control!$B$86:$G$91,6)</f>
        <v>#N/A</v>
      </c>
      <c r="CR162" s="141" t="e">
        <f ca="1">(1-$CQ162)*VLOOKUP($CP162,Control!$B$86:$D$91,3)</f>
        <v>#N/A</v>
      </c>
      <c r="CS162" s="141" t="e">
        <f ca="1">(1-$CQ162)*VLOOKUP($CP162,Control!$B$86:$E$91,4)</f>
        <v>#N/A</v>
      </c>
      <c r="CT162" s="141" t="e">
        <f ca="1">(1-$CQ162)*VLOOKUP($CP162,Control!$B$86:$F$91,5)</f>
        <v>#N/A</v>
      </c>
      <c r="CU162" s="141">
        <f t="shared" ca="1" si="604"/>
        <v>0</v>
      </c>
      <c r="CV162" s="583">
        <f t="shared" ca="1" si="605"/>
        <v>0</v>
      </c>
      <c r="CW162" s="142">
        <f t="shared" ca="1" si="606"/>
        <v>158</v>
      </c>
      <c r="CX162" s="612" t="e">
        <f ca="1">IF(Control!$C$114=1,(MIN(Control!$C$120*(IF($NT162-0.01&lt;0,0,1)),Control!$C$119-$CY162)))</f>
        <v>#DIV/0!</v>
      </c>
      <c r="CY162" s="143" t="e">
        <f t="shared" ca="1" si="607"/>
        <v>#N/A</v>
      </c>
      <c r="CZ162" s="144">
        <f t="shared" ca="1" si="484"/>
        <v>0</v>
      </c>
      <c r="DA162" s="144">
        <f t="shared" ca="1" si="485"/>
        <v>0</v>
      </c>
      <c r="DB162" s="144" t="e">
        <f t="shared" ca="1" si="486"/>
        <v>#N/A</v>
      </c>
      <c r="DC162" s="144" t="e">
        <f t="shared" ca="1" si="487"/>
        <v>#N/A</v>
      </c>
      <c r="DD162" s="144" t="e">
        <f t="shared" ca="1" si="692"/>
        <v>#N/A</v>
      </c>
      <c r="DE162" s="143" t="e">
        <f t="shared" ca="1" si="608"/>
        <v>#N/A</v>
      </c>
      <c r="DF162" s="145" t="e">
        <f ca="1">$DR162*EXP(-Control!$C$158*(1-$KH162))</f>
        <v>#N/A</v>
      </c>
      <c r="DG162" s="146" t="e">
        <f ca="1">IF(Control!$C$114=1, $DF162*$EY162, 0)</f>
        <v>#N/A</v>
      </c>
      <c r="DH162" s="147" t="e">
        <f t="shared" ca="1" si="609"/>
        <v>#N/A</v>
      </c>
      <c r="DI162" s="144" t="e">
        <f t="shared" ca="1" si="670"/>
        <v>#N/A</v>
      </c>
      <c r="DJ162" s="147" t="e">
        <f ca="1">$EF162*Control!$C$109</f>
        <v>#N/A</v>
      </c>
      <c r="DK162" s="144" t="e">
        <f t="shared" ca="1" si="610"/>
        <v>#N/A</v>
      </c>
      <c r="DL162" s="144" t="e">
        <f t="shared" ca="1" si="488"/>
        <v>#N/A</v>
      </c>
      <c r="DM162" s="144" t="e">
        <f ca="1">IF(Control!$C$114=1, (1-EXP(-Control!$C$96*$DK162))*$AR162, 0)</f>
        <v>#N/A</v>
      </c>
      <c r="DN162" s="144">
        <f t="shared" ca="1" si="611"/>
        <v>0</v>
      </c>
      <c r="DO162" s="148">
        <f>Control!$C$97</f>
        <v>4</v>
      </c>
      <c r="DP162" s="145" t="e">
        <f t="shared" ca="1" si="612"/>
        <v>#N/A</v>
      </c>
      <c r="DQ162" s="145" t="e">
        <f ca="1">IF(AND($CP162&gt;=0,$CP162&lt;=90),Control!$C$111,Control!$C$111)</f>
        <v>#N/A</v>
      </c>
      <c r="DR162" s="145" t="e">
        <f t="shared" ca="1" si="489"/>
        <v>#N/A</v>
      </c>
      <c r="DS162" s="143" t="e">
        <f ca="1">Control!$B$22/$DR162</f>
        <v>#N/A</v>
      </c>
      <c r="DT162" s="149" t="e">
        <f ca="1">IF(AND(Control!$C$114=1,$KH162&lt;1),$IM162*$DF162, 0)</f>
        <v>#N/A</v>
      </c>
      <c r="DU162" s="144" t="e">
        <f t="shared" ca="1" si="613"/>
        <v>#N/A</v>
      </c>
      <c r="DV162" s="144">
        <f ca="1">IF($G162-Control!$C$107&lt;=0, 0, 0.83*LN(MAX($G162, 3))-0.8924)</f>
        <v>0</v>
      </c>
      <c r="DW162" s="144" t="e">
        <f t="shared" ca="1" si="490"/>
        <v>#N/A</v>
      </c>
      <c r="DX162" s="150" t="e">
        <f ca="1">MAX(0.01*(1+$CU162/Control!$C$102),0.05*($DK162-Control!$C$97)/Control!$C$97)</f>
        <v>#N/A</v>
      </c>
      <c r="DY162" s="151" t="e">
        <f ca="1">IF(Control!$C$114=1, $DI162*$FS162, 0)</f>
        <v>#N/A</v>
      </c>
      <c r="DZ162" s="196" t="e">
        <f t="shared" ca="1" si="614"/>
        <v>#N/A</v>
      </c>
      <c r="EA162" s="152">
        <f t="shared" ca="1" si="615"/>
        <v>158</v>
      </c>
      <c r="EB162" s="153" t="e">
        <f t="shared" ca="1" si="616"/>
        <v>#N/A</v>
      </c>
      <c r="EC162" s="153" t="e">
        <f t="shared" ca="1" si="617"/>
        <v>#N/A</v>
      </c>
      <c r="ED162" s="154" t="e">
        <f ca="1">IF(Control!$C$114=1, $HM162*$FY162-$FD162, 0)</f>
        <v>#DIV/0!</v>
      </c>
      <c r="EE162" s="155" t="e">
        <f ca="1">IF(Control!$C$114=1, $HM162*$FZ162-$FF162, 0)</f>
        <v>#DIV/0!</v>
      </c>
      <c r="EF162" s="153" t="e">
        <f t="shared" ca="1" si="671"/>
        <v>#N/A</v>
      </c>
      <c r="EG162" s="155" t="e">
        <f ca="1">IF(Control!$C$114=1, $GX162*$FW162-$FI162, 0)</f>
        <v>#DIV/0!</v>
      </c>
      <c r="EH162" s="153" t="e">
        <f t="shared" ca="1" si="618"/>
        <v>#N/A</v>
      </c>
      <c r="EI162" s="156" t="e">
        <f t="shared" ca="1" si="619"/>
        <v>#N/A</v>
      </c>
      <c r="EJ162" s="155" t="e">
        <f ca="1">IF(Control!$C$114=1, $HM162*$GB162, 0)</f>
        <v>#DIV/0!</v>
      </c>
      <c r="EK162" s="153" t="e">
        <f t="shared" ca="1" si="672"/>
        <v>#N/A</v>
      </c>
      <c r="EL162" s="153" t="e">
        <f t="shared" ca="1" si="491"/>
        <v>#N/A</v>
      </c>
      <c r="EM162" s="153" t="e">
        <f t="shared" ca="1" si="492"/>
        <v>#N/A</v>
      </c>
      <c r="EN162" s="153" t="e">
        <f ca="1">IF(Control!$C$108=1,IF(AND(Control!$B$18=1,$EB162&gt;=Control!$B$19),$EB162-$DS162,IF(AND(Control!$B$18=2,$AW162=1,$EB162&gt;$DS162),$EB162-$DS162,0)))</f>
        <v>#N/A</v>
      </c>
      <c r="EO162" s="153" t="e">
        <f ca="1">IF(Control!$C$108=1,IF(AND(Control!$B$18=1,$EB162&gt;=Control!$B$19),$EF162,IF(AND(Control!$B$18=2,$AW162=1),$EF162,0)))</f>
        <v>#N/A</v>
      </c>
      <c r="EP162" s="153" t="e">
        <f ca="1">IF(Control!$C$108=1,IF(AND(Control!$B$18=1,$EB162&gt;=Control!$B$19),$EK162,IF(AND(Control!$B$18=2,$AW162=1),$EK162,0)))</f>
        <v>#N/A</v>
      </c>
      <c r="EQ162" s="153" t="e">
        <f t="shared" ca="1" si="620"/>
        <v>#N/A</v>
      </c>
      <c r="ER162" s="153" t="e">
        <f t="shared" ca="1" si="621"/>
        <v>#N/A</v>
      </c>
      <c r="ES162" s="153" t="e">
        <f t="shared" ca="1" si="673"/>
        <v>#N/A</v>
      </c>
      <c r="ET162" s="153" t="e">
        <f t="shared" ca="1" si="674"/>
        <v>#N/A</v>
      </c>
      <c r="EU162" s="153" t="e">
        <f t="shared" ca="1" si="622"/>
        <v>#N/A</v>
      </c>
      <c r="EV162" s="153" t="e">
        <f t="shared" ca="1" si="493"/>
        <v>#N/A</v>
      </c>
      <c r="EW162" s="153" t="e">
        <f t="shared" ca="1" si="494"/>
        <v>#N/A</v>
      </c>
      <c r="EX162" s="153" t="e">
        <f t="shared" ca="1" si="495"/>
        <v>#N/A</v>
      </c>
      <c r="EY162" s="157" t="e">
        <f t="shared" ca="1" si="496"/>
        <v>#DIV/0!</v>
      </c>
      <c r="EZ162" s="154" t="e">
        <f t="shared" ca="1" si="497"/>
        <v>#DIV/0!</v>
      </c>
      <c r="FA162" s="153" t="e">
        <f t="shared" ca="1" si="623"/>
        <v>#N/A</v>
      </c>
      <c r="FB162" s="153" t="e">
        <f t="shared" ca="1" si="498"/>
        <v>#N/A</v>
      </c>
      <c r="FC162" s="193" t="e">
        <f t="shared" ca="1" si="499"/>
        <v>#N/A</v>
      </c>
      <c r="FD162" s="158" t="e">
        <f t="shared" ca="1" si="624"/>
        <v>#N/A</v>
      </c>
      <c r="FE162" s="158" t="e">
        <f t="shared" ca="1" si="625"/>
        <v>#N/A</v>
      </c>
      <c r="FF162" s="159" t="e">
        <f t="shared" ca="1" si="500"/>
        <v>#N/A</v>
      </c>
      <c r="FG162" s="160" t="e">
        <f t="shared" ca="1" si="626"/>
        <v>#N/A</v>
      </c>
      <c r="FH162" s="158" t="e">
        <f t="shared" ca="1" si="627"/>
        <v>#N/A</v>
      </c>
      <c r="FI162" s="159" t="e">
        <f t="shared" ca="1" si="501"/>
        <v>#N/A</v>
      </c>
      <c r="FJ162" s="160" t="e">
        <f t="shared" ca="1" si="628"/>
        <v>#N/A</v>
      </c>
      <c r="FK162" s="160" t="e">
        <f t="shared" ca="1" si="502"/>
        <v>#N/A</v>
      </c>
      <c r="FL162" s="160" t="e">
        <f t="shared" ca="1" si="675"/>
        <v>#N/A</v>
      </c>
      <c r="FM162" s="160" t="e">
        <f t="shared" ca="1" si="503"/>
        <v>#N/A</v>
      </c>
      <c r="FN162" s="158">
        <f t="shared" ca="1" si="629"/>
        <v>0.01</v>
      </c>
      <c r="FO162" s="160">
        <f>Control!$C$101</f>
        <v>50</v>
      </c>
      <c r="FP162" s="150" t="e">
        <f t="shared" ca="1" si="504"/>
        <v>#N/A</v>
      </c>
      <c r="FQ162" s="150" t="e">
        <f ca="1">MAX(0,(Control!$C$112*(($DK162-Control!$C$97)/Control!$C$97)))</f>
        <v>#N/A</v>
      </c>
      <c r="FR162" s="150" t="e">
        <f ca="1">(1-$NT162)*Control!$C$113</f>
        <v>#DIV/0!</v>
      </c>
      <c r="FS162" s="198" t="e">
        <f t="shared" ca="1" si="505"/>
        <v>#N/A</v>
      </c>
      <c r="FT162" s="161">
        <f t="shared" ca="1" si="630"/>
        <v>158</v>
      </c>
      <c r="FU162" s="162" t="e">
        <f ca="1">IF(Control!$B$34=1,VLOOKUP($CP162,Control!$B$86:$G$91,6),Control!$B$35)</f>
        <v>#N/A</v>
      </c>
      <c r="FV162" s="162" t="e">
        <f t="shared" ca="1" si="506"/>
        <v>#DIV/0!</v>
      </c>
      <c r="FW162" s="162" t="e">
        <f ca="1">IF(Control!$B$31=1,$FU162*$FV162,  $FU162)</f>
        <v>#N/A</v>
      </c>
      <c r="FX162" s="162" t="e">
        <f ca="1">IF(Control!$B$34=1,VLOOKUP($CP162,Control!$B$86:$G$91,3),Control!$B$36)</f>
        <v>#N/A</v>
      </c>
      <c r="FY162" s="162" t="e">
        <f t="shared" ca="1" si="507"/>
        <v>#N/A</v>
      </c>
      <c r="FZ162" s="162" t="e">
        <f ca="1">IF(Control!$B$34=1,VLOOKUP($CP162,Control!$B$86:$G$91,4),Control!$B$37)</f>
        <v>#N/A</v>
      </c>
      <c r="GA162" s="162" t="e">
        <f t="shared" ca="1" si="508"/>
        <v>#N/A</v>
      </c>
      <c r="GB162" s="162" t="e">
        <f ca="1">IF(Control!$B$34=1,VLOOKUP($CP162,Control!$B$86:$G$91,5),Control!$B$38)</f>
        <v>#N/A</v>
      </c>
      <c r="GC162" s="162" t="e">
        <f t="shared" ca="1" si="631"/>
        <v>#N/A</v>
      </c>
      <c r="GD162" s="162">
        <f t="shared" ca="1" si="509"/>
        <v>1</v>
      </c>
      <c r="GE162" s="162">
        <f t="shared" ca="1" si="510"/>
        <v>1</v>
      </c>
      <c r="GF162" s="162">
        <f ca="1">IF(AND(Control!$C$104=1, Control!$C$62="F"),$GE162,1)</f>
        <v>1</v>
      </c>
      <c r="GG162" s="162" t="e">
        <f ca="1">IF(Control!$B$16=40,0,IF(AND(Control!$B$16&gt;40,Control!$B$16&lt;=360),(Control!$B$16-40)*((1-0)/(360-40)),IF(AND(Control!$B$16&gt;360,Control!$B$16&lt;=720),(1+(Control!$B$16-360)*((1.25-1)/(720-360))),IF(AND(Control!$B$16&gt;720,Control!$B$16&lt;=1000),(1.25+(Control!$B$16-720)*((1.35-1.25)/(1000-720))),IF(AND(Control!$B$16&gt;1000,Control!$B$16&lt;=2000),(1.35+(Control!$B$16-1000)*0))))))</f>
        <v>#N/A</v>
      </c>
      <c r="GH162" s="162" t="e">
        <f t="shared" ca="1" si="511"/>
        <v>#N/A</v>
      </c>
      <c r="GI162" s="162">
        <f t="shared" ca="1" si="632"/>
        <v>0</v>
      </c>
      <c r="GJ162" s="162">
        <f t="shared" ca="1" si="512"/>
        <v>0</v>
      </c>
      <c r="GK162" s="162">
        <f t="shared" ca="1" si="633"/>
        <v>1</v>
      </c>
      <c r="GL162" s="162">
        <f t="shared" ca="1" si="513"/>
        <v>1</v>
      </c>
      <c r="GM162" s="162" t="e">
        <f ca="1">MAX(0,MIN(1,1-Control!$C$156*(1.0001-$KH162)^2))</f>
        <v>#N/A</v>
      </c>
      <c r="GN162" s="162" t="e">
        <f ca="1">IF(Control!$B$26=1,$KU162,$KX162)</f>
        <v>#N/A</v>
      </c>
      <c r="GO162" s="162" t="e">
        <f ca="1">IF($CP162&lt;=60,Control!$C$105,IF($CP162&gt;=90,Control!$C$106,Control!$C$105+($CP162-60)*((Control!$C$106-Control!$C$105)/(90-60))))</f>
        <v>#N/A</v>
      </c>
      <c r="GP162" s="162" t="e">
        <f t="shared" ca="1" si="514"/>
        <v>#N/A</v>
      </c>
      <c r="GQ162" s="162" t="e">
        <f t="shared" ca="1" si="634"/>
        <v>#N/A</v>
      </c>
      <c r="GR162" s="163" t="e">
        <f t="shared" ca="1" si="515"/>
        <v>#DIV/0!</v>
      </c>
      <c r="GS162" s="162" t="e">
        <f t="shared" ca="1" si="516"/>
        <v>#DIV/0!</v>
      </c>
      <c r="GT162" s="164" t="e">
        <f t="shared" ca="1" si="635"/>
        <v>#N/A</v>
      </c>
      <c r="GU162" s="162" t="e">
        <f t="shared" ca="1" si="636"/>
        <v>#N/A</v>
      </c>
      <c r="GV162" s="162" t="e">
        <f t="shared" ca="1" si="517"/>
        <v>#N/A</v>
      </c>
      <c r="GW162" s="162" t="e">
        <f t="shared" ca="1" si="518"/>
        <v>#DIV/0!</v>
      </c>
      <c r="GX162" s="162" t="e">
        <f t="shared" ca="1" si="637"/>
        <v>#DIV/0!</v>
      </c>
      <c r="GY162" s="162" t="e">
        <f t="shared" ca="1" si="638"/>
        <v>#DIV/0!</v>
      </c>
      <c r="GZ162" s="165" t="e">
        <f t="shared" ca="1" si="519"/>
        <v>#N/A</v>
      </c>
      <c r="HA162" s="162" t="e">
        <f ca="1">IF(Control!$C$114=1, $DI162*$FS162, 0)</f>
        <v>#N/A</v>
      </c>
      <c r="HB162" s="162" t="e">
        <f ca="1">$FA162/Control!$C$64</f>
        <v>#N/A</v>
      </c>
      <c r="HC162" s="162" t="e">
        <f t="shared" ca="1" si="520"/>
        <v>#DIV/0!</v>
      </c>
      <c r="HD162" s="162">
        <f ca="1">-ASIN(SIN(23.45*Control!$C$139)*COS(2*Control!$C$138*($AH162+10)/365))</f>
        <v>0.39587715256152151</v>
      </c>
      <c r="HE162" s="165">
        <f t="shared" ca="1" si="639"/>
        <v>0</v>
      </c>
      <c r="HF162" s="166">
        <f ca="1">IF(AND(Control!$C$61="T",$HE162&gt;=Control!$C$103,Control!$C$114=0),$AH162,Control!$C$59)</f>
        <v>1</v>
      </c>
      <c r="HG162" s="166">
        <f ca="1">IF(AND(Control!$C$61="T",$HE162&gt;=Control!$C$103,Control!$C$114=0),$HF162,Control!$C$59)</f>
        <v>1</v>
      </c>
      <c r="HH162" s="165">
        <f ca="1">IF(AND(OR(Control!$C$60&lt;=0, $AH162= Control!$C$59, Control!$C$60 &gt;0, $AH162 = Control!$C$60)), Control!$C$59, IF(Control!$C$60&gt;0, 0))</f>
        <v>1</v>
      </c>
      <c r="HI162" s="165">
        <f ca="1">IF(AND(OR(Control!$C$60&lt;=0, $AH162= Control!$C$59, Control!$C$60 &gt;0, $AH162 = Control!$C$60)), Control!$C$60, IF(Control!$C$60&lt;=0, 0))</f>
        <v>0</v>
      </c>
      <c r="HJ162" s="166">
        <f ca="1">IF(AND(Control!$C$62="F",$CV162&gt;=Control!$C$102),$AH162,0)</f>
        <v>0</v>
      </c>
      <c r="HK162" s="165" t="e">
        <f t="shared" ca="1" si="676"/>
        <v>#N/A</v>
      </c>
      <c r="HL162" s="166">
        <f ca="1">IF(AND(Control!$C$61="T",$HE162&gt;=Control!$C$103,Control!$C$114=0),$HF162,0)</f>
        <v>0</v>
      </c>
      <c r="HM162" s="201" t="e">
        <f t="shared" ca="1" si="521"/>
        <v>#DIV/0!</v>
      </c>
      <c r="HN162" s="215">
        <f t="shared" ca="1" si="640"/>
        <v>158</v>
      </c>
      <c r="HO162" s="216" t="e">
        <f ca="1">IF(AND($CP162&gt;=0, $CP162&lt;=90), Control!$C$152, Control!$C$152)</f>
        <v>#N/A</v>
      </c>
      <c r="HP162" s="216" t="e">
        <f t="shared" ca="1" si="522"/>
        <v>#N/A</v>
      </c>
      <c r="HQ162" s="217" t="e">
        <f ca="1">IF(OR(Control!$B$26=1,Control!$B$26=2),$KV162,$KS162)</f>
        <v>#DIV/0!</v>
      </c>
      <c r="HR162" s="218" t="e">
        <f t="shared" ca="1" si="677"/>
        <v>#DIV/0!</v>
      </c>
      <c r="HS162" s="216" t="e">
        <f ca="1">Control!$C$154*$HP162</f>
        <v>#N/A</v>
      </c>
      <c r="HT162" s="216" t="e">
        <f ca="1">Control!$C$155*$HP162</f>
        <v>#N/A</v>
      </c>
      <c r="HU162" s="217" t="e">
        <f ca="1">Control!$C$161*$FI162</f>
        <v>#N/A</v>
      </c>
      <c r="HV162" s="218" t="e">
        <f t="shared" ca="1" si="641"/>
        <v>#N/A</v>
      </c>
      <c r="HW162" s="218" t="e">
        <f ca="1">Control!$C$160*$FF162+$IP162*$EO162</f>
        <v>#N/A</v>
      </c>
      <c r="HX162" s="218" t="e">
        <f t="shared" ca="1" si="678"/>
        <v>#N/A</v>
      </c>
      <c r="HY162" s="219" t="e">
        <f ca="1">IF(Control!$C$114=1, $EB162*$FS162, 0)</f>
        <v>#N/A</v>
      </c>
      <c r="HZ162" s="91" t="e">
        <f t="shared" ca="1" si="523"/>
        <v>#N/A</v>
      </c>
      <c r="IA162" s="220" t="e">
        <f ca="1">Control!$C$153*$HO162</f>
        <v>#N/A</v>
      </c>
      <c r="IB162" s="218" t="e">
        <f t="shared" ca="1" si="524"/>
        <v>#N/A</v>
      </c>
      <c r="IC162" s="220" t="e">
        <f ca="1">Control!$C$153*$HT162</f>
        <v>#N/A</v>
      </c>
      <c r="ID162" s="218" t="e">
        <f t="shared" ca="1" si="525"/>
        <v>#N/A</v>
      </c>
      <c r="IE162" s="221" t="e">
        <f ca="1">($EB162*Control!$C$159+$EF162*Control!$C$160)/(IF($GZ162&lt;&gt;0,$GZ162,1))</f>
        <v>#N/A</v>
      </c>
      <c r="IF162" s="216" t="e">
        <f t="shared" ca="1" si="526"/>
        <v>#N/A</v>
      </c>
      <c r="IG162" s="91">
        <f ca="1">IF(OR(Control!$B$198=$AH162,Control!$B$199=$AH162, Control!$B$200=$AH162, Control!$B$201=$AH162, Control!$B$202=$AH162, Control!$B$203=$AH162, Control!$B$204=$AH162, Control!$B$205=$AH162, Control!$B$206=$AH162, Control!$B$207=$AH162), 1, 0)</f>
        <v>0</v>
      </c>
      <c r="IH162" s="91">
        <f ca="1">IF($IG162=0,0, VLOOKUP($AH162,Control!$B$198:$C$207,2))</f>
        <v>0</v>
      </c>
      <c r="II162" s="222">
        <f t="shared" ca="1" si="642"/>
        <v>0</v>
      </c>
      <c r="IJ162" s="91">
        <f>Control!$C$121</f>
        <v>0.7</v>
      </c>
      <c r="IK162" s="218">
        <f t="shared" ca="1" si="527"/>
        <v>0</v>
      </c>
      <c r="IL162" s="217" t="e">
        <f t="shared" ca="1" si="679"/>
        <v>#N/A</v>
      </c>
      <c r="IM162" s="223" t="e">
        <f ca="1">IF(AND(Control!$C$114=1,$KH162&lt;1),$EB162*Control!$C$148*(1-$KH162), 0)</f>
        <v>#N/A</v>
      </c>
      <c r="IN162" s="217" t="e">
        <f t="shared" ca="1" si="528"/>
        <v>#DIV/0!</v>
      </c>
      <c r="IO162" s="91" t="e">
        <f ca="1">MAX(0,$IL162-$EF162*Control!$C$160)</f>
        <v>#N/A</v>
      </c>
      <c r="IP162" s="220" t="e">
        <f t="shared" ca="1" si="529"/>
        <v>#N/A</v>
      </c>
      <c r="IQ162" s="217" t="e">
        <f t="shared" ca="1" si="643"/>
        <v>#N/A</v>
      </c>
      <c r="IR162" s="218" t="e">
        <f ca="1">$IQ162+$IL162</f>
        <v>#N/A</v>
      </c>
      <c r="IS162" s="217" t="e">
        <f ca="1">Control!$C$159*MAX(0,$FD162-$EN162)</f>
        <v>#N/A</v>
      </c>
      <c r="IT162" s="217" t="e">
        <f t="shared" ca="1" si="680"/>
        <v>#N/A</v>
      </c>
      <c r="IU162" s="217" t="e">
        <f t="shared" ca="1" si="644"/>
        <v>#N/A</v>
      </c>
      <c r="IV162" s="217" t="e">
        <f t="shared" ca="1" si="681"/>
        <v>#N/A</v>
      </c>
      <c r="IW162" s="217" t="e">
        <f ca="1">IF(OR($AW162=1,AND($AW162=0, Control!$B$18=1,$EN162&lt;&gt;0)), $IQ162-$IU162, $IQ162)</f>
        <v>#N/A</v>
      </c>
      <c r="IX162" s="218" t="e">
        <f t="shared" ca="1" si="531"/>
        <v>#N/A</v>
      </c>
      <c r="IY162" s="218" t="e">
        <f ca="1">MAX(0,$IQ162-$EB162*Control!$C$159)</f>
        <v>#N/A</v>
      </c>
      <c r="IZ162" s="218" t="e">
        <f t="shared" ca="1" si="532"/>
        <v>#N/A</v>
      </c>
      <c r="JA162" s="216" t="e">
        <f t="shared" ca="1" si="533"/>
        <v>#N/A</v>
      </c>
      <c r="JB162" s="217" t="e">
        <f t="shared" ca="1" si="534"/>
        <v>#N/A</v>
      </c>
      <c r="JC162" s="222" t="e">
        <f ca="1">MAX(Control!$C$157*$EK162-$JT162, 0)/Control!$C$162</f>
        <v>#N/A</v>
      </c>
      <c r="JD162" s="218" t="e">
        <f t="shared" ca="1" si="535"/>
        <v>#N/A</v>
      </c>
      <c r="JE162" s="218" t="e">
        <f t="shared" ca="1" si="536"/>
        <v>#N/A</v>
      </c>
      <c r="JF162" s="218" t="e">
        <f t="shared" ca="1" si="645"/>
        <v>#N/A</v>
      </c>
      <c r="JG162" s="218" t="e">
        <f t="shared" ca="1" si="537"/>
        <v>#N/A</v>
      </c>
      <c r="JH162" s="217" t="e">
        <f t="shared" ca="1" si="646"/>
        <v>#N/A</v>
      </c>
      <c r="JI162" s="217" t="e">
        <f t="shared" ca="1" si="647"/>
        <v>#N/A</v>
      </c>
      <c r="JJ162" s="217" t="e">
        <f t="shared" ca="1" si="682"/>
        <v>#N/A</v>
      </c>
      <c r="JK162" s="217" t="e">
        <f ca="1">IF(Control!$C$114=1,IF(Control!$B$24=0,MAX(0,$JI162)*$GN162/Control!$C$64,(MAX(0,MIN($JI162,$JJ162*$GN162/Control!$C$64),0))))</f>
        <v>#N/A</v>
      </c>
      <c r="JL162" s="217" t="e">
        <f ca="1">$IK162/Control!$C$64-$JK162+$HQ162</f>
        <v>#N/A</v>
      </c>
      <c r="JM162" s="217" t="e">
        <f ca="1">IF(Control!$C$114=1,($JB162/(IF($JI162&lt;&gt;0,$JI162,1)))*$JK162,0)</f>
        <v>#N/A</v>
      </c>
      <c r="JN162" s="217" t="e">
        <f ca="1">IF(Control!$C$114=1,($JG162/(IF($JI162&lt;&gt;0,$JI162,1)))*$JK162, 0)</f>
        <v>#N/A</v>
      </c>
      <c r="JO162" s="218" t="e">
        <f t="shared" ca="1" si="538"/>
        <v>#N/A</v>
      </c>
      <c r="JP162" s="218" t="e">
        <f ca="1">MIN(($IY162+$IO162)*Control!$C$151, $JF162-$EH162*Control!$C$161)</f>
        <v>#N/A</v>
      </c>
      <c r="JQ162" s="218" t="e">
        <f t="shared" ca="1" si="539"/>
        <v>#N/A</v>
      </c>
      <c r="JR162" s="217" t="e">
        <f ca="1">IF($CP162-Control!$C$150&lt;0, 0, $JQ162/Control!$C$162)</f>
        <v>#N/A</v>
      </c>
      <c r="JS162" s="218" t="e">
        <f t="shared" ca="1" si="540"/>
        <v>#N/A</v>
      </c>
      <c r="JT162" s="218" t="e">
        <f t="shared" ca="1" si="648"/>
        <v>#N/A</v>
      </c>
      <c r="JU162" s="218" t="e">
        <f t="shared" ca="1" si="541"/>
        <v>#N/A</v>
      </c>
      <c r="JV162" s="218" t="e">
        <f t="shared" ca="1" si="542"/>
        <v>#N/A</v>
      </c>
      <c r="JW162" s="216" t="e">
        <f t="shared" ca="1" si="543"/>
        <v>#N/A</v>
      </c>
      <c r="JX162" s="91" t="e">
        <f t="shared" ca="1" si="544"/>
        <v>#N/A</v>
      </c>
      <c r="JY162" s="218" t="e">
        <f t="shared" ca="1" si="545"/>
        <v>#N/A</v>
      </c>
      <c r="JZ162" s="217" t="e">
        <f ca="1">IF(Control!$C$114=1,($IZ162/(IF($JI162&lt;&gt;0,$JI162,1)))*$JK162, 0)</f>
        <v>#N/A</v>
      </c>
      <c r="KA162" s="218" t="e">
        <f t="shared" ca="1" si="683"/>
        <v>#N/A</v>
      </c>
      <c r="KB162" s="218" t="e">
        <f t="shared" ca="1" si="649"/>
        <v>#N/A</v>
      </c>
      <c r="KC162" s="218" t="e">
        <f t="shared" ca="1" si="546"/>
        <v>#N/A</v>
      </c>
      <c r="KD162" s="218" t="e">
        <f t="shared" ca="1" si="547"/>
        <v>#N/A</v>
      </c>
      <c r="KE162" s="218" t="e">
        <f t="shared" ca="1" si="548"/>
        <v>#N/A</v>
      </c>
      <c r="KF162" s="218" t="e">
        <f t="shared" ca="1" si="549"/>
        <v>#N/A</v>
      </c>
      <c r="KG162" s="216" t="e">
        <f t="shared" ca="1" si="550"/>
        <v>#N/A</v>
      </c>
      <c r="KH162" s="221" t="e">
        <f ca="1">IF(Control!$B$24=0,1,MAX(0.001,MIN(1,IF(($IF162-$IE162)&lt;&gt;0,($KG162-$IE162)/($IF162-$IE162),1))))</f>
        <v>#N/A</v>
      </c>
      <c r="KI162" s="222" t="e">
        <f ca="1">IF(Control!$C$114=1, $KI161+ $KH161, 0)</f>
        <v>#N/A</v>
      </c>
      <c r="KJ162" s="217" t="e">
        <f t="shared" ca="1" si="551"/>
        <v>#N/A</v>
      </c>
      <c r="KK162" s="218" t="e">
        <f t="shared" ca="1" si="552"/>
        <v>#N/A</v>
      </c>
      <c r="KL162" s="274" t="e">
        <f ca="1">IF(Control!$B$26=3,4000000000*EXP(-8400/($G162+273)),IF(Control!$B$26=4,4000000000*EXP(-8400/($G162+273))*($KT162),0))</f>
        <v>#DIV/0!</v>
      </c>
      <c r="KM162" s="274" t="e">
        <f ca="1">IF(Control!$B$26=3,5600000000000*EXP(-9800/($G162+273)),IF(Control!$B$26=4,5600000000000*EXP(-9800/($G162+273))*$KT162,0))</f>
        <v>#DIV/0!</v>
      </c>
      <c r="KN162" s="454" t="e">
        <f t="shared" ca="1" si="650"/>
        <v>#DIV/0!</v>
      </c>
      <c r="KO162" s="274" t="e">
        <f t="shared" ca="1" si="651"/>
        <v>#DIV/0!</v>
      </c>
      <c r="KP162" s="454" t="e">
        <f t="shared" ca="1" si="553"/>
        <v>#DIV/0!</v>
      </c>
      <c r="KQ162" s="454" t="e">
        <f t="shared" ca="1" si="554"/>
        <v>#DIV/0!</v>
      </c>
      <c r="KR162" s="454" t="e">
        <f t="shared" ca="1" si="555"/>
        <v>#DIV/0!</v>
      </c>
      <c r="KS162" s="454" t="e">
        <f t="shared" ca="1" si="556"/>
        <v>#DIV/0!</v>
      </c>
      <c r="KT162" s="455" t="e">
        <f t="shared" ca="1" si="557"/>
        <v>#DIV/0!</v>
      </c>
      <c r="KU162" s="456" t="e">
        <f ca="1">IF($CP162-Control!$C$149&lt;0, IF($NT162-0.01&lt;0,0,1),0)</f>
        <v>#N/A</v>
      </c>
      <c r="KV162" s="456" t="e">
        <f ca="1">IF(Control!$C$114=1,MAX(0,MIN(Control!$C$125*$KW162*$GN162,$KW162)))</f>
        <v>#DIV/0!</v>
      </c>
      <c r="KW162" s="456" t="e">
        <f t="shared" ca="1" si="684"/>
        <v>#DIV/0!</v>
      </c>
      <c r="KX162" s="457" t="e">
        <f ca="1">IF($CP162-Control!$C$149&lt;0, IF($MR162-$OM162&lt;0,0,1),0)</f>
        <v>#N/A</v>
      </c>
      <c r="KY162" s="167">
        <f t="shared" ca="1" si="652"/>
        <v>158</v>
      </c>
      <c r="KZ162" s="168">
        <f ca="1">1370*(1+0.033*COS(2*Control!$C$138*$AH162/365))</f>
        <v>1328.751419485239</v>
      </c>
      <c r="LA162" s="169">
        <f t="shared" ca="1" si="653"/>
        <v>0.96989163298696601</v>
      </c>
      <c r="LB162" s="169">
        <f t="shared" ca="1" si="654"/>
        <v>0.39718452444515417</v>
      </c>
      <c r="LC162" s="169">
        <f ca="1">ACOS(-TAN((2*Control!$B$8/360))*TAN(Calculations!$LB162))</f>
        <v>1.6957918532641942</v>
      </c>
      <c r="LD162" s="169">
        <f ca="1">((24*60)/PI())*0.082*$LA162*(($LC162*SIN(Control!$B$8*2*PI()/360))*SIN($LB162)+COS(Control!$B$8*2*PI()/360)*COS($LB162)*SIN($LC162))</f>
        <v>39.378689114244246</v>
      </c>
      <c r="LE162" s="170">
        <f t="shared" ca="1" si="558"/>
        <v>40.950474082692466</v>
      </c>
      <c r="LF162" s="170">
        <f ca="1">SIN(Control!$C$139*Control!$B$8)*SIN($HD162)</f>
        <v>0.30387135841650287</v>
      </c>
      <c r="LG162" s="170">
        <f ca="1">COS(Control!$C$139*Control!$B$8)*COS($HD162)</f>
        <v>0.56804385731147722</v>
      </c>
      <c r="LH162" s="170">
        <f ca="1">12*(1+2*ASIN(MAX(-1,MIN(1,$LF162/$LG162))/Control!$C$138))</f>
        <v>16.106668171604955</v>
      </c>
      <c r="LI162" s="170">
        <f ca="1">12*(1+2*ASIN(MAX(-1,MIN(1,(-SIN(-4*Control!$C$139)+$LF162)/$LG162))/Control!$C$138))</f>
        <v>17.062242968926313</v>
      </c>
      <c r="LJ162" s="168">
        <f ca="1">3600*($LH162*$LF162+24*$LG162*SQRT(1-$LK162*$LK162)/Control!$C$138)</f>
        <v>30818.762247160394</v>
      </c>
      <c r="LK162" s="170">
        <f t="shared" ca="1" si="559"/>
        <v>0.53494348104512668</v>
      </c>
      <c r="LL162" s="170">
        <f t="shared" ca="1" si="560"/>
        <v>0</v>
      </c>
      <c r="LM162" s="171">
        <f ca="1">Control!$C$145*$AB162</f>
        <v>6.6660906138995932E-2</v>
      </c>
      <c r="LN162" s="170">
        <f t="shared" ca="1" si="655"/>
        <v>0.54</v>
      </c>
      <c r="LO162" s="170">
        <f t="shared" ca="1" si="561"/>
        <v>0</v>
      </c>
      <c r="LP162" s="170">
        <f ca="1">Control!$C$140*((($D162+273.16)^4+($E162+273.16)^4)/2)*(0.34-0.14*SQRT($Y162))*(1.35*$AQ162/(0.75*$LD162)-0.35)</f>
        <v>-3.2464704755046001</v>
      </c>
      <c r="LQ162" s="170">
        <f ca="1">Control!$C$140*($G162+273)^4*(0.56-0.079*SQRT($Y162*10))*(0.1+0.9*$LO162)</f>
        <v>1.5241745131704001</v>
      </c>
      <c r="LR162" s="170">
        <f ca="1">$AQ162*(1-Control!$C$142)-$LQ162</f>
        <v>-1.5241745131704001</v>
      </c>
      <c r="LS162" s="170">
        <f ca="1">$AQ162*(1-Control!$C$143)-$LQ162</f>
        <v>-1.5241745131704001</v>
      </c>
      <c r="LT162" s="170">
        <f ca="1">$AQ162*(1-Control!$C$144)-$LQ162</f>
        <v>-1.5241745131704001</v>
      </c>
      <c r="LU162" s="169">
        <f ca="1">(1-Control!$C$144)*AQ162-LP162</f>
        <v>3.2464704755046001</v>
      </c>
      <c r="LV162" s="172">
        <f t="shared" ca="1" si="562"/>
        <v>0.79430000000000012</v>
      </c>
      <c r="LW162" s="170">
        <f t="shared" ca="1" si="563"/>
        <v>1.5886000000000002</v>
      </c>
      <c r="LX162" s="170">
        <f ca="1">($AC162*($LR162/Control!$C$141)+$LM162*$LV162)/($AC162+$LM162)</f>
        <v>0.23530094218323697</v>
      </c>
      <c r="LY162" s="170">
        <f ca="1">($AC162*($LS162/Control!$C$141)+$LM162*$LV162)/($AC162+$LM162)</f>
        <v>0.23530094218323697</v>
      </c>
      <c r="LZ162" s="170">
        <f t="shared" ca="1" si="564"/>
        <v>0.23530094218323697</v>
      </c>
      <c r="MA162" s="170">
        <f t="shared" ca="1" si="565"/>
        <v>0.23530094218323697</v>
      </c>
      <c r="MB162" s="170" t="e">
        <f t="shared" ca="1" si="566"/>
        <v>#N/A</v>
      </c>
      <c r="MC162" s="170">
        <f t="shared" ca="1" si="656"/>
        <v>0.6018</v>
      </c>
      <c r="MD162" s="170">
        <f t="shared" ca="1" si="567"/>
        <v>0.52989392535414004</v>
      </c>
      <c r="ME162" s="170">
        <f ca="1">($AC162*($LT162/Control!$C$141)+$LM162*$LW162)/($AC162+$LM162)</f>
        <v>0.71612369323045078</v>
      </c>
      <c r="MF162" s="170" t="e">
        <f ca="1">IF(Control!$B$16&gt;=1000,0.92,IF(AND(720&lt;=Control!$B$16,1000&gt;Control!$B$16),(0.95+(Control!$B$16-720)*((0.92-0.95)/(1000-720))),IF(AND(360&lt;=Control!$B$16,720&gt;Control!$B$16),(1+(Control!$B$16-360)*((0.95-1)/(720-360))),IF(AND(40&lt;=Control!$B$16,360&gt;Control!$B$16),(1.05+(Control!$B$16-40)*((1.05-1)/(360-40)))))))</f>
        <v>#N/A</v>
      </c>
      <c r="MG162" s="170">
        <f t="shared" ca="1" si="568"/>
        <v>0.71612369323045078</v>
      </c>
      <c r="MH162" s="170" t="e">
        <f t="shared" ca="1" si="693"/>
        <v>#N/A</v>
      </c>
      <c r="MI162" s="170" t="e">
        <f t="shared" ca="1" si="693"/>
        <v>#N/A</v>
      </c>
      <c r="MJ162" s="170" t="e">
        <f ca="1">MAX(0.0001, Control!$C$132*$MI162*$DL162)</f>
        <v>#N/A</v>
      </c>
      <c r="MK162" s="170">
        <f ca="1">1/(0.76+1.5*($MG162/10))-(5-Control!$C$110)*0.1</f>
        <v>1.002845988140797</v>
      </c>
      <c r="ML162" s="173">
        <f ca="1">IF(Control!$C$110&lt;3,$MK162+($MG162-0.6)/(Control!$C$110*(Control!$C$110+3)), MAX(0.1, MIN(0.95,$MK162)))</f>
        <v>0.95</v>
      </c>
      <c r="MM162" s="173">
        <f ca="1">IF(Control!$C$110&lt;3,$MK162+(($MI162/10)-0.6)/(Control!$C$110*(Control!$C$110+3)), MAX(0.1, MIN(0.95,$MK162)))</f>
        <v>0.95</v>
      </c>
      <c r="MN162" s="173">
        <f ca="1">(1-$MM162)*(Control!$C$128-Control!$C$127)+Control!$C$127</f>
        <v>0.16</v>
      </c>
      <c r="MO162" s="170" t="e">
        <f ca="1">MAX(0,MIN(1,($MS162-Control!$C$127)/($MN162-Control!$C$127)))</f>
        <v>#DIV/0!</v>
      </c>
      <c r="MP162" s="173" t="e">
        <f ca="1">1/(0.76+1.5*$MI162)-(5-Control!$C$110)*0.1</f>
        <v>#N/A</v>
      </c>
      <c r="MQ162" s="172" t="e">
        <f t="shared" ca="1" si="685"/>
        <v>#DIV/0!</v>
      </c>
      <c r="MR162" s="168" t="e">
        <f t="shared" ca="1" si="657"/>
        <v>#DIV/0!</v>
      </c>
      <c r="MS162" s="173" t="e">
        <f ca="1">MAX(Control!$C$127, MIN(Control!$C$135, $MR162/MAX(0.0001,$CY162)))</f>
        <v>#DIV/0!</v>
      </c>
      <c r="MT162" s="168" t="e">
        <f ca="1">(Control!$C$128-$MS162)*Control!$C$74</f>
        <v>#DIV/0!</v>
      </c>
      <c r="MU162" s="168" t="e">
        <f ca="1">(Control!$C$135-$MS162)*Control!$C$74</f>
        <v>#DIV/0!</v>
      </c>
      <c r="MV162" s="168" t="e">
        <f t="shared" ca="1" si="658"/>
        <v>#DIV/0!</v>
      </c>
      <c r="MW162" s="168" t="e">
        <f t="shared" ca="1" si="659"/>
        <v>#DIV/0!</v>
      </c>
      <c r="MX162" s="171" t="e">
        <f ca="1">MAX(Control!$C$127, MIN(Control!$C$135, $MW162/MAX(0.0001,Control!$C$119-$CY162)))</f>
        <v>#DIV/0!</v>
      </c>
      <c r="MY162" s="54" t="e">
        <f ca="1">IF(Control!$C$114=1, $CX162*$MX162, 0)</f>
        <v>#DIV/0!</v>
      </c>
      <c r="MZ162" s="54" t="e">
        <f t="shared" ca="1" si="660"/>
        <v>#N/A</v>
      </c>
      <c r="NA162" s="168" t="e">
        <f ca="1">(Control!$C$128-$MX162)*(Control!$C$119-Control!$C$74)</f>
        <v>#DIV/0!</v>
      </c>
      <c r="NB162" s="168" t="e">
        <f ca="1">(Control!$C$135-$MX162)*(Control!$C$119-Control!$C$74)</f>
        <v>#DIV/0!</v>
      </c>
      <c r="NC162" s="174" t="e">
        <f t="shared" ca="1" si="661"/>
        <v>#DIV/0!</v>
      </c>
      <c r="ND162" s="54">
        <f ca="1">IF(Control!$C$58=2, IF(OR(Control!$B$218=$AH162,Control!$B$219=$AH162, Control!$B$220=$AH162, Control!$B$221=$AH162, Control!$B$222=$AH162, Control!$B$223=$AH162, Control!$B$224=$AH162, Control!$B$225=$AH162, Control!$B$226=$AH162, Control!$B$227=$AH162, Control!$B$228=$AH162), 1, 0), 0)</f>
        <v>0</v>
      </c>
      <c r="NE162" s="54">
        <f ca="1">IF($ND162=0,0, VLOOKUP($AH162,Control!$B$218:$C$228,2))</f>
        <v>0</v>
      </c>
      <c r="NF162" s="168" t="e">
        <f ca="1">$CY162*(Control!$C$128-Control!$C$127)</f>
        <v>#N/A</v>
      </c>
      <c r="NG162" s="54" t="e">
        <f ca="1">IF(Control!$C$58=2, $NI161-$NJ161, 0)</f>
        <v>#DIV/0!</v>
      </c>
      <c r="NH162" s="54" t="e">
        <f ca="1">IF(AND(Control!$C$58=1, $MS161&lt;= ($MN161+0.02), $I161&lt;10), 0, IF(Control!$C$58=2, $NG161, 0))</f>
        <v>#DIV/0!</v>
      </c>
      <c r="NI162" s="54" t="e">
        <f ca="1">IF(Control!$C$58=2, $NE162+$NH162,0)</f>
        <v>#DIV/0!</v>
      </c>
      <c r="NJ162" s="54" t="e">
        <f ca="1">IF(AND(Control!$C$58=1, $MS162&lt;= ($MN162+0.02), $I162&lt;10), MAX(0, MIN(10, 0.7*($NF162-$MV162))), IF(Control!$C$58=2, MIN(10,$NI162),0))</f>
        <v>#DIV/0!</v>
      </c>
      <c r="NK162" s="54" t="e">
        <f t="shared" ca="1" si="569"/>
        <v>#DIV/0!</v>
      </c>
      <c r="NL162" s="173" t="e">
        <f ca="1">(1-Control!$C$73)*$I162+$NJ162</f>
        <v>#DIV/0!</v>
      </c>
      <c r="NM162" s="172" t="e">
        <f ca="1">IF($NL162&lt;0.5, $MB162* MAX(0, MIN(1, (SQRT($NC162)-SQRT($NC162-1))*Control!$C$71)),0)</f>
        <v>#DIV/0!</v>
      </c>
      <c r="NN162" s="170" t="e">
        <f ca="1">IF($NL162&gt;=5, $MB162, MAX(0,MIN($MB162, $NM162+$NL162,($MS162-Control!$C$129))))</f>
        <v>#DIV/0!</v>
      </c>
      <c r="NO162" s="54">
        <f>IF(Control!$C$133&lt;&gt;1, Control!$C$135-Control!$C$131, 0)</f>
        <v>0.38</v>
      </c>
      <c r="NP162" s="54" t="e">
        <f t="shared" ca="1" si="570"/>
        <v>#DIV/0!</v>
      </c>
      <c r="NQ162" s="173" t="e">
        <f ca="1">MAX(0,MIN(1,(Control!$C$135-$MS162)/(Control!$C$135-$NO162)))</f>
        <v>#DIV/0!</v>
      </c>
      <c r="NR162" s="170" t="e">
        <f ca="1">IF(Control!$C$133&lt;&gt;1, $NQ162+((1-$NP162/4)*(1-$NQ162)),1)</f>
        <v>#DIV/0!</v>
      </c>
      <c r="NS162" s="170" t="e">
        <f ca="1">IF(Control!$B$31=0,$MJ162,MAX(0,MIN($MV162,$MO162*$NR162*$MJ162)))</f>
        <v>#DIV/0!</v>
      </c>
      <c r="NT162" s="170" t="e">
        <f t="shared" ca="1" si="686"/>
        <v>#DIV/0!</v>
      </c>
      <c r="NU162" s="170" t="e">
        <f t="shared" ca="1" si="662"/>
        <v>#N/A</v>
      </c>
      <c r="NV162" s="170" t="e">
        <f t="shared" ca="1" si="571"/>
        <v>#N/A</v>
      </c>
      <c r="NW162" s="175" t="e">
        <f t="shared" ca="1" si="572"/>
        <v>#DIV/0!</v>
      </c>
      <c r="NX162" s="170" t="e">
        <f ca="1">MIN(Control!$C$72+$MU162, $NW162)</f>
        <v>#DIV/0!</v>
      </c>
      <c r="NY162" s="170" t="e">
        <f ca="1">IF($MT162&lt;=$NX162,MIN(Control!$C$72+$NB162,$NX162-$MT162),0)</f>
        <v>#DIV/0!</v>
      </c>
      <c r="NZ162" s="54" t="e">
        <f ca="1">IF(Control!$C$114=1,  $CX162*($MX162-Control!$C$127), 0)</f>
        <v>#DIV/0!</v>
      </c>
      <c r="OA162" s="170" t="e">
        <f t="shared" ca="1" si="573"/>
        <v>#DIV/0!</v>
      </c>
      <c r="OB162" s="170" t="e">
        <f ca="1">IF($NA162 &lt;=$NY162, MIN(Control!$C$72, $NY162-$NA162), 0)</f>
        <v>#DIV/0!</v>
      </c>
      <c r="OC162" s="168" t="e">
        <f t="shared" ca="1" si="574"/>
        <v>#DIV/0!</v>
      </c>
      <c r="OD162" s="168" t="e">
        <f t="shared" ca="1" si="663"/>
        <v>#DIV/0!</v>
      </c>
      <c r="OE162" s="170">
        <f ca="1">Control!$C$73*$I162</f>
        <v>0</v>
      </c>
      <c r="OF162" s="176" t="e">
        <f t="shared" ca="1" si="575"/>
        <v>#DIV/0!</v>
      </c>
      <c r="OG162" s="168" t="e">
        <f t="shared" ca="1" si="576"/>
        <v>#DIV/0!</v>
      </c>
      <c r="OH162" s="168" t="e">
        <f t="shared" ca="1" si="577"/>
        <v>#DIV/0!</v>
      </c>
      <c r="OI162" s="168" t="e">
        <f t="shared" ca="1" si="578"/>
        <v>#DIV/0!</v>
      </c>
      <c r="OJ162" s="168" t="e">
        <f t="shared" ca="1" si="579"/>
        <v>#DIV/0!</v>
      </c>
      <c r="OK162" s="204" t="e">
        <f t="shared" ca="1" si="580"/>
        <v>#DIV/0!</v>
      </c>
      <c r="OL162" s="177">
        <f>Control!$C$127</f>
        <v>0.15</v>
      </c>
      <c r="OM162" s="182" t="e">
        <f t="shared" ca="1" si="581"/>
        <v>#N/A</v>
      </c>
      <c r="ON162" s="177">
        <f>Control!$C$128</f>
        <v>0.35</v>
      </c>
      <c r="OO162" s="182" t="e">
        <f t="shared" ca="1" si="582"/>
        <v>#N/A</v>
      </c>
      <c r="OP162" s="138">
        <f t="shared" ca="1" si="664"/>
        <v>0</v>
      </c>
      <c r="OQ162" s="138" t="e">
        <f t="shared" ca="1" si="687"/>
        <v>#DIV/0!</v>
      </c>
      <c r="OR162" s="138" t="e">
        <f t="shared" ca="1" si="665"/>
        <v>#DIV/0!</v>
      </c>
      <c r="OS162" s="137" t="e">
        <f t="shared" ca="1" si="688"/>
        <v>#DIV/0!</v>
      </c>
      <c r="OT162" s="139" t="e">
        <f t="shared" ca="1" si="689"/>
        <v>#DIV/0!</v>
      </c>
      <c r="OU162" s="138" t="e">
        <f t="shared" ca="1" si="690"/>
        <v>#N/A</v>
      </c>
      <c r="OV162" s="138" t="e">
        <f t="shared" ca="1" si="691"/>
        <v>#DIV/0!</v>
      </c>
      <c r="OW162" s="138" t="e">
        <f t="shared" ca="1" si="666"/>
        <v>#DIV/0!</v>
      </c>
      <c r="OX162" s="138" t="e">
        <f t="shared" ca="1" si="667"/>
        <v>#DIV/0!</v>
      </c>
      <c r="OY162" s="138" t="e">
        <f t="shared" ca="1" si="668"/>
        <v>#DIV/0!</v>
      </c>
      <c r="OZ162" s="138" t="e">
        <f t="shared" ca="1" si="583"/>
        <v>#DIV/0!</v>
      </c>
      <c r="PA162" s="138" t="e">
        <f t="shared" ca="1" si="584"/>
        <v>#DIV/0!</v>
      </c>
      <c r="PB162" s="55">
        <f>IF(Control!$C$61="T", IF(Control!$C$65="F", IF($AH$6-Control!$C$60&lt;0,0,1), IF(365+$AH$6-Control!$C$60&lt;0,0,1)),0)</f>
        <v>0</v>
      </c>
      <c r="PC162" s="55">
        <f ca="1">IF(Control!$C$65="F", IF($AH$6-$HF162&lt;0,0,1), IF(365+$AH$6-$HF162&lt;0,0,1))</f>
        <v>1</v>
      </c>
      <c r="PD162" s="444">
        <f>Control!$C$118</f>
        <v>1500</v>
      </c>
      <c r="PE162" s="180" t="e">
        <f t="shared" ca="1" si="585"/>
        <v>#N/A</v>
      </c>
      <c r="PF162" s="445">
        <f t="shared" ca="1" si="669"/>
        <v>0.71612369323045078</v>
      </c>
      <c r="PT162" s="186"/>
      <c r="PU162" s="186"/>
      <c r="PV162" s="94"/>
      <c r="PW162" s="94"/>
      <c r="PX162" s="94"/>
      <c r="PY162" s="94"/>
      <c r="PZ162" s="94"/>
      <c r="QA162" s="94"/>
      <c r="QB162" s="94"/>
      <c r="QC162" s="94"/>
      <c r="QD162" s="94"/>
      <c r="QE162" s="94"/>
      <c r="QF162" s="94"/>
      <c r="QG162" s="94"/>
      <c r="QH162" s="94"/>
      <c r="QI162" s="94"/>
      <c r="QJ162" s="94"/>
      <c r="QK162" s="94"/>
      <c r="QL162" s="94"/>
      <c r="QM162" s="94"/>
      <c r="QN162" s="94"/>
      <c r="QO162" s="94"/>
      <c r="QP162" s="94"/>
    </row>
    <row r="163" spans="1:458" s="2" customFormat="1" x14ac:dyDescent="0.2">
      <c r="A163" s="395">
        <v>7</v>
      </c>
      <c r="B163" s="396">
        <v>6</v>
      </c>
      <c r="C163" s="387">
        <f ca="1">Weather_data!$B162</f>
        <v>0</v>
      </c>
      <c r="D163" s="388">
        <f ca="1">Weather_data!$F162</f>
        <v>0</v>
      </c>
      <c r="E163" s="388">
        <f ca="1">Weather_data!$E162</f>
        <v>0</v>
      </c>
      <c r="F163" s="388">
        <f t="shared" ca="1" si="586"/>
        <v>0</v>
      </c>
      <c r="G163" s="388">
        <f ca="1">AVERAGE($D163:$E163)+Control!$B$9</f>
        <v>0</v>
      </c>
      <c r="H163" s="388">
        <f ca="1">Weather_data!$G162</f>
        <v>0</v>
      </c>
      <c r="I163" s="388">
        <f ca="1">Weather_data!$I162</f>
        <v>0</v>
      </c>
      <c r="J163" s="388">
        <f ca="1">Weather_data!$H162</f>
        <v>0</v>
      </c>
      <c r="K163" s="389">
        <f ca="1">Weather_data!$D162</f>
        <v>0</v>
      </c>
      <c r="L163" s="388" t="e">
        <f t="shared" ca="1" si="587"/>
        <v>#N/A</v>
      </c>
      <c r="M163" s="388" t="e">
        <f t="shared" ca="1" si="465"/>
        <v>#N/A</v>
      </c>
      <c r="N163" s="388">
        <f t="shared" ca="1" si="466"/>
        <v>-3.2737385035068856E-8</v>
      </c>
      <c r="O163" s="388">
        <f t="shared" ca="1" si="588"/>
        <v>3.2737385035068857E-7</v>
      </c>
      <c r="P163" s="390">
        <v>3</v>
      </c>
      <c r="Q163" s="388">
        <f ca="1">MAX($G163-Control!$C$107,0)</f>
        <v>0</v>
      </c>
      <c r="R163" s="388">
        <f t="shared" ca="1" si="589"/>
        <v>0</v>
      </c>
      <c r="S163" s="388">
        <f t="shared" ca="1" si="467"/>
        <v>0</v>
      </c>
      <c r="T163" s="388">
        <f t="shared" ca="1" si="468"/>
        <v>0</v>
      </c>
      <c r="U163" s="59">
        <f t="shared" ca="1" si="469"/>
        <v>0</v>
      </c>
      <c r="V163" s="391">
        <f ca="1">MAX(0,MIN(Control!$C$100-Control!$C$99,$G163-Control!$C$99)*Control!$C$63)</f>
        <v>0</v>
      </c>
      <c r="W163" s="388">
        <f t="shared" ca="1" si="590"/>
        <v>0</v>
      </c>
      <c r="X163" s="388">
        <f t="shared" ca="1" si="591"/>
        <v>0.6110000000000001</v>
      </c>
      <c r="Y163" s="388">
        <f t="shared" ca="1" si="470"/>
        <v>0</v>
      </c>
      <c r="Z163" s="388">
        <f t="shared" ca="1" si="592"/>
        <v>0.61058800000000002</v>
      </c>
      <c r="AA163" s="388">
        <f t="shared" ca="1" si="471"/>
        <v>0.6018</v>
      </c>
      <c r="AB163" s="388">
        <f ca="1">101.3*EXP(-0.034*Control!$C$66/($G163+273))</f>
        <v>100.69623283836242</v>
      </c>
      <c r="AC163" s="392">
        <f t="shared" ca="1" si="472"/>
        <v>4.3460251046025113E-2</v>
      </c>
      <c r="AD163" s="392">
        <f t="shared" ca="1" si="473"/>
        <v>4.4450382862832649E-2</v>
      </c>
      <c r="AE163" s="388">
        <f t="shared" ca="1" si="474"/>
        <v>0</v>
      </c>
      <c r="AF163" s="388">
        <f ca="1">MAX(0,$G163-Control!$C$92)</f>
        <v>0</v>
      </c>
      <c r="AG163" s="393">
        <f t="shared" ca="1" si="475"/>
        <v>159</v>
      </c>
      <c r="AH163" s="389">
        <f t="shared" ca="1" si="476"/>
        <v>159</v>
      </c>
      <c r="AI163" s="388">
        <f t="shared" ca="1" si="593"/>
        <v>0.39764979676899337</v>
      </c>
      <c r="AJ163" s="388">
        <f ca="1">IF(Control!$C$60&lt;=0,$HH163,$HI163)</f>
        <v>1</v>
      </c>
      <c r="AK163" s="388">
        <f t="shared" ca="1" si="477"/>
        <v>1.3599222993621571</v>
      </c>
      <c r="AL163" s="388">
        <f t="shared" ca="1" si="478"/>
        <v>1.8022215664270646E-19</v>
      </c>
      <c r="AM163" s="388">
        <f t="shared" ca="1" si="479"/>
        <v>1.3599222993621571</v>
      </c>
      <c r="AN163" s="388">
        <f t="shared" ca="1" si="480"/>
        <v>0.39953289782800933</v>
      </c>
      <c r="AO163" s="388">
        <f ca="1">-0.10453/COS(Control!$B$8*PI()/180)*COS(AN163)</f>
        <v>-0.15641308230670622</v>
      </c>
      <c r="AP163" s="388">
        <f ca="1">ACOS(AO163-TAN(Control!$B$8*PI()/180)*TAN(AN163))</f>
        <v>2.3418051508241335</v>
      </c>
      <c r="AQ163" s="388">
        <f t="shared" ca="1" si="594"/>
        <v>0</v>
      </c>
      <c r="AR163" s="394">
        <f t="shared" ca="1" si="481"/>
        <v>0</v>
      </c>
      <c r="AS163" s="436">
        <f ca="1">IF(Control!$B$18=2,(IF(OR($AH163=Control!$B$175,$AH163=Control!$B$176,$AH163=Control!$B$177,$AH163=Control!$B$178,$AH163=Control!$B$179,$AH163=Control!$B$180,$AH163=Control!$B$181,$AH163=Control!$B$182,$AH163=Control!$B$183,$AH163=Control!$B$184,$AH163=Control!$B$185),1,0)),0)</f>
        <v>0</v>
      </c>
      <c r="AT163" s="436">
        <f>IF(Control!$B$20=8,IF(AND($AH163&gt;=Control!$B$172,$AH163&lt;=Control!$B$173),1,0),0)</f>
        <v>0</v>
      </c>
      <c r="AU163" s="436">
        <f>IF(Control!$B$20=8,IF($AV162=1,1*$AT163,IF($AT163=1,$AU162+1,$AU162)),0)</f>
        <v>0</v>
      </c>
      <c r="AV163" s="436">
        <f>IF(Control!$B$20=8,IF($AU163&gt;=Control!$B$174,1,0),0)</f>
        <v>0</v>
      </c>
      <c r="AW163" s="436">
        <f ca="1">IF(AND(Control!$B$18=2,Control!$B$171=1), $AV163, $AS163)</f>
        <v>0</v>
      </c>
      <c r="AX163" s="436" t="e">
        <f ca="1">IF(AND(Control!$B$18=1,$EU163&gt;=Control!$B$19),-$AY163,IF(AND(Control!$B$18=2,$AW163=1,$EU163&gt;$DS163),-$AY163, IF(Control!$C$108=0,0, IF(Control!$C$108&lt;&gt;0,1))))</f>
        <v>#N/A</v>
      </c>
      <c r="AY163" s="436" t="e">
        <f t="shared" ca="1" si="595"/>
        <v>#N/A</v>
      </c>
      <c r="AZ163" s="436" t="e">
        <f ca="1">IF(AND(Control!$B$18=1,$EB163&gt;Control!$B$19),$AZ162+1, IF(AND(Control!$B$18=2, $AW163=1, $EB163&gt;$DS163), $AZ162+1,$AZ162))</f>
        <v>#N/A</v>
      </c>
      <c r="BA163" s="587">
        <f>IF(Control!$C$81=0,1,IF($AH163&gt;=Control!$C$82,1,0))</f>
        <v>1</v>
      </c>
      <c r="BB163" s="140" t="e">
        <f ca="1">IF($BA163&gt;$BA162,Control!$C$83,IF($AW163&gt;0,$AW163*Control!$C$84,IF(AND(Control!$B$18=1,EN162&lt;&gt;0),Control!$C$84,0)))</f>
        <v>#N/A</v>
      </c>
      <c r="BC163" s="140" t="e">
        <f t="shared" ca="1" si="596"/>
        <v>#N/A</v>
      </c>
      <c r="BD163" s="140" t="e">
        <f ca="1">BC163*IF(OR($G163&lt;Control!$C$92,$G163&gt;Control!$C$95),0,IF(AND($G163&gt;=Control!$C$92,$G163&lt;=Control!$C$93),$G163-Control!$C$92,IF(AND($G163&gt;Control!$C$93,$G163&lt;=Control!$C$94),Control!$C$93-Control!$C$92,IF(AND($G163&gt;Control!$C$94,$G163&lt;=Control!$C$95),(Control!$C$93-Control!$C$92)*(Control!$C$94-$G163)/(Control!$C$95-Control!$C$94)))))</f>
        <v>#N/A</v>
      </c>
      <c r="BE163" s="140" t="e">
        <f t="shared" ca="1" si="597"/>
        <v>#N/A</v>
      </c>
      <c r="BF163" s="140" t="e">
        <f ca="1">IF($BE163&lt;=Control!$C$86,$BE163,Control!$C$86-$BE163)</f>
        <v>#N/A</v>
      </c>
      <c r="BG163" s="140" t="e">
        <f ca="1">IF(AND($AW163=1,Control!$C$84&lt;9),1,IF($BE163&gt;=Control!$C$86,0,$BC163))</f>
        <v>#N/A</v>
      </c>
      <c r="BH163" s="404" t="e">
        <f ca="1">IF($BG163=0,0,IF($BE163&lt;=Control!$C$86,$BC163*9*($BF163/Control!$C$86),0))</f>
        <v>#N/A</v>
      </c>
      <c r="BI163" s="140" t="e">
        <f ca="1">IF($BG163=1,0,IF($BE163&gt;=Control!$C$86,1,IF(AND($BB163&lt;21,$BB163&gt;=9),1,$BM162)))</f>
        <v>#N/A</v>
      </c>
      <c r="BJ163" s="140" t="e">
        <f ca="1">IF($BF163&lt;0,-$BF163,$BI163*IF(OR($G163&lt;Control!$C$92,$G163&gt;Control!$C$95),0,IF(AND($G163&gt;=Control!$C$92,$G163&lt;=Control!$C$93),$G163-Control!$C$92,IF(AND($G163&gt;Control!$C$93,$G163&lt;=Control!$C$94),Control!$C$93-Control!$C$92,IF(AND($G163&gt;Control!$C$94,$G163&lt;=Control!$C$95),(Control!$C$93-Control!$C$92)*(Control!$C$94-$G163)/(Control!$C$95-Control!$C$94))))))</f>
        <v>#N/A</v>
      </c>
      <c r="BK163" s="140" t="e">
        <f t="shared" ca="1" si="598"/>
        <v>#N/A</v>
      </c>
      <c r="BL163" s="140" t="e">
        <f ca="1">IF($BK163&lt;=Control!$C$87,$BK163,Control!$C$87-$BK163)</f>
        <v>#N/A</v>
      </c>
      <c r="BM163" s="140" t="e">
        <f ca="1">IF(AND($BB163&gt;=9,$BB163&lt;21),1,IF($BK163&gt;=Control!$C$87,0,$BI163))</f>
        <v>#N/A</v>
      </c>
      <c r="BN163" s="404" t="e">
        <f ca="1">IF($BM163=0,0,IF($BK163&lt;=Control!$C$87,$BI163*(9+(21-9)*($BL163/Control!$C$87)),0))</f>
        <v>#N/A</v>
      </c>
      <c r="BO163" s="140" t="e">
        <f ca="1">IF($BM163=1,0,IF($BK163&gt;=Control!$C$87,1,IF(AND($BB163&lt;30,$BB163&gt;=21),1,$BS162)))</f>
        <v>#N/A</v>
      </c>
      <c r="BP163" s="140" t="e">
        <f ca="1">IF($BL163&lt;0,-$BL163,$BO163*IF(OR($G163&lt;Control!$C$92,$G163&gt;Control!$C$95),0,IF(AND($G163&gt;=Control!$C$92,$G163&lt;=Control!$C$93),$G163-Control!$C$92,IF(AND($G163&gt;Control!$C$93,$G163&lt;=Control!$C$94),Control!$C$93-Control!$C$92,IF(AND($G163&gt;Control!$C$94,$G163&lt;=Control!$C$95),(Control!$C$93-Control!$C$92)*(Control!$C$94-$G163)/(Control!$C$95-Control!$C$94))))))</f>
        <v>#N/A</v>
      </c>
      <c r="BQ163" s="140" t="e">
        <f t="shared" ca="1" si="482"/>
        <v>#N/A</v>
      </c>
      <c r="BR163" s="140" t="e">
        <f ca="1">IF($BQ163&lt;=Control!$C$88,$BQ163,Control!$C$88-$BQ163)</f>
        <v>#N/A</v>
      </c>
      <c r="BS163" s="140" t="e">
        <f ca="1">IF(AND($BB163&gt;=21,$BB163&lt;30),1,IF($BQ163&gt;=Control!$C$88,0,$BO163))</f>
        <v>#N/A</v>
      </c>
      <c r="BT163" s="404" t="e">
        <f ca="1">IF($BS163=0,0,IF($BQ163&lt;=Control!$C$88,$BO163*(21+(30-21)*(BR163/Control!$C$88)),0))</f>
        <v>#N/A</v>
      </c>
      <c r="BU163" s="140" t="e">
        <f ca="1">IF(BG163+BM163+BS163=1,0,IF(OR(AND($BB163&lt;60,$BB163&gt;=30),$BQ163&gt;=Control!$C$88),1*$BA163,$BY162))</f>
        <v>#N/A</v>
      </c>
      <c r="BV163" s="140" t="e">
        <f ca="1">IF($BR163&lt;0,-$BR163,$BU163*IF(OR($G163&lt;Control!$C$92,$G163&gt;Control!$C$95),0,IF(AND($G163&gt;=Control!$C$92,$G163&lt;=Control!$C$93),$G163-Control!$C$92,IF(AND($G163&gt;Control!$C$93,$G163&lt;=Control!$C$94),Control!$C$93-Control!$C$92,IF(AND($G163&gt;Control!$C$94,$G163&lt;=Control!$C$95),(Control!$C$93-Control!$C$92)*(Control!$C$94-$G163)/(Control!$C$95-Control!$C$94))))))</f>
        <v>#N/A</v>
      </c>
      <c r="BW163" s="140" t="e">
        <f t="shared" ca="1" si="483"/>
        <v>#N/A</v>
      </c>
      <c r="BX163" s="140" t="e">
        <f ca="1">IF($BW163&lt;=Control!$C$89,$BW163,Control!$C$89-$BW163)</f>
        <v>#N/A</v>
      </c>
      <c r="BY163" s="140" t="e">
        <f ca="1">IF(AND($AJ163&gt;=30,$AJ163&lt;60),1,IF($BW163&gt;=Control!$C$89,0,$BU163))</f>
        <v>#N/A</v>
      </c>
      <c r="BZ163" s="404" t="e">
        <f ca="1">IF($BY163=0,0,IF($BW163&lt;=Control!$C$89,$BU163*(30+(60-30)*(BX163/Control!$C$89)),0))</f>
        <v>#N/A</v>
      </c>
      <c r="CA163" s="140" t="e">
        <f ca="1">IF($BG163+$BM163+$BS163+$BY163=1,0,IF(OR(AND($BB163&lt;65,$BB163&gt;=60),$BW163&gt;=Control!$C$89),1*$BA163,$CE162))</f>
        <v>#N/A</v>
      </c>
      <c r="CB163" s="140" t="e">
        <f ca="1">IF($BX163&lt;0,-$BX163,$CA163*IF(OR($G163&lt;Control!$C$92,$G163&gt;Control!$C$95),0,IF(AND($G163&gt;=Control!$C$92,$G163&lt;=Control!$C$93),$G163-Control!$C$92,IF(AND($G163&gt;Control!$C$93,$G163&lt;=Control!$C$94),Control!$C$93-Control!$C$92,IF(AND($G163&gt;Control!$C$94,$G163&lt;=Control!$C$95),(Control!$C$93-Control!$C$92)*(Control!$C$94-$G163)/(Control!$C$95-Control!$C$94))))))</f>
        <v>#N/A</v>
      </c>
      <c r="CC163" s="140" t="e">
        <f t="shared" ca="1" si="599"/>
        <v>#N/A</v>
      </c>
      <c r="CD163" s="140" t="e">
        <f ca="1">IF($CC163&lt;=Control!$C$90,$CC163,Control!$C$90-$CC163)</f>
        <v>#N/A</v>
      </c>
      <c r="CE163" s="140" t="e">
        <f ca="1">IF(AND($BB163&gt;=60,$BB163&lt;65),1,IF($CC163&gt;=Control!$C$90,0,$CA163))</f>
        <v>#N/A</v>
      </c>
      <c r="CF163" s="404" t="e">
        <f ca="1">IF($CE163=0,0,IF($CC163&lt;=Control!$C$90,$CA163*(60+(65-60)*(CD163/Control!$C$90)),0))</f>
        <v>#N/A</v>
      </c>
      <c r="CG163" s="140" t="e">
        <f ca="1">IF($BG163+$BM163+$BS163+$BY163+$CE163=1,0,IF(OR(AND($BB163&lt;90,$BB163&gt;=65),$CC163&gt;=Control!$C$90),$BA163,$CK162))</f>
        <v>#N/A</v>
      </c>
      <c r="CH163" s="140" t="e">
        <f ca="1">IF($CD163&lt;0,-$CD163,$CG163*IF(OR($G163&lt;Control!$C$92,$G163&gt;Control!$C$95),0,IF(AND($G163&gt;=Control!$C$92,$G163&lt;=Control!$C$93),$G163-Control!$C$92,IF(AND($G163&gt;Control!$C$93,$G163&lt;=Control!$C$94),Control!$C$93-Control!$C$92,IF(AND($G163&gt;Control!$C$94,$G163&lt;=Control!$C$95),(Control!$C$93-Control!$C$92)*(Control!$C$94-$G163)/(Control!$C$95-Control!$C$94))))))</f>
        <v>#N/A</v>
      </c>
      <c r="CI163" s="140" t="e">
        <f t="shared" ca="1" si="600"/>
        <v>#N/A</v>
      </c>
      <c r="CJ163" s="140" t="e">
        <f ca="1">IF($CI163&lt;=Control!$C$91,$CI163,Control!$C$91-$CI163)</f>
        <v>#N/A</v>
      </c>
      <c r="CK163" s="140" t="e">
        <f ca="1">IF(AND($BB163&gt;=65,$BB163&lt;90),1,IF($CI163&gt;=Control!$C$91,0,$CG163))</f>
        <v>#N/A</v>
      </c>
      <c r="CL163" s="404" t="e">
        <f ca="1">IF($CK163=0,0,IF($CI163&lt;=Control!$C$91,$CG163*(65+(90-65)*($CJ163/Control!$C$91)),0))</f>
        <v>#N/A</v>
      </c>
      <c r="CM163" s="140" t="e">
        <f ca="1">IF($BG163+$BM163+$BS163+$BY163+$CE163+$CK163=1,0,IF(OR($BB163&gt;=90,$CI163&gt;=Control!$C$91),$BA163,$CM162))</f>
        <v>#N/A</v>
      </c>
      <c r="CN163" s="140" t="e">
        <f t="shared" ca="1" si="601"/>
        <v>#N/A</v>
      </c>
      <c r="CO163" s="140" t="e">
        <f t="shared" ca="1" si="602"/>
        <v>#N/A</v>
      </c>
      <c r="CP163" s="140" t="e">
        <f t="shared" ca="1" si="603"/>
        <v>#N/A</v>
      </c>
      <c r="CQ163" s="141" t="e">
        <f ca="1">VLOOKUP($CP163,Control!$B$86:$G$91,6)</f>
        <v>#N/A</v>
      </c>
      <c r="CR163" s="141" t="e">
        <f ca="1">(1-$CQ163)*VLOOKUP($CP163,Control!$B$86:$D$91,3)</f>
        <v>#N/A</v>
      </c>
      <c r="CS163" s="141" t="e">
        <f ca="1">(1-$CQ163)*VLOOKUP($CP163,Control!$B$86:$E$91,4)</f>
        <v>#N/A</v>
      </c>
      <c r="CT163" s="141" t="e">
        <f ca="1">(1-$CQ163)*VLOOKUP($CP163,Control!$B$86:$F$91,5)</f>
        <v>#N/A</v>
      </c>
      <c r="CU163" s="141">
        <f t="shared" ca="1" si="604"/>
        <v>0</v>
      </c>
      <c r="CV163" s="583">
        <f t="shared" ca="1" si="605"/>
        <v>0</v>
      </c>
      <c r="CW163" s="142">
        <f t="shared" ca="1" si="606"/>
        <v>159</v>
      </c>
      <c r="CX163" s="612" t="e">
        <f ca="1">IF(Control!$C$114=1,(MIN(Control!$C$120*(IF($NT163-0.01&lt;0,0,1)),Control!$C$119-$CY163)))</f>
        <v>#DIV/0!</v>
      </c>
      <c r="CY163" s="143" t="e">
        <f t="shared" ca="1" si="607"/>
        <v>#N/A</v>
      </c>
      <c r="CZ163" s="144">
        <f t="shared" ca="1" si="484"/>
        <v>0</v>
      </c>
      <c r="DA163" s="144">
        <f t="shared" ca="1" si="485"/>
        <v>0</v>
      </c>
      <c r="DB163" s="144" t="e">
        <f t="shared" ca="1" si="486"/>
        <v>#N/A</v>
      </c>
      <c r="DC163" s="144" t="e">
        <f t="shared" ca="1" si="487"/>
        <v>#N/A</v>
      </c>
      <c r="DD163" s="144" t="e">
        <f t="shared" ca="1" si="692"/>
        <v>#N/A</v>
      </c>
      <c r="DE163" s="143" t="e">
        <f t="shared" ca="1" si="608"/>
        <v>#N/A</v>
      </c>
      <c r="DF163" s="145" t="e">
        <f ca="1">$DR163*EXP(-Control!$C$158*(1-$KH163))</f>
        <v>#N/A</v>
      </c>
      <c r="DG163" s="146" t="e">
        <f ca="1">IF(Control!$C$114=1, $DF163*$EY163, 0)</f>
        <v>#N/A</v>
      </c>
      <c r="DH163" s="147" t="e">
        <f t="shared" ca="1" si="609"/>
        <v>#N/A</v>
      </c>
      <c r="DI163" s="144" t="e">
        <f t="shared" ca="1" si="670"/>
        <v>#N/A</v>
      </c>
      <c r="DJ163" s="147" t="e">
        <f ca="1">$EF163*Control!$C$109</f>
        <v>#N/A</v>
      </c>
      <c r="DK163" s="144" t="e">
        <f t="shared" ca="1" si="610"/>
        <v>#N/A</v>
      </c>
      <c r="DL163" s="144" t="e">
        <f t="shared" ca="1" si="488"/>
        <v>#N/A</v>
      </c>
      <c r="DM163" s="144" t="e">
        <f ca="1">IF(Control!$C$114=1, (1-EXP(-Control!$C$96*$DK163))*$AR163, 0)</f>
        <v>#N/A</v>
      </c>
      <c r="DN163" s="144">
        <f t="shared" ca="1" si="611"/>
        <v>0</v>
      </c>
      <c r="DO163" s="148">
        <f>Control!$C$97</f>
        <v>4</v>
      </c>
      <c r="DP163" s="145" t="e">
        <f t="shared" ca="1" si="612"/>
        <v>#N/A</v>
      </c>
      <c r="DQ163" s="145" t="e">
        <f ca="1">IF(AND($CP163&gt;=0,$CP163&lt;=90),Control!$C$111,Control!$C$111)</f>
        <v>#N/A</v>
      </c>
      <c r="DR163" s="145" t="e">
        <f t="shared" ca="1" si="489"/>
        <v>#N/A</v>
      </c>
      <c r="DS163" s="143" t="e">
        <f ca="1">Control!$B$22/$DR163</f>
        <v>#N/A</v>
      </c>
      <c r="DT163" s="149" t="e">
        <f ca="1">IF(AND(Control!$C$114=1,$KH163&lt;1),$IM163*$DF163, 0)</f>
        <v>#N/A</v>
      </c>
      <c r="DU163" s="144" t="e">
        <f t="shared" ca="1" si="613"/>
        <v>#N/A</v>
      </c>
      <c r="DV163" s="144">
        <f ca="1">IF($G163-Control!$C$107&lt;=0, 0, 0.83*LN(MAX($G163, 3))-0.8924)</f>
        <v>0</v>
      </c>
      <c r="DW163" s="144" t="e">
        <f t="shared" ca="1" si="490"/>
        <v>#N/A</v>
      </c>
      <c r="DX163" s="150" t="e">
        <f ca="1">MAX(0.01*(1+$CU163/Control!$C$102),0.05*($DK163-Control!$C$97)/Control!$C$97)</f>
        <v>#N/A</v>
      </c>
      <c r="DY163" s="151" t="e">
        <f ca="1">IF(Control!$C$114=1, $DI163*$FS163, 0)</f>
        <v>#N/A</v>
      </c>
      <c r="DZ163" s="196" t="e">
        <f t="shared" ca="1" si="614"/>
        <v>#N/A</v>
      </c>
      <c r="EA163" s="152">
        <f t="shared" ca="1" si="615"/>
        <v>159</v>
      </c>
      <c r="EB163" s="153" t="e">
        <f t="shared" ca="1" si="616"/>
        <v>#N/A</v>
      </c>
      <c r="EC163" s="153" t="e">
        <f t="shared" ca="1" si="617"/>
        <v>#N/A</v>
      </c>
      <c r="ED163" s="154" t="e">
        <f ca="1">IF(Control!$C$114=1, $HM163*$FY163-$FD163, 0)</f>
        <v>#DIV/0!</v>
      </c>
      <c r="EE163" s="155" t="e">
        <f ca="1">IF(Control!$C$114=1, $HM163*$FZ163-$FF163, 0)</f>
        <v>#DIV/0!</v>
      </c>
      <c r="EF163" s="153" t="e">
        <f t="shared" ca="1" si="671"/>
        <v>#N/A</v>
      </c>
      <c r="EG163" s="155" t="e">
        <f ca="1">IF(Control!$C$114=1, $GX163*$FW163-$FI163, 0)</f>
        <v>#DIV/0!</v>
      </c>
      <c r="EH163" s="153" t="e">
        <f t="shared" ca="1" si="618"/>
        <v>#N/A</v>
      </c>
      <c r="EI163" s="156" t="e">
        <f t="shared" ca="1" si="619"/>
        <v>#N/A</v>
      </c>
      <c r="EJ163" s="155" t="e">
        <f ca="1">IF(Control!$C$114=1, $HM163*$GB163, 0)</f>
        <v>#DIV/0!</v>
      </c>
      <c r="EK163" s="153" t="e">
        <f t="shared" ca="1" si="672"/>
        <v>#N/A</v>
      </c>
      <c r="EL163" s="153" t="e">
        <f t="shared" ca="1" si="491"/>
        <v>#N/A</v>
      </c>
      <c r="EM163" s="153" t="e">
        <f t="shared" ca="1" si="492"/>
        <v>#N/A</v>
      </c>
      <c r="EN163" s="153" t="e">
        <f ca="1">IF(Control!$C$108=1,IF(AND(Control!$B$18=1,$EB163&gt;=Control!$B$19),$EB163-$DS163,IF(AND(Control!$B$18=2,$AW163=1,$EB163&gt;$DS163),$EB163-$DS163,0)))</f>
        <v>#N/A</v>
      </c>
      <c r="EO163" s="153" t="e">
        <f ca="1">IF(Control!$C$108=1,IF(AND(Control!$B$18=1,$EB163&gt;=Control!$B$19),$EF163,IF(AND(Control!$B$18=2,$AW163=1),$EF163,0)))</f>
        <v>#N/A</v>
      </c>
      <c r="EP163" s="153" t="e">
        <f ca="1">IF(Control!$C$108=1,IF(AND(Control!$B$18=1,$EB163&gt;=Control!$B$19),$EK163,IF(AND(Control!$B$18=2,$AW163=1),$EK163,0)))</f>
        <v>#N/A</v>
      </c>
      <c r="EQ163" s="153" t="e">
        <f t="shared" ca="1" si="620"/>
        <v>#N/A</v>
      </c>
      <c r="ER163" s="153" t="e">
        <f t="shared" ca="1" si="621"/>
        <v>#N/A</v>
      </c>
      <c r="ES163" s="153" t="e">
        <f t="shared" ca="1" si="673"/>
        <v>#N/A</v>
      </c>
      <c r="ET163" s="153" t="e">
        <f t="shared" ca="1" si="674"/>
        <v>#N/A</v>
      </c>
      <c r="EU163" s="153" t="e">
        <f t="shared" ca="1" si="622"/>
        <v>#N/A</v>
      </c>
      <c r="EV163" s="153" t="e">
        <f t="shared" ca="1" si="493"/>
        <v>#N/A</v>
      </c>
      <c r="EW163" s="153" t="e">
        <f t="shared" ca="1" si="494"/>
        <v>#N/A</v>
      </c>
      <c r="EX163" s="153" t="e">
        <f t="shared" ca="1" si="495"/>
        <v>#N/A</v>
      </c>
      <c r="EY163" s="157" t="e">
        <f t="shared" ca="1" si="496"/>
        <v>#DIV/0!</v>
      </c>
      <c r="EZ163" s="154" t="e">
        <f t="shared" ca="1" si="497"/>
        <v>#DIV/0!</v>
      </c>
      <c r="FA163" s="153" t="e">
        <f t="shared" ca="1" si="623"/>
        <v>#N/A</v>
      </c>
      <c r="FB163" s="153" t="e">
        <f t="shared" ca="1" si="498"/>
        <v>#N/A</v>
      </c>
      <c r="FC163" s="193" t="e">
        <f t="shared" ca="1" si="499"/>
        <v>#N/A</v>
      </c>
      <c r="FD163" s="158" t="e">
        <f t="shared" ca="1" si="624"/>
        <v>#N/A</v>
      </c>
      <c r="FE163" s="158" t="e">
        <f t="shared" ca="1" si="625"/>
        <v>#N/A</v>
      </c>
      <c r="FF163" s="159" t="e">
        <f t="shared" ca="1" si="500"/>
        <v>#N/A</v>
      </c>
      <c r="FG163" s="160" t="e">
        <f t="shared" ca="1" si="626"/>
        <v>#N/A</v>
      </c>
      <c r="FH163" s="158" t="e">
        <f t="shared" ca="1" si="627"/>
        <v>#N/A</v>
      </c>
      <c r="FI163" s="159" t="e">
        <f t="shared" ca="1" si="501"/>
        <v>#N/A</v>
      </c>
      <c r="FJ163" s="160" t="e">
        <f t="shared" ca="1" si="628"/>
        <v>#N/A</v>
      </c>
      <c r="FK163" s="160" t="e">
        <f t="shared" ca="1" si="502"/>
        <v>#N/A</v>
      </c>
      <c r="FL163" s="160" t="e">
        <f t="shared" ca="1" si="675"/>
        <v>#N/A</v>
      </c>
      <c r="FM163" s="160" t="e">
        <f t="shared" ca="1" si="503"/>
        <v>#N/A</v>
      </c>
      <c r="FN163" s="158">
        <f t="shared" ca="1" si="629"/>
        <v>0.01</v>
      </c>
      <c r="FO163" s="160">
        <f>Control!$C$101</f>
        <v>50</v>
      </c>
      <c r="FP163" s="150" t="e">
        <f t="shared" ca="1" si="504"/>
        <v>#N/A</v>
      </c>
      <c r="FQ163" s="150" t="e">
        <f ca="1">MAX(0,(Control!$C$112*(($DK163-Control!$C$97)/Control!$C$97)))</f>
        <v>#N/A</v>
      </c>
      <c r="FR163" s="150" t="e">
        <f ca="1">(1-$NT163)*Control!$C$113</f>
        <v>#DIV/0!</v>
      </c>
      <c r="FS163" s="198" t="e">
        <f t="shared" ca="1" si="505"/>
        <v>#N/A</v>
      </c>
      <c r="FT163" s="161">
        <f t="shared" ca="1" si="630"/>
        <v>159</v>
      </c>
      <c r="FU163" s="162" t="e">
        <f ca="1">IF(Control!$B$34=1,VLOOKUP($CP163,Control!$B$86:$G$91,6),Control!$B$35)</f>
        <v>#N/A</v>
      </c>
      <c r="FV163" s="162" t="e">
        <f t="shared" ca="1" si="506"/>
        <v>#DIV/0!</v>
      </c>
      <c r="FW163" s="162" t="e">
        <f ca="1">IF(Control!$B$31=1,$FU163*$FV163,  $FU163)</f>
        <v>#N/A</v>
      </c>
      <c r="FX163" s="162" t="e">
        <f ca="1">IF(Control!$B$34=1,VLOOKUP($CP163,Control!$B$86:$G$91,3),Control!$B$36)</f>
        <v>#N/A</v>
      </c>
      <c r="FY163" s="162" t="e">
        <f t="shared" ca="1" si="507"/>
        <v>#N/A</v>
      </c>
      <c r="FZ163" s="162" t="e">
        <f ca="1">IF(Control!$B$34=1,VLOOKUP($CP163,Control!$B$86:$G$91,4),Control!$B$37)</f>
        <v>#N/A</v>
      </c>
      <c r="GA163" s="162" t="e">
        <f t="shared" ca="1" si="508"/>
        <v>#N/A</v>
      </c>
      <c r="GB163" s="162" t="e">
        <f ca="1">IF(Control!$B$34=1,VLOOKUP($CP163,Control!$B$86:$G$91,5),Control!$B$38)</f>
        <v>#N/A</v>
      </c>
      <c r="GC163" s="162" t="e">
        <f t="shared" ca="1" si="631"/>
        <v>#N/A</v>
      </c>
      <c r="GD163" s="162">
        <f t="shared" ca="1" si="509"/>
        <v>1</v>
      </c>
      <c r="GE163" s="162">
        <f t="shared" ca="1" si="510"/>
        <v>1</v>
      </c>
      <c r="GF163" s="162">
        <f ca="1">IF(AND(Control!$C$104=1, Control!$C$62="F"),$GE163,1)</f>
        <v>1</v>
      </c>
      <c r="GG163" s="162" t="e">
        <f ca="1">IF(Control!$B$16=40,0,IF(AND(Control!$B$16&gt;40,Control!$B$16&lt;=360),(Control!$B$16-40)*((1-0)/(360-40)),IF(AND(Control!$B$16&gt;360,Control!$B$16&lt;=720),(1+(Control!$B$16-360)*((1.25-1)/(720-360))),IF(AND(Control!$B$16&gt;720,Control!$B$16&lt;=1000),(1.25+(Control!$B$16-720)*((1.35-1.25)/(1000-720))),IF(AND(Control!$B$16&gt;1000,Control!$B$16&lt;=2000),(1.35+(Control!$B$16-1000)*0))))))</f>
        <v>#N/A</v>
      </c>
      <c r="GH163" s="162" t="e">
        <f t="shared" ca="1" si="511"/>
        <v>#N/A</v>
      </c>
      <c r="GI163" s="162">
        <f t="shared" ca="1" si="632"/>
        <v>0</v>
      </c>
      <c r="GJ163" s="162">
        <f t="shared" ca="1" si="512"/>
        <v>0</v>
      </c>
      <c r="GK163" s="162">
        <f t="shared" ca="1" si="633"/>
        <v>1</v>
      </c>
      <c r="GL163" s="162">
        <f t="shared" ca="1" si="513"/>
        <v>1</v>
      </c>
      <c r="GM163" s="162" t="e">
        <f ca="1">MAX(0,MIN(1,1-Control!$C$156*(1.0001-$KH163)^2))</f>
        <v>#N/A</v>
      </c>
      <c r="GN163" s="162" t="e">
        <f ca="1">IF(Control!$B$26=1,$KU163,$KX163)</f>
        <v>#N/A</v>
      </c>
      <c r="GO163" s="162" t="e">
        <f ca="1">IF($CP163&lt;=60,Control!$C$105,IF($CP163&gt;=90,Control!$C$106,Control!$C$105+($CP163-60)*((Control!$C$106-Control!$C$105)/(90-60))))</f>
        <v>#N/A</v>
      </c>
      <c r="GP163" s="162" t="e">
        <f t="shared" ca="1" si="514"/>
        <v>#N/A</v>
      </c>
      <c r="GQ163" s="162" t="e">
        <f t="shared" ca="1" si="634"/>
        <v>#N/A</v>
      </c>
      <c r="GR163" s="163" t="e">
        <f t="shared" ca="1" si="515"/>
        <v>#DIV/0!</v>
      </c>
      <c r="GS163" s="162" t="e">
        <f t="shared" ca="1" si="516"/>
        <v>#DIV/0!</v>
      </c>
      <c r="GT163" s="164" t="e">
        <f t="shared" ca="1" si="635"/>
        <v>#N/A</v>
      </c>
      <c r="GU163" s="162" t="e">
        <f t="shared" ca="1" si="636"/>
        <v>#N/A</v>
      </c>
      <c r="GV163" s="162" t="e">
        <f t="shared" ca="1" si="517"/>
        <v>#N/A</v>
      </c>
      <c r="GW163" s="162" t="e">
        <f t="shared" ca="1" si="518"/>
        <v>#DIV/0!</v>
      </c>
      <c r="GX163" s="162" t="e">
        <f t="shared" ca="1" si="637"/>
        <v>#DIV/0!</v>
      </c>
      <c r="GY163" s="162" t="e">
        <f t="shared" ca="1" si="638"/>
        <v>#DIV/0!</v>
      </c>
      <c r="GZ163" s="165" t="e">
        <f t="shared" ca="1" si="519"/>
        <v>#N/A</v>
      </c>
      <c r="HA163" s="162" t="e">
        <f ca="1">IF(Control!$C$114=1, $DI163*$FS163, 0)</f>
        <v>#N/A</v>
      </c>
      <c r="HB163" s="162" t="e">
        <f ca="1">$FA163/Control!$C$64</f>
        <v>#N/A</v>
      </c>
      <c r="HC163" s="162" t="e">
        <f t="shared" ca="1" si="520"/>
        <v>#DIV/0!</v>
      </c>
      <c r="HD163" s="162">
        <f ca="1">-ASIN(SIN(23.45*Control!$C$139)*COS(2*Control!$C$138*($AH163+10)/365))</f>
        <v>0.39764979676899337</v>
      </c>
      <c r="HE163" s="165">
        <f t="shared" ca="1" si="639"/>
        <v>0</v>
      </c>
      <c r="HF163" s="166">
        <f ca="1">IF(AND(Control!$C$61="T",$HE163&gt;=Control!$C$103,Control!$C$114=0),$AH163,Control!$C$59)</f>
        <v>1</v>
      </c>
      <c r="HG163" s="166">
        <f ca="1">IF(AND(Control!$C$61="T",$HE163&gt;=Control!$C$103,Control!$C$114=0),$HF163,Control!$C$59)</f>
        <v>1</v>
      </c>
      <c r="HH163" s="165">
        <f ca="1">IF(AND(OR(Control!$C$60&lt;=0, $AH163= Control!$C$59, Control!$C$60 &gt;0, $AH163 = Control!$C$60)), Control!$C$59, IF(Control!$C$60&gt;0, 0))</f>
        <v>1</v>
      </c>
      <c r="HI163" s="165">
        <f ca="1">IF(AND(OR(Control!$C$60&lt;=0, $AH163= Control!$C$59, Control!$C$60 &gt;0, $AH163 = Control!$C$60)), Control!$C$60, IF(Control!$C$60&lt;=0, 0))</f>
        <v>0</v>
      </c>
      <c r="HJ163" s="166">
        <f ca="1">IF(AND(Control!$C$62="F",$CV163&gt;=Control!$C$102),$AH163,0)</f>
        <v>0</v>
      </c>
      <c r="HK163" s="165" t="e">
        <f t="shared" ca="1" si="676"/>
        <v>#N/A</v>
      </c>
      <c r="HL163" s="166">
        <f ca="1">IF(AND(Control!$C$61="T",$HE163&gt;=Control!$C$103,Control!$C$114=0),$HF163,0)</f>
        <v>0</v>
      </c>
      <c r="HM163" s="201" t="e">
        <f t="shared" ca="1" si="521"/>
        <v>#DIV/0!</v>
      </c>
      <c r="HN163" s="215">
        <f t="shared" ca="1" si="640"/>
        <v>159</v>
      </c>
      <c r="HO163" s="216" t="e">
        <f ca="1">IF(AND($CP163&gt;=0, $CP163&lt;=90), Control!$C$152, Control!$C$152)</f>
        <v>#N/A</v>
      </c>
      <c r="HP163" s="216" t="e">
        <f t="shared" ca="1" si="522"/>
        <v>#N/A</v>
      </c>
      <c r="HQ163" s="217" t="e">
        <f ca="1">IF(OR(Control!$B$26=1,Control!$B$26=2),$KV163,$KS163)</f>
        <v>#DIV/0!</v>
      </c>
      <c r="HR163" s="218" t="e">
        <f t="shared" ca="1" si="677"/>
        <v>#DIV/0!</v>
      </c>
      <c r="HS163" s="216" t="e">
        <f ca="1">Control!$C$154*$HP163</f>
        <v>#N/A</v>
      </c>
      <c r="HT163" s="216" t="e">
        <f ca="1">Control!$C$155*$HP163</f>
        <v>#N/A</v>
      </c>
      <c r="HU163" s="217" t="e">
        <f ca="1">Control!$C$161*$FI163</f>
        <v>#N/A</v>
      </c>
      <c r="HV163" s="218" t="e">
        <f t="shared" ca="1" si="641"/>
        <v>#N/A</v>
      </c>
      <c r="HW163" s="218" t="e">
        <f ca="1">Control!$C$160*$FF163+$IP163*$EO163</f>
        <v>#N/A</v>
      </c>
      <c r="HX163" s="218" t="e">
        <f t="shared" ca="1" si="678"/>
        <v>#N/A</v>
      </c>
      <c r="HY163" s="219" t="e">
        <f ca="1">IF(Control!$C$114=1, $EB163*$FS163, 0)</f>
        <v>#N/A</v>
      </c>
      <c r="HZ163" s="91" t="e">
        <f t="shared" ca="1" si="523"/>
        <v>#N/A</v>
      </c>
      <c r="IA163" s="220" t="e">
        <f ca="1">Control!$C$153*$HO163</f>
        <v>#N/A</v>
      </c>
      <c r="IB163" s="218" t="e">
        <f t="shared" ca="1" si="524"/>
        <v>#N/A</v>
      </c>
      <c r="IC163" s="220" t="e">
        <f ca="1">Control!$C$153*$HT163</f>
        <v>#N/A</v>
      </c>
      <c r="ID163" s="218" t="e">
        <f t="shared" ca="1" si="525"/>
        <v>#N/A</v>
      </c>
      <c r="IE163" s="221" t="e">
        <f ca="1">($EB163*Control!$C$159+$EF163*Control!$C$160)/(IF($GZ163&lt;&gt;0,$GZ163,1))</f>
        <v>#N/A</v>
      </c>
      <c r="IF163" s="216" t="e">
        <f t="shared" ca="1" si="526"/>
        <v>#N/A</v>
      </c>
      <c r="IG163" s="91">
        <f ca="1">IF(OR(Control!$B$198=$AH163,Control!$B$199=$AH163, Control!$B$200=$AH163, Control!$B$201=$AH163, Control!$B$202=$AH163, Control!$B$203=$AH163, Control!$B$204=$AH163, Control!$B$205=$AH163, Control!$B$206=$AH163, Control!$B$207=$AH163), 1, 0)</f>
        <v>0</v>
      </c>
      <c r="IH163" s="91">
        <f ca="1">IF($IG163=0,0, VLOOKUP($AH163,Control!$B$198:$C$207,2))</f>
        <v>0</v>
      </c>
      <c r="II163" s="222">
        <f t="shared" ca="1" si="642"/>
        <v>0</v>
      </c>
      <c r="IJ163" s="91">
        <f>Control!$C$121</f>
        <v>0.7</v>
      </c>
      <c r="IK163" s="218">
        <f t="shared" ca="1" si="527"/>
        <v>0</v>
      </c>
      <c r="IL163" s="217" t="e">
        <f t="shared" ca="1" si="679"/>
        <v>#N/A</v>
      </c>
      <c r="IM163" s="223" t="e">
        <f ca="1">IF(AND(Control!$C$114=1,$KH163&lt;1),$EB163*Control!$C$148*(1-$KH163), 0)</f>
        <v>#N/A</v>
      </c>
      <c r="IN163" s="217" t="e">
        <f t="shared" ca="1" si="528"/>
        <v>#DIV/0!</v>
      </c>
      <c r="IO163" s="91" t="e">
        <f ca="1">MAX(0,$IL163-$EF163*Control!$C$160)</f>
        <v>#N/A</v>
      </c>
      <c r="IP163" s="220" t="e">
        <f t="shared" ca="1" si="529"/>
        <v>#N/A</v>
      </c>
      <c r="IQ163" s="217" t="e">
        <f t="shared" ca="1" si="643"/>
        <v>#N/A</v>
      </c>
      <c r="IR163" s="218" t="e">
        <f t="shared" ca="1" si="530"/>
        <v>#N/A</v>
      </c>
      <c r="IS163" s="217" t="e">
        <f ca="1">Control!$C$159*MAX(0,$FD163-$EN163)</f>
        <v>#N/A</v>
      </c>
      <c r="IT163" s="217" t="e">
        <f t="shared" ca="1" si="680"/>
        <v>#N/A</v>
      </c>
      <c r="IU163" s="217" t="e">
        <f t="shared" ca="1" si="644"/>
        <v>#N/A</v>
      </c>
      <c r="IV163" s="217" t="e">
        <f t="shared" ca="1" si="681"/>
        <v>#N/A</v>
      </c>
      <c r="IW163" s="217" t="e">
        <f ca="1">IF(OR($AW163=1,AND($AW163=0, Control!$B$18=1,$EN163&lt;&gt;0)), $IQ163-$IU163, $IQ163)</f>
        <v>#N/A</v>
      </c>
      <c r="IX163" s="218" t="e">
        <f t="shared" ca="1" si="531"/>
        <v>#N/A</v>
      </c>
      <c r="IY163" s="218" t="e">
        <f ca="1">MAX(0,$IQ163-$EB163*Control!$C$159)</f>
        <v>#N/A</v>
      </c>
      <c r="IZ163" s="218" t="e">
        <f t="shared" ca="1" si="532"/>
        <v>#N/A</v>
      </c>
      <c r="JA163" s="216" t="e">
        <f t="shared" ca="1" si="533"/>
        <v>#N/A</v>
      </c>
      <c r="JB163" s="217" t="e">
        <f t="shared" ca="1" si="534"/>
        <v>#N/A</v>
      </c>
      <c r="JC163" s="222" t="e">
        <f ca="1">MAX(Control!$C$157*$EK163-$JT163, 0)/Control!$C$162</f>
        <v>#N/A</v>
      </c>
      <c r="JD163" s="218" t="e">
        <f t="shared" ca="1" si="535"/>
        <v>#N/A</v>
      </c>
      <c r="JE163" s="218" t="e">
        <f t="shared" ca="1" si="536"/>
        <v>#N/A</v>
      </c>
      <c r="JF163" s="218" t="e">
        <f t="shared" ca="1" si="645"/>
        <v>#N/A</v>
      </c>
      <c r="JG163" s="218" t="e">
        <f t="shared" ca="1" si="537"/>
        <v>#N/A</v>
      </c>
      <c r="JH163" s="217" t="e">
        <f t="shared" ca="1" si="646"/>
        <v>#N/A</v>
      </c>
      <c r="JI163" s="217" t="e">
        <f t="shared" ca="1" si="647"/>
        <v>#N/A</v>
      </c>
      <c r="JJ163" s="217" t="e">
        <f t="shared" ca="1" si="682"/>
        <v>#N/A</v>
      </c>
      <c r="JK163" s="217" t="e">
        <f ca="1">IF(Control!$C$114=1,IF(Control!$B$24=0,MAX(0,$JI163)*$GN163/Control!$C$64,(MAX(0,MIN($JI163,$JJ163*$GN163/Control!$C$64),0))))</f>
        <v>#N/A</v>
      </c>
      <c r="JL163" s="217" t="e">
        <f ca="1">$IK163/Control!$C$64-$JK163+$HQ163</f>
        <v>#N/A</v>
      </c>
      <c r="JM163" s="217" t="e">
        <f ca="1">IF(Control!$C$114=1,($JB163/(IF($JI163&lt;&gt;0,$JI163,1)))*$JK163,0)</f>
        <v>#N/A</v>
      </c>
      <c r="JN163" s="217" t="e">
        <f ca="1">IF(Control!$C$114=1,($JG163/(IF($JI163&lt;&gt;0,$JI163,1)))*$JK163, 0)</f>
        <v>#N/A</v>
      </c>
      <c r="JO163" s="218" t="e">
        <f t="shared" ca="1" si="538"/>
        <v>#N/A</v>
      </c>
      <c r="JP163" s="218" t="e">
        <f ca="1">MIN(($IY163+$IO163)*Control!$C$151, $JF163-$EH163*Control!$C$161)</f>
        <v>#N/A</v>
      </c>
      <c r="JQ163" s="218" t="e">
        <f t="shared" ca="1" si="539"/>
        <v>#N/A</v>
      </c>
      <c r="JR163" s="217" t="e">
        <f ca="1">IF($CP163-Control!$C$150&lt;0, 0, $JQ163/Control!$C$162)</f>
        <v>#N/A</v>
      </c>
      <c r="JS163" s="218" t="e">
        <f t="shared" ca="1" si="540"/>
        <v>#N/A</v>
      </c>
      <c r="JT163" s="218" t="e">
        <f t="shared" ca="1" si="648"/>
        <v>#N/A</v>
      </c>
      <c r="JU163" s="218" t="e">
        <f t="shared" ca="1" si="541"/>
        <v>#N/A</v>
      </c>
      <c r="JV163" s="218" t="e">
        <f t="shared" ca="1" si="542"/>
        <v>#N/A</v>
      </c>
      <c r="JW163" s="216" t="e">
        <f t="shared" ca="1" si="543"/>
        <v>#N/A</v>
      </c>
      <c r="JX163" s="91" t="e">
        <f t="shared" ca="1" si="544"/>
        <v>#N/A</v>
      </c>
      <c r="JY163" s="218" t="e">
        <f t="shared" ca="1" si="545"/>
        <v>#N/A</v>
      </c>
      <c r="JZ163" s="217" t="e">
        <f ca="1">IF(Control!$C$114=1,($IZ163/(IF($JI163&lt;&gt;0,$JI163,1)))*$JK163, 0)</f>
        <v>#N/A</v>
      </c>
      <c r="KA163" s="218" t="e">
        <f t="shared" ca="1" si="683"/>
        <v>#N/A</v>
      </c>
      <c r="KB163" s="218" t="e">
        <f t="shared" ca="1" si="649"/>
        <v>#N/A</v>
      </c>
      <c r="KC163" s="218" t="e">
        <f t="shared" ca="1" si="546"/>
        <v>#N/A</v>
      </c>
      <c r="KD163" s="218" t="e">
        <f t="shared" ca="1" si="547"/>
        <v>#N/A</v>
      </c>
      <c r="KE163" s="218" t="e">
        <f t="shared" ca="1" si="548"/>
        <v>#N/A</v>
      </c>
      <c r="KF163" s="218" t="e">
        <f t="shared" ca="1" si="549"/>
        <v>#N/A</v>
      </c>
      <c r="KG163" s="216" t="e">
        <f t="shared" ca="1" si="550"/>
        <v>#N/A</v>
      </c>
      <c r="KH163" s="221" t="e">
        <f ca="1">IF(Control!$B$24=0,1,MAX(0.001,MIN(1,IF(($IF163-$IE163)&lt;&gt;0,($KG163-$IE163)/($IF163-$IE163),1))))</f>
        <v>#N/A</v>
      </c>
      <c r="KI163" s="222" t="e">
        <f ca="1">IF(Control!$C$114=1, $KI162+ $KH162, 0)</f>
        <v>#N/A</v>
      </c>
      <c r="KJ163" s="217" t="e">
        <f t="shared" ca="1" si="551"/>
        <v>#N/A</v>
      </c>
      <c r="KK163" s="218" t="e">
        <f t="shared" ca="1" si="552"/>
        <v>#N/A</v>
      </c>
      <c r="KL163" s="274" t="e">
        <f ca="1">IF(Control!$B$26=3,4000000000*EXP(-8400/($G163+273)),IF(Control!$B$26=4,4000000000*EXP(-8400/($G163+273))*($KT163),0))</f>
        <v>#DIV/0!</v>
      </c>
      <c r="KM163" s="274" t="e">
        <f ca="1">IF(Control!$B$26=3,5600000000000*EXP(-9800/($G163+273)),IF(Control!$B$26=4,5600000000000*EXP(-9800/($G163+273))*$KT163,0))</f>
        <v>#DIV/0!</v>
      </c>
      <c r="KN163" s="454" t="e">
        <f t="shared" ca="1" si="650"/>
        <v>#DIV/0!</v>
      </c>
      <c r="KO163" s="274" t="e">
        <f t="shared" ca="1" si="651"/>
        <v>#DIV/0!</v>
      </c>
      <c r="KP163" s="454" t="e">
        <f t="shared" ca="1" si="553"/>
        <v>#DIV/0!</v>
      </c>
      <c r="KQ163" s="454" t="e">
        <f t="shared" ca="1" si="554"/>
        <v>#DIV/0!</v>
      </c>
      <c r="KR163" s="454" t="e">
        <f t="shared" ca="1" si="555"/>
        <v>#DIV/0!</v>
      </c>
      <c r="KS163" s="454" t="e">
        <f t="shared" ca="1" si="556"/>
        <v>#DIV/0!</v>
      </c>
      <c r="KT163" s="455" t="e">
        <f t="shared" ca="1" si="557"/>
        <v>#DIV/0!</v>
      </c>
      <c r="KU163" s="456" t="e">
        <f ca="1">IF($CP163-Control!$C$149&lt;0, IF($NT163-0.01&lt;0,0,1),0)</f>
        <v>#N/A</v>
      </c>
      <c r="KV163" s="456" t="e">
        <f ca="1">IF(Control!$C$114=1,MAX(0,MIN(Control!$C$125*$KW163*$GN163,$KW163)))</f>
        <v>#DIV/0!</v>
      </c>
      <c r="KW163" s="456" t="e">
        <f t="shared" ca="1" si="684"/>
        <v>#DIV/0!</v>
      </c>
      <c r="KX163" s="457" t="e">
        <f ca="1">IF($CP163-Control!$C$149&lt;0, IF($MR163-$OM163&lt;0,0,1),0)</f>
        <v>#N/A</v>
      </c>
      <c r="KY163" s="167">
        <f t="shared" ca="1" si="652"/>
        <v>159</v>
      </c>
      <c r="KZ163" s="168">
        <f ca="1">1370*(1+0.033*COS(2*Control!$C$138*$AH163/365))</f>
        <v>1328.4389674191634</v>
      </c>
      <c r="LA163" s="169">
        <f t="shared" ca="1" si="653"/>
        <v>0.96966356299928591</v>
      </c>
      <c r="LB163" s="169">
        <f t="shared" ca="1" si="654"/>
        <v>0.39880567380797383</v>
      </c>
      <c r="LC163" s="169">
        <f ca="1">ACOS(-TAN((2*Control!$B$8/360))*TAN(Calculations!$LB163))</f>
        <v>1.6963633091824555</v>
      </c>
      <c r="LD163" s="169">
        <f ca="1">((24*60)/PI())*0.082*$LA163*(($LC163*SIN(Control!$B$8*2*PI()/360))*SIN($LB163)+COS(Control!$B$8*2*PI()/360)*COS($LB163)*SIN($LC163))</f>
        <v>39.433120738386343</v>
      </c>
      <c r="LE163" s="170">
        <f t="shared" ca="1" si="558"/>
        <v>41.02210193037601</v>
      </c>
      <c r="LF163" s="170">
        <f ca="1">SIN(Control!$C$139*Control!$B$8)*SIN($HD163)</f>
        <v>0.30515970994043423</v>
      </c>
      <c r="LG163" s="170">
        <f ca="1">COS(Control!$C$139*Control!$B$8)*COS($HD163)</f>
        <v>0.56762212286346936</v>
      </c>
      <c r="LH163" s="170">
        <f ca="1">12*(1+2*ASIN(MAX(-1,MIN(1,$LF163/$LG163))/Control!$C$138))</f>
        <v>16.127347465296111</v>
      </c>
      <c r="LI163" s="170">
        <f ca="1">12*(1+2*ASIN(MAX(-1,MIN(1,(-SIN(-4*Control!$C$139)+$LF163)/$LG163))/Control!$C$138))</f>
        <v>17.083795454083802</v>
      </c>
      <c r="LJ163" s="168">
        <f ca="1">3600*($LH163*$LF163+24*$LG163*SQRT(1-$LK163*$LK163)/Control!$C$138)</f>
        <v>30879.929704314574</v>
      </c>
      <c r="LK163" s="170">
        <f t="shared" ca="1" si="559"/>
        <v>0.53761067028360798</v>
      </c>
      <c r="LL163" s="170">
        <f t="shared" ca="1" si="560"/>
        <v>0</v>
      </c>
      <c r="LM163" s="171">
        <f ca="1">Control!$C$145*$AB163</f>
        <v>6.6660906138995932E-2</v>
      </c>
      <c r="LN163" s="170">
        <f t="shared" ca="1" si="655"/>
        <v>0.54</v>
      </c>
      <c r="LO163" s="170">
        <f t="shared" ca="1" si="561"/>
        <v>0</v>
      </c>
      <c r="LP163" s="170">
        <f ca="1">Control!$C$140*((($D163+273.16)^4+($E163+273.16)^4)/2)*(0.34-0.14*SQRT($Y163))*(1.35*$AQ163/(0.75*$LD163)-0.35)</f>
        <v>-3.2464704755046001</v>
      </c>
      <c r="LQ163" s="170">
        <f ca="1">Control!$C$140*($G163+273)^4*(0.56-0.079*SQRT($Y163*10))*(0.1+0.9*$LO163)</f>
        <v>1.5241745131704001</v>
      </c>
      <c r="LR163" s="170">
        <f ca="1">$AQ163*(1-Control!$C$142)-$LQ163</f>
        <v>-1.5241745131704001</v>
      </c>
      <c r="LS163" s="170">
        <f ca="1">$AQ163*(1-Control!$C$143)-$LQ163</f>
        <v>-1.5241745131704001</v>
      </c>
      <c r="LT163" s="170">
        <f ca="1">$AQ163*(1-Control!$C$144)-$LQ163</f>
        <v>-1.5241745131704001</v>
      </c>
      <c r="LU163" s="169">
        <f ca="1">(1-Control!$C$144)*AQ163-LP163</f>
        <v>3.2464704755046001</v>
      </c>
      <c r="LV163" s="172">
        <f t="shared" ca="1" si="562"/>
        <v>0.79430000000000012</v>
      </c>
      <c r="LW163" s="170">
        <f t="shared" ca="1" si="563"/>
        <v>1.5886000000000002</v>
      </c>
      <c r="LX163" s="170">
        <f ca="1">($AC163*($LR163/Control!$C$141)+$LM163*$LV163)/($AC163+$LM163)</f>
        <v>0.23530094218323697</v>
      </c>
      <c r="LY163" s="170">
        <f ca="1">($AC163*($LS163/Control!$C$141)+$LM163*$LV163)/($AC163+$LM163)</f>
        <v>0.23530094218323697</v>
      </c>
      <c r="LZ163" s="170">
        <f t="shared" ca="1" si="564"/>
        <v>0.23530094218323697</v>
      </c>
      <c r="MA163" s="170">
        <f t="shared" ca="1" si="565"/>
        <v>0.23530094218323697</v>
      </c>
      <c r="MB163" s="170" t="e">
        <f t="shared" ca="1" si="566"/>
        <v>#N/A</v>
      </c>
      <c r="MC163" s="170">
        <f t="shared" ca="1" si="656"/>
        <v>0.6018</v>
      </c>
      <c r="MD163" s="170">
        <f t="shared" ca="1" si="567"/>
        <v>0.52989392535414004</v>
      </c>
      <c r="ME163" s="170">
        <f ca="1">($AC163*($LT163/Control!$C$141)+$LM163*$LW163)/($AC163+$LM163)</f>
        <v>0.71612369323045078</v>
      </c>
      <c r="MF163" s="170" t="e">
        <f ca="1">IF(Control!$B$16&gt;=1000,0.92,IF(AND(720&lt;=Control!$B$16,1000&gt;Control!$B$16),(0.95+(Control!$B$16-720)*((0.92-0.95)/(1000-720))),IF(AND(360&lt;=Control!$B$16,720&gt;Control!$B$16),(1+(Control!$B$16-360)*((0.95-1)/(720-360))),IF(AND(40&lt;=Control!$B$16,360&gt;Control!$B$16),(1.05+(Control!$B$16-40)*((1.05-1)/(360-40)))))))</f>
        <v>#N/A</v>
      </c>
      <c r="MG163" s="170">
        <f t="shared" ca="1" si="568"/>
        <v>0.71612369323045078</v>
      </c>
      <c r="MH163" s="170" t="e">
        <f t="shared" ca="1" si="693"/>
        <v>#N/A</v>
      </c>
      <c r="MI163" s="170" t="e">
        <f t="shared" ca="1" si="693"/>
        <v>#N/A</v>
      </c>
      <c r="MJ163" s="170" t="e">
        <f ca="1">MAX(0.0001, Control!$C$132*$MI163*$DL163)</f>
        <v>#N/A</v>
      </c>
      <c r="MK163" s="170">
        <f ca="1">1/(0.76+1.5*($MG163/10))-(5-Control!$C$110)*0.1</f>
        <v>1.002845988140797</v>
      </c>
      <c r="ML163" s="173">
        <f ca="1">IF(Control!$C$110&lt;3,$MK163+($MG163-0.6)/(Control!$C$110*(Control!$C$110+3)), MAX(0.1, MIN(0.95,$MK163)))</f>
        <v>0.95</v>
      </c>
      <c r="MM163" s="173">
        <f ca="1">IF(Control!$C$110&lt;3,$MK163+(($MI163/10)-0.6)/(Control!$C$110*(Control!$C$110+3)), MAX(0.1, MIN(0.95,$MK163)))</f>
        <v>0.95</v>
      </c>
      <c r="MN163" s="173">
        <f ca="1">(1-$MM163)*(Control!$C$128-Control!$C$127)+Control!$C$127</f>
        <v>0.16</v>
      </c>
      <c r="MO163" s="170" t="e">
        <f ca="1">MAX(0,MIN(1,($MS163-Control!$C$127)/($MN163-Control!$C$127)))</f>
        <v>#DIV/0!</v>
      </c>
      <c r="MP163" s="173" t="e">
        <f ca="1">1/(0.76+1.5*$MI163)-(5-Control!$C$110)*0.1</f>
        <v>#N/A</v>
      </c>
      <c r="MQ163" s="172" t="e">
        <f t="shared" ca="1" si="685"/>
        <v>#DIV/0!</v>
      </c>
      <c r="MR163" s="168" t="e">
        <f t="shared" ca="1" si="657"/>
        <v>#DIV/0!</v>
      </c>
      <c r="MS163" s="173" t="e">
        <f ca="1">MAX(Control!$C$127, MIN(Control!$C$135, $MR163/MAX(0.0001,$CY163)))</f>
        <v>#DIV/0!</v>
      </c>
      <c r="MT163" s="168" t="e">
        <f ca="1">(Control!$C$128-$MS163)*Control!$C$74</f>
        <v>#DIV/0!</v>
      </c>
      <c r="MU163" s="168" t="e">
        <f ca="1">(Control!$C$135-$MS163)*Control!$C$74</f>
        <v>#DIV/0!</v>
      </c>
      <c r="MV163" s="168" t="e">
        <f t="shared" ca="1" si="658"/>
        <v>#DIV/0!</v>
      </c>
      <c r="MW163" s="168" t="e">
        <f t="shared" ca="1" si="659"/>
        <v>#DIV/0!</v>
      </c>
      <c r="MX163" s="171" t="e">
        <f ca="1">MAX(Control!$C$127, MIN(Control!$C$135, $MW163/MAX(0.0001,Control!$C$119-$CY163)))</f>
        <v>#DIV/0!</v>
      </c>
      <c r="MY163" s="54" t="e">
        <f ca="1">IF(Control!$C$114=1, $CX163*$MX163, 0)</f>
        <v>#DIV/0!</v>
      </c>
      <c r="MZ163" s="54" t="e">
        <f t="shared" ca="1" si="660"/>
        <v>#N/A</v>
      </c>
      <c r="NA163" s="168" t="e">
        <f ca="1">(Control!$C$128-$MX163)*(Control!$C$119-Control!$C$74)</f>
        <v>#DIV/0!</v>
      </c>
      <c r="NB163" s="168" t="e">
        <f ca="1">(Control!$C$135-$MX163)*(Control!$C$119-Control!$C$74)</f>
        <v>#DIV/0!</v>
      </c>
      <c r="NC163" s="174" t="e">
        <f t="shared" ca="1" si="661"/>
        <v>#DIV/0!</v>
      </c>
      <c r="ND163" s="54">
        <f ca="1">IF(Control!$C$58=2, IF(OR(Control!$B$218=$AH163,Control!$B$219=$AH163, Control!$B$220=$AH163, Control!$B$221=$AH163, Control!$B$222=$AH163, Control!$B$223=$AH163, Control!$B$224=$AH163, Control!$B$225=$AH163, Control!$B$226=$AH163, Control!$B$227=$AH163, Control!$B$228=$AH163), 1, 0), 0)</f>
        <v>0</v>
      </c>
      <c r="NE163" s="54">
        <f ca="1">IF($ND163=0,0, VLOOKUP($AH163,Control!$B$218:$C$228,2))</f>
        <v>0</v>
      </c>
      <c r="NF163" s="168" t="e">
        <f ca="1">$CY163*(Control!$C$128-Control!$C$127)</f>
        <v>#N/A</v>
      </c>
      <c r="NG163" s="54" t="e">
        <f ca="1">IF(Control!$C$58=2, $NI162-$NJ162, 0)</f>
        <v>#DIV/0!</v>
      </c>
      <c r="NH163" s="54" t="e">
        <f ca="1">IF(AND(Control!$C$58=1, $MS162&lt;= ($MN162+0.02), $I162&lt;10), 0, IF(Control!$C$58=2, $NG162, 0))</f>
        <v>#DIV/0!</v>
      </c>
      <c r="NI163" s="54" t="e">
        <f ca="1">IF(Control!$C$58=2, $NE163+$NH163,0)</f>
        <v>#DIV/0!</v>
      </c>
      <c r="NJ163" s="54" t="e">
        <f ca="1">IF(AND(Control!$C$58=1, $MS163&lt;= ($MN163+0.02), $I163&lt;10), MAX(0, MIN(10, 0.7*($NF163-$MV163))), IF(Control!$C$58=2, MIN(10,$NI163),0))</f>
        <v>#DIV/0!</v>
      </c>
      <c r="NK163" s="54" t="e">
        <f t="shared" ca="1" si="569"/>
        <v>#DIV/0!</v>
      </c>
      <c r="NL163" s="173" t="e">
        <f ca="1">(1-Control!$C$73)*$I163+$NJ163</f>
        <v>#DIV/0!</v>
      </c>
      <c r="NM163" s="172" t="e">
        <f ca="1">IF($NL163&lt;0.5, $MB163* MAX(0, MIN(1, (SQRT($NC163)-SQRT($NC163-1))*Control!$C$71)),0)</f>
        <v>#DIV/0!</v>
      </c>
      <c r="NN163" s="170" t="e">
        <f ca="1">IF($NL163&gt;=5, $MB163, MAX(0,MIN($MB163, $NM163+$NL163,($MS163-Control!$C$129))))</f>
        <v>#DIV/0!</v>
      </c>
      <c r="NO163" s="54">
        <f>IF(Control!$C$133&lt;&gt;1, Control!$C$135-Control!$C$131, 0)</f>
        <v>0.38</v>
      </c>
      <c r="NP163" s="54" t="e">
        <f t="shared" ca="1" si="570"/>
        <v>#DIV/0!</v>
      </c>
      <c r="NQ163" s="173" t="e">
        <f ca="1">MAX(0,MIN(1,(Control!$C$135-$MS163)/(Control!$C$135-$NO163)))</f>
        <v>#DIV/0!</v>
      </c>
      <c r="NR163" s="170" t="e">
        <f ca="1">IF(Control!$C$133&lt;&gt;1, $NQ163+((1-$NP163/4)*(1-$NQ163)),1)</f>
        <v>#DIV/0!</v>
      </c>
      <c r="NS163" s="170" t="e">
        <f ca="1">IF(Control!$B$31=0,$MJ163,MAX(0,MIN($MV163,$MO163*$NR163*$MJ163)))</f>
        <v>#DIV/0!</v>
      </c>
      <c r="NT163" s="170" t="e">
        <f t="shared" ca="1" si="686"/>
        <v>#DIV/0!</v>
      </c>
      <c r="NU163" s="170" t="e">
        <f t="shared" ca="1" si="662"/>
        <v>#N/A</v>
      </c>
      <c r="NV163" s="170" t="e">
        <f t="shared" ca="1" si="571"/>
        <v>#N/A</v>
      </c>
      <c r="NW163" s="175" t="e">
        <f t="shared" ca="1" si="572"/>
        <v>#DIV/0!</v>
      </c>
      <c r="NX163" s="170" t="e">
        <f ca="1">MIN(Control!$C$72+$MU163, $NW163)</f>
        <v>#DIV/0!</v>
      </c>
      <c r="NY163" s="170" t="e">
        <f ca="1">IF($MT163&lt;=$NX163,MIN(Control!$C$72+$NB163,$NX163-$MT163),0)</f>
        <v>#DIV/0!</v>
      </c>
      <c r="NZ163" s="54" t="e">
        <f ca="1">IF(Control!$C$114=1,  $CX163*($MX163-Control!$C$127), 0)</f>
        <v>#DIV/0!</v>
      </c>
      <c r="OA163" s="170" t="e">
        <f t="shared" ca="1" si="573"/>
        <v>#DIV/0!</v>
      </c>
      <c r="OB163" s="170" t="e">
        <f ca="1">IF($NA163 &lt;=$NY163, MIN(Control!$C$72, $NY163-$NA163), 0)</f>
        <v>#DIV/0!</v>
      </c>
      <c r="OC163" s="168" t="e">
        <f t="shared" ca="1" si="574"/>
        <v>#DIV/0!</v>
      </c>
      <c r="OD163" s="168" t="e">
        <f t="shared" ca="1" si="663"/>
        <v>#DIV/0!</v>
      </c>
      <c r="OE163" s="170">
        <f ca="1">Control!$C$73*$I163</f>
        <v>0</v>
      </c>
      <c r="OF163" s="176" t="e">
        <f t="shared" ca="1" si="575"/>
        <v>#DIV/0!</v>
      </c>
      <c r="OG163" s="168" t="e">
        <f t="shared" ca="1" si="576"/>
        <v>#DIV/0!</v>
      </c>
      <c r="OH163" s="168" t="e">
        <f t="shared" ca="1" si="577"/>
        <v>#DIV/0!</v>
      </c>
      <c r="OI163" s="168" t="e">
        <f t="shared" ca="1" si="578"/>
        <v>#DIV/0!</v>
      </c>
      <c r="OJ163" s="168" t="e">
        <f t="shared" ca="1" si="579"/>
        <v>#DIV/0!</v>
      </c>
      <c r="OK163" s="204" t="e">
        <f t="shared" ca="1" si="580"/>
        <v>#DIV/0!</v>
      </c>
      <c r="OL163" s="177">
        <f>Control!$C$127</f>
        <v>0.15</v>
      </c>
      <c r="OM163" s="182" t="e">
        <f t="shared" ca="1" si="581"/>
        <v>#N/A</v>
      </c>
      <c r="ON163" s="177">
        <f>Control!$C$128</f>
        <v>0.35</v>
      </c>
      <c r="OO163" s="182" t="e">
        <f t="shared" ca="1" si="582"/>
        <v>#N/A</v>
      </c>
      <c r="OP163" s="138">
        <f t="shared" ca="1" si="664"/>
        <v>0</v>
      </c>
      <c r="OQ163" s="138" t="e">
        <f t="shared" ca="1" si="687"/>
        <v>#DIV/0!</v>
      </c>
      <c r="OR163" s="138" t="e">
        <f t="shared" ca="1" si="665"/>
        <v>#DIV/0!</v>
      </c>
      <c r="OS163" s="137" t="e">
        <f t="shared" ca="1" si="688"/>
        <v>#DIV/0!</v>
      </c>
      <c r="OT163" s="139" t="e">
        <f t="shared" ca="1" si="689"/>
        <v>#DIV/0!</v>
      </c>
      <c r="OU163" s="138" t="e">
        <f t="shared" ca="1" si="690"/>
        <v>#N/A</v>
      </c>
      <c r="OV163" s="138" t="e">
        <f t="shared" ca="1" si="691"/>
        <v>#DIV/0!</v>
      </c>
      <c r="OW163" s="138" t="e">
        <f t="shared" ca="1" si="666"/>
        <v>#DIV/0!</v>
      </c>
      <c r="OX163" s="138" t="e">
        <f t="shared" ca="1" si="667"/>
        <v>#DIV/0!</v>
      </c>
      <c r="OY163" s="138" t="e">
        <f t="shared" ca="1" si="668"/>
        <v>#DIV/0!</v>
      </c>
      <c r="OZ163" s="138" t="e">
        <f t="shared" ca="1" si="583"/>
        <v>#DIV/0!</v>
      </c>
      <c r="PA163" s="138" t="e">
        <f t="shared" ca="1" si="584"/>
        <v>#DIV/0!</v>
      </c>
      <c r="PB163" s="55">
        <f>IF(Control!$C$61="T", IF(Control!$C$65="F", IF($AH$6-Control!$C$60&lt;0,0,1), IF(365+$AH$6-Control!$C$60&lt;0,0,1)),0)</f>
        <v>0</v>
      </c>
      <c r="PC163" s="55">
        <f ca="1">IF(Control!$C$65="F", IF($AH$6-$HF163&lt;0,0,1), IF(365+$AH$6-$HF163&lt;0,0,1))</f>
        <v>1</v>
      </c>
      <c r="PD163" s="444">
        <f>Control!$C$118</f>
        <v>1500</v>
      </c>
      <c r="PE163" s="180" t="e">
        <f t="shared" ca="1" si="585"/>
        <v>#N/A</v>
      </c>
      <c r="PF163" s="445">
        <f t="shared" ca="1" si="669"/>
        <v>0.71612369323045078</v>
      </c>
      <c r="PT163" s="186"/>
      <c r="PU163" s="186"/>
      <c r="PV163" s="94"/>
      <c r="PW163" s="94"/>
      <c r="PX163" s="94"/>
      <c r="PY163" s="94"/>
      <c r="PZ163" s="94"/>
      <c r="QA163" s="94"/>
      <c r="QB163" s="94"/>
      <c r="QC163" s="94"/>
      <c r="QD163" s="94"/>
      <c r="QE163" s="94"/>
      <c r="QF163" s="94"/>
      <c r="QG163" s="94"/>
      <c r="QH163" s="94"/>
      <c r="QI163" s="94"/>
      <c r="QJ163" s="94"/>
      <c r="QK163" s="94"/>
      <c r="QL163" s="94"/>
      <c r="QM163" s="94"/>
      <c r="QN163" s="94"/>
      <c r="QO163" s="94"/>
      <c r="QP163" s="94"/>
    </row>
    <row r="164" spans="1:458" s="2" customFormat="1" x14ac:dyDescent="0.2">
      <c r="A164" s="395">
        <v>8</v>
      </c>
      <c r="B164" s="396">
        <v>6</v>
      </c>
      <c r="C164" s="387">
        <f ca="1">Weather_data!$B163</f>
        <v>0</v>
      </c>
      <c r="D164" s="388">
        <f ca="1">Weather_data!$F163</f>
        <v>0</v>
      </c>
      <c r="E164" s="388">
        <f ca="1">Weather_data!$E163</f>
        <v>0</v>
      </c>
      <c r="F164" s="388">
        <f t="shared" ca="1" si="586"/>
        <v>0</v>
      </c>
      <c r="G164" s="388">
        <f ca="1">AVERAGE($D164:$E164)+Control!$B$9</f>
        <v>0</v>
      </c>
      <c r="H164" s="388">
        <f ca="1">Weather_data!$G163</f>
        <v>0</v>
      </c>
      <c r="I164" s="388">
        <f ca="1">Weather_data!$I163</f>
        <v>0</v>
      </c>
      <c r="J164" s="388">
        <f ca="1">Weather_data!$H163</f>
        <v>0</v>
      </c>
      <c r="K164" s="389">
        <f ca="1">Weather_data!$D163</f>
        <v>0</v>
      </c>
      <c r="L164" s="388" t="e">
        <f t="shared" ca="1" si="587"/>
        <v>#N/A</v>
      </c>
      <c r="M164" s="388" t="e">
        <f t="shared" ca="1" si="465"/>
        <v>#N/A</v>
      </c>
      <c r="N164" s="388">
        <f t="shared" ca="1" si="466"/>
        <v>-2.9463646531561969E-8</v>
      </c>
      <c r="O164" s="388">
        <f t="shared" ca="1" si="588"/>
        <v>2.9463646531561971E-7</v>
      </c>
      <c r="P164" s="390">
        <v>3</v>
      </c>
      <c r="Q164" s="388">
        <f ca="1">MAX($G164-Control!$C$107,0)</f>
        <v>0</v>
      </c>
      <c r="R164" s="388">
        <f t="shared" ca="1" si="589"/>
        <v>0</v>
      </c>
      <c r="S164" s="388">
        <f t="shared" ca="1" si="467"/>
        <v>0</v>
      </c>
      <c r="T164" s="388">
        <f t="shared" ca="1" si="468"/>
        <v>0</v>
      </c>
      <c r="U164" s="59">
        <f t="shared" ca="1" si="469"/>
        <v>0</v>
      </c>
      <c r="V164" s="391">
        <f ca="1">MAX(0,MIN(Control!$C$100-Control!$C$99,$G164-Control!$C$99)*Control!$C$63)</f>
        <v>0</v>
      </c>
      <c r="W164" s="388">
        <f t="shared" ca="1" si="590"/>
        <v>0</v>
      </c>
      <c r="X164" s="388">
        <f t="shared" ca="1" si="591"/>
        <v>0.6110000000000001</v>
      </c>
      <c r="Y164" s="388">
        <f t="shared" ca="1" si="470"/>
        <v>0</v>
      </c>
      <c r="Z164" s="388">
        <f t="shared" ca="1" si="592"/>
        <v>0.61058800000000002</v>
      </c>
      <c r="AA164" s="388">
        <f t="shared" ca="1" si="471"/>
        <v>0.6018</v>
      </c>
      <c r="AB164" s="388">
        <f ca="1">101.3*EXP(-0.034*Control!$C$66/($G164+273))</f>
        <v>100.69623283836242</v>
      </c>
      <c r="AC164" s="392">
        <f t="shared" ca="1" si="472"/>
        <v>4.3460251046025113E-2</v>
      </c>
      <c r="AD164" s="392">
        <f t="shared" ca="1" si="473"/>
        <v>4.4450382862832649E-2</v>
      </c>
      <c r="AE164" s="388">
        <f t="shared" ca="1" si="474"/>
        <v>0</v>
      </c>
      <c r="AF164" s="388">
        <f ca="1">MAX(0,$G164-Control!$C$92)</f>
        <v>0</v>
      </c>
      <c r="AG164" s="393">
        <f t="shared" ca="1" si="475"/>
        <v>160</v>
      </c>
      <c r="AH164" s="389">
        <f t="shared" ca="1" si="476"/>
        <v>160</v>
      </c>
      <c r="AI164" s="388">
        <f t="shared" ca="1" si="593"/>
        <v>0.39929920881704301</v>
      </c>
      <c r="AJ164" s="388">
        <f ca="1">IF(Control!$C$60&lt;=0,$HH164,$HI164)</f>
        <v>1</v>
      </c>
      <c r="AK164" s="388">
        <f t="shared" ca="1" si="477"/>
        <v>1.377136505683197</v>
      </c>
      <c r="AL164" s="388">
        <f t="shared" ca="1" si="478"/>
        <v>-1.8034185256254888E-18</v>
      </c>
      <c r="AM164" s="388">
        <f t="shared" ca="1" si="479"/>
        <v>1.377136505683197</v>
      </c>
      <c r="AN164" s="388">
        <f t="shared" ca="1" si="480"/>
        <v>0.4010266170752268</v>
      </c>
      <c r="AO164" s="388">
        <f ca="1">-0.10453/COS(Control!$B$8*PI()/180)*COS(AN164)</f>
        <v>-0.15631425622700434</v>
      </c>
      <c r="AP164" s="388">
        <f ca="1">ACOS(AO164-TAN(Control!$B$8*PI()/180)*TAN(AN164))</f>
        <v>2.3448147320576465</v>
      </c>
      <c r="AQ164" s="388">
        <f t="shared" ca="1" si="594"/>
        <v>0</v>
      </c>
      <c r="AR164" s="394">
        <f t="shared" ca="1" si="481"/>
        <v>0</v>
      </c>
      <c r="AS164" s="436">
        <f ca="1">IF(Control!$B$18=2,(IF(OR($AH164=Control!$B$175,$AH164=Control!$B$176,$AH164=Control!$B$177,$AH164=Control!$B$178,$AH164=Control!$B$179,$AH164=Control!$B$180,$AH164=Control!$B$181,$AH164=Control!$B$182,$AH164=Control!$B$183,$AH164=Control!$B$184,$AH164=Control!$B$185),1,0)),0)</f>
        <v>0</v>
      </c>
      <c r="AT164" s="436">
        <f>IF(Control!$B$20=8,IF(AND($AH164&gt;=Control!$B$172,$AH164&lt;=Control!$B$173),1,0),0)</f>
        <v>0</v>
      </c>
      <c r="AU164" s="436">
        <f>IF(Control!$B$20=8,IF($AV163=1,1*$AT164,IF($AT164=1,$AU163+1,$AU163)),0)</f>
        <v>0</v>
      </c>
      <c r="AV164" s="436">
        <f>IF(Control!$B$20=8,IF($AU164&gt;=Control!$B$174,1,0),0)</f>
        <v>0</v>
      </c>
      <c r="AW164" s="436">
        <f ca="1">IF(AND(Control!$B$18=2,Control!$B$171=1), $AV164, $AS164)</f>
        <v>0</v>
      </c>
      <c r="AX164" s="436" t="e">
        <f ca="1">IF(AND(Control!$B$18=1,$EU164&gt;=Control!$B$19),-$AY164,IF(AND(Control!$B$18=2,$AW164=1,$EU164&gt;$DS164),-$AY164, IF(Control!$C$108=0,0, IF(Control!$C$108&lt;&gt;0,1))))</f>
        <v>#N/A</v>
      </c>
      <c r="AY164" s="436" t="e">
        <f t="shared" ca="1" si="595"/>
        <v>#N/A</v>
      </c>
      <c r="AZ164" s="436" t="e">
        <f ca="1">IF(AND(Control!$B$18=1,$EB164&gt;Control!$B$19),$AZ163+1, IF(AND(Control!$B$18=2, $AW164=1, $EB164&gt;$DS164), $AZ163+1,$AZ163))</f>
        <v>#N/A</v>
      </c>
      <c r="BA164" s="587">
        <f>IF(Control!$C$81=0,1,IF($AH164&gt;=Control!$C$82,1,0))</f>
        <v>1</v>
      </c>
      <c r="BB164" s="140" t="e">
        <f ca="1">IF($BA164&gt;$BA163,Control!$C$83,IF($AW164&gt;0,$AW164*Control!$C$84,IF(AND(Control!$B$18=1,EN163&lt;&gt;0),Control!$C$84,0)))</f>
        <v>#N/A</v>
      </c>
      <c r="BC164" s="140" t="e">
        <f t="shared" ca="1" si="596"/>
        <v>#N/A</v>
      </c>
      <c r="BD164" s="140" t="e">
        <f ca="1">BC164*IF(OR($G164&lt;Control!$C$92,$G164&gt;Control!$C$95),0,IF(AND($G164&gt;=Control!$C$92,$G164&lt;=Control!$C$93),$G164-Control!$C$92,IF(AND($G164&gt;Control!$C$93,$G164&lt;=Control!$C$94),Control!$C$93-Control!$C$92,IF(AND($G164&gt;Control!$C$94,$G164&lt;=Control!$C$95),(Control!$C$93-Control!$C$92)*(Control!$C$94-$G164)/(Control!$C$95-Control!$C$94)))))</f>
        <v>#N/A</v>
      </c>
      <c r="BE164" s="140" t="e">
        <f t="shared" ca="1" si="597"/>
        <v>#N/A</v>
      </c>
      <c r="BF164" s="140" t="e">
        <f ca="1">IF($BE164&lt;=Control!$C$86,$BE164,Control!$C$86-$BE164)</f>
        <v>#N/A</v>
      </c>
      <c r="BG164" s="140" t="e">
        <f ca="1">IF(AND($AW164=1,Control!$C$84&lt;9),1,IF($BE164&gt;=Control!$C$86,0,$BC164))</f>
        <v>#N/A</v>
      </c>
      <c r="BH164" s="404" t="e">
        <f ca="1">IF($BG164=0,0,IF($BE164&lt;=Control!$C$86,$BC164*9*($BF164/Control!$C$86),0))</f>
        <v>#N/A</v>
      </c>
      <c r="BI164" s="140" t="e">
        <f ca="1">IF($BG164=1,0,IF($BE164&gt;=Control!$C$86,1,IF(AND($BB164&lt;21,$BB164&gt;=9),1,$BM163)))</f>
        <v>#N/A</v>
      </c>
      <c r="BJ164" s="140" t="e">
        <f ca="1">IF($BF164&lt;0,-$BF164,$BI164*IF(OR($G164&lt;Control!$C$92,$G164&gt;Control!$C$95),0,IF(AND($G164&gt;=Control!$C$92,$G164&lt;=Control!$C$93),$G164-Control!$C$92,IF(AND($G164&gt;Control!$C$93,$G164&lt;=Control!$C$94),Control!$C$93-Control!$C$92,IF(AND($G164&gt;Control!$C$94,$G164&lt;=Control!$C$95),(Control!$C$93-Control!$C$92)*(Control!$C$94-$G164)/(Control!$C$95-Control!$C$94))))))</f>
        <v>#N/A</v>
      </c>
      <c r="BK164" s="140" t="e">
        <f t="shared" ca="1" si="598"/>
        <v>#N/A</v>
      </c>
      <c r="BL164" s="140" t="e">
        <f ca="1">IF($BK164&lt;=Control!$C$87,$BK164,Control!$C$87-$BK164)</f>
        <v>#N/A</v>
      </c>
      <c r="BM164" s="140" t="e">
        <f ca="1">IF(AND($BB164&gt;=9,$BB164&lt;21),1,IF($BK164&gt;=Control!$C$87,0,$BI164))</f>
        <v>#N/A</v>
      </c>
      <c r="BN164" s="404" t="e">
        <f ca="1">IF($BM164=0,0,IF($BK164&lt;=Control!$C$87,$BI164*(9+(21-9)*($BL164/Control!$C$87)),0))</f>
        <v>#N/A</v>
      </c>
      <c r="BO164" s="140" t="e">
        <f ca="1">IF($BM164=1,0,IF($BK164&gt;=Control!$C$87,1,IF(AND($BB164&lt;30,$BB164&gt;=21),1,$BS163)))</f>
        <v>#N/A</v>
      </c>
      <c r="BP164" s="140" t="e">
        <f ca="1">IF($BL164&lt;0,-$BL164,$BO164*IF(OR($G164&lt;Control!$C$92,$G164&gt;Control!$C$95),0,IF(AND($G164&gt;=Control!$C$92,$G164&lt;=Control!$C$93),$G164-Control!$C$92,IF(AND($G164&gt;Control!$C$93,$G164&lt;=Control!$C$94),Control!$C$93-Control!$C$92,IF(AND($G164&gt;Control!$C$94,$G164&lt;=Control!$C$95),(Control!$C$93-Control!$C$92)*(Control!$C$94-$G164)/(Control!$C$95-Control!$C$94))))))</f>
        <v>#N/A</v>
      </c>
      <c r="BQ164" s="140" t="e">
        <f t="shared" ca="1" si="482"/>
        <v>#N/A</v>
      </c>
      <c r="BR164" s="140" t="e">
        <f ca="1">IF($BQ164&lt;=Control!$C$88,$BQ164,Control!$C$88-$BQ164)</f>
        <v>#N/A</v>
      </c>
      <c r="BS164" s="140" t="e">
        <f ca="1">IF(AND($BB164&gt;=21,$BB164&lt;30),1,IF($BQ164&gt;=Control!$C$88,0,$BO164))</f>
        <v>#N/A</v>
      </c>
      <c r="BT164" s="404" t="e">
        <f ca="1">IF($BS164=0,0,IF($BQ164&lt;=Control!$C$88,$BO164*(21+(30-21)*(BR164/Control!$C$88)),0))</f>
        <v>#N/A</v>
      </c>
      <c r="BU164" s="140" t="e">
        <f ca="1">IF(BG164+BM164+BS164=1,0,IF(OR(AND($BB164&lt;60,$BB164&gt;=30),$BQ164&gt;=Control!$C$88),1*$BA164,$BY163))</f>
        <v>#N/A</v>
      </c>
      <c r="BV164" s="140" t="e">
        <f ca="1">IF($BR164&lt;0,-$BR164,$BU164*IF(OR($G164&lt;Control!$C$92,$G164&gt;Control!$C$95),0,IF(AND($G164&gt;=Control!$C$92,$G164&lt;=Control!$C$93),$G164-Control!$C$92,IF(AND($G164&gt;Control!$C$93,$G164&lt;=Control!$C$94),Control!$C$93-Control!$C$92,IF(AND($G164&gt;Control!$C$94,$G164&lt;=Control!$C$95),(Control!$C$93-Control!$C$92)*(Control!$C$94-$G164)/(Control!$C$95-Control!$C$94))))))</f>
        <v>#N/A</v>
      </c>
      <c r="BW164" s="140" t="e">
        <f t="shared" ca="1" si="483"/>
        <v>#N/A</v>
      </c>
      <c r="BX164" s="140" t="e">
        <f ca="1">IF($BW164&lt;=Control!$C$89,$BW164,Control!$C$89-$BW164)</f>
        <v>#N/A</v>
      </c>
      <c r="BY164" s="140" t="e">
        <f ca="1">IF(AND($AJ164&gt;=30,$AJ164&lt;60),1,IF($BW164&gt;=Control!$C$89,0,$BU164))</f>
        <v>#N/A</v>
      </c>
      <c r="BZ164" s="404" t="e">
        <f ca="1">IF($BY164=0,0,IF($BW164&lt;=Control!$C$89,$BU164*(30+(60-30)*(BX164/Control!$C$89)),0))</f>
        <v>#N/A</v>
      </c>
      <c r="CA164" s="140" t="e">
        <f ca="1">IF($BG164+$BM164+$BS164+$BY164=1,0,IF(OR(AND($BB164&lt;65,$BB164&gt;=60),$BW164&gt;=Control!$C$89),1*$BA164,$CE163))</f>
        <v>#N/A</v>
      </c>
      <c r="CB164" s="140" t="e">
        <f ca="1">IF($BX164&lt;0,-$BX164,$CA164*IF(OR($G164&lt;Control!$C$92,$G164&gt;Control!$C$95),0,IF(AND($G164&gt;=Control!$C$92,$G164&lt;=Control!$C$93),$G164-Control!$C$92,IF(AND($G164&gt;Control!$C$93,$G164&lt;=Control!$C$94),Control!$C$93-Control!$C$92,IF(AND($G164&gt;Control!$C$94,$G164&lt;=Control!$C$95),(Control!$C$93-Control!$C$92)*(Control!$C$94-$G164)/(Control!$C$95-Control!$C$94))))))</f>
        <v>#N/A</v>
      </c>
      <c r="CC164" s="140" t="e">
        <f t="shared" ca="1" si="599"/>
        <v>#N/A</v>
      </c>
      <c r="CD164" s="140" t="e">
        <f ca="1">IF($CC164&lt;=Control!$C$90,$CC164,Control!$C$90-$CC164)</f>
        <v>#N/A</v>
      </c>
      <c r="CE164" s="140" t="e">
        <f ca="1">IF(AND($BB164&gt;=60,$BB164&lt;65),1,IF($CC164&gt;=Control!$C$90,0,$CA164))</f>
        <v>#N/A</v>
      </c>
      <c r="CF164" s="404" t="e">
        <f ca="1">IF($CE164=0,0,IF($CC164&lt;=Control!$C$90,$CA164*(60+(65-60)*(CD164/Control!$C$90)),0))</f>
        <v>#N/A</v>
      </c>
      <c r="CG164" s="140" t="e">
        <f ca="1">IF($BG164+$BM164+$BS164+$BY164+$CE164=1,0,IF(OR(AND($BB164&lt;90,$BB164&gt;=65),$CC164&gt;=Control!$C$90),$BA164,$CK163))</f>
        <v>#N/A</v>
      </c>
      <c r="CH164" s="140" t="e">
        <f ca="1">IF($CD164&lt;0,-$CD164,$CG164*IF(OR($G164&lt;Control!$C$92,$G164&gt;Control!$C$95),0,IF(AND($G164&gt;=Control!$C$92,$G164&lt;=Control!$C$93),$G164-Control!$C$92,IF(AND($G164&gt;Control!$C$93,$G164&lt;=Control!$C$94),Control!$C$93-Control!$C$92,IF(AND($G164&gt;Control!$C$94,$G164&lt;=Control!$C$95),(Control!$C$93-Control!$C$92)*(Control!$C$94-$G164)/(Control!$C$95-Control!$C$94))))))</f>
        <v>#N/A</v>
      </c>
      <c r="CI164" s="140" t="e">
        <f t="shared" ca="1" si="600"/>
        <v>#N/A</v>
      </c>
      <c r="CJ164" s="140" t="e">
        <f ca="1">IF($CI164&lt;=Control!$C$91,$CI164,Control!$C$91-$CI164)</f>
        <v>#N/A</v>
      </c>
      <c r="CK164" s="140" t="e">
        <f ca="1">IF(AND($BB164&gt;=65,$BB164&lt;90),1,IF($CI164&gt;=Control!$C$91,0,$CG164))</f>
        <v>#N/A</v>
      </c>
      <c r="CL164" s="404" t="e">
        <f ca="1">IF($CK164=0,0,IF($CI164&lt;=Control!$C$91,$CG164*(65+(90-65)*($CJ164/Control!$C$91)),0))</f>
        <v>#N/A</v>
      </c>
      <c r="CM164" s="140" t="e">
        <f ca="1">IF($BG164+$BM164+$BS164+$BY164+$CE164+$CK164=1,0,IF(OR($BB164&gt;=90,$CI164&gt;=Control!$C$91),$BA164,$CM163))</f>
        <v>#N/A</v>
      </c>
      <c r="CN164" s="140" t="e">
        <f t="shared" ca="1" si="601"/>
        <v>#N/A</v>
      </c>
      <c r="CO164" s="140" t="e">
        <f t="shared" ca="1" si="602"/>
        <v>#N/A</v>
      </c>
      <c r="CP164" s="140" t="e">
        <f t="shared" ca="1" si="603"/>
        <v>#N/A</v>
      </c>
      <c r="CQ164" s="141" t="e">
        <f ca="1">VLOOKUP($CP164,Control!$B$86:$G$91,6)</f>
        <v>#N/A</v>
      </c>
      <c r="CR164" s="141" t="e">
        <f ca="1">(1-$CQ164)*VLOOKUP($CP164,Control!$B$86:$D$91,3)</f>
        <v>#N/A</v>
      </c>
      <c r="CS164" s="141" t="e">
        <f ca="1">(1-$CQ164)*VLOOKUP($CP164,Control!$B$86:$E$91,4)</f>
        <v>#N/A</v>
      </c>
      <c r="CT164" s="141" t="e">
        <f ca="1">(1-$CQ164)*VLOOKUP($CP164,Control!$B$86:$F$91,5)</f>
        <v>#N/A</v>
      </c>
      <c r="CU164" s="141">
        <f t="shared" ca="1" si="604"/>
        <v>0</v>
      </c>
      <c r="CV164" s="583">
        <f t="shared" ca="1" si="605"/>
        <v>0</v>
      </c>
      <c r="CW164" s="142">
        <f t="shared" ca="1" si="606"/>
        <v>160</v>
      </c>
      <c r="CX164" s="612" t="e">
        <f ca="1">IF(Control!$C$114=1,(MIN(Control!$C$120*(IF($NT164-0.01&lt;0,0,1)),Control!$C$119-$CY164)))</f>
        <v>#DIV/0!</v>
      </c>
      <c r="CY164" s="143" t="e">
        <f t="shared" ca="1" si="607"/>
        <v>#N/A</v>
      </c>
      <c r="CZ164" s="144">
        <f t="shared" ca="1" si="484"/>
        <v>0</v>
      </c>
      <c r="DA164" s="144">
        <f t="shared" ca="1" si="485"/>
        <v>0</v>
      </c>
      <c r="DB164" s="144" t="e">
        <f t="shared" ca="1" si="486"/>
        <v>#N/A</v>
      </c>
      <c r="DC164" s="144" t="e">
        <f t="shared" ca="1" si="487"/>
        <v>#N/A</v>
      </c>
      <c r="DD164" s="144" t="e">
        <f t="shared" ca="1" si="692"/>
        <v>#N/A</v>
      </c>
      <c r="DE164" s="143" t="e">
        <f t="shared" ca="1" si="608"/>
        <v>#N/A</v>
      </c>
      <c r="DF164" s="145" t="e">
        <f ca="1">$DR164*EXP(-Control!$C$158*(1-$KH164))</f>
        <v>#N/A</v>
      </c>
      <c r="DG164" s="146" t="e">
        <f ca="1">IF(Control!$C$114=1, $DF164*$EY164, 0)</f>
        <v>#N/A</v>
      </c>
      <c r="DH164" s="147" t="e">
        <f t="shared" ca="1" si="609"/>
        <v>#N/A</v>
      </c>
      <c r="DI164" s="144" t="e">
        <f t="shared" ca="1" si="670"/>
        <v>#N/A</v>
      </c>
      <c r="DJ164" s="147" t="e">
        <f ca="1">$EF164*Control!$C$109</f>
        <v>#N/A</v>
      </c>
      <c r="DK164" s="144" t="e">
        <f t="shared" ca="1" si="610"/>
        <v>#N/A</v>
      </c>
      <c r="DL164" s="144" t="e">
        <f t="shared" ca="1" si="488"/>
        <v>#N/A</v>
      </c>
      <c r="DM164" s="144" t="e">
        <f ca="1">IF(Control!$C$114=1, (1-EXP(-Control!$C$96*$DK164))*$AR164, 0)</f>
        <v>#N/A</v>
      </c>
      <c r="DN164" s="144">
        <f t="shared" ca="1" si="611"/>
        <v>0</v>
      </c>
      <c r="DO164" s="148">
        <f>Control!$C$97</f>
        <v>4</v>
      </c>
      <c r="DP164" s="145" t="e">
        <f t="shared" ca="1" si="612"/>
        <v>#N/A</v>
      </c>
      <c r="DQ164" s="145" t="e">
        <f ca="1">IF(AND($CP164&gt;=0,$CP164&lt;=90),Control!$C$111,Control!$C$111)</f>
        <v>#N/A</v>
      </c>
      <c r="DR164" s="145" t="e">
        <f t="shared" ca="1" si="489"/>
        <v>#N/A</v>
      </c>
      <c r="DS164" s="143" t="e">
        <f ca="1">Control!$B$22/$DR164</f>
        <v>#N/A</v>
      </c>
      <c r="DT164" s="149" t="e">
        <f ca="1">IF(AND(Control!$C$114=1,$KH164&lt;1),$IM164*$DF164, 0)</f>
        <v>#N/A</v>
      </c>
      <c r="DU164" s="144" t="e">
        <f t="shared" ca="1" si="613"/>
        <v>#N/A</v>
      </c>
      <c r="DV164" s="144">
        <f ca="1">IF($G164-Control!$C$107&lt;=0, 0, 0.83*LN(MAX($G164, 3))-0.8924)</f>
        <v>0</v>
      </c>
      <c r="DW164" s="144" t="e">
        <f t="shared" ca="1" si="490"/>
        <v>#N/A</v>
      </c>
      <c r="DX164" s="150" t="e">
        <f ca="1">MAX(0.01*(1+$CU164/Control!$C$102),0.05*($DK164-Control!$C$97)/Control!$C$97)</f>
        <v>#N/A</v>
      </c>
      <c r="DY164" s="151" t="e">
        <f ca="1">IF(Control!$C$114=1, $DI164*$FS164, 0)</f>
        <v>#N/A</v>
      </c>
      <c r="DZ164" s="196" t="e">
        <f t="shared" ca="1" si="614"/>
        <v>#N/A</v>
      </c>
      <c r="EA164" s="152">
        <f t="shared" ca="1" si="615"/>
        <v>160</v>
      </c>
      <c r="EB164" s="153" t="e">
        <f t="shared" ca="1" si="616"/>
        <v>#N/A</v>
      </c>
      <c r="EC164" s="153" t="e">
        <f t="shared" ca="1" si="617"/>
        <v>#N/A</v>
      </c>
      <c r="ED164" s="154" t="e">
        <f ca="1">IF(Control!$C$114=1, $HM164*$FY164-$FD164, 0)</f>
        <v>#DIV/0!</v>
      </c>
      <c r="EE164" s="155" t="e">
        <f ca="1">IF(Control!$C$114=1, $HM164*$FZ164-$FF164, 0)</f>
        <v>#DIV/0!</v>
      </c>
      <c r="EF164" s="153" t="e">
        <f t="shared" ca="1" si="671"/>
        <v>#N/A</v>
      </c>
      <c r="EG164" s="155" t="e">
        <f ca="1">IF(Control!$C$114=1, $GX164*$FW164-$FI164, 0)</f>
        <v>#DIV/0!</v>
      </c>
      <c r="EH164" s="153" t="e">
        <f t="shared" ca="1" si="618"/>
        <v>#N/A</v>
      </c>
      <c r="EI164" s="156" t="e">
        <f t="shared" ca="1" si="619"/>
        <v>#N/A</v>
      </c>
      <c r="EJ164" s="155" t="e">
        <f ca="1">IF(Control!$C$114=1, $HM164*$GB164, 0)</f>
        <v>#DIV/0!</v>
      </c>
      <c r="EK164" s="153" t="e">
        <f t="shared" ca="1" si="672"/>
        <v>#N/A</v>
      </c>
      <c r="EL164" s="153" t="e">
        <f t="shared" ca="1" si="491"/>
        <v>#N/A</v>
      </c>
      <c r="EM164" s="153" t="e">
        <f t="shared" ca="1" si="492"/>
        <v>#N/A</v>
      </c>
      <c r="EN164" s="153" t="e">
        <f ca="1">IF(Control!$C$108=1,IF(AND(Control!$B$18=1,$EB164&gt;=Control!$B$19),$EB164-$DS164,IF(AND(Control!$B$18=2,$AW164=1,$EB164&gt;$DS164),$EB164-$DS164,0)))</f>
        <v>#N/A</v>
      </c>
      <c r="EO164" s="153" t="e">
        <f ca="1">IF(Control!$C$108=1,IF(AND(Control!$B$18=1,$EB164&gt;=Control!$B$19),$EF164,IF(AND(Control!$B$18=2,$AW164=1),$EF164,0)))</f>
        <v>#N/A</v>
      </c>
      <c r="EP164" s="153" t="e">
        <f ca="1">IF(Control!$C$108=1,IF(AND(Control!$B$18=1,$EB164&gt;=Control!$B$19),$EK164,IF(AND(Control!$B$18=2,$AW164=1),$EK164,0)))</f>
        <v>#N/A</v>
      </c>
      <c r="EQ164" s="153" t="e">
        <f t="shared" ca="1" si="620"/>
        <v>#N/A</v>
      </c>
      <c r="ER164" s="153" t="e">
        <f t="shared" ca="1" si="621"/>
        <v>#N/A</v>
      </c>
      <c r="ES164" s="153" t="e">
        <f t="shared" ca="1" si="673"/>
        <v>#N/A</v>
      </c>
      <c r="ET164" s="153" t="e">
        <f t="shared" ca="1" si="674"/>
        <v>#N/A</v>
      </c>
      <c r="EU164" s="153" t="e">
        <f t="shared" ca="1" si="622"/>
        <v>#N/A</v>
      </c>
      <c r="EV164" s="153" t="e">
        <f t="shared" ca="1" si="493"/>
        <v>#N/A</v>
      </c>
      <c r="EW164" s="153" t="e">
        <f t="shared" ca="1" si="494"/>
        <v>#N/A</v>
      </c>
      <c r="EX164" s="153" t="e">
        <f t="shared" ca="1" si="495"/>
        <v>#N/A</v>
      </c>
      <c r="EY164" s="157" t="e">
        <f t="shared" ca="1" si="496"/>
        <v>#DIV/0!</v>
      </c>
      <c r="EZ164" s="154" t="e">
        <f t="shared" ca="1" si="497"/>
        <v>#DIV/0!</v>
      </c>
      <c r="FA164" s="153" t="e">
        <f t="shared" ca="1" si="623"/>
        <v>#N/A</v>
      </c>
      <c r="FB164" s="153" t="e">
        <f t="shared" ca="1" si="498"/>
        <v>#N/A</v>
      </c>
      <c r="FC164" s="193" t="e">
        <f t="shared" ca="1" si="499"/>
        <v>#N/A</v>
      </c>
      <c r="FD164" s="158" t="e">
        <f t="shared" ca="1" si="624"/>
        <v>#N/A</v>
      </c>
      <c r="FE164" s="158" t="e">
        <f t="shared" ca="1" si="625"/>
        <v>#N/A</v>
      </c>
      <c r="FF164" s="159" t="e">
        <f t="shared" ca="1" si="500"/>
        <v>#N/A</v>
      </c>
      <c r="FG164" s="160" t="e">
        <f t="shared" ca="1" si="626"/>
        <v>#N/A</v>
      </c>
      <c r="FH164" s="158" t="e">
        <f t="shared" ca="1" si="627"/>
        <v>#N/A</v>
      </c>
      <c r="FI164" s="159" t="e">
        <f t="shared" ca="1" si="501"/>
        <v>#N/A</v>
      </c>
      <c r="FJ164" s="160" t="e">
        <f t="shared" ca="1" si="628"/>
        <v>#N/A</v>
      </c>
      <c r="FK164" s="160" t="e">
        <f t="shared" ca="1" si="502"/>
        <v>#N/A</v>
      </c>
      <c r="FL164" s="160" t="e">
        <f t="shared" ca="1" si="675"/>
        <v>#N/A</v>
      </c>
      <c r="FM164" s="160" t="e">
        <f t="shared" ca="1" si="503"/>
        <v>#N/A</v>
      </c>
      <c r="FN164" s="158">
        <f t="shared" ca="1" si="629"/>
        <v>0.01</v>
      </c>
      <c r="FO164" s="160">
        <f>Control!$C$101</f>
        <v>50</v>
      </c>
      <c r="FP164" s="150" t="e">
        <f t="shared" ca="1" si="504"/>
        <v>#N/A</v>
      </c>
      <c r="FQ164" s="150" t="e">
        <f ca="1">MAX(0,(Control!$C$112*(($DK164-Control!$C$97)/Control!$C$97)))</f>
        <v>#N/A</v>
      </c>
      <c r="FR164" s="150" t="e">
        <f ca="1">(1-$NT164)*Control!$C$113</f>
        <v>#DIV/0!</v>
      </c>
      <c r="FS164" s="198" t="e">
        <f t="shared" ca="1" si="505"/>
        <v>#N/A</v>
      </c>
      <c r="FT164" s="161">
        <f t="shared" ca="1" si="630"/>
        <v>160</v>
      </c>
      <c r="FU164" s="162" t="e">
        <f ca="1">IF(Control!$B$34=1,VLOOKUP($CP164,Control!$B$86:$G$91,6),Control!$B$35)</f>
        <v>#N/A</v>
      </c>
      <c r="FV164" s="162" t="e">
        <f t="shared" ca="1" si="506"/>
        <v>#DIV/0!</v>
      </c>
      <c r="FW164" s="162" t="e">
        <f ca="1">IF(Control!$B$31=1,$FU164*$FV164,  $FU164)</f>
        <v>#N/A</v>
      </c>
      <c r="FX164" s="162" t="e">
        <f ca="1">IF(Control!$B$34=1,VLOOKUP($CP164,Control!$B$86:$G$91,3),Control!$B$36)</f>
        <v>#N/A</v>
      </c>
      <c r="FY164" s="162" t="e">
        <f t="shared" ca="1" si="507"/>
        <v>#N/A</v>
      </c>
      <c r="FZ164" s="162" t="e">
        <f ca="1">IF(Control!$B$34=1,VLOOKUP($CP164,Control!$B$86:$G$91,4),Control!$B$37)</f>
        <v>#N/A</v>
      </c>
      <c r="GA164" s="162" t="e">
        <f t="shared" ca="1" si="508"/>
        <v>#N/A</v>
      </c>
      <c r="GB164" s="162" t="e">
        <f ca="1">IF(Control!$B$34=1,VLOOKUP($CP164,Control!$B$86:$G$91,5),Control!$B$38)</f>
        <v>#N/A</v>
      </c>
      <c r="GC164" s="162" t="e">
        <f t="shared" ca="1" si="631"/>
        <v>#N/A</v>
      </c>
      <c r="GD164" s="162">
        <f t="shared" ca="1" si="509"/>
        <v>1</v>
      </c>
      <c r="GE164" s="162">
        <f t="shared" ca="1" si="510"/>
        <v>1</v>
      </c>
      <c r="GF164" s="162">
        <f ca="1">IF(AND(Control!$C$104=1, Control!$C$62="F"),$GE164,1)</f>
        <v>1</v>
      </c>
      <c r="GG164" s="162" t="e">
        <f ca="1">IF(Control!$B$16=40,0,IF(AND(Control!$B$16&gt;40,Control!$B$16&lt;=360),(Control!$B$16-40)*((1-0)/(360-40)),IF(AND(Control!$B$16&gt;360,Control!$B$16&lt;=720),(1+(Control!$B$16-360)*((1.25-1)/(720-360))),IF(AND(Control!$B$16&gt;720,Control!$B$16&lt;=1000),(1.25+(Control!$B$16-720)*((1.35-1.25)/(1000-720))),IF(AND(Control!$B$16&gt;1000,Control!$B$16&lt;=2000),(1.35+(Control!$B$16-1000)*0))))))</f>
        <v>#N/A</v>
      </c>
      <c r="GH164" s="162" t="e">
        <f t="shared" ca="1" si="511"/>
        <v>#N/A</v>
      </c>
      <c r="GI164" s="162">
        <f t="shared" ca="1" si="632"/>
        <v>0</v>
      </c>
      <c r="GJ164" s="162">
        <f t="shared" ca="1" si="512"/>
        <v>0</v>
      </c>
      <c r="GK164" s="162">
        <f t="shared" ca="1" si="633"/>
        <v>1</v>
      </c>
      <c r="GL164" s="162">
        <f t="shared" ca="1" si="513"/>
        <v>1</v>
      </c>
      <c r="GM164" s="162" t="e">
        <f ca="1">MAX(0,MIN(1,1-Control!$C$156*(1.0001-$KH164)^2))</f>
        <v>#N/A</v>
      </c>
      <c r="GN164" s="162" t="e">
        <f ca="1">IF(Control!$B$26=1,$KU164,$KX164)</f>
        <v>#N/A</v>
      </c>
      <c r="GO164" s="162" t="e">
        <f ca="1">IF($CP164&lt;=60,Control!$C$105,IF($CP164&gt;=90,Control!$C$106,Control!$C$105+($CP164-60)*((Control!$C$106-Control!$C$105)/(90-60))))</f>
        <v>#N/A</v>
      </c>
      <c r="GP164" s="162" t="e">
        <f t="shared" ca="1" si="514"/>
        <v>#N/A</v>
      </c>
      <c r="GQ164" s="162" t="e">
        <f t="shared" ca="1" si="634"/>
        <v>#N/A</v>
      </c>
      <c r="GR164" s="163" t="e">
        <f t="shared" ca="1" si="515"/>
        <v>#DIV/0!</v>
      </c>
      <c r="GS164" s="162" t="e">
        <f t="shared" ca="1" si="516"/>
        <v>#DIV/0!</v>
      </c>
      <c r="GT164" s="164" t="e">
        <f t="shared" ca="1" si="635"/>
        <v>#N/A</v>
      </c>
      <c r="GU164" s="162" t="e">
        <f t="shared" ca="1" si="636"/>
        <v>#N/A</v>
      </c>
      <c r="GV164" s="162" t="e">
        <f t="shared" ca="1" si="517"/>
        <v>#N/A</v>
      </c>
      <c r="GW164" s="162" t="e">
        <f t="shared" ca="1" si="518"/>
        <v>#DIV/0!</v>
      </c>
      <c r="GX164" s="162" t="e">
        <f t="shared" ca="1" si="637"/>
        <v>#DIV/0!</v>
      </c>
      <c r="GY164" s="162" t="e">
        <f t="shared" ca="1" si="638"/>
        <v>#DIV/0!</v>
      </c>
      <c r="GZ164" s="165" t="e">
        <f t="shared" ca="1" si="519"/>
        <v>#N/A</v>
      </c>
      <c r="HA164" s="162" t="e">
        <f ca="1">IF(Control!$C$114=1, $DI164*$FS164, 0)</f>
        <v>#N/A</v>
      </c>
      <c r="HB164" s="162" t="e">
        <f ca="1">$FA164/Control!$C$64</f>
        <v>#N/A</v>
      </c>
      <c r="HC164" s="162" t="e">
        <f t="shared" ca="1" si="520"/>
        <v>#DIV/0!</v>
      </c>
      <c r="HD164" s="162">
        <f ca="1">-ASIN(SIN(23.45*Control!$C$139)*COS(2*Control!$C$138*($AH164+10)/365))</f>
        <v>0.39929920881704301</v>
      </c>
      <c r="HE164" s="165">
        <f t="shared" ca="1" si="639"/>
        <v>0</v>
      </c>
      <c r="HF164" s="166">
        <f ca="1">IF(AND(Control!$C$61="T",$HE164&gt;=Control!$C$103,Control!$C$114=0),$AH164,Control!$C$59)</f>
        <v>1</v>
      </c>
      <c r="HG164" s="166">
        <f ca="1">IF(AND(Control!$C$61="T",$HE164&gt;=Control!$C$103,Control!$C$114=0),$HF164,Control!$C$59)</f>
        <v>1</v>
      </c>
      <c r="HH164" s="165">
        <f ca="1">IF(AND(OR(Control!$C$60&lt;=0, $AH164= Control!$C$59, Control!$C$60 &gt;0, $AH164 = Control!$C$60)), Control!$C$59, IF(Control!$C$60&gt;0, 0))</f>
        <v>1</v>
      </c>
      <c r="HI164" s="165">
        <f ca="1">IF(AND(OR(Control!$C$60&lt;=0, $AH164= Control!$C$59, Control!$C$60 &gt;0, $AH164 = Control!$C$60)), Control!$C$60, IF(Control!$C$60&lt;=0, 0))</f>
        <v>0</v>
      </c>
      <c r="HJ164" s="166">
        <f ca="1">IF(AND(Control!$C$62="F",$CV164&gt;=Control!$C$102),$AH164,0)</f>
        <v>0</v>
      </c>
      <c r="HK164" s="165" t="e">
        <f t="shared" ca="1" si="676"/>
        <v>#N/A</v>
      </c>
      <c r="HL164" s="166">
        <f ca="1">IF(AND(Control!$C$61="T",$HE164&gt;=Control!$C$103,Control!$C$114=0),$HF164,0)</f>
        <v>0</v>
      </c>
      <c r="HM164" s="201" t="e">
        <f t="shared" ca="1" si="521"/>
        <v>#DIV/0!</v>
      </c>
      <c r="HN164" s="215">
        <f t="shared" ca="1" si="640"/>
        <v>160</v>
      </c>
      <c r="HO164" s="216" t="e">
        <f ca="1">IF(AND($CP164&gt;=0, $CP164&lt;=90), Control!$C$152, Control!$C$152)</f>
        <v>#N/A</v>
      </c>
      <c r="HP164" s="216" t="e">
        <f t="shared" ca="1" si="522"/>
        <v>#N/A</v>
      </c>
      <c r="HQ164" s="217" t="e">
        <f ca="1">IF(OR(Control!$B$26=1,Control!$B$26=2),$KV164,$KS164)</f>
        <v>#DIV/0!</v>
      </c>
      <c r="HR164" s="218" t="e">
        <f t="shared" ca="1" si="677"/>
        <v>#DIV/0!</v>
      </c>
      <c r="HS164" s="216" t="e">
        <f ca="1">Control!$C$154*$HP164</f>
        <v>#N/A</v>
      </c>
      <c r="HT164" s="216" t="e">
        <f ca="1">Control!$C$155*$HP164</f>
        <v>#N/A</v>
      </c>
      <c r="HU164" s="217" t="e">
        <f ca="1">Control!$C$161*$FI164</f>
        <v>#N/A</v>
      </c>
      <c r="HV164" s="218" t="e">
        <f t="shared" ca="1" si="641"/>
        <v>#N/A</v>
      </c>
      <c r="HW164" s="218" t="e">
        <f ca="1">Control!$C$160*$FF164+$IP164*$EO164</f>
        <v>#N/A</v>
      </c>
      <c r="HX164" s="218" t="e">
        <f t="shared" ca="1" si="678"/>
        <v>#N/A</v>
      </c>
      <c r="HY164" s="219" t="e">
        <f ca="1">IF(Control!$C$114=1, $EB164*$FS164, 0)</f>
        <v>#N/A</v>
      </c>
      <c r="HZ164" s="91" t="e">
        <f t="shared" ca="1" si="523"/>
        <v>#N/A</v>
      </c>
      <c r="IA164" s="220" t="e">
        <f ca="1">Control!$C$153*$HO164</f>
        <v>#N/A</v>
      </c>
      <c r="IB164" s="218" t="e">
        <f t="shared" ca="1" si="524"/>
        <v>#N/A</v>
      </c>
      <c r="IC164" s="220" t="e">
        <f ca="1">Control!$C$153*$HT164</f>
        <v>#N/A</v>
      </c>
      <c r="ID164" s="218" t="e">
        <f t="shared" ca="1" si="525"/>
        <v>#N/A</v>
      </c>
      <c r="IE164" s="221" t="e">
        <f ca="1">($EB164*Control!$C$159+$EF164*Control!$C$160)/(IF($GZ164&lt;&gt;0,$GZ164,1))</f>
        <v>#N/A</v>
      </c>
      <c r="IF164" s="216" t="e">
        <f t="shared" ca="1" si="526"/>
        <v>#N/A</v>
      </c>
      <c r="IG164" s="91">
        <f ca="1">IF(OR(Control!$B$198=$AH164,Control!$B$199=$AH164, Control!$B$200=$AH164, Control!$B$201=$AH164, Control!$B$202=$AH164, Control!$B$203=$AH164, Control!$B$204=$AH164, Control!$B$205=$AH164, Control!$B$206=$AH164, Control!$B$207=$AH164), 1, 0)</f>
        <v>0</v>
      </c>
      <c r="IH164" s="91">
        <f ca="1">IF($IG164=0,0, VLOOKUP($AH164,Control!$B$198:$C$207,2))</f>
        <v>0</v>
      </c>
      <c r="II164" s="222">
        <f t="shared" ca="1" si="642"/>
        <v>0</v>
      </c>
      <c r="IJ164" s="91">
        <f>Control!$C$121</f>
        <v>0.7</v>
      </c>
      <c r="IK164" s="218">
        <f t="shared" ca="1" si="527"/>
        <v>0</v>
      </c>
      <c r="IL164" s="217" t="e">
        <f t="shared" ca="1" si="679"/>
        <v>#N/A</v>
      </c>
      <c r="IM164" s="223" t="e">
        <f ca="1">IF(AND(Control!$C$114=1,$KH164&lt;1),$EB164*Control!$C$148*(1-$KH164), 0)</f>
        <v>#N/A</v>
      </c>
      <c r="IN164" s="217" t="e">
        <f t="shared" ca="1" si="528"/>
        <v>#DIV/0!</v>
      </c>
      <c r="IO164" s="91" t="e">
        <f ca="1">MAX(0,$IL164-$EF164*Control!$C$160)</f>
        <v>#N/A</v>
      </c>
      <c r="IP164" s="220" t="e">
        <f t="shared" ca="1" si="529"/>
        <v>#N/A</v>
      </c>
      <c r="IQ164" s="217" t="e">
        <f t="shared" ca="1" si="643"/>
        <v>#N/A</v>
      </c>
      <c r="IR164" s="218" t="e">
        <f t="shared" ca="1" si="530"/>
        <v>#N/A</v>
      </c>
      <c r="IS164" s="217" t="e">
        <f ca="1">Control!$C$159*MAX(0,$FD164-$EN164)</f>
        <v>#N/A</v>
      </c>
      <c r="IT164" s="217" t="e">
        <f t="shared" ca="1" si="680"/>
        <v>#N/A</v>
      </c>
      <c r="IU164" s="217" t="e">
        <f t="shared" ca="1" si="644"/>
        <v>#N/A</v>
      </c>
      <c r="IV164" s="217" t="e">
        <f t="shared" ca="1" si="681"/>
        <v>#N/A</v>
      </c>
      <c r="IW164" s="217" t="e">
        <f ca="1">IF(OR($AW164=1,AND($AW164=0, Control!$B$18=1,$EN164&lt;&gt;0)), $IQ164-$IU164, $IQ164)</f>
        <v>#N/A</v>
      </c>
      <c r="IX164" s="218" t="e">
        <f t="shared" ca="1" si="531"/>
        <v>#N/A</v>
      </c>
      <c r="IY164" s="218" t="e">
        <f ca="1">MAX(0,$IQ164-$EB164*Control!$C$159)</f>
        <v>#N/A</v>
      </c>
      <c r="IZ164" s="218" t="e">
        <f t="shared" ca="1" si="532"/>
        <v>#N/A</v>
      </c>
      <c r="JA164" s="216" t="e">
        <f t="shared" ca="1" si="533"/>
        <v>#N/A</v>
      </c>
      <c r="JB164" s="217" t="e">
        <f t="shared" ca="1" si="534"/>
        <v>#N/A</v>
      </c>
      <c r="JC164" s="222" t="e">
        <f ca="1">MAX(Control!$C$157*$EK164-$JT164, 0)/Control!$C$162</f>
        <v>#N/A</v>
      </c>
      <c r="JD164" s="218" t="e">
        <f t="shared" ca="1" si="535"/>
        <v>#N/A</v>
      </c>
      <c r="JE164" s="218" t="e">
        <f t="shared" ca="1" si="536"/>
        <v>#N/A</v>
      </c>
      <c r="JF164" s="218" t="e">
        <f t="shared" ca="1" si="645"/>
        <v>#N/A</v>
      </c>
      <c r="JG164" s="218" t="e">
        <f t="shared" ca="1" si="537"/>
        <v>#N/A</v>
      </c>
      <c r="JH164" s="217" t="e">
        <f t="shared" ca="1" si="646"/>
        <v>#N/A</v>
      </c>
      <c r="JI164" s="217" t="e">
        <f t="shared" ca="1" si="647"/>
        <v>#N/A</v>
      </c>
      <c r="JJ164" s="217" t="e">
        <f t="shared" ca="1" si="682"/>
        <v>#N/A</v>
      </c>
      <c r="JK164" s="217" t="e">
        <f ca="1">IF(Control!$C$114=1,IF(Control!$B$24=0,MAX(0,$JI164)*$GN164/Control!$C$64,(MAX(0,MIN($JI164,$JJ164*$GN164/Control!$C$64),0))))</f>
        <v>#N/A</v>
      </c>
      <c r="JL164" s="217" t="e">
        <f ca="1">$IK164/Control!$C$64-$JK164+$HQ164</f>
        <v>#N/A</v>
      </c>
      <c r="JM164" s="217" t="e">
        <f ca="1">IF(Control!$C$114=1,($JB164/(IF($JI164&lt;&gt;0,$JI164,1)))*$JK164,0)</f>
        <v>#N/A</v>
      </c>
      <c r="JN164" s="217" t="e">
        <f ca="1">IF(Control!$C$114=1,($JG164/(IF($JI164&lt;&gt;0,$JI164,1)))*$JK164, 0)</f>
        <v>#N/A</v>
      </c>
      <c r="JO164" s="218" t="e">
        <f t="shared" ca="1" si="538"/>
        <v>#N/A</v>
      </c>
      <c r="JP164" s="218" t="e">
        <f ca="1">MIN(($IY164+$IO164)*Control!$C$151, $JF164-$EH164*Control!$C$161)</f>
        <v>#N/A</v>
      </c>
      <c r="JQ164" s="218" t="e">
        <f t="shared" ca="1" si="539"/>
        <v>#N/A</v>
      </c>
      <c r="JR164" s="217" t="e">
        <f ca="1">IF($CP164-Control!$C$150&lt;0, 0, $JQ164/Control!$C$162)</f>
        <v>#N/A</v>
      </c>
      <c r="JS164" s="218" t="e">
        <f t="shared" ca="1" si="540"/>
        <v>#N/A</v>
      </c>
      <c r="JT164" s="218" t="e">
        <f t="shared" ca="1" si="648"/>
        <v>#N/A</v>
      </c>
      <c r="JU164" s="218" t="e">
        <f t="shared" ca="1" si="541"/>
        <v>#N/A</v>
      </c>
      <c r="JV164" s="218" t="e">
        <f t="shared" ca="1" si="542"/>
        <v>#N/A</v>
      </c>
      <c r="JW164" s="216" t="e">
        <f t="shared" ca="1" si="543"/>
        <v>#N/A</v>
      </c>
      <c r="JX164" s="91" t="e">
        <f t="shared" ca="1" si="544"/>
        <v>#N/A</v>
      </c>
      <c r="JY164" s="218" t="e">
        <f t="shared" ca="1" si="545"/>
        <v>#N/A</v>
      </c>
      <c r="JZ164" s="217" t="e">
        <f ca="1">IF(Control!$C$114=1,($IZ164/(IF($JI164&lt;&gt;0,$JI164,1)))*$JK164, 0)</f>
        <v>#N/A</v>
      </c>
      <c r="KA164" s="218" t="e">
        <f t="shared" ca="1" si="683"/>
        <v>#N/A</v>
      </c>
      <c r="KB164" s="218" t="e">
        <f t="shared" ca="1" si="649"/>
        <v>#N/A</v>
      </c>
      <c r="KC164" s="218" t="e">
        <f t="shared" ca="1" si="546"/>
        <v>#N/A</v>
      </c>
      <c r="KD164" s="218" t="e">
        <f t="shared" ca="1" si="547"/>
        <v>#N/A</v>
      </c>
      <c r="KE164" s="218" t="e">
        <f t="shared" ca="1" si="548"/>
        <v>#N/A</v>
      </c>
      <c r="KF164" s="218" t="e">
        <f t="shared" ca="1" si="549"/>
        <v>#N/A</v>
      </c>
      <c r="KG164" s="216" t="e">
        <f t="shared" ca="1" si="550"/>
        <v>#N/A</v>
      </c>
      <c r="KH164" s="221" t="e">
        <f ca="1">IF(Control!$B$24=0,1,MAX(0.001,MIN(1,IF(($IF164-$IE164)&lt;&gt;0,($KG164-$IE164)/($IF164-$IE164),1))))</f>
        <v>#N/A</v>
      </c>
      <c r="KI164" s="222" t="e">
        <f ca="1">IF(Control!$C$114=1, $KI163+ $KH163, 0)</f>
        <v>#N/A</v>
      </c>
      <c r="KJ164" s="217" t="e">
        <f t="shared" ca="1" si="551"/>
        <v>#N/A</v>
      </c>
      <c r="KK164" s="218" t="e">
        <f t="shared" ca="1" si="552"/>
        <v>#N/A</v>
      </c>
      <c r="KL164" s="274" t="e">
        <f ca="1">IF(Control!$B$26=3,4000000000*EXP(-8400/($G164+273)),IF(Control!$B$26=4,4000000000*EXP(-8400/($G164+273))*($KT164),0))</f>
        <v>#DIV/0!</v>
      </c>
      <c r="KM164" s="274" t="e">
        <f ca="1">IF(Control!$B$26=3,5600000000000*EXP(-9800/($G164+273)),IF(Control!$B$26=4,5600000000000*EXP(-9800/($G164+273))*$KT164,0))</f>
        <v>#DIV/0!</v>
      </c>
      <c r="KN164" s="454" t="e">
        <f t="shared" ca="1" si="650"/>
        <v>#DIV/0!</v>
      </c>
      <c r="KO164" s="274" t="e">
        <f t="shared" ca="1" si="651"/>
        <v>#DIV/0!</v>
      </c>
      <c r="KP164" s="454" t="e">
        <f t="shared" ca="1" si="553"/>
        <v>#DIV/0!</v>
      </c>
      <c r="KQ164" s="454" t="e">
        <f t="shared" ca="1" si="554"/>
        <v>#DIV/0!</v>
      </c>
      <c r="KR164" s="454" t="e">
        <f t="shared" ca="1" si="555"/>
        <v>#DIV/0!</v>
      </c>
      <c r="KS164" s="454" t="e">
        <f t="shared" ca="1" si="556"/>
        <v>#DIV/0!</v>
      </c>
      <c r="KT164" s="455" t="e">
        <f t="shared" ca="1" si="557"/>
        <v>#DIV/0!</v>
      </c>
      <c r="KU164" s="456" t="e">
        <f ca="1">IF($CP164-Control!$C$149&lt;0, IF($NT164-0.01&lt;0,0,1),0)</f>
        <v>#N/A</v>
      </c>
      <c r="KV164" s="456" t="e">
        <f ca="1">IF(Control!$C$114=1,MAX(0,MIN(Control!$C$125*$KW164*$GN164,$KW164)))</f>
        <v>#DIV/0!</v>
      </c>
      <c r="KW164" s="456" t="e">
        <f t="shared" ca="1" si="684"/>
        <v>#DIV/0!</v>
      </c>
      <c r="KX164" s="457" t="e">
        <f ca="1">IF($CP164-Control!$C$149&lt;0, IF($MR164-$OM164&lt;0,0,1),0)</f>
        <v>#N/A</v>
      </c>
      <c r="KY164" s="167">
        <f t="shared" ca="1" si="652"/>
        <v>160</v>
      </c>
      <c r="KZ164" s="168">
        <f ca="1">1370*(1+0.033*COS(2*Control!$C$138*$AH164/365))</f>
        <v>1328.1388308415985</v>
      </c>
      <c r="LA164" s="169">
        <f t="shared" ca="1" si="653"/>
        <v>0.96944448235260294</v>
      </c>
      <c r="LB164" s="169">
        <f t="shared" ca="1" si="654"/>
        <v>0.4003086484427128</v>
      </c>
      <c r="LC164" s="169">
        <f ca="1">ACOS(-TAN((2*Control!$B$8/360))*TAN(Calculations!$LB164))</f>
        <v>1.6968938431859957</v>
      </c>
      <c r="LD164" s="169">
        <f ca="1">((24*60)/PI())*0.082*$LA164*(($LC164*SIN(Control!$B$8*2*PI()/360))*SIN($LB164)+COS(Control!$B$8*2*PI()/360)*COS($LB164)*SIN($LC164))</f>
        <v>39.483200150435714</v>
      </c>
      <c r="LE164" s="170">
        <f t="shared" ca="1" si="558"/>
        <v>41.088361329245551</v>
      </c>
      <c r="LF164" s="170">
        <f ca="1">SIN(Control!$C$139*Control!$B$8)*SIN($HD164)</f>
        <v>0.30635763563352647</v>
      </c>
      <c r="LG164" s="170">
        <f ca="1">COS(Control!$C$139*Control!$B$8)*COS($HD164)</f>
        <v>0.56722810493783027</v>
      </c>
      <c r="LH164" s="170">
        <f ca="1">12*(1+2*ASIN(MAX(-1,MIN(1,$LF164/$LG164))/Control!$C$138))</f>
        <v>16.146619617708325</v>
      </c>
      <c r="LI164" s="170">
        <f ca="1">12*(1+2*ASIN(MAX(-1,MIN(1,(-SIN(-4*Control!$C$139)+$LF164)/$LG164))/Control!$C$138))</f>
        <v>17.103884936723482</v>
      </c>
      <c r="LJ164" s="168">
        <f ca="1">3600*($LH164*$LF164+24*$LG164*SQRT(1-$LK164*$LK164)/Control!$C$138)</f>
        <v>30936.796948560859</v>
      </c>
      <c r="LK164" s="170">
        <f t="shared" ca="1" si="559"/>
        <v>0.54009600893648257</v>
      </c>
      <c r="LL164" s="170">
        <f t="shared" ca="1" si="560"/>
        <v>0</v>
      </c>
      <c r="LM164" s="171">
        <f ca="1">Control!$C$145*$AB164</f>
        <v>6.6660906138995932E-2</v>
      </c>
      <c r="LN164" s="170">
        <f t="shared" ca="1" si="655"/>
        <v>0.54</v>
      </c>
      <c r="LO164" s="170">
        <f t="shared" ca="1" si="561"/>
        <v>0</v>
      </c>
      <c r="LP164" s="170">
        <f ca="1">Control!$C$140*((($D164+273.16)^4+($E164+273.16)^4)/2)*(0.34-0.14*SQRT($Y164))*(1.35*$AQ164/(0.75*$LD164)-0.35)</f>
        <v>-3.2464704755046001</v>
      </c>
      <c r="LQ164" s="170">
        <f ca="1">Control!$C$140*($G164+273)^4*(0.56-0.079*SQRT($Y164*10))*(0.1+0.9*$LO164)</f>
        <v>1.5241745131704001</v>
      </c>
      <c r="LR164" s="170">
        <f ca="1">$AQ164*(1-Control!$C$142)-$LQ164</f>
        <v>-1.5241745131704001</v>
      </c>
      <c r="LS164" s="170">
        <f ca="1">$AQ164*(1-Control!$C$143)-$LQ164</f>
        <v>-1.5241745131704001</v>
      </c>
      <c r="LT164" s="170">
        <f ca="1">$AQ164*(1-Control!$C$144)-$LQ164</f>
        <v>-1.5241745131704001</v>
      </c>
      <c r="LU164" s="169">
        <f ca="1">(1-Control!$C$144)*AQ164-LP164</f>
        <v>3.2464704755046001</v>
      </c>
      <c r="LV164" s="172">
        <f t="shared" ca="1" si="562"/>
        <v>0.79430000000000012</v>
      </c>
      <c r="LW164" s="170">
        <f t="shared" ca="1" si="563"/>
        <v>1.5886000000000002</v>
      </c>
      <c r="LX164" s="170">
        <f ca="1">($AC164*($LR164/Control!$C$141)+$LM164*$LV164)/($AC164+$LM164)</f>
        <v>0.23530094218323697</v>
      </c>
      <c r="LY164" s="170">
        <f ca="1">($AC164*($LS164/Control!$C$141)+$LM164*$LV164)/($AC164+$LM164)</f>
        <v>0.23530094218323697</v>
      </c>
      <c r="LZ164" s="170">
        <f t="shared" ca="1" si="564"/>
        <v>0.23530094218323697</v>
      </c>
      <c r="MA164" s="170">
        <f t="shared" ca="1" si="565"/>
        <v>0.23530094218323697</v>
      </c>
      <c r="MB164" s="170" t="e">
        <f t="shared" ca="1" si="566"/>
        <v>#N/A</v>
      </c>
      <c r="MC164" s="170">
        <f t="shared" ca="1" si="656"/>
        <v>0.6018</v>
      </c>
      <c r="MD164" s="170">
        <f t="shared" ca="1" si="567"/>
        <v>0.52989392535414004</v>
      </c>
      <c r="ME164" s="170">
        <f ca="1">($AC164*($LT164/Control!$C$141)+$LM164*$LW164)/($AC164+$LM164)</f>
        <v>0.71612369323045078</v>
      </c>
      <c r="MF164" s="170" t="e">
        <f ca="1">IF(Control!$B$16&gt;=1000,0.92,IF(AND(720&lt;=Control!$B$16,1000&gt;Control!$B$16),(0.95+(Control!$B$16-720)*((0.92-0.95)/(1000-720))),IF(AND(360&lt;=Control!$B$16,720&gt;Control!$B$16),(1+(Control!$B$16-360)*((0.95-1)/(720-360))),IF(AND(40&lt;=Control!$B$16,360&gt;Control!$B$16),(1.05+(Control!$B$16-40)*((1.05-1)/(360-40)))))))</f>
        <v>#N/A</v>
      </c>
      <c r="MG164" s="170">
        <f t="shared" ca="1" si="568"/>
        <v>0.71612369323045078</v>
      </c>
      <c r="MH164" s="170" t="e">
        <f t="shared" ca="1" si="693"/>
        <v>#N/A</v>
      </c>
      <c r="MI164" s="170" t="e">
        <f t="shared" ca="1" si="693"/>
        <v>#N/A</v>
      </c>
      <c r="MJ164" s="170" t="e">
        <f ca="1">MAX(0.0001, Control!$C$132*$MI164*$DL164)</f>
        <v>#N/A</v>
      </c>
      <c r="MK164" s="170">
        <f ca="1">1/(0.76+1.5*($MG164/10))-(5-Control!$C$110)*0.1</f>
        <v>1.002845988140797</v>
      </c>
      <c r="ML164" s="173">
        <f ca="1">IF(Control!$C$110&lt;3,$MK164+($MG164-0.6)/(Control!$C$110*(Control!$C$110+3)), MAX(0.1, MIN(0.95,$MK164)))</f>
        <v>0.95</v>
      </c>
      <c r="MM164" s="173">
        <f ca="1">IF(Control!$C$110&lt;3,$MK164+(($MI164/10)-0.6)/(Control!$C$110*(Control!$C$110+3)), MAX(0.1, MIN(0.95,$MK164)))</f>
        <v>0.95</v>
      </c>
      <c r="MN164" s="173">
        <f ca="1">(1-$MM164)*(Control!$C$128-Control!$C$127)+Control!$C$127</f>
        <v>0.16</v>
      </c>
      <c r="MO164" s="170" t="e">
        <f ca="1">MAX(0,MIN(1,($MS164-Control!$C$127)/($MN164-Control!$C$127)))</f>
        <v>#DIV/0!</v>
      </c>
      <c r="MP164" s="173" t="e">
        <f ca="1">1/(0.76+1.5*$MI164)-(5-Control!$C$110)*0.1</f>
        <v>#N/A</v>
      </c>
      <c r="MQ164" s="172" t="e">
        <f t="shared" ca="1" si="685"/>
        <v>#DIV/0!</v>
      </c>
      <c r="MR164" s="168" t="e">
        <f t="shared" ca="1" si="657"/>
        <v>#DIV/0!</v>
      </c>
      <c r="MS164" s="173" t="e">
        <f ca="1">MAX(Control!$C$127, MIN(Control!$C$135, $MR164/MAX(0.0001,$CY164)))</f>
        <v>#DIV/0!</v>
      </c>
      <c r="MT164" s="168" t="e">
        <f ca="1">(Control!$C$128-$MS164)*Control!$C$74</f>
        <v>#DIV/0!</v>
      </c>
      <c r="MU164" s="168" t="e">
        <f ca="1">(Control!$C$135-$MS164)*Control!$C$74</f>
        <v>#DIV/0!</v>
      </c>
      <c r="MV164" s="168" t="e">
        <f t="shared" ca="1" si="658"/>
        <v>#DIV/0!</v>
      </c>
      <c r="MW164" s="168" t="e">
        <f t="shared" ca="1" si="659"/>
        <v>#DIV/0!</v>
      </c>
      <c r="MX164" s="171" t="e">
        <f ca="1">MAX(Control!$C$127, MIN(Control!$C$135, $MW164/MAX(0.0001,Control!$C$119-$CY164)))</f>
        <v>#DIV/0!</v>
      </c>
      <c r="MY164" s="54" t="e">
        <f ca="1">IF(Control!$C$114=1, $CX164*$MX164, 0)</f>
        <v>#DIV/0!</v>
      </c>
      <c r="MZ164" s="54" t="e">
        <f t="shared" ca="1" si="660"/>
        <v>#N/A</v>
      </c>
      <c r="NA164" s="168" t="e">
        <f ca="1">(Control!$C$128-$MX164)*(Control!$C$119-Control!$C$74)</f>
        <v>#DIV/0!</v>
      </c>
      <c r="NB164" s="168" t="e">
        <f ca="1">(Control!$C$135-$MX164)*(Control!$C$119-Control!$C$74)</f>
        <v>#DIV/0!</v>
      </c>
      <c r="NC164" s="174" t="e">
        <f t="shared" ca="1" si="661"/>
        <v>#DIV/0!</v>
      </c>
      <c r="ND164" s="54">
        <f ca="1">IF(Control!$C$58=2, IF(OR(Control!$B$218=$AH164,Control!$B$219=$AH164, Control!$B$220=$AH164, Control!$B$221=$AH164, Control!$B$222=$AH164, Control!$B$223=$AH164, Control!$B$224=$AH164, Control!$B$225=$AH164, Control!$B$226=$AH164, Control!$B$227=$AH164, Control!$B$228=$AH164), 1, 0), 0)</f>
        <v>0</v>
      </c>
      <c r="NE164" s="54">
        <f ca="1">IF($ND164=0,0, VLOOKUP($AH164,Control!$B$218:$C$228,2))</f>
        <v>0</v>
      </c>
      <c r="NF164" s="168" t="e">
        <f ca="1">$CY164*(Control!$C$128-Control!$C$127)</f>
        <v>#N/A</v>
      </c>
      <c r="NG164" s="54" t="e">
        <f ca="1">IF(Control!$C$58=2, $NI163-$NJ163, 0)</f>
        <v>#DIV/0!</v>
      </c>
      <c r="NH164" s="54" t="e">
        <f ca="1">IF(AND(Control!$C$58=1, $MS163&lt;= ($MN163+0.02), $I163&lt;10), 0, IF(Control!$C$58=2, $NG163, 0))</f>
        <v>#DIV/0!</v>
      </c>
      <c r="NI164" s="54" t="e">
        <f ca="1">IF(Control!$C$58=2, $NE164+$NH164,0)</f>
        <v>#DIV/0!</v>
      </c>
      <c r="NJ164" s="54" t="e">
        <f ca="1">IF(AND(Control!$C$58=1, $MS164&lt;= ($MN164+0.02), $I164&lt;10), MAX(0, MIN(10, 0.7*($NF164-$MV164))), IF(Control!$C$58=2, MIN(10,$NI164),0))</f>
        <v>#DIV/0!</v>
      </c>
      <c r="NK164" s="54" t="e">
        <f t="shared" ca="1" si="569"/>
        <v>#DIV/0!</v>
      </c>
      <c r="NL164" s="173" t="e">
        <f ca="1">(1-Control!$C$73)*$I164+$NJ164</f>
        <v>#DIV/0!</v>
      </c>
      <c r="NM164" s="172" t="e">
        <f ca="1">IF($NL164&lt;0.5, $MB164* MAX(0, MIN(1, (SQRT($NC164)-SQRT($NC164-1))*Control!$C$71)),0)</f>
        <v>#DIV/0!</v>
      </c>
      <c r="NN164" s="170" t="e">
        <f ca="1">IF($NL164&gt;=5, $MB164, MAX(0,MIN($MB164, $NM164+$NL164,($MS164-Control!$C$129))))</f>
        <v>#DIV/0!</v>
      </c>
      <c r="NO164" s="54">
        <f>IF(Control!$C$133&lt;&gt;1, Control!$C$135-Control!$C$131, 0)</f>
        <v>0.38</v>
      </c>
      <c r="NP164" s="54" t="e">
        <f t="shared" ca="1" si="570"/>
        <v>#DIV/0!</v>
      </c>
      <c r="NQ164" s="173" t="e">
        <f ca="1">MAX(0,MIN(1,(Control!$C$135-$MS164)/(Control!$C$135-$NO164)))</f>
        <v>#DIV/0!</v>
      </c>
      <c r="NR164" s="170" t="e">
        <f ca="1">IF(Control!$C$133&lt;&gt;1, $NQ164+((1-$NP164/4)*(1-$NQ164)),1)</f>
        <v>#DIV/0!</v>
      </c>
      <c r="NS164" s="170" t="e">
        <f ca="1">IF(Control!$B$31=0,$MJ164,MAX(0,MIN($MV164,$MO164*$NR164*$MJ164)))</f>
        <v>#DIV/0!</v>
      </c>
      <c r="NT164" s="170" t="e">
        <f t="shared" ca="1" si="686"/>
        <v>#DIV/0!</v>
      </c>
      <c r="NU164" s="170" t="e">
        <f t="shared" ca="1" si="662"/>
        <v>#N/A</v>
      </c>
      <c r="NV164" s="170" t="e">
        <f t="shared" ca="1" si="571"/>
        <v>#N/A</v>
      </c>
      <c r="NW164" s="175" t="e">
        <f t="shared" ca="1" si="572"/>
        <v>#DIV/0!</v>
      </c>
      <c r="NX164" s="170" t="e">
        <f ca="1">MIN(Control!$C$72+$MU164, $NW164)</f>
        <v>#DIV/0!</v>
      </c>
      <c r="NY164" s="170" t="e">
        <f ca="1">IF($MT164&lt;=$NX164,MIN(Control!$C$72+$NB164,$NX164-$MT164),0)</f>
        <v>#DIV/0!</v>
      </c>
      <c r="NZ164" s="54" t="e">
        <f ca="1">IF(Control!$C$114=1,  $CX164*($MX164-Control!$C$127), 0)</f>
        <v>#DIV/0!</v>
      </c>
      <c r="OA164" s="170" t="e">
        <f t="shared" ca="1" si="573"/>
        <v>#DIV/0!</v>
      </c>
      <c r="OB164" s="170" t="e">
        <f ca="1">IF($NA164 &lt;=$NY164, MIN(Control!$C$72, $NY164-$NA164), 0)</f>
        <v>#DIV/0!</v>
      </c>
      <c r="OC164" s="168" t="e">
        <f t="shared" ca="1" si="574"/>
        <v>#DIV/0!</v>
      </c>
      <c r="OD164" s="168" t="e">
        <f t="shared" ca="1" si="663"/>
        <v>#DIV/0!</v>
      </c>
      <c r="OE164" s="170">
        <f ca="1">Control!$C$73*$I164</f>
        <v>0</v>
      </c>
      <c r="OF164" s="176" t="e">
        <f t="shared" ca="1" si="575"/>
        <v>#DIV/0!</v>
      </c>
      <c r="OG164" s="168" t="e">
        <f t="shared" ca="1" si="576"/>
        <v>#DIV/0!</v>
      </c>
      <c r="OH164" s="168" t="e">
        <f t="shared" ca="1" si="577"/>
        <v>#DIV/0!</v>
      </c>
      <c r="OI164" s="168" t="e">
        <f t="shared" ca="1" si="578"/>
        <v>#DIV/0!</v>
      </c>
      <c r="OJ164" s="168" t="e">
        <f t="shared" ca="1" si="579"/>
        <v>#DIV/0!</v>
      </c>
      <c r="OK164" s="204" t="e">
        <f t="shared" ca="1" si="580"/>
        <v>#DIV/0!</v>
      </c>
      <c r="OL164" s="177">
        <f>Control!$C$127</f>
        <v>0.15</v>
      </c>
      <c r="OM164" s="182" t="e">
        <f t="shared" ca="1" si="581"/>
        <v>#N/A</v>
      </c>
      <c r="ON164" s="177">
        <f>Control!$C$128</f>
        <v>0.35</v>
      </c>
      <c r="OO164" s="182" t="e">
        <f t="shared" ca="1" si="582"/>
        <v>#N/A</v>
      </c>
      <c r="OP164" s="138">
        <f t="shared" ca="1" si="664"/>
        <v>0</v>
      </c>
      <c r="OQ164" s="138" t="e">
        <f t="shared" ca="1" si="687"/>
        <v>#DIV/0!</v>
      </c>
      <c r="OR164" s="138" t="e">
        <f t="shared" ca="1" si="665"/>
        <v>#DIV/0!</v>
      </c>
      <c r="OS164" s="137" t="e">
        <f t="shared" ca="1" si="688"/>
        <v>#DIV/0!</v>
      </c>
      <c r="OT164" s="139" t="e">
        <f t="shared" ca="1" si="689"/>
        <v>#DIV/0!</v>
      </c>
      <c r="OU164" s="138" t="e">
        <f t="shared" ca="1" si="690"/>
        <v>#N/A</v>
      </c>
      <c r="OV164" s="138" t="e">
        <f t="shared" ca="1" si="691"/>
        <v>#DIV/0!</v>
      </c>
      <c r="OW164" s="138" t="e">
        <f t="shared" ca="1" si="666"/>
        <v>#DIV/0!</v>
      </c>
      <c r="OX164" s="138" t="e">
        <f t="shared" ca="1" si="667"/>
        <v>#DIV/0!</v>
      </c>
      <c r="OY164" s="138" t="e">
        <f t="shared" ca="1" si="668"/>
        <v>#DIV/0!</v>
      </c>
      <c r="OZ164" s="138" t="e">
        <f t="shared" ca="1" si="583"/>
        <v>#DIV/0!</v>
      </c>
      <c r="PA164" s="138" t="e">
        <f t="shared" ca="1" si="584"/>
        <v>#DIV/0!</v>
      </c>
      <c r="PB164" s="55">
        <f>IF(Control!$C$61="T", IF(Control!$C$65="F", IF($AH$6-Control!$C$60&lt;0,0,1), IF(365+$AH$6-Control!$C$60&lt;0,0,1)),0)</f>
        <v>0</v>
      </c>
      <c r="PC164" s="55">
        <f ca="1">IF(Control!$C$65="F", IF($AH$6-$HF164&lt;0,0,1), IF(365+$AH$6-$HF164&lt;0,0,1))</f>
        <v>1</v>
      </c>
      <c r="PD164" s="444">
        <f>Control!$C$118</f>
        <v>1500</v>
      </c>
      <c r="PE164" s="180" t="e">
        <f t="shared" ca="1" si="585"/>
        <v>#N/A</v>
      </c>
      <c r="PF164" s="445">
        <f t="shared" ca="1" si="669"/>
        <v>0.71612369323045078</v>
      </c>
      <c r="PT164" s="186"/>
      <c r="PU164" s="186"/>
      <c r="PV164" s="94"/>
      <c r="PW164" s="94"/>
      <c r="PX164" s="94"/>
      <c r="PY164" s="94"/>
      <c r="PZ164" s="94"/>
      <c r="QA164" s="94"/>
      <c r="QB164" s="94"/>
      <c r="QC164" s="94"/>
      <c r="QD164" s="94"/>
      <c r="QE164" s="94"/>
      <c r="QF164" s="94"/>
      <c r="QG164" s="94"/>
      <c r="QH164" s="94"/>
      <c r="QI164" s="94"/>
      <c r="QJ164" s="94"/>
      <c r="QK164" s="94"/>
      <c r="QL164" s="94"/>
      <c r="QM164" s="94"/>
      <c r="QN164" s="94"/>
      <c r="QO164" s="94"/>
      <c r="QP164" s="94"/>
    </row>
    <row r="165" spans="1:458" s="2" customFormat="1" x14ac:dyDescent="0.2">
      <c r="A165" s="395">
        <v>9</v>
      </c>
      <c r="B165" s="396">
        <v>6</v>
      </c>
      <c r="C165" s="387">
        <f ca="1">Weather_data!$B164</f>
        <v>0</v>
      </c>
      <c r="D165" s="388">
        <f ca="1">Weather_data!$F164</f>
        <v>0</v>
      </c>
      <c r="E165" s="388">
        <f ca="1">Weather_data!$E164</f>
        <v>0</v>
      </c>
      <c r="F165" s="388">
        <f t="shared" ca="1" si="586"/>
        <v>0</v>
      </c>
      <c r="G165" s="388">
        <f ca="1">AVERAGE($D165:$E165)+Control!$B$9</f>
        <v>0</v>
      </c>
      <c r="H165" s="388">
        <f ca="1">Weather_data!$G164</f>
        <v>0</v>
      </c>
      <c r="I165" s="388">
        <f ca="1">Weather_data!$I164</f>
        <v>0</v>
      </c>
      <c r="J165" s="388">
        <f ca="1">Weather_data!$H164</f>
        <v>0</v>
      </c>
      <c r="K165" s="389">
        <f ca="1">Weather_data!$D164</f>
        <v>0</v>
      </c>
      <c r="L165" s="388" t="e">
        <f t="shared" ca="1" si="587"/>
        <v>#N/A</v>
      </c>
      <c r="M165" s="388" t="e">
        <f t="shared" ca="1" si="465"/>
        <v>#N/A</v>
      </c>
      <c r="N165" s="388">
        <f t="shared" ca="1" si="466"/>
        <v>-2.6517281878405772E-8</v>
      </c>
      <c r="O165" s="388">
        <f t="shared" ca="1" si="588"/>
        <v>2.6517281878405773E-7</v>
      </c>
      <c r="P165" s="390">
        <v>3</v>
      </c>
      <c r="Q165" s="388">
        <f ca="1">MAX($G165-Control!$C$107,0)</f>
        <v>0</v>
      </c>
      <c r="R165" s="388">
        <f t="shared" ca="1" si="589"/>
        <v>0</v>
      </c>
      <c r="S165" s="388">
        <f t="shared" ca="1" si="467"/>
        <v>0</v>
      </c>
      <c r="T165" s="388">
        <f t="shared" ca="1" si="468"/>
        <v>0</v>
      </c>
      <c r="U165" s="59">
        <f t="shared" ca="1" si="469"/>
        <v>0</v>
      </c>
      <c r="V165" s="391">
        <f ca="1">MAX(0,MIN(Control!$C$100-Control!$C$99,$G165-Control!$C$99)*Control!$C$63)</f>
        <v>0</v>
      </c>
      <c r="W165" s="388">
        <f t="shared" ca="1" si="590"/>
        <v>0</v>
      </c>
      <c r="X165" s="388">
        <f t="shared" ca="1" si="591"/>
        <v>0.6110000000000001</v>
      </c>
      <c r="Y165" s="388">
        <f t="shared" ca="1" si="470"/>
        <v>0</v>
      </c>
      <c r="Z165" s="388">
        <f t="shared" ca="1" si="592"/>
        <v>0.61058800000000002</v>
      </c>
      <c r="AA165" s="388">
        <f t="shared" ca="1" si="471"/>
        <v>0.6018</v>
      </c>
      <c r="AB165" s="388">
        <f ca="1">101.3*EXP(-0.034*Control!$C$66/($G165+273))</f>
        <v>100.69623283836242</v>
      </c>
      <c r="AC165" s="392">
        <f t="shared" ca="1" si="472"/>
        <v>4.3460251046025113E-2</v>
      </c>
      <c r="AD165" s="392">
        <f t="shared" ca="1" si="473"/>
        <v>4.4450382862832649E-2</v>
      </c>
      <c r="AE165" s="388">
        <f t="shared" ca="1" si="474"/>
        <v>0</v>
      </c>
      <c r="AF165" s="388">
        <f ca="1">MAX(0,$G165-Control!$C$92)</f>
        <v>0</v>
      </c>
      <c r="AG165" s="393">
        <f t="shared" ca="1" si="475"/>
        <v>161</v>
      </c>
      <c r="AH165" s="389">
        <f t="shared" ca="1" si="476"/>
        <v>161</v>
      </c>
      <c r="AI165" s="388">
        <f t="shared" ca="1" si="593"/>
        <v>0.40082464702039694</v>
      </c>
      <c r="AJ165" s="388">
        <f ca="1">IF(Control!$C$60&lt;=0,$HH165,$HI165)</f>
        <v>1</v>
      </c>
      <c r="AK165" s="388">
        <f t="shared" ca="1" si="477"/>
        <v>1.3943507120042369</v>
      </c>
      <c r="AL165" s="388">
        <f t="shared" ca="1" si="478"/>
        <v>-3.787059207893684E-18</v>
      </c>
      <c r="AM165" s="388">
        <f t="shared" ca="1" si="479"/>
        <v>1.3943507120042369</v>
      </c>
      <c r="AN165" s="388">
        <f t="shared" ca="1" si="480"/>
        <v>0.40239556500952778</v>
      </c>
      <c r="AO165" s="388">
        <f ca="1">-0.10453/COS(Control!$B$8*PI()/180)*COS(AN165)</f>
        <v>-0.15622337886139875</v>
      </c>
      <c r="AP165" s="388">
        <f ca="1">ACOS(AO165-TAN(Control!$B$8*PI()/180)*TAN(AN165))</f>
        <v>2.3475838050034477</v>
      </c>
      <c r="AQ165" s="388">
        <f t="shared" ca="1" si="594"/>
        <v>0</v>
      </c>
      <c r="AR165" s="394">
        <f t="shared" ca="1" si="481"/>
        <v>0</v>
      </c>
      <c r="AS165" s="436">
        <f ca="1">IF(Control!$B$18=2,(IF(OR($AH165=Control!$B$175,$AH165=Control!$B$176,$AH165=Control!$B$177,$AH165=Control!$B$178,$AH165=Control!$B$179,$AH165=Control!$B$180,$AH165=Control!$B$181,$AH165=Control!$B$182,$AH165=Control!$B$183,$AH165=Control!$B$184,$AH165=Control!$B$185),1,0)),0)</f>
        <v>0</v>
      </c>
      <c r="AT165" s="436">
        <f>IF(Control!$B$20=8,IF(AND($AH165&gt;=Control!$B$172,$AH165&lt;=Control!$B$173),1,0),0)</f>
        <v>0</v>
      </c>
      <c r="AU165" s="436">
        <f>IF(Control!$B$20=8,IF($AV164=1,1*$AT165,IF($AT165=1,$AU164+1,$AU164)),0)</f>
        <v>0</v>
      </c>
      <c r="AV165" s="436">
        <f>IF(Control!$B$20=8,IF($AU165&gt;=Control!$B$174,1,0),0)</f>
        <v>0</v>
      </c>
      <c r="AW165" s="436">
        <f ca="1">IF(AND(Control!$B$18=2,Control!$B$171=1), $AV165, $AS165)</f>
        <v>0</v>
      </c>
      <c r="AX165" s="436" t="e">
        <f ca="1">IF(AND(Control!$B$18=1,$EU165&gt;=Control!$B$19),-$AY165,IF(AND(Control!$B$18=2,$AW165=1,$EU165&gt;$DS165),-$AY165, IF(Control!$C$108=0,0, IF(Control!$C$108&lt;&gt;0,1))))</f>
        <v>#N/A</v>
      </c>
      <c r="AY165" s="436" t="e">
        <f t="shared" ca="1" si="595"/>
        <v>#N/A</v>
      </c>
      <c r="AZ165" s="436" t="e">
        <f ca="1">IF(AND(Control!$B$18=1,$EB165&gt;Control!$B$19),$AZ164+1, IF(AND(Control!$B$18=2, $AW165=1, $EB165&gt;$DS165), $AZ164+1,$AZ164))</f>
        <v>#N/A</v>
      </c>
      <c r="BA165" s="587">
        <f>IF(Control!$C$81=0,1,IF($AH165&gt;=Control!$C$82,1,0))</f>
        <v>1</v>
      </c>
      <c r="BB165" s="140" t="e">
        <f ca="1">IF($BA165&gt;$BA164,Control!$C$83,IF($AW165&gt;0,$AW165*Control!$C$84,IF(AND(Control!$B$18=1,EN164&lt;&gt;0),Control!$C$84,0)))</f>
        <v>#N/A</v>
      </c>
      <c r="BC165" s="140" t="e">
        <f t="shared" ca="1" si="596"/>
        <v>#N/A</v>
      </c>
      <c r="BD165" s="140" t="e">
        <f ca="1">BC165*IF(OR($G165&lt;Control!$C$92,$G165&gt;Control!$C$95),0,IF(AND($G165&gt;=Control!$C$92,$G165&lt;=Control!$C$93),$G165-Control!$C$92,IF(AND($G165&gt;Control!$C$93,$G165&lt;=Control!$C$94),Control!$C$93-Control!$C$92,IF(AND($G165&gt;Control!$C$94,$G165&lt;=Control!$C$95),(Control!$C$93-Control!$C$92)*(Control!$C$94-$G165)/(Control!$C$95-Control!$C$94)))))</f>
        <v>#N/A</v>
      </c>
      <c r="BE165" s="140" t="e">
        <f t="shared" ca="1" si="597"/>
        <v>#N/A</v>
      </c>
      <c r="BF165" s="140" t="e">
        <f ca="1">IF($BE165&lt;=Control!$C$86,$BE165,Control!$C$86-$BE165)</f>
        <v>#N/A</v>
      </c>
      <c r="BG165" s="140" t="e">
        <f ca="1">IF(AND($AW165=1,Control!$C$84&lt;9),1,IF($BE165&gt;=Control!$C$86,0,$BC165))</f>
        <v>#N/A</v>
      </c>
      <c r="BH165" s="404" t="e">
        <f ca="1">IF($BG165=0,0,IF($BE165&lt;=Control!$C$86,$BC165*9*($BF165/Control!$C$86),0))</f>
        <v>#N/A</v>
      </c>
      <c r="BI165" s="140" t="e">
        <f ca="1">IF($BG165=1,0,IF($BE165&gt;=Control!$C$86,1,IF(AND($BB165&lt;21,$BB165&gt;=9),1,$BM164)))</f>
        <v>#N/A</v>
      </c>
      <c r="BJ165" s="140" t="e">
        <f ca="1">IF($BF165&lt;0,-$BF165,$BI165*IF(OR($G165&lt;Control!$C$92,$G165&gt;Control!$C$95),0,IF(AND($G165&gt;=Control!$C$92,$G165&lt;=Control!$C$93),$G165-Control!$C$92,IF(AND($G165&gt;Control!$C$93,$G165&lt;=Control!$C$94),Control!$C$93-Control!$C$92,IF(AND($G165&gt;Control!$C$94,$G165&lt;=Control!$C$95),(Control!$C$93-Control!$C$92)*(Control!$C$94-$G165)/(Control!$C$95-Control!$C$94))))))</f>
        <v>#N/A</v>
      </c>
      <c r="BK165" s="140" t="e">
        <f t="shared" ca="1" si="598"/>
        <v>#N/A</v>
      </c>
      <c r="BL165" s="140" t="e">
        <f ca="1">IF($BK165&lt;=Control!$C$87,$BK165,Control!$C$87-$BK165)</f>
        <v>#N/A</v>
      </c>
      <c r="BM165" s="140" t="e">
        <f ca="1">IF(AND($BB165&gt;=9,$BB165&lt;21),1,IF($BK165&gt;=Control!$C$87,0,$BI165))</f>
        <v>#N/A</v>
      </c>
      <c r="BN165" s="404" t="e">
        <f ca="1">IF($BM165=0,0,IF($BK165&lt;=Control!$C$87,$BI165*(9+(21-9)*($BL165/Control!$C$87)),0))</f>
        <v>#N/A</v>
      </c>
      <c r="BO165" s="140" t="e">
        <f ca="1">IF($BM165=1,0,IF($BK165&gt;=Control!$C$87,1,IF(AND($BB165&lt;30,$BB165&gt;=21),1,$BS164)))</f>
        <v>#N/A</v>
      </c>
      <c r="BP165" s="140" t="e">
        <f ca="1">IF($BL165&lt;0,-$BL165,$BO165*IF(OR($G165&lt;Control!$C$92,$G165&gt;Control!$C$95),0,IF(AND($G165&gt;=Control!$C$92,$G165&lt;=Control!$C$93),$G165-Control!$C$92,IF(AND($G165&gt;Control!$C$93,$G165&lt;=Control!$C$94),Control!$C$93-Control!$C$92,IF(AND($G165&gt;Control!$C$94,$G165&lt;=Control!$C$95),(Control!$C$93-Control!$C$92)*(Control!$C$94-$G165)/(Control!$C$95-Control!$C$94))))))</f>
        <v>#N/A</v>
      </c>
      <c r="BQ165" s="140" t="e">
        <f t="shared" ca="1" si="482"/>
        <v>#N/A</v>
      </c>
      <c r="BR165" s="140" t="e">
        <f ca="1">IF($BQ165&lt;=Control!$C$88,$BQ165,Control!$C$88-$BQ165)</f>
        <v>#N/A</v>
      </c>
      <c r="BS165" s="140" t="e">
        <f ca="1">IF(AND($BB165&gt;=21,$BB165&lt;30),1,IF($BQ165&gt;=Control!$C$88,0,$BO165))</f>
        <v>#N/A</v>
      </c>
      <c r="BT165" s="404" t="e">
        <f ca="1">IF($BS165=0,0,IF($BQ165&lt;=Control!$C$88,$BO165*(21+(30-21)*(BR165/Control!$C$88)),0))</f>
        <v>#N/A</v>
      </c>
      <c r="BU165" s="140" t="e">
        <f ca="1">IF(BG165+BM165+BS165=1,0,IF(OR(AND($BB165&lt;60,$BB165&gt;=30),$BQ165&gt;=Control!$C$88),1*$BA165,$BY164))</f>
        <v>#N/A</v>
      </c>
      <c r="BV165" s="140" t="e">
        <f ca="1">IF($BR165&lt;0,-$BR165,$BU165*IF(OR($G165&lt;Control!$C$92,$G165&gt;Control!$C$95),0,IF(AND($G165&gt;=Control!$C$92,$G165&lt;=Control!$C$93),$G165-Control!$C$92,IF(AND($G165&gt;Control!$C$93,$G165&lt;=Control!$C$94),Control!$C$93-Control!$C$92,IF(AND($G165&gt;Control!$C$94,$G165&lt;=Control!$C$95),(Control!$C$93-Control!$C$92)*(Control!$C$94-$G165)/(Control!$C$95-Control!$C$94))))))</f>
        <v>#N/A</v>
      </c>
      <c r="BW165" s="140" t="e">
        <f t="shared" ca="1" si="483"/>
        <v>#N/A</v>
      </c>
      <c r="BX165" s="140" t="e">
        <f ca="1">IF($BW165&lt;=Control!$C$89,$BW165,Control!$C$89-$BW165)</f>
        <v>#N/A</v>
      </c>
      <c r="BY165" s="140" t="e">
        <f ca="1">IF(AND($AJ165&gt;=30,$AJ165&lt;60),1,IF($BW165&gt;=Control!$C$89,0,$BU165))</f>
        <v>#N/A</v>
      </c>
      <c r="BZ165" s="404" t="e">
        <f ca="1">IF($BY165=0,0,IF($BW165&lt;=Control!$C$89,$BU165*(30+(60-30)*(BX165/Control!$C$89)),0))</f>
        <v>#N/A</v>
      </c>
      <c r="CA165" s="140" t="e">
        <f ca="1">IF($BG165+$BM165+$BS165+$BY165=1,0,IF(OR(AND($BB165&lt;65,$BB165&gt;=60),$BW165&gt;=Control!$C$89),1*$BA165,$CE164))</f>
        <v>#N/A</v>
      </c>
      <c r="CB165" s="140" t="e">
        <f ca="1">IF($BX165&lt;0,-$BX165,$CA165*IF(OR($G165&lt;Control!$C$92,$G165&gt;Control!$C$95),0,IF(AND($G165&gt;=Control!$C$92,$G165&lt;=Control!$C$93),$G165-Control!$C$92,IF(AND($G165&gt;Control!$C$93,$G165&lt;=Control!$C$94),Control!$C$93-Control!$C$92,IF(AND($G165&gt;Control!$C$94,$G165&lt;=Control!$C$95),(Control!$C$93-Control!$C$92)*(Control!$C$94-$G165)/(Control!$C$95-Control!$C$94))))))</f>
        <v>#N/A</v>
      </c>
      <c r="CC165" s="140" t="e">
        <f t="shared" ca="1" si="599"/>
        <v>#N/A</v>
      </c>
      <c r="CD165" s="140" t="e">
        <f ca="1">IF($CC165&lt;=Control!$C$90,$CC165,Control!$C$90-$CC165)</f>
        <v>#N/A</v>
      </c>
      <c r="CE165" s="140" t="e">
        <f ca="1">IF(AND($BB165&gt;=60,$BB165&lt;65),1,IF($CC165&gt;=Control!$C$90,0,$CA165))</f>
        <v>#N/A</v>
      </c>
      <c r="CF165" s="404" t="e">
        <f ca="1">IF($CE165=0,0,IF($CC165&lt;=Control!$C$90,$CA165*(60+(65-60)*(CD165/Control!$C$90)),0))</f>
        <v>#N/A</v>
      </c>
      <c r="CG165" s="140" t="e">
        <f ca="1">IF($BG165+$BM165+$BS165+$BY165+$CE165=1,0,IF(OR(AND($BB165&lt;90,$BB165&gt;=65),$CC165&gt;=Control!$C$90),$BA165,$CK164))</f>
        <v>#N/A</v>
      </c>
      <c r="CH165" s="140" t="e">
        <f ca="1">IF($CD165&lt;0,-$CD165,$CG165*IF(OR($G165&lt;Control!$C$92,$G165&gt;Control!$C$95),0,IF(AND($G165&gt;=Control!$C$92,$G165&lt;=Control!$C$93),$G165-Control!$C$92,IF(AND($G165&gt;Control!$C$93,$G165&lt;=Control!$C$94),Control!$C$93-Control!$C$92,IF(AND($G165&gt;Control!$C$94,$G165&lt;=Control!$C$95),(Control!$C$93-Control!$C$92)*(Control!$C$94-$G165)/(Control!$C$95-Control!$C$94))))))</f>
        <v>#N/A</v>
      </c>
      <c r="CI165" s="140" t="e">
        <f t="shared" ca="1" si="600"/>
        <v>#N/A</v>
      </c>
      <c r="CJ165" s="140" t="e">
        <f ca="1">IF($CI165&lt;=Control!$C$91,$CI165,Control!$C$91-$CI165)</f>
        <v>#N/A</v>
      </c>
      <c r="CK165" s="140" t="e">
        <f ca="1">IF(AND($BB165&gt;=65,$BB165&lt;90),1,IF($CI165&gt;=Control!$C$91,0,$CG165))</f>
        <v>#N/A</v>
      </c>
      <c r="CL165" s="404" t="e">
        <f ca="1">IF($CK165=0,0,IF($CI165&lt;=Control!$C$91,$CG165*(65+(90-65)*($CJ165/Control!$C$91)),0))</f>
        <v>#N/A</v>
      </c>
      <c r="CM165" s="140" t="e">
        <f ca="1">IF($BG165+$BM165+$BS165+$BY165+$CE165+$CK165=1,0,IF(OR($BB165&gt;=90,$CI165&gt;=Control!$C$91),$BA165,$CM164))</f>
        <v>#N/A</v>
      </c>
      <c r="CN165" s="140" t="e">
        <f t="shared" ca="1" si="601"/>
        <v>#N/A</v>
      </c>
      <c r="CO165" s="140" t="e">
        <f t="shared" ca="1" si="602"/>
        <v>#N/A</v>
      </c>
      <c r="CP165" s="140" t="e">
        <f t="shared" ca="1" si="603"/>
        <v>#N/A</v>
      </c>
      <c r="CQ165" s="141" t="e">
        <f ca="1">VLOOKUP($CP165,Control!$B$86:$G$91,6)</f>
        <v>#N/A</v>
      </c>
      <c r="CR165" s="141" t="e">
        <f ca="1">(1-$CQ165)*VLOOKUP($CP165,Control!$B$86:$D$91,3)</f>
        <v>#N/A</v>
      </c>
      <c r="CS165" s="141" t="e">
        <f ca="1">(1-$CQ165)*VLOOKUP($CP165,Control!$B$86:$E$91,4)</f>
        <v>#N/A</v>
      </c>
      <c r="CT165" s="141" t="e">
        <f ca="1">(1-$CQ165)*VLOOKUP($CP165,Control!$B$86:$F$91,5)</f>
        <v>#N/A</v>
      </c>
      <c r="CU165" s="141">
        <f t="shared" ca="1" si="604"/>
        <v>0</v>
      </c>
      <c r="CV165" s="583">
        <f t="shared" ca="1" si="605"/>
        <v>0</v>
      </c>
      <c r="CW165" s="142">
        <f t="shared" ca="1" si="606"/>
        <v>161</v>
      </c>
      <c r="CX165" s="612" t="e">
        <f ca="1">IF(Control!$C$114=1,(MIN(Control!$C$120*(IF($NT165-0.01&lt;0,0,1)),Control!$C$119-$CY165)))</f>
        <v>#DIV/0!</v>
      </c>
      <c r="CY165" s="143" t="e">
        <f t="shared" ca="1" si="607"/>
        <v>#N/A</v>
      </c>
      <c r="CZ165" s="144">
        <f t="shared" ca="1" si="484"/>
        <v>0</v>
      </c>
      <c r="DA165" s="144">
        <f t="shared" ca="1" si="485"/>
        <v>0</v>
      </c>
      <c r="DB165" s="144" t="e">
        <f t="shared" ca="1" si="486"/>
        <v>#N/A</v>
      </c>
      <c r="DC165" s="144" t="e">
        <f t="shared" ca="1" si="487"/>
        <v>#N/A</v>
      </c>
      <c r="DD165" s="144" t="e">
        <f t="shared" ca="1" si="692"/>
        <v>#N/A</v>
      </c>
      <c r="DE165" s="143" t="e">
        <f t="shared" ca="1" si="608"/>
        <v>#N/A</v>
      </c>
      <c r="DF165" s="145" t="e">
        <f ca="1">$DR165*EXP(-Control!$C$158*(1-$KH165))</f>
        <v>#N/A</v>
      </c>
      <c r="DG165" s="146" t="e">
        <f ca="1">IF(Control!$C$114=1, $DF165*$EY165, 0)</f>
        <v>#N/A</v>
      </c>
      <c r="DH165" s="147" t="e">
        <f t="shared" ca="1" si="609"/>
        <v>#N/A</v>
      </c>
      <c r="DI165" s="144" t="e">
        <f t="shared" ca="1" si="670"/>
        <v>#N/A</v>
      </c>
      <c r="DJ165" s="147" t="e">
        <f ca="1">$EF165*Control!$C$109</f>
        <v>#N/A</v>
      </c>
      <c r="DK165" s="144" t="e">
        <f t="shared" ca="1" si="610"/>
        <v>#N/A</v>
      </c>
      <c r="DL165" s="144" t="e">
        <f t="shared" ca="1" si="488"/>
        <v>#N/A</v>
      </c>
      <c r="DM165" s="144" t="e">
        <f ca="1">IF(Control!$C$114=1, (1-EXP(-Control!$C$96*$DK165))*$AR165, 0)</f>
        <v>#N/A</v>
      </c>
      <c r="DN165" s="144">
        <f t="shared" ca="1" si="611"/>
        <v>0</v>
      </c>
      <c r="DO165" s="148">
        <f>Control!$C$97</f>
        <v>4</v>
      </c>
      <c r="DP165" s="145" t="e">
        <f t="shared" ca="1" si="612"/>
        <v>#N/A</v>
      </c>
      <c r="DQ165" s="145" t="e">
        <f ca="1">IF(AND($CP165&gt;=0,$CP165&lt;=90),Control!$C$111,Control!$C$111)</f>
        <v>#N/A</v>
      </c>
      <c r="DR165" s="145" t="e">
        <f t="shared" ca="1" si="489"/>
        <v>#N/A</v>
      </c>
      <c r="DS165" s="143" t="e">
        <f ca="1">Control!$B$22/$DR165</f>
        <v>#N/A</v>
      </c>
      <c r="DT165" s="149" t="e">
        <f ca="1">IF(AND(Control!$C$114=1,$KH165&lt;1),$IM165*$DF165, 0)</f>
        <v>#N/A</v>
      </c>
      <c r="DU165" s="144" t="e">
        <f t="shared" ca="1" si="613"/>
        <v>#N/A</v>
      </c>
      <c r="DV165" s="144">
        <f ca="1">IF($G165-Control!$C$107&lt;=0, 0, 0.83*LN(MAX($G165, 3))-0.8924)</f>
        <v>0</v>
      </c>
      <c r="DW165" s="144" t="e">
        <f t="shared" ca="1" si="490"/>
        <v>#N/A</v>
      </c>
      <c r="DX165" s="150" t="e">
        <f ca="1">MAX(0.01*(1+$CU165/Control!$C$102),0.05*($DK165-Control!$C$97)/Control!$C$97)</f>
        <v>#N/A</v>
      </c>
      <c r="DY165" s="151" t="e">
        <f ca="1">IF(Control!$C$114=1, $DI165*$FS165, 0)</f>
        <v>#N/A</v>
      </c>
      <c r="DZ165" s="196" t="e">
        <f t="shared" ca="1" si="614"/>
        <v>#N/A</v>
      </c>
      <c r="EA165" s="152">
        <f t="shared" ca="1" si="615"/>
        <v>161</v>
      </c>
      <c r="EB165" s="153" t="e">
        <f t="shared" ca="1" si="616"/>
        <v>#N/A</v>
      </c>
      <c r="EC165" s="153" t="e">
        <f t="shared" ca="1" si="617"/>
        <v>#N/A</v>
      </c>
      <c r="ED165" s="154" t="e">
        <f ca="1">IF(Control!$C$114=1, $HM165*$FY165-$FD165, 0)</f>
        <v>#DIV/0!</v>
      </c>
      <c r="EE165" s="155" t="e">
        <f ca="1">IF(Control!$C$114=1, $HM165*$FZ165-$FF165, 0)</f>
        <v>#DIV/0!</v>
      </c>
      <c r="EF165" s="153" t="e">
        <f t="shared" ca="1" si="671"/>
        <v>#N/A</v>
      </c>
      <c r="EG165" s="155" t="e">
        <f ca="1">IF(Control!$C$114=1, $GX165*$FW165-$FI165, 0)</f>
        <v>#DIV/0!</v>
      </c>
      <c r="EH165" s="153" t="e">
        <f t="shared" ca="1" si="618"/>
        <v>#N/A</v>
      </c>
      <c r="EI165" s="156" t="e">
        <f t="shared" ca="1" si="619"/>
        <v>#N/A</v>
      </c>
      <c r="EJ165" s="155" t="e">
        <f ca="1">IF(Control!$C$114=1, $HM165*$GB165, 0)</f>
        <v>#DIV/0!</v>
      </c>
      <c r="EK165" s="153" t="e">
        <f t="shared" ca="1" si="672"/>
        <v>#N/A</v>
      </c>
      <c r="EL165" s="153" t="e">
        <f t="shared" ca="1" si="491"/>
        <v>#N/A</v>
      </c>
      <c r="EM165" s="153" t="e">
        <f t="shared" ca="1" si="492"/>
        <v>#N/A</v>
      </c>
      <c r="EN165" s="153" t="e">
        <f ca="1">IF(Control!$C$108=1,IF(AND(Control!$B$18=1,$EB165&gt;=Control!$B$19),$EB165-$DS165,IF(AND(Control!$B$18=2,$AW165=1,$EB165&gt;$DS165),$EB165-$DS165,0)))</f>
        <v>#N/A</v>
      </c>
      <c r="EO165" s="153" t="e">
        <f ca="1">IF(Control!$C$108=1,IF(AND(Control!$B$18=1,$EB165&gt;=Control!$B$19),$EF165,IF(AND(Control!$B$18=2,$AW165=1),$EF165,0)))</f>
        <v>#N/A</v>
      </c>
      <c r="EP165" s="153" t="e">
        <f ca="1">IF(Control!$C$108=1,IF(AND(Control!$B$18=1,$EB165&gt;=Control!$B$19),$EK165,IF(AND(Control!$B$18=2,$AW165=1),$EK165,0)))</f>
        <v>#N/A</v>
      </c>
      <c r="EQ165" s="153" t="e">
        <f t="shared" ca="1" si="620"/>
        <v>#N/A</v>
      </c>
      <c r="ER165" s="153" t="e">
        <f t="shared" ca="1" si="621"/>
        <v>#N/A</v>
      </c>
      <c r="ES165" s="153" t="e">
        <f t="shared" ca="1" si="673"/>
        <v>#N/A</v>
      </c>
      <c r="ET165" s="153" t="e">
        <f t="shared" ca="1" si="674"/>
        <v>#N/A</v>
      </c>
      <c r="EU165" s="153" t="e">
        <f t="shared" ca="1" si="622"/>
        <v>#N/A</v>
      </c>
      <c r="EV165" s="153" t="e">
        <f t="shared" ca="1" si="493"/>
        <v>#N/A</v>
      </c>
      <c r="EW165" s="153" t="e">
        <f t="shared" ca="1" si="494"/>
        <v>#N/A</v>
      </c>
      <c r="EX165" s="153" t="e">
        <f t="shared" ca="1" si="495"/>
        <v>#N/A</v>
      </c>
      <c r="EY165" s="157" t="e">
        <f t="shared" ca="1" si="496"/>
        <v>#DIV/0!</v>
      </c>
      <c r="EZ165" s="154" t="e">
        <f t="shared" ca="1" si="497"/>
        <v>#DIV/0!</v>
      </c>
      <c r="FA165" s="153" t="e">
        <f t="shared" ca="1" si="623"/>
        <v>#N/A</v>
      </c>
      <c r="FB165" s="153" t="e">
        <f t="shared" ca="1" si="498"/>
        <v>#N/A</v>
      </c>
      <c r="FC165" s="193" t="e">
        <f t="shared" ca="1" si="499"/>
        <v>#N/A</v>
      </c>
      <c r="FD165" s="158" t="e">
        <f t="shared" ca="1" si="624"/>
        <v>#N/A</v>
      </c>
      <c r="FE165" s="158" t="e">
        <f t="shared" ca="1" si="625"/>
        <v>#N/A</v>
      </c>
      <c r="FF165" s="159" t="e">
        <f t="shared" ca="1" si="500"/>
        <v>#N/A</v>
      </c>
      <c r="FG165" s="160" t="e">
        <f t="shared" ca="1" si="626"/>
        <v>#N/A</v>
      </c>
      <c r="FH165" s="158" t="e">
        <f t="shared" ca="1" si="627"/>
        <v>#N/A</v>
      </c>
      <c r="FI165" s="159" t="e">
        <f t="shared" ca="1" si="501"/>
        <v>#N/A</v>
      </c>
      <c r="FJ165" s="160" t="e">
        <f t="shared" ca="1" si="628"/>
        <v>#N/A</v>
      </c>
      <c r="FK165" s="160" t="e">
        <f t="shared" ca="1" si="502"/>
        <v>#N/A</v>
      </c>
      <c r="FL165" s="160" t="e">
        <f t="shared" ca="1" si="675"/>
        <v>#N/A</v>
      </c>
      <c r="FM165" s="160" t="e">
        <f t="shared" ca="1" si="503"/>
        <v>#N/A</v>
      </c>
      <c r="FN165" s="158">
        <f t="shared" ca="1" si="629"/>
        <v>0.01</v>
      </c>
      <c r="FO165" s="160">
        <f>Control!$C$101</f>
        <v>50</v>
      </c>
      <c r="FP165" s="150" t="e">
        <f t="shared" ca="1" si="504"/>
        <v>#N/A</v>
      </c>
      <c r="FQ165" s="150" t="e">
        <f ca="1">MAX(0,(Control!$C$112*(($DK165-Control!$C$97)/Control!$C$97)))</f>
        <v>#N/A</v>
      </c>
      <c r="FR165" s="150" t="e">
        <f ca="1">(1-$NT165)*Control!$C$113</f>
        <v>#DIV/0!</v>
      </c>
      <c r="FS165" s="198" t="e">
        <f t="shared" ca="1" si="505"/>
        <v>#N/A</v>
      </c>
      <c r="FT165" s="161">
        <f t="shared" ca="1" si="630"/>
        <v>161</v>
      </c>
      <c r="FU165" s="162" t="e">
        <f ca="1">IF(Control!$B$34=1,VLOOKUP($CP165,Control!$B$86:$G$91,6),Control!$B$35)</f>
        <v>#N/A</v>
      </c>
      <c r="FV165" s="162" t="e">
        <f t="shared" ca="1" si="506"/>
        <v>#DIV/0!</v>
      </c>
      <c r="FW165" s="162" t="e">
        <f ca="1">IF(Control!$B$31=1,$FU165*$FV165,  $FU165)</f>
        <v>#N/A</v>
      </c>
      <c r="FX165" s="162" t="e">
        <f ca="1">IF(Control!$B$34=1,VLOOKUP($CP165,Control!$B$86:$G$91,3),Control!$B$36)</f>
        <v>#N/A</v>
      </c>
      <c r="FY165" s="162" t="e">
        <f t="shared" ca="1" si="507"/>
        <v>#N/A</v>
      </c>
      <c r="FZ165" s="162" t="e">
        <f ca="1">IF(Control!$B$34=1,VLOOKUP($CP165,Control!$B$86:$G$91,4),Control!$B$37)</f>
        <v>#N/A</v>
      </c>
      <c r="GA165" s="162" t="e">
        <f t="shared" ca="1" si="508"/>
        <v>#N/A</v>
      </c>
      <c r="GB165" s="162" t="e">
        <f ca="1">IF(Control!$B$34=1,VLOOKUP($CP165,Control!$B$86:$G$91,5),Control!$B$38)</f>
        <v>#N/A</v>
      </c>
      <c r="GC165" s="162" t="e">
        <f t="shared" ca="1" si="631"/>
        <v>#N/A</v>
      </c>
      <c r="GD165" s="162">
        <f t="shared" ca="1" si="509"/>
        <v>1</v>
      </c>
      <c r="GE165" s="162">
        <f t="shared" ca="1" si="510"/>
        <v>1</v>
      </c>
      <c r="GF165" s="162">
        <f ca="1">IF(AND(Control!$C$104=1, Control!$C$62="F"),$GE165,1)</f>
        <v>1</v>
      </c>
      <c r="GG165" s="162" t="e">
        <f ca="1">IF(Control!$B$16=40,0,IF(AND(Control!$B$16&gt;40,Control!$B$16&lt;=360),(Control!$B$16-40)*((1-0)/(360-40)),IF(AND(Control!$B$16&gt;360,Control!$B$16&lt;=720),(1+(Control!$B$16-360)*((1.25-1)/(720-360))),IF(AND(Control!$B$16&gt;720,Control!$B$16&lt;=1000),(1.25+(Control!$B$16-720)*((1.35-1.25)/(1000-720))),IF(AND(Control!$B$16&gt;1000,Control!$B$16&lt;=2000),(1.35+(Control!$B$16-1000)*0))))))</f>
        <v>#N/A</v>
      </c>
      <c r="GH165" s="162" t="e">
        <f t="shared" ca="1" si="511"/>
        <v>#N/A</v>
      </c>
      <c r="GI165" s="162">
        <f t="shared" ca="1" si="632"/>
        <v>0</v>
      </c>
      <c r="GJ165" s="162">
        <f t="shared" ca="1" si="512"/>
        <v>0</v>
      </c>
      <c r="GK165" s="162">
        <f t="shared" ca="1" si="633"/>
        <v>1</v>
      </c>
      <c r="GL165" s="162">
        <f t="shared" ca="1" si="513"/>
        <v>1</v>
      </c>
      <c r="GM165" s="162" t="e">
        <f ca="1">MAX(0,MIN(1,1-Control!$C$156*(1.0001-$KH165)^2))</f>
        <v>#N/A</v>
      </c>
      <c r="GN165" s="162" t="e">
        <f ca="1">IF(Control!$B$26=1,$KU165,$KX165)</f>
        <v>#N/A</v>
      </c>
      <c r="GO165" s="162" t="e">
        <f ca="1">IF($CP165&lt;=60,Control!$C$105,IF($CP165&gt;=90,Control!$C$106,Control!$C$105+($CP165-60)*((Control!$C$106-Control!$C$105)/(90-60))))</f>
        <v>#N/A</v>
      </c>
      <c r="GP165" s="162" t="e">
        <f t="shared" ca="1" si="514"/>
        <v>#N/A</v>
      </c>
      <c r="GQ165" s="162" t="e">
        <f t="shared" ca="1" si="634"/>
        <v>#N/A</v>
      </c>
      <c r="GR165" s="163" t="e">
        <f t="shared" ca="1" si="515"/>
        <v>#DIV/0!</v>
      </c>
      <c r="GS165" s="162" t="e">
        <f t="shared" ca="1" si="516"/>
        <v>#DIV/0!</v>
      </c>
      <c r="GT165" s="164" t="e">
        <f t="shared" ca="1" si="635"/>
        <v>#N/A</v>
      </c>
      <c r="GU165" s="162" t="e">
        <f t="shared" ca="1" si="636"/>
        <v>#N/A</v>
      </c>
      <c r="GV165" s="162" t="e">
        <f t="shared" ca="1" si="517"/>
        <v>#N/A</v>
      </c>
      <c r="GW165" s="162" t="e">
        <f t="shared" ca="1" si="518"/>
        <v>#DIV/0!</v>
      </c>
      <c r="GX165" s="162" t="e">
        <f t="shared" ca="1" si="637"/>
        <v>#DIV/0!</v>
      </c>
      <c r="GY165" s="162" t="e">
        <f t="shared" ca="1" si="638"/>
        <v>#DIV/0!</v>
      </c>
      <c r="GZ165" s="165" t="e">
        <f t="shared" ca="1" si="519"/>
        <v>#N/A</v>
      </c>
      <c r="HA165" s="162" t="e">
        <f ca="1">IF(Control!$C$114=1, $DI165*$FS165, 0)</f>
        <v>#N/A</v>
      </c>
      <c r="HB165" s="162" t="e">
        <f ca="1">$FA165/Control!$C$64</f>
        <v>#N/A</v>
      </c>
      <c r="HC165" s="162" t="e">
        <f t="shared" ca="1" si="520"/>
        <v>#DIV/0!</v>
      </c>
      <c r="HD165" s="162">
        <f ca="1">-ASIN(SIN(23.45*Control!$C$139)*COS(2*Control!$C$138*($AH165+10)/365))</f>
        <v>0.40082464702039694</v>
      </c>
      <c r="HE165" s="165">
        <f t="shared" ca="1" si="639"/>
        <v>0</v>
      </c>
      <c r="HF165" s="166">
        <f ca="1">IF(AND(Control!$C$61="T",$HE165&gt;=Control!$C$103,Control!$C$114=0),$AH165,Control!$C$59)</f>
        <v>1</v>
      </c>
      <c r="HG165" s="166">
        <f ca="1">IF(AND(Control!$C$61="T",$HE165&gt;=Control!$C$103,Control!$C$114=0),$HF165,Control!$C$59)</f>
        <v>1</v>
      </c>
      <c r="HH165" s="165">
        <f ca="1">IF(AND(OR(Control!$C$60&lt;=0, $AH165= Control!$C$59, Control!$C$60 &gt;0, $AH165 = Control!$C$60)), Control!$C$59, IF(Control!$C$60&gt;0, 0))</f>
        <v>1</v>
      </c>
      <c r="HI165" s="165">
        <f ca="1">IF(AND(OR(Control!$C$60&lt;=0, $AH165= Control!$C$59, Control!$C$60 &gt;0, $AH165 = Control!$C$60)), Control!$C$60, IF(Control!$C$60&lt;=0, 0))</f>
        <v>0</v>
      </c>
      <c r="HJ165" s="166">
        <f ca="1">IF(AND(Control!$C$62="F",$CV165&gt;=Control!$C$102),$AH165,0)</f>
        <v>0</v>
      </c>
      <c r="HK165" s="165" t="e">
        <f t="shared" ca="1" si="676"/>
        <v>#N/A</v>
      </c>
      <c r="HL165" s="166">
        <f ca="1">IF(AND(Control!$C$61="T",$HE165&gt;=Control!$C$103,Control!$C$114=0),$HF165,0)</f>
        <v>0</v>
      </c>
      <c r="HM165" s="201" t="e">
        <f t="shared" ca="1" si="521"/>
        <v>#DIV/0!</v>
      </c>
      <c r="HN165" s="215">
        <f t="shared" ca="1" si="640"/>
        <v>161</v>
      </c>
      <c r="HO165" s="216" t="e">
        <f ca="1">IF(AND($CP165&gt;=0, $CP165&lt;=90), Control!$C$152, Control!$C$152)</f>
        <v>#N/A</v>
      </c>
      <c r="HP165" s="216" t="e">
        <f t="shared" ca="1" si="522"/>
        <v>#N/A</v>
      </c>
      <c r="HQ165" s="217" t="e">
        <f ca="1">IF(OR(Control!$B$26=1,Control!$B$26=2),$KV165,$KS165)</f>
        <v>#DIV/0!</v>
      </c>
      <c r="HR165" s="218" t="e">
        <f t="shared" ca="1" si="677"/>
        <v>#DIV/0!</v>
      </c>
      <c r="HS165" s="216" t="e">
        <f ca="1">Control!$C$154*$HP165</f>
        <v>#N/A</v>
      </c>
      <c r="HT165" s="216" t="e">
        <f ca="1">Control!$C$155*$HP165</f>
        <v>#N/A</v>
      </c>
      <c r="HU165" s="217" t="e">
        <f ca="1">Control!$C$161*$FI165</f>
        <v>#N/A</v>
      </c>
      <c r="HV165" s="218" t="e">
        <f t="shared" ca="1" si="641"/>
        <v>#N/A</v>
      </c>
      <c r="HW165" s="218" t="e">
        <f ca="1">Control!$C$160*$FF165+$IP165*$EO165</f>
        <v>#N/A</v>
      </c>
      <c r="HX165" s="218" t="e">
        <f t="shared" ca="1" si="678"/>
        <v>#N/A</v>
      </c>
      <c r="HY165" s="219" t="e">
        <f ca="1">IF(Control!$C$114=1, $EB165*$FS165, 0)</f>
        <v>#N/A</v>
      </c>
      <c r="HZ165" s="91" t="e">
        <f t="shared" ca="1" si="523"/>
        <v>#N/A</v>
      </c>
      <c r="IA165" s="220" t="e">
        <f ca="1">Control!$C$153*$HO165</f>
        <v>#N/A</v>
      </c>
      <c r="IB165" s="218" t="e">
        <f t="shared" ca="1" si="524"/>
        <v>#N/A</v>
      </c>
      <c r="IC165" s="220" t="e">
        <f ca="1">Control!$C$153*$HT165</f>
        <v>#N/A</v>
      </c>
      <c r="ID165" s="218" t="e">
        <f t="shared" ca="1" si="525"/>
        <v>#N/A</v>
      </c>
      <c r="IE165" s="221" t="e">
        <f ca="1">($EB165*Control!$C$159+$EF165*Control!$C$160)/(IF($GZ165&lt;&gt;0,$GZ165,1))</f>
        <v>#N/A</v>
      </c>
      <c r="IF165" s="216" t="e">
        <f t="shared" ca="1" si="526"/>
        <v>#N/A</v>
      </c>
      <c r="IG165" s="91">
        <f ca="1">IF(OR(Control!$B$198=$AH165,Control!$B$199=$AH165, Control!$B$200=$AH165, Control!$B$201=$AH165, Control!$B$202=$AH165, Control!$B$203=$AH165, Control!$B$204=$AH165, Control!$B$205=$AH165, Control!$B$206=$AH165, Control!$B$207=$AH165), 1, 0)</f>
        <v>0</v>
      </c>
      <c r="IH165" s="91">
        <f ca="1">IF($IG165=0,0, VLOOKUP($AH165,Control!$B$198:$C$207,2))</f>
        <v>0</v>
      </c>
      <c r="II165" s="222">
        <f t="shared" ca="1" si="642"/>
        <v>0</v>
      </c>
      <c r="IJ165" s="91">
        <f>Control!$C$121</f>
        <v>0.7</v>
      </c>
      <c r="IK165" s="218">
        <f t="shared" ca="1" si="527"/>
        <v>0</v>
      </c>
      <c r="IL165" s="217" t="e">
        <f t="shared" ca="1" si="679"/>
        <v>#N/A</v>
      </c>
      <c r="IM165" s="223" t="e">
        <f ca="1">IF(AND(Control!$C$114=1,$KH165&lt;1),$EB165*Control!$C$148*(1-$KH165), 0)</f>
        <v>#N/A</v>
      </c>
      <c r="IN165" s="217" t="e">
        <f t="shared" ca="1" si="528"/>
        <v>#DIV/0!</v>
      </c>
      <c r="IO165" s="91" t="e">
        <f ca="1">MAX(0,$IL165-$EF165*Control!$C$160)</f>
        <v>#N/A</v>
      </c>
      <c r="IP165" s="220" t="e">
        <f t="shared" ca="1" si="529"/>
        <v>#N/A</v>
      </c>
      <c r="IQ165" s="217" t="e">
        <f t="shared" ca="1" si="643"/>
        <v>#N/A</v>
      </c>
      <c r="IR165" s="218" t="e">
        <f t="shared" ca="1" si="530"/>
        <v>#N/A</v>
      </c>
      <c r="IS165" s="217" t="e">
        <f ca="1">Control!$C$159*MAX(0,$FD165-$EN165)</f>
        <v>#N/A</v>
      </c>
      <c r="IT165" s="217" t="e">
        <f t="shared" ca="1" si="680"/>
        <v>#N/A</v>
      </c>
      <c r="IU165" s="217" t="e">
        <f t="shared" ca="1" si="644"/>
        <v>#N/A</v>
      </c>
      <c r="IV165" s="217" t="e">
        <f t="shared" ca="1" si="681"/>
        <v>#N/A</v>
      </c>
      <c r="IW165" s="217" t="e">
        <f ca="1">IF(OR($AW165=1,AND($AW165=0, Control!$B$18=1,$EN165&lt;&gt;0)), $IQ165-$IU165, $IQ165)</f>
        <v>#N/A</v>
      </c>
      <c r="IX165" s="218" t="e">
        <f t="shared" ca="1" si="531"/>
        <v>#N/A</v>
      </c>
      <c r="IY165" s="218" t="e">
        <f ca="1">MAX(0,$IQ165-$EB165*Control!$C$159)</f>
        <v>#N/A</v>
      </c>
      <c r="IZ165" s="218" t="e">
        <f t="shared" ca="1" si="532"/>
        <v>#N/A</v>
      </c>
      <c r="JA165" s="216" t="e">
        <f t="shared" ca="1" si="533"/>
        <v>#N/A</v>
      </c>
      <c r="JB165" s="217" t="e">
        <f t="shared" ca="1" si="534"/>
        <v>#N/A</v>
      </c>
      <c r="JC165" s="222" t="e">
        <f ca="1">MAX(Control!$C$157*$EK165-$JT165, 0)/Control!$C$162</f>
        <v>#N/A</v>
      </c>
      <c r="JD165" s="218" t="e">
        <f t="shared" ca="1" si="535"/>
        <v>#N/A</v>
      </c>
      <c r="JE165" s="218" t="e">
        <f t="shared" ca="1" si="536"/>
        <v>#N/A</v>
      </c>
      <c r="JF165" s="218" t="e">
        <f t="shared" ca="1" si="645"/>
        <v>#N/A</v>
      </c>
      <c r="JG165" s="218" t="e">
        <f t="shared" ca="1" si="537"/>
        <v>#N/A</v>
      </c>
      <c r="JH165" s="217" t="e">
        <f t="shared" ca="1" si="646"/>
        <v>#N/A</v>
      </c>
      <c r="JI165" s="217" t="e">
        <f t="shared" ca="1" si="647"/>
        <v>#N/A</v>
      </c>
      <c r="JJ165" s="217" t="e">
        <f t="shared" ca="1" si="682"/>
        <v>#N/A</v>
      </c>
      <c r="JK165" s="217" t="e">
        <f ca="1">IF(Control!$C$114=1,IF(Control!$B$24=0,MAX(0,$JI165)*$GN165/Control!$C$64,(MAX(0,MIN($JI165,$JJ165*$GN165/Control!$C$64),0))))</f>
        <v>#N/A</v>
      </c>
      <c r="JL165" s="217" t="e">
        <f ca="1">$IK165/Control!$C$64-$JK165+$HQ165</f>
        <v>#N/A</v>
      </c>
      <c r="JM165" s="217" t="e">
        <f ca="1">IF(Control!$C$114=1,($JB165/(IF($JI165&lt;&gt;0,$JI165,1)))*$JK165,0)</f>
        <v>#N/A</v>
      </c>
      <c r="JN165" s="217" t="e">
        <f ca="1">IF(Control!$C$114=1,($JG165/(IF($JI165&lt;&gt;0,$JI165,1)))*$JK165, 0)</f>
        <v>#N/A</v>
      </c>
      <c r="JO165" s="218" t="e">
        <f t="shared" ca="1" si="538"/>
        <v>#N/A</v>
      </c>
      <c r="JP165" s="218" t="e">
        <f ca="1">MIN(($IY165+$IO165)*Control!$C$151, $JF165-$EH165*Control!$C$161)</f>
        <v>#N/A</v>
      </c>
      <c r="JQ165" s="218" t="e">
        <f t="shared" ca="1" si="539"/>
        <v>#N/A</v>
      </c>
      <c r="JR165" s="217" t="e">
        <f ca="1">IF($CP165-Control!$C$150&lt;0, 0, $JQ165/Control!$C$162)</f>
        <v>#N/A</v>
      </c>
      <c r="JS165" s="218" t="e">
        <f t="shared" ca="1" si="540"/>
        <v>#N/A</v>
      </c>
      <c r="JT165" s="218" t="e">
        <f t="shared" ca="1" si="648"/>
        <v>#N/A</v>
      </c>
      <c r="JU165" s="218" t="e">
        <f t="shared" ca="1" si="541"/>
        <v>#N/A</v>
      </c>
      <c r="JV165" s="218" t="e">
        <f t="shared" ca="1" si="542"/>
        <v>#N/A</v>
      </c>
      <c r="JW165" s="216" t="e">
        <f t="shared" ca="1" si="543"/>
        <v>#N/A</v>
      </c>
      <c r="JX165" s="91" t="e">
        <f t="shared" ca="1" si="544"/>
        <v>#N/A</v>
      </c>
      <c r="JY165" s="218" t="e">
        <f t="shared" ca="1" si="545"/>
        <v>#N/A</v>
      </c>
      <c r="JZ165" s="217" t="e">
        <f ca="1">IF(Control!$C$114=1,($IZ165/(IF($JI165&lt;&gt;0,$JI165,1)))*$JK165, 0)</f>
        <v>#N/A</v>
      </c>
      <c r="KA165" s="218" t="e">
        <f t="shared" ca="1" si="683"/>
        <v>#N/A</v>
      </c>
      <c r="KB165" s="218" t="e">
        <f t="shared" ca="1" si="649"/>
        <v>#N/A</v>
      </c>
      <c r="KC165" s="218" t="e">
        <f t="shared" ca="1" si="546"/>
        <v>#N/A</v>
      </c>
      <c r="KD165" s="218" t="e">
        <f t="shared" ca="1" si="547"/>
        <v>#N/A</v>
      </c>
      <c r="KE165" s="218" t="e">
        <f t="shared" ca="1" si="548"/>
        <v>#N/A</v>
      </c>
      <c r="KF165" s="218" t="e">
        <f t="shared" ca="1" si="549"/>
        <v>#N/A</v>
      </c>
      <c r="KG165" s="216" t="e">
        <f t="shared" ca="1" si="550"/>
        <v>#N/A</v>
      </c>
      <c r="KH165" s="221" t="e">
        <f ca="1">IF(Control!$B$24=0,1,MAX(0.001,MIN(1,IF(($IF165-$IE165)&lt;&gt;0,($KG165-$IE165)/($IF165-$IE165),1))))</f>
        <v>#N/A</v>
      </c>
      <c r="KI165" s="222" t="e">
        <f ca="1">IF(Control!$C$114=1, $KI164+ $KH164, 0)</f>
        <v>#N/A</v>
      </c>
      <c r="KJ165" s="217" t="e">
        <f t="shared" ca="1" si="551"/>
        <v>#N/A</v>
      </c>
      <c r="KK165" s="218" t="e">
        <f t="shared" ca="1" si="552"/>
        <v>#N/A</v>
      </c>
      <c r="KL165" s="274" t="e">
        <f ca="1">IF(Control!$B$26=3,4000000000*EXP(-8400/($G165+273)),IF(Control!$B$26=4,4000000000*EXP(-8400/($G165+273))*($KT165),0))</f>
        <v>#DIV/0!</v>
      </c>
      <c r="KM165" s="274" t="e">
        <f ca="1">IF(Control!$B$26=3,5600000000000*EXP(-9800/($G165+273)),IF(Control!$B$26=4,5600000000000*EXP(-9800/($G165+273))*$KT165,0))</f>
        <v>#DIV/0!</v>
      </c>
      <c r="KN165" s="454" t="e">
        <f t="shared" ca="1" si="650"/>
        <v>#DIV/0!</v>
      </c>
      <c r="KO165" s="274" t="e">
        <f t="shared" ca="1" si="651"/>
        <v>#DIV/0!</v>
      </c>
      <c r="KP165" s="454" t="e">
        <f t="shared" ca="1" si="553"/>
        <v>#DIV/0!</v>
      </c>
      <c r="KQ165" s="454" t="e">
        <f t="shared" ca="1" si="554"/>
        <v>#DIV/0!</v>
      </c>
      <c r="KR165" s="454" t="e">
        <f t="shared" ca="1" si="555"/>
        <v>#DIV/0!</v>
      </c>
      <c r="KS165" s="454" t="e">
        <f t="shared" ca="1" si="556"/>
        <v>#DIV/0!</v>
      </c>
      <c r="KT165" s="455" t="e">
        <f t="shared" ca="1" si="557"/>
        <v>#DIV/0!</v>
      </c>
      <c r="KU165" s="456" t="e">
        <f ca="1">IF($CP165-Control!$C$149&lt;0, IF($NT165-0.01&lt;0,0,1),0)</f>
        <v>#N/A</v>
      </c>
      <c r="KV165" s="456" t="e">
        <f ca="1">IF(Control!$C$114=1,MAX(0,MIN(Control!$C$125*$KW165*$GN165,$KW165)))</f>
        <v>#DIV/0!</v>
      </c>
      <c r="KW165" s="456" t="e">
        <f t="shared" ca="1" si="684"/>
        <v>#DIV/0!</v>
      </c>
      <c r="KX165" s="457" t="e">
        <f ca="1">IF($CP165-Control!$C$149&lt;0, IF($MR165-$OM165&lt;0,0,1),0)</f>
        <v>#N/A</v>
      </c>
      <c r="KY165" s="167">
        <f t="shared" ca="1" si="652"/>
        <v>161</v>
      </c>
      <c r="KZ165" s="168">
        <f ca="1">1370*(1+0.033*COS(2*Control!$C$138*$AH165/365))</f>
        <v>1327.8510986899053</v>
      </c>
      <c r="LA165" s="169">
        <f t="shared" ca="1" si="653"/>
        <v>0.96923445596524105</v>
      </c>
      <c r="LB165" s="169">
        <f t="shared" ca="1" si="654"/>
        <v>0.40169300298555</v>
      </c>
      <c r="LC165" s="169">
        <f ca="1">ACOS(-TAN((2*Control!$B$8/360))*TAN(Calculations!$LB165))</f>
        <v>1.6973831345265373</v>
      </c>
      <c r="LD165" s="169">
        <f ca="1">((24*60)/PI())*0.082*$LA165*(($LC165*SIN(Control!$B$8*2*PI()/360))*SIN($LB165)+COS(Control!$B$8*2*PI()/360)*COS($LB165)*SIN($LC165))</f>
        <v>39.528927901445527</v>
      </c>
      <c r="LE165" s="170">
        <f t="shared" ca="1" si="558"/>
        <v>41.149239739317032</v>
      </c>
      <c r="LF165" s="170">
        <f ca="1">SIN(Control!$C$139*Control!$B$8)*SIN($HD165)</f>
        <v>0.30746478052288323</v>
      </c>
      <c r="LG165" s="170">
        <f ca="1">COS(Control!$C$139*Control!$B$8)*COS($HD165)</f>
        <v>0.56686232878616138</v>
      </c>
      <c r="LH165" s="170">
        <f ca="1">12*(1+2*ASIN(MAX(-1,MIN(1,$LF165/$LG165))/Control!$C$138))</f>
        <v>16.164469527745563</v>
      </c>
      <c r="LI165" s="170">
        <f ca="1">12*(1+2*ASIN(MAX(-1,MIN(1,(-SIN(-4*Control!$C$139)+$LF165)/$LG165))/Control!$C$138))</f>
        <v>17.122494916847337</v>
      </c>
      <c r="LJ165" s="168">
        <f ca="1">3600*($LH165*$LF165+24*$LG165*SQRT(1-$LK165*$LK165)/Control!$C$138)</f>
        <v>30989.34796221957</v>
      </c>
      <c r="LK165" s="170">
        <f t="shared" ca="1" si="559"/>
        <v>0.54239762444836725</v>
      </c>
      <c r="LL165" s="170">
        <f t="shared" ca="1" si="560"/>
        <v>0</v>
      </c>
      <c r="LM165" s="171">
        <f ca="1">Control!$C$145*$AB165</f>
        <v>6.6660906138995932E-2</v>
      </c>
      <c r="LN165" s="170">
        <f t="shared" ca="1" si="655"/>
        <v>0.54</v>
      </c>
      <c r="LO165" s="170">
        <f t="shared" ca="1" si="561"/>
        <v>0</v>
      </c>
      <c r="LP165" s="170">
        <f ca="1">Control!$C$140*((($D165+273.16)^4+($E165+273.16)^4)/2)*(0.34-0.14*SQRT($Y165))*(1.35*$AQ165/(0.75*$LD165)-0.35)</f>
        <v>-3.2464704755046001</v>
      </c>
      <c r="LQ165" s="170">
        <f ca="1">Control!$C$140*($G165+273)^4*(0.56-0.079*SQRT($Y165*10))*(0.1+0.9*$LO165)</f>
        <v>1.5241745131704001</v>
      </c>
      <c r="LR165" s="170">
        <f ca="1">$AQ165*(1-Control!$C$142)-$LQ165</f>
        <v>-1.5241745131704001</v>
      </c>
      <c r="LS165" s="170">
        <f ca="1">$AQ165*(1-Control!$C$143)-$LQ165</f>
        <v>-1.5241745131704001</v>
      </c>
      <c r="LT165" s="170">
        <f ca="1">$AQ165*(1-Control!$C$144)-$LQ165</f>
        <v>-1.5241745131704001</v>
      </c>
      <c r="LU165" s="169">
        <f ca="1">(1-Control!$C$144)*AQ165-LP165</f>
        <v>3.2464704755046001</v>
      </c>
      <c r="LV165" s="172">
        <f t="shared" ca="1" si="562"/>
        <v>0.79430000000000012</v>
      </c>
      <c r="LW165" s="170">
        <f t="shared" ca="1" si="563"/>
        <v>1.5886000000000002</v>
      </c>
      <c r="LX165" s="170">
        <f ca="1">($AC165*($LR165/Control!$C$141)+$LM165*$LV165)/($AC165+$LM165)</f>
        <v>0.23530094218323697</v>
      </c>
      <c r="LY165" s="170">
        <f ca="1">($AC165*($LS165/Control!$C$141)+$LM165*$LV165)/($AC165+$LM165)</f>
        <v>0.23530094218323697</v>
      </c>
      <c r="LZ165" s="170">
        <f t="shared" ca="1" si="564"/>
        <v>0.23530094218323697</v>
      </c>
      <c r="MA165" s="170">
        <f t="shared" ca="1" si="565"/>
        <v>0.23530094218323697</v>
      </c>
      <c r="MB165" s="170" t="e">
        <f t="shared" ca="1" si="566"/>
        <v>#N/A</v>
      </c>
      <c r="MC165" s="170">
        <f t="shared" ca="1" si="656"/>
        <v>0.6018</v>
      </c>
      <c r="MD165" s="170">
        <f t="shared" ca="1" si="567"/>
        <v>0.52989392535414004</v>
      </c>
      <c r="ME165" s="170">
        <f ca="1">($AC165*($LT165/Control!$C$141)+$LM165*$LW165)/($AC165+$LM165)</f>
        <v>0.71612369323045078</v>
      </c>
      <c r="MF165" s="170" t="e">
        <f ca="1">IF(Control!$B$16&gt;=1000,0.92,IF(AND(720&lt;=Control!$B$16,1000&gt;Control!$B$16),(0.95+(Control!$B$16-720)*((0.92-0.95)/(1000-720))),IF(AND(360&lt;=Control!$B$16,720&gt;Control!$B$16),(1+(Control!$B$16-360)*((0.95-1)/(720-360))),IF(AND(40&lt;=Control!$B$16,360&gt;Control!$B$16),(1.05+(Control!$B$16-40)*((1.05-1)/(360-40)))))))</f>
        <v>#N/A</v>
      </c>
      <c r="MG165" s="170">
        <f t="shared" ca="1" si="568"/>
        <v>0.71612369323045078</v>
      </c>
      <c r="MH165" s="170" t="e">
        <f t="shared" ca="1" si="693"/>
        <v>#N/A</v>
      </c>
      <c r="MI165" s="170" t="e">
        <f t="shared" ca="1" si="693"/>
        <v>#N/A</v>
      </c>
      <c r="MJ165" s="170" t="e">
        <f ca="1">MAX(0.0001, Control!$C$132*$MI165*$DL165)</f>
        <v>#N/A</v>
      </c>
      <c r="MK165" s="170">
        <f ca="1">1/(0.76+1.5*($MG165/10))-(5-Control!$C$110)*0.1</f>
        <v>1.002845988140797</v>
      </c>
      <c r="ML165" s="173">
        <f ca="1">IF(Control!$C$110&lt;3,$MK165+($MG165-0.6)/(Control!$C$110*(Control!$C$110+3)), MAX(0.1, MIN(0.95,$MK165)))</f>
        <v>0.95</v>
      </c>
      <c r="MM165" s="173">
        <f ca="1">IF(Control!$C$110&lt;3,$MK165+(($MI165/10)-0.6)/(Control!$C$110*(Control!$C$110+3)), MAX(0.1, MIN(0.95,$MK165)))</f>
        <v>0.95</v>
      </c>
      <c r="MN165" s="173">
        <f ca="1">(1-$MM165)*(Control!$C$128-Control!$C$127)+Control!$C$127</f>
        <v>0.16</v>
      </c>
      <c r="MO165" s="170" t="e">
        <f ca="1">MAX(0,MIN(1,($MS165-Control!$C$127)/($MN165-Control!$C$127)))</f>
        <v>#DIV/0!</v>
      </c>
      <c r="MP165" s="173" t="e">
        <f ca="1">1/(0.76+1.5*$MI165)-(5-Control!$C$110)*0.1</f>
        <v>#N/A</v>
      </c>
      <c r="MQ165" s="172" t="e">
        <f t="shared" ca="1" si="685"/>
        <v>#DIV/0!</v>
      </c>
      <c r="MR165" s="168" t="e">
        <f t="shared" ca="1" si="657"/>
        <v>#DIV/0!</v>
      </c>
      <c r="MS165" s="173" t="e">
        <f ca="1">MAX(Control!$C$127, MIN(Control!$C$135, $MR165/MAX(0.0001,$CY165)))</f>
        <v>#DIV/0!</v>
      </c>
      <c r="MT165" s="168" t="e">
        <f ca="1">(Control!$C$128-$MS165)*Control!$C$74</f>
        <v>#DIV/0!</v>
      </c>
      <c r="MU165" s="168" t="e">
        <f ca="1">(Control!$C$135-$MS165)*Control!$C$74</f>
        <v>#DIV/0!</v>
      </c>
      <c r="MV165" s="168" t="e">
        <f t="shared" ca="1" si="658"/>
        <v>#DIV/0!</v>
      </c>
      <c r="MW165" s="168" t="e">
        <f t="shared" ca="1" si="659"/>
        <v>#DIV/0!</v>
      </c>
      <c r="MX165" s="171" t="e">
        <f ca="1">MAX(Control!$C$127, MIN(Control!$C$135, $MW165/MAX(0.0001,Control!$C$119-$CY165)))</f>
        <v>#DIV/0!</v>
      </c>
      <c r="MY165" s="54" t="e">
        <f ca="1">IF(Control!$C$114=1, $CX165*$MX165, 0)</f>
        <v>#DIV/0!</v>
      </c>
      <c r="MZ165" s="54" t="e">
        <f t="shared" ca="1" si="660"/>
        <v>#N/A</v>
      </c>
      <c r="NA165" s="168" t="e">
        <f ca="1">(Control!$C$128-$MX165)*(Control!$C$119-Control!$C$74)</f>
        <v>#DIV/0!</v>
      </c>
      <c r="NB165" s="168" t="e">
        <f ca="1">(Control!$C$135-$MX165)*(Control!$C$119-Control!$C$74)</f>
        <v>#DIV/0!</v>
      </c>
      <c r="NC165" s="174" t="e">
        <f t="shared" ca="1" si="661"/>
        <v>#DIV/0!</v>
      </c>
      <c r="ND165" s="54">
        <f ca="1">IF(Control!$C$58=2, IF(OR(Control!$B$218=$AH165,Control!$B$219=$AH165, Control!$B$220=$AH165, Control!$B$221=$AH165, Control!$B$222=$AH165, Control!$B$223=$AH165, Control!$B$224=$AH165, Control!$B$225=$AH165, Control!$B$226=$AH165, Control!$B$227=$AH165, Control!$B$228=$AH165), 1, 0), 0)</f>
        <v>0</v>
      </c>
      <c r="NE165" s="54">
        <f ca="1">IF($ND165=0,0, VLOOKUP($AH165,Control!$B$218:$C$228,2))</f>
        <v>0</v>
      </c>
      <c r="NF165" s="168" t="e">
        <f ca="1">$CY165*(Control!$C$128-Control!$C$127)</f>
        <v>#N/A</v>
      </c>
      <c r="NG165" s="54" t="e">
        <f ca="1">IF(Control!$C$58=2, $NI164-$NJ164, 0)</f>
        <v>#DIV/0!</v>
      </c>
      <c r="NH165" s="54" t="e">
        <f ca="1">IF(AND(Control!$C$58=1, $MS164&lt;= ($MN164+0.02), $I164&lt;10), 0, IF(Control!$C$58=2, $NG164, 0))</f>
        <v>#DIV/0!</v>
      </c>
      <c r="NI165" s="54" t="e">
        <f ca="1">IF(Control!$C$58=2, $NE165+$NH165,0)</f>
        <v>#DIV/0!</v>
      </c>
      <c r="NJ165" s="54" t="e">
        <f ca="1">IF(AND(Control!$C$58=1, $MS165&lt;= ($MN165+0.02), $I165&lt;10), MAX(0, MIN(10, 0.7*($NF165-$MV165))), IF(Control!$C$58=2, MIN(10,$NI165),0))</f>
        <v>#DIV/0!</v>
      </c>
      <c r="NK165" s="54" t="e">
        <f t="shared" ca="1" si="569"/>
        <v>#DIV/0!</v>
      </c>
      <c r="NL165" s="173" t="e">
        <f ca="1">(1-Control!$C$73)*$I165+$NJ165</f>
        <v>#DIV/0!</v>
      </c>
      <c r="NM165" s="172" t="e">
        <f ca="1">IF($NL165&lt;0.5, $MB165* MAX(0, MIN(1, (SQRT($NC165)-SQRT($NC165-1))*Control!$C$71)),0)</f>
        <v>#DIV/0!</v>
      </c>
      <c r="NN165" s="170" t="e">
        <f ca="1">IF($NL165&gt;=5, $MB165, MAX(0,MIN($MB165, $NM165+$NL165,($MS165-Control!$C$129))))</f>
        <v>#DIV/0!</v>
      </c>
      <c r="NO165" s="54">
        <f>IF(Control!$C$133&lt;&gt;1, Control!$C$135-Control!$C$131, 0)</f>
        <v>0.38</v>
      </c>
      <c r="NP165" s="54" t="e">
        <f t="shared" ca="1" si="570"/>
        <v>#DIV/0!</v>
      </c>
      <c r="NQ165" s="173" t="e">
        <f ca="1">MAX(0,MIN(1,(Control!$C$135-$MS165)/(Control!$C$135-$NO165)))</f>
        <v>#DIV/0!</v>
      </c>
      <c r="NR165" s="170" t="e">
        <f ca="1">IF(Control!$C$133&lt;&gt;1, $NQ165+((1-$NP165/4)*(1-$NQ165)),1)</f>
        <v>#DIV/0!</v>
      </c>
      <c r="NS165" s="170" t="e">
        <f ca="1">IF(Control!$B$31=0,$MJ165,MAX(0,MIN($MV165,$MO165*$NR165*$MJ165)))</f>
        <v>#DIV/0!</v>
      </c>
      <c r="NT165" s="170" t="e">
        <f t="shared" ca="1" si="686"/>
        <v>#DIV/0!</v>
      </c>
      <c r="NU165" s="170" t="e">
        <f t="shared" ca="1" si="662"/>
        <v>#N/A</v>
      </c>
      <c r="NV165" s="170" t="e">
        <f t="shared" ca="1" si="571"/>
        <v>#N/A</v>
      </c>
      <c r="NW165" s="175" t="e">
        <f t="shared" ca="1" si="572"/>
        <v>#DIV/0!</v>
      </c>
      <c r="NX165" s="170" t="e">
        <f ca="1">MIN(Control!$C$72+$MU165, $NW165)</f>
        <v>#DIV/0!</v>
      </c>
      <c r="NY165" s="170" t="e">
        <f ca="1">IF($MT165&lt;=$NX165,MIN(Control!$C$72+$NB165,$NX165-$MT165),0)</f>
        <v>#DIV/0!</v>
      </c>
      <c r="NZ165" s="54" t="e">
        <f ca="1">IF(Control!$C$114=1,  $CX165*($MX165-Control!$C$127), 0)</f>
        <v>#DIV/0!</v>
      </c>
      <c r="OA165" s="170" t="e">
        <f t="shared" ca="1" si="573"/>
        <v>#DIV/0!</v>
      </c>
      <c r="OB165" s="170" t="e">
        <f ca="1">IF($NA165 &lt;=$NY165, MIN(Control!$C$72, $NY165-$NA165), 0)</f>
        <v>#DIV/0!</v>
      </c>
      <c r="OC165" s="168" t="e">
        <f t="shared" ca="1" si="574"/>
        <v>#DIV/0!</v>
      </c>
      <c r="OD165" s="168" t="e">
        <f t="shared" ca="1" si="663"/>
        <v>#DIV/0!</v>
      </c>
      <c r="OE165" s="170">
        <f ca="1">Control!$C$73*$I165</f>
        <v>0</v>
      </c>
      <c r="OF165" s="176" t="e">
        <f t="shared" ca="1" si="575"/>
        <v>#DIV/0!</v>
      </c>
      <c r="OG165" s="168" t="e">
        <f t="shared" ca="1" si="576"/>
        <v>#DIV/0!</v>
      </c>
      <c r="OH165" s="168" t="e">
        <f t="shared" ca="1" si="577"/>
        <v>#DIV/0!</v>
      </c>
      <c r="OI165" s="168" t="e">
        <f t="shared" ca="1" si="578"/>
        <v>#DIV/0!</v>
      </c>
      <c r="OJ165" s="168" t="e">
        <f t="shared" ca="1" si="579"/>
        <v>#DIV/0!</v>
      </c>
      <c r="OK165" s="204" t="e">
        <f t="shared" ca="1" si="580"/>
        <v>#DIV/0!</v>
      </c>
      <c r="OL165" s="177">
        <f>Control!$C$127</f>
        <v>0.15</v>
      </c>
      <c r="OM165" s="182" t="e">
        <f t="shared" ca="1" si="581"/>
        <v>#N/A</v>
      </c>
      <c r="ON165" s="177">
        <f>Control!$C$128</f>
        <v>0.35</v>
      </c>
      <c r="OO165" s="182" t="e">
        <f t="shared" ca="1" si="582"/>
        <v>#N/A</v>
      </c>
      <c r="OP165" s="138">
        <f t="shared" ca="1" si="664"/>
        <v>0</v>
      </c>
      <c r="OQ165" s="138" t="e">
        <f t="shared" ca="1" si="687"/>
        <v>#DIV/0!</v>
      </c>
      <c r="OR165" s="138" t="e">
        <f t="shared" ca="1" si="665"/>
        <v>#DIV/0!</v>
      </c>
      <c r="OS165" s="137" t="e">
        <f t="shared" ca="1" si="688"/>
        <v>#DIV/0!</v>
      </c>
      <c r="OT165" s="139" t="e">
        <f t="shared" ca="1" si="689"/>
        <v>#DIV/0!</v>
      </c>
      <c r="OU165" s="138" t="e">
        <f t="shared" ca="1" si="690"/>
        <v>#N/A</v>
      </c>
      <c r="OV165" s="138" t="e">
        <f t="shared" ca="1" si="691"/>
        <v>#DIV/0!</v>
      </c>
      <c r="OW165" s="138" t="e">
        <f t="shared" ca="1" si="666"/>
        <v>#DIV/0!</v>
      </c>
      <c r="OX165" s="138" t="e">
        <f t="shared" ca="1" si="667"/>
        <v>#DIV/0!</v>
      </c>
      <c r="OY165" s="138" t="e">
        <f t="shared" ca="1" si="668"/>
        <v>#DIV/0!</v>
      </c>
      <c r="OZ165" s="138" t="e">
        <f t="shared" ca="1" si="583"/>
        <v>#DIV/0!</v>
      </c>
      <c r="PA165" s="138" t="e">
        <f t="shared" ca="1" si="584"/>
        <v>#DIV/0!</v>
      </c>
      <c r="PB165" s="55">
        <f>IF(Control!$C$61="T", IF(Control!$C$65="F", IF($AH$6-Control!$C$60&lt;0,0,1), IF(365+$AH$6-Control!$C$60&lt;0,0,1)),0)</f>
        <v>0</v>
      </c>
      <c r="PC165" s="55">
        <f ca="1">IF(Control!$C$65="F", IF($AH$6-$HF165&lt;0,0,1), IF(365+$AH$6-$HF165&lt;0,0,1))</f>
        <v>1</v>
      </c>
      <c r="PD165" s="444">
        <f>Control!$C$118</f>
        <v>1500</v>
      </c>
      <c r="PE165" s="180" t="e">
        <f t="shared" ca="1" si="585"/>
        <v>#N/A</v>
      </c>
      <c r="PF165" s="445">
        <f t="shared" ca="1" si="669"/>
        <v>0.71612369323045078</v>
      </c>
      <c r="PT165" s="186"/>
      <c r="PU165" s="186"/>
      <c r="PV165" s="94"/>
      <c r="PW165" s="94"/>
      <c r="PX165" s="94"/>
      <c r="PY165" s="94"/>
      <c r="PZ165" s="94"/>
      <c r="QA165" s="94"/>
      <c r="QB165" s="94"/>
      <c r="QC165" s="94"/>
      <c r="QD165" s="94"/>
      <c r="QE165" s="94"/>
      <c r="QF165" s="94"/>
      <c r="QG165" s="94"/>
      <c r="QH165" s="94"/>
      <c r="QI165" s="94"/>
      <c r="QJ165" s="94"/>
      <c r="QK165" s="94"/>
      <c r="QL165" s="94"/>
      <c r="QM165" s="94"/>
      <c r="QN165" s="94"/>
      <c r="QO165" s="94"/>
      <c r="QP165" s="94"/>
    </row>
    <row r="166" spans="1:458" s="2" customFormat="1" x14ac:dyDescent="0.2">
      <c r="A166" s="395">
        <v>10</v>
      </c>
      <c r="B166" s="396">
        <v>6</v>
      </c>
      <c r="C166" s="387">
        <f ca="1">Weather_data!$B165</f>
        <v>0</v>
      </c>
      <c r="D166" s="388">
        <f ca="1">Weather_data!$F165</f>
        <v>0</v>
      </c>
      <c r="E166" s="388">
        <f ca="1">Weather_data!$E165</f>
        <v>0</v>
      </c>
      <c r="F166" s="388">
        <f t="shared" ca="1" si="586"/>
        <v>0</v>
      </c>
      <c r="G166" s="388">
        <f ca="1">AVERAGE($D166:$E166)+Control!$B$9</f>
        <v>0</v>
      </c>
      <c r="H166" s="388">
        <f ca="1">Weather_data!$G165</f>
        <v>0</v>
      </c>
      <c r="I166" s="388">
        <f ca="1">Weather_data!$I165</f>
        <v>0</v>
      </c>
      <c r="J166" s="388">
        <f ca="1">Weather_data!$H165</f>
        <v>0</v>
      </c>
      <c r="K166" s="389">
        <f ca="1">Weather_data!$D165</f>
        <v>0</v>
      </c>
      <c r="L166" s="388" t="e">
        <f t="shared" ca="1" si="587"/>
        <v>#N/A</v>
      </c>
      <c r="M166" s="388" t="e">
        <f t="shared" ca="1" si="465"/>
        <v>#N/A</v>
      </c>
      <c r="N166" s="388">
        <f t="shared" ca="1" si="466"/>
        <v>-2.3865553690565196E-8</v>
      </c>
      <c r="O166" s="388">
        <f t="shared" ca="1" si="588"/>
        <v>2.3865553690565197E-7</v>
      </c>
      <c r="P166" s="390">
        <v>3</v>
      </c>
      <c r="Q166" s="388">
        <f ca="1">MAX($G166-Control!$C$107,0)</f>
        <v>0</v>
      </c>
      <c r="R166" s="388">
        <f t="shared" ca="1" si="589"/>
        <v>0</v>
      </c>
      <c r="S166" s="388">
        <f t="shared" ca="1" si="467"/>
        <v>0</v>
      </c>
      <c r="T166" s="388">
        <f t="shared" ca="1" si="468"/>
        <v>0</v>
      </c>
      <c r="U166" s="59">
        <f t="shared" ca="1" si="469"/>
        <v>0</v>
      </c>
      <c r="V166" s="391">
        <f ca="1">MAX(0,MIN(Control!$C$100-Control!$C$99,$G166-Control!$C$99)*Control!$C$63)</f>
        <v>0</v>
      </c>
      <c r="W166" s="388">
        <f t="shared" ca="1" si="590"/>
        <v>0</v>
      </c>
      <c r="X166" s="388">
        <f t="shared" ca="1" si="591"/>
        <v>0.6110000000000001</v>
      </c>
      <c r="Y166" s="388">
        <f t="shared" ca="1" si="470"/>
        <v>0</v>
      </c>
      <c r="Z166" s="388">
        <f t="shared" ca="1" si="592"/>
        <v>0.61058800000000002</v>
      </c>
      <c r="AA166" s="388">
        <f t="shared" ca="1" si="471"/>
        <v>0.6018</v>
      </c>
      <c r="AB166" s="388">
        <f ca="1">101.3*EXP(-0.034*Control!$C$66/($G166+273))</f>
        <v>100.69623283836242</v>
      </c>
      <c r="AC166" s="392">
        <f t="shared" ca="1" si="472"/>
        <v>4.3460251046025113E-2</v>
      </c>
      <c r="AD166" s="392">
        <f t="shared" ca="1" si="473"/>
        <v>4.4450382862832649E-2</v>
      </c>
      <c r="AE166" s="388">
        <f t="shared" ca="1" si="474"/>
        <v>0</v>
      </c>
      <c r="AF166" s="388">
        <f ca="1">MAX(0,$G166-Control!$C$92)</f>
        <v>0</v>
      </c>
      <c r="AG166" s="393">
        <f t="shared" ca="1" si="475"/>
        <v>162</v>
      </c>
      <c r="AH166" s="389">
        <f t="shared" ca="1" si="476"/>
        <v>162</v>
      </c>
      <c r="AI166" s="388">
        <f t="shared" ca="1" si="593"/>
        <v>0.40222542239937481</v>
      </c>
      <c r="AJ166" s="388">
        <f ca="1">IF(Control!$C$60&lt;=0,$HH166,$HI166)</f>
        <v>1</v>
      </c>
      <c r="AK166" s="388">
        <f t="shared" ca="1" si="477"/>
        <v>1.4115649183252768</v>
      </c>
      <c r="AL166" s="388">
        <f t="shared" ca="1" si="478"/>
        <v>-5.7706998901618792E-18</v>
      </c>
      <c r="AM166" s="388">
        <f t="shared" ca="1" si="479"/>
        <v>1.4115649183252768</v>
      </c>
      <c r="AN166" s="388">
        <f t="shared" ca="1" si="480"/>
        <v>0.4036391203892124</v>
      </c>
      <c r="AO166" s="388">
        <f ca="1">-0.10453/COS(Control!$B$8*PI()/180)*COS(AN166)</f>
        <v>-0.15614057188511904</v>
      </c>
      <c r="AP166" s="388">
        <f ca="1">ACOS(AO166-TAN(Control!$B$8*PI()/180)*TAN(AN166))</f>
        <v>2.350108367022762</v>
      </c>
      <c r="AQ166" s="388">
        <f t="shared" ca="1" si="594"/>
        <v>0</v>
      </c>
      <c r="AR166" s="394">
        <f t="shared" ca="1" si="481"/>
        <v>0</v>
      </c>
      <c r="AS166" s="436">
        <f ca="1">IF(Control!$B$18=2,(IF(OR($AH166=Control!$B$175,$AH166=Control!$B$176,$AH166=Control!$B$177,$AH166=Control!$B$178,$AH166=Control!$B$179,$AH166=Control!$B$180,$AH166=Control!$B$181,$AH166=Control!$B$182,$AH166=Control!$B$183,$AH166=Control!$B$184,$AH166=Control!$B$185),1,0)),0)</f>
        <v>0</v>
      </c>
      <c r="AT166" s="436">
        <f>IF(Control!$B$20=8,IF(AND($AH166&gt;=Control!$B$172,$AH166&lt;=Control!$B$173),1,0),0)</f>
        <v>0</v>
      </c>
      <c r="AU166" s="436">
        <f>IF(Control!$B$20=8,IF($AV165=1,1*$AT166,IF($AT166=1,$AU165+1,$AU165)),0)</f>
        <v>0</v>
      </c>
      <c r="AV166" s="436">
        <f>IF(Control!$B$20=8,IF($AU166&gt;=Control!$B$174,1,0),0)</f>
        <v>0</v>
      </c>
      <c r="AW166" s="436">
        <f ca="1">IF(AND(Control!$B$18=2,Control!$B$171=1), $AV166, $AS166)</f>
        <v>0</v>
      </c>
      <c r="AX166" s="436" t="e">
        <f ca="1">IF(AND(Control!$B$18=1,$EU166&gt;=Control!$B$19),-$AY166,IF(AND(Control!$B$18=2,$AW166=1,$EU166&gt;$DS166),-$AY166, IF(Control!$C$108=0,0, IF(Control!$C$108&lt;&gt;0,1))))</f>
        <v>#N/A</v>
      </c>
      <c r="AY166" s="436" t="e">
        <f t="shared" ca="1" si="595"/>
        <v>#N/A</v>
      </c>
      <c r="AZ166" s="436" t="e">
        <f ca="1">IF(AND(Control!$B$18=1,$EB166&gt;Control!$B$19),$AZ165+1, IF(AND(Control!$B$18=2, $AW166=1, $EB166&gt;$DS166), $AZ165+1,$AZ165))</f>
        <v>#N/A</v>
      </c>
      <c r="BA166" s="587">
        <f>IF(Control!$C$81=0,1,IF($AH166&gt;=Control!$C$82,1,0))</f>
        <v>1</v>
      </c>
      <c r="BB166" s="140" t="e">
        <f ca="1">IF($BA166&gt;$BA165,Control!$C$83,IF($AW166&gt;0,$AW166*Control!$C$84,IF(AND(Control!$B$18=1,EN165&lt;&gt;0),Control!$C$84,0)))</f>
        <v>#N/A</v>
      </c>
      <c r="BC166" s="140" t="e">
        <f t="shared" ca="1" si="596"/>
        <v>#N/A</v>
      </c>
      <c r="BD166" s="140" t="e">
        <f ca="1">BC166*IF(OR($G166&lt;Control!$C$92,$G166&gt;Control!$C$95),0,IF(AND($G166&gt;=Control!$C$92,$G166&lt;=Control!$C$93),$G166-Control!$C$92,IF(AND($G166&gt;Control!$C$93,$G166&lt;=Control!$C$94),Control!$C$93-Control!$C$92,IF(AND($G166&gt;Control!$C$94,$G166&lt;=Control!$C$95),(Control!$C$93-Control!$C$92)*(Control!$C$94-$G166)/(Control!$C$95-Control!$C$94)))))</f>
        <v>#N/A</v>
      </c>
      <c r="BE166" s="140" t="e">
        <f t="shared" ca="1" si="597"/>
        <v>#N/A</v>
      </c>
      <c r="BF166" s="140" t="e">
        <f ca="1">IF($BE166&lt;=Control!$C$86,$BE166,Control!$C$86-$BE166)</f>
        <v>#N/A</v>
      </c>
      <c r="BG166" s="140" t="e">
        <f ca="1">IF(AND($AW166=1,Control!$C$84&lt;9),1,IF($BE166&gt;=Control!$C$86,0,$BC166))</f>
        <v>#N/A</v>
      </c>
      <c r="BH166" s="404" t="e">
        <f ca="1">IF($BG166=0,0,IF($BE166&lt;=Control!$C$86,$BC166*9*($BF166/Control!$C$86),0))</f>
        <v>#N/A</v>
      </c>
      <c r="BI166" s="140" t="e">
        <f ca="1">IF($BG166=1,0,IF($BE166&gt;=Control!$C$86,1,IF(AND($BB166&lt;21,$BB166&gt;=9),1,$BM165)))</f>
        <v>#N/A</v>
      </c>
      <c r="BJ166" s="140" t="e">
        <f ca="1">IF($BF166&lt;0,-$BF166,$BI166*IF(OR($G166&lt;Control!$C$92,$G166&gt;Control!$C$95),0,IF(AND($G166&gt;=Control!$C$92,$G166&lt;=Control!$C$93),$G166-Control!$C$92,IF(AND($G166&gt;Control!$C$93,$G166&lt;=Control!$C$94),Control!$C$93-Control!$C$92,IF(AND($G166&gt;Control!$C$94,$G166&lt;=Control!$C$95),(Control!$C$93-Control!$C$92)*(Control!$C$94-$G166)/(Control!$C$95-Control!$C$94))))))</f>
        <v>#N/A</v>
      </c>
      <c r="BK166" s="140" t="e">
        <f t="shared" ca="1" si="598"/>
        <v>#N/A</v>
      </c>
      <c r="BL166" s="140" t="e">
        <f ca="1">IF($BK166&lt;=Control!$C$87,$BK166,Control!$C$87-$BK166)</f>
        <v>#N/A</v>
      </c>
      <c r="BM166" s="140" t="e">
        <f ca="1">IF(AND($BB166&gt;=9,$BB166&lt;21),1,IF($BK166&gt;=Control!$C$87,0,$BI166))</f>
        <v>#N/A</v>
      </c>
      <c r="BN166" s="404" t="e">
        <f ca="1">IF($BM166=0,0,IF($BK166&lt;=Control!$C$87,$BI166*(9+(21-9)*($BL166/Control!$C$87)),0))</f>
        <v>#N/A</v>
      </c>
      <c r="BO166" s="140" t="e">
        <f ca="1">IF($BM166=1,0,IF($BK166&gt;=Control!$C$87,1,IF(AND($BB166&lt;30,$BB166&gt;=21),1,$BS165)))</f>
        <v>#N/A</v>
      </c>
      <c r="BP166" s="140" t="e">
        <f ca="1">IF($BL166&lt;0,-$BL166,$BO166*IF(OR($G166&lt;Control!$C$92,$G166&gt;Control!$C$95),0,IF(AND($G166&gt;=Control!$C$92,$G166&lt;=Control!$C$93),$G166-Control!$C$92,IF(AND($G166&gt;Control!$C$93,$G166&lt;=Control!$C$94),Control!$C$93-Control!$C$92,IF(AND($G166&gt;Control!$C$94,$G166&lt;=Control!$C$95),(Control!$C$93-Control!$C$92)*(Control!$C$94-$G166)/(Control!$C$95-Control!$C$94))))))</f>
        <v>#N/A</v>
      </c>
      <c r="BQ166" s="140" t="e">
        <f t="shared" ca="1" si="482"/>
        <v>#N/A</v>
      </c>
      <c r="BR166" s="140" t="e">
        <f ca="1">IF($BQ166&lt;=Control!$C$88,$BQ166,Control!$C$88-$BQ166)</f>
        <v>#N/A</v>
      </c>
      <c r="BS166" s="140" t="e">
        <f ca="1">IF(AND($BB166&gt;=21,$BB166&lt;30),1,IF($BQ166&gt;=Control!$C$88,0,$BO166))</f>
        <v>#N/A</v>
      </c>
      <c r="BT166" s="404" t="e">
        <f ca="1">IF($BS166=0,0,IF($BQ166&lt;=Control!$C$88,$BO166*(21+(30-21)*(BR166/Control!$C$88)),0))</f>
        <v>#N/A</v>
      </c>
      <c r="BU166" s="140" t="e">
        <f ca="1">IF(BG166+BM166+BS166=1,0,IF(OR(AND($BB166&lt;60,$BB166&gt;=30),$BQ166&gt;=Control!$C$88),1*$BA166,$BY165))</f>
        <v>#N/A</v>
      </c>
      <c r="BV166" s="140" t="e">
        <f ca="1">IF($BR166&lt;0,-$BR166,$BU166*IF(OR($G166&lt;Control!$C$92,$G166&gt;Control!$C$95),0,IF(AND($G166&gt;=Control!$C$92,$G166&lt;=Control!$C$93),$G166-Control!$C$92,IF(AND($G166&gt;Control!$C$93,$G166&lt;=Control!$C$94),Control!$C$93-Control!$C$92,IF(AND($G166&gt;Control!$C$94,$G166&lt;=Control!$C$95),(Control!$C$93-Control!$C$92)*(Control!$C$94-$G166)/(Control!$C$95-Control!$C$94))))))</f>
        <v>#N/A</v>
      </c>
      <c r="BW166" s="140" t="e">
        <f t="shared" ca="1" si="483"/>
        <v>#N/A</v>
      </c>
      <c r="BX166" s="140" t="e">
        <f ca="1">IF($BW166&lt;=Control!$C$89,$BW166,Control!$C$89-$BW166)</f>
        <v>#N/A</v>
      </c>
      <c r="BY166" s="140" t="e">
        <f ca="1">IF(AND($AJ166&gt;=30,$AJ166&lt;60),1,IF($BW166&gt;=Control!$C$89,0,$BU166))</f>
        <v>#N/A</v>
      </c>
      <c r="BZ166" s="404" t="e">
        <f ca="1">IF($BY166=0,0,IF($BW166&lt;=Control!$C$89,$BU166*(30+(60-30)*(BX166/Control!$C$89)),0))</f>
        <v>#N/A</v>
      </c>
      <c r="CA166" s="140" t="e">
        <f ca="1">IF($BG166+$BM166+$BS166+$BY166=1,0,IF(OR(AND($BB166&lt;65,$BB166&gt;=60),$BW166&gt;=Control!$C$89),1*$BA166,$CE165))</f>
        <v>#N/A</v>
      </c>
      <c r="CB166" s="140" t="e">
        <f ca="1">IF($BX166&lt;0,-$BX166,$CA166*IF(OR($G166&lt;Control!$C$92,$G166&gt;Control!$C$95),0,IF(AND($G166&gt;=Control!$C$92,$G166&lt;=Control!$C$93),$G166-Control!$C$92,IF(AND($G166&gt;Control!$C$93,$G166&lt;=Control!$C$94),Control!$C$93-Control!$C$92,IF(AND($G166&gt;Control!$C$94,$G166&lt;=Control!$C$95),(Control!$C$93-Control!$C$92)*(Control!$C$94-$G166)/(Control!$C$95-Control!$C$94))))))</f>
        <v>#N/A</v>
      </c>
      <c r="CC166" s="140" t="e">
        <f t="shared" ca="1" si="599"/>
        <v>#N/A</v>
      </c>
      <c r="CD166" s="140" t="e">
        <f ca="1">IF($CC166&lt;=Control!$C$90,$CC166,Control!$C$90-$CC166)</f>
        <v>#N/A</v>
      </c>
      <c r="CE166" s="140" t="e">
        <f ca="1">IF(AND($BB166&gt;=60,$BB166&lt;65),1,IF($CC166&gt;=Control!$C$90,0,$CA166))</f>
        <v>#N/A</v>
      </c>
      <c r="CF166" s="404" t="e">
        <f ca="1">IF($CE166=0,0,IF($CC166&lt;=Control!$C$90,$CA166*(60+(65-60)*(CD166/Control!$C$90)),0))</f>
        <v>#N/A</v>
      </c>
      <c r="CG166" s="140" t="e">
        <f ca="1">IF($BG166+$BM166+$BS166+$BY166+$CE166=1,0,IF(OR(AND($BB166&lt;90,$BB166&gt;=65),$CC166&gt;=Control!$C$90),$BA166,$CK165))</f>
        <v>#N/A</v>
      </c>
      <c r="CH166" s="140" t="e">
        <f ca="1">IF($CD166&lt;0,-$CD166,$CG166*IF(OR($G166&lt;Control!$C$92,$G166&gt;Control!$C$95),0,IF(AND($G166&gt;=Control!$C$92,$G166&lt;=Control!$C$93),$G166-Control!$C$92,IF(AND($G166&gt;Control!$C$93,$G166&lt;=Control!$C$94),Control!$C$93-Control!$C$92,IF(AND($G166&gt;Control!$C$94,$G166&lt;=Control!$C$95),(Control!$C$93-Control!$C$92)*(Control!$C$94-$G166)/(Control!$C$95-Control!$C$94))))))</f>
        <v>#N/A</v>
      </c>
      <c r="CI166" s="140" t="e">
        <f t="shared" ca="1" si="600"/>
        <v>#N/A</v>
      </c>
      <c r="CJ166" s="140" t="e">
        <f ca="1">IF($CI166&lt;=Control!$C$91,$CI166,Control!$C$91-$CI166)</f>
        <v>#N/A</v>
      </c>
      <c r="CK166" s="140" t="e">
        <f ca="1">IF(AND($BB166&gt;=65,$BB166&lt;90),1,IF($CI166&gt;=Control!$C$91,0,$CG166))</f>
        <v>#N/A</v>
      </c>
      <c r="CL166" s="404" t="e">
        <f ca="1">IF($CK166=0,0,IF($CI166&lt;=Control!$C$91,$CG166*(65+(90-65)*($CJ166/Control!$C$91)),0))</f>
        <v>#N/A</v>
      </c>
      <c r="CM166" s="140" t="e">
        <f ca="1">IF($BG166+$BM166+$BS166+$BY166+$CE166+$CK166=1,0,IF(OR($BB166&gt;=90,$CI166&gt;=Control!$C$91),$BA166,$CM165))</f>
        <v>#N/A</v>
      </c>
      <c r="CN166" s="140" t="e">
        <f t="shared" ca="1" si="601"/>
        <v>#N/A</v>
      </c>
      <c r="CO166" s="140" t="e">
        <f t="shared" ca="1" si="602"/>
        <v>#N/A</v>
      </c>
      <c r="CP166" s="140" t="e">
        <f t="shared" ca="1" si="603"/>
        <v>#N/A</v>
      </c>
      <c r="CQ166" s="141" t="e">
        <f ca="1">VLOOKUP($CP166,Control!$B$86:$G$91,6)</f>
        <v>#N/A</v>
      </c>
      <c r="CR166" s="141" t="e">
        <f ca="1">(1-$CQ166)*VLOOKUP($CP166,Control!$B$86:$D$91,3)</f>
        <v>#N/A</v>
      </c>
      <c r="CS166" s="141" t="e">
        <f ca="1">(1-$CQ166)*VLOOKUP($CP166,Control!$B$86:$E$91,4)</f>
        <v>#N/A</v>
      </c>
      <c r="CT166" s="141" t="e">
        <f ca="1">(1-$CQ166)*VLOOKUP($CP166,Control!$B$86:$F$91,5)</f>
        <v>#N/A</v>
      </c>
      <c r="CU166" s="141">
        <f t="shared" ca="1" si="604"/>
        <v>0</v>
      </c>
      <c r="CV166" s="583">
        <f t="shared" ca="1" si="605"/>
        <v>0</v>
      </c>
      <c r="CW166" s="142">
        <f t="shared" ca="1" si="606"/>
        <v>162</v>
      </c>
      <c r="CX166" s="612" t="e">
        <f ca="1">IF(Control!$C$114=1,(MIN(Control!$C$120*(IF($NT166-0.01&lt;0,0,1)),Control!$C$119-$CY166)))</f>
        <v>#DIV/0!</v>
      </c>
      <c r="CY166" s="143" t="e">
        <f t="shared" ca="1" si="607"/>
        <v>#N/A</v>
      </c>
      <c r="CZ166" s="144">
        <f t="shared" ca="1" si="484"/>
        <v>0</v>
      </c>
      <c r="DA166" s="144">
        <f t="shared" ca="1" si="485"/>
        <v>0</v>
      </c>
      <c r="DB166" s="144" t="e">
        <f t="shared" ca="1" si="486"/>
        <v>#N/A</v>
      </c>
      <c r="DC166" s="144" t="e">
        <f t="shared" ca="1" si="487"/>
        <v>#N/A</v>
      </c>
      <c r="DD166" s="144" t="e">
        <f t="shared" ca="1" si="692"/>
        <v>#N/A</v>
      </c>
      <c r="DE166" s="143" t="e">
        <f t="shared" ca="1" si="608"/>
        <v>#N/A</v>
      </c>
      <c r="DF166" s="145" t="e">
        <f ca="1">$DR166*EXP(-Control!$C$158*(1-$KH166))</f>
        <v>#N/A</v>
      </c>
      <c r="DG166" s="146" t="e">
        <f ca="1">IF(Control!$C$114=1, $DF166*$EY166, 0)</f>
        <v>#N/A</v>
      </c>
      <c r="DH166" s="147" t="e">
        <f t="shared" ca="1" si="609"/>
        <v>#N/A</v>
      </c>
      <c r="DI166" s="144" t="e">
        <f t="shared" ca="1" si="670"/>
        <v>#N/A</v>
      </c>
      <c r="DJ166" s="147" t="e">
        <f ca="1">$EF166*Control!$C$109</f>
        <v>#N/A</v>
      </c>
      <c r="DK166" s="144" t="e">
        <f t="shared" ca="1" si="610"/>
        <v>#N/A</v>
      </c>
      <c r="DL166" s="144" t="e">
        <f t="shared" ca="1" si="488"/>
        <v>#N/A</v>
      </c>
      <c r="DM166" s="144" t="e">
        <f ca="1">IF(Control!$C$114=1, (1-EXP(-Control!$C$96*$DK166))*$AR166, 0)</f>
        <v>#N/A</v>
      </c>
      <c r="DN166" s="144">
        <f t="shared" ca="1" si="611"/>
        <v>0</v>
      </c>
      <c r="DO166" s="148">
        <f>Control!$C$97</f>
        <v>4</v>
      </c>
      <c r="DP166" s="145" t="e">
        <f t="shared" ca="1" si="612"/>
        <v>#N/A</v>
      </c>
      <c r="DQ166" s="145" t="e">
        <f ca="1">IF(AND($CP166&gt;=0,$CP166&lt;=90),Control!$C$111,Control!$C$111)</f>
        <v>#N/A</v>
      </c>
      <c r="DR166" s="145" t="e">
        <f t="shared" ca="1" si="489"/>
        <v>#N/A</v>
      </c>
      <c r="DS166" s="143" t="e">
        <f ca="1">Control!$B$22/$DR166</f>
        <v>#N/A</v>
      </c>
      <c r="DT166" s="149" t="e">
        <f ca="1">IF(AND(Control!$C$114=1,$KH166&lt;1),$IM166*$DF166, 0)</f>
        <v>#N/A</v>
      </c>
      <c r="DU166" s="144" t="e">
        <f t="shared" ca="1" si="613"/>
        <v>#N/A</v>
      </c>
      <c r="DV166" s="144">
        <f ca="1">IF($G166-Control!$C$107&lt;=0, 0, 0.83*LN(MAX($G166, 3))-0.8924)</f>
        <v>0</v>
      </c>
      <c r="DW166" s="144" t="e">
        <f t="shared" ca="1" si="490"/>
        <v>#N/A</v>
      </c>
      <c r="DX166" s="150" t="e">
        <f ca="1">MAX(0.01*(1+$CU166/Control!$C$102),0.05*($DK166-Control!$C$97)/Control!$C$97)</f>
        <v>#N/A</v>
      </c>
      <c r="DY166" s="151" t="e">
        <f ca="1">IF(Control!$C$114=1, $DI166*$FS166, 0)</f>
        <v>#N/A</v>
      </c>
      <c r="DZ166" s="196" t="e">
        <f t="shared" ca="1" si="614"/>
        <v>#N/A</v>
      </c>
      <c r="EA166" s="152">
        <f t="shared" ca="1" si="615"/>
        <v>162</v>
      </c>
      <c r="EB166" s="153" t="e">
        <f t="shared" ca="1" si="616"/>
        <v>#N/A</v>
      </c>
      <c r="EC166" s="153" t="e">
        <f t="shared" ca="1" si="617"/>
        <v>#N/A</v>
      </c>
      <c r="ED166" s="154" t="e">
        <f ca="1">IF(Control!$C$114=1, $HM166*$FY166-$FD166, 0)</f>
        <v>#DIV/0!</v>
      </c>
      <c r="EE166" s="155" t="e">
        <f ca="1">IF(Control!$C$114=1, $HM166*$FZ166-$FF166, 0)</f>
        <v>#DIV/0!</v>
      </c>
      <c r="EF166" s="153" t="e">
        <f t="shared" ca="1" si="671"/>
        <v>#N/A</v>
      </c>
      <c r="EG166" s="155" t="e">
        <f ca="1">IF(Control!$C$114=1, $GX166*$FW166-$FI166, 0)</f>
        <v>#DIV/0!</v>
      </c>
      <c r="EH166" s="153" t="e">
        <f t="shared" ca="1" si="618"/>
        <v>#N/A</v>
      </c>
      <c r="EI166" s="156" t="e">
        <f t="shared" ca="1" si="619"/>
        <v>#N/A</v>
      </c>
      <c r="EJ166" s="155" t="e">
        <f ca="1">IF(Control!$C$114=1, $HM166*$GB166, 0)</f>
        <v>#DIV/0!</v>
      </c>
      <c r="EK166" s="153" t="e">
        <f t="shared" ca="1" si="672"/>
        <v>#N/A</v>
      </c>
      <c r="EL166" s="153" t="e">
        <f t="shared" ca="1" si="491"/>
        <v>#N/A</v>
      </c>
      <c r="EM166" s="153" t="e">
        <f t="shared" ca="1" si="492"/>
        <v>#N/A</v>
      </c>
      <c r="EN166" s="153" t="e">
        <f ca="1">IF(Control!$C$108=1,IF(AND(Control!$B$18=1,$EB166&gt;=Control!$B$19),$EB166-$DS166,IF(AND(Control!$B$18=2,$AW166=1,$EB166&gt;$DS166),$EB166-$DS166,0)))</f>
        <v>#N/A</v>
      </c>
      <c r="EO166" s="153" t="e">
        <f ca="1">IF(Control!$C$108=1,IF(AND(Control!$B$18=1,$EB166&gt;=Control!$B$19),$EF166,IF(AND(Control!$B$18=2,$AW166=1),$EF166,0)))</f>
        <v>#N/A</v>
      </c>
      <c r="EP166" s="153" t="e">
        <f ca="1">IF(Control!$C$108=1,IF(AND(Control!$B$18=1,$EB166&gt;=Control!$B$19),$EK166,IF(AND(Control!$B$18=2,$AW166=1),$EK166,0)))</f>
        <v>#N/A</v>
      </c>
      <c r="EQ166" s="153" t="e">
        <f t="shared" ca="1" si="620"/>
        <v>#N/A</v>
      </c>
      <c r="ER166" s="153" t="e">
        <f t="shared" ca="1" si="621"/>
        <v>#N/A</v>
      </c>
      <c r="ES166" s="153" t="e">
        <f t="shared" ca="1" si="673"/>
        <v>#N/A</v>
      </c>
      <c r="ET166" s="153" t="e">
        <f t="shared" ca="1" si="674"/>
        <v>#N/A</v>
      </c>
      <c r="EU166" s="153" t="e">
        <f t="shared" ca="1" si="622"/>
        <v>#N/A</v>
      </c>
      <c r="EV166" s="153" t="e">
        <f t="shared" ca="1" si="493"/>
        <v>#N/A</v>
      </c>
      <c r="EW166" s="153" t="e">
        <f t="shared" ca="1" si="494"/>
        <v>#N/A</v>
      </c>
      <c r="EX166" s="153" t="e">
        <f t="shared" ca="1" si="495"/>
        <v>#N/A</v>
      </c>
      <c r="EY166" s="157" t="e">
        <f t="shared" ca="1" si="496"/>
        <v>#DIV/0!</v>
      </c>
      <c r="EZ166" s="154" t="e">
        <f t="shared" ca="1" si="497"/>
        <v>#DIV/0!</v>
      </c>
      <c r="FA166" s="153" t="e">
        <f t="shared" ca="1" si="623"/>
        <v>#N/A</v>
      </c>
      <c r="FB166" s="153" t="e">
        <f t="shared" ca="1" si="498"/>
        <v>#N/A</v>
      </c>
      <c r="FC166" s="193" t="e">
        <f t="shared" ca="1" si="499"/>
        <v>#N/A</v>
      </c>
      <c r="FD166" s="158" t="e">
        <f t="shared" ca="1" si="624"/>
        <v>#N/A</v>
      </c>
      <c r="FE166" s="158" t="e">
        <f t="shared" ca="1" si="625"/>
        <v>#N/A</v>
      </c>
      <c r="FF166" s="159" t="e">
        <f t="shared" ca="1" si="500"/>
        <v>#N/A</v>
      </c>
      <c r="FG166" s="160" t="e">
        <f t="shared" ca="1" si="626"/>
        <v>#N/A</v>
      </c>
      <c r="FH166" s="158" t="e">
        <f t="shared" ca="1" si="627"/>
        <v>#N/A</v>
      </c>
      <c r="FI166" s="159" t="e">
        <f t="shared" ca="1" si="501"/>
        <v>#N/A</v>
      </c>
      <c r="FJ166" s="160" t="e">
        <f t="shared" ca="1" si="628"/>
        <v>#N/A</v>
      </c>
      <c r="FK166" s="160" t="e">
        <f t="shared" ca="1" si="502"/>
        <v>#N/A</v>
      </c>
      <c r="FL166" s="160" t="e">
        <f t="shared" ca="1" si="675"/>
        <v>#N/A</v>
      </c>
      <c r="FM166" s="160" t="e">
        <f t="shared" ca="1" si="503"/>
        <v>#N/A</v>
      </c>
      <c r="FN166" s="158">
        <f t="shared" ca="1" si="629"/>
        <v>0.01</v>
      </c>
      <c r="FO166" s="160">
        <f>Control!$C$101</f>
        <v>50</v>
      </c>
      <c r="FP166" s="150" t="e">
        <f t="shared" ca="1" si="504"/>
        <v>#N/A</v>
      </c>
      <c r="FQ166" s="150" t="e">
        <f ca="1">MAX(0,(Control!$C$112*(($DK166-Control!$C$97)/Control!$C$97)))</f>
        <v>#N/A</v>
      </c>
      <c r="FR166" s="150" t="e">
        <f ca="1">(1-$NT166)*Control!$C$113</f>
        <v>#DIV/0!</v>
      </c>
      <c r="FS166" s="198" t="e">
        <f t="shared" ca="1" si="505"/>
        <v>#N/A</v>
      </c>
      <c r="FT166" s="161">
        <f t="shared" ca="1" si="630"/>
        <v>162</v>
      </c>
      <c r="FU166" s="162" t="e">
        <f ca="1">IF(Control!$B$34=1,VLOOKUP($CP166,Control!$B$86:$G$91,6),Control!$B$35)</f>
        <v>#N/A</v>
      </c>
      <c r="FV166" s="162" t="e">
        <f t="shared" ca="1" si="506"/>
        <v>#DIV/0!</v>
      </c>
      <c r="FW166" s="162" t="e">
        <f ca="1">IF(Control!$B$31=1,$FU166*$FV166,  $FU166)</f>
        <v>#N/A</v>
      </c>
      <c r="FX166" s="162" t="e">
        <f ca="1">IF(Control!$B$34=1,VLOOKUP($CP166,Control!$B$86:$G$91,3),Control!$B$36)</f>
        <v>#N/A</v>
      </c>
      <c r="FY166" s="162" t="e">
        <f t="shared" ca="1" si="507"/>
        <v>#N/A</v>
      </c>
      <c r="FZ166" s="162" t="e">
        <f ca="1">IF(Control!$B$34=1,VLOOKUP($CP166,Control!$B$86:$G$91,4),Control!$B$37)</f>
        <v>#N/A</v>
      </c>
      <c r="GA166" s="162" t="e">
        <f t="shared" ca="1" si="508"/>
        <v>#N/A</v>
      </c>
      <c r="GB166" s="162" t="e">
        <f ca="1">IF(Control!$B$34=1,VLOOKUP($CP166,Control!$B$86:$G$91,5),Control!$B$38)</f>
        <v>#N/A</v>
      </c>
      <c r="GC166" s="162" t="e">
        <f t="shared" ca="1" si="631"/>
        <v>#N/A</v>
      </c>
      <c r="GD166" s="162">
        <f t="shared" ca="1" si="509"/>
        <v>1</v>
      </c>
      <c r="GE166" s="162">
        <f t="shared" ca="1" si="510"/>
        <v>1</v>
      </c>
      <c r="GF166" s="162">
        <f ca="1">IF(AND(Control!$C$104=1, Control!$C$62="F"),$GE166,1)</f>
        <v>1</v>
      </c>
      <c r="GG166" s="162" t="e">
        <f ca="1">IF(Control!$B$16=40,0,IF(AND(Control!$B$16&gt;40,Control!$B$16&lt;=360),(Control!$B$16-40)*((1-0)/(360-40)),IF(AND(Control!$B$16&gt;360,Control!$B$16&lt;=720),(1+(Control!$B$16-360)*((1.25-1)/(720-360))),IF(AND(Control!$B$16&gt;720,Control!$B$16&lt;=1000),(1.25+(Control!$B$16-720)*((1.35-1.25)/(1000-720))),IF(AND(Control!$B$16&gt;1000,Control!$B$16&lt;=2000),(1.35+(Control!$B$16-1000)*0))))))</f>
        <v>#N/A</v>
      </c>
      <c r="GH166" s="162" t="e">
        <f t="shared" ca="1" si="511"/>
        <v>#N/A</v>
      </c>
      <c r="GI166" s="162">
        <f t="shared" ca="1" si="632"/>
        <v>0</v>
      </c>
      <c r="GJ166" s="162">
        <f t="shared" ca="1" si="512"/>
        <v>0</v>
      </c>
      <c r="GK166" s="162">
        <f t="shared" ca="1" si="633"/>
        <v>1</v>
      </c>
      <c r="GL166" s="162">
        <f t="shared" ca="1" si="513"/>
        <v>1</v>
      </c>
      <c r="GM166" s="162" t="e">
        <f ca="1">MAX(0,MIN(1,1-Control!$C$156*(1.0001-$KH166)^2))</f>
        <v>#N/A</v>
      </c>
      <c r="GN166" s="162" t="e">
        <f ca="1">IF(Control!$B$26=1,$KU166,$KX166)</f>
        <v>#N/A</v>
      </c>
      <c r="GO166" s="162" t="e">
        <f ca="1">IF($CP166&lt;=60,Control!$C$105,IF($CP166&gt;=90,Control!$C$106,Control!$C$105+($CP166-60)*((Control!$C$106-Control!$C$105)/(90-60))))</f>
        <v>#N/A</v>
      </c>
      <c r="GP166" s="162" t="e">
        <f t="shared" ca="1" si="514"/>
        <v>#N/A</v>
      </c>
      <c r="GQ166" s="162" t="e">
        <f t="shared" ca="1" si="634"/>
        <v>#N/A</v>
      </c>
      <c r="GR166" s="163" t="e">
        <f t="shared" ca="1" si="515"/>
        <v>#DIV/0!</v>
      </c>
      <c r="GS166" s="162" t="e">
        <f t="shared" ca="1" si="516"/>
        <v>#DIV/0!</v>
      </c>
      <c r="GT166" s="164" t="e">
        <f t="shared" ca="1" si="635"/>
        <v>#N/A</v>
      </c>
      <c r="GU166" s="162" t="e">
        <f t="shared" ca="1" si="636"/>
        <v>#N/A</v>
      </c>
      <c r="GV166" s="162" t="e">
        <f t="shared" ca="1" si="517"/>
        <v>#N/A</v>
      </c>
      <c r="GW166" s="162" t="e">
        <f t="shared" ca="1" si="518"/>
        <v>#DIV/0!</v>
      </c>
      <c r="GX166" s="162" t="e">
        <f t="shared" ca="1" si="637"/>
        <v>#DIV/0!</v>
      </c>
      <c r="GY166" s="162" t="e">
        <f t="shared" ca="1" si="638"/>
        <v>#DIV/0!</v>
      </c>
      <c r="GZ166" s="165" t="e">
        <f t="shared" ca="1" si="519"/>
        <v>#N/A</v>
      </c>
      <c r="HA166" s="162" t="e">
        <f ca="1">IF(Control!$C$114=1, $DI166*$FS166, 0)</f>
        <v>#N/A</v>
      </c>
      <c r="HB166" s="162" t="e">
        <f ca="1">$FA166/Control!$C$64</f>
        <v>#N/A</v>
      </c>
      <c r="HC166" s="162" t="e">
        <f t="shared" ca="1" si="520"/>
        <v>#DIV/0!</v>
      </c>
      <c r="HD166" s="162">
        <f ca="1">-ASIN(SIN(23.45*Control!$C$139)*COS(2*Control!$C$138*($AH166+10)/365))</f>
        <v>0.40222542239937481</v>
      </c>
      <c r="HE166" s="165">
        <f t="shared" ca="1" si="639"/>
        <v>0</v>
      </c>
      <c r="HF166" s="166">
        <f ca="1">IF(AND(Control!$C$61="T",$HE166&gt;=Control!$C$103,Control!$C$114=0),$AH166,Control!$C$59)</f>
        <v>1</v>
      </c>
      <c r="HG166" s="166">
        <f ca="1">IF(AND(Control!$C$61="T",$HE166&gt;=Control!$C$103,Control!$C$114=0),$HF166,Control!$C$59)</f>
        <v>1</v>
      </c>
      <c r="HH166" s="165">
        <f ca="1">IF(AND(OR(Control!$C$60&lt;=0, $AH166= Control!$C$59, Control!$C$60 &gt;0, $AH166 = Control!$C$60)), Control!$C$59, IF(Control!$C$60&gt;0, 0))</f>
        <v>1</v>
      </c>
      <c r="HI166" s="165">
        <f ca="1">IF(AND(OR(Control!$C$60&lt;=0, $AH166= Control!$C$59, Control!$C$60 &gt;0, $AH166 = Control!$C$60)), Control!$C$60, IF(Control!$C$60&lt;=0, 0))</f>
        <v>0</v>
      </c>
      <c r="HJ166" s="166">
        <f ca="1">IF(AND(Control!$C$62="F",$CV166&gt;=Control!$C$102),$AH166,0)</f>
        <v>0</v>
      </c>
      <c r="HK166" s="165" t="e">
        <f t="shared" ca="1" si="676"/>
        <v>#N/A</v>
      </c>
      <c r="HL166" s="166">
        <f ca="1">IF(AND(Control!$C$61="T",$HE166&gt;=Control!$C$103,Control!$C$114=0),$HF166,0)</f>
        <v>0</v>
      </c>
      <c r="HM166" s="201" t="e">
        <f t="shared" ca="1" si="521"/>
        <v>#DIV/0!</v>
      </c>
      <c r="HN166" s="215">
        <f t="shared" ca="1" si="640"/>
        <v>162</v>
      </c>
      <c r="HO166" s="216" t="e">
        <f ca="1">IF(AND($CP166&gt;=0, $CP166&lt;=90), Control!$C$152, Control!$C$152)</f>
        <v>#N/A</v>
      </c>
      <c r="HP166" s="216" t="e">
        <f t="shared" ca="1" si="522"/>
        <v>#N/A</v>
      </c>
      <c r="HQ166" s="217" t="e">
        <f ca="1">IF(OR(Control!$B$26=1,Control!$B$26=2),$KV166,$KS166)</f>
        <v>#DIV/0!</v>
      </c>
      <c r="HR166" s="218" t="e">
        <f t="shared" ca="1" si="677"/>
        <v>#DIV/0!</v>
      </c>
      <c r="HS166" s="216" t="e">
        <f ca="1">Control!$C$154*$HP166</f>
        <v>#N/A</v>
      </c>
      <c r="HT166" s="216" t="e">
        <f ca="1">Control!$C$155*$HP166</f>
        <v>#N/A</v>
      </c>
      <c r="HU166" s="217" t="e">
        <f ca="1">Control!$C$161*$FI166</f>
        <v>#N/A</v>
      </c>
      <c r="HV166" s="218" t="e">
        <f t="shared" ca="1" si="641"/>
        <v>#N/A</v>
      </c>
      <c r="HW166" s="218" t="e">
        <f ca="1">Control!$C$160*$FF166+$IP166*$EO166</f>
        <v>#N/A</v>
      </c>
      <c r="HX166" s="218" t="e">
        <f t="shared" ca="1" si="678"/>
        <v>#N/A</v>
      </c>
      <c r="HY166" s="219" t="e">
        <f ca="1">IF(Control!$C$114=1, $EB166*$FS166, 0)</f>
        <v>#N/A</v>
      </c>
      <c r="HZ166" s="91" t="e">
        <f t="shared" ca="1" si="523"/>
        <v>#N/A</v>
      </c>
      <c r="IA166" s="220" t="e">
        <f ca="1">Control!$C$153*$HO166</f>
        <v>#N/A</v>
      </c>
      <c r="IB166" s="218" t="e">
        <f t="shared" ca="1" si="524"/>
        <v>#N/A</v>
      </c>
      <c r="IC166" s="220" t="e">
        <f ca="1">Control!$C$153*$HT166</f>
        <v>#N/A</v>
      </c>
      <c r="ID166" s="218" t="e">
        <f t="shared" ca="1" si="525"/>
        <v>#N/A</v>
      </c>
      <c r="IE166" s="221" t="e">
        <f ca="1">($EB166*Control!$C$159+$EF166*Control!$C$160)/(IF($GZ166&lt;&gt;0,$GZ166,1))</f>
        <v>#N/A</v>
      </c>
      <c r="IF166" s="216" t="e">
        <f t="shared" ca="1" si="526"/>
        <v>#N/A</v>
      </c>
      <c r="IG166" s="91">
        <f ca="1">IF(OR(Control!$B$198=$AH166,Control!$B$199=$AH166, Control!$B$200=$AH166, Control!$B$201=$AH166, Control!$B$202=$AH166, Control!$B$203=$AH166, Control!$B$204=$AH166, Control!$B$205=$AH166, Control!$B$206=$AH166, Control!$B$207=$AH166), 1, 0)</f>
        <v>0</v>
      </c>
      <c r="IH166" s="91">
        <f ca="1">IF($IG166=0,0, VLOOKUP($AH166,Control!$B$198:$C$207,2))</f>
        <v>0</v>
      </c>
      <c r="II166" s="222">
        <f t="shared" ca="1" si="642"/>
        <v>0</v>
      </c>
      <c r="IJ166" s="91">
        <f>Control!$C$121</f>
        <v>0.7</v>
      </c>
      <c r="IK166" s="218">
        <f t="shared" ca="1" si="527"/>
        <v>0</v>
      </c>
      <c r="IL166" s="217" t="e">
        <f t="shared" ca="1" si="679"/>
        <v>#N/A</v>
      </c>
      <c r="IM166" s="223" t="e">
        <f ca="1">IF(AND(Control!$C$114=1,$KH166&lt;1),$EB166*Control!$C$148*(1-$KH166), 0)</f>
        <v>#N/A</v>
      </c>
      <c r="IN166" s="217" t="e">
        <f t="shared" ca="1" si="528"/>
        <v>#DIV/0!</v>
      </c>
      <c r="IO166" s="91" t="e">
        <f ca="1">MAX(0,$IL166-$EF166*Control!$C$160)</f>
        <v>#N/A</v>
      </c>
      <c r="IP166" s="220" t="e">
        <f t="shared" ca="1" si="529"/>
        <v>#N/A</v>
      </c>
      <c r="IQ166" s="217" t="e">
        <f t="shared" ca="1" si="643"/>
        <v>#N/A</v>
      </c>
      <c r="IR166" s="218" t="e">
        <f t="shared" ca="1" si="530"/>
        <v>#N/A</v>
      </c>
      <c r="IS166" s="217" t="e">
        <f ca="1">Control!$C$159*MAX(0,$FD166-$EN166)</f>
        <v>#N/A</v>
      </c>
      <c r="IT166" s="217" t="e">
        <f t="shared" ca="1" si="680"/>
        <v>#N/A</v>
      </c>
      <c r="IU166" s="217" t="e">
        <f t="shared" ca="1" si="644"/>
        <v>#N/A</v>
      </c>
      <c r="IV166" s="217" t="e">
        <f t="shared" ca="1" si="681"/>
        <v>#N/A</v>
      </c>
      <c r="IW166" s="217" t="e">
        <f ca="1">IF(OR($AW166=1,AND($AW166=0, Control!$B$18=1,$EN166&lt;&gt;0)), $IQ166-$IU166, $IQ166)</f>
        <v>#N/A</v>
      </c>
      <c r="IX166" s="218" t="e">
        <f t="shared" ca="1" si="531"/>
        <v>#N/A</v>
      </c>
      <c r="IY166" s="218" t="e">
        <f ca="1">MAX(0,$IQ166-$EB166*Control!$C$159)</f>
        <v>#N/A</v>
      </c>
      <c r="IZ166" s="218" t="e">
        <f t="shared" ca="1" si="532"/>
        <v>#N/A</v>
      </c>
      <c r="JA166" s="216" t="e">
        <f t="shared" ca="1" si="533"/>
        <v>#N/A</v>
      </c>
      <c r="JB166" s="217" t="e">
        <f t="shared" ca="1" si="534"/>
        <v>#N/A</v>
      </c>
      <c r="JC166" s="222" t="e">
        <f ca="1">MAX(Control!$C$157*$EK166-$JT166, 0)/Control!$C$162</f>
        <v>#N/A</v>
      </c>
      <c r="JD166" s="218" t="e">
        <f t="shared" ca="1" si="535"/>
        <v>#N/A</v>
      </c>
      <c r="JE166" s="218" t="e">
        <f t="shared" ca="1" si="536"/>
        <v>#N/A</v>
      </c>
      <c r="JF166" s="218" t="e">
        <f t="shared" ca="1" si="645"/>
        <v>#N/A</v>
      </c>
      <c r="JG166" s="218" t="e">
        <f t="shared" ca="1" si="537"/>
        <v>#N/A</v>
      </c>
      <c r="JH166" s="217" t="e">
        <f t="shared" ca="1" si="646"/>
        <v>#N/A</v>
      </c>
      <c r="JI166" s="217" t="e">
        <f t="shared" ca="1" si="647"/>
        <v>#N/A</v>
      </c>
      <c r="JJ166" s="217" t="e">
        <f t="shared" ca="1" si="682"/>
        <v>#N/A</v>
      </c>
      <c r="JK166" s="217" t="e">
        <f ca="1">IF(Control!$C$114=1,IF(Control!$B$24=0,MAX(0,$JI166)*$GN166/Control!$C$64,(MAX(0,MIN($JI166,$JJ166*$GN166/Control!$C$64),0))))</f>
        <v>#N/A</v>
      </c>
      <c r="JL166" s="217" t="e">
        <f ca="1">$IK166/Control!$C$64-$JK166+$HQ166</f>
        <v>#N/A</v>
      </c>
      <c r="JM166" s="217" t="e">
        <f ca="1">IF(Control!$C$114=1,($JB166/(IF($JI166&lt;&gt;0,$JI166,1)))*$JK166,0)</f>
        <v>#N/A</v>
      </c>
      <c r="JN166" s="217" t="e">
        <f ca="1">IF(Control!$C$114=1,($JG166/(IF($JI166&lt;&gt;0,$JI166,1)))*$JK166, 0)</f>
        <v>#N/A</v>
      </c>
      <c r="JO166" s="218" t="e">
        <f t="shared" ca="1" si="538"/>
        <v>#N/A</v>
      </c>
      <c r="JP166" s="218" t="e">
        <f ca="1">MIN(($IY166+$IO166)*Control!$C$151, $JF166-$EH166*Control!$C$161)</f>
        <v>#N/A</v>
      </c>
      <c r="JQ166" s="218" t="e">
        <f t="shared" ca="1" si="539"/>
        <v>#N/A</v>
      </c>
      <c r="JR166" s="217" t="e">
        <f ca="1">IF($CP166-Control!$C$150&lt;0, 0, $JQ166/Control!$C$162)</f>
        <v>#N/A</v>
      </c>
      <c r="JS166" s="218" t="e">
        <f t="shared" ca="1" si="540"/>
        <v>#N/A</v>
      </c>
      <c r="JT166" s="218" t="e">
        <f t="shared" ca="1" si="648"/>
        <v>#N/A</v>
      </c>
      <c r="JU166" s="218" t="e">
        <f t="shared" ca="1" si="541"/>
        <v>#N/A</v>
      </c>
      <c r="JV166" s="218" t="e">
        <f t="shared" ca="1" si="542"/>
        <v>#N/A</v>
      </c>
      <c r="JW166" s="216" t="e">
        <f t="shared" ca="1" si="543"/>
        <v>#N/A</v>
      </c>
      <c r="JX166" s="91" t="e">
        <f t="shared" ca="1" si="544"/>
        <v>#N/A</v>
      </c>
      <c r="JY166" s="218" t="e">
        <f t="shared" ca="1" si="545"/>
        <v>#N/A</v>
      </c>
      <c r="JZ166" s="217" t="e">
        <f ca="1">IF(Control!$C$114=1,($IZ166/(IF($JI166&lt;&gt;0,$JI166,1)))*$JK166, 0)</f>
        <v>#N/A</v>
      </c>
      <c r="KA166" s="218" t="e">
        <f t="shared" ca="1" si="683"/>
        <v>#N/A</v>
      </c>
      <c r="KB166" s="218" t="e">
        <f t="shared" ca="1" si="649"/>
        <v>#N/A</v>
      </c>
      <c r="KC166" s="218" t="e">
        <f t="shared" ca="1" si="546"/>
        <v>#N/A</v>
      </c>
      <c r="KD166" s="218" t="e">
        <f t="shared" ca="1" si="547"/>
        <v>#N/A</v>
      </c>
      <c r="KE166" s="218" t="e">
        <f t="shared" ca="1" si="548"/>
        <v>#N/A</v>
      </c>
      <c r="KF166" s="218" t="e">
        <f t="shared" ca="1" si="549"/>
        <v>#N/A</v>
      </c>
      <c r="KG166" s="216" t="e">
        <f t="shared" ca="1" si="550"/>
        <v>#N/A</v>
      </c>
      <c r="KH166" s="221" t="e">
        <f ca="1">IF(Control!$B$24=0,1,MAX(0.001,MIN(1,IF(($IF166-$IE166)&lt;&gt;0,($KG166-$IE166)/($IF166-$IE166),1))))</f>
        <v>#N/A</v>
      </c>
      <c r="KI166" s="222" t="e">
        <f ca="1">IF(Control!$C$114=1, $KI165+ $KH165, 0)</f>
        <v>#N/A</v>
      </c>
      <c r="KJ166" s="217" t="e">
        <f t="shared" ca="1" si="551"/>
        <v>#N/A</v>
      </c>
      <c r="KK166" s="218" t="e">
        <f t="shared" ca="1" si="552"/>
        <v>#N/A</v>
      </c>
      <c r="KL166" s="274" t="e">
        <f ca="1">IF(Control!$B$26=3,4000000000*EXP(-8400/($G166+273)),IF(Control!$B$26=4,4000000000*EXP(-8400/($G166+273))*($KT166),0))</f>
        <v>#DIV/0!</v>
      </c>
      <c r="KM166" s="274" t="e">
        <f ca="1">IF(Control!$B$26=3,5600000000000*EXP(-9800/($G166+273)),IF(Control!$B$26=4,5600000000000*EXP(-9800/($G166+273))*$KT166,0))</f>
        <v>#DIV/0!</v>
      </c>
      <c r="KN166" s="454" t="e">
        <f t="shared" ca="1" si="650"/>
        <v>#DIV/0!</v>
      </c>
      <c r="KO166" s="274" t="e">
        <f t="shared" ca="1" si="651"/>
        <v>#DIV/0!</v>
      </c>
      <c r="KP166" s="454" t="e">
        <f t="shared" ca="1" si="553"/>
        <v>#DIV/0!</v>
      </c>
      <c r="KQ166" s="454" t="e">
        <f t="shared" ca="1" si="554"/>
        <v>#DIV/0!</v>
      </c>
      <c r="KR166" s="454" t="e">
        <f t="shared" ca="1" si="555"/>
        <v>#DIV/0!</v>
      </c>
      <c r="KS166" s="454" t="e">
        <f t="shared" ca="1" si="556"/>
        <v>#DIV/0!</v>
      </c>
      <c r="KT166" s="455" t="e">
        <f t="shared" ca="1" si="557"/>
        <v>#DIV/0!</v>
      </c>
      <c r="KU166" s="456" t="e">
        <f ca="1">IF($CP166-Control!$C$149&lt;0, IF($NT166-0.01&lt;0,0,1),0)</f>
        <v>#N/A</v>
      </c>
      <c r="KV166" s="456" t="e">
        <f ca="1">IF(Control!$C$114=1,MAX(0,MIN(Control!$C$125*$KW166*$GN166,$KW166)))</f>
        <v>#DIV/0!</v>
      </c>
      <c r="KW166" s="456" t="e">
        <f t="shared" ca="1" si="684"/>
        <v>#DIV/0!</v>
      </c>
      <c r="KX166" s="457" t="e">
        <f ca="1">IF($CP166-Control!$C$149&lt;0, IF($MR166-$OM166&lt;0,0,1),0)</f>
        <v>#N/A</v>
      </c>
      <c r="KY166" s="167">
        <f t="shared" ca="1" si="652"/>
        <v>162</v>
      </c>
      <c r="KZ166" s="168">
        <f ca="1">1370*(1+0.033*COS(2*Control!$C$138*$AH166/365))</f>
        <v>1327.5758562257295</v>
      </c>
      <c r="LA166" s="169">
        <f t="shared" ca="1" si="653"/>
        <v>0.96903354607255143</v>
      </c>
      <c r="LB166" s="169">
        <f t="shared" ca="1" si="654"/>
        <v>0.40295832722235758</v>
      </c>
      <c r="LC166" s="169">
        <f ca="1">ACOS(-TAN((2*Control!$B$8/360))*TAN(Calculations!$LB166))</f>
        <v>1.6978308856510564</v>
      </c>
      <c r="LD166" s="169">
        <f ca="1">((24*60)/PI())*0.082*$LA166*(($LC166*SIN(Control!$B$8*2*PI()/360))*SIN($LB166)+COS(Control!$B$8*2*PI()/360)*COS($LB166)*SIN($LC166))</f>
        <v>39.570304799484319</v>
      </c>
      <c r="LE166" s="170">
        <f t="shared" ca="1" si="558"/>
        <v>41.20472618228245</v>
      </c>
      <c r="LF166" s="170">
        <f ca="1">SIN(Control!$C$139*Control!$B$8)*SIN($HD166)</f>
        <v>0.30848081653604514</v>
      </c>
      <c r="LG166" s="170">
        <f ca="1">COS(Control!$C$139*Control!$B$8)*COS($HD166)</f>
        <v>0.56652528302869087</v>
      </c>
      <c r="LH166" s="170">
        <f ca="1">12*(1+2*ASIN(MAX(-1,MIN(1,$LF166/$LG166))/Control!$C$138))</f>
        <v>16.180883085074129</v>
      </c>
      <c r="LI166" s="170">
        <f ca="1">12*(1+2*ASIN(MAX(-1,MIN(1,(-SIN(-4*Control!$C$139)+$LF166)/$LG166))/Control!$C$138))</f>
        <v>17.139609974755135</v>
      </c>
      <c r="LJ166" s="168">
        <f ca="1">3600*($LH166*$LF166+24*$LG166*SQRT(1-$LK166*$LK166)/Control!$C$138)</f>
        <v>31037.568203015249</v>
      </c>
      <c r="LK166" s="170">
        <f t="shared" ca="1" si="559"/>
        <v>0.54451376801204932</v>
      </c>
      <c r="LL166" s="170">
        <f t="shared" ca="1" si="560"/>
        <v>0</v>
      </c>
      <c r="LM166" s="171">
        <f ca="1">Control!$C$145*$AB166</f>
        <v>6.6660906138995932E-2</v>
      </c>
      <c r="LN166" s="170">
        <f t="shared" ca="1" si="655"/>
        <v>0.54</v>
      </c>
      <c r="LO166" s="170">
        <f t="shared" ca="1" si="561"/>
        <v>0</v>
      </c>
      <c r="LP166" s="170">
        <f ca="1">Control!$C$140*((($D166+273.16)^4+($E166+273.16)^4)/2)*(0.34-0.14*SQRT($Y166))*(1.35*$AQ166/(0.75*$LD166)-0.35)</f>
        <v>-3.2464704755046001</v>
      </c>
      <c r="LQ166" s="170">
        <f ca="1">Control!$C$140*($G166+273)^4*(0.56-0.079*SQRT($Y166*10))*(0.1+0.9*$LO166)</f>
        <v>1.5241745131704001</v>
      </c>
      <c r="LR166" s="170">
        <f ca="1">$AQ166*(1-Control!$C$142)-$LQ166</f>
        <v>-1.5241745131704001</v>
      </c>
      <c r="LS166" s="170">
        <f ca="1">$AQ166*(1-Control!$C$143)-$LQ166</f>
        <v>-1.5241745131704001</v>
      </c>
      <c r="LT166" s="170">
        <f ca="1">$AQ166*(1-Control!$C$144)-$LQ166</f>
        <v>-1.5241745131704001</v>
      </c>
      <c r="LU166" s="169">
        <f ca="1">(1-Control!$C$144)*AQ166-LP166</f>
        <v>3.2464704755046001</v>
      </c>
      <c r="LV166" s="172">
        <f t="shared" ca="1" si="562"/>
        <v>0.79430000000000012</v>
      </c>
      <c r="LW166" s="170">
        <f t="shared" ca="1" si="563"/>
        <v>1.5886000000000002</v>
      </c>
      <c r="LX166" s="170">
        <f ca="1">($AC166*($LR166/Control!$C$141)+$LM166*$LV166)/($AC166+$LM166)</f>
        <v>0.23530094218323697</v>
      </c>
      <c r="LY166" s="170">
        <f ca="1">($AC166*($LS166/Control!$C$141)+$LM166*$LV166)/($AC166+$LM166)</f>
        <v>0.23530094218323697</v>
      </c>
      <c r="LZ166" s="170">
        <f t="shared" ca="1" si="564"/>
        <v>0.23530094218323697</v>
      </c>
      <c r="MA166" s="170">
        <f t="shared" ca="1" si="565"/>
        <v>0.23530094218323697</v>
      </c>
      <c r="MB166" s="170" t="e">
        <f t="shared" ca="1" si="566"/>
        <v>#N/A</v>
      </c>
      <c r="MC166" s="170">
        <f t="shared" ca="1" si="656"/>
        <v>0.6018</v>
      </c>
      <c r="MD166" s="170">
        <f t="shared" ca="1" si="567"/>
        <v>0.52989392535414004</v>
      </c>
      <c r="ME166" s="170">
        <f ca="1">($AC166*($LT166/Control!$C$141)+$LM166*$LW166)/($AC166+$LM166)</f>
        <v>0.71612369323045078</v>
      </c>
      <c r="MF166" s="170" t="e">
        <f ca="1">IF(Control!$B$16&gt;=1000,0.92,IF(AND(720&lt;=Control!$B$16,1000&gt;Control!$B$16),(0.95+(Control!$B$16-720)*((0.92-0.95)/(1000-720))),IF(AND(360&lt;=Control!$B$16,720&gt;Control!$B$16),(1+(Control!$B$16-360)*((0.95-1)/(720-360))),IF(AND(40&lt;=Control!$B$16,360&gt;Control!$B$16),(1.05+(Control!$B$16-40)*((1.05-1)/(360-40)))))))</f>
        <v>#N/A</v>
      </c>
      <c r="MG166" s="170">
        <f t="shared" ca="1" si="568"/>
        <v>0.71612369323045078</v>
      </c>
      <c r="MH166" s="170" t="e">
        <f t="shared" ref="MH166:MI185" ca="1" si="694">$MG166*$MF166</f>
        <v>#N/A</v>
      </c>
      <c r="MI166" s="170" t="e">
        <f t="shared" ca="1" si="694"/>
        <v>#N/A</v>
      </c>
      <c r="MJ166" s="170" t="e">
        <f ca="1">MAX(0.0001, Control!$C$132*$MI166*$DL166)</f>
        <v>#N/A</v>
      </c>
      <c r="MK166" s="170">
        <f ca="1">1/(0.76+1.5*($MG166/10))-(5-Control!$C$110)*0.1</f>
        <v>1.002845988140797</v>
      </c>
      <c r="ML166" s="173">
        <f ca="1">IF(Control!$C$110&lt;3,$MK166+($MG166-0.6)/(Control!$C$110*(Control!$C$110+3)), MAX(0.1, MIN(0.95,$MK166)))</f>
        <v>0.95</v>
      </c>
      <c r="MM166" s="173">
        <f ca="1">IF(Control!$C$110&lt;3,$MK166+(($MI166/10)-0.6)/(Control!$C$110*(Control!$C$110+3)), MAX(0.1, MIN(0.95,$MK166)))</f>
        <v>0.95</v>
      </c>
      <c r="MN166" s="173">
        <f ca="1">(1-$MM166)*(Control!$C$128-Control!$C$127)+Control!$C$127</f>
        <v>0.16</v>
      </c>
      <c r="MO166" s="170" t="e">
        <f ca="1">MAX(0,MIN(1,($MS166-Control!$C$127)/($MN166-Control!$C$127)))</f>
        <v>#DIV/0!</v>
      </c>
      <c r="MP166" s="173" t="e">
        <f ca="1">1/(0.76+1.5*$MI166)-(5-Control!$C$110)*0.1</f>
        <v>#N/A</v>
      </c>
      <c r="MQ166" s="172" t="e">
        <f t="shared" ca="1" si="685"/>
        <v>#DIV/0!</v>
      </c>
      <c r="MR166" s="168" t="e">
        <f t="shared" ca="1" si="657"/>
        <v>#DIV/0!</v>
      </c>
      <c r="MS166" s="173" t="e">
        <f ca="1">MAX(Control!$C$127, MIN(Control!$C$135, $MR166/MAX(0.0001,$CY166)))</f>
        <v>#DIV/0!</v>
      </c>
      <c r="MT166" s="168" t="e">
        <f ca="1">(Control!$C$128-$MS166)*Control!$C$74</f>
        <v>#DIV/0!</v>
      </c>
      <c r="MU166" s="168" t="e">
        <f ca="1">(Control!$C$135-$MS166)*Control!$C$74</f>
        <v>#DIV/0!</v>
      </c>
      <c r="MV166" s="168" t="e">
        <f t="shared" ca="1" si="658"/>
        <v>#DIV/0!</v>
      </c>
      <c r="MW166" s="168" t="e">
        <f t="shared" ca="1" si="659"/>
        <v>#DIV/0!</v>
      </c>
      <c r="MX166" s="171" t="e">
        <f ca="1">MAX(Control!$C$127, MIN(Control!$C$135, $MW166/MAX(0.0001,Control!$C$119-$CY166)))</f>
        <v>#DIV/0!</v>
      </c>
      <c r="MY166" s="54" t="e">
        <f ca="1">IF(Control!$C$114=1, $CX166*$MX166, 0)</f>
        <v>#DIV/0!</v>
      </c>
      <c r="MZ166" s="54" t="e">
        <f t="shared" ca="1" si="660"/>
        <v>#N/A</v>
      </c>
      <c r="NA166" s="168" t="e">
        <f ca="1">(Control!$C$128-$MX166)*(Control!$C$119-Control!$C$74)</f>
        <v>#DIV/0!</v>
      </c>
      <c r="NB166" s="168" t="e">
        <f ca="1">(Control!$C$135-$MX166)*(Control!$C$119-Control!$C$74)</f>
        <v>#DIV/0!</v>
      </c>
      <c r="NC166" s="174" t="e">
        <f t="shared" ca="1" si="661"/>
        <v>#DIV/0!</v>
      </c>
      <c r="ND166" s="54">
        <f ca="1">IF(Control!$C$58=2, IF(OR(Control!$B$218=$AH166,Control!$B$219=$AH166, Control!$B$220=$AH166, Control!$B$221=$AH166, Control!$B$222=$AH166, Control!$B$223=$AH166, Control!$B$224=$AH166, Control!$B$225=$AH166, Control!$B$226=$AH166, Control!$B$227=$AH166, Control!$B$228=$AH166), 1, 0), 0)</f>
        <v>1</v>
      </c>
      <c r="NE166" s="54">
        <f ca="1">IF($ND166=0,0, VLOOKUP($AH166,Control!$B$218:$C$228,2))</f>
        <v>0</v>
      </c>
      <c r="NF166" s="168" t="e">
        <f ca="1">$CY166*(Control!$C$128-Control!$C$127)</f>
        <v>#N/A</v>
      </c>
      <c r="NG166" s="54" t="e">
        <f ca="1">IF(Control!$C$58=2, $NI165-$NJ165, 0)</f>
        <v>#DIV/0!</v>
      </c>
      <c r="NH166" s="54" t="e">
        <f ca="1">IF(AND(Control!$C$58=1, $MS165&lt;= ($MN165+0.02), $I165&lt;10), 0, IF(Control!$C$58=2, $NG165, 0))</f>
        <v>#DIV/0!</v>
      </c>
      <c r="NI166" s="54" t="e">
        <f ca="1">IF(Control!$C$58=2, $NE166+$NH166,0)</f>
        <v>#DIV/0!</v>
      </c>
      <c r="NJ166" s="54" t="e">
        <f ca="1">IF(AND(Control!$C$58=1, $MS166&lt;= ($MN166+0.02), $I166&lt;10), MAX(0, MIN(10, 0.7*($NF166-$MV166))), IF(Control!$C$58=2, MIN(10,$NI166),0))</f>
        <v>#DIV/0!</v>
      </c>
      <c r="NK166" s="54" t="e">
        <f t="shared" ca="1" si="569"/>
        <v>#DIV/0!</v>
      </c>
      <c r="NL166" s="173" t="e">
        <f ca="1">(1-Control!$C$73)*$I166+$NJ166</f>
        <v>#DIV/0!</v>
      </c>
      <c r="NM166" s="172" t="e">
        <f ca="1">IF($NL166&lt;0.5, $MB166* MAX(0, MIN(1, (SQRT($NC166)-SQRT($NC166-1))*Control!$C$71)),0)</f>
        <v>#DIV/0!</v>
      </c>
      <c r="NN166" s="170" t="e">
        <f ca="1">IF($NL166&gt;=5, $MB166, MAX(0,MIN($MB166, $NM166+$NL166,($MS166-Control!$C$129))))</f>
        <v>#DIV/0!</v>
      </c>
      <c r="NO166" s="54">
        <f>IF(Control!$C$133&lt;&gt;1, Control!$C$135-Control!$C$131, 0)</f>
        <v>0.38</v>
      </c>
      <c r="NP166" s="54" t="e">
        <f t="shared" ca="1" si="570"/>
        <v>#DIV/0!</v>
      </c>
      <c r="NQ166" s="173" t="e">
        <f ca="1">MAX(0,MIN(1,(Control!$C$135-$MS166)/(Control!$C$135-$NO166)))</f>
        <v>#DIV/0!</v>
      </c>
      <c r="NR166" s="170" t="e">
        <f ca="1">IF(Control!$C$133&lt;&gt;1, $NQ166+((1-$NP166/4)*(1-$NQ166)),1)</f>
        <v>#DIV/0!</v>
      </c>
      <c r="NS166" s="170" t="e">
        <f ca="1">IF(Control!$B$31=0,$MJ166,MAX(0,MIN($MV166,$MO166*$NR166*$MJ166)))</f>
        <v>#DIV/0!</v>
      </c>
      <c r="NT166" s="170" t="e">
        <f t="shared" ca="1" si="686"/>
        <v>#DIV/0!</v>
      </c>
      <c r="NU166" s="170" t="e">
        <f t="shared" ca="1" si="662"/>
        <v>#N/A</v>
      </c>
      <c r="NV166" s="170" t="e">
        <f t="shared" ca="1" si="571"/>
        <v>#N/A</v>
      </c>
      <c r="NW166" s="175" t="e">
        <f t="shared" ca="1" si="572"/>
        <v>#DIV/0!</v>
      </c>
      <c r="NX166" s="170" t="e">
        <f ca="1">MIN(Control!$C$72+$MU166, $NW166)</f>
        <v>#DIV/0!</v>
      </c>
      <c r="NY166" s="170" t="e">
        <f ca="1">IF($MT166&lt;=$NX166,MIN(Control!$C$72+$NB166,$NX166-$MT166),0)</f>
        <v>#DIV/0!</v>
      </c>
      <c r="NZ166" s="54" t="e">
        <f ca="1">IF(Control!$C$114=1,  $CX166*($MX166-Control!$C$127), 0)</f>
        <v>#DIV/0!</v>
      </c>
      <c r="OA166" s="170" t="e">
        <f t="shared" ca="1" si="573"/>
        <v>#DIV/0!</v>
      </c>
      <c r="OB166" s="170" t="e">
        <f ca="1">IF($NA166 &lt;=$NY166, MIN(Control!$C$72, $NY166-$NA166), 0)</f>
        <v>#DIV/0!</v>
      </c>
      <c r="OC166" s="168" t="e">
        <f t="shared" ca="1" si="574"/>
        <v>#DIV/0!</v>
      </c>
      <c r="OD166" s="168" t="e">
        <f t="shared" ca="1" si="663"/>
        <v>#DIV/0!</v>
      </c>
      <c r="OE166" s="170">
        <f ca="1">Control!$C$73*$I166</f>
        <v>0</v>
      </c>
      <c r="OF166" s="176" t="e">
        <f t="shared" ca="1" si="575"/>
        <v>#DIV/0!</v>
      </c>
      <c r="OG166" s="168" t="e">
        <f t="shared" ca="1" si="576"/>
        <v>#DIV/0!</v>
      </c>
      <c r="OH166" s="168" t="e">
        <f t="shared" ca="1" si="577"/>
        <v>#DIV/0!</v>
      </c>
      <c r="OI166" s="168" t="e">
        <f t="shared" ca="1" si="578"/>
        <v>#DIV/0!</v>
      </c>
      <c r="OJ166" s="168" t="e">
        <f t="shared" ca="1" si="579"/>
        <v>#DIV/0!</v>
      </c>
      <c r="OK166" s="204" t="e">
        <f t="shared" ca="1" si="580"/>
        <v>#DIV/0!</v>
      </c>
      <c r="OL166" s="177">
        <f>Control!$C$127</f>
        <v>0.15</v>
      </c>
      <c r="OM166" s="182" t="e">
        <f t="shared" ca="1" si="581"/>
        <v>#N/A</v>
      </c>
      <c r="ON166" s="177">
        <f>Control!$C$128</f>
        <v>0.35</v>
      </c>
      <c r="OO166" s="182" t="e">
        <f t="shared" ca="1" si="582"/>
        <v>#N/A</v>
      </c>
      <c r="OP166" s="138">
        <f t="shared" ca="1" si="664"/>
        <v>0</v>
      </c>
      <c r="OQ166" s="138" t="e">
        <f t="shared" ca="1" si="687"/>
        <v>#DIV/0!</v>
      </c>
      <c r="OR166" s="138" t="e">
        <f t="shared" ca="1" si="665"/>
        <v>#DIV/0!</v>
      </c>
      <c r="OS166" s="137" t="e">
        <f t="shared" ca="1" si="688"/>
        <v>#DIV/0!</v>
      </c>
      <c r="OT166" s="139" t="e">
        <f t="shared" ca="1" si="689"/>
        <v>#DIV/0!</v>
      </c>
      <c r="OU166" s="138" t="e">
        <f t="shared" ca="1" si="690"/>
        <v>#N/A</v>
      </c>
      <c r="OV166" s="138" t="e">
        <f t="shared" ca="1" si="691"/>
        <v>#DIV/0!</v>
      </c>
      <c r="OW166" s="138" t="e">
        <f t="shared" ca="1" si="666"/>
        <v>#DIV/0!</v>
      </c>
      <c r="OX166" s="138" t="e">
        <f t="shared" ca="1" si="667"/>
        <v>#DIV/0!</v>
      </c>
      <c r="OY166" s="138" t="e">
        <f t="shared" ca="1" si="668"/>
        <v>#DIV/0!</v>
      </c>
      <c r="OZ166" s="138" t="e">
        <f t="shared" ca="1" si="583"/>
        <v>#DIV/0!</v>
      </c>
      <c r="PA166" s="138" t="e">
        <f t="shared" ca="1" si="584"/>
        <v>#DIV/0!</v>
      </c>
      <c r="PB166" s="55">
        <f>IF(Control!$C$61="T", IF(Control!$C$65="F", IF($AH$6-Control!$C$60&lt;0,0,1), IF(365+$AH$6-Control!$C$60&lt;0,0,1)),0)</f>
        <v>0</v>
      </c>
      <c r="PC166" s="55">
        <f ca="1">IF(Control!$C$65="F", IF($AH$6-$HF166&lt;0,0,1), IF(365+$AH$6-$HF166&lt;0,0,1))</f>
        <v>1</v>
      </c>
      <c r="PD166" s="444">
        <f>Control!$C$118</f>
        <v>1500</v>
      </c>
      <c r="PE166" s="180" t="e">
        <f t="shared" ca="1" si="585"/>
        <v>#N/A</v>
      </c>
      <c r="PF166" s="445">
        <f t="shared" ca="1" si="669"/>
        <v>0.71612369323045078</v>
      </c>
      <c r="PT166" s="186"/>
      <c r="PU166" s="186"/>
      <c r="PV166" s="94"/>
      <c r="PW166" s="94"/>
      <c r="PX166" s="94"/>
      <c r="PY166" s="94"/>
      <c r="PZ166" s="94"/>
      <c r="QA166" s="94"/>
      <c r="QB166" s="94"/>
      <c r="QC166" s="94"/>
      <c r="QD166" s="94"/>
      <c r="QE166" s="94"/>
      <c r="QF166" s="94"/>
      <c r="QG166" s="94"/>
      <c r="QH166" s="94"/>
      <c r="QI166" s="94"/>
      <c r="QJ166" s="94"/>
      <c r="QK166" s="94"/>
      <c r="QL166" s="94"/>
      <c r="QM166" s="94"/>
      <c r="QN166" s="94"/>
      <c r="QO166" s="94"/>
      <c r="QP166" s="94"/>
    </row>
    <row r="167" spans="1:458" s="2" customFormat="1" x14ac:dyDescent="0.2">
      <c r="A167" s="395">
        <v>11</v>
      </c>
      <c r="B167" s="396">
        <v>6</v>
      </c>
      <c r="C167" s="387">
        <f ca="1">Weather_data!$B166</f>
        <v>0</v>
      </c>
      <c r="D167" s="388">
        <f ca="1">Weather_data!$F166</f>
        <v>0</v>
      </c>
      <c r="E167" s="388">
        <f ca="1">Weather_data!$E166</f>
        <v>0</v>
      </c>
      <c r="F167" s="388">
        <f t="shared" ca="1" si="586"/>
        <v>0</v>
      </c>
      <c r="G167" s="388">
        <f ca="1">AVERAGE($D167:$E167)+Control!$B$9</f>
        <v>0</v>
      </c>
      <c r="H167" s="388">
        <f ca="1">Weather_data!$G166</f>
        <v>0</v>
      </c>
      <c r="I167" s="388">
        <f ca="1">Weather_data!$I166</f>
        <v>0</v>
      </c>
      <c r="J167" s="388">
        <f ca="1">Weather_data!$H166</f>
        <v>0</v>
      </c>
      <c r="K167" s="389">
        <f ca="1">Weather_data!$D166</f>
        <v>0</v>
      </c>
      <c r="L167" s="388" t="e">
        <f t="shared" ca="1" si="587"/>
        <v>#N/A</v>
      </c>
      <c r="M167" s="388" t="e">
        <f t="shared" ca="1" si="465"/>
        <v>#N/A</v>
      </c>
      <c r="N167" s="388">
        <f t="shared" ca="1" si="466"/>
        <v>-2.1478998321508679E-8</v>
      </c>
      <c r="O167" s="388">
        <f t="shared" ca="1" si="588"/>
        <v>2.1478998321508678E-7</v>
      </c>
      <c r="P167" s="390">
        <v>3</v>
      </c>
      <c r="Q167" s="388">
        <f ca="1">MAX($G167-Control!$C$107,0)</f>
        <v>0</v>
      </c>
      <c r="R167" s="388">
        <f t="shared" ca="1" si="589"/>
        <v>0</v>
      </c>
      <c r="S167" s="388">
        <f t="shared" ca="1" si="467"/>
        <v>0</v>
      </c>
      <c r="T167" s="388">
        <f t="shared" ca="1" si="468"/>
        <v>0</v>
      </c>
      <c r="U167" s="59">
        <f t="shared" ca="1" si="469"/>
        <v>0</v>
      </c>
      <c r="V167" s="391">
        <f ca="1">MAX(0,MIN(Control!$C$100-Control!$C$99,$G167-Control!$C$99)*Control!$C$63)</f>
        <v>0</v>
      </c>
      <c r="W167" s="388">
        <f t="shared" ca="1" si="590"/>
        <v>0</v>
      </c>
      <c r="X167" s="388">
        <f t="shared" ca="1" si="591"/>
        <v>0.6110000000000001</v>
      </c>
      <c r="Y167" s="388">
        <f t="shared" ca="1" si="470"/>
        <v>0</v>
      </c>
      <c r="Z167" s="388">
        <f t="shared" ca="1" si="592"/>
        <v>0.61058800000000002</v>
      </c>
      <c r="AA167" s="388">
        <f t="shared" ca="1" si="471"/>
        <v>0.6018</v>
      </c>
      <c r="AB167" s="388">
        <f ca="1">101.3*EXP(-0.034*Control!$C$66/($G167+273))</f>
        <v>100.69623283836242</v>
      </c>
      <c r="AC167" s="392">
        <f t="shared" ca="1" si="472"/>
        <v>4.3460251046025113E-2</v>
      </c>
      <c r="AD167" s="392">
        <f t="shared" ca="1" si="473"/>
        <v>4.4450382862832649E-2</v>
      </c>
      <c r="AE167" s="388">
        <f t="shared" ca="1" si="474"/>
        <v>0</v>
      </c>
      <c r="AF167" s="388">
        <f ca="1">MAX(0,$G167-Control!$C$92)</f>
        <v>0</v>
      </c>
      <c r="AG167" s="393">
        <f t="shared" ca="1" si="475"/>
        <v>163</v>
      </c>
      <c r="AH167" s="389">
        <f t="shared" ca="1" si="476"/>
        <v>163</v>
      </c>
      <c r="AI167" s="388">
        <f t="shared" ca="1" si="593"/>
        <v>0.40350089968654318</v>
      </c>
      <c r="AJ167" s="388">
        <f ca="1">IF(Control!$C$60&lt;=0,$HH167,$HI167)</f>
        <v>1</v>
      </c>
      <c r="AK167" s="388">
        <f t="shared" ca="1" si="477"/>
        <v>1.4287791246463171</v>
      </c>
      <c r="AL167" s="388">
        <f t="shared" ca="1" si="478"/>
        <v>-7.7543405724300728E-18</v>
      </c>
      <c r="AM167" s="388">
        <f t="shared" ca="1" si="479"/>
        <v>1.4287791246463171</v>
      </c>
      <c r="AN167" s="388">
        <f t="shared" ca="1" si="480"/>
        <v>0.40475671680588676</v>
      </c>
      <c r="AO167" s="388">
        <f ca="1">-0.10453/COS(Control!$B$8*PI()/180)*COS(AN167)</f>
        <v>-0.15606594636007101</v>
      </c>
      <c r="AP167" s="388">
        <f ca="1">ACOS(AO167-TAN(Control!$B$8*PI()/180)*TAN(AN167))</f>
        <v>2.3523847136806584</v>
      </c>
      <c r="AQ167" s="388">
        <f t="shared" ca="1" si="594"/>
        <v>0</v>
      </c>
      <c r="AR167" s="394">
        <f t="shared" ca="1" si="481"/>
        <v>0</v>
      </c>
      <c r="AS167" s="436">
        <f ca="1">IF(Control!$B$18=2,(IF(OR($AH167=Control!$B$175,$AH167=Control!$B$176,$AH167=Control!$B$177,$AH167=Control!$B$178,$AH167=Control!$B$179,$AH167=Control!$B$180,$AH167=Control!$B$181,$AH167=Control!$B$182,$AH167=Control!$B$183,$AH167=Control!$B$184,$AH167=Control!$B$185),1,0)),0)</f>
        <v>0</v>
      </c>
      <c r="AT167" s="436">
        <f>IF(Control!$B$20=8,IF(AND($AH167&gt;=Control!$B$172,$AH167&lt;=Control!$B$173),1,0),0)</f>
        <v>0</v>
      </c>
      <c r="AU167" s="436">
        <f>IF(Control!$B$20=8,IF($AV166=1,1*$AT167,IF($AT167=1,$AU166+1,$AU166)),0)</f>
        <v>0</v>
      </c>
      <c r="AV167" s="436">
        <f>IF(Control!$B$20=8,IF($AU167&gt;=Control!$B$174,1,0),0)</f>
        <v>0</v>
      </c>
      <c r="AW167" s="436">
        <f ca="1">IF(AND(Control!$B$18=2,Control!$B$171=1), $AV167, $AS167)</f>
        <v>0</v>
      </c>
      <c r="AX167" s="436" t="e">
        <f ca="1">IF(AND(Control!$B$18=1,$EU167&gt;=Control!$B$19),-$AY167,IF(AND(Control!$B$18=2,$AW167=1,$EU167&gt;$DS167),-$AY167, IF(Control!$C$108=0,0, IF(Control!$C$108&lt;&gt;0,1))))</f>
        <v>#N/A</v>
      </c>
      <c r="AY167" s="436" t="e">
        <f t="shared" ca="1" si="595"/>
        <v>#N/A</v>
      </c>
      <c r="AZ167" s="436" t="e">
        <f ca="1">IF(AND(Control!$B$18=1,$EB167&gt;Control!$B$19),$AZ166+1, IF(AND(Control!$B$18=2, $AW167=1, $EB167&gt;$DS167), $AZ166+1,$AZ166))</f>
        <v>#N/A</v>
      </c>
      <c r="BA167" s="587">
        <f>IF(Control!$C$81=0,1,IF($AH167&gt;=Control!$C$82,1,0))</f>
        <v>1</v>
      </c>
      <c r="BB167" s="140" t="e">
        <f ca="1">IF($BA167&gt;$BA166,Control!$C$83,IF($AW167&gt;0,$AW167*Control!$C$84,IF(AND(Control!$B$18=1,EN166&lt;&gt;0),Control!$C$84,0)))</f>
        <v>#N/A</v>
      </c>
      <c r="BC167" s="140" t="e">
        <f t="shared" ca="1" si="596"/>
        <v>#N/A</v>
      </c>
      <c r="BD167" s="140" t="e">
        <f ca="1">BC167*IF(OR($G167&lt;Control!$C$92,$G167&gt;Control!$C$95),0,IF(AND($G167&gt;=Control!$C$92,$G167&lt;=Control!$C$93),$G167-Control!$C$92,IF(AND($G167&gt;Control!$C$93,$G167&lt;=Control!$C$94),Control!$C$93-Control!$C$92,IF(AND($G167&gt;Control!$C$94,$G167&lt;=Control!$C$95),(Control!$C$93-Control!$C$92)*(Control!$C$94-$G167)/(Control!$C$95-Control!$C$94)))))</f>
        <v>#N/A</v>
      </c>
      <c r="BE167" s="140" t="e">
        <f t="shared" ca="1" si="597"/>
        <v>#N/A</v>
      </c>
      <c r="BF167" s="140" t="e">
        <f ca="1">IF($BE167&lt;=Control!$C$86,$BE167,Control!$C$86-$BE167)</f>
        <v>#N/A</v>
      </c>
      <c r="BG167" s="140" t="e">
        <f ca="1">IF(AND($AW167=1,Control!$C$84&lt;9),1,IF($BE167&gt;=Control!$C$86,0,$BC167))</f>
        <v>#N/A</v>
      </c>
      <c r="BH167" s="404" t="e">
        <f ca="1">IF($BG167=0,0,IF($BE167&lt;=Control!$C$86,$BC167*9*($BF167/Control!$C$86),0))</f>
        <v>#N/A</v>
      </c>
      <c r="BI167" s="140" t="e">
        <f ca="1">IF($BG167=1,0,IF($BE167&gt;=Control!$C$86,1,IF(AND($BB167&lt;21,$BB167&gt;=9),1,$BM166)))</f>
        <v>#N/A</v>
      </c>
      <c r="BJ167" s="140" t="e">
        <f ca="1">IF($BF167&lt;0,-$BF167,$BI167*IF(OR($G167&lt;Control!$C$92,$G167&gt;Control!$C$95),0,IF(AND($G167&gt;=Control!$C$92,$G167&lt;=Control!$C$93),$G167-Control!$C$92,IF(AND($G167&gt;Control!$C$93,$G167&lt;=Control!$C$94),Control!$C$93-Control!$C$92,IF(AND($G167&gt;Control!$C$94,$G167&lt;=Control!$C$95),(Control!$C$93-Control!$C$92)*(Control!$C$94-$G167)/(Control!$C$95-Control!$C$94))))))</f>
        <v>#N/A</v>
      </c>
      <c r="BK167" s="140" t="e">
        <f t="shared" ca="1" si="598"/>
        <v>#N/A</v>
      </c>
      <c r="BL167" s="140" t="e">
        <f ca="1">IF($BK167&lt;=Control!$C$87,$BK167,Control!$C$87-$BK167)</f>
        <v>#N/A</v>
      </c>
      <c r="BM167" s="140" t="e">
        <f ca="1">IF(AND($BB167&gt;=9,$BB167&lt;21),1,IF($BK167&gt;=Control!$C$87,0,$BI167))</f>
        <v>#N/A</v>
      </c>
      <c r="BN167" s="404" t="e">
        <f ca="1">IF($BM167=0,0,IF($BK167&lt;=Control!$C$87,$BI167*(9+(21-9)*($BL167/Control!$C$87)),0))</f>
        <v>#N/A</v>
      </c>
      <c r="BO167" s="140" t="e">
        <f ca="1">IF($BM167=1,0,IF($BK167&gt;=Control!$C$87,1,IF(AND($BB167&lt;30,$BB167&gt;=21),1,$BS166)))</f>
        <v>#N/A</v>
      </c>
      <c r="BP167" s="140" t="e">
        <f ca="1">IF($BL167&lt;0,-$BL167,$BO167*IF(OR($G167&lt;Control!$C$92,$G167&gt;Control!$C$95),0,IF(AND($G167&gt;=Control!$C$92,$G167&lt;=Control!$C$93),$G167-Control!$C$92,IF(AND($G167&gt;Control!$C$93,$G167&lt;=Control!$C$94),Control!$C$93-Control!$C$92,IF(AND($G167&gt;Control!$C$94,$G167&lt;=Control!$C$95),(Control!$C$93-Control!$C$92)*(Control!$C$94-$G167)/(Control!$C$95-Control!$C$94))))))</f>
        <v>#N/A</v>
      </c>
      <c r="BQ167" s="140" t="e">
        <f t="shared" ca="1" si="482"/>
        <v>#N/A</v>
      </c>
      <c r="BR167" s="140" t="e">
        <f ca="1">IF($BQ167&lt;=Control!$C$88,$BQ167,Control!$C$88-$BQ167)</f>
        <v>#N/A</v>
      </c>
      <c r="BS167" s="140" t="e">
        <f ca="1">IF(AND($BB167&gt;=21,$BB167&lt;30),1,IF($BQ167&gt;=Control!$C$88,0,$BO167))</f>
        <v>#N/A</v>
      </c>
      <c r="BT167" s="404" t="e">
        <f ca="1">IF($BS167=0,0,IF($BQ167&lt;=Control!$C$88,$BO167*(21+(30-21)*(BR167/Control!$C$88)),0))</f>
        <v>#N/A</v>
      </c>
      <c r="BU167" s="140" t="e">
        <f ca="1">IF(BG167+BM167+BS167=1,0,IF(OR(AND($BB167&lt;60,$BB167&gt;=30),$BQ167&gt;=Control!$C$88),1*$BA167,$BY166))</f>
        <v>#N/A</v>
      </c>
      <c r="BV167" s="140" t="e">
        <f ca="1">IF($BR167&lt;0,-$BR167,$BU167*IF(OR($G167&lt;Control!$C$92,$G167&gt;Control!$C$95),0,IF(AND($G167&gt;=Control!$C$92,$G167&lt;=Control!$C$93),$G167-Control!$C$92,IF(AND($G167&gt;Control!$C$93,$G167&lt;=Control!$C$94),Control!$C$93-Control!$C$92,IF(AND($G167&gt;Control!$C$94,$G167&lt;=Control!$C$95),(Control!$C$93-Control!$C$92)*(Control!$C$94-$G167)/(Control!$C$95-Control!$C$94))))))</f>
        <v>#N/A</v>
      </c>
      <c r="BW167" s="140" t="e">
        <f t="shared" ca="1" si="483"/>
        <v>#N/A</v>
      </c>
      <c r="BX167" s="140" t="e">
        <f ca="1">IF($BW167&lt;=Control!$C$89,$BW167,Control!$C$89-$BW167)</f>
        <v>#N/A</v>
      </c>
      <c r="BY167" s="140" t="e">
        <f ca="1">IF(AND($AJ167&gt;=30,$AJ167&lt;60),1,IF($BW167&gt;=Control!$C$89,0,$BU167))</f>
        <v>#N/A</v>
      </c>
      <c r="BZ167" s="404" t="e">
        <f ca="1">IF($BY167=0,0,IF($BW167&lt;=Control!$C$89,$BU167*(30+(60-30)*(BX167/Control!$C$89)),0))</f>
        <v>#N/A</v>
      </c>
      <c r="CA167" s="140" t="e">
        <f ca="1">IF($BG167+$BM167+$BS167+$BY167=1,0,IF(OR(AND($BB167&lt;65,$BB167&gt;=60),$BW167&gt;=Control!$C$89),1*$BA167,$CE166))</f>
        <v>#N/A</v>
      </c>
      <c r="CB167" s="140" t="e">
        <f ca="1">IF($BX167&lt;0,-$BX167,$CA167*IF(OR($G167&lt;Control!$C$92,$G167&gt;Control!$C$95),0,IF(AND($G167&gt;=Control!$C$92,$G167&lt;=Control!$C$93),$G167-Control!$C$92,IF(AND($G167&gt;Control!$C$93,$G167&lt;=Control!$C$94),Control!$C$93-Control!$C$92,IF(AND($G167&gt;Control!$C$94,$G167&lt;=Control!$C$95),(Control!$C$93-Control!$C$92)*(Control!$C$94-$G167)/(Control!$C$95-Control!$C$94))))))</f>
        <v>#N/A</v>
      </c>
      <c r="CC167" s="140" t="e">
        <f t="shared" ca="1" si="599"/>
        <v>#N/A</v>
      </c>
      <c r="CD167" s="140" t="e">
        <f ca="1">IF($CC167&lt;=Control!$C$90,$CC167,Control!$C$90-$CC167)</f>
        <v>#N/A</v>
      </c>
      <c r="CE167" s="140" t="e">
        <f ca="1">IF(AND($BB167&gt;=60,$BB167&lt;65),1,IF($CC167&gt;=Control!$C$90,0,$CA167))</f>
        <v>#N/A</v>
      </c>
      <c r="CF167" s="404" t="e">
        <f ca="1">IF($CE167=0,0,IF($CC167&lt;=Control!$C$90,$CA167*(60+(65-60)*(CD167/Control!$C$90)),0))</f>
        <v>#N/A</v>
      </c>
      <c r="CG167" s="140" t="e">
        <f ca="1">IF($BG167+$BM167+$BS167+$BY167+$CE167=1,0,IF(OR(AND($BB167&lt;90,$BB167&gt;=65),$CC167&gt;=Control!$C$90),$BA167,$CK166))</f>
        <v>#N/A</v>
      </c>
      <c r="CH167" s="140" t="e">
        <f ca="1">IF($CD167&lt;0,-$CD167,$CG167*IF(OR($G167&lt;Control!$C$92,$G167&gt;Control!$C$95),0,IF(AND($G167&gt;=Control!$C$92,$G167&lt;=Control!$C$93),$G167-Control!$C$92,IF(AND($G167&gt;Control!$C$93,$G167&lt;=Control!$C$94),Control!$C$93-Control!$C$92,IF(AND($G167&gt;Control!$C$94,$G167&lt;=Control!$C$95),(Control!$C$93-Control!$C$92)*(Control!$C$94-$G167)/(Control!$C$95-Control!$C$94))))))</f>
        <v>#N/A</v>
      </c>
      <c r="CI167" s="140" t="e">
        <f t="shared" ca="1" si="600"/>
        <v>#N/A</v>
      </c>
      <c r="CJ167" s="140" t="e">
        <f ca="1">IF($CI167&lt;=Control!$C$91,$CI167,Control!$C$91-$CI167)</f>
        <v>#N/A</v>
      </c>
      <c r="CK167" s="140" t="e">
        <f ca="1">IF(AND($BB167&gt;=65,$BB167&lt;90),1,IF($CI167&gt;=Control!$C$91,0,$CG167))</f>
        <v>#N/A</v>
      </c>
      <c r="CL167" s="404" t="e">
        <f ca="1">IF($CK167=0,0,IF($CI167&lt;=Control!$C$91,$CG167*(65+(90-65)*($CJ167/Control!$C$91)),0))</f>
        <v>#N/A</v>
      </c>
      <c r="CM167" s="140" t="e">
        <f ca="1">IF($BG167+$BM167+$BS167+$BY167+$CE167+$CK167=1,0,IF(OR($BB167&gt;=90,$CI167&gt;=Control!$C$91),$BA167,$CM166))</f>
        <v>#N/A</v>
      </c>
      <c r="CN167" s="140" t="e">
        <f t="shared" ca="1" si="601"/>
        <v>#N/A</v>
      </c>
      <c r="CO167" s="140" t="e">
        <f t="shared" ca="1" si="602"/>
        <v>#N/A</v>
      </c>
      <c r="CP167" s="140" t="e">
        <f t="shared" ca="1" si="603"/>
        <v>#N/A</v>
      </c>
      <c r="CQ167" s="141" t="e">
        <f ca="1">VLOOKUP($CP167,Control!$B$86:$G$91,6)</f>
        <v>#N/A</v>
      </c>
      <c r="CR167" s="141" t="e">
        <f ca="1">(1-$CQ167)*VLOOKUP($CP167,Control!$B$86:$D$91,3)</f>
        <v>#N/A</v>
      </c>
      <c r="CS167" s="141" t="e">
        <f ca="1">(1-$CQ167)*VLOOKUP($CP167,Control!$B$86:$E$91,4)</f>
        <v>#N/A</v>
      </c>
      <c r="CT167" s="141" t="e">
        <f ca="1">(1-$CQ167)*VLOOKUP($CP167,Control!$B$86:$F$91,5)</f>
        <v>#N/A</v>
      </c>
      <c r="CU167" s="141">
        <f t="shared" ca="1" si="604"/>
        <v>0</v>
      </c>
      <c r="CV167" s="583">
        <f t="shared" ca="1" si="605"/>
        <v>0</v>
      </c>
      <c r="CW167" s="142">
        <f t="shared" ca="1" si="606"/>
        <v>163</v>
      </c>
      <c r="CX167" s="612" t="e">
        <f ca="1">IF(Control!$C$114=1,(MIN(Control!$C$120*(IF($NT167-0.01&lt;0,0,1)),Control!$C$119-$CY167)))</f>
        <v>#DIV/0!</v>
      </c>
      <c r="CY167" s="143" t="e">
        <f t="shared" ca="1" si="607"/>
        <v>#N/A</v>
      </c>
      <c r="CZ167" s="144">
        <f t="shared" ca="1" si="484"/>
        <v>0</v>
      </c>
      <c r="DA167" s="144">
        <f t="shared" ca="1" si="485"/>
        <v>0</v>
      </c>
      <c r="DB167" s="144" t="e">
        <f t="shared" ca="1" si="486"/>
        <v>#N/A</v>
      </c>
      <c r="DC167" s="144" t="e">
        <f t="shared" ca="1" si="487"/>
        <v>#N/A</v>
      </c>
      <c r="DD167" s="144" t="e">
        <f t="shared" ca="1" si="692"/>
        <v>#N/A</v>
      </c>
      <c r="DE167" s="143" t="e">
        <f t="shared" ca="1" si="608"/>
        <v>#N/A</v>
      </c>
      <c r="DF167" s="145" t="e">
        <f ca="1">$DR167*EXP(-Control!$C$158*(1-$KH167))</f>
        <v>#N/A</v>
      </c>
      <c r="DG167" s="146" t="e">
        <f ca="1">IF(Control!$C$114=1, $DF167*$EY167, 0)</f>
        <v>#N/A</v>
      </c>
      <c r="DH167" s="147" t="e">
        <f t="shared" ca="1" si="609"/>
        <v>#N/A</v>
      </c>
      <c r="DI167" s="144" t="e">
        <f t="shared" ca="1" si="670"/>
        <v>#N/A</v>
      </c>
      <c r="DJ167" s="147" t="e">
        <f ca="1">$EF167*Control!$C$109</f>
        <v>#N/A</v>
      </c>
      <c r="DK167" s="144" t="e">
        <f t="shared" ca="1" si="610"/>
        <v>#N/A</v>
      </c>
      <c r="DL167" s="144" t="e">
        <f t="shared" ca="1" si="488"/>
        <v>#N/A</v>
      </c>
      <c r="DM167" s="144" t="e">
        <f ca="1">IF(Control!$C$114=1, (1-EXP(-Control!$C$96*$DK167))*$AR167, 0)</f>
        <v>#N/A</v>
      </c>
      <c r="DN167" s="144">
        <f t="shared" ca="1" si="611"/>
        <v>0</v>
      </c>
      <c r="DO167" s="148">
        <f>Control!$C$97</f>
        <v>4</v>
      </c>
      <c r="DP167" s="145" t="e">
        <f t="shared" ca="1" si="612"/>
        <v>#N/A</v>
      </c>
      <c r="DQ167" s="145" t="e">
        <f ca="1">IF(AND($CP167&gt;=0,$CP167&lt;=90),Control!$C$111,Control!$C$111)</f>
        <v>#N/A</v>
      </c>
      <c r="DR167" s="145" t="e">
        <f t="shared" ca="1" si="489"/>
        <v>#N/A</v>
      </c>
      <c r="DS167" s="143" t="e">
        <f ca="1">Control!$B$22/$DR167</f>
        <v>#N/A</v>
      </c>
      <c r="DT167" s="149" t="e">
        <f ca="1">IF(AND(Control!$C$114=1,$KH167&lt;1),$IM167*$DF167, 0)</f>
        <v>#N/A</v>
      </c>
      <c r="DU167" s="144" t="e">
        <f t="shared" ca="1" si="613"/>
        <v>#N/A</v>
      </c>
      <c r="DV167" s="144">
        <f ca="1">IF($G167-Control!$C$107&lt;=0, 0, 0.83*LN(MAX($G167, 3))-0.8924)</f>
        <v>0</v>
      </c>
      <c r="DW167" s="144" t="e">
        <f t="shared" ca="1" si="490"/>
        <v>#N/A</v>
      </c>
      <c r="DX167" s="150" t="e">
        <f ca="1">MAX(0.01*(1+$CU167/Control!$C$102),0.05*($DK167-Control!$C$97)/Control!$C$97)</f>
        <v>#N/A</v>
      </c>
      <c r="DY167" s="151" t="e">
        <f ca="1">IF(Control!$C$114=1, $DI167*$FS167, 0)</f>
        <v>#N/A</v>
      </c>
      <c r="DZ167" s="196" t="e">
        <f t="shared" ca="1" si="614"/>
        <v>#N/A</v>
      </c>
      <c r="EA167" s="152">
        <f t="shared" ca="1" si="615"/>
        <v>163</v>
      </c>
      <c r="EB167" s="153" t="e">
        <f t="shared" ca="1" si="616"/>
        <v>#N/A</v>
      </c>
      <c r="EC167" s="153" t="e">
        <f t="shared" ca="1" si="617"/>
        <v>#N/A</v>
      </c>
      <c r="ED167" s="154" t="e">
        <f ca="1">IF(Control!$C$114=1, $HM167*$FY167-$FD167, 0)</f>
        <v>#DIV/0!</v>
      </c>
      <c r="EE167" s="155" t="e">
        <f ca="1">IF(Control!$C$114=1, $HM167*$FZ167-$FF167, 0)</f>
        <v>#DIV/0!</v>
      </c>
      <c r="EF167" s="153" t="e">
        <f t="shared" ca="1" si="671"/>
        <v>#N/A</v>
      </c>
      <c r="EG167" s="155" t="e">
        <f ca="1">IF(Control!$C$114=1, $GX167*$FW167-$FI167, 0)</f>
        <v>#DIV/0!</v>
      </c>
      <c r="EH167" s="153" t="e">
        <f t="shared" ca="1" si="618"/>
        <v>#N/A</v>
      </c>
      <c r="EI167" s="156" t="e">
        <f t="shared" ca="1" si="619"/>
        <v>#N/A</v>
      </c>
      <c r="EJ167" s="155" t="e">
        <f ca="1">IF(Control!$C$114=1, $HM167*$GB167, 0)</f>
        <v>#DIV/0!</v>
      </c>
      <c r="EK167" s="153" t="e">
        <f t="shared" ca="1" si="672"/>
        <v>#N/A</v>
      </c>
      <c r="EL167" s="153" t="e">
        <f t="shared" ca="1" si="491"/>
        <v>#N/A</v>
      </c>
      <c r="EM167" s="153" t="e">
        <f t="shared" ca="1" si="492"/>
        <v>#N/A</v>
      </c>
      <c r="EN167" s="153" t="e">
        <f ca="1">IF(Control!$C$108=1,IF(AND(Control!$B$18=1,$EB167&gt;=Control!$B$19),$EB167-$DS167,IF(AND(Control!$B$18=2,$AW167=1,$EB167&gt;$DS167),$EB167-$DS167,0)))</f>
        <v>#N/A</v>
      </c>
      <c r="EO167" s="153" t="e">
        <f ca="1">IF(Control!$C$108=1,IF(AND(Control!$B$18=1,$EB167&gt;=Control!$B$19),$EF167,IF(AND(Control!$B$18=2,$AW167=1),$EF167,0)))</f>
        <v>#N/A</v>
      </c>
      <c r="EP167" s="153" t="e">
        <f ca="1">IF(Control!$C$108=1,IF(AND(Control!$B$18=1,$EB167&gt;=Control!$B$19),$EK167,IF(AND(Control!$B$18=2,$AW167=1),$EK167,0)))</f>
        <v>#N/A</v>
      </c>
      <c r="EQ167" s="153" t="e">
        <f t="shared" ca="1" si="620"/>
        <v>#N/A</v>
      </c>
      <c r="ER167" s="153" t="e">
        <f t="shared" ca="1" si="621"/>
        <v>#N/A</v>
      </c>
      <c r="ES167" s="153" t="e">
        <f t="shared" ca="1" si="673"/>
        <v>#N/A</v>
      </c>
      <c r="ET167" s="153" t="e">
        <f t="shared" ca="1" si="674"/>
        <v>#N/A</v>
      </c>
      <c r="EU167" s="153" t="e">
        <f t="shared" ca="1" si="622"/>
        <v>#N/A</v>
      </c>
      <c r="EV167" s="153" t="e">
        <f t="shared" ca="1" si="493"/>
        <v>#N/A</v>
      </c>
      <c r="EW167" s="153" t="e">
        <f t="shared" ca="1" si="494"/>
        <v>#N/A</v>
      </c>
      <c r="EX167" s="153" t="e">
        <f t="shared" ca="1" si="495"/>
        <v>#N/A</v>
      </c>
      <c r="EY167" s="157" t="e">
        <f t="shared" ca="1" si="496"/>
        <v>#DIV/0!</v>
      </c>
      <c r="EZ167" s="154" t="e">
        <f t="shared" ca="1" si="497"/>
        <v>#DIV/0!</v>
      </c>
      <c r="FA167" s="153" t="e">
        <f t="shared" ca="1" si="623"/>
        <v>#N/A</v>
      </c>
      <c r="FB167" s="153" t="e">
        <f t="shared" ca="1" si="498"/>
        <v>#N/A</v>
      </c>
      <c r="FC167" s="193" t="e">
        <f t="shared" ca="1" si="499"/>
        <v>#N/A</v>
      </c>
      <c r="FD167" s="158" t="e">
        <f t="shared" ca="1" si="624"/>
        <v>#N/A</v>
      </c>
      <c r="FE167" s="158" t="e">
        <f t="shared" ca="1" si="625"/>
        <v>#N/A</v>
      </c>
      <c r="FF167" s="159" t="e">
        <f t="shared" ca="1" si="500"/>
        <v>#N/A</v>
      </c>
      <c r="FG167" s="160" t="e">
        <f t="shared" ca="1" si="626"/>
        <v>#N/A</v>
      </c>
      <c r="FH167" s="158" t="e">
        <f t="shared" ca="1" si="627"/>
        <v>#N/A</v>
      </c>
      <c r="FI167" s="159" t="e">
        <f t="shared" ca="1" si="501"/>
        <v>#N/A</v>
      </c>
      <c r="FJ167" s="160" t="e">
        <f t="shared" ca="1" si="628"/>
        <v>#N/A</v>
      </c>
      <c r="FK167" s="160" t="e">
        <f t="shared" ca="1" si="502"/>
        <v>#N/A</v>
      </c>
      <c r="FL167" s="160" t="e">
        <f t="shared" ca="1" si="675"/>
        <v>#N/A</v>
      </c>
      <c r="FM167" s="160" t="e">
        <f t="shared" ca="1" si="503"/>
        <v>#N/A</v>
      </c>
      <c r="FN167" s="158">
        <f t="shared" ca="1" si="629"/>
        <v>0.01</v>
      </c>
      <c r="FO167" s="160">
        <f>Control!$C$101</f>
        <v>50</v>
      </c>
      <c r="FP167" s="150" t="e">
        <f t="shared" ca="1" si="504"/>
        <v>#N/A</v>
      </c>
      <c r="FQ167" s="150" t="e">
        <f ca="1">MAX(0,(Control!$C$112*(($DK167-Control!$C$97)/Control!$C$97)))</f>
        <v>#N/A</v>
      </c>
      <c r="FR167" s="150" t="e">
        <f ca="1">(1-$NT167)*Control!$C$113</f>
        <v>#DIV/0!</v>
      </c>
      <c r="FS167" s="198" t="e">
        <f t="shared" ca="1" si="505"/>
        <v>#N/A</v>
      </c>
      <c r="FT167" s="161">
        <f t="shared" ca="1" si="630"/>
        <v>163</v>
      </c>
      <c r="FU167" s="162" t="e">
        <f ca="1">IF(Control!$B$34=1,VLOOKUP($CP167,Control!$B$86:$G$91,6),Control!$B$35)</f>
        <v>#N/A</v>
      </c>
      <c r="FV167" s="162" t="e">
        <f t="shared" ca="1" si="506"/>
        <v>#DIV/0!</v>
      </c>
      <c r="FW167" s="162" t="e">
        <f ca="1">IF(Control!$B$31=1,$FU167*$FV167,  $FU167)</f>
        <v>#N/A</v>
      </c>
      <c r="FX167" s="162" t="e">
        <f ca="1">IF(Control!$B$34=1,VLOOKUP($CP167,Control!$B$86:$G$91,3),Control!$B$36)</f>
        <v>#N/A</v>
      </c>
      <c r="FY167" s="162" t="e">
        <f t="shared" ca="1" si="507"/>
        <v>#N/A</v>
      </c>
      <c r="FZ167" s="162" t="e">
        <f ca="1">IF(Control!$B$34=1,VLOOKUP($CP167,Control!$B$86:$G$91,4),Control!$B$37)</f>
        <v>#N/A</v>
      </c>
      <c r="GA167" s="162" t="e">
        <f t="shared" ca="1" si="508"/>
        <v>#N/A</v>
      </c>
      <c r="GB167" s="162" t="e">
        <f ca="1">IF(Control!$B$34=1,VLOOKUP($CP167,Control!$B$86:$G$91,5),Control!$B$38)</f>
        <v>#N/A</v>
      </c>
      <c r="GC167" s="162" t="e">
        <f t="shared" ca="1" si="631"/>
        <v>#N/A</v>
      </c>
      <c r="GD167" s="162">
        <f t="shared" ca="1" si="509"/>
        <v>1</v>
      </c>
      <c r="GE167" s="162">
        <f t="shared" ca="1" si="510"/>
        <v>1</v>
      </c>
      <c r="GF167" s="162">
        <f ca="1">IF(AND(Control!$C$104=1, Control!$C$62="F"),$GE167,1)</f>
        <v>1</v>
      </c>
      <c r="GG167" s="162" t="e">
        <f ca="1">IF(Control!$B$16=40,0,IF(AND(Control!$B$16&gt;40,Control!$B$16&lt;=360),(Control!$B$16-40)*((1-0)/(360-40)),IF(AND(Control!$B$16&gt;360,Control!$B$16&lt;=720),(1+(Control!$B$16-360)*((1.25-1)/(720-360))),IF(AND(Control!$B$16&gt;720,Control!$B$16&lt;=1000),(1.25+(Control!$B$16-720)*((1.35-1.25)/(1000-720))),IF(AND(Control!$B$16&gt;1000,Control!$B$16&lt;=2000),(1.35+(Control!$B$16-1000)*0))))))</f>
        <v>#N/A</v>
      </c>
      <c r="GH167" s="162" t="e">
        <f t="shared" ca="1" si="511"/>
        <v>#N/A</v>
      </c>
      <c r="GI167" s="162">
        <f t="shared" ca="1" si="632"/>
        <v>0</v>
      </c>
      <c r="GJ167" s="162">
        <f t="shared" ca="1" si="512"/>
        <v>0</v>
      </c>
      <c r="GK167" s="162">
        <f t="shared" ca="1" si="633"/>
        <v>1</v>
      </c>
      <c r="GL167" s="162">
        <f t="shared" ca="1" si="513"/>
        <v>1</v>
      </c>
      <c r="GM167" s="162" t="e">
        <f ca="1">MAX(0,MIN(1,1-Control!$C$156*(1.0001-$KH167)^2))</f>
        <v>#N/A</v>
      </c>
      <c r="GN167" s="162" t="e">
        <f ca="1">IF(Control!$B$26=1,$KU167,$KX167)</f>
        <v>#N/A</v>
      </c>
      <c r="GO167" s="162" t="e">
        <f ca="1">IF($CP167&lt;=60,Control!$C$105,IF($CP167&gt;=90,Control!$C$106,Control!$C$105+($CP167-60)*((Control!$C$106-Control!$C$105)/(90-60))))</f>
        <v>#N/A</v>
      </c>
      <c r="GP167" s="162" t="e">
        <f t="shared" ca="1" si="514"/>
        <v>#N/A</v>
      </c>
      <c r="GQ167" s="162" t="e">
        <f t="shared" ca="1" si="634"/>
        <v>#N/A</v>
      </c>
      <c r="GR167" s="163" t="e">
        <f t="shared" ca="1" si="515"/>
        <v>#DIV/0!</v>
      </c>
      <c r="GS167" s="162" t="e">
        <f t="shared" ca="1" si="516"/>
        <v>#DIV/0!</v>
      </c>
      <c r="GT167" s="164" t="e">
        <f t="shared" ca="1" si="635"/>
        <v>#N/A</v>
      </c>
      <c r="GU167" s="162" t="e">
        <f t="shared" ca="1" si="636"/>
        <v>#N/A</v>
      </c>
      <c r="GV167" s="162" t="e">
        <f t="shared" ca="1" si="517"/>
        <v>#N/A</v>
      </c>
      <c r="GW167" s="162" t="e">
        <f t="shared" ca="1" si="518"/>
        <v>#DIV/0!</v>
      </c>
      <c r="GX167" s="162" t="e">
        <f t="shared" ca="1" si="637"/>
        <v>#DIV/0!</v>
      </c>
      <c r="GY167" s="162" t="e">
        <f t="shared" ca="1" si="638"/>
        <v>#DIV/0!</v>
      </c>
      <c r="GZ167" s="165" t="e">
        <f t="shared" ca="1" si="519"/>
        <v>#N/A</v>
      </c>
      <c r="HA167" s="162" t="e">
        <f ca="1">IF(Control!$C$114=1, $DI167*$FS167, 0)</f>
        <v>#N/A</v>
      </c>
      <c r="HB167" s="162" t="e">
        <f ca="1">$FA167/Control!$C$64</f>
        <v>#N/A</v>
      </c>
      <c r="HC167" s="162" t="e">
        <f t="shared" ca="1" si="520"/>
        <v>#DIV/0!</v>
      </c>
      <c r="HD167" s="162">
        <f ca="1">-ASIN(SIN(23.45*Control!$C$139)*COS(2*Control!$C$138*($AH167+10)/365))</f>
        <v>0.40350089968654318</v>
      </c>
      <c r="HE167" s="165">
        <f t="shared" ca="1" si="639"/>
        <v>0</v>
      </c>
      <c r="HF167" s="166">
        <f ca="1">IF(AND(Control!$C$61="T",$HE167&gt;=Control!$C$103,Control!$C$114=0),$AH167,Control!$C$59)</f>
        <v>1</v>
      </c>
      <c r="HG167" s="166">
        <f ca="1">IF(AND(Control!$C$61="T",$HE167&gt;=Control!$C$103,Control!$C$114=0),$HF167,Control!$C$59)</f>
        <v>1</v>
      </c>
      <c r="HH167" s="165">
        <f ca="1">IF(AND(OR(Control!$C$60&lt;=0, $AH167= Control!$C$59, Control!$C$60 &gt;0, $AH167 = Control!$C$60)), Control!$C$59, IF(Control!$C$60&gt;0, 0))</f>
        <v>1</v>
      </c>
      <c r="HI167" s="165">
        <f ca="1">IF(AND(OR(Control!$C$60&lt;=0, $AH167= Control!$C$59, Control!$C$60 &gt;0, $AH167 = Control!$C$60)), Control!$C$60, IF(Control!$C$60&lt;=0, 0))</f>
        <v>0</v>
      </c>
      <c r="HJ167" s="166">
        <f ca="1">IF(AND(Control!$C$62="F",$CV167&gt;=Control!$C$102),$AH167,0)</f>
        <v>0</v>
      </c>
      <c r="HK167" s="165" t="e">
        <f t="shared" ca="1" si="676"/>
        <v>#N/A</v>
      </c>
      <c r="HL167" s="166">
        <f ca="1">IF(AND(Control!$C$61="T",$HE167&gt;=Control!$C$103,Control!$C$114=0),$HF167,0)</f>
        <v>0</v>
      </c>
      <c r="HM167" s="201" t="e">
        <f t="shared" ca="1" si="521"/>
        <v>#DIV/0!</v>
      </c>
      <c r="HN167" s="215">
        <f t="shared" ca="1" si="640"/>
        <v>163</v>
      </c>
      <c r="HO167" s="216" t="e">
        <f ca="1">IF(AND($CP167&gt;=0, $CP167&lt;=90), Control!$C$152, Control!$C$152)</f>
        <v>#N/A</v>
      </c>
      <c r="HP167" s="216" t="e">
        <f t="shared" ca="1" si="522"/>
        <v>#N/A</v>
      </c>
      <c r="HQ167" s="217" t="e">
        <f ca="1">IF(OR(Control!$B$26=1,Control!$B$26=2),$KV167,$KS167)</f>
        <v>#DIV/0!</v>
      </c>
      <c r="HR167" s="218" t="e">
        <f t="shared" ca="1" si="677"/>
        <v>#DIV/0!</v>
      </c>
      <c r="HS167" s="216" t="e">
        <f ca="1">Control!$C$154*$HP167</f>
        <v>#N/A</v>
      </c>
      <c r="HT167" s="216" t="e">
        <f ca="1">Control!$C$155*$HP167</f>
        <v>#N/A</v>
      </c>
      <c r="HU167" s="217" t="e">
        <f ca="1">Control!$C$161*$FI167</f>
        <v>#N/A</v>
      </c>
      <c r="HV167" s="218" t="e">
        <f t="shared" ca="1" si="641"/>
        <v>#N/A</v>
      </c>
      <c r="HW167" s="218" t="e">
        <f ca="1">Control!$C$160*$FF167+$IP167*$EO167</f>
        <v>#N/A</v>
      </c>
      <c r="HX167" s="218" t="e">
        <f t="shared" ca="1" si="678"/>
        <v>#N/A</v>
      </c>
      <c r="HY167" s="219" t="e">
        <f ca="1">IF(Control!$C$114=1, $EB167*$FS167, 0)</f>
        <v>#N/A</v>
      </c>
      <c r="HZ167" s="91" t="e">
        <f t="shared" ca="1" si="523"/>
        <v>#N/A</v>
      </c>
      <c r="IA167" s="220" t="e">
        <f ca="1">Control!$C$153*$HO167</f>
        <v>#N/A</v>
      </c>
      <c r="IB167" s="218" t="e">
        <f t="shared" ca="1" si="524"/>
        <v>#N/A</v>
      </c>
      <c r="IC167" s="220" t="e">
        <f ca="1">Control!$C$153*$HT167</f>
        <v>#N/A</v>
      </c>
      <c r="ID167" s="218" t="e">
        <f t="shared" ca="1" si="525"/>
        <v>#N/A</v>
      </c>
      <c r="IE167" s="221" t="e">
        <f ca="1">($EB167*Control!$C$159+$EF167*Control!$C$160)/(IF($GZ167&lt;&gt;0,$GZ167,1))</f>
        <v>#N/A</v>
      </c>
      <c r="IF167" s="216" t="e">
        <f t="shared" ca="1" si="526"/>
        <v>#N/A</v>
      </c>
      <c r="IG167" s="91">
        <f ca="1">IF(OR(Control!$B$198=$AH167,Control!$B$199=$AH167, Control!$B$200=$AH167, Control!$B$201=$AH167, Control!$B$202=$AH167, Control!$B$203=$AH167, Control!$B$204=$AH167, Control!$B$205=$AH167, Control!$B$206=$AH167, Control!$B$207=$AH167), 1, 0)</f>
        <v>0</v>
      </c>
      <c r="IH167" s="91">
        <f ca="1">IF($IG167=0,0, VLOOKUP($AH167,Control!$B$198:$C$207,2))</f>
        <v>0</v>
      </c>
      <c r="II167" s="222">
        <f t="shared" ca="1" si="642"/>
        <v>0</v>
      </c>
      <c r="IJ167" s="91">
        <f>Control!$C$121</f>
        <v>0.7</v>
      </c>
      <c r="IK167" s="218">
        <f t="shared" ca="1" si="527"/>
        <v>0</v>
      </c>
      <c r="IL167" s="217" t="e">
        <f t="shared" ca="1" si="679"/>
        <v>#N/A</v>
      </c>
      <c r="IM167" s="223" t="e">
        <f ca="1">IF(AND(Control!$C$114=1,$KH167&lt;1),$EB167*Control!$C$148*(1-$KH167), 0)</f>
        <v>#N/A</v>
      </c>
      <c r="IN167" s="217" t="e">
        <f t="shared" ca="1" si="528"/>
        <v>#DIV/0!</v>
      </c>
      <c r="IO167" s="91" t="e">
        <f ca="1">MAX(0,$IL167-$EF167*Control!$C$160)</f>
        <v>#N/A</v>
      </c>
      <c r="IP167" s="220" t="e">
        <f t="shared" ca="1" si="529"/>
        <v>#N/A</v>
      </c>
      <c r="IQ167" s="217" t="e">
        <f t="shared" ca="1" si="643"/>
        <v>#N/A</v>
      </c>
      <c r="IR167" s="218" t="e">
        <f t="shared" ca="1" si="530"/>
        <v>#N/A</v>
      </c>
      <c r="IS167" s="217" t="e">
        <f ca="1">Control!$C$159*MAX(0,$FD167-$EN167)</f>
        <v>#N/A</v>
      </c>
      <c r="IT167" s="217" t="e">
        <f t="shared" ca="1" si="680"/>
        <v>#N/A</v>
      </c>
      <c r="IU167" s="217" t="e">
        <f t="shared" ca="1" si="644"/>
        <v>#N/A</v>
      </c>
      <c r="IV167" s="217" t="e">
        <f t="shared" ca="1" si="681"/>
        <v>#N/A</v>
      </c>
      <c r="IW167" s="217" t="e">
        <f ca="1">IF(OR($AW167=1,AND($AW167=0, Control!$B$18=1,$EN167&lt;&gt;0)), $IQ167-$IU167, $IQ167)</f>
        <v>#N/A</v>
      </c>
      <c r="IX167" s="218" t="e">
        <f t="shared" ca="1" si="531"/>
        <v>#N/A</v>
      </c>
      <c r="IY167" s="218" t="e">
        <f ca="1">MAX(0,$IQ167-$EB167*Control!$C$159)</f>
        <v>#N/A</v>
      </c>
      <c r="IZ167" s="218" t="e">
        <f t="shared" ca="1" si="532"/>
        <v>#N/A</v>
      </c>
      <c r="JA167" s="216" t="e">
        <f t="shared" ca="1" si="533"/>
        <v>#N/A</v>
      </c>
      <c r="JB167" s="217" t="e">
        <f t="shared" ca="1" si="534"/>
        <v>#N/A</v>
      </c>
      <c r="JC167" s="222" t="e">
        <f ca="1">MAX(Control!$C$157*$EK167-$JT167, 0)/Control!$C$162</f>
        <v>#N/A</v>
      </c>
      <c r="JD167" s="218" t="e">
        <f t="shared" ca="1" si="535"/>
        <v>#N/A</v>
      </c>
      <c r="JE167" s="218" t="e">
        <f t="shared" ca="1" si="536"/>
        <v>#N/A</v>
      </c>
      <c r="JF167" s="218" t="e">
        <f t="shared" ca="1" si="645"/>
        <v>#N/A</v>
      </c>
      <c r="JG167" s="218" t="e">
        <f t="shared" ca="1" si="537"/>
        <v>#N/A</v>
      </c>
      <c r="JH167" s="217" t="e">
        <f t="shared" ca="1" si="646"/>
        <v>#N/A</v>
      </c>
      <c r="JI167" s="217" t="e">
        <f t="shared" ca="1" si="647"/>
        <v>#N/A</v>
      </c>
      <c r="JJ167" s="217" t="e">
        <f t="shared" ca="1" si="682"/>
        <v>#N/A</v>
      </c>
      <c r="JK167" s="217" t="e">
        <f ca="1">IF(Control!$C$114=1,IF(Control!$B$24=0,MAX(0,$JI167)*$GN167/Control!$C$64,(MAX(0,MIN($JI167,$JJ167*$GN167/Control!$C$64),0))))</f>
        <v>#N/A</v>
      </c>
      <c r="JL167" s="217" t="e">
        <f ca="1">$IK167/Control!$C$64-$JK167+$HQ167</f>
        <v>#N/A</v>
      </c>
      <c r="JM167" s="217" t="e">
        <f ca="1">IF(Control!$C$114=1,($JB167/(IF($JI167&lt;&gt;0,$JI167,1)))*$JK167,0)</f>
        <v>#N/A</v>
      </c>
      <c r="JN167" s="217" t="e">
        <f ca="1">IF(Control!$C$114=1,($JG167/(IF($JI167&lt;&gt;0,$JI167,1)))*$JK167, 0)</f>
        <v>#N/A</v>
      </c>
      <c r="JO167" s="218" t="e">
        <f t="shared" ca="1" si="538"/>
        <v>#N/A</v>
      </c>
      <c r="JP167" s="218" t="e">
        <f ca="1">MIN(($IY167+$IO167)*Control!$C$151, $JF167-$EH167*Control!$C$161)</f>
        <v>#N/A</v>
      </c>
      <c r="JQ167" s="218" t="e">
        <f t="shared" ca="1" si="539"/>
        <v>#N/A</v>
      </c>
      <c r="JR167" s="217" t="e">
        <f ca="1">IF($CP167-Control!$C$150&lt;0, 0, $JQ167/Control!$C$162)</f>
        <v>#N/A</v>
      </c>
      <c r="JS167" s="218" t="e">
        <f t="shared" ca="1" si="540"/>
        <v>#N/A</v>
      </c>
      <c r="JT167" s="218" t="e">
        <f t="shared" ca="1" si="648"/>
        <v>#N/A</v>
      </c>
      <c r="JU167" s="218" t="e">
        <f t="shared" ca="1" si="541"/>
        <v>#N/A</v>
      </c>
      <c r="JV167" s="218" t="e">
        <f t="shared" ca="1" si="542"/>
        <v>#N/A</v>
      </c>
      <c r="JW167" s="216" t="e">
        <f t="shared" ca="1" si="543"/>
        <v>#N/A</v>
      </c>
      <c r="JX167" s="91" t="e">
        <f t="shared" ca="1" si="544"/>
        <v>#N/A</v>
      </c>
      <c r="JY167" s="218" t="e">
        <f t="shared" ca="1" si="545"/>
        <v>#N/A</v>
      </c>
      <c r="JZ167" s="217" t="e">
        <f ca="1">IF(Control!$C$114=1,($IZ167/(IF($JI167&lt;&gt;0,$JI167,1)))*$JK167, 0)</f>
        <v>#N/A</v>
      </c>
      <c r="KA167" s="218" t="e">
        <f t="shared" ca="1" si="683"/>
        <v>#N/A</v>
      </c>
      <c r="KB167" s="218" t="e">
        <f t="shared" ca="1" si="649"/>
        <v>#N/A</v>
      </c>
      <c r="KC167" s="218" t="e">
        <f t="shared" ca="1" si="546"/>
        <v>#N/A</v>
      </c>
      <c r="KD167" s="218" t="e">
        <f t="shared" ca="1" si="547"/>
        <v>#N/A</v>
      </c>
      <c r="KE167" s="218" t="e">
        <f t="shared" ca="1" si="548"/>
        <v>#N/A</v>
      </c>
      <c r="KF167" s="218" t="e">
        <f t="shared" ca="1" si="549"/>
        <v>#N/A</v>
      </c>
      <c r="KG167" s="216" t="e">
        <f t="shared" ca="1" si="550"/>
        <v>#N/A</v>
      </c>
      <c r="KH167" s="221" t="e">
        <f ca="1">IF(Control!$B$24=0,1,MAX(0.001,MIN(1,IF(($IF167-$IE167)&lt;&gt;0,($KG167-$IE167)/($IF167-$IE167),1))))</f>
        <v>#N/A</v>
      </c>
      <c r="KI167" s="222" t="e">
        <f ca="1">IF(Control!$C$114=1, $KI166+ $KH166, 0)</f>
        <v>#N/A</v>
      </c>
      <c r="KJ167" s="217" t="e">
        <f t="shared" ca="1" si="551"/>
        <v>#N/A</v>
      </c>
      <c r="KK167" s="218" t="e">
        <f t="shared" ca="1" si="552"/>
        <v>#N/A</v>
      </c>
      <c r="KL167" s="274" t="e">
        <f ca="1">IF(Control!$B$26=3,4000000000*EXP(-8400/($G167+273)),IF(Control!$B$26=4,4000000000*EXP(-8400/($G167+273))*($KT167),0))</f>
        <v>#DIV/0!</v>
      </c>
      <c r="KM167" s="274" t="e">
        <f ca="1">IF(Control!$B$26=3,5600000000000*EXP(-9800/($G167+273)),IF(Control!$B$26=4,5600000000000*EXP(-9800/($G167+273))*$KT167,0))</f>
        <v>#DIV/0!</v>
      </c>
      <c r="KN167" s="454" t="e">
        <f t="shared" ca="1" si="650"/>
        <v>#DIV/0!</v>
      </c>
      <c r="KO167" s="274" t="e">
        <f t="shared" ca="1" si="651"/>
        <v>#DIV/0!</v>
      </c>
      <c r="KP167" s="454" t="e">
        <f t="shared" ca="1" si="553"/>
        <v>#DIV/0!</v>
      </c>
      <c r="KQ167" s="454" t="e">
        <f t="shared" ca="1" si="554"/>
        <v>#DIV/0!</v>
      </c>
      <c r="KR167" s="454" t="e">
        <f t="shared" ca="1" si="555"/>
        <v>#DIV/0!</v>
      </c>
      <c r="KS167" s="454" t="e">
        <f t="shared" ca="1" si="556"/>
        <v>#DIV/0!</v>
      </c>
      <c r="KT167" s="455" t="e">
        <f t="shared" ca="1" si="557"/>
        <v>#DIV/0!</v>
      </c>
      <c r="KU167" s="456" t="e">
        <f ca="1">IF($CP167-Control!$C$149&lt;0, IF($NT167-0.01&lt;0,0,1),0)</f>
        <v>#N/A</v>
      </c>
      <c r="KV167" s="456" t="e">
        <f ca="1">IF(Control!$C$114=1,MAX(0,MIN(Control!$C$125*$KW167*$GN167,$KW167)))</f>
        <v>#DIV/0!</v>
      </c>
      <c r="KW167" s="456" t="e">
        <f t="shared" ca="1" si="684"/>
        <v>#DIV/0!</v>
      </c>
      <c r="KX167" s="457" t="e">
        <f ca="1">IF($CP167-Control!$C$149&lt;0, IF($MR167-$OM167&lt;0,0,1),0)</f>
        <v>#N/A</v>
      </c>
      <c r="KY167" s="167">
        <f t="shared" ca="1" si="652"/>
        <v>163</v>
      </c>
      <c r="KZ167" s="168">
        <f ca="1">1370*(1+0.033*COS(2*Control!$C$138*$AH167/365))</f>
        <v>1327.3131850097338</v>
      </c>
      <c r="LA167" s="169">
        <f t="shared" ca="1" si="653"/>
        <v>0.96884181220847143</v>
      </c>
      <c r="LB167" s="169">
        <f t="shared" ca="1" si="654"/>
        <v>0.40410424621025626</v>
      </c>
      <c r="LC167" s="169">
        <f ca="1">ACOS(-TAN((2*Control!$B$8/360))*TAN(Calculations!$LB167))</f>
        <v>1.6982368227992337</v>
      </c>
      <c r="LD167" s="169">
        <f ca="1">((24*60)/PI())*0.082*$LA167*(($LC167*SIN(Control!$B$8*2*PI()/360))*SIN($LB167)+COS(Control!$B$8*2*PI()/360)*COS($LB167)*SIN($LC167))</f>
        <v>39.607331890089036</v>
      </c>
      <c r="LE167" s="170">
        <f t="shared" ca="1" si="558"/>
        <v>41.254811167322202</v>
      </c>
      <c r="LF167" s="170">
        <f ca="1">SIN(Control!$C$139*Control!$B$8)*SIN($HD167)</f>
        <v>0.30940544259820579</v>
      </c>
      <c r="LG167" s="170">
        <f ca="1">COS(Control!$C$139*Control!$B$8)*COS($HD167)</f>
        <v>0.56621741877573029</v>
      </c>
      <c r="LH167" s="170">
        <f ca="1">12*(1+2*ASIN(MAX(-1,MIN(1,$LF167/$LG167))/Control!$C$138))</f>
        <v>16.195847209068727</v>
      </c>
      <c r="LI167" s="170">
        <f ca="1">12*(1+2*ASIN(MAX(-1,MIN(1,(-SIN(-4*Control!$C$139)+$LF167)/$LG167))/Control!$C$138))</f>
        <v>17.155215814086951</v>
      </c>
      <c r="LJ167" s="168">
        <f ca="1">3600*($LH167*$LF167+24*$LG167*SQRT(1-$LK167*$LK167)/Control!$C$138)</f>
        <v>31081.444555242375</v>
      </c>
      <c r="LK167" s="170">
        <f t="shared" ca="1" si="559"/>
        <v>0.54644281920397153</v>
      </c>
      <c r="LL167" s="170">
        <f t="shared" ca="1" si="560"/>
        <v>0</v>
      </c>
      <c r="LM167" s="171">
        <f ca="1">Control!$C$145*$AB167</f>
        <v>6.6660906138995932E-2</v>
      </c>
      <c r="LN167" s="170">
        <f t="shared" ca="1" si="655"/>
        <v>0.54</v>
      </c>
      <c r="LO167" s="170">
        <f t="shared" ca="1" si="561"/>
        <v>0</v>
      </c>
      <c r="LP167" s="170">
        <f ca="1">Control!$C$140*((($D167+273.16)^4+($E167+273.16)^4)/2)*(0.34-0.14*SQRT($Y167))*(1.35*$AQ167/(0.75*$LD167)-0.35)</f>
        <v>-3.2464704755046001</v>
      </c>
      <c r="LQ167" s="170">
        <f ca="1">Control!$C$140*($G167+273)^4*(0.56-0.079*SQRT($Y167*10))*(0.1+0.9*$LO167)</f>
        <v>1.5241745131704001</v>
      </c>
      <c r="LR167" s="170">
        <f ca="1">$AQ167*(1-Control!$C$142)-$LQ167</f>
        <v>-1.5241745131704001</v>
      </c>
      <c r="LS167" s="170">
        <f ca="1">$AQ167*(1-Control!$C$143)-$LQ167</f>
        <v>-1.5241745131704001</v>
      </c>
      <c r="LT167" s="170">
        <f ca="1">$AQ167*(1-Control!$C$144)-$LQ167</f>
        <v>-1.5241745131704001</v>
      </c>
      <c r="LU167" s="169">
        <f ca="1">(1-Control!$C$144)*AQ167-LP167</f>
        <v>3.2464704755046001</v>
      </c>
      <c r="LV167" s="172">
        <f t="shared" ca="1" si="562"/>
        <v>0.79430000000000012</v>
      </c>
      <c r="LW167" s="170">
        <f t="shared" ca="1" si="563"/>
        <v>1.5886000000000002</v>
      </c>
      <c r="LX167" s="170">
        <f ca="1">($AC167*($LR167/Control!$C$141)+$LM167*$LV167)/($AC167+$LM167)</f>
        <v>0.23530094218323697</v>
      </c>
      <c r="LY167" s="170">
        <f ca="1">($AC167*($LS167/Control!$C$141)+$LM167*$LV167)/($AC167+$LM167)</f>
        <v>0.23530094218323697</v>
      </c>
      <c r="LZ167" s="170">
        <f t="shared" ca="1" si="564"/>
        <v>0.23530094218323697</v>
      </c>
      <c r="MA167" s="170">
        <f t="shared" ca="1" si="565"/>
        <v>0.23530094218323697</v>
      </c>
      <c r="MB167" s="170" t="e">
        <f t="shared" ca="1" si="566"/>
        <v>#N/A</v>
      </c>
      <c r="MC167" s="170">
        <f t="shared" ca="1" si="656"/>
        <v>0.6018</v>
      </c>
      <c r="MD167" s="170">
        <f t="shared" ca="1" si="567"/>
        <v>0.52989392535414004</v>
      </c>
      <c r="ME167" s="170">
        <f ca="1">($AC167*($LT167/Control!$C$141)+$LM167*$LW167)/($AC167+$LM167)</f>
        <v>0.71612369323045078</v>
      </c>
      <c r="MF167" s="170" t="e">
        <f ca="1">IF(Control!$B$16&gt;=1000,0.92,IF(AND(720&lt;=Control!$B$16,1000&gt;Control!$B$16),(0.95+(Control!$B$16-720)*((0.92-0.95)/(1000-720))),IF(AND(360&lt;=Control!$B$16,720&gt;Control!$B$16),(1+(Control!$B$16-360)*((0.95-1)/(720-360))),IF(AND(40&lt;=Control!$B$16,360&gt;Control!$B$16),(1.05+(Control!$B$16-40)*((1.05-1)/(360-40)))))))</f>
        <v>#N/A</v>
      </c>
      <c r="MG167" s="170">
        <f t="shared" ca="1" si="568"/>
        <v>0.71612369323045078</v>
      </c>
      <c r="MH167" s="170" t="e">
        <f t="shared" ca="1" si="694"/>
        <v>#N/A</v>
      </c>
      <c r="MI167" s="170" t="e">
        <f t="shared" ca="1" si="694"/>
        <v>#N/A</v>
      </c>
      <c r="MJ167" s="170" t="e">
        <f ca="1">MAX(0.0001, Control!$C$132*$MI167*$DL167)</f>
        <v>#N/A</v>
      </c>
      <c r="MK167" s="170">
        <f ca="1">1/(0.76+1.5*($MG167/10))-(5-Control!$C$110)*0.1</f>
        <v>1.002845988140797</v>
      </c>
      <c r="ML167" s="173">
        <f ca="1">IF(Control!$C$110&lt;3,$MK167+($MG167-0.6)/(Control!$C$110*(Control!$C$110+3)), MAX(0.1, MIN(0.95,$MK167)))</f>
        <v>0.95</v>
      </c>
      <c r="MM167" s="173">
        <f ca="1">IF(Control!$C$110&lt;3,$MK167+(($MI167/10)-0.6)/(Control!$C$110*(Control!$C$110+3)), MAX(0.1, MIN(0.95,$MK167)))</f>
        <v>0.95</v>
      </c>
      <c r="MN167" s="173">
        <f ca="1">(1-$MM167)*(Control!$C$128-Control!$C$127)+Control!$C$127</f>
        <v>0.16</v>
      </c>
      <c r="MO167" s="170" t="e">
        <f ca="1">MAX(0,MIN(1,($MS167-Control!$C$127)/($MN167-Control!$C$127)))</f>
        <v>#DIV/0!</v>
      </c>
      <c r="MP167" s="173" t="e">
        <f ca="1">1/(0.76+1.5*$MI167)-(5-Control!$C$110)*0.1</f>
        <v>#N/A</v>
      </c>
      <c r="MQ167" s="172" t="e">
        <f t="shared" ca="1" si="685"/>
        <v>#DIV/0!</v>
      </c>
      <c r="MR167" s="168" t="e">
        <f t="shared" ca="1" si="657"/>
        <v>#DIV/0!</v>
      </c>
      <c r="MS167" s="173" t="e">
        <f ca="1">MAX(Control!$C$127, MIN(Control!$C$135, $MR167/MAX(0.0001,$CY167)))</f>
        <v>#DIV/0!</v>
      </c>
      <c r="MT167" s="168" t="e">
        <f ca="1">(Control!$C$128-$MS167)*Control!$C$74</f>
        <v>#DIV/0!</v>
      </c>
      <c r="MU167" s="168" t="e">
        <f ca="1">(Control!$C$135-$MS167)*Control!$C$74</f>
        <v>#DIV/0!</v>
      </c>
      <c r="MV167" s="168" t="e">
        <f t="shared" ca="1" si="658"/>
        <v>#DIV/0!</v>
      </c>
      <c r="MW167" s="168" t="e">
        <f t="shared" ca="1" si="659"/>
        <v>#DIV/0!</v>
      </c>
      <c r="MX167" s="171" t="e">
        <f ca="1">MAX(Control!$C$127, MIN(Control!$C$135, $MW167/MAX(0.0001,Control!$C$119-$CY167)))</f>
        <v>#DIV/0!</v>
      </c>
      <c r="MY167" s="54" t="e">
        <f ca="1">IF(Control!$C$114=1, $CX167*$MX167, 0)</f>
        <v>#DIV/0!</v>
      </c>
      <c r="MZ167" s="54" t="e">
        <f t="shared" ca="1" si="660"/>
        <v>#N/A</v>
      </c>
      <c r="NA167" s="168" t="e">
        <f ca="1">(Control!$C$128-$MX167)*(Control!$C$119-Control!$C$74)</f>
        <v>#DIV/0!</v>
      </c>
      <c r="NB167" s="168" t="e">
        <f ca="1">(Control!$C$135-$MX167)*(Control!$C$119-Control!$C$74)</f>
        <v>#DIV/0!</v>
      </c>
      <c r="NC167" s="174" t="e">
        <f t="shared" ca="1" si="661"/>
        <v>#DIV/0!</v>
      </c>
      <c r="ND167" s="54">
        <f ca="1">IF(Control!$C$58=2, IF(OR(Control!$B$218=$AH167,Control!$B$219=$AH167, Control!$B$220=$AH167, Control!$B$221=$AH167, Control!$B$222=$AH167, Control!$B$223=$AH167, Control!$B$224=$AH167, Control!$B$225=$AH167, Control!$B$226=$AH167, Control!$B$227=$AH167, Control!$B$228=$AH167), 1, 0), 0)</f>
        <v>0</v>
      </c>
      <c r="NE167" s="54">
        <f ca="1">IF($ND167=0,0, VLOOKUP($AH167,Control!$B$218:$C$228,2))</f>
        <v>0</v>
      </c>
      <c r="NF167" s="168" t="e">
        <f ca="1">$CY167*(Control!$C$128-Control!$C$127)</f>
        <v>#N/A</v>
      </c>
      <c r="NG167" s="54" t="e">
        <f ca="1">IF(Control!$C$58=2, $NI166-$NJ166, 0)</f>
        <v>#DIV/0!</v>
      </c>
      <c r="NH167" s="54" t="e">
        <f ca="1">IF(AND(Control!$C$58=1, $MS166&lt;= ($MN166+0.02), $I166&lt;10), 0, IF(Control!$C$58=2, $NG166, 0))</f>
        <v>#DIV/0!</v>
      </c>
      <c r="NI167" s="54" t="e">
        <f ca="1">IF(Control!$C$58=2, $NE167+$NH167,0)</f>
        <v>#DIV/0!</v>
      </c>
      <c r="NJ167" s="54" t="e">
        <f ca="1">IF(AND(Control!$C$58=1, $MS167&lt;= ($MN167+0.02), $I167&lt;10), MAX(0, MIN(10, 0.7*($NF167-$MV167))), IF(Control!$C$58=2, MIN(10,$NI167),0))</f>
        <v>#DIV/0!</v>
      </c>
      <c r="NK167" s="54" t="e">
        <f t="shared" ca="1" si="569"/>
        <v>#DIV/0!</v>
      </c>
      <c r="NL167" s="173" t="e">
        <f ca="1">(1-Control!$C$73)*$I167+$NJ167</f>
        <v>#DIV/0!</v>
      </c>
      <c r="NM167" s="172" t="e">
        <f ca="1">IF($NL167&lt;0.5, $MB167* MAX(0, MIN(1, (SQRT($NC167)-SQRT($NC167-1))*Control!$C$71)),0)</f>
        <v>#DIV/0!</v>
      </c>
      <c r="NN167" s="170" t="e">
        <f ca="1">IF($NL167&gt;=5, $MB167, MAX(0,MIN($MB167, $NM167+$NL167,($MS167-Control!$C$129))))</f>
        <v>#DIV/0!</v>
      </c>
      <c r="NO167" s="54">
        <f>IF(Control!$C$133&lt;&gt;1, Control!$C$135-Control!$C$131, 0)</f>
        <v>0.38</v>
      </c>
      <c r="NP167" s="54" t="e">
        <f t="shared" ca="1" si="570"/>
        <v>#DIV/0!</v>
      </c>
      <c r="NQ167" s="173" t="e">
        <f ca="1">MAX(0,MIN(1,(Control!$C$135-$MS167)/(Control!$C$135-$NO167)))</f>
        <v>#DIV/0!</v>
      </c>
      <c r="NR167" s="170" t="e">
        <f ca="1">IF(Control!$C$133&lt;&gt;1, $NQ167+((1-$NP167/4)*(1-$NQ167)),1)</f>
        <v>#DIV/0!</v>
      </c>
      <c r="NS167" s="170" t="e">
        <f ca="1">IF(Control!$B$31=0,$MJ167,MAX(0,MIN($MV167,$MO167*$NR167*$MJ167)))</f>
        <v>#DIV/0!</v>
      </c>
      <c r="NT167" s="170" t="e">
        <f t="shared" ca="1" si="686"/>
        <v>#DIV/0!</v>
      </c>
      <c r="NU167" s="170" t="e">
        <f t="shared" ca="1" si="662"/>
        <v>#N/A</v>
      </c>
      <c r="NV167" s="170" t="e">
        <f t="shared" ca="1" si="571"/>
        <v>#N/A</v>
      </c>
      <c r="NW167" s="175" t="e">
        <f t="shared" ca="1" si="572"/>
        <v>#DIV/0!</v>
      </c>
      <c r="NX167" s="170" t="e">
        <f ca="1">MIN(Control!$C$72+$MU167, $NW167)</f>
        <v>#DIV/0!</v>
      </c>
      <c r="NY167" s="170" t="e">
        <f ca="1">IF($MT167&lt;=$NX167,MIN(Control!$C$72+$NB167,$NX167-$MT167),0)</f>
        <v>#DIV/0!</v>
      </c>
      <c r="NZ167" s="54" t="e">
        <f ca="1">IF(Control!$C$114=1,  $CX167*($MX167-Control!$C$127), 0)</f>
        <v>#DIV/0!</v>
      </c>
      <c r="OA167" s="170" t="e">
        <f t="shared" ca="1" si="573"/>
        <v>#DIV/0!</v>
      </c>
      <c r="OB167" s="170" t="e">
        <f ca="1">IF($NA167 &lt;=$NY167, MIN(Control!$C$72, $NY167-$NA167), 0)</f>
        <v>#DIV/0!</v>
      </c>
      <c r="OC167" s="168" t="e">
        <f t="shared" ca="1" si="574"/>
        <v>#DIV/0!</v>
      </c>
      <c r="OD167" s="168" t="e">
        <f t="shared" ca="1" si="663"/>
        <v>#DIV/0!</v>
      </c>
      <c r="OE167" s="170">
        <f ca="1">Control!$C$73*$I167</f>
        <v>0</v>
      </c>
      <c r="OF167" s="176" t="e">
        <f t="shared" ca="1" si="575"/>
        <v>#DIV/0!</v>
      </c>
      <c r="OG167" s="168" t="e">
        <f t="shared" ca="1" si="576"/>
        <v>#DIV/0!</v>
      </c>
      <c r="OH167" s="168" t="e">
        <f t="shared" ca="1" si="577"/>
        <v>#DIV/0!</v>
      </c>
      <c r="OI167" s="168" t="e">
        <f t="shared" ca="1" si="578"/>
        <v>#DIV/0!</v>
      </c>
      <c r="OJ167" s="168" t="e">
        <f t="shared" ca="1" si="579"/>
        <v>#DIV/0!</v>
      </c>
      <c r="OK167" s="204" t="e">
        <f t="shared" ca="1" si="580"/>
        <v>#DIV/0!</v>
      </c>
      <c r="OL167" s="177">
        <f>Control!$C$127</f>
        <v>0.15</v>
      </c>
      <c r="OM167" s="182" t="e">
        <f t="shared" ca="1" si="581"/>
        <v>#N/A</v>
      </c>
      <c r="ON167" s="177">
        <f>Control!$C$128</f>
        <v>0.35</v>
      </c>
      <c r="OO167" s="182" t="e">
        <f t="shared" ca="1" si="582"/>
        <v>#N/A</v>
      </c>
      <c r="OP167" s="138">
        <f t="shared" ca="1" si="664"/>
        <v>0</v>
      </c>
      <c r="OQ167" s="138" t="e">
        <f t="shared" ca="1" si="687"/>
        <v>#DIV/0!</v>
      </c>
      <c r="OR167" s="138" t="e">
        <f t="shared" ca="1" si="665"/>
        <v>#DIV/0!</v>
      </c>
      <c r="OS167" s="137" t="e">
        <f t="shared" ca="1" si="688"/>
        <v>#DIV/0!</v>
      </c>
      <c r="OT167" s="139" t="e">
        <f t="shared" ca="1" si="689"/>
        <v>#DIV/0!</v>
      </c>
      <c r="OU167" s="138" t="e">
        <f t="shared" ca="1" si="690"/>
        <v>#N/A</v>
      </c>
      <c r="OV167" s="138" t="e">
        <f t="shared" ca="1" si="691"/>
        <v>#DIV/0!</v>
      </c>
      <c r="OW167" s="138" t="e">
        <f t="shared" ca="1" si="666"/>
        <v>#DIV/0!</v>
      </c>
      <c r="OX167" s="138" t="e">
        <f t="shared" ca="1" si="667"/>
        <v>#DIV/0!</v>
      </c>
      <c r="OY167" s="138" t="e">
        <f t="shared" ca="1" si="668"/>
        <v>#DIV/0!</v>
      </c>
      <c r="OZ167" s="138" t="e">
        <f t="shared" ca="1" si="583"/>
        <v>#DIV/0!</v>
      </c>
      <c r="PA167" s="138" t="e">
        <f t="shared" ca="1" si="584"/>
        <v>#DIV/0!</v>
      </c>
      <c r="PB167" s="55">
        <f>IF(Control!$C$61="T", IF(Control!$C$65="F", IF($AH$6-Control!$C$60&lt;0,0,1), IF(365+$AH$6-Control!$C$60&lt;0,0,1)),0)</f>
        <v>0</v>
      </c>
      <c r="PC167" s="55">
        <f ca="1">IF(Control!$C$65="F", IF($AH$6-$HF167&lt;0,0,1), IF(365+$AH$6-$HF167&lt;0,0,1))</f>
        <v>1</v>
      </c>
      <c r="PD167" s="444">
        <f>Control!$C$118</f>
        <v>1500</v>
      </c>
      <c r="PE167" s="180" t="e">
        <f t="shared" ca="1" si="585"/>
        <v>#N/A</v>
      </c>
      <c r="PF167" s="445">
        <f t="shared" ca="1" si="669"/>
        <v>0.71612369323045078</v>
      </c>
      <c r="PT167" s="186"/>
      <c r="PU167" s="186"/>
      <c r="PV167" s="94"/>
      <c r="PW167" s="94"/>
      <c r="PX167" s="94"/>
      <c r="PY167" s="94"/>
      <c r="PZ167" s="94"/>
      <c r="QA167" s="94"/>
      <c r="QB167" s="94"/>
      <c r="QC167" s="94"/>
      <c r="QD167" s="94"/>
      <c r="QE167" s="94"/>
      <c r="QF167" s="94"/>
      <c r="QG167" s="94"/>
      <c r="QH167" s="94"/>
      <c r="QI167" s="94"/>
      <c r="QJ167" s="94"/>
      <c r="QK167" s="94"/>
      <c r="QL167" s="94"/>
      <c r="QM167" s="94"/>
      <c r="QN167" s="94"/>
      <c r="QO167" s="94"/>
      <c r="QP167" s="94"/>
    </row>
    <row r="168" spans="1:458" s="2" customFormat="1" x14ac:dyDescent="0.2">
      <c r="A168" s="395">
        <v>12</v>
      </c>
      <c r="B168" s="396">
        <v>6</v>
      </c>
      <c r="C168" s="387">
        <f ca="1">Weather_data!$B167</f>
        <v>0</v>
      </c>
      <c r="D168" s="388">
        <f ca="1">Weather_data!$F167</f>
        <v>0</v>
      </c>
      <c r="E168" s="388">
        <f ca="1">Weather_data!$E167</f>
        <v>0</v>
      </c>
      <c r="F168" s="388">
        <f t="shared" ca="1" si="586"/>
        <v>0</v>
      </c>
      <c r="G168" s="388">
        <f ca="1">AVERAGE($D168:$E168)+Control!$B$9</f>
        <v>0</v>
      </c>
      <c r="H168" s="388">
        <f ca="1">Weather_data!$G167</f>
        <v>0</v>
      </c>
      <c r="I168" s="388">
        <f ca="1">Weather_data!$I167</f>
        <v>0</v>
      </c>
      <c r="J168" s="388">
        <f ca="1">Weather_data!$H167</f>
        <v>0</v>
      </c>
      <c r="K168" s="389">
        <f ca="1">Weather_data!$D167</f>
        <v>0</v>
      </c>
      <c r="L168" s="388" t="e">
        <f t="shared" ca="1" si="587"/>
        <v>#N/A</v>
      </c>
      <c r="M168" s="388" t="e">
        <f t="shared" ca="1" si="465"/>
        <v>#N/A</v>
      </c>
      <c r="N168" s="388">
        <f t="shared" ca="1" si="466"/>
        <v>-1.9331098489357808E-8</v>
      </c>
      <c r="O168" s="388">
        <f t="shared" ca="1" si="588"/>
        <v>1.9331098489357809E-7</v>
      </c>
      <c r="P168" s="390">
        <v>3</v>
      </c>
      <c r="Q168" s="388">
        <f ca="1">MAX($G168-Control!$C$107,0)</f>
        <v>0</v>
      </c>
      <c r="R168" s="388">
        <f t="shared" ca="1" si="589"/>
        <v>0</v>
      </c>
      <c r="S168" s="388">
        <f t="shared" ca="1" si="467"/>
        <v>0</v>
      </c>
      <c r="T168" s="388">
        <f t="shared" ca="1" si="468"/>
        <v>0</v>
      </c>
      <c r="U168" s="59">
        <f t="shared" ca="1" si="469"/>
        <v>0</v>
      </c>
      <c r="V168" s="391">
        <f ca="1">MAX(0,MIN(Control!$C$100-Control!$C$99,$G168-Control!$C$99)*Control!$C$63)</f>
        <v>0</v>
      </c>
      <c r="W168" s="388">
        <f t="shared" ca="1" si="590"/>
        <v>0</v>
      </c>
      <c r="X168" s="388">
        <f t="shared" ca="1" si="591"/>
        <v>0.6110000000000001</v>
      </c>
      <c r="Y168" s="388">
        <f t="shared" ca="1" si="470"/>
        <v>0</v>
      </c>
      <c r="Z168" s="388">
        <f t="shared" ca="1" si="592"/>
        <v>0.61058800000000002</v>
      </c>
      <c r="AA168" s="388">
        <f t="shared" ca="1" si="471"/>
        <v>0.6018</v>
      </c>
      <c r="AB168" s="388">
        <f ca="1">101.3*EXP(-0.034*Control!$C$66/($G168+273))</f>
        <v>100.69623283836242</v>
      </c>
      <c r="AC168" s="392">
        <f t="shared" ca="1" si="472"/>
        <v>4.3460251046025113E-2</v>
      </c>
      <c r="AD168" s="392">
        <f t="shared" ca="1" si="473"/>
        <v>4.4450382862832649E-2</v>
      </c>
      <c r="AE168" s="388">
        <f t="shared" ca="1" si="474"/>
        <v>0</v>
      </c>
      <c r="AF168" s="388">
        <f ca="1">MAX(0,$G168-Control!$C$92)</f>
        <v>0</v>
      </c>
      <c r="AG168" s="393">
        <f t="shared" ca="1" si="475"/>
        <v>164</v>
      </c>
      <c r="AH168" s="389">
        <f t="shared" ca="1" si="476"/>
        <v>164</v>
      </c>
      <c r="AI168" s="388">
        <f t="shared" ca="1" si="593"/>
        <v>0.40465049826460797</v>
      </c>
      <c r="AJ168" s="388">
        <f ca="1">IF(Control!$C$60&lt;=0,$HH168,$HI168)</f>
        <v>1</v>
      </c>
      <c r="AK168" s="388">
        <f t="shared" ca="1" si="477"/>
        <v>1.4459933309673569</v>
      </c>
      <c r="AL168" s="388">
        <f t="shared" ca="1" si="478"/>
        <v>-9.7379812546982695E-18</v>
      </c>
      <c r="AM168" s="388">
        <f t="shared" ca="1" si="479"/>
        <v>1.4459933309673569</v>
      </c>
      <c r="AN168" s="388">
        <f t="shared" ca="1" si="480"/>
        <v>0.40574784353003679</v>
      </c>
      <c r="AO168" s="388">
        <f ca="1">-0.10453/COS(Control!$B$8*PI()/180)*COS(AN168)</f>
        <v>-0.15599960253239994</v>
      </c>
      <c r="AP168" s="388">
        <f ca="1">ACOS(AO168-TAN(Control!$B$8*PI()/180)*TAN(AN168))</f>
        <v>2.3544094588997271</v>
      </c>
      <c r="AQ168" s="388">
        <f t="shared" ca="1" si="594"/>
        <v>0</v>
      </c>
      <c r="AR168" s="394">
        <f t="shared" ca="1" si="481"/>
        <v>0</v>
      </c>
      <c r="AS168" s="436">
        <f ca="1">IF(Control!$B$18=2,(IF(OR($AH168=Control!$B$175,$AH168=Control!$B$176,$AH168=Control!$B$177,$AH168=Control!$B$178,$AH168=Control!$B$179,$AH168=Control!$B$180,$AH168=Control!$B$181,$AH168=Control!$B$182,$AH168=Control!$B$183,$AH168=Control!$B$184,$AH168=Control!$B$185),1,0)),0)</f>
        <v>0</v>
      </c>
      <c r="AT168" s="436">
        <f>IF(Control!$B$20=8,IF(AND($AH168&gt;=Control!$B$172,$AH168&lt;=Control!$B$173),1,0),0)</f>
        <v>0</v>
      </c>
      <c r="AU168" s="436">
        <f>IF(Control!$B$20=8,IF($AV167=1,1*$AT168,IF($AT168=1,$AU167+1,$AU167)),0)</f>
        <v>0</v>
      </c>
      <c r="AV168" s="436">
        <f>IF(Control!$B$20=8,IF($AU168&gt;=Control!$B$174,1,0),0)</f>
        <v>0</v>
      </c>
      <c r="AW168" s="436">
        <f ca="1">IF(AND(Control!$B$18=2,Control!$B$171=1), $AV168, $AS168)</f>
        <v>0</v>
      </c>
      <c r="AX168" s="436" t="e">
        <f ca="1">IF(AND(Control!$B$18=1,$EU168&gt;=Control!$B$19),-$AY168,IF(AND(Control!$B$18=2,$AW168=1,$EU168&gt;$DS168),-$AY168, IF(Control!$C$108=0,0, IF(Control!$C$108&lt;&gt;0,1))))</f>
        <v>#N/A</v>
      </c>
      <c r="AY168" s="436" t="e">
        <f t="shared" ca="1" si="595"/>
        <v>#N/A</v>
      </c>
      <c r="AZ168" s="436" t="e">
        <f ca="1">IF(AND(Control!$B$18=1,$EB168&gt;Control!$B$19),$AZ167+1, IF(AND(Control!$B$18=2, $AW168=1, $EB168&gt;$DS168), $AZ167+1,$AZ167))</f>
        <v>#N/A</v>
      </c>
      <c r="BA168" s="587">
        <f>IF(Control!$C$81=0,1,IF($AH168&gt;=Control!$C$82,1,0))</f>
        <v>1</v>
      </c>
      <c r="BB168" s="140" t="e">
        <f ca="1">IF($BA168&gt;$BA167,Control!$C$83,IF($AW168&gt;0,$AW168*Control!$C$84,IF(AND(Control!$B$18=1,EN167&lt;&gt;0),Control!$C$84,0)))</f>
        <v>#N/A</v>
      </c>
      <c r="BC168" s="140" t="e">
        <f t="shared" ca="1" si="596"/>
        <v>#N/A</v>
      </c>
      <c r="BD168" s="140" t="e">
        <f ca="1">BC168*IF(OR($G168&lt;Control!$C$92,$G168&gt;Control!$C$95),0,IF(AND($G168&gt;=Control!$C$92,$G168&lt;=Control!$C$93),$G168-Control!$C$92,IF(AND($G168&gt;Control!$C$93,$G168&lt;=Control!$C$94),Control!$C$93-Control!$C$92,IF(AND($G168&gt;Control!$C$94,$G168&lt;=Control!$C$95),(Control!$C$93-Control!$C$92)*(Control!$C$94-$G168)/(Control!$C$95-Control!$C$94)))))</f>
        <v>#N/A</v>
      </c>
      <c r="BE168" s="140" t="e">
        <f t="shared" ca="1" si="597"/>
        <v>#N/A</v>
      </c>
      <c r="BF168" s="140" t="e">
        <f ca="1">IF($BE168&lt;=Control!$C$86,$BE168,Control!$C$86-$BE168)</f>
        <v>#N/A</v>
      </c>
      <c r="BG168" s="140" t="e">
        <f ca="1">IF(AND($AW168=1,Control!$C$84&lt;9),1,IF($BE168&gt;=Control!$C$86,0,$BC168))</f>
        <v>#N/A</v>
      </c>
      <c r="BH168" s="404" t="e">
        <f ca="1">IF($BG168=0,0,IF($BE168&lt;=Control!$C$86,$BC168*9*($BF168/Control!$C$86),0))</f>
        <v>#N/A</v>
      </c>
      <c r="BI168" s="140" t="e">
        <f ca="1">IF($BG168=1,0,IF($BE168&gt;=Control!$C$86,1,IF(AND($BB168&lt;21,$BB168&gt;=9),1,$BM167)))</f>
        <v>#N/A</v>
      </c>
      <c r="BJ168" s="140" t="e">
        <f ca="1">IF($BF168&lt;0,-$BF168,$BI168*IF(OR($G168&lt;Control!$C$92,$G168&gt;Control!$C$95),0,IF(AND($G168&gt;=Control!$C$92,$G168&lt;=Control!$C$93),$G168-Control!$C$92,IF(AND($G168&gt;Control!$C$93,$G168&lt;=Control!$C$94),Control!$C$93-Control!$C$92,IF(AND($G168&gt;Control!$C$94,$G168&lt;=Control!$C$95),(Control!$C$93-Control!$C$92)*(Control!$C$94-$G168)/(Control!$C$95-Control!$C$94))))))</f>
        <v>#N/A</v>
      </c>
      <c r="BK168" s="140" t="e">
        <f t="shared" ca="1" si="598"/>
        <v>#N/A</v>
      </c>
      <c r="BL168" s="140" t="e">
        <f ca="1">IF($BK168&lt;=Control!$C$87,$BK168,Control!$C$87-$BK168)</f>
        <v>#N/A</v>
      </c>
      <c r="BM168" s="140" t="e">
        <f ca="1">IF(AND($BB168&gt;=9,$BB168&lt;21),1,IF($BK168&gt;=Control!$C$87,0,$BI168))</f>
        <v>#N/A</v>
      </c>
      <c r="BN168" s="404" t="e">
        <f ca="1">IF($BM168=0,0,IF($BK168&lt;=Control!$C$87,$BI168*(9+(21-9)*($BL168/Control!$C$87)),0))</f>
        <v>#N/A</v>
      </c>
      <c r="BO168" s="140" t="e">
        <f ca="1">IF($BM168=1,0,IF($BK168&gt;=Control!$C$87,1,IF(AND($BB168&lt;30,$BB168&gt;=21),1,$BS167)))</f>
        <v>#N/A</v>
      </c>
      <c r="BP168" s="140" t="e">
        <f ca="1">IF($BL168&lt;0,-$BL168,$BO168*IF(OR($G168&lt;Control!$C$92,$G168&gt;Control!$C$95),0,IF(AND($G168&gt;=Control!$C$92,$G168&lt;=Control!$C$93),$G168-Control!$C$92,IF(AND($G168&gt;Control!$C$93,$G168&lt;=Control!$C$94),Control!$C$93-Control!$C$92,IF(AND($G168&gt;Control!$C$94,$G168&lt;=Control!$C$95),(Control!$C$93-Control!$C$92)*(Control!$C$94-$G168)/(Control!$C$95-Control!$C$94))))))</f>
        <v>#N/A</v>
      </c>
      <c r="BQ168" s="140" t="e">
        <f t="shared" ca="1" si="482"/>
        <v>#N/A</v>
      </c>
      <c r="BR168" s="140" t="e">
        <f ca="1">IF($BQ168&lt;=Control!$C$88,$BQ168,Control!$C$88-$BQ168)</f>
        <v>#N/A</v>
      </c>
      <c r="BS168" s="140" t="e">
        <f ca="1">IF(AND($BB168&gt;=21,$BB168&lt;30),1,IF($BQ168&gt;=Control!$C$88,0,$BO168))</f>
        <v>#N/A</v>
      </c>
      <c r="BT168" s="404" t="e">
        <f ca="1">IF($BS168=0,0,IF($BQ168&lt;=Control!$C$88,$BO168*(21+(30-21)*(BR168/Control!$C$88)),0))</f>
        <v>#N/A</v>
      </c>
      <c r="BU168" s="140" t="e">
        <f ca="1">IF(BG168+BM168+BS168=1,0,IF(OR(AND($BB168&lt;60,$BB168&gt;=30),$BQ168&gt;=Control!$C$88),1*$BA168,$BY167))</f>
        <v>#N/A</v>
      </c>
      <c r="BV168" s="140" t="e">
        <f ca="1">IF($BR168&lt;0,-$BR168,$BU168*IF(OR($G168&lt;Control!$C$92,$G168&gt;Control!$C$95),0,IF(AND($G168&gt;=Control!$C$92,$G168&lt;=Control!$C$93),$G168-Control!$C$92,IF(AND($G168&gt;Control!$C$93,$G168&lt;=Control!$C$94),Control!$C$93-Control!$C$92,IF(AND($G168&gt;Control!$C$94,$G168&lt;=Control!$C$95),(Control!$C$93-Control!$C$92)*(Control!$C$94-$G168)/(Control!$C$95-Control!$C$94))))))</f>
        <v>#N/A</v>
      </c>
      <c r="BW168" s="140" t="e">
        <f t="shared" ca="1" si="483"/>
        <v>#N/A</v>
      </c>
      <c r="BX168" s="140" t="e">
        <f ca="1">IF($BW168&lt;=Control!$C$89,$BW168,Control!$C$89-$BW168)</f>
        <v>#N/A</v>
      </c>
      <c r="BY168" s="140" t="e">
        <f ca="1">IF(AND($AJ168&gt;=30,$AJ168&lt;60),1,IF($BW168&gt;=Control!$C$89,0,$BU168))</f>
        <v>#N/A</v>
      </c>
      <c r="BZ168" s="404" t="e">
        <f ca="1">IF($BY168=0,0,IF($BW168&lt;=Control!$C$89,$BU168*(30+(60-30)*(BX168/Control!$C$89)),0))</f>
        <v>#N/A</v>
      </c>
      <c r="CA168" s="140" t="e">
        <f ca="1">IF($BG168+$BM168+$BS168+$BY168=1,0,IF(OR(AND($BB168&lt;65,$BB168&gt;=60),$BW168&gt;=Control!$C$89),1*$BA168,$CE167))</f>
        <v>#N/A</v>
      </c>
      <c r="CB168" s="140" t="e">
        <f ca="1">IF($BX168&lt;0,-$BX168,$CA168*IF(OR($G168&lt;Control!$C$92,$G168&gt;Control!$C$95),0,IF(AND($G168&gt;=Control!$C$92,$G168&lt;=Control!$C$93),$G168-Control!$C$92,IF(AND($G168&gt;Control!$C$93,$G168&lt;=Control!$C$94),Control!$C$93-Control!$C$92,IF(AND($G168&gt;Control!$C$94,$G168&lt;=Control!$C$95),(Control!$C$93-Control!$C$92)*(Control!$C$94-$G168)/(Control!$C$95-Control!$C$94))))))</f>
        <v>#N/A</v>
      </c>
      <c r="CC168" s="140" t="e">
        <f t="shared" ca="1" si="599"/>
        <v>#N/A</v>
      </c>
      <c r="CD168" s="140" t="e">
        <f ca="1">IF($CC168&lt;=Control!$C$90,$CC168,Control!$C$90-$CC168)</f>
        <v>#N/A</v>
      </c>
      <c r="CE168" s="140" t="e">
        <f ca="1">IF(AND($BB168&gt;=60,$BB168&lt;65),1,IF($CC168&gt;=Control!$C$90,0,$CA168))</f>
        <v>#N/A</v>
      </c>
      <c r="CF168" s="404" t="e">
        <f ca="1">IF($CE168=0,0,IF($CC168&lt;=Control!$C$90,$CA168*(60+(65-60)*(CD168/Control!$C$90)),0))</f>
        <v>#N/A</v>
      </c>
      <c r="CG168" s="140" t="e">
        <f ca="1">IF($BG168+$BM168+$BS168+$BY168+$CE168=1,0,IF(OR(AND($BB168&lt;90,$BB168&gt;=65),$CC168&gt;=Control!$C$90),$BA168,$CK167))</f>
        <v>#N/A</v>
      </c>
      <c r="CH168" s="140" t="e">
        <f ca="1">IF($CD168&lt;0,-$CD168,$CG168*IF(OR($G168&lt;Control!$C$92,$G168&gt;Control!$C$95),0,IF(AND($G168&gt;=Control!$C$92,$G168&lt;=Control!$C$93),$G168-Control!$C$92,IF(AND($G168&gt;Control!$C$93,$G168&lt;=Control!$C$94),Control!$C$93-Control!$C$92,IF(AND($G168&gt;Control!$C$94,$G168&lt;=Control!$C$95),(Control!$C$93-Control!$C$92)*(Control!$C$94-$G168)/(Control!$C$95-Control!$C$94))))))</f>
        <v>#N/A</v>
      </c>
      <c r="CI168" s="140" t="e">
        <f t="shared" ca="1" si="600"/>
        <v>#N/A</v>
      </c>
      <c r="CJ168" s="140" t="e">
        <f ca="1">IF($CI168&lt;=Control!$C$91,$CI168,Control!$C$91-$CI168)</f>
        <v>#N/A</v>
      </c>
      <c r="CK168" s="140" t="e">
        <f ca="1">IF(AND($BB168&gt;=65,$BB168&lt;90),1,IF($CI168&gt;=Control!$C$91,0,$CG168))</f>
        <v>#N/A</v>
      </c>
      <c r="CL168" s="404" t="e">
        <f ca="1">IF($CK168=0,0,IF($CI168&lt;=Control!$C$91,$CG168*(65+(90-65)*($CJ168/Control!$C$91)),0))</f>
        <v>#N/A</v>
      </c>
      <c r="CM168" s="140" t="e">
        <f ca="1">IF($BG168+$BM168+$BS168+$BY168+$CE168+$CK168=1,0,IF(OR($BB168&gt;=90,$CI168&gt;=Control!$C$91),$BA168,$CM167))</f>
        <v>#N/A</v>
      </c>
      <c r="CN168" s="140" t="e">
        <f t="shared" ca="1" si="601"/>
        <v>#N/A</v>
      </c>
      <c r="CO168" s="140" t="e">
        <f t="shared" ca="1" si="602"/>
        <v>#N/A</v>
      </c>
      <c r="CP168" s="140" t="e">
        <f t="shared" ca="1" si="603"/>
        <v>#N/A</v>
      </c>
      <c r="CQ168" s="141" t="e">
        <f ca="1">VLOOKUP($CP168,Control!$B$86:$G$91,6)</f>
        <v>#N/A</v>
      </c>
      <c r="CR168" s="141" t="e">
        <f ca="1">(1-$CQ168)*VLOOKUP($CP168,Control!$B$86:$D$91,3)</f>
        <v>#N/A</v>
      </c>
      <c r="CS168" s="141" t="e">
        <f ca="1">(1-$CQ168)*VLOOKUP($CP168,Control!$B$86:$E$91,4)</f>
        <v>#N/A</v>
      </c>
      <c r="CT168" s="141" t="e">
        <f ca="1">(1-$CQ168)*VLOOKUP($CP168,Control!$B$86:$F$91,5)</f>
        <v>#N/A</v>
      </c>
      <c r="CU168" s="141">
        <f t="shared" ca="1" si="604"/>
        <v>0</v>
      </c>
      <c r="CV168" s="583">
        <f t="shared" ca="1" si="605"/>
        <v>0</v>
      </c>
      <c r="CW168" s="142">
        <f t="shared" ca="1" si="606"/>
        <v>164</v>
      </c>
      <c r="CX168" s="612" t="e">
        <f ca="1">IF(Control!$C$114=1,(MIN(Control!$C$120*(IF($NT168-0.01&lt;0,0,1)),Control!$C$119-$CY168)))</f>
        <v>#DIV/0!</v>
      </c>
      <c r="CY168" s="143" t="e">
        <f t="shared" ca="1" si="607"/>
        <v>#N/A</v>
      </c>
      <c r="CZ168" s="144">
        <f t="shared" ca="1" si="484"/>
        <v>0</v>
      </c>
      <c r="DA168" s="144">
        <f t="shared" ca="1" si="485"/>
        <v>0</v>
      </c>
      <c r="DB168" s="144" t="e">
        <f t="shared" ca="1" si="486"/>
        <v>#N/A</v>
      </c>
      <c r="DC168" s="144" t="e">
        <f t="shared" ca="1" si="487"/>
        <v>#N/A</v>
      </c>
      <c r="DD168" s="144" t="e">
        <f t="shared" ca="1" si="692"/>
        <v>#N/A</v>
      </c>
      <c r="DE168" s="143" t="e">
        <f t="shared" ca="1" si="608"/>
        <v>#N/A</v>
      </c>
      <c r="DF168" s="145" t="e">
        <f ca="1">$DR168*EXP(-Control!$C$158*(1-$KH168))</f>
        <v>#N/A</v>
      </c>
      <c r="DG168" s="146" t="e">
        <f ca="1">IF(Control!$C$114=1, $DF168*$EY168, 0)</f>
        <v>#N/A</v>
      </c>
      <c r="DH168" s="147" t="e">
        <f t="shared" ca="1" si="609"/>
        <v>#N/A</v>
      </c>
      <c r="DI168" s="144" t="e">
        <f t="shared" ca="1" si="670"/>
        <v>#N/A</v>
      </c>
      <c r="DJ168" s="147" t="e">
        <f ca="1">$EF168*Control!$C$109</f>
        <v>#N/A</v>
      </c>
      <c r="DK168" s="144" t="e">
        <f t="shared" ca="1" si="610"/>
        <v>#N/A</v>
      </c>
      <c r="DL168" s="144" t="e">
        <f t="shared" ca="1" si="488"/>
        <v>#N/A</v>
      </c>
      <c r="DM168" s="144" t="e">
        <f ca="1">IF(Control!$C$114=1, (1-EXP(-Control!$C$96*$DK168))*$AR168, 0)</f>
        <v>#N/A</v>
      </c>
      <c r="DN168" s="144">
        <f t="shared" ca="1" si="611"/>
        <v>0</v>
      </c>
      <c r="DO168" s="148">
        <f>Control!$C$97</f>
        <v>4</v>
      </c>
      <c r="DP168" s="145" t="e">
        <f t="shared" ca="1" si="612"/>
        <v>#N/A</v>
      </c>
      <c r="DQ168" s="145" t="e">
        <f ca="1">IF(AND($CP168&gt;=0,$CP168&lt;=90),Control!$C$111,Control!$C$111)</f>
        <v>#N/A</v>
      </c>
      <c r="DR168" s="145" t="e">
        <f t="shared" ca="1" si="489"/>
        <v>#N/A</v>
      </c>
      <c r="DS168" s="143" t="e">
        <f ca="1">Control!$B$22/$DR168</f>
        <v>#N/A</v>
      </c>
      <c r="DT168" s="149" t="e">
        <f ca="1">IF(AND(Control!$C$114=1,$KH168&lt;1),$IM168*$DF168, 0)</f>
        <v>#N/A</v>
      </c>
      <c r="DU168" s="144" t="e">
        <f t="shared" ca="1" si="613"/>
        <v>#N/A</v>
      </c>
      <c r="DV168" s="144">
        <f ca="1">IF($G168-Control!$C$107&lt;=0, 0, 0.83*LN(MAX($G168, 3))-0.8924)</f>
        <v>0</v>
      </c>
      <c r="DW168" s="144" t="e">
        <f t="shared" ca="1" si="490"/>
        <v>#N/A</v>
      </c>
      <c r="DX168" s="150" t="e">
        <f ca="1">MAX(0.01*(1+$CU168/Control!$C$102),0.05*($DK168-Control!$C$97)/Control!$C$97)</f>
        <v>#N/A</v>
      </c>
      <c r="DY168" s="151" t="e">
        <f ca="1">IF(Control!$C$114=1, $DI168*$FS168, 0)</f>
        <v>#N/A</v>
      </c>
      <c r="DZ168" s="196" t="e">
        <f t="shared" ca="1" si="614"/>
        <v>#N/A</v>
      </c>
      <c r="EA168" s="152">
        <f t="shared" ca="1" si="615"/>
        <v>164</v>
      </c>
      <c r="EB168" s="153" t="e">
        <f t="shared" ca="1" si="616"/>
        <v>#N/A</v>
      </c>
      <c r="EC168" s="153" t="e">
        <f t="shared" ca="1" si="617"/>
        <v>#N/A</v>
      </c>
      <c r="ED168" s="154" t="e">
        <f ca="1">IF(Control!$C$114=1, $HM168*$FY168-$FD168, 0)</f>
        <v>#DIV/0!</v>
      </c>
      <c r="EE168" s="155" t="e">
        <f ca="1">IF(Control!$C$114=1, $HM168*$FZ168-$FF168, 0)</f>
        <v>#DIV/0!</v>
      </c>
      <c r="EF168" s="153" t="e">
        <f t="shared" ca="1" si="671"/>
        <v>#N/A</v>
      </c>
      <c r="EG168" s="155" t="e">
        <f ca="1">IF(Control!$C$114=1, $GX168*$FW168-$FI168, 0)</f>
        <v>#DIV/0!</v>
      </c>
      <c r="EH168" s="153" t="e">
        <f t="shared" ca="1" si="618"/>
        <v>#N/A</v>
      </c>
      <c r="EI168" s="156" t="e">
        <f t="shared" ca="1" si="619"/>
        <v>#N/A</v>
      </c>
      <c r="EJ168" s="155" t="e">
        <f ca="1">IF(Control!$C$114=1, $HM168*$GB168, 0)</f>
        <v>#DIV/0!</v>
      </c>
      <c r="EK168" s="153" t="e">
        <f t="shared" ca="1" si="672"/>
        <v>#N/A</v>
      </c>
      <c r="EL168" s="153" t="e">
        <f t="shared" ca="1" si="491"/>
        <v>#N/A</v>
      </c>
      <c r="EM168" s="153" t="e">
        <f t="shared" ca="1" si="492"/>
        <v>#N/A</v>
      </c>
      <c r="EN168" s="153" t="e">
        <f ca="1">IF(Control!$C$108=1,IF(AND(Control!$B$18=1,$EB168&gt;=Control!$B$19),$EB168-$DS168,IF(AND(Control!$B$18=2,$AW168=1,$EB168&gt;$DS168),$EB168-$DS168,0)))</f>
        <v>#N/A</v>
      </c>
      <c r="EO168" s="153" t="e">
        <f ca="1">IF(Control!$C$108=1,IF(AND(Control!$B$18=1,$EB168&gt;=Control!$B$19),$EF168,IF(AND(Control!$B$18=2,$AW168=1),$EF168,0)))</f>
        <v>#N/A</v>
      </c>
      <c r="EP168" s="153" t="e">
        <f ca="1">IF(Control!$C$108=1,IF(AND(Control!$B$18=1,$EB168&gt;=Control!$B$19),$EK168,IF(AND(Control!$B$18=2,$AW168=1),$EK168,0)))</f>
        <v>#N/A</v>
      </c>
      <c r="EQ168" s="153" t="e">
        <f t="shared" ca="1" si="620"/>
        <v>#N/A</v>
      </c>
      <c r="ER168" s="153" t="e">
        <f t="shared" ca="1" si="621"/>
        <v>#N/A</v>
      </c>
      <c r="ES168" s="153" t="e">
        <f t="shared" ca="1" si="673"/>
        <v>#N/A</v>
      </c>
      <c r="ET168" s="153" t="e">
        <f t="shared" ca="1" si="674"/>
        <v>#N/A</v>
      </c>
      <c r="EU168" s="153" t="e">
        <f t="shared" ca="1" si="622"/>
        <v>#N/A</v>
      </c>
      <c r="EV168" s="153" t="e">
        <f t="shared" ca="1" si="493"/>
        <v>#N/A</v>
      </c>
      <c r="EW168" s="153" t="e">
        <f t="shared" ca="1" si="494"/>
        <v>#N/A</v>
      </c>
      <c r="EX168" s="153" t="e">
        <f t="shared" ca="1" si="495"/>
        <v>#N/A</v>
      </c>
      <c r="EY168" s="157" t="e">
        <f t="shared" ca="1" si="496"/>
        <v>#DIV/0!</v>
      </c>
      <c r="EZ168" s="154" t="e">
        <f t="shared" ca="1" si="497"/>
        <v>#DIV/0!</v>
      </c>
      <c r="FA168" s="153" t="e">
        <f t="shared" ca="1" si="623"/>
        <v>#N/A</v>
      </c>
      <c r="FB168" s="153" t="e">
        <f t="shared" ca="1" si="498"/>
        <v>#N/A</v>
      </c>
      <c r="FC168" s="193" t="e">
        <f t="shared" ca="1" si="499"/>
        <v>#N/A</v>
      </c>
      <c r="FD168" s="158" t="e">
        <f t="shared" ca="1" si="624"/>
        <v>#N/A</v>
      </c>
      <c r="FE168" s="158" t="e">
        <f t="shared" ca="1" si="625"/>
        <v>#N/A</v>
      </c>
      <c r="FF168" s="159" t="e">
        <f t="shared" ca="1" si="500"/>
        <v>#N/A</v>
      </c>
      <c r="FG168" s="160" t="e">
        <f t="shared" ca="1" si="626"/>
        <v>#N/A</v>
      </c>
      <c r="FH168" s="158" t="e">
        <f t="shared" ca="1" si="627"/>
        <v>#N/A</v>
      </c>
      <c r="FI168" s="159" t="e">
        <f t="shared" ca="1" si="501"/>
        <v>#N/A</v>
      </c>
      <c r="FJ168" s="160" t="e">
        <f t="shared" ca="1" si="628"/>
        <v>#N/A</v>
      </c>
      <c r="FK168" s="160" t="e">
        <f t="shared" ca="1" si="502"/>
        <v>#N/A</v>
      </c>
      <c r="FL168" s="160" t="e">
        <f t="shared" ca="1" si="675"/>
        <v>#N/A</v>
      </c>
      <c r="FM168" s="160" t="e">
        <f t="shared" ca="1" si="503"/>
        <v>#N/A</v>
      </c>
      <c r="FN168" s="158">
        <f t="shared" ca="1" si="629"/>
        <v>0.01</v>
      </c>
      <c r="FO168" s="160">
        <f>Control!$C$101</f>
        <v>50</v>
      </c>
      <c r="FP168" s="150" t="e">
        <f t="shared" ca="1" si="504"/>
        <v>#N/A</v>
      </c>
      <c r="FQ168" s="150" t="e">
        <f ca="1">MAX(0,(Control!$C$112*(($DK168-Control!$C$97)/Control!$C$97)))</f>
        <v>#N/A</v>
      </c>
      <c r="FR168" s="150" t="e">
        <f ca="1">(1-$NT168)*Control!$C$113</f>
        <v>#DIV/0!</v>
      </c>
      <c r="FS168" s="198" t="e">
        <f t="shared" ca="1" si="505"/>
        <v>#N/A</v>
      </c>
      <c r="FT168" s="161">
        <f t="shared" ca="1" si="630"/>
        <v>164</v>
      </c>
      <c r="FU168" s="162" t="e">
        <f ca="1">IF(Control!$B$34=1,VLOOKUP($CP168,Control!$B$86:$G$91,6),Control!$B$35)</f>
        <v>#N/A</v>
      </c>
      <c r="FV168" s="162" t="e">
        <f t="shared" ca="1" si="506"/>
        <v>#DIV/0!</v>
      </c>
      <c r="FW168" s="162" t="e">
        <f ca="1">IF(Control!$B$31=1,$FU168*$FV168,  $FU168)</f>
        <v>#N/A</v>
      </c>
      <c r="FX168" s="162" t="e">
        <f ca="1">IF(Control!$B$34=1,VLOOKUP($CP168,Control!$B$86:$G$91,3),Control!$B$36)</f>
        <v>#N/A</v>
      </c>
      <c r="FY168" s="162" t="e">
        <f t="shared" ca="1" si="507"/>
        <v>#N/A</v>
      </c>
      <c r="FZ168" s="162" t="e">
        <f ca="1">IF(Control!$B$34=1,VLOOKUP($CP168,Control!$B$86:$G$91,4),Control!$B$37)</f>
        <v>#N/A</v>
      </c>
      <c r="GA168" s="162" t="e">
        <f t="shared" ca="1" si="508"/>
        <v>#N/A</v>
      </c>
      <c r="GB168" s="162" t="e">
        <f ca="1">IF(Control!$B$34=1,VLOOKUP($CP168,Control!$B$86:$G$91,5),Control!$B$38)</f>
        <v>#N/A</v>
      </c>
      <c r="GC168" s="162" t="e">
        <f t="shared" ca="1" si="631"/>
        <v>#N/A</v>
      </c>
      <c r="GD168" s="162">
        <f t="shared" ca="1" si="509"/>
        <v>1</v>
      </c>
      <c r="GE168" s="162">
        <f t="shared" ca="1" si="510"/>
        <v>1</v>
      </c>
      <c r="GF168" s="162">
        <f ca="1">IF(AND(Control!$C$104=1, Control!$C$62="F"),$GE168,1)</f>
        <v>1</v>
      </c>
      <c r="GG168" s="162" t="e">
        <f ca="1">IF(Control!$B$16=40,0,IF(AND(Control!$B$16&gt;40,Control!$B$16&lt;=360),(Control!$B$16-40)*((1-0)/(360-40)),IF(AND(Control!$B$16&gt;360,Control!$B$16&lt;=720),(1+(Control!$B$16-360)*((1.25-1)/(720-360))),IF(AND(Control!$B$16&gt;720,Control!$B$16&lt;=1000),(1.25+(Control!$B$16-720)*((1.35-1.25)/(1000-720))),IF(AND(Control!$B$16&gt;1000,Control!$B$16&lt;=2000),(1.35+(Control!$B$16-1000)*0))))))</f>
        <v>#N/A</v>
      </c>
      <c r="GH168" s="162" t="e">
        <f t="shared" ca="1" si="511"/>
        <v>#N/A</v>
      </c>
      <c r="GI168" s="162">
        <f t="shared" ca="1" si="632"/>
        <v>0</v>
      </c>
      <c r="GJ168" s="162">
        <f t="shared" ca="1" si="512"/>
        <v>0</v>
      </c>
      <c r="GK168" s="162">
        <f t="shared" ca="1" si="633"/>
        <v>1</v>
      </c>
      <c r="GL168" s="162">
        <f t="shared" ca="1" si="513"/>
        <v>1</v>
      </c>
      <c r="GM168" s="162" t="e">
        <f ca="1">MAX(0,MIN(1,1-Control!$C$156*(1.0001-$KH168)^2))</f>
        <v>#N/A</v>
      </c>
      <c r="GN168" s="162" t="e">
        <f ca="1">IF(Control!$B$26=1,$KU168,$KX168)</f>
        <v>#N/A</v>
      </c>
      <c r="GO168" s="162" t="e">
        <f ca="1">IF($CP168&lt;=60,Control!$C$105,IF($CP168&gt;=90,Control!$C$106,Control!$C$105+($CP168-60)*((Control!$C$106-Control!$C$105)/(90-60))))</f>
        <v>#N/A</v>
      </c>
      <c r="GP168" s="162" t="e">
        <f t="shared" ca="1" si="514"/>
        <v>#N/A</v>
      </c>
      <c r="GQ168" s="162" t="e">
        <f t="shared" ca="1" si="634"/>
        <v>#N/A</v>
      </c>
      <c r="GR168" s="163" t="e">
        <f t="shared" ca="1" si="515"/>
        <v>#DIV/0!</v>
      </c>
      <c r="GS168" s="162" t="e">
        <f t="shared" ca="1" si="516"/>
        <v>#DIV/0!</v>
      </c>
      <c r="GT168" s="164" t="e">
        <f t="shared" ca="1" si="635"/>
        <v>#N/A</v>
      </c>
      <c r="GU168" s="162" t="e">
        <f t="shared" ca="1" si="636"/>
        <v>#N/A</v>
      </c>
      <c r="GV168" s="162" t="e">
        <f t="shared" ca="1" si="517"/>
        <v>#N/A</v>
      </c>
      <c r="GW168" s="162" t="e">
        <f t="shared" ca="1" si="518"/>
        <v>#DIV/0!</v>
      </c>
      <c r="GX168" s="162" t="e">
        <f t="shared" ca="1" si="637"/>
        <v>#DIV/0!</v>
      </c>
      <c r="GY168" s="162" t="e">
        <f t="shared" ca="1" si="638"/>
        <v>#DIV/0!</v>
      </c>
      <c r="GZ168" s="165" t="e">
        <f t="shared" ca="1" si="519"/>
        <v>#N/A</v>
      </c>
      <c r="HA168" s="162" t="e">
        <f ca="1">IF(Control!$C$114=1, $DI168*$FS168, 0)</f>
        <v>#N/A</v>
      </c>
      <c r="HB168" s="162" t="e">
        <f ca="1">$FA168/Control!$C$64</f>
        <v>#N/A</v>
      </c>
      <c r="HC168" s="162" t="e">
        <f t="shared" ca="1" si="520"/>
        <v>#DIV/0!</v>
      </c>
      <c r="HD168" s="162">
        <f ca="1">-ASIN(SIN(23.45*Control!$C$139)*COS(2*Control!$C$138*($AH168+10)/365))</f>
        <v>0.40465049826460797</v>
      </c>
      <c r="HE168" s="165">
        <f t="shared" ca="1" si="639"/>
        <v>0</v>
      </c>
      <c r="HF168" s="166">
        <f ca="1">IF(AND(Control!$C$61="T",$HE168&gt;=Control!$C$103,Control!$C$114=0),$AH168,Control!$C$59)</f>
        <v>1</v>
      </c>
      <c r="HG168" s="166">
        <f ca="1">IF(AND(Control!$C$61="T",$HE168&gt;=Control!$C$103,Control!$C$114=0),$HF168,Control!$C$59)</f>
        <v>1</v>
      </c>
      <c r="HH168" s="165">
        <f ca="1">IF(AND(OR(Control!$C$60&lt;=0, $AH168= Control!$C$59, Control!$C$60 &gt;0, $AH168 = Control!$C$60)), Control!$C$59, IF(Control!$C$60&gt;0, 0))</f>
        <v>1</v>
      </c>
      <c r="HI168" s="165">
        <f ca="1">IF(AND(OR(Control!$C$60&lt;=0, $AH168= Control!$C$59, Control!$C$60 &gt;0, $AH168 = Control!$C$60)), Control!$C$60, IF(Control!$C$60&lt;=0, 0))</f>
        <v>0</v>
      </c>
      <c r="HJ168" s="166">
        <f ca="1">IF(AND(Control!$C$62="F",$CV168&gt;=Control!$C$102),$AH168,0)</f>
        <v>0</v>
      </c>
      <c r="HK168" s="165" t="e">
        <f t="shared" ca="1" si="676"/>
        <v>#N/A</v>
      </c>
      <c r="HL168" s="166">
        <f ca="1">IF(AND(Control!$C$61="T",$HE168&gt;=Control!$C$103,Control!$C$114=0),$HF168,0)</f>
        <v>0</v>
      </c>
      <c r="HM168" s="201" t="e">
        <f t="shared" ca="1" si="521"/>
        <v>#DIV/0!</v>
      </c>
      <c r="HN168" s="215">
        <f t="shared" ca="1" si="640"/>
        <v>164</v>
      </c>
      <c r="HO168" s="216" t="e">
        <f ca="1">IF(AND($CP168&gt;=0, $CP168&lt;=90), Control!$C$152, Control!$C$152)</f>
        <v>#N/A</v>
      </c>
      <c r="HP168" s="216" t="e">
        <f t="shared" ca="1" si="522"/>
        <v>#N/A</v>
      </c>
      <c r="HQ168" s="217" t="e">
        <f ca="1">IF(OR(Control!$B$26=1,Control!$B$26=2),$KV168,$KS168)</f>
        <v>#DIV/0!</v>
      </c>
      <c r="HR168" s="218" t="e">
        <f t="shared" ca="1" si="677"/>
        <v>#DIV/0!</v>
      </c>
      <c r="HS168" s="216" t="e">
        <f ca="1">Control!$C$154*$HP168</f>
        <v>#N/A</v>
      </c>
      <c r="HT168" s="216" t="e">
        <f ca="1">Control!$C$155*$HP168</f>
        <v>#N/A</v>
      </c>
      <c r="HU168" s="217" t="e">
        <f ca="1">Control!$C$161*$FI168</f>
        <v>#N/A</v>
      </c>
      <c r="HV168" s="218" t="e">
        <f t="shared" ca="1" si="641"/>
        <v>#N/A</v>
      </c>
      <c r="HW168" s="218" t="e">
        <f ca="1">Control!$C$160*$FF168+$IP168*$EO168</f>
        <v>#N/A</v>
      </c>
      <c r="HX168" s="218" t="e">
        <f t="shared" ca="1" si="678"/>
        <v>#N/A</v>
      </c>
      <c r="HY168" s="219" t="e">
        <f ca="1">IF(Control!$C$114=1, $EB168*$FS168, 0)</f>
        <v>#N/A</v>
      </c>
      <c r="HZ168" s="91" t="e">
        <f t="shared" ca="1" si="523"/>
        <v>#N/A</v>
      </c>
      <c r="IA168" s="220" t="e">
        <f ca="1">Control!$C$153*$HO168</f>
        <v>#N/A</v>
      </c>
      <c r="IB168" s="218" t="e">
        <f t="shared" ca="1" si="524"/>
        <v>#N/A</v>
      </c>
      <c r="IC168" s="220" t="e">
        <f ca="1">Control!$C$153*$HT168</f>
        <v>#N/A</v>
      </c>
      <c r="ID168" s="218" t="e">
        <f t="shared" ca="1" si="525"/>
        <v>#N/A</v>
      </c>
      <c r="IE168" s="221" t="e">
        <f ca="1">($EB168*Control!$C$159+$EF168*Control!$C$160)/(IF($GZ168&lt;&gt;0,$GZ168,1))</f>
        <v>#N/A</v>
      </c>
      <c r="IF168" s="216" t="e">
        <f t="shared" ca="1" si="526"/>
        <v>#N/A</v>
      </c>
      <c r="IG168" s="91">
        <f ca="1">IF(OR(Control!$B$198=$AH168,Control!$B$199=$AH168, Control!$B$200=$AH168, Control!$B$201=$AH168, Control!$B$202=$AH168, Control!$B$203=$AH168, Control!$B$204=$AH168, Control!$B$205=$AH168, Control!$B$206=$AH168, Control!$B$207=$AH168), 1, 0)</f>
        <v>0</v>
      </c>
      <c r="IH168" s="91">
        <f ca="1">IF($IG168=0,0, VLOOKUP($AH168,Control!$B$198:$C$207,2))</f>
        <v>0</v>
      </c>
      <c r="II168" s="222">
        <f t="shared" ca="1" si="642"/>
        <v>0</v>
      </c>
      <c r="IJ168" s="91">
        <f>Control!$C$121</f>
        <v>0.7</v>
      </c>
      <c r="IK168" s="218">
        <f t="shared" ca="1" si="527"/>
        <v>0</v>
      </c>
      <c r="IL168" s="217" t="e">
        <f t="shared" ca="1" si="679"/>
        <v>#N/A</v>
      </c>
      <c r="IM168" s="223" t="e">
        <f ca="1">IF(AND(Control!$C$114=1,$KH168&lt;1),$EB168*Control!$C$148*(1-$KH168), 0)</f>
        <v>#N/A</v>
      </c>
      <c r="IN168" s="217" t="e">
        <f t="shared" ca="1" si="528"/>
        <v>#DIV/0!</v>
      </c>
      <c r="IO168" s="91" t="e">
        <f ca="1">MAX(0,$IL168-$EF168*Control!$C$160)</f>
        <v>#N/A</v>
      </c>
      <c r="IP168" s="220" t="e">
        <f t="shared" ca="1" si="529"/>
        <v>#N/A</v>
      </c>
      <c r="IQ168" s="217" t="e">
        <f t="shared" ca="1" si="643"/>
        <v>#N/A</v>
      </c>
      <c r="IR168" s="218" t="e">
        <f t="shared" ca="1" si="530"/>
        <v>#N/A</v>
      </c>
      <c r="IS168" s="217" t="e">
        <f ca="1">Control!$C$159*MAX(0,$FD168-$EN168)</f>
        <v>#N/A</v>
      </c>
      <c r="IT168" s="217" t="e">
        <f t="shared" ca="1" si="680"/>
        <v>#N/A</v>
      </c>
      <c r="IU168" s="217" t="e">
        <f t="shared" ca="1" si="644"/>
        <v>#N/A</v>
      </c>
      <c r="IV168" s="217" t="e">
        <f t="shared" ca="1" si="681"/>
        <v>#N/A</v>
      </c>
      <c r="IW168" s="217" t="e">
        <f ca="1">IF(OR($AW168=1,AND($AW168=0, Control!$B$18=1,$EN168&lt;&gt;0)), $IQ168-$IU168, $IQ168)</f>
        <v>#N/A</v>
      </c>
      <c r="IX168" s="218" t="e">
        <f t="shared" ca="1" si="531"/>
        <v>#N/A</v>
      </c>
      <c r="IY168" s="218" t="e">
        <f ca="1">MAX(0,$IQ168-$EB168*Control!$C$159)</f>
        <v>#N/A</v>
      </c>
      <c r="IZ168" s="218" t="e">
        <f t="shared" ca="1" si="532"/>
        <v>#N/A</v>
      </c>
      <c r="JA168" s="216" t="e">
        <f t="shared" ca="1" si="533"/>
        <v>#N/A</v>
      </c>
      <c r="JB168" s="217" t="e">
        <f t="shared" ca="1" si="534"/>
        <v>#N/A</v>
      </c>
      <c r="JC168" s="222" t="e">
        <f ca="1">MAX(Control!$C$157*$EK168-$JT168, 0)/Control!$C$162</f>
        <v>#N/A</v>
      </c>
      <c r="JD168" s="218" t="e">
        <f t="shared" ca="1" si="535"/>
        <v>#N/A</v>
      </c>
      <c r="JE168" s="218" t="e">
        <f t="shared" ca="1" si="536"/>
        <v>#N/A</v>
      </c>
      <c r="JF168" s="218" t="e">
        <f t="shared" ca="1" si="645"/>
        <v>#N/A</v>
      </c>
      <c r="JG168" s="218" t="e">
        <f t="shared" ca="1" si="537"/>
        <v>#N/A</v>
      </c>
      <c r="JH168" s="217" t="e">
        <f t="shared" ca="1" si="646"/>
        <v>#N/A</v>
      </c>
      <c r="JI168" s="217" t="e">
        <f t="shared" ca="1" si="647"/>
        <v>#N/A</v>
      </c>
      <c r="JJ168" s="217" t="e">
        <f t="shared" ca="1" si="682"/>
        <v>#N/A</v>
      </c>
      <c r="JK168" s="217" t="e">
        <f ca="1">IF(Control!$C$114=1,IF(Control!$B$24=0,MAX(0,$JI168)*$GN168/Control!$C$64,(MAX(0,MIN($JI168,$JJ168*$GN168/Control!$C$64),0))))</f>
        <v>#N/A</v>
      </c>
      <c r="JL168" s="217" t="e">
        <f ca="1">$IK168/Control!$C$64-$JK168+$HQ168</f>
        <v>#N/A</v>
      </c>
      <c r="JM168" s="217" t="e">
        <f ca="1">IF(Control!$C$114=1,($JB168/(IF($JI168&lt;&gt;0,$JI168,1)))*$JK168,0)</f>
        <v>#N/A</v>
      </c>
      <c r="JN168" s="217" t="e">
        <f ca="1">IF(Control!$C$114=1,($JG168/(IF($JI168&lt;&gt;0,$JI168,1)))*$JK168, 0)</f>
        <v>#N/A</v>
      </c>
      <c r="JO168" s="218" t="e">
        <f t="shared" ca="1" si="538"/>
        <v>#N/A</v>
      </c>
      <c r="JP168" s="218" t="e">
        <f ca="1">MIN(($IY168+$IO168)*Control!$C$151, $JF168-$EH168*Control!$C$161)</f>
        <v>#N/A</v>
      </c>
      <c r="JQ168" s="218" t="e">
        <f t="shared" ca="1" si="539"/>
        <v>#N/A</v>
      </c>
      <c r="JR168" s="217" t="e">
        <f ca="1">IF($CP168-Control!$C$150&lt;0, 0, $JQ168/Control!$C$162)</f>
        <v>#N/A</v>
      </c>
      <c r="JS168" s="218" t="e">
        <f t="shared" ca="1" si="540"/>
        <v>#N/A</v>
      </c>
      <c r="JT168" s="218" t="e">
        <f t="shared" ca="1" si="648"/>
        <v>#N/A</v>
      </c>
      <c r="JU168" s="218" t="e">
        <f t="shared" ca="1" si="541"/>
        <v>#N/A</v>
      </c>
      <c r="JV168" s="218" t="e">
        <f t="shared" ca="1" si="542"/>
        <v>#N/A</v>
      </c>
      <c r="JW168" s="216" t="e">
        <f t="shared" ca="1" si="543"/>
        <v>#N/A</v>
      </c>
      <c r="JX168" s="91" t="e">
        <f t="shared" ca="1" si="544"/>
        <v>#N/A</v>
      </c>
      <c r="JY168" s="218" t="e">
        <f t="shared" ca="1" si="545"/>
        <v>#N/A</v>
      </c>
      <c r="JZ168" s="217" t="e">
        <f ca="1">IF(Control!$C$114=1,($IZ168/(IF($JI168&lt;&gt;0,$JI168,1)))*$JK168, 0)</f>
        <v>#N/A</v>
      </c>
      <c r="KA168" s="218" t="e">
        <f t="shared" ca="1" si="683"/>
        <v>#N/A</v>
      </c>
      <c r="KB168" s="218" t="e">
        <f t="shared" ca="1" si="649"/>
        <v>#N/A</v>
      </c>
      <c r="KC168" s="218" t="e">
        <f t="shared" ca="1" si="546"/>
        <v>#N/A</v>
      </c>
      <c r="KD168" s="218" t="e">
        <f t="shared" ca="1" si="547"/>
        <v>#N/A</v>
      </c>
      <c r="KE168" s="218" t="e">
        <f t="shared" ca="1" si="548"/>
        <v>#N/A</v>
      </c>
      <c r="KF168" s="218" t="e">
        <f t="shared" ca="1" si="549"/>
        <v>#N/A</v>
      </c>
      <c r="KG168" s="216" t="e">
        <f t="shared" ca="1" si="550"/>
        <v>#N/A</v>
      </c>
      <c r="KH168" s="221" t="e">
        <f ca="1">IF(Control!$B$24=0,1,MAX(0.001,MIN(1,IF(($IF168-$IE168)&lt;&gt;0,($KG168-$IE168)/($IF168-$IE168),1))))</f>
        <v>#N/A</v>
      </c>
      <c r="KI168" s="222" t="e">
        <f ca="1">IF(Control!$C$114=1, $KI167+ $KH167, 0)</f>
        <v>#N/A</v>
      </c>
      <c r="KJ168" s="217" t="e">
        <f t="shared" ca="1" si="551"/>
        <v>#N/A</v>
      </c>
      <c r="KK168" s="218" t="e">
        <f t="shared" ca="1" si="552"/>
        <v>#N/A</v>
      </c>
      <c r="KL168" s="274" t="e">
        <f ca="1">IF(Control!$B$26=3,4000000000*EXP(-8400/($G168+273)),IF(Control!$B$26=4,4000000000*EXP(-8400/($G168+273))*($KT168),0))</f>
        <v>#DIV/0!</v>
      </c>
      <c r="KM168" s="274" t="e">
        <f ca="1">IF(Control!$B$26=3,5600000000000*EXP(-9800/($G168+273)),IF(Control!$B$26=4,5600000000000*EXP(-9800/($G168+273))*$KT168,0))</f>
        <v>#DIV/0!</v>
      </c>
      <c r="KN168" s="454" t="e">
        <f t="shared" ca="1" si="650"/>
        <v>#DIV/0!</v>
      </c>
      <c r="KO168" s="274" t="e">
        <f t="shared" ca="1" si="651"/>
        <v>#DIV/0!</v>
      </c>
      <c r="KP168" s="454" t="e">
        <f t="shared" ca="1" si="553"/>
        <v>#DIV/0!</v>
      </c>
      <c r="KQ168" s="454" t="e">
        <f t="shared" ca="1" si="554"/>
        <v>#DIV/0!</v>
      </c>
      <c r="KR168" s="454" t="e">
        <f t="shared" ca="1" si="555"/>
        <v>#DIV/0!</v>
      </c>
      <c r="KS168" s="454" t="e">
        <f t="shared" ca="1" si="556"/>
        <v>#DIV/0!</v>
      </c>
      <c r="KT168" s="455" t="e">
        <f t="shared" ca="1" si="557"/>
        <v>#DIV/0!</v>
      </c>
      <c r="KU168" s="456" t="e">
        <f ca="1">IF($CP168-Control!$C$149&lt;0, IF($NT168-0.01&lt;0,0,1),0)</f>
        <v>#N/A</v>
      </c>
      <c r="KV168" s="456" t="e">
        <f ca="1">IF(Control!$C$114=1,MAX(0,MIN(Control!$C$125*$KW168*$GN168,$KW168)))</f>
        <v>#DIV/0!</v>
      </c>
      <c r="KW168" s="456" t="e">
        <f t="shared" ca="1" si="684"/>
        <v>#DIV/0!</v>
      </c>
      <c r="KX168" s="457" t="e">
        <f ca="1">IF($CP168-Control!$C$149&lt;0, IF($MR168-$OM168&lt;0,0,1),0)</f>
        <v>#N/A</v>
      </c>
      <c r="KY168" s="167">
        <f t="shared" ca="1" si="652"/>
        <v>164</v>
      </c>
      <c r="KZ168" s="168">
        <f ca="1">1370*(1+0.033*COS(2*Control!$C$138*$AH168/365))</f>
        <v>1327.0631628774336</v>
      </c>
      <c r="LA168" s="169">
        <f t="shared" ca="1" si="653"/>
        <v>0.96865931118788273</v>
      </c>
      <c r="LB168" s="169">
        <f t="shared" ca="1" si="654"/>
        <v>0.40513042038871888</v>
      </c>
      <c r="LC168" s="169">
        <f ca="1">ACOS(-TAN((2*Control!$B$8/360))*TAN(Calculations!$LB168))</f>
        <v>1.6986006965575848</v>
      </c>
      <c r="LD168" s="169">
        <f ca="1">((24*60)/PI())*0.082*$LA168*(($LC168*SIN(Control!$B$8*2*PI()/360))*SIN($LB168)+COS(Control!$B$8*2*PI()/360)*COS($LB168)*SIN($LC168))</f>
        <v>39.64001043822919</v>
      </c>
      <c r="LE168" s="170">
        <f t="shared" ca="1" si="558"/>
        <v>41.299486617999193</v>
      </c>
      <c r="LF168" s="170">
        <f ca="1">SIN(Control!$C$139*Control!$B$8)*SIN($HD168)</f>
        <v>0.31023838472142662</v>
      </c>
      <c r="LG168" s="170">
        <f ca="1">COS(Control!$C$139*Control!$B$8)*COS($HD168)</f>
        <v>0.56593914881123775</v>
      </c>
      <c r="LH168" s="170">
        <f ca="1">12*(1+2*ASIN(MAX(-1,MIN(1,$LF168/$LG168))/Control!$C$138))</f>
        <v>16.209349885350271</v>
      </c>
      <c r="LI168" s="170">
        <f ca="1">12*(1+2*ASIN(MAX(-1,MIN(1,(-SIN(-4*Control!$C$139)+$LF168)/$LG168))/Control!$C$138))</f>
        <v>17.169299302213588</v>
      </c>
      <c r="LJ168" s="168">
        <f ca="1">3600*($LH168*$LF168+24*$LG168*SQRT(1-$LK168*$LK168)/Control!$C$138)</f>
        <v>31120.965281298806</v>
      </c>
      <c r="LK168" s="170">
        <f t="shared" ca="1" si="559"/>
        <v>0.5481832903291568</v>
      </c>
      <c r="LL168" s="170">
        <f t="shared" ca="1" si="560"/>
        <v>0</v>
      </c>
      <c r="LM168" s="171">
        <f ca="1">Control!$C$145*$AB168</f>
        <v>6.6660906138995932E-2</v>
      </c>
      <c r="LN168" s="170">
        <f t="shared" ca="1" si="655"/>
        <v>0.54</v>
      </c>
      <c r="LO168" s="170">
        <f t="shared" ca="1" si="561"/>
        <v>0</v>
      </c>
      <c r="LP168" s="170">
        <f ca="1">Control!$C$140*((($D168+273.16)^4+($E168+273.16)^4)/2)*(0.34-0.14*SQRT($Y168))*(1.35*$AQ168/(0.75*$LD168)-0.35)</f>
        <v>-3.2464704755046001</v>
      </c>
      <c r="LQ168" s="170">
        <f ca="1">Control!$C$140*($G168+273)^4*(0.56-0.079*SQRT($Y168*10))*(0.1+0.9*$LO168)</f>
        <v>1.5241745131704001</v>
      </c>
      <c r="LR168" s="170">
        <f ca="1">$AQ168*(1-Control!$C$142)-$LQ168</f>
        <v>-1.5241745131704001</v>
      </c>
      <c r="LS168" s="170">
        <f ca="1">$AQ168*(1-Control!$C$143)-$LQ168</f>
        <v>-1.5241745131704001</v>
      </c>
      <c r="LT168" s="170">
        <f ca="1">$AQ168*(1-Control!$C$144)-$LQ168</f>
        <v>-1.5241745131704001</v>
      </c>
      <c r="LU168" s="169">
        <f ca="1">(1-Control!$C$144)*AQ168-LP168</f>
        <v>3.2464704755046001</v>
      </c>
      <c r="LV168" s="172">
        <f t="shared" ca="1" si="562"/>
        <v>0.79430000000000012</v>
      </c>
      <c r="LW168" s="170">
        <f t="shared" ca="1" si="563"/>
        <v>1.5886000000000002</v>
      </c>
      <c r="LX168" s="170">
        <f ca="1">($AC168*($LR168/Control!$C$141)+$LM168*$LV168)/($AC168+$LM168)</f>
        <v>0.23530094218323697</v>
      </c>
      <c r="LY168" s="170">
        <f ca="1">($AC168*($LS168/Control!$C$141)+$LM168*$LV168)/($AC168+$LM168)</f>
        <v>0.23530094218323697</v>
      </c>
      <c r="LZ168" s="170">
        <f t="shared" ca="1" si="564"/>
        <v>0.23530094218323697</v>
      </c>
      <c r="MA168" s="170">
        <f t="shared" ca="1" si="565"/>
        <v>0.23530094218323697</v>
      </c>
      <c r="MB168" s="170" t="e">
        <f t="shared" ca="1" si="566"/>
        <v>#N/A</v>
      </c>
      <c r="MC168" s="170">
        <f t="shared" ca="1" si="656"/>
        <v>0.6018</v>
      </c>
      <c r="MD168" s="170">
        <f t="shared" ca="1" si="567"/>
        <v>0.52989392535414004</v>
      </c>
      <c r="ME168" s="170">
        <f ca="1">($AC168*($LT168/Control!$C$141)+$LM168*$LW168)/($AC168+$LM168)</f>
        <v>0.71612369323045078</v>
      </c>
      <c r="MF168" s="170" t="e">
        <f ca="1">IF(Control!$B$16&gt;=1000,0.92,IF(AND(720&lt;=Control!$B$16,1000&gt;Control!$B$16),(0.95+(Control!$B$16-720)*((0.92-0.95)/(1000-720))),IF(AND(360&lt;=Control!$B$16,720&gt;Control!$B$16),(1+(Control!$B$16-360)*((0.95-1)/(720-360))),IF(AND(40&lt;=Control!$B$16,360&gt;Control!$B$16),(1.05+(Control!$B$16-40)*((1.05-1)/(360-40)))))))</f>
        <v>#N/A</v>
      </c>
      <c r="MG168" s="170">
        <f t="shared" ca="1" si="568"/>
        <v>0.71612369323045078</v>
      </c>
      <c r="MH168" s="170" t="e">
        <f t="shared" ca="1" si="694"/>
        <v>#N/A</v>
      </c>
      <c r="MI168" s="170" t="e">
        <f t="shared" ca="1" si="694"/>
        <v>#N/A</v>
      </c>
      <c r="MJ168" s="170" t="e">
        <f ca="1">MAX(0.0001, Control!$C$132*$MI168*$DL168)</f>
        <v>#N/A</v>
      </c>
      <c r="MK168" s="170">
        <f ca="1">1/(0.76+1.5*($MG168/10))-(5-Control!$C$110)*0.1</f>
        <v>1.002845988140797</v>
      </c>
      <c r="ML168" s="173">
        <f ca="1">IF(Control!$C$110&lt;3,$MK168+($MG168-0.6)/(Control!$C$110*(Control!$C$110+3)), MAX(0.1, MIN(0.95,$MK168)))</f>
        <v>0.95</v>
      </c>
      <c r="MM168" s="173">
        <f ca="1">IF(Control!$C$110&lt;3,$MK168+(($MI168/10)-0.6)/(Control!$C$110*(Control!$C$110+3)), MAX(0.1, MIN(0.95,$MK168)))</f>
        <v>0.95</v>
      </c>
      <c r="MN168" s="173">
        <f ca="1">(1-$MM168)*(Control!$C$128-Control!$C$127)+Control!$C$127</f>
        <v>0.16</v>
      </c>
      <c r="MO168" s="170" t="e">
        <f ca="1">MAX(0,MIN(1,($MS168-Control!$C$127)/($MN168-Control!$C$127)))</f>
        <v>#DIV/0!</v>
      </c>
      <c r="MP168" s="173" t="e">
        <f ca="1">1/(0.76+1.5*$MI168)-(5-Control!$C$110)*0.1</f>
        <v>#N/A</v>
      </c>
      <c r="MQ168" s="172" t="e">
        <f t="shared" ca="1" si="685"/>
        <v>#DIV/0!</v>
      </c>
      <c r="MR168" s="168" t="e">
        <f t="shared" ca="1" si="657"/>
        <v>#DIV/0!</v>
      </c>
      <c r="MS168" s="173" t="e">
        <f ca="1">MAX(Control!$C$127, MIN(Control!$C$135, $MR168/MAX(0.0001,$CY168)))</f>
        <v>#DIV/0!</v>
      </c>
      <c r="MT168" s="168" t="e">
        <f ca="1">(Control!$C$128-$MS168)*Control!$C$74</f>
        <v>#DIV/0!</v>
      </c>
      <c r="MU168" s="168" t="e">
        <f ca="1">(Control!$C$135-$MS168)*Control!$C$74</f>
        <v>#DIV/0!</v>
      </c>
      <c r="MV168" s="168" t="e">
        <f t="shared" ca="1" si="658"/>
        <v>#DIV/0!</v>
      </c>
      <c r="MW168" s="168" t="e">
        <f t="shared" ca="1" si="659"/>
        <v>#DIV/0!</v>
      </c>
      <c r="MX168" s="171" t="e">
        <f ca="1">MAX(Control!$C$127, MIN(Control!$C$135, $MW168/MAX(0.0001,Control!$C$119-$CY168)))</f>
        <v>#DIV/0!</v>
      </c>
      <c r="MY168" s="54" t="e">
        <f ca="1">IF(Control!$C$114=1, $CX168*$MX168, 0)</f>
        <v>#DIV/0!</v>
      </c>
      <c r="MZ168" s="54" t="e">
        <f t="shared" ca="1" si="660"/>
        <v>#N/A</v>
      </c>
      <c r="NA168" s="168" t="e">
        <f ca="1">(Control!$C$128-$MX168)*(Control!$C$119-Control!$C$74)</f>
        <v>#DIV/0!</v>
      </c>
      <c r="NB168" s="168" t="e">
        <f ca="1">(Control!$C$135-$MX168)*(Control!$C$119-Control!$C$74)</f>
        <v>#DIV/0!</v>
      </c>
      <c r="NC168" s="174" t="e">
        <f t="shared" ca="1" si="661"/>
        <v>#DIV/0!</v>
      </c>
      <c r="ND168" s="54">
        <f ca="1">IF(Control!$C$58=2, IF(OR(Control!$B$218=$AH168,Control!$B$219=$AH168, Control!$B$220=$AH168, Control!$B$221=$AH168, Control!$B$222=$AH168, Control!$B$223=$AH168, Control!$B$224=$AH168, Control!$B$225=$AH168, Control!$B$226=$AH168, Control!$B$227=$AH168, Control!$B$228=$AH168), 1, 0), 0)</f>
        <v>0</v>
      </c>
      <c r="NE168" s="54">
        <f ca="1">IF($ND168=0,0, VLOOKUP($AH168,Control!$B$218:$C$228,2))</f>
        <v>0</v>
      </c>
      <c r="NF168" s="168" t="e">
        <f ca="1">$CY168*(Control!$C$128-Control!$C$127)</f>
        <v>#N/A</v>
      </c>
      <c r="NG168" s="54" t="e">
        <f ca="1">IF(Control!$C$58=2, $NI167-$NJ167, 0)</f>
        <v>#DIV/0!</v>
      </c>
      <c r="NH168" s="54" t="e">
        <f ca="1">IF(AND(Control!$C$58=1, $MS167&lt;= ($MN167+0.02), $I167&lt;10), 0, IF(Control!$C$58=2, $NG167, 0))</f>
        <v>#DIV/0!</v>
      </c>
      <c r="NI168" s="54" t="e">
        <f ca="1">IF(Control!$C$58=2, $NE168+$NH168,0)</f>
        <v>#DIV/0!</v>
      </c>
      <c r="NJ168" s="54" t="e">
        <f ca="1">IF(AND(Control!$C$58=1, $MS168&lt;= ($MN168+0.02), $I168&lt;10), MAX(0, MIN(10, 0.7*($NF168-$MV168))), IF(Control!$C$58=2, MIN(10,$NI168),0))</f>
        <v>#DIV/0!</v>
      </c>
      <c r="NK168" s="54" t="e">
        <f t="shared" ca="1" si="569"/>
        <v>#DIV/0!</v>
      </c>
      <c r="NL168" s="173" t="e">
        <f ca="1">(1-Control!$C$73)*$I168+$NJ168</f>
        <v>#DIV/0!</v>
      </c>
      <c r="NM168" s="172" t="e">
        <f ca="1">IF($NL168&lt;0.5, $MB168* MAX(0, MIN(1, (SQRT($NC168)-SQRT($NC168-1))*Control!$C$71)),0)</f>
        <v>#DIV/0!</v>
      </c>
      <c r="NN168" s="170" t="e">
        <f ca="1">IF($NL168&gt;=5, $MB168, MAX(0,MIN($MB168, $NM168+$NL168,($MS168-Control!$C$129))))</f>
        <v>#DIV/0!</v>
      </c>
      <c r="NO168" s="54">
        <f>IF(Control!$C$133&lt;&gt;1, Control!$C$135-Control!$C$131, 0)</f>
        <v>0.38</v>
      </c>
      <c r="NP168" s="54" t="e">
        <f t="shared" ca="1" si="570"/>
        <v>#DIV/0!</v>
      </c>
      <c r="NQ168" s="173" t="e">
        <f ca="1">MAX(0,MIN(1,(Control!$C$135-$MS168)/(Control!$C$135-$NO168)))</f>
        <v>#DIV/0!</v>
      </c>
      <c r="NR168" s="170" t="e">
        <f ca="1">IF(Control!$C$133&lt;&gt;1, $NQ168+((1-$NP168/4)*(1-$NQ168)),1)</f>
        <v>#DIV/0!</v>
      </c>
      <c r="NS168" s="170" t="e">
        <f ca="1">IF(Control!$B$31=0,$MJ168,MAX(0,MIN($MV168,$MO168*$NR168*$MJ168)))</f>
        <v>#DIV/0!</v>
      </c>
      <c r="NT168" s="170" t="e">
        <f t="shared" ca="1" si="686"/>
        <v>#DIV/0!</v>
      </c>
      <c r="NU168" s="170" t="e">
        <f t="shared" ca="1" si="662"/>
        <v>#N/A</v>
      </c>
      <c r="NV168" s="170" t="e">
        <f t="shared" ca="1" si="571"/>
        <v>#N/A</v>
      </c>
      <c r="NW168" s="175" t="e">
        <f t="shared" ca="1" si="572"/>
        <v>#DIV/0!</v>
      </c>
      <c r="NX168" s="170" t="e">
        <f ca="1">MIN(Control!$C$72+$MU168, $NW168)</f>
        <v>#DIV/0!</v>
      </c>
      <c r="NY168" s="170" t="e">
        <f ca="1">IF($MT168&lt;=$NX168,MIN(Control!$C$72+$NB168,$NX168-$MT168),0)</f>
        <v>#DIV/0!</v>
      </c>
      <c r="NZ168" s="54" t="e">
        <f ca="1">IF(Control!$C$114=1,  $CX168*($MX168-Control!$C$127), 0)</f>
        <v>#DIV/0!</v>
      </c>
      <c r="OA168" s="170" t="e">
        <f t="shared" ca="1" si="573"/>
        <v>#DIV/0!</v>
      </c>
      <c r="OB168" s="170" t="e">
        <f ca="1">IF($NA168 &lt;=$NY168, MIN(Control!$C$72, $NY168-$NA168), 0)</f>
        <v>#DIV/0!</v>
      </c>
      <c r="OC168" s="168" t="e">
        <f t="shared" ca="1" si="574"/>
        <v>#DIV/0!</v>
      </c>
      <c r="OD168" s="168" t="e">
        <f t="shared" ca="1" si="663"/>
        <v>#DIV/0!</v>
      </c>
      <c r="OE168" s="170">
        <f ca="1">Control!$C$73*$I168</f>
        <v>0</v>
      </c>
      <c r="OF168" s="176" t="e">
        <f t="shared" ca="1" si="575"/>
        <v>#DIV/0!</v>
      </c>
      <c r="OG168" s="168" t="e">
        <f t="shared" ca="1" si="576"/>
        <v>#DIV/0!</v>
      </c>
      <c r="OH168" s="168" t="e">
        <f t="shared" ca="1" si="577"/>
        <v>#DIV/0!</v>
      </c>
      <c r="OI168" s="168" t="e">
        <f t="shared" ca="1" si="578"/>
        <v>#DIV/0!</v>
      </c>
      <c r="OJ168" s="168" t="e">
        <f t="shared" ca="1" si="579"/>
        <v>#DIV/0!</v>
      </c>
      <c r="OK168" s="204" t="e">
        <f t="shared" ca="1" si="580"/>
        <v>#DIV/0!</v>
      </c>
      <c r="OL168" s="177">
        <f>Control!$C$127</f>
        <v>0.15</v>
      </c>
      <c r="OM168" s="182" t="e">
        <f t="shared" ca="1" si="581"/>
        <v>#N/A</v>
      </c>
      <c r="ON168" s="177">
        <f>Control!$C$128</f>
        <v>0.35</v>
      </c>
      <c r="OO168" s="182" t="e">
        <f t="shared" ca="1" si="582"/>
        <v>#N/A</v>
      </c>
      <c r="OP168" s="138">
        <f t="shared" ca="1" si="664"/>
        <v>0</v>
      </c>
      <c r="OQ168" s="138" t="e">
        <f t="shared" ca="1" si="687"/>
        <v>#DIV/0!</v>
      </c>
      <c r="OR168" s="138" t="e">
        <f t="shared" ca="1" si="665"/>
        <v>#DIV/0!</v>
      </c>
      <c r="OS168" s="137" t="e">
        <f t="shared" ca="1" si="688"/>
        <v>#DIV/0!</v>
      </c>
      <c r="OT168" s="139" t="e">
        <f t="shared" ca="1" si="689"/>
        <v>#DIV/0!</v>
      </c>
      <c r="OU168" s="138" t="e">
        <f t="shared" ca="1" si="690"/>
        <v>#N/A</v>
      </c>
      <c r="OV168" s="138" t="e">
        <f t="shared" ca="1" si="691"/>
        <v>#DIV/0!</v>
      </c>
      <c r="OW168" s="138" t="e">
        <f t="shared" ca="1" si="666"/>
        <v>#DIV/0!</v>
      </c>
      <c r="OX168" s="138" t="e">
        <f t="shared" ca="1" si="667"/>
        <v>#DIV/0!</v>
      </c>
      <c r="OY168" s="138" t="e">
        <f t="shared" ca="1" si="668"/>
        <v>#DIV/0!</v>
      </c>
      <c r="OZ168" s="138" t="e">
        <f t="shared" ca="1" si="583"/>
        <v>#DIV/0!</v>
      </c>
      <c r="PA168" s="138" t="e">
        <f t="shared" ca="1" si="584"/>
        <v>#DIV/0!</v>
      </c>
      <c r="PB168" s="55">
        <f>IF(Control!$C$61="T", IF(Control!$C$65="F", IF($AH$6-Control!$C$60&lt;0,0,1), IF(365+$AH$6-Control!$C$60&lt;0,0,1)),0)</f>
        <v>0</v>
      </c>
      <c r="PC168" s="55">
        <f ca="1">IF(Control!$C$65="F", IF($AH$6-$HF168&lt;0,0,1), IF(365+$AH$6-$HF168&lt;0,0,1))</f>
        <v>1</v>
      </c>
      <c r="PD168" s="444">
        <f>Control!$C$118</f>
        <v>1500</v>
      </c>
      <c r="PE168" s="180" t="e">
        <f t="shared" ca="1" si="585"/>
        <v>#N/A</v>
      </c>
      <c r="PF168" s="445">
        <f t="shared" ca="1" si="669"/>
        <v>0.71612369323045078</v>
      </c>
      <c r="PT168" s="186"/>
      <c r="PU168" s="186"/>
      <c r="PV168" s="94"/>
      <c r="PW168" s="94"/>
      <c r="PX168" s="94"/>
      <c r="PY168" s="94"/>
      <c r="PZ168" s="94"/>
      <c r="QA168" s="94"/>
      <c r="QB168" s="94"/>
      <c r="QC168" s="94"/>
      <c r="QD168" s="94"/>
      <c r="QE168" s="94"/>
      <c r="QF168" s="94"/>
      <c r="QG168" s="94"/>
      <c r="QH168" s="94"/>
      <c r="QI168" s="94"/>
      <c r="QJ168" s="94"/>
      <c r="QK168" s="94"/>
      <c r="QL168" s="94"/>
      <c r="QM168" s="94"/>
      <c r="QN168" s="94"/>
      <c r="QO168" s="94"/>
      <c r="QP168" s="94"/>
    </row>
    <row r="169" spans="1:458" s="2" customFormat="1" x14ac:dyDescent="0.2">
      <c r="A169" s="395">
        <v>13</v>
      </c>
      <c r="B169" s="396">
        <v>6</v>
      </c>
      <c r="C169" s="387">
        <f ca="1">Weather_data!$B168</f>
        <v>0</v>
      </c>
      <c r="D169" s="388">
        <f ca="1">Weather_data!$F168</f>
        <v>0</v>
      </c>
      <c r="E169" s="388">
        <f ca="1">Weather_data!$E168</f>
        <v>0</v>
      </c>
      <c r="F169" s="388">
        <f t="shared" ca="1" si="586"/>
        <v>0</v>
      </c>
      <c r="G169" s="388">
        <f ca="1">AVERAGE($D169:$E169)+Control!$B$9</f>
        <v>0</v>
      </c>
      <c r="H169" s="388">
        <f ca="1">Weather_data!$G168</f>
        <v>0</v>
      </c>
      <c r="I169" s="388">
        <f ca="1">Weather_data!$I168</f>
        <v>0</v>
      </c>
      <c r="J169" s="388">
        <f ca="1">Weather_data!$H168</f>
        <v>0</v>
      </c>
      <c r="K169" s="389">
        <f ca="1">Weather_data!$D168</f>
        <v>0</v>
      </c>
      <c r="L169" s="388" t="e">
        <f t="shared" ca="1" si="587"/>
        <v>#N/A</v>
      </c>
      <c r="M169" s="388" t="e">
        <f t="shared" ca="1" si="465"/>
        <v>#N/A</v>
      </c>
      <c r="N169" s="388">
        <f t="shared" ca="1" si="466"/>
        <v>-1.7397988640422028E-8</v>
      </c>
      <c r="O169" s="388">
        <f t="shared" ca="1" si="588"/>
        <v>1.7397988640422028E-7</v>
      </c>
      <c r="P169" s="390">
        <v>3</v>
      </c>
      <c r="Q169" s="388">
        <f ca="1">MAX($G169-Control!$C$107,0)</f>
        <v>0</v>
      </c>
      <c r="R169" s="388">
        <f t="shared" ca="1" si="589"/>
        <v>0</v>
      </c>
      <c r="S169" s="388">
        <f t="shared" ca="1" si="467"/>
        <v>0</v>
      </c>
      <c r="T169" s="388">
        <f t="shared" ca="1" si="468"/>
        <v>0</v>
      </c>
      <c r="U169" s="59">
        <f t="shared" ca="1" si="469"/>
        <v>0</v>
      </c>
      <c r="V169" s="391">
        <f ca="1">MAX(0,MIN(Control!$C$100-Control!$C$99,$G169-Control!$C$99)*Control!$C$63)</f>
        <v>0</v>
      </c>
      <c r="W169" s="388">
        <f t="shared" ca="1" si="590"/>
        <v>0</v>
      </c>
      <c r="X169" s="388">
        <f t="shared" ca="1" si="591"/>
        <v>0.6110000000000001</v>
      </c>
      <c r="Y169" s="388">
        <f t="shared" ca="1" si="470"/>
        <v>0</v>
      </c>
      <c r="Z169" s="388">
        <f t="shared" ca="1" si="592"/>
        <v>0.61058800000000002</v>
      </c>
      <c r="AA169" s="388">
        <f t="shared" ca="1" si="471"/>
        <v>0.6018</v>
      </c>
      <c r="AB169" s="388">
        <f ca="1">101.3*EXP(-0.034*Control!$C$66/($G169+273))</f>
        <v>100.69623283836242</v>
      </c>
      <c r="AC169" s="392">
        <f t="shared" ca="1" si="472"/>
        <v>4.3460251046025113E-2</v>
      </c>
      <c r="AD169" s="392">
        <f t="shared" ca="1" si="473"/>
        <v>4.4450382862832649E-2</v>
      </c>
      <c r="AE169" s="388">
        <f t="shared" ca="1" si="474"/>
        <v>0</v>
      </c>
      <c r="AF169" s="388">
        <f ca="1">MAX(0,$G169-Control!$C$92)</f>
        <v>0</v>
      </c>
      <c r="AG169" s="393">
        <f t="shared" ca="1" si="475"/>
        <v>165</v>
      </c>
      <c r="AH169" s="389">
        <f t="shared" ca="1" si="476"/>
        <v>165</v>
      </c>
      <c r="AI169" s="388">
        <f t="shared" ca="1" si="593"/>
        <v>0.40567369303180656</v>
      </c>
      <c r="AJ169" s="388">
        <f ca="1">IF(Control!$C$60&lt;=0,$HH169,$HI169)</f>
        <v>1</v>
      </c>
      <c r="AK169" s="388">
        <f t="shared" ca="1" si="477"/>
        <v>1.4632075372883968</v>
      </c>
      <c r="AL169" s="388">
        <f t="shared" ca="1" si="478"/>
        <v>-1.1721621936966463E-17</v>
      </c>
      <c r="AM169" s="388">
        <f t="shared" ca="1" si="479"/>
        <v>1.4632075372883968</v>
      </c>
      <c r="AN169" s="388">
        <f t="shared" ca="1" si="480"/>
        <v>0.40661204627988057</v>
      </c>
      <c r="AO169" s="388">
        <f ca="1">-0.10453/COS(Control!$B$8*PI()/180)*COS(AN169)</f>
        <v>-0.15594162964879518</v>
      </c>
      <c r="AP169" s="388">
        <f ca="1">ACOS(AO169-TAN(Control!$B$8*PI()/180)*TAN(AN169))</f>
        <v>2.3561795538042642</v>
      </c>
      <c r="AQ169" s="388">
        <f t="shared" ca="1" si="594"/>
        <v>0</v>
      </c>
      <c r="AR169" s="394">
        <f t="shared" ca="1" si="481"/>
        <v>0</v>
      </c>
      <c r="AS169" s="436">
        <f ca="1">IF(Control!$B$18=2,(IF(OR($AH169=Control!$B$175,$AH169=Control!$B$176,$AH169=Control!$B$177,$AH169=Control!$B$178,$AH169=Control!$B$179,$AH169=Control!$B$180,$AH169=Control!$B$181,$AH169=Control!$B$182,$AH169=Control!$B$183,$AH169=Control!$B$184,$AH169=Control!$B$185),1,0)),0)</f>
        <v>0</v>
      </c>
      <c r="AT169" s="436">
        <f>IF(Control!$B$20=8,IF(AND($AH169&gt;=Control!$B$172,$AH169&lt;=Control!$B$173),1,0),0)</f>
        <v>0</v>
      </c>
      <c r="AU169" s="436">
        <f>IF(Control!$B$20=8,IF($AV168=1,1*$AT169,IF($AT169=1,$AU168+1,$AU168)),0)</f>
        <v>0</v>
      </c>
      <c r="AV169" s="436">
        <f>IF(Control!$B$20=8,IF($AU169&gt;=Control!$B$174,1,0),0)</f>
        <v>0</v>
      </c>
      <c r="AW169" s="436">
        <f ca="1">IF(AND(Control!$B$18=2,Control!$B$171=1), $AV169, $AS169)</f>
        <v>0</v>
      </c>
      <c r="AX169" s="436" t="e">
        <f ca="1">IF(AND(Control!$B$18=1,$EU169&gt;=Control!$B$19),-$AY169,IF(AND(Control!$B$18=2,$AW169=1,$EU169&gt;$DS169),-$AY169, IF(Control!$C$108=0,0, IF(Control!$C$108&lt;&gt;0,1))))</f>
        <v>#N/A</v>
      </c>
      <c r="AY169" s="436" t="e">
        <f t="shared" ca="1" si="595"/>
        <v>#N/A</v>
      </c>
      <c r="AZ169" s="436" t="e">
        <f ca="1">IF(AND(Control!$B$18=1,$EB169&gt;Control!$B$19),$AZ168+1, IF(AND(Control!$B$18=2, $AW169=1, $EB169&gt;$DS169), $AZ168+1,$AZ168))</f>
        <v>#N/A</v>
      </c>
      <c r="BA169" s="587">
        <f>IF(Control!$C$81=0,1,IF($AH169&gt;=Control!$C$82,1,0))</f>
        <v>1</v>
      </c>
      <c r="BB169" s="140" t="e">
        <f ca="1">IF($BA169&gt;$BA168,Control!$C$83,IF($AW169&gt;0,$AW169*Control!$C$84,IF(AND(Control!$B$18=1,EN168&lt;&gt;0),Control!$C$84,0)))</f>
        <v>#N/A</v>
      </c>
      <c r="BC169" s="140" t="e">
        <f t="shared" ca="1" si="596"/>
        <v>#N/A</v>
      </c>
      <c r="BD169" s="140" t="e">
        <f ca="1">BC169*IF(OR($G169&lt;Control!$C$92,$G169&gt;Control!$C$95),0,IF(AND($G169&gt;=Control!$C$92,$G169&lt;=Control!$C$93),$G169-Control!$C$92,IF(AND($G169&gt;Control!$C$93,$G169&lt;=Control!$C$94),Control!$C$93-Control!$C$92,IF(AND($G169&gt;Control!$C$94,$G169&lt;=Control!$C$95),(Control!$C$93-Control!$C$92)*(Control!$C$94-$G169)/(Control!$C$95-Control!$C$94)))))</f>
        <v>#N/A</v>
      </c>
      <c r="BE169" s="140" t="e">
        <f t="shared" ca="1" si="597"/>
        <v>#N/A</v>
      </c>
      <c r="BF169" s="140" t="e">
        <f ca="1">IF($BE169&lt;=Control!$C$86,$BE169,Control!$C$86-$BE169)</f>
        <v>#N/A</v>
      </c>
      <c r="BG169" s="140" t="e">
        <f ca="1">IF(AND($AW169=1,Control!$C$84&lt;9),1,IF($BE169&gt;=Control!$C$86,0,$BC169))</f>
        <v>#N/A</v>
      </c>
      <c r="BH169" s="404" t="e">
        <f ca="1">IF($BG169=0,0,IF($BE169&lt;=Control!$C$86,$BC169*9*($BF169/Control!$C$86),0))</f>
        <v>#N/A</v>
      </c>
      <c r="BI169" s="140" t="e">
        <f ca="1">IF($BG169=1,0,IF($BE169&gt;=Control!$C$86,1,IF(AND($BB169&lt;21,$BB169&gt;=9),1,$BM168)))</f>
        <v>#N/A</v>
      </c>
      <c r="BJ169" s="140" t="e">
        <f ca="1">IF($BF169&lt;0,-$BF169,$BI169*IF(OR($G169&lt;Control!$C$92,$G169&gt;Control!$C$95),0,IF(AND($G169&gt;=Control!$C$92,$G169&lt;=Control!$C$93),$G169-Control!$C$92,IF(AND($G169&gt;Control!$C$93,$G169&lt;=Control!$C$94),Control!$C$93-Control!$C$92,IF(AND($G169&gt;Control!$C$94,$G169&lt;=Control!$C$95),(Control!$C$93-Control!$C$92)*(Control!$C$94-$G169)/(Control!$C$95-Control!$C$94))))))</f>
        <v>#N/A</v>
      </c>
      <c r="BK169" s="140" t="e">
        <f t="shared" ca="1" si="598"/>
        <v>#N/A</v>
      </c>
      <c r="BL169" s="140" t="e">
        <f ca="1">IF($BK169&lt;=Control!$C$87,$BK169,Control!$C$87-$BK169)</f>
        <v>#N/A</v>
      </c>
      <c r="BM169" s="140" t="e">
        <f ca="1">IF(AND($BB169&gt;=9,$BB169&lt;21),1,IF($BK169&gt;=Control!$C$87,0,$BI169))</f>
        <v>#N/A</v>
      </c>
      <c r="BN169" s="404" t="e">
        <f ca="1">IF($BM169=0,0,IF($BK169&lt;=Control!$C$87,$BI169*(9+(21-9)*($BL169/Control!$C$87)),0))</f>
        <v>#N/A</v>
      </c>
      <c r="BO169" s="140" t="e">
        <f ca="1">IF($BM169=1,0,IF($BK169&gt;=Control!$C$87,1,IF(AND($BB169&lt;30,$BB169&gt;=21),1,$BS168)))</f>
        <v>#N/A</v>
      </c>
      <c r="BP169" s="140" t="e">
        <f ca="1">IF($BL169&lt;0,-$BL169,$BO169*IF(OR($G169&lt;Control!$C$92,$G169&gt;Control!$C$95),0,IF(AND($G169&gt;=Control!$C$92,$G169&lt;=Control!$C$93),$G169-Control!$C$92,IF(AND($G169&gt;Control!$C$93,$G169&lt;=Control!$C$94),Control!$C$93-Control!$C$92,IF(AND($G169&gt;Control!$C$94,$G169&lt;=Control!$C$95),(Control!$C$93-Control!$C$92)*(Control!$C$94-$G169)/(Control!$C$95-Control!$C$94))))))</f>
        <v>#N/A</v>
      </c>
      <c r="BQ169" s="140" t="e">
        <f t="shared" ca="1" si="482"/>
        <v>#N/A</v>
      </c>
      <c r="BR169" s="140" t="e">
        <f ca="1">IF($BQ169&lt;=Control!$C$88,$BQ169,Control!$C$88-$BQ169)</f>
        <v>#N/A</v>
      </c>
      <c r="BS169" s="140" t="e">
        <f ca="1">IF(AND($BB169&gt;=21,$BB169&lt;30),1,IF($BQ169&gt;=Control!$C$88,0,$BO169))</f>
        <v>#N/A</v>
      </c>
      <c r="BT169" s="404" t="e">
        <f ca="1">IF($BS169=0,0,IF($BQ169&lt;=Control!$C$88,$BO169*(21+(30-21)*(BR169/Control!$C$88)),0))</f>
        <v>#N/A</v>
      </c>
      <c r="BU169" s="140" t="e">
        <f ca="1">IF(BG169+BM169+BS169=1,0,IF(OR(AND($BB169&lt;60,$BB169&gt;=30),$BQ169&gt;=Control!$C$88),1*$BA169,$BY168))</f>
        <v>#N/A</v>
      </c>
      <c r="BV169" s="140" t="e">
        <f ca="1">IF($BR169&lt;0,-$BR169,$BU169*IF(OR($G169&lt;Control!$C$92,$G169&gt;Control!$C$95),0,IF(AND($G169&gt;=Control!$C$92,$G169&lt;=Control!$C$93),$G169-Control!$C$92,IF(AND($G169&gt;Control!$C$93,$G169&lt;=Control!$C$94),Control!$C$93-Control!$C$92,IF(AND($G169&gt;Control!$C$94,$G169&lt;=Control!$C$95),(Control!$C$93-Control!$C$92)*(Control!$C$94-$G169)/(Control!$C$95-Control!$C$94))))))</f>
        <v>#N/A</v>
      </c>
      <c r="BW169" s="140" t="e">
        <f t="shared" ca="1" si="483"/>
        <v>#N/A</v>
      </c>
      <c r="BX169" s="140" t="e">
        <f ca="1">IF($BW169&lt;=Control!$C$89,$BW169,Control!$C$89-$BW169)</f>
        <v>#N/A</v>
      </c>
      <c r="BY169" s="140" t="e">
        <f ca="1">IF(AND($AJ169&gt;=30,$AJ169&lt;60),1,IF($BW169&gt;=Control!$C$89,0,$BU169))</f>
        <v>#N/A</v>
      </c>
      <c r="BZ169" s="404" t="e">
        <f ca="1">IF($BY169=0,0,IF($BW169&lt;=Control!$C$89,$BU169*(30+(60-30)*(BX169/Control!$C$89)),0))</f>
        <v>#N/A</v>
      </c>
      <c r="CA169" s="140" t="e">
        <f ca="1">IF($BG169+$BM169+$BS169+$BY169=1,0,IF(OR(AND($BB169&lt;65,$BB169&gt;=60),$BW169&gt;=Control!$C$89),1*$BA169,$CE168))</f>
        <v>#N/A</v>
      </c>
      <c r="CB169" s="140" t="e">
        <f ca="1">IF($BX169&lt;0,-$BX169,$CA169*IF(OR($G169&lt;Control!$C$92,$G169&gt;Control!$C$95),0,IF(AND($G169&gt;=Control!$C$92,$G169&lt;=Control!$C$93),$G169-Control!$C$92,IF(AND($G169&gt;Control!$C$93,$G169&lt;=Control!$C$94),Control!$C$93-Control!$C$92,IF(AND($G169&gt;Control!$C$94,$G169&lt;=Control!$C$95),(Control!$C$93-Control!$C$92)*(Control!$C$94-$G169)/(Control!$C$95-Control!$C$94))))))</f>
        <v>#N/A</v>
      </c>
      <c r="CC169" s="140" t="e">
        <f t="shared" ca="1" si="599"/>
        <v>#N/A</v>
      </c>
      <c r="CD169" s="140" t="e">
        <f ca="1">IF($CC169&lt;=Control!$C$90,$CC169,Control!$C$90-$CC169)</f>
        <v>#N/A</v>
      </c>
      <c r="CE169" s="140" t="e">
        <f ca="1">IF(AND($BB169&gt;=60,$BB169&lt;65),1,IF($CC169&gt;=Control!$C$90,0,$CA169))</f>
        <v>#N/A</v>
      </c>
      <c r="CF169" s="404" t="e">
        <f ca="1">IF($CE169=0,0,IF($CC169&lt;=Control!$C$90,$CA169*(60+(65-60)*(CD169/Control!$C$90)),0))</f>
        <v>#N/A</v>
      </c>
      <c r="CG169" s="140" t="e">
        <f ca="1">IF($BG169+$BM169+$BS169+$BY169+$CE169=1,0,IF(OR(AND($BB169&lt;90,$BB169&gt;=65),$CC169&gt;=Control!$C$90),$BA169,$CK168))</f>
        <v>#N/A</v>
      </c>
      <c r="CH169" s="140" t="e">
        <f ca="1">IF($CD169&lt;0,-$CD169,$CG169*IF(OR($G169&lt;Control!$C$92,$G169&gt;Control!$C$95),0,IF(AND($G169&gt;=Control!$C$92,$G169&lt;=Control!$C$93),$G169-Control!$C$92,IF(AND($G169&gt;Control!$C$93,$G169&lt;=Control!$C$94),Control!$C$93-Control!$C$92,IF(AND($G169&gt;Control!$C$94,$G169&lt;=Control!$C$95),(Control!$C$93-Control!$C$92)*(Control!$C$94-$G169)/(Control!$C$95-Control!$C$94))))))</f>
        <v>#N/A</v>
      </c>
      <c r="CI169" s="140" t="e">
        <f t="shared" ca="1" si="600"/>
        <v>#N/A</v>
      </c>
      <c r="CJ169" s="140" t="e">
        <f ca="1">IF($CI169&lt;=Control!$C$91,$CI169,Control!$C$91-$CI169)</f>
        <v>#N/A</v>
      </c>
      <c r="CK169" s="140" t="e">
        <f ca="1">IF(AND($BB169&gt;=65,$BB169&lt;90),1,IF($CI169&gt;=Control!$C$91,0,$CG169))</f>
        <v>#N/A</v>
      </c>
      <c r="CL169" s="404" t="e">
        <f ca="1">IF($CK169=0,0,IF($CI169&lt;=Control!$C$91,$CG169*(65+(90-65)*($CJ169/Control!$C$91)),0))</f>
        <v>#N/A</v>
      </c>
      <c r="CM169" s="140" t="e">
        <f ca="1">IF($BG169+$BM169+$BS169+$BY169+$CE169+$CK169=1,0,IF(OR($BB169&gt;=90,$CI169&gt;=Control!$C$91),$BA169,$CM168))</f>
        <v>#N/A</v>
      </c>
      <c r="CN169" s="140" t="e">
        <f t="shared" ca="1" si="601"/>
        <v>#N/A</v>
      </c>
      <c r="CO169" s="140" t="e">
        <f t="shared" ca="1" si="602"/>
        <v>#N/A</v>
      </c>
      <c r="CP169" s="140" t="e">
        <f t="shared" ca="1" si="603"/>
        <v>#N/A</v>
      </c>
      <c r="CQ169" s="141" t="e">
        <f ca="1">VLOOKUP($CP169,Control!$B$86:$G$91,6)</f>
        <v>#N/A</v>
      </c>
      <c r="CR169" s="141" t="e">
        <f ca="1">(1-$CQ169)*VLOOKUP($CP169,Control!$B$86:$D$91,3)</f>
        <v>#N/A</v>
      </c>
      <c r="CS169" s="141" t="e">
        <f ca="1">(1-$CQ169)*VLOOKUP($CP169,Control!$B$86:$E$91,4)</f>
        <v>#N/A</v>
      </c>
      <c r="CT169" s="141" t="e">
        <f ca="1">(1-$CQ169)*VLOOKUP($CP169,Control!$B$86:$F$91,5)</f>
        <v>#N/A</v>
      </c>
      <c r="CU169" s="141">
        <f t="shared" ca="1" si="604"/>
        <v>0</v>
      </c>
      <c r="CV169" s="583">
        <f t="shared" ca="1" si="605"/>
        <v>0</v>
      </c>
      <c r="CW169" s="142">
        <f t="shared" ca="1" si="606"/>
        <v>165</v>
      </c>
      <c r="CX169" s="612" t="e">
        <f ca="1">IF(Control!$C$114=1,(MIN(Control!$C$120*(IF($NT169-0.01&lt;0,0,1)),Control!$C$119-$CY169)))</f>
        <v>#DIV/0!</v>
      </c>
      <c r="CY169" s="143" t="e">
        <f t="shared" ca="1" si="607"/>
        <v>#N/A</v>
      </c>
      <c r="CZ169" s="144">
        <f t="shared" ca="1" si="484"/>
        <v>0</v>
      </c>
      <c r="DA169" s="144">
        <f t="shared" ca="1" si="485"/>
        <v>0</v>
      </c>
      <c r="DB169" s="144" t="e">
        <f t="shared" ca="1" si="486"/>
        <v>#N/A</v>
      </c>
      <c r="DC169" s="144" t="e">
        <f t="shared" ca="1" si="487"/>
        <v>#N/A</v>
      </c>
      <c r="DD169" s="144" t="e">
        <f t="shared" ca="1" si="692"/>
        <v>#N/A</v>
      </c>
      <c r="DE169" s="143" t="e">
        <f t="shared" ca="1" si="608"/>
        <v>#N/A</v>
      </c>
      <c r="DF169" s="145" t="e">
        <f ca="1">$DR169*EXP(-Control!$C$158*(1-$KH169))</f>
        <v>#N/A</v>
      </c>
      <c r="DG169" s="146" t="e">
        <f ca="1">IF(Control!$C$114=1, $DF169*$EY169, 0)</f>
        <v>#N/A</v>
      </c>
      <c r="DH169" s="147" t="e">
        <f t="shared" ca="1" si="609"/>
        <v>#N/A</v>
      </c>
      <c r="DI169" s="144" t="e">
        <f t="shared" ca="1" si="670"/>
        <v>#N/A</v>
      </c>
      <c r="DJ169" s="147" t="e">
        <f ca="1">$EF169*Control!$C$109</f>
        <v>#N/A</v>
      </c>
      <c r="DK169" s="144" t="e">
        <f t="shared" ca="1" si="610"/>
        <v>#N/A</v>
      </c>
      <c r="DL169" s="144" t="e">
        <f t="shared" ca="1" si="488"/>
        <v>#N/A</v>
      </c>
      <c r="DM169" s="144" t="e">
        <f ca="1">IF(Control!$C$114=1, (1-EXP(-Control!$C$96*$DK169))*$AR169, 0)</f>
        <v>#N/A</v>
      </c>
      <c r="DN169" s="144">
        <f t="shared" ca="1" si="611"/>
        <v>0</v>
      </c>
      <c r="DO169" s="148">
        <f>Control!$C$97</f>
        <v>4</v>
      </c>
      <c r="DP169" s="145" t="e">
        <f t="shared" ca="1" si="612"/>
        <v>#N/A</v>
      </c>
      <c r="DQ169" s="145" t="e">
        <f ca="1">IF(AND($CP169&gt;=0,$CP169&lt;=90),Control!$C$111,Control!$C$111)</f>
        <v>#N/A</v>
      </c>
      <c r="DR169" s="145" t="e">
        <f t="shared" ca="1" si="489"/>
        <v>#N/A</v>
      </c>
      <c r="DS169" s="143" t="e">
        <f ca="1">Control!$B$22/$DR169</f>
        <v>#N/A</v>
      </c>
      <c r="DT169" s="149" t="e">
        <f ca="1">IF(AND(Control!$C$114=1,$KH169&lt;1),$IM169*$DF169, 0)</f>
        <v>#N/A</v>
      </c>
      <c r="DU169" s="144" t="e">
        <f t="shared" ca="1" si="613"/>
        <v>#N/A</v>
      </c>
      <c r="DV169" s="144">
        <f ca="1">IF($G169-Control!$C$107&lt;=0, 0, 0.83*LN(MAX($G169, 3))-0.8924)</f>
        <v>0</v>
      </c>
      <c r="DW169" s="144" t="e">
        <f t="shared" ca="1" si="490"/>
        <v>#N/A</v>
      </c>
      <c r="DX169" s="150" t="e">
        <f ca="1">MAX(0.01*(1+$CU169/Control!$C$102),0.05*($DK169-Control!$C$97)/Control!$C$97)</f>
        <v>#N/A</v>
      </c>
      <c r="DY169" s="151" t="e">
        <f ca="1">IF(Control!$C$114=1, $DI169*$FS169, 0)</f>
        <v>#N/A</v>
      </c>
      <c r="DZ169" s="196" t="e">
        <f t="shared" ca="1" si="614"/>
        <v>#N/A</v>
      </c>
      <c r="EA169" s="152">
        <f t="shared" ca="1" si="615"/>
        <v>165</v>
      </c>
      <c r="EB169" s="153" t="e">
        <f t="shared" ca="1" si="616"/>
        <v>#N/A</v>
      </c>
      <c r="EC169" s="153" t="e">
        <f t="shared" ca="1" si="617"/>
        <v>#N/A</v>
      </c>
      <c r="ED169" s="154" t="e">
        <f ca="1">IF(Control!$C$114=1, $HM169*$FY169-$FD169, 0)</f>
        <v>#DIV/0!</v>
      </c>
      <c r="EE169" s="155" t="e">
        <f ca="1">IF(Control!$C$114=1, $HM169*$FZ169-$FF169, 0)</f>
        <v>#DIV/0!</v>
      </c>
      <c r="EF169" s="153" t="e">
        <f t="shared" ca="1" si="671"/>
        <v>#N/A</v>
      </c>
      <c r="EG169" s="155" t="e">
        <f ca="1">IF(Control!$C$114=1, $GX169*$FW169-$FI169, 0)</f>
        <v>#DIV/0!</v>
      </c>
      <c r="EH169" s="153" t="e">
        <f t="shared" ca="1" si="618"/>
        <v>#N/A</v>
      </c>
      <c r="EI169" s="156" t="e">
        <f t="shared" ca="1" si="619"/>
        <v>#N/A</v>
      </c>
      <c r="EJ169" s="155" t="e">
        <f ca="1">IF(Control!$C$114=1, $HM169*$GB169, 0)</f>
        <v>#DIV/0!</v>
      </c>
      <c r="EK169" s="153" t="e">
        <f t="shared" ca="1" si="672"/>
        <v>#N/A</v>
      </c>
      <c r="EL169" s="153" t="e">
        <f t="shared" ca="1" si="491"/>
        <v>#N/A</v>
      </c>
      <c r="EM169" s="153" t="e">
        <f t="shared" ca="1" si="492"/>
        <v>#N/A</v>
      </c>
      <c r="EN169" s="153" t="e">
        <f ca="1">IF(Control!$C$108=1,IF(AND(Control!$B$18=1,$EB169&gt;=Control!$B$19),$EB169-$DS169,IF(AND(Control!$B$18=2,$AW169=1,$EB169&gt;$DS169),$EB169-$DS169,0)))</f>
        <v>#N/A</v>
      </c>
      <c r="EO169" s="153" t="e">
        <f ca="1">IF(Control!$C$108=1,IF(AND(Control!$B$18=1,$EB169&gt;=Control!$B$19),$EF169,IF(AND(Control!$B$18=2,$AW169=1),$EF169,0)))</f>
        <v>#N/A</v>
      </c>
      <c r="EP169" s="153" t="e">
        <f ca="1">IF(Control!$C$108=1,IF(AND(Control!$B$18=1,$EB169&gt;=Control!$B$19),$EK169,IF(AND(Control!$B$18=2,$AW169=1),$EK169,0)))</f>
        <v>#N/A</v>
      </c>
      <c r="EQ169" s="153" t="e">
        <f t="shared" ca="1" si="620"/>
        <v>#N/A</v>
      </c>
      <c r="ER169" s="153" t="e">
        <f t="shared" ca="1" si="621"/>
        <v>#N/A</v>
      </c>
      <c r="ES169" s="153" t="e">
        <f t="shared" ca="1" si="673"/>
        <v>#N/A</v>
      </c>
      <c r="ET169" s="153" t="e">
        <f t="shared" ca="1" si="674"/>
        <v>#N/A</v>
      </c>
      <c r="EU169" s="153" t="e">
        <f t="shared" ca="1" si="622"/>
        <v>#N/A</v>
      </c>
      <c r="EV169" s="153" t="e">
        <f t="shared" ca="1" si="493"/>
        <v>#N/A</v>
      </c>
      <c r="EW169" s="153" t="e">
        <f t="shared" ca="1" si="494"/>
        <v>#N/A</v>
      </c>
      <c r="EX169" s="153" t="e">
        <f t="shared" ca="1" si="495"/>
        <v>#N/A</v>
      </c>
      <c r="EY169" s="157" t="e">
        <f t="shared" ca="1" si="496"/>
        <v>#DIV/0!</v>
      </c>
      <c r="EZ169" s="154" t="e">
        <f t="shared" ca="1" si="497"/>
        <v>#DIV/0!</v>
      </c>
      <c r="FA169" s="153" t="e">
        <f t="shared" ca="1" si="623"/>
        <v>#N/A</v>
      </c>
      <c r="FB169" s="153" t="e">
        <f t="shared" ca="1" si="498"/>
        <v>#N/A</v>
      </c>
      <c r="FC169" s="193" t="e">
        <f t="shared" ca="1" si="499"/>
        <v>#N/A</v>
      </c>
      <c r="FD169" s="158" t="e">
        <f t="shared" ca="1" si="624"/>
        <v>#N/A</v>
      </c>
      <c r="FE169" s="158" t="e">
        <f t="shared" ca="1" si="625"/>
        <v>#N/A</v>
      </c>
      <c r="FF169" s="159" t="e">
        <f t="shared" ca="1" si="500"/>
        <v>#N/A</v>
      </c>
      <c r="FG169" s="160" t="e">
        <f t="shared" ca="1" si="626"/>
        <v>#N/A</v>
      </c>
      <c r="FH169" s="158" t="e">
        <f t="shared" ca="1" si="627"/>
        <v>#N/A</v>
      </c>
      <c r="FI169" s="159" t="e">
        <f t="shared" ca="1" si="501"/>
        <v>#N/A</v>
      </c>
      <c r="FJ169" s="160" t="e">
        <f t="shared" ca="1" si="628"/>
        <v>#N/A</v>
      </c>
      <c r="FK169" s="160" t="e">
        <f t="shared" ca="1" si="502"/>
        <v>#N/A</v>
      </c>
      <c r="FL169" s="160" t="e">
        <f t="shared" ca="1" si="675"/>
        <v>#N/A</v>
      </c>
      <c r="FM169" s="160" t="e">
        <f t="shared" ca="1" si="503"/>
        <v>#N/A</v>
      </c>
      <c r="FN169" s="158">
        <f t="shared" ca="1" si="629"/>
        <v>0.01</v>
      </c>
      <c r="FO169" s="160">
        <f>Control!$C$101</f>
        <v>50</v>
      </c>
      <c r="FP169" s="150" t="e">
        <f t="shared" ca="1" si="504"/>
        <v>#N/A</v>
      </c>
      <c r="FQ169" s="150" t="e">
        <f ca="1">MAX(0,(Control!$C$112*(($DK169-Control!$C$97)/Control!$C$97)))</f>
        <v>#N/A</v>
      </c>
      <c r="FR169" s="150" t="e">
        <f ca="1">(1-$NT169)*Control!$C$113</f>
        <v>#DIV/0!</v>
      </c>
      <c r="FS169" s="198" t="e">
        <f t="shared" ca="1" si="505"/>
        <v>#N/A</v>
      </c>
      <c r="FT169" s="161">
        <f t="shared" ca="1" si="630"/>
        <v>165</v>
      </c>
      <c r="FU169" s="162" t="e">
        <f ca="1">IF(Control!$B$34=1,VLOOKUP($CP169,Control!$B$86:$G$91,6),Control!$B$35)</f>
        <v>#N/A</v>
      </c>
      <c r="FV169" s="162" t="e">
        <f t="shared" ca="1" si="506"/>
        <v>#DIV/0!</v>
      </c>
      <c r="FW169" s="162" t="e">
        <f ca="1">IF(Control!$B$31=1,$FU169*$FV169,  $FU169)</f>
        <v>#N/A</v>
      </c>
      <c r="FX169" s="162" t="e">
        <f ca="1">IF(Control!$B$34=1,VLOOKUP($CP169,Control!$B$86:$G$91,3),Control!$B$36)</f>
        <v>#N/A</v>
      </c>
      <c r="FY169" s="162" t="e">
        <f t="shared" ca="1" si="507"/>
        <v>#N/A</v>
      </c>
      <c r="FZ169" s="162" t="e">
        <f ca="1">IF(Control!$B$34=1,VLOOKUP($CP169,Control!$B$86:$G$91,4),Control!$B$37)</f>
        <v>#N/A</v>
      </c>
      <c r="GA169" s="162" t="e">
        <f t="shared" ca="1" si="508"/>
        <v>#N/A</v>
      </c>
      <c r="GB169" s="162" t="e">
        <f ca="1">IF(Control!$B$34=1,VLOOKUP($CP169,Control!$B$86:$G$91,5),Control!$B$38)</f>
        <v>#N/A</v>
      </c>
      <c r="GC169" s="162" t="e">
        <f t="shared" ca="1" si="631"/>
        <v>#N/A</v>
      </c>
      <c r="GD169" s="162">
        <f t="shared" ca="1" si="509"/>
        <v>1</v>
      </c>
      <c r="GE169" s="162">
        <f t="shared" ca="1" si="510"/>
        <v>1</v>
      </c>
      <c r="GF169" s="162">
        <f ca="1">IF(AND(Control!$C$104=1, Control!$C$62="F"),$GE169,1)</f>
        <v>1</v>
      </c>
      <c r="GG169" s="162" t="e">
        <f ca="1">IF(Control!$B$16=40,0,IF(AND(Control!$B$16&gt;40,Control!$B$16&lt;=360),(Control!$B$16-40)*((1-0)/(360-40)),IF(AND(Control!$B$16&gt;360,Control!$B$16&lt;=720),(1+(Control!$B$16-360)*((1.25-1)/(720-360))),IF(AND(Control!$B$16&gt;720,Control!$B$16&lt;=1000),(1.25+(Control!$B$16-720)*((1.35-1.25)/(1000-720))),IF(AND(Control!$B$16&gt;1000,Control!$B$16&lt;=2000),(1.35+(Control!$B$16-1000)*0))))))</f>
        <v>#N/A</v>
      </c>
      <c r="GH169" s="162" t="e">
        <f t="shared" ca="1" si="511"/>
        <v>#N/A</v>
      </c>
      <c r="GI169" s="162">
        <f t="shared" ca="1" si="632"/>
        <v>0</v>
      </c>
      <c r="GJ169" s="162">
        <f t="shared" ca="1" si="512"/>
        <v>0</v>
      </c>
      <c r="GK169" s="162">
        <f t="shared" ca="1" si="633"/>
        <v>1</v>
      </c>
      <c r="GL169" s="162">
        <f t="shared" ca="1" si="513"/>
        <v>1</v>
      </c>
      <c r="GM169" s="162" t="e">
        <f ca="1">MAX(0,MIN(1,1-Control!$C$156*(1.0001-$KH169)^2))</f>
        <v>#N/A</v>
      </c>
      <c r="GN169" s="162" t="e">
        <f ca="1">IF(Control!$B$26=1,$KU169,$KX169)</f>
        <v>#N/A</v>
      </c>
      <c r="GO169" s="162" t="e">
        <f ca="1">IF($CP169&lt;=60,Control!$C$105,IF($CP169&gt;=90,Control!$C$106,Control!$C$105+($CP169-60)*((Control!$C$106-Control!$C$105)/(90-60))))</f>
        <v>#N/A</v>
      </c>
      <c r="GP169" s="162" t="e">
        <f t="shared" ca="1" si="514"/>
        <v>#N/A</v>
      </c>
      <c r="GQ169" s="162" t="e">
        <f t="shared" ca="1" si="634"/>
        <v>#N/A</v>
      </c>
      <c r="GR169" s="163" t="e">
        <f t="shared" ca="1" si="515"/>
        <v>#DIV/0!</v>
      </c>
      <c r="GS169" s="162" t="e">
        <f t="shared" ca="1" si="516"/>
        <v>#DIV/0!</v>
      </c>
      <c r="GT169" s="164" t="e">
        <f t="shared" ca="1" si="635"/>
        <v>#N/A</v>
      </c>
      <c r="GU169" s="162" t="e">
        <f t="shared" ca="1" si="636"/>
        <v>#N/A</v>
      </c>
      <c r="GV169" s="162" t="e">
        <f t="shared" ca="1" si="517"/>
        <v>#N/A</v>
      </c>
      <c r="GW169" s="162" t="e">
        <f t="shared" ca="1" si="518"/>
        <v>#DIV/0!</v>
      </c>
      <c r="GX169" s="162" t="e">
        <f t="shared" ca="1" si="637"/>
        <v>#DIV/0!</v>
      </c>
      <c r="GY169" s="162" t="e">
        <f t="shared" ca="1" si="638"/>
        <v>#DIV/0!</v>
      </c>
      <c r="GZ169" s="165" t="e">
        <f t="shared" ca="1" si="519"/>
        <v>#N/A</v>
      </c>
      <c r="HA169" s="162" t="e">
        <f ca="1">IF(Control!$C$114=1, $DI169*$FS169, 0)</f>
        <v>#N/A</v>
      </c>
      <c r="HB169" s="162" t="e">
        <f ca="1">$FA169/Control!$C$64</f>
        <v>#N/A</v>
      </c>
      <c r="HC169" s="162" t="e">
        <f t="shared" ca="1" si="520"/>
        <v>#DIV/0!</v>
      </c>
      <c r="HD169" s="162">
        <f ca="1">-ASIN(SIN(23.45*Control!$C$139)*COS(2*Control!$C$138*($AH169+10)/365))</f>
        <v>0.40567369303180656</v>
      </c>
      <c r="HE169" s="165">
        <f t="shared" ca="1" si="639"/>
        <v>0</v>
      </c>
      <c r="HF169" s="166">
        <f ca="1">IF(AND(Control!$C$61="T",$HE169&gt;=Control!$C$103,Control!$C$114=0),$AH169,Control!$C$59)</f>
        <v>1</v>
      </c>
      <c r="HG169" s="166">
        <f ca="1">IF(AND(Control!$C$61="T",$HE169&gt;=Control!$C$103,Control!$C$114=0),$HF169,Control!$C$59)</f>
        <v>1</v>
      </c>
      <c r="HH169" s="165">
        <f ca="1">IF(AND(OR(Control!$C$60&lt;=0, $AH169= Control!$C$59, Control!$C$60 &gt;0, $AH169 = Control!$C$60)), Control!$C$59, IF(Control!$C$60&gt;0, 0))</f>
        <v>1</v>
      </c>
      <c r="HI169" s="165">
        <f ca="1">IF(AND(OR(Control!$C$60&lt;=0, $AH169= Control!$C$59, Control!$C$60 &gt;0, $AH169 = Control!$C$60)), Control!$C$60, IF(Control!$C$60&lt;=0, 0))</f>
        <v>0</v>
      </c>
      <c r="HJ169" s="166">
        <f ca="1">IF(AND(Control!$C$62="F",$CV169&gt;=Control!$C$102),$AH169,0)</f>
        <v>0</v>
      </c>
      <c r="HK169" s="165" t="e">
        <f t="shared" ca="1" si="676"/>
        <v>#N/A</v>
      </c>
      <c r="HL169" s="166">
        <f ca="1">IF(AND(Control!$C$61="T",$HE169&gt;=Control!$C$103,Control!$C$114=0),$HF169,0)</f>
        <v>0</v>
      </c>
      <c r="HM169" s="201" t="e">
        <f t="shared" ca="1" si="521"/>
        <v>#DIV/0!</v>
      </c>
      <c r="HN169" s="215">
        <f t="shared" ca="1" si="640"/>
        <v>165</v>
      </c>
      <c r="HO169" s="216" t="e">
        <f ca="1">IF(AND($CP169&gt;=0, $CP169&lt;=90), Control!$C$152, Control!$C$152)</f>
        <v>#N/A</v>
      </c>
      <c r="HP169" s="216" t="e">
        <f t="shared" ca="1" si="522"/>
        <v>#N/A</v>
      </c>
      <c r="HQ169" s="217" t="e">
        <f ca="1">IF(OR(Control!$B$26=1,Control!$B$26=2),$KV169,$KS169)</f>
        <v>#DIV/0!</v>
      </c>
      <c r="HR169" s="218" t="e">
        <f t="shared" ca="1" si="677"/>
        <v>#DIV/0!</v>
      </c>
      <c r="HS169" s="216" t="e">
        <f ca="1">Control!$C$154*$HP169</f>
        <v>#N/A</v>
      </c>
      <c r="HT169" s="216" t="e">
        <f ca="1">Control!$C$155*$HP169</f>
        <v>#N/A</v>
      </c>
      <c r="HU169" s="217" t="e">
        <f ca="1">Control!$C$161*$FI169</f>
        <v>#N/A</v>
      </c>
      <c r="HV169" s="218" t="e">
        <f t="shared" ca="1" si="641"/>
        <v>#N/A</v>
      </c>
      <c r="HW169" s="218" t="e">
        <f ca="1">Control!$C$160*$FF169+$IP169*$EO169</f>
        <v>#N/A</v>
      </c>
      <c r="HX169" s="218" t="e">
        <f t="shared" ca="1" si="678"/>
        <v>#N/A</v>
      </c>
      <c r="HY169" s="219" t="e">
        <f ca="1">IF(Control!$C$114=1, $EB169*$FS169, 0)</f>
        <v>#N/A</v>
      </c>
      <c r="HZ169" s="91" t="e">
        <f t="shared" ca="1" si="523"/>
        <v>#N/A</v>
      </c>
      <c r="IA169" s="220" t="e">
        <f ca="1">Control!$C$153*$HO169</f>
        <v>#N/A</v>
      </c>
      <c r="IB169" s="218" t="e">
        <f t="shared" ca="1" si="524"/>
        <v>#N/A</v>
      </c>
      <c r="IC169" s="220" t="e">
        <f ca="1">Control!$C$153*$HT169</f>
        <v>#N/A</v>
      </c>
      <c r="ID169" s="218" t="e">
        <f t="shared" ca="1" si="525"/>
        <v>#N/A</v>
      </c>
      <c r="IE169" s="221" t="e">
        <f ca="1">($EB169*Control!$C$159+$EF169*Control!$C$160)/(IF($GZ169&lt;&gt;0,$GZ169,1))</f>
        <v>#N/A</v>
      </c>
      <c r="IF169" s="216" t="e">
        <f t="shared" ca="1" si="526"/>
        <v>#N/A</v>
      </c>
      <c r="IG169" s="91">
        <f ca="1">IF(OR(Control!$B$198=$AH169,Control!$B$199=$AH169, Control!$B$200=$AH169, Control!$B$201=$AH169, Control!$B$202=$AH169, Control!$B$203=$AH169, Control!$B$204=$AH169, Control!$B$205=$AH169, Control!$B$206=$AH169, Control!$B$207=$AH169), 1, 0)</f>
        <v>0</v>
      </c>
      <c r="IH169" s="91">
        <f ca="1">IF($IG169=0,0, VLOOKUP($AH169,Control!$B$198:$C$207,2))</f>
        <v>0</v>
      </c>
      <c r="II169" s="222">
        <f t="shared" ca="1" si="642"/>
        <v>0</v>
      </c>
      <c r="IJ169" s="91">
        <f>Control!$C$121</f>
        <v>0.7</v>
      </c>
      <c r="IK169" s="218">
        <f t="shared" ca="1" si="527"/>
        <v>0</v>
      </c>
      <c r="IL169" s="217" t="e">
        <f t="shared" ca="1" si="679"/>
        <v>#N/A</v>
      </c>
      <c r="IM169" s="223" t="e">
        <f ca="1">IF(AND(Control!$C$114=1,$KH169&lt;1),$EB169*Control!$C$148*(1-$KH169), 0)</f>
        <v>#N/A</v>
      </c>
      <c r="IN169" s="217" t="e">
        <f t="shared" ca="1" si="528"/>
        <v>#DIV/0!</v>
      </c>
      <c r="IO169" s="91" t="e">
        <f ca="1">MAX(0,$IL169-$EF169*Control!$C$160)</f>
        <v>#N/A</v>
      </c>
      <c r="IP169" s="220" t="e">
        <f t="shared" ca="1" si="529"/>
        <v>#N/A</v>
      </c>
      <c r="IQ169" s="217" t="e">
        <f t="shared" ca="1" si="643"/>
        <v>#N/A</v>
      </c>
      <c r="IR169" s="218" t="e">
        <f t="shared" ca="1" si="530"/>
        <v>#N/A</v>
      </c>
      <c r="IS169" s="217" t="e">
        <f ca="1">Control!$C$159*MAX(0,$FD169-$EN169)</f>
        <v>#N/A</v>
      </c>
      <c r="IT169" s="217" t="e">
        <f t="shared" ca="1" si="680"/>
        <v>#N/A</v>
      </c>
      <c r="IU169" s="217" t="e">
        <f t="shared" ca="1" si="644"/>
        <v>#N/A</v>
      </c>
      <c r="IV169" s="217" t="e">
        <f t="shared" ca="1" si="681"/>
        <v>#N/A</v>
      </c>
      <c r="IW169" s="217" t="e">
        <f ca="1">IF(OR($AW169=1,AND($AW169=0, Control!$B$18=1,$EN169&lt;&gt;0)), $IQ169-$IU169, $IQ169)</f>
        <v>#N/A</v>
      </c>
      <c r="IX169" s="218" t="e">
        <f t="shared" ca="1" si="531"/>
        <v>#N/A</v>
      </c>
      <c r="IY169" s="218" t="e">
        <f ca="1">MAX(0,$IQ169-$EB169*Control!$C$159)</f>
        <v>#N/A</v>
      </c>
      <c r="IZ169" s="218" t="e">
        <f t="shared" ca="1" si="532"/>
        <v>#N/A</v>
      </c>
      <c r="JA169" s="216" t="e">
        <f t="shared" ca="1" si="533"/>
        <v>#N/A</v>
      </c>
      <c r="JB169" s="217" t="e">
        <f t="shared" ca="1" si="534"/>
        <v>#N/A</v>
      </c>
      <c r="JC169" s="222" t="e">
        <f ca="1">MAX(Control!$C$157*$EK169-$JT169, 0)/Control!$C$162</f>
        <v>#N/A</v>
      </c>
      <c r="JD169" s="218" t="e">
        <f t="shared" ca="1" si="535"/>
        <v>#N/A</v>
      </c>
      <c r="JE169" s="218" t="e">
        <f t="shared" ca="1" si="536"/>
        <v>#N/A</v>
      </c>
      <c r="JF169" s="218" t="e">
        <f t="shared" ca="1" si="645"/>
        <v>#N/A</v>
      </c>
      <c r="JG169" s="218" t="e">
        <f t="shared" ca="1" si="537"/>
        <v>#N/A</v>
      </c>
      <c r="JH169" s="217" t="e">
        <f t="shared" ca="1" si="646"/>
        <v>#N/A</v>
      </c>
      <c r="JI169" s="217" t="e">
        <f t="shared" ca="1" si="647"/>
        <v>#N/A</v>
      </c>
      <c r="JJ169" s="217" t="e">
        <f t="shared" ca="1" si="682"/>
        <v>#N/A</v>
      </c>
      <c r="JK169" s="217" t="e">
        <f ca="1">IF(Control!$C$114=1,IF(Control!$B$24=0,MAX(0,$JI169)*$GN169/Control!$C$64,(MAX(0,MIN($JI169,$JJ169*$GN169/Control!$C$64),0))))</f>
        <v>#N/A</v>
      </c>
      <c r="JL169" s="217" t="e">
        <f ca="1">$IK169/Control!$C$64-$JK169+$HQ169</f>
        <v>#N/A</v>
      </c>
      <c r="JM169" s="217" t="e">
        <f ca="1">IF(Control!$C$114=1,($JB169/(IF($JI169&lt;&gt;0,$JI169,1)))*$JK169,0)</f>
        <v>#N/A</v>
      </c>
      <c r="JN169" s="217" t="e">
        <f ca="1">IF(Control!$C$114=1,($JG169/(IF($JI169&lt;&gt;0,$JI169,1)))*$JK169, 0)</f>
        <v>#N/A</v>
      </c>
      <c r="JO169" s="218" t="e">
        <f t="shared" ca="1" si="538"/>
        <v>#N/A</v>
      </c>
      <c r="JP169" s="218" t="e">
        <f ca="1">MIN(($IY169+$IO169)*Control!$C$151, $JF169-$EH169*Control!$C$161)</f>
        <v>#N/A</v>
      </c>
      <c r="JQ169" s="218" t="e">
        <f t="shared" ca="1" si="539"/>
        <v>#N/A</v>
      </c>
      <c r="JR169" s="217" t="e">
        <f ca="1">IF($CP169-Control!$C$150&lt;0, 0, $JQ169/Control!$C$162)</f>
        <v>#N/A</v>
      </c>
      <c r="JS169" s="218" t="e">
        <f t="shared" ca="1" si="540"/>
        <v>#N/A</v>
      </c>
      <c r="JT169" s="218" t="e">
        <f t="shared" ca="1" si="648"/>
        <v>#N/A</v>
      </c>
      <c r="JU169" s="218" t="e">
        <f t="shared" ca="1" si="541"/>
        <v>#N/A</v>
      </c>
      <c r="JV169" s="218" t="e">
        <f t="shared" ca="1" si="542"/>
        <v>#N/A</v>
      </c>
      <c r="JW169" s="216" t="e">
        <f t="shared" ca="1" si="543"/>
        <v>#N/A</v>
      </c>
      <c r="JX169" s="91" t="e">
        <f t="shared" ca="1" si="544"/>
        <v>#N/A</v>
      </c>
      <c r="JY169" s="218" t="e">
        <f t="shared" ca="1" si="545"/>
        <v>#N/A</v>
      </c>
      <c r="JZ169" s="217" t="e">
        <f ca="1">IF(Control!$C$114=1,($IZ169/(IF($JI169&lt;&gt;0,$JI169,1)))*$JK169, 0)</f>
        <v>#N/A</v>
      </c>
      <c r="KA169" s="218" t="e">
        <f t="shared" ca="1" si="683"/>
        <v>#N/A</v>
      </c>
      <c r="KB169" s="218" t="e">
        <f t="shared" ca="1" si="649"/>
        <v>#N/A</v>
      </c>
      <c r="KC169" s="218" t="e">
        <f t="shared" ca="1" si="546"/>
        <v>#N/A</v>
      </c>
      <c r="KD169" s="218" t="e">
        <f t="shared" ca="1" si="547"/>
        <v>#N/A</v>
      </c>
      <c r="KE169" s="218" t="e">
        <f t="shared" ca="1" si="548"/>
        <v>#N/A</v>
      </c>
      <c r="KF169" s="218" t="e">
        <f t="shared" ca="1" si="549"/>
        <v>#N/A</v>
      </c>
      <c r="KG169" s="216" t="e">
        <f t="shared" ca="1" si="550"/>
        <v>#N/A</v>
      </c>
      <c r="KH169" s="221" t="e">
        <f ca="1">IF(Control!$B$24=0,1,MAX(0.001,MIN(1,IF(($IF169-$IE169)&lt;&gt;0,($KG169-$IE169)/($IF169-$IE169),1))))</f>
        <v>#N/A</v>
      </c>
      <c r="KI169" s="222" t="e">
        <f ca="1">IF(Control!$C$114=1, $KI168+ $KH168, 0)</f>
        <v>#N/A</v>
      </c>
      <c r="KJ169" s="217" t="e">
        <f t="shared" ca="1" si="551"/>
        <v>#N/A</v>
      </c>
      <c r="KK169" s="218" t="e">
        <f t="shared" ca="1" si="552"/>
        <v>#N/A</v>
      </c>
      <c r="KL169" s="274" t="e">
        <f ca="1">IF(Control!$B$26=3,4000000000*EXP(-8400/($G169+273)),IF(Control!$B$26=4,4000000000*EXP(-8400/($G169+273))*($KT169),0))</f>
        <v>#DIV/0!</v>
      </c>
      <c r="KM169" s="274" t="e">
        <f ca="1">IF(Control!$B$26=3,5600000000000*EXP(-9800/($G169+273)),IF(Control!$B$26=4,5600000000000*EXP(-9800/($G169+273))*$KT169,0))</f>
        <v>#DIV/0!</v>
      </c>
      <c r="KN169" s="454" t="e">
        <f t="shared" ca="1" si="650"/>
        <v>#DIV/0!</v>
      </c>
      <c r="KO169" s="274" t="e">
        <f t="shared" ca="1" si="651"/>
        <v>#DIV/0!</v>
      </c>
      <c r="KP169" s="454" t="e">
        <f t="shared" ca="1" si="553"/>
        <v>#DIV/0!</v>
      </c>
      <c r="KQ169" s="454" t="e">
        <f t="shared" ca="1" si="554"/>
        <v>#DIV/0!</v>
      </c>
      <c r="KR169" s="454" t="e">
        <f t="shared" ca="1" si="555"/>
        <v>#DIV/0!</v>
      </c>
      <c r="KS169" s="454" t="e">
        <f t="shared" ca="1" si="556"/>
        <v>#DIV/0!</v>
      </c>
      <c r="KT169" s="455" t="e">
        <f t="shared" ca="1" si="557"/>
        <v>#DIV/0!</v>
      </c>
      <c r="KU169" s="456" t="e">
        <f ca="1">IF($CP169-Control!$C$149&lt;0, IF($NT169-0.01&lt;0,0,1),0)</f>
        <v>#N/A</v>
      </c>
      <c r="KV169" s="456" t="e">
        <f ca="1">IF(Control!$C$114=1,MAX(0,MIN(Control!$C$125*$KW169*$GN169,$KW169)))</f>
        <v>#DIV/0!</v>
      </c>
      <c r="KW169" s="456" t="e">
        <f t="shared" ca="1" si="684"/>
        <v>#DIV/0!</v>
      </c>
      <c r="KX169" s="457" t="e">
        <f ca="1">IF($CP169-Control!$C$149&lt;0, IF($MR169-$OM169&lt;0,0,1),0)</f>
        <v>#N/A</v>
      </c>
      <c r="KY169" s="167">
        <f t="shared" ca="1" si="652"/>
        <v>165</v>
      </c>
      <c r="KZ169" s="168">
        <f ca="1">1370*(1+0.033*COS(2*Control!$C$138*$AH169/365))</f>
        <v>1326.8258639161284</v>
      </c>
      <c r="LA169" s="169">
        <f t="shared" ca="1" si="653"/>
        <v>0.96848609708977662</v>
      </c>
      <c r="LB169" s="169">
        <f t="shared" ca="1" si="654"/>
        <v>0.40603654568018976</v>
      </c>
      <c r="LC169" s="169">
        <f ca="1">ACOS(-TAN((2*Control!$B$8/360))*TAN(Calculations!$LB169))</f>
        <v>1.6989222823680166</v>
      </c>
      <c r="LD169" s="169">
        <f ca="1">((24*60)/PI())*0.082*$LA169*(($LC169*SIN(Control!$B$8*2*PI()/360))*SIN($LB169)+COS(Control!$B$8*2*PI()/360)*COS($LB169)*SIN($LC169))</f>
        <v>39.66834191178549</v>
      </c>
      <c r="LE169" s="170">
        <f t="shared" ca="1" si="558"/>
        <v>41.338745801298387</v>
      </c>
      <c r="LF169" s="170">
        <f ca="1">SIN(Control!$C$139*Control!$B$8)*SIN($HD169)</f>
        <v>0.31097939608582548</v>
      </c>
      <c r="LG169" s="170">
        <f ca="1">COS(Control!$C$139*Control!$B$8)*COS($HD169)</f>
        <v>0.56569084684124438</v>
      </c>
      <c r="LH169" s="170">
        <f ca="1">12*(1+2*ASIN(MAX(-1,MIN(1,$LF169/$LG169))/Control!$C$138))</f>
        <v>16.2213801997122</v>
      </c>
      <c r="LI169" s="170">
        <f ca="1">12*(1+2*ASIN(MAX(-1,MIN(1,(-SIN(-4*Control!$C$139)+$LF169)/$LG169))/Control!$C$138))</f>
        <v>17.181848507748096</v>
      </c>
      <c r="LJ169" s="168">
        <f ca="1">3600*($LH169*$LF169+24*$LG169*SQRT(1-$LK169*$LK169)/Control!$C$138)</f>
        <v>31156.119974392888</v>
      </c>
      <c r="LK169" s="170">
        <f t="shared" ca="1" si="559"/>
        <v>0.54973383045226965</v>
      </c>
      <c r="LL169" s="170">
        <f t="shared" ca="1" si="560"/>
        <v>0</v>
      </c>
      <c r="LM169" s="171">
        <f ca="1">Control!$C$145*$AB169</f>
        <v>6.6660906138995932E-2</v>
      </c>
      <c r="LN169" s="170">
        <f t="shared" ca="1" si="655"/>
        <v>0.54</v>
      </c>
      <c r="LO169" s="170">
        <f t="shared" ca="1" si="561"/>
        <v>0</v>
      </c>
      <c r="LP169" s="170">
        <f ca="1">Control!$C$140*((($D169+273.16)^4+($E169+273.16)^4)/2)*(0.34-0.14*SQRT($Y169))*(1.35*$AQ169/(0.75*$LD169)-0.35)</f>
        <v>-3.2464704755046001</v>
      </c>
      <c r="LQ169" s="170">
        <f ca="1">Control!$C$140*($G169+273)^4*(0.56-0.079*SQRT($Y169*10))*(0.1+0.9*$LO169)</f>
        <v>1.5241745131704001</v>
      </c>
      <c r="LR169" s="170">
        <f ca="1">$AQ169*(1-Control!$C$142)-$LQ169</f>
        <v>-1.5241745131704001</v>
      </c>
      <c r="LS169" s="170">
        <f ca="1">$AQ169*(1-Control!$C$143)-$LQ169</f>
        <v>-1.5241745131704001</v>
      </c>
      <c r="LT169" s="170">
        <f ca="1">$AQ169*(1-Control!$C$144)-$LQ169</f>
        <v>-1.5241745131704001</v>
      </c>
      <c r="LU169" s="169">
        <f ca="1">(1-Control!$C$144)*AQ169-LP169</f>
        <v>3.2464704755046001</v>
      </c>
      <c r="LV169" s="172">
        <f t="shared" ca="1" si="562"/>
        <v>0.79430000000000012</v>
      </c>
      <c r="LW169" s="170">
        <f t="shared" ca="1" si="563"/>
        <v>1.5886000000000002</v>
      </c>
      <c r="LX169" s="170">
        <f ca="1">($AC169*($LR169/Control!$C$141)+$LM169*$LV169)/($AC169+$LM169)</f>
        <v>0.23530094218323697</v>
      </c>
      <c r="LY169" s="170">
        <f ca="1">($AC169*($LS169/Control!$C$141)+$LM169*$LV169)/($AC169+$LM169)</f>
        <v>0.23530094218323697</v>
      </c>
      <c r="LZ169" s="170">
        <f t="shared" ca="1" si="564"/>
        <v>0.23530094218323697</v>
      </c>
      <c r="MA169" s="170">
        <f t="shared" ca="1" si="565"/>
        <v>0.23530094218323697</v>
      </c>
      <c r="MB169" s="170" t="e">
        <f t="shared" ca="1" si="566"/>
        <v>#N/A</v>
      </c>
      <c r="MC169" s="170">
        <f t="shared" ca="1" si="656"/>
        <v>0.6018</v>
      </c>
      <c r="MD169" s="170">
        <f t="shared" ca="1" si="567"/>
        <v>0.52989392535414004</v>
      </c>
      <c r="ME169" s="170">
        <f ca="1">($AC169*($LT169/Control!$C$141)+$LM169*$LW169)/($AC169+$LM169)</f>
        <v>0.71612369323045078</v>
      </c>
      <c r="MF169" s="170" t="e">
        <f ca="1">IF(Control!$B$16&gt;=1000,0.92,IF(AND(720&lt;=Control!$B$16,1000&gt;Control!$B$16),(0.95+(Control!$B$16-720)*((0.92-0.95)/(1000-720))),IF(AND(360&lt;=Control!$B$16,720&gt;Control!$B$16),(1+(Control!$B$16-360)*((0.95-1)/(720-360))),IF(AND(40&lt;=Control!$B$16,360&gt;Control!$B$16),(1.05+(Control!$B$16-40)*((1.05-1)/(360-40)))))))</f>
        <v>#N/A</v>
      </c>
      <c r="MG169" s="170">
        <f t="shared" ca="1" si="568"/>
        <v>0.71612369323045078</v>
      </c>
      <c r="MH169" s="170" t="e">
        <f t="shared" ca="1" si="694"/>
        <v>#N/A</v>
      </c>
      <c r="MI169" s="170" t="e">
        <f t="shared" ca="1" si="694"/>
        <v>#N/A</v>
      </c>
      <c r="MJ169" s="170" t="e">
        <f ca="1">MAX(0.0001, Control!$C$132*$MI169*$DL169)</f>
        <v>#N/A</v>
      </c>
      <c r="MK169" s="170">
        <f ca="1">1/(0.76+1.5*($MG169/10))-(5-Control!$C$110)*0.1</f>
        <v>1.002845988140797</v>
      </c>
      <c r="ML169" s="173">
        <f ca="1">IF(Control!$C$110&lt;3,$MK169+($MG169-0.6)/(Control!$C$110*(Control!$C$110+3)), MAX(0.1, MIN(0.95,$MK169)))</f>
        <v>0.95</v>
      </c>
      <c r="MM169" s="173">
        <f ca="1">IF(Control!$C$110&lt;3,$MK169+(($MI169/10)-0.6)/(Control!$C$110*(Control!$C$110+3)), MAX(0.1, MIN(0.95,$MK169)))</f>
        <v>0.95</v>
      </c>
      <c r="MN169" s="173">
        <f ca="1">(1-$MM169)*(Control!$C$128-Control!$C$127)+Control!$C$127</f>
        <v>0.16</v>
      </c>
      <c r="MO169" s="170" t="e">
        <f ca="1">MAX(0,MIN(1,($MS169-Control!$C$127)/($MN169-Control!$C$127)))</f>
        <v>#DIV/0!</v>
      </c>
      <c r="MP169" s="173" t="e">
        <f ca="1">1/(0.76+1.5*$MI169)-(5-Control!$C$110)*0.1</f>
        <v>#N/A</v>
      </c>
      <c r="MQ169" s="172" t="e">
        <f t="shared" ca="1" si="685"/>
        <v>#DIV/0!</v>
      </c>
      <c r="MR169" s="168" t="e">
        <f t="shared" ca="1" si="657"/>
        <v>#DIV/0!</v>
      </c>
      <c r="MS169" s="173" t="e">
        <f ca="1">MAX(Control!$C$127, MIN(Control!$C$135, $MR169/MAX(0.0001,$CY169)))</f>
        <v>#DIV/0!</v>
      </c>
      <c r="MT169" s="168" t="e">
        <f ca="1">(Control!$C$128-$MS169)*Control!$C$74</f>
        <v>#DIV/0!</v>
      </c>
      <c r="MU169" s="168" t="e">
        <f ca="1">(Control!$C$135-$MS169)*Control!$C$74</f>
        <v>#DIV/0!</v>
      </c>
      <c r="MV169" s="168" t="e">
        <f t="shared" ca="1" si="658"/>
        <v>#DIV/0!</v>
      </c>
      <c r="MW169" s="168" t="e">
        <f t="shared" ca="1" si="659"/>
        <v>#DIV/0!</v>
      </c>
      <c r="MX169" s="171" t="e">
        <f ca="1">MAX(Control!$C$127, MIN(Control!$C$135, $MW169/MAX(0.0001,Control!$C$119-$CY169)))</f>
        <v>#DIV/0!</v>
      </c>
      <c r="MY169" s="54" t="e">
        <f ca="1">IF(Control!$C$114=1, $CX169*$MX169, 0)</f>
        <v>#DIV/0!</v>
      </c>
      <c r="MZ169" s="54" t="e">
        <f t="shared" ca="1" si="660"/>
        <v>#N/A</v>
      </c>
      <c r="NA169" s="168" t="e">
        <f ca="1">(Control!$C$128-$MX169)*(Control!$C$119-Control!$C$74)</f>
        <v>#DIV/0!</v>
      </c>
      <c r="NB169" s="168" t="e">
        <f ca="1">(Control!$C$135-$MX169)*(Control!$C$119-Control!$C$74)</f>
        <v>#DIV/0!</v>
      </c>
      <c r="NC169" s="174" t="e">
        <f t="shared" ca="1" si="661"/>
        <v>#DIV/0!</v>
      </c>
      <c r="ND169" s="54">
        <f ca="1">IF(Control!$C$58=2, IF(OR(Control!$B$218=$AH169,Control!$B$219=$AH169, Control!$B$220=$AH169, Control!$B$221=$AH169, Control!$B$222=$AH169, Control!$B$223=$AH169, Control!$B$224=$AH169, Control!$B$225=$AH169, Control!$B$226=$AH169, Control!$B$227=$AH169, Control!$B$228=$AH169), 1, 0), 0)</f>
        <v>0</v>
      </c>
      <c r="NE169" s="54">
        <f ca="1">IF($ND169=0,0, VLOOKUP($AH169,Control!$B$218:$C$228,2))</f>
        <v>0</v>
      </c>
      <c r="NF169" s="168" t="e">
        <f ca="1">$CY169*(Control!$C$128-Control!$C$127)</f>
        <v>#N/A</v>
      </c>
      <c r="NG169" s="54" t="e">
        <f ca="1">IF(Control!$C$58=2, $NI168-$NJ168, 0)</f>
        <v>#DIV/0!</v>
      </c>
      <c r="NH169" s="54" t="e">
        <f ca="1">IF(AND(Control!$C$58=1, $MS168&lt;= ($MN168+0.02), $I168&lt;10), 0, IF(Control!$C$58=2, $NG168, 0))</f>
        <v>#DIV/0!</v>
      </c>
      <c r="NI169" s="54" t="e">
        <f ca="1">IF(Control!$C$58=2, $NE169+$NH169,0)</f>
        <v>#DIV/0!</v>
      </c>
      <c r="NJ169" s="54" t="e">
        <f ca="1">IF(AND(Control!$C$58=1, $MS169&lt;= ($MN169+0.02), $I169&lt;10), MAX(0, MIN(10, 0.7*($NF169-$MV169))), IF(Control!$C$58=2, MIN(10,$NI169),0))</f>
        <v>#DIV/0!</v>
      </c>
      <c r="NK169" s="54" t="e">
        <f t="shared" ca="1" si="569"/>
        <v>#DIV/0!</v>
      </c>
      <c r="NL169" s="173" t="e">
        <f ca="1">(1-Control!$C$73)*$I169+$NJ169</f>
        <v>#DIV/0!</v>
      </c>
      <c r="NM169" s="172" t="e">
        <f ca="1">IF($NL169&lt;0.5, $MB169* MAX(0, MIN(1, (SQRT($NC169)-SQRT($NC169-1))*Control!$C$71)),0)</f>
        <v>#DIV/0!</v>
      </c>
      <c r="NN169" s="170" t="e">
        <f ca="1">IF($NL169&gt;=5, $MB169, MAX(0,MIN($MB169, $NM169+$NL169,($MS169-Control!$C$129))))</f>
        <v>#DIV/0!</v>
      </c>
      <c r="NO169" s="54">
        <f>IF(Control!$C$133&lt;&gt;1, Control!$C$135-Control!$C$131, 0)</f>
        <v>0.38</v>
      </c>
      <c r="NP169" s="54" t="e">
        <f t="shared" ca="1" si="570"/>
        <v>#DIV/0!</v>
      </c>
      <c r="NQ169" s="173" t="e">
        <f ca="1">MAX(0,MIN(1,(Control!$C$135-$MS169)/(Control!$C$135-$NO169)))</f>
        <v>#DIV/0!</v>
      </c>
      <c r="NR169" s="170" t="e">
        <f ca="1">IF(Control!$C$133&lt;&gt;1, $NQ169+((1-$NP169/4)*(1-$NQ169)),1)</f>
        <v>#DIV/0!</v>
      </c>
      <c r="NS169" s="170" t="e">
        <f ca="1">IF(Control!$B$31=0,$MJ169,MAX(0,MIN($MV169,$MO169*$NR169*$MJ169)))</f>
        <v>#DIV/0!</v>
      </c>
      <c r="NT169" s="170" t="e">
        <f t="shared" ca="1" si="686"/>
        <v>#DIV/0!</v>
      </c>
      <c r="NU169" s="170" t="e">
        <f t="shared" ca="1" si="662"/>
        <v>#N/A</v>
      </c>
      <c r="NV169" s="170" t="e">
        <f t="shared" ca="1" si="571"/>
        <v>#N/A</v>
      </c>
      <c r="NW169" s="175" t="e">
        <f t="shared" ca="1" si="572"/>
        <v>#DIV/0!</v>
      </c>
      <c r="NX169" s="170" t="e">
        <f ca="1">MIN(Control!$C$72+$MU169, $NW169)</f>
        <v>#DIV/0!</v>
      </c>
      <c r="NY169" s="170" t="e">
        <f ca="1">IF($MT169&lt;=$NX169,MIN(Control!$C$72+$NB169,$NX169-$MT169),0)</f>
        <v>#DIV/0!</v>
      </c>
      <c r="NZ169" s="54" t="e">
        <f ca="1">IF(Control!$C$114=1,  $CX169*($MX169-Control!$C$127), 0)</f>
        <v>#DIV/0!</v>
      </c>
      <c r="OA169" s="170" t="e">
        <f t="shared" ca="1" si="573"/>
        <v>#DIV/0!</v>
      </c>
      <c r="OB169" s="170" t="e">
        <f ca="1">IF($NA169 &lt;=$NY169, MIN(Control!$C$72, $NY169-$NA169), 0)</f>
        <v>#DIV/0!</v>
      </c>
      <c r="OC169" s="168" t="e">
        <f t="shared" ca="1" si="574"/>
        <v>#DIV/0!</v>
      </c>
      <c r="OD169" s="168" t="e">
        <f t="shared" ca="1" si="663"/>
        <v>#DIV/0!</v>
      </c>
      <c r="OE169" s="170">
        <f ca="1">Control!$C$73*$I169</f>
        <v>0</v>
      </c>
      <c r="OF169" s="176" t="e">
        <f t="shared" ca="1" si="575"/>
        <v>#DIV/0!</v>
      </c>
      <c r="OG169" s="168" t="e">
        <f t="shared" ca="1" si="576"/>
        <v>#DIV/0!</v>
      </c>
      <c r="OH169" s="168" t="e">
        <f t="shared" ca="1" si="577"/>
        <v>#DIV/0!</v>
      </c>
      <c r="OI169" s="168" t="e">
        <f t="shared" ca="1" si="578"/>
        <v>#DIV/0!</v>
      </c>
      <c r="OJ169" s="168" t="e">
        <f t="shared" ca="1" si="579"/>
        <v>#DIV/0!</v>
      </c>
      <c r="OK169" s="204" t="e">
        <f t="shared" ca="1" si="580"/>
        <v>#DIV/0!</v>
      </c>
      <c r="OL169" s="177">
        <f>Control!$C$127</f>
        <v>0.15</v>
      </c>
      <c r="OM169" s="182" t="e">
        <f t="shared" ca="1" si="581"/>
        <v>#N/A</v>
      </c>
      <c r="ON169" s="177">
        <f>Control!$C$128</f>
        <v>0.35</v>
      </c>
      <c r="OO169" s="182" t="e">
        <f t="shared" ca="1" si="582"/>
        <v>#N/A</v>
      </c>
      <c r="OP169" s="138">
        <f t="shared" ca="1" si="664"/>
        <v>0</v>
      </c>
      <c r="OQ169" s="138" t="e">
        <f t="shared" ca="1" si="687"/>
        <v>#DIV/0!</v>
      </c>
      <c r="OR169" s="138" t="e">
        <f t="shared" ca="1" si="665"/>
        <v>#DIV/0!</v>
      </c>
      <c r="OS169" s="137" t="e">
        <f t="shared" ca="1" si="688"/>
        <v>#DIV/0!</v>
      </c>
      <c r="OT169" s="139" t="e">
        <f t="shared" ca="1" si="689"/>
        <v>#DIV/0!</v>
      </c>
      <c r="OU169" s="138" t="e">
        <f t="shared" ca="1" si="690"/>
        <v>#N/A</v>
      </c>
      <c r="OV169" s="138" t="e">
        <f t="shared" ca="1" si="691"/>
        <v>#DIV/0!</v>
      </c>
      <c r="OW169" s="138" t="e">
        <f t="shared" ca="1" si="666"/>
        <v>#DIV/0!</v>
      </c>
      <c r="OX169" s="138" t="e">
        <f t="shared" ca="1" si="667"/>
        <v>#DIV/0!</v>
      </c>
      <c r="OY169" s="138" t="e">
        <f t="shared" ca="1" si="668"/>
        <v>#DIV/0!</v>
      </c>
      <c r="OZ169" s="138" t="e">
        <f t="shared" ca="1" si="583"/>
        <v>#DIV/0!</v>
      </c>
      <c r="PA169" s="138" t="e">
        <f t="shared" ca="1" si="584"/>
        <v>#DIV/0!</v>
      </c>
      <c r="PB169" s="55">
        <f>IF(Control!$C$61="T", IF(Control!$C$65="F", IF($AH$6-Control!$C$60&lt;0,0,1), IF(365+$AH$6-Control!$C$60&lt;0,0,1)),0)</f>
        <v>0</v>
      </c>
      <c r="PC169" s="55">
        <f ca="1">IF(Control!$C$65="F", IF($AH$6-$HF169&lt;0,0,1), IF(365+$AH$6-$HF169&lt;0,0,1))</f>
        <v>1</v>
      </c>
      <c r="PD169" s="444">
        <f>Control!$C$118</f>
        <v>1500</v>
      </c>
      <c r="PE169" s="180" t="e">
        <f t="shared" ca="1" si="585"/>
        <v>#N/A</v>
      </c>
      <c r="PF169" s="445">
        <f t="shared" ca="1" si="669"/>
        <v>0.71612369323045078</v>
      </c>
      <c r="PT169" s="186"/>
      <c r="PU169" s="186"/>
      <c r="PV169" s="94"/>
      <c r="PW169" s="94"/>
      <c r="PX169" s="94"/>
      <c r="PY169" s="94"/>
      <c r="PZ169" s="94"/>
      <c r="QA169" s="94"/>
      <c r="QB169" s="94"/>
      <c r="QC169" s="94"/>
      <c r="QD169" s="94"/>
      <c r="QE169" s="94"/>
      <c r="QF169" s="94"/>
      <c r="QG169" s="94"/>
      <c r="QH169" s="94"/>
      <c r="QI169" s="94"/>
      <c r="QJ169" s="94"/>
      <c r="QK169" s="94"/>
      <c r="QL169" s="94"/>
      <c r="QM169" s="94"/>
      <c r="QN169" s="94"/>
      <c r="QO169" s="94"/>
      <c r="QP169" s="94"/>
    </row>
    <row r="170" spans="1:458" s="2" customFormat="1" x14ac:dyDescent="0.2">
      <c r="A170" s="395">
        <v>14</v>
      </c>
      <c r="B170" s="396">
        <v>6</v>
      </c>
      <c r="C170" s="387">
        <f ca="1">Weather_data!$B169</f>
        <v>0</v>
      </c>
      <c r="D170" s="388">
        <f ca="1">Weather_data!$F169</f>
        <v>0</v>
      </c>
      <c r="E170" s="388">
        <f ca="1">Weather_data!$E169</f>
        <v>0</v>
      </c>
      <c r="F170" s="388">
        <f t="shared" ca="1" si="586"/>
        <v>0</v>
      </c>
      <c r="G170" s="388">
        <f ca="1">AVERAGE($D170:$E170)+Control!$B$9</f>
        <v>0</v>
      </c>
      <c r="H170" s="388">
        <f ca="1">Weather_data!$G169</f>
        <v>0</v>
      </c>
      <c r="I170" s="388">
        <f ca="1">Weather_data!$I169</f>
        <v>0</v>
      </c>
      <c r="J170" s="388">
        <f ca="1">Weather_data!$H169</f>
        <v>0</v>
      </c>
      <c r="K170" s="389">
        <f ca="1">Weather_data!$D169</f>
        <v>0</v>
      </c>
      <c r="L170" s="388" t="e">
        <f t="shared" ca="1" si="587"/>
        <v>#N/A</v>
      </c>
      <c r="M170" s="388" t="e">
        <f t="shared" ca="1" si="465"/>
        <v>#N/A</v>
      </c>
      <c r="N170" s="388">
        <f t="shared" ca="1" si="466"/>
        <v>-1.5658189776379822E-8</v>
      </c>
      <c r="O170" s="388">
        <f t="shared" ca="1" si="588"/>
        <v>1.5658189776379824E-7</v>
      </c>
      <c r="P170" s="390">
        <v>3</v>
      </c>
      <c r="Q170" s="388">
        <f ca="1">MAX($G170-Control!$C$107,0)</f>
        <v>0</v>
      </c>
      <c r="R170" s="388">
        <f t="shared" ca="1" si="589"/>
        <v>0</v>
      </c>
      <c r="S170" s="388">
        <f t="shared" ca="1" si="467"/>
        <v>0</v>
      </c>
      <c r="T170" s="388">
        <f t="shared" ca="1" si="468"/>
        <v>0</v>
      </c>
      <c r="U170" s="59">
        <f t="shared" ca="1" si="469"/>
        <v>0</v>
      </c>
      <c r="V170" s="391">
        <f ca="1">MAX(0,MIN(Control!$C$100-Control!$C$99,$G170-Control!$C$99)*Control!$C$63)</f>
        <v>0</v>
      </c>
      <c r="W170" s="388">
        <f t="shared" ca="1" si="590"/>
        <v>0</v>
      </c>
      <c r="X170" s="388">
        <f t="shared" ca="1" si="591"/>
        <v>0.6110000000000001</v>
      </c>
      <c r="Y170" s="388">
        <f t="shared" ca="1" si="470"/>
        <v>0</v>
      </c>
      <c r="Z170" s="388">
        <f t="shared" ca="1" si="592"/>
        <v>0.61058800000000002</v>
      </c>
      <c r="AA170" s="388">
        <f t="shared" ca="1" si="471"/>
        <v>0.6018</v>
      </c>
      <c r="AB170" s="388">
        <f ca="1">101.3*EXP(-0.034*Control!$C$66/($G170+273))</f>
        <v>100.69623283836242</v>
      </c>
      <c r="AC170" s="392">
        <f t="shared" ca="1" si="472"/>
        <v>4.3460251046025113E-2</v>
      </c>
      <c r="AD170" s="392">
        <f t="shared" ca="1" si="473"/>
        <v>4.4450382862832649E-2</v>
      </c>
      <c r="AE170" s="388">
        <f t="shared" ca="1" si="474"/>
        <v>0</v>
      </c>
      <c r="AF170" s="388">
        <f ca="1">MAX(0,$G170-Control!$C$92)</f>
        <v>0</v>
      </c>
      <c r="AG170" s="393">
        <f t="shared" ca="1" si="475"/>
        <v>166</v>
      </c>
      <c r="AH170" s="389">
        <f t="shared" ca="1" si="476"/>
        <v>166</v>
      </c>
      <c r="AI170" s="388">
        <f t="shared" ca="1" si="593"/>
        <v>0.40657001519130925</v>
      </c>
      <c r="AJ170" s="388">
        <f ca="1">IF(Control!$C$60&lt;=0,$HH170,$HI170)</f>
        <v>1</v>
      </c>
      <c r="AK170" s="388">
        <f t="shared" ca="1" si="477"/>
        <v>1.4804217436094367</v>
      </c>
      <c r="AL170" s="388">
        <f t="shared" ca="1" si="478"/>
        <v>7.2131155215426896E-18</v>
      </c>
      <c r="AM170" s="388">
        <f t="shared" ca="1" si="479"/>
        <v>1.4804217436094367</v>
      </c>
      <c r="AN170" s="388">
        <f t="shared" ca="1" si="480"/>
        <v>0.40734892791035865</v>
      </c>
      <c r="AO170" s="388">
        <f ca="1">-0.10453/COS(Control!$B$8*PI()/180)*COS(AN170)</f>
        <v>-0.15589210579217161</v>
      </c>
      <c r="AP170" s="388">
        <f ca="1">ACOS(AO170-TAN(Control!$B$8*PI()/180)*TAN(AN170))</f>
        <v>2.3576923040345288</v>
      </c>
      <c r="AQ170" s="388">
        <f t="shared" ca="1" si="594"/>
        <v>0</v>
      </c>
      <c r="AR170" s="394">
        <f t="shared" ca="1" si="481"/>
        <v>0</v>
      </c>
      <c r="AS170" s="436">
        <f ca="1">IF(Control!$B$18=2,(IF(OR($AH170=Control!$B$175,$AH170=Control!$B$176,$AH170=Control!$B$177,$AH170=Control!$B$178,$AH170=Control!$B$179,$AH170=Control!$B$180,$AH170=Control!$B$181,$AH170=Control!$B$182,$AH170=Control!$B$183,$AH170=Control!$B$184,$AH170=Control!$B$185),1,0)),0)</f>
        <v>0</v>
      </c>
      <c r="AT170" s="436">
        <f>IF(Control!$B$20=8,IF(AND($AH170&gt;=Control!$B$172,$AH170&lt;=Control!$B$173),1,0),0)</f>
        <v>0</v>
      </c>
      <c r="AU170" s="436">
        <f>IF(Control!$B$20=8,IF($AV169=1,1*$AT170,IF($AT170=1,$AU169+1,$AU169)),0)</f>
        <v>0</v>
      </c>
      <c r="AV170" s="436">
        <f>IF(Control!$B$20=8,IF($AU170&gt;=Control!$B$174,1,0),0)</f>
        <v>0</v>
      </c>
      <c r="AW170" s="436">
        <f ca="1">IF(AND(Control!$B$18=2,Control!$B$171=1), $AV170, $AS170)</f>
        <v>0</v>
      </c>
      <c r="AX170" s="436" t="e">
        <f ca="1">IF(AND(Control!$B$18=1,$EU170&gt;=Control!$B$19),-$AY170,IF(AND(Control!$B$18=2,$AW170=1,$EU170&gt;$DS170),-$AY170, IF(Control!$C$108=0,0, IF(Control!$C$108&lt;&gt;0,1))))</f>
        <v>#N/A</v>
      </c>
      <c r="AY170" s="436" t="e">
        <f t="shared" ca="1" si="595"/>
        <v>#N/A</v>
      </c>
      <c r="AZ170" s="436" t="e">
        <f ca="1">IF(AND(Control!$B$18=1,$EB170&gt;Control!$B$19),$AZ169+1, IF(AND(Control!$B$18=2, $AW170=1, $EB170&gt;$DS170), $AZ169+1,$AZ169))</f>
        <v>#N/A</v>
      </c>
      <c r="BA170" s="587">
        <f>IF(Control!$C$81=0,1,IF($AH170&gt;=Control!$C$82,1,0))</f>
        <v>1</v>
      </c>
      <c r="BB170" s="140" t="e">
        <f ca="1">IF($BA170&gt;$BA169,Control!$C$83,IF($AW170&gt;0,$AW170*Control!$C$84,IF(AND(Control!$B$18=1,EN169&lt;&gt;0),Control!$C$84,0)))</f>
        <v>#N/A</v>
      </c>
      <c r="BC170" s="140" t="e">
        <f t="shared" ca="1" si="596"/>
        <v>#N/A</v>
      </c>
      <c r="BD170" s="140" t="e">
        <f ca="1">BC170*IF(OR($G170&lt;Control!$C$92,$G170&gt;Control!$C$95),0,IF(AND($G170&gt;=Control!$C$92,$G170&lt;=Control!$C$93),$G170-Control!$C$92,IF(AND($G170&gt;Control!$C$93,$G170&lt;=Control!$C$94),Control!$C$93-Control!$C$92,IF(AND($G170&gt;Control!$C$94,$G170&lt;=Control!$C$95),(Control!$C$93-Control!$C$92)*(Control!$C$94-$G170)/(Control!$C$95-Control!$C$94)))))</f>
        <v>#N/A</v>
      </c>
      <c r="BE170" s="140" t="e">
        <f t="shared" ca="1" si="597"/>
        <v>#N/A</v>
      </c>
      <c r="BF170" s="140" t="e">
        <f ca="1">IF($BE170&lt;=Control!$C$86,$BE170,Control!$C$86-$BE170)</f>
        <v>#N/A</v>
      </c>
      <c r="BG170" s="140" t="e">
        <f ca="1">IF(AND($AW170=1,Control!$C$84&lt;9),1,IF($BE170&gt;=Control!$C$86,0,$BC170))</f>
        <v>#N/A</v>
      </c>
      <c r="BH170" s="404" t="e">
        <f ca="1">IF($BG170=0,0,IF($BE170&lt;=Control!$C$86,$BC170*9*($BF170/Control!$C$86),0))</f>
        <v>#N/A</v>
      </c>
      <c r="BI170" s="140" t="e">
        <f ca="1">IF($BG170=1,0,IF($BE170&gt;=Control!$C$86,1,IF(AND($BB170&lt;21,$BB170&gt;=9),1,$BM169)))</f>
        <v>#N/A</v>
      </c>
      <c r="BJ170" s="140" t="e">
        <f ca="1">IF($BF170&lt;0,-$BF170,$BI170*IF(OR($G170&lt;Control!$C$92,$G170&gt;Control!$C$95),0,IF(AND($G170&gt;=Control!$C$92,$G170&lt;=Control!$C$93),$G170-Control!$C$92,IF(AND($G170&gt;Control!$C$93,$G170&lt;=Control!$C$94),Control!$C$93-Control!$C$92,IF(AND($G170&gt;Control!$C$94,$G170&lt;=Control!$C$95),(Control!$C$93-Control!$C$92)*(Control!$C$94-$G170)/(Control!$C$95-Control!$C$94))))))</f>
        <v>#N/A</v>
      </c>
      <c r="BK170" s="140" t="e">
        <f t="shared" ca="1" si="598"/>
        <v>#N/A</v>
      </c>
      <c r="BL170" s="140" t="e">
        <f ca="1">IF($BK170&lt;=Control!$C$87,$BK170,Control!$C$87-$BK170)</f>
        <v>#N/A</v>
      </c>
      <c r="BM170" s="140" t="e">
        <f ca="1">IF(AND($BB170&gt;=9,$BB170&lt;21),1,IF($BK170&gt;=Control!$C$87,0,$BI170))</f>
        <v>#N/A</v>
      </c>
      <c r="BN170" s="404" t="e">
        <f ca="1">IF($BM170=0,0,IF($BK170&lt;=Control!$C$87,$BI170*(9+(21-9)*($BL170/Control!$C$87)),0))</f>
        <v>#N/A</v>
      </c>
      <c r="BO170" s="140" t="e">
        <f ca="1">IF($BM170=1,0,IF($BK170&gt;=Control!$C$87,1,IF(AND($BB170&lt;30,$BB170&gt;=21),1,$BS169)))</f>
        <v>#N/A</v>
      </c>
      <c r="BP170" s="140" t="e">
        <f ca="1">IF($BL170&lt;0,-$BL170,$BO170*IF(OR($G170&lt;Control!$C$92,$G170&gt;Control!$C$95),0,IF(AND($G170&gt;=Control!$C$92,$G170&lt;=Control!$C$93),$G170-Control!$C$92,IF(AND($G170&gt;Control!$C$93,$G170&lt;=Control!$C$94),Control!$C$93-Control!$C$92,IF(AND($G170&gt;Control!$C$94,$G170&lt;=Control!$C$95),(Control!$C$93-Control!$C$92)*(Control!$C$94-$G170)/(Control!$C$95-Control!$C$94))))))</f>
        <v>#N/A</v>
      </c>
      <c r="BQ170" s="140" t="e">
        <f t="shared" ca="1" si="482"/>
        <v>#N/A</v>
      </c>
      <c r="BR170" s="140" t="e">
        <f ca="1">IF($BQ170&lt;=Control!$C$88,$BQ170,Control!$C$88-$BQ170)</f>
        <v>#N/A</v>
      </c>
      <c r="BS170" s="140" t="e">
        <f ca="1">IF(AND($BB170&gt;=21,$BB170&lt;30),1,IF($BQ170&gt;=Control!$C$88,0,$BO170))</f>
        <v>#N/A</v>
      </c>
      <c r="BT170" s="404" t="e">
        <f ca="1">IF($BS170=0,0,IF($BQ170&lt;=Control!$C$88,$BO170*(21+(30-21)*(BR170/Control!$C$88)),0))</f>
        <v>#N/A</v>
      </c>
      <c r="BU170" s="140" t="e">
        <f ca="1">IF(BG170+BM170+BS170=1,0,IF(OR(AND($BB170&lt;60,$BB170&gt;=30),$BQ170&gt;=Control!$C$88),1*$BA170,$BY169))</f>
        <v>#N/A</v>
      </c>
      <c r="BV170" s="140" t="e">
        <f ca="1">IF($BR170&lt;0,-$BR170,$BU170*IF(OR($G170&lt;Control!$C$92,$G170&gt;Control!$C$95),0,IF(AND($G170&gt;=Control!$C$92,$G170&lt;=Control!$C$93),$G170-Control!$C$92,IF(AND($G170&gt;Control!$C$93,$G170&lt;=Control!$C$94),Control!$C$93-Control!$C$92,IF(AND($G170&gt;Control!$C$94,$G170&lt;=Control!$C$95),(Control!$C$93-Control!$C$92)*(Control!$C$94-$G170)/(Control!$C$95-Control!$C$94))))))</f>
        <v>#N/A</v>
      </c>
      <c r="BW170" s="140" t="e">
        <f t="shared" ca="1" si="483"/>
        <v>#N/A</v>
      </c>
      <c r="BX170" s="140" t="e">
        <f ca="1">IF($BW170&lt;=Control!$C$89,$BW170,Control!$C$89-$BW170)</f>
        <v>#N/A</v>
      </c>
      <c r="BY170" s="140" t="e">
        <f ca="1">IF(AND($AJ170&gt;=30,$AJ170&lt;60),1,IF($BW170&gt;=Control!$C$89,0,$BU170))</f>
        <v>#N/A</v>
      </c>
      <c r="BZ170" s="404" t="e">
        <f ca="1">IF($BY170=0,0,IF($BW170&lt;=Control!$C$89,$BU170*(30+(60-30)*(BX170/Control!$C$89)),0))</f>
        <v>#N/A</v>
      </c>
      <c r="CA170" s="140" t="e">
        <f ca="1">IF($BG170+$BM170+$BS170+$BY170=1,0,IF(OR(AND($BB170&lt;65,$BB170&gt;=60),$BW170&gt;=Control!$C$89),1*$BA170,$CE169))</f>
        <v>#N/A</v>
      </c>
      <c r="CB170" s="140" t="e">
        <f ca="1">IF($BX170&lt;0,-$BX170,$CA170*IF(OR($G170&lt;Control!$C$92,$G170&gt;Control!$C$95),0,IF(AND($G170&gt;=Control!$C$92,$G170&lt;=Control!$C$93),$G170-Control!$C$92,IF(AND($G170&gt;Control!$C$93,$G170&lt;=Control!$C$94),Control!$C$93-Control!$C$92,IF(AND($G170&gt;Control!$C$94,$G170&lt;=Control!$C$95),(Control!$C$93-Control!$C$92)*(Control!$C$94-$G170)/(Control!$C$95-Control!$C$94))))))</f>
        <v>#N/A</v>
      </c>
      <c r="CC170" s="140" t="e">
        <f t="shared" ca="1" si="599"/>
        <v>#N/A</v>
      </c>
      <c r="CD170" s="140" t="e">
        <f ca="1">IF($CC170&lt;=Control!$C$90,$CC170,Control!$C$90-$CC170)</f>
        <v>#N/A</v>
      </c>
      <c r="CE170" s="140" t="e">
        <f ca="1">IF(AND($BB170&gt;=60,$BB170&lt;65),1,IF($CC170&gt;=Control!$C$90,0,$CA170))</f>
        <v>#N/A</v>
      </c>
      <c r="CF170" s="404" t="e">
        <f ca="1">IF($CE170=0,0,IF($CC170&lt;=Control!$C$90,$CA170*(60+(65-60)*(CD170/Control!$C$90)),0))</f>
        <v>#N/A</v>
      </c>
      <c r="CG170" s="140" t="e">
        <f ca="1">IF($BG170+$BM170+$BS170+$BY170+$CE170=1,0,IF(OR(AND($BB170&lt;90,$BB170&gt;=65),$CC170&gt;=Control!$C$90),$BA170,$CK169))</f>
        <v>#N/A</v>
      </c>
      <c r="CH170" s="140" t="e">
        <f ca="1">IF($CD170&lt;0,-$CD170,$CG170*IF(OR($G170&lt;Control!$C$92,$G170&gt;Control!$C$95),0,IF(AND($G170&gt;=Control!$C$92,$G170&lt;=Control!$C$93),$G170-Control!$C$92,IF(AND($G170&gt;Control!$C$93,$G170&lt;=Control!$C$94),Control!$C$93-Control!$C$92,IF(AND($G170&gt;Control!$C$94,$G170&lt;=Control!$C$95),(Control!$C$93-Control!$C$92)*(Control!$C$94-$G170)/(Control!$C$95-Control!$C$94))))))</f>
        <v>#N/A</v>
      </c>
      <c r="CI170" s="140" t="e">
        <f t="shared" ca="1" si="600"/>
        <v>#N/A</v>
      </c>
      <c r="CJ170" s="140" t="e">
        <f ca="1">IF($CI170&lt;=Control!$C$91,$CI170,Control!$C$91-$CI170)</f>
        <v>#N/A</v>
      </c>
      <c r="CK170" s="140" t="e">
        <f ca="1">IF(AND($BB170&gt;=65,$BB170&lt;90),1,IF($CI170&gt;=Control!$C$91,0,$CG170))</f>
        <v>#N/A</v>
      </c>
      <c r="CL170" s="404" t="e">
        <f ca="1">IF($CK170=0,0,IF($CI170&lt;=Control!$C$91,$CG170*(65+(90-65)*($CJ170/Control!$C$91)),0))</f>
        <v>#N/A</v>
      </c>
      <c r="CM170" s="140" t="e">
        <f ca="1">IF($BG170+$BM170+$BS170+$BY170+$CE170+$CK170=1,0,IF(OR($BB170&gt;=90,$CI170&gt;=Control!$C$91),$BA170,$CM169))</f>
        <v>#N/A</v>
      </c>
      <c r="CN170" s="140" t="e">
        <f t="shared" ca="1" si="601"/>
        <v>#N/A</v>
      </c>
      <c r="CO170" s="140" t="e">
        <f t="shared" ca="1" si="602"/>
        <v>#N/A</v>
      </c>
      <c r="CP170" s="140" t="e">
        <f t="shared" ca="1" si="603"/>
        <v>#N/A</v>
      </c>
      <c r="CQ170" s="141" t="e">
        <f ca="1">VLOOKUP($CP170,Control!$B$86:$G$91,6)</f>
        <v>#N/A</v>
      </c>
      <c r="CR170" s="141" t="e">
        <f ca="1">(1-$CQ170)*VLOOKUP($CP170,Control!$B$86:$D$91,3)</f>
        <v>#N/A</v>
      </c>
      <c r="CS170" s="141" t="e">
        <f ca="1">(1-$CQ170)*VLOOKUP($CP170,Control!$B$86:$E$91,4)</f>
        <v>#N/A</v>
      </c>
      <c r="CT170" s="141" t="e">
        <f ca="1">(1-$CQ170)*VLOOKUP($CP170,Control!$B$86:$F$91,5)</f>
        <v>#N/A</v>
      </c>
      <c r="CU170" s="141">
        <f t="shared" ca="1" si="604"/>
        <v>0</v>
      </c>
      <c r="CV170" s="583">
        <f t="shared" ca="1" si="605"/>
        <v>0</v>
      </c>
      <c r="CW170" s="142">
        <f t="shared" ca="1" si="606"/>
        <v>166</v>
      </c>
      <c r="CX170" s="612" t="e">
        <f ca="1">IF(Control!$C$114=1,(MIN(Control!$C$120*(IF($NT170-0.01&lt;0,0,1)),Control!$C$119-$CY170)))</f>
        <v>#DIV/0!</v>
      </c>
      <c r="CY170" s="143" t="e">
        <f t="shared" ca="1" si="607"/>
        <v>#N/A</v>
      </c>
      <c r="CZ170" s="144">
        <f t="shared" ca="1" si="484"/>
        <v>0</v>
      </c>
      <c r="DA170" s="144">
        <f t="shared" ca="1" si="485"/>
        <v>0</v>
      </c>
      <c r="DB170" s="144" t="e">
        <f t="shared" ca="1" si="486"/>
        <v>#N/A</v>
      </c>
      <c r="DC170" s="144" t="e">
        <f t="shared" ca="1" si="487"/>
        <v>#N/A</v>
      </c>
      <c r="DD170" s="144" t="e">
        <f t="shared" ca="1" si="692"/>
        <v>#N/A</v>
      </c>
      <c r="DE170" s="143" t="e">
        <f t="shared" ca="1" si="608"/>
        <v>#N/A</v>
      </c>
      <c r="DF170" s="145" t="e">
        <f ca="1">$DR170*EXP(-Control!$C$158*(1-$KH170))</f>
        <v>#N/A</v>
      </c>
      <c r="DG170" s="146" t="e">
        <f ca="1">IF(Control!$C$114=1, $DF170*$EY170, 0)</f>
        <v>#N/A</v>
      </c>
      <c r="DH170" s="147" t="e">
        <f t="shared" ca="1" si="609"/>
        <v>#N/A</v>
      </c>
      <c r="DI170" s="144" t="e">
        <f t="shared" ca="1" si="670"/>
        <v>#N/A</v>
      </c>
      <c r="DJ170" s="147" t="e">
        <f ca="1">$EF170*Control!$C$109</f>
        <v>#N/A</v>
      </c>
      <c r="DK170" s="144" t="e">
        <f t="shared" ca="1" si="610"/>
        <v>#N/A</v>
      </c>
      <c r="DL170" s="144" t="e">
        <f t="shared" ca="1" si="488"/>
        <v>#N/A</v>
      </c>
      <c r="DM170" s="144" t="e">
        <f ca="1">IF(Control!$C$114=1, (1-EXP(-Control!$C$96*$DK170))*$AR170, 0)</f>
        <v>#N/A</v>
      </c>
      <c r="DN170" s="144">
        <f t="shared" ca="1" si="611"/>
        <v>0</v>
      </c>
      <c r="DO170" s="148">
        <f>Control!$C$97</f>
        <v>4</v>
      </c>
      <c r="DP170" s="145" t="e">
        <f t="shared" ca="1" si="612"/>
        <v>#N/A</v>
      </c>
      <c r="DQ170" s="145" t="e">
        <f ca="1">IF(AND($CP170&gt;=0,$CP170&lt;=90),Control!$C$111,Control!$C$111)</f>
        <v>#N/A</v>
      </c>
      <c r="DR170" s="145" t="e">
        <f t="shared" ca="1" si="489"/>
        <v>#N/A</v>
      </c>
      <c r="DS170" s="143" t="e">
        <f ca="1">Control!$B$22/$DR170</f>
        <v>#N/A</v>
      </c>
      <c r="DT170" s="149" t="e">
        <f ca="1">IF(AND(Control!$C$114=1,$KH170&lt;1),$IM170*$DF170, 0)</f>
        <v>#N/A</v>
      </c>
      <c r="DU170" s="144" t="e">
        <f t="shared" ca="1" si="613"/>
        <v>#N/A</v>
      </c>
      <c r="DV170" s="144">
        <f ca="1">IF($G170-Control!$C$107&lt;=0, 0, 0.83*LN(MAX($G170, 3))-0.8924)</f>
        <v>0</v>
      </c>
      <c r="DW170" s="144" t="e">
        <f t="shared" ca="1" si="490"/>
        <v>#N/A</v>
      </c>
      <c r="DX170" s="150" t="e">
        <f ca="1">MAX(0.01*(1+$CU170/Control!$C$102),0.05*($DK170-Control!$C$97)/Control!$C$97)</f>
        <v>#N/A</v>
      </c>
      <c r="DY170" s="151" t="e">
        <f ca="1">IF(Control!$C$114=1, $DI170*$FS170, 0)</f>
        <v>#N/A</v>
      </c>
      <c r="DZ170" s="196" t="e">
        <f t="shared" ca="1" si="614"/>
        <v>#N/A</v>
      </c>
      <c r="EA170" s="152">
        <f t="shared" ca="1" si="615"/>
        <v>166</v>
      </c>
      <c r="EB170" s="153" t="e">
        <f t="shared" ca="1" si="616"/>
        <v>#N/A</v>
      </c>
      <c r="EC170" s="153" t="e">
        <f t="shared" ca="1" si="617"/>
        <v>#N/A</v>
      </c>
      <c r="ED170" s="154" t="e">
        <f ca="1">IF(Control!$C$114=1, $HM170*$FY170-$FD170, 0)</f>
        <v>#DIV/0!</v>
      </c>
      <c r="EE170" s="155" t="e">
        <f ca="1">IF(Control!$C$114=1, $HM170*$FZ170-$FF170, 0)</f>
        <v>#DIV/0!</v>
      </c>
      <c r="EF170" s="153" t="e">
        <f t="shared" ca="1" si="671"/>
        <v>#N/A</v>
      </c>
      <c r="EG170" s="155" t="e">
        <f ca="1">IF(Control!$C$114=1, $GX170*$FW170-$FI170, 0)</f>
        <v>#DIV/0!</v>
      </c>
      <c r="EH170" s="153" t="e">
        <f t="shared" ca="1" si="618"/>
        <v>#N/A</v>
      </c>
      <c r="EI170" s="156" t="e">
        <f t="shared" ca="1" si="619"/>
        <v>#N/A</v>
      </c>
      <c r="EJ170" s="155" t="e">
        <f ca="1">IF(Control!$C$114=1, $HM170*$GB170, 0)</f>
        <v>#DIV/0!</v>
      </c>
      <c r="EK170" s="153" t="e">
        <f t="shared" ca="1" si="672"/>
        <v>#N/A</v>
      </c>
      <c r="EL170" s="153" t="e">
        <f ca="1">$EB170+$EF170+$EK170</f>
        <v>#N/A</v>
      </c>
      <c r="EM170" s="153" t="e">
        <f t="shared" ca="1" si="492"/>
        <v>#N/A</v>
      </c>
      <c r="EN170" s="153" t="e">
        <f ca="1">IF(Control!$C$108=1,IF(AND(Control!$B$18=1,$EB170&gt;=Control!$B$19),$EB170-$DS170,IF(AND(Control!$B$18=2,$AW170=1,$EB170&gt;$DS170),$EB170-$DS170,0)))</f>
        <v>#N/A</v>
      </c>
      <c r="EO170" s="153" t="e">
        <f ca="1">IF(Control!$C$108=1,IF(AND(Control!$B$18=1,$EB170&gt;=Control!$B$19),$EF170,IF(AND(Control!$B$18=2,$AW170=1),$EF170,0)))</f>
        <v>#N/A</v>
      </c>
      <c r="EP170" s="153" t="e">
        <f ca="1">IF(Control!$C$108=1,IF(AND(Control!$B$18=1,$EB170&gt;=Control!$B$19),$EK170,IF(AND(Control!$B$18=2,$AW170=1),$EK170,0)))</f>
        <v>#N/A</v>
      </c>
      <c r="EQ170" s="153" t="e">
        <f t="shared" ca="1" si="620"/>
        <v>#N/A</v>
      </c>
      <c r="ER170" s="153" t="e">
        <f t="shared" ca="1" si="621"/>
        <v>#N/A</v>
      </c>
      <c r="ES170" s="153" t="e">
        <f t="shared" ca="1" si="673"/>
        <v>#N/A</v>
      </c>
      <c r="ET170" s="153" t="e">
        <f t="shared" ca="1" si="674"/>
        <v>#N/A</v>
      </c>
      <c r="EU170" s="153" t="e">
        <f t="shared" ca="1" si="622"/>
        <v>#N/A</v>
      </c>
      <c r="EV170" s="153" t="e">
        <f t="shared" ca="1" si="493"/>
        <v>#N/A</v>
      </c>
      <c r="EW170" s="153" t="e">
        <f t="shared" ca="1" si="494"/>
        <v>#N/A</v>
      </c>
      <c r="EX170" s="153" t="e">
        <f t="shared" ca="1" si="495"/>
        <v>#N/A</v>
      </c>
      <c r="EY170" s="157" t="e">
        <f t="shared" ca="1" si="496"/>
        <v>#DIV/0!</v>
      </c>
      <c r="EZ170" s="154" t="e">
        <f t="shared" ca="1" si="497"/>
        <v>#DIV/0!</v>
      </c>
      <c r="FA170" s="153" t="e">
        <f t="shared" ca="1" si="623"/>
        <v>#N/A</v>
      </c>
      <c r="FB170" s="153" t="e">
        <f t="shared" ca="1" si="498"/>
        <v>#N/A</v>
      </c>
      <c r="FC170" s="193" t="e">
        <f t="shared" ca="1" si="499"/>
        <v>#N/A</v>
      </c>
      <c r="FD170" s="158" t="e">
        <f t="shared" ca="1" si="624"/>
        <v>#N/A</v>
      </c>
      <c r="FE170" s="158" t="e">
        <f t="shared" ca="1" si="625"/>
        <v>#N/A</v>
      </c>
      <c r="FF170" s="159" t="e">
        <f t="shared" ca="1" si="500"/>
        <v>#N/A</v>
      </c>
      <c r="FG170" s="160" t="e">
        <f t="shared" ca="1" si="626"/>
        <v>#N/A</v>
      </c>
      <c r="FH170" s="158" t="e">
        <f t="shared" ca="1" si="627"/>
        <v>#N/A</v>
      </c>
      <c r="FI170" s="159" t="e">
        <f t="shared" ca="1" si="501"/>
        <v>#N/A</v>
      </c>
      <c r="FJ170" s="160" t="e">
        <f t="shared" ca="1" si="628"/>
        <v>#N/A</v>
      </c>
      <c r="FK170" s="160" t="e">
        <f t="shared" ca="1" si="502"/>
        <v>#N/A</v>
      </c>
      <c r="FL170" s="160" t="e">
        <f t="shared" ca="1" si="675"/>
        <v>#N/A</v>
      </c>
      <c r="FM170" s="160" t="e">
        <f t="shared" ca="1" si="503"/>
        <v>#N/A</v>
      </c>
      <c r="FN170" s="158">
        <f t="shared" ca="1" si="629"/>
        <v>0.01</v>
      </c>
      <c r="FO170" s="160">
        <f>Control!$C$101</f>
        <v>50</v>
      </c>
      <c r="FP170" s="150" t="e">
        <f t="shared" ca="1" si="504"/>
        <v>#N/A</v>
      </c>
      <c r="FQ170" s="150" t="e">
        <f ca="1">MAX(0,(Control!$C$112*(($DK170-Control!$C$97)/Control!$C$97)))</f>
        <v>#N/A</v>
      </c>
      <c r="FR170" s="150" t="e">
        <f ca="1">(1-$NT170)*Control!$C$113</f>
        <v>#DIV/0!</v>
      </c>
      <c r="FS170" s="198" t="e">
        <f t="shared" ca="1" si="505"/>
        <v>#N/A</v>
      </c>
      <c r="FT170" s="161">
        <f t="shared" ca="1" si="630"/>
        <v>166</v>
      </c>
      <c r="FU170" s="162" t="e">
        <f ca="1">IF(Control!$B$34=1,VLOOKUP($CP170,Control!$B$86:$G$91,6),Control!$B$35)</f>
        <v>#N/A</v>
      </c>
      <c r="FV170" s="162" t="e">
        <f t="shared" ca="1" si="506"/>
        <v>#DIV/0!</v>
      </c>
      <c r="FW170" s="162" t="e">
        <f ca="1">IF(Control!$B$31=1,$FU170*$FV170,  $FU170)</f>
        <v>#N/A</v>
      </c>
      <c r="FX170" s="162" t="e">
        <f ca="1">IF(Control!$B$34=1,VLOOKUP($CP170,Control!$B$86:$G$91,3),Control!$B$36)</f>
        <v>#N/A</v>
      </c>
      <c r="FY170" s="162" t="e">
        <f t="shared" ca="1" si="507"/>
        <v>#N/A</v>
      </c>
      <c r="FZ170" s="162" t="e">
        <f ca="1">IF(Control!$B$34=1,VLOOKUP($CP170,Control!$B$86:$G$91,4),Control!$B$37)</f>
        <v>#N/A</v>
      </c>
      <c r="GA170" s="162" t="e">
        <f t="shared" ca="1" si="508"/>
        <v>#N/A</v>
      </c>
      <c r="GB170" s="162" t="e">
        <f ca="1">IF(Control!$B$34=1,VLOOKUP($CP170,Control!$B$86:$G$91,5),Control!$B$38)</f>
        <v>#N/A</v>
      </c>
      <c r="GC170" s="162" t="e">
        <f t="shared" ca="1" si="631"/>
        <v>#N/A</v>
      </c>
      <c r="GD170" s="162">
        <f t="shared" ca="1" si="509"/>
        <v>1</v>
      </c>
      <c r="GE170" s="162">
        <f t="shared" ca="1" si="510"/>
        <v>1</v>
      </c>
      <c r="GF170" s="162">
        <f ca="1">IF(AND(Control!$C$104=1, Control!$C$62="F"),$GE170,1)</f>
        <v>1</v>
      </c>
      <c r="GG170" s="162" t="e">
        <f ca="1">IF(Control!$B$16=40,0,IF(AND(Control!$B$16&gt;40,Control!$B$16&lt;=360),(Control!$B$16-40)*((1-0)/(360-40)),IF(AND(Control!$B$16&gt;360,Control!$B$16&lt;=720),(1+(Control!$B$16-360)*((1.25-1)/(720-360))),IF(AND(Control!$B$16&gt;720,Control!$B$16&lt;=1000),(1.25+(Control!$B$16-720)*((1.35-1.25)/(1000-720))),IF(AND(Control!$B$16&gt;1000,Control!$B$16&lt;=2000),(1.35+(Control!$B$16-1000)*0))))))</f>
        <v>#N/A</v>
      </c>
      <c r="GH170" s="162" t="e">
        <f t="shared" ca="1" si="511"/>
        <v>#N/A</v>
      </c>
      <c r="GI170" s="162">
        <f t="shared" ca="1" si="632"/>
        <v>0</v>
      </c>
      <c r="GJ170" s="162">
        <f t="shared" ca="1" si="512"/>
        <v>0</v>
      </c>
      <c r="GK170" s="162">
        <f t="shared" ca="1" si="633"/>
        <v>1</v>
      </c>
      <c r="GL170" s="162">
        <f t="shared" ca="1" si="513"/>
        <v>1</v>
      </c>
      <c r="GM170" s="162" t="e">
        <f ca="1">MAX(0,MIN(1,1-Control!$C$156*(1.0001-$KH170)^2))</f>
        <v>#N/A</v>
      </c>
      <c r="GN170" s="162" t="e">
        <f ca="1">IF(Control!$B$26=1,$KU170,$KX170)</f>
        <v>#N/A</v>
      </c>
      <c r="GO170" s="162" t="e">
        <f ca="1">IF($CP170&lt;=60,Control!$C$105,IF($CP170&gt;=90,Control!$C$106,Control!$C$105+($CP170-60)*((Control!$C$106-Control!$C$105)/(90-60))))</f>
        <v>#N/A</v>
      </c>
      <c r="GP170" s="162" t="e">
        <f t="shared" ca="1" si="514"/>
        <v>#N/A</v>
      </c>
      <c r="GQ170" s="162" t="e">
        <f t="shared" ca="1" si="634"/>
        <v>#N/A</v>
      </c>
      <c r="GR170" s="163" t="e">
        <f t="shared" ca="1" si="515"/>
        <v>#DIV/0!</v>
      </c>
      <c r="GS170" s="162" t="e">
        <f t="shared" ca="1" si="516"/>
        <v>#DIV/0!</v>
      </c>
      <c r="GT170" s="164" t="e">
        <f t="shared" ca="1" si="635"/>
        <v>#N/A</v>
      </c>
      <c r="GU170" s="162" t="e">
        <f t="shared" ca="1" si="636"/>
        <v>#N/A</v>
      </c>
      <c r="GV170" s="162" t="e">
        <f t="shared" ca="1" si="517"/>
        <v>#N/A</v>
      </c>
      <c r="GW170" s="162" t="e">
        <f t="shared" ca="1" si="518"/>
        <v>#DIV/0!</v>
      </c>
      <c r="GX170" s="162" t="e">
        <f t="shared" ca="1" si="637"/>
        <v>#DIV/0!</v>
      </c>
      <c r="GY170" s="162" t="e">
        <f t="shared" ca="1" si="638"/>
        <v>#DIV/0!</v>
      </c>
      <c r="GZ170" s="165" t="e">
        <f t="shared" ca="1" si="519"/>
        <v>#N/A</v>
      </c>
      <c r="HA170" s="162" t="e">
        <f ca="1">IF(Control!$C$114=1, $DI170*$FS170, 0)</f>
        <v>#N/A</v>
      </c>
      <c r="HB170" s="162" t="e">
        <f ca="1">$FA170/Control!$C$64</f>
        <v>#N/A</v>
      </c>
      <c r="HC170" s="162" t="e">
        <f t="shared" ca="1" si="520"/>
        <v>#DIV/0!</v>
      </c>
      <c r="HD170" s="162">
        <f ca="1">-ASIN(SIN(23.45*Control!$C$139)*COS(2*Control!$C$138*($AH170+10)/365))</f>
        <v>0.40657001519130925</v>
      </c>
      <c r="HE170" s="165">
        <f t="shared" ca="1" si="639"/>
        <v>0</v>
      </c>
      <c r="HF170" s="166">
        <f ca="1">IF(AND(Control!$C$61="T",$HE170&gt;=Control!$C$103,Control!$C$114=0),$AH170,Control!$C$59)</f>
        <v>1</v>
      </c>
      <c r="HG170" s="166">
        <f ca="1">IF(AND(Control!$C$61="T",$HE170&gt;=Control!$C$103,Control!$C$114=0),$HF170,Control!$C$59)</f>
        <v>1</v>
      </c>
      <c r="HH170" s="165">
        <f ca="1">IF(AND(OR(Control!$C$60&lt;=0, $AH170= Control!$C$59, Control!$C$60 &gt;0, $AH170 = Control!$C$60)), Control!$C$59, IF(Control!$C$60&gt;0, 0))</f>
        <v>1</v>
      </c>
      <c r="HI170" s="165">
        <f ca="1">IF(AND(OR(Control!$C$60&lt;=0, $AH170= Control!$C$59, Control!$C$60 &gt;0, $AH170 = Control!$C$60)), Control!$C$60, IF(Control!$C$60&lt;=0, 0))</f>
        <v>0</v>
      </c>
      <c r="HJ170" s="166">
        <f ca="1">IF(AND(Control!$C$62="F",$CV170&gt;=Control!$C$102),$AH170,0)</f>
        <v>0</v>
      </c>
      <c r="HK170" s="165" t="e">
        <f t="shared" ca="1" si="676"/>
        <v>#N/A</v>
      </c>
      <c r="HL170" s="166">
        <f ca="1">IF(AND(Control!$C$61="T",$HE170&gt;=Control!$C$103,Control!$C$114=0),$HF170,0)</f>
        <v>0</v>
      </c>
      <c r="HM170" s="201" t="e">
        <f t="shared" ca="1" si="521"/>
        <v>#DIV/0!</v>
      </c>
      <c r="HN170" s="215">
        <f t="shared" ca="1" si="640"/>
        <v>166</v>
      </c>
      <c r="HO170" s="216" t="e">
        <f ca="1">IF(AND($CP170&gt;=0, $CP170&lt;=90), Control!$C$152, Control!$C$152)</f>
        <v>#N/A</v>
      </c>
      <c r="HP170" s="216" t="e">
        <f t="shared" ca="1" si="522"/>
        <v>#N/A</v>
      </c>
      <c r="HQ170" s="217" t="e">
        <f ca="1">IF(OR(Control!$B$26=1,Control!$B$26=2),$KV170,$KS170)</f>
        <v>#DIV/0!</v>
      </c>
      <c r="HR170" s="218" t="e">
        <f t="shared" ca="1" si="677"/>
        <v>#DIV/0!</v>
      </c>
      <c r="HS170" s="216" t="e">
        <f ca="1">Control!$C$154*$HP170</f>
        <v>#N/A</v>
      </c>
      <c r="HT170" s="216" t="e">
        <f ca="1">Control!$C$155*$HP170</f>
        <v>#N/A</v>
      </c>
      <c r="HU170" s="217" t="e">
        <f ca="1">Control!$C$161*$FI170</f>
        <v>#N/A</v>
      </c>
      <c r="HV170" s="218" t="e">
        <f t="shared" ca="1" si="641"/>
        <v>#N/A</v>
      </c>
      <c r="HW170" s="218" t="e">
        <f ca="1">Control!$C$160*$FF170+$IP170*$EO170</f>
        <v>#N/A</v>
      </c>
      <c r="HX170" s="218" t="e">
        <f t="shared" ca="1" si="678"/>
        <v>#N/A</v>
      </c>
      <c r="HY170" s="219" t="e">
        <f ca="1">IF(Control!$C$114=1, $EB170*$FS170, 0)</f>
        <v>#N/A</v>
      </c>
      <c r="HZ170" s="91" t="e">
        <f t="shared" ca="1" si="523"/>
        <v>#N/A</v>
      </c>
      <c r="IA170" s="220" t="e">
        <f ca="1">Control!$C$153*$HO170</f>
        <v>#N/A</v>
      </c>
      <c r="IB170" s="218" t="e">
        <f t="shared" ca="1" si="524"/>
        <v>#N/A</v>
      </c>
      <c r="IC170" s="220" t="e">
        <f ca="1">Control!$C$153*$HT170</f>
        <v>#N/A</v>
      </c>
      <c r="ID170" s="218" t="e">
        <f t="shared" ca="1" si="525"/>
        <v>#N/A</v>
      </c>
      <c r="IE170" s="221" t="e">
        <f ca="1">($EB170*Control!$C$159+$EF170*Control!$C$160)/(IF($GZ170&lt;&gt;0,$GZ170,1))</f>
        <v>#N/A</v>
      </c>
      <c r="IF170" s="216" t="e">
        <f t="shared" ca="1" si="526"/>
        <v>#N/A</v>
      </c>
      <c r="IG170" s="91">
        <f ca="1">IF(OR(Control!$B$198=$AH170,Control!$B$199=$AH170, Control!$B$200=$AH170, Control!$B$201=$AH170, Control!$B$202=$AH170, Control!$B$203=$AH170, Control!$B$204=$AH170, Control!$B$205=$AH170, Control!$B$206=$AH170, Control!$B$207=$AH170), 1, 0)</f>
        <v>0</v>
      </c>
      <c r="IH170" s="91">
        <f ca="1">IF($IG170=0,0, VLOOKUP($AH170,Control!$B$198:$C$207,2))</f>
        <v>0</v>
      </c>
      <c r="II170" s="222">
        <f t="shared" ca="1" si="642"/>
        <v>0</v>
      </c>
      <c r="IJ170" s="91">
        <f>Control!$C$121</f>
        <v>0.7</v>
      </c>
      <c r="IK170" s="218">
        <f t="shared" ca="1" si="527"/>
        <v>0</v>
      </c>
      <c r="IL170" s="217" t="e">
        <f t="shared" ca="1" si="679"/>
        <v>#N/A</v>
      </c>
      <c r="IM170" s="223" t="e">
        <f ca="1">IF(AND(Control!$C$114=1,$KH170&lt;1),$EB170*Control!$C$148*(1-$KH170), 0)</f>
        <v>#N/A</v>
      </c>
      <c r="IN170" s="217" t="e">
        <f t="shared" ca="1" si="528"/>
        <v>#DIV/0!</v>
      </c>
      <c r="IO170" s="91" t="e">
        <f ca="1">MAX(0,$IL170-$EF170*Control!$C$160)</f>
        <v>#N/A</v>
      </c>
      <c r="IP170" s="220" t="e">
        <f t="shared" ca="1" si="529"/>
        <v>#N/A</v>
      </c>
      <c r="IQ170" s="217" t="e">
        <f t="shared" ca="1" si="643"/>
        <v>#N/A</v>
      </c>
      <c r="IR170" s="218" t="e">
        <f t="shared" ca="1" si="530"/>
        <v>#N/A</v>
      </c>
      <c r="IS170" s="217" t="e">
        <f ca="1">Control!$C$159*MAX(0,$FD170-$EN170)</f>
        <v>#N/A</v>
      </c>
      <c r="IT170" s="217" t="e">
        <f t="shared" ca="1" si="680"/>
        <v>#N/A</v>
      </c>
      <c r="IU170" s="217" t="e">
        <f t="shared" ca="1" si="644"/>
        <v>#N/A</v>
      </c>
      <c r="IV170" s="217" t="e">
        <f t="shared" ca="1" si="681"/>
        <v>#N/A</v>
      </c>
      <c r="IW170" s="217" t="e">
        <f ca="1">IF(OR($AW170=1,AND($AW170=0, Control!$B$18=1,$EN170&lt;&gt;0)), $IQ170-$IU170, $IQ170)</f>
        <v>#N/A</v>
      </c>
      <c r="IX170" s="218" t="e">
        <f t="shared" ca="1" si="531"/>
        <v>#N/A</v>
      </c>
      <c r="IY170" s="218" t="e">
        <f ca="1">MAX(0,$IQ170-$EB170*Control!$C$159)</f>
        <v>#N/A</v>
      </c>
      <c r="IZ170" s="218" t="e">
        <f t="shared" ca="1" si="532"/>
        <v>#N/A</v>
      </c>
      <c r="JA170" s="216" t="e">
        <f t="shared" ca="1" si="533"/>
        <v>#N/A</v>
      </c>
      <c r="JB170" s="217" t="e">
        <f t="shared" ca="1" si="534"/>
        <v>#N/A</v>
      </c>
      <c r="JC170" s="222" t="e">
        <f ca="1">MAX(Control!$C$157*$EK170-$JT170, 0)/Control!$C$162</f>
        <v>#N/A</v>
      </c>
      <c r="JD170" s="218" t="e">
        <f t="shared" ca="1" si="535"/>
        <v>#N/A</v>
      </c>
      <c r="JE170" s="218" t="e">
        <f t="shared" ca="1" si="536"/>
        <v>#N/A</v>
      </c>
      <c r="JF170" s="218" t="e">
        <f t="shared" ca="1" si="645"/>
        <v>#N/A</v>
      </c>
      <c r="JG170" s="218" t="e">
        <f t="shared" ca="1" si="537"/>
        <v>#N/A</v>
      </c>
      <c r="JH170" s="217" t="e">
        <f t="shared" ca="1" si="646"/>
        <v>#N/A</v>
      </c>
      <c r="JI170" s="217" t="e">
        <f t="shared" ca="1" si="647"/>
        <v>#N/A</v>
      </c>
      <c r="JJ170" s="217" t="e">
        <f t="shared" ca="1" si="682"/>
        <v>#N/A</v>
      </c>
      <c r="JK170" s="217" t="e">
        <f ca="1">IF(Control!$C$114=1,IF(Control!$B$24=0,MAX(0,$JI170)*$GN170/Control!$C$64,(MAX(0,MIN($JI170,$JJ170*$GN170/Control!$C$64),0))))</f>
        <v>#N/A</v>
      </c>
      <c r="JL170" s="217" t="e">
        <f ca="1">$IK170/Control!$C$64-$JK170+$HQ170</f>
        <v>#N/A</v>
      </c>
      <c r="JM170" s="217" t="e">
        <f ca="1">IF(Control!$C$114=1,($JB170/(IF($JI170&lt;&gt;0,$JI170,1)))*$JK170,0)</f>
        <v>#N/A</v>
      </c>
      <c r="JN170" s="217" t="e">
        <f ca="1">IF(Control!$C$114=1,($JG170/(IF($JI170&lt;&gt;0,$JI170,1)))*$JK170, 0)</f>
        <v>#N/A</v>
      </c>
      <c r="JO170" s="218" t="e">
        <f t="shared" ca="1" si="538"/>
        <v>#N/A</v>
      </c>
      <c r="JP170" s="218" t="e">
        <f ca="1">MIN(($IY170+$IO170)*Control!$C$151, $JF170-$EH170*Control!$C$161)</f>
        <v>#N/A</v>
      </c>
      <c r="JQ170" s="218" t="e">
        <f t="shared" ca="1" si="539"/>
        <v>#N/A</v>
      </c>
      <c r="JR170" s="217" t="e">
        <f ca="1">IF($CP170-Control!$C$150&lt;0, 0, $JQ170/Control!$C$162)</f>
        <v>#N/A</v>
      </c>
      <c r="JS170" s="218" t="e">
        <f t="shared" ca="1" si="540"/>
        <v>#N/A</v>
      </c>
      <c r="JT170" s="218" t="e">
        <f t="shared" ca="1" si="648"/>
        <v>#N/A</v>
      </c>
      <c r="JU170" s="218" t="e">
        <f t="shared" ca="1" si="541"/>
        <v>#N/A</v>
      </c>
      <c r="JV170" s="218" t="e">
        <f t="shared" ca="1" si="542"/>
        <v>#N/A</v>
      </c>
      <c r="JW170" s="216" t="e">
        <f t="shared" ca="1" si="543"/>
        <v>#N/A</v>
      </c>
      <c r="JX170" s="91" t="e">
        <f t="shared" ca="1" si="544"/>
        <v>#N/A</v>
      </c>
      <c r="JY170" s="218" t="e">
        <f t="shared" ca="1" si="545"/>
        <v>#N/A</v>
      </c>
      <c r="JZ170" s="217" t="e">
        <f ca="1">IF(Control!$C$114=1,($IZ170/(IF($JI170&lt;&gt;0,$JI170,1)))*$JK170, 0)</f>
        <v>#N/A</v>
      </c>
      <c r="KA170" s="218" t="e">
        <f t="shared" ca="1" si="683"/>
        <v>#N/A</v>
      </c>
      <c r="KB170" s="218" t="e">
        <f t="shared" ca="1" si="649"/>
        <v>#N/A</v>
      </c>
      <c r="KC170" s="218" t="e">
        <f t="shared" ca="1" si="546"/>
        <v>#N/A</v>
      </c>
      <c r="KD170" s="218" t="e">
        <f t="shared" ca="1" si="547"/>
        <v>#N/A</v>
      </c>
      <c r="KE170" s="218" t="e">
        <f t="shared" ca="1" si="548"/>
        <v>#N/A</v>
      </c>
      <c r="KF170" s="218" t="e">
        <f t="shared" ca="1" si="549"/>
        <v>#N/A</v>
      </c>
      <c r="KG170" s="216" t="e">
        <f t="shared" ca="1" si="550"/>
        <v>#N/A</v>
      </c>
      <c r="KH170" s="221" t="e">
        <f ca="1">IF(Control!$B$24=0,1,MAX(0.001,MIN(1,IF(($IF170-$IE170)&lt;&gt;0,($KG170-$IE170)/($IF170-$IE170),1))))</f>
        <v>#N/A</v>
      </c>
      <c r="KI170" s="222" t="e">
        <f ca="1">IF(Control!$C$114=1, $KI169+ $KH169, 0)</f>
        <v>#N/A</v>
      </c>
      <c r="KJ170" s="217" t="e">
        <f t="shared" ca="1" si="551"/>
        <v>#N/A</v>
      </c>
      <c r="KK170" s="218" t="e">
        <f t="shared" ca="1" si="552"/>
        <v>#N/A</v>
      </c>
      <c r="KL170" s="274" t="e">
        <f ca="1">IF(Control!$B$26=3,4000000000*EXP(-8400/($G170+273)),IF(Control!$B$26=4,4000000000*EXP(-8400/($G170+273))*($KT170),0))</f>
        <v>#DIV/0!</v>
      </c>
      <c r="KM170" s="274" t="e">
        <f ca="1">IF(Control!$B$26=3,5600000000000*EXP(-9800/($G170+273)),IF(Control!$B$26=4,5600000000000*EXP(-9800/($G170+273))*$KT170,0))</f>
        <v>#DIV/0!</v>
      </c>
      <c r="KN170" s="454" t="e">
        <f t="shared" ca="1" si="650"/>
        <v>#DIV/0!</v>
      </c>
      <c r="KO170" s="274" t="e">
        <f t="shared" ca="1" si="651"/>
        <v>#DIV/0!</v>
      </c>
      <c r="KP170" s="454" t="e">
        <f t="shared" ca="1" si="553"/>
        <v>#DIV/0!</v>
      </c>
      <c r="KQ170" s="454" t="e">
        <f t="shared" ca="1" si="554"/>
        <v>#DIV/0!</v>
      </c>
      <c r="KR170" s="454" t="e">
        <f t="shared" ca="1" si="555"/>
        <v>#DIV/0!</v>
      </c>
      <c r="KS170" s="454" t="e">
        <f t="shared" ca="1" si="556"/>
        <v>#DIV/0!</v>
      </c>
      <c r="KT170" s="455" t="e">
        <f t="shared" ca="1" si="557"/>
        <v>#DIV/0!</v>
      </c>
      <c r="KU170" s="456" t="e">
        <f ca="1">IF($CP170-Control!$C$149&lt;0, IF($NT170-0.01&lt;0,0,1),0)</f>
        <v>#N/A</v>
      </c>
      <c r="KV170" s="456" t="e">
        <f ca="1">IF(Control!$C$114=1,MAX(0,MIN(Control!$C$125*$KW170*$GN170,$KW170)))</f>
        <v>#DIV/0!</v>
      </c>
      <c r="KW170" s="456" t="e">
        <f t="shared" ca="1" si="684"/>
        <v>#DIV/0!</v>
      </c>
      <c r="KX170" s="457" t="e">
        <f ca="1">IF($CP170-Control!$C$149&lt;0, IF($MR170-$OM170&lt;0,0,1),0)</f>
        <v>#N/A</v>
      </c>
      <c r="KY170" s="167">
        <f t="shared" ca="1" si="652"/>
        <v>166</v>
      </c>
      <c r="KZ170" s="168">
        <f ca="1">1370*(1+0.033*COS(2*Control!$C$138*$AH170/365))</f>
        <v>1326.6013584429509</v>
      </c>
      <c r="LA170" s="169">
        <f t="shared" ca="1" si="653"/>
        <v>0.96832222124122846</v>
      </c>
      <c r="LB170" s="169">
        <f t="shared" ca="1" si="654"/>
        <v>0.40682235358018931</v>
      </c>
      <c r="LC170" s="169">
        <f ca="1">ACOS(-TAN((2*Control!$B$8/360))*TAN(Calculations!$LB170))</f>
        <v>1.6992013809887134</v>
      </c>
      <c r="LD170" s="169">
        <f ca="1">((24*60)/PI())*0.082*$LA170*(($LC170*SIN(Control!$B$8*2*PI()/360))*SIN($LB170)+COS(Control!$B$8*2*PI()/360)*COS($LB170)*SIN($LC170))</f>
        <v>39.692327966544397</v>
      </c>
      <c r="LE170" s="170">
        <f t="shared" ca="1" si="558"/>
        <v>41.372583259865785</v>
      </c>
      <c r="LF170" s="170">
        <f ca="1">SIN(Control!$C$139*Control!$B$8)*SIN($HD170)</f>
        <v>0.31162825711271624</v>
      </c>
      <c r="LG170" s="170">
        <f ca="1">COS(Control!$C$139*Control!$B$8)*COS($HD170)</f>
        <v>0.56547284680970888</v>
      </c>
      <c r="LH170" s="170">
        <f ca="1">12*(1+2*ASIN(MAX(-1,MIN(1,$LF170/$LG170))/Control!$C$138))</f>
        <v>16.231928369243967</v>
      </c>
      <c r="LI170" s="170">
        <f ca="1">12*(1+2*ASIN(MAX(-1,MIN(1,(-SIN(-4*Control!$C$139)+$LF170)/$LG170))/Control!$C$138))</f>
        <v>17.19285273496493</v>
      </c>
      <c r="LJ170" s="168">
        <f ca="1">3600*($LH170*$LF170+24*$LG170*SQRT(1-$LK170*$LK170)/Control!$C$138)</f>
        <v>31186.899513223263</v>
      </c>
      <c r="LK170" s="170">
        <f t="shared" ca="1" si="559"/>
        <v>0.55109322909289826</v>
      </c>
      <c r="LL170" s="170">
        <f t="shared" ca="1" si="560"/>
        <v>0</v>
      </c>
      <c r="LM170" s="171">
        <f ca="1">Control!$C$145*$AB170</f>
        <v>6.6660906138995932E-2</v>
      </c>
      <c r="LN170" s="170">
        <f t="shared" ca="1" si="655"/>
        <v>0.54</v>
      </c>
      <c r="LO170" s="170">
        <f t="shared" ca="1" si="561"/>
        <v>0</v>
      </c>
      <c r="LP170" s="170">
        <f ca="1">Control!$C$140*((($D170+273.16)^4+($E170+273.16)^4)/2)*(0.34-0.14*SQRT($Y170))*(1.35*$AQ170/(0.75*$LD170)-0.35)</f>
        <v>-3.2464704755046001</v>
      </c>
      <c r="LQ170" s="170">
        <f ca="1">Control!$C$140*($G170+273)^4*(0.56-0.079*SQRT($Y170*10))*(0.1+0.9*$LO170)</f>
        <v>1.5241745131704001</v>
      </c>
      <c r="LR170" s="170">
        <f ca="1">$AQ170*(1-Control!$C$142)-$LQ170</f>
        <v>-1.5241745131704001</v>
      </c>
      <c r="LS170" s="170">
        <f ca="1">$AQ170*(1-Control!$C$143)-$LQ170</f>
        <v>-1.5241745131704001</v>
      </c>
      <c r="LT170" s="170">
        <f ca="1">$AQ170*(1-Control!$C$144)-$LQ170</f>
        <v>-1.5241745131704001</v>
      </c>
      <c r="LU170" s="169">
        <f ca="1">(1-Control!$C$144)*AQ170-LP170</f>
        <v>3.2464704755046001</v>
      </c>
      <c r="LV170" s="172">
        <f t="shared" ca="1" si="562"/>
        <v>0.79430000000000012</v>
      </c>
      <c r="LW170" s="170">
        <f t="shared" ca="1" si="563"/>
        <v>1.5886000000000002</v>
      </c>
      <c r="LX170" s="170">
        <f ca="1">($AC170*($LR170/Control!$C$141)+$LM170*$LV170)/($AC170+$LM170)</f>
        <v>0.23530094218323697</v>
      </c>
      <c r="LY170" s="170">
        <f ca="1">($AC170*($LS170/Control!$C$141)+$LM170*$LV170)/($AC170+$LM170)</f>
        <v>0.23530094218323697</v>
      </c>
      <c r="LZ170" s="170">
        <f t="shared" ca="1" si="564"/>
        <v>0.23530094218323697</v>
      </c>
      <c r="MA170" s="170">
        <f t="shared" ca="1" si="565"/>
        <v>0.23530094218323697</v>
      </c>
      <c r="MB170" s="170" t="e">
        <f t="shared" ca="1" si="566"/>
        <v>#N/A</v>
      </c>
      <c r="MC170" s="170">
        <f t="shared" ca="1" si="656"/>
        <v>0.6018</v>
      </c>
      <c r="MD170" s="170">
        <f t="shared" ca="1" si="567"/>
        <v>0.52989392535414004</v>
      </c>
      <c r="ME170" s="170">
        <f ca="1">($AC170*($LT170/Control!$C$141)+$LM170*$LW170)/($AC170+$LM170)</f>
        <v>0.71612369323045078</v>
      </c>
      <c r="MF170" s="170" t="e">
        <f ca="1">IF(Control!$B$16&gt;=1000,0.92,IF(AND(720&lt;=Control!$B$16,1000&gt;Control!$B$16),(0.95+(Control!$B$16-720)*((0.92-0.95)/(1000-720))),IF(AND(360&lt;=Control!$B$16,720&gt;Control!$B$16),(1+(Control!$B$16-360)*((0.95-1)/(720-360))),IF(AND(40&lt;=Control!$B$16,360&gt;Control!$B$16),(1.05+(Control!$B$16-40)*((1.05-1)/(360-40)))))))</f>
        <v>#N/A</v>
      </c>
      <c r="MG170" s="170">
        <f t="shared" ca="1" si="568"/>
        <v>0.71612369323045078</v>
      </c>
      <c r="MH170" s="170" t="e">
        <f t="shared" ca="1" si="694"/>
        <v>#N/A</v>
      </c>
      <c r="MI170" s="170" t="e">
        <f t="shared" ca="1" si="694"/>
        <v>#N/A</v>
      </c>
      <c r="MJ170" s="170" t="e">
        <f ca="1">MAX(0.0001, Control!$C$132*$MI170*$DL170)</f>
        <v>#N/A</v>
      </c>
      <c r="MK170" s="170">
        <f ca="1">1/(0.76+1.5*($MG170/10))-(5-Control!$C$110)*0.1</f>
        <v>1.002845988140797</v>
      </c>
      <c r="ML170" s="173">
        <f ca="1">IF(Control!$C$110&lt;3,$MK170+($MG170-0.6)/(Control!$C$110*(Control!$C$110+3)), MAX(0.1, MIN(0.95,$MK170)))</f>
        <v>0.95</v>
      </c>
      <c r="MM170" s="173">
        <f ca="1">IF(Control!$C$110&lt;3,$MK170+(($MI170/10)-0.6)/(Control!$C$110*(Control!$C$110+3)), MAX(0.1, MIN(0.95,$MK170)))</f>
        <v>0.95</v>
      </c>
      <c r="MN170" s="173">
        <f ca="1">(1-$MM170)*(Control!$C$128-Control!$C$127)+Control!$C$127</f>
        <v>0.16</v>
      </c>
      <c r="MO170" s="170" t="e">
        <f ca="1">MAX(0,MIN(1,($MS170-Control!$C$127)/($MN170-Control!$C$127)))</f>
        <v>#DIV/0!</v>
      </c>
      <c r="MP170" s="173" t="e">
        <f ca="1">1/(0.76+1.5*$MI170)-(5-Control!$C$110)*0.1</f>
        <v>#N/A</v>
      </c>
      <c r="MQ170" s="172" t="e">
        <f t="shared" ca="1" si="685"/>
        <v>#DIV/0!</v>
      </c>
      <c r="MR170" s="168" t="e">
        <f t="shared" ca="1" si="657"/>
        <v>#DIV/0!</v>
      </c>
      <c r="MS170" s="173" t="e">
        <f ca="1">MAX(Control!$C$127, MIN(Control!$C$135, $MR170/MAX(0.0001,$CY170)))</f>
        <v>#DIV/0!</v>
      </c>
      <c r="MT170" s="168" t="e">
        <f ca="1">(Control!$C$128-$MS170)*Control!$C$74</f>
        <v>#DIV/0!</v>
      </c>
      <c r="MU170" s="168" t="e">
        <f ca="1">(Control!$C$135-$MS170)*Control!$C$74</f>
        <v>#DIV/0!</v>
      </c>
      <c r="MV170" s="168" t="e">
        <f t="shared" ca="1" si="658"/>
        <v>#DIV/0!</v>
      </c>
      <c r="MW170" s="168" t="e">
        <f t="shared" ca="1" si="659"/>
        <v>#DIV/0!</v>
      </c>
      <c r="MX170" s="171" t="e">
        <f ca="1">MAX(Control!$C$127, MIN(Control!$C$135, $MW170/MAX(0.0001,Control!$C$119-$CY170)))</f>
        <v>#DIV/0!</v>
      </c>
      <c r="MY170" s="54" t="e">
        <f ca="1">IF(Control!$C$114=1, $CX170*$MX170, 0)</f>
        <v>#DIV/0!</v>
      </c>
      <c r="MZ170" s="54" t="e">
        <f t="shared" ca="1" si="660"/>
        <v>#N/A</v>
      </c>
      <c r="NA170" s="168" t="e">
        <f ca="1">(Control!$C$128-$MX170)*(Control!$C$119-Control!$C$74)</f>
        <v>#DIV/0!</v>
      </c>
      <c r="NB170" s="168" t="e">
        <f ca="1">(Control!$C$135-$MX170)*(Control!$C$119-Control!$C$74)</f>
        <v>#DIV/0!</v>
      </c>
      <c r="NC170" s="174" t="e">
        <f t="shared" ca="1" si="661"/>
        <v>#DIV/0!</v>
      </c>
      <c r="ND170" s="54">
        <f ca="1">IF(Control!$C$58=2, IF(OR(Control!$B$218=$AH170,Control!$B$219=$AH170, Control!$B$220=$AH170, Control!$B$221=$AH170, Control!$B$222=$AH170, Control!$B$223=$AH170, Control!$B$224=$AH170, Control!$B$225=$AH170, Control!$B$226=$AH170, Control!$B$227=$AH170, Control!$B$228=$AH170), 1, 0), 0)</f>
        <v>0</v>
      </c>
      <c r="NE170" s="54">
        <f ca="1">IF($ND170=0,0, VLOOKUP($AH170,Control!$B$218:$C$228,2))</f>
        <v>0</v>
      </c>
      <c r="NF170" s="168" t="e">
        <f ca="1">$CY170*(Control!$C$128-Control!$C$127)</f>
        <v>#N/A</v>
      </c>
      <c r="NG170" s="54" t="e">
        <f ca="1">IF(Control!$C$58=2, $NI169-$NJ169, 0)</f>
        <v>#DIV/0!</v>
      </c>
      <c r="NH170" s="54" t="e">
        <f ca="1">IF(AND(Control!$C$58=1, $MS169&lt;= ($MN169+0.02), $I169&lt;10), 0, IF(Control!$C$58=2, $NG169, 0))</f>
        <v>#DIV/0!</v>
      </c>
      <c r="NI170" s="54" t="e">
        <f ca="1">IF(Control!$C$58=2, $NE170+$NH170,0)</f>
        <v>#DIV/0!</v>
      </c>
      <c r="NJ170" s="54" t="e">
        <f ca="1">IF(AND(Control!$C$58=1, $MS170&lt;= ($MN170+0.02), $I170&lt;10), MAX(0, MIN(10, 0.7*($NF170-$MV170))), IF(Control!$C$58=2, MIN(10,$NI170),0))</f>
        <v>#DIV/0!</v>
      </c>
      <c r="NK170" s="54" t="e">
        <f t="shared" ca="1" si="569"/>
        <v>#DIV/0!</v>
      </c>
      <c r="NL170" s="173" t="e">
        <f ca="1">(1-Control!$C$73)*$I170+$NJ170</f>
        <v>#DIV/0!</v>
      </c>
      <c r="NM170" s="172" t="e">
        <f ca="1">IF($NL170&lt;0.5, $MB170* MAX(0, MIN(1, (SQRT($NC170)-SQRT($NC170-1))*Control!$C$71)),0)</f>
        <v>#DIV/0!</v>
      </c>
      <c r="NN170" s="170" t="e">
        <f ca="1">IF($NL170&gt;=5, $MB170, MAX(0,MIN($MB170, $NM170+$NL170,($MS170-Control!$C$129))))</f>
        <v>#DIV/0!</v>
      </c>
      <c r="NO170" s="54">
        <f>IF(Control!$C$133&lt;&gt;1, Control!$C$135-Control!$C$131, 0)</f>
        <v>0.38</v>
      </c>
      <c r="NP170" s="54" t="e">
        <f t="shared" ca="1" si="570"/>
        <v>#DIV/0!</v>
      </c>
      <c r="NQ170" s="173" t="e">
        <f ca="1">MAX(0,MIN(1,(Control!$C$135-$MS170)/(Control!$C$135-$NO170)))</f>
        <v>#DIV/0!</v>
      </c>
      <c r="NR170" s="170" t="e">
        <f ca="1">IF(Control!$C$133&lt;&gt;1, $NQ170+((1-$NP170/4)*(1-$NQ170)),1)</f>
        <v>#DIV/0!</v>
      </c>
      <c r="NS170" s="170" t="e">
        <f ca="1">IF(Control!$B$31=0,$MJ170,MAX(0,MIN($MV170,$MO170*$NR170*$MJ170)))</f>
        <v>#DIV/0!</v>
      </c>
      <c r="NT170" s="170" t="e">
        <f t="shared" ca="1" si="686"/>
        <v>#DIV/0!</v>
      </c>
      <c r="NU170" s="170" t="e">
        <f t="shared" ca="1" si="662"/>
        <v>#N/A</v>
      </c>
      <c r="NV170" s="170" t="e">
        <f t="shared" ca="1" si="571"/>
        <v>#N/A</v>
      </c>
      <c r="NW170" s="175" t="e">
        <f t="shared" ca="1" si="572"/>
        <v>#DIV/0!</v>
      </c>
      <c r="NX170" s="170" t="e">
        <f ca="1">MIN(Control!$C$72+$MU170, $NW170)</f>
        <v>#DIV/0!</v>
      </c>
      <c r="NY170" s="170" t="e">
        <f ca="1">IF($MT170&lt;=$NX170,MIN(Control!$C$72+$NB170,$NX170-$MT170),0)</f>
        <v>#DIV/0!</v>
      </c>
      <c r="NZ170" s="54" t="e">
        <f ca="1">IF(Control!$C$114=1,  $CX170*($MX170-Control!$C$127), 0)</f>
        <v>#DIV/0!</v>
      </c>
      <c r="OA170" s="170" t="e">
        <f t="shared" ca="1" si="573"/>
        <v>#DIV/0!</v>
      </c>
      <c r="OB170" s="170" t="e">
        <f ca="1">IF($NA170 &lt;=$NY170, MIN(Control!$C$72, $NY170-$NA170), 0)</f>
        <v>#DIV/0!</v>
      </c>
      <c r="OC170" s="168" t="e">
        <f t="shared" ca="1" si="574"/>
        <v>#DIV/0!</v>
      </c>
      <c r="OD170" s="168" t="e">
        <f t="shared" ca="1" si="663"/>
        <v>#DIV/0!</v>
      </c>
      <c r="OE170" s="170">
        <f ca="1">Control!$C$73*$I170</f>
        <v>0</v>
      </c>
      <c r="OF170" s="176" t="e">
        <f t="shared" ca="1" si="575"/>
        <v>#DIV/0!</v>
      </c>
      <c r="OG170" s="168" t="e">
        <f t="shared" ca="1" si="576"/>
        <v>#DIV/0!</v>
      </c>
      <c r="OH170" s="168" t="e">
        <f t="shared" ca="1" si="577"/>
        <v>#DIV/0!</v>
      </c>
      <c r="OI170" s="168" t="e">
        <f t="shared" ca="1" si="578"/>
        <v>#DIV/0!</v>
      </c>
      <c r="OJ170" s="168" t="e">
        <f t="shared" ca="1" si="579"/>
        <v>#DIV/0!</v>
      </c>
      <c r="OK170" s="204" t="e">
        <f t="shared" ca="1" si="580"/>
        <v>#DIV/0!</v>
      </c>
      <c r="OL170" s="177">
        <f>Control!$C$127</f>
        <v>0.15</v>
      </c>
      <c r="OM170" s="182" t="e">
        <f t="shared" ca="1" si="581"/>
        <v>#N/A</v>
      </c>
      <c r="ON170" s="177">
        <f>Control!$C$128</f>
        <v>0.35</v>
      </c>
      <c r="OO170" s="182" t="e">
        <f t="shared" ca="1" si="582"/>
        <v>#N/A</v>
      </c>
      <c r="OP170" s="138">
        <f t="shared" ca="1" si="664"/>
        <v>0</v>
      </c>
      <c r="OQ170" s="138" t="e">
        <f t="shared" ca="1" si="687"/>
        <v>#DIV/0!</v>
      </c>
      <c r="OR170" s="138" t="e">
        <f t="shared" ca="1" si="665"/>
        <v>#DIV/0!</v>
      </c>
      <c r="OS170" s="137" t="e">
        <f t="shared" ca="1" si="688"/>
        <v>#DIV/0!</v>
      </c>
      <c r="OT170" s="139" t="e">
        <f t="shared" ca="1" si="689"/>
        <v>#DIV/0!</v>
      </c>
      <c r="OU170" s="138" t="e">
        <f t="shared" ca="1" si="690"/>
        <v>#N/A</v>
      </c>
      <c r="OV170" s="138" t="e">
        <f t="shared" ca="1" si="691"/>
        <v>#DIV/0!</v>
      </c>
      <c r="OW170" s="138" t="e">
        <f t="shared" ca="1" si="666"/>
        <v>#DIV/0!</v>
      </c>
      <c r="OX170" s="138" t="e">
        <f t="shared" ca="1" si="667"/>
        <v>#DIV/0!</v>
      </c>
      <c r="OY170" s="138" t="e">
        <f t="shared" ca="1" si="668"/>
        <v>#DIV/0!</v>
      </c>
      <c r="OZ170" s="138" t="e">
        <f t="shared" ca="1" si="583"/>
        <v>#DIV/0!</v>
      </c>
      <c r="PA170" s="138" t="e">
        <f t="shared" ca="1" si="584"/>
        <v>#DIV/0!</v>
      </c>
      <c r="PB170" s="55">
        <f>IF(Control!$C$61="T", IF(Control!$C$65="F", IF($AH$6-Control!$C$60&lt;0,0,1), IF(365+$AH$6-Control!$C$60&lt;0,0,1)),0)</f>
        <v>0</v>
      </c>
      <c r="PC170" s="55">
        <f ca="1">IF(Control!$C$65="F", IF($AH$6-$HF170&lt;0,0,1), IF(365+$AH$6-$HF170&lt;0,0,1))</f>
        <v>1</v>
      </c>
      <c r="PD170" s="444">
        <f>Control!$C$118</f>
        <v>1500</v>
      </c>
      <c r="PE170" s="180" t="e">
        <f t="shared" ca="1" si="585"/>
        <v>#N/A</v>
      </c>
      <c r="PF170" s="445">
        <f t="shared" ca="1" si="669"/>
        <v>0.71612369323045078</v>
      </c>
      <c r="PT170" s="186"/>
      <c r="PU170" s="186"/>
      <c r="PV170" s="94"/>
      <c r="PW170" s="94"/>
      <c r="PX170" s="94"/>
      <c r="PY170" s="94"/>
      <c r="PZ170" s="94"/>
      <c r="QA170" s="94"/>
      <c r="QB170" s="94"/>
      <c r="QC170" s="94"/>
      <c r="QD170" s="94"/>
      <c r="QE170" s="94"/>
      <c r="QF170" s="94"/>
      <c r="QG170" s="94"/>
      <c r="QH170" s="94"/>
      <c r="QI170" s="94"/>
      <c r="QJ170" s="94"/>
      <c r="QK170" s="94"/>
      <c r="QL170" s="94"/>
      <c r="QM170" s="94"/>
      <c r="QN170" s="94"/>
      <c r="QO170" s="94"/>
      <c r="QP170" s="94"/>
    </row>
    <row r="171" spans="1:458" s="2" customFormat="1" x14ac:dyDescent="0.2">
      <c r="A171" s="395">
        <v>15</v>
      </c>
      <c r="B171" s="396">
        <v>6</v>
      </c>
      <c r="C171" s="387">
        <f ca="1">Weather_data!$B170</f>
        <v>0</v>
      </c>
      <c r="D171" s="388">
        <f ca="1">Weather_data!$F170</f>
        <v>0</v>
      </c>
      <c r="E171" s="388">
        <f ca="1">Weather_data!$E170</f>
        <v>0</v>
      </c>
      <c r="F171" s="388">
        <f t="shared" ca="1" si="586"/>
        <v>0</v>
      </c>
      <c r="G171" s="388">
        <f ca="1">AVERAGE($D171:$E171)+Control!$B$9</f>
        <v>0</v>
      </c>
      <c r="H171" s="388">
        <f ca="1">Weather_data!$G170</f>
        <v>0</v>
      </c>
      <c r="I171" s="388">
        <f ca="1">Weather_data!$I170</f>
        <v>0</v>
      </c>
      <c r="J171" s="388">
        <f ca="1">Weather_data!$H170</f>
        <v>0</v>
      </c>
      <c r="K171" s="389">
        <f ca="1">Weather_data!$D170</f>
        <v>0</v>
      </c>
      <c r="L171" s="388" t="e">
        <f t="shared" ca="1" si="587"/>
        <v>#N/A</v>
      </c>
      <c r="M171" s="388" t="e">
        <f t="shared" ca="1" si="465"/>
        <v>#N/A</v>
      </c>
      <c r="N171" s="388">
        <f t="shared" ca="1" si="466"/>
        <v>-1.4092370798741841E-8</v>
      </c>
      <c r="O171" s="388">
        <f t="shared" ca="1" si="588"/>
        <v>1.4092370798741841E-7</v>
      </c>
      <c r="P171" s="390">
        <v>3</v>
      </c>
      <c r="Q171" s="388">
        <f ca="1">MAX($G171-Control!$C$107,0)</f>
        <v>0</v>
      </c>
      <c r="R171" s="388">
        <f t="shared" ca="1" si="589"/>
        <v>0</v>
      </c>
      <c r="S171" s="388">
        <f t="shared" ca="1" si="467"/>
        <v>0</v>
      </c>
      <c r="T171" s="388">
        <f t="shared" ca="1" si="468"/>
        <v>0</v>
      </c>
      <c r="U171" s="59">
        <f t="shared" ca="1" si="469"/>
        <v>0</v>
      </c>
      <c r="V171" s="391">
        <f ca="1">MAX(0,MIN(Control!$C$100-Control!$C$99,$G171-Control!$C$99)*Control!$C$63)</f>
        <v>0</v>
      </c>
      <c r="W171" s="388">
        <f t="shared" ca="1" si="590"/>
        <v>0</v>
      </c>
      <c r="X171" s="388">
        <f t="shared" ca="1" si="591"/>
        <v>0.6110000000000001</v>
      </c>
      <c r="Y171" s="388">
        <f t="shared" ca="1" si="470"/>
        <v>0</v>
      </c>
      <c r="Z171" s="388">
        <f t="shared" ca="1" si="592"/>
        <v>0.61058800000000002</v>
      </c>
      <c r="AA171" s="388">
        <f t="shared" ca="1" si="471"/>
        <v>0.6018</v>
      </c>
      <c r="AB171" s="388">
        <f ca="1">101.3*EXP(-0.034*Control!$C$66/($G171+273))</f>
        <v>100.69623283836242</v>
      </c>
      <c r="AC171" s="392">
        <f t="shared" ca="1" si="472"/>
        <v>4.3460251046025113E-2</v>
      </c>
      <c r="AD171" s="392">
        <f t="shared" ca="1" si="473"/>
        <v>4.4450382862832649E-2</v>
      </c>
      <c r="AE171" s="388">
        <f t="shared" ca="1" si="474"/>
        <v>0</v>
      </c>
      <c r="AF171" s="388">
        <f ca="1">MAX(0,$G171-Control!$C$92)</f>
        <v>0</v>
      </c>
      <c r="AG171" s="393">
        <f t="shared" ca="1" si="475"/>
        <v>167</v>
      </c>
      <c r="AH171" s="389">
        <f t="shared" ca="1" si="476"/>
        <v>167</v>
      </c>
      <c r="AI171" s="388">
        <f t="shared" ca="1" si="593"/>
        <v>0.40733905296140688</v>
      </c>
      <c r="AJ171" s="388">
        <f ca="1">IF(Control!$C$60&lt;=0,$HH171,$HI171)</f>
        <v>1</v>
      </c>
      <c r="AK171" s="388">
        <f t="shared" ca="1" si="477"/>
        <v>1.4976359499304766</v>
      </c>
      <c r="AL171" s="388">
        <f t="shared" ca="1" si="478"/>
        <v>5.2294748392744952E-18</v>
      </c>
      <c r="AM171" s="388">
        <f t="shared" ca="1" si="479"/>
        <v>1.4976359499304766</v>
      </c>
      <c r="AN171" s="388">
        <f t="shared" ca="1" si="480"/>
        <v>0.40795814901942296</v>
      </c>
      <c r="AO171" s="388">
        <f ca="1">-0.10453/COS(Control!$B$8*PI()/180)*COS(AN171)</f>
        <v>-0.15585109773730293</v>
      </c>
      <c r="AP171" s="388">
        <f ca="1">ACOS(AO171-TAN(Control!$B$8*PI()/180)*TAN(AN171))</f>
        <v>2.3589453853221616</v>
      </c>
      <c r="AQ171" s="388">
        <f t="shared" ca="1" si="594"/>
        <v>0</v>
      </c>
      <c r="AR171" s="394">
        <f t="shared" ca="1" si="481"/>
        <v>0</v>
      </c>
      <c r="AS171" s="436">
        <f ca="1">IF(Control!$B$18=2,(IF(OR($AH171=Control!$B$175,$AH171=Control!$B$176,$AH171=Control!$B$177,$AH171=Control!$B$178,$AH171=Control!$B$179,$AH171=Control!$B$180,$AH171=Control!$B$181,$AH171=Control!$B$182,$AH171=Control!$B$183,$AH171=Control!$B$184,$AH171=Control!$B$185),1,0)),0)</f>
        <v>0</v>
      </c>
      <c r="AT171" s="436">
        <f>IF(Control!$B$20=8,IF(AND($AH171&gt;=Control!$B$172,$AH171&lt;=Control!$B$173),1,0),0)</f>
        <v>0</v>
      </c>
      <c r="AU171" s="436">
        <f>IF(Control!$B$20=8,IF($AV170=1,1*$AT171,IF($AT171=1,$AU170+1,$AU170)),0)</f>
        <v>0</v>
      </c>
      <c r="AV171" s="436">
        <f>IF(Control!$B$20=8,IF($AU171&gt;=Control!$B$174,1,0),0)</f>
        <v>0</v>
      </c>
      <c r="AW171" s="436">
        <f ca="1">IF(AND(Control!$B$18=2,Control!$B$171=1), $AV171, $AS171)</f>
        <v>0</v>
      </c>
      <c r="AX171" s="436" t="e">
        <f ca="1">IF(AND(Control!$B$18=1,$EU171&gt;=Control!$B$19),-$AY171,IF(AND(Control!$B$18=2,$AW171=1,$EU171&gt;$DS171),-$AY171, IF(Control!$C$108=0,0, IF(Control!$C$108&lt;&gt;0,1))))</f>
        <v>#N/A</v>
      </c>
      <c r="AY171" s="436" t="e">
        <f t="shared" ca="1" si="595"/>
        <v>#N/A</v>
      </c>
      <c r="AZ171" s="436" t="e">
        <f ca="1">IF(AND(Control!$B$18=1,$EB171&gt;Control!$B$19),$AZ170+1, IF(AND(Control!$B$18=2, $AW171=1, $EB171&gt;$DS171), $AZ170+1,$AZ170))</f>
        <v>#N/A</v>
      </c>
      <c r="BA171" s="587">
        <f>IF(Control!$C$81=0,1,IF($AH171&gt;=Control!$C$82,1,0))</f>
        <v>1</v>
      </c>
      <c r="BB171" s="140" t="e">
        <f ca="1">IF($BA171&gt;$BA170,Control!$C$83,IF($AW171&gt;0,$AW171*Control!$C$84,IF(AND(Control!$B$18=1,EN170&lt;&gt;0),Control!$C$84,0)))</f>
        <v>#N/A</v>
      </c>
      <c r="BC171" s="140" t="e">
        <f t="shared" ca="1" si="596"/>
        <v>#N/A</v>
      </c>
      <c r="BD171" s="140" t="e">
        <f ca="1">BC171*IF(OR($G171&lt;Control!$C$92,$G171&gt;Control!$C$95),0,IF(AND($G171&gt;=Control!$C$92,$G171&lt;=Control!$C$93),$G171-Control!$C$92,IF(AND($G171&gt;Control!$C$93,$G171&lt;=Control!$C$94),Control!$C$93-Control!$C$92,IF(AND($G171&gt;Control!$C$94,$G171&lt;=Control!$C$95),(Control!$C$93-Control!$C$92)*(Control!$C$94-$G171)/(Control!$C$95-Control!$C$94)))))</f>
        <v>#N/A</v>
      </c>
      <c r="BE171" s="140" t="e">
        <f t="shared" ca="1" si="597"/>
        <v>#N/A</v>
      </c>
      <c r="BF171" s="140" t="e">
        <f ca="1">IF($BE171&lt;=Control!$C$86,$BE171,Control!$C$86-$BE171)</f>
        <v>#N/A</v>
      </c>
      <c r="BG171" s="140" t="e">
        <f ca="1">IF(AND($AW171=1,Control!$C$84&lt;9),1,IF($BE171&gt;=Control!$C$86,0,$BC171))</f>
        <v>#N/A</v>
      </c>
      <c r="BH171" s="404" t="e">
        <f ca="1">IF($BG171=0,0,IF($BE171&lt;=Control!$C$86,$BC171*9*($BF171/Control!$C$86),0))</f>
        <v>#N/A</v>
      </c>
      <c r="BI171" s="140" t="e">
        <f ca="1">IF($BG171=1,0,IF($BE171&gt;=Control!$C$86,1,IF(AND($BB171&lt;21,$BB171&gt;=9),1,$BM170)))</f>
        <v>#N/A</v>
      </c>
      <c r="BJ171" s="140" t="e">
        <f ca="1">IF($BF171&lt;0,-$BF171,$BI171*IF(OR($G171&lt;Control!$C$92,$G171&gt;Control!$C$95),0,IF(AND($G171&gt;=Control!$C$92,$G171&lt;=Control!$C$93),$G171-Control!$C$92,IF(AND($G171&gt;Control!$C$93,$G171&lt;=Control!$C$94),Control!$C$93-Control!$C$92,IF(AND($G171&gt;Control!$C$94,$G171&lt;=Control!$C$95),(Control!$C$93-Control!$C$92)*(Control!$C$94-$G171)/(Control!$C$95-Control!$C$94))))))</f>
        <v>#N/A</v>
      </c>
      <c r="BK171" s="140" t="e">
        <f t="shared" ca="1" si="598"/>
        <v>#N/A</v>
      </c>
      <c r="BL171" s="140" t="e">
        <f ca="1">IF($BK171&lt;=Control!$C$87,$BK171,Control!$C$87-$BK171)</f>
        <v>#N/A</v>
      </c>
      <c r="BM171" s="140" t="e">
        <f ca="1">IF(AND($BB171&gt;=9,$BB171&lt;21),1,IF($BK171&gt;=Control!$C$87,0,$BI171))</f>
        <v>#N/A</v>
      </c>
      <c r="BN171" s="404" t="e">
        <f ca="1">IF($BM171=0,0,IF($BK171&lt;=Control!$C$87,$BI171*(9+(21-9)*($BL171/Control!$C$87)),0))</f>
        <v>#N/A</v>
      </c>
      <c r="BO171" s="140" t="e">
        <f ca="1">IF($BM171=1,0,IF($BK171&gt;=Control!$C$87,1,IF(AND($BB171&lt;30,$BB171&gt;=21),1,$BS170)))</f>
        <v>#N/A</v>
      </c>
      <c r="BP171" s="140" t="e">
        <f ca="1">IF($BL171&lt;0,-$BL171,$BO171*IF(OR($G171&lt;Control!$C$92,$G171&gt;Control!$C$95),0,IF(AND($G171&gt;=Control!$C$92,$G171&lt;=Control!$C$93),$G171-Control!$C$92,IF(AND($G171&gt;Control!$C$93,$G171&lt;=Control!$C$94),Control!$C$93-Control!$C$92,IF(AND($G171&gt;Control!$C$94,$G171&lt;=Control!$C$95),(Control!$C$93-Control!$C$92)*(Control!$C$94-$G171)/(Control!$C$95-Control!$C$94))))))</f>
        <v>#N/A</v>
      </c>
      <c r="BQ171" s="140" t="e">
        <f t="shared" ca="1" si="482"/>
        <v>#N/A</v>
      </c>
      <c r="BR171" s="140" t="e">
        <f ca="1">IF($BQ171&lt;=Control!$C$88,$BQ171,Control!$C$88-$BQ171)</f>
        <v>#N/A</v>
      </c>
      <c r="BS171" s="140" t="e">
        <f ca="1">IF(AND($BB171&gt;=21,$BB171&lt;30),1,IF($BQ171&gt;=Control!$C$88,0,$BO171))</f>
        <v>#N/A</v>
      </c>
      <c r="BT171" s="404" t="e">
        <f ca="1">IF($BS171=0,0,IF($BQ171&lt;=Control!$C$88,$BO171*(21+(30-21)*(BR171/Control!$C$88)),0))</f>
        <v>#N/A</v>
      </c>
      <c r="BU171" s="140" t="e">
        <f ca="1">IF(BG171+BM171+BS171=1,0,IF(OR(AND($BB171&lt;60,$BB171&gt;=30),$BQ171&gt;=Control!$C$88),1*$BA171,$BY170))</f>
        <v>#N/A</v>
      </c>
      <c r="BV171" s="140" t="e">
        <f ca="1">IF($BR171&lt;0,-$BR171,$BU171*IF(OR($G171&lt;Control!$C$92,$G171&gt;Control!$C$95),0,IF(AND($G171&gt;=Control!$C$92,$G171&lt;=Control!$C$93),$G171-Control!$C$92,IF(AND($G171&gt;Control!$C$93,$G171&lt;=Control!$C$94),Control!$C$93-Control!$C$92,IF(AND($G171&gt;Control!$C$94,$G171&lt;=Control!$C$95),(Control!$C$93-Control!$C$92)*(Control!$C$94-$G171)/(Control!$C$95-Control!$C$94))))))</f>
        <v>#N/A</v>
      </c>
      <c r="BW171" s="140" t="e">
        <f t="shared" ca="1" si="483"/>
        <v>#N/A</v>
      </c>
      <c r="BX171" s="140" t="e">
        <f ca="1">IF($BW171&lt;=Control!$C$89,$BW171,Control!$C$89-$BW171)</f>
        <v>#N/A</v>
      </c>
      <c r="BY171" s="140" t="e">
        <f ca="1">IF(AND($AJ171&gt;=30,$AJ171&lt;60),1,IF($BW171&gt;=Control!$C$89,0,$BU171))</f>
        <v>#N/A</v>
      </c>
      <c r="BZ171" s="404" t="e">
        <f ca="1">IF($BY171=0,0,IF($BW171&lt;=Control!$C$89,$BU171*(30+(60-30)*(BX171/Control!$C$89)),0))</f>
        <v>#N/A</v>
      </c>
      <c r="CA171" s="140" t="e">
        <f ca="1">IF($BG171+$BM171+$BS171+$BY171=1,0,IF(OR(AND($BB171&lt;65,$BB171&gt;=60),$BW171&gt;=Control!$C$89),1*$BA171,$CE170))</f>
        <v>#N/A</v>
      </c>
      <c r="CB171" s="140" t="e">
        <f ca="1">IF($BX171&lt;0,-$BX171,$CA171*IF(OR($G171&lt;Control!$C$92,$G171&gt;Control!$C$95),0,IF(AND($G171&gt;=Control!$C$92,$G171&lt;=Control!$C$93),$G171-Control!$C$92,IF(AND($G171&gt;Control!$C$93,$G171&lt;=Control!$C$94),Control!$C$93-Control!$C$92,IF(AND($G171&gt;Control!$C$94,$G171&lt;=Control!$C$95),(Control!$C$93-Control!$C$92)*(Control!$C$94-$G171)/(Control!$C$95-Control!$C$94))))))</f>
        <v>#N/A</v>
      </c>
      <c r="CC171" s="140" t="e">
        <f t="shared" ca="1" si="599"/>
        <v>#N/A</v>
      </c>
      <c r="CD171" s="140" t="e">
        <f ca="1">IF($CC171&lt;=Control!$C$90,$CC171,Control!$C$90-$CC171)</f>
        <v>#N/A</v>
      </c>
      <c r="CE171" s="140" t="e">
        <f ca="1">IF(AND($BB171&gt;=60,$BB171&lt;65),1,IF($CC171&gt;=Control!$C$90,0,$CA171))</f>
        <v>#N/A</v>
      </c>
      <c r="CF171" s="404" t="e">
        <f ca="1">IF($CE171=0,0,IF($CC171&lt;=Control!$C$90,$CA171*(60+(65-60)*(CD171/Control!$C$90)),0))</f>
        <v>#N/A</v>
      </c>
      <c r="CG171" s="140" t="e">
        <f ca="1">IF($BG171+$BM171+$BS171+$BY171+$CE171=1,0,IF(OR(AND($BB171&lt;90,$BB171&gt;=65),$CC171&gt;=Control!$C$90),$BA171,$CK170))</f>
        <v>#N/A</v>
      </c>
      <c r="CH171" s="140" t="e">
        <f ca="1">IF($CD171&lt;0,-$CD171,$CG171*IF(OR($G171&lt;Control!$C$92,$G171&gt;Control!$C$95),0,IF(AND($G171&gt;=Control!$C$92,$G171&lt;=Control!$C$93),$G171-Control!$C$92,IF(AND($G171&gt;Control!$C$93,$G171&lt;=Control!$C$94),Control!$C$93-Control!$C$92,IF(AND($G171&gt;Control!$C$94,$G171&lt;=Control!$C$95),(Control!$C$93-Control!$C$92)*(Control!$C$94-$G171)/(Control!$C$95-Control!$C$94))))))</f>
        <v>#N/A</v>
      </c>
      <c r="CI171" s="140" t="e">
        <f t="shared" ca="1" si="600"/>
        <v>#N/A</v>
      </c>
      <c r="CJ171" s="140" t="e">
        <f ca="1">IF($CI171&lt;=Control!$C$91,$CI171,Control!$C$91-$CI171)</f>
        <v>#N/A</v>
      </c>
      <c r="CK171" s="140" t="e">
        <f ca="1">IF(AND($BB171&gt;=65,$BB171&lt;90),1,IF($CI171&gt;=Control!$C$91,0,$CG171))</f>
        <v>#N/A</v>
      </c>
      <c r="CL171" s="404" t="e">
        <f ca="1">IF($CK171=0,0,IF($CI171&lt;=Control!$C$91,$CG171*(65+(90-65)*($CJ171/Control!$C$91)),0))</f>
        <v>#N/A</v>
      </c>
      <c r="CM171" s="140" t="e">
        <f ca="1">IF($BG171+$BM171+$BS171+$BY171+$CE171+$CK171=1,0,IF(OR($BB171&gt;=90,$CI171&gt;=Control!$C$91),$BA171,$CM170))</f>
        <v>#N/A</v>
      </c>
      <c r="CN171" s="140" t="e">
        <f t="shared" ca="1" si="601"/>
        <v>#N/A</v>
      </c>
      <c r="CO171" s="140" t="e">
        <f t="shared" ca="1" si="602"/>
        <v>#N/A</v>
      </c>
      <c r="CP171" s="140" t="e">
        <f t="shared" ca="1" si="603"/>
        <v>#N/A</v>
      </c>
      <c r="CQ171" s="141" t="e">
        <f ca="1">VLOOKUP($CP171,Control!$B$86:$G$91,6)</f>
        <v>#N/A</v>
      </c>
      <c r="CR171" s="141" t="e">
        <f ca="1">(1-$CQ171)*VLOOKUP($CP171,Control!$B$86:$D$91,3)</f>
        <v>#N/A</v>
      </c>
      <c r="CS171" s="141" t="e">
        <f ca="1">(1-$CQ171)*VLOOKUP($CP171,Control!$B$86:$E$91,4)</f>
        <v>#N/A</v>
      </c>
      <c r="CT171" s="141" t="e">
        <f ca="1">(1-$CQ171)*VLOOKUP($CP171,Control!$B$86:$F$91,5)</f>
        <v>#N/A</v>
      </c>
      <c r="CU171" s="141">
        <f t="shared" ca="1" si="604"/>
        <v>0</v>
      </c>
      <c r="CV171" s="583">
        <f t="shared" ca="1" si="605"/>
        <v>0</v>
      </c>
      <c r="CW171" s="142">
        <f t="shared" ca="1" si="606"/>
        <v>167</v>
      </c>
      <c r="CX171" s="612" t="e">
        <f ca="1">IF(Control!$C$114=1,(MIN(Control!$C$120*(IF($NT171-0.01&lt;0,0,1)),Control!$C$119-$CY171)))</f>
        <v>#DIV/0!</v>
      </c>
      <c r="CY171" s="143" t="e">
        <f t="shared" ca="1" si="607"/>
        <v>#N/A</v>
      </c>
      <c r="CZ171" s="144">
        <f t="shared" ca="1" si="484"/>
        <v>0</v>
      </c>
      <c r="DA171" s="144">
        <f t="shared" ca="1" si="485"/>
        <v>0</v>
      </c>
      <c r="DB171" s="144" t="e">
        <f t="shared" ca="1" si="486"/>
        <v>#N/A</v>
      </c>
      <c r="DC171" s="144" t="e">
        <f t="shared" ca="1" si="487"/>
        <v>#N/A</v>
      </c>
      <c r="DD171" s="144" t="e">
        <f t="shared" ca="1" si="692"/>
        <v>#N/A</v>
      </c>
      <c r="DE171" s="143" t="e">
        <f t="shared" ca="1" si="608"/>
        <v>#N/A</v>
      </c>
      <c r="DF171" s="145" t="e">
        <f ca="1">$DR171*EXP(-Control!$C$158*(1-$KH171))</f>
        <v>#N/A</v>
      </c>
      <c r="DG171" s="146" t="e">
        <f ca="1">IF(Control!$C$114=1, $DF171*$EY171, 0)</f>
        <v>#N/A</v>
      </c>
      <c r="DH171" s="147" t="e">
        <f t="shared" ca="1" si="609"/>
        <v>#N/A</v>
      </c>
      <c r="DI171" s="144" t="e">
        <f t="shared" ca="1" si="670"/>
        <v>#N/A</v>
      </c>
      <c r="DJ171" s="147" t="e">
        <f ca="1">$EF171*Control!$C$109</f>
        <v>#N/A</v>
      </c>
      <c r="DK171" s="144" t="e">
        <f t="shared" ca="1" si="610"/>
        <v>#N/A</v>
      </c>
      <c r="DL171" s="144" t="e">
        <f t="shared" ca="1" si="488"/>
        <v>#N/A</v>
      </c>
      <c r="DM171" s="144" t="e">
        <f ca="1">IF(Control!$C$114=1, (1-EXP(-Control!$C$96*$DK171))*$AR171, 0)</f>
        <v>#N/A</v>
      </c>
      <c r="DN171" s="144">
        <f t="shared" ca="1" si="611"/>
        <v>0</v>
      </c>
      <c r="DO171" s="148">
        <f>Control!$C$97</f>
        <v>4</v>
      </c>
      <c r="DP171" s="145" t="e">
        <f t="shared" ca="1" si="612"/>
        <v>#N/A</v>
      </c>
      <c r="DQ171" s="145" t="e">
        <f ca="1">IF(AND($CP171&gt;=0,$CP171&lt;=90),Control!$C$111,Control!$C$111)</f>
        <v>#N/A</v>
      </c>
      <c r="DR171" s="145" t="e">
        <f t="shared" ca="1" si="489"/>
        <v>#N/A</v>
      </c>
      <c r="DS171" s="143" t="e">
        <f ca="1">Control!$B$22/$DR171</f>
        <v>#N/A</v>
      </c>
      <c r="DT171" s="149" t="e">
        <f ca="1">IF(AND(Control!$C$114=1,$KH171&lt;1),$IM171*$DF171, 0)</f>
        <v>#N/A</v>
      </c>
      <c r="DU171" s="144" t="e">
        <f t="shared" ca="1" si="613"/>
        <v>#N/A</v>
      </c>
      <c r="DV171" s="144">
        <f ca="1">IF($G171-Control!$C$107&lt;=0, 0, 0.83*LN(MAX($G171, 3))-0.8924)</f>
        <v>0</v>
      </c>
      <c r="DW171" s="144" t="e">
        <f t="shared" ca="1" si="490"/>
        <v>#N/A</v>
      </c>
      <c r="DX171" s="150" t="e">
        <f ca="1">MAX(0.01*(1+$CU171/Control!$C$102),0.05*($DK171-Control!$C$97)/Control!$C$97)</f>
        <v>#N/A</v>
      </c>
      <c r="DY171" s="151" t="e">
        <f ca="1">IF(Control!$C$114=1, $DI171*$FS171, 0)</f>
        <v>#N/A</v>
      </c>
      <c r="DZ171" s="196" t="e">
        <f t="shared" ca="1" si="614"/>
        <v>#N/A</v>
      </c>
      <c r="EA171" s="152">
        <f t="shared" ca="1" si="615"/>
        <v>167</v>
      </c>
      <c r="EB171" s="153" t="e">
        <f t="shared" ca="1" si="616"/>
        <v>#N/A</v>
      </c>
      <c r="EC171" s="153" t="e">
        <f t="shared" ca="1" si="617"/>
        <v>#N/A</v>
      </c>
      <c r="ED171" s="154" t="e">
        <f ca="1">IF(Control!$C$114=1, $HM171*$FY171-$FD171, 0)</f>
        <v>#DIV/0!</v>
      </c>
      <c r="EE171" s="155" t="e">
        <f ca="1">IF(Control!$C$114=1, $HM171*$FZ171-$FF171, 0)</f>
        <v>#DIV/0!</v>
      </c>
      <c r="EF171" s="153" t="e">
        <f t="shared" ca="1" si="671"/>
        <v>#N/A</v>
      </c>
      <c r="EG171" s="155" t="e">
        <f ca="1">IF(Control!$C$114=1, $GX171*$FW171-$FI171, 0)</f>
        <v>#DIV/0!</v>
      </c>
      <c r="EH171" s="153" t="e">
        <f t="shared" ca="1" si="618"/>
        <v>#N/A</v>
      </c>
      <c r="EI171" s="156" t="e">
        <f t="shared" ca="1" si="619"/>
        <v>#N/A</v>
      </c>
      <c r="EJ171" s="155" t="e">
        <f ca="1">IF(Control!$C$114=1, $HM171*$GB171, 0)</f>
        <v>#DIV/0!</v>
      </c>
      <c r="EK171" s="153" t="e">
        <f t="shared" ca="1" si="672"/>
        <v>#N/A</v>
      </c>
      <c r="EL171" s="153" t="e">
        <f t="shared" ca="1" si="491"/>
        <v>#N/A</v>
      </c>
      <c r="EM171" s="153" t="e">
        <f t="shared" ca="1" si="492"/>
        <v>#N/A</v>
      </c>
      <c r="EN171" s="153" t="e">
        <f ca="1">IF(Control!$C$108=1,IF(AND(Control!$B$18=1,$EB171&gt;=Control!$B$19),$EB171-$DS171,IF(AND(Control!$B$18=2,$AW171=1,$EB171&gt;$DS171),$EB171-$DS171,0)))</f>
        <v>#N/A</v>
      </c>
      <c r="EO171" s="153" t="e">
        <f ca="1">IF(Control!$C$108=1,IF(AND(Control!$B$18=1,$EB171&gt;=Control!$B$19),$EF171,IF(AND(Control!$B$18=2,$AW171=1),$EF171,0)))</f>
        <v>#N/A</v>
      </c>
      <c r="EP171" s="153" t="e">
        <f ca="1">IF(Control!$C$108=1,IF(AND(Control!$B$18=1,$EB171&gt;=Control!$B$19),$EK171,IF(AND(Control!$B$18=2,$AW171=1),$EK171,0)))</f>
        <v>#N/A</v>
      </c>
      <c r="EQ171" s="153" t="e">
        <f t="shared" ca="1" si="620"/>
        <v>#N/A</v>
      </c>
      <c r="ER171" s="153" t="e">
        <f t="shared" ca="1" si="621"/>
        <v>#N/A</v>
      </c>
      <c r="ES171" s="153" t="e">
        <f t="shared" ca="1" si="673"/>
        <v>#N/A</v>
      </c>
      <c r="ET171" s="153" t="e">
        <f t="shared" ca="1" si="674"/>
        <v>#N/A</v>
      </c>
      <c r="EU171" s="153" t="e">
        <f t="shared" ca="1" si="622"/>
        <v>#N/A</v>
      </c>
      <c r="EV171" s="153" t="e">
        <f t="shared" ca="1" si="493"/>
        <v>#N/A</v>
      </c>
      <c r="EW171" s="153" t="e">
        <f t="shared" ca="1" si="494"/>
        <v>#N/A</v>
      </c>
      <c r="EX171" s="153" t="e">
        <f t="shared" ca="1" si="495"/>
        <v>#N/A</v>
      </c>
      <c r="EY171" s="157" t="e">
        <f t="shared" ca="1" si="496"/>
        <v>#DIV/0!</v>
      </c>
      <c r="EZ171" s="154" t="e">
        <f t="shared" ca="1" si="497"/>
        <v>#DIV/0!</v>
      </c>
      <c r="FA171" s="153" t="e">
        <f t="shared" ca="1" si="623"/>
        <v>#N/A</v>
      </c>
      <c r="FB171" s="153" t="e">
        <f t="shared" ca="1" si="498"/>
        <v>#N/A</v>
      </c>
      <c r="FC171" s="193" t="e">
        <f t="shared" ca="1" si="499"/>
        <v>#N/A</v>
      </c>
      <c r="FD171" s="158" t="e">
        <f t="shared" ca="1" si="624"/>
        <v>#N/A</v>
      </c>
      <c r="FE171" s="158" t="e">
        <f t="shared" ca="1" si="625"/>
        <v>#N/A</v>
      </c>
      <c r="FF171" s="159" t="e">
        <f t="shared" ca="1" si="500"/>
        <v>#N/A</v>
      </c>
      <c r="FG171" s="160" t="e">
        <f t="shared" ca="1" si="626"/>
        <v>#N/A</v>
      </c>
      <c r="FH171" s="158" t="e">
        <f t="shared" ca="1" si="627"/>
        <v>#N/A</v>
      </c>
      <c r="FI171" s="159" t="e">
        <f t="shared" ca="1" si="501"/>
        <v>#N/A</v>
      </c>
      <c r="FJ171" s="160" t="e">
        <f t="shared" ca="1" si="628"/>
        <v>#N/A</v>
      </c>
      <c r="FK171" s="160" t="e">
        <f t="shared" ca="1" si="502"/>
        <v>#N/A</v>
      </c>
      <c r="FL171" s="160" t="e">
        <f t="shared" ca="1" si="675"/>
        <v>#N/A</v>
      </c>
      <c r="FM171" s="160" t="e">
        <f t="shared" ca="1" si="503"/>
        <v>#N/A</v>
      </c>
      <c r="FN171" s="158">
        <f t="shared" ca="1" si="629"/>
        <v>0.01</v>
      </c>
      <c r="FO171" s="160">
        <f>Control!$C$101</f>
        <v>50</v>
      </c>
      <c r="FP171" s="150" t="e">
        <f t="shared" ca="1" si="504"/>
        <v>#N/A</v>
      </c>
      <c r="FQ171" s="150" t="e">
        <f ca="1">MAX(0,(Control!$C$112*(($DK171-Control!$C$97)/Control!$C$97)))</f>
        <v>#N/A</v>
      </c>
      <c r="FR171" s="150" t="e">
        <f ca="1">(1-$NT171)*Control!$C$113</f>
        <v>#DIV/0!</v>
      </c>
      <c r="FS171" s="198" t="e">
        <f t="shared" ca="1" si="505"/>
        <v>#N/A</v>
      </c>
      <c r="FT171" s="161">
        <f t="shared" ca="1" si="630"/>
        <v>167</v>
      </c>
      <c r="FU171" s="162" t="e">
        <f ca="1">IF(Control!$B$34=1,VLOOKUP($CP171,Control!$B$86:$G$91,6),Control!$B$35)</f>
        <v>#N/A</v>
      </c>
      <c r="FV171" s="162" t="e">
        <f t="shared" ca="1" si="506"/>
        <v>#DIV/0!</v>
      </c>
      <c r="FW171" s="162" t="e">
        <f ca="1">IF(Control!$B$31=1,$FU171*$FV171,  $FU171)</f>
        <v>#N/A</v>
      </c>
      <c r="FX171" s="162" t="e">
        <f ca="1">IF(Control!$B$34=1,VLOOKUP($CP171,Control!$B$86:$G$91,3),Control!$B$36)</f>
        <v>#N/A</v>
      </c>
      <c r="FY171" s="162" t="e">
        <f t="shared" ca="1" si="507"/>
        <v>#N/A</v>
      </c>
      <c r="FZ171" s="162" t="e">
        <f ca="1">IF(Control!$B$34=1,VLOOKUP($CP171,Control!$B$86:$G$91,4),Control!$B$37)</f>
        <v>#N/A</v>
      </c>
      <c r="GA171" s="162" t="e">
        <f t="shared" ca="1" si="508"/>
        <v>#N/A</v>
      </c>
      <c r="GB171" s="162" t="e">
        <f ca="1">IF(Control!$B$34=1,VLOOKUP($CP171,Control!$B$86:$G$91,5),Control!$B$38)</f>
        <v>#N/A</v>
      </c>
      <c r="GC171" s="162" t="e">
        <f t="shared" ca="1" si="631"/>
        <v>#N/A</v>
      </c>
      <c r="GD171" s="162">
        <f t="shared" ca="1" si="509"/>
        <v>1</v>
      </c>
      <c r="GE171" s="162">
        <f t="shared" ca="1" si="510"/>
        <v>1</v>
      </c>
      <c r="GF171" s="162">
        <f ca="1">IF(AND(Control!$C$104=1, Control!$C$62="F"),$GE171,1)</f>
        <v>1</v>
      </c>
      <c r="GG171" s="162" t="e">
        <f ca="1">IF(Control!$B$16=40,0,IF(AND(Control!$B$16&gt;40,Control!$B$16&lt;=360),(Control!$B$16-40)*((1-0)/(360-40)),IF(AND(Control!$B$16&gt;360,Control!$B$16&lt;=720),(1+(Control!$B$16-360)*((1.25-1)/(720-360))),IF(AND(Control!$B$16&gt;720,Control!$B$16&lt;=1000),(1.25+(Control!$B$16-720)*((1.35-1.25)/(1000-720))),IF(AND(Control!$B$16&gt;1000,Control!$B$16&lt;=2000),(1.35+(Control!$B$16-1000)*0))))))</f>
        <v>#N/A</v>
      </c>
      <c r="GH171" s="162" t="e">
        <f t="shared" ca="1" si="511"/>
        <v>#N/A</v>
      </c>
      <c r="GI171" s="162">
        <f t="shared" ca="1" si="632"/>
        <v>0</v>
      </c>
      <c r="GJ171" s="162">
        <f t="shared" ca="1" si="512"/>
        <v>0</v>
      </c>
      <c r="GK171" s="162">
        <f t="shared" ca="1" si="633"/>
        <v>1</v>
      </c>
      <c r="GL171" s="162">
        <f t="shared" ca="1" si="513"/>
        <v>1</v>
      </c>
      <c r="GM171" s="162" t="e">
        <f ca="1">MAX(0,MIN(1,1-Control!$C$156*(1.0001-$KH171)^2))</f>
        <v>#N/A</v>
      </c>
      <c r="GN171" s="162" t="e">
        <f ca="1">IF(Control!$B$26=1,$KU171,$KX171)</f>
        <v>#N/A</v>
      </c>
      <c r="GO171" s="162" t="e">
        <f ca="1">IF($CP171&lt;=60,Control!$C$105,IF($CP171&gt;=90,Control!$C$106,Control!$C$105+($CP171-60)*((Control!$C$106-Control!$C$105)/(90-60))))</f>
        <v>#N/A</v>
      </c>
      <c r="GP171" s="162" t="e">
        <f t="shared" ca="1" si="514"/>
        <v>#N/A</v>
      </c>
      <c r="GQ171" s="162" t="e">
        <f t="shared" ca="1" si="634"/>
        <v>#N/A</v>
      </c>
      <c r="GR171" s="163" t="e">
        <f t="shared" ca="1" si="515"/>
        <v>#DIV/0!</v>
      </c>
      <c r="GS171" s="162" t="e">
        <f t="shared" ca="1" si="516"/>
        <v>#DIV/0!</v>
      </c>
      <c r="GT171" s="164" t="e">
        <f t="shared" ca="1" si="635"/>
        <v>#N/A</v>
      </c>
      <c r="GU171" s="162" t="e">
        <f t="shared" ca="1" si="636"/>
        <v>#N/A</v>
      </c>
      <c r="GV171" s="162" t="e">
        <f t="shared" ca="1" si="517"/>
        <v>#N/A</v>
      </c>
      <c r="GW171" s="162" t="e">
        <f t="shared" ca="1" si="518"/>
        <v>#DIV/0!</v>
      </c>
      <c r="GX171" s="162" t="e">
        <f t="shared" ca="1" si="637"/>
        <v>#DIV/0!</v>
      </c>
      <c r="GY171" s="162" t="e">
        <f t="shared" ca="1" si="638"/>
        <v>#DIV/0!</v>
      </c>
      <c r="GZ171" s="165" t="e">
        <f t="shared" ca="1" si="519"/>
        <v>#N/A</v>
      </c>
      <c r="HA171" s="162" t="e">
        <f ca="1">IF(Control!$C$114=1, $DI171*$FS171, 0)</f>
        <v>#N/A</v>
      </c>
      <c r="HB171" s="162" t="e">
        <f ca="1">$FA171/Control!$C$64</f>
        <v>#N/A</v>
      </c>
      <c r="HC171" s="162" t="e">
        <f t="shared" ca="1" si="520"/>
        <v>#DIV/0!</v>
      </c>
      <c r="HD171" s="162">
        <f ca="1">-ASIN(SIN(23.45*Control!$C$139)*COS(2*Control!$C$138*($AH171+10)/365))</f>
        <v>0.40733905296140688</v>
      </c>
      <c r="HE171" s="165">
        <f t="shared" ca="1" si="639"/>
        <v>0</v>
      </c>
      <c r="HF171" s="166">
        <f ca="1">IF(AND(Control!$C$61="T",$HE171&gt;=Control!$C$103,Control!$C$114=0),$AH171,Control!$C$59)</f>
        <v>1</v>
      </c>
      <c r="HG171" s="166">
        <f ca="1">IF(AND(Control!$C$61="T",$HE171&gt;=Control!$C$103,Control!$C$114=0),$HF171,Control!$C$59)</f>
        <v>1</v>
      </c>
      <c r="HH171" s="165">
        <f ca="1">IF(AND(OR(Control!$C$60&lt;=0, $AH171= Control!$C$59, Control!$C$60 &gt;0, $AH171 = Control!$C$60)), Control!$C$59, IF(Control!$C$60&gt;0, 0))</f>
        <v>1</v>
      </c>
      <c r="HI171" s="165">
        <f ca="1">IF(AND(OR(Control!$C$60&lt;=0, $AH171= Control!$C$59, Control!$C$60 &gt;0, $AH171 = Control!$C$60)), Control!$C$60, IF(Control!$C$60&lt;=0, 0))</f>
        <v>0</v>
      </c>
      <c r="HJ171" s="166">
        <f ca="1">IF(AND(Control!$C$62="F",$CV171&gt;=Control!$C$102),$AH171,0)</f>
        <v>0</v>
      </c>
      <c r="HK171" s="165" t="e">
        <f t="shared" ca="1" si="676"/>
        <v>#N/A</v>
      </c>
      <c r="HL171" s="166">
        <f ca="1">IF(AND(Control!$C$61="T",$HE171&gt;=Control!$C$103,Control!$C$114=0),$HF171,0)</f>
        <v>0</v>
      </c>
      <c r="HM171" s="201" t="e">
        <f t="shared" ca="1" si="521"/>
        <v>#DIV/0!</v>
      </c>
      <c r="HN171" s="215">
        <f t="shared" ca="1" si="640"/>
        <v>167</v>
      </c>
      <c r="HO171" s="216" t="e">
        <f ca="1">IF(AND($CP171&gt;=0, $CP171&lt;=90), Control!$C$152, Control!$C$152)</f>
        <v>#N/A</v>
      </c>
      <c r="HP171" s="216" t="e">
        <f t="shared" ca="1" si="522"/>
        <v>#N/A</v>
      </c>
      <c r="HQ171" s="217" t="e">
        <f ca="1">IF(OR(Control!$B$26=1,Control!$B$26=2),$KV171,$KS171)</f>
        <v>#DIV/0!</v>
      </c>
      <c r="HR171" s="218" t="e">
        <f t="shared" ca="1" si="677"/>
        <v>#DIV/0!</v>
      </c>
      <c r="HS171" s="216" t="e">
        <f ca="1">Control!$C$154*$HP171</f>
        <v>#N/A</v>
      </c>
      <c r="HT171" s="216" t="e">
        <f ca="1">Control!$C$155*$HP171</f>
        <v>#N/A</v>
      </c>
      <c r="HU171" s="217" t="e">
        <f ca="1">Control!$C$161*$FI171</f>
        <v>#N/A</v>
      </c>
      <c r="HV171" s="218" t="e">
        <f t="shared" ca="1" si="641"/>
        <v>#N/A</v>
      </c>
      <c r="HW171" s="218" t="e">
        <f ca="1">Control!$C$160*$FF171+$IP171*$EO171</f>
        <v>#N/A</v>
      </c>
      <c r="HX171" s="218" t="e">
        <f t="shared" ca="1" si="678"/>
        <v>#N/A</v>
      </c>
      <c r="HY171" s="219" t="e">
        <f ca="1">IF(Control!$C$114=1, $EB171*$FS171, 0)</f>
        <v>#N/A</v>
      </c>
      <c r="HZ171" s="91" t="e">
        <f t="shared" ca="1" si="523"/>
        <v>#N/A</v>
      </c>
      <c r="IA171" s="220" t="e">
        <f ca="1">Control!$C$153*$HO171</f>
        <v>#N/A</v>
      </c>
      <c r="IB171" s="218" t="e">
        <f t="shared" ca="1" si="524"/>
        <v>#N/A</v>
      </c>
      <c r="IC171" s="220" t="e">
        <f ca="1">Control!$C$153*$HT171</f>
        <v>#N/A</v>
      </c>
      <c r="ID171" s="218" t="e">
        <f t="shared" ca="1" si="525"/>
        <v>#N/A</v>
      </c>
      <c r="IE171" s="221" t="e">
        <f ca="1">($EB171*Control!$C$159+$EF171*Control!$C$160)/(IF($GZ171&lt;&gt;0,$GZ171,1))</f>
        <v>#N/A</v>
      </c>
      <c r="IF171" s="216" t="e">
        <f t="shared" ca="1" si="526"/>
        <v>#N/A</v>
      </c>
      <c r="IG171" s="91">
        <f ca="1">IF(OR(Control!$B$198=$AH171,Control!$B$199=$AH171, Control!$B$200=$AH171, Control!$B$201=$AH171, Control!$B$202=$AH171, Control!$B$203=$AH171, Control!$B$204=$AH171, Control!$B$205=$AH171, Control!$B$206=$AH171, Control!$B$207=$AH171), 1, 0)</f>
        <v>0</v>
      </c>
      <c r="IH171" s="91">
        <f ca="1">IF($IG171=0,0, VLOOKUP($AH171,Control!$B$198:$C$207,2))</f>
        <v>0</v>
      </c>
      <c r="II171" s="222">
        <f t="shared" ca="1" si="642"/>
        <v>0</v>
      </c>
      <c r="IJ171" s="91">
        <f>Control!$C$121</f>
        <v>0.7</v>
      </c>
      <c r="IK171" s="218">
        <f t="shared" ca="1" si="527"/>
        <v>0</v>
      </c>
      <c r="IL171" s="217" t="e">
        <f t="shared" ca="1" si="679"/>
        <v>#N/A</v>
      </c>
      <c r="IM171" s="223" t="e">
        <f ca="1">IF(AND(Control!$C$114=1,$KH171&lt;1),$EB171*Control!$C$148*(1-$KH171), 0)</f>
        <v>#N/A</v>
      </c>
      <c r="IN171" s="217" t="e">
        <f t="shared" ca="1" si="528"/>
        <v>#DIV/0!</v>
      </c>
      <c r="IO171" s="91" t="e">
        <f ca="1">MAX(0,$IL171-$EF171*Control!$C$160)</f>
        <v>#N/A</v>
      </c>
      <c r="IP171" s="220" t="e">
        <f t="shared" ca="1" si="529"/>
        <v>#N/A</v>
      </c>
      <c r="IQ171" s="217" t="e">
        <f t="shared" ca="1" si="643"/>
        <v>#N/A</v>
      </c>
      <c r="IR171" s="218" t="e">
        <f t="shared" ca="1" si="530"/>
        <v>#N/A</v>
      </c>
      <c r="IS171" s="217" t="e">
        <f ca="1">Control!$C$159*MAX(0,$FD171-$EN171)</f>
        <v>#N/A</v>
      </c>
      <c r="IT171" s="217" t="e">
        <f t="shared" ca="1" si="680"/>
        <v>#N/A</v>
      </c>
      <c r="IU171" s="217" t="e">
        <f t="shared" ca="1" si="644"/>
        <v>#N/A</v>
      </c>
      <c r="IV171" s="217" t="e">
        <f t="shared" ca="1" si="681"/>
        <v>#N/A</v>
      </c>
      <c r="IW171" s="217" t="e">
        <f ca="1">IF(OR($AW171=1,AND($AW171=0, Control!$B$18=1,$EN171&lt;&gt;0)), $IQ171-$IU171, $IQ171)</f>
        <v>#N/A</v>
      </c>
      <c r="IX171" s="218" t="e">
        <f t="shared" ca="1" si="531"/>
        <v>#N/A</v>
      </c>
      <c r="IY171" s="218" t="e">
        <f ca="1">MAX(0,$IQ171-$EB171*Control!$C$159)</f>
        <v>#N/A</v>
      </c>
      <c r="IZ171" s="218" t="e">
        <f t="shared" ca="1" si="532"/>
        <v>#N/A</v>
      </c>
      <c r="JA171" s="216" t="e">
        <f t="shared" ca="1" si="533"/>
        <v>#N/A</v>
      </c>
      <c r="JB171" s="217" t="e">
        <f t="shared" ca="1" si="534"/>
        <v>#N/A</v>
      </c>
      <c r="JC171" s="222" t="e">
        <f ca="1">MAX(Control!$C$157*$EK171-$JT171, 0)/Control!$C$162</f>
        <v>#N/A</v>
      </c>
      <c r="JD171" s="218" t="e">
        <f t="shared" ca="1" si="535"/>
        <v>#N/A</v>
      </c>
      <c r="JE171" s="218" t="e">
        <f t="shared" ca="1" si="536"/>
        <v>#N/A</v>
      </c>
      <c r="JF171" s="218" t="e">
        <f t="shared" ca="1" si="645"/>
        <v>#N/A</v>
      </c>
      <c r="JG171" s="218" t="e">
        <f t="shared" ca="1" si="537"/>
        <v>#N/A</v>
      </c>
      <c r="JH171" s="217" t="e">
        <f t="shared" ca="1" si="646"/>
        <v>#N/A</v>
      </c>
      <c r="JI171" s="217" t="e">
        <f t="shared" ca="1" si="647"/>
        <v>#N/A</v>
      </c>
      <c r="JJ171" s="217" t="e">
        <f t="shared" ca="1" si="682"/>
        <v>#N/A</v>
      </c>
      <c r="JK171" s="217" t="e">
        <f ca="1">IF(Control!$C$114=1,IF(Control!$B$24=0,MAX(0,$JI171)*$GN171/Control!$C$64,(MAX(0,MIN($JI171,$JJ171*$GN171/Control!$C$64),0))))</f>
        <v>#N/A</v>
      </c>
      <c r="JL171" s="217" t="e">
        <f ca="1">$IK171/Control!$C$64-$JK171+$HQ171</f>
        <v>#N/A</v>
      </c>
      <c r="JM171" s="217" t="e">
        <f ca="1">IF(Control!$C$114=1,($JB171/(IF($JI171&lt;&gt;0,$JI171,1)))*$JK171,0)</f>
        <v>#N/A</v>
      </c>
      <c r="JN171" s="217" t="e">
        <f ca="1">IF(Control!$C$114=1,($JG171/(IF($JI171&lt;&gt;0,$JI171,1)))*$JK171, 0)</f>
        <v>#N/A</v>
      </c>
      <c r="JO171" s="218" t="e">
        <f t="shared" ca="1" si="538"/>
        <v>#N/A</v>
      </c>
      <c r="JP171" s="218" t="e">
        <f ca="1">MIN(($IY171+$IO171)*Control!$C$151, $JF171-$EH171*Control!$C$161)</f>
        <v>#N/A</v>
      </c>
      <c r="JQ171" s="218" t="e">
        <f t="shared" ca="1" si="539"/>
        <v>#N/A</v>
      </c>
      <c r="JR171" s="217" t="e">
        <f ca="1">IF($CP171-Control!$C$150&lt;0, 0, $JQ171/Control!$C$162)</f>
        <v>#N/A</v>
      </c>
      <c r="JS171" s="218" t="e">
        <f t="shared" ca="1" si="540"/>
        <v>#N/A</v>
      </c>
      <c r="JT171" s="218" t="e">
        <f t="shared" ca="1" si="648"/>
        <v>#N/A</v>
      </c>
      <c r="JU171" s="218" t="e">
        <f t="shared" ca="1" si="541"/>
        <v>#N/A</v>
      </c>
      <c r="JV171" s="218" t="e">
        <f t="shared" ca="1" si="542"/>
        <v>#N/A</v>
      </c>
      <c r="JW171" s="216" t="e">
        <f t="shared" ca="1" si="543"/>
        <v>#N/A</v>
      </c>
      <c r="JX171" s="91" t="e">
        <f t="shared" ca="1" si="544"/>
        <v>#N/A</v>
      </c>
      <c r="JY171" s="218" t="e">
        <f t="shared" ca="1" si="545"/>
        <v>#N/A</v>
      </c>
      <c r="JZ171" s="217" t="e">
        <f ca="1">IF(Control!$C$114=1,($IZ171/(IF($JI171&lt;&gt;0,$JI171,1)))*$JK171, 0)</f>
        <v>#N/A</v>
      </c>
      <c r="KA171" s="218" t="e">
        <f t="shared" ca="1" si="683"/>
        <v>#N/A</v>
      </c>
      <c r="KB171" s="218" t="e">
        <f t="shared" ca="1" si="649"/>
        <v>#N/A</v>
      </c>
      <c r="KC171" s="218" t="e">
        <f t="shared" ca="1" si="546"/>
        <v>#N/A</v>
      </c>
      <c r="KD171" s="218" t="e">
        <f t="shared" ca="1" si="547"/>
        <v>#N/A</v>
      </c>
      <c r="KE171" s="218" t="e">
        <f t="shared" ca="1" si="548"/>
        <v>#N/A</v>
      </c>
      <c r="KF171" s="218" t="e">
        <f t="shared" ca="1" si="549"/>
        <v>#N/A</v>
      </c>
      <c r="KG171" s="216" t="e">
        <f t="shared" ca="1" si="550"/>
        <v>#N/A</v>
      </c>
      <c r="KH171" s="221" t="e">
        <f ca="1">IF(Control!$B$24=0,1,MAX(0.001,MIN(1,IF(($IF171-$IE171)&lt;&gt;0,($KG171-$IE171)/($IF171-$IE171),1))))</f>
        <v>#N/A</v>
      </c>
      <c r="KI171" s="222" t="e">
        <f ca="1">IF(Control!$C$114=1, $KI170+ $KH170, 0)</f>
        <v>#N/A</v>
      </c>
      <c r="KJ171" s="217" t="e">
        <f t="shared" ca="1" si="551"/>
        <v>#N/A</v>
      </c>
      <c r="KK171" s="218" t="e">
        <f t="shared" ca="1" si="552"/>
        <v>#N/A</v>
      </c>
      <c r="KL171" s="274" t="e">
        <f ca="1">IF(Control!$B$26=3,4000000000*EXP(-8400/($G171+273)),IF(Control!$B$26=4,4000000000*EXP(-8400/($G171+273))*($KT171),0))</f>
        <v>#DIV/0!</v>
      </c>
      <c r="KM171" s="274" t="e">
        <f ca="1">IF(Control!$B$26=3,5600000000000*EXP(-9800/($G171+273)),IF(Control!$B$26=4,5600000000000*EXP(-9800/($G171+273))*$KT171,0))</f>
        <v>#DIV/0!</v>
      </c>
      <c r="KN171" s="454" t="e">
        <f t="shared" ca="1" si="650"/>
        <v>#DIV/0!</v>
      </c>
      <c r="KO171" s="274" t="e">
        <f t="shared" ca="1" si="651"/>
        <v>#DIV/0!</v>
      </c>
      <c r="KP171" s="454" t="e">
        <f t="shared" ca="1" si="553"/>
        <v>#DIV/0!</v>
      </c>
      <c r="KQ171" s="454" t="e">
        <f t="shared" ca="1" si="554"/>
        <v>#DIV/0!</v>
      </c>
      <c r="KR171" s="454" t="e">
        <f t="shared" ca="1" si="555"/>
        <v>#DIV/0!</v>
      </c>
      <c r="KS171" s="454" t="e">
        <f t="shared" ca="1" si="556"/>
        <v>#DIV/0!</v>
      </c>
      <c r="KT171" s="455" t="e">
        <f t="shared" ca="1" si="557"/>
        <v>#DIV/0!</v>
      </c>
      <c r="KU171" s="456" t="e">
        <f ca="1">IF($CP171-Control!$C$149&lt;0, IF($NT171-0.01&lt;0,0,1),0)</f>
        <v>#N/A</v>
      </c>
      <c r="KV171" s="456" t="e">
        <f ca="1">IF(Control!$C$114=1,MAX(0,MIN(Control!$C$125*$KW171*$GN171,$KW171)))</f>
        <v>#DIV/0!</v>
      </c>
      <c r="KW171" s="456" t="e">
        <f t="shared" ca="1" si="684"/>
        <v>#DIV/0!</v>
      </c>
      <c r="KX171" s="457" t="e">
        <f ca="1">IF($CP171-Control!$C$149&lt;0, IF($MR171-$OM171&lt;0,0,1),0)</f>
        <v>#N/A</v>
      </c>
      <c r="KY171" s="167">
        <f t="shared" ca="1" si="652"/>
        <v>167</v>
      </c>
      <c r="KZ171" s="168">
        <f ca="1">1370*(1+0.033*COS(2*Control!$C$138*$AH171/365))</f>
        <v>1326.3897129840291</v>
      </c>
      <c r="LA171" s="169">
        <f t="shared" ca="1" si="653"/>
        <v>0.96816773220218899</v>
      </c>
      <c r="LB171" s="169">
        <f t="shared" ca="1" si="654"/>
        <v>0.40748761123687749</v>
      </c>
      <c r="LC171" s="169">
        <f ca="1">ACOS(-TAN((2*Control!$B$8/360))*TAN(Calculations!$LB171))</f>
        <v>1.6994378189054533</v>
      </c>
      <c r="LD171" s="169">
        <f ca="1">((24*60)/PI())*0.082*$LA171*(($LC171*SIN(Control!$B$8*2*PI()/360))*SIN($LB171)+COS(Control!$B$8*2*PI()/360)*COS($LB171)*SIN($LC171))</f>
        <v>39.7119704327094</v>
      </c>
      <c r="LE171" s="170">
        <f t="shared" ca="1" si="558"/>
        <v>41.400994748469792</v>
      </c>
      <c r="LF171" s="170">
        <f ca="1">SIN(Control!$C$139*Control!$B$8)*SIN($HD171)</f>
        <v>0.31218477552967355</v>
      </c>
      <c r="LG171" s="170">
        <f ca="1">COS(Control!$C$139*Control!$B$8)*COS($HD171)</f>
        <v>0.565285442284166</v>
      </c>
      <c r="LH171" s="170">
        <f ca="1">12*(1+2*ASIN(MAX(-1,MIN(1,$LF171/$LG171))/Control!$C$138))</f>
        <v>16.240985770473817</v>
      </c>
      <c r="LI171" s="170">
        <f ca="1">12*(1+2*ASIN(MAX(-1,MIN(1,(-SIN(-4*Control!$C$139)+$LF171)/$LG171))/Control!$C$138))</f>
        <v>17.202302554928117</v>
      </c>
      <c r="LJ171" s="168">
        <f ca="1">3600*($LH171*$LF171+24*$LG171*SQRT(1-$LK171*$LK171)/Control!$C$138)</f>
        <v>31213.296019409263</v>
      </c>
      <c r="LK171" s="170">
        <f t="shared" ca="1" si="559"/>
        <v>0.5522604195647054</v>
      </c>
      <c r="LL171" s="170">
        <f t="shared" ca="1" si="560"/>
        <v>0</v>
      </c>
      <c r="LM171" s="171">
        <f ca="1">Control!$C$145*$AB171</f>
        <v>6.6660906138995932E-2</v>
      </c>
      <c r="LN171" s="170">
        <f t="shared" ca="1" si="655"/>
        <v>0.54</v>
      </c>
      <c r="LO171" s="170">
        <f t="shared" ca="1" si="561"/>
        <v>0</v>
      </c>
      <c r="LP171" s="170">
        <f ca="1">Control!$C$140*((($D171+273.16)^4+($E171+273.16)^4)/2)*(0.34-0.14*SQRT($Y171))*(1.35*$AQ171/(0.75*$LD171)-0.35)</f>
        <v>-3.2464704755046001</v>
      </c>
      <c r="LQ171" s="170">
        <f ca="1">Control!$C$140*($G171+273)^4*(0.56-0.079*SQRT($Y171*10))*(0.1+0.9*$LO171)</f>
        <v>1.5241745131704001</v>
      </c>
      <c r="LR171" s="170">
        <f ca="1">$AQ171*(1-Control!$C$142)-$LQ171</f>
        <v>-1.5241745131704001</v>
      </c>
      <c r="LS171" s="170">
        <f ca="1">$AQ171*(1-Control!$C$143)-$LQ171</f>
        <v>-1.5241745131704001</v>
      </c>
      <c r="LT171" s="170">
        <f ca="1">$AQ171*(1-Control!$C$144)-$LQ171</f>
        <v>-1.5241745131704001</v>
      </c>
      <c r="LU171" s="169">
        <f ca="1">(1-Control!$C$144)*AQ171-LP171</f>
        <v>3.2464704755046001</v>
      </c>
      <c r="LV171" s="172">
        <f t="shared" ca="1" si="562"/>
        <v>0.79430000000000012</v>
      </c>
      <c r="LW171" s="170">
        <f t="shared" ca="1" si="563"/>
        <v>1.5886000000000002</v>
      </c>
      <c r="LX171" s="170">
        <f ca="1">($AC171*($LR171/Control!$C$141)+$LM171*$LV171)/($AC171+$LM171)</f>
        <v>0.23530094218323697</v>
      </c>
      <c r="LY171" s="170">
        <f ca="1">($AC171*($LS171/Control!$C$141)+$LM171*$LV171)/($AC171+$LM171)</f>
        <v>0.23530094218323697</v>
      </c>
      <c r="LZ171" s="170">
        <f t="shared" ca="1" si="564"/>
        <v>0.23530094218323697</v>
      </c>
      <c r="MA171" s="170">
        <f t="shared" ca="1" si="565"/>
        <v>0.23530094218323697</v>
      </c>
      <c r="MB171" s="170" t="e">
        <f t="shared" ca="1" si="566"/>
        <v>#N/A</v>
      </c>
      <c r="MC171" s="170">
        <f t="shared" ca="1" si="656"/>
        <v>0.6018</v>
      </c>
      <c r="MD171" s="170">
        <f t="shared" ca="1" si="567"/>
        <v>0.52989392535414004</v>
      </c>
      <c r="ME171" s="170">
        <f ca="1">($AC171*($LT171/Control!$C$141)+$LM171*$LW171)/($AC171+$LM171)</f>
        <v>0.71612369323045078</v>
      </c>
      <c r="MF171" s="170" t="e">
        <f ca="1">IF(Control!$B$16&gt;=1000,0.92,IF(AND(720&lt;=Control!$B$16,1000&gt;Control!$B$16),(0.95+(Control!$B$16-720)*((0.92-0.95)/(1000-720))),IF(AND(360&lt;=Control!$B$16,720&gt;Control!$B$16),(1+(Control!$B$16-360)*((0.95-1)/(720-360))),IF(AND(40&lt;=Control!$B$16,360&gt;Control!$B$16),(1.05+(Control!$B$16-40)*((1.05-1)/(360-40)))))))</f>
        <v>#N/A</v>
      </c>
      <c r="MG171" s="170">
        <f t="shared" ca="1" si="568"/>
        <v>0.71612369323045078</v>
      </c>
      <c r="MH171" s="170" t="e">
        <f t="shared" ca="1" si="694"/>
        <v>#N/A</v>
      </c>
      <c r="MI171" s="170" t="e">
        <f t="shared" ca="1" si="694"/>
        <v>#N/A</v>
      </c>
      <c r="MJ171" s="170" t="e">
        <f ca="1">MAX(0.0001, Control!$C$132*$MI171*$DL171)</f>
        <v>#N/A</v>
      </c>
      <c r="MK171" s="170">
        <f ca="1">1/(0.76+1.5*($MG171/10))-(5-Control!$C$110)*0.1</f>
        <v>1.002845988140797</v>
      </c>
      <c r="ML171" s="173">
        <f ca="1">IF(Control!$C$110&lt;3,$MK171+($MG171-0.6)/(Control!$C$110*(Control!$C$110+3)), MAX(0.1, MIN(0.95,$MK171)))</f>
        <v>0.95</v>
      </c>
      <c r="MM171" s="173">
        <f ca="1">IF(Control!$C$110&lt;3,$MK171+(($MI171/10)-0.6)/(Control!$C$110*(Control!$C$110+3)), MAX(0.1, MIN(0.95,$MK171)))</f>
        <v>0.95</v>
      </c>
      <c r="MN171" s="173">
        <f ca="1">(1-$MM171)*(Control!$C$128-Control!$C$127)+Control!$C$127</f>
        <v>0.16</v>
      </c>
      <c r="MO171" s="170" t="e">
        <f ca="1">MAX(0,MIN(1,($MS171-Control!$C$127)/($MN171-Control!$C$127)))</f>
        <v>#DIV/0!</v>
      </c>
      <c r="MP171" s="173" t="e">
        <f ca="1">1/(0.76+1.5*$MI171)-(5-Control!$C$110)*0.1</f>
        <v>#N/A</v>
      </c>
      <c r="MQ171" s="172" t="e">
        <f t="shared" ca="1" si="685"/>
        <v>#DIV/0!</v>
      </c>
      <c r="MR171" s="168" t="e">
        <f t="shared" ca="1" si="657"/>
        <v>#DIV/0!</v>
      </c>
      <c r="MS171" s="173" t="e">
        <f ca="1">MAX(Control!$C$127, MIN(Control!$C$135, $MR171/MAX(0.0001,$CY171)))</f>
        <v>#DIV/0!</v>
      </c>
      <c r="MT171" s="168" t="e">
        <f ca="1">(Control!$C$128-$MS171)*Control!$C$74</f>
        <v>#DIV/0!</v>
      </c>
      <c r="MU171" s="168" t="e">
        <f ca="1">(Control!$C$135-$MS171)*Control!$C$74</f>
        <v>#DIV/0!</v>
      </c>
      <c r="MV171" s="168" t="e">
        <f t="shared" ca="1" si="658"/>
        <v>#DIV/0!</v>
      </c>
      <c r="MW171" s="168" t="e">
        <f t="shared" ca="1" si="659"/>
        <v>#DIV/0!</v>
      </c>
      <c r="MX171" s="171" t="e">
        <f ca="1">MAX(Control!$C$127, MIN(Control!$C$135, $MW171/MAX(0.0001,Control!$C$119-$CY171)))</f>
        <v>#DIV/0!</v>
      </c>
      <c r="MY171" s="54" t="e">
        <f ca="1">IF(Control!$C$114=1, $CX171*$MX171, 0)</f>
        <v>#DIV/0!</v>
      </c>
      <c r="MZ171" s="54" t="e">
        <f t="shared" ca="1" si="660"/>
        <v>#N/A</v>
      </c>
      <c r="NA171" s="168" t="e">
        <f ca="1">(Control!$C$128-$MX171)*(Control!$C$119-Control!$C$74)</f>
        <v>#DIV/0!</v>
      </c>
      <c r="NB171" s="168" t="e">
        <f ca="1">(Control!$C$135-$MX171)*(Control!$C$119-Control!$C$74)</f>
        <v>#DIV/0!</v>
      </c>
      <c r="NC171" s="174" t="e">
        <f t="shared" ca="1" si="661"/>
        <v>#DIV/0!</v>
      </c>
      <c r="ND171" s="54">
        <f ca="1">IF(Control!$C$58=2, IF(OR(Control!$B$218=$AH171,Control!$B$219=$AH171, Control!$B$220=$AH171, Control!$B$221=$AH171, Control!$B$222=$AH171, Control!$B$223=$AH171, Control!$B$224=$AH171, Control!$B$225=$AH171, Control!$B$226=$AH171, Control!$B$227=$AH171, Control!$B$228=$AH171), 1, 0), 0)</f>
        <v>0</v>
      </c>
      <c r="NE171" s="54">
        <f ca="1">IF($ND171=0,0, VLOOKUP($AH171,Control!$B$218:$C$228,2))</f>
        <v>0</v>
      </c>
      <c r="NF171" s="168" t="e">
        <f ca="1">$CY171*(Control!$C$128-Control!$C$127)</f>
        <v>#N/A</v>
      </c>
      <c r="NG171" s="54" t="e">
        <f ca="1">IF(Control!$C$58=2, $NI170-$NJ170, 0)</f>
        <v>#DIV/0!</v>
      </c>
      <c r="NH171" s="54" t="e">
        <f ca="1">IF(AND(Control!$C$58=1, $MS170&lt;= ($MN170+0.02), $I170&lt;10), 0, IF(Control!$C$58=2, $NG170, 0))</f>
        <v>#DIV/0!</v>
      </c>
      <c r="NI171" s="54" t="e">
        <f ca="1">IF(Control!$C$58=2, $NE171+$NH171,0)</f>
        <v>#DIV/0!</v>
      </c>
      <c r="NJ171" s="54" t="e">
        <f ca="1">IF(AND(Control!$C$58=1, $MS171&lt;= ($MN171+0.02), $I171&lt;10), MAX(0, MIN(10, 0.7*($NF171-$MV171))), IF(Control!$C$58=2, MIN(10,$NI171),0))</f>
        <v>#DIV/0!</v>
      </c>
      <c r="NK171" s="54" t="e">
        <f t="shared" ca="1" si="569"/>
        <v>#DIV/0!</v>
      </c>
      <c r="NL171" s="173" t="e">
        <f ca="1">(1-Control!$C$73)*$I171+$NJ171</f>
        <v>#DIV/0!</v>
      </c>
      <c r="NM171" s="172" t="e">
        <f ca="1">IF($NL171&lt;0.5, $MB171* MAX(0, MIN(1, (SQRT($NC171)-SQRT($NC171-1))*Control!$C$71)),0)</f>
        <v>#DIV/0!</v>
      </c>
      <c r="NN171" s="170" t="e">
        <f ca="1">IF($NL171&gt;=5, $MB171, MAX(0,MIN($MB171, $NM171+$NL171,($MS171-Control!$C$129))))</f>
        <v>#DIV/0!</v>
      </c>
      <c r="NO171" s="54">
        <f>IF(Control!$C$133&lt;&gt;1, Control!$C$135-Control!$C$131, 0)</f>
        <v>0.38</v>
      </c>
      <c r="NP171" s="54" t="e">
        <f t="shared" ca="1" si="570"/>
        <v>#DIV/0!</v>
      </c>
      <c r="NQ171" s="173" t="e">
        <f ca="1">MAX(0,MIN(1,(Control!$C$135-$MS171)/(Control!$C$135-$NO171)))</f>
        <v>#DIV/0!</v>
      </c>
      <c r="NR171" s="170" t="e">
        <f ca="1">IF(Control!$C$133&lt;&gt;1, $NQ171+((1-$NP171/4)*(1-$NQ171)),1)</f>
        <v>#DIV/0!</v>
      </c>
      <c r="NS171" s="170" t="e">
        <f ca="1">IF(Control!$B$31=0,$MJ171,MAX(0,MIN($MV171,$MO171*$NR171*$MJ171)))</f>
        <v>#DIV/0!</v>
      </c>
      <c r="NT171" s="170" t="e">
        <f t="shared" ca="1" si="686"/>
        <v>#DIV/0!</v>
      </c>
      <c r="NU171" s="170" t="e">
        <f t="shared" ca="1" si="662"/>
        <v>#N/A</v>
      </c>
      <c r="NV171" s="170" t="e">
        <f t="shared" ca="1" si="571"/>
        <v>#N/A</v>
      </c>
      <c r="NW171" s="175" t="e">
        <f t="shared" ca="1" si="572"/>
        <v>#DIV/0!</v>
      </c>
      <c r="NX171" s="170" t="e">
        <f ca="1">MIN(Control!$C$72+$MU171, $NW171)</f>
        <v>#DIV/0!</v>
      </c>
      <c r="NY171" s="170" t="e">
        <f ca="1">IF($MT171&lt;=$NX171,MIN(Control!$C$72+$NB171,$NX171-$MT171),0)</f>
        <v>#DIV/0!</v>
      </c>
      <c r="NZ171" s="54" t="e">
        <f ca="1">IF(Control!$C$114=1,  $CX171*($MX171-Control!$C$127), 0)</f>
        <v>#DIV/0!</v>
      </c>
      <c r="OA171" s="170" t="e">
        <f t="shared" ca="1" si="573"/>
        <v>#DIV/0!</v>
      </c>
      <c r="OB171" s="170" t="e">
        <f ca="1">IF($NA171 &lt;=$NY171, MIN(Control!$C$72, $NY171-$NA171), 0)</f>
        <v>#DIV/0!</v>
      </c>
      <c r="OC171" s="168" t="e">
        <f t="shared" ca="1" si="574"/>
        <v>#DIV/0!</v>
      </c>
      <c r="OD171" s="168" t="e">
        <f t="shared" ca="1" si="663"/>
        <v>#DIV/0!</v>
      </c>
      <c r="OE171" s="170">
        <f ca="1">Control!$C$73*$I171</f>
        <v>0</v>
      </c>
      <c r="OF171" s="176" t="e">
        <f t="shared" ca="1" si="575"/>
        <v>#DIV/0!</v>
      </c>
      <c r="OG171" s="168" t="e">
        <f t="shared" ca="1" si="576"/>
        <v>#DIV/0!</v>
      </c>
      <c r="OH171" s="168" t="e">
        <f t="shared" ca="1" si="577"/>
        <v>#DIV/0!</v>
      </c>
      <c r="OI171" s="168" t="e">
        <f t="shared" ca="1" si="578"/>
        <v>#DIV/0!</v>
      </c>
      <c r="OJ171" s="168" t="e">
        <f t="shared" ca="1" si="579"/>
        <v>#DIV/0!</v>
      </c>
      <c r="OK171" s="204" t="e">
        <f t="shared" ca="1" si="580"/>
        <v>#DIV/0!</v>
      </c>
      <c r="OL171" s="177">
        <f>Control!$C$127</f>
        <v>0.15</v>
      </c>
      <c r="OM171" s="182" t="e">
        <f t="shared" ca="1" si="581"/>
        <v>#N/A</v>
      </c>
      <c r="ON171" s="177">
        <f>Control!$C$128</f>
        <v>0.35</v>
      </c>
      <c r="OO171" s="182" t="e">
        <f t="shared" ca="1" si="582"/>
        <v>#N/A</v>
      </c>
      <c r="OP171" s="138">
        <f t="shared" ca="1" si="664"/>
        <v>0</v>
      </c>
      <c r="OQ171" s="138" t="e">
        <f t="shared" ca="1" si="687"/>
        <v>#DIV/0!</v>
      </c>
      <c r="OR171" s="138" t="e">
        <f t="shared" ca="1" si="665"/>
        <v>#DIV/0!</v>
      </c>
      <c r="OS171" s="137" t="e">
        <f t="shared" ca="1" si="688"/>
        <v>#DIV/0!</v>
      </c>
      <c r="OT171" s="139" t="e">
        <f t="shared" ca="1" si="689"/>
        <v>#DIV/0!</v>
      </c>
      <c r="OU171" s="138" t="e">
        <f t="shared" ca="1" si="690"/>
        <v>#N/A</v>
      </c>
      <c r="OV171" s="138" t="e">
        <f t="shared" ca="1" si="691"/>
        <v>#DIV/0!</v>
      </c>
      <c r="OW171" s="138" t="e">
        <f t="shared" ca="1" si="666"/>
        <v>#DIV/0!</v>
      </c>
      <c r="OX171" s="138" t="e">
        <f t="shared" ca="1" si="667"/>
        <v>#DIV/0!</v>
      </c>
      <c r="OY171" s="138" t="e">
        <f t="shared" ca="1" si="668"/>
        <v>#DIV/0!</v>
      </c>
      <c r="OZ171" s="138" t="e">
        <f t="shared" ca="1" si="583"/>
        <v>#DIV/0!</v>
      </c>
      <c r="PA171" s="138" t="e">
        <f t="shared" ca="1" si="584"/>
        <v>#DIV/0!</v>
      </c>
      <c r="PB171" s="55">
        <f>IF(Control!$C$61="T", IF(Control!$C$65="F", IF($AH$6-Control!$C$60&lt;0,0,1), IF(365+$AH$6-Control!$C$60&lt;0,0,1)),0)</f>
        <v>0</v>
      </c>
      <c r="PC171" s="55">
        <f ca="1">IF(Control!$C$65="F", IF($AH$6-$HF171&lt;0,0,1), IF(365+$AH$6-$HF171&lt;0,0,1))</f>
        <v>1</v>
      </c>
      <c r="PD171" s="444">
        <f>Control!$C$118</f>
        <v>1500</v>
      </c>
      <c r="PE171" s="180" t="e">
        <f t="shared" ca="1" si="585"/>
        <v>#N/A</v>
      </c>
      <c r="PF171" s="445">
        <f t="shared" ca="1" si="669"/>
        <v>0.71612369323045078</v>
      </c>
      <c r="PT171" s="186"/>
      <c r="PU171" s="186"/>
      <c r="PV171" s="94"/>
      <c r="PW171" s="94"/>
      <c r="PX171" s="94"/>
      <c r="PY171" s="94"/>
      <c r="PZ171" s="94"/>
      <c r="QA171" s="94"/>
      <c r="QB171" s="94"/>
      <c r="QC171" s="94"/>
      <c r="QD171" s="94"/>
      <c r="QE171" s="94"/>
      <c r="QF171" s="94"/>
      <c r="QG171" s="94"/>
      <c r="QH171" s="94"/>
      <c r="QI171" s="94"/>
      <c r="QJ171" s="94"/>
      <c r="QK171" s="94"/>
      <c r="QL171" s="94"/>
      <c r="QM171" s="94"/>
      <c r="QN171" s="94"/>
      <c r="QO171" s="94"/>
      <c r="QP171" s="94"/>
    </row>
    <row r="172" spans="1:458" s="2" customFormat="1" x14ac:dyDescent="0.2">
      <c r="A172" s="395">
        <v>16</v>
      </c>
      <c r="B172" s="396">
        <v>6</v>
      </c>
      <c r="C172" s="387">
        <f ca="1">Weather_data!$B171</f>
        <v>0</v>
      </c>
      <c r="D172" s="388">
        <f ca="1">Weather_data!$F171</f>
        <v>0</v>
      </c>
      <c r="E172" s="388">
        <f ca="1">Weather_data!$E171</f>
        <v>0</v>
      </c>
      <c r="F172" s="388">
        <f t="shared" ca="1" si="586"/>
        <v>0</v>
      </c>
      <c r="G172" s="388">
        <f ca="1">AVERAGE($D172:$E172)+Control!$B$9</f>
        <v>0</v>
      </c>
      <c r="H172" s="388">
        <f ca="1">Weather_data!$G171</f>
        <v>0</v>
      </c>
      <c r="I172" s="388">
        <f ca="1">Weather_data!$I171</f>
        <v>0</v>
      </c>
      <c r="J172" s="388">
        <f ca="1">Weather_data!$H171</f>
        <v>0</v>
      </c>
      <c r="K172" s="389">
        <f ca="1">Weather_data!$D171</f>
        <v>0</v>
      </c>
      <c r="L172" s="388" t="e">
        <f t="shared" ca="1" si="587"/>
        <v>#N/A</v>
      </c>
      <c r="M172" s="388" t="e">
        <f t="shared" ca="1" si="465"/>
        <v>#N/A</v>
      </c>
      <c r="N172" s="388">
        <f t="shared" ca="1" si="466"/>
        <v>-1.2683133718867657E-8</v>
      </c>
      <c r="O172" s="388">
        <f t="shared" ca="1" si="588"/>
        <v>1.2683133718867657E-7</v>
      </c>
      <c r="P172" s="390">
        <v>3</v>
      </c>
      <c r="Q172" s="388">
        <f ca="1">MAX($G172-Control!$C$107,0)</f>
        <v>0</v>
      </c>
      <c r="R172" s="388">
        <f t="shared" ca="1" si="589"/>
        <v>0</v>
      </c>
      <c r="S172" s="388">
        <f t="shared" ca="1" si="467"/>
        <v>0</v>
      </c>
      <c r="T172" s="388">
        <f t="shared" ca="1" si="468"/>
        <v>0</v>
      </c>
      <c r="U172" s="59">
        <f t="shared" ca="1" si="469"/>
        <v>0</v>
      </c>
      <c r="V172" s="391">
        <f ca="1">MAX(0,MIN(Control!$C$100-Control!$C$99,$G172-Control!$C$99)*Control!$C$63)</f>
        <v>0</v>
      </c>
      <c r="W172" s="388">
        <f t="shared" ca="1" si="590"/>
        <v>0</v>
      </c>
      <c r="X172" s="388">
        <f t="shared" ca="1" si="591"/>
        <v>0.6110000000000001</v>
      </c>
      <c r="Y172" s="388">
        <f t="shared" ca="1" si="470"/>
        <v>0</v>
      </c>
      <c r="Z172" s="388">
        <f t="shared" ca="1" si="592"/>
        <v>0.61058800000000002</v>
      </c>
      <c r="AA172" s="388">
        <f t="shared" ca="1" si="471"/>
        <v>0.6018</v>
      </c>
      <c r="AB172" s="388">
        <f ca="1">101.3*EXP(-0.034*Control!$C$66/($G172+273))</f>
        <v>100.69623283836242</v>
      </c>
      <c r="AC172" s="392">
        <f t="shared" ca="1" si="472"/>
        <v>4.3460251046025113E-2</v>
      </c>
      <c r="AD172" s="392">
        <f t="shared" ca="1" si="473"/>
        <v>4.4450382862832649E-2</v>
      </c>
      <c r="AE172" s="388">
        <f t="shared" ca="1" si="474"/>
        <v>0</v>
      </c>
      <c r="AF172" s="388">
        <f ca="1">MAX(0,$G172-Control!$C$92)</f>
        <v>0</v>
      </c>
      <c r="AG172" s="393">
        <f t="shared" ca="1" si="475"/>
        <v>168</v>
      </c>
      <c r="AH172" s="389">
        <f t="shared" ca="1" si="476"/>
        <v>168</v>
      </c>
      <c r="AI172" s="388">
        <f t="shared" ca="1" si="593"/>
        <v>0.40798045220356804</v>
      </c>
      <c r="AJ172" s="388">
        <f ca="1">IF(Control!$C$60&lt;=0,$HH172,$HI172)</f>
        <v>1</v>
      </c>
      <c r="AK172" s="388">
        <f t="shared" ca="1" si="477"/>
        <v>1.5148501562515164</v>
      </c>
      <c r="AL172" s="388">
        <f t="shared" ca="1" si="478"/>
        <v>3.2458341570062996E-18</v>
      </c>
      <c r="AM172" s="388">
        <f t="shared" ca="1" si="479"/>
        <v>1.5148501562515164</v>
      </c>
      <c r="AN172" s="388">
        <f t="shared" ca="1" si="480"/>
        <v>0.40843942846910292</v>
      </c>
      <c r="AO172" s="388">
        <f ca="1">-0.10453/COS(Control!$B$8*PI()/180)*COS(AN172)</f>
        <v>-0.15581866082691509</v>
      </c>
      <c r="AP172" s="388">
        <f ca="1">ACOS(AO172-TAN(Control!$B$8*PI()/180)*TAN(AN172))</f>
        <v>2.359936857133726</v>
      </c>
      <c r="AQ172" s="388">
        <f t="shared" ca="1" si="594"/>
        <v>0</v>
      </c>
      <c r="AR172" s="394">
        <f t="shared" ca="1" si="481"/>
        <v>0</v>
      </c>
      <c r="AS172" s="436">
        <f ca="1">IF(Control!$B$18=2,(IF(OR($AH172=Control!$B$175,$AH172=Control!$B$176,$AH172=Control!$B$177,$AH172=Control!$B$178,$AH172=Control!$B$179,$AH172=Control!$B$180,$AH172=Control!$B$181,$AH172=Control!$B$182,$AH172=Control!$B$183,$AH172=Control!$B$184,$AH172=Control!$B$185),1,0)),0)</f>
        <v>0</v>
      </c>
      <c r="AT172" s="436">
        <f>IF(Control!$B$20=8,IF(AND($AH172&gt;=Control!$B$172,$AH172&lt;=Control!$B$173),1,0),0)</f>
        <v>0</v>
      </c>
      <c r="AU172" s="436">
        <f>IF(Control!$B$20=8,IF($AV171=1,1*$AT172,IF($AT172=1,$AU171+1,$AU171)),0)</f>
        <v>0</v>
      </c>
      <c r="AV172" s="436">
        <f>IF(Control!$B$20=8,IF($AU172&gt;=Control!$B$174,1,0),0)</f>
        <v>0</v>
      </c>
      <c r="AW172" s="436">
        <f ca="1">IF(AND(Control!$B$18=2,Control!$B$171=1), $AV172, $AS172)</f>
        <v>0</v>
      </c>
      <c r="AX172" s="436" t="e">
        <f ca="1">IF(AND(Control!$B$18=1,$EU172&gt;=Control!$B$19),-$AY172,IF(AND(Control!$B$18=2,$AW172=1,$EU172&gt;$DS172),-$AY172, IF(Control!$C$108=0,0, IF(Control!$C$108&lt;&gt;0,1))))</f>
        <v>#N/A</v>
      </c>
      <c r="AY172" s="436" t="e">
        <f t="shared" ca="1" si="595"/>
        <v>#N/A</v>
      </c>
      <c r="AZ172" s="436" t="e">
        <f ca="1">IF(AND(Control!$B$18=1,$EB172&gt;Control!$B$19),$AZ171+1, IF(AND(Control!$B$18=2, $AW172=1, $EB172&gt;$DS172), $AZ171+1,$AZ171))</f>
        <v>#N/A</v>
      </c>
      <c r="BA172" s="587">
        <f>IF(Control!$C$81=0,1,IF($AH172&gt;=Control!$C$82,1,0))</f>
        <v>1</v>
      </c>
      <c r="BB172" s="140" t="e">
        <f ca="1">IF($BA172&gt;$BA171,Control!$C$83,IF($AW172&gt;0,$AW172*Control!$C$84,IF(AND(Control!$B$18=1,EN171&lt;&gt;0),Control!$C$84,0)))</f>
        <v>#N/A</v>
      </c>
      <c r="BC172" s="140" t="e">
        <f t="shared" ca="1" si="596"/>
        <v>#N/A</v>
      </c>
      <c r="BD172" s="140" t="e">
        <f ca="1">BC172*IF(OR($G172&lt;Control!$C$92,$G172&gt;Control!$C$95),0,IF(AND($G172&gt;=Control!$C$92,$G172&lt;=Control!$C$93),$G172-Control!$C$92,IF(AND($G172&gt;Control!$C$93,$G172&lt;=Control!$C$94),Control!$C$93-Control!$C$92,IF(AND($G172&gt;Control!$C$94,$G172&lt;=Control!$C$95),(Control!$C$93-Control!$C$92)*(Control!$C$94-$G172)/(Control!$C$95-Control!$C$94)))))</f>
        <v>#N/A</v>
      </c>
      <c r="BE172" s="140" t="e">
        <f t="shared" ca="1" si="597"/>
        <v>#N/A</v>
      </c>
      <c r="BF172" s="140" t="e">
        <f ca="1">IF($BE172&lt;=Control!$C$86,$BE172,Control!$C$86-$BE172)</f>
        <v>#N/A</v>
      </c>
      <c r="BG172" s="140" t="e">
        <f ca="1">IF(AND($AW172=1,Control!$C$84&lt;9),1,IF($BE172&gt;=Control!$C$86,0,$BC172))</f>
        <v>#N/A</v>
      </c>
      <c r="BH172" s="404" t="e">
        <f ca="1">IF($BG172=0,0,IF($BE172&lt;=Control!$C$86,$BC172*9*($BF172/Control!$C$86),0))</f>
        <v>#N/A</v>
      </c>
      <c r="BI172" s="140" t="e">
        <f ca="1">IF($BG172=1,0,IF($BE172&gt;=Control!$C$86,1,IF(AND($BB172&lt;21,$BB172&gt;=9),1,$BM171)))</f>
        <v>#N/A</v>
      </c>
      <c r="BJ172" s="140" t="e">
        <f ca="1">IF($BF172&lt;0,-$BF172,$BI172*IF(OR($G172&lt;Control!$C$92,$G172&gt;Control!$C$95),0,IF(AND($G172&gt;=Control!$C$92,$G172&lt;=Control!$C$93),$G172-Control!$C$92,IF(AND($G172&gt;Control!$C$93,$G172&lt;=Control!$C$94),Control!$C$93-Control!$C$92,IF(AND($G172&gt;Control!$C$94,$G172&lt;=Control!$C$95),(Control!$C$93-Control!$C$92)*(Control!$C$94-$G172)/(Control!$C$95-Control!$C$94))))))</f>
        <v>#N/A</v>
      </c>
      <c r="BK172" s="140" t="e">
        <f t="shared" ca="1" si="598"/>
        <v>#N/A</v>
      </c>
      <c r="BL172" s="140" t="e">
        <f ca="1">IF($BK172&lt;=Control!$C$87,$BK172,Control!$C$87-$BK172)</f>
        <v>#N/A</v>
      </c>
      <c r="BM172" s="140" t="e">
        <f ca="1">IF(AND($BB172&gt;=9,$BB172&lt;21),1,IF($BK172&gt;=Control!$C$87,0,$BI172))</f>
        <v>#N/A</v>
      </c>
      <c r="BN172" s="404" t="e">
        <f ca="1">IF($BM172=0,0,IF($BK172&lt;=Control!$C$87,$BI172*(9+(21-9)*($BL172/Control!$C$87)),0))</f>
        <v>#N/A</v>
      </c>
      <c r="BO172" s="140" t="e">
        <f ca="1">IF($BM172=1,0,IF($BK172&gt;=Control!$C$87,1,IF(AND($BB172&lt;30,$BB172&gt;=21),1,$BS171)))</f>
        <v>#N/A</v>
      </c>
      <c r="BP172" s="140" t="e">
        <f ca="1">IF($BL172&lt;0,-$BL172,$BO172*IF(OR($G172&lt;Control!$C$92,$G172&gt;Control!$C$95),0,IF(AND($G172&gt;=Control!$C$92,$G172&lt;=Control!$C$93),$G172-Control!$C$92,IF(AND($G172&gt;Control!$C$93,$G172&lt;=Control!$C$94),Control!$C$93-Control!$C$92,IF(AND($G172&gt;Control!$C$94,$G172&lt;=Control!$C$95),(Control!$C$93-Control!$C$92)*(Control!$C$94-$G172)/(Control!$C$95-Control!$C$94))))))</f>
        <v>#N/A</v>
      </c>
      <c r="BQ172" s="140" t="e">
        <f t="shared" ca="1" si="482"/>
        <v>#N/A</v>
      </c>
      <c r="BR172" s="140" t="e">
        <f ca="1">IF($BQ172&lt;=Control!$C$88,$BQ172,Control!$C$88-$BQ172)</f>
        <v>#N/A</v>
      </c>
      <c r="BS172" s="140" t="e">
        <f ca="1">IF(AND($BB172&gt;=21,$BB172&lt;30),1,IF($BQ172&gt;=Control!$C$88,0,$BO172))</f>
        <v>#N/A</v>
      </c>
      <c r="BT172" s="404" t="e">
        <f ca="1">IF($BS172=0,0,IF($BQ172&lt;=Control!$C$88,$BO172*(21+(30-21)*(BR172/Control!$C$88)),0))</f>
        <v>#N/A</v>
      </c>
      <c r="BU172" s="140" t="e">
        <f ca="1">IF(BG172+BM172+BS172=1,0,IF(OR(AND($BB172&lt;60,$BB172&gt;=30),$BQ172&gt;=Control!$C$88),1*$BA172,$BY171))</f>
        <v>#N/A</v>
      </c>
      <c r="BV172" s="140" t="e">
        <f ca="1">IF($BR172&lt;0,-$BR172,$BU172*IF(OR($G172&lt;Control!$C$92,$G172&gt;Control!$C$95),0,IF(AND($G172&gt;=Control!$C$92,$G172&lt;=Control!$C$93),$G172-Control!$C$92,IF(AND($G172&gt;Control!$C$93,$G172&lt;=Control!$C$94),Control!$C$93-Control!$C$92,IF(AND($G172&gt;Control!$C$94,$G172&lt;=Control!$C$95),(Control!$C$93-Control!$C$92)*(Control!$C$94-$G172)/(Control!$C$95-Control!$C$94))))))</f>
        <v>#N/A</v>
      </c>
      <c r="BW172" s="140" t="e">
        <f t="shared" ca="1" si="483"/>
        <v>#N/A</v>
      </c>
      <c r="BX172" s="140" t="e">
        <f ca="1">IF($BW172&lt;=Control!$C$89,$BW172,Control!$C$89-$BW172)</f>
        <v>#N/A</v>
      </c>
      <c r="BY172" s="140" t="e">
        <f ca="1">IF(AND($AJ172&gt;=30,$AJ172&lt;60),1,IF($BW172&gt;=Control!$C$89,0,$BU172))</f>
        <v>#N/A</v>
      </c>
      <c r="BZ172" s="404" t="e">
        <f ca="1">IF($BY172=0,0,IF($BW172&lt;=Control!$C$89,$BU172*(30+(60-30)*(BX172/Control!$C$89)),0))</f>
        <v>#N/A</v>
      </c>
      <c r="CA172" s="140" t="e">
        <f ca="1">IF($BG172+$BM172+$BS172+$BY172=1,0,IF(OR(AND($BB172&lt;65,$BB172&gt;=60),$BW172&gt;=Control!$C$89),1*$BA172,$CE171))</f>
        <v>#N/A</v>
      </c>
      <c r="CB172" s="140" t="e">
        <f ca="1">IF($BX172&lt;0,-$BX172,$CA172*IF(OR($G172&lt;Control!$C$92,$G172&gt;Control!$C$95),0,IF(AND($G172&gt;=Control!$C$92,$G172&lt;=Control!$C$93),$G172-Control!$C$92,IF(AND($G172&gt;Control!$C$93,$G172&lt;=Control!$C$94),Control!$C$93-Control!$C$92,IF(AND($G172&gt;Control!$C$94,$G172&lt;=Control!$C$95),(Control!$C$93-Control!$C$92)*(Control!$C$94-$G172)/(Control!$C$95-Control!$C$94))))))</f>
        <v>#N/A</v>
      </c>
      <c r="CC172" s="140" t="e">
        <f t="shared" ca="1" si="599"/>
        <v>#N/A</v>
      </c>
      <c r="CD172" s="140" t="e">
        <f ca="1">IF($CC172&lt;=Control!$C$90,$CC172,Control!$C$90-$CC172)</f>
        <v>#N/A</v>
      </c>
      <c r="CE172" s="140" t="e">
        <f ca="1">IF(AND($BB172&gt;=60,$BB172&lt;65),1,IF($CC172&gt;=Control!$C$90,0,$CA172))</f>
        <v>#N/A</v>
      </c>
      <c r="CF172" s="404" t="e">
        <f ca="1">IF($CE172=0,0,IF($CC172&lt;=Control!$C$90,$CA172*(60+(65-60)*(CD172/Control!$C$90)),0))</f>
        <v>#N/A</v>
      </c>
      <c r="CG172" s="140" t="e">
        <f ca="1">IF($BG172+$BM172+$BS172+$BY172+$CE172=1,0,IF(OR(AND($BB172&lt;90,$BB172&gt;=65),$CC172&gt;=Control!$C$90),$BA172,$CK171))</f>
        <v>#N/A</v>
      </c>
      <c r="CH172" s="140" t="e">
        <f ca="1">IF($CD172&lt;0,-$CD172,$CG172*IF(OR($G172&lt;Control!$C$92,$G172&gt;Control!$C$95),0,IF(AND($G172&gt;=Control!$C$92,$G172&lt;=Control!$C$93),$G172-Control!$C$92,IF(AND($G172&gt;Control!$C$93,$G172&lt;=Control!$C$94),Control!$C$93-Control!$C$92,IF(AND($G172&gt;Control!$C$94,$G172&lt;=Control!$C$95),(Control!$C$93-Control!$C$92)*(Control!$C$94-$G172)/(Control!$C$95-Control!$C$94))))))</f>
        <v>#N/A</v>
      </c>
      <c r="CI172" s="140" t="e">
        <f t="shared" ca="1" si="600"/>
        <v>#N/A</v>
      </c>
      <c r="CJ172" s="140" t="e">
        <f ca="1">IF($CI172&lt;=Control!$C$91,$CI172,Control!$C$91-$CI172)</f>
        <v>#N/A</v>
      </c>
      <c r="CK172" s="140" t="e">
        <f ca="1">IF(AND($BB172&gt;=65,$BB172&lt;90),1,IF($CI172&gt;=Control!$C$91,0,$CG172))</f>
        <v>#N/A</v>
      </c>
      <c r="CL172" s="404" t="e">
        <f ca="1">IF($CK172=0,0,IF($CI172&lt;=Control!$C$91,$CG172*(65+(90-65)*($CJ172/Control!$C$91)),0))</f>
        <v>#N/A</v>
      </c>
      <c r="CM172" s="140" t="e">
        <f ca="1">IF($BG172+$BM172+$BS172+$BY172+$CE172+$CK172=1,0,IF(OR($BB172&gt;=90,$CI172&gt;=Control!$C$91),$BA172,$CM171))</f>
        <v>#N/A</v>
      </c>
      <c r="CN172" s="140" t="e">
        <f t="shared" ca="1" si="601"/>
        <v>#N/A</v>
      </c>
      <c r="CO172" s="140" t="e">
        <f t="shared" ca="1" si="602"/>
        <v>#N/A</v>
      </c>
      <c r="CP172" s="140" t="e">
        <f t="shared" ca="1" si="603"/>
        <v>#N/A</v>
      </c>
      <c r="CQ172" s="141" t="e">
        <f ca="1">VLOOKUP($CP172,Control!$B$86:$G$91,6)</f>
        <v>#N/A</v>
      </c>
      <c r="CR172" s="141" t="e">
        <f ca="1">(1-$CQ172)*VLOOKUP($CP172,Control!$B$86:$D$91,3)</f>
        <v>#N/A</v>
      </c>
      <c r="CS172" s="141" t="e">
        <f ca="1">(1-$CQ172)*VLOOKUP($CP172,Control!$B$86:$E$91,4)</f>
        <v>#N/A</v>
      </c>
      <c r="CT172" s="141" t="e">
        <f ca="1">(1-$CQ172)*VLOOKUP($CP172,Control!$B$86:$F$91,5)</f>
        <v>#N/A</v>
      </c>
      <c r="CU172" s="141">
        <f t="shared" ca="1" si="604"/>
        <v>0</v>
      </c>
      <c r="CV172" s="583">
        <f t="shared" ca="1" si="605"/>
        <v>0</v>
      </c>
      <c r="CW172" s="142">
        <f t="shared" ca="1" si="606"/>
        <v>168</v>
      </c>
      <c r="CX172" s="612" t="e">
        <f ca="1">IF(Control!$C$114=1,(MIN(Control!$C$120*(IF($NT172-0.01&lt;0,0,1)),Control!$C$119-$CY172)))</f>
        <v>#DIV/0!</v>
      </c>
      <c r="CY172" s="143" t="e">
        <f t="shared" ca="1" si="607"/>
        <v>#N/A</v>
      </c>
      <c r="CZ172" s="144">
        <f t="shared" ca="1" si="484"/>
        <v>0</v>
      </c>
      <c r="DA172" s="144">
        <f t="shared" ca="1" si="485"/>
        <v>0</v>
      </c>
      <c r="DB172" s="144" t="e">
        <f t="shared" ca="1" si="486"/>
        <v>#N/A</v>
      </c>
      <c r="DC172" s="144" t="e">
        <f t="shared" ca="1" si="487"/>
        <v>#N/A</v>
      </c>
      <c r="DD172" s="144" t="e">
        <f t="shared" ca="1" si="692"/>
        <v>#N/A</v>
      </c>
      <c r="DE172" s="143" t="e">
        <f t="shared" ca="1" si="608"/>
        <v>#N/A</v>
      </c>
      <c r="DF172" s="145" t="e">
        <f ca="1">$DR172*EXP(-Control!$C$158*(1-$KH172))</f>
        <v>#N/A</v>
      </c>
      <c r="DG172" s="146" t="e">
        <f ca="1">IF(Control!$C$114=1, $DF172*$EY172, 0)</f>
        <v>#N/A</v>
      </c>
      <c r="DH172" s="147" t="e">
        <f t="shared" ca="1" si="609"/>
        <v>#N/A</v>
      </c>
      <c r="DI172" s="144" t="e">
        <f t="shared" ca="1" si="670"/>
        <v>#N/A</v>
      </c>
      <c r="DJ172" s="147" t="e">
        <f ca="1">$EF172*Control!$C$109</f>
        <v>#N/A</v>
      </c>
      <c r="DK172" s="144" t="e">
        <f t="shared" ca="1" si="610"/>
        <v>#N/A</v>
      </c>
      <c r="DL172" s="144" t="e">
        <f t="shared" ca="1" si="488"/>
        <v>#N/A</v>
      </c>
      <c r="DM172" s="144" t="e">
        <f ca="1">IF(Control!$C$114=1, (1-EXP(-Control!$C$96*$DK172))*$AR172, 0)</f>
        <v>#N/A</v>
      </c>
      <c r="DN172" s="144">
        <f t="shared" ca="1" si="611"/>
        <v>0</v>
      </c>
      <c r="DO172" s="148">
        <f>Control!$C$97</f>
        <v>4</v>
      </c>
      <c r="DP172" s="145" t="e">
        <f t="shared" ca="1" si="612"/>
        <v>#N/A</v>
      </c>
      <c r="DQ172" s="145" t="e">
        <f ca="1">IF(AND($CP172&gt;=0,$CP172&lt;=90),Control!$C$111,Control!$C$111)</f>
        <v>#N/A</v>
      </c>
      <c r="DR172" s="145" t="e">
        <f t="shared" ca="1" si="489"/>
        <v>#N/A</v>
      </c>
      <c r="DS172" s="143" t="e">
        <f ca="1">Control!$B$22/$DR172</f>
        <v>#N/A</v>
      </c>
      <c r="DT172" s="149" t="e">
        <f ca="1">IF(AND(Control!$C$114=1,$KH172&lt;1),$IM172*$DF172, 0)</f>
        <v>#N/A</v>
      </c>
      <c r="DU172" s="144" t="e">
        <f t="shared" ca="1" si="613"/>
        <v>#N/A</v>
      </c>
      <c r="DV172" s="144">
        <f ca="1">IF($G172-Control!$C$107&lt;=0, 0, 0.83*LN(MAX($G172, 3))-0.8924)</f>
        <v>0</v>
      </c>
      <c r="DW172" s="144" t="e">
        <f t="shared" ca="1" si="490"/>
        <v>#N/A</v>
      </c>
      <c r="DX172" s="150" t="e">
        <f ca="1">MAX(0.01*(1+$CU172/Control!$C$102),0.05*($DK172-Control!$C$97)/Control!$C$97)</f>
        <v>#N/A</v>
      </c>
      <c r="DY172" s="151" t="e">
        <f ca="1">IF(Control!$C$114=1, $DI172*$FS172, 0)</f>
        <v>#N/A</v>
      </c>
      <c r="DZ172" s="196" t="e">
        <f t="shared" ca="1" si="614"/>
        <v>#N/A</v>
      </c>
      <c r="EA172" s="152">
        <f t="shared" ca="1" si="615"/>
        <v>168</v>
      </c>
      <c r="EB172" s="153" t="e">
        <f t="shared" ca="1" si="616"/>
        <v>#N/A</v>
      </c>
      <c r="EC172" s="153" t="e">
        <f t="shared" ca="1" si="617"/>
        <v>#N/A</v>
      </c>
      <c r="ED172" s="154" t="e">
        <f ca="1">IF(Control!$C$114=1, $HM172*$FY172-$FD172, 0)</f>
        <v>#DIV/0!</v>
      </c>
      <c r="EE172" s="155" t="e">
        <f ca="1">IF(Control!$C$114=1, $HM172*$FZ172-$FF172, 0)</f>
        <v>#DIV/0!</v>
      </c>
      <c r="EF172" s="153" t="e">
        <f t="shared" ca="1" si="671"/>
        <v>#N/A</v>
      </c>
      <c r="EG172" s="155" t="e">
        <f ca="1">IF(Control!$C$114=1, $GX172*$FW172-$FI172, 0)</f>
        <v>#DIV/0!</v>
      </c>
      <c r="EH172" s="153" t="e">
        <f t="shared" ca="1" si="618"/>
        <v>#N/A</v>
      </c>
      <c r="EI172" s="156" t="e">
        <f t="shared" ca="1" si="619"/>
        <v>#N/A</v>
      </c>
      <c r="EJ172" s="155" t="e">
        <f ca="1">IF(Control!$C$114=1, $HM172*$GB172, 0)</f>
        <v>#DIV/0!</v>
      </c>
      <c r="EK172" s="153" t="e">
        <f t="shared" ca="1" si="672"/>
        <v>#N/A</v>
      </c>
      <c r="EL172" s="153" t="e">
        <f t="shared" ca="1" si="491"/>
        <v>#N/A</v>
      </c>
      <c r="EM172" s="153" t="e">
        <f t="shared" ca="1" si="492"/>
        <v>#N/A</v>
      </c>
      <c r="EN172" s="153" t="e">
        <f ca="1">IF(Control!$C$108=1,IF(AND(Control!$B$18=1,$EB172&gt;=Control!$B$19),$EB172-$DS172,IF(AND(Control!$B$18=2,$AW172=1,$EB172&gt;$DS172),$EB172-$DS172,0)))</f>
        <v>#N/A</v>
      </c>
      <c r="EO172" s="153" t="e">
        <f ca="1">IF(Control!$C$108=1,IF(AND(Control!$B$18=1,$EB172&gt;=Control!$B$19),$EF172,IF(AND(Control!$B$18=2,$AW172=1),$EF172,0)))</f>
        <v>#N/A</v>
      </c>
      <c r="EP172" s="153" t="e">
        <f ca="1">IF(Control!$C$108=1,IF(AND(Control!$B$18=1,$EB172&gt;=Control!$B$19),$EK172,IF(AND(Control!$B$18=2,$AW172=1),$EK172,0)))</f>
        <v>#N/A</v>
      </c>
      <c r="EQ172" s="153" t="e">
        <f t="shared" ca="1" si="620"/>
        <v>#N/A</v>
      </c>
      <c r="ER172" s="153" t="e">
        <f t="shared" ca="1" si="621"/>
        <v>#N/A</v>
      </c>
      <c r="ES172" s="153" t="e">
        <f t="shared" ca="1" si="673"/>
        <v>#N/A</v>
      </c>
      <c r="ET172" s="153" t="e">
        <f t="shared" ca="1" si="674"/>
        <v>#N/A</v>
      </c>
      <c r="EU172" s="153" t="e">
        <f t="shared" ca="1" si="622"/>
        <v>#N/A</v>
      </c>
      <c r="EV172" s="153" t="e">
        <f t="shared" ca="1" si="493"/>
        <v>#N/A</v>
      </c>
      <c r="EW172" s="153" t="e">
        <f t="shared" ca="1" si="494"/>
        <v>#N/A</v>
      </c>
      <c r="EX172" s="153" t="e">
        <f t="shared" ca="1" si="495"/>
        <v>#N/A</v>
      </c>
      <c r="EY172" s="157" t="e">
        <f t="shared" ca="1" si="496"/>
        <v>#DIV/0!</v>
      </c>
      <c r="EZ172" s="154" t="e">
        <f t="shared" ca="1" si="497"/>
        <v>#DIV/0!</v>
      </c>
      <c r="FA172" s="153" t="e">
        <f t="shared" ca="1" si="623"/>
        <v>#N/A</v>
      </c>
      <c r="FB172" s="153" t="e">
        <f t="shared" ca="1" si="498"/>
        <v>#N/A</v>
      </c>
      <c r="FC172" s="193" t="e">
        <f t="shared" ca="1" si="499"/>
        <v>#N/A</v>
      </c>
      <c r="FD172" s="158" t="e">
        <f t="shared" ca="1" si="624"/>
        <v>#N/A</v>
      </c>
      <c r="FE172" s="158" t="e">
        <f t="shared" ca="1" si="625"/>
        <v>#N/A</v>
      </c>
      <c r="FF172" s="159" t="e">
        <f t="shared" ca="1" si="500"/>
        <v>#N/A</v>
      </c>
      <c r="FG172" s="160" t="e">
        <f t="shared" ca="1" si="626"/>
        <v>#N/A</v>
      </c>
      <c r="FH172" s="158" t="e">
        <f t="shared" ca="1" si="627"/>
        <v>#N/A</v>
      </c>
      <c r="FI172" s="159" t="e">
        <f t="shared" ca="1" si="501"/>
        <v>#N/A</v>
      </c>
      <c r="FJ172" s="160" t="e">
        <f t="shared" ca="1" si="628"/>
        <v>#N/A</v>
      </c>
      <c r="FK172" s="160" t="e">
        <f t="shared" ca="1" si="502"/>
        <v>#N/A</v>
      </c>
      <c r="FL172" s="160" t="e">
        <f t="shared" ca="1" si="675"/>
        <v>#N/A</v>
      </c>
      <c r="FM172" s="160" t="e">
        <f t="shared" ca="1" si="503"/>
        <v>#N/A</v>
      </c>
      <c r="FN172" s="158">
        <f t="shared" ca="1" si="629"/>
        <v>0.01</v>
      </c>
      <c r="FO172" s="160">
        <f>Control!$C$101</f>
        <v>50</v>
      </c>
      <c r="FP172" s="150" t="e">
        <f t="shared" ca="1" si="504"/>
        <v>#N/A</v>
      </c>
      <c r="FQ172" s="150" t="e">
        <f ca="1">MAX(0,(Control!$C$112*(($DK172-Control!$C$97)/Control!$C$97)))</f>
        <v>#N/A</v>
      </c>
      <c r="FR172" s="150" t="e">
        <f ca="1">(1-$NT172)*Control!$C$113</f>
        <v>#DIV/0!</v>
      </c>
      <c r="FS172" s="198" t="e">
        <f t="shared" ca="1" si="505"/>
        <v>#N/A</v>
      </c>
      <c r="FT172" s="161">
        <f t="shared" ca="1" si="630"/>
        <v>168</v>
      </c>
      <c r="FU172" s="162" t="e">
        <f ca="1">IF(Control!$B$34=1,VLOOKUP($CP172,Control!$B$86:$G$91,6),Control!$B$35)</f>
        <v>#N/A</v>
      </c>
      <c r="FV172" s="162" t="e">
        <f t="shared" ca="1" si="506"/>
        <v>#DIV/0!</v>
      </c>
      <c r="FW172" s="162" t="e">
        <f ca="1">IF(Control!$B$31=1,$FU172*$FV172,  $FU172)</f>
        <v>#N/A</v>
      </c>
      <c r="FX172" s="162" t="e">
        <f ca="1">IF(Control!$B$34=1,VLOOKUP($CP172,Control!$B$86:$G$91,3),Control!$B$36)</f>
        <v>#N/A</v>
      </c>
      <c r="FY172" s="162" t="e">
        <f t="shared" ca="1" si="507"/>
        <v>#N/A</v>
      </c>
      <c r="FZ172" s="162" t="e">
        <f ca="1">IF(Control!$B$34=1,VLOOKUP($CP172,Control!$B$86:$G$91,4),Control!$B$37)</f>
        <v>#N/A</v>
      </c>
      <c r="GA172" s="162" t="e">
        <f t="shared" ca="1" si="508"/>
        <v>#N/A</v>
      </c>
      <c r="GB172" s="162" t="e">
        <f ca="1">IF(Control!$B$34=1,VLOOKUP($CP172,Control!$B$86:$G$91,5),Control!$B$38)</f>
        <v>#N/A</v>
      </c>
      <c r="GC172" s="162" t="e">
        <f t="shared" ca="1" si="631"/>
        <v>#N/A</v>
      </c>
      <c r="GD172" s="162">
        <f t="shared" ca="1" si="509"/>
        <v>1</v>
      </c>
      <c r="GE172" s="162">
        <f t="shared" ca="1" si="510"/>
        <v>1</v>
      </c>
      <c r="GF172" s="162">
        <f ca="1">IF(AND(Control!$C$104=1, Control!$C$62="F"),$GE172,1)</f>
        <v>1</v>
      </c>
      <c r="GG172" s="162" t="e">
        <f ca="1">IF(Control!$B$16=40,0,IF(AND(Control!$B$16&gt;40,Control!$B$16&lt;=360),(Control!$B$16-40)*((1-0)/(360-40)),IF(AND(Control!$B$16&gt;360,Control!$B$16&lt;=720),(1+(Control!$B$16-360)*((1.25-1)/(720-360))),IF(AND(Control!$B$16&gt;720,Control!$B$16&lt;=1000),(1.25+(Control!$B$16-720)*((1.35-1.25)/(1000-720))),IF(AND(Control!$B$16&gt;1000,Control!$B$16&lt;=2000),(1.35+(Control!$B$16-1000)*0))))))</f>
        <v>#N/A</v>
      </c>
      <c r="GH172" s="162" t="e">
        <f t="shared" ca="1" si="511"/>
        <v>#N/A</v>
      </c>
      <c r="GI172" s="162">
        <f t="shared" ca="1" si="632"/>
        <v>0</v>
      </c>
      <c r="GJ172" s="162">
        <f t="shared" ca="1" si="512"/>
        <v>0</v>
      </c>
      <c r="GK172" s="162">
        <f t="shared" ca="1" si="633"/>
        <v>1</v>
      </c>
      <c r="GL172" s="162">
        <f t="shared" ca="1" si="513"/>
        <v>1</v>
      </c>
      <c r="GM172" s="162" t="e">
        <f ca="1">MAX(0,MIN(1,1-Control!$C$156*(1.0001-$KH172)^2))</f>
        <v>#N/A</v>
      </c>
      <c r="GN172" s="162" t="e">
        <f ca="1">IF(Control!$B$26=1,$KU172,$KX172)</f>
        <v>#N/A</v>
      </c>
      <c r="GO172" s="162" t="e">
        <f ca="1">IF($CP172&lt;=60,Control!$C$105,IF($CP172&gt;=90,Control!$C$106,Control!$C$105+($CP172-60)*((Control!$C$106-Control!$C$105)/(90-60))))</f>
        <v>#N/A</v>
      </c>
      <c r="GP172" s="162" t="e">
        <f t="shared" ca="1" si="514"/>
        <v>#N/A</v>
      </c>
      <c r="GQ172" s="162" t="e">
        <f t="shared" ca="1" si="634"/>
        <v>#N/A</v>
      </c>
      <c r="GR172" s="163" t="e">
        <f t="shared" ca="1" si="515"/>
        <v>#DIV/0!</v>
      </c>
      <c r="GS172" s="162" t="e">
        <f t="shared" ca="1" si="516"/>
        <v>#DIV/0!</v>
      </c>
      <c r="GT172" s="164" t="e">
        <f t="shared" ca="1" si="635"/>
        <v>#N/A</v>
      </c>
      <c r="GU172" s="162" t="e">
        <f t="shared" ca="1" si="636"/>
        <v>#N/A</v>
      </c>
      <c r="GV172" s="162" t="e">
        <f t="shared" ca="1" si="517"/>
        <v>#N/A</v>
      </c>
      <c r="GW172" s="162" t="e">
        <f t="shared" ca="1" si="518"/>
        <v>#DIV/0!</v>
      </c>
      <c r="GX172" s="162" t="e">
        <f t="shared" ca="1" si="637"/>
        <v>#DIV/0!</v>
      </c>
      <c r="GY172" s="162" t="e">
        <f t="shared" ca="1" si="638"/>
        <v>#DIV/0!</v>
      </c>
      <c r="GZ172" s="165" t="e">
        <f t="shared" ca="1" si="519"/>
        <v>#N/A</v>
      </c>
      <c r="HA172" s="162" t="e">
        <f ca="1">IF(Control!$C$114=1, $DI172*$FS172, 0)</f>
        <v>#N/A</v>
      </c>
      <c r="HB172" s="162" t="e">
        <f ca="1">$FA172/Control!$C$64</f>
        <v>#N/A</v>
      </c>
      <c r="HC172" s="162" t="e">
        <f t="shared" ca="1" si="520"/>
        <v>#DIV/0!</v>
      </c>
      <c r="HD172" s="162">
        <f ca="1">-ASIN(SIN(23.45*Control!$C$139)*COS(2*Control!$C$138*($AH172+10)/365))</f>
        <v>0.40798045220356804</v>
      </c>
      <c r="HE172" s="165">
        <f t="shared" ca="1" si="639"/>
        <v>0</v>
      </c>
      <c r="HF172" s="166">
        <f ca="1">IF(AND(Control!$C$61="T",$HE172&gt;=Control!$C$103,Control!$C$114=0),$AH172,Control!$C$59)</f>
        <v>1</v>
      </c>
      <c r="HG172" s="166">
        <f ca="1">IF(AND(Control!$C$61="T",$HE172&gt;=Control!$C$103,Control!$C$114=0),$HF172,Control!$C$59)</f>
        <v>1</v>
      </c>
      <c r="HH172" s="165">
        <f ca="1">IF(AND(OR(Control!$C$60&lt;=0, $AH172= Control!$C$59, Control!$C$60 &gt;0, $AH172 = Control!$C$60)), Control!$C$59, IF(Control!$C$60&gt;0, 0))</f>
        <v>1</v>
      </c>
      <c r="HI172" s="165">
        <f ca="1">IF(AND(OR(Control!$C$60&lt;=0, $AH172= Control!$C$59, Control!$C$60 &gt;0, $AH172 = Control!$C$60)), Control!$C$60, IF(Control!$C$60&lt;=0, 0))</f>
        <v>0</v>
      </c>
      <c r="HJ172" s="166">
        <f ca="1">IF(AND(Control!$C$62="F",$CV172&gt;=Control!$C$102),$AH172,0)</f>
        <v>0</v>
      </c>
      <c r="HK172" s="165" t="e">
        <f t="shared" ca="1" si="676"/>
        <v>#N/A</v>
      </c>
      <c r="HL172" s="166">
        <f ca="1">IF(AND(Control!$C$61="T",$HE172&gt;=Control!$C$103,Control!$C$114=0),$HF172,0)</f>
        <v>0</v>
      </c>
      <c r="HM172" s="201" t="e">
        <f t="shared" ca="1" si="521"/>
        <v>#DIV/0!</v>
      </c>
      <c r="HN172" s="215">
        <f t="shared" ca="1" si="640"/>
        <v>168</v>
      </c>
      <c r="HO172" s="216" t="e">
        <f ca="1">IF(AND($CP172&gt;=0, $CP172&lt;=90), Control!$C$152, Control!$C$152)</f>
        <v>#N/A</v>
      </c>
      <c r="HP172" s="216" t="e">
        <f t="shared" ca="1" si="522"/>
        <v>#N/A</v>
      </c>
      <c r="HQ172" s="217" t="e">
        <f ca="1">IF(OR(Control!$B$26=1,Control!$B$26=2),$KV172,$KS172)</f>
        <v>#DIV/0!</v>
      </c>
      <c r="HR172" s="218" t="e">
        <f t="shared" ca="1" si="677"/>
        <v>#DIV/0!</v>
      </c>
      <c r="HS172" s="216" t="e">
        <f ca="1">Control!$C$154*$HP172</f>
        <v>#N/A</v>
      </c>
      <c r="HT172" s="216" t="e">
        <f ca="1">Control!$C$155*$HP172</f>
        <v>#N/A</v>
      </c>
      <c r="HU172" s="217" t="e">
        <f ca="1">Control!$C$161*$FI172</f>
        <v>#N/A</v>
      </c>
      <c r="HV172" s="218" t="e">
        <f t="shared" ca="1" si="641"/>
        <v>#N/A</v>
      </c>
      <c r="HW172" s="218" t="e">
        <f ca="1">Control!$C$160*$FF172+$IP172*$EO172</f>
        <v>#N/A</v>
      </c>
      <c r="HX172" s="218" t="e">
        <f t="shared" ca="1" si="678"/>
        <v>#N/A</v>
      </c>
      <c r="HY172" s="219" t="e">
        <f ca="1">IF(Control!$C$114=1, $EB172*$FS172, 0)</f>
        <v>#N/A</v>
      </c>
      <c r="HZ172" s="91" t="e">
        <f t="shared" ca="1" si="523"/>
        <v>#N/A</v>
      </c>
      <c r="IA172" s="220" t="e">
        <f ca="1">Control!$C$153*$HO172</f>
        <v>#N/A</v>
      </c>
      <c r="IB172" s="218" t="e">
        <f t="shared" ca="1" si="524"/>
        <v>#N/A</v>
      </c>
      <c r="IC172" s="220" t="e">
        <f ca="1">Control!$C$153*$HT172</f>
        <v>#N/A</v>
      </c>
      <c r="ID172" s="218" t="e">
        <f t="shared" ca="1" si="525"/>
        <v>#N/A</v>
      </c>
      <c r="IE172" s="221" t="e">
        <f ca="1">($EB172*Control!$C$159+$EF172*Control!$C$160)/(IF($GZ172&lt;&gt;0,$GZ172,1))</f>
        <v>#N/A</v>
      </c>
      <c r="IF172" s="216" t="e">
        <f t="shared" ca="1" si="526"/>
        <v>#N/A</v>
      </c>
      <c r="IG172" s="91">
        <f ca="1">IF(OR(Control!$B$198=$AH172,Control!$B$199=$AH172, Control!$B$200=$AH172, Control!$B$201=$AH172, Control!$B$202=$AH172, Control!$B$203=$AH172, Control!$B$204=$AH172, Control!$B$205=$AH172, Control!$B$206=$AH172, Control!$B$207=$AH172), 1, 0)</f>
        <v>0</v>
      </c>
      <c r="IH172" s="91">
        <f ca="1">IF($IG172=0,0, VLOOKUP($AH172,Control!$B$198:$C$207,2))</f>
        <v>0</v>
      </c>
      <c r="II172" s="222">
        <f t="shared" ca="1" si="642"/>
        <v>0</v>
      </c>
      <c r="IJ172" s="91">
        <f>Control!$C$121</f>
        <v>0.7</v>
      </c>
      <c r="IK172" s="218">
        <f t="shared" ca="1" si="527"/>
        <v>0</v>
      </c>
      <c r="IL172" s="217" t="e">
        <f t="shared" ca="1" si="679"/>
        <v>#N/A</v>
      </c>
      <c r="IM172" s="223" t="e">
        <f ca="1">IF(AND(Control!$C$114=1,$KH172&lt;1),$EB172*Control!$C$148*(1-$KH172), 0)</f>
        <v>#N/A</v>
      </c>
      <c r="IN172" s="217" t="e">
        <f t="shared" ca="1" si="528"/>
        <v>#DIV/0!</v>
      </c>
      <c r="IO172" s="91" t="e">
        <f ca="1">MAX(0,$IL172-$EF172*Control!$C$160)</f>
        <v>#N/A</v>
      </c>
      <c r="IP172" s="220" t="e">
        <f t="shared" ca="1" si="529"/>
        <v>#N/A</v>
      </c>
      <c r="IQ172" s="217" t="e">
        <f t="shared" ca="1" si="643"/>
        <v>#N/A</v>
      </c>
      <c r="IR172" s="218" t="e">
        <f t="shared" ca="1" si="530"/>
        <v>#N/A</v>
      </c>
      <c r="IS172" s="217" t="e">
        <f ca="1">Control!$C$159*MAX(0,$FD172-$EN172)</f>
        <v>#N/A</v>
      </c>
      <c r="IT172" s="217" t="e">
        <f t="shared" ca="1" si="680"/>
        <v>#N/A</v>
      </c>
      <c r="IU172" s="217" t="e">
        <f t="shared" ca="1" si="644"/>
        <v>#N/A</v>
      </c>
      <c r="IV172" s="217" t="e">
        <f t="shared" ca="1" si="681"/>
        <v>#N/A</v>
      </c>
      <c r="IW172" s="217" t="e">
        <f ca="1">IF(OR($AW172=1,AND($AW172=0, Control!$B$18=1,$EN172&lt;&gt;0)), $IQ172-$IU172, $IQ172)</f>
        <v>#N/A</v>
      </c>
      <c r="IX172" s="218" t="e">
        <f t="shared" ca="1" si="531"/>
        <v>#N/A</v>
      </c>
      <c r="IY172" s="218" t="e">
        <f ca="1">MAX(0,$IQ172-$EB172*Control!$C$159)</f>
        <v>#N/A</v>
      </c>
      <c r="IZ172" s="218" t="e">
        <f t="shared" ca="1" si="532"/>
        <v>#N/A</v>
      </c>
      <c r="JA172" s="216" t="e">
        <f t="shared" ca="1" si="533"/>
        <v>#N/A</v>
      </c>
      <c r="JB172" s="217" t="e">
        <f t="shared" ca="1" si="534"/>
        <v>#N/A</v>
      </c>
      <c r="JC172" s="222" t="e">
        <f ca="1">MAX(Control!$C$157*$EK172-$JT172, 0)/Control!$C$162</f>
        <v>#N/A</v>
      </c>
      <c r="JD172" s="218" t="e">
        <f t="shared" ca="1" si="535"/>
        <v>#N/A</v>
      </c>
      <c r="JE172" s="218" t="e">
        <f t="shared" ca="1" si="536"/>
        <v>#N/A</v>
      </c>
      <c r="JF172" s="218" t="e">
        <f t="shared" ca="1" si="645"/>
        <v>#N/A</v>
      </c>
      <c r="JG172" s="218" t="e">
        <f t="shared" ca="1" si="537"/>
        <v>#N/A</v>
      </c>
      <c r="JH172" s="217" t="e">
        <f t="shared" ca="1" si="646"/>
        <v>#N/A</v>
      </c>
      <c r="JI172" s="217" t="e">
        <f t="shared" ca="1" si="647"/>
        <v>#N/A</v>
      </c>
      <c r="JJ172" s="217" t="e">
        <f t="shared" ca="1" si="682"/>
        <v>#N/A</v>
      </c>
      <c r="JK172" s="217" t="e">
        <f ca="1">IF(Control!$C$114=1,IF(Control!$B$24=0,MAX(0,$JI172)*$GN172/Control!$C$64,(MAX(0,MIN($JI172,$JJ172*$GN172/Control!$C$64),0))))</f>
        <v>#N/A</v>
      </c>
      <c r="JL172" s="217" t="e">
        <f ca="1">$IK172/Control!$C$64-$JK172+$HQ172</f>
        <v>#N/A</v>
      </c>
      <c r="JM172" s="217" t="e">
        <f ca="1">IF(Control!$C$114=1,($JB172/(IF($JI172&lt;&gt;0,$JI172,1)))*$JK172,0)</f>
        <v>#N/A</v>
      </c>
      <c r="JN172" s="217" t="e">
        <f ca="1">IF(Control!$C$114=1,($JG172/(IF($JI172&lt;&gt;0,$JI172,1)))*$JK172, 0)</f>
        <v>#N/A</v>
      </c>
      <c r="JO172" s="218" t="e">
        <f t="shared" ca="1" si="538"/>
        <v>#N/A</v>
      </c>
      <c r="JP172" s="218" t="e">
        <f ca="1">MIN(($IY172+$IO172)*Control!$C$151, $JF172-$EH172*Control!$C$161)</f>
        <v>#N/A</v>
      </c>
      <c r="JQ172" s="218" t="e">
        <f t="shared" ca="1" si="539"/>
        <v>#N/A</v>
      </c>
      <c r="JR172" s="217" t="e">
        <f ca="1">IF($CP172-Control!$C$150&lt;0, 0, $JQ172/Control!$C$162)</f>
        <v>#N/A</v>
      </c>
      <c r="JS172" s="218" t="e">
        <f t="shared" ca="1" si="540"/>
        <v>#N/A</v>
      </c>
      <c r="JT172" s="218" t="e">
        <f t="shared" ca="1" si="648"/>
        <v>#N/A</v>
      </c>
      <c r="JU172" s="218" t="e">
        <f t="shared" ca="1" si="541"/>
        <v>#N/A</v>
      </c>
      <c r="JV172" s="218" t="e">
        <f t="shared" ca="1" si="542"/>
        <v>#N/A</v>
      </c>
      <c r="JW172" s="216" t="e">
        <f t="shared" ca="1" si="543"/>
        <v>#N/A</v>
      </c>
      <c r="JX172" s="91" t="e">
        <f t="shared" ca="1" si="544"/>
        <v>#N/A</v>
      </c>
      <c r="JY172" s="218" t="e">
        <f t="shared" ca="1" si="545"/>
        <v>#N/A</v>
      </c>
      <c r="JZ172" s="217" t="e">
        <f ca="1">IF(Control!$C$114=1,($IZ172/(IF($JI172&lt;&gt;0,$JI172,1)))*$JK172, 0)</f>
        <v>#N/A</v>
      </c>
      <c r="KA172" s="218" t="e">
        <f t="shared" ca="1" si="683"/>
        <v>#N/A</v>
      </c>
      <c r="KB172" s="218" t="e">
        <f t="shared" ca="1" si="649"/>
        <v>#N/A</v>
      </c>
      <c r="KC172" s="218" t="e">
        <f t="shared" ca="1" si="546"/>
        <v>#N/A</v>
      </c>
      <c r="KD172" s="218" t="e">
        <f t="shared" ca="1" si="547"/>
        <v>#N/A</v>
      </c>
      <c r="KE172" s="218" t="e">
        <f t="shared" ca="1" si="548"/>
        <v>#N/A</v>
      </c>
      <c r="KF172" s="218" t="e">
        <f t="shared" ca="1" si="549"/>
        <v>#N/A</v>
      </c>
      <c r="KG172" s="216" t="e">
        <f t="shared" ca="1" si="550"/>
        <v>#N/A</v>
      </c>
      <c r="KH172" s="221" t="e">
        <f ca="1">IF(Control!$B$24=0,1,MAX(0.001,MIN(1,IF(($IF172-$IE172)&lt;&gt;0,($KG172-$IE172)/($IF172-$IE172),1))))</f>
        <v>#N/A</v>
      </c>
      <c r="KI172" s="222" t="e">
        <f ca="1">IF(Control!$C$114=1, $KI171+ $KH171, 0)</f>
        <v>#N/A</v>
      </c>
      <c r="KJ172" s="217" t="e">
        <f t="shared" ca="1" si="551"/>
        <v>#N/A</v>
      </c>
      <c r="KK172" s="218" t="e">
        <f t="shared" ca="1" si="552"/>
        <v>#N/A</v>
      </c>
      <c r="KL172" s="274" t="e">
        <f ca="1">IF(Control!$B$26=3,4000000000*EXP(-8400/($G172+273)),IF(Control!$B$26=4,4000000000*EXP(-8400/($G172+273))*($KT172),0))</f>
        <v>#DIV/0!</v>
      </c>
      <c r="KM172" s="274" t="e">
        <f ca="1">IF(Control!$B$26=3,5600000000000*EXP(-9800/($G172+273)),IF(Control!$B$26=4,5600000000000*EXP(-9800/($G172+273))*$KT172,0))</f>
        <v>#DIV/0!</v>
      </c>
      <c r="KN172" s="454" t="e">
        <f t="shared" ca="1" si="650"/>
        <v>#DIV/0!</v>
      </c>
      <c r="KO172" s="274" t="e">
        <f t="shared" ca="1" si="651"/>
        <v>#DIV/0!</v>
      </c>
      <c r="KP172" s="454" t="e">
        <f t="shared" ca="1" si="553"/>
        <v>#DIV/0!</v>
      </c>
      <c r="KQ172" s="454" t="e">
        <f t="shared" ca="1" si="554"/>
        <v>#DIV/0!</v>
      </c>
      <c r="KR172" s="454" t="e">
        <f t="shared" ca="1" si="555"/>
        <v>#DIV/0!</v>
      </c>
      <c r="KS172" s="454" t="e">
        <f t="shared" ca="1" si="556"/>
        <v>#DIV/0!</v>
      </c>
      <c r="KT172" s="455" t="e">
        <f t="shared" ca="1" si="557"/>
        <v>#DIV/0!</v>
      </c>
      <c r="KU172" s="456" t="e">
        <f ca="1">IF($CP172-Control!$C$149&lt;0, IF($NT172-0.01&lt;0,0,1),0)</f>
        <v>#N/A</v>
      </c>
      <c r="KV172" s="456" t="e">
        <f ca="1">IF(Control!$C$114=1,MAX(0,MIN(Control!$C$125*$KW172*$GN172,$KW172)))</f>
        <v>#DIV/0!</v>
      </c>
      <c r="KW172" s="456" t="e">
        <f t="shared" ca="1" si="684"/>
        <v>#DIV/0!</v>
      </c>
      <c r="KX172" s="457" t="e">
        <f ca="1">IF($CP172-Control!$C$149&lt;0, IF($MR172-$OM172&lt;0,0,1),0)</f>
        <v>#N/A</v>
      </c>
      <c r="KY172" s="167">
        <f t="shared" ca="1" si="652"/>
        <v>168</v>
      </c>
      <c r="KZ172" s="168">
        <f ca="1">1370*(1+0.033*COS(2*Control!$C$138*$AH172/365))</f>
        <v>1326.1909902547732</v>
      </c>
      <c r="LA172" s="169">
        <f t="shared" ca="1" si="653"/>
        <v>0.96802267575109457</v>
      </c>
      <c r="LB172" s="169">
        <f t="shared" ca="1" si="654"/>
        <v>0.4080321215200533</v>
      </c>
      <c r="LC172" s="169">
        <f ca="1">ACOS(-TAN((2*Control!$B$8/360))*TAN(Calculations!$LB172))</f>
        <v>1.6996314486916333</v>
      </c>
      <c r="LD172" s="169">
        <f ca="1">((24*60)/PI())*0.082*$LA172*(($LC172*SIN(Control!$B$8*2*PI()/360))*SIN($LB172)+COS(Control!$B$8*2*PI()/360)*COS($LB172)*SIN($LC172))</f>
        <v>39.72727130292963</v>
      </c>
      <c r="LE172" s="170">
        <f t="shared" ca="1" si="558"/>
        <v>41.423977175657726</v>
      </c>
      <c r="LF172" s="170">
        <f ca="1">SIN(Control!$C$139*Control!$B$8)*SIN($HD172)</f>
        <v>0.31264878642750876</v>
      </c>
      <c r="LG172" s="170">
        <f ca="1">COS(Control!$C$139*Control!$B$8)*COS($HD172)</f>
        <v>0.56512888591331056</v>
      </c>
      <c r="LH172" s="170">
        <f ca="1">12*(1+2*ASIN(MAX(-1,MIN(1,$LF172/$LG172))/Control!$C$138))</f>
        <v>16.248544964368165</v>
      </c>
      <c r="LI172" s="170">
        <f ca="1">12*(1+2*ASIN(MAX(-1,MIN(1,(-SIN(-4*Control!$C$139)+$LF172)/$LG172))/Control!$C$138))</f>
        <v>17.210189833146856</v>
      </c>
      <c r="LJ172" s="168">
        <f ca="1">3600*($LH172*$LF172+24*$LG172*SQRT(1-$LK172*$LK172)/Control!$C$138)</f>
        <v>31235.302818412158</v>
      </c>
      <c r="LK172" s="170">
        <f t="shared" ca="1" si="559"/>
        <v>0.55323448193987446</v>
      </c>
      <c r="LL172" s="170">
        <f t="shared" ca="1" si="560"/>
        <v>0</v>
      </c>
      <c r="LM172" s="171">
        <f ca="1">Control!$C$145*$AB172</f>
        <v>6.6660906138995932E-2</v>
      </c>
      <c r="LN172" s="170">
        <f t="shared" ca="1" si="655"/>
        <v>0.54</v>
      </c>
      <c r="LO172" s="170">
        <f t="shared" ca="1" si="561"/>
        <v>0</v>
      </c>
      <c r="LP172" s="170">
        <f ca="1">Control!$C$140*((($D172+273.16)^4+($E172+273.16)^4)/2)*(0.34-0.14*SQRT($Y172))*(1.35*$AQ172/(0.75*$LD172)-0.35)</f>
        <v>-3.2464704755046001</v>
      </c>
      <c r="LQ172" s="170">
        <f ca="1">Control!$C$140*($G172+273)^4*(0.56-0.079*SQRT($Y172*10))*(0.1+0.9*$LO172)</f>
        <v>1.5241745131704001</v>
      </c>
      <c r="LR172" s="170">
        <f ca="1">$AQ172*(1-Control!$C$142)-$LQ172</f>
        <v>-1.5241745131704001</v>
      </c>
      <c r="LS172" s="170">
        <f ca="1">$AQ172*(1-Control!$C$143)-$LQ172</f>
        <v>-1.5241745131704001</v>
      </c>
      <c r="LT172" s="170">
        <f ca="1">$AQ172*(1-Control!$C$144)-$LQ172</f>
        <v>-1.5241745131704001</v>
      </c>
      <c r="LU172" s="169">
        <f ca="1">(1-Control!$C$144)*AQ172-LP172</f>
        <v>3.2464704755046001</v>
      </c>
      <c r="LV172" s="172">
        <f t="shared" ca="1" si="562"/>
        <v>0.79430000000000012</v>
      </c>
      <c r="LW172" s="170">
        <f t="shared" ca="1" si="563"/>
        <v>1.5886000000000002</v>
      </c>
      <c r="LX172" s="170">
        <f ca="1">($AC172*($LR172/Control!$C$141)+$LM172*$LV172)/($AC172+$LM172)</f>
        <v>0.23530094218323697</v>
      </c>
      <c r="LY172" s="170">
        <f ca="1">($AC172*($LS172/Control!$C$141)+$LM172*$LV172)/($AC172+$LM172)</f>
        <v>0.23530094218323697</v>
      </c>
      <c r="LZ172" s="170">
        <f t="shared" ca="1" si="564"/>
        <v>0.23530094218323697</v>
      </c>
      <c r="MA172" s="170">
        <f t="shared" ca="1" si="565"/>
        <v>0.23530094218323697</v>
      </c>
      <c r="MB172" s="170" t="e">
        <f t="shared" ca="1" si="566"/>
        <v>#N/A</v>
      </c>
      <c r="MC172" s="170">
        <f t="shared" ca="1" si="656"/>
        <v>0.6018</v>
      </c>
      <c r="MD172" s="170">
        <f t="shared" ca="1" si="567"/>
        <v>0.52989392535414004</v>
      </c>
      <c r="ME172" s="170">
        <f ca="1">($AC172*($LT172/Control!$C$141)+$LM172*$LW172)/($AC172+$LM172)</f>
        <v>0.71612369323045078</v>
      </c>
      <c r="MF172" s="170" t="e">
        <f ca="1">IF(Control!$B$16&gt;=1000,0.92,IF(AND(720&lt;=Control!$B$16,1000&gt;Control!$B$16),(0.95+(Control!$B$16-720)*((0.92-0.95)/(1000-720))),IF(AND(360&lt;=Control!$B$16,720&gt;Control!$B$16),(1+(Control!$B$16-360)*((0.95-1)/(720-360))),IF(AND(40&lt;=Control!$B$16,360&gt;Control!$B$16),(1.05+(Control!$B$16-40)*((1.05-1)/(360-40)))))))</f>
        <v>#N/A</v>
      </c>
      <c r="MG172" s="170">
        <f t="shared" ca="1" si="568"/>
        <v>0.71612369323045078</v>
      </c>
      <c r="MH172" s="170" t="e">
        <f t="shared" ca="1" si="694"/>
        <v>#N/A</v>
      </c>
      <c r="MI172" s="170" t="e">
        <f t="shared" ca="1" si="694"/>
        <v>#N/A</v>
      </c>
      <c r="MJ172" s="170" t="e">
        <f ca="1">MAX(0.0001, Control!$C$132*$MI172*$DL172)</f>
        <v>#N/A</v>
      </c>
      <c r="MK172" s="170">
        <f ca="1">1/(0.76+1.5*($MG172/10))-(5-Control!$C$110)*0.1</f>
        <v>1.002845988140797</v>
      </c>
      <c r="ML172" s="173">
        <f ca="1">IF(Control!$C$110&lt;3,$MK172+($MG172-0.6)/(Control!$C$110*(Control!$C$110+3)), MAX(0.1, MIN(0.95,$MK172)))</f>
        <v>0.95</v>
      </c>
      <c r="MM172" s="173">
        <f ca="1">IF(Control!$C$110&lt;3,$MK172+(($MI172/10)-0.6)/(Control!$C$110*(Control!$C$110+3)), MAX(0.1, MIN(0.95,$MK172)))</f>
        <v>0.95</v>
      </c>
      <c r="MN172" s="173">
        <f ca="1">(1-$MM172)*(Control!$C$128-Control!$C$127)+Control!$C$127</f>
        <v>0.16</v>
      </c>
      <c r="MO172" s="170" t="e">
        <f ca="1">MAX(0,MIN(1,($MS172-Control!$C$127)/($MN172-Control!$C$127)))</f>
        <v>#DIV/0!</v>
      </c>
      <c r="MP172" s="173" t="e">
        <f ca="1">1/(0.76+1.5*$MI172)-(5-Control!$C$110)*0.1</f>
        <v>#N/A</v>
      </c>
      <c r="MQ172" s="172" t="e">
        <f t="shared" ca="1" si="685"/>
        <v>#DIV/0!</v>
      </c>
      <c r="MR172" s="168" t="e">
        <f t="shared" ca="1" si="657"/>
        <v>#DIV/0!</v>
      </c>
      <c r="MS172" s="173" t="e">
        <f ca="1">MAX(Control!$C$127, MIN(Control!$C$135, $MR172/MAX(0.0001,$CY172)))</f>
        <v>#DIV/0!</v>
      </c>
      <c r="MT172" s="168" t="e">
        <f ca="1">(Control!$C$128-$MS172)*Control!$C$74</f>
        <v>#DIV/0!</v>
      </c>
      <c r="MU172" s="168" t="e">
        <f ca="1">(Control!$C$135-$MS172)*Control!$C$74</f>
        <v>#DIV/0!</v>
      </c>
      <c r="MV172" s="168" t="e">
        <f t="shared" ca="1" si="658"/>
        <v>#DIV/0!</v>
      </c>
      <c r="MW172" s="168" t="e">
        <f t="shared" ca="1" si="659"/>
        <v>#DIV/0!</v>
      </c>
      <c r="MX172" s="171" t="e">
        <f ca="1">MAX(Control!$C$127, MIN(Control!$C$135, $MW172/MAX(0.0001,Control!$C$119-$CY172)))</f>
        <v>#DIV/0!</v>
      </c>
      <c r="MY172" s="54" t="e">
        <f ca="1">IF(Control!$C$114=1, $CX172*$MX172, 0)</f>
        <v>#DIV/0!</v>
      </c>
      <c r="MZ172" s="54" t="e">
        <f t="shared" ca="1" si="660"/>
        <v>#N/A</v>
      </c>
      <c r="NA172" s="168" t="e">
        <f ca="1">(Control!$C$128-$MX172)*(Control!$C$119-Control!$C$74)</f>
        <v>#DIV/0!</v>
      </c>
      <c r="NB172" s="168" t="e">
        <f ca="1">(Control!$C$135-$MX172)*(Control!$C$119-Control!$C$74)</f>
        <v>#DIV/0!</v>
      </c>
      <c r="NC172" s="174" t="e">
        <f t="shared" ca="1" si="661"/>
        <v>#DIV/0!</v>
      </c>
      <c r="ND172" s="54">
        <f ca="1">IF(Control!$C$58=2, IF(OR(Control!$B$218=$AH172,Control!$B$219=$AH172, Control!$B$220=$AH172, Control!$B$221=$AH172, Control!$B$222=$AH172, Control!$B$223=$AH172, Control!$B$224=$AH172, Control!$B$225=$AH172, Control!$B$226=$AH172, Control!$B$227=$AH172, Control!$B$228=$AH172), 1, 0), 0)</f>
        <v>0</v>
      </c>
      <c r="NE172" s="54">
        <f ca="1">IF($ND172=0,0, VLOOKUP($AH172,Control!$B$218:$C$228,2))</f>
        <v>0</v>
      </c>
      <c r="NF172" s="168" t="e">
        <f ca="1">$CY172*(Control!$C$128-Control!$C$127)</f>
        <v>#N/A</v>
      </c>
      <c r="NG172" s="54" t="e">
        <f ca="1">IF(Control!$C$58=2, $NI171-$NJ171, 0)</f>
        <v>#DIV/0!</v>
      </c>
      <c r="NH172" s="54" t="e">
        <f ca="1">IF(AND(Control!$C$58=1, $MS171&lt;= ($MN171+0.02), $I171&lt;10), 0, IF(Control!$C$58=2, $NG171, 0))</f>
        <v>#DIV/0!</v>
      </c>
      <c r="NI172" s="54" t="e">
        <f ca="1">IF(Control!$C$58=2, $NE172+$NH172,0)</f>
        <v>#DIV/0!</v>
      </c>
      <c r="NJ172" s="54" t="e">
        <f ca="1">IF(AND(Control!$C$58=1, $MS172&lt;= ($MN172+0.02), $I172&lt;10), MAX(0, MIN(10, 0.7*($NF172-$MV172))), IF(Control!$C$58=2, MIN(10,$NI172),0))</f>
        <v>#DIV/0!</v>
      </c>
      <c r="NK172" s="54" t="e">
        <f t="shared" ca="1" si="569"/>
        <v>#DIV/0!</v>
      </c>
      <c r="NL172" s="173" t="e">
        <f ca="1">(1-Control!$C$73)*$I172+$NJ172</f>
        <v>#DIV/0!</v>
      </c>
      <c r="NM172" s="172" t="e">
        <f ca="1">IF($NL172&lt;0.5, $MB172* MAX(0, MIN(1, (SQRT($NC172)-SQRT($NC172-1))*Control!$C$71)),0)</f>
        <v>#DIV/0!</v>
      </c>
      <c r="NN172" s="170" t="e">
        <f ca="1">IF($NL172&gt;=5, $MB172, MAX(0,MIN($MB172, $NM172+$NL172,($MS172-Control!$C$129))))</f>
        <v>#DIV/0!</v>
      </c>
      <c r="NO172" s="54">
        <f>IF(Control!$C$133&lt;&gt;1, Control!$C$135-Control!$C$131, 0)</f>
        <v>0.38</v>
      </c>
      <c r="NP172" s="54" t="e">
        <f t="shared" ca="1" si="570"/>
        <v>#DIV/0!</v>
      </c>
      <c r="NQ172" s="173" t="e">
        <f ca="1">MAX(0,MIN(1,(Control!$C$135-$MS172)/(Control!$C$135-$NO172)))</f>
        <v>#DIV/0!</v>
      </c>
      <c r="NR172" s="170" t="e">
        <f ca="1">IF(Control!$C$133&lt;&gt;1, $NQ172+((1-$NP172/4)*(1-$NQ172)),1)</f>
        <v>#DIV/0!</v>
      </c>
      <c r="NS172" s="170" t="e">
        <f ca="1">IF(Control!$B$31=0,$MJ172,MAX(0,MIN($MV172,$MO172*$NR172*$MJ172)))</f>
        <v>#DIV/0!</v>
      </c>
      <c r="NT172" s="170" t="e">
        <f t="shared" ca="1" si="686"/>
        <v>#DIV/0!</v>
      </c>
      <c r="NU172" s="170" t="e">
        <f t="shared" ca="1" si="662"/>
        <v>#N/A</v>
      </c>
      <c r="NV172" s="170" t="e">
        <f t="shared" ca="1" si="571"/>
        <v>#N/A</v>
      </c>
      <c r="NW172" s="175" t="e">
        <f t="shared" ca="1" si="572"/>
        <v>#DIV/0!</v>
      </c>
      <c r="NX172" s="170" t="e">
        <f ca="1">MIN(Control!$C$72+$MU172, $NW172)</f>
        <v>#DIV/0!</v>
      </c>
      <c r="NY172" s="170" t="e">
        <f ca="1">IF($MT172&lt;=$NX172,MIN(Control!$C$72+$NB172,$NX172-$MT172),0)</f>
        <v>#DIV/0!</v>
      </c>
      <c r="NZ172" s="54" t="e">
        <f ca="1">IF(Control!$C$114=1,  $CX172*($MX172-Control!$C$127), 0)</f>
        <v>#DIV/0!</v>
      </c>
      <c r="OA172" s="170" t="e">
        <f t="shared" ca="1" si="573"/>
        <v>#DIV/0!</v>
      </c>
      <c r="OB172" s="170" t="e">
        <f ca="1">IF($NA172 &lt;=$NY172, MIN(Control!$C$72, $NY172-$NA172), 0)</f>
        <v>#DIV/0!</v>
      </c>
      <c r="OC172" s="168" t="e">
        <f t="shared" ca="1" si="574"/>
        <v>#DIV/0!</v>
      </c>
      <c r="OD172" s="168" t="e">
        <f t="shared" ca="1" si="663"/>
        <v>#DIV/0!</v>
      </c>
      <c r="OE172" s="170">
        <f ca="1">Control!$C$73*$I172</f>
        <v>0</v>
      </c>
      <c r="OF172" s="176" t="e">
        <f t="shared" ca="1" si="575"/>
        <v>#DIV/0!</v>
      </c>
      <c r="OG172" s="168" t="e">
        <f t="shared" ca="1" si="576"/>
        <v>#DIV/0!</v>
      </c>
      <c r="OH172" s="168" t="e">
        <f t="shared" ca="1" si="577"/>
        <v>#DIV/0!</v>
      </c>
      <c r="OI172" s="168" t="e">
        <f t="shared" ca="1" si="578"/>
        <v>#DIV/0!</v>
      </c>
      <c r="OJ172" s="168" t="e">
        <f t="shared" ca="1" si="579"/>
        <v>#DIV/0!</v>
      </c>
      <c r="OK172" s="204" t="e">
        <f t="shared" ca="1" si="580"/>
        <v>#DIV/0!</v>
      </c>
      <c r="OL172" s="177">
        <f>Control!$C$127</f>
        <v>0.15</v>
      </c>
      <c r="OM172" s="182" t="e">
        <f t="shared" ca="1" si="581"/>
        <v>#N/A</v>
      </c>
      <c r="ON172" s="177">
        <f>Control!$C$128</f>
        <v>0.35</v>
      </c>
      <c r="OO172" s="182" t="e">
        <f t="shared" ca="1" si="582"/>
        <v>#N/A</v>
      </c>
      <c r="OP172" s="138">
        <f t="shared" ca="1" si="664"/>
        <v>0</v>
      </c>
      <c r="OQ172" s="138" t="e">
        <f t="shared" ca="1" si="687"/>
        <v>#DIV/0!</v>
      </c>
      <c r="OR172" s="138" t="e">
        <f t="shared" ca="1" si="665"/>
        <v>#DIV/0!</v>
      </c>
      <c r="OS172" s="137" t="e">
        <f t="shared" ca="1" si="688"/>
        <v>#DIV/0!</v>
      </c>
      <c r="OT172" s="139" t="e">
        <f t="shared" ca="1" si="689"/>
        <v>#DIV/0!</v>
      </c>
      <c r="OU172" s="138" t="e">
        <f t="shared" ca="1" si="690"/>
        <v>#N/A</v>
      </c>
      <c r="OV172" s="138" t="e">
        <f t="shared" ca="1" si="691"/>
        <v>#DIV/0!</v>
      </c>
      <c r="OW172" s="138" t="e">
        <f t="shared" ca="1" si="666"/>
        <v>#DIV/0!</v>
      </c>
      <c r="OX172" s="138" t="e">
        <f t="shared" ca="1" si="667"/>
        <v>#DIV/0!</v>
      </c>
      <c r="OY172" s="138" t="e">
        <f t="shared" ca="1" si="668"/>
        <v>#DIV/0!</v>
      </c>
      <c r="OZ172" s="138" t="e">
        <f t="shared" ca="1" si="583"/>
        <v>#DIV/0!</v>
      </c>
      <c r="PA172" s="138" t="e">
        <f t="shared" ca="1" si="584"/>
        <v>#DIV/0!</v>
      </c>
      <c r="PB172" s="55">
        <f>IF(Control!$C$61="T", IF(Control!$C$65="F", IF($AH$6-Control!$C$60&lt;0,0,1), IF(365+$AH$6-Control!$C$60&lt;0,0,1)),0)</f>
        <v>0</v>
      </c>
      <c r="PC172" s="55">
        <f ca="1">IF(Control!$C$65="F", IF($AH$6-$HF172&lt;0,0,1), IF(365+$AH$6-$HF172&lt;0,0,1))</f>
        <v>1</v>
      </c>
      <c r="PD172" s="444">
        <f>Control!$C$118</f>
        <v>1500</v>
      </c>
      <c r="PE172" s="180" t="e">
        <f t="shared" ca="1" si="585"/>
        <v>#N/A</v>
      </c>
      <c r="PF172" s="445">
        <f t="shared" ca="1" si="669"/>
        <v>0.71612369323045078</v>
      </c>
      <c r="PT172" s="186"/>
      <c r="PU172" s="186"/>
      <c r="PV172" s="94"/>
      <c r="PW172" s="94"/>
      <c r="PX172" s="94"/>
      <c r="PY172" s="94"/>
      <c r="PZ172" s="94"/>
      <c r="QA172" s="94"/>
      <c r="QB172" s="94"/>
      <c r="QC172" s="94"/>
      <c r="QD172" s="94"/>
      <c r="QE172" s="94"/>
      <c r="QF172" s="94"/>
      <c r="QG172" s="94"/>
      <c r="QH172" s="94"/>
      <c r="QI172" s="94"/>
      <c r="QJ172" s="94"/>
      <c r="QK172" s="94"/>
      <c r="QL172" s="94"/>
      <c r="QM172" s="94"/>
      <c r="QN172" s="94"/>
      <c r="QO172" s="94"/>
      <c r="QP172" s="94"/>
    </row>
    <row r="173" spans="1:458" s="2" customFormat="1" x14ac:dyDescent="0.2">
      <c r="A173" s="395">
        <v>17</v>
      </c>
      <c r="B173" s="396">
        <v>6</v>
      </c>
      <c r="C173" s="387">
        <f ca="1">Weather_data!$B172</f>
        <v>0</v>
      </c>
      <c r="D173" s="388">
        <f ca="1">Weather_data!$F172</f>
        <v>0</v>
      </c>
      <c r="E173" s="388">
        <f ca="1">Weather_data!$E172</f>
        <v>0</v>
      </c>
      <c r="F173" s="388">
        <f t="shared" ca="1" si="586"/>
        <v>0</v>
      </c>
      <c r="G173" s="388">
        <f ca="1">AVERAGE($D173:$E173)+Control!$B$9</f>
        <v>0</v>
      </c>
      <c r="H173" s="388">
        <f ca="1">Weather_data!$G172</f>
        <v>0</v>
      </c>
      <c r="I173" s="388">
        <f ca="1">Weather_data!$I172</f>
        <v>0</v>
      </c>
      <c r="J173" s="388">
        <f ca="1">Weather_data!$H172</f>
        <v>0</v>
      </c>
      <c r="K173" s="389">
        <f ca="1">Weather_data!$D172</f>
        <v>0</v>
      </c>
      <c r="L173" s="388" t="e">
        <f t="shared" ca="1" si="587"/>
        <v>#N/A</v>
      </c>
      <c r="M173" s="388" t="e">
        <f t="shared" ca="1" si="465"/>
        <v>#N/A</v>
      </c>
      <c r="N173" s="388">
        <f t="shared" ca="1" si="466"/>
        <v>-1.1414820346980891E-8</v>
      </c>
      <c r="O173" s="388">
        <f t="shared" ca="1" si="588"/>
        <v>1.1414820346980892E-7</v>
      </c>
      <c r="P173" s="390">
        <v>3</v>
      </c>
      <c r="Q173" s="388">
        <f ca="1">MAX($G173-Control!$C$107,0)</f>
        <v>0</v>
      </c>
      <c r="R173" s="388">
        <f t="shared" ca="1" si="589"/>
        <v>0</v>
      </c>
      <c r="S173" s="388">
        <f t="shared" ca="1" si="467"/>
        <v>0</v>
      </c>
      <c r="T173" s="388">
        <f t="shared" ca="1" si="468"/>
        <v>0</v>
      </c>
      <c r="U173" s="59">
        <f t="shared" ca="1" si="469"/>
        <v>0</v>
      </c>
      <c r="V173" s="391">
        <f ca="1">MAX(0,MIN(Control!$C$100-Control!$C$99,$G173-Control!$C$99)*Control!$C$63)</f>
        <v>0</v>
      </c>
      <c r="W173" s="388">
        <f t="shared" ca="1" si="590"/>
        <v>0</v>
      </c>
      <c r="X173" s="388">
        <f t="shared" ca="1" si="591"/>
        <v>0.6110000000000001</v>
      </c>
      <c r="Y173" s="388">
        <f t="shared" ca="1" si="470"/>
        <v>0</v>
      </c>
      <c r="Z173" s="388">
        <f t="shared" ca="1" si="592"/>
        <v>0.61058800000000002</v>
      </c>
      <c r="AA173" s="388">
        <f t="shared" ca="1" si="471"/>
        <v>0.6018</v>
      </c>
      <c r="AB173" s="388">
        <f ca="1">101.3*EXP(-0.034*Control!$C$66/($G173+273))</f>
        <v>100.69623283836242</v>
      </c>
      <c r="AC173" s="392">
        <f t="shared" ca="1" si="472"/>
        <v>4.3460251046025113E-2</v>
      </c>
      <c r="AD173" s="392">
        <f t="shared" ca="1" si="473"/>
        <v>4.4450382862832649E-2</v>
      </c>
      <c r="AE173" s="388">
        <f t="shared" ca="1" si="474"/>
        <v>0</v>
      </c>
      <c r="AF173" s="388">
        <f ca="1">MAX(0,$G173-Control!$C$92)</f>
        <v>0</v>
      </c>
      <c r="AG173" s="393">
        <f t="shared" ca="1" si="475"/>
        <v>169</v>
      </c>
      <c r="AH173" s="389">
        <f t="shared" ca="1" si="476"/>
        <v>169</v>
      </c>
      <c r="AI173" s="388">
        <f t="shared" ca="1" si="593"/>
        <v>0.40849391696575371</v>
      </c>
      <c r="AJ173" s="388">
        <f ca="1">IF(Control!$C$60&lt;=0,$HH173,$HI173)</f>
        <v>1</v>
      </c>
      <c r="AK173" s="388">
        <f t="shared" ca="1" si="477"/>
        <v>1.5320643625725567</v>
      </c>
      <c r="AL173" s="388">
        <f t="shared" ca="1" si="478"/>
        <v>1.2621934747381048E-18</v>
      </c>
      <c r="AM173" s="388">
        <f t="shared" ca="1" si="479"/>
        <v>1.5320643625725567</v>
      </c>
      <c r="AN173" s="388">
        <f t="shared" ca="1" si="480"/>
        <v>0.40879254381917113</v>
      </c>
      <c r="AO173" s="388">
        <f ca="1">-0.10453/COS(Control!$B$8*PI()/180)*COS(AN173)</f>
        <v>-0.15579483886867981</v>
      </c>
      <c r="AP173" s="388">
        <f ca="1">ACOS(AO173-TAN(Control!$B$8*PI()/180)*TAN(AN173))</f>
        <v>2.3606651742093621</v>
      </c>
      <c r="AQ173" s="388">
        <f t="shared" ca="1" si="594"/>
        <v>0</v>
      </c>
      <c r="AR173" s="394">
        <f t="shared" ca="1" si="481"/>
        <v>0</v>
      </c>
      <c r="AS173" s="436">
        <f ca="1">IF(Control!$B$18=2,(IF(OR($AH173=Control!$B$175,$AH173=Control!$B$176,$AH173=Control!$B$177,$AH173=Control!$B$178,$AH173=Control!$B$179,$AH173=Control!$B$180,$AH173=Control!$B$181,$AH173=Control!$B$182,$AH173=Control!$B$183,$AH173=Control!$B$184,$AH173=Control!$B$185),1,0)),0)</f>
        <v>0</v>
      </c>
      <c r="AT173" s="436">
        <f>IF(Control!$B$20=8,IF(AND($AH173&gt;=Control!$B$172,$AH173&lt;=Control!$B$173),1,0),0)</f>
        <v>0</v>
      </c>
      <c r="AU173" s="436">
        <f>IF(Control!$B$20=8,IF($AV172=1,1*$AT173,IF($AT173=1,$AU172+1,$AU172)),0)</f>
        <v>0</v>
      </c>
      <c r="AV173" s="436">
        <f>IF(Control!$B$20=8,IF($AU173&gt;=Control!$B$174,1,0),0)</f>
        <v>0</v>
      </c>
      <c r="AW173" s="436">
        <f ca="1">IF(AND(Control!$B$18=2,Control!$B$171=1), $AV173, $AS173)</f>
        <v>0</v>
      </c>
      <c r="AX173" s="436" t="e">
        <f ca="1">IF(AND(Control!$B$18=1,$EU173&gt;=Control!$B$19),-$AY173,IF(AND(Control!$B$18=2,$AW173=1,$EU173&gt;$DS173),-$AY173, IF(Control!$C$108=0,0, IF(Control!$C$108&lt;&gt;0,1))))</f>
        <v>#N/A</v>
      </c>
      <c r="AY173" s="436" t="e">
        <f t="shared" ca="1" si="595"/>
        <v>#N/A</v>
      </c>
      <c r="AZ173" s="436" t="e">
        <f ca="1">IF(AND(Control!$B$18=1,$EB173&gt;Control!$B$19),$AZ172+1, IF(AND(Control!$B$18=2, $AW173=1, $EB173&gt;$DS173), $AZ172+1,$AZ172))</f>
        <v>#N/A</v>
      </c>
      <c r="BA173" s="587">
        <f>IF(Control!$C$81=0,1,IF($AH173&gt;=Control!$C$82,1,0))</f>
        <v>1</v>
      </c>
      <c r="BB173" s="140" t="e">
        <f ca="1">IF($BA173&gt;$BA172,Control!$C$83,IF($AW173&gt;0,$AW173*Control!$C$84,IF(AND(Control!$B$18=1,EN172&lt;&gt;0),Control!$C$84,0)))</f>
        <v>#N/A</v>
      </c>
      <c r="BC173" s="140" t="e">
        <f t="shared" ca="1" si="596"/>
        <v>#N/A</v>
      </c>
      <c r="BD173" s="140" t="e">
        <f ca="1">BC173*IF(OR($G173&lt;Control!$C$92,$G173&gt;Control!$C$95),0,IF(AND($G173&gt;=Control!$C$92,$G173&lt;=Control!$C$93),$G173-Control!$C$92,IF(AND($G173&gt;Control!$C$93,$G173&lt;=Control!$C$94),Control!$C$93-Control!$C$92,IF(AND($G173&gt;Control!$C$94,$G173&lt;=Control!$C$95),(Control!$C$93-Control!$C$92)*(Control!$C$94-$G173)/(Control!$C$95-Control!$C$94)))))</f>
        <v>#N/A</v>
      </c>
      <c r="BE173" s="140" t="e">
        <f t="shared" ca="1" si="597"/>
        <v>#N/A</v>
      </c>
      <c r="BF173" s="140" t="e">
        <f ca="1">IF($BE173&lt;=Control!$C$86,$BE173,Control!$C$86-$BE173)</f>
        <v>#N/A</v>
      </c>
      <c r="BG173" s="140" t="e">
        <f ca="1">IF(AND($AW173=1,Control!$C$84&lt;9),1,IF($BE173&gt;=Control!$C$86,0,$BC173))</f>
        <v>#N/A</v>
      </c>
      <c r="BH173" s="404" t="e">
        <f ca="1">IF($BG173=0,0,IF($BE173&lt;=Control!$C$86,$BC173*9*($BF173/Control!$C$86),0))</f>
        <v>#N/A</v>
      </c>
      <c r="BI173" s="140" t="e">
        <f ca="1">IF($BG173=1,0,IF($BE173&gt;=Control!$C$86,1,IF(AND($BB173&lt;21,$BB173&gt;=9),1,$BM172)))</f>
        <v>#N/A</v>
      </c>
      <c r="BJ173" s="140" t="e">
        <f ca="1">IF($BF173&lt;0,-$BF173,$BI173*IF(OR($G173&lt;Control!$C$92,$G173&gt;Control!$C$95),0,IF(AND($G173&gt;=Control!$C$92,$G173&lt;=Control!$C$93),$G173-Control!$C$92,IF(AND($G173&gt;Control!$C$93,$G173&lt;=Control!$C$94),Control!$C$93-Control!$C$92,IF(AND($G173&gt;Control!$C$94,$G173&lt;=Control!$C$95),(Control!$C$93-Control!$C$92)*(Control!$C$94-$G173)/(Control!$C$95-Control!$C$94))))))</f>
        <v>#N/A</v>
      </c>
      <c r="BK173" s="140" t="e">
        <f t="shared" ca="1" si="598"/>
        <v>#N/A</v>
      </c>
      <c r="BL173" s="140" t="e">
        <f ca="1">IF($BK173&lt;=Control!$C$87,$BK173,Control!$C$87-$BK173)</f>
        <v>#N/A</v>
      </c>
      <c r="BM173" s="140" t="e">
        <f ca="1">IF(AND($BB173&gt;=9,$BB173&lt;21),1,IF($BK173&gt;=Control!$C$87,0,$BI173))</f>
        <v>#N/A</v>
      </c>
      <c r="BN173" s="404" t="e">
        <f ca="1">IF($BM173=0,0,IF($BK173&lt;=Control!$C$87,$BI173*(9+(21-9)*($BL173/Control!$C$87)),0))</f>
        <v>#N/A</v>
      </c>
      <c r="BO173" s="140" t="e">
        <f ca="1">IF($BM173=1,0,IF($BK173&gt;=Control!$C$87,1,IF(AND($BB173&lt;30,$BB173&gt;=21),1,$BS172)))</f>
        <v>#N/A</v>
      </c>
      <c r="BP173" s="140" t="e">
        <f ca="1">IF($BL173&lt;0,-$BL173,$BO173*IF(OR($G173&lt;Control!$C$92,$G173&gt;Control!$C$95),0,IF(AND($G173&gt;=Control!$C$92,$G173&lt;=Control!$C$93),$G173-Control!$C$92,IF(AND($G173&gt;Control!$C$93,$G173&lt;=Control!$C$94),Control!$C$93-Control!$C$92,IF(AND($G173&gt;Control!$C$94,$G173&lt;=Control!$C$95),(Control!$C$93-Control!$C$92)*(Control!$C$94-$G173)/(Control!$C$95-Control!$C$94))))))</f>
        <v>#N/A</v>
      </c>
      <c r="BQ173" s="140" t="e">
        <f t="shared" ca="1" si="482"/>
        <v>#N/A</v>
      </c>
      <c r="BR173" s="140" t="e">
        <f ca="1">IF($BQ173&lt;=Control!$C$88,$BQ173,Control!$C$88-$BQ173)</f>
        <v>#N/A</v>
      </c>
      <c r="BS173" s="140" t="e">
        <f ca="1">IF(AND($BB173&gt;=21,$BB173&lt;30),1,IF($BQ173&gt;=Control!$C$88,0,$BO173))</f>
        <v>#N/A</v>
      </c>
      <c r="BT173" s="404" t="e">
        <f ca="1">IF($BS173=0,0,IF($BQ173&lt;=Control!$C$88,$BO173*(21+(30-21)*(BR173/Control!$C$88)),0))</f>
        <v>#N/A</v>
      </c>
      <c r="BU173" s="140" t="e">
        <f ca="1">IF(BG173+BM173+BS173=1,0,IF(OR(AND($BB173&lt;60,$BB173&gt;=30),$BQ173&gt;=Control!$C$88),1*$BA173,$BY172))</f>
        <v>#N/A</v>
      </c>
      <c r="BV173" s="140" t="e">
        <f ca="1">IF($BR173&lt;0,-$BR173,$BU173*IF(OR($G173&lt;Control!$C$92,$G173&gt;Control!$C$95),0,IF(AND($G173&gt;=Control!$C$92,$G173&lt;=Control!$C$93),$G173-Control!$C$92,IF(AND($G173&gt;Control!$C$93,$G173&lt;=Control!$C$94),Control!$C$93-Control!$C$92,IF(AND($G173&gt;Control!$C$94,$G173&lt;=Control!$C$95),(Control!$C$93-Control!$C$92)*(Control!$C$94-$G173)/(Control!$C$95-Control!$C$94))))))</f>
        <v>#N/A</v>
      </c>
      <c r="BW173" s="140" t="e">
        <f t="shared" ca="1" si="483"/>
        <v>#N/A</v>
      </c>
      <c r="BX173" s="140" t="e">
        <f ca="1">IF($BW173&lt;=Control!$C$89,$BW173,Control!$C$89-$BW173)</f>
        <v>#N/A</v>
      </c>
      <c r="BY173" s="140" t="e">
        <f ca="1">IF(AND($AJ173&gt;=30,$AJ173&lt;60),1,IF($BW173&gt;=Control!$C$89,0,$BU173))</f>
        <v>#N/A</v>
      </c>
      <c r="BZ173" s="404" t="e">
        <f ca="1">IF($BY173=0,0,IF($BW173&lt;=Control!$C$89,$BU173*(30+(60-30)*(BX173/Control!$C$89)),0))</f>
        <v>#N/A</v>
      </c>
      <c r="CA173" s="140" t="e">
        <f ca="1">IF($BG173+$BM173+$BS173+$BY173=1,0,IF(OR(AND($BB173&lt;65,$BB173&gt;=60),$BW173&gt;=Control!$C$89),1*$BA173,$CE172))</f>
        <v>#N/A</v>
      </c>
      <c r="CB173" s="140" t="e">
        <f ca="1">IF($BX173&lt;0,-$BX173,$CA173*IF(OR($G173&lt;Control!$C$92,$G173&gt;Control!$C$95),0,IF(AND($G173&gt;=Control!$C$92,$G173&lt;=Control!$C$93),$G173-Control!$C$92,IF(AND($G173&gt;Control!$C$93,$G173&lt;=Control!$C$94),Control!$C$93-Control!$C$92,IF(AND($G173&gt;Control!$C$94,$G173&lt;=Control!$C$95),(Control!$C$93-Control!$C$92)*(Control!$C$94-$G173)/(Control!$C$95-Control!$C$94))))))</f>
        <v>#N/A</v>
      </c>
      <c r="CC173" s="140" t="e">
        <f t="shared" ca="1" si="599"/>
        <v>#N/A</v>
      </c>
      <c r="CD173" s="140" t="e">
        <f ca="1">IF($CC173&lt;=Control!$C$90,$CC173,Control!$C$90-$CC173)</f>
        <v>#N/A</v>
      </c>
      <c r="CE173" s="140" t="e">
        <f ca="1">IF(AND($BB173&gt;=60,$BB173&lt;65),1,IF($CC173&gt;=Control!$C$90,0,$CA173))</f>
        <v>#N/A</v>
      </c>
      <c r="CF173" s="404" t="e">
        <f ca="1">IF($CE173=0,0,IF($CC173&lt;=Control!$C$90,$CA173*(60+(65-60)*(CD173/Control!$C$90)),0))</f>
        <v>#N/A</v>
      </c>
      <c r="CG173" s="140" t="e">
        <f ca="1">IF($BG173+$BM173+$BS173+$BY173+$CE173=1,0,IF(OR(AND($BB173&lt;90,$BB173&gt;=65),$CC173&gt;=Control!$C$90),$BA173,$CK172))</f>
        <v>#N/A</v>
      </c>
      <c r="CH173" s="140" t="e">
        <f ca="1">IF($CD173&lt;0,-$CD173,$CG173*IF(OR($G173&lt;Control!$C$92,$G173&gt;Control!$C$95),0,IF(AND($G173&gt;=Control!$C$92,$G173&lt;=Control!$C$93),$G173-Control!$C$92,IF(AND($G173&gt;Control!$C$93,$G173&lt;=Control!$C$94),Control!$C$93-Control!$C$92,IF(AND($G173&gt;Control!$C$94,$G173&lt;=Control!$C$95),(Control!$C$93-Control!$C$92)*(Control!$C$94-$G173)/(Control!$C$95-Control!$C$94))))))</f>
        <v>#N/A</v>
      </c>
      <c r="CI173" s="140" t="e">
        <f t="shared" ca="1" si="600"/>
        <v>#N/A</v>
      </c>
      <c r="CJ173" s="140" t="e">
        <f ca="1">IF($CI173&lt;=Control!$C$91,$CI173,Control!$C$91-$CI173)</f>
        <v>#N/A</v>
      </c>
      <c r="CK173" s="140" t="e">
        <f ca="1">IF(AND($BB173&gt;=65,$BB173&lt;90),1,IF($CI173&gt;=Control!$C$91,0,$CG173))</f>
        <v>#N/A</v>
      </c>
      <c r="CL173" s="404" t="e">
        <f ca="1">IF($CK173=0,0,IF($CI173&lt;=Control!$C$91,$CG173*(65+(90-65)*($CJ173/Control!$C$91)),0))</f>
        <v>#N/A</v>
      </c>
      <c r="CM173" s="140" t="e">
        <f ca="1">IF($BG173+$BM173+$BS173+$BY173+$CE173+$CK173=1,0,IF(OR($BB173&gt;=90,$CI173&gt;=Control!$C$91),$BA173,$CM172))</f>
        <v>#N/A</v>
      </c>
      <c r="CN173" s="140" t="e">
        <f t="shared" ca="1" si="601"/>
        <v>#N/A</v>
      </c>
      <c r="CO173" s="140" t="e">
        <f t="shared" ca="1" si="602"/>
        <v>#N/A</v>
      </c>
      <c r="CP173" s="140" t="e">
        <f t="shared" ca="1" si="603"/>
        <v>#N/A</v>
      </c>
      <c r="CQ173" s="141" t="e">
        <f ca="1">VLOOKUP($CP173,Control!$B$86:$G$91,6)</f>
        <v>#N/A</v>
      </c>
      <c r="CR173" s="141" t="e">
        <f ca="1">(1-$CQ173)*VLOOKUP($CP173,Control!$B$86:$D$91,3)</f>
        <v>#N/A</v>
      </c>
      <c r="CS173" s="141" t="e">
        <f ca="1">(1-$CQ173)*VLOOKUP($CP173,Control!$B$86:$E$91,4)</f>
        <v>#N/A</v>
      </c>
      <c r="CT173" s="141" t="e">
        <f ca="1">(1-$CQ173)*VLOOKUP($CP173,Control!$B$86:$F$91,5)</f>
        <v>#N/A</v>
      </c>
      <c r="CU173" s="141">
        <f t="shared" ca="1" si="604"/>
        <v>0</v>
      </c>
      <c r="CV173" s="583">
        <f t="shared" ca="1" si="605"/>
        <v>0</v>
      </c>
      <c r="CW173" s="142">
        <f t="shared" ca="1" si="606"/>
        <v>169</v>
      </c>
      <c r="CX173" s="612" t="e">
        <f ca="1">IF(Control!$C$114=1,(MIN(Control!$C$120*(IF($NT173-0.01&lt;0,0,1)),Control!$C$119-$CY173)))</f>
        <v>#DIV/0!</v>
      </c>
      <c r="CY173" s="143" t="e">
        <f t="shared" ca="1" si="607"/>
        <v>#N/A</v>
      </c>
      <c r="CZ173" s="144">
        <f t="shared" ca="1" si="484"/>
        <v>0</v>
      </c>
      <c r="DA173" s="144">
        <f t="shared" ca="1" si="485"/>
        <v>0</v>
      </c>
      <c r="DB173" s="144" t="e">
        <f t="shared" ca="1" si="486"/>
        <v>#N/A</v>
      </c>
      <c r="DC173" s="144" t="e">
        <f t="shared" ca="1" si="487"/>
        <v>#N/A</v>
      </c>
      <c r="DD173" s="144" t="e">
        <f t="shared" ca="1" si="692"/>
        <v>#N/A</v>
      </c>
      <c r="DE173" s="143" t="e">
        <f t="shared" ca="1" si="608"/>
        <v>#N/A</v>
      </c>
      <c r="DF173" s="145" t="e">
        <f ca="1">$DR173*EXP(-Control!$C$158*(1-$KH173))</f>
        <v>#N/A</v>
      </c>
      <c r="DG173" s="146" t="e">
        <f ca="1">IF(Control!$C$114=1, $DF173*$EY173, 0)</f>
        <v>#N/A</v>
      </c>
      <c r="DH173" s="147" t="e">
        <f t="shared" ca="1" si="609"/>
        <v>#N/A</v>
      </c>
      <c r="DI173" s="144" t="e">
        <f t="shared" ca="1" si="670"/>
        <v>#N/A</v>
      </c>
      <c r="DJ173" s="147" t="e">
        <f ca="1">$EF173*Control!$C$109</f>
        <v>#N/A</v>
      </c>
      <c r="DK173" s="144" t="e">
        <f t="shared" ca="1" si="610"/>
        <v>#N/A</v>
      </c>
      <c r="DL173" s="144" t="e">
        <f t="shared" ca="1" si="488"/>
        <v>#N/A</v>
      </c>
      <c r="DM173" s="144" t="e">
        <f ca="1">IF(Control!$C$114=1, (1-EXP(-Control!$C$96*$DK173))*$AR173, 0)</f>
        <v>#N/A</v>
      </c>
      <c r="DN173" s="144">
        <f t="shared" ca="1" si="611"/>
        <v>0</v>
      </c>
      <c r="DO173" s="148">
        <f>Control!$C$97</f>
        <v>4</v>
      </c>
      <c r="DP173" s="145" t="e">
        <f t="shared" ca="1" si="612"/>
        <v>#N/A</v>
      </c>
      <c r="DQ173" s="145" t="e">
        <f ca="1">IF(AND($CP173&gt;=0,$CP173&lt;=90),Control!$C$111,Control!$C$111)</f>
        <v>#N/A</v>
      </c>
      <c r="DR173" s="145" t="e">
        <f t="shared" ca="1" si="489"/>
        <v>#N/A</v>
      </c>
      <c r="DS173" s="143" t="e">
        <f ca="1">Control!$B$22/$DR173</f>
        <v>#N/A</v>
      </c>
      <c r="DT173" s="149" t="e">
        <f ca="1">IF(AND(Control!$C$114=1,$KH173&lt;1),$IM173*$DF173, 0)</f>
        <v>#N/A</v>
      </c>
      <c r="DU173" s="144" t="e">
        <f t="shared" ca="1" si="613"/>
        <v>#N/A</v>
      </c>
      <c r="DV173" s="144">
        <f ca="1">IF($G173-Control!$C$107&lt;=0, 0, 0.83*LN(MAX($G173, 3))-0.8924)</f>
        <v>0</v>
      </c>
      <c r="DW173" s="144" t="e">
        <f t="shared" ca="1" si="490"/>
        <v>#N/A</v>
      </c>
      <c r="DX173" s="150" t="e">
        <f ca="1">MAX(0.01*(1+$CU173/Control!$C$102),0.05*($DK173-Control!$C$97)/Control!$C$97)</f>
        <v>#N/A</v>
      </c>
      <c r="DY173" s="151" t="e">
        <f ca="1">IF(Control!$C$114=1, $DI173*$FS173, 0)</f>
        <v>#N/A</v>
      </c>
      <c r="DZ173" s="196" t="e">
        <f t="shared" ca="1" si="614"/>
        <v>#N/A</v>
      </c>
      <c r="EA173" s="152">
        <f t="shared" ca="1" si="615"/>
        <v>169</v>
      </c>
      <c r="EB173" s="153" t="e">
        <f t="shared" ca="1" si="616"/>
        <v>#N/A</v>
      </c>
      <c r="EC173" s="153" t="e">
        <f t="shared" ca="1" si="617"/>
        <v>#N/A</v>
      </c>
      <c r="ED173" s="154" t="e">
        <f ca="1">IF(Control!$C$114=1, $HM173*$FY173-$FD173, 0)</f>
        <v>#DIV/0!</v>
      </c>
      <c r="EE173" s="155" t="e">
        <f ca="1">IF(Control!$C$114=1, $HM173*$FZ173-$FF173, 0)</f>
        <v>#DIV/0!</v>
      </c>
      <c r="EF173" s="153" t="e">
        <f t="shared" ca="1" si="671"/>
        <v>#N/A</v>
      </c>
      <c r="EG173" s="155" t="e">
        <f ca="1">IF(Control!$C$114=1, $GX173*$FW173-$FI173, 0)</f>
        <v>#DIV/0!</v>
      </c>
      <c r="EH173" s="153" t="e">
        <f t="shared" ca="1" si="618"/>
        <v>#N/A</v>
      </c>
      <c r="EI173" s="156" t="e">
        <f t="shared" ca="1" si="619"/>
        <v>#N/A</v>
      </c>
      <c r="EJ173" s="155" t="e">
        <f ca="1">IF(Control!$C$114=1, $HM173*$GB173, 0)</f>
        <v>#DIV/0!</v>
      </c>
      <c r="EK173" s="153" t="e">
        <f t="shared" ca="1" si="672"/>
        <v>#N/A</v>
      </c>
      <c r="EL173" s="153" t="e">
        <f t="shared" ca="1" si="491"/>
        <v>#N/A</v>
      </c>
      <c r="EM173" s="153" t="e">
        <f t="shared" ca="1" si="492"/>
        <v>#N/A</v>
      </c>
      <c r="EN173" s="153" t="e">
        <f ca="1">IF(Control!$C$108=1,IF(AND(Control!$B$18=1,$EB173&gt;=Control!$B$19),$EB173-$DS173,IF(AND(Control!$B$18=2,$AW173=1,$EB173&gt;$DS173),$EB173-$DS173,0)))</f>
        <v>#N/A</v>
      </c>
      <c r="EO173" s="153" t="e">
        <f ca="1">IF(Control!$C$108=1,IF(AND(Control!$B$18=1,$EB173&gt;=Control!$B$19),$EF173,IF(AND(Control!$B$18=2,$AW173=1),$EF173,0)))</f>
        <v>#N/A</v>
      </c>
      <c r="EP173" s="153" t="e">
        <f ca="1">IF(Control!$C$108=1,IF(AND(Control!$B$18=1,$EB173&gt;=Control!$B$19),$EK173,IF(AND(Control!$B$18=2,$AW173=1),$EK173,0)))</f>
        <v>#N/A</v>
      </c>
      <c r="EQ173" s="153" t="e">
        <f t="shared" ca="1" si="620"/>
        <v>#N/A</v>
      </c>
      <c r="ER173" s="153" t="e">
        <f t="shared" ca="1" si="621"/>
        <v>#N/A</v>
      </c>
      <c r="ES173" s="153" t="e">
        <f t="shared" ca="1" si="673"/>
        <v>#N/A</v>
      </c>
      <c r="ET173" s="153" t="e">
        <f t="shared" ca="1" si="674"/>
        <v>#N/A</v>
      </c>
      <c r="EU173" s="153" t="e">
        <f t="shared" ca="1" si="622"/>
        <v>#N/A</v>
      </c>
      <c r="EV173" s="153" t="e">
        <f t="shared" ca="1" si="493"/>
        <v>#N/A</v>
      </c>
      <c r="EW173" s="153" t="e">
        <f t="shared" ca="1" si="494"/>
        <v>#N/A</v>
      </c>
      <c r="EX173" s="153" t="e">
        <f t="shared" ca="1" si="495"/>
        <v>#N/A</v>
      </c>
      <c r="EY173" s="157" t="e">
        <f t="shared" ca="1" si="496"/>
        <v>#DIV/0!</v>
      </c>
      <c r="EZ173" s="154" t="e">
        <f t="shared" ca="1" si="497"/>
        <v>#DIV/0!</v>
      </c>
      <c r="FA173" s="153" t="e">
        <f t="shared" ca="1" si="623"/>
        <v>#N/A</v>
      </c>
      <c r="FB173" s="153" t="e">
        <f t="shared" ca="1" si="498"/>
        <v>#N/A</v>
      </c>
      <c r="FC173" s="193" t="e">
        <f t="shared" ca="1" si="499"/>
        <v>#N/A</v>
      </c>
      <c r="FD173" s="158" t="e">
        <f t="shared" ca="1" si="624"/>
        <v>#N/A</v>
      </c>
      <c r="FE173" s="158" t="e">
        <f t="shared" ca="1" si="625"/>
        <v>#N/A</v>
      </c>
      <c r="FF173" s="159" t="e">
        <f t="shared" ca="1" si="500"/>
        <v>#N/A</v>
      </c>
      <c r="FG173" s="160" t="e">
        <f t="shared" ca="1" si="626"/>
        <v>#N/A</v>
      </c>
      <c r="FH173" s="158" t="e">
        <f t="shared" ca="1" si="627"/>
        <v>#N/A</v>
      </c>
      <c r="FI173" s="159" t="e">
        <f t="shared" ca="1" si="501"/>
        <v>#N/A</v>
      </c>
      <c r="FJ173" s="160" t="e">
        <f t="shared" ca="1" si="628"/>
        <v>#N/A</v>
      </c>
      <c r="FK173" s="160" t="e">
        <f t="shared" ca="1" si="502"/>
        <v>#N/A</v>
      </c>
      <c r="FL173" s="160" t="e">
        <f t="shared" ca="1" si="675"/>
        <v>#N/A</v>
      </c>
      <c r="FM173" s="160" t="e">
        <f t="shared" ca="1" si="503"/>
        <v>#N/A</v>
      </c>
      <c r="FN173" s="158">
        <f t="shared" ca="1" si="629"/>
        <v>0.01</v>
      </c>
      <c r="FO173" s="160">
        <f>Control!$C$101</f>
        <v>50</v>
      </c>
      <c r="FP173" s="150" t="e">
        <f t="shared" ca="1" si="504"/>
        <v>#N/A</v>
      </c>
      <c r="FQ173" s="150" t="e">
        <f ca="1">MAX(0,(Control!$C$112*(($DK173-Control!$C$97)/Control!$C$97)))</f>
        <v>#N/A</v>
      </c>
      <c r="FR173" s="150" t="e">
        <f ca="1">(1-$NT173)*Control!$C$113</f>
        <v>#DIV/0!</v>
      </c>
      <c r="FS173" s="198" t="e">
        <f t="shared" ca="1" si="505"/>
        <v>#N/A</v>
      </c>
      <c r="FT173" s="161">
        <f t="shared" ca="1" si="630"/>
        <v>169</v>
      </c>
      <c r="FU173" s="162" t="e">
        <f ca="1">IF(Control!$B$34=1,VLOOKUP($CP173,Control!$B$86:$G$91,6),Control!$B$35)</f>
        <v>#N/A</v>
      </c>
      <c r="FV173" s="162" t="e">
        <f t="shared" ca="1" si="506"/>
        <v>#DIV/0!</v>
      </c>
      <c r="FW173" s="162" t="e">
        <f ca="1">IF(Control!$B$31=1,$FU173*$FV173,  $FU173)</f>
        <v>#N/A</v>
      </c>
      <c r="FX173" s="162" t="e">
        <f ca="1">IF(Control!$B$34=1,VLOOKUP($CP173,Control!$B$86:$G$91,3),Control!$B$36)</f>
        <v>#N/A</v>
      </c>
      <c r="FY173" s="162" t="e">
        <f t="shared" ca="1" si="507"/>
        <v>#N/A</v>
      </c>
      <c r="FZ173" s="162" t="e">
        <f ca="1">IF(Control!$B$34=1,VLOOKUP($CP173,Control!$B$86:$G$91,4),Control!$B$37)</f>
        <v>#N/A</v>
      </c>
      <c r="GA173" s="162" t="e">
        <f t="shared" ca="1" si="508"/>
        <v>#N/A</v>
      </c>
      <c r="GB173" s="162" t="e">
        <f ca="1">IF(Control!$B$34=1,VLOOKUP($CP173,Control!$B$86:$G$91,5),Control!$B$38)</f>
        <v>#N/A</v>
      </c>
      <c r="GC173" s="162" t="e">
        <f t="shared" ca="1" si="631"/>
        <v>#N/A</v>
      </c>
      <c r="GD173" s="162">
        <f t="shared" ca="1" si="509"/>
        <v>1</v>
      </c>
      <c r="GE173" s="162">
        <f t="shared" ca="1" si="510"/>
        <v>1</v>
      </c>
      <c r="GF173" s="162">
        <f ca="1">IF(AND(Control!$C$104=1, Control!$C$62="F"),$GE173,1)</f>
        <v>1</v>
      </c>
      <c r="GG173" s="162" t="e">
        <f ca="1">IF(Control!$B$16=40,0,IF(AND(Control!$B$16&gt;40,Control!$B$16&lt;=360),(Control!$B$16-40)*((1-0)/(360-40)),IF(AND(Control!$B$16&gt;360,Control!$B$16&lt;=720),(1+(Control!$B$16-360)*((1.25-1)/(720-360))),IF(AND(Control!$B$16&gt;720,Control!$B$16&lt;=1000),(1.25+(Control!$B$16-720)*((1.35-1.25)/(1000-720))),IF(AND(Control!$B$16&gt;1000,Control!$B$16&lt;=2000),(1.35+(Control!$B$16-1000)*0))))))</f>
        <v>#N/A</v>
      </c>
      <c r="GH173" s="162" t="e">
        <f t="shared" ca="1" si="511"/>
        <v>#N/A</v>
      </c>
      <c r="GI173" s="162">
        <f t="shared" ca="1" si="632"/>
        <v>0</v>
      </c>
      <c r="GJ173" s="162">
        <f t="shared" ca="1" si="512"/>
        <v>0</v>
      </c>
      <c r="GK173" s="162">
        <f t="shared" ca="1" si="633"/>
        <v>1</v>
      </c>
      <c r="GL173" s="162">
        <f t="shared" ca="1" si="513"/>
        <v>1</v>
      </c>
      <c r="GM173" s="162" t="e">
        <f ca="1">MAX(0,MIN(1,1-Control!$C$156*(1.0001-$KH173)^2))</f>
        <v>#N/A</v>
      </c>
      <c r="GN173" s="162" t="e">
        <f ca="1">IF(Control!$B$26=1,$KU173,$KX173)</f>
        <v>#N/A</v>
      </c>
      <c r="GO173" s="162" t="e">
        <f ca="1">IF($CP173&lt;=60,Control!$C$105,IF($CP173&gt;=90,Control!$C$106,Control!$C$105+($CP173-60)*((Control!$C$106-Control!$C$105)/(90-60))))</f>
        <v>#N/A</v>
      </c>
      <c r="GP173" s="162" t="e">
        <f t="shared" ca="1" si="514"/>
        <v>#N/A</v>
      </c>
      <c r="GQ173" s="162" t="e">
        <f t="shared" ca="1" si="634"/>
        <v>#N/A</v>
      </c>
      <c r="GR173" s="163" t="e">
        <f t="shared" ca="1" si="515"/>
        <v>#DIV/0!</v>
      </c>
      <c r="GS173" s="162" t="e">
        <f t="shared" ca="1" si="516"/>
        <v>#DIV/0!</v>
      </c>
      <c r="GT173" s="164" t="e">
        <f t="shared" ca="1" si="635"/>
        <v>#N/A</v>
      </c>
      <c r="GU173" s="162" t="e">
        <f t="shared" ca="1" si="636"/>
        <v>#N/A</v>
      </c>
      <c r="GV173" s="162" t="e">
        <f t="shared" ca="1" si="517"/>
        <v>#N/A</v>
      </c>
      <c r="GW173" s="162" t="e">
        <f t="shared" ca="1" si="518"/>
        <v>#DIV/0!</v>
      </c>
      <c r="GX173" s="162" t="e">
        <f t="shared" ca="1" si="637"/>
        <v>#DIV/0!</v>
      </c>
      <c r="GY173" s="162" t="e">
        <f t="shared" ca="1" si="638"/>
        <v>#DIV/0!</v>
      </c>
      <c r="GZ173" s="165" t="e">
        <f t="shared" ca="1" si="519"/>
        <v>#N/A</v>
      </c>
      <c r="HA173" s="162" t="e">
        <f ca="1">IF(Control!$C$114=1, $DI173*$FS173, 0)</f>
        <v>#N/A</v>
      </c>
      <c r="HB173" s="162" t="e">
        <f ca="1">$FA173/Control!$C$64</f>
        <v>#N/A</v>
      </c>
      <c r="HC173" s="162" t="e">
        <f t="shared" ca="1" si="520"/>
        <v>#DIV/0!</v>
      </c>
      <c r="HD173" s="162">
        <f ca="1">-ASIN(SIN(23.45*Control!$C$139)*COS(2*Control!$C$138*($AH173+10)/365))</f>
        <v>0.40849391696575371</v>
      </c>
      <c r="HE173" s="165">
        <f t="shared" ca="1" si="639"/>
        <v>0</v>
      </c>
      <c r="HF173" s="166">
        <f ca="1">IF(AND(Control!$C$61="T",$HE173&gt;=Control!$C$103,Control!$C$114=0),$AH173,Control!$C$59)</f>
        <v>1</v>
      </c>
      <c r="HG173" s="166">
        <f ca="1">IF(AND(Control!$C$61="T",$HE173&gt;=Control!$C$103,Control!$C$114=0),$HF173,Control!$C$59)</f>
        <v>1</v>
      </c>
      <c r="HH173" s="165">
        <f ca="1">IF(AND(OR(Control!$C$60&lt;=0, $AH173= Control!$C$59, Control!$C$60 &gt;0, $AH173 = Control!$C$60)), Control!$C$59, IF(Control!$C$60&gt;0, 0))</f>
        <v>1</v>
      </c>
      <c r="HI173" s="165">
        <f ca="1">IF(AND(OR(Control!$C$60&lt;=0, $AH173= Control!$C$59, Control!$C$60 &gt;0, $AH173 = Control!$C$60)), Control!$C$60, IF(Control!$C$60&lt;=0, 0))</f>
        <v>0</v>
      </c>
      <c r="HJ173" s="166">
        <f ca="1">IF(AND(Control!$C$62="F",$CV173&gt;=Control!$C$102),$AH173,0)</f>
        <v>0</v>
      </c>
      <c r="HK173" s="165" t="e">
        <f t="shared" ca="1" si="676"/>
        <v>#N/A</v>
      </c>
      <c r="HL173" s="166">
        <f ca="1">IF(AND(Control!$C$61="T",$HE173&gt;=Control!$C$103,Control!$C$114=0),$HF173,0)</f>
        <v>0</v>
      </c>
      <c r="HM173" s="201" t="e">
        <f t="shared" ca="1" si="521"/>
        <v>#DIV/0!</v>
      </c>
      <c r="HN173" s="215">
        <f t="shared" ca="1" si="640"/>
        <v>169</v>
      </c>
      <c r="HO173" s="216" t="e">
        <f ca="1">IF(AND($CP173&gt;=0, $CP173&lt;=90), Control!$C$152, Control!$C$152)</f>
        <v>#N/A</v>
      </c>
      <c r="HP173" s="216" t="e">
        <f t="shared" ca="1" si="522"/>
        <v>#N/A</v>
      </c>
      <c r="HQ173" s="217" t="e">
        <f ca="1">IF(OR(Control!$B$26=1,Control!$B$26=2),$KV173,$KS173)</f>
        <v>#DIV/0!</v>
      </c>
      <c r="HR173" s="218" t="e">
        <f t="shared" ca="1" si="677"/>
        <v>#DIV/0!</v>
      </c>
      <c r="HS173" s="216" t="e">
        <f ca="1">Control!$C$154*$HP173</f>
        <v>#N/A</v>
      </c>
      <c r="HT173" s="216" t="e">
        <f ca="1">Control!$C$155*$HP173</f>
        <v>#N/A</v>
      </c>
      <c r="HU173" s="217" t="e">
        <f ca="1">Control!$C$161*$FI173</f>
        <v>#N/A</v>
      </c>
      <c r="HV173" s="218" t="e">
        <f t="shared" ca="1" si="641"/>
        <v>#N/A</v>
      </c>
      <c r="HW173" s="218" t="e">
        <f ca="1">Control!$C$160*$FF173+$IP173*$EO173</f>
        <v>#N/A</v>
      </c>
      <c r="HX173" s="218" t="e">
        <f t="shared" ca="1" si="678"/>
        <v>#N/A</v>
      </c>
      <c r="HY173" s="219" t="e">
        <f ca="1">IF(Control!$C$114=1, $EB173*$FS173, 0)</f>
        <v>#N/A</v>
      </c>
      <c r="HZ173" s="91" t="e">
        <f t="shared" ca="1" si="523"/>
        <v>#N/A</v>
      </c>
      <c r="IA173" s="220" t="e">
        <f ca="1">Control!$C$153*$HO173</f>
        <v>#N/A</v>
      </c>
      <c r="IB173" s="218" t="e">
        <f t="shared" ca="1" si="524"/>
        <v>#N/A</v>
      </c>
      <c r="IC173" s="220" t="e">
        <f ca="1">Control!$C$153*$HT173</f>
        <v>#N/A</v>
      </c>
      <c r="ID173" s="218" t="e">
        <f t="shared" ca="1" si="525"/>
        <v>#N/A</v>
      </c>
      <c r="IE173" s="221" t="e">
        <f ca="1">($EB173*Control!$C$159+$EF173*Control!$C$160)/(IF($GZ173&lt;&gt;0,$GZ173,1))</f>
        <v>#N/A</v>
      </c>
      <c r="IF173" s="216" t="e">
        <f t="shared" ca="1" si="526"/>
        <v>#N/A</v>
      </c>
      <c r="IG173" s="91">
        <f ca="1">IF(OR(Control!$B$198=$AH173,Control!$B$199=$AH173, Control!$B$200=$AH173, Control!$B$201=$AH173, Control!$B$202=$AH173, Control!$B$203=$AH173, Control!$B$204=$AH173, Control!$B$205=$AH173, Control!$B$206=$AH173, Control!$B$207=$AH173), 1, 0)</f>
        <v>0</v>
      </c>
      <c r="IH173" s="91">
        <f ca="1">IF($IG173=0,0, VLOOKUP($AH173,Control!$B$198:$C$207,2))</f>
        <v>0</v>
      </c>
      <c r="II173" s="222">
        <f t="shared" ca="1" si="642"/>
        <v>0</v>
      </c>
      <c r="IJ173" s="91">
        <f>Control!$C$121</f>
        <v>0.7</v>
      </c>
      <c r="IK173" s="218">
        <f t="shared" ca="1" si="527"/>
        <v>0</v>
      </c>
      <c r="IL173" s="217" t="e">
        <f t="shared" ca="1" si="679"/>
        <v>#N/A</v>
      </c>
      <c r="IM173" s="223" t="e">
        <f ca="1">IF(AND(Control!$C$114=1,$KH173&lt;1),$EB173*Control!$C$148*(1-$KH173), 0)</f>
        <v>#N/A</v>
      </c>
      <c r="IN173" s="217" t="e">
        <f t="shared" ca="1" si="528"/>
        <v>#DIV/0!</v>
      </c>
      <c r="IO173" s="91" t="e">
        <f ca="1">MAX(0,$IL173-$EF173*Control!$C$160)</f>
        <v>#N/A</v>
      </c>
      <c r="IP173" s="220" t="e">
        <f t="shared" ca="1" si="529"/>
        <v>#N/A</v>
      </c>
      <c r="IQ173" s="217" t="e">
        <f t="shared" ca="1" si="643"/>
        <v>#N/A</v>
      </c>
      <c r="IR173" s="218" t="e">
        <f t="shared" ca="1" si="530"/>
        <v>#N/A</v>
      </c>
      <c r="IS173" s="217" t="e">
        <f ca="1">Control!$C$159*MAX(0,$FD173-$EN173)</f>
        <v>#N/A</v>
      </c>
      <c r="IT173" s="217" t="e">
        <f t="shared" ca="1" si="680"/>
        <v>#N/A</v>
      </c>
      <c r="IU173" s="217" t="e">
        <f t="shared" ca="1" si="644"/>
        <v>#N/A</v>
      </c>
      <c r="IV173" s="217" t="e">
        <f t="shared" ca="1" si="681"/>
        <v>#N/A</v>
      </c>
      <c r="IW173" s="217" t="e">
        <f ca="1">IF(OR($AW173=1,AND($AW173=0, Control!$B$18=1,$EN173&lt;&gt;0)), $IQ173-$IU173, $IQ173)</f>
        <v>#N/A</v>
      </c>
      <c r="IX173" s="218" t="e">
        <f t="shared" ca="1" si="531"/>
        <v>#N/A</v>
      </c>
      <c r="IY173" s="218" t="e">
        <f ca="1">MAX(0,$IQ173-$EB173*Control!$C$159)</f>
        <v>#N/A</v>
      </c>
      <c r="IZ173" s="218" t="e">
        <f t="shared" ca="1" si="532"/>
        <v>#N/A</v>
      </c>
      <c r="JA173" s="216" t="e">
        <f t="shared" ca="1" si="533"/>
        <v>#N/A</v>
      </c>
      <c r="JB173" s="217" t="e">
        <f t="shared" ca="1" si="534"/>
        <v>#N/A</v>
      </c>
      <c r="JC173" s="222" t="e">
        <f ca="1">MAX(Control!$C$157*$EK173-$JT173, 0)/Control!$C$162</f>
        <v>#N/A</v>
      </c>
      <c r="JD173" s="218" t="e">
        <f t="shared" ca="1" si="535"/>
        <v>#N/A</v>
      </c>
      <c r="JE173" s="218" t="e">
        <f t="shared" ca="1" si="536"/>
        <v>#N/A</v>
      </c>
      <c r="JF173" s="218" t="e">
        <f t="shared" ca="1" si="645"/>
        <v>#N/A</v>
      </c>
      <c r="JG173" s="218" t="e">
        <f t="shared" ca="1" si="537"/>
        <v>#N/A</v>
      </c>
      <c r="JH173" s="217" t="e">
        <f t="shared" ca="1" si="646"/>
        <v>#N/A</v>
      </c>
      <c r="JI173" s="217" t="e">
        <f t="shared" ca="1" si="647"/>
        <v>#N/A</v>
      </c>
      <c r="JJ173" s="217" t="e">
        <f t="shared" ca="1" si="682"/>
        <v>#N/A</v>
      </c>
      <c r="JK173" s="217" t="e">
        <f ca="1">IF(Control!$C$114=1,IF(Control!$B$24=0,MAX(0,$JI173)*$GN173/Control!$C$64,(MAX(0,MIN($JI173,$JJ173*$GN173/Control!$C$64),0))))</f>
        <v>#N/A</v>
      </c>
      <c r="JL173" s="217" t="e">
        <f ca="1">$IK173/Control!$C$64-$JK173+$HQ173</f>
        <v>#N/A</v>
      </c>
      <c r="JM173" s="217" t="e">
        <f ca="1">IF(Control!$C$114=1,($JB173/(IF($JI173&lt;&gt;0,$JI173,1)))*$JK173,0)</f>
        <v>#N/A</v>
      </c>
      <c r="JN173" s="217" t="e">
        <f ca="1">IF(Control!$C$114=1,($JG173/(IF($JI173&lt;&gt;0,$JI173,1)))*$JK173, 0)</f>
        <v>#N/A</v>
      </c>
      <c r="JO173" s="218" t="e">
        <f t="shared" ca="1" si="538"/>
        <v>#N/A</v>
      </c>
      <c r="JP173" s="218" t="e">
        <f ca="1">MIN(($IY173+$IO173)*Control!$C$151, $JF173-$EH173*Control!$C$161)</f>
        <v>#N/A</v>
      </c>
      <c r="JQ173" s="218" t="e">
        <f t="shared" ca="1" si="539"/>
        <v>#N/A</v>
      </c>
      <c r="JR173" s="217" t="e">
        <f ca="1">IF($CP173-Control!$C$150&lt;0, 0, $JQ173/Control!$C$162)</f>
        <v>#N/A</v>
      </c>
      <c r="JS173" s="218" t="e">
        <f t="shared" ca="1" si="540"/>
        <v>#N/A</v>
      </c>
      <c r="JT173" s="218" t="e">
        <f t="shared" ca="1" si="648"/>
        <v>#N/A</v>
      </c>
      <c r="JU173" s="218" t="e">
        <f t="shared" ca="1" si="541"/>
        <v>#N/A</v>
      </c>
      <c r="JV173" s="218" t="e">
        <f t="shared" ca="1" si="542"/>
        <v>#N/A</v>
      </c>
      <c r="JW173" s="216" t="e">
        <f t="shared" ca="1" si="543"/>
        <v>#N/A</v>
      </c>
      <c r="JX173" s="91" t="e">
        <f t="shared" ca="1" si="544"/>
        <v>#N/A</v>
      </c>
      <c r="JY173" s="218" t="e">
        <f t="shared" ca="1" si="545"/>
        <v>#N/A</v>
      </c>
      <c r="JZ173" s="217" t="e">
        <f ca="1">IF(Control!$C$114=1,($IZ173/(IF($JI173&lt;&gt;0,$JI173,1)))*$JK173, 0)</f>
        <v>#N/A</v>
      </c>
      <c r="KA173" s="218" t="e">
        <f t="shared" ca="1" si="683"/>
        <v>#N/A</v>
      </c>
      <c r="KB173" s="218" t="e">
        <f t="shared" ca="1" si="649"/>
        <v>#N/A</v>
      </c>
      <c r="KC173" s="218" t="e">
        <f t="shared" ca="1" si="546"/>
        <v>#N/A</v>
      </c>
      <c r="KD173" s="218" t="e">
        <f t="shared" ca="1" si="547"/>
        <v>#N/A</v>
      </c>
      <c r="KE173" s="218" t="e">
        <f t="shared" ca="1" si="548"/>
        <v>#N/A</v>
      </c>
      <c r="KF173" s="218" t="e">
        <f t="shared" ca="1" si="549"/>
        <v>#N/A</v>
      </c>
      <c r="KG173" s="216" t="e">
        <f t="shared" ca="1" si="550"/>
        <v>#N/A</v>
      </c>
      <c r="KH173" s="221" t="e">
        <f ca="1">IF(Control!$B$24=0,1,MAX(0.001,MIN(1,IF(($IF173-$IE173)&lt;&gt;0,($KG173-$IE173)/($IF173-$IE173),1))))</f>
        <v>#N/A</v>
      </c>
      <c r="KI173" s="222" t="e">
        <f ca="1">IF(Control!$C$114=1, $KI172+ $KH172, 0)</f>
        <v>#N/A</v>
      </c>
      <c r="KJ173" s="217" t="e">
        <f t="shared" ca="1" si="551"/>
        <v>#N/A</v>
      </c>
      <c r="KK173" s="218" t="e">
        <f t="shared" ca="1" si="552"/>
        <v>#N/A</v>
      </c>
      <c r="KL173" s="274" t="e">
        <f ca="1">IF(Control!$B$26=3,4000000000*EXP(-8400/($G173+273)),IF(Control!$B$26=4,4000000000*EXP(-8400/($G173+273))*($KT173),0))</f>
        <v>#DIV/0!</v>
      </c>
      <c r="KM173" s="274" t="e">
        <f ca="1">IF(Control!$B$26=3,5600000000000*EXP(-9800/($G173+273)),IF(Control!$B$26=4,5600000000000*EXP(-9800/($G173+273))*$KT173,0))</f>
        <v>#DIV/0!</v>
      </c>
      <c r="KN173" s="454" t="e">
        <f t="shared" ca="1" si="650"/>
        <v>#DIV/0!</v>
      </c>
      <c r="KO173" s="274" t="e">
        <f t="shared" ca="1" si="651"/>
        <v>#DIV/0!</v>
      </c>
      <c r="KP173" s="454" t="e">
        <f t="shared" ca="1" si="553"/>
        <v>#DIV/0!</v>
      </c>
      <c r="KQ173" s="454" t="e">
        <f t="shared" ca="1" si="554"/>
        <v>#DIV/0!</v>
      </c>
      <c r="KR173" s="454" t="e">
        <f t="shared" ca="1" si="555"/>
        <v>#DIV/0!</v>
      </c>
      <c r="KS173" s="454" t="e">
        <f t="shared" ca="1" si="556"/>
        <v>#DIV/0!</v>
      </c>
      <c r="KT173" s="455" t="e">
        <f t="shared" ca="1" si="557"/>
        <v>#DIV/0!</v>
      </c>
      <c r="KU173" s="456" t="e">
        <f ca="1">IF($CP173-Control!$C$149&lt;0, IF($NT173-0.01&lt;0,0,1),0)</f>
        <v>#N/A</v>
      </c>
      <c r="KV173" s="456" t="e">
        <f ca="1">IF(Control!$C$114=1,MAX(0,MIN(Control!$C$125*$KW173*$GN173,$KW173)))</f>
        <v>#DIV/0!</v>
      </c>
      <c r="KW173" s="456" t="e">
        <f t="shared" ca="1" si="684"/>
        <v>#DIV/0!</v>
      </c>
      <c r="KX173" s="457" t="e">
        <f ca="1">IF($CP173-Control!$C$149&lt;0, IF($MR173-$OM173&lt;0,0,1),0)</f>
        <v>#N/A</v>
      </c>
      <c r="KY173" s="167">
        <f t="shared" ca="1" si="652"/>
        <v>169</v>
      </c>
      <c r="KZ173" s="168">
        <f ca="1">1370*(1+0.033*COS(2*Control!$C$138*$AH173/365))</f>
        <v>1326.0052491412926</v>
      </c>
      <c r="LA173" s="169">
        <f t="shared" ca="1" si="653"/>
        <v>0.96788709487130231</v>
      </c>
      <c r="LB173" s="169">
        <f t="shared" ca="1" si="654"/>
        <v>0.40845572307956829</v>
      </c>
      <c r="LC173" s="169">
        <f ca="1">ACOS(-TAN((2*Control!$B$8/360))*TAN(Calculations!$LB173))</f>
        <v>1.6997821493154976</v>
      </c>
      <c r="LD173" s="169">
        <f ca="1">((24*60)/PI())*0.082*$LA173*(($LC173*SIN(Control!$B$8*2*PI()/360))*SIN($LB173)+COS(Control!$B$8*2*PI()/360)*COS($LB173)*SIN($LC173))</f>
        <v>39.73823272184498</v>
      </c>
      <c r="LE173" s="170">
        <f t="shared" ca="1" si="558"/>
        <v>41.441528551509535</v>
      </c>
      <c r="LF173" s="170">
        <f ca="1">SIN(Control!$C$139*Control!$B$8)*SIN($HD173)</f>
        <v>0.3130201523091356</v>
      </c>
      <c r="LG173" s="170">
        <f ca="1">COS(Control!$C$139*Control!$B$8)*COS($HD173)</f>
        <v>0.56500338895842728</v>
      </c>
      <c r="LH173" s="170">
        <f ca="1">12*(1+2*ASIN(MAX(-1,MIN(1,$LF173/$LG173))/Control!$C$138))</f>
        <v>16.254599718041622</v>
      </c>
      <c r="LI173" s="170">
        <f ca="1">12*(1+2*ASIN(MAX(-1,MIN(1,(-SIN(-4*Control!$C$139)+$LF173)/$LG173))/Control!$C$138))</f>
        <v>17.216507753595366</v>
      </c>
      <c r="LJ173" s="168">
        <f ca="1">3600*($LH173*$LF173+24*$LG173*SQRT(1-$LK173*$LK173)/Control!$C$138)</f>
        <v>31252.914404635012</v>
      </c>
      <c r="LK173" s="170">
        <f t="shared" ca="1" si="559"/>
        <v>0.55401464562218317</v>
      </c>
      <c r="LL173" s="170">
        <f t="shared" ca="1" si="560"/>
        <v>0</v>
      </c>
      <c r="LM173" s="171">
        <f ca="1">Control!$C$145*$AB173</f>
        <v>6.6660906138995932E-2</v>
      </c>
      <c r="LN173" s="170">
        <f t="shared" ca="1" si="655"/>
        <v>0.54</v>
      </c>
      <c r="LO173" s="170">
        <f t="shared" ca="1" si="561"/>
        <v>0</v>
      </c>
      <c r="LP173" s="170">
        <f ca="1">Control!$C$140*((($D173+273.16)^4+($E173+273.16)^4)/2)*(0.34-0.14*SQRT($Y173))*(1.35*$AQ173/(0.75*$LD173)-0.35)</f>
        <v>-3.2464704755046001</v>
      </c>
      <c r="LQ173" s="170">
        <f ca="1">Control!$C$140*($G173+273)^4*(0.56-0.079*SQRT($Y173*10))*(0.1+0.9*$LO173)</f>
        <v>1.5241745131704001</v>
      </c>
      <c r="LR173" s="170">
        <f ca="1">$AQ173*(1-Control!$C$142)-$LQ173</f>
        <v>-1.5241745131704001</v>
      </c>
      <c r="LS173" s="170">
        <f ca="1">$AQ173*(1-Control!$C$143)-$LQ173</f>
        <v>-1.5241745131704001</v>
      </c>
      <c r="LT173" s="170">
        <f ca="1">$AQ173*(1-Control!$C$144)-$LQ173</f>
        <v>-1.5241745131704001</v>
      </c>
      <c r="LU173" s="169">
        <f ca="1">(1-Control!$C$144)*AQ173-LP173</f>
        <v>3.2464704755046001</v>
      </c>
      <c r="LV173" s="172">
        <f t="shared" ca="1" si="562"/>
        <v>0.79430000000000012</v>
      </c>
      <c r="LW173" s="170">
        <f t="shared" ca="1" si="563"/>
        <v>1.5886000000000002</v>
      </c>
      <c r="LX173" s="170">
        <f ca="1">($AC173*($LR173/Control!$C$141)+$LM173*$LV173)/($AC173+$LM173)</f>
        <v>0.23530094218323697</v>
      </c>
      <c r="LY173" s="170">
        <f ca="1">($AC173*($LS173/Control!$C$141)+$LM173*$LV173)/($AC173+$LM173)</f>
        <v>0.23530094218323697</v>
      </c>
      <c r="LZ173" s="170">
        <f t="shared" ca="1" si="564"/>
        <v>0.23530094218323697</v>
      </c>
      <c r="MA173" s="170">
        <f t="shared" ca="1" si="565"/>
        <v>0.23530094218323697</v>
      </c>
      <c r="MB173" s="170" t="e">
        <f t="shared" ca="1" si="566"/>
        <v>#N/A</v>
      </c>
      <c r="MC173" s="170">
        <f t="shared" ca="1" si="656"/>
        <v>0.6018</v>
      </c>
      <c r="MD173" s="170">
        <f t="shared" ca="1" si="567"/>
        <v>0.52989392535414004</v>
      </c>
      <c r="ME173" s="170">
        <f ca="1">($AC173*($LT173/Control!$C$141)+$LM173*$LW173)/($AC173+$LM173)</f>
        <v>0.71612369323045078</v>
      </c>
      <c r="MF173" s="170" t="e">
        <f ca="1">IF(Control!$B$16&gt;=1000,0.92,IF(AND(720&lt;=Control!$B$16,1000&gt;Control!$B$16),(0.95+(Control!$B$16-720)*((0.92-0.95)/(1000-720))),IF(AND(360&lt;=Control!$B$16,720&gt;Control!$B$16),(1+(Control!$B$16-360)*((0.95-1)/(720-360))),IF(AND(40&lt;=Control!$B$16,360&gt;Control!$B$16),(1.05+(Control!$B$16-40)*((1.05-1)/(360-40)))))))</f>
        <v>#N/A</v>
      </c>
      <c r="MG173" s="170">
        <f t="shared" ca="1" si="568"/>
        <v>0.71612369323045078</v>
      </c>
      <c r="MH173" s="170" t="e">
        <f t="shared" ca="1" si="694"/>
        <v>#N/A</v>
      </c>
      <c r="MI173" s="170" t="e">
        <f t="shared" ca="1" si="694"/>
        <v>#N/A</v>
      </c>
      <c r="MJ173" s="170" t="e">
        <f ca="1">MAX(0.0001, Control!$C$132*$MI173*$DL173)</f>
        <v>#N/A</v>
      </c>
      <c r="MK173" s="170">
        <f ca="1">1/(0.76+1.5*($MG173/10))-(5-Control!$C$110)*0.1</f>
        <v>1.002845988140797</v>
      </c>
      <c r="ML173" s="173">
        <f ca="1">IF(Control!$C$110&lt;3,$MK173+($MG173-0.6)/(Control!$C$110*(Control!$C$110+3)), MAX(0.1, MIN(0.95,$MK173)))</f>
        <v>0.95</v>
      </c>
      <c r="MM173" s="173">
        <f ca="1">IF(Control!$C$110&lt;3,$MK173+(($MI173/10)-0.6)/(Control!$C$110*(Control!$C$110+3)), MAX(0.1, MIN(0.95,$MK173)))</f>
        <v>0.95</v>
      </c>
      <c r="MN173" s="173">
        <f ca="1">(1-$MM173)*(Control!$C$128-Control!$C$127)+Control!$C$127</f>
        <v>0.16</v>
      </c>
      <c r="MO173" s="170" t="e">
        <f ca="1">MAX(0,MIN(1,($MS173-Control!$C$127)/($MN173-Control!$C$127)))</f>
        <v>#DIV/0!</v>
      </c>
      <c r="MP173" s="173" t="e">
        <f ca="1">1/(0.76+1.5*$MI173)-(5-Control!$C$110)*0.1</f>
        <v>#N/A</v>
      </c>
      <c r="MQ173" s="172" t="e">
        <f t="shared" ca="1" si="685"/>
        <v>#DIV/0!</v>
      </c>
      <c r="MR173" s="168" t="e">
        <f t="shared" ca="1" si="657"/>
        <v>#DIV/0!</v>
      </c>
      <c r="MS173" s="173" t="e">
        <f ca="1">MAX(Control!$C$127, MIN(Control!$C$135, $MR173/MAX(0.0001,$CY173)))</f>
        <v>#DIV/0!</v>
      </c>
      <c r="MT173" s="168" t="e">
        <f ca="1">(Control!$C$128-$MS173)*Control!$C$74</f>
        <v>#DIV/0!</v>
      </c>
      <c r="MU173" s="168" t="e">
        <f ca="1">(Control!$C$135-$MS173)*Control!$C$74</f>
        <v>#DIV/0!</v>
      </c>
      <c r="MV173" s="168" t="e">
        <f t="shared" ca="1" si="658"/>
        <v>#DIV/0!</v>
      </c>
      <c r="MW173" s="168" t="e">
        <f t="shared" ca="1" si="659"/>
        <v>#DIV/0!</v>
      </c>
      <c r="MX173" s="171" t="e">
        <f ca="1">MAX(Control!$C$127, MIN(Control!$C$135, $MW173/MAX(0.0001,Control!$C$119-$CY173)))</f>
        <v>#DIV/0!</v>
      </c>
      <c r="MY173" s="54" t="e">
        <f ca="1">IF(Control!$C$114=1, $CX173*$MX173, 0)</f>
        <v>#DIV/0!</v>
      </c>
      <c r="MZ173" s="54" t="e">
        <f t="shared" ca="1" si="660"/>
        <v>#N/A</v>
      </c>
      <c r="NA173" s="168" t="e">
        <f ca="1">(Control!$C$128-$MX173)*(Control!$C$119-Control!$C$74)</f>
        <v>#DIV/0!</v>
      </c>
      <c r="NB173" s="168" t="e">
        <f ca="1">(Control!$C$135-$MX173)*(Control!$C$119-Control!$C$74)</f>
        <v>#DIV/0!</v>
      </c>
      <c r="NC173" s="174" t="e">
        <f t="shared" ca="1" si="661"/>
        <v>#DIV/0!</v>
      </c>
      <c r="ND173" s="54">
        <f ca="1">IF(Control!$C$58=2, IF(OR(Control!$B$218=$AH173,Control!$B$219=$AH173, Control!$B$220=$AH173, Control!$B$221=$AH173, Control!$B$222=$AH173, Control!$B$223=$AH173, Control!$B$224=$AH173, Control!$B$225=$AH173, Control!$B$226=$AH173, Control!$B$227=$AH173, Control!$B$228=$AH173), 1, 0), 0)</f>
        <v>0</v>
      </c>
      <c r="NE173" s="54">
        <f ca="1">IF($ND173=0,0, VLOOKUP($AH173,Control!$B$218:$C$228,2))</f>
        <v>0</v>
      </c>
      <c r="NF173" s="168" t="e">
        <f ca="1">$CY173*(Control!$C$128-Control!$C$127)</f>
        <v>#N/A</v>
      </c>
      <c r="NG173" s="54" t="e">
        <f ca="1">IF(Control!$C$58=2, $NI172-$NJ172, 0)</f>
        <v>#DIV/0!</v>
      </c>
      <c r="NH173" s="54" t="e">
        <f ca="1">IF(AND(Control!$C$58=1, $MS172&lt;= ($MN172+0.02), $I172&lt;10), 0, IF(Control!$C$58=2, $NG172, 0))</f>
        <v>#DIV/0!</v>
      </c>
      <c r="NI173" s="54" t="e">
        <f ca="1">IF(Control!$C$58=2, $NE173+$NH173,0)</f>
        <v>#DIV/0!</v>
      </c>
      <c r="NJ173" s="54" t="e">
        <f ca="1">IF(AND(Control!$C$58=1, $MS173&lt;= ($MN173+0.02), $I173&lt;10), MAX(0, MIN(10, 0.7*($NF173-$MV173))), IF(Control!$C$58=2, MIN(10,$NI173),0))</f>
        <v>#DIV/0!</v>
      </c>
      <c r="NK173" s="54" t="e">
        <f t="shared" ca="1" si="569"/>
        <v>#DIV/0!</v>
      </c>
      <c r="NL173" s="173" t="e">
        <f ca="1">(1-Control!$C$73)*$I173+$NJ173</f>
        <v>#DIV/0!</v>
      </c>
      <c r="NM173" s="172" t="e">
        <f ca="1">IF($NL173&lt;0.5, $MB173* MAX(0, MIN(1, (SQRT($NC173)-SQRT($NC173-1))*Control!$C$71)),0)</f>
        <v>#DIV/0!</v>
      </c>
      <c r="NN173" s="170" t="e">
        <f ca="1">IF($NL173&gt;=5, $MB173, MAX(0,MIN($MB173, $NM173+$NL173,($MS173-Control!$C$129))))</f>
        <v>#DIV/0!</v>
      </c>
      <c r="NO173" s="54">
        <f>IF(Control!$C$133&lt;&gt;1, Control!$C$135-Control!$C$131, 0)</f>
        <v>0.38</v>
      </c>
      <c r="NP173" s="54" t="e">
        <f t="shared" ca="1" si="570"/>
        <v>#DIV/0!</v>
      </c>
      <c r="NQ173" s="173" t="e">
        <f ca="1">MAX(0,MIN(1,(Control!$C$135-$MS173)/(Control!$C$135-$NO173)))</f>
        <v>#DIV/0!</v>
      </c>
      <c r="NR173" s="170" t="e">
        <f ca="1">IF(Control!$C$133&lt;&gt;1, $NQ173+((1-$NP173/4)*(1-$NQ173)),1)</f>
        <v>#DIV/0!</v>
      </c>
      <c r="NS173" s="170" t="e">
        <f ca="1">IF(Control!$B$31=0,$MJ173,MAX(0,MIN($MV173,$MO173*$NR173*$MJ173)))</f>
        <v>#DIV/0!</v>
      </c>
      <c r="NT173" s="170" t="e">
        <f t="shared" ca="1" si="686"/>
        <v>#DIV/0!</v>
      </c>
      <c r="NU173" s="170" t="e">
        <f t="shared" ca="1" si="662"/>
        <v>#N/A</v>
      </c>
      <c r="NV173" s="170" t="e">
        <f t="shared" ca="1" si="571"/>
        <v>#N/A</v>
      </c>
      <c r="NW173" s="175" t="e">
        <f t="shared" ca="1" si="572"/>
        <v>#DIV/0!</v>
      </c>
      <c r="NX173" s="170" t="e">
        <f ca="1">MIN(Control!$C$72+$MU173, $NW173)</f>
        <v>#DIV/0!</v>
      </c>
      <c r="NY173" s="170" t="e">
        <f ca="1">IF($MT173&lt;=$NX173,MIN(Control!$C$72+$NB173,$NX173-$MT173),0)</f>
        <v>#DIV/0!</v>
      </c>
      <c r="NZ173" s="54" t="e">
        <f ca="1">IF(Control!$C$114=1,  $CX173*($MX173-Control!$C$127), 0)</f>
        <v>#DIV/0!</v>
      </c>
      <c r="OA173" s="170" t="e">
        <f t="shared" ca="1" si="573"/>
        <v>#DIV/0!</v>
      </c>
      <c r="OB173" s="170" t="e">
        <f ca="1">IF($NA173 &lt;=$NY173, MIN(Control!$C$72, $NY173-$NA173), 0)</f>
        <v>#DIV/0!</v>
      </c>
      <c r="OC173" s="168" t="e">
        <f t="shared" ca="1" si="574"/>
        <v>#DIV/0!</v>
      </c>
      <c r="OD173" s="168" t="e">
        <f t="shared" ca="1" si="663"/>
        <v>#DIV/0!</v>
      </c>
      <c r="OE173" s="170">
        <f ca="1">Control!$C$73*$I173</f>
        <v>0</v>
      </c>
      <c r="OF173" s="176" t="e">
        <f t="shared" ca="1" si="575"/>
        <v>#DIV/0!</v>
      </c>
      <c r="OG173" s="168" t="e">
        <f t="shared" ca="1" si="576"/>
        <v>#DIV/0!</v>
      </c>
      <c r="OH173" s="168" t="e">
        <f t="shared" ca="1" si="577"/>
        <v>#DIV/0!</v>
      </c>
      <c r="OI173" s="168" t="e">
        <f t="shared" ca="1" si="578"/>
        <v>#DIV/0!</v>
      </c>
      <c r="OJ173" s="168" t="e">
        <f t="shared" ca="1" si="579"/>
        <v>#DIV/0!</v>
      </c>
      <c r="OK173" s="204" t="e">
        <f t="shared" ca="1" si="580"/>
        <v>#DIV/0!</v>
      </c>
      <c r="OL173" s="177">
        <f>Control!$C$127</f>
        <v>0.15</v>
      </c>
      <c r="OM173" s="182" t="e">
        <f t="shared" ca="1" si="581"/>
        <v>#N/A</v>
      </c>
      <c r="ON173" s="177">
        <f>Control!$C$128</f>
        <v>0.35</v>
      </c>
      <c r="OO173" s="182" t="e">
        <f t="shared" ca="1" si="582"/>
        <v>#N/A</v>
      </c>
      <c r="OP173" s="138">
        <f t="shared" ca="1" si="664"/>
        <v>0</v>
      </c>
      <c r="OQ173" s="138" t="e">
        <f t="shared" ca="1" si="687"/>
        <v>#DIV/0!</v>
      </c>
      <c r="OR173" s="138" t="e">
        <f t="shared" ca="1" si="665"/>
        <v>#DIV/0!</v>
      </c>
      <c r="OS173" s="137" t="e">
        <f t="shared" ca="1" si="688"/>
        <v>#DIV/0!</v>
      </c>
      <c r="OT173" s="139" t="e">
        <f t="shared" ca="1" si="689"/>
        <v>#DIV/0!</v>
      </c>
      <c r="OU173" s="138" t="e">
        <f t="shared" ca="1" si="690"/>
        <v>#N/A</v>
      </c>
      <c r="OV173" s="138" t="e">
        <f t="shared" ca="1" si="691"/>
        <v>#DIV/0!</v>
      </c>
      <c r="OW173" s="138" t="e">
        <f t="shared" ca="1" si="666"/>
        <v>#DIV/0!</v>
      </c>
      <c r="OX173" s="138" t="e">
        <f t="shared" ca="1" si="667"/>
        <v>#DIV/0!</v>
      </c>
      <c r="OY173" s="138" t="e">
        <f t="shared" ca="1" si="668"/>
        <v>#DIV/0!</v>
      </c>
      <c r="OZ173" s="138" t="e">
        <f t="shared" ca="1" si="583"/>
        <v>#DIV/0!</v>
      </c>
      <c r="PA173" s="138" t="e">
        <f t="shared" ca="1" si="584"/>
        <v>#DIV/0!</v>
      </c>
      <c r="PB173" s="55">
        <f>IF(Control!$C$61="T", IF(Control!$C$65="F", IF($AH$6-Control!$C$60&lt;0,0,1), IF(365+$AH$6-Control!$C$60&lt;0,0,1)),0)</f>
        <v>0</v>
      </c>
      <c r="PC173" s="55">
        <f ca="1">IF(Control!$C$65="F", IF($AH$6-$HF173&lt;0,0,1), IF(365+$AH$6-$HF173&lt;0,0,1))</f>
        <v>1</v>
      </c>
      <c r="PD173" s="444">
        <f>Control!$C$118</f>
        <v>1500</v>
      </c>
      <c r="PE173" s="180" t="e">
        <f t="shared" ca="1" si="585"/>
        <v>#N/A</v>
      </c>
      <c r="PF173" s="445">
        <f t="shared" ca="1" si="669"/>
        <v>0.71612369323045078</v>
      </c>
      <c r="PT173" s="186"/>
      <c r="PU173" s="186"/>
      <c r="PV173" s="94"/>
      <c r="PW173" s="94"/>
      <c r="PX173" s="94"/>
      <c r="PY173" s="94"/>
      <c r="PZ173" s="94"/>
      <c r="QA173" s="94"/>
      <c r="QB173" s="94"/>
      <c r="QC173" s="94"/>
      <c r="QD173" s="94"/>
      <c r="QE173" s="94"/>
      <c r="QF173" s="94"/>
      <c r="QG173" s="94"/>
      <c r="QH173" s="94"/>
      <c r="QI173" s="94"/>
      <c r="QJ173" s="94"/>
      <c r="QK173" s="94"/>
      <c r="QL173" s="94"/>
      <c r="QM173" s="94"/>
      <c r="QN173" s="94"/>
      <c r="QO173" s="94"/>
      <c r="QP173" s="94"/>
    </row>
    <row r="174" spans="1:458" s="2" customFormat="1" x14ac:dyDescent="0.2">
      <c r="A174" s="395">
        <v>18</v>
      </c>
      <c r="B174" s="396">
        <v>6</v>
      </c>
      <c r="C174" s="387">
        <f ca="1">Weather_data!$B173</f>
        <v>0</v>
      </c>
      <c r="D174" s="388">
        <f ca="1">Weather_data!$F173</f>
        <v>0</v>
      </c>
      <c r="E174" s="388">
        <f ca="1">Weather_data!$E173</f>
        <v>0</v>
      </c>
      <c r="F174" s="388">
        <f t="shared" ca="1" si="586"/>
        <v>0</v>
      </c>
      <c r="G174" s="388">
        <f ca="1">AVERAGE($D174:$E174)+Control!$B$9</f>
        <v>0</v>
      </c>
      <c r="H174" s="388">
        <f ca="1">Weather_data!$G173</f>
        <v>0</v>
      </c>
      <c r="I174" s="388">
        <f ca="1">Weather_data!$I173</f>
        <v>0</v>
      </c>
      <c r="J174" s="388">
        <f ca="1">Weather_data!$H173</f>
        <v>0</v>
      </c>
      <c r="K174" s="389">
        <f ca="1">Weather_data!$D173</f>
        <v>0</v>
      </c>
      <c r="L174" s="388" t="e">
        <f t="shared" ca="1" si="587"/>
        <v>#N/A</v>
      </c>
      <c r="M174" s="388" t="e">
        <f t="shared" ca="1" si="465"/>
        <v>#N/A</v>
      </c>
      <c r="N174" s="388">
        <f t="shared" ca="1" si="466"/>
        <v>-1.0273338312282804E-8</v>
      </c>
      <c r="O174" s="388">
        <f t="shared" ca="1" si="588"/>
        <v>1.0273338312282803E-7</v>
      </c>
      <c r="P174" s="390">
        <v>3</v>
      </c>
      <c r="Q174" s="388">
        <f ca="1">MAX($G174-Control!$C$107,0)</f>
        <v>0</v>
      </c>
      <c r="R174" s="388">
        <f t="shared" ca="1" si="589"/>
        <v>0</v>
      </c>
      <c r="S174" s="388">
        <f t="shared" ca="1" si="467"/>
        <v>0</v>
      </c>
      <c r="T174" s="388">
        <f t="shared" ca="1" si="468"/>
        <v>0</v>
      </c>
      <c r="U174" s="59">
        <f t="shared" ca="1" si="469"/>
        <v>0</v>
      </c>
      <c r="V174" s="391">
        <f ca="1">MAX(0,MIN(Control!$C$100-Control!$C$99,$G174-Control!$C$99)*Control!$C$63)</f>
        <v>0</v>
      </c>
      <c r="W174" s="388">
        <f t="shared" ca="1" si="590"/>
        <v>0</v>
      </c>
      <c r="X174" s="388">
        <f t="shared" ca="1" si="591"/>
        <v>0.6110000000000001</v>
      </c>
      <c r="Y174" s="388">
        <f t="shared" ca="1" si="470"/>
        <v>0</v>
      </c>
      <c r="Z174" s="388">
        <f t="shared" ca="1" si="592"/>
        <v>0.61058800000000002</v>
      </c>
      <c r="AA174" s="388">
        <f t="shared" ca="1" si="471"/>
        <v>0.6018</v>
      </c>
      <c r="AB174" s="388">
        <f ca="1">101.3*EXP(-0.034*Control!$C$66/($G174+273))</f>
        <v>100.69623283836242</v>
      </c>
      <c r="AC174" s="392">
        <f t="shared" ca="1" si="472"/>
        <v>4.3460251046025113E-2</v>
      </c>
      <c r="AD174" s="392">
        <f t="shared" ca="1" si="473"/>
        <v>4.4450382862832649E-2</v>
      </c>
      <c r="AE174" s="388">
        <f t="shared" ca="1" si="474"/>
        <v>0</v>
      </c>
      <c r="AF174" s="388">
        <f ca="1">MAX(0,$G174-Control!$C$92)</f>
        <v>0</v>
      </c>
      <c r="AG174" s="393">
        <f t="shared" ca="1" si="475"/>
        <v>170</v>
      </c>
      <c r="AH174" s="389">
        <f t="shared" ca="1" si="476"/>
        <v>170</v>
      </c>
      <c r="AI174" s="388">
        <f t="shared" ca="1" si="593"/>
        <v>0.40887920993872306</v>
      </c>
      <c r="AJ174" s="388">
        <f ca="1">IF(Control!$C$60&lt;=0,$HH174,$HI174)</f>
        <v>1</v>
      </c>
      <c r="AK174" s="388">
        <f t="shared" ca="1" si="477"/>
        <v>1.5492785688935966</v>
      </c>
      <c r="AL174" s="388">
        <f t="shared" ca="1" si="478"/>
        <v>-7.2144720753009036E-19</v>
      </c>
      <c r="AM174" s="388">
        <f t="shared" ca="1" si="479"/>
        <v>1.5492785688935966</v>
      </c>
      <c r="AN174" s="388">
        <f t="shared" ca="1" si="480"/>
        <v>0.4090173316715825</v>
      </c>
      <c r="AO174" s="388">
        <f ca="1">-0.10453/COS(Control!$B$8*PI()/180)*COS(AN174)</f>
        <v>-0.15577966405347657</v>
      </c>
      <c r="AP174" s="388">
        <f ca="1">ACOS(AO174-TAN(Control!$B$8*PI()/180)*TAN(AN174))</f>
        <v>2.361129195847409</v>
      </c>
      <c r="AQ174" s="388">
        <f t="shared" ca="1" si="594"/>
        <v>0</v>
      </c>
      <c r="AR174" s="394">
        <f t="shared" ca="1" si="481"/>
        <v>0</v>
      </c>
      <c r="AS174" s="436">
        <f ca="1">IF(Control!$B$18=2,(IF(OR($AH174=Control!$B$175,$AH174=Control!$B$176,$AH174=Control!$B$177,$AH174=Control!$B$178,$AH174=Control!$B$179,$AH174=Control!$B$180,$AH174=Control!$B$181,$AH174=Control!$B$182,$AH174=Control!$B$183,$AH174=Control!$B$184,$AH174=Control!$B$185),1,0)),0)</f>
        <v>0</v>
      </c>
      <c r="AT174" s="436">
        <f>IF(Control!$B$20=8,IF(AND($AH174&gt;=Control!$B$172,$AH174&lt;=Control!$B$173),1,0),0)</f>
        <v>0</v>
      </c>
      <c r="AU174" s="436">
        <f>IF(Control!$B$20=8,IF($AV173=1,1*$AT174,IF($AT174=1,$AU173+1,$AU173)),0)</f>
        <v>0</v>
      </c>
      <c r="AV174" s="436">
        <f>IF(Control!$B$20=8,IF($AU174&gt;=Control!$B$174,1,0),0)</f>
        <v>0</v>
      </c>
      <c r="AW174" s="436">
        <f ca="1">IF(AND(Control!$B$18=2,Control!$B$171=1), $AV174, $AS174)</f>
        <v>0</v>
      </c>
      <c r="AX174" s="436" t="e">
        <f ca="1">IF(AND(Control!$B$18=1,$EU174&gt;=Control!$B$19),-$AY174,IF(AND(Control!$B$18=2,$AW174=1,$EU174&gt;$DS174),-$AY174, IF(Control!$C$108=0,0, IF(Control!$C$108&lt;&gt;0,1))))</f>
        <v>#N/A</v>
      </c>
      <c r="AY174" s="436" t="e">
        <f t="shared" ca="1" si="595"/>
        <v>#N/A</v>
      </c>
      <c r="AZ174" s="436" t="e">
        <f ca="1">IF(AND(Control!$B$18=1,$EB174&gt;Control!$B$19),$AZ173+1, IF(AND(Control!$B$18=2, $AW174=1, $EB174&gt;$DS174), $AZ173+1,$AZ173))</f>
        <v>#N/A</v>
      </c>
      <c r="BA174" s="587">
        <f>IF(Control!$C$81=0,1,IF($AH174&gt;=Control!$C$82,1,0))</f>
        <v>1</v>
      </c>
      <c r="BB174" s="140" t="e">
        <f ca="1">IF($BA174&gt;$BA173,Control!$C$83,IF($AW174&gt;0,$AW174*Control!$C$84,IF(AND(Control!$B$18=1,EN173&lt;&gt;0),Control!$C$84,0)))</f>
        <v>#N/A</v>
      </c>
      <c r="BC174" s="140" t="e">
        <f t="shared" ca="1" si="596"/>
        <v>#N/A</v>
      </c>
      <c r="BD174" s="140" t="e">
        <f ca="1">BC174*IF(OR($G174&lt;Control!$C$92,$G174&gt;Control!$C$95),0,IF(AND($G174&gt;=Control!$C$92,$G174&lt;=Control!$C$93),$G174-Control!$C$92,IF(AND($G174&gt;Control!$C$93,$G174&lt;=Control!$C$94),Control!$C$93-Control!$C$92,IF(AND($G174&gt;Control!$C$94,$G174&lt;=Control!$C$95),(Control!$C$93-Control!$C$92)*(Control!$C$94-$G174)/(Control!$C$95-Control!$C$94)))))</f>
        <v>#N/A</v>
      </c>
      <c r="BE174" s="140" t="e">
        <f t="shared" ca="1" si="597"/>
        <v>#N/A</v>
      </c>
      <c r="BF174" s="140" t="e">
        <f ca="1">IF($BE174&lt;=Control!$C$86,$BE174,Control!$C$86-$BE174)</f>
        <v>#N/A</v>
      </c>
      <c r="BG174" s="140" t="e">
        <f ca="1">IF(AND($AW174=1,Control!$C$84&lt;9),1,IF($BE174&gt;=Control!$C$86,0,$BC174))</f>
        <v>#N/A</v>
      </c>
      <c r="BH174" s="404" t="e">
        <f ca="1">IF($BG174=0,0,IF($BE174&lt;=Control!$C$86,$BC174*9*($BF174/Control!$C$86),0))</f>
        <v>#N/A</v>
      </c>
      <c r="BI174" s="140" t="e">
        <f ca="1">IF($BG174=1,0,IF($BE174&gt;=Control!$C$86,1,IF(AND($BB174&lt;21,$BB174&gt;=9),1,$BM173)))</f>
        <v>#N/A</v>
      </c>
      <c r="BJ174" s="140" t="e">
        <f ca="1">IF($BF174&lt;0,-$BF174,$BI174*IF(OR($G174&lt;Control!$C$92,$G174&gt;Control!$C$95),0,IF(AND($G174&gt;=Control!$C$92,$G174&lt;=Control!$C$93),$G174-Control!$C$92,IF(AND($G174&gt;Control!$C$93,$G174&lt;=Control!$C$94),Control!$C$93-Control!$C$92,IF(AND($G174&gt;Control!$C$94,$G174&lt;=Control!$C$95),(Control!$C$93-Control!$C$92)*(Control!$C$94-$G174)/(Control!$C$95-Control!$C$94))))))</f>
        <v>#N/A</v>
      </c>
      <c r="BK174" s="140" t="e">
        <f t="shared" ca="1" si="598"/>
        <v>#N/A</v>
      </c>
      <c r="BL174" s="140" t="e">
        <f ca="1">IF($BK174&lt;=Control!$C$87,$BK174,Control!$C$87-$BK174)</f>
        <v>#N/A</v>
      </c>
      <c r="BM174" s="140" t="e">
        <f ca="1">IF(AND($BB174&gt;=9,$BB174&lt;21),1,IF($BK174&gt;=Control!$C$87,0,$BI174))</f>
        <v>#N/A</v>
      </c>
      <c r="BN174" s="404" t="e">
        <f ca="1">IF($BM174=0,0,IF($BK174&lt;=Control!$C$87,$BI174*(9+(21-9)*($BL174/Control!$C$87)),0))</f>
        <v>#N/A</v>
      </c>
      <c r="BO174" s="140" t="e">
        <f ca="1">IF($BM174=1,0,IF($BK174&gt;=Control!$C$87,1,IF(AND($BB174&lt;30,$BB174&gt;=21),1,$BS173)))</f>
        <v>#N/A</v>
      </c>
      <c r="BP174" s="140" t="e">
        <f ca="1">IF($BL174&lt;0,-$BL174,$BO174*IF(OR($G174&lt;Control!$C$92,$G174&gt;Control!$C$95),0,IF(AND($G174&gt;=Control!$C$92,$G174&lt;=Control!$C$93),$G174-Control!$C$92,IF(AND($G174&gt;Control!$C$93,$G174&lt;=Control!$C$94),Control!$C$93-Control!$C$92,IF(AND($G174&gt;Control!$C$94,$G174&lt;=Control!$C$95),(Control!$C$93-Control!$C$92)*(Control!$C$94-$G174)/(Control!$C$95-Control!$C$94))))))</f>
        <v>#N/A</v>
      </c>
      <c r="BQ174" s="140" t="e">
        <f t="shared" ca="1" si="482"/>
        <v>#N/A</v>
      </c>
      <c r="BR174" s="140" t="e">
        <f ca="1">IF($BQ174&lt;=Control!$C$88,$BQ174,Control!$C$88-$BQ174)</f>
        <v>#N/A</v>
      </c>
      <c r="BS174" s="140" t="e">
        <f ca="1">IF(AND($BB174&gt;=21,$BB174&lt;30),1,IF($BQ174&gt;=Control!$C$88,0,$BO174))</f>
        <v>#N/A</v>
      </c>
      <c r="BT174" s="404" t="e">
        <f ca="1">IF($BS174=0,0,IF($BQ174&lt;=Control!$C$88,$BO174*(21+(30-21)*(BR174/Control!$C$88)),0))</f>
        <v>#N/A</v>
      </c>
      <c r="BU174" s="140" t="e">
        <f ca="1">IF(BG174+BM174+BS174=1,0,IF(OR(AND($BB174&lt;60,$BB174&gt;=30),$BQ174&gt;=Control!$C$88),1*$BA174,$BY173))</f>
        <v>#N/A</v>
      </c>
      <c r="BV174" s="140" t="e">
        <f ca="1">IF($BR174&lt;0,-$BR174,$BU174*IF(OR($G174&lt;Control!$C$92,$G174&gt;Control!$C$95),0,IF(AND($G174&gt;=Control!$C$92,$G174&lt;=Control!$C$93),$G174-Control!$C$92,IF(AND($G174&gt;Control!$C$93,$G174&lt;=Control!$C$94),Control!$C$93-Control!$C$92,IF(AND($G174&gt;Control!$C$94,$G174&lt;=Control!$C$95),(Control!$C$93-Control!$C$92)*(Control!$C$94-$G174)/(Control!$C$95-Control!$C$94))))))</f>
        <v>#N/A</v>
      </c>
      <c r="BW174" s="140" t="e">
        <f t="shared" ca="1" si="483"/>
        <v>#N/A</v>
      </c>
      <c r="BX174" s="140" t="e">
        <f ca="1">IF($BW174&lt;=Control!$C$89,$BW174,Control!$C$89-$BW174)</f>
        <v>#N/A</v>
      </c>
      <c r="BY174" s="140" t="e">
        <f ca="1">IF(AND($AJ174&gt;=30,$AJ174&lt;60),1,IF($BW174&gt;=Control!$C$89,0,$BU174))</f>
        <v>#N/A</v>
      </c>
      <c r="BZ174" s="404" t="e">
        <f ca="1">IF($BY174=0,0,IF($BW174&lt;=Control!$C$89,$BU174*(30+(60-30)*(BX174/Control!$C$89)),0))</f>
        <v>#N/A</v>
      </c>
      <c r="CA174" s="140" t="e">
        <f ca="1">IF($BG174+$BM174+$BS174+$BY174=1,0,IF(OR(AND($BB174&lt;65,$BB174&gt;=60),$BW174&gt;=Control!$C$89),1*$BA174,$CE173))</f>
        <v>#N/A</v>
      </c>
      <c r="CB174" s="140" t="e">
        <f ca="1">IF($BX174&lt;0,-$BX174,$CA174*IF(OR($G174&lt;Control!$C$92,$G174&gt;Control!$C$95),0,IF(AND($G174&gt;=Control!$C$92,$G174&lt;=Control!$C$93),$G174-Control!$C$92,IF(AND($G174&gt;Control!$C$93,$G174&lt;=Control!$C$94),Control!$C$93-Control!$C$92,IF(AND($G174&gt;Control!$C$94,$G174&lt;=Control!$C$95),(Control!$C$93-Control!$C$92)*(Control!$C$94-$G174)/(Control!$C$95-Control!$C$94))))))</f>
        <v>#N/A</v>
      </c>
      <c r="CC174" s="140" t="e">
        <f t="shared" ca="1" si="599"/>
        <v>#N/A</v>
      </c>
      <c r="CD174" s="140" t="e">
        <f ca="1">IF($CC174&lt;=Control!$C$90,$CC174,Control!$C$90-$CC174)</f>
        <v>#N/A</v>
      </c>
      <c r="CE174" s="140" t="e">
        <f ca="1">IF(AND($BB174&gt;=60,$BB174&lt;65),1,IF($CC174&gt;=Control!$C$90,0,$CA174))</f>
        <v>#N/A</v>
      </c>
      <c r="CF174" s="404" t="e">
        <f ca="1">IF($CE174=0,0,IF($CC174&lt;=Control!$C$90,$CA174*(60+(65-60)*(CD174/Control!$C$90)),0))</f>
        <v>#N/A</v>
      </c>
      <c r="CG174" s="140" t="e">
        <f ca="1">IF($BG174+$BM174+$BS174+$BY174+$CE174=1,0,IF(OR(AND($BB174&lt;90,$BB174&gt;=65),$CC174&gt;=Control!$C$90),$BA174,$CK173))</f>
        <v>#N/A</v>
      </c>
      <c r="CH174" s="140" t="e">
        <f ca="1">IF($CD174&lt;0,-$CD174,$CG174*IF(OR($G174&lt;Control!$C$92,$G174&gt;Control!$C$95),0,IF(AND($G174&gt;=Control!$C$92,$G174&lt;=Control!$C$93),$G174-Control!$C$92,IF(AND($G174&gt;Control!$C$93,$G174&lt;=Control!$C$94),Control!$C$93-Control!$C$92,IF(AND($G174&gt;Control!$C$94,$G174&lt;=Control!$C$95),(Control!$C$93-Control!$C$92)*(Control!$C$94-$G174)/(Control!$C$95-Control!$C$94))))))</f>
        <v>#N/A</v>
      </c>
      <c r="CI174" s="140" t="e">
        <f t="shared" ca="1" si="600"/>
        <v>#N/A</v>
      </c>
      <c r="CJ174" s="140" t="e">
        <f ca="1">IF($CI174&lt;=Control!$C$91,$CI174,Control!$C$91-$CI174)</f>
        <v>#N/A</v>
      </c>
      <c r="CK174" s="140" t="e">
        <f ca="1">IF(AND($BB174&gt;=65,$BB174&lt;90),1,IF($CI174&gt;=Control!$C$91,0,$CG174))</f>
        <v>#N/A</v>
      </c>
      <c r="CL174" s="404" t="e">
        <f ca="1">IF($CK174=0,0,IF($CI174&lt;=Control!$C$91,$CG174*(65+(90-65)*($CJ174/Control!$C$91)),0))</f>
        <v>#N/A</v>
      </c>
      <c r="CM174" s="140" t="e">
        <f ca="1">IF($BG174+$BM174+$BS174+$BY174+$CE174+$CK174=1,0,IF(OR($BB174&gt;=90,$CI174&gt;=Control!$C$91),$BA174,$CM173))</f>
        <v>#N/A</v>
      </c>
      <c r="CN174" s="140" t="e">
        <f t="shared" ca="1" si="601"/>
        <v>#N/A</v>
      </c>
      <c r="CO174" s="140" t="e">
        <f t="shared" ca="1" si="602"/>
        <v>#N/A</v>
      </c>
      <c r="CP174" s="140" t="e">
        <f t="shared" ca="1" si="603"/>
        <v>#N/A</v>
      </c>
      <c r="CQ174" s="141" t="e">
        <f ca="1">VLOOKUP($CP174,Control!$B$86:$G$91,6)</f>
        <v>#N/A</v>
      </c>
      <c r="CR174" s="141" t="e">
        <f ca="1">(1-$CQ174)*VLOOKUP($CP174,Control!$B$86:$D$91,3)</f>
        <v>#N/A</v>
      </c>
      <c r="CS174" s="141" t="e">
        <f ca="1">(1-$CQ174)*VLOOKUP($CP174,Control!$B$86:$E$91,4)</f>
        <v>#N/A</v>
      </c>
      <c r="CT174" s="141" t="e">
        <f ca="1">(1-$CQ174)*VLOOKUP($CP174,Control!$B$86:$F$91,5)</f>
        <v>#N/A</v>
      </c>
      <c r="CU174" s="141">
        <f t="shared" ca="1" si="604"/>
        <v>0</v>
      </c>
      <c r="CV174" s="583">
        <f t="shared" ca="1" si="605"/>
        <v>0</v>
      </c>
      <c r="CW174" s="142">
        <f t="shared" ca="1" si="606"/>
        <v>170</v>
      </c>
      <c r="CX174" s="612" t="e">
        <f ca="1">IF(Control!$C$114=1,(MIN(Control!$C$120*(IF($NT174-0.01&lt;0,0,1)),Control!$C$119-$CY174)))</f>
        <v>#DIV/0!</v>
      </c>
      <c r="CY174" s="143" t="e">
        <f t="shared" ca="1" si="607"/>
        <v>#N/A</v>
      </c>
      <c r="CZ174" s="144">
        <f t="shared" ca="1" si="484"/>
        <v>0</v>
      </c>
      <c r="DA174" s="144">
        <f t="shared" ca="1" si="485"/>
        <v>0</v>
      </c>
      <c r="DB174" s="144" t="e">
        <f t="shared" ca="1" si="486"/>
        <v>#N/A</v>
      </c>
      <c r="DC174" s="144" t="e">
        <f t="shared" ca="1" si="487"/>
        <v>#N/A</v>
      </c>
      <c r="DD174" s="144" t="e">
        <f t="shared" ca="1" si="692"/>
        <v>#N/A</v>
      </c>
      <c r="DE174" s="143" t="e">
        <f t="shared" ca="1" si="608"/>
        <v>#N/A</v>
      </c>
      <c r="DF174" s="145" t="e">
        <f ca="1">$DR174*EXP(-Control!$C$158*(1-$KH174))</f>
        <v>#N/A</v>
      </c>
      <c r="DG174" s="146" t="e">
        <f ca="1">IF(Control!$C$114=1, $DF174*$EY174, 0)</f>
        <v>#N/A</v>
      </c>
      <c r="DH174" s="147" t="e">
        <f t="shared" ca="1" si="609"/>
        <v>#N/A</v>
      </c>
      <c r="DI174" s="144" t="e">
        <f t="shared" ca="1" si="670"/>
        <v>#N/A</v>
      </c>
      <c r="DJ174" s="147" t="e">
        <f ca="1">$EF174*Control!$C$109</f>
        <v>#N/A</v>
      </c>
      <c r="DK174" s="144" t="e">
        <f t="shared" ca="1" si="610"/>
        <v>#N/A</v>
      </c>
      <c r="DL174" s="144" t="e">
        <f t="shared" ca="1" si="488"/>
        <v>#N/A</v>
      </c>
      <c r="DM174" s="144" t="e">
        <f ca="1">IF(Control!$C$114=1, (1-EXP(-Control!$C$96*$DK174))*$AR174, 0)</f>
        <v>#N/A</v>
      </c>
      <c r="DN174" s="144">
        <f t="shared" ca="1" si="611"/>
        <v>0</v>
      </c>
      <c r="DO174" s="148">
        <f>Control!$C$97</f>
        <v>4</v>
      </c>
      <c r="DP174" s="145" t="e">
        <f t="shared" ca="1" si="612"/>
        <v>#N/A</v>
      </c>
      <c r="DQ174" s="145" t="e">
        <f ca="1">IF(AND($CP174&gt;=0,$CP174&lt;=90),Control!$C$111,Control!$C$111)</f>
        <v>#N/A</v>
      </c>
      <c r="DR174" s="145" t="e">
        <f t="shared" ca="1" si="489"/>
        <v>#N/A</v>
      </c>
      <c r="DS174" s="143" t="e">
        <f ca="1">Control!$B$22/$DR174</f>
        <v>#N/A</v>
      </c>
      <c r="DT174" s="149" t="e">
        <f ca="1">IF(AND(Control!$C$114=1,$KH174&lt;1),$IM174*$DF174, 0)</f>
        <v>#N/A</v>
      </c>
      <c r="DU174" s="144" t="e">
        <f t="shared" ca="1" si="613"/>
        <v>#N/A</v>
      </c>
      <c r="DV174" s="144">
        <f ca="1">IF($G174-Control!$C$107&lt;=0, 0, 0.83*LN(MAX($G174, 3))-0.8924)</f>
        <v>0</v>
      </c>
      <c r="DW174" s="144" t="e">
        <f t="shared" ca="1" si="490"/>
        <v>#N/A</v>
      </c>
      <c r="DX174" s="150" t="e">
        <f ca="1">MAX(0.01*(1+$CU174/Control!$C$102),0.05*($DK174-Control!$C$97)/Control!$C$97)</f>
        <v>#N/A</v>
      </c>
      <c r="DY174" s="151" t="e">
        <f ca="1">IF(Control!$C$114=1, $DI174*$FS174, 0)</f>
        <v>#N/A</v>
      </c>
      <c r="DZ174" s="196" t="e">
        <f t="shared" ca="1" si="614"/>
        <v>#N/A</v>
      </c>
      <c r="EA174" s="152">
        <f t="shared" ca="1" si="615"/>
        <v>170</v>
      </c>
      <c r="EB174" s="153" t="e">
        <f ca="1">$EB173+$ED173</f>
        <v>#N/A</v>
      </c>
      <c r="EC174" s="153" t="e">
        <f t="shared" ca="1" si="617"/>
        <v>#N/A</v>
      </c>
      <c r="ED174" s="154" t="e">
        <f ca="1">IF(Control!$C$114=1, $HM174*$FY174-$FD174, 0)</f>
        <v>#DIV/0!</v>
      </c>
      <c r="EE174" s="155" t="e">
        <f ca="1">IF(Control!$C$114=1, $HM174*$FZ174-$FF174, 0)</f>
        <v>#DIV/0!</v>
      </c>
      <c r="EF174" s="153" t="e">
        <f t="shared" ca="1" si="671"/>
        <v>#N/A</v>
      </c>
      <c r="EG174" s="155" t="e">
        <f ca="1">IF(Control!$C$114=1, $GX174*$FW174-$FI174, 0)</f>
        <v>#DIV/0!</v>
      </c>
      <c r="EH174" s="153" t="e">
        <f t="shared" ca="1" si="618"/>
        <v>#N/A</v>
      </c>
      <c r="EI174" s="156" t="e">
        <f t="shared" ca="1" si="619"/>
        <v>#N/A</v>
      </c>
      <c r="EJ174" s="155" t="e">
        <f ca="1">IF(Control!$C$114=1, $HM174*$GB174, 0)</f>
        <v>#DIV/0!</v>
      </c>
      <c r="EK174" s="153" t="e">
        <f t="shared" ca="1" si="672"/>
        <v>#N/A</v>
      </c>
      <c r="EL174" s="153" t="e">
        <f t="shared" ca="1" si="491"/>
        <v>#N/A</v>
      </c>
      <c r="EM174" s="153" t="e">
        <f t="shared" ca="1" si="492"/>
        <v>#N/A</v>
      </c>
      <c r="EN174" s="153" t="e">
        <f ca="1">IF(Control!$C$108=1,IF(AND(Control!$B$18=1,$EB174&gt;=Control!$B$19),$EB174-$DS174,IF(AND(Control!$B$18=2,$AW174=1,$EB174&gt;$DS174),$EB174-$DS174,0)))</f>
        <v>#N/A</v>
      </c>
      <c r="EO174" s="153" t="e">
        <f ca="1">IF(Control!$C$108=1,IF(AND(Control!$B$18=1,$EB174&gt;=Control!$B$19),$EF174,IF(AND(Control!$B$18=2,$AW174=1),$EF174,0)))</f>
        <v>#N/A</v>
      </c>
      <c r="EP174" s="153" t="e">
        <f ca="1">IF(Control!$C$108=1,IF(AND(Control!$B$18=1,$EB174&gt;=Control!$B$19),$EK174,IF(AND(Control!$B$18=2,$AW174=1),$EK174,0)))</f>
        <v>#N/A</v>
      </c>
      <c r="EQ174" s="153" t="e">
        <f t="shared" ca="1" si="620"/>
        <v>#N/A</v>
      </c>
      <c r="ER174" s="153" t="e">
        <f t="shared" ca="1" si="621"/>
        <v>#N/A</v>
      </c>
      <c r="ES174" s="153" t="e">
        <f t="shared" ca="1" si="673"/>
        <v>#N/A</v>
      </c>
      <c r="ET174" s="153" t="e">
        <f t="shared" ca="1" si="674"/>
        <v>#N/A</v>
      </c>
      <c r="EU174" s="153" t="e">
        <f t="shared" ca="1" si="622"/>
        <v>#N/A</v>
      </c>
      <c r="EV174" s="153" t="e">
        <f t="shared" ca="1" si="493"/>
        <v>#N/A</v>
      </c>
      <c r="EW174" s="153" t="e">
        <f t="shared" ca="1" si="494"/>
        <v>#N/A</v>
      </c>
      <c r="EX174" s="153" t="e">
        <f t="shared" ca="1" si="495"/>
        <v>#N/A</v>
      </c>
      <c r="EY174" s="157" t="e">
        <f t="shared" ca="1" si="496"/>
        <v>#DIV/0!</v>
      </c>
      <c r="EZ174" s="154" t="e">
        <f t="shared" ca="1" si="497"/>
        <v>#DIV/0!</v>
      </c>
      <c r="FA174" s="153" t="e">
        <f t="shared" ca="1" si="623"/>
        <v>#N/A</v>
      </c>
      <c r="FB174" s="153" t="e">
        <f t="shared" ca="1" si="498"/>
        <v>#N/A</v>
      </c>
      <c r="FC174" s="193" t="e">
        <f t="shared" ca="1" si="499"/>
        <v>#N/A</v>
      </c>
      <c r="FD174" s="158" t="e">
        <f t="shared" ca="1" si="624"/>
        <v>#N/A</v>
      </c>
      <c r="FE174" s="158" t="e">
        <f t="shared" ca="1" si="625"/>
        <v>#N/A</v>
      </c>
      <c r="FF174" s="159" t="e">
        <f t="shared" ca="1" si="500"/>
        <v>#N/A</v>
      </c>
      <c r="FG174" s="160" t="e">
        <f t="shared" ca="1" si="626"/>
        <v>#N/A</v>
      </c>
      <c r="FH174" s="158" t="e">
        <f t="shared" ca="1" si="627"/>
        <v>#N/A</v>
      </c>
      <c r="FI174" s="159" t="e">
        <f t="shared" ca="1" si="501"/>
        <v>#N/A</v>
      </c>
      <c r="FJ174" s="160" t="e">
        <f t="shared" ca="1" si="628"/>
        <v>#N/A</v>
      </c>
      <c r="FK174" s="160" t="e">
        <f t="shared" ca="1" si="502"/>
        <v>#N/A</v>
      </c>
      <c r="FL174" s="160" t="e">
        <f t="shared" ca="1" si="675"/>
        <v>#N/A</v>
      </c>
      <c r="FM174" s="160" t="e">
        <f t="shared" ca="1" si="503"/>
        <v>#N/A</v>
      </c>
      <c r="FN174" s="158">
        <f t="shared" ca="1" si="629"/>
        <v>0.01</v>
      </c>
      <c r="FO174" s="160">
        <f>Control!$C$101</f>
        <v>50</v>
      </c>
      <c r="FP174" s="150" t="e">
        <f t="shared" ca="1" si="504"/>
        <v>#N/A</v>
      </c>
      <c r="FQ174" s="150" t="e">
        <f ca="1">MAX(0,(Control!$C$112*(($DK174-Control!$C$97)/Control!$C$97)))</f>
        <v>#N/A</v>
      </c>
      <c r="FR174" s="150" t="e">
        <f ca="1">(1-$NT174)*Control!$C$113</f>
        <v>#DIV/0!</v>
      </c>
      <c r="FS174" s="198" t="e">
        <f t="shared" ca="1" si="505"/>
        <v>#N/A</v>
      </c>
      <c r="FT174" s="161">
        <f t="shared" ca="1" si="630"/>
        <v>170</v>
      </c>
      <c r="FU174" s="162" t="e">
        <f ca="1">IF(Control!$B$34=1,VLOOKUP($CP174,Control!$B$86:$G$91,6),Control!$B$35)</f>
        <v>#N/A</v>
      </c>
      <c r="FV174" s="162" t="e">
        <f t="shared" ca="1" si="506"/>
        <v>#DIV/0!</v>
      </c>
      <c r="FW174" s="162" t="e">
        <f ca="1">IF(Control!$B$31=1,$FU174*$FV174,  $FU174)</f>
        <v>#N/A</v>
      </c>
      <c r="FX174" s="162" t="e">
        <f ca="1">IF(Control!$B$34=1,VLOOKUP($CP174,Control!$B$86:$G$91,3),Control!$B$36)</f>
        <v>#N/A</v>
      </c>
      <c r="FY174" s="162" t="e">
        <f t="shared" ca="1" si="507"/>
        <v>#N/A</v>
      </c>
      <c r="FZ174" s="162" t="e">
        <f ca="1">IF(Control!$B$34=1,VLOOKUP($CP174,Control!$B$86:$G$91,4),Control!$B$37)</f>
        <v>#N/A</v>
      </c>
      <c r="GA174" s="162" t="e">
        <f t="shared" ca="1" si="508"/>
        <v>#N/A</v>
      </c>
      <c r="GB174" s="162" t="e">
        <f ca="1">IF(Control!$B$34=1,VLOOKUP($CP174,Control!$B$86:$G$91,5),Control!$B$38)</f>
        <v>#N/A</v>
      </c>
      <c r="GC174" s="162" t="e">
        <f t="shared" ca="1" si="631"/>
        <v>#N/A</v>
      </c>
      <c r="GD174" s="162">
        <f t="shared" ca="1" si="509"/>
        <v>1</v>
      </c>
      <c r="GE174" s="162">
        <f t="shared" ca="1" si="510"/>
        <v>1</v>
      </c>
      <c r="GF174" s="162">
        <f ca="1">IF(AND(Control!$C$104=1, Control!$C$62="F"),$GE174,1)</f>
        <v>1</v>
      </c>
      <c r="GG174" s="162" t="e">
        <f ca="1">IF(Control!$B$16=40,0,IF(AND(Control!$B$16&gt;40,Control!$B$16&lt;=360),(Control!$B$16-40)*((1-0)/(360-40)),IF(AND(Control!$B$16&gt;360,Control!$B$16&lt;=720),(1+(Control!$B$16-360)*((1.25-1)/(720-360))),IF(AND(Control!$B$16&gt;720,Control!$B$16&lt;=1000),(1.25+(Control!$B$16-720)*((1.35-1.25)/(1000-720))),IF(AND(Control!$B$16&gt;1000,Control!$B$16&lt;=2000),(1.35+(Control!$B$16-1000)*0))))))</f>
        <v>#N/A</v>
      </c>
      <c r="GH174" s="162" t="e">
        <f t="shared" ca="1" si="511"/>
        <v>#N/A</v>
      </c>
      <c r="GI174" s="162">
        <f t="shared" ca="1" si="632"/>
        <v>0</v>
      </c>
      <c r="GJ174" s="162">
        <f t="shared" ca="1" si="512"/>
        <v>0</v>
      </c>
      <c r="GK174" s="162">
        <f t="shared" ca="1" si="633"/>
        <v>1</v>
      </c>
      <c r="GL174" s="162">
        <f t="shared" ca="1" si="513"/>
        <v>1</v>
      </c>
      <c r="GM174" s="162" t="e">
        <f ca="1">MAX(0,MIN(1,1-Control!$C$156*(1.0001-$KH174)^2))</f>
        <v>#N/A</v>
      </c>
      <c r="GN174" s="162" t="e">
        <f ca="1">IF(Control!$B$26=1,$KU174,$KX174)</f>
        <v>#N/A</v>
      </c>
      <c r="GO174" s="162" t="e">
        <f ca="1">IF($CP174&lt;=60,Control!$C$105,IF($CP174&gt;=90,Control!$C$106,Control!$C$105+($CP174-60)*((Control!$C$106-Control!$C$105)/(90-60))))</f>
        <v>#N/A</v>
      </c>
      <c r="GP174" s="162" t="e">
        <f t="shared" ca="1" si="514"/>
        <v>#N/A</v>
      </c>
      <c r="GQ174" s="162" t="e">
        <f t="shared" ca="1" si="634"/>
        <v>#N/A</v>
      </c>
      <c r="GR174" s="163" t="e">
        <f t="shared" ca="1" si="515"/>
        <v>#DIV/0!</v>
      </c>
      <c r="GS174" s="162" t="e">
        <f t="shared" ca="1" si="516"/>
        <v>#DIV/0!</v>
      </c>
      <c r="GT174" s="164" t="e">
        <f t="shared" ca="1" si="635"/>
        <v>#N/A</v>
      </c>
      <c r="GU174" s="162" t="e">
        <f t="shared" ca="1" si="636"/>
        <v>#N/A</v>
      </c>
      <c r="GV174" s="162" t="e">
        <f t="shared" ca="1" si="517"/>
        <v>#N/A</v>
      </c>
      <c r="GW174" s="162" t="e">
        <f t="shared" ca="1" si="518"/>
        <v>#DIV/0!</v>
      </c>
      <c r="GX174" s="162" t="e">
        <f t="shared" ca="1" si="637"/>
        <v>#DIV/0!</v>
      </c>
      <c r="GY174" s="162" t="e">
        <f t="shared" ca="1" si="638"/>
        <v>#DIV/0!</v>
      </c>
      <c r="GZ174" s="165" t="e">
        <f t="shared" ca="1" si="519"/>
        <v>#N/A</v>
      </c>
      <c r="HA174" s="162" t="e">
        <f ca="1">IF(Control!$C$114=1, $DI174*$FS174, 0)</f>
        <v>#N/A</v>
      </c>
      <c r="HB174" s="162" t="e">
        <f ca="1">$FA174/Control!$C$64</f>
        <v>#N/A</v>
      </c>
      <c r="HC174" s="162" t="e">
        <f t="shared" ca="1" si="520"/>
        <v>#DIV/0!</v>
      </c>
      <c r="HD174" s="162">
        <f ca="1">-ASIN(SIN(23.45*Control!$C$139)*COS(2*Control!$C$138*($AH174+10)/365))</f>
        <v>0.40887920993872306</v>
      </c>
      <c r="HE174" s="165">
        <f t="shared" ca="1" si="639"/>
        <v>0</v>
      </c>
      <c r="HF174" s="166">
        <f ca="1">IF(AND(Control!$C$61="T",$HE174&gt;=Control!$C$103,Control!$C$114=0),$AH174,Control!$C$59)</f>
        <v>1</v>
      </c>
      <c r="HG174" s="166">
        <f ca="1">IF(AND(Control!$C$61="T",$HE174&gt;=Control!$C$103,Control!$C$114=0),$HF174,Control!$C$59)</f>
        <v>1</v>
      </c>
      <c r="HH174" s="165">
        <f ca="1">IF(AND(OR(Control!$C$60&lt;=0, $AH174= Control!$C$59, Control!$C$60 &gt;0, $AH174 = Control!$C$60)), Control!$C$59, IF(Control!$C$60&gt;0, 0))</f>
        <v>1</v>
      </c>
      <c r="HI174" s="165">
        <f ca="1">IF(AND(OR(Control!$C$60&lt;=0, $AH174= Control!$C$59, Control!$C$60 &gt;0, $AH174 = Control!$C$60)), Control!$C$60, IF(Control!$C$60&lt;=0, 0))</f>
        <v>0</v>
      </c>
      <c r="HJ174" s="166">
        <f ca="1">IF(AND(Control!$C$62="F",$CV174&gt;=Control!$C$102),$AH174,0)</f>
        <v>0</v>
      </c>
      <c r="HK174" s="165" t="e">
        <f t="shared" ca="1" si="676"/>
        <v>#N/A</v>
      </c>
      <c r="HL174" s="166">
        <f ca="1">IF(AND(Control!$C$61="T",$HE174&gt;=Control!$C$103,Control!$C$114=0),$HF174,0)</f>
        <v>0</v>
      </c>
      <c r="HM174" s="201" t="e">
        <f t="shared" ca="1" si="521"/>
        <v>#DIV/0!</v>
      </c>
      <c r="HN174" s="215">
        <f t="shared" ca="1" si="640"/>
        <v>170</v>
      </c>
      <c r="HO174" s="216" t="e">
        <f ca="1">IF(AND($CP174&gt;=0, $CP174&lt;=90), Control!$C$152, Control!$C$152)</f>
        <v>#N/A</v>
      </c>
      <c r="HP174" s="216" t="e">
        <f t="shared" ca="1" si="522"/>
        <v>#N/A</v>
      </c>
      <c r="HQ174" s="217" t="e">
        <f ca="1">IF(OR(Control!$B$26=1,Control!$B$26=2),$KV174,$KS174)</f>
        <v>#DIV/0!</v>
      </c>
      <c r="HR174" s="218" t="e">
        <f t="shared" ca="1" si="677"/>
        <v>#DIV/0!</v>
      </c>
      <c r="HS174" s="216" t="e">
        <f ca="1">Control!$C$154*$HP174</f>
        <v>#N/A</v>
      </c>
      <c r="HT174" s="216" t="e">
        <f ca="1">Control!$C$155*$HP174</f>
        <v>#N/A</v>
      </c>
      <c r="HU174" s="217" t="e">
        <f ca="1">Control!$C$161*$FI174</f>
        <v>#N/A</v>
      </c>
      <c r="HV174" s="218" t="e">
        <f t="shared" ca="1" si="641"/>
        <v>#N/A</v>
      </c>
      <c r="HW174" s="218" t="e">
        <f ca="1">Control!$C$160*$FF174+$IP174*$EO174</f>
        <v>#N/A</v>
      </c>
      <c r="HX174" s="218" t="e">
        <f t="shared" ca="1" si="678"/>
        <v>#N/A</v>
      </c>
      <c r="HY174" s="219" t="e">
        <f ca="1">IF(Control!$C$114=1, $EB174*$FS174, 0)</f>
        <v>#N/A</v>
      </c>
      <c r="HZ174" s="91" t="e">
        <f t="shared" ca="1" si="523"/>
        <v>#N/A</v>
      </c>
      <c r="IA174" s="220" t="e">
        <f ca="1">Control!$C$153*$HO174</f>
        <v>#N/A</v>
      </c>
      <c r="IB174" s="218" t="e">
        <f t="shared" ca="1" si="524"/>
        <v>#N/A</v>
      </c>
      <c r="IC174" s="220" t="e">
        <f ca="1">Control!$C$153*$HT174</f>
        <v>#N/A</v>
      </c>
      <c r="ID174" s="218" t="e">
        <f t="shared" ca="1" si="525"/>
        <v>#N/A</v>
      </c>
      <c r="IE174" s="221" t="e">
        <f ca="1">($EB174*Control!$C$159+$EF174*Control!$C$160)/(IF($GZ174&lt;&gt;0,$GZ174,1))</f>
        <v>#N/A</v>
      </c>
      <c r="IF174" s="216" t="e">
        <f t="shared" ca="1" si="526"/>
        <v>#N/A</v>
      </c>
      <c r="IG174" s="91">
        <f ca="1">IF(OR(Control!$B$198=$AH174,Control!$B$199=$AH174, Control!$B$200=$AH174, Control!$B$201=$AH174, Control!$B$202=$AH174, Control!$B$203=$AH174, Control!$B$204=$AH174, Control!$B$205=$AH174, Control!$B$206=$AH174, Control!$B$207=$AH174), 1, 0)</f>
        <v>0</v>
      </c>
      <c r="IH174" s="91">
        <f ca="1">IF($IG174=0,0, VLOOKUP($AH174,Control!$B$198:$C$207,2))</f>
        <v>0</v>
      </c>
      <c r="II174" s="222">
        <f t="shared" ca="1" si="642"/>
        <v>0</v>
      </c>
      <c r="IJ174" s="91">
        <f>Control!$C$121</f>
        <v>0.7</v>
      </c>
      <c r="IK174" s="218">
        <f t="shared" ca="1" si="527"/>
        <v>0</v>
      </c>
      <c r="IL174" s="217" t="e">
        <f t="shared" ca="1" si="679"/>
        <v>#N/A</v>
      </c>
      <c r="IM174" s="223" t="e">
        <f ca="1">IF(AND(Control!$C$114=1,$KH174&lt;1),$EB174*Control!$C$148*(1-$KH174), 0)</f>
        <v>#N/A</v>
      </c>
      <c r="IN174" s="217" t="e">
        <f t="shared" ca="1" si="528"/>
        <v>#DIV/0!</v>
      </c>
      <c r="IO174" s="91" t="e">
        <f ca="1">MAX(0,$IL174-$EF174*Control!$C$160)</f>
        <v>#N/A</v>
      </c>
      <c r="IP174" s="220" t="e">
        <f t="shared" ca="1" si="529"/>
        <v>#N/A</v>
      </c>
      <c r="IQ174" s="217" t="e">
        <f t="shared" ca="1" si="643"/>
        <v>#N/A</v>
      </c>
      <c r="IR174" s="218" t="e">
        <f t="shared" ca="1" si="530"/>
        <v>#N/A</v>
      </c>
      <c r="IS174" s="217" t="e">
        <f ca="1">Control!$C$159*MAX(0,$FD174-$EN174)</f>
        <v>#N/A</v>
      </c>
      <c r="IT174" s="217" t="e">
        <f t="shared" ca="1" si="680"/>
        <v>#N/A</v>
      </c>
      <c r="IU174" s="217" t="e">
        <f t="shared" ca="1" si="644"/>
        <v>#N/A</v>
      </c>
      <c r="IV174" s="217" t="e">
        <f t="shared" ca="1" si="681"/>
        <v>#N/A</v>
      </c>
      <c r="IW174" s="217" t="e">
        <f ca="1">IF(OR($AW174=1,AND($AW174=0, Control!$B$18=1,$EN174&lt;&gt;0)), $IQ174-$IU174, $IQ174)</f>
        <v>#N/A</v>
      </c>
      <c r="IX174" s="218" t="e">
        <f t="shared" ca="1" si="531"/>
        <v>#N/A</v>
      </c>
      <c r="IY174" s="218" t="e">
        <f ca="1">MAX(0,$IQ174-$EB174*Control!$C$159)</f>
        <v>#N/A</v>
      </c>
      <c r="IZ174" s="218" t="e">
        <f t="shared" ca="1" si="532"/>
        <v>#N/A</v>
      </c>
      <c r="JA174" s="216" t="e">
        <f t="shared" ca="1" si="533"/>
        <v>#N/A</v>
      </c>
      <c r="JB174" s="217" t="e">
        <f t="shared" ca="1" si="534"/>
        <v>#N/A</v>
      </c>
      <c r="JC174" s="222" t="e">
        <f ca="1">MAX(Control!$C$157*$EK174-$JT174, 0)/Control!$C$162</f>
        <v>#N/A</v>
      </c>
      <c r="JD174" s="218" t="e">
        <f t="shared" ca="1" si="535"/>
        <v>#N/A</v>
      </c>
      <c r="JE174" s="218" t="e">
        <f t="shared" ca="1" si="536"/>
        <v>#N/A</v>
      </c>
      <c r="JF174" s="218" t="e">
        <f t="shared" ca="1" si="645"/>
        <v>#N/A</v>
      </c>
      <c r="JG174" s="218" t="e">
        <f t="shared" ca="1" si="537"/>
        <v>#N/A</v>
      </c>
      <c r="JH174" s="217" t="e">
        <f t="shared" ca="1" si="646"/>
        <v>#N/A</v>
      </c>
      <c r="JI174" s="217" t="e">
        <f t="shared" ca="1" si="647"/>
        <v>#N/A</v>
      </c>
      <c r="JJ174" s="217" t="e">
        <f t="shared" ca="1" si="682"/>
        <v>#N/A</v>
      </c>
      <c r="JK174" s="217" t="e">
        <f ca="1">IF(Control!$C$114=1,IF(Control!$B$24=0,MAX(0,$JI174)*$GN174/Control!$C$64,(MAX(0,MIN($JI174,$JJ174*$GN174/Control!$C$64),0))))</f>
        <v>#N/A</v>
      </c>
      <c r="JL174" s="217" t="e">
        <f ca="1">$IK174/Control!$C$64-$JK174+$HQ174</f>
        <v>#N/A</v>
      </c>
      <c r="JM174" s="217" t="e">
        <f ca="1">IF(Control!$C$114=1,($JB174/(IF($JI174&lt;&gt;0,$JI174,1)))*$JK174,0)</f>
        <v>#N/A</v>
      </c>
      <c r="JN174" s="217" t="e">
        <f ca="1">IF(Control!$C$114=1,($JG174/(IF($JI174&lt;&gt;0,$JI174,1)))*$JK174, 0)</f>
        <v>#N/A</v>
      </c>
      <c r="JO174" s="218" t="e">
        <f t="shared" ca="1" si="538"/>
        <v>#N/A</v>
      </c>
      <c r="JP174" s="218" t="e">
        <f ca="1">MIN(($IY174+$IO174)*Control!$C$151, $JF174-$EH174*Control!$C$161)</f>
        <v>#N/A</v>
      </c>
      <c r="JQ174" s="218" t="e">
        <f t="shared" ca="1" si="539"/>
        <v>#N/A</v>
      </c>
      <c r="JR174" s="217" t="e">
        <f ca="1">IF($CP174-Control!$C$150&lt;0, 0, $JQ174/Control!$C$162)</f>
        <v>#N/A</v>
      </c>
      <c r="JS174" s="218" t="e">
        <f t="shared" ca="1" si="540"/>
        <v>#N/A</v>
      </c>
      <c r="JT174" s="218" t="e">
        <f t="shared" ca="1" si="648"/>
        <v>#N/A</v>
      </c>
      <c r="JU174" s="218" t="e">
        <f t="shared" ca="1" si="541"/>
        <v>#N/A</v>
      </c>
      <c r="JV174" s="218" t="e">
        <f t="shared" ca="1" si="542"/>
        <v>#N/A</v>
      </c>
      <c r="JW174" s="216" t="e">
        <f t="shared" ca="1" si="543"/>
        <v>#N/A</v>
      </c>
      <c r="JX174" s="91" t="e">
        <f t="shared" ca="1" si="544"/>
        <v>#N/A</v>
      </c>
      <c r="JY174" s="218" t="e">
        <f t="shared" ca="1" si="545"/>
        <v>#N/A</v>
      </c>
      <c r="JZ174" s="217" t="e">
        <f ca="1">IF(Control!$C$114=1,($IZ174/(IF($JI174&lt;&gt;0,$JI174,1)))*$JK174, 0)</f>
        <v>#N/A</v>
      </c>
      <c r="KA174" s="218" t="e">
        <f t="shared" ca="1" si="683"/>
        <v>#N/A</v>
      </c>
      <c r="KB174" s="218" t="e">
        <f t="shared" ca="1" si="649"/>
        <v>#N/A</v>
      </c>
      <c r="KC174" s="218" t="e">
        <f t="shared" ca="1" si="546"/>
        <v>#N/A</v>
      </c>
      <c r="KD174" s="218" t="e">
        <f t="shared" ca="1" si="547"/>
        <v>#N/A</v>
      </c>
      <c r="KE174" s="218" t="e">
        <f t="shared" ca="1" si="548"/>
        <v>#N/A</v>
      </c>
      <c r="KF174" s="218" t="e">
        <f t="shared" ca="1" si="549"/>
        <v>#N/A</v>
      </c>
      <c r="KG174" s="216" t="e">
        <f t="shared" ca="1" si="550"/>
        <v>#N/A</v>
      </c>
      <c r="KH174" s="221" t="e">
        <f ca="1">IF(Control!$B$24=0,1,MAX(0.001,MIN(1,IF(($IF174-$IE174)&lt;&gt;0,($KG174-$IE174)/($IF174-$IE174),1))))</f>
        <v>#N/A</v>
      </c>
      <c r="KI174" s="222" t="e">
        <f ca="1">IF(Control!$C$114=1, $KI173+ $KH173, 0)</f>
        <v>#N/A</v>
      </c>
      <c r="KJ174" s="217" t="e">
        <f t="shared" ca="1" si="551"/>
        <v>#N/A</v>
      </c>
      <c r="KK174" s="218" t="e">
        <f t="shared" ca="1" si="552"/>
        <v>#N/A</v>
      </c>
      <c r="KL174" s="274" t="e">
        <f ca="1">IF(Control!$B$26=3,4000000000*EXP(-8400/($G174+273)),IF(Control!$B$26=4,4000000000*EXP(-8400/($G174+273))*($KT174),0))</f>
        <v>#DIV/0!</v>
      </c>
      <c r="KM174" s="274" t="e">
        <f ca="1">IF(Control!$B$26=3,5600000000000*EXP(-9800/($G174+273)),IF(Control!$B$26=4,5600000000000*EXP(-9800/($G174+273))*$KT174,0))</f>
        <v>#DIV/0!</v>
      </c>
      <c r="KN174" s="454" t="e">
        <f t="shared" ca="1" si="650"/>
        <v>#DIV/0!</v>
      </c>
      <c r="KO174" s="274" t="e">
        <f t="shared" ca="1" si="651"/>
        <v>#DIV/0!</v>
      </c>
      <c r="KP174" s="454" t="e">
        <f t="shared" ca="1" si="553"/>
        <v>#DIV/0!</v>
      </c>
      <c r="KQ174" s="454" t="e">
        <f t="shared" ca="1" si="554"/>
        <v>#DIV/0!</v>
      </c>
      <c r="KR174" s="454" t="e">
        <f t="shared" ca="1" si="555"/>
        <v>#DIV/0!</v>
      </c>
      <c r="KS174" s="454" t="e">
        <f t="shared" ca="1" si="556"/>
        <v>#DIV/0!</v>
      </c>
      <c r="KT174" s="455" t="e">
        <f t="shared" ca="1" si="557"/>
        <v>#DIV/0!</v>
      </c>
      <c r="KU174" s="456" t="e">
        <f ca="1">IF($CP174-Control!$C$149&lt;0, IF($NT174-0.01&lt;0,0,1),0)</f>
        <v>#N/A</v>
      </c>
      <c r="KV174" s="456" t="e">
        <f ca="1">IF(Control!$C$114=1,MAX(0,MIN(Control!$C$125*$KW174*$GN174,$KW174)))</f>
        <v>#DIV/0!</v>
      </c>
      <c r="KW174" s="456" t="e">
        <f t="shared" ca="1" si="684"/>
        <v>#DIV/0!</v>
      </c>
      <c r="KX174" s="457" t="e">
        <f ca="1">IF($CP174-Control!$C$149&lt;0, IF($MR174-$OM174&lt;0,0,1),0)</f>
        <v>#N/A</v>
      </c>
      <c r="KY174" s="167">
        <f t="shared" ca="1" si="652"/>
        <v>170</v>
      </c>
      <c r="KZ174" s="168">
        <f ca="1">1370*(1+0.033*COS(2*Control!$C$138*$AH174/365))</f>
        <v>1325.8325446829447</v>
      </c>
      <c r="LA174" s="169">
        <f t="shared" ca="1" si="653"/>
        <v>0.96776102973835298</v>
      </c>
      <c r="LB174" s="169">
        <f t="shared" ca="1" si="654"/>
        <v>0.40875829039313832</v>
      </c>
      <c r="LC174" s="169">
        <f ca="1">ACOS(-TAN((2*Control!$B$8/360))*TAN(Calculations!$LB174))</f>
        <v>1.6998898263932745</v>
      </c>
      <c r="LD174" s="169">
        <f ca="1">((24*60)/PI())*0.082*$LA174*(($LC174*SIN(Control!$B$8*2*PI()/360))*SIN($LB174)+COS(Control!$B$8*2*PI()/360)*COS($LB174)*SIN($LC174))</f>
        <v>39.744856977148082</v>
      </c>
      <c r="LE174" s="170">
        <f t="shared" ca="1" si="558"/>
        <v>41.45364794230111</v>
      </c>
      <c r="LF174" s="170">
        <f ca="1">SIN(Control!$C$139*Control!$B$8)*SIN($HD174)</f>
        <v>0.31329876313031396</v>
      </c>
      <c r="LG174" s="170">
        <f ca="1">COS(Control!$C$139*Control!$B$8)*COS($HD174)</f>
        <v>0.56490912090032697</v>
      </c>
      <c r="LH174" s="170">
        <f ca="1">12*(1+2*ASIN(MAX(-1,MIN(1,$LF174/$LG174))/Control!$C$138))</f>
        <v>16.259145023049786</v>
      </c>
      <c r="LI174" s="170">
        <f ca="1">12*(1+2*ASIN(MAX(-1,MIN(1,(-SIN(-4*Control!$C$139)+$LF174)/$LG174))/Control!$C$138))</f>
        <v>17.221250838954294</v>
      </c>
      <c r="LJ174" s="168">
        <f ca="1">3600*($LH174*$LF174+24*$LG174*SQRT(1-$LK174*$LK174)/Control!$C$138)</f>
        <v>31266.126411321573</v>
      </c>
      <c r="LK174" s="170">
        <f t="shared" ca="1" si="559"/>
        <v>0.55460029151413304</v>
      </c>
      <c r="LL174" s="170">
        <f t="shared" ca="1" si="560"/>
        <v>0</v>
      </c>
      <c r="LM174" s="171">
        <f ca="1">Control!$C$145*$AB174</f>
        <v>6.6660906138995932E-2</v>
      </c>
      <c r="LN174" s="170">
        <f t="shared" ca="1" si="655"/>
        <v>0.54</v>
      </c>
      <c r="LO174" s="170">
        <f t="shared" ca="1" si="561"/>
        <v>0</v>
      </c>
      <c r="LP174" s="170">
        <f ca="1">Control!$C$140*((($D174+273.16)^4+($E174+273.16)^4)/2)*(0.34-0.14*SQRT($Y174))*(1.35*$AQ174/(0.75*$LD174)-0.35)</f>
        <v>-3.2464704755046001</v>
      </c>
      <c r="LQ174" s="170">
        <f ca="1">Control!$C$140*($G174+273)^4*(0.56-0.079*SQRT($Y174*10))*(0.1+0.9*$LO174)</f>
        <v>1.5241745131704001</v>
      </c>
      <c r="LR174" s="170">
        <f ca="1">$AQ174*(1-Control!$C$142)-$LQ174</f>
        <v>-1.5241745131704001</v>
      </c>
      <c r="LS174" s="170">
        <f ca="1">$AQ174*(1-Control!$C$143)-$LQ174</f>
        <v>-1.5241745131704001</v>
      </c>
      <c r="LT174" s="170">
        <f ca="1">$AQ174*(1-Control!$C$144)-$LQ174</f>
        <v>-1.5241745131704001</v>
      </c>
      <c r="LU174" s="169">
        <f ca="1">(1-Control!$C$144)*AQ174-LP174</f>
        <v>3.2464704755046001</v>
      </c>
      <c r="LV174" s="172">
        <f t="shared" ca="1" si="562"/>
        <v>0.79430000000000012</v>
      </c>
      <c r="LW174" s="170">
        <f t="shared" ca="1" si="563"/>
        <v>1.5886000000000002</v>
      </c>
      <c r="LX174" s="170">
        <f ca="1">($AC174*($LR174/Control!$C$141)+$LM174*$LV174)/($AC174+$LM174)</f>
        <v>0.23530094218323697</v>
      </c>
      <c r="LY174" s="170">
        <f ca="1">($AC174*($LS174/Control!$C$141)+$LM174*$LV174)/($AC174+$LM174)</f>
        <v>0.23530094218323697</v>
      </c>
      <c r="LZ174" s="170">
        <f t="shared" ca="1" si="564"/>
        <v>0.23530094218323697</v>
      </c>
      <c r="MA174" s="170">
        <f t="shared" ca="1" si="565"/>
        <v>0.23530094218323697</v>
      </c>
      <c r="MB174" s="170" t="e">
        <f t="shared" ca="1" si="566"/>
        <v>#N/A</v>
      </c>
      <c r="MC174" s="170">
        <f t="shared" ca="1" si="656"/>
        <v>0.6018</v>
      </c>
      <c r="MD174" s="170">
        <f t="shared" ca="1" si="567"/>
        <v>0.52989392535414004</v>
      </c>
      <c r="ME174" s="170">
        <f ca="1">($AC174*($LT174/Control!$C$141)+$LM174*$LW174)/($AC174+$LM174)</f>
        <v>0.71612369323045078</v>
      </c>
      <c r="MF174" s="170" t="e">
        <f ca="1">IF(Control!$B$16&gt;=1000,0.92,IF(AND(720&lt;=Control!$B$16,1000&gt;Control!$B$16),(0.95+(Control!$B$16-720)*((0.92-0.95)/(1000-720))),IF(AND(360&lt;=Control!$B$16,720&gt;Control!$B$16),(1+(Control!$B$16-360)*((0.95-1)/(720-360))),IF(AND(40&lt;=Control!$B$16,360&gt;Control!$B$16),(1.05+(Control!$B$16-40)*((1.05-1)/(360-40)))))))</f>
        <v>#N/A</v>
      </c>
      <c r="MG174" s="170">
        <f t="shared" ca="1" si="568"/>
        <v>0.71612369323045078</v>
      </c>
      <c r="MH174" s="170" t="e">
        <f t="shared" ca="1" si="694"/>
        <v>#N/A</v>
      </c>
      <c r="MI174" s="170" t="e">
        <f t="shared" ca="1" si="694"/>
        <v>#N/A</v>
      </c>
      <c r="MJ174" s="170" t="e">
        <f ca="1">MAX(0.0001, Control!$C$132*$MI174*$DL174)</f>
        <v>#N/A</v>
      </c>
      <c r="MK174" s="170">
        <f ca="1">1/(0.76+1.5*($MG174/10))-(5-Control!$C$110)*0.1</f>
        <v>1.002845988140797</v>
      </c>
      <c r="ML174" s="173">
        <f ca="1">IF(Control!$C$110&lt;3,$MK174+($MG174-0.6)/(Control!$C$110*(Control!$C$110+3)), MAX(0.1, MIN(0.95,$MK174)))</f>
        <v>0.95</v>
      </c>
      <c r="MM174" s="173">
        <f ca="1">IF(Control!$C$110&lt;3,$MK174+(($MI174/10)-0.6)/(Control!$C$110*(Control!$C$110+3)), MAX(0.1, MIN(0.95,$MK174)))</f>
        <v>0.95</v>
      </c>
      <c r="MN174" s="173">
        <f ca="1">(1-$MM174)*(Control!$C$128-Control!$C$127)+Control!$C$127</f>
        <v>0.16</v>
      </c>
      <c r="MO174" s="170" t="e">
        <f ca="1">MAX(0,MIN(1,($MS174-Control!$C$127)/($MN174-Control!$C$127)))</f>
        <v>#DIV/0!</v>
      </c>
      <c r="MP174" s="173" t="e">
        <f ca="1">1/(0.76+1.5*$MI174)-(5-Control!$C$110)*0.1</f>
        <v>#N/A</v>
      </c>
      <c r="MQ174" s="172" t="e">
        <f t="shared" ca="1" si="685"/>
        <v>#DIV/0!</v>
      </c>
      <c r="MR174" s="168" t="e">
        <f t="shared" ca="1" si="657"/>
        <v>#DIV/0!</v>
      </c>
      <c r="MS174" s="173" t="e">
        <f ca="1">MAX(Control!$C$127, MIN(Control!$C$135, $MR174/MAX(0.0001,$CY174)))</f>
        <v>#DIV/0!</v>
      </c>
      <c r="MT174" s="168" t="e">
        <f ca="1">(Control!$C$128-$MS174)*Control!$C$74</f>
        <v>#DIV/0!</v>
      </c>
      <c r="MU174" s="168" t="e">
        <f ca="1">(Control!$C$135-$MS174)*Control!$C$74</f>
        <v>#DIV/0!</v>
      </c>
      <c r="MV174" s="168" t="e">
        <f t="shared" ca="1" si="658"/>
        <v>#DIV/0!</v>
      </c>
      <c r="MW174" s="168" t="e">
        <f t="shared" ca="1" si="659"/>
        <v>#DIV/0!</v>
      </c>
      <c r="MX174" s="171" t="e">
        <f ca="1">MAX(Control!$C$127, MIN(Control!$C$135, $MW174/MAX(0.0001,Control!$C$119-$CY174)))</f>
        <v>#DIV/0!</v>
      </c>
      <c r="MY174" s="54" t="e">
        <f ca="1">IF(Control!$C$114=1, $CX174*$MX174, 0)</f>
        <v>#DIV/0!</v>
      </c>
      <c r="MZ174" s="54" t="e">
        <f t="shared" ca="1" si="660"/>
        <v>#N/A</v>
      </c>
      <c r="NA174" s="168" t="e">
        <f ca="1">(Control!$C$128-$MX174)*(Control!$C$119-Control!$C$74)</f>
        <v>#DIV/0!</v>
      </c>
      <c r="NB174" s="168" t="e">
        <f ca="1">(Control!$C$135-$MX174)*(Control!$C$119-Control!$C$74)</f>
        <v>#DIV/0!</v>
      </c>
      <c r="NC174" s="174" t="e">
        <f t="shared" ca="1" si="661"/>
        <v>#DIV/0!</v>
      </c>
      <c r="ND174" s="54">
        <f ca="1">IF(Control!$C$58=2, IF(OR(Control!$B$218=$AH174,Control!$B$219=$AH174, Control!$B$220=$AH174, Control!$B$221=$AH174, Control!$B$222=$AH174, Control!$B$223=$AH174, Control!$B$224=$AH174, Control!$B$225=$AH174, Control!$B$226=$AH174, Control!$B$227=$AH174, Control!$B$228=$AH174), 1, 0), 0)</f>
        <v>0</v>
      </c>
      <c r="NE174" s="54">
        <f ca="1">IF($ND174=0,0, VLOOKUP($AH174,Control!$B$218:$C$228,2))</f>
        <v>0</v>
      </c>
      <c r="NF174" s="168" t="e">
        <f ca="1">$CY174*(Control!$C$128-Control!$C$127)</f>
        <v>#N/A</v>
      </c>
      <c r="NG174" s="54" t="e">
        <f ca="1">IF(Control!$C$58=2, $NI173-$NJ173, 0)</f>
        <v>#DIV/0!</v>
      </c>
      <c r="NH174" s="54" t="e">
        <f ca="1">IF(AND(Control!$C$58=1, $MS173&lt;= ($MN173+0.02), $I173&lt;10), 0, IF(Control!$C$58=2, $NG173, 0))</f>
        <v>#DIV/0!</v>
      </c>
      <c r="NI174" s="54" t="e">
        <f ca="1">IF(Control!$C$58=2, $NE174+$NH174,0)</f>
        <v>#DIV/0!</v>
      </c>
      <c r="NJ174" s="54" t="e">
        <f ca="1">IF(AND(Control!$C$58=1, $MS174&lt;= ($MN174+0.02), $I174&lt;10), MAX(0, MIN(10, 0.7*($NF174-$MV174))), IF(Control!$C$58=2, MIN(10,$NI174),0))</f>
        <v>#DIV/0!</v>
      </c>
      <c r="NK174" s="54" t="e">
        <f t="shared" ca="1" si="569"/>
        <v>#DIV/0!</v>
      </c>
      <c r="NL174" s="173" t="e">
        <f ca="1">(1-Control!$C$73)*$I174+$NJ174</f>
        <v>#DIV/0!</v>
      </c>
      <c r="NM174" s="172" t="e">
        <f ca="1">IF($NL174&lt;0.5, $MB174* MAX(0, MIN(1, (SQRT($NC174)-SQRT($NC174-1))*Control!$C$71)),0)</f>
        <v>#DIV/0!</v>
      </c>
      <c r="NN174" s="170" t="e">
        <f ca="1">IF($NL174&gt;=5, $MB174, MAX(0,MIN($MB174, $NM174+$NL174,($MS174-Control!$C$129))))</f>
        <v>#DIV/0!</v>
      </c>
      <c r="NO174" s="54">
        <f>IF(Control!$C$133&lt;&gt;1, Control!$C$135-Control!$C$131, 0)</f>
        <v>0.38</v>
      </c>
      <c r="NP174" s="54" t="e">
        <f t="shared" ca="1" si="570"/>
        <v>#DIV/0!</v>
      </c>
      <c r="NQ174" s="173" t="e">
        <f ca="1">MAX(0,MIN(1,(Control!$C$135-$MS174)/(Control!$C$135-$NO174)))</f>
        <v>#DIV/0!</v>
      </c>
      <c r="NR174" s="170" t="e">
        <f ca="1">IF(Control!$C$133&lt;&gt;1, $NQ174+((1-$NP174/4)*(1-$NQ174)),1)</f>
        <v>#DIV/0!</v>
      </c>
      <c r="NS174" s="170" t="e">
        <f ca="1">IF(Control!$B$31=0,$MJ174,MAX(0,MIN($MV174,$MO174*$NR174*$MJ174)))</f>
        <v>#DIV/0!</v>
      </c>
      <c r="NT174" s="170" t="e">
        <f t="shared" ca="1" si="686"/>
        <v>#DIV/0!</v>
      </c>
      <c r="NU174" s="170" t="e">
        <f t="shared" ca="1" si="662"/>
        <v>#N/A</v>
      </c>
      <c r="NV174" s="170" t="e">
        <f t="shared" ca="1" si="571"/>
        <v>#N/A</v>
      </c>
      <c r="NW174" s="175" t="e">
        <f t="shared" ca="1" si="572"/>
        <v>#DIV/0!</v>
      </c>
      <c r="NX174" s="170" t="e">
        <f ca="1">MIN(Control!$C$72+$MU174, $NW174)</f>
        <v>#DIV/0!</v>
      </c>
      <c r="NY174" s="170" t="e">
        <f ca="1">IF($MT174&lt;=$NX174,MIN(Control!$C$72+$NB174,$NX174-$MT174),0)</f>
        <v>#DIV/0!</v>
      </c>
      <c r="NZ174" s="54" t="e">
        <f ca="1">IF(Control!$C$114=1,  $CX174*($MX174-Control!$C$127), 0)</f>
        <v>#DIV/0!</v>
      </c>
      <c r="OA174" s="170" t="e">
        <f t="shared" ca="1" si="573"/>
        <v>#DIV/0!</v>
      </c>
      <c r="OB174" s="170" t="e">
        <f ca="1">IF($NA174 &lt;=$NY174, MIN(Control!$C$72, $NY174-$NA174), 0)</f>
        <v>#DIV/0!</v>
      </c>
      <c r="OC174" s="168" t="e">
        <f t="shared" ca="1" si="574"/>
        <v>#DIV/0!</v>
      </c>
      <c r="OD174" s="168" t="e">
        <f t="shared" ca="1" si="663"/>
        <v>#DIV/0!</v>
      </c>
      <c r="OE174" s="170">
        <f ca="1">Control!$C$73*$I174</f>
        <v>0</v>
      </c>
      <c r="OF174" s="176" t="e">
        <f t="shared" ca="1" si="575"/>
        <v>#DIV/0!</v>
      </c>
      <c r="OG174" s="168" t="e">
        <f t="shared" ca="1" si="576"/>
        <v>#DIV/0!</v>
      </c>
      <c r="OH174" s="168" t="e">
        <f t="shared" ca="1" si="577"/>
        <v>#DIV/0!</v>
      </c>
      <c r="OI174" s="168" t="e">
        <f t="shared" ca="1" si="578"/>
        <v>#DIV/0!</v>
      </c>
      <c r="OJ174" s="168" t="e">
        <f t="shared" ca="1" si="579"/>
        <v>#DIV/0!</v>
      </c>
      <c r="OK174" s="204" t="e">
        <f t="shared" ca="1" si="580"/>
        <v>#DIV/0!</v>
      </c>
      <c r="OL174" s="177">
        <f>Control!$C$127</f>
        <v>0.15</v>
      </c>
      <c r="OM174" s="182" t="e">
        <f t="shared" ca="1" si="581"/>
        <v>#N/A</v>
      </c>
      <c r="ON174" s="177">
        <f>Control!$C$128</f>
        <v>0.35</v>
      </c>
      <c r="OO174" s="182" t="e">
        <f t="shared" ca="1" si="582"/>
        <v>#N/A</v>
      </c>
      <c r="OP174" s="138">
        <f t="shared" ca="1" si="664"/>
        <v>0</v>
      </c>
      <c r="OQ174" s="138" t="e">
        <f t="shared" ca="1" si="687"/>
        <v>#DIV/0!</v>
      </c>
      <c r="OR174" s="138" t="e">
        <f t="shared" ca="1" si="665"/>
        <v>#DIV/0!</v>
      </c>
      <c r="OS174" s="137" t="e">
        <f t="shared" ca="1" si="688"/>
        <v>#DIV/0!</v>
      </c>
      <c r="OT174" s="139" t="e">
        <f t="shared" ca="1" si="689"/>
        <v>#DIV/0!</v>
      </c>
      <c r="OU174" s="138" t="e">
        <f t="shared" ca="1" si="690"/>
        <v>#N/A</v>
      </c>
      <c r="OV174" s="138" t="e">
        <f t="shared" ca="1" si="691"/>
        <v>#DIV/0!</v>
      </c>
      <c r="OW174" s="138" t="e">
        <f t="shared" ca="1" si="666"/>
        <v>#DIV/0!</v>
      </c>
      <c r="OX174" s="138" t="e">
        <f t="shared" ca="1" si="667"/>
        <v>#DIV/0!</v>
      </c>
      <c r="OY174" s="138" t="e">
        <f t="shared" ca="1" si="668"/>
        <v>#DIV/0!</v>
      </c>
      <c r="OZ174" s="138" t="e">
        <f t="shared" ca="1" si="583"/>
        <v>#DIV/0!</v>
      </c>
      <c r="PA174" s="138" t="e">
        <f t="shared" ca="1" si="584"/>
        <v>#DIV/0!</v>
      </c>
      <c r="PB174" s="55">
        <f>IF(Control!$C$61="T", IF(Control!$C$65="F", IF($AH$6-Control!$C$60&lt;0,0,1), IF(365+$AH$6-Control!$C$60&lt;0,0,1)),0)</f>
        <v>0</v>
      </c>
      <c r="PC174" s="55">
        <f ca="1">IF(Control!$C$65="F", IF($AH$6-$HF174&lt;0,0,1), IF(365+$AH$6-$HF174&lt;0,0,1))</f>
        <v>1</v>
      </c>
      <c r="PD174" s="444">
        <f>Control!$C$118</f>
        <v>1500</v>
      </c>
      <c r="PE174" s="180" t="e">
        <f t="shared" ca="1" si="585"/>
        <v>#N/A</v>
      </c>
      <c r="PF174" s="445">
        <f t="shared" ca="1" si="669"/>
        <v>0.71612369323045078</v>
      </c>
      <c r="PT174" s="186"/>
      <c r="PU174" s="186"/>
      <c r="PV174" s="94"/>
      <c r="PW174" s="94"/>
      <c r="PX174" s="94"/>
      <c r="PY174" s="94"/>
      <c r="PZ174" s="94"/>
      <c r="QA174" s="94"/>
      <c r="QB174" s="94"/>
      <c r="QC174" s="94"/>
      <c r="QD174" s="94"/>
      <c r="QE174" s="94"/>
      <c r="QF174" s="94"/>
      <c r="QG174" s="94"/>
      <c r="QH174" s="94"/>
      <c r="QI174" s="94"/>
      <c r="QJ174" s="94"/>
      <c r="QK174" s="94"/>
      <c r="QL174" s="94"/>
      <c r="QM174" s="94"/>
      <c r="QN174" s="94"/>
      <c r="QO174" s="94"/>
      <c r="QP174" s="94"/>
    </row>
    <row r="175" spans="1:458" s="2" customFormat="1" x14ac:dyDescent="0.2">
      <c r="A175" s="395">
        <v>19</v>
      </c>
      <c r="B175" s="396">
        <v>6</v>
      </c>
      <c r="C175" s="387">
        <f ca="1">Weather_data!$B174</f>
        <v>0</v>
      </c>
      <c r="D175" s="388">
        <f ca="1">Weather_data!$F174</f>
        <v>0</v>
      </c>
      <c r="E175" s="388">
        <f ca="1">Weather_data!$E174</f>
        <v>0</v>
      </c>
      <c r="F175" s="388">
        <f t="shared" ca="1" si="586"/>
        <v>0</v>
      </c>
      <c r="G175" s="388">
        <f ca="1">AVERAGE($D175:$E175)+Control!$B$9</f>
        <v>0</v>
      </c>
      <c r="H175" s="388">
        <f ca="1">Weather_data!$G174</f>
        <v>0</v>
      </c>
      <c r="I175" s="388">
        <f ca="1">Weather_data!$I174</f>
        <v>0</v>
      </c>
      <c r="J175" s="388">
        <f ca="1">Weather_data!$H174</f>
        <v>0</v>
      </c>
      <c r="K175" s="389">
        <f ca="1">Weather_data!$D174</f>
        <v>0</v>
      </c>
      <c r="L175" s="388" t="e">
        <f t="shared" ca="1" si="587"/>
        <v>#N/A</v>
      </c>
      <c r="M175" s="388" t="e">
        <f t="shared" ca="1" si="465"/>
        <v>#N/A</v>
      </c>
      <c r="N175" s="388">
        <f t="shared" ca="1" si="466"/>
        <v>-9.2460044810545219E-9</v>
      </c>
      <c r="O175" s="388">
        <f t="shared" ca="1" si="588"/>
        <v>9.2460044810545226E-8</v>
      </c>
      <c r="P175" s="390">
        <v>3</v>
      </c>
      <c r="Q175" s="388">
        <f ca="1">MAX($G175-Control!$C$107,0)</f>
        <v>0</v>
      </c>
      <c r="R175" s="388">
        <f t="shared" ca="1" si="589"/>
        <v>0</v>
      </c>
      <c r="S175" s="388">
        <f t="shared" ca="1" si="467"/>
        <v>0</v>
      </c>
      <c r="T175" s="388">
        <f t="shared" ca="1" si="468"/>
        <v>0</v>
      </c>
      <c r="U175" s="59">
        <f t="shared" ca="1" si="469"/>
        <v>0</v>
      </c>
      <c r="V175" s="391">
        <f ca="1">MAX(0,MIN(Control!$C$100-Control!$C$99,$G175-Control!$C$99)*Control!$C$63)</f>
        <v>0</v>
      </c>
      <c r="W175" s="388">
        <f t="shared" ca="1" si="590"/>
        <v>0</v>
      </c>
      <c r="X175" s="388">
        <f t="shared" ca="1" si="591"/>
        <v>0.6110000000000001</v>
      </c>
      <c r="Y175" s="388">
        <f t="shared" ca="1" si="470"/>
        <v>0</v>
      </c>
      <c r="Z175" s="388">
        <f t="shared" ca="1" si="592"/>
        <v>0.61058800000000002</v>
      </c>
      <c r="AA175" s="388">
        <f t="shared" ca="1" si="471"/>
        <v>0.6018</v>
      </c>
      <c r="AB175" s="388">
        <f ca="1">101.3*EXP(-0.034*Control!$C$66/($G175+273))</f>
        <v>100.69623283836242</v>
      </c>
      <c r="AC175" s="392">
        <f t="shared" ca="1" si="472"/>
        <v>4.3460251046025113E-2</v>
      </c>
      <c r="AD175" s="392">
        <f t="shared" ca="1" si="473"/>
        <v>4.4450382862832649E-2</v>
      </c>
      <c r="AE175" s="388">
        <f t="shared" ca="1" si="474"/>
        <v>0</v>
      </c>
      <c r="AF175" s="388">
        <f ca="1">MAX(0,$G175-Control!$C$92)</f>
        <v>0</v>
      </c>
      <c r="AG175" s="393">
        <f t="shared" ca="1" si="475"/>
        <v>171</v>
      </c>
      <c r="AH175" s="389">
        <f t="shared" ca="1" si="476"/>
        <v>171</v>
      </c>
      <c r="AI175" s="388">
        <f t="shared" ca="1" si="593"/>
        <v>0.4091361528234102</v>
      </c>
      <c r="AJ175" s="388">
        <f ca="1">IF(Control!$C$60&lt;=0,$HH175,$HI175)</f>
        <v>1</v>
      </c>
      <c r="AK175" s="388">
        <f t="shared" ca="1" si="477"/>
        <v>1.5664927752146365</v>
      </c>
      <c r="AL175" s="388">
        <f t="shared" ca="1" si="478"/>
        <v>-2.7050878897982855E-18</v>
      </c>
      <c r="AM175" s="388">
        <f t="shared" ca="1" si="479"/>
        <v>1.5664927752146365</v>
      </c>
      <c r="AN175" s="388">
        <f t="shared" ca="1" si="480"/>
        <v>0.40911368792423147</v>
      </c>
      <c r="AO175" s="388">
        <f ca="1">-0.10453/COS(Control!$B$8*PI()/180)*COS(AN175)</f>
        <v>-0.15577315689521568</v>
      </c>
      <c r="AP175" s="388">
        <f ca="1">ACOS(AO175-TAN(Control!$B$8*PI()/180)*TAN(AN175))</f>
        <v>2.3613281928131524</v>
      </c>
      <c r="AQ175" s="388">
        <f t="shared" ca="1" si="594"/>
        <v>0</v>
      </c>
      <c r="AR175" s="394">
        <f t="shared" ca="1" si="481"/>
        <v>0</v>
      </c>
      <c r="AS175" s="436">
        <f ca="1">IF(Control!$B$18=2,(IF(OR($AH175=Control!$B$175,$AH175=Control!$B$176,$AH175=Control!$B$177,$AH175=Control!$B$178,$AH175=Control!$B$179,$AH175=Control!$B$180,$AH175=Control!$B$181,$AH175=Control!$B$182,$AH175=Control!$B$183,$AH175=Control!$B$184,$AH175=Control!$B$185),1,0)),0)</f>
        <v>0</v>
      </c>
      <c r="AT175" s="436">
        <f>IF(Control!$B$20=8,IF(AND($AH175&gt;=Control!$B$172,$AH175&lt;=Control!$B$173),1,0),0)</f>
        <v>0</v>
      </c>
      <c r="AU175" s="436">
        <f>IF(Control!$B$20=8,IF($AV174=1,1*$AT175,IF($AT175=1,$AU174+1,$AU174)),0)</f>
        <v>0</v>
      </c>
      <c r="AV175" s="436">
        <f>IF(Control!$B$20=8,IF($AU175&gt;=Control!$B$174,1,0),0)</f>
        <v>0</v>
      </c>
      <c r="AW175" s="436">
        <f ca="1">IF(AND(Control!$B$18=2,Control!$B$171=1), $AV175, $AS175)</f>
        <v>0</v>
      </c>
      <c r="AX175" s="436" t="e">
        <f ca="1">IF(AND(Control!$B$18=1,$EU175&gt;=Control!$B$19),-$AY175,IF(AND(Control!$B$18=2,$AW175=1,$EU175&gt;$DS175),-$AY175, IF(Control!$C$108=0,0, IF(Control!$C$108&lt;&gt;0,1))))</f>
        <v>#N/A</v>
      </c>
      <c r="AY175" s="436" t="e">
        <f t="shared" ca="1" si="595"/>
        <v>#N/A</v>
      </c>
      <c r="AZ175" s="436" t="e">
        <f ca="1">IF(AND(Control!$B$18=1,$EB175&gt;Control!$B$19),$AZ174+1, IF(AND(Control!$B$18=2, $AW175=1, $EB175&gt;$DS175), $AZ174+1,$AZ174))</f>
        <v>#N/A</v>
      </c>
      <c r="BA175" s="587">
        <f>IF(Control!$C$81=0,1,IF($AH175&gt;=Control!$C$82,1,0))</f>
        <v>1</v>
      </c>
      <c r="BB175" s="140" t="e">
        <f ca="1">IF($BA175&gt;$BA174,Control!$C$83,IF($AW175&gt;0,$AW175*Control!$C$84,IF(AND(Control!$B$18=1,EN174&lt;&gt;0),Control!$C$84,0)))</f>
        <v>#N/A</v>
      </c>
      <c r="BC175" s="140" t="e">
        <f t="shared" ca="1" si="596"/>
        <v>#N/A</v>
      </c>
      <c r="BD175" s="140" t="e">
        <f ca="1">BC175*IF(OR($G175&lt;Control!$C$92,$G175&gt;Control!$C$95),0,IF(AND($G175&gt;=Control!$C$92,$G175&lt;=Control!$C$93),$G175-Control!$C$92,IF(AND($G175&gt;Control!$C$93,$G175&lt;=Control!$C$94),Control!$C$93-Control!$C$92,IF(AND($G175&gt;Control!$C$94,$G175&lt;=Control!$C$95),(Control!$C$93-Control!$C$92)*(Control!$C$94-$G175)/(Control!$C$95-Control!$C$94)))))</f>
        <v>#N/A</v>
      </c>
      <c r="BE175" s="140" t="e">
        <f t="shared" ca="1" si="597"/>
        <v>#N/A</v>
      </c>
      <c r="BF175" s="140" t="e">
        <f ca="1">IF($BE175&lt;=Control!$C$86,$BE175,Control!$C$86-$BE175)</f>
        <v>#N/A</v>
      </c>
      <c r="BG175" s="140" t="e">
        <f ca="1">IF(AND($AW175=1,Control!$C$84&lt;9),1,IF($BE175&gt;=Control!$C$86,0,$BC175))</f>
        <v>#N/A</v>
      </c>
      <c r="BH175" s="404" t="e">
        <f ca="1">IF($BG175=0,0,IF($BE175&lt;=Control!$C$86,$BC175*9*($BF175/Control!$C$86),0))</f>
        <v>#N/A</v>
      </c>
      <c r="BI175" s="140" t="e">
        <f ca="1">IF($BG175=1,0,IF($BE175&gt;=Control!$C$86,1,IF(AND($BB175&lt;21,$BB175&gt;=9),1,$BM174)))</f>
        <v>#N/A</v>
      </c>
      <c r="BJ175" s="140" t="e">
        <f ca="1">IF($BF175&lt;0,-$BF175,$BI175*IF(OR($G175&lt;Control!$C$92,$G175&gt;Control!$C$95),0,IF(AND($G175&gt;=Control!$C$92,$G175&lt;=Control!$C$93),$G175-Control!$C$92,IF(AND($G175&gt;Control!$C$93,$G175&lt;=Control!$C$94),Control!$C$93-Control!$C$92,IF(AND($G175&gt;Control!$C$94,$G175&lt;=Control!$C$95),(Control!$C$93-Control!$C$92)*(Control!$C$94-$G175)/(Control!$C$95-Control!$C$94))))))</f>
        <v>#N/A</v>
      </c>
      <c r="BK175" s="140" t="e">
        <f t="shared" ca="1" si="598"/>
        <v>#N/A</v>
      </c>
      <c r="BL175" s="140" t="e">
        <f ca="1">IF($BK175&lt;=Control!$C$87,$BK175,Control!$C$87-$BK175)</f>
        <v>#N/A</v>
      </c>
      <c r="BM175" s="140" t="e">
        <f ca="1">IF(AND($BB175&gt;=9,$BB175&lt;21),1,IF($BK175&gt;=Control!$C$87,0,$BI175))</f>
        <v>#N/A</v>
      </c>
      <c r="BN175" s="404" t="e">
        <f ca="1">IF($BM175=0,0,IF($BK175&lt;=Control!$C$87,$BI175*(9+(21-9)*($BL175/Control!$C$87)),0))</f>
        <v>#N/A</v>
      </c>
      <c r="BO175" s="140" t="e">
        <f ca="1">IF($BM175=1,0,IF($BK175&gt;=Control!$C$87,1,IF(AND($BB175&lt;30,$BB175&gt;=21),1,$BS174)))</f>
        <v>#N/A</v>
      </c>
      <c r="BP175" s="140" t="e">
        <f ca="1">IF($BL175&lt;0,-$BL175,$BO175*IF(OR($G175&lt;Control!$C$92,$G175&gt;Control!$C$95),0,IF(AND($G175&gt;=Control!$C$92,$G175&lt;=Control!$C$93),$G175-Control!$C$92,IF(AND($G175&gt;Control!$C$93,$G175&lt;=Control!$C$94),Control!$C$93-Control!$C$92,IF(AND($G175&gt;Control!$C$94,$G175&lt;=Control!$C$95),(Control!$C$93-Control!$C$92)*(Control!$C$94-$G175)/(Control!$C$95-Control!$C$94))))))</f>
        <v>#N/A</v>
      </c>
      <c r="BQ175" s="140" t="e">
        <f t="shared" ca="1" si="482"/>
        <v>#N/A</v>
      </c>
      <c r="BR175" s="140" t="e">
        <f ca="1">IF($BQ175&lt;=Control!$C$88,$BQ175,Control!$C$88-$BQ175)</f>
        <v>#N/A</v>
      </c>
      <c r="BS175" s="140" t="e">
        <f ca="1">IF(AND($BB175&gt;=21,$BB175&lt;30),1,IF($BQ175&gt;=Control!$C$88,0,$BO175))</f>
        <v>#N/A</v>
      </c>
      <c r="BT175" s="404" t="e">
        <f ca="1">IF($BS175=0,0,IF($BQ175&lt;=Control!$C$88,$BO175*(21+(30-21)*(BR175/Control!$C$88)),0))</f>
        <v>#N/A</v>
      </c>
      <c r="BU175" s="140" t="e">
        <f ca="1">IF(BG175+BM175+BS175=1,0,IF(OR(AND($BB175&lt;60,$BB175&gt;=30),$BQ175&gt;=Control!$C$88),1*$BA175,$BY174))</f>
        <v>#N/A</v>
      </c>
      <c r="BV175" s="140" t="e">
        <f ca="1">IF($BR175&lt;0,-$BR175,$BU175*IF(OR($G175&lt;Control!$C$92,$G175&gt;Control!$C$95),0,IF(AND($G175&gt;=Control!$C$92,$G175&lt;=Control!$C$93),$G175-Control!$C$92,IF(AND($G175&gt;Control!$C$93,$G175&lt;=Control!$C$94),Control!$C$93-Control!$C$92,IF(AND($G175&gt;Control!$C$94,$G175&lt;=Control!$C$95),(Control!$C$93-Control!$C$92)*(Control!$C$94-$G175)/(Control!$C$95-Control!$C$94))))))</f>
        <v>#N/A</v>
      </c>
      <c r="BW175" s="140" t="e">
        <f t="shared" ca="1" si="483"/>
        <v>#N/A</v>
      </c>
      <c r="BX175" s="140" t="e">
        <f ca="1">IF($BW175&lt;=Control!$C$89,$BW175,Control!$C$89-$BW175)</f>
        <v>#N/A</v>
      </c>
      <c r="BY175" s="140" t="e">
        <f ca="1">IF(AND($AJ175&gt;=30,$AJ175&lt;60),1,IF($BW175&gt;=Control!$C$89,0,$BU175))</f>
        <v>#N/A</v>
      </c>
      <c r="BZ175" s="404" t="e">
        <f ca="1">IF($BY175=0,0,IF($BW175&lt;=Control!$C$89,$BU175*(30+(60-30)*(BX175/Control!$C$89)),0))</f>
        <v>#N/A</v>
      </c>
      <c r="CA175" s="140" t="e">
        <f ca="1">IF($BG175+$BM175+$BS175+$BY175=1,0,IF(OR(AND($BB175&lt;65,$BB175&gt;=60),$BW175&gt;=Control!$C$89),1*$BA175,$CE174))</f>
        <v>#N/A</v>
      </c>
      <c r="CB175" s="140" t="e">
        <f ca="1">IF($BX175&lt;0,-$BX175,$CA175*IF(OR($G175&lt;Control!$C$92,$G175&gt;Control!$C$95),0,IF(AND($G175&gt;=Control!$C$92,$G175&lt;=Control!$C$93),$G175-Control!$C$92,IF(AND($G175&gt;Control!$C$93,$G175&lt;=Control!$C$94),Control!$C$93-Control!$C$92,IF(AND($G175&gt;Control!$C$94,$G175&lt;=Control!$C$95),(Control!$C$93-Control!$C$92)*(Control!$C$94-$G175)/(Control!$C$95-Control!$C$94))))))</f>
        <v>#N/A</v>
      </c>
      <c r="CC175" s="140" t="e">
        <f t="shared" ca="1" si="599"/>
        <v>#N/A</v>
      </c>
      <c r="CD175" s="140" t="e">
        <f ca="1">IF($CC175&lt;=Control!$C$90,$CC175,Control!$C$90-$CC175)</f>
        <v>#N/A</v>
      </c>
      <c r="CE175" s="140" t="e">
        <f ca="1">IF(AND($BB175&gt;=60,$BB175&lt;65),1,IF($CC175&gt;=Control!$C$90,0,$CA175))</f>
        <v>#N/A</v>
      </c>
      <c r="CF175" s="404" t="e">
        <f ca="1">IF($CE175=0,0,IF($CC175&lt;=Control!$C$90,$CA175*(60+(65-60)*(CD175/Control!$C$90)),0))</f>
        <v>#N/A</v>
      </c>
      <c r="CG175" s="140" t="e">
        <f ca="1">IF($BG175+$BM175+$BS175+$BY175+$CE175=1,0,IF(OR(AND($BB175&lt;90,$BB175&gt;=65),$CC175&gt;=Control!$C$90),$BA175,$CK174))</f>
        <v>#N/A</v>
      </c>
      <c r="CH175" s="140" t="e">
        <f ca="1">IF($CD175&lt;0,-$CD175,$CG175*IF(OR($G175&lt;Control!$C$92,$G175&gt;Control!$C$95),0,IF(AND($G175&gt;=Control!$C$92,$G175&lt;=Control!$C$93),$G175-Control!$C$92,IF(AND($G175&gt;Control!$C$93,$G175&lt;=Control!$C$94),Control!$C$93-Control!$C$92,IF(AND($G175&gt;Control!$C$94,$G175&lt;=Control!$C$95),(Control!$C$93-Control!$C$92)*(Control!$C$94-$G175)/(Control!$C$95-Control!$C$94))))))</f>
        <v>#N/A</v>
      </c>
      <c r="CI175" s="140" t="e">
        <f t="shared" ca="1" si="600"/>
        <v>#N/A</v>
      </c>
      <c r="CJ175" s="140" t="e">
        <f ca="1">IF($CI175&lt;=Control!$C$91,$CI175,Control!$C$91-$CI175)</f>
        <v>#N/A</v>
      </c>
      <c r="CK175" s="140" t="e">
        <f ca="1">IF(AND($BB175&gt;=65,$BB175&lt;90),1,IF($CI175&gt;=Control!$C$91,0,$CG175))</f>
        <v>#N/A</v>
      </c>
      <c r="CL175" s="404" t="e">
        <f ca="1">IF($CK175=0,0,IF($CI175&lt;=Control!$C$91,$CG175*(65+(90-65)*($CJ175/Control!$C$91)),0))</f>
        <v>#N/A</v>
      </c>
      <c r="CM175" s="140" t="e">
        <f ca="1">IF($BG175+$BM175+$BS175+$BY175+$CE175+$CK175=1,0,IF(OR($BB175&gt;=90,$CI175&gt;=Control!$C$91),$BA175,$CM174))</f>
        <v>#N/A</v>
      </c>
      <c r="CN175" s="140" t="e">
        <f t="shared" ca="1" si="601"/>
        <v>#N/A</v>
      </c>
      <c r="CO175" s="140" t="e">
        <f t="shared" ca="1" si="602"/>
        <v>#N/A</v>
      </c>
      <c r="CP175" s="140" t="e">
        <f t="shared" ca="1" si="603"/>
        <v>#N/A</v>
      </c>
      <c r="CQ175" s="141" t="e">
        <f ca="1">VLOOKUP($CP175,Control!$B$86:$G$91,6)</f>
        <v>#N/A</v>
      </c>
      <c r="CR175" s="141" t="e">
        <f ca="1">(1-$CQ175)*VLOOKUP($CP175,Control!$B$86:$D$91,3)</f>
        <v>#N/A</v>
      </c>
      <c r="CS175" s="141" t="e">
        <f ca="1">(1-$CQ175)*VLOOKUP($CP175,Control!$B$86:$E$91,4)</f>
        <v>#N/A</v>
      </c>
      <c r="CT175" s="141" t="e">
        <f ca="1">(1-$CQ175)*VLOOKUP($CP175,Control!$B$86:$F$91,5)</f>
        <v>#N/A</v>
      </c>
      <c r="CU175" s="141">
        <f t="shared" ca="1" si="604"/>
        <v>0</v>
      </c>
      <c r="CV175" s="583">
        <f t="shared" ca="1" si="605"/>
        <v>0</v>
      </c>
      <c r="CW175" s="142">
        <f t="shared" ca="1" si="606"/>
        <v>171</v>
      </c>
      <c r="CX175" s="612" t="e">
        <f ca="1">IF(Control!$C$114=1,(MIN(Control!$C$120*(IF($NT175-0.01&lt;0,0,1)),Control!$C$119-$CY175)))</f>
        <v>#DIV/0!</v>
      </c>
      <c r="CY175" s="143" t="e">
        <f t="shared" ca="1" si="607"/>
        <v>#N/A</v>
      </c>
      <c r="CZ175" s="144">
        <f t="shared" ca="1" si="484"/>
        <v>0</v>
      </c>
      <c r="DA175" s="144">
        <f t="shared" ca="1" si="485"/>
        <v>0</v>
      </c>
      <c r="DB175" s="144" t="e">
        <f t="shared" ca="1" si="486"/>
        <v>#N/A</v>
      </c>
      <c r="DC175" s="144" t="e">
        <f t="shared" ca="1" si="487"/>
        <v>#N/A</v>
      </c>
      <c r="DD175" s="144" t="e">
        <f t="shared" ca="1" si="692"/>
        <v>#N/A</v>
      </c>
      <c r="DE175" s="143" t="e">
        <f t="shared" ca="1" si="608"/>
        <v>#N/A</v>
      </c>
      <c r="DF175" s="145" t="e">
        <f ca="1">$DR175*EXP(-Control!$C$158*(1-$KH175))</f>
        <v>#N/A</v>
      </c>
      <c r="DG175" s="146" t="e">
        <f ca="1">IF(Control!$C$114=1, $DF175*$EY175, 0)</f>
        <v>#N/A</v>
      </c>
      <c r="DH175" s="147" t="e">
        <f t="shared" ca="1" si="609"/>
        <v>#N/A</v>
      </c>
      <c r="DI175" s="144" t="e">
        <f t="shared" ca="1" si="670"/>
        <v>#N/A</v>
      </c>
      <c r="DJ175" s="147" t="e">
        <f ca="1">$EF175*Control!$C$109</f>
        <v>#N/A</v>
      </c>
      <c r="DK175" s="144" t="e">
        <f t="shared" ca="1" si="610"/>
        <v>#N/A</v>
      </c>
      <c r="DL175" s="144" t="e">
        <f t="shared" ca="1" si="488"/>
        <v>#N/A</v>
      </c>
      <c r="DM175" s="144" t="e">
        <f ca="1">IF(Control!$C$114=1, (1-EXP(-Control!$C$96*$DK175))*$AR175, 0)</f>
        <v>#N/A</v>
      </c>
      <c r="DN175" s="144">
        <f t="shared" ca="1" si="611"/>
        <v>0</v>
      </c>
      <c r="DO175" s="148">
        <f>Control!$C$97</f>
        <v>4</v>
      </c>
      <c r="DP175" s="145" t="e">
        <f t="shared" ca="1" si="612"/>
        <v>#N/A</v>
      </c>
      <c r="DQ175" s="145" t="e">
        <f ca="1">IF(AND($CP175&gt;=0,$CP175&lt;=90),Control!$C$111,Control!$C$111)</f>
        <v>#N/A</v>
      </c>
      <c r="DR175" s="145" t="e">
        <f t="shared" ca="1" si="489"/>
        <v>#N/A</v>
      </c>
      <c r="DS175" s="143" t="e">
        <f ca="1">Control!$B$22/$DR175</f>
        <v>#N/A</v>
      </c>
      <c r="DT175" s="149" t="e">
        <f ca="1">IF(AND(Control!$C$114=1,$KH175&lt;1),$IM175*$DF175, 0)</f>
        <v>#N/A</v>
      </c>
      <c r="DU175" s="144" t="e">
        <f t="shared" ca="1" si="613"/>
        <v>#N/A</v>
      </c>
      <c r="DV175" s="144">
        <f ca="1">IF($G175-Control!$C$107&lt;=0, 0, 0.83*LN(MAX($G175, 3))-0.8924)</f>
        <v>0</v>
      </c>
      <c r="DW175" s="144" t="e">
        <f t="shared" ca="1" si="490"/>
        <v>#N/A</v>
      </c>
      <c r="DX175" s="150" t="e">
        <f ca="1">MAX(0.01*(1+$CU175/Control!$C$102),0.05*($DK175-Control!$C$97)/Control!$C$97)</f>
        <v>#N/A</v>
      </c>
      <c r="DY175" s="151" t="e">
        <f ca="1">IF(Control!$C$114=1, $DI175*$FS175, 0)</f>
        <v>#N/A</v>
      </c>
      <c r="DZ175" s="196" t="e">
        <f t="shared" ca="1" si="614"/>
        <v>#N/A</v>
      </c>
      <c r="EA175" s="152">
        <f t="shared" ca="1" si="615"/>
        <v>171</v>
      </c>
      <c r="EB175" s="153" t="e">
        <f t="shared" ca="1" si="616"/>
        <v>#N/A</v>
      </c>
      <c r="EC175" s="153" t="e">
        <f t="shared" ca="1" si="617"/>
        <v>#N/A</v>
      </c>
      <c r="ED175" s="154" t="e">
        <f ca="1">IF(Control!$C$114=1, $HM175*$FY175-$FD175, 0)</f>
        <v>#DIV/0!</v>
      </c>
      <c r="EE175" s="155" t="e">
        <f ca="1">IF(Control!$C$114=1, $HM175*$FZ175-$FF175, 0)</f>
        <v>#DIV/0!</v>
      </c>
      <c r="EF175" s="153" t="e">
        <f t="shared" ca="1" si="671"/>
        <v>#N/A</v>
      </c>
      <c r="EG175" s="155" t="e">
        <f ca="1">IF(Control!$C$114=1, $GX175*$FW175-$FI175, 0)</f>
        <v>#DIV/0!</v>
      </c>
      <c r="EH175" s="153" t="e">
        <f t="shared" ca="1" si="618"/>
        <v>#N/A</v>
      </c>
      <c r="EI175" s="156" t="e">
        <f t="shared" ca="1" si="619"/>
        <v>#N/A</v>
      </c>
      <c r="EJ175" s="155" t="e">
        <f ca="1">IF(Control!$C$114=1, $HM175*$GB175, 0)</f>
        <v>#DIV/0!</v>
      </c>
      <c r="EK175" s="153" t="e">
        <f t="shared" ca="1" si="672"/>
        <v>#N/A</v>
      </c>
      <c r="EL175" s="153" t="e">
        <f t="shared" ca="1" si="491"/>
        <v>#N/A</v>
      </c>
      <c r="EM175" s="153" t="e">
        <f t="shared" ca="1" si="492"/>
        <v>#N/A</v>
      </c>
      <c r="EN175" s="153" t="e">
        <f ca="1">IF(Control!$C$108=1,IF(AND(Control!$B$18=1,$EB175&gt;=Control!$B$19),$EB175-$DS175,IF(AND(Control!$B$18=2,$AW175=1,$EB175&gt;$DS175),$EB175-$DS175,0)))</f>
        <v>#N/A</v>
      </c>
      <c r="EO175" s="153" t="e">
        <f ca="1">IF(Control!$C$108=1,IF(AND(Control!$B$18=1,$EB175&gt;=Control!$B$19),$EF175,IF(AND(Control!$B$18=2,$AW175=1),$EF175,0)))</f>
        <v>#N/A</v>
      </c>
      <c r="EP175" s="153" t="e">
        <f ca="1">IF(Control!$C$108=1,IF(AND(Control!$B$18=1,$EB175&gt;=Control!$B$19),$EK175,IF(AND(Control!$B$18=2,$AW175=1),$EK175,0)))</f>
        <v>#N/A</v>
      </c>
      <c r="EQ175" s="153" t="e">
        <f t="shared" ca="1" si="620"/>
        <v>#N/A</v>
      </c>
      <c r="ER175" s="153" t="e">
        <f t="shared" ca="1" si="621"/>
        <v>#N/A</v>
      </c>
      <c r="ES175" s="153" t="e">
        <f t="shared" ca="1" si="673"/>
        <v>#N/A</v>
      </c>
      <c r="ET175" s="153" t="e">
        <f t="shared" ca="1" si="674"/>
        <v>#N/A</v>
      </c>
      <c r="EU175" s="153" t="e">
        <f t="shared" ca="1" si="622"/>
        <v>#N/A</v>
      </c>
      <c r="EV175" s="153" t="e">
        <f t="shared" ca="1" si="493"/>
        <v>#N/A</v>
      </c>
      <c r="EW175" s="153" t="e">
        <f t="shared" ca="1" si="494"/>
        <v>#N/A</v>
      </c>
      <c r="EX175" s="153" t="e">
        <f t="shared" ca="1" si="495"/>
        <v>#N/A</v>
      </c>
      <c r="EY175" s="157" t="e">
        <f t="shared" ca="1" si="496"/>
        <v>#DIV/0!</v>
      </c>
      <c r="EZ175" s="154" t="e">
        <f t="shared" ca="1" si="497"/>
        <v>#DIV/0!</v>
      </c>
      <c r="FA175" s="153" t="e">
        <f t="shared" ca="1" si="623"/>
        <v>#N/A</v>
      </c>
      <c r="FB175" s="153" t="e">
        <f t="shared" ca="1" si="498"/>
        <v>#N/A</v>
      </c>
      <c r="FC175" s="193" t="e">
        <f t="shared" ca="1" si="499"/>
        <v>#N/A</v>
      </c>
      <c r="FD175" s="158" t="e">
        <f t="shared" ca="1" si="624"/>
        <v>#N/A</v>
      </c>
      <c r="FE175" s="158" t="e">
        <f t="shared" ca="1" si="625"/>
        <v>#N/A</v>
      </c>
      <c r="FF175" s="159" t="e">
        <f t="shared" ca="1" si="500"/>
        <v>#N/A</v>
      </c>
      <c r="FG175" s="160" t="e">
        <f t="shared" ca="1" si="626"/>
        <v>#N/A</v>
      </c>
      <c r="FH175" s="158" t="e">
        <f t="shared" ca="1" si="627"/>
        <v>#N/A</v>
      </c>
      <c r="FI175" s="159" t="e">
        <f t="shared" ca="1" si="501"/>
        <v>#N/A</v>
      </c>
      <c r="FJ175" s="160" t="e">
        <f t="shared" ca="1" si="628"/>
        <v>#N/A</v>
      </c>
      <c r="FK175" s="160" t="e">
        <f t="shared" ca="1" si="502"/>
        <v>#N/A</v>
      </c>
      <c r="FL175" s="160" t="e">
        <f t="shared" ca="1" si="675"/>
        <v>#N/A</v>
      </c>
      <c r="FM175" s="160" t="e">
        <f t="shared" ca="1" si="503"/>
        <v>#N/A</v>
      </c>
      <c r="FN175" s="158">
        <f t="shared" ca="1" si="629"/>
        <v>0.01</v>
      </c>
      <c r="FO175" s="160">
        <f>Control!$C$101</f>
        <v>50</v>
      </c>
      <c r="FP175" s="150" t="e">
        <f t="shared" ca="1" si="504"/>
        <v>#N/A</v>
      </c>
      <c r="FQ175" s="150" t="e">
        <f ca="1">MAX(0,(Control!$C$112*(($DK175-Control!$C$97)/Control!$C$97)))</f>
        <v>#N/A</v>
      </c>
      <c r="FR175" s="150" t="e">
        <f ca="1">(1-$NT175)*Control!$C$113</f>
        <v>#DIV/0!</v>
      </c>
      <c r="FS175" s="198" t="e">
        <f t="shared" ca="1" si="505"/>
        <v>#N/A</v>
      </c>
      <c r="FT175" s="161">
        <f t="shared" ca="1" si="630"/>
        <v>171</v>
      </c>
      <c r="FU175" s="162" t="e">
        <f ca="1">IF(Control!$B$34=1,VLOOKUP($CP175,Control!$B$86:$G$91,6),Control!$B$35)</f>
        <v>#N/A</v>
      </c>
      <c r="FV175" s="162" t="e">
        <f t="shared" ca="1" si="506"/>
        <v>#DIV/0!</v>
      </c>
      <c r="FW175" s="162" t="e">
        <f ca="1">IF(Control!$B$31=1,$FU175*$FV175,  $FU175)</f>
        <v>#N/A</v>
      </c>
      <c r="FX175" s="162" t="e">
        <f ca="1">IF(Control!$B$34=1,VLOOKUP($CP175,Control!$B$86:$G$91,3),Control!$B$36)</f>
        <v>#N/A</v>
      </c>
      <c r="FY175" s="162" t="e">
        <f t="shared" ca="1" si="507"/>
        <v>#N/A</v>
      </c>
      <c r="FZ175" s="162" t="e">
        <f ca="1">IF(Control!$B$34=1,VLOOKUP($CP175,Control!$B$86:$G$91,4),Control!$B$37)</f>
        <v>#N/A</v>
      </c>
      <c r="GA175" s="162" t="e">
        <f t="shared" ca="1" si="508"/>
        <v>#N/A</v>
      </c>
      <c r="GB175" s="162" t="e">
        <f ca="1">IF(Control!$B$34=1,VLOOKUP($CP175,Control!$B$86:$G$91,5),Control!$B$38)</f>
        <v>#N/A</v>
      </c>
      <c r="GC175" s="162" t="e">
        <f t="shared" ca="1" si="631"/>
        <v>#N/A</v>
      </c>
      <c r="GD175" s="162">
        <f t="shared" ca="1" si="509"/>
        <v>1</v>
      </c>
      <c r="GE175" s="162">
        <f t="shared" ca="1" si="510"/>
        <v>1</v>
      </c>
      <c r="GF175" s="162">
        <f ca="1">IF(AND(Control!$C$104=1, Control!$C$62="F"),$GE175,1)</f>
        <v>1</v>
      </c>
      <c r="GG175" s="162" t="e">
        <f ca="1">IF(Control!$B$16=40,0,IF(AND(Control!$B$16&gt;40,Control!$B$16&lt;=360),(Control!$B$16-40)*((1-0)/(360-40)),IF(AND(Control!$B$16&gt;360,Control!$B$16&lt;=720),(1+(Control!$B$16-360)*((1.25-1)/(720-360))),IF(AND(Control!$B$16&gt;720,Control!$B$16&lt;=1000),(1.25+(Control!$B$16-720)*((1.35-1.25)/(1000-720))),IF(AND(Control!$B$16&gt;1000,Control!$B$16&lt;=2000),(1.35+(Control!$B$16-1000)*0))))))</f>
        <v>#N/A</v>
      </c>
      <c r="GH175" s="162" t="e">
        <f t="shared" ca="1" si="511"/>
        <v>#N/A</v>
      </c>
      <c r="GI175" s="162">
        <f t="shared" ca="1" si="632"/>
        <v>0</v>
      </c>
      <c r="GJ175" s="162">
        <f t="shared" ca="1" si="512"/>
        <v>0</v>
      </c>
      <c r="GK175" s="162">
        <f t="shared" ca="1" si="633"/>
        <v>1</v>
      </c>
      <c r="GL175" s="162">
        <f t="shared" ca="1" si="513"/>
        <v>1</v>
      </c>
      <c r="GM175" s="162" t="e">
        <f ca="1">MAX(0,MIN(1,1-Control!$C$156*(1.0001-$KH175)^2))</f>
        <v>#N/A</v>
      </c>
      <c r="GN175" s="162" t="e">
        <f ca="1">IF(Control!$B$26=1,$KU175,$KX175)</f>
        <v>#N/A</v>
      </c>
      <c r="GO175" s="162" t="e">
        <f ca="1">IF($CP175&lt;=60,Control!$C$105,IF($CP175&gt;=90,Control!$C$106,Control!$C$105+($CP175-60)*((Control!$C$106-Control!$C$105)/(90-60))))</f>
        <v>#N/A</v>
      </c>
      <c r="GP175" s="162" t="e">
        <f t="shared" ca="1" si="514"/>
        <v>#N/A</v>
      </c>
      <c r="GQ175" s="162" t="e">
        <f t="shared" ca="1" si="634"/>
        <v>#N/A</v>
      </c>
      <c r="GR175" s="163" t="e">
        <f t="shared" ca="1" si="515"/>
        <v>#DIV/0!</v>
      </c>
      <c r="GS175" s="162" t="e">
        <f t="shared" ca="1" si="516"/>
        <v>#DIV/0!</v>
      </c>
      <c r="GT175" s="164" t="e">
        <f t="shared" ca="1" si="635"/>
        <v>#N/A</v>
      </c>
      <c r="GU175" s="162" t="e">
        <f t="shared" ca="1" si="636"/>
        <v>#N/A</v>
      </c>
      <c r="GV175" s="162" t="e">
        <f t="shared" ca="1" si="517"/>
        <v>#N/A</v>
      </c>
      <c r="GW175" s="162" t="e">
        <f t="shared" ca="1" si="518"/>
        <v>#DIV/0!</v>
      </c>
      <c r="GX175" s="162" t="e">
        <f t="shared" ca="1" si="637"/>
        <v>#DIV/0!</v>
      </c>
      <c r="GY175" s="162" t="e">
        <f t="shared" ca="1" si="638"/>
        <v>#DIV/0!</v>
      </c>
      <c r="GZ175" s="165" t="e">
        <f t="shared" ca="1" si="519"/>
        <v>#N/A</v>
      </c>
      <c r="HA175" s="162" t="e">
        <f ca="1">IF(Control!$C$114=1, $DI175*$FS175, 0)</f>
        <v>#N/A</v>
      </c>
      <c r="HB175" s="162" t="e">
        <f ca="1">$FA175/Control!$C$64</f>
        <v>#N/A</v>
      </c>
      <c r="HC175" s="162" t="e">
        <f t="shared" ca="1" si="520"/>
        <v>#DIV/0!</v>
      </c>
      <c r="HD175" s="162">
        <f ca="1">-ASIN(SIN(23.45*Control!$C$139)*COS(2*Control!$C$138*($AH175+10)/365))</f>
        <v>0.4091361528234102</v>
      </c>
      <c r="HE175" s="165">
        <f t="shared" ca="1" si="639"/>
        <v>0</v>
      </c>
      <c r="HF175" s="166">
        <f ca="1">IF(AND(Control!$C$61="T",$HE175&gt;=Control!$C$103,Control!$C$114=0),$AH175,Control!$C$59)</f>
        <v>1</v>
      </c>
      <c r="HG175" s="166">
        <f ca="1">IF(AND(Control!$C$61="T",$HE175&gt;=Control!$C$103,Control!$C$114=0),$HF175,Control!$C$59)</f>
        <v>1</v>
      </c>
      <c r="HH175" s="165">
        <f ca="1">IF(AND(OR(Control!$C$60&lt;=0, $AH175= Control!$C$59, Control!$C$60 &gt;0, $AH175 = Control!$C$60)), Control!$C$59, IF(Control!$C$60&gt;0, 0))</f>
        <v>1</v>
      </c>
      <c r="HI175" s="165">
        <f ca="1">IF(AND(OR(Control!$C$60&lt;=0, $AH175= Control!$C$59, Control!$C$60 &gt;0, $AH175 = Control!$C$60)), Control!$C$60, IF(Control!$C$60&lt;=0, 0))</f>
        <v>0</v>
      </c>
      <c r="HJ175" s="166">
        <f ca="1">IF(AND(Control!$C$62="F",$CV175&gt;=Control!$C$102),$AH175,0)</f>
        <v>0</v>
      </c>
      <c r="HK175" s="165" t="e">
        <f t="shared" ca="1" si="676"/>
        <v>#N/A</v>
      </c>
      <c r="HL175" s="166">
        <f ca="1">IF(AND(Control!$C$61="T",$HE175&gt;=Control!$C$103,Control!$C$114=0),$HF175,0)</f>
        <v>0</v>
      </c>
      <c r="HM175" s="201" t="e">
        <f t="shared" ca="1" si="521"/>
        <v>#DIV/0!</v>
      </c>
      <c r="HN175" s="215">
        <f t="shared" ca="1" si="640"/>
        <v>171</v>
      </c>
      <c r="HO175" s="216" t="e">
        <f ca="1">IF(AND($CP175&gt;=0, $CP175&lt;=90), Control!$C$152, Control!$C$152)</f>
        <v>#N/A</v>
      </c>
      <c r="HP175" s="216" t="e">
        <f t="shared" ca="1" si="522"/>
        <v>#N/A</v>
      </c>
      <c r="HQ175" s="217" t="e">
        <f ca="1">IF(OR(Control!$B$26=1,Control!$B$26=2),$KV175,$KS175)</f>
        <v>#DIV/0!</v>
      </c>
      <c r="HR175" s="218" t="e">
        <f t="shared" ca="1" si="677"/>
        <v>#DIV/0!</v>
      </c>
      <c r="HS175" s="216" t="e">
        <f ca="1">Control!$C$154*$HP175</f>
        <v>#N/A</v>
      </c>
      <c r="HT175" s="216" t="e">
        <f ca="1">Control!$C$155*$HP175</f>
        <v>#N/A</v>
      </c>
      <c r="HU175" s="217" t="e">
        <f ca="1">Control!$C$161*$FI175</f>
        <v>#N/A</v>
      </c>
      <c r="HV175" s="218" t="e">
        <f t="shared" ca="1" si="641"/>
        <v>#N/A</v>
      </c>
      <c r="HW175" s="218" t="e">
        <f ca="1">Control!$C$160*$FF175+$IP175*$EO175</f>
        <v>#N/A</v>
      </c>
      <c r="HX175" s="218" t="e">
        <f t="shared" ca="1" si="678"/>
        <v>#N/A</v>
      </c>
      <c r="HY175" s="219" t="e">
        <f ca="1">IF(Control!$C$114=1, $EB175*$FS175, 0)</f>
        <v>#N/A</v>
      </c>
      <c r="HZ175" s="91" t="e">
        <f t="shared" ca="1" si="523"/>
        <v>#N/A</v>
      </c>
      <c r="IA175" s="220" t="e">
        <f ca="1">Control!$C$153*$HO175</f>
        <v>#N/A</v>
      </c>
      <c r="IB175" s="218" t="e">
        <f t="shared" ca="1" si="524"/>
        <v>#N/A</v>
      </c>
      <c r="IC175" s="220" t="e">
        <f ca="1">Control!$C$153*$HT175</f>
        <v>#N/A</v>
      </c>
      <c r="ID175" s="218" t="e">
        <f t="shared" ca="1" si="525"/>
        <v>#N/A</v>
      </c>
      <c r="IE175" s="221" t="e">
        <f ca="1">($EB175*Control!$C$159+$EF175*Control!$C$160)/(IF($GZ175&lt;&gt;0,$GZ175,1))</f>
        <v>#N/A</v>
      </c>
      <c r="IF175" s="216" t="e">
        <f t="shared" ca="1" si="526"/>
        <v>#N/A</v>
      </c>
      <c r="IG175" s="91">
        <f ca="1">IF(OR(Control!$B$198=$AH175,Control!$B$199=$AH175, Control!$B$200=$AH175, Control!$B$201=$AH175, Control!$B$202=$AH175, Control!$B$203=$AH175, Control!$B$204=$AH175, Control!$B$205=$AH175, Control!$B$206=$AH175, Control!$B$207=$AH175), 1, 0)</f>
        <v>0</v>
      </c>
      <c r="IH175" s="91">
        <f ca="1">IF($IG175=0,0, VLOOKUP($AH175,Control!$B$198:$C$207,2))</f>
        <v>0</v>
      </c>
      <c r="II175" s="222">
        <f t="shared" ca="1" si="642"/>
        <v>0</v>
      </c>
      <c r="IJ175" s="91">
        <f>Control!$C$121</f>
        <v>0.7</v>
      </c>
      <c r="IK175" s="218">
        <f t="shared" ca="1" si="527"/>
        <v>0</v>
      </c>
      <c r="IL175" s="217" t="e">
        <f t="shared" ca="1" si="679"/>
        <v>#N/A</v>
      </c>
      <c r="IM175" s="223" t="e">
        <f ca="1">IF(AND(Control!$C$114=1,$KH175&lt;1),$EB175*Control!$C$148*(1-$KH175), 0)</f>
        <v>#N/A</v>
      </c>
      <c r="IN175" s="217" t="e">
        <f t="shared" ca="1" si="528"/>
        <v>#DIV/0!</v>
      </c>
      <c r="IO175" s="91" t="e">
        <f ca="1">MAX(0,$IL175-$EF175*Control!$C$160)</f>
        <v>#N/A</v>
      </c>
      <c r="IP175" s="220" t="e">
        <f t="shared" ca="1" si="529"/>
        <v>#N/A</v>
      </c>
      <c r="IQ175" s="217" t="e">
        <f t="shared" ca="1" si="643"/>
        <v>#N/A</v>
      </c>
      <c r="IR175" s="218" t="e">
        <f t="shared" ca="1" si="530"/>
        <v>#N/A</v>
      </c>
      <c r="IS175" s="217" t="e">
        <f ca="1">Control!$C$159*MAX(0,$FD175-$EN175)</f>
        <v>#N/A</v>
      </c>
      <c r="IT175" s="217" t="e">
        <f t="shared" ca="1" si="680"/>
        <v>#N/A</v>
      </c>
      <c r="IU175" s="217" t="e">
        <f t="shared" ca="1" si="644"/>
        <v>#N/A</v>
      </c>
      <c r="IV175" s="217" t="e">
        <f t="shared" ca="1" si="681"/>
        <v>#N/A</v>
      </c>
      <c r="IW175" s="217" t="e">
        <f ca="1">IF(OR($AW175=1,AND($AW175=0, Control!$B$18=1,$EN175&lt;&gt;0)), $IQ175-$IU175, $IQ175)</f>
        <v>#N/A</v>
      </c>
      <c r="IX175" s="218" t="e">
        <f t="shared" ca="1" si="531"/>
        <v>#N/A</v>
      </c>
      <c r="IY175" s="218" t="e">
        <f ca="1">MAX(0,$IQ175-$EB175*Control!$C$159)</f>
        <v>#N/A</v>
      </c>
      <c r="IZ175" s="218" t="e">
        <f t="shared" ca="1" si="532"/>
        <v>#N/A</v>
      </c>
      <c r="JA175" s="216" t="e">
        <f t="shared" ca="1" si="533"/>
        <v>#N/A</v>
      </c>
      <c r="JB175" s="217" t="e">
        <f t="shared" ca="1" si="534"/>
        <v>#N/A</v>
      </c>
      <c r="JC175" s="222" t="e">
        <f ca="1">MAX(Control!$C$157*$EK175-$JT175, 0)/Control!$C$162</f>
        <v>#N/A</v>
      </c>
      <c r="JD175" s="218" t="e">
        <f t="shared" ca="1" si="535"/>
        <v>#N/A</v>
      </c>
      <c r="JE175" s="218" t="e">
        <f t="shared" ca="1" si="536"/>
        <v>#N/A</v>
      </c>
      <c r="JF175" s="218" t="e">
        <f t="shared" ca="1" si="645"/>
        <v>#N/A</v>
      </c>
      <c r="JG175" s="218" t="e">
        <f t="shared" ca="1" si="537"/>
        <v>#N/A</v>
      </c>
      <c r="JH175" s="217" t="e">
        <f t="shared" ca="1" si="646"/>
        <v>#N/A</v>
      </c>
      <c r="JI175" s="217" t="e">
        <f t="shared" ca="1" si="647"/>
        <v>#N/A</v>
      </c>
      <c r="JJ175" s="217" t="e">
        <f t="shared" ca="1" si="682"/>
        <v>#N/A</v>
      </c>
      <c r="JK175" s="217" t="e">
        <f ca="1">IF(Control!$C$114=1,IF(Control!$B$24=0,MAX(0,$JI175)*$GN175/Control!$C$64,(MAX(0,MIN($JI175,$JJ175*$GN175/Control!$C$64),0))))</f>
        <v>#N/A</v>
      </c>
      <c r="JL175" s="217" t="e">
        <f ca="1">$IK175/Control!$C$64-$JK175+$HQ175</f>
        <v>#N/A</v>
      </c>
      <c r="JM175" s="217" t="e">
        <f ca="1">IF(Control!$C$114=1,($JB175/(IF($JI175&lt;&gt;0,$JI175,1)))*$JK175,0)</f>
        <v>#N/A</v>
      </c>
      <c r="JN175" s="217" t="e">
        <f ca="1">IF(Control!$C$114=1,($JG175/(IF($JI175&lt;&gt;0,$JI175,1)))*$JK175, 0)</f>
        <v>#N/A</v>
      </c>
      <c r="JO175" s="218" t="e">
        <f t="shared" ca="1" si="538"/>
        <v>#N/A</v>
      </c>
      <c r="JP175" s="218" t="e">
        <f ca="1">MIN(($IY175+$IO175)*Control!$C$151, $JF175-$EH175*Control!$C$161)</f>
        <v>#N/A</v>
      </c>
      <c r="JQ175" s="218" t="e">
        <f t="shared" ca="1" si="539"/>
        <v>#N/A</v>
      </c>
      <c r="JR175" s="217" t="e">
        <f ca="1">IF($CP175-Control!$C$150&lt;0, 0, $JQ175/Control!$C$162)</f>
        <v>#N/A</v>
      </c>
      <c r="JS175" s="218" t="e">
        <f t="shared" ca="1" si="540"/>
        <v>#N/A</v>
      </c>
      <c r="JT175" s="218" t="e">
        <f t="shared" ca="1" si="648"/>
        <v>#N/A</v>
      </c>
      <c r="JU175" s="218" t="e">
        <f t="shared" ca="1" si="541"/>
        <v>#N/A</v>
      </c>
      <c r="JV175" s="218" t="e">
        <f t="shared" ca="1" si="542"/>
        <v>#N/A</v>
      </c>
      <c r="JW175" s="216" t="e">
        <f t="shared" ca="1" si="543"/>
        <v>#N/A</v>
      </c>
      <c r="JX175" s="91" t="e">
        <f t="shared" ca="1" si="544"/>
        <v>#N/A</v>
      </c>
      <c r="JY175" s="218" t="e">
        <f t="shared" ca="1" si="545"/>
        <v>#N/A</v>
      </c>
      <c r="JZ175" s="217" t="e">
        <f ca="1">IF(Control!$C$114=1,($IZ175/(IF($JI175&lt;&gt;0,$JI175,1)))*$JK175, 0)</f>
        <v>#N/A</v>
      </c>
      <c r="KA175" s="218" t="e">
        <f t="shared" ca="1" si="683"/>
        <v>#N/A</v>
      </c>
      <c r="KB175" s="218" t="e">
        <f t="shared" ca="1" si="649"/>
        <v>#N/A</v>
      </c>
      <c r="KC175" s="218" t="e">
        <f t="shared" ca="1" si="546"/>
        <v>#N/A</v>
      </c>
      <c r="KD175" s="218" t="e">
        <f t="shared" ca="1" si="547"/>
        <v>#N/A</v>
      </c>
      <c r="KE175" s="218" t="e">
        <f t="shared" ca="1" si="548"/>
        <v>#N/A</v>
      </c>
      <c r="KF175" s="218" t="e">
        <f t="shared" ca="1" si="549"/>
        <v>#N/A</v>
      </c>
      <c r="KG175" s="216" t="e">
        <f t="shared" ca="1" si="550"/>
        <v>#N/A</v>
      </c>
      <c r="KH175" s="221" t="e">
        <f ca="1">IF(Control!$B$24=0,1,MAX(0.001,MIN(1,IF(($IF175-$IE175)&lt;&gt;0,($KG175-$IE175)/($IF175-$IE175),1))))</f>
        <v>#N/A</v>
      </c>
      <c r="KI175" s="222" t="e">
        <f ca="1">IF(Control!$C$114=1, $KI174+ $KH174, 0)</f>
        <v>#N/A</v>
      </c>
      <c r="KJ175" s="217" t="e">
        <f t="shared" ca="1" si="551"/>
        <v>#N/A</v>
      </c>
      <c r="KK175" s="218" t="e">
        <f t="shared" ca="1" si="552"/>
        <v>#N/A</v>
      </c>
      <c r="KL175" s="274" t="e">
        <f ca="1">IF(Control!$B$26=3,4000000000*EXP(-8400/($G175+273)),IF(Control!$B$26=4,4000000000*EXP(-8400/($G175+273))*($KT175),0))</f>
        <v>#DIV/0!</v>
      </c>
      <c r="KM175" s="274" t="e">
        <f ca="1">IF(Control!$B$26=3,5600000000000*EXP(-9800/($G175+273)),IF(Control!$B$26=4,5600000000000*EXP(-9800/($G175+273))*$KT175,0))</f>
        <v>#DIV/0!</v>
      </c>
      <c r="KN175" s="454" t="e">
        <f t="shared" ca="1" si="650"/>
        <v>#DIV/0!</v>
      </c>
      <c r="KO175" s="274" t="e">
        <f t="shared" ca="1" si="651"/>
        <v>#DIV/0!</v>
      </c>
      <c r="KP175" s="454" t="e">
        <f t="shared" ca="1" si="553"/>
        <v>#DIV/0!</v>
      </c>
      <c r="KQ175" s="454" t="e">
        <f t="shared" ca="1" si="554"/>
        <v>#DIV/0!</v>
      </c>
      <c r="KR175" s="454" t="e">
        <f t="shared" ca="1" si="555"/>
        <v>#DIV/0!</v>
      </c>
      <c r="KS175" s="454" t="e">
        <f t="shared" ca="1" si="556"/>
        <v>#DIV/0!</v>
      </c>
      <c r="KT175" s="455" t="e">
        <f t="shared" ca="1" si="557"/>
        <v>#DIV/0!</v>
      </c>
      <c r="KU175" s="456" t="e">
        <f ca="1">IF($CP175-Control!$C$149&lt;0, IF($NT175-0.01&lt;0,0,1),0)</f>
        <v>#N/A</v>
      </c>
      <c r="KV175" s="456" t="e">
        <f ca="1">IF(Control!$C$114=1,MAX(0,MIN(Control!$C$125*$KW175*$GN175,$KW175)))</f>
        <v>#DIV/0!</v>
      </c>
      <c r="KW175" s="456" t="e">
        <f t="shared" ca="1" si="684"/>
        <v>#DIV/0!</v>
      </c>
      <c r="KX175" s="457" t="e">
        <f ca="1">IF($CP175-Control!$C$149&lt;0, IF($MR175-$OM175&lt;0,0,1),0)</f>
        <v>#N/A</v>
      </c>
      <c r="KY175" s="167">
        <f t="shared" ca="1" si="652"/>
        <v>171</v>
      </c>
      <c r="KZ175" s="168">
        <f ca="1">1370*(1+0.033*COS(2*Control!$C$138*$AH175/365))</f>
        <v>1325.6729280560276</v>
      </c>
      <c r="LA175" s="169">
        <f t="shared" ca="1" si="653"/>
        <v>0.96764451770806614</v>
      </c>
      <c r="LB175" s="169">
        <f t="shared" ca="1" si="654"/>
        <v>0.40893973380353849</v>
      </c>
      <c r="LC175" s="169">
        <f ca="1">ACOS(-TAN((2*Control!$B$8/360))*TAN(Calculations!$LB175))</f>
        <v>1.6999544123871475</v>
      </c>
      <c r="LD175" s="169">
        <f ca="1">((24*60)/PI())*0.082*$LA175*(($LC175*SIN(Control!$B$8*2*PI()/360))*SIN($LB175)+COS(Control!$B$8*2*PI()/360)*COS($LB175)*SIN($LC175))</f>
        <v>39.747146492161882</v>
      </c>
      <c r="LE175" s="170">
        <f t="shared" ca="1" si="558"/>
        <v>41.460335432783431</v>
      </c>
      <c r="LF175" s="170">
        <f ca="1">SIN(Control!$C$139*Control!$B$8)*SIN($HD175)</f>
        <v>0.31348453633225848</v>
      </c>
      <c r="LG175" s="170">
        <f ca="1">COS(Control!$C$139*Control!$B$8)*COS($HD175)</f>
        <v>0.56484620912319339</v>
      </c>
      <c r="LH175" s="170">
        <f ca="1">12*(1+2*ASIN(MAX(-1,MIN(1,$LF175/$LG175))/Control!$C$138))</f>
        <v>16.262177110156294</v>
      </c>
      <c r="LI175" s="170">
        <f ca="1">12*(1+2*ASIN(MAX(-1,MIN(1,(-SIN(-4*Control!$C$139)+$LF175)/$LG175))/Control!$C$138))</f>
        <v>17.224414966952217</v>
      </c>
      <c r="LJ175" s="168">
        <f ca="1">3600*($LH175*$LF175+24*$LG175*SQRT(1-$LK175*$LK175)/Control!$C$138)</f>
        <v>31274.935585794185</v>
      </c>
      <c r="LK175" s="170">
        <f t="shared" ca="1" si="559"/>
        <v>0.55499095376576613</v>
      </c>
      <c r="LL175" s="170">
        <f t="shared" ca="1" si="560"/>
        <v>0</v>
      </c>
      <c r="LM175" s="171">
        <f ca="1">Control!$C$145*$AB175</f>
        <v>6.6660906138995932E-2</v>
      </c>
      <c r="LN175" s="170">
        <f t="shared" ca="1" si="655"/>
        <v>0.54</v>
      </c>
      <c r="LO175" s="170">
        <f t="shared" ca="1" si="561"/>
        <v>0</v>
      </c>
      <c r="LP175" s="170">
        <f ca="1">Control!$C$140*((($D175+273.16)^4+($E175+273.16)^4)/2)*(0.34-0.14*SQRT($Y175))*(1.35*$AQ175/(0.75*$LD175)-0.35)</f>
        <v>-3.2464704755046001</v>
      </c>
      <c r="LQ175" s="170">
        <f ca="1">Control!$C$140*($G175+273)^4*(0.56-0.079*SQRT($Y175*10))*(0.1+0.9*$LO175)</f>
        <v>1.5241745131704001</v>
      </c>
      <c r="LR175" s="170">
        <f ca="1">$AQ175*(1-Control!$C$142)-$LQ175</f>
        <v>-1.5241745131704001</v>
      </c>
      <c r="LS175" s="170">
        <f ca="1">$AQ175*(1-Control!$C$143)-$LQ175</f>
        <v>-1.5241745131704001</v>
      </c>
      <c r="LT175" s="170">
        <f ca="1">$AQ175*(1-Control!$C$144)-$LQ175</f>
        <v>-1.5241745131704001</v>
      </c>
      <c r="LU175" s="169">
        <f ca="1">(1-Control!$C$144)*AQ175-LP175</f>
        <v>3.2464704755046001</v>
      </c>
      <c r="LV175" s="172">
        <f t="shared" ca="1" si="562"/>
        <v>0.79430000000000012</v>
      </c>
      <c r="LW175" s="170">
        <f t="shared" ca="1" si="563"/>
        <v>1.5886000000000002</v>
      </c>
      <c r="LX175" s="170">
        <f ca="1">($AC175*($LR175/Control!$C$141)+$LM175*$LV175)/($AC175+$LM175)</f>
        <v>0.23530094218323697</v>
      </c>
      <c r="LY175" s="170">
        <f ca="1">($AC175*($LS175/Control!$C$141)+$LM175*$LV175)/($AC175+$LM175)</f>
        <v>0.23530094218323697</v>
      </c>
      <c r="LZ175" s="170">
        <f t="shared" ca="1" si="564"/>
        <v>0.23530094218323697</v>
      </c>
      <c r="MA175" s="170">
        <f t="shared" ca="1" si="565"/>
        <v>0.23530094218323697</v>
      </c>
      <c r="MB175" s="170" t="e">
        <f t="shared" ca="1" si="566"/>
        <v>#N/A</v>
      </c>
      <c r="MC175" s="170">
        <f t="shared" ca="1" si="656"/>
        <v>0.6018</v>
      </c>
      <c r="MD175" s="170">
        <f t="shared" ca="1" si="567"/>
        <v>0.52989392535414004</v>
      </c>
      <c r="ME175" s="170">
        <f ca="1">($AC175*($LT175/Control!$C$141)+$LM175*$LW175)/($AC175+$LM175)</f>
        <v>0.71612369323045078</v>
      </c>
      <c r="MF175" s="170" t="e">
        <f ca="1">IF(Control!$B$16&gt;=1000,0.92,IF(AND(720&lt;=Control!$B$16,1000&gt;Control!$B$16),(0.95+(Control!$B$16-720)*((0.92-0.95)/(1000-720))),IF(AND(360&lt;=Control!$B$16,720&gt;Control!$B$16),(1+(Control!$B$16-360)*((0.95-1)/(720-360))),IF(AND(40&lt;=Control!$B$16,360&gt;Control!$B$16),(1.05+(Control!$B$16-40)*((1.05-1)/(360-40)))))))</f>
        <v>#N/A</v>
      </c>
      <c r="MG175" s="170">
        <f t="shared" ca="1" si="568"/>
        <v>0.71612369323045078</v>
      </c>
      <c r="MH175" s="170" t="e">
        <f t="shared" ca="1" si="694"/>
        <v>#N/A</v>
      </c>
      <c r="MI175" s="170" t="e">
        <f t="shared" ca="1" si="694"/>
        <v>#N/A</v>
      </c>
      <c r="MJ175" s="170" t="e">
        <f ca="1">MAX(0.0001, Control!$C$132*$MI175*$DL175)</f>
        <v>#N/A</v>
      </c>
      <c r="MK175" s="170">
        <f ca="1">1/(0.76+1.5*($MG175/10))-(5-Control!$C$110)*0.1</f>
        <v>1.002845988140797</v>
      </c>
      <c r="ML175" s="173">
        <f ca="1">IF(Control!$C$110&lt;3,$MK175+($MG175-0.6)/(Control!$C$110*(Control!$C$110+3)), MAX(0.1, MIN(0.95,$MK175)))</f>
        <v>0.95</v>
      </c>
      <c r="MM175" s="173">
        <f ca="1">IF(Control!$C$110&lt;3,$MK175+(($MI175/10)-0.6)/(Control!$C$110*(Control!$C$110+3)), MAX(0.1, MIN(0.95,$MK175)))</f>
        <v>0.95</v>
      </c>
      <c r="MN175" s="173">
        <f ca="1">(1-$MM175)*(Control!$C$128-Control!$C$127)+Control!$C$127</f>
        <v>0.16</v>
      </c>
      <c r="MO175" s="170" t="e">
        <f ca="1">MAX(0,MIN(1,($MS175-Control!$C$127)/($MN175-Control!$C$127)))</f>
        <v>#DIV/0!</v>
      </c>
      <c r="MP175" s="173" t="e">
        <f ca="1">1/(0.76+1.5*$MI175)-(5-Control!$C$110)*0.1</f>
        <v>#N/A</v>
      </c>
      <c r="MQ175" s="172" t="e">
        <f t="shared" ca="1" si="685"/>
        <v>#DIV/0!</v>
      </c>
      <c r="MR175" s="168" t="e">
        <f t="shared" ca="1" si="657"/>
        <v>#DIV/0!</v>
      </c>
      <c r="MS175" s="173" t="e">
        <f ca="1">MAX(Control!$C$127, MIN(Control!$C$135, $MR175/MAX(0.0001,$CY175)))</f>
        <v>#DIV/0!</v>
      </c>
      <c r="MT175" s="168" t="e">
        <f ca="1">(Control!$C$128-$MS175)*Control!$C$74</f>
        <v>#DIV/0!</v>
      </c>
      <c r="MU175" s="168" t="e">
        <f ca="1">(Control!$C$135-$MS175)*Control!$C$74</f>
        <v>#DIV/0!</v>
      </c>
      <c r="MV175" s="168" t="e">
        <f t="shared" ca="1" si="658"/>
        <v>#DIV/0!</v>
      </c>
      <c r="MW175" s="168" t="e">
        <f t="shared" ca="1" si="659"/>
        <v>#DIV/0!</v>
      </c>
      <c r="MX175" s="171" t="e">
        <f ca="1">MAX(Control!$C$127, MIN(Control!$C$135, $MW175/MAX(0.0001,Control!$C$119-$CY175)))</f>
        <v>#DIV/0!</v>
      </c>
      <c r="MY175" s="54" t="e">
        <f ca="1">IF(Control!$C$114=1, $CX175*$MX175, 0)</f>
        <v>#DIV/0!</v>
      </c>
      <c r="MZ175" s="54" t="e">
        <f t="shared" ca="1" si="660"/>
        <v>#N/A</v>
      </c>
      <c r="NA175" s="168" t="e">
        <f ca="1">(Control!$C$128-$MX175)*(Control!$C$119-Control!$C$74)</f>
        <v>#DIV/0!</v>
      </c>
      <c r="NB175" s="168" t="e">
        <f ca="1">(Control!$C$135-$MX175)*(Control!$C$119-Control!$C$74)</f>
        <v>#DIV/0!</v>
      </c>
      <c r="NC175" s="174" t="e">
        <f t="shared" ca="1" si="661"/>
        <v>#DIV/0!</v>
      </c>
      <c r="ND175" s="54">
        <f ca="1">IF(Control!$C$58=2, IF(OR(Control!$B$218=$AH175,Control!$B$219=$AH175, Control!$B$220=$AH175, Control!$B$221=$AH175, Control!$B$222=$AH175, Control!$B$223=$AH175, Control!$B$224=$AH175, Control!$B$225=$AH175, Control!$B$226=$AH175, Control!$B$227=$AH175, Control!$B$228=$AH175), 1, 0), 0)</f>
        <v>0</v>
      </c>
      <c r="NE175" s="54">
        <f ca="1">IF($ND175=0,0, VLOOKUP($AH175,Control!$B$218:$C$228,2))</f>
        <v>0</v>
      </c>
      <c r="NF175" s="168" t="e">
        <f ca="1">$CY175*(Control!$C$128-Control!$C$127)</f>
        <v>#N/A</v>
      </c>
      <c r="NG175" s="54" t="e">
        <f ca="1">IF(Control!$C$58=2, $NI174-$NJ174, 0)</f>
        <v>#DIV/0!</v>
      </c>
      <c r="NH175" s="54" t="e">
        <f ca="1">IF(AND(Control!$C$58=1, $MS174&lt;= ($MN174+0.02), $I174&lt;10), 0, IF(Control!$C$58=2, $NG174, 0))</f>
        <v>#DIV/0!</v>
      </c>
      <c r="NI175" s="54" t="e">
        <f ca="1">IF(Control!$C$58=2, $NE175+$NH175,0)</f>
        <v>#DIV/0!</v>
      </c>
      <c r="NJ175" s="54" t="e">
        <f ca="1">IF(AND(Control!$C$58=1, $MS175&lt;= ($MN175+0.02), $I175&lt;10), MAX(0, MIN(10, 0.7*($NF175-$MV175))), IF(Control!$C$58=2, MIN(10,$NI175),0))</f>
        <v>#DIV/0!</v>
      </c>
      <c r="NK175" s="54" t="e">
        <f t="shared" ca="1" si="569"/>
        <v>#DIV/0!</v>
      </c>
      <c r="NL175" s="173" t="e">
        <f ca="1">(1-Control!$C$73)*$I175+$NJ175</f>
        <v>#DIV/0!</v>
      </c>
      <c r="NM175" s="172" t="e">
        <f ca="1">IF($NL175&lt;0.5, $MB175* MAX(0, MIN(1, (SQRT($NC175)-SQRT($NC175-1))*Control!$C$71)),0)</f>
        <v>#DIV/0!</v>
      </c>
      <c r="NN175" s="170" t="e">
        <f ca="1">IF($NL175&gt;=5, $MB175, MAX(0,MIN($MB175, $NM175+$NL175,($MS175-Control!$C$129))))</f>
        <v>#DIV/0!</v>
      </c>
      <c r="NO175" s="54">
        <f>IF(Control!$C$133&lt;&gt;1, Control!$C$135-Control!$C$131, 0)</f>
        <v>0.38</v>
      </c>
      <c r="NP175" s="54" t="e">
        <f t="shared" ca="1" si="570"/>
        <v>#DIV/0!</v>
      </c>
      <c r="NQ175" s="173" t="e">
        <f ca="1">MAX(0,MIN(1,(Control!$C$135-$MS175)/(Control!$C$135-$NO175)))</f>
        <v>#DIV/0!</v>
      </c>
      <c r="NR175" s="170" t="e">
        <f ca="1">IF(Control!$C$133&lt;&gt;1, $NQ175+((1-$NP175/4)*(1-$NQ175)),1)</f>
        <v>#DIV/0!</v>
      </c>
      <c r="NS175" s="170" t="e">
        <f ca="1">IF(Control!$B$31=0,$MJ175,MAX(0,MIN($MV175,$MO175*$NR175*$MJ175)))</f>
        <v>#DIV/0!</v>
      </c>
      <c r="NT175" s="170" t="e">
        <f t="shared" ca="1" si="686"/>
        <v>#DIV/0!</v>
      </c>
      <c r="NU175" s="170" t="e">
        <f t="shared" ca="1" si="662"/>
        <v>#N/A</v>
      </c>
      <c r="NV175" s="170" t="e">
        <f t="shared" ca="1" si="571"/>
        <v>#N/A</v>
      </c>
      <c r="NW175" s="175" t="e">
        <f t="shared" ca="1" si="572"/>
        <v>#DIV/0!</v>
      </c>
      <c r="NX175" s="170" t="e">
        <f ca="1">MIN(Control!$C$72+$MU175, $NW175)</f>
        <v>#DIV/0!</v>
      </c>
      <c r="NY175" s="170" t="e">
        <f ca="1">IF($MT175&lt;=$NX175,MIN(Control!$C$72+$NB175,$NX175-$MT175),0)</f>
        <v>#DIV/0!</v>
      </c>
      <c r="NZ175" s="54" t="e">
        <f ca="1">IF(Control!$C$114=1,  $CX175*($MX175-Control!$C$127), 0)</f>
        <v>#DIV/0!</v>
      </c>
      <c r="OA175" s="170" t="e">
        <f t="shared" ca="1" si="573"/>
        <v>#DIV/0!</v>
      </c>
      <c r="OB175" s="170" t="e">
        <f ca="1">IF($NA175 &lt;=$NY175, MIN(Control!$C$72, $NY175-$NA175), 0)</f>
        <v>#DIV/0!</v>
      </c>
      <c r="OC175" s="168" t="e">
        <f t="shared" ca="1" si="574"/>
        <v>#DIV/0!</v>
      </c>
      <c r="OD175" s="168" t="e">
        <f t="shared" ca="1" si="663"/>
        <v>#DIV/0!</v>
      </c>
      <c r="OE175" s="170">
        <f ca="1">Control!$C$73*$I175</f>
        <v>0</v>
      </c>
      <c r="OF175" s="176" t="e">
        <f t="shared" ca="1" si="575"/>
        <v>#DIV/0!</v>
      </c>
      <c r="OG175" s="168" t="e">
        <f t="shared" ca="1" si="576"/>
        <v>#DIV/0!</v>
      </c>
      <c r="OH175" s="168" t="e">
        <f t="shared" ca="1" si="577"/>
        <v>#DIV/0!</v>
      </c>
      <c r="OI175" s="168" t="e">
        <f t="shared" ca="1" si="578"/>
        <v>#DIV/0!</v>
      </c>
      <c r="OJ175" s="168" t="e">
        <f t="shared" ca="1" si="579"/>
        <v>#DIV/0!</v>
      </c>
      <c r="OK175" s="204" t="e">
        <f t="shared" ca="1" si="580"/>
        <v>#DIV/0!</v>
      </c>
      <c r="OL175" s="177">
        <f>Control!$C$127</f>
        <v>0.15</v>
      </c>
      <c r="OM175" s="182" t="e">
        <f t="shared" ca="1" si="581"/>
        <v>#N/A</v>
      </c>
      <c r="ON175" s="177">
        <f>Control!$C$128</f>
        <v>0.35</v>
      </c>
      <c r="OO175" s="182" t="e">
        <f t="shared" ca="1" si="582"/>
        <v>#N/A</v>
      </c>
      <c r="OP175" s="138">
        <f t="shared" ca="1" si="664"/>
        <v>0</v>
      </c>
      <c r="OQ175" s="138" t="e">
        <f t="shared" ca="1" si="687"/>
        <v>#DIV/0!</v>
      </c>
      <c r="OR175" s="138" t="e">
        <f t="shared" ca="1" si="665"/>
        <v>#DIV/0!</v>
      </c>
      <c r="OS175" s="137" t="e">
        <f t="shared" ca="1" si="688"/>
        <v>#DIV/0!</v>
      </c>
      <c r="OT175" s="139" t="e">
        <f t="shared" ca="1" si="689"/>
        <v>#DIV/0!</v>
      </c>
      <c r="OU175" s="138" t="e">
        <f t="shared" ca="1" si="690"/>
        <v>#N/A</v>
      </c>
      <c r="OV175" s="138" t="e">
        <f t="shared" ca="1" si="691"/>
        <v>#DIV/0!</v>
      </c>
      <c r="OW175" s="138" t="e">
        <f t="shared" ca="1" si="666"/>
        <v>#DIV/0!</v>
      </c>
      <c r="OX175" s="138" t="e">
        <f t="shared" ca="1" si="667"/>
        <v>#DIV/0!</v>
      </c>
      <c r="OY175" s="138" t="e">
        <f t="shared" ca="1" si="668"/>
        <v>#DIV/0!</v>
      </c>
      <c r="OZ175" s="138" t="e">
        <f t="shared" ca="1" si="583"/>
        <v>#DIV/0!</v>
      </c>
      <c r="PA175" s="138" t="e">
        <f t="shared" ca="1" si="584"/>
        <v>#DIV/0!</v>
      </c>
      <c r="PB175" s="55">
        <f>IF(Control!$C$61="T", IF(Control!$C$65="F", IF($AH$6-Control!$C$60&lt;0,0,1), IF(365+$AH$6-Control!$C$60&lt;0,0,1)),0)</f>
        <v>0</v>
      </c>
      <c r="PC175" s="55">
        <f ca="1">IF(Control!$C$65="F", IF($AH$6-$HF175&lt;0,0,1), IF(365+$AH$6-$HF175&lt;0,0,1))</f>
        <v>1</v>
      </c>
      <c r="PD175" s="444">
        <f>Control!$C$118</f>
        <v>1500</v>
      </c>
      <c r="PE175" s="180" t="e">
        <f t="shared" ca="1" si="585"/>
        <v>#N/A</v>
      </c>
      <c r="PF175" s="445">
        <f t="shared" ca="1" si="669"/>
        <v>0.71612369323045078</v>
      </c>
      <c r="PT175" s="186"/>
      <c r="PU175" s="186"/>
      <c r="PV175" s="94"/>
      <c r="PW175" s="94"/>
      <c r="PX175" s="94"/>
      <c r="PY175" s="94"/>
      <c r="PZ175" s="94"/>
      <c r="QA175" s="94"/>
      <c r="QB175" s="94"/>
      <c r="QC175" s="94"/>
      <c r="QD175" s="94"/>
      <c r="QE175" s="94"/>
      <c r="QF175" s="94"/>
      <c r="QG175" s="94"/>
      <c r="QH175" s="94"/>
      <c r="QI175" s="94"/>
      <c r="QJ175" s="94"/>
      <c r="QK175" s="94"/>
      <c r="QL175" s="94"/>
      <c r="QM175" s="94"/>
      <c r="QN175" s="94"/>
      <c r="QO175" s="94"/>
      <c r="QP175" s="94"/>
    </row>
    <row r="176" spans="1:458" s="2" customFormat="1" x14ac:dyDescent="0.2">
      <c r="A176" s="395">
        <v>20</v>
      </c>
      <c r="B176" s="396">
        <v>6</v>
      </c>
      <c r="C176" s="387">
        <f ca="1">Weather_data!$B175</f>
        <v>0</v>
      </c>
      <c r="D176" s="388">
        <f ca="1">Weather_data!$F175</f>
        <v>0</v>
      </c>
      <c r="E176" s="388">
        <f ca="1">Weather_data!$E175</f>
        <v>0</v>
      </c>
      <c r="F176" s="388">
        <f t="shared" ca="1" si="586"/>
        <v>0</v>
      </c>
      <c r="G176" s="388">
        <f ca="1">AVERAGE($D176:$E176)+Control!$B$9</f>
        <v>0</v>
      </c>
      <c r="H176" s="388">
        <f ca="1">Weather_data!$G175</f>
        <v>0</v>
      </c>
      <c r="I176" s="388">
        <f ca="1">Weather_data!$I175</f>
        <v>0</v>
      </c>
      <c r="J176" s="388">
        <f ca="1">Weather_data!$H175</f>
        <v>0</v>
      </c>
      <c r="K176" s="389">
        <f ca="1">Weather_data!$D175</f>
        <v>0</v>
      </c>
      <c r="L176" s="388" t="e">
        <f t="shared" ca="1" si="587"/>
        <v>#N/A</v>
      </c>
      <c r="M176" s="388" t="e">
        <f t="shared" ca="1" si="465"/>
        <v>#N/A</v>
      </c>
      <c r="N176" s="388">
        <f t="shared" ca="1" si="466"/>
        <v>-8.3214040329490707E-9</v>
      </c>
      <c r="O176" s="388">
        <f t="shared" ca="1" si="588"/>
        <v>8.3214040329490701E-8</v>
      </c>
      <c r="P176" s="390">
        <v>3</v>
      </c>
      <c r="Q176" s="388">
        <f ca="1">MAX($G176-Control!$C$107,0)</f>
        <v>0</v>
      </c>
      <c r="R176" s="388">
        <f t="shared" ca="1" si="589"/>
        <v>0</v>
      </c>
      <c r="S176" s="388">
        <f t="shared" ca="1" si="467"/>
        <v>0</v>
      </c>
      <c r="T176" s="388">
        <f t="shared" ca="1" si="468"/>
        <v>0</v>
      </c>
      <c r="U176" s="59">
        <f t="shared" ca="1" si="469"/>
        <v>0</v>
      </c>
      <c r="V176" s="391">
        <f ca="1">MAX(0,MIN(Control!$C$100-Control!$C$99,$G176-Control!$C$99)*Control!$C$63)</f>
        <v>0</v>
      </c>
      <c r="W176" s="388">
        <f t="shared" ca="1" si="590"/>
        <v>0</v>
      </c>
      <c r="X176" s="388">
        <f t="shared" ca="1" si="591"/>
        <v>0.6110000000000001</v>
      </c>
      <c r="Y176" s="388">
        <f t="shared" ca="1" si="470"/>
        <v>0</v>
      </c>
      <c r="Z176" s="388">
        <f t="shared" ca="1" si="592"/>
        <v>0.61058800000000002</v>
      </c>
      <c r="AA176" s="388">
        <f t="shared" ca="1" si="471"/>
        <v>0.6018</v>
      </c>
      <c r="AB176" s="388">
        <f ca="1">101.3*EXP(-0.034*Control!$C$66/($G176+273))</f>
        <v>100.69623283836242</v>
      </c>
      <c r="AC176" s="392">
        <f t="shared" ca="1" si="472"/>
        <v>4.3460251046025113E-2</v>
      </c>
      <c r="AD176" s="392">
        <f t="shared" ca="1" si="473"/>
        <v>4.4450382862832649E-2</v>
      </c>
      <c r="AE176" s="388">
        <f t="shared" ca="1" si="474"/>
        <v>0</v>
      </c>
      <c r="AF176" s="388">
        <f ca="1">MAX(0,$G176-Control!$C$92)</f>
        <v>0</v>
      </c>
      <c r="AG176" s="393">
        <f t="shared" ca="1" si="475"/>
        <v>172</v>
      </c>
      <c r="AH176" s="389">
        <f t="shared" ca="1" si="476"/>
        <v>172</v>
      </c>
      <c r="AI176" s="388">
        <f t="shared" ca="1" si="593"/>
        <v>0.40926462660782015</v>
      </c>
      <c r="AJ176" s="388">
        <f ca="1">IF(Control!$C$60&lt;=0,$HH176,$HI176)</f>
        <v>1</v>
      </c>
      <c r="AK176" s="388">
        <f t="shared" ca="1" si="477"/>
        <v>1.5837069815356764</v>
      </c>
      <c r="AL176" s="388">
        <f t="shared" ca="1" si="478"/>
        <v>-4.68872857206648E-18</v>
      </c>
      <c r="AM176" s="388">
        <f t="shared" ca="1" si="479"/>
        <v>1.5837069815356764</v>
      </c>
      <c r="AN176" s="388">
        <f t="shared" ca="1" si="480"/>
        <v>0.40908156793295081</v>
      </c>
      <c r="AO176" s="388">
        <f ca="1">-0.10453/COS(Control!$B$8*PI()/180)*COS(AN176)</f>
        <v>-0.15577532619244008</v>
      </c>
      <c r="AP176" s="388">
        <f ca="1">ACOS(AO176-TAN(Control!$B$8*PI()/180)*TAN(AN176))</f>
        <v>2.3612618517799486</v>
      </c>
      <c r="AQ176" s="388">
        <f t="shared" ca="1" si="594"/>
        <v>0</v>
      </c>
      <c r="AR176" s="394">
        <f t="shared" ca="1" si="481"/>
        <v>0</v>
      </c>
      <c r="AS176" s="436">
        <f ca="1">IF(Control!$B$18=2,(IF(OR($AH176=Control!$B$175,$AH176=Control!$B$176,$AH176=Control!$B$177,$AH176=Control!$B$178,$AH176=Control!$B$179,$AH176=Control!$B$180,$AH176=Control!$B$181,$AH176=Control!$B$182,$AH176=Control!$B$183,$AH176=Control!$B$184,$AH176=Control!$B$185),1,0)),0)</f>
        <v>0</v>
      </c>
      <c r="AT176" s="436">
        <f>IF(Control!$B$20=8,IF(AND($AH176&gt;=Control!$B$172,$AH176&lt;=Control!$B$173),1,0),0)</f>
        <v>0</v>
      </c>
      <c r="AU176" s="436">
        <f>IF(Control!$B$20=8,IF($AV175=1,1*$AT176,IF($AT176=1,$AU175+1,$AU175)),0)</f>
        <v>0</v>
      </c>
      <c r="AV176" s="436">
        <f>IF(Control!$B$20=8,IF($AU176&gt;=Control!$B$174,1,0),0)</f>
        <v>0</v>
      </c>
      <c r="AW176" s="436">
        <f ca="1">IF(AND(Control!$B$18=2,Control!$B$171=1), $AV176, $AS176)</f>
        <v>0</v>
      </c>
      <c r="AX176" s="436" t="e">
        <f ca="1">IF(AND(Control!$B$18=1,$EU176&gt;=Control!$B$19),-$AY176,IF(AND(Control!$B$18=2,$AW176=1,$EU176&gt;$DS176),-$AY176, IF(Control!$C$108=0,0, IF(Control!$C$108&lt;&gt;0,1))))</f>
        <v>#N/A</v>
      </c>
      <c r="AY176" s="436" t="e">
        <f t="shared" ca="1" si="595"/>
        <v>#N/A</v>
      </c>
      <c r="AZ176" s="436" t="e">
        <f ca="1">IF(AND(Control!$B$18=1,$EB176&gt;Control!$B$19),$AZ175+1, IF(AND(Control!$B$18=2, $AW176=1, $EB176&gt;$DS176), $AZ175+1,$AZ175))</f>
        <v>#N/A</v>
      </c>
      <c r="BA176" s="587">
        <f>IF(Control!$C$81=0,1,IF($AH176&gt;=Control!$C$82,1,0))</f>
        <v>1</v>
      </c>
      <c r="BB176" s="140" t="e">
        <f ca="1">IF($BA176&gt;$BA175,Control!$C$83,IF($AW176&gt;0,$AW176*Control!$C$84,IF(AND(Control!$B$18=1,EN175&lt;&gt;0),Control!$C$84,0)))</f>
        <v>#N/A</v>
      </c>
      <c r="BC176" s="140" t="e">
        <f t="shared" ca="1" si="596"/>
        <v>#N/A</v>
      </c>
      <c r="BD176" s="140" t="e">
        <f ca="1">BC176*IF(OR($G176&lt;Control!$C$92,$G176&gt;Control!$C$95),0,IF(AND($G176&gt;=Control!$C$92,$G176&lt;=Control!$C$93),$G176-Control!$C$92,IF(AND($G176&gt;Control!$C$93,$G176&lt;=Control!$C$94),Control!$C$93-Control!$C$92,IF(AND($G176&gt;Control!$C$94,$G176&lt;=Control!$C$95),(Control!$C$93-Control!$C$92)*(Control!$C$94-$G176)/(Control!$C$95-Control!$C$94)))))</f>
        <v>#N/A</v>
      </c>
      <c r="BE176" s="140" t="e">
        <f t="shared" ca="1" si="597"/>
        <v>#N/A</v>
      </c>
      <c r="BF176" s="140" t="e">
        <f ca="1">IF($BE176&lt;=Control!$C$86,$BE176,Control!$C$86-$BE176)</f>
        <v>#N/A</v>
      </c>
      <c r="BG176" s="140" t="e">
        <f ca="1">IF(AND($AW176=1,Control!$C$84&lt;9),1,IF($BE176&gt;=Control!$C$86,0,$BC176))</f>
        <v>#N/A</v>
      </c>
      <c r="BH176" s="404" t="e">
        <f ca="1">IF($BG176=0,0,IF($BE176&lt;=Control!$C$86,$BC176*9*($BF176/Control!$C$86),0))</f>
        <v>#N/A</v>
      </c>
      <c r="BI176" s="140" t="e">
        <f ca="1">IF($BG176=1,0,IF($BE176&gt;=Control!$C$86,1,IF(AND($BB176&lt;21,$BB176&gt;=9),1,$BM175)))</f>
        <v>#N/A</v>
      </c>
      <c r="BJ176" s="140" t="e">
        <f ca="1">IF($BF176&lt;0,-$BF176,$BI176*IF(OR($G176&lt;Control!$C$92,$G176&gt;Control!$C$95),0,IF(AND($G176&gt;=Control!$C$92,$G176&lt;=Control!$C$93),$G176-Control!$C$92,IF(AND($G176&gt;Control!$C$93,$G176&lt;=Control!$C$94),Control!$C$93-Control!$C$92,IF(AND($G176&gt;Control!$C$94,$G176&lt;=Control!$C$95),(Control!$C$93-Control!$C$92)*(Control!$C$94-$G176)/(Control!$C$95-Control!$C$94))))))</f>
        <v>#N/A</v>
      </c>
      <c r="BK176" s="140" t="e">
        <f t="shared" ca="1" si="598"/>
        <v>#N/A</v>
      </c>
      <c r="BL176" s="140" t="e">
        <f ca="1">IF($BK176&lt;=Control!$C$87,$BK176,Control!$C$87-$BK176)</f>
        <v>#N/A</v>
      </c>
      <c r="BM176" s="140" t="e">
        <f ca="1">IF(AND($BB176&gt;=9,$BB176&lt;21),1,IF($BK176&gt;=Control!$C$87,0,$BI176))</f>
        <v>#N/A</v>
      </c>
      <c r="BN176" s="404" t="e">
        <f ca="1">IF($BM176=0,0,IF($BK176&lt;=Control!$C$87,$BI176*(9+(21-9)*($BL176/Control!$C$87)),0))</f>
        <v>#N/A</v>
      </c>
      <c r="BO176" s="140" t="e">
        <f ca="1">IF($BM176=1,0,IF($BK176&gt;=Control!$C$87,1,IF(AND($BB176&lt;30,$BB176&gt;=21),1,$BS175)))</f>
        <v>#N/A</v>
      </c>
      <c r="BP176" s="140" t="e">
        <f ca="1">IF($BL176&lt;0,-$BL176,$BO176*IF(OR($G176&lt;Control!$C$92,$G176&gt;Control!$C$95),0,IF(AND($G176&gt;=Control!$C$92,$G176&lt;=Control!$C$93),$G176-Control!$C$92,IF(AND($G176&gt;Control!$C$93,$G176&lt;=Control!$C$94),Control!$C$93-Control!$C$92,IF(AND($G176&gt;Control!$C$94,$G176&lt;=Control!$C$95),(Control!$C$93-Control!$C$92)*(Control!$C$94-$G176)/(Control!$C$95-Control!$C$94))))))</f>
        <v>#N/A</v>
      </c>
      <c r="BQ176" s="140" t="e">
        <f t="shared" ca="1" si="482"/>
        <v>#N/A</v>
      </c>
      <c r="BR176" s="140" t="e">
        <f ca="1">IF($BQ176&lt;=Control!$C$88,$BQ176,Control!$C$88-$BQ176)</f>
        <v>#N/A</v>
      </c>
      <c r="BS176" s="140" t="e">
        <f ca="1">IF(AND($BB176&gt;=21,$BB176&lt;30),1,IF($BQ176&gt;=Control!$C$88,0,$BO176))</f>
        <v>#N/A</v>
      </c>
      <c r="BT176" s="404" t="e">
        <f ca="1">IF($BS176=0,0,IF($BQ176&lt;=Control!$C$88,$BO176*(21+(30-21)*(BR176/Control!$C$88)),0))</f>
        <v>#N/A</v>
      </c>
      <c r="BU176" s="140" t="e">
        <f ca="1">IF(BG176+BM176+BS176=1,0,IF(OR(AND($BB176&lt;60,$BB176&gt;=30),$BQ176&gt;=Control!$C$88),1*$BA176,$BY175))</f>
        <v>#N/A</v>
      </c>
      <c r="BV176" s="140" t="e">
        <f ca="1">IF($BR176&lt;0,-$BR176,$BU176*IF(OR($G176&lt;Control!$C$92,$G176&gt;Control!$C$95),0,IF(AND($G176&gt;=Control!$C$92,$G176&lt;=Control!$C$93),$G176-Control!$C$92,IF(AND($G176&gt;Control!$C$93,$G176&lt;=Control!$C$94),Control!$C$93-Control!$C$92,IF(AND($G176&gt;Control!$C$94,$G176&lt;=Control!$C$95),(Control!$C$93-Control!$C$92)*(Control!$C$94-$G176)/(Control!$C$95-Control!$C$94))))))</f>
        <v>#N/A</v>
      </c>
      <c r="BW176" s="140" t="e">
        <f t="shared" ca="1" si="483"/>
        <v>#N/A</v>
      </c>
      <c r="BX176" s="140" t="e">
        <f ca="1">IF($BW176&lt;=Control!$C$89,$BW176,Control!$C$89-$BW176)</f>
        <v>#N/A</v>
      </c>
      <c r="BY176" s="140" t="e">
        <f ca="1">IF(AND($AJ176&gt;=30,$AJ176&lt;60),1,IF($BW176&gt;=Control!$C$89,0,$BU176))</f>
        <v>#N/A</v>
      </c>
      <c r="BZ176" s="404" t="e">
        <f ca="1">IF($BY176=0,0,IF($BW176&lt;=Control!$C$89,$BU176*(30+(60-30)*(BX176/Control!$C$89)),0))</f>
        <v>#N/A</v>
      </c>
      <c r="CA176" s="140" t="e">
        <f ca="1">IF($BG176+$BM176+$BS176+$BY176=1,0,IF(OR(AND($BB176&lt;65,$BB176&gt;=60),$BW176&gt;=Control!$C$89),1*$BA176,$CE175))</f>
        <v>#N/A</v>
      </c>
      <c r="CB176" s="140" t="e">
        <f ca="1">IF($BX176&lt;0,-$BX176,$CA176*IF(OR($G176&lt;Control!$C$92,$G176&gt;Control!$C$95),0,IF(AND($G176&gt;=Control!$C$92,$G176&lt;=Control!$C$93),$G176-Control!$C$92,IF(AND($G176&gt;Control!$C$93,$G176&lt;=Control!$C$94),Control!$C$93-Control!$C$92,IF(AND($G176&gt;Control!$C$94,$G176&lt;=Control!$C$95),(Control!$C$93-Control!$C$92)*(Control!$C$94-$G176)/(Control!$C$95-Control!$C$94))))))</f>
        <v>#N/A</v>
      </c>
      <c r="CC176" s="140" t="e">
        <f t="shared" ca="1" si="599"/>
        <v>#N/A</v>
      </c>
      <c r="CD176" s="140" t="e">
        <f ca="1">IF($CC176&lt;=Control!$C$90,$CC176,Control!$C$90-$CC176)</f>
        <v>#N/A</v>
      </c>
      <c r="CE176" s="140" t="e">
        <f ca="1">IF(AND($BB176&gt;=60,$BB176&lt;65),1,IF($CC176&gt;=Control!$C$90,0,$CA176))</f>
        <v>#N/A</v>
      </c>
      <c r="CF176" s="404" t="e">
        <f ca="1">IF($CE176=0,0,IF($CC176&lt;=Control!$C$90,$CA176*(60+(65-60)*(CD176/Control!$C$90)),0))</f>
        <v>#N/A</v>
      </c>
      <c r="CG176" s="140" t="e">
        <f ca="1">IF($BG176+$BM176+$BS176+$BY176+$CE176=1,0,IF(OR(AND($BB176&lt;90,$BB176&gt;=65),$CC176&gt;=Control!$C$90),$BA176,$CK175))</f>
        <v>#N/A</v>
      </c>
      <c r="CH176" s="140" t="e">
        <f ca="1">IF($CD176&lt;0,-$CD176,$CG176*IF(OR($G176&lt;Control!$C$92,$G176&gt;Control!$C$95),0,IF(AND($G176&gt;=Control!$C$92,$G176&lt;=Control!$C$93),$G176-Control!$C$92,IF(AND($G176&gt;Control!$C$93,$G176&lt;=Control!$C$94),Control!$C$93-Control!$C$92,IF(AND($G176&gt;Control!$C$94,$G176&lt;=Control!$C$95),(Control!$C$93-Control!$C$92)*(Control!$C$94-$G176)/(Control!$C$95-Control!$C$94))))))</f>
        <v>#N/A</v>
      </c>
      <c r="CI176" s="140" t="e">
        <f t="shared" ca="1" si="600"/>
        <v>#N/A</v>
      </c>
      <c r="CJ176" s="140" t="e">
        <f ca="1">IF($CI176&lt;=Control!$C$91,$CI176,Control!$C$91-$CI176)</f>
        <v>#N/A</v>
      </c>
      <c r="CK176" s="140" t="e">
        <f ca="1">IF(AND($BB176&gt;=65,$BB176&lt;90),1,IF($CI176&gt;=Control!$C$91,0,$CG176))</f>
        <v>#N/A</v>
      </c>
      <c r="CL176" s="404" t="e">
        <f ca="1">IF($CK176=0,0,IF($CI176&lt;=Control!$C$91,$CG176*(65+(90-65)*($CJ176/Control!$C$91)),0))</f>
        <v>#N/A</v>
      </c>
      <c r="CM176" s="140" t="e">
        <f ca="1">IF($BG176+$BM176+$BS176+$BY176+$CE176+$CK176=1,0,IF(OR($BB176&gt;=90,$CI176&gt;=Control!$C$91),$BA176,$CM175))</f>
        <v>#N/A</v>
      </c>
      <c r="CN176" s="140" t="e">
        <f t="shared" ca="1" si="601"/>
        <v>#N/A</v>
      </c>
      <c r="CO176" s="140" t="e">
        <f t="shared" ca="1" si="602"/>
        <v>#N/A</v>
      </c>
      <c r="CP176" s="140" t="e">
        <f t="shared" ca="1" si="603"/>
        <v>#N/A</v>
      </c>
      <c r="CQ176" s="141" t="e">
        <f ca="1">VLOOKUP($CP176,Control!$B$86:$G$91,6)</f>
        <v>#N/A</v>
      </c>
      <c r="CR176" s="141" t="e">
        <f ca="1">(1-$CQ176)*VLOOKUP($CP176,Control!$B$86:$D$91,3)</f>
        <v>#N/A</v>
      </c>
      <c r="CS176" s="141" t="e">
        <f ca="1">(1-$CQ176)*VLOOKUP($CP176,Control!$B$86:$E$91,4)</f>
        <v>#N/A</v>
      </c>
      <c r="CT176" s="141" t="e">
        <f ca="1">(1-$CQ176)*VLOOKUP($CP176,Control!$B$86:$F$91,5)</f>
        <v>#N/A</v>
      </c>
      <c r="CU176" s="141">
        <f t="shared" ca="1" si="604"/>
        <v>0</v>
      </c>
      <c r="CV176" s="583">
        <f t="shared" ca="1" si="605"/>
        <v>0</v>
      </c>
      <c r="CW176" s="142">
        <f t="shared" ca="1" si="606"/>
        <v>172</v>
      </c>
      <c r="CX176" s="612" t="e">
        <f ca="1">IF(Control!$C$114=1,(MIN(Control!$C$120*(IF($NT176-0.01&lt;0,0,1)),Control!$C$119-$CY176)))</f>
        <v>#DIV/0!</v>
      </c>
      <c r="CY176" s="143" t="e">
        <f t="shared" ca="1" si="607"/>
        <v>#N/A</v>
      </c>
      <c r="CZ176" s="144">
        <f t="shared" ca="1" si="484"/>
        <v>0</v>
      </c>
      <c r="DA176" s="144">
        <f t="shared" ca="1" si="485"/>
        <v>0</v>
      </c>
      <c r="DB176" s="144" t="e">
        <f t="shared" ca="1" si="486"/>
        <v>#N/A</v>
      </c>
      <c r="DC176" s="144" t="e">
        <f t="shared" ca="1" si="487"/>
        <v>#N/A</v>
      </c>
      <c r="DD176" s="144" t="e">
        <f t="shared" ca="1" si="692"/>
        <v>#N/A</v>
      </c>
      <c r="DE176" s="143" t="e">
        <f t="shared" ca="1" si="608"/>
        <v>#N/A</v>
      </c>
      <c r="DF176" s="145" t="e">
        <f ca="1">$DR176*EXP(-Control!$C$158*(1-$KH176))</f>
        <v>#N/A</v>
      </c>
      <c r="DG176" s="146" t="e">
        <f ca="1">IF(Control!$C$114=1, $DF176*$EY176, 0)</f>
        <v>#N/A</v>
      </c>
      <c r="DH176" s="147" t="e">
        <f t="shared" ca="1" si="609"/>
        <v>#N/A</v>
      </c>
      <c r="DI176" s="144" t="e">
        <f t="shared" ca="1" si="670"/>
        <v>#N/A</v>
      </c>
      <c r="DJ176" s="147" t="e">
        <f ca="1">$EF176*Control!$C$109</f>
        <v>#N/A</v>
      </c>
      <c r="DK176" s="144" t="e">
        <f t="shared" ca="1" si="610"/>
        <v>#N/A</v>
      </c>
      <c r="DL176" s="144" t="e">
        <f t="shared" ca="1" si="488"/>
        <v>#N/A</v>
      </c>
      <c r="DM176" s="144" t="e">
        <f ca="1">IF(Control!$C$114=1, (1-EXP(-Control!$C$96*$DK176))*$AR176, 0)</f>
        <v>#N/A</v>
      </c>
      <c r="DN176" s="144">
        <f t="shared" ca="1" si="611"/>
        <v>0</v>
      </c>
      <c r="DO176" s="148">
        <f>Control!$C$97</f>
        <v>4</v>
      </c>
      <c r="DP176" s="145" t="e">
        <f t="shared" ca="1" si="612"/>
        <v>#N/A</v>
      </c>
      <c r="DQ176" s="145" t="e">
        <f ca="1">IF(AND($CP176&gt;=0,$CP176&lt;=90),Control!$C$111,Control!$C$111)</f>
        <v>#N/A</v>
      </c>
      <c r="DR176" s="145" t="e">
        <f t="shared" ca="1" si="489"/>
        <v>#N/A</v>
      </c>
      <c r="DS176" s="143" t="e">
        <f ca="1">Control!$B$22/$DR176</f>
        <v>#N/A</v>
      </c>
      <c r="DT176" s="149" t="e">
        <f ca="1">IF(AND(Control!$C$114=1,$KH176&lt;1),$IM176*$DF176, 0)</f>
        <v>#N/A</v>
      </c>
      <c r="DU176" s="144" t="e">
        <f t="shared" ca="1" si="613"/>
        <v>#N/A</v>
      </c>
      <c r="DV176" s="144">
        <f ca="1">IF($G176-Control!$C$107&lt;=0, 0, 0.83*LN(MAX($G176, 3))-0.8924)</f>
        <v>0</v>
      </c>
      <c r="DW176" s="144" t="e">
        <f t="shared" ca="1" si="490"/>
        <v>#N/A</v>
      </c>
      <c r="DX176" s="150" t="e">
        <f ca="1">MAX(0.01*(1+$CU176/Control!$C$102),0.05*($DK176-Control!$C$97)/Control!$C$97)</f>
        <v>#N/A</v>
      </c>
      <c r="DY176" s="151" t="e">
        <f ca="1">IF(Control!$C$114=1, $DI176*$FS176, 0)</f>
        <v>#N/A</v>
      </c>
      <c r="DZ176" s="196" t="e">
        <f t="shared" ca="1" si="614"/>
        <v>#N/A</v>
      </c>
      <c r="EA176" s="152">
        <f t="shared" ca="1" si="615"/>
        <v>172</v>
      </c>
      <c r="EB176" s="153" t="e">
        <f t="shared" ca="1" si="616"/>
        <v>#N/A</v>
      </c>
      <c r="EC176" s="153" t="e">
        <f t="shared" ca="1" si="617"/>
        <v>#N/A</v>
      </c>
      <c r="ED176" s="154" t="e">
        <f ca="1">IF(Control!$C$114=1, $HM176*$FY176-$FD176, 0)</f>
        <v>#DIV/0!</v>
      </c>
      <c r="EE176" s="155" t="e">
        <f ca="1">IF(Control!$C$114=1, $HM176*$FZ176-$FF176, 0)</f>
        <v>#DIV/0!</v>
      </c>
      <c r="EF176" s="153" t="e">
        <f t="shared" ca="1" si="671"/>
        <v>#N/A</v>
      </c>
      <c r="EG176" s="155" t="e">
        <f ca="1">IF(Control!$C$114=1, $GX176*$FW176-$FI176, 0)</f>
        <v>#DIV/0!</v>
      </c>
      <c r="EH176" s="153" t="e">
        <f t="shared" ca="1" si="618"/>
        <v>#N/A</v>
      </c>
      <c r="EI176" s="156" t="e">
        <f t="shared" ca="1" si="619"/>
        <v>#N/A</v>
      </c>
      <c r="EJ176" s="155" t="e">
        <f ca="1">IF(Control!$C$114=1, $HM176*$GB176, 0)</f>
        <v>#DIV/0!</v>
      </c>
      <c r="EK176" s="153" t="e">
        <f t="shared" ca="1" si="672"/>
        <v>#N/A</v>
      </c>
      <c r="EL176" s="153" t="e">
        <f t="shared" ca="1" si="491"/>
        <v>#N/A</v>
      </c>
      <c r="EM176" s="153" t="e">
        <f t="shared" ca="1" si="492"/>
        <v>#N/A</v>
      </c>
      <c r="EN176" s="153" t="e">
        <f ca="1">IF(Control!$C$108=1,IF(AND(Control!$B$18=1,$EB176&gt;=Control!$B$19),$EB176-$DS176,IF(AND(Control!$B$18=2,$AW176=1,$EB176&gt;$DS176),$EB176-$DS176,0)))</f>
        <v>#N/A</v>
      </c>
      <c r="EO176" s="153" t="e">
        <f ca="1">IF(Control!$C$108=1,IF(AND(Control!$B$18=1,$EB176&gt;=Control!$B$19),$EF176,IF(AND(Control!$B$18=2,$AW176=1),$EF176,0)))</f>
        <v>#N/A</v>
      </c>
      <c r="EP176" s="153" t="e">
        <f ca="1">IF(Control!$C$108=1,IF(AND(Control!$B$18=1,$EB176&gt;=Control!$B$19),$EK176,IF(AND(Control!$B$18=2,$AW176=1),$EK176,0)))</f>
        <v>#N/A</v>
      </c>
      <c r="EQ176" s="153" t="e">
        <f t="shared" ca="1" si="620"/>
        <v>#N/A</v>
      </c>
      <c r="ER176" s="153" t="e">
        <f t="shared" ca="1" si="621"/>
        <v>#N/A</v>
      </c>
      <c r="ES176" s="153" t="e">
        <f t="shared" ca="1" si="673"/>
        <v>#N/A</v>
      </c>
      <c r="ET176" s="153" t="e">
        <f t="shared" ca="1" si="674"/>
        <v>#N/A</v>
      </c>
      <c r="EU176" s="153" t="e">
        <f t="shared" ca="1" si="622"/>
        <v>#N/A</v>
      </c>
      <c r="EV176" s="153" t="e">
        <f t="shared" ca="1" si="493"/>
        <v>#N/A</v>
      </c>
      <c r="EW176" s="153" t="e">
        <f t="shared" ca="1" si="494"/>
        <v>#N/A</v>
      </c>
      <c r="EX176" s="153" t="e">
        <f t="shared" ca="1" si="495"/>
        <v>#N/A</v>
      </c>
      <c r="EY176" s="157" t="e">
        <f t="shared" ca="1" si="496"/>
        <v>#DIV/0!</v>
      </c>
      <c r="EZ176" s="154" t="e">
        <f t="shared" ca="1" si="497"/>
        <v>#DIV/0!</v>
      </c>
      <c r="FA176" s="153" t="e">
        <f t="shared" ca="1" si="623"/>
        <v>#N/A</v>
      </c>
      <c r="FB176" s="153" t="e">
        <f t="shared" ca="1" si="498"/>
        <v>#N/A</v>
      </c>
      <c r="FC176" s="193" t="e">
        <f t="shared" ca="1" si="499"/>
        <v>#N/A</v>
      </c>
      <c r="FD176" s="158" t="e">
        <f t="shared" ca="1" si="624"/>
        <v>#N/A</v>
      </c>
      <c r="FE176" s="158" t="e">
        <f t="shared" ca="1" si="625"/>
        <v>#N/A</v>
      </c>
      <c r="FF176" s="159" t="e">
        <f t="shared" ca="1" si="500"/>
        <v>#N/A</v>
      </c>
      <c r="FG176" s="160" t="e">
        <f t="shared" ca="1" si="626"/>
        <v>#N/A</v>
      </c>
      <c r="FH176" s="158" t="e">
        <f t="shared" ca="1" si="627"/>
        <v>#N/A</v>
      </c>
      <c r="FI176" s="159" t="e">
        <f t="shared" ca="1" si="501"/>
        <v>#N/A</v>
      </c>
      <c r="FJ176" s="160" t="e">
        <f t="shared" ca="1" si="628"/>
        <v>#N/A</v>
      </c>
      <c r="FK176" s="160" t="e">
        <f t="shared" ca="1" si="502"/>
        <v>#N/A</v>
      </c>
      <c r="FL176" s="160" t="e">
        <f t="shared" ca="1" si="675"/>
        <v>#N/A</v>
      </c>
      <c r="FM176" s="160" t="e">
        <f t="shared" ca="1" si="503"/>
        <v>#N/A</v>
      </c>
      <c r="FN176" s="158">
        <f t="shared" ca="1" si="629"/>
        <v>0.01</v>
      </c>
      <c r="FO176" s="160">
        <f>Control!$C$101</f>
        <v>50</v>
      </c>
      <c r="FP176" s="150" t="e">
        <f t="shared" ca="1" si="504"/>
        <v>#N/A</v>
      </c>
      <c r="FQ176" s="150" t="e">
        <f ca="1">MAX(0,(Control!$C$112*(($DK176-Control!$C$97)/Control!$C$97)))</f>
        <v>#N/A</v>
      </c>
      <c r="FR176" s="150" t="e">
        <f ca="1">(1-$NT176)*Control!$C$113</f>
        <v>#DIV/0!</v>
      </c>
      <c r="FS176" s="198" t="e">
        <f t="shared" ca="1" si="505"/>
        <v>#N/A</v>
      </c>
      <c r="FT176" s="161">
        <f t="shared" ca="1" si="630"/>
        <v>172</v>
      </c>
      <c r="FU176" s="162" t="e">
        <f ca="1">IF(Control!$B$34=1,VLOOKUP($CP176,Control!$B$86:$G$91,6),Control!$B$35)</f>
        <v>#N/A</v>
      </c>
      <c r="FV176" s="162" t="e">
        <f t="shared" ca="1" si="506"/>
        <v>#DIV/0!</v>
      </c>
      <c r="FW176" s="162" t="e">
        <f ca="1">IF(Control!$B$31=1,$FU176*$FV176,  $FU176)</f>
        <v>#N/A</v>
      </c>
      <c r="FX176" s="162" t="e">
        <f ca="1">IF(Control!$B$34=1,VLOOKUP($CP176,Control!$B$86:$G$91,3),Control!$B$36)</f>
        <v>#N/A</v>
      </c>
      <c r="FY176" s="162" t="e">
        <f t="shared" ca="1" si="507"/>
        <v>#N/A</v>
      </c>
      <c r="FZ176" s="162" t="e">
        <f ca="1">IF(Control!$B$34=1,VLOOKUP($CP176,Control!$B$86:$G$91,4),Control!$B$37)</f>
        <v>#N/A</v>
      </c>
      <c r="GA176" s="162" t="e">
        <f t="shared" ca="1" si="508"/>
        <v>#N/A</v>
      </c>
      <c r="GB176" s="162" t="e">
        <f ca="1">IF(Control!$B$34=1,VLOOKUP($CP176,Control!$B$86:$G$91,5),Control!$B$38)</f>
        <v>#N/A</v>
      </c>
      <c r="GC176" s="162" t="e">
        <f t="shared" ca="1" si="631"/>
        <v>#N/A</v>
      </c>
      <c r="GD176" s="162">
        <f t="shared" ca="1" si="509"/>
        <v>1</v>
      </c>
      <c r="GE176" s="162">
        <f t="shared" ca="1" si="510"/>
        <v>1</v>
      </c>
      <c r="GF176" s="162">
        <f ca="1">IF(AND(Control!$C$104=1, Control!$C$62="F"),$GE176,1)</f>
        <v>1</v>
      </c>
      <c r="GG176" s="162" t="e">
        <f ca="1">IF(Control!$B$16=40,0,IF(AND(Control!$B$16&gt;40,Control!$B$16&lt;=360),(Control!$B$16-40)*((1-0)/(360-40)),IF(AND(Control!$B$16&gt;360,Control!$B$16&lt;=720),(1+(Control!$B$16-360)*((1.25-1)/(720-360))),IF(AND(Control!$B$16&gt;720,Control!$B$16&lt;=1000),(1.25+(Control!$B$16-720)*((1.35-1.25)/(1000-720))),IF(AND(Control!$B$16&gt;1000,Control!$B$16&lt;=2000),(1.35+(Control!$B$16-1000)*0))))))</f>
        <v>#N/A</v>
      </c>
      <c r="GH176" s="162" t="e">
        <f t="shared" ca="1" si="511"/>
        <v>#N/A</v>
      </c>
      <c r="GI176" s="162">
        <f t="shared" ca="1" si="632"/>
        <v>0</v>
      </c>
      <c r="GJ176" s="162">
        <f t="shared" ca="1" si="512"/>
        <v>0</v>
      </c>
      <c r="GK176" s="162">
        <f t="shared" ca="1" si="633"/>
        <v>1</v>
      </c>
      <c r="GL176" s="162">
        <f t="shared" ca="1" si="513"/>
        <v>1</v>
      </c>
      <c r="GM176" s="162" t="e">
        <f ca="1">MAX(0,MIN(1,1-Control!$C$156*(1.0001-$KH176)^2))</f>
        <v>#N/A</v>
      </c>
      <c r="GN176" s="162" t="e">
        <f ca="1">IF(Control!$B$26=1,$KU176,$KX176)</f>
        <v>#N/A</v>
      </c>
      <c r="GO176" s="162" t="e">
        <f ca="1">IF($CP176&lt;=60,Control!$C$105,IF($CP176&gt;=90,Control!$C$106,Control!$C$105+($CP176-60)*((Control!$C$106-Control!$C$105)/(90-60))))</f>
        <v>#N/A</v>
      </c>
      <c r="GP176" s="162" t="e">
        <f t="shared" ca="1" si="514"/>
        <v>#N/A</v>
      </c>
      <c r="GQ176" s="162" t="e">
        <f t="shared" ca="1" si="634"/>
        <v>#N/A</v>
      </c>
      <c r="GR176" s="163" t="e">
        <f t="shared" ca="1" si="515"/>
        <v>#DIV/0!</v>
      </c>
      <c r="GS176" s="162" t="e">
        <f t="shared" ca="1" si="516"/>
        <v>#DIV/0!</v>
      </c>
      <c r="GT176" s="164" t="e">
        <f t="shared" ca="1" si="635"/>
        <v>#N/A</v>
      </c>
      <c r="GU176" s="162" t="e">
        <f t="shared" ca="1" si="636"/>
        <v>#N/A</v>
      </c>
      <c r="GV176" s="162" t="e">
        <f t="shared" ca="1" si="517"/>
        <v>#N/A</v>
      </c>
      <c r="GW176" s="162" t="e">
        <f t="shared" ca="1" si="518"/>
        <v>#DIV/0!</v>
      </c>
      <c r="GX176" s="162" t="e">
        <f t="shared" ca="1" si="637"/>
        <v>#DIV/0!</v>
      </c>
      <c r="GY176" s="162" t="e">
        <f t="shared" ca="1" si="638"/>
        <v>#DIV/0!</v>
      </c>
      <c r="GZ176" s="165" t="e">
        <f t="shared" ca="1" si="519"/>
        <v>#N/A</v>
      </c>
      <c r="HA176" s="162" t="e">
        <f ca="1">IF(Control!$C$114=1, $DI176*$FS176, 0)</f>
        <v>#N/A</v>
      </c>
      <c r="HB176" s="162" t="e">
        <f ca="1">$FA176/Control!$C$64</f>
        <v>#N/A</v>
      </c>
      <c r="HC176" s="162" t="e">
        <f t="shared" ca="1" si="520"/>
        <v>#DIV/0!</v>
      </c>
      <c r="HD176" s="162">
        <f ca="1">-ASIN(SIN(23.45*Control!$C$139)*COS(2*Control!$C$138*($AH176+10)/365))</f>
        <v>0.40926462660782015</v>
      </c>
      <c r="HE176" s="165">
        <f t="shared" ca="1" si="639"/>
        <v>0</v>
      </c>
      <c r="HF176" s="166">
        <f ca="1">IF(AND(Control!$C$61="T",$HE176&gt;=Control!$C$103,Control!$C$114=0),$AH176,Control!$C$59)</f>
        <v>1</v>
      </c>
      <c r="HG176" s="166">
        <f ca="1">IF(AND(Control!$C$61="T",$HE176&gt;=Control!$C$103,Control!$C$114=0),$HF176,Control!$C$59)</f>
        <v>1</v>
      </c>
      <c r="HH176" s="165">
        <f ca="1">IF(AND(OR(Control!$C$60&lt;=0, $AH176= Control!$C$59, Control!$C$60 &gt;0, $AH176 = Control!$C$60)), Control!$C$59, IF(Control!$C$60&gt;0, 0))</f>
        <v>1</v>
      </c>
      <c r="HI176" s="165">
        <f ca="1">IF(AND(OR(Control!$C$60&lt;=0, $AH176= Control!$C$59, Control!$C$60 &gt;0, $AH176 = Control!$C$60)), Control!$C$60, IF(Control!$C$60&lt;=0, 0))</f>
        <v>0</v>
      </c>
      <c r="HJ176" s="166">
        <f ca="1">IF(AND(Control!$C$62="F",$CV176&gt;=Control!$C$102),$AH176,0)</f>
        <v>0</v>
      </c>
      <c r="HK176" s="165" t="e">
        <f t="shared" ca="1" si="676"/>
        <v>#N/A</v>
      </c>
      <c r="HL176" s="166">
        <f ca="1">IF(AND(Control!$C$61="T",$HE176&gt;=Control!$C$103,Control!$C$114=0),$HF176,0)</f>
        <v>0</v>
      </c>
      <c r="HM176" s="201" t="e">
        <f t="shared" ca="1" si="521"/>
        <v>#DIV/0!</v>
      </c>
      <c r="HN176" s="215">
        <f t="shared" ca="1" si="640"/>
        <v>172</v>
      </c>
      <c r="HO176" s="216" t="e">
        <f ca="1">IF(AND($CP176&gt;=0, $CP176&lt;=90), Control!$C$152, Control!$C$152)</f>
        <v>#N/A</v>
      </c>
      <c r="HP176" s="216" t="e">
        <f t="shared" ca="1" si="522"/>
        <v>#N/A</v>
      </c>
      <c r="HQ176" s="217" t="e">
        <f ca="1">IF(OR(Control!$B$26=1,Control!$B$26=2),$KV176,$KS176)</f>
        <v>#DIV/0!</v>
      </c>
      <c r="HR176" s="218" t="e">
        <f t="shared" ca="1" si="677"/>
        <v>#DIV/0!</v>
      </c>
      <c r="HS176" s="216" t="e">
        <f ca="1">Control!$C$154*$HP176</f>
        <v>#N/A</v>
      </c>
      <c r="HT176" s="216" t="e">
        <f ca="1">Control!$C$155*$HP176</f>
        <v>#N/A</v>
      </c>
      <c r="HU176" s="217" t="e">
        <f ca="1">Control!$C$161*$FI176</f>
        <v>#N/A</v>
      </c>
      <c r="HV176" s="218" t="e">
        <f t="shared" ca="1" si="641"/>
        <v>#N/A</v>
      </c>
      <c r="HW176" s="218" t="e">
        <f ca="1">Control!$C$160*$FF176+$IP176*$EO176</f>
        <v>#N/A</v>
      </c>
      <c r="HX176" s="218" t="e">
        <f t="shared" ca="1" si="678"/>
        <v>#N/A</v>
      </c>
      <c r="HY176" s="219" t="e">
        <f ca="1">IF(Control!$C$114=1, $EB176*$FS176, 0)</f>
        <v>#N/A</v>
      </c>
      <c r="HZ176" s="91" t="e">
        <f t="shared" ca="1" si="523"/>
        <v>#N/A</v>
      </c>
      <c r="IA176" s="220" t="e">
        <f ca="1">Control!$C$153*$HO176</f>
        <v>#N/A</v>
      </c>
      <c r="IB176" s="218" t="e">
        <f t="shared" ca="1" si="524"/>
        <v>#N/A</v>
      </c>
      <c r="IC176" s="220" t="e">
        <f ca="1">Control!$C$153*$HT176</f>
        <v>#N/A</v>
      </c>
      <c r="ID176" s="218" t="e">
        <f t="shared" ca="1" si="525"/>
        <v>#N/A</v>
      </c>
      <c r="IE176" s="221" t="e">
        <f ca="1">($EB176*Control!$C$159+$EF176*Control!$C$160)/(IF($GZ176&lt;&gt;0,$GZ176,1))</f>
        <v>#N/A</v>
      </c>
      <c r="IF176" s="216" t="e">
        <f t="shared" ca="1" si="526"/>
        <v>#N/A</v>
      </c>
      <c r="IG176" s="91">
        <f ca="1">IF(OR(Control!$B$198=$AH176,Control!$B$199=$AH176, Control!$B$200=$AH176, Control!$B$201=$AH176, Control!$B$202=$AH176, Control!$B$203=$AH176, Control!$B$204=$AH176, Control!$B$205=$AH176, Control!$B$206=$AH176, Control!$B$207=$AH176), 1, 0)</f>
        <v>0</v>
      </c>
      <c r="IH176" s="91">
        <f ca="1">IF($IG176=0,0, VLOOKUP($AH176,Control!$B$198:$C$207,2))</f>
        <v>0</v>
      </c>
      <c r="II176" s="222">
        <f t="shared" ca="1" si="642"/>
        <v>0</v>
      </c>
      <c r="IJ176" s="91">
        <f>Control!$C$121</f>
        <v>0.7</v>
      </c>
      <c r="IK176" s="218">
        <f t="shared" ca="1" si="527"/>
        <v>0</v>
      </c>
      <c r="IL176" s="217" t="e">
        <f t="shared" ca="1" si="679"/>
        <v>#N/A</v>
      </c>
      <c r="IM176" s="223" t="e">
        <f ca="1">IF(AND(Control!$C$114=1,$KH176&lt;1),$EB176*Control!$C$148*(1-$KH176), 0)</f>
        <v>#N/A</v>
      </c>
      <c r="IN176" s="217" t="e">
        <f t="shared" ca="1" si="528"/>
        <v>#DIV/0!</v>
      </c>
      <c r="IO176" s="91" t="e">
        <f ca="1">MAX(0,$IL176-$EF176*Control!$C$160)</f>
        <v>#N/A</v>
      </c>
      <c r="IP176" s="220" t="e">
        <f t="shared" ca="1" si="529"/>
        <v>#N/A</v>
      </c>
      <c r="IQ176" s="217" t="e">
        <f t="shared" ca="1" si="643"/>
        <v>#N/A</v>
      </c>
      <c r="IR176" s="218" t="e">
        <f t="shared" ca="1" si="530"/>
        <v>#N/A</v>
      </c>
      <c r="IS176" s="217" t="e">
        <f ca="1">Control!$C$159*MAX(0,$FD176-$EN176)</f>
        <v>#N/A</v>
      </c>
      <c r="IT176" s="217" t="e">
        <f t="shared" ca="1" si="680"/>
        <v>#N/A</v>
      </c>
      <c r="IU176" s="217" t="e">
        <f t="shared" ca="1" si="644"/>
        <v>#N/A</v>
      </c>
      <c r="IV176" s="217" t="e">
        <f t="shared" ca="1" si="681"/>
        <v>#N/A</v>
      </c>
      <c r="IW176" s="217" t="e">
        <f ca="1">IF(OR($AW176=1,AND($AW176=0, Control!$B$18=1,$EN176&lt;&gt;0)), $IQ176-$IU176, $IQ176)</f>
        <v>#N/A</v>
      </c>
      <c r="IX176" s="218" t="e">
        <f t="shared" ca="1" si="531"/>
        <v>#N/A</v>
      </c>
      <c r="IY176" s="218" t="e">
        <f ca="1">MAX(0,$IQ176-$EB176*Control!$C$159)</f>
        <v>#N/A</v>
      </c>
      <c r="IZ176" s="218" t="e">
        <f t="shared" ca="1" si="532"/>
        <v>#N/A</v>
      </c>
      <c r="JA176" s="216" t="e">
        <f t="shared" ca="1" si="533"/>
        <v>#N/A</v>
      </c>
      <c r="JB176" s="217" t="e">
        <f t="shared" ca="1" si="534"/>
        <v>#N/A</v>
      </c>
      <c r="JC176" s="222" t="e">
        <f ca="1">MAX(Control!$C$157*$EK176-$JT176, 0)/Control!$C$162</f>
        <v>#N/A</v>
      </c>
      <c r="JD176" s="218" t="e">
        <f t="shared" ca="1" si="535"/>
        <v>#N/A</v>
      </c>
      <c r="JE176" s="218" t="e">
        <f t="shared" ca="1" si="536"/>
        <v>#N/A</v>
      </c>
      <c r="JF176" s="218" t="e">
        <f t="shared" ca="1" si="645"/>
        <v>#N/A</v>
      </c>
      <c r="JG176" s="218" t="e">
        <f t="shared" ca="1" si="537"/>
        <v>#N/A</v>
      </c>
      <c r="JH176" s="217" t="e">
        <f t="shared" ca="1" si="646"/>
        <v>#N/A</v>
      </c>
      <c r="JI176" s="217" t="e">
        <f t="shared" ca="1" si="647"/>
        <v>#N/A</v>
      </c>
      <c r="JJ176" s="217" t="e">
        <f t="shared" ca="1" si="682"/>
        <v>#N/A</v>
      </c>
      <c r="JK176" s="217" t="e">
        <f ca="1">IF(Control!$C$114=1,IF(Control!$B$24=0,MAX(0,$JI176)*$GN176/Control!$C$64,(MAX(0,MIN($JI176,$JJ176*$GN176/Control!$C$64),0))))</f>
        <v>#N/A</v>
      </c>
      <c r="JL176" s="217" t="e">
        <f ca="1">$IK176/Control!$C$64-$JK176+$HQ176</f>
        <v>#N/A</v>
      </c>
      <c r="JM176" s="217" t="e">
        <f ca="1">IF(Control!$C$114=1,($JB176/(IF($JI176&lt;&gt;0,$JI176,1)))*$JK176,0)</f>
        <v>#N/A</v>
      </c>
      <c r="JN176" s="217" t="e">
        <f ca="1">IF(Control!$C$114=1,($JG176/(IF($JI176&lt;&gt;0,$JI176,1)))*$JK176, 0)</f>
        <v>#N/A</v>
      </c>
      <c r="JO176" s="218" t="e">
        <f t="shared" ca="1" si="538"/>
        <v>#N/A</v>
      </c>
      <c r="JP176" s="218" t="e">
        <f ca="1">MIN(($IY176+$IO176)*Control!$C$151, $JF176-$EH176*Control!$C$161)</f>
        <v>#N/A</v>
      </c>
      <c r="JQ176" s="218" t="e">
        <f t="shared" ca="1" si="539"/>
        <v>#N/A</v>
      </c>
      <c r="JR176" s="217" t="e">
        <f ca="1">IF($CP176-Control!$C$150&lt;0, 0, $JQ176/Control!$C$162)</f>
        <v>#N/A</v>
      </c>
      <c r="JS176" s="218" t="e">
        <f t="shared" ca="1" si="540"/>
        <v>#N/A</v>
      </c>
      <c r="JT176" s="218" t="e">
        <f t="shared" ca="1" si="648"/>
        <v>#N/A</v>
      </c>
      <c r="JU176" s="218" t="e">
        <f t="shared" ca="1" si="541"/>
        <v>#N/A</v>
      </c>
      <c r="JV176" s="218" t="e">
        <f t="shared" ca="1" si="542"/>
        <v>#N/A</v>
      </c>
      <c r="JW176" s="216" t="e">
        <f t="shared" ca="1" si="543"/>
        <v>#N/A</v>
      </c>
      <c r="JX176" s="91" t="e">
        <f t="shared" ca="1" si="544"/>
        <v>#N/A</v>
      </c>
      <c r="JY176" s="218" t="e">
        <f t="shared" ca="1" si="545"/>
        <v>#N/A</v>
      </c>
      <c r="JZ176" s="217" t="e">
        <f ca="1">IF(Control!$C$114=1,($IZ176/(IF($JI176&lt;&gt;0,$JI176,1)))*$JK176, 0)</f>
        <v>#N/A</v>
      </c>
      <c r="KA176" s="218" t="e">
        <f t="shared" ca="1" si="683"/>
        <v>#N/A</v>
      </c>
      <c r="KB176" s="218" t="e">
        <f t="shared" ca="1" si="649"/>
        <v>#N/A</v>
      </c>
      <c r="KC176" s="218" t="e">
        <f t="shared" ca="1" si="546"/>
        <v>#N/A</v>
      </c>
      <c r="KD176" s="218" t="e">
        <f t="shared" ca="1" si="547"/>
        <v>#N/A</v>
      </c>
      <c r="KE176" s="218" t="e">
        <f t="shared" ca="1" si="548"/>
        <v>#N/A</v>
      </c>
      <c r="KF176" s="218" t="e">
        <f t="shared" ca="1" si="549"/>
        <v>#N/A</v>
      </c>
      <c r="KG176" s="216" t="e">
        <f t="shared" ca="1" si="550"/>
        <v>#N/A</v>
      </c>
      <c r="KH176" s="221" t="e">
        <f ca="1">IF(Control!$B$24=0,1,MAX(0.001,MIN(1,IF(($IF176-$IE176)&lt;&gt;0,($KG176-$IE176)/($IF176-$IE176),1))))</f>
        <v>#N/A</v>
      </c>
      <c r="KI176" s="222" t="e">
        <f ca="1">IF(Control!$C$114=1, $KI175+ $KH175, 0)</f>
        <v>#N/A</v>
      </c>
      <c r="KJ176" s="217" t="e">
        <f t="shared" ca="1" si="551"/>
        <v>#N/A</v>
      </c>
      <c r="KK176" s="218" t="e">
        <f t="shared" ca="1" si="552"/>
        <v>#N/A</v>
      </c>
      <c r="KL176" s="274" t="e">
        <f ca="1">IF(Control!$B$26=3,4000000000*EXP(-8400/($G176+273)),IF(Control!$B$26=4,4000000000*EXP(-8400/($G176+273))*($KT176),0))</f>
        <v>#DIV/0!</v>
      </c>
      <c r="KM176" s="274" t="e">
        <f ca="1">IF(Control!$B$26=3,5600000000000*EXP(-9800/($G176+273)),IF(Control!$B$26=4,5600000000000*EXP(-9800/($G176+273))*$KT176,0))</f>
        <v>#DIV/0!</v>
      </c>
      <c r="KN176" s="454" t="e">
        <f t="shared" ca="1" si="650"/>
        <v>#DIV/0!</v>
      </c>
      <c r="KO176" s="274" t="e">
        <f t="shared" ca="1" si="651"/>
        <v>#DIV/0!</v>
      </c>
      <c r="KP176" s="454" t="e">
        <f t="shared" ca="1" si="553"/>
        <v>#DIV/0!</v>
      </c>
      <c r="KQ176" s="454" t="e">
        <f t="shared" ca="1" si="554"/>
        <v>#DIV/0!</v>
      </c>
      <c r="KR176" s="454" t="e">
        <f t="shared" ca="1" si="555"/>
        <v>#DIV/0!</v>
      </c>
      <c r="KS176" s="454" t="e">
        <f t="shared" ca="1" si="556"/>
        <v>#DIV/0!</v>
      </c>
      <c r="KT176" s="455" t="e">
        <f t="shared" ca="1" si="557"/>
        <v>#DIV/0!</v>
      </c>
      <c r="KU176" s="456" t="e">
        <f ca="1">IF($CP176-Control!$C$149&lt;0, IF($NT176-0.01&lt;0,0,1),0)</f>
        <v>#N/A</v>
      </c>
      <c r="KV176" s="456" t="e">
        <f ca="1">IF(Control!$C$114=1,MAX(0,MIN(Control!$C$125*$KW176*$GN176,$KW176)))</f>
        <v>#DIV/0!</v>
      </c>
      <c r="KW176" s="456" t="e">
        <f t="shared" ca="1" si="684"/>
        <v>#DIV/0!</v>
      </c>
      <c r="KX176" s="457" t="e">
        <f ca="1">IF($CP176-Control!$C$149&lt;0, IF($MR176-$OM176&lt;0,0,1),0)</f>
        <v>#N/A</v>
      </c>
      <c r="KY176" s="167">
        <f t="shared" ca="1" si="652"/>
        <v>172</v>
      </c>
      <c r="KZ176" s="168">
        <f ca="1">1370*(1+0.033*COS(2*Control!$C$138*$AH176/365))</f>
        <v>1325.5264465586133</v>
      </c>
      <c r="LA176" s="169">
        <f t="shared" ca="1" si="653"/>
        <v>0.96753759330547084</v>
      </c>
      <c r="LB176" s="169">
        <f t="shared" ca="1" si="654"/>
        <v>0.40899999954517041</v>
      </c>
      <c r="LC176" s="169">
        <f ca="1">ACOS(-TAN((2*Control!$B$8/360))*TAN(Calculations!$LB176))</f>
        <v>1.6999758667472269</v>
      </c>
      <c r="LD176" s="169">
        <f ca="1">((24*60)/PI())*0.082*$LA176*(($LC176*SIN(Control!$B$8*2*PI()/360))*SIN($LB176)+COS(Control!$B$8*2*PI()/360)*COS($LB176)*SIN($LC176))</f>
        <v>39.745103819933156</v>
      </c>
      <c r="LE176" s="170">
        <f t="shared" ca="1" si="558"/>
        <v>41.461592096660809</v>
      </c>
      <c r="LF176" s="170">
        <f ca="1">SIN(Control!$C$139*Control!$B$8)*SIN($HD176)</f>
        <v>0.31357741686610269</v>
      </c>
      <c r="LG176" s="170">
        <f ca="1">COS(Control!$C$139*Control!$B$8)*COS($HD176)</f>
        <v>0.56481473867647347</v>
      </c>
      <c r="LH176" s="170">
        <f ca="1">12*(1+2*ASIN(MAX(-1,MIN(1,$LF176/$LG176))/Control!$C$138))</f>
        <v>16.263693460485946</v>
      </c>
      <c r="LI176" s="170">
        <f ca="1">12*(1+2*ASIN(MAX(-1,MIN(1,(-SIN(-4*Control!$C$139)+$LF176)/$LG176))/Control!$C$138))</f>
        <v>17.225997382708883</v>
      </c>
      <c r="LJ176" s="168">
        <f ca="1">3600*($LH176*$LF176+24*$LG176*SQRT(1-$LK176*$LK176)/Control!$C$138)</f>
        <v>31279.339770477694</v>
      </c>
      <c r="LK176" s="170">
        <f t="shared" ca="1" si="559"/>
        <v>0.55518632109513733</v>
      </c>
      <c r="LL176" s="170">
        <f t="shared" ca="1" si="560"/>
        <v>0</v>
      </c>
      <c r="LM176" s="171">
        <f ca="1">Control!$C$145*$AB176</f>
        <v>6.6660906138995932E-2</v>
      </c>
      <c r="LN176" s="170">
        <f t="shared" ca="1" si="655"/>
        <v>0.54</v>
      </c>
      <c r="LO176" s="170">
        <f t="shared" ca="1" si="561"/>
        <v>0</v>
      </c>
      <c r="LP176" s="170">
        <f ca="1">Control!$C$140*((($D176+273.16)^4+($E176+273.16)^4)/2)*(0.34-0.14*SQRT($Y176))*(1.35*$AQ176/(0.75*$LD176)-0.35)</f>
        <v>-3.2464704755046001</v>
      </c>
      <c r="LQ176" s="170">
        <f ca="1">Control!$C$140*($G176+273)^4*(0.56-0.079*SQRT($Y176*10))*(0.1+0.9*$LO176)</f>
        <v>1.5241745131704001</v>
      </c>
      <c r="LR176" s="170">
        <f ca="1">$AQ176*(1-Control!$C$142)-$LQ176</f>
        <v>-1.5241745131704001</v>
      </c>
      <c r="LS176" s="170">
        <f ca="1">$AQ176*(1-Control!$C$143)-$LQ176</f>
        <v>-1.5241745131704001</v>
      </c>
      <c r="LT176" s="170">
        <f ca="1">$AQ176*(1-Control!$C$144)-$LQ176</f>
        <v>-1.5241745131704001</v>
      </c>
      <c r="LU176" s="169">
        <f ca="1">(1-Control!$C$144)*AQ176-LP176</f>
        <v>3.2464704755046001</v>
      </c>
      <c r="LV176" s="172">
        <f t="shared" ca="1" si="562"/>
        <v>0.79430000000000012</v>
      </c>
      <c r="LW176" s="170">
        <f t="shared" ca="1" si="563"/>
        <v>1.5886000000000002</v>
      </c>
      <c r="LX176" s="170">
        <f ca="1">($AC176*($LR176/Control!$C$141)+$LM176*$LV176)/($AC176+$LM176)</f>
        <v>0.23530094218323697</v>
      </c>
      <c r="LY176" s="170">
        <f ca="1">($AC176*($LS176/Control!$C$141)+$LM176*$LV176)/($AC176+$LM176)</f>
        <v>0.23530094218323697</v>
      </c>
      <c r="LZ176" s="170">
        <f t="shared" ca="1" si="564"/>
        <v>0.23530094218323697</v>
      </c>
      <c r="MA176" s="170">
        <f t="shared" ca="1" si="565"/>
        <v>0.23530094218323697</v>
      </c>
      <c r="MB176" s="170" t="e">
        <f t="shared" ca="1" si="566"/>
        <v>#N/A</v>
      </c>
      <c r="MC176" s="170">
        <f t="shared" ca="1" si="656"/>
        <v>0.6018</v>
      </c>
      <c r="MD176" s="170">
        <f t="shared" ca="1" si="567"/>
        <v>0.52989392535414004</v>
      </c>
      <c r="ME176" s="170">
        <f ca="1">($AC176*($LT176/Control!$C$141)+$LM176*$LW176)/($AC176+$LM176)</f>
        <v>0.71612369323045078</v>
      </c>
      <c r="MF176" s="170" t="e">
        <f ca="1">IF(Control!$B$16&gt;=1000,0.92,IF(AND(720&lt;=Control!$B$16,1000&gt;Control!$B$16),(0.95+(Control!$B$16-720)*((0.92-0.95)/(1000-720))),IF(AND(360&lt;=Control!$B$16,720&gt;Control!$B$16),(1+(Control!$B$16-360)*((0.95-1)/(720-360))),IF(AND(40&lt;=Control!$B$16,360&gt;Control!$B$16),(1.05+(Control!$B$16-40)*((1.05-1)/(360-40)))))))</f>
        <v>#N/A</v>
      </c>
      <c r="MG176" s="170">
        <f t="shared" ca="1" si="568"/>
        <v>0.71612369323045078</v>
      </c>
      <c r="MH176" s="170" t="e">
        <f t="shared" ca="1" si="694"/>
        <v>#N/A</v>
      </c>
      <c r="MI176" s="170" t="e">
        <f t="shared" ca="1" si="694"/>
        <v>#N/A</v>
      </c>
      <c r="MJ176" s="170" t="e">
        <f ca="1">MAX(0.0001, Control!$C$132*$MI176*$DL176)</f>
        <v>#N/A</v>
      </c>
      <c r="MK176" s="170">
        <f ca="1">1/(0.76+1.5*($MG176/10))-(5-Control!$C$110)*0.1</f>
        <v>1.002845988140797</v>
      </c>
      <c r="ML176" s="173">
        <f ca="1">IF(Control!$C$110&lt;3,$MK176+($MG176-0.6)/(Control!$C$110*(Control!$C$110+3)), MAX(0.1, MIN(0.95,$MK176)))</f>
        <v>0.95</v>
      </c>
      <c r="MM176" s="173">
        <f ca="1">IF(Control!$C$110&lt;3,$MK176+(($MI176/10)-0.6)/(Control!$C$110*(Control!$C$110+3)), MAX(0.1, MIN(0.95,$MK176)))</f>
        <v>0.95</v>
      </c>
      <c r="MN176" s="173">
        <f ca="1">(1-$MM176)*(Control!$C$128-Control!$C$127)+Control!$C$127</f>
        <v>0.16</v>
      </c>
      <c r="MO176" s="170" t="e">
        <f ca="1">MAX(0,MIN(1,($MS176-Control!$C$127)/($MN176-Control!$C$127)))</f>
        <v>#DIV/0!</v>
      </c>
      <c r="MP176" s="173" t="e">
        <f ca="1">1/(0.76+1.5*$MI176)-(5-Control!$C$110)*0.1</f>
        <v>#N/A</v>
      </c>
      <c r="MQ176" s="172" t="e">
        <f t="shared" ca="1" si="685"/>
        <v>#DIV/0!</v>
      </c>
      <c r="MR176" s="168" t="e">
        <f t="shared" ca="1" si="657"/>
        <v>#DIV/0!</v>
      </c>
      <c r="MS176" s="173" t="e">
        <f ca="1">MAX(Control!$C$127, MIN(Control!$C$135, $MR176/MAX(0.0001,$CY176)))</f>
        <v>#DIV/0!</v>
      </c>
      <c r="MT176" s="168" t="e">
        <f ca="1">(Control!$C$128-$MS176)*Control!$C$74</f>
        <v>#DIV/0!</v>
      </c>
      <c r="MU176" s="168" t="e">
        <f ca="1">(Control!$C$135-$MS176)*Control!$C$74</f>
        <v>#DIV/0!</v>
      </c>
      <c r="MV176" s="168" t="e">
        <f t="shared" ca="1" si="658"/>
        <v>#DIV/0!</v>
      </c>
      <c r="MW176" s="168" t="e">
        <f t="shared" ca="1" si="659"/>
        <v>#DIV/0!</v>
      </c>
      <c r="MX176" s="171" t="e">
        <f ca="1">MAX(Control!$C$127, MIN(Control!$C$135, $MW176/MAX(0.0001,Control!$C$119-$CY176)))</f>
        <v>#DIV/0!</v>
      </c>
      <c r="MY176" s="54" t="e">
        <f ca="1">IF(Control!$C$114=1, $CX176*$MX176, 0)</f>
        <v>#DIV/0!</v>
      </c>
      <c r="MZ176" s="54" t="e">
        <f t="shared" ca="1" si="660"/>
        <v>#N/A</v>
      </c>
      <c r="NA176" s="168" t="e">
        <f ca="1">(Control!$C$128-$MX176)*(Control!$C$119-Control!$C$74)</f>
        <v>#DIV/0!</v>
      </c>
      <c r="NB176" s="168" t="e">
        <f ca="1">(Control!$C$135-$MX176)*(Control!$C$119-Control!$C$74)</f>
        <v>#DIV/0!</v>
      </c>
      <c r="NC176" s="174" t="e">
        <f t="shared" ca="1" si="661"/>
        <v>#DIV/0!</v>
      </c>
      <c r="ND176" s="54">
        <f ca="1">IF(Control!$C$58=2, IF(OR(Control!$B$218=$AH176,Control!$B$219=$AH176, Control!$B$220=$AH176, Control!$B$221=$AH176, Control!$B$222=$AH176, Control!$B$223=$AH176, Control!$B$224=$AH176, Control!$B$225=$AH176, Control!$B$226=$AH176, Control!$B$227=$AH176, Control!$B$228=$AH176), 1, 0), 0)</f>
        <v>0</v>
      </c>
      <c r="NE176" s="54">
        <f ca="1">IF($ND176=0,0, VLOOKUP($AH176,Control!$B$218:$C$228,2))</f>
        <v>0</v>
      </c>
      <c r="NF176" s="168" t="e">
        <f ca="1">$CY176*(Control!$C$128-Control!$C$127)</f>
        <v>#N/A</v>
      </c>
      <c r="NG176" s="54" t="e">
        <f ca="1">IF(Control!$C$58=2, $NI175-$NJ175, 0)</f>
        <v>#DIV/0!</v>
      </c>
      <c r="NH176" s="54" t="e">
        <f ca="1">IF(AND(Control!$C$58=1, $MS175&lt;= ($MN175+0.02), $I175&lt;10), 0, IF(Control!$C$58=2, $NG175, 0))</f>
        <v>#DIV/0!</v>
      </c>
      <c r="NI176" s="54" t="e">
        <f ca="1">IF(Control!$C$58=2, $NE176+$NH176,0)</f>
        <v>#DIV/0!</v>
      </c>
      <c r="NJ176" s="54" t="e">
        <f ca="1">IF(AND(Control!$C$58=1, $MS176&lt;= ($MN176+0.02), $I176&lt;10), MAX(0, MIN(10, 0.7*($NF176-$MV176))), IF(Control!$C$58=2, MIN(10,$NI176),0))</f>
        <v>#DIV/0!</v>
      </c>
      <c r="NK176" s="54" t="e">
        <f t="shared" ca="1" si="569"/>
        <v>#DIV/0!</v>
      </c>
      <c r="NL176" s="173" t="e">
        <f ca="1">(1-Control!$C$73)*$I176+$NJ176</f>
        <v>#DIV/0!</v>
      </c>
      <c r="NM176" s="172" t="e">
        <f ca="1">IF($NL176&lt;0.5, $MB176* MAX(0, MIN(1, (SQRT($NC176)-SQRT($NC176-1))*Control!$C$71)),0)</f>
        <v>#DIV/0!</v>
      </c>
      <c r="NN176" s="170" t="e">
        <f ca="1">IF($NL176&gt;=5, $MB176, MAX(0,MIN($MB176, $NM176+$NL176,($MS176-Control!$C$129))))</f>
        <v>#DIV/0!</v>
      </c>
      <c r="NO176" s="54">
        <f>IF(Control!$C$133&lt;&gt;1, Control!$C$135-Control!$C$131, 0)</f>
        <v>0.38</v>
      </c>
      <c r="NP176" s="54" t="e">
        <f t="shared" ca="1" si="570"/>
        <v>#DIV/0!</v>
      </c>
      <c r="NQ176" s="173" t="e">
        <f ca="1">MAX(0,MIN(1,(Control!$C$135-$MS176)/(Control!$C$135-$NO176)))</f>
        <v>#DIV/0!</v>
      </c>
      <c r="NR176" s="170" t="e">
        <f ca="1">IF(Control!$C$133&lt;&gt;1, $NQ176+((1-$NP176/4)*(1-$NQ176)),1)</f>
        <v>#DIV/0!</v>
      </c>
      <c r="NS176" s="170" t="e">
        <f ca="1">IF(Control!$B$31=0,$MJ176,MAX(0,MIN($MV176,$MO176*$NR176*$MJ176)))</f>
        <v>#DIV/0!</v>
      </c>
      <c r="NT176" s="170" t="e">
        <f t="shared" ca="1" si="686"/>
        <v>#DIV/0!</v>
      </c>
      <c r="NU176" s="170" t="e">
        <f t="shared" ca="1" si="662"/>
        <v>#N/A</v>
      </c>
      <c r="NV176" s="170" t="e">
        <f t="shared" ca="1" si="571"/>
        <v>#N/A</v>
      </c>
      <c r="NW176" s="175" t="e">
        <f t="shared" ca="1" si="572"/>
        <v>#DIV/0!</v>
      </c>
      <c r="NX176" s="170" t="e">
        <f ca="1">MIN(Control!$C$72+$MU176, $NW176)</f>
        <v>#DIV/0!</v>
      </c>
      <c r="NY176" s="170" t="e">
        <f ca="1">IF($MT176&lt;=$NX176,MIN(Control!$C$72+$NB176,$NX176-$MT176),0)</f>
        <v>#DIV/0!</v>
      </c>
      <c r="NZ176" s="54" t="e">
        <f ca="1">IF(Control!$C$114=1,  $CX176*($MX176-Control!$C$127), 0)</f>
        <v>#DIV/0!</v>
      </c>
      <c r="OA176" s="170" t="e">
        <f t="shared" ca="1" si="573"/>
        <v>#DIV/0!</v>
      </c>
      <c r="OB176" s="170" t="e">
        <f ca="1">IF($NA176 &lt;=$NY176, MIN(Control!$C$72, $NY176-$NA176), 0)</f>
        <v>#DIV/0!</v>
      </c>
      <c r="OC176" s="168" t="e">
        <f t="shared" ca="1" si="574"/>
        <v>#DIV/0!</v>
      </c>
      <c r="OD176" s="168" t="e">
        <f t="shared" ca="1" si="663"/>
        <v>#DIV/0!</v>
      </c>
      <c r="OE176" s="170">
        <f ca="1">Control!$C$73*$I176</f>
        <v>0</v>
      </c>
      <c r="OF176" s="176" t="e">
        <f t="shared" ca="1" si="575"/>
        <v>#DIV/0!</v>
      </c>
      <c r="OG176" s="168" t="e">
        <f t="shared" ca="1" si="576"/>
        <v>#DIV/0!</v>
      </c>
      <c r="OH176" s="168" t="e">
        <f t="shared" ca="1" si="577"/>
        <v>#DIV/0!</v>
      </c>
      <c r="OI176" s="168" t="e">
        <f t="shared" ca="1" si="578"/>
        <v>#DIV/0!</v>
      </c>
      <c r="OJ176" s="168" t="e">
        <f t="shared" ca="1" si="579"/>
        <v>#DIV/0!</v>
      </c>
      <c r="OK176" s="204" t="e">
        <f t="shared" ca="1" si="580"/>
        <v>#DIV/0!</v>
      </c>
      <c r="OL176" s="177">
        <f>Control!$C$127</f>
        <v>0.15</v>
      </c>
      <c r="OM176" s="182" t="e">
        <f t="shared" ca="1" si="581"/>
        <v>#N/A</v>
      </c>
      <c r="ON176" s="177">
        <f>Control!$C$128</f>
        <v>0.35</v>
      </c>
      <c r="OO176" s="182" t="e">
        <f t="shared" ca="1" si="582"/>
        <v>#N/A</v>
      </c>
      <c r="OP176" s="138">
        <f t="shared" ca="1" si="664"/>
        <v>0</v>
      </c>
      <c r="OQ176" s="138" t="e">
        <f t="shared" ca="1" si="687"/>
        <v>#DIV/0!</v>
      </c>
      <c r="OR176" s="138" t="e">
        <f t="shared" ca="1" si="665"/>
        <v>#DIV/0!</v>
      </c>
      <c r="OS176" s="137" t="e">
        <f t="shared" ca="1" si="688"/>
        <v>#DIV/0!</v>
      </c>
      <c r="OT176" s="139" t="e">
        <f t="shared" ca="1" si="689"/>
        <v>#DIV/0!</v>
      </c>
      <c r="OU176" s="138" t="e">
        <f t="shared" ca="1" si="690"/>
        <v>#N/A</v>
      </c>
      <c r="OV176" s="138" t="e">
        <f t="shared" ca="1" si="691"/>
        <v>#DIV/0!</v>
      </c>
      <c r="OW176" s="138" t="e">
        <f t="shared" ca="1" si="666"/>
        <v>#DIV/0!</v>
      </c>
      <c r="OX176" s="138" t="e">
        <f t="shared" ca="1" si="667"/>
        <v>#DIV/0!</v>
      </c>
      <c r="OY176" s="138" t="e">
        <f t="shared" ca="1" si="668"/>
        <v>#DIV/0!</v>
      </c>
      <c r="OZ176" s="138" t="e">
        <f t="shared" ca="1" si="583"/>
        <v>#DIV/0!</v>
      </c>
      <c r="PA176" s="138" t="e">
        <f t="shared" ca="1" si="584"/>
        <v>#DIV/0!</v>
      </c>
      <c r="PB176" s="55">
        <f>IF(Control!$C$61="T", IF(Control!$C$65="F", IF($AH$6-Control!$C$60&lt;0,0,1), IF(365+$AH$6-Control!$C$60&lt;0,0,1)),0)</f>
        <v>0</v>
      </c>
      <c r="PC176" s="55">
        <f ca="1">IF(Control!$C$65="F", IF($AH$6-$HF176&lt;0,0,1), IF(365+$AH$6-$HF176&lt;0,0,1))</f>
        <v>1</v>
      </c>
      <c r="PD176" s="444">
        <f>Control!$C$118</f>
        <v>1500</v>
      </c>
      <c r="PE176" s="180" t="e">
        <f t="shared" ca="1" si="585"/>
        <v>#N/A</v>
      </c>
      <c r="PF176" s="445">
        <f t="shared" ca="1" si="669"/>
        <v>0.71612369323045078</v>
      </c>
      <c r="PT176" s="186"/>
      <c r="PU176" s="186"/>
      <c r="PV176" s="94"/>
      <c r="PW176" s="94"/>
      <c r="PX176" s="94"/>
      <c r="PY176" s="94"/>
      <c r="PZ176" s="94"/>
      <c r="QA176" s="94"/>
      <c r="QB176" s="94"/>
      <c r="QC176" s="94"/>
      <c r="QD176" s="94"/>
      <c r="QE176" s="94"/>
      <c r="QF176" s="94"/>
      <c r="QG176" s="94"/>
      <c r="QH176" s="94"/>
      <c r="QI176" s="94"/>
      <c r="QJ176" s="94"/>
      <c r="QK176" s="94"/>
      <c r="QL176" s="94"/>
      <c r="QM176" s="94"/>
      <c r="QN176" s="94"/>
      <c r="QO176" s="94"/>
      <c r="QP176" s="94"/>
    </row>
    <row r="177" spans="1:458" s="2" customFormat="1" x14ac:dyDescent="0.2">
      <c r="A177" s="395">
        <v>21</v>
      </c>
      <c r="B177" s="396">
        <v>6</v>
      </c>
      <c r="C177" s="387">
        <f ca="1">Weather_data!$B176</f>
        <v>0</v>
      </c>
      <c r="D177" s="388">
        <f ca="1">Weather_data!$F176</f>
        <v>0</v>
      </c>
      <c r="E177" s="388">
        <f ca="1">Weather_data!$E176</f>
        <v>0</v>
      </c>
      <c r="F177" s="388">
        <f t="shared" ca="1" si="586"/>
        <v>0</v>
      </c>
      <c r="G177" s="388">
        <f ca="1">AVERAGE($D177:$E177)+Control!$B$9</f>
        <v>0</v>
      </c>
      <c r="H177" s="388">
        <f ca="1">Weather_data!$G176</f>
        <v>0</v>
      </c>
      <c r="I177" s="388">
        <f ca="1">Weather_data!$I176</f>
        <v>0</v>
      </c>
      <c r="J177" s="388">
        <f ca="1">Weather_data!$H176</f>
        <v>0</v>
      </c>
      <c r="K177" s="389">
        <f ca="1">Weather_data!$D176</f>
        <v>0</v>
      </c>
      <c r="L177" s="388" t="e">
        <f t="shared" ca="1" si="587"/>
        <v>#N/A</v>
      </c>
      <c r="M177" s="388" t="e">
        <f t="shared" ca="1" si="465"/>
        <v>#N/A</v>
      </c>
      <c r="N177" s="388">
        <f t="shared" ca="1" si="466"/>
        <v>-7.4892636296541633E-9</v>
      </c>
      <c r="O177" s="388">
        <f t="shared" ca="1" si="588"/>
        <v>7.4892636296541627E-8</v>
      </c>
      <c r="P177" s="390">
        <v>3</v>
      </c>
      <c r="Q177" s="388">
        <f ca="1">MAX($G177-Control!$C$107,0)</f>
        <v>0</v>
      </c>
      <c r="R177" s="388">
        <f t="shared" ca="1" si="589"/>
        <v>0</v>
      </c>
      <c r="S177" s="388">
        <f t="shared" ca="1" si="467"/>
        <v>0</v>
      </c>
      <c r="T177" s="388">
        <f t="shared" ca="1" si="468"/>
        <v>0</v>
      </c>
      <c r="U177" s="59">
        <f t="shared" ca="1" si="469"/>
        <v>0</v>
      </c>
      <c r="V177" s="391">
        <f ca="1">MAX(0,MIN(Control!$C$100-Control!$C$99,$G177-Control!$C$99)*Control!$C$63)</f>
        <v>0</v>
      </c>
      <c r="W177" s="388">
        <f t="shared" ca="1" si="590"/>
        <v>0</v>
      </c>
      <c r="X177" s="388">
        <f t="shared" ca="1" si="591"/>
        <v>0.6110000000000001</v>
      </c>
      <c r="Y177" s="388">
        <f t="shared" ca="1" si="470"/>
        <v>0</v>
      </c>
      <c r="Z177" s="388">
        <f t="shared" ca="1" si="592"/>
        <v>0.61058800000000002</v>
      </c>
      <c r="AA177" s="388">
        <f t="shared" ca="1" si="471"/>
        <v>0.6018</v>
      </c>
      <c r="AB177" s="388">
        <f ca="1">101.3*EXP(-0.034*Control!$C$66/($G177+273))</f>
        <v>100.69623283836242</v>
      </c>
      <c r="AC177" s="392">
        <f t="shared" ca="1" si="472"/>
        <v>4.3460251046025113E-2</v>
      </c>
      <c r="AD177" s="392">
        <f t="shared" ca="1" si="473"/>
        <v>4.4450382862832649E-2</v>
      </c>
      <c r="AE177" s="388">
        <f t="shared" ca="1" si="474"/>
        <v>0</v>
      </c>
      <c r="AF177" s="388">
        <f ca="1">MAX(0,$G177-Control!$C$92)</f>
        <v>0</v>
      </c>
      <c r="AG177" s="393">
        <f t="shared" ca="1" si="475"/>
        <v>173</v>
      </c>
      <c r="AH177" s="389">
        <f t="shared" ca="1" si="476"/>
        <v>173</v>
      </c>
      <c r="AI177" s="388">
        <f t="shared" ca="1" si="593"/>
        <v>0.40926457175226955</v>
      </c>
      <c r="AJ177" s="388">
        <f ca="1">IF(Control!$C$60&lt;=0,$HH177,$HI177)</f>
        <v>1</v>
      </c>
      <c r="AK177" s="388">
        <f t="shared" ca="1" si="477"/>
        <v>1.6009211878567164</v>
      </c>
      <c r="AL177" s="388">
        <f t="shared" ca="1" si="478"/>
        <v>-6.6723692543346751E-18</v>
      </c>
      <c r="AM177" s="388">
        <f t="shared" ca="1" si="479"/>
        <v>1.6009211878567164</v>
      </c>
      <c r="AN177" s="388">
        <f t="shared" ca="1" si="480"/>
        <v>0.40892098658106263</v>
      </c>
      <c r="AO177" s="388">
        <f ca="1">-0.10453/COS(Control!$B$8*PI()/180)*COS(AN177)</f>
        <v>-0.15578616901184411</v>
      </c>
      <c r="AP177" s="388">
        <f ca="1">ACOS(AO177-TAN(Control!$B$8*PI()/180)*TAN(AN177))</f>
        <v>2.3609302772432841</v>
      </c>
      <c r="AQ177" s="388">
        <f t="shared" ca="1" si="594"/>
        <v>0</v>
      </c>
      <c r="AR177" s="394">
        <f t="shared" ca="1" si="481"/>
        <v>0</v>
      </c>
      <c r="AS177" s="436">
        <f ca="1">IF(Control!$B$18=2,(IF(OR($AH177=Control!$B$175,$AH177=Control!$B$176,$AH177=Control!$B$177,$AH177=Control!$B$178,$AH177=Control!$B$179,$AH177=Control!$B$180,$AH177=Control!$B$181,$AH177=Control!$B$182,$AH177=Control!$B$183,$AH177=Control!$B$184,$AH177=Control!$B$185),1,0)),0)</f>
        <v>0</v>
      </c>
      <c r="AT177" s="436">
        <f>IF(Control!$B$20=8,IF(AND($AH177&gt;=Control!$B$172,$AH177&lt;=Control!$B$173),1,0),0)</f>
        <v>0</v>
      </c>
      <c r="AU177" s="436">
        <f>IF(Control!$B$20=8,IF($AV176=1,1*$AT177,IF($AT177=1,$AU176+1,$AU176)),0)</f>
        <v>0</v>
      </c>
      <c r="AV177" s="436">
        <f>IF(Control!$B$20=8,IF($AU177&gt;=Control!$B$174,1,0),0)</f>
        <v>0</v>
      </c>
      <c r="AW177" s="436">
        <f ca="1">IF(AND(Control!$B$18=2,Control!$B$171=1), $AV177, $AS177)</f>
        <v>0</v>
      </c>
      <c r="AX177" s="436" t="e">
        <f ca="1">IF(AND(Control!$B$18=1,$EU177&gt;=Control!$B$19),-$AY177,IF(AND(Control!$B$18=2,$AW177=1,$EU177&gt;$DS177),-$AY177, IF(Control!$C$108=0,0, IF(Control!$C$108&lt;&gt;0,1))))</f>
        <v>#N/A</v>
      </c>
      <c r="AY177" s="436" t="e">
        <f t="shared" ca="1" si="595"/>
        <v>#N/A</v>
      </c>
      <c r="AZ177" s="436" t="e">
        <f ca="1">IF(AND(Control!$B$18=1,$EB177&gt;Control!$B$19),$AZ176+1, IF(AND(Control!$B$18=2, $AW177=1, $EB177&gt;$DS177), $AZ176+1,$AZ176))</f>
        <v>#N/A</v>
      </c>
      <c r="BA177" s="587">
        <f>IF(Control!$C$81=0,1,IF($AH177&gt;=Control!$C$82,1,0))</f>
        <v>1</v>
      </c>
      <c r="BB177" s="140" t="e">
        <f ca="1">IF($BA177&gt;$BA176,Control!$C$83,IF($AW177&gt;0,$AW177*Control!$C$84,IF(AND(Control!$B$18=1,EN176&lt;&gt;0),Control!$C$84,0)))</f>
        <v>#N/A</v>
      </c>
      <c r="BC177" s="140" t="e">
        <f t="shared" ca="1" si="596"/>
        <v>#N/A</v>
      </c>
      <c r="BD177" s="140" t="e">
        <f ca="1">BC177*IF(OR($G177&lt;Control!$C$92,$G177&gt;Control!$C$95),0,IF(AND($G177&gt;=Control!$C$92,$G177&lt;=Control!$C$93),$G177-Control!$C$92,IF(AND($G177&gt;Control!$C$93,$G177&lt;=Control!$C$94),Control!$C$93-Control!$C$92,IF(AND($G177&gt;Control!$C$94,$G177&lt;=Control!$C$95),(Control!$C$93-Control!$C$92)*(Control!$C$94-$G177)/(Control!$C$95-Control!$C$94)))))</f>
        <v>#N/A</v>
      </c>
      <c r="BE177" s="140" t="e">
        <f t="shared" ca="1" si="597"/>
        <v>#N/A</v>
      </c>
      <c r="BF177" s="140" t="e">
        <f ca="1">IF($BE177&lt;=Control!$C$86,$BE177,Control!$C$86-$BE177)</f>
        <v>#N/A</v>
      </c>
      <c r="BG177" s="140" t="e">
        <f ca="1">IF(AND($AW177=1,Control!$C$84&lt;9),1,IF($BE177&gt;=Control!$C$86,0,$BC177))</f>
        <v>#N/A</v>
      </c>
      <c r="BH177" s="404" t="e">
        <f ca="1">IF($BG177=0,0,IF($BE177&lt;=Control!$C$86,$BC177*9*($BF177/Control!$C$86),0))</f>
        <v>#N/A</v>
      </c>
      <c r="BI177" s="140" t="e">
        <f ca="1">IF($BG177=1,0,IF($BE177&gt;=Control!$C$86,1,IF(AND($BB177&lt;21,$BB177&gt;=9),1,$BM176)))</f>
        <v>#N/A</v>
      </c>
      <c r="BJ177" s="140" t="e">
        <f ca="1">IF($BF177&lt;0,-$BF177,$BI177*IF(OR($G177&lt;Control!$C$92,$G177&gt;Control!$C$95),0,IF(AND($G177&gt;=Control!$C$92,$G177&lt;=Control!$C$93),$G177-Control!$C$92,IF(AND($G177&gt;Control!$C$93,$G177&lt;=Control!$C$94),Control!$C$93-Control!$C$92,IF(AND($G177&gt;Control!$C$94,$G177&lt;=Control!$C$95),(Control!$C$93-Control!$C$92)*(Control!$C$94-$G177)/(Control!$C$95-Control!$C$94))))))</f>
        <v>#N/A</v>
      </c>
      <c r="BK177" s="140" t="e">
        <f t="shared" ca="1" si="598"/>
        <v>#N/A</v>
      </c>
      <c r="BL177" s="140" t="e">
        <f ca="1">IF($BK177&lt;=Control!$C$87,$BK177,Control!$C$87-$BK177)</f>
        <v>#N/A</v>
      </c>
      <c r="BM177" s="140" t="e">
        <f ca="1">IF(AND($BB177&gt;=9,$BB177&lt;21),1,IF($BK177&gt;=Control!$C$87,0,$BI177))</f>
        <v>#N/A</v>
      </c>
      <c r="BN177" s="404" t="e">
        <f ca="1">IF($BM177=0,0,IF($BK177&lt;=Control!$C$87,$BI177*(9+(21-9)*($BL177/Control!$C$87)),0))</f>
        <v>#N/A</v>
      </c>
      <c r="BO177" s="140" t="e">
        <f ca="1">IF($BM177=1,0,IF($BK177&gt;=Control!$C$87,1,IF(AND($BB177&lt;30,$BB177&gt;=21),1,$BS176)))</f>
        <v>#N/A</v>
      </c>
      <c r="BP177" s="140" t="e">
        <f ca="1">IF($BL177&lt;0,-$BL177,$BO177*IF(OR($G177&lt;Control!$C$92,$G177&gt;Control!$C$95),0,IF(AND($G177&gt;=Control!$C$92,$G177&lt;=Control!$C$93),$G177-Control!$C$92,IF(AND($G177&gt;Control!$C$93,$G177&lt;=Control!$C$94),Control!$C$93-Control!$C$92,IF(AND($G177&gt;Control!$C$94,$G177&lt;=Control!$C$95),(Control!$C$93-Control!$C$92)*(Control!$C$94-$G177)/(Control!$C$95-Control!$C$94))))))</f>
        <v>#N/A</v>
      </c>
      <c r="BQ177" s="140" t="e">
        <f t="shared" ca="1" si="482"/>
        <v>#N/A</v>
      </c>
      <c r="BR177" s="140" t="e">
        <f ca="1">IF($BQ177&lt;=Control!$C$88,$BQ177,Control!$C$88-$BQ177)</f>
        <v>#N/A</v>
      </c>
      <c r="BS177" s="140" t="e">
        <f ca="1">IF(AND($BB177&gt;=21,$BB177&lt;30),1,IF($BQ177&gt;=Control!$C$88,0,$BO177))</f>
        <v>#N/A</v>
      </c>
      <c r="BT177" s="404" t="e">
        <f ca="1">IF($BS177=0,0,IF($BQ177&lt;=Control!$C$88,$BO177*(21+(30-21)*(BR177/Control!$C$88)),0))</f>
        <v>#N/A</v>
      </c>
      <c r="BU177" s="140" t="e">
        <f ca="1">IF(BG177+BM177+BS177=1,0,IF(OR(AND($BB177&lt;60,$BB177&gt;=30),$BQ177&gt;=Control!$C$88),1*$BA177,$BY176))</f>
        <v>#N/A</v>
      </c>
      <c r="BV177" s="140" t="e">
        <f ca="1">IF($BR177&lt;0,-$BR177,$BU177*IF(OR($G177&lt;Control!$C$92,$G177&gt;Control!$C$95),0,IF(AND($G177&gt;=Control!$C$92,$G177&lt;=Control!$C$93),$G177-Control!$C$92,IF(AND($G177&gt;Control!$C$93,$G177&lt;=Control!$C$94),Control!$C$93-Control!$C$92,IF(AND($G177&gt;Control!$C$94,$G177&lt;=Control!$C$95),(Control!$C$93-Control!$C$92)*(Control!$C$94-$G177)/(Control!$C$95-Control!$C$94))))))</f>
        <v>#N/A</v>
      </c>
      <c r="BW177" s="140" t="e">
        <f t="shared" ca="1" si="483"/>
        <v>#N/A</v>
      </c>
      <c r="BX177" s="140" t="e">
        <f ca="1">IF($BW177&lt;=Control!$C$89,$BW177,Control!$C$89-$BW177)</f>
        <v>#N/A</v>
      </c>
      <c r="BY177" s="140" t="e">
        <f ca="1">IF(AND($AJ177&gt;=30,$AJ177&lt;60),1,IF($BW177&gt;=Control!$C$89,0,$BU177))</f>
        <v>#N/A</v>
      </c>
      <c r="BZ177" s="404" t="e">
        <f ca="1">IF($BY177=0,0,IF($BW177&lt;=Control!$C$89,$BU177*(30+(60-30)*(BX177/Control!$C$89)),0))</f>
        <v>#N/A</v>
      </c>
      <c r="CA177" s="140" t="e">
        <f ca="1">IF($BG177+$BM177+$BS177+$BY177=1,0,IF(OR(AND($BB177&lt;65,$BB177&gt;=60),$BW177&gt;=Control!$C$89),1*$BA177,$CE176))</f>
        <v>#N/A</v>
      </c>
      <c r="CB177" s="140" t="e">
        <f ca="1">IF($BX177&lt;0,-$BX177,$CA177*IF(OR($G177&lt;Control!$C$92,$G177&gt;Control!$C$95),0,IF(AND($G177&gt;=Control!$C$92,$G177&lt;=Control!$C$93),$G177-Control!$C$92,IF(AND($G177&gt;Control!$C$93,$G177&lt;=Control!$C$94),Control!$C$93-Control!$C$92,IF(AND($G177&gt;Control!$C$94,$G177&lt;=Control!$C$95),(Control!$C$93-Control!$C$92)*(Control!$C$94-$G177)/(Control!$C$95-Control!$C$94))))))</f>
        <v>#N/A</v>
      </c>
      <c r="CC177" s="140" t="e">
        <f t="shared" ca="1" si="599"/>
        <v>#N/A</v>
      </c>
      <c r="CD177" s="140" t="e">
        <f ca="1">IF($CC177&lt;=Control!$C$90,$CC177,Control!$C$90-$CC177)</f>
        <v>#N/A</v>
      </c>
      <c r="CE177" s="140" t="e">
        <f ca="1">IF(AND($BB177&gt;=60,$BB177&lt;65),1,IF($CC177&gt;=Control!$C$90,0,$CA177))</f>
        <v>#N/A</v>
      </c>
      <c r="CF177" s="404" t="e">
        <f ca="1">IF($CE177=0,0,IF($CC177&lt;=Control!$C$90,$CA177*(60+(65-60)*(CD177/Control!$C$90)),0))</f>
        <v>#N/A</v>
      </c>
      <c r="CG177" s="140" t="e">
        <f ca="1">IF($BG177+$BM177+$BS177+$BY177+$CE177=1,0,IF(OR(AND($BB177&lt;90,$BB177&gt;=65),$CC177&gt;=Control!$C$90),$BA177,$CK176))</f>
        <v>#N/A</v>
      </c>
      <c r="CH177" s="140" t="e">
        <f ca="1">IF($CD177&lt;0,-$CD177,$CG177*IF(OR($G177&lt;Control!$C$92,$G177&gt;Control!$C$95),0,IF(AND($G177&gt;=Control!$C$92,$G177&lt;=Control!$C$93),$G177-Control!$C$92,IF(AND($G177&gt;Control!$C$93,$G177&lt;=Control!$C$94),Control!$C$93-Control!$C$92,IF(AND($G177&gt;Control!$C$94,$G177&lt;=Control!$C$95),(Control!$C$93-Control!$C$92)*(Control!$C$94-$G177)/(Control!$C$95-Control!$C$94))))))</f>
        <v>#N/A</v>
      </c>
      <c r="CI177" s="140" t="e">
        <f t="shared" ca="1" si="600"/>
        <v>#N/A</v>
      </c>
      <c r="CJ177" s="140" t="e">
        <f ca="1">IF($CI177&lt;=Control!$C$91,$CI177,Control!$C$91-$CI177)</f>
        <v>#N/A</v>
      </c>
      <c r="CK177" s="140" t="e">
        <f ca="1">IF(AND($BB177&gt;=65,$BB177&lt;90),1,IF($CI177&gt;=Control!$C$91,0,$CG177))</f>
        <v>#N/A</v>
      </c>
      <c r="CL177" s="404" t="e">
        <f ca="1">IF($CK177=0,0,IF($CI177&lt;=Control!$C$91,$CG177*(65+(90-65)*($CJ177/Control!$C$91)),0))</f>
        <v>#N/A</v>
      </c>
      <c r="CM177" s="140" t="e">
        <f ca="1">IF($BG177+$BM177+$BS177+$BY177+$CE177+$CK177=1,0,IF(OR($BB177&gt;=90,$CI177&gt;=Control!$C$91),$BA177,$CM176))</f>
        <v>#N/A</v>
      </c>
      <c r="CN177" s="140" t="e">
        <f t="shared" ca="1" si="601"/>
        <v>#N/A</v>
      </c>
      <c r="CO177" s="140" t="e">
        <f t="shared" ca="1" si="602"/>
        <v>#N/A</v>
      </c>
      <c r="CP177" s="140" t="e">
        <f t="shared" ca="1" si="603"/>
        <v>#N/A</v>
      </c>
      <c r="CQ177" s="141" t="e">
        <f ca="1">VLOOKUP($CP177,Control!$B$86:$G$91,6)</f>
        <v>#N/A</v>
      </c>
      <c r="CR177" s="141" t="e">
        <f ca="1">(1-$CQ177)*VLOOKUP($CP177,Control!$B$86:$D$91,3)</f>
        <v>#N/A</v>
      </c>
      <c r="CS177" s="141" t="e">
        <f ca="1">(1-$CQ177)*VLOOKUP($CP177,Control!$B$86:$E$91,4)</f>
        <v>#N/A</v>
      </c>
      <c r="CT177" s="141" t="e">
        <f ca="1">(1-$CQ177)*VLOOKUP($CP177,Control!$B$86:$F$91,5)</f>
        <v>#N/A</v>
      </c>
      <c r="CU177" s="141">
        <f t="shared" ca="1" si="604"/>
        <v>0</v>
      </c>
      <c r="CV177" s="583">
        <f t="shared" ca="1" si="605"/>
        <v>0</v>
      </c>
      <c r="CW177" s="142">
        <f t="shared" ca="1" si="606"/>
        <v>173</v>
      </c>
      <c r="CX177" s="612" t="e">
        <f ca="1">IF(Control!$C$114=1,(MIN(Control!$C$120*(IF($NT177-0.01&lt;0,0,1)),Control!$C$119-$CY177)))</f>
        <v>#DIV/0!</v>
      </c>
      <c r="CY177" s="143" t="e">
        <f t="shared" ca="1" si="607"/>
        <v>#N/A</v>
      </c>
      <c r="CZ177" s="144">
        <f t="shared" ca="1" si="484"/>
        <v>0</v>
      </c>
      <c r="DA177" s="144">
        <f t="shared" ca="1" si="485"/>
        <v>0</v>
      </c>
      <c r="DB177" s="144" t="e">
        <f t="shared" ca="1" si="486"/>
        <v>#N/A</v>
      </c>
      <c r="DC177" s="144" t="e">
        <f t="shared" ca="1" si="487"/>
        <v>#N/A</v>
      </c>
      <c r="DD177" s="144" t="e">
        <f t="shared" ca="1" si="692"/>
        <v>#N/A</v>
      </c>
      <c r="DE177" s="143" t="e">
        <f t="shared" ca="1" si="608"/>
        <v>#N/A</v>
      </c>
      <c r="DF177" s="145" t="e">
        <f ca="1">$DR177*EXP(-Control!$C$158*(1-$KH177))</f>
        <v>#N/A</v>
      </c>
      <c r="DG177" s="146" t="e">
        <f ca="1">IF(Control!$C$114=1, $DF177*$EY177, 0)</f>
        <v>#N/A</v>
      </c>
      <c r="DH177" s="147" t="e">
        <f t="shared" ca="1" si="609"/>
        <v>#N/A</v>
      </c>
      <c r="DI177" s="144" t="e">
        <f t="shared" ca="1" si="670"/>
        <v>#N/A</v>
      </c>
      <c r="DJ177" s="147" t="e">
        <f ca="1">$EF177*Control!$C$109</f>
        <v>#N/A</v>
      </c>
      <c r="DK177" s="144" t="e">
        <f t="shared" ca="1" si="610"/>
        <v>#N/A</v>
      </c>
      <c r="DL177" s="144" t="e">
        <f t="shared" ca="1" si="488"/>
        <v>#N/A</v>
      </c>
      <c r="DM177" s="144" t="e">
        <f ca="1">IF(Control!$C$114=1, (1-EXP(-Control!$C$96*$DK177))*$AR177, 0)</f>
        <v>#N/A</v>
      </c>
      <c r="DN177" s="144">
        <f t="shared" ca="1" si="611"/>
        <v>0</v>
      </c>
      <c r="DO177" s="148">
        <f>Control!$C$97</f>
        <v>4</v>
      </c>
      <c r="DP177" s="145" t="e">
        <f t="shared" ca="1" si="612"/>
        <v>#N/A</v>
      </c>
      <c r="DQ177" s="145" t="e">
        <f ca="1">IF(AND($CP177&gt;=0,$CP177&lt;=90),Control!$C$111,Control!$C$111)</f>
        <v>#N/A</v>
      </c>
      <c r="DR177" s="145" t="e">
        <f t="shared" ca="1" si="489"/>
        <v>#N/A</v>
      </c>
      <c r="DS177" s="143" t="e">
        <f ca="1">Control!$B$22/$DR177</f>
        <v>#N/A</v>
      </c>
      <c r="DT177" s="149" t="e">
        <f ca="1">IF(AND(Control!$C$114=1,$KH177&lt;1),$IM177*$DF177, 0)</f>
        <v>#N/A</v>
      </c>
      <c r="DU177" s="144" t="e">
        <f t="shared" ca="1" si="613"/>
        <v>#N/A</v>
      </c>
      <c r="DV177" s="144">
        <f ca="1">IF($G177-Control!$C$107&lt;=0, 0, 0.83*LN(MAX($G177, 3))-0.8924)</f>
        <v>0</v>
      </c>
      <c r="DW177" s="144" t="e">
        <f t="shared" ca="1" si="490"/>
        <v>#N/A</v>
      </c>
      <c r="DX177" s="150" t="e">
        <f ca="1">MAX(0.01*(1+$CU177/Control!$C$102),0.05*($DK177-Control!$C$97)/Control!$C$97)</f>
        <v>#N/A</v>
      </c>
      <c r="DY177" s="151" t="e">
        <f ca="1">IF(Control!$C$114=1, $DI177*$FS177, 0)</f>
        <v>#N/A</v>
      </c>
      <c r="DZ177" s="196" t="e">
        <f t="shared" ca="1" si="614"/>
        <v>#N/A</v>
      </c>
      <c r="EA177" s="152">
        <f t="shared" ca="1" si="615"/>
        <v>173</v>
      </c>
      <c r="EB177" s="153" t="e">
        <f t="shared" ca="1" si="616"/>
        <v>#N/A</v>
      </c>
      <c r="EC177" s="153" t="e">
        <f t="shared" ca="1" si="617"/>
        <v>#N/A</v>
      </c>
      <c r="ED177" s="154" t="e">
        <f ca="1">IF(Control!$C$114=1, $HM177*$FY177-$FD177, 0)</f>
        <v>#DIV/0!</v>
      </c>
      <c r="EE177" s="155" t="e">
        <f ca="1">IF(Control!$C$114=1, $HM177*$FZ177-$FF177, 0)</f>
        <v>#DIV/0!</v>
      </c>
      <c r="EF177" s="153" t="e">
        <f t="shared" ca="1" si="671"/>
        <v>#N/A</v>
      </c>
      <c r="EG177" s="155" t="e">
        <f ca="1">IF(Control!$C$114=1, $GX177*$FW177-$FI177, 0)</f>
        <v>#DIV/0!</v>
      </c>
      <c r="EH177" s="153" t="e">
        <f t="shared" ca="1" si="618"/>
        <v>#N/A</v>
      </c>
      <c r="EI177" s="156" t="e">
        <f t="shared" ca="1" si="619"/>
        <v>#N/A</v>
      </c>
      <c r="EJ177" s="155" t="e">
        <f ca="1">IF(Control!$C$114=1, $HM177*$GB177, 0)</f>
        <v>#DIV/0!</v>
      </c>
      <c r="EK177" s="153" t="e">
        <f t="shared" ca="1" si="672"/>
        <v>#N/A</v>
      </c>
      <c r="EL177" s="153" t="e">
        <f t="shared" ca="1" si="491"/>
        <v>#N/A</v>
      </c>
      <c r="EM177" s="153" t="e">
        <f t="shared" ca="1" si="492"/>
        <v>#N/A</v>
      </c>
      <c r="EN177" s="153" t="e">
        <f ca="1">IF(Control!$C$108=1,IF(AND(Control!$B$18=1,$EB177&gt;=Control!$B$19),$EB177-$DS177,IF(AND(Control!$B$18=2,$AW177=1,$EB177&gt;$DS177),$EB177-$DS177,0)))</f>
        <v>#N/A</v>
      </c>
      <c r="EO177" s="153" t="e">
        <f ca="1">IF(Control!$C$108=1,IF(AND(Control!$B$18=1,$EB177&gt;=Control!$B$19),$EF177,IF(AND(Control!$B$18=2,$AW177=1),$EF177,0)))</f>
        <v>#N/A</v>
      </c>
      <c r="EP177" s="153" t="e">
        <f ca="1">IF(Control!$C$108=1,IF(AND(Control!$B$18=1,$EB177&gt;=Control!$B$19),$EK177,IF(AND(Control!$B$18=2,$AW177=1),$EK177,0)))</f>
        <v>#N/A</v>
      </c>
      <c r="EQ177" s="153" t="e">
        <f t="shared" ca="1" si="620"/>
        <v>#N/A</v>
      </c>
      <c r="ER177" s="153" t="e">
        <f t="shared" ca="1" si="621"/>
        <v>#N/A</v>
      </c>
      <c r="ES177" s="153" t="e">
        <f t="shared" ca="1" si="673"/>
        <v>#N/A</v>
      </c>
      <c r="ET177" s="153" t="e">
        <f t="shared" ca="1" si="674"/>
        <v>#N/A</v>
      </c>
      <c r="EU177" s="153" t="e">
        <f t="shared" ca="1" si="622"/>
        <v>#N/A</v>
      </c>
      <c r="EV177" s="153" t="e">
        <f t="shared" ca="1" si="493"/>
        <v>#N/A</v>
      </c>
      <c r="EW177" s="153" t="e">
        <f t="shared" ca="1" si="494"/>
        <v>#N/A</v>
      </c>
      <c r="EX177" s="153" t="e">
        <f t="shared" ca="1" si="495"/>
        <v>#N/A</v>
      </c>
      <c r="EY177" s="157" t="e">
        <f t="shared" ca="1" si="496"/>
        <v>#DIV/0!</v>
      </c>
      <c r="EZ177" s="154" t="e">
        <f t="shared" ca="1" si="497"/>
        <v>#DIV/0!</v>
      </c>
      <c r="FA177" s="153" t="e">
        <f t="shared" ca="1" si="623"/>
        <v>#N/A</v>
      </c>
      <c r="FB177" s="153" t="e">
        <f t="shared" ca="1" si="498"/>
        <v>#N/A</v>
      </c>
      <c r="FC177" s="193" t="e">
        <f t="shared" ca="1" si="499"/>
        <v>#N/A</v>
      </c>
      <c r="FD177" s="158" t="e">
        <f t="shared" ca="1" si="624"/>
        <v>#N/A</v>
      </c>
      <c r="FE177" s="158" t="e">
        <f t="shared" ca="1" si="625"/>
        <v>#N/A</v>
      </c>
      <c r="FF177" s="159" t="e">
        <f t="shared" ca="1" si="500"/>
        <v>#N/A</v>
      </c>
      <c r="FG177" s="160" t="e">
        <f t="shared" ca="1" si="626"/>
        <v>#N/A</v>
      </c>
      <c r="FH177" s="158" t="e">
        <f t="shared" ca="1" si="627"/>
        <v>#N/A</v>
      </c>
      <c r="FI177" s="159" t="e">
        <f t="shared" ca="1" si="501"/>
        <v>#N/A</v>
      </c>
      <c r="FJ177" s="160" t="e">
        <f t="shared" ca="1" si="628"/>
        <v>#N/A</v>
      </c>
      <c r="FK177" s="160" t="e">
        <f t="shared" ca="1" si="502"/>
        <v>#N/A</v>
      </c>
      <c r="FL177" s="160" t="e">
        <f t="shared" ca="1" si="675"/>
        <v>#N/A</v>
      </c>
      <c r="FM177" s="160" t="e">
        <f t="shared" ca="1" si="503"/>
        <v>#N/A</v>
      </c>
      <c r="FN177" s="158">
        <f t="shared" ca="1" si="629"/>
        <v>0.01</v>
      </c>
      <c r="FO177" s="160">
        <f>Control!$C$101</f>
        <v>50</v>
      </c>
      <c r="FP177" s="150" t="e">
        <f t="shared" ca="1" si="504"/>
        <v>#N/A</v>
      </c>
      <c r="FQ177" s="150" t="e">
        <f ca="1">MAX(0,(Control!$C$112*(($DK177-Control!$C$97)/Control!$C$97)))</f>
        <v>#N/A</v>
      </c>
      <c r="FR177" s="150" t="e">
        <f ca="1">(1-$NT177)*Control!$C$113</f>
        <v>#DIV/0!</v>
      </c>
      <c r="FS177" s="198" t="e">
        <f t="shared" ca="1" si="505"/>
        <v>#N/A</v>
      </c>
      <c r="FT177" s="161">
        <f t="shared" ca="1" si="630"/>
        <v>173</v>
      </c>
      <c r="FU177" s="162" t="e">
        <f ca="1">IF(Control!$B$34=1,VLOOKUP($CP177,Control!$B$86:$G$91,6),Control!$B$35)</f>
        <v>#N/A</v>
      </c>
      <c r="FV177" s="162" t="e">
        <f t="shared" ca="1" si="506"/>
        <v>#DIV/0!</v>
      </c>
      <c r="FW177" s="162" t="e">
        <f ca="1">IF(Control!$B$31=1,$FU177*$FV177,  $FU177)</f>
        <v>#N/A</v>
      </c>
      <c r="FX177" s="162" t="e">
        <f ca="1">IF(Control!$B$34=1,VLOOKUP($CP177,Control!$B$86:$G$91,3),Control!$B$36)</f>
        <v>#N/A</v>
      </c>
      <c r="FY177" s="162" t="e">
        <f t="shared" ca="1" si="507"/>
        <v>#N/A</v>
      </c>
      <c r="FZ177" s="162" t="e">
        <f ca="1">IF(Control!$B$34=1,VLOOKUP($CP177,Control!$B$86:$G$91,4),Control!$B$37)</f>
        <v>#N/A</v>
      </c>
      <c r="GA177" s="162" t="e">
        <f t="shared" ca="1" si="508"/>
        <v>#N/A</v>
      </c>
      <c r="GB177" s="162" t="e">
        <f ca="1">IF(Control!$B$34=1,VLOOKUP($CP177,Control!$B$86:$G$91,5),Control!$B$38)</f>
        <v>#N/A</v>
      </c>
      <c r="GC177" s="162" t="e">
        <f t="shared" ca="1" si="631"/>
        <v>#N/A</v>
      </c>
      <c r="GD177" s="162">
        <f t="shared" ca="1" si="509"/>
        <v>1</v>
      </c>
      <c r="GE177" s="162">
        <f t="shared" ca="1" si="510"/>
        <v>1</v>
      </c>
      <c r="GF177" s="162">
        <f ca="1">IF(AND(Control!$C$104=1, Control!$C$62="F"),$GE177,1)</f>
        <v>1</v>
      </c>
      <c r="GG177" s="162" t="e">
        <f ca="1">IF(Control!$B$16=40,0,IF(AND(Control!$B$16&gt;40,Control!$B$16&lt;=360),(Control!$B$16-40)*((1-0)/(360-40)),IF(AND(Control!$B$16&gt;360,Control!$B$16&lt;=720),(1+(Control!$B$16-360)*((1.25-1)/(720-360))),IF(AND(Control!$B$16&gt;720,Control!$B$16&lt;=1000),(1.25+(Control!$B$16-720)*((1.35-1.25)/(1000-720))),IF(AND(Control!$B$16&gt;1000,Control!$B$16&lt;=2000),(1.35+(Control!$B$16-1000)*0))))))</f>
        <v>#N/A</v>
      </c>
      <c r="GH177" s="162" t="e">
        <f t="shared" ca="1" si="511"/>
        <v>#N/A</v>
      </c>
      <c r="GI177" s="162">
        <f t="shared" ca="1" si="632"/>
        <v>0</v>
      </c>
      <c r="GJ177" s="162">
        <f t="shared" ca="1" si="512"/>
        <v>0</v>
      </c>
      <c r="GK177" s="162">
        <f t="shared" ca="1" si="633"/>
        <v>1</v>
      </c>
      <c r="GL177" s="162">
        <f t="shared" ca="1" si="513"/>
        <v>1</v>
      </c>
      <c r="GM177" s="162" t="e">
        <f ca="1">MAX(0,MIN(1,1-Control!$C$156*(1.0001-$KH177)^2))</f>
        <v>#N/A</v>
      </c>
      <c r="GN177" s="162" t="e">
        <f ca="1">IF(Control!$B$26=1,$KU177,$KX177)</f>
        <v>#N/A</v>
      </c>
      <c r="GO177" s="162" t="e">
        <f ca="1">IF($CP177&lt;=60,Control!$C$105,IF($CP177&gt;=90,Control!$C$106,Control!$C$105+($CP177-60)*((Control!$C$106-Control!$C$105)/(90-60))))</f>
        <v>#N/A</v>
      </c>
      <c r="GP177" s="162" t="e">
        <f t="shared" ca="1" si="514"/>
        <v>#N/A</v>
      </c>
      <c r="GQ177" s="162" t="e">
        <f t="shared" ca="1" si="634"/>
        <v>#N/A</v>
      </c>
      <c r="GR177" s="163" t="e">
        <f t="shared" ca="1" si="515"/>
        <v>#DIV/0!</v>
      </c>
      <c r="GS177" s="162" t="e">
        <f t="shared" ca="1" si="516"/>
        <v>#DIV/0!</v>
      </c>
      <c r="GT177" s="164" t="e">
        <f t="shared" ca="1" si="635"/>
        <v>#N/A</v>
      </c>
      <c r="GU177" s="162" t="e">
        <f t="shared" ca="1" si="636"/>
        <v>#N/A</v>
      </c>
      <c r="GV177" s="162" t="e">
        <f t="shared" ca="1" si="517"/>
        <v>#N/A</v>
      </c>
      <c r="GW177" s="162" t="e">
        <f t="shared" ca="1" si="518"/>
        <v>#DIV/0!</v>
      </c>
      <c r="GX177" s="162" t="e">
        <f t="shared" ca="1" si="637"/>
        <v>#DIV/0!</v>
      </c>
      <c r="GY177" s="162" t="e">
        <f t="shared" ca="1" si="638"/>
        <v>#DIV/0!</v>
      </c>
      <c r="GZ177" s="165" t="e">
        <f t="shared" ca="1" si="519"/>
        <v>#N/A</v>
      </c>
      <c r="HA177" s="162" t="e">
        <f ca="1">IF(Control!$C$114=1, $DI177*$FS177, 0)</f>
        <v>#N/A</v>
      </c>
      <c r="HB177" s="162" t="e">
        <f ca="1">$FA177/Control!$C$64</f>
        <v>#N/A</v>
      </c>
      <c r="HC177" s="162" t="e">
        <f t="shared" ca="1" si="520"/>
        <v>#DIV/0!</v>
      </c>
      <c r="HD177" s="162">
        <f ca="1">-ASIN(SIN(23.45*Control!$C$139)*COS(2*Control!$C$138*($AH177+10)/365))</f>
        <v>0.40926457175226955</v>
      </c>
      <c r="HE177" s="165">
        <f t="shared" ca="1" si="639"/>
        <v>0</v>
      </c>
      <c r="HF177" s="166">
        <f ca="1">IF(AND(Control!$C$61="T",$HE177&gt;=Control!$C$103,Control!$C$114=0),$AH177,Control!$C$59)</f>
        <v>1</v>
      </c>
      <c r="HG177" s="166">
        <f ca="1">IF(AND(Control!$C$61="T",$HE177&gt;=Control!$C$103,Control!$C$114=0),$HF177,Control!$C$59)</f>
        <v>1</v>
      </c>
      <c r="HH177" s="165">
        <f ca="1">IF(AND(OR(Control!$C$60&lt;=0, $AH177= Control!$C$59, Control!$C$60 &gt;0, $AH177 = Control!$C$60)), Control!$C$59, IF(Control!$C$60&gt;0, 0))</f>
        <v>1</v>
      </c>
      <c r="HI177" s="165">
        <f ca="1">IF(AND(OR(Control!$C$60&lt;=0, $AH177= Control!$C$59, Control!$C$60 &gt;0, $AH177 = Control!$C$60)), Control!$C$60, IF(Control!$C$60&lt;=0, 0))</f>
        <v>0</v>
      </c>
      <c r="HJ177" s="166">
        <f ca="1">IF(AND(Control!$C$62="F",$CV177&gt;=Control!$C$102),$AH177,0)</f>
        <v>0</v>
      </c>
      <c r="HK177" s="165" t="e">
        <f t="shared" ca="1" si="676"/>
        <v>#N/A</v>
      </c>
      <c r="HL177" s="166">
        <f ca="1">IF(AND(Control!$C$61="T",$HE177&gt;=Control!$C$103,Control!$C$114=0),$HF177,0)</f>
        <v>0</v>
      </c>
      <c r="HM177" s="201" t="e">
        <f t="shared" ca="1" si="521"/>
        <v>#DIV/0!</v>
      </c>
      <c r="HN177" s="215">
        <f t="shared" ca="1" si="640"/>
        <v>173</v>
      </c>
      <c r="HO177" s="216" t="e">
        <f ca="1">IF(AND($CP177&gt;=0, $CP177&lt;=90), Control!$C$152, Control!$C$152)</f>
        <v>#N/A</v>
      </c>
      <c r="HP177" s="216" t="e">
        <f t="shared" ca="1" si="522"/>
        <v>#N/A</v>
      </c>
      <c r="HQ177" s="217" t="e">
        <f ca="1">IF(OR(Control!$B$26=1,Control!$B$26=2),$KV177,$KS177)</f>
        <v>#DIV/0!</v>
      </c>
      <c r="HR177" s="218" t="e">
        <f t="shared" ca="1" si="677"/>
        <v>#DIV/0!</v>
      </c>
      <c r="HS177" s="216" t="e">
        <f ca="1">Control!$C$154*$HP177</f>
        <v>#N/A</v>
      </c>
      <c r="HT177" s="216" t="e">
        <f ca="1">Control!$C$155*$HP177</f>
        <v>#N/A</v>
      </c>
      <c r="HU177" s="217" t="e">
        <f ca="1">Control!$C$161*$FI177</f>
        <v>#N/A</v>
      </c>
      <c r="HV177" s="218" t="e">
        <f t="shared" ca="1" si="641"/>
        <v>#N/A</v>
      </c>
      <c r="HW177" s="218" t="e">
        <f ca="1">Control!$C$160*$FF177+$IP177*$EO177</f>
        <v>#N/A</v>
      </c>
      <c r="HX177" s="218" t="e">
        <f t="shared" ca="1" si="678"/>
        <v>#N/A</v>
      </c>
      <c r="HY177" s="219" t="e">
        <f ca="1">IF(Control!$C$114=1, $EB177*$FS177, 0)</f>
        <v>#N/A</v>
      </c>
      <c r="HZ177" s="91" t="e">
        <f t="shared" ca="1" si="523"/>
        <v>#N/A</v>
      </c>
      <c r="IA177" s="220" t="e">
        <f ca="1">Control!$C$153*$HO177</f>
        <v>#N/A</v>
      </c>
      <c r="IB177" s="218" t="e">
        <f t="shared" ca="1" si="524"/>
        <v>#N/A</v>
      </c>
      <c r="IC177" s="220" t="e">
        <f ca="1">Control!$C$153*$HT177</f>
        <v>#N/A</v>
      </c>
      <c r="ID177" s="218" t="e">
        <f t="shared" ca="1" si="525"/>
        <v>#N/A</v>
      </c>
      <c r="IE177" s="221" t="e">
        <f ca="1">($EB177*Control!$C$159+$EF177*Control!$C$160)/(IF($GZ177&lt;&gt;0,$GZ177,1))</f>
        <v>#N/A</v>
      </c>
      <c r="IF177" s="216" t="e">
        <f t="shared" ca="1" si="526"/>
        <v>#N/A</v>
      </c>
      <c r="IG177" s="91">
        <f ca="1">IF(OR(Control!$B$198=$AH177,Control!$B$199=$AH177, Control!$B$200=$AH177, Control!$B$201=$AH177, Control!$B$202=$AH177, Control!$B$203=$AH177, Control!$B$204=$AH177, Control!$B$205=$AH177, Control!$B$206=$AH177, Control!$B$207=$AH177), 1, 0)</f>
        <v>0</v>
      </c>
      <c r="IH177" s="91">
        <f ca="1">IF($IG177=0,0, VLOOKUP($AH177,Control!$B$198:$C$207,2))</f>
        <v>0</v>
      </c>
      <c r="II177" s="222">
        <f t="shared" ca="1" si="642"/>
        <v>0</v>
      </c>
      <c r="IJ177" s="91">
        <f>Control!$C$121</f>
        <v>0.7</v>
      </c>
      <c r="IK177" s="218">
        <f t="shared" ca="1" si="527"/>
        <v>0</v>
      </c>
      <c r="IL177" s="217" t="e">
        <f t="shared" ca="1" si="679"/>
        <v>#N/A</v>
      </c>
      <c r="IM177" s="223" t="e">
        <f ca="1">IF(AND(Control!$C$114=1,$KH177&lt;1),$EB177*Control!$C$148*(1-$KH177), 0)</f>
        <v>#N/A</v>
      </c>
      <c r="IN177" s="217" t="e">
        <f t="shared" ca="1" si="528"/>
        <v>#DIV/0!</v>
      </c>
      <c r="IO177" s="91" t="e">
        <f ca="1">MAX(0,$IL177-$EF177*Control!$C$160)</f>
        <v>#N/A</v>
      </c>
      <c r="IP177" s="220" t="e">
        <f t="shared" ca="1" si="529"/>
        <v>#N/A</v>
      </c>
      <c r="IQ177" s="217" t="e">
        <f t="shared" ca="1" si="643"/>
        <v>#N/A</v>
      </c>
      <c r="IR177" s="218" t="e">
        <f t="shared" ca="1" si="530"/>
        <v>#N/A</v>
      </c>
      <c r="IS177" s="217" t="e">
        <f ca="1">Control!$C$159*MAX(0,$FD177-$EN177)</f>
        <v>#N/A</v>
      </c>
      <c r="IT177" s="217" t="e">
        <f t="shared" ca="1" si="680"/>
        <v>#N/A</v>
      </c>
      <c r="IU177" s="217" t="e">
        <f t="shared" ca="1" si="644"/>
        <v>#N/A</v>
      </c>
      <c r="IV177" s="217" t="e">
        <f t="shared" ca="1" si="681"/>
        <v>#N/A</v>
      </c>
      <c r="IW177" s="217" t="e">
        <f ca="1">IF(OR($AW177=1,AND($AW177=0, Control!$B$18=1,$EN177&lt;&gt;0)), $IQ177-$IU177, $IQ177)</f>
        <v>#N/A</v>
      </c>
      <c r="IX177" s="218" t="e">
        <f t="shared" ca="1" si="531"/>
        <v>#N/A</v>
      </c>
      <c r="IY177" s="218" t="e">
        <f ca="1">MAX(0,$IQ177-$EB177*Control!$C$159)</f>
        <v>#N/A</v>
      </c>
      <c r="IZ177" s="218" t="e">
        <f t="shared" ca="1" si="532"/>
        <v>#N/A</v>
      </c>
      <c r="JA177" s="216" t="e">
        <f t="shared" ca="1" si="533"/>
        <v>#N/A</v>
      </c>
      <c r="JB177" s="217" t="e">
        <f t="shared" ca="1" si="534"/>
        <v>#N/A</v>
      </c>
      <c r="JC177" s="222" t="e">
        <f ca="1">MAX(Control!$C$157*$EK177-$JT177, 0)/Control!$C$162</f>
        <v>#N/A</v>
      </c>
      <c r="JD177" s="218" t="e">
        <f t="shared" ca="1" si="535"/>
        <v>#N/A</v>
      </c>
      <c r="JE177" s="218" t="e">
        <f t="shared" ca="1" si="536"/>
        <v>#N/A</v>
      </c>
      <c r="JF177" s="218" t="e">
        <f t="shared" ca="1" si="645"/>
        <v>#N/A</v>
      </c>
      <c r="JG177" s="218" t="e">
        <f t="shared" ca="1" si="537"/>
        <v>#N/A</v>
      </c>
      <c r="JH177" s="217" t="e">
        <f t="shared" ca="1" si="646"/>
        <v>#N/A</v>
      </c>
      <c r="JI177" s="217" t="e">
        <f t="shared" ca="1" si="647"/>
        <v>#N/A</v>
      </c>
      <c r="JJ177" s="217" t="e">
        <f t="shared" ca="1" si="682"/>
        <v>#N/A</v>
      </c>
      <c r="JK177" s="217" t="e">
        <f ca="1">IF(Control!$C$114=1,IF(Control!$B$24=0,MAX(0,$JI177)*$GN177/Control!$C$64,(MAX(0,MIN($JI177,$JJ177*$GN177/Control!$C$64),0))))</f>
        <v>#N/A</v>
      </c>
      <c r="JL177" s="217" t="e">
        <f ca="1">$IK177/Control!$C$64-$JK177+$HQ177</f>
        <v>#N/A</v>
      </c>
      <c r="JM177" s="217" t="e">
        <f ca="1">IF(Control!$C$114=1,($JB177/(IF($JI177&lt;&gt;0,$JI177,1)))*$JK177,0)</f>
        <v>#N/A</v>
      </c>
      <c r="JN177" s="217" t="e">
        <f ca="1">IF(Control!$C$114=1,($JG177/(IF($JI177&lt;&gt;0,$JI177,1)))*$JK177, 0)</f>
        <v>#N/A</v>
      </c>
      <c r="JO177" s="218" t="e">
        <f t="shared" ca="1" si="538"/>
        <v>#N/A</v>
      </c>
      <c r="JP177" s="218" t="e">
        <f ca="1">MIN(($IY177+$IO177)*Control!$C$151, $JF177-$EH177*Control!$C$161)</f>
        <v>#N/A</v>
      </c>
      <c r="JQ177" s="218" t="e">
        <f t="shared" ca="1" si="539"/>
        <v>#N/A</v>
      </c>
      <c r="JR177" s="217" t="e">
        <f ca="1">IF($CP177-Control!$C$150&lt;0, 0, $JQ177/Control!$C$162)</f>
        <v>#N/A</v>
      </c>
      <c r="JS177" s="218" t="e">
        <f t="shared" ca="1" si="540"/>
        <v>#N/A</v>
      </c>
      <c r="JT177" s="218" t="e">
        <f t="shared" ca="1" si="648"/>
        <v>#N/A</v>
      </c>
      <c r="JU177" s="218" t="e">
        <f t="shared" ca="1" si="541"/>
        <v>#N/A</v>
      </c>
      <c r="JV177" s="218" t="e">
        <f t="shared" ca="1" si="542"/>
        <v>#N/A</v>
      </c>
      <c r="JW177" s="216" t="e">
        <f t="shared" ca="1" si="543"/>
        <v>#N/A</v>
      </c>
      <c r="JX177" s="91" t="e">
        <f t="shared" ca="1" si="544"/>
        <v>#N/A</v>
      </c>
      <c r="JY177" s="218" t="e">
        <f t="shared" ca="1" si="545"/>
        <v>#N/A</v>
      </c>
      <c r="JZ177" s="217" t="e">
        <f ca="1">IF(Control!$C$114=1,($IZ177/(IF($JI177&lt;&gt;0,$JI177,1)))*$JK177, 0)</f>
        <v>#N/A</v>
      </c>
      <c r="KA177" s="218" t="e">
        <f t="shared" ca="1" si="683"/>
        <v>#N/A</v>
      </c>
      <c r="KB177" s="218" t="e">
        <f t="shared" ca="1" si="649"/>
        <v>#N/A</v>
      </c>
      <c r="KC177" s="218" t="e">
        <f t="shared" ca="1" si="546"/>
        <v>#N/A</v>
      </c>
      <c r="KD177" s="218" t="e">
        <f t="shared" ca="1" si="547"/>
        <v>#N/A</v>
      </c>
      <c r="KE177" s="218" t="e">
        <f t="shared" ca="1" si="548"/>
        <v>#N/A</v>
      </c>
      <c r="KF177" s="218" t="e">
        <f t="shared" ca="1" si="549"/>
        <v>#N/A</v>
      </c>
      <c r="KG177" s="216" t="e">
        <f t="shared" ca="1" si="550"/>
        <v>#N/A</v>
      </c>
      <c r="KH177" s="221" t="e">
        <f ca="1">IF(Control!$B$24=0,1,MAX(0.001,MIN(1,IF(($IF177-$IE177)&lt;&gt;0,($KG177-$IE177)/($IF177-$IE177),1))))</f>
        <v>#N/A</v>
      </c>
      <c r="KI177" s="222" t="e">
        <f ca="1">IF(Control!$C$114=1, $KI176+ $KH176, 0)</f>
        <v>#N/A</v>
      </c>
      <c r="KJ177" s="217" t="e">
        <f t="shared" ca="1" si="551"/>
        <v>#N/A</v>
      </c>
      <c r="KK177" s="218" t="e">
        <f t="shared" ca="1" si="552"/>
        <v>#N/A</v>
      </c>
      <c r="KL177" s="274" t="e">
        <f ca="1">IF(Control!$B$26=3,4000000000*EXP(-8400/($G177+273)),IF(Control!$B$26=4,4000000000*EXP(-8400/($G177+273))*($KT177),0))</f>
        <v>#DIV/0!</v>
      </c>
      <c r="KM177" s="274" t="e">
        <f ca="1">IF(Control!$B$26=3,5600000000000*EXP(-9800/($G177+273)),IF(Control!$B$26=4,5600000000000*EXP(-9800/($G177+273))*$KT177,0))</f>
        <v>#DIV/0!</v>
      </c>
      <c r="KN177" s="454" t="e">
        <f t="shared" ca="1" si="650"/>
        <v>#DIV/0!</v>
      </c>
      <c r="KO177" s="274" t="e">
        <f t="shared" ca="1" si="651"/>
        <v>#DIV/0!</v>
      </c>
      <c r="KP177" s="454" t="e">
        <f t="shared" ca="1" si="553"/>
        <v>#DIV/0!</v>
      </c>
      <c r="KQ177" s="454" t="e">
        <f t="shared" ca="1" si="554"/>
        <v>#DIV/0!</v>
      </c>
      <c r="KR177" s="454" t="e">
        <f t="shared" ca="1" si="555"/>
        <v>#DIV/0!</v>
      </c>
      <c r="KS177" s="454" t="e">
        <f t="shared" ca="1" si="556"/>
        <v>#DIV/0!</v>
      </c>
      <c r="KT177" s="455" t="e">
        <f t="shared" ca="1" si="557"/>
        <v>#DIV/0!</v>
      </c>
      <c r="KU177" s="456" t="e">
        <f ca="1">IF($CP177-Control!$C$149&lt;0, IF($NT177-0.01&lt;0,0,1),0)</f>
        <v>#N/A</v>
      </c>
      <c r="KV177" s="456" t="e">
        <f ca="1">IF(Control!$C$114=1,MAX(0,MIN(Control!$C$125*$KW177*$GN177,$KW177)))</f>
        <v>#DIV/0!</v>
      </c>
      <c r="KW177" s="456" t="e">
        <f t="shared" ca="1" si="684"/>
        <v>#DIV/0!</v>
      </c>
      <c r="KX177" s="457" t="e">
        <f ca="1">IF($CP177-Control!$C$149&lt;0, IF($MR177-$OM177&lt;0,0,1),0)</f>
        <v>#N/A</v>
      </c>
      <c r="KY177" s="167">
        <f t="shared" ca="1" si="652"/>
        <v>173</v>
      </c>
      <c r="KZ177" s="168">
        <f ca="1">1370*(1+0.033*COS(2*Control!$C$138*$AH177/365))</f>
        <v>1325.3931435965344</v>
      </c>
      <c r="LA177" s="169">
        <f t="shared" ca="1" si="653"/>
        <v>0.96744028821457528</v>
      </c>
      <c r="LB177" s="169">
        <f t="shared" ca="1" si="654"/>
        <v>0.40893906975999411</v>
      </c>
      <c r="LC177" s="169">
        <f ca="1">ACOS(-TAN((2*Control!$B$8/360))*TAN(Calculations!$LB177))</f>
        <v>1.699954175996909</v>
      </c>
      <c r="LD177" s="169">
        <f ca="1">((24*60)/PI())*0.082*$LA177*(($LC177*SIN(Control!$B$8*2*PI()/360))*SIN($LB177)+COS(Control!$B$8*2*PI()/360)*COS($LB177)*SIN($LC177))</f>
        <v>39.738731638841401</v>
      </c>
      <c r="LE177" s="170">
        <f t="shared" ca="1" si="558"/>
        <v>41.457419975716974</v>
      </c>
      <c r="LF177" s="170">
        <f ca="1">SIN(Control!$C$139*Control!$B$8)*SIN($HD177)</f>
        <v>0.31357737720921108</v>
      </c>
      <c r="LG177" s="170">
        <f ca="1">COS(Control!$C$139*Control!$B$8)*COS($HD177)</f>
        <v>0.56481475211566867</v>
      </c>
      <c r="LH177" s="170">
        <f ca="1">12*(1+2*ASIN(MAX(-1,MIN(1,$LF177/$LG177))/Control!$C$138))</f>
        <v>16.263692812997142</v>
      </c>
      <c r="LI177" s="170">
        <f ca="1">12*(1+2*ASIN(MAX(-1,MIN(1,(-SIN(-4*Control!$C$139)+$LF177)/$LG177))/Control!$C$138))</f>
        <v>17.225996707005333</v>
      </c>
      <c r="LJ177" s="168">
        <f ca="1">3600*($LH177*$LF177+24*$LG177*SQRT(1-$LK177*$LK177)/Control!$C$138)</f>
        <v>31279.337890054081</v>
      </c>
      <c r="LK177" s="170">
        <f t="shared" ca="1" si="559"/>
        <v>0.5551862376728316</v>
      </c>
      <c r="LL177" s="170">
        <f t="shared" ca="1" si="560"/>
        <v>0</v>
      </c>
      <c r="LM177" s="171">
        <f ca="1">Control!$C$145*$AB177</f>
        <v>6.6660906138995932E-2</v>
      </c>
      <c r="LN177" s="170">
        <f t="shared" ca="1" si="655"/>
        <v>0.54</v>
      </c>
      <c r="LO177" s="170">
        <f t="shared" ca="1" si="561"/>
        <v>0</v>
      </c>
      <c r="LP177" s="170">
        <f ca="1">Control!$C$140*((($D177+273.16)^4+($E177+273.16)^4)/2)*(0.34-0.14*SQRT($Y177))*(1.35*$AQ177/(0.75*$LD177)-0.35)</f>
        <v>-3.2464704755046001</v>
      </c>
      <c r="LQ177" s="170">
        <f ca="1">Control!$C$140*($G177+273)^4*(0.56-0.079*SQRT($Y177*10))*(0.1+0.9*$LO177)</f>
        <v>1.5241745131704001</v>
      </c>
      <c r="LR177" s="170">
        <f ca="1">$AQ177*(1-Control!$C$142)-$LQ177</f>
        <v>-1.5241745131704001</v>
      </c>
      <c r="LS177" s="170">
        <f ca="1">$AQ177*(1-Control!$C$143)-$LQ177</f>
        <v>-1.5241745131704001</v>
      </c>
      <c r="LT177" s="170">
        <f ca="1">$AQ177*(1-Control!$C$144)-$LQ177</f>
        <v>-1.5241745131704001</v>
      </c>
      <c r="LU177" s="169">
        <f ca="1">(1-Control!$C$144)*AQ177-LP177</f>
        <v>3.2464704755046001</v>
      </c>
      <c r="LV177" s="172">
        <f t="shared" ca="1" si="562"/>
        <v>0.79430000000000012</v>
      </c>
      <c r="LW177" s="170">
        <f t="shared" ca="1" si="563"/>
        <v>1.5886000000000002</v>
      </c>
      <c r="LX177" s="170">
        <f ca="1">($AC177*($LR177/Control!$C$141)+$LM177*$LV177)/($AC177+$LM177)</f>
        <v>0.23530094218323697</v>
      </c>
      <c r="LY177" s="170">
        <f ca="1">($AC177*($LS177/Control!$C$141)+$LM177*$LV177)/($AC177+$LM177)</f>
        <v>0.23530094218323697</v>
      </c>
      <c r="LZ177" s="170">
        <f t="shared" ca="1" si="564"/>
        <v>0.23530094218323697</v>
      </c>
      <c r="MA177" s="170">
        <f t="shared" ca="1" si="565"/>
        <v>0.23530094218323697</v>
      </c>
      <c r="MB177" s="170" t="e">
        <f t="shared" ca="1" si="566"/>
        <v>#N/A</v>
      </c>
      <c r="MC177" s="170">
        <f t="shared" ca="1" si="656"/>
        <v>0.6018</v>
      </c>
      <c r="MD177" s="170">
        <f t="shared" ca="1" si="567"/>
        <v>0.52989392535414004</v>
      </c>
      <c r="ME177" s="170">
        <f ca="1">($AC177*($LT177/Control!$C$141)+$LM177*$LW177)/($AC177+$LM177)</f>
        <v>0.71612369323045078</v>
      </c>
      <c r="MF177" s="170" t="e">
        <f ca="1">IF(Control!$B$16&gt;=1000,0.92,IF(AND(720&lt;=Control!$B$16,1000&gt;Control!$B$16),(0.95+(Control!$B$16-720)*((0.92-0.95)/(1000-720))),IF(AND(360&lt;=Control!$B$16,720&gt;Control!$B$16),(1+(Control!$B$16-360)*((0.95-1)/(720-360))),IF(AND(40&lt;=Control!$B$16,360&gt;Control!$B$16),(1.05+(Control!$B$16-40)*((1.05-1)/(360-40)))))))</f>
        <v>#N/A</v>
      </c>
      <c r="MG177" s="170">
        <f t="shared" ca="1" si="568"/>
        <v>0.71612369323045078</v>
      </c>
      <c r="MH177" s="170" t="e">
        <f t="shared" ca="1" si="694"/>
        <v>#N/A</v>
      </c>
      <c r="MI177" s="170" t="e">
        <f t="shared" ca="1" si="694"/>
        <v>#N/A</v>
      </c>
      <c r="MJ177" s="170" t="e">
        <f ca="1">MAX(0.0001, Control!$C$132*$MI177*$DL177)</f>
        <v>#N/A</v>
      </c>
      <c r="MK177" s="170">
        <f ca="1">1/(0.76+1.5*($MG177/10))-(5-Control!$C$110)*0.1</f>
        <v>1.002845988140797</v>
      </c>
      <c r="ML177" s="173">
        <f ca="1">IF(Control!$C$110&lt;3,$MK177+($MG177-0.6)/(Control!$C$110*(Control!$C$110+3)), MAX(0.1, MIN(0.95,$MK177)))</f>
        <v>0.95</v>
      </c>
      <c r="MM177" s="173">
        <f ca="1">IF(Control!$C$110&lt;3,$MK177+(($MI177/10)-0.6)/(Control!$C$110*(Control!$C$110+3)), MAX(0.1, MIN(0.95,$MK177)))</f>
        <v>0.95</v>
      </c>
      <c r="MN177" s="173">
        <f ca="1">(1-$MM177)*(Control!$C$128-Control!$C$127)+Control!$C$127</f>
        <v>0.16</v>
      </c>
      <c r="MO177" s="170" t="e">
        <f ca="1">MAX(0,MIN(1,($MS177-Control!$C$127)/($MN177-Control!$C$127)))</f>
        <v>#DIV/0!</v>
      </c>
      <c r="MP177" s="173" t="e">
        <f ca="1">1/(0.76+1.5*$MI177)-(5-Control!$C$110)*0.1</f>
        <v>#N/A</v>
      </c>
      <c r="MQ177" s="172" t="e">
        <f t="shared" ca="1" si="685"/>
        <v>#DIV/0!</v>
      </c>
      <c r="MR177" s="168" t="e">
        <f t="shared" ca="1" si="657"/>
        <v>#DIV/0!</v>
      </c>
      <c r="MS177" s="173" t="e">
        <f ca="1">MAX(Control!$C$127, MIN(Control!$C$135, $MR177/MAX(0.0001,$CY177)))</f>
        <v>#DIV/0!</v>
      </c>
      <c r="MT177" s="168" t="e">
        <f ca="1">(Control!$C$128-$MS177)*Control!$C$74</f>
        <v>#DIV/0!</v>
      </c>
      <c r="MU177" s="168" t="e">
        <f ca="1">(Control!$C$135-$MS177)*Control!$C$74</f>
        <v>#DIV/0!</v>
      </c>
      <c r="MV177" s="168" t="e">
        <f t="shared" ca="1" si="658"/>
        <v>#DIV/0!</v>
      </c>
      <c r="MW177" s="168" t="e">
        <f t="shared" ca="1" si="659"/>
        <v>#DIV/0!</v>
      </c>
      <c r="MX177" s="171" t="e">
        <f ca="1">MAX(Control!$C$127, MIN(Control!$C$135, $MW177/MAX(0.0001,Control!$C$119-$CY177)))</f>
        <v>#DIV/0!</v>
      </c>
      <c r="MY177" s="54" t="e">
        <f ca="1">IF(Control!$C$114=1, $CX177*$MX177, 0)</f>
        <v>#DIV/0!</v>
      </c>
      <c r="MZ177" s="54" t="e">
        <f t="shared" ca="1" si="660"/>
        <v>#N/A</v>
      </c>
      <c r="NA177" s="168" t="e">
        <f ca="1">(Control!$C$128-$MX177)*(Control!$C$119-Control!$C$74)</f>
        <v>#DIV/0!</v>
      </c>
      <c r="NB177" s="168" t="e">
        <f ca="1">(Control!$C$135-$MX177)*(Control!$C$119-Control!$C$74)</f>
        <v>#DIV/0!</v>
      </c>
      <c r="NC177" s="174" t="e">
        <f t="shared" ca="1" si="661"/>
        <v>#DIV/0!</v>
      </c>
      <c r="ND177" s="54">
        <f ca="1">IF(Control!$C$58=2, IF(OR(Control!$B$218=$AH177,Control!$B$219=$AH177, Control!$B$220=$AH177, Control!$B$221=$AH177, Control!$B$222=$AH177, Control!$B$223=$AH177, Control!$B$224=$AH177, Control!$B$225=$AH177, Control!$B$226=$AH177, Control!$B$227=$AH177, Control!$B$228=$AH177), 1, 0), 0)</f>
        <v>0</v>
      </c>
      <c r="NE177" s="54">
        <f ca="1">IF($ND177=0,0, VLOOKUP($AH177,Control!$B$218:$C$228,2))</f>
        <v>0</v>
      </c>
      <c r="NF177" s="168" t="e">
        <f ca="1">$CY177*(Control!$C$128-Control!$C$127)</f>
        <v>#N/A</v>
      </c>
      <c r="NG177" s="54" t="e">
        <f ca="1">IF(Control!$C$58=2, $NI176-$NJ176, 0)</f>
        <v>#DIV/0!</v>
      </c>
      <c r="NH177" s="54" t="e">
        <f ca="1">IF(AND(Control!$C$58=1, $MS176&lt;= ($MN176+0.02), $I176&lt;10), 0, IF(Control!$C$58=2, $NG176, 0))</f>
        <v>#DIV/0!</v>
      </c>
      <c r="NI177" s="54" t="e">
        <f ca="1">IF(Control!$C$58=2, $NE177+$NH177,0)</f>
        <v>#DIV/0!</v>
      </c>
      <c r="NJ177" s="54" t="e">
        <f ca="1">IF(AND(Control!$C$58=1, $MS177&lt;= ($MN177+0.02), $I177&lt;10), MAX(0, MIN(10, 0.7*($NF177-$MV177))), IF(Control!$C$58=2, MIN(10,$NI177),0))</f>
        <v>#DIV/0!</v>
      </c>
      <c r="NK177" s="54" t="e">
        <f t="shared" ca="1" si="569"/>
        <v>#DIV/0!</v>
      </c>
      <c r="NL177" s="173" t="e">
        <f ca="1">(1-Control!$C$73)*$I177+$NJ177</f>
        <v>#DIV/0!</v>
      </c>
      <c r="NM177" s="172" t="e">
        <f ca="1">IF($NL177&lt;0.5, $MB177* MAX(0, MIN(1, (SQRT($NC177)-SQRT($NC177-1))*Control!$C$71)),0)</f>
        <v>#DIV/0!</v>
      </c>
      <c r="NN177" s="170" t="e">
        <f ca="1">IF($NL177&gt;=5, $MB177, MAX(0,MIN($MB177, $NM177+$NL177,($MS177-Control!$C$129))))</f>
        <v>#DIV/0!</v>
      </c>
      <c r="NO177" s="54">
        <f>IF(Control!$C$133&lt;&gt;1, Control!$C$135-Control!$C$131, 0)</f>
        <v>0.38</v>
      </c>
      <c r="NP177" s="54" t="e">
        <f t="shared" ca="1" si="570"/>
        <v>#DIV/0!</v>
      </c>
      <c r="NQ177" s="173" t="e">
        <f ca="1">MAX(0,MIN(1,(Control!$C$135-$MS177)/(Control!$C$135-$NO177)))</f>
        <v>#DIV/0!</v>
      </c>
      <c r="NR177" s="170" t="e">
        <f ca="1">IF(Control!$C$133&lt;&gt;1, $NQ177+((1-$NP177/4)*(1-$NQ177)),1)</f>
        <v>#DIV/0!</v>
      </c>
      <c r="NS177" s="170" t="e">
        <f ca="1">IF(Control!$B$31=0,$MJ177,MAX(0,MIN($MV177,$MO177*$NR177*$MJ177)))</f>
        <v>#DIV/0!</v>
      </c>
      <c r="NT177" s="170" t="e">
        <f t="shared" ca="1" si="686"/>
        <v>#DIV/0!</v>
      </c>
      <c r="NU177" s="170" t="e">
        <f t="shared" ca="1" si="662"/>
        <v>#N/A</v>
      </c>
      <c r="NV177" s="170" t="e">
        <f t="shared" ca="1" si="571"/>
        <v>#N/A</v>
      </c>
      <c r="NW177" s="175" t="e">
        <f t="shared" ca="1" si="572"/>
        <v>#DIV/0!</v>
      </c>
      <c r="NX177" s="170" t="e">
        <f ca="1">MIN(Control!$C$72+$MU177, $NW177)</f>
        <v>#DIV/0!</v>
      </c>
      <c r="NY177" s="170" t="e">
        <f ca="1">IF($MT177&lt;=$NX177,MIN(Control!$C$72+$NB177,$NX177-$MT177),0)</f>
        <v>#DIV/0!</v>
      </c>
      <c r="NZ177" s="54" t="e">
        <f ca="1">IF(Control!$C$114=1,  $CX177*($MX177-Control!$C$127), 0)</f>
        <v>#DIV/0!</v>
      </c>
      <c r="OA177" s="170" t="e">
        <f t="shared" ca="1" si="573"/>
        <v>#DIV/0!</v>
      </c>
      <c r="OB177" s="170" t="e">
        <f ca="1">IF($NA177 &lt;=$NY177, MIN(Control!$C$72, $NY177-$NA177), 0)</f>
        <v>#DIV/0!</v>
      </c>
      <c r="OC177" s="168" t="e">
        <f t="shared" ca="1" si="574"/>
        <v>#DIV/0!</v>
      </c>
      <c r="OD177" s="168" t="e">
        <f t="shared" ca="1" si="663"/>
        <v>#DIV/0!</v>
      </c>
      <c r="OE177" s="170">
        <f ca="1">Control!$C$73*$I177</f>
        <v>0</v>
      </c>
      <c r="OF177" s="176" t="e">
        <f t="shared" ca="1" si="575"/>
        <v>#DIV/0!</v>
      </c>
      <c r="OG177" s="168" t="e">
        <f t="shared" ca="1" si="576"/>
        <v>#DIV/0!</v>
      </c>
      <c r="OH177" s="168" t="e">
        <f t="shared" ca="1" si="577"/>
        <v>#DIV/0!</v>
      </c>
      <c r="OI177" s="168" t="e">
        <f t="shared" ca="1" si="578"/>
        <v>#DIV/0!</v>
      </c>
      <c r="OJ177" s="168" t="e">
        <f t="shared" ca="1" si="579"/>
        <v>#DIV/0!</v>
      </c>
      <c r="OK177" s="204" t="e">
        <f t="shared" ca="1" si="580"/>
        <v>#DIV/0!</v>
      </c>
      <c r="OL177" s="177">
        <f>Control!$C$127</f>
        <v>0.15</v>
      </c>
      <c r="OM177" s="182" t="e">
        <f t="shared" ca="1" si="581"/>
        <v>#N/A</v>
      </c>
      <c r="ON177" s="177">
        <f>Control!$C$128</f>
        <v>0.35</v>
      </c>
      <c r="OO177" s="182" t="e">
        <f t="shared" ca="1" si="582"/>
        <v>#N/A</v>
      </c>
      <c r="OP177" s="138">
        <f t="shared" ca="1" si="664"/>
        <v>0</v>
      </c>
      <c r="OQ177" s="138" t="e">
        <f t="shared" ca="1" si="687"/>
        <v>#DIV/0!</v>
      </c>
      <c r="OR177" s="138" t="e">
        <f t="shared" ca="1" si="665"/>
        <v>#DIV/0!</v>
      </c>
      <c r="OS177" s="137" t="e">
        <f t="shared" ca="1" si="688"/>
        <v>#DIV/0!</v>
      </c>
      <c r="OT177" s="139" t="e">
        <f t="shared" ca="1" si="689"/>
        <v>#DIV/0!</v>
      </c>
      <c r="OU177" s="138" t="e">
        <f t="shared" ca="1" si="690"/>
        <v>#N/A</v>
      </c>
      <c r="OV177" s="138" t="e">
        <f t="shared" ca="1" si="691"/>
        <v>#DIV/0!</v>
      </c>
      <c r="OW177" s="138" t="e">
        <f t="shared" ca="1" si="666"/>
        <v>#DIV/0!</v>
      </c>
      <c r="OX177" s="138" t="e">
        <f t="shared" ca="1" si="667"/>
        <v>#DIV/0!</v>
      </c>
      <c r="OY177" s="138" t="e">
        <f t="shared" ca="1" si="668"/>
        <v>#DIV/0!</v>
      </c>
      <c r="OZ177" s="138" t="e">
        <f t="shared" ca="1" si="583"/>
        <v>#DIV/0!</v>
      </c>
      <c r="PA177" s="138" t="e">
        <f t="shared" ca="1" si="584"/>
        <v>#DIV/0!</v>
      </c>
      <c r="PB177" s="55">
        <f>IF(Control!$C$61="T", IF(Control!$C$65="F", IF($AH$6-Control!$C$60&lt;0,0,1), IF(365+$AH$6-Control!$C$60&lt;0,0,1)),0)</f>
        <v>0</v>
      </c>
      <c r="PC177" s="55">
        <f ca="1">IF(Control!$C$65="F", IF($AH$6-$HF177&lt;0,0,1), IF(365+$AH$6-$HF177&lt;0,0,1))</f>
        <v>1</v>
      </c>
      <c r="PD177" s="444">
        <f>Control!$C$118</f>
        <v>1500</v>
      </c>
      <c r="PE177" s="180" t="e">
        <f t="shared" ca="1" si="585"/>
        <v>#N/A</v>
      </c>
      <c r="PF177" s="445">
        <f t="shared" ca="1" si="669"/>
        <v>0.71612369323045078</v>
      </c>
      <c r="PT177" s="186"/>
      <c r="PU177" s="186"/>
      <c r="PV177" s="94"/>
      <c r="PW177" s="94"/>
      <c r="PX177" s="94"/>
      <c r="PY177" s="94"/>
      <c r="PZ177" s="94"/>
      <c r="QA177" s="94"/>
      <c r="QB177" s="94"/>
      <c r="QC177" s="94"/>
      <c r="QD177" s="94"/>
      <c r="QE177" s="94"/>
      <c r="QF177" s="94"/>
      <c r="QG177" s="94"/>
      <c r="QH177" s="94"/>
      <c r="QI177" s="94"/>
      <c r="QJ177" s="94"/>
      <c r="QK177" s="94"/>
      <c r="QL177" s="94"/>
      <c r="QM177" s="94"/>
      <c r="QN177" s="94"/>
      <c r="QO177" s="94"/>
      <c r="QP177" s="94"/>
    </row>
    <row r="178" spans="1:458" s="2" customFormat="1" x14ac:dyDescent="0.2">
      <c r="A178" s="395">
        <v>22</v>
      </c>
      <c r="B178" s="396">
        <v>6</v>
      </c>
      <c r="C178" s="387">
        <f ca="1">Weather_data!$B177</f>
        <v>0</v>
      </c>
      <c r="D178" s="388">
        <f ca="1">Weather_data!$F177</f>
        <v>0</v>
      </c>
      <c r="E178" s="388">
        <f ca="1">Weather_data!$E177</f>
        <v>0</v>
      </c>
      <c r="F178" s="388">
        <f t="shared" ca="1" si="586"/>
        <v>0</v>
      </c>
      <c r="G178" s="388">
        <f ca="1">AVERAGE($D178:$E178)+Control!$B$9</f>
        <v>0</v>
      </c>
      <c r="H178" s="388">
        <f ca="1">Weather_data!$G177</f>
        <v>0</v>
      </c>
      <c r="I178" s="388">
        <f ca="1">Weather_data!$I177</f>
        <v>0</v>
      </c>
      <c r="J178" s="388">
        <f ca="1">Weather_data!$H177</f>
        <v>0</v>
      </c>
      <c r="K178" s="389">
        <f ca="1">Weather_data!$D177</f>
        <v>0</v>
      </c>
      <c r="L178" s="388" t="e">
        <f t="shared" ca="1" si="587"/>
        <v>#N/A</v>
      </c>
      <c r="M178" s="388" t="e">
        <f t="shared" ca="1" si="465"/>
        <v>#N/A</v>
      </c>
      <c r="N178" s="388">
        <f t="shared" ca="1" si="466"/>
        <v>-6.7403372666887463E-9</v>
      </c>
      <c r="O178" s="388">
        <f t="shared" ca="1" si="588"/>
        <v>6.740337266688746E-8</v>
      </c>
      <c r="P178" s="390">
        <v>3</v>
      </c>
      <c r="Q178" s="388">
        <f ca="1">MAX($G178-Control!$C$107,0)</f>
        <v>0</v>
      </c>
      <c r="R178" s="388">
        <f t="shared" ca="1" si="589"/>
        <v>0</v>
      </c>
      <c r="S178" s="388">
        <f t="shared" ca="1" si="467"/>
        <v>0</v>
      </c>
      <c r="T178" s="388">
        <f t="shared" ca="1" si="468"/>
        <v>0</v>
      </c>
      <c r="U178" s="59">
        <f t="shared" ca="1" si="469"/>
        <v>0</v>
      </c>
      <c r="V178" s="391">
        <f ca="1">MAX(0,MIN(Control!$C$100-Control!$C$99,$G178-Control!$C$99)*Control!$C$63)</f>
        <v>0</v>
      </c>
      <c r="W178" s="388">
        <f t="shared" ca="1" si="590"/>
        <v>0</v>
      </c>
      <c r="X178" s="388">
        <f t="shared" ca="1" si="591"/>
        <v>0.6110000000000001</v>
      </c>
      <c r="Y178" s="388">
        <f t="shared" ca="1" si="470"/>
        <v>0</v>
      </c>
      <c r="Z178" s="388">
        <f t="shared" ca="1" si="592"/>
        <v>0.61058800000000002</v>
      </c>
      <c r="AA178" s="388">
        <f t="shared" ca="1" si="471"/>
        <v>0.6018</v>
      </c>
      <c r="AB178" s="388">
        <f ca="1">101.3*EXP(-0.034*Control!$C$66/($G178+273))</f>
        <v>100.69623283836242</v>
      </c>
      <c r="AC178" s="392">
        <f t="shared" ca="1" si="472"/>
        <v>4.3460251046025113E-2</v>
      </c>
      <c r="AD178" s="392">
        <f t="shared" ca="1" si="473"/>
        <v>4.4450382862832649E-2</v>
      </c>
      <c r="AE178" s="388">
        <f t="shared" ca="1" si="474"/>
        <v>0</v>
      </c>
      <c r="AF178" s="388">
        <f ca="1">MAX(0,$G178-Control!$C$92)</f>
        <v>0</v>
      </c>
      <c r="AG178" s="393">
        <f t="shared" ca="1" si="475"/>
        <v>174</v>
      </c>
      <c r="AH178" s="389">
        <f t="shared" ca="1" si="476"/>
        <v>174</v>
      </c>
      <c r="AI178" s="388">
        <f t="shared" ca="1" si="593"/>
        <v>0.40913598828218534</v>
      </c>
      <c r="AJ178" s="388">
        <f ca="1">IF(Control!$C$60&lt;=0,$HH178,$HI178)</f>
        <v>1</v>
      </c>
      <c r="AK178" s="388">
        <f t="shared" ca="1" si="477"/>
        <v>1.6181353941777565</v>
      </c>
      <c r="AL178" s="388">
        <f t="shared" ca="1" si="478"/>
        <v>-8.6560099366028703E-18</v>
      </c>
      <c r="AM178" s="388">
        <f t="shared" ca="1" si="479"/>
        <v>1.6181353941777565</v>
      </c>
      <c r="AN178" s="388">
        <f t="shared" ca="1" si="480"/>
        <v>0.408632018256187</v>
      </c>
      <c r="AO178" s="388">
        <f ca="1">-0.10453/COS(Control!$B$8*PI()/180)*COS(AN178)</f>
        <v>-0.15580567069376874</v>
      </c>
      <c r="AP178" s="388">
        <f ca="1">ACOS(AO178-TAN(Control!$B$8*PI()/180)*TAN(AN178))</f>
        <v>2.360333990882042</v>
      </c>
      <c r="AQ178" s="388">
        <f t="shared" ca="1" si="594"/>
        <v>0</v>
      </c>
      <c r="AR178" s="394">
        <f t="shared" ca="1" si="481"/>
        <v>0</v>
      </c>
      <c r="AS178" s="436">
        <f ca="1">IF(Control!$B$18=2,(IF(OR($AH178=Control!$B$175,$AH178=Control!$B$176,$AH178=Control!$B$177,$AH178=Control!$B$178,$AH178=Control!$B$179,$AH178=Control!$B$180,$AH178=Control!$B$181,$AH178=Control!$B$182,$AH178=Control!$B$183,$AH178=Control!$B$184,$AH178=Control!$B$185),1,0)),0)</f>
        <v>0</v>
      </c>
      <c r="AT178" s="436">
        <f>IF(Control!$B$20=8,IF(AND($AH178&gt;=Control!$B$172,$AH178&lt;=Control!$B$173),1,0),0)</f>
        <v>0</v>
      </c>
      <c r="AU178" s="436">
        <f>IF(Control!$B$20=8,IF($AV177=1,1*$AT178,IF($AT178=1,$AU177+1,$AU177)),0)</f>
        <v>0</v>
      </c>
      <c r="AV178" s="436">
        <f>IF(Control!$B$20=8,IF($AU178&gt;=Control!$B$174,1,0),0)</f>
        <v>0</v>
      </c>
      <c r="AW178" s="436">
        <f ca="1">IF(AND(Control!$B$18=2,Control!$B$171=1), $AV178, $AS178)</f>
        <v>0</v>
      </c>
      <c r="AX178" s="436" t="e">
        <f ca="1">IF(AND(Control!$B$18=1,$EU178&gt;=Control!$B$19),-$AY178,IF(AND(Control!$B$18=2,$AW178=1,$EU178&gt;$DS178),-$AY178, IF(Control!$C$108=0,0, IF(Control!$C$108&lt;&gt;0,1))))</f>
        <v>#N/A</v>
      </c>
      <c r="AY178" s="436" t="e">
        <f t="shared" ca="1" si="595"/>
        <v>#N/A</v>
      </c>
      <c r="AZ178" s="436" t="e">
        <f ca="1">IF(AND(Control!$B$18=1,$EB178&gt;Control!$B$19),$AZ177+1, IF(AND(Control!$B$18=2, $AW178=1, $EB178&gt;$DS178), $AZ177+1,$AZ177))</f>
        <v>#N/A</v>
      </c>
      <c r="BA178" s="587">
        <f>IF(Control!$C$81=0,1,IF($AH178&gt;=Control!$C$82,1,0))</f>
        <v>1</v>
      </c>
      <c r="BB178" s="140" t="e">
        <f ca="1">IF($BA178&gt;$BA177,Control!$C$83,IF($AW178&gt;0,$AW178*Control!$C$84,IF(AND(Control!$B$18=1,EN177&lt;&gt;0),Control!$C$84,0)))</f>
        <v>#N/A</v>
      </c>
      <c r="BC178" s="140" t="e">
        <f t="shared" ca="1" si="596"/>
        <v>#N/A</v>
      </c>
      <c r="BD178" s="140" t="e">
        <f ca="1">BC178*IF(OR($G178&lt;Control!$C$92,$G178&gt;Control!$C$95),0,IF(AND($G178&gt;=Control!$C$92,$G178&lt;=Control!$C$93),$G178-Control!$C$92,IF(AND($G178&gt;Control!$C$93,$G178&lt;=Control!$C$94),Control!$C$93-Control!$C$92,IF(AND($G178&gt;Control!$C$94,$G178&lt;=Control!$C$95),(Control!$C$93-Control!$C$92)*(Control!$C$94-$G178)/(Control!$C$95-Control!$C$94)))))</f>
        <v>#N/A</v>
      </c>
      <c r="BE178" s="140" t="e">
        <f t="shared" ca="1" si="597"/>
        <v>#N/A</v>
      </c>
      <c r="BF178" s="140" t="e">
        <f ca="1">IF($BE178&lt;=Control!$C$86,$BE178,Control!$C$86-$BE178)</f>
        <v>#N/A</v>
      </c>
      <c r="BG178" s="140" t="e">
        <f ca="1">IF(AND($AW178=1,Control!$C$84&lt;9),1,IF($BE178&gt;=Control!$C$86,0,$BC178))</f>
        <v>#N/A</v>
      </c>
      <c r="BH178" s="404" t="e">
        <f ca="1">IF($BG178=0,0,IF($BE178&lt;=Control!$C$86,$BC178*9*($BF178/Control!$C$86),0))</f>
        <v>#N/A</v>
      </c>
      <c r="BI178" s="140" t="e">
        <f ca="1">IF($BG178=1,0,IF($BE178&gt;=Control!$C$86,1,IF(AND($BB178&lt;21,$BB178&gt;=9),1,$BM177)))</f>
        <v>#N/A</v>
      </c>
      <c r="BJ178" s="140" t="e">
        <f ca="1">IF($BF178&lt;0,-$BF178,$BI178*IF(OR($G178&lt;Control!$C$92,$G178&gt;Control!$C$95),0,IF(AND($G178&gt;=Control!$C$92,$G178&lt;=Control!$C$93),$G178-Control!$C$92,IF(AND($G178&gt;Control!$C$93,$G178&lt;=Control!$C$94),Control!$C$93-Control!$C$92,IF(AND($G178&gt;Control!$C$94,$G178&lt;=Control!$C$95),(Control!$C$93-Control!$C$92)*(Control!$C$94-$G178)/(Control!$C$95-Control!$C$94))))))</f>
        <v>#N/A</v>
      </c>
      <c r="BK178" s="140" t="e">
        <f t="shared" ca="1" si="598"/>
        <v>#N/A</v>
      </c>
      <c r="BL178" s="140" t="e">
        <f ca="1">IF($BK178&lt;=Control!$C$87,$BK178,Control!$C$87-$BK178)</f>
        <v>#N/A</v>
      </c>
      <c r="BM178" s="140" t="e">
        <f ca="1">IF(AND($BB178&gt;=9,$BB178&lt;21),1,IF($BK178&gt;=Control!$C$87,0,$BI178))</f>
        <v>#N/A</v>
      </c>
      <c r="BN178" s="404" t="e">
        <f ca="1">IF($BM178=0,0,IF($BK178&lt;=Control!$C$87,$BI178*(9+(21-9)*($BL178/Control!$C$87)),0))</f>
        <v>#N/A</v>
      </c>
      <c r="BO178" s="140" t="e">
        <f ca="1">IF($BM178=1,0,IF($BK178&gt;=Control!$C$87,1,IF(AND($BB178&lt;30,$BB178&gt;=21),1,$BS177)))</f>
        <v>#N/A</v>
      </c>
      <c r="BP178" s="140" t="e">
        <f ca="1">IF($BL178&lt;0,-$BL178,$BO178*IF(OR($G178&lt;Control!$C$92,$G178&gt;Control!$C$95),0,IF(AND($G178&gt;=Control!$C$92,$G178&lt;=Control!$C$93),$G178-Control!$C$92,IF(AND($G178&gt;Control!$C$93,$G178&lt;=Control!$C$94),Control!$C$93-Control!$C$92,IF(AND($G178&gt;Control!$C$94,$G178&lt;=Control!$C$95),(Control!$C$93-Control!$C$92)*(Control!$C$94-$G178)/(Control!$C$95-Control!$C$94))))))</f>
        <v>#N/A</v>
      </c>
      <c r="BQ178" s="140" t="e">
        <f t="shared" ca="1" si="482"/>
        <v>#N/A</v>
      </c>
      <c r="BR178" s="140" t="e">
        <f ca="1">IF($BQ178&lt;=Control!$C$88,$BQ178,Control!$C$88-$BQ178)</f>
        <v>#N/A</v>
      </c>
      <c r="BS178" s="140" t="e">
        <f ca="1">IF(AND($BB178&gt;=21,$BB178&lt;30),1,IF($BQ178&gt;=Control!$C$88,0,$BO178))</f>
        <v>#N/A</v>
      </c>
      <c r="BT178" s="404" t="e">
        <f ca="1">IF($BS178=0,0,IF($BQ178&lt;=Control!$C$88,$BO178*(21+(30-21)*(BR178/Control!$C$88)),0))</f>
        <v>#N/A</v>
      </c>
      <c r="BU178" s="140" t="e">
        <f ca="1">IF(BG178+BM178+BS178=1,0,IF(OR(AND($BB178&lt;60,$BB178&gt;=30),$BQ178&gt;=Control!$C$88),1*$BA178,$BY177))</f>
        <v>#N/A</v>
      </c>
      <c r="BV178" s="140" t="e">
        <f ca="1">IF($BR178&lt;0,-$BR178,$BU178*IF(OR($G178&lt;Control!$C$92,$G178&gt;Control!$C$95),0,IF(AND($G178&gt;=Control!$C$92,$G178&lt;=Control!$C$93),$G178-Control!$C$92,IF(AND($G178&gt;Control!$C$93,$G178&lt;=Control!$C$94),Control!$C$93-Control!$C$92,IF(AND($G178&gt;Control!$C$94,$G178&lt;=Control!$C$95),(Control!$C$93-Control!$C$92)*(Control!$C$94-$G178)/(Control!$C$95-Control!$C$94))))))</f>
        <v>#N/A</v>
      </c>
      <c r="BW178" s="140" t="e">
        <f t="shared" ca="1" si="483"/>
        <v>#N/A</v>
      </c>
      <c r="BX178" s="140" t="e">
        <f ca="1">IF($BW178&lt;=Control!$C$89,$BW178,Control!$C$89-$BW178)</f>
        <v>#N/A</v>
      </c>
      <c r="BY178" s="140" t="e">
        <f ca="1">IF(AND($AJ178&gt;=30,$AJ178&lt;60),1,IF($BW178&gt;=Control!$C$89,0,$BU178))</f>
        <v>#N/A</v>
      </c>
      <c r="BZ178" s="404" t="e">
        <f ca="1">IF($BY178=0,0,IF($BW178&lt;=Control!$C$89,$BU178*(30+(60-30)*(BX178/Control!$C$89)),0))</f>
        <v>#N/A</v>
      </c>
      <c r="CA178" s="140" t="e">
        <f ca="1">IF($BG178+$BM178+$BS178+$BY178=1,0,IF(OR(AND($BB178&lt;65,$BB178&gt;=60),$BW178&gt;=Control!$C$89),1*$BA178,$CE177))</f>
        <v>#N/A</v>
      </c>
      <c r="CB178" s="140" t="e">
        <f ca="1">IF($BX178&lt;0,-$BX178,$CA178*IF(OR($G178&lt;Control!$C$92,$G178&gt;Control!$C$95),0,IF(AND($G178&gt;=Control!$C$92,$G178&lt;=Control!$C$93),$G178-Control!$C$92,IF(AND($G178&gt;Control!$C$93,$G178&lt;=Control!$C$94),Control!$C$93-Control!$C$92,IF(AND($G178&gt;Control!$C$94,$G178&lt;=Control!$C$95),(Control!$C$93-Control!$C$92)*(Control!$C$94-$G178)/(Control!$C$95-Control!$C$94))))))</f>
        <v>#N/A</v>
      </c>
      <c r="CC178" s="140" t="e">
        <f t="shared" ca="1" si="599"/>
        <v>#N/A</v>
      </c>
      <c r="CD178" s="140" t="e">
        <f ca="1">IF($CC178&lt;=Control!$C$90,$CC178,Control!$C$90-$CC178)</f>
        <v>#N/A</v>
      </c>
      <c r="CE178" s="140" t="e">
        <f ca="1">IF(AND($BB178&gt;=60,$BB178&lt;65),1,IF($CC178&gt;=Control!$C$90,0,$CA178))</f>
        <v>#N/A</v>
      </c>
      <c r="CF178" s="404" t="e">
        <f ca="1">IF($CE178=0,0,IF($CC178&lt;=Control!$C$90,$CA178*(60+(65-60)*(CD178/Control!$C$90)),0))</f>
        <v>#N/A</v>
      </c>
      <c r="CG178" s="140" t="e">
        <f ca="1">IF($BG178+$BM178+$BS178+$BY178+$CE178=1,0,IF(OR(AND($BB178&lt;90,$BB178&gt;=65),$CC178&gt;=Control!$C$90),$BA178,$CK177))</f>
        <v>#N/A</v>
      </c>
      <c r="CH178" s="140" t="e">
        <f ca="1">IF($CD178&lt;0,-$CD178,$CG178*IF(OR($G178&lt;Control!$C$92,$G178&gt;Control!$C$95),0,IF(AND($G178&gt;=Control!$C$92,$G178&lt;=Control!$C$93),$G178-Control!$C$92,IF(AND($G178&gt;Control!$C$93,$G178&lt;=Control!$C$94),Control!$C$93-Control!$C$92,IF(AND($G178&gt;Control!$C$94,$G178&lt;=Control!$C$95),(Control!$C$93-Control!$C$92)*(Control!$C$94-$G178)/(Control!$C$95-Control!$C$94))))))</f>
        <v>#N/A</v>
      </c>
      <c r="CI178" s="140" t="e">
        <f t="shared" ca="1" si="600"/>
        <v>#N/A</v>
      </c>
      <c r="CJ178" s="140" t="e">
        <f ca="1">IF($CI178&lt;=Control!$C$91,$CI178,Control!$C$91-$CI178)</f>
        <v>#N/A</v>
      </c>
      <c r="CK178" s="140" t="e">
        <f ca="1">IF(AND($BB178&gt;=65,$BB178&lt;90),1,IF($CI178&gt;=Control!$C$91,0,$CG178))</f>
        <v>#N/A</v>
      </c>
      <c r="CL178" s="404" t="e">
        <f ca="1">IF($CK178=0,0,IF($CI178&lt;=Control!$C$91,$CG178*(65+(90-65)*($CJ178/Control!$C$91)),0))</f>
        <v>#N/A</v>
      </c>
      <c r="CM178" s="140" t="e">
        <f ca="1">IF($BG178+$BM178+$BS178+$BY178+$CE178+$CK178=1,0,IF(OR($BB178&gt;=90,$CI178&gt;=Control!$C$91),$BA178,$CM177))</f>
        <v>#N/A</v>
      </c>
      <c r="CN178" s="140" t="e">
        <f t="shared" ca="1" si="601"/>
        <v>#N/A</v>
      </c>
      <c r="CO178" s="140" t="e">
        <f t="shared" ca="1" si="602"/>
        <v>#N/A</v>
      </c>
      <c r="CP178" s="140" t="e">
        <f t="shared" ca="1" si="603"/>
        <v>#N/A</v>
      </c>
      <c r="CQ178" s="141" t="e">
        <f ca="1">VLOOKUP($CP178,Control!$B$86:$G$91,6)</f>
        <v>#N/A</v>
      </c>
      <c r="CR178" s="141" t="e">
        <f ca="1">(1-$CQ178)*VLOOKUP($CP178,Control!$B$86:$D$91,3)</f>
        <v>#N/A</v>
      </c>
      <c r="CS178" s="141" t="e">
        <f ca="1">(1-$CQ178)*VLOOKUP($CP178,Control!$B$86:$E$91,4)</f>
        <v>#N/A</v>
      </c>
      <c r="CT178" s="141" t="e">
        <f ca="1">(1-$CQ178)*VLOOKUP($CP178,Control!$B$86:$F$91,5)</f>
        <v>#N/A</v>
      </c>
      <c r="CU178" s="141">
        <f t="shared" ca="1" si="604"/>
        <v>0</v>
      </c>
      <c r="CV178" s="583">
        <f t="shared" ca="1" si="605"/>
        <v>0</v>
      </c>
      <c r="CW178" s="142">
        <f t="shared" ca="1" si="606"/>
        <v>174</v>
      </c>
      <c r="CX178" s="612" t="e">
        <f ca="1">IF(Control!$C$114=1,(MIN(Control!$C$120*(IF($NT178-0.01&lt;0,0,1)),Control!$C$119-$CY178)))</f>
        <v>#DIV/0!</v>
      </c>
      <c r="CY178" s="143" t="e">
        <f t="shared" ca="1" si="607"/>
        <v>#N/A</v>
      </c>
      <c r="CZ178" s="144">
        <f t="shared" ca="1" si="484"/>
        <v>0</v>
      </c>
      <c r="DA178" s="144">
        <f t="shared" ca="1" si="485"/>
        <v>0</v>
      </c>
      <c r="DB178" s="144" t="e">
        <f t="shared" ca="1" si="486"/>
        <v>#N/A</v>
      </c>
      <c r="DC178" s="144" t="e">
        <f t="shared" ca="1" si="487"/>
        <v>#N/A</v>
      </c>
      <c r="DD178" s="144" t="e">
        <f t="shared" ca="1" si="692"/>
        <v>#N/A</v>
      </c>
      <c r="DE178" s="143" t="e">
        <f t="shared" ca="1" si="608"/>
        <v>#N/A</v>
      </c>
      <c r="DF178" s="145" t="e">
        <f ca="1">$DR178*EXP(-Control!$C$158*(1-$KH178))</f>
        <v>#N/A</v>
      </c>
      <c r="DG178" s="146" t="e">
        <f ca="1">IF(Control!$C$114=1, $DF178*$EY178, 0)</f>
        <v>#N/A</v>
      </c>
      <c r="DH178" s="147" t="e">
        <f t="shared" ca="1" si="609"/>
        <v>#N/A</v>
      </c>
      <c r="DI178" s="144" t="e">
        <f t="shared" ca="1" si="670"/>
        <v>#N/A</v>
      </c>
      <c r="DJ178" s="147" t="e">
        <f ca="1">$EF178*Control!$C$109</f>
        <v>#N/A</v>
      </c>
      <c r="DK178" s="144" t="e">
        <f t="shared" ca="1" si="610"/>
        <v>#N/A</v>
      </c>
      <c r="DL178" s="144" t="e">
        <f t="shared" ca="1" si="488"/>
        <v>#N/A</v>
      </c>
      <c r="DM178" s="144" t="e">
        <f ca="1">IF(Control!$C$114=1, (1-EXP(-Control!$C$96*$DK178))*$AR178, 0)</f>
        <v>#N/A</v>
      </c>
      <c r="DN178" s="144">
        <f t="shared" ca="1" si="611"/>
        <v>0</v>
      </c>
      <c r="DO178" s="148">
        <f>Control!$C$97</f>
        <v>4</v>
      </c>
      <c r="DP178" s="145" t="e">
        <f t="shared" ca="1" si="612"/>
        <v>#N/A</v>
      </c>
      <c r="DQ178" s="145" t="e">
        <f ca="1">IF(AND($CP178&gt;=0,$CP178&lt;=90),Control!$C$111,Control!$C$111)</f>
        <v>#N/A</v>
      </c>
      <c r="DR178" s="145" t="e">
        <f t="shared" ca="1" si="489"/>
        <v>#N/A</v>
      </c>
      <c r="DS178" s="143" t="e">
        <f ca="1">Control!$B$22/$DR178</f>
        <v>#N/A</v>
      </c>
      <c r="DT178" s="149" t="e">
        <f ca="1">IF(AND(Control!$C$114=1,$KH178&lt;1),$IM178*$DF178, 0)</f>
        <v>#N/A</v>
      </c>
      <c r="DU178" s="144" t="e">
        <f t="shared" ca="1" si="613"/>
        <v>#N/A</v>
      </c>
      <c r="DV178" s="144">
        <f ca="1">IF($G178-Control!$C$107&lt;=0, 0, 0.83*LN(MAX($G178, 3))-0.8924)</f>
        <v>0</v>
      </c>
      <c r="DW178" s="144" t="e">
        <f t="shared" ca="1" si="490"/>
        <v>#N/A</v>
      </c>
      <c r="DX178" s="150" t="e">
        <f ca="1">MAX(0.01*(1+$CU178/Control!$C$102),0.05*($DK178-Control!$C$97)/Control!$C$97)</f>
        <v>#N/A</v>
      </c>
      <c r="DY178" s="151" t="e">
        <f ca="1">IF(Control!$C$114=1, $DI178*$FS178, 0)</f>
        <v>#N/A</v>
      </c>
      <c r="DZ178" s="196" t="e">
        <f t="shared" ca="1" si="614"/>
        <v>#N/A</v>
      </c>
      <c r="EA178" s="152">
        <f t="shared" ca="1" si="615"/>
        <v>174</v>
      </c>
      <c r="EB178" s="153" t="e">
        <f t="shared" ca="1" si="616"/>
        <v>#N/A</v>
      </c>
      <c r="EC178" s="153" t="e">
        <f t="shared" ca="1" si="617"/>
        <v>#N/A</v>
      </c>
      <c r="ED178" s="154" t="e">
        <f ca="1">IF(Control!$C$114=1, $HM178*$FY178-$FD178, 0)</f>
        <v>#DIV/0!</v>
      </c>
      <c r="EE178" s="155" t="e">
        <f ca="1">IF(Control!$C$114=1, $HM178*$FZ178-$FF178, 0)</f>
        <v>#DIV/0!</v>
      </c>
      <c r="EF178" s="153" t="e">
        <f t="shared" ca="1" si="671"/>
        <v>#N/A</v>
      </c>
      <c r="EG178" s="155" t="e">
        <f ca="1">IF(Control!$C$114=1, $GX178*$FW178-$FI178, 0)</f>
        <v>#DIV/0!</v>
      </c>
      <c r="EH178" s="153" t="e">
        <f t="shared" ca="1" si="618"/>
        <v>#N/A</v>
      </c>
      <c r="EI178" s="156" t="e">
        <f t="shared" ca="1" si="619"/>
        <v>#N/A</v>
      </c>
      <c r="EJ178" s="155" t="e">
        <f ca="1">IF(Control!$C$114=1, $HM178*$GB178, 0)</f>
        <v>#DIV/0!</v>
      </c>
      <c r="EK178" s="153" t="e">
        <f t="shared" ca="1" si="672"/>
        <v>#N/A</v>
      </c>
      <c r="EL178" s="153" t="e">
        <f t="shared" ca="1" si="491"/>
        <v>#N/A</v>
      </c>
      <c r="EM178" s="153" t="e">
        <f t="shared" ca="1" si="492"/>
        <v>#N/A</v>
      </c>
      <c r="EN178" s="153" t="e">
        <f ca="1">IF(Control!$C$108=1,IF(AND(Control!$B$18=1,$EB178&gt;=Control!$B$19),$EB178-$DS178,IF(AND(Control!$B$18=2,$AW178=1,$EB178&gt;$DS178),$EB178-$DS178,0)))</f>
        <v>#N/A</v>
      </c>
      <c r="EO178" s="153" t="e">
        <f ca="1">IF(Control!$C$108=1,IF(AND(Control!$B$18=1,$EB178&gt;=Control!$B$19),$EF178,IF(AND(Control!$B$18=2,$AW178=1),$EF178,0)))</f>
        <v>#N/A</v>
      </c>
      <c r="EP178" s="153" t="e">
        <f ca="1">IF(Control!$C$108=1,IF(AND(Control!$B$18=1,$EB178&gt;=Control!$B$19),$EK178,IF(AND(Control!$B$18=2,$AW178=1),$EK178,0)))</f>
        <v>#N/A</v>
      </c>
      <c r="EQ178" s="153" t="e">
        <f t="shared" ca="1" si="620"/>
        <v>#N/A</v>
      </c>
      <c r="ER178" s="153" t="e">
        <f t="shared" ca="1" si="621"/>
        <v>#N/A</v>
      </c>
      <c r="ES178" s="153" t="e">
        <f t="shared" ca="1" si="673"/>
        <v>#N/A</v>
      </c>
      <c r="ET178" s="153" t="e">
        <f t="shared" ca="1" si="674"/>
        <v>#N/A</v>
      </c>
      <c r="EU178" s="153" t="e">
        <f t="shared" ca="1" si="622"/>
        <v>#N/A</v>
      </c>
      <c r="EV178" s="153" t="e">
        <f t="shared" ca="1" si="493"/>
        <v>#N/A</v>
      </c>
      <c r="EW178" s="153" t="e">
        <f t="shared" ca="1" si="494"/>
        <v>#N/A</v>
      </c>
      <c r="EX178" s="153" t="e">
        <f t="shared" ca="1" si="495"/>
        <v>#N/A</v>
      </c>
      <c r="EY178" s="157" t="e">
        <f t="shared" ca="1" si="496"/>
        <v>#DIV/0!</v>
      </c>
      <c r="EZ178" s="154" t="e">
        <f t="shared" ca="1" si="497"/>
        <v>#DIV/0!</v>
      </c>
      <c r="FA178" s="153" t="e">
        <f t="shared" ca="1" si="623"/>
        <v>#N/A</v>
      </c>
      <c r="FB178" s="153" t="e">
        <f t="shared" ca="1" si="498"/>
        <v>#N/A</v>
      </c>
      <c r="FC178" s="193" t="e">
        <f t="shared" ca="1" si="499"/>
        <v>#N/A</v>
      </c>
      <c r="FD178" s="158" t="e">
        <f t="shared" ca="1" si="624"/>
        <v>#N/A</v>
      </c>
      <c r="FE178" s="158" t="e">
        <f t="shared" ca="1" si="625"/>
        <v>#N/A</v>
      </c>
      <c r="FF178" s="159" t="e">
        <f t="shared" ca="1" si="500"/>
        <v>#N/A</v>
      </c>
      <c r="FG178" s="160" t="e">
        <f t="shared" ca="1" si="626"/>
        <v>#N/A</v>
      </c>
      <c r="FH178" s="158" t="e">
        <f t="shared" ca="1" si="627"/>
        <v>#N/A</v>
      </c>
      <c r="FI178" s="159" t="e">
        <f t="shared" ca="1" si="501"/>
        <v>#N/A</v>
      </c>
      <c r="FJ178" s="160" t="e">
        <f t="shared" ca="1" si="628"/>
        <v>#N/A</v>
      </c>
      <c r="FK178" s="160" t="e">
        <f t="shared" ca="1" si="502"/>
        <v>#N/A</v>
      </c>
      <c r="FL178" s="160" t="e">
        <f t="shared" ca="1" si="675"/>
        <v>#N/A</v>
      </c>
      <c r="FM178" s="160" t="e">
        <f t="shared" ca="1" si="503"/>
        <v>#N/A</v>
      </c>
      <c r="FN178" s="158">
        <f t="shared" ca="1" si="629"/>
        <v>0.01</v>
      </c>
      <c r="FO178" s="160">
        <f>Control!$C$101</f>
        <v>50</v>
      </c>
      <c r="FP178" s="150" t="e">
        <f t="shared" ca="1" si="504"/>
        <v>#N/A</v>
      </c>
      <c r="FQ178" s="150" t="e">
        <f ca="1">MAX(0,(Control!$C$112*(($DK178-Control!$C$97)/Control!$C$97)))</f>
        <v>#N/A</v>
      </c>
      <c r="FR178" s="150" t="e">
        <f ca="1">(1-$NT178)*Control!$C$113</f>
        <v>#DIV/0!</v>
      </c>
      <c r="FS178" s="198" t="e">
        <f t="shared" ca="1" si="505"/>
        <v>#N/A</v>
      </c>
      <c r="FT178" s="161">
        <f t="shared" ca="1" si="630"/>
        <v>174</v>
      </c>
      <c r="FU178" s="162" t="e">
        <f ca="1">IF(Control!$B$34=1,VLOOKUP($CP178,Control!$B$86:$G$91,6),Control!$B$35)</f>
        <v>#N/A</v>
      </c>
      <c r="FV178" s="162" t="e">
        <f t="shared" ca="1" si="506"/>
        <v>#DIV/0!</v>
      </c>
      <c r="FW178" s="162" t="e">
        <f ca="1">IF(Control!$B$31=1,$FU178*$FV178,  $FU178)</f>
        <v>#N/A</v>
      </c>
      <c r="FX178" s="162" t="e">
        <f ca="1">IF(Control!$B$34=1,VLOOKUP($CP178,Control!$B$86:$G$91,3),Control!$B$36)</f>
        <v>#N/A</v>
      </c>
      <c r="FY178" s="162" t="e">
        <f t="shared" ca="1" si="507"/>
        <v>#N/A</v>
      </c>
      <c r="FZ178" s="162" t="e">
        <f ca="1">IF(Control!$B$34=1,VLOOKUP($CP178,Control!$B$86:$G$91,4),Control!$B$37)</f>
        <v>#N/A</v>
      </c>
      <c r="GA178" s="162" t="e">
        <f t="shared" ca="1" si="508"/>
        <v>#N/A</v>
      </c>
      <c r="GB178" s="162" t="e">
        <f ca="1">IF(Control!$B$34=1,VLOOKUP($CP178,Control!$B$86:$G$91,5),Control!$B$38)</f>
        <v>#N/A</v>
      </c>
      <c r="GC178" s="162" t="e">
        <f t="shared" ca="1" si="631"/>
        <v>#N/A</v>
      </c>
      <c r="GD178" s="162">
        <f t="shared" ca="1" si="509"/>
        <v>1</v>
      </c>
      <c r="GE178" s="162">
        <f t="shared" ca="1" si="510"/>
        <v>1</v>
      </c>
      <c r="GF178" s="162">
        <f ca="1">IF(AND(Control!$C$104=1, Control!$C$62="F"),$GE178,1)</f>
        <v>1</v>
      </c>
      <c r="GG178" s="162" t="e">
        <f ca="1">IF(Control!$B$16=40,0,IF(AND(Control!$B$16&gt;40,Control!$B$16&lt;=360),(Control!$B$16-40)*((1-0)/(360-40)),IF(AND(Control!$B$16&gt;360,Control!$B$16&lt;=720),(1+(Control!$B$16-360)*((1.25-1)/(720-360))),IF(AND(Control!$B$16&gt;720,Control!$B$16&lt;=1000),(1.25+(Control!$B$16-720)*((1.35-1.25)/(1000-720))),IF(AND(Control!$B$16&gt;1000,Control!$B$16&lt;=2000),(1.35+(Control!$B$16-1000)*0))))))</f>
        <v>#N/A</v>
      </c>
      <c r="GH178" s="162" t="e">
        <f t="shared" ca="1" si="511"/>
        <v>#N/A</v>
      </c>
      <c r="GI178" s="162">
        <f t="shared" ca="1" si="632"/>
        <v>0</v>
      </c>
      <c r="GJ178" s="162">
        <f t="shared" ca="1" si="512"/>
        <v>0</v>
      </c>
      <c r="GK178" s="162">
        <f t="shared" ca="1" si="633"/>
        <v>1</v>
      </c>
      <c r="GL178" s="162">
        <f t="shared" ca="1" si="513"/>
        <v>1</v>
      </c>
      <c r="GM178" s="162" t="e">
        <f ca="1">MAX(0,MIN(1,1-Control!$C$156*(1.0001-$KH178)^2))</f>
        <v>#N/A</v>
      </c>
      <c r="GN178" s="162" t="e">
        <f ca="1">IF(Control!$B$26=1,$KU178,$KX178)</f>
        <v>#N/A</v>
      </c>
      <c r="GO178" s="162" t="e">
        <f ca="1">IF($CP178&lt;=60,Control!$C$105,IF($CP178&gt;=90,Control!$C$106,Control!$C$105+($CP178-60)*((Control!$C$106-Control!$C$105)/(90-60))))</f>
        <v>#N/A</v>
      </c>
      <c r="GP178" s="162" t="e">
        <f t="shared" ca="1" si="514"/>
        <v>#N/A</v>
      </c>
      <c r="GQ178" s="162" t="e">
        <f t="shared" ca="1" si="634"/>
        <v>#N/A</v>
      </c>
      <c r="GR178" s="163" t="e">
        <f t="shared" ca="1" si="515"/>
        <v>#DIV/0!</v>
      </c>
      <c r="GS178" s="162" t="e">
        <f t="shared" ca="1" si="516"/>
        <v>#DIV/0!</v>
      </c>
      <c r="GT178" s="164" t="e">
        <f t="shared" ca="1" si="635"/>
        <v>#N/A</v>
      </c>
      <c r="GU178" s="162" t="e">
        <f t="shared" ca="1" si="636"/>
        <v>#N/A</v>
      </c>
      <c r="GV178" s="162" t="e">
        <f t="shared" ca="1" si="517"/>
        <v>#N/A</v>
      </c>
      <c r="GW178" s="162" t="e">
        <f t="shared" ca="1" si="518"/>
        <v>#DIV/0!</v>
      </c>
      <c r="GX178" s="162" t="e">
        <f t="shared" ca="1" si="637"/>
        <v>#DIV/0!</v>
      </c>
      <c r="GY178" s="162" t="e">
        <f t="shared" ca="1" si="638"/>
        <v>#DIV/0!</v>
      </c>
      <c r="GZ178" s="165" t="e">
        <f t="shared" ca="1" si="519"/>
        <v>#N/A</v>
      </c>
      <c r="HA178" s="162" t="e">
        <f ca="1">IF(Control!$C$114=1, $DI178*$FS178, 0)</f>
        <v>#N/A</v>
      </c>
      <c r="HB178" s="162" t="e">
        <f ca="1">$FA178/Control!$C$64</f>
        <v>#N/A</v>
      </c>
      <c r="HC178" s="162" t="e">
        <f t="shared" ca="1" si="520"/>
        <v>#DIV/0!</v>
      </c>
      <c r="HD178" s="162">
        <f ca="1">-ASIN(SIN(23.45*Control!$C$139)*COS(2*Control!$C$138*($AH178+10)/365))</f>
        <v>0.40913598828218534</v>
      </c>
      <c r="HE178" s="165">
        <f t="shared" ca="1" si="639"/>
        <v>0</v>
      </c>
      <c r="HF178" s="166">
        <f ca="1">IF(AND(Control!$C$61="T",$HE178&gt;=Control!$C$103,Control!$C$114=0),$AH178,Control!$C$59)</f>
        <v>1</v>
      </c>
      <c r="HG178" s="166">
        <f ca="1">IF(AND(Control!$C$61="T",$HE178&gt;=Control!$C$103,Control!$C$114=0),$HF178,Control!$C$59)</f>
        <v>1</v>
      </c>
      <c r="HH178" s="165">
        <f ca="1">IF(AND(OR(Control!$C$60&lt;=0, $AH178= Control!$C$59, Control!$C$60 &gt;0, $AH178 = Control!$C$60)), Control!$C$59, IF(Control!$C$60&gt;0, 0))</f>
        <v>1</v>
      </c>
      <c r="HI178" s="165">
        <f ca="1">IF(AND(OR(Control!$C$60&lt;=0, $AH178= Control!$C$59, Control!$C$60 &gt;0, $AH178 = Control!$C$60)), Control!$C$60, IF(Control!$C$60&lt;=0, 0))</f>
        <v>0</v>
      </c>
      <c r="HJ178" s="166">
        <f ca="1">IF(AND(Control!$C$62="F",$CV178&gt;=Control!$C$102),$AH178,0)</f>
        <v>0</v>
      </c>
      <c r="HK178" s="165" t="e">
        <f t="shared" ca="1" si="676"/>
        <v>#N/A</v>
      </c>
      <c r="HL178" s="166">
        <f ca="1">IF(AND(Control!$C$61="T",$HE178&gt;=Control!$C$103,Control!$C$114=0),$HF178,0)</f>
        <v>0</v>
      </c>
      <c r="HM178" s="201" t="e">
        <f t="shared" ca="1" si="521"/>
        <v>#DIV/0!</v>
      </c>
      <c r="HN178" s="215">
        <f t="shared" ca="1" si="640"/>
        <v>174</v>
      </c>
      <c r="HO178" s="216" t="e">
        <f ca="1">IF(AND($CP178&gt;=0, $CP178&lt;=90), Control!$C$152, Control!$C$152)</f>
        <v>#N/A</v>
      </c>
      <c r="HP178" s="216" t="e">
        <f t="shared" ca="1" si="522"/>
        <v>#N/A</v>
      </c>
      <c r="HQ178" s="217" t="e">
        <f ca="1">IF(OR(Control!$B$26=1,Control!$B$26=2),$KV178,$KS178)</f>
        <v>#DIV/0!</v>
      </c>
      <c r="HR178" s="218" t="e">
        <f t="shared" ca="1" si="677"/>
        <v>#DIV/0!</v>
      </c>
      <c r="HS178" s="216" t="e">
        <f ca="1">Control!$C$154*$HP178</f>
        <v>#N/A</v>
      </c>
      <c r="HT178" s="216" t="e">
        <f ca="1">Control!$C$155*$HP178</f>
        <v>#N/A</v>
      </c>
      <c r="HU178" s="217" t="e">
        <f ca="1">Control!$C$161*$FI178</f>
        <v>#N/A</v>
      </c>
      <c r="HV178" s="218" t="e">
        <f t="shared" ca="1" si="641"/>
        <v>#N/A</v>
      </c>
      <c r="HW178" s="218" t="e">
        <f ca="1">Control!$C$160*$FF178+$IP178*$EO178</f>
        <v>#N/A</v>
      </c>
      <c r="HX178" s="218" t="e">
        <f t="shared" ca="1" si="678"/>
        <v>#N/A</v>
      </c>
      <c r="HY178" s="219" t="e">
        <f ca="1">IF(Control!$C$114=1, $EB178*$FS178, 0)</f>
        <v>#N/A</v>
      </c>
      <c r="HZ178" s="91" t="e">
        <f t="shared" ca="1" si="523"/>
        <v>#N/A</v>
      </c>
      <c r="IA178" s="220" t="e">
        <f ca="1">Control!$C$153*$HO178</f>
        <v>#N/A</v>
      </c>
      <c r="IB178" s="218" t="e">
        <f t="shared" ca="1" si="524"/>
        <v>#N/A</v>
      </c>
      <c r="IC178" s="220" t="e">
        <f ca="1">Control!$C$153*$HT178</f>
        <v>#N/A</v>
      </c>
      <c r="ID178" s="218" t="e">
        <f t="shared" ca="1" si="525"/>
        <v>#N/A</v>
      </c>
      <c r="IE178" s="221" t="e">
        <f ca="1">($EB178*Control!$C$159+$EF178*Control!$C$160)/(IF($GZ178&lt;&gt;0,$GZ178,1))</f>
        <v>#N/A</v>
      </c>
      <c r="IF178" s="216" t="e">
        <f t="shared" ca="1" si="526"/>
        <v>#N/A</v>
      </c>
      <c r="IG178" s="91">
        <f ca="1">IF(OR(Control!$B$198=$AH178,Control!$B$199=$AH178, Control!$B$200=$AH178, Control!$B$201=$AH178, Control!$B$202=$AH178, Control!$B$203=$AH178, Control!$B$204=$AH178, Control!$B$205=$AH178, Control!$B$206=$AH178, Control!$B$207=$AH178), 1, 0)</f>
        <v>0</v>
      </c>
      <c r="IH178" s="91">
        <f ca="1">IF($IG178=0,0, VLOOKUP($AH178,Control!$B$198:$C$207,2))</f>
        <v>0</v>
      </c>
      <c r="II178" s="222">
        <f t="shared" ca="1" si="642"/>
        <v>0</v>
      </c>
      <c r="IJ178" s="91">
        <f>Control!$C$121</f>
        <v>0.7</v>
      </c>
      <c r="IK178" s="218">
        <f t="shared" ca="1" si="527"/>
        <v>0</v>
      </c>
      <c r="IL178" s="217" t="e">
        <f t="shared" ca="1" si="679"/>
        <v>#N/A</v>
      </c>
      <c r="IM178" s="223" t="e">
        <f ca="1">IF(AND(Control!$C$114=1,$KH178&lt;1),$EB178*Control!$C$148*(1-$KH178), 0)</f>
        <v>#N/A</v>
      </c>
      <c r="IN178" s="217" t="e">
        <f t="shared" ca="1" si="528"/>
        <v>#DIV/0!</v>
      </c>
      <c r="IO178" s="91" t="e">
        <f ca="1">MAX(0,$IL178-$EF178*Control!$C$160)</f>
        <v>#N/A</v>
      </c>
      <c r="IP178" s="220" t="e">
        <f t="shared" ca="1" si="529"/>
        <v>#N/A</v>
      </c>
      <c r="IQ178" s="217" t="e">
        <f t="shared" ca="1" si="643"/>
        <v>#N/A</v>
      </c>
      <c r="IR178" s="218" t="e">
        <f t="shared" ca="1" si="530"/>
        <v>#N/A</v>
      </c>
      <c r="IS178" s="217" t="e">
        <f ca="1">Control!$C$159*MAX(0,$FD178-$EN178)</f>
        <v>#N/A</v>
      </c>
      <c r="IT178" s="217" t="e">
        <f t="shared" ca="1" si="680"/>
        <v>#N/A</v>
      </c>
      <c r="IU178" s="217" t="e">
        <f t="shared" ca="1" si="644"/>
        <v>#N/A</v>
      </c>
      <c r="IV178" s="217" t="e">
        <f t="shared" ca="1" si="681"/>
        <v>#N/A</v>
      </c>
      <c r="IW178" s="217" t="e">
        <f ca="1">IF(OR($AW178=1,AND($AW178=0, Control!$B$18=1,$EN178&lt;&gt;0)), $IQ178-$IU178, $IQ178)</f>
        <v>#N/A</v>
      </c>
      <c r="IX178" s="218" t="e">
        <f t="shared" ca="1" si="531"/>
        <v>#N/A</v>
      </c>
      <c r="IY178" s="218" t="e">
        <f ca="1">MAX(0,$IQ178-$EB178*Control!$C$159)</f>
        <v>#N/A</v>
      </c>
      <c r="IZ178" s="218" t="e">
        <f t="shared" ca="1" si="532"/>
        <v>#N/A</v>
      </c>
      <c r="JA178" s="216" t="e">
        <f t="shared" ca="1" si="533"/>
        <v>#N/A</v>
      </c>
      <c r="JB178" s="217" t="e">
        <f t="shared" ca="1" si="534"/>
        <v>#N/A</v>
      </c>
      <c r="JC178" s="222" t="e">
        <f ca="1">MAX(Control!$C$157*$EK178-$JT178, 0)/Control!$C$162</f>
        <v>#N/A</v>
      </c>
      <c r="JD178" s="218" t="e">
        <f t="shared" ca="1" si="535"/>
        <v>#N/A</v>
      </c>
      <c r="JE178" s="218" t="e">
        <f t="shared" ca="1" si="536"/>
        <v>#N/A</v>
      </c>
      <c r="JF178" s="218" t="e">
        <f t="shared" ca="1" si="645"/>
        <v>#N/A</v>
      </c>
      <c r="JG178" s="218" t="e">
        <f t="shared" ca="1" si="537"/>
        <v>#N/A</v>
      </c>
      <c r="JH178" s="217" t="e">
        <f t="shared" ca="1" si="646"/>
        <v>#N/A</v>
      </c>
      <c r="JI178" s="217" t="e">
        <f t="shared" ca="1" si="647"/>
        <v>#N/A</v>
      </c>
      <c r="JJ178" s="217" t="e">
        <f t="shared" ca="1" si="682"/>
        <v>#N/A</v>
      </c>
      <c r="JK178" s="217" t="e">
        <f ca="1">IF(Control!$C$114=1,IF(Control!$B$24=0,MAX(0,$JI178)*$GN178/Control!$C$64,(MAX(0,MIN($JI178,$JJ178*$GN178/Control!$C$64),0))))</f>
        <v>#N/A</v>
      </c>
      <c r="JL178" s="217" t="e">
        <f ca="1">$IK178/Control!$C$64-$JK178+$HQ178</f>
        <v>#N/A</v>
      </c>
      <c r="JM178" s="217" t="e">
        <f ca="1">IF(Control!$C$114=1,($JB178/(IF($JI178&lt;&gt;0,$JI178,1)))*$JK178,0)</f>
        <v>#N/A</v>
      </c>
      <c r="JN178" s="217" t="e">
        <f ca="1">IF(Control!$C$114=1,($JG178/(IF($JI178&lt;&gt;0,$JI178,1)))*$JK178, 0)</f>
        <v>#N/A</v>
      </c>
      <c r="JO178" s="218" t="e">
        <f t="shared" ca="1" si="538"/>
        <v>#N/A</v>
      </c>
      <c r="JP178" s="218" t="e">
        <f ca="1">MIN(($IY178+$IO178)*Control!$C$151, $JF178-$EH178*Control!$C$161)</f>
        <v>#N/A</v>
      </c>
      <c r="JQ178" s="218" t="e">
        <f t="shared" ca="1" si="539"/>
        <v>#N/A</v>
      </c>
      <c r="JR178" s="217" t="e">
        <f ca="1">IF($CP178-Control!$C$150&lt;0, 0, $JQ178/Control!$C$162)</f>
        <v>#N/A</v>
      </c>
      <c r="JS178" s="218" t="e">
        <f t="shared" ca="1" si="540"/>
        <v>#N/A</v>
      </c>
      <c r="JT178" s="218" t="e">
        <f t="shared" ca="1" si="648"/>
        <v>#N/A</v>
      </c>
      <c r="JU178" s="218" t="e">
        <f t="shared" ca="1" si="541"/>
        <v>#N/A</v>
      </c>
      <c r="JV178" s="218" t="e">
        <f t="shared" ca="1" si="542"/>
        <v>#N/A</v>
      </c>
      <c r="JW178" s="216" t="e">
        <f t="shared" ca="1" si="543"/>
        <v>#N/A</v>
      </c>
      <c r="JX178" s="91" t="e">
        <f t="shared" ca="1" si="544"/>
        <v>#N/A</v>
      </c>
      <c r="JY178" s="218" t="e">
        <f t="shared" ca="1" si="545"/>
        <v>#N/A</v>
      </c>
      <c r="JZ178" s="217" t="e">
        <f ca="1">IF(Control!$C$114=1,($IZ178/(IF($JI178&lt;&gt;0,$JI178,1)))*$JK178, 0)</f>
        <v>#N/A</v>
      </c>
      <c r="KA178" s="218" t="e">
        <f t="shared" ca="1" si="683"/>
        <v>#N/A</v>
      </c>
      <c r="KB178" s="218" t="e">
        <f t="shared" ca="1" si="649"/>
        <v>#N/A</v>
      </c>
      <c r="KC178" s="218" t="e">
        <f t="shared" ca="1" si="546"/>
        <v>#N/A</v>
      </c>
      <c r="KD178" s="218" t="e">
        <f t="shared" ca="1" si="547"/>
        <v>#N/A</v>
      </c>
      <c r="KE178" s="218" t="e">
        <f t="shared" ca="1" si="548"/>
        <v>#N/A</v>
      </c>
      <c r="KF178" s="218" t="e">
        <f t="shared" ca="1" si="549"/>
        <v>#N/A</v>
      </c>
      <c r="KG178" s="216" t="e">
        <f t="shared" ca="1" si="550"/>
        <v>#N/A</v>
      </c>
      <c r="KH178" s="221" t="e">
        <f ca="1">IF(Control!$B$24=0,1,MAX(0.001,MIN(1,IF(($IF178-$IE178)&lt;&gt;0,($KG178-$IE178)/($IF178-$IE178),1))))</f>
        <v>#N/A</v>
      </c>
      <c r="KI178" s="222" t="e">
        <f ca="1">IF(Control!$C$114=1, $KI177+ $KH177, 0)</f>
        <v>#N/A</v>
      </c>
      <c r="KJ178" s="217" t="e">
        <f t="shared" ca="1" si="551"/>
        <v>#N/A</v>
      </c>
      <c r="KK178" s="218" t="e">
        <f t="shared" ca="1" si="552"/>
        <v>#N/A</v>
      </c>
      <c r="KL178" s="274" t="e">
        <f ca="1">IF(Control!$B$26=3,4000000000*EXP(-8400/($G178+273)),IF(Control!$B$26=4,4000000000*EXP(-8400/($G178+273))*($KT178),0))</f>
        <v>#DIV/0!</v>
      </c>
      <c r="KM178" s="274" t="e">
        <f ca="1">IF(Control!$B$26=3,5600000000000*EXP(-9800/($G178+273)),IF(Control!$B$26=4,5600000000000*EXP(-9800/($G178+273))*$KT178,0))</f>
        <v>#DIV/0!</v>
      </c>
      <c r="KN178" s="454" t="e">
        <f t="shared" ca="1" si="650"/>
        <v>#DIV/0!</v>
      </c>
      <c r="KO178" s="274" t="e">
        <f t="shared" ca="1" si="651"/>
        <v>#DIV/0!</v>
      </c>
      <c r="KP178" s="454" t="e">
        <f t="shared" ca="1" si="553"/>
        <v>#DIV/0!</v>
      </c>
      <c r="KQ178" s="454" t="e">
        <f t="shared" ca="1" si="554"/>
        <v>#DIV/0!</v>
      </c>
      <c r="KR178" s="454" t="e">
        <f t="shared" ca="1" si="555"/>
        <v>#DIV/0!</v>
      </c>
      <c r="KS178" s="454" t="e">
        <f t="shared" ca="1" si="556"/>
        <v>#DIV/0!</v>
      </c>
      <c r="KT178" s="455" t="e">
        <f t="shared" ca="1" si="557"/>
        <v>#DIV/0!</v>
      </c>
      <c r="KU178" s="456" t="e">
        <f ca="1">IF($CP178-Control!$C$149&lt;0, IF($NT178-0.01&lt;0,0,1),0)</f>
        <v>#N/A</v>
      </c>
      <c r="KV178" s="456" t="e">
        <f ca="1">IF(Control!$C$114=1,MAX(0,MIN(Control!$C$125*$KW178*$GN178,$KW178)))</f>
        <v>#DIV/0!</v>
      </c>
      <c r="KW178" s="456" t="e">
        <f t="shared" ca="1" si="684"/>
        <v>#DIV/0!</v>
      </c>
      <c r="KX178" s="457" t="e">
        <f ca="1">IF($CP178-Control!$C$149&lt;0, IF($MR178-$OM178&lt;0,0,1),0)</f>
        <v>#N/A</v>
      </c>
      <c r="KY178" s="167">
        <f t="shared" ca="1" si="652"/>
        <v>174</v>
      </c>
      <c r="KZ178" s="168">
        <f ca="1">1370*(1+0.033*COS(2*Control!$C$138*$AH178/365))</f>
        <v>1325.2730586705197</v>
      </c>
      <c r="LA178" s="169">
        <f t="shared" ca="1" si="653"/>
        <v>0.96735263126897797</v>
      </c>
      <c r="LB178" s="169">
        <f t="shared" ca="1" si="654"/>
        <v>0.40875696250282001</v>
      </c>
      <c r="LC178" s="169">
        <f ca="1">ACOS(-TAN((2*Control!$B$8/360))*TAN(Calculations!$LB178))</f>
        <v>1.699889353761268</v>
      </c>
      <c r="LD178" s="169">
        <f ca="1">((24*60)/PI())*0.082*$LA178*(($LC178*SIN(Control!$B$8*2*PI()/360))*SIN($LB178)+COS(Control!$B$8*2*PI()/360)*COS($LB178)*SIN($LC178))</f>
        <v>39.728032749723496</v>
      </c>
      <c r="LE178" s="170">
        <f t="shared" ca="1" si="558"/>
        <v>41.447822067892545</v>
      </c>
      <c r="LF178" s="170">
        <f ca="1">SIN(Control!$C$139*Control!$B$8)*SIN($HD178)</f>
        <v>0.3134844173733351</v>
      </c>
      <c r="LG178" s="170">
        <f ca="1">COS(Control!$C$139*Control!$B$8)*COS($HD178)</f>
        <v>0.56484624942260464</v>
      </c>
      <c r="LH178" s="170">
        <f ca="1">12*(1+2*ASIN(MAX(-1,MIN(1,$LF178/$LG178))/Control!$C$138))</f>
        <v>16.262175168228552</v>
      </c>
      <c r="LI178" s="170">
        <f ca="1">12*(1+2*ASIN(MAX(-1,MIN(1,(-SIN(-4*Control!$C$139)+$LF178)/$LG178))/Control!$C$138))</f>
        <v>17.22441294043071</v>
      </c>
      <c r="LJ178" s="168">
        <f ca="1">3600*($LH178*$LF178+24*$LG178*SQRT(1-$LK178*$LK178)/Control!$C$138)</f>
        <v>31274.929944982014</v>
      </c>
      <c r="LK178" s="170">
        <f t="shared" ca="1" si="559"/>
        <v>0.55499070356541125</v>
      </c>
      <c r="LL178" s="170">
        <f t="shared" ca="1" si="560"/>
        <v>0</v>
      </c>
      <c r="LM178" s="171">
        <f ca="1">Control!$C$145*$AB178</f>
        <v>6.6660906138995932E-2</v>
      </c>
      <c r="LN178" s="170">
        <f t="shared" ca="1" si="655"/>
        <v>0.54</v>
      </c>
      <c r="LO178" s="170">
        <f t="shared" ca="1" si="561"/>
        <v>0</v>
      </c>
      <c r="LP178" s="170">
        <f ca="1">Control!$C$140*((($D178+273.16)^4+($E178+273.16)^4)/2)*(0.34-0.14*SQRT($Y178))*(1.35*$AQ178/(0.75*$LD178)-0.35)</f>
        <v>-3.2464704755046001</v>
      </c>
      <c r="LQ178" s="170">
        <f ca="1">Control!$C$140*($G178+273)^4*(0.56-0.079*SQRT($Y178*10))*(0.1+0.9*$LO178)</f>
        <v>1.5241745131704001</v>
      </c>
      <c r="LR178" s="170">
        <f ca="1">$AQ178*(1-Control!$C$142)-$LQ178</f>
        <v>-1.5241745131704001</v>
      </c>
      <c r="LS178" s="170">
        <f ca="1">$AQ178*(1-Control!$C$143)-$LQ178</f>
        <v>-1.5241745131704001</v>
      </c>
      <c r="LT178" s="170">
        <f ca="1">$AQ178*(1-Control!$C$144)-$LQ178</f>
        <v>-1.5241745131704001</v>
      </c>
      <c r="LU178" s="169">
        <f ca="1">(1-Control!$C$144)*AQ178-LP178</f>
        <v>3.2464704755046001</v>
      </c>
      <c r="LV178" s="172">
        <f t="shared" ca="1" si="562"/>
        <v>0.79430000000000012</v>
      </c>
      <c r="LW178" s="170">
        <f t="shared" ca="1" si="563"/>
        <v>1.5886000000000002</v>
      </c>
      <c r="LX178" s="170">
        <f ca="1">($AC178*($LR178/Control!$C$141)+$LM178*$LV178)/($AC178+$LM178)</f>
        <v>0.23530094218323697</v>
      </c>
      <c r="LY178" s="170">
        <f ca="1">($AC178*($LS178/Control!$C$141)+$LM178*$LV178)/($AC178+$LM178)</f>
        <v>0.23530094218323697</v>
      </c>
      <c r="LZ178" s="170">
        <f t="shared" ca="1" si="564"/>
        <v>0.23530094218323697</v>
      </c>
      <c r="MA178" s="170">
        <f t="shared" ca="1" si="565"/>
        <v>0.23530094218323697</v>
      </c>
      <c r="MB178" s="170" t="e">
        <f t="shared" ca="1" si="566"/>
        <v>#N/A</v>
      </c>
      <c r="MC178" s="170">
        <f t="shared" ca="1" si="656"/>
        <v>0.6018</v>
      </c>
      <c r="MD178" s="170">
        <f t="shared" ca="1" si="567"/>
        <v>0.52989392535414004</v>
      </c>
      <c r="ME178" s="170">
        <f ca="1">($AC178*($LT178/Control!$C$141)+$LM178*$LW178)/($AC178+$LM178)</f>
        <v>0.71612369323045078</v>
      </c>
      <c r="MF178" s="170" t="e">
        <f ca="1">IF(Control!$B$16&gt;=1000,0.92,IF(AND(720&lt;=Control!$B$16,1000&gt;Control!$B$16),(0.95+(Control!$B$16-720)*((0.92-0.95)/(1000-720))),IF(AND(360&lt;=Control!$B$16,720&gt;Control!$B$16),(1+(Control!$B$16-360)*((0.95-1)/(720-360))),IF(AND(40&lt;=Control!$B$16,360&gt;Control!$B$16),(1.05+(Control!$B$16-40)*((1.05-1)/(360-40)))))))</f>
        <v>#N/A</v>
      </c>
      <c r="MG178" s="170">
        <f t="shared" ca="1" si="568"/>
        <v>0.71612369323045078</v>
      </c>
      <c r="MH178" s="170" t="e">
        <f t="shared" ca="1" si="694"/>
        <v>#N/A</v>
      </c>
      <c r="MI178" s="170" t="e">
        <f t="shared" ca="1" si="694"/>
        <v>#N/A</v>
      </c>
      <c r="MJ178" s="170" t="e">
        <f ca="1">MAX(0.0001, Control!$C$132*$MI178*$DL178)</f>
        <v>#N/A</v>
      </c>
      <c r="MK178" s="170">
        <f ca="1">1/(0.76+1.5*($MG178/10))-(5-Control!$C$110)*0.1</f>
        <v>1.002845988140797</v>
      </c>
      <c r="ML178" s="173">
        <f ca="1">IF(Control!$C$110&lt;3,$MK178+($MG178-0.6)/(Control!$C$110*(Control!$C$110+3)), MAX(0.1, MIN(0.95,$MK178)))</f>
        <v>0.95</v>
      </c>
      <c r="MM178" s="173">
        <f ca="1">IF(Control!$C$110&lt;3,$MK178+(($MI178/10)-0.6)/(Control!$C$110*(Control!$C$110+3)), MAX(0.1, MIN(0.95,$MK178)))</f>
        <v>0.95</v>
      </c>
      <c r="MN178" s="173">
        <f ca="1">(1-$MM178)*(Control!$C$128-Control!$C$127)+Control!$C$127</f>
        <v>0.16</v>
      </c>
      <c r="MO178" s="170" t="e">
        <f ca="1">MAX(0,MIN(1,($MS178-Control!$C$127)/($MN178-Control!$C$127)))</f>
        <v>#DIV/0!</v>
      </c>
      <c r="MP178" s="173" t="e">
        <f ca="1">1/(0.76+1.5*$MI178)-(5-Control!$C$110)*0.1</f>
        <v>#N/A</v>
      </c>
      <c r="MQ178" s="172" t="e">
        <f t="shared" ca="1" si="685"/>
        <v>#DIV/0!</v>
      </c>
      <c r="MR178" s="168" t="e">
        <f t="shared" ca="1" si="657"/>
        <v>#DIV/0!</v>
      </c>
      <c r="MS178" s="173" t="e">
        <f ca="1">MAX(Control!$C$127, MIN(Control!$C$135, $MR178/MAX(0.0001,$CY178)))</f>
        <v>#DIV/0!</v>
      </c>
      <c r="MT178" s="168" t="e">
        <f ca="1">(Control!$C$128-$MS178)*Control!$C$74</f>
        <v>#DIV/0!</v>
      </c>
      <c r="MU178" s="168" t="e">
        <f ca="1">(Control!$C$135-$MS178)*Control!$C$74</f>
        <v>#DIV/0!</v>
      </c>
      <c r="MV178" s="168" t="e">
        <f t="shared" ca="1" si="658"/>
        <v>#DIV/0!</v>
      </c>
      <c r="MW178" s="168" t="e">
        <f t="shared" ca="1" si="659"/>
        <v>#DIV/0!</v>
      </c>
      <c r="MX178" s="171" t="e">
        <f ca="1">MAX(Control!$C$127, MIN(Control!$C$135, $MW178/MAX(0.0001,Control!$C$119-$CY178)))</f>
        <v>#DIV/0!</v>
      </c>
      <c r="MY178" s="54" t="e">
        <f ca="1">IF(Control!$C$114=1, $CX178*$MX178, 0)</f>
        <v>#DIV/0!</v>
      </c>
      <c r="MZ178" s="54" t="e">
        <f t="shared" ca="1" si="660"/>
        <v>#N/A</v>
      </c>
      <c r="NA178" s="168" t="e">
        <f ca="1">(Control!$C$128-$MX178)*(Control!$C$119-Control!$C$74)</f>
        <v>#DIV/0!</v>
      </c>
      <c r="NB178" s="168" t="e">
        <f ca="1">(Control!$C$135-$MX178)*(Control!$C$119-Control!$C$74)</f>
        <v>#DIV/0!</v>
      </c>
      <c r="NC178" s="174" t="e">
        <f t="shared" ca="1" si="661"/>
        <v>#DIV/0!</v>
      </c>
      <c r="ND178" s="54">
        <f ca="1">IF(Control!$C$58=2, IF(OR(Control!$B$218=$AH178,Control!$B$219=$AH178, Control!$B$220=$AH178, Control!$B$221=$AH178, Control!$B$222=$AH178, Control!$B$223=$AH178, Control!$B$224=$AH178, Control!$B$225=$AH178, Control!$B$226=$AH178, Control!$B$227=$AH178, Control!$B$228=$AH178), 1, 0), 0)</f>
        <v>0</v>
      </c>
      <c r="NE178" s="54">
        <f ca="1">IF($ND178=0,0, VLOOKUP($AH178,Control!$B$218:$C$228,2))</f>
        <v>0</v>
      </c>
      <c r="NF178" s="168" t="e">
        <f ca="1">$CY178*(Control!$C$128-Control!$C$127)</f>
        <v>#N/A</v>
      </c>
      <c r="NG178" s="54" t="e">
        <f ca="1">IF(Control!$C$58=2, $NI177-$NJ177, 0)</f>
        <v>#DIV/0!</v>
      </c>
      <c r="NH178" s="54" t="e">
        <f ca="1">IF(AND(Control!$C$58=1, $MS177&lt;= ($MN177+0.02), $I177&lt;10), 0, IF(Control!$C$58=2, $NG177, 0))</f>
        <v>#DIV/0!</v>
      </c>
      <c r="NI178" s="54" t="e">
        <f ca="1">IF(Control!$C$58=2, $NE178+$NH178,0)</f>
        <v>#DIV/0!</v>
      </c>
      <c r="NJ178" s="54" t="e">
        <f ca="1">IF(AND(Control!$C$58=1, $MS178&lt;= ($MN178+0.02), $I178&lt;10), MAX(0, MIN(10, 0.7*($NF178-$MV178))), IF(Control!$C$58=2, MIN(10,$NI178),0))</f>
        <v>#DIV/0!</v>
      </c>
      <c r="NK178" s="54" t="e">
        <f t="shared" ca="1" si="569"/>
        <v>#DIV/0!</v>
      </c>
      <c r="NL178" s="173" t="e">
        <f ca="1">(1-Control!$C$73)*$I178+$NJ178</f>
        <v>#DIV/0!</v>
      </c>
      <c r="NM178" s="172" t="e">
        <f ca="1">IF($NL178&lt;0.5, $MB178* MAX(0, MIN(1, (SQRT($NC178)-SQRT($NC178-1))*Control!$C$71)),0)</f>
        <v>#DIV/0!</v>
      </c>
      <c r="NN178" s="170" t="e">
        <f ca="1">IF($NL178&gt;=5, $MB178, MAX(0,MIN($MB178, $NM178+$NL178,($MS178-Control!$C$129))))</f>
        <v>#DIV/0!</v>
      </c>
      <c r="NO178" s="54">
        <f>IF(Control!$C$133&lt;&gt;1, Control!$C$135-Control!$C$131, 0)</f>
        <v>0.38</v>
      </c>
      <c r="NP178" s="54" t="e">
        <f t="shared" ca="1" si="570"/>
        <v>#DIV/0!</v>
      </c>
      <c r="NQ178" s="173" t="e">
        <f ca="1">MAX(0,MIN(1,(Control!$C$135-$MS178)/(Control!$C$135-$NO178)))</f>
        <v>#DIV/0!</v>
      </c>
      <c r="NR178" s="170" t="e">
        <f ca="1">IF(Control!$C$133&lt;&gt;1, $NQ178+((1-$NP178/4)*(1-$NQ178)),1)</f>
        <v>#DIV/0!</v>
      </c>
      <c r="NS178" s="170" t="e">
        <f ca="1">IF(Control!$B$31=0,$MJ178,MAX(0,MIN($MV178,$MO178*$NR178*$MJ178)))</f>
        <v>#DIV/0!</v>
      </c>
      <c r="NT178" s="170" t="e">
        <f t="shared" ca="1" si="686"/>
        <v>#DIV/0!</v>
      </c>
      <c r="NU178" s="170" t="e">
        <f t="shared" ca="1" si="662"/>
        <v>#N/A</v>
      </c>
      <c r="NV178" s="170" t="e">
        <f t="shared" ca="1" si="571"/>
        <v>#N/A</v>
      </c>
      <c r="NW178" s="175" t="e">
        <f t="shared" ca="1" si="572"/>
        <v>#DIV/0!</v>
      </c>
      <c r="NX178" s="170" t="e">
        <f ca="1">MIN(Control!$C$72+$MU178, $NW178)</f>
        <v>#DIV/0!</v>
      </c>
      <c r="NY178" s="170" t="e">
        <f ca="1">IF($MT178&lt;=$NX178,MIN(Control!$C$72+$NB178,$NX178-$MT178),0)</f>
        <v>#DIV/0!</v>
      </c>
      <c r="NZ178" s="54" t="e">
        <f ca="1">IF(Control!$C$114=1,  $CX178*($MX178-Control!$C$127), 0)</f>
        <v>#DIV/0!</v>
      </c>
      <c r="OA178" s="170" t="e">
        <f t="shared" ca="1" si="573"/>
        <v>#DIV/0!</v>
      </c>
      <c r="OB178" s="170" t="e">
        <f ca="1">IF($NA178 &lt;=$NY178, MIN(Control!$C$72, $NY178-$NA178), 0)</f>
        <v>#DIV/0!</v>
      </c>
      <c r="OC178" s="168" t="e">
        <f t="shared" ca="1" si="574"/>
        <v>#DIV/0!</v>
      </c>
      <c r="OD178" s="168" t="e">
        <f t="shared" ca="1" si="663"/>
        <v>#DIV/0!</v>
      </c>
      <c r="OE178" s="170">
        <f ca="1">Control!$C$73*$I178</f>
        <v>0</v>
      </c>
      <c r="OF178" s="176" t="e">
        <f t="shared" ca="1" si="575"/>
        <v>#DIV/0!</v>
      </c>
      <c r="OG178" s="168" t="e">
        <f t="shared" ca="1" si="576"/>
        <v>#DIV/0!</v>
      </c>
      <c r="OH178" s="168" t="e">
        <f t="shared" ca="1" si="577"/>
        <v>#DIV/0!</v>
      </c>
      <c r="OI178" s="168" t="e">
        <f t="shared" ca="1" si="578"/>
        <v>#DIV/0!</v>
      </c>
      <c r="OJ178" s="168" t="e">
        <f t="shared" ca="1" si="579"/>
        <v>#DIV/0!</v>
      </c>
      <c r="OK178" s="204" t="e">
        <f t="shared" ca="1" si="580"/>
        <v>#DIV/0!</v>
      </c>
      <c r="OL178" s="177">
        <f>Control!$C$127</f>
        <v>0.15</v>
      </c>
      <c r="OM178" s="182" t="e">
        <f t="shared" ca="1" si="581"/>
        <v>#N/A</v>
      </c>
      <c r="ON178" s="177">
        <f>Control!$C$128</f>
        <v>0.35</v>
      </c>
      <c r="OO178" s="182" t="e">
        <f t="shared" ca="1" si="582"/>
        <v>#N/A</v>
      </c>
      <c r="OP178" s="138">
        <f t="shared" ca="1" si="664"/>
        <v>0</v>
      </c>
      <c r="OQ178" s="138" t="e">
        <f t="shared" ca="1" si="687"/>
        <v>#DIV/0!</v>
      </c>
      <c r="OR178" s="138" t="e">
        <f t="shared" ca="1" si="665"/>
        <v>#DIV/0!</v>
      </c>
      <c r="OS178" s="137" t="e">
        <f t="shared" ca="1" si="688"/>
        <v>#DIV/0!</v>
      </c>
      <c r="OT178" s="139" t="e">
        <f t="shared" ca="1" si="689"/>
        <v>#DIV/0!</v>
      </c>
      <c r="OU178" s="138" t="e">
        <f t="shared" ca="1" si="690"/>
        <v>#N/A</v>
      </c>
      <c r="OV178" s="138" t="e">
        <f t="shared" ca="1" si="691"/>
        <v>#DIV/0!</v>
      </c>
      <c r="OW178" s="138" t="e">
        <f t="shared" ca="1" si="666"/>
        <v>#DIV/0!</v>
      </c>
      <c r="OX178" s="138" t="e">
        <f t="shared" ca="1" si="667"/>
        <v>#DIV/0!</v>
      </c>
      <c r="OY178" s="138" t="e">
        <f t="shared" ca="1" si="668"/>
        <v>#DIV/0!</v>
      </c>
      <c r="OZ178" s="138" t="e">
        <f t="shared" ca="1" si="583"/>
        <v>#DIV/0!</v>
      </c>
      <c r="PA178" s="138" t="e">
        <f t="shared" ca="1" si="584"/>
        <v>#DIV/0!</v>
      </c>
      <c r="PB178" s="55">
        <f>IF(Control!$C$61="T", IF(Control!$C$65="F", IF($AH$6-Control!$C$60&lt;0,0,1), IF(365+$AH$6-Control!$C$60&lt;0,0,1)),0)</f>
        <v>0</v>
      </c>
      <c r="PC178" s="55">
        <f ca="1">IF(Control!$C$65="F", IF($AH$6-$HF178&lt;0,0,1), IF(365+$AH$6-$HF178&lt;0,0,1))</f>
        <v>1</v>
      </c>
      <c r="PD178" s="444">
        <f>Control!$C$118</f>
        <v>1500</v>
      </c>
      <c r="PE178" s="180" t="e">
        <f t="shared" ca="1" si="585"/>
        <v>#N/A</v>
      </c>
      <c r="PF178" s="445">
        <f t="shared" ca="1" si="669"/>
        <v>0.71612369323045078</v>
      </c>
      <c r="PT178" s="186"/>
      <c r="PU178" s="186"/>
      <c r="PV178" s="94"/>
      <c r="PW178" s="94"/>
      <c r="PX178" s="94"/>
      <c r="PY178" s="94"/>
      <c r="PZ178" s="94"/>
      <c r="QA178" s="94"/>
      <c r="QB178" s="94"/>
      <c r="QC178" s="94"/>
      <c r="QD178" s="94"/>
      <c r="QE178" s="94"/>
      <c r="QF178" s="94"/>
      <c r="QG178" s="94"/>
      <c r="QH178" s="94"/>
      <c r="QI178" s="94"/>
      <c r="QJ178" s="94"/>
      <c r="QK178" s="94"/>
      <c r="QL178" s="94"/>
      <c r="QM178" s="94"/>
      <c r="QN178" s="94"/>
      <c r="QO178" s="94"/>
      <c r="QP178" s="94"/>
    </row>
    <row r="179" spans="1:458" s="2" customFormat="1" x14ac:dyDescent="0.2">
      <c r="A179" s="395">
        <v>23</v>
      </c>
      <c r="B179" s="396">
        <v>6</v>
      </c>
      <c r="C179" s="387">
        <f ca="1">Weather_data!$B178</f>
        <v>0</v>
      </c>
      <c r="D179" s="388">
        <f ca="1">Weather_data!$F178</f>
        <v>0</v>
      </c>
      <c r="E179" s="388">
        <f ca="1">Weather_data!$E178</f>
        <v>0</v>
      </c>
      <c r="F179" s="388">
        <f t="shared" ca="1" si="586"/>
        <v>0</v>
      </c>
      <c r="G179" s="388">
        <f ca="1">AVERAGE($D179:$E179)+Control!$B$9</f>
        <v>0</v>
      </c>
      <c r="H179" s="388">
        <f ca="1">Weather_data!$G178</f>
        <v>0</v>
      </c>
      <c r="I179" s="388">
        <f ca="1">Weather_data!$I178</f>
        <v>0</v>
      </c>
      <c r="J179" s="388">
        <f ca="1">Weather_data!$H178</f>
        <v>0</v>
      </c>
      <c r="K179" s="389">
        <f ca="1">Weather_data!$D178</f>
        <v>0</v>
      </c>
      <c r="L179" s="388" t="e">
        <f t="shared" ca="1" si="587"/>
        <v>#N/A</v>
      </c>
      <c r="M179" s="388" t="e">
        <f t="shared" ca="1" si="465"/>
        <v>#N/A</v>
      </c>
      <c r="N179" s="388">
        <f t="shared" ca="1" si="466"/>
        <v>-6.0663035400198719E-9</v>
      </c>
      <c r="O179" s="388">
        <f t="shared" ca="1" si="588"/>
        <v>6.0663035400198715E-8</v>
      </c>
      <c r="P179" s="390">
        <v>3</v>
      </c>
      <c r="Q179" s="388">
        <f ca="1">MAX($G179-Control!$C$107,0)</f>
        <v>0</v>
      </c>
      <c r="R179" s="388">
        <f t="shared" ca="1" si="589"/>
        <v>0</v>
      </c>
      <c r="S179" s="388">
        <f t="shared" ca="1" si="467"/>
        <v>0</v>
      </c>
      <c r="T179" s="388">
        <f t="shared" ca="1" si="468"/>
        <v>0</v>
      </c>
      <c r="U179" s="59">
        <f t="shared" ca="1" si="469"/>
        <v>0</v>
      </c>
      <c r="V179" s="391">
        <f ca="1">MAX(0,MIN(Control!$C$100-Control!$C$99,$G179-Control!$C$99)*Control!$C$63)</f>
        <v>0</v>
      </c>
      <c r="W179" s="388">
        <f t="shared" ca="1" si="590"/>
        <v>0</v>
      </c>
      <c r="X179" s="388">
        <f t="shared" ca="1" si="591"/>
        <v>0.6110000000000001</v>
      </c>
      <c r="Y179" s="388">
        <f t="shared" ca="1" si="470"/>
        <v>0</v>
      </c>
      <c r="Z179" s="388">
        <f t="shared" ca="1" si="592"/>
        <v>0.61058800000000002</v>
      </c>
      <c r="AA179" s="388">
        <f t="shared" ca="1" si="471"/>
        <v>0.6018</v>
      </c>
      <c r="AB179" s="388">
        <f ca="1">101.3*EXP(-0.034*Control!$C$66/($G179+273))</f>
        <v>100.69623283836242</v>
      </c>
      <c r="AC179" s="392">
        <f t="shared" ca="1" si="472"/>
        <v>4.3460251046025113E-2</v>
      </c>
      <c r="AD179" s="392">
        <f t="shared" ca="1" si="473"/>
        <v>4.4450382862832649E-2</v>
      </c>
      <c r="AE179" s="388">
        <f t="shared" ca="1" si="474"/>
        <v>0</v>
      </c>
      <c r="AF179" s="388">
        <f ca="1">MAX(0,$G179-Control!$C$92)</f>
        <v>0</v>
      </c>
      <c r="AG179" s="393">
        <f t="shared" ca="1" si="475"/>
        <v>175</v>
      </c>
      <c r="AH179" s="389">
        <f t="shared" ca="1" si="476"/>
        <v>175</v>
      </c>
      <c r="AI179" s="388">
        <f t="shared" ca="1" si="593"/>
        <v>0.40887893578806461</v>
      </c>
      <c r="AJ179" s="388">
        <f ca="1">IF(Control!$C$60&lt;=0,$HH179,$HI179)</f>
        <v>1</v>
      </c>
      <c r="AK179" s="388">
        <f t="shared" ca="1" si="477"/>
        <v>1.6353496004987964</v>
      </c>
      <c r="AL179" s="388">
        <f t="shared" ca="1" si="478"/>
        <v>-1.0639650618871065E-17</v>
      </c>
      <c r="AM179" s="388">
        <f t="shared" ca="1" si="479"/>
        <v>1.6353496004987964</v>
      </c>
      <c r="AN179" s="388">
        <f t="shared" ca="1" si="480"/>
        <v>0.40821479673440453</v>
      </c>
      <c r="AO179" s="388">
        <f ca="1">-0.10453/COS(Control!$B$8*PI()/180)*COS(AN179)</f>
        <v>-0.15583380487965409</v>
      </c>
      <c r="AP179" s="388">
        <f ca="1">ACOS(AO179-TAN(Control!$B$8*PI()/180)*TAN(AN179))</f>
        <v>2.3594739283755564</v>
      </c>
      <c r="AQ179" s="388">
        <f t="shared" ca="1" si="594"/>
        <v>0</v>
      </c>
      <c r="AR179" s="394">
        <f t="shared" ca="1" si="481"/>
        <v>0</v>
      </c>
      <c r="AS179" s="436">
        <f ca="1">IF(Control!$B$18=2,(IF(OR($AH179=Control!$B$175,$AH179=Control!$B$176,$AH179=Control!$B$177,$AH179=Control!$B$178,$AH179=Control!$B$179,$AH179=Control!$B$180,$AH179=Control!$B$181,$AH179=Control!$B$182,$AH179=Control!$B$183,$AH179=Control!$B$184,$AH179=Control!$B$185),1,0)),0)</f>
        <v>0</v>
      </c>
      <c r="AT179" s="436">
        <f>IF(Control!$B$20=8,IF(AND($AH179&gt;=Control!$B$172,$AH179&lt;=Control!$B$173),1,0),0)</f>
        <v>0</v>
      </c>
      <c r="AU179" s="436">
        <f>IF(Control!$B$20=8,IF($AV178=1,1*$AT179,IF($AT179=1,$AU178+1,$AU178)),0)</f>
        <v>0</v>
      </c>
      <c r="AV179" s="436">
        <f>IF(Control!$B$20=8,IF($AU179&gt;=Control!$B$174,1,0),0)</f>
        <v>0</v>
      </c>
      <c r="AW179" s="436">
        <f ca="1">IF(AND(Control!$B$18=2,Control!$B$171=1), $AV179, $AS179)</f>
        <v>0</v>
      </c>
      <c r="AX179" s="436" t="e">
        <f ca="1">IF(AND(Control!$B$18=1,$EU179&gt;=Control!$B$19),-$AY179,IF(AND(Control!$B$18=2,$AW179=1,$EU179&gt;$DS179),-$AY179, IF(Control!$C$108=0,0, IF(Control!$C$108&lt;&gt;0,1))))</f>
        <v>#N/A</v>
      </c>
      <c r="AY179" s="436" t="e">
        <f t="shared" ca="1" si="595"/>
        <v>#N/A</v>
      </c>
      <c r="AZ179" s="436" t="e">
        <f ca="1">IF(AND(Control!$B$18=1,$EB179&gt;Control!$B$19),$AZ178+1, IF(AND(Control!$B$18=2, $AW179=1, $EB179&gt;$DS179), $AZ178+1,$AZ178))</f>
        <v>#N/A</v>
      </c>
      <c r="BA179" s="587">
        <f>IF(Control!$C$81=0,1,IF($AH179&gt;=Control!$C$82,1,0))</f>
        <v>1</v>
      </c>
      <c r="BB179" s="140" t="e">
        <f ca="1">IF($BA179&gt;$BA178,Control!$C$83,IF($AW179&gt;0,$AW179*Control!$C$84,IF(AND(Control!$B$18=1,EN178&lt;&gt;0),Control!$C$84,0)))</f>
        <v>#N/A</v>
      </c>
      <c r="BC179" s="140" t="e">
        <f t="shared" ca="1" si="596"/>
        <v>#N/A</v>
      </c>
      <c r="BD179" s="140" t="e">
        <f ca="1">BC179*IF(OR($G179&lt;Control!$C$92,$G179&gt;Control!$C$95),0,IF(AND($G179&gt;=Control!$C$92,$G179&lt;=Control!$C$93),$G179-Control!$C$92,IF(AND($G179&gt;Control!$C$93,$G179&lt;=Control!$C$94),Control!$C$93-Control!$C$92,IF(AND($G179&gt;Control!$C$94,$G179&lt;=Control!$C$95),(Control!$C$93-Control!$C$92)*(Control!$C$94-$G179)/(Control!$C$95-Control!$C$94)))))</f>
        <v>#N/A</v>
      </c>
      <c r="BE179" s="140" t="e">
        <f t="shared" ca="1" si="597"/>
        <v>#N/A</v>
      </c>
      <c r="BF179" s="140" t="e">
        <f ca="1">IF($BE179&lt;=Control!$C$86,$BE179,Control!$C$86-$BE179)</f>
        <v>#N/A</v>
      </c>
      <c r="BG179" s="140" t="e">
        <f ca="1">IF(AND($AW179=1,Control!$C$84&lt;9),1,IF($BE179&gt;=Control!$C$86,0,$BC179))</f>
        <v>#N/A</v>
      </c>
      <c r="BH179" s="404" t="e">
        <f ca="1">IF($BG179=0,0,IF($BE179&lt;=Control!$C$86,$BC179*9*($BF179/Control!$C$86),0))</f>
        <v>#N/A</v>
      </c>
      <c r="BI179" s="140" t="e">
        <f ca="1">IF($BG179=1,0,IF($BE179&gt;=Control!$C$86,1,IF(AND($BB179&lt;21,$BB179&gt;=9),1,$BM178)))</f>
        <v>#N/A</v>
      </c>
      <c r="BJ179" s="140" t="e">
        <f ca="1">IF($BF179&lt;0,-$BF179,$BI179*IF(OR($G179&lt;Control!$C$92,$G179&gt;Control!$C$95),0,IF(AND($G179&gt;=Control!$C$92,$G179&lt;=Control!$C$93),$G179-Control!$C$92,IF(AND($G179&gt;Control!$C$93,$G179&lt;=Control!$C$94),Control!$C$93-Control!$C$92,IF(AND($G179&gt;Control!$C$94,$G179&lt;=Control!$C$95),(Control!$C$93-Control!$C$92)*(Control!$C$94-$G179)/(Control!$C$95-Control!$C$94))))))</f>
        <v>#N/A</v>
      </c>
      <c r="BK179" s="140" t="e">
        <f t="shared" ca="1" si="598"/>
        <v>#N/A</v>
      </c>
      <c r="BL179" s="140" t="e">
        <f ca="1">IF($BK179&lt;=Control!$C$87,$BK179,Control!$C$87-$BK179)</f>
        <v>#N/A</v>
      </c>
      <c r="BM179" s="140" t="e">
        <f ca="1">IF(AND($BB179&gt;=9,$BB179&lt;21),1,IF($BK179&gt;=Control!$C$87,0,$BI179))</f>
        <v>#N/A</v>
      </c>
      <c r="BN179" s="404" t="e">
        <f ca="1">IF($BM179=0,0,IF($BK179&lt;=Control!$C$87,$BI179*(9+(21-9)*($BL179/Control!$C$87)),0))</f>
        <v>#N/A</v>
      </c>
      <c r="BO179" s="140" t="e">
        <f ca="1">IF($BM179=1,0,IF($BK179&gt;=Control!$C$87,1,IF(AND($BB179&lt;30,$BB179&gt;=21),1,$BS178)))</f>
        <v>#N/A</v>
      </c>
      <c r="BP179" s="140" t="e">
        <f ca="1">IF($BL179&lt;0,-$BL179,$BO179*IF(OR($G179&lt;Control!$C$92,$G179&gt;Control!$C$95),0,IF(AND($G179&gt;=Control!$C$92,$G179&lt;=Control!$C$93),$G179-Control!$C$92,IF(AND($G179&gt;Control!$C$93,$G179&lt;=Control!$C$94),Control!$C$93-Control!$C$92,IF(AND($G179&gt;Control!$C$94,$G179&lt;=Control!$C$95),(Control!$C$93-Control!$C$92)*(Control!$C$94-$G179)/(Control!$C$95-Control!$C$94))))))</f>
        <v>#N/A</v>
      </c>
      <c r="BQ179" s="140" t="e">
        <f t="shared" ca="1" si="482"/>
        <v>#N/A</v>
      </c>
      <c r="BR179" s="140" t="e">
        <f ca="1">IF($BQ179&lt;=Control!$C$88,$BQ179,Control!$C$88-$BQ179)</f>
        <v>#N/A</v>
      </c>
      <c r="BS179" s="140" t="e">
        <f ca="1">IF(AND($BB179&gt;=21,$BB179&lt;30),1,IF($BQ179&gt;=Control!$C$88,0,$BO179))</f>
        <v>#N/A</v>
      </c>
      <c r="BT179" s="404" t="e">
        <f ca="1">IF($BS179=0,0,IF($BQ179&lt;=Control!$C$88,$BO179*(21+(30-21)*(BR179/Control!$C$88)),0))</f>
        <v>#N/A</v>
      </c>
      <c r="BU179" s="140" t="e">
        <f ca="1">IF(BG179+BM179+BS179=1,0,IF(OR(AND($BB179&lt;60,$BB179&gt;=30),$BQ179&gt;=Control!$C$88),1*$BA179,$BY178))</f>
        <v>#N/A</v>
      </c>
      <c r="BV179" s="140" t="e">
        <f ca="1">IF($BR179&lt;0,-$BR179,$BU179*IF(OR($G179&lt;Control!$C$92,$G179&gt;Control!$C$95),0,IF(AND($G179&gt;=Control!$C$92,$G179&lt;=Control!$C$93),$G179-Control!$C$92,IF(AND($G179&gt;Control!$C$93,$G179&lt;=Control!$C$94),Control!$C$93-Control!$C$92,IF(AND($G179&gt;Control!$C$94,$G179&lt;=Control!$C$95),(Control!$C$93-Control!$C$92)*(Control!$C$94-$G179)/(Control!$C$95-Control!$C$94))))))</f>
        <v>#N/A</v>
      </c>
      <c r="BW179" s="140" t="e">
        <f t="shared" ca="1" si="483"/>
        <v>#N/A</v>
      </c>
      <c r="BX179" s="140" t="e">
        <f ca="1">IF($BW179&lt;=Control!$C$89,$BW179,Control!$C$89-$BW179)</f>
        <v>#N/A</v>
      </c>
      <c r="BY179" s="140" t="e">
        <f ca="1">IF(AND($AJ179&gt;=30,$AJ179&lt;60),1,IF($BW179&gt;=Control!$C$89,0,$BU179))</f>
        <v>#N/A</v>
      </c>
      <c r="BZ179" s="404" t="e">
        <f ca="1">IF($BY179=0,0,IF($BW179&lt;=Control!$C$89,$BU179*(30+(60-30)*(BX179/Control!$C$89)),0))</f>
        <v>#N/A</v>
      </c>
      <c r="CA179" s="140" t="e">
        <f ca="1">IF($BG179+$BM179+$BS179+$BY179=1,0,IF(OR(AND($BB179&lt;65,$BB179&gt;=60),$BW179&gt;=Control!$C$89),1*$BA179,$CE178))</f>
        <v>#N/A</v>
      </c>
      <c r="CB179" s="140" t="e">
        <f ca="1">IF($BX179&lt;0,-$BX179,$CA179*IF(OR($G179&lt;Control!$C$92,$G179&gt;Control!$C$95),0,IF(AND($G179&gt;=Control!$C$92,$G179&lt;=Control!$C$93),$G179-Control!$C$92,IF(AND($G179&gt;Control!$C$93,$G179&lt;=Control!$C$94),Control!$C$93-Control!$C$92,IF(AND($G179&gt;Control!$C$94,$G179&lt;=Control!$C$95),(Control!$C$93-Control!$C$92)*(Control!$C$94-$G179)/(Control!$C$95-Control!$C$94))))))</f>
        <v>#N/A</v>
      </c>
      <c r="CC179" s="140" t="e">
        <f t="shared" ca="1" si="599"/>
        <v>#N/A</v>
      </c>
      <c r="CD179" s="140" t="e">
        <f ca="1">IF($CC179&lt;=Control!$C$90,$CC179,Control!$C$90-$CC179)</f>
        <v>#N/A</v>
      </c>
      <c r="CE179" s="140" t="e">
        <f ca="1">IF(AND($BB179&gt;=60,$BB179&lt;65),1,IF($CC179&gt;=Control!$C$90,0,$CA179))</f>
        <v>#N/A</v>
      </c>
      <c r="CF179" s="404" t="e">
        <f ca="1">IF($CE179=0,0,IF($CC179&lt;=Control!$C$90,$CA179*(60+(65-60)*(CD179/Control!$C$90)),0))</f>
        <v>#N/A</v>
      </c>
      <c r="CG179" s="140" t="e">
        <f ca="1">IF($BG179+$BM179+$BS179+$BY179+$CE179=1,0,IF(OR(AND($BB179&lt;90,$BB179&gt;=65),$CC179&gt;=Control!$C$90),$BA179,$CK178))</f>
        <v>#N/A</v>
      </c>
      <c r="CH179" s="140" t="e">
        <f ca="1">IF($CD179&lt;0,-$CD179,$CG179*IF(OR($G179&lt;Control!$C$92,$G179&gt;Control!$C$95),0,IF(AND($G179&gt;=Control!$C$92,$G179&lt;=Control!$C$93),$G179-Control!$C$92,IF(AND($G179&gt;Control!$C$93,$G179&lt;=Control!$C$94),Control!$C$93-Control!$C$92,IF(AND($G179&gt;Control!$C$94,$G179&lt;=Control!$C$95),(Control!$C$93-Control!$C$92)*(Control!$C$94-$G179)/(Control!$C$95-Control!$C$94))))))</f>
        <v>#N/A</v>
      </c>
      <c r="CI179" s="140" t="e">
        <f t="shared" ca="1" si="600"/>
        <v>#N/A</v>
      </c>
      <c r="CJ179" s="140" t="e">
        <f ca="1">IF($CI179&lt;=Control!$C$91,$CI179,Control!$C$91-$CI179)</f>
        <v>#N/A</v>
      </c>
      <c r="CK179" s="140" t="e">
        <f ca="1">IF(AND($BB179&gt;=65,$BB179&lt;90),1,IF($CI179&gt;=Control!$C$91,0,$CG179))</f>
        <v>#N/A</v>
      </c>
      <c r="CL179" s="404" t="e">
        <f ca="1">IF($CK179=0,0,IF($CI179&lt;=Control!$C$91,$CG179*(65+(90-65)*($CJ179/Control!$C$91)),0))</f>
        <v>#N/A</v>
      </c>
      <c r="CM179" s="140" t="e">
        <f ca="1">IF($BG179+$BM179+$BS179+$BY179+$CE179+$CK179=1,0,IF(OR($BB179&gt;=90,$CI179&gt;=Control!$C$91),$BA179,$CM178))</f>
        <v>#N/A</v>
      </c>
      <c r="CN179" s="140" t="e">
        <f t="shared" ca="1" si="601"/>
        <v>#N/A</v>
      </c>
      <c r="CO179" s="140" t="e">
        <f t="shared" ca="1" si="602"/>
        <v>#N/A</v>
      </c>
      <c r="CP179" s="140" t="e">
        <f t="shared" ca="1" si="603"/>
        <v>#N/A</v>
      </c>
      <c r="CQ179" s="141" t="e">
        <f ca="1">VLOOKUP($CP179,Control!$B$86:$G$91,6)</f>
        <v>#N/A</v>
      </c>
      <c r="CR179" s="141" t="e">
        <f ca="1">(1-$CQ179)*VLOOKUP($CP179,Control!$B$86:$D$91,3)</f>
        <v>#N/A</v>
      </c>
      <c r="CS179" s="141" t="e">
        <f ca="1">(1-$CQ179)*VLOOKUP($CP179,Control!$B$86:$E$91,4)</f>
        <v>#N/A</v>
      </c>
      <c r="CT179" s="141" t="e">
        <f ca="1">(1-$CQ179)*VLOOKUP($CP179,Control!$B$86:$F$91,5)</f>
        <v>#N/A</v>
      </c>
      <c r="CU179" s="141">
        <f t="shared" ca="1" si="604"/>
        <v>0</v>
      </c>
      <c r="CV179" s="583">
        <f t="shared" ca="1" si="605"/>
        <v>0</v>
      </c>
      <c r="CW179" s="142">
        <f t="shared" ca="1" si="606"/>
        <v>175</v>
      </c>
      <c r="CX179" s="612" t="e">
        <f ca="1">IF(Control!$C$114=1,(MIN(Control!$C$120*(IF($NT179-0.01&lt;0,0,1)),Control!$C$119-$CY179)))</f>
        <v>#DIV/0!</v>
      </c>
      <c r="CY179" s="143" t="e">
        <f t="shared" ca="1" si="607"/>
        <v>#N/A</v>
      </c>
      <c r="CZ179" s="144">
        <f t="shared" ca="1" si="484"/>
        <v>0</v>
      </c>
      <c r="DA179" s="144">
        <f t="shared" ca="1" si="485"/>
        <v>0</v>
      </c>
      <c r="DB179" s="144" t="e">
        <f t="shared" ca="1" si="486"/>
        <v>#N/A</v>
      </c>
      <c r="DC179" s="144" t="e">
        <f t="shared" ca="1" si="487"/>
        <v>#N/A</v>
      </c>
      <c r="DD179" s="144" t="e">
        <f t="shared" ca="1" si="692"/>
        <v>#N/A</v>
      </c>
      <c r="DE179" s="143" t="e">
        <f t="shared" ca="1" si="608"/>
        <v>#N/A</v>
      </c>
      <c r="DF179" s="145" t="e">
        <f ca="1">$DR179*EXP(-Control!$C$158*(1-$KH179))</f>
        <v>#N/A</v>
      </c>
      <c r="DG179" s="146" t="e">
        <f ca="1">IF(Control!$C$114=1, $DF179*$EY179, 0)</f>
        <v>#N/A</v>
      </c>
      <c r="DH179" s="147" t="e">
        <f t="shared" ca="1" si="609"/>
        <v>#N/A</v>
      </c>
      <c r="DI179" s="144" t="e">
        <f t="shared" ca="1" si="670"/>
        <v>#N/A</v>
      </c>
      <c r="DJ179" s="147" t="e">
        <f ca="1">$EF179*Control!$C$109</f>
        <v>#N/A</v>
      </c>
      <c r="DK179" s="144" t="e">
        <f t="shared" ca="1" si="610"/>
        <v>#N/A</v>
      </c>
      <c r="DL179" s="144" t="e">
        <f t="shared" ca="1" si="488"/>
        <v>#N/A</v>
      </c>
      <c r="DM179" s="144" t="e">
        <f ca="1">IF(Control!$C$114=1, (1-EXP(-Control!$C$96*$DK179))*$AR179, 0)</f>
        <v>#N/A</v>
      </c>
      <c r="DN179" s="144">
        <f t="shared" ca="1" si="611"/>
        <v>0</v>
      </c>
      <c r="DO179" s="148">
        <f>Control!$C$97</f>
        <v>4</v>
      </c>
      <c r="DP179" s="145" t="e">
        <f t="shared" ca="1" si="612"/>
        <v>#N/A</v>
      </c>
      <c r="DQ179" s="145" t="e">
        <f ca="1">IF(AND($CP179&gt;=0,$CP179&lt;=90),Control!$C$111,Control!$C$111)</f>
        <v>#N/A</v>
      </c>
      <c r="DR179" s="145" t="e">
        <f t="shared" ca="1" si="489"/>
        <v>#N/A</v>
      </c>
      <c r="DS179" s="143" t="e">
        <f ca="1">Control!$B$22/$DR179</f>
        <v>#N/A</v>
      </c>
      <c r="DT179" s="149" t="e">
        <f ca="1">IF(AND(Control!$C$114=1,$KH179&lt;1),$IM179*$DF179, 0)</f>
        <v>#N/A</v>
      </c>
      <c r="DU179" s="144" t="e">
        <f t="shared" ca="1" si="613"/>
        <v>#N/A</v>
      </c>
      <c r="DV179" s="144">
        <f ca="1">IF($G179-Control!$C$107&lt;=0, 0, 0.83*LN(MAX($G179, 3))-0.8924)</f>
        <v>0</v>
      </c>
      <c r="DW179" s="144" t="e">
        <f t="shared" ca="1" si="490"/>
        <v>#N/A</v>
      </c>
      <c r="DX179" s="150" t="e">
        <f ca="1">MAX(0.01*(1+$CU179/Control!$C$102),0.05*($DK179-Control!$C$97)/Control!$C$97)</f>
        <v>#N/A</v>
      </c>
      <c r="DY179" s="151" t="e">
        <f ca="1">IF(Control!$C$114=1, $DI179*$FS179, 0)</f>
        <v>#N/A</v>
      </c>
      <c r="DZ179" s="196" t="e">
        <f t="shared" ca="1" si="614"/>
        <v>#N/A</v>
      </c>
      <c r="EA179" s="152">
        <f t="shared" ca="1" si="615"/>
        <v>175</v>
      </c>
      <c r="EB179" s="153" t="e">
        <f t="shared" ca="1" si="616"/>
        <v>#N/A</v>
      </c>
      <c r="EC179" s="153" t="e">
        <f t="shared" ca="1" si="617"/>
        <v>#N/A</v>
      </c>
      <c r="ED179" s="154" t="e">
        <f ca="1">IF(Control!$C$114=1, $HM179*$FY179-$FD179, 0)</f>
        <v>#DIV/0!</v>
      </c>
      <c r="EE179" s="155" t="e">
        <f ca="1">IF(Control!$C$114=1, $HM179*$FZ179-$FF179, 0)</f>
        <v>#DIV/0!</v>
      </c>
      <c r="EF179" s="153" t="e">
        <f t="shared" ca="1" si="671"/>
        <v>#N/A</v>
      </c>
      <c r="EG179" s="155" t="e">
        <f ca="1">IF(Control!$C$114=1, $GX179*$FW179-$FI179, 0)</f>
        <v>#DIV/0!</v>
      </c>
      <c r="EH179" s="153" t="e">
        <f t="shared" ca="1" si="618"/>
        <v>#N/A</v>
      </c>
      <c r="EI179" s="156" t="e">
        <f t="shared" ca="1" si="619"/>
        <v>#N/A</v>
      </c>
      <c r="EJ179" s="155" t="e">
        <f ca="1">IF(Control!$C$114=1, $HM179*$GB179, 0)</f>
        <v>#DIV/0!</v>
      </c>
      <c r="EK179" s="153" t="e">
        <f t="shared" ca="1" si="672"/>
        <v>#N/A</v>
      </c>
      <c r="EL179" s="153" t="e">
        <f t="shared" ca="1" si="491"/>
        <v>#N/A</v>
      </c>
      <c r="EM179" s="153" t="e">
        <f t="shared" ca="1" si="492"/>
        <v>#N/A</v>
      </c>
      <c r="EN179" s="153" t="e">
        <f ca="1">IF(Control!$C$108=1,IF(AND(Control!$B$18=1,$EB179&gt;=Control!$B$19),$EB179-$DS179,IF(AND(Control!$B$18=2,$AW179=1,$EB179&gt;$DS179),$EB179-$DS179,0)))</f>
        <v>#N/A</v>
      </c>
      <c r="EO179" s="153" t="e">
        <f ca="1">IF(Control!$C$108=1,IF(AND(Control!$B$18=1,$EB179&gt;=Control!$B$19),$EF179,IF(AND(Control!$B$18=2,$AW179=1),$EF179,0)))</f>
        <v>#N/A</v>
      </c>
      <c r="EP179" s="153" t="e">
        <f ca="1">IF(Control!$C$108=1,IF(AND(Control!$B$18=1,$EB179&gt;=Control!$B$19),$EK179,IF(AND(Control!$B$18=2,$AW179=1),$EK179,0)))</f>
        <v>#N/A</v>
      </c>
      <c r="EQ179" s="153" t="e">
        <f t="shared" ca="1" si="620"/>
        <v>#N/A</v>
      </c>
      <c r="ER179" s="153" t="e">
        <f t="shared" ca="1" si="621"/>
        <v>#N/A</v>
      </c>
      <c r="ES179" s="153" t="e">
        <f t="shared" ca="1" si="673"/>
        <v>#N/A</v>
      </c>
      <c r="ET179" s="153" t="e">
        <f t="shared" ca="1" si="674"/>
        <v>#N/A</v>
      </c>
      <c r="EU179" s="153" t="e">
        <f t="shared" ca="1" si="622"/>
        <v>#N/A</v>
      </c>
      <c r="EV179" s="153" t="e">
        <f t="shared" ca="1" si="493"/>
        <v>#N/A</v>
      </c>
      <c r="EW179" s="153" t="e">
        <f t="shared" ca="1" si="494"/>
        <v>#N/A</v>
      </c>
      <c r="EX179" s="153" t="e">
        <f t="shared" ca="1" si="495"/>
        <v>#N/A</v>
      </c>
      <c r="EY179" s="157" t="e">
        <f t="shared" ca="1" si="496"/>
        <v>#DIV/0!</v>
      </c>
      <c r="EZ179" s="154" t="e">
        <f t="shared" ca="1" si="497"/>
        <v>#DIV/0!</v>
      </c>
      <c r="FA179" s="153" t="e">
        <f t="shared" ca="1" si="623"/>
        <v>#N/A</v>
      </c>
      <c r="FB179" s="153" t="e">
        <f t="shared" ca="1" si="498"/>
        <v>#N/A</v>
      </c>
      <c r="FC179" s="193" t="e">
        <f t="shared" ca="1" si="499"/>
        <v>#N/A</v>
      </c>
      <c r="FD179" s="158" t="e">
        <f t="shared" ca="1" si="624"/>
        <v>#N/A</v>
      </c>
      <c r="FE179" s="158" t="e">
        <f t="shared" ca="1" si="625"/>
        <v>#N/A</v>
      </c>
      <c r="FF179" s="159" t="e">
        <f t="shared" ca="1" si="500"/>
        <v>#N/A</v>
      </c>
      <c r="FG179" s="160" t="e">
        <f t="shared" ca="1" si="626"/>
        <v>#N/A</v>
      </c>
      <c r="FH179" s="158" t="e">
        <f t="shared" ca="1" si="627"/>
        <v>#N/A</v>
      </c>
      <c r="FI179" s="159" t="e">
        <f t="shared" ca="1" si="501"/>
        <v>#N/A</v>
      </c>
      <c r="FJ179" s="160" t="e">
        <f t="shared" ca="1" si="628"/>
        <v>#N/A</v>
      </c>
      <c r="FK179" s="160" t="e">
        <f t="shared" ca="1" si="502"/>
        <v>#N/A</v>
      </c>
      <c r="FL179" s="160" t="e">
        <f t="shared" ca="1" si="675"/>
        <v>#N/A</v>
      </c>
      <c r="FM179" s="160" t="e">
        <f t="shared" ca="1" si="503"/>
        <v>#N/A</v>
      </c>
      <c r="FN179" s="158">
        <f t="shared" ca="1" si="629"/>
        <v>0.01</v>
      </c>
      <c r="FO179" s="160">
        <f>Control!$C$101</f>
        <v>50</v>
      </c>
      <c r="FP179" s="150" t="e">
        <f t="shared" ca="1" si="504"/>
        <v>#N/A</v>
      </c>
      <c r="FQ179" s="150" t="e">
        <f ca="1">MAX(0,(Control!$C$112*(($DK179-Control!$C$97)/Control!$C$97)))</f>
        <v>#N/A</v>
      </c>
      <c r="FR179" s="150" t="e">
        <f ca="1">(1-$NT179)*Control!$C$113</f>
        <v>#DIV/0!</v>
      </c>
      <c r="FS179" s="198" t="e">
        <f t="shared" ca="1" si="505"/>
        <v>#N/A</v>
      </c>
      <c r="FT179" s="161">
        <f t="shared" ca="1" si="630"/>
        <v>175</v>
      </c>
      <c r="FU179" s="162" t="e">
        <f ca="1">IF(Control!$B$34=1,VLOOKUP($CP179,Control!$B$86:$G$91,6),Control!$B$35)</f>
        <v>#N/A</v>
      </c>
      <c r="FV179" s="162" t="e">
        <f t="shared" ca="1" si="506"/>
        <v>#DIV/0!</v>
      </c>
      <c r="FW179" s="162" t="e">
        <f ca="1">IF(Control!$B$31=1,$FU179*$FV179,  $FU179)</f>
        <v>#N/A</v>
      </c>
      <c r="FX179" s="162" t="e">
        <f ca="1">IF(Control!$B$34=1,VLOOKUP($CP179,Control!$B$86:$G$91,3),Control!$B$36)</f>
        <v>#N/A</v>
      </c>
      <c r="FY179" s="162" t="e">
        <f t="shared" ca="1" si="507"/>
        <v>#N/A</v>
      </c>
      <c r="FZ179" s="162" t="e">
        <f ca="1">IF(Control!$B$34=1,VLOOKUP($CP179,Control!$B$86:$G$91,4),Control!$B$37)</f>
        <v>#N/A</v>
      </c>
      <c r="GA179" s="162" t="e">
        <f t="shared" ca="1" si="508"/>
        <v>#N/A</v>
      </c>
      <c r="GB179" s="162" t="e">
        <f ca="1">IF(Control!$B$34=1,VLOOKUP($CP179,Control!$B$86:$G$91,5),Control!$B$38)</f>
        <v>#N/A</v>
      </c>
      <c r="GC179" s="162" t="e">
        <f t="shared" ca="1" si="631"/>
        <v>#N/A</v>
      </c>
      <c r="GD179" s="162">
        <f t="shared" ca="1" si="509"/>
        <v>1</v>
      </c>
      <c r="GE179" s="162">
        <f t="shared" ca="1" si="510"/>
        <v>1</v>
      </c>
      <c r="GF179" s="162">
        <f ca="1">IF(AND(Control!$C$104=1, Control!$C$62="F"),$GE179,1)</f>
        <v>1</v>
      </c>
      <c r="GG179" s="162" t="e">
        <f ca="1">IF(Control!$B$16=40,0,IF(AND(Control!$B$16&gt;40,Control!$B$16&lt;=360),(Control!$B$16-40)*((1-0)/(360-40)),IF(AND(Control!$B$16&gt;360,Control!$B$16&lt;=720),(1+(Control!$B$16-360)*((1.25-1)/(720-360))),IF(AND(Control!$B$16&gt;720,Control!$B$16&lt;=1000),(1.25+(Control!$B$16-720)*((1.35-1.25)/(1000-720))),IF(AND(Control!$B$16&gt;1000,Control!$B$16&lt;=2000),(1.35+(Control!$B$16-1000)*0))))))</f>
        <v>#N/A</v>
      </c>
      <c r="GH179" s="162" t="e">
        <f t="shared" ca="1" si="511"/>
        <v>#N/A</v>
      </c>
      <c r="GI179" s="162">
        <f t="shared" ca="1" si="632"/>
        <v>0</v>
      </c>
      <c r="GJ179" s="162">
        <f t="shared" ca="1" si="512"/>
        <v>0</v>
      </c>
      <c r="GK179" s="162">
        <f t="shared" ca="1" si="633"/>
        <v>1</v>
      </c>
      <c r="GL179" s="162">
        <f t="shared" ca="1" si="513"/>
        <v>1</v>
      </c>
      <c r="GM179" s="162" t="e">
        <f ca="1">MAX(0,MIN(1,1-Control!$C$156*(1.0001-$KH179)^2))</f>
        <v>#N/A</v>
      </c>
      <c r="GN179" s="162" t="e">
        <f ca="1">IF(Control!$B$26=1,$KU179,$KX179)</f>
        <v>#N/A</v>
      </c>
      <c r="GO179" s="162" t="e">
        <f ca="1">IF($CP179&lt;=60,Control!$C$105,IF($CP179&gt;=90,Control!$C$106,Control!$C$105+($CP179-60)*((Control!$C$106-Control!$C$105)/(90-60))))</f>
        <v>#N/A</v>
      </c>
      <c r="GP179" s="162" t="e">
        <f t="shared" ca="1" si="514"/>
        <v>#N/A</v>
      </c>
      <c r="GQ179" s="162" t="e">
        <f t="shared" ca="1" si="634"/>
        <v>#N/A</v>
      </c>
      <c r="GR179" s="163" t="e">
        <f t="shared" ca="1" si="515"/>
        <v>#DIV/0!</v>
      </c>
      <c r="GS179" s="162" t="e">
        <f t="shared" ca="1" si="516"/>
        <v>#DIV/0!</v>
      </c>
      <c r="GT179" s="164" t="e">
        <f t="shared" ca="1" si="635"/>
        <v>#N/A</v>
      </c>
      <c r="GU179" s="162" t="e">
        <f t="shared" ca="1" si="636"/>
        <v>#N/A</v>
      </c>
      <c r="GV179" s="162" t="e">
        <f t="shared" ca="1" si="517"/>
        <v>#N/A</v>
      </c>
      <c r="GW179" s="162" t="e">
        <f t="shared" ca="1" si="518"/>
        <v>#DIV/0!</v>
      </c>
      <c r="GX179" s="162" t="e">
        <f t="shared" ca="1" si="637"/>
        <v>#DIV/0!</v>
      </c>
      <c r="GY179" s="162" t="e">
        <f t="shared" ca="1" si="638"/>
        <v>#DIV/0!</v>
      </c>
      <c r="GZ179" s="165" t="e">
        <f t="shared" ca="1" si="519"/>
        <v>#N/A</v>
      </c>
      <c r="HA179" s="162" t="e">
        <f ca="1">IF(Control!$C$114=1, $DI179*$FS179, 0)</f>
        <v>#N/A</v>
      </c>
      <c r="HB179" s="162" t="e">
        <f ca="1">$FA179/Control!$C$64</f>
        <v>#N/A</v>
      </c>
      <c r="HC179" s="162" t="e">
        <f t="shared" ca="1" si="520"/>
        <v>#DIV/0!</v>
      </c>
      <c r="HD179" s="162">
        <f ca="1">-ASIN(SIN(23.45*Control!$C$139)*COS(2*Control!$C$138*($AH179+10)/365))</f>
        <v>0.40887893578806461</v>
      </c>
      <c r="HE179" s="165">
        <f t="shared" ca="1" si="639"/>
        <v>0</v>
      </c>
      <c r="HF179" s="166">
        <f ca="1">IF(AND(Control!$C$61="T",$HE179&gt;=Control!$C$103,Control!$C$114=0),$AH179,Control!$C$59)</f>
        <v>1</v>
      </c>
      <c r="HG179" s="166">
        <f ca="1">IF(AND(Control!$C$61="T",$HE179&gt;=Control!$C$103,Control!$C$114=0),$HF179,Control!$C$59)</f>
        <v>1</v>
      </c>
      <c r="HH179" s="165">
        <f ca="1">IF(AND(OR(Control!$C$60&lt;=0, $AH179= Control!$C$59, Control!$C$60 &gt;0, $AH179 = Control!$C$60)), Control!$C$59, IF(Control!$C$60&gt;0, 0))</f>
        <v>1</v>
      </c>
      <c r="HI179" s="165">
        <f ca="1">IF(AND(OR(Control!$C$60&lt;=0, $AH179= Control!$C$59, Control!$C$60 &gt;0, $AH179 = Control!$C$60)), Control!$C$60, IF(Control!$C$60&lt;=0, 0))</f>
        <v>0</v>
      </c>
      <c r="HJ179" s="166">
        <f ca="1">IF(AND(Control!$C$62="F",$CV179&gt;=Control!$C$102),$AH179,0)</f>
        <v>0</v>
      </c>
      <c r="HK179" s="165" t="e">
        <f t="shared" ca="1" si="676"/>
        <v>#N/A</v>
      </c>
      <c r="HL179" s="166">
        <f ca="1">IF(AND(Control!$C$61="T",$HE179&gt;=Control!$C$103,Control!$C$114=0),$HF179,0)</f>
        <v>0</v>
      </c>
      <c r="HM179" s="201" t="e">
        <f t="shared" ca="1" si="521"/>
        <v>#DIV/0!</v>
      </c>
      <c r="HN179" s="215">
        <f t="shared" ca="1" si="640"/>
        <v>175</v>
      </c>
      <c r="HO179" s="216" t="e">
        <f ca="1">IF(AND($CP179&gt;=0, $CP179&lt;=90), Control!$C$152, Control!$C$152)</f>
        <v>#N/A</v>
      </c>
      <c r="HP179" s="216" t="e">
        <f t="shared" ca="1" si="522"/>
        <v>#N/A</v>
      </c>
      <c r="HQ179" s="217" t="e">
        <f ca="1">IF(OR(Control!$B$26=1,Control!$B$26=2),$KV179,$KS179)</f>
        <v>#DIV/0!</v>
      </c>
      <c r="HR179" s="218" t="e">
        <f t="shared" ca="1" si="677"/>
        <v>#DIV/0!</v>
      </c>
      <c r="HS179" s="216" t="e">
        <f ca="1">Control!$C$154*$HP179</f>
        <v>#N/A</v>
      </c>
      <c r="HT179" s="216" t="e">
        <f ca="1">Control!$C$155*$HP179</f>
        <v>#N/A</v>
      </c>
      <c r="HU179" s="217" t="e">
        <f ca="1">Control!$C$161*$FI179</f>
        <v>#N/A</v>
      </c>
      <c r="HV179" s="218" t="e">
        <f t="shared" ca="1" si="641"/>
        <v>#N/A</v>
      </c>
      <c r="HW179" s="218" t="e">
        <f ca="1">Control!$C$160*$FF179+$IP179*$EO179</f>
        <v>#N/A</v>
      </c>
      <c r="HX179" s="218" t="e">
        <f t="shared" ca="1" si="678"/>
        <v>#N/A</v>
      </c>
      <c r="HY179" s="219" t="e">
        <f ca="1">IF(Control!$C$114=1, $EB179*$FS179, 0)</f>
        <v>#N/A</v>
      </c>
      <c r="HZ179" s="91" t="e">
        <f t="shared" ca="1" si="523"/>
        <v>#N/A</v>
      </c>
      <c r="IA179" s="220" t="e">
        <f ca="1">Control!$C$153*$HO179</f>
        <v>#N/A</v>
      </c>
      <c r="IB179" s="218" t="e">
        <f t="shared" ca="1" si="524"/>
        <v>#N/A</v>
      </c>
      <c r="IC179" s="220" t="e">
        <f ca="1">Control!$C$153*$HT179</f>
        <v>#N/A</v>
      </c>
      <c r="ID179" s="218" t="e">
        <f t="shared" ca="1" si="525"/>
        <v>#N/A</v>
      </c>
      <c r="IE179" s="221" t="e">
        <f ca="1">($EB179*Control!$C$159+$EF179*Control!$C$160)/(IF($GZ179&lt;&gt;0,$GZ179,1))</f>
        <v>#N/A</v>
      </c>
      <c r="IF179" s="216" t="e">
        <f t="shared" ca="1" si="526"/>
        <v>#N/A</v>
      </c>
      <c r="IG179" s="91">
        <f ca="1">IF(OR(Control!$B$198=$AH179,Control!$B$199=$AH179, Control!$B$200=$AH179, Control!$B$201=$AH179, Control!$B$202=$AH179, Control!$B$203=$AH179, Control!$B$204=$AH179, Control!$B$205=$AH179, Control!$B$206=$AH179, Control!$B$207=$AH179), 1, 0)</f>
        <v>0</v>
      </c>
      <c r="IH179" s="91">
        <f ca="1">IF($IG179=0,0, VLOOKUP($AH179,Control!$B$198:$C$207,2))</f>
        <v>0</v>
      </c>
      <c r="II179" s="222">
        <f t="shared" ca="1" si="642"/>
        <v>0</v>
      </c>
      <c r="IJ179" s="91">
        <f>Control!$C$121</f>
        <v>0.7</v>
      </c>
      <c r="IK179" s="218">
        <f t="shared" ca="1" si="527"/>
        <v>0</v>
      </c>
      <c r="IL179" s="217" t="e">
        <f t="shared" ca="1" si="679"/>
        <v>#N/A</v>
      </c>
      <c r="IM179" s="223" t="e">
        <f ca="1">IF(AND(Control!$C$114=1,$KH179&lt;1),$EB179*Control!$C$148*(1-$KH179), 0)</f>
        <v>#N/A</v>
      </c>
      <c r="IN179" s="217" t="e">
        <f t="shared" ca="1" si="528"/>
        <v>#DIV/0!</v>
      </c>
      <c r="IO179" s="91" t="e">
        <f ca="1">MAX(0,$IL179-$EF179*Control!$C$160)</f>
        <v>#N/A</v>
      </c>
      <c r="IP179" s="220" t="e">
        <f t="shared" ca="1" si="529"/>
        <v>#N/A</v>
      </c>
      <c r="IQ179" s="217" t="e">
        <f t="shared" ca="1" si="643"/>
        <v>#N/A</v>
      </c>
      <c r="IR179" s="218" t="e">
        <f t="shared" ca="1" si="530"/>
        <v>#N/A</v>
      </c>
      <c r="IS179" s="217" t="e">
        <f ca="1">Control!$C$159*MAX(0,$FD179-$EN179)</f>
        <v>#N/A</v>
      </c>
      <c r="IT179" s="217" t="e">
        <f t="shared" ca="1" si="680"/>
        <v>#N/A</v>
      </c>
      <c r="IU179" s="217" t="e">
        <f t="shared" ca="1" si="644"/>
        <v>#N/A</v>
      </c>
      <c r="IV179" s="217" t="e">
        <f t="shared" ca="1" si="681"/>
        <v>#N/A</v>
      </c>
      <c r="IW179" s="217" t="e">
        <f ca="1">IF(OR($AW179=1,AND($AW179=0, Control!$B$18=1,$EN179&lt;&gt;0)), $IQ179-$IU179, $IQ179)</f>
        <v>#N/A</v>
      </c>
      <c r="IX179" s="218" t="e">
        <f t="shared" ca="1" si="531"/>
        <v>#N/A</v>
      </c>
      <c r="IY179" s="218" t="e">
        <f ca="1">MAX(0,$IQ179-$EB179*Control!$C$159)</f>
        <v>#N/A</v>
      </c>
      <c r="IZ179" s="218" t="e">
        <f t="shared" ca="1" si="532"/>
        <v>#N/A</v>
      </c>
      <c r="JA179" s="216" t="e">
        <f t="shared" ca="1" si="533"/>
        <v>#N/A</v>
      </c>
      <c r="JB179" s="217" t="e">
        <f t="shared" ca="1" si="534"/>
        <v>#N/A</v>
      </c>
      <c r="JC179" s="222" t="e">
        <f ca="1">MAX(Control!$C$157*$EK179-$JT179, 0)/Control!$C$162</f>
        <v>#N/A</v>
      </c>
      <c r="JD179" s="218" t="e">
        <f t="shared" ca="1" si="535"/>
        <v>#N/A</v>
      </c>
      <c r="JE179" s="218" t="e">
        <f t="shared" ca="1" si="536"/>
        <v>#N/A</v>
      </c>
      <c r="JF179" s="218" t="e">
        <f t="shared" ca="1" si="645"/>
        <v>#N/A</v>
      </c>
      <c r="JG179" s="218" t="e">
        <f t="shared" ca="1" si="537"/>
        <v>#N/A</v>
      </c>
      <c r="JH179" s="217" t="e">
        <f t="shared" ca="1" si="646"/>
        <v>#N/A</v>
      </c>
      <c r="JI179" s="217" t="e">
        <f t="shared" ca="1" si="647"/>
        <v>#N/A</v>
      </c>
      <c r="JJ179" s="217" t="e">
        <f t="shared" ca="1" si="682"/>
        <v>#N/A</v>
      </c>
      <c r="JK179" s="217" t="e">
        <f ca="1">IF(Control!$C$114=1,IF(Control!$B$24=0,MAX(0,$JI179)*$GN179/Control!$C$64,(MAX(0,MIN($JI179,$JJ179*$GN179/Control!$C$64),0))))</f>
        <v>#N/A</v>
      </c>
      <c r="JL179" s="217" t="e">
        <f ca="1">$IK179/Control!$C$64-$JK179+$HQ179</f>
        <v>#N/A</v>
      </c>
      <c r="JM179" s="217" t="e">
        <f ca="1">IF(Control!$C$114=1,($JB179/(IF($JI179&lt;&gt;0,$JI179,1)))*$JK179,0)</f>
        <v>#N/A</v>
      </c>
      <c r="JN179" s="217" t="e">
        <f ca="1">IF(Control!$C$114=1,($JG179/(IF($JI179&lt;&gt;0,$JI179,1)))*$JK179, 0)</f>
        <v>#N/A</v>
      </c>
      <c r="JO179" s="218" t="e">
        <f t="shared" ca="1" si="538"/>
        <v>#N/A</v>
      </c>
      <c r="JP179" s="218" t="e">
        <f ca="1">MIN(($IY179+$IO179)*Control!$C$151, $JF179-$EH179*Control!$C$161)</f>
        <v>#N/A</v>
      </c>
      <c r="JQ179" s="218" t="e">
        <f t="shared" ca="1" si="539"/>
        <v>#N/A</v>
      </c>
      <c r="JR179" s="217" t="e">
        <f ca="1">IF($CP179-Control!$C$150&lt;0, 0, $JQ179/Control!$C$162)</f>
        <v>#N/A</v>
      </c>
      <c r="JS179" s="218" t="e">
        <f t="shared" ca="1" si="540"/>
        <v>#N/A</v>
      </c>
      <c r="JT179" s="218" t="e">
        <f t="shared" ca="1" si="648"/>
        <v>#N/A</v>
      </c>
      <c r="JU179" s="218" t="e">
        <f t="shared" ca="1" si="541"/>
        <v>#N/A</v>
      </c>
      <c r="JV179" s="218" t="e">
        <f t="shared" ca="1" si="542"/>
        <v>#N/A</v>
      </c>
      <c r="JW179" s="216" t="e">
        <f t="shared" ca="1" si="543"/>
        <v>#N/A</v>
      </c>
      <c r="JX179" s="91" t="e">
        <f t="shared" ca="1" si="544"/>
        <v>#N/A</v>
      </c>
      <c r="JY179" s="218" t="e">
        <f t="shared" ca="1" si="545"/>
        <v>#N/A</v>
      </c>
      <c r="JZ179" s="217" t="e">
        <f ca="1">IF(Control!$C$114=1,($IZ179/(IF($JI179&lt;&gt;0,$JI179,1)))*$JK179, 0)</f>
        <v>#N/A</v>
      </c>
      <c r="KA179" s="218" t="e">
        <f t="shared" ca="1" si="683"/>
        <v>#N/A</v>
      </c>
      <c r="KB179" s="218" t="e">
        <f t="shared" ca="1" si="649"/>
        <v>#N/A</v>
      </c>
      <c r="KC179" s="218" t="e">
        <f t="shared" ca="1" si="546"/>
        <v>#N/A</v>
      </c>
      <c r="KD179" s="218" t="e">
        <f t="shared" ca="1" si="547"/>
        <v>#N/A</v>
      </c>
      <c r="KE179" s="218" t="e">
        <f t="shared" ca="1" si="548"/>
        <v>#N/A</v>
      </c>
      <c r="KF179" s="218" t="e">
        <f t="shared" ca="1" si="549"/>
        <v>#N/A</v>
      </c>
      <c r="KG179" s="216" t="e">
        <f t="shared" ca="1" si="550"/>
        <v>#N/A</v>
      </c>
      <c r="KH179" s="221" t="e">
        <f ca="1">IF(Control!$B$24=0,1,MAX(0.001,MIN(1,IF(($IF179-$IE179)&lt;&gt;0,($KG179-$IE179)/($IF179-$IE179),1))))</f>
        <v>#N/A</v>
      </c>
      <c r="KI179" s="222" t="e">
        <f ca="1">IF(Control!$C$114=1, $KI178+ $KH178, 0)</f>
        <v>#N/A</v>
      </c>
      <c r="KJ179" s="217" t="e">
        <f t="shared" ca="1" si="551"/>
        <v>#N/A</v>
      </c>
      <c r="KK179" s="218" t="e">
        <f t="shared" ca="1" si="552"/>
        <v>#N/A</v>
      </c>
      <c r="KL179" s="274" t="e">
        <f ca="1">IF(Control!$B$26=3,4000000000*EXP(-8400/($G179+273)),IF(Control!$B$26=4,4000000000*EXP(-8400/($G179+273))*($KT179),0))</f>
        <v>#DIV/0!</v>
      </c>
      <c r="KM179" s="274" t="e">
        <f ca="1">IF(Control!$B$26=3,5600000000000*EXP(-9800/($G179+273)),IF(Control!$B$26=4,5600000000000*EXP(-9800/($G179+273))*$KT179,0))</f>
        <v>#DIV/0!</v>
      </c>
      <c r="KN179" s="454" t="e">
        <f t="shared" ca="1" si="650"/>
        <v>#DIV/0!</v>
      </c>
      <c r="KO179" s="274" t="e">
        <f t="shared" ca="1" si="651"/>
        <v>#DIV/0!</v>
      </c>
      <c r="KP179" s="454" t="e">
        <f t="shared" ca="1" si="553"/>
        <v>#DIV/0!</v>
      </c>
      <c r="KQ179" s="454" t="e">
        <f t="shared" ca="1" si="554"/>
        <v>#DIV/0!</v>
      </c>
      <c r="KR179" s="454" t="e">
        <f t="shared" ca="1" si="555"/>
        <v>#DIV/0!</v>
      </c>
      <c r="KS179" s="454" t="e">
        <f t="shared" ca="1" si="556"/>
        <v>#DIV/0!</v>
      </c>
      <c r="KT179" s="455" t="e">
        <f t="shared" ca="1" si="557"/>
        <v>#DIV/0!</v>
      </c>
      <c r="KU179" s="456" t="e">
        <f ca="1">IF($CP179-Control!$C$149&lt;0, IF($NT179-0.01&lt;0,0,1),0)</f>
        <v>#N/A</v>
      </c>
      <c r="KV179" s="456" t="e">
        <f ca="1">IF(Control!$C$114=1,MAX(0,MIN(Control!$C$125*$KW179*$GN179,$KW179)))</f>
        <v>#DIV/0!</v>
      </c>
      <c r="KW179" s="456" t="e">
        <f t="shared" ca="1" si="684"/>
        <v>#DIV/0!</v>
      </c>
      <c r="KX179" s="457" t="e">
        <f ca="1">IF($CP179-Control!$C$149&lt;0, IF($MR179-$OM179&lt;0,0,1),0)</f>
        <v>#N/A</v>
      </c>
      <c r="KY179" s="167">
        <f t="shared" ca="1" si="652"/>
        <v>175</v>
      </c>
      <c r="KZ179" s="168">
        <f ca="1">1370*(1+0.033*COS(2*Control!$C$138*$AH179/365))</f>
        <v>1325.1662273644913</v>
      </c>
      <c r="LA179" s="169">
        <f t="shared" ca="1" si="653"/>
        <v>0.96727464844332345</v>
      </c>
      <c r="LB179" s="169">
        <f t="shared" ca="1" si="654"/>
        <v>0.40845373173595856</v>
      </c>
      <c r="LC179" s="169">
        <f ca="1">ACOS(-TAN((2*Control!$B$8/360))*TAN(Calculations!$LB179))</f>
        <v>1.699781440738352</v>
      </c>
      <c r="LD179" s="169">
        <f ca="1">((24*60)/PI())*0.082*$LA179*(($LC179*SIN(Control!$B$8*2*PI()/360))*SIN($LB179)+COS(Control!$B$8*2*PI()/360)*COS($LB179)*SIN($LC179))</f>
        <v>39.71301007451455</v>
      </c>
      <c r="LE179" s="170">
        <f t="shared" ca="1" si="558"/>
        <v>41.432802324465577</v>
      </c>
      <c r="LF179" s="170">
        <f ca="1">SIN(Control!$C$139*Control!$B$8)*SIN($HD179)</f>
        <v>0.31329856490460894</v>
      </c>
      <c r="LG179" s="170">
        <f ca="1">COS(Control!$C$139*Control!$B$8)*COS($HD179)</f>
        <v>0.56490918800546452</v>
      </c>
      <c r="LH179" s="170">
        <f ca="1">12*(1+2*ASIN(MAX(-1,MIN(1,$LF179/$LG179))/Control!$C$138))</f>
        <v>16.259141788297498</v>
      </c>
      <c r="LI179" s="170">
        <f ca="1">12*(1+2*ASIN(MAX(-1,MIN(1,(-SIN(-4*Control!$C$139)+$LF179)/$LG179))/Control!$C$138))</f>
        <v>17.2212474633805</v>
      </c>
      <c r="LJ179" s="168">
        <f ca="1">3600*($LH179*$LF179+24*$LG179*SQRT(1-$LK179*$LK179)/Control!$C$138)</f>
        <v>31266.117011499533</v>
      </c>
      <c r="LK179" s="170">
        <f t="shared" ca="1" si="559"/>
        <v>0.55459987473522621</v>
      </c>
      <c r="LL179" s="170">
        <f t="shared" ca="1" si="560"/>
        <v>0</v>
      </c>
      <c r="LM179" s="171">
        <f ca="1">Control!$C$145*$AB179</f>
        <v>6.6660906138995932E-2</v>
      </c>
      <c r="LN179" s="170">
        <f t="shared" ca="1" si="655"/>
        <v>0.54</v>
      </c>
      <c r="LO179" s="170">
        <f t="shared" ca="1" si="561"/>
        <v>0</v>
      </c>
      <c r="LP179" s="170">
        <f ca="1">Control!$C$140*((($D179+273.16)^4+($E179+273.16)^4)/2)*(0.34-0.14*SQRT($Y179))*(1.35*$AQ179/(0.75*$LD179)-0.35)</f>
        <v>-3.2464704755046001</v>
      </c>
      <c r="LQ179" s="170">
        <f ca="1">Control!$C$140*($G179+273)^4*(0.56-0.079*SQRT($Y179*10))*(0.1+0.9*$LO179)</f>
        <v>1.5241745131704001</v>
      </c>
      <c r="LR179" s="170">
        <f ca="1">$AQ179*(1-Control!$C$142)-$LQ179</f>
        <v>-1.5241745131704001</v>
      </c>
      <c r="LS179" s="170">
        <f ca="1">$AQ179*(1-Control!$C$143)-$LQ179</f>
        <v>-1.5241745131704001</v>
      </c>
      <c r="LT179" s="170">
        <f ca="1">$AQ179*(1-Control!$C$144)-$LQ179</f>
        <v>-1.5241745131704001</v>
      </c>
      <c r="LU179" s="169">
        <f ca="1">(1-Control!$C$144)*AQ179-LP179</f>
        <v>3.2464704755046001</v>
      </c>
      <c r="LV179" s="172">
        <f t="shared" ca="1" si="562"/>
        <v>0.79430000000000012</v>
      </c>
      <c r="LW179" s="170">
        <f t="shared" ca="1" si="563"/>
        <v>1.5886000000000002</v>
      </c>
      <c r="LX179" s="170">
        <f ca="1">($AC179*($LR179/Control!$C$141)+$LM179*$LV179)/($AC179+$LM179)</f>
        <v>0.23530094218323697</v>
      </c>
      <c r="LY179" s="170">
        <f ca="1">($AC179*($LS179/Control!$C$141)+$LM179*$LV179)/($AC179+$LM179)</f>
        <v>0.23530094218323697</v>
      </c>
      <c r="LZ179" s="170">
        <f t="shared" ca="1" si="564"/>
        <v>0.23530094218323697</v>
      </c>
      <c r="MA179" s="170">
        <f t="shared" ca="1" si="565"/>
        <v>0.23530094218323697</v>
      </c>
      <c r="MB179" s="170" t="e">
        <f t="shared" ca="1" si="566"/>
        <v>#N/A</v>
      </c>
      <c r="MC179" s="170">
        <f t="shared" ca="1" si="656"/>
        <v>0.6018</v>
      </c>
      <c r="MD179" s="170">
        <f t="shared" ca="1" si="567"/>
        <v>0.52989392535414004</v>
      </c>
      <c r="ME179" s="170">
        <f ca="1">($AC179*($LT179/Control!$C$141)+$LM179*$LW179)/($AC179+$LM179)</f>
        <v>0.71612369323045078</v>
      </c>
      <c r="MF179" s="170" t="e">
        <f ca="1">IF(Control!$B$16&gt;=1000,0.92,IF(AND(720&lt;=Control!$B$16,1000&gt;Control!$B$16),(0.95+(Control!$B$16-720)*((0.92-0.95)/(1000-720))),IF(AND(360&lt;=Control!$B$16,720&gt;Control!$B$16),(1+(Control!$B$16-360)*((0.95-1)/(720-360))),IF(AND(40&lt;=Control!$B$16,360&gt;Control!$B$16),(1.05+(Control!$B$16-40)*((1.05-1)/(360-40)))))))</f>
        <v>#N/A</v>
      </c>
      <c r="MG179" s="170">
        <f t="shared" ca="1" si="568"/>
        <v>0.71612369323045078</v>
      </c>
      <c r="MH179" s="170" t="e">
        <f t="shared" ca="1" si="694"/>
        <v>#N/A</v>
      </c>
      <c r="MI179" s="170" t="e">
        <f t="shared" ca="1" si="694"/>
        <v>#N/A</v>
      </c>
      <c r="MJ179" s="170" t="e">
        <f ca="1">MAX(0.0001, Control!$C$132*$MI179*$DL179)</f>
        <v>#N/A</v>
      </c>
      <c r="MK179" s="170">
        <f ca="1">1/(0.76+1.5*($MG179/10))-(5-Control!$C$110)*0.1</f>
        <v>1.002845988140797</v>
      </c>
      <c r="ML179" s="173">
        <f ca="1">IF(Control!$C$110&lt;3,$MK179+($MG179-0.6)/(Control!$C$110*(Control!$C$110+3)), MAX(0.1, MIN(0.95,$MK179)))</f>
        <v>0.95</v>
      </c>
      <c r="MM179" s="173">
        <f ca="1">IF(Control!$C$110&lt;3,$MK179+(($MI179/10)-0.6)/(Control!$C$110*(Control!$C$110+3)), MAX(0.1, MIN(0.95,$MK179)))</f>
        <v>0.95</v>
      </c>
      <c r="MN179" s="173">
        <f ca="1">(1-$MM179)*(Control!$C$128-Control!$C$127)+Control!$C$127</f>
        <v>0.16</v>
      </c>
      <c r="MO179" s="170" t="e">
        <f ca="1">MAX(0,MIN(1,($MS179-Control!$C$127)/($MN179-Control!$C$127)))</f>
        <v>#DIV/0!</v>
      </c>
      <c r="MP179" s="173" t="e">
        <f ca="1">1/(0.76+1.5*$MI179)-(5-Control!$C$110)*0.1</f>
        <v>#N/A</v>
      </c>
      <c r="MQ179" s="172" t="e">
        <f t="shared" ca="1" si="685"/>
        <v>#DIV/0!</v>
      </c>
      <c r="MR179" s="168" t="e">
        <f t="shared" ca="1" si="657"/>
        <v>#DIV/0!</v>
      </c>
      <c r="MS179" s="173" t="e">
        <f ca="1">MAX(Control!$C$127, MIN(Control!$C$135, $MR179/MAX(0.0001,$CY179)))</f>
        <v>#DIV/0!</v>
      </c>
      <c r="MT179" s="168" t="e">
        <f ca="1">(Control!$C$128-$MS179)*Control!$C$74</f>
        <v>#DIV/0!</v>
      </c>
      <c r="MU179" s="168" t="e">
        <f ca="1">(Control!$C$135-$MS179)*Control!$C$74</f>
        <v>#DIV/0!</v>
      </c>
      <c r="MV179" s="168" t="e">
        <f t="shared" ca="1" si="658"/>
        <v>#DIV/0!</v>
      </c>
      <c r="MW179" s="168" t="e">
        <f t="shared" ca="1" si="659"/>
        <v>#DIV/0!</v>
      </c>
      <c r="MX179" s="171" t="e">
        <f ca="1">MAX(Control!$C$127, MIN(Control!$C$135, $MW179/MAX(0.0001,Control!$C$119-$CY179)))</f>
        <v>#DIV/0!</v>
      </c>
      <c r="MY179" s="54" t="e">
        <f ca="1">IF(Control!$C$114=1, $CX179*$MX179, 0)</f>
        <v>#DIV/0!</v>
      </c>
      <c r="MZ179" s="54" t="e">
        <f t="shared" ca="1" si="660"/>
        <v>#N/A</v>
      </c>
      <c r="NA179" s="168" t="e">
        <f ca="1">(Control!$C$128-$MX179)*(Control!$C$119-Control!$C$74)</f>
        <v>#DIV/0!</v>
      </c>
      <c r="NB179" s="168" t="e">
        <f ca="1">(Control!$C$135-$MX179)*(Control!$C$119-Control!$C$74)</f>
        <v>#DIV/0!</v>
      </c>
      <c r="NC179" s="174" t="e">
        <f t="shared" ca="1" si="661"/>
        <v>#DIV/0!</v>
      </c>
      <c r="ND179" s="54">
        <f ca="1">IF(Control!$C$58=2, IF(OR(Control!$B$218=$AH179,Control!$B$219=$AH179, Control!$B$220=$AH179, Control!$B$221=$AH179, Control!$B$222=$AH179, Control!$B$223=$AH179, Control!$B$224=$AH179, Control!$B$225=$AH179, Control!$B$226=$AH179, Control!$B$227=$AH179, Control!$B$228=$AH179), 1, 0), 0)</f>
        <v>0</v>
      </c>
      <c r="NE179" s="54">
        <f ca="1">IF($ND179=0,0, VLOOKUP($AH179,Control!$B$218:$C$228,2))</f>
        <v>0</v>
      </c>
      <c r="NF179" s="168" t="e">
        <f ca="1">$CY179*(Control!$C$128-Control!$C$127)</f>
        <v>#N/A</v>
      </c>
      <c r="NG179" s="54" t="e">
        <f ca="1">IF(Control!$C$58=2, $NI178-$NJ178, 0)</f>
        <v>#DIV/0!</v>
      </c>
      <c r="NH179" s="54" t="e">
        <f ca="1">IF(AND(Control!$C$58=1, $MS178&lt;= ($MN178+0.02), $I178&lt;10), 0, IF(Control!$C$58=2, $NG178, 0))</f>
        <v>#DIV/0!</v>
      </c>
      <c r="NI179" s="54" t="e">
        <f ca="1">IF(Control!$C$58=2, $NE179+$NH179,0)</f>
        <v>#DIV/0!</v>
      </c>
      <c r="NJ179" s="54" t="e">
        <f ca="1">IF(AND(Control!$C$58=1, $MS179&lt;= ($MN179+0.02), $I179&lt;10), MAX(0, MIN(10, 0.7*($NF179-$MV179))), IF(Control!$C$58=2, MIN(10,$NI179),0))</f>
        <v>#DIV/0!</v>
      </c>
      <c r="NK179" s="54" t="e">
        <f t="shared" ca="1" si="569"/>
        <v>#DIV/0!</v>
      </c>
      <c r="NL179" s="173" t="e">
        <f ca="1">(1-Control!$C$73)*$I179+$NJ179</f>
        <v>#DIV/0!</v>
      </c>
      <c r="NM179" s="172" t="e">
        <f ca="1">IF($NL179&lt;0.5, $MB179* MAX(0, MIN(1, (SQRT($NC179)-SQRT($NC179-1))*Control!$C$71)),0)</f>
        <v>#DIV/0!</v>
      </c>
      <c r="NN179" s="170" t="e">
        <f ca="1">IF($NL179&gt;=5, $MB179, MAX(0,MIN($MB179, $NM179+$NL179,($MS179-Control!$C$129))))</f>
        <v>#DIV/0!</v>
      </c>
      <c r="NO179" s="54">
        <f>IF(Control!$C$133&lt;&gt;1, Control!$C$135-Control!$C$131, 0)</f>
        <v>0.38</v>
      </c>
      <c r="NP179" s="54" t="e">
        <f t="shared" ca="1" si="570"/>
        <v>#DIV/0!</v>
      </c>
      <c r="NQ179" s="173" t="e">
        <f ca="1">MAX(0,MIN(1,(Control!$C$135-$MS179)/(Control!$C$135-$NO179)))</f>
        <v>#DIV/0!</v>
      </c>
      <c r="NR179" s="170" t="e">
        <f ca="1">IF(Control!$C$133&lt;&gt;1, $NQ179+((1-$NP179/4)*(1-$NQ179)),1)</f>
        <v>#DIV/0!</v>
      </c>
      <c r="NS179" s="170" t="e">
        <f ca="1">IF(Control!$B$31=0,$MJ179,MAX(0,MIN($MV179,$MO179*$NR179*$MJ179)))</f>
        <v>#DIV/0!</v>
      </c>
      <c r="NT179" s="170" t="e">
        <f t="shared" ca="1" si="686"/>
        <v>#DIV/0!</v>
      </c>
      <c r="NU179" s="170" t="e">
        <f t="shared" ca="1" si="662"/>
        <v>#N/A</v>
      </c>
      <c r="NV179" s="170" t="e">
        <f t="shared" ca="1" si="571"/>
        <v>#N/A</v>
      </c>
      <c r="NW179" s="175" t="e">
        <f t="shared" ca="1" si="572"/>
        <v>#DIV/0!</v>
      </c>
      <c r="NX179" s="170" t="e">
        <f ca="1">MIN(Control!$C$72+$MU179, $NW179)</f>
        <v>#DIV/0!</v>
      </c>
      <c r="NY179" s="170" t="e">
        <f ca="1">IF($MT179&lt;=$NX179,MIN(Control!$C$72+$NB179,$NX179-$MT179),0)</f>
        <v>#DIV/0!</v>
      </c>
      <c r="NZ179" s="54" t="e">
        <f ca="1">IF(Control!$C$114=1,  $CX179*($MX179-Control!$C$127), 0)</f>
        <v>#DIV/0!</v>
      </c>
      <c r="OA179" s="170" t="e">
        <f t="shared" ca="1" si="573"/>
        <v>#DIV/0!</v>
      </c>
      <c r="OB179" s="170" t="e">
        <f ca="1">IF($NA179 &lt;=$NY179, MIN(Control!$C$72, $NY179-$NA179), 0)</f>
        <v>#DIV/0!</v>
      </c>
      <c r="OC179" s="168" t="e">
        <f t="shared" ca="1" si="574"/>
        <v>#DIV/0!</v>
      </c>
      <c r="OD179" s="168" t="e">
        <f t="shared" ca="1" si="663"/>
        <v>#DIV/0!</v>
      </c>
      <c r="OE179" s="170">
        <f ca="1">Control!$C$73*$I179</f>
        <v>0</v>
      </c>
      <c r="OF179" s="176" t="e">
        <f t="shared" ca="1" si="575"/>
        <v>#DIV/0!</v>
      </c>
      <c r="OG179" s="168" t="e">
        <f t="shared" ca="1" si="576"/>
        <v>#DIV/0!</v>
      </c>
      <c r="OH179" s="168" t="e">
        <f t="shared" ca="1" si="577"/>
        <v>#DIV/0!</v>
      </c>
      <c r="OI179" s="168" t="e">
        <f t="shared" ca="1" si="578"/>
        <v>#DIV/0!</v>
      </c>
      <c r="OJ179" s="168" t="e">
        <f t="shared" ca="1" si="579"/>
        <v>#DIV/0!</v>
      </c>
      <c r="OK179" s="204" t="e">
        <f t="shared" ca="1" si="580"/>
        <v>#DIV/0!</v>
      </c>
      <c r="OL179" s="177">
        <f>Control!$C$127</f>
        <v>0.15</v>
      </c>
      <c r="OM179" s="182" t="e">
        <f t="shared" ca="1" si="581"/>
        <v>#N/A</v>
      </c>
      <c r="ON179" s="177">
        <f>Control!$C$128</f>
        <v>0.35</v>
      </c>
      <c r="OO179" s="182" t="e">
        <f t="shared" ca="1" si="582"/>
        <v>#N/A</v>
      </c>
      <c r="OP179" s="138">
        <f t="shared" ca="1" si="664"/>
        <v>0</v>
      </c>
      <c r="OQ179" s="138" t="e">
        <f t="shared" ca="1" si="687"/>
        <v>#DIV/0!</v>
      </c>
      <c r="OR179" s="138" t="e">
        <f t="shared" ca="1" si="665"/>
        <v>#DIV/0!</v>
      </c>
      <c r="OS179" s="137" t="e">
        <f t="shared" ca="1" si="688"/>
        <v>#DIV/0!</v>
      </c>
      <c r="OT179" s="139" t="e">
        <f t="shared" ca="1" si="689"/>
        <v>#DIV/0!</v>
      </c>
      <c r="OU179" s="138" t="e">
        <f t="shared" ca="1" si="690"/>
        <v>#N/A</v>
      </c>
      <c r="OV179" s="138" t="e">
        <f t="shared" ca="1" si="691"/>
        <v>#DIV/0!</v>
      </c>
      <c r="OW179" s="138" t="e">
        <f t="shared" ca="1" si="666"/>
        <v>#DIV/0!</v>
      </c>
      <c r="OX179" s="138" t="e">
        <f t="shared" ca="1" si="667"/>
        <v>#DIV/0!</v>
      </c>
      <c r="OY179" s="138" t="e">
        <f t="shared" ca="1" si="668"/>
        <v>#DIV/0!</v>
      </c>
      <c r="OZ179" s="138" t="e">
        <f t="shared" ca="1" si="583"/>
        <v>#DIV/0!</v>
      </c>
      <c r="PA179" s="138" t="e">
        <f t="shared" ca="1" si="584"/>
        <v>#DIV/0!</v>
      </c>
      <c r="PB179" s="55">
        <f>IF(Control!$C$61="T", IF(Control!$C$65="F", IF($AH$6-Control!$C$60&lt;0,0,1), IF(365+$AH$6-Control!$C$60&lt;0,0,1)),0)</f>
        <v>0</v>
      </c>
      <c r="PC179" s="55">
        <f ca="1">IF(Control!$C$65="F", IF($AH$6-$HF179&lt;0,0,1), IF(365+$AH$6-$HF179&lt;0,0,1))</f>
        <v>1</v>
      </c>
      <c r="PD179" s="444">
        <f>Control!$C$118</f>
        <v>1500</v>
      </c>
      <c r="PE179" s="180" t="e">
        <f t="shared" ca="1" si="585"/>
        <v>#N/A</v>
      </c>
      <c r="PF179" s="445">
        <f t="shared" ca="1" si="669"/>
        <v>0.71612369323045078</v>
      </c>
      <c r="PT179" s="186"/>
      <c r="PU179" s="186"/>
      <c r="PV179" s="94"/>
      <c r="PW179" s="94"/>
      <c r="PX179" s="94"/>
      <c r="PY179" s="94"/>
      <c r="PZ179" s="94"/>
      <c r="QA179" s="94"/>
      <c r="QB179" s="94"/>
      <c r="QC179" s="94"/>
      <c r="QD179" s="94"/>
      <c r="QE179" s="94"/>
      <c r="QF179" s="94"/>
      <c r="QG179" s="94"/>
      <c r="QH179" s="94"/>
      <c r="QI179" s="94"/>
      <c r="QJ179" s="94"/>
      <c r="QK179" s="94"/>
      <c r="QL179" s="94"/>
      <c r="QM179" s="94"/>
      <c r="QN179" s="94"/>
      <c r="QO179" s="94"/>
      <c r="QP179" s="94"/>
    </row>
    <row r="180" spans="1:458" s="2" customFormat="1" x14ac:dyDescent="0.2">
      <c r="A180" s="395">
        <v>24</v>
      </c>
      <c r="B180" s="396">
        <v>6</v>
      </c>
      <c r="C180" s="387">
        <f ca="1">Weather_data!$B179</f>
        <v>0</v>
      </c>
      <c r="D180" s="388">
        <f ca="1">Weather_data!$F179</f>
        <v>0</v>
      </c>
      <c r="E180" s="388">
        <f ca="1">Weather_data!$E179</f>
        <v>0</v>
      </c>
      <c r="F180" s="388">
        <f t="shared" ca="1" si="586"/>
        <v>0</v>
      </c>
      <c r="G180" s="388">
        <f ca="1">AVERAGE($D180:$E180)+Control!$B$9</f>
        <v>0</v>
      </c>
      <c r="H180" s="388">
        <f ca="1">Weather_data!$G179</f>
        <v>0</v>
      </c>
      <c r="I180" s="388">
        <f ca="1">Weather_data!$I179</f>
        <v>0</v>
      </c>
      <c r="J180" s="388">
        <f ca="1">Weather_data!$H179</f>
        <v>0</v>
      </c>
      <c r="K180" s="389">
        <f ca="1">Weather_data!$D179</f>
        <v>0</v>
      </c>
      <c r="L180" s="388" t="e">
        <f t="shared" ca="1" si="587"/>
        <v>#N/A</v>
      </c>
      <c r="M180" s="388" t="e">
        <f t="shared" ca="1" si="465"/>
        <v>#N/A</v>
      </c>
      <c r="N180" s="388">
        <f t="shared" ca="1" si="466"/>
        <v>-5.4596731860178847E-9</v>
      </c>
      <c r="O180" s="388">
        <f t="shared" ca="1" si="588"/>
        <v>5.4596731860178845E-8</v>
      </c>
      <c r="P180" s="390">
        <v>3</v>
      </c>
      <c r="Q180" s="388">
        <f ca="1">MAX($G180-Control!$C$107,0)</f>
        <v>0</v>
      </c>
      <c r="R180" s="388">
        <f t="shared" ca="1" si="589"/>
        <v>0</v>
      </c>
      <c r="S180" s="388">
        <f t="shared" ca="1" si="467"/>
        <v>0</v>
      </c>
      <c r="T180" s="388">
        <f t="shared" ca="1" si="468"/>
        <v>0</v>
      </c>
      <c r="U180" s="59">
        <f t="shared" ca="1" si="469"/>
        <v>0</v>
      </c>
      <c r="V180" s="391">
        <f ca="1">MAX(0,MIN(Control!$C$100-Control!$C$99,$G180-Control!$C$99)*Control!$C$63)</f>
        <v>0</v>
      </c>
      <c r="W180" s="388">
        <f t="shared" ca="1" si="590"/>
        <v>0</v>
      </c>
      <c r="X180" s="388">
        <f t="shared" ca="1" si="591"/>
        <v>0.6110000000000001</v>
      </c>
      <c r="Y180" s="388">
        <f t="shared" ca="1" si="470"/>
        <v>0</v>
      </c>
      <c r="Z180" s="388">
        <f t="shared" ca="1" si="592"/>
        <v>0.61058800000000002</v>
      </c>
      <c r="AA180" s="388">
        <f t="shared" ca="1" si="471"/>
        <v>0.6018</v>
      </c>
      <c r="AB180" s="388">
        <f ca="1">101.3*EXP(-0.034*Control!$C$66/($G180+273))</f>
        <v>100.69623283836242</v>
      </c>
      <c r="AC180" s="392">
        <f t="shared" ca="1" si="472"/>
        <v>4.3460251046025113E-2</v>
      </c>
      <c r="AD180" s="392">
        <f t="shared" ca="1" si="473"/>
        <v>4.4450382862832649E-2</v>
      </c>
      <c r="AE180" s="388">
        <f t="shared" ca="1" si="474"/>
        <v>0</v>
      </c>
      <c r="AF180" s="388">
        <f ca="1">MAX(0,$G180-Control!$C$92)</f>
        <v>0</v>
      </c>
      <c r="AG180" s="393">
        <f t="shared" ca="1" si="475"/>
        <v>176</v>
      </c>
      <c r="AH180" s="389">
        <f t="shared" ca="1" si="476"/>
        <v>176</v>
      </c>
      <c r="AI180" s="388">
        <f t="shared" ca="1" si="593"/>
        <v>0.40849353333259769</v>
      </c>
      <c r="AJ180" s="388">
        <f ca="1">IF(Control!$C$60&lt;=0,$HH180,$HI180)</f>
        <v>1</v>
      </c>
      <c r="AK180" s="388">
        <f t="shared" ca="1" si="477"/>
        <v>1.6525638068198363</v>
      </c>
      <c r="AL180" s="388">
        <f t="shared" ca="1" si="478"/>
        <v>-1.2623291301139261E-17</v>
      </c>
      <c r="AM180" s="388">
        <f t="shared" ca="1" si="479"/>
        <v>1.6525638068198363</v>
      </c>
      <c r="AN180" s="388">
        <f t="shared" ca="1" si="480"/>
        <v>0.40766951497226867</v>
      </c>
      <c r="AO180" s="388">
        <f ca="1">-0.10453/COS(Control!$B$8*PI()/180)*COS(AN180)</f>
        <v>-0.15587053356134878</v>
      </c>
      <c r="AP180" s="388">
        <f ca="1">ACOS(AO180-TAN(Control!$B$8*PI()/180)*TAN(AN180))</f>
        <v>2.3583514337191893</v>
      </c>
      <c r="AQ180" s="388">
        <f t="shared" ca="1" si="594"/>
        <v>0</v>
      </c>
      <c r="AR180" s="394">
        <f t="shared" ca="1" si="481"/>
        <v>0</v>
      </c>
      <c r="AS180" s="436">
        <f ca="1">IF(Control!$B$18=2,(IF(OR($AH180=Control!$B$175,$AH180=Control!$B$176,$AH180=Control!$B$177,$AH180=Control!$B$178,$AH180=Control!$B$179,$AH180=Control!$B$180,$AH180=Control!$B$181,$AH180=Control!$B$182,$AH180=Control!$B$183,$AH180=Control!$B$184,$AH180=Control!$B$185),1,0)),0)</f>
        <v>0</v>
      </c>
      <c r="AT180" s="436">
        <f>IF(Control!$B$20=8,IF(AND($AH180&gt;=Control!$B$172,$AH180&lt;=Control!$B$173),1,0),0)</f>
        <v>0</v>
      </c>
      <c r="AU180" s="436">
        <f>IF(Control!$B$20=8,IF($AV179=1,1*$AT180,IF($AT180=1,$AU179+1,$AU179)),0)</f>
        <v>0</v>
      </c>
      <c r="AV180" s="436">
        <f>IF(Control!$B$20=8,IF($AU180&gt;=Control!$B$174,1,0),0)</f>
        <v>0</v>
      </c>
      <c r="AW180" s="436">
        <f ca="1">IF(AND(Control!$B$18=2,Control!$B$171=1), $AV180, $AS180)</f>
        <v>0</v>
      </c>
      <c r="AX180" s="436" t="e">
        <f ca="1">IF(AND(Control!$B$18=1,$EU180&gt;=Control!$B$19),-$AY180,IF(AND(Control!$B$18=2,$AW180=1,$EU180&gt;$DS180),-$AY180, IF(Control!$C$108=0,0, IF(Control!$C$108&lt;&gt;0,1))))</f>
        <v>#N/A</v>
      </c>
      <c r="AY180" s="436" t="e">
        <f t="shared" ca="1" si="595"/>
        <v>#N/A</v>
      </c>
      <c r="AZ180" s="436" t="e">
        <f ca="1">IF(AND(Control!$B$18=1,$EB180&gt;Control!$B$19),$AZ179+1, IF(AND(Control!$B$18=2, $AW180=1, $EB180&gt;$DS180), $AZ179+1,$AZ179))</f>
        <v>#N/A</v>
      </c>
      <c r="BA180" s="587">
        <f>IF(Control!$C$81=0,1,IF($AH180&gt;=Control!$C$82,1,0))</f>
        <v>1</v>
      </c>
      <c r="BB180" s="140" t="e">
        <f ca="1">IF($BA180&gt;$BA179,Control!$C$83,IF($AW180&gt;0,$AW180*Control!$C$84,IF(AND(Control!$B$18=1,EN179&lt;&gt;0),Control!$C$84,0)))</f>
        <v>#N/A</v>
      </c>
      <c r="BC180" s="140" t="e">
        <f t="shared" ca="1" si="596"/>
        <v>#N/A</v>
      </c>
      <c r="BD180" s="140" t="e">
        <f ca="1">BC180*IF(OR($G180&lt;Control!$C$92,$G180&gt;Control!$C$95),0,IF(AND($G180&gt;=Control!$C$92,$G180&lt;=Control!$C$93),$G180-Control!$C$92,IF(AND($G180&gt;Control!$C$93,$G180&lt;=Control!$C$94),Control!$C$93-Control!$C$92,IF(AND($G180&gt;Control!$C$94,$G180&lt;=Control!$C$95),(Control!$C$93-Control!$C$92)*(Control!$C$94-$G180)/(Control!$C$95-Control!$C$94)))))</f>
        <v>#N/A</v>
      </c>
      <c r="BE180" s="140" t="e">
        <f t="shared" ca="1" si="597"/>
        <v>#N/A</v>
      </c>
      <c r="BF180" s="140" t="e">
        <f ca="1">IF($BE180&lt;=Control!$C$86,$BE180,Control!$C$86-$BE180)</f>
        <v>#N/A</v>
      </c>
      <c r="BG180" s="140" t="e">
        <f ca="1">IF(AND($AW180=1,Control!$C$84&lt;9),1,IF($BE180&gt;=Control!$C$86,0,$BC180))</f>
        <v>#N/A</v>
      </c>
      <c r="BH180" s="404" t="e">
        <f ca="1">IF($BG180=0,0,IF($BE180&lt;=Control!$C$86,$BC180*9*($BF180/Control!$C$86),0))</f>
        <v>#N/A</v>
      </c>
      <c r="BI180" s="140" t="e">
        <f ca="1">IF($BG180=1,0,IF($BE180&gt;=Control!$C$86,1,IF(AND($BB180&lt;21,$BB180&gt;=9),1,$BM179)))</f>
        <v>#N/A</v>
      </c>
      <c r="BJ180" s="140" t="e">
        <f ca="1">IF($BF180&lt;0,-$BF180,$BI180*IF(OR($G180&lt;Control!$C$92,$G180&gt;Control!$C$95),0,IF(AND($G180&gt;=Control!$C$92,$G180&lt;=Control!$C$93),$G180-Control!$C$92,IF(AND($G180&gt;Control!$C$93,$G180&lt;=Control!$C$94),Control!$C$93-Control!$C$92,IF(AND($G180&gt;Control!$C$94,$G180&lt;=Control!$C$95),(Control!$C$93-Control!$C$92)*(Control!$C$94-$G180)/(Control!$C$95-Control!$C$94))))))</f>
        <v>#N/A</v>
      </c>
      <c r="BK180" s="140" t="e">
        <f t="shared" ca="1" si="598"/>
        <v>#N/A</v>
      </c>
      <c r="BL180" s="140" t="e">
        <f ca="1">IF($BK180&lt;=Control!$C$87,$BK180,Control!$C$87-$BK180)</f>
        <v>#N/A</v>
      </c>
      <c r="BM180" s="140" t="e">
        <f ca="1">IF(AND($BB180&gt;=9,$BB180&lt;21),1,IF($BK180&gt;=Control!$C$87,0,$BI180))</f>
        <v>#N/A</v>
      </c>
      <c r="BN180" s="404" t="e">
        <f ca="1">IF($BM180=0,0,IF($BK180&lt;=Control!$C$87,$BI180*(9+(21-9)*($BL180/Control!$C$87)),0))</f>
        <v>#N/A</v>
      </c>
      <c r="BO180" s="140" t="e">
        <f ca="1">IF($BM180=1,0,IF($BK180&gt;=Control!$C$87,1,IF(AND($BB180&lt;30,$BB180&gt;=21),1,$BS179)))</f>
        <v>#N/A</v>
      </c>
      <c r="BP180" s="140" t="e">
        <f ca="1">IF($BL180&lt;0,-$BL180,$BO180*IF(OR($G180&lt;Control!$C$92,$G180&gt;Control!$C$95),0,IF(AND($G180&gt;=Control!$C$92,$G180&lt;=Control!$C$93),$G180-Control!$C$92,IF(AND($G180&gt;Control!$C$93,$G180&lt;=Control!$C$94),Control!$C$93-Control!$C$92,IF(AND($G180&gt;Control!$C$94,$G180&lt;=Control!$C$95),(Control!$C$93-Control!$C$92)*(Control!$C$94-$G180)/(Control!$C$95-Control!$C$94))))))</f>
        <v>#N/A</v>
      </c>
      <c r="BQ180" s="140" t="e">
        <f t="shared" ca="1" si="482"/>
        <v>#N/A</v>
      </c>
      <c r="BR180" s="140" t="e">
        <f ca="1">IF($BQ180&lt;=Control!$C$88,$BQ180,Control!$C$88-$BQ180)</f>
        <v>#N/A</v>
      </c>
      <c r="BS180" s="140" t="e">
        <f ca="1">IF(AND($BB180&gt;=21,$BB180&lt;30),1,IF($BQ180&gt;=Control!$C$88,0,$BO180))</f>
        <v>#N/A</v>
      </c>
      <c r="BT180" s="404" t="e">
        <f ca="1">IF($BS180=0,0,IF($BQ180&lt;=Control!$C$88,$BO180*(21+(30-21)*(BR180/Control!$C$88)),0))</f>
        <v>#N/A</v>
      </c>
      <c r="BU180" s="140" t="e">
        <f ca="1">IF(BG180+BM180+BS180=1,0,IF(OR(AND($BB180&lt;60,$BB180&gt;=30),$BQ180&gt;=Control!$C$88),1*$BA180,$BY179))</f>
        <v>#N/A</v>
      </c>
      <c r="BV180" s="140" t="e">
        <f ca="1">IF($BR180&lt;0,-$BR180,$BU180*IF(OR($G180&lt;Control!$C$92,$G180&gt;Control!$C$95),0,IF(AND($G180&gt;=Control!$C$92,$G180&lt;=Control!$C$93),$G180-Control!$C$92,IF(AND($G180&gt;Control!$C$93,$G180&lt;=Control!$C$94),Control!$C$93-Control!$C$92,IF(AND($G180&gt;Control!$C$94,$G180&lt;=Control!$C$95),(Control!$C$93-Control!$C$92)*(Control!$C$94-$G180)/(Control!$C$95-Control!$C$94))))))</f>
        <v>#N/A</v>
      </c>
      <c r="BW180" s="140" t="e">
        <f t="shared" ca="1" si="483"/>
        <v>#N/A</v>
      </c>
      <c r="BX180" s="140" t="e">
        <f ca="1">IF($BW180&lt;=Control!$C$89,$BW180,Control!$C$89-$BW180)</f>
        <v>#N/A</v>
      </c>
      <c r="BY180" s="140" t="e">
        <f ca="1">IF(AND($AJ180&gt;=30,$AJ180&lt;60),1,IF($BW180&gt;=Control!$C$89,0,$BU180))</f>
        <v>#N/A</v>
      </c>
      <c r="BZ180" s="404" t="e">
        <f ca="1">IF($BY180=0,0,IF($BW180&lt;=Control!$C$89,$BU180*(30+(60-30)*(BX180/Control!$C$89)),0))</f>
        <v>#N/A</v>
      </c>
      <c r="CA180" s="140" t="e">
        <f ca="1">IF($BG180+$BM180+$BS180+$BY180=1,0,IF(OR(AND($BB180&lt;65,$BB180&gt;=60),$BW180&gt;=Control!$C$89),1*$BA180,$CE179))</f>
        <v>#N/A</v>
      </c>
      <c r="CB180" s="140" t="e">
        <f ca="1">IF($BX180&lt;0,-$BX180,$CA180*IF(OR($G180&lt;Control!$C$92,$G180&gt;Control!$C$95),0,IF(AND($G180&gt;=Control!$C$92,$G180&lt;=Control!$C$93),$G180-Control!$C$92,IF(AND($G180&gt;Control!$C$93,$G180&lt;=Control!$C$94),Control!$C$93-Control!$C$92,IF(AND($G180&gt;Control!$C$94,$G180&lt;=Control!$C$95),(Control!$C$93-Control!$C$92)*(Control!$C$94-$G180)/(Control!$C$95-Control!$C$94))))))</f>
        <v>#N/A</v>
      </c>
      <c r="CC180" s="140" t="e">
        <f t="shared" ca="1" si="599"/>
        <v>#N/A</v>
      </c>
      <c r="CD180" s="140" t="e">
        <f ca="1">IF($CC180&lt;=Control!$C$90,$CC180,Control!$C$90-$CC180)</f>
        <v>#N/A</v>
      </c>
      <c r="CE180" s="140" t="e">
        <f ca="1">IF(AND($BB180&gt;=60,$BB180&lt;65),1,IF($CC180&gt;=Control!$C$90,0,$CA180))</f>
        <v>#N/A</v>
      </c>
      <c r="CF180" s="404" t="e">
        <f ca="1">IF($CE180=0,0,IF($CC180&lt;=Control!$C$90,$CA180*(60+(65-60)*(CD180/Control!$C$90)),0))</f>
        <v>#N/A</v>
      </c>
      <c r="CG180" s="140" t="e">
        <f ca="1">IF($BG180+$BM180+$BS180+$BY180+$CE180=1,0,IF(OR(AND($BB180&lt;90,$BB180&gt;=65),$CC180&gt;=Control!$C$90),$BA180,$CK179))</f>
        <v>#N/A</v>
      </c>
      <c r="CH180" s="140" t="e">
        <f ca="1">IF($CD180&lt;0,-$CD180,$CG180*IF(OR($G180&lt;Control!$C$92,$G180&gt;Control!$C$95),0,IF(AND($G180&gt;=Control!$C$92,$G180&lt;=Control!$C$93),$G180-Control!$C$92,IF(AND($G180&gt;Control!$C$93,$G180&lt;=Control!$C$94),Control!$C$93-Control!$C$92,IF(AND($G180&gt;Control!$C$94,$G180&lt;=Control!$C$95),(Control!$C$93-Control!$C$92)*(Control!$C$94-$G180)/(Control!$C$95-Control!$C$94))))))</f>
        <v>#N/A</v>
      </c>
      <c r="CI180" s="140" t="e">
        <f t="shared" ca="1" si="600"/>
        <v>#N/A</v>
      </c>
      <c r="CJ180" s="140" t="e">
        <f ca="1">IF($CI180&lt;=Control!$C$91,$CI180,Control!$C$91-$CI180)</f>
        <v>#N/A</v>
      </c>
      <c r="CK180" s="140" t="e">
        <f ca="1">IF(AND($BB180&gt;=65,$BB180&lt;90),1,IF($CI180&gt;=Control!$C$91,0,$CG180))</f>
        <v>#N/A</v>
      </c>
      <c r="CL180" s="404" t="e">
        <f ca="1">IF($CK180=0,0,IF($CI180&lt;=Control!$C$91,$CG180*(65+(90-65)*($CJ180/Control!$C$91)),0))</f>
        <v>#N/A</v>
      </c>
      <c r="CM180" s="140" t="e">
        <f ca="1">IF($BG180+$BM180+$BS180+$BY180+$CE180+$CK180=1,0,IF(OR($BB180&gt;=90,$CI180&gt;=Control!$C$91),$BA180,$CM179))</f>
        <v>#N/A</v>
      </c>
      <c r="CN180" s="140" t="e">
        <f t="shared" ca="1" si="601"/>
        <v>#N/A</v>
      </c>
      <c r="CO180" s="140" t="e">
        <f t="shared" ca="1" si="602"/>
        <v>#N/A</v>
      </c>
      <c r="CP180" s="140" t="e">
        <f t="shared" ca="1" si="603"/>
        <v>#N/A</v>
      </c>
      <c r="CQ180" s="141" t="e">
        <f ca="1">VLOOKUP($CP180,Control!$B$86:$G$91,6)</f>
        <v>#N/A</v>
      </c>
      <c r="CR180" s="141" t="e">
        <f ca="1">(1-$CQ180)*VLOOKUP($CP180,Control!$B$86:$D$91,3)</f>
        <v>#N/A</v>
      </c>
      <c r="CS180" s="141" t="e">
        <f ca="1">(1-$CQ180)*VLOOKUP($CP180,Control!$B$86:$E$91,4)</f>
        <v>#N/A</v>
      </c>
      <c r="CT180" s="141" t="e">
        <f ca="1">(1-$CQ180)*VLOOKUP($CP180,Control!$B$86:$F$91,5)</f>
        <v>#N/A</v>
      </c>
      <c r="CU180" s="141">
        <f t="shared" ca="1" si="604"/>
        <v>0</v>
      </c>
      <c r="CV180" s="583">
        <f t="shared" ca="1" si="605"/>
        <v>0</v>
      </c>
      <c r="CW180" s="142">
        <f t="shared" ca="1" si="606"/>
        <v>176</v>
      </c>
      <c r="CX180" s="612" t="e">
        <f ca="1">IF(Control!$C$114=1,(MIN(Control!$C$120*(IF($NT180-0.01&lt;0,0,1)),Control!$C$119-$CY180)))</f>
        <v>#DIV/0!</v>
      </c>
      <c r="CY180" s="143" t="e">
        <f t="shared" ca="1" si="607"/>
        <v>#N/A</v>
      </c>
      <c r="CZ180" s="144">
        <f t="shared" ca="1" si="484"/>
        <v>0</v>
      </c>
      <c r="DA180" s="144">
        <f t="shared" ca="1" si="485"/>
        <v>0</v>
      </c>
      <c r="DB180" s="144" t="e">
        <f t="shared" ca="1" si="486"/>
        <v>#N/A</v>
      </c>
      <c r="DC180" s="144" t="e">
        <f t="shared" ca="1" si="487"/>
        <v>#N/A</v>
      </c>
      <c r="DD180" s="144" t="e">
        <f t="shared" ca="1" si="692"/>
        <v>#N/A</v>
      </c>
      <c r="DE180" s="143" t="e">
        <f t="shared" ca="1" si="608"/>
        <v>#N/A</v>
      </c>
      <c r="DF180" s="145" t="e">
        <f ca="1">$DR180*EXP(-Control!$C$158*(1-$KH180))</f>
        <v>#N/A</v>
      </c>
      <c r="DG180" s="146" t="e">
        <f ca="1">IF(Control!$C$114=1, $DF180*$EY180, 0)</f>
        <v>#N/A</v>
      </c>
      <c r="DH180" s="147" t="e">
        <f t="shared" ca="1" si="609"/>
        <v>#N/A</v>
      </c>
      <c r="DI180" s="144" t="e">
        <f t="shared" ca="1" si="670"/>
        <v>#N/A</v>
      </c>
      <c r="DJ180" s="147" t="e">
        <f ca="1">$EF180*Control!$C$109</f>
        <v>#N/A</v>
      </c>
      <c r="DK180" s="144" t="e">
        <f t="shared" ca="1" si="610"/>
        <v>#N/A</v>
      </c>
      <c r="DL180" s="144" t="e">
        <f t="shared" ca="1" si="488"/>
        <v>#N/A</v>
      </c>
      <c r="DM180" s="144" t="e">
        <f ca="1">IF(Control!$C$114=1, (1-EXP(-Control!$C$96*$DK180))*$AR180, 0)</f>
        <v>#N/A</v>
      </c>
      <c r="DN180" s="144">
        <f t="shared" ca="1" si="611"/>
        <v>0</v>
      </c>
      <c r="DO180" s="148">
        <f>Control!$C$97</f>
        <v>4</v>
      </c>
      <c r="DP180" s="145" t="e">
        <f t="shared" ca="1" si="612"/>
        <v>#N/A</v>
      </c>
      <c r="DQ180" s="145" t="e">
        <f ca="1">IF(AND($CP180&gt;=0,$CP180&lt;=90),Control!$C$111,Control!$C$111)</f>
        <v>#N/A</v>
      </c>
      <c r="DR180" s="145" t="e">
        <f t="shared" ca="1" si="489"/>
        <v>#N/A</v>
      </c>
      <c r="DS180" s="143" t="e">
        <f ca="1">Control!$B$22/$DR180</f>
        <v>#N/A</v>
      </c>
      <c r="DT180" s="149" t="e">
        <f ca="1">IF(AND(Control!$C$114=1,$KH180&lt;1),$IM180*$DF180, 0)</f>
        <v>#N/A</v>
      </c>
      <c r="DU180" s="144" t="e">
        <f t="shared" ca="1" si="613"/>
        <v>#N/A</v>
      </c>
      <c r="DV180" s="144">
        <f ca="1">IF($G180-Control!$C$107&lt;=0, 0, 0.83*LN(MAX($G180, 3))-0.8924)</f>
        <v>0</v>
      </c>
      <c r="DW180" s="144" t="e">
        <f t="shared" ca="1" si="490"/>
        <v>#N/A</v>
      </c>
      <c r="DX180" s="150" t="e">
        <f ca="1">MAX(0.01*(1+$CU180/Control!$C$102),0.05*($DK180-Control!$C$97)/Control!$C$97)</f>
        <v>#N/A</v>
      </c>
      <c r="DY180" s="151" t="e">
        <f ca="1">IF(Control!$C$114=1, $DI180*$FS180, 0)</f>
        <v>#N/A</v>
      </c>
      <c r="DZ180" s="196" t="e">
        <f t="shared" ca="1" si="614"/>
        <v>#N/A</v>
      </c>
      <c r="EA180" s="152">
        <f t="shared" ca="1" si="615"/>
        <v>176</v>
      </c>
      <c r="EB180" s="153" t="e">
        <f t="shared" ca="1" si="616"/>
        <v>#N/A</v>
      </c>
      <c r="EC180" s="153" t="e">
        <f t="shared" ca="1" si="617"/>
        <v>#N/A</v>
      </c>
      <c r="ED180" s="154" t="e">
        <f ca="1">IF(Control!$C$114=1, $HM180*$FY180-$FD180, 0)</f>
        <v>#DIV/0!</v>
      </c>
      <c r="EE180" s="155" t="e">
        <f ca="1">IF(Control!$C$114=1, $HM180*$FZ180-$FF180, 0)</f>
        <v>#DIV/0!</v>
      </c>
      <c r="EF180" s="153" t="e">
        <f t="shared" ca="1" si="671"/>
        <v>#N/A</v>
      </c>
      <c r="EG180" s="155" t="e">
        <f ca="1">IF(Control!$C$114=1, $GX180*$FW180-$FI180, 0)</f>
        <v>#DIV/0!</v>
      </c>
      <c r="EH180" s="153" t="e">
        <f t="shared" ca="1" si="618"/>
        <v>#N/A</v>
      </c>
      <c r="EI180" s="156" t="e">
        <f t="shared" ca="1" si="619"/>
        <v>#N/A</v>
      </c>
      <c r="EJ180" s="155" t="e">
        <f ca="1">IF(Control!$C$114=1, $HM180*$GB180, 0)</f>
        <v>#DIV/0!</v>
      </c>
      <c r="EK180" s="153" t="e">
        <f t="shared" ca="1" si="672"/>
        <v>#N/A</v>
      </c>
      <c r="EL180" s="153" t="e">
        <f t="shared" ca="1" si="491"/>
        <v>#N/A</v>
      </c>
      <c r="EM180" s="153" t="e">
        <f t="shared" ca="1" si="492"/>
        <v>#N/A</v>
      </c>
      <c r="EN180" s="153" t="e">
        <f ca="1">IF(Control!$C$108=1,IF(AND(Control!$B$18=1,$EB180&gt;=Control!$B$19),$EB180-$DS180,IF(AND(Control!$B$18=2,$AW180=1,$EB180&gt;$DS180),$EB180-$DS180,0)))</f>
        <v>#N/A</v>
      </c>
      <c r="EO180" s="153" t="e">
        <f ca="1">IF(Control!$C$108=1,IF(AND(Control!$B$18=1,$EB180&gt;=Control!$B$19),$EF180,IF(AND(Control!$B$18=2,$AW180=1),$EF180,0)))</f>
        <v>#N/A</v>
      </c>
      <c r="EP180" s="153" t="e">
        <f ca="1">IF(Control!$C$108=1,IF(AND(Control!$B$18=1,$EB180&gt;=Control!$B$19),$EK180,IF(AND(Control!$B$18=2,$AW180=1),$EK180,0)))</f>
        <v>#N/A</v>
      </c>
      <c r="EQ180" s="153" t="e">
        <f t="shared" ca="1" si="620"/>
        <v>#N/A</v>
      </c>
      <c r="ER180" s="153" t="e">
        <f t="shared" ca="1" si="621"/>
        <v>#N/A</v>
      </c>
      <c r="ES180" s="153" t="e">
        <f t="shared" ca="1" si="673"/>
        <v>#N/A</v>
      </c>
      <c r="ET180" s="153" t="e">
        <f t="shared" ca="1" si="674"/>
        <v>#N/A</v>
      </c>
      <c r="EU180" s="153" t="e">
        <f t="shared" ca="1" si="622"/>
        <v>#N/A</v>
      </c>
      <c r="EV180" s="153" t="e">
        <f t="shared" ca="1" si="493"/>
        <v>#N/A</v>
      </c>
      <c r="EW180" s="153" t="e">
        <f t="shared" ca="1" si="494"/>
        <v>#N/A</v>
      </c>
      <c r="EX180" s="153" t="e">
        <f t="shared" ca="1" si="495"/>
        <v>#N/A</v>
      </c>
      <c r="EY180" s="157" t="e">
        <f t="shared" ca="1" si="496"/>
        <v>#DIV/0!</v>
      </c>
      <c r="EZ180" s="154" t="e">
        <f t="shared" ca="1" si="497"/>
        <v>#DIV/0!</v>
      </c>
      <c r="FA180" s="153" t="e">
        <f t="shared" ca="1" si="623"/>
        <v>#N/A</v>
      </c>
      <c r="FB180" s="153" t="e">
        <f t="shared" ca="1" si="498"/>
        <v>#N/A</v>
      </c>
      <c r="FC180" s="193" t="e">
        <f t="shared" ca="1" si="499"/>
        <v>#N/A</v>
      </c>
      <c r="FD180" s="158" t="e">
        <f t="shared" ca="1" si="624"/>
        <v>#N/A</v>
      </c>
      <c r="FE180" s="158" t="e">
        <f t="shared" ca="1" si="625"/>
        <v>#N/A</v>
      </c>
      <c r="FF180" s="159" t="e">
        <f t="shared" ca="1" si="500"/>
        <v>#N/A</v>
      </c>
      <c r="FG180" s="160" t="e">
        <f t="shared" ca="1" si="626"/>
        <v>#N/A</v>
      </c>
      <c r="FH180" s="158" t="e">
        <f t="shared" ca="1" si="627"/>
        <v>#N/A</v>
      </c>
      <c r="FI180" s="159" t="e">
        <f t="shared" ca="1" si="501"/>
        <v>#N/A</v>
      </c>
      <c r="FJ180" s="160" t="e">
        <f t="shared" ca="1" si="628"/>
        <v>#N/A</v>
      </c>
      <c r="FK180" s="160" t="e">
        <f t="shared" ca="1" si="502"/>
        <v>#N/A</v>
      </c>
      <c r="FL180" s="160" t="e">
        <f t="shared" ca="1" si="675"/>
        <v>#N/A</v>
      </c>
      <c r="FM180" s="160" t="e">
        <f t="shared" ca="1" si="503"/>
        <v>#N/A</v>
      </c>
      <c r="FN180" s="158">
        <f t="shared" ca="1" si="629"/>
        <v>0.01</v>
      </c>
      <c r="FO180" s="160">
        <f>Control!$C$101</f>
        <v>50</v>
      </c>
      <c r="FP180" s="150" t="e">
        <f t="shared" ca="1" si="504"/>
        <v>#N/A</v>
      </c>
      <c r="FQ180" s="150" t="e">
        <f ca="1">MAX(0,(Control!$C$112*(($DK180-Control!$C$97)/Control!$C$97)))</f>
        <v>#N/A</v>
      </c>
      <c r="FR180" s="150" t="e">
        <f ca="1">(1-$NT180)*Control!$C$113</f>
        <v>#DIV/0!</v>
      </c>
      <c r="FS180" s="198" t="e">
        <f t="shared" ca="1" si="505"/>
        <v>#N/A</v>
      </c>
      <c r="FT180" s="161">
        <f t="shared" ca="1" si="630"/>
        <v>176</v>
      </c>
      <c r="FU180" s="162" t="e">
        <f ca="1">IF(Control!$B$34=1,VLOOKUP($CP180,Control!$B$86:$G$91,6),Control!$B$35)</f>
        <v>#N/A</v>
      </c>
      <c r="FV180" s="162" t="e">
        <f t="shared" ca="1" si="506"/>
        <v>#DIV/0!</v>
      </c>
      <c r="FW180" s="162" t="e">
        <f ca="1">IF(Control!$B$31=1,$FU180*$FV180,  $FU180)</f>
        <v>#N/A</v>
      </c>
      <c r="FX180" s="162" t="e">
        <f ca="1">IF(Control!$B$34=1,VLOOKUP($CP180,Control!$B$86:$G$91,3),Control!$B$36)</f>
        <v>#N/A</v>
      </c>
      <c r="FY180" s="162" t="e">
        <f t="shared" ca="1" si="507"/>
        <v>#N/A</v>
      </c>
      <c r="FZ180" s="162" t="e">
        <f ca="1">IF(Control!$B$34=1,VLOOKUP($CP180,Control!$B$86:$G$91,4),Control!$B$37)</f>
        <v>#N/A</v>
      </c>
      <c r="GA180" s="162" t="e">
        <f t="shared" ca="1" si="508"/>
        <v>#N/A</v>
      </c>
      <c r="GB180" s="162" t="e">
        <f ca="1">IF(Control!$B$34=1,VLOOKUP($CP180,Control!$B$86:$G$91,5),Control!$B$38)</f>
        <v>#N/A</v>
      </c>
      <c r="GC180" s="162" t="e">
        <f t="shared" ca="1" si="631"/>
        <v>#N/A</v>
      </c>
      <c r="GD180" s="162">
        <f t="shared" ca="1" si="509"/>
        <v>1</v>
      </c>
      <c r="GE180" s="162">
        <f t="shared" ca="1" si="510"/>
        <v>1</v>
      </c>
      <c r="GF180" s="162">
        <f ca="1">IF(AND(Control!$C$104=1, Control!$C$62="F"),$GE180,1)</f>
        <v>1</v>
      </c>
      <c r="GG180" s="162" t="e">
        <f ca="1">IF(Control!$B$16=40,0,IF(AND(Control!$B$16&gt;40,Control!$B$16&lt;=360),(Control!$B$16-40)*((1-0)/(360-40)),IF(AND(Control!$B$16&gt;360,Control!$B$16&lt;=720),(1+(Control!$B$16-360)*((1.25-1)/(720-360))),IF(AND(Control!$B$16&gt;720,Control!$B$16&lt;=1000),(1.25+(Control!$B$16-720)*((1.35-1.25)/(1000-720))),IF(AND(Control!$B$16&gt;1000,Control!$B$16&lt;=2000),(1.35+(Control!$B$16-1000)*0))))))</f>
        <v>#N/A</v>
      </c>
      <c r="GH180" s="162" t="e">
        <f t="shared" ca="1" si="511"/>
        <v>#N/A</v>
      </c>
      <c r="GI180" s="162">
        <f t="shared" ca="1" si="632"/>
        <v>0</v>
      </c>
      <c r="GJ180" s="162">
        <f t="shared" ca="1" si="512"/>
        <v>0</v>
      </c>
      <c r="GK180" s="162">
        <f t="shared" ca="1" si="633"/>
        <v>1</v>
      </c>
      <c r="GL180" s="162">
        <f t="shared" ca="1" si="513"/>
        <v>1</v>
      </c>
      <c r="GM180" s="162" t="e">
        <f ca="1">MAX(0,MIN(1,1-Control!$C$156*(1.0001-$KH180)^2))</f>
        <v>#N/A</v>
      </c>
      <c r="GN180" s="162" t="e">
        <f ca="1">IF(Control!$B$26=1,$KU180,$KX180)</f>
        <v>#N/A</v>
      </c>
      <c r="GO180" s="162" t="e">
        <f ca="1">IF($CP180&lt;=60,Control!$C$105,IF($CP180&gt;=90,Control!$C$106,Control!$C$105+($CP180-60)*((Control!$C$106-Control!$C$105)/(90-60))))</f>
        <v>#N/A</v>
      </c>
      <c r="GP180" s="162" t="e">
        <f t="shared" ca="1" si="514"/>
        <v>#N/A</v>
      </c>
      <c r="GQ180" s="162" t="e">
        <f t="shared" ca="1" si="634"/>
        <v>#N/A</v>
      </c>
      <c r="GR180" s="163" t="e">
        <f t="shared" ca="1" si="515"/>
        <v>#DIV/0!</v>
      </c>
      <c r="GS180" s="162" t="e">
        <f t="shared" ca="1" si="516"/>
        <v>#DIV/0!</v>
      </c>
      <c r="GT180" s="164" t="e">
        <f t="shared" ca="1" si="635"/>
        <v>#N/A</v>
      </c>
      <c r="GU180" s="162" t="e">
        <f t="shared" ca="1" si="636"/>
        <v>#N/A</v>
      </c>
      <c r="GV180" s="162" t="e">
        <f t="shared" ca="1" si="517"/>
        <v>#N/A</v>
      </c>
      <c r="GW180" s="162" t="e">
        <f t="shared" ca="1" si="518"/>
        <v>#DIV/0!</v>
      </c>
      <c r="GX180" s="162" t="e">
        <f t="shared" ca="1" si="637"/>
        <v>#DIV/0!</v>
      </c>
      <c r="GY180" s="162" t="e">
        <f t="shared" ca="1" si="638"/>
        <v>#DIV/0!</v>
      </c>
      <c r="GZ180" s="165" t="e">
        <f t="shared" ca="1" si="519"/>
        <v>#N/A</v>
      </c>
      <c r="HA180" s="162" t="e">
        <f ca="1">IF(Control!$C$114=1, $DI180*$FS180, 0)</f>
        <v>#N/A</v>
      </c>
      <c r="HB180" s="162" t="e">
        <f ca="1">$FA180/Control!$C$64</f>
        <v>#N/A</v>
      </c>
      <c r="HC180" s="162" t="e">
        <f t="shared" ca="1" si="520"/>
        <v>#DIV/0!</v>
      </c>
      <c r="HD180" s="162">
        <f ca="1">-ASIN(SIN(23.45*Control!$C$139)*COS(2*Control!$C$138*($AH180+10)/365))</f>
        <v>0.40849353333259769</v>
      </c>
      <c r="HE180" s="165">
        <f t="shared" ca="1" si="639"/>
        <v>0</v>
      </c>
      <c r="HF180" s="166">
        <f ca="1">IF(AND(Control!$C$61="T",$HE180&gt;=Control!$C$103,Control!$C$114=0),$AH180,Control!$C$59)</f>
        <v>1</v>
      </c>
      <c r="HG180" s="166">
        <f ca="1">IF(AND(Control!$C$61="T",$HE180&gt;=Control!$C$103,Control!$C$114=0),$HF180,Control!$C$59)</f>
        <v>1</v>
      </c>
      <c r="HH180" s="165">
        <f ca="1">IF(AND(OR(Control!$C$60&lt;=0, $AH180= Control!$C$59, Control!$C$60 &gt;0, $AH180 = Control!$C$60)), Control!$C$59, IF(Control!$C$60&gt;0, 0))</f>
        <v>1</v>
      </c>
      <c r="HI180" s="165">
        <f ca="1">IF(AND(OR(Control!$C$60&lt;=0, $AH180= Control!$C$59, Control!$C$60 &gt;0, $AH180 = Control!$C$60)), Control!$C$60, IF(Control!$C$60&lt;=0, 0))</f>
        <v>0</v>
      </c>
      <c r="HJ180" s="166">
        <f ca="1">IF(AND(Control!$C$62="F",$CV180&gt;=Control!$C$102),$AH180,0)</f>
        <v>0</v>
      </c>
      <c r="HK180" s="165" t="e">
        <f t="shared" ca="1" si="676"/>
        <v>#N/A</v>
      </c>
      <c r="HL180" s="166">
        <f ca="1">IF(AND(Control!$C$61="T",$HE180&gt;=Control!$C$103,Control!$C$114=0),$HF180,0)</f>
        <v>0</v>
      </c>
      <c r="HM180" s="201" t="e">
        <f t="shared" ca="1" si="521"/>
        <v>#DIV/0!</v>
      </c>
      <c r="HN180" s="215">
        <f t="shared" ca="1" si="640"/>
        <v>176</v>
      </c>
      <c r="HO180" s="216" t="e">
        <f ca="1">IF(AND($CP180&gt;=0, $CP180&lt;=90), Control!$C$152, Control!$C$152)</f>
        <v>#N/A</v>
      </c>
      <c r="HP180" s="216" t="e">
        <f t="shared" ca="1" si="522"/>
        <v>#N/A</v>
      </c>
      <c r="HQ180" s="217" t="e">
        <f ca="1">IF(OR(Control!$B$26=1,Control!$B$26=2),$KV180,$KS180)</f>
        <v>#DIV/0!</v>
      </c>
      <c r="HR180" s="218" t="e">
        <f t="shared" ca="1" si="677"/>
        <v>#DIV/0!</v>
      </c>
      <c r="HS180" s="216" t="e">
        <f ca="1">Control!$C$154*$HP180</f>
        <v>#N/A</v>
      </c>
      <c r="HT180" s="216" t="e">
        <f ca="1">Control!$C$155*$HP180</f>
        <v>#N/A</v>
      </c>
      <c r="HU180" s="217" t="e">
        <f ca="1">Control!$C$161*$FI180</f>
        <v>#N/A</v>
      </c>
      <c r="HV180" s="218" t="e">
        <f t="shared" ca="1" si="641"/>
        <v>#N/A</v>
      </c>
      <c r="HW180" s="218" t="e">
        <f ca="1">Control!$C$160*$FF180+$IP180*$EO180</f>
        <v>#N/A</v>
      </c>
      <c r="HX180" s="218" t="e">
        <f t="shared" ca="1" si="678"/>
        <v>#N/A</v>
      </c>
      <c r="HY180" s="219" t="e">
        <f ca="1">IF(Control!$C$114=1, $EB180*$FS180, 0)</f>
        <v>#N/A</v>
      </c>
      <c r="HZ180" s="91" t="e">
        <f t="shared" ca="1" si="523"/>
        <v>#N/A</v>
      </c>
      <c r="IA180" s="220" t="e">
        <f ca="1">Control!$C$153*$HO180</f>
        <v>#N/A</v>
      </c>
      <c r="IB180" s="218" t="e">
        <f t="shared" ca="1" si="524"/>
        <v>#N/A</v>
      </c>
      <c r="IC180" s="220" t="e">
        <f ca="1">Control!$C$153*$HT180</f>
        <v>#N/A</v>
      </c>
      <c r="ID180" s="218" t="e">
        <f t="shared" ca="1" si="525"/>
        <v>#N/A</v>
      </c>
      <c r="IE180" s="221" t="e">
        <f ca="1">($EB180*Control!$C$159+$EF180*Control!$C$160)/(IF($GZ180&lt;&gt;0,$GZ180,1))</f>
        <v>#N/A</v>
      </c>
      <c r="IF180" s="216" t="e">
        <f t="shared" ca="1" si="526"/>
        <v>#N/A</v>
      </c>
      <c r="IG180" s="91">
        <f ca="1">IF(OR(Control!$B$198=$AH180,Control!$B$199=$AH180, Control!$B$200=$AH180, Control!$B$201=$AH180, Control!$B$202=$AH180, Control!$B$203=$AH180, Control!$B$204=$AH180, Control!$B$205=$AH180, Control!$B$206=$AH180, Control!$B$207=$AH180), 1, 0)</f>
        <v>0</v>
      </c>
      <c r="IH180" s="91">
        <f ca="1">IF($IG180=0,0, VLOOKUP($AH180,Control!$B$198:$C$207,2))</f>
        <v>0</v>
      </c>
      <c r="II180" s="222">
        <f t="shared" ca="1" si="642"/>
        <v>0</v>
      </c>
      <c r="IJ180" s="91">
        <f>Control!$C$121</f>
        <v>0.7</v>
      </c>
      <c r="IK180" s="218">
        <f t="shared" ca="1" si="527"/>
        <v>0</v>
      </c>
      <c r="IL180" s="217" t="e">
        <f t="shared" ca="1" si="679"/>
        <v>#N/A</v>
      </c>
      <c r="IM180" s="223" t="e">
        <f ca="1">IF(AND(Control!$C$114=1,$KH180&lt;1),$EB180*Control!$C$148*(1-$KH180), 0)</f>
        <v>#N/A</v>
      </c>
      <c r="IN180" s="217" t="e">
        <f t="shared" ca="1" si="528"/>
        <v>#DIV/0!</v>
      </c>
      <c r="IO180" s="91" t="e">
        <f ca="1">MAX(0,$IL180-$EF180*Control!$C$160)</f>
        <v>#N/A</v>
      </c>
      <c r="IP180" s="220" t="e">
        <f t="shared" ca="1" si="529"/>
        <v>#N/A</v>
      </c>
      <c r="IQ180" s="217" t="e">
        <f t="shared" ca="1" si="643"/>
        <v>#N/A</v>
      </c>
      <c r="IR180" s="218" t="e">
        <f t="shared" ca="1" si="530"/>
        <v>#N/A</v>
      </c>
      <c r="IS180" s="217" t="e">
        <f ca="1">Control!$C$159*MAX(0,$FD180-$EN180)</f>
        <v>#N/A</v>
      </c>
      <c r="IT180" s="217" t="e">
        <f t="shared" ca="1" si="680"/>
        <v>#N/A</v>
      </c>
      <c r="IU180" s="217" t="e">
        <f t="shared" ca="1" si="644"/>
        <v>#N/A</v>
      </c>
      <c r="IV180" s="217" t="e">
        <f t="shared" ca="1" si="681"/>
        <v>#N/A</v>
      </c>
      <c r="IW180" s="217" t="e">
        <f ca="1">IF(OR($AW180=1,AND($AW180=0, Control!$B$18=1,$EN180&lt;&gt;0)), $IQ180-$IU180, $IQ180)</f>
        <v>#N/A</v>
      </c>
      <c r="IX180" s="218" t="e">
        <f t="shared" ca="1" si="531"/>
        <v>#N/A</v>
      </c>
      <c r="IY180" s="218" t="e">
        <f ca="1">MAX(0,$IQ180-$EB180*Control!$C$159)</f>
        <v>#N/A</v>
      </c>
      <c r="IZ180" s="218" t="e">
        <f t="shared" ca="1" si="532"/>
        <v>#N/A</v>
      </c>
      <c r="JA180" s="216" t="e">
        <f t="shared" ca="1" si="533"/>
        <v>#N/A</v>
      </c>
      <c r="JB180" s="217" t="e">
        <f t="shared" ca="1" si="534"/>
        <v>#N/A</v>
      </c>
      <c r="JC180" s="222" t="e">
        <f ca="1">MAX(Control!$C$157*$EK180-$JT180, 0)/Control!$C$162</f>
        <v>#N/A</v>
      </c>
      <c r="JD180" s="218" t="e">
        <f t="shared" ca="1" si="535"/>
        <v>#N/A</v>
      </c>
      <c r="JE180" s="218" t="e">
        <f t="shared" ca="1" si="536"/>
        <v>#N/A</v>
      </c>
      <c r="JF180" s="218" t="e">
        <f t="shared" ca="1" si="645"/>
        <v>#N/A</v>
      </c>
      <c r="JG180" s="218" t="e">
        <f t="shared" ca="1" si="537"/>
        <v>#N/A</v>
      </c>
      <c r="JH180" s="217" t="e">
        <f t="shared" ca="1" si="646"/>
        <v>#N/A</v>
      </c>
      <c r="JI180" s="217" t="e">
        <f t="shared" ca="1" si="647"/>
        <v>#N/A</v>
      </c>
      <c r="JJ180" s="217" t="e">
        <f t="shared" ca="1" si="682"/>
        <v>#N/A</v>
      </c>
      <c r="JK180" s="217" t="e">
        <f ca="1">IF(Control!$C$114=1,IF(Control!$B$24=0,MAX(0,$JI180)*$GN180/Control!$C$64,(MAX(0,MIN($JI180,$JJ180*$GN180/Control!$C$64),0))))</f>
        <v>#N/A</v>
      </c>
      <c r="JL180" s="217" t="e">
        <f ca="1">$IK180/Control!$C$64-$JK180+$HQ180</f>
        <v>#N/A</v>
      </c>
      <c r="JM180" s="217" t="e">
        <f ca="1">IF(Control!$C$114=1,($JB180/(IF($JI180&lt;&gt;0,$JI180,1)))*$JK180,0)</f>
        <v>#N/A</v>
      </c>
      <c r="JN180" s="217" t="e">
        <f ca="1">IF(Control!$C$114=1,($JG180/(IF($JI180&lt;&gt;0,$JI180,1)))*$JK180, 0)</f>
        <v>#N/A</v>
      </c>
      <c r="JO180" s="218" t="e">
        <f t="shared" ca="1" si="538"/>
        <v>#N/A</v>
      </c>
      <c r="JP180" s="218" t="e">
        <f ca="1">MIN(($IY180+$IO180)*Control!$C$151, $JF180-$EH180*Control!$C$161)</f>
        <v>#N/A</v>
      </c>
      <c r="JQ180" s="218" t="e">
        <f t="shared" ca="1" si="539"/>
        <v>#N/A</v>
      </c>
      <c r="JR180" s="217" t="e">
        <f ca="1">IF($CP180-Control!$C$150&lt;0, 0, $JQ180/Control!$C$162)</f>
        <v>#N/A</v>
      </c>
      <c r="JS180" s="218" t="e">
        <f t="shared" ca="1" si="540"/>
        <v>#N/A</v>
      </c>
      <c r="JT180" s="218" t="e">
        <f t="shared" ca="1" si="648"/>
        <v>#N/A</v>
      </c>
      <c r="JU180" s="218" t="e">
        <f t="shared" ca="1" si="541"/>
        <v>#N/A</v>
      </c>
      <c r="JV180" s="218" t="e">
        <f t="shared" ca="1" si="542"/>
        <v>#N/A</v>
      </c>
      <c r="JW180" s="216" t="e">
        <f t="shared" ca="1" si="543"/>
        <v>#N/A</v>
      </c>
      <c r="JX180" s="91" t="e">
        <f t="shared" ca="1" si="544"/>
        <v>#N/A</v>
      </c>
      <c r="JY180" s="218" t="e">
        <f t="shared" ca="1" si="545"/>
        <v>#N/A</v>
      </c>
      <c r="JZ180" s="217" t="e">
        <f ca="1">IF(Control!$C$114=1,($IZ180/(IF($JI180&lt;&gt;0,$JI180,1)))*$JK180, 0)</f>
        <v>#N/A</v>
      </c>
      <c r="KA180" s="218" t="e">
        <f t="shared" ca="1" si="683"/>
        <v>#N/A</v>
      </c>
      <c r="KB180" s="218" t="e">
        <f t="shared" ca="1" si="649"/>
        <v>#N/A</v>
      </c>
      <c r="KC180" s="218" t="e">
        <f t="shared" ca="1" si="546"/>
        <v>#N/A</v>
      </c>
      <c r="KD180" s="218" t="e">
        <f t="shared" ca="1" si="547"/>
        <v>#N/A</v>
      </c>
      <c r="KE180" s="218" t="e">
        <f t="shared" ca="1" si="548"/>
        <v>#N/A</v>
      </c>
      <c r="KF180" s="218" t="e">
        <f t="shared" ca="1" si="549"/>
        <v>#N/A</v>
      </c>
      <c r="KG180" s="216" t="e">
        <f t="shared" ca="1" si="550"/>
        <v>#N/A</v>
      </c>
      <c r="KH180" s="221" t="e">
        <f ca="1">IF(Control!$B$24=0,1,MAX(0.001,MIN(1,IF(($IF180-$IE180)&lt;&gt;0,($KG180-$IE180)/($IF180-$IE180),1))))</f>
        <v>#N/A</v>
      </c>
      <c r="KI180" s="222" t="e">
        <f ca="1">IF(Control!$C$114=1, $KI179+ $KH179, 0)</f>
        <v>#N/A</v>
      </c>
      <c r="KJ180" s="217" t="e">
        <f t="shared" ca="1" si="551"/>
        <v>#N/A</v>
      </c>
      <c r="KK180" s="218" t="e">
        <f t="shared" ca="1" si="552"/>
        <v>#N/A</v>
      </c>
      <c r="KL180" s="274" t="e">
        <f ca="1">IF(Control!$B$26=3,4000000000*EXP(-8400/($G180+273)),IF(Control!$B$26=4,4000000000*EXP(-8400/($G180+273))*($KT180),0))</f>
        <v>#DIV/0!</v>
      </c>
      <c r="KM180" s="274" t="e">
        <f ca="1">IF(Control!$B$26=3,5600000000000*EXP(-9800/($G180+273)),IF(Control!$B$26=4,5600000000000*EXP(-9800/($G180+273))*$KT180,0))</f>
        <v>#DIV/0!</v>
      </c>
      <c r="KN180" s="454" t="e">
        <f t="shared" ca="1" si="650"/>
        <v>#DIV/0!</v>
      </c>
      <c r="KO180" s="274" t="e">
        <f t="shared" ca="1" si="651"/>
        <v>#DIV/0!</v>
      </c>
      <c r="KP180" s="454" t="e">
        <f t="shared" ca="1" si="553"/>
        <v>#DIV/0!</v>
      </c>
      <c r="KQ180" s="454" t="e">
        <f t="shared" ca="1" si="554"/>
        <v>#DIV/0!</v>
      </c>
      <c r="KR180" s="454" t="e">
        <f t="shared" ca="1" si="555"/>
        <v>#DIV/0!</v>
      </c>
      <c r="KS180" s="454" t="e">
        <f t="shared" ca="1" si="556"/>
        <v>#DIV/0!</v>
      </c>
      <c r="KT180" s="455" t="e">
        <f t="shared" ca="1" si="557"/>
        <v>#DIV/0!</v>
      </c>
      <c r="KU180" s="456" t="e">
        <f ca="1">IF($CP180-Control!$C$149&lt;0, IF($NT180-0.01&lt;0,0,1),0)</f>
        <v>#N/A</v>
      </c>
      <c r="KV180" s="456" t="e">
        <f ca="1">IF(Control!$C$114=1,MAX(0,MIN(Control!$C$125*$KW180*$GN180,$KW180)))</f>
        <v>#DIV/0!</v>
      </c>
      <c r="KW180" s="456" t="e">
        <f t="shared" ca="1" si="684"/>
        <v>#DIV/0!</v>
      </c>
      <c r="KX180" s="457" t="e">
        <f ca="1">IF($CP180-Control!$C$149&lt;0, IF($MR180-$OM180&lt;0,0,1),0)</f>
        <v>#N/A</v>
      </c>
      <c r="KY180" s="167">
        <f t="shared" ca="1" si="652"/>
        <v>176</v>
      </c>
      <c r="KZ180" s="168">
        <f ca="1">1370*(1+0.033*COS(2*Control!$C$138*$AH180/365))</f>
        <v>1325.0726813350186</v>
      </c>
      <c r="LA180" s="169">
        <f t="shared" ca="1" si="653"/>
        <v>0.96720636284560613</v>
      </c>
      <c r="LB180" s="169">
        <f t="shared" ca="1" si="654"/>
        <v>0.40802946731323025</v>
      </c>
      <c r="LC180" s="169">
        <f ca="1">ACOS(-TAN((2*Control!$B$8/360))*TAN(Calculations!$LB180))</f>
        <v>1.6996305046135107</v>
      </c>
      <c r="LD180" s="169">
        <f ca="1">((24*60)/PI())*0.082*$LA180*(($LC180*SIN(Control!$B$8*2*PI()/360))*SIN($LB180)+COS(Control!$B$8*2*PI()/360)*COS($LB180)*SIN($LC180))</f>
        <v>39.693666656405938</v>
      </c>
      <c r="LE180" s="170">
        <f t="shared" ca="1" si="558"/>
        <v>41.412365656331829</v>
      </c>
      <c r="LF180" s="170">
        <f ca="1">SIN(Control!$C$139*Control!$B$8)*SIN($HD180)</f>
        <v>0.31301987487538779</v>
      </c>
      <c r="LG180" s="170">
        <f ca="1">COS(Control!$C$139*Control!$B$8)*COS($HD180)</f>
        <v>0.56500348277858858</v>
      </c>
      <c r="LH180" s="170">
        <f ca="1">12*(1+2*ASIN(MAX(-1,MIN(1,$LF180/$LG180))/Control!$C$138))</f>
        <v>16.254595193150095</v>
      </c>
      <c r="LI180" s="170">
        <f ca="1">12*(1+2*ASIN(MAX(-1,MIN(1,(-SIN(-4*Control!$C$139)+$LF180)/$LG180))/Control!$C$138))</f>
        <v>17.216503031906164</v>
      </c>
      <c r="LJ180" s="168">
        <f ca="1">3600*($LH180*$LF180+24*$LG180*SQRT(1-$LK180*$LK180)/Control!$C$138)</f>
        <v>31252.90124811012</v>
      </c>
      <c r="LK180" s="170">
        <f t="shared" ca="1" si="559"/>
        <v>0.55401406259658903</v>
      </c>
      <c r="LL180" s="170">
        <f t="shared" ca="1" si="560"/>
        <v>0</v>
      </c>
      <c r="LM180" s="171">
        <f ca="1">Control!$C$145*$AB180</f>
        <v>6.6660906138995932E-2</v>
      </c>
      <c r="LN180" s="170">
        <f t="shared" ca="1" si="655"/>
        <v>0.54</v>
      </c>
      <c r="LO180" s="170">
        <f t="shared" ca="1" si="561"/>
        <v>0</v>
      </c>
      <c r="LP180" s="170">
        <f ca="1">Control!$C$140*((($D180+273.16)^4+($E180+273.16)^4)/2)*(0.34-0.14*SQRT($Y180))*(1.35*$AQ180/(0.75*$LD180)-0.35)</f>
        <v>-3.2464704755046001</v>
      </c>
      <c r="LQ180" s="170">
        <f ca="1">Control!$C$140*($G180+273)^4*(0.56-0.079*SQRT($Y180*10))*(0.1+0.9*$LO180)</f>
        <v>1.5241745131704001</v>
      </c>
      <c r="LR180" s="170">
        <f ca="1">$AQ180*(1-Control!$C$142)-$LQ180</f>
        <v>-1.5241745131704001</v>
      </c>
      <c r="LS180" s="170">
        <f ca="1">$AQ180*(1-Control!$C$143)-$LQ180</f>
        <v>-1.5241745131704001</v>
      </c>
      <c r="LT180" s="170">
        <f ca="1">$AQ180*(1-Control!$C$144)-$LQ180</f>
        <v>-1.5241745131704001</v>
      </c>
      <c r="LU180" s="169">
        <f ca="1">(1-Control!$C$144)*AQ180-LP180</f>
        <v>3.2464704755046001</v>
      </c>
      <c r="LV180" s="172">
        <f t="shared" ca="1" si="562"/>
        <v>0.79430000000000012</v>
      </c>
      <c r="LW180" s="170">
        <f t="shared" ca="1" si="563"/>
        <v>1.5886000000000002</v>
      </c>
      <c r="LX180" s="170">
        <f ca="1">($AC180*($LR180/Control!$C$141)+$LM180*$LV180)/($AC180+$LM180)</f>
        <v>0.23530094218323697</v>
      </c>
      <c r="LY180" s="170">
        <f ca="1">($AC180*($LS180/Control!$C$141)+$LM180*$LV180)/($AC180+$LM180)</f>
        <v>0.23530094218323697</v>
      </c>
      <c r="LZ180" s="170">
        <f t="shared" ca="1" si="564"/>
        <v>0.23530094218323697</v>
      </c>
      <c r="MA180" s="170">
        <f t="shared" ca="1" si="565"/>
        <v>0.23530094218323697</v>
      </c>
      <c r="MB180" s="170" t="e">
        <f t="shared" ca="1" si="566"/>
        <v>#N/A</v>
      </c>
      <c r="MC180" s="170">
        <f t="shared" ca="1" si="656"/>
        <v>0.6018</v>
      </c>
      <c r="MD180" s="170">
        <f t="shared" ca="1" si="567"/>
        <v>0.52989392535414004</v>
      </c>
      <c r="ME180" s="170">
        <f ca="1">($AC180*($LT180/Control!$C$141)+$LM180*$LW180)/($AC180+$LM180)</f>
        <v>0.71612369323045078</v>
      </c>
      <c r="MF180" s="170" t="e">
        <f ca="1">IF(Control!$B$16&gt;=1000,0.92,IF(AND(720&lt;=Control!$B$16,1000&gt;Control!$B$16),(0.95+(Control!$B$16-720)*((0.92-0.95)/(1000-720))),IF(AND(360&lt;=Control!$B$16,720&gt;Control!$B$16),(1+(Control!$B$16-360)*((0.95-1)/(720-360))),IF(AND(40&lt;=Control!$B$16,360&gt;Control!$B$16),(1.05+(Control!$B$16-40)*((1.05-1)/(360-40)))))))</f>
        <v>#N/A</v>
      </c>
      <c r="MG180" s="170">
        <f t="shared" ca="1" si="568"/>
        <v>0.71612369323045078</v>
      </c>
      <c r="MH180" s="170" t="e">
        <f t="shared" ca="1" si="694"/>
        <v>#N/A</v>
      </c>
      <c r="MI180" s="170" t="e">
        <f t="shared" ca="1" si="694"/>
        <v>#N/A</v>
      </c>
      <c r="MJ180" s="170" t="e">
        <f ca="1">MAX(0.0001, Control!$C$132*$MI180*$DL180)</f>
        <v>#N/A</v>
      </c>
      <c r="MK180" s="170">
        <f ca="1">1/(0.76+1.5*($MG180/10))-(5-Control!$C$110)*0.1</f>
        <v>1.002845988140797</v>
      </c>
      <c r="ML180" s="173">
        <f ca="1">IF(Control!$C$110&lt;3,$MK180+($MG180-0.6)/(Control!$C$110*(Control!$C$110+3)), MAX(0.1, MIN(0.95,$MK180)))</f>
        <v>0.95</v>
      </c>
      <c r="MM180" s="173">
        <f ca="1">IF(Control!$C$110&lt;3,$MK180+(($MI180/10)-0.6)/(Control!$C$110*(Control!$C$110+3)), MAX(0.1, MIN(0.95,$MK180)))</f>
        <v>0.95</v>
      </c>
      <c r="MN180" s="173">
        <f ca="1">(1-$MM180)*(Control!$C$128-Control!$C$127)+Control!$C$127</f>
        <v>0.16</v>
      </c>
      <c r="MO180" s="170" t="e">
        <f ca="1">MAX(0,MIN(1,($MS180-Control!$C$127)/($MN180-Control!$C$127)))</f>
        <v>#DIV/0!</v>
      </c>
      <c r="MP180" s="173" t="e">
        <f ca="1">1/(0.76+1.5*$MI180)-(5-Control!$C$110)*0.1</f>
        <v>#N/A</v>
      </c>
      <c r="MQ180" s="172" t="e">
        <f t="shared" ca="1" si="685"/>
        <v>#DIV/0!</v>
      </c>
      <c r="MR180" s="168" t="e">
        <f t="shared" ca="1" si="657"/>
        <v>#DIV/0!</v>
      </c>
      <c r="MS180" s="173" t="e">
        <f ca="1">MAX(Control!$C$127, MIN(Control!$C$135, $MR180/MAX(0.0001,$CY180)))</f>
        <v>#DIV/0!</v>
      </c>
      <c r="MT180" s="168" t="e">
        <f ca="1">(Control!$C$128-$MS180)*Control!$C$74</f>
        <v>#DIV/0!</v>
      </c>
      <c r="MU180" s="168" t="e">
        <f ca="1">(Control!$C$135-$MS180)*Control!$C$74</f>
        <v>#DIV/0!</v>
      </c>
      <c r="MV180" s="168" t="e">
        <f t="shared" ca="1" si="658"/>
        <v>#DIV/0!</v>
      </c>
      <c r="MW180" s="168" t="e">
        <f t="shared" ca="1" si="659"/>
        <v>#DIV/0!</v>
      </c>
      <c r="MX180" s="171" t="e">
        <f ca="1">MAX(Control!$C$127, MIN(Control!$C$135, $MW180/MAX(0.0001,Control!$C$119-$CY180)))</f>
        <v>#DIV/0!</v>
      </c>
      <c r="MY180" s="54" t="e">
        <f ca="1">IF(Control!$C$114=1, $CX180*$MX180, 0)</f>
        <v>#DIV/0!</v>
      </c>
      <c r="MZ180" s="54" t="e">
        <f t="shared" ca="1" si="660"/>
        <v>#N/A</v>
      </c>
      <c r="NA180" s="168" t="e">
        <f ca="1">(Control!$C$128-$MX180)*(Control!$C$119-Control!$C$74)</f>
        <v>#DIV/0!</v>
      </c>
      <c r="NB180" s="168" t="e">
        <f ca="1">(Control!$C$135-$MX180)*(Control!$C$119-Control!$C$74)</f>
        <v>#DIV/0!</v>
      </c>
      <c r="NC180" s="174" t="e">
        <f t="shared" ca="1" si="661"/>
        <v>#DIV/0!</v>
      </c>
      <c r="ND180" s="54">
        <f ca="1">IF(Control!$C$58=2, IF(OR(Control!$B$218=$AH180,Control!$B$219=$AH180, Control!$B$220=$AH180, Control!$B$221=$AH180, Control!$B$222=$AH180, Control!$B$223=$AH180, Control!$B$224=$AH180, Control!$B$225=$AH180, Control!$B$226=$AH180, Control!$B$227=$AH180, Control!$B$228=$AH180), 1, 0), 0)</f>
        <v>0</v>
      </c>
      <c r="NE180" s="54">
        <f ca="1">IF($ND180=0,0, VLOOKUP($AH180,Control!$B$218:$C$228,2))</f>
        <v>0</v>
      </c>
      <c r="NF180" s="168" t="e">
        <f ca="1">$CY180*(Control!$C$128-Control!$C$127)</f>
        <v>#N/A</v>
      </c>
      <c r="NG180" s="54" t="e">
        <f ca="1">IF(Control!$C$58=2, $NI179-$NJ179, 0)</f>
        <v>#DIV/0!</v>
      </c>
      <c r="NH180" s="54" t="e">
        <f ca="1">IF(AND(Control!$C$58=1, $MS179&lt;= ($MN179+0.02), $I179&lt;10), 0, IF(Control!$C$58=2, $NG179, 0))</f>
        <v>#DIV/0!</v>
      </c>
      <c r="NI180" s="54" t="e">
        <f ca="1">IF(Control!$C$58=2, $NE180+$NH180,0)</f>
        <v>#DIV/0!</v>
      </c>
      <c r="NJ180" s="54" t="e">
        <f ca="1">IF(AND(Control!$C$58=1, $MS180&lt;= ($MN180+0.02), $I180&lt;10), MAX(0, MIN(10, 0.7*($NF180-$MV180))), IF(Control!$C$58=2, MIN(10,$NI180),0))</f>
        <v>#DIV/0!</v>
      </c>
      <c r="NK180" s="54" t="e">
        <f t="shared" ca="1" si="569"/>
        <v>#DIV/0!</v>
      </c>
      <c r="NL180" s="173" t="e">
        <f ca="1">(1-Control!$C$73)*$I180+$NJ180</f>
        <v>#DIV/0!</v>
      </c>
      <c r="NM180" s="172" t="e">
        <f ca="1">IF($NL180&lt;0.5, $MB180* MAX(0, MIN(1, (SQRT($NC180)-SQRT($NC180-1))*Control!$C$71)),0)</f>
        <v>#DIV/0!</v>
      </c>
      <c r="NN180" s="170" t="e">
        <f ca="1">IF($NL180&gt;=5, $MB180, MAX(0,MIN($MB180, $NM180+$NL180,($MS180-Control!$C$129))))</f>
        <v>#DIV/0!</v>
      </c>
      <c r="NO180" s="54">
        <f>IF(Control!$C$133&lt;&gt;1, Control!$C$135-Control!$C$131, 0)</f>
        <v>0.38</v>
      </c>
      <c r="NP180" s="54" t="e">
        <f t="shared" ca="1" si="570"/>
        <v>#DIV/0!</v>
      </c>
      <c r="NQ180" s="173" t="e">
        <f ca="1">MAX(0,MIN(1,(Control!$C$135-$MS180)/(Control!$C$135-$NO180)))</f>
        <v>#DIV/0!</v>
      </c>
      <c r="NR180" s="170" t="e">
        <f ca="1">IF(Control!$C$133&lt;&gt;1, $NQ180+((1-$NP180/4)*(1-$NQ180)),1)</f>
        <v>#DIV/0!</v>
      </c>
      <c r="NS180" s="170" t="e">
        <f ca="1">IF(Control!$B$31=0,$MJ180,MAX(0,MIN($MV180,$MO180*$NR180*$MJ180)))</f>
        <v>#DIV/0!</v>
      </c>
      <c r="NT180" s="170" t="e">
        <f t="shared" ca="1" si="686"/>
        <v>#DIV/0!</v>
      </c>
      <c r="NU180" s="170" t="e">
        <f t="shared" ca="1" si="662"/>
        <v>#N/A</v>
      </c>
      <c r="NV180" s="170" t="e">
        <f t="shared" ca="1" si="571"/>
        <v>#N/A</v>
      </c>
      <c r="NW180" s="175" t="e">
        <f t="shared" ca="1" si="572"/>
        <v>#DIV/0!</v>
      </c>
      <c r="NX180" s="170" t="e">
        <f ca="1">MIN(Control!$C$72+$MU180, $NW180)</f>
        <v>#DIV/0!</v>
      </c>
      <c r="NY180" s="170" t="e">
        <f ca="1">IF($MT180&lt;=$NX180,MIN(Control!$C$72+$NB180,$NX180-$MT180),0)</f>
        <v>#DIV/0!</v>
      </c>
      <c r="NZ180" s="54" t="e">
        <f ca="1">IF(Control!$C$114=1,  $CX180*($MX180-Control!$C$127), 0)</f>
        <v>#DIV/0!</v>
      </c>
      <c r="OA180" s="170" t="e">
        <f t="shared" ca="1" si="573"/>
        <v>#DIV/0!</v>
      </c>
      <c r="OB180" s="170" t="e">
        <f ca="1">IF($NA180 &lt;=$NY180, MIN(Control!$C$72, $NY180-$NA180), 0)</f>
        <v>#DIV/0!</v>
      </c>
      <c r="OC180" s="168" t="e">
        <f t="shared" ca="1" si="574"/>
        <v>#DIV/0!</v>
      </c>
      <c r="OD180" s="168" t="e">
        <f t="shared" ca="1" si="663"/>
        <v>#DIV/0!</v>
      </c>
      <c r="OE180" s="170">
        <f ca="1">Control!$C$73*$I180</f>
        <v>0</v>
      </c>
      <c r="OF180" s="176" t="e">
        <f t="shared" ca="1" si="575"/>
        <v>#DIV/0!</v>
      </c>
      <c r="OG180" s="168" t="e">
        <f t="shared" ca="1" si="576"/>
        <v>#DIV/0!</v>
      </c>
      <c r="OH180" s="168" t="e">
        <f t="shared" ca="1" si="577"/>
        <v>#DIV/0!</v>
      </c>
      <c r="OI180" s="168" t="e">
        <f t="shared" ca="1" si="578"/>
        <v>#DIV/0!</v>
      </c>
      <c r="OJ180" s="168" t="e">
        <f t="shared" ca="1" si="579"/>
        <v>#DIV/0!</v>
      </c>
      <c r="OK180" s="204" t="e">
        <f t="shared" ca="1" si="580"/>
        <v>#DIV/0!</v>
      </c>
      <c r="OL180" s="177">
        <f>Control!$C$127</f>
        <v>0.15</v>
      </c>
      <c r="OM180" s="182" t="e">
        <f t="shared" ca="1" si="581"/>
        <v>#N/A</v>
      </c>
      <c r="ON180" s="177">
        <f>Control!$C$128</f>
        <v>0.35</v>
      </c>
      <c r="OO180" s="182" t="e">
        <f t="shared" ca="1" si="582"/>
        <v>#N/A</v>
      </c>
      <c r="OP180" s="138">
        <f t="shared" ca="1" si="664"/>
        <v>0</v>
      </c>
      <c r="OQ180" s="138" t="e">
        <f t="shared" ca="1" si="687"/>
        <v>#DIV/0!</v>
      </c>
      <c r="OR180" s="138" t="e">
        <f t="shared" ca="1" si="665"/>
        <v>#DIV/0!</v>
      </c>
      <c r="OS180" s="137" t="e">
        <f t="shared" ca="1" si="688"/>
        <v>#DIV/0!</v>
      </c>
      <c r="OT180" s="139" t="e">
        <f t="shared" ca="1" si="689"/>
        <v>#DIV/0!</v>
      </c>
      <c r="OU180" s="138" t="e">
        <f t="shared" ca="1" si="690"/>
        <v>#N/A</v>
      </c>
      <c r="OV180" s="138" t="e">
        <f t="shared" ca="1" si="691"/>
        <v>#DIV/0!</v>
      </c>
      <c r="OW180" s="138" t="e">
        <f t="shared" ca="1" si="666"/>
        <v>#DIV/0!</v>
      </c>
      <c r="OX180" s="138" t="e">
        <f t="shared" ca="1" si="667"/>
        <v>#DIV/0!</v>
      </c>
      <c r="OY180" s="138" t="e">
        <f t="shared" ca="1" si="668"/>
        <v>#DIV/0!</v>
      </c>
      <c r="OZ180" s="138" t="e">
        <f t="shared" ca="1" si="583"/>
        <v>#DIV/0!</v>
      </c>
      <c r="PA180" s="138" t="e">
        <f t="shared" ca="1" si="584"/>
        <v>#DIV/0!</v>
      </c>
      <c r="PB180" s="55">
        <f>IF(Control!$C$61="T", IF(Control!$C$65="F", IF($AH$6-Control!$C$60&lt;0,0,1), IF(365+$AH$6-Control!$C$60&lt;0,0,1)),0)</f>
        <v>0</v>
      </c>
      <c r="PC180" s="55">
        <f ca="1">IF(Control!$C$65="F", IF($AH$6-$HF180&lt;0,0,1), IF(365+$AH$6-$HF180&lt;0,0,1))</f>
        <v>1</v>
      </c>
      <c r="PD180" s="444">
        <f>Control!$C$118</f>
        <v>1500</v>
      </c>
      <c r="PE180" s="180" t="e">
        <f t="shared" ca="1" si="585"/>
        <v>#N/A</v>
      </c>
      <c r="PF180" s="445">
        <f t="shared" ca="1" si="669"/>
        <v>0.71612369323045078</v>
      </c>
      <c r="PT180" s="186"/>
      <c r="PU180" s="186"/>
      <c r="PV180" s="94"/>
      <c r="PW180" s="94"/>
      <c r="PX180" s="94"/>
      <c r="PY180" s="94"/>
      <c r="PZ180" s="94"/>
      <c r="QA180" s="94"/>
      <c r="QB180" s="94"/>
      <c r="QC180" s="94"/>
      <c r="QD180" s="94"/>
      <c r="QE180" s="94"/>
      <c r="QF180" s="94"/>
      <c r="QG180" s="94"/>
      <c r="QH180" s="94"/>
      <c r="QI180" s="94"/>
      <c r="QJ180" s="94"/>
      <c r="QK180" s="94"/>
      <c r="QL180" s="94"/>
      <c r="QM180" s="94"/>
      <c r="QN180" s="94"/>
      <c r="QO180" s="94"/>
      <c r="QP180" s="94"/>
    </row>
    <row r="181" spans="1:458" s="2" customFormat="1" x14ac:dyDescent="0.2">
      <c r="A181" s="395">
        <v>25</v>
      </c>
      <c r="B181" s="396">
        <v>6</v>
      </c>
      <c r="C181" s="387">
        <f ca="1">Weather_data!$B180</f>
        <v>0</v>
      </c>
      <c r="D181" s="388">
        <f ca="1">Weather_data!$F180</f>
        <v>0</v>
      </c>
      <c r="E181" s="388">
        <f ca="1">Weather_data!$E180</f>
        <v>0</v>
      </c>
      <c r="F181" s="388">
        <f t="shared" ca="1" si="586"/>
        <v>0</v>
      </c>
      <c r="G181" s="388">
        <f ca="1">AVERAGE($D181:$E181)+Control!$B$9</f>
        <v>0</v>
      </c>
      <c r="H181" s="388">
        <f ca="1">Weather_data!$G180</f>
        <v>0</v>
      </c>
      <c r="I181" s="388">
        <f ca="1">Weather_data!$I180</f>
        <v>0</v>
      </c>
      <c r="J181" s="388">
        <f ca="1">Weather_data!$H180</f>
        <v>0</v>
      </c>
      <c r="K181" s="389">
        <f ca="1">Weather_data!$D180</f>
        <v>0</v>
      </c>
      <c r="L181" s="388" t="e">
        <f t="shared" ca="1" si="587"/>
        <v>#N/A</v>
      </c>
      <c r="M181" s="388" t="e">
        <f t="shared" ca="1" si="465"/>
        <v>#N/A</v>
      </c>
      <c r="N181" s="388">
        <f t="shared" ca="1" si="466"/>
        <v>-4.9137058674160958E-9</v>
      </c>
      <c r="O181" s="388">
        <f t="shared" ca="1" si="588"/>
        <v>4.9137058674160958E-8</v>
      </c>
      <c r="P181" s="390">
        <v>3</v>
      </c>
      <c r="Q181" s="388">
        <f ca="1">MAX($G181-Control!$C$107,0)</f>
        <v>0</v>
      </c>
      <c r="R181" s="388">
        <f t="shared" ca="1" si="589"/>
        <v>0</v>
      </c>
      <c r="S181" s="388">
        <f t="shared" ca="1" si="467"/>
        <v>0</v>
      </c>
      <c r="T181" s="388">
        <f t="shared" ca="1" si="468"/>
        <v>0</v>
      </c>
      <c r="U181" s="59">
        <f t="shared" ca="1" si="469"/>
        <v>0</v>
      </c>
      <c r="V181" s="391">
        <f ca="1">MAX(0,MIN(Control!$C$100-Control!$C$99,$G181-Control!$C$99)*Control!$C$63)</f>
        <v>0</v>
      </c>
      <c r="W181" s="388">
        <f t="shared" ca="1" si="590"/>
        <v>0</v>
      </c>
      <c r="X181" s="388">
        <f t="shared" ca="1" si="591"/>
        <v>0.6110000000000001</v>
      </c>
      <c r="Y181" s="388">
        <f t="shared" ca="1" si="470"/>
        <v>0</v>
      </c>
      <c r="Z181" s="388">
        <f t="shared" ca="1" si="592"/>
        <v>0.61058800000000002</v>
      </c>
      <c r="AA181" s="388">
        <f t="shared" ca="1" si="471"/>
        <v>0.6018</v>
      </c>
      <c r="AB181" s="388">
        <f ca="1">101.3*EXP(-0.034*Control!$C$66/($G181+273))</f>
        <v>100.69623283836242</v>
      </c>
      <c r="AC181" s="392">
        <f t="shared" ca="1" si="472"/>
        <v>4.3460251046025113E-2</v>
      </c>
      <c r="AD181" s="392">
        <f t="shared" ca="1" si="473"/>
        <v>4.4450382862832649E-2</v>
      </c>
      <c r="AE181" s="388">
        <f t="shared" ca="1" si="474"/>
        <v>0</v>
      </c>
      <c r="AF181" s="388">
        <f ca="1">MAX(0,$G181-Control!$C$92)</f>
        <v>0</v>
      </c>
      <c r="AG181" s="393">
        <f t="shared" ca="1" si="475"/>
        <v>177</v>
      </c>
      <c r="AH181" s="389">
        <f t="shared" ca="1" si="476"/>
        <v>177</v>
      </c>
      <c r="AI181" s="388">
        <f t="shared" ca="1" si="593"/>
        <v>0.40797995926534825</v>
      </c>
      <c r="AJ181" s="388">
        <f ca="1">IF(Control!$C$60&lt;=0,$HH181,$HI181)</f>
        <v>1</v>
      </c>
      <c r="AK181" s="388">
        <f t="shared" ca="1" si="477"/>
        <v>1.6697780131408764</v>
      </c>
      <c r="AL181" s="388">
        <f t="shared" ca="1" si="478"/>
        <v>6.3114461573698936E-18</v>
      </c>
      <c r="AM181" s="388">
        <f t="shared" ca="1" si="479"/>
        <v>1.6697780131408764</v>
      </c>
      <c r="AN181" s="388">
        <f t="shared" ca="1" si="480"/>
        <v>0.40699642480754827</v>
      </c>
      <c r="AO181" s="388">
        <f ca="1">-0.10453/COS(Control!$B$8*PI()/180)*COS(AN181)</f>
        <v>-0.15591580715209974</v>
      </c>
      <c r="AP181" s="388">
        <f ca="1">ACOS(AO181-TAN(Control!$B$8*PI()/180)*TAN(AN181))</f>
        <v>2.356968251114234</v>
      </c>
      <c r="AQ181" s="388">
        <f t="shared" ca="1" si="594"/>
        <v>0</v>
      </c>
      <c r="AR181" s="394">
        <f t="shared" ca="1" si="481"/>
        <v>0</v>
      </c>
      <c r="AS181" s="436">
        <f ca="1">IF(Control!$B$18=2,(IF(OR($AH181=Control!$B$175,$AH181=Control!$B$176,$AH181=Control!$B$177,$AH181=Control!$B$178,$AH181=Control!$B$179,$AH181=Control!$B$180,$AH181=Control!$B$181,$AH181=Control!$B$182,$AH181=Control!$B$183,$AH181=Control!$B$184,$AH181=Control!$B$185),1,0)),0)</f>
        <v>0</v>
      </c>
      <c r="AT181" s="436">
        <f>IF(Control!$B$20=8,IF(AND($AH181&gt;=Control!$B$172,$AH181&lt;=Control!$B$173),1,0),0)</f>
        <v>0</v>
      </c>
      <c r="AU181" s="436">
        <f>IF(Control!$B$20=8,IF($AV180=1,1*$AT181,IF($AT181=1,$AU180+1,$AU180)),0)</f>
        <v>0</v>
      </c>
      <c r="AV181" s="436">
        <f>IF(Control!$B$20=8,IF($AU181&gt;=Control!$B$174,1,0),0)</f>
        <v>0</v>
      </c>
      <c r="AW181" s="436">
        <f ca="1">IF(AND(Control!$B$18=2,Control!$B$171=1), $AV181, $AS181)</f>
        <v>0</v>
      </c>
      <c r="AX181" s="436" t="e">
        <f ca="1">IF(AND(Control!$B$18=1,$EU181&gt;=Control!$B$19),-$AY181,IF(AND(Control!$B$18=2,$AW181=1,$EU181&gt;$DS181),-$AY181, IF(Control!$C$108=0,0, IF(Control!$C$108&lt;&gt;0,1))))</f>
        <v>#N/A</v>
      </c>
      <c r="AY181" s="436" t="e">
        <f t="shared" ca="1" si="595"/>
        <v>#N/A</v>
      </c>
      <c r="AZ181" s="436" t="e">
        <f ca="1">IF(AND(Control!$B$18=1,$EB181&gt;Control!$B$19),$AZ180+1, IF(AND(Control!$B$18=2, $AW181=1, $EB181&gt;$DS181), $AZ180+1,$AZ180))</f>
        <v>#N/A</v>
      </c>
      <c r="BA181" s="587">
        <f>IF(Control!$C$81=0,1,IF($AH181&gt;=Control!$C$82,1,0))</f>
        <v>1</v>
      </c>
      <c r="BB181" s="140" t="e">
        <f ca="1">IF($BA181&gt;$BA180,Control!$C$83,IF($AW181&gt;0,$AW181*Control!$C$84,IF(AND(Control!$B$18=1,EN180&lt;&gt;0),Control!$C$84,0)))</f>
        <v>#N/A</v>
      </c>
      <c r="BC181" s="140" t="e">
        <f t="shared" ca="1" si="596"/>
        <v>#N/A</v>
      </c>
      <c r="BD181" s="140" t="e">
        <f ca="1">BC181*IF(OR($G181&lt;Control!$C$92,$G181&gt;Control!$C$95),0,IF(AND($G181&gt;=Control!$C$92,$G181&lt;=Control!$C$93),$G181-Control!$C$92,IF(AND($G181&gt;Control!$C$93,$G181&lt;=Control!$C$94),Control!$C$93-Control!$C$92,IF(AND($G181&gt;Control!$C$94,$G181&lt;=Control!$C$95),(Control!$C$93-Control!$C$92)*(Control!$C$94-$G181)/(Control!$C$95-Control!$C$94)))))</f>
        <v>#N/A</v>
      </c>
      <c r="BE181" s="140" t="e">
        <f t="shared" ca="1" si="597"/>
        <v>#N/A</v>
      </c>
      <c r="BF181" s="140" t="e">
        <f ca="1">IF($BE181&lt;=Control!$C$86,$BE181,Control!$C$86-$BE181)</f>
        <v>#N/A</v>
      </c>
      <c r="BG181" s="140" t="e">
        <f ca="1">IF(AND($AW181=1,Control!$C$84&lt;9),1,IF($BE181&gt;=Control!$C$86,0,$BC181))</f>
        <v>#N/A</v>
      </c>
      <c r="BH181" s="404" t="e">
        <f ca="1">IF($BG181=0,0,IF($BE181&lt;=Control!$C$86,$BC181*9*($BF181/Control!$C$86),0))</f>
        <v>#N/A</v>
      </c>
      <c r="BI181" s="140" t="e">
        <f ca="1">IF($BG181=1,0,IF($BE181&gt;=Control!$C$86,1,IF(AND($BB181&lt;21,$BB181&gt;=9),1,$BM180)))</f>
        <v>#N/A</v>
      </c>
      <c r="BJ181" s="140" t="e">
        <f ca="1">IF($BF181&lt;0,-$BF181,$BI181*IF(OR($G181&lt;Control!$C$92,$G181&gt;Control!$C$95),0,IF(AND($G181&gt;=Control!$C$92,$G181&lt;=Control!$C$93),$G181-Control!$C$92,IF(AND($G181&gt;Control!$C$93,$G181&lt;=Control!$C$94),Control!$C$93-Control!$C$92,IF(AND($G181&gt;Control!$C$94,$G181&lt;=Control!$C$95),(Control!$C$93-Control!$C$92)*(Control!$C$94-$G181)/(Control!$C$95-Control!$C$94))))))</f>
        <v>#N/A</v>
      </c>
      <c r="BK181" s="140" t="e">
        <f t="shared" ca="1" si="598"/>
        <v>#N/A</v>
      </c>
      <c r="BL181" s="140" t="e">
        <f ca="1">IF($BK181&lt;=Control!$C$87,$BK181,Control!$C$87-$BK181)</f>
        <v>#N/A</v>
      </c>
      <c r="BM181" s="140" t="e">
        <f ca="1">IF(AND($BB181&gt;=9,$BB181&lt;21),1,IF($BK181&gt;=Control!$C$87,0,$BI181))</f>
        <v>#N/A</v>
      </c>
      <c r="BN181" s="404" t="e">
        <f ca="1">IF($BM181=0,0,IF($BK181&lt;=Control!$C$87,$BI181*(9+(21-9)*($BL181/Control!$C$87)),0))</f>
        <v>#N/A</v>
      </c>
      <c r="BO181" s="140" t="e">
        <f ca="1">IF($BM181=1,0,IF($BK181&gt;=Control!$C$87,1,IF(AND($BB181&lt;30,$BB181&gt;=21),1,$BS180)))</f>
        <v>#N/A</v>
      </c>
      <c r="BP181" s="140" t="e">
        <f ca="1">IF($BL181&lt;0,-$BL181,$BO181*IF(OR($G181&lt;Control!$C$92,$G181&gt;Control!$C$95),0,IF(AND($G181&gt;=Control!$C$92,$G181&lt;=Control!$C$93),$G181-Control!$C$92,IF(AND($G181&gt;Control!$C$93,$G181&lt;=Control!$C$94),Control!$C$93-Control!$C$92,IF(AND($G181&gt;Control!$C$94,$G181&lt;=Control!$C$95),(Control!$C$93-Control!$C$92)*(Control!$C$94-$G181)/(Control!$C$95-Control!$C$94))))))</f>
        <v>#N/A</v>
      </c>
      <c r="BQ181" s="140" t="e">
        <f t="shared" ca="1" si="482"/>
        <v>#N/A</v>
      </c>
      <c r="BR181" s="140" t="e">
        <f ca="1">IF($BQ181&lt;=Control!$C$88,$BQ181,Control!$C$88-$BQ181)</f>
        <v>#N/A</v>
      </c>
      <c r="BS181" s="140" t="e">
        <f ca="1">IF(AND($BB181&gt;=21,$BB181&lt;30),1,IF($BQ181&gt;=Control!$C$88,0,$BO181))</f>
        <v>#N/A</v>
      </c>
      <c r="BT181" s="404" t="e">
        <f ca="1">IF($BS181=0,0,IF($BQ181&lt;=Control!$C$88,$BO181*(21+(30-21)*(BR181/Control!$C$88)),0))</f>
        <v>#N/A</v>
      </c>
      <c r="BU181" s="140" t="e">
        <f ca="1">IF(BG181+BM181+BS181=1,0,IF(OR(AND($BB181&lt;60,$BB181&gt;=30),$BQ181&gt;=Control!$C$88),1*$BA181,$BY180))</f>
        <v>#N/A</v>
      </c>
      <c r="BV181" s="140" t="e">
        <f ca="1">IF($BR181&lt;0,-$BR181,$BU181*IF(OR($G181&lt;Control!$C$92,$G181&gt;Control!$C$95),0,IF(AND($G181&gt;=Control!$C$92,$G181&lt;=Control!$C$93),$G181-Control!$C$92,IF(AND($G181&gt;Control!$C$93,$G181&lt;=Control!$C$94),Control!$C$93-Control!$C$92,IF(AND($G181&gt;Control!$C$94,$G181&lt;=Control!$C$95),(Control!$C$93-Control!$C$92)*(Control!$C$94-$G181)/(Control!$C$95-Control!$C$94))))))</f>
        <v>#N/A</v>
      </c>
      <c r="BW181" s="140" t="e">
        <f t="shared" ca="1" si="483"/>
        <v>#N/A</v>
      </c>
      <c r="BX181" s="140" t="e">
        <f ca="1">IF($BW181&lt;=Control!$C$89,$BW181,Control!$C$89-$BW181)</f>
        <v>#N/A</v>
      </c>
      <c r="BY181" s="140" t="e">
        <f ca="1">IF(AND($AJ181&gt;=30,$AJ181&lt;60),1,IF($BW181&gt;=Control!$C$89,0,$BU181))</f>
        <v>#N/A</v>
      </c>
      <c r="BZ181" s="404" t="e">
        <f ca="1">IF($BY181=0,0,IF($BW181&lt;=Control!$C$89,$BU181*(30+(60-30)*(BX181/Control!$C$89)),0))</f>
        <v>#N/A</v>
      </c>
      <c r="CA181" s="140" t="e">
        <f ca="1">IF($BG181+$BM181+$BS181+$BY181=1,0,IF(OR(AND($BB181&lt;65,$BB181&gt;=60),$BW181&gt;=Control!$C$89),1*$BA181,$CE180))</f>
        <v>#N/A</v>
      </c>
      <c r="CB181" s="140" t="e">
        <f ca="1">IF($BX181&lt;0,-$BX181,$CA181*IF(OR($G181&lt;Control!$C$92,$G181&gt;Control!$C$95),0,IF(AND($G181&gt;=Control!$C$92,$G181&lt;=Control!$C$93),$G181-Control!$C$92,IF(AND($G181&gt;Control!$C$93,$G181&lt;=Control!$C$94),Control!$C$93-Control!$C$92,IF(AND($G181&gt;Control!$C$94,$G181&lt;=Control!$C$95),(Control!$C$93-Control!$C$92)*(Control!$C$94-$G181)/(Control!$C$95-Control!$C$94))))))</f>
        <v>#N/A</v>
      </c>
      <c r="CC181" s="140" t="e">
        <f t="shared" ca="1" si="599"/>
        <v>#N/A</v>
      </c>
      <c r="CD181" s="140" t="e">
        <f ca="1">IF($CC181&lt;=Control!$C$90,$CC181,Control!$C$90-$CC181)</f>
        <v>#N/A</v>
      </c>
      <c r="CE181" s="140" t="e">
        <f ca="1">IF(AND($BB181&gt;=60,$BB181&lt;65),1,IF($CC181&gt;=Control!$C$90,0,$CA181))</f>
        <v>#N/A</v>
      </c>
      <c r="CF181" s="404" t="e">
        <f ca="1">IF($CE181=0,0,IF($CC181&lt;=Control!$C$90,$CA181*(60+(65-60)*(CD181/Control!$C$90)),0))</f>
        <v>#N/A</v>
      </c>
      <c r="CG181" s="140" t="e">
        <f ca="1">IF($BG181+$BM181+$BS181+$BY181+$CE181=1,0,IF(OR(AND($BB181&lt;90,$BB181&gt;=65),$CC181&gt;=Control!$C$90),$BA181,$CK180))</f>
        <v>#N/A</v>
      </c>
      <c r="CH181" s="140" t="e">
        <f ca="1">IF($CD181&lt;0,-$CD181,$CG181*IF(OR($G181&lt;Control!$C$92,$G181&gt;Control!$C$95),0,IF(AND($G181&gt;=Control!$C$92,$G181&lt;=Control!$C$93),$G181-Control!$C$92,IF(AND($G181&gt;Control!$C$93,$G181&lt;=Control!$C$94),Control!$C$93-Control!$C$92,IF(AND($G181&gt;Control!$C$94,$G181&lt;=Control!$C$95),(Control!$C$93-Control!$C$92)*(Control!$C$94-$G181)/(Control!$C$95-Control!$C$94))))))</f>
        <v>#N/A</v>
      </c>
      <c r="CI181" s="140" t="e">
        <f t="shared" ca="1" si="600"/>
        <v>#N/A</v>
      </c>
      <c r="CJ181" s="140" t="e">
        <f ca="1">IF($CI181&lt;=Control!$C$91,$CI181,Control!$C$91-$CI181)</f>
        <v>#N/A</v>
      </c>
      <c r="CK181" s="140" t="e">
        <f ca="1">IF(AND($BB181&gt;=65,$BB181&lt;90),1,IF($CI181&gt;=Control!$C$91,0,$CG181))</f>
        <v>#N/A</v>
      </c>
      <c r="CL181" s="404" t="e">
        <f ca="1">IF($CK181=0,0,IF($CI181&lt;=Control!$C$91,$CG181*(65+(90-65)*($CJ181/Control!$C$91)),0))</f>
        <v>#N/A</v>
      </c>
      <c r="CM181" s="140" t="e">
        <f ca="1">IF($BG181+$BM181+$BS181+$BY181+$CE181+$CK181=1,0,IF(OR($BB181&gt;=90,$CI181&gt;=Control!$C$91),$BA181,$CM180))</f>
        <v>#N/A</v>
      </c>
      <c r="CN181" s="140" t="e">
        <f t="shared" ca="1" si="601"/>
        <v>#N/A</v>
      </c>
      <c r="CO181" s="140" t="e">
        <f t="shared" ca="1" si="602"/>
        <v>#N/A</v>
      </c>
      <c r="CP181" s="140" t="e">
        <f t="shared" ca="1" si="603"/>
        <v>#N/A</v>
      </c>
      <c r="CQ181" s="141" t="e">
        <f ca="1">VLOOKUP($CP181,Control!$B$86:$G$91,6)</f>
        <v>#N/A</v>
      </c>
      <c r="CR181" s="141" t="e">
        <f ca="1">(1-$CQ181)*VLOOKUP($CP181,Control!$B$86:$D$91,3)</f>
        <v>#N/A</v>
      </c>
      <c r="CS181" s="141" t="e">
        <f ca="1">(1-$CQ181)*VLOOKUP($CP181,Control!$B$86:$E$91,4)</f>
        <v>#N/A</v>
      </c>
      <c r="CT181" s="141" t="e">
        <f ca="1">(1-$CQ181)*VLOOKUP($CP181,Control!$B$86:$F$91,5)</f>
        <v>#N/A</v>
      </c>
      <c r="CU181" s="141">
        <f t="shared" ca="1" si="604"/>
        <v>0</v>
      </c>
      <c r="CV181" s="583">
        <f t="shared" ca="1" si="605"/>
        <v>0</v>
      </c>
      <c r="CW181" s="142">
        <f t="shared" ca="1" si="606"/>
        <v>177</v>
      </c>
      <c r="CX181" s="612" t="e">
        <f ca="1">IF(Control!$C$114=1,(MIN(Control!$C$120*(IF($NT181-0.01&lt;0,0,1)),Control!$C$119-$CY181)))</f>
        <v>#DIV/0!</v>
      </c>
      <c r="CY181" s="143" t="e">
        <f t="shared" ca="1" si="607"/>
        <v>#N/A</v>
      </c>
      <c r="CZ181" s="144">
        <f t="shared" ca="1" si="484"/>
        <v>0</v>
      </c>
      <c r="DA181" s="144">
        <f t="shared" ca="1" si="485"/>
        <v>0</v>
      </c>
      <c r="DB181" s="144" t="e">
        <f t="shared" ca="1" si="486"/>
        <v>#N/A</v>
      </c>
      <c r="DC181" s="144" t="e">
        <f t="shared" ca="1" si="487"/>
        <v>#N/A</v>
      </c>
      <c r="DD181" s="144" t="e">
        <f t="shared" ca="1" si="692"/>
        <v>#N/A</v>
      </c>
      <c r="DE181" s="143" t="e">
        <f t="shared" ca="1" si="608"/>
        <v>#N/A</v>
      </c>
      <c r="DF181" s="145" t="e">
        <f ca="1">$DR181*EXP(-Control!$C$158*(1-$KH181))</f>
        <v>#N/A</v>
      </c>
      <c r="DG181" s="146" t="e">
        <f ca="1">IF(Control!$C$114=1, $DF181*$EY181, 0)</f>
        <v>#N/A</v>
      </c>
      <c r="DH181" s="147" t="e">
        <f t="shared" ca="1" si="609"/>
        <v>#N/A</v>
      </c>
      <c r="DI181" s="144" t="e">
        <f t="shared" ca="1" si="670"/>
        <v>#N/A</v>
      </c>
      <c r="DJ181" s="147" t="e">
        <f ca="1">$EF181*Control!$C$109</f>
        <v>#N/A</v>
      </c>
      <c r="DK181" s="144" t="e">
        <f t="shared" ca="1" si="610"/>
        <v>#N/A</v>
      </c>
      <c r="DL181" s="144" t="e">
        <f t="shared" ca="1" si="488"/>
        <v>#N/A</v>
      </c>
      <c r="DM181" s="144" t="e">
        <f ca="1">IF(Control!$C$114=1, (1-EXP(-Control!$C$96*$DK181))*$AR181, 0)</f>
        <v>#N/A</v>
      </c>
      <c r="DN181" s="144">
        <f t="shared" ca="1" si="611"/>
        <v>0</v>
      </c>
      <c r="DO181" s="148">
        <f>Control!$C$97</f>
        <v>4</v>
      </c>
      <c r="DP181" s="145" t="e">
        <f t="shared" ca="1" si="612"/>
        <v>#N/A</v>
      </c>
      <c r="DQ181" s="145" t="e">
        <f ca="1">IF(AND($CP181&gt;=0,$CP181&lt;=90),Control!$C$111,Control!$C$111)</f>
        <v>#N/A</v>
      </c>
      <c r="DR181" s="145" t="e">
        <f t="shared" ca="1" si="489"/>
        <v>#N/A</v>
      </c>
      <c r="DS181" s="143" t="e">
        <f ca="1">Control!$B$22/$DR181</f>
        <v>#N/A</v>
      </c>
      <c r="DT181" s="149" t="e">
        <f ca="1">IF(AND(Control!$C$114=1,$KH181&lt;1),$IM181*$DF181, 0)</f>
        <v>#N/A</v>
      </c>
      <c r="DU181" s="144" t="e">
        <f t="shared" ca="1" si="613"/>
        <v>#N/A</v>
      </c>
      <c r="DV181" s="144">
        <f ca="1">IF($G181-Control!$C$107&lt;=0, 0, 0.83*LN(MAX($G181, 3))-0.8924)</f>
        <v>0</v>
      </c>
      <c r="DW181" s="144" t="e">
        <f t="shared" ca="1" si="490"/>
        <v>#N/A</v>
      </c>
      <c r="DX181" s="150" t="e">
        <f ca="1">MAX(0.01*(1+$CU181/Control!$C$102),0.05*($DK181-Control!$C$97)/Control!$C$97)</f>
        <v>#N/A</v>
      </c>
      <c r="DY181" s="151" t="e">
        <f ca="1">IF(Control!$C$114=1, $DI181*$FS181, 0)</f>
        <v>#N/A</v>
      </c>
      <c r="DZ181" s="196" t="e">
        <f t="shared" ca="1" si="614"/>
        <v>#N/A</v>
      </c>
      <c r="EA181" s="152">
        <f t="shared" ca="1" si="615"/>
        <v>177</v>
      </c>
      <c r="EB181" s="153" t="e">
        <f ca="1">$EB180+$ED180</f>
        <v>#N/A</v>
      </c>
      <c r="EC181" s="153" t="e">
        <f t="shared" ca="1" si="617"/>
        <v>#N/A</v>
      </c>
      <c r="ED181" s="154" t="e">
        <f ca="1">IF(Control!$C$114=1, $HM181*$FY181-$FD181, 0)</f>
        <v>#DIV/0!</v>
      </c>
      <c r="EE181" s="155" t="e">
        <f ca="1">IF(Control!$C$114=1, $HM181*$FZ181-$FF181, 0)</f>
        <v>#DIV/0!</v>
      </c>
      <c r="EF181" s="153" t="e">
        <f t="shared" ca="1" si="671"/>
        <v>#N/A</v>
      </c>
      <c r="EG181" s="155" t="e">
        <f ca="1">IF(Control!$C$114=1, $GX181*$FW181-$FI181, 0)</f>
        <v>#DIV/0!</v>
      </c>
      <c r="EH181" s="153" t="e">
        <f t="shared" ca="1" si="618"/>
        <v>#N/A</v>
      </c>
      <c r="EI181" s="156" t="e">
        <f t="shared" ca="1" si="619"/>
        <v>#N/A</v>
      </c>
      <c r="EJ181" s="155" t="e">
        <f ca="1">IF(Control!$C$114=1, $HM181*$GB181, 0)</f>
        <v>#DIV/0!</v>
      </c>
      <c r="EK181" s="153" t="e">
        <f t="shared" ca="1" si="672"/>
        <v>#N/A</v>
      </c>
      <c r="EL181" s="153" t="e">
        <f t="shared" ca="1" si="491"/>
        <v>#N/A</v>
      </c>
      <c r="EM181" s="153" t="e">
        <f t="shared" ca="1" si="492"/>
        <v>#N/A</v>
      </c>
      <c r="EN181" s="153" t="e">
        <f ca="1">IF(Control!$C$108=1,IF(AND(Control!$B$18=1,$EB181&gt;=Control!$B$19),$EB181-$DS181,IF(AND(Control!$B$18=2,$AW181=1,$EB181&gt;$DS181),$EB181-$DS181,0)))</f>
        <v>#N/A</v>
      </c>
      <c r="EO181" s="153" t="e">
        <f ca="1">IF(Control!$C$108=1,IF(AND(Control!$B$18=1,$EB181&gt;=Control!$B$19),$EF181,IF(AND(Control!$B$18=2,$AW181=1),$EF181,0)))</f>
        <v>#N/A</v>
      </c>
      <c r="EP181" s="153" t="e">
        <f ca="1">IF(Control!$C$108=1,IF(AND(Control!$B$18=1,$EB181&gt;=Control!$B$19),$EK181,IF(AND(Control!$B$18=2,$AW181=1),$EK181,0)))</f>
        <v>#N/A</v>
      </c>
      <c r="EQ181" s="153" t="e">
        <f t="shared" ca="1" si="620"/>
        <v>#N/A</v>
      </c>
      <c r="ER181" s="153" t="e">
        <f t="shared" ca="1" si="621"/>
        <v>#N/A</v>
      </c>
      <c r="ES181" s="153" t="e">
        <f t="shared" ca="1" si="673"/>
        <v>#N/A</v>
      </c>
      <c r="ET181" s="153" t="e">
        <f t="shared" ca="1" si="674"/>
        <v>#N/A</v>
      </c>
      <c r="EU181" s="153" t="e">
        <f t="shared" ca="1" si="622"/>
        <v>#N/A</v>
      </c>
      <c r="EV181" s="153" t="e">
        <f t="shared" ca="1" si="493"/>
        <v>#N/A</v>
      </c>
      <c r="EW181" s="153" t="e">
        <f ca="1">$ER181+MAX(0,$EM181)</f>
        <v>#N/A</v>
      </c>
      <c r="EX181" s="153" t="e">
        <f t="shared" ca="1" si="495"/>
        <v>#N/A</v>
      </c>
      <c r="EY181" s="157" t="e">
        <f t="shared" ca="1" si="496"/>
        <v>#DIV/0!</v>
      </c>
      <c r="EZ181" s="154" t="e">
        <f t="shared" ca="1" si="497"/>
        <v>#DIV/0!</v>
      </c>
      <c r="FA181" s="153" t="e">
        <f t="shared" ca="1" si="623"/>
        <v>#N/A</v>
      </c>
      <c r="FB181" s="153" t="e">
        <f t="shared" ca="1" si="498"/>
        <v>#N/A</v>
      </c>
      <c r="FC181" s="193" t="e">
        <f t="shared" ca="1" si="499"/>
        <v>#N/A</v>
      </c>
      <c r="FD181" s="158" t="e">
        <f t="shared" ca="1" si="624"/>
        <v>#N/A</v>
      </c>
      <c r="FE181" s="158" t="e">
        <f t="shared" ca="1" si="625"/>
        <v>#N/A</v>
      </c>
      <c r="FF181" s="159" t="e">
        <f t="shared" ca="1" si="500"/>
        <v>#N/A</v>
      </c>
      <c r="FG181" s="160" t="e">
        <f t="shared" ca="1" si="626"/>
        <v>#N/A</v>
      </c>
      <c r="FH181" s="158" t="e">
        <f t="shared" ca="1" si="627"/>
        <v>#N/A</v>
      </c>
      <c r="FI181" s="159" t="e">
        <f t="shared" ca="1" si="501"/>
        <v>#N/A</v>
      </c>
      <c r="FJ181" s="160" t="e">
        <f t="shared" ca="1" si="628"/>
        <v>#N/A</v>
      </c>
      <c r="FK181" s="160" t="e">
        <f t="shared" ca="1" si="502"/>
        <v>#N/A</v>
      </c>
      <c r="FL181" s="160" t="e">
        <f t="shared" ca="1" si="675"/>
        <v>#N/A</v>
      </c>
      <c r="FM181" s="160" t="e">
        <f t="shared" ca="1" si="503"/>
        <v>#N/A</v>
      </c>
      <c r="FN181" s="158">
        <f t="shared" ca="1" si="629"/>
        <v>0.01</v>
      </c>
      <c r="FO181" s="160">
        <f>Control!$C$101</f>
        <v>50</v>
      </c>
      <c r="FP181" s="150" t="e">
        <f t="shared" ca="1" si="504"/>
        <v>#N/A</v>
      </c>
      <c r="FQ181" s="150" t="e">
        <f ca="1">MAX(0,(Control!$C$112*(($DK181-Control!$C$97)/Control!$C$97)))</f>
        <v>#N/A</v>
      </c>
      <c r="FR181" s="150" t="e">
        <f ca="1">(1-$NT181)*Control!$C$113</f>
        <v>#DIV/0!</v>
      </c>
      <c r="FS181" s="198" t="e">
        <f t="shared" ca="1" si="505"/>
        <v>#N/A</v>
      </c>
      <c r="FT181" s="161">
        <f t="shared" ca="1" si="630"/>
        <v>177</v>
      </c>
      <c r="FU181" s="162" t="e">
        <f ca="1">IF(Control!$B$34=1,VLOOKUP($CP181,Control!$B$86:$G$91,6),Control!$B$35)</f>
        <v>#N/A</v>
      </c>
      <c r="FV181" s="162" t="e">
        <f t="shared" ca="1" si="506"/>
        <v>#DIV/0!</v>
      </c>
      <c r="FW181" s="162" t="e">
        <f ca="1">IF(Control!$B$31=1,$FU181*$FV181,  $FU181)</f>
        <v>#N/A</v>
      </c>
      <c r="FX181" s="162" t="e">
        <f ca="1">IF(Control!$B$34=1,VLOOKUP($CP181,Control!$B$86:$G$91,3),Control!$B$36)</f>
        <v>#N/A</v>
      </c>
      <c r="FY181" s="162" t="e">
        <f t="shared" ca="1" si="507"/>
        <v>#N/A</v>
      </c>
      <c r="FZ181" s="162" t="e">
        <f ca="1">IF(Control!$B$34=1,VLOOKUP($CP181,Control!$B$86:$G$91,4),Control!$B$37)</f>
        <v>#N/A</v>
      </c>
      <c r="GA181" s="162" t="e">
        <f t="shared" ca="1" si="508"/>
        <v>#N/A</v>
      </c>
      <c r="GB181" s="162" t="e">
        <f ca="1">IF(Control!$B$34=1,VLOOKUP($CP181,Control!$B$86:$G$91,5),Control!$B$38)</f>
        <v>#N/A</v>
      </c>
      <c r="GC181" s="162" t="e">
        <f t="shared" ca="1" si="631"/>
        <v>#N/A</v>
      </c>
      <c r="GD181" s="162">
        <f t="shared" ca="1" si="509"/>
        <v>1</v>
      </c>
      <c r="GE181" s="162">
        <f t="shared" ca="1" si="510"/>
        <v>1</v>
      </c>
      <c r="GF181" s="162">
        <f ca="1">IF(AND(Control!$C$104=1, Control!$C$62="F"),$GE181,1)</f>
        <v>1</v>
      </c>
      <c r="GG181" s="162" t="e">
        <f ca="1">IF(Control!$B$16=40,0,IF(AND(Control!$B$16&gt;40,Control!$B$16&lt;=360),(Control!$B$16-40)*((1-0)/(360-40)),IF(AND(Control!$B$16&gt;360,Control!$B$16&lt;=720),(1+(Control!$B$16-360)*((1.25-1)/(720-360))),IF(AND(Control!$B$16&gt;720,Control!$B$16&lt;=1000),(1.25+(Control!$B$16-720)*((1.35-1.25)/(1000-720))),IF(AND(Control!$B$16&gt;1000,Control!$B$16&lt;=2000),(1.35+(Control!$B$16-1000)*0))))))</f>
        <v>#N/A</v>
      </c>
      <c r="GH181" s="162" t="e">
        <f t="shared" ca="1" si="511"/>
        <v>#N/A</v>
      </c>
      <c r="GI181" s="162">
        <f t="shared" ca="1" si="632"/>
        <v>0</v>
      </c>
      <c r="GJ181" s="162">
        <f t="shared" ca="1" si="512"/>
        <v>0</v>
      </c>
      <c r="GK181" s="162">
        <f t="shared" ca="1" si="633"/>
        <v>1</v>
      </c>
      <c r="GL181" s="162">
        <f t="shared" ca="1" si="513"/>
        <v>1</v>
      </c>
      <c r="GM181" s="162" t="e">
        <f ca="1">MAX(0,MIN(1,1-Control!$C$156*(1.0001-$KH181)^2))</f>
        <v>#N/A</v>
      </c>
      <c r="GN181" s="162" t="e">
        <f ca="1">IF(Control!$B$26=1,$KU181,$KX181)</f>
        <v>#N/A</v>
      </c>
      <c r="GO181" s="162" t="e">
        <f ca="1">IF($CP181&lt;=60,Control!$C$105,IF($CP181&gt;=90,Control!$C$106,Control!$C$105+($CP181-60)*((Control!$C$106-Control!$C$105)/(90-60))))</f>
        <v>#N/A</v>
      </c>
      <c r="GP181" s="162" t="e">
        <f t="shared" ca="1" si="514"/>
        <v>#N/A</v>
      </c>
      <c r="GQ181" s="162" t="e">
        <f t="shared" ca="1" si="634"/>
        <v>#N/A</v>
      </c>
      <c r="GR181" s="163" t="e">
        <f t="shared" ca="1" si="515"/>
        <v>#DIV/0!</v>
      </c>
      <c r="GS181" s="162" t="e">
        <f t="shared" ca="1" si="516"/>
        <v>#DIV/0!</v>
      </c>
      <c r="GT181" s="164" t="e">
        <f t="shared" ca="1" si="635"/>
        <v>#N/A</v>
      </c>
      <c r="GU181" s="162" t="e">
        <f t="shared" ca="1" si="636"/>
        <v>#N/A</v>
      </c>
      <c r="GV181" s="162" t="e">
        <f t="shared" ca="1" si="517"/>
        <v>#N/A</v>
      </c>
      <c r="GW181" s="162" t="e">
        <f t="shared" ca="1" si="518"/>
        <v>#DIV/0!</v>
      </c>
      <c r="GX181" s="162" t="e">
        <f t="shared" ca="1" si="637"/>
        <v>#DIV/0!</v>
      </c>
      <c r="GY181" s="162" t="e">
        <f t="shared" ca="1" si="638"/>
        <v>#DIV/0!</v>
      </c>
      <c r="GZ181" s="165" t="e">
        <f t="shared" ca="1" si="519"/>
        <v>#N/A</v>
      </c>
      <c r="HA181" s="162" t="e">
        <f ca="1">IF(Control!$C$114=1, $DI181*$FS181, 0)</f>
        <v>#N/A</v>
      </c>
      <c r="HB181" s="162" t="e">
        <f ca="1">$FA181/Control!$C$64</f>
        <v>#N/A</v>
      </c>
      <c r="HC181" s="162" t="e">
        <f t="shared" ca="1" si="520"/>
        <v>#DIV/0!</v>
      </c>
      <c r="HD181" s="162">
        <f ca="1">-ASIN(SIN(23.45*Control!$C$139)*COS(2*Control!$C$138*($AH181+10)/365))</f>
        <v>0.40797995926534825</v>
      </c>
      <c r="HE181" s="165">
        <f t="shared" ca="1" si="639"/>
        <v>0</v>
      </c>
      <c r="HF181" s="166">
        <f ca="1">IF(AND(Control!$C$61="T",$HE181&gt;=Control!$C$103,Control!$C$114=0),$AH181,Control!$C$59)</f>
        <v>1</v>
      </c>
      <c r="HG181" s="166">
        <f ca="1">IF(AND(Control!$C$61="T",$HE181&gt;=Control!$C$103,Control!$C$114=0),$HF181,Control!$C$59)</f>
        <v>1</v>
      </c>
      <c r="HH181" s="165">
        <f ca="1">IF(AND(OR(Control!$C$60&lt;=0, $AH181= Control!$C$59, Control!$C$60 &gt;0, $AH181 = Control!$C$60)), Control!$C$59, IF(Control!$C$60&gt;0, 0))</f>
        <v>1</v>
      </c>
      <c r="HI181" s="165">
        <f ca="1">IF(AND(OR(Control!$C$60&lt;=0, $AH181= Control!$C$59, Control!$C$60 &gt;0, $AH181 = Control!$C$60)), Control!$C$60, IF(Control!$C$60&lt;=0, 0))</f>
        <v>0</v>
      </c>
      <c r="HJ181" s="166">
        <f ca="1">IF(AND(Control!$C$62="F",$CV181&gt;=Control!$C$102),$AH181,0)</f>
        <v>0</v>
      </c>
      <c r="HK181" s="165" t="e">
        <f t="shared" ca="1" si="676"/>
        <v>#N/A</v>
      </c>
      <c r="HL181" s="166">
        <f ca="1">IF(AND(Control!$C$61="T",$HE181&gt;=Control!$C$103,Control!$C$114=0),$HF181,0)</f>
        <v>0</v>
      </c>
      <c r="HM181" s="201" t="e">
        <f t="shared" ca="1" si="521"/>
        <v>#DIV/0!</v>
      </c>
      <c r="HN181" s="215">
        <f t="shared" ca="1" si="640"/>
        <v>177</v>
      </c>
      <c r="HO181" s="216" t="e">
        <f ca="1">IF(AND($CP181&gt;=0, $CP181&lt;=90), Control!$C$152, Control!$C$152)</f>
        <v>#N/A</v>
      </c>
      <c r="HP181" s="216" t="e">
        <f t="shared" ca="1" si="522"/>
        <v>#N/A</v>
      </c>
      <c r="HQ181" s="217" t="e">
        <f ca="1">IF(OR(Control!$B$26=1,Control!$B$26=2),$KV181,$KS181)</f>
        <v>#DIV/0!</v>
      </c>
      <c r="HR181" s="218" t="e">
        <f t="shared" ca="1" si="677"/>
        <v>#DIV/0!</v>
      </c>
      <c r="HS181" s="216" t="e">
        <f ca="1">Control!$C$154*$HP181</f>
        <v>#N/A</v>
      </c>
      <c r="HT181" s="216" t="e">
        <f ca="1">Control!$C$155*$HP181</f>
        <v>#N/A</v>
      </c>
      <c r="HU181" s="217" t="e">
        <f ca="1">Control!$C$161*$FI181</f>
        <v>#N/A</v>
      </c>
      <c r="HV181" s="218" t="e">
        <f t="shared" ca="1" si="641"/>
        <v>#N/A</v>
      </c>
      <c r="HW181" s="218" t="e">
        <f ca="1">Control!$C$160*$FF181+$IP181*$EO181</f>
        <v>#N/A</v>
      </c>
      <c r="HX181" s="218" t="e">
        <f t="shared" ca="1" si="678"/>
        <v>#N/A</v>
      </c>
      <c r="HY181" s="219" t="e">
        <f ca="1">IF(Control!$C$114=1, $EB181*$FS181, 0)</f>
        <v>#N/A</v>
      </c>
      <c r="HZ181" s="91" t="e">
        <f t="shared" ca="1" si="523"/>
        <v>#N/A</v>
      </c>
      <c r="IA181" s="220" t="e">
        <f ca="1">Control!$C$153*$HO181</f>
        <v>#N/A</v>
      </c>
      <c r="IB181" s="218" t="e">
        <f t="shared" ca="1" si="524"/>
        <v>#N/A</v>
      </c>
      <c r="IC181" s="220" t="e">
        <f ca="1">Control!$C$153*$HT181</f>
        <v>#N/A</v>
      </c>
      <c r="ID181" s="218" t="e">
        <f t="shared" ca="1" si="525"/>
        <v>#N/A</v>
      </c>
      <c r="IE181" s="221" t="e">
        <f ca="1">($EB181*Control!$C$159+$EF181*Control!$C$160)/(IF($GZ181&lt;&gt;0,$GZ181,1))</f>
        <v>#N/A</v>
      </c>
      <c r="IF181" s="216" t="e">
        <f t="shared" ca="1" si="526"/>
        <v>#N/A</v>
      </c>
      <c r="IG181" s="91">
        <f ca="1">IF(OR(Control!$B$198=$AH181,Control!$B$199=$AH181, Control!$B$200=$AH181, Control!$B$201=$AH181, Control!$B$202=$AH181, Control!$B$203=$AH181, Control!$B$204=$AH181, Control!$B$205=$AH181, Control!$B$206=$AH181, Control!$B$207=$AH181), 1, 0)</f>
        <v>0</v>
      </c>
      <c r="IH181" s="91">
        <f ca="1">IF($IG181=0,0, VLOOKUP($AH181,Control!$B$198:$C$207,2))</f>
        <v>0</v>
      </c>
      <c r="II181" s="222">
        <f t="shared" ca="1" si="642"/>
        <v>0</v>
      </c>
      <c r="IJ181" s="91">
        <f>Control!$C$121</f>
        <v>0.7</v>
      </c>
      <c r="IK181" s="218">
        <f t="shared" ca="1" si="527"/>
        <v>0</v>
      </c>
      <c r="IL181" s="217" t="e">
        <f t="shared" ca="1" si="679"/>
        <v>#N/A</v>
      </c>
      <c r="IM181" s="223" t="e">
        <f ca="1">IF(AND(Control!$C$114=1,$KH181&lt;1),$EB181*Control!$C$148*(1-$KH181), 0)</f>
        <v>#N/A</v>
      </c>
      <c r="IN181" s="217" t="e">
        <f t="shared" ca="1" si="528"/>
        <v>#DIV/0!</v>
      </c>
      <c r="IO181" s="91" t="e">
        <f ca="1">MAX(0,$IL181-$EF181*Control!$C$160)</f>
        <v>#N/A</v>
      </c>
      <c r="IP181" s="220" t="e">
        <f t="shared" ca="1" si="529"/>
        <v>#N/A</v>
      </c>
      <c r="IQ181" s="217" t="e">
        <f t="shared" ca="1" si="643"/>
        <v>#N/A</v>
      </c>
      <c r="IR181" s="218" t="e">
        <f t="shared" ca="1" si="530"/>
        <v>#N/A</v>
      </c>
      <c r="IS181" s="217" t="e">
        <f ca="1">Control!$C$159*MAX(0,$FD181-$EN181)</f>
        <v>#N/A</v>
      </c>
      <c r="IT181" s="217" t="e">
        <f t="shared" ca="1" si="680"/>
        <v>#N/A</v>
      </c>
      <c r="IU181" s="217" t="e">
        <f t="shared" ca="1" si="644"/>
        <v>#N/A</v>
      </c>
      <c r="IV181" s="217" t="e">
        <f t="shared" ca="1" si="681"/>
        <v>#N/A</v>
      </c>
      <c r="IW181" s="217" t="e">
        <f ca="1">IF(OR($AW181=1,AND($AW181=0, Control!$B$18=1,$EN181&lt;&gt;0)), $IQ181-$IU181, $IQ181)</f>
        <v>#N/A</v>
      </c>
      <c r="IX181" s="218" t="e">
        <f t="shared" ca="1" si="531"/>
        <v>#N/A</v>
      </c>
      <c r="IY181" s="218" t="e">
        <f ca="1">MAX(0,$IQ181-$EB181*Control!$C$159)</f>
        <v>#N/A</v>
      </c>
      <c r="IZ181" s="218" t="e">
        <f t="shared" ca="1" si="532"/>
        <v>#N/A</v>
      </c>
      <c r="JA181" s="216" t="e">
        <f t="shared" ca="1" si="533"/>
        <v>#N/A</v>
      </c>
      <c r="JB181" s="217" t="e">
        <f t="shared" ca="1" si="534"/>
        <v>#N/A</v>
      </c>
      <c r="JC181" s="222" t="e">
        <f ca="1">MAX(Control!$C$157*$EK181-$JT181, 0)/Control!$C$162</f>
        <v>#N/A</v>
      </c>
      <c r="JD181" s="218" t="e">
        <f t="shared" ca="1" si="535"/>
        <v>#N/A</v>
      </c>
      <c r="JE181" s="218" t="e">
        <f t="shared" ca="1" si="536"/>
        <v>#N/A</v>
      </c>
      <c r="JF181" s="218" t="e">
        <f t="shared" ca="1" si="645"/>
        <v>#N/A</v>
      </c>
      <c r="JG181" s="218" t="e">
        <f t="shared" ca="1" si="537"/>
        <v>#N/A</v>
      </c>
      <c r="JH181" s="217" t="e">
        <f t="shared" ca="1" si="646"/>
        <v>#N/A</v>
      </c>
      <c r="JI181" s="217" t="e">
        <f t="shared" ca="1" si="647"/>
        <v>#N/A</v>
      </c>
      <c r="JJ181" s="217" t="e">
        <f t="shared" ca="1" si="682"/>
        <v>#N/A</v>
      </c>
      <c r="JK181" s="217" t="e">
        <f ca="1">IF(Control!$C$114=1,IF(Control!$B$24=0,MAX(0,$JI181)*$GN181/Control!$C$64,(MAX(0,MIN($JI181,$JJ181*$GN181/Control!$C$64),0))))</f>
        <v>#N/A</v>
      </c>
      <c r="JL181" s="217" t="e">
        <f ca="1">$IK181/Control!$C$64-$JK181+$HQ181</f>
        <v>#N/A</v>
      </c>
      <c r="JM181" s="217" t="e">
        <f ca="1">IF(Control!$C$114=1,($JB181/(IF($JI181&lt;&gt;0,$JI181,1)))*$JK181,0)</f>
        <v>#N/A</v>
      </c>
      <c r="JN181" s="217" t="e">
        <f ca="1">IF(Control!$C$114=1,($JG181/(IF($JI181&lt;&gt;0,$JI181,1)))*$JK181, 0)</f>
        <v>#N/A</v>
      </c>
      <c r="JO181" s="218" t="e">
        <f t="shared" ca="1" si="538"/>
        <v>#N/A</v>
      </c>
      <c r="JP181" s="218" t="e">
        <f ca="1">MIN(($IY181+$IO181)*Control!$C$151, $JF181-$EH181*Control!$C$161)</f>
        <v>#N/A</v>
      </c>
      <c r="JQ181" s="218" t="e">
        <f t="shared" ca="1" si="539"/>
        <v>#N/A</v>
      </c>
      <c r="JR181" s="217" t="e">
        <f ca="1">IF($CP181-Control!$C$150&lt;0, 0, $JQ181/Control!$C$162)</f>
        <v>#N/A</v>
      </c>
      <c r="JS181" s="218" t="e">
        <f t="shared" ca="1" si="540"/>
        <v>#N/A</v>
      </c>
      <c r="JT181" s="218" t="e">
        <f t="shared" ca="1" si="648"/>
        <v>#N/A</v>
      </c>
      <c r="JU181" s="218" t="e">
        <f t="shared" ca="1" si="541"/>
        <v>#N/A</v>
      </c>
      <c r="JV181" s="218" t="e">
        <f t="shared" ca="1" si="542"/>
        <v>#N/A</v>
      </c>
      <c r="JW181" s="216" t="e">
        <f t="shared" ca="1" si="543"/>
        <v>#N/A</v>
      </c>
      <c r="JX181" s="91" t="e">
        <f t="shared" ca="1" si="544"/>
        <v>#N/A</v>
      </c>
      <c r="JY181" s="218" t="e">
        <f t="shared" ca="1" si="545"/>
        <v>#N/A</v>
      </c>
      <c r="JZ181" s="217" t="e">
        <f ca="1">IF(Control!$C$114=1,($IZ181/(IF($JI181&lt;&gt;0,$JI181,1)))*$JK181, 0)</f>
        <v>#N/A</v>
      </c>
      <c r="KA181" s="218" t="e">
        <f t="shared" ca="1" si="683"/>
        <v>#N/A</v>
      </c>
      <c r="KB181" s="218" t="e">
        <f t="shared" ca="1" si="649"/>
        <v>#N/A</v>
      </c>
      <c r="KC181" s="218" t="e">
        <f t="shared" ca="1" si="546"/>
        <v>#N/A</v>
      </c>
      <c r="KD181" s="218" t="e">
        <f t="shared" ca="1" si="547"/>
        <v>#N/A</v>
      </c>
      <c r="KE181" s="218" t="e">
        <f t="shared" ca="1" si="548"/>
        <v>#N/A</v>
      </c>
      <c r="KF181" s="218" t="e">
        <f t="shared" ca="1" si="549"/>
        <v>#N/A</v>
      </c>
      <c r="KG181" s="216" t="e">
        <f t="shared" ca="1" si="550"/>
        <v>#N/A</v>
      </c>
      <c r="KH181" s="221" t="e">
        <f ca="1">IF(Control!$B$24=0,1,MAX(0.001,MIN(1,IF(($IF181-$IE181)&lt;&gt;0,($KG181-$IE181)/($IF181-$IE181),1))))</f>
        <v>#N/A</v>
      </c>
      <c r="KI181" s="222" t="e">
        <f ca="1">IF(Control!$C$114=1, $KI180+ $KH180, 0)</f>
        <v>#N/A</v>
      </c>
      <c r="KJ181" s="217" t="e">
        <f t="shared" ca="1" si="551"/>
        <v>#N/A</v>
      </c>
      <c r="KK181" s="218" t="e">
        <f t="shared" ca="1" si="552"/>
        <v>#N/A</v>
      </c>
      <c r="KL181" s="274" t="e">
        <f ca="1">IF(Control!$B$26=3,4000000000*EXP(-8400/($G181+273)),IF(Control!$B$26=4,4000000000*EXP(-8400/($G181+273))*($KT181),0))</f>
        <v>#DIV/0!</v>
      </c>
      <c r="KM181" s="274" t="e">
        <f ca="1">IF(Control!$B$26=3,5600000000000*EXP(-9800/($G181+273)),IF(Control!$B$26=4,5600000000000*EXP(-9800/($G181+273))*$KT181,0))</f>
        <v>#DIV/0!</v>
      </c>
      <c r="KN181" s="454" t="e">
        <f t="shared" ca="1" si="650"/>
        <v>#DIV/0!</v>
      </c>
      <c r="KO181" s="274" t="e">
        <f t="shared" ca="1" si="651"/>
        <v>#DIV/0!</v>
      </c>
      <c r="KP181" s="454" t="e">
        <f t="shared" ca="1" si="553"/>
        <v>#DIV/0!</v>
      </c>
      <c r="KQ181" s="454" t="e">
        <f t="shared" ca="1" si="554"/>
        <v>#DIV/0!</v>
      </c>
      <c r="KR181" s="454" t="e">
        <f t="shared" ca="1" si="555"/>
        <v>#DIV/0!</v>
      </c>
      <c r="KS181" s="454" t="e">
        <f t="shared" ca="1" si="556"/>
        <v>#DIV/0!</v>
      </c>
      <c r="KT181" s="455" t="e">
        <f t="shared" ca="1" si="557"/>
        <v>#DIV/0!</v>
      </c>
      <c r="KU181" s="456" t="e">
        <f ca="1">IF($CP181-Control!$C$149&lt;0, IF($NT181-0.01&lt;0,0,1),0)</f>
        <v>#N/A</v>
      </c>
      <c r="KV181" s="456" t="e">
        <f ca="1">IF(Control!$C$114=1,MAX(0,MIN(Control!$C$125*$KW181*$GN181,$KW181)))</f>
        <v>#DIV/0!</v>
      </c>
      <c r="KW181" s="456" t="e">
        <f t="shared" ca="1" si="684"/>
        <v>#DIV/0!</v>
      </c>
      <c r="KX181" s="457" t="e">
        <f ca="1">IF($CP181-Control!$C$149&lt;0, IF($MR181-$OM181&lt;0,0,1),0)</f>
        <v>#N/A</v>
      </c>
      <c r="KY181" s="167">
        <f t="shared" ca="1" si="652"/>
        <v>177</v>
      </c>
      <c r="KZ181" s="168">
        <f ca="1">1370*(1+0.033*COS(2*Control!$C$138*$AH181/365))</f>
        <v>1324.9924483019386</v>
      </c>
      <c r="LA181" s="169">
        <f t="shared" ca="1" si="653"/>
        <v>0.96714779471032231</v>
      </c>
      <c r="LB181" s="169">
        <f t="shared" ca="1" si="654"/>
        <v>0.40748429495333988</v>
      </c>
      <c r="LC181" s="169">
        <f ca="1">ACOS(-TAN((2*Control!$B$8/360))*TAN(Calculations!$LB181))</f>
        <v>1.6994366399171172</v>
      </c>
      <c r="LD181" s="169">
        <f ca="1">((24*60)/PI())*0.082*$LA181*(($LC181*SIN(Control!$B$8*2*PI()/360))*SIN($LB181)+COS(Control!$B$8*2*PI()/360)*COS($LB181)*SIN($LC181))</f>
        <v>39.670005661521657</v>
      </c>
      <c r="LE181" s="170">
        <f t="shared" ca="1" si="558"/>
        <v>41.386517949226217</v>
      </c>
      <c r="LF181" s="170">
        <f ca="1">SIN(Control!$C$139*Control!$B$8)*SIN($HD181)</f>
        <v>0.31264842986792818</v>
      </c>
      <c r="LG181" s="170">
        <f ca="1">COS(Control!$C$139*Control!$B$8)*COS($HD181)</f>
        <v>0.56512900632174978</v>
      </c>
      <c r="LH181" s="170">
        <f ca="1">12*(1+2*ASIN(MAX(-1,MIN(1,$LF181/$LG181))/Control!$C$138))</f>
        <v>16.248539153085694</v>
      </c>
      <c r="LI181" s="170">
        <f ca="1">12*(1+2*ASIN(MAX(-1,MIN(1,(-SIN(-4*Control!$C$139)+$LF181)/$LG181))/Control!$C$138))</f>
        <v>17.210183769441532</v>
      </c>
      <c r="LJ181" s="168">
        <f ca="1">3600*($LH181*$LF181+24*$LG181*SQRT(1-$LK181*$LK181)/Control!$C$138)</f>
        <v>31235.285908433401</v>
      </c>
      <c r="LK181" s="170">
        <f t="shared" ca="1" si="559"/>
        <v>0.55323373313088331</v>
      </c>
      <c r="LL181" s="170">
        <f t="shared" ca="1" si="560"/>
        <v>0</v>
      </c>
      <c r="LM181" s="171">
        <f ca="1">Control!$C$145*$AB181</f>
        <v>6.6660906138995932E-2</v>
      </c>
      <c r="LN181" s="170">
        <f t="shared" ca="1" si="655"/>
        <v>0.54</v>
      </c>
      <c r="LO181" s="170">
        <f t="shared" ca="1" si="561"/>
        <v>0</v>
      </c>
      <c r="LP181" s="170">
        <f ca="1">Control!$C$140*((($D181+273.16)^4+($E181+273.16)^4)/2)*(0.34-0.14*SQRT($Y181))*(1.35*$AQ181/(0.75*$LD181)-0.35)</f>
        <v>-3.2464704755046001</v>
      </c>
      <c r="LQ181" s="170">
        <f ca="1">Control!$C$140*($G181+273)^4*(0.56-0.079*SQRT($Y181*10))*(0.1+0.9*$LO181)</f>
        <v>1.5241745131704001</v>
      </c>
      <c r="LR181" s="170">
        <f ca="1">$AQ181*(1-Control!$C$142)-$LQ181</f>
        <v>-1.5241745131704001</v>
      </c>
      <c r="LS181" s="170">
        <f ca="1">$AQ181*(1-Control!$C$143)-$LQ181</f>
        <v>-1.5241745131704001</v>
      </c>
      <c r="LT181" s="170">
        <f ca="1">$AQ181*(1-Control!$C$144)-$LQ181</f>
        <v>-1.5241745131704001</v>
      </c>
      <c r="LU181" s="169">
        <f ca="1">(1-Control!$C$144)*AQ181-LP181</f>
        <v>3.2464704755046001</v>
      </c>
      <c r="LV181" s="172">
        <f t="shared" ca="1" si="562"/>
        <v>0.79430000000000012</v>
      </c>
      <c r="LW181" s="170">
        <f t="shared" ca="1" si="563"/>
        <v>1.5886000000000002</v>
      </c>
      <c r="LX181" s="170">
        <f ca="1">($AC181*($LR181/Control!$C$141)+$LM181*$LV181)/($AC181+$LM181)</f>
        <v>0.23530094218323697</v>
      </c>
      <c r="LY181" s="170">
        <f ca="1">($AC181*($LS181/Control!$C$141)+$LM181*$LV181)/($AC181+$LM181)</f>
        <v>0.23530094218323697</v>
      </c>
      <c r="LZ181" s="170">
        <f t="shared" ca="1" si="564"/>
        <v>0.23530094218323697</v>
      </c>
      <c r="MA181" s="170">
        <f t="shared" ca="1" si="565"/>
        <v>0.23530094218323697</v>
      </c>
      <c r="MB181" s="170" t="e">
        <f t="shared" ca="1" si="566"/>
        <v>#N/A</v>
      </c>
      <c r="MC181" s="170">
        <f t="shared" ca="1" si="656"/>
        <v>0.6018</v>
      </c>
      <c r="MD181" s="170">
        <f t="shared" ca="1" si="567"/>
        <v>0.52989392535414004</v>
      </c>
      <c r="ME181" s="170">
        <f ca="1">($AC181*($LT181/Control!$C$141)+$LM181*$LW181)/($AC181+$LM181)</f>
        <v>0.71612369323045078</v>
      </c>
      <c r="MF181" s="170" t="e">
        <f ca="1">IF(Control!$B$16&gt;=1000,0.92,IF(AND(720&lt;=Control!$B$16,1000&gt;Control!$B$16),(0.95+(Control!$B$16-720)*((0.92-0.95)/(1000-720))),IF(AND(360&lt;=Control!$B$16,720&gt;Control!$B$16),(1+(Control!$B$16-360)*((0.95-1)/(720-360))),IF(AND(40&lt;=Control!$B$16,360&gt;Control!$B$16),(1.05+(Control!$B$16-40)*((1.05-1)/(360-40)))))))</f>
        <v>#N/A</v>
      </c>
      <c r="MG181" s="170">
        <f t="shared" ca="1" si="568"/>
        <v>0.71612369323045078</v>
      </c>
      <c r="MH181" s="170" t="e">
        <f t="shared" ca="1" si="694"/>
        <v>#N/A</v>
      </c>
      <c r="MI181" s="170" t="e">
        <f t="shared" ca="1" si="694"/>
        <v>#N/A</v>
      </c>
      <c r="MJ181" s="170" t="e">
        <f ca="1">MAX(0.0001, Control!$C$132*$MI181*$DL181)</f>
        <v>#N/A</v>
      </c>
      <c r="MK181" s="170">
        <f ca="1">1/(0.76+1.5*($MG181/10))-(5-Control!$C$110)*0.1</f>
        <v>1.002845988140797</v>
      </c>
      <c r="ML181" s="173">
        <f ca="1">IF(Control!$C$110&lt;3,$MK181+($MG181-0.6)/(Control!$C$110*(Control!$C$110+3)), MAX(0.1, MIN(0.95,$MK181)))</f>
        <v>0.95</v>
      </c>
      <c r="MM181" s="173">
        <f ca="1">IF(Control!$C$110&lt;3,$MK181+(($MI181/10)-0.6)/(Control!$C$110*(Control!$C$110+3)), MAX(0.1, MIN(0.95,$MK181)))</f>
        <v>0.95</v>
      </c>
      <c r="MN181" s="173">
        <f ca="1">(1-$MM181)*(Control!$C$128-Control!$C$127)+Control!$C$127</f>
        <v>0.16</v>
      </c>
      <c r="MO181" s="170" t="e">
        <f ca="1">MAX(0,MIN(1,($MS181-Control!$C$127)/($MN181-Control!$C$127)))</f>
        <v>#DIV/0!</v>
      </c>
      <c r="MP181" s="173" t="e">
        <f ca="1">1/(0.76+1.5*$MI181)-(5-Control!$C$110)*0.1</f>
        <v>#N/A</v>
      </c>
      <c r="MQ181" s="172" t="e">
        <f t="shared" ca="1" si="685"/>
        <v>#DIV/0!</v>
      </c>
      <c r="MR181" s="168" t="e">
        <f t="shared" ca="1" si="657"/>
        <v>#DIV/0!</v>
      </c>
      <c r="MS181" s="173" t="e">
        <f ca="1">MAX(Control!$C$127, MIN(Control!$C$135, $MR181/MAX(0.0001,$CY181)))</f>
        <v>#DIV/0!</v>
      </c>
      <c r="MT181" s="168" t="e">
        <f ca="1">(Control!$C$128-$MS181)*Control!$C$74</f>
        <v>#DIV/0!</v>
      </c>
      <c r="MU181" s="168" t="e">
        <f ca="1">(Control!$C$135-$MS181)*Control!$C$74</f>
        <v>#DIV/0!</v>
      </c>
      <c r="MV181" s="168" t="e">
        <f t="shared" ca="1" si="658"/>
        <v>#DIV/0!</v>
      </c>
      <c r="MW181" s="168" t="e">
        <f t="shared" ca="1" si="659"/>
        <v>#DIV/0!</v>
      </c>
      <c r="MX181" s="171" t="e">
        <f ca="1">MAX(Control!$C$127, MIN(Control!$C$135, $MW181/MAX(0.0001,Control!$C$119-$CY181)))</f>
        <v>#DIV/0!</v>
      </c>
      <c r="MY181" s="54" t="e">
        <f ca="1">IF(Control!$C$114=1, $CX181*$MX181, 0)</f>
        <v>#DIV/0!</v>
      </c>
      <c r="MZ181" s="54" t="e">
        <f t="shared" ca="1" si="660"/>
        <v>#N/A</v>
      </c>
      <c r="NA181" s="168" t="e">
        <f ca="1">(Control!$C$128-$MX181)*(Control!$C$119-Control!$C$74)</f>
        <v>#DIV/0!</v>
      </c>
      <c r="NB181" s="168" t="e">
        <f ca="1">(Control!$C$135-$MX181)*(Control!$C$119-Control!$C$74)</f>
        <v>#DIV/0!</v>
      </c>
      <c r="NC181" s="174" t="e">
        <f t="shared" ca="1" si="661"/>
        <v>#DIV/0!</v>
      </c>
      <c r="ND181" s="54">
        <f ca="1">IF(Control!$C$58=2, IF(OR(Control!$B$218=$AH181,Control!$B$219=$AH181, Control!$B$220=$AH181, Control!$B$221=$AH181, Control!$B$222=$AH181, Control!$B$223=$AH181, Control!$B$224=$AH181, Control!$B$225=$AH181, Control!$B$226=$AH181, Control!$B$227=$AH181, Control!$B$228=$AH181), 1, 0), 0)</f>
        <v>1</v>
      </c>
      <c r="NE181" s="54">
        <f ca="1">IF($ND181=0,0, VLOOKUP($AH181,Control!$B$218:$C$228,2))</f>
        <v>0</v>
      </c>
      <c r="NF181" s="168" t="e">
        <f ca="1">$CY181*(Control!$C$128-Control!$C$127)</f>
        <v>#N/A</v>
      </c>
      <c r="NG181" s="54" t="e">
        <f ca="1">IF(Control!$C$58=2, $NI180-$NJ180, 0)</f>
        <v>#DIV/0!</v>
      </c>
      <c r="NH181" s="54" t="e">
        <f ca="1">IF(AND(Control!$C$58=1, $MS180&lt;= ($MN180+0.02), $I180&lt;10), 0, IF(Control!$C$58=2, $NG180, 0))</f>
        <v>#DIV/0!</v>
      </c>
      <c r="NI181" s="54" t="e">
        <f ca="1">IF(Control!$C$58=2, $NE181+$NH181,0)</f>
        <v>#DIV/0!</v>
      </c>
      <c r="NJ181" s="54" t="e">
        <f ca="1">IF(AND(Control!$C$58=1, $MS181&lt;= ($MN181+0.02), $I181&lt;10), MAX(0, MIN(10, 0.7*($NF181-$MV181))), IF(Control!$C$58=2, MIN(10,$NI181),0))</f>
        <v>#DIV/0!</v>
      </c>
      <c r="NK181" s="54" t="e">
        <f t="shared" ca="1" si="569"/>
        <v>#DIV/0!</v>
      </c>
      <c r="NL181" s="173" t="e">
        <f ca="1">(1-Control!$C$73)*$I181+$NJ181</f>
        <v>#DIV/0!</v>
      </c>
      <c r="NM181" s="172" t="e">
        <f ca="1">IF($NL181&lt;0.5, $MB181* MAX(0, MIN(1, (SQRT($NC181)-SQRT($NC181-1))*Control!$C$71)),0)</f>
        <v>#DIV/0!</v>
      </c>
      <c r="NN181" s="170" t="e">
        <f ca="1">IF($NL181&gt;=5, $MB181, MAX(0,MIN($MB181, $NM181+$NL181,($MS181-Control!$C$129))))</f>
        <v>#DIV/0!</v>
      </c>
      <c r="NO181" s="54">
        <f>IF(Control!$C$133&lt;&gt;1, Control!$C$135-Control!$C$131, 0)</f>
        <v>0.38</v>
      </c>
      <c r="NP181" s="54" t="e">
        <f t="shared" ca="1" si="570"/>
        <v>#DIV/0!</v>
      </c>
      <c r="NQ181" s="173" t="e">
        <f ca="1">MAX(0,MIN(1,(Control!$C$135-$MS181)/(Control!$C$135-$NO181)))</f>
        <v>#DIV/0!</v>
      </c>
      <c r="NR181" s="170" t="e">
        <f ca="1">IF(Control!$C$133&lt;&gt;1, $NQ181+((1-$NP181/4)*(1-$NQ181)),1)</f>
        <v>#DIV/0!</v>
      </c>
      <c r="NS181" s="170" t="e">
        <f ca="1">IF(Control!$B$31=0,$MJ181,MAX(0,MIN($MV181,$MO181*$NR181*$MJ181)))</f>
        <v>#DIV/0!</v>
      </c>
      <c r="NT181" s="170" t="e">
        <f t="shared" ca="1" si="686"/>
        <v>#DIV/0!</v>
      </c>
      <c r="NU181" s="170" t="e">
        <f t="shared" ca="1" si="662"/>
        <v>#N/A</v>
      </c>
      <c r="NV181" s="170" t="e">
        <f t="shared" ca="1" si="571"/>
        <v>#N/A</v>
      </c>
      <c r="NW181" s="175" t="e">
        <f t="shared" ca="1" si="572"/>
        <v>#DIV/0!</v>
      </c>
      <c r="NX181" s="170" t="e">
        <f ca="1">MIN(Control!$C$72+$MU181, $NW181)</f>
        <v>#DIV/0!</v>
      </c>
      <c r="NY181" s="170" t="e">
        <f ca="1">IF($MT181&lt;=$NX181,MIN(Control!$C$72+$NB181,$NX181-$MT181),0)</f>
        <v>#DIV/0!</v>
      </c>
      <c r="NZ181" s="54" t="e">
        <f ca="1">IF(Control!$C$114=1,  $CX181*($MX181-Control!$C$127), 0)</f>
        <v>#DIV/0!</v>
      </c>
      <c r="OA181" s="170" t="e">
        <f t="shared" ca="1" si="573"/>
        <v>#DIV/0!</v>
      </c>
      <c r="OB181" s="170" t="e">
        <f ca="1">IF($NA181 &lt;=$NY181, MIN(Control!$C$72, $NY181-$NA181), 0)</f>
        <v>#DIV/0!</v>
      </c>
      <c r="OC181" s="168" t="e">
        <f t="shared" ca="1" si="574"/>
        <v>#DIV/0!</v>
      </c>
      <c r="OD181" s="168" t="e">
        <f t="shared" ca="1" si="663"/>
        <v>#DIV/0!</v>
      </c>
      <c r="OE181" s="170">
        <f ca="1">Control!$C$73*$I181</f>
        <v>0</v>
      </c>
      <c r="OF181" s="176" t="e">
        <f t="shared" ca="1" si="575"/>
        <v>#DIV/0!</v>
      </c>
      <c r="OG181" s="168" t="e">
        <f t="shared" ca="1" si="576"/>
        <v>#DIV/0!</v>
      </c>
      <c r="OH181" s="168" t="e">
        <f t="shared" ca="1" si="577"/>
        <v>#DIV/0!</v>
      </c>
      <c r="OI181" s="168" t="e">
        <f t="shared" ca="1" si="578"/>
        <v>#DIV/0!</v>
      </c>
      <c r="OJ181" s="168" t="e">
        <f t="shared" ca="1" si="579"/>
        <v>#DIV/0!</v>
      </c>
      <c r="OK181" s="204" t="e">
        <f t="shared" ca="1" si="580"/>
        <v>#DIV/0!</v>
      </c>
      <c r="OL181" s="177">
        <f>Control!$C$127</f>
        <v>0.15</v>
      </c>
      <c r="OM181" s="182" t="e">
        <f t="shared" ca="1" si="581"/>
        <v>#N/A</v>
      </c>
      <c r="ON181" s="177">
        <f>Control!$C$128</f>
        <v>0.35</v>
      </c>
      <c r="OO181" s="182" t="e">
        <f t="shared" ca="1" si="582"/>
        <v>#N/A</v>
      </c>
      <c r="OP181" s="138">
        <f t="shared" ca="1" si="664"/>
        <v>0</v>
      </c>
      <c r="OQ181" s="138" t="e">
        <f t="shared" ca="1" si="687"/>
        <v>#DIV/0!</v>
      </c>
      <c r="OR181" s="138" t="e">
        <f t="shared" ca="1" si="665"/>
        <v>#DIV/0!</v>
      </c>
      <c r="OS181" s="137" t="e">
        <f t="shared" ca="1" si="688"/>
        <v>#DIV/0!</v>
      </c>
      <c r="OT181" s="139" t="e">
        <f t="shared" ca="1" si="689"/>
        <v>#DIV/0!</v>
      </c>
      <c r="OU181" s="138" t="e">
        <f t="shared" ca="1" si="690"/>
        <v>#N/A</v>
      </c>
      <c r="OV181" s="138" t="e">
        <f t="shared" ca="1" si="691"/>
        <v>#DIV/0!</v>
      </c>
      <c r="OW181" s="138" t="e">
        <f t="shared" ca="1" si="666"/>
        <v>#DIV/0!</v>
      </c>
      <c r="OX181" s="138" t="e">
        <f t="shared" ca="1" si="667"/>
        <v>#DIV/0!</v>
      </c>
      <c r="OY181" s="138" t="e">
        <f t="shared" ca="1" si="668"/>
        <v>#DIV/0!</v>
      </c>
      <c r="OZ181" s="138" t="e">
        <f t="shared" ca="1" si="583"/>
        <v>#DIV/0!</v>
      </c>
      <c r="PA181" s="138" t="e">
        <f t="shared" ca="1" si="584"/>
        <v>#DIV/0!</v>
      </c>
      <c r="PB181" s="55">
        <f>IF(Control!$C$61="T", IF(Control!$C$65="F", IF($AH$6-Control!$C$60&lt;0,0,1), IF(365+$AH$6-Control!$C$60&lt;0,0,1)),0)</f>
        <v>0</v>
      </c>
      <c r="PC181" s="55">
        <f ca="1">IF(Control!$C$65="F", IF($AH$6-$HF181&lt;0,0,1), IF(365+$AH$6-$HF181&lt;0,0,1))</f>
        <v>1</v>
      </c>
      <c r="PD181" s="444">
        <f>Control!$C$118</f>
        <v>1500</v>
      </c>
      <c r="PE181" s="180" t="e">
        <f t="shared" ca="1" si="585"/>
        <v>#N/A</v>
      </c>
      <c r="PF181" s="445">
        <f t="shared" ca="1" si="669"/>
        <v>0.71612369323045078</v>
      </c>
      <c r="PT181" s="186"/>
      <c r="PU181" s="186"/>
      <c r="PV181" s="94"/>
      <c r="PW181" s="94"/>
      <c r="PX181" s="94"/>
      <c r="PY181" s="94"/>
      <c r="PZ181" s="94"/>
      <c r="QA181" s="94"/>
      <c r="QB181" s="94"/>
      <c r="QC181" s="94"/>
      <c r="QD181" s="94"/>
      <c r="QE181" s="94"/>
      <c r="QF181" s="94"/>
      <c r="QG181" s="94"/>
      <c r="QH181" s="94"/>
      <c r="QI181" s="94"/>
      <c r="QJ181" s="94"/>
      <c r="QK181" s="94"/>
      <c r="QL181" s="94"/>
      <c r="QM181" s="94"/>
      <c r="QN181" s="94"/>
      <c r="QO181" s="94"/>
      <c r="QP181" s="94"/>
    </row>
    <row r="182" spans="1:458" s="2" customFormat="1" x14ac:dyDescent="0.2">
      <c r="A182" s="395">
        <v>26</v>
      </c>
      <c r="B182" s="396">
        <v>6</v>
      </c>
      <c r="C182" s="387">
        <f ca="1">Weather_data!$B181</f>
        <v>0</v>
      </c>
      <c r="D182" s="388">
        <f ca="1">Weather_data!$F181</f>
        <v>0</v>
      </c>
      <c r="E182" s="388">
        <f ca="1">Weather_data!$E181</f>
        <v>0</v>
      </c>
      <c r="F182" s="388">
        <f t="shared" ca="1" si="586"/>
        <v>0</v>
      </c>
      <c r="G182" s="388">
        <f ca="1">AVERAGE($D182:$E182)+Control!$B$9</f>
        <v>0</v>
      </c>
      <c r="H182" s="388">
        <f ca="1">Weather_data!$G181</f>
        <v>0</v>
      </c>
      <c r="I182" s="388">
        <f ca="1">Weather_data!$I181</f>
        <v>0</v>
      </c>
      <c r="J182" s="388">
        <f ca="1">Weather_data!$H181</f>
        <v>0</v>
      </c>
      <c r="K182" s="389">
        <f ca="1">Weather_data!$D181</f>
        <v>0</v>
      </c>
      <c r="L182" s="388" t="e">
        <f t="shared" ca="1" si="587"/>
        <v>#N/A</v>
      </c>
      <c r="M182" s="388" t="e">
        <f t="shared" ca="1" si="465"/>
        <v>#N/A</v>
      </c>
      <c r="N182" s="388">
        <f t="shared" ca="1" si="466"/>
        <v>-4.4223352806744859E-9</v>
      </c>
      <c r="O182" s="388">
        <f t="shared" ca="1" si="588"/>
        <v>4.4223352806744862E-8</v>
      </c>
      <c r="P182" s="390">
        <v>3</v>
      </c>
      <c r="Q182" s="388">
        <f ca="1">MAX($G182-Control!$C$107,0)</f>
        <v>0</v>
      </c>
      <c r="R182" s="388">
        <f t="shared" ca="1" si="589"/>
        <v>0</v>
      </c>
      <c r="S182" s="388">
        <f t="shared" ca="1" si="467"/>
        <v>0</v>
      </c>
      <c r="T182" s="388">
        <f t="shared" ca="1" si="468"/>
        <v>0</v>
      </c>
      <c r="U182" s="59">
        <f t="shared" ca="1" si="469"/>
        <v>0</v>
      </c>
      <c r="V182" s="391">
        <f ca="1">MAX(0,MIN(Control!$C$100-Control!$C$99,$G182-Control!$C$99)*Control!$C$63)</f>
        <v>0</v>
      </c>
      <c r="W182" s="388">
        <f t="shared" ca="1" si="590"/>
        <v>0</v>
      </c>
      <c r="X182" s="388">
        <f t="shared" ca="1" si="591"/>
        <v>0.6110000000000001</v>
      </c>
      <c r="Y182" s="388">
        <f t="shared" ca="1" si="470"/>
        <v>0</v>
      </c>
      <c r="Z182" s="388">
        <f t="shared" ca="1" si="592"/>
        <v>0.61058800000000002</v>
      </c>
      <c r="AA182" s="388">
        <f t="shared" ca="1" si="471"/>
        <v>0.6018</v>
      </c>
      <c r="AB182" s="388">
        <f ca="1">101.3*EXP(-0.034*Control!$C$66/($G182+273))</f>
        <v>100.69623283836242</v>
      </c>
      <c r="AC182" s="392">
        <f t="shared" ca="1" si="472"/>
        <v>4.3460251046025113E-2</v>
      </c>
      <c r="AD182" s="392">
        <f t="shared" ca="1" si="473"/>
        <v>4.4450382862832649E-2</v>
      </c>
      <c r="AE182" s="388">
        <f t="shared" ca="1" si="474"/>
        <v>0</v>
      </c>
      <c r="AF182" s="388">
        <f ca="1">MAX(0,$G182-Control!$C$92)</f>
        <v>0</v>
      </c>
      <c r="AG182" s="393">
        <f t="shared" ca="1" si="475"/>
        <v>178</v>
      </c>
      <c r="AH182" s="389">
        <f t="shared" ca="1" si="476"/>
        <v>178</v>
      </c>
      <c r="AI182" s="388">
        <f t="shared" ca="1" si="593"/>
        <v>0.4073384509457797</v>
      </c>
      <c r="AJ182" s="388">
        <f ca="1">IF(Control!$C$60&lt;=0,$HH182,$HI182)</f>
        <v>1</v>
      </c>
      <c r="AK182" s="388">
        <f t="shared" ca="1" si="477"/>
        <v>1.6869922194619162</v>
      </c>
      <c r="AL182" s="388">
        <f t="shared" ca="1" si="478"/>
        <v>4.3278054751016977E-18</v>
      </c>
      <c r="AM182" s="388">
        <f t="shared" ca="1" si="479"/>
        <v>1.6869922194619162</v>
      </c>
      <c r="AN182" s="388">
        <f t="shared" ca="1" si="480"/>
        <v>0.40619583656997033</v>
      </c>
      <c r="AO182" s="388">
        <f ca="1">-0.10453/COS(Control!$B$8*PI()/180)*COS(AN182)</f>
        <v>-0.1559695645789656</v>
      </c>
      <c r="AP182" s="388">
        <f ca="1">ACOS(AO182-TAN(Control!$B$8*PI()/180)*TAN(AN182))</f>
        <v>2.3553265145392688</v>
      </c>
      <c r="AQ182" s="388">
        <f t="shared" ca="1" si="594"/>
        <v>0</v>
      </c>
      <c r="AR182" s="394">
        <f t="shared" ca="1" si="481"/>
        <v>0</v>
      </c>
      <c r="AS182" s="436">
        <f ca="1">IF(Control!$B$18=2,(IF(OR($AH182=Control!$B$175,$AH182=Control!$B$176,$AH182=Control!$B$177,$AH182=Control!$B$178,$AH182=Control!$B$179,$AH182=Control!$B$180,$AH182=Control!$B$181,$AH182=Control!$B$182,$AH182=Control!$B$183,$AH182=Control!$B$184,$AH182=Control!$B$185),1,0)),0)</f>
        <v>0</v>
      </c>
      <c r="AT182" s="436">
        <f>IF(Control!$B$20=8,IF(AND($AH182&gt;=Control!$B$172,$AH182&lt;=Control!$B$173),1,0),0)</f>
        <v>0</v>
      </c>
      <c r="AU182" s="436">
        <f>IF(Control!$B$20=8,IF($AV181=1,1*$AT182,IF($AT182=1,$AU181+1,$AU181)),0)</f>
        <v>0</v>
      </c>
      <c r="AV182" s="436">
        <f>IF(Control!$B$20=8,IF($AU182&gt;=Control!$B$174,1,0),0)</f>
        <v>0</v>
      </c>
      <c r="AW182" s="436">
        <f ca="1">IF(AND(Control!$B$18=2,Control!$B$171=1), $AV182, $AS182)</f>
        <v>0</v>
      </c>
      <c r="AX182" s="436" t="e">
        <f ca="1">IF(AND(Control!$B$18=1,$EU182&gt;=Control!$B$19),-$AY182,IF(AND(Control!$B$18=2,$AW182=1,$EU182&gt;$DS182),-$AY182, IF(Control!$C$108=0,0, IF(Control!$C$108&lt;&gt;0,1))))</f>
        <v>#N/A</v>
      </c>
      <c r="AY182" s="436" t="e">
        <f t="shared" ca="1" si="595"/>
        <v>#N/A</v>
      </c>
      <c r="AZ182" s="436" t="e">
        <f ca="1">IF(AND(Control!$B$18=1,$EB182&gt;Control!$B$19),$AZ181+1, IF(AND(Control!$B$18=2, $AW182=1, $EB182&gt;$DS182), $AZ181+1,$AZ181))</f>
        <v>#N/A</v>
      </c>
      <c r="BA182" s="587">
        <f>IF(Control!$C$81=0,1,IF($AH182&gt;=Control!$C$82,1,0))</f>
        <v>1</v>
      </c>
      <c r="BB182" s="140" t="e">
        <f ca="1">IF($BA182&gt;$BA181,Control!$C$83,IF($AW182&gt;0,$AW182*Control!$C$84,IF(AND(Control!$B$18=1,EN181&lt;&gt;0),Control!$C$84,0)))</f>
        <v>#N/A</v>
      </c>
      <c r="BC182" s="140" t="e">
        <f t="shared" ca="1" si="596"/>
        <v>#N/A</v>
      </c>
      <c r="BD182" s="140" t="e">
        <f ca="1">BC182*IF(OR($G182&lt;Control!$C$92,$G182&gt;Control!$C$95),0,IF(AND($G182&gt;=Control!$C$92,$G182&lt;=Control!$C$93),$G182-Control!$C$92,IF(AND($G182&gt;Control!$C$93,$G182&lt;=Control!$C$94),Control!$C$93-Control!$C$92,IF(AND($G182&gt;Control!$C$94,$G182&lt;=Control!$C$95),(Control!$C$93-Control!$C$92)*(Control!$C$94-$G182)/(Control!$C$95-Control!$C$94)))))</f>
        <v>#N/A</v>
      </c>
      <c r="BE182" s="140" t="e">
        <f t="shared" ca="1" si="597"/>
        <v>#N/A</v>
      </c>
      <c r="BF182" s="140" t="e">
        <f ca="1">IF($BE182&lt;=Control!$C$86,$BE182,Control!$C$86-$BE182)</f>
        <v>#N/A</v>
      </c>
      <c r="BG182" s="140" t="e">
        <f ca="1">IF(AND($AW182=1,Control!$C$84&lt;9),1,IF($BE182&gt;=Control!$C$86,0,$BC182))</f>
        <v>#N/A</v>
      </c>
      <c r="BH182" s="404" t="e">
        <f ca="1">IF($BG182=0,0,IF($BE182&lt;=Control!$C$86,$BC182*9*($BF182/Control!$C$86),0))</f>
        <v>#N/A</v>
      </c>
      <c r="BI182" s="140" t="e">
        <f ca="1">IF($BG182=1,0,IF($BE182&gt;=Control!$C$86,1,IF(AND($BB182&lt;21,$BB182&gt;=9),1,$BM181)))</f>
        <v>#N/A</v>
      </c>
      <c r="BJ182" s="140" t="e">
        <f ca="1">IF($BF182&lt;0,-$BF182,$BI182*IF(OR($G182&lt;Control!$C$92,$G182&gt;Control!$C$95),0,IF(AND($G182&gt;=Control!$C$92,$G182&lt;=Control!$C$93),$G182-Control!$C$92,IF(AND($G182&gt;Control!$C$93,$G182&lt;=Control!$C$94),Control!$C$93-Control!$C$92,IF(AND($G182&gt;Control!$C$94,$G182&lt;=Control!$C$95),(Control!$C$93-Control!$C$92)*(Control!$C$94-$G182)/(Control!$C$95-Control!$C$94))))))</f>
        <v>#N/A</v>
      </c>
      <c r="BK182" s="140" t="e">
        <f t="shared" ca="1" si="598"/>
        <v>#N/A</v>
      </c>
      <c r="BL182" s="140" t="e">
        <f ca="1">IF($BK182&lt;=Control!$C$87,$BK182,Control!$C$87-$BK182)</f>
        <v>#N/A</v>
      </c>
      <c r="BM182" s="140" t="e">
        <f ca="1">IF(AND($BB182&gt;=9,$BB182&lt;21),1,IF($BK182&gt;=Control!$C$87,0,$BI182))</f>
        <v>#N/A</v>
      </c>
      <c r="BN182" s="404" t="e">
        <f ca="1">IF($BM182=0,0,IF($BK182&lt;=Control!$C$87,$BI182*(9+(21-9)*($BL182/Control!$C$87)),0))</f>
        <v>#N/A</v>
      </c>
      <c r="BO182" s="140" t="e">
        <f ca="1">IF($BM182=1,0,IF($BK182&gt;=Control!$C$87,1,IF(AND($BB182&lt;30,$BB182&gt;=21),1,$BS181)))</f>
        <v>#N/A</v>
      </c>
      <c r="BP182" s="140" t="e">
        <f ca="1">IF($BL182&lt;0,-$BL182,$BO182*IF(OR($G182&lt;Control!$C$92,$G182&gt;Control!$C$95),0,IF(AND($G182&gt;=Control!$C$92,$G182&lt;=Control!$C$93),$G182-Control!$C$92,IF(AND($G182&gt;Control!$C$93,$G182&lt;=Control!$C$94),Control!$C$93-Control!$C$92,IF(AND($G182&gt;Control!$C$94,$G182&lt;=Control!$C$95),(Control!$C$93-Control!$C$92)*(Control!$C$94-$G182)/(Control!$C$95-Control!$C$94))))))</f>
        <v>#N/A</v>
      </c>
      <c r="BQ182" s="140" t="e">
        <f t="shared" ca="1" si="482"/>
        <v>#N/A</v>
      </c>
      <c r="BR182" s="140" t="e">
        <f ca="1">IF($BQ182&lt;=Control!$C$88,$BQ182,Control!$C$88-$BQ182)</f>
        <v>#N/A</v>
      </c>
      <c r="BS182" s="140" t="e">
        <f ca="1">IF(AND($BB182&gt;=21,$BB182&lt;30),1,IF($BQ182&gt;=Control!$C$88,0,$BO182))</f>
        <v>#N/A</v>
      </c>
      <c r="BT182" s="404" t="e">
        <f ca="1">IF($BS182=0,0,IF($BQ182&lt;=Control!$C$88,$BO182*(21+(30-21)*(BR182/Control!$C$88)),0))</f>
        <v>#N/A</v>
      </c>
      <c r="BU182" s="140" t="e">
        <f ca="1">IF(BG182+BM182+BS182=1,0,IF(OR(AND($BB182&lt;60,$BB182&gt;=30),$BQ182&gt;=Control!$C$88),1*$BA182,$BY181))</f>
        <v>#N/A</v>
      </c>
      <c r="BV182" s="140" t="e">
        <f ca="1">IF($BR182&lt;0,-$BR182,$BU182*IF(OR($G182&lt;Control!$C$92,$G182&gt;Control!$C$95),0,IF(AND($G182&gt;=Control!$C$92,$G182&lt;=Control!$C$93),$G182-Control!$C$92,IF(AND($G182&gt;Control!$C$93,$G182&lt;=Control!$C$94),Control!$C$93-Control!$C$92,IF(AND($G182&gt;Control!$C$94,$G182&lt;=Control!$C$95),(Control!$C$93-Control!$C$92)*(Control!$C$94-$G182)/(Control!$C$95-Control!$C$94))))))</f>
        <v>#N/A</v>
      </c>
      <c r="BW182" s="140" t="e">
        <f t="shared" ca="1" si="483"/>
        <v>#N/A</v>
      </c>
      <c r="BX182" s="140" t="e">
        <f ca="1">IF($BW182&lt;=Control!$C$89,$BW182,Control!$C$89-$BW182)</f>
        <v>#N/A</v>
      </c>
      <c r="BY182" s="140" t="e">
        <f ca="1">IF(AND($AJ182&gt;=30,$AJ182&lt;60),1,IF($BW182&gt;=Control!$C$89,0,$BU182))</f>
        <v>#N/A</v>
      </c>
      <c r="BZ182" s="404" t="e">
        <f ca="1">IF($BY182=0,0,IF($BW182&lt;=Control!$C$89,$BU182*(30+(60-30)*(BX182/Control!$C$89)),0))</f>
        <v>#N/A</v>
      </c>
      <c r="CA182" s="140" t="e">
        <f ca="1">IF($BG182+$BM182+$BS182+$BY182=1,0,IF(OR(AND($BB182&lt;65,$BB182&gt;=60),$BW182&gt;=Control!$C$89),1*$BA182,$CE181))</f>
        <v>#N/A</v>
      </c>
      <c r="CB182" s="140" t="e">
        <f ca="1">IF($BX182&lt;0,-$BX182,$CA182*IF(OR($G182&lt;Control!$C$92,$G182&gt;Control!$C$95),0,IF(AND($G182&gt;=Control!$C$92,$G182&lt;=Control!$C$93),$G182-Control!$C$92,IF(AND($G182&gt;Control!$C$93,$G182&lt;=Control!$C$94),Control!$C$93-Control!$C$92,IF(AND($G182&gt;Control!$C$94,$G182&lt;=Control!$C$95),(Control!$C$93-Control!$C$92)*(Control!$C$94-$G182)/(Control!$C$95-Control!$C$94))))))</f>
        <v>#N/A</v>
      </c>
      <c r="CC182" s="140" t="e">
        <f t="shared" ca="1" si="599"/>
        <v>#N/A</v>
      </c>
      <c r="CD182" s="140" t="e">
        <f ca="1">IF($CC182&lt;=Control!$C$90,$CC182,Control!$C$90-$CC182)</f>
        <v>#N/A</v>
      </c>
      <c r="CE182" s="140" t="e">
        <f ca="1">IF(AND($BB182&gt;=60,$BB182&lt;65),1,IF($CC182&gt;=Control!$C$90,0,$CA182))</f>
        <v>#N/A</v>
      </c>
      <c r="CF182" s="404" t="e">
        <f ca="1">IF($CE182=0,0,IF($CC182&lt;=Control!$C$90,$CA182*(60+(65-60)*(CD182/Control!$C$90)),0))</f>
        <v>#N/A</v>
      </c>
      <c r="CG182" s="140" t="e">
        <f ca="1">IF($BG182+$BM182+$BS182+$BY182+$CE182=1,0,IF(OR(AND($BB182&lt;90,$BB182&gt;=65),$CC182&gt;=Control!$C$90),$BA182,$CK181))</f>
        <v>#N/A</v>
      </c>
      <c r="CH182" s="140" t="e">
        <f ca="1">IF($CD182&lt;0,-$CD182,$CG182*IF(OR($G182&lt;Control!$C$92,$G182&gt;Control!$C$95),0,IF(AND($G182&gt;=Control!$C$92,$G182&lt;=Control!$C$93),$G182-Control!$C$92,IF(AND($G182&gt;Control!$C$93,$G182&lt;=Control!$C$94),Control!$C$93-Control!$C$92,IF(AND($G182&gt;Control!$C$94,$G182&lt;=Control!$C$95),(Control!$C$93-Control!$C$92)*(Control!$C$94-$G182)/(Control!$C$95-Control!$C$94))))))</f>
        <v>#N/A</v>
      </c>
      <c r="CI182" s="140" t="e">
        <f t="shared" ca="1" si="600"/>
        <v>#N/A</v>
      </c>
      <c r="CJ182" s="140" t="e">
        <f ca="1">IF($CI182&lt;=Control!$C$91,$CI182,Control!$C$91-$CI182)</f>
        <v>#N/A</v>
      </c>
      <c r="CK182" s="140" t="e">
        <f ca="1">IF(AND($BB182&gt;=65,$BB182&lt;90),1,IF($CI182&gt;=Control!$C$91,0,$CG182))</f>
        <v>#N/A</v>
      </c>
      <c r="CL182" s="404" t="e">
        <f ca="1">IF($CK182=0,0,IF($CI182&lt;=Control!$C$91,$CG182*(65+(90-65)*($CJ182/Control!$C$91)),0))</f>
        <v>#N/A</v>
      </c>
      <c r="CM182" s="140" t="e">
        <f ca="1">IF($BG182+$BM182+$BS182+$BY182+$CE182+$CK182=1,0,IF(OR($BB182&gt;=90,$CI182&gt;=Control!$C$91),$BA182,$CM181))</f>
        <v>#N/A</v>
      </c>
      <c r="CN182" s="140" t="e">
        <f t="shared" ca="1" si="601"/>
        <v>#N/A</v>
      </c>
      <c r="CO182" s="140" t="e">
        <f t="shared" ca="1" si="602"/>
        <v>#N/A</v>
      </c>
      <c r="CP182" s="140" t="e">
        <f t="shared" ca="1" si="603"/>
        <v>#N/A</v>
      </c>
      <c r="CQ182" s="141" t="e">
        <f ca="1">VLOOKUP($CP182,Control!$B$86:$G$91,6)</f>
        <v>#N/A</v>
      </c>
      <c r="CR182" s="141" t="e">
        <f ca="1">(1-$CQ182)*VLOOKUP($CP182,Control!$B$86:$D$91,3)</f>
        <v>#N/A</v>
      </c>
      <c r="CS182" s="141" t="e">
        <f ca="1">(1-$CQ182)*VLOOKUP($CP182,Control!$B$86:$E$91,4)</f>
        <v>#N/A</v>
      </c>
      <c r="CT182" s="141" t="e">
        <f ca="1">(1-$CQ182)*VLOOKUP($CP182,Control!$B$86:$F$91,5)</f>
        <v>#N/A</v>
      </c>
      <c r="CU182" s="141">
        <f t="shared" ca="1" si="604"/>
        <v>0</v>
      </c>
      <c r="CV182" s="583">
        <f t="shared" ca="1" si="605"/>
        <v>0</v>
      </c>
      <c r="CW182" s="142">
        <f t="shared" ca="1" si="606"/>
        <v>178</v>
      </c>
      <c r="CX182" s="612" t="e">
        <f ca="1">IF(Control!$C$114=1,(MIN(Control!$C$120*(IF($NT182-0.01&lt;0,0,1)),Control!$C$119-$CY182)))</f>
        <v>#DIV/0!</v>
      </c>
      <c r="CY182" s="143" t="e">
        <f t="shared" ca="1" si="607"/>
        <v>#N/A</v>
      </c>
      <c r="CZ182" s="144">
        <f t="shared" ca="1" si="484"/>
        <v>0</v>
      </c>
      <c r="DA182" s="144">
        <f t="shared" ca="1" si="485"/>
        <v>0</v>
      </c>
      <c r="DB182" s="144" t="e">
        <f t="shared" ca="1" si="486"/>
        <v>#N/A</v>
      </c>
      <c r="DC182" s="144" t="e">
        <f t="shared" ca="1" si="487"/>
        <v>#N/A</v>
      </c>
      <c r="DD182" s="144" t="e">
        <f t="shared" ca="1" si="692"/>
        <v>#N/A</v>
      </c>
      <c r="DE182" s="143" t="e">
        <f t="shared" ca="1" si="608"/>
        <v>#N/A</v>
      </c>
      <c r="DF182" s="145" t="e">
        <f ca="1">$DR182*EXP(-Control!$C$158*(1-$KH182))</f>
        <v>#N/A</v>
      </c>
      <c r="DG182" s="146" t="e">
        <f ca="1">IF(Control!$C$114=1, $DF182*$EY182, 0)</f>
        <v>#N/A</v>
      </c>
      <c r="DH182" s="147" t="e">
        <f t="shared" ca="1" si="609"/>
        <v>#N/A</v>
      </c>
      <c r="DI182" s="144" t="e">
        <f t="shared" ca="1" si="670"/>
        <v>#N/A</v>
      </c>
      <c r="DJ182" s="147" t="e">
        <f ca="1">$EF182*Control!$C$109</f>
        <v>#N/A</v>
      </c>
      <c r="DK182" s="144" t="e">
        <f t="shared" ca="1" si="610"/>
        <v>#N/A</v>
      </c>
      <c r="DL182" s="144" t="e">
        <f t="shared" ca="1" si="488"/>
        <v>#N/A</v>
      </c>
      <c r="DM182" s="144" t="e">
        <f ca="1">IF(Control!$C$114=1, (1-EXP(-Control!$C$96*$DK182))*$AR182, 0)</f>
        <v>#N/A</v>
      </c>
      <c r="DN182" s="144">
        <f t="shared" ca="1" si="611"/>
        <v>0</v>
      </c>
      <c r="DO182" s="148">
        <f>Control!$C$97</f>
        <v>4</v>
      </c>
      <c r="DP182" s="145" t="e">
        <f t="shared" ca="1" si="612"/>
        <v>#N/A</v>
      </c>
      <c r="DQ182" s="145" t="e">
        <f ca="1">IF(AND($CP182&gt;=0,$CP182&lt;=90),Control!$C$111,Control!$C$111)</f>
        <v>#N/A</v>
      </c>
      <c r="DR182" s="145" t="e">
        <f t="shared" ca="1" si="489"/>
        <v>#N/A</v>
      </c>
      <c r="DS182" s="143" t="e">
        <f ca="1">Control!$B$22/$DR182</f>
        <v>#N/A</v>
      </c>
      <c r="DT182" s="149" t="e">
        <f ca="1">IF(AND(Control!$C$114=1,$KH182&lt;1),$IM182*$DF182, 0)</f>
        <v>#N/A</v>
      </c>
      <c r="DU182" s="144" t="e">
        <f t="shared" ca="1" si="613"/>
        <v>#N/A</v>
      </c>
      <c r="DV182" s="144">
        <f ca="1">IF($G182-Control!$C$107&lt;=0, 0, 0.83*LN(MAX($G182, 3))-0.8924)</f>
        <v>0</v>
      </c>
      <c r="DW182" s="144" t="e">
        <f t="shared" ca="1" si="490"/>
        <v>#N/A</v>
      </c>
      <c r="DX182" s="150" t="e">
        <f ca="1">MAX(0.01*(1+$CU182/Control!$C$102),0.05*($DK182-Control!$C$97)/Control!$C$97)</f>
        <v>#N/A</v>
      </c>
      <c r="DY182" s="151" t="e">
        <f ca="1">IF(Control!$C$114=1, $DI182*$FS182, 0)</f>
        <v>#N/A</v>
      </c>
      <c r="DZ182" s="196" t="e">
        <f t="shared" ca="1" si="614"/>
        <v>#N/A</v>
      </c>
      <c r="EA182" s="152">
        <f t="shared" ca="1" si="615"/>
        <v>178</v>
      </c>
      <c r="EB182" s="153" t="e">
        <f t="shared" ca="1" si="616"/>
        <v>#N/A</v>
      </c>
      <c r="EC182" s="153" t="e">
        <f t="shared" ca="1" si="617"/>
        <v>#N/A</v>
      </c>
      <c r="ED182" s="154" t="e">
        <f ca="1">IF(Control!$C$114=1, $HM182*$FY182-$FD182, 0)</f>
        <v>#DIV/0!</v>
      </c>
      <c r="EE182" s="155" t="e">
        <f ca="1">IF(Control!$C$114=1, $HM182*$FZ182-$FF182, 0)</f>
        <v>#DIV/0!</v>
      </c>
      <c r="EF182" s="153" t="e">
        <f t="shared" ca="1" si="671"/>
        <v>#N/A</v>
      </c>
      <c r="EG182" s="155" t="e">
        <f ca="1">IF(Control!$C$114=1, $GX182*$FW182-$FI182, 0)</f>
        <v>#DIV/0!</v>
      </c>
      <c r="EH182" s="153" t="e">
        <f t="shared" ca="1" si="618"/>
        <v>#N/A</v>
      </c>
      <c r="EI182" s="156" t="e">
        <f t="shared" ca="1" si="619"/>
        <v>#N/A</v>
      </c>
      <c r="EJ182" s="155" t="e">
        <f ca="1">IF(Control!$C$114=1, $HM182*$GB182, 0)</f>
        <v>#DIV/0!</v>
      </c>
      <c r="EK182" s="153" t="e">
        <f t="shared" ca="1" si="672"/>
        <v>#N/A</v>
      </c>
      <c r="EL182" s="153" t="e">
        <f t="shared" ca="1" si="491"/>
        <v>#N/A</v>
      </c>
      <c r="EM182" s="153" t="e">
        <f t="shared" ca="1" si="492"/>
        <v>#N/A</v>
      </c>
      <c r="EN182" s="153" t="e">
        <f ca="1">IF(Control!$C$108=1,IF(AND(Control!$B$18=1,$EB182&gt;=Control!$B$19),$EB182-$DS182,IF(AND(Control!$B$18=2,$AW182=1,$EB182&gt;$DS182),$EB182-$DS182,0)))</f>
        <v>#N/A</v>
      </c>
      <c r="EO182" s="153" t="e">
        <f ca="1">IF(Control!$C$108=1,IF(AND(Control!$B$18=1,$EB182&gt;=Control!$B$19),$EF182,IF(AND(Control!$B$18=2,$AW182=1),$EF182,0)))</f>
        <v>#N/A</v>
      </c>
      <c r="EP182" s="153" t="e">
        <f ca="1">IF(Control!$C$108=1,IF(AND(Control!$B$18=1,$EB182&gt;=Control!$B$19),$EK182,IF(AND(Control!$B$18=2,$AW182=1),$EK182,0)))</f>
        <v>#N/A</v>
      </c>
      <c r="EQ182" s="153" t="e">
        <f t="shared" ca="1" si="620"/>
        <v>#N/A</v>
      </c>
      <c r="ER182" s="153" t="e">
        <f t="shared" ca="1" si="621"/>
        <v>#N/A</v>
      </c>
      <c r="ES182" s="153" t="e">
        <f t="shared" ca="1" si="673"/>
        <v>#N/A</v>
      </c>
      <c r="ET182" s="153" t="e">
        <f t="shared" ca="1" si="674"/>
        <v>#N/A</v>
      </c>
      <c r="EU182" s="153" t="e">
        <f t="shared" ca="1" si="622"/>
        <v>#N/A</v>
      </c>
      <c r="EV182" s="153" t="e">
        <f t="shared" ca="1" si="493"/>
        <v>#N/A</v>
      </c>
      <c r="EW182" s="153" t="e">
        <f ca="1">$ER182+MAX(0,$EM182)</f>
        <v>#N/A</v>
      </c>
      <c r="EX182" s="153" t="e">
        <f t="shared" ca="1" si="495"/>
        <v>#N/A</v>
      </c>
      <c r="EY182" s="157" t="e">
        <f t="shared" ca="1" si="496"/>
        <v>#DIV/0!</v>
      </c>
      <c r="EZ182" s="154" t="e">
        <f t="shared" ca="1" si="497"/>
        <v>#DIV/0!</v>
      </c>
      <c r="FA182" s="153" t="e">
        <f t="shared" ca="1" si="623"/>
        <v>#N/A</v>
      </c>
      <c r="FB182" s="153" t="e">
        <f t="shared" ca="1" si="498"/>
        <v>#N/A</v>
      </c>
      <c r="FC182" s="193" t="e">
        <f t="shared" ca="1" si="499"/>
        <v>#N/A</v>
      </c>
      <c r="FD182" s="158" t="e">
        <f t="shared" ca="1" si="624"/>
        <v>#N/A</v>
      </c>
      <c r="FE182" s="158" t="e">
        <f t="shared" ca="1" si="625"/>
        <v>#N/A</v>
      </c>
      <c r="FF182" s="159" t="e">
        <f t="shared" ca="1" si="500"/>
        <v>#N/A</v>
      </c>
      <c r="FG182" s="160" t="e">
        <f t="shared" ca="1" si="626"/>
        <v>#N/A</v>
      </c>
      <c r="FH182" s="158" t="e">
        <f t="shared" ca="1" si="627"/>
        <v>#N/A</v>
      </c>
      <c r="FI182" s="159" t="e">
        <f t="shared" ca="1" si="501"/>
        <v>#N/A</v>
      </c>
      <c r="FJ182" s="160" t="e">
        <f t="shared" ca="1" si="628"/>
        <v>#N/A</v>
      </c>
      <c r="FK182" s="160" t="e">
        <f t="shared" ca="1" si="502"/>
        <v>#N/A</v>
      </c>
      <c r="FL182" s="160" t="e">
        <f t="shared" ca="1" si="675"/>
        <v>#N/A</v>
      </c>
      <c r="FM182" s="160" t="e">
        <f t="shared" ca="1" si="503"/>
        <v>#N/A</v>
      </c>
      <c r="FN182" s="158">
        <f t="shared" ca="1" si="629"/>
        <v>0.01</v>
      </c>
      <c r="FO182" s="160">
        <f>Control!$C$101</f>
        <v>50</v>
      </c>
      <c r="FP182" s="150" t="e">
        <f t="shared" ca="1" si="504"/>
        <v>#N/A</v>
      </c>
      <c r="FQ182" s="150" t="e">
        <f ca="1">MAX(0,(Control!$C$112*(($DK182-Control!$C$97)/Control!$C$97)))</f>
        <v>#N/A</v>
      </c>
      <c r="FR182" s="150" t="e">
        <f ca="1">(1-$NT182)*Control!$C$113</f>
        <v>#DIV/0!</v>
      </c>
      <c r="FS182" s="198" t="e">
        <f t="shared" ca="1" si="505"/>
        <v>#N/A</v>
      </c>
      <c r="FT182" s="161">
        <f t="shared" ca="1" si="630"/>
        <v>178</v>
      </c>
      <c r="FU182" s="162" t="e">
        <f ca="1">IF(Control!$B$34=1,VLOOKUP($CP182,Control!$B$86:$G$91,6),Control!$B$35)</f>
        <v>#N/A</v>
      </c>
      <c r="FV182" s="162" t="e">
        <f t="shared" ca="1" si="506"/>
        <v>#DIV/0!</v>
      </c>
      <c r="FW182" s="162" t="e">
        <f ca="1">IF(Control!$B$31=1,$FU182*$FV182,  $FU182)</f>
        <v>#N/A</v>
      </c>
      <c r="FX182" s="162" t="e">
        <f ca="1">IF(Control!$B$34=1,VLOOKUP($CP182,Control!$B$86:$G$91,3),Control!$B$36)</f>
        <v>#N/A</v>
      </c>
      <c r="FY182" s="162" t="e">
        <f t="shared" ca="1" si="507"/>
        <v>#N/A</v>
      </c>
      <c r="FZ182" s="162" t="e">
        <f ca="1">IF(Control!$B$34=1,VLOOKUP($CP182,Control!$B$86:$G$91,4),Control!$B$37)</f>
        <v>#N/A</v>
      </c>
      <c r="GA182" s="162" t="e">
        <f t="shared" ca="1" si="508"/>
        <v>#N/A</v>
      </c>
      <c r="GB182" s="162" t="e">
        <f ca="1">IF(Control!$B$34=1,VLOOKUP($CP182,Control!$B$86:$G$91,5),Control!$B$38)</f>
        <v>#N/A</v>
      </c>
      <c r="GC182" s="162" t="e">
        <f t="shared" ca="1" si="631"/>
        <v>#N/A</v>
      </c>
      <c r="GD182" s="162">
        <f t="shared" ca="1" si="509"/>
        <v>1</v>
      </c>
      <c r="GE182" s="162">
        <f t="shared" ca="1" si="510"/>
        <v>1</v>
      </c>
      <c r="GF182" s="162">
        <f ca="1">IF(AND(Control!$C$104=1, Control!$C$62="F"),$GE182,1)</f>
        <v>1</v>
      </c>
      <c r="GG182" s="162" t="e">
        <f ca="1">IF(Control!$B$16=40,0,IF(AND(Control!$B$16&gt;40,Control!$B$16&lt;=360),(Control!$B$16-40)*((1-0)/(360-40)),IF(AND(Control!$B$16&gt;360,Control!$B$16&lt;=720),(1+(Control!$B$16-360)*((1.25-1)/(720-360))),IF(AND(Control!$B$16&gt;720,Control!$B$16&lt;=1000),(1.25+(Control!$B$16-720)*((1.35-1.25)/(1000-720))),IF(AND(Control!$B$16&gt;1000,Control!$B$16&lt;=2000),(1.35+(Control!$B$16-1000)*0))))))</f>
        <v>#N/A</v>
      </c>
      <c r="GH182" s="162" t="e">
        <f t="shared" ca="1" si="511"/>
        <v>#N/A</v>
      </c>
      <c r="GI182" s="162">
        <f t="shared" ca="1" si="632"/>
        <v>0</v>
      </c>
      <c r="GJ182" s="162">
        <f t="shared" ca="1" si="512"/>
        <v>0</v>
      </c>
      <c r="GK182" s="162">
        <f t="shared" ca="1" si="633"/>
        <v>1</v>
      </c>
      <c r="GL182" s="162">
        <f t="shared" ca="1" si="513"/>
        <v>1</v>
      </c>
      <c r="GM182" s="162" t="e">
        <f ca="1">MAX(0,MIN(1,1-Control!$C$156*(1.0001-$KH182)^2))</f>
        <v>#N/A</v>
      </c>
      <c r="GN182" s="162" t="e">
        <f ca="1">IF(Control!$B$26=1,$KU182,$KX182)</f>
        <v>#N/A</v>
      </c>
      <c r="GO182" s="162" t="e">
        <f ca="1">IF($CP182&lt;=60,Control!$C$105,IF($CP182&gt;=90,Control!$C$106,Control!$C$105+($CP182-60)*((Control!$C$106-Control!$C$105)/(90-60))))</f>
        <v>#N/A</v>
      </c>
      <c r="GP182" s="162" t="e">
        <f t="shared" ca="1" si="514"/>
        <v>#N/A</v>
      </c>
      <c r="GQ182" s="162" t="e">
        <f t="shared" ca="1" si="634"/>
        <v>#N/A</v>
      </c>
      <c r="GR182" s="163" t="e">
        <f t="shared" ca="1" si="515"/>
        <v>#DIV/0!</v>
      </c>
      <c r="GS182" s="162" t="e">
        <f t="shared" ca="1" si="516"/>
        <v>#DIV/0!</v>
      </c>
      <c r="GT182" s="164" t="e">
        <f t="shared" ca="1" si="635"/>
        <v>#N/A</v>
      </c>
      <c r="GU182" s="162" t="e">
        <f t="shared" ca="1" si="636"/>
        <v>#N/A</v>
      </c>
      <c r="GV182" s="162" t="e">
        <f t="shared" ca="1" si="517"/>
        <v>#N/A</v>
      </c>
      <c r="GW182" s="162" t="e">
        <f t="shared" ca="1" si="518"/>
        <v>#DIV/0!</v>
      </c>
      <c r="GX182" s="162" t="e">
        <f t="shared" ca="1" si="637"/>
        <v>#DIV/0!</v>
      </c>
      <c r="GY182" s="162" t="e">
        <f t="shared" ca="1" si="638"/>
        <v>#DIV/0!</v>
      </c>
      <c r="GZ182" s="165" t="e">
        <f t="shared" ca="1" si="519"/>
        <v>#N/A</v>
      </c>
      <c r="HA182" s="162" t="e">
        <f ca="1">IF(Control!$C$114=1, $DI182*$FS182, 0)</f>
        <v>#N/A</v>
      </c>
      <c r="HB182" s="162" t="e">
        <f ca="1">$FA182/Control!$C$64</f>
        <v>#N/A</v>
      </c>
      <c r="HC182" s="162" t="e">
        <f t="shared" ca="1" si="520"/>
        <v>#DIV/0!</v>
      </c>
      <c r="HD182" s="162">
        <f ca="1">-ASIN(SIN(23.45*Control!$C$139)*COS(2*Control!$C$138*($AH182+10)/365))</f>
        <v>0.4073384509457797</v>
      </c>
      <c r="HE182" s="165">
        <f t="shared" ca="1" si="639"/>
        <v>0</v>
      </c>
      <c r="HF182" s="166">
        <f ca="1">IF(AND(Control!$C$61="T",$HE182&gt;=Control!$C$103,Control!$C$114=0),$AH182,Control!$C$59)</f>
        <v>1</v>
      </c>
      <c r="HG182" s="166">
        <f ca="1">IF(AND(Control!$C$61="T",$HE182&gt;=Control!$C$103,Control!$C$114=0),$HF182,Control!$C$59)</f>
        <v>1</v>
      </c>
      <c r="HH182" s="165">
        <f ca="1">IF(AND(OR(Control!$C$60&lt;=0, $AH182= Control!$C$59, Control!$C$60 &gt;0, $AH182 = Control!$C$60)), Control!$C$59, IF(Control!$C$60&gt;0, 0))</f>
        <v>1</v>
      </c>
      <c r="HI182" s="165">
        <f ca="1">IF(AND(OR(Control!$C$60&lt;=0, $AH182= Control!$C$59, Control!$C$60 &gt;0, $AH182 = Control!$C$60)), Control!$C$60, IF(Control!$C$60&lt;=0, 0))</f>
        <v>0</v>
      </c>
      <c r="HJ182" s="166">
        <f ca="1">IF(AND(Control!$C$62="F",$CV182&gt;=Control!$C$102),$AH182,0)</f>
        <v>0</v>
      </c>
      <c r="HK182" s="165" t="e">
        <f t="shared" ca="1" si="676"/>
        <v>#N/A</v>
      </c>
      <c r="HL182" s="166">
        <f ca="1">IF(AND(Control!$C$61="T",$HE182&gt;=Control!$C$103,Control!$C$114=0),$HF182,0)</f>
        <v>0</v>
      </c>
      <c r="HM182" s="201" t="e">
        <f t="shared" ca="1" si="521"/>
        <v>#DIV/0!</v>
      </c>
      <c r="HN182" s="215">
        <f t="shared" ca="1" si="640"/>
        <v>178</v>
      </c>
      <c r="HO182" s="216" t="e">
        <f ca="1">IF(AND($CP182&gt;=0, $CP182&lt;=90), Control!$C$152, Control!$C$152)</f>
        <v>#N/A</v>
      </c>
      <c r="HP182" s="216" t="e">
        <f t="shared" ca="1" si="522"/>
        <v>#N/A</v>
      </c>
      <c r="HQ182" s="217" t="e">
        <f ca="1">IF(OR(Control!$B$26=1,Control!$B$26=2),$KV182,$KS182)</f>
        <v>#DIV/0!</v>
      </c>
      <c r="HR182" s="218" t="e">
        <f t="shared" ca="1" si="677"/>
        <v>#DIV/0!</v>
      </c>
      <c r="HS182" s="216" t="e">
        <f ca="1">Control!$C$154*$HP182</f>
        <v>#N/A</v>
      </c>
      <c r="HT182" s="216" t="e">
        <f ca="1">Control!$C$155*$HP182</f>
        <v>#N/A</v>
      </c>
      <c r="HU182" s="217" t="e">
        <f ca="1">Control!$C$161*$FI182</f>
        <v>#N/A</v>
      </c>
      <c r="HV182" s="218" t="e">
        <f t="shared" ca="1" si="641"/>
        <v>#N/A</v>
      </c>
      <c r="HW182" s="218" t="e">
        <f ca="1">Control!$C$160*$FF182+$IP182*$EO182</f>
        <v>#N/A</v>
      </c>
      <c r="HX182" s="218" t="e">
        <f t="shared" ca="1" si="678"/>
        <v>#N/A</v>
      </c>
      <c r="HY182" s="219" t="e">
        <f ca="1">IF(Control!$C$114=1, $EB182*$FS182, 0)</f>
        <v>#N/A</v>
      </c>
      <c r="HZ182" s="91" t="e">
        <f t="shared" ca="1" si="523"/>
        <v>#N/A</v>
      </c>
      <c r="IA182" s="220" t="e">
        <f ca="1">Control!$C$153*$HO182</f>
        <v>#N/A</v>
      </c>
      <c r="IB182" s="218" t="e">
        <f t="shared" ca="1" si="524"/>
        <v>#N/A</v>
      </c>
      <c r="IC182" s="220" t="e">
        <f ca="1">Control!$C$153*$HT182</f>
        <v>#N/A</v>
      </c>
      <c r="ID182" s="218" t="e">
        <f t="shared" ca="1" si="525"/>
        <v>#N/A</v>
      </c>
      <c r="IE182" s="221" t="e">
        <f ca="1">($EB182*Control!$C$159+$EF182*Control!$C$160)/(IF($GZ182&lt;&gt;0,$GZ182,1))</f>
        <v>#N/A</v>
      </c>
      <c r="IF182" s="216" t="e">
        <f t="shared" ca="1" si="526"/>
        <v>#N/A</v>
      </c>
      <c r="IG182" s="91">
        <f ca="1">IF(OR(Control!$B$198=$AH182,Control!$B$199=$AH182, Control!$B$200=$AH182, Control!$B$201=$AH182, Control!$B$202=$AH182, Control!$B$203=$AH182, Control!$B$204=$AH182, Control!$B$205=$AH182, Control!$B$206=$AH182, Control!$B$207=$AH182), 1, 0)</f>
        <v>0</v>
      </c>
      <c r="IH182" s="91">
        <f ca="1">IF($IG182=0,0, VLOOKUP($AH182,Control!$B$198:$C$207,2))</f>
        <v>0</v>
      </c>
      <c r="II182" s="222">
        <f t="shared" ca="1" si="642"/>
        <v>0</v>
      </c>
      <c r="IJ182" s="91">
        <f>Control!$C$121</f>
        <v>0.7</v>
      </c>
      <c r="IK182" s="218">
        <f t="shared" ca="1" si="527"/>
        <v>0</v>
      </c>
      <c r="IL182" s="217" t="e">
        <f t="shared" ca="1" si="679"/>
        <v>#N/A</v>
      </c>
      <c r="IM182" s="223" t="e">
        <f ca="1">IF(AND(Control!$C$114=1,$KH182&lt;1),$EB182*Control!$C$148*(1-$KH182), 0)</f>
        <v>#N/A</v>
      </c>
      <c r="IN182" s="217" t="e">
        <f t="shared" ca="1" si="528"/>
        <v>#DIV/0!</v>
      </c>
      <c r="IO182" s="91" t="e">
        <f ca="1">MAX(0,$IL182-$EF182*Control!$C$160)</f>
        <v>#N/A</v>
      </c>
      <c r="IP182" s="220" t="e">
        <f t="shared" ca="1" si="529"/>
        <v>#N/A</v>
      </c>
      <c r="IQ182" s="217" t="e">
        <f t="shared" ca="1" si="643"/>
        <v>#N/A</v>
      </c>
      <c r="IR182" s="218" t="e">
        <f t="shared" ca="1" si="530"/>
        <v>#N/A</v>
      </c>
      <c r="IS182" s="217" t="e">
        <f ca="1">Control!$C$159*MAX(0,$FD182-$EN182)</f>
        <v>#N/A</v>
      </c>
      <c r="IT182" s="217" t="e">
        <f t="shared" ca="1" si="680"/>
        <v>#N/A</v>
      </c>
      <c r="IU182" s="217" t="e">
        <f t="shared" ca="1" si="644"/>
        <v>#N/A</v>
      </c>
      <c r="IV182" s="217" t="e">
        <f t="shared" ca="1" si="681"/>
        <v>#N/A</v>
      </c>
      <c r="IW182" s="217" t="e">
        <f ca="1">IF(OR($AW182=1,AND($AW182=0, Control!$B$18=1,$EN182&lt;&gt;0)), $IQ182-$IU182, $IQ182)</f>
        <v>#N/A</v>
      </c>
      <c r="IX182" s="218" t="e">
        <f t="shared" ca="1" si="531"/>
        <v>#N/A</v>
      </c>
      <c r="IY182" s="218" t="e">
        <f ca="1">MAX(0,$IQ182-$EB182*Control!$C$159)</f>
        <v>#N/A</v>
      </c>
      <c r="IZ182" s="218" t="e">
        <f t="shared" ca="1" si="532"/>
        <v>#N/A</v>
      </c>
      <c r="JA182" s="216" t="e">
        <f t="shared" ca="1" si="533"/>
        <v>#N/A</v>
      </c>
      <c r="JB182" s="217" t="e">
        <f t="shared" ca="1" si="534"/>
        <v>#N/A</v>
      </c>
      <c r="JC182" s="222" t="e">
        <f ca="1">MAX(Control!$C$157*$EK182-$JT182, 0)/Control!$C$162</f>
        <v>#N/A</v>
      </c>
      <c r="JD182" s="218" t="e">
        <f t="shared" ca="1" si="535"/>
        <v>#N/A</v>
      </c>
      <c r="JE182" s="218" t="e">
        <f t="shared" ca="1" si="536"/>
        <v>#N/A</v>
      </c>
      <c r="JF182" s="218" t="e">
        <f t="shared" ca="1" si="645"/>
        <v>#N/A</v>
      </c>
      <c r="JG182" s="218" t="e">
        <f t="shared" ca="1" si="537"/>
        <v>#N/A</v>
      </c>
      <c r="JH182" s="217" t="e">
        <f t="shared" ca="1" si="646"/>
        <v>#N/A</v>
      </c>
      <c r="JI182" s="217" t="e">
        <f t="shared" ca="1" si="647"/>
        <v>#N/A</v>
      </c>
      <c r="JJ182" s="217" t="e">
        <f t="shared" ca="1" si="682"/>
        <v>#N/A</v>
      </c>
      <c r="JK182" s="217" t="e">
        <f ca="1">IF(Control!$C$114=1,IF(Control!$B$24=0,MAX(0,$JI182)*$GN182/Control!$C$64,(MAX(0,MIN($JI182,$JJ182*$GN182/Control!$C$64),0))))</f>
        <v>#N/A</v>
      </c>
      <c r="JL182" s="217" t="e">
        <f ca="1">$IK182/Control!$C$64-$JK182+$HQ182</f>
        <v>#N/A</v>
      </c>
      <c r="JM182" s="217" t="e">
        <f ca="1">IF(Control!$C$114=1,($JB182/(IF($JI182&lt;&gt;0,$JI182,1)))*$JK182,0)</f>
        <v>#N/A</v>
      </c>
      <c r="JN182" s="217" t="e">
        <f ca="1">IF(Control!$C$114=1,($JG182/(IF($JI182&lt;&gt;0,$JI182,1)))*$JK182, 0)</f>
        <v>#N/A</v>
      </c>
      <c r="JO182" s="218" t="e">
        <f t="shared" ca="1" si="538"/>
        <v>#N/A</v>
      </c>
      <c r="JP182" s="218" t="e">
        <f ca="1">MIN(($IY182+$IO182)*Control!$C$151, $JF182-$EH182*Control!$C$161)</f>
        <v>#N/A</v>
      </c>
      <c r="JQ182" s="218" t="e">
        <f t="shared" ca="1" si="539"/>
        <v>#N/A</v>
      </c>
      <c r="JR182" s="217" t="e">
        <f ca="1">IF($CP182-Control!$C$150&lt;0, 0, $JQ182/Control!$C$162)</f>
        <v>#N/A</v>
      </c>
      <c r="JS182" s="218" t="e">
        <f t="shared" ca="1" si="540"/>
        <v>#N/A</v>
      </c>
      <c r="JT182" s="218" t="e">
        <f t="shared" ca="1" si="648"/>
        <v>#N/A</v>
      </c>
      <c r="JU182" s="218" t="e">
        <f t="shared" ca="1" si="541"/>
        <v>#N/A</v>
      </c>
      <c r="JV182" s="218" t="e">
        <f t="shared" ca="1" si="542"/>
        <v>#N/A</v>
      </c>
      <c r="JW182" s="216" t="e">
        <f t="shared" ca="1" si="543"/>
        <v>#N/A</v>
      </c>
      <c r="JX182" s="91" t="e">
        <f t="shared" ca="1" si="544"/>
        <v>#N/A</v>
      </c>
      <c r="JY182" s="218" t="e">
        <f t="shared" ca="1" si="545"/>
        <v>#N/A</v>
      </c>
      <c r="JZ182" s="217" t="e">
        <f ca="1">IF(Control!$C$114=1,($IZ182/(IF($JI182&lt;&gt;0,$JI182,1)))*$JK182, 0)</f>
        <v>#N/A</v>
      </c>
      <c r="KA182" s="218" t="e">
        <f t="shared" ca="1" si="683"/>
        <v>#N/A</v>
      </c>
      <c r="KB182" s="218" t="e">
        <f t="shared" ca="1" si="649"/>
        <v>#N/A</v>
      </c>
      <c r="KC182" s="218" t="e">
        <f t="shared" ca="1" si="546"/>
        <v>#N/A</v>
      </c>
      <c r="KD182" s="218" t="e">
        <f t="shared" ca="1" si="547"/>
        <v>#N/A</v>
      </c>
      <c r="KE182" s="218" t="e">
        <f t="shared" ca="1" si="548"/>
        <v>#N/A</v>
      </c>
      <c r="KF182" s="218" t="e">
        <f t="shared" ca="1" si="549"/>
        <v>#N/A</v>
      </c>
      <c r="KG182" s="216" t="e">
        <f t="shared" ca="1" si="550"/>
        <v>#N/A</v>
      </c>
      <c r="KH182" s="221" t="e">
        <f ca="1">IF(Control!$B$24=0,1,MAX(0.001,MIN(1,IF(($IF182-$IE182)&lt;&gt;0,($KG182-$IE182)/($IF182-$IE182),1))))</f>
        <v>#N/A</v>
      </c>
      <c r="KI182" s="222" t="e">
        <f ca="1">IF(Control!$C$114=1, $KI181+ $KH181, 0)</f>
        <v>#N/A</v>
      </c>
      <c r="KJ182" s="217" t="e">
        <f t="shared" ca="1" si="551"/>
        <v>#N/A</v>
      </c>
      <c r="KK182" s="218" t="e">
        <f t="shared" ca="1" si="552"/>
        <v>#N/A</v>
      </c>
      <c r="KL182" s="274" t="e">
        <f ca="1">IF(Control!$B$26=3,4000000000*EXP(-8400/($G182+273)),IF(Control!$B$26=4,4000000000*EXP(-8400/($G182+273))*($KT182),0))</f>
        <v>#DIV/0!</v>
      </c>
      <c r="KM182" s="274" t="e">
        <f ca="1">IF(Control!$B$26=3,5600000000000*EXP(-9800/($G182+273)),IF(Control!$B$26=4,5600000000000*EXP(-9800/($G182+273))*$KT182,0))</f>
        <v>#DIV/0!</v>
      </c>
      <c r="KN182" s="454" t="e">
        <f t="shared" ca="1" si="650"/>
        <v>#DIV/0!</v>
      </c>
      <c r="KO182" s="274" t="e">
        <f t="shared" ca="1" si="651"/>
        <v>#DIV/0!</v>
      </c>
      <c r="KP182" s="454" t="e">
        <f t="shared" ca="1" si="553"/>
        <v>#DIV/0!</v>
      </c>
      <c r="KQ182" s="454" t="e">
        <f t="shared" ca="1" si="554"/>
        <v>#DIV/0!</v>
      </c>
      <c r="KR182" s="454" t="e">
        <f t="shared" ca="1" si="555"/>
        <v>#DIV/0!</v>
      </c>
      <c r="KS182" s="454" t="e">
        <f t="shared" ca="1" si="556"/>
        <v>#DIV/0!</v>
      </c>
      <c r="KT182" s="455" t="e">
        <f t="shared" ca="1" si="557"/>
        <v>#DIV/0!</v>
      </c>
      <c r="KU182" s="456" t="e">
        <f ca="1">IF($CP182-Control!$C$149&lt;0, IF($NT182-0.01&lt;0,0,1),0)</f>
        <v>#N/A</v>
      </c>
      <c r="KV182" s="456" t="e">
        <f ca="1">IF(Control!$C$114=1,MAX(0,MIN(Control!$C$125*$KW182*$GN182,$KW182)))</f>
        <v>#DIV/0!</v>
      </c>
      <c r="KW182" s="456" t="e">
        <f t="shared" ca="1" si="684"/>
        <v>#DIV/0!</v>
      </c>
      <c r="KX182" s="457" t="e">
        <f ca="1">IF($CP182-Control!$C$149&lt;0, IF($MR182-$OM182&lt;0,0,1),0)</f>
        <v>#N/A</v>
      </c>
      <c r="KY182" s="167">
        <f t="shared" ca="1" si="652"/>
        <v>178</v>
      </c>
      <c r="KZ182" s="168">
        <f ca="1">1370*(1+0.033*COS(2*Control!$C$138*$AH182/365))</f>
        <v>1324.9255520401418</v>
      </c>
      <c r="LA182" s="169">
        <f t="shared" ca="1" si="653"/>
        <v>0.96709896139247453</v>
      </c>
      <c r="LB182" s="169">
        <f t="shared" ca="1" si="654"/>
        <v>0.40681837620262351</v>
      </c>
      <c r="LC182" s="169">
        <f ca="1">ACOS(-TAN((2*Control!$B$8/360))*TAN(Calculations!$LB182))</f>
        <v>1.6991999678262908</v>
      </c>
      <c r="LD182" s="169">
        <f ca="1">((24*60)/PI())*0.082*$LA182*(($LC182*SIN(Control!$B$8*2*PI()/360))*SIN($LB182)+COS(Control!$B$8*2*PI()/360)*COS($LB182)*SIN($LC182))</f>
        <v>39.642030382114719</v>
      </c>
      <c r="LE182" s="170">
        <f t="shared" ca="1" si="558"/>
        <v>41.355266087575778</v>
      </c>
      <c r="LF182" s="170">
        <f ca="1">SIN(Control!$C$139*Control!$B$8)*SIN($HD182)</f>
        <v>0.31218433994991696</v>
      </c>
      <c r="LG182" s="170">
        <f ca="1">COS(Control!$C$139*Control!$B$8)*COS($HD182)</f>
        <v>0.5652855891183306</v>
      </c>
      <c r="LH182" s="170">
        <f ca="1">12*(1+2*ASIN(MAX(-1,MIN(1,$LF182/$LG182))/Control!$C$138))</f>
        <v>16.240978677600587</v>
      </c>
      <c r="LI182" s="170">
        <f ca="1">12*(1+2*ASIN(MAX(-1,MIN(1,(-SIN(-4*Control!$C$139)+$LF182)/$LG182))/Control!$C$138))</f>
        <v>17.202295154456124</v>
      </c>
      <c r="LJ182" s="168">
        <f ca="1">3600*($LH182*$LF182+24*$LG182*SQRT(1-$LK182*$LK182)/Control!$C$138)</f>
        <v>31213.27536018629</v>
      </c>
      <c r="LK182" s="170">
        <f t="shared" ca="1" si="559"/>
        <v>0.55225950556572168</v>
      </c>
      <c r="LL182" s="170">
        <f t="shared" ca="1" si="560"/>
        <v>0</v>
      </c>
      <c r="LM182" s="171">
        <f ca="1">Control!$C$145*$AB182</f>
        <v>6.6660906138995932E-2</v>
      </c>
      <c r="LN182" s="170">
        <f t="shared" ca="1" si="655"/>
        <v>0.54</v>
      </c>
      <c r="LO182" s="170">
        <f t="shared" ca="1" si="561"/>
        <v>0</v>
      </c>
      <c r="LP182" s="170">
        <f ca="1">Control!$C$140*((($D182+273.16)^4+($E182+273.16)^4)/2)*(0.34-0.14*SQRT($Y182))*(1.35*$AQ182/(0.75*$LD182)-0.35)</f>
        <v>-3.2464704755046001</v>
      </c>
      <c r="LQ182" s="170">
        <f ca="1">Control!$C$140*($G182+273)^4*(0.56-0.079*SQRT($Y182*10))*(0.1+0.9*$LO182)</f>
        <v>1.5241745131704001</v>
      </c>
      <c r="LR182" s="170">
        <f ca="1">$AQ182*(1-Control!$C$142)-$LQ182</f>
        <v>-1.5241745131704001</v>
      </c>
      <c r="LS182" s="170">
        <f ca="1">$AQ182*(1-Control!$C$143)-$LQ182</f>
        <v>-1.5241745131704001</v>
      </c>
      <c r="LT182" s="170">
        <f ca="1">$AQ182*(1-Control!$C$144)-$LQ182</f>
        <v>-1.5241745131704001</v>
      </c>
      <c r="LU182" s="169">
        <f ca="1">(1-Control!$C$144)*AQ182-LP182</f>
        <v>3.2464704755046001</v>
      </c>
      <c r="LV182" s="172">
        <f t="shared" ca="1" si="562"/>
        <v>0.79430000000000012</v>
      </c>
      <c r="LW182" s="170">
        <f t="shared" ca="1" si="563"/>
        <v>1.5886000000000002</v>
      </c>
      <c r="LX182" s="170">
        <f ca="1">($AC182*($LR182/Control!$C$141)+$LM182*$LV182)/($AC182+$LM182)</f>
        <v>0.23530094218323697</v>
      </c>
      <c r="LY182" s="170">
        <f ca="1">($AC182*($LS182/Control!$C$141)+$LM182*$LV182)/($AC182+$LM182)</f>
        <v>0.23530094218323697</v>
      </c>
      <c r="LZ182" s="170">
        <f t="shared" ca="1" si="564"/>
        <v>0.23530094218323697</v>
      </c>
      <c r="MA182" s="170">
        <f t="shared" ca="1" si="565"/>
        <v>0.23530094218323697</v>
      </c>
      <c r="MB182" s="170" t="e">
        <f t="shared" ca="1" si="566"/>
        <v>#N/A</v>
      </c>
      <c r="MC182" s="170">
        <f t="shared" ca="1" si="656"/>
        <v>0.6018</v>
      </c>
      <c r="MD182" s="170">
        <f t="shared" ca="1" si="567"/>
        <v>0.52989392535414004</v>
      </c>
      <c r="ME182" s="170">
        <f ca="1">($AC182*($LT182/Control!$C$141)+$LM182*$LW182)/($AC182+$LM182)</f>
        <v>0.71612369323045078</v>
      </c>
      <c r="MF182" s="170" t="e">
        <f ca="1">IF(Control!$B$16&gt;=1000,0.92,IF(AND(720&lt;=Control!$B$16,1000&gt;Control!$B$16),(0.95+(Control!$B$16-720)*((0.92-0.95)/(1000-720))),IF(AND(360&lt;=Control!$B$16,720&gt;Control!$B$16),(1+(Control!$B$16-360)*((0.95-1)/(720-360))),IF(AND(40&lt;=Control!$B$16,360&gt;Control!$B$16),(1.05+(Control!$B$16-40)*((1.05-1)/(360-40)))))))</f>
        <v>#N/A</v>
      </c>
      <c r="MG182" s="170">
        <f t="shared" ca="1" si="568"/>
        <v>0.71612369323045078</v>
      </c>
      <c r="MH182" s="170" t="e">
        <f t="shared" ca="1" si="694"/>
        <v>#N/A</v>
      </c>
      <c r="MI182" s="170" t="e">
        <f t="shared" ca="1" si="694"/>
        <v>#N/A</v>
      </c>
      <c r="MJ182" s="170" t="e">
        <f ca="1">MAX(0.0001, Control!$C$132*$MI182*$DL182)</f>
        <v>#N/A</v>
      </c>
      <c r="MK182" s="170">
        <f ca="1">1/(0.76+1.5*($MG182/10))-(5-Control!$C$110)*0.1</f>
        <v>1.002845988140797</v>
      </c>
      <c r="ML182" s="173">
        <f ca="1">IF(Control!$C$110&lt;3,$MK182+($MG182-0.6)/(Control!$C$110*(Control!$C$110+3)), MAX(0.1, MIN(0.95,$MK182)))</f>
        <v>0.95</v>
      </c>
      <c r="MM182" s="173">
        <f ca="1">IF(Control!$C$110&lt;3,$MK182+(($MI182/10)-0.6)/(Control!$C$110*(Control!$C$110+3)), MAX(0.1, MIN(0.95,$MK182)))</f>
        <v>0.95</v>
      </c>
      <c r="MN182" s="173">
        <f ca="1">(1-$MM182)*(Control!$C$128-Control!$C$127)+Control!$C$127</f>
        <v>0.16</v>
      </c>
      <c r="MO182" s="170" t="e">
        <f ca="1">MAX(0,MIN(1,($MS182-Control!$C$127)/($MN182-Control!$C$127)))</f>
        <v>#DIV/0!</v>
      </c>
      <c r="MP182" s="173" t="e">
        <f ca="1">1/(0.76+1.5*$MI182)-(5-Control!$C$110)*0.1</f>
        <v>#N/A</v>
      </c>
      <c r="MQ182" s="172" t="e">
        <f t="shared" ca="1" si="685"/>
        <v>#DIV/0!</v>
      </c>
      <c r="MR182" s="168" t="e">
        <f t="shared" ca="1" si="657"/>
        <v>#DIV/0!</v>
      </c>
      <c r="MS182" s="173" t="e">
        <f ca="1">MAX(Control!$C$127, MIN(Control!$C$135, $MR182/MAX(0.0001,$CY182)))</f>
        <v>#DIV/0!</v>
      </c>
      <c r="MT182" s="168" t="e">
        <f ca="1">(Control!$C$128-$MS182)*Control!$C$74</f>
        <v>#DIV/0!</v>
      </c>
      <c r="MU182" s="168" t="e">
        <f ca="1">(Control!$C$135-$MS182)*Control!$C$74</f>
        <v>#DIV/0!</v>
      </c>
      <c r="MV182" s="168" t="e">
        <f t="shared" ca="1" si="658"/>
        <v>#DIV/0!</v>
      </c>
      <c r="MW182" s="168" t="e">
        <f t="shared" ca="1" si="659"/>
        <v>#DIV/0!</v>
      </c>
      <c r="MX182" s="171" t="e">
        <f ca="1">MAX(Control!$C$127, MIN(Control!$C$135, $MW182/MAX(0.0001,Control!$C$119-$CY182)))</f>
        <v>#DIV/0!</v>
      </c>
      <c r="MY182" s="54" t="e">
        <f ca="1">IF(Control!$C$114=1, $CX182*$MX182, 0)</f>
        <v>#DIV/0!</v>
      </c>
      <c r="MZ182" s="54" t="e">
        <f t="shared" ca="1" si="660"/>
        <v>#N/A</v>
      </c>
      <c r="NA182" s="168" t="e">
        <f ca="1">(Control!$C$128-$MX182)*(Control!$C$119-Control!$C$74)</f>
        <v>#DIV/0!</v>
      </c>
      <c r="NB182" s="168" t="e">
        <f ca="1">(Control!$C$135-$MX182)*(Control!$C$119-Control!$C$74)</f>
        <v>#DIV/0!</v>
      </c>
      <c r="NC182" s="174" t="e">
        <f t="shared" ca="1" si="661"/>
        <v>#DIV/0!</v>
      </c>
      <c r="ND182" s="54">
        <f ca="1">IF(Control!$C$58=2, IF(OR(Control!$B$218=$AH182,Control!$B$219=$AH182, Control!$B$220=$AH182, Control!$B$221=$AH182, Control!$B$222=$AH182, Control!$B$223=$AH182, Control!$B$224=$AH182, Control!$B$225=$AH182, Control!$B$226=$AH182, Control!$B$227=$AH182, Control!$B$228=$AH182), 1, 0), 0)</f>
        <v>0</v>
      </c>
      <c r="NE182" s="54">
        <f ca="1">IF($ND182=0,0, VLOOKUP($AH182,Control!$B$218:$C$228,2))</f>
        <v>0</v>
      </c>
      <c r="NF182" s="168" t="e">
        <f ca="1">$CY182*(Control!$C$128-Control!$C$127)</f>
        <v>#N/A</v>
      </c>
      <c r="NG182" s="54" t="e">
        <f ca="1">IF(Control!$C$58=2, $NI181-$NJ181, 0)</f>
        <v>#DIV/0!</v>
      </c>
      <c r="NH182" s="54" t="e">
        <f ca="1">IF(AND(Control!$C$58=1, $MS181&lt;= ($MN181+0.02), $I181&lt;10), 0, IF(Control!$C$58=2, $NG181, 0))</f>
        <v>#DIV/0!</v>
      </c>
      <c r="NI182" s="54" t="e">
        <f ca="1">IF(Control!$C$58=2, $NE182+$NH182,0)</f>
        <v>#DIV/0!</v>
      </c>
      <c r="NJ182" s="54" t="e">
        <f ca="1">IF(AND(Control!$C$58=1, $MS182&lt;= ($MN182+0.02), $I182&lt;10), MAX(0, MIN(10, 0.7*($NF182-$MV182))), IF(Control!$C$58=2, MIN(10,$NI182),0))</f>
        <v>#DIV/0!</v>
      </c>
      <c r="NK182" s="54" t="e">
        <f t="shared" ca="1" si="569"/>
        <v>#DIV/0!</v>
      </c>
      <c r="NL182" s="173" t="e">
        <f ca="1">(1-Control!$C$73)*$I182+$NJ182</f>
        <v>#DIV/0!</v>
      </c>
      <c r="NM182" s="172" t="e">
        <f ca="1">IF($NL182&lt;0.5, $MB182* MAX(0, MIN(1, (SQRT($NC182)-SQRT($NC182-1))*Control!$C$71)),0)</f>
        <v>#DIV/0!</v>
      </c>
      <c r="NN182" s="170" t="e">
        <f ca="1">IF($NL182&gt;=5, $MB182, MAX(0,MIN($MB182, $NM182+$NL182,($MS182-Control!$C$129))))</f>
        <v>#DIV/0!</v>
      </c>
      <c r="NO182" s="54">
        <f>IF(Control!$C$133&lt;&gt;1, Control!$C$135-Control!$C$131, 0)</f>
        <v>0.38</v>
      </c>
      <c r="NP182" s="54" t="e">
        <f t="shared" ca="1" si="570"/>
        <v>#DIV/0!</v>
      </c>
      <c r="NQ182" s="173" t="e">
        <f ca="1">MAX(0,MIN(1,(Control!$C$135-$MS182)/(Control!$C$135-$NO182)))</f>
        <v>#DIV/0!</v>
      </c>
      <c r="NR182" s="170" t="e">
        <f ca="1">IF(Control!$C$133&lt;&gt;1, $NQ182+((1-$NP182/4)*(1-$NQ182)),1)</f>
        <v>#DIV/0!</v>
      </c>
      <c r="NS182" s="170" t="e">
        <f ca="1">IF(Control!$B$31=0,$MJ182,MAX(0,MIN($MV182,$MO182*$NR182*$MJ182)))</f>
        <v>#DIV/0!</v>
      </c>
      <c r="NT182" s="170" t="e">
        <f t="shared" ca="1" si="686"/>
        <v>#DIV/0!</v>
      </c>
      <c r="NU182" s="170" t="e">
        <f t="shared" ca="1" si="662"/>
        <v>#N/A</v>
      </c>
      <c r="NV182" s="170" t="e">
        <f t="shared" ca="1" si="571"/>
        <v>#N/A</v>
      </c>
      <c r="NW182" s="175" t="e">
        <f t="shared" ca="1" si="572"/>
        <v>#DIV/0!</v>
      </c>
      <c r="NX182" s="170" t="e">
        <f ca="1">MIN(Control!$C$72+$MU182, $NW182)</f>
        <v>#DIV/0!</v>
      </c>
      <c r="NY182" s="170" t="e">
        <f ca="1">IF($MT182&lt;=$NX182,MIN(Control!$C$72+$NB182,$NX182-$MT182),0)</f>
        <v>#DIV/0!</v>
      </c>
      <c r="NZ182" s="54" t="e">
        <f ca="1">IF(Control!$C$114=1,  $CX182*($MX182-Control!$C$127), 0)</f>
        <v>#DIV/0!</v>
      </c>
      <c r="OA182" s="170" t="e">
        <f t="shared" ca="1" si="573"/>
        <v>#DIV/0!</v>
      </c>
      <c r="OB182" s="170" t="e">
        <f ca="1">IF($NA182 &lt;=$NY182, MIN(Control!$C$72, $NY182-$NA182), 0)</f>
        <v>#DIV/0!</v>
      </c>
      <c r="OC182" s="168" t="e">
        <f t="shared" ca="1" si="574"/>
        <v>#DIV/0!</v>
      </c>
      <c r="OD182" s="168" t="e">
        <f t="shared" ca="1" si="663"/>
        <v>#DIV/0!</v>
      </c>
      <c r="OE182" s="170">
        <f ca="1">Control!$C$73*$I182</f>
        <v>0</v>
      </c>
      <c r="OF182" s="176" t="e">
        <f t="shared" ca="1" si="575"/>
        <v>#DIV/0!</v>
      </c>
      <c r="OG182" s="168" t="e">
        <f t="shared" ca="1" si="576"/>
        <v>#DIV/0!</v>
      </c>
      <c r="OH182" s="168" t="e">
        <f t="shared" ca="1" si="577"/>
        <v>#DIV/0!</v>
      </c>
      <c r="OI182" s="168" t="e">
        <f t="shared" ca="1" si="578"/>
        <v>#DIV/0!</v>
      </c>
      <c r="OJ182" s="168" t="e">
        <f t="shared" ca="1" si="579"/>
        <v>#DIV/0!</v>
      </c>
      <c r="OK182" s="204" t="e">
        <f t="shared" ca="1" si="580"/>
        <v>#DIV/0!</v>
      </c>
      <c r="OL182" s="177">
        <f>Control!$C$127</f>
        <v>0.15</v>
      </c>
      <c r="OM182" s="182" t="e">
        <f t="shared" ca="1" si="581"/>
        <v>#N/A</v>
      </c>
      <c r="ON182" s="177">
        <f>Control!$C$128</f>
        <v>0.35</v>
      </c>
      <c r="OO182" s="182" t="e">
        <f t="shared" ca="1" si="582"/>
        <v>#N/A</v>
      </c>
      <c r="OP182" s="138">
        <f t="shared" ca="1" si="664"/>
        <v>0</v>
      </c>
      <c r="OQ182" s="138" t="e">
        <f t="shared" ca="1" si="687"/>
        <v>#DIV/0!</v>
      </c>
      <c r="OR182" s="138" t="e">
        <f t="shared" ca="1" si="665"/>
        <v>#DIV/0!</v>
      </c>
      <c r="OS182" s="137" t="e">
        <f t="shared" ca="1" si="688"/>
        <v>#DIV/0!</v>
      </c>
      <c r="OT182" s="139" t="e">
        <f t="shared" ca="1" si="689"/>
        <v>#DIV/0!</v>
      </c>
      <c r="OU182" s="138" t="e">
        <f t="shared" ca="1" si="690"/>
        <v>#N/A</v>
      </c>
      <c r="OV182" s="138" t="e">
        <f t="shared" ca="1" si="691"/>
        <v>#DIV/0!</v>
      </c>
      <c r="OW182" s="138" t="e">
        <f t="shared" ca="1" si="666"/>
        <v>#DIV/0!</v>
      </c>
      <c r="OX182" s="138" t="e">
        <f t="shared" ca="1" si="667"/>
        <v>#DIV/0!</v>
      </c>
      <c r="OY182" s="138" t="e">
        <f t="shared" ca="1" si="668"/>
        <v>#DIV/0!</v>
      </c>
      <c r="OZ182" s="138" t="e">
        <f t="shared" ca="1" si="583"/>
        <v>#DIV/0!</v>
      </c>
      <c r="PA182" s="138" t="e">
        <f t="shared" ca="1" si="584"/>
        <v>#DIV/0!</v>
      </c>
      <c r="PB182" s="55">
        <f>IF(Control!$C$61="T", IF(Control!$C$65="F", IF($AH$6-Control!$C$60&lt;0,0,1), IF(365+$AH$6-Control!$C$60&lt;0,0,1)),0)</f>
        <v>0</v>
      </c>
      <c r="PC182" s="55">
        <f ca="1">IF(Control!$C$65="F", IF($AH$6-$HF182&lt;0,0,1), IF(365+$AH$6-$HF182&lt;0,0,1))</f>
        <v>1</v>
      </c>
      <c r="PD182" s="444">
        <f>Control!$C$118</f>
        <v>1500</v>
      </c>
      <c r="PE182" s="180" t="e">
        <f t="shared" ca="1" si="585"/>
        <v>#N/A</v>
      </c>
      <c r="PF182" s="445">
        <f t="shared" ca="1" si="669"/>
        <v>0.71612369323045078</v>
      </c>
      <c r="PT182" s="186"/>
      <c r="PU182" s="186"/>
      <c r="PV182" s="94"/>
      <c r="PW182" s="94"/>
      <c r="PX182" s="94"/>
      <c r="PY182" s="94"/>
      <c r="PZ182" s="94"/>
      <c r="QA182" s="94"/>
      <c r="QB182" s="94"/>
      <c r="QC182" s="94"/>
      <c r="QD182" s="94"/>
      <c r="QE182" s="94"/>
      <c r="QF182" s="94"/>
      <c r="QG182" s="94"/>
      <c r="QH182" s="94"/>
      <c r="QI182" s="94"/>
      <c r="QJ182" s="94"/>
      <c r="QK182" s="94"/>
      <c r="QL182" s="94"/>
      <c r="QM182" s="94"/>
      <c r="QN182" s="94"/>
      <c r="QO182" s="94"/>
      <c r="QP182" s="94"/>
    </row>
    <row r="183" spans="1:458" s="2" customFormat="1" x14ac:dyDescent="0.2">
      <c r="A183" s="395">
        <v>27</v>
      </c>
      <c r="B183" s="396">
        <v>6</v>
      </c>
      <c r="C183" s="387">
        <f ca="1">Weather_data!$B182</f>
        <v>0</v>
      </c>
      <c r="D183" s="388">
        <f ca="1">Weather_data!$F182</f>
        <v>0</v>
      </c>
      <c r="E183" s="388">
        <f ca="1">Weather_data!$E182</f>
        <v>0</v>
      </c>
      <c r="F183" s="388">
        <f t="shared" ca="1" si="586"/>
        <v>0</v>
      </c>
      <c r="G183" s="388">
        <f ca="1">AVERAGE($D183:$E183)+Control!$B$9</f>
        <v>0</v>
      </c>
      <c r="H183" s="388">
        <f ca="1">Weather_data!$G182</f>
        <v>0</v>
      </c>
      <c r="I183" s="388">
        <f ca="1">Weather_data!$I182</f>
        <v>0</v>
      </c>
      <c r="J183" s="388">
        <f ca="1">Weather_data!$H182</f>
        <v>0</v>
      </c>
      <c r="K183" s="389">
        <f ca="1">Weather_data!$D182</f>
        <v>0</v>
      </c>
      <c r="L183" s="388" t="e">
        <f t="shared" ca="1" si="587"/>
        <v>#N/A</v>
      </c>
      <c r="M183" s="388" t="e">
        <f t="shared" ca="1" si="465"/>
        <v>#N/A</v>
      </c>
      <c r="N183" s="388">
        <f t="shared" ca="1" si="466"/>
        <v>-3.9801017526070376E-9</v>
      </c>
      <c r="O183" s="388">
        <f t="shared" ca="1" si="588"/>
        <v>3.9801017526070375E-8</v>
      </c>
      <c r="P183" s="390">
        <v>3</v>
      </c>
      <c r="Q183" s="388">
        <f ca="1">MAX($G183-Control!$C$107,0)</f>
        <v>0</v>
      </c>
      <c r="R183" s="388">
        <f t="shared" ca="1" si="589"/>
        <v>0</v>
      </c>
      <c r="S183" s="388">
        <f t="shared" ca="1" si="467"/>
        <v>0</v>
      </c>
      <c r="T183" s="388">
        <f t="shared" ca="1" si="468"/>
        <v>0</v>
      </c>
      <c r="U183" s="59">
        <f t="shared" ca="1" si="469"/>
        <v>0</v>
      </c>
      <c r="V183" s="391">
        <f ca="1">MAX(0,MIN(Control!$C$100-Control!$C$99,$G183-Control!$C$99)*Control!$C$63)</f>
        <v>0</v>
      </c>
      <c r="W183" s="388">
        <f t="shared" ca="1" si="590"/>
        <v>0</v>
      </c>
      <c r="X183" s="388">
        <f t="shared" ca="1" si="591"/>
        <v>0.6110000000000001</v>
      </c>
      <c r="Y183" s="388">
        <f t="shared" ca="1" si="470"/>
        <v>0</v>
      </c>
      <c r="Z183" s="388">
        <f t="shared" ca="1" si="592"/>
        <v>0.61058800000000002</v>
      </c>
      <c r="AA183" s="388">
        <f t="shared" ca="1" si="471"/>
        <v>0.6018</v>
      </c>
      <c r="AB183" s="388">
        <f ca="1">101.3*EXP(-0.034*Control!$C$66/($G183+273))</f>
        <v>100.69623283836242</v>
      </c>
      <c r="AC183" s="392">
        <f t="shared" ca="1" si="472"/>
        <v>4.3460251046025113E-2</v>
      </c>
      <c r="AD183" s="392">
        <f t="shared" ca="1" si="473"/>
        <v>4.4450382862832649E-2</v>
      </c>
      <c r="AE183" s="388">
        <f t="shared" ca="1" si="474"/>
        <v>0</v>
      </c>
      <c r="AF183" s="388">
        <f ca="1">MAX(0,$G183-Control!$C$92)</f>
        <v>0</v>
      </c>
      <c r="AG183" s="393">
        <f t="shared" ca="1" si="475"/>
        <v>179</v>
      </c>
      <c r="AH183" s="389">
        <f t="shared" ca="1" si="476"/>
        <v>179</v>
      </c>
      <c r="AI183" s="388">
        <f t="shared" ca="1" si="593"/>
        <v>0.40656930437580185</v>
      </c>
      <c r="AJ183" s="388">
        <f ca="1">IF(Control!$C$60&lt;=0,$HH183,$HI183)</f>
        <v>1</v>
      </c>
      <c r="AK183" s="388">
        <f t="shared" ca="1" si="477"/>
        <v>1.7042064257829563</v>
      </c>
      <c r="AL183" s="388">
        <f t="shared" ca="1" si="478"/>
        <v>2.3441647928335029E-18</v>
      </c>
      <c r="AM183" s="388">
        <f t="shared" ca="1" si="479"/>
        <v>1.7042064257829563</v>
      </c>
      <c r="AN183" s="388">
        <f t="shared" ca="1" si="480"/>
        <v>0.40526811860360379</v>
      </c>
      <c r="AO183" s="388">
        <f ca="1">-0.10453/COS(Control!$B$8*PI()/180)*COS(AN183)</f>
        <v>-0.15603173339632384</v>
      </c>
      <c r="AP183" s="388">
        <f ca="1">ACOS(AO183-TAN(Control!$B$8*PI()/180)*TAN(AN183))</f>
        <v>2.3534287351388392</v>
      </c>
      <c r="AQ183" s="388">
        <f t="shared" ca="1" si="594"/>
        <v>0</v>
      </c>
      <c r="AR183" s="394">
        <f t="shared" ca="1" si="481"/>
        <v>0</v>
      </c>
      <c r="AS183" s="436">
        <f ca="1">IF(Control!$B$18=2,(IF(OR($AH183=Control!$B$175,$AH183=Control!$B$176,$AH183=Control!$B$177,$AH183=Control!$B$178,$AH183=Control!$B$179,$AH183=Control!$B$180,$AH183=Control!$B$181,$AH183=Control!$B$182,$AH183=Control!$B$183,$AH183=Control!$B$184,$AH183=Control!$B$185),1,0)),0)</f>
        <v>0</v>
      </c>
      <c r="AT183" s="436">
        <f>IF(Control!$B$20=8,IF(AND($AH183&gt;=Control!$B$172,$AH183&lt;=Control!$B$173),1,0),0)</f>
        <v>0</v>
      </c>
      <c r="AU183" s="436">
        <f>IF(Control!$B$20=8,IF($AV182=1,1*$AT183,IF($AT183=1,$AU182+1,$AU182)),0)</f>
        <v>0</v>
      </c>
      <c r="AV183" s="436">
        <f>IF(Control!$B$20=8,IF($AU183&gt;=Control!$B$174,1,0),0)</f>
        <v>0</v>
      </c>
      <c r="AW183" s="436">
        <f ca="1">IF(AND(Control!$B$18=2,Control!$B$171=1), $AV183, $AS183)</f>
        <v>0</v>
      </c>
      <c r="AX183" s="436" t="e">
        <f ca="1">IF(AND(Control!$B$18=1,$EU183&gt;=Control!$B$19),-$AY183,IF(AND(Control!$B$18=2,$AW183=1,$EU183&gt;$DS183),-$AY183, IF(Control!$C$108=0,0, IF(Control!$C$108&lt;&gt;0,1))))</f>
        <v>#N/A</v>
      </c>
      <c r="AY183" s="436" t="e">
        <f t="shared" ca="1" si="595"/>
        <v>#N/A</v>
      </c>
      <c r="AZ183" s="436" t="e">
        <f ca="1">IF(AND(Control!$B$18=1,$EB183&gt;Control!$B$19),$AZ182+1, IF(AND(Control!$B$18=2, $AW183=1, $EB183&gt;$DS183), $AZ182+1,$AZ182))</f>
        <v>#N/A</v>
      </c>
      <c r="BA183" s="587">
        <f>IF(Control!$C$81=0,1,IF($AH183&gt;=Control!$C$82,1,0))</f>
        <v>1</v>
      </c>
      <c r="BB183" s="140" t="e">
        <f ca="1">IF($BA183&gt;$BA182,Control!$C$83,IF($AW183&gt;0,$AW183*Control!$C$84,IF(AND(Control!$B$18=1,EN182&lt;&gt;0),Control!$C$84,0)))</f>
        <v>#N/A</v>
      </c>
      <c r="BC183" s="140" t="e">
        <f t="shared" ca="1" si="596"/>
        <v>#N/A</v>
      </c>
      <c r="BD183" s="140" t="e">
        <f ca="1">BC183*IF(OR($G183&lt;Control!$C$92,$G183&gt;Control!$C$95),0,IF(AND($G183&gt;=Control!$C$92,$G183&lt;=Control!$C$93),$G183-Control!$C$92,IF(AND($G183&gt;Control!$C$93,$G183&lt;=Control!$C$94),Control!$C$93-Control!$C$92,IF(AND($G183&gt;Control!$C$94,$G183&lt;=Control!$C$95),(Control!$C$93-Control!$C$92)*(Control!$C$94-$G183)/(Control!$C$95-Control!$C$94)))))</f>
        <v>#N/A</v>
      </c>
      <c r="BE183" s="140" t="e">
        <f t="shared" ca="1" si="597"/>
        <v>#N/A</v>
      </c>
      <c r="BF183" s="140" t="e">
        <f ca="1">IF($BE183&lt;=Control!$C$86,$BE183,Control!$C$86-$BE183)</f>
        <v>#N/A</v>
      </c>
      <c r="BG183" s="140" t="e">
        <f ca="1">IF(AND($AW183=1,Control!$C$84&lt;9),1,IF($BE183&gt;=Control!$C$86,0,$BC183))</f>
        <v>#N/A</v>
      </c>
      <c r="BH183" s="404" t="e">
        <f ca="1">IF($BG183=0,0,IF($BE183&lt;=Control!$C$86,$BC183*9*($BF183/Control!$C$86),0))</f>
        <v>#N/A</v>
      </c>
      <c r="BI183" s="140" t="e">
        <f ca="1">IF($BG183=1,0,IF($BE183&gt;=Control!$C$86,1,IF(AND($BB183&lt;21,$BB183&gt;=9),1,$BM182)))</f>
        <v>#N/A</v>
      </c>
      <c r="BJ183" s="140" t="e">
        <f ca="1">IF($BF183&lt;0,-$BF183,$BI183*IF(OR($G183&lt;Control!$C$92,$G183&gt;Control!$C$95),0,IF(AND($G183&gt;=Control!$C$92,$G183&lt;=Control!$C$93),$G183-Control!$C$92,IF(AND($G183&gt;Control!$C$93,$G183&lt;=Control!$C$94),Control!$C$93-Control!$C$92,IF(AND($G183&gt;Control!$C$94,$G183&lt;=Control!$C$95),(Control!$C$93-Control!$C$92)*(Control!$C$94-$G183)/(Control!$C$95-Control!$C$94))))))</f>
        <v>#N/A</v>
      </c>
      <c r="BK183" s="140" t="e">
        <f t="shared" ca="1" si="598"/>
        <v>#N/A</v>
      </c>
      <c r="BL183" s="140" t="e">
        <f ca="1">IF($BK183&lt;=Control!$C$87,$BK183,Control!$C$87-$BK183)</f>
        <v>#N/A</v>
      </c>
      <c r="BM183" s="140" t="e">
        <f ca="1">IF(AND($BB183&gt;=9,$BB183&lt;21),1,IF($BK183&gt;=Control!$C$87,0,$BI183))</f>
        <v>#N/A</v>
      </c>
      <c r="BN183" s="404" t="e">
        <f ca="1">IF($BM183=0,0,IF($BK183&lt;=Control!$C$87,$BI183*(9+(21-9)*($BL183/Control!$C$87)),0))</f>
        <v>#N/A</v>
      </c>
      <c r="BO183" s="140" t="e">
        <f ca="1">IF($BM183=1,0,IF($BK183&gt;=Control!$C$87,1,IF(AND($BB183&lt;30,$BB183&gt;=21),1,$BS182)))</f>
        <v>#N/A</v>
      </c>
      <c r="BP183" s="140" t="e">
        <f ca="1">IF($BL183&lt;0,-$BL183,$BO183*IF(OR($G183&lt;Control!$C$92,$G183&gt;Control!$C$95),0,IF(AND($G183&gt;=Control!$C$92,$G183&lt;=Control!$C$93),$G183-Control!$C$92,IF(AND($G183&gt;Control!$C$93,$G183&lt;=Control!$C$94),Control!$C$93-Control!$C$92,IF(AND($G183&gt;Control!$C$94,$G183&lt;=Control!$C$95),(Control!$C$93-Control!$C$92)*(Control!$C$94-$G183)/(Control!$C$95-Control!$C$94))))))</f>
        <v>#N/A</v>
      </c>
      <c r="BQ183" s="140" t="e">
        <f t="shared" ca="1" si="482"/>
        <v>#N/A</v>
      </c>
      <c r="BR183" s="140" t="e">
        <f ca="1">IF($BQ183&lt;=Control!$C$88,$BQ183,Control!$C$88-$BQ183)</f>
        <v>#N/A</v>
      </c>
      <c r="BS183" s="140" t="e">
        <f ca="1">IF(AND($BB183&gt;=21,$BB183&lt;30),1,IF($BQ183&gt;=Control!$C$88,0,$BO183))</f>
        <v>#N/A</v>
      </c>
      <c r="BT183" s="404" t="e">
        <f ca="1">IF($BS183=0,0,IF($BQ183&lt;=Control!$C$88,$BO183*(21+(30-21)*(BR183/Control!$C$88)),0))</f>
        <v>#N/A</v>
      </c>
      <c r="BU183" s="140" t="e">
        <f ca="1">IF(BG183+BM183+BS183=1,0,IF(OR(AND($BB183&lt;60,$BB183&gt;=30),$BQ183&gt;=Control!$C$88),1*$BA183,$BY182))</f>
        <v>#N/A</v>
      </c>
      <c r="BV183" s="140" t="e">
        <f ca="1">IF($BR183&lt;0,-$BR183,$BU183*IF(OR($G183&lt;Control!$C$92,$G183&gt;Control!$C$95),0,IF(AND($G183&gt;=Control!$C$92,$G183&lt;=Control!$C$93),$G183-Control!$C$92,IF(AND($G183&gt;Control!$C$93,$G183&lt;=Control!$C$94),Control!$C$93-Control!$C$92,IF(AND($G183&gt;Control!$C$94,$G183&lt;=Control!$C$95),(Control!$C$93-Control!$C$92)*(Control!$C$94-$G183)/(Control!$C$95-Control!$C$94))))))</f>
        <v>#N/A</v>
      </c>
      <c r="BW183" s="140" t="e">
        <f t="shared" ca="1" si="483"/>
        <v>#N/A</v>
      </c>
      <c r="BX183" s="140" t="e">
        <f ca="1">IF($BW183&lt;=Control!$C$89,$BW183,Control!$C$89-$BW183)</f>
        <v>#N/A</v>
      </c>
      <c r="BY183" s="140" t="e">
        <f ca="1">IF(AND($AJ183&gt;=30,$AJ183&lt;60),1,IF($BW183&gt;=Control!$C$89,0,$BU183))</f>
        <v>#N/A</v>
      </c>
      <c r="BZ183" s="404" t="e">
        <f ca="1">IF($BY183=0,0,IF($BW183&lt;=Control!$C$89,$BU183*(30+(60-30)*(BX183/Control!$C$89)),0))</f>
        <v>#N/A</v>
      </c>
      <c r="CA183" s="140" t="e">
        <f ca="1">IF($BG183+$BM183+$BS183+$BY183=1,0,IF(OR(AND($BB183&lt;65,$BB183&gt;=60),$BW183&gt;=Control!$C$89),1*$BA183,$CE182))</f>
        <v>#N/A</v>
      </c>
      <c r="CB183" s="140" t="e">
        <f ca="1">IF($BX183&lt;0,-$BX183,$CA183*IF(OR($G183&lt;Control!$C$92,$G183&gt;Control!$C$95),0,IF(AND($G183&gt;=Control!$C$92,$G183&lt;=Control!$C$93),$G183-Control!$C$92,IF(AND($G183&gt;Control!$C$93,$G183&lt;=Control!$C$94),Control!$C$93-Control!$C$92,IF(AND($G183&gt;Control!$C$94,$G183&lt;=Control!$C$95),(Control!$C$93-Control!$C$92)*(Control!$C$94-$G183)/(Control!$C$95-Control!$C$94))))))</f>
        <v>#N/A</v>
      </c>
      <c r="CC183" s="140" t="e">
        <f t="shared" ca="1" si="599"/>
        <v>#N/A</v>
      </c>
      <c r="CD183" s="140" t="e">
        <f ca="1">IF($CC183&lt;=Control!$C$90,$CC183,Control!$C$90-$CC183)</f>
        <v>#N/A</v>
      </c>
      <c r="CE183" s="140" t="e">
        <f ca="1">IF(AND($BB183&gt;=60,$BB183&lt;65),1,IF($CC183&gt;=Control!$C$90,0,$CA183))</f>
        <v>#N/A</v>
      </c>
      <c r="CF183" s="404" t="e">
        <f ca="1">IF($CE183=0,0,IF($CC183&lt;=Control!$C$90,$CA183*(60+(65-60)*(CD183/Control!$C$90)),0))</f>
        <v>#N/A</v>
      </c>
      <c r="CG183" s="140" t="e">
        <f ca="1">IF($BG183+$BM183+$BS183+$BY183+$CE183=1,0,IF(OR(AND($BB183&lt;90,$BB183&gt;=65),$CC183&gt;=Control!$C$90),$BA183,$CK182))</f>
        <v>#N/A</v>
      </c>
      <c r="CH183" s="140" t="e">
        <f ca="1">IF($CD183&lt;0,-$CD183,$CG183*IF(OR($G183&lt;Control!$C$92,$G183&gt;Control!$C$95),0,IF(AND($G183&gt;=Control!$C$92,$G183&lt;=Control!$C$93),$G183-Control!$C$92,IF(AND($G183&gt;Control!$C$93,$G183&lt;=Control!$C$94),Control!$C$93-Control!$C$92,IF(AND($G183&gt;Control!$C$94,$G183&lt;=Control!$C$95),(Control!$C$93-Control!$C$92)*(Control!$C$94-$G183)/(Control!$C$95-Control!$C$94))))))</f>
        <v>#N/A</v>
      </c>
      <c r="CI183" s="140" t="e">
        <f t="shared" ca="1" si="600"/>
        <v>#N/A</v>
      </c>
      <c r="CJ183" s="140" t="e">
        <f ca="1">IF($CI183&lt;=Control!$C$91,$CI183,Control!$C$91-$CI183)</f>
        <v>#N/A</v>
      </c>
      <c r="CK183" s="140" t="e">
        <f ca="1">IF(AND($BB183&gt;=65,$BB183&lt;90),1,IF($CI183&gt;=Control!$C$91,0,$CG183))</f>
        <v>#N/A</v>
      </c>
      <c r="CL183" s="404" t="e">
        <f ca="1">IF($CK183=0,0,IF($CI183&lt;=Control!$C$91,$CG183*(65+(90-65)*($CJ183/Control!$C$91)),0))</f>
        <v>#N/A</v>
      </c>
      <c r="CM183" s="140" t="e">
        <f ca="1">IF($BG183+$BM183+$BS183+$BY183+$CE183+$CK183=1,0,IF(OR($BB183&gt;=90,$CI183&gt;=Control!$C$91),$BA183,$CM182))</f>
        <v>#N/A</v>
      </c>
      <c r="CN183" s="140" t="e">
        <f t="shared" ca="1" si="601"/>
        <v>#N/A</v>
      </c>
      <c r="CO183" s="140" t="e">
        <f t="shared" ca="1" si="602"/>
        <v>#N/A</v>
      </c>
      <c r="CP183" s="140" t="e">
        <f t="shared" ca="1" si="603"/>
        <v>#N/A</v>
      </c>
      <c r="CQ183" s="141" t="e">
        <f ca="1">VLOOKUP($CP183,Control!$B$86:$G$91,6)</f>
        <v>#N/A</v>
      </c>
      <c r="CR183" s="141" t="e">
        <f ca="1">(1-$CQ183)*VLOOKUP($CP183,Control!$B$86:$D$91,3)</f>
        <v>#N/A</v>
      </c>
      <c r="CS183" s="141" t="e">
        <f ca="1">(1-$CQ183)*VLOOKUP($CP183,Control!$B$86:$E$91,4)</f>
        <v>#N/A</v>
      </c>
      <c r="CT183" s="141" t="e">
        <f ca="1">(1-$CQ183)*VLOOKUP($CP183,Control!$B$86:$F$91,5)</f>
        <v>#N/A</v>
      </c>
      <c r="CU183" s="141">
        <f t="shared" ca="1" si="604"/>
        <v>0</v>
      </c>
      <c r="CV183" s="583">
        <f t="shared" ca="1" si="605"/>
        <v>0</v>
      </c>
      <c r="CW183" s="142">
        <f t="shared" ca="1" si="606"/>
        <v>179</v>
      </c>
      <c r="CX183" s="612" t="e">
        <f ca="1">IF(Control!$C$114=1,(MIN(Control!$C$120*(IF($NT183-0.01&lt;0,0,1)),Control!$C$119-$CY183)))</f>
        <v>#DIV/0!</v>
      </c>
      <c r="CY183" s="143" t="e">
        <f t="shared" ca="1" si="607"/>
        <v>#N/A</v>
      </c>
      <c r="CZ183" s="144">
        <f t="shared" ca="1" si="484"/>
        <v>0</v>
      </c>
      <c r="DA183" s="144">
        <f t="shared" ca="1" si="485"/>
        <v>0</v>
      </c>
      <c r="DB183" s="144" t="e">
        <f t="shared" ca="1" si="486"/>
        <v>#N/A</v>
      </c>
      <c r="DC183" s="144" t="e">
        <f t="shared" ca="1" si="487"/>
        <v>#N/A</v>
      </c>
      <c r="DD183" s="144" t="e">
        <f t="shared" ca="1" si="692"/>
        <v>#N/A</v>
      </c>
      <c r="DE183" s="143" t="e">
        <f t="shared" ca="1" si="608"/>
        <v>#N/A</v>
      </c>
      <c r="DF183" s="145" t="e">
        <f ca="1">$DR183*EXP(-Control!$C$158*(1-$KH183))</f>
        <v>#N/A</v>
      </c>
      <c r="DG183" s="146" t="e">
        <f ca="1">IF(Control!$C$114=1, $DF183*$EY183, 0)</f>
        <v>#N/A</v>
      </c>
      <c r="DH183" s="147" t="e">
        <f t="shared" ca="1" si="609"/>
        <v>#N/A</v>
      </c>
      <c r="DI183" s="144" t="e">
        <f t="shared" ca="1" si="670"/>
        <v>#N/A</v>
      </c>
      <c r="DJ183" s="147" t="e">
        <f ca="1">$EF183*Control!$C$109</f>
        <v>#N/A</v>
      </c>
      <c r="DK183" s="144" t="e">
        <f t="shared" ca="1" si="610"/>
        <v>#N/A</v>
      </c>
      <c r="DL183" s="144" t="e">
        <f t="shared" ca="1" si="488"/>
        <v>#N/A</v>
      </c>
      <c r="DM183" s="144" t="e">
        <f ca="1">IF(Control!$C$114=1, (1-EXP(-Control!$C$96*$DK183))*$AR183, 0)</f>
        <v>#N/A</v>
      </c>
      <c r="DN183" s="144">
        <f t="shared" ca="1" si="611"/>
        <v>0</v>
      </c>
      <c r="DO183" s="148">
        <f>Control!$C$97</f>
        <v>4</v>
      </c>
      <c r="DP183" s="145" t="e">
        <f t="shared" ca="1" si="612"/>
        <v>#N/A</v>
      </c>
      <c r="DQ183" s="145" t="e">
        <f ca="1">IF(AND($CP183&gt;=0,$CP183&lt;=90),Control!$C$111,Control!$C$111)</f>
        <v>#N/A</v>
      </c>
      <c r="DR183" s="145" t="e">
        <f t="shared" ca="1" si="489"/>
        <v>#N/A</v>
      </c>
      <c r="DS183" s="143" t="e">
        <f ca="1">Control!$B$22/$DR183</f>
        <v>#N/A</v>
      </c>
      <c r="DT183" s="149" t="e">
        <f ca="1">IF(AND(Control!$C$114=1,$KH183&lt;1),$IM183*$DF183, 0)</f>
        <v>#N/A</v>
      </c>
      <c r="DU183" s="144" t="e">
        <f t="shared" ca="1" si="613"/>
        <v>#N/A</v>
      </c>
      <c r="DV183" s="144">
        <f ca="1">IF($G183-Control!$C$107&lt;=0, 0, 0.83*LN(MAX($G183, 3))-0.8924)</f>
        <v>0</v>
      </c>
      <c r="DW183" s="144" t="e">
        <f t="shared" ca="1" si="490"/>
        <v>#N/A</v>
      </c>
      <c r="DX183" s="150" t="e">
        <f ca="1">MAX(0.01*(1+$CU183/Control!$C$102),0.05*($DK183-Control!$C$97)/Control!$C$97)</f>
        <v>#N/A</v>
      </c>
      <c r="DY183" s="151" t="e">
        <f ca="1">IF(Control!$C$114=1, $DI183*$FS183, 0)</f>
        <v>#N/A</v>
      </c>
      <c r="DZ183" s="196" t="e">
        <f t="shared" ca="1" si="614"/>
        <v>#N/A</v>
      </c>
      <c r="EA183" s="152">
        <f t="shared" ca="1" si="615"/>
        <v>179</v>
      </c>
      <c r="EB183" s="153" t="e">
        <f t="shared" ca="1" si="616"/>
        <v>#N/A</v>
      </c>
      <c r="EC183" s="153" t="e">
        <f t="shared" ca="1" si="617"/>
        <v>#N/A</v>
      </c>
      <c r="ED183" s="154" t="e">
        <f ca="1">IF(Control!$C$114=1, $HM183*$FY183-$FD183, 0)</f>
        <v>#DIV/0!</v>
      </c>
      <c r="EE183" s="155" t="e">
        <f ca="1">IF(Control!$C$114=1, $HM183*$FZ183-$FF183, 0)</f>
        <v>#DIV/0!</v>
      </c>
      <c r="EF183" s="153" t="e">
        <f t="shared" ca="1" si="671"/>
        <v>#N/A</v>
      </c>
      <c r="EG183" s="155" t="e">
        <f ca="1">IF(Control!$C$114=1, $GX183*$FW183-$FI183, 0)</f>
        <v>#DIV/0!</v>
      </c>
      <c r="EH183" s="153" t="e">
        <f t="shared" ca="1" si="618"/>
        <v>#N/A</v>
      </c>
      <c r="EI183" s="156" t="e">
        <f t="shared" ca="1" si="619"/>
        <v>#N/A</v>
      </c>
      <c r="EJ183" s="155" t="e">
        <f ca="1">IF(Control!$C$114=1, $HM183*$GB183, 0)</f>
        <v>#DIV/0!</v>
      </c>
      <c r="EK183" s="153" t="e">
        <f t="shared" ca="1" si="672"/>
        <v>#N/A</v>
      </c>
      <c r="EL183" s="153" t="e">
        <f t="shared" ca="1" si="491"/>
        <v>#N/A</v>
      </c>
      <c r="EM183" s="153" t="e">
        <f t="shared" ca="1" si="492"/>
        <v>#N/A</v>
      </c>
      <c r="EN183" s="153" t="e">
        <f ca="1">IF(Control!$C$108=1,IF(AND(Control!$B$18=1,$EB183&gt;=Control!$B$19),$EB183-$DS183,IF(AND(Control!$B$18=2,$AW183=1,$EB183&gt;$DS183),$EB183-$DS183,0)))</f>
        <v>#N/A</v>
      </c>
      <c r="EO183" s="153" t="e">
        <f ca="1">IF(Control!$C$108=1,IF(AND(Control!$B$18=1,$EB183&gt;=Control!$B$19),$EF183,IF(AND(Control!$B$18=2,$AW183=1),$EF183,0)))</f>
        <v>#N/A</v>
      </c>
      <c r="EP183" s="153" t="e">
        <f ca="1">IF(Control!$C$108=1,IF(AND(Control!$B$18=1,$EB183&gt;=Control!$B$19),$EK183,IF(AND(Control!$B$18=2,$AW183=1),$EK183,0)))</f>
        <v>#N/A</v>
      </c>
      <c r="EQ183" s="153" t="e">
        <f t="shared" ca="1" si="620"/>
        <v>#N/A</v>
      </c>
      <c r="ER183" s="153" t="e">
        <f t="shared" ca="1" si="621"/>
        <v>#N/A</v>
      </c>
      <c r="ES183" s="153" t="e">
        <f t="shared" ca="1" si="673"/>
        <v>#N/A</v>
      </c>
      <c r="ET183" s="153" t="e">
        <f t="shared" ca="1" si="674"/>
        <v>#N/A</v>
      </c>
      <c r="EU183" s="153" t="e">
        <f t="shared" ca="1" si="622"/>
        <v>#N/A</v>
      </c>
      <c r="EV183" s="153" t="e">
        <f t="shared" ca="1" si="493"/>
        <v>#N/A</v>
      </c>
      <c r="EW183" s="153" t="e">
        <f t="shared" ca="1" si="494"/>
        <v>#N/A</v>
      </c>
      <c r="EX183" s="153" t="e">
        <f t="shared" ca="1" si="495"/>
        <v>#N/A</v>
      </c>
      <c r="EY183" s="157" t="e">
        <f t="shared" ca="1" si="496"/>
        <v>#DIV/0!</v>
      </c>
      <c r="EZ183" s="154" t="e">
        <f t="shared" ca="1" si="497"/>
        <v>#DIV/0!</v>
      </c>
      <c r="FA183" s="153" t="e">
        <f t="shared" ca="1" si="623"/>
        <v>#N/A</v>
      </c>
      <c r="FB183" s="153" t="e">
        <f t="shared" ca="1" si="498"/>
        <v>#N/A</v>
      </c>
      <c r="FC183" s="193" t="e">
        <f t="shared" ca="1" si="499"/>
        <v>#N/A</v>
      </c>
      <c r="FD183" s="158" t="e">
        <f t="shared" ca="1" si="624"/>
        <v>#N/A</v>
      </c>
      <c r="FE183" s="158" t="e">
        <f t="shared" ca="1" si="625"/>
        <v>#N/A</v>
      </c>
      <c r="FF183" s="159" t="e">
        <f t="shared" ca="1" si="500"/>
        <v>#N/A</v>
      </c>
      <c r="FG183" s="160" t="e">
        <f t="shared" ca="1" si="626"/>
        <v>#N/A</v>
      </c>
      <c r="FH183" s="158" t="e">
        <f t="shared" ca="1" si="627"/>
        <v>#N/A</v>
      </c>
      <c r="FI183" s="159" t="e">
        <f t="shared" ca="1" si="501"/>
        <v>#N/A</v>
      </c>
      <c r="FJ183" s="160" t="e">
        <f t="shared" ca="1" si="628"/>
        <v>#N/A</v>
      </c>
      <c r="FK183" s="160" t="e">
        <f t="shared" ca="1" si="502"/>
        <v>#N/A</v>
      </c>
      <c r="FL183" s="160" t="e">
        <f t="shared" ca="1" si="675"/>
        <v>#N/A</v>
      </c>
      <c r="FM183" s="160" t="e">
        <f t="shared" ca="1" si="503"/>
        <v>#N/A</v>
      </c>
      <c r="FN183" s="158">
        <f t="shared" ca="1" si="629"/>
        <v>0.01</v>
      </c>
      <c r="FO183" s="160">
        <f>Control!$C$101</f>
        <v>50</v>
      </c>
      <c r="FP183" s="150" t="e">
        <f t="shared" ca="1" si="504"/>
        <v>#N/A</v>
      </c>
      <c r="FQ183" s="150" t="e">
        <f ca="1">MAX(0,(Control!$C$112*(($DK183-Control!$C$97)/Control!$C$97)))</f>
        <v>#N/A</v>
      </c>
      <c r="FR183" s="150" t="e">
        <f ca="1">(1-$NT183)*Control!$C$113</f>
        <v>#DIV/0!</v>
      </c>
      <c r="FS183" s="198" t="e">
        <f t="shared" ca="1" si="505"/>
        <v>#N/A</v>
      </c>
      <c r="FT183" s="161">
        <f t="shared" ca="1" si="630"/>
        <v>179</v>
      </c>
      <c r="FU183" s="162" t="e">
        <f ca="1">IF(Control!$B$34=1,VLOOKUP($CP183,Control!$B$86:$G$91,6),Control!$B$35)</f>
        <v>#N/A</v>
      </c>
      <c r="FV183" s="162" t="e">
        <f t="shared" ca="1" si="506"/>
        <v>#DIV/0!</v>
      </c>
      <c r="FW183" s="162" t="e">
        <f ca="1">IF(Control!$B$31=1,$FU183*$FV183,  $FU183)</f>
        <v>#N/A</v>
      </c>
      <c r="FX183" s="162" t="e">
        <f ca="1">IF(Control!$B$34=1,VLOOKUP($CP183,Control!$B$86:$G$91,3),Control!$B$36)</f>
        <v>#N/A</v>
      </c>
      <c r="FY183" s="162" t="e">
        <f t="shared" ca="1" si="507"/>
        <v>#N/A</v>
      </c>
      <c r="FZ183" s="162" t="e">
        <f ca="1">IF(Control!$B$34=1,VLOOKUP($CP183,Control!$B$86:$G$91,4),Control!$B$37)</f>
        <v>#N/A</v>
      </c>
      <c r="GA183" s="162" t="e">
        <f t="shared" ca="1" si="508"/>
        <v>#N/A</v>
      </c>
      <c r="GB183" s="162" t="e">
        <f ca="1">IF(Control!$B$34=1,VLOOKUP($CP183,Control!$B$86:$G$91,5),Control!$B$38)</f>
        <v>#N/A</v>
      </c>
      <c r="GC183" s="162" t="e">
        <f t="shared" ca="1" si="631"/>
        <v>#N/A</v>
      </c>
      <c r="GD183" s="162">
        <f t="shared" ca="1" si="509"/>
        <v>1</v>
      </c>
      <c r="GE183" s="162">
        <f t="shared" ca="1" si="510"/>
        <v>1</v>
      </c>
      <c r="GF183" s="162">
        <f ca="1">IF(AND(Control!$C$104=1, Control!$C$62="F"),$GE183,1)</f>
        <v>1</v>
      </c>
      <c r="GG183" s="162" t="e">
        <f ca="1">IF(Control!$B$16=40,0,IF(AND(Control!$B$16&gt;40,Control!$B$16&lt;=360),(Control!$B$16-40)*((1-0)/(360-40)),IF(AND(Control!$B$16&gt;360,Control!$B$16&lt;=720),(1+(Control!$B$16-360)*((1.25-1)/(720-360))),IF(AND(Control!$B$16&gt;720,Control!$B$16&lt;=1000),(1.25+(Control!$B$16-720)*((1.35-1.25)/(1000-720))),IF(AND(Control!$B$16&gt;1000,Control!$B$16&lt;=2000),(1.35+(Control!$B$16-1000)*0))))))</f>
        <v>#N/A</v>
      </c>
      <c r="GH183" s="162" t="e">
        <f t="shared" ca="1" si="511"/>
        <v>#N/A</v>
      </c>
      <c r="GI183" s="162">
        <f t="shared" ca="1" si="632"/>
        <v>0</v>
      </c>
      <c r="GJ183" s="162">
        <f t="shared" ca="1" si="512"/>
        <v>0</v>
      </c>
      <c r="GK183" s="162">
        <f t="shared" ca="1" si="633"/>
        <v>1</v>
      </c>
      <c r="GL183" s="162">
        <f t="shared" ca="1" si="513"/>
        <v>1</v>
      </c>
      <c r="GM183" s="162" t="e">
        <f ca="1">MAX(0,MIN(1,1-Control!$C$156*(1.0001-$KH183)^2))</f>
        <v>#N/A</v>
      </c>
      <c r="GN183" s="162" t="e">
        <f ca="1">IF(Control!$B$26=1,$KU183,$KX183)</f>
        <v>#N/A</v>
      </c>
      <c r="GO183" s="162" t="e">
        <f ca="1">IF($CP183&lt;=60,Control!$C$105,IF($CP183&gt;=90,Control!$C$106,Control!$C$105+($CP183-60)*((Control!$C$106-Control!$C$105)/(90-60))))</f>
        <v>#N/A</v>
      </c>
      <c r="GP183" s="162" t="e">
        <f t="shared" ca="1" si="514"/>
        <v>#N/A</v>
      </c>
      <c r="GQ183" s="162" t="e">
        <f t="shared" ca="1" si="634"/>
        <v>#N/A</v>
      </c>
      <c r="GR183" s="163" t="e">
        <f t="shared" ca="1" si="515"/>
        <v>#DIV/0!</v>
      </c>
      <c r="GS183" s="162" t="e">
        <f t="shared" ca="1" si="516"/>
        <v>#DIV/0!</v>
      </c>
      <c r="GT183" s="164" t="e">
        <f t="shared" ca="1" si="635"/>
        <v>#N/A</v>
      </c>
      <c r="GU183" s="162" t="e">
        <f t="shared" ca="1" si="636"/>
        <v>#N/A</v>
      </c>
      <c r="GV183" s="162" t="e">
        <f t="shared" ca="1" si="517"/>
        <v>#N/A</v>
      </c>
      <c r="GW183" s="162" t="e">
        <f t="shared" ca="1" si="518"/>
        <v>#DIV/0!</v>
      </c>
      <c r="GX183" s="162" t="e">
        <f t="shared" ca="1" si="637"/>
        <v>#DIV/0!</v>
      </c>
      <c r="GY183" s="162" t="e">
        <f t="shared" ca="1" si="638"/>
        <v>#DIV/0!</v>
      </c>
      <c r="GZ183" s="165" t="e">
        <f t="shared" ca="1" si="519"/>
        <v>#N/A</v>
      </c>
      <c r="HA183" s="162" t="e">
        <f ca="1">IF(Control!$C$114=1, $DI183*$FS183, 0)</f>
        <v>#N/A</v>
      </c>
      <c r="HB183" s="162" t="e">
        <f ca="1">$FA183/Control!$C$64</f>
        <v>#N/A</v>
      </c>
      <c r="HC183" s="162" t="e">
        <f t="shared" ca="1" si="520"/>
        <v>#DIV/0!</v>
      </c>
      <c r="HD183" s="162">
        <f ca="1">-ASIN(SIN(23.45*Control!$C$139)*COS(2*Control!$C$138*($AH183+10)/365))</f>
        <v>0.40656930437580185</v>
      </c>
      <c r="HE183" s="165">
        <f t="shared" ca="1" si="639"/>
        <v>0</v>
      </c>
      <c r="HF183" s="166">
        <f ca="1">IF(AND(Control!$C$61="T",$HE183&gt;=Control!$C$103,Control!$C$114=0),$AH183,Control!$C$59)</f>
        <v>1</v>
      </c>
      <c r="HG183" s="166">
        <f ca="1">IF(AND(Control!$C$61="T",$HE183&gt;=Control!$C$103,Control!$C$114=0),$HF183,Control!$C$59)</f>
        <v>1</v>
      </c>
      <c r="HH183" s="165">
        <f ca="1">IF(AND(OR(Control!$C$60&lt;=0, $AH183= Control!$C$59, Control!$C$60 &gt;0, $AH183 = Control!$C$60)), Control!$C$59, IF(Control!$C$60&gt;0, 0))</f>
        <v>1</v>
      </c>
      <c r="HI183" s="165">
        <f ca="1">IF(AND(OR(Control!$C$60&lt;=0, $AH183= Control!$C$59, Control!$C$60 &gt;0, $AH183 = Control!$C$60)), Control!$C$60, IF(Control!$C$60&lt;=0, 0))</f>
        <v>0</v>
      </c>
      <c r="HJ183" s="166">
        <f ca="1">IF(AND(Control!$C$62="F",$CV183&gt;=Control!$C$102),$AH183,0)</f>
        <v>0</v>
      </c>
      <c r="HK183" s="165" t="e">
        <f t="shared" ca="1" si="676"/>
        <v>#N/A</v>
      </c>
      <c r="HL183" s="166">
        <f ca="1">IF(AND(Control!$C$61="T",$HE183&gt;=Control!$C$103,Control!$C$114=0),$HF183,0)</f>
        <v>0</v>
      </c>
      <c r="HM183" s="201" t="e">
        <f t="shared" ca="1" si="521"/>
        <v>#DIV/0!</v>
      </c>
      <c r="HN183" s="215">
        <f t="shared" ca="1" si="640"/>
        <v>179</v>
      </c>
      <c r="HO183" s="216" t="e">
        <f ca="1">IF(AND($CP183&gt;=0, $CP183&lt;=90), Control!$C$152, Control!$C$152)</f>
        <v>#N/A</v>
      </c>
      <c r="HP183" s="216" t="e">
        <f t="shared" ca="1" si="522"/>
        <v>#N/A</v>
      </c>
      <c r="HQ183" s="217" t="e">
        <f ca="1">IF(OR(Control!$B$26=1,Control!$B$26=2),$KV183,$KS183)</f>
        <v>#DIV/0!</v>
      </c>
      <c r="HR183" s="218" t="e">
        <f t="shared" ca="1" si="677"/>
        <v>#DIV/0!</v>
      </c>
      <c r="HS183" s="216" t="e">
        <f ca="1">Control!$C$154*$HP183</f>
        <v>#N/A</v>
      </c>
      <c r="HT183" s="216" t="e">
        <f ca="1">Control!$C$155*$HP183</f>
        <v>#N/A</v>
      </c>
      <c r="HU183" s="217" t="e">
        <f ca="1">Control!$C$161*$FI183</f>
        <v>#N/A</v>
      </c>
      <c r="HV183" s="218" t="e">
        <f t="shared" ca="1" si="641"/>
        <v>#N/A</v>
      </c>
      <c r="HW183" s="218" t="e">
        <f ca="1">Control!$C$160*$FF183+$IP183*$EO183</f>
        <v>#N/A</v>
      </c>
      <c r="HX183" s="218" t="e">
        <f t="shared" ca="1" si="678"/>
        <v>#N/A</v>
      </c>
      <c r="HY183" s="219" t="e">
        <f ca="1">IF(Control!$C$114=1, $EB183*$FS183, 0)</f>
        <v>#N/A</v>
      </c>
      <c r="HZ183" s="91" t="e">
        <f t="shared" ca="1" si="523"/>
        <v>#N/A</v>
      </c>
      <c r="IA183" s="220" t="e">
        <f ca="1">Control!$C$153*$HO183</f>
        <v>#N/A</v>
      </c>
      <c r="IB183" s="218" t="e">
        <f t="shared" ca="1" si="524"/>
        <v>#N/A</v>
      </c>
      <c r="IC183" s="220" t="e">
        <f ca="1">Control!$C$153*$HT183</f>
        <v>#N/A</v>
      </c>
      <c r="ID183" s="218" t="e">
        <f t="shared" ca="1" si="525"/>
        <v>#N/A</v>
      </c>
      <c r="IE183" s="221" t="e">
        <f ca="1">($EB183*Control!$C$159+$EF183*Control!$C$160)/(IF($GZ183&lt;&gt;0,$GZ183,1))</f>
        <v>#N/A</v>
      </c>
      <c r="IF183" s="216" t="e">
        <f t="shared" ca="1" si="526"/>
        <v>#N/A</v>
      </c>
      <c r="IG183" s="91">
        <f ca="1">IF(OR(Control!$B$198=$AH183,Control!$B$199=$AH183, Control!$B$200=$AH183, Control!$B$201=$AH183, Control!$B$202=$AH183, Control!$B$203=$AH183, Control!$B$204=$AH183, Control!$B$205=$AH183, Control!$B$206=$AH183, Control!$B$207=$AH183), 1, 0)</f>
        <v>0</v>
      </c>
      <c r="IH183" s="91">
        <f ca="1">IF($IG183=0,0, VLOOKUP($AH183,Control!$B$198:$C$207,2))</f>
        <v>0</v>
      </c>
      <c r="II183" s="222">
        <f t="shared" ca="1" si="642"/>
        <v>0</v>
      </c>
      <c r="IJ183" s="91">
        <f>Control!$C$121</f>
        <v>0.7</v>
      </c>
      <c r="IK183" s="218">
        <f t="shared" ca="1" si="527"/>
        <v>0</v>
      </c>
      <c r="IL183" s="217" t="e">
        <f t="shared" ca="1" si="679"/>
        <v>#N/A</v>
      </c>
      <c r="IM183" s="223" t="e">
        <f ca="1">IF(AND(Control!$C$114=1,$KH183&lt;1),$EB183*Control!$C$148*(1-$KH183), 0)</f>
        <v>#N/A</v>
      </c>
      <c r="IN183" s="217" t="e">
        <f t="shared" ca="1" si="528"/>
        <v>#DIV/0!</v>
      </c>
      <c r="IO183" s="91" t="e">
        <f ca="1">MAX(0,$IL183-$EF183*Control!$C$160)</f>
        <v>#N/A</v>
      </c>
      <c r="IP183" s="220" t="e">
        <f t="shared" ca="1" si="529"/>
        <v>#N/A</v>
      </c>
      <c r="IQ183" s="217" t="e">
        <f t="shared" ca="1" si="643"/>
        <v>#N/A</v>
      </c>
      <c r="IR183" s="218" t="e">
        <f t="shared" ca="1" si="530"/>
        <v>#N/A</v>
      </c>
      <c r="IS183" s="217" t="e">
        <f ca="1">Control!$C$159*MAX(0,$FD183-$EN183)</f>
        <v>#N/A</v>
      </c>
      <c r="IT183" s="217" t="e">
        <f t="shared" ca="1" si="680"/>
        <v>#N/A</v>
      </c>
      <c r="IU183" s="217" t="e">
        <f t="shared" ca="1" si="644"/>
        <v>#N/A</v>
      </c>
      <c r="IV183" s="217" t="e">
        <f t="shared" ca="1" si="681"/>
        <v>#N/A</v>
      </c>
      <c r="IW183" s="217" t="e">
        <f ca="1">IF(OR($AW183=1,AND($AW183=0, Control!$B$18=1,$EN183&lt;&gt;0)), $IQ183-$IU183, $IQ183)</f>
        <v>#N/A</v>
      </c>
      <c r="IX183" s="218" t="e">
        <f t="shared" ca="1" si="531"/>
        <v>#N/A</v>
      </c>
      <c r="IY183" s="218" t="e">
        <f ca="1">MAX(0,$IQ183-$EB183*Control!$C$159)</f>
        <v>#N/A</v>
      </c>
      <c r="IZ183" s="218" t="e">
        <f t="shared" ca="1" si="532"/>
        <v>#N/A</v>
      </c>
      <c r="JA183" s="216" t="e">
        <f t="shared" ca="1" si="533"/>
        <v>#N/A</v>
      </c>
      <c r="JB183" s="217" t="e">
        <f t="shared" ca="1" si="534"/>
        <v>#N/A</v>
      </c>
      <c r="JC183" s="222" t="e">
        <f ca="1">MAX(Control!$C$157*$EK183-$JT183, 0)/Control!$C$162</f>
        <v>#N/A</v>
      </c>
      <c r="JD183" s="218" t="e">
        <f t="shared" ca="1" si="535"/>
        <v>#N/A</v>
      </c>
      <c r="JE183" s="218" t="e">
        <f t="shared" ca="1" si="536"/>
        <v>#N/A</v>
      </c>
      <c r="JF183" s="218" t="e">
        <f t="shared" ca="1" si="645"/>
        <v>#N/A</v>
      </c>
      <c r="JG183" s="218" t="e">
        <f t="shared" ca="1" si="537"/>
        <v>#N/A</v>
      </c>
      <c r="JH183" s="217" t="e">
        <f t="shared" ca="1" si="646"/>
        <v>#N/A</v>
      </c>
      <c r="JI183" s="217" t="e">
        <f t="shared" ca="1" si="647"/>
        <v>#N/A</v>
      </c>
      <c r="JJ183" s="217" t="e">
        <f t="shared" ca="1" si="682"/>
        <v>#N/A</v>
      </c>
      <c r="JK183" s="217" t="e">
        <f ca="1">IF(Control!$C$114=1,IF(Control!$B$24=0,MAX(0,$JI183)*$GN183/Control!$C$64,(MAX(0,MIN($JI183,$JJ183*$GN183/Control!$C$64),0))))</f>
        <v>#N/A</v>
      </c>
      <c r="JL183" s="217" t="e">
        <f ca="1">$IK183/Control!$C$64-$JK183+$HQ183</f>
        <v>#N/A</v>
      </c>
      <c r="JM183" s="217" t="e">
        <f ca="1">IF(Control!$C$114=1,($JB183/(IF($JI183&lt;&gt;0,$JI183,1)))*$JK183,0)</f>
        <v>#N/A</v>
      </c>
      <c r="JN183" s="217" t="e">
        <f ca="1">IF(Control!$C$114=1,($JG183/(IF($JI183&lt;&gt;0,$JI183,1)))*$JK183, 0)</f>
        <v>#N/A</v>
      </c>
      <c r="JO183" s="218" t="e">
        <f t="shared" ca="1" si="538"/>
        <v>#N/A</v>
      </c>
      <c r="JP183" s="218" t="e">
        <f ca="1">MIN(($IY183+$IO183)*Control!$C$151, $JF183-$EH183*Control!$C$161)</f>
        <v>#N/A</v>
      </c>
      <c r="JQ183" s="218" t="e">
        <f t="shared" ca="1" si="539"/>
        <v>#N/A</v>
      </c>
      <c r="JR183" s="217" t="e">
        <f ca="1">IF($CP183-Control!$C$150&lt;0, 0, $JQ183/Control!$C$162)</f>
        <v>#N/A</v>
      </c>
      <c r="JS183" s="218" t="e">
        <f t="shared" ca="1" si="540"/>
        <v>#N/A</v>
      </c>
      <c r="JT183" s="218" t="e">
        <f t="shared" ca="1" si="648"/>
        <v>#N/A</v>
      </c>
      <c r="JU183" s="218" t="e">
        <f t="shared" ca="1" si="541"/>
        <v>#N/A</v>
      </c>
      <c r="JV183" s="218" t="e">
        <f t="shared" ca="1" si="542"/>
        <v>#N/A</v>
      </c>
      <c r="JW183" s="216" t="e">
        <f t="shared" ca="1" si="543"/>
        <v>#N/A</v>
      </c>
      <c r="JX183" s="91" t="e">
        <f t="shared" ca="1" si="544"/>
        <v>#N/A</v>
      </c>
      <c r="JY183" s="218" t="e">
        <f t="shared" ca="1" si="545"/>
        <v>#N/A</v>
      </c>
      <c r="JZ183" s="217" t="e">
        <f ca="1">IF(Control!$C$114=1,($IZ183/(IF($JI183&lt;&gt;0,$JI183,1)))*$JK183, 0)</f>
        <v>#N/A</v>
      </c>
      <c r="KA183" s="218" t="e">
        <f t="shared" ca="1" si="683"/>
        <v>#N/A</v>
      </c>
      <c r="KB183" s="218" t="e">
        <f t="shared" ca="1" si="649"/>
        <v>#N/A</v>
      </c>
      <c r="KC183" s="218" t="e">
        <f t="shared" ca="1" si="546"/>
        <v>#N/A</v>
      </c>
      <c r="KD183" s="218" t="e">
        <f t="shared" ca="1" si="547"/>
        <v>#N/A</v>
      </c>
      <c r="KE183" s="218" t="e">
        <f t="shared" ca="1" si="548"/>
        <v>#N/A</v>
      </c>
      <c r="KF183" s="218" t="e">
        <f t="shared" ca="1" si="549"/>
        <v>#N/A</v>
      </c>
      <c r="KG183" s="216" t="e">
        <f t="shared" ca="1" si="550"/>
        <v>#N/A</v>
      </c>
      <c r="KH183" s="221" t="e">
        <f ca="1">IF(Control!$B$24=0,1,MAX(0.001,MIN(1,IF(($IF183-$IE183)&lt;&gt;0,($KG183-$IE183)/($IF183-$IE183),1))))</f>
        <v>#N/A</v>
      </c>
      <c r="KI183" s="222" t="e">
        <f ca="1">IF(Control!$C$114=1, $KI182+ $KH182, 0)</f>
        <v>#N/A</v>
      </c>
      <c r="KJ183" s="217" t="e">
        <f t="shared" ca="1" si="551"/>
        <v>#N/A</v>
      </c>
      <c r="KK183" s="218" t="e">
        <f t="shared" ca="1" si="552"/>
        <v>#N/A</v>
      </c>
      <c r="KL183" s="274" t="e">
        <f ca="1">IF(Control!$B$26=3,4000000000*EXP(-8400/($G183+273)),IF(Control!$B$26=4,4000000000*EXP(-8400/($G183+273))*($KT183),0))</f>
        <v>#DIV/0!</v>
      </c>
      <c r="KM183" s="274" t="e">
        <f ca="1">IF(Control!$B$26=3,5600000000000*EXP(-9800/($G183+273)),IF(Control!$B$26=4,5600000000000*EXP(-9800/($G183+273))*$KT183,0))</f>
        <v>#DIV/0!</v>
      </c>
      <c r="KN183" s="454" t="e">
        <f t="shared" ca="1" si="650"/>
        <v>#DIV/0!</v>
      </c>
      <c r="KO183" s="274" t="e">
        <f t="shared" ca="1" si="651"/>
        <v>#DIV/0!</v>
      </c>
      <c r="KP183" s="454" t="e">
        <f t="shared" ca="1" si="553"/>
        <v>#DIV/0!</v>
      </c>
      <c r="KQ183" s="454" t="e">
        <f t="shared" ca="1" si="554"/>
        <v>#DIV/0!</v>
      </c>
      <c r="KR183" s="454" t="e">
        <f t="shared" ca="1" si="555"/>
        <v>#DIV/0!</v>
      </c>
      <c r="KS183" s="454" t="e">
        <f t="shared" ca="1" si="556"/>
        <v>#DIV/0!</v>
      </c>
      <c r="KT183" s="455" t="e">
        <f t="shared" ca="1" si="557"/>
        <v>#DIV/0!</v>
      </c>
      <c r="KU183" s="456" t="e">
        <f ca="1">IF($CP183-Control!$C$149&lt;0, IF($NT183-0.01&lt;0,0,1),0)</f>
        <v>#N/A</v>
      </c>
      <c r="KV183" s="456" t="e">
        <f ca="1">IF(Control!$C$114=1,MAX(0,MIN(Control!$C$125*$KW183*$GN183,$KW183)))</f>
        <v>#DIV/0!</v>
      </c>
      <c r="KW183" s="456" t="e">
        <f t="shared" ca="1" si="684"/>
        <v>#DIV/0!</v>
      </c>
      <c r="KX183" s="457" t="e">
        <f ca="1">IF($CP183-Control!$C$149&lt;0, IF($MR183-$OM183&lt;0,0,1),0)</f>
        <v>#N/A</v>
      </c>
      <c r="KY183" s="167">
        <f t="shared" ca="1" si="652"/>
        <v>179</v>
      </c>
      <c r="KZ183" s="168">
        <f ca="1">1370*(1+0.033*COS(2*Control!$C$138*$AH183/365))</f>
        <v>1324.8720123725273</v>
      </c>
      <c r="LA183" s="169">
        <f t="shared" ca="1" si="653"/>
        <v>0.96705987736242871</v>
      </c>
      <c r="LB183" s="169">
        <f t="shared" ca="1" si="654"/>
        <v>0.40603190838717862</v>
      </c>
      <c r="LC183" s="169">
        <f ca="1">ACOS(-TAN((2*Control!$B$8/360))*TAN(Calculations!$LB183))</f>
        <v>1.6989206359114606</v>
      </c>
      <c r="LD183" s="169">
        <f ca="1">((24*60)/PI())*0.082*$LA183*(($LC183*SIN(Control!$B$8*2*PI()/360))*SIN($LB183)+COS(Control!$B$8*2*PI()/360)*COS($LB183)*SIN($LC183))</f>
        <v>39.609744241285355</v>
      </c>
      <c r="LE183" s="170">
        <f t="shared" ca="1" si="558"/>
        <v>41.318617986530001</v>
      </c>
      <c r="LF183" s="170">
        <f ca="1">SIN(Control!$C$139*Control!$B$8)*SIN($HD183)</f>
        <v>0.31162774264185594</v>
      </c>
      <c r="LG183" s="170">
        <f ca="1">COS(Control!$C$139*Control!$B$8)*COS($HD183)</f>
        <v>0.56547301987154253</v>
      </c>
      <c r="LH183" s="170">
        <f ca="1">12*(1+2*ASIN(MAX(-1,MIN(1,$LF183/$LG183))/Control!$C$138))</f>
        <v>16.231920000617947</v>
      </c>
      <c r="LI183" s="170">
        <f ca="1">12*(1+2*ASIN(MAX(-1,MIN(1,(-SIN(-4*Control!$C$139)+$LF183)/$LG183))/Control!$C$138))</f>
        <v>17.192844004110228</v>
      </c>
      <c r="LJ183" s="168">
        <f ca="1">3600*($LH183*$LF183+24*$LG183*SQRT(1-$LK183*$LK183)/Control!$C$138)</f>
        <v>31186.875109949895</v>
      </c>
      <c r="LK183" s="170">
        <f t="shared" ca="1" si="559"/>
        <v>0.55109215062576788</v>
      </c>
      <c r="LL183" s="170">
        <f t="shared" ca="1" si="560"/>
        <v>0</v>
      </c>
      <c r="LM183" s="171">
        <f ca="1">Control!$C$145*$AB183</f>
        <v>6.6660906138995932E-2</v>
      </c>
      <c r="LN183" s="170">
        <f t="shared" ca="1" si="655"/>
        <v>0.54</v>
      </c>
      <c r="LO183" s="170">
        <f t="shared" ca="1" si="561"/>
        <v>0</v>
      </c>
      <c r="LP183" s="170">
        <f ca="1">Control!$C$140*((($D183+273.16)^4+($E183+273.16)^4)/2)*(0.34-0.14*SQRT($Y183))*(1.35*$AQ183/(0.75*$LD183)-0.35)</f>
        <v>-3.2464704755046001</v>
      </c>
      <c r="LQ183" s="170">
        <f ca="1">Control!$C$140*($G183+273)^4*(0.56-0.079*SQRT($Y183*10))*(0.1+0.9*$LO183)</f>
        <v>1.5241745131704001</v>
      </c>
      <c r="LR183" s="170">
        <f ca="1">$AQ183*(1-Control!$C$142)-$LQ183</f>
        <v>-1.5241745131704001</v>
      </c>
      <c r="LS183" s="170">
        <f ca="1">$AQ183*(1-Control!$C$143)-$LQ183</f>
        <v>-1.5241745131704001</v>
      </c>
      <c r="LT183" s="170">
        <f ca="1">$AQ183*(1-Control!$C$144)-$LQ183</f>
        <v>-1.5241745131704001</v>
      </c>
      <c r="LU183" s="169">
        <f ca="1">(1-Control!$C$144)*AQ183-LP183</f>
        <v>3.2464704755046001</v>
      </c>
      <c r="LV183" s="172">
        <f t="shared" ca="1" si="562"/>
        <v>0.79430000000000012</v>
      </c>
      <c r="LW183" s="170">
        <f t="shared" ca="1" si="563"/>
        <v>1.5886000000000002</v>
      </c>
      <c r="LX183" s="170">
        <f ca="1">($AC183*($LR183/Control!$C$141)+$LM183*$LV183)/($AC183+$LM183)</f>
        <v>0.23530094218323697</v>
      </c>
      <c r="LY183" s="170">
        <f ca="1">($AC183*($LS183/Control!$C$141)+$LM183*$LV183)/($AC183+$LM183)</f>
        <v>0.23530094218323697</v>
      </c>
      <c r="LZ183" s="170">
        <f t="shared" ca="1" si="564"/>
        <v>0.23530094218323697</v>
      </c>
      <c r="MA183" s="170">
        <f t="shared" ca="1" si="565"/>
        <v>0.23530094218323697</v>
      </c>
      <c r="MB183" s="170" t="e">
        <f t="shared" ca="1" si="566"/>
        <v>#N/A</v>
      </c>
      <c r="MC183" s="170">
        <f t="shared" ca="1" si="656"/>
        <v>0.6018</v>
      </c>
      <c r="MD183" s="170">
        <f t="shared" ca="1" si="567"/>
        <v>0.52989392535414004</v>
      </c>
      <c r="ME183" s="170">
        <f ca="1">($AC183*($LT183/Control!$C$141)+$LM183*$LW183)/($AC183+$LM183)</f>
        <v>0.71612369323045078</v>
      </c>
      <c r="MF183" s="170" t="e">
        <f ca="1">IF(Control!$B$16&gt;=1000,0.92,IF(AND(720&lt;=Control!$B$16,1000&gt;Control!$B$16),(0.95+(Control!$B$16-720)*((0.92-0.95)/(1000-720))),IF(AND(360&lt;=Control!$B$16,720&gt;Control!$B$16),(1+(Control!$B$16-360)*((0.95-1)/(720-360))),IF(AND(40&lt;=Control!$B$16,360&gt;Control!$B$16),(1.05+(Control!$B$16-40)*((1.05-1)/(360-40)))))))</f>
        <v>#N/A</v>
      </c>
      <c r="MG183" s="170">
        <f t="shared" ca="1" si="568"/>
        <v>0.71612369323045078</v>
      </c>
      <c r="MH183" s="170" t="e">
        <f t="shared" ca="1" si="694"/>
        <v>#N/A</v>
      </c>
      <c r="MI183" s="170" t="e">
        <f t="shared" ca="1" si="694"/>
        <v>#N/A</v>
      </c>
      <c r="MJ183" s="170" t="e">
        <f ca="1">MAX(0.0001, Control!$C$132*$MI183*$DL183)</f>
        <v>#N/A</v>
      </c>
      <c r="MK183" s="170">
        <f ca="1">1/(0.76+1.5*($MG183/10))-(5-Control!$C$110)*0.1</f>
        <v>1.002845988140797</v>
      </c>
      <c r="ML183" s="173">
        <f ca="1">IF(Control!$C$110&lt;3,$MK183+($MG183-0.6)/(Control!$C$110*(Control!$C$110+3)), MAX(0.1, MIN(0.95,$MK183)))</f>
        <v>0.95</v>
      </c>
      <c r="MM183" s="173">
        <f ca="1">IF(Control!$C$110&lt;3,$MK183+(($MI183/10)-0.6)/(Control!$C$110*(Control!$C$110+3)), MAX(0.1, MIN(0.95,$MK183)))</f>
        <v>0.95</v>
      </c>
      <c r="MN183" s="173">
        <f ca="1">(1-$MM183)*(Control!$C$128-Control!$C$127)+Control!$C$127</f>
        <v>0.16</v>
      </c>
      <c r="MO183" s="170" t="e">
        <f ca="1">MAX(0,MIN(1,($MS183-Control!$C$127)/($MN183-Control!$C$127)))</f>
        <v>#DIV/0!</v>
      </c>
      <c r="MP183" s="173" t="e">
        <f ca="1">1/(0.76+1.5*$MI183)-(5-Control!$C$110)*0.1</f>
        <v>#N/A</v>
      </c>
      <c r="MQ183" s="172" t="e">
        <f t="shared" ca="1" si="685"/>
        <v>#DIV/0!</v>
      </c>
      <c r="MR183" s="168" t="e">
        <f t="shared" ca="1" si="657"/>
        <v>#DIV/0!</v>
      </c>
      <c r="MS183" s="173" t="e">
        <f ca="1">MAX(Control!$C$127, MIN(Control!$C$135, $MR183/MAX(0.0001,$CY183)))</f>
        <v>#DIV/0!</v>
      </c>
      <c r="MT183" s="168" t="e">
        <f ca="1">(Control!$C$128-$MS183)*Control!$C$74</f>
        <v>#DIV/0!</v>
      </c>
      <c r="MU183" s="168" t="e">
        <f ca="1">(Control!$C$135-$MS183)*Control!$C$74</f>
        <v>#DIV/0!</v>
      </c>
      <c r="MV183" s="168" t="e">
        <f t="shared" ca="1" si="658"/>
        <v>#DIV/0!</v>
      </c>
      <c r="MW183" s="168" t="e">
        <f t="shared" ca="1" si="659"/>
        <v>#DIV/0!</v>
      </c>
      <c r="MX183" s="171" t="e">
        <f ca="1">MAX(Control!$C$127, MIN(Control!$C$135, $MW183/MAX(0.0001,Control!$C$119-$CY183)))</f>
        <v>#DIV/0!</v>
      </c>
      <c r="MY183" s="54" t="e">
        <f ca="1">IF(Control!$C$114=1, $CX183*$MX183, 0)</f>
        <v>#DIV/0!</v>
      </c>
      <c r="MZ183" s="54" t="e">
        <f t="shared" ca="1" si="660"/>
        <v>#N/A</v>
      </c>
      <c r="NA183" s="168" t="e">
        <f ca="1">(Control!$C$128-$MX183)*(Control!$C$119-Control!$C$74)</f>
        <v>#DIV/0!</v>
      </c>
      <c r="NB183" s="168" t="e">
        <f ca="1">(Control!$C$135-$MX183)*(Control!$C$119-Control!$C$74)</f>
        <v>#DIV/0!</v>
      </c>
      <c r="NC183" s="174" t="e">
        <f t="shared" ca="1" si="661"/>
        <v>#DIV/0!</v>
      </c>
      <c r="ND183" s="54">
        <f ca="1">IF(Control!$C$58=2, IF(OR(Control!$B$218=$AH183,Control!$B$219=$AH183, Control!$B$220=$AH183, Control!$B$221=$AH183, Control!$B$222=$AH183, Control!$B$223=$AH183, Control!$B$224=$AH183, Control!$B$225=$AH183, Control!$B$226=$AH183, Control!$B$227=$AH183, Control!$B$228=$AH183), 1, 0), 0)</f>
        <v>0</v>
      </c>
      <c r="NE183" s="54">
        <f ca="1">IF($ND183=0,0, VLOOKUP($AH183,Control!$B$218:$C$228,2))</f>
        <v>0</v>
      </c>
      <c r="NF183" s="168" t="e">
        <f ca="1">$CY183*(Control!$C$128-Control!$C$127)</f>
        <v>#N/A</v>
      </c>
      <c r="NG183" s="54" t="e">
        <f ca="1">IF(Control!$C$58=2, $NI182-$NJ182, 0)</f>
        <v>#DIV/0!</v>
      </c>
      <c r="NH183" s="54" t="e">
        <f ca="1">IF(AND(Control!$C$58=1, $MS182&lt;= ($MN182+0.02), $I182&lt;10), 0, IF(Control!$C$58=2, $NG182, 0))</f>
        <v>#DIV/0!</v>
      </c>
      <c r="NI183" s="54" t="e">
        <f ca="1">IF(Control!$C$58=2, $NE183+$NH183,0)</f>
        <v>#DIV/0!</v>
      </c>
      <c r="NJ183" s="54" t="e">
        <f ca="1">IF(AND(Control!$C$58=1, $MS183&lt;= ($MN183+0.02), $I183&lt;10), MAX(0, MIN(10, 0.7*($NF183-$MV183))), IF(Control!$C$58=2, MIN(10,$NI183),0))</f>
        <v>#DIV/0!</v>
      </c>
      <c r="NK183" s="54" t="e">
        <f t="shared" ca="1" si="569"/>
        <v>#DIV/0!</v>
      </c>
      <c r="NL183" s="173" t="e">
        <f ca="1">(1-Control!$C$73)*$I183+$NJ183</f>
        <v>#DIV/0!</v>
      </c>
      <c r="NM183" s="172" t="e">
        <f ca="1">IF($NL183&lt;0.5, $MB183* MAX(0, MIN(1, (SQRT($NC183)-SQRT($NC183-1))*Control!$C$71)),0)</f>
        <v>#DIV/0!</v>
      </c>
      <c r="NN183" s="170" t="e">
        <f ca="1">IF($NL183&gt;=5, $MB183, MAX(0,MIN($MB183, $NM183+$NL183,($MS183-Control!$C$129))))</f>
        <v>#DIV/0!</v>
      </c>
      <c r="NO183" s="54">
        <f>IF(Control!$C$133&lt;&gt;1, Control!$C$135-Control!$C$131, 0)</f>
        <v>0.38</v>
      </c>
      <c r="NP183" s="54" t="e">
        <f t="shared" ca="1" si="570"/>
        <v>#DIV/0!</v>
      </c>
      <c r="NQ183" s="173" t="e">
        <f ca="1">MAX(0,MIN(1,(Control!$C$135-$MS183)/(Control!$C$135-$NO183)))</f>
        <v>#DIV/0!</v>
      </c>
      <c r="NR183" s="170" t="e">
        <f ca="1">IF(Control!$C$133&lt;&gt;1, $NQ183+((1-$NP183/4)*(1-$NQ183)),1)</f>
        <v>#DIV/0!</v>
      </c>
      <c r="NS183" s="170" t="e">
        <f ca="1">IF(Control!$B$31=0,$MJ183,MAX(0,MIN($MV183,$MO183*$NR183*$MJ183)))</f>
        <v>#DIV/0!</v>
      </c>
      <c r="NT183" s="170" t="e">
        <f t="shared" ca="1" si="686"/>
        <v>#DIV/0!</v>
      </c>
      <c r="NU183" s="170" t="e">
        <f t="shared" ca="1" si="662"/>
        <v>#N/A</v>
      </c>
      <c r="NV183" s="170" t="e">
        <f t="shared" ca="1" si="571"/>
        <v>#N/A</v>
      </c>
      <c r="NW183" s="175" t="e">
        <f t="shared" ca="1" si="572"/>
        <v>#DIV/0!</v>
      </c>
      <c r="NX183" s="170" t="e">
        <f ca="1">MIN(Control!$C$72+$MU183, $NW183)</f>
        <v>#DIV/0!</v>
      </c>
      <c r="NY183" s="170" t="e">
        <f ca="1">IF($MT183&lt;=$NX183,MIN(Control!$C$72+$NB183,$NX183-$MT183),0)</f>
        <v>#DIV/0!</v>
      </c>
      <c r="NZ183" s="54" t="e">
        <f ca="1">IF(Control!$C$114=1,  $CX183*($MX183-Control!$C$127), 0)</f>
        <v>#DIV/0!</v>
      </c>
      <c r="OA183" s="170" t="e">
        <f t="shared" ca="1" si="573"/>
        <v>#DIV/0!</v>
      </c>
      <c r="OB183" s="170" t="e">
        <f ca="1">IF($NA183 &lt;=$NY183, MIN(Control!$C$72, $NY183-$NA183), 0)</f>
        <v>#DIV/0!</v>
      </c>
      <c r="OC183" s="168" t="e">
        <f t="shared" ca="1" si="574"/>
        <v>#DIV/0!</v>
      </c>
      <c r="OD183" s="168" t="e">
        <f t="shared" ca="1" si="663"/>
        <v>#DIV/0!</v>
      </c>
      <c r="OE183" s="170">
        <f ca="1">Control!$C$73*$I183</f>
        <v>0</v>
      </c>
      <c r="OF183" s="176" t="e">
        <f t="shared" ca="1" si="575"/>
        <v>#DIV/0!</v>
      </c>
      <c r="OG183" s="168" t="e">
        <f t="shared" ca="1" si="576"/>
        <v>#DIV/0!</v>
      </c>
      <c r="OH183" s="168" t="e">
        <f t="shared" ca="1" si="577"/>
        <v>#DIV/0!</v>
      </c>
      <c r="OI183" s="168" t="e">
        <f t="shared" ca="1" si="578"/>
        <v>#DIV/0!</v>
      </c>
      <c r="OJ183" s="168" t="e">
        <f t="shared" ca="1" si="579"/>
        <v>#DIV/0!</v>
      </c>
      <c r="OK183" s="204" t="e">
        <f t="shared" ca="1" si="580"/>
        <v>#DIV/0!</v>
      </c>
      <c r="OL183" s="177">
        <f>Control!$C$127</f>
        <v>0.15</v>
      </c>
      <c r="OM183" s="182" t="e">
        <f t="shared" ca="1" si="581"/>
        <v>#N/A</v>
      </c>
      <c r="ON183" s="177">
        <f>Control!$C$128</f>
        <v>0.35</v>
      </c>
      <c r="OO183" s="182" t="e">
        <f t="shared" ca="1" si="582"/>
        <v>#N/A</v>
      </c>
      <c r="OP183" s="138">
        <f t="shared" ca="1" si="664"/>
        <v>0</v>
      </c>
      <c r="OQ183" s="138" t="e">
        <f t="shared" ca="1" si="687"/>
        <v>#DIV/0!</v>
      </c>
      <c r="OR183" s="138" t="e">
        <f t="shared" ca="1" si="665"/>
        <v>#DIV/0!</v>
      </c>
      <c r="OS183" s="137" t="e">
        <f t="shared" ca="1" si="688"/>
        <v>#DIV/0!</v>
      </c>
      <c r="OT183" s="139" t="e">
        <f t="shared" ca="1" si="689"/>
        <v>#DIV/0!</v>
      </c>
      <c r="OU183" s="138" t="e">
        <f t="shared" ca="1" si="690"/>
        <v>#N/A</v>
      </c>
      <c r="OV183" s="138" t="e">
        <f t="shared" ca="1" si="691"/>
        <v>#DIV/0!</v>
      </c>
      <c r="OW183" s="138" t="e">
        <f t="shared" ca="1" si="666"/>
        <v>#DIV/0!</v>
      </c>
      <c r="OX183" s="138" t="e">
        <f t="shared" ca="1" si="667"/>
        <v>#DIV/0!</v>
      </c>
      <c r="OY183" s="138" t="e">
        <f t="shared" ca="1" si="668"/>
        <v>#DIV/0!</v>
      </c>
      <c r="OZ183" s="138" t="e">
        <f t="shared" ca="1" si="583"/>
        <v>#DIV/0!</v>
      </c>
      <c r="PA183" s="138" t="e">
        <f t="shared" ca="1" si="584"/>
        <v>#DIV/0!</v>
      </c>
      <c r="PB183" s="55">
        <f>IF(Control!$C$61="T", IF(Control!$C$65="F", IF($AH$6-Control!$C$60&lt;0,0,1), IF(365+$AH$6-Control!$C$60&lt;0,0,1)),0)</f>
        <v>0</v>
      </c>
      <c r="PC183" s="55">
        <f ca="1">IF(Control!$C$65="F", IF($AH$6-$HF183&lt;0,0,1), IF(365+$AH$6-$HF183&lt;0,0,1))</f>
        <v>1</v>
      </c>
      <c r="PD183" s="444">
        <f>Control!$C$118</f>
        <v>1500</v>
      </c>
      <c r="PE183" s="180" t="e">
        <f t="shared" ca="1" si="585"/>
        <v>#N/A</v>
      </c>
      <c r="PF183" s="445">
        <f t="shared" ca="1" si="669"/>
        <v>0.71612369323045078</v>
      </c>
      <c r="PT183" s="186"/>
      <c r="PU183" s="186"/>
      <c r="PV183" s="94"/>
      <c r="PW183" s="94"/>
      <c r="PX183" s="94"/>
      <c r="PY183" s="94"/>
      <c r="PZ183" s="94"/>
      <c r="QA183" s="94"/>
      <c r="QB183" s="94"/>
      <c r="QC183" s="94"/>
      <c r="QD183" s="94"/>
      <c r="QE183" s="94"/>
      <c r="QF183" s="94"/>
      <c r="QG183" s="94"/>
      <c r="QH183" s="94"/>
      <c r="QI183" s="94"/>
      <c r="QJ183" s="94"/>
      <c r="QK183" s="94"/>
      <c r="QL183" s="94"/>
      <c r="QM183" s="94"/>
      <c r="QN183" s="94"/>
      <c r="QO183" s="94"/>
      <c r="QP183" s="94"/>
    </row>
    <row r="184" spans="1:458" s="2" customFormat="1" x14ac:dyDescent="0.2">
      <c r="A184" s="395">
        <v>28</v>
      </c>
      <c r="B184" s="396">
        <v>6</v>
      </c>
      <c r="C184" s="387">
        <f ca="1">Weather_data!$B183</f>
        <v>0</v>
      </c>
      <c r="D184" s="388">
        <f ca="1">Weather_data!$F183</f>
        <v>0</v>
      </c>
      <c r="E184" s="388">
        <f ca="1">Weather_data!$E183</f>
        <v>0</v>
      </c>
      <c r="F184" s="388">
        <f t="shared" ca="1" si="586"/>
        <v>0</v>
      </c>
      <c r="G184" s="388">
        <f ca="1">AVERAGE($D184:$E184)+Control!$B$9</f>
        <v>0</v>
      </c>
      <c r="H184" s="388">
        <f ca="1">Weather_data!$G183</f>
        <v>0</v>
      </c>
      <c r="I184" s="388">
        <f ca="1">Weather_data!$I183</f>
        <v>0</v>
      </c>
      <c r="J184" s="388">
        <f ca="1">Weather_data!$H183</f>
        <v>0</v>
      </c>
      <c r="K184" s="389">
        <f ca="1">Weather_data!$D183</f>
        <v>0</v>
      </c>
      <c r="L184" s="388" t="e">
        <f t="shared" ca="1" si="587"/>
        <v>#N/A</v>
      </c>
      <c r="M184" s="388" t="e">
        <f t="shared" ca="1" si="465"/>
        <v>#N/A</v>
      </c>
      <c r="N184" s="388">
        <f t="shared" ca="1" si="466"/>
        <v>-3.5820915773463334E-9</v>
      </c>
      <c r="O184" s="388">
        <f t="shared" ca="1" si="588"/>
        <v>3.5820915773463334E-8</v>
      </c>
      <c r="P184" s="390">
        <v>3</v>
      </c>
      <c r="Q184" s="388">
        <f ca="1">MAX($G184-Control!$C$107,0)</f>
        <v>0</v>
      </c>
      <c r="R184" s="388">
        <f t="shared" ca="1" si="589"/>
        <v>0</v>
      </c>
      <c r="S184" s="388">
        <f t="shared" ca="1" si="467"/>
        <v>0</v>
      </c>
      <c r="T184" s="388">
        <f t="shared" ca="1" si="468"/>
        <v>0</v>
      </c>
      <c r="U184" s="59">
        <f t="shared" ca="1" si="469"/>
        <v>0</v>
      </c>
      <c r="V184" s="391">
        <f ca="1">MAX(0,MIN(Control!$C$100-Control!$C$99,$G184-Control!$C$99)*Control!$C$63)</f>
        <v>0</v>
      </c>
      <c r="W184" s="388">
        <f t="shared" ca="1" si="590"/>
        <v>0</v>
      </c>
      <c r="X184" s="388">
        <f t="shared" ca="1" si="591"/>
        <v>0.6110000000000001</v>
      </c>
      <c r="Y184" s="388">
        <f t="shared" ca="1" si="470"/>
        <v>0</v>
      </c>
      <c r="Z184" s="388">
        <f t="shared" ca="1" si="592"/>
        <v>0.61058800000000002</v>
      </c>
      <c r="AA184" s="388">
        <f t="shared" ca="1" si="471"/>
        <v>0.6018</v>
      </c>
      <c r="AB184" s="388">
        <f ca="1">101.3*EXP(-0.034*Control!$C$66/($G184+273))</f>
        <v>100.69623283836242</v>
      </c>
      <c r="AC184" s="392">
        <f t="shared" ca="1" si="472"/>
        <v>4.3460251046025113E-2</v>
      </c>
      <c r="AD184" s="392">
        <f t="shared" ca="1" si="473"/>
        <v>4.4450382862832649E-2</v>
      </c>
      <c r="AE184" s="388">
        <f t="shared" ca="1" si="474"/>
        <v>0</v>
      </c>
      <c r="AF184" s="388">
        <f ca="1">MAX(0,$G184-Control!$C$92)</f>
        <v>0</v>
      </c>
      <c r="AG184" s="393">
        <f t="shared" ca="1" si="475"/>
        <v>180</v>
      </c>
      <c r="AH184" s="389">
        <f t="shared" ca="1" si="476"/>
        <v>180</v>
      </c>
      <c r="AI184" s="388">
        <f t="shared" ca="1" si="593"/>
        <v>0.40567287374339012</v>
      </c>
      <c r="AJ184" s="388">
        <f ca="1">IF(Control!$C$60&lt;=0,$HH184,$HI184)</f>
        <v>1</v>
      </c>
      <c r="AK184" s="388">
        <f t="shared" ca="1" si="477"/>
        <v>1.7214206321039962</v>
      </c>
      <c r="AL184" s="388">
        <f t="shared" ca="1" si="478"/>
        <v>3.6052411056530784E-19</v>
      </c>
      <c r="AM184" s="388">
        <f t="shared" ca="1" si="479"/>
        <v>1.7214206321039962</v>
      </c>
      <c r="AN184" s="388">
        <f t="shared" ca="1" si="480"/>
        <v>0.40421369670288687</v>
      </c>
      <c r="AO184" s="388">
        <f ca="1">-0.10453/COS(Control!$B$8*PI()/180)*COS(AN184)</f>
        <v>-0.15610222992006678</v>
      </c>
      <c r="AP184" s="388">
        <f ca="1">ACOS(AO184-TAN(Control!$B$8*PI()/180)*TAN(AN184))</f>
        <v>2.3512777865910026</v>
      </c>
      <c r="AQ184" s="388">
        <f t="shared" ca="1" si="594"/>
        <v>0</v>
      </c>
      <c r="AR184" s="394">
        <f t="shared" ca="1" si="481"/>
        <v>0</v>
      </c>
      <c r="AS184" s="436">
        <f ca="1">IF(Control!$B$18=2,(IF(OR($AH184=Control!$B$175,$AH184=Control!$B$176,$AH184=Control!$B$177,$AH184=Control!$B$178,$AH184=Control!$B$179,$AH184=Control!$B$180,$AH184=Control!$B$181,$AH184=Control!$B$182,$AH184=Control!$B$183,$AH184=Control!$B$184,$AH184=Control!$B$185),1,0)),0)</f>
        <v>0</v>
      </c>
      <c r="AT184" s="436">
        <f>IF(Control!$B$20=8,IF(AND($AH184&gt;=Control!$B$172,$AH184&lt;=Control!$B$173),1,0),0)</f>
        <v>0</v>
      </c>
      <c r="AU184" s="436">
        <f>IF(Control!$B$20=8,IF($AV183=1,1*$AT184,IF($AT184=1,$AU183+1,$AU183)),0)</f>
        <v>0</v>
      </c>
      <c r="AV184" s="436">
        <f>IF(Control!$B$20=8,IF($AU184&gt;=Control!$B$174,1,0),0)</f>
        <v>0</v>
      </c>
      <c r="AW184" s="436">
        <f ca="1">IF(AND(Control!$B$18=2,Control!$B$171=1), $AV184, $AS184)</f>
        <v>0</v>
      </c>
      <c r="AX184" s="436" t="e">
        <f ca="1">IF(AND(Control!$B$18=1,$EU184&gt;=Control!$B$19),-$AY184,IF(AND(Control!$B$18=2,$AW184=1,$EU184&gt;$DS184),-$AY184, IF(Control!$C$108=0,0, IF(Control!$C$108&lt;&gt;0,1))))</f>
        <v>#N/A</v>
      </c>
      <c r="AY184" s="436" t="e">
        <f t="shared" ca="1" si="595"/>
        <v>#N/A</v>
      </c>
      <c r="AZ184" s="436" t="e">
        <f ca="1">IF(AND(Control!$B$18=1,$EB184&gt;Control!$B$19),$AZ183+1, IF(AND(Control!$B$18=2, $AW184=1, $EB184&gt;$DS184), $AZ183+1,$AZ183))</f>
        <v>#N/A</v>
      </c>
      <c r="BA184" s="587">
        <f>IF(Control!$C$81=0,1,IF($AH184&gt;=Control!$C$82,1,0))</f>
        <v>1</v>
      </c>
      <c r="BB184" s="140" t="e">
        <f ca="1">IF($BA184&gt;$BA183,Control!$C$83,IF($AW184&gt;0,$AW184*Control!$C$84,IF(AND(Control!$B$18=1,EN183&lt;&gt;0),Control!$C$84,0)))</f>
        <v>#N/A</v>
      </c>
      <c r="BC184" s="140" t="e">
        <f t="shared" ca="1" si="596"/>
        <v>#N/A</v>
      </c>
      <c r="BD184" s="140" t="e">
        <f ca="1">BC184*IF(OR($G184&lt;Control!$C$92,$G184&gt;Control!$C$95),0,IF(AND($G184&gt;=Control!$C$92,$G184&lt;=Control!$C$93),$G184-Control!$C$92,IF(AND($G184&gt;Control!$C$93,$G184&lt;=Control!$C$94),Control!$C$93-Control!$C$92,IF(AND($G184&gt;Control!$C$94,$G184&lt;=Control!$C$95),(Control!$C$93-Control!$C$92)*(Control!$C$94-$G184)/(Control!$C$95-Control!$C$94)))))</f>
        <v>#N/A</v>
      </c>
      <c r="BE184" s="140" t="e">
        <f t="shared" ca="1" si="597"/>
        <v>#N/A</v>
      </c>
      <c r="BF184" s="140" t="e">
        <f ca="1">IF($BE184&lt;=Control!$C$86,$BE184,Control!$C$86-$BE184)</f>
        <v>#N/A</v>
      </c>
      <c r="BG184" s="140" t="e">
        <f ca="1">IF(AND($AW184=1,Control!$C$84&lt;9),1,IF($BE184&gt;=Control!$C$86,0,$BC184))</f>
        <v>#N/A</v>
      </c>
      <c r="BH184" s="404" t="e">
        <f ca="1">IF($BG184=0,0,IF($BE184&lt;=Control!$C$86,$BC184*9*($BF184/Control!$C$86),0))</f>
        <v>#N/A</v>
      </c>
      <c r="BI184" s="140" t="e">
        <f ca="1">IF($BG184=1,0,IF($BE184&gt;=Control!$C$86,1,IF(AND($BB184&lt;21,$BB184&gt;=9),1,$BM183)))</f>
        <v>#N/A</v>
      </c>
      <c r="BJ184" s="140" t="e">
        <f ca="1">IF($BF184&lt;0,-$BF184,$BI184*IF(OR($G184&lt;Control!$C$92,$G184&gt;Control!$C$95),0,IF(AND($G184&gt;=Control!$C$92,$G184&lt;=Control!$C$93),$G184-Control!$C$92,IF(AND($G184&gt;Control!$C$93,$G184&lt;=Control!$C$94),Control!$C$93-Control!$C$92,IF(AND($G184&gt;Control!$C$94,$G184&lt;=Control!$C$95),(Control!$C$93-Control!$C$92)*(Control!$C$94-$G184)/(Control!$C$95-Control!$C$94))))))</f>
        <v>#N/A</v>
      </c>
      <c r="BK184" s="140" t="e">
        <f t="shared" ca="1" si="598"/>
        <v>#N/A</v>
      </c>
      <c r="BL184" s="140" t="e">
        <f ca="1">IF($BK184&lt;=Control!$C$87,$BK184,Control!$C$87-$BK184)</f>
        <v>#N/A</v>
      </c>
      <c r="BM184" s="140" t="e">
        <f ca="1">IF(AND($BB184&gt;=9,$BB184&lt;21),1,IF($BK184&gt;=Control!$C$87,0,$BI184))</f>
        <v>#N/A</v>
      </c>
      <c r="BN184" s="404" t="e">
        <f ca="1">IF($BM184=0,0,IF($BK184&lt;=Control!$C$87,$BI184*(9+(21-9)*($BL184/Control!$C$87)),0))</f>
        <v>#N/A</v>
      </c>
      <c r="BO184" s="140" t="e">
        <f ca="1">IF($BM184=1,0,IF($BK184&gt;=Control!$C$87,1,IF(AND($BB184&lt;30,$BB184&gt;=21),1,$BS183)))</f>
        <v>#N/A</v>
      </c>
      <c r="BP184" s="140" t="e">
        <f ca="1">IF($BL184&lt;0,-$BL184,$BO184*IF(OR($G184&lt;Control!$C$92,$G184&gt;Control!$C$95),0,IF(AND($G184&gt;=Control!$C$92,$G184&lt;=Control!$C$93),$G184-Control!$C$92,IF(AND($G184&gt;Control!$C$93,$G184&lt;=Control!$C$94),Control!$C$93-Control!$C$92,IF(AND($G184&gt;Control!$C$94,$G184&lt;=Control!$C$95),(Control!$C$93-Control!$C$92)*(Control!$C$94-$G184)/(Control!$C$95-Control!$C$94))))))</f>
        <v>#N/A</v>
      </c>
      <c r="BQ184" s="140" t="e">
        <f t="shared" ca="1" si="482"/>
        <v>#N/A</v>
      </c>
      <c r="BR184" s="140" t="e">
        <f ca="1">IF($BQ184&lt;=Control!$C$88,$BQ184,Control!$C$88-$BQ184)</f>
        <v>#N/A</v>
      </c>
      <c r="BS184" s="140" t="e">
        <f ca="1">IF(AND($BB184&gt;=21,$BB184&lt;30),1,IF($BQ184&gt;=Control!$C$88,0,$BO184))</f>
        <v>#N/A</v>
      </c>
      <c r="BT184" s="404" t="e">
        <f ca="1">IF($BS184=0,0,IF($BQ184&lt;=Control!$C$88,$BO184*(21+(30-21)*(BR184/Control!$C$88)),0))</f>
        <v>#N/A</v>
      </c>
      <c r="BU184" s="140" t="e">
        <f ca="1">IF(BG184+BM184+BS184=1,0,IF(OR(AND($BB184&lt;60,$BB184&gt;=30),$BQ184&gt;=Control!$C$88),1*$BA184,$BY183))</f>
        <v>#N/A</v>
      </c>
      <c r="BV184" s="140" t="e">
        <f ca="1">IF($BR184&lt;0,-$BR184,$BU184*IF(OR($G184&lt;Control!$C$92,$G184&gt;Control!$C$95),0,IF(AND($G184&gt;=Control!$C$92,$G184&lt;=Control!$C$93),$G184-Control!$C$92,IF(AND($G184&gt;Control!$C$93,$G184&lt;=Control!$C$94),Control!$C$93-Control!$C$92,IF(AND($G184&gt;Control!$C$94,$G184&lt;=Control!$C$95),(Control!$C$93-Control!$C$92)*(Control!$C$94-$G184)/(Control!$C$95-Control!$C$94))))))</f>
        <v>#N/A</v>
      </c>
      <c r="BW184" s="140" t="e">
        <f t="shared" ca="1" si="483"/>
        <v>#N/A</v>
      </c>
      <c r="BX184" s="140" t="e">
        <f ca="1">IF($BW184&lt;=Control!$C$89,$BW184,Control!$C$89-$BW184)</f>
        <v>#N/A</v>
      </c>
      <c r="BY184" s="140" t="e">
        <f ca="1">IF(AND($AJ184&gt;=30,$AJ184&lt;60),1,IF($BW184&gt;=Control!$C$89,0,$BU184))</f>
        <v>#N/A</v>
      </c>
      <c r="BZ184" s="404" t="e">
        <f ca="1">IF($BY184=0,0,IF($BW184&lt;=Control!$C$89,$BU184*(30+(60-30)*(BX184/Control!$C$89)),0))</f>
        <v>#N/A</v>
      </c>
      <c r="CA184" s="140" t="e">
        <f ca="1">IF($BG184+$BM184+$BS184+$BY184=1,0,IF(OR(AND($BB184&lt;65,$BB184&gt;=60),$BW184&gt;=Control!$C$89),1*$BA184,$CE183))</f>
        <v>#N/A</v>
      </c>
      <c r="CB184" s="140" t="e">
        <f ca="1">IF($BX184&lt;0,-$BX184,$CA184*IF(OR($G184&lt;Control!$C$92,$G184&gt;Control!$C$95),0,IF(AND($G184&gt;=Control!$C$92,$G184&lt;=Control!$C$93),$G184-Control!$C$92,IF(AND($G184&gt;Control!$C$93,$G184&lt;=Control!$C$94),Control!$C$93-Control!$C$92,IF(AND($G184&gt;Control!$C$94,$G184&lt;=Control!$C$95),(Control!$C$93-Control!$C$92)*(Control!$C$94-$G184)/(Control!$C$95-Control!$C$94))))))</f>
        <v>#N/A</v>
      </c>
      <c r="CC184" s="140" t="e">
        <f t="shared" ca="1" si="599"/>
        <v>#N/A</v>
      </c>
      <c r="CD184" s="140" t="e">
        <f ca="1">IF($CC184&lt;=Control!$C$90,$CC184,Control!$C$90-$CC184)</f>
        <v>#N/A</v>
      </c>
      <c r="CE184" s="140" t="e">
        <f ca="1">IF(AND($BB184&gt;=60,$BB184&lt;65),1,IF($CC184&gt;=Control!$C$90,0,$CA184))</f>
        <v>#N/A</v>
      </c>
      <c r="CF184" s="404" t="e">
        <f ca="1">IF($CE184=0,0,IF($CC184&lt;=Control!$C$90,$CA184*(60+(65-60)*(CD184/Control!$C$90)),0))</f>
        <v>#N/A</v>
      </c>
      <c r="CG184" s="140" t="e">
        <f ca="1">IF($BG184+$BM184+$BS184+$BY184+$CE184=1,0,IF(OR(AND($BB184&lt;90,$BB184&gt;=65),$CC184&gt;=Control!$C$90),$BA184,$CK183))</f>
        <v>#N/A</v>
      </c>
      <c r="CH184" s="140" t="e">
        <f ca="1">IF($CD184&lt;0,-$CD184,$CG184*IF(OR($G184&lt;Control!$C$92,$G184&gt;Control!$C$95),0,IF(AND($G184&gt;=Control!$C$92,$G184&lt;=Control!$C$93),$G184-Control!$C$92,IF(AND($G184&gt;Control!$C$93,$G184&lt;=Control!$C$94),Control!$C$93-Control!$C$92,IF(AND($G184&gt;Control!$C$94,$G184&lt;=Control!$C$95),(Control!$C$93-Control!$C$92)*(Control!$C$94-$G184)/(Control!$C$95-Control!$C$94))))))</f>
        <v>#N/A</v>
      </c>
      <c r="CI184" s="140" t="e">
        <f t="shared" ca="1" si="600"/>
        <v>#N/A</v>
      </c>
      <c r="CJ184" s="140" t="e">
        <f ca="1">IF($CI184&lt;=Control!$C$91,$CI184,Control!$C$91-$CI184)</f>
        <v>#N/A</v>
      </c>
      <c r="CK184" s="140" t="e">
        <f ca="1">IF(AND($BB184&gt;=65,$BB184&lt;90),1,IF($CI184&gt;=Control!$C$91,0,$CG184))</f>
        <v>#N/A</v>
      </c>
      <c r="CL184" s="404" t="e">
        <f ca="1">IF($CK184=0,0,IF($CI184&lt;=Control!$C$91,$CG184*(65+(90-65)*($CJ184/Control!$C$91)),0))</f>
        <v>#N/A</v>
      </c>
      <c r="CM184" s="140" t="e">
        <f ca="1">IF($BG184+$BM184+$BS184+$BY184+$CE184+$CK184=1,0,IF(OR($BB184&gt;=90,$CI184&gt;=Control!$C$91),$BA184,$CM183))</f>
        <v>#N/A</v>
      </c>
      <c r="CN184" s="140" t="e">
        <f t="shared" ca="1" si="601"/>
        <v>#N/A</v>
      </c>
      <c r="CO184" s="140" t="e">
        <f t="shared" ca="1" si="602"/>
        <v>#N/A</v>
      </c>
      <c r="CP184" s="140" t="e">
        <f t="shared" ca="1" si="603"/>
        <v>#N/A</v>
      </c>
      <c r="CQ184" s="141" t="e">
        <f ca="1">VLOOKUP($CP184,Control!$B$86:$G$91,6)</f>
        <v>#N/A</v>
      </c>
      <c r="CR184" s="141" t="e">
        <f ca="1">(1-$CQ184)*VLOOKUP($CP184,Control!$B$86:$D$91,3)</f>
        <v>#N/A</v>
      </c>
      <c r="CS184" s="141" t="e">
        <f ca="1">(1-$CQ184)*VLOOKUP($CP184,Control!$B$86:$E$91,4)</f>
        <v>#N/A</v>
      </c>
      <c r="CT184" s="141" t="e">
        <f ca="1">(1-$CQ184)*VLOOKUP($CP184,Control!$B$86:$F$91,5)</f>
        <v>#N/A</v>
      </c>
      <c r="CU184" s="141">
        <f t="shared" ca="1" si="604"/>
        <v>0</v>
      </c>
      <c r="CV184" s="583">
        <f t="shared" ca="1" si="605"/>
        <v>0</v>
      </c>
      <c r="CW184" s="142">
        <f t="shared" ca="1" si="606"/>
        <v>180</v>
      </c>
      <c r="CX184" s="612" t="e">
        <f ca="1">IF(Control!$C$114=1,(MIN(Control!$C$120*(IF($NT184-0.01&lt;0,0,1)),Control!$C$119-$CY184)))</f>
        <v>#DIV/0!</v>
      </c>
      <c r="CY184" s="143" t="e">
        <f t="shared" ca="1" si="607"/>
        <v>#N/A</v>
      </c>
      <c r="CZ184" s="144">
        <f t="shared" ca="1" si="484"/>
        <v>0</v>
      </c>
      <c r="DA184" s="144">
        <f t="shared" ca="1" si="485"/>
        <v>0</v>
      </c>
      <c r="DB184" s="144" t="e">
        <f t="shared" ca="1" si="486"/>
        <v>#N/A</v>
      </c>
      <c r="DC184" s="144" t="e">
        <f t="shared" ca="1" si="487"/>
        <v>#N/A</v>
      </c>
      <c r="DD184" s="144" t="e">
        <f t="shared" ca="1" si="692"/>
        <v>#N/A</v>
      </c>
      <c r="DE184" s="143" t="e">
        <f t="shared" ca="1" si="608"/>
        <v>#N/A</v>
      </c>
      <c r="DF184" s="145" t="e">
        <f ca="1">$DR184*EXP(-Control!$C$158*(1-$KH184))</f>
        <v>#N/A</v>
      </c>
      <c r="DG184" s="146" t="e">
        <f ca="1">IF(Control!$C$114=1, $DF184*$EY184, 0)</f>
        <v>#N/A</v>
      </c>
      <c r="DH184" s="147" t="e">
        <f t="shared" ca="1" si="609"/>
        <v>#N/A</v>
      </c>
      <c r="DI184" s="144" t="e">
        <f t="shared" ca="1" si="670"/>
        <v>#N/A</v>
      </c>
      <c r="DJ184" s="147" t="e">
        <f ca="1">$EF184*Control!$C$109</f>
        <v>#N/A</v>
      </c>
      <c r="DK184" s="144" t="e">
        <f t="shared" ca="1" si="610"/>
        <v>#N/A</v>
      </c>
      <c r="DL184" s="144" t="e">
        <f t="shared" ca="1" si="488"/>
        <v>#N/A</v>
      </c>
      <c r="DM184" s="144" t="e">
        <f ca="1">IF(Control!$C$114=1, (1-EXP(-Control!$C$96*$DK184))*$AR184, 0)</f>
        <v>#N/A</v>
      </c>
      <c r="DN184" s="144">
        <f t="shared" ca="1" si="611"/>
        <v>0</v>
      </c>
      <c r="DO184" s="148">
        <f>Control!$C$97</f>
        <v>4</v>
      </c>
      <c r="DP184" s="145" t="e">
        <f t="shared" ca="1" si="612"/>
        <v>#N/A</v>
      </c>
      <c r="DQ184" s="145" t="e">
        <f ca="1">IF(AND($CP184&gt;=0,$CP184&lt;=90),Control!$C$111,Control!$C$111)</f>
        <v>#N/A</v>
      </c>
      <c r="DR184" s="145" t="e">
        <f t="shared" ca="1" si="489"/>
        <v>#N/A</v>
      </c>
      <c r="DS184" s="143" t="e">
        <f ca="1">Control!$B$22/$DR184</f>
        <v>#N/A</v>
      </c>
      <c r="DT184" s="149" t="e">
        <f ca="1">IF(AND(Control!$C$114=1,$KH184&lt;1),$IM184*$DF184, 0)</f>
        <v>#N/A</v>
      </c>
      <c r="DU184" s="144" t="e">
        <f t="shared" ca="1" si="613"/>
        <v>#N/A</v>
      </c>
      <c r="DV184" s="144">
        <f ca="1">IF($G184-Control!$C$107&lt;=0, 0, 0.83*LN(MAX($G184, 3))-0.8924)</f>
        <v>0</v>
      </c>
      <c r="DW184" s="144" t="e">
        <f t="shared" ca="1" si="490"/>
        <v>#N/A</v>
      </c>
      <c r="DX184" s="150" t="e">
        <f ca="1">MAX(0.01*(1+$CU184/Control!$C$102),0.05*($DK184-Control!$C$97)/Control!$C$97)</f>
        <v>#N/A</v>
      </c>
      <c r="DY184" s="151" t="e">
        <f ca="1">IF(Control!$C$114=1, $DI184*$FS184, 0)</f>
        <v>#N/A</v>
      </c>
      <c r="DZ184" s="196" t="e">
        <f t="shared" ca="1" si="614"/>
        <v>#N/A</v>
      </c>
      <c r="EA184" s="152">
        <f t="shared" ca="1" si="615"/>
        <v>180</v>
      </c>
      <c r="EB184" s="153" t="e">
        <f t="shared" ca="1" si="616"/>
        <v>#N/A</v>
      </c>
      <c r="EC184" s="153" t="e">
        <f t="shared" ca="1" si="617"/>
        <v>#N/A</v>
      </c>
      <c r="ED184" s="154" t="e">
        <f ca="1">IF(Control!$C$114=1, $HM184*$FY184-$FD184, 0)</f>
        <v>#DIV/0!</v>
      </c>
      <c r="EE184" s="155" t="e">
        <f ca="1">IF(Control!$C$114=1, $HM184*$FZ184-$FF184, 0)</f>
        <v>#DIV/0!</v>
      </c>
      <c r="EF184" s="153" t="e">
        <f t="shared" ca="1" si="671"/>
        <v>#N/A</v>
      </c>
      <c r="EG184" s="155" t="e">
        <f ca="1">IF(Control!$C$114=1, $GX184*$FW184-$FI184, 0)</f>
        <v>#DIV/0!</v>
      </c>
      <c r="EH184" s="153" t="e">
        <f t="shared" ca="1" si="618"/>
        <v>#N/A</v>
      </c>
      <c r="EI184" s="156" t="e">
        <f t="shared" ca="1" si="619"/>
        <v>#N/A</v>
      </c>
      <c r="EJ184" s="155" t="e">
        <f ca="1">IF(Control!$C$114=1, $HM184*$GB184, 0)</f>
        <v>#DIV/0!</v>
      </c>
      <c r="EK184" s="153" t="e">
        <f t="shared" ca="1" si="672"/>
        <v>#N/A</v>
      </c>
      <c r="EL184" s="153" t="e">
        <f t="shared" ca="1" si="491"/>
        <v>#N/A</v>
      </c>
      <c r="EM184" s="153" t="e">
        <f t="shared" ca="1" si="492"/>
        <v>#N/A</v>
      </c>
      <c r="EN184" s="153" t="e">
        <f ca="1">IF(Control!$C$108=1,IF(AND(Control!$B$18=1,$EB184&gt;=Control!$B$19),$EB184-$DS184,IF(AND(Control!$B$18=2,$AW184=1,$EB184&gt;$DS184),$EB184-$DS184,0)))</f>
        <v>#N/A</v>
      </c>
      <c r="EO184" s="153" t="e">
        <f ca="1">IF(Control!$C$108=1,IF(AND(Control!$B$18=1,$EB184&gt;=Control!$B$19),$EF184,IF(AND(Control!$B$18=2,$AW184=1),$EF184,0)))</f>
        <v>#N/A</v>
      </c>
      <c r="EP184" s="153" t="e">
        <f ca="1">IF(Control!$C$108=1,IF(AND(Control!$B$18=1,$EB184&gt;=Control!$B$19),$EK184,IF(AND(Control!$B$18=2,$AW184=1),$EK184,0)))</f>
        <v>#N/A</v>
      </c>
      <c r="EQ184" s="153" t="e">
        <f t="shared" ca="1" si="620"/>
        <v>#N/A</v>
      </c>
      <c r="ER184" s="153" t="e">
        <f t="shared" ca="1" si="621"/>
        <v>#N/A</v>
      </c>
      <c r="ES184" s="153" t="e">
        <f t="shared" ca="1" si="673"/>
        <v>#N/A</v>
      </c>
      <c r="ET184" s="153" t="e">
        <f t="shared" ca="1" si="674"/>
        <v>#N/A</v>
      </c>
      <c r="EU184" s="153" t="e">
        <f t="shared" ca="1" si="622"/>
        <v>#N/A</v>
      </c>
      <c r="EV184" s="153" t="e">
        <f t="shared" ca="1" si="493"/>
        <v>#N/A</v>
      </c>
      <c r="EW184" s="153" t="e">
        <f t="shared" ca="1" si="494"/>
        <v>#N/A</v>
      </c>
      <c r="EX184" s="153" t="e">
        <f t="shared" ca="1" si="495"/>
        <v>#N/A</v>
      </c>
      <c r="EY184" s="157" t="e">
        <f t="shared" ca="1" si="496"/>
        <v>#DIV/0!</v>
      </c>
      <c r="EZ184" s="154" t="e">
        <f t="shared" ca="1" si="497"/>
        <v>#DIV/0!</v>
      </c>
      <c r="FA184" s="153" t="e">
        <f t="shared" ca="1" si="623"/>
        <v>#N/A</v>
      </c>
      <c r="FB184" s="153" t="e">
        <f t="shared" ca="1" si="498"/>
        <v>#N/A</v>
      </c>
      <c r="FC184" s="193" t="e">
        <f t="shared" ca="1" si="499"/>
        <v>#N/A</v>
      </c>
      <c r="FD184" s="158" t="e">
        <f t="shared" ca="1" si="624"/>
        <v>#N/A</v>
      </c>
      <c r="FE184" s="158" t="e">
        <f t="shared" ca="1" si="625"/>
        <v>#N/A</v>
      </c>
      <c r="FF184" s="159" t="e">
        <f t="shared" ca="1" si="500"/>
        <v>#N/A</v>
      </c>
      <c r="FG184" s="160" t="e">
        <f t="shared" ca="1" si="626"/>
        <v>#N/A</v>
      </c>
      <c r="FH184" s="158" t="e">
        <f t="shared" ca="1" si="627"/>
        <v>#N/A</v>
      </c>
      <c r="FI184" s="159" t="e">
        <f t="shared" ca="1" si="501"/>
        <v>#N/A</v>
      </c>
      <c r="FJ184" s="160" t="e">
        <f t="shared" ca="1" si="628"/>
        <v>#N/A</v>
      </c>
      <c r="FK184" s="160" t="e">
        <f t="shared" ca="1" si="502"/>
        <v>#N/A</v>
      </c>
      <c r="FL184" s="160" t="e">
        <f t="shared" ca="1" si="675"/>
        <v>#N/A</v>
      </c>
      <c r="FM184" s="160" t="e">
        <f t="shared" ca="1" si="503"/>
        <v>#N/A</v>
      </c>
      <c r="FN184" s="158">
        <f t="shared" ca="1" si="629"/>
        <v>0.01</v>
      </c>
      <c r="FO184" s="160">
        <f>Control!$C$101</f>
        <v>50</v>
      </c>
      <c r="FP184" s="150" t="e">
        <f t="shared" ca="1" si="504"/>
        <v>#N/A</v>
      </c>
      <c r="FQ184" s="150" t="e">
        <f ca="1">MAX(0,(Control!$C$112*(($DK184-Control!$C$97)/Control!$C$97)))</f>
        <v>#N/A</v>
      </c>
      <c r="FR184" s="150" t="e">
        <f ca="1">(1-$NT184)*Control!$C$113</f>
        <v>#DIV/0!</v>
      </c>
      <c r="FS184" s="198" t="e">
        <f t="shared" ca="1" si="505"/>
        <v>#N/A</v>
      </c>
      <c r="FT184" s="161">
        <f t="shared" ca="1" si="630"/>
        <v>180</v>
      </c>
      <c r="FU184" s="162" t="e">
        <f ca="1">IF(Control!$B$34=1,VLOOKUP($CP184,Control!$B$86:$G$91,6),Control!$B$35)</f>
        <v>#N/A</v>
      </c>
      <c r="FV184" s="162" t="e">
        <f t="shared" ca="1" si="506"/>
        <v>#DIV/0!</v>
      </c>
      <c r="FW184" s="162" t="e">
        <f ca="1">IF(Control!$B$31=1,$FU184*$FV184,  $FU184)</f>
        <v>#N/A</v>
      </c>
      <c r="FX184" s="162" t="e">
        <f ca="1">IF(Control!$B$34=1,VLOOKUP($CP184,Control!$B$86:$G$91,3),Control!$B$36)</f>
        <v>#N/A</v>
      </c>
      <c r="FY184" s="162" t="e">
        <f t="shared" ca="1" si="507"/>
        <v>#N/A</v>
      </c>
      <c r="FZ184" s="162" t="e">
        <f ca="1">IF(Control!$B$34=1,VLOOKUP($CP184,Control!$B$86:$G$91,4),Control!$B$37)</f>
        <v>#N/A</v>
      </c>
      <c r="GA184" s="162" t="e">
        <f t="shared" ca="1" si="508"/>
        <v>#N/A</v>
      </c>
      <c r="GB184" s="162" t="e">
        <f ca="1">IF(Control!$B$34=1,VLOOKUP($CP184,Control!$B$86:$G$91,5),Control!$B$38)</f>
        <v>#N/A</v>
      </c>
      <c r="GC184" s="162" t="e">
        <f t="shared" ca="1" si="631"/>
        <v>#N/A</v>
      </c>
      <c r="GD184" s="162">
        <f t="shared" ca="1" si="509"/>
        <v>1</v>
      </c>
      <c r="GE184" s="162">
        <f t="shared" ca="1" si="510"/>
        <v>1</v>
      </c>
      <c r="GF184" s="162">
        <f ca="1">IF(AND(Control!$C$104=1, Control!$C$62="F"),$GE184,1)</f>
        <v>1</v>
      </c>
      <c r="GG184" s="162" t="e">
        <f ca="1">IF(Control!$B$16=40,0,IF(AND(Control!$B$16&gt;40,Control!$B$16&lt;=360),(Control!$B$16-40)*((1-0)/(360-40)),IF(AND(Control!$B$16&gt;360,Control!$B$16&lt;=720),(1+(Control!$B$16-360)*((1.25-1)/(720-360))),IF(AND(Control!$B$16&gt;720,Control!$B$16&lt;=1000),(1.25+(Control!$B$16-720)*((1.35-1.25)/(1000-720))),IF(AND(Control!$B$16&gt;1000,Control!$B$16&lt;=2000),(1.35+(Control!$B$16-1000)*0))))))</f>
        <v>#N/A</v>
      </c>
      <c r="GH184" s="162" t="e">
        <f t="shared" ca="1" si="511"/>
        <v>#N/A</v>
      </c>
      <c r="GI184" s="162">
        <f t="shared" ca="1" si="632"/>
        <v>0</v>
      </c>
      <c r="GJ184" s="162">
        <f t="shared" ca="1" si="512"/>
        <v>0</v>
      </c>
      <c r="GK184" s="162">
        <f t="shared" ca="1" si="633"/>
        <v>1</v>
      </c>
      <c r="GL184" s="162">
        <f t="shared" ca="1" si="513"/>
        <v>1</v>
      </c>
      <c r="GM184" s="162" t="e">
        <f ca="1">MAX(0,MIN(1,1-Control!$C$156*(1.0001-$KH184)^2))</f>
        <v>#N/A</v>
      </c>
      <c r="GN184" s="162" t="e">
        <f ca="1">IF(Control!$B$26=1,$KU184,$KX184)</f>
        <v>#N/A</v>
      </c>
      <c r="GO184" s="162" t="e">
        <f ca="1">IF($CP184&lt;=60,Control!$C$105,IF($CP184&gt;=90,Control!$C$106,Control!$C$105+($CP184-60)*((Control!$C$106-Control!$C$105)/(90-60))))</f>
        <v>#N/A</v>
      </c>
      <c r="GP184" s="162" t="e">
        <f t="shared" ca="1" si="514"/>
        <v>#N/A</v>
      </c>
      <c r="GQ184" s="162" t="e">
        <f t="shared" ca="1" si="634"/>
        <v>#N/A</v>
      </c>
      <c r="GR184" s="163" t="e">
        <f t="shared" ca="1" si="515"/>
        <v>#DIV/0!</v>
      </c>
      <c r="GS184" s="162" t="e">
        <f t="shared" ca="1" si="516"/>
        <v>#DIV/0!</v>
      </c>
      <c r="GT184" s="164" t="e">
        <f t="shared" ca="1" si="635"/>
        <v>#N/A</v>
      </c>
      <c r="GU184" s="162" t="e">
        <f t="shared" ca="1" si="636"/>
        <v>#N/A</v>
      </c>
      <c r="GV184" s="162" t="e">
        <f t="shared" ca="1" si="517"/>
        <v>#N/A</v>
      </c>
      <c r="GW184" s="162" t="e">
        <f t="shared" ca="1" si="518"/>
        <v>#DIV/0!</v>
      </c>
      <c r="GX184" s="162" t="e">
        <f t="shared" ca="1" si="637"/>
        <v>#DIV/0!</v>
      </c>
      <c r="GY184" s="162" t="e">
        <f t="shared" ca="1" si="638"/>
        <v>#DIV/0!</v>
      </c>
      <c r="GZ184" s="165" t="e">
        <f t="shared" ca="1" si="519"/>
        <v>#N/A</v>
      </c>
      <c r="HA184" s="162" t="e">
        <f ca="1">IF(Control!$C$114=1, $DI184*$FS184, 0)</f>
        <v>#N/A</v>
      </c>
      <c r="HB184" s="162" t="e">
        <f ca="1">$FA184/Control!$C$64</f>
        <v>#N/A</v>
      </c>
      <c r="HC184" s="162" t="e">
        <f t="shared" ca="1" si="520"/>
        <v>#DIV/0!</v>
      </c>
      <c r="HD184" s="162">
        <f ca="1">-ASIN(SIN(23.45*Control!$C$139)*COS(2*Control!$C$138*($AH184+10)/365))</f>
        <v>0.40567287374339012</v>
      </c>
      <c r="HE184" s="165">
        <f t="shared" ca="1" si="639"/>
        <v>0</v>
      </c>
      <c r="HF184" s="166">
        <f ca="1">IF(AND(Control!$C$61="T",$HE184&gt;=Control!$C$103,Control!$C$114=0),$AH184,Control!$C$59)</f>
        <v>1</v>
      </c>
      <c r="HG184" s="166">
        <f ca="1">IF(AND(Control!$C$61="T",$HE184&gt;=Control!$C$103,Control!$C$114=0),$HF184,Control!$C$59)</f>
        <v>1</v>
      </c>
      <c r="HH184" s="165">
        <f ca="1">IF(AND(OR(Control!$C$60&lt;=0, $AH184= Control!$C$59, Control!$C$60 &gt;0, $AH184 = Control!$C$60)), Control!$C$59, IF(Control!$C$60&gt;0, 0))</f>
        <v>1</v>
      </c>
      <c r="HI184" s="165">
        <f ca="1">IF(AND(OR(Control!$C$60&lt;=0, $AH184= Control!$C$59, Control!$C$60 &gt;0, $AH184 = Control!$C$60)), Control!$C$60, IF(Control!$C$60&lt;=0, 0))</f>
        <v>0</v>
      </c>
      <c r="HJ184" s="166">
        <f ca="1">IF(AND(Control!$C$62="F",$CV184&gt;=Control!$C$102),$AH184,0)</f>
        <v>0</v>
      </c>
      <c r="HK184" s="165" t="e">
        <f t="shared" ca="1" si="676"/>
        <v>#N/A</v>
      </c>
      <c r="HL184" s="166">
        <f ca="1">IF(AND(Control!$C$61="T",$HE184&gt;=Control!$C$103,Control!$C$114=0),$HF184,0)</f>
        <v>0</v>
      </c>
      <c r="HM184" s="201" t="e">
        <f t="shared" ca="1" si="521"/>
        <v>#DIV/0!</v>
      </c>
      <c r="HN184" s="215">
        <f t="shared" ca="1" si="640"/>
        <v>180</v>
      </c>
      <c r="HO184" s="216" t="e">
        <f ca="1">IF(AND($CP184&gt;=0, $CP184&lt;=90), Control!$C$152, Control!$C$152)</f>
        <v>#N/A</v>
      </c>
      <c r="HP184" s="216" t="e">
        <f t="shared" ca="1" si="522"/>
        <v>#N/A</v>
      </c>
      <c r="HQ184" s="217" t="e">
        <f ca="1">IF(OR(Control!$B$26=1,Control!$B$26=2),$KV184,$KS184)</f>
        <v>#DIV/0!</v>
      </c>
      <c r="HR184" s="218" t="e">
        <f t="shared" ca="1" si="677"/>
        <v>#DIV/0!</v>
      </c>
      <c r="HS184" s="216" t="e">
        <f ca="1">Control!$C$154*$HP184</f>
        <v>#N/A</v>
      </c>
      <c r="HT184" s="216" t="e">
        <f ca="1">Control!$C$155*$HP184</f>
        <v>#N/A</v>
      </c>
      <c r="HU184" s="217" t="e">
        <f ca="1">Control!$C$161*$FI184</f>
        <v>#N/A</v>
      </c>
      <c r="HV184" s="218" t="e">
        <f t="shared" ca="1" si="641"/>
        <v>#N/A</v>
      </c>
      <c r="HW184" s="218" t="e">
        <f ca="1">Control!$C$160*$FF184+$IP184*$EO184</f>
        <v>#N/A</v>
      </c>
      <c r="HX184" s="218" t="e">
        <f t="shared" ca="1" si="678"/>
        <v>#N/A</v>
      </c>
      <c r="HY184" s="219" t="e">
        <f ca="1">IF(Control!$C$114=1, $EB184*$FS184, 0)</f>
        <v>#N/A</v>
      </c>
      <c r="HZ184" s="91" t="e">
        <f t="shared" ca="1" si="523"/>
        <v>#N/A</v>
      </c>
      <c r="IA184" s="220" t="e">
        <f ca="1">Control!$C$153*$HO184</f>
        <v>#N/A</v>
      </c>
      <c r="IB184" s="218" t="e">
        <f t="shared" ca="1" si="524"/>
        <v>#N/A</v>
      </c>
      <c r="IC184" s="220" t="e">
        <f ca="1">Control!$C$153*$HT184</f>
        <v>#N/A</v>
      </c>
      <c r="ID184" s="218" t="e">
        <f t="shared" ca="1" si="525"/>
        <v>#N/A</v>
      </c>
      <c r="IE184" s="221" t="e">
        <f ca="1">($EB184*Control!$C$159+$EF184*Control!$C$160)/(IF($GZ184&lt;&gt;0,$GZ184,1))</f>
        <v>#N/A</v>
      </c>
      <c r="IF184" s="216" t="e">
        <f t="shared" ca="1" si="526"/>
        <v>#N/A</v>
      </c>
      <c r="IG184" s="91">
        <f ca="1">IF(OR(Control!$B$198=$AH184,Control!$B$199=$AH184, Control!$B$200=$AH184, Control!$B$201=$AH184, Control!$B$202=$AH184, Control!$B$203=$AH184, Control!$B$204=$AH184, Control!$B$205=$AH184, Control!$B$206=$AH184, Control!$B$207=$AH184), 1, 0)</f>
        <v>0</v>
      </c>
      <c r="IH184" s="91">
        <f ca="1">IF($IG184=0,0, VLOOKUP($AH184,Control!$B$198:$C$207,2))</f>
        <v>0</v>
      </c>
      <c r="II184" s="222">
        <f t="shared" ca="1" si="642"/>
        <v>0</v>
      </c>
      <c r="IJ184" s="91">
        <f>Control!$C$121</f>
        <v>0.7</v>
      </c>
      <c r="IK184" s="218">
        <f t="shared" ca="1" si="527"/>
        <v>0</v>
      </c>
      <c r="IL184" s="217" t="e">
        <f t="shared" ca="1" si="679"/>
        <v>#N/A</v>
      </c>
      <c r="IM184" s="223" t="e">
        <f ca="1">IF(AND(Control!$C$114=1,$KH184&lt;1),$EB184*Control!$C$148*(1-$KH184), 0)</f>
        <v>#N/A</v>
      </c>
      <c r="IN184" s="217" t="e">
        <f t="shared" ca="1" si="528"/>
        <v>#DIV/0!</v>
      </c>
      <c r="IO184" s="91" t="e">
        <f ca="1">MAX(0,$IL184-$EF184*Control!$C$160)</f>
        <v>#N/A</v>
      </c>
      <c r="IP184" s="220" t="e">
        <f t="shared" ca="1" si="529"/>
        <v>#N/A</v>
      </c>
      <c r="IQ184" s="217" t="e">
        <f t="shared" ca="1" si="643"/>
        <v>#N/A</v>
      </c>
      <c r="IR184" s="218" t="e">
        <f t="shared" ca="1" si="530"/>
        <v>#N/A</v>
      </c>
      <c r="IS184" s="217" t="e">
        <f ca="1">Control!$C$159*MAX(0,$FD184-$EN184)</f>
        <v>#N/A</v>
      </c>
      <c r="IT184" s="217" t="e">
        <f t="shared" ca="1" si="680"/>
        <v>#N/A</v>
      </c>
      <c r="IU184" s="217" t="e">
        <f t="shared" ca="1" si="644"/>
        <v>#N/A</v>
      </c>
      <c r="IV184" s="217" t="e">
        <f t="shared" ca="1" si="681"/>
        <v>#N/A</v>
      </c>
      <c r="IW184" s="217" t="e">
        <f ca="1">IF(OR($AW184=1,AND($AW184=0, Control!$B$18=1,$EN184&lt;&gt;0)), $IQ184-$IU184, $IQ184)</f>
        <v>#N/A</v>
      </c>
      <c r="IX184" s="218" t="e">
        <f t="shared" ca="1" si="531"/>
        <v>#N/A</v>
      </c>
      <c r="IY184" s="218" t="e">
        <f ca="1">MAX(0,$IQ184-$EB184*Control!$C$159)</f>
        <v>#N/A</v>
      </c>
      <c r="IZ184" s="218" t="e">
        <f t="shared" ca="1" si="532"/>
        <v>#N/A</v>
      </c>
      <c r="JA184" s="216" t="e">
        <f t="shared" ca="1" si="533"/>
        <v>#N/A</v>
      </c>
      <c r="JB184" s="217" t="e">
        <f t="shared" ca="1" si="534"/>
        <v>#N/A</v>
      </c>
      <c r="JC184" s="222" t="e">
        <f ca="1">MAX(Control!$C$157*$EK184-$JT184, 0)/Control!$C$162</f>
        <v>#N/A</v>
      </c>
      <c r="JD184" s="218" t="e">
        <f t="shared" ca="1" si="535"/>
        <v>#N/A</v>
      </c>
      <c r="JE184" s="218" t="e">
        <f t="shared" ca="1" si="536"/>
        <v>#N/A</v>
      </c>
      <c r="JF184" s="218" t="e">
        <f t="shared" ca="1" si="645"/>
        <v>#N/A</v>
      </c>
      <c r="JG184" s="218" t="e">
        <f t="shared" ca="1" si="537"/>
        <v>#N/A</v>
      </c>
      <c r="JH184" s="217" t="e">
        <f t="shared" ca="1" si="646"/>
        <v>#N/A</v>
      </c>
      <c r="JI184" s="217" t="e">
        <f t="shared" ca="1" si="647"/>
        <v>#N/A</v>
      </c>
      <c r="JJ184" s="217" t="e">
        <f t="shared" ca="1" si="682"/>
        <v>#N/A</v>
      </c>
      <c r="JK184" s="217" t="e">
        <f ca="1">IF(Control!$C$114=1,IF(Control!$B$24=0,MAX(0,$JI184)*$GN184/Control!$C$64,(MAX(0,MIN($JI184,$JJ184*$GN184/Control!$C$64),0))))</f>
        <v>#N/A</v>
      </c>
      <c r="JL184" s="217" t="e">
        <f ca="1">$IK184/Control!$C$64-$JK184+$HQ184</f>
        <v>#N/A</v>
      </c>
      <c r="JM184" s="217" t="e">
        <f ca="1">IF(Control!$C$114=1,($JB184/(IF($JI184&lt;&gt;0,$JI184,1)))*$JK184,0)</f>
        <v>#N/A</v>
      </c>
      <c r="JN184" s="217" t="e">
        <f ca="1">IF(Control!$C$114=1,($JG184/(IF($JI184&lt;&gt;0,$JI184,1)))*$JK184, 0)</f>
        <v>#N/A</v>
      </c>
      <c r="JO184" s="218" t="e">
        <f t="shared" ca="1" si="538"/>
        <v>#N/A</v>
      </c>
      <c r="JP184" s="218" t="e">
        <f ca="1">MIN(($IY184+$IO184)*Control!$C$151, $JF184-$EH184*Control!$C$161)</f>
        <v>#N/A</v>
      </c>
      <c r="JQ184" s="218" t="e">
        <f t="shared" ca="1" si="539"/>
        <v>#N/A</v>
      </c>
      <c r="JR184" s="217" t="e">
        <f ca="1">IF($CP184-Control!$C$150&lt;0, 0, $JQ184/Control!$C$162)</f>
        <v>#N/A</v>
      </c>
      <c r="JS184" s="218" t="e">
        <f t="shared" ca="1" si="540"/>
        <v>#N/A</v>
      </c>
      <c r="JT184" s="218" t="e">
        <f t="shared" ca="1" si="648"/>
        <v>#N/A</v>
      </c>
      <c r="JU184" s="218" t="e">
        <f t="shared" ca="1" si="541"/>
        <v>#N/A</v>
      </c>
      <c r="JV184" s="218" t="e">
        <f t="shared" ca="1" si="542"/>
        <v>#N/A</v>
      </c>
      <c r="JW184" s="216" t="e">
        <f t="shared" ca="1" si="543"/>
        <v>#N/A</v>
      </c>
      <c r="JX184" s="91" t="e">
        <f t="shared" ca="1" si="544"/>
        <v>#N/A</v>
      </c>
      <c r="JY184" s="218" t="e">
        <f t="shared" ca="1" si="545"/>
        <v>#N/A</v>
      </c>
      <c r="JZ184" s="217" t="e">
        <f ca="1">IF(Control!$C$114=1,($IZ184/(IF($JI184&lt;&gt;0,$JI184,1)))*$JK184, 0)</f>
        <v>#N/A</v>
      </c>
      <c r="KA184" s="218" t="e">
        <f t="shared" ca="1" si="683"/>
        <v>#N/A</v>
      </c>
      <c r="KB184" s="218" t="e">
        <f t="shared" ca="1" si="649"/>
        <v>#N/A</v>
      </c>
      <c r="KC184" s="218" t="e">
        <f t="shared" ca="1" si="546"/>
        <v>#N/A</v>
      </c>
      <c r="KD184" s="218" t="e">
        <f t="shared" ca="1" si="547"/>
        <v>#N/A</v>
      </c>
      <c r="KE184" s="218" t="e">
        <f t="shared" ca="1" si="548"/>
        <v>#N/A</v>
      </c>
      <c r="KF184" s="218" t="e">
        <f t="shared" ca="1" si="549"/>
        <v>#N/A</v>
      </c>
      <c r="KG184" s="216" t="e">
        <f t="shared" ca="1" si="550"/>
        <v>#N/A</v>
      </c>
      <c r="KH184" s="221" t="e">
        <f ca="1">IF(Control!$B$24=0,1,MAX(0.001,MIN(1,IF(($IF184-$IE184)&lt;&gt;0,($KG184-$IE184)/($IF184-$IE184),1))))</f>
        <v>#N/A</v>
      </c>
      <c r="KI184" s="222" t="e">
        <f ca="1">IF(Control!$C$114=1, $KI183+ $KH183, 0)</f>
        <v>#N/A</v>
      </c>
      <c r="KJ184" s="217" t="e">
        <f t="shared" ca="1" si="551"/>
        <v>#N/A</v>
      </c>
      <c r="KK184" s="218" t="e">
        <f t="shared" ca="1" si="552"/>
        <v>#N/A</v>
      </c>
      <c r="KL184" s="274" t="e">
        <f ca="1">IF(Control!$B$26=3,4000000000*EXP(-8400/($G184+273)),IF(Control!$B$26=4,4000000000*EXP(-8400/($G184+273))*($KT184),0))</f>
        <v>#DIV/0!</v>
      </c>
      <c r="KM184" s="274" t="e">
        <f ca="1">IF(Control!$B$26=3,5600000000000*EXP(-9800/($G184+273)),IF(Control!$B$26=4,5600000000000*EXP(-9800/($G184+273))*$KT184,0))</f>
        <v>#DIV/0!</v>
      </c>
      <c r="KN184" s="454" t="e">
        <f t="shared" ca="1" si="650"/>
        <v>#DIV/0!</v>
      </c>
      <c r="KO184" s="274" t="e">
        <f t="shared" ca="1" si="651"/>
        <v>#DIV/0!</v>
      </c>
      <c r="KP184" s="454" t="e">
        <f t="shared" ca="1" si="553"/>
        <v>#DIV/0!</v>
      </c>
      <c r="KQ184" s="454" t="e">
        <f t="shared" ca="1" si="554"/>
        <v>#DIV/0!</v>
      </c>
      <c r="KR184" s="454" t="e">
        <f t="shared" ca="1" si="555"/>
        <v>#DIV/0!</v>
      </c>
      <c r="KS184" s="454" t="e">
        <f t="shared" ca="1" si="556"/>
        <v>#DIV/0!</v>
      </c>
      <c r="KT184" s="455" t="e">
        <f t="shared" ca="1" si="557"/>
        <v>#DIV/0!</v>
      </c>
      <c r="KU184" s="456" t="e">
        <f ca="1">IF($CP184-Control!$C$149&lt;0, IF($NT184-0.01&lt;0,0,1),0)</f>
        <v>#N/A</v>
      </c>
      <c r="KV184" s="456" t="e">
        <f ca="1">IF(Control!$C$114=1,MAX(0,MIN(Control!$C$125*$KW184*$GN184,$KW184)))</f>
        <v>#DIV/0!</v>
      </c>
      <c r="KW184" s="456" t="e">
        <f t="shared" ca="1" si="684"/>
        <v>#DIV/0!</v>
      </c>
      <c r="KX184" s="457" t="e">
        <f ca="1">IF($CP184-Control!$C$149&lt;0, IF($MR184-$OM184&lt;0,0,1),0)</f>
        <v>#N/A</v>
      </c>
      <c r="KY184" s="167">
        <f t="shared" ca="1" si="652"/>
        <v>180</v>
      </c>
      <c r="KZ184" s="168">
        <f ca="1">1370*(1+0.033*COS(2*Control!$C$138*$AH184/365))</f>
        <v>1324.8318451641278</v>
      </c>
      <c r="LA184" s="169">
        <f t="shared" ca="1" si="653"/>
        <v>0.96703055420162642</v>
      </c>
      <c r="LB184" s="169">
        <f t="shared" ca="1" si="654"/>
        <v>0.40512512455439242</v>
      </c>
      <c r="LC184" s="169">
        <f ca="1">ACOS(-TAN((2*Control!$B$8/360))*TAN(Calculations!$LB184))</f>
        <v>1.6985988178288449</v>
      </c>
      <c r="LD184" s="169">
        <f ca="1">((24*60)/PI())*0.082*$LA184*(($LC184*SIN(Control!$B$8*2*PI()/360))*SIN($LB184)+COS(Control!$B$8*2*PI()/360)*COS($LB184)*SIN($LC184))</f>
        <v>39.573150799222816</v>
      </c>
      <c r="LE184" s="170">
        <f t="shared" ca="1" si="558"/>
        <v>41.276582631580652</v>
      </c>
      <c r="LF184" s="170">
        <f ca="1">SIN(Control!$C$139*Control!$B$8)*SIN($HD184)</f>
        <v>0.31097880287631108</v>
      </c>
      <c r="LG184" s="170">
        <f ca="1">COS(Control!$C$139*Control!$B$8)*COS($HD184)</f>
        <v>0.56569104589755526</v>
      </c>
      <c r="LH184" s="170">
        <f ca="1">12*(1+2*ASIN(MAX(-1,MIN(1,$LF184/$LG184))/Control!$C$138))</f>
        <v>16.221370562192028</v>
      </c>
      <c r="LI184" s="170">
        <f ca="1">12*(1+2*ASIN(MAX(-1,MIN(1,(-SIN(-4*Control!$C$139)+$LF184)/$LG184))/Control!$C$138))</f>
        <v>17.181838454010265</v>
      </c>
      <c r="LJ184" s="168">
        <f ca="1">3600*($LH184*$LF184+24*$LG184*SQRT(1-$LK184*$LK184)/Control!$C$138)</f>
        <v>31156.091833274939</v>
      </c>
      <c r="LK184" s="170">
        <f t="shared" ca="1" si="559"/>
        <v>0.54973258836525463</v>
      </c>
      <c r="LL184" s="170">
        <f t="shared" ca="1" si="560"/>
        <v>0</v>
      </c>
      <c r="LM184" s="171">
        <f ca="1">Control!$C$145*$AB184</f>
        <v>6.6660906138995932E-2</v>
      </c>
      <c r="LN184" s="170">
        <f t="shared" ca="1" si="655"/>
        <v>0.54</v>
      </c>
      <c r="LO184" s="170">
        <f t="shared" ca="1" si="561"/>
        <v>0</v>
      </c>
      <c r="LP184" s="170">
        <f ca="1">Control!$C$140*((($D184+273.16)^4+($E184+273.16)^4)/2)*(0.34-0.14*SQRT($Y184))*(1.35*$AQ184/(0.75*$LD184)-0.35)</f>
        <v>-3.2464704755046001</v>
      </c>
      <c r="LQ184" s="170">
        <f ca="1">Control!$C$140*($G184+273)^4*(0.56-0.079*SQRT($Y184*10))*(0.1+0.9*$LO184)</f>
        <v>1.5241745131704001</v>
      </c>
      <c r="LR184" s="170">
        <f ca="1">$AQ184*(1-Control!$C$142)-$LQ184</f>
        <v>-1.5241745131704001</v>
      </c>
      <c r="LS184" s="170">
        <f ca="1">$AQ184*(1-Control!$C$143)-$LQ184</f>
        <v>-1.5241745131704001</v>
      </c>
      <c r="LT184" s="170">
        <f ca="1">$AQ184*(1-Control!$C$144)-$LQ184</f>
        <v>-1.5241745131704001</v>
      </c>
      <c r="LU184" s="169">
        <f ca="1">(1-Control!$C$144)*AQ184-LP184</f>
        <v>3.2464704755046001</v>
      </c>
      <c r="LV184" s="172">
        <f t="shared" ca="1" si="562"/>
        <v>0.79430000000000012</v>
      </c>
      <c r="LW184" s="170">
        <f t="shared" ca="1" si="563"/>
        <v>1.5886000000000002</v>
      </c>
      <c r="LX184" s="170">
        <f ca="1">($AC184*($LR184/Control!$C$141)+$LM184*$LV184)/($AC184+$LM184)</f>
        <v>0.23530094218323697</v>
      </c>
      <c r="LY184" s="170">
        <f ca="1">($AC184*($LS184/Control!$C$141)+$LM184*$LV184)/($AC184+$LM184)</f>
        <v>0.23530094218323697</v>
      </c>
      <c r="LZ184" s="170">
        <f t="shared" ca="1" si="564"/>
        <v>0.23530094218323697</v>
      </c>
      <c r="MA184" s="170">
        <f t="shared" ca="1" si="565"/>
        <v>0.23530094218323697</v>
      </c>
      <c r="MB184" s="170" t="e">
        <f t="shared" ca="1" si="566"/>
        <v>#N/A</v>
      </c>
      <c r="MC184" s="170">
        <f t="shared" ca="1" si="656"/>
        <v>0.6018</v>
      </c>
      <c r="MD184" s="170">
        <f t="shared" ca="1" si="567"/>
        <v>0.52989392535414004</v>
      </c>
      <c r="ME184" s="170">
        <f ca="1">($AC184*($LT184/Control!$C$141)+$LM184*$LW184)/($AC184+$LM184)</f>
        <v>0.71612369323045078</v>
      </c>
      <c r="MF184" s="170" t="e">
        <f ca="1">IF(Control!$B$16&gt;=1000,0.92,IF(AND(720&lt;=Control!$B$16,1000&gt;Control!$B$16),(0.95+(Control!$B$16-720)*((0.92-0.95)/(1000-720))),IF(AND(360&lt;=Control!$B$16,720&gt;Control!$B$16),(1+(Control!$B$16-360)*((0.95-1)/(720-360))),IF(AND(40&lt;=Control!$B$16,360&gt;Control!$B$16),(1.05+(Control!$B$16-40)*((1.05-1)/(360-40)))))))</f>
        <v>#N/A</v>
      </c>
      <c r="MG184" s="170">
        <f t="shared" ca="1" si="568"/>
        <v>0.71612369323045078</v>
      </c>
      <c r="MH184" s="170" t="e">
        <f t="shared" ca="1" si="694"/>
        <v>#N/A</v>
      </c>
      <c r="MI184" s="170" t="e">
        <f t="shared" ca="1" si="694"/>
        <v>#N/A</v>
      </c>
      <c r="MJ184" s="170" t="e">
        <f ca="1">MAX(0.0001, Control!$C$132*$MI184*$DL184)</f>
        <v>#N/A</v>
      </c>
      <c r="MK184" s="170">
        <f ca="1">1/(0.76+1.5*($MG184/10))-(5-Control!$C$110)*0.1</f>
        <v>1.002845988140797</v>
      </c>
      <c r="ML184" s="173">
        <f ca="1">IF(Control!$C$110&lt;3,$MK184+($MG184-0.6)/(Control!$C$110*(Control!$C$110+3)), MAX(0.1, MIN(0.95,$MK184)))</f>
        <v>0.95</v>
      </c>
      <c r="MM184" s="173">
        <f ca="1">IF(Control!$C$110&lt;3,$MK184+(($MI184/10)-0.6)/(Control!$C$110*(Control!$C$110+3)), MAX(0.1, MIN(0.95,$MK184)))</f>
        <v>0.95</v>
      </c>
      <c r="MN184" s="173">
        <f ca="1">(1-$MM184)*(Control!$C$128-Control!$C$127)+Control!$C$127</f>
        <v>0.16</v>
      </c>
      <c r="MO184" s="170" t="e">
        <f ca="1">MAX(0,MIN(1,($MS184-Control!$C$127)/($MN184-Control!$C$127)))</f>
        <v>#DIV/0!</v>
      </c>
      <c r="MP184" s="173" t="e">
        <f ca="1">1/(0.76+1.5*$MI184)-(5-Control!$C$110)*0.1</f>
        <v>#N/A</v>
      </c>
      <c r="MQ184" s="172" t="e">
        <f t="shared" ca="1" si="685"/>
        <v>#DIV/0!</v>
      </c>
      <c r="MR184" s="168" t="e">
        <f t="shared" ca="1" si="657"/>
        <v>#DIV/0!</v>
      </c>
      <c r="MS184" s="173" t="e">
        <f ca="1">MAX(Control!$C$127, MIN(Control!$C$135, $MR184/MAX(0.0001,$CY184)))</f>
        <v>#DIV/0!</v>
      </c>
      <c r="MT184" s="168" t="e">
        <f ca="1">(Control!$C$128-$MS184)*Control!$C$74</f>
        <v>#DIV/0!</v>
      </c>
      <c r="MU184" s="168" t="e">
        <f ca="1">(Control!$C$135-$MS184)*Control!$C$74</f>
        <v>#DIV/0!</v>
      </c>
      <c r="MV184" s="168" t="e">
        <f t="shared" ca="1" si="658"/>
        <v>#DIV/0!</v>
      </c>
      <c r="MW184" s="168" t="e">
        <f t="shared" ca="1" si="659"/>
        <v>#DIV/0!</v>
      </c>
      <c r="MX184" s="171" t="e">
        <f ca="1">MAX(Control!$C$127, MIN(Control!$C$135, $MW184/MAX(0.0001,Control!$C$119-$CY184)))</f>
        <v>#DIV/0!</v>
      </c>
      <c r="MY184" s="54" t="e">
        <f ca="1">IF(Control!$C$114=1, $CX184*$MX184, 0)</f>
        <v>#DIV/0!</v>
      </c>
      <c r="MZ184" s="54" t="e">
        <f t="shared" ca="1" si="660"/>
        <v>#N/A</v>
      </c>
      <c r="NA184" s="168" t="e">
        <f ca="1">(Control!$C$128-$MX184)*(Control!$C$119-Control!$C$74)</f>
        <v>#DIV/0!</v>
      </c>
      <c r="NB184" s="168" t="e">
        <f ca="1">(Control!$C$135-$MX184)*(Control!$C$119-Control!$C$74)</f>
        <v>#DIV/0!</v>
      </c>
      <c r="NC184" s="174" t="e">
        <f t="shared" ca="1" si="661"/>
        <v>#DIV/0!</v>
      </c>
      <c r="ND184" s="54">
        <f ca="1">IF(Control!$C$58=2, IF(OR(Control!$B$218=$AH184,Control!$B$219=$AH184, Control!$B$220=$AH184, Control!$B$221=$AH184, Control!$B$222=$AH184, Control!$B$223=$AH184, Control!$B$224=$AH184, Control!$B$225=$AH184, Control!$B$226=$AH184, Control!$B$227=$AH184, Control!$B$228=$AH184), 1, 0), 0)</f>
        <v>0</v>
      </c>
      <c r="NE184" s="54">
        <f ca="1">IF($ND184=0,0, VLOOKUP($AH184,Control!$B$218:$C$228,2))</f>
        <v>0</v>
      </c>
      <c r="NF184" s="168" t="e">
        <f ca="1">$CY184*(Control!$C$128-Control!$C$127)</f>
        <v>#N/A</v>
      </c>
      <c r="NG184" s="54" t="e">
        <f ca="1">IF(Control!$C$58=2, $NI183-$NJ183, 0)</f>
        <v>#DIV/0!</v>
      </c>
      <c r="NH184" s="54" t="e">
        <f ca="1">IF(AND(Control!$C$58=1, $MS183&lt;= ($MN183+0.02), $I183&lt;10), 0, IF(Control!$C$58=2, $NG183, 0))</f>
        <v>#DIV/0!</v>
      </c>
      <c r="NI184" s="54" t="e">
        <f ca="1">IF(Control!$C$58=2, $NE184+$NH184,0)</f>
        <v>#DIV/0!</v>
      </c>
      <c r="NJ184" s="54" t="e">
        <f ca="1">IF(AND(Control!$C$58=1, $MS184&lt;= ($MN184+0.02), $I184&lt;10), MAX(0, MIN(10, 0.7*($NF184-$MV184))), IF(Control!$C$58=2, MIN(10,$NI184),0))</f>
        <v>#DIV/0!</v>
      </c>
      <c r="NK184" s="54" t="e">
        <f t="shared" ca="1" si="569"/>
        <v>#DIV/0!</v>
      </c>
      <c r="NL184" s="173" t="e">
        <f ca="1">(1-Control!$C$73)*$I184+$NJ184</f>
        <v>#DIV/0!</v>
      </c>
      <c r="NM184" s="172" t="e">
        <f ca="1">IF($NL184&lt;0.5, $MB184* MAX(0, MIN(1, (SQRT($NC184)-SQRT($NC184-1))*Control!$C$71)),0)</f>
        <v>#DIV/0!</v>
      </c>
      <c r="NN184" s="170" t="e">
        <f ca="1">IF($NL184&gt;=5, $MB184, MAX(0,MIN($MB184, $NM184+$NL184,($MS184-Control!$C$129))))</f>
        <v>#DIV/0!</v>
      </c>
      <c r="NO184" s="54">
        <f>IF(Control!$C$133&lt;&gt;1, Control!$C$135-Control!$C$131, 0)</f>
        <v>0.38</v>
      </c>
      <c r="NP184" s="54" t="e">
        <f t="shared" ca="1" si="570"/>
        <v>#DIV/0!</v>
      </c>
      <c r="NQ184" s="173" t="e">
        <f ca="1">MAX(0,MIN(1,(Control!$C$135-$MS184)/(Control!$C$135-$NO184)))</f>
        <v>#DIV/0!</v>
      </c>
      <c r="NR184" s="170" t="e">
        <f ca="1">IF(Control!$C$133&lt;&gt;1, $NQ184+((1-$NP184/4)*(1-$NQ184)),1)</f>
        <v>#DIV/0!</v>
      </c>
      <c r="NS184" s="170" t="e">
        <f ca="1">IF(Control!$B$31=0,$MJ184,MAX(0,MIN($MV184,$MO184*$NR184*$MJ184)))</f>
        <v>#DIV/0!</v>
      </c>
      <c r="NT184" s="170" t="e">
        <f t="shared" ca="1" si="686"/>
        <v>#DIV/0!</v>
      </c>
      <c r="NU184" s="170" t="e">
        <f t="shared" ca="1" si="662"/>
        <v>#N/A</v>
      </c>
      <c r="NV184" s="170" t="e">
        <f t="shared" ca="1" si="571"/>
        <v>#N/A</v>
      </c>
      <c r="NW184" s="175" t="e">
        <f t="shared" ca="1" si="572"/>
        <v>#DIV/0!</v>
      </c>
      <c r="NX184" s="170" t="e">
        <f ca="1">MIN(Control!$C$72+$MU184, $NW184)</f>
        <v>#DIV/0!</v>
      </c>
      <c r="NY184" s="170" t="e">
        <f ca="1">IF($MT184&lt;=$NX184,MIN(Control!$C$72+$NB184,$NX184-$MT184),0)</f>
        <v>#DIV/0!</v>
      </c>
      <c r="NZ184" s="54" t="e">
        <f ca="1">IF(Control!$C$114=1,  $CX184*($MX184-Control!$C$127), 0)</f>
        <v>#DIV/0!</v>
      </c>
      <c r="OA184" s="170" t="e">
        <f t="shared" ca="1" si="573"/>
        <v>#DIV/0!</v>
      </c>
      <c r="OB184" s="170" t="e">
        <f ca="1">IF($NA184 &lt;=$NY184, MIN(Control!$C$72, $NY184-$NA184), 0)</f>
        <v>#DIV/0!</v>
      </c>
      <c r="OC184" s="168" t="e">
        <f t="shared" ca="1" si="574"/>
        <v>#DIV/0!</v>
      </c>
      <c r="OD184" s="168" t="e">
        <f t="shared" ca="1" si="663"/>
        <v>#DIV/0!</v>
      </c>
      <c r="OE184" s="170">
        <f ca="1">Control!$C$73*$I184</f>
        <v>0</v>
      </c>
      <c r="OF184" s="176" t="e">
        <f t="shared" ca="1" si="575"/>
        <v>#DIV/0!</v>
      </c>
      <c r="OG184" s="168" t="e">
        <f t="shared" ca="1" si="576"/>
        <v>#DIV/0!</v>
      </c>
      <c r="OH184" s="168" t="e">
        <f t="shared" ca="1" si="577"/>
        <v>#DIV/0!</v>
      </c>
      <c r="OI184" s="168" t="e">
        <f t="shared" ca="1" si="578"/>
        <v>#DIV/0!</v>
      </c>
      <c r="OJ184" s="168" t="e">
        <f t="shared" ca="1" si="579"/>
        <v>#DIV/0!</v>
      </c>
      <c r="OK184" s="204" t="e">
        <f t="shared" ca="1" si="580"/>
        <v>#DIV/0!</v>
      </c>
      <c r="OL184" s="177">
        <f>Control!$C$127</f>
        <v>0.15</v>
      </c>
      <c r="OM184" s="182" t="e">
        <f t="shared" ca="1" si="581"/>
        <v>#N/A</v>
      </c>
      <c r="ON184" s="177">
        <f>Control!$C$128</f>
        <v>0.35</v>
      </c>
      <c r="OO184" s="182" t="e">
        <f t="shared" ca="1" si="582"/>
        <v>#N/A</v>
      </c>
      <c r="OP184" s="138">
        <f t="shared" ca="1" si="664"/>
        <v>0</v>
      </c>
      <c r="OQ184" s="138" t="e">
        <f t="shared" ca="1" si="687"/>
        <v>#DIV/0!</v>
      </c>
      <c r="OR184" s="138" t="e">
        <f t="shared" ca="1" si="665"/>
        <v>#DIV/0!</v>
      </c>
      <c r="OS184" s="137" t="e">
        <f t="shared" ca="1" si="688"/>
        <v>#DIV/0!</v>
      </c>
      <c r="OT184" s="139" t="e">
        <f t="shared" ca="1" si="689"/>
        <v>#DIV/0!</v>
      </c>
      <c r="OU184" s="138" t="e">
        <f t="shared" ca="1" si="690"/>
        <v>#N/A</v>
      </c>
      <c r="OV184" s="138" t="e">
        <f t="shared" ca="1" si="691"/>
        <v>#DIV/0!</v>
      </c>
      <c r="OW184" s="138" t="e">
        <f t="shared" ca="1" si="666"/>
        <v>#DIV/0!</v>
      </c>
      <c r="OX184" s="138" t="e">
        <f t="shared" ca="1" si="667"/>
        <v>#DIV/0!</v>
      </c>
      <c r="OY184" s="138" t="e">
        <f t="shared" ca="1" si="668"/>
        <v>#DIV/0!</v>
      </c>
      <c r="OZ184" s="138" t="e">
        <f t="shared" ca="1" si="583"/>
        <v>#DIV/0!</v>
      </c>
      <c r="PA184" s="138" t="e">
        <f t="shared" ca="1" si="584"/>
        <v>#DIV/0!</v>
      </c>
      <c r="PB184" s="55">
        <f>IF(Control!$C$61="T", IF(Control!$C$65="F", IF($AH$6-Control!$C$60&lt;0,0,1), IF(365+$AH$6-Control!$C$60&lt;0,0,1)),0)</f>
        <v>0</v>
      </c>
      <c r="PC184" s="55">
        <f ca="1">IF(Control!$C$65="F", IF($AH$6-$HF184&lt;0,0,1), IF(365+$AH$6-$HF184&lt;0,0,1))</f>
        <v>1</v>
      </c>
      <c r="PD184" s="444">
        <f>Control!$C$118</f>
        <v>1500</v>
      </c>
      <c r="PE184" s="180" t="e">
        <f t="shared" ca="1" si="585"/>
        <v>#N/A</v>
      </c>
      <c r="PF184" s="445">
        <f t="shared" ca="1" si="669"/>
        <v>0.71612369323045078</v>
      </c>
      <c r="PT184" s="186"/>
      <c r="PU184" s="186"/>
      <c r="PV184" s="94"/>
      <c r="PW184" s="94"/>
      <c r="PX184" s="94"/>
      <c r="PY184" s="94"/>
      <c r="PZ184" s="94"/>
      <c r="QA184" s="94"/>
      <c r="QB184" s="94"/>
      <c r="QC184" s="94"/>
      <c r="QD184" s="94"/>
      <c r="QE184" s="94"/>
      <c r="QF184" s="94"/>
      <c r="QG184" s="94"/>
      <c r="QH184" s="94"/>
      <c r="QI184" s="94"/>
      <c r="QJ184" s="94"/>
      <c r="QK184" s="94"/>
      <c r="QL184" s="94"/>
      <c r="QM184" s="94"/>
      <c r="QN184" s="94"/>
      <c r="QO184" s="94"/>
      <c r="QP184" s="94"/>
    </row>
    <row r="185" spans="1:458" s="2" customFormat="1" x14ac:dyDescent="0.2">
      <c r="A185" s="395">
        <v>29</v>
      </c>
      <c r="B185" s="396">
        <v>6</v>
      </c>
      <c r="C185" s="387">
        <f ca="1">Weather_data!$B184</f>
        <v>0</v>
      </c>
      <c r="D185" s="388">
        <f ca="1">Weather_data!$F184</f>
        <v>0</v>
      </c>
      <c r="E185" s="388">
        <f ca="1">Weather_data!$E184</f>
        <v>0</v>
      </c>
      <c r="F185" s="388">
        <f t="shared" ca="1" si="586"/>
        <v>0</v>
      </c>
      <c r="G185" s="388">
        <f ca="1">AVERAGE($D185:$E185)+Control!$B$9</f>
        <v>0</v>
      </c>
      <c r="H185" s="388">
        <f ca="1">Weather_data!$G184</f>
        <v>0</v>
      </c>
      <c r="I185" s="388">
        <f ca="1">Weather_data!$I184</f>
        <v>0</v>
      </c>
      <c r="J185" s="388">
        <f ca="1">Weather_data!$H184</f>
        <v>0</v>
      </c>
      <c r="K185" s="389">
        <f ca="1">Weather_data!$D184</f>
        <v>0</v>
      </c>
      <c r="L185" s="388" t="e">
        <f t="shared" ca="1" si="587"/>
        <v>#N/A</v>
      </c>
      <c r="M185" s="388" t="e">
        <f t="shared" ca="1" si="465"/>
        <v>#N/A</v>
      </c>
      <c r="N185" s="388">
        <f t="shared" ca="1" si="466"/>
        <v>-3.2238824196117006E-9</v>
      </c>
      <c r="O185" s="388">
        <f t="shared" ca="1" si="588"/>
        <v>3.2238824196117004E-8</v>
      </c>
      <c r="P185" s="390">
        <v>3</v>
      </c>
      <c r="Q185" s="388">
        <f ca="1">MAX($G185-Control!$C$107,0)</f>
        <v>0</v>
      </c>
      <c r="R185" s="388">
        <f t="shared" ca="1" si="589"/>
        <v>0</v>
      </c>
      <c r="S185" s="388">
        <f t="shared" ca="1" si="467"/>
        <v>0</v>
      </c>
      <c r="T185" s="388">
        <f t="shared" ca="1" si="468"/>
        <v>0</v>
      </c>
      <c r="U185" s="59">
        <f t="shared" ca="1" si="469"/>
        <v>0</v>
      </c>
      <c r="V185" s="391">
        <f ca="1">MAX(0,MIN(Control!$C$100-Control!$C$99,$G185-Control!$C$99)*Control!$C$63)</f>
        <v>0</v>
      </c>
      <c r="W185" s="388">
        <f t="shared" ca="1" si="590"/>
        <v>0</v>
      </c>
      <c r="X185" s="388">
        <f t="shared" ca="1" si="591"/>
        <v>0.6110000000000001</v>
      </c>
      <c r="Y185" s="388">
        <f t="shared" ca="1" si="470"/>
        <v>0</v>
      </c>
      <c r="Z185" s="388">
        <f t="shared" ca="1" si="592"/>
        <v>0.61058800000000002</v>
      </c>
      <c r="AA185" s="388">
        <f t="shared" ca="1" si="471"/>
        <v>0.6018</v>
      </c>
      <c r="AB185" s="388">
        <f ca="1">101.3*EXP(-0.034*Control!$C$66/($G185+273))</f>
        <v>100.69623283836242</v>
      </c>
      <c r="AC185" s="392">
        <f t="shared" ca="1" si="472"/>
        <v>4.3460251046025113E-2</v>
      </c>
      <c r="AD185" s="392">
        <f t="shared" ca="1" si="473"/>
        <v>4.4450382862832649E-2</v>
      </c>
      <c r="AE185" s="388">
        <f t="shared" ca="1" si="474"/>
        <v>0</v>
      </c>
      <c r="AF185" s="388">
        <f ca="1">MAX(0,$G185-Control!$C$92)</f>
        <v>0</v>
      </c>
      <c r="AG185" s="393">
        <f t="shared" ca="1" si="475"/>
        <v>181</v>
      </c>
      <c r="AH185" s="389">
        <f t="shared" ca="1" si="476"/>
        <v>181</v>
      </c>
      <c r="AI185" s="388">
        <f t="shared" ca="1" si="593"/>
        <v>0.40464957087919701</v>
      </c>
      <c r="AJ185" s="388">
        <f ca="1">IF(Control!$C$60&lt;=0,$HH185,$HI185)</f>
        <v>1</v>
      </c>
      <c r="AK185" s="388">
        <f t="shared" ca="1" si="477"/>
        <v>1.7386348384250363</v>
      </c>
      <c r="AL185" s="388">
        <f t="shared" ca="1" si="478"/>
        <v>-1.6231165717028873E-18</v>
      </c>
      <c r="AM185" s="388">
        <f t="shared" ca="1" si="479"/>
        <v>1.7386348384250363</v>
      </c>
      <c r="AN185" s="388">
        <f t="shared" ca="1" si="480"/>
        <v>0.40303305346465301</v>
      </c>
      <c r="AO185" s="388">
        <f ca="1">-0.10453/COS(Control!$B$8*PI()/180)*COS(AN185)</f>
        <v>-0.1561809593820121</v>
      </c>
      <c r="AP185" s="388">
        <f ca="1">ACOS(AO185-TAN(Control!$B$8*PI()/180)*TAN(AN185))</f>
        <v>2.3488768886372711</v>
      </c>
      <c r="AQ185" s="388">
        <f t="shared" ca="1" si="594"/>
        <v>0</v>
      </c>
      <c r="AR185" s="394">
        <f t="shared" ca="1" si="481"/>
        <v>0</v>
      </c>
      <c r="AS185" s="436">
        <f ca="1">IF(Control!$B$18=2,(IF(OR($AH185=Control!$B$175,$AH185=Control!$B$176,$AH185=Control!$B$177,$AH185=Control!$B$178,$AH185=Control!$B$179,$AH185=Control!$B$180,$AH185=Control!$B$181,$AH185=Control!$B$182,$AH185=Control!$B$183,$AH185=Control!$B$184,$AH185=Control!$B$185),1,0)),0)</f>
        <v>0</v>
      </c>
      <c r="AT185" s="436">
        <f>IF(Control!$B$20=8,IF(AND($AH185&gt;=Control!$B$172,$AH185&lt;=Control!$B$173),1,0),0)</f>
        <v>0</v>
      </c>
      <c r="AU185" s="436">
        <f>IF(Control!$B$20=8,IF($AV184=1,1*$AT185,IF($AT185=1,$AU184+1,$AU184)),0)</f>
        <v>0</v>
      </c>
      <c r="AV185" s="436">
        <f>IF(Control!$B$20=8,IF($AU185&gt;=Control!$B$174,1,0),0)</f>
        <v>0</v>
      </c>
      <c r="AW185" s="436">
        <f ca="1">IF(AND(Control!$B$18=2,Control!$B$171=1), $AV185, $AS185)</f>
        <v>0</v>
      </c>
      <c r="AX185" s="436" t="e">
        <f ca="1">IF(AND(Control!$B$18=1,$EU185&gt;=Control!$B$19),-$AY185,IF(AND(Control!$B$18=2,$AW185=1,$EU185&gt;$DS185),-$AY185, IF(Control!$C$108=0,0, IF(Control!$C$108&lt;&gt;0,1))))</f>
        <v>#N/A</v>
      </c>
      <c r="AY185" s="436" t="e">
        <f t="shared" ca="1" si="595"/>
        <v>#N/A</v>
      </c>
      <c r="AZ185" s="436" t="e">
        <f ca="1">IF(AND(Control!$B$18=1,$EB185&gt;Control!$B$19),$AZ184+1, IF(AND(Control!$B$18=2, $AW185=1, $EB185&gt;$DS185), $AZ184+1,$AZ184))</f>
        <v>#N/A</v>
      </c>
      <c r="BA185" s="587">
        <f>IF(Control!$C$81=0,1,IF($AH185&gt;=Control!$C$82,1,0))</f>
        <v>1</v>
      </c>
      <c r="BB185" s="140" t="e">
        <f ca="1">IF($BA185&gt;$BA184,Control!$C$83,IF($AW185&gt;0,$AW185*Control!$C$84,IF(AND(Control!$B$18=1,EN184&lt;&gt;0),Control!$C$84,0)))</f>
        <v>#N/A</v>
      </c>
      <c r="BC185" s="140" t="e">
        <f t="shared" ca="1" si="596"/>
        <v>#N/A</v>
      </c>
      <c r="BD185" s="140" t="e">
        <f ca="1">BC185*IF(OR($G185&lt;Control!$C$92,$G185&gt;Control!$C$95),0,IF(AND($G185&gt;=Control!$C$92,$G185&lt;=Control!$C$93),$G185-Control!$C$92,IF(AND($G185&gt;Control!$C$93,$G185&lt;=Control!$C$94),Control!$C$93-Control!$C$92,IF(AND($G185&gt;Control!$C$94,$G185&lt;=Control!$C$95),(Control!$C$93-Control!$C$92)*(Control!$C$94-$G185)/(Control!$C$95-Control!$C$94)))))</f>
        <v>#N/A</v>
      </c>
      <c r="BE185" s="140" t="e">
        <f t="shared" ca="1" si="597"/>
        <v>#N/A</v>
      </c>
      <c r="BF185" s="140" t="e">
        <f ca="1">IF($BE185&lt;=Control!$C$86,$BE185,Control!$C$86-$BE185)</f>
        <v>#N/A</v>
      </c>
      <c r="BG185" s="140" t="e">
        <f ca="1">IF(AND($AW185=1,Control!$C$84&lt;9),1,IF($BE185&gt;=Control!$C$86,0,$BC185))</f>
        <v>#N/A</v>
      </c>
      <c r="BH185" s="404" t="e">
        <f ca="1">IF($BG185=0,0,IF($BE185&lt;=Control!$C$86,$BC185*9*($BF185/Control!$C$86),0))</f>
        <v>#N/A</v>
      </c>
      <c r="BI185" s="140" t="e">
        <f ca="1">IF($BG185=1,0,IF($BE185&gt;=Control!$C$86,1,IF(AND($BB185&lt;21,$BB185&gt;=9),1,$BM184)))</f>
        <v>#N/A</v>
      </c>
      <c r="BJ185" s="140" t="e">
        <f ca="1">IF($BF185&lt;0,-$BF185,$BI185*IF(OR($G185&lt;Control!$C$92,$G185&gt;Control!$C$95),0,IF(AND($G185&gt;=Control!$C$92,$G185&lt;=Control!$C$93),$G185-Control!$C$92,IF(AND($G185&gt;Control!$C$93,$G185&lt;=Control!$C$94),Control!$C$93-Control!$C$92,IF(AND($G185&gt;Control!$C$94,$G185&lt;=Control!$C$95),(Control!$C$93-Control!$C$92)*(Control!$C$94-$G185)/(Control!$C$95-Control!$C$94))))))</f>
        <v>#N/A</v>
      </c>
      <c r="BK185" s="140" t="e">
        <f t="shared" ca="1" si="598"/>
        <v>#N/A</v>
      </c>
      <c r="BL185" s="140" t="e">
        <f ca="1">IF($BK185&lt;=Control!$C$87,$BK185,Control!$C$87-$BK185)</f>
        <v>#N/A</v>
      </c>
      <c r="BM185" s="140" t="e">
        <f ca="1">IF(AND($BB185&gt;=9,$BB185&lt;21),1,IF($BK185&gt;=Control!$C$87,0,$BI185))</f>
        <v>#N/A</v>
      </c>
      <c r="BN185" s="404" t="e">
        <f ca="1">IF($BM185=0,0,IF($BK185&lt;=Control!$C$87,$BI185*(9+(21-9)*($BL185/Control!$C$87)),0))</f>
        <v>#N/A</v>
      </c>
      <c r="BO185" s="140" t="e">
        <f ca="1">IF($BM185=1,0,IF($BK185&gt;=Control!$C$87,1,IF(AND($BB185&lt;30,$BB185&gt;=21),1,$BS184)))</f>
        <v>#N/A</v>
      </c>
      <c r="BP185" s="140" t="e">
        <f ca="1">IF($BL185&lt;0,-$BL185,$BO185*IF(OR($G185&lt;Control!$C$92,$G185&gt;Control!$C$95),0,IF(AND($G185&gt;=Control!$C$92,$G185&lt;=Control!$C$93),$G185-Control!$C$92,IF(AND($G185&gt;Control!$C$93,$G185&lt;=Control!$C$94),Control!$C$93-Control!$C$92,IF(AND($G185&gt;Control!$C$94,$G185&lt;=Control!$C$95),(Control!$C$93-Control!$C$92)*(Control!$C$94-$G185)/(Control!$C$95-Control!$C$94))))))</f>
        <v>#N/A</v>
      </c>
      <c r="BQ185" s="140" t="e">
        <f t="shared" ca="1" si="482"/>
        <v>#N/A</v>
      </c>
      <c r="BR185" s="140" t="e">
        <f ca="1">IF($BQ185&lt;=Control!$C$88,$BQ185,Control!$C$88-$BQ185)</f>
        <v>#N/A</v>
      </c>
      <c r="BS185" s="140" t="e">
        <f ca="1">IF(AND($BB185&gt;=21,$BB185&lt;30),1,IF($BQ185&gt;=Control!$C$88,0,$BO185))</f>
        <v>#N/A</v>
      </c>
      <c r="BT185" s="404" t="e">
        <f ca="1">IF($BS185=0,0,IF($BQ185&lt;=Control!$C$88,$BO185*(21+(30-21)*(BR185/Control!$C$88)),0))</f>
        <v>#N/A</v>
      </c>
      <c r="BU185" s="140" t="e">
        <f ca="1">IF(BG185+BM185+BS185=1,0,IF(OR(AND($BB185&lt;60,$BB185&gt;=30),$BQ185&gt;=Control!$C$88),1*$BA185,$BY184))</f>
        <v>#N/A</v>
      </c>
      <c r="BV185" s="140" t="e">
        <f ca="1">IF($BR185&lt;0,-$BR185,$BU185*IF(OR($G185&lt;Control!$C$92,$G185&gt;Control!$C$95),0,IF(AND($G185&gt;=Control!$C$92,$G185&lt;=Control!$C$93),$G185-Control!$C$92,IF(AND($G185&gt;Control!$C$93,$G185&lt;=Control!$C$94),Control!$C$93-Control!$C$92,IF(AND($G185&gt;Control!$C$94,$G185&lt;=Control!$C$95),(Control!$C$93-Control!$C$92)*(Control!$C$94-$G185)/(Control!$C$95-Control!$C$94))))))</f>
        <v>#N/A</v>
      </c>
      <c r="BW185" s="140" t="e">
        <f t="shared" ca="1" si="483"/>
        <v>#N/A</v>
      </c>
      <c r="BX185" s="140" t="e">
        <f ca="1">IF($BW185&lt;=Control!$C$89,$BW185,Control!$C$89-$BW185)</f>
        <v>#N/A</v>
      </c>
      <c r="BY185" s="140" t="e">
        <f ca="1">IF(AND($AJ185&gt;=30,$AJ185&lt;60),1,IF($BW185&gt;=Control!$C$89,0,$BU185))</f>
        <v>#N/A</v>
      </c>
      <c r="BZ185" s="404" t="e">
        <f ca="1">IF($BY185=0,0,IF($BW185&lt;=Control!$C$89,$BU185*(30+(60-30)*(BX185/Control!$C$89)),0))</f>
        <v>#N/A</v>
      </c>
      <c r="CA185" s="140" t="e">
        <f ca="1">IF($BG185+$BM185+$BS185+$BY185=1,0,IF(OR(AND($BB185&lt;65,$BB185&gt;=60),$BW185&gt;=Control!$C$89),1*$BA185,$CE184))</f>
        <v>#N/A</v>
      </c>
      <c r="CB185" s="140" t="e">
        <f ca="1">IF($BX185&lt;0,-$BX185,$CA185*IF(OR($G185&lt;Control!$C$92,$G185&gt;Control!$C$95),0,IF(AND($G185&gt;=Control!$C$92,$G185&lt;=Control!$C$93),$G185-Control!$C$92,IF(AND($G185&gt;Control!$C$93,$G185&lt;=Control!$C$94),Control!$C$93-Control!$C$92,IF(AND($G185&gt;Control!$C$94,$G185&lt;=Control!$C$95),(Control!$C$93-Control!$C$92)*(Control!$C$94-$G185)/(Control!$C$95-Control!$C$94))))))</f>
        <v>#N/A</v>
      </c>
      <c r="CC185" s="140" t="e">
        <f t="shared" ca="1" si="599"/>
        <v>#N/A</v>
      </c>
      <c r="CD185" s="140" t="e">
        <f ca="1">IF($CC185&lt;=Control!$C$90,$CC185,Control!$C$90-$CC185)</f>
        <v>#N/A</v>
      </c>
      <c r="CE185" s="140" t="e">
        <f ca="1">IF(AND($BB185&gt;=60,$BB185&lt;65),1,IF($CC185&gt;=Control!$C$90,0,$CA185))</f>
        <v>#N/A</v>
      </c>
      <c r="CF185" s="404" t="e">
        <f ca="1">IF($CE185=0,0,IF($CC185&lt;=Control!$C$90,$CA185*(60+(65-60)*(CD185/Control!$C$90)),0))</f>
        <v>#N/A</v>
      </c>
      <c r="CG185" s="140" t="e">
        <f ca="1">IF($BG185+$BM185+$BS185+$BY185+$CE185=1,0,IF(OR(AND($BB185&lt;90,$BB185&gt;=65),$CC185&gt;=Control!$C$90),$BA185,$CK184))</f>
        <v>#N/A</v>
      </c>
      <c r="CH185" s="140" t="e">
        <f ca="1">IF($CD185&lt;0,-$CD185,$CG185*IF(OR($G185&lt;Control!$C$92,$G185&gt;Control!$C$95),0,IF(AND($G185&gt;=Control!$C$92,$G185&lt;=Control!$C$93),$G185-Control!$C$92,IF(AND($G185&gt;Control!$C$93,$G185&lt;=Control!$C$94),Control!$C$93-Control!$C$92,IF(AND($G185&gt;Control!$C$94,$G185&lt;=Control!$C$95),(Control!$C$93-Control!$C$92)*(Control!$C$94-$G185)/(Control!$C$95-Control!$C$94))))))</f>
        <v>#N/A</v>
      </c>
      <c r="CI185" s="140" t="e">
        <f t="shared" ca="1" si="600"/>
        <v>#N/A</v>
      </c>
      <c r="CJ185" s="140" t="e">
        <f ca="1">IF($CI185&lt;=Control!$C$91,$CI185,Control!$C$91-$CI185)</f>
        <v>#N/A</v>
      </c>
      <c r="CK185" s="140" t="e">
        <f ca="1">IF(AND($BB185&gt;=65,$BB185&lt;90),1,IF($CI185&gt;=Control!$C$91,0,$CG185))</f>
        <v>#N/A</v>
      </c>
      <c r="CL185" s="404" t="e">
        <f ca="1">IF($CK185=0,0,IF($CI185&lt;=Control!$C$91,$CG185*(65+(90-65)*($CJ185/Control!$C$91)),0))</f>
        <v>#N/A</v>
      </c>
      <c r="CM185" s="140" t="e">
        <f ca="1">IF($BG185+$BM185+$BS185+$BY185+$CE185+$CK185=1,0,IF(OR($BB185&gt;=90,$CI185&gt;=Control!$C$91),$BA185,$CM184))</f>
        <v>#N/A</v>
      </c>
      <c r="CN185" s="140" t="e">
        <f t="shared" ca="1" si="601"/>
        <v>#N/A</v>
      </c>
      <c r="CO185" s="140" t="e">
        <f t="shared" ca="1" si="602"/>
        <v>#N/A</v>
      </c>
      <c r="CP185" s="140" t="e">
        <f t="shared" ca="1" si="603"/>
        <v>#N/A</v>
      </c>
      <c r="CQ185" s="141" t="e">
        <f ca="1">VLOOKUP($CP185,Control!$B$86:$G$91,6)</f>
        <v>#N/A</v>
      </c>
      <c r="CR185" s="141" t="e">
        <f ca="1">(1-$CQ185)*VLOOKUP($CP185,Control!$B$86:$D$91,3)</f>
        <v>#N/A</v>
      </c>
      <c r="CS185" s="141" t="e">
        <f ca="1">(1-$CQ185)*VLOOKUP($CP185,Control!$B$86:$E$91,4)</f>
        <v>#N/A</v>
      </c>
      <c r="CT185" s="141" t="e">
        <f ca="1">(1-$CQ185)*VLOOKUP($CP185,Control!$B$86:$F$91,5)</f>
        <v>#N/A</v>
      </c>
      <c r="CU185" s="141">
        <f t="shared" ca="1" si="604"/>
        <v>0</v>
      </c>
      <c r="CV185" s="583">
        <f t="shared" ca="1" si="605"/>
        <v>0</v>
      </c>
      <c r="CW185" s="142">
        <f t="shared" ca="1" si="606"/>
        <v>181</v>
      </c>
      <c r="CX185" s="612" t="e">
        <f ca="1">IF(Control!$C$114=1,(MIN(Control!$C$120*(IF($NT185-0.01&lt;0,0,1)),Control!$C$119-$CY185)))</f>
        <v>#DIV/0!</v>
      </c>
      <c r="CY185" s="143" t="e">
        <f t="shared" ca="1" si="607"/>
        <v>#N/A</v>
      </c>
      <c r="CZ185" s="144">
        <f t="shared" ca="1" si="484"/>
        <v>0</v>
      </c>
      <c r="DA185" s="144">
        <f t="shared" ca="1" si="485"/>
        <v>0</v>
      </c>
      <c r="DB185" s="144" t="e">
        <f t="shared" ca="1" si="486"/>
        <v>#N/A</v>
      </c>
      <c r="DC185" s="144" t="e">
        <f t="shared" ca="1" si="487"/>
        <v>#N/A</v>
      </c>
      <c r="DD185" s="144" t="e">
        <f t="shared" ca="1" si="692"/>
        <v>#N/A</v>
      </c>
      <c r="DE185" s="143" t="e">
        <f t="shared" ca="1" si="608"/>
        <v>#N/A</v>
      </c>
      <c r="DF185" s="145" t="e">
        <f ca="1">$DR185*EXP(-Control!$C$158*(1-$KH185))</f>
        <v>#N/A</v>
      </c>
      <c r="DG185" s="146" t="e">
        <f ca="1">IF(Control!$C$114=1, $DF185*$EY185, 0)</f>
        <v>#N/A</v>
      </c>
      <c r="DH185" s="147" t="e">
        <f t="shared" ca="1" si="609"/>
        <v>#N/A</v>
      </c>
      <c r="DI185" s="144" t="e">
        <f t="shared" ca="1" si="670"/>
        <v>#N/A</v>
      </c>
      <c r="DJ185" s="147" t="e">
        <f ca="1">$EF185*Control!$C$109</f>
        <v>#N/A</v>
      </c>
      <c r="DK185" s="144" t="e">
        <f t="shared" ca="1" si="610"/>
        <v>#N/A</v>
      </c>
      <c r="DL185" s="144" t="e">
        <f t="shared" ca="1" si="488"/>
        <v>#N/A</v>
      </c>
      <c r="DM185" s="144" t="e">
        <f ca="1">IF(Control!$C$114=1, (1-EXP(-Control!$C$96*$DK185))*$AR185, 0)</f>
        <v>#N/A</v>
      </c>
      <c r="DN185" s="144">
        <f t="shared" ca="1" si="611"/>
        <v>0</v>
      </c>
      <c r="DO185" s="148">
        <f>Control!$C$97</f>
        <v>4</v>
      </c>
      <c r="DP185" s="145" t="e">
        <f t="shared" ca="1" si="612"/>
        <v>#N/A</v>
      </c>
      <c r="DQ185" s="145" t="e">
        <f ca="1">IF(AND($CP185&gt;=0,$CP185&lt;=90),Control!$C$111,Control!$C$111)</f>
        <v>#N/A</v>
      </c>
      <c r="DR185" s="145" t="e">
        <f t="shared" ca="1" si="489"/>
        <v>#N/A</v>
      </c>
      <c r="DS185" s="143" t="e">
        <f ca="1">Control!$B$22/$DR185</f>
        <v>#N/A</v>
      </c>
      <c r="DT185" s="149" t="e">
        <f ca="1">IF(AND(Control!$C$114=1,$KH185&lt;1),$IM185*$DF185, 0)</f>
        <v>#N/A</v>
      </c>
      <c r="DU185" s="144" t="e">
        <f t="shared" ca="1" si="613"/>
        <v>#N/A</v>
      </c>
      <c r="DV185" s="144">
        <f ca="1">IF($G185-Control!$C$107&lt;=0, 0, 0.83*LN(MAX($G185, 3))-0.8924)</f>
        <v>0</v>
      </c>
      <c r="DW185" s="144" t="e">
        <f t="shared" ca="1" si="490"/>
        <v>#N/A</v>
      </c>
      <c r="DX185" s="150" t="e">
        <f ca="1">MAX(0.01*(1+$CU185/Control!$C$102),0.05*($DK185-Control!$C$97)/Control!$C$97)</f>
        <v>#N/A</v>
      </c>
      <c r="DY185" s="151" t="e">
        <f ca="1">IF(Control!$C$114=1, $DI185*$FS185, 0)</f>
        <v>#N/A</v>
      </c>
      <c r="DZ185" s="196" t="e">
        <f t="shared" ca="1" si="614"/>
        <v>#N/A</v>
      </c>
      <c r="EA185" s="152">
        <f t="shared" ca="1" si="615"/>
        <v>181</v>
      </c>
      <c r="EB185" s="153" t="e">
        <f t="shared" ca="1" si="616"/>
        <v>#N/A</v>
      </c>
      <c r="EC185" s="153" t="e">
        <f t="shared" ca="1" si="617"/>
        <v>#N/A</v>
      </c>
      <c r="ED185" s="154" t="e">
        <f ca="1">IF(Control!$C$114=1, $HM185*$FY185-$FD185, 0)</f>
        <v>#DIV/0!</v>
      </c>
      <c r="EE185" s="155" t="e">
        <f ca="1">IF(Control!$C$114=1, $HM185*$FZ185-$FF185, 0)</f>
        <v>#DIV/0!</v>
      </c>
      <c r="EF185" s="153" t="e">
        <f t="shared" ca="1" si="671"/>
        <v>#N/A</v>
      </c>
      <c r="EG185" s="155" t="e">
        <f ca="1">IF(Control!$C$114=1, $GX185*$FW185-$FI185, 0)</f>
        <v>#DIV/0!</v>
      </c>
      <c r="EH185" s="153" t="e">
        <f t="shared" ca="1" si="618"/>
        <v>#N/A</v>
      </c>
      <c r="EI185" s="156" t="e">
        <f t="shared" ca="1" si="619"/>
        <v>#N/A</v>
      </c>
      <c r="EJ185" s="155" t="e">
        <f ca="1">IF(Control!$C$114=1, $HM185*$GB185, 0)</f>
        <v>#DIV/0!</v>
      </c>
      <c r="EK185" s="153" t="e">
        <f t="shared" ca="1" si="672"/>
        <v>#N/A</v>
      </c>
      <c r="EL185" s="153" t="e">
        <f t="shared" ca="1" si="491"/>
        <v>#N/A</v>
      </c>
      <c r="EM185" s="153" t="e">
        <f t="shared" ca="1" si="492"/>
        <v>#N/A</v>
      </c>
      <c r="EN185" s="153" t="e">
        <f ca="1">IF(Control!$C$108=1,IF(AND(Control!$B$18=1,$EB185&gt;=Control!$B$19),$EB185-$DS185,IF(AND(Control!$B$18=2,$AW185=1,$EB185&gt;$DS185),$EB185-$DS185,0)))</f>
        <v>#N/A</v>
      </c>
      <c r="EO185" s="153" t="e">
        <f ca="1">IF(Control!$C$108=1,IF(AND(Control!$B$18=1,$EB185&gt;=Control!$B$19),$EF185,IF(AND(Control!$B$18=2,$AW185=1),$EF185,0)))</f>
        <v>#N/A</v>
      </c>
      <c r="EP185" s="153" t="e">
        <f ca="1">IF(Control!$C$108=1,IF(AND(Control!$B$18=1,$EB185&gt;=Control!$B$19),$EK185,IF(AND(Control!$B$18=2,$AW185=1),$EK185,0)))</f>
        <v>#N/A</v>
      </c>
      <c r="EQ185" s="153" t="e">
        <f t="shared" ca="1" si="620"/>
        <v>#N/A</v>
      </c>
      <c r="ER185" s="153" t="e">
        <f t="shared" ca="1" si="621"/>
        <v>#N/A</v>
      </c>
      <c r="ES185" s="153" t="e">
        <f t="shared" ca="1" si="673"/>
        <v>#N/A</v>
      </c>
      <c r="ET185" s="153" t="e">
        <f t="shared" ca="1" si="674"/>
        <v>#N/A</v>
      </c>
      <c r="EU185" s="153" t="e">
        <f t="shared" ca="1" si="622"/>
        <v>#N/A</v>
      </c>
      <c r="EV185" s="153" t="e">
        <f t="shared" ca="1" si="493"/>
        <v>#N/A</v>
      </c>
      <c r="EW185" s="153" t="e">
        <f t="shared" ca="1" si="494"/>
        <v>#N/A</v>
      </c>
      <c r="EX185" s="153" t="e">
        <f t="shared" ca="1" si="495"/>
        <v>#N/A</v>
      </c>
      <c r="EY185" s="157" t="e">
        <f t="shared" ca="1" si="496"/>
        <v>#DIV/0!</v>
      </c>
      <c r="EZ185" s="154" t="e">
        <f t="shared" ca="1" si="497"/>
        <v>#DIV/0!</v>
      </c>
      <c r="FA185" s="153" t="e">
        <f t="shared" ca="1" si="623"/>
        <v>#N/A</v>
      </c>
      <c r="FB185" s="153" t="e">
        <f t="shared" ca="1" si="498"/>
        <v>#N/A</v>
      </c>
      <c r="FC185" s="193" t="e">
        <f t="shared" ca="1" si="499"/>
        <v>#N/A</v>
      </c>
      <c r="FD185" s="158" t="e">
        <f t="shared" ca="1" si="624"/>
        <v>#N/A</v>
      </c>
      <c r="FE185" s="158" t="e">
        <f t="shared" ca="1" si="625"/>
        <v>#N/A</v>
      </c>
      <c r="FF185" s="159" t="e">
        <f t="shared" ca="1" si="500"/>
        <v>#N/A</v>
      </c>
      <c r="FG185" s="160" t="e">
        <f t="shared" ca="1" si="626"/>
        <v>#N/A</v>
      </c>
      <c r="FH185" s="158" t="e">
        <f t="shared" ca="1" si="627"/>
        <v>#N/A</v>
      </c>
      <c r="FI185" s="159" t="e">
        <f t="shared" ca="1" si="501"/>
        <v>#N/A</v>
      </c>
      <c r="FJ185" s="160" t="e">
        <f t="shared" ca="1" si="628"/>
        <v>#N/A</v>
      </c>
      <c r="FK185" s="160" t="e">
        <f t="shared" ca="1" si="502"/>
        <v>#N/A</v>
      </c>
      <c r="FL185" s="160" t="e">
        <f t="shared" ca="1" si="675"/>
        <v>#N/A</v>
      </c>
      <c r="FM185" s="160" t="e">
        <f t="shared" ca="1" si="503"/>
        <v>#N/A</v>
      </c>
      <c r="FN185" s="158">
        <f t="shared" ca="1" si="629"/>
        <v>0.01</v>
      </c>
      <c r="FO185" s="160">
        <f>Control!$C$101</f>
        <v>50</v>
      </c>
      <c r="FP185" s="150" t="e">
        <f t="shared" ca="1" si="504"/>
        <v>#N/A</v>
      </c>
      <c r="FQ185" s="150" t="e">
        <f ca="1">MAX(0,(Control!$C$112*(($DK185-Control!$C$97)/Control!$C$97)))</f>
        <v>#N/A</v>
      </c>
      <c r="FR185" s="150" t="e">
        <f ca="1">(1-$NT185)*Control!$C$113</f>
        <v>#DIV/0!</v>
      </c>
      <c r="FS185" s="198" t="e">
        <f t="shared" ca="1" si="505"/>
        <v>#N/A</v>
      </c>
      <c r="FT185" s="161">
        <f t="shared" ca="1" si="630"/>
        <v>181</v>
      </c>
      <c r="FU185" s="162" t="e">
        <f ca="1">IF(Control!$B$34=1,VLOOKUP($CP185,Control!$B$86:$G$91,6),Control!$B$35)</f>
        <v>#N/A</v>
      </c>
      <c r="FV185" s="162" t="e">
        <f t="shared" ca="1" si="506"/>
        <v>#DIV/0!</v>
      </c>
      <c r="FW185" s="162" t="e">
        <f ca="1">IF(Control!$B$31=1,$FU185*$FV185,  $FU185)</f>
        <v>#N/A</v>
      </c>
      <c r="FX185" s="162" t="e">
        <f ca="1">IF(Control!$B$34=1,VLOOKUP($CP185,Control!$B$86:$G$91,3),Control!$B$36)</f>
        <v>#N/A</v>
      </c>
      <c r="FY185" s="162" t="e">
        <f t="shared" ca="1" si="507"/>
        <v>#N/A</v>
      </c>
      <c r="FZ185" s="162" t="e">
        <f ca="1">IF(Control!$B$34=1,VLOOKUP($CP185,Control!$B$86:$G$91,4),Control!$B$37)</f>
        <v>#N/A</v>
      </c>
      <c r="GA185" s="162" t="e">
        <f t="shared" ca="1" si="508"/>
        <v>#N/A</v>
      </c>
      <c r="GB185" s="162" t="e">
        <f ca="1">IF(Control!$B$34=1,VLOOKUP($CP185,Control!$B$86:$G$91,5),Control!$B$38)</f>
        <v>#N/A</v>
      </c>
      <c r="GC185" s="162" t="e">
        <f t="shared" ca="1" si="631"/>
        <v>#N/A</v>
      </c>
      <c r="GD185" s="162">
        <f t="shared" ca="1" si="509"/>
        <v>1</v>
      </c>
      <c r="GE185" s="162">
        <f t="shared" ca="1" si="510"/>
        <v>1</v>
      </c>
      <c r="GF185" s="162">
        <f ca="1">IF(AND(Control!$C$104=1, Control!$C$62="F"),$GE185,1)</f>
        <v>1</v>
      </c>
      <c r="GG185" s="162" t="e">
        <f ca="1">IF(Control!$B$16=40,0,IF(AND(Control!$B$16&gt;40,Control!$B$16&lt;=360),(Control!$B$16-40)*((1-0)/(360-40)),IF(AND(Control!$B$16&gt;360,Control!$B$16&lt;=720),(1+(Control!$B$16-360)*((1.25-1)/(720-360))),IF(AND(Control!$B$16&gt;720,Control!$B$16&lt;=1000),(1.25+(Control!$B$16-720)*((1.35-1.25)/(1000-720))),IF(AND(Control!$B$16&gt;1000,Control!$B$16&lt;=2000),(1.35+(Control!$B$16-1000)*0))))))</f>
        <v>#N/A</v>
      </c>
      <c r="GH185" s="162" t="e">
        <f t="shared" ca="1" si="511"/>
        <v>#N/A</v>
      </c>
      <c r="GI185" s="162">
        <f t="shared" ca="1" si="632"/>
        <v>0</v>
      </c>
      <c r="GJ185" s="162">
        <f t="shared" ca="1" si="512"/>
        <v>0</v>
      </c>
      <c r="GK185" s="162">
        <f t="shared" ca="1" si="633"/>
        <v>1</v>
      </c>
      <c r="GL185" s="162">
        <f t="shared" ca="1" si="513"/>
        <v>1</v>
      </c>
      <c r="GM185" s="162" t="e">
        <f ca="1">MAX(0,MIN(1,1-Control!$C$156*(1.0001-$KH185)^2))</f>
        <v>#N/A</v>
      </c>
      <c r="GN185" s="162" t="e">
        <f ca="1">IF(Control!$B$26=1,$KU185,$KX185)</f>
        <v>#N/A</v>
      </c>
      <c r="GO185" s="162" t="e">
        <f ca="1">IF($CP185&lt;=60,Control!$C$105,IF($CP185&gt;=90,Control!$C$106,Control!$C$105+($CP185-60)*((Control!$C$106-Control!$C$105)/(90-60))))</f>
        <v>#N/A</v>
      </c>
      <c r="GP185" s="162" t="e">
        <f t="shared" ca="1" si="514"/>
        <v>#N/A</v>
      </c>
      <c r="GQ185" s="162" t="e">
        <f t="shared" ca="1" si="634"/>
        <v>#N/A</v>
      </c>
      <c r="GR185" s="163" t="e">
        <f t="shared" ca="1" si="515"/>
        <v>#DIV/0!</v>
      </c>
      <c r="GS185" s="162" t="e">
        <f t="shared" ca="1" si="516"/>
        <v>#DIV/0!</v>
      </c>
      <c r="GT185" s="164" t="e">
        <f t="shared" ca="1" si="635"/>
        <v>#N/A</v>
      </c>
      <c r="GU185" s="162" t="e">
        <f t="shared" ca="1" si="636"/>
        <v>#N/A</v>
      </c>
      <c r="GV185" s="162" t="e">
        <f t="shared" ca="1" si="517"/>
        <v>#N/A</v>
      </c>
      <c r="GW185" s="162" t="e">
        <f t="shared" ca="1" si="518"/>
        <v>#DIV/0!</v>
      </c>
      <c r="GX185" s="162" t="e">
        <f t="shared" ca="1" si="637"/>
        <v>#DIV/0!</v>
      </c>
      <c r="GY185" s="162" t="e">
        <f t="shared" ca="1" si="638"/>
        <v>#DIV/0!</v>
      </c>
      <c r="GZ185" s="165" t="e">
        <f t="shared" ca="1" si="519"/>
        <v>#N/A</v>
      </c>
      <c r="HA185" s="162" t="e">
        <f ca="1">IF(Control!$C$114=1, $DI185*$FS185, 0)</f>
        <v>#N/A</v>
      </c>
      <c r="HB185" s="162" t="e">
        <f ca="1">$FA185/Control!$C$64</f>
        <v>#N/A</v>
      </c>
      <c r="HC185" s="162" t="e">
        <f t="shared" ca="1" si="520"/>
        <v>#DIV/0!</v>
      </c>
      <c r="HD185" s="162">
        <f ca="1">-ASIN(SIN(23.45*Control!$C$139)*COS(2*Control!$C$138*($AH185+10)/365))</f>
        <v>0.40464957087919701</v>
      </c>
      <c r="HE185" s="165">
        <f t="shared" ca="1" si="639"/>
        <v>0</v>
      </c>
      <c r="HF185" s="166">
        <f ca="1">IF(AND(Control!$C$61="T",$HE185&gt;=Control!$C$103,Control!$C$114=0),$AH185,Control!$C$59)</f>
        <v>1</v>
      </c>
      <c r="HG185" s="166">
        <f ca="1">IF(AND(Control!$C$61="T",$HE185&gt;=Control!$C$103,Control!$C$114=0),$HF185,Control!$C$59)</f>
        <v>1</v>
      </c>
      <c r="HH185" s="165">
        <f ca="1">IF(AND(OR(Control!$C$60&lt;=0, $AH185= Control!$C$59, Control!$C$60 &gt;0, $AH185 = Control!$C$60)), Control!$C$59, IF(Control!$C$60&gt;0, 0))</f>
        <v>1</v>
      </c>
      <c r="HI185" s="165">
        <f ca="1">IF(AND(OR(Control!$C$60&lt;=0, $AH185= Control!$C$59, Control!$C$60 &gt;0, $AH185 = Control!$C$60)), Control!$C$60, IF(Control!$C$60&lt;=0, 0))</f>
        <v>0</v>
      </c>
      <c r="HJ185" s="166">
        <f ca="1">IF(AND(Control!$C$62="F",$CV185&gt;=Control!$C$102),$AH185,0)</f>
        <v>0</v>
      </c>
      <c r="HK185" s="165" t="e">
        <f t="shared" ca="1" si="676"/>
        <v>#N/A</v>
      </c>
      <c r="HL185" s="166">
        <f ca="1">IF(AND(Control!$C$61="T",$HE185&gt;=Control!$C$103,Control!$C$114=0),$HF185,0)</f>
        <v>0</v>
      </c>
      <c r="HM185" s="201" t="e">
        <f t="shared" ca="1" si="521"/>
        <v>#DIV/0!</v>
      </c>
      <c r="HN185" s="215">
        <f t="shared" ca="1" si="640"/>
        <v>181</v>
      </c>
      <c r="HO185" s="216" t="e">
        <f ca="1">IF(AND($CP185&gt;=0, $CP185&lt;=90), Control!$C$152, Control!$C$152)</f>
        <v>#N/A</v>
      </c>
      <c r="HP185" s="216" t="e">
        <f t="shared" ca="1" si="522"/>
        <v>#N/A</v>
      </c>
      <c r="HQ185" s="217" t="e">
        <f ca="1">IF(OR(Control!$B$26=1,Control!$B$26=2),$KV185,$KS185)</f>
        <v>#DIV/0!</v>
      </c>
      <c r="HR185" s="218" t="e">
        <f t="shared" ca="1" si="677"/>
        <v>#DIV/0!</v>
      </c>
      <c r="HS185" s="216" t="e">
        <f ca="1">Control!$C$154*$HP185</f>
        <v>#N/A</v>
      </c>
      <c r="HT185" s="216" t="e">
        <f ca="1">Control!$C$155*$HP185</f>
        <v>#N/A</v>
      </c>
      <c r="HU185" s="217" t="e">
        <f ca="1">Control!$C$161*$FI185</f>
        <v>#N/A</v>
      </c>
      <c r="HV185" s="218" t="e">
        <f t="shared" ca="1" si="641"/>
        <v>#N/A</v>
      </c>
      <c r="HW185" s="218" t="e">
        <f ca="1">Control!$C$160*$FF185+$IP185*$EO185</f>
        <v>#N/A</v>
      </c>
      <c r="HX185" s="218" t="e">
        <f t="shared" ca="1" si="678"/>
        <v>#N/A</v>
      </c>
      <c r="HY185" s="219" t="e">
        <f ca="1">IF(Control!$C$114=1, $EB185*$FS185, 0)</f>
        <v>#N/A</v>
      </c>
      <c r="HZ185" s="91" t="e">
        <f t="shared" ca="1" si="523"/>
        <v>#N/A</v>
      </c>
      <c r="IA185" s="220" t="e">
        <f ca="1">Control!$C$153*$HO185</f>
        <v>#N/A</v>
      </c>
      <c r="IB185" s="218" t="e">
        <f t="shared" ca="1" si="524"/>
        <v>#N/A</v>
      </c>
      <c r="IC185" s="220" t="e">
        <f ca="1">Control!$C$153*$HT185</f>
        <v>#N/A</v>
      </c>
      <c r="ID185" s="218" t="e">
        <f t="shared" ca="1" si="525"/>
        <v>#N/A</v>
      </c>
      <c r="IE185" s="221" t="e">
        <f ca="1">($EB185*Control!$C$159+$EF185*Control!$C$160)/(IF($GZ185&lt;&gt;0,$GZ185,1))</f>
        <v>#N/A</v>
      </c>
      <c r="IF185" s="216" t="e">
        <f t="shared" ca="1" si="526"/>
        <v>#N/A</v>
      </c>
      <c r="IG185" s="91">
        <f ca="1">IF(OR(Control!$B$198=$AH185,Control!$B$199=$AH185, Control!$B$200=$AH185, Control!$B$201=$AH185, Control!$B$202=$AH185, Control!$B$203=$AH185, Control!$B$204=$AH185, Control!$B$205=$AH185, Control!$B$206=$AH185, Control!$B$207=$AH185), 1, 0)</f>
        <v>0</v>
      </c>
      <c r="IH185" s="91">
        <f ca="1">IF($IG185=0,0, VLOOKUP($AH185,Control!$B$198:$C$207,2))</f>
        <v>0</v>
      </c>
      <c r="II185" s="222">
        <f t="shared" ca="1" si="642"/>
        <v>0</v>
      </c>
      <c r="IJ185" s="91">
        <f>Control!$C$121</f>
        <v>0.7</v>
      </c>
      <c r="IK185" s="218">
        <f t="shared" ca="1" si="527"/>
        <v>0</v>
      </c>
      <c r="IL185" s="217" t="e">
        <f t="shared" ca="1" si="679"/>
        <v>#N/A</v>
      </c>
      <c r="IM185" s="223" t="e">
        <f ca="1">IF(AND(Control!$C$114=1,$KH185&lt;1),$EB185*Control!$C$148*(1-$KH185), 0)</f>
        <v>#N/A</v>
      </c>
      <c r="IN185" s="217" t="e">
        <f t="shared" ca="1" si="528"/>
        <v>#DIV/0!</v>
      </c>
      <c r="IO185" s="91" t="e">
        <f ca="1">MAX(0,$IL185-$EF185*Control!$C$160)</f>
        <v>#N/A</v>
      </c>
      <c r="IP185" s="220" t="e">
        <f t="shared" ca="1" si="529"/>
        <v>#N/A</v>
      </c>
      <c r="IQ185" s="217" t="e">
        <f t="shared" ca="1" si="643"/>
        <v>#N/A</v>
      </c>
      <c r="IR185" s="218" t="e">
        <f t="shared" ca="1" si="530"/>
        <v>#N/A</v>
      </c>
      <c r="IS185" s="217" t="e">
        <f ca="1">Control!$C$159*MAX(0,$FD185-$EN185)</f>
        <v>#N/A</v>
      </c>
      <c r="IT185" s="217" t="e">
        <f t="shared" ca="1" si="680"/>
        <v>#N/A</v>
      </c>
      <c r="IU185" s="217" t="e">
        <f t="shared" ca="1" si="644"/>
        <v>#N/A</v>
      </c>
      <c r="IV185" s="217" t="e">
        <f t="shared" ca="1" si="681"/>
        <v>#N/A</v>
      </c>
      <c r="IW185" s="217" t="e">
        <f ca="1">IF(OR($AW185=1,AND($AW185=0, Control!$B$18=1,$EN185&lt;&gt;0)), $IQ185-$IU185, $IQ185)</f>
        <v>#N/A</v>
      </c>
      <c r="IX185" s="218" t="e">
        <f t="shared" ca="1" si="531"/>
        <v>#N/A</v>
      </c>
      <c r="IY185" s="218" t="e">
        <f ca="1">MAX(0,$IQ185-$EB185*Control!$C$159)</f>
        <v>#N/A</v>
      </c>
      <c r="IZ185" s="218" t="e">
        <f t="shared" ca="1" si="532"/>
        <v>#N/A</v>
      </c>
      <c r="JA185" s="216" t="e">
        <f t="shared" ca="1" si="533"/>
        <v>#N/A</v>
      </c>
      <c r="JB185" s="217" t="e">
        <f t="shared" ca="1" si="534"/>
        <v>#N/A</v>
      </c>
      <c r="JC185" s="222" t="e">
        <f ca="1">MAX(Control!$C$157*$EK185-$JT185, 0)/Control!$C$162</f>
        <v>#N/A</v>
      </c>
      <c r="JD185" s="218" t="e">
        <f t="shared" ca="1" si="535"/>
        <v>#N/A</v>
      </c>
      <c r="JE185" s="218" t="e">
        <f t="shared" ca="1" si="536"/>
        <v>#N/A</v>
      </c>
      <c r="JF185" s="218" t="e">
        <f t="shared" ca="1" si="645"/>
        <v>#N/A</v>
      </c>
      <c r="JG185" s="218" t="e">
        <f t="shared" ca="1" si="537"/>
        <v>#N/A</v>
      </c>
      <c r="JH185" s="217" t="e">
        <f t="shared" ca="1" si="646"/>
        <v>#N/A</v>
      </c>
      <c r="JI185" s="217" t="e">
        <f t="shared" ca="1" si="647"/>
        <v>#N/A</v>
      </c>
      <c r="JJ185" s="217" t="e">
        <f t="shared" ca="1" si="682"/>
        <v>#N/A</v>
      </c>
      <c r="JK185" s="217" t="e">
        <f ca="1">IF(Control!$C$114=1,IF(Control!$B$24=0,MAX(0,$JI185)*$GN185/Control!$C$64,(MAX(0,MIN($JI185,$JJ185*$GN185/Control!$C$64),0))))</f>
        <v>#N/A</v>
      </c>
      <c r="JL185" s="217" t="e">
        <f ca="1">$IK185/Control!$C$64-$JK185+$HQ185</f>
        <v>#N/A</v>
      </c>
      <c r="JM185" s="217" t="e">
        <f ca="1">IF(Control!$C$114=1,($JB185/(IF($JI185&lt;&gt;0,$JI185,1)))*$JK185,0)</f>
        <v>#N/A</v>
      </c>
      <c r="JN185" s="217" t="e">
        <f ca="1">IF(Control!$C$114=1,($JG185/(IF($JI185&lt;&gt;0,$JI185,1)))*$JK185, 0)</f>
        <v>#N/A</v>
      </c>
      <c r="JO185" s="218" t="e">
        <f t="shared" ca="1" si="538"/>
        <v>#N/A</v>
      </c>
      <c r="JP185" s="218" t="e">
        <f ca="1">MIN(($IY185+$IO185)*Control!$C$151, $JF185-$EH185*Control!$C$161)</f>
        <v>#N/A</v>
      </c>
      <c r="JQ185" s="218" t="e">
        <f t="shared" ca="1" si="539"/>
        <v>#N/A</v>
      </c>
      <c r="JR185" s="217" t="e">
        <f ca="1">IF($CP185-Control!$C$150&lt;0, 0, $JQ185/Control!$C$162)</f>
        <v>#N/A</v>
      </c>
      <c r="JS185" s="218" t="e">
        <f t="shared" ca="1" si="540"/>
        <v>#N/A</v>
      </c>
      <c r="JT185" s="218" t="e">
        <f t="shared" ca="1" si="648"/>
        <v>#N/A</v>
      </c>
      <c r="JU185" s="218" t="e">
        <f t="shared" ca="1" si="541"/>
        <v>#N/A</v>
      </c>
      <c r="JV185" s="218" t="e">
        <f t="shared" ca="1" si="542"/>
        <v>#N/A</v>
      </c>
      <c r="JW185" s="216" t="e">
        <f t="shared" ca="1" si="543"/>
        <v>#N/A</v>
      </c>
      <c r="JX185" s="91" t="e">
        <f t="shared" ca="1" si="544"/>
        <v>#N/A</v>
      </c>
      <c r="JY185" s="218" t="e">
        <f t="shared" ca="1" si="545"/>
        <v>#N/A</v>
      </c>
      <c r="JZ185" s="217" t="e">
        <f ca="1">IF(Control!$C$114=1,($IZ185/(IF($JI185&lt;&gt;0,$JI185,1)))*$JK185, 0)</f>
        <v>#N/A</v>
      </c>
      <c r="KA185" s="218" t="e">
        <f t="shared" ca="1" si="683"/>
        <v>#N/A</v>
      </c>
      <c r="KB185" s="218" t="e">
        <f t="shared" ca="1" si="649"/>
        <v>#N/A</v>
      </c>
      <c r="KC185" s="218" t="e">
        <f t="shared" ca="1" si="546"/>
        <v>#N/A</v>
      </c>
      <c r="KD185" s="218" t="e">
        <f t="shared" ca="1" si="547"/>
        <v>#N/A</v>
      </c>
      <c r="KE185" s="218" t="e">
        <f t="shared" ca="1" si="548"/>
        <v>#N/A</v>
      </c>
      <c r="KF185" s="218" t="e">
        <f t="shared" ca="1" si="549"/>
        <v>#N/A</v>
      </c>
      <c r="KG185" s="216" t="e">
        <f t="shared" ca="1" si="550"/>
        <v>#N/A</v>
      </c>
      <c r="KH185" s="221" t="e">
        <f ca="1">IF(Control!$B$24=0,1,MAX(0.001,MIN(1,IF(($IF185-$IE185)&lt;&gt;0,($KG185-$IE185)/($IF185-$IE185),1))))</f>
        <v>#N/A</v>
      </c>
      <c r="KI185" s="222" t="e">
        <f ca="1">IF(Control!$C$114=1, $KI184+ $KH184, 0)</f>
        <v>#N/A</v>
      </c>
      <c r="KJ185" s="217" t="e">
        <f t="shared" ca="1" si="551"/>
        <v>#N/A</v>
      </c>
      <c r="KK185" s="218" t="e">
        <f t="shared" ca="1" si="552"/>
        <v>#N/A</v>
      </c>
      <c r="KL185" s="274" t="e">
        <f ca="1">IF(Control!$B$26=3,4000000000*EXP(-8400/($G185+273)),IF(Control!$B$26=4,4000000000*EXP(-8400/($G185+273))*($KT185),0))</f>
        <v>#DIV/0!</v>
      </c>
      <c r="KM185" s="274" t="e">
        <f ca="1">IF(Control!$B$26=3,5600000000000*EXP(-9800/($G185+273)),IF(Control!$B$26=4,5600000000000*EXP(-9800/($G185+273))*$KT185,0))</f>
        <v>#DIV/0!</v>
      </c>
      <c r="KN185" s="454" t="e">
        <f t="shared" ca="1" si="650"/>
        <v>#DIV/0!</v>
      </c>
      <c r="KO185" s="274" t="e">
        <f t="shared" ca="1" si="651"/>
        <v>#DIV/0!</v>
      </c>
      <c r="KP185" s="454" t="e">
        <f t="shared" ca="1" si="553"/>
        <v>#DIV/0!</v>
      </c>
      <c r="KQ185" s="454" t="e">
        <f t="shared" ca="1" si="554"/>
        <v>#DIV/0!</v>
      </c>
      <c r="KR185" s="454" t="e">
        <f t="shared" ca="1" si="555"/>
        <v>#DIV/0!</v>
      </c>
      <c r="KS185" s="454" t="e">
        <f t="shared" ca="1" si="556"/>
        <v>#DIV/0!</v>
      </c>
      <c r="KT185" s="455" t="e">
        <f t="shared" ca="1" si="557"/>
        <v>#DIV/0!</v>
      </c>
      <c r="KU185" s="456" t="e">
        <f ca="1">IF($CP185-Control!$C$149&lt;0, IF($NT185-0.01&lt;0,0,1),0)</f>
        <v>#N/A</v>
      </c>
      <c r="KV185" s="456" t="e">
        <f ca="1">IF(Control!$C$114=1,MAX(0,MIN(Control!$C$125*$KW185*$GN185,$KW185)))</f>
        <v>#DIV/0!</v>
      </c>
      <c r="KW185" s="456" t="e">
        <f t="shared" ca="1" si="684"/>
        <v>#DIV/0!</v>
      </c>
      <c r="KX185" s="457" t="e">
        <f ca="1">IF($CP185-Control!$C$149&lt;0, IF($MR185-$OM185&lt;0,0,1),0)</f>
        <v>#N/A</v>
      </c>
      <c r="KY185" s="167">
        <f t="shared" ca="1" si="652"/>
        <v>181</v>
      </c>
      <c r="KZ185" s="168">
        <f ca="1">1370*(1+0.033*COS(2*Control!$C$138*$AH185/365))</f>
        <v>1324.8050623174101</v>
      </c>
      <c r="LA185" s="169">
        <f t="shared" ca="1" si="653"/>
        <v>0.96701100059915313</v>
      </c>
      <c r="LB185" s="169">
        <f t="shared" ca="1" si="654"/>
        <v>0.40409829340388442</v>
      </c>
      <c r="LC185" s="169">
        <f ca="1">ACOS(-TAN((2*Control!$B$8/360))*TAN(Calculations!$LB185))</f>
        <v>1.6982347129601401</v>
      </c>
      <c r="LD185" s="169">
        <f ca="1">((24*60)/PI())*0.082*$LA185*(($LC185*SIN(Control!$B$8*2*PI()/360))*SIN($LB185)+COS(Control!$B$8*2*PI()/360)*COS($LB185)*SIN($LC185))</f>
        <v>39.532253760972836</v>
      </c>
      <c r="LE185" s="170">
        <f t="shared" ca="1" si="558"/>
        <v>41.229170125062218</v>
      </c>
      <c r="LF185" s="170">
        <f ca="1">SIN(Control!$C$139*Control!$B$8)*SIN($HD185)</f>
        <v>0.31023771294903951</v>
      </c>
      <c r="LG185" s="170">
        <f ca="1">COS(Control!$C$139*Control!$B$8)*COS($HD185)</f>
        <v>0.56593937359412982</v>
      </c>
      <c r="LH185" s="170">
        <f ca="1">12*(1+2*ASIN(MAX(-1,MIN(1,$LF185/$LG185))/Control!$C$138))</f>
        <v>16.209338986795334</v>
      </c>
      <c r="LI185" s="170">
        <f ca="1">12*(1+2*ASIN(MAX(-1,MIN(1,(-SIN(-4*Control!$C$139)+$LF185)/$LG185))/Control!$C$138))</f>
        <v>17.169287934185743</v>
      </c>
      <c r="LJ185" s="168">
        <f ca="1">3600*($LH185*$LF185+24*$LG185*SQRT(1-$LK185*$LK185)/Control!$C$138)</f>
        <v>31120.933409585748</v>
      </c>
      <c r="LK185" s="170">
        <f t="shared" ca="1" si="559"/>
        <v>0.54818188559456937</v>
      </c>
      <c r="LL185" s="170">
        <f t="shared" ca="1" si="560"/>
        <v>0</v>
      </c>
      <c r="LM185" s="171">
        <f ca="1">Control!$C$145*$AB185</f>
        <v>6.6660906138995932E-2</v>
      </c>
      <c r="LN185" s="170">
        <f t="shared" ca="1" si="655"/>
        <v>0.54</v>
      </c>
      <c r="LO185" s="170">
        <f t="shared" ca="1" si="561"/>
        <v>0</v>
      </c>
      <c r="LP185" s="170">
        <f ca="1">Control!$C$140*((($D185+273.16)^4+($E185+273.16)^4)/2)*(0.34-0.14*SQRT($Y185))*(1.35*$AQ185/(0.75*$LD185)-0.35)</f>
        <v>-3.2464704755046001</v>
      </c>
      <c r="LQ185" s="170">
        <f ca="1">Control!$C$140*($G185+273)^4*(0.56-0.079*SQRT($Y185*10))*(0.1+0.9*$LO185)</f>
        <v>1.5241745131704001</v>
      </c>
      <c r="LR185" s="170">
        <f ca="1">$AQ185*(1-Control!$C$142)-$LQ185</f>
        <v>-1.5241745131704001</v>
      </c>
      <c r="LS185" s="170">
        <f ca="1">$AQ185*(1-Control!$C$143)-$LQ185</f>
        <v>-1.5241745131704001</v>
      </c>
      <c r="LT185" s="170">
        <f ca="1">$AQ185*(1-Control!$C$144)-$LQ185</f>
        <v>-1.5241745131704001</v>
      </c>
      <c r="LU185" s="169">
        <f ca="1">(1-Control!$C$144)*AQ185-LP185</f>
        <v>3.2464704755046001</v>
      </c>
      <c r="LV185" s="172">
        <f t="shared" ca="1" si="562"/>
        <v>0.79430000000000012</v>
      </c>
      <c r="LW185" s="170">
        <f t="shared" ca="1" si="563"/>
        <v>1.5886000000000002</v>
      </c>
      <c r="LX185" s="170">
        <f ca="1">($AC185*($LR185/Control!$C$141)+$LM185*$LV185)/($AC185+$LM185)</f>
        <v>0.23530094218323697</v>
      </c>
      <c r="LY185" s="170">
        <f ca="1">($AC185*($LS185/Control!$C$141)+$LM185*$LV185)/($AC185+$LM185)</f>
        <v>0.23530094218323697</v>
      </c>
      <c r="LZ185" s="170">
        <f t="shared" ca="1" si="564"/>
        <v>0.23530094218323697</v>
      </c>
      <c r="MA185" s="170">
        <f t="shared" ca="1" si="565"/>
        <v>0.23530094218323697</v>
      </c>
      <c r="MB185" s="170" t="e">
        <f t="shared" ca="1" si="566"/>
        <v>#N/A</v>
      </c>
      <c r="MC185" s="170">
        <f t="shared" ca="1" si="656"/>
        <v>0.6018</v>
      </c>
      <c r="MD185" s="170">
        <f t="shared" ca="1" si="567"/>
        <v>0.52989392535414004</v>
      </c>
      <c r="ME185" s="170">
        <f ca="1">($AC185*($LT185/Control!$C$141)+$LM185*$LW185)/($AC185+$LM185)</f>
        <v>0.71612369323045078</v>
      </c>
      <c r="MF185" s="170" t="e">
        <f ca="1">IF(Control!$B$16&gt;=1000,0.92,IF(AND(720&lt;=Control!$B$16,1000&gt;Control!$B$16),(0.95+(Control!$B$16-720)*((0.92-0.95)/(1000-720))),IF(AND(360&lt;=Control!$B$16,720&gt;Control!$B$16),(1+(Control!$B$16-360)*((0.95-1)/(720-360))),IF(AND(40&lt;=Control!$B$16,360&gt;Control!$B$16),(1.05+(Control!$B$16-40)*((1.05-1)/(360-40)))))))</f>
        <v>#N/A</v>
      </c>
      <c r="MG185" s="170">
        <f t="shared" ca="1" si="568"/>
        <v>0.71612369323045078</v>
      </c>
      <c r="MH185" s="170" t="e">
        <f t="shared" ca="1" si="694"/>
        <v>#N/A</v>
      </c>
      <c r="MI185" s="170" t="e">
        <f t="shared" ca="1" si="694"/>
        <v>#N/A</v>
      </c>
      <c r="MJ185" s="170" t="e">
        <f ca="1">MAX(0.0001, Control!$C$132*$MI185*$DL185)</f>
        <v>#N/A</v>
      </c>
      <c r="MK185" s="170">
        <f ca="1">1/(0.76+1.5*($MG185/10))-(5-Control!$C$110)*0.1</f>
        <v>1.002845988140797</v>
      </c>
      <c r="ML185" s="173">
        <f ca="1">IF(Control!$C$110&lt;3,$MK185+($MG185-0.6)/(Control!$C$110*(Control!$C$110+3)), MAX(0.1, MIN(0.95,$MK185)))</f>
        <v>0.95</v>
      </c>
      <c r="MM185" s="173">
        <f ca="1">IF(Control!$C$110&lt;3,$MK185+(($MI185/10)-0.6)/(Control!$C$110*(Control!$C$110+3)), MAX(0.1, MIN(0.95,$MK185)))</f>
        <v>0.95</v>
      </c>
      <c r="MN185" s="173">
        <f ca="1">(1-$MM185)*(Control!$C$128-Control!$C$127)+Control!$C$127</f>
        <v>0.16</v>
      </c>
      <c r="MO185" s="170" t="e">
        <f ca="1">MAX(0,MIN(1,($MS185-Control!$C$127)/($MN185-Control!$C$127)))</f>
        <v>#DIV/0!</v>
      </c>
      <c r="MP185" s="173" t="e">
        <f ca="1">1/(0.76+1.5*$MI185)-(5-Control!$C$110)*0.1</f>
        <v>#N/A</v>
      </c>
      <c r="MQ185" s="172" t="e">
        <f t="shared" ca="1" si="685"/>
        <v>#DIV/0!</v>
      </c>
      <c r="MR185" s="168" t="e">
        <f t="shared" ca="1" si="657"/>
        <v>#DIV/0!</v>
      </c>
      <c r="MS185" s="173" t="e">
        <f ca="1">MAX(Control!$C$127, MIN(Control!$C$135, $MR185/MAX(0.0001,$CY185)))</f>
        <v>#DIV/0!</v>
      </c>
      <c r="MT185" s="168" t="e">
        <f ca="1">(Control!$C$128-$MS185)*Control!$C$74</f>
        <v>#DIV/0!</v>
      </c>
      <c r="MU185" s="168" t="e">
        <f ca="1">(Control!$C$135-$MS185)*Control!$C$74</f>
        <v>#DIV/0!</v>
      </c>
      <c r="MV185" s="168" t="e">
        <f t="shared" ca="1" si="658"/>
        <v>#DIV/0!</v>
      </c>
      <c r="MW185" s="168" t="e">
        <f t="shared" ca="1" si="659"/>
        <v>#DIV/0!</v>
      </c>
      <c r="MX185" s="171" t="e">
        <f ca="1">MAX(Control!$C$127, MIN(Control!$C$135, $MW185/MAX(0.0001,Control!$C$119-$CY185)))</f>
        <v>#DIV/0!</v>
      </c>
      <c r="MY185" s="54" t="e">
        <f ca="1">IF(Control!$C$114=1, $CX185*$MX185, 0)</f>
        <v>#DIV/0!</v>
      </c>
      <c r="MZ185" s="54" t="e">
        <f t="shared" ca="1" si="660"/>
        <v>#N/A</v>
      </c>
      <c r="NA185" s="168" t="e">
        <f ca="1">(Control!$C$128-$MX185)*(Control!$C$119-Control!$C$74)</f>
        <v>#DIV/0!</v>
      </c>
      <c r="NB185" s="168" t="e">
        <f ca="1">(Control!$C$135-$MX185)*(Control!$C$119-Control!$C$74)</f>
        <v>#DIV/0!</v>
      </c>
      <c r="NC185" s="174" t="e">
        <f t="shared" ca="1" si="661"/>
        <v>#DIV/0!</v>
      </c>
      <c r="ND185" s="54">
        <f ca="1">IF(Control!$C$58=2, IF(OR(Control!$B$218=$AH185,Control!$B$219=$AH185, Control!$B$220=$AH185, Control!$B$221=$AH185, Control!$B$222=$AH185, Control!$B$223=$AH185, Control!$B$224=$AH185, Control!$B$225=$AH185, Control!$B$226=$AH185, Control!$B$227=$AH185, Control!$B$228=$AH185), 1, 0), 0)</f>
        <v>0</v>
      </c>
      <c r="NE185" s="54">
        <f ca="1">IF($ND185=0,0, VLOOKUP($AH185,Control!$B$218:$C$228,2))</f>
        <v>0</v>
      </c>
      <c r="NF185" s="168" t="e">
        <f ca="1">$CY185*(Control!$C$128-Control!$C$127)</f>
        <v>#N/A</v>
      </c>
      <c r="NG185" s="54" t="e">
        <f ca="1">IF(Control!$C$58=2, $NI184-$NJ184, 0)</f>
        <v>#DIV/0!</v>
      </c>
      <c r="NH185" s="54" t="e">
        <f ca="1">IF(AND(Control!$C$58=1, $MS184&lt;= ($MN184+0.02), $I184&lt;10), 0, IF(Control!$C$58=2, $NG184, 0))</f>
        <v>#DIV/0!</v>
      </c>
      <c r="NI185" s="54" t="e">
        <f ca="1">IF(Control!$C$58=2, $NE185+$NH185,0)</f>
        <v>#DIV/0!</v>
      </c>
      <c r="NJ185" s="54" t="e">
        <f ca="1">IF(AND(Control!$C$58=1, $MS185&lt;= ($MN185+0.02), $I185&lt;10), MAX(0, MIN(10, 0.7*($NF185-$MV185))), IF(Control!$C$58=2, MIN(10,$NI185),0))</f>
        <v>#DIV/0!</v>
      </c>
      <c r="NK185" s="54" t="e">
        <f t="shared" ca="1" si="569"/>
        <v>#DIV/0!</v>
      </c>
      <c r="NL185" s="173" t="e">
        <f ca="1">(1-Control!$C$73)*$I185+$NJ185</f>
        <v>#DIV/0!</v>
      </c>
      <c r="NM185" s="172" t="e">
        <f ca="1">IF($NL185&lt;0.5, $MB185* MAX(0, MIN(1, (SQRT($NC185)-SQRT($NC185-1))*Control!$C$71)),0)</f>
        <v>#DIV/0!</v>
      </c>
      <c r="NN185" s="170" t="e">
        <f ca="1">IF($NL185&gt;=5, $MB185, MAX(0,MIN($MB185, $NM185+$NL185,($MS185-Control!$C$129))))</f>
        <v>#DIV/0!</v>
      </c>
      <c r="NO185" s="54">
        <f>IF(Control!$C$133&lt;&gt;1, Control!$C$135-Control!$C$131, 0)</f>
        <v>0.38</v>
      </c>
      <c r="NP185" s="54" t="e">
        <f t="shared" ca="1" si="570"/>
        <v>#DIV/0!</v>
      </c>
      <c r="NQ185" s="173" t="e">
        <f ca="1">MAX(0,MIN(1,(Control!$C$135-$MS185)/(Control!$C$135-$NO185)))</f>
        <v>#DIV/0!</v>
      </c>
      <c r="NR185" s="170" t="e">
        <f ca="1">IF(Control!$C$133&lt;&gt;1, $NQ185+((1-$NP185/4)*(1-$NQ185)),1)</f>
        <v>#DIV/0!</v>
      </c>
      <c r="NS185" s="170" t="e">
        <f ca="1">IF(Control!$B$31=0,$MJ185,MAX(0,MIN($MV185,$MO185*$NR185*$MJ185)))</f>
        <v>#DIV/0!</v>
      </c>
      <c r="NT185" s="170" t="e">
        <f t="shared" ca="1" si="686"/>
        <v>#DIV/0!</v>
      </c>
      <c r="NU185" s="170" t="e">
        <f t="shared" ca="1" si="662"/>
        <v>#N/A</v>
      </c>
      <c r="NV185" s="170" t="e">
        <f t="shared" ca="1" si="571"/>
        <v>#N/A</v>
      </c>
      <c r="NW185" s="175" t="e">
        <f t="shared" ca="1" si="572"/>
        <v>#DIV/0!</v>
      </c>
      <c r="NX185" s="170" t="e">
        <f ca="1">MIN(Control!$C$72+$MU185, $NW185)</f>
        <v>#DIV/0!</v>
      </c>
      <c r="NY185" s="170" t="e">
        <f ca="1">IF($MT185&lt;=$NX185,MIN(Control!$C$72+$NB185,$NX185-$MT185),0)</f>
        <v>#DIV/0!</v>
      </c>
      <c r="NZ185" s="54" t="e">
        <f ca="1">IF(Control!$C$114=1,  $CX185*($MX185-Control!$C$127), 0)</f>
        <v>#DIV/0!</v>
      </c>
      <c r="OA185" s="170" t="e">
        <f t="shared" ca="1" si="573"/>
        <v>#DIV/0!</v>
      </c>
      <c r="OB185" s="170" t="e">
        <f ca="1">IF($NA185 &lt;=$NY185, MIN(Control!$C$72, $NY185-$NA185), 0)</f>
        <v>#DIV/0!</v>
      </c>
      <c r="OC185" s="168" t="e">
        <f t="shared" ca="1" si="574"/>
        <v>#DIV/0!</v>
      </c>
      <c r="OD185" s="168" t="e">
        <f t="shared" ca="1" si="663"/>
        <v>#DIV/0!</v>
      </c>
      <c r="OE185" s="170">
        <f ca="1">Control!$C$73*$I185</f>
        <v>0</v>
      </c>
      <c r="OF185" s="176" t="e">
        <f t="shared" ca="1" si="575"/>
        <v>#DIV/0!</v>
      </c>
      <c r="OG185" s="168" t="e">
        <f t="shared" ca="1" si="576"/>
        <v>#DIV/0!</v>
      </c>
      <c r="OH185" s="168" t="e">
        <f t="shared" ca="1" si="577"/>
        <v>#DIV/0!</v>
      </c>
      <c r="OI185" s="168" t="e">
        <f t="shared" ca="1" si="578"/>
        <v>#DIV/0!</v>
      </c>
      <c r="OJ185" s="168" t="e">
        <f t="shared" ca="1" si="579"/>
        <v>#DIV/0!</v>
      </c>
      <c r="OK185" s="204" t="e">
        <f t="shared" ca="1" si="580"/>
        <v>#DIV/0!</v>
      </c>
      <c r="OL185" s="177">
        <f>Control!$C$127</f>
        <v>0.15</v>
      </c>
      <c r="OM185" s="182" t="e">
        <f t="shared" ca="1" si="581"/>
        <v>#N/A</v>
      </c>
      <c r="ON185" s="177">
        <f>Control!$C$128</f>
        <v>0.35</v>
      </c>
      <c r="OO185" s="182" t="e">
        <f t="shared" ca="1" si="582"/>
        <v>#N/A</v>
      </c>
      <c r="OP185" s="138">
        <f t="shared" ca="1" si="664"/>
        <v>0</v>
      </c>
      <c r="OQ185" s="138" t="e">
        <f t="shared" ca="1" si="687"/>
        <v>#DIV/0!</v>
      </c>
      <c r="OR185" s="138" t="e">
        <f t="shared" ca="1" si="665"/>
        <v>#DIV/0!</v>
      </c>
      <c r="OS185" s="137" t="e">
        <f t="shared" ca="1" si="688"/>
        <v>#DIV/0!</v>
      </c>
      <c r="OT185" s="139" t="e">
        <f t="shared" ca="1" si="689"/>
        <v>#DIV/0!</v>
      </c>
      <c r="OU185" s="138" t="e">
        <f t="shared" ca="1" si="690"/>
        <v>#N/A</v>
      </c>
      <c r="OV185" s="138" t="e">
        <f t="shared" ca="1" si="691"/>
        <v>#DIV/0!</v>
      </c>
      <c r="OW185" s="138" t="e">
        <f t="shared" ca="1" si="666"/>
        <v>#DIV/0!</v>
      </c>
      <c r="OX185" s="138" t="e">
        <f t="shared" ca="1" si="667"/>
        <v>#DIV/0!</v>
      </c>
      <c r="OY185" s="138" t="e">
        <f t="shared" ca="1" si="668"/>
        <v>#DIV/0!</v>
      </c>
      <c r="OZ185" s="138" t="e">
        <f t="shared" ca="1" si="583"/>
        <v>#DIV/0!</v>
      </c>
      <c r="PA185" s="138" t="e">
        <f t="shared" ca="1" si="584"/>
        <v>#DIV/0!</v>
      </c>
      <c r="PB185" s="55">
        <f>IF(Control!$C$61="T", IF(Control!$C$65="F", IF($AH$6-Control!$C$60&lt;0,0,1), IF(365+$AH$6-Control!$C$60&lt;0,0,1)),0)</f>
        <v>0</v>
      </c>
      <c r="PC185" s="55">
        <f ca="1">IF(Control!$C$65="F", IF($AH$6-$HF185&lt;0,0,1), IF(365+$AH$6-$HF185&lt;0,0,1))</f>
        <v>1</v>
      </c>
      <c r="PD185" s="444">
        <f>Control!$C$118</f>
        <v>1500</v>
      </c>
      <c r="PE185" s="180" t="e">
        <f t="shared" ca="1" si="585"/>
        <v>#N/A</v>
      </c>
      <c r="PF185" s="445">
        <f t="shared" ca="1" si="669"/>
        <v>0.71612369323045078</v>
      </c>
      <c r="PT185" s="186"/>
      <c r="PU185" s="186"/>
      <c r="PV185" s="94"/>
      <c r="PW185" s="94"/>
      <c r="PX185" s="94"/>
      <c r="PY185" s="94"/>
      <c r="PZ185" s="94"/>
      <c r="QA185" s="94"/>
      <c r="QB185" s="94"/>
      <c r="QC185" s="94"/>
      <c r="QD185" s="94"/>
      <c r="QE185" s="94"/>
      <c r="QF185" s="94"/>
      <c r="QG185" s="94"/>
      <c r="QH185" s="94"/>
      <c r="QI185" s="94"/>
      <c r="QJ185" s="94"/>
      <c r="QK185" s="94"/>
      <c r="QL185" s="94"/>
      <c r="QM185" s="94"/>
      <c r="QN185" s="94"/>
      <c r="QO185" s="94"/>
      <c r="QP185" s="94"/>
    </row>
    <row r="186" spans="1:458" s="2" customFormat="1" x14ac:dyDescent="0.2">
      <c r="A186" s="395">
        <v>30</v>
      </c>
      <c r="B186" s="396">
        <v>6</v>
      </c>
      <c r="C186" s="387">
        <f ca="1">Weather_data!$B185</f>
        <v>0</v>
      </c>
      <c r="D186" s="388">
        <f ca="1">Weather_data!$F185</f>
        <v>0</v>
      </c>
      <c r="E186" s="388">
        <f ca="1">Weather_data!$E185</f>
        <v>0</v>
      </c>
      <c r="F186" s="388">
        <f t="shared" ca="1" si="586"/>
        <v>0</v>
      </c>
      <c r="G186" s="388">
        <f ca="1">AVERAGE($D186:$E186)+Control!$B$9</f>
        <v>0</v>
      </c>
      <c r="H186" s="388">
        <f ca="1">Weather_data!$G185</f>
        <v>0</v>
      </c>
      <c r="I186" s="388">
        <f ca="1">Weather_data!$I185</f>
        <v>0</v>
      </c>
      <c r="J186" s="388">
        <f ca="1">Weather_data!$H185</f>
        <v>0</v>
      </c>
      <c r="K186" s="389">
        <f ca="1">Weather_data!$D185</f>
        <v>0</v>
      </c>
      <c r="L186" s="388" t="e">
        <f t="shared" ca="1" si="587"/>
        <v>#N/A</v>
      </c>
      <c r="M186" s="388" t="e">
        <f t="shared" ca="1" si="465"/>
        <v>#N/A</v>
      </c>
      <c r="N186" s="388">
        <f t="shared" ca="1" si="466"/>
        <v>-2.9014941776505305E-9</v>
      </c>
      <c r="O186" s="388">
        <f t="shared" ca="1" si="588"/>
        <v>2.9014941776505305E-8</v>
      </c>
      <c r="P186" s="390">
        <v>3</v>
      </c>
      <c r="Q186" s="388">
        <f ca="1">MAX($G186-Control!$C$107,0)</f>
        <v>0</v>
      </c>
      <c r="R186" s="388">
        <f t="shared" ca="1" si="589"/>
        <v>0</v>
      </c>
      <c r="S186" s="388">
        <f t="shared" ca="1" si="467"/>
        <v>0</v>
      </c>
      <c r="T186" s="388">
        <f t="shared" ca="1" si="468"/>
        <v>0</v>
      </c>
      <c r="U186" s="59">
        <f t="shared" ca="1" si="469"/>
        <v>0</v>
      </c>
      <c r="V186" s="391">
        <f ca="1">MAX(0,MIN(Control!$C$100-Control!$C$99,$G186-Control!$C$99)*Control!$C$63)</f>
        <v>0</v>
      </c>
      <c r="W186" s="388">
        <f t="shared" ca="1" si="590"/>
        <v>0</v>
      </c>
      <c r="X186" s="388">
        <f t="shared" ca="1" si="591"/>
        <v>0.6110000000000001</v>
      </c>
      <c r="Y186" s="388">
        <f t="shared" ca="1" si="470"/>
        <v>0</v>
      </c>
      <c r="Z186" s="388">
        <f t="shared" ca="1" si="592"/>
        <v>0.61058800000000002</v>
      </c>
      <c r="AA186" s="388">
        <f t="shared" ca="1" si="471"/>
        <v>0.6018</v>
      </c>
      <c r="AB186" s="388">
        <f ca="1">101.3*EXP(-0.034*Control!$C$66/($G186+273))</f>
        <v>100.69623283836242</v>
      </c>
      <c r="AC186" s="392">
        <f t="shared" ca="1" si="472"/>
        <v>4.3460251046025113E-2</v>
      </c>
      <c r="AD186" s="392">
        <f t="shared" ca="1" si="473"/>
        <v>4.4450382862832649E-2</v>
      </c>
      <c r="AE186" s="388">
        <f t="shared" ca="1" si="474"/>
        <v>0</v>
      </c>
      <c r="AF186" s="388">
        <f ca="1">MAX(0,$G186-Control!$C$92)</f>
        <v>0</v>
      </c>
      <c r="AG186" s="393">
        <f t="shared" ca="1" si="475"/>
        <v>182</v>
      </c>
      <c r="AH186" s="389">
        <f t="shared" ca="1" si="476"/>
        <v>182</v>
      </c>
      <c r="AI186" s="388">
        <f t="shared" ca="1" si="593"/>
        <v>0.4034998646284248</v>
      </c>
      <c r="AJ186" s="388">
        <f ca="1">IF(Control!$C$60&lt;=0,$HH186,$HI186)</f>
        <v>1</v>
      </c>
      <c r="AK186" s="388">
        <f t="shared" ca="1" si="477"/>
        <v>1.7558490447460762</v>
      </c>
      <c r="AL186" s="388">
        <f t="shared" ca="1" si="478"/>
        <v>-3.6067572539710823E-18</v>
      </c>
      <c r="AM186" s="388">
        <f t="shared" ca="1" si="479"/>
        <v>1.7558490447460762</v>
      </c>
      <c r="AN186" s="388">
        <f t="shared" ca="1" si="480"/>
        <v>0.40172672755883498</v>
      </c>
      <c r="AO186" s="388">
        <f ca="1">-0.10453/COS(Control!$B$8*PI()/180)*COS(AN186)</f>
        <v>-0.15626781610398532</v>
      </c>
      <c r="AP186" s="388">
        <f ca="1">ACOS(AO186-TAN(Control!$B$8*PI()/180)*TAN(AN186))</f>
        <v>2.346229588976454</v>
      </c>
      <c r="AQ186" s="388">
        <f t="shared" ca="1" si="594"/>
        <v>0</v>
      </c>
      <c r="AR186" s="394">
        <f t="shared" ca="1" si="481"/>
        <v>0</v>
      </c>
      <c r="AS186" s="436">
        <f ca="1">IF(Control!$B$18=2,(IF(OR($AH186=Control!$B$175,$AH186=Control!$B$176,$AH186=Control!$B$177,$AH186=Control!$B$178,$AH186=Control!$B$179,$AH186=Control!$B$180,$AH186=Control!$B$181,$AH186=Control!$B$182,$AH186=Control!$B$183,$AH186=Control!$B$184,$AH186=Control!$B$185),1,0)),0)</f>
        <v>0</v>
      </c>
      <c r="AT186" s="436">
        <f>IF(Control!$B$20=8,IF(AND($AH186&gt;=Control!$B$172,$AH186&lt;=Control!$B$173),1,0),0)</f>
        <v>0</v>
      </c>
      <c r="AU186" s="436">
        <f>IF(Control!$B$20=8,IF($AV185=1,1*$AT186,IF($AT186=1,$AU185+1,$AU185)),0)</f>
        <v>0</v>
      </c>
      <c r="AV186" s="436">
        <f>IF(Control!$B$20=8,IF($AU186&gt;=Control!$B$174,1,0),0)</f>
        <v>0</v>
      </c>
      <c r="AW186" s="436">
        <f ca="1">IF(AND(Control!$B$18=2,Control!$B$171=1), $AV186, $AS186)</f>
        <v>0</v>
      </c>
      <c r="AX186" s="436" t="e">
        <f ca="1">IF(AND(Control!$B$18=1,$EU186&gt;=Control!$B$19),-$AY186,IF(AND(Control!$B$18=2,$AW186=1,$EU186&gt;$DS186),-$AY186, IF(Control!$C$108=0,0, IF(Control!$C$108&lt;&gt;0,1))))</f>
        <v>#N/A</v>
      </c>
      <c r="AY186" s="436" t="e">
        <f t="shared" ca="1" si="595"/>
        <v>#N/A</v>
      </c>
      <c r="AZ186" s="436" t="e">
        <f ca="1">IF(AND(Control!$B$18=1,$EB186&gt;Control!$B$19),$AZ185+1, IF(AND(Control!$B$18=2, $AW186=1, $EB186&gt;$DS186), $AZ185+1,$AZ185))</f>
        <v>#N/A</v>
      </c>
      <c r="BA186" s="587">
        <f>IF(Control!$C$81=0,1,IF($AH186&gt;=Control!$C$82,1,0))</f>
        <v>1</v>
      </c>
      <c r="BB186" s="140" t="e">
        <f ca="1">IF($BA186&gt;$BA185,Control!$C$83,IF($AW186&gt;0,$AW186*Control!$C$84,IF(AND(Control!$B$18=1,EN185&lt;&gt;0),Control!$C$84,0)))</f>
        <v>#N/A</v>
      </c>
      <c r="BC186" s="140" t="e">
        <f t="shared" ca="1" si="596"/>
        <v>#N/A</v>
      </c>
      <c r="BD186" s="140" t="e">
        <f ca="1">BC186*IF(OR($G186&lt;Control!$C$92,$G186&gt;Control!$C$95),0,IF(AND($G186&gt;=Control!$C$92,$G186&lt;=Control!$C$93),$G186-Control!$C$92,IF(AND($G186&gt;Control!$C$93,$G186&lt;=Control!$C$94),Control!$C$93-Control!$C$92,IF(AND($G186&gt;Control!$C$94,$G186&lt;=Control!$C$95),(Control!$C$93-Control!$C$92)*(Control!$C$94-$G186)/(Control!$C$95-Control!$C$94)))))</f>
        <v>#N/A</v>
      </c>
      <c r="BE186" s="140" t="e">
        <f t="shared" ca="1" si="597"/>
        <v>#N/A</v>
      </c>
      <c r="BF186" s="140" t="e">
        <f ca="1">IF($BE186&lt;=Control!$C$86,$BE186,Control!$C$86-$BE186)</f>
        <v>#N/A</v>
      </c>
      <c r="BG186" s="140" t="e">
        <f ca="1">IF(AND($AW186=1,Control!$C$84&lt;9),1,IF($BE186&gt;=Control!$C$86,0,$BC186))</f>
        <v>#N/A</v>
      </c>
      <c r="BH186" s="404" t="e">
        <f ca="1">IF($BG186=0,0,IF($BE186&lt;=Control!$C$86,$BC186*9*($BF186/Control!$C$86),0))</f>
        <v>#N/A</v>
      </c>
      <c r="BI186" s="140" t="e">
        <f ca="1">IF($BG186=1,0,IF($BE186&gt;=Control!$C$86,1,IF(AND($BB186&lt;21,$BB186&gt;=9),1,$BM185)))</f>
        <v>#N/A</v>
      </c>
      <c r="BJ186" s="140" t="e">
        <f ca="1">IF($BF186&lt;0,-$BF186,$BI186*IF(OR($G186&lt;Control!$C$92,$G186&gt;Control!$C$95),0,IF(AND($G186&gt;=Control!$C$92,$G186&lt;=Control!$C$93),$G186-Control!$C$92,IF(AND($G186&gt;Control!$C$93,$G186&lt;=Control!$C$94),Control!$C$93-Control!$C$92,IF(AND($G186&gt;Control!$C$94,$G186&lt;=Control!$C$95),(Control!$C$93-Control!$C$92)*(Control!$C$94-$G186)/(Control!$C$95-Control!$C$94))))))</f>
        <v>#N/A</v>
      </c>
      <c r="BK186" s="140" t="e">
        <f t="shared" ca="1" si="598"/>
        <v>#N/A</v>
      </c>
      <c r="BL186" s="140" t="e">
        <f ca="1">IF($BK186&lt;=Control!$C$87,$BK186,Control!$C$87-$BK186)</f>
        <v>#N/A</v>
      </c>
      <c r="BM186" s="140" t="e">
        <f ca="1">IF(AND($BB186&gt;=9,$BB186&lt;21),1,IF($BK186&gt;=Control!$C$87,0,$BI186))</f>
        <v>#N/A</v>
      </c>
      <c r="BN186" s="404" t="e">
        <f ca="1">IF($BM186=0,0,IF($BK186&lt;=Control!$C$87,$BI186*(9+(21-9)*($BL186/Control!$C$87)),0))</f>
        <v>#N/A</v>
      </c>
      <c r="BO186" s="140" t="e">
        <f ca="1">IF($BM186=1,0,IF($BK186&gt;=Control!$C$87,1,IF(AND($BB186&lt;30,$BB186&gt;=21),1,$BS185)))</f>
        <v>#N/A</v>
      </c>
      <c r="BP186" s="140" t="e">
        <f ca="1">IF($BL186&lt;0,-$BL186,$BO186*IF(OR($G186&lt;Control!$C$92,$G186&gt;Control!$C$95),0,IF(AND($G186&gt;=Control!$C$92,$G186&lt;=Control!$C$93),$G186-Control!$C$92,IF(AND($G186&gt;Control!$C$93,$G186&lt;=Control!$C$94),Control!$C$93-Control!$C$92,IF(AND($G186&gt;Control!$C$94,$G186&lt;=Control!$C$95),(Control!$C$93-Control!$C$92)*(Control!$C$94-$G186)/(Control!$C$95-Control!$C$94))))))</f>
        <v>#N/A</v>
      </c>
      <c r="BQ186" s="140" t="e">
        <f t="shared" ca="1" si="482"/>
        <v>#N/A</v>
      </c>
      <c r="BR186" s="140" t="e">
        <f ca="1">IF($BQ186&lt;=Control!$C$88,$BQ186,Control!$C$88-$BQ186)</f>
        <v>#N/A</v>
      </c>
      <c r="BS186" s="140" t="e">
        <f ca="1">IF(AND($BB186&gt;=21,$BB186&lt;30),1,IF($BQ186&gt;=Control!$C$88,0,$BO186))</f>
        <v>#N/A</v>
      </c>
      <c r="BT186" s="404" t="e">
        <f ca="1">IF($BS186=0,0,IF($BQ186&lt;=Control!$C$88,$BO186*(21+(30-21)*(BR186/Control!$C$88)),0))</f>
        <v>#N/A</v>
      </c>
      <c r="BU186" s="140" t="e">
        <f ca="1">IF(BG186+BM186+BS186=1,0,IF(OR(AND($BB186&lt;60,$BB186&gt;=30),$BQ186&gt;=Control!$C$88),1*$BA186,$BY185))</f>
        <v>#N/A</v>
      </c>
      <c r="BV186" s="140" t="e">
        <f ca="1">IF($BR186&lt;0,-$BR186,$BU186*IF(OR($G186&lt;Control!$C$92,$G186&gt;Control!$C$95),0,IF(AND($G186&gt;=Control!$C$92,$G186&lt;=Control!$C$93),$G186-Control!$C$92,IF(AND($G186&gt;Control!$C$93,$G186&lt;=Control!$C$94),Control!$C$93-Control!$C$92,IF(AND($G186&gt;Control!$C$94,$G186&lt;=Control!$C$95),(Control!$C$93-Control!$C$92)*(Control!$C$94-$G186)/(Control!$C$95-Control!$C$94))))))</f>
        <v>#N/A</v>
      </c>
      <c r="BW186" s="140" t="e">
        <f t="shared" ca="1" si="483"/>
        <v>#N/A</v>
      </c>
      <c r="BX186" s="140" t="e">
        <f ca="1">IF($BW186&lt;=Control!$C$89,$BW186,Control!$C$89-$BW186)</f>
        <v>#N/A</v>
      </c>
      <c r="BY186" s="140" t="e">
        <f ca="1">IF(AND($AJ186&gt;=30,$AJ186&lt;60),1,IF($BW186&gt;=Control!$C$89,0,$BU186))</f>
        <v>#N/A</v>
      </c>
      <c r="BZ186" s="404" t="e">
        <f ca="1">IF($BY186=0,0,IF($BW186&lt;=Control!$C$89,$BU186*(30+(60-30)*(BX186/Control!$C$89)),0))</f>
        <v>#N/A</v>
      </c>
      <c r="CA186" s="140" t="e">
        <f ca="1">IF($BG186+$BM186+$BS186+$BY186=1,0,IF(OR(AND($BB186&lt;65,$BB186&gt;=60),$BW186&gt;=Control!$C$89),1*$BA186,$CE185))</f>
        <v>#N/A</v>
      </c>
      <c r="CB186" s="140" t="e">
        <f ca="1">IF($BX186&lt;0,-$BX186,$CA186*IF(OR($G186&lt;Control!$C$92,$G186&gt;Control!$C$95),0,IF(AND($G186&gt;=Control!$C$92,$G186&lt;=Control!$C$93),$G186-Control!$C$92,IF(AND($G186&gt;Control!$C$93,$G186&lt;=Control!$C$94),Control!$C$93-Control!$C$92,IF(AND($G186&gt;Control!$C$94,$G186&lt;=Control!$C$95),(Control!$C$93-Control!$C$92)*(Control!$C$94-$G186)/(Control!$C$95-Control!$C$94))))))</f>
        <v>#N/A</v>
      </c>
      <c r="CC186" s="140" t="e">
        <f t="shared" ca="1" si="599"/>
        <v>#N/A</v>
      </c>
      <c r="CD186" s="140" t="e">
        <f ca="1">IF($CC186&lt;=Control!$C$90,$CC186,Control!$C$90-$CC186)</f>
        <v>#N/A</v>
      </c>
      <c r="CE186" s="140" t="e">
        <f ca="1">IF(AND($BB186&gt;=60,$BB186&lt;65),1,IF($CC186&gt;=Control!$C$90,0,$CA186))</f>
        <v>#N/A</v>
      </c>
      <c r="CF186" s="404" t="e">
        <f ca="1">IF($CE186=0,0,IF($CC186&lt;=Control!$C$90,$CA186*(60+(65-60)*(CD186/Control!$C$90)),0))</f>
        <v>#N/A</v>
      </c>
      <c r="CG186" s="140" t="e">
        <f ca="1">IF($BG186+$BM186+$BS186+$BY186+$CE186=1,0,IF(OR(AND($BB186&lt;90,$BB186&gt;=65),$CC186&gt;=Control!$C$90),$BA186,$CK185))</f>
        <v>#N/A</v>
      </c>
      <c r="CH186" s="140" t="e">
        <f ca="1">IF($CD186&lt;0,-$CD186,$CG186*IF(OR($G186&lt;Control!$C$92,$G186&gt;Control!$C$95),0,IF(AND($G186&gt;=Control!$C$92,$G186&lt;=Control!$C$93),$G186-Control!$C$92,IF(AND($G186&gt;Control!$C$93,$G186&lt;=Control!$C$94),Control!$C$93-Control!$C$92,IF(AND($G186&gt;Control!$C$94,$G186&lt;=Control!$C$95),(Control!$C$93-Control!$C$92)*(Control!$C$94-$G186)/(Control!$C$95-Control!$C$94))))))</f>
        <v>#N/A</v>
      </c>
      <c r="CI186" s="140" t="e">
        <f t="shared" ca="1" si="600"/>
        <v>#N/A</v>
      </c>
      <c r="CJ186" s="140" t="e">
        <f ca="1">IF($CI186&lt;=Control!$C$91,$CI186,Control!$C$91-$CI186)</f>
        <v>#N/A</v>
      </c>
      <c r="CK186" s="140" t="e">
        <f ca="1">IF(AND($BB186&gt;=65,$BB186&lt;90),1,IF($CI186&gt;=Control!$C$91,0,$CG186))</f>
        <v>#N/A</v>
      </c>
      <c r="CL186" s="404" t="e">
        <f ca="1">IF($CK186=0,0,IF($CI186&lt;=Control!$C$91,$CG186*(65+(90-65)*($CJ186/Control!$C$91)),0))</f>
        <v>#N/A</v>
      </c>
      <c r="CM186" s="140" t="e">
        <f ca="1">IF($BG186+$BM186+$BS186+$BY186+$CE186+$CK186=1,0,IF(OR($BB186&gt;=90,$CI186&gt;=Control!$C$91),$BA186,$CM185))</f>
        <v>#N/A</v>
      </c>
      <c r="CN186" s="140" t="e">
        <f t="shared" ca="1" si="601"/>
        <v>#N/A</v>
      </c>
      <c r="CO186" s="140" t="e">
        <f t="shared" ca="1" si="602"/>
        <v>#N/A</v>
      </c>
      <c r="CP186" s="140" t="e">
        <f t="shared" ca="1" si="603"/>
        <v>#N/A</v>
      </c>
      <c r="CQ186" s="141" t="e">
        <f ca="1">VLOOKUP($CP186,Control!$B$86:$G$91,6)</f>
        <v>#N/A</v>
      </c>
      <c r="CR186" s="141" t="e">
        <f ca="1">(1-$CQ186)*VLOOKUP($CP186,Control!$B$86:$D$91,3)</f>
        <v>#N/A</v>
      </c>
      <c r="CS186" s="141" t="e">
        <f ca="1">(1-$CQ186)*VLOOKUP($CP186,Control!$B$86:$E$91,4)</f>
        <v>#N/A</v>
      </c>
      <c r="CT186" s="141" t="e">
        <f ca="1">(1-$CQ186)*VLOOKUP($CP186,Control!$B$86:$F$91,5)</f>
        <v>#N/A</v>
      </c>
      <c r="CU186" s="141">
        <f t="shared" ca="1" si="604"/>
        <v>0</v>
      </c>
      <c r="CV186" s="583">
        <f t="shared" ca="1" si="605"/>
        <v>0</v>
      </c>
      <c r="CW186" s="142">
        <f t="shared" ca="1" si="606"/>
        <v>182</v>
      </c>
      <c r="CX186" s="612" t="e">
        <f ca="1">IF(Control!$C$114=1,(MIN(Control!$C$120*(IF($NT186-0.01&lt;0,0,1)),Control!$C$119-$CY186)))</f>
        <v>#DIV/0!</v>
      </c>
      <c r="CY186" s="143" t="e">
        <f t="shared" ca="1" si="607"/>
        <v>#N/A</v>
      </c>
      <c r="CZ186" s="144">
        <f t="shared" ca="1" si="484"/>
        <v>0</v>
      </c>
      <c r="DA186" s="144">
        <f t="shared" ca="1" si="485"/>
        <v>0</v>
      </c>
      <c r="DB186" s="144" t="e">
        <f t="shared" ca="1" si="486"/>
        <v>#N/A</v>
      </c>
      <c r="DC186" s="144" t="e">
        <f t="shared" ca="1" si="487"/>
        <v>#N/A</v>
      </c>
      <c r="DD186" s="144" t="e">
        <f t="shared" ca="1" si="692"/>
        <v>#N/A</v>
      </c>
      <c r="DE186" s="143" t="e">
        <f t="shared" ca="1" si="608"/>
        <v>#N/A</v>
      </c>
      <c r="DF186" s="145" t="e">
        <f ca="1">$DR186*EXP(-Control!$C$158*(1-$KH186))</f>
        <v>#N/A</v>
      </c>
      <c r="DG186" s="146" t="e">
        <f ca="1">IF(Control!$C$114=1, $DF186*$EY186, 0)</f>
        <v>#N/A</v>
      </c>
      <c r="DH186" s="147" t="e">
        <f t="shared" ca="1" si="609"/>
        <v>#N/A</v>
      </c>
      <c r="DI186" s="144" t="e">
        <f t="shared" ca="1" si="670"/>
        <v>#N/A</v>
      </c>
      <c r="DJ186" s="147" t="e">
        <f ca="1">$EF186*Control!$C$109</f>
        <v>#N/A</v>
      </c>
      <c r="DK186" s="144" t="e">
        <f t="shared" ca="1" si="610"/>
        <v>#N/A</v>
      </c>
      <c r="DL186" s="144" t="e">
        <f t="shared" ca="1" si="488"/>
        <v>#N/A</v>
      </c>
      <c r="DM186" s="144" t="e">
        <f ca="1">IF(Control!$C$114=1, (1-EXP(-Control!$C$96*$DK186))*$AR186, 0)</f>
        <v>#N/A</v>
      </c>
      <c r="DN186" s="144">
        <f t="shared" ca="1" si="611"/>
        <v>0</v>
      </c>
      <c r="DO186" s="148">
        <f>Control!$C$97</f>
        <v>4</v>
      </c>
      <c r="DP186" s="145" t="e">
        <f t="shared" ca="1" si="612"/>
        <v>#N/A</v>
      </c>
      <c r="DQ186" s="145" t="e">
        <f ca="1">IF(AND($CP186&gt;=0,$CP186&lt;=90),Control!$C$111,Control!$C$111)</f>
        <v>#N/A</v>
      </c>
      <c r="DR186" s="145" t="e">
        <f t="shared" ca="1" si="489"/>
        <v>#N/A</v>
      </c>
      <c r="DS186" s="143" t="e">
        <f ca="1">Control!$B$22/$DR186</f>
        <v>#N/A</v>
      </c>
      <c r="DT186" s="149" t="e">
        <f ca="1">IF(AND(Control!$C$114=1,$KH186&lt;1),$IM186*$DF186, 0)</f>
        <v>#N/A</v>
      </c>
      <c r="DU186" s="144" t="e">
        <f t="shared" ca="1" si="613"/>
        <v>#N/A</v>
      </c>
      <c r="DV186" s="144">
        <f ca="1">IF($G186-Control!$C$107&lt;=0, 0, 0.83*LN(MAX($G186, 3))-0.8924)</f>
        <v>0</v>
      </c>
      <c r="DW186" s="144" t="e">
        <f t="shared" ca="1" si="490"/>
        <v>#N/A</v>
      </c>
      <c r="DX186" s="150" t="e">
        <f ca="1">MAX(0.01*(1+$CU186/Control!$C$102),0.05*($DK186-Control!$C$97)/Control!$C$97)</f>
        <v>#N/A</v>
      </c>
      <c r="DY186" s="151" t="e">
        <f ca="1">IF(Control!$C$114=1, $DI186*$FS186, 0)</f>
        <v>#N/A</v>
      </c>
      <c r="DZ186" s="196" t="e">
        <f t="shared" ca="1" si="614"/>
        <v>#N/A</v>
      </c>
      <c r="EA186" s="152">
        <f t="shared" ca="1" si="615"/>
        <v>182</v>
      </c>
      <c r="EB186" s="153" t="e">
        <f t="shared" ca="1" si="616"/>
        <v>#N/A</v>
      </c>
      <c r="EC186" s="153" t="e">
        <f t="shared" ca="1" si="617"/>
        <v>#N/A</v>
      </c>
      <c r="ED186" s="154" t="e">
        <f ca="1">IF(Control!$C$114=1, $HM186*$FY186-$FD186, 0)</f>
        <v>#DIV/0!</v>
      </c>
      <c r="EE186" s="155" t="e">
        <f ca="1">IF(Control!$C$114=1, $HM186*$FZ186-$FF186, 0)</f>
        <v>#DIV/0!</v>
      </c>
      <c r="EF186" s="153" t="e">
        <f t="shared" ca="1" si="671"/>
        <v>#N/A</v>
      </c>
      <c r="EG186" s="155" t="e">
        <f ca="1">IF(Control!$C$114=1, $GX186*$FW186-$FI186, 0)</f>
        <v>#DIV/0!</v>
      </c>
      <c r="EH186" s="153" t="e">
        <f t="shared" ca="1" si="618"/>
        <v>#N/A</v>
      </c>
      <c r="EI186" s="156" t="e">
        <f t="shared" ca="1" si="619"/>
        <v>#N/A</v>
      </c>
      <c r="EJ186" s="155" t="e">
        <f ca="1">IF(Control!$C$114=1, $HM186*$GB186, 0)</f>
        <v>#DIV/0!</v>
      </c>
      <c r="EK186" s="153" t="e">
        <f t="shared" ca="1" si="672"/>
        <v>#N/A</v>
      </c>
      <c r="EL186" s="153" t="e">
        <f t="shared" ca="1" si="491"/>
        <v>#N/A</v>
      </c>
      <c r="EM186" s="153" t="e">
        <f t="shared" ca="1" si="492"/>
        <v>#N/A</v>
      </c>
      <c r="EN186" s="153" t="e">
        <f ca="1">IF(Control!$C$108=1,IF(AND(Control!$B$18=1,$EB186&gt;=Control!$B$19),$EB186-$DS186,IF(AND(Control!$B$18=2,$AW186=1,$EB186&gt;$DS186),$EB186-$DS186,0)))</f>
        <v>#N/A</v>
      </c>
      <c r="EO186" s="153" t="e">
        <f ca="1">IF(Control!$C$108=1,IF(AND(Control!$B$18=1,$EB186&gt;=Control!$B$19),$EF186,IF(AND(Control!$B$18=2,$AW186=1),$EF186,0)))</f>
        <v>#N/A</v>
      </c>
      <c r="EP186" s="153" t="e">
        <f ca="1">IF(Control!$C$108=1,IF(AND(Control!$B$18=1,$EB186&gt;=Control!$B$19),$EK186,IF(AND(Control!$B$18=2,$AW186=1),$EK186,0)))</f>
        <v>#N/A</v>
      </c>
      <c r="EQ186" s="153" t="e">
        <f t="shared" ca="1" si="620"/>
        <v>#N/A</v>
      </c>
      <c r="ER186" s="153" t="e">
        <f t="shared" ca="1" si="621"/>
        <v>#N/A</v>
      </c>
      <c r="ES186" s="153" t="e">
        <f t="shared" ca="1" si="673"/>
        <v>#N/A</v>
      </c>
      <c r="ET186" s="153" t="e">
        <f t="shared" ca="1" si="674"/>
        <v>#N/A</v>
      </c>
      <c r="EU186" s="153" t="e">
        <f t="shared" ca="1" si="622"/>
        <v>#N/A</v>
      </c>
      <c r="EV186" s="153" t="e">
        <f t="shared" ca="1" si="493"/>
        <v>#N/A</v>
      </c>
      <c r="EW186" s="153" t="e">
        <f t="shared" ca="1" si="494"/>
        <v>#N/A</v>
      </c>
      <c r="EX186" s="153" t="e">
        <f t="shared" ca="1" si="495"/>
        <v>#N/A</v>
      </c>
      <c r="EY186" s="157" t="e">
        <f t="shared" ca="1" si="496"/>
        <v>#DIV/0!</v>
      </c>
      <c r="EZ186" s="154" t="e">
        <f t="shared" ca="1" si="497"/>
        <v>#DIV/0!</v>
      </c>
      <c r="FA186" s="153" t="e">
        <f t="shared" ca="1" si="623"/>
        <v>#N/A</v>
      </c>
      <c r="FB186" s="153" t="e">
        <f t="shared" ca="1" si="498"/>
        <v>#N/A</v>
      </c>
      <c r="FC186" s="193" t="e">
        <f t="shared" ca="1" si="499"/>
        <v>#N/A</v>
      </c>
      <c r="FD186" s="158" t="e">
        <f t="shared" ca="1" si="624"/>
        <v>#N/A</v>
      </c>
      <c r="FE186" s="158" t="e">
        <f t="shared" ca="1" si="625"/>
        <v>#N/A</v>
      </c>
      <c r="FF186" s="159" t="e">
        <f t="shared" ca="1" si="500"/>
        <v>#N/A</v>
      </c>
      <c r="FG186" s="160" t="e">
        <f t="shared" ca="1" si="626"/>
        <v>#N/A</v>
      </c>
      <c r="FH186" s="158" t="e">
        <f t="shared" ca="1" si="627"/>
        <v>#N/A</v>
      </c>
      <c r="FI186" s="159" t="e">
        <f t="shared" ca="1" si="501"/>
        <v>#N/A</v>
      </c>
      <c r="FJ186" s="160" t="e">
        <f t="shared" ca="1" si="628"/>
        <v>#N/A</v>
      </c>
      <c r="FK186" s="160" t="e">
        <f t="shared" ca="1" si="502"/>
        <v>#N/A</v>
      </c>
      <c r="FL186" s="160" t="e">
        <f t="shared" ca="1" si="675"/>
        <v>#N/A</v>
      </c>
      <c r="FM186" s="160" t="e">
        <f t="shared" ca="1" si="503"/>
        <v>#N/A</v>
      </c>
      <c r="FN186" s="158">
        <f t="shared" ca="1" si="629"/>
        <v>0.01</v>
      </c>
      <c r="FO186" s="160">
        <f>Control!$C$101</f>
        <v>50</v>
      </c>
      <c r="FP186" s="150" t="e">
        <f t="shared" ca="1" si="504"/>
        <v>#N/A</v>
      </c>
      <c r="FQ186" s="150" t="e">
        <f ca="1">MAX(0,(Control!$C$112*(($DK186-Control!$C$97)/Control!$C$97)))</f>
        <v>#N/A</v>
      </c>
      <c r="FR186" s="150" t="e">
        <f ca="1">(1-$NT186)*Control!$C$113</f>
        <v>#DIV/0!</v>
      </c>
      <c r="FS186" s="198" t="e">
        <f t="shared" ca="1" si="505"/>
        <v>#N/A</v>
      </c>
      <c r="FT186" s="161">
        <f t="shared" ca="1" si="630"/>
        <v>182</v>
      </c>
      <c r="FU186" s="162" t="e">
        <f ca="1">IF(Control!$B$34=1,VLOOKUP($CP186,Control!$B$86:$G$91,6),Control!$B$35)</f>
        <v>#N/A</v>
      </c>
      <c r="FV186" s="162" t="e">
        <f t="shared" ca="1" si="506"/>
        <v>#DIV/0!</v>
      </c>
      <c r="FW186" s="162" t="e">
        <f ca="1">IF(Control!$B$31=1,$FU186*$FV186,  $FU186)</f>
        <v>#N/A</v>
      </c>
      <c r="FX186" s="162" t="e">
        <f ca="1">IF(Control!$B$34=1,VLOOKUP($CP186,Control!$B$86:$G$91,3),Control!$B$36)</f>
        <v>#N/A</v>
      </c>
      <c r="FY186" s="162" t="e">
        <f t="shared" ca="1" si="507"/>
        <v>#N/A</v>
      </c>
      <c r="FZ186" s="162" t="e">
        <f ca="1">IF(Control!$B$34=1,VLOOKUP($CP186,Control!$B$86:$G$91,4),Control!$B$37)</f>
        <v>#N/A</v>
      </c>
      <c r="GA186" s="162" t="e">
        <f t="shared" ca="1" si="508"/>
        <v>#N/A</v>
      </c>
      <c r="GB186" s="162" t="e">
        <f ca="1">IF(Control!$B$34=1,VLOOKUP($CP186,Control!$B$86:$G$91,5),Control!$B$38)</f>
        <v>#N/A</v>
      </c>
      <c r="GC186" s="162" t="e">
        <f t="shared" ca="1" si="631"/>
        <v>#N/A</v>
      </c>
      <c r="GD186" s="162">
        <f t="shared" ca="1" si="509"/>
        <v>1</v>
      </c>
      <c r="GE186" s="162">
        <f t="shared" ca="1" si="510"/>
        <v>1</v>
      </c>
      <c r="GF186" s="162">
        <f ca="1">IF(AND(Control!$C$104=1, Control!$C$62="F"),$GE186,1)</f>
        <v>1</v>
      </c>
      <c r="GG186" s="162" t="e">
        <f ca="1">IF(Control!$B$16=40,0,IF(AND(Control!$B$16&gt;40,Control!$B$16&lt;=360),(Control!$B$16-40)*((1-0)/(360-40)),IF(AND(Control!$B$16&gt;360,Control!$B$16&lt;=720),(1+(Control!$B$16-360)*((1.25-1)/(720-360))),IF(AND(Control!$B$16&gt;720,Control!$B$16&lt;=1000),(1.25+(Control!$B$16-720)*((1.35-1.25)/(1000-720))),IF(AND(Control!$B$16&gt;1000,Control!$B$16&lt;=2000),(1.35+(Control!$B$16-1000)*0))))))</f>
        <v>#N/A</v>
      </c>
      <c r="GH186" s="162" t="e">
        <f t="shared" ca="1" si="511"/>
        <v>#N/A</v>
      </c>
      <c r="GI186" s="162">
        <f t="shared" ca="1" si="632"/>
        <v>0</v>
      </c>
      <c r="GJ186" s="162">
        <f t="shared" ca="1" si="512"/>
        <v>0</v>
      </c>
      <c r="GK186" s="162">
        <f t="shared" ca="1" si="633"/>
        <v>1</v>
      </c>
      <c r="GL186" s="162">
        <f t="shared" ca="1" si="513"/>
        <v>1</v>
      </c>
      <c r="GM186" s="162" t="e">
        <f ca="1">MAX(0,MIN(1,1-Control!$C$156*(1.0001-$KH186)^2))</f>
        <v>#N/A</v>
      </c>
      <c r="GN186" s="162" t="e">
        <f ca="1">IF(Control!$B$26=1,$KU186,$KX186)</f>
        <v>#N/A</v>
      </c>
      <c r="GO186" s="162" t="e">
        <f ca="1">IF($CP186&lt;=60,Control!$C$105,IF($CP186&gt;=90,Control!$C$106,Control!$C$105+($CP186-60)*((Control!$C$106-Control!$C$105)/(90-60))))</f>
        <v>#N/A</v>
      </c>
      <c r="GP186" s="162" t="e">
        <f t="shared" ca="1" si="514"/>
        <v>#N/A</v>
      </c>
      <c r="GQ186" s="162" t="e">
        <f t="shared" ca="1" si="634"/>
        <v>#N/A</v>
      </c>
      <c r="GR186" s="163" t="e">
        <f t="shared" ca="1" si="515"/>
        <v>#DIV/0!</v>
      </c>
      <c r="GS186" s="162" t="e">
        <f t="shared" ca="1" si="516"/>
        <v>#DIV/0!</v>
      </c>
      <c r="GT186" s="164" t="e">
        <f t="shared" ca="1" si="635"/>
        <v>#N/A</v>
      </c>
      <c r="GU186" s="162" t="e">
        <f t="shared" ca="1" si="636"/>
        <v>#N/A</v>
      </c>
      <c r="GV186" s="162" t="e">
        <f t="shared" ca="1" si="517"/>
        <v>#N/A</v>
      </c>
      <c r="GW186" s="162" t="e">
        <f t="shared" ca="1" si="518"/>
        <v>#DIV/0!</v>
      </c>
      <c r="GX186" s="162" t="e">
        <f t="shared" ca="1" si="637"/>
        <v>#DIV/0!</v>
      </c>
      <c r="GY186" s="162" t="e">
        <f t="shared" ca="1" si="638"/>
        <v>#DIV/0!</v>
      </c>
      <c r="GZ186" s="165" t="e">
        <f t="shared" ca="1" si="519"/>
        <v>#N/A</v>
      </c>
      <c r="HA186" s="162" t="e">
        <f ca="1">IF(Control!$C$114=1, $DI186*$FS186, 0)</f>
        <v>#N/A</v>
      </c>
      <c r="HB186" s="162" t="e">
        <f ca="1">$FA186/Control!$C$64</f>
        <v>#N/A</v>
      </c>
      <c r="HC186" s="162" t="e">
        <f t="shared" ca="1" si="520"/>
        <v>#DIV/0!</v>
      </c>
      <c r="HD186" s="162">
        <f ca="1">-ASIN(SIN(23.45*Control!$C$139)*COS(2*Control!$C$138*($AH186+10)/365))</f>
        <v>0.4034998646284248</v>
      </c>
      <c r="HE186" s="165">
        <f t="shared" ca="1" si="639"/>
        <v>0</v>
      </c>
      <c r="HF186" s="166">
        <f ca="1">IF(AND(Control!$C$61="T",$HE186&gt;=Control!$C$103,Control!$C$114=0),$AH186,Control!$C$59)</f>
        <v>1</v>
      </c>
      <c r="HG186" s="166">
        <f ca="1">IF(AND(Control!$C$61="T",$HE186&gt;=Control!$C$103,Control!$C$114=0),$HF186,Control!$C$59)</f>
        <v>1</v>
      </c>
      <c r="HH186" s="165">
        <f ca="1">IF(AND(OR(Control!$C$60&lt;=0, $AH186= Control!$C$59, Control!$C$60 &gt;0, $AH186 = Control!$C$60)), Control!$C$59, IF(Control!$C$60&gt;0, 0))</f>
        <v>1</v>
      </c>
      <c r="HI186" s="165">
        <f ca="1">IF(AND(OR(Control!$C$60&lt;=0, $AH186= Control!$C$59, Control!$C$60 &gt;0, $AH186 = Control!$C$60)), Control!$C$60, IF(Control!$C$60&lt;=0, 0))</f>
        <v>0</v>
      </c>
      <c r="HJ186" s="166">
        <f ca="1">IF(AND(Control!$C$62="F",$CV186&gt;=Control!$C$102),$AH186,0)</f>
        <v>0</v>
      </c>
      <c r="HK186" s="165" t="e">
        <f t="shared" ca="1" si="676"/>
        <v>#N/A</v>
      </c>
      <c r="HL186" s="166">
        <f ca="1">IF(AND(Control!$C$61="T",$HE186&gt;=Control!$C$103,Control!$C$114=0),$HF186,0)</f>
        <v>0</v>
      </c>
      <c r="HM186" s="201" t="e">
        <f t="shared" ca="1" si="521"/>
        <v>#DIV/0!</v>
      </c>
      <c r="HN186" s="215">
        <f t="shared" ca="1" si="640"/>
        <v>182</v>
      </c>
      <c r="HO186" s="216" t="e">
        <f ca="1">IF(AND($CP186&gt;=0, $CP186&lt;=90), Control!$C$152, Control!$C$152)</f>
        <v>#N/A</v>
      </c>
      <c r="HP186" s="216" t="e">
        <f t="shared" ca="1" si="522"/>
        <v>#N/A</v>
      </c>
      <c r="HQ186" s="217" t="e">
        <f ca="1">IF(OR(Control!$B$26=1,Control!$B$26=2),$KV186,$KS186)</f>
        <v>#DIV/0!</v>
      </c>
      <c r="HR186" s="218" t="e">
        <f t="shared" ca="1" si="677"/>
        <v>#DIV/0!</v>
      </c>
      <c r="HS186" s="216" t="e">
        <f ca="1">Control!$C$154*$HP186</f>
        <v>#N/A</v>
      </c>
      <c r="HT186" s="216" t="e">
        <f ca="1">Control!$C$155*$HP186</f>
        <v>#N/A</v>
      </c>
      <c r="HU186" s="217" t="e">
        <f ca="1">Control!$C$161*$FI186</f>
        <v>#N/A</v>
      </c>
      <c r="HV186" s="218" t="e">
        <f t="shared" ca="1" si="641"/>
        <v>#N/A</v>
      </c>
      <c r="HW186" s="218" t="e">
        <f ca="1">Control!$C$160*$FF186+$IP186*$EO186</f>
        <v>#N/A</v>
      </c>
      <c r="HX186" s="218" t="e">
        <f t="shared" ca="1" si="678"/>
        <v>#N/A</v>
      </c>
      <c r="HY186" s="219" t="e">
        <f ca="1">IF(Control!$C$114=1, $EB186*$FS186, 0)</f>
        <v>#N/A</v>
      </c>
      <c r="HZ186" s="91" t="e">
        <f t="shared" ca="1" si="523"/>
        <v>#N/A</v>
      </c>
      <c r="IA186" s="220" t="e">
        <f ca="1">Control!$C$153*$HO186</f>
        <v>#N/A</v>
      </c>
      <c r="IB186" s="218" t="e">
        <f t="shared" ca="1" si="524"/>
        <v>#N/A</v>
      </c>
      <c r="IC186" s="220" t="e">
        <f ca="1">Control!$C$153*$HT186</f>
        <v>#N/A</v>
      </c>
      <c r="ID186" s="218" t="e">
        <f t="shared" ca="1" si="525"/>
        <v>#N/A</v>
      </c>
      <c r="IE186" s="221" t="e">
        <f ca="1">($EB186*Control!$C$159+$EF186*Control!$C$160)/(IF($GZ186&lt;&gt;0,$GZ186,1))</f>
        <v>#N/A</v>
      </c>
      <c r="IF186" s="216" t="e">
        <f t="shared" ca="1" si="526"/>
        <v>#N/A</v>
      </c>
      <c r="IG186" s="91">
        <f ca="1">IF(OR(Control!$B$198=$AH186,Control!$B$199=$AH186, Control!$B$200=$AH186, Control!$B$201=$AH186, Control!$B$202=$AH186, Control!$B$203=$AH186, Control!$B$204=$AH186, Control!$B$205=$AH186, Control!$B$206=$AH186, Control!$B$207=$AH186), 1, 0)</f>
        <v>0</v>
      </c>
      <c r="IH186" s="91">
        <f ca="1">IF($IG186=0,0, VLOOKUP($AH186,Control!$B$198:$C$207,2))</f>
        <v>0</v>
      </c>
      <c r="II186" s="222">
        <f t="shared" ca="1" si="642"/>
        <v>0</v>
      </c>
      <c r="IJ186" s="91">
        <f>Control!$C$121</f>
        <v>0.7</v>
      </c>
      <c r="IK186" s="218">
        <f t="shared" ca="1" si="527"/>
        <v>0</v>
      </c>
      <c r="IL186" s="217" t="e">
        <f t="shared" ca="1" si="679"/>
        <v>#N/A</v>
      </c>
      <c r="IM186" s="223" t="e">
        <f ca="1">IF(AND(Control!$C$114=1,$KH186&lt;1),$EB186*Control!$C$148*(1-$KH186), 0)</f>
        <v>#N/A</v>
      </c>
      <c r="IN186" s="217" t="e">
        <f t="shared" ca="1" si="528"/>
        <v>#DIV/0!</v>
      </c>
      <c r="IO186" s="91" t="e">
        <f ca="1">MAX(0,$IL186-$EF186*Control!$C$160)</f>
        <v>#N/A</v>
      </c>
      <c r="IP186" s="220" t="e">
        <f t="shared" ca="1" si="529"/>
        <v>#N/A</v>
      </c>
      <c r="IQ186" s="217" t="e">
        <f t="shared" ca="1" si="643"/>
        <v>#N/A</v>
      </c>
      <c r="IR186" s="218" t="e">
        <f t="shared" ca="1" si="530"/>
        <v>#N/A</v>
      </c>
      <c r="IS186" s="217" t="e">
        <f ca="1">Control!$C$159*MAX(0,$FD186-$EN186)</f>
        <v>#N/A</v>
      </c>
      <c r="IT186" s="217" t="e">
        <f t="shared" ca="1" si="680"/>
        <v>#N/A</v>
      </c>
      <c r="IU186" s="217" t="e">
        <f t="shared" ca="1" si="644"/>
        <v>#N/A</v>
      </c>
      <c r="IV186" s="217" t="e">
        <f t="shared" ca="1" si="681"/>
        <v>#N/A</v>
      </c>
      <c r="IW186" s="217" t="e">
        <f ca="1">IF(OR($AW186=1,AND($AW186=0, Control!$B$18=1,$EN186&lt;&gt;0)), $IQ186-$IU186, $IQ186)</f>
        <v>#N/A</v>
      </c>
      <c r="IX186" s="218" t="e">
        <f t="shared" ca="1" si="531"/>
        <v>#N/A</v>
      </c>
      <c r="IY186" s="218" t="e">
        <f ca="1">MAX(0,$IQ186-$EB186*Control!$C$159)</f>
        <v>#N/A</v>
      </c>
      <c r="IZ186" s="218" t="e">
        <f t="shared" ca="1" si="532"/>
        <v>#N/A</v>
      </c>
      <c r="JA186" s="216" t="e">
        <f t="shared" ca="1" si="533"/>
        <v>#N/A</v>
      </c>
      <c r="JB186" s="217" t="e">
        <f t="shared" ca="1" si="534"/>
        <v>#N/A</v>
      </c>
      <c r="JC186" s="222" t="e">
        <f ca="1">MAX(Control!$C$157*$EK186-$JT186, 0)/Control!$C$162</f>
        <v>#N/A</v>
      </c>
      <c r="JD186" s="218" t="e">
        <f t="shared" ca="1" si="535"/>
        <v>#N/A</v>
      </c>
      <c r="JE186" s="218" t="e">
        <f t="shared" ca="1" si="536"/>
        <v>#N/A</v>
      </c>
      <c r="JF186" s="218" t="e">
        <f t="shared" ca="1" si="645"/>
        <v>#N/A</v>
      </c>
      <c r="JG186" s="218" t="e">
        <f t="shared" ca="1" si="537"/>
        <v>#N/A</v>
      </c>
      <c r="JH186" s="217" t="e">
        <f t="shared" ca="1" si="646"/>
        <v>#N/A</v>
      </c>
      <c r="JI186" s="217" t="e">
        <f t="shared" ca="1" si="647"/>
        <v>#N/A</v>
      </c>
      <c r="JJ186" s="217" t="e">
        <f t="shared" ca="1" si="682"/>
        <v>#N/A</v>
      </c>
      <c r="JK186" s="217" t="e">
        <f ca="1">IF(Control!$C$114=1,IF(Control!$B$24=0,MAX(0,$JI186)*$GN186/Control!$C$64,(MAX(0,MIN($JI186,$JJ186*$GN186/Control!$C$64),0))))</f>
        <v>#N/A</v>
      </c>
      <c r="JL186" s="217" t="e">
        <f ca="1">$IK186/Control!$C$64-$JK186+$HQ186</f>
        <v>#N/A</v>
      </c>
      <c r="JM186" s="217" t="e">
        <f ca="1">IF(Control!$C$114=1,($JB186/(IF($JI186&lt;&gt;0,$JI186,1)))*$JK186,0)</f>
        <v>#N/A</v>
      </c>
      <c r="JN186" s="217" t="e">
        <f ca="1">IF(Control!$C$114=1,($JG186/(IF($JI186&lt;&gt;0,$JI186,1)))*$JK186, 0)</f>
        <v>#N/A</v>
      </c>
      <c r="JO186" s="218" t="e">
        <f t="shared" ca="1" si="538"/>
        <v>#N/A</v>
      </c>
      <c r="JP186" s="218" t="e">
        <f ca="1">MIN(($IY186+$IO186)*Control!$C$151, $JF186-$EH186*Control!$C$161)</f>
        <v>#N/A</v>
      </c>
      <c r="JQ186" s="218" t="e">
        <f t="shared" ca="1" si="539"/>
        <v>#N/A</v>
      </c>
      <c r="JR186" s="217" t="e">
        <f ca="1">IF($CP186-Control!$C$150&lt;0, 0, $JQ186/Control!$C$162)</f>
        <v>#N/A</v>
      </c>
      <c r="JS186" s="218" t="e">
        <f t="shared" ca="1" si="540"/>
        <v>#N/A</v>
      </c>
      <c r="JT186" s="218" t="e">
        <f t="shared" ca="1" si="648"/>
        <v>#N/A</v>
      </c>
      <c r="JU186" s="218" t="e">
        <f t="shared" ca="1" si="541"/>
        <v>#N/A</v>
      </c>
      <c r="JV186" s="218" t="e">
        <f t="shared" ca="1" si="542"/>
        <v>#N/A</v>
      </c>
      <c r="JW186" s="216" t="e">
        <f t="shared" ca="1" si="543"/>
        <v>#N/A</v>
      </c>
      <c r="JX186" s="91" t="e">
        <f t="shared" ca="1" si="544"/>
        <v>#N/A</v>
      </c>
      <c r="JY186" s="218" t="e">
        <f t="shared" ca="1" si="545"/>
        <v>#N/A</v>
      </c>
      <c r="JZ186" s="217" t="e">
        <f ca="1">IF(Control!$C$114=1,($IZ186/(IF($JI186&lt;&gt;0,$JI186,1)))*$JK186, 0)</f>
        <v>#N/A</v>
      </c>
      <c r="KA186" s="218" t="e">
        <f t="shared" ca="1" si="683"/>
        <v>#N/A</v>
      </c>
      <c r="KB186" s="218" t="e">
        <f t="shared" ca="1" si="649"/>
        <v>#N/A</v>
      </c>
      <c r="KC186" s="218" t="e">
        <f t="shared" ca="1" si="546"/>
        <v>#N/A</v>
      </c>
      <c r="KD186" s="218" t="e">
        <f t="shared" ca="1" si="547"/>
        <v>#N/A</v>
      </c>
      <c r="KE186" s="218" t="e">
        <f t="shared" ca="1" si="548"/>
        <v>#N/A</v>
      </c>
      <c r="KF186" s="218" t="e">
        <f t="shared" ca="1" si="549"/>
        <v>#N/A</v>
      </c>
      <c r="KG186" s="216" t="e">
        <f t="shared" ca="1" si="550"/>
        <v>#N/A</v>
      </c>
      <c r="KH186" s="221" t="e">
        <f ca="1">IF(Control!$B$24=0,1,MAX(0.001,MIN(1,IF(($IF186-$IE186)&lt;&gt;0,($KG186-$IE186)/($IF186-$IE186),1))))</f>
        <v>#N/A</v>
      </c>
      <c r="KI186" s="222" t="e">
        <f ca="1">IF(Control!$C$114=1, $KI185+ $KH185, 0)</f>
        <v>#N/A</v>
      </c>
      <c r="KJ186" s="217" t="e">
        <f t="shared" ca="1" si="551"/>
        <v>#N/A</v>
      </c>
      <c r="KK186" s="218" t="e">
        <f t="shared" ca="1" si="552"/>
        <v>#N/A</v>
      </c>
      <c r="KL186" s="274" t="e">
        <f ca="1">IF(Control!$B$26=3,4000000000*EXP(-8400/($G186+273)),IF(Control!$B$26=4,4000000000*EXP(-8400/($G186+273))*($KT186),0))</f>
        <v>#DIV/0!</v>
      </c>
      <c r="KM186" s="274" t="e">
        <f ca="1">IF(Control!$B$26=3,5600000000000*EXP(-9800/($G186+273)),IF(Control!$B$26=4,5600000000000*EXP(-9800/($G186+273))*$KT186,0))</f>
        <v>#DIV/0!</v>
      </c>
      <c r="KN186" s="454" t="e">
        <f t="shared" ca="1" si="650"/>
        <v>#DIV/0!</v>
      </c>
      <c r="KO186" s="274" t="e">
        <f t="shared" ca="1" si="651"/>
        <v>#DIV/0!</v>
      </c>
      <c r="KP186" s="454" t="e">
        <f t="shared" ca="1" si="553"/>
        <v>#DIV/0!</v>
      </c>
      <c r="KQ186" s="454" t="e">
        <f t="shared" ca="1" si="554"/>
        <v>#DIV/0!</v>
      </c>
      <c r="KR186" s="454" t="e">
        <f t="shared" ca="1" si="555"/>
        <v>#DIV/0!</v>
      </c>
      <c r="KS186" s="454" t="e">
        <f t="shared" ca="1" si="556"/>
        <v>#DIV/0!</v>
      </c>
      <c r="KT186" s="455" t="e">
        <f t="shared" ca="1" si="557"/>
        <v>#DIV/0!</v>
      </c>
      <c r="KU186" s="456" t="e">
        <f ca="1">IF($CP186-Control!$C$149&lt;0, IF($NT186-0.01&lt;0,0,1),0)</f>
        <v>#N/A</v>
      </c>
      <c r="KV186" s="456" t="e">
        <f ca="1">IF(Control!$C$114=1,MAX(0,MIN(Control!$C$125*$KW186*$GN186,$KW186)))</f>
        <v>#DIV/0!</v>
      </c>
      <c r="KW186" s="456" t="e">
        <f t="shared" ca="1" si="684"/>
        <v>#DIV/0!</v>
      </c>
      <c r="KX186" s="457" t="e">
        <f ca="1">IF($CP186-Control!$C$149&lt;0, IF($MR186-$OM186&lt;0,0,1),0)</f>
        <v>#N/A</v>
      </c>
      <c r="KY186" s="167">
        <f t="shared" ca="1" si="652"/>
        <v>182</v>
      </c>
      <c r="KZ186" s="168">
        <f ca="1">1370*(1+0.033*COS(2*Control!$C$138*$AH186/365))</f>
        <v>1324.7916717687465</v>
      </c>
      <c r="LA186" s="169">
        <f t="shared" ca="1" si="653"/>
        <v>0.96700122234916319</v>
      </c>
      <c r="LB186" s="169">
        <f t="shared" ca="1" si="654"/>
        <v>0.40295171920788542</v>
      </c>
      <c r="LC186" s="169">
        <f ca="1">ACOS(-TAN((2*Control!$B$8/360))*TAN(Calculations!$LB186))</f>
        <v>1.6978285460009286</v>
      </c>
      <c r="LD186" s="169">
        <f ca="1">((24*60)/PI())*0.082*$LA186*(($LC186*SIN(Control!$B$8*2*PI()/360))*SIN($LB186)+COS(Control!$B$8*2*PI()/360)*COS($LB186)*SIN($LC186))</f>
        <v>39.487056985732472</v>
      </c>
      <c r="LE186" s="170">
        <f t="shared" ca="1" si="558"/>
        <v>41.176391738718749</v>
      </c>
      <c r="LF186" s="170">
        <f ca="1">SIN(Control!$C$139*Control!$B$8)*SIN($HD186)</f>
        <v>0.30940469246200791</v>
      </c>
      <c r="LG186" s="170">
        <f ca="1">COS(Control!$C$139*Control!$B$8)*COS($HD186)</f>
        <v>0.56621766898309756</v>
      </c>
      <c r="LH186" s="170">
        <f ca="1">12*(1+2*ASIN(MAX(-1,MIN(1,$LF186/$LG186))/Control!$C$138))</f>
        <v>16.195835058316426</v>
      </c>
      <c r="LI186" s="170">
        <f ca="1">12*(1+2*ASIN(MAX(-1,MIN(1,(-SIN(-4*Control!$C$139)+$LF186)/$LG186))/Control!$C$138))</f>
        <v>17.155203141430633</v>
      </c>
      <c r="LJ186" s="168">
        <f ca="1">3600*($LH186*$LF186+24*$LG186*SQRT(1-$LK186*$LK186)/Control!$C$138)</f>
        <v>31081.408961262277</v>
      </c>
      <c r="LK186" s="170">
        <f t="shared" ca="1" si="559"/>
        <v>0.54644125291548273</v>
      </c>
      <c r="LL186" s="170">
        <f t="shared" ca="1" si="560"/>
        <v>0</v>
      </c>
      <c r="LM186" s="171">
        <f ca="1">Control!$C$145*$AB186</f>
        <v>6.6660906138995932E-2</v>
      </c>
      <c r="LN186" s="170">
        <f t="shared" ca="1" si="655"/>
        <v>0.54</v>
      </c>
      <c r="LO186" s="170">
        <f t="shared" ca="1" si="561"/>
        <v>0</v>
      </c>
      <c r="LP186" s="170">
        <f ca="1">Control!$C$140*((($D186+273.16)^4+($E186+273.16)^4)/2)*(0.34-0.14*SQRT($Y186))*(1.35*$AQ186/(0.75*$LD186)-0.35)</f>
        <v>-3.2464704755046001</v>
      </c>
      <c r="LQ186" s="170">
        <f ca="1">Control!$C$140*($G186+273)^4*(0.56-0.079*SQRT($Y186*10))*(0.1+0.9*$LO186)</f>
        <v>1.5241745131704001</v>
      </c>
      <c r="LR186" s="170">
        <f ca="1">$AQ186*(1-Control!$C$142)-$LQ186</f>
        <v>-1.5241745131704001</v>
      </c>
      <c r="LS186" s="170">
        <f ca="1">$AQ186*(1-Control!$C$143)-$LQ186</f>
        <v>-1.5241745131704001</v>
      </c>
      <c r="LT186" s="170">
        <f ca="1">$AQ186*(1-Control!$C$144)-$LQ186</f>
        <v>-1.5241745131704001</v>
      </c>
      <c r="LU186" s="169">
        <f ca="1">(1-Control!$C$144)*AQ186-LP186</f>
        <v>3.2464704755046001</v>
      </c>
      <c r="LV186" s="172">
        <f t="shared" ca="1" si="562"/>
        <v>0.79430000000000012</v>
      </c>
      <c r="LW186" s="170">
        <f t="shared" ca="1" si="563"/>
        <v>1.5886000000000002</v>
      </c>
      <c r="LX186" s="170">
        <f ca="1">($AC186*($LR186/Control!$C$141)+$LM186*$LV186)/($AC186+$LM186)</f>
        <v>0.23530094218323697</v>
      </c>
      <c r="LY186" s="170">
        <f ca="1">($AC186*($LS186/Control!$C$141)+$LM186*$LV186)/($AC186+$LM186)</f>
        <v>0.23530094218323697</v>
      </c>
      <c r="LZ186" s="170">
        <f t="shared" ca="1" si="564"/>
        <v>0.23530094218323697</v>
      </c>
      <c r="MA186" s="170">
        <f t="shared" ca="1" si="565"/>
        <v>0.23530094218323697</v>
      </c>
      <c r="MB186" s="170" t="e">
        <f t="shared" ca="1" si="566"/>
        <v>#N/A</v>
      </c>
      <c r="MC186" s="170">
        <f t="shared" ca="1" si="656"/>
        <v>0.6018</v>
      </c>
      <c r="MD186" s="170">
        <f t="shared" ca="1" si="567"/>
        <v>0.52989392535414004</v>
      </c>
      <c r="ME186" s="170">
        <f ca="1">($AC186*($LT186/Control!$C$141)+$LM186*$LW186)/($AC186+$LM186)</f>
        <v>0.71612369323045078</v>
      </c>
      <c r="MF186" s="170" t="e">
        <f ca="1">IF(Control!$B$16&gt;=1000,0.92,IF(AND(720&lt;=Control!$B$16,1000&gt;Control!$B$16),(0.95+(Control!$B$16-720)*((0.92-0.95)/(1000-720))),IF(AND(360&lt;=Control!$B$16,720&gt;Control!$B$16),(1+(Control!$B$16-360)*((0.95-1)/(720-360))),IF(AND(40&lt;=Control!$B$16,360&gt;Control!$B$16),(1.05+(Control!$B$16-40)*((1.05-1)/(360-40)))))))</f>
        <v>#N/A</v>
      </c>
      <c r="MG186" s="170">
        <f t="shared" ca="1" si="568"/>
        <v>0.71612369323045078</v>
      </c>
      <c r="MH186" s="170" t="e">
        <f t="shared" ref="MH186:MI205" ca="1" si="695">$MG186*$MF186</f>
        <v>#N/A</v>
      </c>
      <c r="MI186" s="170" t="e">
        <f t="shared" ca="1" si="695"/>
        <v>#N/A</v>
      </c>
      <c r="MJ186" s="170" t="e">
        <f ca="1">MAX(0.0001, Control!$C$132*$MI186*$DL186)</f>
        <v>#N/A</v>
      </c>
      <c r="MK186" s="170">
        <f ca="1">1/(0.76+1.5*($MG186/10))-(5-Control!$C$110)*0.1</f>
        <v>1.002845988140797</v>
      </c>
      <c r="ML186" s="173">
        <f ca="1">IF(Control!$C$110&lt;3,$MK186+($MG186-0.6)/(Control!$C$110*(Control!$C$110+3)), MAX(0.1, MIN(0.95,$MK186)))</f>
        <v>0.95</v>
      </c>
      <c r="MM186" s="173">
        <f ca="1">IF(Control!$C$110&lt;3,$MK186+(($MI186/10)-0.6)/(Control!$C$110*(Control!$C$110+3)), MAX(0.1, MIN(0.95,$MK186)))</f>
        <v>0.95</v>
      </c>
      <c r="MN186" s="173">
        <f ca="1">(1-$MM186)*(Control!$C$128-Control!$C$127)+Control!$C$127</f>
        <v>0.16</v>
      </c>
      <c r="MO186" s="170" t="e">
        <f ca="1">MAX(0,MIN(1,($MS186-Control!$C$127)/($MN186-Control!$C$127)))</f>
        <v>#DIV/0!</v>
      </c>
      <c r="MP186" s="173" t="e">
        <f ca="1">1/(0.76+1.5*$MI186)-(5-Control!$C$110)*0.1</f>
        <v>#N/A</v>
      </c>
      <c r="MQ186" s="172" t="e">
        <f t="shared" ca="1" si="685"/>
        <v>#DIV/0!</v>
      </c>
      <c r="MR186" s="168" t="e">
        <f t="shared" ca="1" si="657"/>
        <v>#DIV/0!</v>
      </c>
      <c r="MS186" s="173" t="e">
        <f ca="1">MAX(Control!$C$127, MIN(Control!$C$135, $MR186/MAX(0.0001,$CY186)))</f>
        <v>#DIV/0!</v>
      </c>
      <c r="MT186" s="168" t="e">
        <f ca="1">(Control!$C$128-$MS186)*Control!$C$74</f>
        <v>#DIV/0!</v>
      </c>
      <c r="MU186" s="168" t="e">
        <f ca="1">(Control!$C$135-$MS186)*Control!$C$74</f>
        <v>#DIV/0!</v>
      </c>
      <c r="MV186" s="168" t="e">
        <f t="shared" ca="1" si="658"/>
        <v>#DIV/0!</v>
      </c>
      <c r="MW186" s="168" t="e">
        <f t="shared" ca="1" si="659"/>
        <v>#DIV/0!</v>
      </c>
      <c r="MX186" s="171" t="e">
        <f ca="1">MAX(Control!$C$127, MIN(Control!$C$135, $MW186/MAX(0.0001,Control!$C$119-$CY186)))</f>
        <v>#DIV/0!</v>
      </c>
      <c r="MY186" s="54" t="e">
        <f ca="1">IF(Control!$C$114=1, $CX186*$MX186, 0)</f>
        <v>#DIV/0!</v>
      </c>
      <c r="MZ186" s="54" t="e">
        <f t="shared" ca="1" si="660"/>
        <v>#N/A</v>
      </c>
      <c r="NA186" s="168" t="e">
        <f ca="1">(Control!$C$128-$MX186)*(Control!$C$119-Control!$C$74)</f>
        <v>#DIV/0!</v>
      </c>
      <c r="NB186" s="168" t="e">
        <f ca="1">(Control!$C$135-$MX186)*(Control!$C$119-Control!$C$74)</f>
        <v>#DIV/0!</v>
      </c>
      <c r="NC186" s="174" t="e">
        <f t="shared" ca="1" si="661"/>
        <v>#DIV/0!</v>
      </c>
      <c r="ND186" s="54">
        <f ca="1">IF(Control!$C$58=2, IF(OR(Control!$B$218=$AH186,Control!$B$219=$AH186, Control!$B$220=$AH186, Control!$B$221=$AH186, Control!$B$222=$AH186, Control!$B$223=$AH186, Control!$B$224=$AH186, Control!$B$225=$AH186, Control!$B$226=$AH186, Control!$B$227=$AH186, Control!$B$228=$AH186), 1, 0), 0)</f>
        <v>0</v>
      </c>
      <c r="NE186" s="54">
        <f ca="1">IF($ND186=0,0, VLOOKUP($AH186,Control!$B$218:$C$228,2))</f>
        <v>0</v>
      </c>
      <c r="NF186" s="168" t="e">
        <f ca="1">$CY186*(Control!$C$128-Control!$C$127)</f>
        <v>#N/A</v>
      </c>
      <c r="NG186" s="54" t="e">
        <f ca="1">IF(Control!$C$58=2, $NI185-$NJ185, 0)</f>
        <v>#DIV/0!</v>
      </c>
      <c r="NH186" s="54" t="e">
        <f ca="1">IF(AND(Control!$C$58=1, $MS185&lt;= ($MN185+0.02), $I185&lt;10), 0, IF(Control!$C$58=2, $NG185, 0))</f>
        <v>#DIV/0!</v>
      </c>
      <c r="NI186" s="54" t="e">
        <f ca="1">IF(Control!$C$58=2, $NE186+$NH186,0)</f>
        <v>#DIV/0!</v>
      </c>
      <c r="NJ186" s="54" t="e">
        <f ca="1">IF(AND(Control!$C$58=1, $MS186&lt;= ($MN186+0.02), $I186&lt;10), MAX(0, MIN(10, 0.7*($NF186-$MV186))), IF(Control!$C$58=2, MIN(10,$NI186),0))</f>
        <v>#DIV/0!</v>
      </c>
      <c r="NK186" s="54" t="e">
        <f t="shared" ca="1" si="569"/>
        <v>#DIV/0!</v>
      </c>
      <c r="NL186" s="173" t="e">
        <f ca="1">(1-Control!$C$73)*$I186+$NJ186</f>
        <v>#DIV/0!</v>
      </c>
      <c r="NM186" s="172" t="e">
        <f ca="1">IF($NL186&lt;0.5, $MB186* MAX(0, MIN(1, (SQRT($NC186)-SQRT($NC186-1))*Control!$C$71)),0)</f>
        <v>#DIV/0!</v>
      </c>
      <c r="NN186" s="170" t="e">
        <f ca="1">IF($NL186&gt;=5, $MB186, MAX(0,MIN($MB186, $NM186+$NL186,($MS186-Control!$C$129))))</f>
        <v>#DIV/0!</v>
      </c>
      <c r="NO186" s="54">
        <f>IF(Control!$C$133&lt;&gt;1, Control!$C$135-Control!$C$131, 0)</f>
        <v>0.38</v>
      </c>
      <c r="NP186" s="54" t="e">
        <f t="shared" ca="1" si="570"/>
        <v>#DIV/0!</v>
      </c>
      <c r="NQ186" s="173" t="e">
        <f ca="1">MAX(0,MIN(1,(Control!$C$135-$MS186)/(Control!$C$135-$NO186)))</f>
        <v>#DIV/0!</v>
      </c>
      <c r="NR186" s="170" t="e">
        <f ca="1">IF(Control!$C$133&lt;&gt;1, $NQ186+((1-$NP186/4)*(1-$NQ186)),1)</f>
        <v>#DIV/0!</v>
      </c>
      <c r="NS186" s="170" t="e">
        <f ca="1">IF(Control!$B$31=0,$MJ186,MAX(0,MIN($MV186,$MO186*$NR186*$MJ186)))</f>
        <v>#DIV/0!</v>
      </c>
      <c r="NT186" s="170" t="e">
        <f t="shared" ca="1" si="686"/>
        <v>#DIV/0!</v>
      </c>
      <c r="NU186" s="170" t="e">
        <f t="shared" ca="1" si="662"/>
        <v>#N/A</v>
      </c>
      <c r="NV186" s="170" t="e">
        <f t="shared" ca="1" si="571"/>
        <v>#N/A</v>
      </c>
      <c r="NW186" s="175" t="e">
        <f t="shared" ca="1" si="572"/>
        <v>#DIV/0!</v>
      </c>
      <c r="NX186" s="170" t="e">
        <f ca="1">MIN(Control!$C$72+$MU186, $NW186)</f>
        <v>#DIV/0!</v>
      </c>
      <c r="NY186" s="170" t="e">
        <f ca="1">IF($MT186&lt;=$NX186,MIN(Control!$C$72+$NB186,$NX186-$MT186),0)</f>
        <v>#DIV/0!</v>
      </c>
      <c r="NZ186" s="54" t="e">
        <f ca="1">IF(Control!$C$114=1,  $CX186*($MX186-Control!$C$127), 0)</f>
        <v>#DIV/0!</v>
      </c>
      <c r="OA186" s="170" t="e">
        <f t="shared" ca="1" si="573"/>
        <v>#DIV/0!</v>
      </c>
      <c r="OB186" s="170" t="e">
        <f ca="1">IF($NA186 &lt;=$NY186, MIN(Control!$C$72, $NY186-$NA186), 0)</f>
        <v>#DIV/0!</v>
      </c>
      <c r="OC186" s="168" t="e">
        <f t="shared" ca="1" si="574"/>
        <v>#DIV/0!</v>
      </c>
      <c r="OD186" s="168" t="e">
        <f t="shared" ca="1" si="663"/>
        <v>#DIV/0!</v>
      </c>
      <c r="OE186" s="170">
        <f ca="1">Control!$C$73*$I186</f>
        <v>0</v>
      </c>
      <c r="OF186" s="176" t="e">
        <f t="shared" ca="1" si="575"/>
        <v>#DIV/0!</v>
      </c>
      <c r="OG186" s="168" t="e">
        <f t="shared" ca="1" si="576"/>
        <v>#DIV/0!</v>
      </c>
      <c r="OH186" s="168" t="e">
        <f t="shared" ca="1" si="577"/>
        <v>#DIV/0!</v>
      </c>
      <c r="OI186" s="168" t="e">
        <f t="shared" ca="1" si="578"/>
        <v>#DIV/0!</v>
      </c>
      <c r="OJ186" s="168" t="e">
        <f t="shared" ca="1" si="579"/>
        <v>#DIV/0!</v>
      </c>
      <c r="OK186" s="204" t="e">
        <f t="shared" ca="1" si="580"/>
        <v>#DIV/0!</v>
      </c>
      <c r="OL186" s="177">
        <f>Control!$C$127</f>
        <v>0.15</v>
      </c>
      <c r="OM186" s="182" t="e">
        <f t="shared" ca="1" si="581"/>
        <v>#N/A</v>
      </c>
      <c r="ON186" s="177">
        <f>Control!$C$128</f>
        <v>0.35</v>
      </c>
      <c r="OO186" s="182" t="e">
        <f t="shared" ca="1" si="582"/>
        <v>#N/A</v>
      </c>
      <c r="OP186" s="138">
        <f t="shared" ca="1" si="664"/>
        <v>0</v>
      </c>
      <c r="OQ186" s="138" t="e">
        <f t="shared" ca="1" si="687"/>
        <v>#DIV/0!</v>
      </c>
      <c r="OR186" s="138" t="e">
        <f t="shared" ca="1" si="665"/>
        <v>#DIV/0!</v>
      </c>
      <c r="OS186" s="137" t="e">
        <f t="shared" ca="1" si="688"/>
        <v>#DIV/0!</v>
      </c>
      <c r="OT186" s="139" t="e">
        <f t="shared" ca="1" si="689"/>
        <v>#DIV/0!</v>
      </c>
      <c r="OU186" s="138" t="e">
        <f t="shared" ca="1" si="690"/>
        <v>#N/A</v>
      </c>
      <c r="OV186" s="138" t="e">
        <f t="shared" ca="1" si="691"/>
        <v>#DIV/0!</v>
      </c>
      <c r="OW186" s="138" t="e">
        <f t="shared" ca="1" si="666"/>
        <v>#DIV/0!</v>
      </c>
      <c r="OX186" s="138" t="e">
        <f t="shared" ca="1" si="667"/>
        <v>#DIV/0!</v>
      </c>
      <c r="OY186" s="138" t="e">
        <f t="shared" ca="1" si="668"/>
        <v>#DIV/0!</v>
      </c>
      <c r="OZ186" s="138" t="e">
        <f t="shared" ca="1" si="583"/>
        <v>#DIV/0!</v>
      </c>
      <c r="PA186" s="138" t="e">
        <f t="shared" ca="1" si="584"/>
        <v>#DIV/0!</v>
      </c>
      <c r="PB186" s="55">
        <f>IF(Control!$C$61="T", IF(Control!$C$65="F", IF($AH$6-Control!$C$60&lt;0,0,1), IF(365+$AH$6-Control!$C$60&lt;0,0,1)),0)</f>
        <v>0</v>
      </c>
      <c r="PC186" s="55">
        <f ca="1">IF(Control!$C$65="F", IF($AH$6-$HF186&lt;0,0,1), IF(365+$AH$6-$HF186&lt;0,0,1))</f>
        <v>1</v>
      </c>
      <c r="PD186" s="444">
        <f>Control!$C$118</f>
        <v>1500</v>
      </c>
      <c r="PE186" s="180" t="e">
        <f t="shared" ca="1" si="585"/>
        <v>#N/A</v>
      </c>
      <c r="PF186" s="445">
        <f t="shared" ca="1" si="669"/>
        <v>0.71612369323045078</v>
      </c>
      <c r="PT186" s="186"/>
      <c r="PU186" s="186"/>
      <c r="PV186" s="94"/>
      <c r="PW186" s="94"/>
      <c r="PX186" s="94"/>
      <c r="PY186" s="94"/>
      <c r="PZ186" s="94"/>
      <c r="QA186" s="94"/>
      <c r="QB186" s="94"/>
      <c r="QC186" s="94"/>
      <c r="QD186" s="94"/>
      <c r="QE186" s="94"/>
      <c r="QF186" s="94"/>
      <c r="QG186" s="94"/>
      <c r="QH186" s="94"/>
      <c r="QI186" s="94"/>
      <c r="QJ186" s="94"/>
      <c r="QK186" s="94"/>
      <c r="QL186" s="94"/>
      <c r="QM186" s="94"/>
      <c r="QN186" s="94"/>
      <c r="QO186" s="94"/>
      <c r="QP186" s="94"/>
    </row>
    <row r="187" spans="1:458" s="2" customFormat="1" x14ac:dyDescent="0.2">
      <c r="A187" s="395">
        <v>1</v>
      </c>
      <c r="B187" s="396">
        <v>7</v>
      </c>
      <c r="C187" s="387">
        <f ca="1">Weather_data!$B186</f>
        <v>0</v>
      </c>
      <c r="D187" s="388">
        <f ca="1">Weather_data!$F186</f>
        <v>0</v>
      </c>
      <c r="E187" s="388">
        <f ca="1">Weather_data!$E186</f>
        <v>0</v>
      </c>
      <c r="F187" s="388">
        <f t="shared" ca="1" si="586"/>
        <v>0</v>
      </c>
      <c r="G187" s="388">
        <f ca="1">AVERAGE($D187:$E187)+Control!$B$9</f>
        <v>0</v>
      </c>
      <c r="H187" s="388">
        <f ca="1">Weather_data!$G186</f>
        <v>0</v>
      </c>
      <c r="I187" s="388">
        <f ca="1">Weather_data!$I186</f>
        <v>0</v>
      </c>
      <c r="J187" s="388">
        <f ca="1">Weather_data!$H186</f>
        <v>0</v>
      </c>
      <c r="K187" s="389">
        <f ca="1">Weather_data!$D186</f>
        <v>0</v>
      </c>
      <c r="L187" s="388" t="e">
        <f t="shared" ca="1" si="587"/>
        <v>#N/A</v>
      </c>
      <c r="M187" s="388" t="e">
        <f t="shared" ca="1" si="465"/>
        <v>#N/A</v>
      </c>
      <c r="N187" s="388">
        <f t="shared" ca="1" si="466"/>
        <v>-2.6113447598854772E-9</v>
      </c>
      <c r="O187" s="388">
        <f t="shared" ca="1" si="588"/>
        <v>2.6113447598854772E-8</v>
      </c>
      <c r="P187" s="390">
        <v>3</v>
      </c>
      <c r="Q187" s="388">
        <f ca="1">MAX($G187-Control!$C$107,0)</f>
        <v>0</v>
      </c>
      <c r="R187" s="388">
        <f t="shared" ca="1" si="589"/>
        <v>0</v>
      </c>
      <c r="S187" s="388">
        <f t="shared" ca="1" si="467"/>
        <v>0</v>
      </c>
      <c r="T187" s="388">
        <f t="shared" ca="1" si="468"/>
        <v>0</v>
      </c>
      <c r="U187" s="59">
        <f t="shared" ca="1" si="469"/>
        <v>0</v>
      </c>
      <c r="V187" s="391">
        <f ca="1">MAX(0,MIN(Control!$C$100-Control!$C$99,$G187-Control!$C$99)*Control!$C$63)</f>
        <v>0</v>
      </c>
      <c r="W187" s="388">
        <f t="shared" ca="1" si="590"/>
        <v>0</v>
      </c>
      <c r="X187" s="388">
        <f t="shared" ca="1" si="591"/>
        <v>0.6110000000000001</v>
      </c>
      <c r="Y187" s="388">
        <f t="shared" ca="1" si="470"/>
        <v>0</v>
      </c>
      <c r="Z187" s="388">
        <f t="shared" ca="1" si="592"/>
        <v>0.61058800000000002</v>
      </c>
      <c r="AA187" s="388">
        <f t="shared" ca="1" si="471"/>
        <v>0.6018</v>
      </c>
      <c r="AB187" s="388">
        <f ca="1">101.3*EXP(-0.034*Control!$C$66/($G187+273))</f>
        <v>100.69623283836242</v>
      </c>
      <c r="AC187" s="392">
        <f t="shared" ca="1" si="472"/>
        <v>4.3460251046025113E-2</v>
      </c>
      <c r="AD187" s="392">
        <f t="shared" ca="1" si="473"/>
        <v>4.4450382862832649E-2</v>
      </c>
      <c r="AE187" s="388">
        <f t="shared" ca="1" si="474"/>
        <v>0</v>
      </c>
      <c r="AF187" s="388">
        <f ca="1">MAX(0,$G187-Control!$C$92)</f>
        <v>0</v>
      </c>
      <c r="AG187" s="393">
        <f t="shared" ca="1" si="475"/>
        <v>183</v>
      </c>
      <c r="AH187" s="389">
        <f t="shared" ca="1" si="476"/>
        <v>183</v>
      </c>
      <c r="AI187" s="388">
        <f t="shared" ca="1" si="593"/>
        <v>0.40222428014056721</v>
      </c>
      <c r="AJ187" s="388">
        <f ca="1">IF(Control!$C$60&lt;=0,$HH187,$HI187)</f>
        <v>1</v>
      </c>
      <c r="AK187" s="388">
        <f t="shared" ca="1" si="477"/>
        <v>1.773063251067116</v>
      </c>
      <c r="AL187" s="388">
        <f t="shared" ca="1" si="478"/>
        <v>-5.5903979362392775E-18</v>
      </c>
      <c r="AM187" s="388">
        <f t="shared" ca="1" si="479"/>
        <v>1.773063251067116</v>
      </c>
      <c r="AN187" s="388">
        <f t="shared" ca="1" si="480"/>
        <v>0.40029531292084064</v>
      </c>
      <c r="AO187" s="388">
        <f ca="1">-0.10453/COS(Control!$B$8*PI()/180)*COS(AN187)</f>
        <v>-0.15636268369096931</v>
      </c>
      <c r="AP187" s="388">
        <f ca="1">ACOS(AO187-TAN(Control!$B$8*PI()/180)*TAN(AN187))</f>
        <v>2.3433397437376193</v>
      </c>
      <c r="AQ187" s="388">
        <f t="shared" ca="1" si="594"/>
        <v>0</v>
      </c>
      <c r="AR187" s="394">
        <f t="shared" ca="1" si="481"/>
        <v>0</v>
      </c>
      <c r="AS187" s="436">
        <f ca="1">IF(Control!$B$18=2,(IF(OR($AH187=Control!$B$175,$AH187=Control!$B$176,$AH187=Control!$B$177,$AH187=Control!$B$178,$AH187=Control!$B$179,$AH187=Control!$B$180,$AH187=Control!$B$181,$AH187=Control!$B$182,$AH187=Control!$B$183,$AH187=Control!$B$184,$AH187=Control!$B$185),1,0)),0)</f>
        <v>0</v>
      </c>
      <c r="AT187" s="436">
        <f>IF(Control!$B$20=8,IF(AND($AH187&gt;=Control!$B$172,$AH187&lt;=Control!$B$173),1,0),0)</f>
        <v>0</v>
      </c>
      <c r="AU187" s="436">
        <f>IF(Control!$B$20=8,IF($AV186=1,1*$AT187,IF($AT187=1,$AU186+1,$AU186)),0)</f>
        <v>0</v>
      </c>
      <c r="AV187" s="436">
        <f>IF(Control!$B$20=8,IF($AU187&gt;=Control!$B$174,1,0),0)</f>
        <v>0</v>
      </c>
      <c r="AW187" s="436">
        <f ca="1">IF(AND(Control!$B$18=2,Control!$B$171=1), $AV187, $AS187)</f>
        <v>0</v>
      </c>
      <c r="AX187" s="436" t="e">
        <f ca="1">IF(AND(Control!$B$18=1,$EU187&gt;=Control!$B$19),-$AY187,IF(AND(Control!$B$18=2,$AW187=1,$EU187&gt;$DS187),-$AY187, IF(Control!$C$108=0,0, IF(Control!$C$108&lt;&gt;0,1))))</f>
        <v>#N/A</v>
      </c>
      <c r="AY187" s="436" t="e">
        <f t="shared" ca="1" si="595"/>
        <v>#N/A</v>
      </c>
      <c r="AZ187" s="436" t="e">
        <f ca="1">IF(AND(Control!$B$18=1,$EB187&gt;Control!$B$19),$AZ186+1, IF(AND(Control!$B$18=2, $AW187=1, $EB187&gt;$DS187), $AZ186+1,$AZ186))</f>
        <v>#N/A</v>
      </c>
      <c r="BA187" s="587">
        <f>IF(Control!$C$81=0,1,IF($AH187&gt;=Control!$C$82,1,0))</f>
        <v>1</v>
      </c>
      <c r="BB187" s="140" t="e">
        <f ca="1">IF($BA187&gt;$BA186,Control!$C$83,IF($AW187&gt;0,$AW187*Control!$C$84,IF(AND(Control!$B$18=1,EN186&lt;&gt;0),Control!$C$84,0)))</f>
        <v>#N/A</v>
      </c>
      <c r="BC187" s="140" t="e">
        <f t="shared" ca="1" si="596"/>
        <v>#N/A</v>
      </c>
      <c r="BD187" s="140" t="e">
        <f ca="1">BC187*IF(OR($G187&lt;Control!$C$92,$G187&gt;Control!$C$95),0,IF(AND($G187&gt;=Control!$C$92,$G187&lt;=Control!$C$93),$G187-Control!$C$92,IF(AND($G187&gt;Control!$C$93,$G187&lt;=Control!$C$94),Control!$C$93-Control!$C$92,IF(AND($G187&gt;Control!$C$94,$G187&lt;=Control!$C$95),(Control!$C$93-Control!$C$92)*(Control!$C$94-$G187)/(Control!$C$95-Control!$C$94)))))</f>
        <v>#N/A</v>
      </c>
      <c r="BE187" s="140" t="e">
        <f t="shared" ca="1" si="597"/>
        <v>#N/A</v>
      </c>
      <c r="BF187" s="140" t="e">
        <f ca="1">IF($BE187&lt;=Control!$C$86,$BE187,Control!$C$86-$BE187)</f>
        <v>#N/A</v>
      </c>
      <c r="BG187" s="140" t="e">
        <f ca="1">IF(AND($AW187=1,Control!$C$84&lt;9),1,IF($BE187&gt;=Control!$C$86,0,$BC187))</f>
        <v>#N/A</v>
      </c>
      <c r="BH187" s="404" t="e">
        <f ca="1">IF($BG187=0,0,IF($BE187&lt;=Control!$C$86,$BC187*9*($BF187/Control!$C$86),0))</f>
        <v>#N/A</v>
      </c>
      <c r="BI187" s="140" t="e">
        <f ca="1">IF($BG187=1,0,IF($BE187&gt;=Control!$C$86,1,IF(AND($BB187&lt;21,$BB187&gt;=9),1,$BM186)))</f>
        <v>#N/A</v>
      </c>
      <c r="BJ187" s="140" t="e">
        <f ca="1">IF($BF187&lt;0,-$BF187,$BI187*IF(OR($G187&lt;Control!$C$92,$G187&gt;Control!$C$95),0,IF(AND($G187&gt;=Control!$C$92,$G187&lt;=Control!$C$93),$G187-Control!$C$92,IF(AND($G187&gt;Control!$C$93,$G187&lt;=Control!$C$94),Control!$C$93-Control!$C$92,IF(AND($G187&gt;Control!$C$94,$G187&lt;=Control!$C$95),(Control!$C$93-Control!$C$92)*(Control!$C$94-$G187)/(Control!$C$95-Control!$C$94))))))</f>
        <v>#N/A</v>
      </c>
      <c r="BK187" s="140" t="e">
        <f t="shared" ca="1" si="598"/>
        <v>#N/A</v>
      </c>
      <c r="BL187" s="140" t="e">
        <f ca="1">IF($BK187&lt;=Control!$C$87,$BK187,Control!$C$87-$BK187)</f>
        <v>#N/A</v>
      </c>
      <c r="BM187" s="140" t="e">
        <f ca="1">IF(AND($BB187&gt;=9,$BB187&lt;21),1,IF($BK187&gt;=Control!$C$87,0,$BI187))</f>
        <v>#N/A</v>
      </c>
      <c r="BN187" s="404" t="e">
        <f ca="1">IF($BM187=0,0,IF($BK187&lt;=Control!$C$87,$BI187*(9+(21-9)*($BL187/Control!$C$87)),0))</f>
        <v>#N/A</v>
      </c>
      <c r="BO187" s="140" t="e">
        <f ca="1">IF($BM187=1,0,IF($BK187&gt;=Control!$C$87,1,IF(AND($BB187&lt;30,$BB187&gt;=21),1,$BS186)))</f>
        <v>#N/A</v>
      </c>
      <c r="BP187" s="140" t="e">
        <f ca="1">IF($BL187&lt;0,-$BL187,$BO187*IF(OR($G187&lt;Control!$C$92,$G187&gt;Control!$C$95),0,IF(AND($G187&gt;=Control!$C$92,$G187&lt;=Control!$C$93),$G187-Control!$C$92,IF(AND($G187&gt;Control!$C$93,$G187&lt;=Control!$C$94),Control!$C$93-Control!$C$92,IF(AND($G187&gt;Control!$C$94,$G187&lt;=Control!$C$95),(Control!$C$93-Control!$C$92)*(Control!$C$94-$G187)/(Control!$C$95-Control!$C$94))))))</f>
        <v>#N/A</v>
      </c>
      <c r="BQ187" s="140" t="e">
        <f t="shared" ca="1" si="482"/>
        <v>#N/A</v>
      </c>
      <c r="BR187" s="140" t="e">
        <f ca="1">IF($BQ187&lt;=Control!$C$88,$BQ187,Control!$C$88-$BQ187)</f>
        <v>#N/A</v>
      </c>
      <c r="BS187" s="140" t="e">
        <f ca="1">IF(AND($BB187&gt;=21,$BB187&lt;30),1,IF($BQ187&gt;=Control!$C$88,0,$BO187))</f>
        <v>#N/A</v>
      </c>
      <c r="BT187" s="404" t="e">
        <f ca="1">IF($BS187=0,0,IF($BQ187&lt;=Control!$C$88,$BO187*(21+(30-21)*(BR187/Control!$C$88)),0))</f>
        <v>#N/A</v>
      </c>
      <c r="BU187" s="140" t="e">
        <f ca="1">IF(BG187+BM187+BS187=1,0,IF(OR(AND($BB187&lt;60,$BB187&gt;=30),$BQ187&gt;=Control!$C$88),1*$BA187,$BY186))</f>
        <v>#N/A</v>
      </c>
      <c r="BV187" s="140" t="e">
        <f ca="1">IF($BR187&lt;0,-$BR187,$BU187*IF(OR($G187&lt;Control!$C$92,$G187&gt;Control!$C$95),0,IF(AND($G187&gt;=Control!$C$92,$G187&lt;=Control!$C$93),$G187-Control!$C$92,IF(AND($G187&gt;Control!$C$93,$G187&lt;=Control!$C$94),Control!$C$93-Control!$C$92,IF(AND($G187&gt;Control!$C$94,$G187&lt;=Control!$C$95),(Control!$C$93-Control!$C$92)*(Control!$C$94-$G187)/(Control!$C$95-Control!$C$94))))))</f>
        <v>#N/A</v>
      </c>
      <c r="BW187" s="140" t="e">
        <f t="shared" ca="1" si="483"/>
        <v>#N/A</v>
      </c>
      <c r="BX187" s="140" t="e">
        <f ca="1">IF($BW187&lt;=Control!$C$89,$BW187,Control!$C$89-$BW187)</f>
        <v>#N/A</v>
      </c>
      <c r="BY187" s="140" t="e">
        <f ca="1">IF(AND($AJ187&gt;=30,$AJ187&lt;60),1,IF($BW187&gt;=Control!$C$89,0,$BU187))</f>
        <v>#N/A</v>
      </c>
      <c r="BZ187" s="404" t="e">
        <f ca="1">IF($BY187=0,0,IF($BW187&lt;=Control!$C$89,$BU187*(30+(60-30)*(BX187/Control!$C$89)),0))</f>
        <v>#N/A</v>
      </c>
      <c r="CA187" s="140" t="e">
        <f ca="1">IF($BG187+$BM187+$BS187+$BY187=1,0,IF(OR(AND($BB187&lt;65,$BB187&gt;=60),$BW187&gt;=Control!$C$89),1*$BA187,$CE186))</f>
        <v>#N/A</v>
      </c>
      <c r="CB187" s="140" t="e">
        <f ca="1">IF($BX187&lt;0,-$BX187,$CA187*IF(OR($G187&lt;Control!$C$92,$G187&gt;Control!$C$95),0,IF(AND($G187&gt;=Control!$C$92,$G187&lt;=Control!$C$93),$G187-Control!$C$92,IF(AND($G187&gt;Control!$C$93,$G187&lt;=Control!$C$94),Control!$C$93-Control!$C$92,IF(AND($G187&gt;Control!$C$94,$G187&lt;=Control!$C$95),(Control!$C$93-Control!$C$92)*(Control!$C$94-$G187)/(Control!$C$95-Control!$C$94))))))</f>
        <v>#N/A</v>
      </c>
      <c r="CC187" s="140" t="e">
        <f t="shared" ca="1" si="599"/>
        <v>#N/A</v>
      </c>
      <c r="CD187" s="140" t="e">
        <f ca="1">IF($CC187&lt;=Control!$C$90,$CC187,Control!$C$90-$CC187)</f>
        <v>#N/A</v>
      </c>
      <c r="CE187" s="140" t="e">
        <f ca="1">IF(AND($BB187&gt;=60,$BB187&lt;65),1,IF($CC187&gt;=Control!$C$90,0,$CA187))</f>
        <v>#N/A</v>
      </c>
      <c r="CF187" s="404" t="e">
        <f ca="1">IF($CE187=0,0,IF($CC187&lt;=Control!$C$90,$CA187*(60+(65-60)*(CD187/Control!$C$90)),0))</f>
        <v>#N/A</v>
      </c>
      <c r="CG187" s="140" t="e">
        <f ca="1">IF($BG187+$BM187+$BS187+$BY187+$CE187=1,0,IF(OR(AND($BB187&lt;90,$BB187&gt;=65),$CC187&gt;=Control!$C$90),$BA187,$CK186))</f>
        <v>#N/A</v>
      </c>
      <c r="CH187" s="140" t="e">
        <f ca="1">IF($CD187&lt;0,-$CD187,$CG187*IF(OR($G187&lt;Control!$C$92,$G187&gt;Control!$C$95),0,IF(AND($G187&gt;=Control!$C$92,$G187&lt;=Control!$C$93),$G187-Control!$C$92,IF(AND($G187&gt;Control!$C$93,$G187&lt;=Control!$C$94),Control!$C$93-Control!$C$92,IF(AND($G187&gt;Control!$C$94,$G187&lt;=Control!$C$95),(Control!$C$93-Control!$C$92)*(Control!$C$94-$G187)/(Control!$C$95-Control!$C$94))))))</f>
        <v>#N/A</v>
      </c>
      <c r="CI187" s="140" t="e">
        <f t="shared" ca="1" si="600"/>
        <v>#N/A</v>
      </c>
      <c r="CJ187" s="140" t="e">
        <f ca="1">IF($CI187&lt;=Control!$C$91,$CI187,Control!$C$91-$CI187)</f>
        <v>#N/A</v>
      </c>
      <c r="CK187" s="140" t="e">
        <f ca="1">IF(AND($BB187&gt;=65,$BB187&lt;90),1,IF($CI187&gt;=Control!$C$91,0,$CG187))</f>
        <v>#N/A</v>
      </c>
      <c r="CL187" s="404" t="e">
        <f ca="1">IF($CK187=0,0,IF($CI187&lt;=Control!$C$91,$CG187*(65+(90-65)*($CJ187/Control!$C$91)),0))</f>
        <v>#N/A</v>
      </c>
      <c r="CM187" s="140" t="e">
        <f ca="1">IF($BG187+$BM187+$BS187+$BY187+$CE187+$CK187=1,0,IF(OR($BB187&gt;=90,$CI187&gt;=Control!$C$91),$BA187,$CM186))</f>
        <v>#N/A</v>
      </c>
      <c r="CN187" s="140" t="e">
        <f t="shared" ca="1" si="601"/>
        <v>#N/A</v>
      </c>
      <c r="CO187" s="140" t="e">
        <f t="shared" ca="1" si="602"/>
        <v>#N/A</v>
      </c>
      <c r="CP187" s="140" t="e">
        <f t="shared" ca="1" si="603"/>
        <v>#N/A</v>
      </c>
      <c r="CQ187" s="141" t="e">
        <f ca="1">VLOOKUP($CP187,Control!$B$86:$G$91,6)</f>
        <v>#N/A</v>
      </c>
      <c r="CR187" s="141" t="e">
        <f ca="1">(1-$CQ187)*VLOOKUP($CP187,Control!$B$86:$D$91,3)</f>
        <v>#N/A</v>
      </c>
      <c r="CS187" s="141" t="e">
        <f ca="1">(1-$CQ187)*VLOOKUP($CP187,Control!$B$86:$E$91,4)</f>
        <v>#N/A</v>
      </c>
      <c r="CT187" s="141" t="e">
        <f ca="1">(1-$CQ187)*VLOOKUP($CP187,Control!$B$86:$F$91,5)</f>
        <v>#N/A</v>
      </c>
      <c r="CU187" s="141">
        <f t="shared" ca="1" si="604"/>
        <v>0</v>
      </c>
      <c r="CV187" s="583">
        <f t="shared" ca="1" si="605"/>
        <v>0</v>
      </c>
      <c r="CW187" s="142">
        <f t="shared" ca="1" si="606"/>
        <v>183</v>
      </c>
      <c r="CX187" s="612" t="e">
        <f ca="1">IF(Control!$C$114=1,(MIN(Control!$C$120*(IF($NT187-0.01&lt;0,0,1)),Control!$C$119-$CY187)))</f>
        <v>#DIV/0!</v>
      </c>
      <c r="CY187" s="143" t="e">
        <f t="shared" ca="1" si="607"/>
        <v>#N/A</v>
      </c>
      <c r="CZ187" s="144">
        <f t="shared" ca="1" si="484"/>
        <v>0</v>
      </c>
      <c r="DA187" s="144">
        <f t="shared" ca="1" si="485"/>
        <v>0</v>
      </c>
      <c r="DB187" s="144" t="e">
        <f t="shared" ca="1" si="486"/>
        <v>#N/A</v>
      </c>
      <c r="DC187" s="144" t="e">
        <f t="shared" ca="1" si="487"/>
        <v>#N/A</v>
      </c>
      <c r="DD187" s="144" t="e">
        <f t="shared" ca="1" si="692"/>
        <v>#N/A</v>
      </c>
      <c r="DE187" s="143" t="e">
        <f t="shared" ca="1" si="608"/>
        <v>#N/A</v>
      </c>
      <c r="DF187" s="145" t="e">
        <f ca="1">$DR187*EXP(-Control!$C$158*(1-$KH187))</f>
        <v>#N/A</v>
      </c>
      <c r="DG187" s="146" t="e">
        <f ca="1">IF(Control!$C$114=1, $DF187*$EY187, 0)</f>
        <v>#N/A</v>
      </c>
      <c r="DH187" s="147" t="e">
        <f t="shared" ca="1" si="609"/>
        <v>#N/A</v>
      </c>
      <c r="DI187" s="144" t="e">
        <f t="shared" ca="1" si="670"/>
        <v>#N/A</v>
      </c>
      <c r="DJ187" s="147" t="e">
        <f ca="1">$EF187*Control!$C$109</f>
        <v>#N/A</v>
      </c>
      <c r="DK187" s="144" t="e">
        <f t="shared" ca="1" si="610"/>
        <v>#N/A</v>
      </c>
      <c r="DL187" s="144" t="e">
        <f t="shared" ca="1" si="488"/>
        <v>#N/A</v>
      </c>
      <c r="DM187" s="144" t="e">
        <f ca="1">IF(Control!$C$114=1, (1-EXP(-Control!$C$96*$DK187))*$AR187, 0)</f>
        <v>#N/A</v>
      </c>
      <c r="DN187" s="144">
        <f t="shared" ca="1" si="611"/>
        <v>0</v>
      </c>
      <c r="DO187" s="148">
        <f>Control!$C$97</f>
        <v>4</v>
      </c>
      <c r="DP187" s="145" t="e">
        <f t="shared" ca="1" si="612"/>
        <v>#N/A</v>
      </c>
      <c r="DQ187" s="145" t="e">
        <f ca="1">IF(AND($CP187&gt;=0,$CP187&lt;=90),Control!$C$111,Control!$C$111)</f>
        <v>#N/A</v>
      </c>
      <c r="DR187" s="145" t="e">
        <f t="shared" ca="1" si="489"/>
        <v>#N/A</v>
      </c>
      <c r="DS187" s="143" t="e">
        <f ca="1">Control!$B$22/$DR187</f>
        <v>#N/A</v>
      </c>
      <c r="DT187" s="149" t="e">
        <f ca="1">IF(AND(Control!$C$114=1,$KH187&lt;1),$IM187*$DF187, 0)</f>
        <v>#N/A</v>
      </c>
      <c r="DU187" s="144" t="e">
        <f t="shared" ca="1" si="613"/>
        <v>#N/A</v>
      </c>
      <c r="DV187" s="144">
        <f ca="1">IF($G187-Control!$C$107&lt;=0, 0, 0.83*LN(MAX($G187, 3))-0.8924)</f>
        <v>0</v>
      </c>
      <c r="DW187" s="144" t="e">
        <f t="shared" ca="1" si="490"/>
        <v>#N/A</v>
      </c>
      <c r="DX187" s="150" t="e">
        <f ca="1">MAX(0.01*(1+$CU187/Control!$C$102),0.05*($DK187-Control!$C$97)/Control!$C$97)</f>
        <v>#N/A</v>
      </c>
      <c r="DY187" s="151" t="e">
        <f ca="1">IF(Control!$C$114=1, $DI187*$FS187, 0)</f>
        <v>#N/A</v>
      </c>
      <c r="DZ187" s="196" t="e">
        <f t="shared" ca="1" si="614"/>
        <v>#N/A</v>
      </c>
      <c r="EA187" s="152">
        <f t="shared" ca="1" si="615"/>
        <v>183</v>
      </c>
      <c r="EB187" s="153" t="e">
        <f t="shared" ca="1" si="616"/>
        <v>#N/A</v>
      </c>
      <c r="EC187" s="153" t="e">
        <f t="shared" ca="1" si="617"/>
        <v>#N/A</v>
      </c>
      <c r="ED187" s="154" t="e">
        <f ca="1">IF(Control!$C$114=1, $HM187*$FY187-$FD187, 0)</f>
        <v>#DIV/0!</v>
      </c>
      <c r="EE187" s="155" t="e">
        <f ca="1">IF(Control!$C$114=1, $HM187*$FZ187-$FF187, 0)</f>
        <v>#DIV/0!</v>
      </c>
      <c r="EF187" s="153" t="e">
        <f t="shared" ca="1" si="671"/>
        <v>#N/A</v>
      </c>
      <c r="EG187" s="155" t="e">
        <f ca="1">IF(Control!$C$114=1, $GX187*$FW187-$FI187, 0)</f>
        <v>#DIV/0!</v>
      </c>
      <c r="EH187" s="153" t="e">
        <f t="shared" ca="1" si="618"/>
        <v>#N/A</v>
      </c>
      <c r="EI187" s="156" t="e">
        <f t="shared" ca="1" si="619"/>
        <v>#N/A</v>
      </c>
      <c r="EJ187" s="155" t="e">
        <f ca="1">IF(Control!$C$114=1, $HM187*$GB187, 0)</f>
        <v>#DIV/0!</v>
      </c>
      <c r="EK187" s="153" t="e">
        <f t="shared" ca="1" si="672"/>
        <v>#N/A</v>
      </c>
      <c r="EL187" s="153" t="e">
        <f t="shared" ca="1" si="491"/>
        <v>#N/A</v>
      </c>
      <c r="EM187" s="153" t="e">
        <f t="shared" ca="1" si="492"/>
        <v>#N/A</v>
      </c>
      <c r="EN187" s="153" t="e">
        <f ca="1">IF(Control!$C$108=1,IF(AND(Control!$B$18=1,$EB187&gt;=Control!$B$19),$EB187-$DS187,IF(AND(Control!$B$18=2,$AW187=1,$EB187&gt;$DS187),$EB187-$DS187,0)))</f>
        <v>#N/A</v>
      </c>
      <c r="EO187" s="153" t="e">
        <f ca="1">IF(Control!$C$108=1,IF(AND(Control!$B$18=1,$EB187&gt;=Control!$B$19),$EF187,IF(AND(Control!$B$18=2,$AW187=1),$EF187,0)))</f>
        <v>#N/A</v>
      </c>
      <c r="EP187" s="153" t="e">
        <f ca="1">IF(Control!$C$108=1,IF(AND(Control!$B$18=1,$EB187&gt;=Control!$B$19),$EK187,IF(AND(Control!$B$18=2,$AW187=1),$EK187,0)))</f>
        <v>#N/A</v>
      </c>
      <c r="EQ187" s="153" t="e">
        <f t="shared" ca="1" si="620"/>
        <v>#N/A</v>
      </c>
      <c r="ER187" s="153" t="e">
        <f t="shared" ca="1" si="621"/>
        <v>#N/A</v>
      </c>
      <c r="ES187" s="153" t="e">
        <f t="shared" ca="1" si="673"/>
        <v>#N/A</v>
      </c>
      <c r="ET187" s="153" t="e">
        <f t="shared" ca="1" si="674"/>
        <v>#N/A</v>
      </c>
      <c r="EU187" s="153" t="e">
        <f t="shared" ca="1" si="622"/>
        <v>#N/A</v>
      </c>
      <c r="EV187" s="153" t="e">
        <f t="shared" ca="1" si="493"/>
        <v>#N/A</v>
      </c>
      <c r="EW187" s="153" t="e">
        <f t="shared" ca="1" si="494"/>
        <v>#N/A</v>
      </c>
      <c r="EX187" s="153" t="e">
        <f t="shared" ca="1" si="495"/>
        <v>#N/A</v>
      </c>
      <c r="EY187" s="157" t="e">
        <f t="shared" ca="1" si="496"/>
        <v>#DIV/0!</v>
      </c>
      <c r="EZ187" s="154" t="e">
        <f t="shared" ca="1" si="497"/>
        <v>#DIV/0!</v>
      </c>
      <c r="FA187" s="153" t="e">
        <f t="shared" ca="1" si="623"/>
        <v>#N/A</v>
      </c>
      <c r="FB187" s="153" t="e">
        <f t="shared" ca="1" si="498"/>
        <v>#N/A</v>
      </c>
      <c r="FC187" s="193" t="e">
        <f t="shared" ca="1" si="499"/>
        <v>#N/A</v>
      </c>
      <c r="FD187" s="158" t="e">
        <f t="shared" ca="1" si="624"/>
        <v>#N/A</v>
      </c>
      <c r="FE187" s="158" t="e">
        <f t="shared" ca="1" si="625"/>
        <v>#N/A</v>
      </c>
      <c r="FF187" s="159" t="e">
        <f t="shared" ca="1" si="500"/>
        <v>#N/A</v>
      </c>
      <c r="FG187" s="160" t="e">
        <f t="shared" ca="1" si="626"/>
        <v>#N/A</v>
      </c>
      <c r="FH187" s="158" t="e">
        <f t="shared" ca="1" si="627"/>
        <v>#N/A</v>
      </c>
      <c r="FI187" s="159" t="e">
        <f t="shared" ca="1" si="501"/>
        <v>#N/A</v>
      </c>
      <c r="FJ187" s="160" t="e">
        <f t="shared" ca="1" si="628"/>
        <v>#N/A</v>
      </c>
      <c r="FK187" s="160" t="e">
        <f t="shared" ca="1" si="502"/>
        <v>#N/A</v>
      </c>
      <c r="FL187" s="160" t="e">
        <f t="shared" ca="1" si="675"/>
        <v>#N/A</v>
      </c>
      <c r="FM187" s="160" t="e">
        <f t="shared" ca="1" si="503"/>
        <v>#N/A</v>
      </c>
      <c r="FN187" s="158">
        <f t="shared" ca="1" si="629"/>
        <v>0.01</v>
      </c>
      <c r="FO187" s="160">
        <f>Control!$C$101</f>
        <v>50</v>
      </c>
      <c r="FP187" s="150" t="e">
        <f t="shared" ca="1" si="504"/>
        <v>#N/A</v>
      </c>
      <c r="FQ187" s="150" t="e">
        <f ca="1">MAX(0,(Control!$C$112*(($DK187-Control!$C$97)/Control!$C$97)))</f>
        <v>#N/A</v>
      </c>
      <c r="FR187" s="150" t="e">
        <f ca="1">(1-$NT187)*Control!$C$113</f>
        <v>#DIV/0!</v>
      </c>
      <c r="FS187" s="198" t="e">
        <f t="shared" ca="1" si="505"/>
        <v>#N/A</v>
      </c>
      <c r="FT187" s="161">
        <f t="shared" ca="1" si="630"/>
        <v>183</v>
      </c>
      <c r="FU187" s="162" t="e">
        <f ca="1">IF(Control!$B$34=1,VLOOKUP($CP187,Control!$B$86:$G$91,6),Control!$B$35)</f>
        <v>#N/A</v>
      </c>
      <c r="FV187" s="162" t="e">
        <f t="shared" ca="1" si="506"/>
        <v>#DIV/0!</v>
      </c>
      <c r="FW187" s="162" t="e">
        <f ca="1">IF(Control!$B$31=1,$FU187*$FV187,  $FU187)</f>
        <v>#N/A</v>
      </c>
      <c r="FX187" s="162" t="e">
        <f ca="1">IF(Control!$B$34=1,VLOOKUP($CP187,Control!$B$86:$G$91,3),Control!$B$36)</f>
        <v>#N/A</v>
      </c>
      <c r="FY187" s="162" t="e">
        <f t="shared" ca="1" si="507"/>
        <v>#N/A</v>
      </c>
      <c r="FZ187" s="162" t="e">
        <f ca="1">IF(Control!$B$34=1,VLOOKUP($CP187,Control!$B$86:$G$91,4),Control!$B$37)</f>
        <v>#N/A</v>
      </c>
      <c r="GA187" s="162" t="e">
        <f t="shared" ca="1" si="508"/>
        <v>#N/A</v>
      </c>
      <c r="GB187" s="162" t="e">
        <f ca="1">IF(Control!$B$34=1,VLOOKUP($CP187,Control!$B$86:$G$91,5),Control!$B$38)</f>
        <v>#N/A</v>
      </c>
      <c r="GC187" s="162" t="e">
        <f t="shared" ca="1" si="631"/>
        <v>#N/A</v>
      </c>
      <c r="GD187" s="162">
        <f t="shared" ca="1" si="509"/>
        <v>1</v>
      </c>
      <c r="GE187" s="162">
        <f t="shared" ca="1" si="510"/>
        <v>1</v>
      </c>
      <c r="GF187" s="162">
        <f ca="1">IF(AND(Control!$C$104=1, Control!$C$62="F"),$GE187,1)</f>
        <v>1</v>
      </c>
      <c r="GG187" s="162" t="e">
        <f ca="1">IF(Control!$B$16=40,0,IF(AND(Control!$B$16&gt;40,Control!$B$16&lt;=360),(Control!$B$16-40)*((1-0)/(360-40)),IF(AND(Control!$B$16&gt;360,Control!$B$16&lt;=720),(1+(Control!$B$16-360)*((1.25-1)/(720-360))),IF(AND(Control!$B$16&gt;720,Control!$B$16&lt;=1000),(1.25+(Control!$B$16-720)*((1.35-1.25)/(1000-720))),IF(AND(Control!$B$16&gt;1000,Control!$B$16&lt;=2000),(1.35+(Control!$B$16-1000)*0))))))</f>
        <v>#N/A</v>
      </c>
      <c r="GH187" s="162" t="e">
        <f t="shared" ca="1" si="511"/>
        <v>#N/A</v>
      </c>
      <c r="GI187" s="162">
        <f t="shared" ca="1" si="632"/>
        <v>0</v>
      </c>
      <c r="GJ187" s="162">
        <f t="shared" ca="1" si="512"/>
        <v>0</v>
      </c>
      <c r="GK187" s="162">
        <f t="shared" ca="1" si="633"/>
        <v>1</v>
      </c>
      <c r="GL187" s="162">
        <f t="shared" ca="1" si="513"/>
        <v>1</v>
      </c>
      <c r="GM187" s="162" t="e">
        <f ca="1">MAX(0,MIN(1,1-Control!$C$156*(1.0001-$KH187)^2))</f>
        <v>#N/A</v>
      </c>
      <c r="GN187" s="162" t="e">
        <f ca="1">IF(Control!$B$26=1,$KU187,$KX187)</f>
        <v>#N/A</v>
      </c>
      <c r="GO187" s="162" t="e">
        <f ca="1">IF($CP187&lt;=60,Control!$C$105,IF($CP187&gt;=90,Control!$C$106,Control!$C$105+($CP187-60)*((Control!$C$106-Control!$C$105)/(90-60))))</f>
        <v>#N/A</v>
      </c>
      <c r="GP187" s="162" t="e">
        <f t="shared" ca="1" si="514"/>
        <v>#N/A</v>
      </c>
      <c r="GQ187" s="162" t="e">
        <f t="shared" ca="1" si="634"/>
        <v>#N/A</v>
      </c>
      <c r="GR187" s="163" t="e">
        <f t="shared" ca="1" si="515"/>
        <v>#DIV/0!</v>
      </c>
      <c r="GS187" s="162" t="e">
        <f t="shared" ca="1" si="516"/>
        <v>#DIV/0!</v>
      </c>
      <c r="GT187" s="164" t="e">
        <f t="shared" ca="1" si="635"/>
        <v>#N/A</v>
      </c>
      <c r="GU187" s="162" t="e">
        <f t="shared" ca="1" si="636"/>
        <v>#N/A</v>
      </c>
      <c r="GV187" s="162" t="e">
        <f t="shared" ca="1" si="517"/>
        <v>#N/A</v>
      </c>
      <c r="GW187" s="162" t="e">
        <f t="shared" ca="1" si="518"/>
        <v>#DIV/0!</v>
      </c>
      <c r="GX187" s="162" t="e">
        <f t="shared" ca="1" si="637"/>
        <v>#DIV/0!</v>
      </c>
      <c r="GY187" s="162" t="e">
        <f t="shared" ca="1" si="638"/>
        <v>#DIV/0!</v>
      </c>
      <c r="GZ187" s="165" t="e">
        <f t="shared" ca="1" si="519"/>
        <v>#N/A</v>
      </c>
      <c r="HA187" s="162" t="e">
        <f ca="1">IF(Control!$C$114=1, $DI187*$FS187, 0)</f>
        <v>#N/A</v>
      </c>
      <c r="HB187" s="162" t="e">
        <f ca="1">$FA187/Control!$C$64</f>
        <v>#N/A</v>
      </c>
      <c r="HC187" s="162" t="e">
        <f t="shared" ca="1" si="520"/>
        <v>#DIV/0!</v>
      </c>
      <c r="HD187" s="162">
        <f ca="1">-ASIN(SIN(23.45*Control!$C$139)*COS(2*Control!$C$138*($AH187+10)/365))</f>
        <v>0.40222428014056721</v>
      </c>
      <c r="HE187" s="165">
        <f t="shared" ca="1" si="639"/>
        <v>0</v>
      </c>
      <c r="HF187" s="166">
        <f ca="1">IF(AND(Control!$C$61="T",$HE187&gt;=Control!$C$103,Control!$C$114=0),$AH187,Control!$C$59)</f>
        <v>1</v>
      </c>
      <c r="HG187" s="166">
        <f ca="1">IF(AND(Control!$C$61="T",$HE187&gt;=Control!$C$103,Control!$C$114=0),$HF187,Control!$C$59)</f>
        <v>1</v>
      </c>
      <c r="HH187" s="165">
        <f ca="1">IF(AND(OR(Control!$C$60&lt;=0, $AH187= Control!$C$59, Control!$C$60 &gt;0, $AH187 = Control!$C$60)), Control!$C$59, IF(Control!$C$60&gt;0, 0))</f>
        <v>1</v>
      </c>
      <c r="HI187" s="165">
        <f ca="1">IF(AND(OR(Control!$C$60&lt;=0, $AH187= Control!$C$59, Control!$C$60 &gt;0, $AH187 = Control!$C$60)), Control!$C$60, IF(Control!$C$60&lt;=0, 0))</f>
        <v>0</v>
      </c>
      <c r="HJ187" s="166">
        <f ca="1">IF(AND(Control!$C$62="F",$CV187&gt;=Control!$C$102),$AH187,0)</f>
        <v>0</v>
      </c>
      <c r="HK187" s="165" t="e">
        <f t="shared" ca="1" si="676"/>
        <v>#N/A</v>
      </c>
      <c r="HL187" s="166">
        <f ca="1">IF(AND(Control!$C$61="T",$HE187&gt;=Control!$C$103,Control!$C$114=0),$HF187,0)</f>
        <v>0</v>
      </c>
      <c r="HM187" s="201" t="e">
        <f t="shared" ca="1" si="521"/>
        <v>#DIV/0!</v>
      </c>
      <c r="HN187" s="215">
        <f t="shared" ca="1" si="640"/>
        <v>183</v>
      </c>
      <c r="HO187" s="216" t="e">
        <f ca="1">IF(AND($CP187&gt;=0, $CP187&lt;=90), Control!$C$152, Control!$C$152)</f>
        <v>#N/A</v>
      </c>
      <c r="HP187" s="216" t="e">
        <f t="shared" ca="1" si="522"/>
        <v>#N/A</v>
      </c>
      <c r="HQ187" s="217" t="e">
        <f ca="1">IF(OR(Control!$B$26=1,Control!$B$26=2),$KV187,$KS187)</f>
        <v>#DIV/0!</v>
      </c>
      <c r="HR187" s="218" t="e">
        <f t="shared" ca="1" si="677"/>
        <v>#DIV/0!</v>
      </c>
      <c r="HS187" s="216" t="e">
        <f ca="1">Control!$C$154*$HP187</f>
        <v>#N/A</v>
      </c>
      <c r="HT187" s="216" t="e">
        <f ca="1">Control!$C$155*$HP187</f>
        <v>#N/A</v>
      </c>
      <c r="HU187" s="217" t="e">
        <f ca="1">Control!$C$161*$FI187</f>
        <v>#N/A</v>
      </c>
      <c r="HV187" s="218" t="e">
        <f t="shared" ca="1" si="641"/>
        <v>#N/A</v>
      </c>
      <c r="HW187" s="218" t="e">
        <f ca="1">Control!$C$160*$FF187+$IP187*$EO187</f>
        <v>#N/A</v>
      </c>
      <c r="HX187" s="218" t="e">
        <f t="shared" ca="1" si="678"/>
        <v>#N/A</v>
      </c>
      <c r="HY187" s="219" t="e">
        <f ca="1">IF(Control!$C$114=1, $EB187*$FS187, 0)</f>
        <v>#N/A</v>
      </c>
      <c r="HZ187" s="91" t="e">
        <f t="shared" ca="1" si="523"/>
        <v>#N/A</v>
      </c>
      <c r="IA187" s="220" t="e">
        <f ca="1">Control!$C$153*$HO187</f>
        <v>#N/A</v>
      </c>
      <c r="IB187" s="218" t="e">
        <f t="shared" ca="1" si="524"/>
        <v>#N/A</v>
      </c>
      <c r="IC187" s="220" t="e">
        <f ca="1">Control!$C$153*$HT187</f>
        <v>#N/A</v>
      </c>
      <c r="ID187" s="218" t="e">
        <f t="shared" ca="1" si="525"/>
        <v>#N/A</v>
      </c>
      <c r="IE187" s="221" t="e">
        <f ca="1">($EB187*Control!$C$159+$EF187*Control!$C$160)/(IF($GZ187&lt;&gt;0,$GZ187,1))</f>
        <v>#N/A</v>
      </c>
      <c r="IF187" s="216" t="e">
        <f t="shared" ca="1" si="526"/>
        <v>#N/A</v>
      </c>
      <c r="IG187" s="91">
        <f ca="1">IF(OR(Control!$B$198=$AH187,Control!$B$199=$AH187, Control!$B$200=$AH187, Control!$B$201=$AH187, Control!$B$202=$AH187, Control!$B$203=$AH187, Control!$B$204=$AH187, Control!$B$205=$AH187, Control!$B$206=$AH187, Control!$B$207=$AH187), 1, 0)</f>
        <v>0</v>
      </c>
      <c r="IH187" s="91">
        <f ca="1">IF($IG187=0,0, VLOOKUP($AH187,Control!$B$198:$C$207,2))</f>
        <v>0</v>
      </c>
      <c r="II187" s="222">
        <f t="shared" ca="1" si="642"/>
        <v>0</v>
      </c>
      <c r="IJ187" s="91">
        <f>Control!$C$121</f>
        <v>0.7</v>
      </c>
      <c r="IK187" s="218">
        <f t="shared" ca="1" si="527"/>
        <v>0</v>
      </c>
      <c r="IL187" s="217" t="e">
        <f t="shared" ca="1" si="679"/>
        <v>#N/A</v>
      </c>
      <c r="IM187" s="223" t="e">
        <f ca="1">IF(AND(Control!$C$114=1,$KH187&lt;1),$EB187*Control!$C$148*(1-$KH187), 0)</f>
        <v>#N/A</v>
      </c>
      <c r="IN187" s="217" t="e">
        <f t="shared" ca="1" si="528"/>
        <v>#DIV/0!</v>
      </c>
      <c r="IO187" s="91" t="e">
        <f ca="1">MAX(0,$IL187-$EF187*Control!$C$160)</f>
        <v>#N/A</v>
      </c>
      <c r="IP187" s="220" t="e">
        <f t="shared" ca="1" si="529"/>
        <v>#N/A</v>
      </c>
      <c r="IQ187" s="217" t="e">
        <f t="shared" ca="1" si="643"/>
        <v>#N/A</v>
      </c>
      <c r="IR187" s="218" t="e">
        <f t="shared" ca="1" si="530"/>
        <v>#N/A</v>
      </c>
      <c r="IS187" s="217" t="e">
        <f ca="1">Control!$C$159*MAX(0,$FD187-$EN187)</f>
        <v>#N/A</v>
      </c>
      <c r="IT187" s="217" t="e">
        <f t="shared" ca="1" si="680"/>
        <v>#N/A</v>
      </c>
      <c r="IU187" s="217" t="e">
        <f t="shared" ca="1" si="644"/>
        <v>#N/A</v>
      </c>
      <c r="IV187" s="217" t="e">
        <f t="shared" ca="1" si="681"/>
        <v>#N/A</v>
      </c>
      <c r="IW187" s="217" t="e">
        <f ca="1">IF(OR($AW187=1,AND($AW187=0, Control!$B$18=1,$EN187&lt;&gt;0)), $IQ187-$IU187, $IQ187)</f>
        <v>#N/A</v>
      </c>
      <c r="IX187" s="218" t="e">
        <f t="shared" ca="1" si="531"/>
        <v>#N/A</v>
      </c>
      <c r="IY187" s="218" t="e">
        <f ca="1">MAX(0,$IQ187-$EB187*Control!$C$159)</f>
        <v>#N/A</v>
      </c>
      <c r="IZ187" s="218" t="e">
        <f t="shared" ca="1" si="532"/>
        <v>#N/A</v>
      </c>
      <c r="JA187" s="216" t="e">
        <f t="shared" ca="1" si="533"/>
        <v>#N/A</v>
      </c>
      <c r="JB187" s="217" t="e">
        <f t="shared" ca="1" si="534"/>
        <v>#N/A</v>
      </c>
      <c r="JC187" s="222" t="e">
        <f ca="1">MAX(Control!$C$157*$EK187-$JT187, 0)/Control!$C$162</f>
        <v>#N/A</v>
      </c>
      <c r="JD187" s="218" t="e">
        <f t="shared" ca="1" si="535"/>
        <v>#N/A</v>
      </c>
      <c r="JE187" s="218" t="e">
        <f t="shared" ca="1" si="536"/>
        <v>#N/A</v>
      </c>
      <c r="JF187" s="218" t="e">
        <f t="shared" ca="1" si="645"/>
        <v>#N/A</v>
      </c>
      <c r="JG187" s="218" t="e">
        <f t="shared" ca="1" si="537"/>
        <v>#N/A</v>
      </c>
      <c r="JH187" s="217" t="e">
        <f t="shared" ca="1" si="646"/>
        <v>#N/A</v>
      </c>
      <c r="JI187" s="217" t="e">
        <f t="shared" ca="1" si="647"/>
        <v>#N/A</v>
      </c>
      <c r="JJ187" s="217" t="e">
        <f t="shared" ca="1" si="682"/>
        <v>#N/A</v>
      </c>
      <c r="JK187" s="217" t="e">
        <f ca="1">IF(Control!$C$114=1,IF(Control!$B$24=0,MAX(0,$JI187)*$GN187/Control!$C$64,(MAX(0,MIN($JI187,$JJ187*$GN187/Control!$C$64),0))))</f>
        <v>#N/A</v>
      </c>
      <c r="JL187" s="217" t="e">
        <f ca="1">$IK187/Control!$C$64-$JK187+$HQ187</f>
        <v>#N/A</v>
      </c>
      <c r="JM187" s="217" t="e">
        <f ca="1">IF(Control!$C$114=1,($JB187/(IF($JI187&lt;&gt;0,$JI187,1)))*$JK187,0)</f>
        <v>#N/A</v>
      </c>
      <c r="JN187" s="217" t="e">
        <f ca="1">IF(Control!$C$114=1,($JG187/(IF($JI187&lt;&gt;0,$JI187,1)))*$JK187, 0)</f>
        <v>#N/A</v>
      </c>
      <c r="JO187" s="218" t="e">
        <f t="shared" ca="1" si="538"/>
        <v>#N/A</v>
      </c>
      <c r="JP187" s="218" t="e">
        <f ca="1">MIN(($IY187+$IO187)*Control!$C$151, $JF187-$EH187*Control!$C$161)</f>
        <v>#N/A</v>
      </c>
      <c r="JQ187" s="218" t="e">
        <f t="shared" ca="1" si="539"/>
        <v>#N/A</v>
      </c>
      <c r="JR187" s="217" t="e">
        <f ca="1">IF($CP187-Control!$C$150&lt;0, 0, $JQ187/Control!$C$162)</f>
        <v>#N/A</v>
      </c>
      <c r="JS187" s="218" t="e">
        <f t="shared" ca="1" si="540"/>
        <v>#N/A</v>
      </c>
      <c r="JT187" s="218" t="e">
        <f t="shared" ca="1" si="648"/>
        <v>#N/A</v>
      </c>
      <c r="JU187" s="218" t="e">
        <f t="shared" ca="1" si="541"/>
        <v>#N/A</v>
      </c>
      <c r="JV187" s="218" t="e">
        <f t="shared" ca="1" si="542"/>
        <v>#N/A</v>
      </c>
      <c r="JW187" s="216" t="e">
        <f t="shared" ca="1" si="543"/>
        <v>#N/A</v>
      </c>
      <c r="JX187" s="91" t="e">
        <f t="shared" ca="1" si="544"/>
        <v>#N/A</v>
      </c>
      <c r="JY187" s="218" t="e">
        <f t="shared" ca="1" si="545"/>
        <v>#N/A</v>
      </c>
      <c r="JZ187" s="217" t="e">
        <f ca="1">IF(Control!$C$114=1,($IZ187/(IF($JI187&lt;&gt;0,$JI187,1)))*$JK187, 0)</f>
        <v>#N/A</v>
      </c>
      <c r="KA187" s="218" t="e">
        <f t="shared" ca="1" si="683"/>
        <v>#N/A</v>
      </c>
      <c r="KB187" s="218" t="e">
        <f t="shared" ca="1" si="649"/>
        <v>#N/A</v>
      </c>
      <c r="KC187" s="218" t="e">
        <f t="shared" ca="1" si="546"/>
        <v>#N/A</v>
      </c>
      <c r="KD187" s="218" t="e">
        <f t="shared" ca="1" si="547"/>
        <v>#N/A</v>
      </c>
      <c r="KE187" s="218" t="e">
        <f t="shared" ca="1" si="548"/>
        <v>#N/A</v>
      </c>
      <c r="KF187" s="218" t="e">
        <f t="shared" ca="1" si="549"/>
        <v>#N/A</v>
      </c>
      <c r="KG187" s="216" t="e">
        <f t="shared" ca="1" si="550"/>
        <v>#N/A</v>
      </c>
      <c r="KH187" s="221" t="e">
        <f ca="1">IF(Control!$B$24=0,1,MAX(0.001,MIN(1,IF(($IF187-$IE187)&lt;&gt;0,($KG187-$IE187)/($IF187-$IE187),1))))</f>
        <v>#N/A</v>
      </c>
      <c r="KI187" s="222" t="e">
        <f ca="1">IF(Control!$C$114=1, $KI186+ $KH186, 0)</f>
        <v>#N/A</v>
      </c>
      <c r="KJ187" s="217" t="e">
        <f t="shared" ca="1" si="551"/>
        <v>#N/A</v>
      </c>
      <c r="KK187" s="218" t="e">
        <f t="shared" ca="1" si="552"/>
        <v>#N/A</v>
      </c>
      <c r="KL187" s="274" t="e">
        <f ca="1">IF(Control!$B$26=3,4000000000*EXP(-8400/($G187+273)),IF(Control!$B$26=4,4000000000*EXP(-8400/($G187+273))*($KT187),0))</f>
        <v>#DIV/0!</v>
      </c>
      <c r="KM187" s="274" t="e">
        <f ca="1">IF(Control!$B$26=3,5600000000000*EXP(-9800/($G187+273)),IF(Control!$B$26=4,5600000000000*EXP(-9800/($G187+273))*$KT187,0))</f>
        <v>#DIV/0!</v>
      </c>
      <c r="KN187" s="454" t="e">
        <f t="shared" ca="1" si="650"/>
        <v>#DIV/0!</v>
      </c>
      <c r="KO187" s="274" t="e">
        <f t="shared" ca="1" si="651"/>
        <v>#DIV/0!</v>
      </c>
      <c r="KP187" s="454" t="e">
        <f t="shared" ca="1" si="553"/>
        <v>#DIV/0!</v>
      </c>
      <c r="KQ187" s="454" t="e">
        <f t="shared" ca="1" si="554"/>
        <v>#DIV/0!</v>
      </c>
      <c r="KR187" s="454" t="e">
        <f t="shared" ca="1" si="555"/>
        <v>#DIV/0!</v>
      </c>
      <c r="KS187" s="454" t="e">
        <f t="shared" ca="1" si="556"/>
        <v>#DIV/0!</v>
      </c>
      <c r="KT187" s="455" t="e">
        <f t="shared" ca="1" si="557"/>
        <v>#DIV/0!</v>
      </c>
      <c r="KU187" s="456" t="e">
        <f ca="1">IF($CP187-Control!$C$149&lt;0, IF($NT187-0.01&lt;0,0,1),0)</f>
        <v>#N/A</v>
      </c>
      <c r="KV187" s="456" t="e">
        <f ca="1">IF(Control!$C$114=1,MAX(0,MIN(Control!$C$125*$KW187*$GN187,$KW187)))</f>
        <v>#DIV/0!</v>
      </c>
      <c r="KW187" s="456" t="e">
        <f t="shared" ca="1" si="684"/>
        <v>#DIV/0!</v>
      </c>
      <c r="KX187" s="457" t="e">
        <f ca="1">IF($CP187-Control!$C$149&lt;0, IF($MR187-$OM187&lt;0,0,1),0)</f>
        <v>#N/A</v>
      </c>
      <c r="KY187" s="167">
        <f t="shared" ca="1" si="652"/>
        <v>183</v>
      </c>
      <c r="KZ187" s="168">
        <f ca="1">1370*(1+0.033*COS(2*Control!$C$138*$AH187/365))</f>
        <v>1324.7916774860644</v>
      </c>
      <c r="LA187" s="169">
        <f t="shared" ca="1" si="653"/>
        <v>0.96700122234916319</v>
      </c>
      <c r="LB187" s="169">
        <f t="shared" ca="1" si="654"/>
        <v>0.4016857417210748</v>
      </c>
      <c r="LC187" s="169">
        <f ca="1">ACOS(-TAN((2*Control!$B$8/360))*TAN(Calculations!$LB187))</f>
        <v>1.6973805664995252</v>
      </c>
      <c r="LD187" s="169">
        <f ca="1">((24*60)/PI())*0.082*$LA187*(($LC187*SIN(Control!$B$8*2*PI()/360))*SIN($LB187)+COS(Control!$B$8*2*PI()/360)*COS($LB187)*SIN($LC187))</f>
        <v>39.43756449767347</v>
      </c>
      <c r="LE187" s="170">
        <f t="shared" ca="1" si="558"/>
        <v>41.118259971435428</v>
      </c>
      <c r="LF187" s="170">
        <f ca="1">SIN(Control!$C$139*Control!$B$8)*SIN($HD187)</f>
        <v>0.30847998825831879</v>
      </c>
      <c r="LG187" s="170">
        <f ca="1">COS(Control!$C$139*Control!$B$8)*COS($HD187)</f>
        <v>0.56652555832477181</v>
      </c>
      <c r="LH187" s="170">
        <f ca="1">12*(1+2*ASIN(MAX(-1,MIN(1,$LF187/$LG187))/Control!$C$138))</f>
        <v>16.180869691914573</v>
      </c>
      <c r="LI187" s="170">
        <f ca="1">12*(1+2*ASIN(MAX(-1,MIN(1,(-SIN(-4*Control!$C$139)+$LF187)/$LG187))/Control!$C$138))</f>
        <v>17.139596008172308</v>
      </c>
      <c r="LJ187" s="168">
        <f ca="1">3600*($LH187*$LF187+24*$LG187*SQRT(1-$LK187*$LK187)/Control!$C$138)</f>
        <v>31037.528896212403</v>
      </c>
      <c r="LK187" s="170">
        <f t="shared" ca="1" si="559"/>
        <v>0.5445120413816823</v>
      </c>
      <c r="LL187" s="170">
        <f t="shared" ca="1" si="560"/>
        <v>0</v>
      </c>
      <c r="LM187" s="171">
        <f ca="1">Control!$C$145*$AB187</f>
        <v>6.6660906138995932E-2</v>
      </c>
      <c r="LN187" s="170">
        <f t="shared" ca="1" si="655"/>
        <v>0.54</v>
      </c>
      <c r="LO187" s="170">
        <f t="shared" ca="1" si="561"/>
        <v>0</v>
      </c>
      <c r="LP187" s="170">
        <f ca="1">Control!$C$140*((($D187+273.16)^4+($E187+273.16)^4)/2)*(0.34-0.14*SQRT($Y187))*(1.35*$AQ187/(0.75*$LD187)-0.35)</f>
        <v>-3.2464704755046001</v>
      </c>
      <c r="LQ187" s="170">
        <f ca="1">Control!$C$140*($G187+273)^4*(0.56-0.079*SQRT($Y187*10))*(0.1+0.9*$LO187)</f>
        <v>1.5241745131704001</v>
      </c>
      <c r="LR187" s="170">
        <f ca="1">$AQ187*(1-Control!$C$142)-$LQ187</f>
        <v>-1.5241745131704001</v>
      </c>
      <c r="LS187" s="170">
        <f ca="1">$AQ187*(1-Control!$C$143)-$LQ187</f>
        <v>-1.5241745131704001</v>
      </c>
      <c r="LT187" s="170">
        <f ca="1">$AQ187*(1-Control!$C$144)-$LQ187</f>
        <v>-1.5241745131704001</v>
      </c>
      <c r="LU187" s="169">
        <f ca="1">(1-Control!$C$144)*AQ187-LP187</f>
        <v>3.2464704755046001</v>
      </c>
      <c r="LV187" s="172">
        <f t="shared" ca="1" si="562"/>
        <v>0.79430000000000012</v>
      </c>
      <c r="LW187" s="170">
        <f t="shared" ca="1" si="563"/>
        <v>1.5886000000000002</v>
      </c>
      <c r="LX187" s="170">
        <f ca="1">($AC187*($LR187/Control!$C$141)+$LM187*$LV187)/($AC187+$LM187)</f>
        <v>0.23530094218323697</v>
      </c>
      <c r="LY187" s="170">
        <f ca="1">($AC187*($LS187/Control!$C$141)+$LM187*$LV187)/($AC187+$LM187)</f>
        <v>0.23530094218323697</v>
      </c>
      <c r="LZ187" s="170">
        <f t="shared" ca="1" si="564"/>
        <v>0.23530094218323697</v>
      </c>
      <c r="MA187" s="170">
        <f t="shared" ca="1" si="565"/>
        <v>0.23530094218323697</v>
      </c>
      <c r="MB187" s="170" t="e">
        <f t="shared" ca="1" si="566"/>
        <v>#N/A</v>
      </c>
      <c r="MC187" s="170">
        <f t="shared" ca="1" si="656"/>
        <v>0.6018</v>
      </c>
      <c r="MD187" s="170">
        <f t="shared" ca="1" si="567"/>
        <v>0.52989392535414004</v>
      </c>
      <c r="ME187" s="170">
        <f ca="1">($AC187*($LT187/Control!$C$141)+$LM187*$LW187)/($AC187+$LM187)</f>
        <v>0.71612369323045078</v>
      </c>
      <c r="MF187" s="170" t="e">
        <f ca="1">IF(Control!$B$16&gt;=1000,0.92,IF(AND(720&lt;=Control!$B$16,1000&gt;Control!$B$16),(0.95+(Control!$B$16-720)*((0.92-0.95)/(1000-720))),IF(AND(360&lt;=Control!$B$16,720&gt;Control!$B$16),(1+(Control!$B$16-360)*((0.95-1)/(720-360))),IF(AND(40&lt;=Control!$B$16,360&gt;Control!$B$16),(1.05+(Control!$B$16-40)*((1.05-1)/(360-40)))))))</f>
        <v>#N/A</v>
      </c>
      <c r="MG187" s="170">
        <f t="shared" ca="1" si="568"/>
        <v>0.71612369323045078</v>
      </c>
      <c r="MH187" s="170" t="e">
        <f t="shared" ca="1" si="695"/>
        <v>#N/A</v>
      </c>
      <c r="MI187" s="170" t="e">
        <f t="shared" ca="1" si="695"/>
        <v>#N/A</v>
      </c>
      <c r="MJ187" s="170" t="e">
        <f ca="1">MAX(0.0001, Control!$C$132*$MI187*$DL187)</f>
        <v>#N/A</v>
      </c>
      <c r="MK187" s="170">
        <f ca="1">1/(0.76+1.5*($MG187/10))-(5-Control!$C$110)*0.1</f>
        <v>1.002845988140797</v>
      </c>
      <c r="ML187" s="173">
        <f ca="1">IF(Control!$C$110&lt;3,$MK187+($MG187-0.6)/(Control!$C$110*(Control!$C$110+3)), MAX(0.1, MIN(0.95,$MK187)))</f>
        <v>0.95</v>
      </c>
      <c r="MM187" s="173">
        <f ca="1">IF(Control!$C$110&lt;3,$MK187+(($MI187/10)-0.6)/(Control!$C$110*(Control!$C$110+3)), MAX(0.1, MIN(0.95,$MK187)))</f>
        <v>0.95</v>
      </c>
      <c r="MN187" s="173">
        <f ca="1">(1-$MM187)*(Control!$C$128-Control!$C$127)+Control!$C$127</f>
        <v>0.16</v>
      </c>
      <c r="MO187" s="170" t="e">
        <f ca="1">MAX(0,MIN(1,($MS187-Control!$C$127)/($MN187-Control!$C$127)))</f>
        <v>#DIV/0!</v>
      </c>
      <c r="MP187" s="173" t="e">
        <f ca="1">1/(0.76+1.5*$MI187)-(5-Control!$C$110)*0.1</f>
        <v>#N/A</v>
      </c>
      <c r="MQ187" s="172" t="e">
        <f t="shared" ca="1" si="685"/>
        <v>#DIV/0!</v>
      </c>
      <c r="MR187" s="168" t="e">
        <f t="shared" ca="1" si="657"/>
        <v>#DIV/0!</v>
      </c>
      <c r="MS187" s="173" t="e">
        <f ca="1">MAX(Control!$C$127, MIN(Control!$C$135, $MR187/MAX(0.0001,$CY187)))</f>
        <v>#DIV/0!</v>
      </c>
      <c r="MT187" s="168" t="e">
        <f ca="1">(Control!$C$128-$MS187)*Control!$C$74</f>
        <v>#DIV/0!</v>
      </c>
      <c r="MU187" s="168" t="e">
        <f ca="1">(Control!$C$135-$MS187)*Control!$C$74</f>
        <v>#DIV/0!</v>
      </c>
      <c r="MV187" s="168" t="e">
        <f t="shared" ca="1" si="658"/>
        <v>#DIV/0!</v>
      </c>
      <c r="MW187" s="168" t="e">
        <f t="shared" ca="1" si="659"/>
        <v>#DIV/0!</v>
      </c>
      <c r="MX187" s="171" t="e">
        <f ca="1">MAX(Control!$C$127, MIN(Control!$C$135, $MW187/MAX(0.0001,Control!$C$119-$CY187)))</f>
        <v>#DIV/0!</v>
      </c>
      <c r="MY187" s="54" t="e">
        <f ca="1">IF(Control!$C$114=1, $CX187*$MX187, 0)</f>
        <v>#DIV/0!</v>
      </c>
      <c r="MZ187" s="54" t="e">
        <f t="shared" ca="1" si="660"/>
        <v>#N/A</v>
      </c>
      <c r="NA187" s="168" t="e">
        <f ca="1">(Control!$C$128-$MX187)*(Control!$C$119-Control!$C$74)</f>
        <v>#DIV/0!</v>
      </c>
      <c r="NB187" s="168" t="e">
        <f ca="1">(Control!$C$135-$MX187)*(Control!$C$119-Control!$C$74)</f>
        <v>#DIV/0!</v>
      </c>
      <c r="NC187" s="174" t="e">
        <f t="shared" ca="1" si="661"/>
        <v>#DIV/0!</v>
      </c>
      <c r="ND187" s="54">
        <f ca="1">IF(Control!$C$58=2, IF(OR(Control!$B$218=$AH187,Control!$B$219=$AH187, Control!$B$220=$AH187, Control!$B$221=$AH187, Control!$B$222=$AH187, Control!$B$223=$AH187, Control!$B$224=$AH187, Control!$B$225=$AH187, Control!$B$226=$AH187, Control!$B$227=$AH187, Control!$B$228=$AH187), 1, 0), 0)</f>
        <v>0</v>
      </c>
      <c r="NE187" s="54">
        <f ca="1">IF($ND187=0,0, VLOOKUP($AH187,Control!$B$218:$C$228,2))</f>
        <v>0</v>
      </c>
      <c r="NF187" s="168" t="e">
        <f ca="1">$CY187*(Control!$C$128-Control!$C$127)</f>
        <v>#N/A</v>
      </c>
      <c r="NG187" s="54" t="e">
        <f ca="1">IF(Control!$C$58=2, $NI186-$NJ186, 0)</f>
        <v>#DIV/0!</v>
      </c>
      <c r="NH187" s="54" t="e">
        <f ca="1">IF(AND(Control!$C$58=1, $MS186&lt;= ($MN186+0.02), $I186&lt;10), 0, IF(Control!$C$58=2, $NG186, 0))</f>
        <v>#DIV/0!</v>
      </c>
      <c r="NI187" s="54" t="e">
        <f ca="1">IF(Control!$C$58=2, $NE187+$NH187,0)</f>
        <v>#DIV/0!</v>
      </c>
      <c r="NJ187" s="54" t="e">
        <f ca="1">IF(AND(Control!$C$58=1, $MS187&lt;= ($MN187+0.02), $I187&lt;10), MAX(0, MIN(10, 0.7*($NF187-$MV187))), IF(Control!$C$58=2, MIN(10,$NI187),0))</f>
        <v>#DIV/0!</v>
      </c>
      <c r="NK187" s="54" t="e">
        <f t="shared" ca="1" si="569"/>
        <v>#DIV/0!</v>
      </c>
      <c r="NL187" s="173" t="e">
        <f ca="1">(1-Control!$C$73)*$I187+$NJ187</f>
        <v>#DIV/0!</v>
      </c>
      <c r="NM187" s="172" t="e">
        <f ca="1">IF($NL187&lt;0.5, $MB187* MAX(0, MIN(1, (SQRT($NC187)-SQRT($NC187-1))*Control!$C$71)),0)</f>
        <v>#DIV/0!</v>
      </c>
      <c r="NN187" s="170" t="e">
        <f ca="1">IF($NL187&gt;=5, $MB187, MAX(0,MIN($MB187, $NM187+$NL187,($MS187-Control!$C$129))))</f>
        <v>#DIV/0!</v>
      </c>
      <c r="NO187" s="54">
        <f>IF(Control!$C$133&lt;&gt;1, Control!$C$135-Control!$C$131, 0)</f>
        <v>0.38</v>
      </c>
      <c r="NP187" s="54" t="e">
        <f t="shared" ca="1" si="570"/>
        <v>#DIV/0!</v>
      </c>
      <c r="NQ187" s="173" t="e">
        <f ca="1">MAX(0,MIN(1,(Control!$C$135-$MS187)/(Control!$C$135-$NO187)))</f>
        <v>#DIV/0!</v>
      </c>
      <c r="NR187" s="170" t="e">
        <f ca="1">IF(Control!$C$133&lt;&gt;1, $NQ187+((1-$NP187/4)*(1-$NQ187)),1)</f>
        <v>#DIV/0!</v>
      </c>
      <c r="NS187" s="170" t="e">
        <f ca="1">IF(Control!$B$31=0,$MJ187,MAX(0,MIN($MV187,$MO187*$NR187*$MJ187)))</f>
        <v>#DIV/0!</v>
      </c>
      <c r="NT187" s="170" t="e">
        <f t="shared" ca="1" si="686"/>
        <v>#DIV/0!</v>
      </c>
      <c r="NU187" s="170" t="e">
        <f t="shared" ca="1" si="662"/>
        <v>#N/A</v>
      </c>
      <c r="NV187" s="170" t="e">
        <f t="shared" ca="1" si="571"/>
        <v>#N/A</v>
      </c>
      <c r="NW187" s="175" t="e">
        <f t="shared" ca="1" si="572"/>
        <v>#DIV/0!</v>
      </c>
      <c r="NX187" s="170" t="e">
        <f ca="1">MIN(Control!$C$72+$MU187, $NW187)</f>
        <v>#DIV/0!</v>
      </c>
      <c r="NY187" s="170" t="e">
        <f ca="1">IF($MT187&lt;=$NX187,MIN(Control!$C$72+$NB187,$NX187-$MT187),0)</f>
        <v>#DIV/0!</v>
      </c>
      <c r="NZ187" s="54" t="e">
        <f ca="1">IF(Control!$C$114=1,  $CX187*($MX187-Control!$C$127), 0)</f>
        <v>#DIV/0!</v>
      </c>
      <c r="OA187" s="170" t="e">
        <f t="shared" ca="1" si="573"/>
        <v>#DIV/0!</v>
      </c>
      <c r="OB187" s="170" t="e">
        <f ca="1">IF($NA187 &lt;=$NY187, MIN(Control!$C$72, $NY187-$NA187), 0)</f>
        <v>#DIV/0!</v>
      </c>
      <c r="OC187" s="168" t="e">
        <f t="shared" ca="1" si="574"/>
        <v>#DIV/0!</v>
      </c>
      <c r="OD187" s="168" t="e">
        <f t="shared" ca="1" si="663"/>
        <v>#DIV/0!</v>
      </c>
      <c r="OE187" s="170">
        <f ca="1">Control!$C$73*$I187</f>
        <v>0</v>
      </c>
      <c r="OF187" s="176" t="e">
        <f t="shared" ca="1" si="575"/>
        <v>#DIV/0!</v>
      </c>
      <c r="OG187" s="168" t="e">
        <f t="shared" ca="1" si="576"/>
        <v>#DIV/0!</v>
      </c>
      <c r="OH187" s="168" t="e">
        <f t="shared" ca="1" si="577"/>
        <v>#DIV/0!</v>
      </c>
      <c r="OI187" s="168" t="e">
        <f t="shared" ca="1" si="578"/>
        <v>#DIV/0!</v>
      </c>
      <c r="OJ187" s="168" t="e">
        <f t="shared" ca="1" si="579"/>
        <v>#DIV/0!</v>
      </c>
      <c r="OK187" s="204" t="e">
        <f t="shared" ca="1" si="580"/>
        <v>#DIV/0!</v>
      </c>
      <c r="OL187" s="177">
        <f>Control!$C$127</f>
        <v>0.15</v>
      </c>
      <c r="OM187" s="182" t="e">
        <f t="shared" ca="1" si="581"/>
        <v>#N/A</v>
      </c>
      <c r="ON187" s="177">
        <f>Control!$C$128</f>
        <v>0.35</v>
      </c>
      <c r="OO187" s="182" t="e">
        <f t="shared" ca="1" si="582"/>
        <v>#N/A</v>
      </c>
      <c r="OP187" s="138">
        <f t="shared" ca="1" si="664"/>
        <v>0</v>
      </c>
      <c r="OQ187" s="138" t="e">
        <f t="shared" ca="1" si="687"/>
        <v>#DIV/0!</v>
      </c>
      <c r="OR187" s="138" t="e">
        <f t="shared" ca="1" si="665"/>
        <v>#DIV/0!</v>
      </c>
      <c r="OS187" s="137" t="e">
        <f t="shared" ca="1" si="688"/>
        <v>#DIV/0!</v>
      </c>
      <c r="OT187" s="139" t="e">
        <f t="shared" ca="1" si="689"/>
        <v>#DIV/0!</v>
      </c>
      <c r="OU187" s="138" t="e">
        <f t="shared" ca="1" si="690"/>
        <v>#N/A</v>
      </c>
      <c r="OV187" s="138" t="e">
        <f t="shared" ca="1" si="691"/>
        <v>#DIV/0!</v>
      </c>
      <c r="OW187" s="138" t="e">
        <f t="shared" ca="1" si="666"/>
        <v>#DIV/0!</v>
      </c>
      <c r="OX187" s="138" t="e">
        <f t="shared" ca="1" si="667"/>
        <v>#DIV/0!</v>
      </c>
      <c r="OY187" s="138" t="e">
        <f t="shared" ca="1" si="668"/>
        <v>#DIV/0!</v>
      </c>
      <c r="OZ187" s="138" t="e">
        <f t="shared" ca="1" si="583"/>
        <v>#DIV/0!</v>
      </c>
      <c r="PA187" s="138" t="e">
        <f t="shared" ca="1" si="584"/>
        <v>#DIV/0!</v>
      </c>
      <c r="PB187" s="55">
        <f>IF(Control!$C$61="T", IF(Control!$C$65="F", IF($AH$6-Control!$C$60&lt;0,0,1), IF(365+$AH$6-Control!$C$60&lt;0,0,1)),0)</f>
        <v>0</v>
      </c>
      <c r="PC187" s="55">
        <f ca="1">IF(Control!$C$65="F", IF($AH$6-$HF187&lt;0,0,1), IF(365+$AH$6-$HF187&lt;0,0,1))</f>
        <v>1</v>
      </c>
      <c r="PD187" s="444">
        <f>Control!$C$118</f>
        <v>1500</v>
      </c>
      <c r="PE187" s="180" t="e">
        <f t="shared" ca="1" si="585"/>
        <v>#N/A</v>
      </c>
      <c r="PF187" s="445">
        <f t="shared" ca="1" si="669"/>
        <v>0.71612369323045078</v>
      </c>
      <c r="PT187" s="186"/>
      <c r="PU187" s="186"/>
      <c r="PV187" s="94"/>
      <c r="PW187" s="94"/>
      <c r="PX187" s="94"/>
      <c r="PY187" s="94"/>
      <c r="PZ187" s="94"/>
      <c r="QA187" s="94"/>
      <c r="QB187" s="94"/>
      <c r="QC187" s="94"/>
      <c r="QD187" s="94"/>
      <c r="QE187" s="94"/>
      <c r="QF187" s="94"/>
      <c r="QG187" s="94"/>
      <c r="QH187" s="94"/>
      <c r="QI187" s="94"/>
      <c r="QJ187" s="94"/>
      <c r="QK187" s="94"/>
      <c r="QL187" s="94"/>
      <c r="QM187" s="94"/>
      <c r="QN187" s="94"/>
      <c r="QO187" s="94"/>
      <c r="QP187" s="94"/>
    </row>
    <row r="188" spans="1:458" s="2" customFormat="1" x14ac:dyDescent="0.2">
      <c r="A188" s="395">
        <v>2</v>
      </c>
      <c r="B188" s="396">
        <v>7</v>
      </c>
      <c r="C188" s="387">
        <f ca="1">Weather_data!$B187</f>
        <v>0</v>
      </c>
      <c r="D188" s="388">
        <f ca="1">Weather_data!$F187</f>
        <v>0</v>
      </c>
      <c r="E188" s="388">
        <f ca="1">Weather_data!$E187</f>
        <v>0</v>
      </c>
      <c r="F188" s="388">
        <f t="shared" ca="1" si="586"/>
        <v>0</v>
      </c>
      <c r="G188" s="388">
        <f ca="1">AVERAGE($D188:$E188)+Control!$B$9</f>
        <v>0</v>
      </c>
      <c r="H188" s="388">
        <f ca="1">Weather_data!$G187</f>
        <v>0</v>
      </c>
      <c r="I188" s="388">
        <f ca="1">Weather_data!$I187</f>
        <v>0</v>
      </c>
      <c r="J188" s="388">
        <f ca="1">Weather_data!$H187</f>
        <v>0</v>
      </c>
      <c r="K188" s="389">
        <f ca="1">Weather_data!$D187</f>
        <v>0</v>
      </c>
      <c r="L188" s="388" t="e">
        <f t="shared" ca="1" si="587"/>
        <v>#N/A</v>
      </c>
      <c r="M188" s="388" t="e">
        <f t="shared" ca="1" si="465"/>
        <v>#N/A</v>
      </c>
      <c r="N188" s="388">
        <f t="shared" ca="1" si="466"/>
        <v>-2.3502102838969297E-9</v>
      </c>
      <c r="O188" s="388">
        <f t="shared" ca="1" si="588"/>
        <v>2.3502102838969297E-8</v>
      </c>
      <c r="P188" s="390">
        <v>3</v>
      </c>
      <c r="Q188" s="388">
        <f ca="1">MAX($G188-Control!$C$107,0)</f>
        <v>0</v>
      </c>
      <c r="R188" s="388">
        <f t="shared" ca="1" si="589"/>
        <v>0</v>
      </c>
      <c r="S188" s="388">
        <f t="shared" ca="1" si="467"/>
        <v>0</v>
      </c>
      <c r="T188" s="388">
        <f t="shared" ca="1" si="468"/>
        <v>0</v>
      </c>
      <c r="U188" s="59">
        <f t="shared" ca="1" si="469"/>
        <v>0</v>
      </c>
      <c r="V188" s="391">
        <f ca="1">MAX(0,MIN(Control!$C$100-Control!$C$99,$G188-Control!$C$99)*Control!$C$63)</f>
        <v>0</v>
      </c>
      <c r="W188" s="388">
        <f t="shared" ca="1" si="590"/>
        <v>0</v>
      </c>
      <c r="X188" s="388">
        <f t="shared" ca="1" si="591"/>
        <v>0.6110000000000001</v>
      </c>
      <c r="Y188" s="388">
        <f t="shared" ca="1" si="470"/>
        <v>0</v>
      </c>
      <c r="Z188" s="388">
        <f t="shared" ca="1" si="592"/>
        <v>0.61058800000000002</v>
      </c>
      <c r="AA188" s="388">
        <f t="shared" ca="1" si="471"/>
        <v>0.6018</v>
      </c>
      <c r="AB188" s="388">
        <f ca="1">101.3*EXP(-0.034*Control!$C$66/($G188+273))</f>
        <v>100.69623283836242</v>
      </c>
      <c r="AC188" s="392">
        <f t="shared" ca="1" si="472"/>
        <v>4.3460251046025113E-2</v>
      </c>
      <c r="AD188" s="392">
        <f t="shared" ca="1" si="473"/>
        <v>4.4450382862832649E-2</v>
      </c>
      <c r="AE188" s="388">
        <f t="shared" ca="1" si="474"/>
        <v>0</v>
      </c>
      <c r="AF188" s="388">
        <f ca="1">MAX(0,$G188-Control!$C$92)</f>
        <v>0</v>
      </c>
      <c r="AG188" s="393">
        <f t="shared" ca="1" si="475"/>
        <v>184</v>
      </c>
      <c r="AH188" s="389">
        <f t="shared" ca="1" si="476"/>
        <v>184</v>
      </c>
      <c r="AI188" s="388">
        <f t="shared" ca="1" si="593"/>
        <v>0.40082339807994349</v>
      </c>
      <c r="AJ188" s="388">
        <f ca="1">IF(Control!$C$60&lt;=0,$HH188,$HI188)</f>
        <v>1</v>
      </c>
      <c r="AK188" s="388">
        <f t="shared" ca="1" si="477"/>
        <v>1.7902774573881561</v>
      </c>
      <c r="AL188" s="388">
        <f t="shared" ca="1" si="478"/>
        <v>-7.5740386185074726E-18</v>
      </c>
      <c r="AM188" s="388">
        <f t="shared" ca="1" si="479"/>
        <v>1.7902774573881561</v>
      </c>
      <c r="AN188" s="388">
        <f t="shared" ca="1" si="480"/>
        <v>0.39873945786888565</v>
      </c>
      <c r="AO188" s="388">
        <f ca="1">-0.10453/COS(Control!$B$8*PI()/180)*COS(AN188)</f>
        <v>-0.15646543524265508</v>
      </c>
      <c r="AP188" s="388">
        <f ca="1">ACOS(AO188-TAN(Control!$B$8*PI()/180)*TAN(AN188))</f>
        <v>2.3402114967567504</v>
      </c>
      <c r="AQ188" s="388">
        <f t="shared" ca="1" si="594"/>
        <v>0</v>
      </c>
      <c r="AR188" s="394">
        <f t="shared" ca="1" si="481"/>
        <v>0</v>
      </c>
      <c r="AS188" s="436">
        <f ca="1">IF(Control!$B$18=2,(IF(OR($AH188=Control!$B$175,$AH188=Control!$B$176,$AH188=Control!$B$177,$AH188=Control!$B$178,$AH188=Control!$B$179,$AH188=Control!$B$180,$AH188=Control!$B$181,$AH188=Control!$B$182,$AH188=Control!$B$183,$AH188=Control!$B$184,$AH188=Control!$B$185),1,0)),0)</f>
        <v>0</v>
      </c>
      <c r="AT188" s="436">
        <f>IF(Control!$B$20=8,IF(AND($AH188&gt;=Control!$B$172,$AH188&lt;=Control!$B$173),1,0),0)</f>
        <v>0</v>
      </c>
      <c r="AU188" s="436">
        <f>IF(Control!$B$20=8,IF($AV187=1,1*$AT188,IF($AT188=1,$AU187+1,$AU187)),0)</f>
        <v>0</v>
      </c>
      <c r="AV188" s="436">
        <f>IF(Control!$B$20=8,IF($AU188&gt;=Control!$B$174,1,0),0)</f>
        <v>0</v>
      </c>
      <c r="AW188" s="436">
        <f ca="1">IF(AND(Control!$B$18=2,Control!$B$171=1), $AV188, $AS188)</f>
        <v>0</v>
      </c>
      <c r="AX188" s="436" t="e">
        <f ca="1">IF(AND(Control!$B$18=1,$EU188&gt;=Control!$B$19),-$AY188,IF(AND(Control!$B$18=2,$AW188=1,$EU188&gt;$DS188),-$AY188, IF(Control!$C$108=0,0, IF(Control!$C$108&lt;&gt;0,1))))</f>
        <v>#N/A</v>
      </c>
      <c r="AY188" s="436" t="e">
        <f t="shared" ca="1" si="595"/>
        <v>#N/A</v>
      </c>
      <c r="AZ188" s="436" t="e">
        <f ca="1">IF(AND(Control!$B$18=1,$EB188&gt;Control!$B$19),$AZ187+1, IF(AND(Control!$B$18=2, $AW188=1, $EB188&gt;$DS188), $AZ187+1,$AZ187))</f>
        <v>#N/A</v>
      </c>
      <c r="BA188" s="587">
        <f>IF(Control!$C$81=0,1,IF($AH188&gt;=Control!$C$82,1,0))</f>
        <v>1</v>
      </c>
      <c r="BB188" s="140" t="e">
        <f ca="1">IF($BA188&gt;$BA187,Control!$C$83,IF($AW188&gt;0,$AW188*Control!$C$84,IF(AND(Control!$B$18=1,EN187&lt;&gt;0),Control!$C$84,0)))</f>
        <v>#N/A</v>
      </c>
      <c r="BC188" s="140" t="e">
        <f t="shared" ca="1" si="596"/>
        <v>#N/A</v>
      </c>
      <c r="BD188" s="140" t="e">
        <f ca="1">BC188*IF(OR($G188&lt;Control!$C$92,$G188&gt;Control!$C$95),0,IF(AND($G188&gt;=Control!$C$92,$G188&lt;=Control!$C$93),$G188-Control!$C$92,IF(AND($G188&gt;Control!$C$93,$G188&lt;=Control!$C$94),Control!$C$93-Control!$C$92,IF(AND($G188&gt;Control!$C$94,$G188&lt;=Control!$C$95),(Control!$C$93-Control!$C$92)*(Control!$C$94-$G188)/(Control!$C$95-Control!$C$94)))))</f>
        <v>#N/A</v>
      </c>
      <c r="BE188" s="140" t="e">
        <f t="shared" ca="1" si="597"/>
        <v>#N/A</v>
      </c>
      <c r="BF188" s="140" t="e">
        <f ca="1">IF($BE188&lt;=Control!$C$86,$BE188,Control!$C$86-$BE188)</f>
        <v>#N/A</v>
      </c>
      <c r="BG188" s="140" t="e">
        <f ca="1">IF(AND($AW188=1,Control!$C$84&lt;9),1,IF($BE188&gt;=Control!$C$86,0,$BC188))</f>
        <v>#N/A</v>
      </c>
      <c r="BH188" s="404" t="e">
        <f ca="1">IF($BG188=0,0,IF($BE188&lt;=Control!$C$86,$BC188*9*($BF188/Control!$C$86),0))</f>
        <v>#N/A</v>
      </c>
      <c r="BI188" s="140" t="e">
        <f ca="1">IF($BG188=1,0,IF($BE188&gt;=Control!$C$86,1,IF(AND($BB188&lt;21,$BB188&gt;=9),1,$BM187)))</f>
        <v>#N/A</v>
      </c>
      <c r="BJ188" s="140" t="e">
        <f ca="1">IF($BF188&lt;0,-$BF188,$BI188*IF(OR($G188&lt;Control!$C$92,$G188&gt;Control!$C$95),0,IF(AND($G188&gt;=Control!$C$92,$G188&lt;=Control!$C$93),$G188-Control!$C$92,IF(AND($G188&gt;Control!$C$93,$G188&lt;=Control!$C$94),Control!$C$93-Control!$C$92,IF(AND($G188&gt;Control!$C$94,$G188&lt;=Control!$C$95),(Control!$C$93-Control!$C$92)*(Control!$C$94-$G188)/(Control!$C$95-Control!$C$94))))))</f>
        <v>#N/A</v>
      </c>
      <c r="BK188" s="140" t="e">
        <f t="shared" ca="1" si="598"/>
        <v>#N/A</v>
      </c>
      <c r="BL188" s="140" t="e">
        <f ca="1">IF($BK188&lt;=Control!$C$87,$BK188,Control!$C$87-$BK188)</f>
        <v>#N/A</v>
      </c>
      <c r="BM188" s="140" t="e">
        <f ca="1">IF(AND($BB188&gt;=9,$BB188&lt;21),1,IF($BK188&gt;=Control!$C$87,0,$BI188))</f>
        <v>#N/A</v>
      </c>
      <c r="BN188" s="404" t="e">
        <f ca="1">IF($BM188=0,0,IF($BK188&lt;=Control!$C$87,$BI188*(9+(21-9)*($BL188/Control!$C$87)),0))</f>
        <v>#N/A</v>
      </c>
      <c r="BO188" s="140" t="e">
        <f ca="1">IF($BM188=1,0,IF($BK188&gt;=Control!$C$87,1,IF(AND($BB188&lt;30,$BB188&gt;=21),1,$BS187)))</f>
        <v>#N/A</v>
      </c>
      <c r="BP188" s="140" t="e">
        <f ca="1">IF($BL188&lt;0,-$BL188,$BO188*IF(OR($G188&lt;Control!$C$92,$G188&gt;Control!$C$95),0,IF(AND($G188&gt;=Control!$C$92,$G188&lt;=Control!$C$93),$G188-Control!$C$92,IF(AND($G188&gt;Control!$C$93,$G188&lt;=Control!$C$94),Control!$C$93-Control!$C$92,IF(AND($G188&gt;Control!$C$94,$G188&lt;=Control!$C$95),(Control!$C$93-Control!$C$92)*(Control!$C$94-$G188)/(Control!$C$95-Control!$C$94))))))</f>
        <v>#N/A</v>
      </c>
      <c r="BQ188" s="140" t="e">
        <f t="shared" ca="1" si="482"/>
        <v>#N/A</v>
      </c>
      <c r="BR188" s="140" t="e">
        <f ca="1">IF($BQ188&lt;=Control!$C$88,$BQ188,Control!$C$88-$BQ188)</f>
        <v>#N/A</v>
      </c>
      <c r="BS188" s="140" t="e">
        <f ca="1">IF(AND($BB188&gt;=21,$BB188&lt;30),1,IF($BQ188&gt;=Control!$C$88,0,$BO188))</f>
        <v>#N/A</v>
      </c>
      <c r="BT188" s="404" t="e">
        <f ca="1">IF($BS188=0,0,IF($BQ188&lt;=Control!$C$88,$BO188*(21+(30-21)*(BR188/Control!$C$88)),0))</f>
        <v>#N/A</v>
      </c>
      <c r="BU188" s="140" t="e">
        <f ca="1">IF(BG188+BM188+BS188=1,0,IF(OR(AND($BB188&lt;60,$BB188&gt;=30),$BQ188&gt;=Control!$C$88),1*$BA188,$BY187))</f>
        <v>#N/A</v>
      </c>
      <c r="BV188" s="140" t="e">
        <f ca="1">IF($BR188&lt;0,-$BR188,$BU188*IF(OR($G188&lt;Control!$C$92,$G188&gt;Control!$C$95),0,IF(AND($G188&gt;=Control!$C$92,$G188&lt;=Control!$C$93),$G188-Control!$C$92,IF(AND($G188&gt;Control!$C$93,$G188&lt;=Control!$C$94),Control!$C$93-Control!$C$92,IF(AND($G188&gt;Control!$C$94,$G188&lt;=Control!$C$95),(Control!$C$93-Control!$C$92)*(Control!$C$94-$G188)/(Control!$C$95-Control!$C$94))))))</f>
        <v>#N/A</v>
      </c>
      <c r="BW188" s="140" t="e">
        <f t="shared" ca="1" si="483"/>
        <v>#N/A</v>
      </c>
      <c r="BX188" s="140" t="e">
        <f ca="1">IF($BW188&lt;=Control!$C$89,$BW188,Control!$C$89-$BW188)</f>
        <v>#N/A</v>
      </c>
      <c r="BY188" s="140" t="e">
        <f ca="1">IF(AND($AJ188&gt;=30,$AJ188&lt;60),1,IF($BW188&gt;=Control!$C$89,0,$BU188))</f>
        <v>#N/A</v>
      </c>
      <c r="BZ188" s="404" t="e">
        <f ca="1">IF($BY188=0,0,IF($BW188&lt;=Control!$C$89,$BU188*(30+(60-30)*(BX188/Control!$C$89)),0))</f>
        <v>#N/A</v>
      </c>
      <c r="CA188" s="140" t="e">
        <f ca="1">IF($BG188+$BM188+$BS188+$BY188=1,0,IF(OR(AND($BB188&lt;65,$BB188&gt;=60),$BW188&gt;=Control!$C$89),1*$BA188,$CE187))</f>
        <v>#N/A</v>
      </c>
      <c r="CB188" s="140" t="e">
        <f ca="1">IF($BX188&lt;0,-$BX188,$CA188*IF(OR($G188&lt;Control!$C$92,$G188&gt;Control!$C$95),0,IF(AND($G188&gt;=Control!$C$92,$G188&lt;=Control!$C$93),$G188-Control!$C$92,IF(AND($G188&gt;Control!$C$93,$G188&lt;=Control!$C$94),Control!$C$93-Control!$C$92,IF(AND($G188&gt;Control!$C$94,$G188&lt;=Control!$C$95),(Control!$C$93-Control!$C$92)*(Control!$C$94-$G188)/(Control!$C$95-Control!$C$94))))))</f>
        <v>#N/A</v>
      </c>
      <c r="CC188" s="140" t="e">
        <f t="shared" ca="1" si="599"/>
        <v>#N/A</v>
      </c>
      <c r="CD188" s="140" t="e">
        <f ca="1">IF($CC188&lt;=Control!$C$90,$CC188,Control!$C$90-$CC188)</f>
        <v>#N/A</v>
      </c>
      <c r="CE188" s="140" t="e">
        <f ca="1">IF(AND($BB188&gt;=60,$BB188&lt;65),1,IF($CC188&gt;=Control!$C$90,0,$CA188))</f>
        <v>#N/A</v>
      </c>
      <c r="CF188" s="404" t="e">
        <f ca="1">IF($CE188=0,0,IF($CC188&lt;=Control!$C$90,$CA188*(60+(65-60)*(CD188/Control!$C$90)),0))</f>
        <v>#N/A</v>
      </c>
      <c r="CG188" s="140" t="e">
        <f ca="1">IF($BG188+$BM188+$BS188+$BY188+$CE188=1,0,IF(OR(AND($BB188&lt;90,$BB188&gt;=65),$CC188&gt;=Control!$C$90),$BA188,$CK187))</f>
        <v>#N/A</v>
      </c>
      <c r="CH188" s="140" t="e">
        <f ca="1">IF($CD188&lt;0,-$CD188,$CG188*IF(OR($G188&lt;Control!$C$92,$G188&gt;Control!$C$95),0,IF(AND($G188&gt;=Control!$C$92,$G188&lt;=Control!$C$93),$G188-Control!$C$92,IF(AND($G188&gt;Control!$C$93,$G188&lt;=Control!$C$94),Control!$C$93-Control!$C$92,IF(AND($G188&gt;Control!$C$94,$G188&lt;=Control!$C$95),(Control!$C$93-Control!$C$92)*(Control!$C$94-$G188)/(Control!$C$95-Control!$C$94))))))</f>
        <v>#N/A</v>
      </c>
      <c r="CI188" s="140" t="e">
        <f t="shared" ca="1" si="600"/>
        <v>#N/A</v>
      </c>
      <c r="CJ188" s="140" t="e">
        <f ca="1">IF($CI188&lt;=Control!$C$91,$CI188,Control!$C$91-$CI188)</f>
        <v>#N/A</v>
      </c>
      <c r="CK188" s="140" t="e">
        <f ca="1">IF(AND($BB188&gt;=65,$BB188&lt;90),1,IF($CI188&gt;=Control!$C$91,0,$CG188))</f>
        <v>#N/A</v>
      </c>
      <c r="CL188" s="404" t="e">
        <f ca="1">IF($CK188=0,0,IF($CI188&lt;=Control!$C$91,$CG188*(65+(90-65)*($CJ188/Control!$C$91)),0))</f>
        <v>#N/A</v>
      </c>
      <c r="CM188" s="140" t="e">
        <f ca="1">IF($BG188+$BM188+$BS188+$BY188+$CE188+$CK188=1,0,IF(OR($BB188&gt;=90,$CI188&gt;=Control!$C$91),$BA188,$CM187))</f>
        <v>#N/A</v>
      </c>
      <c r="CN188" s="140" t="e">
        <f t="shared" ca="1" si="601"/>
        <v>#N/A</v>
      </c>
      <c r="CO188" s="140" t="e">
        <f t="shared" ca="1" si="602"/>
        <v>#N/A</v>
      </c>
      <c r="CP188" s="140" t="e">
        <f t="shared" ca="1" si="603"/>
        <v>#N/A</v>
      </c>
      <c r="CQ188" s="141" t="e">
        <f ca="1">VLOOKUP($CP188,Control!$B$86:$G$91,6)</f>
        <v>#N/A</v>
      </c>
      <c r="CR188" s="141" t="e">
        <f ca="1">(1-$CQ188)*VLOOKUP($CP188,Control!$B$86:$D$91,3)</f>
        <v>#N/A</v>
      </c>
      <c r="CS188" s="141" t="e">
        <f ca="1">(1-$CQ188)*VLOOKUP($CP188,Control!$B$86:$E$91,4)</f>
        <v>#N/A</v>
      </c>
      <c r="CT188" s="141" t="e">
        <f ca="1">(1-$CQ188)*VLOOKUP($CP188,Control!$B$86:$F$91,5)</f>
        <v>#N/A</v>
      </c>
      <c r="CU188" s="141">
        <f t="shared" ca="1" si="604"/>
        <v>0</v>
      </c>
      <c r="CV188" s="583">
        <f t="shared" ca="1" si="605"/>
        <v>0</v>
      </c>
      <c r="CW188" s="142">
        <f t="shared" ca="1" si="606"/>
        <v>184</v>
      </c>
      <c r="CX188" s="612" t="e">
        <f ca="1">IF(Control!$C$114=1,(MIN(Control!$C$120*(IF($NT188-0.01&lt;0,0,1)),Control!$C$119-$CY188)))</f>
        <v>#DIV/0!</v>
      </c>
      <c r="CY188" s="143" t="e">
        <f t="shared" ca="1" si="607"/>
        <v>#N/A</v>
      </c>
      <c r="CZ188" s="144">
        <f t="shared" ca="1" si="484"/>
        <v>0</v>
      </c>
      <c r="DA188" s="144">
        <f t="shared" ca="1" si="485"/>
        <v>0</v>
      </c>
      <c r="DB188" s="144" t="e">
        <f t="shared" ca="1" si="486"/>
        <v>#N/A</v>
      </c>
      <c r="DC188" s="144" t="e">
        <f t="shared" ca="1" si="487"/>
        <v>#N/A</v>
      </c>
      <c r="DD188" s="144" t="e">
        <f t="shared" ca="1" si="692"/>
        <v>#N/A</v>
      </c>
      <c r="DE188" s="143" t="e">
        <f t="shared" ca="1" si="608"/>
        <v>#N/A</v>
      </c>
      <c r="DF188" s="145" t="e">
        <f ca="1">$DR188*EXP(-Control!$C$158*(1-$KH188))</f>
        <v>#N/A</v>
      </c>
      <c r="DG188" s="146" t="e">
        <f ca="1">IF(Control!$C$114=1, $DF188*$EY188, 0)</f>
        <v>#N/A</v>
      </c>
      <c r="DH188" s="147" t="e">
        <f t="shared" ca="1" si="609"/>
        <v>#N/A</v>
      </c>
      <c r="DI188" s="144" t="e">
        <f t="shared" ca="1" si="670"/>
        <v>#N/A</v>
      </c>
      <c r="DJ188" s="147" t="e">
        <f ca="1">$EF188*Control!$C$109</f>
        <v>#N/A</v>
      </c>
      <c r="DK188" s="144" t="e">
        <f t="shared" ca="1" si="610"/>
        <v>#N/A</v>
      </c>
      <c r="DL188" s="144" t="e">
        <f t="shared" ca="1" si="488"/>
        <v>#N/A</v>
      </c>
      <c r="DM188" s="144" t="e">
        <f ca="1">IF(Control!$C$114=1, (1-EXP(-Control!$C$96*$DK188))*$AR188, 0)</f>
        <v>#N/A</v>
      </c>
      <c r="DN188" s="144">
        <f t="shared" ca="1" si="611"/>
        <v>0</v>
      </c>
      <c r="DO188" s="148">
        <f>Control!$C$97</f>
        <v>4</v>
      </c>
      <c r="DP188" s="145" t="e">
        <f t="shared" ca="1" si="612"/>
        <v>#N/A</v>
      </c>
      <c r="DQ188" s="145" t="e">
        <f ca="1">IF(AND($CP188&gt;=0,$CP188&lt;=90),Control!$C$111,Control!$C$111)</f>
        <v>#N/A</v>
      </c>
      <c r="DR188" s="145" t="e">
        <f t="shared" ca="1" si="489"/>
        <v>#N/A</v>
      </c>
      <c r="DS188" s="143" t="e">
        <f ca="1">Control!$B$22/$DR188</f>
        <v>#N/A</v>
      </c>
      <c r="DT188" s="149" t="e">
        <f ca="1">IF(AND(Control!$C$114=1,$KH188&lt;1),$IM188*$DF188, 0)</f>
        <v>#N/A</v>
      </c>
      <c r="DU188" s="144" t="e">
        <f t="shared" ca="1" si="613"/>
        <v>#N/A</v>
      </c>
      <c r="DV188" s="144">
        <f ca="1">IF($G188-Control!$C$107&lt;=0, 0, 0.83*LN(MAX($G188, 3))-0.8924)</f>
        <v>0</v>
      </c>
      <c r="DW188" s="144" t="e">
        <f t="shared" ca="1" si="490"/>
        <v>#N/A</v>
      </c>
      <c r="DX188" s="150" t="e">
        <f ca="1">MAX(0.01*(1+$CU188/Control!$C$102),0.05*($DK188-Control!$C$97)/Control!$C$97)</f>
        <v>#N/A</v>
      </c>
      <c r="DY188" s="151" t="e">
        <f ca="1">IF(Control!$C$114=1, $DI188*$FS188, 0)</f>
        <v>#N/A</v>
      </c>
      <c r="DZ188" s="196" t="e">
        <f t="shared" ca="1" si="614"/>
        <v>#N/A</v>
      </c>
      <c r="EA188" s="152">
        <f t="shared" ca="1" si="615"/>
        <v>184</v>
      </c>
      <c r="EB188" s="153" t="e">
        <f t="shared" ca="1" si="616"/>
        <v>#N/A</v>
      </c>
      <c r="EC188" s="153" t="e">
        <f t="shared" ca="1" si="617"/>
        <v>#N/A</v>
      </c>
      <c r="ED188" s="154" t="e">
        <f ca="1">IF(Control!$C$114=1, $HM188*$FY188-$FD188, 0)</f>
        <v>#DIV/0!</v>
      </c>
      <c r="EE188" s="155" t="e">
        <f ca="1">IF(Control!$C$114=1, $HM188*$FZ188-$FF188, 0)</f>
        <v>#DIV/0!</v>
      </c>
      <c r="EF188" s="153" t="e">
        <f t="shared" ca="1" si="671"/>
        <v>#N/A</v>
      </c>
      <c r="EG188" s="155" t="e">
        <f ca="1">IF(Control!$C$114=1, $GX188*$FW188-$FI188, 0)</f>
        <v>#DIV/0!</v>
      </c>
      <c r="EH188" s="153" t="e">
        <f t="shared" ca="1" si="618"/>
        <v>#N/A</v>
      </c>
      <c r="EI188" s="156" t="e">
        <f t="shared" ca="1" si="619"/>
        <v>#N/A</v>
      </c>
      <c r="EJ188" s="155" t="e">
        <f ca="1">IF(Control!$C$114=1, $HM188*$GB188, 0)</f>
        <v>#DIV/0!</v>
      </c>
      <c r="EK188" s="153" t="e">
        <f t="shared" ca="1" si="672"/>
        <v>#N/A</v>
      </c>
      <c r="EL188" s="153" t="e">
        <f t="shared" ca="1" si="491"/>
        <v>#N/A</v>
      </c>
      <c r="EM188" s="153" t="e">
        <f t="shared" ca="1" si="492"/>
        <v>#N/A</v>
      </c>
      <c r="EN188" s="153" t="e">
        <f ca="1">IF(Control!$C$108=1,IF(AND(Control!$B$18=1,$EB188&gt;=Control!$B$19),$EB188-$DS188,IF(AND(Control!$B$18=2,$AW188=1,$EB188&gt;$DS188),$EB188-$DS188,0)))</f>
        <v>#N/A</v>
      </c>
      <c r="EO188" s="153" t="e">
        <f ca="1">IF(Control!$C$108=1,IF(AND(Control!$B$18=1,$EB188&gt;=Control!$B$19),$EF188,IF(AND(Control!$B$18=2,$AW188=1),$EF188,0)))</f>
        <v>#N/A</v>
      </c>
      <c r="EP188" s="153" t="e">
        <f ca="1">IF(Control!$C$108=1,IF(AND(Control!$B$18=1,$EB188&gt;=Control!$B$19),$EK188,IF(AND(Control!$B$18=2,$AW188=1),$EK188,0)))</f>
        <v>#N/A</v>
      </c>
      <c r="EQ188" s="153" t="e">
        <f t="shared" ca="1" si="620"/>
        <v>#N/A</v>
      </c>
      <c r="ER188" s="153" t="e">
        <f t="shared" ca="1" si="621"/>
        <v>#N/A</v>
      </c>
      <c r="ES188" s="153" t="e">
        <f t="shared" ca="1" si="673"/>
        <v>#N/A</v>
      </c>
      <c r="ET188" s="153" t="e">
        <f t="shared" ca="1" si="674"/>
        <v>#N/A</v>
      </c>
      <c r="EU188" s="153" t="e">
        <f t="shared" ca="1" si="622"/>
        <v>#N/A</v>
      </c>
      <c r="EV188" s="153" t="e">
        <f t="shared" ca="1" si="493"/>
        <v>#N/A</v>
      </c>
      <c r="EW188" s="153" t="e">
        <f t="shared" ca="1" si="494"/>
        <v>#N/A</v>
      </c>
      <c r="EX188" s="153" t="e">
        <f t="shared" ca="1" si="495"/>
        <v>#N/A</v>
      </c>
      <c r="EY188" s="157" t="e">
        <f t="shared" ca="1" si="496"/>
        <v>#DIV/0!</v>
      </c>
      <c r="EZ188" s="154" t="e">
        <f t="shared" ca="1" si="497"/>
        <v>#DIV/0!</v>
      </c>
      <c r="FA188" s="153" t="e">
        <f t="shared" ca="1" si="623"/>
        <v>#N/A</v>
      </c>
      <c r="FB188" s="153" t="e">
        <f t="shared" ca="1" si="498"/>
        <v>#N/A</v>
      </c>
      <c r="FC188" s="193" t="e">
        <f t="shared" ca="1" si="499"/>
        <v>#N/A</v>
      </c>
      <c r="FD188" s="158" t="e">
        <f t="shared" ca="1" si="624"/>
        <v>#N/A</v>
      </c>
      <c r="FE188" s="158" t="e">
        <f t="shared" ca="1" si="625"/>
        <v>#N/A</v>
      </c>
      <c r="FF188" s="159" t="e">
        <f t="shared" ca="1" si="500"/>
        <v>#N/A</v>
      </c>
      <c r="FG188" s="160" t="e">
        <f t="shared" ca="1" si="626"/>
        <v>#N/A</v>
      </c>
      <c r="FH188" s="158" t="e">
        <f t="shared" ca="1" si="627"/>
        <v>#N/A</v>
      </c>
      <c r="FI188" s="159" t="e">
        <f t="shared" ca="1" si="501"/>
        <v>#N/A</v>
      </c>
      <c r="FJ188" s="160" t="e">
        <f t="shared" ca="1" si="628"/>
        <v>#N/A</v>
      </c>
      <c r="FK188" s="160" t="e">
        <f t="shared" ca="1" si="502"/>
        <v>#N/A</v>
      </c>
      <c r="FL188" s="160" t="e">
        <f ca="1">$FL187+$FD187</f>
        <v>#N/A</v>
      </c>
      <c r="FM188" s="160" t="e">
        <f t="shared" ca="1" si="503"/>
        <v>#N/A</v>
      </c>
      <c r="FN188" s="158">
        <f t="shared" ca="1" si="629"/>
        <v>0.01</v>
      </c>
      <c r="FO188" s="160">
        <f>Control!$C$101</f>
        <v>50</v>
      </c>
      <c r="FP188" s="150" t="e">
        <f t="shared" ca="1" si="504"/>
        <v>#N/A</v>
      </c>
      <c r="FQ188" s="150" t="e">
        <f ca="1">MAX(0,(Control!$C$112*(($DK188-Control!$C$97)/Control!$C$97)))</f>
        <v>#N/A</v>
      </c>
      <c r="FR188" s="150" t="e">
        <f ca="1">(1-$NT188)*Control!$C$113</f>
        <v>#DIV/0!</v>
      </c>
      <c r="FS188" s="198" t="e">
        <f t="shared" ca="1" si="505"/>
        <v>#N/A</v>
      </c>
      <c r="FT188" s="161">
        <f t="shared" ca="1" si="630"/>
        <v>184</v>
      </c>
      <c r="FU188" s="162" t="e">
        <f ca="1">IF(Control!$B$34=1,VLOOKUP($CP188,Control!$B$86:$G$91,6),Control!$B$35)</f>
        <v>#N/A</v>
      </c>
      <c r="FV188" s="162" t="e">
        <f t="shared" ca="1" si="506"/>
        <v>#DIV/0!</v>
      </c>
      <c r="FW188" s="162" t="e">
        <f ca="1">IF(Control!$B$31=1,$FU188*$FV188,  $FU188)</f>
        <v>#N/A</v>
      </c>
      <c r="FX188" s="162" t="e">
        <f ca="1">IF(Control!$B$34=1,VLOOKUP($CP188,Control!$B$86:$G$91,3),Control!$B$36)</f>
        <v>#N/A</v>
      </c>
      <c r="FY188" s="162" t="e">
        <f t="shared" ca="1" si="507"/>
        <v>#N/A</v>
      </c>
      <c r="FZ188" s="162" t="e">
        <f ca="1">IF(Control!$B$34=1,VLOOKUP($CP188,Control!$B$86:$G$91,4),Control!$B$37)</f>
        <v>#N/A</v>
      </c>
      <c r="GA188" s="162" t="e">
        <f t="shared" ca="1" si="508"/>
        <v>#N/A</v>
      </c>
      <c r="GB188" s="162" t="e">
        <f ca="1">IF(Control!$B$34=1,VLOOKUP($CP188,Control!$B$86:$G$91,5),Control!$B$38)</f>
        <v>#N/A</v>
      </c>
      <c r="GC188" s="162" t="e">
        <f t="shared" ca="1" si="631"/>
        <v>#N/A</v>
      </c>
      <c r="GD188" s="162">
        <f t="shared" ca="1" si="509"/>
        <v>1</v>
      </c>
      <c r="GE188" s="162">
        <f t="shared" ca="1" si="510"/>
        <v>1</v>
      </c>
      <c r="GF188" s="162">
        <f ca="1">IF(AND(Control!$C$104=1, Control!$C$62="F"),$GE188,1)</f>
        <v>1</v>
      </c>
      <c r="GG188" s="162" t="e">
        <f ca="1">IF(Control!$B$16=40,0,IF(AND(Control!$B$16&gt;40,Control!$B$16&lt;=360),(Control!$B$16-40)*((1-0)/(360-40)),IF(AND(Control!$B$16&gt;360,Control!$B$16&lt;=720),(1+(Control!$B$16-360)*((1.25-1)/(720-360))),IF(AND(Control!$B$16&gt;720,Control!$B$16&lt;=1000),(1.25+(Control!$B$16-720)*((1.35-1.25)/(1000-720))),IF(AND(Control!$B$16&gt;1000,Control!$B$16&lt;=2000),(1.35+(Control!$B$16-1000)*0))))))</f>
        <v>#N/A</v>
      </c>
      <c r="GH188" s="162" t="e">
        <f t="shared" ca="1" si="511"/>
        <v>#N/A</v>
      </c>
      <c r="GI188" s="162">
        <f t="shared" ca="1" si="632"/>
        <v>0</v>
      </c>
      <c r="GJ188" s="162">
        <f t="shared" ca="1" si="512"/>
        <v>0</v>
      </c>
      <c r="GK188" s="162">
        <f t="shared" ca="1" si="633"/>
        <v>1</v>
      </c>
      <c r="GL188" s="162">
        <f t="shared" ca="1" si="513"/>
        <v>1</v>
      </c>
      <c r="GM188" s="162" t="e">
        <f ca="1">MAX(0,MIN(1,1-Control!$C$156*(1.0001-$KH188)^2))</f>
        <v>#N/A</v>
      </c>
      <c r="GN188" s="162" t="e">
        <f ca="1">IF(Control!$B$26=1,$KU188,$KX188)</f>
        <v>#N/A</v>
      </c>
      <c r="GO188" s="162" t="e">
        <f ca="1">IF($CP188&lt;=60,Control!$C$105,IF($CP188&gt;=90,Control!$C$106,Control!$C$105+($CP188-60)*((Control!$C$106-Control!$C$105)/(90-60))))</f>
        <v>#N/A</v>
      </c>
      <c r="GP188" s="162" t="e">
        <f t="shared" ca="1" si="514"/>
        <v>#N/A</v>
      </c>
      <c r="GQ188" s="162" t="e">
        <f t="shared" ca="1" si="634"/>
        <v>#N/A</v>
      </c>
      <c r="GR188" s="163" t="e">
        <f t="shared" ca="1" si="515"/>
        <v>#DIV/0!</v>
      </c>
      <c r="GS188" s="162" t="e">
        <f t="shared" ca="1" si="516"/>
        <v>#DIV/0!</v>
      </c>
      <c r="GT188" s="164" t="e">
        <f t="shared" ca="1" si="635"/>
        <v>#N/A</v>
      </c>
      <c r="GU188" s="162" t="e">
        <f t="shared" ca="1" si="636"/>
        <v>#N/A</v>
      </c>
      <c r="GV188" s="162" t="e">
        <f t="shared" ca="1" si="517"/>
        <v>#N/A</v>
      </c>
      <c r="GW188" s="162" t="e">
        <f t="shared" ca="1" si="518"/>
        <v>#DIV/0!</v>
      </c>
      <c r="GX188" s="162" t="e">
        <f t="shared" ca="1" si="637"/>
        <v>#DIV/0!</v>
      </c>
      <c r="GY188" s="162" t="e">
        <f t="shared" ca="1" si="638"/>
        <v>#DIV/0!</v>
      </c>
      <c r="GZ188" s="165" t="e">
        <f t="shared" ca="1" si="519"/>
        <v>#N/A</v>
      </c>
      <c r="HA188" s="162" t="e">
        <f ca="1">IF(Control!$C$114=1, $DI188*$FS188, 0)</f>
        <v>#N/A</v>
      </c>
      <c r="HB188" s="162" t="e">
        <f ca="1">$FA188/Control!$C$64</f>
        <v>#N/A</v>
      </c>
      <c r="HC188" s="162" t="e">
        <f t="shared" ca="1" si="520"/>
        <v>#DIV/0!</v>
      </c>
      <c r="HD188" s="162">
        <f ca="1">-ASIN(SIN(23.45*Control!$C$139)*COS(2*Control!$C$138*($AH188+10)/365))</f>
        <v>0.40082339807994349</v>
      </c>
      <c r="HE188" s="165">
        <f t="shared" ca="1" si="639"/>
        <v>0</v>
      </c>
      <c r="HF188" s="166">
        <f ca="1">IF(AND(Control!$C$61="T",$HE188&gt;=Control!$C$103,Control!$C$114=0),$AH188,Control!$C$59)</f>
        <v>1</v>
      </c>
      <c r="HG188" s="166">
        <f ca="1">IF(AND(Control!$C$61="T",$HE188&gt;=Control!$C$103,Control!$C$114=0),$HF188,Control!$C$59)</f>
        <v>1</v>
      </c>
      <c r="HH188" s="165">
        <f ca="1">IF(AND(OR(Control!$C$60&lt;=0, $AH188= Control!$C$59, Control!$C$60 &gt;0, $AH188 = Control!$C$60)), Control!$C$59, IF(Control!$C$60&gt;0, 0))</f>
        <v>1</v>
      </c>
      <c r="HI188" s="165">
        <f ca="1">IF(AND(OR(Control!$C$60&lt;=0, $AH188= Control!$C$59, Control!$C$60 &gt;0, $AH188 = Control!$C$60)), Control!$C$60, IF(Control!$C$60&lt;=0, 0))</f>
        <v>0</v>
      </c>
      <c r="HJ188" s="166">
        <f ca="1">IF(AND(Control!$C$62="F",$CV188&gt;=Control!$C$102),$AH188,0)</f>
        <v>0</v>
      </c>
      <c r="HK188" s="165" t="e">
        <f t="shared" ca="1" si="676"/>
        <v>#N/A</v>
      </c>
      <c r="HL188" s="166">
        <f ca="1">IF(AND(Control!$C$61="T",$HE188&gt;=Control!$C$103,Control!$C$114=0),$HF188,0)</f>
        <v>0</v>
      </c>
      <c r="HM188" s="201" t="e">
        <f t="shared" ca="1" si="521"/>
        <v>#DIV/0!</v>
      </c>
      <c r="HN188" s="215">
        <f t="shared" ca="1" si="640"/>
        <v>184</v>
      </c>
      <c r="HO188" s="216" t="e">
        <f ca="1">IF(AND($CP188&gt;=0, $CP188&lt;=90), Control!$C$152, Control!$C$152)</f>
        <v>#N/A</v>
      </c>
      <c r="HP188" s="216" t="e">
        <f t="shared" ca="1" si="522"/>
        <v>#N/A</v>
      </c>
      <c r="HQ188" s="217" t="e">
        <f ca="1">IF(OR(Control!$B$26=1,Control!$B$26=2),$KV188,$KS188)</f>
        <v>#DIV/0!</v>
      </c>
      <c r="HR188" s="218" t="e">
        <f t="shared" ca="1" si="677"/>
        <v>#DIV/0!</v>
      </c>
      <c r="HS188" s="216" t="e">
        <f ca="1">Control!$C$154*$HP188</f>
        <v>#N/A</v>
      </c>
      <c r="HT188" s="216" t="e">
        <f ca="1">Control!$C$155*$HP188</f>
        <v>#N/A</v>
      </c>
      <c r="HU188" s="217" t="e">
        <f ca="1">Control!$C$161*$FI188</f>
        <v>#N/A</v>
      </c>
      <c r="HV188" s="218" t="e">
        <f t="shared" ca="1" si="641"/>
        <v>#N/A</v>
      </c>
      <c r="HW188" s="218" t="e">
        <f ca="1">Control!$C$160*$FF188+$IP188*$EO188</f>
        <v>#N/A</v>
      </c>
      <c r="HX188" s="218" t="e">
        <f t="shared" ca="1" si="678"/>
        <v>#N/A</v>
      </c>
      <c r="HY188" s="219" t="e">
        <f ca="1">IF(Control!$C$114=1, $EB188*$FS188, 0)</f>
        <v>#N/A</v>
      </c>
      <c r="HZ188" s="91" t="e">
        <f t="shared" ca="1" si="523"/>
        <v>#N/A</v>
      </c>
      <c r="IA188" s="220" t="e">
        <f ca="1">Control!$C$153*$HO188</f>
        <v>#N/A</v>
      </c>
      <c r="IB188" s="218" t="e">
        <f t="shared" ca="1" si="524"/>
        <v>#N/A</v>
      </c>
      <c r="IC188" s="220" t="e">
        <f ca="1">Control!$C$153*$HT188</f>
        <v>#N/A</v>
      </c>
      <c r="ID188" s="218" t="e">
        <f t="shared" ca="1" si="525"/>
        <v>#N/A</v>
      </c>
      <c r="IE188" s="221" t="e">
        <f ca="1">($EB188*Control!$C$159+$EF188*Control!$C$160)/(IF($GZ188&lt;&gt;0,$GZ188,1))</f>
        <v>#N/A</v>
      </c>
      <c r="IF188" s="216" t="e">
        <f t="shared" ca="1" si="526"/>
        <v>#N/A</v>
      </c>
      <c r="IG188" s="91">
        <f ca="1">IF(OR(Control!$B$198=$AH188,Control!$B$199=$AH188, Control!$B$200=$AH188, Control!$B$201=$AH188, Control!$B$202=$AH188, Control!$B$203=$AH188, Control!$B$204=$AH188, Control!$B$205=$AH188, Control!$B$206=$AH188, Control!$B$207=$AH188), 1, 0)</f>
        <v>0</v>
      </c>
      <c r="IH188" s="91">
        <f ca="1">IF($IG188=0,0, VLOOKUP($AH188,Control!$B$198:$C$207,2))</f>
        <v>0</v>
      </c>
      <c r="II188" s="222">
        <f t="shared" ca="1" si="642"/>
        <v>0</v>
      </c>
      <c r="IJ188" s="91">
        <f>Control!$C$121</f>
        <v>0.7</v>
      </c>
      <c r="IK188" s="218">
        <f t="shared" ca="1" si="527"/>
        <v>0</v>
      </c>
      <c r="IL188" s="217" t="e">
        <f t="shared" ca="1" si="679"/>
        <v>#N/A</v>
      </c>
      <c r="IM188" s="223" t="e">
        <f ca="1">IF(AND(Control!$C$114=1,$KH188&lt;1),$EB188*Control!$C$148*(1-$KH188), 0)</f>
        <v>#N/A</v>
      </c>
      <c r="IN188" s="217" t="e">
        <f t="shared" ca="1" si="528"/>
        <v>#DIV/0!</v>
      </c>
      <c r="IO188" s="91" t="e">
        <f ca="1">MAX(0,$IL188-$EF188*Control!$C$160)</f>
        <v>#N/A</v>
      </c>
      <c r="IP188" s="220" t="e">
        <f t="shared" ca="1" si="529"/>
        <v>#N/A</v>
      </c>
      <c r="IQ188" s="217" t="e">
        <f t="shared" ca="1" si="643"/>
        <v>#N/A</v>
      </c>
      <c r="IR188" s="218" t="e">
        <f t="shared" ca="1" si="530"/>
        <v>#N/A</v>
      </c>
      <c r="IS188" s="217" t="e">
        <f ca="1">Control!$C$159*MAX(0,$FD188-$EN188)</f>
        <v>#N/A</v>
      </c>
      <c r="IT188" s="217" t="e">
        <f t="shared" ca="1" si="680"/>
        <v>#N/A</v>
      </c>
      <c r="IU188" s="217" t="e">
        <f t="shared" ca="1" si="644"/>
        <v>#N/A</v>
      </c>
      <c r="IV188" s="217" t="e">
        <f t="shared" ca="1" si="681"/>
        <v>#N/A</v>
      </c>
      <c r="IW188" s="217" t="e">
        <f ca="1">IF(OR($AW188=1,AND($AW188=0, Control!$B$18=1,$EN188&lt;&gt;0)), $IQ188-$IU188, $IQ188)</f>
        <v>#N/A</v>
      </c>
      <c r="IX188" s="218" t="e">
        <f t="shared" ca="1" si="531"/>
        <v>#N/A</v>
      </c>
      <c r="IY188" s="218" t="e">
        <f ca="1">MAX(0,$IQ188-$EB188*Control!$C$159)</f>
        <v>#N/A</v>
      </c>
      <c r="IZ188" s="218" t="e">
        <f t="shared" ca="1" si="532"/>
        <v>#N/A</v>
      </c>
      <c r="JA188" s="216" t="e">
        <f t="shared" ca="1" si="533"/>
        <v>#N/A</v>
      </c>
      <c r="JB188" s="217" t="e">
        <f t="shared" ca="1" si="534"/>
        <v>#N/A</v>
      </c>
      <c r="JC188" s="222" t="e">
        <f ca="1">MAX(Control!$C$157*$EK188-$JT188, 0)/Control!$C$162</f>
        <v>#N/A</v>
      </c>
      <c r="JD188" s="218" t="e">
        <f t="shared" ca="1" si="535"/>
        <v>#N/A</v>
      </c>
      <c r="JE188" s="218" t="e">
        <f t="shared" ca="1" si="536"/>
        <v>#N/A</v>
      </c>
      <c r="JF188" s="218" t="e">
        <f t="shared" ca="1" si="645"/>
        <v>#N/A</v>
      </c>
      <c r="JG188" s="218" t="e">
        <f t="shared" ca="1" si="537"/>
        <v>#N/A</v>
      </c>
      <c r="JH188" s="217" t="e">
        <f t="shared" ca="1" si="646"/>
        <v>#N/A</v>
      </c>
      <c r="JI188" s="217" t="e">
        <f t="shared" ca="1" si="647"/>
        <v>#N/A</v>
      </c>
      <c r="JJ188" s="217" t="e">
        <f t="shared" ca="1" si="682"/>
        <v>#N/A</v>
      </c>
      <c r="JK188" s="217" t="e">
        <f ca="1">IF(Control!$C$114=1,IF(Control!$B$24=0,MAX(0,$JI188)*$GN188/Control!$C$64,(MAX(0,MIN($JI188,$JJ188*$GN188/Control!$C$64),0))))</f>
        <v>#N/A</v>
      </c>
      <c r="JL188" s="217" t="e">
        <f ca="1">$IK188/Control!$C$64-$JK188+$HQ188</f>
        <v>#N/A</v>
      </c>
      <c r="JM188" s="217" t="e">
        <f ca="1">IF(Control!$C$114=1,($JB188/(IF($JI188&lt;&gt;0,$JI188,1)))*$JK188,0)</f>
        <v>#N/A</v>
      </c>
      <c r="JN188" s="217" t="e">
        <f ca="1">IF(Control!$C$114=1,($JG188/(IF($JI188&lt;&gt;0,$JI188,1)))*$JK188, 0)</f>
        <v>#N/A</v>
      </c>
      <c r="JO188" s="218" t="e">
        <f t="shared" ca="1" si="538"/>
        <v>#N/A</v>
      </c>
      <c r="JP188" s="218" t="e">
        <f ca="1">MIN(($IY188+$IO188)*Control!$C$151, $JF188-$EH188*Control!$C$161)</f>
        <v>#N/A</v>
      </c>
      <c r="JQ188" s="218" t="e">
        <f t="shared" ca="1" si="539"/>
        <v>#N/A</v>
      </c>
      <c r="JR188" s="217" t="e">
        <f ca="1">IF($CP188-Control!$C$150&lt;0, 0, $JQ188/Control!$C$162)</f>
        <v>#N/A</v>
      </c>
      <c r="JS188" s="218" t="e">
        <f t="shared" ca="1" si="540"/>
        <v>#N/A</v>
      </c>
      <c r="JT188" s="218" t="e">
        <f t="shared" ca="1" si="648"/>
        <v>#N/A</v>
      </c>
      <c r="JU188" s="218" t="e">
        <f t="shared" ca="1" si="541"/>
        <v>#N/A</v>
      </c>
      <c r="JV188" s="218" t="e">
        <f t="shared" ca="1" si="542"/>
        <v>#N/A</v>
      </c>
      <c r="JW188" s="216" t="e">
        <f t="shared" ca="1" si="543"/>
        <v>#N/A</v>
      </c>
      <c r="JX188" s="91" t="e">
        <f t="shared" ca="1" si="544"/>
        <v>#N/A</v>
      </c>
      <c r="JY188" s="218" t="e">
        <f t="shared" ca="1" si="545"/>
        <v>#N/A</v>
      </c>
      <c r="JZ188" s="217" t="e">
        <f ca="1">IF(Control!$C$114=1,($IZ188/(IF($JI188&lt;&gt;0,$JI188,1)))*$JK188, 0)</f>
        <v>#N/A</v>
      </c>
      <c r="KA188" s="218" t="e">
        <f t="shared" ca="1" si="683"/>
        <v>#N/A</v>
      </c>
      <c r="KB188" s="218" t="e">
        <f t="shared" ca="1" si="649"/>
        <v>#N/A</v>
      </c>
      <c r="KC188" s="218" t="e">
        <f t="shared" ca="1" si="546"/>
        <v>#N/A</v>
      </c>
      <c r="KD188" s="218" t="e">
        <f t="shared" ca="1" si="547"/>
        <v>#N/A</v>
      </c>
      <c r="KE188" s="218" t="e">
        <f t="shared" ca="1" si="548"/>
        <v>#N/A</v>
      </c>
      <c r="KF188" s="218" t="e">
        <f t="shared" ca="1" si="549"/>
        <v>#N/A</v>
      </c>
      <c r="KG188" s="216" t="e">
        <f t="shared" ca="1" si="550"/>
        <v>#N/A</v>
      </c>
      <c r="KH188" s="221" t="e">
        <f ca="1">IF(Control!$B$24=0,1,MAX(0.001,MIN(1,IF(($IF188-$IE188)&lt;&gt;0,($KG188-$IE188)/($IF188-$IE188),1))))</f>
        <v>#N/A</v>
      </c>
      <c r="KI188" s="222" t="e">
        <f ca="1">IF(Control!$C$114=1, $KI187+ $KH187, 0)</f>
        <v>#N/A</v>
      </c>
      <c r="KJ188" s="217" t="e">
        <f t="shared" ca="1" si="551"/>
        <v>#N/A</v>
      </c>
      <c r="KK188" s="218" t="e">
        <f t="shared" ca="1" si="552"/>
        <v>#N/A</v>
      </c>
      <c r="KL188" s="274" t="e">
        <f ca="1">IF(Control!$B$26=3,4000000000*EXP(-8400/($G188+273)),IF(Control!$B$26=4,4000000000*EXP(-8400/($G188+273))*($KT188),0))</f>
        <v>#DIV/0!</v>
      </c>
      <c r="KM188" s="274" t="e">
        <f ca="1">IF(Control!$B$26=3,5600000000000*EXP(-9800/($G188+273)),IF(Control!$B$26=4,5600000000000*EXP(-9800/($G188+273))*$KT188,0))</f>
        <v>#DIV/0!</v>
      </c>
      <c r="KN188" s="454" t="e">
        <f t="shared" ca="1" si="650"/>
        <v>#DIV/0!</v>
      </c>
      <c r="KO188" s="274" t="e">
        <f t="shared" ca="1" si="651"/>
        <v>#DIV/0!</v>
      </c>
      <c r="KP188" s="454" t="e">
        <f t="shared" ca="1" si="553"/>
        <v>#DIV/0!</v>
      </c>
      <c r="KQ188" s="454" t="e">
        <f t="shared" ca="1" si="554"/>
        <v>#DIV/0!</v>
      </c>
      <c r="KR188" s="454" t="e">
        <f t="shared" ca="1" si="555"/>
        <v>#DIV/0!</v>
      </c>
      <c r="KS188" s="454" t="e">
        <f t="shared" ca="1" si="556"/>
        <v>#DIV/0!</v>
      </c>
      <c r="KT188" s="455" t="e">
        <f t="shared" ca="1" si="557"/>
        <v>#DIV/0!</v>
      </c>
      <c r="KU188" s="456" t="e">
        <f ca="1">IF($CP188-Control!$C$149&lt;0, IF($NT188-0.01&lt;0,0,1),0)</f>
        <v>#N/A</v>
      </c>
      <c r="KV188" s="456" t="e">
        <f ca="1">IF(Control!$C$114=1,MAX(0,MIN(Control!$C$125*$KW188*$GN188,$KW188)))</f>
        <v>#DIV/0!</v>
      </c>
      <c r="KW188" s="456" t="e">
        <f t="shared" ca="1" si="684"/>
        <v>#DIV/0!</v>
      </c>
      <c r="KX188" s="457" t="e">
        <f ca="1">IF($CP188-Control!$C$149&lt;0, IF($MR188-$OM188&lt;0,0,1),0)</f>
        <v>#N/A</v>
      </c>
      <c r="KY188" s="167">
        <f t="shared" ca="1" si="652"/>
        <v>184</v>
      </c>
      <c r="KZ188" s="168">
        <f ca="1">1370*(1+0.033*COS(2*Control!$C$138*$AH188/365))</f>
        <v>1324.8050794676694</v>
      </c>
      <c r="LA188" s="169">
        <f t="shared" ca="1" si="653"/>
        <v>0.96701100059915313</v>
      </c>
      <c r="LB188" s="169">
        <f t="shared" ca="1" si="654"/>
        <v>0.40030073607990391</v>
      </c>
      <c r="LC188" s="169">
        <f ca="1">ACOS(-TAN((2*Control!$B$8/360))*TAN(Calculations!$LB188))</f>
        <v>1.6968910483481652</v>
      </c>
      <c r="LD188" s="169">
        <f ca="1">((24*60)/PI())*0.082*$LA188*(($LC188*SIN(Control!$B$8*2*PI()/360))*SIN($LB188)+COS(Control!$B$8*2*PI()/360)*COS($LB188)*SIN($LC188))</f>
        <v>39.383780498295046</v>
      </c>
      <c r="LE188" s="170">
        <f t="shared" ca="1" si="558"/>
        <v>41.05478861116417</v>
      </c>
      <c r="LF188" s="170">
        <f ca="1">SIN(Control!$C$139*Control!$B$8)*SIN($HD188)</f>
        <v>0.30746387434906614</v>
      </c>
      <c r="LG188" s="170">
        <f ca="1">COS(Control!$C$139*Control!$B$8)*COS($HD188)</f>
        <v>0.56686262880215199</v>
      </c>
      <c r="LH188" s="170">
        <f ca="1">12*(1+2*ASIN(MAX(-1,MIN(1,$LF188/$LG188))/Control!$C$138))</f>
        <v>16.164454902893794</v>
      </c>
      <c r="LI188" s="170">
        <f ca="1">12*(1+2*ASIN(MAX(-1,MIN(1,(-SIN(-4*Control!$C$139)+$LF188)/$LG188))/Control!$C$138))</f>
        <v>17.122479668049664</v>
      </c>
      <c r="LJ188" s="168">
        <f ca="1">3600*($LH188*$LF188+24*$LG188*SQRT(1-$LK188*$LK188)/Control!$C$138)</f>
        <v>30989.304953194114</v>
      </c>
      <c r="LK188" s="170">
        <f t="shared" ca="1" si="559"/>
        <v>0.54239573880319791</v>
      </c>
      <c r="LL188" s="170">
        <f t="shared" ca="1" si="560"/>
        <v>0</v>
      </c>
      <c r="LM188" s="171">
        <f ca="1">Control!$C$145*$AB188</f>
        <v>6.6660906138995932E-2</v>
      </c>
      <c r="LN188" s="170">
        <f t="shared" ca="1" si="655"/>
        <v>0.54</v>
      </c>
      <c r="LO188" s="170">
        <f t="shared" ca="1" si="561"/>
        <v>0</v>
      </c>
      <c r="LP188" s="170">
        <f ca="1">Control!$C$140*((($D188+273.16)^4+($E188+273.16)^4)/2)*(0.34-0.14*SQRT($Y188))*(1.35*$AQ188/(0.75*$LD188)-0.35)</f>
        <v>-3.2464704755046001</v>
      </c>
      <c r="LQ188" s="170">
        <f ca="1">Control!$C$140*($G188+273)^4*(0.56-0.079*SQRT($Y188*10))*(0.1+0.9*$LO188)</f>
        <v>1.5241745131704001</v>
      </c>
      <c r="LR188" s="170">
        <f ca="1">$AQ188*(1-Control!$C$142)-$LQ188</f>
        <v>-1.5241745131704001</v>
      </c>
      <c r="LS188" s="170">
        <f ca="1">$AQ188*(1-Control!$C$143)-$LQ188</f>
        <v>-1.5241745131704001</v>
      </c>
      <c r="LT188" s="170">
        <f ca="1">$AQ188*(1-Control!$C$144)-$LQ188</f>
        <v>-1.5241745131704001</v>
      </c>
      <c r="LU188" s="169">
        <f ca="1">(1-Control!$C$144)*AQ188-LP188</f>
        <v>3.2464704755046001</v>
      </c>
      <c r="LV188" s="172">
        <f t="shared" ca="1" si="562"/>
        <v>0.79430000000000012</v>
      </c>
      <c r="LW188" s="170">
        <f t="shared" ca="1" si="563"/>
        <v>1.5886000000000002</v>
      </c>
      <c r="LX188" s="170">
        <f ca="1">($AC188*($LR188/Control!$C$141)+$LM188*$LV188)/($AC188+$LM188)</f>
        <v>0.23530094218323697</v>
      </c>
      <c r="LY188" s="170">
        <f ca="1">($AC188*($LS188/Control!$C$141)+$LM188*$LV188)/($AC188+$LM188)</f>
        <v>0.23530094218323697</v>
      </c>
      <c r="LZ188" s="170">
        <f t="shared" ca="1" si="564"/>
        <v>0.23530094218323697</v>
      </c>
      <c r="MA188" s="170">
        <f t="shared" ca="1" si="565"/>
        <v>0.23530094218323697</v>
      </c>
      <c r="MB188" s="170" t="e">
        <f t="shared" ca="1" si="566"/>
        <v>#N/A</v>
      </c>
      <c r="MC188" s="170">
        <f t="shared" ca="1" si="656"/>
        <v>0.6018</v>
      </c>
      <c r="MD188" s="170">
        <f t="shared" ca="1" si="567"/>
        <v>0.52989392535414004</v>
      </c>
      <c r="ME188" s="170">
        <f ca="1">($AC188*($LT188/Control!$C$141)+$LM188*$LW188)/($AC188+$LM188)</f>
        <v>0.71612369323045078</v>
      </c>
      <c r="MF188" s="170" t="e">
        <f ca="1">IF(Control!$B$16&gt;=1000,0.92,IF(AND(720&lt;=Control!$B$16,1000&gt;Control!$B$16),(0.95+(Control!$B$16-720)*((0.92-0.95)/(1000-720))),IF(AND(360&lt;=Control!$B$16,720&gt;Control!$B$16),(1+(Control!$B$16-360)*((0.95-1)/(720-360))),IF(AND(40&lt;=Control!$B$16,360&gt;Control!$B$16),(1.05+(Control!$B$16-40)*((1.05-1)/(360-40)))))))</f>
        <v>#N/A</v>
      </c>
      <c r="MG188" s="170">
        <f t="shared" ca="1" si="568"/>
        <v>0.71612369323045078</v>
      </c>
      <c r="MH188" s="170" t="e">
        <f t="shared" ca="1" si="695"/>
        <v>#N/A</v>
      </c>
      <c r="MI188" s="170" t="e">
        <f t="shared" ca="1" si="695"/>
        <v>#N/A</v>
      </c>
      <c r="MJ188" s="170" t="e">
        <f ca="1">MAX(0.0001, Control!$C$132*$MI188*$DL188)</f>
        <v>#N/A</v>
      </c>
      <c r="MK188" s="170">
        <f ca="1">1/(0.76+1.5*($MG188/10))-(5-Control!$C$110)*0.1</f>
        <v>1.002845988140797</v>
      </c>
      <c r="ML188" s="173">
        <f ca="1">IF(Control!$C$110&lt;3,$MK188+($MG188-0.6)/(Control!$C$110*(Control!$C$110+3)), MAX(0.1, MIN(0.95,$MK188)))</f>
        <v>0.95</v>
      </c>
      <c r="MM188" s="173">
        <f ca="1">IF(Control!$C$110&lt;3,$MK188+(($MI188/10)-0.6)/(Control!$C$110*(Control!$C$110+3)), MAX(0.1, MIN(0.95,$MK188)))</f>
        <v>0.95</v>
      </c>
      <c r="MN188" s="173">
        <f ca="1">(1-$MM188)*(Control!$C$128-Control!$C$127)+Control!$C$127</f>
        <v>0.16</v>
      </c>
      <c r="MO188" s="170" t="e">
        <f ca="1">MAX(0,MIN(1,($MS188-Control!$C$127)/($MN188-Control!$C$127)))</f>
        <v>#DIV/0!</v>
      </c>
      <c r="MP188" s="173" t="e">
        <f ca="1">1/(0.76+1.5*$MI188)-(5-Control!$C$110)*0.1</f>
        <v>#N/A</v>
      </c>
      <c r="MQ188" s="172" t="e">
        <f t="shared" ca="1" si="685"/>
        <v>#DIV/0!</v>
      </c>
      <c r="MR188" s="168" t="e">
        <f t="shared" ca="1" si="657"/>
        <v>#DIV/0!</v>
      </c>
      <c r="MS188" s="173" t="e">
        <f ca="1">MAX(Control!$C$127, MIN(Control!$C$135, $MR188/MAX(0.0001,$CY188)))</f>
        <v>#DIV/0!</v>
      </c>
      <c r="MT188" s="168" t="e">
        <f ca="1">(Control!$C$128-$MS188)*Control!$C$74</f>
        <v>#DIV/0!</v>
      </c>
      <c r="MU188" s="168" t="e">
        <f ca="1">(Control!$C$135-$MS188)*Control!$C$74</f>
        <v>#DIV/0!</v>
      </c>
      <c r="MV188" s="168" t="e">
        <f t="shared" ca="1" si="658"/>
        <v>#DIV/0!</v>
      </c>
      <c r="MW188" s="168" t="e">
        <f t="shared" ca="1" si="659"/>
        <v>#DIV/0!</v>
      </c>
      <c r="MX188" s="171" t="e">
        <f ca="1">MAX(Control!$C$127, MIN(Control!$C$135, $MW188/MAX(0.0001,Control!$C$119-$CY188)))</f>
        <v>#DIV/0!</v>
      </c>
      <c r="MY188" s="54" t="e">
        <f ca="1">IF(Control!$C$114=1, $CX188*$MX188, 0)</f>
        <v>#DIV/0!</v>
      </c>
      <c r="MZ188" s="54" t="e">
        <f t="shared" ca="1" si="660"/>
        <v>#N/A</v>
      </c>
      <c r="NA188" s="168" t="e">
        <f ca="1">(Control!$C$128-$MX188)*(Control!$C$119-Control!$C$74)</f>
        <v>#DIV/0!</v>
      </c>
      <c r="NB188" s="168" t="e">
        <f ca="1">(Control!$C$135-$MX188)*(Control!$C$119-Control!$C$74)</f>
        <v>#DIV/0!</v>
      </c>
      <c r="NC188" s="174" t="e">
        <f t="shared" ca="1" si="661"/>
        <v>#DIV/0!</v>
      </c>
      <c r="ND188" s="54">
        <f ca="1">IF(Control!$C$58=2, IF(OR(Control!$B$218=$AH188,Control!$B$219=$AH188, Control!$B$220=$AH188, Control!$B$221=$AH188, Control!$B$222=$AH188, Control!$B$223=$AH188, Control!$B$224=$AH188, Control!$B$225=$AH188, Control!$B$226=$AH188, Control!$B$227=$AH188, Control!$B$228=$AH188), 1, 0), 0)</f>
        <v>0</v>
      </c>
      <c r="NE188" s="54">
        <f ca="1">IF($ND188=0,0, VLOOKUP($AH188,Control!$B$218:$C$228,2))</f>
        <v>0</v>
      </c>
      <c r="NF188" s="168" t="e">
        <f ca="1">$CY188*(Control!$C$128-Control!$C$127)</f>
        <v>#N/A</v>
      </c>
      <c r="NG188" s="54" t="e">
        <f ca="1">IF(Control!$C$58=2, $NI187-$NJ187, 0)</f>
        <v>#DIV/0!</v>
      </c>
      <c r="NH188" s="54" t="e">
        <f ca="1">IF(AND(Control!$C$58=1, $MS187&lt;= ($MN187+0.02), $I187&lt;10), 0, IF(Control!$C$58=2, $NG187, 0))</f>
        <v>#DIV/0!</v>
      </c>
      <c r="NI188" s="54" t="e">
        <f ca="1">IF(Control!$C$58=2, $NE188+$NH188,0)</f>
        <v>#DIV/0!</v>
      </c>
      <c r="NJ188" s="54" t="e">
        <f ca="1">IF(AND(Control!$C$58=1, $MS188&lt;= ($MN188+0.02), $I188&lt;10), MAX(0, MIN(10, 0.7*($NF188-$MV188))), IF(Control!$C$58=2, MIN(10,$NI188),0))</f>
        <v>#DIV/0!</v>
      </c>
      <c r="NK188" s="54" t="e">
        <f t="shared" ca="1" si="569"/>
        <v>#DIV/0!</v>
      </c>
      <c r="NL188" s="173" t="e">
        <f ca="1">(1-Control!$C$73)*$I188+$NJ188</f>
        <v>#DIV/0!</v>
      </c>
      <c r="NM188" s="172" t="e">
        <f ca="1">IF($NL188&lt;0.5, $MB188* MAX(0, MIN(1, (SQRT($NC188)-SQRT($NC188-1))*Control!$C$71)),0)</f>
        <v>#DIV/0!</v>
      </c>
      <c r="NN188" s="170" t="e">
        <f ca="1">IF($NL188&gt;=5, $MB188, MAX(0,MIN($MB188, $NM188+$NL188,($MS188-Control!$C$129))))</f>
        <v>#DIV/0!</v>
      </c>
      <c r="NO188" s="54">
        <f>IF(Control!$C$133&lt;&gt;1, Control!$C$135-Control!$C$131, 0)</f>
        <v>0.38</v>
      </c>
      <c r="NP188" s="54" t="e">
        <f t="shared" ca="1" si="570"/>
        <v>#DIV/0!</v>
      </c>
      <c r="NQ188" s="173" t="e">
        <f ca="1">MAX(0,MIN(1,(Control!$C$135-$MS188)/(Control!$C$135-$NO188)))</f>
        <v>#DIV/0!</v>
      </c>
      <c r="NR188" s="170" t="e">
        <f ca="1">IF(Control!$C$133&lt;&gt;1, $NQ188+((1-$NP188/4)*(1-$NQ188)),1)</f>
        <v>#DIV/0!</v>
      </c>
      <c r="NS188" s="170" t="e">
        <f ca="1">IF(Control!$B$31=0,$MJ188,MAX(0,MIN($MV188,$MO188*$NR188*$MJ188)))</f>
        <v>#DIV/0!</v>
      </c>
      <c r="NT188" s="170" t="e">
        <f t="shared" ca="1" si="686"/>
        <v>#DIV/0!</v>
      </c>
      <c r="NU188" s="170" t="e">
        <f t="shared" ca="1" si="662"/>
        <v>#N/A</v>
      </c>
      <c r="NV188" s="170" t="e">
        <f t="shared" ca="1" si="571"/>
        <v>#N/A</v>
      </c>
      <c r="NW188" s="175" t="e">
        <f t="shared" ca="1" si="572"/>
        <v>#DIV/0!</v>
      </c>
      <c r="NX188" s="170" t="e">
        <f ca="1">MIN(Control!$C$72+$MU188, $NW188)</f>
        <v>#DIV/0!</v>
      </c>
      <c r="NY188" s="170" t="e">
        <f ca="1">IF($MT188&lt;=$NX188,MIN(Control!$C$72+$NB188,$NX188-$MT188),0)</f>
        <v>#DIV/0!</v>
      </c>
      <c r="NZ188" s="54" t="e">
        <f ca="1">IF(Control!$C$114=1,  $CX188*($MX188-Control!$C$127), 0)</f>
        <v>#DIV/0!</v>
      </c>
      <c r="OA188" s="170" t="e">
        <f t="shared" ca="1" si="573"/>
        <v>#DIV/0!</v>
      </c>
      <c r="OB188" s="170" t="e">
        <f ca="1">IF($NA188 &lt;=$NY188, MIN(Control!$C$72, $NY188-$NA188), 0)</f>
        <v>#DIV/0!</v>
      </c>
      <c r="OC188" s="168" t="e">
        <f t="shared" ca="1" si="574"/>
        <v>#DIV/0!</v>
      </c>
      <c r="OD188" s="168" t="e">
        <f t="shared" ca="1" si="663"/>
        <v>#DIV/0!</v>
      </c>
      <c r="OE188" s="170">
        <f ca="1">Control!$C$73*$I188</f>
        <v>0</v>
      </c>
      <c r="OF188" s="176" t="e">
        <f t="shared" ca="1" si="575"/>
        <v>#DIV/0!</v>
      </c>
      <c r="OG188" s="168" t="e">
        <f t="shared" ca="1" si="576"/>
        <v>#DIV/0!</v>
      </c>
      <c r="OH188" s="168" t="e">
        <f t="shared" ca="1" si="577"/>
        <v>#DIV/0!</v>
      </c>
      <c r="OI188" s="168" t="e">
        <f t="shared" ca="1" si="578"/>
        <v>#DIV/0!</v>
      </c>
      <c r="OJ188" s="168" t="e">
        <f t="shared" ca="1" si="579"/>
        <v>#DIV/0!</v>
      </c>
      <c r="OK188" s="204" t="e">
        <f t="shared" ca="1" si="580"/>
        <v>#DIV/0!</v>
      </c>
      <c r="OL188" s="177">
        <f>Control!$C$127</f>
        <v>0.15</v>
      </c>
      <c r="OM188" s="182" t="e">
        <f t="shared" ca="1" si="581"/>
        <v>#N/A</v>
      </c>
      <c r="ON188" s="177">
        <f>Control!$C$128</f>
        <v>0.35</v>
      </c>
      <c r="OO188" s="182" t="e">
        <f t="shared" ca="1" si="582"/>
        <v>#N/A</v>
      </c>
      <c r="OP188" s="138">
        <f t="shared" ca="1" si="664"/>
        <v>0</v>
      </c>
      <c r="OQ188" s="138" t="e">
        <f t="shared" ca="1" si="687"/>
        <v>#DIV/0!</v>
      </c>
      <c r="OR188" s="138" t="e">
        <f t="shared" ca="1" si="665"/>
        <v>#DIV/0!</v>
      </c>
      <c r="OS188" s="137" t="e">
        <f t="shared" ca="1" si="688"/>
        <v>#DIV/0!</v>
      </c>
      <c r="OT188" s="139" t="e">
        <f t="shared" ca="1" si="689"/>
        <v>#DIV/0!</v>
      </c>
      <c r="OU188" s="138" t="e">
        <f t="shared" ca="1" si="690"/>
        <v>#N/A</v>
      </c>
      <c r="OV188" s="138" t="e">
        <f t="shared" ca="1" si="691"/>
        <v>#DIV/0!</v>
      </c>
      <c r="OW188" s="138" t="e">
        <f t="shared" ca="1" si="666"/>
        <v>#DIV/0!</v>
      </c>
      <c r="OX188" s="138" t="e">
        <f t="shared" ca="1" si="667"/>
        <v>#DIV/0!</v>
      </c>
      <c r="OY188" s="138" t="e">
        <f t="shared" ca="1" si="668"/>
        <v>#DIV/0!</v>
      </c>
      <c r="OZ188" s="138" t="e">
        <f t="shared" ca="1" si="583"/>
        <v>#DIV/0!</v>
      </c>
      <c r="PA188" s="138" t="e">
        <f t="shared" ca="1" si="584"/>
        <v>#DIV/0!</v>
      </c>
      <c r="PB188" s="55">
        <f>IF(Control!$C$61="T", IF(Control!$C$65="F", IF($AH$6-Control!$C$60&lt;0,0,1), IF(365+$AH$6-Control!$C$60&lt;0,0,1)),0)</f>
        <v>0</v>
      </c>
      <c r="PC188" s="55">
        <f ca="1">IF(Control!$C$65="F", IF($AH$6-$HF188&lt;0,0,1), IF(365+$AH$6-$HF188&lt;0,0,1))</f>
        <v>1</v>
      </c>
      <c r="PD188" s="444">
        <f>Control!$C$118</f>
        <v>1500</v>
      </c>
      <c r="PE188" s="180" t="e">
        <f t="shared" ca="1" si="585"/>
        <v>#N/A</v>
      </c>
      <c r="PF188" s="445">
        <f t="shared" ca="1" si="669"/>
        <v>0.71612369323045078</v>
      </c>
      <c r="PT188" s="186"/>
      <c r="PU188" s="186"/>
      <c r="PV188" s="94"/>
      <c r="PW188" s="94"/>
      <c r="PX188" s="94"/>
      <c r="PY188" s="94"/>
      <c r="PZ188" s="94"/>
      <c r="QA188" s="94"/>
      <c r="QB188" s="94"/>
      <c r="QC188" s="94"/>
      <c r="QD188" s="94"/>
      <c r="QE188" s="94"/>
      <c r="QF188" s="94"/>
      <c r="QG188" s="94"/>
      <c r="QH188" s="94"/>
      <c r="QI188" s="94"/>
      <c r="QJ188" s="94"/>
      <c r="QK188" s="94"/>
      <c r="QL188" s="94"/>
      <c r="QM188" s="94"/>
      <c r="QN188" s="94"/>
      <c r="QO188" s="94"/>
      <c r="QP188" s="94"/>
    </row>
    <row r="189" spans="1:458" s="2" customFormat="1" x14ac:dyDescent="0.2">
      <c r="A189" s="395">
        <v>3</v>
      </c>
      <c r="B189" s="396">
        <v>7</v>
      </c>
      <c r="C189" s="387">
        <f ca="1">Weather_data!$B188</f>
        <v>0</v>
      </c>
      <c r="D189" s="388">
        <f ca="1">Weather_data!$F188</f>
        <v>0</v>
      </c>
      <c r="E189" s="388">
        <f ca="1">Weather_data!$E188</f>
        <v>0</v>
      </c>
      <c r="F189" s="388">
        <f t="shared" ca="1" si="586"/>
        <v>0</v>
      </c>
      <c r="G189" s="388">
        <f ca="1">AVERAGE($D189:$E189)+Control!$B$9</f>
        <v>0</v>
      </c>
      <c r="H189" s="388">
        <f ca="1">Weather_data!$G188</f>
        <v>0</v>
      </c>
      <c r="I189" s="388">
        <f ca="1">Weather_data!$I188</f>
        <v>0</v>
      </c>
      <c r="J189" s="388">
        <f ca="1">Weather_data!$H188</f>
        <v>0</v>
      </c>
      <c r="K189" s="389">
        <f ca="1">Weather_data!$D188</f>
        <v>0</v>
      </c>
      <c r="L189" s="388" t="e">
        <f t="shared" ca="1" si="587"/>
        <v>#N/A</v>
      </c>
      <c r="M189" s="388" t="e">
        <f t="shared" ca="1" si="465"/>
        <v>#N/A</v>
      </c>
      <c r="N189" s="388">
        <f t="shared" ca="1" si="466"/>
        <v>-2.1151892555072364E-9</v>
      </c>
      <c r="O189" s="388">
        <f t="shared" ca="1" si="588"/>
        <v>2.1151892555072365E-8</v>
      </c>
      <c r="P189" s="390">
        <v>3</v>
      </c>
      <c r="Q189" s="388">
        <f ca="1">MAX($G189-Control!$C$107,0)</f>
        <v>0</v>
      </c>
      <c r="R189" s="388">
        <f t="shared" ca="1" si="589"/>
        <v>0</v>
      </c>
      <c r="S189" s="388">
        <f t="shared" ca="1" si="467"/>
        <v>0</v>
      </c>
      <c r="T189" s="388">
        <f t="shared" ca="1" si="468"/>
        <v>0</v>
      </c>
      <c r="U189" s="59">
        <f t="shared" ca="1" si="469"/>
        <v>0</v>
      </c>
      <c r="V189" s="391">
        <f ca="1">MAX(0,MIN(Control!$C$100-Control!$C$99,$G189-Control!$C$99)*Control!$C$63)</f>
        <v>0</v>
      </c>
      <c r="W189" s="388">
        <f t="shared" ca="1" si="590"/>
        <v>0</v>
      </c>
      <c r="X189" s="388">
        <f t="shared" ca="1" si="591"/>
        <v>0.6110000000000001</v>
      </c>
      <c r="Y189" s="388">
        <f t="shared" ca="1" si="470"/>
        <v>0</v>
      </c>
      <c r="Z189" s="388">
        <f t="shared" ca="1" si="592"/>
        <v>0.61058800000000002</v>
      </c>
      <c r="AA189" s="388">
        <f t="shared" ca="1" si="471"/>
        <v>0.6018</v>
      </c>
      <c r="AB189" s="388">
        <f ca="1">101.3*EXP(-0.034*Control!$C$66/($G189+273))</f>
        <v>100.69623283836242</v>
      </c>
      <c r="AC189" s="392">
        <f t="shared" ca="1" si="472"/>
        <v>4.3460251046025113E-2</v>
      </c>
      <c r="AD189" s="392">
        <f t="shared" ca="1" si="473"/>
        <v>4.4450382862832649E-2</v>
      </c>
      <c r="AE189" s="388">
        <f t="shared" ca="1" si="474"/>
        <v>0</v>
      </c>
      <c r="AF189" s="388">
        <f ca="1">MAX(0,$G189-Control!$C$92)</f>
        <v>0</v>
      </c>
      <c r="AG189" s="393">
        <f t="shared" ca="1" si="475"/>
        <v>185</v>
      </c>
      <c r="AH189" s="389">
        <f t="shared" ca="1" si="476"/>
        <v>185</v>
      </c>
      <c r="AI189" s="388">
        <f t="shared" ca="1" si="593"/>
        <v>0.39929785376024202</v>
      </c>
      <c r="AJ189" s="388">
        <f ca="1">IF(Control!$C$60&lt;=0,$HH189,$HI189)</f>
        <v>1</v>
      </c>
      <c r="AK189" s="388">
        <f t="shared" ca="1" si="477"/>
        <v>1.8074916637091962</v>
      </c>
      <c r="AL189" s="388">
        <f t="shared" ca="1" si="478"/>
        <v>-9.5576793007756678E-18</v>
      </c>
      <c r="AM189" s="388">
        <f t="shared" ca="1" si="479"/>
        <v>1.8074916637091962</v>
      </c>
      <c r="AN189" s="388">
        <f t="shared" ca="1" si="480"/>
        <v>0.3970598641498298</v>
      </c>
      <c r="AO189" s="388">
        <f ca="1">-0.10453/COS(Control!$B$8*PI()/180)*COS(AN189)</f>
        <v>-0.1565759335826741</v>
      </c>
      <c r="AP189" s="388">
        <f ca="1">ACOS(AO189-TAN(Control!$B$8*PI()/180)*TAN(AN189))</f>
        <v>2.3368492578866364</v>
      </c>
      <c r="AQ189" s="388">
        <f t="shared" ca="1" si="594"/>
        <v>0</v>
      </c>
      <c r="AR189" s="394">
        <f t="shared" ca="1" si="481"/>
        <v>0</v>
      </c>
      <c r="AS189" s="436">
        <f ca="1">IF(Control!$B$18=2,(IF(OR($AH189=Control!$B$175,$AH189=Control!$B$176,$AH189=Control!$B$177,$AH189=Control!$B$178,$AH189=Control!$B$179,$AH189=Control!$B$180,$AH189=Control!$B$181,$AH189=Control!$B$182,$AH189=Control!$B$183,$AH189=Control!$B$184,$AH189=Control!$B$185),1,0)),0)</f>
        <v>0</v>
      </c>
      <c r="AT189" s="436">
        <f>IF(Control!$B$20=8,IF(AND($AH189&gt;=Control!$B$172,$AH189&lt;=Control!$B$173),1,0),0)</f>
        <v>0</v>
      </c>
      <c r="AU189" s="436">
        <f>IF(Control!$B$20=8,IF($AV188=1,1*$AT189,IF($AT189=1,$AU188+1,$AU188)),0)</f>
        <v>0</v>
      </c>
      <c r="AV189" s="436">
        <f>IF(Control!$B$20=8,IF($AU189&gt;=Control!$B$174,1,0),0)</f>
        <v>0</v>
      </c>
      <c r="AW189" s="436">
        <f ca="1">IF(AND(Control!$B$18=2,Control!$B$171=1), $AV189, $AS189)</f>
        <v>0</v>
      </c>
      <c r="AX189" s="436" t="e">
        <f ca="1">IF(AND(Control!$B$18=1,$EU189&gt;=Control!$B$19),-$AY189,IF(AND(Control!$B$18=2,$AW189=1,$EU189&gt;$DS189),-$AY189, IF(Control!$C$108=0,0, IF(Control!$C$108&lt;&gt;0,1))))</f>
        <v>#N/A</v>
      </c>
      <c r="AY189" s="436" t="e">
        <f t="shared" ca="1" si="595"/>
        <v>#N/A</v>
      </c>
      <c r="AZ189" s="436" t="e">
        <f ca="1">IF(AND(Control!$B$18=1,$EB189&gt;Control!$B$19),$AZ188+1, IF(AND(Control!$B$18=2, $AW189=1, $EB189&gt;$DS189), $AZ188+1,$AZ188))</f>
        <v>#N/A</v>
      </c>
      <c r="BA189" s="587">
        <f>IF(Control!$C$81=0,1,IF($AH189&gt;=Control!$C$82,1,0))</f>
        <v>1</v>
      </c>
      <c r="BB189" s="140" t="e">
        <f ca="1">IF($BA189&gt;$BA188,Control!$C$83,IF($AW189&gt;0,$AW189*Control!$C$84,IF(AND(Control!$B$18=1,EN188&lt;&gt;0),Control!$C$84,0)))</f>
        <v>#N/A</v>
      </c>
      <c r="BC189" s="140" t="e">
        <f t="shared" ca="1" si="596"/>
        <v>#N/A</v>
      </c>
      <c r="BD189" s="140" t="e">
        <f ca="1">BC189*IF(OR($G189&lt;Control!$C$92,$G189&gt;Control!$C$95),0,IF(AND($G189&gt;=Control!$C$92,$G189&lt;=Control!$C$93),$G189-Control!$C$92,IF(AND($G189&gt;Control!$C$93,$G189&lt;=Control!$C$94),Control!$C$93-Control!$C$92,IF(AND($G189&gt;Control!$C$94,$G189&lt;=Control!$C$95),(Control!$C$93-Control!$C$92)*(Control!$C$94-$G189)/(Control!$C$95-Control!$C$94)))))</f>
        <v>#N/A</v>
      </c>
      <c r="BE189" s="140" t="e">
        <f t="shared" ca="1" si="597"/>
        <v>#N/A</v>
      </c>
      <c r="BF189" s="140" t="e">
        <f ca="1">IF($BE189&lt;=Control!$C$86,$BE189,Control!$C$86-$BE189)</f>
        <v>#N/A</v>
      </c>
      <c r="BG189" s="140" t="e">
        <f ca="1">IF(AND($AW189=1,Control!$C$84&lt;9),1,IF($BE189&gt;=Control!$C$86,0,$BC189))</f>
        <v>#N/A</v>
      </c>
      <c r="BH189" s="404" t="e">
        <f ca="1">IF($BG189=0,0,IF($BE189&lt;=Control!$C$86,$BC189*9*($BF189/Control!$C$86),0))</f>
        <v>#N/A</v>
      </c>
      <c r="BI189" s="140" t="e">
        <f ca="1">IF($BG189=1,0,IF($BE189&gt;=Control!$C$86,1,IF(AND($BB189&lt;21,$BB189&gt;=9),1,$BM188)))</f>
        <v>#N/A</v>
      </c>
      <c r="BJ189" s="140" t="e">
        <f ca="1">IF($BF189&lt;0,-$BF189,$BI189*IF(OR($G189&lt;Control!$C$92,$G189&gt;Control!$C$95),0,IF(AND($G189&gt;=Control!$C$92,$G189&lt;=Control!$C$93),$G189-Control!$C$92,IF(AND($G189&gt;Control!$C$93,$G189&lt;=Control!$C$94),Control!$C$93-Control!$C$92,IF(AND($G189&gt;Control!$C$94,$G189&lt;=Control!$C$95),(Control!$C$93-Control!$C$92)*(Control!$C$94-$G189)/(Control!$C$95-Control!$C$94))))))</f>
        <v>#N/A</v>
      </c>
      <c r="BK189" s="140" t="e">
        <f t="shared" ca="1" si="598"/>
        <v>#N/A</v>
      </c>
      <c r="BL189" s="140" t="e">
        <f ca="1">IF($BK189&lt;=Control!$C$87,$BK189,Control!$C$87-$BK189)</f>
        <v>#N/A</v>
      </c>
      <c r="BM189" s="140" t="e">
        <f ca="1">IF(AND($BB189&gt;=9,$BB189&lt;21),1,IF($BK189&gt;=Control!$C$87,0,$BI189))</f>
        <v>#N/A</v>
      </c>
      <c r="BN189" s="404" t="e">
        <f ca="1">IF($BM189=0,0,IF($BK189&lt;=Control!$C$87,$BI189*(9+(21-9)*($BL189/Control!$C$87)),0))</f>
        <v>#N/A</v>
      </c>
      <c r="BO189" s="140" t="e">
        <f ca="1">IF($BM189=1,0,IF($BK189&gt;=Control!$C$87,1,IF(AND($BB189&lt;30,$BB189&gt;=21),1,$BS188)))</f>
        <v>#N/A</v>
      </c>
      <c r="BP189" s="140" t="e">
        <f ca="1">IF($BL189&lt;0,-$BL189,$BO189*IF(OR($G189&lt;Control!$C$92,$G189&gt;Control!$C$95),0,IF(AND($G189&gt;=Control!$C$92,$G189&lt;=Control!$C$93),$G189-Control!$C$92,IF(AND($G189&gt;Control!$C$93,$G189&lt;=Control!$C$94),Control!$C$93-Control!$C$92,IF(AND($G189&gt;Control!$C$94,$G189&lt;=Control!$C$95),(Control!$C$93-Control!$C$92)*(Control!$C$94-$G189)/(Control!$C$95-Control!$C$94))))))</f>
        <v>#N/A</v>
      </c>
      <c r="BQ189" s="140" t="e">
        <f t="shared" ca="1" si="482"/>
        <v>#N/A</v>
      </c>
      <c r="BR189" s="140" t="e">
        <f ca="1">IF($BQ189&lt;=Control!$C$88,$BQ189,Control!$C$88-$BQ189)</f>
        <v>#N/A</v>
      </c>
      <c r="BS189" s="140" t="e">
        <f ca="1">IF(AND($BB189&gt;=21,$BB189&lt;30),1,IF($BQ189&gt;=Control!$C$88,0,$BO189))</f>
        <v>#N/A</v>
      </c>
      <c r="BT189" s="404" t="e">
        <f ca="1">IF($BS189=0,0,IF($BQ189&lt;=Control!$C$88,$BO189*(21+(30-21)*(BR189/Control!$C$88)),0))</f>
        <v>#N/A</v>
      </c>
      <c r="BU189" s="140" t="e">
        <f ca="1">IF(BG189+BM189+BS189=1,0,IF(OR(AND($BB189&lt;60,$BB189&gt;=30),$BQ189&gt;=Control!$C$88),1*$BA189,$BY188))</f>
        <v>#N/A</v>
      </c>
      <c r="BV189" s="140" t="e">
        <f ca="1">IF($BR189&lt;0,-$BR189,$BU189*IF(OR($G189&lt;Control!$C$92,$G189&gt;Control!$C$95),0,IF(AND($G189&gt;=Control!$C$92,$G189&lt;=Control!$C$93),$G189-Control!$C$92,IF(AND($G189&gt;Control!$C$93,$G189&lt;=Control!$C$94),Control!$C$93-Control!$C$92,IF(AND($G189&gt;Control!$C$94,$G189&lt;=Control!$C$95),(Control!$C$93-Control!$C$92)*(Control!$C$94-$G189)/(Control!$C$95-Control!$C$94))))))</f>
        <v>#N/A</v>
      </c>
      <c r="BW189" s="140" t="e">
        <f t="shared" ca="1" si="483"/>
        <v>#N/A</v>
      </c>
      <c r="BX189" s="140" t="e">
        <f ca="1">IF($BW189&lt;=Control!$C$89,$BW189,Control!$C$89-$BW189)</f>
        <v>#N/A</v>
      </c>
      <c r="BY189" s="140" t="e">
        <f ca="1">IF(AND($AJ189&gt;=30,$AJ189&lt;60),1,IF($BW189&gt;=Control!$C$89,0,$BU189))</f>
        <v>#N/A</v>
      </c>
      <c r="BZ189" s="404" t="e">
        <f ca="1">IF($BY189=0,0,IF($BW189&lt;=Control!$C$89,$BU189*(30+(60-30)*(BX189/Control!$C$89)),0))</f>
        <v>#N/A</v>
      </c>
      <c r="CA189" s="140" t="e">
        <f ca="1">IF($BG189+$BM189+$BS189+$BY189=1,0,IF(OR(AND($BB189&lt;65,$BB189&gt;=60),$BW189&gt;=Control!$C$89),1*$BA189,$CE188))</f>
        <v>#N/A</v>
      </c>
      <c r="CB189" s="140" t="e">
        <f ca="1">IF($BX189&lt;0,-$BX189,$CA189*IF(OR($G189&lt;Control!$C$92,$G189&gt;Control!$C$95),0,IF(AND($G189&gt;=Control!$C$92,$G189&lt;=Control!$C$93),$G189-Control!$C$92,IF(AND($G189&gt;Control!$C$93,$G189&lt;=Control!$C$94),Control!$C$93-Control!$C$92,IF(AND($G189&gt;Control!$C$94,$G189&lt;=Control!$C$95),(Control!$C$93-Control!$C$92)*(Control!$C$94-$G189)/(Control!$C$95-Control!$C$94))))))</f>
        <v>#N/A</v>
      </c>
      <c r="CC189" s="140" t="e">
        <f t="shared" ca="1" si="599"/>
        <v>#N/A</v>
      </c>
      <c r="CD189" s="140" t="e">
        <f ca="1">IF($CC189&lt;=Control!$C$90,$CC189,Control!$C$90-$CC189)</f>
        <v>#N/A</v>
      </c>
      <c r="CE189" s="140" t="e">
        <f ca="1">IF(AND($BB189&gt;=60,$BB189&lt;65),1,IF($CC189&gt;=Control!$C$90,0,$CA189))</f>
        <v>#N/A</v>
      </c>
      <c r="CF189" s="404" t="e">
        <f ca="1">IF($CE189=0,0,IF($CC189&lt;=Control!$C$90,$CA189*(60+(65-60)*(CD189/Control!$C$90)),0))</f>
        <v>#N/A</v>
      </c>
      <c r="CG189" s="140" t="e">
        <f ca="1">IF($BG189+$BM189+$BS189+$BY189+$CE189=1,0,IF(OR(AND($BB189&lt;90,$BB189&gt;=65),$CC189&gt;=Control!$C$90),$BA189,$CK188))</f>
        <v>#N/A</v>
      </c>
      <c r="CH189" s="140" t="e">
        <f ca="1">IF($CD189&lt;0,-$CD189,$CG189*IF(OR($G189&lt;Control!$C$92,$G189&gt;Control!$C$95),0,IF(AND($G189&gt;=Control!$C$92,$G189&lt;=Control!$C$93),$G189-Control!$C$92,IF(AND($G189&gt;Control!$C$93,$G189&lt;=Control!$C$94),Control!$C$93-Control!$C$92,IF(AND($G189&gt;Control!$C$94,$G189&lt;=Control!$C$95),(Control!$C$93-Control!$C$92)*(Control!$C$94-$G189)/(Control!$C$95-Control!$C$94))))))</f>
        <v>#N/A</v>
      </c>
      <c r="CI189" s="140" t="e">
        <f t="shared" ca="1" si="600"/>
        <v>#N/A</v>
      </c>
      <c r="CJ189" s="140" t="e">
        <f ca="1">IF($CI189&lt;=Control!$C$91,$CI189,Control!$C$91-$CI189)</f>
        <v>#N/A</v>
      </c>
      <c r="CK189" s="140" t="e">
        <f ca="1">IF(AND($BB189&gt;=65,$BB189&lt;90),1,IF($CI189&gt;=Control!$C$91,0,$CG189))</f>
        <v>#N/A</v>
      </c>
      <c r="CL189" s="404" t="e">
        <f ca="1">IF($CK189=0,0,IF($CI189&lt;=Control!$C$91,$CG189*(65+(90-65)*($CJ189/Control!$C$91)),0))</f>
        <v>#N/A</v>
      </c>
      <c r="CM189" s="140" t="e">
        <f ca="1">IF($BG189+$BM189+$BS189+$BY189+$CE189+$CK189=1,0,IF(OR($BB189&gt;=90,$CI189&gt;=Control!$C$91),$BA189,$CM188))</f>
        <v>#N/A</v>
      </c>
      <c r="CN189" s="140" t="e">
        <f t="shared" ca="1" si="601"/>
        <v>#N/A</v>
      </c>
      <c r="CO189" s="140" t="e">
        <f t="shared" ca="1" si="602"/>
        <v>#N/A</v>
      </c>
      <c r="CP189" s="140" t="e">
        <f t="shared" ca="1" si="603"/>
        <v>#N/A</v>
      </c>
      <c r="CQ189" s="141" t="e">
        <f ca="1">VLOOKUP($CP189,Control!$B$86:$G$91,6)</f>
        <v>#N/A</v>
      </c>
      <c r="CR189" s="141" t="e">
        <f ca="1">(1-$CQ189)*VLOOKUP($CP189,Control!$B$86:$D$91,3)</f>
        <v>#N/A</v>
      </c>
      <c r="CS189" s="141" t="e">
        <f ca="1">(1-$CQ189)*VLOOKUP($CP189,Control!$B$86:$E$91,4)</f>
        <v>#N/A</v>
      </c>
      <c r="CT189" s="141" t="e">
        <f ca="1">(1-$CQ189)*VLOOKUP($CP189,Control!$B$86:$F$91,5)</f>
        <v>#N/A</v>
      </c>
      <c r="CU189" s="141">
        <f t="shared" ca="1" si="604"/>
        <v>0</v>
      </c>
      <c r="CV189" s="583">
        <f t="shared" ca="1" si="605"/>
        <v>0</v>
      </c>
      <c r="CW189" s="142">
        <f t="shared" ca="1" si="606"/>
        <v>185</v>
      </c>
      <c r="CX189" s="612" t="e">
        <f ca="1">IF(Control!$C$114=1,(MIN(Control!$C$120*(IF($NT189-0.01&lt;0,0,1)),Control!$C$119-$CY189)))</f>
        <v>#DIV/0!</v>
      </c>
      <c r="CY189" s="143" t="e">
        <f t="shared" ca="1" si="607"/>
        <v>#N/A</v>
      </c>
      <c r="CZ189" s="144">
        <f t="shared" ca="1" si="484"/>
        <v>0</v>
      </c>
      <c r="DA189" s="144">
        <f t="shared" ca="1" si="485"/>
        <v>0</v>
      </c>
      <c r="DB189" s="144" t="e">
        <f t="shared" ca="1" si="486"/>
        <v>#N/A</v>
      </c>
      <c r="DC189" s="144" t="e">
        <f t="shared" ca="1" si="487"/>
        <v>#N/A</v>
      </c>
      <c r="DD189" s="144" t="e">
        <f t="shared" ca="1" si="692"/>
        <v>#N/A</v>
      </c>
      <c r="DE189" s="143" t="e">
        <f t="shared" ca="1" si="608"/>
        <v>#N/A</v>
      </c>
      <c r="DF189" s="145" t="e">
        <f ca="1">$DR189*EXP(-Control!$C$158*(1-$KH189))</f>
        <v>#N/A</v>
      </c>
      <c r="DG189" s="146" t="e">
        <f ca="1">IF(Control!$C$114=1, $DF189*$EY189, 0)</f>
        <v>#N/A</v>
      </c>
      <c r="DH189" s="147" t="e">
        <f t="shared" ca="1" si="609"/>
        <v>#N/A</v>
      </c>
      <c r="DI189" s="144" t="e">
        <f t="shared" ca="1" si="670"/>
        <v>#N/A</v>
      </c>
      <c r="DJ189" s="147" t="e">
        <f ca="1">$EF189*Control!$C$109</f>
        <v>#N/A</v>
      </c>
      <c r="DK189" s="144" t="e">
        <f t="shared" ca="1" si="610"/>
        <v>#N/A</v>
      </c>
      <c r="DL189" s="144" t="e">
        <f t="shared" ca="1" si="488"/>
        <v>#N/A</v>
      </c>
      <c r="DM189" s="144" t="e">
        <f ca="1">IF(Control!$C$114=1, (1-EXP(-Control!$C$96*$DK189))*$AR189, 0)</f>
        <v>#N/A</v>
      </c>
      <c r="DN189" s="144">
        <f t="shared" ca="1" si="611"/>
        <v>0</v>
      </c>
      <c r="DO189" s="148">
        <f>Control!$C$97</f>
        <v>4</v>
      </c>
      <c r="DP189" s="145" t="e">
        <f t="shared" ca="1" si="612"/>
        <v>#N/A</v>
      </c>
      <c r="DQ189" s="145" t="e">
        <f ca="1">IF(AND($CP189&gt;=0,$CP189&lt;=90),Control!$C$111,Control!$C$111)</f>
        <v>#N/A</v>
      </c>
      <c r="DR189" s="145" t="e">
        <f t="shared" ca="1" si="489"/>
        <v>#N/A</v>
      </c>
      <c r="DS189" s="143" t="e">
        <f ca="1">Control!$B$22/$DR189</f>
        <v>#N/A</v>
      </c>
      <c r="DT189" s="149" t="e">
        <f ca="1">IF(AND(Control!$C$114=1,$KH189&lt;1),$IM189*$DF189, 0)</f>
        <v>#N/A</v>
      </c>
      <c r="DU189" s="144" t="e">
        <f t="shared" ca="1" si="613"/>
        <v>#N/A</v>
      </c>
      <c r="DV189" s="144">
        <f ca="1">IF($G189-Control!$C$107&lt;=0, 0, 0.83*LN(MAX($G189, 3))-0.8924)</f>
        <v>0</v>
      </c>
      <c r="DW189" s="144" t="e">
        <f t="shared" ca="1" si="490"/>
        <v>#N/A</v>
      </c>
      <c r="DX189" s="150" t="e">
        <f ca="1">MAX(0.01*(1+$CU189/Control!$C$102),0.05*($DK189-Control!$C$97)/Control!$C$97)</f>
        <v>#N/A</v>
      </c>
      <c r="DY189" s="151" t="e">
        <f ca="1">IF(Control!$C$114=1, $DI189*$FS189, 0)</f>
        <v>#N/A</v>
      </c>
      <c r="DZ189" s="196" t="e">
        <f t="shared" ca="1" si="614"/>
        <v>#N/A</v>
      </c>
      <c r="EA189" s="152">
        <f t="shared" ca="1" si="615"/>
        <v>185</v>
      </c>
      <c r="EB189" s="153" t="e">
        <f t="shared" ca="1" si="616"/>
        <v>#N/A</v>
      </c>
      <c r="EC189" s="153" t="e">
        <f t="shared" ca="1" si="617"/>
        <v>#N/A</v>
      </c>
      <c r="ED189" s="154" t="e">
        <f ca="1">IF(Control!$C$114=1, $HM189*$FY189-$FD189, 0)</f>
        <v>#DIV/0!</v>
      </c>
      <c r="EE189" s="155" t="e">
        <f ca="1">IF(Control!$C$114=1, $HM189*$FZ189-$FF189, 0)</f>
        <v>#DIV/0!</v>
      </c>
      <c r="EF189" s="153" t="e">
        <f t="shared" ca="1" si="671"/>
        <v>#N/A</v>
      </c>
      <c r="EG189" s="155" t="e">
        <f ca="1">IF(Control!$C$114=1, $GX189*$FW189-$FI189, 0)</f>
        <v>#DIV/0!</v>
      </c>
      <c r="EH189" s="153" t="e">
        <f t="shared" ca="1" si="618"/>
        <v>#N/A</v>
      </c>
      <c r="EI189" s="156" t="e">
        <f t="shared" ca="1" si="619"/>
        <v>#N/A</v>
      </c>
      <c r="EJ189" s="155" t="e">
        <f ca="1">IF(Control!$C$114=1, $HM189*$GB189, 0)</f>
        <v>#DIV/0!</v>
      </c>
      <c r="EK189" s="153" t="e">
        <f t="shared" ca="1" si="672"/>
        <v>#N/A</v>
      </c>
      <c r="EL189" s="153" t="e">
        <f t="shared" ca="1" si="491"/>
        <v>#N/A</v>
      </c>
      <c r="EM189" s="153" t="e">
        <f t="shared" ca="1" si="492"/>
        <v>#N/A</v>
      </c>
      <c r="EN189" s="153" t="e">
        <f ca="1">IF(Control!$C$108=1,IF(AND(Control!$B$18=1,$EB189&gt;=Control!$B$19),$EB189-$DS189,IF(AND(Control!$B$18=2,$AW189=1,$EB189&gt;$DS189),$EB189-$DS189,0)))</f>
        <v>#N/A</v>
      </c>
      <c r="EO189" s="153" t="e">
        <f ca="1">IF(Control!$C$108=1,IF(AND(Control!$B$18=1,$EB189&gt;=Control!$B$19),$EF189,IF(AND(Control!$B$18=2,$AW189=1),$EF189,0)))</f>
        <v>#N/A</v>
      </c>
      <c r="EP189" s="153" t="e">
        <f ca="1">IF(Control!$C$108=1,IF(AND(Control!$B$18=1,$EB189&gt;=Control!$B$19),$EK189,IF(AND(Control!$B$18=2,$AW189=1),$EK189,0)))</f>
        <v>#N/A</v>
      </c>
      <c r="EQ189" s="153" t="e">
        <f t="shared" ca="1" si="620"/>
        <v>#N/A</v>
      </c>
      <c r="ER189" s="153" t="e">
        <f t="shared" ca="1" si="621"/>
        <v>#N/A</v>
      </c>
      <c r="ES189" s="153" t="e">
        <f t="shared" ca="1" si="673"/>
        <v>#N/A</v>
      </c>
      <c r="ET189" s="153" t="e">
        <f t="shared" ca="1" si="674"/>
        <v>#N/A</v>
      </c>
      <c r="EU189" s="153" t="e">
        <f t="shared" ca="1" si="622"/>
        <v>#N/A</v>
      </c>
      <c r="EV189" s="153" t="e">
        <f t="shared" ca="1" si="493"/>
        <v>#N/A</v>
      </c>
      <c r="EW189" s="153" t="e">
        <f t="shared" ca="1" si="494"/>
        <v>#N/A</v>
      </c>
      <c r="EX189" s="153" t="e">
        <f t="shared" ca="1" si="495"/>
        <v>#N/A</v>
      </c>
      <c r="EY189" s="157" t="e">
        <f t="shared" ca="1" si="496"/>
        <v>#DIV/0!</v>
      </c>
      <c r="EZ189" s="154" t="e">
        <f t="shared" ca="1" si="497"/>
        <v>#DIV/0!</v>
      </c>
      <c r="FA189" s="153" t="e">
        <f t="shared" ca="1" si="623"/>
        <v>#N/A</v>
      </c>
      <c r="FB189" s="153" t="e">
        <f t="shared" ca="1" si="498"/>
        <v>#N/A</v>
      </c>
      <c r="FC189" s="193" t="e">
        <f t="shared" ca="1" si="499"/>
        <v>#N/A</v>
      </c>
      <c r="FD189" s="158" t="e">
        <f t="shared" ca="1" si="624"/>
        <v>#N/A</v>
      </c>
      <c r="FE189" s="158" t="e">
        <f t="shared" ca="1" si="625"/>
        <v>#N/A</v>
      </c>
      <c r="FF189" s="159" t="e">
        <f t="shared" ca="1" si="500"/>
        <v>#N/A</v>
      </c>
      <c r="FG189" s="160" t="e">
        <f t="shared" ca="1" si="626"/>
        <v>#N/A</v>
      </c>
      <c r="FH189" s="158" t="e">
        <f t="shared" ca="1" si="627"/>
        <v>#N/A</v>
      </c>
      <c r="FI189" s="159" t="e">
        <f t="shared" ca="1" si="501"/>
        <v>#N/A</v>
      </c>
      <c r="FJ189" s="160" t="e">
        <f t="shared" ca="1" si="628"/>
        <v>#N/A</v>
      </c>
      <c r="FK189" s="160" t="e">
        <f t="shared" ca="1" si="502"/>
        <v>#N/A</v>
      </c>
      <c r="FL189" s="160" t="e">
        <f t="shared" ca="1" si="675"/>
        <v>#N/A</v>
      </c>
      <c r="FM189" s="160" t="e">
        <f t="shared" ca="1" si="503"/>
        <v>#N/A</v>
      </c>
      <c r="FN189" s="158">
        <f t="shared" ca="1" si="629"/>
        <v>0.01</v>
      </c>
      <c r="FO189" s="160">
        <f>Control!$C$101</f>
        <v>50</v>
      </c>
      <c r="FP189" s="150" t="e">
        <f t="shared" ca="1" si="504"/>
        <v>#N/A</v>
      </c>
      <c r="FQ189" s="150" t="e">
        <f ca="1">MAX(0,(Control!$C$112*(($DK189-Control!$C$97)/Control!$C$97)))</f>
        <v>#N/A</v>
      </c>
      <c r="FR189" s="150" t="e">
        <f ca="1">(1-$NT189)*Control!$C$113</f>
        <v>#DIV/0!</v>
      </c>
      <c r="FS189" s="198" t="e">
        <f t="shared" ca="1" si="505"/>
        <v>#N/A</v>
      </c>
      <c r="FT189" s="161">
        <f t="shared" ca="1" si="630"/>
        <v>185</v>
      </c>
      <c r="FU189" s="162" t="e">
        <f ca="1">IF(Control!$B$34=1,VLOOKUP($CP189,Control!$B$86:$G$91,6),Control!$B$35)</f>
        <v>#N/A</v>
      </c>
      <c r="FV189" s="162" t="e">
        <f t="shared" ca="1" si="506"/>
        <v>#DIV/0!</v>
      </c>
      <c r="FW189" s="162" t="e">
        <f ca="1">IF(Control!$B$31=1,$FU189*$FV189,  $FU189)</f>
        <v>#N/A</v>
      </c>
      <c r="FX189" s="162" t="e">
        <f ca="1">IF(Control!$B$34=1,VLOOKUP($CP189,Control!$B$86:$G$91,3),Control!$B$36)</f>
        <v>#N/A</v>
      </c>
      <c r="FY189" s="162" t="e">
        <f t="shared" ca="1" si="507"/>
        <v>#N/A</v>
      </c>
      <c r="FZ189" s="162" t="e">
        <f ca="1">IF(Control!$B$34=1,VLOOKUP($CP189,Control!$B$86:$G$91,4),Control!$B$37)</f>
        <v>#N/A</v>
      </c>
      <c r="GA189" s="162" t="e">
        <f t="shared" ca="1" si="508"/>
        <v>#N/A</v>
      </c>
      <c r="GB189" s="162" t="e">
        <f ca="1">IF(Control!$B$34=1,VLOOKUP($CP189,Control!$B$86:$G$91,5),Control!$B$38)</f>
        <v>#N/A</v>
      </c>
      <c r="GC189" s="162" t="e">
        <f t="shared" ca="1" si="631"/>
        <v>#N/A</v>
      </c>
      <c r="GD189" s="162">
        <f t="shared" ca="1" si="509"/>
        <v>1</v>
      </c>
      <c r="GE189" s="162">
        <f t="shared" ca="1" si="510"/>
        <v>1</v>
      </c>
      <c r="GF189" s="162">
        <f ca="1">IF(AND(Control!$C$104=1, Control!$C$62="F"),$GE189,1)</f>
        <v>1</v>
      </c>
      <c r="GG189" s="162" t="e">
        <f ca="1">IF(Control!$B$16=40,0,IF(AND(Control!$B$16&gt;40,Control!$B$16&lt;=360),(Control!$B$16-40)*((1-0)/(360-40)),IF(AND(Control!$B$16&gt;360,Control!$B$16&lt;=720),(1+(Control!$B$16-360)*((1.25-1)/(720-360))),IF(AND(Control!$B$16&gt;720,Control!$B$16&lt;=1000),(1.25+(Control!$B$16-720)*((1.35-1.25)/(1000-720))),IF(AND(Control!$B$16&gt;1000,Control!$B$16&lt;=2000),(1.35+(Control!$B$16-1000)*0))))))</f>
        <v>#N/A</v>
      </c>
      <c r="GH189" s="162" t="e">
        <f t="shared" ca="1" si="511"/>
        <v>#N/A</v>
      </c>
      <c r="GI189" s="162">
        <f t="shared" ca="1" si="632"/>
        <v>0</v>
      </c>
      <c r="GJ189" s="162">
        <f t="shared" ca="1" si="512"/>
        <v>0</v>
      </c>
      <c r="GK189" s="162">
        <f t="shared" ca="1" si="633"/>
        <v>1</v>
      </c>
      <c r="GL189" s="162">
        <f t="shared" ca="1" si="513"/>
        <v>1</v>
      </c>
      <c r="GM189" s="162" t="e">
        <f ca="1">MAX(0,MIN(1,1-Control!$C$156*(1.0001-$KH189)^2))</f>
        <v>#N/A</v>
      </c>
      <c r="GN189" s="162" t="e">
        <f ca="1">IF(Control!$B$26=1,$KU189,$KX189)</f>
        <v>#N/A</v>
      </c>
      <c r="GO189" s="162" t="e">
        <f ca="1">IF($CP189&lt;=60,Control!$C$105,IF($CP189&gt;=90,Control!$C$106,Control!$C$105+($CP189-60)*((Control!$C$106-Control!$C$105)/(90-60))))</f>
        <v>#N/A</v>
      </c>
      <c r="GP189" s="162" t="e">
        <f t="shared" ca="1" si="514"/>
        <v>#N/A</v>
      </c>
      <c r="GQ189" s="162" t="e">
        <f t="shared" ca="1" si="634"/>
        <v>#N/A</v>
      </c>
      <c r="GR189" s="163" t="e">
        <f t="shared" ca="1" si="515"/>
        <v>#DIV/0!</v>
      </c>
      <c r="GS189" s="162" t="e">
        <f t="shared" ca="1" si="516"/>
        <v>#DIV/0!</v>
      </c>
      <c r="GT189" s="164" t="e">
        <f t="shared" ca="1" si="635"/>
        <v>#N/A</v>
      </c>
      <c r="GU189" s="162" t="e">
        <f t="shared" ca="1" si="636"/>
        <v>#N/A</v>
      </c>
      <c r="GV189" s="162" t="e">
        <f t="shared" ca="1" si="517"/>
        <v>#N/A</v>
      </c>
      <c r="GW189" s="162" t="e">
        <f t="shared" ca="1" si="518"/>
        <v>#DIV/0!</v>
      </c>
      <c r="GX189" s="162" t="e">
        <f t="shared" ca="1" si="637"/>
        <v>#DIV/0!</v>
      </c>
      <c r="GY189" s="162" t="e">
        <f t="shared" ca="1" si="638"/>
        <v>#DIV/0!</v>
      </c>
      <c r="GZ189" s="165" t="e">
        <f t="shared" ca="1" si="519"/>
        <v>#N/A</v>
      </c>
      <c r="HA189" s="162" t="e">
        <f ca="1">IF(Control!$C$114=1, $DI189*$FS189, 0)</f>
        <v>#N/A</v>
      </c>
      <c r="HB189" s="162" t="e">
        <f ca="1">$FA189/Control!$C$64</f>
        <v>#N/A</v>
      </c>
      <c r="HC189" s="162" t="e">
        <f t="shared" ca="1" si="520"/>
        <v>#DIV/0!</v>
      </c>
      <c r="HD189" s="162">
        <f ca="1">-ASIN(SIN(23.45*Control!$C$139)*COS(2*Control!$C$138*($AH189+10)/365))</f>
        <v>0.39929785376024202</v>
      </c>
      <c r="HE189" s="165">
        <f t="shared" ca="1" si="639"/>
        <v>0</v>
      </c>
      <c r="HF189" s="166">
        <f ca="1">IF(AND(Control!$C$61="T",$HE189&gt;=Control!$C$103,Control!$C$114=0),$AH189,Control!$C$59)</f>
        <v>1</v>
      </c>
      <c r="HG189" s="166">
        <f ca="1">IF(AND(Control!$C$61="T",$HE189&gt;=Control!$C$103,Control!$C$114=0),$HF189,Control!$C$59)</f>
        <v>1</v>
      </c>
      <c r="HH189" s="165">
        <f ca="1">IF(AND(OR(Control!$C$60&lt;=0, $AH189= Control!$C$59, Control!$C$60 &gt;0, $AH189 = Control!$C$60)), Control!$C$59, IF(Control!$C$60&gt;0, 0))</f>
        <v>1</v>
      </c>
      <c r="HI189" s="165">
        <f ca="1">IF(AND(OR(Control!$C$60&lt;=0, $AH189= Control!$C$59, Control!$C$60 &gt;0, $AH189 = Control!$C$60)), Control!$C$60, IF(Control!$C$60&lt;=0, 0))</f>
        <v>0</v>
      </c>
      <c r="HJ189" s="166">
        <f ca="1">IF(AND(Control!$C$62="F",$CV189&gt;=Control!$C$102),$AH189,0)</f>
        <v>0</v>
      </c>
      <c r="HK189" s="165" t="e">
        <f t="shared" ca="1" si="676"/>
        <v>#N/A</v>
      </c>
      <c r="HL189" s="166">
        <f ca="1">IF(AND(Control!$C$61="T",$HE189&gt;=Control!$C$103,Control!$C$114=0),$HF189,0)</f>
        <v>0</v>
      </c>
      <c r="HM189" s="201" t="e">
        <f t="shared" ca="1" si="521"/>
        <v>#DIV/0!</v>
      </c>
      <c r="HN189" s="215">
        <f t="shared" ca="1" si="640"/>
        <v>185</v>
      </c>
      <c r="HO189" s="216" t="e">
        <f ca="1">IF(AND($CP189&gt;=0, $CP189&lt;=90), Control!$C$152, Control!$C$152)</f>
        <v>#N/A</v>
      </c>
      <c r="HP189" s="216" t="e">
        <f t="shared" ca="1" si="522"/>
        <v>#N/A</v>
      </c>
      <c r="HQ189" s="217" t="e">
        <f ca="1">IF(OR(Control!$B$26=1,Control!$B$26=2),$KV189,$KS189)</f>
        <v>#DIV/0!</v>
      </c>
      <c r="HR189" s="218" t="e">
        <f t="shared" ca="1" si="677"/>
        <v>#DIV/0!</v>
      </c>
      <c r="HS189" s="216" t="e">
        <f ca="1">Control!$C$154*$HP189</f>
        <v>#N/A</v>
      </c>
      <c r="HT189" s="216" t="e">
        <f ca="1">Control!$C$155*$HP189</f>
        <v>#N/A</v>
      </c>
      <c r="HU189" s="217" t="e">
        <f ca="1">Control!$C$161*$FI189</f>
        <v>#N/A</v>
      </c>
      <c r="HV189" s="218" t="e">
        <f t="shared" ca="1" si="641"/>
        <v>#N/A</v>
      </c>
      <c r="HW189" s="218" t="e">
        <f ca="1">Control!$C$160*$FF189+$IP189*$EO189</f>
        <v>#N/A</v>
      </c>
      <c r="HX189" s="218" t="e">
        <f t="shared" ca="1" si="678"/>
        <v>#N/A</v>
      </c>
      <c r="HY189" s="219" t="e">
        <f ca="1">IF(Control!$C$114=1, $EB189*$FS189, 0)</f>
        <v>#N/A</v>
      </c>
      <c r="HZ189" s="91" t="e">
        <f t="shared" ca="1" si="523"/>
        <v>#N/A</v>
      </c>
      <c r="IA189" s="220" t="e">
        <f ca="1">Control!$C$153*$HO189</f>
        <v>#N/A</v>
      </c>
      <c r="IB189" s="218" t="e">
        <f t="shared" ca="1" si="524"/>
        <v>#N/A</v>
      </c>
      <c r="IC189" s="220" t="e">
        <f ca="1">Control!$C$153*$HT189</f>
        <v>#N/A</v>
      </c>
      <c r="ID189" s="218" t="e">
        <f t="shared" ca="1" si="525"/>
        <v>#N/A</v>
      </c>
      <c r="IE189" s="221" t="e">
        <f ca="1">($EB189*Control!$C$159+$EF189*Control!$C$160)/(IF($GZ189&lt;&gt;0,$GZ189,1))</f>
        <v>#N/A</v>
      </c>
      <c r="IF189" s="216" t="e">
        <f t="shared" ca="1" si="526"/>
        <v>#N/A</v>
      </c>
      <c r="IG189" s="91">
        <f ca="1">IF(OR(Control!$B$198=$AH189,Control!$B$199=$AH189, Control!$B$200=$AH189, Control!$B$201=$AH189, Control!$B$202=$AH189, Control!$B$203=$AH189, Control!$B$204=$AH189, Control!$B$205=$AH189, Control!$B$206=$AH189, Control!$B$207=$AH189), 1, 0)</f>
        <v>0</v>
      </c>
      <c r="IH189" s="91">
        <f ca="1">IF($IG189=0,0, VLOOKUP($AH189,Control!$B$198:$C$207,2))</f>
        <v>0</v>
      </c>
      <c r="II189" s="222">
        <f t="shared" ca="1" si="642"/>
        <v>0</v>
      </c>
      <c r="IJ189" s="91">
        <f>Control!$C$121</f>
        <v>0.7</v>
      </c>
      <c r="IK189" s="218">
        <f t="shared" ca="1" si="527"/>
        <v>0</v>
      </c>
      <c r="IL189" s="217" t="e">
        <f t="shared" ca="1" si="679"/>
        <v>#N/A</v>
      </c>
      <c r="IM189" s="223" t="e">
        <f ca="1">IF(AND(Control!$C$114=1,$KH189&lt;1),$EB189*Control!$C$148*(1-$KH189), 0)</f>
        <v>#N/A</v>
      </c>
      <c r="IN189" s="217" t="e">
        <f t="shared" ca="1" si="528"/>
        <v>#DIV/0!</v>
      </c>
      <c r="IO189" s="91" t="e">
        <f ca="1">MAX(0,$IL189-$EF189*Control!$C$160)</f>
        <v>#N/A</v>
      </c>
      <c r="IP189" s="220" t="e">
        <f t="shared" ca="1" si="529"/>
        <v>#N/A</v>
      </c>
      <c r="IQ189" s="217" t="e">
        <f t="shared" ca="1" si="643"/>
        <v>#N/A</v>
      </c>
      <c r="IR189" s="218" t="e">
        <f t="shared" ca="1" si="530"/>
        <v>#N/A</v>
      </c>
      <c r="IS189" s="217" t="e">
        <f ca="1">Control!$C$159*MAX(0,$FD189-$EN189)</f>
        <v>#N/A</v>
      </c>
      <c r="IT189" s="217" t="e">
        <f t="shared" ca="1" si="680"/>
        <v>#N/A</v>
      </c>
      <c r="IU189" s="217" t="e">
        <f t="shared" ca="1" si="644"/>
        <v>#N/A</v>
      </c>
      <c r="IV189" s="217" t="e">
        <f t="shared" ca="1" si="681"/>
        <v>#N/A</v>
      </c>
      <c r="IW189" s="217" t="e">
        <f ca="1">IF(OR($AW189=1,AND($AW189=0, Control!$B$18=1,$EN189&lt;&gt;0)), $IQ189-$IU189, $IQ189)</f>
        <v>#N/A</v>
      </c>
      <c r="IX189" s="218" t="e">
        <f t="shared" ca="1" si="531"/>
        <v>#N/A</v>
      </c>
      <c r="IY189" s="218" t="e">
        <f ca="1">MAX(0,$IQ189-$EB189*Control!$C$159)</f>
        <v>#N/A</v>
      </c>
      <c r="IZ189" s="218" t="e">
        <f t="shared" ca="1" si="532"/>
        <v>#N/A</v>
      </c>
      <c r="JA189" s="216" t="e">
        <f t="shared" ca="1" si="533"/>
        <v>#N/A</v>
      </c>
      <c r="JB189" s="217" t="e">
        <f t="shared" ca="1" si="534"/>
        <v>#N/A</v>
      </c>
      <c r="JC189" s="222" t="e">
        <f ca="1">MAX(Control!$C$157*$EK189-$JT189, 0)/Control!$C$162</f>
        <v>#N/A</v>
      </c>
      <c r="JD189" s="218" t="e">
        <f t="shared" ca="1" si="535"/>
        <v>#N/A</v>
      </c>
      <c r="JE189" s="218" t="e">
        <f t="shared" ca="1" si="536"/>
        <v>#N/A</v>
      </c>
      <c r="JF189" s="218" t="e">
        <f t="shared" ca="1" si="645"/>
        <v>#N/A</v>
      </c>
      <c r="JG189" s="218" t="e">
        <f t="shared" ca="1" si="537"/>
        <v>#N/A</v>
      </c>
      <c r="JH189" s="217" t="e">
        <f t="shared" ca="1" si="646"/>
        <v>#N/A</v>
      </c>
      <c r="JI189" s="217" t="e">
        <f t="shared" ca="1" si="647"/>
        <v>#N/A</v>
      </c>
      <c r="JJ189" s="217" t="e">
        <f t="shared" ca="1" si="682"/>
        <v>#N/A</v>
      </c>
      <c r="JK189" s="217" t="e">
        <f ca="1">IF(Control!$C$114=1,IF(Control!$B$24=0,MAX(0,$JI189)*$GN189/Control!$C$64,(MAX(0,MIN($JI189,$JJ189*$GN189/Control!$C$64),0))))</f>
        <v>#N/A</v>
      </c>
      <c r="JL189" s="217" t="e">
        <f ca="1">$IK189/Control!$C$64-$JK189+$HQ189</f>
        <v>#N/A</v>
      </c>
      <c r="JM189" s="217" t="e">
        <f ca="1">IF(Control!$C$114=1,($JB189/(IF($JI189&lt;&gt;0,$JI189,1)))*$JK189,0)</f>
        <v>#N/A</v>
      </c>
      <c r="JN189" s="217" t="e">
        <f ca="1">IF(Control!$C$114=1,($JG189/(IF($JI189&lt;&gt;0,$JI189,1)))*$JK189, 0)</f>
        <v>#N/A</v>
      </c>
      <c r="JO189" s="218" t="e">
        <f t="shared" ca="1" si="538"/>
        <v>#N/A</v>
      </c>
      <c r="JP189" s="218" t="e">
        <f ca="1">MIN(($IY189+$IO189)*Control!$C$151, $JF189-$EH189*Control!$C$161)</f>
        <v>#N/A</v>
      </c>
      <c r="JQ189" s="218" t="e">
        <f t="shared" ca="1" si="539"/>
        <v>#N/A</v>
      </c>
      <c r="JR189" s="217" t="e">
        <f ca="1">IF($CP189-Control!$C$150&lt;0, 0, $JQ189/Control!$C$162)</f>
        <v>#N/A</v>
      </c>
      <c r="JS189" s="218" t="e">
        <f t="shared" ca="1" si="540"/>
        <v>#N/A</v>
      </c>
      <c r="JT189" s="218" t="e">
        <f t="shared" ca="1" si="648"/>
        <v>#N/A</v>
      </c>
      <c r="JU189" s="218" t="e">
        <f t="shared" ca="1" si="541"/>
        <v>#N/A</v>
      </c>
      <c r="JV189" s="218" t="e">
        <f t="shared" ca="1" si="542"/>
        <v>#N/A</v>
      </c>
      <c r="JW189" s="216" t="e">
        <f t="shared" ca="1" si="543"/>
        <v>#N/A</v>
      </c>
      <c r="JX189" s="91" t="e">
        <f t="shared" ca="1" si="544"/>
        <v>#N/A</v>
      </c>
      <c r="JY189" s="218" t="e">
        <f t="shared" ca="1" si="545"/>
        <v>#N/A</v>
      </c>
      <c r="JZ189" s="217" t="e">
        <f ca="1">IF(Control!$C$114=1,($IZ189/(IF($JI189&lt;&gt;0,$JI189,1)))*$JK189, 0)</f>
        <v>#N/A</v>
      </c>
      <c r="KA189" s="218" t="e">
        <f t="shared" ca="1" si="683"/>
        <v>#N/A</v>
      </c>
      <c r="KB189" s="218" t="e">
        <f t="shared" ca="1" si="649"/>
        <v>#N/A</v>
      </c>
      <c r="KC189" s="218" t="e">
        <f t="shared" ca="1" si="546"/>
        <v>#N/A</v>
      </c>
      <c r="KD189" s="218" t="e">
        <f t="shared" ca="1" si="547"/>
        <v>#N/A</v>
      </c>
      <c r="KE189" s="218" t="e">
        <f t="shared" ca="1" si="548"/>
        <v>#N/A</v>
      </c>
      <c r="KF189" s="218" t="e">
        <f t="shared" ca="1" si="549"/>
        <v>#N/A</v>
      </c>
      <c r="KG189" s="216" t="e">
        <f t="shared" ca="1" si="550"/>
        <v>#N/A</v>
      </c>
      <c r="KH189" s="221" t="e">
        <f ca="1">IF(Control!$B$24=0,1,MAX(0.001,MIN(1,IF(($IF189-$IE189)&lt;&gt;0,($KG189-$IE189)/($IF189-$IE189),1))))</f>
        <v>#N/A</v>
      </c>
      <c r="KI189" s="222" t="e">
        <f ca="1">IF(Control!$C$114=1, $KI188+ $KH188, 0)</f>
        <v>#N/A</v>
      </c>
      <c r="KJ189" s="217" t="e">
        <f t="shared" ca="1" si="551"/>
        <v>#N/A</v>
      </c>
      <c r="KK189" s="218" t="e">
        <f t="shared" ca="1" si="552"/>
        <v>#N/A</v>
      </c>
      <c r="KL189" s="274" t="e">
        <f ca="1">IF(Control!$B$26=3,4000000000*EXP(-8400/($G189+273)),IF(Control!$B$26=4,4000000000*EXP(-8400/($G189+273))*($KT189),0))</f>
        <v>#DIV/0!</v>
      </c>
      <c r="KM189" s="274" t="e">
        <f ca="1">IF(Control!$B$26=3,5600000000000*EXP(-9800/($G189+273)),IF(Control!$B$26=4,5600000000000*EXP(-9800/($G189+273))*$KT189,0))</f>
        <v>#DIV/0!</v>
      </c>
      <c r="KN189" s="454" t="e">
        <f t="shared" ca="1" si="650"/>
        <v>#DIV/0!</v>
      </c>
      <c r="KO189" s="274" t="e">
        <f t="shared" ca="1" si="651"/>
        <v>#DIV/0!</v>
      </c>
      <c r="KP189" s="454" t="e">
        <f t="shared" ca="1" si="553"/>
        <v>#DIV/0!</v>
      </c>
      <c r="KQ189" s="454" t="e">
        <f t="shared" ca="1" si="554"/>
        <v>#DIV/0!</v>
      </c>
      <c r="KR189" s="454" t="e">
        <f t="shared" ca="1" si="555"/>
        <v>#DIV/0!</v>
      </c>
      <c r="KS189" s="454" t="e">
        <f t="shared" ca="1" si="556"/>
        <v>#DIV/0!</v>
      </c>
      <c r="KT189" s="455" t="e">
        <f t="shared" ca="1" si="557"/>
        <v>#DIV/0!</v>
      </c>
      <c r="KU189" s="456" t="e">
        <f ca="1">IF($CP189-Control!$C$149&lt;0, IF($NT189-0.01&lt;0,0,1),0)</f>
        <v>#N/A</v>
      </c>
      <c r="KV189" s="456" t="e">
        <f ca="1">IF(Control!$C$114=1,MAX(0,MIN(Control!$C$125*$KW189*$GN189,$KW189)))</f>
        <v>#DIV/0!</v>
      </c>
      <c r="KW189" s="456" t="e">
        <f t="shared" ca="1" si="684"/>
        <v>#DIV/0!</v>
      </c>
      <c r="KX189" s="457" t="e">
        <f ca="1">IF($CP189-Control!$C$149&lt;0, IF($MR189-$OM189&lt;0,0,1),0)</f>
        <v>#N/A</v>
      </c>
      <c r="KY189" s="167">
        <f t="shared" ca="1" si="652"/>
        <v>185</v>
      </c>
      <c r="KZ189" s="168">
        <f ca="1">1370*(1+0.033*COS(2*Control!$C$138*$AH189/365))</f>
        <v>1324.8318737422469</v>
      </c>
      <c r="LA189" s="169">
        <f t="shared" ca="1" si="653"/>
        <v>0.96703055420162642</v>
      </c>
      <c r="LB189" s="169">
        <f t="shared" ca="1" si="654"/>
        <v>0.39879711269143509</v>
      </c>
      <c r="LC189" s="169">
        <f ca="1">ACOS(-TAN((2*Control!$B$8/360))*TAN(Calculations!$LB189))</f>
        <v>1.6963602892286316</v>
      </c>
      <c r="LD189" s="169">
        <f ca="1">((24*60)/PI())*0.082*$LA189*(($LC189*SIN(Control!$B$8*2*PI()/360))*SIN($LB189)+COS(Control!$B$8*2*PI()/360)*COS($LB189)*SIN($LC189))</f>
        <v>39.325709380305931</v>
      </c>
      <c r="LE189" s="170">
        <f t="shared" ca="1" si="558"/>
        <v>40.985992800024064</v>
      </c>
      <c r="LF189" s="170">
        <f ca="1">SIN(Control!$C$139*Control!$B$8)*SIN($HD189)</f>
        <v>0.30635665183213895</v>
      </c>
      <c r="LG189" s="170">
        <f ca="1">COS(Control!$C$139*Control!$B$8)*COS($HD189)</f>
        <v>0.56722842927255368</v>
      </c>
      <c r="LH189" s="170">
        <f ca="1">12*(1+2*ASIN(MAX(-1,MIN(1,$LF189/$LG189))/Control!$C$138))</f>
        <v>16.146603772774196</v>
      </c>
      <c r="LI189" s="170">
        <f ca="1">12*(1+2*ASIN(MAX(-1,MIN(1,(-SIN(-4*Control!$C$139)+$LF189)/$LG189))/Control!$C$138))</f>
        <v>17.103868418399031</v>
      </c>
      <c r="LJ189" s="168">
        <f ca="1">3600*($LH189*$LF189+24*$LG189*SQRT(1-$LK189*$LK189)/Control!$C$138)</f>
        <v>30936.750249109802</v>
      </c>
      <c r="LK189" s="170">
        <f t="shared" ca="1" si="559"/>
        <v>0.54009396571506174</v>
      </c>
      <c r="LL189" s="170">
        <f t="shared" ca="1" si="560"/>
        <v>0</v>
      </c>
      <c r="LM189" s="171">
        <f ca="1">Control!$C$145*$AB189</f>
        <v>6.6660906138995932E-2</v>
      </c>
      <c r="LN189" s="170">
        <f t="shared" ca="1" si="655"/>
        <v>0.54</v>
      </c>
      <c r="LO189" s="170">
        <f t="shared" ca="1" si="561"/>
        <v>0</v>
      </c>
      <c r="LP189" s="170">
        <f ca="1">Control!$C$140*((($D189+273.16)^4+($E189+273.16)^4)/2)*(0.34-0.14*SQRT($Y189))*(1.35*$AQ189/(0.75*$LD189)-0.35)</f>
        <v>-3.2464704755046001</v>
      </c>
      <c r="LQ189" s="170">
        <f ca="1">Control!$C$140*($G189+273)^4*(0.56-0.079*SQRT($Y189*10))*(0.1+0.9*$LO189)</f>
        <v>1.5241745131704001</v>
      </c>
      <c r="LR189" s="170">
        <f ca="1">$AQ189*(1-Control!$C$142)-$LQ189</f>
        <v>-1.5241745131704001</v>
      </c>
      <c r="LS189" s="170">
        <f ca="1">$AQ189*(1-Control!$C$143)-$LQ189</f>
        <v>-1.5241745131704001</v>
      </c>
      <c r="LT189" s="170">
        <f ca="1">$AQ189*(1-Control!$C$144)-$LQ189</f>
        <v>-1.5241745131704001</v>
      </c>
      <c r="LU189" s="169">
        <f ca="1">(1-Control!$C$144)*AQ189-LP189</f>
        <v>3.2464704755046001</v>
      </c>
      <c r="LV189" s="172">
        <f t="shared" ca="1" si="562"/>
        <v>0.79430000000000012</v>
      </c>
      <c r="LW189" s="170">
        <f t="shared" ca="1" si="563"/>
        <v>1.5886000000000002</v>
      </c>
      <c r="LX189" s="170">
        <f ca="1">($AC189*($LR189/Control!$C$141)+$LM189*$LV189)/($AC189+$LM189)</f>
        <v>0.23530094218323697</v>
      </c>
      <c r="LY189" s="170">
        <f ca="1">($AC189*($LS189/Control!$C$141)+$LM189*$LV189)/($AC189+$LM189)</f>
        <v>0.23530094218323697</v>
      </c>
      <c r="LZ189" s="170">
        <f t="shared" ca="1" si="564"/>
        <v>0.23530094218323697</v>
      </c>
      <c r="MA189" s="170">
        <f t="shared" ca="1" si="565"/>
        <v>0.23530094218323697</v>
      </c>
      <c r="MB189" s="170" t="e">
        <f t="shared" ca="1" si="566"/>
        <v>#N/A</v>
      </c>
      <c r="MC189" s="170">
        <f t="shared" ca="1" si="656"/>
        <v>0.6018</v>
      </c>
      <c r="MD189" s="170">
        <f t="shared" ca="1" si="567"/>
        <v>0.52989392535414004</v>
      </c>
      <c r="ME189" s="170">
        <f ca="1">($AC189*($LT189/Control!$C$141)+$LM189*$LW189)/($AC189+$LM189)</f>
        <v>0.71612369323045078</v>
      </c>
      <c r="MF189" s="170" t="e">
        <f ca="1">IF(Control!$B$16&gt;=1000,0.92,IF(AND(720&lt;=Control!$B$16,1000&gt;Control!$B$16),(0.95+(Control!$B$16-720)*((0.92-0.95)/(1000-720))),IF(AND(360&lt;=Control!$B$16,720&gt;Control!$B$16),(1+(Control!$B$16-360)*((0.95-1)/(720-360))),IF(AND(40&lt;=Control!$B$16,360&gt;Control!$B$16),(1.05+(Control!$B$16-40)*((1.05-1)/(360-40)))))))</f>
        <v>#N/A</v>
      </c>
      <c r="MG189" s="170">
        <f t="shared" ca="1" si="568"/>
        <v>0.71612369323045078</v>
      </c>
      <c r="MH189" s="170" t="e">
        <f t="shared" ca="1" si="695"/>
        <v>#N/A</v>
      </c>
      <c r="MI189" s="170" t="e">
        <f t="shared" ca="1" si="695"/>
        <v>#N/A</v>
      </c>
      <c r="MJ189" s="170" t="e">
        <f ca="1">MAX(0.0001, Control!$C$132*$MI189*$DL189)</f>
        <v>#N/A</v>
      </c>
      <c r="MK189" s="170">
        <f ca="1">1/(0.76+1.5*($MG189/10))-(5-Control!$C$110)*0.1</f>
        <v>1.002845988140797</v>
      </c>
      <c r="ML189" s="173">
        <f ca="1">IF(Control!$C$110&lt;3,$MK189+($MG189-0.6)/(Control!$C$110*(Control!$C$110+3)), MAX(0.1, MIN(0.95,$MK189)))</f>
        <v>0.95</v>
      </c>
      <c r="MM189" s="173">
        <f ca="1">IF(Control!$C$110&lt;3,$MK189+(($MI189/10)-0.6)/(Control!$C$110*(Control!$C$110+3)), MAX(0.1, MIN(0.95,$MK189)))</f>
        <v>0.95</v>
      </c>
      <c r="MN189" s="173">
        <f ca="1">(1-$MM189)*(Control!$C$128-Control!$C$127)+Control!$C$127</f>
        <v>0.16</v>
      </c>
      <c r="MO189" s="170" t="e">
        <f ca="1">MAX(0,MIN(1,($MS189-Control!$C$127)/($MN189-Control!$C$127)))</f>
        <v>#DIV/0!</v>
      </c>
      <c r="MP189" s="173" t="e">
        <f ca="1">1/(0.76+1.5*$MI189)-(5-Control!$C$110)*0.1</f>
        <v>#N/A</v>
      </c>
      <c r="MQ189" s="172" t="e">
        <f t="shared" ca="1" si="685"/>
        <v>#DIV/0!</v>
      </c>
      <c r="MR189" s="168" t="e">
        <f t="shared" ca="1" si="657"/>
        <v>#DIV/0!</v>
      </c>
      <c r="MS189" s="173" t="e">
        <f ca="1">MAX(Control!$C$127, MIN(Control!$C$135, $MR189/MAX(0.0001,$CY189)))</f>
        <v>#DIV/0!</v>
      </c>
      <c r="MT189" s="168" t="e">
        <f ca="1">(Control!$C$128-$MS189)*Control!$C$74</f>
        <v>#DIV/0!</v>
      </c>
      <c r="MU189" s="168" t="e">
        <f ca="1">(Control!$C$135-$MS189)*Control!$C$74</f>
        <v>#DIV/0!</v>
      </c>
      <c r="MV189" s="168" t="e">
        <f t="shared" ca="1" si="658"/>
        <v>#DIV/0!</v>
      </c>
      <c r="MW189" s="168" t="e">
        <f t="shared" ca="1" si="659"/>
        <v>#DIV/0!</v>
      </c>
      <c r="MX189" s="171" t="e">
        <f ca="1">MAX(Control!$C$127, MIN(Control!$C$135, $MW189/MAX(0.0001,Control!$C$119-$CY189)))</f>
        <v>#DIV/0!</v>
      </c>
      <c r="MY189" s="54" t="e">
        <f ca="1">IF(Control!$C$114=1, $CX189*$MX189, 0)</f>
        <v>#DIV/0!</v>
      </c>
      <c r="MZ189" s="54" t="e">
        <f t="shared" ca="1" si="660"/>
        <v>#N/A</v>
      </c>
      <c r="NA189" s="168" t="e">
        <f ca="1">(Control!$C$128-$MX189)*(Control!$C$119-Control!$C$74)</f>
        <v>#DIV/0!</v>
      </c>
      <c r="NB189" s="168" t="e">
        <f ca="1">(Control!$C$135-$MX189)*(Control!$C$119-Control!$C$74)</f>
        <v>#DIV/0!</v>
      </c>
      <c r="NC189" s="174" t="e">
        <f t="shared" ca="1" si="661"/>
        <v>#DIV/0!</v>
      </c>
      <c r="ND189" s="54">
        <f ca="1">IF(Control!$C$58=2, IF(OR(Control!$B$218=$AH189,Control!$B$219=$AH189, Control!$B$220=$AH189, Control!$B$221=$AH189, Control!$B$222=$AH189, Control!$B$223=$AH189, Control!$B$224=$AH189, Control!$B$225=$AH189, Control!$B$226=$AH189, Control!$B$227=$AH189, Control!$B$228=$AH189), 1, 0), 0)</f>
        <v>0</v>
      </c>
      <c r="NE189" s="54">
        <f ca="1">IF($ND189=0,0, VLOOKUP($AH189,Control!$B$218:$C$228,2))</f>
        <v>0</v>
      </c>
      <c r="NF189" s="168" t="e">
        <f ca="1">$CY189*(Control!$C$128-Control!$C$127)</f>
        <v>#N/A</v>
      </c>
      <c r="NG189" s="54" t="e">
        <f ca="1">IF(Control!$C$58=2, $NI188-$NJ188, 0)</f>
        <v>#DIV/0!</v>
      </c>
      <c r="NH189" s="54" t="e">
        <f ca="1">IF(AND(Control!$C$58=1, $MS188&lt;= ($MN188+0.02), $I188&lt;10), 0, IF(Control!$C$58=2, $NG188, 0))</f>
        <v>#DIV/0!</v>
      </c>
      <c r="NI189" s="54" t="e">
        <f ca="1">IF(Control!$C$58=2, $NE189+$NH189,0)</f>
        <v>#DIV/0!</v>
      </c>
      <c r="NJ189" s="54" t="e">
        <f ca="1">IF(AND(Control!$C$58=1, $MS189&lt;= ($MN189+0.02), $I189&lt;10), MAX(0, MIN(10, 0.7*($NF189-$MV189))), IF(Control!$C$58=2, MIN(10,$NI189),0))</f>
        <v>#DIV/0!</v>
      </c>
      <c r="NK189" s="54" t="e">
        <f t="shared" ca="1" si="569"/>
        <v>#DIV/0!</v>
      </c>
      <c r="NL189" s="173" t="e">
        <f ca="1">(1-Control!$C$73)*$I189+$NJ189</f>
        <v>#DIV/0!</v>
      </c>
      <c r="NM189" s="172" t="e">
        <f ca="1">IF($NL189&lt;0.5, $MB189* MAX(0, MIN(1, (SQRT($NC189)-SQRT($NC189-1))*Control!$C$71)),0)</f>
        <v>#DIV/0!</v>
      </c>
      <c r="NN189" s="170" t="e">
        <f ca="1">IF($NL189&gt;=5, $MB189, MAX(0,MIN($MB189, $NM189+$NL189,($MS189-Control!$C$129))))</f>
        <v>#DIV/0!</v>
      </c>
      <c r="NO189" s="54">
        <f>IF(Control!$C$133&lt;&gt;1, Control!$C$135-Control!$C$131, 0)</f>
        <v>0.38</v>
      </c>
      <c r="NP189" s="54" t="e">
        <f t="shared" ca="1" si="570"/>
        <v>#DIV/0!</v>
      </c>
      <c r="NQ189" s="173" t="e">
        <f ca="1">MAX(0,MIN(1,(Control!$C$135-$MS189)/(Control!$C$135-$NO189)))</f>
        <v>#DIV/0!</v>
      </c>
      <c r="NR189" s="170" t="e">
        <f ca="1">IF(Control!$C$133&lt;&gt;1, $NQ189+((1-$NP189/4)*(1-$NQ189)),1)</f>
        <v>#DIV/0!</v>
      </c>
      <c r="NS189" s="170" t="e">
        <f ca="1">IF(Control!$B$31=0,$MJ189,MAX(0,MIN($MV189,$MO189*$NR189*$MJ189)))</f>
        <v>#DIV/0!</v>
      </c>
      <c r="NT189" s="170" t="e">
        <f t="shared" ca="1" si="686"/>
        <v>#DIV/0!</v>
      </c>
      <c r="NU189" s="170" t="e">
        <f t="shared" ca="1" si="662"/>
        <v>#N/A</v>
      </c>
      <c r="NV189" s="170" t="e">
        <f t="shared" ca="1" si="571"/>
        <v>#N/A</v>
      </c>
      <c r="NW189" s="175" t="e">
        <f t="shared" ca="1" si="572"/>
        <v>#DIV/0!</v>
      </c>
      <c r="NX189" s="170" t="e">
        <f ca="1">MIN(Control!$C$72+$MU189, $NW189)</f>
        <v>#DIV/0!</v>
      </c>
      <c r="NY189" s="170" t="e">
        <f ca="1">IF($MT189&lt;=$NX189,MIN(Control!$C$72+$NB189,$NX189-$MT189),0)</f>
        <v>#DIV/0!</v>
      </c>
      <c r="NZ189" s="54" t="e">
        <f ca="1">IF(Control!$C$114=1,  $CX189*($MX189-Control!$C$127), 0)</f>
        <v>#DIV/0!</v>
      </c>
      <c r="OA189" s="170" t="e">
        <f t="shared" ca="1" si="573"/>
        <v>#DIV/0!</v>
      </c>
      <c r="OB189" s="170" t="e">
        <f ca="1">IF($NA189 &lt;=$NY189, MIN(Control!$C$72, $NY189-$NA189), 0)</f>
        <v>#DIV/0!</v>
      </c>
      <c r="OC189" s="168" t="e">
        <f t="shared" ca="1" si="574"/>
        <v>#DIV/0!</v>
      </c>
      <c r="OD189" s="168" t="e">
        <f t="shared" ca="1" si="663"/>
        <v>#DIV/0!</v>
      </c>
      <c r="OE189" s="170">
        <f ca="1">Control!$C$73*$I189</f>
        <v>0</v>
      </c>
      <c r="OF189" s="176" t="e">
        <f t="shared" ca="1" si="575"/>
        <v>#DIV/0!</v>
      </c>
      <c r="OG189" s="168" t="e">
        <f t="shared" ca="1" si="576"/>
        <v>#DIV/0!</v>
      </c>
      <c r="OH189" s="168" t="e">
        <f t="shared" ca="1" si="577"/>
        <v>#DIV/0!</v>
      </c>
      <c r="OI189" s="168" t="e">
        <f t="shared" ca="1" si="578"/>
        <v>#DIV/0!</v>
      </c>
      <c r="OJ189" s="168" t="e">
        <f t="shared" ca="1" si="579"/>
        <v>#DIV/0!</v>
      </c>
      <c r="OK189" s="204" t="e">
        <f t="shared" ca="1" si="580"/>
        <v>#DIV/0!</v>
      </c>
      <c r="OL189" s="177">
        <f>Control!$C$127</f>
        <v>0.15</v>
      </c>
      <c r="OM189" s="182" t="e">
        <f t="shared" ca="1" si="581"/>
        <v>#N/A</v>
      </c>
      <c r="ON189" s="177">
        <f>Control!$C$128</f>
        <v>0.35</v>
      </c>
      <c r="OO189" s="182" t="e">
        <f t="shared" ca="1" si="582"/>
        <v>#N/A</v>
      </c>
      <c r="OP189" s="138">
        <f t="shared" ca="1" si="664"/>
        <v>0</v>
      </c>
      <c r="OQ189" s="138" t="e">
        <f t="shared" ca="1" si="687"/>
        <v>#DIV/0!</v>
      </c>
      <c r="OR189" s="138" t="e">
        <f t="shared" ca="1" si="665"/>
        <v>#DIV/0!</v>
      </c>
      <c r="OS189" s="137" t="e">
        <f t="shared" ca="1" si="688"/>
        <v>#DIV/0!</v>
      </c>
      <c r="OT189" s="139" t="e">
        <f t="shared" ca="1" si="689"/>
        <v>#DIV/0!</v>
      </c>
      <c r="OU189" s="138" t="e">
        <f t="shared" ca="1" si="690"/>
        <v>#N/A</v>
      </c>
      <c r="OV189" s="138" t="e">
        <f t="shared" ca="1" si="691"/>
        <v>#DIV/0!</v>
      </c>
      <c r="OW189" s="138" t="e">
        <f t="shared" ca="1" si="666"/>
        <v>#DIV/0!</v>
      </c>
      <c r="OX189" s="138" t="e">
        <f t="shared" ca="1" si="667"/>
        <v>#DIV/0!</v>
      </c>
      <c r="OY189" s="138" t="e">
        <f t="shared" ca="1" si="668"/>
        <v>#DIV/0!</v>
      </c>
      <c r="OZ189" s="138" t="e">
        <f t="shared" ca="1" si="583"/>
        <v>#DIV/0!</v>
      </c>
      <c r="PA189" s="138" t="e">
        <f t="shared" ca="1" si="584"/>
        <v>#DIV/0!</v>
      </c>
      <c r="PB189" s="55">
        <f>IF(Control!$C$61="T", IF(Control!$C$65="F", IF($AH$6-Control!$C$60&lt;0,0,1), IF(365+$AH$6-Control!$C$60&lt;0,0,1)),0)</f>
        <v>0</v>
      </c>
      <c r="PC189" s="55">
        <f ca="1">IF(Control!$C$65="F", IF($AH$6-$HF189&lt;0,0,1), IF(365+$AH$6-$HF189&lt;0,0,1))</f>
        <v>1</v>
      </c>
      <c r="PD189" s="444">
        <f>Control!$C$118</f>
        <v>1500</v>
      </c>
      <c r="PE189" s="180" t="e">
        <f t="shared" ca="1" si="585"/>
        <v>#N/A</v>
      </c>
      <c r="PF189" s="445">
        <f t="shared" ca="1" si="669"/>
        <v>0.71612369323045078</v>
      </c>
      <c r="PT189" s="186"/>
      <c r="PU189" s="186"/>
      <c r="PV189" s="94"/>
      <c r="PW189" s="94"/>
      <c r="PX189" s="94"/>
      <c r="PY189" s="94"/>
      <c r="PZ189" s="94"/>
      <c r="QA189" s="94"/>
      <c r="QB189" s="94"/>
      <c r="QC189" s="94"/>
      <c r="QD189" s="94"/>
      <c r="QE189" s="94"/>
      <c r="QF189" s="94"/>
      <c r="QG189" s="94"/>
      <c r="QH189" s="94"/>
      <c r="QI189" s="94"/>
      <c r="QJ189" s="94"/>
      <c r="QK189" s="94"/>
      <c r="QL189" s="94"/>
      <c r="QM189" s="94"/>
      <c r="QN189" s="94"/>
      <c r="QO189" s="94"/>
      <c r="QP189" s="94"/>
    </row>
    <row r="190" spans="1:458" s="2" customFormat="1" x14ac:dyDescent="0.2">
      <c r="A190" s="395">
        <v>4</v>
      </c>
      <c r="B190" s="396">
        <v>7</v>
      </c>
      <c r="C190" s="387">
        <f ca="1">Weather_data!$B189</f>
        <v>0</v>
      </c>
      <c r="D190" s="388">
        <f ca="1">Weather_data!$F189</f>
        <v>0</v>
      </c>
      <c r="E190" s="388">
        <f ca="1">Weather_data!$E189</f>
        <v>0</v>
      </c>
      <c r="F190" s="388">
        <f t="shared" ca="1" si="586"/>
        <v>0</v>
      </c>
      <c r="G190" s="388">
        <f ca="1">AVERAGE($D190:$E190)+Control!$B$9</f>
        <v>0</v>
      </c>
      <c r="H190" s="388">
        <f ca="1">Weather_data!$G189</f>
        <v>0</v>
      </c>
      <c r="I190" s="388">
        <f ca="1">Weather_data!$I189</f>
        <v>0</v>
      </c>
      <c r="J190" s="388">
        <f ca="1">Weather_data!$H189</f>
        <v>0</v>
      </c>
      <c r="K190" s="389">
        <f ca="1">Weather_data!$D189</f>
        <v>0</v>
      </c>
      <c r="L190" s="388" t="e">
        <f t="shared" ca="1" si="587"/>
        <v>#N/A</v>
      </c>
      <c r="M190" s="388" t="e">
        <f t="shared" ca="1" si="465"/>
        <v>#N/A</v>
      </c>
      <c r="N190" s="388">
        <f t="shared" ca="1" si="466"/>
        <v>-1.903670329956513E-9</v>
      </c>
      <c r="O190" s="388">
        <f t="shared" ca="1" si="588"/>
        <v>1.9036703299565128E-8</v>
      </c>
      <c r="P190" s="390">
        <v>3</v>
      </c>
      <c r="Q190" s="388">
        <f ca="1">MAX($G190-Control!$C$107,0)</f>
        <v>0</v>
      </c>
      <c r="R190" s="388">
        <f t="shared" ca="1" si="589"/>
        <v>0</v>
      </c>
      <c r="S190" s="388">
        <f t="shared" ca="1" si="467"/>
        <v>0</v>
      </c>
      <c r="T190" s="388">
        <f t="shared" ca="1" si="468"/>
        <v>0</v>
      </c>
      <c r="U190" s="59">
        <f t="shared" ca="1" si="469"/>
        <v>0</v>
      </c>
      <c r="V190" s="391">
        <f ca="1">MAX(0,MIN(Control!$C$100-Control!$C$99,$G190-Control!$C$99)*Control!$C$63)</f>
        <v>0</v>
      </c>
      <c r="W190" s="388">
        <f t="shared" ca="1" si="590"/>
        <v>0</v>
      </c>
      <c r="X190" s="388">
        <f t="shared" ca="1" si="591"/>
        <v>0.6110000000000001</v>
      </c>
      <c r="Y190" s="388">
        <f t="shared" ca="1" si="470"/>
        <v>0</v>
      </c>
      <c r="Z190" s="388">
        <f t="shared" ca="1" si="592"/>
        <v>0.61058800000000002</v>
      </c>
      <c r="AA190" s="388">
        <f t="shared" ca="1" si="471"/>
        <v>0.6018</v>
      </c>
      <c r="AB190" s="388">
        <f ca="1">101.3*EXP(-0.034*Control!$C$66/($G190+273))</f>
        <v>100.69623283836242</v>
      </c>
      <c r="AC190" s="392">
        <f t="shared" ca="1" si="472"/>
        <v>4.3460251046025113E-2</v>
      </c>
      <c r="AD190" s="392">
        <f t="shared" ca="1" si="473"/>
        <v>4.4450382862832649E-2</v>
      </c>
      <c r="AE190" s="388">
        <f t="shared" ca="1" si="474"/>
        <v>0</v>
      </c>
      <c r="AF190" s="388">
        <f ca="1">MAX(0,$G190-Control!$C$92)</f>
        <v>0</v>
      </c>
      <c r="AG190" s="393">
        <f t="shared" ca="1" si="475"/>
        <v>186</v>
      </c>
      <c r="AH190" s="389">
        <f t="shared" ca="1" si="476"/>
        <v>186</v>
      </c>
      <c r="AI190" s="388">
        <f t="shared" ca="1" si="593"/>
        <v>0.39764833620656731</v>
      </c>
      <c r="AJ190" s="388">
        <f ca="1">IF(Control!$C$60&lt;=0,$HH190,$HI190)</f>
        <v>1</v>
      </c>
      <c r="AK190" s="388">
        <f t="shared" ca="1" si="477"/>
        <v>1.8247058700302361</v>
      </c>
      <c r="AL190" s="388">
        <f t="shared" ca="1" si="478"/>
        <v>-1.1541319983043863E-17</v>
      </c>
      <c r="AM190" s="388">
        <f t="shared" ca="1" si="479"/>
        <v>1.8247058700302361</v>
      </c>
      <c r="AN190" s="388">
        <f t="shared" ca="1" si="480"/>
        <v>0.39525728591731135</v>
      </c>
      <c r="AO190" s="388">
        <f ca="1">-0.10453/COS(Control!$B$8*PI()/180)*COS(AN190)</f>
        <v>-0.15669403150474165</v>
      </c>
      <c r="AP190" s="388">
        <f ca="1">ACOS(AO190-TAN(Control!$B$8*PI()/180)*TAN(AN190))</f>
        <v>2.3332576805703704</v>
      </c>
      <c r="AQ190" s="388">
        <f t="shared" ca="1" si="594"/>
        <v>0</v>
      </c>
      <c r="AR190" s="394">
        <f t="shared" ca="1" si="481"/>
        <v>0</v>
      </c>
      <c r="AS190" s="436">
        <f ca="1">IF(Control!$B$18=2,(IF(OR($AH190=Control!$B$175,$AH190=Control!$B$176,$AH190=Control!$B$177,$AH190=Control!$B$178,$AH190=Control!$B$179,$AH190=Control!$B$180,$AH190=Control!$B$181,$AH190=Control!$B$182,$AH190=Control!$B$183,$AH190=Control!$B$184,$AH190=Control!$B$185),1,0)),0)</f>
        <v>0</v>
      </c>
      <c r="AT190" s="436">
        <f>IF(Control!$B$20=8,IF(AND($AH190&gt;=Control!$B$172,$AH190&lt;=Control!$B$173),1,0),0)</f>
        <v>0</v>
      </c>
      <c r="AU190" s="436">
        <f>IF(Control!$B$20=8,IF($AV189=1,1*$AT190,IF($AT190=1,$AU189+1,$AU189)),0)</f>
        <v>0</v>
      </c>
      <c r="AV190" s="436">
        <f>IF(Control!$B$20=8,IF($AU190&gt;=Control!$B$174,1,0),0)</f>
        <v>0</v>
      </c>
      <c r="AW190" s="436">
        <f ca="1">IF(AND(Control!$B$18=2,Control!$B$171=1), $AV190, $AS190)</f>
        <v>0</v>
      </c>
      <c r="AX190" s="436" t="e">
        <f ca="1">IF(AND(Control!$B$18=1,$EU190&gt;=Control!$B$19),-$AY190,IF(AND(Control!$B$18=2,$AW190=1,$EU190&gt;$DS190),-$AY190, IF(Control!$C$108=0,0, IF(Control!$C$108&lt;&gt;0,1))))</f>
        <v>#N/A</v>
      </c>
      <c r="AY190" s="436" t="e">
        <f t="shared" ca="1" si="595"/>
        <v>#N/A</v>
      </c>
      <c r="AZ190" s="436" t="e">
        <f ca="1">IF(AND(Control!$B$18=1,$EB190&gt;Control!$B$19),$AZ189+1, IF(AND(Control!$B$18=2, $AW190=1, $EB190&gt;$DS190), $AZ189+1,$AZ189))</f>
        <v>#N/A</v>
      </c>
      <c r="BA190" s="587">
        <f>IF(Control!$C$81=0,1,IF($AH190&gt;=Control!$C$82,1,0))</f>
        <v>1</v>
      </c>
      <c r="BB190" s="140" t="e">
        <f ca="1">IF($BA190&gt;$BA189,Control!$C$83,IF($AW190&gt;0,$AW190*Control!$C$84,IF(AND(Control!$B$18=1,EN189&lt;&gt;0),Control!$C$84,0)))</f>
        <v>#N/A</v>
      </c>
      <c r="BC190" s="140" t="e">
        <f t="shared" ca="1" si="596"/>
        <v>#N/A</v>
      </c>
      <c r="BD190" s="140" t="e">
        <f ca="1">BC190*IF(OR($G190&lt;Control!$C$92,$G190&gt;Control!$C$95),0,IF(AND($G190&gt;=Control!$C$92,$G190&lt;=Control!$C$93),$G190-Control!$C$92,IF(AND($G190&gt;Control!$C$93,$G190&lt;=Control!$C$94),Control!$C$93-Control!$C$92,IF(AND($G190&gt;Control!$C$94,$G190&lt;=Control!$C$95),(Control!$C$93-Control!$C$92)*(Control!$C$94-$G190)/(Control!$C$95-Control!$C$94)))))</f>
        <v>#N/A</v>
      </c>
      <c r="BE190" s="140" t="e">
        <f t="shared" ca="1" si="597"/>
        <v>#N/A</v>
      </c>
      <c r="BF190" s="140" t="e">
        <f ca="1">IF($BE190&lt;=Control!$C$86,$BE190,Control!$C$86-$BE190)</f>
        <v>#N/A</v>
      </c>
      <c r="BG190" s="140" t="e">
        <f ca="1">IF(AND($AW190=1,Control!$C$84&lt;9),1,IF($BE190&gt;=Control!$C$86,0,$BC190))</f>
        <v>#N/A</v>
      </c>
      <c r="BH190" s="404" t="e">
        <f ca="1">IF($BG190=0,0,IF($BE190&lt;=Control!$C$86,$BC190*9*($BF190/Control!$C$86),0))</f>
        <v>#N/A</v>
      </c>
      <c r="BI190" s="140" t="e">
        <f ca="1">IF($BG190=1,0,IF($BE190&gt;=Control!$C$86,1,IF(AND($BB190&lt;21,$BB190&gt;=9),1,$BM189)))</f>
        <v>#N/A</v>
      </c>
      <c r="BJ190" s="140" t="e">
        <f ca="1">IF($BF190&lt;0,-$BF190,$BI190*IF(OR($G190&lt;Control!$C$92,$G190&gt;Control!$C$95),0,IF(AND($G190&gt;=Control!$C$92,$G190&lt;=Control!$C$93),$G190-Control!$C$92,IF(AND($G190&gt;Control!$C$93,$G190&lt;=Control!$C$94),Control!$C$93-Control!$C$92,IF(AND($G190&gt;Control!$C$94,$G190&lt;=Control!$C$95),(Control!$C$93-Control!$C$92)*(Control!$C$94-$G190)/(Control!$C$95-Control!$C$94))))))</f>
        <v>#N/A</v>
      </c>
      <c r="BK190" s="140" t="e">
        <f t="shared" ca="1" si="598"/>
        <v>#N/A</v>
      </c>
      <c r="BL190" s="140" t="e">
        <f ca="1">IF($BK190&lt;=Control!$C$87,$BK190,Control!$C$87-$BK190)</f>
        <v>#N/A</v>
      </c>
      <c r="BM190" s="140" t="e">
        <f ca="1">IF(AND($BB190&gt;=9,$BB190&lt;21),1,IF($BK190&gt;=Control!$C$87,0,$BI190))</f>
        <v>#N/A</v>
      </c>
      <c r="BN190" s="404" t="e">
        <f ca="1">IF($BM190=0,0,IF($BK190&lt;=Control!$C$87,$BI190*(9+(21-9)*($BL190/Control!$C$87)),0))</f>
        <v>#N/A</v>
      </c>
      <c r="BO190" s="140" t="e">
        <f ca="1">IF($BM190=1,0,IF($BK190&gt;=Control!$C$87,1,IF(AND($BB190&lt;30,$BB190&gt;=21),1,$BS189)))</f>
        <v>#N/A</v>
      </c>
      <c r="BP190" s="140" t="e">
        <f ca="1">IF($BL190&lt;0,-$BL190,$BO190*IF(OR($G190&lt;Control!$C$92,$G190&gt;Control!$C$95),0,IF(AND($G190&gt;=Control!$C$92,$G190&lt;=Control!$C$93),$G190-Control!$C$92,IF(AND($G190&gt;Control!$C$93,$G190&lt;=Control!$C$94),Control!$C$93-Control!$C$92,IF(AND($G190&gt;Control!$C$94,$G190&lt;=Control!$C$95),(Control!$C$93-Control!$C$92)*(Control!$C$94-$G190)/(Control!$C$95-Control!$C$94))))))</f>
        <v>#N/A</v>
      </c>
      <c r="BQ190" s="140" t="e">
        <f t="shared" ca="1" si="482"/>
        <v>#N/A</v>
      </c>
      <c r="BR190" s="140" t="e">
        <f ca="1">IF($BQ190&lt;=Control!$C$88,$BQ190,Control!$C$88-$BQ190)</f>
        <v>#N/A</v>
      </c>
      <c r="BS190" s="140" t="e">
        <f ca="1">IF(AND($BB190&gt;=21,$BB190&lt;30),1,IF($BQ190&gt;=Control!$C$88,0,$BO190))</f>
        <v>#N/A</v>
      </c>
      <c r="BT190" s="404" t="e">
        <f ca="1">IF($BS190=0,0,IF($BQ190&lt;=Control!$C$88,$BO190*(21+(30-21)*(BR190/Control!$C$88)),0))</f>
        <v>#N/A</v>
      </c>
      <c r="BU190" s="140" t="e">
        <f ca="1">IF(BG190+BM190+BS190=1,0,IF(OR(AND($BB190&lt;60,$BB190&gt;=30),$BQ190&gt;=Control!$C$88),1*$BA190,$BY189))</f>
        <v>#N/A</v>
      </c>
      <c r="BV190" s="140" t="e">
        <f ca="1">IF($BR190&lt;0,-$BR190,$BU190*IF(OR($G190&lt;Control!$C$92,$G190&gt;Control!$C$95),0,IF(AND($G190&gt;=Control!$C$92,$G190&lt;=Control!$C$93),$G190-Control!$C$92,IF(AND($G190&gt;Control!$C$93,$G190&lt;=Control!$C$94),Control!$C$93-Control!$C$92,IF(AND($G190&gt;Control!$C$94,$G190&lt;=Control!$C$95),(Control!$C$93-Control!$C$92)*(Control!$C$94-$G190)/(Control!$C$95-Control!$C$94))))))</f>
        <v>#N/A</v>
      </c>
      <c r="BW190" s="140" t="e">
        <f t="shared" ca="1" si="483"/>
        <v>#N/A</v>
      </c>
      <c r="BX190" s="140" t="e">
        <f ca="1">IF($BW190&lt;=Control!$C$89,$BW190,Control!$C$89-$BW190)</f>
        <v>#N/A</v>
      </c>
      <c r="BY190" s="140" t="e">
        <f ca="1">IF(AND($AJ190&gt;=30,$AJ190&lt;60),1,IF($BW190&gt;=Control!$C$89,0,$BU190))</f>
        <v>#N/A</v>
      </c>
      <c r="BZ190" s="404" t="e">
        <f ca="1">IF($BY190=0,0,IF($BW190&lt;=Control!$C$89,$BU190*(30+(60-30)*(BX190/Control!$C$89)),0))</f>
        <v>#N/A</v>
      </c>
      <c r="CA190" s="140" t="e">
        <f ca="1">IF($BG190+$BM190+$BS190+$BY190=1,0,IF(OR(AND($BB190&lt;65,$BB190&gt;=60),$BW190&gt;=Control!$C$89),1*$BA190,$CE189))</f>
        <v>#N/A</v>
      </c>
      <c r="CB190" s="140" t="e">
        <f ca="1">IF($BX190&lt;0,-$BX190,$CA190*IF(OR($G190&lt;Control!$C$92,$G190&gt;Control!$C$95),0,IF(AND($G190&gt;=Control!$C$92,$G190&lt;=Control!$C$93),$G190-Control!$C$92,IF(AND($G190&gt;Control!$C$93,$G190&lt;=Control!$C$94),Control!$C$93-Control!$C$92,IF(AND($G190&gt;Control!$C$94,$G190&lt;=Control!$C$95),(Control!$C$93-Control!$C$92)*(Control!$C$94-$G190)/(Control!$C$95-Control!$C$94))))))</f>
        <v>#N/A</v>
      </c>
      <c r="CC190" s="140" t="e">
        <f t="shared" ca="1" si="599"/>
        <v>#N/A</v>
      </c>
      <c r="CD190" s="140" t="e">
        <f ca="1">IF($CC190&lt;=Control!$C$90,$CC190,Control!$C$90-$CC190)</f>
        <v>#N/A</v>
      </c>
      <c r="CE190" s="140" t="e">
        <f ca="1">IF(AND($BB190&gt;=60,$BB190&lt;65),1,IF($CC190&gt;=Control!$C$90,0,$CA190))</f>
        <v>#N/A</v>
      </c>
      <c r="CF190" s="404" t="e">
        <f ca="1">IF($CE190=0,0,IF($CC190&lt;=Control!$C$90,$CA190*(60+(65-60)*(CD190/Control!$C$90)),0))</f>
        <v>#N/A</v>
      </c>
      <c r="CG190" s="140" t="e">
        <f ca="1">IF($BG190+$BM190+$BS190+$BY190+$CE190=1,0,IF(OR(AND($BB190&lt;90,$BB190&gt;=65),$CC190&gt;=Control!$C$90),$BA190,$CK189))</f>
        <v>#N/A</v>
      </c>
      <c r="CH190" s="140" t="e">
        <f ca="1">IF($CD190&lt;0,-$CD190,$CG190*IF(OR($G190&lt;Control!$C$92,$G190&gt;Control!$C$95),0,IF(AND($G190&gt;=Control!$C$92,$G190&lt;=Control!$C$93),$G190-Control!$C$92,IF(AND($G190&gt;Control!$C$93,$G190&lt;=Control!$C$94),Control!$C$93-Control!$C$92,IF(AND($G190&gt;Control!$C$94,$G190&lt;=Control!$C$95),(Control!$C$93-Control!$C$92)*(Control!$C$94-$G190)/(Control!$C$95-Control!$C$94))))))</f>
        <v>#N/A</v>
      </c>
      <c r="CI190" s="140" t="e">
        <f t="shared" ca="1" si="600"/>
        <v>#N/A</v>
      </c>
      <c r="CJ190" s="140" t="e">
        <f ca="1">IF($CI190&lt;=Control!$C$91,$CI190,Control!$C$91-$CI190)</f>
        <v>#N/A</v>
      </c>
      <c r="CK190" s="140" t="e">
        <f ca="1">IF(AND($BB190&gt;=65,$BB190&lt;90),1,IF($CI190&gt;=Control!$C$91,0,$CG190))</f>
        <v>#N/A</v>
      </c>
      <c r="CL190" s="404" t="e">
        <f ca="1">IF($CK190=0,0,IF($CI190&lt;=Control!$C$91,$CG190*(65+(90-65)*($CJ190/Control!$C$91)),0))</f>
        <v>#N/A</v>
      </c>
      <c r="CM190" s="140" t="e">
        <f ca="1">IF($BG190+$BM190+$BS190+$BY190+$CE190+$CK190=1,0,IF(OR($BB190&gt;=90,$CI190&gt;=Control!$C$91),$BA190,$CM189))</f>
        <v>#N/A</v>
      </c>
      <c r="CN190" s="140" t="e">
        <f t="shared" ca="1" si="601"/>
        <v>#N/A</v>
      </c>
      <c r="CO190" s="140" t="e">
        <f t="shared" ca="1" si="602"/>
        <v>#N/A</v>
      </c>
      <c r="CP190" s="140" t="e">
        <f t="shared" ca="1" si="603"/>
        <v>#N/A</v>
      </c>
      <c r="CQ190" s="141" t="e">
        <f ca="1">VLOOKUP($CP190,Control!$B$86:$G$91,6)</f>
        <v>#N/A</v>
      </c>
      <c r="CR190" s="141" t="e">
        <f ca="1">(1-$CQ190)*VLOOKUP($CP190,Control!$B$86:$D$91,3)</f>
        <v>#N/A</v>
      </c>
      <c r="CS190" s="141" t="e">
        <f ca="1">(1-$CQ190)*VLOOKUP($CP190,Control!$B$86:$E$91,4)</f>
        <v>#N/A</v>
      </c>
      <c r="CT190" s="141" t="e">
        <f ca="1">(1-$CQ190)*VLOOKUP($CP190,Control!$B$86:$F$91,5)</f>
        <v>#N/A</v>
      </c>
      <c r="CU190" s="141">
        <f t="shared" ca="1" si="604"/>
        <v>0</v>
      </c>
      <c r="CV190" s="583">
        <f t="shared" ca="1" si="605"/>
        <v>0</v>
      </c>
      <c r="CW190" s="142">
        <f t="shared" ca="1" si="606"/>
        <v>186</v>
      </c>
      <c r="CX190" s="612" t="e">
        <f ca="1">IF(Control!$C$114=1,(MIN(Control!$C$120*(IF($NT190-0.01&lt;0,0,1)),Control!$C$119-$CY190)))</f>
        <v>#DIV/0!</v>
      </c>
      <c r="CY190" s="143" t="e">
        <f t="shared" ca="1" si="607"/>
        <v>#N/A</v>
      </c>
      <c r="CZ190" s="144">
        <f t="shared" ca="1" si="484"/>
        <v>0</v>
      </c>
      <c r="DA190" s="144">
        <f t="shared" ca="1" si="485"/>
        <v>0</v>
      </c>
      <c r="DB190" s="144" t="e">
        <f t="shared" ca="1" si="486"/>
        <v>#N/A</v>
      </c>
      <c r="DC190" s="144" t="e">
        <f t="shared" ca="1" si="487"/>
        <v>#N/A</v>
      </c>
      <c r="DD190" s="144" t="e">
        <f t="shared" ca="1" si="692"/>
        <v>#N/A</v>
      </c>
      <c r="DE190" s="143" t="e">
        <f t="shared" ca="1" si="608"/>
        <v>#N/A</v>
      </c>
      <c r="DF190" s="145" t="e">
        <f ca="1">$DR190*EXP(-Control!$C$158*(1-$KH190))</f>
        <v>#N/A</v>
      </c>
      <c r="DG190" s="146" t="e">
        <f ca="1">IF(Control!$C$114=1, $DF190*$EY190, 0)</f>
        <v>#N/A</v>
      </c>
      <c r="DH190" s="147" t="e">
        <f t="shared" ca="1" si="609"/>
        <v>#N/A</v>
      </c>
      <c r="DI190" s="144" t="e">
        <f t="shared" ca="1" si="670"/>
        <v>#N/A</v>
      </c>
      <c r="DJ190" s="147" t="e">
        <f ca="1">$EF190*Control!$C$109</f>
        <v>#N/A</v>
      </c>
      <c r="DK190" s="144" t="e">
        <f t="shared" ca="1" si="610"/>
        <v>#N/A</v>
      </c>
      <c r="DL190" s="144" t="e">
        <f t="shared" ca="1" si="488"/>
        <v>#N/A</v>
      </c>
      <c r="DM190" s="144" t="e">
        <f ca="1">IF(Control!$C$114=1, (1-EXP(-Control!$C$96*$DK190))*$AR190, 0)</f>
        <v>#N/A</v>
      </c>
      <c r="DN190" s="144">
        <f t="shared" ca="1" si="611"/>
        <v>0</v>
      </c>
      <c r="DO190" s="148">
        <f>Control!$C$97</f>
        <v>4</v>
      </c>
      <c r="DP190" s="145" t="e">
        <f t="shared" ca="1" si="612"/>
        <v>#N/A</v>
      </c>
      <c r="DQ190" s="145" t="e">
        <f ca="1">IF(AND($CP190&gt;=0,$CP190&lt;=90),Control!$C$111,Control!$C$111)</f>
        <v>#N/A</v>
      </c>
      <c r="DR190" s="145" t="e">
        <f t="shared" ca="1" si="489"/>
        <v>#N/A</v>
      </c>
      <c r="DS190" s="143" t="e">
        <f ca="1">Control!$B$22/$DR190</f>
        <v>#N/A</v>
      </c>
      <c r="DT190" s="149" t="e">
        <f ca="1">IF(AND(Control!$C$114=1,$KH190&lt;1),$IM190*$DF190, 0)</f>
        <v>#N/A</v>
      </c>
      <c r="DU190" s="144" t="e">
        <f t="shared" ca="1" si="613"/>
        <v>#N/A</v>
      </c>
      <c r="DV190" s="144">
        <f ca="1">IF($G190-Control!$C$107&lt;=0, 0, 0.83*LN(MAX($G190, 3))-0.8924)</f>
        <v>0</v>
      </c>
      <c r="DW190" s="144" t="e">
        <f t="shared" ca="1" si="490"/>
        <v>#N/A</v>
      </c>
      <c r="DX190" s="150" t="e">
        <f ca="1">MAX(0.01*(1+$CU190/Control!$C$102),0.05*($DK190-Control!$C$97)/Control!$C$97)</f>
        <v>#N/A</v>
      </c>
      <c r="DY190" s="151" t="e">
        <f ca="1">IF(Control!$C$114=1, $DI190*$FS190, 0)</f>
        <v>#N/A</v>
      </c>
      <c r="DZ190" s="196" t="e">
        <f t="shared" ca="1" si="614"/>
        <v>#N/A</v>
      </c>
      <c r="EA190" s="152">
        <f t="shared" ca="1" si="615"/>
        <v>186</v>
      </c>
      <c r="EB190" s="153" t="e">
        <f t="shared" ca="1" si="616"/>
        <v>#N/A</v>
      </c>
      <c r="EC190" s="153" t="e">
        <f t="shared" ca="1" si="617"/>
        <v>#N/A</v>
      </c>
      <c r="ED190" s="154" t="e">
        <f ca="1">IF(Control!$C$114=1, $HM190*$FY190-$FD190, 0)</f>
        <v>#DIV/0!</v>
      </c>
      <c r="EE190" s="155" t="e">
        <f ca="1">IF(Control!$C$114=1, $HM190*$FZ190-$FF190, 0)</f>
        <v>#DIV/0!</v>
      </c>
      <c r="EF190" s="153" t="e">
        <f t="shared" ca="1" si="671"/>
        <v>#N/A</v>
      </c>
      <c r="EG190" s="155" t="e">
        <f ca="1">IF(Control!$C$114=1, $GX190*$FW190-$FI190, 0)</f>
        <v>#DIV/0!</v>
      </c>
      <c r="EH190" s="153" t="e">
        <f t="shared" ca="1" si="618"/>
        <v>#N/A</v>
      </c>
      <c r="EI190" s="156" t="e">
        <f t="shared" ca="1" si="619"/>
        <v>#N/A</v>
      </c>
      <c r="EJ190" s="155" t="e">
        <f ca="1">IF(Control!$C$114=1, $HM190*$GB190, 0)</f>
        <v>#DIV/0!</v>
      </c>
      <c r="EK190" s="153" t="e">
        <f t="shared" ca="1" si="672"/>
        <v>#N/A</v>
      </c>
      <c r="EL190" s="153" t="e">
        <f t="shared" ca="1" si="491"/>
        <v>#N/A</v>
      </c>
      <c r="EM190" s="153" t="e">
        <f t="shared" ca="1" si="492"/>
        <v>#N/A</v>
      </c>
      <c r="EN190" s="153" t="e">
        <f ca="1">IF(Control!$C$108=1,IF(AND(Control!$B$18=1,$EB190&gt;=Control!$B$19),$EB190-$DS190,IF(AND(Control!$B$18=2,$AW190=1,$EB190&gt;$DS190),$EB190-$DS190,0)))</f>
        <v>#N/A</v>
      </c>
      <c r="EO190" s="153" t="e">
        <f ca="1">IF(Control!$C$108=1,IF(AND(Control!$B$18=1,$EB190&gt;=Control!$B$19),$EF190,IF(AND(Control!$B$18=2,$AW190=1),$EF190,0)))</f>
        <v>#N/A</v>
      </c>
      <c r="EP190" s="153" t="e">
        <f ca="1">IF(Control!$C$108=1,IF(AND(Control!$B$18=1,$EB190&gt;=Control!$B$19),$EK190,IF(AND(Control!$B$18=2,$AW190=1),$EK190,0)))</f>
        <v>#N/A</v>
      </c>
      <c r="EQ190" s="153" t="e">
        <f t="shared" ca="1" si="620"/>
        <v>#N/A</v>
      </c>
      <c r="ER190" s="153" t="e">
        <f t="shared" ca="1" si="621"/>
        <v>#N/A</v>
      </c>
      <c r="ES190" s="153" t="e">
        <f t="shared" ca="1" si="673"/>
        <v>#N/A</v>
      </c>
      <c r="ET190" s="153" t="e">
        <f t="shared" ca="1" si="674"/>
        <v>#N/A</v>
      </c>
      <c r="EU190" s="153" t="e">
        <f t="shared" ca="1" si="622"/>
        <v>#N/A</v>
      </c>
      <c r="EV190" s="153" t="e">
        <f t="shared" ca="1" si="493"/>
        <v>#N/A</v>
      </c>
      <c r="EW190" s="153" t="e">
        <f t="shared" ca="1" si="494"/>
        <v>#N/A</v>
      </c>
      <c r="EX190" s="153" t="e">
        <f t="shared" ca="1" si="495"/>
        <v>#N/A</v>
      </c>
      <c r="EY190" s="157" t="e">
        <f t="shared" ca="1" si="496"/>
        <v>#DIV/0!</v>
      </c>
      <c r="EZ190" s="154" t="e">
        <f t="shared" ca="1" si="497"/>
        <v>#DIV/0!</v>
      </c>
      <c r="FA190" s="153" t="e">
        <f t="shared" ca="1" si="623"/>
        <v>#N/A</v>
      </c>
      <c r="FB190" s="153" t="e">
        <f t="shared" ca="1" si="498"/>
        <v>#N/A</v>
      </c>
      <c r="FC190" s="193" t="e">
        <f t="shared" ca="1" si="499"/>
        <v>#N/A</v>
      </c>
      <c r="FD190" s="158" t="e">
        <f t="shared" ca="1" si="624"/>
        <v>#N/A</v>
      </c>
      <c r="FE190" s="158" t="e">
        <f t="shared" ca="1" si="625"/>
        <v>#N/A</v>
      </c>
      <c r="FF190" s="159" t="e">
        <f t="shared" ca="1" si="500"/>
        <v>#N/A</v>
      </c>
      <c r="FG190" s="160" t="e">
        <f t="shared" ca="1" si="626"/>
        <v>#N/A</v>
      </c>
      <c r="FH190" s="158" t="e">
        <f t="shared" ca="1" si="627"/>
        <v>#N/A</v>
      </c>
      <c r="FI190" s="159" t="e">
        <f t="shared" ca="1" si="501"/>
        <v>#N/A</v>
      </c>
      <c r="FJ190" s="160" t="e">
        <f t="shared" ca="1" si="628"/>
        <v>#N/A</v>
      </c>
      <c r="FK190" s="160" t="e">
        <f t="shared" ca="1" si="502"/>
        <v>#N/A</v>
      </c>
      <c r="FL190" s="160" t="e">
        <f t="shared" ca="1" si="675"/>
        <v>#N/A</v>
      </c>
      <c r="FM190" s="160" t="e">
        <f t="shared" ca="1" si="503"/>
        <v>#N/A</v>
      </c>
      <c r="FN190" s="158">
        <f t="shared" ca="1" si="629"/>
        <v>0.01</v>
      </c>
      <c r="FO190" s="160">
        <f>Control!$C$101</f>
        <v>50</v>
      </c>
      <c r="FP190" s="150" t="e">
        <f t="shared" ca="1" si="504"/>
        <v>#N/A</v>
      </c>
      <c r="FQ190" s="150" t="e">
        <f ca="1">MAX(0,(Control!$C$112*(($DK190-Control!$C$97)/Control!$C$97)))</f>
        <v>#N/A</v>
      </c>
      <c r="FR190" s="150" t="e">
        <f ca="1">(1-$NT190)*Control!$C$113</f>
        <v>#DIV/0!</v>
      </c>
      <c r="FS190" s="198" t="e">
        <f t="shared" ca="1" si="505"/>
        <v>#N/A</v>
      </c>
      <c r="FT190" s="161">
        <f t="shared" ca="1" si="630"/>
        <v>186</v>
      </c>
      <c r="FU190" s="162" t="e">
        <f ca="1">IF(Control!$B$34=1,VLOOKUP($CP190,Control!$B$86:$G$91,6),Control!$B$35)</f>
        <v>#N/A</v>
      </c>
      <c r="FV190" s="162" t="e">
        <f t="shared" ca="1" si="506"/>
        <v>#DIV/0!</v>
      </c>
      <c r="FW190" s="162" t="e">
        <f ca="1">IF(Control!$B$31=1,$FU190*$FV190,  $FU190)</f>
        <v>#N/A</v>
      </c>
      <c r="FX190" s="162" t="e">
        <f ca="1">IF(Control!$B$34=1,VLOOKUP($CP190,Control!$B$86:$G$91,3),Control!$B$36)</f>
        <v>#N/A</v>
      </c>
      <c r="FY190" s="162" t="e">
        <f t="shared" ca="1" si="507"/>
        <v>#N/A</v>
      </c>
      <c r="FZ190" s="162" t="e">
        <f ca="1">IF(Control!$B$34=1,VLOOKUP($CP190,Control!$B$86:$G$91,4),Control!$B$37)</f>
        <v>#N/A</v>
      </c>
      <c r="GA190" s="162" t="e">
        <f t="shared" ca="1" si="508"/>
        <v>#N/A</v>
      </c>
      <c r="GB190" s="162" t="e">
        <f ca="1">IF(Control!$B$34=1,VLOOKUP($CP190,Control!$B$86:$G$91,5),Control!$B$38)</f>
        <v>#N/A</v>
      </c>
      <c r="GC190" s="162" t="e">
        <f t="shared" ca="1" si="631"/>
        <v>#N/A</v>
      </c>
      <c r="GD190" s="162">
        <f t="shared" ca="1" si="509"/>
        <v>1</v>
      </c>
      <c r="GE190" s="162">
        <f t="shared" ca="1" si="510"/>
        <v>1</v>
      </c>
      <c r="GF190" s="162">
        <f ca="1">IF(AND(Control!$C$104=1, Control!$C$62="F"),$GE190,1)</f>
        <v>1</v>
      </c>
      <c r="GG190" s="162" t="e">
        <f ca="1">IF(Control!$B$16=40,0,IF(AND(Control!$B$16&gt;40,Control!$B$16&lt;=360),(Control!$B$16-40)*((1-0)/(360-40)),IF(AND(Control!$B$16&gt;360,Control!$B$16&lt;=720),(1+(Control!$B$16-360)*((1.25-1)/(720-360))),IF(AND(Control!$B$16&gt;720,Control!$B$16&lt;=1000),(1.25+(Control!$B$16-720)*((1.35-1.25)/(1000-720))),IF(AND(Control!$B$16&gt;1000,Control!$B$16&lt;=2000),(1.35+(Control!$B$16-1000)*0))))))</f>
        <v>#N/A</v>
      </c>
      <c r="GH190" s="162" t="e">
        <f t="shared" ca="1" si="511"/>
        <v>#N/A</v>
      </c>
      <c r="GI190" s="162">
        <f t="shared" ca="1" si="632"/>
        <v>0</v>
      </c>
      <c r="GJ190" s="162">
        <f t="shared" ca="1" si="512"/>
        <v>0</v>
      </c>
      <c r="GK190" s="162">
        <f t="shared" ca="1" si="633"/>
        <v>1</v>
      </c>
      <c r="GL190" s="162">
        <f t="shared" ca="1" si="513"/>
        <v>1</v>
      </c>
      <c r="GM190" s="162" t="e">
        <f ca="1">MAX(0,MIN(1,1-Control!$C$156*(1.0001-$KH190)^2))</f>
        <v>#N/A</v>
      </c>
      <c r="GN190" s="162" t="e">
        <f ca="1">IF(Control!$B$26=1,$KU190,$KX190)</f>
        <v>#N/A</v>
      </c>
      <c r="GO190" s="162" t="e">
        <f ca="1">IF($CP190&lt;=60,Control!$C$105,IF($CP190&gt;=90,Control!$C$106,Control!$C$105+($CP190-60)*((Control!$C$106-Control!$C$105)/(90-60))))</f>
        <v>#N/A</v>
      </c>
      <c r="GP190" s="162" t="e">
        <f t="shared" ca="1" si="514"/>
        <v>#N/A</v>
      </c>
      <c r="GQ190" s="162" t="e">
        <f t="shared" ca="1" si="634"/>
        <v>#N/A</v>
      </c>
      <c r="GR190" s="163" t="e">
        <f t="shared" ca="1" si="515"/>
        <v>#DIV/0!</v>
      </c>
      <c r="GS190" s="162" t="e">
        <f t="shared" ca="1" si="516"/>
        <v>#DIV/0!</v>
      </c>
      <c r="GT190" s="164" t="e">
        <f t="shared" ca="1" si="635"/>
        <v>#N/A</v>
      </c>
      <c r="GU190" s="162" t="e">
        <f t="shared" ca="1" si="636"/>
        <v>#N/A</v>
      </c>
      <c r="GV190" s="162" t="e">
        <f t="shared" ca="1" si="517"/>
        <v>#N/A</v>
      </c>
      <c r="GW190" s="162" t="e">
        <f t="shared" ca="1" si="518"/>
        <v>#DIV/0!</v>
      </c>
      <c r="GX190" s="162" t="e">
        <f t="shared" ca="1" si="637"/>
        <v>#DIV/0!</v>
      </c>
      <c r="GY190" s="162" t="e">
        <f t="shared" ca="1" si="638"/>
        <v>#DIV/0!</v>
      </c>
      <c r="GZ190" s="165" t="e">
        <f t="shared" ca="1" si="519"/>
        <v>#N/A</v>
      </c>
      <c r="HA190" s="162" t="e">
        <f ca="1">IF(Control!$C$114=1, $DI190*$FS190, 0)</f>
        <v>#N/A</v>
      </c>
      <c r="HB190" s="162" t="e">
        <f ca="1">$FA190/Control!$C$64</f>
        <v>#N/A</v>
      </c>
      <c r="HC190" s="162" t="e">
        <f t="shared" ca="1" si="520"/>
        <v>#DIV/0!</v>
      </c>
      <c r="HD190" s="162">
        <f ca="1">-ASIN(SIN(23.45*Control!$C$139)*COS(2*Control!$C$138*($AH190+10)/365))</f>
        <v>0.39764833620656731</v>
      </c>
      <c r="HE190" s="165">
        <f t="shared" ca="1" si="639"/>
        <v>0</v>
      </c>
      <c r="HF190" s="166">
        <f ca="1">IF(AND(Control!$C$61="T",$HE190&gt;=Control!$C$103,Control!$C$114=0),$AH190,Control!$C$59)</f>
        <v>1</v>
      </c>
      <c r="HG190" s="166">
        <f ca="1">IF(AND(Control!$C$61="T",$HE190&gt;=Control!$C$103,Control!$C$114=0),$HF190,Control!$C$59)</f>
        <v>1</v>
      </c>
      <c r="HH190" s="165">
        <f ca="1">IF(AND(OR(Control!$C$60&lt;=0, $AH190= Control!$C$59, Control!$C$60 &gt;0, $AH190 = Control!$C$60)), Control!$C$59, IF(Control!$C$60&gt;0, 0))</f>
        <v>1</v>
      </c>
      <c r="HI190" s="165">
        <f ca="1">IF(AND(OR(Control!$C$60&lt;=0, $AH190= Control!$C$59, Control!$C$60 &gt;0, $AH190 = Control!$C$60)), Control!$C$60, IF(Control!$C$60&lt;=0, 0))</f>
        <v>0</v>
      </c>
      <c r="HJ190" s="166">
        <f ca="1">IF(AND(Control!$C$62="F",$CV190&gt;=Control!$C$102),$AH190,0)</f>
        <v>0</v>
      </c>
      <c r="HK190" s="165" t="e">
        <f t="shared" ca="1" si="676"/>
        <v>#N/A</v>
      </c>
      <c r="HL190" s="166">
        <f ca="1">IF(AND(Control!$C$61="T",$HE190&gt;=Control!$C$103,Control!$C$114=0),$HF190,0)</f>
        <v>0</v>
      </c>
      <c r="HM190" s="201" t="e">
        <f t="shared" ca="1" si="521"/>
        <v>#DIV/0!</v>
      </c>
      <c r="HN190" s="215">
        <f t="shared" ca="1" si="640"/>
        <v>186</v>
      </c>
      <c r="HO190" s="216" t="e">
        <f ca="1">IF(AND($CP190&gt;=0, $CP190&lt;=90), Control!$C$152, Control!$C$152)</f>
        <v>#N/A</v>
      </c>
      <c r="HP190" s="216" t="e">
        <f t="shared" ca="1" si="522"/>
        <v>#N/A</v>
      </c>
      <c r="HQ190" s="217" t="e">
        <f ca="1">IF(OR(Control!$B$26=1,Control!$B$26=2),$KV190,$KS190)</f>
        <v>#DIV/0!</v>
      </c>
      <c r="HR190" s="218" t="e">
        <f t="shared" ca="1" si="677"/>
        <v>#DIV/0!</v>
      </c>
      <c r="HS190" s="216" t="e">
        <f ca="1">Control!$C$154*$HP190</f>
        <v>#N/A</v>
      </c>
      <c r="HT190" s="216" t="e">
        <f ca="1">Control!$C$155*$HP190</f>
        <v>#N/A</v>
      </c>
      <c r="HU190" s="217" t="e">
        <f ca="1">Control!$C$161*$FI190</f>
        <v>#N/A</v>
      </c>
      <c r="HV190" s="218" t="e">
        <f t="shared" ca="1" si="641"/>
        <v>#N/A</v>
      </c>
      <c r="HW190" s="218" t="e">
        <f ca="1">Control!$C$160*$FF190+$IP190*$EO190</f>
        <v>#N/A</v>
      </c>
      <c r="HX190" s="218" t="e">
        <f t="shared" ca="1" si="678"/>
        <v>#N/A</v>
      </c>
      <c r="HY190" s="219" t="e">
        <f ca="1">IF(Control!$C$114=1, $EB190*$FS190, 0)</f>
        <v>#N/A</v>
      </c>
      <c r="HZ190" s="91" t="e">
        <f t="shared" ca="1" si="523"/>
        <v>#N/A</v>
      </c>
      <c r="IA190" s="220" t="e">
        <f ca="1">Control!$C$153*$HO190</f>
        <v>#N/A</v>
      </c>
      <c r="IB190" s="218" t="e">
        <f t="shared" ca="1" si="524"/>
        <v>#N/A</v>
      </c>
      <c r="IC190" s="220" t="e">
        <f ca="1">Control!$C$153*$HT190</f>
        <v>#N/A</v>
      </c>
      <c r="ID190" s="218" t="e">
        <f t="shared" ca="1" si="525"/>
        <v>#N/A</v>
      </c>
      <c r="IE190" s="221" t="e">
        <f ca="1">($EB190*Control!$C$159+$EF190*Control!$C$160)/(IF($GZ190&lt;&gt;0,$GZ190,1))</f>
        <v>#N/A</v>
      </c>
      <c r="IF190" s="216" t="e">
        <f t="shared" ca="1" si="526"/>
        <v>#N/A</v>
      </c>
      <c r="IG190" s="91">
        <f ca="1">IF(OR(Control!$B$198=$AH190,Control!$B$199=$AH190, Control!$B$200=$AH190, Control!$B$201=$AH190, Control!$B$202=$AH190, Control!$B$203=$AH190, Control!$B$204=$AH190, Control!$B$205=$AH190, Control!$B$206=$AH190, Control!$B$207=$AH190), 1, 0)</f>
        <v>0</v>
      </c>
      <c r="IH190" s="91">
        <f ca="1">IF($IG190=0,0, VLOOKUP($AH190,Control!$B$198:$C$207,2))</f>
        <v>0</v>
      </c>
      <c r="II190" s="222">
        <f t="shared" ca="1" si="642"/>
        <v>0</v>
      </c>
      <c r="IJ190" s="91">
        <f>Control!$C$121</f>
        <v>0.7</v>
      </c>
      <c r="IK190" s="218">
        <f t="shared" ca="1" si="527"/>
        <v>0</v>
      </c>
      <c r="IL190" s="217" t="e">
        <f t="shared" ca="1" si="679"/>
        <v>#N/A</v>
      </c>
      <c r="IM190" s="223" t="e">
        <f ca="1">IF(AND(Control!$C$114=1,$KH190&lt;1),$EB190*Control!$C$148*(1-$KH190), 0)</f>
        <v>#N/A</v>
      </c>
      <c r="IN190" s="217" t="e">
        <f t="shared" ca="1" si="528"/>
        <v>#DIV/0!</v>
      </c>
      <c r="IO190" s="91" t="e">
        <f ca="1">MAX(0,$IL190-$EF190*Control!$C$160)</f>
        <v>#N/A</v>
      </c>
      <c r="IP190" s="220" t="e">
        <f t="shared" ca="1" si="529"/>
        <v>#N/A</v>
      </c>
      <c r="IQ190" s="217" t="e">
        <f t="shared" ca="1" si="643"/>
        <v>#N/A</v>
      </c>
      <c r="IR190" s="218" t="e">
        <f t="shared" ca="1" si="530"/>
        <v>#N/A</v>
      </c>
      <c r="IS190" s="217" t="e">
        <f ca="1">Control!$C$159*MAX(0,$FD190-$EN190)</f>
        <v>#N/A</v>
      </c>
      <c r="IT190" s="217" t="e">
        <f t="shared" ca="1" si="680"/>
        <v>#N/A</v>
      </c>
      <c r="IU190" s="217" t="e">
        <f t="shared" ca="1" si="644"/>
        <v>#N/A</v>
      </c>
      <c r="IV190" s="217" t="e">
        <f t="shared" ca="1" si="681"/>
        <v>#N/A</v>
      </c>
      <c r="IW190" s="217" t="e">
        <f ca="1">IF(OR($AW190=1,AND($AW190=0, Control!$B$18=1,$EN190&lt;&gt;0)), $IQ190-$IU190, $IQ190)</f>
        <v>#N/A</v>
      </c>
      <c r="IX190" s="218" t="e">
        <f t="shared" ca="1" si="531"/>
        <v>#N/A</v>
      </c>
      <c r="IY190" s="218" t="e">
        <f ca="1">MAX(0,$IQ190-$EB190*Control!$C$159)</f>
        <v>#N/A</v>
      </c>
      <c r="IZ190" s="218" t="e">
        <f t="shared" ca="1" si="532"/>
        <v>#N/A</v>
      </c>
      <c r="JA190" s="216" t="e">
        <f t="shared" ca="1" si="533"/>
        <v>#N/A</v>
      </c>
      <c r="JB190" s="217" t="e">
        <f t="shared" ca="1" si="534"/>
        <v>#N/A</v>
      </c>
      <c r="JC190" s="222" t="e">
        <f ca="1">MAX(Control!$C$157*$EK190-$JT190, 0)/Control!$C$162</f>
        <v>#N/A</v>
      </c>
      <c r="JD190" s="218" t="e">
        <f t="shared" ca="1" si="535"/>
        <v>#N/A</v>
      </c>
      <c r="JE190" s="218" t="e">
        <f t="shared" ca="1" si="536"/>
        <v>#N/A</v>
      </c>
      <c r="JF190" s="218" t="e">
        <f t="shared" ca="1" si="645"/>
        <v>#N/A</v>
      </c>
      <c r="JG190" s="218" t="e">
        <f t="shared" ca="1" si="537"/>
        <v>#N/A</v>
      </c>
      <c r="JH190" s="217" t="e">
        <f t="shared" ca="1" si="646"/>
        <v>#N/A</v>
      </c>
      <c r="JI190" s="217" t="e">
        <f t="shared" ca="1" si="647"/>
        <v>#N/A</v>
      </c>
      <c r="JJ190" s="217" t="e">
        <f t="shared" ca="1" si="682"/>
        <v>#N/A</v>
      </c>
      <c r="JK190" s="217" t="e">
        <f ca="1">IF(Control!$C$114=1,IF(Control!$B$24=0,MAX(0,$JI190)*$GN190/Control!$C$64,(MAX(0,MIN($JI190,$JJ190*$GN190/Control!$C$64),0))))</f>
        <v>#N/A</v>
      </c>
      <c r="JL190" s="217" t="e">
        <f ca="1">$IK190/Control!$C$64-$JK190+$HQ190</f>
        <v>#N/A</v>
      </c>
      <c r="JM190" s="217" t="e">
        <f ca="1">IF(Control!$C$114=1,($JB190/(IF($JI190&lt;&gt;0,$JI190,1)))*$JK190,0)</f>
        <v>#N/A</v>
      </c>
      <c r="JN190" s="217" t="e">
        <f ca="1">IF(Control!$C$114=1,($JG190/(IF($JI190&lt;&gt;0,$JI190,1)))*$JK190, 0)</f>
        <v>#N/A</v>
      </c>
      <c r="JO190" s="218" t="e">
        <f t="shared" ca="1" si="538"/>
        <v>#N/A</v>
      </c>
      <c r="JP190" s="218" t="e">
        <f ca="1">MIN(($IY190+$IO190)*Control!$C$151, $JF190-$EH190*Control!$C$161)</f>
        <v>#N/A</v>
      </c>
      <c r="JQ190" s="218" t="e">
        <f t="shared" ca="1" si="539"/>
        <v>#N/A</v>
      </c>
      <c r="JR190" s="217" t="e">
        <f ca="1">IF($CP190-Control!$C$150&lt;0, 0, $JQ190/Control!$C$162)</f>
        <v>#N/A</v>
      </c>
      <c r="JS190" s="218" t="e">
        <f t="shared" ca="1" si="540"/>
        <v>#N/A</v>
      </c>
      <c r="JT190" s="218" t="e">
        <f t="shared" ca="1" si="648"/>
        <v>#N/A</v>
      </c>
      <c r="JU190" s="218" t="e">
        <f t="shared" ca="1" si="541"/>
        <v>#N/A</v>
      </c>
      <c r="JV190" s="218" t="e">
        <f t="shared" ca="1" si="542"/>
        <v>#N/A</v>
      </c>
      <c r="JW190" s="216" t="e">
        <f t="shared" ca="1" si="543"/>
        <v>#N/A</v>
      </c>
      <c r="JX190" s="91" t="e">
        <f t="shared" ca="1" si="544"/>
        <v>#N/A</v>
      </c>
      <c r="JY190" s="218" t="e">
        <f t="shared" ca="1" si="545"/>
        <v>#N/A</v>
      </c>
      <c r="JZ190" s="217" t="e">
        <f ca="1">IF(Control!$C$114=1,($IZ190/(IF($JI190&lt;&gt;0,$JI190,1)))*$JK190, 0)</f>
        <v>#N/A</v>
      </c>
      <c r="KA190" s="218" t="e">
        <f t="shared" ca="1" si="683"/>
        <v>#N/A</v>
      </c>
      <c r="KB190" s="218" t="e">
        <f t="shared" ca="1" si="649"/>
        <v>#N/A</v>
      </c>
      <c r="KC190" s="218" t="e">
        <f t="shared" ca="1" si="546"/>
        <v>#N/A</v>
      </c>
      <c r="KD190" s="218" t="e">
        <f t="shared" ca="1" si="547"/>
        <v>#N/A</v>
      </c>
      <c r="KE190" s="218" t="e">
        <f t="shared" ca="1" si="548"/>
        <v>#N/A</v>
      </c>
      <c r="KF190" s="218" t="e">
        <f t="shared" ca="1" si="549"/>
        <v>#N/A</v>
      </c>
      <c r="KG190" s="216" t="e">
        <f t="shared" ca="1" si="550"/>
        <v>#N/A</v>
      </c>
      <c r="KH190" s="221" t="e">
        <f ca="1">IF(Control!$B$24=0,1,MAX(0.001,MIN(1,IF(($IF190-$IE190)&lt;&gt;0,($KG190-$IE190)/($IF190-$IE190),1))))</f>
        <v>#N/A</v>
      </c>
      <c r="KI190" s="222" t="e">
        <f ca="1">IF(Control!$C$114=1, $KI189+ $KH189, 0)</f>
        <v>#N/A</v>
      </c>
      <c r="KJ190" s="217" t="e">
        <f t="shared" ca="1" si="551"/>
        <v>#N/A</v>
      </c>
      <c r="KK190" s="218" t="e">
        <f t="shared" ca="1" si="552"/>
        <v>#N/A</v>
      </c>
      <c r="KL190" s="274" t="e">
        <f ca="1">IF(Control!$B$26=3,4000000000*EXP(-8400/($G190+273)),IF(Control!$B$26=4,4000000000*EXP(-8400/($G190+273))*($KT190),0))</f>
        <v>#DIV/0!</v>
      </c>
      <c r="KM190" s="274" t="e">
        <f ca="1">IF(Control!$B$26=3,5600000000000*EXP(-9800/($G190+273)),IF(Control!$B$26=4,5600000000000*EXP(-9800/($G190+273))*$KT190,0))</f>
        <v>#DIV/0!</v>
      </c>
      <c r="KN190" s="454" t="e">
        <f t="shared" ca="1" si="650"/>
        <v>#DIV/0!</v>
      </c>
      <c r="KO190" s="274" t="e">
        <f t="shared" ca="1" si="651"/>
        <v>#DIV/0!</v>
      </c>
      <c r="KP190" s="454" t="e">
        <f t="shared" ca="1" si="553"/>
        <v>#DIV/0!</v>
      </c>
      <c r="KQ190" s="454" t="e">
        <f t="shared" ca="1" si="554"/>
        <v>#DIV/0!</v>
      </c>
      <c r="KR190" s="454" t="e">
        <f t="shared" ca="1" si="555"/>
        <v>#DIV/0!</v>
      </c>
      <c r="KS190" s="454" t="e">
        <f t="shared" ca="1" si="556"/>
        <v>#DIV/0!</v>
      </c>
      <c r="KT190" s="455" t="e">
        <f t="shared" ca="1" si="557"/>
        <v>#DIV/0!</v>
      </c>
      <c r="KU190" s="456" t="e">
        <f ca="1">IF($CP190-Control!$C$149&lt;0, IF($NT190-0.01&lt;0,0,1),0)</f>
        <v>#N/A</v>
      </c>
      <c r="KV190" s="456" t="e">
        <f ca="1">IF(Control!$C$114=1,MAX(0,MIN(Control!$C$125*$KW190*$GN190,$KW190)))</f>
        <v>#DIV/0!</v>
      </c>
      <c r="KW190" s="456" t="e">
        <f t="shared" ca="1" si="684"/>
        <v>#DIV/0!</v>
      </c>
      <c r="KX190" s="457" t="e">
        <f ca="1">IF($CP190-Control!$C$149&lt;0, IF($MR190-$OM190&lt;0,0,1),0)</f>
        <v>#N/A</v>
      </c>
      <c r="KY190" s="167">
        <f t="shared" ca="1" si="652"/>
        <v>186</v>
      </c>
      <c r="KZ190" s="168">
        <f ca="1">1370*(1+0.033*COS(2*Control!$C$138*$AH190/365))</f>
        <v>1324.8720523700374</v>
      </c>
      <c r="LA190" s="169">
        <f t="shared" ca="1" si="653"/>
        <v>0.96705987736242871</v>
      </c>
      <c r="LB190" s="169">
        <f t="shared" ca="1" si="654"/>
        <v>0.39717531711172921</v>
      </c>
      <c r="LC190" s="169">
        <f ca="1">ACOS(-TAN((2*Control!$B$8/360))*TAN(Calculations!$LB190))</f>
        <v>1.6957886100145725</v>
      </c>
      <c r="LD190" s="169">
        <f ca="1">((24*60)/PI())*0.082*$LA190*(($LC190*SIN(Control!$B$8*2*PI()/360))*SIN($LB190)+COS(Control!$B$8*2*PI()/360)*COS($LB190)*SIN($LC190))</f>
        <v>39.26335574303441</v>
      </c>
      <c r="LE190" s="170">
        <f t="shared" ca="1" si="558"/>
        <v>40.91188910152875</v>
      </c>
      <c r="LF190" s="170">
        <f ca="1">SIN(Control!$C$139*Control!$B$8)*SIN($HD190)</f>
        <v>0.30515864880299909</v>
      </c>
      <c r="LG190" s="170">
        <f ca="1">COS(Control!$C$139*Control!$B$8)*COS($HD190)</f>
        <v>0.56762247108409947</v>
      </c>
      <c r="LH190" s="170">
        <f ca="1">12*(1+2*ASIN(MAX(-1,MIN(1,$LF190/$LG190))/Control!$C$138))</f>
        <v>16.127330412752055</v>
      </c>
      <c r="LI190" s="170">
        <f ca="1">12*(1+2*ASIN(MAX(-1,MIN(1,(-SIN(-4*Control!$C$139)+$LF190)/$LG190))/Control!$C$138))</f>
        <v>17.083777679861441</v>
      </c>
      <c r="LJ190" s="168">
        <f ca="1">3600*($LH190*$LF190+24*$LG190*SQRT(1-$LK190*$LK190)/Control!$C$138)</f>
        <v>30879.87932747338</v>
      </c>
      <c r="LK190" s="170">
        <f t="shared" ca="1" si="559"/>
        <v>0.53760847103212461</v>
      </c>
      <c r="LL190" s="170">
        <f t="shared" ca="1" si="560"/>
        <v>0</v>
      </c>
      <c r="LM190" s="171">
        <f ca="1">Control!$C$145*$AB190</f>
        <v>6.6660906138995932E-2</v>
      </c>
      <c r="LN190" s="170">
        <f t="shared" ca="1" si="655"/>
        <v>0.54</v>
      </c>
      <c r="LO190" s="170">
        <f t="shared" ca="1" si="561"/>
        <v>0</v>
      </c>
      <c r="LP190" s="170">
        <f ca="1">Control!$C$140*((($D190+273.16)^4+($E190+273.16)^4)/2)*(0.34-0.14*SQRT($Y190))*(1.35*$AQ190/(0.75*$LD190)-0.35)</f>
        <v>-3.2464704755046001</v>
      </c>
      <c r="LQ190" s="170">
        <f ca="1">Control!$C$140*($G190+273)^4*(0.56-0.079*SQRT($Y190*10))*(0.1+0.9*$LO190)</f>
        <v>1.5241745131704001</v>
      </c>
      <c r="LR190" s="170">
        <f ca="1">$AQ190*(1-Control!$C$142)-$LQ190</f>
        <v>-1.5241745131704001</v>
      </c>
      <c r="LS190" s="170">
        <f ca="1">$AQ190*(1-Control!$C$143)-$LQ190</f>
        <v>-1.5241745131704001</v>
      </c>
      <c r="LT190" s="170">
        <f ca="1">$AQ190*(1-Control!$C$144)-$LQ190</f>
        <v>-1.5241745131704001</v>
      </c>
      <c r="LU190" s="169">
        <f ca="1">(1-Control!$C$144)*AQ190-LP190</f>
        <v>3.2464704755046001</v>
      </c>
      <c r="LV190" s="172">
        <f t="shared" ca="1" si="562"/>
        <v>0.79430000000000012</v>
      </c>
      <c r="LW190" s="170">
        <f t="shared" ca="1" si="563"/>
        <v>1.5886000000000002</v>
      </c>
      <c r="LX190" s="170">
        <f ca="1">($AC190*($LR190/Control!$C$141)+$LM190*$LV190)/($AC190+$LM190)</f>
        <v>0.23530094218323697</v>
      </c>
      <c r="LY190" s="170">
        <f ca="1">($AC190*($LS190/Control!$C$141)+$LM190*$LV190)/($AC190+$LM190)</f>
        <v>0.23530094218323697</v>
      </c>
      <c r="LZ190" s="170">
        <f t="shared" ca="1" si="564"/>
        <v>0.23530094218323697</v>
      </c>
      <c r="MA190" s="170">
        <f t="shared" ca="1" si="565"/>
        <v>0.23530094218323697</v>
      </c>
      <c r="MB190" s="170" t="e">
        <f t="shared" ca="1" si="566"/>
        <v>#N/A</v>
      </c>
      <c r="MC190" s="170">
        <f t="shared" ca="1" si="656"/>
        <v>0.6018</v>
      </c>
      <c r="MD190" s="170">
        <f t="shared" ca="1" si="567"/>
        <v>0.52989392535414004</v>
      </c>
      <c r="ME190" s="170">
        <f ca="1">($AC190*($LT190/Control!$C$141)+$LM190*$LW190)/($AC190+$LM190)</f>
        <v>0.71612369323045078</v>
      </c>
      <c r="MF190" s="170" t="e">
        <f ca="1">IF(Control!$B$16&gt;=1000,0.92,IF(AND(720&lt;=Control!$B$16,1000&gt;Control!$B$16),(0.95+(Control!$B$16-720)*((0.92-0.95)/(1000-720))),IF(AND(360&lt;=Control!$B$16,720&gt;Control!$B$16),(1+(Control!$B$16-360)*((0.95-1)/(720-360))),IF(AND(40&lt;=Control!$B$16,360&gt;Control!$B$16),(1.05+(Control!$B$16-40)*((1.05-1)/(360-40)))))))</f>
        <v>#N/A</v>
      </c>
      <c r="MG190" s="170">
        <f t="shared" ca="1" si="568"/>
        <v>0.71612369323045078</v>
      </c>
      <c r="MH190" s="170" t="e">
        <f t="shared" ca="1" si="695"/>
        <v>#N/A</v>
      </c>
      <c r="MI190" s="170" t="e">
        <f t="shared" ca="1" si="695"/>
        <v>#N/A</v>
      </c>
      <c r="MJ190" s="170" t="e">
        <f ca="1">MAX(0.0001, Control!$C$132*$MI190*$DL190)</f>
        <v>#N/A</v>
      </c>
      <c r="MK190" s="170">
        <f ca="1">1/(0.76+1.5*($MG190/10))-(5-Control!$C$110)*0.1</f>
        <v>1.002845988140797</v>
      </c>
      <c r="ML190" s="173">
        <f ca="1">IF(Control!$C$110&lt;3,$MK190+($MG190-0.6)/(Control!$C$110*(Control!$C$110+3)), MAX(0.1, MIN(0.95,$MK190)))</f>
        <v>0.95</v>
      </c>
      <c r="MM190" s="173">
        <f ca="1">IF(Control!$C$110&lt;3,$MK190+(($MI190/10)-0.6)/(Control!$C$110*(Control!$C$110+3)), MAX(0.1, MIN(0.95,$MK190)))</f>
        <v>0.95</v>
      </c>
      <c r="MN190" s="173">
        <f ca="1">(1-$MM190)*(Control!$C$128-Control!$C$127)+Control!$C$127</f>
        <v>0.16</v>
      </c>
      <c r="MO190" s="170" t="e">
        <f ca="1">MAX(0,MIN(1,($MS190-Control!$C$127)/($MN190-Control!$C$127)))</f>
        <v>#DIV/0!</v>
      </c>
      <c r="MP190" s="173" t="e">
        <f ca="1">1/(0.76+1.5*$MI190)-(5-Control!$C$110)*0.1</f>
        <v>#N/A</v>
      </c>
      <c r="MQ190" s="172" t="e">
        <f t="shared" ca="1" si="685"/>
        <v>#DIV/0!</v>
      </c>
      <c r="MR190" s="168" t="e">
        <f t="shared" ca="1" si="657"/>
        <v>#DIV/0!</v>
      </c>
      <c r="MS190" s="173" t="e">
        <f ca="1">MAX(Control!$C$127, MIN(Control!$C$135, $MR190/MAX(0.0001,$CY190)))</f>
        <v>#DIV/0!</v>
      </c>
      <c r="MT190" s="168" t="e">
        <f ca="1">(Control!$C$128-$MS190)*Control!$C$74</f>
        <v>#DIV/0!</v>
      </c>
      <c r="MU190" s="168" t="e">
        <f ca="1">(Control!$C$135-$MS190)*Control!$C$74</f>
        <v>#DIV/0!</v>
      </c>
      <c r="MV190" s="168" t="e">
        <f t="shared" ca="1" si="658"/>
        <v>#DIV/0!</v>
      </c>
      <c r="MW190" s="168" t="e">
        <f t="shared" ca="1" si="659"/>
        <v>#DIV/0!</v>
      </c>
      <c r="MX190" s="171" t="e">
        <f ca="1">MAX(Control!$C$127, MIN(Control!$C$135, $MW190/MAX(0.0001,Control!$C$119-$CY190)))</f>
        <v>#DIV/0!</v>
      </c>
      <c r="MY190" s="54" t="e">
        <f ca="1">IF(Control!$C$114=1, $CX190*$MX190, 0)</f>
        <v>#DIV/0!</v>
      </c>
      <c r="MZ190" s="54" t="e">
        <f t="shared" ca="1" si="660"/>
        <v>#N/A</v>
      </c>
      <c r="NA190" s="168" t="e">
        <f ca="1">(Control!$C$128-$MX190)*(Control!$C$119-Control!$C$74)</f>
        <v>#DIV/0!</v>
      </c>
      <c r="NB190" s="168" t="e">
        <f ca="1">(Control!$C$135-$MX190)*(Control!$C$119-Control!$C$74)</f>
        <v>#DIV/0!</v>
      </c>
      <c r="NC190" s="174" t="e">
        <f t="shared" ca="1" si="661"/>
        <v>#DIV/0!</v>
      </c>
      <c r="ND190" s="54">
        <f ca="1">IF(Control!$C$58=2, IF(OR(Control!$B$218=$AH190,Control!$B$219=$AH190, Control!$B$220=$AH190, Control!$B$221=$AH190, Control!$B$222=$AH190, Control!$B$223=$AH190, Control!$B$224=$AH190, Control!$B$225=$AH190, Control!$B$226=$AH190, Control!$B$227=$AH190, Control!$B$228=$AH190), 1, 0), 0)</f>
        <v>0</v>
      </c>
      <c r="NE190" s="54">
        <f ca="1">IF($ND190=0,0, VLOOKUP($AH190,Control!$B$218:$C$228,2))</f>
        <v>0</v>
      </c>
      <c r="NF190" s="168" t="e">
        <f ca="1">$CY190*(Control!$C$128-Control!$C$127)</f>
        <v>#N/A</v>
      </c>
      <c r="NG190" s="54" t="e">
        <f ca="1">IF(Control!$C$58=2, $NI189-$NJ189, 0)</f>
        <v>#DIV/0!</v>
      </c>
      <c r="NH190" s="54" t="e">
        <f ca="1">IF(AND(Control!$C$58=1, $MS189&lt;= ($MN189+0.02), $I189&lt;10), 0, IF(Control!$C$58=2, $NG189, 0))</f>
        <v>#DIV/0!</v>
      </c>
      <c r="NI190" s="54" t="e">
        <f ca="1">IF(Control!$C$58=2, $NE190+$NH190,0)</f>
        <v>#DIV/0!</v>
      </c>
      <c r="NJ190" s="54" t="e">
        <f ca="1">IF(AND(Control!$C$58=1, $MS190&lt;= ($MN190+0.02), $I190&lt;10), MAX(0, MIN(10, 0.7*($NF190-$MV190))), IF(Control!$C$58=2, MIN(10,$NI190),0))</f>
        <v>#DIV/0!</v>
      </c>
      <c r="NK190" s="54" t="e">
        <f t="shared" ca="1" si="569"/>
        <v>#DIV/0!</v>
      </c>
      <c r="NL190" s="173" t="e">
        <f ca="1">(1-Control!$C$73)*$I190+$NJ190</f>
        <v>#DIV/0!</v>
      </c>
      <c r="NM190" s="172" t="e">
        <f ca="1">IF($NL190&lt;0.5, $MB190* MAX(0, MIN(1, (SQRT($NC190)-SQRT($NC190-1))*Control!$C$71)),0)</f>
        <v>#DIV/0!</v>
      </c>
      <c r="NN190" s="170" t="e">
        <f ca="1">IF($NL190&gt;=5, $MB190, MAX(0,MIN($MB190, $NM190+$NL190,($MS190-Control!$C$129))))</f>
        <v>#DIV/0!</v>
      </c>
      <c r="NO190" s="54">
        <f>IF(Control!$C$133&lt;&gt;1, Control!$C$135-Control!$C$131, 0)</f>
        <v>0.38</v>
      </c>
      <c r="NP190" s="54" t="e">
        <f t="shared" ca="1" si="570"/>
        <v>#DIV/0!</v>
      </c>
      <c r="NQ190" s="173" t="e">
        <f ca="1">MAX(0,MIN(1,(Control!$C$135-$MS190)/(Control!$C$135-$NO190)))</f>
        <v>#DIV/0!</v>
      </c>
      <c r="NR190" s="170" t="e">
        <f ca="1">IF(Control!$C$133&lt;&gt;1, $NQ190+((1-$NP190/4)*(1-$NQ190)),1)</f>
        <v>#DIV/0!</v>
      </c>
      <c r="NS190" s="170" t="e">
        <f ca="1">IF(Control!$B$31=0,$MJ190,MAX(0,MIN($MV190,$MO190*$NR190*$MJ190)))</f>
        <v>#DIV/0!</v>
      </c>
      <c r="NT190" s="170" t="e">
        <f t="shared" ca="1" si="686"/>
        <v>#DIV/0!</v>
      </c>
      <c r="NU190" s="170" t="e">
        <f t="shared" ca="1" si="662"/>
        <v>#N/A</v>
      </c>
      <c r="NV190" s="170" t="e">
        <f t="shared" ca="1" si="571"/>
        <v>#N/A</v>
      </c>
      <c r="NW190" s="175" t="e">
        <f t="shared" ca="1" si="572"/>
        <v>#DIV/0!</v>
      </c>
      <c r="NX190" s="170" t="e">
        <f ca="1">MIN(Control!$C$72+$MU190, $NW190)</f>
        <v>#DIV/0!</v>
      </c>
      <c r="NY190" s="170" t="e">
        <f ca="1">IF($MT190&lt;=$NX190,MIN(Control!$C$72+$NB190,$NX190-$MT190),0)</f>
        <v>#DIV/0!</v>
      </c>
      <c r="NZ190" s="54" t="e">
        <f ca="1">IF(Control!$C$114=1,  $CX190*($MX190-Control!$C$127), 0)</f>
        <v>#DIV/0!</v>
      </c>
      <c r="OA190" s="170" t="e">
        <f t="shared" ca="1" si="573"/>
        <v>#DIV/0!</v>
      </c>
      <c r="OB190" s="170" t="e">
        <f ca="1">IF($NA190 &lt;=$NY190, MIN(Control!$C$72, $NY190-$NA190), 0)</f>
        <v>#DIV/0!</v>
      </c>
      <c r="OC190" s="168" t="e">
        <f t="shared" ca="1" si="574"/>
        <v>#DIV/0!</v>
      </c>
      <c r="OD190" s="168" t="e">
        <f t="shared" ca="1" si="663"/>
        <v>#DIV/0!</v>
      </c>
      <c r="OE190" s="170">
        <f ca="1">Control!$C$73*$I190</f>
        <v>0</v>
      </c>
      <c r="OF190" s="176" t="e">
        <f t="shared" ca="1" si="575"/>
        <v>#DIV/0!</v>
      </c>
      <c r="OG190" s="168" t="e">
        <f t="shared" ca="1" si="576"/>
        <v>#DIV/0!</v>
      </c>
      <c r="OH190" s="168" t="e">
        <f t="shared" ca="1" si="577"/>
        <v>#DIV/0!</v>
      </c>
      <c r="OI190" s="168" t="e">
        <f t="shared" ca="1" si="578"/>
        <v>#DIV/0!</v>
      </c>
      <c r="OJ190" s="168" t="e">
        <f t="shared" ca="1" si="579"/>
        <v>#DIV/0!</v>
      </c>
      <c r="OK190" s="204" t="e">
        <f t="shared" ca="1" si="580"/>
        <v>#DIV/0!</v>
      </c>
      <c r="OL190" s="177">
        <f>Control!$C$127</f>
        <v>0.15</v>
      </c>
      <c r="OM190" s="182" t="e">
        <f t="shared" ca="1" si="581"/>
        <v>#N/A</v>
      </c>
      <c r="ON190" s="177">
        <f>Control!$C$128</f>
        <v>0.35</v>
      </c>
      <c r="OO190" s="182" t="e">
        <f t="shared" ca="1" si="582"/>
        <v>#N/A</v>
      </c>
      <c r="OP190" s="138">
        <f t="shared" ca="1" si="664"/>
        <v>0</v>
      </c>
      <c r="OQ190" s="138" t="e">
        <f t="shared" ca="1" si="687"/>
        <v>#DIV/0!</v>
      </c>
      <c r="OR190" s="138" t="e">
        <f t="shared" ca="1" si="665"/>
        <v>#DIV/0!</v>
      </c>
      <c r="OS190" s="137" t="e">
        <f t="shared" ca="1" si="688"/>
        <v>#DIV/0!</v>
      </c>
      <c r="OT190" s="139" t="e">
        <f t="shared" ca="1" si="689"/>
        <v>#DIV/0!</v>
      </c>
      <c r="OU190" s="138" t="e">
        <f t="shared" ca="1" si="690"/>
        <v>#N/A</v>
      </c>
      <c r="OV190" s="138" t="e">
        <f t="shared" ca="1" si="691"/>
        <v>#DIV/0!</v>
      </c>
      <c r="OW190" s="138" t="e">
        <f t="shared" ca="1" si="666"/>
        <v>#DIV/0!</v>
      </c>
      <c r="OX190" s="138" t="e">
        <f t="shared" ca="1" si="667"/>
        <v>#DIV/0!</v>
      </c>
      <c r="OY190" s="138" t="e">
        <f t="shared" ca="1" si="668"/>
        <v>#DIV/0!</v>
      </c>
      <c r="OZ190" s="138" t="e">
        <f t="shared" ca="1" si="583"/>
        <v>#DIV/0!</v>
      </c>
      <c r="PA190" s="138" t="e">
        <f t="shared" ca="1" si="584"/>
        <v>#DIV/0!</v>
      </c>
      <c r="PB190" s="55">
        <f>IF(Control!$C$61="T", IF(Control!$C$65="F", IF($AH$6-Control!$C$60&lt;0,0,1), IF(365+$AH$6-Control!$C$60&lt;0,0,1)),0)</f>
        <v>0</v>
      </c>
      <c r="PC190" s="55">
        <f ca="1">IF(Control!$C$65="F", IF($AH$6-$HF190&lt;0,0,1), IF(365+$AH$6-$HF190&lt;0,0,1))</f>
        <v>1</v>
      </c>
      <c r="PD190" s="444">
        <f>Control!$C$118</f>
        <v>1500</v>
      </c>
      <c r="PE190" s="180" t="e">
        <f t="shared" ca="1" si="585"/>
        <v>#N/A</v>
      </c>
      <c r="PF190" s="445">
        <f t="shared" ca="1" si="669"/>
        <v>0.71612369323045078</v>
      </c>
      <c r="PT190" s="186"/>
      <c r="PU190" s="186"/>
      <c r="PV190" s="94"/>
      <c r="PW190" s="94"/>
      <c r="PX190" s="94"/>
      <c r="PY190" s="94"/>
      <c r="PZ190" s="94"/>
      <c r="QA190" s="94"/>
      <c r="QB190" s="94"/>
      <c r="QC190" s="94"/>
      <c r="QD190" s="94"/>
      <c r="QE190" s="94"/>
      <c r="QF190" s="94"/>
      <c r="QG190" s="94"/>
      <c r="QH190" s="94"/>
      <c r="QI190" s="94"/>
      <c r="QJ190" s="94"/>
      <c r="QK190" s="94"/>
      <c r="QL190" s="94"/>
      <c r="QM190" s="94"/>
      <c r="QN190" s="94"/>
      <c r="QO190" s="94"/>
      <c r="QP190" s="94"/>
    </row>
    <row r="191" spans="1:458" s="2" customFormat="1" x14ac:dyDescent="0.2">
      <c r="A191" s="395">
        <v>5</v>
      </c>
      <c r="B191" s="396">
        <v>7</v>
      </c>
      <c r="C191" s="387">
        <f ca="1">Weather_data!$B190</f>
        <v>0</v>
      </c>
      <c r="D191" s="388">
        <f ca="1">Weather_data!$F190</f>
        <v>0</v>
      </c>
      <c r="E191" s="388">
        <f ca="1">Weather_data!$E190</f>
        <v>0</v>
      </c>
      <c r="F191" s="388">
        <f t="shared" ca="1" si="586"/>
        <v>0</v>
      </c>
      <c r="G191" s="388">
        <f ca="1">AVERAGE($D191:$E191)+Control!$B$9</f>
        <v>0</v>
      </c>
      <c r="H191" s="388">
        <f ca="1">Weather_data!$G190</f>
        <v>0</v>
      </c>
      <c r="I191" s="388">
        <f ca="1">Weather_data!$I190</f>
        <v>0</v>
      </c>
      <c r="J191" s="388">
        <f ca="1">Weather_data!$H190</f>
        <v>0</v>
      </c>
      <c r="K191" s="389">
        <f ca="1">Weather_data!$D190</f>
        <v>0</v>
      </c>
      <c r="L191" s="388" t="e">
        <f t="shared" ca="1" si="587"/>
        <v>#N/A</v>
      </c>
      <c r="M191" s="388" t="e">
        <f t="shared" ca="1" si="465"/>
        <v>#N/A</v>
      </c>
      <c r="N191" s="388">
        <f t="shared" ca="1" si="466"/>
        <v>-1.7133032969608616E-9</v>
      </c>
      <c r="O191" s="388">
        <f t="shared" ca="1" si="588"/>
        <v>1.7133032969608616E-8</v>
      </c>
      <c r="P191" s="390">
        <v>3</v>
      </c>
      <c r="Q191" s="388">
        <f ca="1">MAX($G191-Control!$C$107,0)</f>
        <v>0</v>
      </c>
      <c r="R191" s="388">
        <f t="shared" ca="1" si="589"/>
        <v>0</v>
      </c>
      <c r="S191" s="388">
        <f t="shared" ca="1" si="467"/>
        <v>0</v>
      </c>
      <c r="T191" s="388">
        <f t="shared" ca="1" si="468"/>
        <v>0</v>
      </c>
      <c r="U191" s="59">
        <f t="shared" ca="1" si="469"/>
        <v>0</v>
      </c>
      <c r="V191" s="391">
        <f ca="1">MAX(0,MIN(Control!$C$100-Control!$C$99,$G191-Control!$C$99)*Control!$C$63)</f>
        <v>0</v>
      </c>
      <c r="W191" s="388">
        <f t="shared" ca="1" si="590"/>
        <v>0</v>
      </c>
      <c r="X191" s="388">
        <f t="shared" ca="1" si="591"/>
        <v>0.6110000000000001</v>
      </c>
      <c r="Y191" s="388">
        <f t="shared" ca="1" si="470"/>
        <v>0</v>
      </c>
      <c r="Z191" s="388">
        <f t="shared" ca="1" si="592"/>
        <v>0.61058800000000002</v>
      </c>
      <c r="AA191" s="388">
        <f t="shared" ca="1" si="471"/>
        <v>0.6018</v>
      </c>
      <c r="AB191" s="388">
        <f ca="1">101.3*EXP(-0.034*Control!$C$66/($G191+273))</f>
        <v>100.69623283836242</v>
      </c>
      <c r="AC191" s="392">
        <f t="shared" ca="1" si="472"/>
        <v>4.3460251046025113E-2</v>
      </c>
      <c r="AD191" s="392">
        <f t="shared" ca="1" si="473"/>
        <v>4.4450382862832649E-2</v>
      </c>
      <c r="AE191" s="388">
        <f t="shared" ca="1" si="474"/>
        <v>0</v>
      </c>
      <c r="AF191" s="388">
        <f ca="1">MAX(0,$G191-Control!$C$92)</f>
        <v>0</v>
      </c>
      <c r="AG191" s="393">
        <f t="shared" ca="1" si="475"/>
        <v>187</v>
      </c>
      <c r="AH191" s="389">
        <f t="shared" ca="1" si="476"/>
        <v>187</v>
      </c>
      <c r="AI191" s="388">
        <f t="shared" ca="1" si="593"/>
        <v>0.39587558714872972</v>
      </c>
      <c r="AJ191" s="388">
        <f ca="1">IF(Control!$C$60&lt;=0,$HH191,$HI191)</f>
        <v>1</v>
      </c>
      <c r="AK191" s="388">
        <f t="shared" ca="1" si="477"/>
        <v>1.841920076351276</v>
      </c>
      <c r="AL191" s="388">
        <f t="shared" ca="1" si="478"/>
        <v>7.3934174754652913E-18</v>
      </c>
      <c r="AM191" s="388">
        <f t="shared" ca="1" si="479"/>
        <v>1.841920076351276</v>
      </c>
      <c r="AN191" s="388">
        <f t="shared" ca="1" si="480"/>
        <v>0.39333252864618495</v>
      </c>
      <c r="AO191" s="388">
        <f ca="1">-0.10453/COS(Control!$B$8*PI()/180)*COS(AN191)</f>
        <v>-0.15681957203489488</v>
      </c>
      <c r="AP191" s="388">
        <f ca="1">ACOS(AO191-TAN(Control!$B$8*PI()/180)*TAN(AN191))</f>
        <v>2.3294416389056494</v>
      </c>
      <c r="AQ191" s="388">
        <f t="shared" ca="1" si="594"/>
        <v>0</v>
      </c>
      <c r="AR191" s="394">
        <f t="shared" ca="1" si="481"/>
        <v>0</v>
      </c>
      <c r="AS191" s="436">
        <f ca="1">IF(Control!$B$18=2,(IF(OR($AH191=Control!$B$175,$AH191=Control!$B$176,$AH191=Control!$B$177,$AH191=Control!$B$178,$AH191=Control!$B$179,$AH191=Control!$B$180,$AH191=Control!$B$181,$AH191=Control!$B$182,$AH191=Control!$B$183,$AH191=Control!$B$184,$AH191=Control!$B$185),1,0)),0)</f>
        <v>0</v>
      </c>
      <c r="AT191" s="436">
        <f>IF(Control!$B$20=8,IF(AND($AH191&gt;=Control!$B$172,$AH191&lt;=Control!$B$173),1,0),0)</f>
        <v>0</v>
      </c>
      <c r="AU191" s="436">
        <f>IF(Control!$B$20=8,IF($AV190=1,1*$AT191,IF($AT191=1,$AU190+1,$AU190)),0)</f>
        <v>0</v>
      </c>
      <c r="AV191" s="436">
        <f>IF(Control!$B$20=8,IF($AU191&gt;=Control!$B$174,1,0),0)</f>
        <v>0</v>
      </c>
      <c r="AW191" s="436">
        <f ca="1">IF(AND(Control!$B$18=2,Control!$B$171=1), $AV191, $AS191)</f>
        <v>0</v>
      </c>
      <c r="AX191" s="436" t="e">
        <f ca="1">IF(AND(Control!$B$18=1,$EU191&gt;=Control!$B$19),-$AY191,IF(AND(Control!$B$18=2,$AW191=1,$EU191&gt;$DS191),-$AY191, IF(Control!$C$108=0,0, IF(Control!$C$108&lt;&gt;0,1))))</f>
        <v>#N/A</v>
      </c>
      <c r="AY191" s="436" t="e">
        <f t="shared" ca="1" si="595"/>
        <v>#N/A</v>
      </c>
      <c r="AZ191" s="436" t="e">
        <f ca="1">IF(AND(Control!$B$18=1,$EB191&gt;Control!$B$19),$AZ190+1, IF(AND(Control!$B$18=2, $AW191=1, $EB191&gt;$DS191), $AZ190+1,$AZ190))</f>
        <v>#N/A</v>
      </c>
      <c r="BA191" s="587">
        <f>IF(Control!$C$81=0,1,IF($AH191&gt;=Control!$C$82,1,0))</f>
        <v>1</v>
      </c>
      <c r="BB191" s="140" t="e">
        <f ca="1">IF($BA191&gt;$BA190,Control!$C$83,IF($AW191&gt;0,$AW191*Control!$C$84,IF(AND(Control!$B$18=1,EN190&lt;&gt;0),Control!$C$84,0)))</f>
        <v>#N/A</v>
      </c>
      <c r="BC191" s="140" t="e">
        <f t="shared" ca="1" si="596"/>
        <v>#N/A</v>
      </c>
      <c r="BD191" s="140" t="e">
        <f ca="1">BC191*IF(OR($G191&lt;Control!$C$92,$G191&gt;Control!$C$95),0,IF(AND($G191&gt;=Control!$C$92,$G191&lt;=Control!$C$93),$G191-Control!$C$92,IF(AND($G191&gt;Control!$C$93,$G191&lt;=Control!$C$94),Control!$C$93-Control!$C$92,IF(AND($G191&gt;Control!$C$94,$G191&lt;=Control!$C$95),(Control!$C$93-Control!$C$92)*(Control!$C$94-$G191)/(Control!$C$95-Control!$C$94)))))</f>
        <v>#N/A</v>
      </c>
      <c r="BE191" s="140" t="e">
        <f t="shared" ca="1" si="597"/>
        <v>#N/A</v>
      </c>
      <c r="BF191" s="140" t="e">
        <f ca="1">IF($BE191&lt;=Control!$C$86,$BE191,Control!$C$86-$BE191)</f>
        <v>#N/A</v>
      </c>
      <c r="BG191" s="140" t="e">
        <f ca="1">IF(AND($AW191=1,Control!$C$84&lt;9),1,IF($BE191&gt;=Control!$C$86,0,$BC191))</f>
        <v>#N/A</v>
      </c>
      <c r="BH191" s="404" t="e">
        <f ca="1">IF($BG191=0,0,IF($BE191&lt;=Control!$C$86,$BC191*9*($BF191/Control!$C$86),0))</f>
        <v>#N/A</v>
      </c>
      <c r="BI191" s="140" t="e">
        <f ca="1">IF($BG191=1,0,IF($BE191&gt;=Control!$C$86,1,IF(AND($BB191&lt;21,$BB191&gt;=9),1,$BM190)))</f>
        <v>#N/A</v>
      </c>
      <c r="BJ191" s="140" t="e">
        <f ca="1">IF($BF191&lt;0,-$BF191,$BI191*IF(OR($G191&lt;Control!$C$92,$G191&gt;Control!$C$95),0,IF(AND($G191&gt;=Control!$C$92,$G191&lt;=Control!$C$93),$G191-Control!$C$92,IF(AND($G191&gt;Control!$C$93,$G191&lt;=Control!$C$94),Control!$C$93-Control!$C$92,IF(AND($G191&gt;Control!$C$94,$G191&lt;=Control!$C$95),(Control!$C$93-Control!$C$92)*(Control!$C$94-$G191)/(Control!$C$95-Control!$C$94))))))</f>
        <v>#N/A</v>
      </c>
      <c r="BK191" s="140" t="e">
        <f t="shared" ca="1" si="598"/>
        <v>#N/A</v>
      </c>
      <c r="BL191" s="140" t="e">
        <f ca="1">IF($BK191&lt;=Control!$C$87,$BK191,Control!$C$87-$BK191)</f>
        <v>#N/A</v>
      </c>
      <c r="BM191" s="140" t="e">
        <f ca="1">IF(AND($BB191&gt;=9,$BB191&lt;21),1,IF($BK191&gt;=Control!$C$87,0,$BI191))</f>
        <v>#N/A</v>
      </c>
      <c r="BN191" s="404" t="e">
        <f ca="1">IF($BM191=0,0,IF($BK191&lt;=Control!$C$87,$BI191*(9+(21-9)*($BL191/Control!$C$87)),0))</f>
        <v>#N/A</v>
      </c>
      <c r="BO191" s="140" t="e">
        <f ca="1">IF($BM191=1,0,IF($BK191&gt;=Control!$C$87,1,IF(AND($BB191&lt;30,$BB191&gt;=21),1,$BS190)))</f>
        <v>#N/A</v>
      </c>
      <c r="BP191" s="140" t="e">
        <f ca="1">IF($BL191&lt;0,-$BL191,$BO191*IF(OR($G191&lt;Control!$C$92,$G191&gt;Control!$C$95),0,IF(AND($G191&gt;=Control!$C$92,$G191&lt;=Control!$C$93),$G191-Control!$C$92,IF(AND($G191&gt;Control!$C$93,$G191&lt;=Control!$C$94),Control!$C$93-Control!$C$92,IF(AND($G191&gt;Control!$C$94,$G191&lt;=Control!$C$95),(Control!$C$93-Control!$C$92)*(Control!$C$94-$G191)/(Control!$C$95-Control!$C$94))))))</f>
        <v>#N/A</v>
      </c>
      <c r="BQ191" s="140" t="e">
        <f t="shared" ca="1" si="482"/>
        <v>#N/A</v>
      </c>
      <c r="BR191" s="140" t="e">
        <f ca="1">IF($BQ191&lt;=Control!$C$88,$BQ191,Control!$C$88-$BQ191)</f>
        <v>#N/A</v>
      </c>
      <c r="BS191" s="140" t="e">
        <f ca="1">IF(AND($BB191&gt;=21,$BB191&lt;30),1,IF($BQ191&gt;=Control!$C$88,0,$BO191))</f>
        <v>#N/A</v>
      </c>
      <c r="BT191" s="404" t="e">
        <f ca="1">IF($BS191=0,0,IF($BQ191&lt;=Control!$C$88,$BO191*(21+(30-21)*(BR191/Control!$C$88)),0))</f>
        <v>#N/A</v>
      </c>
      <c r="BU191" s="140" t="e">
        <f ca="1">IF(BG191+BM191+BS191=1,0,IF(OR(AND($BB191&lt;60,$BB191&gt;=30),$BQ191&gt;=Control!$C$88),1*$BA191,$BY190))</f>
        <v>#N/A</v>
      </c>
      <c r="BV191" s="140" t="e">
        <f ca="1">IF($BR191&lt;0,-$BR191,$BU191*IF(OR($G191&lt;Control!$C$92,$G191&gt;Control!$C$95),0,IF(AND($G191&gt;=Control!$C$92,$G191&lt;=Control!$C$93),$G191-Control!$C$92,IF(AND($G191&gt;Control!$C$93,$G191&lt;=Control!$C$94),Control!$C$93-Control!$C$92,IF(AND($G191&gt;Control!$C$94,$G191&lt;=Control!$C$95),(Control!$C$93-Control!$C$92)*(Control!$C$94-$G191)/(Control!$C$95-Control!$C$94))))))</f>
        <v>#N/A</v>
      </c>
      <c r="BW191" s="140" t="e">
        <f t="shared" ca="1" si="483"/>
        <v>#N/A</v>
      </c>
      <c r="BX191" s="140" t="e">
        <f ca="1">IF($BW191&lt;=Control!$C$89,$BW191,Control!$C$89-$BW191)</f>
        <v>#N/A</v>
      </c>
      <c r="BY191" s="140" t="e">
        <f ca="1">IF(AND($AJ191&gt;=30,$AJ191&lt;60),1,IF($BW191&gt;=Control!$C$89,0,$BU191))</f>
        <v>#N/A</v>
      </c>
      <c r="BZ191" s="404" t="e">
        <f ca="1">IF($BY191=0,0,IF($BW191&lt;=Control!$C$89,$BU191*(30+(60-30)*(BX191/Control!$C$89)),0))</f>
        <v>#N/A</v>
      </c>
      <c r="CA191" s="140" t="e">
        <f ca="1">IF($BG191+$BM191+$BS191+$BY191=1,0,IF(OR(AND($BB191&lt;65,$BB191&gt;=60),$BW191&gt;=Control!$C$89),1*$BA191,$CE190))</f>
        <v>#N/A</v>
      </c>
      <c r="CB191" s="140" t="e">
        <f ca="1">IF($BX191&lt;0,-$BX191,$CA191*IF(OR($G191&lt;Control!$C$92,$G191&gt;Control!$C$95),0,IF(AND($G191&gt;=Control!$C$92,$G191&lt;=Control!$C$93),$G191-Control!$C$92,IF(AND($G191&gt;Control!$C$93,$G191&lt;=Control!$C$94),Control!$C$93-Control!$C$92,IF(AND($G191&gt;Control!$C$94,$G191&lt;=Control!$C$95),(Control!$C$93-Control!$C$92)*(Control!$C$94-$G191)/(Control!$C$95-Control!$C$94))))))</f>
        <v>#N/A</v>
      </c>
      <c r="CC191" s="140" t="e">
        <f t="shared" ca="1" si="599"/>
        <v>#N/A</v>
      </c>
      <c r="CD191" s="140" t="e">
        <f ca="1">IF($CC191&lt;=Control!$C$90,$CC191,Control!$C$90-$CC191)</f>
        <v>#N/A</v>
      </c>
      <c r="CE191" s="140" t="e">
        <f ca="1">IF(AND($BB191&gt;=60,$BB191&lt;65),1,IF($CC191&gt;=Control!$C$90,0,$CA191))</f>
        <v>#N/A</v>
      </c>
      <c r="CF191" s="404" t="e">
        <f ca="1">IF($CE191=0,0,IF($CC191&lt;=Control!$C$90,$CA191*(60+(65-60)*(CD191/Control!$C$90)),0))</f>
        <v>#N/A</v>
      </c>
      <c r="CG191" s="140" t="e">
        <f ca="1">IF($BG191+$BM191+$BS191+$BY191+$CE191=1,0,IF(OR(AND($BB191&lt;90,$BB191&gt;=65),$CC191&gt;=Control!$C$90),$BA191,$CK190))</f>
        <v>#N/A</v>
      </c>
      <c r="CH191" s="140" t="e">
        <f ca="1">IF($CD191&lt;0,-$CD191,$CG191*IF(OR($G191&lt;Control!$C$92,$G191&gt;Control!$C$95),0,IF(AND($G191&gt;=Control!$C$92,$G191&lt;=Control!$C$93),$G191-Control!$C$92,IF(AND($G191&gt;Control!$C$93,$G191&lt;=Control!$C$94),Control!$C$93-Control!$C$92,IF(AND($G191&gt;Control!$C$94,$G191&lt;=Control!$C$95),(Control!$C$93-Control!$C$92)*(Control!$C$94-$G191)/(Control!$C$95-Control!$C$94))))))</f>
        <v>#N/A</v>
      </c>
      <c r="CI191" s="140" t="e">
        <f t="shared" ca="1" si="600"/>
        <v>#N/A</v>
      </c>
      <c r="CJ191" s="140" t="e">
        <f ca="1">IF($CI191&lt;=Control!$C$91,$CI191,Control!$C$91-$CI191)</f>
        <v>#N/A</v>
      </c>
      <c r="CK191" s="140" t="e">
        <f ca="1">IF(AND($BB191&gt;=65,$BB191&lt;90),1,IF($CI191&gt;=Control!$C$91,0,$CG191))</f>
        <v>#N/A</v>
      </c>
      <c r="CL191" s="404" t="e">
        <f ca="1">IF($CK191=0,0,IF($CI191&lt;=Control!$C$91,$CG191*(65+(90-65)*($CJ191/Control!$C$91)),0))</f>
        <v>#N/A</v>
      </c>
      <c r="CM191" s="140" t="e">
        <f ca="1">IF($BG191+$BM191+$BS191+$BY191+$CE191+$CK191=1,0,IF(OR($BB191&gt;=90,$CI191&gt;=Control!$C$91),$BA191,$CM190))</f>
        <v>#N/A</v>
      </c>
      <c r="CN191" s="140" t="e">
        <f t="shared" ca="1" si="601"/>
        <v>#N/A</v>
      </c>
      <c r="CO191" s="140" t="e">
        <f t="shared" ca="1" si="602"/>
        <v>#N/A</v>
      </c>
      <c r="CP191" s="140" t="e">
        <f t="shared" ca="1" si="603"/>
        <v>#N/A</v>
      </c>
      <c r="CQ191" s="141" t="e">
        <f ca="1">VLOOKUP($CP191,Control!$B$86:$G$91,6)</f>
        <v>#N/A</v>
      </c>
      <c r="CR191" s="141" t="e">
        <f ca="1">(1-$CQ191)*VLOOKUP($CP191,Control!$B$86:$D$91,3)</f>
        <v>#N/A</v>
      </c>
      <c r="CS191" s="141" t="e">
        <f ca="1">(1-$CQ191)*VLOOKUP($CP191,Control!$B$86:$E$91,4)</f>
        <v>#N/A</v>
      </c>
      <c r="CT191" s="141" t="e">
        <f ca="1">(1-$CQ191)*VLOOKUP($CP191,Control!$B$86:$F$91,5)</f>
        <v>#N/A</v>
      </c>
      <c r="CU191" s="141">
        <f t="shared" ca="1" si="604"/>
        <v>0</v>
      </c>
      <c r="CV191" s="583">
        <f t="shared" ca="1" si="605"/>
        <v>0</v>
      </c>
      <c r="CW191" s="142">
        <f t="shared" ca="1" si="606"/>
        <v>187</v>
      </c>
      <c r="CX191" s="612" t="e">
        <f ca="1">IF(Control!$C$114=1,(MIN(Control!$C$120*(IF($NT191-0.01&lt;0,0,1)),Control!$C$119-$CY191)))</f>
        <v>#DIV/0!</v>
      </c>
      <c r="CY191" s="143" t="e">
        <f t="shared" ca="1" si="607"/>
        <v>#N/A</v>
      </c>
      <c r="CZ191" s="144">
        <f t="shared" ca="1" si="484"/>
        <v>0</v>
      </c>
      <c r="DA191" s="144">
        <f t="shared" ca="1" si="485"/>
        <v>0</v>
      </c>
      <c r="DB191" s="144" t="e">
        <f t="shared" ca="1" si="486"/>
        <v>#N/A</v>
      </c>
      <c r="DC191" s="144" t="e">
        <f t="shared" ca="1" si="487"/>
        <v>#N/A</v>
      </c>
      <c r="DD191" s="144" t="e">
        <f t="shared" ca="1" si="692"/>
        <v>#N/A</v>
      </c>
      <c r="DE191" s="143" t="e">
        <f t="shared" ca="1" si="608"/>
        <v>#N/A</v>
      </c>
      <c r="DF191" s="145" t="e">
        <f ca="1">$DR191*EXP(-Control!$C$158*(1-$KH191))</f>
        <v>#N/A</v>
      </c>
      <c r="DG191" s="146" t="e">
        <f ca="1">IF(Control!$C$114=1, $DF191*$EY191, 0)</f>
        <v>#N/A</v>
      </c>
      <c r="DH191" s="147" t="e">
        <f t="shared" ca="1" si="609"/>
        <v>#N/A</v>
      </c>
      <c r="DI191" s="144" t="e">
        <f t="shared" ca="1" si="670"/>
        <v>#N/A</v>
      </c>
      <c r="DJ191" s="147" t="e">
        <f ca="1">$EF191*Control!$C$109</f>
        <v>#N/A</v>
      </c>
      <c r="DK191" s="144" t="e">
        <f t="shared" ca="1" si="610"/>
        <v>#N/A</v>
      </c>
      <c r="DL191" s="144" t="e">
        <f t="shared" ca="1" si="488"/>
        <v>#N/A</v>
      </c>
      <c r="DM191" s="144" t="e">
        <f ca="1">IF(Control!$C$114=1, (1-EXP(-Control!$C$96*$DK191))*$AR191, 0)</f>
        <v>#N/A</v>
      </c>
      <c r="DN191" s="144">
        <f t="shared" ca="1" si="611"/>
        <v>0</v>
      </c>
      <c r="DO191" s="148">
        <f>Control!$C$97</f>
        <v>4</v>
      </c>
      <c r="DP191" s="145" t="e">
        <f t="shared" ca="1" si="612"/>
        <v>#N/A</v>
      </c>
      <c r="DQ191" s="145" t="e">
        <f ca="1">IF(AND($CP191&gt;=0,$CP191&lt;=90),Control!$C$111,Control!$C$111)</f>
        <v>#N/A</v>
      </c>
      <c r="DR191" s="145" t="e">
        <f t="shared" ca="1" si="489"/>
        <v>#N/A</v>
      </c>
      <c r="DS191" s="143" t="e">
        <f ca="1">Control!$B$22/$DR191</f>
        <v>#N/A</v>
      </c>
      <c r="DT191" s="149" t="e">
        <f ca="1">IF(AND(Control!$C$114=1,$KH191&lt;1),$IM191*$DF191, 0)</f>
        <v>#N/A</v>
      </c>
      <c r="DU191" s="144" t="e">
        <f t="shared" ca="1" si="613"/>
        <v>#N/A</v>
      </c>
      <c r="DV191" s="144">
        <f ca="1">IF($G191-Control!$C$107&lt;=0, 0, 0.83*LN(MAX($G191, 3))-0.8924)</f>
        <v>0</v>
      </c>
      <c r="DW191" s="144" t="e">
        <f t="shared" ca="1" si="490"/>
        <v>#N/A</v>
      </c>
      <c r="DX191" s="150" t="e">
        <f ca="1">MAX(0.01*(1+$CU191/Control!$C$102),0.05*($DK191-Control!$C$97)/Control!$C$97)</f>
        <v>#N/A</v>
      </c>
      <c r="DY191" s="151" t="e">
        <f ca="1">IF(Control!$C$114=1, $DI191*$FS191, 0)</f>
        <v>#N/A</v>
      </c>
      <c r="DZ191" s="196" t="e">
        <f t="shared" ca="1" si="614"/>
        <v>#N/A</v>
      </c>
      <c r="EA191" s="152">
        <f t="shared" ca="1" si="615"/>
        <v>187</v>
      </c>
      <c r="EB191" s="153" t="e">
        <f t="shared" ca="1" si="616"/>
        <v>#N/A</v>
      </c>
      <c r="EC191" s="153" t="e">
        <f t="shared" ca="1" si="617"/>
        <v>#N/A</v>
      </c>
      <c r="ED191" s="154" t="e">
        <f ca="1">IF(Control!$C$114=1, $HM191*$FY191-$FD191, 0)</f>
        <v>#DIV/0!</v>
      </c>
      <c r="EE191" s="155" t="e">
        <f ca="1">IF(Control!$C$114=1, $HM191*$FZ191-$FF191, 0)</f>
        <v>#DIV/0!</v>
      </c>
      <c r="EF191" s="153" t="e">
        <f t="shared" ca="1" si="671"/>
        <v>#N/A</v>
      </c>
      <c r="EG191" s="155" t="e">
        <f ca="1">IF(Control!$C$114=1, $GX191*$FW191-$FI191, 0)</f>
        <v>#DIV/0!</v>
      </c>
      <c r="EH191" s="153" t="e">
        <f t="shared" ca="1" si="618"/>
        <v>#N/A</v>
      </c>
      <c r="EI191" s="156" t="e">
        <f t="shared" ca="1" si="619"/>
        <v>#N/A</v>
      </c>
      <c r="EJ191" s="155" t="e">
        <f ca="1">IF(Control!$C$114=1, $HM191*$GB191, 0)</f>
        <v>#DIV/0!</v>
      </c>
      <c r="EK191" s="153" t="e">
        <f t="shared" ca="1" si="672"/>
        <v>#N/A</v>
      </c>
      <c r="EL191" s="153" t="e">
        <f t="shared" ca="1" si="491"/>
        <v>#N/A</v>
      </c>
      <c r="EM191" s="153" t="e">
        <f t="shared" ca="1" si="492"/>
        <v>#N/A</v>
      </c>
      <c r="EN191" s="153" t="e">
        <f ca="1">IF(Control!$C$108=1,IF(AND(Control!$B$18=1,$EB191&gt;=Control!$B$19),$EB191-$DS191,IF(AND(Control!$B$18=2,$AW191=1,$EB191&gt;$DS191),$EB191-$DS191,0)))</f>
        <v>#N/A</v>
      </c>
      <c r="EO191" s="153" t="e">
        <f ca="1">IF(Control!$C$108=1,IF(AND(Control!$B$18=1,$EB191&gt;=Control!$B$19),$EF191,IF(AND(Control!$B$18=2,$AW191=1),$EF191,0)))</f>
        <v>#N/A</v>
      </c>
      <c r="EP191" s="153" t="e">
        <f ca="1">IF(Control!$C$108=1,IF(AND(Control!$B$18=1,$EB191&gt;=Control!$B$19),$EK191,IF(AND(Control!$B$18=2,$AW191=1),$EK191,0)))</f>
        <v>#N/A</v>
      </c>
      <c r="EQ191" s="153" t="e">
        <f t="shared" ca="1" si="620"/>
        <v>#N/A</v>
      </c>
      <c r="ER191" s="153" t="e">
        <f t="shared" ca="1" si="621"/>
        <v>#N/A</v>
      </c>
      <c r="ES191" s="153" t="e">
        <f t="shared" ca="1" si="673"/>
        <v>#N/A</v>
      </c>
      <c r="ET191" s="153" t="e">
        <f t="shared" ca="1" si="674"/>
        <v>#N/A</v>
      </c>
      <c r="EU191" s="153" t="e">
        <f t="shared" ca="1" si="622"/>
        <v>#N/A</v>
      </c>
      <c r="EV191" s="153" t="e">
        <f t="shared" ca="1" si="493"/>
        <v>#N/A</v>
      </c>
      <c r="EW191" s="153" t="e">
        <f t="shared" ca="1" si="494"/>
        <v>#N/A</v>
      </c>
      <c r="EX191" s="153" t="e">
        <f t="shared" ca="1" si="495"/>
        <v>#N/A</v>
      </c>
      <c r="EY191" s="157" t="e">
        <f t="shared" ca="1" si="496"/>
        <v>#DIV/0!</v>
      </c>
      <c r="EZ191" s="154" t="e">
        <f t="shared" ca="1" si="497"/>
        <v>#DIV/0!</v>
      </c>
      <c r="FA191" s="153" t="e">
        <f t="shared" ca="1" si="623"/>
        <v>#N/A</v>
      </c>
      <c r="FB191" s="153" t="e">
        <f t="shared" ca="1" si="498"/>
        <v>#N/A</v>
      </c>
      <c r="FC191" s="193" t="e">
        <f t="shared" ca="1" si="499"/>
        <v>#N/A</v>
      </c>
      <c r="FD191" s="158" t="e">
        <f t="shared" ca="1" si="624"/>
        <v>#N/A</v>
      </c>
      <c r="FE191" s="158" t="e">
        <f t="shared" ca="1" si="625"/>
        <v>#N/A</v>
      </c>
      <c r="FF191" s="159" t="e">
        <f t="shared" ca="1" si="500"/>
        <v>#N/A</v>
      </c>
      <c r="FG191" s="160" t="e">
        <f t="shared" ca="1" si="626"/>
        <v>#N/A</v>
      </c>
      <c r="FH191" s="158" t="e">
        <f t="shared" ca="1" si="627"/>
        <v>#N/A</v>
      </c>
      <c r="FI191" s="159" t="e">
        <f t="shared" ca="1" si="501"/>
        <v>#N/A</v>
      </c>
      <c r="FJ191" s="160" t="e">
        <f t="shared" ca="1" si="628"/>
        <v>#N/A</v>
      </c>
      <c r="FK191" s="160" t="e">
        <f t="shared" ca="1" si="502"/>
        <v>#N/A</v>
      </c>
      <c r="FL191" s="160" t="e">
        <f t="shared" ca="1" si="675"/>
        <v>#N/A</v>
      </c>
      <c r="FM191" s="160" t="e">
        <f t="shared" ca="1" si="503"/>
        <v>#N/A</v>
      </c>
      <c r="FN191" s="158">
        <f t="shared" ca="1" si="629"/>
        <v>0.01</v>
      </c>
      <c r="FO191" s="160">
        <f>Control!$C$101</f>
        <v>50</v>
      </c>
      <c r="FP191" s="150" t="e">
        <f t="shared" ca="1" si="504"/>
        <v>#N/A</v>
      </c>
      <c r="FQ191" s="150" t="e">
        <f ca="1">MAX(0,(Control!$C$112*(($DK191-Control!$C$97)/Control!$C$97)))</f>
        <v>#N/A</v>
      </c>
      <c r="FR191" s="150" t="e">
        <f ca="1">(1-$NT191)*Control!$C$113</f>
        <v>#DIV/0!</v>
      </c>
      <c r="FS191" s="198" t="e">
        <f t="shared" ca="1" si="505"/>
        <v>#N/A</v>
      </c>
      <c r="FT191" s="161">
        <f t="shared" ca="1" si="630"/>
        <v>187</v>
      </c>
      <c r="FU191" s="162" t="e">
        <f ca="1">IF(Control!$B$34=1,VLOOKUP($CP191,Control!$B$86:$G$91,6),Control!$B$35)</f>
        <v>#N/A</v>
      </c>
      <c r="FV191" s="162" t="e">
        <f t="shared" ca="1" si="506"/>
        <v>#DIV/0!</v>
      </c>
      <c r="FW191" s="162" t="e">
        <f ca="1">IF(Control!$B$31=1,$FU191*$FV191,  $FU191)</f>
        <v>#N/A</v>
      </c>
      <c r="FX191" s="162" t="e">
        <f ca="1">IF(Control!$B$34=1,VLOOKUP($CP191,Control!$B$86:$G$91,3),Control!$B$36)</f>
        <v>#N/A</v>
      </c>
      <c r="FY191" s="162" t="e">
        <f t="shared" ca="1" si="507"/>
        <v>#N/A</v>
      </c>
      <c r="FZ191" s="162" t="e">
        <f ca="1">IF(Control!$B$34=1,VLOOKUP($CP191,Control!$B$86:$G$91,4),Control!$B$37)</f>
        <v>#N/A</v>
      </c>
      <c r="GA191" s="162" t="e">
        <f t="shared" ca="1" si="508"/>
        <v>#N/A</v>
      </c>
      <c r="GB191" s="162" t="e">
        <f ca="1">IF(Control!$B$34=1,VLOOKUP($CP191,Control!$B$86:$G$91,5),Control!$B$38)</f>
        <v>#N/A</v>
      </c>
      <c r="GC191" s="162" t="e">
        <f t="shared" ca="1" si="631"/>
        <v>#N/A</v>
      </c>
      <c r="GD191" s="162">
        <f t="shared" ca="1" si="509"/>
        <v>1</v>
      </c>
      <c r="GE191" s="162">
        <f t="shared" ca="1" si="510"/>
        <v>1</v>
      </c>
      <c r="GF191" s="162">
        <f ca="1">IF(AND(Control!$C$104=1, Control!$C$62="F"),$GE191,1)</f>
        <v>1</v>
      </c>
      <c r="GG191" s="162" t="e">
        <f ca="1">IF(Control!$B$16=40,0,IF(AND(Control!$B$16&gt;40,Control!$B$16&lt;=360),(Control!$B$16-40)*((1-0)/(360-40)),IF(AND(Control!$B$16&gt;360,Control!$B$16&lt;=720),(1+(Control!$B$16-360)*((1.25-1)/(720-360))),IF(AND(Control!$B$16&gt;720,Control!$B$16&lt;=1000),(1.25+(Control!$B$16-720)*((1.35-1.25)/(1000-720))),IF(AND(Control!$B$16&gt;1000,Control!$B$16&lt;=2000),(1.35+(Control!$B$16-1000)*0))))))</f>
        <v>#N/A</v>
      </c>
      <c r="GH191" s="162" t="e">
        <f t="shared" ca="1" si="511"/>
        <v>#N/A</v>
      </c>
      <c r="GI191" s="162">
        <f t="shared" ca="1" si="632"/>
        <v>0</v>
      </c>
      <c r="GJ191" s="162">
        <f t="shared" ca="1" si="512"/>
        <v>0</v>
      </c>
      <c r="GK191" s="162">
        <f t="shared" ca="1" si="633"/>
        <v>1</v>
      </c>
      <c r="GL191" s="162">
        <f t="shared" ca="1" si="513"/>
        <v>1</v>
      </c>
      <c r="GM191" s="162" t="e">
        <f ca="1">MAX(0,MIN(1,1-Control!$C$156*(1.0001-$KH191)^2))</f>
        <v>#N/A</v>
      </c>
      <c r="GN191" s="162" t="e">
        <f ca="1">IF(Control!$B$26=1,$KU191,$KX191)</f>
        <v>#N/A</v>
      </c>
      <c r="GO191" s="162" t="e">
        <f ca="1">IF($CP191&lt;=60,Control!$C$105,IF($CP191&gt;=90,Control!$C$106,Control!$C$105+($CP191-60)*((Control!$C$106-Control!$C$105)/(90-60))))</f>
        <v>#N/A</v>
      </c>
      <c r="GP191" s="162" t="e">
        <f t="shared" ca="1" si="514"/>
        <v>#N/A</v>
      </c>
      <c r="GQ191" s="162" t="e">
        <f t="shared" ca="1" si="634"/>
        <v>#N/A</v>
      </c>
      <c r="GR191" s="163" t="e">
        <f t="shared" ca="1" si="515"/>
        <v>#DIV/0!</v>
      </c>
      <c r="GS191" s="162" t="e">
        <f t="shared" ca="1" si="516"/>
        <v>#DIV/0!</v>
      </c>
      <c r="GT191" s="164" t="e">
        <f t="shared" ca="1" si="635"/>
        <v>#N/A</v>
      </c>
      <c r="GU191" s="162" t="e">
        <f t="shared" ca="1" si="636"/>
        <v>#N/A</v>
      </c>
      <c r="GV191" s="162" t="e">
        <f t="shared" ca="1" si="517"/>
        <v>#N/A</v>
      </c>
      <c r="GW191" s="162" t="e">
        <f t="shared" ca="1" si="518"/>
        <v>#DIV/0!</v>
      </c>
      <c r="GX191" s="162" t="e">
        <f t="shared" ca="1" si="637"/>
        <v>#DIV/0!</v>
      </c>
      <c r="GY191" s="162" t="e">
        <f t="shared" ca="1" si="638"/>
        <v>#DIV/0!</v>
      </c>
      <c r="GZ191" s="165" t="e">
        <f t="shared" ca="1" si="519"/>
        <v>#N/A</v>
      </c>
      <c r="HA191" s="162" t="e">
        <f ca="1">IF(Control!$C$114=1, $DI191*$FS191, 0)</f>
        <v>#N/A</v>
      </c>
      <c r="HB191" s="162" t="e">
        <f ca="1">$FA191/Control!$C$64</f>
        <v>#N/A</v>
      </c>
      <c r="HC191" s="162" t="e">
        <f t="shared" ca="1" si="520"/>
        <v>#DIV/0!</v>
      </c>
      <c r="HD191" s="162">
        <f ca="1">-ASIN(SIN(23.45*Control!$C$139)*COS(2*Control!$C$138*($AH191+10)/365))</f>
        <v>0.39587558714872972</v>
      </c>
      <c r="HE191" s="165">
        <f t="shared" ca="1" si="639"/>
        <v>0</v>
      </c>
      <c r="HF191" s="166">
        <f ca="1">IF(AND(Control!$C$61="T",$HE191&gt;=Control!$C$103,Control!$C$114=0),$AH191,Control!$C$59)</f>
        <v>1</v>
      </c>
      <c r="HG191" s="166">
        <f ca="1">IF(AND(Control!$C$61="T",$HE191&gt;=Control!$C$103,Control!$C$114=0),$HF191,Control!$C$59)</f>
        <v>1</v>
      </c>
      <c r="HH191" s="165">
        <f ca="1">IF(AND(OR(Control!$C$60&lt;=0, $AH191= Control!$C$59, Control!$C$60 &gt;0, $AH191 = Control!$C$60)), Control!$C$59, IF(Control!$C$60&gt;0, 0))</f>
        <v>1</v>
      </c>
      <c r="HI191" s="165">
        <f ca="1">IF(AND(OR(Control!$C$60&lt;=0, $AH191= Control!$C$59, Control!$C$60 &gt;0, $AH191 = Control!$C$60)), Control!$C$60, IF(Control!$C$60&lt;=0, 0))</f>
        <v>0</v>
      </c>
      <c r="HJ191" s="166">
        <f ca="1">IF(AND(Control!$C$62="F",$CV191&gt;=Control!$C$102),$AH191,0)</f>
        <v>0</v>
      </c>
      <c r="HK191" s="165" t="e">
        <f t="shared" ca="1" si="676"/>
        <v>#N/A</v>
      </c>
      <c r="HL191" s="166">
        <f ca="1">IF(AND(Control!$C$61="T",$HE191&gt;=Control!$C$103,Control!$C$114=0),$HF191,0)</f>
        <v>0</v>
      </c>
      <c r="HM191" s="201" t="e">
        <f t="shared" ca="1" si="521"/>
        <v>#DIV/0!</v>
      </c>
      <c r="HN191" s="215">
        <f t="shared" ca="1" si="640"/>
        <v>187</v>
      </c>
      <c r="HO191" s="216" t="e">
        <f ca="1">IF(AND($CP191&gt;=0, $CP191&lt;=90), Control!$C$152, Control!$C$152)</f>
        <v>#N/A</v>
      </c>
      <c r="HP191" s="216" t="e">
        <f t="shared" ca="1" si="522"/>
        <v>#N/A</v>
      </c>
      <c r="HQ191" s="217" t="e">
        <f ca="1">IF(OR(Control!$B$26=1,Control!$B$26=2),$KV191,$KS191)</f>
        <v>#DIV/0!</v>
      </c>
      <c r="HR191" s="218" t="e">
        <f t="shared" ca="1" si="677"/>
        <v>#DIV/0!</v>
      </c>
      <c r="HS191" s="216" t="e">
        <f ca="1">Control!$C$154*$HP191</f>
        <v>#N/A</v>
      </c>
      <c r="HT191" s="216" t="e">
        <f ca="1">Control!$C$155*$HP191</f>
        <v>#N/A</v>
      </c>
      <c r="HU191" s="217" t="e">
        <f ca="1">Control!$C$161*$FI191</f>
        <v>#N/A</v>
      </c>
      <c r="HV191" s="218" t="e">
        <f t="shared" ca="1" si="641"/>
        <v>#N/A</v>
      </c>
      <c r="HW191" s="218" t="e">
        <f ca="1">Control!$C$160*$FF191+$IP191*$EO191</f>
        <v>#N/A</v>
      </c>
      <c r="HX191" s="218" t="e">
        <f t="shared" ca="1" si="678"/>
        <v>#N/A</v>
      </c>
      <c r="HY191" s="219" t="e">
        <f ca="1">IF(Control!$C$114=1, $EB191*$FS191, 0)</f>
        <v>#N/A</v>
      </c>
      <c r="HZ191" s="91" t="e">
        <f t="shared" ca="1" si="523"/>
        <v>#N/A</v>
      </c>
      <c r="IA191" s="220" t="e">
        <f ca="1">Control!$C$153*$HO191</f>
        <v>#N/A</v>
      </c>
      <c r="IB191" s="218" t="e">
        <f t="shared" ca="1" si="524"/>
        <v>#N/A</v>
      </c>
      <c r="IC191" s="220" t="e">
        <f ca="1">Control!$C$153*$HT191</f>
        <v>#N/A</v>
      </c>
      <c r="ID191" s="218" t="e">
        <f t="shared" ca="1" si="525"/>
        <v>#N/A</v>
      </c>
      <c r="IE191" s="221" t="e">
        <f ca="1">($EB191*Control!$C$159+$EF191*Control!$C$160)/(IF($GZ191&lt;&gt;0,$GZ191,1))</f>
        <v>#N/A</v>
      </c>
      <c r="IF191" s="216" t="e">
        <f t="shared" ca="1" si="526"/>
        <v>#N/A</v>
      </c>
      <c r="IG191" s="91">
        <f ca="1">IF(OR(Control!$B$198=$AH191,Control!$B$199=$AH191, Control!$B$200=$AH191, Control!$B$201=$AH191, Control!$B$202=$AH191, Control!$B$203=$AH191, Control!$B$204=$AH191, Control!$B$205=$AH191, Control!$B$206=$AH191, Control!$B$207=$AH191), 1, 0)</f>
        <v>0</v>
      </c>
      <c r="IH191" s="91">
        <f ca="1">IF($IG191=0,0, VLOOKUP($AH191,Control!$B$198:$C$207,2))</f>
        <v>0</v>
      </c>
      <c r="II191" s="222">
        <f t="shared" ca="1" si="642"/>
        <v>0</v>
      </c>
      <c r="IJ191" s="91">
        <f>Control!$C$121</f>
        <v>0.7</v>
      </c>
      <c r="IK191" s="218">
        <f t="shared" ca="1" si="527"/>
        <v>0</v>
      </c>
      <c r="IL191" s="217" t="e">
        <f t="shared" ca="1" si="679"/>
        <v>#N/A</v>
      </c>
      <c r="IM191" s="223" t="e">
        <f ca="1">IF(AND(Control!$C$114=1,$KH191&lt;1),$EB191*Control!$C$148*(1-$KH191), 0)</f>
        <v>#N/A</v>
      </c>
      <c r="IN191" s="217" t="e">
        <f t="shared" ca="1" si="528"/>
        <v>#DIV/0!</v>
      </c>
      <c r="IO191" s="91" t="e">
        <f ca="1">MAX(0,$IL191-$EF191*Control!$C$160)</f>
        <v>#N/A</v>
      </c>
      <c r="IP191" s="220" t="e">
        <f t="shared" ca="1" si="529"/>
        <v>#N/A</v>
      </c>
      <c r="IQ191" s="217" t="e">
        <f t="shared" ca="1" si="643"/>
        <v>#N/A</v>
      </c>
      <c r="IR191" s="218" t="e">
        <f t="shared" ca="1" si="530"/>
        <v>#N/A</v>
      </c>
      <c r="IS191" s="217" t="e">
        <f ca="1">Control!$C$159*MAX(0,$FD191-$EN191)</f>
        <v>#N/A</v>
      </c>
      <c r="IT191" s="217" t="e">
        <f t="shared" ca="1" si="680"/>
        <v>#N/A</v>
      </c>
      <c r="IU191" s="217" t="e">
        <f t="shared" ca="1" si="644"/>
        <v>#N/A</v>
      </c>
      <c r="IV191" s="217" t="e">
        <f t="shared" ca="1" si="681"/>
        <v>#N/A</v>
      </c>
      <c r="IW191" s="217" t="e">
        <f ca="1">IF(OR($AW191=1,AND($AW191=0, Control!$B$18=1,$EN191&lt;&gt;0)), $IQ191-$IU191, $IQ191)</f>
        <v>#N/A</v>
      </c>
      <c r="IX191" s="218" t="e">
        <f t="shared" ca="1" si="531"/>
        <v>#N/A</v>
      </c>
      <c r="IY191" s="218" t="e">
        <f ca="1">MAX(0,$IQ191-$EB191*Control!$C$159)</f>
        <v>#N/A</v>
      </c>
      <c r="IZ191" s="218" t="e">
        <f t="shared" ca="1" si="532"/>
        <v>#N/A</v>
      </c>
      <c r="JA191" s="216" t="e">
        <f t="shared" ca="1" si="533"/>
        <v>#N/A</v>
      </c>
      <c r="JB191" s="217" t="e">
        <f t="shared" ca="1" si="534"/>
        <v>#N/A</v>
      </c>
      <c r="JC191" s="222" t="e">
        <f ca="1">MAX(Control!$C$157*$EK191-$JT191, 0)/Control!$C$162</f>
        <v>#N/A</v>
      </c>
      <c r="JD191" s="218" t="e">
        <f t="shared" ca="1" si="535"/>
        <v>#N/A</v>
      </c>
      <c r="JE191" s="218" t="e">
        <f t="shared" ca="1" si="536"/>
        <v>#N/A</v>
      </c>
      <c r="JF191" s="218" t="e">
        <f t="shared" ca="1" si="645"/>
        <v>#N/A</v>
      </c>
      <c r="JG191" s="218" t="e">
        <f t="shared" ca="1" si="537"/>
        <v>#N/A</v>
      </c>
      <c r="JH191" s="217" t="e">
        <f t="shared" ca="1" si="646"/>
        <v>#N/A</v>
      </c>
      <c r="JI191" s="217" t="e">
        <f t="shared" ca="1" si="647"/>
        <v>#N/A</v>
      </c>
      <c r="JJ191" s="217" t="e">
        <f t="shared" ca="1" si="682"/>
        <v>#N/A</v>
      </c>
      <c r="JK191" s="217" t="e">
        <f ca="1">IF(Control!$C$114=1,IF(Control!$B$24=0,MAX(0,$JI191)*$GN191/Control!$C$64,(MAX(0,MIN($JI191,$JJ191*$GN191/Control!$C$64),0))))</f>
        <v>#N/A</v>
      </c>
      <c r="JL191" s="217" t="e">
        <f ca="1">$IK191/Control!$C$64-$JK191+$HQ191</f>
        <v>#N/A</v>
      </c>
      <c r="JM191" s="217" t="e">
        <f ca="1">IF(Control!$C$114=1,($JB191/(IF($JI191&lt;&gt;0,$JI191,1)))*$JK191,0)</f>
        <v>#N/A</v>
      </c>
      <c r="JN191" s="217" t="e">
        <f ca="1">IF(Control!$C$114=1,($JG191/(IF($JI191&lt;&gt;0,$JI191,1)))*$JK191, 0)</f>
        <v>#N/A</v>
      </c>
      <c r="JO191" s="218" t="e">
        <f t="shared" ca="1" si="538"/>
        <v>#N/A</v>
      </c>
      <c r="JP191" s="218" t="e">
        <f ca="1">MIN(($IY191+$IO191)*Control!$C$151, $JF191-$EH191*Control!$C$161)</f>
        <v>#N/A</v>
      </c>
      <c r="JQ191" s="218" t="e">
        <f t="shared" ca="1" si="539"/>
        <v>#N/A</v>
      </c>
      <c r="JR191" s="217" t="e">
        <f ca="1">IF($CP191-Control!$C$150&lt;0, 0, $JQ191/Control!$C$162)</f>
        <v>#N/A</v>
      </c>
      <c r="JS191" s="218" t="e">
        <f t="shared" ca="1" si="540"/>
        <v>#N/A</v>
      </c>
      <c r="JT191" s="218" t="e">
        <f t="shared" ca="1" si="648"/>
        <v>#N/A</v>
      </c>
      <c r="JU191" s="218" t="e">
        <f t="shared" ca="1" si="541"/>
        <v>#N/A</v>
      </c>
      <c r="JV191" s="218" t="e">
        <f t="shared" ca="1" si="542"/>
        <v>#N/A</v>
      </c>
      <c r="JW191" s="216" t="e">
        <f t="shared" ca="1" si="543"/>
        <v>#N/A</v>
      </c>
      <c r="JX191" s="91" t="e">
        <f t="shared" ca="1" si="544"/>
        <v>#N/A</v>
      </c>
      <c r="JY191" s="218" t="e">
        <f t="shared" ca="1" si="545"/>
        <v>#N/A</v>
      </c>
      <c r="JZ191" s="217" t="e">
        <f ca="1">IF(Control!$C$114=1,($IZ191/(IF($JI191&lt;&gt;0,$JI191,1)))*$JK191, 0)</f>
        <v>#N/A</v>
      </c>
      <c r="KA191" s="218" t="e">
        <f t="shared" ca="1" si="683"/>
        <v>#N/A</v>
      </c>
      <c r="KB191" s="218" t="e">
        <f t="shared" ca="1" si="649"/>
        <v>#N/A</v>
      </c>
      <c r="KC191" s="218" t="e">
        <f t="shared" ca="1" si="546"/>
        <v>#N/A</v>
      </c>
      <c r="KD191" s="218" t="e">
        <f t="shared" ca="1" si="547"/>
        <v>#N/A</v>
      </c>
      <c r="KE191" s="218" t="e">
        <f t="shared" ca="1" si="548"/>
        <v>#N/A</v>
      </c>
      <c r="KF191" s="218" t="e">
        <f t="shared" ca="1" si="549"/>
        <v>#N/A</v>
      </c>
      <c r="KG191" s="216" t="e">
        <f t="shared" ca="1" si="550"/>
        <v>#N/A</v>
      </c>
      <c r="KH191" s="221" t="e">
        <f ca="1">IF(Control!$B$24=0,1,MAX(0.001,MIN(1,IF(($IF191-$IE191)&lt;&gt;0,($KG191-$IE191)/($IF191-$IE191),1))))</f>
        <v>#N/A</v>
      </c>
      <c r="KI191" s="222" t="e">
        <f ca="1">IF(Control!$C$114=1, $KI190+ $KH190, 0)</f>
        <v>#N/A</v>
      </c>
      <c r="KJ191" s="217" t="e">
        <f t="shared" ca="1" si="551"/>
        <v>#N/A</v>
      </c>
      <c r="KK191" s="218" t="e">
        <f t="shared" ca="1" si="552"/>
        <v>#N/A</v>
      </c>
      <c r="KL191" s="274" t="e">
        <f ca="1">IF(Control!$B$26=3,4000000000*EXP(-8400/($G191+273)),IF(Control!$B$26=4,4000000000*EXP(-8400/($G191+273))*($KT191),0))</f>
        <v>#DIV/0!</v>
      </c>
      <c r="KM191" s="274" t="e">
        <f ca="1">IF(Control!$B$26=3,5600000000000*EXP(-9800/($G191+273)),IF(Control!$B$26=4,5600000000000*EXP(-9800/($G191+273))*$KT191,0))</f>
        <v>#DIV/0!</v>
      </c>
      <c r="KN191" s="454" t="e">
        <f t="shared" ca="1" si="650"/>
        <v>#DIV/0!</v>
      </c>
      <c r="KO191" s="274" t="e">
        <f t="shared" ca="1" si="651"/>
        <v>#DIV/0!</v>
      </c>
      <c r="KP191" s="454" t="e">
        <f t="shared" ca="1" si="553"/>
        <v>#DIV/0!</v>
      </c>
      <c r="KQ191" s="454" t="e">
        <f t="shared" ca="1" si="554"/>
        <v>#DIV/0!</v>
      </c>
      <c r="KR191" s="454" t="e">
        <f t="shared" ca="1" si="555"/>
        <v>#DIV/0!</v>
      </c>
      <c r="KS191" s="454" t="e">
        <f t="shared" ca="1" si="556"/>
        <v>#DIV/0!</v>
      </c>
      <c r="KT191" s="455" t="e">
        <f t="shared" ca="1" si="557"/>
        <v>#DIV/0!</v>
      </c>
      <c r="KU191" s="456" t="e">
        <f ca="1">IF($CP191-Control!$C$149&lt;0, IF($NT191-0.01&lt;0,0,1),0)</f>
        <v>#N/A</v>
      </c>
      <c r="KV191" s="456" t="e">
        <f ca="1">IF(Control!$C$114=1,MAX(0,MIN(Control!$C$125*$KW191*$GN191,$KW191)))</f>
        <v>#DIV/0!</v>
      </c>
      <c r="KW191" s="456" t="e">
        <f t="shared" ca="1" si="684"/>
        <v>#DIV/0!</v>
      </c>
      <c r="KX191" s="457" t="e">
        <f ca="1">IF($CP191-Control!$C$149&lt;0, IF($MR191-$OM191&lt;0,0,1),0)</f>
        <v>#N/A</v>
      </c>
      <c r="KY191" s="167">
        <f t="shared" ca="1" si="652"/>
        <v>187</v>
      </c>
      <c r="KZ191" s="168">
        <f ca="1">1370*(1+0.033*COS(2*Control!$C$138*$AH191/365))</f>
        <v>1324.9256034451912</v>
      </c>
      <c r="LA191" s="169">
        <f t="shared" ca="1" si="653"/>
        <v>0.96709896139247453</v>
      </c>
      <c r="LB191" s="169">
        <f t="shared" ca="1" si="654"/>
        <v>0.3954358299138177</v>
      </c>
      <c r="LC191" s="169">
        <f ca="1">ACOS(-TAN((2*Control!$B$8/360))*TAN(Calculations!$LB191))</f>
        <v>1.6951763541329266</v>
      </c>
      <c r="LD191" s="169">
        <f ca="1">((24*60)/PI())*0.082*$LA191*(($LC191*SIN(Control!$B$8*2*PI()/360))*SIN($LB191)+COS(Control!$B$8*2*PI()/360)*COS($LB191)*SIN($LC191))</f>
        <v>39.196724409363782</v>
      </c>
      <c r="LE191" s="170">
        <f t="shared" ca="1" si="558"/>
        <v>40.832495568884816</v>
      </c>
      <c r="LF191" s="170">
        <f ca="1">SIN(Control!$C$139*Control!$B$8)*SIN($HD191)</f>
        <v>0.30387022025745936</v>
      </c>
      <c r="LG191" s="170">
        <f ca="1">COS(Control!$C$139*Control!$B$8)*COS($HD191)</f>
        <v>0.5680442289543145</v>
      </c>
      <c r="LH191" s="170">
        <f ca="1">12*(1+2*ASIN(MAX(-1,MIN(1,$LF191/$LG191))/Control!$C$138))</f>
        <v>16.106649924751764</v>
      </c>
      <c r="LI191" s="170">
        <f ca="1">12*(1+2*ASIN(MAX(-1,MIN(1,(-SIN(-4*Control!$C$139)+$LF191)/$LG191))/Control!$C$138))</f>
        <v>17.06222395333786</v>
      </c>
      <c r="LJ191" s="168">
        <f ca="1">3600*($LH191*$LF191+24*$LG191*SQRT(1-$LK191*$LK191)/Control!$C$138)</f>
        <v>30818.708207244603</v>
      </c>
      <c r="LK191" s="170">
        <f t="shared" ca="1" si="559"/>
        <v>0.53494112741333455</v>
      </c>
      <c r="LL191" s="170">
        <f t="shared" ca="1" si="560"/>
        <v>0</v>
      </c>
      <c r="LM191" s="171">
        <f ca="1">Control!$C$145*$AB191</f>
        <v>6.6660906138995932E-2</v>
      </c>
      <c r="LN191" s="170">
        <f t="shared" ca="1" si="655"/>
        <v>0.54</v>
      </c>
      <c r="LO191" s="170">
        <f t="shared" ca="1" si="561"/>
        <v>0</v>
      </c>
      <c r="LP191" s="170">
        <f ca="1">Control!$C$140*((($D191+273.16)^4+($E191+273.16)^4)/2)*(0.34-0.14*SQRT($Y191))*(1.35*$AQ191/(0.75*$LD191)-0.35)</f>
        <v>-3.2464704755046001</v>
      </c>
      <c r="LQ191" s="170">
        <f ca="1">Control!$C$140*($G191+273)^4*(0.56-0.079*SQRT($Y191*10))*(0.1+0.9*$LO191)</f>
        <v>1.5241745131704001</v>
      </c>
      <c r="LR191" s="170">
        <f ca="1">$AQ191*(1-Control!$C$142)-$LQ191</f>
        <v>-1.5241745131704001</v>
      </c>
      <c r="LS191" s="170">
        <f ca="1">$AQ191*(1-Control!$C$143)-$LQ191</f>
        <v>-1.5241745131704001</v>
      </c>
      <c r="LT191" s="170">
        <f ca="1">$AQ191*(1-Control!$C$144)-$LQ191</f>
        <v>-1.5241745131704001</v>
      </c>
      <c r="LU191" s="169">
        <f ca="1">(1-Control!$C$144)*AQ191-LP191</f>
        <v>3.2464704755046001</v>
      </c>
      <c r="LV191" s="172">
        <f t="shared" ca="1" si="562"/>
        <v>0.79430000000000012</v>
      </c>
      <c r="LW191" s="170">
        <f t="shared" ca="1" si="563"/>
        <v>1.5886000000000002</v>
      </c>
      <c r="LX191" s="170">
        <f ca="1">($AC191*($LR191/Control!$C$141)+$LM191*$LV191)/($AC191+$LM191)</f>
        <v>0.23530094218323697</v>
      </c>
      <c r="LY191" s="170">
        <f ca="1">($AC191*($LS191/Control!$C$141)+$LM191*$LV191)/($AC191+$LM191)</f>
        <v>0.23530094218323697</v>
      </c>
      <c r="LZ191" s="170">
        <f t="shared" ca="1" si="564"/>
        <v>0.23530094218323697</v>
      </c>
      <c r="MA191" s="170">
        <f t="shared" ca="1" si="565"/>
        <v>0.23530094218323697</v>
      </c>
      <c r="MB191" s="170" t="e">
        <f t="shared" ca="1" si="566"/>
        <v>#N/A</v>
      </c>
      <c r="MC191" s="170">
        <f t="shared" ca="1" si="656"/>
        <v>0.6018</v>
      </c>
      <c r="MD191" s="170">
        <f t="shared" ca="1" si="567"/>
        <v>0.52989392535414004</v>
      </c>
      <c r="ME191" s="170">
        <f ca="1">($AC191*($LT191/Control!$C$141)+$LM191*$LW191)/($AC191+$LM191)</f>
        <v>0.71612369323045078</v>
      </c>
      <c r="MF191" s="170" t="e">
        <f ca="1">IF(Control!$B$16&gt;=1000,0.92,IF(AND(720&lt;=Control!$B$16,1000&gt;Control!$B$16),(0.95+(Control!$B$16-720)*((0.92-0.95)/(1000-720))),IF(AND(360&lt;=Control!$B$16,720&gt;Control!$B$16),(1+(Control!$B$16-360)*((0.95-1)/(720-360))),IF(AND(40&lt;=Control!$B$16,360&gt;Control!$B$16),(1.05+(Control!$B$16-40)*((1.05-1)/(360-40)))))))</f>
        <v>#N/A</v>
      </c>
      <c r="MG191" s="170">
        <f t="shared" ca="1" si="568"/>
        <v>0.71612369323045078</v>
      </c>
      <c r="MH191" s="170" t="e">
        <f t="shared" ca="1" si="695"/>
        <v>#N/A</v>
      </c>
      <c r="MI191" s="170" t="e">
        <f t="shared" ca="1" si="695"/>
        <v>#N/A</v>
      </c>
      <c r="MJ191" s="170" t="e">
        <f ca="1">MAX(0.0001, Control!$C$132*$MI191*$DL191)</f>
        <v>#N/A</v>
      </c>
      <c r="MK191" s="170">
        <f ca="1">1/(0.76+1.5*($MG191/10))-(5-Control!$C$110)*0.1</f>
        <v>1.002845988140797</v>
      </c>
      <c r="ML191" s="173">
        <f ca="1">IF(Control!$C$110&lt;3,$MK191+($MG191-0.6)/(Control!$C$110*(Control!$C$110+3)), MAX(0.1, MIN(0.95,$MK191)))</f>
        <v>0.95</v>
      </c>
      <c r="MM191" s="173">
        <f ca="1">IF(Control!$C$110&lt;3,$MK191+(($MI191/10)-0.6)/(Control!$C$110*(Control!$C$110+3)), MAX(0.1, MIN(0.95,$MK191)))</f>
        <v>0.95</v>
      </c>
      <c r="MN191" s="173">
        <f ca="1">(1-$MM191)*(Control!$C$128-Control!$C$127)+Control!$C$127</f>
        <v>0.16</v>
      </c>
      <c r="MO191" s="170" t="e">
        <f ca="1">MAX(0,MIN(1,($MS191-Control!$C$127)/($MN191-Control!$C$127)))</f>
        <v>#DIV/0!</v>
      </c>
      <c r="MP191" s="173" t="e">
        <f ca="1">1/(0.76+1.5*$MI191)-(5-Control!$C$110)*0.1</f>
        <v>#N/A</v>
      </c>
      <c r="MQ191" s="172" t="e">
        <f t="shared" ca="1" si="685"/>
        <v>#DIV/0!</v>
      </c>
      <c r="MR191" s="168" t="e">
        <f t="shared" ca="1" si="657"/>
        <v>#DIV/0!</v>
      </c>
      <c r="MS191" s="173" t="e">
        <f ca="1">MAX(Control!$C$127, MIN(Control!$C$135, $MR191/MAX(0.0001,$CY191)))</f>
        <v>#DIV/0!</v>
      </c>
      <c r="MT191" s="168" t="e">
        <f ca="1">(Control!$C$128-$MS191)*Control!$C$74</f>
        <v>#DIV/0!</v>
      </c>
      <c r="MU191" s="168" t="e">
        <f ca="1">(Control!$C$135-$MS191)*Control!$C$74</f>
        <v>#DIV/0!</v>
      </c>
      <c r="MV191" s="168" t="e">
        <f t="shared" ca="1" si="658"/>
        <v>#DIV/0!</v>
      </c>
      <c r="MW191" s="168" t="e">
        <f t="shared" ca="1" si="659"/>
        <v>#DIV/0!</v>
      </c>
      <c r="MX191" s="171" t="e">
        <f ca="1">MAX(Control!$C$127, MIN(Control!$C$135, $MW191/MAX(0.0001,Control!$C$119-$CY191)))</f>
        <v>#DIV/0!</v>
      </c>
      <c r="MY191" s="54" t="e">
        <f ca="1">IF(Control!$C$114=1, $CX191*$MX191, 0)</f>
        <v>#DIV/0!</v>
      </c>
      <c r="MZ191" s="54" t="e">
        <f t="shared" ca="1" si="660"/>
        <v>#N/A</v>
      </c>
      <c r="NA191" s="168" t="e">
        <f ca="1">(Control!$C$128-$MX191)*(Control!$C$119-Control!$C$74)</f>
        <v>#DIV/0!</v>
      </c>
      <c r="NB191" s="168" t="e">
        <f ca="1">(Control!$C$135-$MX191)*(Control!$C$119-Control!$C$74)</f>
        <v>#DIV/0!</v>
      </c>
      <c r="NC191" s="174" t="e">
        <f t="shared" ca="1" si="661"/>
        <v>#DIV/0!</v>
      </c>
      <c r="ND191" s="54">
        <f ca="1">IF(Control!$C$58=2, IF(OR(Control!$B$218=$AH191,Control!$B$219=$AH191, Control!$B$220=$AH191, Control!$B$221=$AH191, Control!$B$222=$AH191, Control!$B$223=$AH191, Control!$B$224=$AH191, Control!$B$225=$AH191, Control!$B$226=$AH191, Control!$B$227=$AH191, Control!$B$228=$AH191), 1, 0), 0)</f>
        <v>0</v>
      </c>
      <c r="NE191" s="54">
        <f ca="1">IF($ND191=0,0, VLOOKUP($AH191,Control!$B$218:$C$228,2))</f>
        <v>0</v>
      </c>
      <c r="NF191" s="168" t="e">
        <f ca="1">$CY191*(Control!$C$128-Control!$C$127)</f>
        <v>#N/A</v>
      </c>
      <c r="NG191" s="54" t="e">
        <f ca="1">IF(Control!$C$58=2, $NI190-$NJ190, 0)</f>
        <v>#DIV/0!</v>
      </c>
      <c r="NH191" s="54" t="e">
        <f ca="1">IF(AND(Control!$C$58=1, $MS190&lt;= ($MN190+0.02), $I190&lt;10), 0, IF(Control!$C$58=2, $NG190, 0))</f>
        <v>#DIV/0!</v>
      </c>
      <c r="NI191" s="54" t="e">
        <f ca="1">IF(Control!$C$58=2, $NE191+$NH191,0)</f>
        <v>#DIV/0!</v>
      </c>
      <c r="NJ191" s="54" t="e">
        <f ca="1">IF(AND(Control!$C$58=1, $MS191&lt;= ($MN191+0.02), $I191&lt;10), MAX(0, MIN(10, 0.7*($NF191-$MV191))), IF(Control!$C$58=2, MIN(10,$NI191),0))</f>
        <v>#DIV/0!</v>
      </c>
      <c r="NK191" s="54" t="e">
        <f t="shared" ca="1" si="569"/>
        <v>#DIV/0!</v>
      </c>
      <c r="NL191" s="173" t="e">
        <f ca="1">(1-Control!$C$73)*$I191+$NJ191</f>
        <v>#DIV/0!</v>
      </c>
      <c r="NM191" s="172" t="e">
        <f ca="1">IF($NL191&lt;0.5, $MB191* MAX(0, MIN(1, (SQRT($NC191)-SQRT($NC191-1))*Control!$C$71)),0)</f>
        <v>#DIV/0!</v>
      </c>
      <c r="NN191" s="170" t="e">
        <f ca="1">IF($NL191&gt;=5, $MB191, MAX(0,MIN($MB191, $NM191+$NL191,($MS191-Control!$C$129))))</f>
        <v>#DIV/0!</v>
      </c>
      <c r="NO191" s="54">
        <f>IF(Control!$C$133&lt;&gt;1, Control!$C$135-Control!$C$131, 0)</f>
        <v>0.38</v>
      </c>
      <c r="NP191" s="54" t="e">
        <f t="shared" ca="1" si="570"/>
        <v>#DIV/0!</v>
      </c>
      <c r="NQ191" s="173" t="e">
        <f ca="1">MAX(0,MIN(1,(Control!$C$135-$MS191)/(Control!$C$135-$NO191)))</f>
        <v>#DIV/0!</v>
      </c>
      <c r="NR191" s="170" t="e">
        <f ca="1">IF(Control!$C$133&lt;&gt;1, $NQ191+((1-$NP191/4)*(1-$NQ191)),1)</f>
        <v>#DIV/0!</v>
      </c>
      <c r="NS191" s="170" t="e">
        <f ca="1">IF(Control!$B$31=0,$MJ191,MAX(0,MIN($MV191,$MO191*$NR191*$MJ191)))</f>
        <v>#DIV/0!</v>
      </c>
      <c r="NT191" s="170" t="e">
        <f t="shared" ca="1" si="686"/>
        <v>#DIV/0!</v>
      </c>
      <c r="NU191" s="170" t="e">
        <f t="shared" ca="1" si="662"/>
        <v>#N/A</v>
      </c>
      <c r="NV191" s="170" t="e">
        <f t="shared" ca="1" si="571"/>
        <v>#N/A</v>
      </c>
      <c r="NW191" s="175" t="e">
        <f t="shared" ca="1" si="572"/>
        <v>#DIV/0!</v>
      </c>
      <c r="NX191" s="170" t="e">
        <f ca="1">MIN(Control!$C$72+$MU191, $NW191)</f>
        <v>#DIV/0!</v>
      </c>
      <c r="NY191" s="170" t="e">
        <f ca="1">IF($MT191&lt;=$NX191,MIN(Control!$C$72+$NB191,$NX191-$MT191),0)</f>
        <v>#DIV/0!</v>
      </c>
      <c r="NZ191" s="54" t="e">
        <f ca="1">IF(Control!$C$114=1,  $CX191*($MX191-Control!$C$127), 0)</f>
        <v>#DIV/0!</v>
      </c>
      <c r="OA191" s="170" t="e">
        <f t="shared" ca="1" si="573"/>
        <v>#DIV/0!</v>
      </c>
      <c r="OB191" s="170" t="e">
        <f ca="1">IF($NA191 &lt;=$NY191, MIN(Control!$C$72, $NY191-$NA191), 0)</f>
        <v>#DIV/0!</v>
      </c>
      <c r="OC191" s="168" t="e">
        <f t="shared" ca="1" si="574"/>
        <v>#DIV/0!</v>
      </c>
      <c r="OD191" s="168" t="e">
        <f t="shared" ca="1" si="663"/>
        <v>#DIV/0!</v>
      </c>
      <c r="OE191" s="170">
        <f ca="1">Control!$C$73*$I191</f>
        <v>0</v>
      </c>
      <c r="OF191" s="176" t="e">
        <f t="shared" ca="1" si="575"/>
        <v>#DIV/0!</v>
      </c>
      <c r="OG191" s="168" t="e">
        <f t="shared" ca="1" si="576"/>
        <v>#DIV/0!</v>
      </c>
      <c r="OH191" s="168" t="e">
        <f t="shared" ca="1" si="577"/>
        <v>#DIV/0!</v>
      </c>
      <c r="OI191" s="168" t="e">
        <f t="shared" ca="1" si="578"/>
        <v>#DIV/0!</v>
      </c>
      <c r="OJ191" s="168" t="e">
        <f t="shared" ca="1" si="579"/>
        <v>#DIV/0!</v>
      </c>
      <c r="OK191" s="204" t="e">
        <f t="shared" ca="1" si="580"/>
        <v>#DIV/0!</v>
      </c>
      <c r="OL191" s="177">
        <f>Control!$C$127</f>
        <v>0.15</v>
      </c>
      <c r="OM191" s="182" t="e">
        <f t="shared" ca="1" si="581"/>
        <v>#N/A</v>
      </c>
      <c r="ON191" s="177">
        <f>Control!$C$128</f>
        <v>0.35</v>
      </c>
      <c r="OO191" s="182" t="e">
        <f t="shared" ca="1" si="582"/>
        <v>#N/A</v>
      </c>
      <c r="OP191" s="138">
        <f t="shared" ca="1" si="664"/>
        <v>0</v>
      </c>
      <c r="OQ191" s="138" t="e">
        <f t="shared" ca="1" si="687"/>
        <v>#DIV/0!</v>
      </c>
      <c r="OR191" s="138" t="e">
        <f t="shared" ca="1" si="665"/>
        <v>#DIV/0!</v>
      </c>
      <c r="OS191" s="137" t="e">
        <f t="shared" ca="1" si="688"/>
        <v>#DIV/0!</v>
      </c>
      <c r="OT191" s="139" t="e">
        <f t="shared" ca="1" si="689"/>
        <v>#DIV/0!</v>
      </c>
      <c r="OU191" s="138" t="e">
        <f t="shared" ca="1" si="690"/>
        <v>#N/A</v>
      </c>
      <c r="OV191" s="138" t="e">
        <f t="shared" ca="1" si="691"/>
        <v>#DIV/0!</v>
      </c>
      <c r="OW191" s="138" t="e">
        <f t="shared" ca="1" si="666"/>
        <v>#DIV/0!</v>
      </c>
      <c r="OX191" s="138" t="e">
        <f t="shared" ca="1" si="667"/>
        <v>#DIV/0!</v>
      </c>
      <c r="OY191" s="138" t="e">
        <f t="shared" ca="1" si="668"/>
        <v>#DIV/0!</v>
      </c>
      <c r="OZ191" s="138" t="e">
        <f t="shared" ca="1" si="583"/>
        <v>#DIV/0!</v>
      </c>
      <c r="PA191" s="138" t="e">
        <f t="shared" ca="1" si="584"/>
        <v>#DIV/0!</v>
      </c>
      <c r="PB191" s="55">
        <f>IF(Control!$C$61="T", IF(Control!$C$65="F", IF($AH$6-Control!$C$60&lt;0,0,1), IF(365+$AH$6-Control!$C$60&lt;0,0,1)),0)</f>
        <v>0</v>
      </c>
      <c r="PC191" s="55">
        <f ca="1">IF(Control!$C$65="F", IF($AH$6-$HF191&lt;0,0,1), IF(365+$AH$6-$HF191&lt;0,0,1))</f>
        <v>1</v>
      </c>
      <c r="PD191" s="444">
        <f>Control!$C$118</f>
        <v>1500</v>
      </c>
      <c r="PE191" s="180" t="e">
        <f t="shared" ca="1" si="585"/>
        <v>#N/A</v>
      </c>
      <c r="PF191" s="445">
        <f t="shared" ca="1" si="669"/>
        <v>0.71612369323045078</v>
      </c>
      <c r="PT191" s="186"/>
      <c r="PU191" s="186"/>
      <c r="PV191" s="94"/>
      <c r="PW191" s="94"/>
      <c r="PX191" s="94"/>
      <c r="PY191" s="94"/>
      <c r="PZ191" s="94"/>
      <c r="QA191" s="94"/>
      <c r="QB191" s="94"/>
      <c r="QC191" s="94"/>
      <c r="QD191" s="94"/>
      <c r="QE191" s="94"/>
      <c r="QF191" s="94"/>
      <c r="QG191" s="94"/>
      <c r="QH191" s="94"/>
      <c r="QI191" s="94"/>
      <c r="QJ191" s="94"/>
      <c r="QK191" s="94"/>
      <c r="QL191" s="94"/>
      <c r="QM191" s="94"/>
      <c r="QN191" s="94"/>
      <c r="QO191" s="94"/>
      <c r="QP191" s="94"/>
    </row>
    <row r="192" spans="1:458" s="2" customFormat="1" x14ac:dyDescent="0.2">
      <c r="A192" s="395">
        <v>6</v>
      </c>
      <c r="B192" s="396">
        <v>7</v>
      </c>
      <c r="C192" s="387">
        <f ca="1">Weather_data!$B191</f>
        <v>0</v>
      </c>
      <c r="D192" s="388">
        <f ca="1">Weather_data!$F191</f>
        <v>0</v>
      </c>
      <c r="E192" s="388">
        <f ca="1">Weather_data!$E191</f>
        <v>0</v>
      </c>
      <c r="F192" s="388">
        <f t="shared" ca="1" si="586"/>
        <v>0</v>
      </c>
      <c r="G192" s="388">
        <f ca="1">AVERAGE($D192:$E192)+Control!$B$9</f>
        <v>0</v>
      </c>
      <c r="H192" s="388">
        <f ca="1">Weather_data!$G191</f>
        <v>0</v>
      </c>
      <c r="I192" s="388">
        <f ca="1">Weather_data!$I191</f>
        <v>0</v>
      </c>
      <c r="J192" s="388">
        <f ca="1">Weather_data!$H191</f>
        <v>0</v>
      </c>
      <c r="K192" s="389">
        <f ca="1">Weather_data!$D191</f>
        <v>0</v>
      </c>
      <c r="L192" s="388" t="e">
        <f t="shared" ca="1" si="587"/>
        <v>#N/A</v>
      </c>
      <c r="M192" s="388" t="e">
        <f t="shared" ca="1" si="465"/>
        <v>#N/A</v>
      </c>
      <c r="N192" s="388">
        <f t="shared" ca="1" si="466"/>
        <v>-1.5419729672647755E-9</v>
      </c>
      <c r="O192" s="388">
        <f t="shared" ca="1" si="588"/>
        <v>1.5419729672647754E-8</v>
      </c>
      <c r="P192" s="390">
        <v>3</v>
      </c>
      <c r="Q192" s="388">
        <f ca="1">MAX($G192-Control!$C$107,0)</f>
        <v>0</v>
      </c>
      <c r="R192" s="388">
        <f t="shared" ca="1" si="589"/>
        <v>0</v>
      </c>
      <c r="S192" s="388">
        <f t="shared" ca="1" si="467"/>
        <v>0</v>
      </c>
      <c r="T192" s="388">
        <f t="shared" ca="1" si="468"/>
        <v>0</v>
      </c>
      <c r="U192" s="59">
        <f t="shared" ca="1" si="469"/>
        <v>0</v>
      </c>
      <c r="V192" s="391">
        <f ca="1">MAX(0,MIN(Control!$C$100-Control!$C$99,$G192-Control!$C$99)*Control!$C$63)</f>
        <v>0</v>
      </c>
      <c r="W192" s="388">
        <f t="shared" ca="1" si="590"/>
        <v>0</v>
      </c>
      <c r="X192" s="388">
        <f t="shared" ca="1" si="591"/>
        <v>0.6110000000000001</v>
      </c>
      <c r="Y192" s="388">
        <f t="shared" ca="1" si="470"/>
        <v>0</v>
      </c>
      <c r="Z192" s="388">
        <f t="shared" ca="1" si="592"/>
        <v>0.61058800000000002</v>
      </c>
      <c r="AA192" s="388">
        <f t="shared" ca="1" si="471"/>
        <v>0.6018</v>
      </c>
      <c r="AB192" s="388">
        <f ca="1">101.3*EXP(-0.034*Control!$C$66/($G192+273))</f>
        <v>100.69623283836242</v>
      </c>
      <c r="AC192" s="392">
        <f t="shared" ca="1" si="472"/>
        <v>4.3460251046025113E-2</v>
      </c>
      <c r="AD192" s="392">
        <f t="shared" ca="1" si="473"/>
        <v>4.4450382862832649E-2</v>
      </c>
      <c r="AE192" s="388">
        <f t="shared" ca="1" si="474"/>
        <v>0</v>
      </c>
      <c r="AF192" s="388">
        <f ca="1">MAX(0,$G192-Control!$C$92)</f>
        <v>0</v>
      </c>
      <c r="AG192" s="393">
        <f t="shared" ca="1" si="475"/>
        <v>188</v>
      </c>
      <c r="AH192" s="389">
        <f t="shared" ca="1" si="476"/>
        <v>188</v>
      </c>
      <c r="AI192" s="388">
        <f t="shared" ca="1" si="593"/>
        <v>0.39398039994974304</v>
      </c>
      <c r="AJ192" s="388">
        <f ca="1">IF(Control!$C$60&lt;=0,$HH192,$HI192)</f>
        <v>1</v>
      </c>
      <c r="AK192" s="388">
        <f t="shared" ca="1" si="477"/>
        <v>1.8591342826723158</v>
      </c>
      <c r="AL192" s="388">
        <f t="shared" ca="1" si="478"/>
        <v>5.4097767931970961E-18</v>
      </c>
      <c r="AM192" s="388">
        <f t="shared" ca="1" si="479"/>
        <v>1.8591342826723158</v>
      </c>
      <c r="AN192" s="388">
        <f t="shared" ca="1" si="480"/>
        <v>0.39128644798746365</v>
      </c>
      <c r="AO192" s="388">
        <f ca="1">-0.10453/COS(Control!$B$8*PI()/180)*COS(AN192)</f>
        <v>-0.15695238870896955</v>
      </c>
      <c r="AP192" s="388">
        <f ca="1">ACOS(AO192-TAN(Control!$B$8*PI()/180)*TAN(AN192))</f>
        <v>2.3254062044203705</v>
      </c>
      <c r="AQ192" s="388">
        <f t="shared" ca="1" si="594"/>
        <v>0</v>
      </c>
      <c r="AR192" s="394">
        <f t="shared" ca="1" si="481"/>
        <v>0</v>
      </c>
      <c r="AS192" s="436">
        <f ca="1">IF(Control!$B$18=2,(IF(OR($AH192=Control!$B$175,$AH192=Control!$B$176,$AH192=Control!$B$177,$AH192=Control!$B$178,$AH192=Control!$B$179,$AH192=Control!$B$180,$AH192=Control!$B$181,$AH192=Control!$B$182,$AH192=Control!$B$183,$AH192=Control!$B$184,$AH192=Control!$B$185),1,0)),0)</f>
        <v>0</v>
      </c>
      <c r="AT192" s="436">
        <f>IF(Control!$B$20=8,IF(AND($AH192&gt;=Control!$B$172,$AH192&lt;=Control!$B$173),1,0),0)</f>
        <v>0</v>
      </c>
      <c r="AU192" s="436">
        <f>IF(Control!$B$20=8,IF($AV191=1,1*$AT192,IF($AT192=1,$AU191+1,$AU191)),0)</f>
        <v>0</v>
      </c>
      <c r="AV192" s="436">
        <f>IF(Control!$B$20=8,IF($AU192&gt;=Control!$B$174,1,0),0)</f>
        <v>0</v>
      </c>
      <c r="AW192" s="436">
        <f ca="1">IF(AND(Control!$B$18=2,Control!$B$171=1), $AV192, $AS192)</f>
        <v>0</v>
      </c>
      <c r="AX192" s="436" t="e">
        <f ca="1">IF(AND(Control!$B$18=1,$EU192&gt;=Control!$B$19),-$AY192,IF(AND(Control!$B$18=2,$AW192=1,$EU192&gt;$DS192),-$AY192, IF(Control!$C$108=0,0, IF(Control!$C$108&lt;&gt;0,1))))</f>
        <v>#N/A</v>
      </c>
      <c r="AY192" s="436" t="e">
        <f t="shared" ca="1" si="595"/>
        <v>#N/A</v>
      </c>
      <c r="AZ192" s="436" t="e">
        <f ca="1">IF(AND(Control!$B$18=1,$EB192&gt;Control!$B$19),$AZ191+1, IF(AND(Control!$B$18=2, $AW192=1, $EB192&gt;$DS192), $AZ191+1,$AZ191))</f>
        <v>#N/A</v>
      </c>
      <c r="BA192" s="587">
        <f>IF(Control!$C$81=0,1,IF($AH192&gt;=Control!$C$82,1,0))</f>
        <v>1</v>
      </c>
      <c r="BB192" s="140" t="e">
        <f ca="1">IF($BA192&gt;$BA191,Control!$C$83,IF($AW192&gt;0,$AW192*Control!$C$84,IF(AND(Control!$B$18=1,EN191&lt;&gt;0),Control!$C$84,0)))</f>
        <v>#N/A</v>
      </c>
      <c r="BC192" s="140" t="e">
        <f t="shared" ca="1" si="596"/>
        <v>#N/A</v>
      </c>
      <c r="BD192" s="140" t="e">
        <f ca="1">BC192*IF(OR($G192&lt;Control!$C$92,$G192&gt;Control!$C$95),0,IF(AND($G192&gt;=Control!$C$92,$G192&lt;=Control!$C$93),$G192-Control!$C$92,IF(AND($G192&gt;Control!$C$93,$G192&lt;=Control!$C$94),Control!$C$93-Control!$C$92,IF(AND($G192&gt;Control!$C$94,$G192&lt;=Control!$C$95),(Control!$C$93-Control!$C$92)*(Control!$C$94-$G192)/(Control!$C$95-Control!$C$94)))))</f>
        <v>#N/A</v>
      </c>
      <c r="BE192" s="140" t="e">
        <f t="shared" ca="1" si="597"/>
        <v>#N/A</v>
      </c>
      <c r="BF192" s="140" t="e">
        <f ca="1">IF($BE192&lt;=Control!$C$86,$BE192,Control!$C$86-$BE192)</f>
        <v>#N/A</v>
      </c>
      <c r="BG192" s="140" t="e">
        <f ca="1">IF(AND($AW192=1,Control!$C$84&lt;9),1,IF($BE192&gt;=Control!$C$86,0,$BC192))</f>
        <v>#N/A</v>
      </c>
      <c r="BH192" s="404" t="e">
        <f ca="1">IF($BG192=0,0,IF($BE192&lt;=Control!$C$86,$BC192*9*($BF192/Control!$C$86),0))</f>
        <v>#N/A</v>
      </c>
      <c r="BI192" s="140" t="e">
        <f ca="1">IF($BG192=1,0,IF($BE192&gt;=Control!$C$86,1,IF(AND($BB192&lt;21,$BB192&gt;=9),1,$BM191)))</f>
        <v>#N/A</v>
      </c>
      <c r="BJ192" s="140" t="e">
        <f ca="1">IF($BF192&lt;0,-$BF192,$BI192*IF(OR($G192&lt;Control!$C$92,$G192&gt;Control!$C$95),0,IF(AND($G192&gt;=Control!$C$92,$G192&lt;=Control!$C$93),$G192-Control!$C$92,IF(AND($G192&gt;Control!$C$93,$G192&lt;=Control!$C$94),Control!$C$93-Control!$C$92,IF(AND($G192&gt;Control!$C$94,$G192&lt;=Control!$C$95),(Control!$C$93-Control!$C$92)*(Control!$C$94-$G192)/(Control!$C$95-Control!$C$94))))))</f>
        <v>#N/A</v>
      </c>
      <c r="BK192" s="140" t="e">
        <f t="shared" ca="1" si="598"/>
        <v>#N/A</v>
      </c>
      <c r="BL192" s="140" t="e">
        <f ca="1">IF($BK192&lt;=Control!$C$87,$BK192,Control!$C$87-$BK192)</f>
        <v>#N/A</v>
      </c>
      <c r="BM192" s="140" t="e">
        <f ca="1">IF(AND($BB192&gt;=9,$BB192&lt;21),1,IF($BK192&gt;=Control!$C$87,0,$BI192))</f>
        <v>#N/A</v>
      </c>
      <c r="BN192" s="404" t="e">
        <f ca="1">IF($BM192=0,0,IF($BK192&lt;=Control!$C$87,$BI192*(9+(21-9)*($BL192/Control!$C$87)),0))</f>
        <v>#N/A</v>
      </c>
      <c r="BO192" s="140" t="e">
        <f ca="1">IF($BM192=1,0,IF($BK192&gt;=Control!$C$87,1,IF(AND($BB192&lt;30,$BB192&gt;=21),1,$BS191)))</f>
        <v>#N/A</v>
      </c>
      <c r="BP192" s="140" t="e">
        <f ca="1">IF($BL192&lt;0,-$BL192,$BO192*IF(OR($G192&lt;Control!$C$92,$G192&gt;Control!$C$95),0,IF(AND($G192&gt;=Control!$C$92,$G192&lt;=Control!$C$93),$G192-Control!$C$92,IF(AND($G192&gt;Control!$C$93,$G192&lt;=Control!$C$94),Control!$C$93-Control!$C$92,IF(AND($G192&gt;Control!$C$94,$G192&lt;=Control!$C$95),(Control!$C$93-Control!$C$92)*(Control!$C$94-$G192)/(Control!$C$95-Control!$C$94))))))</f>
        <v>#N/A</v>
      </c>
      <c r="BQ192" s="140" t="e">
        <f t="shared" ca="1" si="482"/>
        <v>#N/A</v>
      </c>
      <c r="BR192" s="140" t="e">
        <f ca="1">IF($BQ192&lt;=Control!$C$88,$BQ192,Control!$C$88-$BQ192)</f>
        <v>#N/A</v>
      </c>
      <c r="BS192" s="140" t="e">
        <f ca="1">IF(AND($BB192&gt;=21,$BB192&lt;30),1,IF($BQ192&gt;=Control!$C$88,0,$BO192))</f>
        <v>#N/A</v>
      </c>
      <c r="BT192" s="404" t="e">
        <f ca="1">IF($BS192=0,0,IF($BQ192&lt;=Control!$C$88,$BO192*(21+(30-21)*(BR192/Control!$C$88)),0))</f>
        <v>#N/A</v>
      </c>
      <c r="BU192" s="140" t="e">
        <f ca="1">IF(BG192+BM192+BS192=1,0,IF(OR(AND($BB192&lt;60,$BB192&gt;=30),$BQ192&gt;=Control!$C$88),1*$BA192,$BY191))</f>
        <v>#N/A</v>
      </c>
      <c r="BV192" s="140" t="e">
        <f ca="1">IF($BR192&lt;0,-$BR192,$BU192*IF(OR($G192&lt;Control!$C$92,$G192&gt;Control!$C$95),0,IF(AND($G192&gt;=Control!$C$92,$G192&lt;=Control!$C$93),$G192-Control!$C$92,IF(AND($G192&gt;Control!$C$93,$G192&lt;=Control!$C$94),Control!$C$93-Control!$C$92,IF(AND($G192&gt;Control!$C$94,$G192&lt;=Control!$C$95),(Control!$C$93-Control!$C$92)*(Control!$C$94-$G192)/(Control!$C$95-Control!$C$94))))))</f>
        <v>#N/A</v>
      </c>
      <c r="BW192" s="140" t="e">
        <f t="shared" ca="1" si="483"/>
        <v>#N/A</v>
      </c>
      <c r="BX192" s="140" t="e">
        <f ca="1">IF($BW192&lt;=Control!$C$89,$BW192,Control!$C$89-$BW192)</f>
        <v>#N/A</v>
      </c>
      <c r="BY192" s="140" t="e">
        <f ca="1">IF(AND($AJ192&gt;=30,$AJ192&lt;60),1,IF($BW192&gt;=Control!$C$89,0,$BU192))</f>
        <v>#N/A</v>
      </c>
      <c r="BZ192" s="404" t="e">
        <f ca="1">IF($BY192=0,0,IF($BW192&lt;=Control!$C$89,$BU192*(30+(60-30)*(BX192/Control!$C$89)),0))</f>
        <v>#N/A</v>
      </c>
      <c r="CA192" s="140" t="e">
        <f ca="1">IF($BG192+$BM192+$BS192+$BY192=1,0,IF(OR(AND($BB192&lt;65,$BB192&gt;=60),$BW192&gt;=Control!$C$89),1*$BA192,$CE191))</f>
        <v>#N/A</v>
      </c>
      <c r="CB192" s="140" t="e">
        <f ca="1">IF($BX192&lt;0,-$BX192,$CA192*IF(OR($G192&lt;Control!$C$92,$G192&gt;Control!$C$95),0,IF(AND($G192&gt;=Control!$C$92,$G192&lt;=Control!$C$93),$G192-Control!$C$92,IF(AND($G192&gt;Control!$C$93,$G192&lt;=Control!$C$94),Control!$C$93-Control!$C$92,IF(AND($G192&gt;Control!$C$94,$G192&lt;=Control!$C$95),(Control!$C$93-Control!$C$92)*(Control!$C$94-$G192)/(Control!$C$95-Control!$C$94))))))</f>
        <v>#N/A</v>
      </c>
      <c r="CC192" s="140" t="e">
        <f t="shared" ca="1" si="599"/>
        <v>#N/A</v>
      </c>
      <c r="CD192" s="140" t="e">
        <f ca="1">IF($CC192&lt;=Control!$C$90,$CC192,Control!$C$90-$CC192)</f>
        <v>#N/A</v>
      </c>
      <c r="CE192" s="140" t="e">
        <f ca="1">IF(AND($BB192&gt;=60,$BB192&lt;65),1,IF($CC192&gt;=Control!$C$90,0,$CA192))</f>
        <v>#N/A</v>
      </c>
      <c r="CF192" s="404" t="e">
        <f ca="1">IF($CE192=0,0,IF($CC192&lt;=Control!$C$90,$CA192*(60+(65-60)*(CD192/Control!$C$90)),0))</f>
        <v>#N/A</v>
      </c>
      <c r="CG192" s="140" t="e">
        <f ca="1">IF($BG192+$BM192+$BS192+$BY192+$CE192=1,0,IF(OR(AND($BB192&lt;90,$BB192&gt;=65),$CC192&gt;=Control!$C$90),$BA192,$CK191))</f>
        <v>#N/A</v>
      </c>
      <c r="CH192" s="140" t="e">
        <f ca="1">IF($CD192&lt;0,-$CD192,$CG192*IF(OR($G192&lt;Control!$C$92,$G192&gt;Control!$C$95),0,IF(AND($G192&gt;=Control!$C$92,$G192&lt;=Control!$C$93),$G192-Control!$C$92,IF(AND($G192&gt;Control!$C$93,$G192&lt;=Control!$C$94),Control!$C$93-Control!$C$92,IF(AND($G192&gt;Control!$C$94,$G192&lt;=Control!$C$95),(Control!$C$93-Control!$C$92)*(Control!$C$94-$G192)/(Control!$C$95-Control!$C$94))))))</f>
        <v>#N/A</v>
      </c>
      <c r="CI192" s="140" t="e">
        <f t="shared" ca="1" si="600"/>
        <v>#N/A</v>
      </c>
      <c r="CJ192" s="140" t="e">
        <f ca="1">IF($CI192&lt;=Control!$C$91,$CI192,Control!$C$91-$CI192)</f>
        <v>#N/A</v>
      </c>
      <c r="CK192" s="140" t="e">
        <f ca="1">IF(AND($BB192&gt;=65,$BB192&lt;90),1,IF($CI192&gt;=Control!$C$91,0,$CG192))</f>
        <v>#N/A</v>
      </c>
      <c r="CL192" s="404" t="e">
        <f ca="1">IF($CK192=0,0,IF($CI192&lt;=Control!$C$91,$CG192*(65+(90-65)*($CJ192/Control!$C$91)),0))</f>
        <v>#N/A</v>
      </c>
      <c r="CM192" s="140" t="e">
        <f ca="1">IF($BG192+$BM192+$BS192+$BY192+$CE192+$CK192=1,0,IF(OR($BB192&gt;=90,$CI192&gt;=Control!$C$91),$BA192,$CM191))</f>
        <v>#N/A</v>
      </c>
      <c r="CN192" s="140" t="e">
        <f t="shared" ca="1" si="601"/>
        <v>#N/A</v>
      </c>
      <c r="CO192" s="140" t="e">
        <f t="shared" ca="1" si="602"/>
        <v>#N/A</v>
      </c>
      <c r="CP192" s="140" t="e">
        <f t="shared" ca="1" si="603"/>
        <v>#N/A</v>
      </c>
      <c r="CQ192" s="141" t="e">
        <f ca="1">VLOOKUP($CP192,Control!$B$86:$G$91,6)</f>
        <v>#N/A</v>
      </c>
      <c r="CR192" s="141" t="e">
        <f ca="1">(1-$CQ192)*VLOOKUP($CP192,Control!$B$86:$D$91,3)</f>
        <v>#N/A</v>
      </c>
      <c r="CS192" s="141" t="e">
        <f ca="1">(1-$CQ192)*VLOOKUP($CP192,Control!$B$86:$E$91,4)</f>
        <v>#N/A</v>
      </c>
      <c r="CT192" s="141" t="e">
        <f ca="1">(1-$CQ192)*VLOOKUP($CP192,Control!$B$86:$F$91,5)</f>
        <v>#N/A</v>
      </c>
      <c r="CU192" s="141">
        <f t="shared" ca="1" si="604"/>
        <v>0</v>
      </c>
      <c r="CV192" s="583">
        <f t="shared" ca="1" si="605"/>
        <v>0</v>
      </c>
      <c r="CW192" s="142">
        <f t="shared" ca="1" si="606"/>
        <v>188</v>
      </c>
      <c r="CX192" s="612" t="e">
        <f ca="1">IF(Control!$C$114=1,(MIN(Control!$C$120*(IF($NT192-0.01&lt;0,0,1)),Control!$C$119-$CY192)))</f>
        <v>#DIV/0!</v>
      </c>
      <c r="CY192" s="143" t="e">
        <f t="shared" ca="1" si="607"/>
        <v>#N/A</v>
      </c>
      <c r="CZ192" s="144">
        <f t="shared" ca="1" si="484"/>
        <v>0</v>
      </c>
      <c r="DA192" s="144">
        <f t="shared" ca="1" si="485"/>
        <v>0</v>
      </c>
      <c r="DB192" s="144" t="e">
        <f t="shared" ca="1" si="486"/>
        <v>#N/A</v>
      </c>
      <c r="DC192" s="144" t="e">
        <f t="shared" ca="1" si="487"/>
        <v>#N/A</v>
      </c>
      <c r="DD192" s="144" t="e">
        <f t="shared" ca="1" si="692"/>
        <v>#N/A</v>
      </c>
      <c r="DE192" s="143" t="e">
        <f t="shared" ca="1" si="608"/>
        <v>#N/A</v>
      </c>
      <c r="DF192" s="145" t="e">
        <f ca="1">$DR192*EXP(-Control!$C$158*(1-$KH192))</f>
        <v>#N/A</v>
      </c>
      <c r="DG192" s="146" t="e">
        <f ca="1">IF(Control!$C$114=1, $DF192*$EY192, 0)</f>
        <v>#N/A</v>
      </c>
      <c r="DH192" s="147" t="e">
        <f t="shared" ca="1" si="609"/>
        <v>#N/A</v>
      </c>
      <c r="DI192" s="144" t="e">
        <f t="shared" ca="1" si="670"/>
        <v>#N/A</v>
      </c>
      <c r="DJ192" s="147" t="e">
        <f ca="1">$EF192*Control!$C$109</f>
        <v>#N/A</v>
      </c>
      <c r="DK192" s="144" t="e">
        <f t="shared" ca="1" si="610"/>
        <v>#N/A</v>
      </c>
      <c r="DL192" s="144" t="e">
        <f t="shared" ca="1" si="488"/>
        <v>#N/A</v>
      </c>
      <c r="DM192" s="144" t="e">
        <f ca="1">IF(Control!$C$114=1, (1-EXP(-Control!$C$96*$DK192))*$AR192, 0)</f>
        <v>#N/A</v>
      </c>
      <c r="DN192" s="144">
        <f t="shared" ca="1" si="611"/>
        <v>0</v>
      </c>
      <c r="DO192" s="148">
        <f>Control!$C$97</f>
        <v>4</v>
      </c>
      <c r="DP192" s="145" t="e">
        <f t="shared" ca="1" si="612"/>
        <v>#N/A</v>
      </c>
      <c r="DQ192" s="145" t="e">
        <f ca="1">IF(AND($CP192&gt;=0,$CP192&lt;=90),Control!$C$111,Control!$C$111)</f>
        <v>#N/A</v>
      </c>
      <c r="DR192" s="145" t="e">
        <f t="shared" ca="1" si="489"/>
        <v>#N/A</v>
      </c>
      <c r="DS192" s="143" t="e">
        <f ca="1">Control!$B$22/$DR192</f>
        <v>#N/A</v>
      </c>
      <c r="DT192" s="149" t="e">
        <f ca="1">IF(AND(Control!$C$114=1,$KH192&lt;1),$IM192*$DF192, 0)</f>
        <v>#N/A</v>
      </c>
      <c r="DU192" s="144" t="e">
        <f t="shared" ca="1" si="613"/>
        <v>#N/A</v>
      </c>
      <c r="DV192" s="144">
        <f ca="1">IF($G192-Control!$C$107&lt;=0, 0, 0.83*LN(MAX($G192, 3))-0.8924)</f>
        <v>0</v>
      </c>
      <c r="DW192" s="144" t="e">
        <f t="shared" ca="1" si="490"/>
        <v>#N/A</v>
      </c>
      <c r="DX192" s="150" t="e">
        <f ca="1">MAX(0.01*(1+$CU192/Control!$C$102),0.05*($DK192-Control!$C$97)/Control!$C$97)</f>
        <v>#N/A</v>
      </c>
      <c r="DY192" s="151" t="e">
        <f ca="1">IF(Control!$C$114=1, $DI192*$FS192, 0)</f>
        <v>#N/A</v>
      </c>
      <c r="DZ192" s="196" t="e">
        <f t="shared" ca="1" si="614"/>
        <v>#N/A</v>
      </c>
      <c r="EA192" s="152">
        <f t="shared" ca="1" si="615"/>
        <v>188</v>
      </c>
      <c r="EB192" s="153" t="e">
        <f t="shared" ca="1" si="616"/>
        <v>#N/A</v>
      </c>
      <c r="EC192" s="153" t="e">
        <f t="shared" ca="1" si="617"/>
        <v>#N/A</v>
      </c>
      <c r="ED192" s="154" t="e">
        <f ca="1">IF(Control!$C$114=1, $HM192*$FY192-$FD192, 0)</f>
        <v>#DIV/0!</v>
      </c>
      <c r="EE192" s="155" t="e">
        <f ca="1">IF(Control!$C$114=1, $HM192*$FZ192-$FF192, 0)</f>
        <v>#DIV/0!</v>
      </c>
      <c r="EF192" s="153" t="e">
        <f t="shared" ca="1" si="671"/>
        <v>#N/A</v>
      </c>
      <c r="EG192" s="155" t="e">
        <f ca="1">IF(Control!$C$114=1, $GX192*$FW192-$FI192, 0)</f>
        <v>#DIV/0!</v>
      </c>
      <c r="EH192" s="153" t="e">
        <f t="shared" ca="1" si="618"/>
        <v>#N/A</v>
      </c>
      <c r="EI192" s="156" t="e">
        <f t="shared" ca="1" si="619"/>
        <v>#N/A</v>
      </c>
      <c r="EJ192" s="155" t="e">
        <f ca="1">IF(Control!$C$114=1, $HM192*$GB192, 0)</f>
        <v>#DIV/0!</v>
      </c>
      <c r="EK192" s="153" t="e">
        <f t="shared" ca="1" si="672"/>
        <v>#N/A</v>
      </c>
      <c r="EL192" s="153" t="e">
        <f t="shared" ca="1" si="491"/>
        <v>#N/A</v>
      </c>
      <c r="EM192" s="153" t="e">
        <f t="shared" ca="1" si="492"/>
        <v>#N/A</v>
      </c>
      <c r="EN192" s="153" t="e">
        <f ca="1">IF(Control!$C$108=1,IF(AND(Control!$B$18=1,$EB192&gt;=Control!$B$19),$EB192-$DS192,IF(AND(Control!$B$18=2,$AW192=1,$EB192&gt;$DS192),$EB192-$DS192,0)))</f>
        <v>#N/A</v>
      </c>
      <c r="EO192" s="153" t="e">
        <f ca="1">IF(Control!$C$108=1,IF(AND(Control!$B$18=1,$EB192&gt;=Control!$B$19),$EF192,IF(AND(Control!$B$18=2,$AW192=1),$EF192,0)))</f>
        <v>#N/A</v>
      </c>
      <c r="EP192" s="153" t="e">
        <f ca="1">IF(Control!$C$108=1,IF(AND(Control!$B$18=1,$EB192&gt;=Control!$B$19),$EK192,IF(AND(Control!$B$18=2,$AW192=1),$EK192,0)))</f>
        <v>#N/A</v>
      </c>
      <c r="EQ192" s="153" t="e">
        <f t="shared" ca="1" si="620"/>
        <v>#N/A</v>
      </c>
      <c r="ER192" s="153" t="e">
        <f t="shared" ca="1" si="621"/>
        <v>#N/A</v>
      </c>
      <c r="ES192" s="153" t="e">
        <f t="shared" ca="1" si="673"/>
        <v>#N/A</v>
      </c>
      <c r="ET192" s="153" t="e">
        <f t="shared" ca="1" si="674"/>
        <v>#N/A</v>
      </c>
      <c r="EU192" s="153" t="e">
        <f t="shared" ca="1" si="622"/>
        <v>#N/A</v>
      </c>
      <c r="EV192" s="153" t="e">
        <f t="shared" ca="1" si="493"/>
        <v>#N/A</v>
      </c>
      <c r="EW192" s="153" t="e">
        <f t="shared" ca="1" si="494"/>
        <v>#N/A</v>
      </c>
      <c r="EX192" s="153" t="e">
        <f t="shared" ca="1" si="495"/>
        <v>#N/A</v>
      </c>
      <c r="EY192" s="157" t="e">
        <f t="shared" ca="1" si="496"/>
        <v>#DIV/0!</v>
      </c>
      <c r="EZ192" s="154" t="e">
        <f t="shared" ca="1" si="497"/>
        <v>#DIV/0!</v>
      </c>
      <c r="FA192" s="153" t="e">
        <f t="shared" ca="1" si="623"/>
        <v>#N/A</v>
      </c>
      <c r="FB192" s="153" t="e">
        <f t="shared" ca="1" si="498"/>
        <v>#N/A</v>
      </c>
      <c r="FC192" s="193" t="e">
        <f t="shared" ca="1" si="499"/>
        <v>#N/A</v>
      </c>
      <c r="FD192" s="158" t="e">
        <f t="shared" ca="1" si="624"/>
        <v>#N/A</v>
      </c>
      <c r="FE192" s="158" t="e">
        <f t="shared" ca="1" si="625"/>
        <v>#N/A</v>
      </c>
      <c r="FF192" s="159" t="e">
        <f t="shared" ca="1" si="500"/>
        <v>#N/A</v>
      </c>
      <c r="FG192" s="160" t="e">
        <f t="shared" ca="1" si="626"/>
        <v>#N/A</v>
      </c>
      <c r="FH192" s="158" t="e">
        <f t="shared" ca="1" si="627"/>
        <v>#N/A</v>
      </c>
      <c r="FI192" s="159" t="e">
        <f t="shared" ca="1" si="501"/>
        <v>#N/A</v>
      </c>
      <c r="FJ192" s="160" t="e">
        <f t="shared" ca="1" si="628"/>
        <v>#N/A</v>
      </c>
      <c r="FK192" s="160" t="e">
        <f t="shared" ca="1" si="502"/>
        <v>#N/A</v>
      </c>
      <c r="FL192" s="160" t="e">
        <f t="shared" ca="1" si="675"/>
        <v>#N/A</v>
      </c>
      <c r="FM192" s="160" t="e">
        <f t="shared" ca="1" si="503"/>
        <v>#N/A</v>
      </c>
      <c r="FN192" s="158">
        <f t="shared" ca="1" si="629"/>
        <v>0.01</v>
      </c>
      <c r="FO192" s="160">
        <f>Control!$C$101</f>
        <v>50</v>
      </c>
      <c r="FP192" s="150" t="e">
        <f t="shared" ca="1" si="504"/>
        <v>#N/A</v>
      </c>
      <c r="FQ192" s="150" t="e">
        <f ca="1">MAX(0,(Control!$C$112*(($DK192-Control!$C$97)/Control!$C$97)))</f>
        <v>#N/A</v>
      </c>
      <c r="FR192" s="150" t="e">
        <f ca="1">(1-$NT192)*Control!$C$113</f>
        <v>#DIV/0!</v>
      </c>
      <c r="FS192" s="198" t="e">
        <f t="shared" ca="1" si="505"/>
        <v>#N/A</v>
      </c>
      <c r="FT192" s="161">
        <f t="shared" ca="1" si="630"/>
        <v>188</v>
      </c>
      <c r="FU192" s="162" t="e">
        <f ca="1">IF(Control!$B$34=1,VLOOKUP($CP192,Control!$B$86:$G$91,6),Control!$B$35)</f>
        <v>#N/A</v>
      </c>
      <c r="FV192" s="162" t="e">
        <f t="shared" ca="1" si="506"/>
        <v>#DIV/0!</v>
      </c>
      <c r="FW192" s="162" t="e">
        <f ca="1">IF(Control!$B$31=1,$FU192*$FV192,  $FU192)</f>
        <v>#N/A</v>
      </c>
      <c r="FX192" s="162" t="e">
        <f ca="1">IF(Control!$B$34=1,VLOOKUP($CP192,Control!$B$86:$G$91,3),Control!$B$36)</f>
        <v>#N/A</v>
      </c>
      <c r="FY192" s="162" t="e">
        <f t="shared" ca="1" si="507"/>
        <v>#N/A</v>
      </c>
      <c r="FZ192" s="162" t="e">
        <f ca="1">IF(Control!$B$34=1,VLOOKUP($CP192,Control!$B$86:$G$91,4),Control!$B$37)</f>
        <v>#N/A</v>
      </c>
      <c r="GA192" s="162" t="e">
        <f t="shared" ca="1" si="508"/>
        <v>#N/A</v>
      </c>
      <c r="GB192" s="162" t="e">
        <f ca="1">IF(Control!$B$34=1,VLOOKUP($CP192,Control!$B$86:$G$91,5),Control!$B$38)</f>
        <v>#N/A</v>
      </c>
      <c r="GC192" s="162" t="e">
        <f t="shared" ca="1" si="631"/>
        <v>#N/A</v>
      </c>
      <c r="GD192" s="162">
        <f t="shared" ca="1" si="509"/>
        <v>1</v>
      </c>
      <c r="GE192" s="162">
        <f t="shared" ca="1" si="510"/>
        <v>1</v>
      </c>
      <c r="GF192" s="162">
        <f ca="1">IF(AND(Control!$C$104=1, Control!$C$62="F"),$GE192,1)</f>
        <v>1</v>
      </c>
      <c r="GG192" s="162" t="e">
        <f ca="1">IF(Control!$B$16=40,0,IF(AND(Control!$B$16&gt;40,Control!$B$16&lt;=360),(Control!$B$16-40)*((1-0)/(360-40)),IF(AND(Control!$B$16&gt;360,Control!$B$16&lt;=720),(1+(Control!$B$16-360)*((1.25-1)/(720-360))),IF(AND(Control!$B$16&gt;720,Control!$B$16&lt;=1000),(1.25+(Control!$B$16-720)*((1.35-1.25)/(1000-720))),IF(AND(Control!$B$16&gt;1000,Control!$B$16&lt;=2000),(1.35+(Control!$B$16-1000)*0))))))</f>
        <v>#N/A</v>
      </c>
      <c r="GH192" s="162" t="e">
        <f t="shared" ca="1" si="511"/>
        <v>#N/A</v>
      </c>
      <c r="GI192" s="162">
        <f t="shared" ca="1" si="632"/>
        <v>0</v>
      </c>
      <c r="GJ192" s="162">
        <f t="shared" ca="1" si="512"/>
        <v>0</v>
      </c>
      <c r="GK192" s="162">
        <f t="shared" ca="1" si="633"/>
        <v>1</v>
      </c>
      <c r="GL192" s="162">
        <f t="shared" ca="1" si="513"/>
        <v>1</v>
      </c>
      <c r="GM192" s="162" t="e">
        <f ca="1">MAX(0,MIN(1,1-Control!$C$156*(1.0001-$KH192)^2))</f>
        <v>#N/A</v>
      </c>
      <c r="GN192" s="162" t="e">
        <f ca="1">IF(Control!$B$26=1,$KU192,$KX192)</f>
        <v>#N/A</v>
      </c>
      <c r="GO192" s="162" t="e">
        <f ca="1">IF($CP192&lt;=60,Control!$C$105,IF($CP192&gt;=90,Control!$C$106,Control!$C$105+($CP192-60)*((Control!$C$106-Control!$C$105)/(90-60))))</f>
        <v>#N/A</v>
      </c>
      <c r="GP192" s="162" t="e">
        <f t="shared" ca="1" si="514"/>
        <v>#N/A</v>
      </c>
      <c r="GQ192" s="162" t="e">
        <f t="shared" ca="1" si="634"/>
        <v>#N/A</v>
      </c>
      <c r="GR192" s="163" t="e">
        <f t="shared" ca="1" si="515"/>
        <v>#DIV/0!</v>
      </c>
      <c r="GS192" s="162" t="e">
        <f t="shared" ca="1" si="516"/>
        <v>#DIV/0!</v>
      </c>
      <c r="GT192" s="164" t="e">
        <f t="shared" ca="1" si="635"/>
        <v>#N/A</v>
      </c>
      <c r="GU192" s="162" t="e">
        <f t="shared" ca="1" si="636"/>
        <v>#N/A</v>
      </c>
      <c r="GV192" s="162" t="e">
        <f t="shared" ca="1" si="517"/>
        <v>#N/A</v>
      </c>
      <c r="GW192" s="162" t="e">
        <f t="shared" ca="1" si="518"/>
        <v>#DIV/0!</v>
      </c>
      <c r="GX192" s="162" t="e">
        <f t="shared" ca="1" si="637"/>
        <v>#DIV/0!</v>
      </c>
      <c r="GY192" s="162" t="e">
        <f t="shared" ca="1" si="638"/>
        <v>#DIV/0!</v>
      </c>
      <c r="GZ192" s="165" t="e">
        <f t="shared" ca="1" si="519"/>
        <v>#N/A</v>
      </c>
      <c r="HA192" s="162" t="e">
        <f ca="1">IF(Control!$C$114=1, $DI192*$FS192, 0)</f>
        <v>#N/A</v>
      </c>
      <c r="HB192" s="162" t="e">
        <f ca="1">$FA192/Control!$C$64</f>
        <v>#N/A</v>
      </c>
      <c r="HC192" s="162" t="e">
        <f t="shared" ca="1" si="520"/>
        <v>#DIV/0!</v>
      </c>
      <c r="HD192" s="162">
        <f ca="1">-ASIN(SIN(23.45*Control!$C$139)*COS(2*Control!$C$138*($AH192+10)/365))</f>
        <v>0.39398039994974304</v>
      </c>
      <c r="HE192" s="165">
        <f t="shared" ca="1" si="639"/>
        <v>0</v>
      </c>
      <c r="HF192" s="166">
        <f ca="1">IF(AND(Control!$C$61="T",$HE192&gt;=Control!$C$103,Control!$C$114=0),$AH192,Control!$C$59)</f>
        <v>1</v>
      </c>
      <c r="HG192" s="166">
        <f ca="1">IF(AND(Control!$C$61="T",$HE192&gt;=Control!$C$103,Control!$C$114=0),$HF192,Control!$C$59)</f>
        <v>1</v>
      </c>
      <c r="HH192" s="165">
        <f ca="1">IF(AND(OR(Control!$C$60&lt;=0, $AH192= Control!$C$59, Control!$C$60 &gt;0, $AH192 = Control!$C$60)), Control!$C$59, IF(Control!$C$60&gt;0, 0))</f>
        <v>1</v>
      </c>
      <c r="HI192" s="165">
        <f ca="1">IF(AND(OR(Control!$C$60&lt;=0, $AH192= Control!$C$59, Control!$C$60 &gt;0, $AH192 = Control!$C$60)), Control!$C$60, IF(Control!$C$60&lt;=0, 0))</f>
        <v>0</v>
      </c>
      <c r="HJ192" s="166">
        <f ca="1">IF(AND(Control!$C$62="F",$CV192&gt;=Control!$C$102),$AH192,0)</f>
        <v>0</v>
      </c>
      <c r="HK192" s="165" t="e">
        <f t="shared" ca="1" si="676"/>
        <v>#N/A</v>
      </c>
      <c r="HL192" s="166">
        <f ca="1">IF(AND(Control!$C$61="T",$HE192&gt;=Control!$C$103,Control!$C$114=0),$HF192,0)</f>
        <v>0</v>
      </c>
      <c r="HM192" s="201" t="e">
        <f t="shared" ca="1" si="521"/>
        <v>#DIV/0!</v>
      </c>
      <c r="HN192" s="215">
        <f t="shared" ca="1" si="640"/>
        <v>188</v>
      </c>
      <c r="HO192" s="216" t="e">
        <f ca="1">IF(AND($CP192&gt;=0, $CP192&lt;=90), Control!$C$152, Control!$C$152)</f>
        <v>#N/A</v>
      </c>
      <c r="HP192" s="216" t="e">
        <f t="shared" ca="1" si="522"/>
        <v>#N/A</v>
      </c>
      <c r="HQ192" s="217" t="e">
        <f ca="1">IF(OR(Control!$B$26=1,Control!$B$26=2),$KV192,$KS192)</f>
        <v>#DIV/0!</v>
      </c>
      <c r="HR192" s="218" t="e">
        <f t="shared" ca="1" si="677"/>
        <v>#DIV/0!</v>
      </c>
      <c r="HS192" s="216" t="e">
        <f ca="1">Control!$C$154*$HP192</f>
        <v>#N/A</v>
      </c>
      <c r="HT192" s="216" t="e">
        <f ca="1">Control!$C$155*$HP192</f>
        <v>#N/A</v>
      </c>
      <c r="HU192" s="217" t="e">
        <f ca="1">Control!$C$161*$FI192</f>
        <v>#N/A</v>
      </c>
      <c r="HV192" s="218" t="e">
        <f t="shared" ca="1" si="641"/>
        <v>#N/A</v>
      </c>
      <c r="HW192" s="218" t="e">
        <f ca="1">Control!$C$160*$FF192+$IP192*$EO192</f>
        <v>#N/A</v>
      </c>
      <c r="HX192" s="218" t="e">
        <f t="shared" ca="1" si="678"/>
        <v>#N/A</v>
      </c>
      <c r="HY192" s="219" t="e">
        <f ca="1">IF(Control!$C$114=1, $EB192*$FS192, 0)</f>
        <v>#N/A</v>
      </c>
      <c r="HZ192" s="91" t="e">
        <f t="shared" ca="1" si="523"/>
        <v>#N/A</v>
      </c>
      <c r="IA192" s="220" t="e">
        <f ca="1">Control!$C$153*$HO192</f>
        <v>#N/A</v>
      </c>
      <c r="IB192" s="218" t="e">
        <f t="shared" ca="1" si="524"/>
        <v>#N/A</v>
      </c>
      <c r="IC192" s="220" t="e">
        <f ca="1">Control!$C$153*$HT192</f>
        <v>#N/A</v>
      </c>
      <c r="ID192" s="218" t="e">
        <f t="shared" ca="1" si="525"/>
        <v>#N/A</v>
      </c>
      <c r="IE192" s="221" t="e">
        <f ca="1">($EB192*Control!$C$159+$EF192*Control!$C$160)/(IF($GZ192&lt;&gt;0,$GZ192,1))</f>
        <v>#N/A</v>
      </c>
      <c r="IF192" s="216" t="e">
        <f t="shared" ca="1" si="526"/>
        <v>#N/A</v>
      </c>
      <c r="IG192" s="91">
        <f ca="1">IF(OR(Control!$B$198=$AH192,Control!$B$199=$AH192, Control!$B$200=$AH192, Control!$B$201=$AH192, Control!$B$202=$AH192, Control!$B$203=$AH192, Control!$B$204=$AH192, Control!$B$205=$AH192, Control!$B$206=$AH192, Control!$B$207=$AH192), 1, 0)</f>
        <v>0</v>
      </c>
      <c r="IH192" s="91">
        <f ca="1">IF($IG192=0,0, VLOOKUP($AH192,Control!$B$198:$C$207,2))</f>
        <v>0</v>
      </c>
      <c r="II192" s="222">
        <f t="shared" ca="1" si="642"/>
        <v>0</v>
      </c>
      <c r="IJ192" s="91">
        <f>Control!$C$121</f>
        <v>0.7</v>
      </c>
      <c r="IK192" s="218">
        <f t="shared" ca="1" si="527"/>
        <v>0</v>
      </c>
      <c r="IL192" s="217" t="e">
        <f t="shared" ca="1" si="679"/>
        <v>#N/A</v>
      </c>
      <c r="IM192" s="223" t="e">
        <f ca="1">IF(AND(Control!$C$114=1,$KH192&lt;1),$EB192*Control!$C$148*(1-$KH192), 0)</f>
        <v>#N/A</v>
      </c>
      <c r="IN192" s="217" t="e">
        <f t="shared" ca="1" si="528"/>
        <v>#DIV/0!</v>
      </c>
      <c r="IO192" s="91" t="e">
        <f ca="1">MAX(0,$IL192-$EF192*Control!$C$160)</f>
        <v>#N/A</v>
      </c>
      <c r="IP192" s="220" t="e">
        <f t="shared" ca="1" si="529"/>
        <v>#N/A</v>
      </c>
      <c r="IQ192" s="217" t="e">
        <f t="shared" ca="1" si="643"/>
        <v>#N/A</v>
      </c>
      <c r="IR192" s="218" t="e">
        <f t="shared" ca="1" si="530"/>
        <v>#N/A</v>
      </c>
      <c r="IS192" s="217" t="e">
        <f ca="1">Control!$C$159*MAX(0,$FD192-$EN192)</f>
        <v>#N/A</v>
      </c>
      <c r="IT192" s="217" t="e">
        <f t="shared" ca="1" si="680"/>
        <v>#N/A</v>
      </c>
      <c r="IU192" s="217" t="e">
        <f t="shared" ca="1" si="644"/>
        <v>#N/A</v>
      </c>
      <c r="IV192" s="217" t="e">
        <f t="shared" ca="1" si="681"/>
        <v>#N/A</v>
      </c>
      <c r="IW192" s="217" t="e">
        <f ca="1">IF(OR($AW192=1,AND($AW192=0, Control!$B$18=1,$EN192&lt;&gt;0)), $IQ192-$IU192, $IQ192)</f>
        <v>#N/A</v>
      </c>
      <c r="IX192" s="218" t="e">
        <f t="shared" ca="1" si="531"/>
        <v>#N/A</v>
      </c>
      <c r="IY192" s="218" t="e">
        <f ca="1">MAX(0,$IQ192-$EB192*Control!$C$159)</f>
        <v>#N/A</v>
      </c>
      <c r="IZ192" s="218" t="e">
        <f t="shared" ca="1" si="532"/>
        <v>#N/A</v>
      </c>
      <c r="JA192" s="216" t="e">
        <f t="shared" ca="1" si="533"/>
        <v>#N/A</v>
      </c>
      <c r="JB192" s="217" t="e">
        <f t="shared" ca="1" si="534"/>
        <v>#N/A</v>
      </c>
      <c r="JC192" s="222" t="e">
        <f ca="1">MAX(Control!$C$157*$EK192-$JT192, 0)/Control!$C$162</f>
        <v>#N/A</v>
      </c>
      <c r="JD192" s="218" t="e">
        <f t="shared" ca="1" si="535"/>
        <v>#N/A</v>
      </c>
      <c r="JE192" s="218" t="e">
        <f t="shared" ca="1" si="536"/>
        <v>#N/A</v>
      </c>
      <c r="JF192" s="218" t="e">
        <f t="shared" ca="1" si="645"/>
        <v>#N/A</v>
      </c>
      <c r="JG192" s="218" t="e">
        <f t="shared" ca="1" si="537"/>
        <v>#N/A</v>
      </c>
      <c r="JH192" s="217" t="e">
        <f t="shared" ca="1" si="646"/>
        <v>#N/A</v>
      </c>
      <c r="JI192" s="217" t="e">
        <f t="shared" ca="1" si="647"/>
        <v>#N/A</v>
      </c>
      <c r="JJ192" s="217" t="e">
        <f t="shared" ca="1" si="682"/>
        <v>#N/A</v>
      </c>
      <c r="JK192" s="217" t="e">
        <f ca="1">IF(Control!$C$114=1,IF(Control!$B$24=0,MAX(0,$JI192)*$GN192/Control!$C$64,(MAX(0,MIN($JI192,$JJ192*$GN192/Control!$C$64),0))))</f>
        <v>#N/A</v>
      </c>
      <c r="JL192" s="217" t="e">
        <f ca="1">$IK192/Control!$C$64-$JK192+$HQ192</f>
        <v>#N/A</v>
      </c>
      <c r="JM192" s="217" t="e">
        <f ca="1">IF(Control!$C$114=1,($JB192/(IF($JI192&lt;&gt;0,$JI192,1)))*$JK192,0)</f>
        <v>#N/A</v>
      </c>
      <c r="JN192" s="217" t="e">
        <f ca="1">IF(Control!$C$114=1,($JG192/(IF($JI192&lt;&gt;0,$JI192,1)))*$JK192, 0)</f>
        <v>#N/A</v>
      </c>
      <c r="JO192" s="218" t="e">
        <f t="shared" ca="1" si="538"/>
        <v>#N/A</v>
      </c>
      <c r="JP192" s="218" t="e">
        <f ca="1">MIN(($IY192+$IO192)*Control!$C$151, $JF192-$EH192*Control!$C$161)</f>
        <v>#N/A</v>
      </c>
      <c r="JQ192" s="218" t="e">
        <f t="shared" ca="1" si="539"/>
        <v>#N/A</v>
      </c>
      <c r="JR192" s="217" t="e">
        <f ca="1">IF($CP192-Control!$C$150&lt;0, 0, $JQ192/Control!$C$162)</f>
        <v>#N/A</v>
      </c>
      <c r="JS192" s="218" t="e">
        <f t="shared" ca="1" si="540"/>
        <v>#N/A</v>
      </c>
      <c r="JT192" s="218" t="e">
        <f t="shared" ca="1" si="648"/>
        <v>#N/A</v>
      </c>
      <c r="JU192" s="218" t="e">
        <f t="shared" ca="1" si="541"/>
        <v>#N/A</v>
      </c>
      <c r="JV192" s="218" t="e">
        <f t="shared" ca="1" si="542"/>
        <v>#N/A</v>
      </c>
      <c r="JW192" s="216" t="e">
        <f t="shared" ca="1" si="543"/>
        <v>#N/A</v>
      </c>
      <c r="JX192" s="91" t="e">
        <f t="shared" ca="1" si="544"/>
        <v>#N/A</v>
      </c>
      <c r="JY192" s="218" t="e">
        <f t="shared" ca="1" si="545"/>
        <v>#N/A</v>
      </c>
      <c r="JZ192" s="217" t="e">
        <f ca="1">IF(Control!$C$114=1,($IZ192/(IF($JI192&lt;&gt;0,$JI192,1)))*$JK192, 0)</f>
        <v>#N/A</v>
      </c>
      <c r="KA192" s="218" t="e">
        <f t="shared" ca="1" si="683"/>
        <v>#N/A</v>
      </c>
      <c r="KB192" s="218" t="e">
        <f t="shared" ca="1" si="649"/>
        <v>#N/A</v>
      </c>
      <c r="KC192" s="218" t="e">
        <f t="shared" ca="1" si="546"/>
        <v>#N/A</v>
      </c>
      <c r="KD192" s="218" t="e">
        <f t="shared" ca="1" si="547"/>
        <v>#N/A</v>
      </c>
      <c r="KE192" s="218" t="e">
        <f t="shared" ca="1" si="548"/>
        <v>#N/A</v>
      </c>
      <c r="KF192" s="218" t="e">
        <f t="shared" ca="1" si="549"/>
        <v>#N/A</v>
      </c>
      <c r="KG192" s="216" t="e">
        <f t="shared" ca="1" si="550"/>
        <v>#N/A</v>
      </c>
      <c r="KH192" s="221" t="e">
        <f ca="1">IF(Control!$B$24=0,1,MAX(0.001,MIN(1,IF(($IF192-$IE192)&lt;&gt;0,($KG192-$IE192)/($IF192-$IE192),1))))</f>
        <v>#N/A</v>
      </c>
      <c r="KI192" s="222" t="e">
        <f ca="1">IF(Control!$C$114=1, $KI191+ $KH191, 0)</f>
        <v>#N/A</v>
      </c>
      <c r="KJ192" s="217" t="e">
        <f t="shared" ca="1" si="551"/>
        <v>#N/A</v>
      </c>
      <c r="KK192" s="218" t="e">
        <f t="shared" ca="1" si="552"/>
        <v>#N/A</v>
      </c>
      <c r="KL192" s="274" t="e">
        <f ca="1">IF(Control!$B$26=3,4000000000*EXP(-8400/($G192+273)),IF(Control!$B$26=4,4000000000*EXP(-8400/($G192+273))*($KT192),0))</f>
        <v>#DIV/0!</v>
      </c>
      <c r="KM192" s="274" t="e">
        <f ca="1">IF(Control!$B$26=3,5600000000000*EXP(-9800/($G192+273)),IF(Control!$B$26=4,5600000000000*EXP(-9800/($G192+273))*$KT192,0))</f>
        <v>#DIV/0!</v>
      </c>
      <c r="KN192" s="454" t="e">
        <f t="shared" ca="1" si="650"/>
        <v>#DIV/0!</v>
      </c>
      <c r="KO192" s="274" t="e">
        <f t="shared" ca="1" si="651"/>
        <v>#DIV/0!</v>
      </c>
      <c r="KP192" s="454" t="e">
        <f t="shared" ca="1" si="553"/>
        <v>#DIV/0!</v>
      </c>
      <c r="KQ192" s="454" t="e">
        <f t="shared" ca="1" si="554"/>
        <v>#DIV/0!</v>
      </c>
      <c r="KR192" s="454" t="e">
        <f t="shared" ca="1" si="555"/>
        <v>#DIV/0!</v>
      </c>
      <c r="KS192" s="454" t="e">
        <f t="shared" ca="1" si="556"/>
        <v>#DIV/0!</v>
      </c>
      <c r="KT192" s="455" t="e">
        <f t="shared" ca="1" si="557"/>
        <v>#DIV/0!</v>
      </c>
      <c r="KU192" s="456" t="e">
        <f ca="1">IF($CP192-Control!$C$149&lt;0, IF($NT192-0.01&lt;0,0,1),0)</f>
        <v>#N/A</v>
      </c>
      <c r="KV192" s="456" t="e">
        <f ca="1">IF(Control!$C$114=1,MAX(0,MIN(Control!$C$125*$KW192*$GN192,$KW192)))</f>
        <v>#DIV/0!</v>
      </c>
      <c r="KW192" s="456" t="e">
        <f t="shared" ca="1" si="684"/>
        <v>#DIV/0!</v>
      </c>
      <c r="KX192" s="457" t="e">
        <f ca="1">IF($CP192-Control!$C$149&lt;0, IF($MR192-$OM192&lt;0,0,1),0)</f>
        <v>#N/A</v>
      </c>
      <c r="KY192" s="167">
        <f t="shared" ca="1" si="652"/>
        <v>188</v>
      </c>
      <c r="KZ192" s="168">
        <f ca="1">1370*(1+0.033*COS(2*Control!$C$138*$AH192/365))</f>
        <v>1324.9925110992945</v>
      </c>
      <c r="LA192" s="169">
        <f t="shared" ca="1" si="653"/>
        <v>0.96714779471032231</v>
      </c>
      <c r="LB192" s="169">
        <f t="shared" ca="1" si="654"/>
        <v>0.39357916654529862</v>
      </c>
      <c r="LC192" s="169">
        <f ca="1">ACOS(-TAN((2*Control!$B$8/360))*TAN(Calculations!$LB192))</f>
        <v>1.6945238868870052</v>
      </c>
      <c r="LD192" s="169">
        <f ca="1">((24*60)/PI())*0.082*$LA192*(($LC192*SIN(Control!$B$8*2*PI()/360))*SIN($LB192)+COS(Control!$B$8*2*PI()/360)*COS($LB192)*SIN($LC192))</f>
        <v>39.125820444188889</v>
      </c>
      <c r="LE192" s="170">
        <f t="shared" ca="1" si="558"/>
        <v>40.747831813316147</v>
      </c>
      <c r="LF192" s="170">
        <f ca="1">SIN(Control!$C$139*Control!$B$8)*SIN($HD192)</f>
        <v>0.30249174798649014</v>
      </c>
      <c r="LG192" s="170">
        <f ca="1">COS(Control!$C$139*Control!$B$8)*COS($HD192)</f>
        <v>0.56849314190790123</v>
      </c>
      <c r="LH192" s="170">
        <f ca="1">12*(1+2*ASIN(MAX(-1,MIN(1,$LF192/$LG192))/Control!$C$138))</f>
        <v>16.084578360282837</v>
      </c>
      <c r="LI192" s="170">
        <f ca="1">12*(1+2*ASIN(MAX(-1,MIN(1,(-SIN(-4*Control!$C$139)+$LF192)/$LG192))/Control!$C$138))</f>
        <v>17.039224774530119</v>
      </c>
      <c r="LJ192" s="168">
        <f ca="1">3600*($LH192*$LF192+24*$LG192*SQRT(1-$LK192*$LK192)/Control!$C$138)</f>
        <v>30753.254431233927</v>
      </c>
      <c r="LK192" s="170">
        <f t="shared" ca="1" si="559"/>
        <v>0.53209392635996888</v>
      </c>
      <c r="LL192" s="170">
        <f t="shared" ca="1" si="560"/>
        <v>0</v>
      </c>
      <c r="LM192" s="171">
        <f ca="1">Control!$C$145*$AB192</f>
        <v>6.6660906138995932E-2</v>
      </c>
      <c r="LN192" s="170">
        <f t="shared" ca="1" si="655"/>
        <v>0.54</v>
      </c>
      <c r="LO192" s="170">
        <f t="shared" ca="1" si="561"/>
        <v>0</v>
      </c>
      <c r="LP192" s="170">
        <f ca="1">Control!$C$140*((($D192+273.16)^4+($E192+273.16)^4)/2)*(0.34-0.14*SQRT($Y192))*(1.35*$AQ192/(0.75*$LD192)-0.35)</f>
        <v>-3.2464704755046001</v>
      </c>
      <c r="LQ192" s="170">
        <f ca="1">Control!$C$140*($G192+273)^4*(0.56-0.079*SQRT($Y192*10))*(0.1+0.9*$LO192)</f>
        <v>1.5241745131704001</v>
      </c>
      <c r="LR192" s="170">
        <f ca="1">$AQ192*(1-Control!$C$142)-$LQ192</f>
        <v>-1.5241745131704001</v>
      </c>
      <c r="LS192" s="170">
        <f ca="1">$AQ192*(1-Control!$C$143)-$LQ192</f>
        <v>-1.5241745131704001</v>
      </c>
      <c r="LT192" s="170">
        <f ca="1">$AQ192*(1-Control!$C$144)-$LQ192</f>
        <v>-1.5241745131704001</v>
      </c>
      <c r="LU192" s="169">
        <f ca="1">(1-Control!$C$144)*AQ192-LP192</f>
        <v>3.2464704755046001</v>
      </c>
      <c r="LV192" s="172">
        <f t="shared" ca="1" si="562"/>
        <v>0.79430000000000012</v>
      </c>
      <c r="LW192" s="170">
        <f t="shared" ca="1" si="563"/>
        <v>1.5886000000000002</v>
      </c>
      <c r="LX192" s="170">
        <f ca="1">($AC192*($LR192/Control!$C$141)+$LM192*$LV192)/($AC192+$LM192)</f>
        <v>0.23530094218323697</v>
      </c>
      <c r="LY192" s="170">
        <f ca="1">($AC192*($LS192/Control!$C$141)+$LM192*$LV192)/($AC192+$LM192)</f>
        <v>0.23530094218323697</v>
      </c>
      <c r="LZ192" s="170">
        <f t="shared" ca="1" si="564"/>
        <v>0.23530094218323697</v>
      </c>
      <c r="MA192" s="170">
        <f t="shared" ca="1" si="565"/>
        <v>0.23530094218323697</v>
      </c>
      <c r="MB192" s="170" t="e">
        <f t="shared" ca="1" si="566"/>
        <v>#N/A</v>
      </c>
      <c r="MC192" s="170">
        <f t="shared" ca="1" si="656"/>
        <v>0.6018</v>
      </c>
      <c r="MD192" s="170">
        <f t="shared" ca="1" si="567"/>
        <v>0.52989392535414004</v>
      </c>
      <c r="ME192" s="170">
        <f ca="1">($AC192*($LT192/Control!$C$141)+$LM192*$LW192)/($AC192+$LM192)</f>
        <v>0.71612369323045078</v>
      </c>
      <c r="MF192" s="170" t="e">
        <f ca="1">IF(Control!$B$16&gt;=1000,0.92,IF(AND(720&lt;=Control!$B$16,1000&gt;Control!$B$16),(0.95+(Control!$B$16-720)*((0.92-0.95)/(1000-720))),IF(AND(360&lt;=Control!$B$16,720&gt;Control!$B$16),(1+(Control!$B$16-360)*((0.95-1)/(720-360))),IF(AND(40&lt;=Control!$B$16,360&gt;Control!$B$16),(1.05+(Control!$B$16-40)*((1.05-1)/(360-40)))))))</f>
        <v>#N/A</v>
      </c>
      <c r="MG192" s="170">
        <f t="shared" ca="1" si="568"/>
        <v>0.71612369323045078</v>
      </c>
      <c r="MH192" s="170" t="e">
        <f t="shared" ca="1" si="695"/>
        <v>#N/A</v>
      </c>
      <c r="MI192" s="170" t="e">
        <f t="shared" ca="1" si="695"/>
        <v>#N/A</v>
      </c>
      <c r="MJ192" s="170" t="e">
        <f ca="1">MAX(0.0001, Control!$C$132*$MI192*$DL192)</f>
        <v>#N/A</v>
      </c>
      <c r="MK192" s="170">
        <f ca="1">1/(0.76+1.5*($MG192/10))-(5-Control!$C$110)*0.1</f>
        <v>1.002845988140797</v>
      </c>
      <c r="ML192" s="173">
        <f ca="1">IF(Control!$C$110&lt;3,$MK192+($MG192-0.6)/(Control!$C$110*(Control!$C$110+3)), MAX(0.1, MIN(0.95,$MK192)))</f>
        <v>0.95</v>
      </c>
      <c r="MM192" s="173">
        <f ca="1">IF(Control!$C$110&lt;3,$MK192+(($MI192/10)-0.6)/(Control!$C$110*(Control!$C$110+3)), MAX(0.1, MIN(0.95,$MK192)))</f>
        <v>0.95</v>
      </c>
      <c r="MN192" s="173">
        <f ca="1">(1-$MM192)*(Control!$C$128-Control!$C$127)+Control!$C$127</f>
        <v>0.16</v>
      </c>
      <c r="MO192" s="170" t="e">
        <f ca="1">MAX(0,MIN(1,($MS192-Control!$C$127)/($MN192-Control!$C$127)))</f>
        <v>#DIV/0!</v>
      </c>
      <c r="MP192" s="173" t="e">
        <f ca="1">1/(0.76+1.5*$MI192)-(5-Control!$C$110)*0.1</f>
        <v>#N/A</v>
      </c>
      <c r="MQ192" s="172" t="e">
        <f t="shared" ca="1" si="685"/>
        <v>#DIV/0!</v>
      </c>
      <c r="MR192" s="168" t="e">
        <f t="shared" ca="1" si="657"/>
        <v>#DIV/0!</v>
      </c>
      <c r="MS192" s="173" t="e">
        <f ca="1">MAX(Control!$C$127, MIN(Control!$C$135, $MR192/MAX(0.0001,$CY192)))</f>
        <v>#DIV/0!</v>
      </c>
      <c r="MT192" s="168" t="e">
        <f ca="1">(Control!$C$128-$MS192)*Control!$C$74</f>
        <v>#DIV/0!</v>
      </c>
      <c r="MU192" s="168" t="e">
        <f ca="1">(Control!$C$135-$MS192)*Control!$C$74</f>
        <v>#DIV/0!</v>
      </c>
      <c r="MV192" s="168" t="e">
        <f t="shared" ca="1" si="658"/>
        <v>#DIV/0!</v>
      </c>
      <c r="MW192" s="168" t="e">
        <f t="shared" ca="1" si="659"/>
        <v>#DIV/0!</v>
      </c>
      <c r="MX192" s="171" t="e">
        <f ca="1">MAX(Control!$C$127, MIN(Control!$C$135, $MW192/MAX(0.0001,Control!$C$119-$CY192)))</f>
        <v>#DIV/0!</v>
      </c>
      <c r="MY192" s="54" t="e">
        <f ca="1">IF(Control!$C$114=1, $CX192*$MX192, 0)</f>
        <v>#DIV/0!</v>
      </c>
      <c r="MZ192" s="54" t="e">
        <f t="shared" ca="1" si="660"/>
        <v>#N/A</v>
      </c>
      <c r="NA192" s="168" t="e">
        <f ca="1">(Control!$C$128-$MX192)*(Control!$C$119-Control!$C$74)</f>
        <v>#DIV/0!</v>
      </c>
      <c r="NB192" s="168" t="e">
        <f ca="1">(Control!$C$135-$MX192)*(Control!$C$119-Control!$C$74)</f>
        <v>#DIV/0!</v>
      </c>
      <c r="NC192" s="174" t="e">
        <f t="shared" ca="1" si="661"/>
        <v>#DIV/0!</v>
      </c>
      <c r="ND192" s="54">
        <f ca="1">IF(Control!$C$58=2, IF(OR(Control!$B$218=$AH192,Control!$B$219=$AH192, Control!$B$220=$AH192, Control!$B$221=$AH192, Control!$B$222=$AH192, Control!$B$223=$AH192, Control!$B$224=$AH192, Control!$B$225=$AH192, Control!$B$226=$AH192, Control!$B$227=$AH192, Control!$B$228=$AH192), 1, 0), 0)</f>
        <v>0</v>
      </c>
      <c r="NE192" s="54">
        <f ca="1">IF($ND192=0,0, VLOOKUP($AH192,Control!$B$218:$C$228,2))</f>
        <v>0</v>
      </c>
      <c r="NF192" s="168" t="e">
        <f ca="1">$CY192*(Control!$C$128-Control!$C$127)</f>
        <v>#N/A</v>
      </c>
      <c r="NG192" s="54" t="e">
        <f ca="1">IF(Control!$C$58=2, $NI191-$NJ191, 0)</f>
        <v>#DIV/0!</v>
      </c>
      <c r="NH192" s="54" t="e">
        <f ca="1">IF(AND(Control!$C$58=1, $MS191&lt;= ($MN191+0.02), $I191&lt;10), 0, IF(Control!$C$58=2, $NG191, 0))</f>
        <v>#DIV/0!</v>
      </c>
      <c r="NI192" s="54" t="e">
        <f ca="1">IF(Control!$C$58=2, $NE192+$NH192,0)</f>
        <v>#DIV/0!</v>
      </c>
      <c r="NJ192" s="54" t="e">
        <f ca="1">IF(AND(Control!$C$58=1, $MS192&lt;= ($MN192+0.02), $I192&lt;10), MAX(0, MIN(10, 0.7*($NF192-$MV192))), IF(Control!$C$58=2, MIN(10,$NI192),0))</f>
        <v>#DIV/0!</v>
      </c>
      <c r="NK192" s="54" t="e">
        <f t="shared" ca="1" si="569"/>
        <v>#DIV/0!</v>
      </c>
      <c r="NL192" s="173" t="e">
        <f ca="1">(1-Control!$C$73)*$I192+$NJ192</f>
        <v>#DIV/0!</v>
      </c>
      <c r="NM192" s="172" t="e">
        <f ca="1">IF($NL192&lt;0.5, $MB192* MAX(0, MIN(1, (SQRT($NC192)-SQRT($NC192-1))*Control!$C$71)),0)</f>
        <v>#DIV/0!</v>
      </c>
      <c r="NN192" s="170" t="e">
        <f ca="1">IF($NL192&gt;=5, $MB192, MAX(0,MIN($MB192, $NM192+$NL192,($MS192-Control!$C$129))))</f>
        <v>#DIV/0!</v>
      </c>
      <c r="NO192" s="54">
        <f>IF(Control!$C$133&lt;&gt;1, Control!$C$135-Control!$C$131, 0)</f>
        <v>0.38</v>
      </c>
      <c r="NP192" s="54" t="e">
        <f t="shared" ca="1" si="570"/>
        <v>#DIV/0!</v>
      </c>
      <c r="NQ192" s="173" t="e">
        <f ca="1">MAX(0,MIN(1,(Control!$C$135-$MS192)/(Control!$C$135-$NO192)))</f>
        <v>#DIV/0!</v>
      </c>
      <c r="NR192" s="170" t="e">
        <f ca="1">IF(Control!$C$133&lt;&gt;1, $NQ192+((1-$NP192/4)*(1-$NQ192)),1)</f>
        <v>#DIV/0!</v>
      </c>
      <c r="NS192" s="170" t="e">
        <f ca="1">IF(Control!$B$31=0,$MJ192,MAX(0,MIN($MV192,$MO192*$NR192*$MJ192)))</f>
        <v>#DIV/0!</v>
      </c>
      <c r="NT192" s="170" t="e">
        <f t="shared" ca="1" si="686"/>
        <v>#DIV/0!</v>
      </c>
      <c r="NU192" s="170" t="e">
        <f t="shared" ca="1" si="662"/>
        <v>#N/A</v>
      </c>
      <c r="NV192" s="170" t="e">
        <f t="shared" ca="1" si="571"/>
        <v>#N/A</v>
      </c>
      <c r="NW192" s="175" t="e">
        <f t="shared" ca="1" si="572"/>
        <v>#DIV/0!</v>
      </c>
      <c r="NX192" s="170" t="e">
        <f ca="1">MIN(Control!$C$72+$MU192, $NW192)</f>
        <v>#DIV/0!</v>
      </c>
      <c r="NY192" s="170" t="e">
        <f ca="1">IF($MT192&lt;=$NX192,MIN(Control!$C$72+$NB192,$NX192-$MT192),0)</f>
        <v>#DIV/0!</v>
      </c>
      <c r="NZ192" s="54" t="e">
        <f ca="1">IF(Control!$C$114=1,  $CX192*($MX192-Control!$C$127), 0)</f>
        <v>#DIV/0!</v>
      </c>
      <c r="OA192" s="170" t="e">
        <f t="shared" ca="1" si="573"/>
        <v>#DIV/0!</v>
      </c>
      <c r="OB192" s="170" t="e">
        <f ca="1">IF($NA192 &lt;=$NY192, MIN(Control!$C$72, $NY192-$NA192), 0)</f>
        <v>#DIV/0!</v>
      </c>
      <c r="OC192" s="168" t="e">
        <f t="shared" ca="1" si="574"/>
        <v>#DIV/0!</v>
      </c>
      <c r="OD192" s="168" t="e">
        <f t="shared" ca="1" si="663"/>
        <v>#DIV/0!</v>
      </c>
      <c r="OE192" s="170">
        <f ca="1">Control!$C$73*$I192</f>
        <v>0</v>
      </c>
      <c r="OF192" s="176" t="e">
        <f t="shared" ca="1" si="575"/>
        <v>#DIV/0!</v>
      </c>
      <c r="OG192" s="168" t="e">
        <f t="shared" ca="1" si="576"/>
        <v>#DIV/0!</v>
      </c>
      <c r="OH192" s="168" t="e">
        <f t="shared" ca="1" si="577"/>
        <v>#DIV/0!</v>
      </c>
      <c r="OI192" s="168" t="e">
        <f t="shared" ca="1" si="578"/>
        <v>#DIV/0!</v>
      </c>
      <c r="OJ192" s="168" t="e">
        <f t="shared" ca="1" si="579"/>
        <v>#DIV/0!</v>
      </c>
      <c r="OK192" s="204" t="e">
        <f t="shared" ca="1" si="580"/>
        <v>#DIV/0!</v>
      </c>
      <c r="OL192" s="177">
        <f>Control!$C$127</f>
        <v>0.15</v>
      </c>
      <c r="OM192" s="182" t="e">
        <f t="shared" ca="1" si="581"/>
        <v>#N/A</v>
      </c>
      <c r="ON192" s="177">
        <f>Control!$C$128</f>
        <v>0.35</v>
      </c>
      <c r="OO192" s="182" t="e">
        <f t="shared" ca="1" si="582"/>
        <v>#N/A</v>
      </c>
      <c r="OP192" s="138">
        <f t="shared" ca="1" si="664"/>
        <v>0</v>
      </c>
      <c r="OQ192" s="138" t="e">
        <f t="shared" ca="1" si="687"/>
        <v>#DIV/0!</v>
      </c>
      <c r="OR192" s="138" t="e">
        <f t="shared" ca="1" si="665"/>
        <v>#DIV/0!</v>
      </c>
      <c r="OS192" s="137" t="e">
        <f t="shared" ca="1" si="688"/>
        <v>#DIV/0!</v>
      </c>
      <c r="OT192" s="139" t="e">
        <f t="shared" ca="1" si="689"/>
        <v>#DIV/0!</v>
      </c>
      <c r="OU192" s="138" t="e">
        <f t="shared" ca="1" si="690"/>
        <v>#N/A</v>
      </c>
      <c r="OV192" s="138" t="e">
        <f t="shared" ca="1" si="691"/>
        <v>#DIV/0!</v>
      </c>
      <c r="OW192" s="138" t="e">
        <f t="shared" ca="1" si="666"/>
        <v>#DIV/0!</v>
      </c>
      <c r="OX192" s="138" t="e">
        <f t="shared" ca="1" si="667"/>
        <v>#DIV/0!</v>
      </c>
      <c r="OY192" s="138" t="e">
        <f t="shared" ca="1" si="668"/>
        <v>#DIV/0!</v>
      </c>
      <c r="OZ192" s="138" t="e">
        <f t="shared" ca="1" si="583"/>
        <v>#DIV/0!</v>
      </c>
      <c r="PA192" s="138" t="e">
        <f t="shared" ca="1" si="584"/>
        <v>#DIV/0!</v>
      </c>
      <c r="PB192" s="55">
        <f>IF(Control!$C$61="T", IF(Control!$C$65="F", IF($AH$6-Control!$C$60&lt;0,0,1), IF(365+$AH$6-Control!$C$60&lt;0,0,1)),0)</f>
        <v>0</v>
      </c>
      <c r="PC192" s="55">
        <f ca="1">IF(Control!$C$65="F", IF($AH$6-$HF192&lt;0,0,1), IF(365+$AH$6-$HF192&lt;0,0,1))</f>
        <v>1</v>
      </c>
      <c r="PD192" s="444">
        <f>Control!$C$118</f>
        <v>1500</v>
      </c>
      <c r="PE192" s="180" t="e">
        <f t="shared" ca="1" si="585"/>
        <v>#N/A</v>
      </c>
      <c r="PF192" s="445">
        <f t="shared" ca="1" si="669"/>
        <v>0.71612369323045078</v>
      </c>
      <c r="PT192" s="186"/>
      <c r="PU192" s="186"/>
      <c r="PV192" s="94"/>
      <c r="PW192" s="94"/>
      <c r="PX192" s="94"/>
      <c r="PY192" s="94"/>
      <c r="PZ192" s="94"/>
      <c r="QA192" s="94"/>
      <c r="QB192" s="94"/>
      <c r="QC192" s="94"/>
      <c r="QD192" s="94"/>
      <c r="QE192" s="94"/>
      <c r="QF192" s="94"/>
      <c r="QG192" s="94"/>
      <c r="QH192" s="94"/>
      <c r="QI192" s="94"/>
      <c r="QJ192" s="94"/>
      <c r="QK192" s="94"/>
      <c r="QL192" s="94"/>
      <c r="QM192" s="94"/>
      <c r="QN192" s="94"/>
      <c r="QO192" s="94"/>
      <c r="QP192" s="94"/>
    </row>
    <row r="193" spans="1:458" s="2" customFormat="1" x14ac:dyDescent="0.2">
      <c r="A193" s="395">
        <v>7</v>
      </c>
      <c r="B193" s="396">
        <v>7</v>
      </c>
      <c r="C193" s="387">
        <f ca="1">Weather_data!$B192</f>
        <v>0</v>
      </c>
      <c r="D193" s="388">
        <f ca="1">Weather_data!$F192</f>
        <v>0</v>
      </c>
      <c r="E193" s="388">
        <f ca="1">Weather_data!$E192</f>
        <v>0</v>
      </c>
      <c r="F193" s="388">
        <f t="shared" ca="1" si="586"/>
        <v>0</v>
      </c>
      <c r="G193" s="388">
        <f ca="1">AVERAGE($D193:$E193)+Control!$B$9</f>
        <v>0</v>
      </c>
      <c r="H193" s="388">
        <f ca="1">Weather_data!$G192</f>
        <v>0</v>
      </c>
      <c r="I193" s="388">
        <f ca="1">Weather_data!$I192</f>
        <v>0</v>
      </c>
      <c r="J193" s="388">
        <f ca="1">Weather_data!$H192</f>
        <v>0</v>
      </c>
      <c r="K193" s="389">
        <f ca="1">Weather_data!$D192</f>
        <v>0</v>
      </c>
      <c r="L193" s="388" t="e">
        <f t="shared" ca="1" si="587"/>
        <v>#N/A</v>
      </c>
      <c r="M193" s="388" t="e">
        <f t="shared" ca="1" si="465"/>
        <v>#N/A</v>
      </c>
      <c r="N193" s="388">
        <f t="shared" ca="1" si="466"/>
        <v>-1.387775670538298E-9</v>
      </c>
      <c r="O193" s="388">
        <f t="shared" ca="1" si="588"/>
        <v>1.3877756705382979E-8</v>
      </c>
      <c r="P193" s="390">
        <v>3</v>
      </c>
      <c r="Q193" s="388">
        <f ca="1">MAX($G193-Control!$C$107,0)</f>
        <v>0</v>
      </c>
      <c r="R193" s="388">
        <f t="shared" ca="1" si="589"/>
        <v>0</v>
      </c>
      <c r="S193" s="388">
        <f t="shared" ca="1" si="467"/>
        <v>0</v>
      </c>
      <c r="T193" s="388">
        <f t="shared" ca="1" si="468"/>
        <v>0</v>
      </c>
      <c r="U193" s="59">
        <f t="shared" ca="1" si="469"/>
        <v>0</v>
      </c>
      <c r="V193" s="391">
        <f ca="1">MAX(0,MIN(Control!$C$100-Control!$C$99,$G193-Control!$C$99)*Control!$C$63)</f>
        <v>0</v>
      </c>
      <c r="W193" s="388">
        <f t="shared" ca="1" si="590"/>
        <v>0</v>
      </c>
      <c r="X193" s="388">
        <f t="shared" ca="1" si="591"/>
        <v>0.6110000000000001</v>
      </c>
      <c r="Y193" s="388">
        <f t="shared" ca="1" si="470"/>
        <v>0</v>
      </c>
      <c r="Z193" s="388">
        <f t="shared" ca="1" si="592"/>
        <v>0.61058800000000002</v>
      </c>
      <c r="AA193" s="388">
        <f t="shared" ca="1" si="471"/>
        <v>0.6018</v>
      </c>
      <c r="AB193" s="388">
        <f ca="1">101.3*EXP(-0.034*Control!$C$66/($G193+273))</f>
        <v>100.69623283836242</v>
      </c>
      <c r="AC193" s="392">
        <f t="shared" ca="1" si="472"/>
        <v>4.3460251046025113E-2</v>
      </c>
      <c r="AD193" s="392">
        <f t="shared" ca="1" si="473"/>
        <v>4.4450382862832649E-2</v>
      </c>
      <c r="AE193" s="388">
        <f t="shared" ca="1" si="474"/>
        <v>0</v>
      </c>
      <c r="AF193" s="388">
        <f ca="1">MAX(0,$G193-Control!$C$92)</f>
        <v>0</v>
      </c>
      <c r="AG193" s="393">
        <f t="shared" ca="1" si="475"/>
        <v>189</v>
      </c>
      <c r="AH193" s="389">
        <f t="shared" ca="1" si="476"/>
        <v>189</v>
      </c>
      <c r="AI193" s="388">
        <f t="shared" ca="1" si="593"/>
        <v>0.39196361847368705</v>
      </c>
      <c r="AJ193" s="388">
        <f ca="1">IF(Control!$C$60&lt;=0,$HH193,$HI193)</f>
        <v>1</v>
      </c>
      <c r="AK193" s="388">
        <f t="shared" ca="1" si="477"/>
        <v>1.8763484889933557</v>
      </c>
      <c r="AL193" s="388">
        <f t="shared" ca="1" si="478"/>
        <v>3.4261361109289009E-18</v>
      </c>
      <c r="AM193" s="388">
        <f t="shared" ca="1" si="479"/>
        <v>1.8763484889933557</v>
      </c>
      <c r="AN193" s="388">
        <f t="shared" ca="1" si="480"/>
        <v>0.38911994856812043</v>
      </c>
      <c r="AO193" s="388">
        <f ca="1">-0.10453/COS(Control!$B$8*PI()/180)*COS(AN193)</f>
        <v>-0.15709230586442413</v>
      </c>
      <c r="AP193" s="388">
        <f ca="1">ACOS(AO193-TAN(Control!$B$8*PI()/180)*TAN(AN193))</f>
        <v>2.3211566227700837</v>
      </c>
      <c r="AQ193" s="388">
        <f t="shared" ca="1" si="594"/>
        <v>0</v>
      </c>
      <c r="AR193" s="394">
        <f t="shared" ca="1" si="481"/>
        <v>0</v>
      </c>
      <c r="AS193" s="436">
        <f ca="1">IF(Control!$B$18=2,(IF(OR($AH193=Control!$B$175,$AH193=Control!$B$176,$AH193=Control!$B$177,$AH193=Control!$B$178,$AH193=Control!$B$179,$AH193=Control!$B$180,$AH193=Control!$B$181,$AH193=Control!$B$182,$AH193=Control!$B$183,$AH193=Control!$B$184,$AH193=Control!$B$185),1,0)),0)</f>
        <v>0</v>
      </c>
      <c r="AT193" s="436">
        <f>IF(Control!$B$20=8,IF(AND($AH193&gt;=Control!$B$172,$AH193&lt;=Control!$B$173),1,0),0)</f>
        <v>0</v>
      </c>
      <c r="AU193" s="436">
        <f>IF(Control!$B$20=8,IF($AV192=1,1*$AT193,IF($AT193=1,$AU192+1,$AU192)),0)</f>
        <v>0</v>
      </c>
      <c r="AV193" s="436">
        <f>IF(Control!$B$20=8,IF($AU193&gt;=Control!$B$174,1,0),0)</f>
        <v>0</v>
      </c>
      <c r="AW193" s="436">
        <f ca="1">IF(AND(Control!$B$18=2,Control!$B$171=1), $AV193, $AS193)</f>
        <v>0</v>
      </c>
      <c r="AX193" s="436" t="e">
        <f ca="1">IF(AND(Control!$B$18=1,$EU193&gt;=Control!$B$19),-$AY193,IF(AND(Control!$B$18=2,$AW193=1,$EU193&gt;$DS193),-$AY193, IF(Control!$C$108=0,0, IF(Control!$C$108&lt;&gt;0,1))))</f>
        <v>#N/A</v>
      </c>
      <c r="AY193" s="436" t="e">
        <f t="shared" ca="1" si="595"/>
        <v>#N/A</v>
      </c>
      <c r="AZ193" s="436" t="e">
        <f ca="1">IF(AND(Control!$B$18=1,$EB193&gt;Control!$B$19),$AZ192+1, IF(AND(Control!$B$18=2, $AW193=1, $EB193&gt;$DS193), $AZ192+1,$AZ192))</f>
        <v>#N/A</v>
      </c>
      <c r="BA193" s="587">
        <f>IF(Control!$C$81=0,1,IF($AH193&gt;=Control!$C$82,1,0))</f>
        <v>1</v>
      </c>
      <c r="BB193" s="140" t="e">
        <f ca="1">IF($BA193&gt;$BA192,Control!$C$83,IF($AW193&gt;0,$AW193*Control!$C$84,IF(AND(Control!$B$18=1,EN192&lt;&gt;0),Control!$C$84,0)))</f>
        <v>#N/A</v>
      </c>
      <c r="BC193" s="140" t="e">
        <f t="shared" ca="1" si="596"/>
        <v>#N/A</v>
      </c>
      <c r="BD193" s="140" t="e">
        <f ca="1">BC193*IF(OR($G193&lt;Control!$C$92,$G193&gt;Control!$C$95),0,IF(AND($G193&gt;=Control!$C$92,$G193&lt;=Control!$C$93),$G193-Control!$C$92,IF(AND($G193&gt;Control!$C$93,$G193&lt;=Control!$C$94),Control!$C$93-Control!$C$92,IF(AND($G193&gt;Control!$C$94,$G193&lt;=Control!$C$95),(Control!$C$93-Control!$C$92)*(Control!$C$94-$G193)/(Control!$C$95-Control!$C$94)))))</f>
        <v>#N/A</v>
      </c>
      <c r="BE193" s="140" t="e">
        <f t="shared" ca="1" si="597"/>
        <v>#N/A</v>
      </c>
      <c r="BF193" s="140" t="e">
        <f ca="1">IF($BE193&lt;=Control!$C$86,$BE193,Control!$C$86-$BE193)</f>
        <v>#N/A</v>
      </c>
      <c r="BG193" s="140" t="e">
        <f ca="1">IF(AND($AW193=1,Control!$C$84&lt;9),1,IF($BE193&gt;=Control!$C$86,0,$BC193))</f>
        <v>#N/A</v>
      </c>
      <c r="BH193" s="404" t="e">
        <f ca="1">IF($BG193=0,0,IF($BE193&lt;=Control!$C$86,$BC193*9*($BF193/Control!$C$86),0))</f>
        <v>#N/A</v>
      </c>
      <c r="BI193" s="140" t="e">
        <f ca="1">IF($BG193=1,0,IF($BE193&gt;=Control!$C$86,1,IF(AND($BB193&lt;21,$BB193&gt;=9),1,$BM192)))</f>
        <v>#N/A</v>
      </c>
      <c r="BJ193" s="140" t="e">
        <f ca="1">IF($BF193&lt;0,-$BF193,$BI193*IF(OR($G193&lt;Control!$C$92,$G193&gt;Control!$C$95),0,IF(AND($G193&gt;=Control!$C$92,$G193&lt;=Control!$C$93),$G193-Control!$C$92,IF(AND($G193&gt;Control!$C$93,$G193&lt;=Control!$C$94),Control!$C$93-Control!$C$92,IF(AND($G193&gt;Control!$C$94,$G193&lt;=Control!$C$95),(Control!$C$93-Control!$C$92)*(Control!$C$94-$G193)/(Control!$C$95-Control!$C$94))))))</f>
        <v>#N/A</v>
      </c>
      <c r="BK193" s="140" t="e">
        <f t="shared" ca="1" si="598"/>
        <v>#N/A</v>
      </c>
      <c r="BL193" s="140" t="e">
        <f ca="1">IF($BK193&lt;=Control!$C$87,$BK193,Control!$C$87-$BK193)</f>
        <v>#N/A</v>
      </c>
      <c r="BM193" s="140" t="e">
        <f ca="1">IF(AND($BB193&gt;=9,$BB193&lt;21),1,IF($BK193&gt;=Control!$C$87,0,$BI193))</f>
        <v>#N/A</v>
      </c>
      <c r="BN193" s="404" t="e">
        <f ca="1">IF($BM193=0,0,IF($BK193&lt;=Control!$C$87,$BI193*(9+(21-9)*($BL193/Control!$C$87)),0))</f>
        <v>#N/A</v>
      </c>
      <c r="BO193" s="140" t="e">
        <f ca="1">IF($BM193=1,0,IF($BK193&gt;=Control!$C$87,1,IF(AND($BB193&lt;30,$BB193&gt;=21),1,$BS192)))</f>
        <v>#N/A</v>
      </c>
      <c r="BP193" s="140" t="e">
        <f ca="1">IF($BL193&lt;0,-$BL193,$BO193*IF(OR($G193&lt;Control!$C$92,$G193&gt;Control!$C$95),0,IF(AND($G193&gt;=Control!$C$92,$G193&lt;=Control!$C$93),$G193-Control!$C$92,IF(AND($G193&gt;Control!$C$93,$G193&lt;=Control!$C$94),Control!$C$93-Control!$C$92,IF(AND($G193&gt;Control!$C$94,$G193&lt;=Control!$C$95),(Control!$C$93-Control!$C$92)*(Control!$C$94-$G193)/(Control!$C$95-Control!$C$94))))))</f>
        <v>#N/A</v>
      </c>
      <c r="BQ193" s="140" t="e">
        <f t="shared" ca="1" si="482"/>
        <v>#N/A</v>
      </c>
      <c r="BR193" s="140" t="e">
        <f ca="1">IF($BQ193&lt;=Control!$C$88,$BQ193,Control!$C$88-$BQ193)</f>
        <v>#N/A</v>
      </c>
      <c r="BS193" s="140" t="e">
        <f ca="1">IF(AND($BB193&gt;=21,$BB193&lt;30),1,IF($BQ193&gt;=Control!$C$88,0,$BO193))</f>
        <v>#N/A</v>
      </c>
      <c r="BT193" s="404" t="e">
        <f ca="1">IF($BS193=0,0,IF($BQ193&lt;=Control!$C$88,$BO193*(21+(30-21)*(BR193/Control!$C$88)),0))</f>
        <v>#N/A</v>
      </c>
      <c r="BU193" s="140" t="e">
        <f ca="1">IF(BG193+BM193+BS193=1,0,IF(OR(AND($BB193&lt;60,$BB193&gt;=30),$BQ193&gt;=Control!$C$88),1*$BA193,$BY192))</f>
        <v>#N/A</v>
      </c>
      <c r="BV193" s="140" t="e">
        <f ca="1">IF($BR193&lt;0,-$BR193,$BU193*IF(OR($G193&lt;Control!$C$92,$G193&gt;Control!$C$95),0,IF(AND($G193&gt;=Control!$C$92,$G193&lt;=Control!$C$93),$G193-Control!$C$92,IF(AND($G193&gt;Control!$C$93,$G193&lt;=Control!$C$94),Control!$C$93-Control!$C$92,IF(AND($G193&gt;Control!$C$94,$G193&lt;=Control!$C$95),(Control!$C$93-Control!$C$92)*(Control!$C$94-$G193)/(Control!$C$95-Control!$C$94))))))</f>
        <v>#N/A</v>
      </c>
      <c r="BW193" s="140" t="e">
        <f t="shared" ca="1" si="483"/>
        <v>#N/A</v>
      </c>
      <c r="BX193" s="140" t="e">
        <f ca="1">IF($BW193&lt;=Control!$C$89,$BW193,Control!$C$89-$BW193)</f>
        <v>#N/A</v>
      </c>
      <c r="BY193" s="140" t="e">
        <f ca="1">IF(AND($AJ193&gt;=30,$AJ193&lt;60),1,IF($BW193&gt;=Control!$C$89,0,$BU193))</f>
        <v>#N/A</v>
      </c>
      <c r="BZ193" s="404" t="e">
        <f ca="1">IF($BY193=0,0,IF($BW193&lt;=Control!$C$89,$BU193*(30+(60-30)*(BX193/Control!$C$89)),0))</f>
        <v>#N/A</v>
      </c>
      <c r="CA193" s="140" t="e">
        <f ca="1">IF($BG193+$BM193+$BS193+$BY193=1,0,IF(OR(AND($BB193&lt;65,$BB193&gt;=60),$BW193&gt;=Control!$C$89),1*$BA193,$CE192))</f>
        <v>#N/A</v>
      </c>
      <c r="CB193" s="140" t="e">
        <f ca="1">IF($BX193&lt;0,-$BX193,$CA193*IF(OR($G193&lt;Control!$C$92,$G193&gt;Control!$C$95),0,IF(AND($G193&gt;=Control!$C$92,$G193&lt;=Control!$C$93),$G193-Control!$C$92,IF(AND($G193&gt;Control!$C$93,$G193&lt;=Control!$C$94),Control!$C$93-Control!$C$92,IF(AND($G193&gt;Control!$C$94,$G193&lt;=Control!$C$95),(Control!$C$93-Control!$C$92)*(Control!$C$94-$G193)/(Control!$C$95-Control!$C$94))))))</f>
        <v>#N/A</v>
      </c>
      <c r="CC193" s="140" t="e">
        <f t="shared" ca="1" si="599"/>
        <v>#N/A</v>
      </c>
      <c r="CD193" s="140" t="e">
        <f ca="1">IF($CC193&lt;=Control!$C$90,$CC193,Control!$C$90-$CC193)</f>
        <v>#N/A</v>
      </c>
      <c r="CE193" s="140" t="e">
        <f ca="1">IF(AND($BB193&gt;=60,$BB193&lt;65),1,IF($CC193&gt;=Control!$C$90,0,$CA193))</f>
        <v>#N/A</v>
      </c>
      <c r="CF193" s="404" t="e">
        <f ca="1">IF($CE193=0,0,IF($CC193&lt;=Control!$C$90,$CA193*(60+(65-60)*(CD193/Control!$C$90)),0))</f>
        <v>#N/A</v>
      </c>
      <c r="CG193" s="140" t="e">
        <f ca="1">IF($BG193+$BM193+$BS193+$BY193+$CE193=1,0,IF(OR(AND($BB193&lt;90,$BB193&gt;=65),$CC193&gt;=Control!$C$90),$BA193,$CK192))</f>
        <v>#N/A</v>
      </c>
      <c r="CH193" s="140" t="e">
        <f ca="1">IF($CD193&lt;0,-$CD193,$CG193*IF(OR($G193&lt;Control!$C$92,$G193&gt;Control!$C$95),0,IF(AND($G193&gt;=Control!$C$92,$G193&lt;=Control!$C$93),$G193-Control!$C$92,IF(AND($G193&gt;Control!$C$93,$G193&lt;=Control!$C$94),Control!$C$93-Control!$C$92,IF(AND($G193&gt;Control!$C$94,$G193&lt;=Control!$C$95),(Control!$C$93-Control!$C$92)*(Control!$C$94-$G193)/(Control!$C$95-Control!$C$94))))))</f>
        <v>#N/A</v>
      </c>
      <c r="CI193" s="140" t="e">
        <f t="shared" ca="1" si="600"/>
        <v>#N/A</v>
      </c>
      <c r="CJ193" s="140" t="e">
        <f ca="1">IF($CI193&lt;=Control!$C$91,$CI193,Control!$C$91-$CI193)</f>
        <v>#N/A</v>
      </c>
      <c r="CK193" s="140" t="e">
        <f ca="1">IF(AND($BB193&gt;=65,$BB193&lt;90),1,IF($CI193&gt;=Control!$C$91,0,$CG193))</f>
        <v>#N/A</v>
      </c>
      <c r="CL193" s="404" t="e">
        <f ca="1">IF($CK193=0,0,IF($CI193&lt;=Control!$C$91,$CG193*(65+(90-65)*($CJ193/Control!$C$91)),0))</f>
        <v>#N/A</v>
      </c>
      <c r="CM193" s="140" t="e">
        <f ca="1">IF($BG193+$BM193+$BS193+$BY193+$CE193+$CK193=1,0,IF(OR($BB193&gt;=90,$CI193&gt;=Control!$C$91),$BA193,$CM192))</f>
        <v>#N/A</v>
      </c>
      <c r="CN193" s="140" t="e">
        <f t="shared" ca="1" si="601"/>
        <v>#N/A</v>
      </c>
      <c r="CO193" s="140" t="e">
        <f t="shared" ca="1" si="602"/>
        <v>#N/A</v>
      </c>
      <c r="CP193" s="140" t="e">
        <f t="shared" ca="1" si="603"/>
        <v>#N/A</v>
      </c>
      <c r="CQ193" s="141" t="e">
        <f ca="1">VLOOKUP($CP193,Control!$B$86:$G$91,6)</f>
        <v>#N/A</v>
      </c>
      <c r="CR193" s="141" t="e">
        <f ca="1">(1-$CQ193)*VLOOKUP($CP193,Control!$B$86:$D$91,3)</f>
        <v>#N/A</v>
      </c>
      <c r="CS193" s="141" t="e">
        <f ca="1">(1-$CQ193)*VLOOKUP($CP193,Control!$B$86:$E$91,4)</f>
        <v>#N/A</v>
      </c>
      <c r="CT193" s="141" t="e">
        <f ca="1">(1-$CQ193)*VLOOKUP($CP193,Control!$B$86:$F$91,5)</f>
        <v>#N/A</v>
      </c>
      <c r="CU193" s="141">
        <f t="shared" ca="1" si="604"/>
        <v>0</v>
      </c>
      <c r="CV193" s="583">
        <f t="shared" ca="1" si="605"/>
        <v>0</v>
      </c>
      <c r="CW193" s="142">
        <f t="shared" ca="1" si="606"/>
        <v>189</v>
      </c>
      <c r="CX193" s="612" t="e">
        <f ca="1">IF(Control!$C$114=1,(MIN(Control!$C$120*(IF($NT193-0.01&lt;0,0,1)),Control!$C$119-$CY193)))</f>
        <v>#DIV/0!</v>
      </c>
      <c r="CY193" s="143" t="e">
        <f t="shared" ca="1" si="607"/>
        <v>#N/A</v>
      </c>
      <c r="CZ193" s="144">
        <f t="shared" ca="1" si="484"/>
        <v>0</v>
      </c>
      <c r="DA193" s="144">
        <f t="shared" ca="1" si="485"/>
        <v>0</v>
      </c>
      <c r="DB193" s="144" t="e">
        <f t="shared" ca="1" si="486"/>
        <v>#N/A</v>
      </c>
      <c r="DC193" s="144" t="e">
        <f t="shared" ca="1" si="487"/>
        <v>#N/A</v>
      </c>
      <c r="DD193" s="144" t="e">
        <f t="shared" ca="1" si="692"/>
        <v>#N/A</v>
      </c>
      <c r="DE193" s="143" t="e">
        <f t="shared" ca="1" si="608"/>
        <v>#N/A</v>
      </c>
      <c r="DF193" s="145" t="e">
        <f ca="1">$DR193*EXP(-Control!$C$158*(1-$KH193))</f>
        <v>#N/A</v>
      </c>
      <c r="DG193" s="146" t="e">
        <f ca="1">IF(Control!$C$114=1, $DF193*$EY193, 0)</f>
        <v>#N/A</v>
      </c>
      <c r="DH193" s="147" t="e">
        <f t="shared" ca="1" si="609"/>
        <v>#N/A</v>
      </c>
      <c r="DI193" s="144" t="e">
        <f t="shared" ca="1" si="670"/>
        <v>#N/A</v>
      </c>
      <c r="DJ193" s="147" t="e">
        <f ca="1">$EF193*Control!$C$109</f>
        <v>#N/A</v>
      </c>
      <c r="DK193" s="144" t="e">
        <f t="shared" ca="1" si="610"/>
        <v>#N/A</v>
      </c>
      <c r="DL193" s="144" t="e">
        <f t="shared" ca="1" si="488"/>
        <v>#N/A</v>
      </c>
      <c r="DM193" s="144" t="e">
        <f ca="1">IF(Control!$C$114=1, (1-EXP(-Control!$C$96*$DK193))*$AR193, 0)</f>
        <v>#N/A</v>
      </c>
      <c r="DN193" s="144">
        <f t="shared" ca="1" si="611"/>
        <v>0</v>
      </c>
      <c r="DO193" s="148">
        <f>Control!$C$97</f>
        <v>4</v>
      </c>
      <c r="DP193" s="145" t="e">
        <f t="shared" ca="1" si="612"/>
        <v>#N/A</v>
      </c>
      <c r="DQ193" s="145" t="e">
        <f ca="1">IF(AND($CP193&gt;=0,$CP193&lt;=90),Control!$C$111,Control!$C$111)</f>
        <v>#N/A</v>
      </c>
      <c r="DR193" s="145" t="e">
        <f t="shared" ca="1" si="489"/>
        <v>#N/A</v>
      </c>
      <c r="DS193" s="143" t="e">
        <f ca="1">Control!$B$22/$DR193</f>
        <v>#N/A</v>
      </c>
      <c r="DT193" s="149" t="e">
        <f ca="1">IF(AND(Control!$C$114=1,$KH193&lt;1),$IM193*$DF193, 0)</f>
        <v>#N/A</v>
      </c>
      <c r="DU193" s="144" t="e">
        <f t="shared" ca="1" si="613"/>
        <v>#N/A</v>
      </c>
      <c r="DV193" s="144">
        <f ca="1">IF($G193-Control!$C$107&lt;=0, 0, 0.83*LN(MAX($G193, 3))-0.8924)</f>
        <v>0</v>
      </c>
      <c r="DW193" s="144" t="e">
        <f t="shared" ca="1" si="490"/>
        <v>#N/A</v>
      </c>
      <c r="DX193" s="150" t="e">
        <f ca="1">MAX(0.01*(1+$CU193/Control!$C$102),0.05*($DK193-Control!$C$97)/Control!$C$97)</f>
        <v>#N/A</v>
      </c>
      <c r="DY193" s="151" t="e">
        <f ca="1">IF(Control!$C$114=1, $DI193*$FS193, 0)</f>
        <v>#N/A</v>
      </c>
      <c r="DZ193" s="196" t="e">
        <f t="shared" ca="1" si="614"/>
        <v>#N/A</v>
      </c>
      <c r="EA193" s="152">
        <f t="shared" ca="1" si="615"/>
        <v>189</v>
      </c>
      <c r="EB193" s="153" t="e">
        <f t="shared" ca="1" si="616"/>
        <v>#N/A</v>
      </c>
      <c r="EC193" s="153" t="e">
        <f t="shared" ca="1" si="617"/>
        <v>#N/A</v>
      </c>
      <c r="ED193" s="154" t="e">
        <f ca="1">IF(Control!$C$114=1, $HM193*$FY193-$FD193, 0)</f>
        <v>#DIV/0!</v>
      </c>
      <c r="EE193" s="155" t="e">
        <f ca="1">IF(Control!$C$114=1, $HM193*$FZ193-$FF193, 0)</f>
        <v>#DIV/0!</v>
      </c>
      <c r="EF193" s="153" t="e">
        <f t="shared" ca="1" si="671"/>
        <v>#N/A</v>
      </c>
      <c r="EG193" s="155" t="e">
        <f ca="1">IF(Control!$C$114=1, $GX193*$FW193-$FI193, 0)</f>
        <v>#DIV/0!</v>
      </c>
      <c r="EH193" s="153" t="e">
        <f t="shared" ca="1" si="618"/>
        <v>#N/A</v>
      </c>
      <c r="EI193" s="156" t="e">
        <f t="shared" ca="1" si="619"/>
        <v>#N/A</v>
      </c>
      <c r="EJ193" s="155" t="e">
        <f ca="1">IF(Control!$C$114=1, $HM193*$GB193, 0)</f>
        <v>#DIV/0!</v>
      </c>
      <c r="EK193" s="153" t="e">
        <f t="shared" ca="1" si="672"/>
        <v>#N/A</v>
      </c>
      <c r="EL193" s="153" t="e">
        <f t="shared" ca="1" si="491"/>
        <v>#N/A</v>
      </c>
      <c r="EM193" s="153" t="e">
        <f t="shared" ca="1" si="492"/>
        <v>#N/A</v>
      </c>
      <c r="EN193" s="153" t="e">
        <f ca="1">IF(Control!$C$108=1,IF(AND(Control!$B$18=1,$EB193&gt;=Control!$B$19),$EB193-$DS193,IF(AND(Control!$B$18=2,$AW193=1,$EB193&gt;$DS193),$EB193-$DS193,0)))</f>
        <v>#N/A</v>
      </c>
      <c r="EO193" s="153" t="e">
        <f ca="1">IF(Control!$C$108=1,IF(AND(Control!$B$18=1,$EB193&gt;=Control!$B$19),$EF193,IF(AND(Control!$B$18=2,$AW193=1),$EF193,0)))</f>
        <v>#N/A</v>
      </c>
      <c r="EP193" s="153" t="e">
        <f ca="1">IF(Control!$C$108=1,IF(AND(Control!$B$18=1,$EB193&gt;=Control!$B$19),$EK193,IF(AND(Control!$B$18=2,$AW193=1),$EK193,0)))</f>
        <v>#N/A</v>
      </c>
      <c r="EQ193" s="153" t="e">
        <f t="shared" ca="1" si="620"/>
        <v>#N/A</v>
      </c>
      <c r="ER193" s="153" t="e">
        <f t="shared" ca="1" si="621"/>
        <v>#N/A</v>
      </c>
      <c r="ES193" s="153" t="e">
        <f t="shared" ca="1" si="673"/>
        <v>#N/A</v>
      </c>
      <c r="ET193" s="153" t="e">
        <f t="shared" ca="1" si="674"/>
        <v>#N/A</v>
      </c>
      <c r="EU193" s="153" t="e">
        <f t="shared" ca="1" si="622"/>
        <v>#N/A</v>
      </c>
      <c r="EV193" s="153" t="e">
        <f t="shared" ca="1" si="493"/>
        <v>#N/A</v>
      </c>
      <c r="EW193" s="153" t="e">
        <f t="shared" ca="1" si="494"/>
        <v>#N/A</v>
      </c>
      <c r="EX193" s="153" t="e">
        <f t="shared" ca="1" si="495"/>
        <v>#N/A</v>
      </c>
      <c r="EY193" s="157" t="e">
        <f t="shared" ca="1" si="496"/>
        <v>#DIV/0!</v>
      </c>
      <c r="EZ193" s="154" t="e">
        <f t="shared" ca="1" si="497"/>
        <v>#DIV/0!</v>
      </c>
      <c r="FA193" s="153" t="e">
        <f t="shared" ca="1" si="623"/>
        <v>#N/A</v>
      </c>
      <c r="FB193" s="153" t="e">
        <f t="shared" ca="1" si="498"/>
        <v>#N/A</v>
      </c>
      <c r="FC193" s="193" t="e">
        <f t="shared" ca="1" si="499"/>
        <v>#N/A</v>
      </c>
      <c r="FD193" s="158" t="e">
        <f t="shared" ca="1" si="624"/>
        <v>#N/A</v>
      </c>
      <c r="FE193" s="158" t="e">
        <f t="shared" ca="1" si="625"/>
        <v>#N/A</v>
      </c>
      <c r="FF193" s="159" t="e">
        <f t="shared" ca="1" si="500"/>
        <v>#N/A</v>
      </c>
      <c r="FG193" s="160" t="e">
        <f t="shared" ca="1" si="626"/>
        <v>#N/A</v>
      </c>
      <c r="FH193" s="158" t="e">
        <f t="shared" ca="1" si="627"/>
        <v>#N/A</v>
      </c>
      <c r="FI193" s="159" t="e">
        <f t="shared" ca="1" si="501"/>
        <v>#N/A</v>
      </c>
      <c r="FJ193" s="160" t="e">
        <f t="shared" ca="1" si="628"/>
        <v>#N/A</v>
      </c>
      <c r="FK193" s="160" t="e">
        <f t="shared" ca="1" si="502"/>
        <v>#N/A</v>
      </c>
      <c r="FL193" s="160" t="e">
        <f t="shared" ca="1" si="675"/>
        <v>#N/A</v>
      </c>
      <c r="FM193" s="160" t="e">
        <f t="shared" ca="1" si="503"/>
        <v>#N/A</v>
      </c>
      <c r="FN193" s="158">
        <f t="shared" ca="1" si="629"/>
        <v>0.01</v>
      </c>
      <c r="FO193" s="160">
        <f>Control!$C$101</f>
        <v>50</v>
      </c>
      <c r="FP193" s="150" t="e">
        <f t="shared" ca="1" si="504"/>
        <v>#N/A</v>
      </c>
      <c r="FQ193" s="150" t="e">
        <f ca="1">MAX(0,(Control!$C$112*(($DK193-Control!$C$97)/Control!$C$97)))</f>
        <v>#N/A</v>
      </c>
      <c r="FR193" s="150" t="e">
        <f ca="1">(1-$NT193)*Control!$C$113</f>
        <v>#DIV/0!</v>
      </c>
      <c r="FS193" s="198" t="e">
        <f t="shared" ca="1" si="505"/>
        <v>#N/A</v>
      </c>
      <c r="FT193" s="161">
        <f t="shared" ca="1" si="630"/>
        <v>189</v>
      </c>
      <c r="FU193" s="162" t="e">
        <f ca="1">IF(Control!$B$34=1,VLOOKUP($CP193,Control!$B$86:$G$91,6),Control!$B$35)</f>
        <v>#N/A</v>
      </c>
      <c r="FV193" s="162" t="e">
        <f t="shared" ca="1" si="506"/>
        <v>#DIV/0!</v>
      </c>
      <c r="FW193" s="162" t="e">
        <f ca="1">IF(Control!$B$31=1,$FU193*$FV193,  $FU193)</f>
        <v>#N/A</v>
      </c>
      <c r="FX193" s="162" t="e">
        <f ca="1">IF(Control!$B$34=1,VLOOKUP($CP193,Control!$B$86:$G$91,3),Control!$B$36)</f>
        <v>#N/A</v>
      </c>
      <c r="FY193" s="162" t="e">
        <f t="shared" ca="1" si="507"/>
        <v>#N/A</v>
      </c>
      <c r="FZ193" s="162" t="e">
        <f ca="1">IF(Control!$B$34=1,VLOOKUP($CP193,Control!$B$86:$G$91,4),Control!$B$37)</f>
        <v>#N/A</v>
      </c>
      <c r="GA193" s="162" t="e">
        <f t="shared" ca="1" si="508"/>
        <v>#N/A</v>
      </c>
      <c r="GB193" s="162" t="e">
        <f ca="1">IF(Control!$B$34=1,VLOOKUP($CP193,Control!$B$86:$G$91,5),Control!$B$38)</f>
        <v>#N/A</v>
      </c>
      <c r="GC193" s="162" t="e">
        <f t="shared" ca="1" si="631"/>
        <v>#N/A</v>
      </c>
      <c r="GD193" s="162">
        <f t="shared" ca="1" si="509"/>
        <v>1</v>
      </c>
      <c r="GE193" s="162">
        <f t="shared" ca="1" si="510"/>
        <v>1</v>
      </c>
      <c r="GF193" s="162">
        <f ca="1">IF(AND(Control!$C$104=1, Control!$C$62="F"),$GE193,1)</f>
        <v>1</v>
      </c>
      <c r="GG193" s="162" t="e">
        <f ca="1">IF(Control!$B$16=40,0,IF(AND(Control!$B$16&gt;40,Control!$B$16&lt;=360),(Control!$B$16-40)*((1-0)/(360-40)),IF(AND(Control!$B$16&gt;360,Control!$B$16&lt;=720),(1+(Control!$B$16-360)*((1.25-1)/(720-360))),IF(AND(Control!$B$16&gt;720,Control!$B$16&lt;=1000),(1.25+(Control!$B$16-720)*((1.35-1.25)/(1000-720))),IF(AND(Control!$B$16&gt;1000,Control!$B$16&lt;=2000),(1.35+(Control!$B$16-1000)*0))))))</f>
        <v>#N/A</v>
      </c>
      <c r="GH193" s="162" t="e">
        <f t="shared" ca="1" si="511"/>
        <v>#N/A</v>
      </c>
      <c r="GI193" s="162">
        <f t="shared" ca="1" si="632"/>
        <v>0</v>
      </c>
      <c r="GJ193" s="162">
        <f t="shared" ca="1" si="512"/>
        <v>0</v>
      </c>
      <c r="GK193" s="162">
        <f t="shared" ca="1" si="633"/>
        <v>1</v>
      </c>
      <c r="GL193" s="162">
        <f t="shared" ca="1" si="513"/>
        <v>1</v>
      </c>
      <c r="GM193" s="162" t="e">
        <f ca="1">MAX(0,MIN(1,1-Control!$C$156*(1.0001-$KH193)^2))</f>
        <v>#N/A</v>
      </c>
      <c r="GN193" s="162" t="e">
        <f ca="1">IF(Control!$B$26=1,$KU193,$KX193)</f>
        <v>#N/A</v>
      </c>
      <c r="GO193" s="162" t="e">
        <f ca="1">IF($CP193&lt;=60,Control!$C$105,IF($CP193&gt;=90,Control!$C$106,Control!$C$105+($CP193-60)*((Control!$C$106-Control!$C$105)/(90-60))))</f>
        <v>#N/A</v>
      </c>
      <c r="GP193" s="162" t="e">
        <f t="shared" ca="1" si="514"/>
        <v>#N/A</v>
      </c>
      <c r="GQ193" s="162" t="e">
        <f t="shared" ca="1" si="634"/>
        <v>#N/A</v>
      </c>
      <c r="GR193" s="163" t="e">
        <f t="shared" ca="1" si="515"/>
        <v>#DIV/0!</v>
      </c>
      <c r="GS193" s="162" t="e">
        <f t="shared" ca="1" si="516"/>
        <v>#DIV/0!</v>
      </c>
      <c r="GT193" s="164" t="e">
        <f t="shared" ca="1" si="635"/>
        <v>#N/A</v>
      </c>
      <c r="GU193" s="162" t="e">
        <f t="shared" ca="1" si="636"/>
        <v>#N/A</v>
      </c>
      <c r="GV193" s="162" t="e">
        <f t="shared" ca="1" si="517"/>
        <v>#N/A</v>
      </c>
      <c r="GW193" s="162" t="e">
        <f t="shared" ca="1" si="518"/>
        <v>#DIV/0!</v>
      </c>
      <c r="GX193" s="162" t="e">
        <f t="shared" ca="1" si="637"/>
        <v>#DIV/0!</v>
      </c>
      <c r="GY193" s="162" t="e">
        <f t="shared" ca="1" si="638"/>
        <v>#DIV/0!</v>
      </c>
      <c r="GZ193" s="165" t="e">
        <f t="shared" ca="1" si="519"/>
        <v>#N/A</v>
      </c>
      <c r="HA193" s="162" t="e">
        <f ca="1">IF(Control!$C$114=1, $DI193*$FS193, 0)</f>
        <v>#N/A</v>
      </c>
      <c r="HB193" s="162" t="e">
        <f ca="1">$FA193/Control!$C$64</f>
        <v>#N/A</v>
      </c>
      <c r="HC193" s="162" t="e">
        <f t="shared" ca="1" si="520"/>
        <v>#DIV/0!</v>
      </c>
      <c r="HD193" s="162">
        <f ca="1">-ASIN(SIN(23.45*Control!$C$139)*COS(2*Control!$C$138*($AH193+10)/365))</f>
        <v>0.39196361847368705</v>
      </c>
      <c r="HE193" s="165">
        <f t="shared" ca="1" si="639"/>
        <v>0</v>
      </c>
      <c r="HF193" s="166">
        <f ca="1">IF(AND(Control!$C$61="T",$HE193&gt;=Control!$C$103,Control!$C$114=0),$AH193,Control!$C$59)</f>
        <v>1</v>
      </c>
      <c r="HG193" s="166">
        <f ca="1">IF(AND(Control!$C$61="T",$HE193&gt;=Control!$C$103,Control!$C$114=0),$HF193,Control!$C$59)</f>
        <v>1</v>
      </c>
      <c r="HH193" s="165">
        <f ca="1">IF(AND(OR(Control!$C$60&lt;=0, $AH193= Control!$C$59, Control!$C$60 &gt;0, $AH193 = Control!$C$60)), Control!$C$59, IF(Control!$C$60&gt;0, 0))</f>
        <v>1</v>
      </c>
      <c r="HI193" s="165">
        <f ca="1">IF(AND(OR(Control!$C$60&lt;=0, $AH193= Control!$C$59, Control!$C$60 &gt;0, $AH193 = Control!$C$60)), Control!$C$60, IF(Control!$C$60&lt;=0, 0))</f>
        <v>0</v>
      </c>
      <c r="HJ193" s="166">
        <f ca="1">IF(AND(Control!$C$62="F",$CV193&gt;=Control!$C$102),$AH193,0)</f>
        <v>0</v>
      </c>
      <c r="HK193" s="165" t="e">
        <f t="shared" ca="1" si="676"/>
        <v>#N/A</v>
      </c>
      <c r="HL193" s="166">
        <f ca="1">IF(AND(Control!$C$61="T",$HE193&gt;=Control!$C$103,Control!$C$114=0),$HF193,0)</f>
        <v>0</v>
      </c>
      <c r="HM193" s="201" t="e">
        <f t="shared" ca="1" si="521"/>
        <v>#DIV/0!</v>
      </c>
      <c r="HN193" s="215">
        <f t="shared" ca="1" si="640"/>
        <v>189</v>
      </c>
      <c r="HO193" s="216" t="e">
        <f ca="1">IF(AND($CP193&gt;=0, $CP193&lt;=90), Control!$C$152, Control!$C$152)</f>
        <v>#N/A</v>
      </c>
      <c r="HP193" s="216" t="e">
        <f t="shared" ca="1" si="522"/>
        <v>#N/A</v>
      </c>
      <c r="HQ193" s="217" t="e">
        <f ca="1">IF(OR(Control!$B$26=1,Control!$B$26=2),$KV193,$KS193)</f>
        <v>#DIV/0!</v>
      </c>
      <c r="HR193" s="218" t="e">
        <f t="shared" ca="1" si="677"/>
        <v>#DIV/0!</v>
      </c>
      <c r="HS193" s="216" t="e">
        <f ca="1">Control!$C$154*$HP193</f>
        <v>#N/A</v>
      </c>
      <c r="HT193" s="216" t="e">
        <f ca="1">Control!$C$155*$HP193</f>
        <v>#N/A</v>
      </c>
      <c r="HU193" s="217" t="e">
        <f ca="1">Control!$C$161*$FI193</f>
        <v>#N/A</v>
      </c>
      <c r="HV193" s="218" t="e">
        <f t="shared" ca="1" si="641"/>
        <v>#N/A</v>
      </c>
      <c r="HW193" s="218" t="e">
        <f ca="1">Control!$C$160*$FF193+$IP193*$EO193</f>
        <v>#N/A</v>
      </c>
      <c r="HX193" s="218" t="e">
        <f t="shared" ca="1" si="678"/>
        <v>#N/A</v>
      </c>
      <c r="HY193" s="219" t="e">
        <f ca="1">IF(Control!$C$114=1, $EB193*$FS193, 0)</f>
        <v>#N/A</v>
      </c>
      <c r="HZ193" s="91" t="e">
        <f t="shared" ca="1" si="523"/>
        <v>#N/A</v>
      </c>
      <c r="IA193" s="220" t="e">
        <f ca="1">Control!$C$153*$HO193</f>
        <v>#N/A</v>
      </c>
      <c r="IB193" s="218" t="e">
        <f t="shared" ca="1" si="524"/>
        <v>#N/A</v>
      </c>
      <c r="IC193" s="220" t="e">
        <f ca="1">Control!$C$153*$HT193</f>
        <v>#N/A</v>
      </c>
      <c r="ID193" s="218" t="e">
        <f t="shared" ca="1" si="525"/>
        <v>#N/A</v>
      </c>
      <c r="IE193" s="221" t="e">
        <f ca="1">($EB193*Control!$C$159+$EF193*Control!$C$160)/(IF($GZ193&lt;&gt;0,$GZ193,1))</f>
        <v>#N/A</v>
      </c>
      <c r="IF193" s="216" t="e">
        <f t="shared" ca="1" si="526"/>
        <v>#N/A</v>
      </c>
      <c r="IG193" s="91">
        <f ca="1">IF(OR(Control!$B$198=$AH193,Control!$B$199=$AH193, Control!$B$200=$AH193, Control!$B$201=$AH193, Control!$B$202=$AH193, Control!$B$203=$AH193, Control!$B$204=$AH193, Control!$B$205=$AH193, Control!$B$206=$AH193, Control!$B$207=$AH193), 1, 0)</f>
        <v>0</v>
      </c>
      <c r="IH193" s="91">
        <f ca="1">IF($IG193=0,0, VLOOKUP($AH193,Control!$B$198:$C$207,2))</f>
        <v>0</v>
      </c>
      <c r="II193" s="222">
        <f t="shared" ca="1" si="642"/>
        <v>0</v>
      </c>
      <c r="IJ193" s="91">
        <f>Control!$C$121</f>
        <v>0.7</v>
      </c>
      <c r="IK193" s="218">
        <f t="shared" ca="1" si="527"/>
        <v>0</v>
      </c>
      <c r="IL193" s="217" t="e">
        <f t="shared" ca="1" si="679"/>
        <v>#N/A</v>
      </c>
      <c r="IM193" s="223" t="e">
        <f ca="1">IF(AND(Control!$C$114=1,$KH193&lt;1),$EB193*Control!$C$148*(1-$KH193), 0)</f>
        <v>#N/A</v>
      </c>
      <c r="IN193" s="217" t="e">
        <f t="shared" ca="1" si="528"/>
        <v>#DIV/0!</v>
      </c>
      <c r="IO193" s="91" t="e">
        <f ca="1">MAX(0,$IL193-$EF193*Control!$C$160)</f>
        <v>#N/A</v>
      </c>
      <c r="IP193" s="220" t="e">
        <f t="shared" ca="1" si="529"/>
        <v>#N/A</v>
      </c>
      <c r="IQ193" s="217" t="e">
        <f t="shared" ca="1" si="643"/>
        <v>#N/A</v>
      </c>
      <c r="IR193" s="218" t="e">
        <f t="shared" ca="1" si="530"/>
        <v>#N/A</v>
      </c>
      <c r="IS193" s="217" t="e">
        <f ca="1">Control!$C$159*MAX(0,$FD193-$EN193)</f>
        <v>#N/A</v>
      </c>
      <c r="IT193" s="217" t="e">
        <f t="shared" ca="1" si="680"/>
        <v>#N/A</v>
      </c>
      <c r="IU193" s="217" t="e">
        <f t="shared" ca="1" si="644"/>
        <v>#N/A</v>
      </c>
      <c r="IV193" s="217" t="e">
        <f t="shared" ca="1" si="681"/>
        <v>#N/A</v>
      </c>
      <c r="IW193" s="217" t="e">
        <f ca="1">IF(OR($AW193=1,AND($AW193=0, Control!$B$18=1,$EN193&lt;&gt;0)), $IQ193-$IU193, $IQ193)</f>
        <v>#N/A</v>
      </c>
      <c r="IX193" s="218" t="e">
        <f t="shared" ca="1" si="531"/>
        <v>#N/A</v>
      </c>
      <c r="IY193" s="218" t="e">
        <f ca="1">MAX(0,$IQ193-$EB193*Control!$C$159)</f>
        <v>#N/A</v>
      </c>
      <c r="IZ193" s="218" t="e">
        <f t="shared" ca="1" si="532"/>
        <v>#N/A</v>
      </c>
      <c r="JA193" s="216" t="e">
        <f t="shared" ca="1" si="533"/>
        <v>#N/A</v>
      </c>
      <c r="JB193" s="217" t="e">
        <f t="shared" ca="1" si="534"/>
        <v>#N/A</v>
      </c>
      <c r="JC193" s="222" t="e">
        <f ca="1">MAX(Control!$C$157*$EK193-$JT193, 0)/Control!$C$162</f>
        <v>#N/A</v>
      </c>
      <c r="JD193" s="218" t="e">
        <f t="shared" ca="1" si="535"/>
        <v>#N/A</v>
      </c>
      <c r="JE193" s="218" t="e">
        <f t="shared" ca="1" si="536"/>
        <v>#N/A</v>
      </c>
      <c r="JF193" s="218" t="e">
        <f t="shared" ca="1" si="645"/>
        <v>#N/A</v>
      </c>
      <c r="JG193" s="218" t="e">
        <f t="shared" ca="1" si="537"/>
        <v>#N/A</v>
      </c>
      <c r="JH193" s="217" t="e">
        <f t="shared" ca="1" si="646"/>
        <v>#N/A</v>
      </c>
      <c r="JI193" s="217" t="e">
        <f t="shared" ca="1" si="647"/>
        <v>#N/A</v>
      </c>
      <c r="JJ193" s="217" t="e">
        <f t="shared" ca="1" si="682"/>
        <v>#N/A</v>
      </c>
      <c r="JK193" s="217" t="e">
        <f ca="1">IF(Control!$C$114=1,IF(Control!$B$24=0,MAX(0,$JI193)*$GN193/Control!$C$64,(MAX(0,MIN($JI193,$JJ193*$GN193/Control!$C$64),0))))</f>
        <v>#N/A</v>
      </c>
      <c r="JL193" s="217" t="e">
        <f ca="1">$IK193/Control!$C$64-$JK193+$HQ193</f>
        <v>#N/A</v>
      </c>
      <c r="JM193" s="217" t="e">
        <f ca="1">IF(Control!$C$114=1,($JB193/(IF($JI193&lt;&gt;0,$JI193,1)))*$JK193,0)</f>
        <v>#N/A</v>
      </c>
      <c r="JN193" s="217" t="e">
        <f ca="1">IF(Control!$C$114=1,($JG193/(IF($JI193&lt;&gt;0,$JI193,1)))*$JK193, 0)</f>
        <v>#N/A</v>
      </c>
      <c r="JO193" s="218" t="e">
        <f t="shared" ca="1" si="538"/>
        <v>#N/A</v>
      </c>
      <c r="JP193" s="218" t="e">
        <f ca="1">MIN(($IY193+$IO193)*Control!$C$151, $JF193-$EH193*Control!$C$161)</f>
        <v>#N/A</v>
      </c>
      <c r="JQ193" s="218" t="e">
        <f t="shared" ca="1" si="539"/>
        <v>#N/A</v>
      </c>
      <c r="JR193" s="217" t="e">
        <f ca="1">IF($CP193-Control!$C$150&lt;0, 0, $JQ193/Control!$C$162)</f>
        <v>#N/A</v>
      </c>
      <c r="JS193" s="218" t="e">
        <f t="shared" ca="1" si="540"/>
        <v>#N/A</v>
      </c>
      <c r="JT193" s="218" t="e">
        <f t="shared" ca="1" si="648"/>
        <v>#N/A</v>
      </c>
      <c r="JU193" s="218" t="e">
        <f t="shared" ca="1" si="541"/>
        <v>#N/A</v>
      </c>
      <c r="JV193" s="218" t="e">
        <f t="shared" ca="1" si="542"/>
        <v>#N/A</v>
      </c>
      <c r="JW193" s="216" t="e">
        <f t="shared" ca="1" si="543"/>
        <v>#N/A</v>
      </c>
      <c r="JX193" s="91" t="e">
        <f t="shared" ca="1" si="544"/>
        <v>#N/A</v>
      </c>
      <c r="JY193" s="218" t="e">
        <f t="shared" ca="1" si="545"/>
        <v>#N/A</v>
      </c>
      <c r="JZ193" s="217" t="e">
        <f ca="1">IF(Control!$C$114=1,($IZ193/(IF($JI193&lt;&gt;0,$JI193,1)))*$JK193, 0)</f>
        <v>#N/A</v>
      </c>
      <c r="KA193" s="218" t="e">
        <f t="shared" ca="1" si="683"/>
        <v>#N/A</v>
      </c>
      <c r="KB193" s="218" t="e">
        <f t="shared" ca="1" si="649"/>
        <v>#N/A</v>
      </c>
      <c r="KC193" s="218" t="e">
        <f t="shared" ca="1" si="546"/>
        <v>#N/A</v>
      </c>
      <c r="KD193" s="218" t="e">
        <f t="shared" ca="1" si="547"/>
        <v>#N/A</v>
      </c>
      <c r="KE193" s="218" t="e">
        <f t="shared" ca="1" si="548"/>
        <v>#N/A</v>
      </c>
      <c r="KF193" s="218" t="e">
        <f t="shared" ca="1" si="549"/>
        <v>#N/A</v>
      </c>
      <c r="KG193" s="216" t="e">
        <f t="shared" ca="1" si="550"/>
        <v>#N/A</v>
      </c>
      <c r="KH193" s="221" t="e">
        <f ca="1">IF(Control!$B$24=0,1,MAX(0.001,MIN(1,IF(($IF193-$IE193)&lt;&gt;0,($KG193-$IE193)/($IF193-$IE193),1))))</f>
        <v>#N/A</v>
      </c>
      <c r="KI193" s="222" t="e">
        <f ca="1">IF(Control!$C$114=1, $KI192+ $KH192, 0)</f>
        <v>#N/A</v>
      </c>
      <c r="KJ193" s="217" t="e">
        <f t="shared" ca="1" si="551"/>
        <v>#N/A</v>
      </c>
      <c r="KK193" s="218" t="e">
        <f t="shared" ca="1" si="552"/>
        <v>#N/A</v>
      </c>
      <c r="KL193" s="274" t="e">
        <f ca="1">IF(Control!$B$26=3,4000000000*EXP(-8400/($G193+273)),IF(Control!$B$26=4,4000000000*EXP(-8400/($G193+273))*($KT193),0))</f>
        <v>#DIV/0!</v>
      </c>
      <c r="KM193" s="274" t="e">
        <f ca="1">IF(Control!$B$26=3,5600000000000*EXP(-9800/($G193+273)),IF(Control!$B$26=4,5600000000000*EXP(-9800/($G193+273))*$KT193,0))</f>
        <v>#DIV/0!</v>
      </c>
      <c r="KN193" s="454" t="e">
        <f t="shared" ca="1" si="650"/>
        <v>#DIV/0!</v>
      </c>
      <c r="KO193" s="274" t="e">
        <f t="shared" ca="1" si="651"/>
        <v>#DIV/0!</v>
      </c>
      <c r="KP193" s="454" t="e">
        <f t="shared" ca="1" si="553"/>
        <v>#DIV/0!</v>
      </c>
      <c r="KQ193" s="454" t="e">
        <f t="shared" ca="1" si="554"/>
        <v>#DIV/0!</v>
      </c>
      <c r="KR193" s="454" t="e">
        <f t="shared" ca="1" si="555"/>
        <v>#DIV/0!</v>
      </c>
      <c r="KS193" s="454" t="e">
        <f t="shared" ca="1" si="556"/>
        <v>#DIV/0!</v>
      </c>
      <c r="KT193" s="455" t="e">
        <f t="shared" ca="1" si="557"/>
        <v>#DIV/0!</v>
      </c>
      <c r="KU193" s="456" t="e">
        <f ca="1">IF($CP193-Control!$C$149&lt;0, IF($NT193-0.01&lt;0,0,1),0)</f>
        <v>#N/A</v>
      </c>
      <c r="KV193" s="456" t="e">
        <f ca="1">IF(Control!$C$114=1,MAX(0,MIN(Control!$C$125*$KW193*$GN193,$KW193)))</f>
        <v>#DIV/0!</v>
      </c>
      <c r="KW193" s="456" t="e">
        <f t="shared" ca="1" si="684"/>
        <v>#DIV/0!</v>
      </c>
      <c r="KX193" s="457" t="e">
        <f ca="1">IF($CP193-Control!$C$149&lt;0, IF($MR193-$OM193&lt;0,0,1),0)</f>
        <v>#N/A</v>
      </c>
      <c r="KY193" s="167">
        <f t="shared" ca="1" si="652"/>
        <v>189</v>
      </c>
      <c r="KZ193" s="168">
        <f ca="1">1370*(1+0.033*COS(2*Control!$C$138*$AH193/365))</f>
        <v>1325.0727555060726</v>
      </c>
      <c r="LA193" s="169">
        <f t="shared" ca="1" si="653"/>
        <v>0.96720636284560613</v>
      </c>
      <c r="LB193" s="169">
        <f t="shared" ca="1" si="654"/>
        <v>0.39160587717559803</v>
      </c>
      <c r="LC193" s="169">
        <f ca="1">ACOS(-TAN((2*Control!$B$8/360))*TAN(Calculations!$LB193))</f>
        <v>1.6938315947439033</v>
      </c>
      <c r="LD193" s="169">
        <f ca="1">((24*60)/PI())*0.082*$LA193*(($LC193*SIN(Control!$B$8*2*PI()/360))*SIN($LB193)+COS(Control!$B$8*2*PI()/360)*COS($LB193)*SIN($LC193))</f>
        <v>39.050649174387843</v>
      </c>
      <c r="LE193" s="170">
        <f t="shared" ca="1" si="558"/>
        <v>40.65791907139829</v>
      </c>
      <c r="LF193" s="170">
        <f ca="1">SIN(Control!$C$139*Control!$B$8)*SIN($HD193)</f>
        <v>0.30102364046308505</v>
      </c>
      <c r="LG193" s="170">
        <f ca="1">COS(Control!$C$139*Control!$B$8)*COS($HD193)</f>
        <v>0.56896861427061951</v>
      </c>
      <c r="LH193" s="170">
        <f ca="1">12*(1+2*ASIN(MAX(-1,MIN(1,$LF193/$LG193))/Control!$C$138))</f>
        <v>16.061132677323183</v>
      </c>
      <c r="LI193" s="170">
        <f ca="1">12*(1+2*ASIN(MAX(-1,MIN(1,(-SIN(-4*Control!$C$139)+$LF193)/$LG193))/Control!$C$138))</f>
        <v>17.014798666313993</v>
      </c>
      <c r="LJ193" s="168">
        <f ca="1">3600*($LH193*$LF193+24*$LG193*SQRT(1-$LK193*$LK193)/Control!$C$138)</f>
        <v>30683.537113303784</v>
      </c>
      <c r="LK193" s="170">
        <f t="shared" ca="1" si="559"/>
        <v>0.52906897307328216</v>
      </c>
      <c r="LL193" s="170">
        <f t="shared" ca="1" si="560"/>
        <v>0</v>
      </c>
      <c r="LM193" s="171">
        <f ca="1">Control!$C$145*$AB193</f>
        <v>6.6660906138995932E-2</v>
      </c>
      <c r="LN193" s="170">
        <f t="shared" ca="1" si="655"/>
        <v>0.54</v>
      </c>
      <c r="LO193" s="170">
        <f t="shared" ca="1" si="561"/>
        <v>0</v>
      </c>
      <c r="LP193" s="170">
        <f ca="1">Control!$C$140*((($D193+273.16)^4+($E193+273.16)^4)/2)*(0.34-0.14*SQRT($Y193))*(1.35*$AQ193/(0.75*$LD193)-0.35)</f>
        <v>-3.2464704755046001</v>
      </c>
      <c r="LQ193" s="170">
        <f ca="1">Control!$C$140*($G193+273)^4*(0.56-0.079*SQRT($Y193*10))*(0.1+0.9*$LO193)</f>
        <v>1.5241745131704001</v>
      </c>
      <c r="LR193" s="170">
        <f ca="1">$AQ193*(1-Control!$C$142)-$LQ193</f>
        <v>-1.5241745131704001</v>
      </c>
      <c r="LS193" s="170">
        <f ca="1">$AQ193*(1-Control!$C$143)-$LQ193</f>
        <v>-1.5241745131704001</v>
      </c>
      <c r="LT193" s="170">
        <f ca="1">$AQ193*(1-Control!$C$144)-$LQ193</f>
        <v>-1.5241745131704001</v>
      </c>
      <c r="LU193" s="169">
        <f ca="1">(1-Control!$C$144)*AQ193-LP193</f>
        <v>3.2464704755046001</v>
      </c>
      <c r="LV193" s="172">
        <f t="shared" ca="1" si="562"/>
        <v>0.79430000000000012</v>
      </c>
      <c r="LW193" s="170">
        <f t="shared" ca="1" si="563"/>
        <v>1.5886000000000002</v>
      </c>
      <c r="LX193" s="170">
        <f ca="1">($AC193*($LR193/Control!$C$141)+$LM193*$LV193)/($AC193+$LM193)</f>
        <v>0.23530094218323697</v>
      </c>
      <c r="LY193" s="170">
        <f ca="1">($AC193*($LS193/Control!$C$141)+$LM193*$LV193)/($AC193+$LM193)</f>
        <v>0.23530094218323697</v>
      </c>
      <c r="LZ193" s="170">
        <f t="shared" ca="1" si="564"/>
        <v>0.23530094218323697</v>
      </c>
      <c r="MA193" s="170">
        <f t="shared" ca="1" si="565"/>
        <v>0.23530094218323697</v>
      </c>
      <c r="MB193" s="170" t="e">
        <f t="shared" ca="1" si="566"/>
        <v>#N/A</v>
      </c>
      <c r="MC193" s="170">
        <f t="shared" ca="1" si="656"/>
        <v>0.6018</v>
      </c>
      <c r="MD193" s="170">
        <f t="shared" ca="1" si="567"/>
        <v>0.52989392535414004</v>
      </c>
      <c r="ME193" s="170">
        <f ca="1">($AC193*($LT193/Control!$C$141)+$LM193*$LW193)/($AC193+$LM193)</f>
        <v>0.71612369323045078</v>
      </c>
      <c r="MF193" s="170" t="e">
        <f ca="1">IF(Control!$B$16&gt;=1000,0.92,IF(AND(720&lt;=Control!$B$16,1000&gt;Control!$B$16),(0.95+(Control!$B$16-720)*((0.92-0.95)/(1000-720))),IF(AND(360&lt;=Control!$B$16,720&gt;Control!$B$16),(1+(Control!$B$16-360)*((0.95-1)/(720-360))),IF(AND(40&lt;=Control!$B$16,360&gt;Control!$B$16),(1.05+(Control!$B$16-40)*((1.05-1)/(360-40)))))))</f>
        <v>#N/A</v>
      </c>
      <c r="MG193" s="170">
        <f t="shared" ca="1" si="568"/>
        <v>0.71612369323045078</v>
      </c>
      <c r="MH193" s="170" t="e">
        <f t="shared" ca="1" si="695"/>
        <v>#N/A</v>
      </c>
      <c r="MI193" s="170" t="e">
        <f t="shared" ca="1" si="695"/>
        <v>#N/A</v>
      </c>
      <c r="MJ193" s="170" t="e">
        <f ca="1">MAX(0.0001, Control!$C$132*$MI193*$DL193)</f>
        <v>#N/A</v>
      </c>
      <c r="MK193" s="170">
        <f ca="1">1/(0.76+1.5*($MG193/10))-(5-Control!$C$110)*0.1</f>
        <v>1.002845988140797</v>
      </c>
      <c r="ML193" s="173">
        <f ca="1">IF(Control!$C$110&lt;3,$MK193+($MG193-0.6)/(Control!$C$110*(Control!$C$110+3)), MAX(0.1, MIN(0.95,$MK193)))</f>
        <v>0.95</v>
      </c>
      <c r="MM193" s="173">
        <f ca="1">IF(Control!$C$110&lt;3,$MK193+(($MI193/10)-0.6)/(Control!$C$110*(Control!$C$110+3)), MAX(0.1, MIN(0.95,$MK193)))</f>
        <v>0.95</v>
      </c>
      <c r="MN193" s="173">
        <f ca="1">(1-$MM193)*(Control!$C$128-Control!$C$127)+Control!$C$127</f>
        <v>0.16</v>
      </c>
      <c r="MO193" s="170" t="e">
        <f ca="1">MAX(0,MIN(1,($MS193-Control!$C$127)/($MN193-Control!$C$127)))</f>
        <v>#DIV/0!</v>
      </c>
      <c r="MP193" s="173" t="e">
        <f ca="1">1/(0.76+1.5*$MI193)-(5-Control!$C$110)*0.1</f>
        <v>#N/A</v>
      </c>
      <c r="MQ193" s="172" t="e">
        <f t="shared" ca="1" si="685"/>
        <v>#DIV/0!</v>
      </c>
      <c r="MR193" s="168" t="e">
        <f t="shared" ca="1" si="657"/>
        <v>#DIV/0!</v>
      </c>
      <c r="MS193" s="173" t="e">
        <f ca="1">MAX(Control!$C$127, MIN(Control!$C$135, $MR193/MAX(0.0001,$CY193)))</f>
        <v>#DIV/0!</v>
      </c>
      <c r="MT193" s="168" t="e">
        <f ca="1">(Control!$C$128-$MS193)*Control!$C$74</f>
        <v>#DIV/0!</v>
      </c>
      <c r="MU193" s="168" t="e">
        <f ca="1">(Control!$C$135-$MS193)*Control!$C$74</f>
        <v>#DIV/0!</v>
      </c>
      <c r="MV193" s="168" t="e">
        <f t="shared" ca="1" si="658"/>
        <v>#DIV/0!</v>
      </c>
      <c r="MW193" s="168" t="e">
        <f t="shared" ca="1" si="659"/>
        <v>#DIV/0!</v>
      </c>
      <c r="MX193" s="171" t="e">
        <f ca="1">MAX(Control!$C$127, MIN(Control!$C$135, $MW193/MAX(0.0001,Control!$C$119-$CY193)))</f>
        <v>#DIV/0!</v>
      </c>
      <c r="MY193" s="54" t="e">
        <f ca="1">IF(Control!$C$114=1, $CX193*$MX193, 0)</f>
        <v>#DIV/0!</v>
      </c>
      <c r="MZ193" s="54" t="e">
        <f t="shared" ca="1" si="660"/>
        <v>#N/A</v>
      </c>
      <c r="NA193" s="168" t="e">
        <f ca="1">(Control!$C$128-$MX193)*(Control!$C$119-Control!$C$74)</f>
        <v>#DIV/0!</v>
      </c>
      <c r="NB193" s="168" t="e">
        <f ca="1">(Control!$C$135-$MX193)*(Control!$C$119-Control!$C$74)</f>
        <v>#DIV/0!</v>
      </c>
      <c r="NC193" s="174" t="e">
        <f t="shared" ca="1" si="661"/>
        <v>#DIV/0!</v>
      </c>
      <c r="ND193" s="54">
        <f ca="1">IF(Control!$C$58=2, IF(OR(Control!$B$218=$AH193,Control!$B$219=$AH193, Control!$B$220=$AH193, Control!$B$221=$AH193, Control!$B$222=$AH193, Control!$B$223=$AH193, Control!$B$224=$AH193, Control!$B$225=$AH193, Control!$B$226=$AH193, Control!$B$227=$AH193, Control!$B$228=$AH193), 1, 0), 0)</f>
        <v>0</v>
      </c>
      <c r="NE193" s="54">
        <f ca="1">IF($ND193=0,0, VLOOKUP($AH193,Control!$B$218:$C$228,2))</f>
        <v>0</v>
      </c>
      <c r="NF193" s="168" t="e">
        <f ca="1">$CY193*(Control!$C$128-Control!$C$127)</f>
        <v>#N/A</v>
      </c>
      <c r="NG193" s="54" t="e">
        <f ca="1">IF(Control!$C$58=2, $NI192-$NJ192, 0)</f>
        <v>#DIV/0!</v>
      </c>
      <c r="NH193" s="54" t="e">
        <f ca="1">IF(AND(Control!$C$58=1, $MS192&lt;= ($MN192+0.02), $I192&lt;10), 0, IF(Control!$C$58=2, $NG192, 0))</f>
        <v>#DIV/0!</v>
      </c>
      <c r="NI193" s="54" t="e">
        <f ca="1">IF(Control!$C$58=2, $NE193+$NH193,0)</f>
        <v>#DIV/0!</v>
      </c>
      <c r="NJ193" s="54" t="e">
        <f ca="1">IF(AND(Control!$C$58=1, $MS193&lt;= ($MN193+0.02), $I193&lt;10), MAX(0, MIN(10, 0.7*($NF193-$MV193))), IF(Control!$C$58=2, MIN(10,$NI193),0))</f>
        <v>#DIV/0!</v>
      </c>
      <c r="NK193" s="54" t="e">
        <f t="shared" ca="1" si="569"/>
        <v>#DIV/0!</v>
      </c>
      <c r="NL193" s="173" t="e">
        <f ca="1">(1-Control!$C$73)*$I193+$NJ193</f>
        <v>#DIV/0!</v>
      </c>
      <c r="NM193" s="172" t="e">
        <f ca="1">IF($NL193&lt;0.5, $MB193* MAX(0, MIN(1, (SQRT($NC193)-SQRT($NC193-1))*Control!$C$71)),0)</f>
        <v>#DIV/0!</v>
      </c>
      <c r="NN193" s="170" t="e">
        <f ca="1">IF($NL193&gt;=5, $MB193, MAX(0,MIN($MB193, $NM193+$NL193,($MS193-Control!$C$129))))</f>
        <v>#DIV/0!</v>
      </c>
      <c r="NO193" s="54">
        <f>IF(Control!$C$133&lt;&gt;1, Control!$C$135-Control!$C$131, 0)</f>
        <v>0.38</v>
      </c>
      <c r="NP193" s="54" t="e">
        <f t="shared" ca="1" si="570"/>
        <v>#DIV/0!</v>
      </c>
      <c r="NQ193" s="173" t="e">
        <f ca="1">MAX(0,MIN(1,(Control!$C$135-$MS193)/(Control!$C$135-$NO193)))</f>
        <v>#DIV/0!</v>
      </c>
      <c r="NR193" s="170" t="e">
        <f ca="1">IF(Control!$C$133&lt;&gt;1, $NQ193+((1-$NP193/4)*(1-$NQ193)),1)</f>
        <v>#DIV/0!</v>
      </c>
      <c r="NS193" s="170" t="e">
        <f ca="1">IF(Control!$B$31=0,$MJ193,MAX(0,MIN($MV193,$MO193*$NR193*$MJ193)))</f>
        <v>#DIV/0!</v>
      </c>
      <c r="NT193" s="170" t="e">
        <f t="shared" ca="1" si="686"/>
        <v>#DIV/0!</v>
      </c>
      <c r="NU193" s="170" t="e">
        <f t="shared" ca="1" si="662"/>
        <v>#N/A</v>
      </c>
      <c r="NV193" s="170" t="e">
        <f t="shared" ca="1" si="571"/>
        <v>#N/A</v>
      </c>
      <c r="NW193" s="175" t="e">
        <f t="shared" ca="1" si="572"/>
        <v>#DIV/0!</v>
      </c>
      <c r="NX193" s="170" t="e">
        <f ca="1">MIN(Control!$C$72+$MU193, $NW193)</f>
        <v>#DIV/0!</v>
      </c>
      <c r="NY193" s="170" t="e">
        <f ca="1">IF($MT193&lt;=$NX193,MIN(Control!$C$72+$NB193,$NX193-$MT193),0)</f>
        <v>#DIV/0!</v>
      </c>
      <c r="NZ193" s="54" t="e">
        <f ca="1">IF(Control!$C$114=1,  $CX193*($MX193-Control!$C$127), 0)</f>
        <v>#DIV/0!</v>
      </c>
      <c r="OA193" s="170" t="e">
        <f t="shared" ca="1" si="573"/>
        <v>#DIV/0!</v>
      </c>
      <c r="OB193" s="170" t="e">
        <f ca="1">IF($NA193 &lt;=$NY193, MIN(Control!$C$72, $NY193-$NA193), 0)</f>
        <v>#DIV/0!</v>
      </c>
      <c r="OC193" s="168" t="e">
        <f t="shared" ca="1" si="574"/>
        <v>#DIV/0!</v>
      </c>
      <c r="OD193" s="168" t="e">
        <f t="shared" ca="1" si="663"/>
        <v>#DIV/0!</v>
      </c>
      <c r="OE193" s="170">
        <f ca="1">Control!$C$73*$I193</f>
        <v>0</v>
      </c>
      <c r="OF193" s="176" t="e">
        <f t="shared" ca="1" si="575"/>
        <v>#DIV/0!</v>
      </c>
      <c r="OG193" s="168" t="e">
        <f t="shared" ca="1" si="576"/>
        <v>#DIV/0!</v>
      </c>
      <c r="OH193" s="168" t="e">
        <f t="shared" ca="1" si="577"/>
        <v>#DIV/0!</v>
      </c>
      <c r="OI193" s="168" t="e">
        <f t="shared" ca="1" si="578"/>
        <v>#DIV/0!</v>
      </c>
      <c r="OJ193" s="168" t="e">
        <f t="shared" ca="1" si="579"/>
        <v>#DIV/0!</v>
      </c>
      <c r="OK193" s="204" t="e">
        <f t="shared" ca="1" si="580"/>
        <v>#DIV/0!</v>
      </c>
      <c r="OL193" s="177">
        <f>Control!$C$127</f>
        <v>0.15</v>
      </c>
      <c r="OM193" s="182" t="e">
        <f t="shared" ca="1" si="581"/>
        <v>#N/A</v>
      </c>
      <c r="ON193" s="177">
        <f>Control!$C$128</f>
        <v>0.35</v>
      </c>
      <c r="OO193" s="182" t="e">
        <f t="shared" ca="1" si="582"/>
        <v>#N/A</v>
      </c>
      <c r="OP193" s="138">
        <f t="shared" ca="1" si="664"/>
        <v>0</v>
      </c>
      <c r="OQ193" s="138" t="e">
        <f t="shared" ca="1" si="687"/>
        <v>#DIV/0!</v>
      </c>
      <c r="OR193" s="138" t="e">
        <f t="shared" ca="1" si="665"/>
        <v>#DIV/0!</v>
      </c>
      <c r="OS193" s="137" t="e">
        <f t="shared" ca="1" si="688"/>
        <v>#DIV/0!</v>
      </c>
      <c r="OT193" s="139" t="e">
        <f t="shared" ca="1" si="689"/>
        <v>#DIV/0!</v>
      </c>
      <c r="OU193" s="138" t="e">
        <f t="shared" ca="1" si="690"/>
        <v>#N/A</v>
      </c>
      <c r="OV193" s="138" t="e">
        <f t="shared" ca="1" si="691"/>
        <v>#DIV/0!</v>
      </c>
      <c r="OW193" s="138" t="e">
        <f t="shared" ca="1" si="666"/>
        <v>#DIV/0!</v>
      </c>
      <c r="OX193" s="138" t="e">
        <f t="shared" ca="1" si="667"/>
        <v>#DIV/0!</v>
      </c>
      <c r="OY193" s="138" t="e">
        <f t="shared" ca="1" si="668"/>
        <v>#DIV/0!</v>
      </c>
      <c r="OZ193" s="138" t="e">
        <f t="shared" ca="1" si="583"/>
        <v>#DIV/0!</v>
      </c>
      <c r="PA193" s="138" t="e">
        <f t="shared" ca="1" si="584"/>
        <v>#DIV/0!</v>
      </c>
      <c r="PB193" s="55">
        <f>IF(Control!$C$61="T", IF(Control!$C$65="F", IF($AH$6-Control!$C$60&lt;0,0,1), IF(365+$AH$6-Control!$C$60&lt;0,0,1)),0)</f>
        <v>0</v>
      </c>
      <c r="PC193" s="55">
        <f ca="1">IF(Control!$C$65="F", IF($AH$6-$HF193&lt;0,0,1), IF(365+$AH$6-$HF193&lt;0,0,1))</f>
        <v>1</v>
      </c>
      <c r="PD193" s="444">
        <f>Control!$C$118</f>
        <v>1500</v>
      </c>
      <c r="PE193" s="180" t="e">
        <f t="shared" ca="1" si="585"/>
        <v>#N/A</v>
      </c>
      <c r="PF193" s="445">
        <f t="shared" ca="1" si="669"/>
        <v>0.71612369323045078</v>
      </c>
      <c r="PT193" s="186"/>
      <c r="PU193" s="186"/>
      <c r="PV193" s="94"/>
      <c r="PW193" s="94"/>
      <c r="PX193" s="94"/>
      <c r="PY193" s="94"/>
      <c r="PZ193" s="94"/>
      <c r="QA193" s="94"/>
      <c r="QB193" s="94"/>
      <c r="QC193" s="94"/>
      <c r="QD193" s="94"/>
      <c r="QE193" s="94"/>
      <c r="QF193" s="94"/>
      <c r="QG193" s="94"/>
      <c r="QH193" s="94"/>
      <c r="QI193" s="94"/>
      <c r="QJ193" s="94"/>
      <c r="QK193" s="94"/>
      <c r="QL193" s="94"/>
      <c r="QM193" s="94"/>
      <c r="QN193" s="94"/>
      <c r="QO193" s="94"/>
      <c r="QP193" s="94"/>
    </row>
    <row r="194" spans="1:458" s="2" customFormat="1" x14ac:dyDescent="0.2">
      <c r="A194" s="395">
        <v>8</v>
      </c>
      <c r="B194" s="396">
        <v>7</v>
      </c>
      <c r="C194" s="387">
        <f ca="1">Weather_data!$B193</f>
        <v>0</v>
      </c>
      <c r="D194" s="388">
        <f ca="1">Weather_data!$F193</f>
        <v>0</v>
      </c>
      <c r="E194" s="388">
        <f ca="1">Weather_data!$E193</f>
        <v>0</v>
      </c>
      <c r="F194" s="388">
        <f t="shared" ca="1" si="586"/>
        <v>0</v>
      </c>
      <c r="G194" s="388">
        <f ca="1">AVERAGE($D194:$E194)+Control!$B$9</f>
        <v>0</v>
      </c>
      <c r="H194" s="388">
        <f ca="1">Weather_data!$G193</f>
        <v>0</v>
      </c>
      <c r="I194" s="388">
        <f ca="1">Weather_data!$I193</f>
        <v>0</v>
      </c>
      <c r="J194" s="388">
        <f ca="1">Weather_data!$H193</f>
        <v>0</v>
      </c>
      <c r="K194" s="389">
        <f ca="1">Weather_data!$D193</f>
        <v>0</v>
      </c>
      <c r="L194" s="388" t="e">
        <f t="shared" ca="1" si="587"/>
        <v>#N/A</v>
      </c>
      <c r="M194" s="388" t="e">
        <f t="shared" ca="1" si="465"/>
        <v>#N/A</v>
      </c>
      <c r="N194" s="388">
        <f t="shared" ca="1" si="466"/>
        <v>-1.2489981034844681E-9</v>
      </c>
      <c r="O194" s="388">
        <f t="shared" ca="1" si="588"/>
        <v>1.2489981034844681E-8</v>
      </c>
      <c r="P194" s="390">
        <v>3</v>
      </c>
      <c r="Q194" s="388">
        <f ca="1">MAX($G194-Control!$C$107,0)</f>
        <v>0</v>
      </c>
      <c r="R194" s="388">
        <f t="shared" ca="1" si="589"/>
        <v>0</v>
      </c>
      <c r="S194" s="388">
        <f t="shared" ca="1" si="467"/>
        <v>0</v>
      </c>
      <c r="T194" s="388">
        <f t="shared" ca="1" si="468"/>
        <v>0</v>
      </c>
      <c r="U194" s="59">
        <f t="shared" ca="1" si="469"/>
        <v>0</v>
      </c>
      <c r="V194" s="391">
        <f ca="1">MAX(0,MIN(Control!$C$100-Control!$C$99,$G194-Control!$C$99)*Control!$C$63)</f>
        <v>0</v>
      </c>
      <c r="W194" s="388">
        <f t="shared" ca="1" si="590"/>
        <v>0</v>
      </c>
      <c r="X194" s="388">
        <f t="shared" ca="1" si="591"/>
        <v>0.6110000000000001</v>
      </c>
      <c r="Y194" s="388">
        <f t="shared" ca="1" si="470"/>
        <v>0</v>
      </c>
      <c r="Z194" s="388">
        <f t="shared" ca="1" si="592"/>
        <v>0.61058800000000002</v>
      </c>
      <c r="AA194" s="388">
        <f t="shared" ca="1" si="471"/>
        <v>0.6018</v>
      </c>
      <c r="AB194" s="388">
        <f ca="1">101.3*EXP(-0.034*Control!$C$66/($G194+273))</f>
        <v>100.69623283836242</v>
      </c>
      <c r="AC194" s="392">
        <f t="shared" ca="1" si="472"/>
        <v>4.3460251046025113E-2</v>
      </c>
      <c r="AD194" s="392">
        <f t="shared" ca="1" si="473"/>
        <v>4.4450382862832649E-2</v>
      </c>
      <c r="AE194" s="388">
        <f t="shared" ca="1" si="474"/>
        <v>0</v>
      </c>
      <c r="AF194" s="388">
        <f ca="1">MAX(0,$G194-Control!$C$92)</f>
        <v>0</v>
      </c>
      <c r="AG194" s="393">
        <f t="shared" ca="1" si="475"/>
        <v>190</v>
      </c>
      <c r="AH194" s="389">
        <f t="shared" ca="1" si="476"/>
        <v>190</v>
      </c>
      <c r="AI194" s="388">
        <f t="shared" ca="1" si="593"/>
        <v>0.38982613589726994</v>
      </c>
      <c r="AJ194" s="388">
        <f ca="1">IF(Control!$C$60&lt;=0,$HH194,$HI194)</f>
        <v>1</v>
      </c>
      <c r="AK194" s="388">
        <f t="shared" ca="1" si="477"/>
        <v>1.893562695314396</v>
      </c>
      <c r="AL194" s="388">
        <f t="shared" ca="1" si="478"/>
        <v>1.4424954286607061E-18</v>
      </c>
      <c r="AM194" s="388">
        <f t="shared" ca="1" si="479"/>
        <v>1.893562695314396</v>
      </c>
      <c r="AN194" s="388">
        <f t="shared" ca="1" si="480"/>
        <v>0.38683398274024511</v>
      </c>
      <c r="AO194" s="388">
        <f ca="1">-0.10453/COS(Control!$B$8*PI()/180)*COS(AN194)</f>
        <v>-0.15723913894559036</v>
      </c>
      <c r="AP194" s="388">
        <f ca="1">ACOS(AO194-TAN(Control!$B$8*PI()/180)*TAN(AN194))</f>
        <v>2.3166982905552596</v>
      </c>
      <c r="AQ194" s="388">
        <f t="shared" ca="1" si="594"/>
        <v>0</v>
      </c>
      <c r="AR194" s="394">
        <f t="shared" ca="1" si="481"/>
        <v>0</v>
      </c>
      <c r="AS194" s="436">
        <f ca="1">IF(Control!$B$18=2,(IF(OR($AH194=Control!$B$175,$AH194=Control!$B$176,$AH194=Control!$B$177,$AH194=Control!$B$178,$AH194=Control!$B$179,$AH194=Control!$B$180,$AH194=Control!$B$181,$AH194=Control!$B$182,$AH194=Control!$B$183,$AH194=Control!$B$184,$AH194=Control!$B$185),1,0)),0)</f>
        <v>0</v>
      </c>
      <c r="AT194" s="436">
        <f>IF(Control!$B$20=8,IF(AND($AH194&gt;=Control!$B$172,$AH194&lt;=Control!$B$173),1,0),0)</f>
        <v>0</v>
      </c>
      <c r="AU194" s="436">
        <f>IF(Control!$B$20=8,IF($AV193=1,1*$AT194,IF($AT194=1,$AU193+1,$AU193)),0)</f>
        <v>0</v>
      </c>
      <c r="AV194" s="436">
        <f>IF(Control!$B$20=8,IF($AU194&gt;=Control!$B$174,1,0),0)</f>
        <v>0</v>
      </c>
      <c r="AW194" s="436">
        <f ca="1">IF(AND(Control!$B$18=2,Control!$B$171=1), $AV194, $AS194)</f>
        <v>0</v>
      </c>
      <c r="AX194" s="436" t="e">
        <f ca="1">IF(AND(Control!$B$18=1,$EU194&gt;=Control!$B$19),-$AY194,IF(AND(Control!$B$18=2,$AW194=1,$EU194&gt;$DS194),-$AY194, IF(Control!$C$108=0,0, IF(Control!$C$108&lt;&gt;0,1))))</f>
        <v>#N/A</v>
      </c>
      <c r="AY194" s="436" t="e">
        <f t="shared" ca="1" si="595"/>
        <v>#N/A</v>
      </c>
      <c r="AZ194" s="436" t="e">
        <f ca="1">IF(AND(Control!$B$18=1,$EB194&gt;Control!$B$19),$AZ193+1, IF(AND(Control!$B$18=2, $AW194=1, $EB194&gt;$DS194), $AZ193+1,$AZ193))</f>
        <v>#N/A</v>
      </c>
      <c r="BA194" s="587">
        <f>IF(Control!$C$81=0,1,IF($AH194&gt;=Control!$C$82,1,0))</f>
        <v>1</v>
      </c>
      <c r="BB194" s="140" t="e">
        <f ca="1">IF($BA194&gt;$BA193,Control!$C$83,IF($AW194&gt;0,$AW194*Control!$C$84,IF(AND(Control!$B$18=1,EN193&lt;&gt;0),Control!$C$84,0)))</f>
        <v>#N/A</v>
      </c>
      <c r="BC194" s="140" t="e">
        <f t="shared" ca="1" si="596"/>
        <v>#N/A</v>
      </c>
      <c r="BD194" s="140" t="e">
        <f ca="1">BC194*IF(OR($G194&lt;Control!$C$92,$G194&gt;Control!$C$95),0,IF(AND($G194&gt;=Control!$C$92,$G194&lt;=Control!$C$93),$G194-Control!$C$92,IF(AND($G194&gt;Control!$C$93,$G194&lt;=Control!$C$94),Control!$C$93-Control!$C$92,IF(AND($G194&gt;Control!$C$94,$G194&lt;=Control!$C$95),(Control!$C$93-Control!$C$92)*(Control!$C$94-$G194)/(Control!$C$95-Control!$C$94)))))</f>
        <v>#N/A</v>
      </c>
      <c r="BE194" s="140" t="e">
        <f t="shared" ca="1" si="597"/>
        <v>#N/A</v>
      </c>
      <c r="BF194" s="140" t="e">
        <f ca="1">IF($BE194&lt;=Control!$C$86,$BE194,Control!$C$86-$BE194)</f>
        <v>#N/A</v>
      </c>
      <c r="BG194" s="140" t="e">
        <f ca="1">IF(AND($AW194=1,Control!$C$84&lt;9),1,IF($BE194&gt;=Control!$C$86,0,$BC194))</f>
        <v>#N/A</v>
      </c>
      <c r="BH194" s="404" t="e">
        <f ca="1">IF($BG194=0,0,IF($BE194&lt;=Control!$C$86,$BC194*9*($BF194/Control!$C$86),0))</f>
        <v>#N/A</v>
      </c>
      <c r="BI194" s="140" t="e">
        <f ca="1">IF($BG194=1,0,IF($BE194&gt;=Control!$C$86,1,IF(AND($BB194&lt;21,$BB194&gt;=9),1,$BM193)))</f>
        <v>#N/A</v>
      </c>
      <c r="BJ194" s="140" t="e">
        <f ca="1">IF($BF194&lt;0,-$BF194,$BI194*IF(OR($G194&lt;Control!$C$92,$G194&gt;Control!$C$95),0,IF(AND($G194&gt;=Control!$C$92,$G194&lt;=Control!$C$93),$G194-Control!$C$92,IF(AND($G194&gt;Control!$C$93,$G194&lt;=Control!$C$94),Control!$C$93-Control!$C$92,IF(AND($G194&gt;Control!$C$94,$G194&lt;=Control!$C$95),(Control!$C$93-Control!$C$92)*(Control!$C$94-$G194)/(Control!$C$95-Control!$C$94))))))</f>
        <v>#N/A</v>
      </c>
      <c r="BK194" s="140" t="e">
        <f t="shared" ca="1" si="598"/>
        <v>#N/A</v>
      </c>
      <c r="BL194" s="140" t="e">
        <f ca="1">IF($BK194&lt;=Control!$C$87,$BK194,Control!$C$87-$BK194)</f>
        <v>#N/A</v>
      </c>
      <c r="BM194" s="140" t="e">
        <f ca="1">IF(AND($BB194&gt;=9,$BB194&lt;21),1,IF($BK194&gt;=Control!$C$87,0,$BI194))</f>
        <v>#N/A</v>
      </c>
      <c r="BN194" s="404" t="e">
        <f ca="1">IF($BM194=0,0,IF($BK194&lt;=Control!$C$87,$BI194*(9+(21-9)*($BL194/Control!$C$87)),0))</f>
        <v>#N/A</v>
      </c>
      <c r="BO194" s="140" t="e">
        <f ca="1">IF($BM194=1,0,IF($BK194&gt;=Control!$C$87,1,IF(AND($BB194&lt;30,$BB194&gt;=21),1,$BS193)))</f>
        <v>#N/A</v>
      </c>
      <c r="BP194" s="140" t="e">
        <f ca="1">IF($BL194&lt;0,-$BL194,$BO194*IF(OR($G194&lt;Control!$C$92,$G194&gt;Control!$C$95),0,IF(AND($G194&gt;=Control!$C$92,$G194&lt;=Control!$C$93),$G194-Control!$C$92,IF(AND($G194&gt;Control!$C$93,$G194&lt;=Control!$C$94),Control!$C$93-Control!$C$92,IF(AND($G194&gt;Control!$C$94,$G194&lt;=Control!$C$95),(Control!$C$93-Control!$C$92)*(Control!$C$94-$G194)/(Control!$C$95-Control!$C$94))))))</f>
        <v>#N/A</v>
      </c>
      <c r="BQ194" s="140" t="e">
        <f t="shared" ca="1" si="482"/>
        <v>#N/A</v>
      </c>
      <c r="BR194" s="140" t="e">
        <f ca="1">IF($BQ194&lt;=Control!$C$88,$BQ194,Control!$C$88-$BQ194)</f>
        <v>#N/A</v>
      </c>
      <c r="BS194" s="140" t="e">
        <f ca="1">IF(AND($BB194&gt;=21,$BB194&lt;30),1,IF($BQ194&gt;=Control!$C$88,0,$BO194))</f>
        <v>#N/A</v>
      </c>
      <c r="BT194" s="404" t="e">
        <f ca="1">IF($BS194=0,0,IF($BQ194&lt;=Control!$C$88,$BO194*(21+(30-21)*(BR194/Control!$C$88)),0))</f>
        <v>#N/A</v>
      </c>
      <c r="BU194" s="140" t="e">
        <f ca="1">IF(BG194+BM194+BS194=1,0,IF(OR(AND($BB194&lt;60,$BB194&gt;=30),$BQ194&gt;=Control!$C$88),1*$BA194,$BY193))</f>
        <v>#N/A</v>
      </c>
      <c r="BV194" s="140" t="e">
        <f ca="1">IF($BR194&lt;0,-$BR194,$BU194*IF(OR($G194&lt;Control!$C$92,$G194&gt;Control!$C$95),0,IF(AND($G194&gt;=Control!$C$92,$G194&lt;=Control!$C$93),$G194-Control!$C$92,IF(AND($G194&gt;Control!$C$93,$G194&lt;=Control!$C$94),Control!$C$93-Control!$C$92,IF(AND($G194&gt;Control!$C$94,$G194&lt;=Control!$C$95),(Control!$C$93-Control!$C$92)*(Control!$C$94-$G194)/(Control!$C$95-Control!$C$94))))))</f>
        <v>#N/A</v>
      </c>
      <c r="BW194" s="140" t="e">
        <f t="shared" ca="1" si="483"/>
        <v>#N/A</v>
      </c>
      <c r="BX194" s="140" t="e">
        <f ca="1">IF($BW194&lt;=Control!$C$89,$BW194,Control!$C$89-$BW194)</f>
        <v>#N/A</v>
      </c>
      <c r="BY194" s="140" t="e">
        <f ca="1">IF(AND($AJ194&gt;=30,$AJ194&lt;60),1,IF($BW194&gt;=Control!$C$89,0,$BU194))</f>
        <v>#N/A</v>
      </c>
      <c r="BZ194" s="404" t="e">
        <f ca="1">IF($BY194=0,0,IF($BW194&lt;=Control!$C$89,$BU194*(30+(60-30)*(BX194/Control!$C$89)),0))</f>
        <v>#N/A</v>
      </c>
      <c r="CA194" s="140" t="e">
        <f ca="1">IF($BG194+$BM194+$BS194+$BY194=1,0,IF(OR(AND($BB194&lt;65,$BB194&gt;=60),$BW194&gt;=Control!$C$89),1*$BA194,$CE193))</f>
        <v>#N/A</v>
      </c>
      <c r="CB194" s="140" t="e">
        <f ca="1">IF($BX194&lt;0,-$BX194,$CA194*IF(OR($G194&lt;Control!$C$92,$G194&gt;Control!$C$95),0,IF(AND($G194&gt;=Control!$C$92,$G194&lt;=Control!$C$93),$G194-Control!$C$92,IF(AND($G194&gt;Control!$C$93,$G194&lt;=Control!$C$94),Control!$C$93-Control!$C$92,IF(AND($G194&gt;Control!$C$94,$G194&lt;=Control!$C$95),(Control!$C$93-Control!$C$92)*(Control!$C$94-$G194)/(Control!$C$95-Control!$C$94))))))</f>
        <v>#N/A</v>
      </c>
      <c r="CC194" s="140" t="e">
        <f t="shared" ca="1" si="599"/>
        <v>#N/A</v>
      </c>
      <c r="CD194" s="140" t="e">
        <f ca="1">IF($CC194&lt;=Control!$C$90,$CC194,Control!$C$90-$CC194)</f>
        <v>#N/A</v>
      </c>
      <c r="CE194" s="140" t="e">
        <f ca="1">IF(AND($BB194&gt;=60,$BB194&lt;65),1,IF($CC194&gt;=Control!$C$90,0,$CA194))</f>
        <v>#N/A</v>
      </c>
      <c r="CF194" s="404" t="e">
        <f ca="1">IF($CE194=0,0,IF($CC194&lt;=Control!$C$90,$CA194*(60+(65-60)*(CD194/Control!$C$90)),0))</f>
        <v>#N/A</v>
      </c>
      <c r="CG194" s="140" t="e">
        <f ca="1">IF($BG194+$BM194+$BS194+$BY194+$CE194=1,0,IF(OR(AND($BB194&lt;90,$BB194&gt;=65),$CC194&gt;=Control!$C$90),$BA194,$CK193))</f>
        <v>#N/A</v>
      </c>
      <c r="CH194" s="140" t="e">
        <f ca="1">IF($CD194&lt;0,-$CD194,$CG194*IF(OR($G194&lt;Control!$C$92,$G194&gt;Control!$C$95),0,IF(AND($G194&gt;=Control!$C$92,$G194&lt;=Control!$C$93),$G194-Control!$C$92,IF(AND($G194&gt;Control!$C$93,$G194&lt;=Control!$C$94),Control!$C$93-Control!$C$92,IF(AND($G194&gt;Control!$C$94,$G194&lt;=Control!$C$95),(Control!$C$93-Control!$C$92)*(Control!$C$94-$G194)/(Control!$C$95-Control!$C$94))))))</f>
        <v>#N/A</v>
      </c>
      <c r="CI194" s="140" t="e">
        <f t="shared" ca="1" si="600"/>
        <v>#N/A</v>
      </c>
      <c r="CJ194" s="140" t="e">
        <f ca="1">IF($CI194&lt;=Control!$C$91,$CI194,Control!$C$91-$CI194)</f>
        <v>#N/A</v>
      </c>
      <c r="CK194" s="140" t="e">
        <f ca="1">IF(AND($BB194&gt;=65,$BB194&lt;90),1,IF($CI194&gt;=Control!$C$91,0,$CG194))</f>
        <v>#N/A</v>
      </c>
      <c r="CL194" s="404" t="e">
        <f ca="1">IF($CK194=0,0,IF($CI194&lt;=Control!$C$91,$CG194*(65+(90-65)*($CJ194/Control!$C$91)),0))</f>
        <v>#N/A</v>
      </c>
      <c r="CM194" s="140" t="e">
        <f ca="1">IF($BG194+$BM194+$BS194+$BY194+$CE194+$CK194=1,0,IF(OR($BB194&gt;=90,$CI194&gt;=Control!$C$91),$BA194,$CM193))</f>
        <v>#N/A</v>
      </c>
      <c r="CN194" s="140" t="e">
        <f t="shared" ca="1" si="601"/>
        <v>#N/A</v>
      </c>
      <c r="CO194" s="140" t="e">
        <f t="shared" ca="1" si="602"/>
        <v>#N/A</v>
      </c>
      <c r="CP194" s="140" t="e">
        <f t="shared" ca="1" si="603"/>
        <v>#N/A</v>
      </c>
      <c r="CQ194" s="141" t="e">
        <f ca="1">VLOOKUP($CP194,Control!$B$86:$G$91,6)</f>
        <v>#N/A</v>
      </c>
      <c r="CR194" s="141" t="e">
        <f ca="1">(1-$CQ194)*VLOOKUP($CP194,Control!$B$86:$D$91,3)</f>
        <v>#N/A</v>
      </c>
      <c r="CS194" s="141" t="e">
        <f ca="1">(1-$CQ194)*VLOOKUP($CP194,Control!$B$86:$E$91,4)</f>
        <v>#N/A</v>
      </c>
      <c r="CT194" s="141" t="e">
        <f ca="1">(1-$CQ194)*VLOOKUP($CP194,Control!$B$86:$F$91,5)</f>
        <v>#N/A</v>
      </c>
      <c r="CU194" s="141">
        <f t="shared" ca="1" si="604"/>
        <v>0</v>
      </c>
      <c r="CV194" s="583">
        <f t="shared" ca="1" si="605"/>
        <v>0</v>
      </c>
      <c r="CW194" s="142">
        <f t="shared" ca="1" si="606"/>
        <v>190</v>
      </c>
      <c r="CX194" s="612" t="e">
        <f ca="1">IF(Control!$C$114=1,(MIN(Control!$C$120*(IF($NT194-0.01&lt;0,0,1)),Control!$C$119-$CY194)))</f>
        <v>#DIV/0!</v>
      </c>
      <c r="CY194" s="143" t="e">
        <f t="shared" ca="1" si="607"/>
        <v>#N/A</v>
      </c>
      <c r="CZ194" s="144">
        <f t="shared" ca="1" si="484"/>
        <v>0</v>
      </c>
      <c r="DA194" s="144">
        <f t="shared" ca="1" si="485"/>
        <v>0</v>
      </c>
      <c r="DB194" s="144" t="e">
        <f t="shared" ca="1" si="486"/>
        <v>#N/A</v>
      </c>
      <c r="DC194" s="144" t="e">
        <f t="shared" ca="1" si="487"/>
        <v>#N/A</v>
      </c>
      <c r="DD194" s="144" t="e">
        <f t="shared" ca="1" si="692"/>
        <v>#N/A</v>
      </c>
      <c r="DE194" s="143" t="e">
        <f t="shared" ca="1" si="608"/>
        <v>#N/A</v>
      </c>
      <c r="DF194" s="145" t="e">
        <f ca="1">$DR194*EXP(-Control!$C$158*(1-$KH194))</f>
        <v>#N/A</v>
      </c>
      <c r="DG194" s="146" t="e">
        <f ca="1">IF(Control!$C$114=1, $DF194*$EY194, 0)</f>
        <v>#N/A</v>
      </c>
      <c r="DH194" s="147" t="e">
        <f t="shared" ca="1" si="609"/>
        <v>#N/A</v>
      </c>
      <c r="DI194" s="144" t="e">
        <f t="shared" ca="1" si="670"/>
        <v>#N/A</v>
      </c>
      <c r="DJ194" s="147" t="e">
        <f ca="1">$EF194*Control!$C$109</f>
        <v>#N/A</v>
      </c>
      <c r="DK194" s="144" t="e">
        <f t="shared" ca="1" si="610"/>
        <v>#N/A</v>
      </c>
      <c r="DL194" s="144" t="e">
        <f t="shared" ca="1" si="488"/>
        <v>#N/A</v>
      </c>
      <c r="DM194" s="144" t="e">
        <f ca="1">IF(Control!$C$114=1, (1-EXP(-Control!$C$96*$DK194))*$AR194, 0)</f>
        <v>#N/A</v>
      </c>
      <c r="DN194" s="144">
        <f t="shared" ca="1" si="611"/>
        <v>0</v>
      </c>
      <c r="DO194" s="148">
        <f>Control!$C$97</f>
        <v>4</v>
      </c>
      <c r="DP194" s="145" t="e">
        <f t="shared" ca="1" si="612"/>
        <v>#N/A</v>
      </c>
      <c r="DQ194" s="145" t="e">
        <f ca="1">IF(AND($CP194&gt;=0,$CP194&lt;=90),Control!$C$111,Control!$C$111)</f>
        <v>#N/A</v>
      </c>
      <c r="DR194" s="145" t="e">
        <f t="shared" ca="1" si="489"/>
        <v>#N/A</v>
      </c>
      <c r="DS194" s="143" t="e">
        <f ca="1">Control!$B$22/$DR194</f>
        <v>#N/A</v>
      </c>
      <c r="DT194" s="149" t="e">
        <f ca="1">IF(AND(Control!$C$114=1,$KH194&lt;1),$IM194*$DF194, 0)</f>
        <v>#N/A</v>
      </c>
      <c r="DU194" s="144" t="e">
        <f t="shared" ca="1" si="613"/>
        <v>#N/A</v>
      </c>
      <c r="DV194" s="144">
        <f ca="1">IF($G194-Control!$C$107&lt;=0, 0, 0.83*LN(MAX($G194, 3))-0.8924)</f>
        <v>0</v>
      </c>
      <c r="DW194" s="144" t="e">
        <f t="shared" ca="1" si="490"/>
        <v>#N/A</v>
      </c>
      <c r="DX194" s="150" t="e">
        <f ca="1">MAX(0.01*(1+$CU194/Control!$C$102),0.05*($DK194-Control!$C$97)/Control!$C$97)</f>
        <v>#N/A</v>
      </c>
      <c r="DY194" s="151" t="e">
        <f ca="1">IF(Control!$C$114=1, $DI194*$FS194, 0)</f>
        <v>#N/A</v>
      </c>
      <c r="DZ194" s="196" t="e">
        <f t="shared" ca="1" si="614"/>
        <v>#N/A</v>
      </c>
      <c r="EA194" s="152">
        <f t="shared" ca="1" si="615"/>
        <v>190</v>
      </c>
      <c r="EB194" s="153" t="e">
        <f t="shared" ca="1" si="616"/>
        <v>#N/A</v>
      </c>
      <c r="EC194" s="153" t="e">
        <f t="shared" ca="1" si="617"/>
        <v>#N/A</v>
      </c>
      <c r="ED194" s="154" t="e">
        <f ca="1">IF(Control!$C$114=1, $HM194*$FY194-$FD194, 0)</f>
        <v>#DIV/0!</v>
      </c>
      <c r="EE194" s="155" t="e">
        <f ca="1">IF(Control!$C$114=1, $HM194*$FZ194-$FF194, 0)</f>
        <v>#DIV/0!</v>
      </c>
      <c r="EF194" s="153" t="e">
        <f t="shared" ca="1" si="671"/>
        <v>#N/A</v>
      </c>
      <c r="EG194" s="155" t="e">
        <f ca="1">IF(Control!$C$114=1, $GX194*$FW194-$FI194, 0)</f>
        <v>#DIV/0!</v>
      </c>
      <c r="EH194" s="153" t="e">
        <f t="shared" ca="1" si="618"/>
        <v>#N/A</v>
      </c>
      <c r="EI194" s="156" t="e">
        <f t="shared" ca="1" si="619"/>
        <v>#N/A</v>
      </c>
      <c r="EJ194" s="155" t="e">
        <f ca="1">IF(Control!$C$114=1, $HM194*$GB194, 0)</f>
        <v>#DIV/0!</v>
      </c>
      <c r="EK194" s="153" t="e">
        <f t="shared" ca="1" si="672"/>
        <v>#N/A</v>
      </c>
      <c r="EL194" s="153" t="e">
        <f t="shared" ca="1" si="491"/>
        <v>#N/A</v>
      </c>
      <c r="EM194" s="153" t="e">
        <f t="shared" ca="1" si="492"/>
        <v>#N/A</v>
      </c>
      <c r="EN194" s="153" t="e">
        <f ca="1">IF(Control!$C$108=1,IF(AND(Control!$B$18=1,$EB194&gt;=Control!$B$19),$EB194-$DS194,IF(AND(Control!$B$18=2,$AW194=1,$EB194&gt;$DS194),$EB194-$DS194,0)))</f>
        <v>#N/A</v>
      </c>
      <c r="EO194" s="153" t="e">
        <f ca="1">IF(Control!$C$108=1,IF(AND(Control!$B$18=1,$EB194&gt;=Control!$B$19),$EF194,IF(AND(Control!$B$18=2,$AW194=1),$EF194,0)))</f>
        <v>#N/A</v>
      </c>
      <c r="EP194" s="153" t="e">
        <f ca="1">IF(Control!$C$108=1,IF(AND(Control!$B$18=1,$EB194&gt;=Control!$B$19),$EK194,IF(AND(Control!$B$18=2,$AW194=1),$EK194,0)))</f>
        <v>#N/A</v>
      </c>
      <c r="EQ194" s="153" t="e">
        <f t="shared" ca="1" si="620"/>
        <v>#N/A</v>
      </c>
      <c r="ER194" s="153" t="e">
        <f t="shared" ca="1" si="621"/>
        <v>#N/A</v>
      </c>
      <c r="ES194" s="153" t="e">
        <f t="shared" ca="1" si="673"/>
        <v>#N/A</v>
      </c>
      <c r="ET194" s="153" t="e">
        <f t="shared" ca="1" si="674"/>
        <v>#N/A</v>
      </c>
      <c r="EU194" s="153" t="e">
        <f t="shared" ca="1" si="622"/>
        <v>#N/A</v>
      </c>
      <c r="EV194" s="153" t="e">
        <f t="shared" ca="1" si="493"/>
        <v>#N/A</v>
      </c>
      <c r="EW194" s="153" t="e">
        <f t="shared" ca="1" si="494"/>
        <v>#N/A</v>
      </c>
      <c r="EX194" s="153" t="e">
        <f t="shared" ca="1" si="495"/>
        <v>#N/A</v>
      </c>
      <c r="EY194" s="157" t="e">
        <f t="shared" ca="1" si="496"/>
        <v>#DIV/0!</v>
      </c>
      <c r="EZ194" s="154" t="e">
        <f t="shared" ca="1" si="497"/>
        <v>#DIV/0!</v>
      </c>
      <c r="FA194" s="153" t="e">
        <f t="shared" ca="1" si="623"/>
        <v>#N/A</v>
      </c>
      <c r="FB194" s="153" t="e">
        <f t="shared" ca="1" si="498"/>
        <v>#N/A</v>
      </c>
      <c r="FC194" s="193" t="e">
        <f t="shared" ca="1" si="499"/>
        <v>#N/A</v>
      </c>
      <c r="FD194" s="158" t="e">
        <f t="shared" ca="1" si="624"/>
        <v>#N/A</v>
      </c>
      <c r="FE194" s="158" t="e">
        <f t="shared" ca="1" si="625"/>
        <v>#N/A</v>
      </c>
      <c r="FF194" s="159" t="e">
        <f t="shared" ca="1" si="500"/>
        <v>#N/A</v>
      </c>
      <c r="FG194" s="160" t="e">
        <f t="shared" ca="1" si="626"/>
        <v>#N/A</v>
      </c>
      <c r="FH194" s="158" t="e">
        <f t="shared" ca="1" si="627"/>
        <v>#N/A</v>
      </c>
      <c r="FI194" s="159" t="e">
        <f t="shared" ca="1" si="501"/>
        <v>#N/A</v>
      </c>
      <c r="FJ194" s="160" t="e">
        <f t="shared" ca="1" si="628"/>
        <v>#N/A</v>
      </c>
      <c r="FK194" s="160" t="e">
        <f t="shared" ca="1" si="502"/>
        <v>#N/A</v>
      </c>
      <c r="FL194" s="160" t="e">
        <f t="shared" ca="1" si="675"/>
        <v>#N/A</v>
      </c>
      <c r="FM194" s="160" t="e">
        <f t="shared" ca="1" si="503"/>
        <v>#N/A</v>
      </c>
      <c r="FN194" s="158">
        <f t="shared" ca="1" si="629"/>
        <v>0.01</v>
      </c>
      <c r="FO194" s="160">
        <f>Control!$C$101</f>
        <v>50</v>
      </c>
      <c r="FP194" s="150" t="e">
        <f t="shared" ca="1" si="504"/>
        <v>#N/A</v>
      </c>
      <c r="FQ194" s="150" t="e">
        <f ca="1">MAX(0,(Control!$C$112*(($DK194-Control!$C$97)/Control!$C$97)))</f>
        <v>#N/A</v>
      </c>
      <c r="FR194" s="150" t="e">
        <f ca="1">(1-$NT194)*Control!$C$113</f>
        <v>#DIV/0!</v>
      </c>
      <c r="FS194" s="198" t="e">
        <f t="shared" ca="1" si="505"/>
        <v>#N/A</v>
      </c>
      <c r="FT194" s="161">
        <f t="shared" ca="1" si="630"/>
        <v>190</v>
      </c>
      <c r="FU194" s="162" t="e">
        <f ca="1">IF(Control!$B$34=1,VLOOKUP($CP194,Control!$B$86:$G$91,6),Control!$B$35)</f>
        <v>#N/A</v>
      </c>
      <c r="FV194" s="162" t="e">
        <f t="shared" ca="1" si="506"/>
        <v>#DIV/0!</v>
      </c>
      <c r="FW194" s="162" t="e">
        <f ca="1">IF(Control!$B$31=1,$FU194*$FV194,  $FU194)</f>
        <v>#N/A</v>
      </c>
      <c r="FX194" s="162" t="e">
        <f ca="1">IF(Control!$B$34=1,VLOOKUP($CP194,Control!$B$86:$G$91,3),Control!$B$36)</f>
        <v>#N/A</v>
      </c>
      <c r="FY194" s="162" t="e">
        <f t="shared" ca="1" si="507"/>
        <v>#N/A</v>
      </c>
      <c r="FZ194" s="162" t="e">
        <f ca="1">IF(Control!$B$34=1,VLOOKUP($CP194,Control!$B$86:$G$91,4),Control!$B$37)</f>
        <v>#N/A</v>
      </c>
      <c r="GA194" s="162" t="e">
        <f t="shared" ca="1" si="508"/>
        <v>#N/A</v>
      </c>
      <c r="GB194" s="162" t="e">
        <f ca="1">IF(Control!$B$34=1,VLOOKUP($CP194,Control!$B$86:$G$91,5),Control!$B$38)</f>
        <v>#N/A</v>
      </c>
      <c r="GC194" s="162" t="e">
        <f t="shared" ca="1" si="631"/>
        <v>#N/A</v>
      </c>
      <c r="GD194" s="162">
        <f t="shared" ca="1" si="509"/>
        <v>1</v>
      </c>
      <c r="GE194" s="162">
        <f t="shared" ca="1" si="510"/>
        <v>1</v>
      </c>
      <c r="GF194" s="162">
        <f ca="1">IF(AND(Control!$C$104=1, Control!$C$62="F"),$GE194,1)</f>
        <v>1</v>
      </c>
      <c r="GG194" s="162" t="e">
        <f ca="1">IF(Control!$B$16=40,0,IF(AND(Control!$B$16&gt;40,Control!$B$16&lt;=360),(Control!$B$16-40)*((1-0)/(360-40)),IF(AND(Control!$B$16&gt;360,Control!$B$16&lt;=720),(1+(Control!$B$16-360)*((1.25-1)/(720-360))),IF(AND(Control!$B$16&gt;720,Control!$B$16&lt;=1000),(1.25+(Control!$B$16-720)*((1.35-1.25)/(1000-720))),IF(AND(Control!$B$16&gt;1000,Control!$B$16&lt;=2000),(1.35+(Control!$B$16-1000)*0))))))</f>
        <v>#N/A</v>
      </c>
      <c r="GH194" s="162" t="e">
        <f t="shared" ca="1" si="511"/>
        <v>#N/A</v>
      </c>
      <c r="GI194" s="162">
        <f t="shared" ca="1" si="632"/>
        <v>0</v>
      </c>
      <c r="GJ194" s="162">
        <f t="shared" ca="1" si="512"/>
        <v>0</v>
      </c>
      <c r="GK194" s="162">
        <f t="shared" ca="1" si="633"/>
        <v>1</v>
      </c>
      <c r="GL194" s="162">
        <f t="shared" ca="1" si="513"/>
        <v>1</v>
      </c>
      <c r="GM194" s="162" t="e">
        <f ca="1">MAX(0,MIN(1,1-Control!$C$156*(1.0001-$KH194)^2))</f>
        <v>#N/A</v>
      </c>
      <c r="GN194" s="162" t="e">
        <f ca="1">IF(Control!$B$26=1,$KU194,$KX194)</f>
        <v>#N/A</v>
      </c>
      <c r="GO194" s="162" t="e">
        <f ca="1">IF($CP194&lt;=60,Control!$C$105,IF($CP194&gt;=90,Control!$C$106,Control!$C$105+($CP194-60)*((Control!$C$106-Control!$C$105)/(90-60))))</f>
        <v>#N/A</v>
      </c>
      <c r="GP194" s="162" t="e">
        <f t="shared" ca="1" si="514"/>
        <v>#N/A</v>
      </c>
      <c r="GQ194" s="162" t="e">
        <f t="shared" ca="1" si="634"/>
        <v>#N/A</v>
      </c>
      <c r="GR194" s="163" t="e">
        <f t="shared" ca="1" si="515"/>
        <v>#DIV/0!</v>
      </c>
      <c r="GS194" s="162" t="e">
        <f t="shared" ca="1" si="516"/>
        <v>#DIV/0!</v>
      </c>
      <c r="GT194" s="164" t="e">
        <f t="shared" ca="1" si="635"/>
        <v>#N/A</v>
      </c>
      <c r="GU194" s="162" t="e">
        <f t="shared" ca="1" si="636"/>
        <v>#N/A</v>
      </c>
      <c r="GV194" s="162" t="e">
        <f t="shared" ca="1" si="517"/>
        <v>#N/A</v>
      </c>
      <c r="GW194" s="162" t="e">
        <f t="shared" ca="1" si="518"/>
        <v>#DIV/0!</v>
      </c>
      <c r="GX194" s="162" t="e">
        <f t="shared" ca="1" si="637"/>
        <v>#DIV/0!</v>
      </c>
      <c r="GY194" s="162" t="e">
        <f t="shared" ca="1" si="638"/>
        <v>#DIV/0!</v>
      </c>
      <c r="GZ194" s="165" t="e">
        <f t="shared" ca="1" si="519"/>
        <v>#N/A</v>
      </c>
      <c r="HA194" s="162" t="e">
        <f ca="1">IF(Control!$C$114=1, $DI194*$FS194, 0)</f>
        <v>#N/A</v>
      </c>
      <c r="HB194" s="162" t="e">
        <f ca="1">$FA194/Control!$C$64</f>
        <v>#N/A</v>
      </c>
      <c r="HC194" s="162" t="e">
        <f t="shared" ca="1" si="520"/>
        <v>#DIV/0!</v>
      </c>
      <c r="HD194" s="162">
        <f ca="1">-ASIN(SIN(23.45*Control!$C$139)*COS(2*Control!$C$138*($AH194+10)/365))</f>
        <v>0.38982613589726994</v>
      </c>
      <c r="HE194" s="165">
        <f t="shared" ca="1" si="639"/>
        <v>0</v>
      </c>
      <c r="HF194" s="166">
        <f ca="1">IF(AND(Control!$C$61="T",$HE194&gt;=Control!$C$103,Control!$C$114=0),$AH194,Control!$C$59)</f>
        <v>1</v>
      </c>
      <c r="HG194" s="166">
        <f ca="1">IF(AND(Control!$C$61="T",$HE194&gt;=Control!$C$103,Control!$C$114=0),$HF194,Control!$C$59)</f>
        <v>1</v>
      </c>
      <c r="HH194" s="165">
        <f ca="1">IF(AND(OR(Control!$C$60&lt;=0, $AH194= Control!$C$59, Control!$C$60 &gt;0, $AH194 = Control!$C$60)), Control!$C$59, IF(Control!$C$60&gt;0, 0))</f>
        <v>1</v>
      </c>
      <c r="HI194" s="165">
        <f ca="1">IF(AND(OR(Control!$C$60&lt;=0, $AH194= Control!$C$59, Control!$C$60 &gt;0, $AH194 = Control!$C$60)), Control!$C$60, IF(Control!$C$60&lt;=0, 0))</f>
        <v>0</v>
      </c>
      <c r="HJ194" s="166">
        <f ca="1">IF(AND(Control!$C$62="F",$CV194&gt;=Control!$C$102),$AH194,0)</f>
        <v>0</v>
      </c>
      <c r="HK194" s="165" t="e">
        <f t="shared" ca="1" si="676"/>
        <v>#N/A</v>
      </c>
      <c r="HL194" s="166">
        <f ca="1">IF(AND(Control!$C$61="T",$HE194&gt;=Control!$C$103,Control!$C$114=0),$HF194,0)</f>
        <v>0</v>
      </c>
      <c r="HM194" s="201" t="e">
        <f t="shared" ca="1" si="521"/>
        <v>#DIV/0!</v>
      </c>
      <c r="HN194" s="215">
        <f t="shared" ca="1" si="640"/>
        <v>190</v>
      </c>
      <c r="HO194" s="216" t="e">
        <f ca="1">IF(AND($CP194&gt;=0, $CP194&lt;=90), Control!$C$152, Control!$C$152)</f>
        <v>#N/A</v>
      </c>
      <c r="HP194" s="216" t="e">
        <f t="shared" ca="1" si="522"/>
        <v>#N/A</v>
      </c>
      <c r="HQ194" s="217" t="e">
        <f ca="1">IF(OR(Control!$B$26=1,Control!$B$26=2),$KV194,$KS194)</f>
        <v>#DIV/0!</v>
      </c>
      <c r="HR194" s="218" t="e">
        <f t="shared" ca="1" si="677"/>
        <v>#DIV/0!</v>
      </c>
      <c r="HS194" s="216" t="e">
        <f ca="1">Control!$C$154*$HP194</f>
        <v>#N/A</v>
      </c>
      <c r="HT194" s="216" t="e">
        <f ca="1">Control!$C$155*$HP194</f>
        <v>#N/A</v>
      </c>
      <c r="HU194" s="217" t="e">
        <f ca="1">Control!$C$161*$FI194</f>
        <v>#N/A</v>
      </c>
      <c r="HV194" s="218" t="e">
        <f t="shared" ca="1" si="641"/>
        <v>#N/A</v>
      </c>
      <c r="HW194" s="218" t="e">
        <f ca="1">Control!$C$160*$FF194+$IP194*$EO194</f>
        <v>#N/A</v>
      </c>
      <c r="HX194" s="218" t="e">
        <f t="shared" ca="1" si="678"/>
        <v>#N/A</v>
      </c>
      <c r="HY194" s="219" t="e">
        <f ca="1">IF(Control!$C$114=1, $EB194*$FS194, 0)</f>
        <v>#N/A</v>
      </c>
      <c r="HZ194" s="91" t="e">
        <f t="shared" ca="1" si="523"/>
        <v>#N/A</v>
      </c>
      <c r="IA194" s="220" t="e">
        <f ca="1">Control!$C$153*$HO194</f>
        <v>#N/A</v>
      </c>
      <c r="IB194" s="218" t="e">
        <f t="shared" ca="1" si="524"/>
        <v>#N/A</v>
      </c>
      <c r="IC194" s="220" t="e">
        <f ca="1">Control!$C$153*$HT194</f>
        <v>#N/A</v>
      </c>
      <c r="ID194" s="218" t="e">
        <f t="shared" ca="1" si="525"/>
        <v>#N/A</v>
      </c>
      <c r="IE194" s="221" t="e">
        <f ca="1">($EB194*Control!$C$159+$EF194*Control!$C$160)/(IF($GZ194&lt;&gt;0,$GZ194,1))</f>
        <v>#N/A</v>
      </c>
      <c r="IF194" s="216" t="e">
        <f t="shared" ca="1" si="526"/>
        <v>#N/A</v>
      </c>
      <c r="IG194" s="91">
        <f ca="1">IF(OR(Control!$B$198=$AH194,Control!$B$199=$AH194, Control!$B$200=$AH194, Control!$B$201=$AH194, Control!$B$202=$AH194, Control!$B$203=$AH194, Control!$B$204=$AH194, Control!$B$205=$AH194, Control!$B$206=$AH194, Control!$B$207=$AH194), 1, 0)</f>
        <v>0</v>
      </c>
      <c r="IH194" s="91">
        <f ca="1">IF($IG194=0,0, VLOOKUP($AH194,Control!$B$198:$C$207,2))</f>
        <v>0</v>
      </c>
      <c r="II194" s="222">
        <f t="shared" ca="1" si="642"/>
        <v>0</v>
      </c>
      <c r="IJ194" s="91">
        <f>Control!$C$121</f>
        <v>0.7</v>
      </c>
      <c r="IK194" s="218">
        <f t="shared" ca="1" si="527"/>
        <v>0</v>
      </c>
      <c r="IL194" s="217" t="e">
        <f t="shared" ca="1" si="679"/>
        <v>#N/A</v>
      </c>
      <c r="IM194" s="223" t="e">
        <f ca="1">IF(AND(Control!$C$114=1,$KH194&lt;1),$EB194*Control!$C$148*(1-$KH194), 0)</f>
        <v>#N/A</v>
      </c>
      <c r="IN194" s="217" t="e">
        <f t="shared" ca="1" si="528"/>
        <v>#DIV/0!</v>
      </c>
      <c r="IO194" s="91" t="e">
        <f ca="1">MAX(0,$IL194-$EF194*Control!$C$160)</f>
        <v>#N/A</v>
      </c>
      <c r="IP194" s="220" t="e">
        <f t="shared" ca="1" si="529"/>
        <v>#N/A</v>
      </c>
      <c r="IQ194" s="217" t="e">
        <f t="shared" ca="1" si="643"/>
        <v>#N/A</v>
      </c>
      <c r="IR194" s="218" t="e">
        <f t="shared" ca="1" si="530"/>
        <v>#N/A</v>
      </c>
      <c r="IS194" s="217" t="e">
        <f ca="1">Control!$C$159*MAX(0,$FD194-$EN194)</f>
        <v>#N/A</v>
      </c>
      <c r="IT194" s="217" t="e">
        <f t="shared" ca="1" si="680"/>
        <v>#N/A</v>
      </c>
      <c r="IU194" s="217" t="e">
        <f t="shared" ca="1" si="644"/>
        <v>#N/A</v>
      </c>
      <c r="IV194" s="217" t="e">
        <f t="shared" ca="1" si="681"/>
        <v>#N/A</v>
      </c>
      <c r="IW194" s="217" t="e">
        <f ca="1">IF(OR($AW194=1,AND($AW194=0, Control!$B$18=1,$EN194&lt;&gt;0)), $IQ194-$IU194, $IQ194)</f>
        <v>#N/A</v>
      </c>
      <c r="IX194" s="218" t="e">
        <f t="shared" ca="1" si="531"/>
        <v>#N/A</v>
      </c>
      <c r="IY194" s="218" t="e">
        <f ca="1">MAX(0,$IQ194-$EB194*Control!$C$159)</f>
        <v>#N/A</v>
      </c>
      <c r="IZ194" s="218" t="e">
        <f t="shared" ca="1" si="532"/>
        <v>#N/A</v>
      </c>
      <c r="JA194" s="216" t="e">
        <f t="shared" ca="1" si="533"/>
        <v>#N/A</v>
      </c>
      <c r="JB194" s="217" t="e">
        <f t="shared" ca="1" si="534"/>
        <v>#N/A</v>
      </c>
      <c r="JC194" s="222" t="e">
        <f ca="1">MAX(Control!$C$157*$EK194-$JT194, 0)/Control!$C$162</f>
        <v>#N/A</v>
      </c>
      <c r="JD194" s="218" t="e">
        <f t="shared" ca="1" si="535"/>
        <v>#N/A</v>
      </c>
      <c r="JE194" s="218" t="e">
        <f t="shared" ca="1" si="536"/>
        <v>#N/A</v>
      </c>
      <c r="JF194" s="218" t="e">
        <f t="shared" ca="1" si="645"/>
        <v>#N/A</v>
      </c>
      <c r="JG194" s="218" t="e">
        <f t="shared" ca="1" si="537"/>
        <v>#N/A</v>
      </c>
      <c r="JH194" s="217" t="e">
        <f t="shared" ca="1" si="646"/>
        <v>#N/A</v>
      </c>
      <c r="JI194" s="217" t="e">
        <f t="shared" ca="1" si="647"/>
        <v>#N/A</v>
      </c>
      <c r="JJ194" s="217" t="e">
        <f t="shared" ca="1" si="682"/>
        <v>#N/A</v>
      </c>
      <c r="JK194" s="217" t="e">
        <f ca="1">IF(Control!$C$114=1,IF(Control!$B$24=0,MAX(0,$JI194)*$GN194/Control!$C$64,(MAX(0,MIN($JI194,$JJ194*$GN194/Control!$C$64),0))))</f>
        <v>#N/A</v>
      </c>
      <c r="JL194" s="217" t="e">
        <f ca="1">$IK194/Control!$C$64-$JK194+$HQ194</f>
        <v>#N/A</v>
      </c>
      <c r="JM194" s="217" t="e">
        <f ca="1">IF(Control!$C$114=1,($JB194/(IF($JI194&lt;&gt;0,$JI194,1)))*$JK194,0)</f>
        <v>#N/A</v>
      </c>
      <c r="JN194" s="217" t="e">
        <f ca="1">IF(Control!$C$114=1,($JG194/(IF($JI194&lt;&gt;0,$JI194,1)))*$JK194, 0)</f>
        <v>#N/A</v>
      </c>
      <c r="JO194" s="218" t="e">
        <f t="shared" ca="1" si="538"/>
        <v>#N/A</v>
      </c>
      <c r="JP194" s="218" t="e">
        <f ca="1">MIN(($IY194+$IO194)*Control!$C$151, $JF194-$EH194*Control!$C$161)</f>
        <v>#N/A</v>
      </c>
      <c r="JQ194" s="218" t="e">
        <f t="shared" ca="1" si="539"/>
        <v>#N/A</v>
      </c>
      <c r="JR194" s="217" t="e">
        <f ca="1">IF($CP194-Control!$C$150&lt;0, 0, $JQ194/Control!$C$162)</f>
        <v>#N/A</v>
      </c>
      <c r="JS194" s="218" t="e">
        <f t="shared" ca="1" si="540"/>
        <v>#N/A</v>
      </c>
      <c r="JT194" s="218" t="e">
        <f t="shared" ca="1" si="648"/>
        <v>#N/A</v>
      </c>
      <c r="JU194" s="218" t="e">
        <f t="shared" ca="1" si="541"/>
        <v>#N/A</v>
      </c>
      <c r="JV194" s="218" t="e">
        <f t="shared" ca="1" si="542"/>
        <v>#N/A</v>
      </c>
      <c r="JW194" s="216" t="e">
        <f t="shared" ca="1" si="543"/>
        <v>#N/A</v>
      </c>
      <c r="JX194" s="91" t="e">
        <f t="shared" ca="1" si="544"/>
        <v>#N/A</v>
      </c>
      <c r="JY194" s="218" t="e">
        <f t="shared" ca="1" si="545"/>
        <v>#N/A</v>
      </c>
      <c r="JZ194" s="217" t="e">
        <f ca="1">IF(Control!$C$114=1,($IZ194/(IF($JI194&lt;&gt;0,$JI194,1)))*$JK194, 0)</f>
        <v>#N/A</v>
      </c>
      <c r="KA194" s="218" t="e">
        <f t="shared" ca="1" si="683"/>
        <v>#N/A</v>
      </c>
      <c r="KB194" s="218" t="e">
        <f t="shared" ca="1" si="649"/>
        <v>#N/A</v>
      </c>
      <c r="KC194" s="218" t="e">
        <f t="shared" ca="1" si="546"/>
        <v>#N/A</v>
      </c>
      <c r="KD194" s="218" t="e">
        <f t="shared" ca="1" si="547"/>
        <v>#N/A</v>
      </c>
      <c r="KE194" s="218" t="e">
        <f t="shared" ca="1" si="548"/>
        <v>#N/A</v>
      </c>
      <c r="KF194" s="218" t="e">
        <f t="shared" ca="1" si="549"/>
        <v>#N/A</v>
      </c>
      <c r="KG194" s="216" t="e">
        <f t="shared" ca="1" si="550"/>
        <v>#N/A</v>
      </c>
      <c r="KH194" s="221" t="e">
        <f ca="1">IF(Control!$B$24=0,1,MAX(0.001,MIN(1,IF(($IF194-$IE194)&lt;&gt;0,($KG194-$IE194)/($IF194-$IE194),1))))</f>
        <v>#N/A</v>
      </c>
      <c r="KI194" s="222" t="e">
        <f ca="1">IF(Control!$C$114=1, $KI193+ $KH193, 0)</f>
        <v>#N/A</v>
      </c>
      <c r="KJ194" s="217" t="e">
        <f t="shared" ca="1" si="551"/>
        <v>#N/A</v>
      </c>
      <c r="KK194" s="218" t="e">
        <f t="shared" ca="1" si="552"/>
        <v>#N/A</v>
      </c>
      <c r="KL194" s="274" t="e">
        <f ca="1">IF(Control!$B$26=3,4000000000*EXP(-8400/($G194+273)),IF(Control!$B$26=4,4000000000*EXP(-8400/($G194+273))*($KT194),0))</f>
        <v>#DIV/0!</v>
      </c>
      <c r="KM194" s="274" t="e">
        <f ca="1">IF(Control!$B$26=3,5600000000000*EXP(-9800/($G194+273)),IF(Control!$B$26=4,5600000000000*EXP(-9800/($G194+273))*$KT194,0))</f>
        <v>#DIV/0!</v>
      </c>
      <c r="KN194" s="454" t="e">
        <f t="shared" ca="1" si="650"/>
        <v>#DIV/0!</v>
      </c>
      <c r="KO194" s="274" t="e">
        <f t="shared" ca="1" si="651"/>
        <v>#DIV/0!</v>
      </c>
      <c r="KP194" s="454" t="e">
        <f t="shared" ca="1" si="553"/>
        <v>#DIV/0!</v>
      </c>
      <c r="KQ194" s="454" t="e">
        <f t="shared" ca="1" si="554"/>
        <v>#DIV/0!</v>
      </c>
      <c r="KR194" s="454" t="e">
        <f t="shared" ca="1" si="555"/>
        <v>#DIV/0!</v>
      </c>
      <c r="KS194" s="454" t="e">
        <f t="shared" ca="1" si="556"/>
        <v>#DIV/0!</v>
      </c>
      <c r="KT194" s="455" t="e">
        <f t="shared" ca="1" si="557"/>
        <v>#DIV/0!</v>
      </c>
      <c r="KU194" s="456" t="e">
        <f ca="1">IF($CP194-Control!$C$149&lt;0, IF($NT194-0.01&lt;0,0,1),0)</f>
        <v>#N/A</v>
      </c>
      <c r="KV194" s="456" t="e">
        <f ca="1">IF(Control!$C$114=1,MAX(0,MIN(Control!$C$125*$KW194*$GN194,$KW194)))</f>
        <v>#DIV/0!</v>
      </c>
      <c r="KW194" s="456" t="e">
        <f t="shared" ca="1" si="684"/>
        <v>#DIV/0!</v>
      </c>
      <c r="KX194" s="457" t="e">
        <f ca="1">IF($CP194-Control!$C$149&lt;0, IF($MR194-$OM194&lt;0,0,1),0)</f>
        <v>#N/A</v>
      </c>
      <c r="KY194" s="167">
        <f t="shared" ca="1" si="652"/>
        <v>190</v>
      </c>
      <c r="KZ194" s="168">
        <f ca="1">1370*(1+0.033*COS(2*Control!$C$138*$AH194/365))</f>
        <v>1325.1663128872649</v>
      </c>
      <c r="LA194" s="169">
        <f t="shared" ca="1" si="653"/>
        <v>0.96727464844332345</v>
      </c>
      <c r="LB194" s="169">
        <f t="shared" ca="1" si="654"/>
        <v>0.38951654653294338</v>
      </c>
      <c r="LC194" s="169">
        <f ca="1">ACOS(-TAN((2*Control!$B$8/360))*TAN(Calculations!$LB194))</f>
        <v>1.6930998845890224</v>
      </c>
      <c r="LD194" s="169">
        <f ca="1">((24*60)/PI())*0.082*$LA194*(($LC194*SIN(Control!$B$8*2*PI()/360))*SIN($LB194)+COS(Control!$B$8*2*PI()/360)*COS($LB194)*SIN($LC194))</f>
        <v>38.971216210299865</v>
      </c>
      <c r="LE194" s="170">
        <f t="shared" ca="1" si="558"/>
        <v>40.562780270434189</v>
      </c>
      <c r="LF194" s="170">
        <f ca="1">SIN(Control!$C$139*Control!$B$8)*SIN($HD194)</f>
        <v>0.29946633272122281</v>
      </c>
      <c r="LG194" s="170">
        <f ca="1">COS(Control!$C$139*Control!$B$8)*COS($HD194)</f>
        <v>0.56947001671606323</v>
      </c>
      <c r="LH194" s="170">
        <f ca="1">12*(1+2*ASIN(MAX(-1,MIN(1,$LF194/$LG194))/Control!$C$138))</f>
        <v>16.036330695456172</v>
      </c>
      <c r="LI194" s="170">
        <f ca="1">12*(1+2*ASIN(MAX(-1,MIN(1,(-SIN(-4*Control!$C$139)+$LF194)/$LG194))/Control!$C$138))</f>
        <v>16.988965089197915</v>
      </c>
      <c r="LJ194" s="168">
        <f ca="1">3600*($LH194*$LF194+24*$LG194*SQRT(1-$LK194*$LK194)/Control!$C$138)</f>
        <v>30609.57698362874</v>
      </c>
      <c r="LK194" s="170">
        <f t="shared" ca="1" si="559"/>
        <v>0.52586848109781381</v>
      </c>
      <c r="LL194" s="170">
        <f t="shared" ca="1" si="560"/>
        <v>0</v>
      </c>
      <c r="LM194" s="171">
        <f ca="1">Control!$C$145*$AB194</f>
        <v>6.6660906138995932E-2</v>
      </c>
      <c r="LN194" s="170">
        <f t="shared" ca="1" si="655"/>
        <v>0.54</v>
      </c>
      <c r="LO194" s="170">
        <f t="shared" ca="1" si="561"/>
        <v>0</v>
      </c>
      <c r="LP194" s="170">
        <f ca="1">Control!$C$140*((($D194+273.16)^4+($E194+273.16)^4)/2)*(0.34-0.14*SQRT($Y194))*(1.35*$AQ194/(0.75*$LD194)-0.35)</f>
        <v>-3.2464704755046001</v>
      </c>
      <c r="LQ194" s="170">
        <f ca="1">Control!$C$140*($G194+273)^4*(0.56-0.079*SQRT($Y194*10))*(0.1+0.9*$LO194)</f>
        <v>1.5241745131704001</v>
      </c>
      <c r="LR194" s="170">
        <f ca="1">$AQ194*(1-Control!$C$142)-$LQ194</f>
        <v>-1.5241745131704001</v>
      </c>
      <c r="LS194" s="170">
        <f ca="1">$AQ194*(1-Control!$C$143)-$LQ194</f>
        <v>-1.5241745131704001</v>
      </c>
      <c r="LT194" s="170">
        <f ca="1">$AQ194*(1-Control!$C$144)-$LQ194</f>
        <v>-1.5241745131704001</v>
      </c>
      <c r="LU194" s="169">
        <f ca="1">(1-Control!$C$144)*AQ194-LP194</f>
        <v>3.2464704755046001</v>
      </c>
      <c r="LV194" s="172">
        <f t="shared" ca="1" si="562"/>
        <v>0.79430000000000012</v>
      </c>
      <c r="LW194" s="170">
        <f t="shared" ca="1" si="563"/>
        <v>1.5886000000000002</v>
      </c>
      <c r="LX194" s="170">
        <f ca="1">($AC194*($LR194/Control!$C$141)+$LM194*$LV194)/($AC194+$LM194)</f>
        <v>0.23530094218323697</v>
      </c>
      <c r="LY194" s="170">
        <f ca="1">($AC194*($LS194/Control!$C$141)+$LM194*$LV194)/($AC194+$LM194)</f>
        <v>0.23530094218323697</v>
      </c>
      <c r="LZ194" s="170">
        <f t="shared" ca="1" si="564"/>
        <v>0.23530094218323697</v>
      </c>
      <c r="MA194" s="170">
        <f t="shared" ca="1" si="565"/>
        <v>0.23530094218323697</v>
      </c>
      <c r="MB194" s="170" t="e">
        <f t="shared" ca="1" si="566"/>
        <v>#N/A</v>
      </c>
      <c r="MC194" s="170">
        <f t="shared" ca="1" si="656"/>
        <v>0.6018</v>
      </c>
      <c r="MD194" s="170">
        <f t="shared" ca="1" si="567"/>
        <v>0.52989392535414004</v>
      </c>
      <c r="ME194" s="170">
        <f ca="1">($AC194*($LT194/Control!$C$141)+$LM194*$LW194)/($AC194+$LM194)</f>
        <v>0.71612369323045078</v>
      </c>
      <c r="MF194" s="170" t="e">
        <f ca="1">IF(Control!$B$16&gt;=1000,0.92,IF(AND(720&lt;=Control!$B$16,1000&gt;Control!$B$16),(0.95+(Control!$B$16-720)*((0.92-0.95)/(1000-720))),IF(AND(360&lt;=Control!$B$16,720&gt;Control!$B$16),(1+(Control!$B$16-360)*((0.95-1)/(720-360))),IF(AND(40&lt;=Control!$B$16,360&gt;Control!$B$16),(1.05+(Control!$B$16-40)*((1.05-1)/(360-40)))))))</f>
        <v>#N/A</v>
      </c>
      <c r="MG194" s="170">
        <f t="shared" ca="1" si="568"/>
        <v>0.71612369323045078</v>
      </c>
      <c r="MH194" s="170" t="e">
        <f t="shared" ca="1" si="695"/>
        <v>#N/A</v>
      </c>
      <c r="MI194" s="170" t="e">
        <f t="shared" ca="1" si="695"/>
        <v>#N/A</v>
      </c>
      <c r="MJ194" s="170" t="e">
        <f ca="1">MAX(0.0001, Control!$C$132*$MI194*$DL194)</f>
        <v>#N/A</v>
      </c>
      <c r="MK194" s="170">
        <f ca="1">1/(0.76+1.5*($MG194/10))-(5-Control!$C$110)*0.1</f>
        <v>1.002845988140797</v>
      </c>
      <c r="ML194" s="173">
        <f ca="1">IF(Control!$C$110&lt;3,$MK194+($MG194-0.6)/(Control!$C$110*(Control!$C$110+3)), MAX(0.1, MIN(0.95,$MK194)))</f>
        <v>0.95</v>
      </c>
      <c r="MM194" s="173">
        <f ca="1">IF(Control!$C$110&lt;3,$MK194+(($MI194/10)-0.6)/(Control!$C$110*(Control!$C$110+3)), MAX(0.1, MIN(0.95,$MK194)))</f>
        <v>0.95</v>
      </c>
      <c r="MN194" s="173">
        <f ca="1">(1-$MM194)*(Control!$C$128-Control!$C$127)+Control!$C$127</f>
        <v>0.16</v>
      </c>
      <c r="MO194" s="170" t="e">
        <f ca="1">MAX(0,MIN(1,($MS194-Control!$C$127)/($MN194-Control!$C$127)))</f>
        <v>#DIV/0!</v>
      </c>
      <c r="MP194" s="173" t="e">
        <f ca="1">1/(0.76+1.5*$MI194)-(5-Control!$C$110)*0.1</f>
        <v>#N/A</v>
      </c>
      <c r="MQ194" s="172" t="e">
        <f t="shared" ca="1" si="685"/>
        <v>#DIV/0!</v>
      </c>
      <c r="MR194" s="168" t="e">
        <f t="shared" ca="1" si="657"/>
        <v>#DIV/0!</v>
      </c>
      <c r="MS194" s="173" t="e">
        <f ca="1">MAX(Control!$C$127, MIN(Control!$C$135, $MR194/MAX(0.0001,$CY194)))</f>
        <v>#DIV/0!</v>
      </c>
      <c r="MT194" s="168" t="e">
        <f ca="1">(Control!$C$128-$MS194)*Control!$C$74</f>
        <v>#DIV/0!</v>
      </c>
      <c r="MU194" s="168" t="e">
        <f ca="1">(Control!$C$135-$MS194)*Control!$C$74</f>
        <v>#DIV/0!</v>
      </c>
      <c r="MV194" s="168" t="e">
        <f t="shared" ca="1" si="658"/>
        <v>#DIV/0!</v>
      </c>
      <c r="MW194" s="168" t="e">
        <f t="shared" ca="1" si="659"/>
        <v>#DIV/0!</v>
      </c>
      <c r="MX194" s="171" t="e">
        <f ca="1">MAX(Control!$C$127, MIN(Control!$C$135, $MW194/MAX(0.0001,Control!$C$119-$CY194)))</f>
        <v>#DIV/0!</v>
      </c>
      <c r="MY194" s="54" t="e">
        <f ca="1">IF(Control!$C$114=1, $CX194*$MX194, 0)</f>
        <v>#DIV/0!</v>
      </c>
      <c r="MZ194" s="54" t="e">
        <f t="shared" ca="1" si="660"/>
        <v>#N/A</v>
      </c>
      <c r="NA194" s="168" t="e">
        <f ca="1">(Control!$C$128-$MX194)*(Control!$C$119-Control!$C$74)</f>
        <v>#DIV/0!</v>
      </c>
      <c r="NB194" s="168" t="e">
        <f ca="1">(Control!$C$135-$MX194)*(Control!$C$119-Control!$C$74)</f>
        <v>#DIV/0!</v>
      </c>
      <c r="NC194" s="174" t="e">
        <f t="shared" ca="1" si="661"/>
        <v>#DIV/0!</v>
      </c>
      <c r="ND194" s="54">
        <f ca="1">IF(Control!$C$58=2, IF(OR(Control!$B$218=$AH194,Control!$B$219=$AH194, Control!$B$220=$AH194, Control!$B$221=$AH194, Control!$B$222=$AH194, Control!$B$223=$AH194, Control!$B$224=$AH194, Control!$B$225=$AH194, Control!$B$226=$AH194, Control!$B$227=$AH194, Control!$B$228=$AH194), 1, 0), 0)</f>
        <v>0</v>
      </c>
      <c r="NE194" s="54">
        <f ca="1">IF($ND194=0,0, VLOOKUP($AH194,Control!$B$218:$C$228,2))</f>
        <v>0</v>
      </c>
      <c r="NF194" s="168" t="e">
        <f ca="1">$CY194*(Control!$C$128-Control!$C$127)</f>
        <v>#N/A</v>
      </c>
      <c r="NG194" s="54" t="e">
        <f ca="1">IF(Control!$C$58=2, $NI193-$NJ193, 0)</f>
        <v>#DIV/0!</v>
      </c>
      <c r="NH194" s="54" t="e">
        <f ca="1">IF(AND(Control!$C$58=1, $MS193&lt;= ($MN193+0.02), $I193&lt;10), 0, IF(Control!$C$58=2, $NG193, 0))</f>
        <v>#DIV/0!</v>
      </c>
      <c r="NI194" s="54" t="e">
        <f ca="1">IF(Control!$C$58=2, $NE194+$NH194,0)</f>
        <v>#DIV/0!</v>
      </c>
      <c r="NJ194" s="54" t="e">
        <f ca="1">IF(AND(Control!$C$58=1, $MS194&lt;= ($MN194+0.02), $I194&lt;10), MAX(0, MIN(10, 0.7*($NF194-$MV194))), IF(Control!$C$58=2, MIN(10,$NI194),0))</f>
        <v>#DIV/0!</v>
      </c>
      <c r="NK194" s="54" t="e">
        <f t="shared" ca="1" si="569"/>
        <v>#DIV/0!</v>
      </c>
      <c r="NL194" s="173" t="e">
        <f ca="1">(1-Control!$C$73)*$I194+$NJ194</f>
        <v>#DIV/0!</v>
      </c>
      <c r="NM194" s="172" t="e">
        <f ca="1">IF($NL194&lt;0.5, $MB194* MAX(0, MIN(1, (SQRT($NC194)-SQRT($NC194-1))*Control!$C$71)),0)</f>
        <v>#DIV/0!</v>
      </c>
      <c r="NN194" s="170" t="e">
        <f ca="1">IF($NL194&gt;=5, $MB194, MAX(0,MIN($MB194, $NM194+$NL194,($MS194-Control!$C$129))))</f>
        <v>#DIV/0!</v>
      </c>
      <c r="NO194" s="54">
        <f>IF(Control!$C$133&lt;&gt;1, Control!$C$135-Control!$C$131, 0)</f>
        <v>0.38</v>
      </c>
      <c r="NP194" s="54" t="e">
        <f t="shared" ca="1" si="570"/>
        <v>#DIV/0!</v>
      </c>
      <c r="NQ194" s="173" t="e">
        <f ca="1">MAX(0,MIN(1,(Control!$C$135-$MS194)/(Control!$C$135-$NO194)))</f>
        <v>#DIV/0!</v>
      </c>
      <c r="NR194" s="170" t="e">
        <f ca="1">IF(Control!$C$133&lt;&gt;1, $NQ194+((1-$NP194/4)*(1-$NQ194)),1)</f>
        <v>#DIV/0!</v>
      </c>
      <c r="NS194" s="170" t="e">
        <f ca="1">IF(Control!$B$31=0,$MJ194,MAX(0,MIN($MV194,$MO194*$NR194*$MJ194)))</f>
        <v>#DIV/0!</v>
      </c>
      <c r="NT194" s="170" t="e">
        <f t="shared" ca="1" si="686"/>
        <v>#DIV/0!</v>
      </c>
      <c r="NU194" s="170" t="e">
        <f t="shared" ca="1" si="662"/>
        <v>#N/A</v>
      </c>
      <c r="NV194" s="170" t="e">
        <f t="shared" ca="1" si="571"/>
        <v>#N/A</v>
      </c>
      <c r="NW194" s="175" t="e">
        <f t="shared" ca="1" si="572"/>
        <v>#DIV/0!</v>
      </c>
      <c r="NX194" s="170" t="e">
        <f ca="1">MIN(Control!$C$72+$MU194, $NW194)</f>
        <v>#DIV/0!</v>
      </c>
      <c r="NY194" s="170" t="e">
        <f ca="1">IF($MT194&lt;=$NX194,MIN(Control!$C$72+$NB194,$NX194-$MT194),0)</f>
        <v>#DIV/0!</v>
      </c>
      <c r="NZ194" s="54" t="e">
        <f ca="1">IF(Control!$C$114=1,  $CX194*($MX194-Control!$C$127), 0)</f>
        <v>#DIV/0!</v>
      </c>
      <c r="OA194" s="170" t="e">
        <f t="shared" ca="1" si="573"/>
        <v>#DIV/0!</v>
      </c>
      <c r="OB194" s="170" t="e">
        <f ca="1">IF($NA194 &lt;=$NY194, MIN(Control!$C$72, $NY194-$NA194), 0)</f>
        <v>#DIV/0!</v>
      </c>
      <c r="OC194" s="168" t="e">
        <f t="shared" ca="1" si="574"/>
        <v>#DIV/0!</v>
      </c>
      <c r="OD194" s="168" t="e">
        <f t="shared" ca="1" si="663"/>
        <v>#DIV/0!</v>
      </c>
      <c r="OE194" s="170">
        <f ca="1">Control!$C$73*$I194</f>
        <v>0</v>
      </c>
      <c r="OF194" s="176" t="e">
        <f t="shared" ca="1" si="575"/>
        <v>#DIV/0!</v>
      </c>
      <c r="OG194" s="168" t="e">
        <f t="shared" ca="1" si="576"/>
        <v>#DIV/0!</v>
      </c>
      <c r="OH194" s="168" t="e">
        <f t="shared" ca="1" si="577"/>
        <v>#DIV/0!</v>
      </c>
      <c r="OI194" s="168" t="e">
        <f t="shared" ca="1" si="578"/>
        <v>#DIV/0!</v>
      </c>
      <c r="OJ194" s="168" t="e">
        <f t="shared" ca="1" si="579"/>
        <v>#DIV/0!</v>
      </c>
      <c r="OK194" s="204" t="e">
        <f t="shared" ca="1" si="580"/>
        <v>#DIV/0!</v>
      </c>
      <c r="OL194" s="177">
        <f>Control!$C$127</f>
        <v>0.15</v>
      </c>
      <c r="OM194" s="182" t="e">
        <f t="shared" ca="1" si="581"/>
        <v>#N/A</v>
      </c>
      <c r="ON194" s="177">
        <f>Control!$C$128</f>
        <v>0.35</v>
      </c>
      <c r="OO194" s="182" t="e">
        <f t="shared" ca="1" si="582"/>
        <v>#N/A</v>
      </c>
      <c r="OP194" s="138">
        <f t="shared" ca="1" si="664"/>
        <v>0</v>
      </c>
      <c r="OQ194" s="138" t="e">
        <f t="shared" ca="1" si="687"/>
        <v>#DIV/0!</v>
      </c>
      <c r="OR194" s="138" t="e">
        <f t="shared" ca="1" si="665"/>
        <v>#DIV/0!</v>
      </c>
      <c r="OS194" s="137" t="e">
        <f t="shared" ca="1" si="688"/>
        <v>#DIV/0!</v>
      </c>
      <c r="OT194" s="139" t="e">
        <f t="shared" ca="1" si="689"/>
        <v>#DIV/0!</v>
      </c>
      <c r="OU194" s="138" t="e">
        <f t="shared" ca="1" si="690"/>
        <v>#N/A</v>
      </c>
      <c r="OV194" s="138" t="e">
        <f t="shared" ca="1" si="691"/>
        <v>#DIV/0!</v>
      </c>
      <c r="OW194" s="138" t="e">
        <f t="shared" ca="1" si="666"/>
        <v>#DIV/0!</v>
      </c>
      <c r="OX194" s="138" t="e">
        <f t="shared" ca="1" si="667"/>
        <v>#DIV/0!</v>
      </c>
      <c r="OY194" s="138" t="e">
        <f t="shared" ca="1" si="668"/>
        <v>#DIV/0!</v>
      </c>
      <c r="OZ194" s="138" t="e">
        <f t="shared" ca="1" si="583"/>
        <v>#DIV/0!</v>
      </c>
      <c r="PA194" s="138" t="e">
        <f t="shared" ca="1" si="584"/>
        <v>#DIV/0!</v>
      </c>
      <c r="PB194" s="55">
        <f>IF(Control!$C$61="T", IF(Control!$C$65="F", IF($AH$6-Control!$C$60&lt;0,0,1), IF(365+$AH$6-Control!$C$60&lt;0,0,1)),0)</f>
        <v>0</v>
      </c>
      <c r="PC194" s="55">
        <f ca="1">IF(Control!$C$65="F", IF($AH$6-$HF194&lt;0,0,1), IF(365+$AH$6-$HF194&lt;0,0,1))</f>
        <v>1</v>
      </c>
      <c r="PD194" s="444">
        <f>Control!$C$118</f>
        <v>1500</v>
      </c>
      <c r="PE194" s="180" t="e">
        <f t="shared" ca="1" si="585"/>
        <v>#N/A</v>
      </c>
      <c r="PF194" s="445">
        <f t="shared" ca="1" si="669"/>
        <v>0.71612369323045078</v>
      </c>
      <c r="PT194" s="186"/>
      <c r="PU194" s="186"/>
      <c r="PV194" s="94"/>
      <c r="PW194" s="94"/>
      <c r="PX194" s="94"/>
      <c r="PY194" s="94"/>
      <c r="PZ194" s="94"/>
      <c r="QA194" s="94"/>
      <c r="QB194" s="94"/>
      <c r="QC194" s="94"/>
      <c r="QD194" s="94"/>
      <c r="QE194" s="94"/>
      <c r="QF194" s="94"/>
      <c r="QG194" s="94"/>
      <c r="QH194" s="94"/>
      <c r="QI194" s="94"/>
      <c r="QJ194" s="94"/>
      <c r="QK194" s="94"/>
      <c r="QL194" s="94"/>
      <c r="QM194" s="94"/>
      <c r="QN194" s="94"/>
      <c r="QO194" s="94"/>
      <c r="QP194" s="94"/>
    </row>
    <row r="195" spans="1:458" s="2" customFormat="1" x14ac:dyDescent="0.2">
      <c r="A195" s="395">
        <v>9</v>
      </c>
      <c r="B195" s="396">
        <v>7</v>
      </c>
      <c r="C195" s="387">
        <f ca="1">Weather_data!$B194</f>
        <v>0</v>
      </c>
      <c r="D195" s="388">
        <f ca="1">Weather_data!$F194</f>
        <v>0</v>
      </c>
      <c r="E195" s="388">
        <f ca="1">Weather_data!$E194</f>
        <v>0</v>
      </c>
      <c r="F195" s="388">
        <f t="shared" ca="1" si="586"/>
        <v>0</v>
      </c>
      <c r="G195" s="388">
        <f ca="1">AVERAGE($D195:$E195)+Control!$B$9</f>
        <v>0</v>
      </c>
      <c r="H195" s="388">
        <f ca="1">Weather_data!$G194</f>
        <v>0</v>
      </c>
      <c r="I195" s="388">
        <f ca="1">Weather_data!$I194</f>
        <v>0</v>
      </c>
      <c r="J195" s="388">
        <f ca="1">Weather_data!$H194</f>
        <v>0</v>
      </c>
      <c r="K195" s="389">
        <f ca="1">Weather_data!$D194</f>
        <v>0</v>
      </c>
      <c r="L195" s="388" t="e">
        <f t="shared" ca="1" si="587"/>
        <v>#N/A</v>
      </c>
      <c r="M195" s="388" t="e">
        <f t="shared" ca="1" si="465"/>
        <v>#N/A</v>
      </c>
      <c r="N195" s="388">
        <f t="shared" ca="1" si="466"/>
        <v>-1.1240982931360213E-9</v>
      </c>
      <c r="O195" s="388">
        <f t="shared" ca="1" si="588"/>
        <v>1.1240982931360213E-8</v>
      </c>
      <c r="P195" s="390">
        <v>3</v>
      </c>
      <c r="Q195" s="388">
        <f ca="1">MAX($G195-Control!$C$107,0)</f>
        <v>0</v>
      </c>
      <c r="R195" s="388">
        <f t="shared" ca="1" si="589"/>
        <v>0</v>
      </c>
      <c r="S195" s="388">
        <f t="shared" ca="1" si="467"/>
        <v>0</v>
      </c>
      <c r="T195" s="388">
        <f t="shared" ca="1" si="468"/>
        <v>0</v>
      </c>
      <c r="U195" s="59">
        <f t="shared" ca="1" si="469"/>
        <v>0</v>
      </c>
      <c r="V195" s="391">
        <f ca="1">MAX(0,MIN(Control!$C$100-Control!$C$99,$G195-Control!$C$99)*Control!$C$63)</f>
        <v>0</v>
      </c>
      <c r="W195" s="388">
        <f t="shared" ca="1" si="590"/>
        <v>0</v>
      </c>
      <c r="X195" s="388">
        <f t="shared" ca="1" si="591"/>
        <v>0.6110000000000001</v>
      </c>
      <c r="Y195" s="388">
        <f t="shared" ca="1" si="470"/>
        <v>0</v>
      </c>
      <c r="Z195" s="388">
        <f t="shared" ca="1" si="592"/>
        <v>0.61058800000000002</v>
      </c>
      <c r="AA195" s="388">
        <f t="shared" ca="1" si="471"/>
        <v>0.6018</v>
      </c>
      <c r="AB195" s="388">
        <f ca="1">101.3*EXP(-0.034*Control!$C$66/($G195+273))</f>
        <v>100.69623283836242</v>
      </c>
      <c r="AC195" s="392">
        <f t="shared" ca="1" si="472"/>
        <v>4.3460251046025113E-2</v>
      </c>
      <c r="AD195" s="392">
        <f t="shared" ca="1" si="473"/>
        <v>4.4450382862832649E-2</v>
      </c>
      <c r="AE195" s="388">
        <f t="shared" ca="1" si="474"/>
        <v>0</v>
      </c>
      <c r="AF195" s="388">
        <f ca="1">MAX(0,$G195-Control!$C$92)</f>
        <v>0</v>
      </c>
      <c r="AG195" s="393">
        <f t="shared" ca="1" si="475"/>
        <v>191</v>
      </c>
      <c r="AH195" s="389">
        <f t="shared" ca="1" si="476"/>
        <v>191</v>
      </c>
      <c r="AI195" s="388">
        <f t="shared" ca="1" si="593"/>
        <v>0.38756889346955259</v>
      </c>
      <c r="AJ195" s="388">
        <f ca="1">IF(Control!$C$60&lt;=0,$HH195,$HI195)</f>
        <v>1</v>
      </c>
      <c r="AK195" s="388">
        <f t="shared" ca="1" si="477"/>
        <v>1.9107769016354359</v>
      </c>
      <c r="AL195" s="388">
        <f t="shared" ca="1" si="478"/>
        <v>-5.4114525360748896E-19</v>
      </c>
      <c r="AM195" s="388">
        <f t="shared" ca="1" si="479"/>
        <v>1.9107769016354359</v>
      </c>
      <c r="AN195" s="388">
        <f t="shared" ca="1" si="480"/>
        <v>0.38442954928415385</v>
      </c>
      <c r="AO195" s="388">
        <f ca="1">-0.10453/COS(Control!$B$8*PI()/180)*COS(AN195)</f>
        <v>-0.15739269482140494</v>
      </c>
      <c r="AP195" s="388">
        <f ca="1">ACOS(AO195-TAN(Control!$B$8*PI()/180)*TAN(AN195))</f>
        <v>2.3120367324415163</v>
      </c>
      <c r="AQ195" s="388">
        <f t="shared" ca="1" si="594"/>
        <v>0</v>
      </c>
      <c r="AR195" s="394">
        <f t="shared" ca="1" si="481"/>
        <v>0</v>
      </c>
      <c r="AS195" s="436">
        <f ca="1">IF(Control!$B$18=2,(IF(OR($AH195=Control!$B$175,$AH195=Control!$B$176,$AH195=Control!$B$177,$AH195=Control!$B$178,$AH195=Control!$B$179,$AH195=Control!$B$180,$AH195=Control!$B$181,$AH195=Control!$B$182,$AH195=Control!$B$183,$AH195=Control!$B$184,$AH195=Control!$B$185),1,0)),0)</f>
        <v>0</v>
      </c>
      <c r="AT195" s="436">
        <f>IF(Control!$B$20=8,IF(AND($AH195&gt;=Control!$B$172,$AH195&lt;=Control!$B$173),1,0),0)</f>
        <v>0</v>
      </c>
      <c r="AU195" s="436">
        <f>IF(Control!$B$20=8,IF($AV194=1,1*$AT195,IF($AT195=1,$AU194+1,$AU194)),0)</f>
        <v>0</v>
      </c>
      <c r="AV195" s="436">
        <f>IF(Control!$B$20=8,IF($AU195&gt;=Control!$B$174,1,0),0)</f>
        <v>0</v>
      </c>
      <c r="AW195" s="436">
        <f ca="1">IF(AND(Control!$B$18=2,Control!$B$171=1), $AV195, $AS195)</f>
        <v>0</v>
      </c>
      <c r="AX195" s="436" t="e">
        <f ca="1">IF(AND(Control!$B$18=1,$EU195&gt;=Control!$B$19),-$AY195,IF(AND(Control!$B$18=2,$AW195=1,$EU195&gt;$DS195),-$AY195, IF(Control!$C$108=0,0, IF(Control!$C$108&lt;&gt;0,1))))</f>
        <v>#N/A</v>
      </c>
      <c r="AY195" s="436" t="e">
        <f t="shared" ca="1" si="595"/>
        <v>#N/A</v>
      </c>
      <c r="AZ195" s="436" t="e">
        <f ca="1">IF(AND(Control!$B$18=1,$EB195&gt;Control!$B$19),$AZ194+1, IF(AND(Control!$B$18=2, $AW195=1, $EB195&gt;$DS195), $AZ194+1,$AZ194))</f>
        <v>#N/A</v>
      </c>
      <c r="BA195" s="587">
        <f>IF(Control!$C$81=0,1,IF($AH195&gt;=Control!$C$82,1,0))</f>
        <v>1</v>
      </c>
      <c r="BB195" s="140" t="e">
        <f ca="1">IF($BA195&gt;$BA194,Control!$C$83,IF($AW195&gt;0,$AW195*Control!$C$84,IF(AND(Control!$B$18=1,EN194&lt;&gt;0),Control!$C$84,0)))</f>
        <v>#N/A</v>
      </c>
      <c r="BC195" s="140" t="e">
        <f t="shared" ca="1" si="596"/>
        <v>#N/A</v>
      </c>
      <c r="BD195" s="140" t="e">
        <f ca="1">BC195*IF(OR($G195&lt;Control!$C$92,$G195&gt;Control!$C$95),0,IF(AND($G195&gt;=Control!$C$92,$G195&lt;=Control!$C$93),$G195-Control!$C$92,IF(AND($G195&gt;Control!$C$93,$G195&lt;=Control!$C$94),Control!$C$93-Control!$C$92,IF(AND($G195&gt;Control!$C$94,$G195&lt;=Control!$C$95),(Control!$C$93-Control!$C$92)*(Control!$C$94-$G195)/(Control!$C$95-Control!$C$94)))))</f>
        <v>#N/A</v>
      </c>
      <c r="BE195" s="140" t="e">
        <f t="shared" ca="1" si="597"/>
        <v>#N/A</v>
      </c>
      <c r="BF195" s="140" t="e">
        <f ca="1">IF($BE195&lt;=Control!$C$86,$BE195,Control!$C$86-$BE195)</f>
        <v>#N/A</v>
      </c>
      <c r="BG195" s="140" t="e">
        <f ca="1">IF(AND($AW195=1,Control!$C$84&lt;9),1,IF($BE195&gt;=Control!$C$86,0,$BC195))</f>
        <v>#N/A</v>
      </c>
      <c r="BH195" s="404" t="e">
        <f ca="1">IF($BG195=0,0,IF($BE195&lt;=Control!$C$86,$BC195*9*($BF195/Control!$C$86),0))</f>
        <v>#N/A</v>
      </c>
      <c r="BI195" s="140" t="e">
        <f ca="1">IF($BG195=1,0,IF($BE195&gt;=Control!$C$86,1,IF(AND($BB195&lt;21,$BB195&gt;=9),1,$BM194)))</f>
        <v>#N/A</v>
      </c>
      <c r="BJ195" s="140" t="e">
        <f ca="1">IF($BF195&lt;0,-$BF195,$BI195*IF(OR($G195&lt;Control!$C$92,$G195&gt;Control!$C$95),0,IF(AND($G195&gt;=Control!$C$92,$G195&lt;=Control!$C$93),$G195-Control!$C$92,IF(AND($G195&gt;Control!$C$93,$G195&lt;=Control!$C$94),Control!$C$93-Control!$C$92,IF(AND($G195&gt;Control!$C$94,$G195&lt;=Control!$C$95),(Control!$C$93-Control!$C$92)*(Control!$C$94-$G195)/(Control!$C$95-Control!$C$94))))))</f>
        <v>#N/A</v>
      </c>
      <c r="BK195" s="140" t="e">
        <f t="shared" ca="1" si="598"/>
        <v>#N/A</v>
      </c>
      <c r="BL195" s="140" t="e">
        <f ca="1">IF($BK195&lt;=Control!$C$87,$BK195,Control!$C$87-$BK195)</f>
        <v>#N/A</v>
      </c>
      <c r="BM195" s="140" t="e">
        <f ca="1">IF(AND($BB195&gt;=9,$BB195&lt;21),1,IF($BK195&gt;=Control!$C$87,0,$BI195))</f>
        <v>#N/A</v>
      </c>
      <c r="BN195" s="404" t="e">
        <f ca="1">IF($BM195=0,0,IF($BK195&lt;=Control!$C$87,$BI195*(9+(21-9)*($BL195/Control!$C$87)),0))</f>
        <v>#N/A</v>
      </c>
      <c r="BO195" s="140" t="e">
        <f ca="1">IF($BM195=1,0,IF($BK195&gt;=Control!$C$87,1,IF(AND($BB195&lt;30,$BB195&gt;=21),1,$BS194)))</f>
        <v>#N/A</v>
      </c>
      <c r="BP195" s="140" t="e">
        <f ca="1">IF($BL195&lt;0,-$BL195,$BO195*IF(OR($G195&lt;Control!$C$92,$G195&gt;Control!$C$95),0,IF(AND($G195&gt;=Control!$C$92,$G195&lt;=Control!$C$93),$G195-Control!$C$92,IF(AND($G195&gt;Control!$C$93,$G195&lt;=Control!$C$94),Control!$C$93-Control!$C$92,IF(AND($G195&gt;Control!$C$94,$G195&lt;=Control!$C$95),(Control!$C$93-Control!$C$92)*(Control!$C$94-$G195)/(Control!$C$95-Control!$C$94))))))</f>
        <v>#N/A</v>
      </c>
      <c r="BQ195" s="140" t="e">
        <f t="shared" ca="1" si="482"/>
        <v>#N/A</v>
      </c>
      <c r="BR195" s="140" t="e">
        <f ca="1">IF($BQ195&lt;=Control!$C$88,$BQ195,Control!$C$88-$BQ195)</f>
        <v>#N/A</v>
      </c>
      <c r="BS195" s="140" t="e">
        <f ca="1">IF(AND($BB195&gt;=21,$BB195&lt;30),1,IF($BQ195&gt;=Control!$C$88,0,$BO195))</f>
        <v>#N/A</v>
      </c>
      <c r="BT195" s="404" t="e">
        <f ca="1">IF($BS195=0,0,IF($BQ195&lt;=Control!$C$88,$BO195*(21+(30-21)*(BR195/Control!$C$88)),0))</f>
        <v>#N/A</v>
      </c>
      <c r="BU195" s="140" t="e">
        <f ca="1">IF(BG195+BM195+BS195=1,0,IF(OR(AND($BB195&lt;60,$BB195&gt;=30),$BQ195&gt;=Control!$C$88),1*$BA195,$BY194))</f>
        <v>#N/A</v>
      </c>
      <c r="BV195" s="140" t="e">
        <f ca="1">IF($BR195&lt;0,-$BR195,$BU195*IF(OR($G195&lt;Control!$C$92,$G195&gt;Control!$C$95),0,IF(AND($G195&gt;=Control!$C$92,$G195&lt;=Control!$C$93),$G195-Control!$C$92,IF(AND($G195&gt;Control!$C$93,$G195&lt;=Control!$C$94),Control!$C$93-Control!$C$92,IF(AND($G195&gt;Control!$C$94,$G195&lt;=Control!$C$95),(Control!$C$93-Control!$C$92)*(Control!$C$94-$G195)/(Control!$C$95-Control!$C$94))))))</f>
        <v>#N/A</v>
      </c>
      <c r="BW195" s="140" t="e">
        <f t="shared" ca="1" si="483"/>
        <v>#N/A</v>
      </c>
      <c r="BX195" s="140" t="e">
        <f ca="1">IF($BW195&lt;=Control!$C$89,$BW195,Control!$C$89-$BW195)</f>
        <v>#N/A</v>
      </c>
      <c r="BY195" s="140" t="e">
        <f ca="1">IF(AND($AJ195&gt;=30,$AJ195&lt;60),1,IF($BW195&gt;=Control!$C$89,0,$BU195))</f>
        <v>#N/A</v>
      </c>
      <c r="BZ195" s="404" t="e">
        <f ca="1">IF($BY195=0,0,IF($BW195&lt;=Control!$C$89,$BU195*(30+(60-30)*(BX195/Control!$C$89)),0))</f>
        <v>#N/A</v>
      </c>
      <c r="CA195" s="140" t="e">
        <f ca="1">IF($BG195+$BM195+$BS195+$BY195=1,0,IF(OR(AND($BB195&lt;65,$BB195&gt;=60),$BW195&gt;=Control!$C$89),1*$BA195,$CE194))</f>
        <v>#N/A</v>
      </c>
      <c r="CB195" s="140" t="e">
        <f ca="1">IF($BX195&lt;0,-$BX195,$CA195*IF(OR($G195&lt;Control!$C$92,$G195&gt;Control!$C$95),0,IF(AND($G195&gt;=Control!$C$92,$G195&lt;=Control!$C$93),$G195-Control!$C$92,IF(AND($G195&gt;Control!$C$93,$G195&lt;=Control!$C$94),Control!$C$93-Control!$C$92,IF(AND($G195&gt;Control!$C$94,$G195&lt;=Control!$C$95),(Control!$C$93-Control!$C$92)*(Control!$C$94-$G195)/(Control!$C$95-Control!$C$94))))))</f>
        <v>#N/A</v>
      </c>
      <c r="CC195" s="140" t="e">
        <f t="shared" ca="1" si="599"/>
        <v>#N/A</v>
      </c>
      <c r="CD195" s="140" t="e">
        <f ca="1">IF($CC195&lt;=Control!$C$90,$CC195,Control!$C$90-$CC195)</f>
        <v>#N/A</v>
      </c>
      <c r="CE195" s="140" t="e">
        <f ca="1">IF(AND($BB195&gt;=60,$BB195&lt;65),1,IF($CC195&gt;=Control!$C$90,0,$CA195))</f>
        <v>#N/A</v>
      </c>
      <c r="CF195" s="404" t="e">
        <f ca="1">IF($CE195=0,0,IF($CC195&lt;=Control!$C$90,$CA195*(60+(65-60)*(CD195/Control!$C$90)),0))</f>
        <v>#N/A</v>
      </c>
      <c r="CG195" s="140" t="e">
        <f ca="1">IF($BG195+$BM195+$BS195+$BY195+$CE195=1,0,IF(OR(AND($BB195&lt;90,$BB195&gt;=65),$CC195&gt;=Control!$C$90),$BA195,$CK194))</f>
        <v>#N/A</v>
      </c>
      <c r="CH195" s="140" t="e">
        <f ca="1">IF($CD195&lt;0,-$CD195,$CG195*IF(OR($G195&lt;Control!$C$92,$G195&gt;Control!$C$95),0,IF(AND($G195&gt;=Control!$C$92,$G195&lt;=Control!$C$93),$G195-Control!$C$92,IF(AND($G195&gt;Control!$C$93,$G195&lt;=Control!$C$94),Control!$C$93-Control!$C$92,IF(AND($G195&gt;Control!$C$94,$G195&lt;=Control!$C$95),(Control!$C$93-Control!$C$92)*(Control!$C$94-$G195)/(Control!$C$95-Control!$C$94))))))</f>
        <v>#N/A</v>
      </c>
      <c r="CI195" s="140" t="e">
        <f t="shared" ca="1" si="600"/>
        <v>#N/A</v>
      </c>
      <c r="CJ195" s="140" t="e">
        <f ca="1">IF($CI195&lt;=Control!$C$91,$CI195,Control!$C$91-$CI195)</f>
        <v>#N/A</v>
      </c>
      <c r="CK195" s="140" t="e">
        <f ca="1">IF(AND($BB195&gt;=65,$BB195&lt;90),1,IF($CI195&gt;=Control!$C$91,0,$CG195))</f>
        <v>#N/A</v>
      </c>
      <c r="CL195" s="404" t="e">
        <f ca="1">IF($CK195=0,0,IF($CI195&lt;=Control!$C$91,$CG195*(65+(90-65)*($CJ195/Control!$C$91)),0))</f>
        <v>#N/A</v>
      </c>
      <c r="CM195" s="140" t="e">
        <f ca="1">IF($BG195+$BM195+$BS195+$BY195+$CE195+$CK195=1,0,IF(OR($BB195&gt;=90,$CI195&gt;=Control!$C$91),$BA195,$CM194))</f>
        <v>#N/A</v>
      </c>
      <c r="CN195" s="140" t="e">
        <f t="shared" ca="1" si="601"/>
        <v>#N/A</v>
      </c>
      <c r="CO195" s="140" t="e">
        <f t="shared" ca="1" si="602"/>
        <v>#N/A</v>
      </c>
      <c r="CP195" s="140" t="e">
        <f t="shared" ca="1" si="603"/>
        <v>#N/A</v>
      </c>
      <c r="CQ195" s="141" t="e">
        <f ca="1">VLOOKUP($CP195,Control!$B$86:$G$91,6)</f>
        <v>#N/A</v>
      </c>
      <c r="CR195" s="141" t="e">
        <f ca="1">(1-$CQ195)*VLOOKUP($CP195,Control!$B$86:$D$91,3)</f>
        <v>#N/A</v>
      </c>
      <c r="CS195" s="141" t="e">
        <f ca="1">(1-$CQ195)*VLOOKUP($CP195,Control!$B$86:$E$91,4)</f>
        <v>#N/A</v>
      </c>
      <c r="CT195" s="141" t="e">
        <f ca="1">(1-$CQ195)*VLOOKUP($CP195,Control!$B$86:$F$91,5)</f>
        <v>#N/A</v>
      </c>
      <c r="CU195" s="141">
        <f t="shared" ca="1" si="604"/>
        <v>0</v>
      </c>
      <c r="CV195" s="583">
        <f t="shared" ca="1" si="605"/>
        <v>0</v>
      </c>
      <c r="CW195" s="142">
        <f t="shared" ca="1" si="606"/>
        <v>191</v>
      </c>
      <c r="CX195" s="612" t="e">
        <f ca="1">IF(Control!$C$114=1,(MIN(Control!$C$120*(IF($NT195-0.01&lt;0,0,1)),Control!$C$119-$CY195)))</f>
        <v>#DIV/0!</v>
      </c>
      <c r="CY195" s="143" t="e">
        <f t="shared" ca="1" si="607"/>
        <v>#N/A</v>
      </c>
      <c r="CZ195" s="144">
        <f t="shared" ca="1" si="484"/>
        <v>0</v>
      </c>
      <c r="DA195" s="144">
        <f t="shared" ca="1" si="485"/>
        <v>0</v>
      </c>
      <c r="DB195" s="144" t="e">
        <f t="shared" ca="1" si="486"/>
        <v>#N/A</v>
      </c>
      <c r="DC195" s="144" t="e">
        <f t="shared" ca="1" si="487"/>
        <v>#N/A</v>
      </c>
      <c r="DD195" s="144" t="e">
        <f t="shared" ca="1" si="692"/>
        <v>#N/A</v>
      </c>
      <c r="DE195" s="143" t="e">
        <f t="shared" ca="1" si="608"/>
        <v>#N/A</v>
      </c>
      <c r="DF195" s="145" t="e">
        <f ca="1">$DR195*EXP(-Control!$C$158*(1-$KH195))</f>
        <v>#N/A</v>
      </c>
      <c r="DG195" s="146" t="e">
        <f ca="1">IF(Control!$C$114=1, $DF195*$EY195, 0)</f>
        <v>#N/A</v>
      </c>
      <c r="DH195" s="147" t="e">
        <f t="shared" ca="1" si="609"/>
        <v>#N/A</v>
      </c>
      <c r="DI195" s="144" t="e">
        <f t="shared" ca="1" si="670"/>
        <v>#N/A</v>
      </c>
      <c r="DJ195" s="147" t="e">
        <f ca="1">$EF195*Control!$C$109</f>
        <v>#N/A</v>
      </c>
      <c r="DK195" s="144" t="e">
        <f t="shared" ca="1" si="610"/>
        <v>#N/A</v>
      </c>
      <c r="DL195" s="144" t="e">
        <f t="shared" ca="1" si="488"/>
        <v>#N/A</v>
      </c>
      <c r="DM195" s="144" t="e">
        <f ca="1">IF(Control!$C$114=1, (1-EXP(-Control!$C$96*$DK195))*$AR195, 0)</f>
        <v>#N/A</v>
      </c>
      <c r="DN195" s="144">
        <f t="shared" ca="1" si="611"/>
        <v>0</v>
      </c>
      <c r="DO195" s="148">
        <f>Control!$C$97</f>
        <v>4</v>
      </c>
      <c r="DP195" s="145" t="e">
        <f t="shared" ca="1" si="612"/>
        <v>#N/A</v>
      </c>
      <c r="DQ195" s="145" t="e">
        <f ca="1">IF(AND($CP195&gt;=0,$CP195&lt;=90),Control!$C$111,Control!$C$111)</f>
        <v>#N/A</v>
      </c>
      <c r="DR195" s="145" t="e">
        <f t="shared" ca="1" si="489"/>
        <v>#N/A</v>
      </c>
      <c r="DS195" s="143" t="e">
        <f ca="1">Control!$B$22/$DR195</f>
        <v>#N/A</v>
      </c>
      <c r="DT195" s="149" t="e">
        <f ca="1">IF(AND(Control!$C$114=1,$KH195&lt;1),$IM195*$DF195, 0)</f>
        <v>#N/A</v>
      </c>
      <c r="DU195" s="144" t="e">
        <f t="shared" ca="1" si="613"/>
        <v>#N/A</v>
      </c>
      <c r="DV195" s="144">
        <f ca="1">IF($G195-Control!$C$107&lt;=0, 0, 0.83*LN(MAX($G195, 3))-0.8924)</f>
        <v>0</v>
      </c>
      <c r="DW195" s="144" t="e">
        <f t="shared" ca="1" si="490"/>
        <v>#N/A</v>
      </c>
      <c r="DX195" s="150" t="e">
        <f ca="1">MAX(0.01*(1+$CU195/Control!$C$102),0.05*($DK195-Control!$C$97)/Control!$C$97)</f>
        <v>#N/A</v>
      </c>
      <c r="DY195" s="151" t="e">
        <f ca="1">IF(Control!$C$114=1, $DI195*$FS195, 0)</f>
        <v>#N/A</v>
      </c>
      <c r="DZ195" s="196" t="e">
        <f t="shared" ca="1" si="614"/>
        <v>#N/A</v>
      </c>
      <c r="EA195" s="152">
        <f t="shared" ca="1" si="615"/>
        <v>191</v>
      </c>
      <c r="EB195" s="153" t="e">
        <f t="shared" ca="1" si="616"/>
        <v>#N/A</v>
      </c>
      <c r="EC195" s="153" t="e">
        <f t="shared" ca="1" si="617"/>
        <v>#N/A</v>
      </c>
      <c r="ED195" s="154" t="e">
        <f ca="1">IF(Control!$C$114=1, $HM195*$FY195-$FD195, 0)</f>
        <v>#DIV/0!</v>
      </c>
      <c r="EE195" s="155" t="e">
        <f ca="1">IF(Control!$C$114=1, $HM195*$FZ195-$FF195, 0)</f>
        <v>#DIV/0!</v>
      </c>
      <c r="EF195" s="153" t="e">
        <f t="shared" ca="1" si="671"/>
        <v>#N/A</v>
      </c>
      <c r="EG195" s="155" t="e">
        <f ca="1">IF(Control!$C$114=1, $GX195*$FW195-$FI195, 0)</f>
        <v>#DIV/0!</v>
      </c>
      <c r="EH195" s="153" t="e">
        <f t="shared" ca="1" si="618"/>
        <v>#N/A</v>
      </c>
      <c r="EI195" s="156" t="e">
        <f t="shared" ca="1" si="619"/>
        <v>#N/A</v>
      </c>
      <c r="EJ195" s="155" t="e">
        <f ca="1">IF(Control!$C$114=1, $HM195*$GB195, 0)</f>
        <v>#DIV/0!</v>
      </c>
      <c r="EK195" s="153" t="e">
        <f t="shared" ca="1" si="672"/>
        <v>#N/A</v>
      </c>
      <c r="EL195" s="153" t="e">
        <f t="shared" ca="1" si="491"/>
        <v>#N/A</v>
      </c>
      <c r="EM195" s="153" t="e">
        <f t="shared" ca="1" si="492"/>
        <v>#N/A</v>
      </c>
      <c r="EN195" s="153" t="e">
        <f ca="1">IF(Control!$C$108=1,IF(AND(Control!$B$18=1,$EB195&gt;=Control!$B$19),$EB195-$DS195,IF(AND(Control!$B$18=2,$AW195=1,$EB195&gt;$DS195),$EB195-$DS195,0)))</f>
        <v>#N/A</v>
      </c>
      <c r="EO195" s="153" t="e">
        <f ca="1">IF(Control!$C$108=1,IF(AND(Control!$B$18=1,$EB195&gt;=Control!$B$19),$EF195,IF(AND(Control!$B$18=2,$AW195=1),$EF195,0)))</f>
        <v>#N/A</v>
      </c>
      <c r="EP195" s="153" t="e">
        <f ca="1">IF(Control!$C$108=1,IF(AND(Control!$B$18=1,$EB195&gt;=Control!$B$19),$EK195,IF(AND(Control!$B$18=2,$AW195=1),$EK195,0)))</f>
        <v>#N/A</v>
      </c>
      <c r="EQ195" s="153" t="e">
        <f t="shared" ca="1" si="620"/>
        <v>#N/A</v>
      </c>
      <c r="ER195" s="153" t="e">
        <f t="shared" ca="1" si="621"/>
        <v>#N/A</v>
      </c>
      <c r="ES195" s="153" t="e">
        <f t="shared" ca="1" si="673"/>
        <v>#N/A</v>
      </c>
      <c r="ET195" s="153" t="e">
        <f t="shared" ca="1" si="674"/>
        <v>#N/A</v>
      </c>
      <c r="EU195" s="153" t="e">
        <f t="shared" ca="1" si="622"/>
        <v>#N/A</v>
      </c>
      <c r="EV195" s="153" t="e">
        <f t="shared" ca="1" si="493"/>
        <v>#N/A</v>
      </c>
      <c r="EW195" s="153" t="e">
        <f t="shared" ca="1" si="494"/>
        <v>#N/A</v>
      </c>
      <c r="EX195" s="153" t="e">
        <f t="shared" ca="1" si="495"/>
        <v>#N/A</v>
      </c>
      <c r="EY195" s="157" t="e">
        <f t="shared" ca="1" si="496"/>
        <v>#DIV/0!</v>
      </c>
      <c r="EZ195" s="154" t="e">
        <f t="shared" ca="1" si="497"/>
        <v>#DIV/0!</v>
      </c>
      <c r="FA195" s="153" t="e">
        <f t="shared" ca="1" si="623"/>
        <v>#N/A</v>
      </c>
      <c r="FB195" s="153" t="e">
        <f t="shared" ca="1" si="498"/>
        <v>#N/A</v>
      </c>
      <c r="FC195" s="193" t="e">
        <f t="shared" ca="1" si="499"/>
        <v>#N/A</v>
      </c>
      <c r="FD195" s="158" t="e">
        <f t="shared" ca="1" si="624"/>
        <v>#N/A</v>
      </c>
      <c r="FE195" s="158" t="e">
        <f t="shared" ca="1" si="625"/>
        <v>#N/A</v>
      </c>
      <c r="FF195" s="159" t="e">
        <f t="shared" ca="1" si="500"/>
        <v>#N/A</v>
      </c>
      <c r="FG195" s="160" t="e">
        <f t="shared" ca="1" si="626"/>
        <v>#N/A</v>
      </c>
      <c r="FH195" s="158" t="e">
        <f t="shared" ca="1" si="627"/>
        <v>#N/A</v>
      </c>
      <c r="FI195" s="159" t="e">
        <f t="shared" ca="1" si="501"/>
        <v>#N/A</v>
      </c>
      <c r="FJ195" s="160" t="e">
        <f t="shared" ca="1" si="628"/>
        <v>#N/A</v>
      </c>
      <c r="FK195" s="160" t="e">
        <f t="shared" ca="1" si="502"/>
        <v>#N/A</v>
      </c>
      <c r="FL195" s="160" t="e">
        <f t="shared" ca="1" si="675"/>
        <v>#N/A</v>
      </c>
      <c r="FM195" s="160" t="e">
        <f t="shared" ca="1" si="503"/>
        <v>#N/A</v>
      </c>
      <c r="FN195" s="158">
        <f t="shared" ca="1" si="629"/>
        <v>0.01</v>
      </c>
      <c r="FO195" s="160">
        <f>Control!$C$101</f>
        <v>50</v>
      </c>
      <c r="FP195" s="150" t="e">
        <f t="shared" ca="1" si="504"/>
        <v>#N/A</v>
      </c>
      <c r="FQ195" s="150" t="e">
        <f ca="1">MAX(0,(Control!$C$112*(($DK195-Control!$C$97)/Control!$C$97)))</f>
        <v>#N/A</v>
      </c>
      <c r="FR195" s="150" t="e">
        <f ca="1">(1-$NT195)*Control!$C$113</f>
        <v>#DIV/0!</v>
      </c>
      <c r="FS195" s="198" t="e">
        <f t="shared" ca="1" si="505"/>
        <v>#N/A</v>
      </c>
      <c r="FT195" s="161">
        <f t="shared" ca="1" si="630"/>
        <v>191</v>
      </c>
      <c r="FU195" s="162" t="e">
        <f ca="1">IF(Control!$B$34=1,VLOOKUP($CP195,Control!$B$86:$G$91,6),Control!$B$35)</f>
        <v>#N/A</v>
      </c>
      <c r="FV195" s="162" t="e">
        <f t="shared" ca="1" si="506"/>
        <v>#DIV/0!</v>
      </c>
      <c r="FW195" s="162" t="e">
        <f ca="1">IF(Control!$B$31=1,$FU195*$FV195,  $FU195)</f>
        <v>#N/A</v>
      </c>
      <c r="FX195" s="162" t="e">
        <f ca="1">IF(Control!$B$34=1,VLOOKUP($CP195,Control!$B$86:$G$91,3),Control!$B$36)</f>
        <v>#N/A</v>
      </c>
      <c r="FY195" s="162" t="e">
        <f t="shared" ca="1" si="507"/>
        <v>#N/A</v>
      </c>
      <c r="FZ195" s="162" t="e">
        <f ca="1">IF(Control!$B$34=1,VLOOKUP($CP195,Control!$B$86:$G$91,4),Control!$B$37)</f>
        <v>#N/A</v>
      </c>
      <c r="GA195" s="162" t="e">
        <f t="shared" ca="1" si="508"/>
        <v>#N/A</v>
      </c>
      <c r="GB195" s="162" t="e">
        <f ca="1">IF(Control!$B$34=1,VLOOKUP($CP195,Control!$B$86:$G$91,5),Control!$B$38)</f>
        <v>#N/A</v>
      </c>
      <c r="GC195" s="162" t="e">
        <f t="shared" ca="1" si="631"/>
        <v>#N/A</v>
      </c>
      <c r="GD195" s="162">
        <f t="shared" ca="1" si="509"/>
        <v>1</v>
      </c>
      <c r="GE195" s="162">
        <f t="shared" ca="1" si="510"/>
        <v>1</v>
      </c>
      <c r="GF195" s="162">
        <f ca="1">IF(AND(Control!$C$104=1, Control!$C$62="F"),$GE195,1)</f>
        <v>1</v>
      </c>
      <c r="GG195" s="162" t="e">
        <f ca="1">IF(Control!$B$16=40,0,IF(AND(Control!$B$16&gt;40,Control!$B$16&lt;=360),(Control!$B$16-40)*((1-0)/(360-40)),IF(AND(Control!$B$16&gt;360,Control!$B$16&lt;=720),(1+(Control!$B$16-360)*((1.25-1)/(720-360))),IF(AND(Control!$B$16&gt;720,Control!$B$16&lt;=1000),(1.25+(Control!$B$16-720)*((1.35-1.25)/(1000-720))),IF(AND(Control!$B$16&gt;1000,Control!$B$16&lt;=2000),(1.35+(Control!$B$16-1000)*0))))))</f>
        <v>#N/A</v>
      </c>
      <c r="GH195" s="162" t="e">
        <f t="shared" ca="1" si="511"/>
        <v>#N/A</v>
      </c>
      <c r="GI195" s="162">
        <f t="shared" ca="1" si="632"/>
        <v>0</v>
      </c>
      <c r="GJ195" s="162">
        <f t="shared" ca="1" si="512"/>
        <v>0</v>
      </c>
      <c r="GK195" s="162">
        <f t="shared" ca="1" si="633"/>
        <v>1</v>
      </c>
      <c r="GL195" s="162">
        <f t="shared" ca="1" si="513"/>
        <v>1</v>
      </c>
      <c r="GM195" s="162" t="e">
        <f ca="1">MAX(0,MIN(1,1-Control!$C$156*(1.0001-$KH195)^2))</f>
        <v>#N/A</v>
      </c>
      <c r="GN195" s="162" t="e">
        <f ca="1">IF(Control!$B$26=1,$KU195,$KX195)</f>
        <v>#N/A</v>
      </c>
      <c r="GO195" s="162" t="e">
        <f ca="1">IF($CP195&lt;=60,Control!$C$105,IF($CP195&gt;=90,Control!$C$106,Control!$C$105+($CP195-60)*((Control!$C$106-Control!$C$105)/(90-60))))</f>
        <v>#N/A</v>
      </c>
      <c r="GP195" s="162" t="e">
        <f t="shared" ca="1" si="514"/>
        <v>#N/A</v>
      </c>
      <c r="GQ195" s="162" t="e">
        <f t="shared" ca="1" si="634"/>
        <v>#N/A</v>
      </c>
      <c r="GR195" s="163" t="e">
        <f t="shared" ca="1" si="515"/>
        <v>#DIV/0!</v>
      </c>
      <c r="GS195" s="162" t="e">
        <f t="shared" ca="1" si="516"/>
        <v>#DIV/0!</v>
      </c>
      <c r="GT195" s="164" t="e">
        <f t="shared" ca="1" si="635"/>
        <v>#N/A</v>
      </c>
      <c r="GU195" s="162" t="e">
        <f t="shared" ca="1" si="636"/>
        <v>#N/A</v>
      </c>
      <c r="GV195" s="162" t="e">
        <f t="shared" ca="1" si="517"/>
        <v>#N/A</v>
      </c>
      <c r="GW195" s="162" t="e">
        <f t="shared" ca="1" si="518"/>
        <v>#DIV/0!</v>
      </c>
      <c r="GX195" s="162" t="e">
        <f t="shared" ca="1" si="637"/>
        <v>#DIV/0!</v>
      </c>
      <c r="GY195" s="162" t="e">
        <f t="shared" ca="1" si="638"/>
        <v>#DIV/0!</v>
      </c>
      <c r="GZ195" s="165" t="e">
        <f t="shared" ca="1" si="519"/>
        <v>#N/A</v>
      </c>
      <c r="HA195" s="162" t="e">
        <f ca="1">IF(Control!$C$114=1, $DI195*$FS195, 0)</f>
        <v>#N/A</v>
      </c>
      <c r="HB195" s="162" t="e">
        <f ca="1">$FA195/Control!$C$64</f>
        <v>#N/A</v>
      </c>
      <c r="HC195" s="162" t="e">
        <f t="shared" ca="1" si="520"/>
        <v>#DIV/0!</v>
      </c>
      <c r="HD195" s="162">
        <f ca="1">-ASIN(SIN(23.45*Control!$C$139)*COS(2*Control!$C$138*($AH195+10)/365))</f>
        <v>0.38756889346955259</v>
      </c>
      <c r="HE195" s="165">
        <f t="shared" ca="1" si="639"/>
        <v>0</v>
      </c>
      <c r="HF195" s="166">
        <f ca="1">IF(AND(Control!$C$61="T",$HE195&gt;=Control!$C$103,Control!$C$114=0),$AH195,Control!$C$59)</f>
        <v>1</v>
      </c>
      <c r="HG195" s="166">
        <f ca="1">IF(AND(Control!$C$61="T",$HE195&gt;=Control!$C$103,Control!$C$114=0),$HF195,Control!$C$59)</f>
        <v>1</v>
      </c>
      <c r="HH195" s="165">
        <f ca="1">IF(AND(OR(Control!$C$60&lt;=0, $AH195= Control!$C$59, Control!$C$60 &gt;0, $AH195 = Control!$C$60)), Control!$C$59, IF(Control!$C$60&gt;0, 0))</f>
        <v>1</v>
      </c>
      <c r="HI195" s="165">
        <f ca="1">IF(AND(OR(Control!$C$60&lt;=0, $AH195= Control!$C$59, Control!$C$60 &gt;0, $AH195 = Control!$C$60)), Control!$C$60, IF(Control!$C$60&lt;=0, 0))</f>
        <v>0</v>
      </c>
      <c r="HJ195" s="166">
        <f ca="1">IF(AND(Control!$C$62="F",$CV195&gt;=Control!$C$102),$AH195,0)</f>
        <v>0</v>
      </c>
      <c r="HK195" s="165" t="e">
        <f t="shared" ca="1" si="676"/>
        <v>#N/A</v>
      </c>
      <c r="HL195" s="166">
        <f ca="1">IF(AND(Control!$C$61="T",$HE195&gt;=Control!$C$103,Control!$C$114=0),$HF195,0)</f>
        <v>0</v>
      </c>
      <c r="HM195" s="201" t="e">
        <f t="shared" ca="1" si="521"/>
        <v>#DIV/0!</v>
      </c>
      <c r="HN195" s="215">
        <f t="shared" ca="1" si="640"/>
        <v>191</v>
      </c>
      <c r="HO195" s="216" t="e">
        <f ca="1">IF(AND($CP195&gt;=0, $CP195&lt;=90), Control!$C$152, Control!$C$152)</f>
        <v>#N/A</v>
      </c>
      <c r="HP195" s="216" t="e">
        <f t="shared" ca="1" si="522"/>
        <v>#N/A</v>
      </c>
      <c r="HQ195" s="217" t="e">
        <f ca="1">IF(OR(Control!$B$26=1,Control!$B$26=2),$KV195,$KS195)</f>
        <v>#DIV/0!</v>
      </c>
      <c r="HR195" s="218" t="e">
        <f t="shared" ca="1" si="677"/>
        <v>#DIV/0!</v>
      </c>
      <c r="HS195" s="216" t="e">
        <f ca="1">Control!$C$154*$HP195</f>
        <v>#N/A</v>
      </c>
      <c r="HT195" s="216" t="e">
        <f ca="1">Control!$C$155*$HP195</f>
        <v>#N/A</v>
      </c>
      <c r="HU195" s="217" t="e">
        <f ca="1">Control!$C$161*$FI195</f>
        <v>#N/A</v>
      </c>
      <c r="HV195" s="218" t="e">
        <f t="shared" ca="1" si="641"/>
        <v>#N/A</v>
      </c>
      <c r="HW195" s="218" t="e">
        <f ca="1">Control!$C$160*$FF195+$IP195*$EO195</f>
        <v>#N/A</v>
      </c>
      <c r="HX195" s="218" t="e">
        <f t="shared" ca="1" si="678"/>
        <v>#N/A</v>
      </c>
      <c r="HY195" s="219" t="e">
        <f ca="1">IF(Control!$C$114=1, $EB195*$FS195, 0)</f>
        <v>#N/A</v>
      </c>
      <c r="HZ195" s="91" t="e">
        <f t="shared" ca="1" si="523"/>
        <v>#N/A</v>
      </c>
      <c r="IA195" s="220" t="e">
        <f ca="1">Control!$C$153*$HO195</f>
        <v>#N/A</v>
      </c>
      <c r="IB195" s="218" t="e">
        <f t="shared" ca="1" si="524"/>
        <v>#N/A</v>
      </c>
      <c r="IC195" s="220" t="e">
        <f ca="1">Control!$C$153*$HT195</f>
        <v>#N/A</v>
      </c>
      <c r="ID195" s="218" t="e">
        <f t="shared" ca="1" si="525"/>
        <v>#N/A</v>
      </c>
      <c r="IE195" s="221" t="e">
        <f ca="1">($EB195*Control!$C$159+$EF195*Control!$C$160)/(IF($GZ195&lt;&gt;0,$GZ195,1))</f>
        <v>#N/A</v>
      </c>
      <c r="IF195" s="216" t="e">
        <f t="shared" ca="1" si="526"/>
        <v>#N/A</v>
      </c>
      <c r="IG195" s="91">
        <f ca="1">IF(OR(Control!$B$198=$AH195,Control!$B$199=$AH195, Control!$B$200=$AH195, Control!$B$201=$AH195, Control!$B$202=$AH195, Control!$B$203=$AH195, Control!$B$204=$AH195, Control!$B$205=$AH195, Control!$B$206=$AH195, Control!$B$207=$AH195), 1, 0)</f>
        <v>0</v>
      </c>
      <c r="IH195" s="91">
        <f ca="1">IF($IG195=0,0, VLOOKUP($AH195,Control!$B$198:$C$207,2))</f>
        <v>0</v>
      </c>
      <c r="II195" s="222">
        <f t="shared" ca="1" si="642"/>
        <v>0</v>
      </c>
      <c r="IJ195" s="91">
        <f>Control!$C$121</f>
        <v>0.7</v>
      </c>
      <c r="IK195" s="218">
        <f t="shared" ca="1" si="527"/>
        <v>0</v>
      </c>
      <c r="IL195" s="217" t="e">
        <f t="shared" ca="1" si="679"/>
        <v>#N/A</v>
      </c>
      <c r="IM195" s="223" t="e">
        <f ca="1">IF(AND(Control!$C$114=1,$KH195&lt;1),$EB195*Control!$C$148*(1-$KH195), 0)</f>
        <v>#N/A</v>
      </c>
      <c r="IN195" s="217" t="e">
        <f t="shared" ca="1" si="528"/>
        <v>#DIV/0!</v>
      </c>
      <c r="IO195" s="91" t="e">
        <f ca="1">MAX(0,$IL195-$EF195*Control!$C$160)</f>
        <v>#N/A</v>
      </c>
      <c r="IP195" s="220" t="e">
        <f t="shared" ca="1" si="529"/>
        <v>#N/A</v>
      </c>
      <c r="IQ195" s="217" t="e">
        <f t="shared" ca="1" si="643"/>
        <v>#N/A</v>
      </c>
      <c r="IR195" s="218" t="e">
        <f t="shared" ca="1" si="530"/>
        <v>#N/A</v>
      </c>
      <c r="IS195" s="217" t="e">
        <f ca="1">Control!$C$159*MAX(0,$FD195-$EN195)</f>
        <v>#N/A</v>
      </c>
      <c r="IT195" s="217" t="e">
        <f t="shared" ca="1" si="680"/>
        <v>#N/A</v>
      </c>
      <c r="IU195" s="217" t="e">
        <f t="shared" ca="1" si="644"/>
        <v>#N/A</v>
      </c>
      <c r="IV195" s="217" t="e">
        <f t="shared" ca="1" si="681"/>
        <v>#N/A</v>
      </c>
      <c r="IW195" s="217" t="e">
        <f ca="1">IF(OR($AW195=1,AND($AW195=0, Control!$B$18=1,$EN195&lt;&gt;0)), $IQ195-$IU195, $IQ195)</f>
        <v>#N/A</v>
      </c>
      <c r="IX195" s="218" t="e">
        <f t="shared" ca="1" si="531"/>
        <v>#N/A</v>
      </c>
      <c r="IY195" s="218" t="e">
        <f ca="1">MAX(0,$IQ195-$EB195*Control!$C$159)</f>
        <v>#N/A</v>
      </c>
      <c r="IZ195" s="218" t="e">
        <f t="shared" ca="1" si="532"/>
        <v>#N/A</v>
      </c>
      <c r="JA195" s="216" t="e">
        <f t="shared" ca="1" si="533"/>
        <v>#N/A</v>
      </c>
      <c r="JB195" s="217" t="e">
        <f t="shared" ca="1" si="534"/>
        <v>#N/A</v>
      </c>
      <c r="JC195" s="222" t="e">
        <f ca="1">MAX(Control!$C$157*$EK195-$JT195, 0)/Control!$C$162</f>
        <v>#N/A</v>
      </c>
      <c r="JD195" s="218" t="e">
        <f t="shared" ca="1" si="535"/>
        <v>#N/A</v>
      </c>
      <c r="JE195" s="218" t="e">
        <f t="shared" ca="1" si="536"/>
        <v>#N/A</v>
      </c>
      <c r="JF195" s="218" t="e">
        <f t="shared" ca="1" si="645"/>
        <v>#N/A</v>
      </c>
      <c r="JG195" s="218" t="e">
        <f t="shared" ca="1" si="537"/>
        <v>#N/A</v>
      </c>
      <c r="JH195" s="217" t="e">
        <f t="shared" ca="1" si="646"/>
        <v>#N/A</v>
      </c>
      <c r="JI195" s="217" t="e">
        <f t="shared" ca="1" si="647"/>
        <v>#N/A</v>
      </c>
      <c r="JJ195" s="217" t="e">
        <f t="shared" ca="1" si="682"/>
        <v>#N/A</v>
      </c>
      <c r="JK195" s="217" t="e">
        <f ca="1">IF(Control!$C$114=1,IF(Control!$B$24=0,MAX(0,$JI195)*$GN195/Control!$C$64,(MAX(0,MIN($JI195,$JJ195*$GN195/Control!$C$64),0))))</f>
        <v>#N/A</v>
      </c>
      <c r="JL195" s="217" t="e">
        <f ca="1">$IK195/Control!$C$64-$JK195+$HQ195</f>
        <v>#N/A</v>
      </c>
      <c r="JM195" s="217" t="e">
        <f ca="1">IF(Control!$C$114=1,($JB195/(IF($JI195&lt;&gt;0,$JI195,1)))*$JK195,0)</f>
        <v>#N/A</v>
      </c>
      <c r="JN195" s="217" t="e">
        <f ca="1">IF(Control!$C$114=1,($JG195/(IF($JI195&lt;&gt;0,$JI195,1)))*$JK195, 0)</f>
        <v>#N/A</v>
      </c>
      <c r="JO195" s="218" t="e">
        <f t="shared" ca="1" si="538"/>
        <v>#N/A</v>
      </c>
      <c r="JP195" s="218" t="e">
        <f ca="1">MIN(($IY195+$IO195)*Control!$C$151, $JF195-$EH195*Control!$C$161)</f>
        <v>#N/A</v>
      </c>
      <c r="JQ195" s="218" t="e">
        <f t="shared" ca="1" si="539"/>
        <v>#N/A</v>
      </c>
      <c r="JR195" s="217" t="e">
        <f ca="1">IF($CP195-Control!$C$150&lt;0, 0, $JQ195/Control!$C$162)</f>
        <v>#N/A</v>
      </c>
      <c r="JS195" s="218" t="e">
        <f t="shared" ca="1" si="540"/>
        <v>#N/A</v>
      </c>
      <c r="JT195" s="218" t="e">
        <f t="shared" ca="1" si="648"/>
        <v>#N/A</v>
      </c>
      <c r="JU195" s="218" t="e">
        <f t="shared" ca="1" si="541"/>
        <v>#N/A</v>
      </c>
      <c r="JV195" s="218" t="e">
        <f t="shared" ca="1" si="542"/>
        <v>#N/A</v>
      </c>
      <c r="JW195" s="216" t="e">
        <f t="shared" ca="1" si="543"/>
        <v>#N/A</v>
      </c>
      <c r="JX195" s="91" t="e">
        <f t="shared" ca="1" si="544"/>
        <v>#N/A</v>
      </c>
      <c r="JY195" s="218" t="e">
        <f t="shared" ca="1" si="545"/>
        <v>#N/A</v>
      </c>
      <c r="JZ195" s="217" t="e">
        <f ca="1">IF(Control!$C$114=1,($IZ195/(IF($JI195&lt;&gt;0,$JI195,1)))*$JK195, 0)</f>
        <v>#N/A</v>
      </c>
      <c r="KA195" s="218" t="e">
        <f t="shared" ca="1" si="683"/>
        <v>#N/A</v>
      </c>
      <c r="KB195" s="218" t="e">
        <f t="shared" ca="1" si="649"/>
        <v>#N/A</v>
      </c>
      <c r="KC195" s="218" t="e">
        <f t="shared" ca="1" si="546"/>
        <v>#N/A</v>
      </c>
      <c r="KD195" s="218" t="e">
        <f t="shared" ca="1" si="547"/>
        <v>#N/A</v>
      </c>
      <c r="KE195" s="218" t="e">
        <f t="shared" ca="1" si="548"/>
        <v>#N/A</v>
      </c>
      <c r="KF195" s="218" t="e">
        <f t="shared" ca="1" si="549"/>
        <v>#N/A</v>
      </c>
      <c r="KG195" s="216" t="e">
        <f t="shared" ca="1" si="550"/>
        <v>#N/A</v>
      </c>
      <c r="KH195" s="221" t="e">
        <f ca="1">IF(Control!$B$24=0,1,MAX(0.001,MIN(1,IF(($IF195-$IE195)&lt;&gt;0,($KG195-$IE195)/($IF195-$IE195),1))))</f>
        <v>#N/A</v>
      </c>
      <c r="KI195" s="222" t="e">
        <f ca="1">IF(Control!$C$114=1, $KI194+ $KH194, 0)</f>
        <v>#N/A</v>
      </c>
      <c r="KJ195" s="217" t="e">
        <f t="shared" ca="1" si="551"/>
        <v>#N/A</v>
      </c>
      <c r="KK195" s="218" t="e">
        <f t="shared" ca="1" si="552"/>
        <v>#N/A</v>
      </c>
      <c r="KL195" s="274" t="e">
        <f ca="1">IF(Control!$B$26=3,4000000000*EXP(-8400/($G195+273)),IF(Control!$B$26=4,4000000000*EXP(-8400/($G195+273))*($KT195),0))</f>
        <v>#DIV/0!</v>
      </c>
      <c r="KM195" s="274" t="e">
        <f ca="1">IF(Control!$B$26=3,5600000000000*EXP(-9800/($G195+273)),IF(Control!$B$26=4,5600000000000*EXP(-9800/($G195+273))*$KT195,0))</f>
        <v>#DIV/0!</v>
      </c>
      <c r="KN195" s="454" t="e">
        <f t="shared" ca="1" si="650"/>
        <v>#DIV/0!</v>
      </c>
      <c r="KO195" s="274" t="e">
        <f t="shared" ca="1" si="651"/>
        <v>#DIV/0!</v>
      </c>
      <c r="KP195" s="454" t="e">
        <f t="shared" ca="1" si="553"/>
        <v>#DIV/0!</v>
      </c>
      <c r="KQ195" s="454" t="e">
        <f t="shared" ca="1" si="554"/>
        <v>#DIV/0!</v>
      </c>
      <c r="KR195" s="454" t="e">
        <f t="shared" ca="1" si="555"/>
        <v>#DIV/0!</v>
      </c>
      <c r="KS195" s="454" t="e">
        <f t="shared" ca="1" si="556"/>
        <v>#DIV/0!</v>
      </c>
      <c r="KT195" s="455" t="e">
        <f t="shared" ca="1" si="557"/>
        <v>#DIV/0!</v>
      </c>
      <c r="KU195" s="456" t="e">
        <f ca="1">IF($CP195-Control!$C$149&lt;0, IF($NT195-0.01&lt;0,0,1),0)</f>
        <v>#N/A</v>
      </c>
      <c r="KV195" s="456" t="e">
        <f ca="1">IF(Control!$C$114=1,MAX(0,MIN(Control!$C$125*$KW195*$GN195,$KW195)))</f>
        <v>#DIV/0!</v>
      </c>
      <c r="KW195" s="456" t="e">
        <f t="shared" ca="1" si="684"/>
        <v>#DIV/0!</v>
      </c>
      <c r="KX195" s="457" t="e">
        <f ca="1">IF($CP195-Control!$C$149&lt;0, IF($MR195-$OM195&lt;0,0,1),0)</f>
        <v>#N/A</v>
      </c>
      <c r="KY195" s="167">
        <f t="shared" ca="1" si="652"/>
        <v>191</v>
      </c>
      <c r="KZ195" s="168">
        <f ca="1">1370*(1+0.033*COS(2*Control!$C$138*$AH195/365))</f>
        <v>1325.2731555196708</v>
      </c>
      <c r="LA195" s="169">
        <f t="shared" ca="1" si="653"/>
        <v>0.96735263126897786</v>
      </c>
      <c r="LB195" s="169">
        <f t="shared" ca="1" si="654"/>
        <v>0.38731179373109537</v>
      </c>
      <c r="LC195" s="169">
        <f ca="1">ACOS(-TAN((2*Control!$B$8/360))*TAN(Calculations!$LB195))</f>
        <v>1.6923291829505731</v>
      </c>
      <c r="LD195" s="169">
        <f ca="1">((24*60)/PI())*0.082*$LA195*(($LC195*SIN(Control!$B$8*2*PI()/360))*SIN($LB195)+COS(Control!$B$8*2*PI()/360)*COS($LB195)*SIN($LC195))</f>
        <v>38.887527468698977</v>
      </c>
      <c r="LE195" s="170">
        <f t="shared" ca="1" si="558"/>
        <v>40.462440090962055</v>
      </c>
      <c r="LF195" s="170">
        <f ca="1">SIN(Control!$C$139*Control!$B$8)*SIN($HD195)</f>
        <v>0.29782028622695422</v>
      </c>
      <c r="LG195" s="170">
        <f ca="1">COS(Control!$C$139*Control!$B$8)*COS($HD195)</f>
        <v>0.56999668736201481</v>
      </c>
      <c r="LH195" s="170">
        <f ca="1">12*(1+2*ASIN(MAX(-1,MIN(1,$LF195/$LG195))/Control!$C$138))</f>
        <v>16.01019104949323</v>
      </c>
      <c r="LI195" s="170">
        <f ca="1">12*(1+2*ASIN(MAX(-1,MIN(1,(-SIN(-4*Control!$C$139)+$LF195)/$LG195))/Control!$C$138))</f>
        <v>16.961744390125077</v>
      </c>
      <c r="LJ195" s="168">
        <f ca="1">3600*($LH195*$LF195+24*$LG195*SQRT(1-$LK195*$LK195)/Control!$C$138)</f>
        <v>30531.396431323454</v>
      </c>
      <c r="LK195" s="170">
        <f t="shared" ca="1" si="559"/>
        <v>0.5224947667771328</v>
      </c>
      <c r="LL195" s="170">
        <f t="shared" ca="1" si="560"/>
        <v>0</v>
      </c>
      <c r="LM195" s="171">
        <f ca="1">Control!$C$145*$AB195</f>
        <v>6.6660906138995932E-2</v>
      </c>
      <c r="LN195" s="170">
        <f t="shared" ca="1" si="655"/>
        <v>0.54</v>
      </c>
      <c r="LO195" s="170">
        <f t="shared" ca="1" si="561"/>
        <v>0</v>
      </c>
      <c r="LP195" s="170">
        <f ca="1">Control!$C$140*((($D195+273.16)^4+($E195+273.16)^4)/2)*(0.34-0.14*SQRT($Y195))*(1.35*$AQ195/(0.75*$LD195)-0.35)</f>
        <v>-3.2464704755046001</v>
      </c>
      <c r="LQ195" s="170">
        <f ca="1">Control!$C$140*($G195+273)^4*(0.56-0.079*SQRT($Y195*10))*(0.1+0.9*$LO195)</f>
        <v>1.5241745131704001</v>
      </c>
      <c r="LR195" s="170">
        <f ca="1">$AQ195*(1-Control!$C$142)-$LQ195</f>
        <v>-1.5241745131704001</v>
      </c>
      <c r="LS195" s="170">
        <f ca="1">$AQ195*(1-Control!$C$143)-$LQ195</f>
        <v>-1.5241745131704001</v>
      </c>
      <c r="LT195" s="170">
        <f ca="1">$AQ195*(1-Control!$C$144)-$LQ195</f>
        <v>-1.5241745131704001</v>
      </c>
      <c r="LU195" s="169">
        <f ca="1">(1-Control!$C$144)*AQ195-LP195</f>
        <v>3.2464704755046001</v>
      </c>
      <c r="LV195" s="172">
        <f t="shared" ca="1" si="562"/>
        <v>0.79430000000000012</v>
      </c>
      <c r="LW195" s="170">
        <f t="shared" ca="1" si="563"/>
        <v>1.5886000000000002</v>
      </c>
      <c r="LX195" s="170">
        <f ca="1">($AC195*($LR195/Control!$C$141)+$LM195*$LV195)/($AC195+$LM195)</f>
        <v>0.23530094218323697</v>
      </c>
      <c r="LY195" s="170">
        <f ca="1">($AC195*($LS195/Control!$C$141)+$LM195*$LV195)/($AC195+$LM195)</f>
        <v>0.23530094218323697</v>
      </c>
      <c r="LZ195" s="170">
        <f t="shared" ca="1" si="564"/>
        <v>0.23530094218323697</v>
      </c>
      <c r="MA195" s="170">
        <f t="shared" ca="1" si="565"/>
        <v>0.23530094218323697</v>
      </c>
      <c r="MB195" s="170" t="e">
        <f t="shared" ca="1" si="566"/>
        <v>#N/A</v>
      </c>
      <c r="MC195" s="170">
        <f t="shared" ca="1" si="656"/>
        <v>0.6018</v>
      </c>
      <c r="MD195" s="170">
        <f t="shared" ca="1" si="567"/>
        <v>0.52989392535414004</v>
      </c>
      <c r="ME195" s="170">
        <f ca="1">($AC195*($LT195/Control!$C$141)+$LM195*$LW195)/($AC195+$LM195)</f>
        <v>0.71612369323045078</v>
      </c>
      <c r="MF195" s="170" t="e">
        <f ca="1">IF(Control!$B$16&gt;=1000,0.92,IF(AND(720&lt;=Control!$B$16,1000&gt;Control!$B$16),(0.95+(Control!$B$16-720)*((0.92-0.95)/(1000-720))),IF(AND(360&lt;=Control!$B$16,720&gt;Control!$B$16),(1+(Control!$B$16-360)*((0.95-1)/(720-360))),IF(AND(40&lt;=Control!$B$16,360&gt;Control!$B$16),(1.05+(Control!$B$16-40)*((1.05-1)/(360-40)))))))</f>
        <v>#N/A</v>
      </c>
      <c r="MG195" s="170">
        <f t="shared" ca="1" si="568"/>
        <v>0.71612369323045078</v>
      </c>
      <c r="MH195" s="170" t="e">
        <f t="shared" ca="1" si="695"/>
        <v>#N/A</v>
      </c>
      <c r="MI195" s="170" t="e">
        <f t="shared" ca="1" si="695"/>
        <v>#N/A</v>
      </c>
      <c r="MJ195" s="170" t="e">
        <f ca="1">MAX(0.0001, Control!$C$132*$MI195*$DL195)</f>
        <v>#N/A</v>
      </c>
      <c r="MK195" s="170">
        <f ca="1">1/(0.76+1.5*($MG195/10))-(5-Control!$C$110)*0.1</f>
        <v>1.002845988140797</v>
      </c>
      <c r="ML195" s="173">
        <f ca="1">IF(Control!$C$110&lt;3,$MK195+($MG195-0.6)/(Control!$C$110*(Control!$C$110+3)), MAX(0.1, MIN(0.95,$MK195)))</f>
        <v>0.95</v>
      </c>
      <c r="MM195" s="173">
        <f ca="1">IF(Control!$C$110&lt;3,$MK195+(($MI195/10)-0.6)/(Control!$C$110*(Control!$C$110+3)), MAX(0.1, MIN(0.95,$MK195)))</f>
        <v>0.95</v>
      </c>
      <c r="MN195" s="173">
        <f ca="1">(1-$MM195)*(Control!$C$128-Control!$C$127)+Control!$C$127</f>
        <v>0.16</v>
      </c>
      <c r="MO195" s="170" t="e">
        <f ca="1">MAX(0,MIN(1,($MS195-Control!$C$127)/($MN195-Control!$C$127)))</f>
        <v>#DIV/0!</v>
      </c>
      <c r="MP195" s="173" t="e">
        <f ca="1">1/(0.76+1.5*$MI195)-(5-Control!$C$110)*0.1</f>
        <v>#N/A</v>
      </c>
      <c r="MQ195" s="172" t="e">
        <f t="shared" ca="1" si="685"/>
        <v>#DIV/0!</v>
      </c>
      <c r="MR195" s="168" t="e">
        <f t="shared" ca="1" si="657"/>
        <v>#DIV/0!</v>
      </c>
      <c r="MS195" s="173" t="e">
        <f ca="1">MAX(Control!$C$127, MIN(Control!$C$135, $MR195/MAX(0.0001,$CY195)))</f>
        <v>#DIV/0!</v>
      </c>
      <c r="MT195" s="168" t="e">
        <f ca="1">(Control!$C$128-$MS195)*Control!$C$74</f>
        <v>#DIV/0!</v>
      </c>
      <c r="MU195" s="168" t="e">
        <f ca="1">(Control!$C$135-$MS195)*Control!$C$74</f>
        <v>#DIV/0!</v>
      </c>
      <c r="MV195" s="168" t="e">
        <f t="shared" ca="1" si="658"/>
        <v>#DIV/0!</v>
      </c>
      <c r="MW195" s="168" t="e">
        <f t="shared" ca="1" si="659"/>
        <v>#DIV/0!</v>
      </c>
      <c r="MX195" s="171" t="e">
        <f ca="1">MAX(Control!$C$127, MIN(Control!$C$135, $MW195/MAX(0.0001,Control!$C$119-$CY195)))</f>
        <v>#DIV/0!</v>
      </c>
      <c r="MY195" s="54" t="e">
        <f ca="1">IF(Control!$C$114=1, $CX195*$MX195, 0)</f>
        <v>#DIV/0!</v>
      </c>
      <c r="MZ195" s="54" t="e">
        <f t="shared" ca="1" si="660"/>
        <v>#N/A</v>
      </c>
      <c r="NA195" s="168" t="e">
        <f ca="1">(Control!$C$128-$MX195)*(Control!$C$119-Control!$C$74)</f>
        <v>#DIV/0!</v>
      </c>
      <c r="NB195" s="168" t="e">
        <f ca="1">(Control!$C$135-$MX195)*(Control!$C$119-Control!$C$74)</f>
        <v>#DIV/0!</v>
      </c>
      <c r="NC195" s="174" t="e">
        <f t="shared" ca="1" si="661"/>
        <v>#DIV/0!</v>
      </c>
      <c r="ND195" s="54">
        <f ca="1">IF(Control!$C$58=2, IF(OR(Control!$B$218=$AH195,Control!$B$219=$AH195, Control!$B$220=$AH195, Control!$B$221=$AH195, Control!$B$222=$AH195, Control!$B$223=$AH195, Control!$B$224=$AH195, Control!$B$225=$AH195, Control!$B$226=$AH195, Control!$B$227=$AH195, Control!$B$228=$AH195), 1, 0), 0)</f>
        <v>0</v>
      </c>
      <c r="NE195" s="54">
        <f ca="1">IF($ND195=0,0, VLOOKUP($AH195,Control!$B$218:$C$228,2))</f>
        <v>0</v>
      </c>
      <c r="NF195" s="168" t="e">
        <f ca="1">$CY195*(Control!$C$128-Control!$C$127)</f>
        <v>#N/A</v>
      </c>
      <c r="NG195" s="54" t="e">
        <f ca="1">IF(Control!$C$58=2, $NI194-$NJ194, 0)</f>
        <v>#DIV/0!</v>
      </c>
      <c r="NH195" s="54" t="e">
        <f ca="1">IF(AND(Control!$C$58=1, $MS194&lt;= ($MN194+0.02), $I194&lt;10), 0, IF(Control!$C$58=2, $NG194, 0))</f>
        <v>#DIV/0!</v>
      </c>
      <c r="NI195" s="54" t="e">
        <f ca="1">IF(Control!$C$58=2, $NE195+$NH195,0)</f>
        <v>#DIV/0!</v>
      </c>
      <c r="NJ195" s="54" t="e">
        <f ca="1">IF(AND(Control!$C$58=1, $MS195&lt;= ($MN195+0.02), $I195&lt;10), MAX(0, MIN(10, 0.7*($NF195-$MV195))), IF(Control!$C$58=2, MIN(10,$NI195),0))</f>
        <v>#DIV/0!</v>
      </c>
      <c r="NK195" s="54" t="e">
        <f t="shared" ca="1" si="569"/>
        <v>#DIV/0!</v>
      </c>
      <c r="NL195" s="173" t="e">
        <f ca="1">(1-Control!$C$73)*$I195+$NJ195</f>
        <v>#DIV/0!</v>
      </c>
      <c r="NM195" s="172" t="e">
        <f ca="1">IF($NL195&lt;0.5, $MB195* MAX(0, MIN(1, (SQRT($NC195)-SQRT($NC195-1))*Control!$C$71)),0)</f>
        <v>#DIV/0!</v>
      </c>
      <c r="NN195" s="170" t="e">
        <f ca="1">IF($NL195&gt;=5, $MB195, MAX(0,MIN($MB195, $NM195+$NL195,($MS195-Control!$C$129))))</f>
        <v>#DIV/0!</v>
      </c>
      <c r="NO195" s="54">
        <f>IF(Control!$C$133&lt;&gt;1, Control!$C$135-Control!$C$131, 0)</f>
        <v>0.38</v>
      </c>
      <c r="NP195" s="54" t="e">
        <f t="shared" ca="1" si="570"/>
        <v>#DIV/0!</v>
      </c>
      <c r="NQ195" s="173" t="e">
        <f ca="1">MAX(0,MIN(1,(Control!$C$135-$MS195)/(Control!$C$135-$NO195)))</f>
        <v>#DIV/0!</v>
      </c>
      <c r="NR195" s="170" t="e">
        <f ca="1">IF(Control!$C$133&lt;&gt;1, $NQ195+((1-$NP195/4)*(1-$NQ195)),1)</f>
        <v>#DIV/0!</v>
      </c>
      <c r="NS195" s="170" t="e">
        <f ca="1">IF(Control!$B$31=0,$MJ195,MAX(0,MIN($MV195,$MO195*$NR195*$MJ195)))</f>
        <v>#DIV/0!</v>
      </c>
      <c r="NT195" s="170" t="e">
        <f t="shared" ca="1" si="686"/>
        <v>#DIV/0!</v>
      </c>
      <c r="NU195" s="170" t="e">
        <f t="shared" ca="1" si="662"/>
        <v>#N/A</v>
      </c>
      <c r="NV195" s="170" t="e">
        <f t="shared" ca="1" si="571"/>
        <v>#N/A</v>
      </c>
      <c r="NW195" s="175" t="e">
        <f t="shared" ca="1" si="572"/>
        <v>#DIV/0!</v>
      </c>
      <c r="NX195" s="170" t="e">
        <f ca="1">MIN(Control!$C$72+$MU195, $NW195)</f>
        <v>#DIV/0!</v>
      </c>
      <c r="NY195" s="170" t="e">
        <f ca="1">IF($MT195&lt;=$NX195,MIN(Control!$C$72+$NB195,$NX195-$MT195),0)</f>
        <v>#DIV/0!</v>
      </c>
      <c r="NZ195" s="54" t="e">
        <f ca="1">IF(Control!$C$114=1,  $CX195*($MX195-Control!$C$127), 0)</f>
        <v>#DIV/0!</v>
      </c>
      <c r="OA195" s="170" t="e">
        <f t="shared" ca="1" si="573"/>
        <v>#DIV/0!</v>
      </c>
      <c r="OB195" s="170" t="e">
        <f ca="1">IF($NA195 &lt;=$NY195, MIN(Control!$C$72, $NY195-$NA195), 0)</f>
        <v>#DIV/0!</v>
      </c>
      <c r="OC195" s="168" t="e">
        <f t="shared" ca="1" si="574"/>
        <v>#DIV/0!</v>
      </c>
      <c r="OD195" s="168" t="e">
        <f t="shared" ca="1" si="663"/>
        <v>#DIV/0!</v>
      </c>
      <c r="OE195" s="170">
        <f ca="1">Control!$C$73*$I195</f>
        <v>0</v>
      </c>
      <c r="OF195" s="176" t="e">
        <f t="shared" ca="1" si="575"/>
        <v>#DIV/0!</v>
      </c>
      <c r="OG195" s="168" t="e">
        <f t="shared" ca="1" si="576"/>
        <v>#DIV/0!</v>
      </c>
      <c r="OH195" s="168" t="e">
        <f t="shared" ca="1" si="577"/>
        <v>#DIV/0!</v>
      </c>
      <c r="OI195" s="168" t="e">
        <f t="shared" ca="1" si="578"/>
        <v>#DIV/0!</v>
      </c>
      <c r="OJ195" s="168" t="e">
        <f t="shared" ca="1" si="579"/>
        <v>#DIV/0!</v>
      </c>
      <c r="OK195" s="204" t="e">
        <f t="shared" ca="1" si="580"/>
        <v>#DIV/0!</v>
      </c>
      <c r="OL195" s="177">
        <f>Control!$C$127</f>
        <v>0.15</v>
      </c>
      <c r="OM195" s="182" t="e">
        <f t="shared" ca="1" si="581"/>
        <v>#N/A</v>
      </c>
      <c r="ON195" s="177">
        <f>Control!$C$128</f>
        <v>0.35</v>
      </c>
      <c r="OO195" s="182" t="e">
        <f t="shared" ca="1" si="582"/>
        <v>#N/A</v>
      </c>
      <c r="OP195" s="138">
        <f t="shared" ca="1" si="664"/>
        <v>0</v>
      </c>
      <c r="OQ195" s="138" t="e">
        <f t="shared" ca="1" si="687"/>
        <v>#DIV/0!</v>
      </c>
      <c r="OR195" s="138" t="e">
        <f t="shared" ca="1" si="665"/>
        <v>#DIV/0!</v>
      </c>
      <c r="OS195" s="137" t="e">
        <f t="shared" ca="1" si="688"/>
        <v>#DIV/0!</v>
      </c>
      <c r="OT195" s="139" t="e">
        <f t="shared" ca="1" si="689"/>
        <v>#DIV/0!</v>
      </c>
      <c r="OU195" s="138" t="e">
        <f t="shared" ca="1" si="690"/>
        <v>#N/A</v>
      </c>
      <c r="OV195" s="138" t="e">
        <f t="shared" ca="1" si="691"/>
        <v>#DIV/0!</v>
      </c>
      <c r="OW195" s="138" t="e">
        <f t="shared" ca="1" si="666"/>
        <v>#DIV/0!</v>
      </c>
      <c r="OX195" s="138" t="e">
        <f t="shared" ca="1" si="667"/>
        <v>#DIV/0!</v>
      </c>
      <c r="OY195" s="138" t="e">
        <f t="shared" ca="1" si="668"/>
        <v>#DIV/0!</v>
      </c>
      <c r="OZ195" s="138" t="e">
        <f t="shared" ca="1" si="583"/>
        <v>#DIV/0!</v>
      </c>
      <c r="PA195" s="138" t="e">
        <f t="shared" ca="1" si="584"/>
        <v>#DIV/0!</v>
      </c>
      <c r="PB195" s="55">
        <f>IF(Control!$C$61="T", IF(Control!$C$65="F", IF($AH$6-Control!$C$60&lt;0,0,1), IF(365+$AH$6-Control!$C$60&lt;0,0,1)),0)</f>
        <v>0</v>
      </c>
      <c r="PC195" s="55">
        <f ca="1">IF(Control!$C$65="F", IF($AH$6-$HF195&lt;0,0,1), IF(365+$AH$6-$HF195&lt;0,0,1))</f>
        <v>1</v>
      </c>
      <c r="PD195" s="444">
        <f>Control!$C$118</f>
        <v>1500</v>
      </c>
      <c r="PE195" s="180" t="e">
        <f t="shared" ca="1" si="585"/>
        <v>#N/A</v>
      </c>
      <c r="PF195" s="445">
        <f t="shared" ca="1" si="669"/>
        <v>0.71612369323045078</v>
      </c>
      <c r="PT195" s="186"/>
      <c r="PU195" s="186"/>
      <c r="PV195" s="94"/>
      <c r="PW195" s="94"/>
      <c r="PX195" s="94"/>
      <c r="PY195" s="94"/>
      <c r="PZ195" s="94"/>
      <c r="QA195" s="94"/>
      <c r="QB195" s="94"/>
      <c r="QC195" s="94"/>
      <c r="QD195" s="94"/>
      <c r="QE195" s="94"/>
      <c r="QF195" s="94"/>
      <c r="QG195" s="94"/>
      <c r="QH195" s="94"/>
      <c r="QI195" s="94"/>
      <c r="QJ195" s="94"/>
      <c r="QK195" s="94"/>
      <c r="QL195" s="94"/>
      <c r="QM195" s="94"/>
      <c r="QN195" s="94"/>
      <c r="QO195" s="94"/>
      <c r="QP195" s="94"/>
    </row>
    <row r="196" spans="1:458" s="2" customFormat="1" x14ac:dyDescent="0.2">
      <c r="A196" s="395">
        <v>10</v>
      </c>
      <c r="B196" s="396">
        <v>7</v>
      </c>
      <c r="C196" s="387">
        <f ca="1">Weather_data!$B195</f>
        <v>0</v>
      </c>
      <c r="D196" s="388">
        <f ca="1">Weather_data!$F195</f>
        <v>0</v>
      </c>
      <c r="E196" s="388">
        <f ca="1">Weather_data!$E195</f>
        <v>0</v>
      </c>
      <c r="F196" s="388">
        <f t="shared" ca="1" si="586"/>
        <v>0</v>
      </c>
      <c r="G196" s="388">
        <f ca="1">AVERAGE($D196:$E196)+Control!$B$9</f>
        <v>0</v>
      </c>
      <c r="H196" s="388">
        <f ca="1">Weather_data!$G195</f>
        <v>0</v>
      </c>
      <c r="I196" s="388">
        <f ca="1">Weather_data!$I195</f>
        <v>0</v>
      </c>
      <c r="J196" s="388">
        <f ca="1">Weather_data!$H195</f>
        <v>0</v>
      </c>
      <c r="K196" s="389">
        <f ca="1">Weather_data!$D195</f>
        <v>0</v>
      </c>
      <c r="L196" s="388" t="e">
        <f t="shared" ca="1" si="587"/>
        <v>#N/A</v>
      </c>
      <c r="M196" s="388" t="e">
        <f t="shared" ca="1" si="465"/>
        <v>#N/A</v>
      </c>
      <c r="N196" s="388">
        <f t="shared" ca="1" si="466"/>
        <v>-1.0116884638224192E-9</v>
      </c>
      <c r="O196" s="388">
        <f t="shared" ca="1" si="588"/>
        <v>1.0116884638224192E-8</v>
      </c>
      <c r="P196" s="390">
        <v>3</v>
      </c>
      <c r="Q196" s="388">
        <f ca="1">MAX($G196-Control!$C$107,0)</f>
        <v>0</v>
      </c>
      <c r="R196" s="388">
        <f t="shared" ca="1" si="589"/>
        <v>0</v>
      </c>
      <c r="S196" s="388">
        <f t="shared" ca="1" si="467"/>
        <v>0</v>
      </c>
      <c r="T196" s="388">
        <f t="shared" ca="1" si="468"/>
        <v>0</v>
      </c>
      <c r="U196" s="59">
        <f t="shared" ca="1" si="469"/>
        <v>0</v>
      </c>
      <c r="V196" s="391">
        <f ca="1">MAX(0,MIN(Control!$C$100-Control!$C$99,$G196-Control!$C$99)*Control!$C$63)</f>
        <v>0</v>
      </c>
      <c r="W196" s="388">
        <f t="shared" ca="1" si="590"/>
        <v>0</v>
      </c>
      <c r="X196" s="388">
        <f t="shared" ca="1" si="591"/>
        <v>0.6110000000000001</v>
      </c>
      <c r="Y196" s="388">
        <f t="shared" ca="1" si="470"/>
        <v>0</v>
      </c>
      <c r="Z196" s="388">
        <f t="shared" ca="1" si="592"/>
        <v>0.61058800000000002</v>
      </c>
      <c r="AA196" s="388">
        <f t="shared" ca="1" si="471"/>
        <v>0.6018</v>
      </c>
      <c r="AB196" s="388">
        <f ca="1">101.3*EXP(-0.034*Control!$C$66/($G196+273))</f>
        <v>100.69623283836242</v>
      </c>
      <c r="AC196" s="392">
        <f t="shared" ca="1" si="472"/>
        <v>4.3460251046025113E-2</v>
      </c>
      <c r="AD196" s="392">
        <f t="shared" ca="1" si="473"/>
        <v>4.4450382862832649E-2</v>
      </c>
      <c r="AE196" s="388">
        <f t="shared" ca="1" si="474"/>
        <v>0</v>
      </c>
      <c r="AF196" s="388">
        <f ca="1">MAX(0,$G196-Control!$C$92)</f>
        <v>0</v>
      </c>
      <c r="AG196" s="393">
        <f t="shared" ca="1" si="475"/>
        <v>192</v>
      </c>
      <c r="AH196" s="389">
        <f t="shared" ca="1" si="476"/>
        <v>192</v>
      </c>
      <c r="AI196" s="388">
        <f t="shared" ca="1" si="593"/>
        <v>0.38519287922442685</v>
      </c>
      <c r="AJ196" s="388">
        <f ca="1">IF(Control!$C$60&lt;=0,$HH196,$HI196)</f>
        <v>1</v>
      </c>
      <c r="AK196" s="388">
        <f t="shared" ca="1" si="477"/>
        <v>1.9279911079564758</v>
      </c>
      <c r="AL196" s="388">
        <f t="shared" ca="1" si="478"/>
        <v>-2.5247859358756838E-18</v>
      </c>
      <c r="AM196" s="388">
        <f t="shared" ca="1" si="479"/>
        <v>1.9279911079564758</v>
      </c>
      <c r="AN196" s="388">
        <f t="shared" ca="1" si="480"/>
        <v>0.38190769207012848</v>
      </c>
      <c r="AO196" s="388">
        <f ca="1">-0.10453/COS(Control!$B$8*PI()/180)*COS(AN196)</f>
        <v>-0.15755277211465885</v>
      </c>
      <c r="AP196" s="388">
        <f ca="1">ACOS(AO196-TAN(Control!$B$8*PI()/180)*TAN(AN196))</f>
        <v>2.30717757874943</v>
      </c>
      <c r="AQ196" s="388">
        <f t="shared" ca="1" si="594"/>
        <v>0</v>
      </c>
      <c r="AR196" s="394">
        <f t="shared" ca="1" si="481"/>
        <v>0</v>
      </c>
      <c r="AS196" s="436">
        <f ca="1">IF(Control!$B$18=2,(IF(OR($AH196=Control!$B$175,$AH196=Control!$B$176,$AH196=Control!$B$177,$AH196=Control!$B$178,$AH196=Control!$B$179,$AH196=Control!$B$180,$AH196=Control!$B$181,$AH196=Control!$B$182,$AH196=Control!$B$183,$AH196=Control!$B$184,$AH196=Control!$B$185),1,0)),0)</f>
        <v>0</v>
      </c>
      <c r="AT196" s="436">
        <f>IF(Control!$B$20=8,IF(AND($AH196&gt;=Control!$B$172,$AH196&lt;=Control!$B$173),1,0),0)</f>
        <v>0</v>
      </c>
      <c r="AU196" s="436">
        <f>IF(Control!$B$20=8,IF($AV195=1,1*$AT196,IF($AT196=1,$AU195+1,$AU195)),0)</f>
        <v>0</v>
      </c>
      <c r="AV196" s="436">
        <f>IF(Control!$B$20=8,IF($AU196&gt;=Control!$B$174,1,0),0)</f>
        <v>0</v>
      </c>
      <c r="AW196" s="436">
        <f ca="1">IF(AND(Control!$B$18=2,Control!$B$171=1), $AV196, $AS196)</f>
        <v>0</v>
      </c>
      <c r="AX196" s="436" t="e">
        <f ca="1">IF(AND(Control!$B$18=1,$EU196&gt;=Control!$B$19),-$AY196,IF(AND(Control!$B$18=2,$AW196=1,$EU196&gt;$DS196),-$AY196, IF(Control!$C$108=0,0, IF(Control!$C$108&lt;&gt;0,1))))</f>
        <v>#N/A</v>
      </c>
      <c r="AY196" s="436" t="e">
        <f t="shared" ca="1" si="595"/>
        <v>#N/A</v>
      </c>
      <c r="AZ196" s="436" t="e">
        <f ca="1">IF(AND(Control!$B$18=1,$EB196&gt;Control!$B$19),$AZ195+1, IF(AND(Control!$B$18=2, $AW196=1, $EB196&gt;$DS196), $AZ195+1,$AZ195))</f>
        <v>#N/A</v>
      </c>
      <c r="BA196" s="587">
        <f>IF(Control!$C$81=0,1,IF($AH196&gt;=Control!$C$82,1,0))</f>
        <v>1</v>
      </c>
      <c r="BB196" s="140" t="e">
        <f ca="1">IF($BA196&gt;$BA195,Control!$C$83,IF($AW196&gt;0,$AW196*Control!$C$84,IF(AND(Control!$B$18=1,EN195&lt;&gt;0),Control!$C$84,0)))</f>
        <v>#N/A</v>
      </c>
      <c r="BC196" s="140" t="e">
        <f t="shared" ca="1" si="596"/>
        <v>#N/A</v>
      </c>
      <c r="BD196" s="140" t="e">
        <f ca="1">BC196*IF(OR($G196&lt;Control!$C$92,$G196&gt;Control!$C$95),0,IF(AND($G196&gt;=Control!$C$92,$G196&lt;=Control!$C$93),$G196-Control!$C$92,IF(AND($G196&gt;Control!$C$93,$G196&lt;=Control!$C$94),Control!$C$93-Control!$C$92,IF(AND($G196&gt;Control!$C$94,$G196&lt;=Control!$C$95),(Control!$C$93-Control!$C$92)*(Control!$C$94-$G196)/(Control!$C$95-Control!$C$94)))))</f>
        <v>#N/A</v>
      </c>
      <c r="BE196" s="140" t="e">
        <f t="shared" ca="1" si="597"/>
        <v>#N/A</v>
      </c>
      <c r="BF196" s="140" t="e">
        <f ca="1">IF($BE196&lt;=Control!$C$86,$BE196,Control!$C$86-$BE196)</f>
        <v>#N/A</v>
      </c>
      <c r="BG196" s="140" t="e">
        <f ca="1">IF(AND($AW196=1,Control!$C$84&lt;9),1,IF($BE196&gt;=Control!$C$86,0,$BC196))</f>
        <v>#N/A</v>
      </c>
      <c r="BH196" s="404" t="e">
        <f ca="1">IF($BG196=0,0,IF($BE196&lt;=Control!$C$86,$BC196*9*($BF196/Control!$C$86),0))</f>
        <v>#N/A</v>
      </c>
      <c r="BI196" s="140" t="e">
        <f ca="1">IF($BG196=1,0,IF($BE196&gt;=Control!$C$86,1,IF(AND($BB196&lt;21,$BB196&gt;=9),1,$BM195)))</f>
        <v>#N/A</v>
      </c>
      <c r="BJ196" s="140" t="e">
        <f ca="1">IF($BF196&lt;0,-$BF196,$BI196*IF(OR($G196&lt;Control!$C$92,$G196&gt;Control!$C$95),0,IF(AND($G196&gt;=Control!$C$92,$G196&lt;=Control!$C$93),$G196-Control!$C$92,IF(AND($G196&gt;Control!$C$93,$G196&lt;=Control!$C$94),Control!$C$93-Control!$C$92,IF(AND($G196&gt;Control!$C$94,$G196&lt;=Control!$C$95),(Control!$C$93-Control!$C$92)*(Control!$C$94-$G196)/(Control!$C$95-Control!$C$94))))))</f>
        <v>#N/A</v>
      </c>
      <c r="BK196" s="140" t="e">
        <f t="shared" ca="1" si="598"/>
        <v>#N/A</v>
      </c>
      <c r="BL196" s="140" t="e">
        <f ca="1">IF($BK196&lt;=Control!$C$87,$BK196,Control!$C$87-$BK196)</f>
        <v>#N/A</v>
      </c>
      <c r="BM196" s="140" t="e">
        <f ca="1">IF(AND($BB196&gt;=9,$BB196&lt;21),1,IF($BK196&gt;=Control!$C$87,0,$BI196))</f>
        <v>#N/A</v>
      </c>
      <c r="BN196" s="404" t="e">
        <f ca="1">IF($BM196=0,0,IF($BK196&lt;=Control!$C$87,$BI196*(9+(21-9)*($BL196/Control!$C$87)),0))</f>
        <v>#N/A</v>
      </c>
      <c r="BO196" s="140" t="e">
        <f ca="1">IF($BM196=1,0,IF($BK196&gt;=Control!$C$87,1,IF(AND($BB196&lt;30,$BB196&gt;=21),1,$BS195)))</f>
        <v>#N/A</v>
      </c>
      <c r="BP196" s="140" t="e">
        <f ca="1">IF($BL196&lt;0,-$BL196,$BO196*IF(OR($G196&lt;Control!$C$92,$G196&gt;Control!$C$95),0,IF(AND($G196&gt;=Control!$C$92,$G196&lt;=Control!$C$93),$G196-Control!$C$92,IF(AND($G196&gt;Control!$C$93,$G196&lt;=Control!$C$94),Control!$C$93-Control!$C$92,IF(AND($G196&gt;Control!$C$94,$G196&lt;=Control!$C$95),(Control!$C$93-Control!$C$92)*(Control!$C$94-$G196)/(Control!$C$95-Control!$C$94))))))</f>
        <v>#N/A</v>
      </c>
      <c r="BQ196" s="140" t="e">
        <f t="shared" ca="1" si="482"/>
        <v>#N/A</v>
      </c>
      <c r="BR196" s="140" t="e">
        <f ca="1">IF($BQ196&lt;=Control!$C$88,$BQ196,Control!$C$88-$BQ196)</f>
        <v>#N/A</v>
      </c>
      <c r="BS196" s="140" t="e">
        <f ca="1">IF(AND($BB196&gt;=21,$BB196&lt;30),1,IF($BQ196&gt;=Control!$C$88,0,$BO196))</f>
        <v>#N/A</v>
      </c>
      <c r="BT196" s="404" t="e">
        <f ca="1">IF($BS196=0,0,IF($BQ196&lt;=Control!$C$88,$BO196*(21+(30-21)*(BR196/Control!$C$88)),0))</f>
        <v>#N/A</v>
      </c>
      <c r="BU196" s="140" t="e">
        <f ca="1">IF(BG196+BM196+BS196=1,0,IF(OR(AND($BB196&lt;60,$BB196&gt;=30),$BQ196&gt;=Control!$C$88),1*$BA196,$BY195))</f>
        <v>#N/A</v>
      </c>
      <c r="BV196" s="140" t="e">
        <f ca="1">IF($BR196&lt;0,-$BR196,$BU196*IF(OR($G196&lt;Control!$C$92,$G196&gt;Control!$C$95),0,IF(AND($G196&gt;=Control!$C$92,$G196&lt;=Control!$C$93),$G196-Control!$C$92,IF(AND($G196&gt;Control!$C$93,$G196&lt;=Control!$C$94),Control!$C$93-Control!$C$92,IF(AND($G196&gt;Control!$C$94,$G196&lt;=Control!$C$95),(Control!$C$93-Control!$C$92)*(Control!$C$94-$G196)/(Control!$C$95-Control!$C$94))))))</f>
        <v>#N/A</v>
      </c>
      <c r="BW196" s="140" t="e">
        <f t="shared" ca="1" si="483"/>
        <v>#N/A</v>
      </c>
      <c r="BX196" s="140" t="e">
        <f ca="1">IF($BW196&lt;=Control!$C$89,$BW196,Control!$C$89-$BW196)</f>
        <v>#N/A</v>
      </c>
      <c r="BY196" s="140" t="e">
        <f ca="1">IF(AND($AJ196&gt;=30,$AJ196&lt;60),1,IF($BW196&gt;=Control!$C$89,0,$BU196))</f>
        <v>#N/A</v>
      </c>
      <c r="BZ196" s="404" t="e">
        <f ca="1">IF($BY196=0,0,IF($BW196&lt;=Control!$C$89,$BU196*(30+(60-30)*(BX196/Control!$C$89)),0))</f>
        <v>#N/A</v>
      </c>
      <c r="CA196" s="140" t="e">
        <f ca="1">IF($BG196+$BM196+$BS196+$BY196=1,0,IF(OR(AND($BB196&lt;65,$BB196&gt;=60),$BW196&gt;=Control!$C$89),1*$BA196,$CE195))</f>
        <v>#N/A</v>
      </c>
      <c r="CB196" s="140" t="e">
        <f ca="1">IF($BX196&lt;0,-$BX196,$CA196*IF(OR($G196&lt;Control!$C$92,$G196&gt;Control!$C$95),0,IF(AND($G196&gt;=Control!$C$92,$G196&lt;=Control!$C$93),$G196-Control!$C$92,IF(AND($G196&gt;Control!$C$93,$G196&lt;=Control!$C$94),Control!$C$93-Control!$C$92,IF(AND($G196&gt;Control!$C$94,$G196&lt;=Control!$C$95),(Control!$C$93-Control!$C$92)*(Control!$C$94-$G196)/(Control!$C$95-Control!$C$94))))))</f>
        <v>#N/A</v>
      </c>
      <c r="CC196" s="140" t="e">
        <f t="shared" ca="1" si="599"/>
        <v>#N/A</v>
      </c>
      <c r="CD196" s="140" t="e">
        <f ca="1">IF($CC196&lt;=Control!$C$90,$CC196,Control!$C$90-$CC196)</f>
        <v>#N/A</v>
      </c>
      <c r="CE196" s="140" t="e">
        <f ca="1">IF(AND($BB196&gt;=60,$BB196&lt;65),1,IF($CC196&gt;=Control!$C$90,0,$CA196))</f>
        <v>#N/A</v>
      </c>
      <c r="CF196" s="404" t="e">
        <f ca="1">IF($CE196=0,0,IF($CC196&lt;=Control!$C$90,$CA196*(60+(65-60)*(CD196/Control!$C$90)),0))</f>
        <v>#N/A</v>
      </c>
      <c r="CG196" s="140" t="e">
        <f ca="1">IF($BG196+$BM196+$BS196+$BY196+$CE196=1,0,IF(OR(AND($BB196&lt;90,$BB196&gt;=65),$CC196&gt;=Control!$C$90),$BA196,$CK195))</f>
        <v>#N/A</v>
      </c>
      <c r="CH196" s="140" t="e">
        <f ca="1">IF($CD196&lt;0,-$CD196,$CG196*IF(OR($G196&lt;Control!$C$92,$G196&gt;Control!$C$95),0,IF(AND($G196&gt;=Control!$C$92,$G196&lt;=Control!$C$93),$G196-Control!$C$92,IF(AND($G196&gt;Control!$C$93,$G196&lt;=Control!$C$94),Control!$C$93-Control!$C$92,IF(AND($G196&gt;Control!$C$94,$G196&lt;=Control!$C$95),(Control!$C$93-Control!$C$92)*(Control!$C$94-$G196)/(Control!$C$95-Control!$C$94))))))</f>
        <v>#N/A</v>
      </c>
      <c r="CI196" s="140" t="e">
        <f t="shared" ca="1" si="600"/>
        <v>#N/A</v>
      </c>
      <c r="CJ196" s="140" t="e">
        <f ca="1">IF($CI196&lt;=Control!$C$91,$CI196,Control!$C$91-$CI196)</f>
        <v>#N/A</v>
      </c>
      <c r="CK196" s="140" t="e">
        <f ca="1">IF(AND($BB196&gt;=65,$BB196&lt;90),1,IF($CI196&gt;=Control!$C$91,0,$CG196))</f>
        <v>#N/A</v>
      </c>
      <c r="CL196" s="404" t="e">
        <f ca="1">IF($CK196=0,0,IF($CI196&lt;=Control!$C$91,$CG196*(65+(90-65)*($CJ196/Control!$C$91)),0))</f>
        <v>#N/A</v>
      </c>
      <c r="CM196" s="140" t="e">
        <f ca="1">IF($BG196+$BM196+$BS196+$BY196+$CE196+$CK196=1,0,IF(OR($BB196&gt;=90,$CI196&gt;=Control!$C$91),$BA196,$CM195))</f>
        <v>#N/A</v>
      </c>
      <c r="CN196" s="140" t="e">
        <f t="shared" ca="1" si="601"/>
        <v>#N/A</v>
      </c>
      <c r="CO196" s="140" t="e">
        <f t="shared" ca="1" si="602"/>
        <v>#N/A</v>
      </c>
      <c r="CP196" s="140" t="e">
        <f t="shared" ca="1" si="603"/>
        <v>#N/A</v>
      </c>
      <c r="CQ196" s="141" t="e">
        <f ca="1">VLOOKUP($CP196,Control!$B$86:$G$91,6)</f>
        <v>#N/A</v>
      </c>
      <c r="CR196" s="141" t="e">
        <f ca="1">(1-$CQ196)*VLOOKUP($CP196,Control!$B$86:$D$91,3)</f>
        <v>#N/A</v>
      </c>
      <c r="CS196" s="141" t="e">
        <f ca="1">(1-$CQ196)*VLOOKUP($CP196,Control!$B$86:$E$91,4)</f>
        <v>#N/A</v>
      </c>
      <c r="CT196" s="141" t="e">
        <f ca="1">(1-$CQ196)*VLOOKUP($CP196,Control!$B$86:$F$91,5)</f>
        <v>#N/A</v>
      </c>
      <c r="CU196" s="141">
        <f t="shared" ca="1" si="604"/>
        <v>0</v>
      </c>
      <c r="CV196" s="583">
        <f t="shared" ca="1" si="605"/>
        <v>0</v>
      </c>
      <c r="CW196" s="142">
        <f t="shared" ca="1" si="606"/>
        <v>192</v>
      </c>
      <c r="CX196" s="612" t="e">
        <f ca="1">IF(Control!$C$114=1,(MIN(Control!$C$120*(IF($NT196-0.01&lt;0,0,1)),Control!$C$119-$CY196)))</f>
        <v>#DIV/0!</v>
      </c>
      <c r="CY196" s="143" t="e">
        <f t="shared" ca="1" si="607"/>
        <v>#N/A</v>
      </c>
      <c r="CZ196" s="144">
        <f t="shared" ca="1" si="484"/>
        <v>0</v>
      </c>
      <c r="DA196" s="144">
        <f t="shared" ca="1" si="485"/>
        <v>0</v>
      </c>
      <c r="DB196" s="144" t="e">
        <f t="shared" ca="1" si="486"/>
        <v>#N/A</v>
      </c>
      <c r="DC196" s="144" t="e">
        <f t="shared" ca="1" si="487"/>
        <v>#N/A</v>
      </c>
      <c r="DD196" s="144" t="e">
        <f t="shared" ca="1" si="692"/>
        <v>#N/A</v>
      </c>
      <c r="DE196" s="143" t="e">
        <f t="shared" ca="1" si="608"/>
        <v>#N/A</v>
      </c>
      <c r="DF196" s="145" t="e">
        <f ca="1">$DR196*EXP(-Control!$C$158*(1-$KH196))</f>
        <v>#N/A</v>
      </c>
      <c r="DG196" s="146" t="e">
        <f ca="1">IF(Control!$C$114=1, $DF196*$EY196, 0)</f>
        <v>#N/A</v>
      </c>
      <c r="DH196" s="147" t="e">
        <f t="shared" ca="1" si="609"/>
        <v>#N/A</v>
      </c>
      <c r="DI196" s="144" t="e">
        <f t="shared" ca="1" si="670"/>
        <v>#N/A</v>
      </c>
      <c r="DJ196" s="147" t="e">
        <f ca="1">$EF196*Control!$C$109</f>
        <v>#N/A</v>
      </c>
      <c r="DK196" s="144" t="e">
        <f t="shared" ca="1" si="610"/>
        <v>#N/A</v>
      </c>
      <c r="DL196" s="144" t="e">
        <f t="shared" ca="1" si="488"/>
        <v>#N/A</v>
      </c>
      <c r="DM196" s="144" t="e">
        <f ca="1">IF(Control!$C$114=1, (1-EXP(-Control!$C$96*$DK196))*$AR196, 0)</f>
        <v>#N/A</v>
      </c>
      <c r="DN196" s="144">
        <f t="shared" ca="1" si="611"/>
        <v>0</v>
      </c>
      <c r="DO196" s="148">
        <f>Control!$C$97</f>
        <v>4</v>
      </c>
      <c r="DP196" s="145" t="e">
        <f t="shared" ca="1" si="612"/>
        <v>#N/A</v>
      </c>
      <c r="DQ196" s="145" t="e">
        <f ca="1">IF(AND($CP196&gt;=0,$CP196&lt;=90),Control!$C$111,Control!$C$111)</f>
        <v>#N/A</v>
      </c>
      <c r="DR196" s="145" t="e">
        <f t="shared" ca="1" si="489"/>
        <v>#N/A</v>
      </c>
      <c r="DS196" s="143" t="e">
        <f ca="1">Control!$B$22/$DR196</f>
        <v>#N/A</v>
      </c>
      <c r="DT196" s="149" t="e">
        <f ca="1">IF(AND(Control!$C$114=1,$KH196&lt;1),$IM196*$DF196, 0)</f>
        <v>#N/A</v>
      </c>
      <c r="DU196" s="144" t="e">
        <f t="shared" ca="1" si="613"/>
        <v>#N/A</v>
      </c>
      <c r="DV196" s="144">
        <f ca="1">IF($G196-Control!$C$107&lt;=0, 0, 0.83*LN(MAX($G196, 3))-0.8924)</f>
        <v>0</v>
      </c>
      <c r="DW196" s="144" t="e">
        <f t="shared" ca="1" si="490"/>
        <v>#N/A</v>
      </c>
      <c r="DX196" s="150" t="e">
        <f ca="1">MAX(0.01*(1+$CU196/Control!$C$102),0.05*($DK196-Control!$C$97)/Control!$C$97)</f>
        <v>#N/A</v>
      </c>
      <c r="DY196" s="151" t="e">
        <f ca="1">IF(Control!$C$114=1, $DI196*$FS196, 0)</f>
        <v>#N/A</v>
      </c>
      <c r="DZ196" s="196" t="e">
        <f t="shared" ca="1" si="614"/>
        <v>#N/A</v>
      </c>
      <c r="EA196" s="152">
        <f t="shared" ca="1" si="615"/>
        <v>192</v>
      </c>
      <c r="EB196" s="153" t="e">
        <f t="shared" ca="1" si="616"/>
        <v>#N/A</v>
      </c>
      <c r="EC196" s="153" t="e">
        <f t="shared" ca="1" si="617"/>
        <v>#N/A</v>
      </c>
      <c r="ED196" s="154" t="e">
        <f ca="1">IF(Control!$C$114=1, $HM196*$FY196-$FD196, 0)</f>
        <v>#DIV/0!</v>
      </c>
      <c r="EE196" s="155" t="e">
        <f ca="1">IF(Control!$C$114=1, $HM196*$FZ196-$FF196, 0)</f>
        <v>#DIV/0!</v>
      </c>
      <c r="EF196" s="153" t="e">
        <f t="shared" ca="1" si="671"/>
        <v>#N/A</v>
      </c>
      <c r="EG196" s="155" t="e">
        <f ca="1">IF(Control!$C$114=1, $GX196*$FW196-$FI196, 0)</f>
        <v>#DIV/0!</v>
      </c>
      <c r="EH196" s="153" t="e">
        <f t="shared" ca="1" si="618"/>
        <v>#N/A</v>
      </c>
      <c r="EI196" s="156" t="e">
        <f t="shared" ca="1" si="619"/>
        <v>#N/A</v>
      </c>
      <c r="EJ196" s="155" t="e">
        <f ca="1">IF(Control!$C$114=1, $HM196*$GB196, 0)</f>
        <v>#DIV/0!</v>
      </c>
      <c r="EK196" s="153" t="e">
        <f t="shared" ca="1" si="672"/>
        <v>#N/A</v>
      </c>
      <c r="EL196" s="153" t="e">
        <f t="shared" ca="1" si="491"/>
        <v>#N/A</v>
      </c>
      <c r="EM196" s="153" t="e">
        <f t="shared" ca="1" si="492"/>
        <v>#N/A</v>
      </c>
      <c r="EN196" s="153" t="e">
        <f ca="1">IF(Control!$C$108=1,IF(AND(Control!$B$18=1,$EB196&gt;=Control!$B$19),$EB196-$DS196,IF(AND(Control!$B$18=2,$AW196=1,$EB196&gt;$DS196),$EB196-$DS196,0)))</f>
        <v>#N/A</v>
      </c>
      <c r="EO196" s="153" t="e">
        <f ca="1">IF(Control!$C$108=1,IF(AND(Control!$B$18=1,$EB196&gt;=Control!$B$19),$EF196,IF(AND(Control!$B$18=2,$AW196=1),$EF196,0)))</f>
        <v>#N/A</v>
      </c>
      <c r="EP196" s="153" t="e">
        <f ca="1">IF(Control!$C$108=1,IF(AND(Control!$B$18=1,$EB196&gt;=Control!$B$19),$EK196,IF(AND(Control!$B$18=2,$AW196=1),$EK196,0)))</f>
        <v>#N/A</v>
      </c>
      <c r="EQ196" s="153" t="e">
        <f t="shared" ca="1" si="620"/>
        <v>#N/A</v>
      </c>
      <c r="ER196" s="153" t="e">
        <f t="shared" ca="1" si="621"/>
        <v>#N/A</v>
      </c>
      <c r="ES196" s="153" t="e">
        <f t="shared" ca="1" si="673"/>
        <v>#N/A</v>
      </c>
      <c r="ET196" s="153" t="e">
        <f t="shared" ca="1" si="674"/>
        <v>#N/A</v>
      </c>
      <c r="EU196" s="153" t="e">
        <f t="shared" ca="1" si="622"/>
        <v>#N/A</v>
      </c>
      <c r="EV196" s="153" t="e">
        <f t="shared" ca="1" si="493"/>
        <v>#N/A</v>
      </c>
      <c r="EW196" s="153" t="e">
        <f t="shared" ca="1" si="494"/>
        <v>#N/A</v>
      </c>
      <c r="EX196" s="153" t="e">
        <f t="shared" ca="1" si="495"/>
        <v>#N/A</v>
      </c>
      <c r="EY196" s="157" t="e">
        <f t="shared" ca="1" si="496"/>
        <v>#DIV/0!</v>
      </c>
      <c r="EZ196" s="154" t="e">
        <f t="shared" ca="1" si="497"/>
        <v>#DIV/0!</v>
      </c>
      <c r="FA196" s="153" t="e">
        <f t="shared" ca="1" si="623"/>
        <v>#N/A</v>
      </c>
      <c r="FB196" s="153" t="e">
        <f t="shared" ca="1" si="498"/>
        <v>#N/A</v>
      </c>
      <c r="FC196" s="193" t="e">
        <f t="shared" ca="1" si="499"/>
        <v>#N/A</v>
      </c>
      <c r="FD196" s="158" t="e">
        <f t="shared" ca="1" si="624"/>
        <v>#N/A</v>
      </c>
      <c r="FE196" s="158" t="e">
        <f t="shared" ca="1" si="625"/>
        <v>#N/A</v>
      </c>
      <c r="FF196" s="159" t="e">
        <f t="shared" ca="1" si="500"/>
        <v>#N/A</v>
      </c>
      <c r="FG196" s="160" t="e">
        <f t="shared" ca="1" si="626"/>
        <v>#N/A</v>
      </c>
      <c r="FH196" s="158" t="e">
        <f t="shared" ca="1" si="627"/>
        <v>#N/A</v>
      </c>
      <c r="FI196" s="159" t="e">
        <f t="shared" ca="1" si="501"/>
        <v>#N/A</v>
      </c>
      <c r="FJ196" s="160" t="e">
        <f t="shared" ca="1" si="628"/>
        <v>#N/A</v>
      </c>
      <c r="FK196" s="160" t="e">
        <f t="shared" ca="1" si="502"/>
        <v>#N/A</v>
      </c>
      <c r="FL196" s="160" t="e">
        <f t="shared" ca="1" si="675"/>
        <v>#N/A</v>
      </c>
      <c r="FM196" s="160" t="e">
        <f t="shared" ca="1" si="503"/>
        <v>#N/A</v>
      </c>
      <c r="FN196" s="158">
        <f t="shared" ca="1" si="629"/>
        <v>0.01</v>
      </c>
      <c r="FO196" s="160">
        <f>Control!$C$101</f>
        <v>50</v>
      </c>
      <c r="FP196" s="150" t="e">
        <f t="shared" ca="1" si="504"/>
        <v>#N/A</v>
      </c>
      <c r="FQ196" s="150" t="e">
        <f ca="1">MAX(0,(Control!$C$112*(($DK196-Control!$C$97)/Control!$C$97)))</f>
        <v>#N/A</v>
      </c>
      <c r="FR196" s="150" t="e">
        <f ca="1">(1-$NT196)*Control!$C$113</f>
        <v>#DIV/0!</v>
      </c>
      <c r="FS196" s="198" t="e">
        <f t="shared" ca="1" si="505"/>
        <v>#N/A</v>
      </c>
      <c r="FT196" s="161">
        <f t="shared" ca="1" si="630"/>
        <v>192</v>
      </c>
      <c r="FU196" s="162" t="e">
        <f ca="1">IF(Control!$B$34=1,VLOOKUP($CP196,Control!$B$86:$G$91,6),Control!$B$35)</f>
        <v>#N/A</v>
      </c>
      <c r="FV196" s="162" t="e">
        <f t="shared" ca="1" si="506"/>
        <v>#DIV/0!</v>
      </c>
      <c r="FW196" s="162" t="e">
        <f ca="1">IF(Control!$B$31=1,$FU196*$FV196,  $FU196)</f>
        <v>#N/A</v>
      </c>
      <c r="FX196" s="162" t="e">
        <f ca="1">IF(Control!$B$34=1,VLOOKUP($CP196,Control!$B$86:$G$91,3),Control!$B$36)</f>
        <v>#N/A</v>
      </c>
      <c r="FY196" s="162" t="e">
        <f t="shared" ca="1" si="507"/>
        <v>#N/A</v>
      </c>
      <c r="FZ196" s="162" t="e">
        <f ca="1">IF(Control!$B$34=1,VLOOKUP($CP196,Control!$B$86:$G$91,4),Control!$B$37)</f>
        <v>#N/A</v>
      </c>
      <c r="GA196" s="162" t="e">
        <f t="shared" ca="1" si="508"/>
        <v>#N/A</v>
      </c>
      <c r="GB196" s="162" t="e">
        <f ca="1">IF(Control!$B$34=1,VLOOKUP($CP196,Control!$B$86:$G$91,5),Control!$B$38)</f>
        <v>#N/A</v>
      </c>
      <c r="GC196" s="162" t="e">
        <f t="shared" ca="1" si="631"/>
        <v>#N/A</v>
      </c>
      <c r="GD196" s="162">
        <f t="shared" ca="1" si="509"/>
        <v>1</v>
      </c>
      <c r="GE196" s="162">
        <f t="shared" ca="1" si="510"/>
        <v>1</v>
      </c>
      <c r="GF196" s="162">
        <f ca="1">IF(AND(Control!$C$104=1, Control!$C$62="F"),$GE196,1)</f>
        <v>1</v>
      </c>
      <c r="GG196" s="162" t="e">
        <f ca="1">IF(Control!$B$16=40,0,IF(AND(Control!$B$16&gt;40,Control!$B$16&lt;=360),(Control!$B$16-40)*((1-0)/(360-40)),IF(AND(Control!$B$16&gt;360,Control!$B$16&lt;=720),(1+(Control!$B$16-360)*((1.25-1)/(720-360))),IF(AND(Control!$B$16&gt;720,Control!$B$16&lt;=1000),(1.25+(Control!$B$16-720)*((1.35-1.25)/(1000-720))),IF(AND(Control!$B$16&gt;1000,Control!$B$16&lt;=2000),(1.35+(Control!$B$16-1000)*0))))))</f>
        <v>#N/A</v>
      </c>
      <c r="GH196" s="162" t="e">
        <f t="shared" ca="1" si="511"/>
        <v>#N/A</v>
      </c>
      <c r="GI196" s="162">
        <f t="shared" ca="1" si="632"/>
        <v>0</v>
      </c>
      <c r="GJ196" s="162">
        <f t="shared" ca="1" si="512"/>
        <v>0</v>
      </c>
      <c r="GK196" s="162">
        <f t="shared" ca="1" si="633"/>
        <v>1</v>
      </c>
      <c r="GL196" s="162">
        <f t="shared" ca="1" si="513"/>
        <v>1</v>
      </c>
      <c r="GM196" s="162" t="e">
        <f ca="1">MAX(0,MIN(1,1-Control!$C$156*(1.0001-$KH196)^2))</f>
        <v>#N/A</v>
      </c>
      <c r="GN196" s="162" t="e">
        <f ca="1">IF(Control!$B$26=1,$KU196,$KX196)</f>
        <v>#N/A</v>
      </c>
      <c r="GO196" s="162" t="e">
        <f ca="1">IF($CP196&lt;=60,Control!$C$105,IF($CP196&gt;=90,Control!$C$106,Control!$C$105+($CP196-60)*((Control!$C$106-Control!$C$105)/(90-60))))</f>
        <v>#N/A</v>
      </c>
      <c r="GP196" s="162" t="e">
        <f t="shared" ca="1" si="514"/>
        <v>#N/A</v>
      </c>
      <c r="GQ196" s="162" t="e">
        <f t="shared" ca="1" si="634"/>
        <v>#N/A</v>
      </c>
      <c r="GR196" s="163" t="e">
        <f t="shared" ca="1" si="515"/>
        <v>#DIV/0!</v>
      </c>
      <c r="GS196" s="162" t="e">
        <f t="shared" ca="1" si="516"/>
        <v>#DIV/0!</v>
      </c>
      <c r="GT196" s="164" t="e">
        <f t="shared" ca="1" si="635"/>
        <v>#N/A</v>
      </c>
      <c r="GU196" s="162" t="e">
        <f t="shared" ca="1" si="636"/>
        <v>#N/A</v>
      </c>
      <c r="GV196" s="162" t="e">
        <f t="shared" ca="1" si="517"/>
        <v>#N/A</v>
      </c>
      <c r="GW196" s="162" t="e">
        <f t="shared" ca="1" si="518"/>
        <v>#DIV/0!</v>
      </c>
      <c r="GX196" s="162" t="e">
        <f t="shared" ca="1" si="637"/>
        <v>#DIV/0!</v>
      </c>
      <c r="GY196" s="162" t="e">
        <f t="shared" ca="1" si="638"/>
        <v>#DIV/0!</v>
      </c>
      <c r="GZ196" s="165" t="e">
        <f t="shared" ca="1" si="519"/>
        <v>#N/A</v>
      </c>
      <c r="HA196" s="162" t="e">
        <f ca="1">IF(Control!$C$114=1, $DI196*$FS196, 0)</f>
        <v>#N/A</v>
      </c>
      <c r="HB196" s="162" t="e">
        <f ca="1">$FA196/Control!$C$64</f>
        <v>#N/A</v>
      </c>
      <c r="HC196" s="162" t="e">
        <f t="shared" ca="1" si="520"/>
        <v>#DIV/0!</v>
      </c>
      <c r="HD196" s="162">
        <f ca="1">-ASIN(SIN(23.45*Control!$C$139)*COS(2*Control!$C$138*($AH196+10)/365))</f>
        <v>0.38519287922442685</v>
      </c>
      <c r="HE196" s="165">
        <f t="shared" ca="1" si="639"/>
        <v>0</v>
      </c>
      <c r="HF196" s="166">
        <f ca="1">IF(AND(Control!$C$61="T",$HE196&gt;=Control!$C$103,Control!$C$114=0),$AH196,Control!$C$59)</f>
        <v>1</v>
      </c>
      <c r="HG196" s="166">
        <f ca="1">IF(AND(Control!$C$61="T",$HE196&gt;=Control!$C$103,Control!$C$114=0),$HF196,Control!$C$59)</f>
        <v>1</v>
      </c>
      <c r="HH196" s="165">
        <f ca="1">IF(AND(OR(Control!$C$60&lt;=0, $AH196= Control!$C$59, Control!$C$60 &gt;0, $AH196 = Control!$C$60)), Control!$C$59, IF(Control!$C$60&gt;0, 0))</f>
        <v>1</v>
      </c>
      <c r="HI196" s="165">
        <f ca="1">IF(AND(OR(Control!$C$60&lt;=0, $AH196= Control!$C$59, Control!$C$60 &gt;0, $AH196 = Control!$C$60)), Control!$C$60, IF(Control!$C$60&lt;=0, 0))</f>
        <v>0</v>
      </c>
      <c r="HJ196" s="166">
        <f ca="1">IF(AND(Control!$C$62="F",$CV196&gt;=Control!$C$102),$AH196,0)</f>
        <v>0</v>
      </c>
      <c r="HK196" s="165" t="e">
        <f t="shared" ca="1" si="676"/>
        <v>#N/A</v>
      </c>
      <c r="HL196" s="166">
        <f ca="1">IF(AND(Control!$C$61="T",$HE196&gt;=Control!$C$103,Control!$C$114=0),$HF196,0)</f>
        <v>0</v>
      </c>
      <c r="HM196" s="201" t="e">
        <f t="shared" ca="1" si="521"/>
        <v>#DIV/0!</v>
      </c>
      <c r="HN196" s="215">
        <f t="shared" ca="1" si="640"/>
        <v>192</v>
      </c>
      <c r="HO196" s="216" t="e">
        <f ca="1">IF(AND($CP196&gt;=0, $CP196&lt;=90), Control!$C$152, Control!$C$152)</f>
        <v>#N/A</v>
      </c>
      <c r="HP196" s="216" t="e">
        <f t="shared" ca="1" si="522"/>
        <v>#N/A</v>
      </c>
      <c r="HQ196" s="217" t="e">
        <f ca="1">IF(OR(Control!$B$26=1,Control!$B$26=2),$KV196,$KS196)</f>
        <v>#DIV/0!</v>
      </c>
      <c r="HR196" s="218" t="e">
        <f t="shared" ca="1" si="677"/>
        <v>#DIV/0!</v>
      </c>
      <c r="HS196" s="216" t="e">
        <f ca="1">Control!$C$154*$HP196</f>
        <v>#N/A</v>
      </c>
      <c r="HT196" s="216" t="e">
        <f ca="1">Control!$C$155*$HP196</f>
        <v>#N/A</v>
      </c>
      <c r="HU196" s="217" t="e">
        <f ca="1">Control!$C$161*$FI196</f>
        <v>#N/A</v>
      </c>
      <c r="HV196" s="218" t="e">
        <f t="shared" ca="1" si="641"/>
        <v>#N/A</v>
      </c>
      <c r="HW196" s="218" t="e">
        <f ca="1">Control!$C$160*$FF196+$IP196*$EO196</f>
        <v>#N/A</v>
      </c>
      <c r="HX196" s="218" t="e">
        <f t="shared" ca="1" si="678"/>
        <v>#N/A</v>
      </c>
      <c r="HY196" s="219" t="e">
        <f ca="1">IF(Control!$C$114=1, $EB196*$FS196, 0)</f>
        <v>#N/A</v>
      </c>
      <c r="HZ196" s="91" t="e">
        <f t="shared" ca="1" si="523"/>
        <v>#N/A</v>
      </c>
      <c r="IA196" s="220" t="e">
        <f ca="1">Control!$C$153*$HO196</f>
        <v>#N/A</v>
      </c>
      <c r="IB196" s="218" t="e">
        <f t="shared" ca="1" si="524"/>
        <v>#N/A</v>
      </c>
      <c r="IC196" s="220" t="e">
        <f ca="1">Control!$C$153*$HT196</f>
        <v>#N/A</v>
      </c>
      <c r="ID196" s="218" t="e">
        <f t="shared" ca="1" si="525"/>
        <v>#N/A</v>
      </c>
      <c r="IE196" s="221" t="e">
        <f ca="1">($EB196*Control!$C$159+$EF196*Control!$C$160)/(IF($GZ196&lt;&gt;0,$GZ196,1))</f>
        <v>#N/A</v>
      </c>
      <c r="IF196" s="216" t="e">
        <f t="shared" ca="1" si="526"/>
        <v>#N/A</v>
      </c>
      <c r="IG196" s="91">
        <f ca="1">IF(OR(Control!$B$198=$AH196,Control!$B$199=$AH196, Control!$B$200=$AH196, Control!$B$201=$AH196, Control!$B$202=$AH196, Control!$B$203=$AH196, Control!$B$204=$AH196, Control!$B$205=$AH196, Control!$B$206=$AH196, Control!$B$207=$AH196), 1, 0)</f>
        <v>0</v>
      </c>
      <c r="IH196" s="91">
        <f ca="1">IF($IG196=0,0, VLOOKUP($AH196,Control!$B$198:$C$207,2))</f>
        <v>0</v>
      </c>
      <c r="II196" s="222">
        <f t="shared" ca="1" si="642"/>
        <v>0</v>
      </c>
      <c r="IJ196" s="91">
        <f>Control!$C$121</f>
        <v>0.7</v>
      </c>
      <c r="IK196" s="218">
        <f t="shared" ca="1" si="527"/>
        <v>0</v>
      </c>
      <c r="IL196" s="217" t="e">
        <f t="shared" ca="1" si="679"/>
        <v>#N/A</v>
      </c>
      <c r="IM196" s="223" t="e">
        <f ca="1">IF(AND(Control!$C$114=1,$KH196&lt;1),$EB196*Control!$C$148*(1-$KH196), 0)</f>
        <v>#N/A</v>
      </c>
      <c r="IN196" s="217" t="e">
        <f t="shared" ca="1" si="528"/>
        <v>#DIV/0!</v>
      </c>
      <c r="IO196" s="91" t="e">
        <f ca="1">MAX(0,$IL196-$EF196*Control!$C$160)</f>
        <v>#N/A</v>
      </c>
      <c r="IP196" s="220" t="e">
        <f t="shared" ca="1" si="529"/>
        <v>#N/A</v>
      </c>
      <c r="IQ196" s="217" t="e">
        <f t="shared" ca="1" si="643"/>
        <v>#N/A</v>
      </c>
      <c r="IR196" s="218" t="e">
        <f t="shared" ca="1" si="530"/>
        <v>#N/A</v>
      </c>
      <c r="IS196" s="217" t="e">
        <f ca="1">Control!$C$159*MAX(0,$FD196-$EN196)</f>
        <v>#N/A</v>
      </c>
      <c r="IT196" s="217" t="e">
        <f t="shared" ca="1" si="680"/>
        <v>#N/A</v>
      </c>
      <c r="IU196" s="217" t="e">
        <f t="shared" ca="1" si="644"/>
        <v>#N/A</v>
      </c>
      <c r="IV196" s="217" t="e">
        <f t="shared" ca="1" si="681"/>
        <v>#N/A</v>
      </c>
      <c r="IW196" s="217" t="e">
        <f ca="1">IF(OR($AW196=1,AND($AW196=0, Control!$B$18=1,$EN196&lt;&gt;0)), $IQ196-$IU196, $IQ196)</f>
        <v>#N/A</v>
      </c>
      <c r="IX196" s="218" t="e">
        <f t="shared" ca="1" si="531"/>
        <v>#N/A</v>
      </c>
      <c r="IY196" s="218" t="e">
        <f ca="1">MAX(0,$IQ196-$EB196*Control!$C$159)</f>
        <v>#N/A</v>
      </c>
      <c r="IZ196" s="218" t="e">
        <f t="shared" ca="1" si="532"/>
        <v>#N/A</v>
      </c>
      <c r="JA196" s="216" t="e">
        <f t="shared" ca="1" si="533"/>
        <v>#N/A</v>
      </c>
      <c r="JB196" s="217" t="e">
        <f t="shared" ca="1" si="534"/>
        <v>#N/A</v>
      </c>
      <c r="JC196" s="222" t="e">
        <f ca="1">MAX(Control!$C$157*$EK196-$JT196, 0)/Control!$C$162</f>
        <v>#N/A</v>
      </c>
      <c r="JD196" s="218" t="e">
        <f t="shared" ca="1" si="535"/>
        <v>#N/A</v>
      </c>
      <c r="JE196" s="218" t="e">
        <f t="shared" ca="1" si="536"/>
        <v>#N/A</v>
      </c>
      <c r="JF196" s="218" t="e">
        <f t="shared" ca="1" si="645"/>
        <v>#N/A</v>
      </c>
      <c r="JG196" s="218" t="e">
        <f t="shared" ca="1" si="537"/>
        <v>#N/A</v>
      </c>
      <c r="JH196" s="217" t="e">
        <f t="shared" ca="1" si="646"/>
        <v>#N/A</v>
      </c>
      <c r="JI196" s="217" t="e">
        <f t="shared" ca="1" si="647"/>
        <v>#N/A</v>
      </c>
      <c r="JJ196" s="217" t="e">
        <f t="shared" ca="1" si="682"/>
        <v>#N/A</v>
      </c>
      <c r="JK196" s="217" t="e">
        <f ca="1">IF(Control!$C$114=1,IF(Control!$B$24=0,MAX(0,$JI196)*$GN196/Control!$C$64,(MAX(0,MIN($JI196,$JJ196*$GN196/Control!$C$64),0))))</f>
        <v>#N/A</v>
      </c>
      <c r="JL196" s="217" t="e">
        <f ca="1">$IK196/Control!$C$64-$JK196+$HQ196</f>
        <v>#N/A</v>
      </c>
      <c r="JM196" s="217" t="e">
        <f ca="1">IF(Control!$C$114=1,($JB196/(IF($JI196&lt;&gt;0,$JI196,1)))*$JK196,0)</f>
        <v>#N/A</v>
      </c>
      <c r="JN196" s="217" t="e">
        <f ca="1">IF(Control!$C$114=1,($JG196/(IF($JI196&lt;&gt;0,$JI196,1)))*$JK196, 0)</f>
        <v>#N/A</v>
      </c>
      <c r="JO196" s="218" t="e">
        <f t="shared" ca="1" si="538"/>
        <v>#N/A</v>
      </c>
      <c r="JP196" s="218" t="e">
        <f ca="1">MIN(($IY196+$IO196)*Control!$C$151, $JF196-$EH196*Control!$C$161)</f>
        <v>#N/A</v>
      </c>
      <c r="JQ196" s="218" t="e">
        <f t="shared" ca="1" si="539"/>
        <v>#N/A</v>
      </c>
      <c r="JR196" s="217" t="e">
        <f ca="1">IF($CP196-Control!$C$150&lt;0, 0, $JQ196/Control!$C$162)</f>
        <v>#N/A</v>
      </c>
      <c r="JS196" s="218" t="e">
        <f t="shared" ca="1" si="540"/>
        <v>#N/A</v>
      </c>
      <c r="JT196" s="218" t="e">
        <f t="shared" ca="1" si="648"/>
        <v>#N/A</v>
      </c>
      <c r="JU196" s="218" t="e">
        <f t="shared" ca="1" si="541"/>
        <v>#N/A</v>
      </c>
      <c r="JV196" s="218" t="e">
        <f t="shared" ca="1" si="542"/>
        <v>#N/A</v>
      </c>
      <c r="JW196" s="216" t="e">
        <f t="shared" ca="1" si="543"/>
        <v>#N/A</v>
      </c>
      <c r="JX196" s="91" t="e">
        <f t="shared" ca="1" si="544"/>
        <v>#N/A</v>
      </c>
      <c r="JY196" s="218" t="e">
        <f t="shared" ca="1" si="545"/>
        <v>#N/A</v>
      </c>
      <c r="JZ196" s="217" t="e">
        <f ca="1">IF(Control!$C$114=1,($IZ196/(IF($JI196&lt;&gt;0,$JI196,1)))*$JK196, 0)</f>
        <v>#N/A</v>
      </c>
      <c r="KA196" s="218" t="e">
        <f t="shared" ca="1" si="683"/>
        <v>#N/A</v>
      </c>
      <c r="KB196" s="218" t="e">
        <f t="shared" ca="1" si="649"/>
        <v>#N/A</v>
      </c>
      <c r="KC196" s="218" t="e">
        <f t="shared" ca="1" si="546"/>
        <v>#N/A</v>
      </c>
      <c r="KD196" s="218" t="e">
        <f t="shared" ca="1" si="547"/>
        <v>#N/A</v>
      </c>
      <c r="KE196" s="218" t="e">
        <f t="shared" ca="1" si="548"/>
        <v>#N/A</v>
      </c>
      <c r="KF196" s="218" t="e">
        <f t="shared" ca="1" si="549"/>
        <v>#N/A</v>
      </c>
      <c r="KG196" s="216" t="e">
        <f t="shared" ca="1" si="550"/>
        <v>#N/A</v>
      </c>
      <c r="KH196" s="221" t="e">
        <f ca="1">IF(Control!$B$24=0,1,MAX(0.001,MIN(1,IF(($IF196-$IE196)&lt;&gt;0,($KG196-$IE196)/($IF196-$IE196),1))))</f>
        <v>#N/A</v>
      </c>
      <c r="KI196" s="222" t="e">
        <f ca="1">IF(Control!$C$114=1, $KI195+ $KH195, 0)</f>
        <v>#N/A</v>
      </c>
      <c r="KJ196" s="217" t="e">
        <f t="shared" ca="1" si="551"/>
        <v>#N/A</v>
      </c>
      <c r="KK196" s="218" t="e">
        <f t="shared" ca="1" si="552"/>
        <v>#N/A</v>
      </c>
      <c r="KL196" s="274" t="e">
        <f ca="1">IF(Control!$B$26=3,4000000000*EXP(-8400/($G196+273)),IF(Control!$B$26=4,4000000000*EXP(-8400/($G196+273))*($KT196),0))</f>
        <v>#DIV/0!</v>
      </c>
      <c r="KM196" s="274" t="e">
        <f ca="1">IF(Control!$B$26=3,5600000000000*EXP(-9800/($G196+273)),IF(Control!$B$26=4,5600000000000*EXP(-9800/($G196+273))*$KT196,0))</f>
        <v>#DIV/0!</v>
      </c>
      <c r="KN196" s="454" t="e">
        <f t="shared" ca="1" si="650"/>
        <v>#DIV/0!</v>
      </c>
      <c r="KO196" s="274" t="e">
        <f t="shared" ca="1" si="651"/>
        <v>#DIV/0!</v>
      </c>
      <c r="KP196" s="454" t="e">
        <f t="shared" ca="1" si="553"/>
        <v>#DIV/0!</v>
      </c>
      <c r="KQ196" s="454" t="e">
        <f t="shared" ca="1" si="554"/>
        <v>#DIV/0!</v>
      </c>
      <c r="KR196" s="454" t="e">
        <f t="shared" ca="1" si="555"/>
        <v>#DIV/0!</v>
      </c>
      <c r="KS196" s="454" t="e">
        <f t="shared" ca="1" si="556"/>
        <v>#DIV/0!</v>
      </c>
      <c r="KT196" s="455" t="e">
        <f t="shared" ca="1" si="557"/>
        <v>#DIV/0!</v>
      </c>
      <c r="KU196" s="456" t="e">
        <f ca="1">IF($CP196-Control!$C$149&lt;0, IF($NT196-0.01&lt;0,0,1),0)</f>
        <v>#N/A</v>
      </c>
      <c r="KV196" s="456" t="e">
        <f ca="1">IF(Control!$C$114=1,MAX(0,MIN(Control!$C$125*$KW196*$GN196,$KW196)))</f>
        <v>#DIV/0!</v>
      </c>
      <c r="KW196" s="456" t="e">
        <f t="shared" ca="1" si="684"/>
        <v>#DIV/0!</v>
      </c>
      <c r="KX196" s="457" t="e">
        <f ca="1">IF($CP196-Control!$C$149&lt;0, IF($MR196-$OM196&lt;0,0,1),0)</f>
        <v>#N/A</v>
      </c>
      <c r="KY196" s="167">
        <f t="shared" ca="1" si="652"/>
        <v>192</v>
      </c>
      <c r="KZ196" s="168">
        <f ca="1">1370*(1+0.033*COS(2*Control!$C$138*$AH196/365))</f>
        <v>1325.3932517433639</v>
      </c>
      <c r="LA196" s="169">
        <f t="shared" ca="1" si="653"/>
        <v>0.96744028821457528</v>
      </c>
      <c r="LB196" s="169">
        <f t="shared" ca="1" si="654"/>
        <v>0.38499227208589176</v>
      </c>
      <c r="LC196" s="169">
        <f ca="1">ACOS(-TAN((2*Control!$B$8/360))*TAN(Calculations!$LB196))</f>
        <v>1.6915199351970036</v>
      </c>
      <c r="LD196" s="169">
        <f ca="1">((24*60)/PI())*0.082*$LA196*(($LC196*SIN(Control!$B$8*2*PI()/360))*SIN($LB196)+COS(Control!$B$8*2*PI()/360)*COS($LB196)*SIN($LC196))</f>
        <v>38.79958919724907</v>
      </c>
      <c r="LE196" s="170">
        <f t="shared" ca="1" si="558"/>
        <v>40.356925025561679</v>
      </c>
      <c r="LF196" s="170">
        <f ca="1">SIN(Control!$C$139*Control!$B$8)*SIN($HD196)</f>
        <v>0.29608598874166181</v>
      </c>
      <c r="LG196" s="170">
        <f ca="1">COS(Control!$C$139*Control!$B$8)*COS($HD196)</f>
        <v>0.57054793291296213</v>
      </c>
      <c r="LH196" s="170">
        <f ca="1">12*(1+2*ASIN(MAX(-1,MIN(1,$LF196/$LG196))/Control!$C$138))</f>
        <v>15.982733141816226</v>
      </c>
      <c r="LI196" s="170">
        <f ca="1">12*(1+2*ASIN(MAX(-1,MIN(1,(-SIN(-4*Control!$C$139)+$LF196)/$LG196))/Control!$C$138))</f>
        <v>16.933157749879857</v>
      </c>
      <c r="LJ196" s="168">
        <f ca="1">3600*($LH196*$LF196+24*$LG196*SQRT(1-$LK196*$LK196)/Control!$C$138)</f>
        <v>30449.019543805556</v>
      </c>
      <c r="LK196" s="170">
        <f t="shared" ca="1" si="559"/>
        <v>0.51895024354917807</v>
      </c>
      <c r="LL196" s="170">
        <f t="shared" ca="1" si="560"/>
        <v>0</v>
      </c>
      <c r="LM196" s="171">
        <f ca="1">Control!$C$145*$AB196</f>
        <v>6.6660906138995932E-2</v>
      </c>
      <c r="LN196" s="170">
        <f t="shared" ca="1" si="655"/>
        <v>0.54</v>
      </c>
      <c r="LO196" s="170">
        <f t="shared" ca="1" si="561"/>
        <v>0</v>
      </c>
      <c r="LP196" s="170">
        <f ca="1">Control!$C$140*((($D196+273.16)^4+($E196+273.16)^4)/2)*(0.34-0.14*SQRT($Y196))*(1.35*$AQ196/(0.75*$LD196)-0.35)</f>
        <v>-3.2464704755046001</v>
      </c>
      <c r="LQ196" s="170">
        <f ca="1">Control!$C$140*($G196+273)^4*(0.56-0.079*SQRT($Y196*10))*(0.1+0.9*$LO196)</f>
        <v>1.5241745131704001</v>
      </c>
      <c r="LR196" s="170">
        <f ca="1">$AQ196*(1-Control!$C$142)-$LQ196</f>
        <v>-1.5241745131704001</v>
      </c>
      <c r="LS196" s="170">
        <f ca="1">$AQ196*(1-Control!$C$143)-$LQ196</f>
        <v>-1.5241745131704001</v>
      </c>
      <c r="LT196" s="170">
        <f ca="1">$AQ196*(1-Control!$C$144)-$LQ196</f>
        <v>-1.5241745131704001</v>
      </c>
      <c r="LU196" s="169">
        <f ca="1">(1-Control!$C$144)*AQ196-LP196</f>
        <v>3.2464704755046001</v>
      </c>
      <c r="LV196" s="172">
        <f t="shared" ca="1" si="562"/>
        <v>0.79430000000000012</v>
      </c>
      <c r="LW196" s="170">
        <f t="shared" ca="1" si="563"/>
        <v>1.5886000000000002</v>
      </c>
      <c r="LX196" s="170">
        <f ca="1">($AC196*($LR196/Control!$C$141)+$LM196*$LV196)/($AC196+$LM196)</f>
        <v>0.23530094218323697</v>
      </c>
      <c r="LY196" s="170">
        <f ca="1">($AC196*($LS196/Control!$C$141)+$LM196*$LV196)/($AC196+$LM196)</f>
        <v>0.23530094218323697</v>
      </c>
      <c r="LZ196" s="170">
        <f t="shared" ca="1" si="564"/>
        <v>0.23530094218323697</v>
      </c>
      <c r="MA196" s="170">
        <f t="shared" ca="1" si="565"/>
        <v>0.23530094218323697</v>
      </c>
      <c r="MB196" s="170" t="e">
        <f t="shared" ca="1" si="566"/>
        <v>#N/A</v>
      </c>
      <c r="MC196" s="170">
        <f t="shared" ca="1" si="656"/>
        <v>0.6018</v>
      </c>
      <c r="MD196" s="170">
        <f t="shared" ca="1" si="567"/>
        <v>0.52989392535414004</v>
      </c>
      <c r="ME196" s="170">
        <f ca="1">($AC196*($LT196/Control!$C$141)+$LM196*$LW196)/($AC196+$LM196)</f>
        <v>0.71612369323045078</v>
      </c>
      <c r="MF196" s="170" t="e">
        <f ca="1">IF(Control!$B$16&gt;=1000,0.92,IF(AND(720&lt;=Control!$B$16,1000&gt;Control!$B$16),(0.95+(Control!$B$16-720)*((0.92-0.95)/(1000-720))),IF(AND(360&lt;=Control!$B$16,720&gt;Control!$B$16),(1+(Control!$B$16-360)*((0.95-1)/(720-360))),IF(AND(40&lt;=Control!$B$16,360&gt;Control!$B$16),(1.05+(Control!$B$16-40)*((1.05-1)/(360-40)))))))</f>
        <v>#N/A</v>
      </c>
      <c r="MG196" s="170">
        <f t="shared" ca="1" si="568"/>
        <v>0.71612369323045078</v>
      </c>
      <c r="MH196" s="170" t="e">
        <f t="shared" ca="1" si="695"/>
        <v>#N/A</v>
      </c>
      <c r="MI196" s="170" t="e">
        <f t="shared" ca="1" si="695"/>
        <v>#N/A</v>
      </c>
      <c r="MJ196" s="170" t="e">
        <f ca="1">MAX(0.0001, Control!$C$132*$MI196*$DL196)</f>
        <v>#N/A</v>
      </c>
      <c r="MK196" s="170">
        <f ca="1">1/(0.76+1.5*($MG196/10))-(5-Control!$C$110)*0.1</f>
        <v>1.002845988140797</v>
      </c>
      <c r="ML196" s="173">
        <f ca="1">IF(Control!$C$110&lt;3,$MK196+($MG196-0.6)/(Control!$C$110*(Control!$C$110+3)), MAX(0.1, MIN(0.95,$MK196)))</f>
        <v>0.95</v>
      </c>
      <c r="MM196" s="173">
        <f ca="1">IF(Control!$C$110&lt;3,$MK196+(($MI196/10)-0.6)/(Control!$C$110*(Control!$C$110+3)), MAX(0.1, MIN(0.95,$MK196)))</f>
        <v>0.95</v>
      </c>
      <c r="MN196" s="173">
        <f ca="1">(1-$MM196)*(Control!$C$128-Control!$C$127)+Control!$C$127</f>
        <v>0.16</v>
      </c>
      <c r="MO196" s="170" t="e">
        <f ca="1">MAX(0,MIN(1,($MS196-Control!$C$127)/($MN196-Control!$C$127)))</f>
        <v>#DIV/0!</v>
      </c>
      <c r="MP196" s="173" t="e">
        <f ca="1">1/(0.76+1.5*$MI196)-(5-Control!$C$110)*0.1</f>
        <v>#N/A</v>
      </c>
      <c r="MQ196" s="172" t="e">
        <f t="shared" ca="1" si="685"/>
        <v>#DIV/0!</v>
      </c>
      <c r="MR196" s="168" t="e">
        <f t="shared" ca="1" si="657"/>
        <v>#DIV/0!</v>
      </c>
      <c r="MS196" s="173" t="e">
        <f ca="1">MAX(Control!$C$127, MIN(Control!$C$135, $MR196/MAX(0.0001,$CY196)))</f>
        <v>#DIV/0!</v>
      </c>
      <c r="MT196" s="168" t="e">
        <f ca="1">(Control!$C$128-$MS196)*Control!$C$74</f>
        <v>#DIV/0!</v>
      </c>
      <c r="MU196" s="168" t="e">
        <f ca="1">(Control!$C$135-$MS196)*Control!$C$74</f>
        <v>#DIV/0!</v>
      </c>
      <c r="MV196" s="168" t="e">
        <f t="shared" ca="1" si="658"/>
        <v>#DIV/0!</v>
      </c>
      <c r="MW196" s="168" t="e">
        <f t="shared" ca="1" si="659"/>
        <v>#DIV/0!</v>
      </c>
      <c r="MX196" s="171" t="e">
        <f ca="1">MAX(Control!$C$127, MIN(Control!$C$135, $MW196/MAX(0.0001,Control!$C$119-$CY196)))</f>
        <v>#DIV/0!</v>
      </c>
      <c r="MY196" s="54" t="e">
        <f ca="1">IF(Control!$C$114=1, $CX196*$MX196, 0)</f>
        <v>#DIV/0!</v>
      </c>
      <c r="MZ196" s="54" t="e">
        <f t="shared" ca="1" si="660"/>
        <v>#N/A</v>
      </c>
      <c r="NA196" s="168" t="e">
        <f ca="1">(Control!$C$128-$MX196)*(Control!$C$119-Control!$C$74)</f>
        <v>#DIV/0!</v>
      </c>
      <c r="NB196" s="168" t="e">
        <f ca="1">(Control!$C$135-$MX196)*(Control!$C$119-Control!$C$74)</f>
        <v>#DIV/0!</v>
      </c>
      <c r="NC196" s="174" t="e">
        <f t="shared" ca="1" si="661"/>
        <v>#DIV/0!</v>
      </c>
      <c r="ND196" s="54">
        <f ca="1">IF(Control!$C$58=2, IF(OR(Control!$B$218=$AH196,Control!$B$219=$AH196, Control!$B$220=$AH196, Control!$B$221=$AH196, Control!$B$222=$AH196, Control!$B$223=$AH196, Control!$B$224=$AH196, Control!$B$225=$AH196, Control!$B$226=$AH196, Control!$B$227=$AH196, Control!$B$228=$AH196), 1, 0), 0)</f>
        <v>0</v>
      </c>
      <c r="NE196" s="54">
        <f ca="1">IF($ND196=0,0, VLOOKUP($AH196,Control!$B$218:$C$228,2))</f>
        <v>0</v>
      </c>
      <c r="NF196" s="168" t="e">
        <f ca="1">$CY196*(Control!$C$128-Control!$C$127)</f>
        <v>#N/A</v>
      </c>
      <c r="NG196" s="54" t="e">
        <f ca="1">IF(Control!$C$58=2, $NI195-$NJ195, 0)</f>
        <v>#DIV/0!</v>
      </c>
      <c r="NH196" s="54" t="e">
        <f ca="1">IF(AND(Control!$C$58=1, $MS195&lt;= ($MN195+0.02), $I195&lt;10), 0, IF(Control!$C$58=2, $NG195, 0))</f>
        <v>#DIV/0!</v>
      </c>
      <c r="NI196" s="54" t="e">
        <f ca="1">IF(Control!$C$58=2, $NE196+$NH196,0)</f>
        <v>#DIV/0!</v>
      </c>
      <c r="NJ196" s="54" t="e">
        <f ca="1">IF(AND(Control!$C$58=1, $MS196&lt;= ($MN196+0.02), $I196&lt;10), MAX(0, MIN(10, 0.7*($NF196-$MV196))), IF(Control!$C$58=2, MIN(10,$NI196),0))</f>
        <v>#DIV/0!</v>
      </c>
      <c r="NK196" s="54" t="e">
        <f t="shared" ca="1" si="569"/>
        <v>#DIV/0!</v>
      </c>
      <c r="NL196" s="173" t="e">
        <f ca="1">(1-Control!$C$73)*$I196+$NJ196</f>
        <v>#DIV/0!</v>
      </c>
      <c r="NM196" s="172" t="e">
        <f ca="1">IF($NL196&lt;0.5, $MB196* MAX(0, MIN(1, (SQRT($NC196)-SQRT($NC196-1))*Control!$C$71)),0)</f>
        <v>#DIV/0!</v>
      </c>
      <c r="NN196" s="170" t="e">
        <f ca="1">IF($NL196&gt;=5, $MB196, MAX(0,MIN($MB196, $NM196+$NL196,($MS196-Control!$C$129))))</f>
        <v>#DIV/0!</v>
      </c>
      <c r="NO196" s="54">
        <f>IF(Control!$C$133&lt;&gt;1, Control!$C$135-Control!$C$131, 0)</f>
        <v>0.38</v>
      </c>
      <c r="NP196" s="54" t="e">
        <f t="shared" ca="1" si="570"/>
        <v>#DIV/0!</v>
      </c>
      <c r="NQ196" s="173" t="e">
        <f ca="1">MAX(0,MIN(1,(Control!$C$135-$MS196)/(Control!$C$135-$NO196)))</f>
        <v>#DIV/0!</v>
      </c>
      <c r="NR196" s="170" t="e">
        <f ca="1">IF(Control!$C$133&lt;&gt;1, $NQ196+((1-$NP196/4)*(1-$NQ196)),1)</f>
        <v>#DIV/0!</v>
      </c>
      <c r="NS196" s="170" t="e">
        <f ca="1">IF(Control!$B$31=0,$MJ196,MAX(0,MIN($MV196,$MO196*$NR196*$MJ196)))</f>
        <v>#DIV/0!</v>
      </c>
      <c r="NT196" s="170" t="e">
        <f t="shared" ca="1" si="686"/>
        <v>#DIV/0!</v>
      </c>
      <c r="NU196" s="170" t="e">
        <f t="shared" ca="1" si="662"/>
        <v>#N/A</v>
      </c>
      <c r="NV196" s="170" t="e">
        <f t="shared" ca="1" si="571"/>
        <v>#N/A</v>
      </c>
      <c r="NW196" s="175" t="e">
        <f t="shared" ca="1" si="572"/>
        <v>#DIV/0!</v>
      </c>
      <c r="NX196" s="170" t="e">
        <f ca="1">MIN(Control!$C$72+$MU196, $NW196)</f>
        <v>#DIV/0!</v>
      </c>
      <c r="NY196" s="170" t="e">
        <f ca="1">IF($MT196&lt;=$NX196,MIN(Control!$C$72+$NB196,$NX196-$MT196),0)</f>
        <v>#DIV/0!</v>
      </c>
      <c r="NZ196" s="54" t="e">
        <f ca="1">IF(Control!$C$114=1,  $CX196*($MX196-Control!$C$127), 0)</f>
        <v>#DIV/0!</v>
      </c>
      <c r="OA196" s="170" t="e">
        <f t="shared" ca="1" si="573"/>
        <v>#DIV/0!</v>
      </c>
      <c r="OB196" s="170" t="e">
        <f ca="1">IF($NA196 &lt;=$NY196, MIN(Control!$C$72, $NY196-$NA196), 0)</f>
        <v>#DIV/0!</v>
      </c>
      <c r="OC196" s="168" t="e">
        <f t="shared" ca="1" si="574"/>
        <v>#DIV/0!</v>
      </c>
      <c r="OD196" s="168" t="e">
        <f t="shared" ca="1" si="663"/>
        <v>#DIV/0!</v>
      </c>
      <c r="OE196" s="170">
        <f ca="1">Control!$C$73*$I196</f>
        <v>0</v>
      </c>
      <c r="OF196" s="176" t="e">
        <f t="shared" ca="1" si="575"/>
        <v>#DIV/0!</v>
      </c>
      <c r="OG196" s="168" t="e">
        <f t="shared" ca="1" si="576"/>
        <v>#DIV/0!</v>
      </c>
      <c r="OH196" s="168" t="e">
        <f t="shared" ca="1" si="577"/>
        <v>#DIV/0!</v>
      </c>
      <c r="OI196" s="168" t="e">
        <f t="shared" ca="1" si="578"/>
        <v>#DIV/0!</v>
      </c>
      <c r="OJ196" s="168" t="e">
        <f t="shared" ca="1" si="579"/>
        <v>#DIV/0!</v>
      </c>
      <c r="OK196" s="204" t="e">
        <f t="shared" ca="1" si="580"/>
        <v>#DIV/0!</v>
      </c>
      <c r="OL196" s="177">
        <f>Control!$C$127</f>
        <v>0.15</v>
      </c>
      <c r="OM196" s="182" t="e">
        <f t="shared" ca="1" si="581"/>
        <v>#N/A</v>
      </c>
      <c r="ON196" s="177">
        <f>Control!$C$128</f>
        <v>0.35</v>
      </c>
      <c r="OO196" s="182" t="e">
        <f t="shared" ca="1" si="582"/>
        <v>#N/A</v>
      </c>
      <c r="OP196" s="138">
        <f t="shared" ca="1" si="664"/>
        <v>0</v>
      </c>
      <c r="OQ196" s="138" t="e">
        <f t="shared" ca="1" si="687"/>
        <v>#DIV/0!</v>
      </c>
      <c r="OR196" s="138" t="e">
        <f t="shared" ca="1" si="665"/>
        <v>#DIV/0!</v>
      </c>
      <c r="OS196" s="137" t="e">
        <f t="shared" ca="1" si="688"/>
        <v>#DIV/0!</v>
      </c>
      <c r="OT196" s="139" t="e">
        <f t="shared" ca="1" si="689"/>
        <v>#DIV/0!</v>
      </c>
      <c r="OU196" s="138" t="e">
        <f t="shared" ca="1" si="690"/>
        <v>#N/A</v>
      </c>
      <c r="OV196" s="138" t="e">
        <f t="shared" ca="1" si="691"/>
        <v>#DIV/0!</v>
      </c>
      <c r="OW196" s="138" t="e">
        <f t="shared" ca="1" si="666"/>
        <v>#DIV/0!</v>
      </c>
      <c r="OX196" s="138" t="e">
        <f t="shared" ca="1" si="667"/>
        <v>#DIV/0!</v>
      </c>
      <c r="OY196" s="138" t="e">
        <f t="shared" ca="1" si="668"/>
        <v>#DIV/0!</v>
      </c>
      <c r="OZ196" s="138" t="e">
        <f t="shared" ca="1" si="583"/>
        <v>#DIV/0!</v>
      </c>
      <c r="PA196" s="138" t="e">
        <f t="shared" ca="1" si="584"/>
        <v>#DIV/0!</v>
      </c>
      <c r="PB196" s="55">
        <f>IF(Control!$C$61="T", IF(Control!$C$65="F", IF($AH$6-Control!$C$60&lt;0,0,1), IF(365+$AH$6-Control!$C$60&lt;0,0,1)),0)</f>
        <v>0</v>
      </c>
      <c r="PC196" s="55">
        <f ca="1">IF(Control!$C$65="F", IF($AH$6-$HF196&lt;0,0,1), IF(365+$AH$6-$HF196&lt;0,0,1))</f>
        <v>1</v>
      </c>
      <c r="PD196" s="444">
        <f>Control!$C$118</f>
        <v>1500</v>
      </c>
      <c r="PE196" s="180" t="e">
        <f t="shared" ca="1" si="585"/>
        <v>#N/A</v>
      </c>
      <c r="PF196" s="445">
        <f t="shared" ca="1" si="669"/>
        <v>0.71612369323045078</v>
      </c>
      <c r="PT196" s="186"/>
      <c r="PU196" s="186"/>
      <c r="PV196" s="94"/>
      <c r="PW196" s="94"/>
      <c r="PX196" s="94"/>
      <c r="PY196" s="94"/>
      <c r="PZ196" s="94"/>
      <c r="QA196" s="94"/>
      <c r="QB196" s="94"/>
      <c r="QC196" s="94"/>
      <c r="QD196" s="94"/>
      <c r="QE196" s="94"/>
      <c r="QF196" s="94"/>
      <c r="QG196" s="94"/>
      <c r="QH196" s="94"/>
      <c r="QI196" s="94"/>
      <c r="QJ196" s="94"/>
      <c r="QK196" s="94"/>
      <c r="QL196" s="94"/>
      <c r="QM196" s="94"/>
      <c r="QN196" s="94"/>
      <c r="QO196" s="94"/>
      <c r="QP196" s="94"/>
    </row>
    <row r="197" spans="1:458" s="2" customFormat="1" x14ac:dyDescent="0.2">
      <c r="A197" s="395">
        <v>11</v>
      </c>
      <c r="B197" s="396">
        <v>7</v>
      </c>
      <c r="C197" s="387">
        <f ca="1">Weather_data!$B196</f>
        <v>0</v>
      </c>
      <c r="D197" s="388">
        <f ca="1">Weather_data!$F196</f>
        <v>0</v>
      </c>
      <c r="E197" s="388">
        <f ca="1">Weather_data!$E196</f>
        <v>0</v>
      </c>
      <c r="F197" s="388">
        <f t="shared" ca="1" si="586"/>
        <v>0</v>
      </c>
      <c r="G197" s="388">
        <f ca="1">AVERAGE($D197:$E197)+Control!$B$9</f>
        <v>0</v>
      </c>
      <c r="H197" s="388">
        <f ca="1">Weather_data!$G196</f>
        <v>0</v>
      </c>
      <c r="I197" s="388">
        <f ca="1">Weather_data!$I196</f>
        <v>0</v>
      </c>
      <c r="J197" s="388">
        <f ca="1">Weather_data!$H196</f>
        <v>0</v>
      </c>
      <c r="K197" s="389">
        <f ca="1">Weather_data!$D196</f>
        <v>0</v>
      </c>
      <c r="L197" s="388" t="e">
        <f t="shared" ca="1" si="587"/>
        <v>#N/A</v>
      </c>
      <c r="M197" s="388" t="e">
        <f t="shared" ca="1" si="465"/>
        <v>#N/A</v>
      </c>
      <c r="N197" s="388">
        <f t="shared" ca="1" si="466"/>
        <v>-9.1051961744017714E-10</v>
      </c>
      <c r="O197" s="388">
        <f t="shared" ca="1" si="588"/>
        <v>9.1051961744017718E-9</v>
      </c>
      <c r="P197" s="390">
        <v>3</v>
      </c>
      <c r="Q197" s="388">
        <f ca="1">MAX($G197-Control!$C$107,0)</f>
        <v>0</v>
      </c>
      <c r="R197" s="388">
        <f t="shared" ca="1" si="589"/>
        <v>0</v>
      </c>
      <c r="S197" s="388">
        <f t="shared" ca="1" si="467"/>
        <v>0</v>
      </c>
      <c r="T197" s="388">
        <f t="shared" ca="1" si="468"/>
        <v>0</v>
      </c>
      <c r="U197" s="59">
        <f t="shared" ca="1" si="469"/>
        <v>0</v>
      </c>
      <c r="V197" s="391">
        <f ca="1">MAX(0,MIN(Control!$C$100-Control!$C$99,$G197-Control!$C$99)*Control!$C$63)</f>
        <v>0</v>
      </c>
      <c r="W197" s="388">
        <f t="shared" ca="1" si="590"/>
        <v>0</v>
      </c>
      <c r="X197" s="388">
        <f t="shared" ca="1" si="591"/>
        <v>0.6110000000000001</v>
      </c>
      <c r="Y197" s="388">
        <f t="shared" ca="1" si="470"/>
        <v>0</v>
      </c>
      <c r="Z197" s="388">
        <f t="shared" ca="1" si="592"/>
        <v>0.61058800000000002</v>
      </c>
      <c r="AA197" s="388">
        <f t="shared" ca="1" si="471"/>
        <v>0.6018</v>
      </c>
      <c r="AB197" s="388">
        <f ca="1">101.3*EXP(-0.034*Control!$C$66/($G197+273))</f>
        <v>100.69623283836242</v>
      </c>
      <c r="AC197" s="392">
        <f t="shared" ca="1" si="472"/>
        <v>4.3460251046025113E-2</v>
      </c>
      <c r="AD197" s="392">
        <f t="shared" ca="1" si="473"/>
        <v>4.4450382862832649E-2</v>
      </c>
      <c r="AE197" s="388">
        <f t="shared" ca="1" si="474"/>
        <v>0</v>
      </c>
      <c r="AF197" s="388">
        <f ca="1">MAX(0,$G197-Control!$C$92)</f>
        <v>0</v>
      </c>
      <c r="AG197" s="393">
        <f t="shared" ca="1" si="475"/>
        <v>193</v>
      </c>
      <c r="AH197" s="389">
        <f t="shared" ca="1" si="476"/>
        <v>193</v>
      </c>
      <c r="AI197" s="388">
        <f t="shared" ca="1" si="593"/>
        <v>0.38269912665050726</v>
      </c>
      <c r="AJ197" s="388">
        <f ca="1">IF(Control!$C$60&lt;=0,$HH197,$HI197)</f>
        <v>1</v>
      </c>
      <c r="AK197" s="388">
        <f t="shared" ca="1" si="477"/>
        <v>1.9452053142775156</v>
      </c>
      <c r="AL197" s="388">
        <f t="shared" ca="1" si="478"/>
        <v>-4.508426618143879E-18</v>
      </c>
      <c r="AM197" s="388">
        <f t="shared" ca="1" si="479"/>
        <v>1.9452053142775156</v>
      </c>
      <c r="AN197" s="388">
        <f t="shared" ca="1" si="480"/>
        <v>0.37926949868351045</v>
      </c>
      <c r="AO197" s="388">
        <f ca="1">-0.10453/COS(Control!$B$8*PI()/180)*COS(AN197)</f>
        <v>-0.15771916154178633</v>
      </c>
      <c r="AP197" s="388">
        <f ca="1">ACOS(AO197-TAN(Control!$B$8*PI()/180)*TAN(AN197))</f>
        <v>2.3021265436628404</v>
      </c>
      <c r="AQ197" s="388">
        <f t="shared" ca="1" si="594"/>
        <v>0</v>
      </c>
      <c r="AR197" s="394">
        <f t="shared" ca="1" si="481"/>
        <v>0</v>
      </c>
      <c r="AS197" s="436">
        <f ca="1">IF(Control!$B$18=2,(IF(OR($AH197=Control!$B$175,$AH197=Control!$B$176,$AH197=Control!$B$177,$AH197=Control!$B$178,$AH197=Control!$B$179,$AH197=Control!$B$180,$AH197=Control!$B$181,$AH197=Control!$B$182,$AH197=Control!$B$183,$AH197=Control!$B$184,$AH197=Control!$B$185),1,0)),0)</f>
        <v>0</v>
      </c>
      <c r="AT197" s="436">
        <f>IF(Control!$B$20=8,IF(AND($AH197&gt;=Control!$B$172,$AH197&lt;=Control!$B$173),1,0),0)</f>
        <v>0</v>
      </c>
      <c r="AU197" s="436">
        <f>IF(Control!$B$20=8,IF($AV196=1,1*$AT197,IF($AT197=1,$AU196+1,$AU196)),0)</f>
        <v>0</v>
      </c>
      <c r="AV197" s="436">
        <f>IF(Control!$B$20=8,IF($AU197&gt;=Control!$B$174,1,0),0)</f>
        <v>0</v>
      </c>
      <c r="AW197" s="436">
        <f ca="1">IF(AND(Control!$B$18=2,Control!$B$171=1), $AV197, $AS197)</f>
        <v>0</v>
      </c>
      <c r="AX197" s="436" t="e">
        <f ca="1">IF(AND(Control!$B$18=1,$EU197&gt;=Control!$B$19),-$AY197,IF(AND(Control!$B$18=2,$AW197=1,$EU197&gt;$DS197),-$AY197, IF(Control!$C$108=0,0, IF(Control!$C$108&lt;&gt;0,1))))</f>
        <v>#N/A</v>
      </c>
      <c r="AY197" s="436" t="e">
        <f t="shared" ca="1" si="595"/>
        <v>#N/A</v>
      </c>
      <c r="AZ197" s="436" t="e">
        <f ca="1">IF(AND(Control!$B$18=1,$EB197&gt;Control!$B$19),$AZ196+1, IF(AND(Control!$B$18=2, $AW197=1, $EB197&gt;$DS197), $AZ196+1,$AZ196))</f>
        <v>#N/A</v>
      </c>
      <c r="BA197" s="587">
        <f>IF(Control!$C$81=0,1,IF($AH197&gt;=Control!$C$82,1,0))</f>
        <v>1</v>
      </c>
      <c r="BB197" s="140" t="e">
        <f ca="1">IF($BA197&gt;$BA196,Control!$C$83,IF($AW197&gt;0,$AW197*Control!$C$84,IF(AND(Control!$B$18=1,EN196&lt;&gt;0),Control!$C$84,0)))</f>
        <v>#N/A</v>
      </c>
      <c r="BC197" s="140" t="e">
        <f t="shared" ca="1" si="596"/>
        <v>#N/A</v>
      </c>
      <c r="BD197" s="140" t="e">
        <f ca="1">BC197*IF(OR($G197&lt;Control!$C$92,$G197&gt;Control!$C$95),0,IF(AND($G197&gt;=Control!$C$92,$G197&lt;=Control!$C$93),$G197-Control!$C$92,IF(AND($G197&gt;Control!$C$93,$G197&lt;=Control!$C$94),Control!$C$93-Control!$C$92,IF(AND($G197&gt;Control!$C$94,$G197&lt;=Control!$C$95),(Control!$C$93-Control!$C$92)*(Control!$C$94-$G197)/(Control!$C$95-Control!$C$94)))))</f>
        <v>#N/A</v>
      </c>
      <c r="BE197" s="140" t="e">
        <f t="shared" ca="1" si="597"/>
        <v>#N/A</v>
      </c>
      <c r="BF197" s="140" t="e">
        <f ca="1">IF($BE197&lt;=Control!$C$86,$BE197,Control!$C$86-$BE197)</f>
        <v>#N/A</v>
      </c>
      <c r="BG197" s="140" t="e">
        <f ca="1">IF(AND($AW197=1,Control!$C$84&lt;9),1,IF($BE197&gt;=Control!$C$86,0,$BC197))</f>
        <v>#N/A</v>
      </c>
      <c r="BH197" s="404" t="e">
        <f ca="1">IF($BG197=0,0,IF($BE197&lt;=Control!$C$86,$BC197*9*($BF197/Control!$C$86),0))</f>
        <v>#N/A</v>
      </c>
      <c r="BI197" s="140" t="e">
        <f ca="1">IF($BG197=1,0,IF($BE197&gt;=Control!$C$86,1,IF(AND($BB197&lt;21,$BB197&gt;=9),1,$BM196)))</f>
        <v>#N/A</v>
      </c>
      <c r="BJ197" s="140" t="e">
        <f ca="1">IF($BF197&lt;0,-$BF197,$BI197*IF(OR($G197&lt;Control!$C$92,$G197&gt;Control!$C$95),0,IF(AND($G197&gt;=Control!$C$92,$G197&lt;=Control!$C$93),$G197-Control!$C$92,IF(AND($G197&gt;Control!$C$93,$G197&lt;=Control!$C$94),Control!$C$93-Control!$C$92,IF(AND($G197&gt;Control!$C$94,$G197&lt;=Control!$C$95),(Control!$C$93-Control!$C$92)*(Control!$C$94-$G197)/(Control!$C$95-Control!$C$94))))))</f>
        <v>#N/A</v>
      </c>
      <c r="BK197" s="140" t="e">
        <f t="shared" ca="1" si="598"/>
        <v>#N/A</v>
      </c>
      <c r="BL197" s="140" t="e">
        <f ca="1">IF($BK197&lt;=Control!$C$87,$BK197,Control!$C$87-$BK197)</f>
        <v>#N/A</v>
      </c>
      <c r="BM197" s="140" t="e">
        <f ca="1">IF(AND($BB197&gt;=9,$BB197&lt;21),1,IF($BK197&gt;=Control!$C$87,0,$BI197))</f>
        <v>#N/A</v>
      </c>
      <c r="BN197" s="404" t="e">
        <f ca="1">IF($BM197=0,0,IF($BK197&lt;=Control!$C$87,$BI197*(9+(21-9)*($BL197/Control!$C$87)),0))</f>
        <v>#N/A</v>
      </c>
      <c r="BO197" s="140" t="e">
        <f ca="1">IF($BM197=1,0,IF($BK197&gt;=Control!$C$87,1,IF(AND($BB197&lt;30,$BB197&gt;=21),1,$BS196)))</f>
        <v>#N/A</v>
      </c>
      <c r="BP197" s="140" t="e">
        <f ca="1">IF($BL197&lt;0,-$BL197,$BO197*IF(OR($G197&lt;Control!$C$92,$G197&gt;Control!$C$95),0,IF(AND($G197&gt;=Control!$C$92,$G197&lt;=Control!$C$93),$G197-Control!$C$92,IF(AND($G197&gt;Control!$C$93,$G197&lt;=Control!$C$94),Control!$C$93-Control!$C$92,IF(AND($G197&gt;Control!$C$94,$G197&lt;=Control!$C$95),(Control!$C$93-Control!$C$92)*(Control!$C$94-$G197)/(Control!$C$95-Control!$C$94))))))</f>
        <v>#N/A</v>
      </c>
      <c r="BQ197" s="140" t="e">
        <f t="shared" ca="1" si="482"/>
        <v>#N/A</v>
      </c>
      <c r="BR197" s="140" t="e">
        <f ca="1">IF($BQ197&lt;=Control!$C$88,$BQ197,Control!$C$88-$BQ197)</f>
        <v>#N/A</v>
      </c>
      <c r="BS197" s="140" t="e">
        <f ca="1">IF(AND($BB197&gt;=21,$BB197&lt;30),1,IF($BQ197&gt;=Control!$C$88,0,$BO197))</f>
        <v>#N/A</v>
      </c>
      <c r="BT197" s="404" t="e">
        <f ca="1">IF($BS197=0,0,IF($BQ197&lt;=Control!$C$88,$BO197*(21+(30-21)*(BR197/Control!$C$88)),0))</f>
        <v>#N/A</v>
      </c>
      <c r="BU197" s="140" t="e">
        <f ca="1">IF(BG197+BM197+BS197=1,0,IF(OR(AND($BB197&lt;60,$BB197&gt;=30),$BQ197&gt;=Control!$C$88),1*$BA197,$BY196))</f>
        <v>#N/A</v>
      </c>
      <c r="BV197" s="140" t="e">
        <f ca="1">IF($BR197&lt;0,-$BR197,$BU197*IF(OR($G197&lt;Control!$C$92,$G197&gt;Control!$C$95),0,IF(AND($G197&gt;=Control!$C$92,$G197&lt;=Control!$C$93),$G197-Control!$C$92,IF(AND($G197&gt;Control!$C$93,$G197&lt;=Control!$C$94),Control!$C$93-Control!$C$92,IF(AND($G197&gt;Control!$C$94,$G197&lt;=Control!$C$95),(Control!$C$93-Control!$C$92)*(Control!$C$94-$G197)/(Control!$C$95-Control!$C$94))))))</f>
        <v>#N/A</v>
      </c>
      <c r="BW197" s="140" t="e">
        <f t="shared" ca="1" si="483"/>
        <v>#N/A</v>
      </c>
      <c r="BX197" s="140" t="e">
        <f ca="1">IF($BW197&lt;=Control!$C$89,$BW197,Control!$C$89-$BW197)</f>
        <v>#N/A</v>
      </c>
      <c r="BY197" s="140" t="e">
        <f ca="1">IF(AND($AJ197&gt;=30,$AJ197&lt;60),1,IF($BW197&gt;=Control!$C$89,0,$BU197))</f>
        <v>#N/A</v>
      </c>
      <c r="BZ197" s="404" t="e">
        <f ca="1">IF($BY197=0,0,IF($BW197&lt;=Control!$C$89,$BU197*(30+(60-30)*(BX197/Control!$C$89)),0))</f>
        <v>#N/A</v>
      </c>
      <c r="CA197" s="140" t="e">
        <f ca="1">IF($BG197+$BM197+$BS197+$BY197=1,0,IF(OR(AND($BB197&lt;65,$BB197&gt;=60),$BW197&gt;=Control!$C$89),1*$BA197,$CE196))</f>
        <v>#N/A</v>
      </c>
      <c r="CB197" s="140" t="e">
        <f ca="1">IF($BX197&lt;0,-$BX197,$CA197*IF(OR($G197&lt;Control!$C$92,$G197&gt;Control!$C$95),0,IF(AND($G197&gt;=Control!$C$92,$G197&lt;=Control!$C$93),$G197-Control!$C$92,IF(AND($G197&gt;Control!$C$93,$G197&lt;=Control!$C$94),Control!$C$93-Control!$C$92,IF(AND($G197&gt;Control!$C$94,$G197&lt;=Control!$C$95),(Control!$C$93-Control!$C$92)*(Control!$C$94-$G197)/(Control!$C$95-Control!$C$94))))))</f>
        <v>#N/A</v>
      </c>
      <c r="CC197" s="140" t="e">
        <f t="shared" ca="1" si="599"/>
        <v>#N/A</v>
      </c>
      <c r="CD197" s="140" t="e">
        <f ca="1">IF($CC197&lt;=Control!$C$90,$CC197,Control!$C$90-$CC197)</f>
        <v>#N/A</v>
      </c>
      <c r="CE197" s="140" t="e">
        <f ca="1">IF(AND($BB197&gt;=60,$BB197&lt;65),1,IF($CC197&gt;=Control!$C$90,0,$CA197))</f>
        <v>#N/A</v>
      </c>
      <c r="CF197" s="404" t="e">
        <f ca="1">IF($CE197=0,0,IF($CC197&lt;=Control!$C$90,$CA197*(60+(65-60)*(CD197/Control!$C$90)),0))</f>
        <v>#N/A</v>
      </c>
      <c r="CG197" s="140" t="e">
        <f ca="1">IF($BG197+$BM197+$BS197+$BY197+$CE197=1,0,IF(OR(AND($BB197&lt;90,$BB197&gt;=65),$CC197&gt;=Control!$C$90),$BA197,$CK196))</f>
        <v>#N/A</v>
      </c>
      <c r="CH197" s="140" t="e">
        <f ca="1">IF($CD197&lt;0,-$CD197,$CG197*IF(OR($G197&lt;Control!$C$92,$G197&gt;Control!$C$95),0,IF(AND($G197&gt;=Control!$C$92,$G197&lt;=Control!$C$93),$G197-Control!$C$92,IF(AND($G197&gt;Control!$C$93,$G197&lt;=Control!$C$94),Control!$C$93-Control!$C$92,IF(AND($G197&gt;Control!$C$94,$G197&lt;=Control!$C$95),(Control!$C$93-Control!$C$92)*(Control!$C$94-$G197)/(Control!$C$95-Control!$C$94))))))</f>
        <v>#N/A</v>
      </c>
      <c r="CI197" s="140" t="e">
        <f t="shared" ca="1" si="600"/>
        <v>#N/A</v>
      </c>
      <c r="CJ197" s="140" t="e">
        <f ca="1">IF($CI197&lt;=Control!$C$91,$CI197,Control!$C$91-$CI197)</f>
        <v>#N/A</v>
      </c>
      <c r="CK197" s="140" t="e">
        <f ca="1">IF(AND($BB197&gt;=65,$BB197&lt;90),1,IF($CI197&gt;=Control!$C$91,0,$CG197))</f>
        <v>#N/A</v>
      </c>
      <c r="CL197" s="404" t="e">
        <f ca="1">IF($CK197=0,0,IF($CI197&lt;=Control!$C$91,$CG197*(65+(90-65)*($CJ197/Control!$C$91)),0))</f>
        <v>#N/A</v>
      </c>
      <c r="CM197" s="140" t="e">
        <f ca="1">IF($BG197+$BM197+$BS197+$BY197+$CE197+$CK197=1,0,IF(OR($BB197&gt;=90,$CI197&gt;=Control!$C$91),$BA197,$CM196))</f>
        <v>#N/A</v>
      </c>
      <c r="CN197" s="140" t="e">
        <f t="shared" ca="1" si="601"/>
        <v>#N/A</v>
      </c>
      <c r="CO197" s="140" t="e">
        <f t="shared" ca="1" si="602"/>
        <v>#N/A</v>
      </c>
      <c r="CP197" s="140" t="e">
        <f t="shared" ca="1" si="603"/>
        <v>#N/A</v>
      </c>
      <c r="CQ197" s="141" t="e">
        <f ca="1">VLOOKUP($CP197,Control!$B$86:$G$91,6)</f>
        <v>#N/A</v>
      </c>
      <c r="CR197" s="141" t="e">
        <f ca="1">(1-$CQ197)*VLOOKUP($CP197,Control!$B$86:$D$91,3)</f>
        <v>#N/A</v>
      </c>
      <c r="CS197" s="141" t="e">
        <f ca="1">(1-$CQ197)*VLOOKUP($CP197,Control!$B$86:$E$91,4)</f>
        <v>#N/A</v>
      </c>
      <c r="CT197" s="141" t="e">
        <f ca="1">(1-$CQ197)*VLOOKUP($CP197,Control!$B$86:$F$91,5)</f>
        <v>#N/A</v>
      </c>
      <c r="CU197" s="141">
        <f t="shared" ca="1" si="604"/>
        <v>0</v>
      </c>
      <c r="CV197" s="583">
        <f t="shared" ca="1" si="605"/>
        <v>0</v>
      </c>
      <c r="CW197" s="142">
        <f t="shared" ca="1" si="606"/>
        <v>193</v>
      </c>
      <c r="CX197" s="612" t="e">
        <f ca="1">IF(Control!$C$114=1,(MIN(Control!$C$120*(IF($NT197-0.01&lt;0,0,1)),Control!$C$119-$CY197)))</f>
        <v>#DIV/0!</v>
      </c>
      <c r="CY197" s="143" t="e">
        <f t="shared" ca="1" si="607"/>
        <v>#N/A</v>
      </c>
      <c r="CZ197" s="144">
        <f t="shared" ca="1" si="484"/>
        <v>0</v>
      </c>
      <c r="DA197" s="144">
        <f t="shared" ca="1" si="485"/>
        <v>0</v>
      </c>
      <c r="DB197" s="144" t="e">
        <f t="shared" ca="1" si="486"/>
        <v>#N/A</v>
      </c>
      <c r="DC197" s="144" t="e">
        <f t="shared" ca="1" si="487"/>
        <v>#N/A</v>
      </c>
      <c r="DD197" s="144" t="e">
        <f t="shared" ca="1" si="692"/>
        <v>#N/A</v>
      </c>
      <c r="DE197" s="143" t="e">
        <f t="shared" ca="1" si="608"/>
        <v>#N/A</v>
      </c>
      <c r="DF197" s="145" t="e">
        <f ca="1">$DR197*EXP(-Control!$C$158*(1-$KH197))</f>
        <v>#N/A</v>
      </c>
      <c r="DG197" s="146" t="e">
        <f ca="1">IF(Control!$C$114=1, $DF197*$EY197, 0)</f>
        <v>#N/A</v>
      </c>
      <c r="DH197" s="147" t="e">
        <f t="shared" ca="1" si="609"/>
        <v>#N/A</v>
      </c>
      <c r="DI197" s="144" t="e">
        <f t="shared" ca="1" si="670"/>
        <v>#N/A</v>
      </c>
      <c r="DJ197" s="147" t="e">
        <f ca="1">$EF197*Control!$C$109</f>
        <v>#N/A</v>
      </c>
      <c r="DK197" s="144" t="e">
        <f t="shared" ca="1" si="610"/>
        <v>#N/A</v>
      </c>
      <c r="DL197" s="144" t="e">
        <f t="shared" ca="1" si="488"/>
        <v>#N/A</v>
      </c>
      <c r="DM197" s="144" t="e">
        <f ca="1">IF(Control!$C$114=1, (1-EXP(-Control!$C$96*$DK197))*$AR197, 0)</f>
        <v>#N/A</v>
      </c>
      <c r="DN197" s="144">
        <f t="shared" ca="1" si="611"/>
        <v>0</v>
      </c>
      <c r="DO197" s="148">
        <f>Control!$C$97</f>
        <v>4</v>
      </c>
      <c r="DP197" s="145" t="e">
        <f t="shared" ca="1" si="612"/>
        <v>#N/A</v>
      </c>
      <c r="DQ197" s="145" t="e">
        <f ca="1">IF(AND($CP197&gt;=0,$CP197&lt;=90),Control!$C$111,Control!$C$111)</f>
        <v>#N/A</v>
      </c>
      <c r="DR197" s="145" t="e">
        <f t="shared" ca="1" si="489"/>
        <v>#N/A</v>
      </c>
      <c r="DS197" s="143" t="e">
        <f ca="1">Control!$B$22/$DR197</f>
        <v>#N/A</v>
      </c>
      <c r="DT197" s="149" t="e">
        <f ca="1">IF(AND(Control!$C$114=1,$KH197&lt;1),$IM197*$DF197, 0)</f>
        <v>#N/A</v>
      </c>
      <c r="DU197" s="144" t="e">
        <f t="shared" ca="1" si="613"/>
        <v>#N/A</v>
      </c>
      <c r="DV197" s="144">
        <f ca="1">IF($G197-Control!$C$107&lt;=0, 0, 0.83*LN(MAX($G197, 3))-0.8924)</f>
        <v>0</v>
      </c>
      <c r="DW197" s="144" t="e">
        <f t="shared" ca="1" si="490"/>
        <v>#N/A</v>
      </c>
      <c r="DX197" s="150" t="e">
        <f ca="1">MAX(0.01*(1+$CU197/Control!$C$102),0.05*($DK197-Control!$C$97)/Control!$C$97)</f>
        <v>#N/A</v>
      </c>
      <c r="DY197" s="151" t="e">
        <f ca="1">IF(Control!$C$114=1, $DI197*$FS197, 0)</f>
        <v>#N/A</v>
      </c>
      <c r="DZ197" s="196" t="e">
        <f t="shared" ca="1" si="614"/>
        <v>#N/A</v>
      </c>
      <c r="EA197" s="152">
        <f t="shared" ca="1" si="615"/>
        <v>193</v>
      </c>
      <c r="EB197" s="153" t="e">
        <f t="shared" ca="1" si="616"/>
        <v>#N/A</v>
      </c>
      <c r="EC197" s="153" t="e">
        <f t="shared" ca="1" si="617"/>
        <v>#N/A</v>
      </c>
      <c r="ED197" s="154" t="e">
        <f ca="1">IF(Control!$C$114=1, $HM197*$FY197-$FD197, 0)</f>
        <v>#DIV/0!</v>
      </c>
      <c r="EE197" s="155" t="e">
        <f ca="1">IF(Control!$C$114=1, $HM197*$FZ197-$FF197, 0)</f>
        <v>#DIV/0!</v>
      </c>
      <c r="EF197" s="153" t="e">
        <f t="shared" ca="1" si="671"/>
        <v>#N/A</v>
      </c>
      <c r="EG197" s="155" t="e">
        <f ca="1">IF(Control!$C$114=1, $GX197*$FW197-$FI197, 0)</f>
        <v>#DIV/0!</v>
      </c>
      <c r="EH197" s="153" t="e">
        <f t="shared" ca="1" si="618"/>
        <v>#N/A</v>
      </c>
      <c r="EI197" s="156" t="e">
        <f t="shared" ca="1" si="619"/>
        <v>#N/A</v>
      </c>
      <c r="EJ197" s="155" t="e">
        <f ca="1">IF(Control!$C$114=1, $HM197*$GB197, 0)</f>
        <v>#DIV/0!</v>
      </c>
      <c r="EK197" s="153" t="e">
        <f t="shared" ca="1" si="672"/>
        <v>#N/A</v>
      </c>
      <c r="EL197" s="153" t="e">
        <f t="shared" ca="1" si="491"/>
        <v>#N/A</v>
      </c>
      <c r="EM197" s="153" t="e">
        <f t="shared" ca="1" si="492"/>
        <v>#N/A</v>
      </c>
      <c r="EN197" s="153" t="e">
        <f ca="1">IF(Control!$C$108=1,IF(AND(Control!$B$18=1,$EB197&gt;=Control!$B$19),$EB197-$DS197,IF(AND(Control!$B$18=2,$AW197=1,$EB197&gt;$DS197),$EB197-$DS197,0)))</f>
        <v>#N/A</v>
      </c>
      <c r="EO197" s="153" t="e">
        <f ca="1">IF(Control!$C$108=1,IF(AND(Control!$B$18=1,$EB197&gt;=Control!$B$19),$EF197,IF(AND(Control!$B$18=2,$AW197=1),$EF197,0)))</f>
        <v>#N/A</v>
      </c>
      <c r="EP197" s="153" t="e">
        <f ca="1">IF(Control!$C$108=1,IF(AND(Control!$B$18=1,$EB197&gt;=Control!$B$19),$EK197,IF(AND(Control!$B$18=2,$AW197=1),$EK197,0)))</f>
        <v>#N/A</v>
      </c>
      <c r="EQ197" s="153" t="e">
        <f t="shared" ca="1" si="620"/>
        <v>#N/A</v>
      </c>
      <c r="ER197" s="153" t="e">
        <f t="shared" ca="1" si="621"/>
        <v>#N/A</v>
      </c>
      <c r="ES197" s="153" t="e">
        <f t="shared" ca="1" si="673"/>
        <v>#N/A</v>
      </c>
      <c r="ET197" s="153" t="e">
        <f t="shared" ca="1" si="674"/>
        <v>#N/A</v>
      </c>
      <c r="EU197" s="153" t="e">
        <f t="shared" ca="1" si="622"/>
        <v>#N/A</v>
      </c>
      <c r="EV197" s="153" t="e">
        <f t="shared" ca="1" si="493"/>
        <v>#N/A</v>
      </c>
      <c r="EW197" s="153" t="e">
        <f t="shared" ca="1" si="494"/>
        <v>#N/A</v>
      </c>
      <c r="EX197" s="153" t="e">
        <f t="shared" ca="1" si="495"/>
        <v>#N/A</v>
      </c>
      <c r="EY197" s="157" t="e">
        <f t="shared" ca="1" si="496"/>
        <v>#DIV/0!</v>
      </c>
      <c r="EZ197" s="154" t="e">
        <f t="shared" ca="1" si="497"/>
        <v>#DIV/0!</v>
      </c>
      <c r="FA197" s="153" t="e">
        <f t="shared" ca="1" si="623"/>
        <v>#N/A</v>
      </c>
      <c r="FB197" s="153" t="e">
        <f t="shared" ca="1" si="498"/>
        <v>#N/A</v>
      </c>
      <c r="FC197" s="193" t="e">
        <f t="shared" ca="1" si="499"/>
        <v>#N/A</v>
      </c>
      <c r="FD197" s="158" t="e">
        <f t="shared" ca="1" si="624"/>
        <v>#N/A</v>
      </c>
      <c r="FE197" s="158" t="e">
        <f t="shared" ca="1" si="625"/>
        <v>#N/A</v>
      </c>
      <c r="FF197" s="159" t="e">
        <f t="shared" ca="1" si="500"/>
        <v>#N/A</v>
      </c>
      <c r="FG197" s="160" t="e">
        <f t="shared" ca="1" si="626"/>
        <v>#N/A</v>
      </c>
      <c r="FH197" s="158" t="e">
        <f t="shared" ca="1" si="627"/>
        <v>#N/A</v>
      </c>
      <c r="FI197" s="159" t="e">
        <f t="shared" ca="1" si="501"/>
        <v>#N/A</v>
      </c>
      <c r="FJ197" s="160" t="e">
        <f t="shared" ca="1" si="628"/>
        <v>#N/A</v>
      </c>
      <c r="FK197" s="160" t="e">
        <f t="shared" ca="1" si="502"/>
        <v>#N/A</v>
      </c>
      <c r="FL197" s="160" t="e">
        <f t="shared" ca="1" si="675"/>
        <v>#N/A</v>
      </c>
      <c r="FM197" s="160" t="e">
        <f t="shared" ca="1" si="503"/>
        <v>#N/A</v>
      </c>
      <c r="FN197" s="158">
        <f t="shared" ca="1" si="629"/>
        <v>0.01</v>
      </c>
      <c r="FO197" s="160">
        <f>Control!$C$101</f>
        <v>50</v>
      </c>
      <c r="FP197" s="150" t="e">
        <f t="shared" ca="1" si="504"/>
        <v>#N/A</v>
      </c>
      <c r="FQ197" s="150" t="e">
        <f ca="1">MAX(0,(Control!$C$112*(($DK197-Control!$C$97)/Control!$C$97)))</f>
        <v>#N/A</v>
      </c>
      <c r="FR197" s="150" t="e">
        <f ca="1">(1-$NT197)*Control!$C$113</f>
        <v>#DIV/0!</v>
      </c>
      <c r="FS197" s="198" t="e">
        <f t="shared" ca="1" si="505"/>
        <v>#N/A</v>
      </c>
      <c r="FT197" s="161">
        <f t="shared" ca="1" si="630"/>
        <v>193</v>
      </c>
      <c r="FU197" s="162" t="e">
        <f ca="1">IF(Control!$B$34=1,VLOOKUP($CP197,Control!$B$86:$G$91,6),Control!$B$35)</f>
        <v>#N/A</v>
      </c>
      <c r="FV197" s="162" t="e">
        <f t="shared" ca="1" si="506"/>
        <v>#DIV/0!</v>
      </c>
      <c r="FW197" s="162" t="e">
        <f ca="1">IF(Control!$B$31=1,$FU197*$FV197,  $FU197)</f>
        <v>#N/A</v>
      </c>
      <c r="FX197" s="162" t="e">
        <f ca="1">IF(Control!$B$34=1,VLOOKUP($CP197,Control!$B$86:$G$91,3),Control!$B$36)</f>
        <v>#N/A</v>
      </c>
      <c r="FY197" s="162" t="e">
        <f t="shared" ca="1" si="507"/>
        <v>#N/A</v>
      </c>
      <c r="FZ197" s="162" t="e">
        <f ca="1">IF(Control!$B$34=1,VLOOKUP($CP197,Control!$B$86:$G$91,4),Control!$B$37)</f>
        <v>#N/A</v>
      </c>
      <c r="GA197" s="162" t="e">
        <f t="shared" ca="1" si="508"/>
        <v>#N/A</v>
      </c>
      <c r="GB197" s="162" t="e">
        <f ca="1">IF(Control!$B$34=1,VLOOKUP($CP197,Control!$B$86:$G$91,5),Control!$B$38)</f>
        <v>#N/A</v>
      </c>
      <c r="GC197" s="162" t="e">
        <f t="shared" ca="1" si="631"/>
        <v>#N/A</v>
      </c>
      <c r="GD197" s="162">
        <f t="shared" ca="1" si="509"/>
        <v>1</v>
      </c>
      <c r="GE197" s="162">
        <f t="shared" ca="1" si="510"/>
        <v>1</v>
      </c>
      <c r="GF197" s="162">
        <f ca="1">IF(AND(Control!$C$104=1, Control!$C$62="F"),$GE197,1)</f>
        <v>1</v>
      </c>
      <c r="GG197" s="162" t="e">
        <f ca="1">IF(Control!$B$16=40,0,IF(AND(Control!$B$16&gt;40,Control!$B$16&lt;=360),(Control!$B$16-40)*((1-0)/(360-40)),IF(AND(Control!$B$16&gt;360,Control!$B$16&lt;=720),(1+(Control!$B$16-360)*((1.25-1)/(720-360))),IF(AND(Control!$B$16&gt;720,Control!$B$16&lt;=1000),(1.25+(Control!$B$16-720)*((1.35-1.25)/(1000-720))),IF(AND(Control!$B$16&gt;1000,Control!$B$16&lt;=2000),(1.35+(Control!$B$16-1000)*0))))))</f>
        <v>#N/A</v>
      </c>
      <c r="GH197" s="162" t="e">
        <f t="shared" ca="1" si="511"/>
        <v>#N/A</v>
      </c>
      <c r="GI197" s="162">
        <f t="shared" ca="1" si="632"/>
        <v>0</v>
      </c>
      <c r="GJ197" s="162">
        <f t="shared" ca="1" si="512"/>
        <v>0</v>
      </c>
      <c r="GK197" s="162">
        <f t="shared" ca="1" si="633"/>
        <v>1</v>
      </c>
      <c r="GL197" s="162">
        <f t="shared" ca="1" si="513"/>
        <v>1</v>
      </c>
      <c r="GM197" s="162" t="e">
        <f ca="1">MAX(0,MIN(1,1-Control!$C$156*(1.0001-$KH197)^2))</f>
        <v>#N/A</v>
      </c>
      <c r="GN197" s="162" t="e">
        <f ca="1">IF(Control!$B$26=1,$KU197,$KX197)</f>
        <v>#N/A</v>
      </c>
      <c r="GO197" s="162" t="e">
        <f ca="1">IF($CP197&lt;=60,Control!$C$105,IF($CP197&gt;=90,Control!$C$106,Control!$C$105+($CP197-60)*((Control!$C$106-Control!$C$105)/(90-60))))</f>
        <v>#N/A</v>
      </c>
      <c r="GP197" s="162" t="e">
        <f t="shared" ca="1" si="514"/>
        <v>#N/A</v>
      </c>
      <c r="GQ197" s="162" t="e">
        <f t="shared" ca="1" si="634"/>
        <v>#N/A</v>
      </c>
      <c r="GR197" s="163" t="e">
        <f t="shared" ca="1" si="515"/>
        <v>#DIV/0!</v>
      </c>
      <c r="GS197" s="162" t="e">
        <f t="shared" ca="1" si="516"/>
        <v>#DIV/0!</v>
      </c>
      <c r="GT197" s="164" t="e">
        <f t="shared" ca="1" si="635"/>
        <v>#N/A</v>
      </c>
      <c r="GU197" s="162" t="e">
        <f t="shared" ca="1" si="636"/>
        <v>#N/A</v>
      </c>
      <c r="GV197" s="162" t="e">
        <f t="shared" ca="1" si="517"/>
        <v>#N/A</v>
      </c>
      <c r="GW197" s="162" t="e">
        <f t="shared" ca="1" si="518"/>
        <v>#DIV/0!</v>
      </c>
      <c r="GX197" s="162" t="e">
        <f t="shared" ca="1" si="637"/>
        <v>#DIV/0!</v>
      </c>
      <c r="GY197" s="162" t="e">
        <f t="shared" ca="1" si="638"/>
        <v>#DIV/0!</v>
      </c>
      <c r="GZ197" s="165" t="e">
        <f t="shared" ca="1" si="519"/>
        <v>#N/A</v>
      </c>
      <c r="HA197" s="162" t="e">
        <f ca="1">IF(Control!$C$114=1, $DI197*$FS197, 0)</f>
        <v>#N/A</v>
      </c>
      <c r="HB197" s="162" t="e">
        <f ca="1">$FA197/Control!$C$64</f>
        <v>#N/A</v>
      </c>
      <c r="HC197" s="162" t="e">
        <f t="shared" ca="1" si="520"/>
        <v>#DIV/0!</v>
      </c>
      <c r="HD197" s="162">
        <f ca="1">-ASIN(SIN(23.45*Control!$C$139)*COS(2*Control!$C$138*($AH197+10)/365))</f>
        <v>0.38269912665050726</v>
      </c>
      <c r="HE197" s="165">
        <f t="shared" ca="1" si="639"/>
        <v>0</v>
      </c>
      <c r="HF197" s="166">
        <f ca="1">IF(AND(Control!$C$61="T",$HE197&gt;=Control!$C$103,Control!$C$114=0),$AH197,Control!$C$59)</f>
        <v>1</v>
      </c>
      <c r="HG197" s="166">
        <f ca="1">IF(AND(Control!$C$61="T",$HE197&gt;=Control!$C$103,Control!$C$114=0),$HF197,Control!$C$59)</f>
        <v>1</v>
      </c>
      <c r="HH197" s="165">
        <f ca="1">IF(AND(OR(Control!$C$60&lt;=0, $AH197= Control!$C$59, Control!$C$60 &gt;0, $AH197 = Control!$C$60)), Control!$C$59, IF(Control!$C$60&gt;0, 0))</f>
        <v>1</v>
      </c>
      <c r="HI197" s="165">
        <f ca="1">IF(AND(OR(Control!$C$60&lt;=0, $AH197= Control!$C$59, Control!$C$60 &gt;0, $AH197 = Control!$C$60)), Control!$C$60, IF(Control!$C$60&lt;=0, 0))</f>
        <v>0</v>
      </c>
      <c r="HJ197" s="166">
        <f ca="1">IF(AND(Control!$C$62="F",$CV197&gt;=Control!$C$102),$AH197,0)</f>
        <v>0</v>
      </c>
      <c r="HK197" s="165" t="e">
        <f t="shared" ca="1" si="676"/>
        <v>#N/A</v>
      </c>
      <c r="HL197" s="166">
        <f ca="1">IF(AND(Control!$C$61="T",$HE197&gt;=Control!$C$103,Control!$C$114=0),$HF197,0)</f>
        <v>0</v>
      </c>
      <c r="HM197" s="201" t="e">
        <f t="shared" ca="1" si="521"/>
        <v>#DIV/0!</v>
      </c>
      <c r="HN197" s="215">
        <f t="shared" ca="1" si="640"/>
        <v>193</v>
      </c>
      <c r="HO197" s="216" t="e">
        <f ca="1">IF(AND($CP197&gt;=0, $CP197&lt;=90), Control!$C$152, Control!$C$152)</f>
        <v>#N/A</v>
      </c>
      <c r="HP197" s="216" t="e">
        <f t="shared" ca="1" si="522"/>
        <v>#N/A</v>
      </c>
      <c r="HQ197" s="217" t="e">
        <f ca="1">IF(OR(Control!$B$26=1,Control!$B$26=2),$KV197,$KS197)</f>
        <v>#DIV/0!</v>
      </c>
      <c r="HR197" s="218" t="e">
        <f t="shared" ca="1" si="677"/>
        <v>#DIV/0!</v>
      </c>
      <c r="HS197" s="216" t="e">
        <f ca="1">Control!$C$154*$HP197</f>
        <v>#N/A</v>
      </c>
      <c r="HT197" s="216" t="e">
        <f ca="1">Control!$C$155*$HP197</f>
        <v>#N/A</v>
      </c>
      <c r="HU197" s="217" t="e">
        <f ca="1">Control!$C$161*$FI197</f>
        <v>#N/A</v>
      </c>
      <c r="HV197" s="218" t="e">
        <f t="shared" ca="1" si="641"/>
        <v>#N/A</v>
      </c>
      <c r="HW197" s="218" t="e">
        <f ca="1">Control!$C$160*$FF197+$IP197*$EO197</f>
        <v>#N/A</v>
      </c>
      <c r="HX197" s="218" t="e">
        <f t="shared" ca="1" si="678"/>
        <v>#N/A</v>
      </c>
      <c r="HY197" s="219" t="e">
        <f ca="1">IF(Control!$C$114=1, $EB197*$FS197, 0)</f>
        <v>#N/A</v>
      </c>
      <c r="HZ197" s="91" t="e">
        <f t="shared" ca="1" si="523"/>
        <v>#N/A</v>
      </c>
      <c r="IA197" s="220" t="e">
        <f ca="1">Control!$C$153*$HO197</f>
        <v>#N/A</v>
      </c>
      <c r="IB197" s="218" t="e">
        <f t="shared" ca="1" si="524"/>
        <v>#N/A</v>
      </c>
      <c r="IC197" s="220" t="e">
        <f ca="1">Control!$C$153*$HT197</f>
        <v>#N/A</v>
      </c>
      <c r="ID197" s="218" t="e">
        <f t="shared" ca="1" si="525"/>
        <v>#N/A</v>
      </c>
      <c r="IE197" s="221" t="e">
        <f ca="1">($EB197*Control!$C$159+$EF197*Control!$C$160)/(IF($GZ197&lt;&gt;0,$GZ197,1))</f>
        <v>#N/A</v>
      </c>
      <c r="IF197" s="216" t="e">
        <f t="shared" ca="1" si="526"/>
        <v>#N/A</v>
      </c>
      <c r="IG197" s="91">
        <f ca="1">IF(OR(Control!$B$198=$AH197,Control!$B$199=$AH197, Control!$B$200=$AH197, Control!$B$201=$AH197, Control!$B$202=$AH197, Control!$B$203=$AH197, Control!$B$204=$AH197, Control!$B$205=$AH197, Control!$B$206=$AH197, Control!$B$207=$AH197), 1, 0)</f>
        <v>0</v>
      </c>
      <c r="IH197" s="91">
        <f ca="1">IF($IG197=0,0, VLOOKUP($AH197,Control!$B$198:$C$207,2))</f>
        <v>0</v>
      </c>
      <c r="II197" s="222">
        <f t="shared" ca="1" si="642"/>
        <v>0</v>
      </c>
      <c r="IJ197" s="91">
        <f>Control!$C$121</f>
        <v>0.7</v>
      </c>
      <c r="IK197" s="218">
        <f t="shared" ca="1" si="527"/>
        <v>0</v>
      </c>
      <c r="IL197" s="217" t="e">
        <f t="shared" ca="1" si="679"/>
        <v>#N/A</v>
      </c>
      <c r="IM197" s="223" t="e">
        <f ca="1">IF(AND(Control!$C$114=1,$KH197&lt;1),$EB197*Control!$C$148*(1-$KH197), 0)</f>
        <v>#N/A</v>
      </c>
      <c r="IN197" s="217" t="e">
        <f t="shared" ca="1" si="528"/>
        <v>#DIV/0!</v>
      </c>
      <c r="IO197" s="91" t="e">
        <f ca="1">MAX(0,$IL197-$EF197*Control!$C$160)</f>
        <v>#N/A</v>
      </c>
      <c r="IP197" s="220" t="e">
        <f t="shared" ca="1" si="529"/>
        <v>#N/A</v>
      </c>
      <c r="IQ197" s="217" t="e">
        <f t="shared" ca="1" si="643"/>
        <v>#N/A</v>
      </c>
      <c r="IR197" s="218" t="e">
        <f t="shared" ca="1" si="530"/>
        <v>#N/A</v>
      </c>
      <c r="IS197" s="217" t="e">
        <f ca="1">Control!$C$159*MAX(0,$FD197-$EN197)</f>
        <v>#N/A</v>
      </c>
      <c r="IT197" s="217" t="e">
        <f t="shared" ca="1" si="680"/>
        <v>#N/A</v>
      </c>
      <c r="IU197" s="217" t="e">
        <f t="shared" ca="1" si="644"/>
        <v>#N/A</v>
      </c>
      <c r="IV197" s="217" t="e">
        <f t="shared" ca="1" si="681"/>
        <v>#N/A</v>
      </c>
      <c r="IW197" s="217" t="e">
        <f ca="1">IF(OR($AW197=1,AND($AW197=0, Control!$B$18=1,$EN197&lt;&gt;0)), $IQ197-$IU197, $IQ197)</f>
        <v>#N/A</v>
      </c>
      <c r="IX197" s="218" t="e">
        <f t="shared" ca="1" si="531"/>
        <v>#N/A</v>
      </c>
      <c r="IY197" s="218" t="e">
        <f ca="1">MAX(0,$IQ197-$EB197*Control!$C$159)</f>
        <v>#N/A</v>
      </c>
      <c r="IZ197" s="218" t="e">
        <f t="shared" ca="1" si="532"/>
        <v>#N/A</v>
      </c>
      <c r="JA197" s="216" t="e">
        <f t="shared" ca="1" si="533"/>
        <v>#N/A</v>
      </c>
      <c r="JB197" s="217" t="e">
        <f t="shared" ca="1" si="534"/>
        <v>#N/A</v>
      </c>
      <c r="JC197" s="222" t="e">
        <f ca="1">MAX(Control!$C$157*$EK197-$JT197, 0)/Control!$C$162</f>
        <v>#N/A</v>
      </c>
      <c r="JD197" s="218" t="e">
        <f t="shared" ca="1" si="535"/>
        <v>#N/A</v>
      </c>
      <c r="JE197" s="218" t="e">
        <f t="shared" ca="1" si="536"/>
        <v>#N/A</v>
      </c>
      <c r="JF197" s="218" t="e">
        <f t="shared" ca="1" si="645"/>
        <v>#N/A</v>
      </c>
      <c r="JG197" s="218" t="e">
        <f t="shared" ca="1" si="537"/>
        <v>#N/A</v>
      </c>
      <c r="JH197" s="217" t="e">
        <f t="shared" ca="1" si="646"/>
        <v>#N/A</v>
      </c>
      <c r="JI197" s="217" t="e">
        <f t="shared" ca="1" si="647"/>
        <v>#N/A</v>
      </c>
      <c r="JJ197" s="217" t="e">
        <f t="shared" ca="1" si="682"/>
        <v>#N/A</v>
      </c>
      <c r="JK197" s="217" t="e">
        <f ca="1">IF(Control!$C$114=1,IF(Control!$B$24=0,MAX(0,$JI197)*$GN197/Control!$C$64,(MAX(0,MIN($JI197,$JJ197*$GN197/Control!$C$64),0))))</f>
        <v>#N/A</v>
      </c>
      <c r="JL197" s="217" t="e">
        <f ca="1">$IK197/Control!$C$64-$JK197+$HQ197</f>
        <v>#N/A</v>
      </c>
      <c r="JM197" s="217" t="e">
        <f ca="1">IF(Control!$C$114=1,($JB197/(IF($JI197&lt;&gt;0,$JI197,1)))*$JK197,0)</f>
        <v>#N/A</v>
      </c>
      <c r="JN197" s="217" t="e">
        <f ca="1">IF(Control!$C$114=1,($JG197/(IF($JI197&lt;&gt;0,$JI197,1)))*$JK197, 0)</f>
        <v>#N/A</v>
      </c>
      <c r="JO197" s="218" t="e">
        <f t="shared" ca="1" si="538"/>
        <v>#N/A</v>
      </c>
      <c r="JP197" s="218" t="e">
        <f ca="1">MIN(($IY197+$IO197)*Control!$C$151, $JF197-$EH197*Control!$C$161)</f>
        <v>#N/A</v>
      </c>
      <c r="JQ197" s="218" t="e">
        <f t="shared" ca="1" si="539"/>
        <v>#N/A</v>
      </c>
      <c r="JR197" s="217" t="e">
        <f ca="1">IF($CP197-Control!$C$150&lt;0, 0, $JQ197/Control!$C$162)</f>
        <v>#N/A</v>
      </c>
      <c r="JS197" s="218" t="e">
        <f t="shared" ca="1" si="540"/>
        <v>#N/A</v>
      </c>
      <c r="JT197" s="218" t="e">
        <f t="shared" ca="1" si="648"/>
        <v>#N/A</v>
      </c>
      <c r="JU197" s="218" t="e">
        <f t="shared" ca="1" si="541"/>
        <v>#N/A</v>
      </c>
      <c r="JV197" s="218" t="e">
        <f t="shared" ca="1" si="542"/>
        <v>#N/A</v>
      </c>
      <c r="JW197" s="216" t="e">
        <f t="shared" ca="1" si="543"/>
        <v>#N/A</v>
      </c>
      <c r="JX197" s="91" t="e">
        <f t="shared" ca="1" si="544"/>
        <v>#N/A</v>
      </c>
      <c r="JY197" s="218" t="e">
        <f t="shared" ca="1" si="545"/>
        <v>#N/A</v>
      </c>
      <c r="JZ197" s="217" t="e">
        <f ca="1">IF(Control!$C$114=1,($IZ197/(IF($JI197&lt;&gt;0,$JI197,1)))*$JK197, 0)</f>
        <v>#N/A</v>
      </c>
      <c r="KA197" s="218" t="e">
        <f t="shared" ca="1" si="683"/>
        <v>#N/A</v>
      </c>
      <c r="KB197" s="218" t="e">
        <f t="shared" ca="1" si="649"/>
        <v>#N/A</v>
      </c>
      <c r="KC197" s="218" t="e">
        <f t="shared" ca="1" si="546"/>
        <v>#N/A</v>
      </c>
      <c r="KD197" s="218" t="e">
        <f t="shared" ca="1" si="547"/>
        <v>#N/A</v>
      </c>
      <c r="KE197" s="218" t="e">
        <f t="shared" ca="1" si="548"/>
        <v>#N/A</v>
      </c>
      <c r="KF197" s="218" t="e">
        <f t="shared" ca="1" si="549"/>
        <v>#N/A</v>
      </c>
      <c r="KG197" s="216" t="e">
        <f t="shared" ca="1" si="550"/>
        <v>#N/A</v>
      </c>
      <c r="KH197" s="221" t="e">
        <f ca="1">IF(Control!$B$24=0,1,MAX(0.001,MIN(1,IF(($IF197-$IE197)&lt;&gt;0,($KG197-$IE197)/($IF197-$IE197),1))))</f>
        <v>#N/A</v>
      </c>
      <c r="KI197" s="222" t="e">
        <f ca="1">IF(Control!$C$114=1, $KI196+ $KH196, 0)</f>
        <v>#N/A</v>
      </c>
      <c r="KJ197" s="217" t="e">
        <f t="shared" ca="1" si="551"/>
        <v>#N/A</v>
      </c>
      <c r="KK197" s="218" t="e">
        <f t="shared" ca="1" si="552"/>
        <v>#N/A</v>
      </c>
      <c r="KL197" s="274" t="e">
        <f ca="1">IF(Control!$B$26=3,4000000000*EXP(-8400/($G197+273)),IF(Control!$B$26=4,4000000000*EXP(-8400/($G197+273))*($KT197),0))</f>
        <v>#DIV/0!</v>
      </c>
      <c r="KM197" s="274" t="e">
        <f ca="1">IF(Control!$B$26=3,5600000000000*EXP(-9800/($G197+273)),IF(Control!$B$26=4,5600000000000*EXP(-9800/($G197+273))*$KT197,0))</f>
        <v>#DIV/0!</v>
      </c>
      <c r="KN197" s="454" t="e">
        <f t="shared" ca="1" si="650"/>
        <v>#DIV/0!</v>
      </c>
      <c r="KO197" s="274" t="e">
        <f t="shared" ca="1" si="651"/>
        <v>#DIV/0!</v>
      </c>
      <c r="KP197" s="454" t="e">
        <f t="shared" ca="1" si="553"/>
        <v>#DIV/0!</v>
      </c>
      <c r="KQ197" s="454" t="e">
        <f t="shared" ca="1" si="554"/>
        <v>#DIV/0!</v>
      </c>
      <c r="KR197" s="454" t="e">
        <f t="shared" ca="1" si="555"/>
        <v>#DIV/0!</v>
      </c>
      <c r="KS197" s="454" t="e">
        <f t="shared" ca="1" si="556"/>
        <v>#DIV/0!</v>
      </c>
      <c r="KT197" s="455" t="e">
        <f t="shared" ca="1" si="557"/>
        <v>#DIV/0!</v>
      </c>
      <c r="KU197" s="456" t="e">
        <f ca="1">IF($CP197-Control!$C$149&lt;0, IF($NT197-0.01&lt;0,0,1),0)</f>
        <v>#N/A</v>
      </c>
      <c r="KV197" s="456" t="e">
        <f ca="1">IF(Control!$C$114=1,MAX(0,MIN(Control!$C$125*$KW197*$GN197,$KW197)))</f>
        <v>#DIV/0!</v>
      </c>
      <c r="KW197" s="456" t="e">
        <f t="shared" ca="1" si="684"/>
        <v>#DIV/0!</v>
      </c>
      <c r="KX197" s="457" t="e">
        <f ca="1">IF($CP197-Control!$C$149&lt;0, IF($MR197-$OM197&lt;0,0,1),0)</f>
        <v>#N/A</v>
      </c>
      <c r="KY197" s="167">
        <f t="shared" ca="1" si="652"/>
        <v>193</v>
      </c>
      <c r="KZ197" s="168">
        <f ca="1">1370*(1+0.033*COS(2*Control!$C$138*$AH197/365))</f>
        <v>1325.5265659710751</v>
      </c>
      <c r="LA197" s="169">
        <f t="shared" ca="1" si="653"/>
        <v>0.96753759330547084</v>
      </c>
      <c r="LB197" s="169">
        <f t="shared" ca="1" si="654"/>
        <v>0.3825586689216553</v>
      </c>
      <c r="LC197" s="169">
        <f ca="1">ACOS(-TAN((2*Control!$B$8/360))*TAN(Calculations!$LB197))</f>
        <v>1.6906726047103531</v>
      </c>
      <c r="LD197" s="169">
        <f ca="1">((24*60)/PI())*0.082*$LA197*(($LC197*SIN(Control!$B$8*2*PI()/360))*SIN($LB197)+COS(Control!$B$8*2*PI()/360)*COS($LB197)*SIN($LC197))</f>
        <v>38.707408000423747</v>
      </c>
      <c r="LE197" s="170">
        <f t="shared" ca="1" si="558"/>
        <v>40.246263433208711</v>
      </c>
      <c r="LF197" s="170">
        <f ca="1">SIN(Control!$C$139*Control!$B$8)*SIN($HD197)</f>
        <v>0.29426395417752288</v>
      </c>
      <c r="LG197" s="170">
        <f ca="1">COS(Control!$C$139*Control!$B$8)*COS($HD197)</f>
        <v>0.5711230298452955</v>
      </c>
      <c r="LH197" s="170">
        <f ca="1">12*(1+2*ASIN(MAX(-1,MIN(1,$LF197/$LG197))/Control!$C$138))</f>
        <v>15.953977093674565</v>
      </c>
      <c r="LI197" s="170">
        <f ca="1">12*(1+2*ASIN(MAX(-1,MIN(1,(-SIN(-4*Control!$C$139)+$LF197)/$LG197))/Control!$C$138))</f>
        <v>16.903227129359273</v>
      </c>
      <c r="LJ197" s="168">
        <f ca="1">3600*($LH197*$LF197+24*$LG197*SQRT(1-$LK197*$LK197)/Control!$C$138)</f>
        <v>30362.472142325169</v>
      </c>
      <c r="LK197" s="170">
        <f t="shared" ca="1" si="559"/>
        <v>0.51523741610845641</v>
      </c>
      <c r="LL197" s="170">
        <f t="shared" ca="1" si="560"/>
        <v>0</v>
      </c>
      <c r="LM197" s="171">
        <f ca="1">Control!$C$145*$AB197</f>
        <v>6.6660906138995932E-2</v>
      </c>
      <c r="LN197" s="170">
        <f t="shared" ca="1" si="655"/>
        <v>0.54</v>
      </c>
      <c r="LO197" s="170">
        <f t="shared" ca="1" si="561"/>
        <v>0</v>
      </c>
      <c r="LP197" s="170">
        <f ca="1">Control!$C$140*((($D197+273.16)^4+($E197+273.16)^4)/2)*(0.34-0.14*SQRT($Y197))*(1.35*$AQ197/(0.75*$LD197)-0.35)</f>
        <v>-3.2464704755046001</v>
      </c>
      <c r="LQ197" s="170">
        <f ca="1">Control!$C$140*($G197+273)^4*(0.56-0.079*SQRT($Y197*10))*(0.1+0.9*$LO197)</f>
        <v>1.5241745131704001</v>
      </c>
      <c r="LR197" s="170">
        <f ca="1">$AQ197*(1-Control!$C$142)-$LQ197</f>
        <v>-1.5241745131704001</v>
      </c>
      <c r="LS197" s="170">
        <f ca="1">$AQ197*(1-Control!$C$143)-$LQ197</f>
        <v>-1.5241745131704001</v>
      </c>
      <c r="LT197" s="170">
        <f ca="1">$AQ197*(1-Control!$C$144)-$LQ197</f>
        <v>-1.5241745131704001</v>
      </c>
      <c r="LU197" s="169">
        <f ca="1">(1-Control!$C$144)*AQ197-LP197</f>
        <v>3.2464704755046001</v>
      </c>
      <c r="LV197" s="172">
        <f t="shared" ca="1" si="562"/>
        <v>0.79430000000000012</v>
      </c>
      <c r="LW197" s="170">
        <f t="shared" ca="1" si="563"/>
        <v>1.5886000000000002</v>
      </c>
      <c r="LX197" s="170">
        <f ca="1">($AC197*($LR197/Control!$C$141)+$LM197*$LV197)/($AC197+$LM197)</f>
        <v>0.23530094218323697</v>
      </c>
      <c r="LY197" s="170">
        <f ca="1">($AC197*($LS197/Control!$C$141)+$LM197*$LV197)/($AC197+$LM197)</f>
        <v>0.23530094218323697</v>
      </c>
      <c r="LZ197" s="170">
        <f t="shared" ca="1" si="564"/>
        <v>0.23530094218323697</v>
      </c>
      <c r="MA197" s="170">
        <f t="shared" ca="1" si="565"/>
        <v>0.23530094218323697</v>
      </c>
      <c r="MB197" s="170" t="e">
        <f t="shared" ca="1" si="566"/>
        <v>#N/A</v>
      </c>
      <c r="MC197" s="170">
        <f t="shared" ca="1" si="656"/>
        <v>0.6018</v>
      </c>
      <c r="MD197" s="170">
        <f t="shared" ca="1" si="567"/>
        <v>0.52989392535414004</v>
      </c>
      <c r="ME197" s="170">
        <f ca="1">($AC197*($LT197/Control!$C$141)+$LM197*$LW197)/($AC197+$LM197)</f>
        <v>0.71612369323045078</v>
      </c>
      <c r="MF197" s="170" t="e">
        <f ca="1">IF(Control!$B$16&gt;=1000,0.92,IF(AND(720&lt;=Control!$B$16,1000&gt;Control!$B$16),(0.95+(Control!$B$16-720)*((0.92-0.95)/(1000-720))),IF(AND(360&lt;=Control!$B$16,720&gt;Control!$B$16),(1+(Control!$B$16-360)*((0.95-1)/(720-360))),IF(AND(40&lt;=Control!$B$16,360&gt;Control!$B$16),(1.05+(Control!$B$16-40)*((1.05-1)/(360-40)))))))</f>
        <v>#N/A</v>
      </c>
      <c r="MG197" s="170">
        <f t="shared" ca="1" si="568"/>
        <v>0.71612369323045078</v>
      </c>
      <c r="MH197" s="170" t="e">
        <f t="shared" ca="1" si="695"/>
        <v>#N/A</v>
      </c>
      <c r="MI197" s="170" t="e">
        <f t="shared" ca="1" si="695"/>
        <v>#N/A</v>
      </c>
      <c r="MJ197" s="170" t="e">
        <f ca="1">MAX(0.0001, Control!$C$132*$MI197*$DL197)</f>
        <v>#N/A</v>
      </c>
      <c r="MK197" s="170">
        <f ca="1">1/(0.76+1.5*($MG197/10))-(5-Control!$C$110)*0.1</f>
        <v>1.002845988140797</v>
      </c>
      <c r="ML197" s="173">
        <f ca="1">IF(Control!$C$110&lt;3,$MK197+($MG197-0.6)/(Control!$C$110*(Control!$C$110+3)), MAX(0.1, MIN(0.95,$MK197)))</f>
        <v>0.95</v>
      </c>
      <c r="MM197" s="173">
        <f ca="1">IF(Control!$C$110&lt;3,$MK197+(($MI197/10)-0.6)/(Control!$C$110*(Control!$C$110+3)), MAX(0.1, MIN(0.95,$MK197)))</f>
        <v>0.95</v>
      </c>
      <c r="MN197" s="173">
        <f ca="1">(1-$MM197)*(Control!$C$128-Control!$C$127)+Control!$C$127</f>
        <v>0.16</v>
      </c>
      <c r="MO197" s="170" t="e">
        <f ca="1">MAX(0,MIN(1,($MS197-Control!$C$127)/($MN197-Control!$C$127)))</f>
        <v>#DIV/0!</v>
      </c>
      <c r="MP197" s="173" t="e">
        <f ca="1">1/(0.76+1.5*$MI197)-(5-Control!$C$110)*0.1</f>
        <v>#N/A</v>
      </c>
      <c r="MQ197" s="172" t="e">
        <f t="shared" ca="1" si="685"/>
        <v>#DIV/0!</v>
      </c>
      <c r="MR197" s="168" t="e">
        <f t="shared" ca="1" si="657"/>
        <v>#DIV/0!</v>
      </c>
      <c r="MS197" s="173" t="e">
        <f ca="1">MAX(Control!$C$127, MIN(Control!$C$135, $MR197/MAX(0.0001,$CY197)))</f>
        <v>#DIV/0!</v>
      </c>
      <c r="MT197" s="168" t="e">
        <f ca="1">(Control!$C$128-$MS197)*Control!$C$74</f>
        <v>#DIV/0!</v>
      </c>
      <c r="MU197" s="168" t="e">
        <f ca="1">(Control!$C$135-$MS197)*Control!$C$74</f>
        <v>#DIV/0!</v>
      </c>
      <c r="MV197" s="168" t="e">
        <f t="shared" ca="1" si="658"/>
        <v>#DIV/0!</v>
      </c>
      <c r="MW197" s="168" t="e">
        <f t="shared" ca="1" si="659"/>
        <v>#DIV/0!</v>
      </c>
      <c r="MX197" s="171" t="e">
        <f ca="1">MAX(Control!$C$127, MIN(Control!$C$135, $MW197/MAX(0.0001,Control!$C$119-$CY197)))</f>
        <v>#DIV/0!</v>
      </c>
      <c r="MY197" s="54" t="e">
        <f ca="1">IF(Control!$C$114=1, $CX197*$MX197, 0)</f>
        <v>#DIV/0!</v>
      </c>
      <c r="MZ197" s="54" t="e">
        <f t="shared" ca="1" si="660"/>
        <v>#N/A</v>
      </c>
      <c r="NA197" s="168" t="e">
        <f ca="1">(Control!$C$128-$MX197)*(Control!$C$119-Control!$C$74)</f>
        <v>#DIV/0!</v>
      </c>
      <c r="NB197" s="168" t="e">
        <f ca="1">(Control!$C$135-$MX197)*(Control!$C$119-Control!$C$74)</f>
        <v>#DIV/0!</v>
      </c>
      <c r="NC197" s="174" t="e">
        <f t="shared" ca="1" si="661"/>
        <v>#DIV/0!</v>
      </c>
      <c r="ND197" s="54">
        <f ca="1">IF(Control!$C$58=2, IF(OR(Control!$B$218=$AH197,Control!$B$219=$AH197, Control!$B$220=$AH197, Control!$B$221=$AH197, Control!$B$222=$AH197, Control!$B$223=$AH197, Control!$B$224=$AH197, Control!$B$225=$AH197, Control!$B$226=$AH197, Control!$B$227=$AH197, Control!$B$228=$AH197), 1, 0), 0)</f>
        <v>0</v>
      </c>
      <c r="NE197" s="54">
        <f ca="1">IF($ND197=0,0, VLOOKUP($AH197,Control!$B$218:$C$228,2))</f>
        <v>0</v>
      </c>
      <c r="NF197" s="168" t="e">
        <f ca="1">$CY197*(Control!$C$128-Control!$C$127)</f>
        <v>#N/A</v>
      </c>
      <c r="NG197" s="54" t="e">
        <f ca="1">IF(Control!$C$58=2, $NI196-$NJ196, 0)</f>
        <v>#DIV/0!</v>
      </c>
      <c r="NH197" s="54" t="e">
        <f ca="1">IF(AND(Control!$C$58=1, $MS196&lt;= ($MN196+0.02), $I196&lt;10), 0, IF(Control!$C$58=2, $NG196, 0))</f>
        <v>#DIV/0!</v>
      </c>
      <c r="NI197" s="54" t="e">
        <f ca="1">IF(Control!$C$58=2, $NE197+$NH197,0)</f>
        <v>#DIV/0!</v>
      </c>
      <c r="NJ197" s="54" t="e">
        <f ca="1">IF(AND(Control!$C$58=1, $MS197&lt;= ($MN197+0.02), $I197&lt;10), MAX(0, MIN(10, 0.7*($NF197-$MV197))), IF(Control!$C$58=2, MIN(10,$NI197),0))</f>
        <v>#DIV/0!</v>
      </c>
      <c r="NK197" s="54" t="e">
        <f t="shared" ca="1" si="569"/>
        <v>#DIV/0!</v>
      </c>
      <c r="NL197" s="173" t="e">
        <f ca="1">(1-Control!$C$73)*$I197+$NJ197</f>
        <v>#DIV/0!</v>
      </c>
      <c r="NM197" s="172" t="e">
        <f ca="1">IF($NL197&lt;0.5, $MB197* MAX(0, MIN(1, (SQRT($NC197)-SQRT($NC197-1))*Control!$C$71)),0)</f>
        <v>#DIV/0!</v>
      </c>
      <c r="NN197" s="170" t="e">
        <f ca="1">IF($NL197&gt;=5, $MB197, MAX(0,MIN($MB197, $NM197+$NL197,($MS197-Control!$C$129))))</f>
        <v>#DIV/0!</v>
      </c>
      <c r="NO197" s="54">
        <f>IF(Control!$C$133&lt;&gt;1, Control!$C$135-Control!$C$131, 0)</f>
        <v>0.38</v>
      </c>
      <c r="NP197" s="54" t="e">
        <f t="shared" ca="1" si="570"/>
        <v>#DIV/0!</v>
      </c>
      <c r="NQ197" s="173" t="e">
        <f ca="1">MAX(0,MIN(1,(Control!$C$135-$MS197)/(Control!$C$135-$NO197)))</f>
        <v>#DIV/0!</v>
      </c>
      <c r="NR197" s="170" t="e">
        <f ca="1">IF(Control!$C$133&lt;&gt;1, $NQ197+((1-$NP197/4)*(1-$NQ197)),1)</f>
        <v>#DIV/0!</v>
      </c>
      <c r="NS197" s="170" t="e">
        <f ca="1">IF(Control!$B$31=0,$MJ197,MAX(0,MIN($MV197,$MO197*$NR197*$MJ197)))</f>
        <v>#DIV/0!</v>
      </c>
      <c r="NT197" s="170" t="e">
        <f t="shared" ca="1" si="686"/>
        <v>#DIV/0!</v>
      </c>
      <c r="NU197" s="170" t="e">
        <f t="shared" ca="1" si="662"/>
        <v>#N/A</v>
      </c>
      <c r="NV197" s="170" t="e">
        <f t="shared" ca="1" si="571"/>
        <v>#N/A</v>
      </c>
      <c r="NW197" s="175" t="e">
        <f t="shared" ca="1" si="572"/>
        <v>#DIV/0!</v>
      </c>
      <c r="NX197" s="170" t="e">
        <f ca="1">MIN(Control!$C$72+$MU197, $NW197)</f>
        <v>#DIV/0!</v>
      </c>
      <c r="NY197" s="170" t="e">
        <f ca="1">IF($MT197&lt;=$NX197,MIN(Control!$C$72+$NB197,$NX197-$MT197),0)</f>
        <v>#DIV/0!</v>
      </c>
      <c r="NZ197" s="54" t="e">
        <f ca="1">IF(Control!$C$114=1,  $CX197*($MX197-Control!$C$127), 0)</f>
        <v>#DIV/0!</v>
      </c>
      <c r="OA197" s="170" t="e">
        <f t="shared" ca="1" si="573"/>
        <v>#DIV/0!</v>
      </c>
      <c r="OB197" s="170" t="e">
        <f ca="1">IF($NA197 &lt;=$NY197, MIN(Control!$C$72, $NY197-$NA197), 0)</f>
        <v>#DIV/0!</v>
      </c>
      <c r="OC197" s="168" t="e">
        <f t="shared" ca="1" si="574"/>
        <v>#DIV/0!</v>
      </c>
      <c r="OD197" s="168" t="e">
        <f t="shared" ca="1" si="663"/>
        <v>#DIV/0!</v>
      </c>
      <c r="OE197" s="170">
        <f ca="1">Control!$C$73*$I197</f>
        <v>0</v>
      </c>
      <c r="OF197" s="176" t="e">
        <f t="shared" ca="1" si="575"/>
        <v>#DIV/0!</v>
      </c>
      <c r="OG197" s="168" t="e">
        <f t="shared" ca="1" si="576"/>
        <v>#DIV/0!</v>
      </c>
      <c r="OH197" s="168" t="e">
        <f t="shared" ca="1" si="577"/>
        <v>#DIV/0!</v>
      </c>
      <c r="OI197" s="168" t="e">
        <f t="shared" ca="1" si="578"/>
        <v>#DIV/0!</v>
      </c>
      <c r="OJ197" s="168" t="e">
        <f t="shared" ca="1" si="579"/>
        <v>#DIV/0!</v>
      </c>
      <c r="OK197" s="204" t="e">
        <f t="shared" ca="1" si="580"/>
        <v>#DIV/0!</v>
      </c>
      <c r="OL197" s="177">
        <f>Control!$C$127</f>
        <v>0.15</v>
      </c>
      <c r="OM197" s="182" t="e">
        <f t="shared" ca="1" si="581"/>
        <v>#N/A</v>
      </c>
      <c r="ON197" s="177">
        <f>Control!$C$128</f>
        <v>0.35</v>
      </c>
      <c r="OO197" s="182" t="e">
        <f t="shared" ca="1" si="582"/>
        <v>#N/A</v>
      </c>
      <c r="OP197" s="138">
        <f t="shared" ca="1" si="664"/>
        <v>0</v>
      </c>
      <c r="OQ197" s="138" t="e">
        <f t="shared" ca="1" si="687"/>
        <v>#DIV/0!</v>
      </c>
      <c r="OR197" s="138" t="e">
        <f t="shared" ca="1" si="665"/>
        <v>#DIV/0!</v>
      </c>
      <c r="OS197" s="137" t="e">
        <f t="shared" ca="1" si="688"/>
        <v>#DIV/0!</v>
      </c>
      <c r="OT197" s="139" t="e">
        <f t="shared" ca="1" si="689"/>
        <v>#DIV/0!</v>
      </c>
      <c r="OU197" s="138" t="e">
        <f t="shared" ca="1" si="690"/>
        <v>#N/A</v>
      </c>
      <c r="OV197" s="138" t="e">
        <f t="shared" ca="1" si="691"/>
        <v>#DIV/0!</v>
      </c>
      <c r="OW197" s="138" t="e">
        <f t="shared" ca="1" si="666"/>
        <v>#DIV/0!</v>
      </c>
      <c r="OX197" s="138" t="e">
        <f t="shared" ca="1" si="667"/>
        <v>#DIV/0!</v>
      </c>
      <c r="OY197" s="138" t="e">
        <f t="shared" ca="1" si="668"/>
        <v>#DIV/0!</v>
      </c>
      <c r="OZ197" s="138" t="e">
        <f t="shared" ca="1" si="583"/>
        <v>#DIV/0!</v>
      </c>
      <c r="PA197" s="138" t="e">
        <f t="shared" ca="1" si="584"/>
        <v>#DIV/0!</v>
      </c>
      <c r="PB197" s="55">
        <f>IF(Control!$C$61="T", IF(Control!$C$65="F", IF($AH$6-Control!$C$60&lt;0,0,1), IF(365+$AH$6-Control!$C$60&lt;0,0,1)),0)</f>
        <v>0</v>
      </c>
      <c r="PC197" s="55">
        <f ca="1">IF(Control!$C$65="F", IF($AH$6-$HF197&lt;0,0,1), IF(365+$AH$6-$HF197&lt;0,0,1))</f>
        <v>1</v>
      </c>
      <c r="PD197" s="444">
        <f>Control!$C$118</f>
        <v>1500</v>
      </c>
      <c r="PE197" s="180" t="e">
        <f t="shared" ca="1" si="585"/>
        <v>#N/A</v>
      </c>
      <c r="PF197" s="445">
        <f t="shared" ca="1" si="669"/>
        <v>0.71612369323045078</v>
      </c>
      <c r="PT197" s="186"/>
      <c r="PU197" s="186"/>
      <c r="PV197" s="94"/>
      <c r="PW197" s="94"/>
      <c r="PX197" s="94"/>
      <c r="PY197" s="94"/>
      <c r="PZ197" s="94"/>
      <c r="QA197" s="94"/>
      <c r="QB197" s="94"/>
      <c r="QC197" s="94"/>
      <c r="QD197" s="94"/>
      <c r="QE197" s="94"/>
      <c r="QF197" s="94"/>
      <c r="QG197" s="94"/>
      <c r="QH197" s="94"/>
      <c r="QI197" s="94"/>
      <c r="QJ197" s="94"/>
      <c r="QK197" s="94"/>
      <c r="QL197" s="94"/>
      <c r="QM197" s="94"/>
      <c r="QN197" s="94"/>
      <c r="QO197" s="94"/>
      <c r="QP197" s="94"/>
    </row>
    <row r="198" spans="1:458" s="2" customFormat="1" x14ac:dyDescent="0.2">
      <c r="A198" s="395">
        <v>12</v>
      </c>
      <c r="B198" s="396">
        <v>7</v>
      </c>
      <c r="C198" s="387">
        <f ca="1">Weather_data!$B197</f>
        <v>0</v>
      </c>
      <c r="D198" s="388">
        <f ca="1">Weather_data!$F197</f>
        <v>0</v>
      </c>
      <c r="E198" s="388">
        <f ca="1">Weather_data!$E197</f>
        <v>0</v>
      </c>
      <c r="F198" s="388">
        <f t="shared" ca="1" si="586"/>
        <v>0</v>
      </c>
      <c r="G198" s="388">
        <f ca="1">AVERAGE($D198:$E198)+Control!$B$9</f>
        <v>0</v>
      </c>
      <c r="H198" s="388">
        <f ca="1">Weather_data!$G197</f>
        <v>0</v>
      </c>
      <c r="I198" s="388">
        <f ca="1">Weather_data!$I197</f>
        <v>0</v>
      </c>
      <c r="J198" s="388">
        <f ca="1">Weather_data!$H197</f>
        <v>0</v>
      </c>
      <c r="K198" s="389">
        <f ca="1">Weather_data!$D197</f>
        <v>0</v>
      </c>
      <c r="L198" s="388" t="e">
        <f t="shared" ca="1" si="587"/>
        <v>#N/A</v>
      </c>
      <c r="M198" s="388" t="e">
        <f t="shared" ref="M198:M261" ca="1" si="696">($EX198/10)/IF($L198&lt;&gt;0, $L198, 1)</f>
        <v>#N/A</v>
      </c>
      <c r="N198" s="388">
        <f t="shared" ref="N198:N261" ca="1" si="697">($G198-$O198)/10</f>
        <v>-8.1946765569615951E-10</v>
      </c>
      <c r="O198" s="388">
        <f t="shared" ca="1" si="588"/>
        <v>8.1946765569615953E-9</v>
      </c>
      <c r="P198" s="390">
        <v>3</v>
      </c>
      <c r="Q198" s="388">
        <f ca="1">MAX($G198-Control!$C$107,0)</f>
        <v>0</v>
      </c>
      <c r="R198" s="388">
        <f t="shared" ca="1" si="589"/>
        <v>0</v>
      </c>
      <c r="S198" s="388">
        <f t="shared" ref="S198:S261" ca="1" si="698">MAX(0, $R198)</f>
        <v>0</v>
      </c>
      <c r="T198" s="388">
        <f t="shared" ref="T198:T261" ca="1" si="699">$S198*$PC198</f>
        <v>0</v>
      </c>
      <c r="U198" s="59">
        <f t="shared" ref="U198:U261" ca="1" si="700">$S198*$PC198*$GF198</f>
        <v>0</v>
      </c>
      <c r="V198" s="391">
        <f ca="1">MAX(0,MIN(Control!$C$100-Control!$C$99,$G198-Control!$C$99)*Control!$C$63)</f>
        <v>0</v>
      </c>
      <c r="W198" s="388">
        <f t="shared" ca="1" si="590"/>
        <v>0</v>
      </c>
      <c r="X198" s="388">
        <f t="shared" ca="1" si="591"/>
        <v>0.6110000000000001</v>
      </c>
      <c r="Y198" s="388">
        <f t="shared" ref="Y198:Y261" ca="1" si="701">MIN($H198,$X198)</f>
        <v>0</v>
      </c>
      <c r="Z198" s="388">
        <f t="shared" ca="1" si="592"/>
        <v>0.61058800000000002</v>
      </c>
      <c r="AA198" s="388">
        <f t="shared" ref="AA198:AA261" ca="1" si="702">(0.6018*EXP((17.27*D198)/(D198+237.3))+0.6018*EXP((17.27*E198)/(E198+237.3)))/2</f>
        <v>0.6018</v>
      </c>
      <c r="AB198" s="388">
        <f ca="1">101.3*EXP(-0.034*Control!$C$66/($G198+273))</f>
        <v>100.69623283836242</v>
      </c>
      <c r="AC198" s="392">
        <f t="shared" ref="AC198:AC261" ca="1" si="703">(239*17*$X198/($G198+239)^2)</f>
        <v>4.3460251046025113E-2</v>
      </c>
      <c r="AD198" s="392">
        <f t="shared" ref="AD198:AD261" ca="1" si="704">4098*(0.6108*EXP((17.27*G198)/(G198+237.3)))/(G198+237.3)^2</f>
        <v>4.4450382862832649E-2</v>
      </c>
      <c r="AE198" s="388">
        <f t="shared" ref="AE198:AE261" ca="1" si="705">$Y198/$Z198</f>
        <v>0</v>
      </c>
      <c r="AF198" s="388">
        <f ca="1">MAX(0,$G198-Control!$C$92)</f>
        <v>0</v>
      </c>
      <c r="AG198" s="393">
        <f t="shared" ref="AG198:AG261" ca="1" si="706">DATE($C198,$B198,$A198)</f>
        <v>194</v>
      </c>
      <c r="AH198" s="389">
        <f t="shared" ref="AH198:AH261" ca="1" si="707">$AG198+1-DATE($C198,1,1)</f>
        <v>194</v>
      </c>
      <c r="AI198" s="388">
        <f t="shared" ca="1" si="593"/>
        <v>0.38008871332316607</v>
      </c>
      <c r="AJ198" s="388">
        <f ca="1">IF(Control!$C$60&lt;=0,$HH198,$HI198)</f>
        <v>1</v>
      </c>
      <c r="AK198" s="388">
        <f t="shared" ref="AK198:AK261" ca="1" si="708">(2*PI()*(AH198-80)/365)</f>
        <v>1.9624195205985555</v>
      </c>
      <c r="AL198" s="388">
        <f t="shared" ref="AL198:AL261" ca="1" si="709">0.03358*(SIN(2*PI()*AH198)-SIN(2*PI()*80))/365</f>
        <v>-6.4920673004120734E-18</v>
      </c>
      <c r="AM198" s="388">
        <f t="shared" ref="AM198:AM261" ca="1" si="710">AK198+AL198</f>
        <v>1.9624195205985555</v>
      </c>
      <c r="AN198" s="388">
        <f t="shared" ref="AN198:AN261" ca="1" si="711">ASIN(0.3978*SIN(AM198))</f>
        <v>0.37651609901790167</v>
      </c>
      <c r="AO198" s="388">
        <f ca="1">-0.10453/COS(Control!$B$8*PI()/180)*COS(AN198)</f>
        <v>-0.1578916462622085</v>
      </c>
      <c r="AP198" s="388">
        <f ca="1">ACOS(AO198-TAN(Control!$B$8*PI()/180)*TAN(AN198))</f>
        <v>2.2968894041861381</v>
      </c>
      <c r="AQ198" s="388">
        <f t="shared" ca="1" si="594"/>
        <v>0</v>
      </c>
      <c r="AR198" s="394">
        <f t="shared" ref="AR198:AR261" ca="1" si="712">$AQ198*0.5</f>
        <v>0</v>
      </c>
      <c r="AS198" s="436">
        <f ca="1">IF(Control!$B$18=2,(IF(OR($AH198=Control!$B$175,$AH198=Control!$B$176,$AH198=Control!$B$177,$AH198=Control!$B$178,$AH198=Control!$B$179,$AH198=Control!$B$180,$AH198=Control!$B$181,$AH198=Control!$B$182,$AH198=Control!$B$183,$AH198=Control!$B$184,$AH198=Control!$B$185),1,0)),0)</f>
        <v>0</v>
      </c>
      <c r="AT198" s="436">
        <f>IF(Control!$B$20=8,IF(AND($AH198&gt;=Control!$B$172,$AH198&lt;=Control!$B$173),1,0),0)</f>
        <v>0</v>
      </c>
      <c r="AU198" s="436">
        <f>IF(Control!$B$20=8,IF($AV197=1,1*$AT198,IF($AT198=1,$AU197+1,$AU197)),0)</f>
        <v>0</v>
      </c>
      <c r="AV198" s="436">
        <f>IF(Control!$B$20=8,IF($AU198&gt;=Control!$B$174,1,0),0)</f>
        <v>0</v>
      </c>
      <c r="AW198" s="436">
        <f ca="1">IF(AND(Control!$B$18=2,Control!$B$171=1), $AV198, $AS198)</f>
        <v>0</v>
      </c>
      <c r="AX198" s="436" t="e">
        <f ca="1">IF(AND(Control!$B$18=1,$EU198&gt;=Control!$B$19),-$AY198,IF(AND(Control!$B$18=2,$AW198=1,$EU198&gt;$DS198),-$AY198, IF(Control!$C$108=0,0, IF(Control!$C$108&lt;&gt;0,1))))</f>
        <v>#N/A</v>
      </c>
      <c r="AY198" s="436" t="e">
        <f t="shared" ca="1" si="595"/>
        <v>#N/A</v>
      </c>
      <c r="AZ198" s="436" t="e">
        <f ca="1">IF(AND(Control!$B$18=1,$EB198&gt;Control!$B$19),$AZ197+1, IF(AND(Control!$B$18=2, $AW198=1, $EB198&gt;$DS198), $AZ197+1,$AZ197))</f>
        <v>#N/A</v>
      </c>
      <c r="BA198" s="587">
        <f>IF(Control!$C$81=0,1,IF($AH198&gt;=Control!$C$82,1,0))</f>
        <v>1</v>
      </c>
      <c r="BB198" s="140" t="e">
        <f ca="1">IF($BA198&gt;$BA197,Control!$C$83,IF($AW198&gt;0,$AW198*Control!$C$84,IF(AND(Control!$B$18=1,EN197&lt;&gt;0),Control!$C$84,0)))</f>
        <v>#N/A</v>
      </c>
      <c r="BC198" s="140" t="e">
        <f t="shared" ca="1" si="596"/>
        <v>#N/A</v>
      </c>
      <c r="BD198" s="140" t="e">
        <f ca="1">BC198*IF(OR($G198&lt;Control!$C$92,$G198&gt;Control!$C$95),0,IF(AND($G198&gt;=Control!$C$92,$G198&lt;=Control!$C$93),$G198-Control!$C$92,IF(AND($G198&gt;Control!$C$93,$G198&lt;=Control!$C$94),Control!$C$93-Control!$C$92,IF(AND($G198&gt;Control!$C$94,$G198&lt;=Control!$C$95),(Control!$C$93-Control!$C$92)*(Control!$C$94-$G198)/(Control!$C$95-Control!$C$94)))))</f>
        <v>#N/A</v>
      </c>
      <c r="BE198" s="140" t="e">
        <f t="shared" ca="1" si="597"/>
        <v>#N/A</v>
      </c>
      <c r="BF198" s="140" t="e">
        <f ca="1">IF($BE198&lt;=Control!$C$86,$BE198,Control!$C$86-$BE198)</f>
        <v>#N/A</v>
      </c>
      <c r="BG198" s="140" t="e">
        <f ca="1">IF(AND($AW198=1,Control!$C$84&lt;9),1,IF($BE198&gt;=Control!$C$86,0,$BC198))</f>
        <v>#N/A</v>
      </c>
      <c r="BH198" s="404" t="e">
        <f ca="1">IF($BG198=0,0,IF($BE198&lt;=Control!$C$86,$BC198*9*($BF198/Control!$C$86),0))</f>
        <v>#N/A</v>
      </c>
      <c r="BI198" s="140" t="e">
        <f ca="1">IF($BG198=1,0,IF($BE198&gt;=Control!$C$86,1,IF(AND($BB198&lt;21,$BB198&gt;=9),1,$BM197)))</f>
        <v>#N/A</v>
      </c>
      <c r="BJ198" s="140" t="e">
        <f ca="1">IF($BF198&lt;0,-$BF198,$BI198*IF(OR($G198&lt;Control!$C$92,$G198&gt;Control!$C$95),0,IF(AND($G198&gt;=Control!$C$92,$G198&lt;=Control!$C$93),$G198-Control!$C$92,IF(AND($G198&gt;Control!$C$93,$G198&lt;=Control!$C$94),Control!$C$93-Control!$C$92,IF(AND($G198&gt;Control!$C$94,$G198&lt;=Control!$C$95),(Control!$C$93-Control!$C$92)*(Control!$C$94-$G198)/(Control!$C$95-Control!$C$94))))))</f>
        <v>#N/A</v>
      </c>
      <c r="BK198" s="140" t="e">
        <f t="shared" ca="1" si="598"/>
        <v>#N/A</v>
      </c>
      <c r="BL198" s="140" t="e">
        <f ca="1">IF($BK198&lt;=Control!$C$87,$BK198,Control!$C$87-$BK198)</f>
        <v>#N/A</v>
      </c>
      <c r="BM198" s="140" t="e">
        <f ca="1">IF(AND($BB198&gt;=9,$BB198&lt;21),1,IF($BK198&gt;=Control!$C$87,0,$BI198))</f>
        <v>#N/A</v>
      </c>
      <c r="BN198" s="404" t="e">
        <f ca="1">IF($BM198=0,0,IF($BK198&lt;=Control!$C$87,$BI198*(9+(21-9)*($BL198/Control!$C$87)),0))</f>
        <v>#N/A</v>
      </c>
      <c r="BO198" s="140" t="e">
        <f ca="1">IF($BM198=1,0,IF($BK198&gt;=Control!$C$87,1,IF(AND($BB198&lt;30,$BB198&gt;=21),1,$BS197)))</f>
        <v>#N/A</v>
      </c>
      <c r="BP198" s="140" t="e">
        <f ca="1">IF($BL198&lt;0,-$BL198,$BO198*IF(OR($G198&lt;Control!$C$92,$G198&gt;Control!$C$95),0,IF(AND($G198&gt;=Control!$C$92,$G198&lt;=Control!$C$93),$G198-Control!$C$92,IF(AND($G198&gt;Control!$C$93,$G198&lt;=Control!$C$94),Control!$C$93-Control!$C$92,IF(AND($G198&gt;Control!$C$94,$G198&lt;=Control!$C$95),(Control!$C$93-Control!$C$92)*(Control!$C$94-$G198)/(Control!$C$95-Control!$C$94))))))</f>
        <v>#N/A</v>
      </c>
      <c r="BQ198" s="140" t="e">
        <f t="shared" ref="BQ198:BQ261" ca="1" si="713">IF(AND($BO198*$BB198&gt;=21,$BO198*$BB198&lt;30),$BP198,IF($BO198=1,$BQ197+$BP198,0))</f>
        <v>#N/A</v>
      </c>
      <c r="BR198" s="140" t="e">
        <f ca="1">IF($BQ198&lt;=Control!$C$88,$BQ198,Control!$C$88-$BQ198)</f>
        <v>#N/A</v>
      </c>
      <c r="BS198" s="140" t="e">
        <f ca="1">IF(AND($BB198&gt;=21,$BB198&lt;30),1,IF($BQ198&gt;=Control!$C$88,0,$BO198))</f>
        <v>#N/A</v>
      </c>
      <c r="BT198" s="404" t="e">
        <f ca="1">IF($BS198=0,0,IF($BQ198&lt;=Control!$C$88,$BO198*(21+(30-21)*(BR198/Control!$C$88)),0))</f>
        <v>#N/A</v>
      </c>
      <c r="BU198" s="140" t="e">
        <f ca="1">IF(BG198+BM198+BS198=1,0,IF(OR(AND($BB198&lt;60,$BB198&gt;=30),$BQ198&gt;=Control!$C$88),1*$BA198,$BY197))</f>
        <v>#N/A</v>
      </c>
      <c r="BV198" s="140" t="e">
        <f ca="1">IF($BR198&lt;0,-$BR198,$BU198*IF(OR($G198&lt;Control!$C$92,$G198&gt;Control!$C$95),0,IF(AND($G198&gt;=Control!$C$92,$G198&lt;=Control!$C$93),$G198-Control!$C$92,IF(AND($G198&gt;Control!$C$93,$G198&lt;=Control!$C$94),Control!$C$93-Control!$C$92,IF(AND($G198&gt;Control!$C$94,$G198&lt;=Control!$C$95),(Control!$C$93-Control!$C$92)*(Control!$C$94-$G198)/(Control!$C$95-Control!$C$94))))))</f>
        <v>#N/A</v>
      </c>
      <c r="BW198" s="140" t="e">
        <f t="shared" ref="BW198:BW261" ca="1" si="714">IF(AND($BO198*$BB198&gt;=30,$BO198*$BB198&lt;60),$BV198,IF($BU198=1,$BW197+$BV198,0))</f>
        <v>#N/A</v>
      </c>
      <c r="BX198" s="140" t="e">
        <f ca="1">IF($BW198&lt;=Control!$C$89,$BW198,Control!$C$89-$BW198)</f>
        <v>#N/A</v>
      </c>
      <c r="BY198" s="140" t="e">
        <f ca="1">IF(AND($AJ198&gt;=30,$AJ198&lt;60),1,IF($BW198&gt;=Control!$C$89,0,$BU198))</f>
        <v>#N/A</v>
      </c>
      <c r="BZ198" s="404" t="e">
        <f ca="1">IF($BY198=0,0,IF($BW198&lt;=Control!$C$89,$BU198*(30+(60-30)*(BX198/Control!$C$89)),0))</f>
        <v>#N/A</v>
      </c>
      <c r="CA198" s="140" t="e">
        <f ca="1">IF($BG198+$BM198+$BS198+$BY198=1,0,IF(OR(AND($BB198&lt;65,$BB198&gt;=60),$BW198&gt;=Control!$C$89),1*$BA198,$CE197))</f>
        <v>#N/A</v>
      </c>
      <c r="CB198" s="140" t="e">
        <f ca="1">IF($BX198&lt;0,-$BX198,$CA198*IF(OR($G198&lt;Control!$C$92,$G198&gt;Control!$C$95),0,IF(AND($G198&gt;=Control!$C$92,$G198&lt;=Control!$C$93),$G198-Control!$C$92,IF(AND($G198&gt;Control!$C$93,$G198&lt;=Control!$C$94),Control!$C$93-Control!$C$92,IF(AND($G198&gt;Control!$C$94,$G198&lt;=Control!$C$95),(Control!$C$93-Control!$C$92)*(Control!$C$94-$G198)/(Control!$C$95-Control!$C$94))))))</f>
        <v>#N/A</v>
      </c>
      <c r="CC198" s="140" t="e">
        <f t="shared" ca="1" si="599"/>
        <v>#N/A</v>
      </c>
      <c r="CD198" s="140" t="e">
        <f ca="1">IF($CC198&lt;=Control!$C$90,$CC198,Control!$C$90-$CC198)</f>
        <v>#N/A</v>
      </c>
      <c r="CE198" s="140" t="e">
        <f ca="1">IF(AND($BB198&gt;=60,$BB198&lt;65),1,IF($CC198&gt;=Control!$C$90,0,$CA198))</f>
        <v>#N/A</v>
      </c>
      <c r="CF198" s="404" t="e">
        <f ca="1">IF($CE198=0,0,IF($CC198&lt;=Control!$C$90,$CA198*(60+(65-60)*(CD198/Control!$C$90)),0))</f>
        <v>#N/A</v>
      </c>
      <c r="CG198" s="140" t="e">
        <f ca="1">IF($BG198+$BM198+$BS198+$BY198+$CE198=1,0,IF(OR(AND($BB198&lt;90,$BB198&gt;=65),$CC198&gt;=Control!$C$90),$BA198,$CK197))</f>
        <v>#N/A</v>
      </c>
      <c r="CH198" s="140" t="e">
        <f ca="1">IF($CD198&lt;0,-$CD198,$CG198*IF(OR($G198&lt;Control!$C$92,$G198&gt;Control!$C$95),0,IF(AND($G198&gt;=Control!$C$92,$G198&lt;=Control!$C$93),$G198-Control!$C$92,IF(AND($G198&gt;Control!$C$93,$G198&lt;=Control!$C$94),Control!$C$93-Control!$C$92,IF(AND($G198&gt;Control!$C$94,$G198&lt;=Control!$C$95),(Control!$C$93-Control!$C$92)*(Control!$C$94-$G198)/(Control!$C$95-Control!$C$94))))))</f>
        <v>#N/A</v>
      </c>
      <c r="CI198" s="140" t="e">
        <f t="shared" ca="1" si="600"/>
        <v>#N/A</v>
      </c>
      <c r="CJ198" s="140" t="e">
        <f ca="1">IF($CI198&lt;=Control!$C$91,$CI198,Control!$C$91-$CI198)</f>
        <v>#N/A</v>
      </c>
      <c r="CK198" s="140" t="e">
        <f ca="1">IF(AND($BB198&gt;=65,$BB198&lt;90),1,IF($CI198&gt;=Control!$C$91,0,$CG198))</f>
        <v>#N/A</v>
      </c>
      <c r="CL198" s="404" t="e">
        <f ca="1">IF($CK198=0,0,IF($CI198&lt;=Control!$C$91,$CG198*(65+(90-65)*($CJ198/Control!$C$91)),0))</f>
        <v>#N/A</v>
      </c>
      <c r="CM198" s="140" t="e">
        <f ca="1">IF($BG198+$BM198+$BS198+$BY198+$CE198+$CK198=1,0,IF(OR($BB198&gt;=90,$CI198&gt;=Control!$C$91),$BA198,$CM197))</f>
        <v>#N/A</v>
      </c>
      <c r="CN198" s="140" t="e">
        <f t="shared" ca="1" si="601"/>
        <v>#N/A</v>
      </c>
      <c r="CO198" s="140" t="e">
        <f t="shared" ca="1" si="602"/>
        <v>#N/A</v>
      </c>
      <c r="CP198" s="140" t="e">
        <f t="shared" ca="1" si="603"/>
        <v>#N/A</v>
      </c>
      <c r="CQ198" s="141" t="e">
        <f ca="1">VLOOKUP($CP198,Control!$B$86:$G$91,6)</f>
        <v>#N/A</v>
      </c>
      <c r="CR198" s="141" t="e">
        <f ca="1">(1-$CQ198)*VLOOKUP($CP198,Control!$B$86:$D$91,3)</f>
        <v>#N/A</v>
      </c>
      <c r="CS198" s="141" t="e">
        <f ca="1">(1-$CQ198)*VLOOKUP($CP198,Control!$B$86:$E$91,4)</f>
        <v>#N/A</v>
      </c>
      <c r="CT198" s="141" t="e">
        <f ca="1">(1-$CQ198)*VLOOKUP($CP198,Control!$B$86:$F$91,5)</f>
        <v>#N/A</v>
      </c>
      <c r="CU198" s="141">
        <f t="shared" ca="1" si="604"/>
        <v>0</v>
      </c>
      <c r="CV198" s="583">
        <f t="shared" ca="1" si="605"/>
        <v>0</v>
      </c>
      <c r="CW198" s="142">
        <f t="shared" ca="1" si="606"/>
        <v>194</v>
      </c>
      <c r="CX198" s="612" t="e">
        <f ca="1">IF(Control!$C$114=1,(MIN(Control!$C$120*(IF($NT198-0.01&lt;0,0,1)),Control!$C$119-$CY198)))</f>
        <v>#DIV/0!</v>
      </c>
      <c r="CY198" s="143" t="e">
        <f t="shared" ca="1" si="607"/>
        <v>#N/A</v>
      </c>
      <c r="CZ198" s="144">
        <f t="shared" ref="CZ198:CZ261" ca="1" si="715">IF($O198&lt;=3,0,IF(AND($O198&gt;3,$O198&lt;=8),($O198-3)*((1-0)/(8-3)),IF(AND($O198&gt;8,$O198&lt;=30),1,IF(AND($O198&gt;30,$O198&lt;=35),(1+($O198-30)*((0-1)/(35-30))),IF(AND($O198&gt;35,$O198&lt;=40),0)))))</f>
        <v>0</v>
      </c>
      <c r="DA198" s="144">
        <f t="shared" ref="DA198:DA261" ca="1" si="716">IF($CZ198&lt;=0, 0, $O198*0.01)</f>
        <v>0</v>
      </c>
      <c r="DB198" s="144" t="e">
        <f t="shared" ref="DB198:DB261" ca="1" si="717">$KH198*0.693</f>
        <v>#N/A</v>
      </c>
      <c r="DC198" s="144" t="e">
        <f t="shared" ref="DC198:DC261" ca="1" si="718">IF($AY198&lt;8,MAX(0,0.335-0.067*$DK198)*$CZ198,MAX(0,MIN($DB198,0.867-0.183*$DK198))*$CZ198)</f>
        <v>#N/A</v>
      </c>
      <c r="DD198" s="144" t="e">
        <f t="shared" ca="1" si="692"/>
        <v>#N/A</v>
      </c>
      <c r="DE198" s="143" t="e">
        <f t="shared" ca="1" si="608"/>
        <v>#N/A</v>
      </c>
      <c r="DF198" s="145" t="e">
        <f ca="1">$DR198*EXP(-Control!$C$158*(1-$KH198))</f>
        <v>#N/A</v>
      </c>
      <c r="DG198" s="146" t="e">
        <f ca="1">IF(Control!$C$114=1, $DF198*$EY198, 0)</f>
        <v>#N/A</v>
      </c>
      <c r="DH198" s="147" t="e">
        <f t="shared" ca="1" si="609"/>
        <v>#N/A</v>
      </c>
      <c r="DI198" s="144" t="e">
        <f t="shared" ca="1" si="670"/>
        <v>#N/A</v>
      </c>
      <c r="DJ198" s="147" t="e">
        <f ca="1">$EF198*Control!$C$109</f>
        <v>#N/A</v>
      </c>
      <c r="DK198" s="144" t="e">
        <f t="shared" ca="1" si="610"/>
        <v>#N/A</v>
      </c>
      <c r="DL198" s="144" t="e">
        <f t="shared" ref="DL198:DL261" ca="1" si="719">$DM198/$AR198</f>
        <v>#N/A</v>
      </c>
      <c r="DM198" s="144" t="e">
        <f ca="1">IF(Control!$C$114=1, (1-EXP(-Control!$C$96*$DK198))*$AR198, 0)</f>
        <v>#N/A</v>
      </c>
      <c r="DN198" s="144">
        <f t="shared" ca="1" si="611"/>
        <v>0</v>
      </c>
      <c r="DO198" s="148">
        <f>Control!$C$97</f>
        <v>4</v>
      </c>
      <c r="DP198" s="145" t="e">
        <f t="shared" ca="1" si="612"/>
        <v>#N/A</v>
      </c>
      <c r="DQ198" s="145" t="e">
        <f ca="1">IF(AND($CP198&gt;=0,$CP198&lt;=90),Control!$C$111,Control!$C$111)</f>
        <v>#N/A</v>
      </c>
      <c r="DR198" s="145" t="e">
        <f t="shared" ref="DR198:DR261" ca="1" si="720">$DQ198</f>
        <v>#N/A</v>
      </c>
      <c r="DS198" s="143" t="e">
        <f ca="1">Control!$B$22/$DR198</f>
        <v>#N/A</v>
      </c>
      <c r="DT198" s="149" t="e">
        <f ca="1">IF(AND(Control!$C$114=1,$KH198&lt;1),$IM198*$DF198, 0)</f>
        <v>#N/A</v>
      </c>
      <c r="DU198" s="144" t="e">
        <f t="shared" ca="1" si="613"/>
        <v>#N/A</v>
      </c>
      <c r="DV198" s="144">
        <f ca="1">IF($G198-Control!$C$107&lt;=0, 0, 0.83*LN(MAX($G198, 3))-0.8924)</f>
        <v>0</v>
      </c>
      <c r="DW198" s="144" t="e">
        <f t="shared" ref="DW198:DW261" ca="1" si="721">IF(($EN198-0.1)&lt;0,$DV198,(-$DU198))</f>
        <v>#N/A</v>
      </c>
      <c r="DX198" s="150" t="e">
        <f ca="1">MAX(0.01*(1+$CU198/Control!$C$102),0.05*($DK198-Control!$C$97)/Control!$C$97)</f>
        <v>#N/A</v>
      </c>
      <c r="DY198" s="151" t="e">
        <f ca="1">IF(Control!$C$114=1, $DI198*$FS198, 0)</f>
        <v>#N/A</v>
      </c>
      <c r="DZ198" s="196" t="e">
        <f t="shared" ca="1" si="614"/>
        <v>#N/A</v>
      </c>
      <c r="EA198" s="152">
        <f t="shared" ca="1" si="615"/>
        <v>194</v>
      </c>
      <c r="EB198" s="153" t="e">
        <f t="shared" ca="1" si="616"/>
        <v>#N/A</v>
      </c>
      <c r="EC198" s="153" t="e">
        <f t="shared" ca="1" si="617"/>
        <v>#N/A</v>
      </c>
      <c r="ED198" s="154" t="e">
        <f ca="1">IF(Control!$C$114=1, $HM198*$FY198-$FD198, 0)</f>
        <v>#DIV/0!</v>
      </c>
      <c r="EE198" s="155" t="e">
        <f ca="1">IF(Control!$C$114=1, $HM198*$FZ198-$FF198, 0)</f>
        <v>#DIV/0!</v>
      </c>
      <c r="EF198" s="153" t="e">
        <f t="shared" ca="1" si="671"/>
        <v>#N/A</v>
      </c>
      <c r="EG198" s="155" t="e">
        <f ca="1">IF(Control!$C$114=1, $GX198*$FW198-$FI198, 0)</f>
        <v>#DIV/0!</v>
      </c>
      <c r="EH198" s="153" t="e">
        <f t="shared" ca="1" si="618"/>
        <v>#N/A</v>
      </c>
      <c r="EI198" s="156" t="e">
        <f t="shared" ca="1" si="619"/>
        <v>#N/A</v>
      </c>
      <c r="EJ198" s="155" t="e">
        <f ca="1">IF(Control!$C$114=1, $HM198*$GB198, 0)</f>
        <v>#DIV/0!</v>
      </c>
      <c r="EK198" s="153" t="e">
        <f t="shared" ca="1" si="672"/>
        <v>#N/A</v>
      </c>
      <c r="EL198" s="153" t="e">
        <f t="shared" ref="EL198:EL261" ca="1" si="722">$EB198+$EF198+$EK198</f>
        <v>#N/A</v>
      </c>
      <c r="EM198" s="153" t="e">
        <f t="shared" ref="EM198:EM261" ca="1" si="723">MAX(0,$EB198-$DS198)</f>
        <v>#N/A</v>
      </c>
      <c r="EN198" s="153" t="e">
        <f ca="1">IF(Control!$C$108=1,IF(AND(Control!$B$18=1,$EB198&gt;=Control!$B$19),$EB198-$DS198,IF(AND(Control!$B$18=2,$AW198=1,$EB198&gt;$DS198),$EB198-$DS198,0)))</f>
        <v>#N/A</v>
      </c>
      <c r="EO198" s="153" t="e">
        <f ca="1">IF(Control!$C$108=1,IF(AND(Control!$B$18=1,$EB198&gt;=Control!$B$19),$EF198,IF(AND(Control!$B$18=2,$AW198=1),$EF198,0)))</f>
        <v>#N/A</v>
      </c>
      <c r="EP198" s="153" t="e">
        <f ca="1">IF(Control!$C$108=1,IF(AND(Control!$B$18=1,$EB198&gt;=Control!$B$19),$EK198,IF(AND(Control!$B$18=2,$AW198=1),$EK198,0)))</f>
        <v>#N/A</v>
      </c>
      <c r="EQ198" s="153" t="e">
        <f t="shared" ca="1" si="620"/>
        <v>#N/A</v>
      </c>
      <c r="ER198" s="153" t="e">
        <f t="shared" ca="1" si="621"/>
        <v>#N/A</v>
      </c>
      <c r="ES198" s="153" t="e">
        <f t="shared" ca="1" si="673"/>
        <v>#N/A</v>
      </c>
      <c r="ET198" s="153" t="e">
        <f t="shared" ca="1" si="674"/>
        <v>#N/A</v>
      </c>
      <c r="EU198" s="153" t="e">
        <f t="shared" ca="1" si="622"/>
        <v>#N/A</v>
      </c>
      <c r="EV198" s="153" t="e">
        <f t="shared" ref="EV198:EV261" ca="1" si="724">ER198+EB198</f>
        <v>#N/A</v>
      </c>
      <c r="EW198" s="153" t="e">
        <f t="shared" ref="EW198:EW261" ca="1" si="725">$ER198+MAX(0,$EM198)</f>
        <v>#N/A</v>
      </c>
      <c r="EX198" s="153" t="e">
        <f t="shared" ref="EX198:EX261" ca="1" si="726">$ER198+$EC198</f>
        <v>#N/A</v>
      </c>
      <c r="EY198" s="157" t="e">
        <f t="shared" ref="EY198:EY261" ca="1" si="727">$GX198*$FY198*(1-$FW198)</f>
        <v>#DIV/0!</v>
      </c>
      <c r="EZ198" s="154" t="e">
        <f t="shared" ref="EZ198:EZ261" ca="1" si="728">$EY198-$FD198</f>
        <v>#DIV/0!</v>
      </c>
      <c r="FA198" s="153" t="e">
        <f t="shared" ca="1" si="623"/>
        <v>#N/A</v>
      </c>
      <c r="FB198" s="153" t="e">
        <f t="shared" ref="FB198:FB261" ca="1" si="729">$ER198+$EC198</f>
        <v>#N/A</v>
      </c>
      <c r="FC198" s="193" t="e">
        <f t="shared" ref="FC198:FC261" ca="1" si="730">$EB198+$FM198</f>
        <v>#N/A</v>
      </c>
      <c r="FD198" s="158" t="e">
        <f t="shared" ca="1" si="624"/>
        <v>#N/A</v>
      </c>
      <c r="FE198" s="158" t="e">
        <f t="shared" ca="1" si="625"/>
        <v>#N/A</v>
      </c>
      <c r="FF198" s="159" t="e">
        <f t="shared" ref="FF198:FF261" ca="1" si="731">$EF198*$FE198</f>
        <v>#N/A</v>
      </c>
      <c r="FG198" s="160" t="e">
        <f t="shared" ca="1" si="626"/>
        <v>#N/A</v>
      </c>
      <c r="FH198" s="158" t="e">
        <f t="shared" ca="1" si="627"/>
        <v>#N/A</v>
      </c>
      <c r="FI198" s="159" t="e">
        <f t="shared" ref="FI198:FI261" ca="1" si="732">$FH198*$EH198</f>
        <v>#N/A</v>
      </c>
      <c r="FJ198" s="160" t="e">
        <f t="shared" ca="1" si="628"/>
        <v>#N/A</v>
      </c>
      <c r="FK198" s="160" t="e">
        <f t="shared" ref="FK198:FK261" ca="1" si="733">$EI198-$FG198</f>
        <v>#N/A</v>
      </c>
      <c r="FL198" s="160" t="e">
        <f t="shared" ca="1" si="675"/>
        <v>#N/A</v>
      </c>
      <c r="FM198" s="160" t="e">
        <f t="shared" ref="FM198:FM261" ca="1" si="734">$FL198-$ER198</f>
        <v>#N/A</v>
      </c>
      <c r="FN198" s="158">
        <f t="shared" ca="1" si="629"/>
        <v>0.01</v>
      </c>
      <c r="FO198" s="160">
        <f>Control!$C$101</f>
        <v>50</v>
      </c>
      <c r="FP198" s="150" t="e">
        <f t="shared" ref="FP198:FP261" ca="1" si="735">IF($CP198&lt;$FO198, 0, $FN198)</f>
        <v>#N/A</v>
      </c>
      <c r="FQ198" s="150" t="e">
        <f ca="1">MAX(0,(Control!$C$112*(($DK198-Control!$C$97)/Control!$C$97)))</f>
        <v>#N/A</v>
      </c>
      <c r="FR198" s="150" t="e">
        <f ca="1">(1-$NT198)*Control!$C$113</f>
        <v>#DIV/0!</v>
      </c>
      <c r="FS198" s="198" t="e">
        <f t="shared" ref="FS198:FS261" ca="1" si="736">MAX($FP198,$FQ198,$FR198)</f>
        <v>#N/A</v>
      </c>
      <c r="FT198" s="161">
        <f t="shared" ca="1" si="630"/>
        <v>194</v>
      </c>
      <c r="FU198" s="162" t="e">
        <f ca="1">IF(Control!$B$34=1,VLOOKUP($CP198,Control!$B$86:$G$91,6),Control!$B$35)</f>
        <v>#N/A</v>
      </c>
      <c r="FV198" s="162" t="e">
        <f t="shared" ref="FV198:FV261" ca="1" si="737">IF(AND($NT198&lt;=0,$NT198&gt;=-1),1.6,IF(AND($NT198&lt;1,$NT198&gt;=1.2),1,(1.6+($NT198)*((1-1.6)/(1-0)))))</f>
        <v>#DIV/0!</v>
      </c>
      <c r="FW198" s="162" t="e">
        <f ca="1">IF(Control!$B$31=1,$FU198*$FV198,  $FU198)</f>
        <v>#N/A</v>
      </c>
      <c r="FX198" s="162" t="e">
        <f ca="1">IF(Control!$B$34=1,VLOOKUP($CP198,Control!$B$86:$G$91,3),Control!$B$36)</f>
        <v>#N/A</v>
      </c>
      <c r="FY198" s="162" t="e">
        <f t="shared" ref="FY198:FY261" ca="1" si="738">$FX198</f>
        <v>#N/A</v>
      </c>
      <c r="FZ198" s="162" t="e">
        <f ca="1">IF(Control!$B$34=1,VLOOKUP($CP198,Control!$B$86:$G$91,4),Control!$B$37)</f>
        <v>#N/A</v>
      </c>
      <c r="GA198" s="162" t="e">
        <f t="shared" ref="GA198:GA261" ca="1" si="739">$FZ198</f>
        <v>#N/A</v>
      </c>
      <c r="GB198" s="162" t="e">
        <f ca="1">IF(Control!$B$34=1,VLOOKUP($CP198,Control!$B$86:$G$91,5),Control!$B$38)</f>
        <v>#N/A</v>
      </c>
      <c r="GC198" s="162" t="e">
        <f t="shared" ca="1" si="631"/>
        <v>#N/A</v>
      </c>
      <c r="GD198" s="162">
        <f t="shared" ref="GD198:GD261" ca="1" si="740">IF(AND(0&lt;=$LI198, $LI198&lt;=18), 1, 0.5)</f>
        <v>1</v>
      </c>
      <c r="GE198" s="162">
        <f t="shared" ref="GE198:GE261" ca="1" si="741">$GD198</f>
        <v>1</v>
      </c>
      <c r="GF198" s="162">
        <f ca="1">IF(AND(Control!$C$104=1, Control!$C$62="F"),$GE198,1)</f>
        <v>1</v>
      </c>
      <c r="GG198" s="162" t="e">
        <f ca="1">IF(Control!$B$16=40,0,IF(AND(Control!$B$16&gt;40,Control!$B$16&lt;=360),(Control!$B$16-40)*((1-0)/(360-40)),IF(AND(Control!$B$16&gt;360,Control!$B$16&lt;=720),(1+(Control!$B$16-360)*((1.25-1)/(720-360))),IF(AND(Control!$B$16&gt;720,Control!$B$16&lt;=1000),(1.25+(Control!$B$16-720)*((1.35-1.25)/(1000-720))),IF(AND(Control!$B$16&gt;1000,Control!$B$16&lt;=2000),(1.35+(Control!$B$16-1000)*0))))))</f>
        <v>#N/A</v>
      </c>
      <c r="GH198" s="162" t="e">
        <f t="shared" ref="GH198:GH261" ca="1" si="742">$GG198</f>
        <v>#N/A</v>
      </c>
      <c r="GI198" s="162">
        <f t="shared" ca="1" si="632"/>
        <v>0</v>
      </c>
      <c r="GJ198" s="162">
        <f t="shared" ref="GJ198:GJ261" ca="1" si="743">$CZ198*$GI198</f>
        <v>0</v>
      </c>
      <c r="GK198" s="162">
        <f t="shared" ca="1" si="633"/>
        <v>1</v>
      </c>
      <c r="GL198" s="162">
        <f t="shared" ref="GL198:GL261" ca="1" si="744">$GK198</f>
        <v>1</v>
      </c>
      <c r="GM198" s="162" t="e">
        <f ca="1">MAX(0,MIN(1,1-Control!$C$156*(1.0001-$KH198)^2))</f>
        <v>#N/A</v>
      </c>
      <c r="GN198" s="162" t="e">
        <f ca="1">IF(Control!$B$26=1,$KU198,$KX198)</f>
        <v>#N/A</v>
      </c>
      <c r="GO198" s="162" t="e">
        <f ca="1">IF($CP198&lt;=60,Control!$C$105,IF($CP198&gt;=90,Control!$C$106,Control!$C$105+($CP198-60)*((Control!$C$106-Control!$C$105)/(90-60))))</f>
        <v>#N/A</v>
      </c>
      <c r="GP198" s="162" t="e">
        <f t="shared" ref="GP198:GP261" ca="1" si="745">$GJ198*$GH198*$GL198</f>
        <v>#N/A</v>
      </c>
      <c r="GQ198" s="162" t="e">
        <f t="shared" ca="1" si="634"/>
        <v>#N/A</v>
      </c>
      <c r="GR198" s="163" t="e">
        <f t="shared" ref="GR198:GR261" ca="1" si="746">IF(AND($NT198&lt;=$GM198,$EN198=0),10*$GP198*$GO198*$DM198*$NT198,IF(AND($NT198&gt;$GM198,$EN198=0),10*$GP198*$GO198*$DM198*$GM198,0))</f>
        <v>#DIV/0!</v>
      </c>
      <c r="GS198" s="162" t="e">
        <f t="shared" ref="GS198:GS261" ca="1" si="747">$GR198+$FA198</f>
        <v>#DIV/0!</v>
      </c>
      <c r="GT198" s="164" t="e">
        <f t="shared" ca="1" si="635"/>
        <v>#N/A</v>
      </c>
      <c r="GU198" s="162" t="e">
        <f t="shared" ca="1" si="636"/>
        <v>#N/A</v>
      </c>
      <c r="GV198" s="162" t="e">
        <f t="shared" ref="GV198:GV261" ca="1" si="748">IF($EN198&lt;=0,$GT198*(1/$DF198)*(1/$FY198)*(1/(1-$FW198)),0)</f>
        <v>#N/A</v>
      </c>
      <c r="GW198" s="162" t="e">
        <f t="shared" ref="GW198:GW261" ca="1" si="749">IF($GS198-$GV198&lt;=0,0,$GS198-$GV198)</f>
        <v>#DIV/0!</v>
      </c>
      <c r="GX198" s="162" t="e">
        <f t="shared" ca="1" si="637"/>
        <v>#DIV/0!</v>
      </c>
      <c r="GY198" s="162" t="e">
        <f t="shared" ca="1" si="638"/>
        <v>#DIV/0!</v>
      </c>
      <c r="GZ198" s="165" t="e">
        <f t="shared" ref="GZ198:GZ261" ca="1" si="750">$EF198+$EB198</f>
        <v>#N/A</v>
      </c>
      <c r="HA198" s="162" t="e">
        <f ca="1">IF(Control!$C$114=1, $DI198*$FS198, 0)</f>
        <v>#N/A</v>
      </c>
      <c r="HB198" s="162" t="e">
        <f ca="1">$FA198/Control!$C$64</f>
        <v>#N/A</v>
      </c>
      <c r="HC198" s="162" t="e">
        <f t="shared" ref="HC198:HC261" ca="1" si="751">$GW198-$HB198</f>
        <v>#DIV/0!</v>
      </c>
      <c r="HD198" s="162">
        <f ca="1">-ASIN(SIN(23.45*Control!$C$139)*COS(2*Control!$C$138*($AH198+10)/365))</f>
        <v>0.38008871332316607</v>
      </c>
      <c r="HE198" s="165">
        <f t="shared" ca="1" si="639"/>
        <v>0</v>
      </c>
      <c r="HF198" s="166">
        <f ca="1">IF(AND(Control!$C$61="T",$HE198&gt;=Control!$C$103,Control!$C$114=0),$AH198,Control!$C$59)</f>
        <v>1</v>
      </c>
      <c r="HG198" s="166">
        <f ca="1">IF(AND(Control!$C$61="T",$HE198&gt;=Control!$C$103,Control!$C$114=0),$HF198,Control!$C$59)</f>
        <v>1</v>
      </c>
      <c r="HH198" s="165">
        <f ca="1">IF(AND(OR(Control!$C$60&lt;=0, $AH198= Control!$C$59, Control!$C$60 &gt;0, $AH198 = Control!$C$60)), Control!$C$59, IF(Control!$C$60&gt;0, 0))</f>
        <v>1</v>
      </c>
      <c r="HI198" s="165">
        <f ca="1">IF(AND(OR(Control!$C$60&lt;=0, $AH198= Control!$C$59, Control!$C$60 &gt;0, $AH198 = Control!$C$60)), Control!$C$60, IF(Control!$C$60&lt;=0, 0))</f>
        <v>0</v>
      </c>
      <c r="HJ198" s="166">
        <f ca="1">IF(AND(Control!$C$62="F",$CV198&gt;=Control!$C$102),$AH198,0)</f>
        <v>0</v>
      </c>
      <c r="HK198" s="165" t="e">
        <f t="shared" ca="1" si="676"/>
        <v>#N/A</v>
      </c>
      <c r="HL198" s="166">
        <f ca="1">IF(AND(Control!$C$61="T",$HE198&gt;=Control!$C$103,Control!$C$114=0),$HF198,0)</f>
        <v>0</v>
      </c>
      <c r="HM198" s="201" t="e">
        <f t="shared" ref="HM198:HM261" ca="1" si="752">$GX198*(1-$FW198)</f>
        <v>#DIV/0!</v>
      </c>
      <c r="HN198" s="215">
        <f t="shared" ca="1" si="640"/>
        <v>194</v>
      </c>
      <c r="HO198" s="216" t="e">
        <f ca="1">IF(AND($CP198&gt;=0, $CP198&lt;=90), Control!$C$152, Control!$C$152)</f>
        <v>#N/A</v>
      </c>
      <c r="HP198" s="216" t="e">
        <f t="shared" ref="HP198:HP261" ca="1" si="753">$HO198</f>
        <v>#N/A</v>
      </c>
      <c r="HQ198" s="217" t="e">
        <f ca="1">IF(OR(Control!$B$26=1,Control!$B$26=2),$KV198,$KS198)</f>
        <v>#DIV/0!</v>
      </c>
      <c r="HR198" s="218" t="e">
        <f t="shared" ca="1" si="677"/>
        <v>#DIV/0!</v>
      </c>
      <c r="HS198" s="216" t="e">
        <f ca="1">Control!$C$154*$HP198</f>
        <v>#N/A</v>
      </c>
      <c r="HT198" s="216" t="e">
        <f ca="1">Control!$C$155*$HP198</f>
        <v>#N/A</v>
      </c>
      <c r="HU198" s="217" t="e">
        <f ca="1">Control!$C$161*$FI198</f>
        <v>#N/A</v>
      </c>
      <c r="HV198" s="218" t="e">
        <f t="shared" ca="1" si="641"/>
        <v>#N/A</v>
      </c>
      <c r="HW198" s="218" t="e">
        <f ca="1">Control!$C$160*$FF198+$IP198*$EO198</f>
        <v>#N/A</v>
      </c>
      <c r="HX198" s="218" t="e">
        <f t="shared" ca="1" si="678"/>
        <v>#N/A</v>
      </c>
      <c r="HY198" s="219" t="e">
        <f ca="1">IF(Control!$C$114=1, $EB198*$FS198, 0)</f>
        <v>#N/A</v>
      </c>
      <c r="HZ198" s="91" t="e">
        <f t="shared" ref="HZ198:HZ261" ca="1" si="754">$KA198</f>
        <v>#N/A</v>
      </c>
      <c r="IA198" s="220" t="e">
        <f ca="1">Control!$C$153*$HO198</f>
        <v>#N/A</v>
      </c>
      <c r="IB198" s="218" t="e">
        <f t="shared" ref="IB198:IB261" ca="1" si="755">$IA198*$EB198</f>
        <v>#N/A</v>
      </c>
      <c r="IC198" s="220" t="e">
        <f ca="1">Control!$C$153*$HT198</f>
        <v>#N/A</v>
      </c>
      <c r="ID198" s="218" t="e">
        <f t="shared" ref="ID198:ID261" ca="1" si="756">$IC198*$EF198</f>
        <v>#N/A</v>
      </c>
      <c r="IE198" s="221" t="e">
        <f ca="1">($EB198*Control!$C$159+$EF198*Control!$C$160)/(IF($GZ198&lt;&gt;0,$GZ198,1))</f>
        <v>#N/A</v>
      </c>
      <c r="IF198" s="216" t="e">
        <f t="shared" ref="IF198:IF261" ca="1" si="757">($IB198+$ID198)/IF($GZ198&lt;&gt;0, $GZ198,1)</f>
        <v>#N/A</v>
      </c>
      <c r="IG198" s="91">
        <f ca="1">IF(OR(Control!$B$198=$AH198,Control!$B$199=$AH198, Control!$B$200=$AH198, Control!$B$201=$AH198, Control!$B$202=$AH198, Control!$B$203=$AH198, Control!$B$204=$AH198, Control!$B$205=$AH198, Control!$B$206=$AH198, Control!$B$207=$AH198), 1, 0)</f>
        <v>0</v>
      </c>
      <c r="IH198" s="91">
        <f ca="1">IF($IG198=0,0, VLOOKUP($AH198,Control!$B$198:$C$207,2))</f>
        <v>0</v>
      </c>
      <c r="II198" s="222">
        <f t="shared" ca="1" si="642"/>
        <v>0</v>
      </c>
      <c r="IJ198" s="91">
        <f>Control!$C$121</f>
        <v>0.7</v>
      </c>
      <c r="IK198" s="218">
        <f t="shared" ref="IK198:IK261" ca="1" si="758">$IH198*$IJ198</f>
        <v>0</v>
      </c>
      <c r="IL198" s="217" t="e">
        <f t="shared" ca="1" si="679"/>
        <v>#N/A</v>
      </c>
      <c r="IM198" s="223" t="e">
        <f ca="1">IF(AND(Control!$C$114=1,$KH198&lt;1),$EB198*Control!$C$148*(1-$KH198), 0)</f>
        <v>#N/A</v>
      </c>
      <c r="IN198" s="217" t="e">
        <f t="shared" ref="IN198:IN261" ca="1" si="759">MIN($NT198, $KH198)</f>
        <v>#DIV/0!</v>
      </c>
      <c r="IO198" s="91" t="e">
        <f ca="1">MAX(0,$IL198-$EF198*Control!$C$160)</f>
        <v>#N/A</v>
      </c>
      <c r="IP198" s="220" t="e">
        <f t="shared" ref="IP198:IP261" ca="1" si="760">$IL198/IF($EF198&lt;&gt;0, $EF198, 1)</f>
        <v>#N/A</v>
      </c>
      <c r="IQ198" s="217" t="e">
        <f t="shared" ca="1" si="643"/>
        <v>#N/A</v>
      </c>
      <c r="IR198" s="218" t="e">
        <f t="shared" ref="IR198:IR261" ca="1" si="761">$IQ198+$IL198</f>
        <v>#N/A</v>
      </c>
      <c r="IS198" s="217" t="e">
        <f ca="1">Control!$C$159*MAX(0,$FD198-$EN198)</f>
        <v>#N/A</v>
      </c>
      <c r="IT198" s="217" t="e">
        <f t="shared" ca="1" si="680"/>
        <v>#N/A</v>
      </c>
      <c r="IU198" s="217" t="e">
        <f t="shared" ca="1" si="644"/>
        <v>#N/A</v>
      </c>
      <c r="IV198" s="217" t="e">
        <f t="shared" ca="1" si="681"/>
        <v>#N/A</v>
      </c>
      <c r="IW198" s="217" t="e">
        <f ca="1">IF(OR($AW198=1,AND($AW198=0, Control!$B$18=1,$EN198&lt;&gt;0)), $IQ198-$IU198, $IQ198)</f>
        <v>#N/A</v>
      </c>
      <c r="IX198" s="218" t="e">
        <f t="shared" ref="IX198:IX261" ca="1" si="762">$HX198+$HV198+$IV198</f>
        <v>#N/A</v>
      </c>
      <c r="IY198" s="218" t="e">
        <f ca="1">MAX(0,$IQ198-$EB198*Control!$C$159)</f>
        <v>#N/A</v>
      </c>
      <c r="IZ198" s="218" t="e">
        <f t="shared" ref="IZ198:IZ261" ca="1" si="763">MAX($HO198*$EB198-$IQ198,0)</f>
        <v>#N/A</v>
      </c>
      <c r="JA198" s="216" t="e">
        <f t="shared" ref="JA198:JA261" ca="1" si="764">$IQ198/IF($EB198&lt;&gt;0, $EB198, 1)</f>
        <v>#N/A</v>
      </c>
      <c r="JB198" s="217" t="e">
        <f t="shared" ref="JB198:JB261" ca="1" si="765">MAX($HT198*$EF198-$IL198, 0)</f>
        <v>#N/A</v>
      </c>
      <c r="JC198" s="222" t="e">
        <f ca="1">MAX(Control!$C$157*$EK198-$JT198, 0)/Control!$C$162</f>
        <v>#N/A</v>
      </c>
      <c r="JD198" s="218" t="e">
        <f t="shared" ref="JD198:JD261" ca="1" si="766">$JT198/IF($EK198&lt;&gt;0, $EK198, 1)</f>
        <v>#N/A</v>
      </c>
      <c r="JE198" s="218" t="e">
        <f t="shared" ref="JE198:JE261" ca="1" si="767">$IQ198+$IL198+$JT198</f>
        <v>#N/A</v>
      </c>
      <c r="JF198" s="218" t="e">
        <f t="shared" ca="1" si="645"/>
        <v>#N/A</v>
      </c>
      <c r="JG198" s="218" t="e">
        <f t="shared" ref="JG198:JG261" ca="1" si="768">MAX($HS198*$EH198-$JF198, 0)</f>
        <v>#N/A</v>
      </c>
      <c r="JH198" s="217" t="e">
        <f t="shared" ca="1" si="646"/>
        <v>#N/A</v>
      </c>
      <c r="JI198" s="217" t="e">
        <f t="shared" ca="1" si="647"/>
        <v>#N/A</v>
      </c>
      <c r="JJ198" s="217" t="e">
        <f t="shared" ca="1" si="682"/>
        <v>#N/A</v>
      </c>
      <c r="JK198" s="217" t="e">
        <f ca="1">IF(Control!$C$114=1,IF(Control!$B$24=0,MAX(0,$JI198)*$GN198/Control!$C$64,(MAX(0,MIN($JI198,$JJ198*$GN198/Control!$C$64),0))))</f>
        <v>#N/A</v>
      </c>
      <c r="JL198" s="217" t="e">
        <f ca="1">$IK198/Control!$C$64-$JK198+$HQ198</f>
        <v>#N/A</v>
      </c>
      <c r="JM198" s="217" t="e">
        <f ca="1">IF(Control!$C$114=1,($JB198/(IF($JI198&lt;&gt;0,$JI198,1)))*$JK198,0)</f>
        <v>#N/A</v>
      </c>
      <c r="JN198" s="217" t="e">
        <f ca="1">IF(Control!$C$114=1,($JG198/(IF($JI198&lt;&gt;0,$JI198,1)))*$JK198, 0)</f>
        <v>#N/A</v>
      </c>
      <c r="JO198" s="218" t="e">
        <f t="shared" ref="JO198:JO261" ca="1" si="769">$IQ198+$IL198+$JF198+$JT198</f>
        <v>#N/A</v>
      </c>
      <c r="JP198" s="218" t="e">
        <f ca="1">MIN(($IY198+$IO198)*Control!$C$151, $JF198-$EH198*Control!$C$161)</f>
        <v>#N/A</v>
      </c>
      <c r="JQ198" s="218" t="e">
        <f t="shared" ref="JQ198:JQ261" ca="1" si="770">$JP198+$IO198+$IY198</f>
        <v>#N/A</v>
      </c>
      <c r="JR198" s="217" t="e">
        <f ca="1">IF($CP198-Control!$C$150&lt;0, 0, $JQ198/Control!$C$162)</f>
        <v>#N/A</v>
      </c>
      <c r="JS198" s="218" t="e">
        <f t="shared" ref="JS198:JS261" ca="1" si="771">MIN($JC198,$JR198)</f>
        <v>#N/A</v>
      </c>
      <c r="JT198" s="218" t="e">
        <f t="shared" ca="1" si="648"/>
        <v>#N/A</v>
      </c>
      <c r="JU198" s="218" t="e">
        <f t="shared" ref="JU198:JU261" ca="1" si="772">$JS198*$JP198/(IF($JQ198&lt;&gt;0,$JQ198,1))</f>
        <v>#N/A</v>
      </c>
      <c r="JV198" s="218" t="e">
        <f t="shared" ref="JV198:JV261" ca="1" si="773">$JN198-$JU198-$HU198</f>
        <v>#N/A</v>
      </c>
      <c r="JW198" s="216" t="e">
        <f t="shared" ref="JW198:JW261" ca="1" si="774">$JF198/IF($EH198&lt;&gt;0, $EH198, 1)</f>
        <v>#N/A</v>
      </c>
      <c r="JX198" s="91" t="e">
        <f t="shared" ref="JX198:JX261" ca="1" si="775">$JE198/(IF($EL198&lt;&gt;0,$EL198,1))</f>
        <v>#N/A</v>
      </c>
      <c r="JY198" s="218" t="e">
        <f t="shared" ref="JY198:JY261" ca="1" si="776">$JF198+$HV198</f>
        <v>#N/A</v>
      </c>
      <c r="JZ198" s="217" t="e">
        <f ca="1">IF(Control!$C$114=1,($IZ198/(IF($JI198&lt;&gt;0,$JI198,1)))*$JK198, 0)</f>
        <v>#N/A</v>
      </c>
      <c r="KA198" s="218" t="e">
        <f t="shared" ca="1" si="683"/>
        <v>#N/A</v>
      </c>
      <c r="KB198" s="218" t="e">
        <f t="shared" ca="1" si="649"/>
        <v>#N/A</v>
      </c>
      <c r="KC198" s="218" t="e">
        <f t="shared" ref="KC198:KC261" ca="1" si="777">$JS198*$IO198/(IF($JQ198&lt;&gt;0,$JQ198,1))</f>
        <v>#N/A</v>
      </c>
      <c r="KD198" s="218" t="e">
        <f t="shared" ref="KD198:KD261" ca="1" si="778">$JM198-$KC198-$HW198</f>
        <v>#N/A</v>
      </c>
      <c r="KE198" s="218" t="e">
        <f t="shared" ref="KE198:KE261" ca="1" si="779">$JS198*$IY198/(IF($JQ198&lt;&gt;0,$JQ198,1))</f>
        <v>#N/A</v>
      </c>
      <c r="KF198" s="218" t="e">
        <f t="shared" ref="KF198:KF261" ca="1" si="780">$JZ198-$KE198-$IU198</f>
        <v>#N/A</v>
      </c>
      <c r="KG198" s="216" t="e">
        <f t="shared" ref="KG198:KG261" ca="1" si="781">$IR198/IF($GZ198&lt;&gt;0, $GZ198, 1)</f>
        <v>#N/A</v>
      </c>
      <c r="KH198" s="221" t="e">
        <f ca="1">IF(Control!$B$24=0,1,MAX(0.001,MIN(1,IF(($IF198-$IE198)&lt;&gt;0,($KG198-$IE198)/($IF198-$IE198),1))))</f>
        <v>#N/A</v>
      </c>
      <c r="KI198" s="222" t="e">
        <f ca="1">IF(Control!$C$114=1, $KI197+ $KH197, 0)</f>
        <v>#N/A</v>
      </c>
      <c r="KJ198" s="217" t="e">
        <f t="shared" ref="KJ198:KJ261" ca="1" si="782">IF($AH198&gt;$HF198, $KI198/($AH198-$HF198), $KI198/($AH198+365-$HF198))</f>
        <v>#N/A</v>
      </c>
      <c r="KK198" s="218" t="e">
        <f t="shared" ref="KK198:KK261" ca="1" si="783">$KA198+ ($IQ198+$IL198+$JF198+$JT198)-($IQ198+$IL198+$JF198+$JT198+$IV198+$HV198+$HX198)</f>
        <v>#N/A</v>
      </c>
      <c r="KL198" s="274" t="e">
        <f ca="1">IF(Control!$B$26=3,4000000000*EXP(-8400/($G198+273)),IF(Control!$B$26=4,4000000000*EXP(-8400/($G198+273))*($KT198),0))</f>
        <v>#DIV/0!</v>
      </c>
      <c r="KM198" s="274" t="e">
        <f ca="1">IF(Control!$B$26=3,5600000000000*EXP(-9800/($G198+273)),IF(Control!$B$26=4,5600000000000*EXP(-9800/($G198+273))*$KT198,0))</f>
        <v>#DIV/0!</v>
      </c>
      <c r="KN198" s="454" t="e">
        <f t="shared" ca="1" si="650"/>
        <v>#DIV/0!</v>
      </c>
      <c r="KO198" s="274" t="e">
        <f t="shared" ca="1" si="651"/>
        <v>#DIV/0!</v>
      </c>
      <c r="KP198" s="454" t="e">
        <f t="shared" ref="KP198:KP261" ca="1" si="784">$KO198+$KN198</f>
        <v>#DIV/0!</v>
      </c>
      <c r="KQ198" s="454" t="e">
        <f t="shared" ref="KQ198:KQ261" ca="1" si="785">$KN198-$KN199</f>
        <v>#DIV/0!</v>
      </c>
      <c r="KR198" s="454" t="e">
        <f t="shared" ref="KR198:KR261" ca="1" si="786">$KO198-$KO199</f>
        <v>#DIV/0!</v>
      </c>
      <c r="KS198" s="454" t="e">
        <f t="shared" ref="KS198:KS261" ca="1" si="787">$KQ198+$KR198</f>
        <v>#DIV/0!</v>
      </c>
      <c r="KT198" s="455" t="e">
        <f t="shared" ref="KT198:KT261" ca="1" si="788">$MV198/$OO198</f>
        <v>#DIV/0!</v>
      </c>
      <c r="KU198" s="456" t="e">
        <f ca="1">IF($CP198-Control!$C$149&lt;0, IF($NT198-0.01&lt;0,0,1),0)</f>
        <v>#N/A</v>
      </c>
      <c r="KV198" s="456" t="e">
        <f ca="1">IF(Control!$C$114=1,MAX(0,MIN(Control!$C$125*$KW198*$GN198,$KW198)))</f>
        <v>#DIV/0!</v>
      </c>
      <c r="KW198" s="456" t="e">
        <f t="shared" ca="1" si="684"/>
        <v>#DIV/0!</v>
      </c>
      <c r="KX198" s="457" t="e">
        <f ca="1">IF($CP198-Control!$C$149&lt;0, IF($MR198-$OM198&lt;0,0,1),0)</f>
        <v>#N/A</v>
      </c>
      <c r="KY198" s="167">
        <f t="shared" ca="1" si="652"/>
        <v>194</v>
      </c>
      <c r="KZ198" s="168">
        <f ca="1">1370*(1+0.033*COS(2*Control!$C$138*$AH198/365))</f>
        <v>1325.6730586987369</v>
      </c>
      <c r="LA198" s="169">
        <f t="shared" ca="1" si="653"/>
        <v>0.96764451770806614</v>
      </c>
      <c r="LB198" s="169">
        <f t="shared" ca="1" si="654"/>
        <v>0.38001170536752515</v>
      </c>
      <c r="LC198" s="169">
        <f ca="1">ACOS(-TAN((2*Control!$B$8/360))*TAN(Calculations!$LB198))</f>
        <v>1.6897876720385685</v>
      </c>
      <c r="LD198" s="169">
        <f ca="1">((24*60)/PI())*0.082*$LA198*(($LC198*SIN(Control!$B$8*2*PI()/360))*SIN($LB198)+COS(Control!$B$8*2*PI()/360)*COS($LB198)*SIN($LC198))</f>
        <v>38.610990866870331</v>
      </c>
      <c r="LE198" s="170">
        <f t="shared" ref="LE198:LE261" ca="1" si="789">(MAX(0.0001,$KZ198*$LJ198))/1000000</f>
        <v>40.130485588519619</v>
      </c>
      <c r="LF198" s="170">
        <f ca="1">SIN(Control!$C$139*Control!$B$8)*SIN($HD198)</f>
        <v>0.29235472244522653</v>
      </c>
      <c r="LG198" s="170">
        <f ca="1">COS(Control!$C$139*Control!$B$8)*COS($HD198)</f>
        <v>0.57172122563164274</v>
      </c>
      <c r="LH198" s="170">
        <f ca="1">12*(1+2*ASIN(MAX(-1,MIN(1,$LF198/$LG198))/Control!$C$138))</f>
        <v>15.923943695670699</v>
      </c>
      <c r="LI198" s="170">
        <f ca="1">12*(1+2*ASIN(MAX(-1,MIN(1,(-SIN(-4*Control!$C$139)+$LF198)/$LG198))/Control!$C$138))</f>
        <v>16.871975214969357</v>
      </c>
      <c r="LJ198" s="168">
        <f ca="1">3600*($LH198*$LF198+24*$LG198*SQRT(1-$LK198*$LK198)/Control!$C$138)</f>
        <v>30271.781813165282</v>
      </c>
      <c r="LK198" s="170">
        <f t="shared" ref="LK198:LK261" ca="1" si="790">MAX(-1,MIN(1,$LF198/$LG198))</f>
        <v>0.5113588744623403</v>
      </c>
      <c r="LL198" s="170">
        <f t="shared" ref="LL198:LL261" ca="1" si="791">$AQ198/$LE198</f>
        <v>0</v>
      </c>
      <c r="LM198" s="171">
        <f ca="1">Control!$C$145*$AB198</f>
        <v>6.6660906138995932E-2</v>
      </c>
      <c r="LN198" s="170">
        <f t="shared" ca="1" si="655"/>
        <v>0.54</v>
      </c>
      <c r="LO198" s="170">
        <f t="shared" ref="LO198:LO261" ca="1" si="792">MAX(0,MIN(1,($LL198-0.2)/0.56))</f>
        <v>0</v>
      </c>
      <c r="LP198" s="170">
        <f ca="1">Control!$C$140*((($D198+273.16)^4+($E198+273.16)^4)/2)*(0.34-0.14*SQRT($Y198))*(1.35*$AQ198/(0.75*$LD198)-0.35)</f>
        <v>-3.2464704755046001</v>
      </c>
      <c r="LQ198" s="170">
        <f ca="1">Control!$C$140*($G198+273)^4*(0.56-0.079*SQRT($Y198*10))*(0.1+0.9*$LO198)</f>
        <v>1.5241745131704001</v>
      </c>
      <c r="LR198" s="170">
        <f ca="1">$AQ198*(1-Control!$C$142)-$LQ198</f>
        <v>-1.5241745131704001</v>
      </c>
      <c r="LS198" s="170">
        <f ca="1">$AQ198*(1-Control!$C$143)-$LQ198</f>
        <v>-1.5241745131704001</v>
      </c>
      <c r="LT198" s="170">
        <f ca="1">$AQ198*(1-Control!$C$144)-$LQ198</f>
        <v>-1.5241745131704001</v>
      </c>
      <c r="LU198" s="169">
        <f ca="1">(1-Control!$C$144)*AQ198-LP198</f>
        <v>3.2464704755046001</v>
      </c>
      <c r="LV198" s="172">
        <f t="shared" ref="LV198:LV261" ca="1" si="793">10*0.26*($X198-$Y198)*(0.5+$LN198*$J198)</f>
        <v>0.79430000000000012</v>
      </c>
      <c r="LW198" s="170">
        <f t="shared" ref="LW198:LW261" ca="1" si="794">10*0.26*($X198-$Y198)*(1+$LN198*$J198)</f>
        <v>1.5886000000000002</v>
      </c>
      <c r="LX198" s="170">
        <f ca="1">($AC198*($LR198/Control!$C$141)+$LM198*$LV198)/($AC198+$LM198)</f>
        <v>0.23530094218323697</v>
      </c>
      <c r="LY198" s="170">
        <f ca="1">($AC198*($LS198/Control!$C$141)+$LM198*$LV198)/($AC198+$LM198)</f>
        <v>0.23530094218323697</v>
      </c>
      <c r="LZ198" s="170">
        <f t="shared" ref="LZ198:LZ261" ca="1" si="795">MAX(0,$LX198)</f>
        <v>0.23530094218323697</v>
      </c>
      <c r="MA198" s="170">
        <f t="shared" ref="MA198:MA261" ca="1" si="796">MAX(0,$LY198)</f>
        <v>0.23530094218323697</v>
      </c>
      <c r="MB198" s="170" t="e">
        <f t="shared" ref="MB198:MB261" ca="1" si="797" xml:space="preserve"> $MA198*(1-$DL198)</f>
        <v>#N/A</v>
      </c>
      <c r="MC198" s="170">
        <f t="shared" ca="1" si="656"/>
        <v>0.6018</v>
      </c>
      <c r="MD198" s="170">
        <f t="shared" ref="MD198:MD261" ca="1" si="798">(0.408*AD198*$LU198+$LM198*(900/($G198+273)*$J198*$MC198))/($AD198+$LM198*(1+0.34*$J198))</f>
        <v>0.52989392535414004</v>
      </c>
      <c r="ME198" s="170">
        <f ca="1">($AC198*($LT198/Control!$C$141)+$LM198*$LW198)/($AC198+$LM198)</f>
        <v>0.71612369323045078</v>
      </c>
      <c r="MF198" s="170" t="e">
        <f ca="1">IF(Control!$B$16&gt;=1000,0.92,IF(AND(720&lt;=Control!$B$16,1000&gt;Control!$B$16),(0.95+(Control!$B$16-720)*((0.92-0.95)/(1000-720))),IF(AND(360&lt;=Control!$B$16,720&gt;Control!$B$16),(1+(Control!$B$16-360)*((0.95-1)/(720-360))),IF(AND(40&lt;=Control!$B$16,360&gt;Control!$B$16),(1.05+(Control!$B$16-40)*((1.05-1)/(360-40)))))))</f>
        <v>#N/A</v>
      </c>
      <c r="MG198" s="170">
        <f t="shared" ref="MG198:MG261" ca="1" si="799">MAX(0,$ME198)</f>
        <v>0.71612369323045078</v>
      </c>
      <c r="MH198" s="170" t="e">
        <f t="shared" ca="1" si="695"/>
        <v>#N/A</v>
      </c>
      <c r="MI198" s="170" t="e">
        <f t="shared" ca="1" si="695"/>
        <v>#N/A</v>
      </c>
      <c r="MJ198" s="170" t="e">
        <f ca="1">MAX(0.0001, Control!$C$132*$MI198*$DL198)</f>
        <v>#N/A</v>
      </c>
      <c r="MK198" s="170">
        <f ca="1">1/(0.76+1.5*($MG198/10))-(5-Control!$C$110)*0.1</f>
        <v>1.002845988140797</v>
      </c>
      <c r="ML198" s="173">
        <f ca="1">IF(Control!$C$110&lt;3,$MK198+($MG198-0.6)/(Control!$C$110*(Control!$C$110+3)), MAX(0.1, MIN(0.95,$MK198)))</f>
        <v>0.95</v>
      </c>
      <c r="MM198" s="173">
        <f ca="1">IF(Control!$C$110&lt;3,$MK198+(($MI198/10)-0.6)/(Control!$C$110*(Control!$C$110+3)), MAX(0.1, MIN(0.95,$MK198)))</f>
        <v>0.95</v>
      </c>
      <c r="MN198" s="173">
        <f ca="1">(1-$MM198)*(Control!$C$128-Control!$C$127)+Control!$C$127</f>
        <v>0.16</v>
      </c>
      <c r="MO198" s="170" t="e">
        <f ca="1">MAX(0,MIN(1,($MS198-Control!$C$127)/($MN198-Control!$C$127)))</f>
        <v>#DIV/0!</v>
      </c>
      <c r="MP198" s="173" t="e">
        <f ca="1">1/(0.76+1.5*$MI198)-(5-Control!$C$110)*0.1</f>
        <v>#N/A</v>
      </c>
      <c r="MQ198" s="172" t="e">
        <f t="shared" ca="1" si="685"/>
        <v>#DIV/0!</v>
      </c>
      <c r="MR198" s="168" t="e">
        <f t="shared" ca="1" si="657"/>
        <v>#DIV/0!</v>
      </c>
      <c r="MS198" s="173" t="e">
        <f ca="1">MAX(Control!$C$127, MIN(Control!$C$135, $MR198/MAX(0.0001,$CY198)))</f>
        <v>#DIV/0!</v>
      </c>
      <c r="MT198" s="168" t="e">
        <f ca="1">(Control!$C$128-$MS198)*Control!$C$74</f>
        <v>#DIV/0!</v>
      </c>
      <c r="MU198" s="168" t="e">
        <f ca="1">(Control!$C$135-$MS198)*Control!$C$74</f>
        <v>#DIV/0!</v>
      </c>
      <c r="MV198" s="168" t="e">
        <f t="shared" ca="1" si="658"/>
        <v>#DIV/0!</v>
      </c>
      <c r="MW198" s="168" t="e">
        <f t="shared" ca="1" si="659"/>
        <v>#DIV/0!</v>
      </c>
      <c r="MX198" s="171" t="e">
        <f ca="1">MAX(Control!$C$127, MIN(Control!$C$135, $MW198/MAX(0.0001,Control!$C$119-$CY198)))</f>
        <v>#DIV/0!</v>
      </c>
      <c r="MY198" s="54" t="e">
        <f ca="1">IF(Control!$C$114=1, $CX198*$MX198, 0)</f>
        <v>#DIV/0!</v>
      </c>
      <c r="MZ198" s="54" t="e">
        <f t="shared" ca="1" si="660"/>
        <v>#N/A</v>
      </c>
      <c r="NA198" s="168" t="e">
        <f ca="1">(Control!$C$128-$MX198)*(Control!$C$119-Control!$C$74)</f>
        <v>#DIV/0!</v>
      </c>
      <c r="NB198" s="168" t="e">
        <f ca="1">(Control!$C$135-$MX198)*(Control!$C$119-Control!$C$74)</f>
        <v>#DIV/0!</v>
      </c>
      <c r="NC198" s="174" t="e">
        <f t="shared" ca="1" si="661"/>
        <v>#DIV/0!</v>
      </c>
      <c r="ND198" s="54">
        <f ca="1">IF(Control!$C$58=2, IF(OR(Control!$B$218=$AH198,Control!$B$219=$AH198, Control!$B$220=$AH198, Control!$B$221=$AH198, Control!$B$222=$AH198, Control!$B$223=$AH198, Control!$B$224=$AH198, Control!$B$225=$AH198, Control!$B$226=$AH198, Control!$B$227=$AH198, Control!$B$228=$AH198), 1, 0), 0)</f>
        <v>0</v>
      </c>
      <c r="NE198" s="54">
        <f ca="1">IF($ND198=0,0, VLOOKUP($AH198,Control!$B$218:$C$228,2))</f>
        <v>0</v>
      </c>
      <c r="NF198" s="168" t="e">
        <f ca="1">$CY198*(Control!$C$128-Control!$C$127)</f>
        <v>#N/A</v>
      </c>
      <c r="NG198" s="54" t="e">
        <f ca="1">IF(Control!$C$58=2, $NI197-$NJ197, 0)</f>
        <v>#DIV/0!</v>
      </c>
      <c r="NH198" s="54" t="e">
        <f ca="1">IF(AND(Control!$C$58=1, $MS197&lt;= ($MN197+0.02), $I197&lt;10), 0, IF(Control!$C$58=2, $NG197, 0))</f>
        <v>#DIV/0!</v>
      </c>
      <c r="NI198" s="54" t="e">
        <f ca="1">IF(Control!$C$58=2, $NE198+$NH198,0)</f>
        <v>#DIV/0!</v>
      </c>
      <c r="NJ198" s="54" t="e">
        <f ca="1">IF(AND(Control!$C$58=1, $MS198&lt;= ($MN198+0.02), $I198&lt;10), MAX(0, MIN(10, 0.7*($NF198-$MV198))), IF(Control!$C$58=2, MIN(10,$NI198),0))</f>
        <v>#DIV/0!</v>
      </c>
      <c r="NK198" s="54" t="e">
        <f t="shared" ref="NK198:NK261" ca="1" si="800">$NJ198+$NH198</f>
        <v>#DIV/0!</v>
      </c>
      <c r="NL198" s="173" t="e">
        <f ca="1">(1-Control!$C$73)*$I198+$NJ198</f>
        <v>#DIV/0!</v>
      </c>
      <c r="NM198" s="172" t="e">
        <f ca="1">IF($NL198&lt;0.5, $MB198* MAX(0, MIN(1, (SQRT($NC198)-SQRT($NC198-1))*Control!$C$71)),0)</f>
        <v>#DIV/0!</v>
      </c>
      <c r="NN198" s="170" t="e">
        <f ca="1">IF($NL198&gt;=5, $MB198, MAX(0,MIN($MB198, $NM198+$NL198,($MS198-Control!$C$129))))</f>
        <v>#DIV/0!</v>
      </c>
      <c r="NO198" s="54">
        <f>IF(Control!$C$133&lt;&gt;1, Control!$C$135-Control!$C$131, 0)</f>
        <v>0.38</v>
      </c>
      <c r="NP198" s="54" t="e">
        <f t="shared" ref="NP198:NP261" ca="1" si="801">IF($MS198&gt;=$NO198,MIN($AH197+1,4),0)</f>
        <v>#DIV/0!</v>
      </c>
      <c r="NQ198" s="173" t="e">
        <f ca="1">MAX(0,MIN(1,(Control!$C$135-$MS198)/(Control!$C$135-$NO198)))</f>
        <v>#DIV/0!</v>
      </c>
      <c r="NR198" s="170" t="e">
        <f ca="1">IF(Control!$C$133&lt;&gt;1, $NQ198+((1-$NP198/4)*(1-$NQ198)),1)</f>
        <v>#DIV/0!</v>
      </c>
      <c r="NS198" s="170" t="e">
        <f ca="1">IF(Control!$B$31=0,$MJ198,MAX(0,MIN($MV198,$MO198*$NR198*$MJ198)))</f>
        <v>#DIV/0!</v>
      </c>
      <c r="NT198" s="170" t="e">
        <f t="shared" ca="1" si="686"/>
        <v>#DIV/0!</v>
      </c>
      <c r="NU198" s="170" t="e">
        <f t="shared" ca="1" si="662"/>
        <v>#N/A</v>
      </c>
      <c r="NV198" s="170" t="e">
        <f t="shared" ref="NV198:NV261" ca="1" si="802">IF($AH198&gt;$HF198, $NU198/($AH198-$HF198), $NU198/($AH198+365-$HF198))</f>
        <v>#N/A</v>
      </c>
      <c r="NW198" s="175" t="e">
        <f t="shared" ref="NW198:NW261" ca="1" si="803">$NL198-$NN198-$NS198</f>
        <v>#DIV/0!</v>
      </c>
      <c r="NX198" s="170" t="e">
        <f ca="1">MIN(Control!$C$72+$MU198, $NW198)</f>
        <v>#DIV/0!</v>
      </c>
      <c r="NY198" s="170" t="e">
        <f ca="1">IF($MT198&lt;=$NX198,MIN(Control!$C$72+$NB198,$NX198-$MT198),0)</f>
        <v>#DIV/0!</v>
      </c>
      <c r="NZ198" s="54" t="e">
        <f ca="1">IF(Control!$C$114=1,  $CX198*($MX198-Control!$C$127), 0)</f>
        <v>#DIV/0!</v>
      </c>
      <c r="OA198" s="170" t="e">
        <f t="shared" ref="OA198:OA261" ca="1" si="804">$NX198-$NY198+$NZ198</f>
        <v>#DIV/0!</v>
      </c>
      <c r="OB198" s="170" t="e">
        <f ca="1">IF($NA198 &lt;=$NY198, MIN(Control!$C$72, $NY198-$NA198), 0)</f>
        <v>#DIV/0!</v>
      </c>
      <c r="OC198" s="168" t="e">
        <f t="shared" ref="OC198:OC261" ca="1" si="805">$NY198-$OB198-$NZ198</f>
        <v>#DIV/0!</v>
      </c>
      <c r="OD198" s="168" t="e">
        <f t="shared" ca="1" si="663"/>
        <v>#DIV/0!</v>
      </c>
      <c r="OE198" s="170">
        <f ca="1">Control!$C$73*$I198</f>
        <v>0</v>
      </c>
      <c r="OF198" s="176" t="e">
        <f t="shared" ref="OF198:OF261" ca="1" si="806">$OE198+MAX(0,$NW198-$NX198)</f>
        <v>#DIV/0!</v>
      </c>
      <c r="OG198" s="168" t="e">
        <f t="shared" ref="OG198:OG261" ca="1" si="807">$MV$6-$MV198</f>
        <v>#DIV/0!</v>
      </c>
      <c r="OH198" s="168" t="e">
        <f t="shared" ref="OH198:OH261" ca="1" si="808">$OD$6-$OD198</f>
        <v>#DIV/0!</v>
      </c>
      <c r="OI198" s="168" t="e">
        <f t="shared" ref="OI198:OI261" ca="1" si="809">$NX198-$NY198+$MY198</f>
        <v>#DIV/0!</v>
      </c>
      <c r="OJ198" s="168" t="e">
        <f t="shared" ref="OJ198:OJ261" ca="1" si="810">$NY198-$OB198-$MY198</f>
        <v>#DIV/0!</v>
      </c>
      <c r="OK198" s="204" t="e">
        <f t="shared" ref="OK198:OK261" ca="1" si="811">$OG198+$OH198</f>
        <v>#DIV/0!</v>
      </c>
      <c r="OL198" s="177">
        <f>Control!$C$127</f>
        <v>0.15</v>
      </c>
      <c r="OM198" s="182" t="e">
        <f t="shared" ref="OM198:OM261" ca="1" si="812">$OL198*$CY198</f>
        <v>#N/A</v>
      </c>
      <c r="ON198" s="177">
        <f>Control!$C$128</f>
        <v>0.35</v>
      </c>
      <c r="OO198" s="182" t="e">
        <f t="shared" ref="OO198:OO261" ca="1" si="813">$ON198*$CY198</f>
        <v>#N/A</v>
      </c>
      <c r="OP198" s="138">
        <f t="shared" ca="1" si="664"/>
        <v>0</v>
      </c>
      <c r="OQ198" s="138" t="e">
        <f t="shared" ca="1" si="687"/>
        <v>#DIV/0!</v>
      </c>
      <c r="OR198" s="138" t="e">
        <f t="shared" ca="1" si="665"/>
        <v>#DIV/0!</v>
      </c>
      <c r="OS198" s="137" t="e">
        <f t="shared" ca="1" si="688"/>
        <v>#DIV/0!</v>
      </c>
      <c r="OT198" s="139" t="e">
        <f t="shared" ca="1" si="689"/>
        <v>#DIV/0!</v>
      </c>
      <c r="OU198" s="138" t="e">
        <f t="shared" ca="1" si="690"/>
        <v>#N/A</v>
      </c>
      <c r="OV198" s="138" t="e">
        <f t="shared" ca="1" si="691"/>
        <v>#DIV/0!</v>
      </c>
      <c r="OW198" s="138" t="e">
        <f t="shared" ca="1" si="666"/>
        <v>#DIV/0!</v>
      </c>
      <c r="OX198" s="138" t="e">
        <f t="shared" ca="1" si="667"/>
        <v>#DIV/0!</v>
      </c>
      <c r="OY198" s="138" t="e">
        <f t="shared" ca="1" si="668"/>
        <v>#DIV/0!</v>
      </c>
      <c r="OZ198" s="138" t="e">
        <f t="shared" ref="OZ198:OZ261" ca="1" si="814">ABS($MR198-$NS198-$NN198+$I198+$MY198+$NK198-$OF198-$NY198-$OX198)</f>
        <v>#DIV/0!</v>
      </c>
      <c r="PA198" s="138" t="e">
        <f t="shared" ref="PA198:PA261" ca="1" si="815">ABS($MW198+$NY198-$OB198-$MY198-$OY198)</f>
        <v>#DIV/0!</v>
      </c>
      <c r="PB198" s="55">
        <f>IF(Control!$C$61="T", IF(Control!$C$65="F", IF($AH$6-Control!$C$60&lt;0,0,1), IF(365+$AH$6-Control!$C$60&lt;0,0,1)),0)</f>
        <v>0</v>
      </c>
      <c r="PC198" s="55">
        <f ca="1">IF(Control!$C$65="F", IF($AH$6-$HF198&lt;0,0,1), IF(365+$AH$6-$HF198&lt;0,0,1))</f>
        <v>1</v>
      </c>
      <c r="PD198" s="444">
        <f>Control!$C$118</f>
        <v>1500</v>
      </c>
      <c r="PE198" s="180" t="e">
        <f t="shared" ref="PE198:PE261" ca="1" si="816">$CY198*($ON198-$MS198)</f>
        <v>#N/A</v>
      </c>
      <c r="PF198" s="445">
        <f t="shared" ca="1" si="669"/>
        <v>0.71612369323045078</v>
      </c>
      <c r="PT198" s="186"/>
      <c r="PU198" s="186"/>
      <c r="PV198" s="94"/>
      <c r="PW198" s="94"/>
      <c r="PX198" s="94"/>
      <c r="PY198" s="94"/>
      <c r="PZ198" s="94"/>
      <c r="QA198" s="94"/>
      <c r="QB198" s="94"/>
      <c r="QC198" s="94"/>
      <c r="QD198" s="94"/>
      <c r="QE198" s="94"/>
      <c r="QF198" s="94"/>
      <c r="QG198" s="94"/>
      <c r="QH198" s="94"/>
      <c r="QI198" s="94"/>
      <c r="QJ198" s="94"/>
      <c r="QK198" s="94"/>
      <c r="QL198" s="94"/>
      <c r="QM198" s="94"/>
      <c r="QN198" s="94"/>
      <c r="QO198" s="94"/>
      <c r="QP198" s="94"/>
    </row>
    <row r="199" spans="1:458" s="2" customFormat="1" x14ac:dyDescent="0.2">
      <c r="A199" s="395">
        <v>13</v>
      </c>
      <c r="B199" s="396">
        <v>7</v>
      </c>
      <c r="C199" s="387">
        <f ca="1">Weather_data!$B198</f>
        <v>0</v>
      </c>
      <c r="D199" s="388">
        <f ca="1">Weather_data!$F198</f>
        <v>0</v>
      </c>
      <c r="E199" s="388">
        <f ca="1">Weather_data!$E198</f>
        <v>0</v>
      </c>
      <c r="F199" s="388">
        <f t="shared" ref="F199:F262" ca="1" si="817">$D199-$E199</f>
        <v>0</v>
      </c>
      <c r="G199" s="388">
        <f ca="1">AVERAGE($D199:$E199)+Control!$B$9</f>
        <v>0</v>
      </c>
      <c r="H199" s="388">
        <f ca="1">Weather_data!$G198</f>
        <v>0</v>
      </c>
      <c r="I199" s="388">
        <f ca="1">Weather_data!$I198</f>
        <v>0</v>
      </c>
      <c r="J199" s="388">
        <f ca="1">Weather_data!$H198</f>
        <v>0</v>
      </c>
      <c r="K199" s="389">
        <f ca="1">Weather_data!$D198</f>
        <v>0</v>
      </c>
      <c r="L199" s="388" t="e">
        <f t="shared" ref="L199:L262" ca="1" si="818">$L198+$DM198</f>
        <v>#N/A</v>
      </c>
      <c r="M199" s="388" t="e">
        <f t="shared" ca="1" si="696"/>
        <v>#N/A</v>
      </c>
      <c r="N199" s="388">
        <f t="shared" ca="1" si="697"/>
        <v>-7.3752089012654363E-10</v>
      </c>
      <c r="O199" s="388">
        <f t="shared" ref="O199:O262" ca="1" si="819">$O198+$N198</f>
        <v>7.3752089012654361E-9</v>
      </c>
      <c r="P199" s="390">
        <v>3</v>
      </c>
      <c r="Q199" s="388">
        <f ca="1">MAX($G199-Control!$C$107,0)</f>
        <v>0</v>
      </c>
      <c r="R199" s="388">
        <f t="shared" ref="R199:R262" ca="1" si="820">IF($G199&lt;=3,0,IF(33&gt;=$G199&gt;3,0+($G199-3)*((30-0)/(33-3)),IF($G199&gt;33,30)))</f>
        <v>0</v>
      </c>
      <c r="S199" s="388">
        <f t="shared" ca="1" si="698"/>
        <v>0</v>
      </c>
      <c r="T199" s="388">
        <f t="shared" ca="1" si="699"/>
        <v>0</v>
      </c>
      <c r="U199" s="59">
        <f t="shared" ca="1" si="700"/>
        <v>0</v>
      </c>
      <c r="V199" s="391">
        <f ca="1">MAX(0,MIN(Control!$C$100-Control!$C$99,$G199-Control!$C$99)*Control!$C$63)</f>
        <v>0</v>
      </c>
      <c r="W199" s="388">
        <f t="shared" ref="W199:W262" ca="1" si="821">$D199-0.25*($D199-$E199)</f>
        <v>0</v>
      </c>
      <c r="X199" s="388">
        <f t="shared" ref="X199:X262" ca="1" si="822">6.11*0.1*EXP(17.4*$G199/($G199+239))</f>
        <v>0.6110000000000001</v>
      </c>
      <c r="Y199" s="388">
        <f t="shared" ca="1" si="701"/>
        <v>0</v>
      </c>
      <c r="Z199" s="388">
        <f t="shared" ref="Z199:Z262" ca="1" si="823">6.10588*0.1*EXP((17.32491*$G199)/($G199+238.102))</f>
        <v>0.61058800000000002</v>
      </c>
      <c r="AA199" s="388">
        <f t="shared" ca="1" si="702"/>
        <v>0.6018</v>
      </c>
      <c r="AB199" s="388">
        <f ca="1">101.3*EXP(-0.034*Control!$C$66/($G199+273))</f>
        <v>100.69623283836242</v>
      </c>
      <c r="AC199" s="392">
        <f t="shared" ca="1" si="703"/>
        <v>4.3460251046025113E-2</v>
      </c>
      <c r="AD199" s="392">
        <f t="shared" ca="1" si="704"/>
        <v>4.4450382862832649E-2</v>
      </c>
      <c r="AE199" s="388">
        <f t="shared" ca="1" si="705"/>
        <v>0</v>
      </c>
      <c r="AF199" s="388">
        <f ca="1">MAX(0,$G199-Control!$C$92)</f>
        <v>0</v>
      </c>
      <c r="AG199" s="393">
        <f t="shared" ca="1" si="706"/>
        <v>195</v>
      </c>
      <c r="AH199" s="389">
        <f t="shared" ca="1" si="707"/>
        <v>195</v>
      </c>
      <c r="AI199" s="388">
        <f t="shared" ref="AI199:AI262" ca="1" si="824">$HD199</f>
        <v>0.37736275950346415</v>
      </c>
      <c r="AJ199" s="388">
        <f ca="1">IF(Control!$C$60&lt;=0,$HH199,$HI199)</f>
        <v>1</v>
      </c>
      <c r="AK199" s="388">
        <f t="shared" ca="1" si="708"/>
        <v>1.9796337269195958</v>
      </c>
      <c r="AL199" s="388">
        <f t="shared" ca="1" si="709"/>
        <v>-8.4757079826802686E-18</v>
      </c>
      <c r="AM199" s="388">
        <f t="shared" ca="1" si="710"/>
        <v>1.9796337269195958</v>
      </c>
      <c r="AN199" s="388">
        <f t="shared" ca="1" si="711"/>
        <v>0.37364866384121487</v>
      </c>
      <c r="AO199" s="388">
        <f ca="1">-0.10453/COS(Control!$B$8*PI()/180)*COS(AN199)</f>
        <v>-0.15807000223624246</v>
      </c>
      <c r="AP199" s="388">
        <f ca="1">ACOS(AO199-TAN(Control!$B$8*PI()/180)*TAN(AN199))</f>
        <v>2.291471979962298</v>
      </c>
      <c r="AQ199" s="388">
        <f t="shared" ref="AQ199:AQ262" ca="1" si="825">$K199/1000</f>
        <v>0</v>
      </c>
      <c r="AR199" s="394">
        <f t="shared" ca="1" si="712"/>
        <v>0</v>
      </c>
      <c r="AS199" s="436">
        <f ca="1">IF(Control!$B$18=2,(IF(OR($AH199=Control!$B$175,$AH199=Control!$B$176,$AH199=Control!$B$177,$AH199=Control!$B$178,$AH199=Control!$B$179,$AH199=Control!$B$180,$AH199=Control!$B$181,$AH199=Control!$B$182,$AH199=Control!$B$183,$AH199=Control!$B$184,$AH199=Control!$B$185),1,0)),0)</f>
        <v>0</v>
      </c>
      <c r="AT199" s="436">
        <f>IF(Control!$B$20=8,IF(AND($AH199&gt;=Control!$B$172,$AH199&lt;=Control!$B$173),1,0),0)</f>
        <v>0</v>
      </c>
      <c r="AU199" s="436">
        <f>IF(Control!$B$20=8,IF($AV198=1,1*$AT199,IF($AT199=1,$AU198+1,$AU198)),0)</f>
        <v>0</v>
      </c>
      <c r="AV199" s="436">
        <f>IF(Control!$B$20=8,IF($AU199&gt;=Control!$B$174,1,0),0)</f>
        <v>0</v>
      </c>
      <c r="AW199" s="436">
        <f ca="1">IF(AND(Control!$B$18=2,Control!$B$171=1), $AV199, $AS199)</f>
        <v>0</v>
      </c>
      <c r="AX199" s="436" t="e">
        <f ca="1">IF(AND(Control!$B$18=1,$EU199&gt;=Control!$B$19),-$AY199,IF(AND(Control!$B$18=2,$AW199=1,$EU199&gt;$DS199),-$AY199, IF(Control!$C$108=0,0, IF(Control!$C$108&lt;&gt;0,1))))</f>
        <v>#N/A</v>
      </c>
      <c r="AY199" s="436" t="e">
        <f t="shared" ref="AY199:AY262" ca="1" si="826">$AY198+$AX198</f>
        <v>#N/A</v>
      </c>
      <c r="AZ199" s="436" t="e">
        <f ca="1">IF(AND(Control!$B$18=1,$EB199&gt;Control!$B$19),$AZ198+1, IF(AND(Control!$B$18=2, $AW199=1, $EB199&gt;$DS199), $AZ198+1,$AZ198))</f>
        <v>#N/A</v>
      </c>
      <c r="BA199" s="587">
        <f>IF(Control!$C$81=0,1,IF($AH199&gt;=Control!$C$82,1,0))</f>
        <v>1</v>
      </c>
      <c r="BB199" s="140" t="e">
        <f ca="1">IF($BA199&gt;$BA198,Control!$C$83,IF($AW199&gt;0,$AW199*Control!$C$84,IF(AND(Control!$B$18=1,EN198&lt;&gt;0),Control!$C$84,0)))</f>
        <v>#N/A</v>
      </c>
      <c r="BC199" s="140" t="e">
        <f t="shared" ref="BC199:BC262" ca="1" si="827">IF($BA199=0,0,IF(AND($BB199&gt;0,$BB199&lt;9),1,$BG198))</f>
        <v>#N/A</v>
      </c>
      <c r="BD199" s="140" t="e">
        <f ca="1">BC199*IF(OR($G199&lt;Control!$C$92,$G199&gt;Control!$C$95),0,IF(AND($G199&gt;=Control!$C$92,$G199&lt;=Control!$C$93),$G199-Control!$C$92,IF(AND($G199&gt;Control!$C$93,$G199&lt;=Control!$C$94),Control!$C$93-Control!$C$92,IF(AND($G199&gt;Control!$C$94,$G199&lt;=Control!$C$95),(Control!$C$93-Control!$C$92)*(Control!$C$94-$G199)/(Control!$C$95-Control!$C$94)))))</f>
        <v>#N/A</v>
      </c>
      <c r="BE199" s="140" t="e">
        <f t="shared" ref="BE199:BE262" ca="1" si="828">IF($BC199=0,0,$BF198+$BD199)</f>
        <v>#N/A</v>
      </c>
      <c r="BF199" s="140" t="e">
        <f ca="1">IF($BE199&lt;=Control!$C$86,$BE199,Control!$C$86-$BE199)</f>
        <v>#N/A</v>
      </c>
      <c r="BG199" s="140" t="e">
        <f ca="1">IF(AND($AW199=1,Control!$C$84&lt;9),1,IF($BE199&gt;=Control!$C$86,0,$BC199))</f>
        <v>#N/A</v>
      </c>
      <c r="BH199" s="404" t="e">
        <f ca="1">IF($BG199=0,0,IF($BE199&lt;=Control!$C$86,$BC199*9*($BF199/Control!$C$86),0))</f>
        <v>#N/A</v>
      </c>
      <c r="BI199" s="140" t="e">
        <f ca="1">IF($BG199=1,0,IF($BE199&gt;=Control!$C$86,1,IF(AND($BB199&lt;21,$BB199&gt;=9),1,$BM198)))</f>
        <v>#N/A</v>
      </c>
      <c r="BJ199" s="140" t="e">
        <f ca="1">IF($BF199&lt;0,-$BF199,$BI199*IF(OR($G199&lt;Control!$C$92,$G199&gt;Control!$C$95),0,IF(AND($G199&gt;=Control!$C$92,$G199&lt;=Control!$C$93),$G199-Control!$C$92,IF(AND($G199&gt;Control!$C$93,$G199&lt;=Control!$C$94),Control!$C$93-Control!$C$92,IF(AND($G199&gt;Control!$C$94,$G199&lt;=Control!$C$95),(Control!$C$93-Control!$C$92)*(Control!$C$94-$G199)/(Control!$C$95-Control!$C$94))))))</f>
        <v>#N/A</v>
      </c>
      <c r="BK199" s="140" t="e">
        <f t="shared" ref="BK199:BK262" ca="1" si="829">IF($BI199=0,0,IF($BF199&lt;0,$BL198+$BJ199-$BF199,$BL198+$BJ199))</f>
        <v>#N/A</v>
      </c>
      <c r="BL199" s="140" t="e">
        <f ca="1">IF($BK199&lt;=Control!$C$87,$BK199,Control!$C$87-$BK199)</f>
        <v>#N/A</v>
      </c>
      <c r="BM199" s="140" t="e">
        <f ca="1">IF(AND($BB199&gt;=9,$BB199&lt;21),1,IF($BK199&gt;=Control!$C$87,0,$BI199))</f>
        <v>#N/A</v>
      </c>
      <c r="BN199" s="404" t="e">
        <f ca="1">IF($BM199=0,0,IF($BK199&lt;=Control!$C$87,$BI199*(9+(21-9)*($BL199/Control!$C$87)),0))</f>
        <v>#N/A</v>
      </c>
      <c r="BO199" s="140" t="e">
        <f ca="1">IF($BM199=1,0,IF($BK199&gt;=Control!$C$87,1,IF(AND($BB199&lt;30,$BB199&gt;=21),1,$BS198)))</f>
        <v>#N/A</v>
      </c>
      <c r="BP199" s="140" t="e">
        <f ca="1">IF($BL199&lt;0,-$BL199,$BO199*IF(OR($G199&lt;Control!$C$92,$G199&gt;Control!$C$95),0,IF(AND($G199&gt;=Control!$C$92,$G199&lt;=Control!$C$93),$G199-Control!$C$92,IF(AND($G199&gt;Control!$C$93,$G199&lt;=Control!$C$94),Control!$C$93-Control!$C$92,IF(AND($G199&gt;Control!$C$94,$G199&lt;=Control!$C$95),(Control!$C$93-Control!$C$92)*(Control!$C$94-$G199)/(Control!$C$95-Control!$C$94))))))</f>
        <v>#N/A</v>
      </c>
      <c r="BQ199" s="140" t="e">
        <f t="shared" ca="1" si="713"/>
        <v>#N/A</v>
      </c>
      <c r="BR199" s="140" t="e">
        <f ca="1">IF($BQ199&lt;=Control!$C$88,$BQ199,Control!$C$88-$BQ199)</f>
        <v>#N/A</v>
      </c>
      <c r="BS199" s="140" t="e">
        <f ca="1">IF(AND($BB199&gt;=21,$BB199&lt;30),1,IF($BQ199&gt;=Control!$C$88,0,$BO199))</f>
        <v>#N/A</v>
      </c>
      <c r="BT199" s="404" t="e">
        <f ca="1">IF($BS199=0,0,IF($BQ199&lt;=Control!$C$88,$BO199*(21+(30-21)*(BR199/Control!$C$88)),0))</f>
        <v>#N/A</v>
      </c>
      <c r="BU199" s="140" t="e">
        <f ca="1">IF(BG199+BM199+BS199=1,0,IF(OR(AND($BB199&lt;60,$BB199&gt;=30),$BQ199&gt;=Control!$C$88),1*$BA199,$BY198))</f>
        <v>#N/A</v>
      </c>
      <c r="BV199" s="140" t="e">
        <f ca="1">IF($BR199&lt;0,-$BR199,$BU199*IF(OR($G199&lt;Control!$C$92,$G199&gt;Control!$C$95),0,IF(AND($G199&gt;=Control!$C$92,$G199&lt;=Control!$C$93),$G199-Control!$C$92,IF(AND($G199&gt;Control!$C$93,$G199&lt;=Control!$C$94),Control!$C$93-Control!$C$92,IF(AND($G199&gt;Control!$C$94,$G199&lt;=Control!$C$95),(Control!$C$93-Control!$C$92)*(Control!$C$94-$G199)/(Control!$C$95-Control!$C$94))))))</f>
        <v>#N/A</v>
      </c>
      <c r="BW199" s="140" t="e">
        <f t="shared" ca="1" si="714"/>
        <v>#N/A</v>
      </c>
      <c r="BX199" s="140" t="e">
        <f ca="1">IF($BW199&lt;=Control!$C$89,$BW199,Control!$C$89-$BW199)</f>
        <v>#N/A</v>
      </c>
      <c r="BY199" s="140" t="e">
        <f ca="1">IF(AND($AJ199&gt;=30,$AJ199&lt;60),1,IF($BW199&gt;=Control!$C$89,0,$BU199))</f>
        <v>#N/A</v>
      </c>
      <c r="BZ199" s="404" t="e">
        <f ca="1">IF($BY199=0,0,IF($BW199&lt;=Control!$C$89,$BU199*(30+(60-30)*(BX199/Control!$C$89)),0))</f>
        <v>#N/A</v>
      </c>
      <c r="CA199" s="140" t="e">
        <f ca="1">IF($BG199+$BM199+$BS199+$BY199=1,0,IF(OR(AND($BB199&lt;65,$BB199&gt;=60),$BW199&gt;=Control!$C$89),1*$BA199,$CE198))</f>
        <v>#N/A</v>
      </c>
      <c r="CB199" s="140" t="e">
        <f ca="1">IF($BX199&lt;0,-$BX199,$CA199*IF(OR($G199&lt;Control!$C$92,$G199&gt;Control!$C$95),0,IF(AND($G199&gt;=Control!$C$92,$G199&lt;=Control!$C$93),$G199-Control!$C$92,IF(AND($G199&gt;Control!$C$93,$G199&lt;=Control!$C$94),Control!$C$93-Control!$C$92,IF(AND($G199&gt;Control!$C$94,$G199&lt;=Control!$C$95),(Control!$C$93-Control!$C$92)*(Control!$C$94-$G199)/(Control!$C$95-Control!$C$94))))))</f>
        <v>#N/A</v>
      </c>
      <c r="CC199" s="140" t="e">
        <f t="shared" ref="CC199:CC262" ca="1" si="830">IF($CA199=1,$CC198+$CB199,0)</f>
        <v>#N/A</v>
      </c>
      <c r="CD199" s="140" t="e">
        <f ca="1">IF($CC199&lt;=Control!$C$90,$CC199,Control!$C$90-$CC199)</f>
        <v>#N/A</v>
      </c>
      <c r="CE199" s="140" t="e">
        <f ca="1">IF(AND($BB199&gt;=60,$BB199&lt;65),1,IF($CC199&gt;=Control!$C$90,0,$CA199))</f>
        <v>#N/A</v>
      </c>
      <c r="CF199" s="404" t="e">
        <f ca="1">IF($CE199=0,0,IF($CC199&lt;=Control!$C$90,$CA199*(60+(65-60)*(CD199/Control!$C$90)),0))</f>
        <v>#N/A</v>
      </c>
      <c r="CG199" s="140" t="e">
        <f ca="1">IF($BG199+$BM199+$BS199+$BY199+$CE199=1,0,IF(OR(AND($BB199&lt;90,$BB199&gt;=65),$CC199&gt;=Control!$C$90),$BA199,$CK198))</f>
        <v>#N/A</v>
      </c>
      <c r="CH199" s="140" t="e">
        <f ca="1">IF($CD199&lt;0,-$CD199,$CG199*IF(OR($G199&lt;Control!$C$92,$G199&gt;Control!$C$95),0,IF(AND($G199&gt;=Control!$C$92,$G199&lt;=Control!$C$93),$G199-Control!$C$92,IF(AND($G199&gt;Control!$C$93,$G199&lt;=Control!$C$94),Control!$C$93-Control!$C$92,IF(AND($G199&gt;Control!$C$94,$G199&lt;=Control!$C$95),(Control!$C$93-Control!$C$92)*(Control!$C$94-$G199)/(Control!$C$95-Control!$C$94))))))</f>
        <v>#N/A</v>
      </c>
      <c r="CI199" s="140" t="e">
        <f t="shared" ref="CI199:CI262" ca="1" si="831">IF($CG199=1,$CI198+$CH199,0)</f>
        <v>#N/A</v>
      </c>
      <c r="CJ199" s="140" t="e">
        <f ca="1">IF($CI199&lt;=Control!$C$91,$CI199,Control!$C$91-$CI199)</f>
        <v>#N/A</v>
      </c>
      <c r="CK199" s="140" t="e">
        <f ca="1">IF(AND($BB199&gt;=65,$BB199&lt;90),1,IF($CI199&gt;=Control!$C$91,0,$CG199))</f>
        <v>#N/A</v>
      </c>
      <c r="CL199" s="404" t="e">
        <f ca="1">IF($CK199=0,0,IF($CI199&lt;=Control!$C$91,$CG199*(65+(90-65)*($CJ199/Control!$C$91)),0))</f>
        <v>#N/A</v>
      </c>
      <c r="CM199" s="140" t="e">
        <f ca="1">IF($BG199+$BM199+$BS199+$BY199+$CE199+$CK199=1,0,IF(OR($BB199&gt;=90,$CI199&gt;=Control!$C$91),$BA199,$CM198))</f>
        <v>#N/A</v>
      </c>
      <c r="CN199" s="140" t="e">
        <f t="shared" ref="CN199:CN262" ca="1" si="832">CM199*90</f>
        <v>#N/A</v>
      </c>
      <c r="CO199" s="140" t="e">
        <f t="shared" ref="CO199:CO262" ca="1" si="833">MAX(0.0001,$BF199+$BL199+$BR199+$BX199+$CD199+$CJ199)</f>
        <v>#N/A</v>
      </c>
      <c r="CP199" s="140" t="e">
        <f t="shared" ref="CP199:CP262" ca="1" si="834">BH199+BN199+BT199+BZ199+CF199+CL199+CN199</f>
        <v>#N/A</v>
      </c>
      <c r="CQ199" s="141" t="e">
        <f ca="1">VLOOKUP($CP199,Control!$B$86:$G$91,6)</f>
        <v>#N/A</v>
      </c>
      <c r="CR199" s="141" t="e">
        <f ca="1">(1-$CQ199)*VLOOKUP($CP199,Control!$B$86:$D$91,3)</f>
        <v>#N/A</v>
      </c>
      <c r="CS199" s="141" t="e">
        <f ca="1">(1-$CQ199)*VLOOKUP($CP199,Control!$B$86:$E$91,4)</f>
        <v>#N/A</v>
      </c>
      <c r="CT199" s="141" t="e">
        <f ca="1">(1-$CQ199)*VLOOKUP($CP199,Control!$B$86:$F$91,5)</f>
        <v>#N/A</v>
      </c>
      <c r="CU199" s="141">
        <f t="shared" ref="CU199:CU262" ca="1" si="835">$CU198+$T198</f>
        <v>0</v>
      </c>
      <c r="CV199" s="583">
        <f t="shared" ref="CV199:CV262" ca="1" si="836">$CV198+$U198</f>
        <v>0</v>
      </c>
      <c r="CW199" s="142">
        <f t="shared" ref="CW199:CW262" ca="1" si="837">$AG199</f>
        <v>195</v>
      </c>
      <c r="CX199" s="612" t="e">
        <f ca="1">IF(Control!$C$114=1,(MIN(Control!$C$120*(IF($NT199-0.01&lt;0,0,1)),Control!$C$119-$CY199)))</f>
        <v>#DIV/0!</v>
      </c>
      <c r="CY199" s="143" t="e">
        <f t="shared" ref="CY199:CY262" ca="1" si="838">$CY198+$CX198</f>
        <v>#N/A</v>
      </c>
      <c r="CZ199" s="144">
        <f t="shared" ca="1" si="715"/>
        <v>0</v>
      </c>
      <c r="DA199" s="144">
        <f t="shared" ca="1" si="716"/>
        <v>0</v>
      </c>
      <c r="DB199" s="144" t="e">
        <f t="shared" ca="1" si="717"/>
        <v>#N/A</v>
      </c>
      <c r="DC199" s="144" t="e">
        <f t="shared" ca="1" si="718"/>
        <v>#N/A</v>
      </c>
      <c r="DD199" s="144" t="e">
        <f t="shared" ca="1" si="692"/>
        <v>#N/A</v>
      </c>
      <c r="DE199" s="143" t="e">
        <f t="shared" ref="DE199:DE262" ca="1" si="839">$DE198+$DD198</f>
        <v>#N/A</v>
      </c>
      <c r="DF199" s="145" t="e">
        <f ca="1">$DR199*EXP(-Control!$C$158*(1-$KH199))</f>
        <v>#N/A</v>
      </c>
      <c r="DG199" s="146" t="e">
        <f ca="1">IF(Control!$C$114=1, $DF199*$EY199, 0)</f>
        <v>#N/A</v>
      </c>
      <c r="DH199" s="147" t="e">
        <f t="shared" ref="DH199:DH262" ca="1" si="840">$DG199-$DZ199</f>
        <v>#N/A</v>
      </c>
      <c r="DI199" s="144" t="e">
        <f t="shared" ca="1" si="670"/>
        <v>#N/A</v>
      </c>
      <c r="DJ199" s="147" t="e">
        <f ca="1">$EF199*Control!$C$109</f>
        <v>#N/A</v>
      </c>
      <c r="DK199" s="144" t="e">
        <f t="shared" ref="DK199:DK262" ca="1" si="841">$DI199+$DJ199</f>
        <v>#N/A</v>
      </c>
      <c r="DL199" s="144" t="e">
        <f t="shared" ca="1" si="719"/>
        <v>#N/A</v>
      </c>
      <c r="DM199" s="144" t="e">
        <f ca="1">IF(Control!$C$114=1, (1-EXP(-Control!$C$96*$DK199))*$AR199, 0)</f>
        <v>#N/A</v>
      </c>
      <c r="DN199" s="144">
        <f t="shared" ref="DN199:DN262" ca="1" si="842">$DN198+$AR198</f>
        <v>0</v>
      </c>
      <c r="DO199" s="148">
        <f>Control!$C$97</f>
        <v>4</v>
      </c>
      <c r="DP199" s="145" t="e">
        <f t="shared" ref="DP199:DP262" ca="1" si="843">$DI199/MAX(0.1,$EB199)</f>
        <v>#N/A</v>
      </c>
      <c r="DQ199" s="145" t="e">
        <f ca="1">IF(AND($CP199&gt;=0,$CP199&lt;=90),Control!$C$111,Control!$C$111)</f>
        <v>#N/A</v>
      </c>
      <c r="DR199" s="145" t="e">
        <f t="shared" ca="1" si="720"/>
        <v>#N/A</v>
      </c>
      <c r="DS199" s="143" t="e">
        <f ca="1">Control!$B$22/$DR199</f>
        <v>#N/A</v>
      </c>
      <c r="DT199" s="149" t="e">
        <f ca="1">IF(AND(Control!$C$114=1,$KH199&lt;1),$IM199*$DF199, 0)</f>
        <v>#N/A</v>
      </c>
      <c r="DU199" s="144" t="e">
        <f t="shared" ref="DU199:DU262" ca="1" si="844">$DU198+$DW198</f>
        <v>#N/A</v>
      </c>
      <c r="DV199" s="144">
        <f ca="1">IF($G199-Control!$C$107&lt;=0, 0, 0.83*LN(MAX($G199, 3))-0.8924)</f>
        <v>0</v>
      </c>
      <c r="DW199" s="144" t="e">
        <f t="shared" ca="1" si="721"/>
        <v>#N/A</v>
      </c>
      <c r="DX199" s="150" t="e">
        <f ca="1">MAX(0.01*(1+$CU199/Control!$C$102),0.05*($DK199-Control!$C$97)/Control!$C$97)</f>
        <v>#N/A</v>
      </c>
      <c r="DY199" s="151" t="e">
        <f ca="1">IF(Control!$C$114=1, $DI199*$FS199, 0)</f>
        <v>#N/A</v>
      </c>
      <c r="DZ199" s="196" t="e">
        <f t="shared" ref="DZ199:DZ262" ca="1" si="845">IF($EN199&lt;=0, MIN(($DI199-0.08), $DY199+$DT199), $EN199*$DP199)</f>
        <v>#N/A</v>
      </c>
      <c r="EA199" s="152">
        <f t="shared" ref="EA199:EA262" ca="1" si="846">$AG199</f>
        <v>195</v>
      </c>
      <c r="EB199" s="153" t="e">
        <f t="shared" ref="EB199:EB262" ca="1" si="847">$EB198+$ED198</f>
        <v>#N/A</v>
      </c>
      <c r="EC199" s="153" t="e">
        <f t="shared" ref="EC199:EC262" ca="1" si="848">$EL199+$FM199+$FG199</f>
        <v>#N/A</v>
      </c>
      <c r="ED199" s="154" t="e">
        <f ca="1">IF(Control!$C$114=1, $HM199*$FY199-$FD199, 0)</f>
        <v>#DIV/0!</v>
      </c>
      <c r="EE199" s="155" t="e">
        <f ca="1">IF(Control!$C$114=1, $HM199*$FZ199-$FF199, 0)</f>
        <v>#DIV/0!</v>
      </c>
      <c r="EF199" s="153" t="e">
        <f t="shared" ca="1" si="671"/>
        <v>#N/A</v>
      </c>
      <c r="EG199" s="155" t="e">
        <f ca="1">IF(Control!$C$114=1, $GX199*$FW199-$FI199, 0)</f>
        <v>#DIV/0!</v>
      </c>
      <c r="EH199" s="153" t="e">
        <f t="shared" ref="EH199:EH262" ca="1" si="849">$EH198+$EG198</f>
        <v>#N/A</v>
      </c>
      <c r="EI199" s="156" t="e">
        <f t="shared" ref="EI199:EI262" ca="1" si="850">-$EH199</f>
        <v>#N/A</v>
      </c>
      <c r="EJ199" s="155" t="e">
        <f ca="1">IF(Control!$C$114=1, $HM199*$GB199, 0)</f>
        <v>#DIV/0!</v>
      </c>
      <c r="EK199" s="153" t="e">
        <f t="shared" ca="1" si="672"/>
        <v>#N/A</v>
      </c>
      <c r="EL199" s="153" t="e">
        <f t="shared" ca="1" si="722"/>
        <v>#N/A</v>
      </c>
      <c r="EM199" s="153" t="e">
        <f t="shared" ca="1" si="723"/>
        <v>#N/A</v>
      </c>
      <c r="EN199" s="153" t="e">
        <f ca="1">IF(Control!$C$108=1,IF(AND(Control!$B$18=1,$EB199&gt;=Control!$B$19),$EB199-$DS199,IF(AND(Control!$B$18=2,$AW199=1,$EB199&gt;$DS199),$EB199-$DS199,0)))</f>
        <v>#N/A</v>
      </c>
      <c r="EO199" s="153" t="e">
        <f ca="1">IF(Control!$C$108=1,IF(AND(Control!$B$18=1,$EB199&gt;=Control!$B$19),$EF199,IF(AND(Control!$B$18=2,$AW199=1),$EF199,0)))</f>
        <v>#N/A</v>
      </c>
      <c r="EP199" s="153" t="e">
        <f ca="1">IF(Control!$C$108=1,IF(AND(Control!$B$18=1,$EB199&gt;=Control!$B$19),$EK199,IF(AND(Control!$B$18=2,$AW199=1),$EK199,0)))</f>
        <v>#N/A</v>
      </c>
      <c r="EQ199" s="153" t="e">
        <f t="shared" ref="EQ199:EQ262" ca="1" si="851">$EN199+$EO199+$EP199</f>
        <v>#N/A</v>
      </c>
      <c r="ER199" s="153" t="e">
        <f t="shared" ref="ER199:ER262" ca="1" si="852">$ER198+$EN198</f>
        <v>#N/A</v>
      </c>
      <c r="ES199" s="153" t="e">
        <f t="shared" ca="1" si="673"/>
        <v>#N/A</v>
      </c>
      <c r="ET199" s="153" t="e">
        <f t="shared" ca="1" si="674"/>
        <v>#N/A</v>
      </c>
      <c r="EU199" s="153" t="e">
        <f t="shared" ref="EU199:EU262" ca="1" si="853">ER199+ES199+ET199</f>
        <v>#N/A</v>
      </c>
      <c r="EV199" s="153" t="e">
        <f t="shared" ca="1" si="724"/>
        <v>#N/A</v>
      </c>
      <c r="EW199" s="153" t="e">
        <f t="shared" ca="1" si="725"/>
        <v>#N/A</v>
      </c>
      <c r="EX199" s="153" t="e">
        <f t="shared" ca="1" si="726"/>
        <v>#N/A</v>
      </c>
      <c r="EY199" s="157" t="e">
        <f t="shared" ca="1" si="727"/>
        <v>#DIV/0!</v>
      </c>
      <c r="EZ199" s="154" t="e">
        <f t="shared" ca="1" si="728"/>
        <v>#DIV/0!</v>
      </c>
      <c r="FA199" s="153" t="e">
        <f t="shared" ref="FA199:FA262" ca="1" si="854">$FA198+$HC198</f>
        <v>#N/A</v>
      </c>
      <c r="FB199" s="153" t="e">
        <f t="shared" ca="1" si="729"/>
        <v>#N/A</v>
      </c>
      <c r="FC199" s="193" t="e">
        <f t="shared" ca="1" si="730"/>
        <v>#N/A</v>
      </c>
      <c r="FD199" s="158" t="e">
        <f t="shared" ref="FD199:FD262" ca="1" si="855">IF($EN199&lt;=0, MIN(($DI199-0.08)/$DF199, $HY199+$IM199), $EN199)</f>
        <v>#N/A</v>
      </c>
      <c r="FE199" s="158" t="e">
        <f t="shared" ref="FE199:FE262" ca="1" si="856">IF(AND($CP199&gt;=0, $CP199&lt;=90),0,0)</f>
        <v>#N/A</v>
      </c>
      <c r="FF199" s="159" t="e">
        <f t="shared" ca="1" si="731"/>
        <v>#N/A</v>
      </c>
      <c r="FG199" s="160" t="e">
        <f t="shared" ref="FG199:FG262" ca="1" si="857">$FG198+$FF198</f>
        <v>#N/A</v>
      </c>
      <c r="FH199" s="158" t="e">
        <f t="shared" ref="FH199:FH262" ca="1" si="858">IF(AND($CP199&gt;=0, $CP199&lt;=90), 0,0)</f>
        <v>#N/A</v>
      </c>
      <c r="FI199" s="159" t="e">
        <f t="shared" ca="1" si="732"/>
        <v>#N/A</v>
      </c>
      <c r="FJ199" s="160" t="e">
        <f t="shared" ref="FJ199:FJ262" ca="1" si="859">$FJ198+$FI198</f>
        <v>#N/A</v>
      </c>
      <c r="FK199" s="160" t="e">
        <f t="shared" ca="1" si="733"/>
        <v>#N/A</v>
      </c>
      <c r="FL199" s="160" t="e">
        <f t="shared" ca="1" si="675"/>
        <v>#N/A</v>
      </c>
      <c r="FM199" s="160" t="e">
        <f t="shared" ca="1" si="734"/>
        <v>#N/A</v>
      </c>
      <c r="FN199" s="158">
        <f t="shared" ref="FN199:FN262" ca="1" si="860">IF(AND($G199&lt;=50,$G199&gt;=30),(0.05+($G199-30)*((0.09-0.05)/(50-30))),IF(AND($G199&lt;30,$G199&gt;=15),(0.02+($G199-15)*((0.05-0.02)/(30-15))),IF(AND($G199&lt;15,$G199&gt;=10),(0.01+($G199-10)*((0.02-0.01)/(15-10))),IF(AND($G199&lt;10,$G199&gt;=-10),($G199+10)*((0.02-0)/(10+10)),IF($G199=-10,0)))))</f>
        <v>0.01</v>
      </c>
      <c r="FO199" s="160">
        <f>Control!$C$101</f>
        <v>50</v>
      </c>
      <c r="FP199" s="150" t="e">
        <f t="shared" ca="1" si="735"/>
        <v>#N/A</v>
      </c>
      <c r="FQ199" s="150" t="e">
        <f ca="1">MAX(0,(Control!$C$112*(($DK199-Control!$C$97)/Control!$C$97)))</f>
        <v>#N/A</v>
      </c>
      <c r="FR199" s="150" t="e">
        <f ca="1">(1-$NT199)*Control!$C$113</f>
        <v>#DIV/0!</v>
      </c>
      <c r="FS199" s="198" t="e">
        <f t="shared" ca="1" si="736"/>
        <v>#N/A</v>
      </c>
      <c r="FT199" s="161">
        <f t="shared" ref="FT199:FT262" ca="1" si="861">$AG199</f>
        <v>195</v>
      </c>
      <c r="FU199" s="162" t="e">
        <f ca="1">IF(Control!$B$34=1,VLOOKUP($CP199,Control!$B$86:$G$91,6),Control!$B$35)</f>
        <v>#N/A</v>
      </c>
      <c r="FV199" s="162" t="e">
        <f t="shared" ca="1" si="737"/>
        <v>#DIV/0!</v>
      </c>
      <c r="FW199" s="162" t="e">
        <f ca="1">IF(Control!$B$31=1,$FU199*$FV199,  $FU199)</f>
        <v>#N/A</v>
      </c>
      <c r="FX199" s="162" t="e">
        <f ca="1">IF(Control!$B$34=1,VLOOKUP($CP199,Control!$B$86:$G$91,3),Control!$B$36)</f>
        <v>#N/A</v>
      </c>
      <c r="FY199" s="162" t="e">
        <f t="shared" ca="1" si="738"/>
        <v>#N/A</v>
      </c>
      <c r="FZ199" s="162" t="e">
        <f ca="1">IF(Control!$B$34=1,VLOOKUP($CP199,Control!$B$86:$G$91,4),Control!$B$37)</f>
        <v>#N/A</v>
      </c>
      <c r="GA199" s="162" t="e">
        <f t="shared" ca="1" si="739"/>
        <v>#N/A</v>
      </c>
      <c r="GB199" s="162" t="e">
        <f ca="1">IF(Control!$B$34=1,VLOOKUP($CP199,Control!$B$86:$G$91,5),Control!$B$38)</f>
        <v>#N/A</v>
      </c>
      <c r="GC199" s="162" t="e">
        <f t="shared" ref="GC199:GC262" ca="1" si="862">$GB199</f>
        <v>#N/A</v>
      </c>
      <c r="GD199" s="162">
        <f t="shared" ca="1" si="740"/>
        <v>1</v>
      </c>
      <c r="GE199" s="162">
        <f t="shared" ca="1" si="741"/>
        <v>1</v>
      </c>
      <c r="GF199" s="162">
        <f ca="1">IF(AND(Control!$C$104=1, Control!$C$62="F"),$GE199,1)</f>
        <v>1</v>
      </c>
      <c r="GG199" s="162" t="e">
        <f ca="1">IF(Control!$B$16=40,0,IF(AND(Control!$B$16&gt;40,Control!$B$16&lt;=360),(Control!$B$16-40)*((1-0)/(360-40)),IF(AND(Control!$B$16&gt;360,Control!$B$16&lt;=720),(1+(Control!$B$16-360)*((1.25-1)/(720-360))),IF(AND(Control!$B$16&gt;720,Control!$B$16&lt;=1000),(1.25+(Control!$B$16-720)*((1.35-1.25)/(1000-720))),IF(AND(Control!$B$16&gt;1000,Control!$B$16&lt;=2000),(1.35+(Control!$B$16-1000)*0))))))</f>
        <v>#N/A</v>
      </c>
      <c r="GH199" s="162" t="e">
        <f t="shared" ca="1" si="742"/>
        <v>#N/A</v>
      </c>
      <c r="GI199" s="162">
        <f t="shared" ref="GI199:GI262" ca="1" si="863">IF($E199&lt;=0,0,IF(AND($E199&gt;=3,$E199&lt;=30),1,(($E199-0)*((1-0)/(3-0)))))</f>
        <v>0</v>
      </c>
      <c r="GJ199" s="162">
        <f t="shared" ca="1" si="743"/>
        <v>0</v>
      </c>
      <c r="GK199" s="162">
        <f t="shared" ref="GK199:GK262" ca="1" si="864">IF(AND($AR199&gt;=0,$AR199&lt;=10),1,IF(AND($AR199&gt;=40,$AR199&lt;=42),0.33,((1+($AR199-10)*((0.33-1)/(40-10))))))</f>
        <v>1</v>
      </c>
      <c r="GL199" s="162">
        <f t="shared" ca="1" si="744"/>
        <v>1</v>
      </c>
      <c r="GM199" s="162" t="e">
        <f ca="1">MAX(0,MIN(1,1-Control!$C$156*(1.0001-$KH199)^2))</f>
        <v>#N/A</v>
      </c>
      <c r="GN199" s="162" t="e">
        <f ca="1">IF(Control!$B$26=1,$KU199,$KX199)</f>
        <v>#N/A</v>
      </c>
      <c r="GO199" s="162" t="e">
        <f ca="1">IF($CP199&lt;=60,Control!$C$105,IF($CP199&gt;=90,Control!$C$106,Control!$C$105+($CP199-60)*((Control!$C$106-Control!$C$105)/(90-60))))</f>
        <v>#N/A</v>
      </c>
      <c r="GP199" s="162" t="e">
        <f t="shared" ca="1" si="745"/>
        <v>#N/A</v>
      </c>
      <c r="GQ199" s="162" t="e">
        <f t="shared" ref="GQ199:GQ262" ca="1" si="865">GN199*GO199*GP199</f>
        <v>#N/A</v>
      </c>
      <c r="GR199" s="163" t="e">
        <f t="shared" ca="1" si="746"/>
        <v>#DIV/0!</v>
      </c>
      <c r="GS199" s="162" t="e">
        <f t="shared" ca="1" si="747"/>
        <v>#DIV/0!</v>
      </c>
      <c r="GT199" s="164" t="e">
        <f t="shared" ref="GT199:GT262" ca="1" si="866">($DE199*10000*($DV199*0.31))*0.00000001</f>
        <v>#N/A</v>
      </c>
      <c r="GU199" s="162" t="e">
        <f t="shared" ref="GU199:GU262" ca="1" si="867">IF($EN199&lt;=0,$GT199*(1/$DF199),0)</f>
        <v>#N/A</v>
      </c>
      <c r="GV199" s="162" t="e">
        <f t="shared" ca="1" si="748"/>
        <v>#N/A</v>
      </c>
      <c r="GW199" s="162" t="e">
        <f t="shared" ca="1" si="749"/>
        <v>#DIV/0!</v>
      </c>
      <c r="GX199" s="162" t="e">
        <f t="shared" ref="GX199:GX262" ca="1" si="868">IF($GS199-$GV199&lt;=0, $GS199, $GV199)</f>
        <v>#DIV/0!</v>
      </c>
      <c r="GY199" s="162" t="e">
        <f t="shared" ref="GY199:GY262" ca="1" si="869">IF($GS199-$GU199&lt;=0, $GS199, $GU199)</f>
        <v>#DIV/0!</v>
      </c>
      <c r="GZ199" s="165" t="e">
        <f t="shared" ca="1" si="750"/>
        <v>#N/A</v>
      </c>
      <c r="HA199" s="162" t="e">
        <f ca="1">IF(Control!$C$114=1, $DI199*$FS199, 0)</f>
        <v>#N/A</v>
      </c>
      <c r="HB199" s="162" t="e">
        <f ca="1">$FA199/Control!$C$64</f>
        <v>#N/A</v>
      </c>
      <c r="HC199" s="162" t="e">
        <f t="shared" ca="1" si="751"/>
        <v>#DIV/0!</v>
      </c>
      <c r="HD199" s="162">
        <f ca="1">-ASIN(SIN(23.45*Control!$C$139)*COS(2*Control!$C$138*($AH199+10)/365))</f>
        <v>0.37736275950346415</v>
      </c>
      <c r="HE199" s="165">
        <f t="shared" ref="HE199:HE262" ca="1" si="870">$HE198+$V199</f>
        <v>0</v>
      </c>
      <c r="HF199" s="166">
        <f ca="1">IF(AND(Control!$C$61="T",$HE199&gt;=Control!$C$103,Control!$C$114=0),$AH199,Control!$C$59)</f>
        <v>1</v>
      </c>
      <c r="HG199" s="166">
        <f ca="1">IF(AND(Control!$C$61="T",$HE199&gt;=Control!$C$103,Control!$C$114=0),$HF199,Control!$C$59)</f>
        <v>1</v>
      </c>
      <c r="HH199" s="165">
        <f ca="1">IF(AND(OR(Control!$C$60&lt;=0, $AH199= Control!$C$59, Control!$C$60 &gt;0, $AH199 = Control!$C$60)), Control!$C$59, IF(Control!$C$60&gt;0, 0))</f>
        <v>1</v>
      </c>
      <c r="HI199" s="165">
        <f ca="1">IF(AND(OR(Control!$C$60&lt;=0, $AH199= Control!$C$59, Control!$C$60 &gt;0, $AH199 = Control!$C$60)), Control!$C$60, IF(Control!$C$60&lt;=0, 0))</f>
        <v>0</v>
      </c>
      <c r="HJ199" s="166">
        <f ca="1">IF(AND(Control!$C$62="F",$CV199&gt;=Control!$C$102),$AH199,0)</f>
        <v>0</v>
      </c>
      <c r="HK199" s="165" t="e">
        <f t="shared" ca="1" si="676"/>
        <v>#N/A</v>
      </c>
      <c r="HL199" s="166">
        <f ca="1">IF(AND(Control!$C$61="T",$HE199&gt;=Control!$C$103,Control!$C$114=0),$HF199,0)</f>
        <v>0</v>
      </c>
      <c r="HM199" s="201" t="e">
        <f t="shared" ca="1" si="752"/>
        <v>#DIV/0!</v>
      </c>
      <c r="HN199" s="215">
        <f t="shared" ref="HN199:HN262" ca="1" si="871">$CW199</f>
        <v>195</v>
      </c>
      <c r="HO199" s="216" t="e">
        <f ca="1">IF(AND($CP199&gt;=0, $CP199&lt;=90), Control!$C$152, Control!$C$152)</f>
        <v>#N/A</v>
      </c>
      <c r="HP199" s="216" t="e">
        <f t="shared" ca="1" si="753"/>
        <v>#N/A</v>
      </c>
      <c r="HQ199" s="217" t="e">
        <f ca="1">IF(OR(Control!$B$26=1,Control!$B$26=2),$KV199,$KS199)</f>
        <v>#DIV/0!</v>
      </c>
      <c r="HR199" s="218" t="e">
        <f t="shared" ca="1" si="677"/>
        <v>#DIV/0!</v>
      </c>
      <c r="HS199" s="216" t="e">
        <f ca="1">Control!$C$154*$HP199</f>
        <v>#N/A</v>
      </c>
      <c r="HT199" s="216" t="e">
        <f ca="1">Control!$C$155*$HP199</f>
        <v>#N/A</v>
      </c>
      <c r="HU199" s="217" t="e">
        <f ca="1">Control!$C$161*$FI199</f>
        <v>#N/A</v>
      </c>
      <c r="HV199" s="218" t="e">
        <f t="shared" ref="HV199:HV262" ca="1" si="872">$HV198+$HU198</f>
        <v>#N/A</v>
      </c>
      <c r="HW199" s="218" t="e">
        <f ca="1">Control!$C$160*$FF199+$IP199*$EO199</f>
        <v>#N/A</v>
      </c>
      <c r="HX199" s="218" t="e">
        <f t="shared" ca="1" si="678"/>
        <v>#N/A</v>
      </c>
      <c r="HY199" s="219" t="e">
        <f ca="1">IF(Control!$C$114=1, $EB199*$FS199, 0)</f>
        <v>#N/A</v>
      </c>
      <c r="HZ199" s="91" t="e">
        <f t="shared" ca="1" si="754"/>
        <v>#N/A</v>
      </c>
      <c r="IA199" s="220" t="e">
        <f ca="1">Control!$C$153*$HO199</f>
        <v>#N/A</v>
      </c>
      <c r="IB199" s="218" t="e">
        <f t="shared" ca="1" si="755"/>
        <v>#N/A</v>
      </c>
      <c r="IC199" s="220" t="e">
        <f ca="1">Control!$C$153*$HT199</f>
        <v>#N/A</v>
      </c>
      <c r="ID199" s="218" t="e">
        <f t="shared" ca="1" si="756"/>
        <v>#N/A</v>
      </c>
      <c r="IE199" s="221" t="e">
        <f ca="1">($EB199*Control!$C$159+$EF199*Control!$C$160)/(IF($GZ199&lt;&gt;0,$GZ199,1))</f>
        <v>#N/A</v>
      </c>
      <c r="IF199" s="216" t="e">
        <f t="shared" ca="1" si="757"/>
        <v>#N/A</v>
      </c>
      <c r="IG199" s="91">
        <f ca="1">IF(OR(Control!$B$198=$AH199,Control!$B$199=$AH199, Control!$B$200=$AH199, Control!$B$201=$AH199, Control!$B$202=$AH199, Control!$B$203=$AH199, Control!$B$204=$AH199, Control!$B$205=$AH199, Control!$B$206=$AH199, Control!$B$207=$AH199), 1, 0)</f>
        <v>0</v>
      </c>
      <c r="IH199" s="91">
        <f ca="1">IF($IG199=0,0, VLOOKUP($AH199,Control!$B$198:$C$207,2))</f>
        <v>0</v>
      </c>
      <c r="II199" s="222">
        <f t="shared" ref="II199:II262" ca="1" si="873">$II198+$IH199</f>
        <v>0</v>
      </c>
      <c r="IJ199" s="91">
        <f>Control!$C$121</f>
        <v>0.7</v>
      </c>
      <c r="IK199" s="218">
        <f t="shared" ca="1" si="758"/>
        <v>0</v>
      </c>
      <c r="IL199" s="217" t="e">
        <f t="shared" ca="1" si="679"/>
        <v>#N/A</v>
      </c>
      <c r="IM199" s="223" t="e">
        <f ca="1">IF(AND(Control!$C$114=1,$KH199&lt;1),$EB199*Control!$C$148*(1-$KH199), 0)</f>
        <v>#N/A</v>
      </c>
      <c r="IN199" s="217" t="e">
        <f t="shared" ca="1" si="759"/>
        <v>#DIV/0!</v>
      </c>
      <c r="IO199" s="91" t="e">
        <f ca="1">MAX(0,$IL199-$EF199*Control!$C$160)</f>
        <v>#N/A</v>
      </c>
      <c r="IP199" s="220" t="e">
        <f t="shared" ca="1" si="760"/>
        <v>#N/A</v>
      </c>
      <c r="IQ199" s="217" t="e">
        <f t="shared" ref="IQ199:IQ262" ca="1" si="874">$IQ198+$KF198</f>
        <v>#N/A</v>
      </c>
      <c r="IR199" s="218" t="e">
        <f t="shared" ca="1" si="761"/>
        <v>#N/A</v>
      </c>
      <c r="IS199" s="217" t="e">
        <f ca="1">Control!$C$159*MAX(0,$FD199-$EN199)</f>
        <v>#N/A</v>
      </c>
      <c r="IT199" s="217" t="e">
        <f t="shared" ca="1" si="680"/>
        <v>#N/A</v>
      </c>
      <c r="IU199" s="217" t="e">
        <f t="shared" ref="IU199:IU262" ca="1" si="875">$KG199*$EN199</f>
        <v>#N/A</v>
      </c>
      <c r="IV199" s="217" t="e">
        <f t="shared" ca="1" si="681"/>
        <v>#N/A</v>
      </c>
      <c r="IW199" s="217" t="e">
        <f ca="1">IF(OR($AW199=1,AND($AW199=0, Control!$B$18=1,$EN199&lt;&gt;0)), $IQ199-$IU199, $IQ199)</f>
        <v>#N/A</v>
      </c>
      <c r="IX199" s="218" t="e">
        <f t="shared" ca="1" si="762"/>
        <v>#N/A</v>
      </c>
      <c r="IY199" s="218" t="e">
        <f ca="1">MAX(0,$IQ199-$EB199*Control!$C$159)</f>
        <v>#N/A</v>
      </c>
      <c r="IZ199" s="218" t="e">
        <f t="shared" ca="1" si="763"/>
        <v>#N/A</v>
      </c>
      <c r="JA199" s="216" t="e">
        <f t="shared" ca="1" si="764"/>
        <v>#N/A</v>
      </c>
      <c r="JB199" s="217" t="e">
        <f t="shared" ca="1" si="765"/>
        <v>#N/A</v>
      </c>
      <c r="JC199" s="222" t="e">
        <f ca="1">MAX(Control!$C$157*$EK199-$JT199, 0)/Control!$C$162</f>
        <v>#N/A</v>
      </c>
      <c r="JD199" s="218" t="e">
        <f t="shared" ca="1" si="766"/>
        <v>#N/A</v>
      </c>
      <c r="JE199" s="218" t="e">
        <f t="shared" ca="1" si="767"/>
        <v>#N/A</v>
      </c>
      <c r="JF199" s="218" t="e">
        <f t="shared" ref="JF199:JF262" ca="1" si="876">$JF198+$JV198</f>
        <v>#N/A</v>
      </c>
      <c r="JG199" s="218" t="e">
        <f t="shared" ca="1" si="768"/>
        <v>#N/A</v>
      </c>
      <c r="JH199" s="217" t="e">
        <f t="shared" ref="JH199:JH262" ca="1" si="877">$IS199</f>
        <v>#N/A</v>
      </c>
      <c r="JI199" s="217" t="e">
        <f t="shared" ref="JI199:JI262" ca="1" si="878">MAX(0, $IZ199+$JB199+$JG199-JH199)</f>
        <v>#N/A</v>
      </c>
      <c r="JJ199" s="217" t="e">
        <f t="shared" ca="1" si="682"/>
        <v>#N/A</v>
      </c>
      <c r="JK199" s="217" t="e">
        <f ca="1">IF(Control!$C$114=1,IF(Control!$B$24=0,MAX(0,$JI199)*$GN199/Control!$C$64,(MAX(0,MIN($JI199,$JJ199*$GN199/Control!$C$64),0))))</f>
        <v>#N/A</v>
      </c>
      <c r="JL199" s="217" t="e">
        <f ca="1">$IK199/Control!$C$64-$JK199+$HQ199</f>
        <v>#N/A</v>
      </c>
      <c r="JM199" s="217" t="e">
        <f ca="1">IF(Control!$C$114=1,($JB199/(IF($JI199&lt;&gt;0,$JI199,1)))*$JK199,0)</f>
        <v>#N/A</v>
      </c>
      <c r="JN199" s="217" t="e">
        <f ca="1">IF(Control!$C$114=1,($JG199/(IF($JI199&lt;&gt;0,$JI199,1)))*$JK199, 0)</f>
        <v>#N/A</v>
      </c>
      <c r="JO199" s="218" t="e">
        <f t="shared" ca="1" si="769"/>
        <v>#N/A</v>
      </c>
      <c r="JP199" s="218" t="e">
        <f ca="1">MIN(($IY199+$IO199)*Control!$C$151, $JF199-$EH199*Control!$C$161)</f>
        <v>#N/A</v>
      </c>
      <c r="JQ199" s="218" t="e">
        <f t="shared" ca="1" si="770"/>
        <v>#N/A</v>
      </c>
      <c r="JR199" s="217" t="e">
        <f ca="1">IF($CP199-Control!$C$150&lt;0, 0, $JQ199/Control!$C$162)</f>
        <v>#N/A</v>
      </c>
      <c r="JS199" s="218" t="e">
        <f t="shared" ca="1" si="771"/>
        <v>#N/A</v>
      </c>
      <c r="JT199" s="218" t="e">
        <f t="shared" ref="JT199:JT262" ca="1" si="879">$JT198+$JS198</f>
        <v>#N/A</v>
      </c>
      <c r="JU199" s="218" t="e">
        <f t="shared" ca="1" si="772"/>
        <v>#N/A</v>
      </c>
      <c r="JV199" s="218" t="e">
        <f t="shared" ca="1" si="773"/>
        <v>#N/A</v>
      </c>
      <c r="JW199" s="216" t="e">
        <f t="shared" ca="1" si="774"/>
        <v>#N/A</v>
      </c>
      <c r="JX199" s="91" t="e">
        <f t="shared" ca="1" si="775"/>
        <v>#N/A</v>
      </c>
      <c r="JY199" s="218" t="e">
        <f t="shared" ca="1" si="776"/>
        <v>#N/A</v>
      </c>
      <c r="JZ199" s="217" t="e">
        <f ca="1">IF(Control!$C$114=1,($IZ199/(IF($JI199&lt;&gt;0,$JI199,1)))*$JK199, 0)</f>
        <v>#N/A</v>
      </c>
      <c r="KA199" s="218" t="e">
        <f t="shared" ca="1" si="683"/>
        <v>#N/A</v>
      </c>
      <c r="KB199" s="218" t="e">
        <f t="shared" ref="KB199:KB262" ca="1" si="880">$IV199+$IW199+$HX199+$IL199+$JF199</f>
        <v>#N/A</v>
      </c>
      <c r="KC199" s="218" t="e">
        <f t="shared" ca="1" si="777"/>
        <v>#N/A</v>
      </c>
      <c r="KD199" s="218" t="e">
        <f t="shared" ca="1" si="778"/>
        <v>#N/A</v>
      </c>
      <c r="KE199" s="218" t="e">
        <f t="shared" ca="1" si="779"/>
        <v>#N/A</v>
      </c>
      <c r="KF199" s="218" t="e">
        <f t="shared" ca="1" si="780"/>
        <v>#N/A</v>
      </c>
      <c r="KG199" s="216" t="e">
        <f t="shared" ca="1" si="781"/>
        <v>#N/A</v>
      </c>
      <c r="KH199" s="221" t="e">
        <f ca="1">IF(Control!$B$24=0,1,MAX(0.001,MIN(1,IF(($IF199-$IE199)&lt;&gt;0,($KG199-$IE199)/($IF199-$IE199),1))))</f>
        <v>#N/A</v>
      </c>
      <c r="KI199" s="222" t="e">
        <f ca="1">IF(Control!$C$114=1, $KI198+ $KH198, 0)</f>
        <v>#N/A</v>
      </c>
      <c r="KJ199" s="217" t="e">
        <f t="shared" ca="1" si="782"/>
        <v>#N/A</v>
      </c>
      <c r="KK199" s="218" t="e">
        <f t="shared" ca="1" si="783"/>
        <v>#N/A</v>
      </c>
      <c r="KL199" s="274" t="e">
        <f ca="1">IF(Control!$B$26=3,4000000000*EXP(-8400/($G199+273)),IF(Control!$B$26=4,4000000000*EXP(-8400/($G199+273))*($KT199),0))</f>
        <v>#DIV/0!</v>
      </c>
      <c r="KM199" s="274" t="e">
        <f ca="1">IF(Control!$B$26=3,5600000000000*EXP(-9800/($G199+273)),IF(Control!$B$26=4,5600000000000*EXP(-9800/($G199+273))*$KT199,0))</f>
        <v>#DIV/0!</v>
      </c>
      <c r="KN199" s="454" t="e">
        <f t="shared" ref="KN199:KN262" ca="1" si="881">$KN198-$KN198*(1-EXP(-$KL198))</f>
        <v>#DIV/0!</v>
      </c>
      <c r="KO199" s="274" t="e">
        <f t="shared" ref="KO199:KO262" ca="1" si="882">$KO198-$KO198*(1-EXP(-$KM198))</f>
        <v>#DIV/0!</v>
      </c>
      <c r="KP199" s="454" t="e">
        <f t="shared" ca="1" si="784"/>
        <v>#DIV/0!</v>
      </c>
      <c r="KQ199" s="454" t="e">
        <f t="shared" ca="1" si="785"/>
        <v>#DIV/0!</v>
      </c>
      <c r="KR199" s="454" t="e">
        <f t="shared" ca="1" si="786"/>
        <v>#DIV/0!</v>
      </c>
      <c r="KS199" s="454" t="e">
        <f t="shared" ca="1" si="787"/>
        <v>#DIV/0!</v>
      </c>
      <c r="KT199" s="455" t="e">
        <f t="shared" ca="1" si="788"/>
        <v>#DIV/0!</v>
      </c>
      <c r="KU199" s="456" t="e">
        <f ca="1">IF($CP199-Control!$C$149&lt;0, IF($NT199-0.01&lt;0,0,1),0)</f>
        <v>#N/A</v>
      </c>
      <c r="KV199" s="456" t="e">
        <f ca="1">IF(Control!$C$114=1,MAX(0,MIN(Control!$C$125*$KW199*$GN199,$KW199)))</f>
        <v>#DIV/0!</v>
      </c>
      <c r="KW199" s="456" t="e">
        <f t="shared" ca="1" si="684"/>
        <v>#DIV/0!</v>
      </c>
      <c r="KX199" s="457" t="e">
        <f ca="1">IF($CP199-Control!$C$149&lt;0, IF($MR199-$OM199&lt;0,0,1),0)</f>
        <v>#N/A</v>
      </c>
      <c r="KY199" s="167">
        <f t="shared" ref="KY199:KY262" ca="1" si="883">$AG199</f>
        <v>195</v>
      </c>
      <c r="KZ199" s="168">
        <f ca="1">1370*(1+0.033*COS(2*Control!$C$138*$AH199/365))</f>
        <v>1325.8326865171894</v>
      </c>
      <c r="LA199" s="169">
        <f t="shared" ref="LA199:LA262" ca="1" si="884">1+0.033*COS((2*PI()/365)*$AH199)</f>
        <v>0.96776102973835298</v>
      </c>
      <c r="LB199" s="169">
        <f t="shared" ref="LB199:LB262" ca="1" si="885">0.409*SIN((2*PI()*$AH199/365)-1.39)</f>
        <v>0.37735213614377028</v>
      </c>
      <c r="LC199" s="169">
        <f ca="1">ACOS(-TAN((2*Control!$B$8/360))*TAN(Calculations!$LB199))</f>
        <v>1.688865634029854</v>
      </c>
      <c r="LD199" s="169">
        <f ca="1">((24*60)/PI())*0.082*$LA199*(($LC199*SIN(Control!$B$8*2*PI()/360))*SIN($LB199)+COS(Control!$B$8*2*PI()/360)*COS($LB199)*SIN($LC199))</f>
        <v>38.510345198194088</v>
      </c>
      <c r="LE199" s="170">
        <f t="shared" ca="1" si="789"/>
        <v>40.00962372532809</v>
      </c>
      <c r="LF199" s="170">
        <f ca="1">SIN(Control!$C$139*Control!$B$8)*SIN($HD199)</f>
        <v>0.29035885929398564</v>
      </c>
      <c r="LG199" s="170">
        <f ca="1">COS(Control!$C$139*Control!$B$8)*COS($HD199)</f>
        <v>0.57234174000076821</v>
      </c>
      <c r="LH199" s="170">
        <f ca="1">12*(1+2*ASIN(MAX(-1,MIN(1,$LF199/$LG199))/Control!$C$138))</f>
        <v>15.892654357665009</v>
      </c>
      <c r="LI199" s="170">
        <f ca="1">12*(1+2*ASIN(MAX(-1,MIN(1,(-SIN(-4*Control!$C$139)+$LF199)/$LG199))/Control!$C$138))</f>
        <v>16.839425363402633</v>
      </c>
      <c r="LJ199" s="168">
        <f ca="1">3600*($LH199*$LF199+24*$LG199*SQRT(1-$LK199*$LK199)/Control!$C$138)</f>
        <v>30176.977934092716</v>
      </c>
      <c r="LK199" s="170">
        <f t="shared" ca="1" si="790"/>
        <v>0.50731728790843722</v>
      </c>
      <c r="LL199" s="170">
        <f t="shared" ca="1" si="791"/>
        <v>0</v>
      </c>
      <c r="LM199" s="171">
        <f ca="1">Control!$C$145*$AB199</f>
        <v>6.6660906138995932E-2</v>
      </c>
      <c r="LN199" s="170">
        <f t="shared" ref="LN199:LN262" ca="1" si="886">0.54+0.35*MAX(0,MIN(1,$F199-12)/4)</f>
        <v>0.54</v>
      </c>
      <c r="LO199" s="170">
        <f t="shared" ca="1" si="792"/>
        <v>0</v>
      </c>
      <c r="LP199" s="170">
        <f ca="1">Control!$C$140*((($D199+273.16)^4+($E199+273.16)^4)/2)*(0.34-0.14*SQRT($Y199))*(1.35*$AQ199/(0.75*$LD199)-0.35)</f>
        <v>-3.2464704755046001</v>
      </c>
      <c r="LQ199" s="170">
        <f ca="1">Control!$C$140*($G199+273)^4*(0.56-0.079*SQRT($Y199*10))*(0.1+0.9*$LO199)</f>
        <v>1.5241745131704001</v>
      </c>
      <c r="LR199" s="170">
        <f ca="1">$AQ199*(1-Control!$C$142)-$LQ199</f>
        <v>-1.5241745131704001</v>
      </c>
      <c r="LS199" s="170">
        <f ca="1">$AQ199*(1-Control!$C$143)-$LQ199</f>
        <v>-1.5241745131704001</v>
      </c>
      <c r="LT199" s="170">
        <f ca="1">$AQ199*(1-Control!$C$144)-$LQ199</f>
        <v>-1.5241745131704001</v>
      </c>
      <c r="LU199" s="169">
        <f ca="1">(1-Control!$C$144)*AQ199-LP199</f>
        <v>3.2464704755046001</v>
      </c>
      <c r="LV199" s="172">
        <f t="shared" ca="1" si="793"/>
        <v>0.79430000000000012</v>
      </c>
      <c r="LW199" s="170">
        <f t="shared" ca="1" si="794"/>
        <v>1.5886000000000002</v>
      </c>
      <c r="LX199" s="170">
        <f ca="1">($AC199*($LR199/Control!$C$141)+$LM199*$LV199)/($AC199+$LM199)</f>
        <v>0.23530094218323697</v>
      </c>
      <c r="LY199" s="170">
        <f ca="1">($AC199*($LS199/Control!$C$141)+$LM199*$LV199)/($AC199+$LM199)</f>
        <v>0.23530094218323697</v>
      </c>
      <c r="LZ199" s="170">
        <f t="shared" ca="1" si="795"/>
        <v>0.23530094218323697</v>
      </c>
      <c r="MA199" s="170">
        <f t="shared" ca="1" si="796"/>
        <v>0.23530094218323697</v>
      </c>
      <c r="MB199" s="170" t="e">
        <f t="shared" ca="1" si="797"/>
        <v>#N/A</v>
      </c>
      <c r="MC199" s="170">
        <f t="shared" ref="MC199:MC262" ca="1" si="887">$AA199-$Y199</f>
        <v>0.6018</v>
      </c>
      <c r="MD199" s="170">
        <f t="shared" ca="1" si="798"/>
        <v>0.52989392535414004</v>
      </c>
      <c r="ME199" s="170">
        <f ca="1">($AC199*($LT199/Control!$C$141)+$LM199*$LW199)/($AC199+$LM199)</f>
        <v>0.71612369323045078</v>
      </c>
      <c r="MF199" s="170" t="e">
        <f ca="1">IF(Control!$B$16&gt;=1000,0.92,IF(AND(720&lt;=Control!$B$16,1000&gt;Control!$B$16),(0.95+(Control!$B$16-720)*((0.92-0.95)/(1000-720))),IF(AND(360&lt;=Control!$B$16,720&gt;Control!$B$16),(1+(Control!$B$16-360)*((0.95-1)/(720-360))),IF(AND(40&lt;=Control!$B$16,360&gt;Control!$B$16),(1.05+(Control!$B$16-40)*((1.05-1)/(360-40)))))))</f>
        <v>#N/A</v>
      </c>
      <c r="MG199" s="170">
        <f t="shared" ca="1" si="799"/>
        <v>0.71612369323045078</v>
      </c>
      <c r="MH199" s="170" t="e">
        <f t="shared" ca="1" si="695"/>
        <v>#N/A</v>
      </c>
      <c r="MI199" s="170" t="e">
        <f t="shared" ca="1" si="695"/>
        <v>#N/A</v>
      </c>
      <c r="MJ199" s="170" t="e">
        <f ca="1">MAX(0.0001, Control!$C$132*$MI199*$DL199)</f>
        <v>#N/A</v>
      </c>
      <c r="MK199" s="170">
        <f ca="1">1/(0.76+1.5*($MG199/10))-(5-Control!$C$110)*0.1</f>
        <v>1.002845988140797</v>
      </c>
      <c r="ML199" s="173">
        <f ca="1">IF(Control!$C$110&lt;3,$MK199+($MG199-0.6)/(Control!$C$110*(Control!$C$110+3)), MAX(0.1, MIN(0.95,$MK199)))</f>
        <v>0.95</v>
      </c>
      <c r="MM199" s="173">
        <f ca="1">IF(Control!$C$110&lt;3,$MK199+(($MI199/10)-0.6)/(Control!$C$110*(Control!$C$110+3)), MAX(0.1, MIN(0.95,$MK199)))</f>
        <v>0.95</v>
      </c>
      <c r="MN199" s="173">
        <f ca="1">(1-$MM199)*(Control!$C$128-Control!$C$127)+Control!$C$127</f>
        <v>0.16</v>
      </c>
      <c r="MO199" s="170" t="e">
        <f ca="1">MAX(0,MIN(1,($MS199-Control!$C$127)/($MN199-Control!$C$127)))</f>
        <v>#DIV/0!</v>
      </c>
      <c r="MP199" s="173" t="e">
        <f ca="1">1/(0.76+1.5*$MI199)-(5-Control!$C$110)*0.1</f>
        <v>#N/A</v>
      </c>
      <c r="MQ199" s="172" t="e">
        <f t="shared" ca="1" si="685"/>
        <v>#DIV/0!</v>
      </c>
      <c r="MR199" s="168" t="e">
        <f t="shared" ref="MR199:MR262" ca="1" si="888">$MR198+$OI198</f>
        <v>#DIV/0!</v>
      </c>
      <c r="MS199" s="173" t="e">
        <f ca="1">MAX(Control!$C$127, MIN(Control!$C$135, $MR199/MAX(0.0001,$CY199)))</f>
        <v>#DIV/0!</v>
      </c>
      <c r="MT199" s="168" t="e">
        <f ca="1">(Control!$C$128-$MS199)*Control!$C$74</f>
        <v>#DIV/0!</v>
      </c>
      <c r="MU199" s="168" t="e">
        <f ca="1">(Control!$C$135-$MS199)*Control!$C$74</f>
        <v>#DIV/0!</v>
      </c>
      <c r="MV199" s="168" t="e">
        <f t="shared" ref="MV199:MV262" ca="1" si="889">$MV198+$OA198</f>
        <v>#DIV/0!</v>
      </c>
      <c r="MW199" s="168" t="e">
        <f t="shared" ref="MW199:MW262" ca="1" si="890">$MW198+$OJ198</f>
        <v>#DIV/0!</v>
      </c>
      <c r="MX199" s="171" t="e">
        <f ca="1">MAX(Control!$C$127, MIN(Control!$C$135, $MW199/MAX(0.0001,Control!$C$119-$CY199)))</f>
        <v>#DIV/0!</v>
      </c>
      <c r="MY199" s="54" t="e">
        <f ca="1">IF(Control!$C$114=1, $CX199*$MX199, 0)</f>
        <v>#DIV/0!</v>
      </c>
      <c r="MZ199" s="54" t="e">
        <f t="shared" ref="MZ199:MZ262" ca="1" si="891">$MZ198+$MY198</f>
        <v>#N/A</v>
      </c>
      <c r="NA199" s="168" t="e">
        <f ca="1">(Control!$C$128-$MX199)*(Control!$C$119-Control!$C$74)</f>
        <v>#DIV/0!</v>
      </c>
      <c r="NB199" s="168" t="e">
        <f ca="1">(Control!$C$135-$MX199)*(Control!$C$119-Control!$C$74)</f>
        <v>#DIV/0!</v>
      </c>
      <c r="NC199" s="174" t="e">
        <f t="shared" ref="NC199:NC262" ca="1" si="892">IF($NL198&gt;=5, 1, $NC198+1)</f>
        <v>#DIV/0!</v>
      </c>
      <c r="ND199" s="54">
        <f ca="1">IF(Control!$C$58=2, IF(OR(Control!$B$218=$AH199,Control!$B$219=$AH199, Control!$B$220=$AH199, Control!$B$221=$AH199, Control!$B$222=$AH199, Control!$B$223=$AH199, Control!$B$224=$AH199, Control!$B$225=$AH199, Control!$B$226=$AH199, Control!$B$227=$AH199, Control!$B$228=$AH199), 1, 0), 0)</f>
        <v>0</v>
      </c>
      <c r="NE199" s="54">
        <f ca="1">IF($ND199=0,0, VLOOKUP($AH199,Control!$B$218:$C$228,2))</f>
        <v>0</v>
      </c>
      <c r="NF199" s="168" t="e">
        <f ca="1">$CY199*(Control!$C$128-Control!$C$127)</f>
        <v>#N/A</v>
      </c>
      <c r="NG199" s="54" t="e">
        <f ca="1">IF(Control!$C$58=2, $NI198-$NJ198, 0)</f>
        <v>#DIV/0!</v>
      </c>
      <c r="NH199" s="54" t="e">
        <f ca="1">IF(AND(Control!$C$58=1, $MS198&lt;= ($MN198+0.02), $I198&lt;10), 0, IF(Control!$C$58=2, $NG198, 0))</f>
        <v>#DIV/0!</v>
      </c>
      <c r="NI199" s="54" t="e">
        <f ca="1">IF(Control!$C$58=2, $NE199+$NH199,0)</f>
        <v>#DIV/0!</v>
      </c>
      <c r="NJ199" s="54" t="e">
        <f ca="1">IF(AND(Control!$C$58=1, $MS199&lt;= ($MN199+0.02), $I199&lt;10), MAX(0, MIN(10, 0.7*($NF199-$MV199))), IF(Control!$C$58=2, MIN(10,$NI199),0))</f>
        <v>#DIV/0!</v>
      </c>
      <c r="NK199" s="54" t="e">
        <f t="shared" ca="1" si="800"/>
        <v>#DIV/0!</v>
      </c>
      <c r="NL199" s="173" t="e">
        <f ca="1">(1-Control!$C$73)*$I199+$NJ199</f>
        <v>#DIV/0!</v>
      </c>
      <c r="NM199" s="172" t="e">
        <f ca="1">IF($NL199&lt;0.5, $MB199* MAX(0, MIN(1, (SQRT($NC199)-SQRT($NC199-1))*Control!$C$71)),0)</f>
        <v>#DIV/0!</v>
      </c>
      <c r="NN199" s="170" t="e">
        <f ca="1">IF($NL199&gt;=5, $MB199, MAX(0,MIN($MB199, $NM199+$NL199,($MS199-Control!$C$129))))</f>
        <v>#DIV/0!</v>
      </c>
      <c r="NO199" s="54">
        <f>IF(Control!$C$133&lt;&gt;1, Control!$C$135-Control!$C$131, 0)</f>
        <v>0.38</v>
      </c>
      <c r="NP199" s="54" t="e">
        <f t="shared" ca="1" si="801"/>
        <v>#DIV/0!</v>
      </c>
      <c r="NQ199" s="173" t="e">
        <f ca="1">MAX(0,MIN(1,(Control!$C$135-$MS199)/(Control!$C$135-$NO199)))</f>
        <v>#DIV/0!</v>
      </c>
      <c r="NR199" s="170" t="e">
        <f ca="1">IF(Control!$C$133&lt;&gt;1, $NQ199+((1-$NP199/4)*(1-$NQ199)),1)</f>
        <v>#DIV/0!</v>
      </c>
      <c r="NS199" s="170" t="e">
        <f ca="1">IF(Control!$B$31=0,$MJ199,MAX(0,MIN($MV199,$MO199*$NR199*$MJ199)))</f>
        <v>#DIV/0!</v>
      </c>
      <c r="NT199" s="170" t="e">
        <f t="shared" ca="1" si="686"/>
        <v>#DIV/0!</v>
      </c>
      <c r="NU199" s="170" t="e">
        <f t="shared" ref="NU199:NU262" ca="1" si="893">$NU198+$NT199</f>
        <v>#N/A</v>
      </c>
      <c r="NV199" s="170" t="e">
        <f t="shared" ca="1" si="802"/>
        <v>#N/A</v>
      </c>
      <c r="NW199" s="175" t="e">
        <f t="shared" ca="1" si="803"/>
        <v>#DIV/0!</v>
      </c>
      <c r="NX199" s="170" t="e">
        <f ca="1">MIN(Control!$C$72+$MU199, $NW199)</f>
        <v>#DIV/0!</v>
      </c>
      <c r="NY199" s="170" t="e">
        <f ca="1">IF($MT199&lt;=$NX199,MIN(Control!$C$72+$NB199,$NX199-$MT199),0)</f>
        <v>#DIV/0!</v>
      </c>
      <c r="NZ199" s="54" t="e">
        <f ca="1">IF(Control!$C$114=1,  $CX199*($MX199-Control!$C$127), 0)</f>
        <v>#DIV/0!</v>
      </c>
      <c r="OA199" s="170" t="e">
        <f t="shared" ca="1" si="804"/>
        <v>#DIV/0!</v>
      </c>
      <c r="OB199" s="170" t="e">
        <f ca="1">IF($NA199 &lt;=$NY199, MIN(Control!$C$72, $NY199-$NA199), 0)</f>
        <v>#DIV/0!</v>
      </c>
      <c r="OC199" s="168" t="e">
        <f t="shared" ca="1" si="805"/>
        <v>#DIV/0!</v>
      </c>
      <c r="OD199" s="168" t="e">
        <f t="shared" ref="OD199:OD262" ca="1" si="894">$OD198+$OC198</f>
        <v>#DIV/0!</v>
      </c>
      <c r="OE199" s="170">
        <f ca="1">Control!$C$73*$I199</f>
        <v>0</v>
      </c>
      <c r="OF199" s="176" t="e">
        <f t="shared" ca="1" si="806"/>
        <v>#DIV/0!</v>
      </c>
      <c r="OG199" s="168" t="e">
        <f t="shared" ca="1" si="807"/>
        <v>#DIV/0!</v>
      </c>
      <c r="OH199" s="168" t="e">
        <f t="shared" ca="1" si="808"/>
        <v>#DIV/0!</v>
      </c>
      <c r="OI199" s="168" t="e">
        <f t="shared" ca="1" si="809"/>
        <v>#DIV/0!</v>
      </c>
      <c r="OJ199" s="168" t="e">
        <f t="shared" ca="1" si="810"/>
        <v>#DIV/0!</v>
      </c>
      <c r="OK199" s="204" t="e">
        <f t="shared" ca="1" si="811"/>
        <v>#DIV/0!</v>
      </c>
      <c r="OL199" s="177">
        <f>Control!$C$127</f>
        <v>0.15</v>
      </c>
      <c r="OM199" s="182" t="e">
        <f t="shared" ca="1" si="812"/>
        <v>#N/A</v>
      </c>
      <c r="ON199" s="177">
        <f>Control!$C$128</f>
        <v>0.35</v>
      </c>
      <c r="OO199" s="182" t="e">
        <f t="shared" ca="1" si="813"/>
        <v>#N/A</v>
      </c>
      <c r="OP199" s="138">
        <f t="shared" ref="OP199:OP262" ca="1" si="895">$OP198+$I198</f>
        <v>0</v>
      </c>
      <c r="OQ199" s="138" t="e">
        <f t="shared" ca="1" si="687"/>
        <v>#DIV/0!</v>
      </c>
      <c r="OR199" s="138" t="e">
        <f t="shared" ref="OR199:OR262" ca="1" si="896">$OP199+$OQ199</f>
        <v>#DIV/0!</v>
      </c>
      <c r="OS199" s="137" t="e">
        <f t="shared" ca="1" si="688"/>
        <v>#DIV/0!</v>
      </c>
      <c r="OT199" s="139" t="e">
        <f t="shared" ca="1" si="689"/>
        <v>#DIV/0!</v>
      </c>
      <c r="OU199" s="138" t="e">
        <f t="shared" ca="1" si="690"/>
        <v>#N/A</v>
      </c>
      <c r="OV199" s="138" t="e">
        <f t="shared" ca="1" si="691"/>
        <v>#DIV/0!</v>
      </c>
      <c r="OW199" s="138" t="e">
        <f t="shared" ref="OW199:OW262" ca="1" si="897">$OW198+$OI199</f>
        <v>#DIV/0!</v>
      </c>
      <c r="OX199" s="138" t="e">
        <f t="shared" ref="OX199:OX262" ca="1" si="898">$OX198+$OI198</f>
        <v>#DIV/0!</v>
      </c>
      <c r="OY199" s="138" t="e">
        <f t="shared" ref="OY199:OY262" ca="1" si="899">$OY198+$OJ198</f>
        <v>#DIV/0!</v>
      </c>
      <c r="OZ199" s="138" t="e">
        <f t="shared" ca="1" si="814"/>
        <v>#DIV/0!</v>
      </c>
      <c r="PA199" s="138" t="e">
        <f t="shared" ca="1" si="815"/>
        <v>#DIV/0!</v>
      </c>
      <c r="PB199" s="55">
        <f>IF(Control!$C$61="T", IF(Control!$C$65="F", IF($AH$6-Control!$C$60&lt;0,0,1), IF(365+$AH$6-Control!$C$60&lt;0,0,1)),0)</f>
        <v>0</v>
      </c>
      <c r="PC199" s="55">
        <f ca="1">IF(Control!$C$65="F", IF($AH$6-$HF199&lt;0,0,1), IF(365+$AH$6-$HF199&lt;0,0,1))</f>
        <v>1</v>
      </c>
      <c r="PD199" s="444">
        <f>Control!$C$118</f>
        <v>1500</v>
      </c>
      <c r="PE199" s="180" t="e">
        <f t="shared" ca="1" si="816"/>
        <v>#N/A</v>
      </c>
      <c r="PF199" s="445">
        <f t="shared" ref="PF199:PF262" ca="1" si="900">$ME199</f>
        <v>0.71612369323045078</v>
      </c>
      <c r="PT199" s="186"/>
      <c r="PU199" s="186"/>
      <c r="PV199" s="94"/>
      <c r="PW199" s="94"/>
      <c r="PX199" s="94"/>
      <c r="PY199" s="94"/>
      <c r="PZ199" s="94"/>
      <c r="QA199" s="94"/>
      <c r="QB199" s="94"/>
      <c r="QC199" s="94"/>
      <c r="QD199" s="94"/>
      <c r="QE199" s="94"/>
      <c r="QF199" s="94"/>
      <c r="QG199" s="94"/>
      <c r="QH199" s="94"/>
      <c r="QI199" s="94"/>
      <c r="QJ199" s="94"/>
      <c r="QK199" s="94"/>
      <c r="QL199" s="94"/>
      <c r="QM199" s="94"/>
      <c r="QN199" s="94"/>
      <c r="QO199" s="94"/>
      <c r="QP199" s="94"/>
    </row>
    <row r="200" spans="1:458" s="2" customFormat="1" x14ac:dyDescent="0.2">
      <c r="A200" s="395">
        <v>14</v>
      </c>
      <c r="B200" s="396">
        <v>7</v>
      </c>
      <c r="C200" s="387">
        <f ca="1">Weather_data!$B199</f>
        <v>0</v>
      </c>
      <c r="D200" s="388">
        <f ca="1">Weather_data!$F199</f>
        <v>0</v>
      </c>
      <c r="E200" s="388">
        <f ca="1">Weather_data!$E199</f>
        <v>0</v>
      </c>
      <c r="F200" s="388">
        <f t="shared" ca="1" si="817"/>
        <v>0</v>
      </c>
      <c r="G200" s="388">
        <f ca="1">AVERAGE($D200:$E200)+Control!$B$9</f>
        <v>0</v>
      </c>
      <c r="H200" s="388">
        <f ca="1">Weather_data!$G199</f>
        <v>0</v>
      </c>
      <c r="I200" s="388">
        <f ca="1">Weather_data!$I199</f>
        <v>0</v>
      </c>
      <c r="J200" s="388">
        <f ca="1">Weather_data!$H199</f>
        <v>0</v>
      </c>
      <c r="K200" s="389">
        <f ca="1">Weather_data!$D199</f>
        <v>0</v>
      </c>
      <c r="L200" s="388" t="e">
        <f t="shared" ca="1" si="818"/>
        <v>#N/A</v>
      </c>
      <c r="M200" s="388" t="e">
        <f t="shared" ca="1" si="696"/>
        <v>#N/A</v>
      </c>
      <c r="N200" s="388">
        <f t="shared" ca="1" si="697"/>
        <v>-6.6376880111388917E-10</v>
      </c>
      <c r="O200" s="388">
        <f t="shared" ca="1" si="819"/>
        <v>6.6376880111388921E-9</v>
      </c>
      <c r="P200" s="390">
        <v>3</v>
      </c>
      <c r="Q200" s="388">
        <f ca="1">MAX($G200-Control!$C$107,0)</f>
        <v>0</v>
      </c>
      <c r="R200" s="388">
        <f t="shared" ca="1" si="820"/>
        <v>0</v>
      </c>
      <c r="S200" s="388">
        <f t="shared" ca="1" si="698"/>
        <v>0</v>
      </c>
      <c r="T200" s="388">
        <f t="shared" ca="1" si="699"/>
        <v>0</v>
      </c>
      <c r="U200" s="59">
        <f t="shared" ca="1" si="700"/>
        <v>0</v>
      </c>
      <c r="V200" s="391">
        <f ca="1">MAX(0,MIN(Control!$C$100-Control!$C$99,$G200-Control!$C$99)*Control!$C$63)</f>
        <v>0</v>
      </c>
      <c r="W200" s="388">
        <f t="shared" ca="1" si="821"/>
        <v>0</v>
      </c>
      <c r="X200" s="388">
        <f t="shared" ca="1" si="822"/>
        <v>0.6110000000000001</v>
      </c>
      <c r="Y200" s="388">
        <f t="shared" ca="1" si="701"/>
        <v>0</v>
      </c>
      <c r="Z200" s="388">
        <f t="shared" ca="1" si="823"/>
        <v>0.61058800000000002</v>
      </c>
      <c r="AA200" s="388">
        <f t="shared" ca="1" si="702"/>
        <v>0.6018</v>
      </c>
      <c r="AB200" s="388">
        <f ca="1">101.3*EXP(-0.034*Control!$C$66/($G200+273))</f>
        <v>100.69623283836242</v>
      </c>
      <c r="AC200" s="392">
        <f t="shared" ca="1" si="703"/>
        <v>4.3460251046025113E-2</v>
      </c>
      <c r="AD200" s="392">
        <f t="shared" ca="1" si="704"/>
        <v>4.4450382862832649E-2</v>
      </c>
      <c r="AE200" s="388">
        <f t="shared" ca="1" si="705"/>
        <v>0</v>
      </c>
      <c r="AF200" s="388">
        <f ca="1">MAX(0,$G200-Control!$C$92)</f>
        <v>0</v>
      </c>
      <c r="AG200" s="393">
        <f t="shared" ca="1" si="706"/>
        <v>196</v>
      </c>
      <c r="AH200" s="389">
        <f t="shared" ca="1" si="707"/>
        <v>196</v>
      </c>
      <c r="AI200" s="388">
        <f t="shared" ca="1" si="824"/>
        <v>0.37452242670873348</v>
      </c>
      <c r="AJ200" s="388">
        <f ca="1">IF(Control!$C$60&lt;=0,$HH200,$HI200)</f>
        <v>1</v>
      </c>
      <c r="AK200" s="388">
        <f t="shared" ca="1" si="708"/>
        <v>1.9968479332406357</v>
      </c>
      <c r="AL200" s="388">
        <f t="shared" ca="1" si="709"/>
        <v>-1.0459348664948464E-17</v>
      </c>
      <c r="AM200" s="388">
        <f t="shared" ca="1" si="710"/>
        <v>1.9968479332406357</v>
      </c>
      <c r="AN200" s="388">
        <f t="shared" ca="1" si="711"/>
        <v>0.37066840333929363</v>
      </c>
      <c r="AO200" s="388">
        <f ca="1">-0.10453/COS(Control!$B$8*PI()/180)*COS(AN200)</f>
        <v>-0.1582539985905895</v>
      </c>
      <c r="AP200" s="388">
        <f ca="1">ACOS(AO200-TAN(Control!$B$8*PI()/180)*TAN(AN200))</f>
        <v>2.2858801140448484</v>
      </c>
      <c r="AQ200" s="388">
        <f t="shared" ca="1" si="825"/>
        <v>0</v>
      </c>
      <c r="AR200" s="394">
        <f t="shared" ca="1" si="712"/>
        <v>0</v>
      </c>
      <c r="AS200" s="436">
        <f ca="1">IF(Control!$B$18=2,(IF(OR($AH200=Control!$B$175,$AH200=Control!$B$176,$AH200=Control!$B$177,$AH200=Control!$B$178,$AH200=Control!$B$179,$AH200=Control!$B$180,$AH200=Control!$B$181,$AH200=Control!$B$182,$AH200=Control!$B$183,$AH200=Control!$B$184,$AH200=Control!$B$185),1,0)),0)</f>
        <v>0</v>
      </c>
      <c r="AT200" s="436">
        <f>IF(Control!$B$20=8,IF(AND($AH200&gt;=Control!$B$172,$AH200&lt;=Control!$B$173),1,0),0)</f>
        <v>0</v>
      </c>
      <c r="AU200" s="436">
        <f>IF(Control!$B$20=8,IF($AV199=1,1*$AT200,IF($AT200=1,$AU199+1,$AU199)),0)</f>
        <v>0</v>
      </c>
      <c r="AV200" s="436">
        <f>IF(Control!$B$20=8,IF($AU200&gt;=Control!$B$174,1,0),0)</f>
        <v>0</v>
      </c>
      <c r="AW200" s="436">
        <f ca="1">IF(AND(Control!$B$18=2,Control!$B$171=1), $AV200, $AS200)</f>
        <v>0</v>
      </c>
      <c r="AX200" s="436" t="e">
        <f ca="1">IF(AND(Control!$B$18=1,$EU200&gt;=Control!$B$19),-$AY200,IF(AND(Control!$B$18=2,$AW200=1,$EU200&gt;$DS200),-$AY200, IF(Control!$C$108=0,0, IF(Control!$C$108&lt;&gt;0,1))))</f>
        <v>#N/A</v>
      </c>
      <c r="AY200" s="436" t="e">
        <f t="shared" ca="1" si="826"/>
        <v>#N/A</v>
      </c>
      <c r="AZ200" s="436" t="e">
        <f ca="1">IF(AND(Control!$B$18=1,$EB200&gt;Control!$B$19),$AZ199+1, IF(AND(Control!$B$18=2, $AW200=1, $EB200&gt;$DS200), $AZ199+1,$AZ199))</f>
        <v>#N/A</v>
      </c>
      <c r="BA200" s="587">
        <f>IF(Control!$C$81=0,1,IF($AH200&gt;=Control!$C$82,1,0))</f>
        <v>1</v>
      </c>
      <c r="BB200" s="140" t="e">
        <f ca="1">IF($BA200&gt;$BA199,Control!$C$83,IF($AW200&gt;0,$AW200*Control!$C$84,IF(AND(Control!$B$18=1,EN199&lt;&gt;0),Control!$C$84,0)))</f>
        <v>#N/A</v>
      </c>
      <c r="BC200" s="140" t="e">
        <f t="shared" ca="1" si="827"/>
        <v>#N/A</v>
      </c>
      <c r="BD200" s="140" t="e">
        <f ca="1">BC200*IF(OR($G200&lt;Control!$C$92,$G200&gt;Control!$C$95),0,IF(AND($G200&gt;=Control!$C$92,$G200&lt;=Control!$C$93),$G200-Control!$C$92,IF(AND($G200&gt;Control!$C$93,$G200&lt;=Control!$C$94),Control!$C$93-Control!$C$92,IF(AND($G200&gt;Control!$C$94,$G200&lt;=Control!$C$95),(Control!$C$93-Control!$C$92)*(Control!$C$94-$G200)/(Control!$C$95-Control!$C$94)))))</f>
        <v>#N/A</v>
      </c>
      <c r="BE200" s="140" t="e">
        <f t="shared" ca="1" si="828"/>
        <v>#N/A</v>
      </c>
      <c r="BF200" s="140" t="e">
        <f ca="1">IF($BE200&lt;=Control!$C$86,$BE200,Control!$C$86-$BE200)</f>
        <v>#N/A</v>
      </c>
      <c r="BG200" s="140" t="e">
        <f ca="1">IF(AND($AW200=1,Control!$C$84&lt;9),1,IF($BE200&gt;=Control!$C$86,0,$BC200))</f>
        <v>#N/A</v>
      </c>
      <c r="BH200" s="404" t="e">
        <f ca="1">IF($BG200=0,0,IF($BE200&lt;=Control!$C$86,$BC200*9*($BF200/Control!$C$86),0))</f>
        <v>#N/A</v>
      </c>
      <c r="BI200" s="140" t="e">
        <f ca="1">IF($BG200=1,0,IF($BE200&gt;=Control!$C$86,1,IF(AND($BB200&lt;21,$BB200&gt;=9),1,$BM199)))</f>
        <v>#N/A</v>
      </c>
      <c r="BJ200" s="140" t="e">
        <f ca="1">IF($BF200&lt;0,-$BF200,$BI200*IF(OR($G200&lt;Control!$C$92,$G200&gt;Control!$C$95),0,IF(AND($G200&gt;=Control!$C$92,$G200&lt;=Control!$C$93),$G200-Control!$C$92,IF(AND($G200&gt;Control!$C$93,$G200&lt;=Control!$C$94),Control!$C$93-Control!$C$92,IF(AND($G200&gt;Control!$C$94,$G200&lt;=Control!$C$95),(Control!$C$93-Control!$C$92)*(Control!$C$94-$G200)/(Control!$C$95-Control!$C$94))))))</f>
        <v>#N/A</v>
      </c>
      <c r="BK200" s="140" t="e">
        <f t="shared" ca="1" si="829"/>
        <v>#N/A</v>
      </c>
      <c r="BL200" s="140" t="e">
        <f ca="1">IF($BK200&lt;=Control!$C$87,$BK200,Control!$C$87-$BK200)</f>
        <v>#N/A</v>
      </c>
      <c r="BM200" s="140" t="e">
        <f ca="1">IF(AND($BB200&gt;=9,$BB200&lt;21),1,IF($BK200&gt;=Control!$C$87,0,$BI200))</f>
        <v>#N/A</v>
      </c>
      <c r="BN200" s="404" t="e">
        <f ca="1">IF($BM200=0,0,IF($BK200&lt;=Control!$C$87,$BI200*(9+(21-9)*($BL200/Control!$C$87)),0))</f>
        <v>#N/A</v>
      </c>
      <c r="BO200" s="140" t="e">
        <f ca="1">IF($BM200=1,0,IF($BK200&gt;=Control!$C$87,1,IF(AND($BB200&lt;30,$BB200&gt;=21),1,$BS199)))</f>
        <v>#N/A</v>
      </c>
      <c r="BP200" s="140" t="e">
        <f ca="1">IF($BL200&lt;0,-$BL200,$BO200*IF(OR($G200&lt;Control!$C$92,$G200&gt;Control!$C$95),0,IF(AND($G200&gt;=Control!$C$92,$G200&lt;=Control!$C$93),$G200-Control!$C$92,IF(AND($G200&gt;Control!$C$93,$G200&lt;=Control!$C$94),Control!$C$93-Control!$C$92,IF(AND($G200&gt;Control!$C$94,$G200&lt;=Control!$C$95),(Control!$C$93-Control!$C$92)*(Control!$C$94-$G200)/(Control!$C$95-Control!$C$94))))))</f>
        <v>#N/A</v>
      </c>
      <c r="BQ200" s="140" t="e">
        <f t="shared" ca="1" si="713"/>
        <v>#N/A</v>
      </c>
      <c r="BR200" s="140" t="e">
        <f ca="1">IF($BQ200&lt;=Control!$C$88,$BQ200,Control!$C$88-$BQ200)</f>
        <v>#N/A</v>
      </c>
      <c r="BS200" s="140" t="e">
        <f ca="1">IF(AND($BB200&gt;=21,$BB200&lt;30),1,IF($BQ200&gt;=Control!$C$88,0,$BO200))</f>
        <v>#N/A</v>
      </c>
      <c r="BT200" s="404" t="e">
        <f ca="1">IF($BS200=0,0,IF($BQ200&lt;=Control!$C$88,$BO200*(21+(30-21)*(BR200/Control!$C$88)),0))</f>
        <v>#N/A</v>
      </c>
      <c r="BU200" s="140" t="e">
        <f ca="1">IF(BG200+BM200+BS200=1,0,IF(OR(AND($BB200&lt;60,$BB200&gt;=30),$BQ200&gt;=Control!$C$88),1*$BA200,$BY199))</f>
        <v>#N/A</v>
      </c>
      <c r="BV200" s="140" t="e">
        <f ca="1">IF($BR200&lt;0,-$BR200,$BU200*IF(OR($G200&lt;Control!$C$92,$G200&gt;Control!$C$95),0,IF(AND($G200&gt;=Control!$C$92,$G200&lt;=Control!$C$93),$G200-Control!$C$92,IF(AND($G200&gt;Control!$C$93,$G200&lt;=Control!$C$94),Control!$C$93-Control!$C$92,IF(AND($G200&gt;Control!$C$94,$G200&lt;=Control!$C$95),(Control!$C$93-Control!$C$92)*(Control!$C$94-$G200)/(Control!$C$95-Control!$C$94))))))</f>
        <v>#N/A</v>
      </c>
      <c r="BW200" s="140" t="e">
        <f t="shared" ca="1" si="714"/>
        <v>#N/A</v>
      </c>
      <c r="BX200" s="140" t="e">
        <f ca="1">IF($BW200&lt;=Control!$C$89,$BW200,Control!$C$89-$BW200)</f>
        <v>#N/A</v>
      </c>
      <c r="BY200" s="140" t="e">
        <f ca="1">IF(AND($AJ200&gt;=30,$AJ200&lt;60),1,IF($BW200&gt;=Control!$C$89,0,$BU200))</f>
        <v>#N/A</v>
      </c>
      <c r="BZ200" s="404" t="e">
        <f ca="1">IF($BY200=0,0,IF($BW200&lt;=Control!$C$89,$BU200*(30+(60-30)*(BX200/Control!$C$89)),0))</f>
        <v>#N/A</v>
      </c>
      <c r="CA200" s="140" t="e">
        <f ca="1">IF($BG200+$BM200+$BS200+$BY200=1,0,IF(OR(AND($BB200&lt;65,$BB200&gt;=60),$BW200&gt;=Control!$C$89),1*$BA200,$CE199))</f>
        <v>#N/A</v>
      </c>
      <c r="CB200" s="140" t="e">
        <f ca="1">IF($BX200&lt;0,-$BX200,$CA200*IF(OR($G200&lt;Control!$C$92,$G200&gt;Control!$C$95),0,IF(AND($G200&gt;=Control!$C$92,$G200&lt;=Control!$C$93),$G200-Control!$C$92,IF(AND($G200&gt;Control!$C$93,$G200&lt;=Control!$C$94),Control!$C$93-Control!$C$92,IF(AND($G200&gt;Control!$C$94,$G200&lt;=Control!$C$95),(Control!$C$93-Control!$C$92)*(Control!$C$94-$G200)/(Control!$C$95-Control!$C$94))))))</f>
        <v>#N/A</v>
      </c>
      <c r="CC200" s="140" t="e">
        <f t="shared" ca="1" si="830"/>
        <v>#N/A</v>
      </c>
      <c r="CD200" s="140" t="e">
        <f ca="1">IF($CC200&lt;=Control!$C$90,$CC200,Control!$C$90-$CC200)</f>
        <v>#N/A</v>
      </c>
      <c r="CE200" s="140" t="e">
        <f ca="1">IF(AND($BB200&gt;=60,$BB200&lt;65),1,IF($CC200&gt;=Control!$C$90,0,$CA200))</f>
        <v>#N/A</v>
      </c>
      <c r="CF200" s="404" t="e">
        <f ca="1">IF($CE200=0,0,IF($CC200&lt;=Control!$C$90,$CA200*(60+(65-60)*(CD200/Control!$C$90)),0))</f>
        <v>#N/A</v>
      </c>
      <c r="CG200" s="140" t="e">
        <f ca="1">IF($BG200+$BM200+$BS200+$BY200+$CE200=1,0,IF(OR(AND($BB200&lt;90,$BB200&gt;=65),$CC200&gt;=Control!$C$90),$BA200,$CK199))</f>
        <v>#N/A</v>
      </c>
      <c r="CH200" s="140" t="e">
        <f ca="1">IF($CD200&lt;0,-$CD200,$CG200*IF(OR($G200&lt;Control!$C$92,$G200&gt;Control!$C$95),0,IF(AND($G200&gt;=Control!$C$92,$G200&lt;=Control!$C$93),$G200-Control!$C$92,IF(AND($G200&gt;Control!$C$93,$G200&lt;=Control!$C$94),Control!$C$93-Control!$C$92,IF(AND($G200&gt;Control!$C$94,$G200&lt;=Control!$C$95),(Control!$C$93-Control!$C$92)*(Control!$C$94-$G200)/(Control!$C$95-Control!$C$94))))))</f>
        <v>#N/A</v>
      </c>
      <c r="CI200" s="140" t="e">
        <f t="shared" ca="1" si="831"/>
        <v>#N/A</v>
      </c>
      <c r="CJ200" s="140" t="e">
        <f ca="1">IF($CI200&lt;=Control!$C$91,$CI200,Control!$C$91-$CI200)</f>
        <v>#N/A</v>
      </c>
      <c r="CK200" s="140" t="e">
        <f ca="1">IF(AND($BB200&gt;=65,$BB200&lt;90),1,IF($CI200&gt;=Control!$C$91,0,$CG200))</f>
        <v>#N/A</v>
      </c>
      <c r="CL200" s="404" t="e">
        <f ca="1">IF($CK200=0,0,IF($CI200&lt;=Control!$C$91,$CG200*(65+(90-65)*($CJ200/Control!$C$91)),0))</f>
        <v>#N/A</v>
      </c>
      <c r="CM200" s="140" t="e">
        <f ca="1">IF($BG200+$BM200+$BS200+$BY200+$CE200+$CK200=1,0,IF(OR($BB200&gt;=90,$CI200&gt;=Control!$C$91),$BA200,$CM199))</f>
        <v>#N/A</v>
      </c>
      <c r="CN200" s="140" t="e">
        <f t="shared" ca="1" si="832"/>
        <v>#N/A</v>
      </c>
      <c r="CO200" s="140" t="e">
        <f t="shared" ca="1" si="833"/>
        <v>#N/A</v>
      </c>
      <c r="CP200" s="140" t="e">
        <f t="shared" ca="1" si="834"/>
        <v>#N/A</v>
      </c>
      <c r="CQ200" s="141" t="e">
        <f ca="1">VLOOKUP($CP200,Control!$B$86:$G$91,6)</f>
        <v>#N/A</v>
      </c>
      <c r="CR200" s="141" t="e">
        <f ca="1">(1-$CQ200)*VLOOKUP($CP200,Control!$B$86:$D$91,3)</f>
        <v>#N/A</v>
      </c>
      <c r="CS200" s="141" t="e">
        <f ca="1">(1-$CQ200)*VLOOKUP($CP200,Control!$B$86:$E$91,4)</f>
        <v>#N/A</v>
      </c>
      <c r="CT200" s="141" t="e">
        <f ca="1">(1-$CQ200)*VLOOKUP($CP200,Control!$B$86:$F$91,5)</f>
        <v>#N/A</v>
      </c>
      <c r="CU200" s="141">
        <f t="shared" ca="1" si="835"/>
        <v>0</v>
      </c>
      <c r="CV200" s="583">
        <f t="shared" ca="1" si="836"/>
        <v>0</v>
      </c>
      <c r="CW200" s="142">
        <f t="shared" ca="1" si="837"/>
        <v>196</v>
      </c>
      <c r="CX200" s="612" t="e">
        <f ca="1">IF(Control!$C$114=1,(MIN(Control!$C$120*(IF($NT200-0.01&lt;0,0,1)),Control!$C$119-$CY200)))</f>
        <v>#DIV/0!</v>
      </c>
      <c r="CY200" s="143" t="e">
        <f t="shared" ca="1" si="838"/>
        <v>#N/A</v>
      </c>
      <c r="CZ200" s="144">
        <f t="shared" ca="1" si="715"/>
        <v>0</v>
      </c>
      <c r="DA200" s="144">
        <f t="shared" ca="1" si="716"/>
        <v>0</v>
      </c>
      <c r="DB200" s="144" t="e">
        <f t="shared" ca="1" si="717"/>
        <v>#N/A</v>
      </c>
      <c r="DC200" s="144" t="e">
        <f t="shared" ca="1" si="718"/>
        <v>#N/A</v>
      </c>
      <c r="DD200" s="144" t="e">
        <f t="shared" ca="1" si="692"/>
        <v>#N/A</v>
      </c>
      <c r="DE200" s="143" t="e">
        <f t="shared" ca="1" si="839"/>
        <v>#N/A</v>
      </c>
      <c r="DF200" s="145" t="e">
        <f ca="1">$DR200*EXP(-Control!$C$158*(1-$KH200))</f>
        <v>#N/A</v>
      </c>
      <c r="DG200" s="146" t="e">
        <f ca="1">IF(Control!$C$114=1, $DF200*$EY200, 0)</f>
        <v>#N/A</v>
      </c>
      <c r="DH200" s="147" t="e">
        <f t="shared" ca="1" si="840"/>
        <v>#N/A</v>
      </c>
      <c r="DI200" s="144" t="e">
        <f t="shared" ref="DI200:DI263" ca="1" si="901">IF($DI199+$DH199&lt;0,0,$DI199+$DH199)</f>
        <v>#N/A</v>
      </c>
      <c r="DJ200" s="147" t="e">
        <f ca="1">$EF200*Control!$C$109</f>
        <v>#N/A</v>
      </c>
      <c r="DK200" s="144" t="e">
        <f t="shared" ca="1" si="841"/>
        <v>#N/A</v>
      </c>
      <c r="DL200" s="144" t="e">
        <f t="shared" ca="1" si="719"/>
        <v>#N/A</v>
      </c>
      <c r="DM200" s="144" t="e">
        <f ca="1">IF(Control!$C$114=1, (1-EXP(-Control!$C$96*$DK200))*$AR200, 0)</f>
        <v>#N/A</v>
      </c>
      <c r="DN200" s="144">
        <f t="shared" ca="1" si="842"/>
        <v>0</v>
      </c>
      <c r="DO200" s="148">
        <f>Control!$C$97</f>
        <v>4</v>
      </c>
      <c r="DP200" s="145" t="e">
        <f t="shared" ca="1" si="843"/>
        <v>#N/A</v>
      </c>
      <c r="DQ200" s="145" t="e">
        <f ca="1">IF(AND($CP200&gt;=0,$CP200&lt;=90),Control!$C$111,Control!$C$111)</f>
        <v>#N/A</v>
      </c>
      <c r="DR200" s="145" t="e">
        <f t="shared" ca="1" si="720"/>
        <v>#N/A</v>
      </c>
      <c r="DS200" s="143" t="e">
        <f ca="1">Control!$B$22/$DR200</f>
        <v>#N/A</v>
      </c>
      <c r="DT200" s="149" t="e">
        <f ca="1">IF(AND(Control!$C$114=1,$KH200&lt;1),$IM200*$DF200, 0)</f>
        <v>#N/A</v>
      </c>
      <c r="DU200" s="144" t="e">
        <f t="shared" ca="1" si="844"/>
        <v>#N/A</v>
      </c>
      <c r="DV200" s="144">
        <f ca="1">IF($G200-Control!$C$107&lt;=0, 0, 0.83*LN(MAX($G200, 3))-0.8924)</f>
        <v>0</v>
      </c>
      <c r="DW200" s="144" t="e">
        <f t="shared" ca="1" si="721"/>
        <v>#N/A</v>
      </c>
      <c r="DX200" s="150" t="e">
        <f ca="1">MAX(0.01*(1+$CU200/Control!$C$102),0.05*($DK200-Control!$C$97)/Control!$C$97)</f>
        <v>#N/A</v>
      </c>
      <c r="DY200" s="151" t="e">
        <f ca="1">IF(Control!$C$114=1, $DI200*$FS200, 0)</f>
        <v>#N/A</v>
      </c>
      <c r="DZ200" s="196" t="e">
        <f t="shared" ca="1" si="845"/>
        <v>#N/A</v>
      </c>
      <c r="EA200" s="152">
        <f t="shared" ca="1" si="846"/>
        <v>196</v>
      </c>
      <c r="EB200" s="153" t="e">
        <f t="shared" ca="1" si="847"/>
        <v>#N/A</v>
      </c>
      <c r="EC200" s="153" t="e">
        <f t="shared" ca="1" si="848"/>
        <v>#N/A</v>
      </c>
      <c r="ED200" s="154" t="e">
        <f ca="1">IF(Control!$C$114=1, $HM200*$FY200-$FD200, 0)</f>
        <v>#DIV/0!</v>
      </c>
      <c r="EE200" s="155" t="e">
        <f ca="1">IF(Control!$C$114=1, $HM200*$FZ200-$FF200, 0)</f>
        <v>#DIV/0!</v>
      </c>
      <c r="EF200" s="153" t="e">
        <f t="shared" ref="EF200:EF263" ca="1" si="902">$EF199+$EE199-$EO199</f>
        <v>#N/A</v>
      </c>
      <c r="EG200" s="155" t="e">
        <f ca="1">IF(Control!$C$114=1, $GX200*$FW200-$FI200, 0)</f>
        <v>#DIV/0!</v>
      </c>
      <c r="EH200" s="153" t="e">
        <f t="shared" ca="1" si="849"/>
        <v>#N/A</v>
      </c>
      <c r="EI200" s="156" t="e">
        <f t="shared" ca="1" si="850"/>
        <v>#N/A</v>
      </c>
      <c r="EJ200" s="155" t="e">
        <f ca="1">IF(Control!$C$114=1, $HM200*$GB200, 0)</f>
        <v>#DIV/0!</v>
      </c>
      <c r="EK200" s="153" t="e">
        <f t="shared" ref="EK200:EK263" ca="1" si="903">$EK199+$EJ199-$EP199</f>
        <v>#N/A</v>
      </c>
      <c r="EL200" s="153" t="e">
        <f t="shared" ca="1" si="722"/>
        <v>#N/A</v>
      </c>
      <c r="EM200" s="153" t="e">
        <f t="shared" ca="1" si="723"/>
        <v>#N/A</v>
      </c>
      <c r="EN200" s="153" t="e">
        <f ca="1">IF(Control!$C$108=1,IF(AND(Control!$B$18=1,$EB200&gt;=Control!$B$19),$EB200-$DS200,IF(AND(Control!$B$18=2,$AW200=1,$EB200&gt;$DS200),$EB200-$DS200,0)))</f>
        <v>#N/A</v>
      </c>
      <c r="EO200" s="153" t="e">
        <f ca="1">IF(Control!$C$108=1,IF(AND(Control!$B$18=1,$EB200&gt;=Control!$B$19),$EF200,IF(AND(Control!$B$18=2,$AW200=1),$EF200,0)))</f>
        <v>#N/A</v>
      </c>
      <c r="EP200" s="153" t="e">
        <f ca="1">IF(Control!$C$108=1,IF(AND(Control!$B$18=1,$EB200&gt;=Control!$B$19),$EK200,IF(AND(Control!$B$18=2,$AW200=1),$EK200,0)))</f>
        <v>#N/A</v>
      </c>
      <c r="EQ200" s="153" t="e">
        <f t="shared" ca="1" si="851"/>
        <v>#N/A</v>
      </c>
      <c r="ER200" s="153" t="e">
        <f t="shared" ca="1" si="852"/>
        <v>#N/A</v>
      </c>
      <c r="ES200" s="153" t="e">
        <f t="shared" ref="ES200:ES263" ca="1" si="904">$ES199+$EO199</f>
        <v>#N/A</v>
      </c>
      <c r="ET200" s="153" t="e">
        <f t="shared" ref="ET200:ET263" ca="1" si="905">$ET199+$EP199</f>
        <v>#N/A</v>
      </c>
      <c r="EU200" s="153" t="e">
        <f t="shared" ca="1" si="853"/>
        <v>#N/A</v>
      </c>
      <c r="EV200" s="153" t="e">
        <f t="shared" ca="1" si="724"/>
        <v>#N/A</v>
      </c>
      <c r="EW200" s="153" t="e">
        <f t="shared" ca="1" si="725"/>
        <v>#N/A</v>
      </c>
      <c r="EX200" s="153" t="e">
        <f t="shared" ca="1" si="726"/>
        <v>#N/A</v>
      </c>
      <c r="EY200" s="157" t="e">
        <f t="shared" ca="1" si="727"/>
        <v>#DIV/0!</v>
      </c>
      <c r="EZ200" s="154" t="e">
        <f t="shared" ca="1" si="728"/>
        <v>#DIV/0!</v>
      </c>
      <c r="FA200" s="153" t="e">
        <f t="shared" ca="1" si="854"/>
        <v>#N/A</v>
      </c>
      <c r="FB200" s="153" t="e">
        <f t="shared" ca="1" si="729"/>
        <v>#N/A</v>
      </c>
      <c r="FC200" s="193" t="e">
        <f t="shared" ca="1" si="730"/>
        <v>#N/A</v>
      </c>
      <c r="FD200" s="158" t="e">
        <f t="shared" ca="1" si="855"/>
        <v>#N/A</v>
      </c>
      <c r="FE200" s="158" t="e">
        <f t="shared" ca="1" si="856"/>
        <v>#N/A</v>
      </c>
      <c r="FF200" s="159" t="e">
        <f t="shared" ca="1" si="731"/>
        <v>#N/A</v>
      </c>
      <c r="FG200" s="160" t="e">
        <f t="shared" ca="1" si="857"/>
        <v>#N/A</v>
      </c>
      <c r="FH200" s="158" t="e">
        <f t="shared" ca="1" si="858"/>
        <v>#N/A</v>
      </c>
      <c r="FI200" s="159" t="e">
        <f t="shared" ca="1" si="732"/>
        <v>#N/A</v>
      </c>
      <c r="FJ200" s="160" t="e">
        <f t="shared" ca="1" si="859"/>
        <v>#N/A</v>
      </c>
      <c r="FK200" s="160" t="e">
        <f t="shared" ca="1" si="733"/>
        <v>#N/A</v>
      </c>
      <c r="FL200" s="160" t="e">
        <f t="shared" ref="FL200:FL263" ca="1" si="906">$FL199+$FD199</f>
        <v>#N/A</v>
      </c>
      <c r="FM200" s="160" t="e">
        <f t="shared" ca="1" si="734"/>
        <v>#N/A</v>
      </c>
      <c r="FN200" s="158">
        <f t="shared" ca="1" si="860"/>
        <v>0.01</v>
      </c>
      <c r="FO200" s="160">
        <f>Control!$C$101</f>
        <v>50</v>
      </c>
      <c r="FP200" s="150" t="e">
        <f t="shared" ca="1" si="735"/>
        <v>#N/A</v>
      </c>
      <c r="FQ200" s="150" t="e">
        <f ca="1">MAX(0,(Control!$C$112*(($DK200-Control!$C$97)/Control!$C$97)))</f>
        <v>#N/A</v>
      </c>
      <c r="FR200" s="150" t="e">
        <f ca="1">(1-$NT200)*Control!$C$113</f>
        <v>#DIV/0!</v>
      </c>
      <c r="FS200" s="198" t="e">
        <f t="shared" ca="1" si="736"/>
        <v>#N/A</v>
      </c>
      <c r="FT200" s="161">
        <f t="shared" ca="1" si="861"/>
        <v>196</v>
      </c>
      <c r="FU200" s="162" t="e">
        <f ca="1">IF(Control!$B$34=1,VLOOKUP($CP200,Control!$B$86:$G$91,6),Control!$B$35)</f>
        <v>#N/A</v>
      </c>
      <c r="FV200" s="162" t="e">
        <f t="shared" ca="1" si="737"/>
        <v>#DIV/0!</v>
      </c>
      <c r="FW200" s="162" t="e">
        <f ca="1">IF(Control!$B$31=1,$FU200*$FV200,  $FU200)</f>
        <v>#N/A</v>
      </c>
      <c r="FX200" s="162" t="e">
        <f ca="1">IF(Control!$B$34=1,VLOOKUP($CP200,Control!$B$86:$G$91,3),Control!$B$36)</f>
        <v>#N/A</v>
      </c>
      <c r="FY200" s="162" t="e">
        <f t="shared" ca="1" si="738"/>
        <v>#N/A</v>
      </c>
      <c r="FZ200" s="162" t="e">
        <f ca="1">IF(Control!$B$34=1,VLOOKUP($CP200,Control!$B$86:$G$91,4),Control!$B$37)</f>
        <v>#N/A</v>
      </c>
      <c r="GA200" s="162" t="e">
        <f t="shared" ca="1" si="739"/>
        <v>#N/A</v>
      </c>
      <c r="GB200" s="162" t="e">
        <f ca="1">IF(Control!$B$34=1,VLOOKUP($CP200,Control!$B$86:$G$91,5),Control!$B$38)</f>
        <v>#N/A</v>
      </c>
      <c r="GC200" s="162" t="e">
        <f t="shared" ca="1" si="862"/>
        <v>#N/A</v>
      </c>
      <c r="GD200" s="162">
        <f t="shared" ca="1" si="740"/>
        <v>1</v>
      </c>
      <c r="GE200" s="162">
        <f t="shared" ca="1" si="741"/>
        <v>1</v>
      </c>
      <c r="GF200" s="162">
        <f ca="1">IF(AND(Control!$C$104=1, Control!$C$62="F"),$GE200,1)</f>
        <v>1</v>
      </c>
      <c r="GG200" s="162" t="e">
        <f ca="1">IF(Control!$B$16=40,0,IF(AND(Control!$B$16&gt;40,Control!$B$16&lt;=360),(Control!$B$16-40)*((1-0)/(360-40)),IF(AND(Control!$B$16&gt;360,Control!$B$16&lt;=720),(1+(Control!$B$16-360)*((1.25-1)/(720-360))),IF(AND(Control!$B$16&gt;720,Control!$B$16&lt;=1000),(1.25+(Control!$B$16-720)*((1.35-1.25)/(1000-720))),IF(AND(Control!$B$16&gt;1000,Control!$B$16&lt;=2000),(1.35+(Control!$B$16-1000)*0))))))</f>
        <v>#N/A</v>
      </c>
      <c r="GH200" s="162" t="e">
        <f t="shared" ca="1" si="742"/>
        <v>#N/A</v>
      </c>
      <c r="GI200" s="162">
        <f t="shared" ca="1" si="863"/>
        <v>0</v>
      </c>
      <c r="GJ200" s="162">
        <f t="shared" ca="1" si="743"/>
        <v>0</v>
      </c>
      <c r="GK200" s="162">
        <f t="shared" ca="1" si="864"/>
        <v>1</v>
      </c>
      <c r="GL200" s="162">
        <f t="shared" ca="1" si="744"/>
        <v>1</v>
      </c>
      <c r="GM200" s="162" t="e">
        <f ca="1">MAX(0,MIN(1,1-Control!$C$156*(1.0001-$KH200)^2))</f>
        <v>#N/A</v>
      </c>
      <c r="GN200" s="162" t="e">
        <f ca="1">IF(Control!$B$26=1,$KU200,$KX200)</f>
        <v>#N/A</v>
      </c>
      <c r="GO200" s="162" t="e">
        <f ca="1">IF($CP200&lt;=60,Control!$C$105,IF($CP200&gt;=90,Control!$C$106,Control!$C$105+($CP200-60)*((Control!$C$106-Control!$C$105)/(90-60))))</f>
        <v>#N/A</v>
      </c>
      <c r="GP200" s="162" t="e">
        <f t="shared" ca="1" si="745"/>
        <v>#N/A</v>
      </c>
      <c r="GQ200" s="162" t="e">
        <f t="shared" ca="1" si="865"/>
        <v>#N/A</v>
      </c>
      <c r="GR200" s="163" t="e">
        <f t="shared" ca="1" si="746"/>
        <v>#DIV/0!</v>
      </c>
      <c r="GS200" s="162" t="e">
        <f t="shared" ca="1" si="747"/>
        <v>#DIV/0!</v>
      </c>
      <c r="GT200" s="164" t="e">
        <f t="shared" ca="1" si="866"/>
        <v>#N/A</v>
      </c>
      <c r="GU200" s="162" t="e">
        <f t="shared" ca="1" si="867"/>
        <v>#N/A</v>
      </c>
      <c r="GV200" s="162" t="e">
        <f t="shared" ca="1" si="748"/>
        <v>#N/A</v>
      </c>
      <c r="GW200" s="162" t="e">
        <f t="shared" ca="1" si="749"/>
        <v>#DIV/0!</v>
      </c>
      <c r="GX200" s="162" t="e">
        <f t="shared" ca="1" si="868"/>
        <v>#DIV/0!</v>
      </c>
      <c r="GY200" s="162" t="e">
        <f t="shared" ca="1" si="869"/>
        <v>#DIV/0!</v>
      </c>
      <c r="GZ200" s="165" t="e">
        <f t="shared" ca="1" si="750"/>
        <v>#N/A</v>
      </c>
      <c r="HA200" s="162" t="e">
        <f ca="1">IF(Control!$C$114=1, $DI200*$FS200, 0)</f>
        <v>#N/A</v>
      </c>
      <c r="HB200" s="162" t="e">
        <f ca="1">$FA200/Control!$C$64</f>
        <v>#N/A</v>
      </c>
      <c r="HC200" s="162" t="e">
        <f t="shared" ca="1" si="751"/>
        <v>#DIV/0!</v>
      </c>
      <c r="HD200" s="162">
        <f ca="1">-ASIN(SIN(23.45*Control!$C$139)*COS(2*Control!$C$138*($AH200+10)/365))</f>
        <v>0.37452242670873348</v>
      </c>
      <c r="HE200" s="165">
        <f t="shared" ca="1" si="870"/>
        <v>0</v>
      </c>
      <c r="HF200" s="166">
        <f ca="1">IF(AND(Control!$C$61="T",$HE200&gt;=Control!$C$103,Control!$C$114=0),$AH200,Control!$C$59)</f>
        <v>1</v>
      </c>
      <c r="HG200" s="166">
        <f ca="1">IF(AND(Control!$C$61="T",$HE200&gt;=Control!$C$103,Control!$C$114=0),$HF200,Control!$C$59)</f>
        <v>1</v>
      </c>
      <c r="HH200" s="165">
        <f ca="1">IF(AND(OR(Control!$C$60&lt;=0, $AH200= Control!$C$59, Control!$C$60 &gt;0, $AH200 = Control!$C$60)), Control!$C$59, IF(Control!$C$60&gt;0, 0))</f>
        <v>1</v>
      </c>
      <c r="HI200" s="165">
        <f ca="1">IF(AND(OR(Control!$C$60&lt;=0, $AH200= Control!$C$59, Control!$C$60 &gt;0, $AH200 = Control!$C$60)), Control!$C$60, IF(Control!$C$60&lt;=0, 0))</f>
        <v>0</v>
      </c>
      <c r="HJ200" s="166">
        <f ca="1">IF(AND(Control!$C$62="F",$CV200&gt;=Control!$C$102),$AH200,0)</f>
        <v>0</v>
      </c>
      <c r="HK200" s="165" t="e">
        <f t="shared" ref="HK200:HK263" ca="1" si="907">$HK199+$GX199</f>
        <v>#N/A</v>
      </c>
      <c r="HL200" s="166">
        <f ca="1">IF(AND(Control!$C$61="T",$HE200&gt;=Control!$C$103,Control!$C$114=0),$HF200,0)</f>
        <v>0</v>
      </c>
      <c r="HM200" s="201" t="e">
        <f t="shared" ca="1" si="752"/>
        <v>#DIV/0!</v>
      </c>
      <c r="HN200" s="215">
        <f t="shared" ca="1" si="871"/>
        <v>196</v>
      </c>
      <c r="HO200" s="216" t="e">
        <f ca="1">IF(AND($CP200&gt;=0, $CP200&lt;=90), Control!$C$152, Control!$C$152)</f>
        <v>#N/A</v>
      </c>
      <c r="HP200" s="216" t="e">
        <f t="shared" ca="1" si="753"/>
        <v>#N/A</v>
      </c>
      <c r="HQ200" s="217" t="e">
        <f ca="1">IF(OR(Control!$B$26=1,Control!$B$26=2),$KV200,$KS200)</f>
        <v>#DIV/0!</v>
      </c>
      <c r="HR200" s="218" t="e">
        <f t="shared" ref="HR200:HR263" ca="1" si="908">$HR199-$HQ199</f>
        <v>#DIV/0!</v>
      </c>
      <c r="HS200" s="216" t="e">
        <f ca="1">Control!$C$154*$HP200</f>
        <v>#N/A</v>
      </c>
      <c r="HT200" s="216" t="e">
        <f ca="1">Control!$C$155*$HP200</f>
        <v>#N/A</v>
      </c>
      <c r="HU200" s="217" t="e">
        <f ca="1">Control!$C$161*$FI200</f>
        <v>#N/A</v>
      </c>
      <c r="HV200" s="218" t="e">
        <f t="shared" ca="1" si="872"/>
        <v>#N/A</v>
      </c>
      <c r="HW200" s="218" t="e">
        <f ca="1">Control!$C$160*$FF200+$IP200*$EO200</f>
        <v>#N/A</v>
      </c>
      <c r="HX200" s="218" t="e">
        <f t="shared" ref="HX200:HX263" ca="1" si="909">$HX199+$HW199</f>
        <v>#N/A</v>
      </c>
      <c r="HY200" s="219" t="e">
        <f ca="1">IF(Control!$C$114=1, $EB200*$FS200, 0)</f>
        <v>#N/A</v>
      </c>
      <c r="HZ200" s="91" t="e">
        <f t="shared" ca="1" si="754"/>
        <v>#N/A</v>
      </c>
      <c r="IA200" s="220" t="e">
        <f ca="1">Control!$C$153*$HO200</f>
        <v>#N/A</v>
      </c>
      <c r="IB200" s="218" t="e">
        <f t="shared" ca="1" si="755"/>
        <v>#N/A</v>
      </c>
      <c r="IC200" s="220" t="e">
        <f ca="1">Control!$C$153*$HT200</f>
        <v>#N/A</v>
      </c>
      <c r="ID200" s="218" t="e">
        <f t="shared" ca="1" si="756"/>
        <v>#N/A</v>
      </c>
      <c r="IE200" s="221" t="e">
        <f ca="1">($EB200*Control!$C$159+$EF200*Control!$C$160)/(IF($GZ200&lt;&gt;0,$GZ200,1))</f>
        <v>#N/A</v>
      </c>
      <c r="IF200" s="216" t="e">
        <f t="shared" ca="1" si="757"/>
        <v>#N/A</v>
      </c>
      <c r="IG200" s="91">
        <f ca="1">IF(OR(Control!$B$198=$AH200,Control!$B$199=$AH200, Control!$B$200=$AH200, Control!$B$201=$AH200, Control!$B$202=$AH200, Control!$B$203=$AH200, Control!$B$204=$AH200, Control!$B$205=$AH200, Control!$B$206=$AH200, Control!$B$207=$AH200), 1, 0)</f>
        <v>0</v>
      </c>
      <c r="IH200" s="91">
        <f ca="1">IF($IG200=0,0, VLOOKUP($AH200,Control!$B$198:$C$207,2))</f>
        <v>0</v>
      </c>
      <c r="II200" s="222">
        <f t="shared" ca="1" si="873"/>
        <v>0</v>
      </c>
      <c r="IJ200" s="91">
        <f>Control!$C$121</f>
        <v>0.7</v>
      </c>
      <c r="IK200" s="218">
        <f t="shared" ca="1" si="758"/>
        <v>0</v>
      </c>
      <c r="IL200" s="217" t="e">
        <f t="shared" ref="IL200:IL263" ca="1" si="910">$IL199+$KD199</f>
        <v>#N/A</v>
      </c>
      <c r="IM200" s="223" t="e">
        <f ca="1">IF(AND(Control!$C$114=1,$KH200&lt;1),$EB200*Control!$C$148*(1-$KH200), 0)</f>
        <v>#N/A</v>
      </c>
      <c r="IN200" s="217" t="e">
        <f t="shared" ca="1" si="759"/>
        <v>#DIV/0!</v>
      </c>
      <c r="IO200" s="91" t="e">
        <f ca="1">MAX(0,$IL200-$EF200*Control!$C$160)</f>
        <v>#N/A</v>
      </c>
      <c r="IP200" s="220" t="e">
        <f t="shared" ca="1" si="760"/>
        <v>#N/A</v>
      </c>
      <c r="IQ200" s="217" t="e">
        <f t="shared" ca="1" si="874"/>
        <v>#N/A</v>
      </c>
      <c r="IR200" s="218" t="e">
        <f t="shared" ca="1" si="761"/>
        <v>#N/A</v>
      </c>
      <c r="IS200" s="217" t="e">
        <f ca="1">Control!$C$159*MAX(0,$FD200-$EN200)</f>
        <v>#N/A</v>
      </c>
      <c r="IT200" s="217" t="e">
        <f t="shared" ref="IT200:IT263" ca="1" si="911">$IT199+$IS200</f>
        <v>#N/A</v>
      </c>
      <c r="IU200" s="217" t="e">
        <f t="shared" ca="1" si="875"/>
        <v>#N/A</v>
      </c>
      <c r="IV200" s="217" t="e">
        <f t="shared" ref="IV200:IV263" ca="1" si="912">$IV199+$IU200</f>
        <v>#N/A</v>
      </c>
      <c r="IW200" s="217" t="e">
        <f ca="1">IF(OR($AW200=1,AND($AW200=0, Control!$B$18=1,$EN200&lt;&gt;0)), $IQ200-$IU200, $IQ200)</f>
        <v>#N/A</v>
      </c>
      <c r="IX200" s="218" t="e">
        <f t="shared" ca="1" si="762"/>
        <v>#N/A</v>
      </c>
      <c r="IY200" s="218" t="e">
        <f ca="1">MAX(0,$IQ200-$EB200*Control!$C$159)</f>
        <v>#N/A</v>
      </c>
      <c r="IZ200" s="218" t="e">
        <f t="shared" ca="1" si="763"/>
        <v>#N/A</v>
      </c>
      <c r="JA200" s="216" t="e">
        <f t="shared" ca="1" si="764"/>
        <v>#N/A</v>
      </c>
      <c r="JB200" s="217" t="e">
        <f t="shared" ca="1" si="765"/>
        <v>#N/A</v>
      </c>
      <c r="JC200" s="222" t="e">
        <f ca="1">MAX(Control!$C$157*$EK200-$JT200, 0)/Control!$C$162</f>
        <v>#N/A</v>
      </c>
      <c r="JD200" s="218" t="e">
        <f t="shared" ca="1" si="766"/>
        <v>#N/A</v>
      </c>
      <c r="JE200" s="218" t="e">
        <f t="shared" ca="1" si="767"/>
        <v>#N/A</v>
      </c>
      <c r="JF200" s="218" t="e">
        <f t="shared" ca="1" si="876"/>
        <v>#N/A</v>
      </c>
      <c r="JG200" s="218" t="e">
        <f t="shared" ca="1" si="768"/>
        <v>#N/A</v>
      </c>
      <c r="JH200" s="217" t="e">
        <f t="shared" ca="1" si="877"/>
        <v>#N/A</v>
      </c>
      <c r="JI200" s="217" t="e">
        <f t="shared" ca="1" si="878"/>
        <v>#N/A</v>
      </c>
      <c r="JJ200" s="217" t="e">
        <f t="shared" ref="JJ200:JJ263" ca="1" si="913">$JJ199+$JL199</f>
        <v>#N/A</v>
      </c>
      <c r="JK200" s="217" t="e">
        <f ca="1">IF(Control!$C$114=1,IF(Control!$B$24=0,MAX(0,$JI200)*$GN200/Control!$C$64,(MAX(0,MIN($JI200,$JJ200*$GN200/Control!$C$64),0))))</f>
        <v>#N/A</v>
      </c>
      <c r="JL200" s="217" t="e">
        <f ca="1">$IK200/Control!$C$64-$JK200+$HQ200</f>
        <v>#N/A</v>
      </c>
      <c r="JM200" s="217" t="e">
        <f ca="1">IF(Control!$C$114=1,($JB200/(IF($JI200&lt;&gt;0,$JI200,1)))*$JK200,0)</f>
        <v>#N/A</v>
      </c>
      <c r="JN200" s="217" t="e">
        <f ca="1">IF(Control!$C$114=1,($JG200/(IF($JI200&lt;&gt;0,$JI200,1)))*$JK200, 0)</f>
        <v>#N/A</v>
      </c>
      <c r="JO200" s="218" t="e">
        <f t="shared" ca="1" si="769"/>
        <v>#N/A</v>
      </c>
      <c r="JP200" s="218" t="e">
        <f ca="1">MIN(($IY200+$IO200)*Control!$C$151, $JF200-$EH200*Control!$C$161)</f>
        <v>#N/A</v>
      </c>
      <c r="JQ200" s="218" t="e">
        <f t="shared" ca="1" si="770"/>
        <v>#N/A</v>
      </c>
      <c r="JR200" s="217" t="e">
        <f ca="1">IF($CP200-Control!$C$150&lt;0, 0, $JQ200/Control!$C$162)</f>
        <v>#N/A</v>
      </c>
      <c r="JS200" s="218" t="e">
        <f t="shared" ca="1" si="771"/>
        <v>#N/A</v>
      </c>
      <c r="JT200" s="218" t="e">
        <f t="shared" ca="1" si="879"/>
        <v>#N/A</v>
      </c>
      <c r="JU200" s="218" t="e">
        <f t="shared" ca="1" si="772"/>
        <v>#N/A</v>
      </c>
      <c r="JV200" s="218" t="e">
        <f t="shared" ca="1" si="773"/>
        <v>#N/A</v>
      </c>
      <c r="JW200" s="216" t="e">
        <f t="shared" ca="1" si="774"/>
        <v>#N/A</v>
      </c>
      <c r="JX200" s="91" t="e">
        <f t="shared" ca="1" si="775"/>
        <v>#N/A</v>
      </c>
      <c r="JY200" s="218" t="e">
        <f t="shared" ca="1" si="776"/>
        <v>#N/A</v>
      </c>
      <c r="JZ200" s="217" t="e">
        <f ca="1">IF(Control!$C$114=1,($IZ200/(IF($JI200&lt;&gt;0,$JI200,1)))*$JK200, 0)</f>
        <v>#N/A</v>
      </c>
      <c r="KA200" s="218" t="e">
        <f t="shared" ref="KA200:KA263" ca="1" si="914">KA199+JK199</f>
        <v>#N/A</v>
      </c>
      <c r="KB200" s="218" t="e">
        <f t="shared" ca="1" si="880"/>
        <v>#N/A</v>
      </c>
      <c r="KC200" s="218" t="e">
        <f t="shared" ca="1" si="777"/>
        <v>#N/A</v>
      </c>
      <c r="KD200" s="218" t="e">
        <f t="shared" ca="1" si="778"/>
        <v>#N/A</v>
      </c>
      <c r="KE200" s="218" t="e">
        <f t="shared" ca="1" si="779"/>
        <v>#N/A</v>
      </c>
      <c r="KF200" s="218" t="e">
        <f t="shared" ca="1" si="780"/>
        <v>#N/A</v>
      </c>
      <c r="KG200" s="216" t="e">
        <f t="shared" ca="1" si="781"/>
        <v>#N/A</v>
      </c>
      <c r="KH200" s="221" t="e">
        <f ca="1">IF(Control!$B$24=0,1,MAX(0.001,MIN(1,IF(($IF200-$IE200)&lt;&gt;0,($KG200-$IE200)/($IF200-$IE200),1))))</f>
        <v>#N/A</v>
      </c>
      <c r="KI200" s="222" t="e">
        <f ca="1">IF(Control!$C$114=1, $KI199+ $KH199, 0)</f>
        <v>#N/A</v>
      </c>
      <c r="KJ200" s="217" t="e">
        <f t="shared" ca="1" si="782"/>
        <v>#N/A</v>
      </c>
      <c r="KK200" s="218" t="e">
        <f t="shared" ca="1" si="783"/>
        <v>#N/A</v>
      </c>
      <c r="KL200" s="274" t="e">
        <f ca="1">IF(Control!$B$26=3,4000000000*EXP(-8400/($G200+273)),IF(Control!$B$26=4,4000000000*EXP(-8400/($G200+273))*($KT200),0))</f>
        <v>#DIV/0!</v>
      </c>
      <c r="KM200" s="274" t="e">
        <f ca="1">IF(Control!$B$26=3,5600000000000*EXP(-9800/($G200+273)),IF(Control!$B$26=4,5600000000000*EXP(-9800/($G200+273))*$KT200,0))</f>
        <v>#DIV/0!</v>
      </c>
      <c r="KN200" s="454" t="e">
        <f t="shared" ca="1" si="881"/>
        <v>#DIV/0!</v>
      </c>
      <c r="KO200" s="274" t="e">
        <f t="shared" ca="1" si="882"/>
        <v>#DIV/0!</v>
      </c>
      <c r="KP200" s="454" t="e">
        <f t="shared" ca="1" si="784"/>
        <v>#DIV/0!</v>
      </c>
      <c r="KQ200" s="454" t="e">
        <f t="shared" ca="1" si="785"/>
        <v>#DIV/0!</v>
      </c>
      <c r="KR200" s="454" t="e">
        <f t="shared" ca="1" si="786"/>
        <v>#DIV/0!</v>
      </c>
      <c r="KS200" s="454" t="e">
        <f t="shared" ca="1" si="787"/>
        <v>#DIV/0!</v>
      </c>
      <c r="KT200" s="455" t="e">
        <f t="shared" ca="1" si="788"/>
        <v>#DIV/0!</v>
      </c>
      <c r="KU200" s="456" t="e">
        <f ca="1">IF($CP200-Control!$C$149&lt;0, IF($NT200-0.01&lt;0,0,1),0)</f>
        <v>#N/A</v>
      </c>
      <c r="KV200" s="456" t="e">
        <f ca="1">IF(Control!$C$114=1,MAX(0,MIN(Control!$C$125*$KW200*$GN200,$KW200)))</f>
        <v>#DIV/0!</v>
      </c>
      <c r="KW200" s="456" t="e">
        <f t="shared" ref="KW200:KW263" ca="1" si="915">KW199-KV199</f>
        <v>#DIV/0!</v>
      </c>
      <c r="KX200" s="457" t="e">
        <f ca="1">IF($CP200-Control!$C$149&lt;0, IF($MR200-$OM200&lt;0,0,1),0)</f>
        <v>#N/A</v>
      </c>
      <c r="KY200" s="167">
        <f t="shared" ca="1" si="883"/>
        <v>196</v>
      </c>
      <c r="KZ200" s="168">
        <f ca="1">1370*(1+0.033*COS(2*Control!$C$138*$AH200/365))</f>
        <v>1326.0054021250435</v>
      </c>
      <c r="LA200" s="169">
        <f t="shared" ca="1" si="884"/>
        <v>0.96788709487130231</v>
      </c>
      <c r="LB200" s="169">
        <f t="shared" ca="1" si="885"/>
        <v>0.37458074933814994</v>
      </c>
      <c r="LC200" s="169">
        <f ca="1">ACOS(-TAN((2*Control!$B$8/360))*TAN(Calculations!$LB200))</f>
        <v>1.6879070029521144</v>
      </c>
      <c r="LD200" s="169">
        <f ca="1">((24*60)/PI())*0.082*$LA200*(($LC200*SIN(Control!$B$8*2*PI()/360))*SIN($LB200)+COS(Control!$B$8*2*PI()/360)*COS($LB200)*SIN($LC200))</f>
        <v>38.40547883913446</v>
      </c>
      <c r="LE200" s="170">
        <f t="shared" ca="1" si="789"/>
        <v>39.883712074135452</v>
      </c>
      <c r="LF200" s="170">
        <f ca="1">SIN(Control!$C$139*Control!$B$8)*SIN($HD200)</f>
        <v>0.28827695614389198</v>
      </c>
      <c r="LG200" s="170">
        <f ca="1">COS(Control!$C$139*Control!$B$8)*COS($HD200)</f>
        <v>0.57298376622944858</v>
      </c>
      <c r="LH200" s="170">
        <f ca="1">12*(1+2*ASIN(MAX(-1,MIN(1,$LF200/$LG200))/Control!$C$138))</f>
        <v>15.860131058326608</v>
      </c>
      <c r="LI200" s="170">
        <f ca="1">12*(1+2*ASIN(MAX(-1,MIN(1,(-SIN(-4*Control!$C$139)+$LF200)/$LG200))/Control!$C$138))</f>
        <v>16.805601546047853</v>
      </c>
      <c r="LJ200" s="168">
        <f ca="1">3600*($LH200*$LF200+24*$LG200*SQRT(1-$LK200*$LK200)/Control!$C$138)</f>
        <v>30078.091695718733</v>
      </c>
      <c r="LK200" s="170">
        <f t="shared" ca="1" si="790"/>
        <v>0.50311539895958046</v>
      </c>
      <c r="LL200" s="170">
        <f t="shared" ca="1" si="791"/>
        <v>0</v>
      </c>
      <c r="LM200" s="171">
        <f ca="1">Control!$C$145*$AB200</f>
        <v>6.6660906138995932E-2</v>
      </c>
      <c r="LN200" s="170">
        <f t="shared" ca="1" si="886"/>
        <v>0.54</v>
      </c>
      <c r="LO200" s="170">
        <f t="shared" ca="1" si="792"/>
        <v>0</v>
      </c>
      <c r="LP200" s="170">
        <f ca="1">Control!$C$140*((($D200+273.16)^4+($E200+273.16)^4)/2)*(0.34-0.14*SQRT($Y200))*(1.35*$AQ200/(0.75*$LD200)-0.35)</f>
        <v>-3.2464704755046001</v>
      </c>
      <c r="LQ200" s="170">
        <f ca="1">Control!$C$140*($G200+273)^4*(0.56-0.079*SQRT($Y200*10))*(0.1+0.9*$LO200)</f>
        <v>1.5241745131704001</v>
      </c>
      <c r="LR200" s="170">
        <f ca="1">$AQ200*(1-Control!$C$142)-$LQ200</f>
        <v>-1.5241745131704001</v>
      </c>
      <c r="LS200" s="170">
        <f ca="1">$AQ200*(1-Control!$C$143)-$LQ200</f>
        <v>-1.5241745131704001</v>
      </c>
      <c r="LT200" s="170">
        <f ca="1">$AQ200*(1-Control!$C$144)-$LQ200</f>
        <v>-1.5241745131704001</v>
      </c>
      <c r="LU200" s="169">
        <f ca="1">(1-Control!$C$144)*AQ200-LP200</f>
        <v>3.2464704755046001</v>
      </c>
      <c r="LV200" s="172">
        <f t="shared" ca="1" si="793"/>
        <v>0.79430000000000012</v>
      </c>
      <c r="LW200" s="170">
        <f t="shared" ca="1" si="794"/>
        <v>1.5886000000000002</v>
      </c>
      <c r="LX200" s="170">
        <f ca="1">($AC200*($LR200/Control!$C$141)+$LM200*$LV200)/($AC200+$LM200)</f>
        <v>0.23530094218323697</v>
      </c>
      <c r="LY200" s="170">
        <f ca="1">($AC200*($LS200/Control!$C$141)+$LM200*$LV200)/($AC200+$LM200)</f>
        <v>0.23530094218323697</v>
      </c>
      <c r="LZ200" s="170">
        <f t="shared" ca="1" si="795"/>
        <v>0.23530094218323697</v>
      </c>
      <c r="MA200" s="170">
        <f t="shared" ca="1" si="796"/>
        <v>0.23530094218323697</v>
      </c>
      <c r="MB200" s="170" t="e">
        <f t="shared" ca="1" si="797"/>
        <v>#N/A</v>
      </c>
      <c r="MC200" s="170">
        <f t="shared" ca="1" si="887"/>
        <v>0.6018</v>
      </c>
      <c r="MD200" s="170">
        <f t="shared" ca="1" si="798"/>
        <v>0.52989392535414004</v>
      </c>
      <c r="ME200" s="170">
        <f ca="1">($AC200*($LT200/Control!$C$141)+$LM200*$LW200)/($AC200+$LM200)</f>
        <v>0.71612369323045078</v>
      </c>
      <c r="MF200" s="170" t="e">
        <f ca="1">IF(Control!$B$16&gt;=1000,0.92,IF(AND(720&lt;=Control!$B$16,1000&gt;Control!$B$16),(0.95+(Control!$B$16-720)*((0.92-0.95)/(1000-720))),IF(AND(360&lt;=Control!$B$16,720&gt;Control!$B$16),(1+(Control!$B$16-360)*((0.95-1)/(720-360))),IF(AND(40&lt;=Control!$B$16,360&gt;Control!$B$16),(1.05+(Control!$B$16-40)*((1.05-1)/(360-40)))))))</f>
        <v>#N/A</v>
      </c>
      <c r="MG200" s="170">
        <f t="shared" ca="1" si="799"/>
        <v>0.71612369323045078</v>
      </c>
      <c r="MH200" s="170" t="e">
        <f t="shared" ca="1" si="695"/>
        <v>#N/A</v>
      </c>
      <c r="MI200" s="170" t="e">
        <f t="shared" ca="1" si="695"/>
        <v>#N/A</v>
      </c>
      <c r="MJ200" s="170" t="e">
        <f ca="1">MAX(0.0001, Control!$C$132*$MI200*$DL200)</f>
        <v>#N/A</v>
      </c>
      <c r="MK200" s="170">
        <f ca="1">1/(0.76+1.5*($MG200/10))-(5-Control!$C$110)*0.1</f>
        <v>1.002845988140797</v>
      </c>
      <c r="ML200" s="173">
        <f ca="1">IF(Control!$C$110&lt;3,$MK200+($MG200-0.6)/(Control!$C$110*(Control!$C$110+3)), MAX(0.1, MIN(0.95,$MK200)))</f>
        <v>0.95</v>
      </c>
      <c r="MM200" s="173">
        <f ca="1">IF(Control!$C$110&lt;3,$MK200+(($MI200/10)-0.6)/(Control!$C$110*(Control!$C$110+3)), MAX(0.1, MIN(0.95,$MK200)))</f>
        <v>0.95</v>
      </c>
      <c r="MN200" s="173">
        <f ca="1">(1-$MM200)*(Control!$C$128-Control!$C$127)+Control!$C$127</f>
        <v>0.16</v>
      </c>
      <c r="MO200" s="170" t="e">
        <f ca="1">MAX(0,MIN(1,($MS200-Control!$C$127)/($MN200-Control!$C$127)))</f>
        <v>#DIV/0!</v>
      </c>
      <c r="MP200" s="173" t="e">
        <f ca="1">1/(0.76+1.5*$MI200)-(5-Control!$C$110)*0.1</f>
        <v>#N/A</v>
      </c>
      <c r="MQ200" s="172" t="e">
        <f t="shared" ref="MQ200:MQ263" ca="1" si="916">$MQ199+$NL199</f>
        <v>#DIV/0!</v>
      </c>
      <c r="MR200" s="168" t="e">
        <f t="shared" ca="1" si="888"/>
        <v>#DIV/0!</v>
      </c>
      <c r="MS200" s="173" t="e">
        <f ca="1">MAX(Control!$C$127, MIN(Control!$C$135, $MR200/MAX(0.0001,$CY200)))</f>
        <v>#DIV/0!</v>
      </c>
      <c r="MT200" s="168" t="e">
        <f ca="1">(Control!$C$128-$MS200)*Control!$C$74</f>
        <v>#DIV/0!</v>
      </c>
      <c r="MU200" s="168" t="e">
        <f ca="1">(Control!$C$135-$MS200)*Control!$C$74</f>
        <v>#DIV/0!</v>
      </c>
      <c r="MV200" s="168" t="e">
        <f t="shared" ca="1" si="889"/>
        <v>#DIV/0!</v>
      </c>
      <c r="MW200" s="168" t="e">
        <f t="shared" ca="1" si="890"/>
        <v>#DIV/0!</v>
      </c>
      <c r="MX200" s="171" t="e">
        <f ca="1">MAX(Control!$C$127, MIN(Control!$C$135, $MW200/MAX(0.0001,Control!$C$119-$CY200)))</f>
        <v>#DIV/0!</v>
      </c>
      <c r="MY200" s="54" t="e">
        <f ca="1">IF(Control!$C$114=1, $CX200*$MX200, 0)</f>
        <v>#DIV/0!</v>
      </c>
      <c r="MZ200" s="54" t="e">
        <f t="shared" ca="1" si="891"/>
        <v>#N/A</v>
      </c>
      <c r="NA200" s="168" t="e">
        <f ca="1">(Control!$C$128-$MX200)*(Control!$C$119-Control!$C$74)</f>
        <v>#DIV/0!</v>
      </c>
      <c r="NB200" s="168" t="e">
        <f ca="1">(Control!$C$135-$MX200)*(Control!$C$119-Control!$C$74)</f>
        <v>#DIV/0!</v>
      </c>
      <c r="NC200" s="174" t="e">
        <f t="shared" ca="1" si="892"/>
        <v>#DIV/0!</v>
      </c>
      <c r="ND200" s="54">
        <f ca="1">IF(Control!$C$58=2, IF(OR(Control!$B$218=$AH200,Control!$B$219=$AH200, Control!$B$220=$AH200, Control!$B$221=$AH200, Control!$B$222=$AH200, Control!$B$223=$AH200, Control!$B$224=$AH200, Control!$B$225=$AH200, Control!$B$226=$AH200, Control!$B$227=$AH200, Control!$B$228=$AH200), 1, 0), 0)</f>
        <v>0</v>
      </c>
      <c r="NE200" s="54">
        <f ca="1">IF($ND200=0,0, VLOOKUP($AH200,Control!$B$218:$C$228,2))</f>
        <v>0</v>
      </c>
      <c r="NF200" s="168" t="e">
        <f ca="1">$CY200*(Control!$C$128-Control!$C$127)</f>
        <v>#N/A</v>
      </c>
      <c r="NG200" s="54" t="e">
        <f ca="1">IF(Control!$C$58=2, $NI199-$NJ199, 0)</f>
        <v>#DIV/0!</v>
      </c>
      <c r="NH200" s="54" t="e">
        <f ca="1">IF(AND(Control!$C$58=1, $MS199&lt;= ($MN199+0.02), $I199&lt;10), 0, IF(Control!$C$58=2, $NG199, 0))</f>
        <v>#DIV/0!</v>
      </c>
      <c r="NI200" s="54" t="e">
        <f ca="1">IF(Control!$C$58=2, $NE200+$NH200,0)</f>
        <v>#DIV/0!</v>
      </c>
      <c r="NJ200" s="54" t="e">
        <f ca="1">IF(AND(Control!$C$58=1, $MS200&lt;= ($MN200+0.02), $I200&lt;10), MAX(0, MIN(10, 0.7*($NF200-$MV200))), IF(Control!$C$58=2, MIN(10,$NI200),0))</f>
        <v>#DIV/0!</v>
      </c>
      <c r="NK200" s="54" t="e">
        <f t="shared" ca="1" si="800"/>
        <v>#DIV/0!</v>
      </c>
      <c r="NL200" s="173" t="e">
        <f ca="1">(1-Control!$C$73)*$I200+$NJ200</f>
        <v>#DIV/0!</v>
      </c>
      <c r="NM200" s="172" t="e">
        <f ca="1">IF($NL200&lt;0.5, $MB200* MAX(0, MIN(1, (SQRT($NC200)-SQRT($NC200-1))*Control!$C$71)),0)</f>
        <v>#DIV/0!</v>
      </c>
      <c r="NN200" s="170" t="e">
        <f ca="1">IF($NL200&gt;=5, $MB200, MAX(0,MIN($MB200, $NM200+$NL200,($MS200-Control!$C$129))))</f>
        <v>#DIV/0!</v>
      </c>
      <c r="NO200" s="54">
        <f>IF(Control!$C$133&lt;&gt;1, Control!$C$135-Control!$C$131, 0)</f>
        <v>0.38</v>
      </c>
      <c r="NP200" s="54" t="e">
        <f t="shared" ca="1" si="801"/>
        <v>#DIV/0!</v>
      </c>
      <c r="NQ200" s="173" t="e">
        <f ca="1">MAX(0,MIN(1,(Control!$C$135-$MS200)/(Control!$C$135-$NO200)))</f>
        <v>#DIV/0!</v>
      </c>
      <c r="NR200" s="170" t="e">
        <f ca="1">IF(Control!$C$133&lt;&gt;1, $NQ200+((1-$NP200/4)*(1-$NQ200)),1)</f>
        <v>#DIV/0!</v>
      </c>
      <c r="NS200" s="170" t="e">
        <f ca="1">IF(Control!$B$31=0,$MJ200,MAX(0,MIN($MV200,$MO200*$NR200*$MJ200)))</f>
        <v>#DIV/0!</v>
      </c>
      <c r="NT200" s="170" t="e">
        <f t="shared" ref="NT200:NT263" ca="1" si="917">$NS200/$MJ200</f>
        <v>#DIV/0!</v>
      </c>
      <c r="NU200" s="170" t="e">
        <f t="shared" ca="1" si="893"/>
        <v>#N/A</v>
      </c>
      <c r="NV200" s="170" t="e">
        <f t="shared" ca="1" si="802"/>
        <v>#N/A</v>
      </c>
      <c r="NW200" s="175" t="e">
        <f t="shared" ca="1" si="803"/>
        <v>#DIV/0!</v>
      </c>
      <c r="NX200" s="170" t="e">
        <f ca="1">MIN(Control!$C$72+$MU200, $NW200)</f>
        <v>#DIV/0!</v>
      </c>
      <c r="NY200" s="170" t="e">
        <f ca="1">IF($MT200&lt;=$NX200,MIN(Control!$C$72+$NB200,$NX200-$MT200),0)</f>
        <v>#DIV/0!</v>
      </c>
      <c r="NZ200" s="54" t="e">
        <f ca="1">IF(Control!$C$114=1,  $CX200*($MX200-Control!$C$127), 0)</f>
        <v>#DIV/0!</v>
      </c>
      <c r="OA200" s="170" t="e">
        <f t="shared" ca="1" si="804"/>
        <v>#DIV/0!</v>
      </c>
      <c r="OB200" s="170" t="e">
        <f ca="1">IF($NA200 &lt;=$NY200, MIN(Control!$C$72, $NY200-$NA200), 0)</f>
        <v>#DIV/0!</v>
      </c>
      <c r="OC200" s="168" t="e">
        <f t="shared" ca="1" si="805"/>
        <v>#DIV/0!</v>
      </c>
      <c r="OD200" s="168" t="e">
        <f t="shared" ca="1" si="894"/>
        <v>#DIV/0!</v>
      </c>
      <c r="OE200" s="170">
        <f ca="1">Control!$C$73*$I200</f>
        <v>0</v>
      </c>
      <c r="OF200" s="176" t="e">
        <f t="shared" ca="1" si="806"/>
        <v>#DIV/0!</v>
      </c>
      <c r="OG200" s="168" t="e">
        <f t="shared" ca="1" si="807"/>
        <v>#DIV/0!</v>
      </c>
      <c r="OH200" s="168" t="e">
        <f t="shared" ca="1" si="808"/>
        <v>#DIV/0!</v>
      </c>
      <c r="OI200" s="168" t="e">
        <f t="shared" ca="1" si="809"/>
        <v>#DIV/0!</v>
      </c>
      <c r="OJ200" s="168" t="e">
        <f t="shared" ca="1" si="810"/>
        <v>#DIV/0!</v>
      </c>
      <c r="OK200" s="204" t="e">
        <f t="shared" ca="1" si="811"/>
        <v>#DIV/0!</v>
      </c>
      <c r="OL200" s="177">
        <f>Control!$C$127</f>
        <v>0.15</v>
      </c>
      <c r="OM200" s="182" t="e">
        <f t="shared" ca="1" si="812"/>
        <v>#N/A</v>
      </c>
      <c r="ON200" s="177">
        <f>Control!$C$128</f>
        <v>0.35</v>
      </c>
      <c r="OO200" s="182" t="e">
        <f t="shared" ca="1" si="813"/>
        <v>#N/A</v>
      </c>
      <c r="OP200" s="138">
        <f t="shared" ca="1" si="895"/>
        <v>0</v>
      </c>
      <c r="OQ200" s="138" t="e">
        <f t="shared" ref="OQ200:OQ263" ca="1" si="918">$OQ199+$NJ199</f>
        <v>#DIV/0!</v>
      </c>
      <c r="OR200" s="138" t="e">
        <f t="shared" ca="1" si="896"/>
        <v>#DIV/0!</v>
      </c>
      <c r="OS200" s="137" t="e">
        <f t="shared" ref="OS200:OS263" ca="1" si="919">$OS199+$OF199</f>
        <v>#DIV/0!</v>
      </c>
      <c r="OT200" s="139" t="e">
        <f t="shared" ref="OT200:OT263" ca="1" si="920">$OT199+$OB199</f>
        <v>#DIV/0!</v>
      </c>
      <c r="OU200" s="138" t="e">
        <f t="shared" ref="OU200:OU263" ca="1" si="921">$OU199+$NS199</f>
        <v>#N/A</v>
      </c>
      <c r="OV200" s="138" t="e">
        <f t="shared" ref="OV200:OV263" ca="1" si="922">$OV199+$NN199</f>
        <v>#DIV/0!</v>
      </c>
      <c r="OW200" s="138" t="e">
        <f t="shared" ca="1" si="897"/>
        <v>#DIV/0!</v>
      </c>
      <c r="OX200" s="138" t="e">
        <f t="shared" ca="1" si="898"/>
        <v>#DIV/0!</v>
      </c>
      <c r="OY200" s="138" t="e">
        <f t="shared" ca="1" si="899"/>
        <v>#DIV/0!</v>
      </c>
      <c r="OZ200" s="138" t="e">
        <f t="shared" ca="1" si="814"/>
        <v>#DIV/0!</v>
      </c>
      <c r="PA200" s="138" t="e">
        <f t="shared" ca="1" si="815"/>
        <v>#DIV/0!</v>
      </c>
      <c r="PB200" s="55">
        <f>IF(Control!$C$61="T", IF(Control!$C$65="F", IF($AH$6-Control!$C$60&lt;0,0,1), IF(365+$AH$6-Control!$C$60&lt;0,0,1)),0)</f>
        <v>0</v>
      </c>
      <c r="PC200" s="55">
        <f ca="1">IF(Control!$C$65="F", IF($AH$6-$HF200&lt;0,0,1), IF(365+$AH$6-$HF200&lt;0,0,1))</f>
        <v>1</v>
      </c>
      <c r="PD200" s="444">
        <f>Control!$C$118</f>
        <v>1500</v>
      </c>
      <c r="PE200" s="180" t="e">
        <f t="shared" ca="1" si="816"/>
        <v>#N/A</v>
      </c>
      <c r="PF200" s="445">
        <f t="shared" ca="1" si="900"/>
        <v>0.71612369323045078</v>
      </c>
      <c r="PT200" s="186"/>
      <c r="PU200" s="186"/>
      <c r="PV200" s="94"/>
      <c r="PW200" s="94"/>
      <c r="PX200" s="94"/>
      <c r="PY200" s="94"/>
      <c r="PZ200" s="94"/>
      <c r="QA200" s="94"/>
      <c r="QB200" s="94"/>
      <c r="QC200" s="94"/>
      <c r="QD200" s="94"/>
      <c r="QE200" s="94"/>
      <c r="QF200" s="94"/>
      <c r="QG200" s="94"/>
      <c r="QH200" s="94"/>
      <c r="QI200" s="94"/>
      <c r="QJ200" s="94"/>
      <c r="QK200" s="94"/>
      <c r="QL200" s="94"/>
      <c r="QM200" s="94"/>
      <c r="QN200" s="94"/>
      <c r="QO200" s="94"/>
      <c r="QP200" s="94"/>
    </row>
    <row r="201" spans="1:458" s="2" customFormat="1" x14ac:dyDescent="0.2">
      <c r="A201" s="395">
        <v>15</v>
      </c>
      <c r="B201" s="396">
        <v>7</v>
      </c>
      <c r="C201" s="387">
        <f ca="1">Weather_data!$B200</f>
        <v>0</v>
      </c>
      <c r="D201" s="388">
        <f ca="1">Weather_data!$F200</f>
        <v>0</v>
      </c>
      <c r="E201" s="388">
        <f ca="1">Weather_data!$E200</f>
        <v>0</v>
      </c>
      <c r="F201" s="388">
        <f t="shared" ca="1" si="817"/>
        <v>0</v>
      </c>
      <c r="G201" s="388">
        <f ca="1">AVERAGE($D201:$E201)+Control!$B$9</f>
        <v>0</v>
      </c>
      <c r="H201" s="388">
        <f ca="1">Weather_data!$G200</f>
        <v>0</v>
      </c>
      <c r="I201" s="388">
        <f ca="1">Weather_data!$I200</f>
        <v>0</v>
      </c>
      <c r="J201" s="388">
        <f ca="1">Weather_data!$H200</f>
        <v>0</v>
      </c>
      <c r="K201" s="389">
        <f ca="1">Weather_data!$D200</f>
        <v>0</v>
      </c>
      <c r="L201" s="388" t="e">
        <f t="shared" ca="1" si="818"/>
        <v>#N/A</v>
      </c>
      <c r="M201" s="388" t="e">
        <f t="shared" ca="1" si="696"/>
        <v>#N/A</v>
      </c>
      <c r="N201" s="388">
        <f t="shared" ca="1" si="697"/>
        <v>-5.9739192100250032E-10</v>
      </c>
      <c r="O201" s="388">
        <f t="shared" ca="1" si="819"/>
        <v>5.9739192100250032E-9</v>
      </c>
      <c r="P201" s="390">
        <v>3</v>
      </c>
      <c r="Q201" s="388">
        <f ca="1">MAX($G201-Control!$C$107,0)</f>
        <v>0</v>
      </c>
      <c r="R201" s="388">
        <f t="shared" ca="1" si="820"/>
        <v>0</v>
      </c>
      <c r="S201" s="388">
        <f t="shared" ca="1" si="698"/>
        <v>0</v>
      </c>
      <c r="T201" s="388">
        <f t="shared" ca="1" si="699"/>
        <v>0</v>
      </c>
      <c r="U201" s="59">
        <f t="shared" ca="1" si="700"/>
        <v>0</v>
      </c>
      <c r="V201" s="391">
        <f ca="1">MAX(0,MIN(Control!$C$100-Control!$C$99,$G201-Control!$C$99)*Control!$C$63)</f>
        <v>0</v>
      </c>
      <c r="W201" s="388">
        <f t="shared" ca="1" si="821"/>
        <v>0</v>
      </c>
      <c r="X201" s="388">
        <f t="shared" ca="1" si="822"/>
        <v>0.6110000000000001</v>
      </c>
      <c r="Y201" s="388">
        <f t="shared" ca="1" si="701"/>
        <v>0</v>
      </c>
      <c r="Z201" s="388">
        <f t="shared" ca="1" si="823"/>
        <v>0.61058800000000002</v>
      </c>
      <c r="AA201" s="388">
        <f t="shared" ca="1" si="702"/>
        <v>0.6018</v>
      </c>
      <c r="AB201" s="388">
        <f ca="1">101.3*EXP(-0.034*Control!$C$66/($G201+273))</f>
        <v>100.69623283836242</v>
      </c>
      <c r="AC201" s="392">
        <f t="shared" ca="1" si="703"/>
        <v>4.3460251046025113E-2</v>
      </c>
      <c r="AD201" s="392">
        <f t="shared" ca="1" si="704"/>
        <v>4.4450382862832649E-2</v>
      </c>
      <c r="AE201" s="388">
        <f t="shared" ca="1" si="705"/>
        <v>0</v>
      </c>
      <c r="AF201" s="388">
        <f ca="1">MAX(0,$G201-Control!$C$92)</f>
        <v>0</v>
      </c>
      <c r="AG201" s="393">
        <f t="shared" ca="1" si="706"/>
        <v>197</v>
      </c>
      <c r="AH201" s="389">
        <f t="shared" ca="1" si="707"/>
        <v>197</v>
      </c>
      <c r="AI201" s="388">
        <f t="shared" ca="1" si="824"/>
        <v>0.37156891625954802</v>
      </c>
      <c r="AJ201" s="388">
        <f ca="1">IF(Control!$C$60&lt;=0,$HH201,$HI201)</f>
        <v>1</v>
      </c>
      <c r="AK201" s="388">
        <f t="shared" ca="1" si="708"/>
        <v>2.0140621395616756</v>
      </c>
      <c r="AL201" s="388">
        <f t="shared" ca="1" si="709"/>
        <v>-1.2442989347216659E-17</v>
      </c>
      <c r="AM201" s="388">
        <f t="shared" ca="1" si="710"/>
        <v>2.0140621395616756</v>
      </c>
      <c r="AN201" s="388">
        <f t="shared" ca="1" si="711"/>
        <v>0.36757656564176427</v>
      </c>
      <c r="AO201" s="388">
        <f ca="1">-0.10453/COS(Control!$B$8*PI()/180)*COS(AN201)</f>
        <v>-0.15844339799042192</v>
      </c>
      <c r="AP201" s="388">
        <f ca="1">ACOS(AO201-TAN(Control!$B$8*PI()/180)*TAN(AN201))</f>
        <v>2.2801196546988223</v>
      </c>
      <c r="AQ201" s="388">
        <f t="shared" ca="1" si="825"/>
        <v>0</v>
      </c>
      <c r="AR201" s="394">
        <f t="shared" ca="1" si="712"/>
        <v>0</v>
      </c>
      <c r="AS201" s="436">
        <f ca="1">IF(Control!$B$18=2,(IF(OR($AH201=Control!$B$175,$AH201=Control!$B$176,$AH201=Control!$B$177,$AH201=Control!$B$178,$AH201=Control!$B$179,$AH201=Control!$B$180,$AH201=Control!$B$181,$AH201=Control!$B$182,$AH201=Control!$B$183,$AH201=Control!$B$184,$AH201=Control!$B$185),1,0)),0)</f>
        <v>0</v>
      </c>
      <c r="AT201" s="436">
        <f>IF(Control!$B$20=8,IF(AND($AH201&gt;=Control!$B$172,$AH201&lt;=Control!$B$173),1,0),0)</f>
        <v>0</v>
      </c>
      <c r="AU201" s="436">
        <f>IF(Control!$B$20=8,IF($AV200=1,1*$AT201,IF($AT201=1,$AU200+1,$AU200)),0)</f>
        <v>0</v>
      </c>
      <c r="AV201" s="436">
        <f>IF(Control!$B$20=8,IF($AU201&gt;=Control!$B$174,1,0),0)</f>
        <v>0</v>
      </c>
      <c r="AW201" s="436">
        <f ca="1">IF(AND(Control!$B$18=2,Control!$B$171=1), $AV201, $AS201)</f>
        <v>0</v>
      </c>
      <c r="AX201" s="436" t="e">
        <f ca="1">IF(AND(Control!$B$18=1,$EU201&gt;=Control!$B$19),-$AY201,IF(AND(Control!$B$18=2,$AW201=1,$EU201&gt;$DS201),-$AY201, IF(Control!$C$108=0,0, IF(Control!$C$108&lt;&gt;0,1))))</f>
        <v>#N/A</v>
      </c>
      <c r="AY201" s="436" t="e">
        <f t="shared" ca="1" si="826"/>
        <v>#N/A</v>
      </c>
      <c r="AZ201" s="436" t="e">
        <f ca="1">IF(AND(Control!$B$18=1,$EB201&gt;Control!$B$19),$AZ200+1, IF(AND(Control!$B$18=2, $AW201=1, $EB201&gt;$DS201), $AZ200+1,$AZ200))</f>
        <v>#N/A</v>
      </c>
      <c r="BA201" s="587">
        <f>IF(Control!$C$81=0,1,IF($AH201&gt;=Control!$C$82,1,0))</f>
        <v>1</v>
      </c>
      <c r="BB201" s="140" t="e">
        <f ca="1">IF($BA201&gt;$BA200,Control!$C$83,IF($AW201&gt;0,$AW201*Control!$C$84,IF(AND(Control!$B$18=1,EN200&lt;&gt;0),Control!$C$84,0)))</f>
        <v>#N/A</v>
      </c>
      <c r="BC201" s="140" t="e">
        <f t="shared" ca="1" si="827"/>
        <v>#N/A</v>
      </c>
      <c r="BD201" s="140" t="e">
        <f ca="1">BC201*IF(OR($G201&lt;Control!$C$92,$G201&gt;Control!$C$95),0,IF(AND($G201&gt;=Control!$C$92,$G201&lt;=Control!$C$93),$G201-Control!$C$92,IF(AND($G201&gt;Control!$C$93,$G201&lt;=Control!$C$94),Control!$C$93-Control!$C$92,IF(AND($G201&gt;Control!$C$94,$G201&lt;=Control!$C$95),(Control!$C$93-Control!$C$92)*(Control!$C$94-$G201)/(Control!$C$95-Control!$C$94)))))</f>
        <v>#N/A</v>
      </c>
      <c r="BE201" s="140" t="e">
        <f t="shared" ca="1" si="828"/>
        <v>#N/A</v>
      </c>
      <c r="BF201" s="140" t="e">
        <f ca="1">IF($BE201&lt;=Control!$C$86,$BE201,Control!$C$86-$BE201)</f>
        <v>#N/A</v>
      </c>
      <c r="BG201" s="140" t="e">
        <f ca="1">IF(AND($AW201=1,Control!$C$84&lt;9),1,IF($BE201&gt;=Control!$C$86,0,$BC201))</f>
        <v>#N/A</v>
      </c>
      <c r="BH201" s="404" t="e">
        <f ca="1">IF($BG201=0,0,IF($BE201&lt;=Control!$C$86,$BC201*9*($BF201/Control!$C$86),0))</f>
        <v>#N/A</v>
      </c>
      <c r="BI201" s="140" t="e">
        <f ca="1">IF($BG201=1,0,IF($BE201&gt;=Control!$C$86,1,IF(AND($BB201&lt;21,$BB201&gt;=9),1,$BM200)))</f>
        <v>#N/A</v>
      </c>
      <c r="BJ201" s="140" t="e">
        <f ca="1">IF($BF201&lt;0,-$BF201,$BI201*IF(OR($G201&lt;Control!$C$92,$G201&gt;Control!$C$95),0,IF(AND($G201&gt;=Control!$C$92,$G201&lt;=Control!$C$93),$G201-Control!$C$92,IF(AND($G201&gt;Control!$C$93,$G201&lt;=Control!$C$94),Control!$C$93-Control!$C$92,IF(AND($G201&gt;Control!$C$94,$G201&lt;=Control!$C$95),(Control!$C$93-Control!$C$92)*(Control!$C$94-$G201)/(Control!$C$95-Control!$C$94))))))</f>
        <v>#N/A</v>
      </c>
      <c r="BK201" s="140" t="e">
        <f t="shared" ca="1" si="829"/>
        <v>#N/A</v>
      </c>
      <c r="BL201" s="140" t="e">
        <f ca="1">IF($BK201&lt;=Control!$C$87,$BK201,Control!$C$87-$BK201)</f>
        <v>#N/A</v>
      </c>
      <c r="BM201" s="140" t="e">
        <f ca="1">IF(AND($BB201&gt;=9,$BB201&lt;21),1,IF($BK201&gt;=Control!$C$87,0,$BI201))</f>
        <v>#N/A</v>
      </c>
      <c r="BN201" s="404" t="e">
        <f ca="1">IF($BM201=0,0,IF($BK201&lt;=Control!$C$87,$BI201*(9+(21-9)*($BL201/Control!$C$87)),0))</f>
        <v>#N/A</v>
      </c>
      <c r="BO201" s="140" t="e">
        <f ca="1">IF($BM201=1,0,IF($BK201&gt;=Control!$C$87,1,IF(AND($BB201&lt;30,$BB201&gt;=21),1,$BS200)))</f>
        <v>#N/A</v>
      </c>
      <c r="BP201" s="140" t="e">
        <f ca="1">IF($BL201&lt;0,-$BL201,$BO201*IF(OR($G201&lt;Control!$C$92,$G201&gt;Control!$C$95),0,IF(AND($G201&gt;=Control!$C$92,$G201&lt;=Control!$C$93),$G201-Control!$C$92,IF(AND($G201&gt;Control!$C$93,$G201&lt;=Control!$C$94),Control!$C$93-Control!$C$92,IF(AND($G201&gt;Control!$C$94,$G201&lt;=Control!$C$95),(Control!$C$93-Control!$C$92)*(Control!$C$94-$G201)/(Control!$C$95-Control!$C$94))))))</f>
        <v>#N/A</v>
      </c>
      <c r="BQ201" s="140" t="e">
        <f t="shared" ca="1" si="713"/>
        <v>#N/A</v>
      </c>
      <c r="BR201" s="140" t="e">
        <f ca="1">IF($BQ201&lt;=Control!$C$88,$BQ201,Control!$C$88-$BQ201)</f>
        <v>#N/A</v>
      </c>
      <c r="BS201" s="140" t="e">
        <f ca="1">IF(AND($BB201&gt;=21,$BB201&lt;30),1,IF($BQ201&gt;=Control!$C$88,0,$BO201))</f>
        <v>#N/A</v>
      </c>
      <c r="BT201" s="404" t="e">
        <f ca="1">IF($BS201=0,0,IF($BQ201&lt;=Control!$C$88,$BO201*(21+(30-21)*(BR201/Control!$C$88)),0))</f>
        <v>#N/A</v>
      </c>
      <c r="BU201" s="140" t="e">
        <f ca="1">IF(BG201+BM201+BS201=1,0,IF(OR(AND($BB201&lt;60,$BB201&gt;=30),$BQ201&gt;=Control!$C$88),1*$BA201,$BY200))</f>
        <v>#N/A</v>
      </c>
      <c r="BV201" s="140" t="e">
        <f ca="1">IF($BR201&lt;0,-$BR201,$BU201*IF(OR($G201&lt;Control!$C$92,$G201&gt;Control!$C$95),0,IF(AND($G201&gt;=Control!$C$92,$G201&lt;=Control!$C$93),$G201-Control!$C$92,IF(AND($G201&gt;Control!$C$93,$G201&lt;=Control!$C$94),Control!$C$93-Control!$C$92,IF(AND($G201&gt;Control!$C$94,$G201&lt;=Control!$C$95),(Control!$C$93-Control!$C$92)*(Control!$C$94-$G201)/(Control!$C$95-Control!$C$94))))))</f>
        <v>#N/A</v>
      </c>
      <c r="BW201" s="140" t="e">
        <f t="shared" ca="1" si="714"/>
        <v>#N/A</v>
      </c>
      <c r="BX201" s="140" t="e">
        <f ca="1">IF($BW201&lt;=Control!$C$89,$BW201,Control!$C$89-$BW201)</f>
        <v>#N/A</v>
      </c>
      <c r="BY201" s="140" t="e">
        <f ca="1">IF(AND($AJ201&gt;=30,$AJ201&lt;60),1,IF($BW201&gt;=Control!$C$89,0,$BU201))</f>
        <v>#N/A</v>
      </c>
      <c r="BZ201" s="404" t="e">
        <f ca="1">IF($BY201=0,0,IF($BW201&lt;=Control!$C$89,$BU201*(30+(60-30)*(BX201/Control!$C$89)),0))</f>
        <v>#N/A</v>
      </c>
      <c r="CA201" s="140" t="e">
        <f ca="1">IF($BG201+$BM201+$BS201+$BY201=1,0,IF(OR(AND($BB201&lt;65,$BB201&gt;=60),$BW201&gt;=Control!$C$89),1*$BA201,$CE200))</f>
        <v>#N/A</v>
      </c>
      <c r="CB201" s="140" t="e">
        <f ca="1">IF($BX201&lt;0,-$BX201,$CA201*IF(OR($G201&lt;Control!$C$92,$G201&gt;Control!$C$95),0,IF(AND($G201&gt;=Control!$C$92,$G201&lt;=Control!$C$93),$G201-Control!$C$92,IF(AND($G201&gt;Control!$C$93,$G201&lt;=Control!$C$94),Control!$C$93-Control!$C$92,IF(AND($G201&gt;Control!$C$94,$G201&lt;=Control!$C$95),(Control!$C$93-Control!$C$92)*(Control!$C$94-$G201)/(Control!$C$95-Control!$C$94))))))</f>
        <v>#N/A</v>
      </c>
      <c r="CC201" s="140" t="e">
        <f t="shared" ca="1" si="830"/>
        <v>#N/A</v>
      </c>
      <c r="CD201" s="140" t="e">
        <f ca="1">IF($CC201&lt;=Control!$C$90,$CC201,Control!$C$90-$CC201)</f>
        <v>#N/A</v>
      </c>
      <c r="CE201" s="140" t="e">
        <f ca="1">IF(AND($BB201&gt;=60,$BB201&lt;65),1,IF($CC201&gt;=Control!$C$90,0,$CA201))</f>
        <v>#N/A</v>
      </c>
      <c r="CF201" s="404" t="e">
        <f ca="1">IF($CE201=0,0,IF($CC201&lt;=Control!$C$90,$CA201*(60+(65-60)*(CD201/Control!$C$90)),0))</f>
        <v>#N/A</v>
      </c>
      <c r="CG201" s="140" t="e">
        <f ca="1">IF($BG201+$BM201+$BS201+$BY201+$CE201=1,0,IF(OR(AND($BB201&lt;90,$BB201&gt;=65),$CC201&gt;=Control!$C$90),$BA201,$CK200))</f>
        <v>#N/A</v>
      </c>
      <c r="CH201" s="140" t="e">
        <f ca="1">IF($CD201&lt;0,-$CD201,$CG201*IF(OR($G201&lt;Control!$C$92,$G201&gt;Control!$C$95),0,IF(AND($G201&gt;=Control!$C$92,$G201&lt;=Control!$C$93),$G201-Control!$C$92,IF(AND($G201&gt;Control!$C$93,$G201&lt;=Control!$C$94),Control!$C$93-Control!$C$92,IF(AND($G201&gt;Control!$C$94,$G201&lt;=Control!$C$95),(Control!$C$93-Control!$C$92)*(Control!$C$94-$G201)/(Control!$C$95-Control!$C$94))))))</f>
        <v>#N/A</v>
      </c>
      <c r="CI201" s="140" t="e">
        <f t="shared" ca="1" si="831"/>
        <v>#N/A</v>
      </c>
      <c r="CJ201" s="140" t="e">
        <f ca="1">IF($CI201&lt;=Control!$C$91,$CI201,Control!$C$91-$CI201)</f>
        <v>#N/A</v>
      </c>
      <c r="CK201" s="140" t="e">
        <f ca="1">IF(AND($BB201&gt;=65,$BB201&lt;90),1,IF($CI201&gt;=Control!$C$91,0,$CG201))</f>
        <v>#N/A</v>
      </c>
      <c r="CL201" s="404" t="e">
        <f ca="1">IF($CK201=0,0,IF($CI201&lt;=Control!$C$91,$CG201*(65+(90-65)*($CJ201/Control!$C$91)),0))</f>
        <v>#N/A</v>
      </c>
      <c r="CM201" s="140" t="e">
        <f ca="1">IF($BG201+$BM201+$BS201+$BY201+$CE201+$CK201=1,0,IF(OR($BB201&gt;=90,$CI201&gt;=Control!$C$91),$BA201,$CM200))</f>
        <v>#N/A</v>
      </c>
      <c r="CN201" s="140" t="e">
        <f t="shared" ca="1" si="832"/>
        <v>#N/A</v>
      </c>
      <c r="CO201" s="140" t="e">
        <f t="shared" ca="1" si="833"/>
        <v>#N/A</v>
      </c>
      <c r="CP201" s="140" t="e">
        <f t="shared" ca="1" si="834"/>
        <v>#N/A</v>
      </c>
      <c r="CQ201" s="141" t="e">
        <f ca="1">VLOOKUP($CP201,Control!$B$86:$G$91,6)</f>
        <v>#N/A</v>
      </c>
      <c r="CR201" s="141" t="e">
        <f ca="1">(1-$CQ201)*VLOOKUP($CP201,Control!$B$86:$D$91,3)</f>
        <v>#N/A</v>
      </c>
      <c r="CS201" s="141" t="e">
        <f ca="1">(1-$CQ201)*VLOOKUP($CP201,Control!$B$86:$E$91,4)</f>
        <v>#N/A</v>
      </c>
      <c r="CT201" s="141" t="e">
        <f ca="1">(1-$CQ201)*VLOOKUP($CP201,Control!$B$86:$F$91,5)</f>
        <v>#N/A</v>
      </c>
      <c r="CU201" s="141">
        <f t="shared" ca="1" si="835"/>
        <v>0</v>
      </c>
      <c r="CV201" s="583">
        <f t="shared" ca="1" si="836"/>
        <v>0</v>
      </c>
      <c r="CW201" s="142">
        <f t="shared" ca="1" si="837"/>
        <v>197</v>
      </c>
      <c r="CX201" s="612" t="e">
        <f ca="1">IF(Control!$C$114=1,(MIN(Control!$C$120*(IF($NT201-0.01&lt;0,0,1)),Control!$C$119-$CY201)))</f>
        <v>#DIV/0!</v>
      </c>
      <c r="CY201" s="143" t="e">
        <f t="shared" ca="1" si="838"/>
        <v>#N/A</v>
      </c>
      <c r="CZ201" s="144">
        <f t="shared" ca="1" si="715"/>
        <v>0</v>
      </c>
      <c r="DA201" s="144">
        <f t="shared" ca="1" si="716"/>
        <v>0</v>
      </c>
      <c r="DB201" s="144" t="e">
        <f t="shared" ca="1" si="717"/>
        <v>#N/A</v>
      </c>
      <c r="DC201" s="144" t="e">
        <f t="shared" ca="1" si="718"/>
        <v>#N/A</v>
      </c>
      <c r="DD201" s="144" t="e">
        <f t="shared" ref="DD201:DD264" ca="1" si="923">IF($DE200&lt;14000,(($DC200-$DX200)*$DA200*$DE200),(-$DX200*$DA200*$DE200))</f>
        <v>#N/A</v>
      </c>
      <c r="DE201" s="143" t="e">
        <f t="shared" ca="1" si="839"/>
        <v>#N/A</v>
      </c>
      <c r="DF201" s="145" t="e">
        <f ca="1">$DR201*EXP(-Control!$C$158*(1-$KH201))</f>
        <v>#N/A</v>
      </c>
      <c r="DG201" s="146" t="e">
        <f ca="1">IF(Control!$C$114=1, $DF201*$EY201, 0)</f>
        <v>#N/A</v>
      </c>
      <c r="DH201" s="147" t="e">
        <f t="shared" ca="1" si="840"/>
        <v>#N/A</v>
      </c>
      <c r="DI201" s="144" t="e">
        <f t="shared" ca="1" si="901"/>
        <v>#N/A</v>
      </c>
      <c r="DJ201" s="147" t="e">
        <f ca="1">$EF201*Control!$C$109</f>
        <v>#N/A</v>
      </c>
      <c r="DK201" s="144" t="e">
        <f t="shared" ca="1" si="841"/>
        <v>#N/A</v>
      </c>
      <c r="DL201" s="144" t="e">
        <f t="shared" ca="1" si="719"/>
        <v>#N/A</v>
      </c>
      <c r="DM201" s="144" t="e">
        <f ca="1">IF(Control!$C$114=1, (1-EXP(-Control!$C$96*$DK201))*$AR201, 0)</f>
        <v>#N/A</v>
      </c>
      <c r="DN201" s="144">
        <f t="shared" ca="1" si="842"/>
        <v>0</v>
      </c>
      <c r="DO201" s="148">
        <f>Control!$C$97</f>
        <v>4</v>
      </c>
      <c r="DP201" s="145" t="e">
        <f t="shared" ca="1" si="843"/>
        <v>#N/A</v>
      </c>
      <c r="DQ201" s="145" t="e">
        <f ca="1">IF(AND($CP201&gt;=0,$CP201&lt;=90),Control!$C$111,Control!$C$111)</f>
        <v>#N/A</v>
      </c>
      <c r="DR201" s="145" t="e">
        <f t="shared" ca="1" si="720"/>
        <v>#N/A</v>
      </c>
      <c r="DS201" s="143" t="e">
        <f ca="1">Control!$B$22/$DR201</f>
        <v>#N/A</v>
      </c>
      <c r="DT201" s="149" t="e">
        <f ca="1">IF(AND(Control!$C$114=1,$KH201&lt;1),$IM201*$DF201, 0)</f>
        <v>#N/A</v>
      </c>
      <c r="DU201" s="144" t="e">
        <f t="shared" ca="1" si="844"/>
        <v>#N/A</v>
      </c>
      <c r="DV201" s="144">
        <f ca="1">IF($G201-Control!$C$107&lt;=0, 0, 0.83*LN(MAX($G201, 3))-0.8924)</f>
        <v>0</v>
      </c>
      <c r="DW201" s="144" t="e">
        <f t="shared" ca="1" si="721"/>
        <v>#N/A</v>
      </c>
      <c r="DX201" s="150" t="e">
        <f ca="1">MAX(0.01*(1+$CU201/Control!$C$102),0.05*($DK201-Control!$C$97)/Control!$C$97)</f>
        <v>#N/A</v>
      </c>
      <c r="DY201" s="151" t="e">
        <f ca="1">IF(Control!$C$114=1, $DI201*$FS201, 0)</f>
        <v>#N/A</v>
      </c>
      <c r="DZ201" s="196" t="e">
        <f t="shared" ca="1" si="845"/>
        <v>#N/A</v>
      </c>
      <c r="EA201" s="152">
        <f t="shared" ca="1" si="846"/>
        <v>197</v>
      </c>
      <c r="EB201" s="153" t="e">
        <f t="shared" ca="1" si="847"/>
        <v>#N/A</v>
      </c>
      <c r="EC201" s="153" t="e">
        <f t="shared" ca="1" si="848"/>
        <v>#N/A</v>
      </c>
      <c r="ED201" s="154" t="e">
        <f ca="1">IF(Control!$C$114=1, $HM201*$FY201-$FD201, 0)</f>
        <v>#DIV/0!</v>
      </c>
      <c r="EE201" s="155" t="e">
        <f ca="1">IF(Control!$C$114=1, $HM201*$FZ201-$FF201, 0)</f>
        <v>#DIV/0!</v>
      </c>
      <c r="EF201" s="153" t="e">
        <f t="shared" ca="1" si="902"/>
        <v>#N/A</v>
      </c>
      <c r="EG201" s="155" t="e">
        <f ca="1">IF(Control!$C$114=1, $GX201*$FW201-$FI201, 0)</f>
        <v>#DIV/0!</v>
      </c>
      <c r="EH201" s="153" t="e">
        <f t="shared" ca="1" si="849"/>
        <v>#N/A</v>
      </c>
      <c r="EI201" s="156" t="e">
        <f t="shared" ca="1" si="850"/>
        <v>#N/A</v>
      </c>
      <c r="EJ201" s="155" t="e">
        <f ca="1">IF(Control!$C$114=1, $HM201*$GB201, 0)</f>
        <v>#DIV/0!</v>
      </c>
      <c r="EK201" s="153" t="e">
        <f t="shared" ca="1" si="903"/>
        <v>#N/A</v>
      </c>
      <c r="EL201" s="153" t="e">
        <f t="shared" ca="1" si="722"/>
        <v>#N/A</v>
      </c>
      <c r="EM201" s="153" t="e">
        <f t="shared" ca="1" si="723"/>
        <v>#N/A</v>
      </c>
      <c r="EN201" s="153" t="e">
        <f ca="1">IF(Control!$C$108=1,IF(AND(Control!$B$18=1,$EB201&gt;=Control!$B$19),$EB201-$DS201,IF(AND(Control!$B$18=2,$AW201=1,$EB201&gt;$DS201),$EB201-$DS201,0)))</f>
        <v>#N/A</v>
      </c>
      <c r="EO201" s="153" t="e">
        <f ca="1">IF(Control!$C$108=1,IF(AND(Control!$B$18=1,$EB201&gt;=Control!$B$19),$EF201,IF(AND(Control!$B$18=2,$AW201=1),$EF201,0)))</f>
        <v>#N/A</v>
      </c>
      <c r="EP201" s="153" t="e">
        <f ca="1">IF(Control!$C$108=1,IF(AND(Control!$B$18=1,$EB201&gt;=Control!$B$19),$EK201,IF(AND(Control!$B$18=2,$AW201=1),$EK201,0)))</f>
        <v>#N/A</v>
      </c>
      <c r="EQ201" s="153" t="e">
        <f t="shared" ca="1" si="851"/>
        <v>#N/A</v>
      </c>
      <c r="ER201" s="153" t="e">
        <f t="shared" ca="1" si="852"/>
        <v>#N/A</v>
      </c>
      <c r="ES201" s="153" t="e">
        <f t="shared" ca="1" si="904"/>
        <v>#N/A</v>
      </c>
      <c r="ET201" s="153" t="e">
        <f t="shared" ca="1" si="905"/>
        <v>#N/A</v>
      </c>
      <c r="EU201" s="153" t="e">
        <f t="shared" ca="1" si="853"/>
        <v>#N/A</v>
      </c>
      <c r="EV201" s="153" t="e">
        <f t="shared" ca="1" si="724"/>
        <v>#N/A</v>
      </c>
      <c r="EW201" s="153" t="e">
        <f t="shared" ca="1" si="725"/>
        <v>#N/A</v>
      </c>
      <c r="EX201" s="153" t="e">
        <f t="shared" ca="1" si="726"/>
        <v>#N/A</v>
      </c>
      <c r="EY201" s="157" t="e">
        <f t="shared" ca="1" si="727"/>
        <v>#DIV/0!</v>
      </c>
      <c r="EZ201" s="154" t="e">
        <f t="shared" ca="1" si="728"/>
        <v>#DIV/0!</v>
      </c>
      <c r="FA201" s="153" t="e">
        <f t="shared" ca="1" si="854"/>
        <v>#N/A</v>
      </c>
      <c r="FB201" s="153" t="e">
        <f t="shared" ca="1" si="729"/>
        <v>#N/A</v>
      </c>
      <c r="FC201" s="193" t="e">
        <f t="shared" ca="1" si="730"/>
        <v>#N/A</v>
      </c>
      <c r="FD201" s="158" t="e">
        <f t="shared" ca="1" si="855"/>
        <v>#N/A</v>
      </c>
      <c r="FE201" s="158" t="e">
        <f t="shared" ca="1" si="856"/>
        <v>#N/A</v>
      </c>
      <c r="FF201" s="159" t="e">
        <f t="shared" ca="1" si="731"/>
        <v>#N/A</v>
      </c>
      <c r="FG201" s="160" t="e">
        <f t="shared" ca="1" si="857"/>
        <v>#N/A</v>
      </c>
      <c r="FH201" s="158" t="e">
        <f t="shared" ca="1" si="858"/>
        <v>#N/A</v>
      </c>
      <c r="FI201" s="159" t="e">
        <f t="shared" ca="1" si="732"/>
        <v>#N/A</v>
      </c>
      <c r="FJ201" s="160" t="e">
        <f t="shared" ca="1" si="859"/>
        <v>#N/A</v>
      </c>
      <c r="FK201" s="160" t="e">
        <f t="shared" ca="1" si="733"/>
        <v>#N/A</v>
      </c>
      <c r="FL201" s="160" t="e">
        <f t="shared" ca="1" si="906"/>
        <v>#N/A</v>
      </c>
      <c r="FM201" s="160" t="e">
        <f t="shared" ca="1" si="734"/>
        <v>#N/A</v>
      </c>
      <c r="FN201" s="158">
        <f t="shared" ca="1" si="860"/>
        <v>0.01</v>
      </c>
      <c r="FO201" s="160">
        <f>Control!$C$101</f>
        <v>50</v>
      </c>
      <c r="FP201" s="150" t="e">
        <f t="shared" ca="1" si="735"/>
        <v>#N/A</v>
      </c>
      <c r="FQ201" s="150" t="e">
        <f ca="1">MAX(0,(Control!$C$112*(($DK201-Control!$C$97)/Control!$C$97)))</f>
        <v>#N/A</v>
      </c>
      <c r="FR201" s="150" t="e">
        <f ca="1">(1-$NT201)*Control!$C$113</f>
        <v>#DIV/0!</v>
      </c>
      <c r="FS201" s="198" t="e">
        <f t="shared" ca="1" si="736"/>
        <v>#N/A</v>
      </c>
      <c r="FT201" s="161">
        <f t="shared" ca="1" si="861"/>
        <v>197</v>
      </c>
      <c r="FU201" s="162" t="e">
        <f ca="1">IF(Control!$B$34=1,VLOOKUP($CP201,Control!$B$86:$G$91,6),Control!$B$35)</f>
        <v>#N/A</v>
      </c>
      <c r="FV201" s="162" t="e">
        <f t="shared" ca="1" si="737"/>
        <v>#DIV/0!</v>
      </c>
      <c r="FW201" s="162" t="e">
        <f ca="1">IF(Control!$B$31=1,$FU201*$FV201,  $FU201)</f>
        <v>#N/A</v>
      </c>
      <c r="FX201" s="162" t="e">
        <f ca="1">IF(Control!$B$34=1,VLOOKUP($CP201,Control!$B$86:$G$91,3),Control!$B$36)</f>
        <v>#N/A</v>
      </c>
      <c r="FY201" s="162" t="e">
        <f t="shared" ca="1" si="738"/>
        <v>#N/A</v>
      </c>
      <c r="FZ201" s="162" t="e">
        <f ca="1">IF(Control!$B$34=1,VLOOKUP($CP201,Control!$B$86:$G$91,4),Control!$B$37)</f>
        <v>#N/A</v>
      </c>
      <c r="GA201" s="162" t="e">
        <f t="shared" ca="1" si="739"/>
        <v>#N/A</v>
      </c>
      <c r="GB201" s="162" t="e">
        <f ca="1">IF(Control!$B$34=1,VLOOKUP($CP201,Control!$B$86:$G$91,5),Control!$B$38)</f>
        <v>#N/A</v>
      </c>
      <c r="GC201" s="162" t="e">
        <f t="shared" ca="1" si="862"/>
        <v>#N/A</v>
      </c>
      <c r="GD201" s="162">
        <f t="shared" ca="1" si="740"/>
        <v>1</v>
      </c>
      <c r="GE201" s="162">
        <f t="shared" ca="1" si="741"/>
        <v>1</v>
      </c>
      <c r="GF201" s="162">
        <f ca="1">IF(AND(Control!$C$104=1, Control!$C$62="F"),$GE201,1)</f>
        <v>1</v>
      </c>
      <c r="GG201" s="162" t="e">
        <f ca="1">IF(Control!$B$16=40,0,IF(AND(Control!$B$16&gt;40,Control!$B$16&lt;=360),(Control!$B$16-40)*((1-0)/(360-40)),IF(AND(Control!$B$16&gt;360,Control!$B$16&lt;=720),(1+(Control!$B$16-360)*((1.25-1)/(720-360))),IF(AND(Control!$B$16&gt;720,Control!$B$16&lt;=1000),(1.25+(Control!$B$16-720)*((1.35-1.25)/(1000-720))),IF(AND(Control!$B$16&gt;1000,Control!$B$16&lt;=2000),(1.35+(Control!$B$16-1000)*0))))))</f>
        <v>#N/A</v>
      </c>
      <c r="GH201" s="162" t="e">
        <f t="shared" ca="1" si="742"/>
        <v>#N/A</v>
      </c>
      <c r="GI201" s="162">
        <f t="shared" ca="1" si="863"/>
        <v>0</v>
      </c>
      <c r="GJ201" s="162">
        <f t="shared" ca="1" si="743"/>
        <v>0</v>
      </c>
      <c r="GK201" s="162">
        <f t="shared" ca="1" si="864"/>
        <v>1</v>
      </c>
      <c r="GL201" s="162">
        <f t="shared" ca="1" si="744"/>
        <v>1</v>
      </c>
      <c r="GM201" s="162" t="e">
        <f ca="1">MAX(0,MIN(1,1-Control!$C$156*(1.0001-$KH201)^2))</f>
        <v>#N/A</v>
      </c>
      <c r="GN201" s="162" t="e">
        <f ca="1">IF(Control!$B$26=1,$KU201,$KX201)</f>
        <v>#N/A</v>
      </c>
      <c r="GO201" s="162" t="e">
        <f ca="1">IF($CP201&lt;=60,Control!$C$105,IF($CP201&gt;=90,Control!$C$106,Control!$C$105+($CP201-60)*((Control!$C$106-Control!$C$105)/(90-60))))</f>
        <v>#N/A</v>
      </c>
      <c r="GP201" s="162" t="e">
        <f t="shared" ca="1" si="745"/>
        <v>#N/A</v>
      </c>
      <c r="GQ201" s="162" t="e">
        <f t="shared" ca="1" si="865"/>
        <v>#N/A</v>
      </c>
      <c r="GR201" s="163" t="e">
        <f t="shared" ca="1" si="746"/>
        <v>#DIV/0!</v>
      </c>
      <c r="GS201" s="162" t="e">
        <f t="shared" ca="1" si="747"/>
        <v>#DIV/0!</v>
      </c>
      <c r="GT201" s="164" t="e">
        <f t="shared" ca="1" si="866"/>
        <v>#N/A</v>
      </c>
      <c r="GU201" s="162" t="e">
        <f t="shared" ca="1" si="867"/>
        <v>#N/A</v>
      </c>
      <c r="GV201" s="162" t="e">
        <f t="shared" ca="1" si="748"/>
        <v>#N/A</v>
      </c>
      <c r="GW201" s="162" t="e">
        <f t="shared" ca="1" si="749"/>
        <v>#DIV/0!</v>
      </c>
      <c r="GX201" s="162" t="e">
        <f t="shared" ca="1" si="868"/>
        <v>#DIV/0!</v>
      </c>
      <c r="GY201" s="162" t="e">
        <f t="shared" ca="1" si="869"/>
        <v>#DIV/0!</v>
      </c>
      <c r="GZ201" s="165" t="e">
        <f t="shared" ca="1" si="750"/>
        <v>#N/A</v>
      </c>
      <c r="HA201" s="162" t="e">
        <f ca="1">IF(Control!$C$114=1, $DI201*$FS201, 0)</f>
        <v>#N/A</v>
      </c>
      <c r="HB201" s="162" t="e">
        <f ca="1">$FA201/Control!$C$64</f>
        <v>#N/A</v>
      </c>
      <c r="HC201" s="162" t="e">
        <f t="shared" ca="1" si="751"/>
        <v>#DIV/0!</v>
      </c>
      <c r="HD201" s="162">
        <f ca="1">-ASIN(SIN(23.45*Control!$C$139)*COS(2*Control!$C$138*($AH201+10)/365))</f>
        <v>0.37156891625954802</v>
      </c>
      <c r="HE201" s="165">
        <f t="shared" ca="1" si="870"/>
        <v>0</v>
      </c>
      <c r="HF201" s="166">
        <f ca="1">IF(AND(Control!$C$61="T",$HE201&gt;=Control!$C$103,Control!$C$114=0),$AH201,Control!$C$59)</f>
        <v>1</v>
      </c>
      <c r="HG201" s="166">
        <f ca="1">IF(AND(Control!$C$61="T",$HE201&gt;=Control!$C$103,Control!$C$114=0),$HF201,Control!$C$59)</f>
        <v>1</v>
      </c>
      <c r="HH201" s="165">
        <f ca="1">IF(AND(OR(Control!$C$60&lt;=0, $AH201= Control!$C$59, Control!$C$60 &gt;0, $AH201 = Control!$C$60)), Control!$C$59, IF(Control!$C$60&gt;0, 0))</f>
        <v>1</v>
      </c>
      <c r="HI201" s="165">
        <f ca="1">IF(AND(OR(Control!$C$60&lt;=0, $AH201= Control!$C$59, Control!$C$60 &gt;0, $AH201 = Control!$C$60)), Control!$C$60, IF(Control!$C$60&lt;=0, 0))</f>
        <v>0</v>
      </c>
      <c r="HJ201" s="166">
        <f ca="1">IF(AND(Control!$C$62="F",$CV201&gt;=Control!$C$102),$AH201,0)</f>
        <v>0</v>
      </c>
      <c r="HK201" s="165" t="e">
        <f t="shared" ca="1" si="907"/>
        <v>#N/A</v>
      </c>
      <c r="HL201" s="166">
        <f ca="1">IF(AND(Control!$C$61="T",$HE201&gt;=Control!$C$103,Control!$C$114=0),$HF201,0)</f>
        <v>0</v>
      </c>
      <c r="HM201" s="201" t="e">
        <f t="shared" ca="1" si="752"/>
        <v>#DIV/0!</v>
      </c>
      <c r="HN201" s="215">
        <f t="shared" ca="1" si="871"/>
        <v>197</v>
      </c>
      <c r="HO201" s="216" t="e">
        <f ca="1">IF(AND($CP201&gt;=0, $CP201&lt;=90), Control!$C$152, Control!$C$152)</f>
        <v>#N/A</v>
      </c>
      <c r="HP201" s="216" t="e">
        <f t="shared" ca="1" si="753"/>
        <v>#N/A</v>
      </c>
      <c r="HQ201" s="217" t="e">
        <f ca="1">IF(OR(Control!$B$26=1,Control!$B$26=2),$KV201,$KS201)</f>
        <v>#DIV/0!</v>
      </c>
      <c r="HR201" s="218" t="e">
        <f t="shared" ca="1" si="908"/>
        <v>#DIV/0!</v>
      </c>
      <c r="HS201" s="216" t="e">
        <f ca="1">Control!$C$154*$HP201</f>
        <v>#N/A</v>
      </c>
      <c r="HT201" s="216" t="e">
        <f ca="1">Control!$C$155*$HP201</f>
        <v>#N/A</v>
      </c>
      <c r="HU201" s="217" t="e">
        <f ca="1">Control!$C$161*$FI201</f>
        <v>#N/A</v>
      </c>
      <c r="HV201" s="218" t="e">
        <f t="shared" ca="1" si="872"/>
        <v>#N/A</v>
      </c>
      <c r="HW201" s="218" t="e">
        <f ca="1">Control!$C$160*$FF201+$IP201*$EO201</f>
        <v>#N/A</v>
      </c>
      <c r="HX201" s="218" t="e">
        <f t="shared" ca="1" si="909"/>
        <v>#N/A</v>
      </c>
      <c r="HY201" s="219" t="e">
        <f ca="1">IF(Control!$C$114=1, $EB201*$FS201, 0)</f>
        <v>#N/A</v>
      </c>
      <c r="HZ201" s="91" t="e">
        <f t="shared" ca="1" si="754"/>
        <v>#N/A</v>
      </c>
      <c r="IA201" s="220" t="e">
        <f ca="1">Control!$C$153*$HO201</f>
        <v>#N/A</v>
      </c>
      <c r="IB201" s="218" t="e">
        <f t="shared" ca="1" si="755"/>
        <v>#N/A</v>
      </c>
      <c r="IC201" s="220" t="e">
        <f ca="1">Control!$C$153*$HT201</f>
        <v>#N/A</v>
      </c>
      <c r="ID201" s="218" t="e">
        <f t="shared" ca="1" si="756"/>
        <v>#N/A</v>
      </c>
      <c r="IE201" s="221" t="e">
        <f ca="1">($EB201*Control!$C$159+$EF201*Control!$C$160)/(IF($GZ201&lt;&gt;0,$GZ201,1))</f>
        <v>#N/A</v>
      </c>
      <c r="IF201" s="216" t="e">
        <f t="shared" ca="1" si="757"/>
        <v>#N/A</v>
      </c>
      <c r="IG201" s="91">
        <f ca="1">IF(OR(Control!$B$198=$AH201,Control!$B$199=$AH201, Control!$B$200=$AH201, Control!$B$201=$AH201, Control!$B$202=$AH201, Control!$B$203=$AH201, Control!$B$204=$AH201, Control!$B$205=$AH201, Control!$B$206=$AH201, Control!$B$207=$AH201), 1, 0)</f>
        <v>0</v>
      </c>
      <c r="IH201" s="91">
        <f ca="1">IF($IG201=0,0, VLOOKUP($AH201,Control!$B$198:$C$207,2))</f>
        <v>0</v>
      </c>
      <c r="II201" s="222">
        <f t="shared" ca="1" si="873"/>
        <v>0</v>
      </c>
      <c r="IJ201" s="91">
        <f>Control!$C$121</f>
        <v>0.7</v>
      </c>
      <c r="IK201" s="218">
        <f t="shared" ca="1" si="758"/>
        <v>0</v>
      </c>
      <c r="IL201" s="217" t="e">
        <f t="shared" ca="1" si="910"/>
        <v>#N/A</v>
      </c>
      <c r="IM201" s="223" t="e">
        <f ca="1">IF(AND(Control!$C$114=1,$KH201&lt;1),$EB201*Control!$C$148*(1-$KH201), 0)</f>
        <v>#N/A</v>
      </c>
      <c r="IN201" s="217" t="e">
        <f t="shared" ca="1" si="759"/>
        <v>#DIV/0!</v>
      </c>
      <c r="IO201" s="91" t="e">
        <f ca="1">MAX(0,$IL201-$EF201*Control!$C$160)</f>
        <v>#N/A</v>
      </c>
      <c r="IP201" s="220" t="e">
        <f t="shared" ca="1" si="760"/>
        <v>#N/A</v>
      </c>
      <c r="IQ201" s="217" t="e">
        <f t="shared" ca="1" si="874"/>
        <v>#N/A</v>
      </c>
      <c r="IR201" s="218" t="e">
        <f t="shared" ca="1" si="761"/>
        <v>#N/A</v>
      </c>
      <c r="IS201" s="217" t="e">
        <f ca="1">Control!$C$159*MAX(0,$FD201-$EN201)</f>
        <v>#N/A</v>
      </c>
      <c r="IT201" s="217" t="e">
        <f t="shared" ca="1" si="911"/>
        <v>#N/A</v>
      </c>
      <c r="IU201" s="217" t="e">
        <f t="shared" ca="1" si="875"/>
        <v>#N/A</v>
      </c>
      <c r="IV201" s="217" t="e">
        <f t="shared" ca="1" si="912"/>
        <v>#N/A</v>
      </c>
      <c r="IW201" s="217" t="e">
        <f ca="1">IF(OR($AW201=1,AND($AW201=0, Control!$B$18=1,$EN201&lt;&gt;0)), $IQ201-$IU201, $IQ201)</f>
        <v>#N/A</v>
      </c>
      <c r="IX201" s="218" t="e">
        <f t="shared" ca="1" si="762"/>
        <v>#N/A</v>
      </c>
      <c r="IY201" s="218" t="e">
        <f ca="1">MAX(0,$IQ201-$EB201*Control!$C$159)</f>
        <v>#N/A</v>
      </c>
      <c r="IZ201" s="218" t="e">
        <f t="shared" ca="1" si="763"/>
        <v>#N/A</v>
      </c>
      <c r="JA201" s="216" t="e">
        <f t="shared" ca="1" si="764"/>
        <v>#N/A</v>
      </c>
      <c r="JB201" s="217" t="e">
        <f t="shared" ca="1" si="765"/>
        <v>#N/A</v>
      </c>
      <c r="JC201" s="222" t="e">
        <f ca="1">MAX(Control!$C$157*$EK201-$JT201, 0)/Control!$C$162</f>
        <v>#N/A</v>
      </c>
      <c r="JD201" s="218" t="e">
        <f t="shared" ca="1" si="766"/>
        <v>#N/A</v>
      </c>
      <c r="JE201" s="218" t="e">
        <f t="shared" ca="1" si="767"/>
        <v>#N/A</v>
      </c>
      <c r="JF201" s="218" t="e">
        <f t="shared" ca="1" si="876"/>
        <v>#N/A</v>
      </c>
      <c r="JG201" s="218" t="e">
        <f t="shared" ca="1" si="768"/>
        <v>#N/A</v>
      </c>
      <c r="JH201" s="217" t="e">
        <f t="shared" ca="1" si="877"/>
        <v>#N/A</v>
      </c>
      <c r="JI201" s="217" t="e">
        <f t="shared" ca="1" si="878"/>
        <v>#N/A</v>
      </c>
      <c r="JJ201" s="217" t="e">
        <f t="shared" ca="1" si="913"/>
        <v>#N/A</v>
      </c>
      <c r="JK201" s="217" t="e">
        <f ca="1">IF(Control!$C$114=1,IF(Control!$B$24=0,MAX(0,$JI201)*$GN201/Control!$C$64,(MAX(0,MIN($JI201,$JJ201*$GN201/Control!$C$64),0))))</f>
        <v>#N/A</v>
      </c>
      <c r="JL201" s="217" t="e">
        <f ca="1">$IK201/Control!$C$64-$JK201+$HQ201</f>
        <v>#N/A</v>
      </c>
      <c r="JM201" s="217" t="e">
        <f ca="1">IF(Control!$C$114=1,($JB201/(IF($JI201&lt;&gt;0,$JI201,1)))*$JK201,0)</f>
        <v>#N/A</v>
      </c>
      <c r="JN201" s="217" t="e">
        <f ca="1">IF(Control!$C$114=1,($JG201/(IF($JI201&lt;&gt;0,$JI201,1)))*$JK201, 0)</f>
        <v>#N/A</v>
      </c>
      <c r="JO201" s="218" t="e">
        <f t="shared" ca="1" si="769"/>
        <v>#N/A</v>
      </c>
      <c r="JP201" s="218" t="e">
        <f ca="1">MIN(($IY201+$IO201)*Control!$C$151, $JF201-$EH201*Control!$C$161)</f>
        <v>#N/A</v>
      </c>
      <c r="JQ201" s="218" t="e">
        <f t="shared" ca="1" si="770"/>
        <v>#N/A</v>
      </c>
      <c r="JR201" s="217" t="e">
        <f ca="1">IF($CP201-Control!$C$150&lt;0, 0, $JQ201/Control!$C$162)</f>
        <v>#N/A</v>
      </c>
      <c r="JS201" s="218" t="e">
        <f t="shared" ca="1" si="771"/>
        <v>#N/A</v>
      </c>
      <c r="JT201" s="218" t="e">
        <f t="shared" ca="1" si="879"/>
        <v>#N/A</v>
      </c>
      <c r="JU201" s="218" t="e">
        <f t="shared" ca="1" si="772"/>
        <v>#N/A</v>
      </c>
      <c r="JV201" s="218" t="e">
        <f t="shared" ca="1" si="773"/>
        <v>#N/A</v>
      </c>
      <c r="JW201" s="216" t="e">
        <f t="shared" ca="1" si="774"/>
        <v>#N/A</v>
      </c>
      <c r="JX201" s="91" t="e">
        <f t="shared" ca="1" si="775"/>
        <v>#N/A</v>
      </c>
      <c r="JY201" s="218" t="e">
        <f t="shared" ca="1" si="776"/>
        <v>#N/A</v>
      </c>
      <c r="JZ201" s="217" t="e">
        <f ca="1">IF(Control!$C$114=1,($IZ201/(IF($JI201&lt;&gt;0,$JI201,1)))*$JK201, 0)</f>
        <v>#N/A</v>
      </c>
      <c r="KA201" s="218" t="e">
        <f t="shared" ca="1" si="914"/>
        <v>#N/A</v>
      </c>
      <c r="KB201" s="218" t="e">
        <f t="shared" ca="1" si="880"/>
        <v>#N/A</v>
      </c>
      <c r="KC201" s="218" t="e">
        <f t="shared" ca="1" si="777"/>
        <v>#N/A</v>
      </c>
      <c r="KD201" s="218" t="e">
        <f t="shared" ca="1" si="778"/>
        <v>#N/A</v>
      </c>
      <c r="KE201" s="218" t="e">
        <f t="shared" ca="1" si="779"/>
        <v>#N/A</v>
      </c>
      <c r="KF201" s="218" t="e">
        <f t="shared" ca="1" si="780"/>
        <v>#N/A</v>
      </c>
      <c r="KG201" s="216" t="e">
        <f t="shared" ca="1" si="781"/>
        <v>#N/A</v>
      </c>
      <c r="KH201" s="221" t="e">
        <f ca="1">IF(Control!$B$24=0,1,MAX(0.001,MIN(1,IF(($IF201-$IE201)&lt;&gt;0,($KG201-$IE201)/($IF201-$IE201),1))))</f>
        <v>#N/A</v>
      </c>
      <c r="KI201" s="222" t="e">
        <f ca="1">IF(Control!$C$114=1, $KI200+ $KH200, 0)</f>
        <v>#N/A</v>
      </c>
      <c r="KJ201" s="217" t="e">
        <f t="shared" ca="1" si="782"/>
        <v>#N/A</v>
      </c>
      <c r="KK201" s="218" t="e">
        <f t="shared" ca="1" si="783"/>
        <v>#N/A</v>
      </c>
      <c r="KL201" s="274" t="e">
        <f ca="1">IF(Control!$B$26=3,4000000000*EXP(-8400/($G201+273)),IF(Control!$B$26=4,4000000000*EXP(-8400/($G201+273))*($KT201),0))</f>
        <v>#DIV/0!</v>
      </c>
      <c r="KM201" s="274" t="e">
        <f ca="1">IF(Control!$B$26=3,5600000000000*EXP(-9800/($G201+273)),IF(Control!$B$26=4,5600000000000*EXP(-9800/($G201+273))*$KT201,0))</f>
        <v>#DIV/0!</v>
      </c>
      <c r="KN201" s="454" t="e">
        <f t="shared" ca="1" si="881"/>
        <v>#DIV/0!</v>
      </c>
      <c r="KO201" s="274" t="e">
        <f t="shared" ca="1" si="882"/>
        <v>#DIV/0!</v>
      </c>
      <c r="KP201" s="454" t="e">
        <f t="shared" ca="1" si="784"/>
        <v>#DIV/0!</v>
      </c>
      <c r="KQ201" s="454" t="e">
        <f t="shared" ca="1" si="785"/>
        <v>#DIV/0!</v>
      </c>
      <c r="KR201" s="454" t="e">
        <f t="shared" ca="1" si="786"/>
        <v>#DIV/0!</v>
      </c>
      <c r="KS201" s="454" t="e">
        <f t="shared" ca="1" si="787"/>
        <v>#DIV/0!</v>
      </c>
      <c r="KT201" s="455" t="e">
        <f t="shared" ca="1" si="788"/>
        <v>#DIV/0!</v>
      </c>
      <c r="KU201" s="456" t="e">
        <f ca="1">IF($CP201-Control!$C$149&lt;0, IF($NT201-0.01&lt;0,0,1),0)</f>
        <v>#N/A</v>
      </c>
      <c r="KV201" s="456" t="e">
        <f ca="1">IF(Control!$C$114=1,MAX(0,MIN(Control!$C$125*$KW201*$GN201,$KW201)))</f>
        <v>#DIV/0!</v>
      </c>
      <c r="KW201" s="456" t="e">
        <f t="shared" ca="1" si="915"/>
        <v>#DIV/0!</v>
      </c>
      <c r="KX201" s="457" t="e">
        <f ca="1">IF($CP201-Control!$C$149&lt;0, IF($MR201-$OM201&lt;0,0,1),0)</f>
        <v>#N/A</v>
      </c>
      <c r="KY201" s="167">
        <f t="shared" ca="1" si="883"/>
        <v>197</v>
      </c>
      <c r="KZ201" s="168">
        <f ca="1">1370*(1+0.033*COS(2*Control!$C$138*$AH201/365))</f>
        <v>1326.1911543426982</v>
      </c>
      <c r="LA201" s="169">
        <f t="shared" ca="1" si="884"/>
        <v>0.96802267575109457</v>
      </c>
      <c r="LB201" s="169">
        <f t="shared" ca="1" si="885"/>
        <v>0.37169836617238611</v>
      </c>
      <c r="LC201" s="169">
        <f ca="1">ACOS(-TAN((2*Control!$B$8/360))*TAN(Calculations!$LB201))</f>
        <v>1.686912305600563</v>
      </c>
      <c r="LD201" s="169">
        <f ca="1">((24*60)/PI())*0.082*$LA201*(($LC201*SIN(Control!$B$8*2*PI()/360))*SIN($LB201)+COS(Control!$B$8*2*PI()/360)*COS($LB201)*SIN($LC201))</f>
        <v>38.296400109101278</v>
      </c>
      <c r="LE201" s="170">
        <f t="shared" ca="1" si="789"/>
        <v>39.752786893080618</v>
      </c>
      <c r="LF201" s="170">
        <f ca="1">SIN(Control!$C$139*Control!$B$8)*SIN($HD201)</f>
        <v>0.28610962991066513</v>
      </c>
      <c r="LG201" s="170">
        <f ca="1">COS(Control!$C$139*Control!$B$8)*COS($HD201)</f>
        <v>0.57364647246273603</v>
      </c>
      <c r="LH201" s="170">
        <f ca="1">12*(1+2*ASIN(MAX(-1,MIN(1,$LF201/$LG201))/Control!$C$138))</f>
        <v>15.826396294550745</v>
      </c>
      <c r="LI201" s="170">
        <f ca="1">12*(1+2*ASIN(MAX(-1,MIN(1,(-SIN(-4*Control!$C$139)+$LF201)/$LG201))/Control!$C$138))</f>
        <v>16.770528293276492</v>
      </c>
      <c r="LJ201" s="168">
        <f ca="1">3600*($LH201*$LF201+24*$LG201*SQRT(1-$LK201*$LK201)/Control!$C$138)</f>
        <v>29975.156117508068</v>
      </c>
      <c r="LK201" s="170">
        <f t="shared" ca="1" si="790"/>
        <v>0.49875601724239793</v>
      </c>
      <c r="LL201" s="170">
        <f t="shared" ca="1" si="791"/>
        <v>0</v>
      </c>
      <c r="LM201" s="171">
        <f ca="1">Control!$C$145*$AB201</f>
        <v>6.6660906138995932E-2</v>
      </c>
      <c r="LN201" s="170">
        <f t="shared" ca="1" si="886"/>
        <v>0.54</v>
      </c>
      <c r="LO201" s="170">
        <f t="shared" ca="1" si="792"/>
        <v>0</v>
      </c>
      <c r="LP201" s="170">
        <f ca="1">Control!$C$140*((($D201+273.16)^4+($E201+273.16)^4)/2)*(0.34-0.14*SQRT($Y201))*(1.35*$AQ201/(0.75*$LD201)-0.35)</f>
        <v>-3.2464704755046001</v>
      </c>
      <c r="LQ201" s="170">
        <f ca="1">Control!$C$140*($G201+273)^4*(0.56-0.079*SQRT($Y201*10))*(0.1+0.9*$LO201)</f>
        <v>1.5241745131704001</v>
      </c>
      <c r="LR201" s="170">
        <f ca="1">$AQ201*(1-Control!$C$142)-$LQ201</f>
        <v>-1.5241745131704001</v>
      </c>
      <c r="LS201" s="170">
        <f ca="1">$AQ201*(1-Control!$C$143)-$LQ201</f>
        <v>-1.5241745131704001</v>
      </c>
      <c r="LT201" s="170">
        <f ca="1">$AQ201*(1-Control!$C$144)-$LQ201</f>
        <v>-1.5241745131704001</v>
      </c>
      <c r="LU201" s="169">
        <f ca="1">(1-Control!$C$144)*AQ201-LP201</f>
        <v>3.2464704755046001</v>
      </c>
      <c r="LV201" s="172">
        <f t="shared" ca="1" si="793"/>
        <v>0.79430000000000012</v>
      </c>
      <c r="LW201" s="170">
        <f t="shared" ca="1" si="794"/>
        <v>1.5886000000000002</v>
      </c>
      <c r="LX201" s="170">
        <f ca="1">($AC201*($LR201/Control!$C$141)+$LM201*$LV201)/($AC201+$LM201)</f>
        <v>0.23530094218323697</v>
      </c>
      <c r="LY201" s="170">
        <f ca="1">($AC201*($LS201/Control!$C$141)+$LM201*$LV201)/($AC201+$LM201)</f>
        <v>0.23530094218323697</v>
      </c>
      <c r="LZ201" s="170">
        <f t="shared" ca="1" si="795"/>
        <v>0.23530094218323697</v>
      </c>
      <c r="MA201" s="170">
        <f t="shared" ca="1" si="796"/>
        <v>0.23530094218323697</v>
      </c>
      <c r="MB201" s="170" t="e">
        <f t="shared" ca="1" si="797"/>
        <v>#N/A</v>
      </c>
      <c r="MC201" s="170">
        <f t="shared" ca="1" si="887"/>
        <v>0.6018</v>
      </c>
      <c r="MD201" s="170">
        <f t="shared" ca="1" si="798"/>
        <v>0.52989392535414004</v>
      </c>
      <c r="ME201" s="170">
        <f ca="1">($AC201*($LT201/Control!$C$141)+$LM201*$LW201)/($AC201+$LM201)</f>
        <v>0.71612369323045078</v>
      </c>
      <c r="MF201" s="170" t="e">
        <f ca="1">IF(Control!$B$16&gt;=1000,0.92,IF(AND(720&lt;=Control!$B$16,1000&gt;Control!$B$16),(0.95+(Control!$B$16-720)*((0.92-0.95)/(1000-720))),IF(AND(360&lt;=Control!$B$16,720&gt;Control!$B$16),(1+(Control!$B$16-360)*((0.95-1)/(720-360))),IF(AND(40&lt;=Control!$B$16,360&gt;Control!$B$16),(1.05+(Control!$B$16-40)*((1.05-1)/(360-40)))))))</f>
        <v>#N/A</v>
      </c>
      <c r="MG201" s="170">
        <f t="shared" ca="1" si="799"/>
        <v>0.71612369323045078</v>
      </c>
      <c r="MH201" s="170" t="e">
        <f t="shared" ca="1" si="695"/>
        <v>#N/A</v>
      </c>
      <c r="MI201" s="170" t="e">
        <f t="shared" ca="1" si="695"/>
        <v>#N/A</v>
      </c>
      <c r="MJ201" s="170" t="e">
        <f ca="1">MAX(0.0001, Control!$C$132*$MI201*$DL201)</f>
        <v>#N/A</v>
      </c>
      <c r="MK201" s="170">
        <f ca="1">1/(0.76+1.5*($MG201/10))-(5-Control!$C$110)*0.1</f>
        <v>1.002845988140797</v>
      </c>
      <c r="ML201" s="173">
        <f ca="1">IF(Control!$C$110&lt;3,$MK201+($MG201-0.6)/(Control!$C$110*(Control!$C$110+3)), MAX(0.1, MIN(0.95,$MK201)))</f>
        <v>0.95</v>
      </c>
      <c r="MM201" s="173">
        <f ca="1">IF(Control!$C$110&lt;3,$MK201+(($MI201/10)-0.6)/(Control!$C$110*(Control!$C$110+3)), MAX(0.1, MIN(0.95,$MK201)))</f>
        <v>0.95</v>
      </c>
      <c r="MN201" s="173">
        <f ca="1">(1-$MM201)*(Control!$C$128-Control!$C$127)+Control!$C$127</f>
        <v>0.16</v>
      </c>
      <c r="MO201" s="170" t="e">
        <f ca="1">MAX(0,MIN(1,($MS201-Control!$C$127)/($MN201-Control!$C$127)))</f>
        <v>#DIV/0!</v>
      </c>
      <c r="MP201" s="173" t="e">
        <f ca="1">1/(0.76+1.5*$MI201)-(5-Control!$C$110)*0.1</f>
        <v>#N/A</v>
      </c>
      <c r="MQ201" s="172" t="e">
        <f t="shared" ca="1" si="916"/>
        <v>#DIV/0!</v>
      </c>
      <c r="MR201" s="168" t="e">
        <f t="shared" ca="1" si="888"/>
        <v>#DIV/0!</v>
      </c>
      <c r="MS201" s="173" t="e">
        <f ca="1">MAX(Control!$C$127, MIN(Control!$C$135, $MR201/MAX(0.0001,$CY201)))</f>
        <v>#DIV/0!</v>
      </c>
      <c r="MT201" s="168" t="e">
        <f ca="1">(Control!$C$128-$MS201)*Control!$C$74</f>
        <v>#DIV/0!</v>
      </c>
      <c r="MU201" s="168" t="e">
        <f ca="1">(Control!$C$135-$MS201)*Control!$C$74</f>
        <v>#DIV/0!</v>
      </c>
      <c r="MV201" s="168" t="e">
        <f t="shared" ca="1" si="889"/>
        <v>#DIV/0!</v>
      </c>
      <c r="MW201" s="168" t="e">
        <f t="shared" ca="1" si="890"/>
        <v>#DIV/0!</v>
      </c>
      <c r="MX201" s="171" t="e">
        <f ca="1">MAX(Control!$C$127, MIN(Control!$C$135, $MW201/MAX(0.0001,Control!$C$119-$CY201)))</f>
        <v>#DIV/0!</v>
      </c>
      <c r="MY201" s="54" t="e">
        <f ca="1">IF(Control!$C$114=1, $CX201*$MX201, 0)</f>
        <v>#DIV/0!</v>
      </c>
      <c r="MZ201" s="54" t="e">
        <f t="shared" ca="1" si="891"/>
        <v>#N/A</v>
      </c>
      <c r="NA201" s="168" t="e">
        <f ca="1">(Control!$C$128-$MX201)*(Control!$C$119-Control!$C$74)</f>
        <v>#DIV/0!</v>
      </c>
      <c r="NB201" s="168" t="e">
        <f ca="1">(Control!$C$135-$MX201)*(Control!$C$119-Control!$C$74)</f>
        <v>#DIV/0!</v>
      </c>
      <c r="NC201" s="174" t="e">
        <f t="shared" ca="1" si="892"/>
        <v>#DIV/0!</v>
      </c>
      <c r="ND201" s="54">
        <f ca="1">IF(Control!$C$58=2, IF(OR(Control!$B$218=$AH201,Control!$B$219=$AH201, Control!$B$220=$AH201, Control!$B$221=$AH201, Control!$B$222=$AH201, Control!$B$223=$AH201, Control!$B$224=$AH201, Control!$B$225=$AH201, Control!$B$226=$AH201, Control!$B$227=$AH201, Control!$B$228=$AH201), 1, 0), 0)</f>
        <v>1</v>
      </c>
      <c r="NE201" s="54">
        <f ca="1">IF($ND201=0,0, VLOOKUP($AH201,Control!$B$218:$C$228,2))</f>
        <v>0</v>
      </c>
      <c r="NF201" s="168" t="e">
        <f ca="1">$CY201*(Control!$C$128-Control!$C$127)</f>
        <v>#N/A</v>
      </c>
      <c r="NG201" s="54" t="e">
        <f ca="1">IF(Control!$C$58=2, $NI200-$NJ200, 0)</f>
        <v>#DIV/0!</v>
      </c>
      <c r="NH201" s="54" t="e">
        <f ca="1">IF(AND(Control!$C$58=1, $MS200&lt;= ($MN200+0.02), $I200&lt;10), 0, IF(Control!$C$58=2, $NG200, 0))</f>
        <v>#DIV/0!</v>
      </c>
      <c r="NI201" s="54" t="e">
        <f ca="1">IF(Control!$C$58=2, $NE201+$NH201,0)</f>
        <v>#DIV/0!</v>
      </c>
      <c r="NJ201" s="54" t="e">
        <f ca="1">IF(AND(Control!$C$58=1, $MS201&lt;= ($MN201+0.02), $I201&lt;10), MAX(0, MIN(10, 0.7*($NF201-$MV201))), IF(Control!$C$58=2, MIN(10,$NI201),0))</f>
        <v>#DIV/0!</v>
      </c>
      <c r="NK201" s="54" t="e">
        <f t="shared" ca="1" si="800"/>
        <v>#DIV/0!</v>
      </c>
      <c r="NL201" s="173" t="e">
        <f ca="1">(1-Control!$C$73)*$I201+$NJ201</f>
        <v>#DIV/0!</v>
      </c>
      <c r="NM201" s="172" t="e">
        <f ca="1">IF($NL201&lt;0.5, $MB201* MAX(0, MIN(1, (SQRT($NC201)-SQRT($NC201-1))*Control!$C$71)),0)</f>
        <v>#DIV/0!</v>
      </c>
      <c r="NN201" s="170" t="e">
        <f ca="1">IF($NL201&gt;=5, $MB201, MAX(0,MIN($MB201, $NM201+$NL201,($MS201-Control!$C$129))))</f>
        <v>#DIV/0!</v>
      </c>
      <c r="NO201" s="54">
        <f>IF(Control!$C$133&lt;&gt;1, Control!$C$135-Control!$C$131, 0)</f>
        <v>0.38</v>
      </c>
      <c r="NP201" s="54" t="e">
        <f t="shared" ca="1" si="801"/>
        <v>#DIV/0!</v>
      </c>
      <c r="NQ201" s="173" t="e">
        <f ca="1">MAX(0,MIN(1,(Control!$C$135-$MS201)/(Control!$C$135-$NO201)))</f>
        <v>#DIV/0!</v>
      </c>
      <c r="NR201" s="170" t="e">
        <f ca="1">IF(Control!$C$133&lt;&gt;1, $NQ201+((1-$NP201/4)*(1-$NQ201)),1)</f>
        <v>#DIV/0!</v>
      </c>
      <c r="NS201" s="170" t="e">
        <f ca="1">IF(Control!$B$31=0,$MJ201,MAX(0,MIN($MV201,$MO201*$NR201*$MJ201)))</f>
        <v>#DIV/0!</v>
      </c>
      <c r="NT201" s="170" t="e">
        <f t="shared" ca="1" si="917"/>
        <v>#DIV/0!</v>
      </c>
      <c r="NU201" s="170" t="e">
        <f t="shared" ca="1" si="893"/>
        <v>#N/A</v>
      </c>
      <c r="NV201" s="170" t="e">
        <f t="shared" ca="1" si="802"/>
        <v>#N/A</v>
      </c>
      <c r="NW201" s="175" t="e">
        <f t="shared" ca="1" si="803"/>
        <v>#DIV/0!</v>
      </c>
      <c r="NX201" s="170" t="e">
        <f ca="1">MIN(Control!$C$72+$MU201, $NW201)</f>
        <v>#DIV/0!</v>
      </c>
      <c r="NY201" s="170" t="e">
        <f ca="1">IF($MT201&lt;=$NX201,MIN(Control!$C$72+$NB201,$NX201-$MT201),0)</f>
        <v>#DIV/0!</v>
      </c>
      <c r="NZ201" s="54" t="e">
        <f ca="1">IF(Control!$C$114=1,  $CX201*($MX201-Control!$C$127), 0)</f>
        <v>#DIV/0!</v>
      </c>
      <c r="OA201" s="170" t="e">
        <f t="shared" ca="1" si="804"/>
        <v>#DIV/0!</v>
      </c>
      <c r="OB201" s="170" t="e">
        <f ca="1">IF($NA201 &lt;=$NY201, MIN(Control!$C$72, $NY201-$NA201), 0)</f>
        <v>#DIV/0!</v>
      </c>
      <c r="OC201" s="168" t="e">
        <f t="shared" ca="1" si="805"/>
        <v>#DIV/0!</v>
      </c>
      <c r="OD201" s="168" t="e">
        <f t="shared" ca="1" si="894"/>
        <v>#DIV/0!</v>
      </c>
      <c r="OE201" s="170">
        <f ca="1">Control!$C$73*$I201</f>
        <v>0</v>
      </c>
      <c r="OF201" s="176" t="e">
        <f t="shared" ca="1" si="806"/>
        <v>#DIV/0!</v>
      </c>
      <c r="OG201" s="168" t="e">
        <f t="shared" ca="1" si="807"/>
        <v>#DIV/0!</v>
      </c>
      <c r="OH201" s="168" t="e">
        <f t="shared" ca="1" si="808"/>
        <v>#DIV/0!</v>
      </c>
      <c r="OI201" s="168" t="e">
        <f t="shared" ca="1" si="809"/>
        <v>#DIV/0!</v>
      </c>
      <c r="OJ201" s="168" t="e">
        <f t="shared" ca="1" si="810"/>
        <v>#DIV/0!</v>
      </c>
      <c r="OK201" s="204" t="e">
        <f t="shared" ca="1" si="811"/>
        <v>#DIV/0!</v>
      </c>
      <c r="OL201" s="177">
        <f>Control!$C$127</f>
        <v>0.15</v>
      </c>
      <c r="OM201" s="182" t="e">
        <f t="shared" ca="1" si="812"/>
        <v>#N/A</v>
      </c>
      <c r="ON201" s="177">
        <f>Control!$C$128</f>
        <v>0.35</v>
      </c>
      <c r="OO201" s="182" t="e">
        <f t="shared" ca="1" si="813"/>
        <v>#N/A</v>
      </c>
      <c r="OP201" s="138">
        <f t="shared" ca="1" si="895"/>
        <v>0</v>
      </c>
      <c r="OQ201" s="138" t="e">
        <f t="shared" ca="1" si="918"/>
        <v>#DIV/0!</v>
      </c>
      <c r="OR201" s="138" t="e">
        <f t="shared" ca="1" si="896"/>
        <v>#DIV/0!</v>
      </c>
      <c r="OS201" s="137" t="e">
        <f t="shared" ca="1" si="919"/>
        <v>#DIV/0!</v>
      </c>
      <c r="OT201" s="139" t="e">
        <f t="shared" ca="1" si="920"/>
        <v>#DIV/0!</v>
      </c>
      <c r="OU201" s="138" t="e">
        <f t="shared" ca="1" si="921"/>
        <v>#N/A</v>
      </c>
      <c r="OV201" s="138" t="e">
        <f t="shared" ca="1" si="922"/>
        <v>#DIV/0!</v>
      </c>
      <c r="OW201" s="138" t="e">
        <f t="shared" ca="1" si="897"/>
        <v>#DIV/0!</v>
      </c>
      <c r="OX201" s="138" t="e">
        <f t="shared" ca="1" si="898"/>
        <v>#DIV/0!</v>
      </c>
      <c r="OY201" s="138" t="e">
        <f t="shared" ca="1" si="899"/>
        <v>#DIV/0!</v>
      </c>
      <c r="OZ201" s="138" t="e">
        <f t="shared" ca="1" si="814"/>
        <v>#DIV/0!</v>
      </c>
      <c r="PA201" s="138" t="e">
        <f t="shared" ca="1" si="815"/>
        <v>#DIV/0!</v>
      </c>
      <c r="PB201" s="55">
        <f>IF(Control!$C$61="T", IF(Control!$C$65="F", IF($AH$6-Control!$C$60&lt;0,0,1), IF(365+$AH$6-Control!$C$60&lt;0,0,1)),0)</f>
        <v>0</v>
      </c>
      <c r="PC201" s="55">
        <f ca="1">IF(Control!$C$65="F", IF($AH$6-$HF201&lt;0,0,1), IF(365+$AH$6-$HF201&lt;0,0,1))</f>
        <v>1</v>
      </c>
      <c r="PD201" s="444">
        <f>Control!$C$118</f>
        <v>1500</v>
      </c>
      <c r="PE201" s="180" t="e">
        <f t="shared" ca="1" si="816"/>
        <v>#N/A</v>
      </c>
      <c r="PF201" s="445">
        <f t="shared" ca="1" si="900"/>
        <v>0.71612369323045078</v>
      </c>
      <c r="PT201" s="186"/>
      <c r="PU201" s="186"/>
      <c r="PV201" s="94"/>
      <c r="PW201" s="94"/>
      <c r="PX201" s="94"/>
      <c r="PY201" s="94"/>
      <c r="PZ201" s="94"/>
      <c r="QA201" s="94"/>
      <c r="QB201" s="94"/>
      <c r="QC201" s="94"/>
      <c r="QD201" s="94"/>
      <c r="QE201" s="94"/>
      <c r="QF201" s="94"/>
      <c r="QG201" s="94"/>
      <c r="QH201" s="94"/>
      <c r="QI201" s="94"/>
      <c r="QJ201" s="94"/>
      <c r="QK201" s="94"/>
      <c r="QL201" s="94"/>
      <c r="QM201" s="94"/>
      <c r="QN201" s="94"/>
      <c r="QO201" s="94"/>
      <c r="QP201" s="94"/>
    </row>
    <row r="202" spans="1:458" s="2" customFormat="1" x14ac:dyDescent="0.2">
      <c r="A202" s="395">
        <v>16</v>
      </c>
      <c r="B202" s="396">
        <v>7</v>
      </c>
      <c r="C202" s="387">
        <f ca="1">Weather_data!$B201</f>
        <v>0</v>
      </c>
      <c r="D202" s="388">
        <f ca="1">Weather_data!$F201</f>
        <v>0</v>
      </c>
      <c r="E202" s="388">
        <f ca="1">Weather_data!$E201</f>
        <v>0</v>
      </c>
      <c r="F202" s="388">
        <f t="shared" ca="1" si="817"/>
        <v>0</v>
      </c>
      <c r="G202" s="388">
        <f ca="1">AVERAGE($D202:$E202)+Control!$B$9</f>
        <v>0</v>
      </c>
      <c r="H202" s="388">
        <f ca="1">Weather_data!$G201</f>
        <v>0</v>
      </c>
      <c r="I202" s="388">
        <f ca="1">Weather_data!$I201</f>
        <v>0</v>
      </c>
      <c r="J202" s="388">
        <f ca="1">Weather_data!$H201</f>
        <v>0</v>
      </c>
      <c r="K202" s="389">
        <f ca="1">Weather_data!$D201</f>
        <v>0</v>
      </c>
      <c r="L202" s="388" t="e">
        <f t="shared" ca="1" si="818"/>
        <v>#N/A</v>
      </c>
      <c r="M202" s="388" t="e">
        <f t="shared" ca="1" si="696"/>
        <v>#N/A</v>
      </c>
      <c r="N202" s="388">
        <f t="shared" ca="1" si="697"/>
        <v>-5.3765272890225033E-10</v>
      </c>
      <c r="O202" s="388">
        <f t="shared" ca="1" si="819"/>
        <v>5.3765272890225033E-9</v>
      </c>
      <c r="P202" s="390">
        <v>3</v>
      </c>
      <c r="Q202" s="388">
        <f ca="1">MAX($G202-Control!$C$107,0)</f>
        <v>0</v>
      </c>
      <c r="R202" s="388">
        <f t="shared" ca="1" si="820"/>
        <v>0</v>
      </c>
      <c r="S202" s="388">
        <f t="shared" ca="1" si="698"/>
        <v>0</v>
      </c>
      <c r="T202" s="388">
        <f t="shared" ca="1" si="699"/>
        <v>0</v>
      </c>
      <c r="U202" s="59">
        <f t="shared" ca="1" si="700"/>
        <v>0</v>
      </c>
      <c r="V202" s="391">
        <f ca="1">MAX(0,MIN(Control!$C$100-Control!$C$99,$G202-Control!$C$99)*Control!$C$63)</f>
        <v>0</v>
      </c>
      <c r="W202" s="388">
        <f t="shared" ca="1" si="821"/>
        <v>0</v>
      </c>
      <c r="X202" s="388">
        <f t="shared" ca="1" si="822"/>
        <v>0.6110000000000001</v>
      </c>
      <c r="Y202" s="388">
        <f t="shared" ca="1" si="701"/>
        <v>0</v>
      </c>
      <c r="Z202" s="388">
        <f t="shared" ca="1" si="823"/>
        <v>0.61058800000000002</v>
      </c>
      <c r="AA202" s="388">
        <f t="shared" ca="1" si="702"/>
        <v>0.6018</v>
      </c>
      <c r="AB202" s="388">
        <f ca="1">101.3*EXP(-0.034*Control!$C$66/($G202+273))</f>
        <v>100.69623283836242</v>
      </c>
      <c r="AC202" s="392">
        <f t="shared" ca="1" si="703"/>
        <v>4.3460251046025113E-2</v>
      </c>
      <c r="AD202" s="392">
        <f t="shared" ca="1" si="704"/>
        <v>4.4450382862832649E-2</v>
      </c>
      <c r="AE202" s="388">
        <f t="shared" ca="1" si="705"/>
        <v>0</v>
      </c>
      <c r="AF202" s="388">
        <f ca="1">MAX(0,$G202-Control!$C$92)</f>
        <v>0</v>
      </c>
      <c r="AG202" s="393">
        <f t="shared" ca="1" si="706"/>
        <v>198</v>
      </c>
      <c r="AH202" s="389">
        <f t="shared" ca="1" si="707"/>
        <v>198</v>
      </c>
      <c r="AI202" s="388">
        <f t="shared" ca="1" si="824"/>
        <v>0.36850346780776921</v>
      </c>
      <c r="AJ202" s="388">
        <f ca="1">IF(Control!$C$60&lt;=0,$HH202,$HI202)</f>
        <v>1</v>
      </c>
      <c r="AK202" s="388">
        <f t="shared" ca="1" si="708"/>
        <v>2.0312763458827154</v>
      </c>
      <c r="AL202" s="388">
        <f t="shared" ca="1" si="709"/>
        <v>6.4917481112924945E-18</v>
      </c>
      <c r="AM202" s="388">
        <f t="shared" ca="1" si="710"/>
        <v>2.0312763458827154</v>
      </c>
      <c r="AN202" s="388">
        <f t="shared" ca="1" si="711"/>
        <v>0.36437443533471198</v>
      </c>
      <c r="AO202" s="388">
        <f ca="1">-0.10453/COS(Control!$B$8*PI()/180)*COS(AN202)</f>
        <v>-0.15863795701709918</v>
      </c>
      <c r="AP202" s="388">
        <f ca="1">ACOS(AO202-TAN(Control!$B$8*PI()/180)*TAN(AN202))</f>
        <v>2.2741964382883908</v>
      </c>
      <c r="AQ202" s="388">
        <f t="shared" ca="1" si="825"/>
        <v>0</v>
      </c>
      <c r="AR202" s="394">
        <f t="shared" ca="1" si="712"/>
        <v>0</v>
      </c>
      <c r="AS202" s="436">
        <f ca="1">IF(Control!$B$18=2,(IF(OR($AH202=Control!$B$175,$AH202=Control!$B$176,$AH202=Control!$B$177,$AH202=Control!$B$178,$AH202=Control!$B$179,$AH202=Control!$B$180,$AH202=Control!$B$181,$AH202=Control!$B$182,$AH202=Control!$B$183,$AH202=Control!$B$184,$AH202=Control!$B$185),1,0)),0)</f>
        <v>0</v>
      </c>
      <c r="AT202" s="436">
        <f>IF(Control!$B$20=8,IF(AND($AH202&gt;=Control!$B$172,$AH202&lt;=Control!$B$173),1,0),0)</f>
        <v>0</v>
      </c>
      <c r="AU202" s="436">
        <f>IF(Control!$B$20=8,IF($AV201=1,1*$AT202,IF($AT202=1,$AU201+1,$AU201)),0)</f>
        <v>0</v>
      </c>
      <c r="AV202" s="436">
        <f>IF(Control!$B$20=8,IF($AU202&gt;=Control!$B$174,1,0),0)</f>
        <v>0</v>
      </c>
      <c r="AW202" s="436">
        <f ca="1">IF(AND(Control!$B$18=2,Control!$B$171=1), $AV202, $AS202)</f>
        <v>0</v>
      </c>
      <c r="AX202" s="436" t="e">
        <f ca="1">IF(AND(Control!$B$18=1,$EU202&gt;=Control!$B$19),-$AY202,IF(AND(Control!$B$18=2,$AW202=1,$EU202&gt;$DS202),-$AY202, IF(Control!$C$108=0,0, IF(Control!$C$108&lt;&gt;0,1))))</f>
        <v>#N/A</v>
      </c>
      <c r="AY202" s="436" t="e">
        <f t="shared" ca="1" si="826"/>
        <v>#N/A</v>
      </c>
      <c r="AZ202" s="436" t="e">
        <f ca="1">IF(AND(Control!$B$18=1,$EB202&gt;Control!$B$19),$AZ201+1, IF(AND(Control!$B$18=2, $AW202=1, $EB202&gt;$DS202), $AZ201+1,$AZ201))</f>
        <v>#N/A</v>
      </c>
      <c r="BA202" s="587">
        <f>IF(Control!$C$81=0,1,IF($AH202&gt;=Control!$C$82,1,0))</f>
        <v>1</v>
      </c>
      <c r="BB202" s="140" t="e">
        <f ca="1">IF($BA202&gt;$BA201,Control!$C$83,IF($AW202&gt;0,$AW202*Control!$C$84,IF(AND(Control!$B$18=1,EN201&lt;&gt;0),Control!$C$84,0)))</f>
        <v>#N/A</v>
      </c>
      <c r="BC202" s="140" t="e">
        <f t="shared" ca="1" si="827"/>
        <v>#N/A</v>
      </c>
      <c r="BD202" s="140" t="e">
        <f ca="1">BC202*IF(OR($G202&lt;Control!$C$92,$G202&gt;Control!$C$95),0,IF(AND($G202&gt;=Control!$C$92,$G202&lt;=Control!$C$93),$G202-Control!$C$92,IF(AND($G202&gt;Control!$C$93,$G202&lt;=Control!$C$94),Control!$C$93-Control!$C$92,IF(AND($G202&gt;Control!$C$94,$G202&lt;=Control!$C$95),(Control!$C$93-Control!$C$92)*(Control!$C$94-$G202)/(Control!$C$95-Control!$C$94)))))</f>
        <v>#N/A</v>
      </c>
      <c r="BE202" s="140" t="e">
        <f t="shared" ca="1" si="828"/>
        <v>#N/A</v>
      </c>
      <c r="BF202" s="140" t="e">
        <f ca="1">IF($BE202&lt;=Control!$C$86,$BE202,Control!$C$86-$BE202)</f>
        <v>#N/A</v>
      </c>
      <c r="BG202" s="140" t="e">
        <f ca="1">IF(AND($AW202=1,Control!$C$84&lt;9),1,IF($BE202&gt;=Control!$C$86,0,$BC202))</f>
        <v>#N/A</v>
      </c>
      <c r="BH202" s="404" t="e">
        <f ca="1">IF($BG202=0,0,IF($BE202&lt;=Control!$C$86,$BC202*9*($BF202/Control!$C$86),0))</f>
        <v>#N/A</v>
      </c>
      <c r="BI202" s="140" t="e">
        <f ca="1">IF($BG202=1,0,IF($BE202&gt;=Control!$C$86,1,IF(AND($BB202&lt;21,$BB202&gt;=9),1,$BM201)))</f>
        <v>#N/A</v>
      </c>
      <c r="BJ202" s="140" t="e">
        <f ca="1">IF($BF202&lt;0,-$BF202,$BI202*IF(OR($G202&lt;Control!$C$92,$G202&gt;Control!$C$95),0,IF(AND($G202&gt;=Control!$C$92,$G202&lt;=Control!$C$93),$G202-Control!$C$92,IF(AND($G202&gt;Control!$C$93,$G202&lt;=Control!$C$94),Control!$C$93-Control!$C$92,IF(AND($G202&gt;Control!$C$94,$G202&lt;=Control!$C$95),(Control!$C$93-Control!$C$92)*(Control!$C$94-$G202)/(Control!$C$95-Control!$C$94))))))</f>
        <v>#N/A</v>
      </c>
      <c r="BK202" s="140" t="e">
        <f t="shared" ca="1" si="829"/>
        <v>#N/A</v>
      </c>
      <c r="BL202" s="140" t="e">
        <f ca="1">IF($BK202&lt;=Control!$C$87,$BK202,Control!$C$87-$BK202)</f>
        <v>#N/A</v>
      </c>
      <c r="BM202" s="140" t="e">
        <f ca="1">IF(AND($BB202&gt;=9,$BB202&lt;21),1,IF($BK202&gt;=Control!$C$87,0,$BI202))</f>
        <v>#N/A</v>
      </c>
      <c r="BN202" s="404" t="e">
        <f ca="1">IF($BM202=0,0,IF($BK202&lt;=Control!$C$87,$BI202*(9+(21-9)*($BL202/Control!$C$87)),0))</f>
        <v>#N/A</v>
      </c>
      <c r="BO202" s="140" t="e">
        <f ca="1">IF($BM202=1,0,IF($BK202&gt;=Control!$C$87,1,IF(AND($BB202&lt;30,$BB202&gt;=21),1,$BS201)))</f>
        <v>#N/A</v>
      </c>
      <c r="BP202" s="140" t="e">
        <f ca="1">IF($BL202&lt;0,-$BL202,$BO202*IF(OR($G202&lt;Control!$C$92,$G202&gt;Control!$C$95),0,IF(AND($G202&gt;=Control!$C$92,$G202&lt;=Control!$C$93),$G202-Control!$C$92,IF(AND($G202&gt;Control!$C$93,$G202&lt;=Control!$C$94),Control!$C$93-Control!$C$92,IF(AND($G202&gt;Control!$C$94,$G202&lt;=Control!$C$95),(Control!$C$93-Control!$C$92)*(Control!$C$94-$G202)/(Control!$C$95-Control!$C$94))))))</f>
        <v>#N/A</v>
      </c>
      <c r="BQ202" s="140" t="e">
        <f t="shared" ca="1" si="713"/>
        <v>#N/A</v>
      </c>
      <c r="BR202" s="140" t="e">
        <f ca="1">IF($BQ202&lt;=Control!$C$88,$BQ202,Control!$C$88-$BQ202)</f>
        <v>#N/A</v>
      </c>
      <c r="BS202" s="140" t="e">
        <f ca="1">IF(AND($BB202&gt;=21,$BB202&lt;30),1,IF($BQ202&gt;=Control!$C$88,0,$BO202))</f>
        <v>#N/A</v>
      </c>
      <c r="BT202" s="404" t="e">
        <f ca="1">IF($BS202=0,0,IF($BQ202&lt;=Control!$C$88,$BO202*(21+(30-21)*(BR202/Control!$C$88)),0))</f>
        <v>#N/A</v>
      </c>
      <c r="BU202" s="140" t="e">
        <f ca="1">IF(BG202+BM202+BS202=1,0,IF(OR(AND($BB202&lt;60,$BB202&gt;=30),$BQ202&gt;=Control!$C$88),1*$BA202,$BY201))</f>
        <v>#N/A</v>
      </c>
      <c r="BV202" s="140" t="e">
        <f ca="1">IF($BR202&lt;0,-$BR202,$BU202*IF(OR($G202&lt;Control!$C$92,$G202&gt;Control!$C$95),0,IF(AND($G202&gt;=Control!$C$92,$G202&lt;=Control!$C$93),$G202-Control!$C$92,IF(AND($G202&gt;Control!$C$93,$G202&lt;=Control!$C$94),Control!$C$93-Control!$C$92,IF(AND($G202&gt;Control!$C$94,$G202&lt;=Control!$C$95),(Control!$C$93-Control!$C$92)*(Control!$C$94-$G202)/(Control!$C$95-Control!$C$94))))))</f>
        <v>#N/A</v>
      </c>
      <c r="BW202" s="140" t="e">
        <f t="shared" ca="1" si="714"/>
        <v>#N/A</v>
      </c>
      <c r="BX202" s="140" t="e">
        <f ca="1">IF($BW202&lt;=Control!$C$89,$BW202,Control!$C$89-$BW202)</f>
        <v>#N/A</v>
      </c>
      <c r="BY202" s="140" t="e">
        <f ca="1">IF(AND($AJ202&gt;=30,$AJ202&lt;60),1,IF($BW202&gt;=Control!$C$89,0,$BU202))</f>
        <v>#N/A</v>
      </c>
      <c r="BZ202" s="404" t="e">
        <f ca="1">IF($BY202=0,0,IF($BW202&lt;=Control!$C$89,$BU202*(30+(60-30)*(BX202/Control!$C$89)),0))</f>
        <v>#N/A</v>
      </c>
      <c r="CA202" s="140" t="e">
        <f ca="1">IF($BG202+$BM202+$BS202+$BY202=1,0,IF(OR(AND($BB202&lt;65,$BB202&gt;=60),$BW202&gt;=Control!$C$89),1*$BA202,$CE201))</f>
        <v>#N/A</v>
      </c>
      <c r="CB202" s="140" t="e">
        <f ca="1">IF($BX202&lt;0,-$BX202,$CA202*IF(OR($G202&lt;Control!$C$92,$G202&gt;Control!$C$95),0,IF(AND($G202&gt;=Control!$C$92,$G202&lt;=Control!$C$93),$G202-Control!$C$92,IF(AND($G202&gt;Control!$C$93,$G202&lt;=Control!$C$94),Control!$C$93-Control!$C$92,IF(AND($G202&gt;Control!$C$94,$G202&lt;=Control!$C$95),(Control!$C$93-Control!$C$92)*(Control!$C$94-$G202)/(Control!$C$95-Control!$C$94))))))</f>
        <v>#N/A</v>
      </c>
      <c r="CC202" s="140" t="e">
        <f t="shared" ca="1" si="830"/>
        <v>#N/A</v>
      </c>
      <c r="CD202" s="140" t="e">
        <f ca="1">IF($CC202&lt;=Control!$C$90,$CC202,Control!$C$90-$CC202)</f>
        <v>#N/A</v>
      </c>
      <c r="CE202" s="140" t="e">
        <f ca="1">IF(AND($BB202&gt;=60,$BB202&lt;65),1,IF($CC202&gt;=Control!$C$90,0,$CA202))</f>
        <v>#N/A</v>
      </c>
      <c r="CF202" s="404" t="e">
        <f ca="1">IF($CE202=0,0,IF($CC202&lt;=Control!$C$90,$CA202*(60+(65-60)*(CD202/Control!$C$90)),0))</f>
        <v>#N/A</v>
      </c>
      <c r="CG202" s="140" t="e">
        <f ca="1">IF($BG202+$BM202+$BS202+$BY202+$CE202=1,0,IF(OR(AND($BB202&lt;90,$BB202&gt;=65),$CC202&gt;=Control!$C$90),$BA202,$CK201))</f>
        <v>#N/A</v>
      </c>
      <c r="CH202" s="140" t="e">
        <f ca="1">IF($CD202&lt;0,-$CD202,$CG202*IF(OR($G202&lt;Control!$C$92,$G202&gt;Control!$C$95),0,IF(AND($G202&gt;=Control!$C$92,$G202&lt;=Control!$C$93),$G202-Control!$C$92,IF(AND($G202&gt;Control!$C$93,$G202&lt;=Control!$C$94),Control!$C$93-Control!$C$92,IF(AND($G202&gt;Control!$C$94,$G202&lt;=Control!$C$95),(Control!$C$93-Control!$C$92)*(Control!$C$94-$G202)/(Control!$C$95-Control!$C$94))))))</f>
        <v>#N/A</v>
      </c>
      <c r="CI202" s="140" t="e">
        <f t="shared" ca="1" si="831"/>
        <v>#N/A</v>
      </c>
      <c r="CJ202" s="140" t="e">
        <f ca="1">IF($CI202&lt;=Control!$C$91,$CI202,Control!$C$91-$CI202)</f>
        <v>#N/A</v>
      </c>
      <c r="CK202" s="140" t="e">
        <f ca="1">IF(AND($BB202&gt;=65,$BB202&lt;90),1,IF($CI202&gt;=Control!$C$91,0,$CG202))</f>
        <v>#N/A</v>
      </c>
      <c r="CL202" s="404" t="e">
        <f ca="1">IF($CK202=0,0,IF($CI202&lt;=Control!$C$91,$CG202*(65+(90-65)*($CJ202/Control!$C$91)),0))</f>
        <v>#N/A</v>
      </c>
      <c r="CM202" s="140" t="e">
        <f ca="1">IF($BG202+$BM202+$BS202+$BY202+$CE202+$CK202=1,0,IF(OR($BB202&gt;=90,$CI202&gt;=Control!$C$91),$BA202,$CM201))</f>
        <v>#N/A</v>
      </c>
      <c r="CN202" s="140" t="e">
        <f t="shared" ca="1" si="832"/>
        <v>#N/A</v>
      </c>
      <c r="CO202" s="140" t="e">
        <f t="shared" ca="1" si="833"/>
        <v>#N/A</v>
      </c>
      <c r="CP202" s="140" t="e">
        <f t="shared" ca="1" si="834"/>
        <v>#N/A</v>
      </c>
      <c r="CQ202" s="141" t="e">
        <f ca="1">VLOOKUP($CP202,Control!$B$86:$G$91,6)</f>
        <v>#N/A</v>
      </c>
      <c r="CR202" s="141" t="e">
        <f ca="1">(1-$CQ202)*VLOOKUP($CP202,Control!$B$86:$D$91,3)</f>
        <v>#N/A</v>
      </c>
      <c r="CS202" s="141" t="e">
        <f ca="1">(1-$CQ202)*VLOOKUP($CP202,Control!$B$86:$E$91,4)</f>
        <v>#N/A</v>
      </c>
      <c r="CT202" s="141" t="e">
        <f ca="1">(1-$CQ202)*VLOOKUP($CP202,Control!$B$86:$F$91,5)</f>
        <v>#N/A</v>
      </c>
      <c r="CU202" s="141">
        <f t="shared" ca="1" si="835"/>
        <v>0</v>
      </c>
      <c r="CV202" s="583">
        <f t="shared" ca="1" si="836"/>
        <v>0</v>
      </c>
      <c r="CW202" s="142">
        <f t="shared" ca="1" si="837"/>
        <v>198</v>
      </c>
      <c r="CX202" s="612" t="e">
        <f ca="1">IF(Control!$C$114=1,(MIN(Control!$C$120*(IF($NT202-0.01&lt;0,0,1)),Control!$C$119-$CY202)))</f>
        <v>#DIV/0!</v>
      </c>
      <c r="CY202" s="143" t="e">
        <f t="shared" ca="1" si="838"/>
        <v>#N/A</v>
      </c>
      <c r="CZ202" s="144">
        <f t="shared" ca="1" si="715"/>
        <v>0</v>
      </c>
      <c r="DA202" s="144">
        <f t="shared" ca="1" si="716"/>
        <v>0</v>
      </c>
      <c r="DB202" s="144" t="e">
        <f t="shared" ca="1" si="717"/>
        <v>#N/A</v>
      </c>
      <c r="DC202" s="144" t="e">
        <f t="shared" ca="1" si="718"/>
        <v>#N/A</v>
      </c>
      <c r="DD202" s="144" t="e">
        <f t="shared" ca="1" si="923"/>
        <v>#N/A</v>
      </c>
      <c r="DE202" s="143" t="e">
        <f t="shared" ca="1" si="839"/>
        <v>#N/A</v>
      </c>
      <c r="DF202" s="145" t="e">
        <f ca="1">$DR202*EXP(-Control!$C$158*(1-$KH202))</f>
        <v>#N/A</v>
      </c>
      <c r="DG202" s="146" t="e">
        <f ca="1">IF(Control!$C$114=1, $DF202*$EY202, 0)</f>
        <v>#N/A</v>
      </c>
      <c r="DH202" s="147" t="e">
        <f t="shared" ca="1" si="840"/>
        <v>#N/A</v>
      </c>
      <c r="DI202" s="144" t="e">
        <f t="shared" ca="1" si="901"/>
        <v>#N/A</v>
      </c>
      <c r="DJ202" s="147" t="e">
        <f ca="1">$EF202*Control!$C$109</f>
        <v>#N/A</v>
      </c>
      <c r="DK202" s="144" t="e">
        <f t="shared" ca="1" si="841"/>
        <v>#N/A</v>
      </c>
      <c r="DL202" s="144" t="e">
        <f t="shared" ca="1" si="719"/>
        <v>#N/A</v>
      </c>
      <c r="DM202" s="144" t="e">
        <f ca="1">IF(Control!$C$114=1, (1-EXP(-Control!$C$96*$DK202))*$AR202, 0)</f>
        <v>#N/A</v>
      </c>
      <c r="DN202" s="144">
        <f t="shared" ca="1" si="842"/>
        <v>0</v>
      </c>
      <c r="DO202" s="148">
        <f>Control!$C$97</f>
        <v>4</v>
      </c>
      <c r="DP202" s="145" t="e">
        <f t="shared" ca="1" si="843"/>
        <v>#N/A</v>
      </c>
      <c r="DQ202" s="145" t="e">
        <f ca="1">IF(AND($CP202&gt;=0,$CP202&lt;=90),Control!$C$111,Control!$C$111)</f>
        <v>#N/A</v>
      </c>
      <c r="DR202" s="145" t="e">
        <f t="shared" ca="1" si="720"/>
        <v>#N/A</v>
      </c>
      <c r="DS202" s="143" t="e">
        <f ca="1">Control!$B$22/$DR202</f>
        <v>#N/A</v>
      </c>
      <c r="DT202" s="149" t="e">
        <f ca="1">IF(AND(Control!$C$114=1,$KH202&lt;1),$IM202*$DF202, 0)</f>
        <v>#N/A</v>
      </c>
      <c r="DU202" s="144" t="e">
        <f t="shared" ca="1" si="844"/>
        <v>#N/A</v>
      </c>
      <c r="DV202" s="144">
        <f ca="1">IF($G202-Control!$C$107&lt;=0, 0, 0.83*LN(MAX($G202, 3))-0.8924)</f>
        <v>0</v>
      </c>
      <c r="DW202" s="144" t="e">
        <f t="shared" ca="1" si="721"/>
        <v>#N/A</v>
      </c>
      <c r="DX202" s="150" t="e">
        <f ca="1">MAX(0.01*(1+$CU202/Control!$C$102),0.05*($DK202-Control!$C$97)/Control!$C$97)</f>
        <v>#N/A</v>
      </c>
      <c r="DY202" s="151" t="e">
        <f ca="1">IF(Control!$C$114=1, $DI202*$FS202, 0)</f>
        <v>#N/A</v>
      </c>
      <c r="DZ202" s="196" t="e">
        <f t="shared" ca="1" si="845"/>
        <v>#N/A</v>
      </c>
      <c r="EA202" s="152">
        <f t="shared" ca="1" si="846"/>
        <v>198</v>
      </c>
      <c r="EB202" s="153" t="e">
        <f t="shared" ca="1" si="847"/>
        <v>#N/A</v>
      </c>
      <c r="EC202" s="153" t="e">
        <f t="shared" ca="1" si="848"/>
        <v>#N/A</v>
      </c>
      <c r="ED202" s="154" t="e">
        <f ca="1">IF(Control!$C$114=1, $HM202*$FY202-$FD202, 0)</f>
        <v>#DIV/0!</v>
      </c>
      <c r="EE202" s="155" t="e">
        <f ca="1">IF(Control!$C$114=1, $HM202*$FZ202-$FF202, 0)</f>
        <v>#DIV/0!</v>
      </c>
      <c r="EF202" s="153" t="e">
        <f t="shared" ca="1" si="902"/>
        <v>#N/A</v>
      </c>
      <c r="EG202" s="155" t="e">
        <f ca="1">IF(Control!$C$114=1, $GX202*$FW202-$FI202, 0)</f>
        <v>#DIV/0!</v>
      </c>
      <c r="EH202" s="153" t="e">
        <f t="shared" ca="1" si="849"/>
        <v>#N/A</v>
      </c>
      <c r="EI202" s="156" t="e">
        <f t="shared" ca="1" si="850"/>
        <v>#N/A</v>
      </c>
      <c r="EJ202" s="155" t="e">
        <f ca="1">IF(Control!$C$114=1, $HM202*$GB202, 0)</f>
        <v>#DIV/0!</v>
      </c>
      <c r="EK202" s="153" t="e">
        <f t="shared" ca="1" si="903"/>
        <v>#N/A</v>
      </c>
      <c r="EL202" s="153" t="e">
        <f t="shared" ca="1" si="722"/>
        <v>#N/A</v>
      </c>
      <c r="EM202" s="153" t="e">
        <f t="shared" ca="1" si="723"/>
        <v>#N/A</v>
      </c>
      <c r="EN202" s="153" t="e">
        <f ca="1">IF(Control!$C$108=1,IF(AND(Control!$B$18=1,$EB202&gt;=Control!$B$19),$EB202-$DS202,IF(AND(Control!$B$18=2,$AW202=1,$EB202&gt;$DS202),$EB202-$DS202,0)))</f>
        <v>#N/A</v>
      </c>
      <c r="EO202" s="153" t="e">
        <f ca="1">IF(Control!$C$108=1,IF(AND(Control!$B$18=1,$EB202&gt;=Control!$B$19),$EF202,IF(AND(Control!$B$18=2,$AW202=1),$EF202,0)))</f>
        <v>#N/A</v>
      </c>
      <c r="EP202" s="153" t="e">
        <f ca="1">IF(Control!$C$108=1,IF(AND(Control!$B$18=1,$EB202&gt;=Control!$B$19),$EK202,IF(AND(Control!$B$18=2,$AW202=1),$EK202,0)))</f>
        <v>#N/A</v>
      </c>
      <c r="EQ202" s="153" t="e">
        <f t="shared" ca="1" si="851"/>
        <v>#N/A</v>
      </c>
      <c r="ER202" s="153" t="e">
        <f t="shared" ca="1" si="852"/>
        <v>#N/A</v>
      </c>
      <c r="ES202" s="153" t="e">
        <f t="shared" ca="1" si="904"/>
        <v>#N/A</v>
      </c>
      <c r="ET202" s="153" t="e">
        <f t="shared" ca="1" si="905"/>
        <v>#N/A</v>
      </c>
      <c r="EU202" s="153" t="e">
        <f t="shared" ca="1" si="853"/>
        <v>#N/A</v>
      </c>
      <c r="EV202" s="153" t="e">
        <f t="shared" ca="1" si="724"/>
        <v>#N/A</v>
      </c>
      <c r="EW202" s="153" t="e">
        <f t="shared" ca="1" si="725"/>
        <v>#N/A</v>
      </c>
      <c r="EX202" s="153" t="e">
        <f t="shared" ca="1" si="726"/>
        <v>#N/A</v>
      </c>
      <c r="EY202" s="157" t="e">
        <f t="shared" ca="1" si="727"/>
        <v>#DIV/0!</v>
      </c>
      <c r="EZ202" s="154" t="e">
        <f t="shared" ca="1" si="728"/>
        <v>#DIV/0!</v>
      </c>
      <c r="FA202" s="153" t="e">
        <f t="shared" ca="1" si="854"/>
        <v>#N/A</v>
      </c>
      <c r="FB202" s="153" t="e">
        <f t="shared" ca="1" si="729"/>
        <v>#N/A</v>
      </c>
      <c r="FC202" s="193" t="e">
        <f t="shared" ca="1" si="730"/>
        <v>#N/A</v>
      </c>
      <c r="FD202" s="158" t="e">
        <f t="shared" ca="1" si="855"/>
        <v>#N/A</v>
      </c>
      <c r="FE202" s="158" t="e">
        <f t="shared" ca="1" si="856"/>
        <v>#N/A</v>
      </c>
      <c r="FF202" s="159" t="e">
        <f t="shared" ca="1" si="731"/>
        <v>#N/A</v>
      </c>
      <c r="FG202" s="160" t="e">
        <f t="shared" ca="1" si="857"/>
        <v>#N/A</v>
      </c>
      <c r="FH202" s="158" t="e">
        <f t="shared" ca="1" si="858"/>
        <v>#N/A</v>
      </c>
      <c r="FI202" s="159" t="e">
        <f t="shared" ca="1" si="732"/>
        <v>#N/A</v>
      </c>
      <c r="FJ202" s="160" t="e">
        <f t="shared" ca="1" si="859"/>
        <v>#N/A</v>
      </c>
      <c r="FK202" s="160" t="e">
        <f t="shared" ca="1" si="733"/>
        <v>#N/A</v>
      </c>
      <c r="FL202" s="160" t="e">
        <f t="shared" ca="1" si="906"/>
        <v>#N/A</v>
      </c>
      <c r="FM202" s="160" t="e">
        <f t="shared" ca="1" si="734"/>
        <v>#N/A</v>
      </c>
      <c r="FN202" s="158">
        <f t="shared" ca="1" si="860"/>
        <v>0.01</v>
      </c>
      <c r="FO202" s="160">
        <f>Control!$C$101</f>
        <v>50</v>
      </c>
      <c r="FP202" s="150" t="e">
        <f t="shared" ca="1" si="735"/>
        <v>#N/A</v>
      </c>
      <c r="FQ202" s="150" t="e">
        <f ca="1">MAX(0,(Control!$C$112*(($DK202-Control!$C$97)/Control!$C$97)))</f>
        <v>#N/A</v>
      </c>
      <c r="FR202" s="150" t="e">
        <f ca="1">(1-$NT202)*Control!$C$113</f>
        <v>#DIV/0!</v>
      </c>
      <c r="FS202" s="198" t="e">
        <f t="shared" ca="1" si="736"/>
        <v>#N/A</v>
      </c>
      <c r="FT202" s="161">
        <f t="shared" ca="1" si="861"/>
        <v>198</v>
      </c>
      <c r="FU202" s="162" t="e">
        <f ca="1">IF(Control!$B$34=1,VLOOKUP($CP202,Control!$B$86:$G$91,6),Control!$B$35)</f>
        <v>#N/A</v>
      </c>
      <c r="FV202" s="162" t="e">
        <f t="shared" ca="1" si="737"/>
        <v>#DIV/0!</v>
      </c>
      <c r="FW202" s="162" t="e">
        <f ca="1">IF(Control!$B$31=1,$FU202*$FV202,  $FU202)</f>
        <v>#N/A</v>
      </c>
      <c r="FX202" s="162" t="e">
        <f ca="1">IF(Control!$B$34=1,VLOOKUP($CP202,Control!$B$86:$G$91,3),Control!$B$36)</f>
        <v>#N/A</v>
      </c>
      <c r="FY202" s="162" t="e">
        <f t="shared" ca="1" si="738"/>
        <v>#N/A</v>
      </c>
      <c r="FZ202" s="162" t="e">
        <f ca="1">IF(Control!$B$34=1,VLOOKUP($CP202,Control!$B$86:$G$91,4),Control!$B$37)</f>
        <v>#N/A</v>
      </c>
      <c r="GA202" s="162" t="e">
        <f t="shared" ca="1" si="739"/>
        <v>#N/A</v>
      </c>
      <c r="GB202" s="162" t="e">
        <f ca="1">IF(Control!$B$34=1,VLOOKUP($CP202,Control!$B$86:$G$91,5),Control!$B$38)</f>
        <v>#N/A</v>
      </c>
      <c r="GC202" s="162" t="e">
        <f t="shared" ca="1" si="862"/>
        <v>#N/A</v>
      </c>
      <c r="GD202" s="162">
        <f t="shared" ca="1" si="740"/>
        <v>1</v>
      </c>
      <c r="GE202" s="162">
        <f t="shared" ca="1" si="741"/>
        <v>1</v>
      </c>
      <c r="GF202" s="162">
        <f ca="1">IF(AND(Control!$C$104=1, Control!$C$62="F"),$GE202,1)</f>
        <v>1</v>
      </c>
      <c r="GG202" s="162" t="e">
        <f ca="1">IF(Control!$B$16=40,0,IF(AND(Control!$B$16&gt;40,Control!$B$16&lt;=360),(Control!$B$16-40)*((1-0)/(360-40)),IF(AND(Control!$B$16&gt;360,Control!$B$16&lt;=720),(1+(Control!$B$16-360)*((1.25-1)/(720-360))),IF(AND(Control!$B$16&gt;720,Control!$B$16&lt;=1000),(1.25+(Control!$B$16-720)*((1.35-1.25)/(1000-720))),IF(AND(Control!$B$16&gt;1000,Control!$B$16&lt;=2000),(1.35+(Control!$B$16-1000)*0))))))</f>
        <v>#N/A</v>
      </c>
      <c r="GH202" s="162" t="e">
        <f t="shared" ca="1" si="742"/>
        <v>#N/A</v>
      </c>
      <c r="GI202" s="162">
        <f t="shared" ca="1" si="863"/>
        <v>0</v>
      </c>
      <c r="GJ202" s="162">
        <f t="shared" ca="1" si="743"/>
        <v>0</v>
      </c>
      <c r="GK202" s="162">
        <f t="shared" ca="1" si="864"/>
        <v>1</v>
      </c>
      <c r="GL202" s="162">
        <f t="shared" ca="1" si="744"/>
        <v>1</v>
      </c>
      <c r="GM202" s="162" t="e">
        <f ca="1">MAX(0,MIN(1,1-Control!$C$156*(1.0001-$KH202)^2))</f>
        <v>#N/A</v>
      </c>
      <c r="GN202" s="162" t="e">
        <f ca="1">IF(Control!$B$26=1,$KU202,$KX202)</f>
        <v>#N/A</v>
      </c>
      <c r="GO202" s="162" t="e">
        <f ca="1">IF($CP202&lt;=60,Control!$C$105,IF($CP202&gt;=90,Control!$C$106,Control!$C$105+($CP202-60)*((Control!$C$106-Control!$C$105)/(90-60))))</f>
        <v>#N/A</v>
      </c>
      <c r="GP202" s="162" t="e">
        <f t="shared" ca="1" si="745"/>
        <v>#N/A</v>
      </c>
      <c r="GQ202" s="162" t="e">
        <f t="shared" ca="1" si="865"/>
        <v>#N/A</v>
      </c>
      <c r="GR202" s="163" t="e">
        <f t="shared" ca="1" si="746"/>
        <v>#DIV/0!</v>
      </c>
      <c r="GS202" s="162" t="e">
        <f t="shared" ca="1" si="747"/>
        <v>#DIV/0!</v>
      </c>
      <c r="GT202" s="164" t="e">
        <f t="shared" ca="1" si="866"/>
        <v>#N/A</v>
      </c>
      <c r="GU202" s="162" t="e">
        <f t="shared" ca="1" si="867"/>
        <v>#N/A</v>
      </c>
      <c r="GV202" s="162" t="e">
        <f t="shared" ca="1" si="748"/>
        <v>#N/A</v>
      </c>
      <c r="GW202" s="162" t="e">
        <f t="shared" ca="1" si="749"/>
        <v>#DIV/0!</v>
      </c>
      <c r="GX202" s="162" t="e">
        <f t="shared" ca="1" si="868"/>
        <v>#DIV/0!</v>
      </c>
      <c r="GY202" s="162" t="e">
        <f t="shared" ca="1" si="869"/>
        <v>#DIV/0!</v>
      </c>
      <c r="GZ202" s="165" t="e">
        <f t="shared" ca="1" si="750"/>
        <v>#N/A</v>
      </c>
      <c r="HA202" s="162" t="e">
        <f ca="1">IF(Control!$C$114=1, $DI202*$FS202, 0)</f>
        <v>#N/A</v>
      </c>
      <c r="HB202" s="162" t="e">
        <f ca="1">$FA202/Control!$C$64</f>
        <v>#N/A</v>
      </c>
      <c r="HC202" s="162" t="e">
        <f t="shared" ca="1" si="751"/>
        <v>#DIV/0!</v>
      </c>
      <c r="HD202" s="162">
        <f ca="1">-ASIN(SIN(23.45*Control!$C$139)*COS(2*Control!$C$138*($AH202+10)/365))</f>
        <v>0.36850346780776921</v>
      </c>
      <c r="HE202" s="165">
        <f t="shared" ca="1" si="870"/>
        <v>0</v>
      </c>
      <c r="HF202" s="166">
        <f ca="1">IF(AND(Control!$C$61="T",$HE202&gt;=Control!$C$103,Control!$C$114=0),$AH202,Control!$C$59)</f>
        <v>1</v>
      </c>
      <c r="HG202" s="166">
        <f ca="1">IF(AND(Control!$C$61="T",$HE202&gt;=Control!$C$103,Control!$C$114=0),$HF202,Control!$C$59)</f>
        <v>1</v>
      </c>
      <c r="HH202" s="165">
        <f ca="1">IF(AND(OR(Control!$C$60&lt;=0, $AH202= Control!$C$59, Control!$C$60 &gt;0, $AH202 = Control!$C$60)), Control!$C$59, IF(Control!$C$60&gt;0, 0))</f>
        <v>1</v>
      </c>
      <c r="HI202" s="165">
        <f ca="1">IF(AND(OR(Control!$C$60&lt;=0, $AH202= Control!$C$59, Control!$C$60 &gt;0, $AH202 = Control!$C$60)), Control!$C$60, IF(Control!$C$60&lt;=0, 0))</f>
        <v>0</v>
      </c>
      <c r="HJ202" s="166">
        <f ca="1">IF(AND(Control!$C$62="F",$CV202&gt;=Control!$C$102),$AH202,0)</f>
        <v>0</v>
      </c>
      <c r="HK202" s="165" t="e">
        <f t="shared" ca="1" si="907"/>
        <v>#N/A</v>
      </c>
      <c r="HL202" s="166">
        <f ca="1">IF(AND(Control!$C$61="T",$HE202&gt;=Control!$C$103,Control!$C$114=0),$HF202,0)</f>
        <v>0</v>
      </c>
      <c r="HM202" s="201" t="e">
        <f t="shared" ca="1" si="752"/>
        <v>#DIV/0!</v>
      </c>
      <c r="HN202" s="215">
        <f t="shared" ca="1" si="871"/>
        <v>198</v>
      </c>
      <c r="HO202" s="216" t="e">
        <f ca="1">IF(AND($CP202&gt;=0, $CP202&lt;=90), Control!$C$152, Control!$C$152)</f>
        <v>#N/A</v>
      </c>
      <c r="HP202" s="216" t="e">
        <f t="shared" ca="1" si="753"/>
        <v>#N/A</v>
      </c>
      <c r="HQ202" s="217" t="e">
        <f ca="1">IF(OR(Control!$B$26=1,Control!$B$26=2),$KV202,$KS202)</f>
        <v>#DIV/0!</v>
      </c>
      <c r="HR202" s="218" t="e">
        <f t="shared" ca="1" si="908"/>
        <v>#DIV/0!</v>
      </c>
      <c r="HS202" s="216" t="e">
        <f ca="1">Control!$C$154*$HP202</f>
        <v>#N/A</v>
      </c>
      <c r="HT202" s="216" t="e">
        <f ca="1">Control!$C$155*$HP202</f>
        <v>#N/A</v>
      </c>
      <c r="HU202" s="217" t="e">
        <f ca="1">Control!$C$161*$FI202</f>
        <v>#N/A</v>
      </c>
      <c r="HV202" s="218" t="e">
        <f t="shared" ca="1" si="872"/>
        <v>#N/A</v>
      </c>
      <c r="HW202" s="218" t="e">
        <f ca="1">Control!$C$160*$FF202+$IP202*$EO202</f>
        <v>#N/A</v>
      </c>
      <c r="HX202" s="218" t="e">
        <f t="shared" ca="1" si="909"/>
        <v>#N/A</v>
      </c>
      <c r="HY202" s="219" t="e">
        <f ca="1">IF(Control!$C$114=1, $EB202*$FS202, 0)</f>
        <v>#N/A</v>
      </c>
      <c r="HZ202" s="91" t="e">
        <f t="shared" ca="1" si="754"/>
        <v>#N/A</v>
      </c>
      <c r="IA202" s="220" t="e">
        <f ca="1">Control!$C$153*$HO202</f>
        <v>#N/A</v>
      </c>
      <c r="IB202" s="218" t="e">
        <f t="shared" ca="1" si="755"/>
        <v>#N/A</v>
      </c>
      <c r="IC202" s="220" t="e">
        <f ca="1">Control!$C$153*$HT202</f>
        <v>#N/A</v>
      </c>
      <c r="ID202" s="218" t="e">
        <f t="shared" ca="1" si="756"/>
        <v>#N/A</v>
      </c>
      <c r="IE202" s="221" t="e">
        <f ca="1">($EB202*Control!$C$159+$EF202*Control!$C$160)/(IF($GZ202&lt;&gt;0,$GZ202,1))</f>
        <v>#N/A</v>
      </c>
      <c r="IF202" s="216" t="e">
        <f t="shared" ca="1" si="757"/>
        <v>#N/A</v>
      </c>
      <c r="IG202" s="91">
        <f ca="1">IF(OR(Control!$B$198=$AH202,Control!$B$199=$AH202, Control!$B$200=$AH202, Control!$B$201=$AH202, Control!$B$202=$AH202, Control!$B$203=$AH202, Control!$B$204=$AH202, Control!$B$205=$AH202, Control!$B$206=$AH202, Control!$B$207=$AH202), 1, 0)</f>
        <v>0</v>
      </c>
      <c r="IH202" s="91">
        <f ca="1">IF($IG202=0,0, VLOOKUP($AH202,Control!$B$198:$C$207,2))</f>
        <v>0</v>
      </c>
      <c r="II202" s="222">
        <f t="shared" ca="1" si="873"/>
        <v>0</v>
      </c>
      <c r="IJ202" s="91">
        <f>Control!$C$121</f>
        <v>0.7</v>
      </c>
      <c r="IK202" s="218">
        <f t="shared" ca="1" si="758"/>
        <v>0</v>
      </c>
      <c r="IL202" s="217" t="e">
        <f t="shared" ca="1" si="910"/>
        <v>#N/A</v>
      </c>
      <c r="IM202" s="223" t="e">
        <f ca="1">IF(AND(Control!$C$114=1,$KH202&lt;1),$EB202*Control!$C$148*(1-$KH202), 0)</f>
        <v>#N/A</v>
      </c>
      <c r="IN202" s="217" t="e">
        <f t="shared" ca="1" si="759"/>
        <v>#DIV/0!</v>
      </c>
      <c r="IO202" s="91" t="e">
        <f ca="1">MAX(0,$IL202-$EF202*Control!$C$160)</f>
        <v>#N/A</v>
      </c>
      <c r="IP202" s="220" t="e">
        <f t="shared" ca="1" si="760"/>
        <v>#N/A</v>
      </c>
      <c r="IQ202" s="217" t="e">
        <f t="shared" ca="1" si="874"/>
        <v>#N/A</v>
      </c>
      <c r="IR202" s="218" t="e">
        <f t="shared" ca="1" si="761"/>
        <v>#N/A</v>
      </c>
      <c r="IS202" s="217" t="e">
        <f ca="1">Control!$C$159*MAX(0,$FD202-$EN202)</f>
        <v>#N/A</v>
      </c>
      <c r="IT202" s="217" t="e">
        <f t="shared" ca="1" si="911"/>
        <v>#N/A</v>
      </c>
      <c r="IU202" s="217" t="e">
        <f t="shared" ca="1" si="875"/>
        <v>#N/A</v>
      </c>
      <c r="IV202" s="217" t="e">
        <f t="shared" ca="1" si="912"/>
        <v>#N/A</v>
      </c>
      <c r="IW202" s="217" t="e">
        <f ca="1">IF(OR($AW202=1,AND($AW202=0, Control!$B$18=1,$EN202&lt;&gt;0)), $IQ202-$IU202, $IQ202)</f>
        <v>#N/A</v>
      </c>
      <c r="IX202" s="218" t="e">
        <f t="shared" ca="1" si="762"/>
        <v>#N/A</v>
      </c>
      <c r="IY202" s="218" t="e">
        <f ca="1">MAX(0,$IQ202-$EB202*Control!$C$159)</f>
        <v>#N/A</v>
      </c>
      <c r="IZ202" s="218" t="e">
        <f t="shared" ca="1" si="763"/>
        <v>#N/A</v>
      </c>
      <c r="JA202" s="216" t="e">
        <f t="shared" ca="1" si="764"/>
        <v>#N/A</v>
      </c>
      <c r="JB202" s="217" t="e">
        <f t="shared" ca="1" si="765"/>
        <v>#N/A</v>
      </c>
      <c r="JC202" s="222" t="e">
        <f ca="1">MAX(Control!$C$157*$EK202-$JT202, 0)/Control!$C$162</f>
        <v>#N/A</v>
      </c>
      <c r="JD202" s="218" t="e">
        <f t="shared" ca="1" si="766"/>
        <v>#N/A</v>
      </c>
      <c r="JE202" s="218" t="e">
        <f t="shared" ca="1" si="767"/>
        <v>#N/A</v>
      </c>
      <c r="JF202" s="218" t="e">
        <f t="shared" ca="1" si="876"/>
        <v>#N/A</v>
      </c>
      <c r="JG202" s="218" t="e">
        <f t="shared" ca="1" si="768"/>
        <v>#N/A</v>
      </c>
      <c r="JH202" s="217" t="e">
        <f t="shared" ca="1" si="877"/>
        <v>#N/A</v>
      </c>
      <c r="JI202" s="217" t="e">
        <f t="shared" ca="1" si="878"/>
        <v>#N/A</v>
      </c>
      <c r="JJ202" s="217" t="e">
        <f t="shared" ca="1" si="913"/>
        <v>#N/A</v>
      </c>
      <c r="JK202" s="217" t="e">
        <f ca="1">IF(Control!$C$114=1,IF(Control!$B$24=0,MAX(0,$JI202)*$GN202/Control!$C$64,(MAX(0,MIN($JI202,$JJ202*$GN202/Control!$C$64),0))))</f>
        <v>#N/A</v>
      </c>
      <c r="JL202" s="217" t="e">
        <f ca="1">$IK202/Control!$C$64-$JK202+$HQ202</f>
        <v>#N/A</v>
      </c>
      <c r="JM202" s="217" t="e">
        <f ca="1">IF(Control!$C$114=1,($JB202/(IF($JI202&lt;&gt;0,$JI202,1)))*$JK202,0)</f>
        <v>#N/A</v>
      </c>
      <c r="JN202" s="217" t="e">
        <f ca="1">IF(Control!$C$114=1,($JG202/(IF($JI202&lt;&gt;0,$JI202,1)))*$JK202, 0)</f>
        <v>#N/A</v>
      </c>
      <c r="JO202" s="218" t="e">
        <f t="shared" ca="1" si="769"/>
        <v>#N/A</v>
      </c>
      <c r="JP202" s="218" t="e">
        <f ca="1">MIN(($IY202+$IO202)*Control!$C$151, $JF202-$EH202*Control!$C$161)</f>
        <v>#N/A</v>
      </c>
      <c r="JQ202" s="218" t="e">
        <f t="shared" ca="1" si="770"/>
        <v>#N/A</v>
      </c>
      <c r="JR202" s="217" t="e">
        <f ca="1">IF($CP202-Control!$C$150&lt;0, 0, $JQ202/Control!$C$162)</f>
        <v>#N/A</v>
      </c>
      <c r="JS202" s="218" t="e">
        <f t="shared" ca="1" si="771"/>
        <v>#N/A</v>
      </c>
      <c r="JT202" s="218" t="e">
        <f t="shared" ca="1" si="879"/>
        <v>#N/A</v>
      </c>
      <c r="JU202" s="218" t="e">
        <f t="shared" ca="1" si="772"/>
        <v>#N/A</v>
      </c>
      <c r="JV202" s="218" t="e">
        <f t="shared" ca="1" si="773"/>
        <v>#N/A</v>
      </c>
      <c r="JW202" s="216" t="e">
        <f t="shared" ca="1" si="774"/>
        <v>#N/A</v>
      </c>
      <c r="JX202" s="91" t="e">
        <f t="shared" ca="1" si="775"/>
        <v>#N/A</v>
      </c>
      <c r="JY202" s="218" t="e">
        <f t="shared" ca="1" si="776"/>
        <v>#N/A</v>
      </c>
      <c r="JZ202" s="217" t="e">
        <f ca="1">IF(Control!$C$114=1,($IZ202/(IF($JI202&lt;&gt;0,$JI202,1)))*$JK202, 0)</f>
        <v>#N/A</v>
      </c>
      <c r="KA202" s="218" t="e">
        <f t="shared" ca="1" si="914"/>
        <v>#N/A</v>
      </c>
      <c r="KB202" s="218" t="e">
        <f t="shared" ca="1" si="880"/>
        <v>#N/A</v>
      </c>
      <c r="KC202" s="218" t="e">
        <f t="shared" ca="1" si="777"/>
        <v>#N/A</v>
      </c>
      <c r="KD202" s="218" t="e">
        <f t="shared" ca="1" si="778"/>
        <v>#N/A</v>
      </c>
      <c r="KE202" s="218" t="e">
        <f t="shared" ca="1" si="779"/>
        <v>#N/A</v>
      </c>
      <c r="KF202" s="218" t="e">
        <f t="shared" ca="1" si="780"/>
        <v>#N/A</v>
      </c>
      <c r="KG202" s="216" t="e">
        <f t="shared" ca="1" si="781"/>
        <v>#N/A</v>
      </c>
      <c r="KH202" s="221" t="e">
        <f ca="1">IF(Control!$B$24=0,1,MAX(0.001,MIN(1,IF(($IF202-$IE202)&lt;&gt;0,($KG202-$IE202)/($IF202-$IE202),1))))</f>
        <v>#N/A</v>
      </c>
      <c r="KI202" s="222" t="e">
        <f ca="1">IF(Control!$C$114=1, $KI201+ $KH201, 0)</f>
        <v>#N/A</v>
      </c>
      <c r="KJ202" s="217" t="e">
        <f t="shared" ca="1" si="782"/>
        <v>#N/A</v>
      </c>
      <c r="KK202" s="218" t="e">
        <f t="shared" ca="1" si="783"/>
        <v>#N/A</v>
      </c>
      <c r="KL202" s="274" t="e">
        <f ca="1">IF(Control!$B$26=3,4000000000*EXP(-8400/($G202+273)),IF(Control!$B$26=4,4000000000*EXP(-8400/($G202+273))*($KT202),0))</f>
        <v>#DIV/0!</v>
      </c>
      <c r="KM202" s="274" t="e">
        <f ca="1">IF(Control!$B$26=3,5600000000000*EXP(-9800/($G202+273)),IF(Control!$B$26=4,5600000000000*EXP(-9800/($G202+273))*$KT202,0))</f>
        <v>#DIV/0!</v>
      </c>
      <c r="KN202" s="454" t="e">
        <f t="shared" ca="1" si="881"/>
        <v>#DIV/0!</v>
      </c>
      <c r="KO202" s="274" t="e">
        <f t="shared" ca="1" si="882"/>
        <v>#DIV/0!</v>
      </c>
      <c r="KP202" s="454" t="e">
        <f t="shared" ca="1" si="784"/>
        <v>#DIV/0!</v>
      </c>
      <c r="KQ202" s="454" t="e">
        <f t="shared" ca="1" si="785"/>
        <v>#DIV/0!</v>
      </c>
      <c r="KR202" s="454" t="e">
        <f t="shared" ca="1" si="786"/>
        <v>#DIV/0!</v>
      </c>
      <c r="KS202" s="454" t="e">
        <f t="shared" ca="1" si="787"/>
        <v>#DIV/0!</v>
      </c>
      <c r="KT202" s="455" t="e">
        <f t="shared" ca="1" si="788"/>
        <v>#DIV/0!</v>
      </c>
      <c r="KU202" s="456" t="e">
        <f ca="1">IF($CP202-Control!$C$149&lt;0, IF($NT202-0.01&lt;0,0,1),0)</f>
        <v>#N/A</v>
      </c>
      <c r="KV202" s="456" t="e">
        <f ca="1">IF(Control!$C$114=1,MAX(0,MIN(Control!$C$125*$KW202*$GN202,$KW202)))</f>
        <v>#DIV/0!</v>
      </c>
      <c r="KW202" s="456" t="e">
        <f t="shared" ca="1" si="915"/>
        <v>#DIV/0!</v>
      </c>
      <c r="KX202" s="457" t="e">
        <f ca="1">IF($CP202-Control!$C$149&lt;0, IF($MR202-$OM202&lt;0,0,1),0)</f>
        <v>#N/A</v>
      </c>
      <c r="KY202" s="167">
        <f t="shared" ca="1" si="883"/>
        <v>198</v>
      </c>
      <c r="KZ202" s="168">
        <f ca="1">1370*(1+0.033*COS(2*Control!$C$138*$AH202/365))</f>
        <v>1326.3898881275047</v>
      </c>
      <c r="LA202" s="169">
        <f t="shared" ca="1" si="884"/>
        <v>0.96816773220218899</v>
      </c>
      <c r="LB202" s="169">
        <f t="shared" ca="1" si="885"/>
        <v>0.36870584075881746</v>
      </c>
      <c r="LC202" s="169">
        <f ca="1">ACOS(-TAN((2*Control!$B$8/360))*TAN(Calculations!$LB202))</f>
        <v>1.6858820823965246</v>
      </c>
      <c r="LD202" s="169">
        <f ca="1">((24*60)/PI())*0.082*$LA202*(($LC202*SIN(Control!$B$8*2*PI()/360))*SIN($LB202)+COS(Control!$B$8*2*PI()/360)*COS($LB202)*SIN($LC202))</f>
        <v>38.183117835034196</v>
      </c>
      <c r="LE202" s="170">
        <f t="shared" ca="1" si="789"/>
        <v>39.616886492176917</v>
      </c>
      <c r="LF202" s="170">
        <f ca="1">SIN(Control!$C$139*Control!$B$8)*SIN($HD202)</f>
        <v>0.28385752282284632</v>
      </c>
      <c r="LG202" s="170">
        <f ca="1">COS(Control!$C$139*Control!$B$8)*COS($HD202)</f>
        <v>0.57432900305904155</v>
      </c>
      <c r="LH202" s="170">
        <f ca="1">12*(1+2*ASIN(MAX(-1,MIN(1,$LF202/$LG202))/Control!$C$138))</f>
        <v>15.791473030956231</v>
      </c>
      <c r="LI202" s="170">
        <f ca="1">12*(1+2*ASIN(MAX(-1,MIN(1,(-SIN(-4*Control!$C$139)+$LF202)/$LG202))/Control!$C$138))</f>
        <v>16.734230638842078</v>
      </c>
      <c r="LJ202" s="168">
        <f ca="1">3600*($LH202*$LF202+24*$LG202*SQRT(1-$LK202*$LK202)/Control!$C$138)</f>
        <v>29868.206058254102</v>
      </c>
      <c r="LK202" s="170">
        <f t="shared" ca="1" si="790"/>
        <v>0.49424201339465612</v>
      </c>
      <c r="LL202" s="170">
        <f t="shared" ca="1" si="791"/>
        <v>0</v>
      </c>
      <c r="LM202" s="171">
        <f ca="1">Control!$C$145*$AB202</f>
        <v>6.6660906138995932E-2</v>
      </c>
      <c r="LN202" s="170">
        <f t="shared" ca="1" si="886"/>
        <v>0.54</v>
      </c>
      <c r="LO202" s="170">
        <f t="shared" ca="1" si="792"/>
        <v>0</v>
      </c>
      <c r="LP202" s="170">
        <f ca="1">Control!$C$140*((($D202+273.16)^4+($E202+273.16)^4)/2)*(0.34-0.14*SQRT($Y202))*(1.35*$AQ202/(0.75*$LD202)-0.35)</f>
        <v>-3.2464704755046001</v>
      </c>
      <c r="LQ202" s="170">
        <f ca="1">Control!$C$140*($G202+273)^4*(0.56-0.079*SQRT($Y202*10))*(0.1+0.9*$LO202)</f>
        <v>1.5241745131704001</v>
      </c>
      <c r="LR202" s="170">
        <f ca="1">$AQ202*(1-Control!$C$142)-$LQ202</f>
        <v>-1.5241745131704001</v>
      </c>
      <c r="LS202" s="170">
        <f ca="1">$AQ202*(1-Control!$C$143)-$LQ202</f>
        <v>-1.5241745131704001</v>
      </c>
      <c r="LT202" s="170">
        <f ca="1">$AQ202*(1-Control!$C$144)-$LQ202</f>
        <v>-1.5241745131704001</v>
      </c>
      <c r="LU202" s="169">
        <f ca="1">(1-Control!$C$144)*AQ202-LP202</f>
        <v>3.2464704755046001</v>
      </c>
      <c r="LV202" s="172">
        <f t="shared" ca="1" si="793"/>
        <v>0.79430000000000012</v>
      </c>
      <c r="LW202" s="170">
        <f t="shared" ca="1" si="794"/>
        <v>1.5886000000000002</v>
      </c>
      <c r="LX202" s="170">
        <f ca="1">($AC202*($LR202/Control!$C$141)+$LM202*$LV202)/($AC202+$LM202)</f>
        <v>0.23530094218323697</v>
      </c>
      <c r="LY202" s="170">
        <f ca="1">($AC202*($LS202/Control!$C$141)+$LM202*$LV202)/($AC202+$LM202)</f>
        <v>0.23530094218323697</v>
      </c>
      <c r="LZ202" s="170">
        <f t="shared" ca="1" si="795"/>
        <v>0.23530094218323697</v>
      </c>
      <c r="MA202" s="170">
        <f t="shared" ca="1" si="796"/>
        <v>0.23530094218323697</v>
      </c>
      <c r="MB202" s="170" t="e">
        <f t="shared" ca="1" si="797"/>
        <v>#N/A</v>
      </c>
      <c r="MC202" s="170">
        <f t="shared" ca="1" si="887"/>
        <v>0.6018</v>
      </c>
      <c r="MD202" s="170">
        <f t="shared" ca="1" si="798"/>
        <v>0.52989392535414004</v>
      </c>
      <c r="ME202" s="170">
        <f ca="1">($AC202*($LT202/Control!$C$141)+$LM202*$LW202)/($AC202+$LM202)</f>
        <v>0.71612369323045078</v>
      </c>
      <c r="MF202" s="170" t="e">
        <f ca="1">IF(Control!$B$16&gt;=1000,0.92,IF(AND(720&lt;=Control!$B$16,1000&gt;Control!$B$16),(0.95+(Control!$B$16-720)*((0.92-0.95)/(1000-720))),IF(AND(360&lt;=Control!$B$16,720&gt;Control!$B$16),(1+(Control!$B$16-360)*((0.95-1)/(720-360))),IF(AND(40&lt;=Control!$B$16,360&gt;Control!$B$16),(1.05+(Control!$B$16-40)*((1.05-1)/(360-40)))))))</f>
        <v>#N/A</v>
      </c>
      <c r="MG202" s="170">
        <f t="shared" ca="1" si="799"/>
        <v>0.71612369323045078</v>
      </c>
      <c r="MH202" s="170" t="e">
        <f t="shared" ca="1" si="695"/>
        <v>#N/A</v>
      </c>
      <c r="MI202" s="170" t="e">
        <f t="shared" ca="1" si="695"/>
        <v>#N/A</v>
      </c>
      <c r="MJ202" s="170" t="e">
        <f ca="1">MAX(0.0001, Control!$C$132*$MI202*$DL202)</f>
        <v>#N/A</v>
      </c>
      <c r="MK202" s="170">
        <f ca="1">1/(0.76+1.5*($MG202/10))-(5-Control!$C$110)*0.1</f>
        <v>1.002845988140797</v>
      </c>
      <c r="ML202" s="173">
        <f ca="1">IF(Control!$C$110&lt;3,$MK202+($MG202-0.6)/(Control!$C$110*(Control!$C$110+3)), MAX(0.1, MIN(0.95,$MK202)))</f>
        <v>0.95</v>
      </c>
      <c r="MM202" s="173">
        <f ca="1">IF(Control!$C$110&lt;3,$MK202+(($MI202/10)-0.6)/(Control!$C$110*(Control!$C$110+3)), MAX(0.1, MIN(0.95,$MK202)))</f>
        <v>0.95</v>
      </c>
      <c r="MN202" s="173">
        <f ca="1">(1-$MM202)*(Control!$C$128-Control!$C$127)+Control!$C$127</f>
        <v>0.16</v>
      </c>
      <c r="MO202" s="170" t="e">
        <f ca="1">MAX(0,MIN(1,($MS202-Control!$C$127)/($MN202-Control!$C$127)))</f>
        <v>#DIV/0!</v>
      </c>
      <c r="MP202" s="173" t="e">
        <f ca="1">1/(0.76+1.5*$MI202)-(5-Control!$C$110)*0.1</f>
        <v>#N/A</v>
      </c>
      <c r="MQ202" s="172" t="e">
        <f t="shared" ca="1" si="916"/>
        <v>#DIV/0!</v>
      </c>
      <c r="MR202" s="168" t="e">
        <f t="shared" ca="1" si="888"/>
        <v>#DIV/0!</v>
      </c>
      <c r="MS202" s="173" t="e">
        <f ca="1">MAX(Control!$C$127, MIN(Control!$C$135, $MR202/MAX(0.0001,$CY202)))</f>
        <v>#DIV/0!</v>
      </c>
      <c r="MT202" s="168" t="e">
        <f ca="1">(Control!$C$128-$MS202)*Control!$C$74</f>
        <v>#DIV/0!</v>
      </c>
      <c r="MU202" s="168" t="e">
        <f ca="1">(Control!$C$135-$MS202)*Control!$C$74</f>
        <v>#DIV/0!</v>
      </c>
      <c r="MV202" s="168" t="e">
        <f t="shared" ca="1" si="889"/>
        <v>#DIV/0!</v>
      </c>
      <c r="MW202" s="168" t="e">
        <f t="shared" ca="1" si="890"/>
        <v>#DIV/0!</v>
      </c>
      <c r="MX202" s="171" t="e">
        <f ca="1">MAX(Control!$C$127, MIN(Control!$C$135, $MW202/MAX(0.0001,Control!$C$119-$CY202)))</f>
        <v>#DIV/0!</v>
      </c>
      <c r="MY202" s="54" t="e">
        <f ca="1">IF(Control!$C$114=1, $CX202*$MX202, 0)</f>
        <v>#DIV/0!</v>
      </c>
      <c r="MZ202" s="54" t="e">
        <f t="shared" ca="1" si="891"/>
        <v>#N/A</v>
      </c>
      <c r="NA202" s="168" t="e">
        <f ca="1">(Control!$C$128-$MX202)*(Control!$C$119-Control!$C$74)</f>
        <v>#DIV/0!</v>
      </c>
      <c r="NB202" s="168" t="e">
        <f ca="1">(Control!$C$135-$MX202)*(Control!$C$119-Control!$C$74)</f>
        <v>#DIV/0!</v>
      </c>
      <c r="NC202" s="174" t="e">
        <f t="shared" ca="1" si="892"/>
        <v>#DIV/0!</v>
      </c>
      <c r="ND202" s="54">
        <f ca="1">IF(Control!$C$58=2, IF(OR(Control!$B$218=$AH202,Control!$B$219=$AH202, Control!$B$220=$AH202, Control!$B$221=$AH202, Control!$B$222=$AH202, Control!$B$223=$AH202, Control!$B$224=$AH202, Control!$B$225=$AH202, Control!$B$226=$AH202, Control!$B$227=$AH202, Control!$B$228=$AH202), 1, 0), 0)</f>
        <v>0</v>
      </c>
      <c r="NE202" s="54">
        <f ca="1">IF($ND202=0,0, VLOOKUP($AH202,Control!$B$218:$C$228,2))</f>
        <v>0</v>
      </c>
      <c r="NF202" s="168" t="e">
        <f ca="1">$CY202*(Control!$C$128-Control!$C$127)</f>
        <v>#N/A</v>
      </c>
      <c r="NG202" s="54" t="e">
        <f ca="1">IF(Control!$C$58=2, $NI201-$NJ201, 0)</f>
        <v>#DIV/0!</v>
      </c>
      <c r="NH202" s="54" t="e">
        <f ca="1">IF(AND(Control!$C$58=1, $MS201&lt;= ($MN201+0.02), $I201&lt;10), 0, IF(Control!$C$58=2, $NG201, 0))</f>
        <v>#DIV/0!</v>
      </c>
      <c r="NI202" s="54" t="e">
        <f ca="1">IF(Control!$C$58=2, $NE202+$NH202,0)</f>
        <v>#DIV/0!</v>
      </c>
      <c r="NJ202" s="54" t="e">
        <f ca="1">IF(AND(Control!$C$58=1, $MS202&lt;= ($MN202+0.02), $I202&lt;10), MAX(0, MIN(10, 0.7*($NF202-$MV202))), IF(Control!$C$58=2, MIN(10,$NI202),0))</f>
        <v>#DIV/0!</v>
      </c>
      <c r="NK202" s="54" t="e">
        <f t="shared" ca="1" si="800"/>
        <v>#DIV/0!</v>
      </c>
      <c r="NL202" s="173" t="e">
        <f ca="1">(1-Control!$C$73)*$I202+$NJ202</f>
        <v>#DIV/0!</v>
      </c>
      <c r="NM202" s="172" t="e">
        <f ca="1">IF($NL202&lt;0.5, $MB202* MAX(0, MIN(1, (SQRT($NC202)-SQRT($NC202-1))*Control!$C$71)),0)</f>
        <v>#DIV/0!</v>
      </c>
      <c r="NN202" s="170" t="e">
        <f ca="1">IF($NL202&gt;=5, $MB202, MAX(0,MIN($MB202, $NM202+$NL202,($MS202-Control!$C$129))))</f>
        <v>#DIV/0!</v>
      </c>
      <c r="NO202" s="54">
        <f>IF(Control!$C$133&lt;&gt;1, Control!$C$135-Control!$C$131, 0)</f>
        <v>0.38</v>
      </c>
      <c r="NP202" s="54" t="e">
        <f t="shared" ca="1" si="801"/>
        <v>#DIV/0!</v>
      </c>
      <c r="NQ202" s="173" t="e">
        <f ca="1">MAX(0,MIN(1,(Control!$C$135-$MS202)/(Control!$C$135-$NO202)))</f>
        <v>#DIV/0!</v>
      </c>
      <c r="NR202" s="170" t="e">
        <f ca="1">IF(Control!$C$133&lt;&gt;1, $NQ202+((1-$NP202/4)*(1-$NQ202)),1)</f>
        <v>#DIV/0!</v>
      </c>
      <c r="NS202" s="170" t="e">
        <f ca="1">IF(Control!$B$31=0,$MJ202,MAX(0,MIN($MV202,$MO202*$NR202*$MJ202)))</f>
        <v>#DIV/0!</v>
      </c>
      <c r="NT202" s="170" t="e">
        <f t="shared" ca="1" si="917"/>
        <v>#DIV/0!</v>
      </c>
      <c r="NU202" s="170" t="e">
        <f t="shared" ca="1" si="893"/>
        <v>#N/A</v>
      </c>
      <c r="NV202" s="170" t="e">
        <f t="shared" ca="1" si="802"/>
        <v>#N/A</v>
      </c>
      <c r="NW202" s="175" t="e">
        <f t="shared" ca="1" si="803"/>
        <v>#DIV/0!</v>
      </c>
      <c r="NX202" s="170" t="e">
        <f ca="1">MIN(Control!$C$72+$MU202, $NW202)</f>
        <v>#DIV/0!</v>
      </c>
      <c r="NY202" s="170" t="e">
        <f ca="1">IF($MT202&lt;=$NX202,MIN(Control!$C$72+$NB202,$NX202-$MT202),0)</f>
        <v>#DIV/0!</v>
      </c>
      <c r="NZ202" s="54" t="e">
        <f ca="1">IF(Control!$C$114=1,  $CX202*($MX202-Control!$C$127), 0)</f>
        <v>#DIV/0!</v>
      </c>
      <c r="OA202" s="170" t="e">
        <f t="shared" ca="1" si="804"/>
        <v>#DIV/0!</v>
      </c>
      <c r="OB202" s="170" t="e">
        <f ca="1">IF($NA202 &lt;=$NY202, MIN(Control!$C$72, $NY202-$NA202), 0)</f>
        <v>#DIV/0!</v>
      </c>
      <c r="OC202" s="168" t="e">
        <f t="shared" ca="1" si="805"/>
        <v>#DIV/0!</v>
      </c>
      <c r="OD202" s="168" t="e">
        <f t="shared" ca="1" si="894"/>
        <v>#DIV/0!</v>
      </c>
      <c r="OE202" s="170">
        <f ca="1">Control!$C$73*$I202</f>
        <v>0</v>
      </c>
      <c r="OF202" s="176" t="e">
        <f t="shared" ca="1" si="806"/>
        <v>#DIV/0!</v>
      </c>
      <c r="OG202" s="168" t="e">
        <f t="shared" ca="1" si="807"/>
        <v>#DIV/0!</v>
      </c>
      <c r="OH202" s="168" t="e">
        <f t="shared" ca="1" si="808"/>
        <v>#DIV/0!</v>
      </c>
      <c r="OI202" s="168" t="e">
        <f t="shared" ca="1" si="809"/>
        <v>#DIV/0!</v>
      </c>
      <c r="OJ202" s="168" t="e">
        <f t="shared" ca="1" si="810"/>
        <v>#DIV/0!</v>
      </c>
      <c r="OK202" s="204" t="e">
        <f t="shared" ca="1" si="811"/>
        <v>#DIV/0!</v>
      </c>
      <c r="OL202" s="177">
        <f>Control!$C$127</f>
        <v>0.15</v>
      </c>
      <c r="OM202" s="182" t="e">
        <f t="shared" ca="1" si="812"/>
        <v>#N/A</v>
      </c>
      <c r="ON202" s="177">
        <f>Control!$C$128</f>
        <v>0.35</v>
      </c>
      <c r="OO202" s="182" t="e">
        <f t="shared" ca="1" si="813"/>
        <v>#N/A</v>
      </c>
      <c r="OP202" s="138">
        <f t="shared" ca="1" si="895"/>
        <v>0</v>
      </c>
      <c r="OQ202" s="138" t="e">
        <f t="shared" ca="1" si="918"/>
        <v>#DIV/0!</v>
      </c>
      <c r="OR202" s="138" t="e">
        <f t="shared" ca="1" si="896"/>
        <v>#DIV/0!</v>
      </c>
      <c r="OS202" s="137" t="e">
        <f t="shared" ca="1" si="919"/>
        <v>#DIV/0!</v>
      </c>
      <c r="OT202" s="139" t="e">
        <f t="shared" ca="1" si="920"/>
        <v>#DIV/0!</v>
      </c>
      <c r="OU202" s="138" t="e">
        <f t="shared" ca="1" si="921"/>
        <v>#N/A</v>
      </c>
      <c r="OV202" s="138" t="e">
        <f t="shared" ca="1" si="922"/>
        <v>#DIV/0!</v>
      </c>
      <c r="OW202" s="138" t="e">
        <f t="shared" ca="1" si="897"/>
        <v>#DIV/0!</v>
      </c>
      <c r="OX202" s="138" t="e">
        <f t="shared" ca="1" si="898"/>
        <v>#DIV/0!</v>
      </c>
      <c r="OY202" s="138" t="e">
        <f t="shared" ca="1" si="899"/>
        <v>#DIV/0!</v>
      </c>
      <c r="OZ202" s="138" t="e">
        <f t="shared" ca="1" si="814"/>
        <v>#DIV/0!</v>
      </c>
      <c r="PA202" s="138" t="e">
        <f t="shared" ca="1" si="815"/>
        <v>#DIV/0!</v>
      </c>
      <c r="PB202" s="55">
        <f>IF(Control!$C$61="T", IF(Control!$C$65="F", IF($AH$6-Control!$C$60&lt;0,0,1), IF(365+$AH$6-Control!$C$60&lt;0,0,1)),0)</f>
        <v>0</v>
      </c>
      <c r="PC202" s="55">
        <f ca="1">IF(Control!$C$65="F", IF($AH$6-$HF202&lt;0,0,1), IF(365+$AH$6-$HF202&lt;0,0,1))</f>
        <v>1</v>
      </c>
      <c r="PD202" s="444">
        <f>Control!$C$118</f>
        <v>1500</v>
      </c>
      <c r="PE202" s="180" t="e">
        <f t="shared" ca="1" si="816"/>
        <v>#N/A</v>
      </c>
      <c r="PF202" s="445">
        <f t="shared" ca="1" si="900"/>
        <v>0.71612369323045078</v>
      </c>
      <c r="PT202" s="186"/>
      <c r="PU202" s="186"/>
      <c r="PV202" s="94"/>
      <c r="PW202" s="94"/>
      <c r="PX202" s="94"/>
      <c r="PY202" s="94"/>
      <c r="PZ202" s="94"/>
      <c r="QA202" s="94"/>
      <c r="QB202" s="94"/>
      <c r="QC202" s="94"/>
      <c r="QD202" s="94"/>
      <c r="QE202" s="94"/>
      <c r="QF202" s="94"/>
      <c r="QG202" s="94"/>
      <c r="QH202" s="94"/>
      <c r="QI202" s="94"/>
      <c r="QJ202" s="94"/>
      <c r="QK202" s="94"/>
      <c r="QL202" s="94"/>
      <c r="QM202" s="94"/>
      <c r="QN202" s="94"/>
      <c r="QO202" s="94"/>
      <c r="QP202" s="94"/>
    </row>
    <row r="203" spans="1:458" s="2" customFormat="1" x14ac:dyDescent="0.2">
      <c r="A203" s="395">
        <v>17</v>
      </c>
      <c r="B203" s="396">
        <v>7</v>
      </c>
      <c r="C203" s="387">
        <f ca="1">Weather_data!$B202</f>
        <v>0</v>
      </c>
      <c r="D203" s="388">
        <f ca="1">Weather_data!$F202</f>
        <v>0</v>
      </c>
      <c r="E203" s="388">
        <f ca="1">Weather_data!$E202</f>
        <v>0</v>
      </c>
      <c r="F203" s="388">
        <f t="shared" ca="1" si="817"/>
        <v>0</v>
      </c>
      <c r="G203" s="388">
        <f ca="1">AVERAGE($D203:$E203)+Control!$B$9</f>
        <v>0</v>
      </c>
      <c r="H203" s="388">
        <f ca="1">Weather_data!$G202</f>
        <v>0</v>
      </c>
      <c r="I203" s="388">
        <f ca="1">Weather_data!$I202</f>
        <v>0</v>
      </c>
      <c r="J203" s="388">
        <f ca="1">Weather_data!$H202</f>
        <v>0</v>
      </c>
      <c r="K203" s="389">
        <f ca="1">Weather_data!$D202</f>
        <v>0</v>
      </c>
      <c r="L203" s="388" t="e">
        <f t="shared" ca="1" si="818"/>
        <v>#N/A</v>
      </c>
      <c r="M203" s="388" t="e">
        <f t="shared" ca="1" si="696"/>
        <v>#N/A</v>
      </c>
      <c r="N203" s="388">
        <f t="shared" ca="1" si="697"/>
        <v>-4.8388745601202529E-10</v>
      </c>
      <c r="O203" s="388">
        <f t="shared" ca="1" si="819"/>
        <v>4.8388745601202529E-9</v>
      </c>
      <c r="P203" s="390">
        <v>3</v>
      </c>
      <c r="Q203" s="388">
        <f ca="1">MAX($G203-Control!$C$107,0)</f>
        <v>0</v>
      </c>
      <c r="R203" s="388">
        <f t="shared" ca="1" si="820"/>
        <v>0</v>
      </c>
      <c r="S203" s="388">
        <f t="shared" ca="1" si="698"/>
        <v>0</v>
      </c>
      <c r="T203" s="388">
        <f t="shared" ca="1" si="699"/>
        <v>0</v>
      </c>
      <c r="U203" s="59">
        <f t="shared" ca="1" si="700"/>
        <v>0</v>
      </c>
      <c r="V203" s="391">
        <f ca="1">MAX(0,MIN(Control!$C$100-Control!$C$99,$G203-Control!$C$99)*Control!$C$63)</f>
        <v>0</v>
      </c>
      <c r="W203" s="388">
        <f t="shared" ca="1" si="821"/>
        <v>0</v>
      </c>
      <c r="X203" s="388">
        <f t="shared" ca="1" si="822"/>
        <v>0.6110000000000001</v>
      </c>
      <c r="Y203" s="388">
        <f t="shared" ca="1" si="701"/>
        <v>0</v>
      </c>
      <c r="Z203" s="388">
        <f t="shared" ca="1" si="823"/>
        <v>0.61058800000000002</v>
      </c>
      <c r="AA203" s="388">
        <f t="shared" ca="1" si="702"/>
        <v>0.6018</v>
      </c>
      <c r="AB203" s="388">
        <f ca="1">101.3*EXP(-0.034*Control!$C$66/($G203+273))</f>
        <v>100.69623283836242</v>
      </c>
      <c r="AC203" s="392">
        <f t="shared" ca="1" si="703"/>
        <v>4.3460251046025113E-2</v>
      </c>
      <c r="AD203" s="392">
        <f t="shared" ca="1" si="704"/>
        <v>4.4450382862832649E-2</v>
      </c>
      <c r="AE203" s="388">
        <f t="shared" ca="1" si="705"/>
        <v>0</v>
      </c>
      <c r="AF203" s="388">
        <f ca="1">MAX(0,$G203-Control!$C$92)</f>
        <v>0</v>
      </c>
      <c r="AG203" s="393">
        <f t="shared" ca="1" si="706"/>
        <v>199</v>
      </c>
      <c r="AH203" s="389">
        <f t="shared" ca="1" si="707"/>
        <v>199</v>
      </c>
      <c r="AI203" s="388">
        <f t="shared" ca="1" si="824"/>
        <v>0.36532735785028375</v>
      </c>
      <c r="AJ203" s="388">
        <f ca="1">IF(Control!$C$60&lt;=0,$HH203,$HI203)</f>
        <v>1</v>
      </c>
      <c r="AK203" s="388">
        <f t="shared" ca="1" si="708"/>
        <v>2.0484905522037553</v>
      </c>
      <c r="AL203" s="388">
        <f t="shared" ca="1" si="709"/>
        <v>4.5081074290242994E-18</v>
      </c>
      <c r="AM203" s="388">
        <f t="shared" ca="1" si="710"/>
        <v>2.0484905522037553</v>
      </c>
      <c r="AN203" s="388">
        <f t="shared" ca="1" si="711"/>
        <v>0.36106333196467016</v>
      </c>
      <c r="AO203" s="388">
        <f ca="1">-0.10453/COS(Control!$B$8*PI()/180)*COS(AN203)</f>
        <v>-0.15883742655055991</v>
      </c>
      <c r="AP203" s="388">
        <f ca="1">ACOS(AO203-TAN(Control!$B$8*PI()/180)*TAN(AN203))</f>
        <v>2.2681162732924731</v>
      </c>
      <c r="AQ203" s="388">
        <f t="shared" ca="1" si="825"/>
        <v>0</v>
      </c>
      <c r="AR203" s="394">
        <f t="shared" ca="1" si="712"/>
        <v>0</v>
      </c>
      <c r="AS203" s="436">
        <f ca="1">IF(Control!$B$18=2,(IF(OR($AH203=Control!$B$175,$AH203=Control!$B$176,$AH203=Control!$B$177,$AH203=Control!$B$178,$AH203=Control!$B$179,$AH203=Control!$B$180,$AH203=Control!$B$181,$AH203=Control!$B$182,$AH203=Control!$B$183,$AH203=Control!$B$184,$AH203=Control!$B$185),1,0)),0)</f>
        <v>0</v>
      </c>
      <c r="AT203" s="436">
        <f>IF(Control!$B$20=8,IF(AND($AH203&gt;=Control!$B$172,$AH203&lt;=Control!$B$173),1,0),0)</f>
        <v>0</v>
      </c>
      <c r="AU203" s="436">
        <f>IF(Control!$B$20=8,IF($AV202=1,1*$AT203,IF($AT203=1,$AU202+1,$AU202)),0)</f>
        <v>0</v>
      </c>
      <c r="AV203" s="436">
        <f>IF(Control!$B$20=8,IF($AU203&gt;=Control!$B$174,1,0),0)</f>
        <v>0</v>
      </c>
      <c r="AW203" s="436">
        <f ca="1">IF(AND(Control!$B$18=2,Control!$B$171=1), $AV203, $AS203)</f>
        <v>0</v>
      </c>
      <c r="AX203" s="436" t="e">
        <f ca="1">IF(AND(Control!$B$18=1,$EU203&gt;=Control!$B$19),-$AY203,IF(AND(Control!$B$18=2,$AW203=1,$EU203&gt;$DS203),-$AY203, IF(Control!$C$108=0,0, IF(Control!$C$108&lt;&gt;0,1))))</f>
        <v>#N/A</v>
      </c>
      <c r="AY203" s="436" t="e">
        <f t="shared" ca="1" si="826"/>
        <v>#N/A</v>
      </c>
      <c r="AZ203" s="436" t="e">
        <f ca="1">IF(AND(Control!$B$18=1,$EB203&gt;Control!$B$19),$AZ202+1, IF(AND(Control!$B$18=2, $AW203=1, $EB203&gt;$DS203), $AZ202+1,$AZ202))</f>
        <v>#N/A</v>
      </c>
      <c r="BA203" s="587">
        <f>IF(Control!$C$81=0,1,IF($AH203&gt;=Control!$C$82,1,0))</f>
        <v>1</v>
      </c>
      <c r="BB203" s="140" t="e">
        <f ca="1">IF($BA203&gt;$BA202,Control!$C$83,IF($AW203&gt;0,$AW203*Control!$C$84,IF(AND(Control!$B$18=1,EN202&lt;&gt;0),Control!$C$84,0)))</f>
        <v>#N/A</v>
      </c>
      <c r="BC203" s="140" t="e">
        <f t="shared" ca="1" si="827"/>
        <v>#N/A</v>
      </c>
      <c r="BD203" s="140" t="e">
        <f ca="1">BC203*IF(OR($G203&lt;Control!$C$92,$G203&gt;Control!$C$95),0,IF(AND($G203&gt;=Control!$C$92,$G203&lt;=Control!$C$93),$G203-Control!$C$92,IF(AND($G203&gt;Control!$C$93,$G203&lt;=Control!$C$94),Control!$C$93-Control!$C$92,IF(AND($G203&gt;Control!$C$94,$G203&lt;=Control!$C$95),(Control!$C$93-Control!$C$92)*(Control!$C$94-$G203)/(Control!$C$95-Control!$C$94)))))</f>
        <v>#N/A</v>
      </c>
      <c r="BE203" s="140" t="e">
        <f t="shared" ca="1" si="828"/>
        <v>#N/A</v>
      </c>
      <c r="BF203" s="140" t="e">
        <f ca="1">IF($BE203&lt;=Control!$C$86,$BE203,Control!$C$86-$BE203)</f>
        <v>#N/A</v>
      </c>
      <c r="BG203" s="140" t="e">
        <f ca="1">IF(AND($AW203=1,Control!$C$84&lt;9),1,IF($BE203&gt;=Control!$C$86,0,$BC203))</f>
        <v>#N/A</v>
      </c>
      <c r="BH203" s="404" t="e">
        <f ca="1">IF($BG203=0,0,IF($BE203&lt;=Control!$C$86,$BC203*9*($BF203/Control!$C$86),0))</f>
        <v>#N/A</v>
      </c>
      <c r="BI203" s="140" t="e">
        <f ca="1">IF($BG203=1,0,IF($BE203&gt;=Control!$C$86,1,IF(AND($BB203&lt;21,$BB203&gt;=9),1,$BM202)))</f>
        <v>#N/A</v>
      </c>
      <c r="BJ203" s="140" t="e">
        <f ca="1">IF($BF203&lt;0,-$BF203,$BI203*IF(OR($G203&lt;Control!$C$92,$G203&gt;Control!$C$95),0,IF(AND($G203&gt;=Control!$C$92,$G203&lt;=Control!$C$93),$G203-Control!$C$92,IF(AND($G203&gt;Control!$C$93,$G203&lt;=Control!$C$94),Control!$C$93-Control!$C$92,IF(AND($G203&gt;Control!$C$94,$G203&lt;=Control!$C$95),(Control!$C$93-Control!$C$92)*(Control!$C$94-$G203)/(Control!$C$95-Control!$C$94))))))</f>
        <v>#N/A</v>
      </c>
      <c r="BK203" s="140" t="e">
        <f t="shared" ca="1" si="829"/>
        <v>#N/A</v>
      </c>
      <c r="BL203" s="140" t="e">
        <f ca="1">IF($BK203&lt;=Control!$C$87,$BK203,Control!$C$87-$BK203)</f>
        <v>#N/A</v>
      </c>
      <c r="BM203" s="140" t="e">
        <f ca="1">IF(AND($BB203&gt;=9,$BB203&lt;21),1,IF($BK203&gt;=Control!$C$87,0,$BI203))</f>
        <v>#N/A</v>
      </c>
      <c r="BN203" s="404" t="e">
        <f ca="1">IF($BM203=0,0,IF($BK203&lt;=Control!$C$87,$BI203*(9+(21-9)*($BL203/Control!$C$87)),0))</f>
        <v>#N/A</v>
      </c>
      <c r="BO203" s="140" t="e">
        <f ca="1">IF($BM203=1,0,IF($BK203&gt;=Control!$C$87,1,IF(AND($BB203&lt;30,$BB203&gt;=21),1,$BS202)))</f>
        <v>#N/A</v>
      </c>
      <c r="BP203" s="140" t="e">
        <f ca="1">IF($BL203&lt;0,-$BL203,$BO203*IF(OR($G203&lt;Control!$C$92,$G203&gt;Control!$C$95),0,IF(AND($G203&gt;=Control!$C$92,$G203&lt;=Control!$C$93),$G203-Control!$C$92,IF(AND($G203&gt;Control!$C$93,$G203&lt;=Control!$C$94),Control!$C$93-Control!$C$92,IF(AND($G203&gt;Control!$C$94,$G203&lt;=Control!$C$95),(Control!$C$93-Control!$C$92)*(Control!$C$94-$G203)/(Control!$C$95-Control!$C$94))))))</f>
        <v>#N/A</v>
      </c>
      <c r="BQ203" s="140" t="e">
        <f t="shared" ca="1" si="713"/>
        <v>#N/A</v>
      </c>
      <c r="BR203" s="140" t="e">
        <f ca="1">IF($BQ203&lt;=Control!$C$88,$BQ203,Control!$C$88-$BQ203)</f>
        <v>#N/A</v>
      </c>
      <c r="BS203" s="140" t="e">
        <f ca="1">IF(AND($BB203&gt;=21,$BB203&lt;30),1,IF($BQ203&gt;=Control!$C$88,0,$BO203))</f>
        <v>#N/A</v>
      </c>
      <c r="BT203" s="404" t="e">
        <f ca="1">IF($BS203=0,0,IF($BQ203&lt;=Control!$C$88,$BO203*(21+(30-21)*(BR203/Control!$C$88)),0))</f>
        <v>#N/A</v>
      </c>
      <c r="BU203" s="140" t="e">
        <f ca="1">IF(BG203+BM203+BS203=1,0,IF(OR(AND($BB203&lt;60,$BB203&gt;=30),$BQ203&gt;=Control!$C$88),1*$BA203,$BY202))</f>
        <v>#N/A</v>
      </c>
      <c r="BV203" s="140" t="e">
        <f ca="1">IF($BR203&lt;0,-$BR203,$BU203*IF(OR($G203&lt;Control!$C$92,$G203&gt;Control!$C$95),0,IF(AND($G203&gt;=Control!$C$92,$G203&lt;=Control!$C$93),$G203-Control!$C$92,IF(AND($G203&gt;Control!$C$93,$G203&lt;=Control!$C$94),Control!$C$93-Control!$C$92,IF(AND($G203&gt;Control!$C$94,$G203&lt;=Control!$C$95),(Control!$C$93-Control!$C$92)*(Control!$C$94-$G203)/(Control!$C$95-Control!$C$94))))))</f>
        <v>#N/A</v>
      </c>
      <c r="BW203" s="140" t="e">
        <f t="shared" ca="1" si="714"/>
        <v>#N/A</v>
      </c>
      <c r="BX203" s="140" t="e">
        <f ca="1">IF($BW203&lt;=Control!$C$89,$BW203,Control!$C$89-$BW203)</f>
        <v>#N/A</v>
      </c>
      <c r="BY203" s="140" t="e">
        <f ca="1">IF(AND($AJ203&gt;=30,$AJ203&lt;60),1,IF($BW203&gt;=Control!$C$89,0,$BU203))</f>
        <v>#N/A</v>
      </c>
      <c r="BZ203" s="404" t="e">
        <f ca="1">IF($BY203=0,0,IF($BW203&lt;=Control!$C$89,$BU203*(30+(60-30)*(BX203/Control!$C$89)),0))</f>
        <v>#N/A</v>
      </c>
      <c r="CA203" s="140" t="e">
        <f ca="1">IF($BG203+$BM203+$BS203+$BY203=1,0,IF(OR(AND($BB203&lt;65,$BB203&gt;=60),$BW203&gt;=Control!$C$89),1*$BA203,$CE202))</f>
        <v>#N/A</v>
      </c>
      <c r="CB203" s="140" t="e">
        <f ca="1">IF($BX203&lt;0,-$BX203,$CA203*IF(OR($G203&lt;Control!$C$92,$G203&gt;Control!$C$95),0,IF(AND($G203&gt;=Control!$C$92,$G203&lt;=Control!$C$93),$G203-Control!$C$92,IF(AND($G203&gt;Control!$C$93,$G203&lt;=Control!$C$94),Control!$C$93-Control!$C$92,IF(AND($G203&gt;Control!$C$94,$G203&lt;=Control!$C$95),(Control!$C$93-Control!$C$92)*(Control!$C$94-$G203)/(Control!$C$95-Control!$C$94))))))</f>
        <v>#N/A</v>
      </c>
      <c r="CC203" s="140" t="e">
        <f t="shared" ca="1" si="830"/>
        <v>#N/A</v>
      </c>
      <c r="CD203" s="140" t="e">
        <f ca="1">IF($CC203&lt;=Control!$C$90,$CC203,Control!$C$90-$CC203)</f>
        <v>#N/A</v>
      </c>
      <c r="CE203" s="140" t="e">
        <f ca="1">IF(AND($BB203&gt;=60,$BB203&lt;65),1,IF($CC203&gt;=Control!$C$90,0,$CA203))</f>
        <v>#N/A</v>
      </c>
      <c r="CF203" s="404" t="e">
        <f ca="1">IF($CE203=0,0,IF($CC203&lt;=Control!$C$90,$CA203*(60+(65-60)*(CD203/Control!$C$90)),0))</f>
        <v>#N/A</v>
      </c>
      <c r="CG203" s="140" t="e">
        <f ca="1">IF($BG203+$BM203+$BS203+$BY203+$CE203=1,0,IF(OR(AND($BB203&lt;90,$BB203&gt;=65),$CC203&gt;=Control!$C$90),$BA203,$CK202))</f>
        <v>#N/A</v>
      </c>
      <c r="CH203" s="140" t="e">
        <f ca="1">IF($CD203&lt;0,-$CD203,$CG203*IF(OR($G203&lt;Control!$C$92,$G203&gt;Control!$C$95),0,IF(AND($G203&gt;=Control!$C$92,$G203&lt;=Control!$C$93),$G203-Control!$C$92,IF(AND($G203&gt;Control!$C$93,$G203&lt;=Control!$C$94),Control!$C$93-Control!$C$92,IF(AND($G203&gt;Control!$C$94,$G203&lt;=Control!$C$95),(Control!$C$93-Control!$C$92)*(Control!$C$94-$G203)/(Control!$C$95-Control!$C$94))))))</f>
        <v>#N/A</v>
      </c>
      <c r="CI203" s="140" t="e">
        <f t="shared" ca="1" si="831"/>
        <v>#N/A</v>
      </c>
      <c r="CJ203" s="140" t="e">
        <f ca="1">IF($CI203&lt;=Control!$C$91,$CI203,Control!$C$91-$CI203)</f>
        <v>#N/A</v>
      </c>
      <c r="CK203" s="140" t="e">
        <f ca="1">IF(AND($BB203&gt;=65,$BB203&lt;90),1,IF($CI203&gt;=Control!$C$91,0,$CG203))</f>
        <v>#N/A</v>
      </c>
      <c r="CL203" s="404" t="e">
        <f ca="1">IF($CK203=0,0,IF($CI203&lt;=Control!$C$91,$CG203*(65+(90-65)*($CJ203/Control!$C$91)),0))</f>
        <v>#N/A</v>
      </c>
      <c r="CM203" s="140" t="e">
        <f ca="1">IF($BG203+$BM203+$BS203+$BY203+$CE203+$CK203=1,0,IF(OR($BB203&gt;=90,$CI203&gt;=Control!$C$91),$BA203,$CM202))</f>
        <v>#N/A</v>
      </c>
      <c r="CN203" s="140" t="e">
        <f t="shared" ca="1" si="832"/>
        <v>#N/A</v>
      </c>
      <c r="CO203" s="140" t="e">
        <f t="shared" ca="1" si="833"/>
        <v>#N/A</v>
      </c>
      <c r="CP203" s="140" t="e">
        <f t="shared" ca="1" si="834"/>
        <v>#N/A</v>
      </c>
      <c r="CQ203" s="141" t="e">
        <f ca="1">VLOOKUP($CP203,Control!$B$86:$G$91,6)</f>
        <v>#N/A</v>
      </c>
      <c r="CR203" s="141" t="e">
        <f ca="1">(1-$CQ203)*VLOOKUP($CP203,Control!$B$86:$D$91,3)</f>
        <v>#N/A</v>
      </c>
      <c r="CS203" s="141" t="e">
        <f ca="1">(1-$CQ203)*VLOOKUP($CP203,Control!$B$86:$E$91,4)</f>
        <v>#N/A</v>
      </c>
      <c r="CT203" s="141" t="e">
        <f ca="1">(1-$CQ203)*VLOOKUP($CP203,Control!$B$86:$F$91,5)</f>
        <v>#N/A</v>
      </c>
      <c r="CU203" s="141">
        <f t="shared" ca="1" si="835"/>
        <v>0</v>
      </c>
      <c r="CV203" s="583">
        <f t="shared" ca="1" si="836"/>
        <v>0</v>
      </c>
      <c r="CW203" s="142">
        <f t="shared" ca="1" si="837"/>
        <v>199</v>
      </c>
      <c r="CX203" s="612" t="e">
        <f ca="1">IF(Control!$C$114=1,(MIN(Control!$C$120*(IF($NT203-0.01&lt;0,0,1)),Control!$C$119-$CY203)))</f>
        <v>#DIV/0!</v>
      </c>
      <c r="CY203" s="143" t="e">
        <f t="shared" ca="1" si="838"/>
        <v>#N/A</v>
      </c>
      <c r="CZ203" s="144">
        <f t="shared" ca="1" si="715"/>
        <v>0</v>
      </c>
      <c r="DA203" s="144">
        <f t="shared" ca="1" si="716"/>
        <v>0</v>
      </c>
      <c r="DB203" s="144" t="e">
        <f t="shared" ca="1" si="717"/>
        <v>#N/A</v>
      </c>
      <c r="DC203" s="144" t="e">
        <f t="shared" ca="1" si="718"/>
        <v>#N/A</v>
      </c>
      <c r="DD203" s="144" t="e">
        <f t="shared" ca="1" si="923"/>
        <v>#N/A</v>
      </c>
      <c r="DE203" s="143" t="e">
        <f t="shared" ca="1" si="839"/>
        <v>#N/A</v>
      </c>
      <c r="DF203" s="145" t="e">
        <f ca="1">$DR203*EXP(-Control!$C$158*(1-$KH203))</f>
        <v>#N/A</v>
      </c>
      <c r="DG203" s="146" t="e">
        <f ca="1">IF(Control!$C$114=1, $DF203*$EY203, 0)</f>
        <v>#N/A</v>
      </c>
      <c r="DH203" s="147" t="e">
        <f t="shared" ca="1" si="840"/>
        <v>#N/A</v>
      </c>
      <c r="DI203" s="144" t="e">
        <f t="shared" ca="1" si="901"/>
        <v>#N/A</v>
      </c>
      <c r="DJ203" s="147" t="e">
        <f ca="1">$EF203*Control!$C$109</f>
        <v>#N/A</v>
      </c>
      <c r="DK203" s="144" t="e">
        <f t="shared" ca="1" si="841"/>
        <v>#N/A</v>
      </c>
      <c r="DL203" s="144" t="e">
        <f t="shared" ca="1" si="719"/>
        <v>#N/A</v>
      </c>
      <c r="DM203" s="144" t="e">
        <f ca="1">IF(Control!$C$114=1, (1-EXP(-Control!$C$96*$DK203))*$AR203, 0)</f>
        <v>#N/A</v>
      </c>
      <c r="DN203" s="144">
        <f t="shared" ca="1" si="842"/>
        <v>0</v>
      </c>
      <c r="DO203" s="148">
        <f>Control!$C$97</f>
        <v>4</v>
      </c>
      <c r="DP203" s="145" t="e">
        <f t="shared" ca="1" si="843"/>
        <v>#N/A</v>
      </c>
      <c r="DQ203" s="145" t="e">
        <f ca="1">IF(AND($CP203&gt;=0,$CP203&lt;=90),Control!$C$111,Control!$C$111)</f>
        <v>#N/A</v>
      </c>
      <c r="DR203" s="145" t="e">
        <f t="shared" ca="1" si="720"/>
        <v>#N/A</v>
      </c>
      <c r="DS203" s="143" t="e">
        <f ca="1">Control!$B$22/$DR203</f>
        <v>#N/A</v>
      </c>
      <c r="DT203" s="149" t="e">
        <f ca="1">IF(AND(Control!$C$114=1,$KH203&lt;1),$IM203*$DF203, 0)</f>
        <v>#N/A</v>
      </c>
      <c r="DU203" s="144" t="e">
        <f t="shared" ca="1" si="844"/>
        <v>#N/A</v>
      </c>
      <c r="DV203" s="144">
        <f ca="1">IF($G203-Control!$C$107&lt;=0, 0, 0.83*LN(MAX($G203, 3))-0.8924)</f>
        <v>0</v>
      </c>
      <c r="DW203" s="144" t="e">
        <f t="shared" ca="1" si="721"/>
        <v>#N/A</v>
      </c>
      <c r="DX203" s="150" t="e">
        <f ca="1">MAX(0.01*(1+$CU203/Control!$C$102),0.05*($DK203-Control!$C$97)/Control!$C$97)</f>
        <v>#N/A</v>
      </c>
      <c r="DY203" s="151" t="e">
        <f ca="1">IF(Control!$C$114=1, $DI203*$FS203, 0)</f>
        <v>#N/A</v>
      </c>
      <c r="DZ203" s="196" t="e">
        <f t="shared" ca="1" si="845"/>
        <v>#N/A</v>
      </c>
      <c r="EA203" s="152">
        <f t="shared" ca="1" si="846"/>
        <v>199</v>
      </c>
      <c r="EB203" s="153" t="e">
        <f t="shared" ca="1" si="847"/>
        <v>#N/A</v>
      </c>
      <c r="EC203" s="153" t="e">
        <f t="shared" ca="1" si="848"/>
        <v>#N/A</v>
      </c>
      <c r="ED203" s="154" t="e">
        <f ca="1">IF(Control!$C$114=1, $HM203*$FY203-$FD203, 0)</f>
        <v>#DIV/0!</v>
      </c>
      <c r="EE203" s="155" t="e">
        <f ca="1">IF(Control!$C$114=1, $HM203*$FZ203-$FF203, 0)</f>
        <v>#DIV/0!</v>
      </c>
      <c r="EF203" s="153" t="e">
        <f t="shared" ca="1" si="902"/>
        <v>#N/A</v>
      </c>
      <c r="EG203" s="155" t="e">
        <f ca="1">IF(Control!$C$114=1, $GX203*$FW203-$FI203, 0)</f>
        <v>#DIV/0!</v>
      </c>
      <c r="EH203" s="153" t="e">
        <f t="shared" ca="1" si="849"/>
        <v>#N/A</v>
      </c>
      <c r="EI203" s="156" t="e">
        <f t="shared" ca="1" si="850"/>
        <v>#N/A</v>
      </c>
      <c r="EJ203" s="155" t="e">
        <f ca="1">IF(Control!$C$114=1, $HM203*$GB203, 0)</f>
        <v>#DIV/0!</v>
      </c>
      <c r="EK203" s="153" t="e">
        <f t="shared" ca="1" si="903"/>
        <v>#N/A</v>
      </c>
      <c r="EL203" s="153" t="e">
        <f t="shared" ca="1" si="722"/>
        <v>#N/A</v>
      </c>
      <c r="EM203" s="153" t="e">
        <f t="shared" ca="1" si="723"/>
        <v>#N/A</v>
      </c>
      <c r="EN203" s="153" t="e">
        <f ca="1">IF(Control!$C$108=1,IF(AND(Control!$B$18=1,$EB203&gt;=Control!$B$19),$EB203-$DS203,IF(AND(Control!$B$18=2,$AW203=1,$EB203&gt;$DS203),$EB203-$DS203,0)))</f>
        <v>#N/A</v>
      </c>
      <c r="EO203" s="153" t="e">
        <f ca="1">IF(Control!$C$108=1,IF(AND(Control!$B$18=1,$EB203&gt;=Control!$B$19),$EF203,IF(AND(Control!$B$18=2,$AW203=1),$EF203,0)))</f>
        <v>#N/A</v>
      </c>
      <c r="EP203" s="153" t="e">
        <f ca="1">IF(Control!$C$108=1,IF(AND(Control!$B$18=1,$EB203&gt;=Control!$B$19),$EK203,IF(AND(Control!$B$18=2,$AW203=1),$EK203,0)))</f>
        <v>#N/A</v>
      </c>
      <c r="EQ203" s="153" t="e">
        <f t="shared" ca="1" si="851"/>
        <v>#N/A</v>
      </c>
      <c r="ER203" s="153" t="e">
        <f t="shared" ca="1" si="852"/>
        <v>#N/A</v>
      </c>
      <c r="ES203" s="153" t="e">
        <f t="shared" ca="1" si="904"/>
        <v>#N/A</v>
      </c>
      <c r="ET203" s="153" t="e">
        <f t="shared" ca="1" si="905"/>
        <v>#N/A</v>
      </c>
      <c r="EU203" s="153" t="e">
        <f t="shared" ca="1" si="853"/>
        <v>#N/A</v>
      </c>
      <c r="EV203" s="153" t="e">
        <f t="shared" ca="1" si="724"/>
        <v>#N/A</v>
      </c>
      <c r="EW203" s="153" t="e">
        <f t="shared" ca="1" si="725"/>
        <v>#N/A</v>
      </c>
      <c r="EX203" s="153" t="e">
        <f t="shared" ca="1" si="726"/>
        <v>#N/A</v>
      </c>
      <c r="EY203" s="157" t="e">
        <f t="shared" ca="1" si="727"/>
        <v>#DIV/0!</v>
      </c>
      <c r="EZ203" s="154" t="e">
        <f t="shared" ca="1" si="728"/>
        <v>#DIV/0!</v>
      </c>
      <c r="FA203" s="153" t="e">
        <f t="shared" ca="1" si="854"/>
        <v>#N/A</v>
      </c>
      <c r="FB203" s="153" t="e">
        <f t="shared" ca="1" si="729"/>
        <v>#N/A</v>
      </c>
      <c r="FC203" s="193" t="e">
        <f t="shared" ca="1" si="730"/>
        <v>#N/A</v>
      </c>
      <c r="FD203" s="158" t="e">
        <f t="shared" ca="1" si="855"/>
        <v>#N/A</v>
      </c>
      <c r="FE203" s="158" t="e">
        <f t="shared" ca="1" si="856"/>
        <v>#N/A</v>
      </c>
      <c r="FF203" s="159" t="e">
        <f t="shared" ca="1" si="731"/>
        <v>#N/A</v>
      </c>
      <c r="FG203" s="160" t="e">
        <f t="shared" ca="1" si="857"/>
        <v>#N/A</v>
      </c>
      <c r="FH203" s="158" t="e">
        <f t="shared" ca="1" si="858"/>
        <v>#N/A</v>
      </c>
      <c r="FI203" s="159" t="e">
        <f t="shared" ca="1" si="732"/>
        <v>#N/A</v>
      </c>
      <c r="FJ203" s="160" t="e">
        <f t="shared" ca="1" si="859"/>
        <v>#N/A</v>
      </c>
      <c r="FK203" s="160" t="e">
        <f t="shared" ca="1" si="733"/>
        <v>#N/A</v>
      </c>
      <c r="FL203" s="160" t="e">
        <f t="shared" ca="1" si="906"/>
        <v>#N/A</v>
      </c>
      <c r="FM203" s="160" t="e">
        <f t="shared" ca="1" si="734"/>
        <v>#N/A</v>
      </c>
      <c r="FN203" s="158">
        <f t="shared" ca="1" si="860"/>
        <v>0.01</v>
      </c>
      <c r="FO203" s="160">
        <f>Control!$C$101</f>
        <v>50</v>
      </c>
      <c r="FP203" s="150" t="e">
        <f t="shared" ca="1" si="735"/>
        <v>#N/A</v>
      </c>
      <c r="FQ203" s="150" t="e">
        <f ca="1">MAX(0,(Control!$C$112*(($DK203-Control!$C$97)/Control!$C$97)))</f>
        <v>#N/A</v>
      </c>
      <c r="FR203" s="150" t="e">
        <f ca="1">(1-$NT203)*Control!$C$113</f>
        <v>#DIV/0!</v>
      </c>
      <c r="FS203" s="198" t="e">
        <f t="shared" ca="1" si="736"/>
        <v>#N/A</v>
      </c>
      <c r="FT203" s="161">
        <f t="shared" ca="1" si="861"/>
        <v>199</v>
      </c>
      <c r="FU203" s="162" t="e">
        <f ca="1">IF(Control!$B$34=1,VLOOKUP($CP203,Control!$B$86:$G$91,6),Control!$B$35)</f>
        <v>#N/A</v>
      </c>
      <c r="FV203" s="162" t="e">
        <f t="shared" ca="1" si="737"/>
        <v>#DIV/0!</v>
      </c>
      <c r="FW203" s="162" t="e">
        <f ca="1">IF(Control!$B$31=1,$FU203*$FV203,  $FU203)</f>
        <v>#N/A</v>
      </c>
      <c r="FX203" s="162" t="e">
        <f ca="1">IF(Control!$B$34=1,VLOOKUP($CP203,Control!$B$86:$G$91,3),Control!$B$36)</f>
        <v>#N/A</v>
      </c>
      <c r="FY203" s="162" t="e">
        <f t="shared" ca="1" si="738"/>
        <v>#N/A</v>
      </c>
      <c r="FZ203" s="162" t="e">
        <f ca="1">IF(Control!$B$34=1,VLOOKUP($CP203,Control!$B$86:$G$91,4),Control!$B$37)</f>
        <v>#N/A</v>
      </c>
      <c r="GA203" s="162" t="e">
        <f t="shared" ca="1" si="739"/>
        <v>#N/A</v>
      </c>
      <c r="GB203" s="162" t="e">
        <f ca="1">IF(Control!$B$34=1,VLOOKUP($CP203,Control!$B$86:$G$91,5),Control!$B$38)</f>
        <v>#N/A</v>
      </c>
      <c r="GC203" s="162" t="e">
        <f t="shared" ca="1" si="862"/>
        <v>#N/A</v>
      </c>
      <c r="GD203" s="162">
        <f t="shared" ca="1" si="740"/>
        <v>1</v>
      </c>
      <c r="GE203" s="162">
        <f t="shared" ca="1" si="741"/>
        <v>1</v>
      </c>
      <c r="GF203" s="162">
        <f ca="1">IF(AND(Control!$C$104=1, Control!$C$62="F"),$GE203,1)</f>
        <v>1</v>
      </c>
      <c r="GG203" s="162" t="e">
        <f ca="1">IF(Control!$B$16=40,0,IF(AND(Control!$B$16&gt;40,Control!$B$16&lt;=360),(Control!$B$16-40)*((1-0)/(360-40)),IF(AND(Control!$B$16&gt;360,Control!$B$16&lt;=720),(1+(Control!$B$16-360)*((1.25-1)/(720-360))),IF(AND(Control!$B$16&gt;720,Control!$B$16&lt;=1000),(1.25+(Control!$B$16-720)*((1.35-1.25)/(1000-720))),IF(AND(Control!$B$16&gt;1000,Control!$B$16&lt;=2000),(1.35+(Control!$B$16-1000)*0))))))</f>
        <v>#N/A</v>
      </c>
      <c r="GH203" s="162" t="e">
        <f t="shared" ca="1" si="742"/>
        <v>#N/A</v>
      </c>
      <c r="GI203" s="162">
        <f t="shared" ca="1" si="863"/>
        <v>0</v>
      </c>
      <c r="GJ203" s="162">
        <f t="shared" ca="1" si="743"/>
        <v>0</v>
      </c>
      <c r="GK203" s="162">
        <f t="shared" ca="1" si="864"/>
        <v>1</v>
      </c>
      <c r="GL203" s="162">
        <f t="shared" ca="1" si="744"/>
        <v>1</v>
      </c>
      <c r="GM203" s="162" t="e">
        <f ca="1">MAX(0,MIN(1,1-Control!$C$156*(1.0001-$KH203)^2))</f>
        <v>#N/A</v>
      </c>
      <c r="GN203" s="162" t="e">
        <f ca="1">IF(Control!$B$26=1,$KU203,$KX203)</f>
        <v>#N/A</v>
      </c>
      <c r="GO203" s="162" t="e">
        <f ca="1">IF($CP203&lt;=60,Control!$C$105,IF($CP203&gt;=90,Control!$C$106,Control!$C$105+($CP203-60)*((Control!$C$106-Control!$C$105)/(90-60))))</f>
        <v>#N/A</v>
      </c>
      <c r="GP203" s="162" t="e">
        <f t="shared" ca="1" si="745"/>
        <v>#N/A</v>
      </c>
      <c r="GQ203" s="162" t="e">
        <f t="shared" ca="1" si="865"/>
        <v>#N/A</v>
      </c>
      <c r="GR203" s="163" t="e">
        <f t="shared" ca="1" si="746"/>
        <v>#DIV/0!</v>
      </c>
      <c r="GS203" s="162" t="e">
        <f t="shared" ca="1" si="747"/>
        <v>#DIV/0!</v>
      </c>
      <c r="GT203" s="164" t="e">
        <f t="shared" ca="1" si="866"/>
        <v>#N/A</v>
      </c>
      <c r="GU203" s="162" t="e">
        <f t="shared" ca="1" si="867"/>
        <v>#N/A</v>
      </c>
      <c r="GV203" s="162" t="e">
        <f t="shared" ca="1" si="748"/>
        <v>#N/A</v>
      </c>
      <c r="GW203" s="162" t="e">
        <f t="shared" ca="1" si="749"/>
        <v>#DIV/0!</v>
      </c>
      <c r="GX203" s="162" t="e">
        <f t="shared" ca="1" si="868"/>
        <v>#DIV/0!</v>
      </c>
      <c r="GY203" s="162" t="e">
        <f t="shared" ca="1" si="869"/>
        <v>#DIV/0!</v>
      </c>
      <c r="GZ203" s="165" t="e">
        <f t="shared" ca="1" si="750"/>
        <v>#N/A</v>
      </c>
      <c r="HA203" s="162" t="e">
        <f ca="1">IF(Control!$C$114=1, $DI203*$FS203, 0)</f>
        <v>#N/A</v>
      </c>
      <c r="HB203" s="162" t="e">
        <f ca="1">$FA203/Control!$C$64</f>
        <v>#N/A</v>
      </c>
      <c r="HC203" s="162" t="e">
        <f t="shared" ca="1" si="751"/>
        <v>#DIV/0!</v>
      </c>
      <c r="HD203" s="162">
        <f ca="1">-ASIN(SIN(23.45*Control!$C$139)*COS(2*Control!$C$138*($AH203+10)/365))</f>
        <v>0.36532735785028375</v>
      </c>
      <c r="HE203" s="165">
        <f t="shared" ca="1" si="870"/>
        <v>0</v>
      </c>
      <c r="HF203" s="166">
        <f ca="1">IF(AND(Control!$C$61="T",$HE203&gt;=Control!$C$103,Control!$C$114=0),$AH203,Control!$C$59)</f>
        <v>1</v>
      </c>
      <c r="HG203" s="166">
        <f ca="1">IF(AND(Control!$C$61="T",$HE203&gt;=Control!$C$103,Control!$C$114=0),$HF203,Control!$C$59)</f>
        <v>1</v>
      </c>
      <c r="HH203" s="165">
        <f ca="1">IF(AND(OR(Control!$C$60&lt;=0, $AH203= Control!$C$59, Control!$C$60 &gt;0, $AH203 = Control!$C$60)), Control!$C$59, IF(Control!$C$60&gt;0, 0))</f>
        <v>1</v>
      </c>
      <c r="HI203" s="165">
        <f ca="1">IF(AND(OR(Control!$C$60&lt;=0, $AH203= Control!$C$59, Control!$C$60 &gt;0, $AH203 = Control!$C$60)), Control!$C$60, IF(Control!$C$60&lt;=0, 0))</f>
        <v>0</v>
      </c>
      <c r="HJ203" s="166">
        <f ca="1">IF(AND(Control!$C$62="F",$CV203&gt;=Control!$C$102),$AH203,0)</f>
        <v>0</v>
      </c>
      <c r="HK203" s="165" t="e">
        <f t="shared" ca="1" si="907"/>
        <v>#N/A</v>
      </c>
      <c r="HL203" s="166">
        <f ca="1">IF(AND(Control!$C$61="T",$HE203&gt;=Control!$C$103,Control!$C$114=0),$HF203,0)</f>
        <v>0</v>
      </c>
      <c r="HM203" s="201" t="e">
        <f t="shared" ca="1" si="752"/>
        <v>#DIV/0!</v>
      </c>
      <c r="HN203" s="215">
        <f t="shared" ca="1" si="871"/>
        <v>199</v>
      </c>
      <c r="HO203" s="216" t="e">
        <f ca="1">IF(AND($CP203&gt;=0, $CP203&lt;=90), Control!$C$152, Control!$C$152)</f>
        <v>#N/A</v>
      </c>
      <c r="HP203" s="216" t="e">
        <f t="shared" ca="1" si="753"/>
        <v>#N/A</v>
      </c>
      <c r="HQ203" s="217" t="e">
        <f ca="1">IF(OR(Control!$B$26=1,Control!$B$26=2),$KV203,$KS203)</f>
        <v>#DIV/0!</v>
      </c>
      <c r="HR203" s="218" t="e">
        <f t="shared" ca="1" si="908"/>
        <v>#DIV/0!</v>
      </c>
      <c r="HS203" s="216" t="e">
        <f ca="1">Control!$C$154*$HP203</f>
        <v>#N/A</v>
      </c>
      <c r="HT203" s="216" t="e">
        <f ca="1">Control!$C$155*$HP203</f>
        <v>#N/A</v>
      </c>
      <c r="HU203" s="217" t="e">
        <f ca="1">Control!$C$161*$FI203</f>
        <v>#N/A</v>
      </c>
      <c r="HV203" s="218" t="e">
        <f t="shared" ca="1" si="872"/>
        <v>#N/A</v>
      </c>
      <c r="HW203" s="218" t="e">
        <f ca="1">Control!$C$160*$FF203+$IP203*$EO203</f>
        <v>#N/A</v>
      </c>
      <c r="HX203" s="218" t="e">
        <f t="shared" ca="1" si="909"/>
        <v>#N/A</v>
      </c>
      <c r="HY203" s="219" t="e">
        <f ca="1">IF(Control!$C$114=1, $EB203*$FS203, 0)</f>
        <v>#N/A</v>
      </c>
      <c r="HZ203" s="91" t="e">
        <f t="shared" ca="1" si="754"/>
        <v>#N/A</v>
      </c>
      <c r="IA203" s="220" t="e">
        <f ca="1">Control!$C$153*$HO203</f>
        <v>#N/A</v>
      </c>
      <c r="IB203" s="218" t="e">
        <f t="shared" ca="1" si="755"/>
        <v>#N/A</v>
      </c>
      <c r="IC203" s="220" t="e">
        <f ca="1">Control!$C$153*$HT203</f>
        <v>#N/A</v>
      </c>
      <c r="ID203" s="218" t="e">
        <f t="shared" ca="1" si="756"/>
        <v>#N/A</v>
      </c>
      <c r="IE203" s="221" t="e">
        <f ca="1">($EB203*Control!$C$159+$EF203*Control!$C$160)/(IF($GZ203&lt;&gt;0,$GZ203,1))</f>
        <v>#N/A</v>
      </c>
      <c r="IF203" s="216" t="e">
        <f t="shared" ca="1" si="757"/>
        <v>#N/A</v>
      </c>
      <c r="IG203" s="91">
        <f ca="1">IF(OR(Control!$B$198=$AH203,Control!$B$199=$AH203, Control!$B$200=$AH203, Control!$B$201=$AH203, Control!$B$202=$AH203, Control!$B$203=$AH203, Control!$B$204=$AH203, Control!$B$205=$AH203, Control!$B$206=$AH203, Control!$B$207=$AH203), 1, 0)</f>
        <v>0</v>
      </c>
      <c r="IH203" s="91">
        <f ca="1">IF($IG203=0,0, VLOOKUP($AH203,Control!$B$198:$C$207,2))</f>
        <v>0</v>
      </c>
      <c r="II203" s="222">
        <f t="shared" ca="1" si="873"/>
        <v>0</v>
      </c>
      <c r="IJ203" s="91">
        <f>Control!$C$121</f>
        <v>0.7</v>
      </c>
      <c r="IK203" s="218">
        <f t="shared" ca="1" si="758"/>
        <v>0</v>
      </c>
      <c r="IL203" s="217" t="e">
        <f t="shared" ca="1" si="910"/>
        <v>#N/A</v>
      </c>
      <c r="IM203" s="223" t="e">
        <f ca="1">IF(AND(Control!$C$114=1,$KH203&lt;1),$EB203*Control!$C$148*(1-$KH203), 0)</f>
        <v>#N/A</v>
      </c>
      <c r="IN203" s="217" t="e">
        <f t="shared" ca="1" si="759"/>
        <v>#DIV/0!</v>
      </c>
      <c r="IO203" s="91" t="e">
        <f ca="1">MAX(0,$IL203-$EF203*Control!$C$160)</f>
        <v>#N/A</v>
      </c>
      <c r="IP203" s="220" t="e">
        <f t="shared" ca="1" si="760"/>
        <v>#N/A</v>
      </c>
      <c r="IQ203" s="217" t="e">
        <f t="shared" ca="1" si="874"/>
        <v>#N/A</v>
      </c>
      <c r="IR203" s="218" t="e">
        <f t="shared" ca="1" si="761"/>
        <v>#N/A</v>
      </c>
      <c r="IS203" s="217" t="e">
        <f ca="1">Control!$C$159*MAX(0,$FD203-$EN203)</f>
        <v>#N/A</v>
      </c>
      <c r="IT203" s="217" t="e">
        <f t="shared" ca="1" si="911"/>
        <v>#N/A</v>
      </c>
      <c r="IU203" s="217" t="e">
        <f t="shared" ca="1" si="875"/>
        <v>#N/A</v>
      </c>
      <c r="IV203" s="217" t="e">
        <f t="shared" ca="1" si="912"/>
        <v>#N/A</v>
      </c>
      <c r="IW203" s="217" t="e">
        <f ca="1">IF(OR($AW203=1,AND($AW203=0, Control!$B$18=1,$EN203&lt;&gt;0)), $IQ203-$IU203, $IQ203)</f>
        <v>#N/A</v>
      </c>
      <c r="IX203" s="218" t="e">
        <f t="shared" ca="1" si="762"/>
        <v>#N/A</v>
      </c>
      <c r="IY203" s="218" t="e">
        <f ca="1">MAX(0,$IQ203-$EB203*Control!$C$159)</f>
        <v>#N/A</v>
      </c>
      <c r="IZ203" s="218" t="e">
        <f t="shared" ca="1" si="763"/>
        <v>#N/A</v>
      </c>
      <c r="JA203" s="216" t="e">
        <f t="shared" ca="1" si="764"/>
        <v>#N/A</v>
      </c>
      <c r="JB203" s="217" t="e">
        <f t="shared" ca="1" si="765"/>
        <v>#N/A</v>
      </c>
      <c r="JC203" s="222" t="e">
        <f ca="1">MAX(Control!$C$157*$EK203-$JT203, 0)/Control!$C$162</f>
        <v>#N/A</v>
      </c>
      <c r="JD203" s="218" t="e">
        <f t="shared" ca="1" si="766"/>
        <v>#N/A</v>
      </c>
      <c r="JE203" s="218" t="e">
        <f t="shared" ca="1" si="767"/>
        <v>#N/A</v>
      </c>
      <c r="JF203" s="218" t="e">
        <f t="shared" ca="1" si="876"/>
        <v>#N/A</v>
      </c>
      <c r="JG203" s="218" t="e">
        <f t="shared" ca="1" si="768"/>
        <v>#N/A</v>
      </c>
      <c r="JH203" s="217" t="e">
        <f t="shared" ca="1" si="877"/>
        <v>#N/A</v>
      </c>
      <c r="JI203" s="217" t="e">
        <f t="shared" ca="1" si="878"/>
        <v>#N/A</v>
      </c>
      <c r="JJ203" s="217" t="e">
        <f t="shared" ca="1" si="913"/>
        <v>#N/A</v>
      </c>
      <c r="JK203" s="217" t="e">
        <f ca="1">IF(Control!$C$114=1,IF(Control!$B$24=0,MAX(0,$JI203)*$GN203/Control!$C$64,(MAX(0,MIN($JI203,$JJ203*$GN203/Control!$C$64),0))))</f>
        <v>#N/A</v>
      </c>
      <c r="JL203" s="217" t="e">
        <f ca="1">$IK203/Control!$C$64-$JK203+$HQ203</f>
        <v>#N/A</v>
      </c>
      <c r="JM203" s="217" t="e">
        <f ca="1">IF(Control!$C$114=1,($JB203/(IF($JI203&lt;&gt;0,$JI203,1)))*$JK203,0)</f>
        <v>#N/A</v>
      </c>
      <c r="JN203" s="217" t="e">
        <f ca="1">IF(Control!$C$114=1,($JG203/(IF($JI203&lt;&gt;0,$JI203,1)))*$JK203, 0)</f>
        <v>#N/A</v>
      </c>
      <c r="JO203" s="218" t="e">
        <f t="shared" ca="1" si="769"/>
        <v>#N/A</v>
      </c>
      <c r="JP203" s="218" t="e">
        <f ca="1">MIN(($IY203+$IO203)*Control!$C$151, $JF203-$EH203*Control!$C$161)</f>
        <v>#N/A</v>
      </c>
      <c r="JQ203" s="218" t="e">
        <f t="shared" ca="1" si="770"/>
        <v>#N/A</v>
      </c>
      <c r="JR203" s="217" t="e">
        <f ca="1">IF($CP203-Control!$C$150&lt;0, 0, $JQ203/Control!$C$162)</f>
        <v>#N/A</v>
      </c>
      <c r="JS203" s="218" t="e">
        <f t="shared" ca="1" si="771"/>
        <v>#N/A</v>
      </c>
      <c r="JT203" s="218" t="e">
        <f t="shared" ca="1" si="879"/>
        <v>#N/A</v>
      </c>
      <c r="JU203" s="218" t="e">
        <f t="shared" ca="1" si="772"/>
        <v>#N/A</v>
      </c>
      <c r="JV203" s="218" t="e">
        <f t="shared" ca="1" si="773"/>
        <v>#N/A</v>
      </c>
      <c r="JW203" s="216" t="e">
        <f t="shared" ca="1" si="774"/>
        <v>#N/A</v>
      </c>
      <c r="JX203" s="91" t="e">
        <f t="shared" ca="1" si="775"/>
        <v>#N/A</v>
      </c>
      <c r="JY203" s="218" t="e">
        <f t="shared" ca="1" si="776"/>
        <v>#N/A</v>
      </c>
      <c r="JZ203" s="217" t="e">
        <f ca="1">IF(Control!$C$114=1,($IZ203/(IF($JI203&lt;&gt;0,$JI203,1)))*$JK203, 0)</f>
        <v>#N/A</v>
      </c>
      <c r="KA203" s="218" t="e">
        <f t="shared" ca="1" si="914"/>
        <v>#N/A</v>
      </c>
      <c r="KB203" s="218" t="e">
        <f t="shared" ca="1" si="880"/>
        <v>#N/A</v>
      </c>
      <c r="KC203" s="218" t="e">
        <f t="shared" ca="1" si="777"/>
        <v>#N/A</v>
      </c>
      <c r="KD203" s="218" t="e">
        <f t="shared" ca="1" si="778"/>
        <v>#N/A</v>
      </c>
      <c r="KE203" s="218" t="e">
        <f t="shared" ca="1" si="779"/>
        <v>#N/A</v>
      </c>
      <c r="KF203" s="218" t="e">
        <f t="shared" ca="1" si="780"/>
        <v>#N/A</v>
      </c>
      <c r="KG203" s="216" t="e">
        <f t="shared" ca="1" si="781"/>
        <v>#N/A</v>
      </c>
      <c r="KH203" s="221" t="e">
        <f ca="1">IF(Control!$B$24=0,1,MAX(0.001,MIN(1,IF(($IF203-$IE203)&lt;&gt;0,($KG203-$IE203)/($IF203-$IE203),1))))</f>
        <v>#N/A</v>
      </c>
      <c r="KI203" s="222" t="e">
        <f ca="1">IF(Control!$C$114=1, $KI202+ $KH202, 0)</f>
        <v>#N/A</v>
      </c>
      <c r="KJ203" s="217" t="e">
        <f t="shared" ca="1" si="782"/>
        <v>#N/A</v>
      </c>
      <c r="KK203" s="218" t="e">
        <f t="shared" ca="1" si="783"/>
        <v>#N/A</v>
      </c>
      <c r="KL203" s="274" t="e">
        <f ca="1">IF(Control!$B$26=3,4000000000*EXP(-8400/($G203+273)),IF(Control!$B$26=4,4000000000*EXP(-8400/($G203+273))*($KT203),0))</f>
        <v>#DIV/0!</v>
      </c>
      <c r="KM203" s="274" t="e">
        <f ca="1">IF(Control!$B$26=3,5600000000000*EXP(-9800/($G203+273)),IF(Control!$B$26=4,5600000000000*EXP(-9800/($G203+273))*$KT203,0))</f>
        <v>#DIV/0!</v>
      </c>
      <c r="KN203" s="454" t="e">
        <f t="shared" ca="1" si="881"/>
        <v>#DIV/0!</v>
      </c>
      <c r="KO203" s="274" t="e">
        <f t="shared" ca="1" si="882"/>
        <v>#DIV/0!</v>
      </c>
      <c r="KP203" s="454" t="e">
        <f t="shared" ca="1" si="784"/>
        <v>#DIV/0!</v>
      </c>
      <c r="KQ203" s="454" t="e">
        <f t="shared" ca="1" si="785"/>
        <v>#DIV/0!</v>
      </c>
      <c r="KR203" s="454" t="e">
        <f t="shared" ca="1" si="786"/>
        <v>#DIV/0!</v>
      </c>
      <c r="KS203" s="454" t="e">
        <f t="shared" ca="1" si="787"/>
        <v>#DIV/0!</v>
      </c>
      <c r="KT203" s="455" t="e">
        <f t="shared" ca="1" si="788"/>
        <v>#DIV/0!</v>
      </c>
      <c r="KU203" s="456" t="e">
        <f ca="1">IF($CP203-Control!$C$149&lt;0, IF($NT203-0.01&lt;0,0,1),0)</f>
        <v>#N/A</v>
      </c>
      <c r="KV203" s="456" t="e">
        <f ca="1">IF(Control!$C$114=1,MAX(0,MIN(Control!$C$125*$KW203*$GN203,$KW203)))</f>
        <v>#DIV/0!</v>
      </c>
      <c r="KW203" s="456" t="e">
        <f t="shared" ca="1" si="915"/>
        <v>#DIV/0!</v>
      </c>
      <c r="KX203" s="457" t="e">
        <f ca="1">IF($CP203-Control!$C$149&lt;0, IF($MR203-$OM203&lt;0,0,1),0)</f>
        <v>#N/A</v>
      </c>
      <c r="KY203" s="167">
        <f t="shared" ca="1" si="883"/>
        <v>199</v>
      </c>
      <c r="KZ203" s="168">
        <f ca="1">1370*(1+0.033*COS(2*Control!$C$138*$AH203/365))</f>
        <v>1326.6015445900782</v>
      </c>
      <c r="LA203" s="169">
        <f t="shared" ca="1" si="884"/>
        <v>0.96832222124122846</v>
      </c>
      <c r="LB203" s="169">
        <f t="shared" ca="1" si="885"/>
        <v>0.36560405984730826</v>
      </c>
      <c r="LC203" s="169">
        <f ca="1">ACOS(-TAN((2*Control!$B$8/360))*TAN(Calculations!$LB203))</f>
        <v>1.6848168864804354</v>
      </c>
      <c r="LD203" s="169">
        <f ca="1">((24*60)/PI())*0.082*$LA203*(($LC203*SIN(Control!$B$8*2*PI()/360))*SIN($LB203)+COS(Control!$B$8*2*PI()/360)*COS($LB203)*SIN($LC203))</f>
        <v>38.065641385544218</v>
      </c>
      <c r="LE203" s="170">
        <f t="shared" ca="1" si="789"/>
        <v>39.476051250662572</v>
      </c>
      <c r="LF203" s="170">
        <f ca="1">SIN(Control!$C$139*Control!$B$8)*SIN($HD203)</f>
        <v>0.28152130223149141</v>
      </c>
      <c r="LG203" s="170">
        <f ca="1">COS(Control!$C$139*Control!$B$8)*COS($HD203)</f>
        <v>0.57503047995650869</v>
      </c>
      <c r="LH203" s="170">
        <f ca="1">12*(1+2*ASIN(MAX(-1,MIN(1,$LF203/$LG203))/Control!$C$138))</f>
        <v>15.755384649667903</v>
      </c>
      <c r="LI203" s="170">
        <f ca="1">12*(1+2*ASIN(MAX(-1,MIN(1,(-SIN(-4*Control!$C$139)+$LF203)/$LG203))/Control!$C$138))</f>
        <v>16.696734064618994</v>
      </c>
      <c r="LJ203" s="168">
        <f ca="1">3600*($LH203*$LF203+24*$LG203*SQRT(1-$LK203*$LK203)/Control!$C$138)</f>
        <v>29757.278220915028</v>
      </c>
      <c r="LK203" s="170">
        <f t="shared" ca="1" si="790"/>
        <v>0.48957631298567639</v>
      </c>
      <c r="LL203" s="170">
        <f t="shared" ca="1" si="791"/>
        <v>0</v>
      </c>
      <c r="LM203" s="171">
        <f ca="1">Control!$C$145*$AB203</f>
        <v>6.6660906138995932E-2</v>
      </c>
      <c r="LN203" s="170">
        <f t="shared" ca="1" si="886"/>
        <v>0.54</v>
      </c>
      <c r="LO203" s="170">
        <f t="shared" ca="1" si="792"/>
        <v>0</v>
      </c>
      <c r="LP203" s="170">
        <f ca="1">Control!$C$140*((($D203+273.16)^4+($E203+273.16)^4)/2)*(0.34-0.14*SQRT($Y203))*(1.35*$AQ203/(0.75*$LD203)-0.35)</f>
        <v>-3.2464704755046001</v>
      </c>
      <c r="LQ203" s="170">
        <f ca="1">Control!$C$140*($G203+273)^4*(0.56-0.079*SQRT($Y203*10))*(0.1+0.9*$LO203)</f>
        <v>1.5241745131704001</v>
      </c>
      <c r="LR203" s="170">
        <f ca="1">$AQ203*(1-Control!$C$142)-$LQ203</f>
        <v>-1.5241745131704001</v>
      </c>
      <c r="LS203" s="170">
        <f ca="1">$AQ203*(1-Control!$C$143)-$LQ203</f>
        <v>-1.5241745131704001</v>
      </c>
      <c r="LT203" s="170">
        <f ca="1">$AQ203*(1-Control!$C$144)-$LQ203</f>
        <v>-1.5241745131704001</v>
      </c>
      <c r="LU203" s="169">
        <f ca="1">(1-Control!$C$144)*AQ203-LP203</f>
        <v>3.2464704755046001</v>
      </c>
      <c r="LV203" s="172">
        <f t="shared" ca="1" si="793"/>
        <v>0.79430000000000012</v>
      </c>
      <c r="LW203" s="170">
        <f t="shared" ca="1" si="794"/>
        <v>1.5886000000000002</v>
      </c>
      <c r="LX203" s="170">
        <f ca="1">($AC203*($LR203/Control!$C$141)+$LM203*$LV203)/($AC203+$LM203)</f>
        <v>0.23530094218323697</v>
      </c>
      <c r="LY203" s="170">
        <f ca="1">($AC203*($LS203/Control!$C$141)+$LM203*$LV203)/($AC203+$LM203)</f>
        <v>0.23530094218323697</v>
      </c>
      <c r="LZ203" s="170">
        <f t="shared" ca="1" si="795"/>
        <v>0.23530094218323697</v>
      </c>
      <c r="MA203" s="170">
        <f t="shared" ca="1" si="796"/>
        <v>0.23530094218323697</v>
      </c>
      <c r="MB203" s="170" t="e">
        <f t="shared" ca="1" si="797"/>
        <v>#N/A</v>
      </c>
      <c r="MC203" s="170">
        <f t="shared" ca="1" si="887"/>
        <v>0.6018</v>
      </c>
      <c r="MD203" s="170">
        <f t="shared" ca="1" si="798"/>
        <v>0.52989392535414004</v>
      </c>
      <c r="ME203" s="170">
        <f ca="1">($AC203*($LT203/Control!$C$141)+$LM203*$LW203)/($AC203+$LM203)</f>
        <v>0.71612369323045078</v>
      </c>
      <c r="MF203" s="170" t="e">
        <f ca="1">IF(Control!$B$16&gt;=1000,0.92,IF(AND(720&lt;=Control!$B$16,1000&gt;Control!$B$16),(0.95+(Control!$B$16-720)*((0.92-0.95)/(1000-720))),IF(AND(360&lt;=Control!$B$16,720&gt;Control!$B$16),(1+(Control!$B$16-360)*((0.95-1)/(720-360))),IF(AND(40&lt;=Control!$B$16,360&gt;Control!$B$16),(1.05+(Control!$B$16-40)*((1.05-1)/(360-40)))))))</f>
        <v>#N/A</v>
      </c>
      <c r="MG203" s="170">
        <f t="shared" ca="1" si="799"/>
        <v>0.71612369323045078</v>
      </c>
      <c r="MH203" s="170" t="e">
        <f t="shared" ca="1" si="695"/>
        <v>#N/A</v>
      </c>
      <c r="MI203" s="170" t="e">
        <f t="shared" ca="1" si="695"/>
        <v>#N/A</v>
      </c>
      <c r="MJ203" s="170" t="e">
        <f ca="1">MAX(0.0001, Control!$C$132*$MI203*$DL203)</f>
        <v>#N/A</v>
      </c>
      <c r="MK203" s="170">
        <f ca="1">1/(0.76+1.5*($MG203/10))-(5-Control!$C$110)*0.1</f>
        <v>1.002845988140797</v>
      </c>
      <c r="ML203" s="173">
        <f ca="1">IF(Control!$C$110&lt;3,$MK203+($MG203-0.6)/(Control!$C$110*(Control!$C$110+3)), MAX(0.1, MIN(0.95,$MK203)))</f>
        <v>0.95</v>
      </c>
      <c r="MM203" s="173">
        <f ca="1">IF(Control!$C$110&lt;3,$MK203+(($MI203/10)-0.6)/(Control!$C$110*(Control!$C$110+3)), MAX(0.1, MIN(0.95,$MK203)))</f>
        <v>0.95</v>
      </c>
      <c r="MN203" s="173">
        <f ca="1">(1-$MM203)*(Control!$C$128-Control!$C$127)+Control!$C$127</f>
        <v>0.16</v>
      </c>
      <c r="MO203" s="170" t="e">
        <f ca="1">MAX(0,MIN(1,($MS203-Control!$C$127)/($MN203-Control!$C$127)))</f>
        <v>#DIV/0!</v>
      </c>
      <c r="MP203" s="173" t="e">
        <f ca="1">1/(0.76+1.5*$MI203)-(5-Control!$C$110)*0.1</f>
        <v>#N/A</v>
      </c>
      <c r="MQ203" s="172" t="e">
        <f t="shared" ca="1" si="916"/>
        <v>#DIV/0!</v>
      </c>
      <c r="MR203" s="168" t="e">
        <f t="shared" ca="1" si="888"/>
        <v>#DIV/0!</v>
      </c>
      <c r="MS203" s="173" t="e">
        <f ca="1">MAX(Control!$C$127, MIN(Control!$C$135, $MR203/MAX(0.0001,$CY203)))</f>
        <v>#DIV/0!</v>
      </c>
      <c r="MT203" s="168" t="e">
        <f ca="1">(Control!$C$128-$MS203)*Control!$C$74</f>
        <v>#DIV/0!</v>
      </c>
      <c r="MU203" s="168" t="e">
        <f ca="1">(Control!$C$135-$MS203)*Control!$C$74</f>
        <v>#DIV/0!</v>
      </c>
      <c r="MV203" s="168" t="e">
        <f t="shared" ca="1" si="889"/>
        <v>#DIV/0!</v>
      </c>
      <c r="MW203" s="168" t="e">
        <f t="shared" ca="1" si="890"/>
        <v>#DIV/0!</v>
      </c>
      <c r="MX203" s="171" t="e">
        <f ca="1">MAX(Control!$C$127, MIN(Control!$C$135, $MW203/MAX(0.0001,Control!$C$119-$CY203)))</f>
        <v>#DIV/0!</v>
      </c>
      <c r="MY203" s="54" t="e">
        <f ca="1">IF(Control!$C$114=1, $CX203*$MX203, 0)</f>
        <v>#DIV/0!</v>
      </c>
      <c r="MZ203" s="54" t="e">
        <f t="shared" ca="1" si="891"/>
        <v>#N/A</v>
      </c>
      <c r="NA203" s="168" t="e">
        <f ca="1">(Control!$C$128-$MX203)*(Control!$C$119-Control!$C$74)</f>
        <v>#DIV/0!</v>
      </c>
      <c r="NB203" s="168" t="e">
        <f ca="1">(Control!$C$135-$MX203)*(Control!$C$119-Control!$C$74)</f>
        <v>#DIV/0!</v>
      </c>
      <c r="NC203" s="174" t="e">
        <f t="shared" ca="1" si="892"/>
        <v>#DIV/0!</v>
      </c>
      <c r="ND203" s="54">
        <f ca="1">IF(Control!$C$58=2, IF(OR(Control!$B$218=$AH203,Control!$B$219=$AH203, Control!$B$220=$AH203, Control!$B$221=$AH203, Control!$B$222=$AH203, Control!$B$223=$AH203, Control!$B$224=$AH203, Control!$B$225=$AH203, Control!$B$226=$AH203, Control!$B$227=$AH203, Control!$B$228=$AH203), 1, 0), 0)</f>
        <v>0</v>
      </c>
      <c r="NE203" s="54">
        <f ca="1">IF($ND203=0,0, VLOOKUP($AH203,Control!$B$218:$C$228,2))</f>
        <v>0</v>
      </c>
      <c r="NF203" s="168" t="e">
        <f ca="1">$CY203*(Control!$C$128-Control!$C$127)</f>
        <v>#N/A</v>
      </c>
      <c r="NG203" s="54" t="e">
        <f ca="1">IF(Control!$C$58=2, $NI202-$NJ202, 0)</f>
        <v>#DIV/0!</v>
      </c>
      <c r="NH203" s="54" t="e">
        <f ca="1">IF(AND(Control!$C$58=1, $MS202&lt;= ($MN202+0.02), $I202&lt;10), 0, IF(Control!$C$58=2, $NG202, 0))</f>
        <v>#DIV/0!</v>
      </c>
      <c r="NI203" s="54" t="e">
        <f ca="1">IF(Control!$C$58=2, $NE203+$NH203,0)</f>
        <v>#DIV/0!</v>
      </c>
      <c r="NJ203" s="54" t="e">
        <f ca="1">IF(AND(Control!$C$58=1, $MS203&lt;= ($MN203+0.02), $I203&lt;10), MAX(0, MIN(10, 0.7*($NF203-$MV203))), IF(Control!$C$58=2, MIN(10,$NI203),0))</f>
        <v>#DIV/0!</v>
      </c>
      <c r="NK203" s="54" t="e">
        <f t="shared" ca="1" si="800"/>
        <v>#DIV/0!</v>
      </c>
      <c r="NL203" s="173" t="e">
        <f ca="1">(1-Control!$C$73)*$I203+$NJ203</f>
        <v>#DIV/0!</v>
      </c>
      <c r="NM203" s="172" t="e">
        <f ca="1">IF($NL203&lt;0.5, $MB203* MAX(0, MIN(1, (SQRT($NC203)-SQRT($NC203-1))*Control!$C$71)),0)</f>
        <v>#DIV/0!</v>
      </c>
      <c r="NN203" s="170" t="e">
        <f ca="1">IF($NL203&gt;=5, $MB203, MAX(0,MIN($MB203, $NM203+$NL203,($MS203-Control!$C$129))))</f>
        <v>#DIV/0!</v>
      </c>
      <c r="NO203" s="54">
        <f>IF(Control!$C$133&lt;&gt;1, Control!$C$135-Control!$C$131, 0)</f>
        <v>0.38</v>
      </c>
      <c r="NP203" s="54" t="e">
        <f t="shared" ca="1" si="801"/>
        <v>#DIV/0!</v>
      </c>
      <c r="NQ203" s="173" t="e">
        <f ca="1">MAX(0,MIN(1,(Control!$C$135-$MS203)/(Control!$C$135-$NO203)))</f>
        <v>#DIV/0!</v>
      </c>
      <c r="NR203" s="170" t="e">
        <f ca="1">IF(Control!$C$133&lt;&gt;1, $NQ203+((1-$NP203/4)*(1-$NQ203)),1)</f>
        <v>#DIV/0!</v>
      </c>
      <c r="NS203" s="170" t="e">
        <f ca="1">IF(Control!$B$31=0,$MJ203,MAX(0,MIN($MV203,$MO203*$NR203*$MJ203)))</f>
        <v>#DIV/0!</v>
      </c>
      <c r="NT203" s="170" t="e">
        <f t="shared" ca="1" si="917"/>
        <v>#DIV/0!</v>
      </c>
      <c r="NU203" s="170" t="e">
        <f t="shared" ca="1" si="893"/>
        <v>#N/A</v>
      </c>
      <c r="NV203" s="170" t="e">
        <f t="shared" ca="1" si="802"/>
        <v>#N/A</v>
      </c>
      <c r="NW203" s="175" t="e">
        <f t="shared" ca="1" si="803"/>
        <v>#DIV/0!</v>
      </c>
      <c r="NX203" s="170" t="e">
        <f ca="1">MIN(Control!$C$72+$MU203, $NW203)</f>
        <v>#DIV/0!</v>
      </c>
      <c r="NY203" s="170" t="e">
        <f ca="1">IF($MT203&lt;=$NX203,MIN(Control!$C$72+$NB203,$NX203-$MT203),0)</f>
        <v>#DIV/0!</v>
      </c>
      <c r="NZ203" s="54" t="e">
        <f ca="1">IF(Control!$C$114=1,  $CX203*($MX203-Control!$C$127), 0)</f>
        <v>#DIV/0!</v>
      </c>
      <c r="OA203" s="170" t="e">
        <f t="shared" ca="1" si="804"/>
        <v>#DIV/0!</v>
      </c>
      <c r="OB203" s="170" t="e">
        <f ca="1">IF($NA203 &lt;=$NY203, MIN(Control!$C$72, $NY203-$NA203), 0)</f>
        <v>#DIV/0!</v>
      </c>
      <c r="OC203" s="168" t="e">
        <f t="shared" ca="1" si="805"/>
        <v>#DIV/0!</v>
      </c>
      <c r="OD203" s="168" t="e">
        <f t="shared" ca="1" si="894"/>
        <v>#DIV/0!</v>
      </c>
      <c r="OE203" s="170">
        <f ca="1">Control!$C$73*$I203</f>
        <v>0</v>
      </c>
      <c r="OF203" s="176" t="e">
        <f t="shared" ca="1" si="806"/>
        <v>#DIV/0!</v>
      </c>
      <c r="OG203" s="168" t="e">
        <f t="shared" ca="1" si="807"/>
        <v>#DIV/0!</v>
      </c>
      <c r="OH203" s="168" t="e">
        <f t="shared" ca="1" si="808"/>
        <v>#DIV/0!</v>
      </c>
      <c r="OI203" s="168" t="e">
        <f t="shared" ca="1" si="809"/>
        <v>#DIV/0!</v>
      </c>
      <c r="OJ203" s="168" t="e">
        <f t="shared" ca="1" si="810"/>
        <v>#DIV/0!</v>
      </c>
      <c r="OK203" s="204" t="e">
        <f t="shared" ca="1" si="811"/>
        <v>#DIV/0!</v>
      </c>
      <c r="OL203" s="177">
        <f>Control!$C$127</f>
        <v>0.15</v>
      </c>
      <c r="OM203" s="182" t="e">
        <f t="shared" ca="1" si="812"/>
        <v>#N/A</v>
      </c>
      <c r="ON203" s="177">
        <f>Control!$C$128</f>
        <v>0.35</v>
      </c>
      <c r="OO203" s="182" t="e">
        <f t="shared" ca="1" si="813"/>
        <v>#N/A</v>
      </c>
      <c r="OP203" s="138">
        <f t="shared" ca="1" si="895"/>
        <v>0</v>
      </c>
      <c r="OQ203" s="138" t="e">
        <f t="shared" ca="1" si="918"/>
        <v>#DIV/0!</v>
      </c>
      <c r="OR203" s="138" t="e">
        <f t="shared" ca="1" si="896"/>
        <v>#DIV/0!</v>
      </c>
      <c r="OS203" s="137" t="e">
        <f t="shared" ca="1" si="919"/>
        <v>#DIV/0!</v>
      </c>
      <c r="OT203" s="139" t="e">
        <f t="shared" ca="1" si="920"/>
        <v>#DIV/0!</v>
      </c>
      <c r="OU203" s="138" t="e">
        <f t="shared" ca="1" si="921"/>
        <v>#N/A</v>
      </c>
      <c r="OV203" s="138" t="e">
        <f t="shared" ca="1" si="922"/>
        <v>#DIV/0!</v>
      </c>
      <c r="OW203" s="138" t="e">
        <f t="shared" ca="1" si="897"/>
        <v>#DIV/0!</v>
      </c>
      <c r="OX203" s="138" t="e">
        <f t="shared" ca="1" si="898"/>
        <v>#DIV/0!</v>
      </c>
      <c r="OY203" s="138" t="e">
        <f t="shared" ca="1" si="899"/>
        <v>#DIV/0!</v>
      </c>
      <c r="OZ203" s="138" t="e">
        <f t="shared" ca="1" si="814"/>
        <v>#DIV/0!</v>
      </c>
      <c r="PA203" s="138" t="e">
        <f t="shared" ca="1" si="815"/>
        <v>#DIV/0!</v>
      </c>
      <c r="PB203" s="55">
        <f>IF(Control!$C$61="T", IF(Control!$C$65="F", IF($AH$6-Control!$C$60&lt;0,0,1), IF(365+$AH$6-Control!$C$60&lt;0,0,1)),0)</f>
        <v>0</v>
      </c>
      <c r="PC203" s="55">
        <f ca="1">IF(Control!$C$65="F", IF($AH$6-$HF203&lt;0,0,1), IF(365+$AH$6-$HF203&lt;0,0,1))</f>
        <v>1</v>
      </c>
      <c r="PD203" s="444">
        <f>Control!$C$118</f>
        <v>1500</v>
      </c>
      <c r="PE203" s="180" t="e">
        <f t="shared" ca="1" si="816"/>
        <v>#N/A</v>
      </c>
      <c r="PF203" s="445">
        <f t="shared" ca="1" si="900"/>
        <v>0.71612369323045078</v>
      </c>
      <c r="PT203" s="186"/>
      <c r="PU203" s="186"/>
      <c r="PV203" s="94"/>
      <c r="PW203" s="94"/>
      <c r="PX203" s="94"/>
      <c r="PY203" s="94"/>
      <c r="PZ203" s="94"/>
      <c r="QA203" s="94"/>
      <c r="QB203" s="94"/>
      <c r="QC203" s="94"/>
      <c r="QD203" s="94"/>
      <c r="QE203" s="94"/>
      <c r="QF203" s="94"/>
      <c r="QG203" s="94"/>
      <c r="QH203" s="94"/>
      <c r="QI203" s="94"/>
      <c r="QJ203" s="94"/>
      <c r="QK203" s="94"/>
      <c r="QL203" s="94"/>
      <c r="QM203" s="94"/>
      <c r="QN203" s="94"/>
      <c r="QO203" s="94"/>
      <c r="QP203" s="94"/>
    </row>
    <row r="204" spans="1:458" s="2" customFormat="1" x14ac:dyDescent="0.2">
      <c r="A204" s="395">
        <v>18</v>
      </c>
      <c r="B204" s="396">
        <v>7</v>
      </c>
      <c r="C204" s="387">
        <f ca="1">Weather_data!$B203</f>
        <v>0</v>
      </c>
      <c r="D204" s="388">
        <f ca="1">Weather_data!$F203</f>
        <v>0</v>
      </c>
      <c r="E204" s="388">
        <f ca="1">Weather_data!$E203</f>
        <v>0</v>
      </c>
      <c r="F204" s="388">
        <f t="shared" ca="1" si="817"/>
        <v>0</v>
      </c>
      <c r="G204" s="388">
        <f ca="1">AVERAGE($D204:$E204)+Control!$B$9</f>
        <v>0</v>
      </c>
      <c r="H204" s="388">
        <f ca="1">Weather_data!$G203</f>
        <v>0</v>
      </c>
      <c r="I204" s="388">
        <f ca="1">Weather_data!$I203</f>
        <v>0</v>
      </c>
      <c r="J204" s="388">
        <f ca="1">Weather_data!$H203</f>
        <v>0</v>
      </c>
      <c r="K204" s="389">
        <f ca="1">Weather_data!$D203</f>
        <v>0</v>
      </c>
      <c r="L204" s="388" t="e">
        <f t="shared" ca="1" si="818"/>
        <v>#N/A</v>
      </c>
      <c r="M204" s="388" t="e">
        <f t="shared" ca="1" si="696"/>
        <v>#N/A</v>
      </c>
      <c r="N204" s="388">
        <f t="shared" ca="1" si="697"/>
        <v>-4.3549871041082281E-10</v>
      </c>
      <c r="O204" s="388">
        <f t="shared" ca="1" si="819"/>
        <v>4.3549871041082281E-9</v>
      </c>
      <c r="P204" s="390">
        <v>3</v>
      </c>
      <c r="Q204" s="388">
        <f ca="1">MAX($G204-Control!$C$107,0)</f>
        <v>0</v>
      </c>
      <c r="R204" s="388">
        <f t="shared" ca="1" si="820"/>
        <v>0</v>
      </c>
      <c r="S204" s="388">
        <f t="shared" ca="1" si="698"/>
        <v>0</v>
      </c>
      <c r="T204" s="388">
        <f t="shared" ca="1" si="699"/>
        <v>0</v>
      </c>
      <c r="U204" s="59">
        <f t="shared" ca="1" si="700"/>
        <v>0</v>
      </c>
      <c r="V204" s="391">
        <f ca="1">MAX(0,MIN(Control!$C$100-Control!$C$99,$G204-Control!$C$99)*Control!$C$63)</f>
        <v>0</v>
      </c>
      <c r="W204" s="388">
        <f t="shared" ca="1" si="821"/>
        <v>0</v>
      </c>
      <c r="X204" s="388">
        <f t="shared" ca="1" si="822"/>
        <v>0.6110000000000001</v>
      </c>
      <c r="Y204" s="388">
        <f t="shared" ca="1" si="701"/>
        <v>0</v>
      </c>
      <c r="Z204" s="388">
        <f t="shared" ca="1" si="823"/>
        <v>0.61058800000000002</v>
      </c>
      <c r="AA204" s="388">
        <f t="shared" ca="1" si="702"/>
        <v>0.6018</v>
      </c>
      <c r="AB204" s="388">
        <f ca="1">101.3*EXP(-0.034*Control!$C$66/($G204+273))</f>
        <v>100.69623283836242</v>
      </c>
      <c r="AC204" s="392">
        <f t="shared" ca="1" si="703"/>
        <v>4.3460251046025113E-2</v>
      </c>
      <c r="AD204" s="392">
        <f t="shared" ca="1" si="704"/>
        <v>4.4450382862832649E-2</v>
      </c>
      <c r="AE204" s="388">
        <f t="shared" ca="1" si="705"/>
        <v>0</v>
      </c>
      <c r="AF204" s="388">
        <f ca="1">MAX(0,$G204-Control!$C$92)</f>
        <v>0</v>
      </c>
      <c r="AG204" s="393">
        <f t="shared" ca="1" si="706"/>
        <v>200</v>
      </c>
      <c r="AH204" s="389">
        <f t="shared" ca="1" si="707"/>
        <v>200</v>
      </c>
      <c r="AI204" s="388">
        <f t="shared" ca="1" si="824"/>
        <v>0.36204189823295713</v>
      </c>
      <c r="AJ204" s="388">
        <f ca="1">IF(Control!$C$60&lt;=0,$HH204,$HI204)</f>
        <v>1</v>
      </c>
      <c r="AK204" s="388">
        <f t="shared" ca="1" si="708"/>
        <v>2.0657047585247952</v>
      </c>
      <c r="AL204" s="388">
        <f t="shared" ca="1" si="709"/>
        <v>2.5244667467561046E-18</v>
      </c>
      <c r="AM204" s="388">
        <f t="shared" ca="1" si="710"/>
        <v>2.0657047585247952</v>
      </c>
      <c r="AN204" s="388">
        <f t="shared" ca="1" si="711"/>
        <v>0.35764460853830266</v>
      </c>
      <c r="AO204" s="388">
        <f ca="1">-0.10453/COS(Control!$B$8*PI()/180)*COS(AN204)</f>
        <v>-0.15904155215545437</v>
      </c>
      <c r="AP204" s="388">
        <f ca="1">ACOS(AO204-TAN(Control!$B$8*PI()/180)*TAN(AN204))</f>
        <v>2.2618849254744537</v>
      </c>
      <c r="AQ204" s="388">
        <f t="shared" ca="1" si="825"/>
        <v>0</v>
      </c>
      <c r="AR204" s="394">
        <f t="shared" ca="1" si="712"/>
        <v>0</v>
      </c>
      <c r="AS204" s="436">
        <f ca="1">IF(Control!$B$18=2,(IF(OR($AH204=Control!$B$175,$AH204=Control!$B$176,$AH204=Control!$B$177,$AH204=Control!$B$178,$AH204=Control!$B$179,$AH204=Control!$B$180,$AH204=Control!$B$181,$AH204=Control!$B$182,$AH204=Control!$B$183,$AH204=Control!$B$184,$AH204=Control!$B$185),1,0)),0)</f>
        <v>0</v>
      </c>
      <c r="AT204" s="436">
        <f>IF(Control!$B$20=8,IF(AND($AH204&gt;=Control!$B$172,$AH204&lt;=Control!$B$173),1,0),0)</f>
        <v>0</v>
      </c>
      <c r="AU204" s="436">
        <f>IF(Control!$B$20=8,IF($AV203=1,1*$AT204,IF($AT204=1,$AU203+1,$AU203)),0)</f>
        <v>0</v>
      </c>
      <c r="AV204" s="436">
        <f>IF(Control!$B$20=8,IF($AU204&gt;=Control!$B$174,1,0),0)</f>
        <v>0</v>
      </c>
      <c r="AW204" s="436">
        <f ca="1">IF(AND(Control!$B$18=2,Control!$B$171=1), $AV204, $AS204)</f>
        <v>0</v>
      </c>
      <c r="AX204" s="436" t="e">
        <f ca="1">IF(AND(Control!$B$18=1,$EU204&gt;=Control!$B$19),-$AY204,IF(AND(Control!$B$18=2,$AW204=1,$EU204&gt;$DS204),-$AY204, IF(Control!$C$108=0,0, IF(Control!$C$108&lt;&gt;0,1))))</f>
        <v>#N/A</v>
      </c>
      <c r="AY204" s="436" t="e">
        <f t="shared" ca="1" si="826"/>
        <v>#N/A</v>
      </c>
      <c r="AZ204" s="436" t="e">
        <f ca="1">IF(AND(Control!$B$18=1,$EB204&gt;Control!$B$19),$AZ203+1, IF(AND(Control!$B$18=2, $AW204=1, $EB204&gt;$DS204), $AZ203+1,$AZ203))</f>
        <v>#N/A</v>
      </c>
      <c r="BA204" s="587">
        <f>IF(Control!$C$81=0,1,IF($AH204&gt;=Control!$C$82,1,0))</f>
        <v>1</v>
      </c>
      <c r="BB204" s="140" t="e">
        <f ca="1">IF($BA204&gt;$BA203,Control!$C$83,IF($AW204&gt;0,$AW204*Control!$C$84,IF(AND(Control!$B$18=1,EN203&lt;&gt;0),Control!$C$84,0)))</f>
        <v>#N/A</v>
      </c>
      <c r="BC204" s="140" t="e">
        <f t="shared" ca="1" si="827"/>
        <v>#N/A</v>
      </c>
      <c r="BD204" s="140" t="e">
        <f ca="1">BC204*IF(OR($G204&lt;Control!$C$92,$G204&gt;Control!$C$95),0,IF(AND($G204&gt;=Control!$C$92,$G204&lt;=Control!$C$93),$G204-Control!$C$92,IF(AND($G204&gt;Control!$C$93,$G204&lt;=Control!$C$94),Control!$C$93-Control!$C$92,IF(AND($G204&gt;Control!$C$94,$G204&lt;=Control!$C$95),(Control!$C$93-Control!$C$92)*(Control!$C$94-$G204)/(Control!$C$95-Control!$C$94)))))</f>
        <v>#N/A</v>
      </c>
      <c r="BE204" s="140" t="e">
        <f t="shared" ca="1" si="828"/>
        <v>#N/A</v>
      </c>
      <c r="BF204" s="140" t="e">
        <f ca="1">IF($BE204&lt;=Control!$C$86,$BE204,Control!$C$86-$BE204)</f>
        <v>#N/A</v>
      </c>
      <c r="BG204" s="140" t="e">
        <f ca="1">IF(AND($AW204=1,Control!$C$84&lt;9),1,IF($BE204&gt;=Control!$C$86,0,$BC204))</f>
        <v>#N/A</v>
      </c>
      <c r="BH204" s="404" t="e">
        <f ca="1">IF($BG204=0,0,IF($BE204&lt;=Control!$C$86,$BC204*9*($BF204/Control!$C$86),0))</f>
        <v>#N/A</v>
      </c>
      <c r="BI204" s="140" t="e">
        <f ca="1">IF($BG204=1,0,IF($BE204&gt;=Control!$C$86,1,IF(AND($BB204&lt;21,$BB204&gt;=9),1,$BM203)))</f>
        <v>#N/A</v>
      </c>
      <c r="BJ204" s="140" t="e">
        <f ca="1">IF($BF204&lt;0,-$BF204,$BI204*IF(OR($G204&lt;Control!$C$92,$G204&gt;Control!$C$95),0,IF(AND($G204&gt;=Control!$C$92,$G204&lt;=Control!$C$93),$G204-Control!$C$92,IF(AND($G204&gt;Control!$C$93,$G204&lt;=Control!$C$94),Control!$C$93-Control!$C$92,IF(AND($G204&gt;Control!$C$94,$G204&lt;=Control!$C$95),(Control!$C$93-Control!$C$92)*(Control!$C$94-$G204)/(Control!$C$95-Control!$C$94))))))</f>
        <v>#N/A</v>
      </c>
      <c r="BK204" s="140" t="e">
        <f t="shared" ca="1" si="829"/>
        <v>#N/A</v>
      </c>
      <c r="BL204" s="140" t="e">
        <f ca="1">IF($BK204&lt;=Control!$C$87,$BK204,Control!$C$87-$BK204)</f>
        <v>#N/A</v>
      </c>
      <c r="BM204" s="140" t="e">
        <f ca="1">IF(AND($BB204&gt;=9,$BB204&lt;21),1,IF($BK204&gt;=Control!$C$87,0,$BI204))</f>
        <v>#N/A</v>
      </c>
      <c r="BN204" s="404" t="e">
        <f ca="1">IF($BM204=0,0,IF($BK204&lt;=Control!$C$87,$BI204*(9+(21-9)*($BL204/Control!$C$87)),0))</f>
        <v>#N/A</v>
      </c>
      <c r="BO204" s="140" t="e">
        <f ca="1">IF($BM204=1,0,IF($BK204&gt;=Control!$C$87,1,IF(AND($BB204&lt;30,$BB204&gt;=21),1,$BS203)))</f>
        <v>#N/A</v>
      </c>
      <c r="BP204" s="140" t="e">
        <f ca="1">IF($BL204&lt;0,-$BL204,$BO204*IF(OR($G204&lt;Control!$C$92,$G204&gt;Control!$C$95),0,IF(AND($G204&gt;=Control!$C$92,$G204&lt;=Control!$C$93),$G204-Control!$C$92,IF(AND($G204&gt;Control!$C$93,$G204&lt;=Control!$C$94),Control!$C$93-Control!$C$92,IF(AND($G204&gt;Control!$C$94,$G204&lt;=Control!$C$95),(Control!$C$93-Control!$C$92)*(Control!$C$94-$G204)/(Control!$C$95-Control!$C$94))))))</f>
        <v>#N/A</v>
      </c>
      <c r="BQ204" s="140" t="e">
        <f t="shared" ca="1" si="713"/>
        <v>#N/A</v>
      </c>
      <c r="BR204" s="140" t="e">
        <f ca="1">IF($BQ204&lt;=Control!$C$88,$BQ204,Control!$C$88-$BQ204)</f>
        <v>#N/A</v>
      </c>
      <c r="BS204" s="140" t="e">
        <f ca="1">IF(AND($BB204&gt;=21,$BB204&lt;30),1,IF($BQ204&gt;=Control!$C$88,0,$BO204))</f>
        <v>#N/A</v>
      </c>
      <c r="BT204" s="404" t="e">
        <f ca="1">IF($BS204=0,0,IF($BQ204&lt;=Control!$C$88,$BO204*(21+(30-21)*(BR204/Control!$C$88)),0))</f>
        <v>#N/A</v>
      </c>
      <c r="BU204" s="140" t="e">
        <f ca="1">IF(BG204+BM204+BS204=1,0,IF(OR(AND($BB204&lt;60,$BB204&gt;=30),$BQ204&gt;=Control!$C$88),1*$BA204,$BY203))</f>
        <v>#N/A</v>
      </c>
      <c r="BV204" s="140" t="e">
        <f ca="1">IF($BR204&lt;0,-$BR204,$BU204*IF(OR($G204&lt;Control!$C$92,$G204&gt;Control!$C$95),0,IF(AND($G204&gt;=Control!$C$92,$G204&lt;=Control!$C$93),$G204-Control!$C$92,IF(AND($G204&gt;Control!$C$93,$G204&lt;=Control!$C$94),Control!$C$93-Control!$C$92,IF(AND($G204&gt;Control!$C$94,$G204&lt;=Control!$C$95),(Control!$C$93-Control!$C$92)*(Control!$C$94-$G204)/(Control!$C$95-Control!$C$94))))))</f>
        <v>#N/A</v>
      </c>
      <c r="BW204" s="140" t="e">
        <f t="shared" ca="1" si="714"/>
        <v>#N/A</v>
      </c>
      <c r="BX204" s="140" t="e">
        <f ca="1">IF($BW204&lt;=Control!$C$89,$BW204,Control!$C$89-$BW204)</f>
        <v>#N/A</v>
      </c>
      <c r="BY204" s="140" t="e">
        <f ca="1">IF(AND($AJ204&gt;=30,$AJ204&lt;60),1,IF($BW204&gt;=Control!$C$89,0,$BU204))</f>
        <v>#N/A</v>
      </c>
      <c r="BZ204" s="404" t="e">
        <f ca="1">IF($BY204=0,0,IF($BW204&lt;=Control!$C$89,$BU204*(30+(60-30)*(BX204/Control!$C$89)),0))</f>
        <v>#N/A</v>
      </c>
      <c r="CA204" s="140" t="e">
        <f ca="1">IF($BG204+$BM204+$BS204+$BY204=1,0,IF(OR(AND($BB204&lt;65,$BB204&gt;=60),$BW204&gt;=Control!$C$89),1*$BA204,$CE203))</f>
        <v>#N/A</v>
      </c>
      <c r="CB204" s="140" t="e">
        <f ca="1">IF($BX204&lt;0,-$BX204,$CA204*IF(OR($G204&lt;Control!$C$92,$G204&gt;Control!$C$95),0,IF(AND($G204&gt;=Control!$C$92,$G204&lt;=Control!$C$93),$G204-Control!$C$92,IF(AND($G204&gt;Control!$C$93,$G204&lt;=Control!$C$94),Control!$C$93-Control!$C$92,IF(AND($G204&gt;Control!$C$94,$G204&lt;=Control!$C$95),(Control!$C$93-Control!$C$92)*(Control!$C$94-$G204)/(Control!$C$95-Control!$C$94))))))</f>
        <v>#N/A</v>
      </c>
      <c r="CC204" s="140" t="e">
        <f t="shared" ca="1" si="830"/>
        <v>#N/A</v>
      </c>
      <c r="CD204" s="140" t="e">
        <f ca="1">IF($CC204&lt;=Control!$C$90,$CC204,Control!$C$90-$CC204)</f>
        <v>#N/A</v>
      </c>
      <c r="CE204" s="140" t="e">
        <f ca="1">IF(AND($BB204&gt;=60,$BB204&lt;65),1,IF($CC204&gt;=Control!$C$90,0,$CA204))</f>
        <v>#N/A</v>
      </c>
      <c r="CF204" s="404" t="e">
        <f ca="1">IF($CE204=0,0,IF($CC204&lt;=Control!$C$90,$CA204*(60+(65-60)*(CD204/Control!$C$90)),0))</f>
        <v>#N/A</v>
      </c>
      <c r="CG204" s="140" t="e">
        <f ca="1">IF($BG204+$BM204+$BS204+$BY204+$CE204=1,0,IF(OR(AND($BB204&lt;90,$BB204&gt;=65),$CC204&gt;=Control!$C$90),$BA204,$CK203))</f>
        <v>#N/A</v>
      </c>
      <c r="CH204" s="140" t="e">
        <f ca="1">IF($CD204&lt;0,-$CD204,$CG204*IF(OR($G204&lt;Control!$C$92,$G204&gt;Control!$C$95),0,IF(AND($G204&gt;=Control!$C$92,$G204&lt;=Control!$C$93),$G204-Control!$C$92,IF(AND($G204&gt;Control!$C$93,$G204&lt;=Control!$C$94),Control!$C$93-Control!$C$92,IF(AND($G204&gt;Control!$C$94,$G204&lt;=Control!$C$95),(Control!$C$93-Control!$C$92)*(Control!$C$94-$G204)/(Control!$C$95-Control!$C$94))))))</f>
        <v>#N/A</v>
      </c>
      <c r="CI204" s="140" t="e">
        <f t="shared" ca="1" si="831"/>
        <v>#N/A</v>
      </c>
      <c r="CJ204" s="140" t="e">
        <f ca="1">IF($CI204&lt;=Control!$C$91,$CI204,Control!$C$91-$CI204)</f>
        <v>#N/A</v>
      </c>
      <c r="CK204" s="140" t="e">
        <f ca="1">IF(AND($BB204&gt;=65,$BB204&lt;90),1,IF($CI204&gt;=Control!$C$91,0,$CG204))</f>
        <v>#N/A</v>
      </c>
      <c r="CL204" s="404" t="e">
        <f ca="1">IF($CK204=0,0,IF($CI204&lt;=Control!$C$91,$CG204*(65+(90-65)*($CJ204/Control!$C$91)),0))</f>
        <v>#N/A</v>
      </c>
      <c r="CM204" s="140" t="e">
        <f ca="1">IF($BG204+$BM204+$BS204+$BY204+$CE204+$CK204=1,0,IF(OR($BB204&gt;=90,$CI204&gt;=Control!$C$91),$BA204,$CM203))</f>
        <v>#N/A</v>
      </c>
      <c r="CN204" s="140" t="e">
        <f t="shared" ca="1" si="832"/>
        <v>#N/A</v>
      </c>
      <c r="CO204" s="140" t="e">
        <f t="shared" ca="1" si="833"/>
        <v>#N/A</v>
      </c>
      <c r="CP204" s="140" t="e">
        <f t="shared" ca="1" si="834"/>
        <v>#N/A</v>
      </c>
      <c r="CQ204" s="141" t="e">
        <f ca="1">VLOOKUP($CP204,Control!$B$86:$G$91,6)</f>
        <v>#N/A</v>
      </c>
      <c r="CR204" s="141" t="e">
        <f ca="1">(1-$CQ204)*VLOOKUP($CP204,Control!$B$86:$D$91,3)</f>
        <v>#N/A</v>
      </c>
      <c r="CS204" s="141" t="e">
        <f ca="1">(1-$CQ204)*VLOOKUP($CP204,Control!$B$86:$E$91,4)</f>
        <v>#N/A</v>
      </c>
      <c r="CT204" s="141" t="e">
        <f ca="1">(1-$CQ204)*VLOOKUP($CP204,Control!$B$86:$F$91,5)</f>
        <v>#N/A</v>
      </c>
      <c r="CU204" s="141">
        <f t="shared" ca="1" si="835"/>
        <v>0</v>
      </c>
      <c r="CV204" s="583">
        <f t="shared" ca="1" si="836"/>
        <v>0</v>
      </c>
      <c r="CW204" s="142">
        <f t="shared" ca="1" si="837"/>
        <v>200</v>
      </c>
      <c r="CX204" s="612" t="e">
        <f ca="1">IF(Control!$C$114=1,(MIN(Control!$C$120*(IF($NT204-0.01&lt;0,0,1)),Control!$C$119-$CY204)))</f>
        <v>#DIV/0!</v>
      </c>
      <c r="CY204" s="143" t="e">
        <f t="shared" ca="1" si="838"/>
        <v>#N/A</v>
      </c>
      <c r="CZ204" s="144">
        <f t="shared" ca="1" si="715"/>
        <v>0</v>
      </c>
      <c r="DA204" s="144">
        <f t="shared" ca="1" si="716"/>
        <v>0</v>
      </c>
      <c r="DB204" s="144" t="e">
        <f t="shared" ca="1" si="717"/>
        <v>#N/A</v>
      </c>
      <c r="DC204" s="144" t="e">
        <f t="shared" ca="1" si="718"/>
        <v>#N/A</v>
      </c>
      <c r="DD204" s="144" t="e">
        <f t="shared" ca="1" si="923"/>
        <v>#N/A</v>
      </c>
      <c r="DE204" s="143" t="e">
        <f t="shared" ca="1" si="839"/>
        <v>#N/A</v>
      </c>
      <c r="DF204" s="145" t="e">
        <f ca="1">$DR204*EXP(-Control!$C$158*(1-$KH204))</f>
        <v>#N/A</v>
      </c>
      <c r="DG204" s="146" t="e">
        <f ca="1">IF(Control!$C$114=1, $DF204*$EY204, 0)</f>
        <v>#N/A</v>
      </c>
      <c r="DH204" s="147" t="e">
        <f t="shared" ca="1" si="840"/>
        <v>#N/A</v>
      </c>
      <c r="DI204" s="144" t="e">
        <f t="shared" ca="1" si="901"/>
        <v>#N/A</v>
      </c>
      <c r="DJ204" s="147" t="e">
        <f ca="1">$EF204*Control!$C$109</f>
        <v>#N/A</v>
      </c>
      <c r="DK204" s="144" t="e">
        <f t="shared" ca="1" si="841"/>
        <v>#N/A</v>
      </c>
      <c r="DL204" s="144" t="e">
        <f t="shared" ca="1" si="719"/>
        <v>#N/A</v>
      </c>
      <c r="DM204" s="144" t="e">
        <f ca="1">IF(Control!$C$114=1, (1-EXP(-Control!$C$96*$DK204))*$AR204, 0)</f>
        <v>#N/A</v>
      </c>
      <c r="DN204" s="144">
        <f t="shared" ca="1" si="842"/>
        <v>0</v>
      </c>
      <c r="DO204" s="148">
        <f>Control!$C$97</f>
        <v>4</v>
      </c>
      <c r="DP204" s="145" t="e">
        <f t="shared" ca="1" si="843"/>
        <v>#N/A</v>
      </c>
      <c r="DQ204" s="145" t="e">
        <f ca="1">IF(AND($CP204&gt;=0,$CP204&lt;=90),Control!$C$111,Control!$C$111)</f>
        <v>#N/A</v>
      </c>
      <c r="DR204" s="145" t="e">
        <f t="shared" ca="1" si="720"/>
        <v>#N/A</v>
      </c>
      <c r="DS204" s="143" t="e">
        <f ca="1">Control!$B$22/$DR204</f>
        <v>#N/A</v>
      </c>
      <c r="DT204" s="149" t="e">
        <f ca="1">IF(AND(Control!$C$114=1,$KH204&lt;1),$IM204*$DF204, 0)</f>
        <v>#N/A</v>
      </c>
      <c r="DU204" s="144" t="e">
        <f t="shared" ca="1" si="844"/>
        <v>#N/A</v>
      </c>
      <c r="DV204" s="144">
        <f ca="1">IF($G204-Control!$C$107&lt;=0, 0, 0.83*LN(MAX($G204, 3))-0.8924)</f>
        <v>0</v>
      </c>
      <c r="DW204" s="144" t="e">
        <f t="shared" ca="1" si="721"/>
        <v>#N/A</v>
      </c>
      <c r="DX204" s="150" t="e">
        <f ca="1">MAX(0.01*(1+$CU204/Control!$C$102),0.05*($DK204-Control!$C$97)/Control!$C$97)</f>
        <v>#N/A</v>
      </c>
      <c r="DY204" s="151" t="e">
        <f ca="1">IF(Control!$C$114=1, $DI204*$FS204, 0)</f>
        <v>#N/A</v>
      </c>
      <c r="DZ204" s="196" t="e">
        <f t="shared" ca="1" si="845"/>
        <v>#N/A</v>
      </c>
      <c r="EA204" s="152">
        <f t="shared" ca="1" si="846"/>
        <v>200</v>
      </c>
      <c r="EB204" s="153" t="e">
        <f t="shared" ca="1" si="847"/>
        <v>#N/A</v>
      </c>
      <c r="EC204" s="153" t="e">
        <f t="shared" ca="1" si="848"/>
        <v>#N/A</v>
      </c>
      <c r="ED204" s="154" t="e">
        <f ca="1">IF(Control!$C$114=1, $HM204*$FY204-$FD204, 0)</f>
        <v>#DIV/0!</v>
      </c>
      <c r="EE204" s="155" t="e">
        <f ca="1">IF(Control!$C$114=1, $HM204*$FZ204-$FF204, 0)</f>
        <v>#DIV/0!</v>
      </c>
      <c r="EF204" s="153" t="e">
        <f t="shared" ca="1" si="902"/>
        <v>#N/A</v>
      </c>
      <c r="EG204" s="155" t="e">
        <f ca="1">IF(Control!$C$114=1, $GX204*$FW204-$FI204, 0)</f>
        <v>#DIV/0!</v>
      </c>
      <c r="EH204" s="153" t="e">
        <f t="shared" ca="1" si="849"/>
        <v>#N/A</v>
      </c>
      <c r="EI204" s="156" t="e">
        <f t="shared" ca="1" si="850"/>
        <v>#N/A</v>
      </c>
      <c r="EJ204" s="155" t="e">
        <f ca="1">IF(Control!$C$114=1, $HM204*$GB204, 0)</f>
        <v>#DIV/0!</v>
      </c>
      <c r="EK204" s="153" t="e">
        <f t="shared" ca="1" si="903"/>
        <v>#N/A</v>
      </c>
      <c r="EL204" s="153" t="e">
        <f t="shared" ca="1" si="722"/>
        <v>#N/A</v>
      </c>
      <c r="EM204" s="153" t="e">
        <f t="shared" ca="1" si="723"/>
        <v>#N/A</v>
      </c>
      <c r="EN204" s="153" t="e">
        <f ca="1">IF(Control!$C$108=1,IF(AND(Control!$B$18=1,$EB204&gt;=Control!$B$19),$EB204-$DS204,IF(AND(Control!$B$18=2,$AW204=1,$EB204&gt;$DS204),$EB204-$DS204,0)))</f>
        <v>#N/A</v>
      </c>
      <c r="EO204" s="153" t="e">
        <f ca="1">IF(Control!$C$108=1,IF(AND(Control!$B$18=1,$EB204&gt;=Control!$B$19),$EF204,IF(AND(Control!$B$18=2,$AW204=1),$EF204,0)))</f>
        <v>#N/A</v>
      </c>
      <c r="EP204" s="153" t="e">
        <f ca="1">IF(Control!$C$108=1,IF(AND(Control!$B$18=1,$EB204&gt;=Control!$B$19),$EK204,IF(AND(Control!$B$18=2,$AW204=1),$EK204,0)))</f>
        <v>#N/A</v>
      </c>
      <c r="EQ204" s="153" t="e">
        <f t="shared" ca="1" si="851"/>
        <v>#N/A</v>
      </c>
      <c r="ER204" s="153" t="e">
        <f t="shared" ca="1" si="852"/>
        <v>#N/A</v>
      </c>
      <c r="ES204" s="153" t="e">
        <f t="shared" ca="1" si="904"/>
        <v>#N/A</v>
      </c>
      <c r="ET204" s="153" t="e">
        <f t="shared" ca="1" si="905"/>
        <v>#N/A</v>
      </c>
      <c r="EU204" s="153" t="e">
        <f t="shared" ca="1" si="853"/>
        <v>#N/A</v>
      </c>
      <c r="EV204" s="153" t="e">
        <f t="shared" ca="1" si="724"/>
        <v>#N/A</v>
      </c>
      <c r="EW204" s="153" t="e">
        <f t="shared" ca="1" si="725"/>
        <v>#N/A</v>
      </c>
      <c r="EX204" s="153" t="e">
        <f t="shared" ca="1" si="726"/>
        <v>#N/A</v>
      </c>
      <c r="EY204" s="157" t="e">
        <f t="shared" ca="1" si="727"/>
        <v>#DIV/0!</v>
      </c>
      <c r="EZ204" s="154" t="e">
        <f t="shared" ca="1" si="728"/>
        <v>#DIV/0!</v>
      </c>
      <c r="FA204" s="153" t="e">
        <f t="shared" ca="1" si="854"/>
        <v>#N/A</v>
      </c>
      <c r="FB204" s="153" t="e">
        <f t="shared" ca="1" si="729"/>
        <v>#N/A</v>
      </c>
      <c r="FC204" s="193" t="e">
        <f t="shared" ca="1" si="730"/>
        <v>#N/A</v>
      </c>
      <c r="FD204" s="158" t="e">
        <f t="shared" ca="1" si="855"/>
        <v>#N/A</v>
      </c>
      <c r="FE204" s="158" t="e">
        <f t="shared" ca="1" si="856"/>
        <v>#N/A</v>
      </c>
      <c r="FF204" s="159" t="e">
        <f t="shared" ca="1" si="731"/>
        <v>#N/A</v>
      </c>
      <c r="FG204" s="160" t="e">
        <f t="shared" ca="1" si="857"/>
        <v>#N/A</v>
      </c>
      <c r="FH204" s="158" t="e">
        <f t="shared" ca="1" si="858"/>
        <v>#N/A</v>
      </c>
      <c r="FI204" s="159" t="e">
        <f t="shared" ca="1" si="732"/>
        <v>#N/A</v>
      </c>
      <c r="FJ204" s="160" t="e">
        <f t="shared" ca="1" si="859"/>
        <v>#N/A</v>
      </c>
      <c r="FK204" s="160" t="e">
        <f t="shared" ca="1" si="733"/>
        <v>#N/A</v>
      </c>
      <c r="FL204" s="160" t="e">
        <f t="shared" ca="1" si="906"/>
        <v>#N/A</v>
      </c>
      <c r="FM204" s="160" t="e">
        <f t="shared" ca="1" si="734"/>
        <v>#N/A</v>
      </c>
      <c r="FN204" s="158">
        <f t="shared" ca="1" si="860"/>
        <v>0.01</v>
      </c>
      <c r="FO204" s="160">
        <f>Control!$C$101</f>
        <v>50</v>
      </c>
      <c r="FP204" s="150" t="e">
        <f t="shared" ca="1" si="735"/>
        <v>#N/A</v>
      </c>
      <c r="FQ204" s="150" t="e">
        <f ca="1">MAX(0,(Control!$C$112*(($DK204-Control!$C$97)/Control!$C$97)))</f>
        <v>#N/A</v>
      </c>
      <c r="FR204" s="150" t="e">
        <f ca="1">(1-$NT204)*Control!$C$113</f>
        <v>#DIV/0!</v>
      </c>
      <c r="FS204" s="198" t="e">
        <f t="shared" ca="1" si="736"/>
        <v>#N/A</v>
      </c>
      <c r="FT204" s="161">
        <f t="shared" ca="1" si="861"/>
        <v>200</v>
      </c>
      <c r="FU204" s="162" t="e">
        <f ca="1">IF(Control!$B$34=1,VLOOKUP($CP204,Control!$B$86:$G$91,6),Control!$B$35)</f>
        <v>#N/A</v>
      </c>
      <c r="FV204" s="162" t="e">
        <f t="shared" ca="1" si="737"/>
        <v>#DIV/0!</v>
      </c>
      <c r="FW204" s="162" t="e">
        <f ca="1">IF(Control!$B$31=1,$FU204*$FV204,  $FU204)</f>
        <v>#N/A</v>
      </c>
      <c r="FX204" s="162" t="e">
        <f ca="1">IF(Control!$B$34=1,VLOOKUP($CP204,Control!$B$86:$G$91,3),Control!$B$36)</f>
        <v>#N/A</v>
      </c>
      <c r="FY204" s="162" t="e">
        <f t="shared" ca="1" si="738"/>
        <v>#N/A</v>
      </c>
      <c r="FZ204" s="162" t="e">
        <f ca="1">IF(Control!$B$34=1,VLOOKUP($CP204,Control!$B$86:$G$91,4),Control!$B$37)</f>
        <v>#N/A</v>
      </c>
      <c r="GA204" s="162" t="e">
        <f t="shared" ca="1" si="739"/>
        <v>#N/A</v>
      </c>
      <c r="GB204" s="162" t="e">
        <f ca="1">IF(Control!$B$34=1,VLOOKUP($CP204,Control!$B$86:$G$91,5),Control!$B$38)</f>
        <v>#N/A</v>
      </c>
      <c r="GC204" s="162" t="e">
        <f t="shared" ca="1" si="862"/>
        <v>#N/A</v>
      </c>
      <c r="GD204" s="162">
        <f t="shared" ca="1" si="740"/>
        <v>1</v>
      </c>
      <c r="GE204" s="162">
        <f t="shared" ca="1" si="741"/>
        <v>1</v>
      </c>
      <c r="GF204" s="162">
        <f ca="1">IF(AND(Control!$C$104=1, Control!$C$62="F"),$GE204,1)</f>
        <v>1</v>
      </c>
      <c r="GG204" s="162" t="e">
        <f ca="1">IF(Control!$B$16=40,0,IF(AND(Control!$B$16&gt;40,Control!$B$16&lt;=360),(Control!$B$16-40)*((1-0)/(360-40)),IF(AND(Control!$B$16&gt;360,Control!$B$16&lt;=720),(1+(Control!$B$16-360)*((1.25-1)/(720-360))),IF(AND(Control!$B$16&gt;720,Control!$B$16&lt;=1000),(1.25+(Control!$B$16-720)*((1.35-1.25)/(1000-720))),IF(AND(Control!$B$16&gt;1000,Control!$B$16&lt;=2000),(1.35+(Control!$B$16-1000)*0))))))</f>
        <v>#N/A</v>
      </c>
      <c r="GH204" s="162" t="e">
        <f t="shared" ca="1" si="742"/>
        <v>#N/A</v>
      </c>
      <c r="GI204" s="162">
        <f t="shared" ca="1" si="863"/>
        <v>0</v>
      </c>
      <c r="GJ204" s="162">
        <f t="shared" ca="1" si="743"/>
        <v>0</v>
      </c>
      <c r="GK204" s="162">
        <f t="shared" ca="1" si="864"/>
        <v>1</v>
      </c>
      <c r="GL204" s="162">
        <f t="shared" ca="1" si="744"/>
        <v>1</v>
      </c>
      <c r="GM204" s="162" t="e">
        <f ca="1">MAX(0,MIN(1,1-Control!$C$156*(1.0001-$KH204)^2))</f>
        <v>#N/A</v>
      </c>
      <c r="GN204" s="162" t="e">
        <f ca="1">IF(Control!$B$26=1,$KU204,$KX204)</f>
        <v>#N/A</v>
      </c>
      <c r="GO204" s="162" t="e">
        <f ca="1">IF($CP204&lt;=60,Control!$C$105,IF($CP204&gt;=90,Control!$C$106,Control!$C$105+($CP204-60)*((Control!$C$106-Control!$C$105)/(90-60))))</f>
        <v>#N/A</v>
      </c>
      <c r="GP204" s="162" t="e">
        <f t="shared" ca="1" si="745"/>
        <v>#N/A</v>
      </c>
      <c r="GQ204" s="162" t="e">
        <f t="shared" ca="1" si="865"/>
        <v>#N/A</v>
      </c>
      <c r="GR204" s="163" t="e">
        <f t="shared" ca="1" si="746"/>
        <v>#DIV/0!</v>
      </c>
      <c r="GS204" s="162" t="e">
        <f t="shared" ca="1" si="747"/>
        <v>#DIV/0!</v>
      </c>
      <c r="GT204" s="164" t="e">
        <f t="shared" ca="1" si="866"/>
        <v>#N/A</v>
      </c>
      <c r="GU204" s="162" t="e">
        <f t="shared" ca="1" si="867"/>
        <v>#N/A</v>
      </c>
      <c r="GV204" s="162" t="e">
        <f t="shared" ca="1" si="748"/>
        <v>#N/A</v>
      </c>
      <c r="GW204" s="162" t="e">
        <f t="shared" ca="1" si="749"/>
        <v>#DIV/0!</v>
      </c>
      <c r="GX204" s="162" t="e">
        <f t="shared" ca="1" si="868"/>
        <v>#DIV/0!</v>
      </c>
      <c r="GY204" s="162" t="e">
        <f t="shared" ca="1" si="869"/>
        <v>#DIV/0!</v>
      </c>
      <c r="GZ204" s="165" t="e">
        <f t="shared" ca="1" si="750"/>
        <v>#N/A</v>
      </c>
      <c r="HA204" s="162" t="e">
        <f ca="1">IF(Control!$C$114=1, $DI204*$FS204, 0)</f>
        <v>#N/A</v>
      </c>
      <c r="HB204" s="162" t="e">
        <f ca="1">$FA204/Control!$C$64</f>
        <v>#N/A</v>
      </c>
      <c r="HC204" s="162" t="e">
        <f t="shared" ca="1" si="751"/>
        <v>#DIV/0!</v>
      </c>
      <c r="HD204" s="162">
        <f ca="1">-ASIN(SIN(23.45*Control!$C$139)*COS(2*Control!$C$138*($AH204+10)/365))</f>
        <v>0.36204189823295713</v>
      </c>
      <c r="HE204" s="165">
        <f t="shared" ca="1" si="870"/>
        <v>0</v>
      </c>
      <c r="HF204" s="166">
        <f ca="1">IF(AND(Control!$C$61="T",$HE204&gt;=Control!$C$103,Control!$C$114=0),$AH204,Control!$C$59)</f>
        <v>1</v>
      </c>
      <c r="HG204" s="166">
        <f ca="1">IF(AND(Control!$C$61="T",$HE204&gt;=Control!$C$103,Control!$C$114=0),$HF204,Control!$C$59)</f>
        <v>1</v>
      </c>
      <c r="HH204" s="165">
        <f ca="1">IF(AND(OR(Control!$C$60&lt;=0, $AH204= Control!$C$59, Control!$C$60 &gt;0, $AH204 = Control!$C$60)), Control!$C$59, IF(Control!$C$60&gt;0, 0))</f>
        <v>1</v>
      </c>
      <c r="HI204" s="165">
        <f ca="1">IF(AND(OR(Control!$C$60&lt;=0, $AH204= Control!$C$59, Control!$C$60 &gt;0, $AH204 = Control!$C$60)), Control!$C$60, IF(Control!$C$60&lt;=0, 0))</f>
        <v>0</v>
      </c>
      <c r="HJ204" s="166">
        <f ca="1">IF(AND(Control!$C$62="F",$CV204&gt;=Control!$C$102),$AH204,0)</f>
        <v>0</v>
      </c>
      <c r="HK204" s="165" t="e">
        <f t="shared" ca="1" si="907"/>
        <v>#N/A</v>
      </c>
      <c r="HL204" s="166">
        <f ca="1">IF(AND(Control!$C$61="T",$HE204&gt;=Control!$C$103,Control!$C$114=0),$HF204,0)</f>
        <v>0</v>
      </c>
      <c r="HM204" s="201" t="e">
        <f t="shared" ca="1" si="752"/>
        <v>#DIV/0!</v>
      </c>
      <c r="HN204" s="215">
        <f t="shared" ca="1" si="871"/>
        <v>200</v>
      </c>
      <c r="HO204" s="216" t="e">
        <f ca="1">IF(AND($CP204&gt;=0, $CP204&lt;=90), Control!$C$152, Control!$C$152)</f>
        <v>#N/A</v>
      </c>
      <c r="HP204" s="216" t="e">
        <f t="shared" ca="1" si="753"/>
        <v>#N/A</v>
      </c>
      <c r="HQ204" s="217" t="e">
        <f ca="1">IF(OR(Control!$B$26=1,Control!$B$26=2),$KV204,$KS204)</f>
        <v>#DIV/0!</v>
      </c>
      <c r="HR204" s="218" t="e">
        <f t="shared" ca="1" si="908"/>
        <v>#DIV/0!</v>
      </c>
      <c r="HS204" s="216" t="e">
        <f ca="1">Control!$C$154*$HP204</f>
        <v>#N/A</v>
      </c>
      <c r="HT204" s="216" t="e">
        <f ca="1">Control!$C$155*$HP204</f>
        <v>#N/A</v>
      </c>
      <c r="HU204" s="217" t="e">
        <f ca="1">Control!$C$161*$FI204</f>
        <v>#N/A</v>
      </c>
      <c r="HV204" s="218" t="e">
        <f t="shared" ca="1" si="872"/>
        <v>#N/A</v>
      </c>
      <c r="HW204" s="218" t="e">
        <f ca="1">Control!$C$160*$FF204+$IP204*$EO204</f>
        <v>#N/A</v>
      </c>
      <c r="HX204" s="218" t="e">
        <f t="shared" ca="1" si="909"/>
        <v>#N/A</v>
      </c>
      <c r="HY204" s="219" t="e">
        <f ca="1">IF(Control!$C$114=1, $EB204*$FS204, 0)</f>
        <v>#N/A</v>
      </c>
      <c r="HZ204" s="91" t="e">
        <f t="shared" ca="1" si="754"/>
        <v>#N/A</v>
      </c>
      <c r="IA204" s="220" t="e">
        <f ca="1">Control!$C$153*$HO204</f>
        <v>#N/A</v>
      </c>
      <c r="IB204" s="218" t="e">
        <f t="shared" ca="1" si="755"/>
        <v>#N/A</v>
      </c>
      <c r="IC204" s="220" t="e">
        <f ca="1">Control!$C$153*$HT204</f>
        <v>#N/A</v>
      </c>
      <c r="ID204" s="218" t="e">
        <f t="shared" ca="1" si="756"/>
        <v>#N/A</v>
      </c>
      <c r="IE204" s="221" t="e">
        <f ca="1">($EB204*Control!$C$159+$EF204*Control!$C$160)/(IF($GZ204&lt;&gt;0,$GZ204,1))</f>
        <v>#N/A</v>
      </c>
      <c r="IF204" s="216" t="e">
        <f t="shared" ca="1" si="757"/>
        <v>#N/A</v>
      </c>
      <c r="IG204" s="91">
        <f ca="1">IF(OR(Control!$B$198=$AH204,Control!$B$199=$AH204, Control!$B$200=$AH204, Control!$B$201=$AH204, Control!$B$202=$AH204, Control!$B$203=$AH204, Control!$B$204=$AH204, Control!$B$205=$AH204, Control!$B$206=$AH204, Control!$B$207=$AH204), 1, 0)</f>
        <v>0</v>
      </c>
      <c r="IH204" s="91">
        <f ca="1">IF($IG204=0,0, VLOOKUP($AH204,Control!$B$198:$C$207,2))</f>
        <v>0</v>
      </c>
      <c r="II204" s="222">
        <f t="shared" ca="1" si="873"/>
        <v>0</v>
      </c>
      <c r="IJ204" s="91">
        <f>Control!$C$121</f>
        <v>0.7</v>
      </c>
      <c r="IK204" s="218">
        <f t="shared" ca="1" si="758"/>
        <v>0</v>
      </c>
      <c r="IL204" s="217" t="e">
        <f t="shared" ca="1" si="910"/>
        <v>#N/A</v>
      </c>
      <c r="IM204" s="223" t="e">
        <f ca="1">IF(AND(Control!$C$114=1,$KH204&lt;1),$EB204*Control!$C$148*(1-$KH204), 0)</f>
        <v>#N/A</v>
      </c>
      <c r="IN204" s="217" t="e">
        <f t="shared" ca="1" si="759"/>
        <v>#DIV/0!</v>
      </c>
      <c r="IO204" s="91" t="e">
        <f ca="1">MAX(0,$IL204-$EF204*Control!$C$160)</f>
        <v>#N/A</v>
      </c>
      <c r="IP204" s="220" t="e">
        <f t="shared" ca="1" si="760"/>
        <v>#N/A</v>
      </c>
      <c r="IQ204" s="217" t="e">
        <f t="shared" ca="1" si="874"/>
        <v>#N/A</v>
      </c>
      <c r="IR204" s="218" t="e">
        <f t="shared" ca="1" si="761"/>
        <v>#N/A</v>
      </c>
      <c r="IS204" s="217" t="e">
        <f ca="1">Control!$C$159*MAX(0,$FD204-$EN204)</f>
        <v>#N/A</v>
      </c>
      <c r="IT204" s="217" t="e">
        <f t="shared" ca="1" si="911"/>
        <v>#N/A</v>
      </c>
      <c r="IU204" s="217" t="e">
        <f t="shared" ca="1" si="875"/>
        <v>#N/A</v>
      </c>
      <c r="IV204" s="217" t="e">
        <f t="shared" ca="1" si="912"/>
        <v>#N/A</v>
      </c>
      <c r="IW204" s="217" t="e">
        <f ca="1">IF(OR($AW204=1,AND($AW204=0, Control!$B$18=1,$EN204&lt;&gt;0)), $IQ204-$IU204, $IQ204)</f>
        <v>#N/A</v>
      </c>
      <c r="IX204" s="218" t="e">
        <f t="shared" ca="1" si="762"/>
        <v>#N/A</v>
      </c>
      <c r="IY204" s="218" t="e">
        <f ca="1">MAX(0,$IQ204-$EB204*Control!$C$159)</f>
        <v>#N/A</v>
      </c>
      <c r="IZ204" s="218" t="e">
        <f t="shared" ca="1" si="763"/>
        <v>#N/A</v>
      </c>
      <c r="JA204" s="216" t="e">
        <f t="shared" ca="1" si="764"/>
        <v>#N/A</v>
      </c>
      <c r="JB204" s="217" t="e">
        <f t="shared" ca="1" si="765"/>
        <v>#N/A</v>
      </c>
      <c r="JC204" s="222" t="e">
        <f ca="1">MAX(Control!$C$157*$EK204-$JT204, 0)/Control!$C$162</f>
        <v>#N/A</v>
      </c>
      <c r="JD204" s="218" t="e">
        <f t="shared" ca="1" si="766"/>
        <v>#N/A</v>
      </c>
      <c r="JE204" s="218" t="e">
        <f t="shared" ca="1" si="767"/>
        <v>#N/A</v>
      </c>
      <c r="JF204" s="218" t="e">
        <f t="shared" ca="1" si="876"/>
        <v>#N/A</v>
      </c>
      <c r="JG204" s="218" t="e">
        <f t="shared" ca="1" si="768"/>
        <v>#N/A</v>
      </c>
      <c r="JH204" s="217" t="e">
        <f t="shared" ca="1" si="877"/>
        <v>#N/A</v>
      </c>
      <c r="JI204" s="217" t="e">
        <f t="shared" ca="1" si="878"/>
        <v>#N/A</v>
      </c>
      <c r="JJ204" s="217" t="e">
        <f t="shared" ca="1" si="913"/>
        <v>#N/A</v>
      </c>
      <c r="JK204" s="217" t="e">
        <f ca="1">IF(Control!$C$114=1,IF(Control!$B$24=0,MAX(0,$JI204)*$GN204/Control!$C$64,(MAX(0,MIN($JI204,$JJ204*$GN204/Control!$C$64),0))))</f>
        <v>#N/A</v>
      </c>
      <c r="JL204" s="217" t="e">
        <f ca="1">$IK204/Control!$C$64-$JK204+$HQ204</f>
        <v>#N/A</v>
      </c>
      <c r="JM204" s="217" t="e">
        <f ca="1">IF(Control!$C$114=1,($JB204/(IF($JI204&lt;&gt;0,$JI204,1)))*$JK204,0)</f>
        <v>#N/A</v>
      </c>
      <c r="JN204" s="217" t="e">
        <f ca="1">IF(Control!$C$114=1,($JG204/(IF($JI204&lt;&gt;0,$JI204,1)))*$JK204, 0)</f>
        <v>#N/A</v>
      </c>
      <c r="JO204" s="218" t="e">
        <f t="shared" ca="1" si="769"/>
        <v>#N/A</v>
      </c>
      <c r="JP204" s="218" t="e">
        <f ca="1">MIN(($IY204+$IO204)*Control!$C$151, $JF204-$EH204*Control!$C$161)</f>
        <v>#N/A</v>
      </c>
      <c r="JQ204" s="218" t="e">
        <f t="shared" ca="1" si="770"/>
        <v>#N/A</v>
      </c>
      <c r="JR204" s="217" t="e">
        <f ca="1">IF($CP204-Control!$C$150&lt;0, 0, $JQ204/Control!$C$162)</f>
        <v>#N/A</v>
      </c>
      <c r="JS204" s="218" t="e">
        <f t="shared" ca="1" si="771"/>
        <v>#N/A</v>
      </c>
      <c r="JT204" s="218" t="e">
        <f t="shared" ca="1" si="879"/>
        <v>#N/A</v>
      </c>
      <c r="JU204" s="218" t="e">
        <f t="shared" ca="1" si="772"/>
        <v>#N/A</v>
      </c>
      <c r="JV204" s="218" t="e">
        <f t="shared" ca="1" si="773"/>
        <v>#N/A</v>
      </c>
      <c r="JW204" s="216" t="e">
        <f t="shared" ca="1" si="774"/>
        <v>#N/A</v>
      </c>
      <c r="JX204" s="91" t="e">
        <f t="shared" ca="1" si="775"/>
        <v>#N/A</v>
      </c>
      <c r="JY204" s="218" t="e">
        <f t="shared" ca="1" si="776"/>
        <v>#N/A</v>
      </c>
      <c r="JZ204" s="217" t="e">
        <f ca="1">IF(Control!$C$114=1,($IZ204/(IF($JI204&lt;&gt;0,$JI204,1)))*$JK204, 0)</f>
        <v>#N/A</v>
      </c>
      <c r="KA204" s="218" t="e">
        <f t="shared" ca="1" si="914"/>
        <v>#N/A</v>
      </c>
      <c r="KB204" s="218" t="e">
        <f t="shared" ca="1" si="880"/>
        <v>#N/A</v>
      </c>
      <c r="KC204" s="218" t="e">
        <f t="shared" ca="1" si="777"/>
        <v>#N/A</v>
      </c>
      <c r="KD204" s="218" t="e">
        <f t="shared" ca="1" si="778"/>
        <v>#N/A</v>
      </c>
      <c r="KE204" s="218" t="e">
        <f t="shared" ca="1" si="779"/>
        <v>#N/A</v>
      </c>
      <c r="KF204" s="218" t="e">
        <f t="shared" ca="1" si="780"/>
        <v>#N/A</v>
      </c>
      <c r="KG204" s="216" t="e">
        <f t="shared" ca="1" si="781"/>
        <v>#N/A</v>
      </c>
      <c r="KH204" s="221" t="e">
        <f ca="1">IF(Control!$B$24=0,1,MAX(0.001,MIN(1,IF(($IF204-$IE204)&lt;&gt;0,($KG204-$IE204)/($IF204-$IE204),1))))</f>
        <v>#N/A</v>
      </c>
      <c r="KI204" s="222" t="e">
        <f ca="1">IF(Control!$C$114=1, $KI203+ $KH203, 0)</f>
        <v>#N/A</v>
      </c>
      <c r="KJ204" s="217" t="e">
        <f t="shared" ca="1" si="782"/>
        <v>#N/A</v>
      </c>
      <c r="KK204" s="218" t="e">
        <f t="shared" ca="1" si="783"/>
        <v>#N/A</v>
      </c>
      <c r="KL204" s="274" t="e">
        <f ca="1">IF(Control!$B$26=3,4000000000*EXP(-8400/($G204+273)),IF(Control!$B$26=4,4000000000*EXP(-8400/($G204+273))*($KT204),0))</f>
        <v>#DIV/0!</v>
      </c>
      <c r="KM204" s="274" t="e">
        <f ca="1">IF(Control!$B$26=3,5600000000000*EXP(-9800/($G204+273)),IF(Control!$B$26=4,5600000000000*EXP(-9800/($G204+273))*$KT204,0))</f>
        <v>#DIV/0!</v>
      </c>
      <c r="KN204" s="454" t="e">
        <f t="shared" ca="1" si="881"/>
        <v>#DIV/0!</v>
      </c>
      <c r="KO204" s="274" t="e">
        <f t="shared" ca="1" si="882"/>
        <v>#DIV/0!</v>
      </c>
      <c r="KP204" s="454" t="e">
        <f t="shared" ca="1" si="784"/>
        <v>#DIV/0!</v>
      </c>
      <c r="KQ204" s="454" t="e">
        <f t="shared" ca="1" si="785"/>
        <v>#DIV/0!</v>
      </c>
      <c r="KR204" s="454" t="e">
        <f t="shared" ca="1" si="786"/>
        <v>#DIV/0!</v>
      </c>
      <c r="KS204" s="454" t="e">
        <f t="shared" ca="1" si="787"/>
        <v>#DIV/0!</v>
      </c>
      <c r="KT204" s="455" t="e">
        <f t="shared" ca="1" si="788"/>
        <v>#DIV/0!</v>
      </c>
      <c r="KU204" s="456" t="e">
        <f ca="1">IF($CP204-Control!$C$149&lt;0, IF($NT204-0.01&lt;0,0,1),0)</f>
        <v>#N/A</v>
      </c>
      <c r="KV204" s="456" t="e">
        <f ca="1">IF(Control!$C$114=1,MAX(0,MIN(Control!$C$125*$KW204*$GN204,$KW204)))</f>
        <v>#DIV/0!</v>
      </c>
      <c r="KW204" s="456" t="e">
        <f t="shared" ca="1" si="915"/>
        <v>#DIV/0!</v>
      </c>
      <c r="KX204" s="457" t="e">
        <f ca="1">IF($CP204-Control!$C$149&lt;0, IF($MR204-$OM204&lt;0,0,1),0)</f>
        <v>#N/A</v>
      </c>
      <c r="KY204" s="167">
        <f t="shared" ca="1" si="883"/>
        <v>200</v>
      </c>
      <c r="KZ204" s="168">
        <f ca="1">1370*(1+0.033*COS(2*Control!$C$138*$AH204/365))</f>
        <v>1326.8260610117479</v>
      </c>
      <c r="LA204" s="169">
        <f t="shared" ca="1" si="884"/>
        <v>0.96848609708977662</v>
      </c>
      <c r="LB204" s="169">
        <f t="shared" ca="1" si="885"/>
        <v>0.36239394256248464</v>
      </c>
      <c r="LC204" s="169">
        <f ca="1">ACOS(-TAN((2*Control!$B$8/360))*TAN(Calculations!$LB204))</f>
        <v>1.6837172828019862</v>
      </c>
      <c r="LD204" s="169">
        <f ca="1">((24*60)/PI())*0.082*$LA204*(($LC204*SIN(Control!$B$8*2*PI()/360))*SIN($LB204)+COS(Control!$B$8*2*PI()/360)*COS($LB204)*SIN($LC204))</f>
        <v>37.943980706291335</v>
      </c>
      <c r="LE204" s="170">
        <f t="shared" ca="1" si="789"/>
        <v>39.330323627406322</v>
      </c>
      <c r="LF204" s="170">
        <f ca="1">SIN(Control!$C$139*Control!$B$8)*SIN($HD204)</f>
        <v>0.27910166041241857</v>
      </c>
      <c r="LG204" s="170">
        <f ca="1">COS(Control!$C$139*Control!$B$8)*COS($HD204)</f>
        <v>0.57575000405719801</v>
      </c>
      <c r="LH204" s="170">
        <f ca="1">12*(1+2*ASIN(MAX(-1,MIN(1,$LF204/$LG204))/Control!$C$138))</f>
        <v>15.71815490057956</v>
      </c>
      <c r="LI204" s="170">
        <f ca="1">12*(1+2*ASIN(MAX(-1,MIN(1,(-SIN(-4*Control!$C$139)+$LF204)/$LG204))/Control!$C$138))</f>
        <v>16.658064445896287</v>
      </c>
      <c r="LJ204" s="168">
        <f ca="1">3600*($LH204*$LF204+24*$LG204*SQRT(1-$LK204*$LK204)/Control!$C$138)</f>
        <v>29642.411151779514</v>
      </c>
      <c r="LK204" s="170">
        <f t="shared" ca="1" si="790"/>
        <v>0.48476189048309787</v>
      </c>
      <c r="LL204" s="170">
        <f t="shared" ca="1" si="791"/>
        <v>0</v>
      </c>
      <c r="LM204" s="171">
        <f ca="1">Control!$C$145*$AB204</f>
        <v>6.6660906138995932E-2</v>
      </c>
      <c r="LN204" s="170">
        <f t="shared" ca="1" si="886"/>
        <v>0.54</v>
      </c>
      <c r="LO204" s="170">
        <f t="shared" ca="1" si="792"/>
        <v>0</v>
      </c>
      <c r="LP204" s="170">
        <f ca="1">Control!$C$140*((($D204+273.16)^4+($E204+273.16)^4)/2)*(0.34-0.14*SQRT($Y204))*(1.35*$AQ204/(0.75*$LD204)-0.35)</f>
        <v>-3.2464704755046001</v>
      </c>
      <c r="LQ204" s="170">
        <f ca="1">Control!$C$140*($G204+273)^4*(0.56-0.079*SQRT($Y204*10))*(0.1+0.9*$LO204)</f>
        <v>1.5241745131704001</v>
      </c>
      <c r="LR204" s="170">
        <f ca="1">$AQ204*(1-Control!$C$142)-$LQ204</f>
        <v>-1.5241745131704001</v>
      </c>
      <c r="LS204" s="170">
        <f ca="1">$AQ204*(1-Control!$C$143)-$LQ204</f>
        <v>-1.5241745131704001</v>
      </c>
      <c r="LT204" s="170">
        <f ca="1">$AQ204*(1-Control!$C$144)-$LQ204</f>
        <v>-1.5241745131704001</v>
      </c>
      <c r="LU204" s="169">
        <f ca="1">(1-Control!$C$144)*AQ204-LP204</f>
        <v>3.2464704755046001</v>
      </c>
      <c r="LV204" s="172">
        <f t="shared" ca="1" si="793"/>
        <v>0.79430000000000012</v>
      </c>
      <c r="LW204" s="170">
        <f t="shared" ca="1" si="794"/>
        <v>1.5886000000000002</v>
      </c>
      <c r="LX204" s="170">
        <f ca="1">($AC204*($LR204/Control!$C$141)+$LM204*$LV204)/($AC204+$LM204)</f>
        <v>0.23530094218323697</v>
      </c>
      <c r="LY204" s="170">
        <f ca="1">($AC204*($LS204/Control!$C$141)+$LM204*$LV204)/($AC204+$LM204)</f>
        <v>0.23530094218323697</v>
      </c>
      <c r="LZ204" s="170">
        <f t="shared" ca="1" si="795"/>
        <v>0.23530094218323697</v>
      </c>
      <c r="MA204" s="170">
        <f t="shared" ca="1" si="796"/>
        <v>0.23530094218323697</v>
      </c>
      <c r="MB204" s="170" t="e">
        <f t="shared" ca="1" si="797"/>
        <v>#N/A</v>
      </c>
      <c r="MC204" s="170">
        <f t="shared" ca="1" si="887"/>
        <v>0.6018</v>
      </c>
      <c r="MD204" s="170">
        <f t="shared" ca="1" si="798"/>
        <v>0.52989392535414004</v>
      </c>
      <c r="ME204" s="170">
        <f ca="1">($AC204*($LT204/Control!$C$141)+$LM204*$LW204)/($AC204+$LM204)</f>
        <v>0.71612369323045078</v>
      </c>
      <c r="MF204" s="170" t="e">
        <f ca="1">IF(Control!$B$16&gt;=1000,0.92,IF(AND(720&lt;=Control!$B$16,1000&gt;Control!$B$16),(0.95+(Control!$B$16-720)*((0.92-0.95)/(1000-720))),IF(AND(360&lt;=Control!$B$16,720&gt;Control!$B$16),(1+(Control!$B$16-360)*((0.95-1)/(720-360))),IF(AND(40&lt;=Control!$B$16,360&gt;Control!$B$16),(1.05+(Control!$B$16-40)*((1.05-1)/(360-40)))))))</f>
        <v>#N/A</v>
      </c>
      <c r="MG204" s="170">
        <f t="shared" ca="1" si="799"/>
        <v>0.71612369323045078</v>
      </c>
      <c r="MH204" s="170" t="e">
        <f t="shared" ca="1" si="695"/>
        <v>#N/A</v>
      </c>
      <c r="MI204" s="170" t="e">
        <f t="shared" ca="1" si="695"/>
        <v>#N/A</v>
      </c>
      <c r="MJ204" s="170" t="e">
        <f ca="1">MAX(0.0001, Control!$C$132*$MI204*$DL204)</f>
        <v>#N/A</v>
      </c>
      <c r="MK204" s="170">
        <f ca="1">1/(0.76+1.5*($MG204/10))-(5-Control!$C$110)*0.1</f>
        <v>1.002845988140797</v>
      </c>
      <c r="ML204" s="173">
        <f ca="1">IF(Control!$C$110&lt;3,$MK204+($MG204-0.6)/(Control!$C$110*(Control!$C$110+3)), MAX(0.1, MIN(0.95,$MK204)))</f>
        <v>0.95</v>
      </c>
      <c r="MM204" s="173">
        <f ca="1">IF(Control!$C$110&lt;3,$MK204+(($MI204/10)-0.6)/(Control!$C$110*(Control!$C$110+3)), MAX(0.1, MIN(0.95,$MK204)))</f>
        <v>0.95</v>
      </c>
      <c r="MN204" s="173">
        <f ca="1">(1-$MM204)*(Control!$C$128-Control!$C$127)+Control!$C$127</f>
        <v>0.16</v>
      </c>
      <c r="MO204" s="170" t="e">
        <f ca="1">MAX(0,MIN(1,($MS204-Control!$C$127)/($MN204-Control!$C$127)))</f>
        <v>#DIV/0!</v>
      </c>
      <c r="MP204" s="173" t="e">
        <f ca="1">1/(0.76+1.5*$MI204)-(5-Control!$C$110)*0.1</f>
        <v>#N/A</v>
      </c>
      <c r="MQ204" s="172" t="e">
        <f t="shared" ca="1" si="916"/>
        <v>#DIV/0!</v>
      </c>
      <c r="MR204" s="168" t="e">
        <f t="shared" ca="1" si="888"/>
        <v>#DIV/0!</v>
      </c>
      <c r="MS204" s="173" t="e">
        <f ca="1">MAX(Control!$C$127, MIN(Control!$C$135, $MR204/MAX(0.0001,$CY204)))</f>
        <v>#DIV/0!</v>
      </c>
      <c r="MT204" s="168" t="e">
        <f ca="1">(Control!$C$128-$MS204)*Control!$C$74</f>
        <v>#DIV/0!</v>
      </c>
      <c r="MU204" s="168" t="e">
        <f ca="1">(Control!$C$135-$MS204)*Control!$C$74</f>
        <v>#DIV/0!</v>
      </c>
      <c r="MV204" s="168" t="e">
        <f t="shared" ca="1" si="889"/>
        <v>#DIV/0!</v>
      </c>
      <c r="MW204" s="168" t="e">
        <f t="shared" ca="1" si="890"/>
        <v>#DIV/0!</v>
      </c>
      <c r="MX204" s="171" t="e">
        <f ca="1">MAX(Control!$C$127, MIN(Control!$C$135, $MW204/MAX(0.0001,Control!$C$119-$CY204)))</f>
        <v>#DIV/0!</v>
      </c>
      <c r="MY204" s="54" t="e">
        <f ca="1">IF(Control!$C$114=1, $CX204*$MX204, 0)</f>
        <v>#DIV/0!</v>
      </c>
      <c r="MZ204" s="54" t="e">
        <f t="shared" ca="1" si="891"/>
        <v>#N/A</v>
      </c>
      <c r="NA204" s="168" t="e">
        <f ca="1">(Control!$C$128-$MX204)*(Control!$C$119-Control!$C$74)</f>
        <v>#DIV/0!</v>
      </c>
      <c r="NB204" s="168" t="e">
        <f ca="1">(Control!$C$135-$MX204)*(Control!$C$119-Control!$C$74)</f>
        <v>#DIV/0!</v>
      </c>
      <c r="NC204" s="174" t="e">
        <f t="shared" ca="1" si="892"/>
        <v>#DIV/0!</v>
      </c>
      <c r="ND204" s="54">
        <f ca="1">IF(Control!$C$58=2, IF(OR(Control!$B$218=$AH204,Control!$B$219=$AH204, Control!$B$220=$AH204, Control!$B$221=$AH204, Control!$B$222=$AH204, Control!$B$223=$AH204, Control!$B$224=$AH204, Control!$B$225=$AH204, Control!$B$226=$AH204, Control!$B$227=$AH204, Control!$B$228=$AH204), 1, 0), 0)</f>
        <v>0</v>
      </c>
      <c r="NE204" s="54">
        <f ca="1">IF($ND204=0,0, VLOOKUP($AH204,Control!$B$218:$C$228,2))</f>
        <v>0</v>
      </c>
      <c r="NF204" s="168" t="e">
        <f ca="1">$CY204*(Control!$C$128-Control!$C$127)</f>
        <v>#N/A</v>
      </c>
      <c r="NG204" s="54" t="e">
        <f ca="1">IF(Control!$C$58=2, $NI203-$NJ203, 0)</f>
        <v>#DIV/0!</v>
      </c>
      <c r="NH204" s="54" t="e">
        <f ca="1">IF(AND(Control!$C$58=1, $MS203&lt;= ($MN203+0.02), $I203&lt;10), 0, IF(Control!$C$58=2, $NG203, 0))</f>
        <v>#DIV/0!</v>
      </c>
      <c r="NI204" s="54" t="e">
        <f ca="1">IF(Control!$C$58=2, $NE204+$NH204,0)</f>
        <v>#DIV/0!</v>
      </c>
      <c r="NJ204" s="54" t="e">
        <f ca="1">IF(AND(Control!$C$58=1, $MS204&lt;= ($MN204+0.02), $I204&lt;10), MAX(0, MIN(10, 0.7*($NF204-$MV204))), IF(Control!$C$58=2, MIN(10,$NI204),0))</f>
        <v>#DIV/0!</v>
      </c>
      <c r="NK204" s="54" t="e">
        <f t="shared" ca="1" si="800"/>
        <v>#DIV/0!</v>
      </c>
      <c r="NL204" s="173" t="e">
        <f ca="1">(1-Control!$C$73)*$I204+$NJ204</f>
        <v>#DIV/0!</v>
      </c>
      <c r="NM204" s="172" t="e">
        <f ca="1">IF($NL204&lt;0.5, $MB204* MAX(0, MIN(1, (SQRT($NC204)-SQRT($NC204-1))*Control!$C$71)),0)</f>
        <v>#DIV/0!</v>
      </c>
      <c r="NN204" s="170" t="e">
        <f ca="1">IF($NL204&gt;=5, $MB204, MAX(0,MIN($MB204, $NM204+$NL204,($MS204-Control!$C$129))))</f>
        <v>#DIV/0!</v>
      </c>
      <c r="NO204" s="54">
        <f>IF(Control!$C$133&lt;&gt;1, Control!$C$135-Control!$C$131, 0)</f>
        <v>0.38</v>
      </c>
      <c r="NP204" s="54" t="e">
        <f t="shared" ca="1" si="801"/>
        <v>#DIV/0!</v>
      </c>
      <c r="NQ204" s="173" t="e">
        <f ca="1">MAX(0,MIN(1,(Control!$C$135-$MS204)/(Control!$C$135-$NO204)))</f>
        <v>#DIV/0!</v>
      </c>
      <c r="NR204" s="170" t="e">
        <f ca="1">IF(Control!$C$133&lt;&gt;1, $NQ204+((1-$NP204/4)*(1-$NQ204)),1)</f>
        <v>#DIV/0!</v>
      </c>
      <c r="NS204" s="170" t="e">
        <f ca="1">IF(Control!$B$31=0,$MJ204,MAX(0,MIN($MV204,$MO204*$NR204*$MJ204)))</f>
        <v>#DIV/0!</v>
      </c>
      <c r="NT204" s="170" t="e">
        <f t="shared" ca="1" si="917"/>
        <v>#DIV/0!</v>
      </c>
      <c r="NU204" s="170" t="e">
        <f t="shared" ca="1" si="893"/>
        <v>#N/A</v>
      </c>
      <c r="NV204" s="170" t="e">
        <f t="shared" ca="1" si="802"/>
        <v>#N/A</v>
      </c>
      <c r="NW204" s="175" t="e">
        <f t="shared" ca="1" si="803"/>
        <v>#DIV/0!</v>
      </c>
      <c r="NX204" s="170" t="e">
        <f ca="1">MIN(Control!$C$72+$MU204, $NW204)</f>
        <v>#DIV/0!</v>
      </c>
      <c r="NY204" s="170" t="e">
        <f ca="1">IF($MT204&lt;=$NX204,MIN(Control!$C$72+$NB204,$NX204-$MT204),0)</f>
        <v>#DIV/0!</v>
      </c>
      <c r="NZ204" s="54" t="e">
        <f ca="1">IF(Control!$C$114=1,  $CX204*($MX204-Control!$C$127), 0)</f>
        <v>#DIV/0!</v>
      </c>
      <c r="OA204" s="170" t="e">
        <f t="shared" ca="1" si="804"/>
        <v>#DIV/0!</v>
      </c>
      <c r="OB204" s="170" t="e">
        <f ca="1">IF($NA204 &lt;=$NY204, MIN(Control!$C$72, $NY204-$NA204), 0)</f>
        <v>#DIV/0!</v>
      </c>
      <c r="OC204" s="168" t="e">
        <f t="shared" ca="1" si="805"/>
        <v>#DIV/0!</v>
      </c>
      <c r="OD204" s="168" t="e">
        <f t="shared" ca="1" si="894"/>
        <v>#DIV/0!</v>
      </c>
      <c r="OE204" s="170">
        <f ca="1">Control!$C$73*$I204</f>
        <v>0</v>
      </c>
      <c r="OF204" s="176" t="e">
        <f t="shared" ca="1" si="806"/>
        <v>#DIV/0!</v>
      </c>
      <c r="OG204" s="168" t="e">
        <f t="shared" ca="1" si="807"/>
        <v>#DIV/0!</v>
      </c>
      <c r="OH204" s="168" t="e">
        <f t="shared" ca="1" si="808"/>
        <v>#DIV/0!</v>
      </c>
      <c r="OI204" s="168" t="e">
        <f t="shared" ca="1" si="809"/>
        <v>#DIV/0!</v>
      </c>
      <c r="OJ204" s="168" t="e">
        <f t="shared" ca="1" si="810"/>
        <v>#DIV/0!</v>
      </c>
      <c r="OK204" s="204" t="e">
        <f t="shared" ca="1" si="811"/>
        <v>#DIV/0!</v>
      </c>
      <c r="OL204" s="177">
        <f>Control!$C$127</f>
        <v>0.15</v>
      </c>
      <c r="OM204" s="182" t="e">
        <f t="shared" ca="1" si="812"/>
        <v>#N/A</v>
      </c>
      <c r="ON204" s="177">
        <f>Control!$C$128</f>
        <v>0.35</v>
      </c>
      <c r="OO204" s="182" t="e">
        <f t="shared" ca="1" si="813"/>
        <v>#N/A</v>
      </c>
      <c r="OP204" s="138">
        <f t="shared" ca="1" si="895"/>
        <v>0</v>
      </c>
      <c r="OQ204" s="138" t="e">
        <f t="shared" ca="1" si="918"/>
        <v>#DIV/0!</v>
      </c>
      <c r="OR204" s="138" t="e">
        <f t="shared" ca="1" si="896"/>
        <v>#DIV/0!</v>
      </c>
      <c r="OS204" s="137" t="e">
        <f t="shared" ca="1" si="919"/>
        <v>#DIV/0!</v>
      </c>
      <c r="OT204" s="139" t="e">
        <f t="shared" ca="1" si="920"/>
        <v>#DIV/0!</v>
      </c>
      <c r="OU204" s="138" t="e">
        <f t="shared" ca="1" si="921"/>
        <v>#N/A</v>
      </c>
      <c r="OV204" s="138" t="e">
        <f t="shared" ca="1" si="922"/>
        <v>#DIV/0!</v>
      </c>
      <c r="OW204" s="138" t="e">
        <f t="shared" ca="1" si="897"/>
        <v>#DIV/0!</v>
      </c>
      <c r="OX204" s="138" t="e">
        <f t="shared" ca="1" si="898"/>
        <v>#DIV/0!</v>
      </c>
      <c r="OY204" s="138" t="e">
        <f t="shared" ca="1" si="899"/>
        <v>#DIV/0!</v>
      </c>
      <c r="OZ204" s="138" t="e">
        <f t="shared" ca="1" si="814"/>
        <v>#DIV/0!</v>
      </c>
      <c r="PA204" s="138" t="e">
        <f t="shared" ca="1" si="815"/>
        <v>#DIV/0!</v>
      </c>
      <c r="PB204" s="55">
        <f>IF(Control!$C$61="T", IF(Control!$C$65="F", IF($AH$6-Control!$C$60&lt;0,0,1), IF(365+$AH$6-Control!$C$60&lt;0,0,1)),0)</f>
        <v>0</v>
      </c>
      <c r="PC204" s="55">
        <f ca="1">IF(Control!$C$65="F", IF($AH$6-$HF204&lt;0,0,1), IF(365+$AH$6-$HF204&lt;0,0,1))</f>
        <v>1</v>
      </c>
      <c r="PD204" s="444">
        <f>Control!$C$118</f>
        <v>1500</v>
      </c>
      <c r="PE204" s="180" t="e">
        <f t="shared" ca="1" si="816"/>
        <v>#N/A</v>
      </c>
      <c r="PF204" s="445">
        <f t="shared" ca="1" si="900"/>
        <v>0.71612369323045078</v>
      </c>
      <c r="PT204" s="186"/>
      <c r="PU204" s="186"/>
      <c r="PV204" s="94"/>
      <c r="PW204" s="94"/>
      <c r="PX204" s="94"/>
      <c r="PY204" s="94"/>
      <c r="PZ204" s="94"/>
      <c r="QA204" s="94"/>
      <c r="QB204" s="94"/>
      <c r="QC204" s="94"/>
      <c r="QD204" s="94"/>
      <c r="QE204" s="94"/>
      <c r="QF204" s="94"/>
      <c r="QG204" s="94"/>
      <c r="QH204" s="94"/>
      <c r="QI204" s="94"/>
      <c r="QJ204" s="94"/>
      <c r="QK204" s="94"/>
      <c r="QL204" s="94"/>
      <c r="QM204" s="94"/>
      <c r="QN204" s="94"/>
      <c r="QO204" s="94"/>
      <c r="QP204" s="94"/>
    </row>
    <row r="205" spans="1:458" s="2" customFormat="1" x14ac:dyDescent="0.2">
      <c r="A205" s="395">
        <v>19</v>
      </c>
      <c r="B205" s="396">
        <v>7</v>
      </c>
      <c r="C205" s="387">
        <f ca="1">Weather_data!$B204</f>
        <v>0</v>
      </c>
      <c r="D205" s="388">
        <f ca="1">Weather_data!$F204</f>
        <v>0</v>
      </c>
      <c r="E205" s="388">
        <f ca="1">Weather_data!$E204</f>
        <v>0</v>
      </c>
      <c r="F205" s="388">
        <f t="shared" ca="1" si="817"/>
        <v>0</v>
      </c>
      <c r="G205" s="388">
        <f ca="1">AVERAGE($D205:$E205)+Control!$B$9</f>
        <v>0</v>
      </c>
      <c r="H205" s="388">
        <f ca="1">Weather_data!$G204</f>
        <v>0</v>
      </c>
      <c r="I205" s="388">
        <f ca="1">Weather_data!$I204</f>
        <v>0</v>
      </c>
      <c r="J205" s="388">
        <f ca="1">Weather_data!$H204</f>
        <v>0</v>
      </c>
      <c r="K205" s="389">
        <f ca="1">Weather_data!$D204</f>
        <v>0</v>
      </c>
      <c r="L205" s="388" t="e">
        <f t="shared" ca="1" si="818"/>
        <v>#N/A</v>
      </c>
      <c r="M205" s="388" t="e">
        <f t="shared" ca="1" si="696"/>
        <v>#N/A</v>
      </c>
      <c r="N205" s="388">
        <f t="shared" ca="1" si="697"/>
        <v>-3.9194883936974051E-10</v>
      </c>
      <c r="O205" s="388">
        <f t="shared" ca="1" si="819"/>
        <v>3.9194883936974053E-9</v>
      </c>
      <c r="P205" s="390">
        <v>3</v>
      </c>
      <c r="Q205" s="388">
        <f ca="1">MAX($G205-Control!$C$107,0)</f>
        <v>0</v>
      </c>
      <c r="R205" s="388">
        <f t="shared" ca="1" si="820"/>
        <v>0</v>
      </c>
      <c r="S205" s="388">
        <f t="shared" ca="1" si="698"/>
        <v>0</v>
      </c>
      <c r="T205" s="388">
        <f t="shared" ca="1" si="699"/>
        <v>0</v>
      </c>
      <c r="U205" s="59">
        <f t="shared" ca="1" si="700"/>
        <v>0</v>
      </c>
      <c r="V205" s="391">
        <f ca="1">MAX(0,MIN(Control!$C$100-Control!$C$99,$G205-Control!$C$99)*Control!$C$63)</f>
        <v>0</v>
      </c>
      <c r="W205" s="388">
        <f t="shared" ca="1" si="821"/>
        <v>0</v>
      </c>
      <c r="X205" s="388">
        <f t="shared" ca="1" si="822"/>
        <v>0.6110000000000001</v>
      </c>
      <c r="Y205" s="388">
        <f t="shared" ca="1" si="701"/>
        <v>0</v>
      </c>
      <c r="Z205" s="388">
        <f t="shared" ca="1" si="823"/>
        <v>0.61058800000000002</v>
      </c>
      <c r="AA205" s="388">
        <f t="shared" ca="1" si="702"/>
        <v>0.6018</v>
      </c>
      <c r="AB205" s="388">
        <f ca="1">101.3*EXP(-0.034*Control!$C$66/($G205+273))</f>
        <v>100.69623283836242</v>
      </c>
      <c r="AC205" s="392">
        <f t="shared" ca="1" si="703"/>
        <v>4.3460251046025113E-2</v>
      </c>
      <c r="AD205" s="392">
        <f t="shared" ca="1" si="704"/>
        <v>4.4450382862832649E-2</v>
      </c>
      <c r="AE205" s="388">
        <f t="shared" ca="1" si="705"/>
        <v>0</v>
      </c>
      <c r="AF205" s="388">
        <f ca="1">MAX(0,$G205-Control!$C$92)</f>
        <v>0</v>
      </c>
      <c r="AG205" s="393">
        <f t="shared" ca="1" si="706"/>
        <v>201</v>
      </c>
      <c r="AH205" s="389">
        <f t="shared" ca="1" si="707"/>
        <v>201</v>
      </c>
      <c r="AI205" s="388">
        <f t="shared" ca="1" si="824"/>
        <v>0.35864843464922236</v>
      </c>
      <c r="AJ205" s="388">
        <f ca="1">IF(Control!$C$60&lt;=0,$HH205,$HI205)</f>
        <v>1</v>
      </c>
      <c r="AK205" s="388">
        <f t="shared" ca="1" si="708"/>
        <v>2.0829189648458355</v>
      </c>
      <c r="AL205" s="388">
        <f t="shared" ca="1" si="709"/>
        <v>5.4082606448790929E-19</v>
      </c>
      <c r="AM205" s="388">
        <f t="shared" ca="1" si="710"/>
        <v>2.0829189648458355</v>
      </c>
      <c r="AN205" s="388">
        <f t="shared" ca="1" si="711"/>
        <v>0.3541196500220184</v>
      </c>
      <c r="AO205" s="388">
        <f ca="1">-0.10453/COS(Control!$B$8*PI()/180)*COS(AN205)</f>
        <v>-0.15925007447010622</v>
      </c>
      <c r="AP205" s="388">
        <f ca="1">ACOS(AO205-TAN(Control!$B$8*PI()/180)*TAN(AN205))</f>
        <v>2.2555081042182077</v>
      </c>
      <c r="AQ205" s="388">
        <f t="shared" ca="1" si="825"/>
        <v>0</v>
      </c>
      <c r="AR205" s="394">
        <f t="shared" ca="1" si="712"/>
        <v>0</v>
      </c>
      <c r="AS205" s="436">
        <f ca="1">IF(Control!$B$18=2,(IF(OR($AH205=Control!$B$175,$AH205=Control!$B$176,$AH205=Control!$B$177,$AH205=Control!$B$178,$AH205=Control!$B$179,$AH205=Control!$B$180,$AH205=Control!$B$181,$AH205=Control!$B$182,$AH205=Control!$B$183,$AH205=Control!$B$184,$AH205=Control!$B$185),1,0)),0)</f>
        <v>0</v>
      </c>
      <c r="AT205" s="436">
        <f>IF(Control!$B$20=8,IF(AND($AH205&gt;=Control!$B$172,$AH205&lt;=Control!$B$173),1,0),0)</f>
        <v>0</v>
      </c>
      <c r="AU205" s="436">
        <f>IF(Control!$B$20=8,IF($AV204=1,1*$AT205,IF($AT205=1,$AU204+1,$AU204)),0)</f>
        <v>0</v>
      </c>
      <c r="AV205" s="436">
        <f>IF(Control!$B$20=8,IF($AU205&gt;=Control!$B$174,1,0),0)</f>
        <v>0</v>
      </c>
      <c r="AW205" s="436">
        <f ca="1">IF(AND(Control!$B$18=2,Control!$B$171=1), $AV205, $AS205)</f>
        <v>0</v>
      </c>
      <c r="AX205" s="436" t="e">
        <f ca="1">IF(AND(Control!$B$18=1,$EU205&gt;=Control!$B$19),-$AY205,IF(AND(Control!$B$18=2,$AW205=1,$EU205&gt;$DS205),-$AY205, IF(Control!$C$108=0,0, IF(Control!$C$108&lt;&gt;0,1))))</f>
        <v>#N/A</v>
      </c>
      <c r="AY205" s="436" t="e">
        <f t="shared" ca="1" si="826"/>
        <v>#N/A</v>
      </c>
      <c r="AZ205" s="436" t="e">
        <f ca="1">IF(AND(Control!$B$18=1,$EB205&gt;Control!$B$19),$AZ204+1, IF(AND(Control!$B$18=2, $AW205=1, $EB205&gt;$DS205), $AZ204+1,$AZ204))</f>
        <v>#N/A</v>
      </c>
      <c r="BA205" s="587">
        <f>IF(Control!$C$81=0,1,IF($AH205&gt;=Control!$C$82,1,0))</f>
        <v>1</v>
      </c>
      <c r="BB205" s="140" t="e">
        <f ca="1">IF($BA205&gt;$BA204,Control!$C$83,IF($AW205&gt;0,$AW205*Control!$C$84,IF(AND(Control!$B$18=1,EN204&lt;&gt;0),Control!$C$84,0)))</f>
        <v>#N/A</v>
      </c>
      <c r="BC205" s="140" t="e">
        <f t="shared" ca="1" si="827"/>
        <v>#N/A</v>
      </c>
      <c r="BD205" s="140" t="e">
        <f ca="1">BC205*IF(OR($G205&lt;Control!$C$92,$G205&gt;Control!$C$95),0,IF(AND($G205&gt;=Control!$C$92,$G205&lt;=Control!$C$93),$G205-Control!$C$92,IF(AND($G205&gt;Control!$C$93,$G205&lt;=Control!$C$94),Control!$C$93-Control!$C$92,IF(AND($G205&gt;Control!$C$94,$G205&lt;=Control!$C$95),(Control!$C$93-Control!$C$92)*(Control!$C$94-$G205)/(Control!$C$95-Control!$C$94)))))</f>
        <v>#N/A</v>
      </c>
      <c r="BE205" s="140" t="e">
        <f t="shared" ca="1" si="828"/>
        <v>#N/A</v>
      </c>
      <c r="BF205" s="140" t="e">
        <f ca="1">IF($BE205&lt;=Control!$C$86,$BE205,Control!$C$86-$BE205)</f>
        <v>#N/A</v>
      </c>
      <c r="BG205" s="140" t="e">
        <f ca="1">IF(AND($AW205=1,Control!$C$84&lt;9),1,IF($BE205&gt;=Control!$C$86,0,$BC205))</f>
        <v>#N/A</v>
      </c>
      <c r="BH205" s="404" t="e">
        <f ca="1">IF($BG205=0,0,IF($BE205&lt;=Control!$C$86,$BC205*9*($BF205/Control!$C$86),0))</f>
        <v>#N/A</v>
      </c>
      <c r="BI205" s="140" t="e">
        <f ca="1">IF($BG205=1,0,IF($BE205&gt;=Control!$C$86,1,IF(AND($BB205&lt;21,$BB205&gt;=9),1,$BM204)))</f>
        <v>#N/A</v>
      </c>
      <c r="BJ205" s="140" t="e">
        <f ca="1">IF($BF205&lt;0,-$BF205,$BI205*IF(OR($G205&lt;Control!$C$92,$G205&gt;Control!$C$95),0,IF(AND($G205&gt;=Control!$C$92,$G205&lt;=Control!$C$93),$G205-Control!$C$92,IF(AND($G205&gt;Control!$C$93,$G205&lt;=Control!$C$94),Control!$C$93-Control!$C$92,IF(AND($G205&gt;Control!$C$94,$G205&lt;=Control!$C$95),(Control!$C$93-Control!$C$92)*(Control!$C$94-$G205)/(Control!$C$95-Control!$C$94))))))</f>
        <v>#N/A</v>
      </c>
      <c r="BK205" s="140" t="e">
        <f t="shared" ca="1" si="829"/>
        <v>#N/A</v>
      </c>
      <c r="BL205" s="140" t="e">
        <f ca="1">IF($BK205&lt;=Control!$C$87,$BK205,Control!$C$87-$BK205)</f>
        <v>#N/A</v>
      </c>
      <c r="BM205" s="140" t="e">
        <f ca="1">IF(AND($BB205&gt;=9,$BB205&lt;21),1,IF($BK205&gt;=Control!$C$87,0,$BI205))</f>
        <v>#N/A</v>
      </c>
      <c r="BN205" s="404" t="e">
        <f ca="1">IF($BM205=0,0,IF($BK205&lt;=Control!$C$87,$BI205*(9+(21-9)*($BL205/Control!$C$87)),0))</f>
        <v>#N/A</v>
      </c>
      <c r="BO205" s="140" t="e">
        <f ca="1">IF($BM205=1,0,IF($BK205&gt;=Control!$C$87,1,IF(AND($BB205&lt;30,$BB205&gt;=21),1,$BS204)))</f>
        <v>#N/A</v>
      </c>
      <c r="BP205" s="140" t="e">
        <f ca="1">IF($BL205&lt;0,-$BL205,$BO205*IF(OR($G205&lt;Control!$C$92,$G205&gt;Control!$C$95),0,IF(AND($G205&gt;=Control!$C$92,$G205&lt;=Control!$C$93),$G205-Control!$C$92,IF(AND($G205&gt;Control!$C$93,$G205&lt;=Control!$C$94),Control!$C$93-Control!$C$92,IF(AND($G205&gt;Control!$C$94,$G205&lt;=Control!$C$95),(Control!$C$93-Control!$C$92)*(Control!$C$94-$G205)/(Control!$C$95-Control!$C$94))))))</f>
        <v>#N/A</v>
      </c>
      <c r="BQ205" s="140" t="e">
        <f t="shared" ca="1" si="713"/>
        <v>#N/A</v>
      </c>
      <c r="BR205" s="140" t="e">
        <f ca="1">IF($BQ205&lt;=Control!$C$88,$BQ205,Control!$C$88-$BQ205)</f>
        <v>#N/A</v>
      </c>
      <c r="BS205" s="140" t="e">
        <f ca="1">IF(AND($BB205&gt;=21,$BB205&lt;30),1,IF($BQ205&gt;=Control!$C$88,0,$BO205))</f>
        <v>#N/A</v>
      </c>
      <c r="BT205" s="404" t="e">
        <f ca="1">IF($BS205=0,0,IF($BQ205&lt;=Control!$C$88,$BO205*(21+(30-21)*(BR205/Control!$C$88)),0))</f>
        <v>#N/A</v>
      </c>
      <c r="BU205" s="140" t="e">
        <f ca="1">IF(BG205+BM205+BS205=1,0,IF(OR(AND($BB205&lt;60,$BB205&gt;=30),$BQ205&gt;=Control!$C$88),1*$BA205,$BY204))</f>
        <v>#N/A</v>
      </c>
      <c r="BV205" s="140" t="e">
        <f ca="1">IF($BR205&lt;0,-$BR205,$BU205*IF(OR($G205&lt;Control!$C$92,$G205&gt;Control!$C$95),0,IF(AND($G205&gt;=Control!$C$92,$G205&lt;=Control!$C$93),$G205-Control!$C$92,IF(AND($G205&gt;Control!$C$93,$G205&lt;=Control!$C$94),Control!$C$93-Control!$C$92,IF(AND($G205&gt;Control!$C$94,$G205&lt;=Control!$C$95),(Control!$C$93-Control!$C$92)*(Control!$C$94-$G205)/(Control!$C$95-Control!$C$94))))))</f>
        <v>#N/A</v>
      </c>
      <c r="BW205" s="140" t="e">
        <f t="shared" ca="1" si="714"/>
        <v>#N/A</v>
      </c>
      <c r="BX205" s="140" t="e">
        <f ca="1">IF($BW205&lt;=Control!$C$89,$BW205,Control!$C$89-$BW205)</f>
        <v>#N/A</v>
      </c>
      <c r="BY205" s="140" t="e">
        <f ca="1">IF(AND($AJ205&gt;=30,$AJ205&lt;60),1,IF($BW205&gt;=Control!$C$89,0,$BU205))</f>
        <v>#N/A</v>
      </c>
      <c r="BZ205" s="404" t="e">
        <f ca="1">IF($BY205=0,0,IF($BW205&lt;=Control!$C$89,$BU205*(30+(60-30)*(BX205/Control!$C$89)),0))</f>
        <v>#N/A</v>
      </c>
      <c r="CA205" s="140" t="e">
        <f ca="1">IF($BG205+$BM205+$BS205+$BY205=1,0,IF(OR(AND($BB205&lt;65,$BB205&gt;=60),$BW205&gt;=Control!$C$89),1*$BA205,$CE204))</f>
        <v>#N/A</v>
      </c>
      <c r="CB205" s="140" t="e">
        <f ca="1">IF($BX205&lt;0,-$BX205,$CA205*IF(OR($G205&lt;Control!$C$92,$G205&gt;Control!$C$95),0,IF(AND($G205&gt;=Control!$C$92,$G205&lt;=Control!$C$93),$G205-Control!$C$92,IF(AND($G205&gt;Control!$C$93,$G205&lt;=Control!$C$94),Control!$C$93-Control!$C$92,IF(AND($G205&gt;Control!$C$94,$G205&lt;=Control!$C$95),(Control!$C$93-Control!$C$92)*(Control!$C$94-$G205)/(Control!$C$95-Control!$C$94))))))</f>
        <v>#N/A</v>
      </c>
      <c r="CC205" s="140" t="e">
        <f t="shared" ca="1" si="830"/>
        <v>#N/A</v>
      </c>
      <c r="CD205" s="140" t="e">
        <f ca="1">IF($CC205&lt;=Control!$C$90,$CC205,Control!$C$90-$CC205)</f>
        <v>#N/A</v>
      </c>
      <c r="CE205" s="140" t="e">
        <f ca="1">IF(AND($BB205&gt;=60,$BB205&lt;65),1,IF($CC205&gt;=Control!$C$90,0,$CA205))</f>
        <v>#N/A</v>
      </c>
      <c r="CF205" s="404" t="e">
        <f ca="1">IF($CE205=0,0,IF($CC205&lt;=Control!$C$90,$CA205*(60+(65-60)*(CD205/Control!$C$90)),0))</f>
        <v>#N/A</v>
      </c>
      <c r="CG205" s="140" t="e">
        <f ca="1">IF($BG205+$BM205+$BS205+$BY205+$CE205=1,0,IF(OR(AND($BB205&lt;90,$BB205&gt;=65),$CC205&gt;=Control!$C$90),$BA205,$CK204))</f>
        <v>#N/A</v>
      </c>
      <c r="CH205" s="140" t="e">
        <f ca="1">IF($CD205&lt;0,-$CD205,$CG205*IF(OR($G205&lt;Control!$C$92,$G205&gt;Control!$C$95),0,IF(AND($G205&gt;=Control!$C$92,$G205&lt;=Control!$C$93),$G205-Control!$C$92,IF(AND($G205&gt;Control!$C$93,$G205&lt;=Control!$C$94),Control!$C$93-Control!$C$92,IF(AND($G205&gt;Control!$C$94,$G205&lt;=Control!$C$95),(Control!$C$93-Control!$C$92)*(Control!$C$94-$G205)/(Control!$C$95-Control!$C$94))))))</f>
        <v>#N/A</v>
      </c>
      <c r="CI205" s="140" t="e">
        <f t="shared" ca="1" si="831"/>
        <v>#N/A</v>
      </c>
      <c r="CJ205" s="140" t="e">
        <f ca="1">IF($CI205&lt;=Control!$C$91,$CI205,Control!$C$91-$CI205)</f>
        <v>#N/A</v>
      </c>
      <c r="CK205" s="140" t="e">
        <f ca="1">IF(AND($BB205&gt;=65,$BB205&lt;90),1,IF($CI205&gt;=Control!$C$91,0,$CG205))</f>
        <v>#N/A</v>
      </c>
      <c r="CL205" s="404" t="e">
        <f ca="1">IF($CK205=0,0,IF($CI205&lt;=Control!$C$91,$CG205*(65+(90-65)*($CJ205/Control!$C$91)),0))</f>
        <v>#N/A</v>
      </c>
      <c r="CM205" s="140" t="e">
        <f ca="1">IF($BG205+$BM205+$BS205+$BY205+$CE205+$CK205=1,0,IF(OR($BB205&gt;=90,$CI205&gt;=Control!$C$91),$BA205,$CM204))</f>
        <v>#N/A</v>
      </c>
      <c r="CN205" s="140" t="e">
        <f t="shared" ca="1" si="832"/>
        <v>#N/A</v>
      </c>
      <c r="CO205" s="140" t="e">
        <f t="shared" ca="1" si="833"/>
        <v>#N/A</v>
      </c>
      <c r="CP205" s="140" t="e">
        <f t="shared" ca="1" si="834"/>
        <v>#N/A</v>
      </c>
      <c r="CQ205" s="141" t="e">
        <f ca="1">VLOOKUP($CP205,Control!$B$86:$G$91,6)</f>
        <v>#N/A</v>
      </c>
      <c r="CR205" s="141" t="e">
        <f ca="1">(1-$CQ205)*VLOOKUP($CP205,Control!$B$86:$D$91,3)</f>
        <v>#N/A</v>
      </c>
      <c r="CS205" s="141" t="e">
        <f ca="1">(1-$CQ205)*VLOOKUP($CP205,Control!$B$86:$E$91,4)</f>
        <v>#N/A</v>
      </c>
      <c r="CT205" s="141" t="e">
        <f ca="1">(1-$CQ205)*VLOOKUP($CP205,Control!$B$86:$F$91,5)</f>
        <v>#N/A</v>
      </c>
      <c r="CU205" s="141">
        <f t="shared" ca="1" si="835"/>
        <v>0</v>
      </c>
      <c r="CV205" s="583">
        <f t="shared" ca="1" si="836"/>
        <v>0</v>
      </c>
      <c r="CW205" s="142">
        <f t="shared" ca="1" si="837"/>
        <v>201</v>
      </c>
      <c r="CX205" s="612" t="e">
        <f ca="1">IF(Control!$C$114=1,(MIN(Control!$C$120*(IF($NT205-0.01&lt;0,0,1)),Control!$C$119-$CY205)))</f>
        <v>#DIV/0!</v>
      </c>
      <c r="CY205" s="143" t="e">
        <f t="shared" ca="1" si="838"/>
        <v>#N/A</v>
      </c>
      <c r="CZ205" s="144">
        <f t="shared" ca="1" si="715"/>
        <v>0</v>
      </c>
      <c r="DA205" s="144">
        <f t="shared" ca="1" si="716"/>
        <v>0</v>
      </c>
      <c r="DB205" s="144" t="e">
        <f t="shared" ca="1" si="717"/>
        <v>#N/A</v>
      </c>
      <c r="DC205" s="144" t="e">
        <f t="shared" ca="1" si="718"/>
        <v>#N/A</v>
      </c>
      <c r="DD205" s="144" t="e">
        <f t="shared" ca="1" si="923"/>
        <v>#N/A</v>
      </c>
      <c r="DE205" s="143" t="e">
        <f t="shared" ca="1" si="839"/>
        <v>#N/A</v>
      </c>
      <c r="DF205" s="145" t="e">
        <f ca="1">$DR205*EXP(-Control!$C$158*(1-$KH205))</f>
        <v>#N/A</v>
      </c>
      <c r="DG205" s="146" t="e">
        <f ca="1">IF(Control!$C$114=1, $DF205*$EY205, 0)</f>
        <v>#N/A</v>
      </c>
      <c r="DH205" s="147" t="e">
        <f t="shared" ca="1" si="840"/>
        <v>#N/A</v>
      </c>
      <c r="DI205" s="144" t="e">
        <f t="shared" ca="1" si="901"/>
        <v>#N/A</v>
      </c>
      <c r="DJ205" s="147" t="e">
        <f ca="1">$EF205*Control!$C$109</f>
        <v>#N/A</v>
      </c>
      <c r="DK205" s="144" t="e">
        <f t="shared" ca="1" si="841"/>
        <v>#N/A</v>
      </c>
      <c r="DL205" s="144" t="e">
        <f t="shared" ca="1" si="719"/>
        <v>#N/A</v>
      </c>
      <c r="DM205" s="144" t="e">
        <f ca="1">IF(Control!$C$114=1, (1-EXP(-Control!$C$96*$DK205))*$AR205, 0)</f>
        <v>#N/A</v>
      </c>
      <c r="DN205" s="144">
        <f t="shared" ca="1" si="842"/>
        <v>0</v>
      </c>
      <c r="DO205" s="148">
        <f>Control!$C$97</f>
        <v>4</v>
      </c>
      <c r="DP205" s="145" t="e">
        <f t="shared" ca="1" si="843"/>
        <v>#N/A</v>
      </c>
      <c r="DQ205" s="145" t="e">
        <f ca="1">IF(AND($CP205&gt;=0,$CP205&lt;=90),Control!$C$111,Control!$C$111)</f>
        <v>#N/A</v>
      </c>
      <c r="DR205" s="145" t="e">
        <f t="shared" ca="1" si="720"/>
        <v>#N/A</v>
      </c>
      <c r="DS205" s="143" t="e">
        <f ca="1">Control!$B$22/$DR205</f>
        <v>#N/A</v>
      </c>
      <c r="DT205" s="149" t="e">
        <f ca="1">IF(AND(Control!$C$114=1,$KH205&lt;1),$IM205*$DF205, 0)</f>
        <v>#N/A</v>
      </c>
      <c r="DU205" s="144" t="e">
        <f t="shared" ca="1" si="844"/>
        <v>#N/A</v>
      </c>
      <c r="DV205" s="144">
        <f ca="1">IF($G205-Control!$C$107&lt;=0, 0, 0.83*LN(MAX($G205, 3))-0.8924)</f>
        <v>0</v>
      </c>
      <c r="DW205" s="144" t="e">
        <f t="shared" ca="1" si="721"/>
        <v>#N/A</v>
      </c>
      <c r="DX205" s="150" t="e">
        <f ca="1">MAX(0.01*(1+$CU205/Control!$C$102),0.05*($DK205-Control!$C$97)/Control!$C$97)</f>
        <v>#N/A</v>
      </c>
      <c r="DY205" s="151" t="e">
        <f ca="1">IF(Control!$C$114=1, $DI205*$FS205, 0)</f>
        <v>#N/A</v>
      </c>
      <c r="DZ205" s="196" t="e">
        <f t="shared" ca="1" si="845"/>
        <v>#N/A</v>
      </c>
      <c r="EA205" s="152">
        <f t="shared" ca="1" si="846"/>
        <v>201</v>
      </c>
      <c r="EB205" s="153" t="e">
        <f t="shared" ca="1" si="847"/>
        <v>#N/A</v>
      </c>
      <c r="EC205" s="153" t="e">
        <f t="shared" ca="1" si="848"/>
        <v>#N/A</v>
      </c>
      <c r="ED205" s="154" t="e">
        <f ca="1">IF(Control!$C$114=1, $HM205*$FY205-$FD205, 0)</f>
        <v>#DIV/0!</v>
      </c>
      <c r="EE205" s="155" t="e">
        <f ca="1">IF(Control!$C$114=1, $HM205*$FZ205-$FF205, 0)</f>
        <v>#DIV/0!</v>
      </c>
      <c r="EF205" s="153" t="e">
        <f t="shared" ca="1" si="902"/>
        <v>#N/A</v>
      </c>
      <c r="EG205" s="155" t="e">
        <f ca="1">IF(Control!$C$114=1, $GX205*$FW205-$FI205, 0)</f>
        <v>#DIV/0!</v>
      </c>
      <c r="EH205" s="153" t="e">
        <f t="shared" ca="1" si="849"/>
        <v>#N/A</v>
      </c>
      <c r="EI205" s="156" t="e">
        <f t="shared" ca="1" si="850"/>
        <v>#N/A</v>
      </c>
      <c r="EJ205" s="155" t="e">
        <f ca="1">IF(Control!$C$114=1, $HM205*$GB205, 0)</f>
        <v>#DIV/0!</v>
      </c>
      <c r="EK205" s="153" t="e">
        <f t="shared" ca="1" si="903"/>
        <v>#N/A</v>
      </c>
      <c r="EL205" s="153" t="e">
        <f t="shared" ca="1" si="722"/>
        <v>#N/A</v>
      </c>
      <c r="EM205" s="153" t="e">
        <f t="shared" ca="1" si="723"/>
        <v>#N/A</v>
      </c>
      <c r="EN205" s="153" t="e">
        <f ca="1">IF(Control!$C$108=1,IF(AND(Control!$B$18=1,$EB205&gt;=Control!$B$19),$EB205-$DS205,IF(AND(Control!$B$18=2,$AW205=1,$EB205&gt;$DS205),$EB205-$DS205,0)))</f>
        <v>#N/A</v>
      </c>
      <c r="EO205" s="153" t="e">
        <f ca="1">IF(Control!$C$108=1,IF(AND(Control!$B$18=1,$EB205&gt;=Control!$B$19),$EF205,IF(AND(Control!$B$18=2,$AW205=1),$EF205,0)))</f>
        <v>#N/A</v>
      </c>
      <c r="EP205" s="153" t="e">
        <f ca="1">IF(Control!$C$108=1,IF(AND(Control!$B$18=1,$EB205&gt;=Control!$B$19),$EK205,IF(AND(Control!$B$18=2,$AW205=1),$EK205,0)))</f>
        <v>#N/A</v>
      </c>
      <c r="EQ205" s="153" t="e">
        <f t="shared" ca="1" si="851"/>
        <v>#N/A</v>
      </c>
      <c r="ER205" s="153" t="e">
        <f t="shared" ca="1" si="852"/>
        <v>#N/A</v>
      </c>
      <c r="ES205" s="153" t="e">
        <f t="shared" ca="1" si="904"/>
        <v>#N/A</v>
      </c>
      <c r="ET205" s="153" t="e">
        <f t="shared" ca="1" si="905"/>
        <v>#N/A</v>
      </c>
      <c r="EU205" s="153" t="e">
        <f t="shared" ca="1" si="853"/>
        <v>#N/A</v>
      </c>
      <c r="EV205" s="153" t="e">
        <f t="shared" ca="1" si="724"/>
        <v>#N/A</v>
      </c>
      <c r="EW205" s="153" t="e">
        <f t="shared" ca="1" si="725"/>
        <v>#N/A</v>
      </c>
      <c r="EX205" s="153" t="e">
        <f t="shared" ca="1" si="726"/>
        <v>#N/A</v>
      </c>
      <c r="EY205" s="157" t="e">
        <f t="shared" ca="1" si="727"/>
        <v>#DIV/0!</v>
      </c>
      <c r="EZ205" s="154" t="e">
        <f t="shared" ca="1" si="728"/>
        <v>#DIV/0!</v>
      </c>
      <c r="FA205" s="153" t="e">
        <f t="shared" ca="1" si="854"/>
        <v>#N/A</v>
      </c>
      <c r="FB205" s="153" t="e">
        <f t="shared" ca="1" si="729"/>
        <v>#N/A</v>
      </c>
      <c r="FC205" s="193" t="e">
        <f t="shared" ca="1" si="730"/>
        <v>#N/A</v>
      </c>
      <c r="FD205" s="158" t="e">
        <f t="shared" ca="1" si="855"/>
        <v>#N/A</v>
      </c>
      <c r="FE205" s="158" t="e">
        <f t="shared" ca="1" si="856"/>
        <v>#N/A</v>
      </c>
      <c r="FF205" s="159" t="e">
        <f t="shared" ca="1" si="731"/>
        <v>#N/A</v>
      </c>
      <c r="FG205" s="160" t="e">
        <f t="shared" ca="1" si="857"/>
        <v>#N/A</v>
      </c>
      <c r="FH205" s="158" t="e">
        <f t="shared" ca="1" si="858"/>
        <v>#N/A</v>
      </c>
      <c r="FI205" s="159" t="e">
        <f t="shared" ca="1" si="732"/>
        <v>#N/A</v>
      </c>
      <c r="FJ205" s="160" t="e">
        <f t="shared" ca="1" si="859"/>
        <v>#N/A</v>
      </c>
      <c r="FK205" s="160" t="e">
        <f t="shared" ca="1" si="733"/>
        <v>#N/A</v>
      </c>
      <c r="FL205" s="160" t="e">
        <f t="shared" ca="1" si="906"/>
        <v>#N/A</v>
      </c>
      <c r="FM205" s="160" t="e">
        <f t="shared" ca="1" si="734"/>
        <v>#N/A</v>
      </c>
      <c r="FN205" s="158">
        <f t="shared" ca="1" si="860"/>
        <v>0.01</v>
      </c>
      <c r="FO205" s="160">
        <f>Control!$C$101</f>
        <v>50</v>
      </c>
      <c r="FP205" s="150" t="e">
        <f t="shared" ca="1" si="735"/>
        <v>#N/A</v>
      </c>
      <c r="FQ205" s="150" t="e">
        <f ca="1">MAX(0,(Control!$C$112*(($DK205-Control!$C$97)/Control!$C$97)))</f>
        <v>#N/A</v>
      </c>
      <c r="FR205" s="150" t="e">
        <f ca="1">(1-$NT205)*Control!$C$113</f>
        <v>#DIV/0!</v>
      </c>
      <c r="FS205" s="198" t="e">
        <f t="shared" ca="1" si="736"/>
        <v>#N/A</v>
      </c>
      <c r="FT205" s="161">
        <f t="shared" ca="1" si="861"/>
        <v>201</v>
      </c>
      <c r="FU205" s="162" t="e">
        <f ca="1">IF(Control!$B$34=1,VLOOKUP($CP205,Control!$B$86:$G$91,6),Control!$B$35)</f>
        <v>#N/A</v>
      </c>
      <c r="FV205" s="162" t="e">
        <f t="shared" ca="1" si="737"/>
        <v>#DIV/0!</v>
      </c>
      <c r="FW205" s="162" t="e">
        <f ca="1">IF(Control!$B$31=1,$FU205*$FV205,  $FU205)</f>
        <v>#N/A</v>
      </c>
      <c r="FX205" s="162" t="e">
        <f ca="1">IF(Control!$B$34=1,VLOOKUP($CP205,Control!$B$86:$G$91,3),Control!$B$36)</f>
        <v>#N/A</v>
      </c>
      <c r="FY205" s="162" t="e">
        <f t="shared" ca="1" si="738"/>
        <v>#N/A</v>
      </c>
      <c r="FZ205" s="162" t="e">
        <f ca="1">IF(Control!$B$34=1,VLOOKUP($CP205,Control!$B$86:$G$91,4),Control!$B$37)</f>
        <v>#N/A</v>
      </c>
      <c r="GA205" s="162" t="e">
        <f t="shared" ca="1" si="739"/>
        <v>#N/A</v>
      </c>
      <c r="GB205" s="162" t="e">
        <f ca="1">IF(Control!$B$34=1,VLOOKUP($CP205,Control!$B$86:$G$91,5),Control!$B$38)</f>
        <v>#N/A</v>
      </c>
      <c r="GC205" s="162" t="e">
        <f t="shared" ca="1" si="862"/>
        <v>#N/A</v>
      </c>
      <c r="GD205" s="162">
        <f t="shared" ca="1" si="740"/>
        <v>1</v>
      </c>
      <c r="GE205" s="162">
        <f t="shared" ca="1" si="741"/>
        <v>1</v>
      </c>
      <c r="GF205" s="162">
        <f ca="1">IF(AND(Control!$C$104=1, Control!$C$62="F"),$GE205,1)</f>
        <v>1</v>
      </c>
      <c r="GG205" s="162" t="e">
        <f ca="1">IF(Control!$B$16=40,0,IF(AND(Control!$B$16&gt;40,Control!$B$16&lt;=360),(Control!$B$16-40)*((1-0)/(360-40)),IF(AND(Control!$B$16&gt;360,Control!$B$16&lt;=720),(1+(Control!$B$16-360)*((1.25-1)/(720-360))),IF(AND(Control!$B$16&gt;720,Control!$B$16&lt;=1000),(1.25+(Control!$B$16-720)*((1.35-1.25)/(1000-720))),IF(AND(Control!$B$16&gt;1000,Control!$B$16&lt;=2000),(1.35+(Control!$B$16-1000)*0))))))</f>
        <v>#N/A</v>
      </c>
      <c r="GH205" s="162" t="e">
        <f t="shared" ca="1" si="742"/>
        <v>#N/A</v>
      </c>
      <c r="GI205" s="162">
        <f t="shared" ca="1" si="863"/>
        <v>0</v>
      </c>
      <c r="GJ205" s="162">
        <f t="shared" ca="1" si="743"/>
        <v>0</v>
      </c>
      <c r="GK205" s="162">
        <f t="shared" ca="1" si="864"/>
        <v>1</v>
      </c>
      <c r="GL205" s="162">
        <f t="shared" ca="1" si="744"/>
        <v>1</v>
      </c>
      <c r="GM205" s="162" t="e">
        <f ca="1">MAX(0,MIN(1,1-Control!$C$156*(1.0001-$KH205)^2))</f>
        <v>#N/A</v>
      </c>
      <c r="GN205" s="162" t="e">
        <f ca="1">IF(Control!$B$26=1,$KU205,$KX205)</f>
        <v>#N/A</v>
      </c>
      <c r="GO205" s="162" t="e">
        <f ca="1">IF($CP205&lt;=60,Control!$C$105,IF($CP205&gt;=90,Control!$C$106,Control!$C$105+($CP205-60)*((Control!$C$106-Control!$C$105)/(90-60))))</f>
        <v>#N/A</v>
      </c>
      <c r="GP205" s="162" t="e">
        <f t="shared" ca="1" si="745"/>
        <v>#N/A</v>
      </c>
      <c r="GQ205" s="162" t="e">
        <f t="shared" ca="1" si="865"/>
        <v>#N/A</v>
      </c>
      <c r="GR205" s="163" t="e">
        <f t="shared" ca="1" si="746"/>
        <v>#DIV/0!</v>
      </c>
      <c r="GS205" s="162" t="e">
        <f t="shared" ca="1" si="747"/>
        <v>#DIV/0!</v>
      </c>
      <c r="GT205" s="164" t="e">
        <f t="shared" ca="1" si="866"/>
        <v>#N/A</v>
      </c>
      <c r="GU205" s="162" t="e">
        <f t="shared" ca="1" si="867"/>
        <v>#N/A</v>
      </c>
      <c r="GV205" s="162" t="e">
        <f t="shared" ca="1" si="748"/>
        <v>#N/A</v>
      </c>
      <c r="GW205" s="162" t="e">
        <f t="shared" ca="1" si="749"/>
        <v>#DIV/0!</v>
      </c>
      <c r="GX205" s="162" t="e">
        <f t="shared" ca="1" si="868"/>
        <v>#DIV/0!</v>
      </c>
      <c r="GY205" s="162" t="e">
        <f t="shared" ca="1" si="869"/>
        <v>#DIV/0!</v>
      </c>
      <c r="GZ205" s="165" t="e">
        <f t="shared" ca="1" si="750"/>
        <v>#N/A</v>
      </c>
      <c r="HA205" s="162" t="e">
        <f ca="1">IF(Control!$C$114=1, $DI205*$FS205, 0)</f>
        <v>#N/A</v>
      </c>
      <c r="HB205" s="162" t="e">
        <f ca="1">$FA205/Control!$C$64</f>
        <v>#N/A</v>
      </c>
      <c r="HC205" s="162" t="e">
        <f t="shared" ca="1" si="751"/>
        <v>#DIV/0!</v>
      </c>
      <c r="HD205" s="162">
        <f ca="1">-ASIN(SIN(23.45*Control!$C$139)*COS(2*Control!$C$138*($AH205+10)/365))</f>
        <v>0.35864843464922236</v>
      </c>
      <c r="HE205" s="165">
        <f t="shared" ca="1" si="870"/>
        <v>0</v>
      </c>
      <c r="HF205" s="166">
        <f ca="1">IF(AND(Control!$C$61="T",$HE205&gt;=Control!$C$103,Control!$C$114=0),$AH205,Control!$C$59)</f>
        <v>1</v>
      </c>
      <c r="HG205" s="166">
        <f ca="1">IF(AND(Control!$C$61="T",$HE205&gt;=Control!$C$103,Control!$C$114=0),$HF205,Control!$C$59)</f>
        <v>1</v>
      </c>
      <c r="HH205" s="165">
        <f ca="1">IF(AND(OR(Control!$C$60&lt;=0, $AH205= Control!$C$59, Control!$C$60 &gt;0, $AH205 = Control!$C$60)), Control!$C$59, IF(Control!$C$60&gt;0, 0))</f>
        <v>1</v>
      </c>
      <c r="HI205" s="165">
        <f ca="1">IF(AND(OR(Control!$C$60&lt;=0, $AH205= Control!$C$59, Control!$C$60 &gt;0, $AH205 = Control!$C$60)), Control!$C$60, IF(Control!$C$60&lt;=0, 0))</f>
        <v>0</v>
      </c>
      <c r="HJ205" s="166">
        <f ca="1">IF(AND(Control!$C$62="F",$CV205&gt;=Control!$C$102),$AH205,0)</f>
        <v>0</v>
      </c>
      <c r="HK205" s="165" t="e">
        <f t="shared" ca="1" si="907"/>
        <v>#N/A</v>
      </c>
      <c r="HL205" s="166">
        <f ca="1">IF(AND(Control!$C$61="T",$HE205&gt;=Control!$C$103,Control!$C$114=0),$HF205,0)</f>
        <v>0</v>
      </c>
      <c r="HM205" s="201" t="e">
        <f t="shared" ca="1" si="752"/>
        <v>#DIV/0!</v>
      </c>
      <c r="HN205" s="215">
        <f t="shared" ca="1" si="871"/>
        <v>201</v>
      </c>
      <c r="HO205" s="216" t="e">
        <f ca="1">IF(AND($CP205&gt;=0, $CP205&lt;=90), Control!$C$152, Control!$C$152)</f>
        <v>#N/A</v>
      </c>
      <c r="HP205" s="216" t="e">
        <f t="shared" ca="1" si="753"/>
        <v>#N/A</v>
      </c>
      <c r="HQ205" s="217" t="e">
        <f ca="1">IF(OR(Control!$B$26=1,Control!$B$26=2),$KV205,$KS205)</f>
        <v>#DIV/0!</v>
      </c>
      <c r="HR205" s="218" t="e">
        <f t="shared" ca="1" si="908"/>
        <v>#DIV/0!</v>
      </c>
      <c r="HS205" s="216" t="e">
        <f ca="1">Control!$C$154*$HP205</f>
        <v>#N/A</v>
      </c>
      <c r="HT205" s="216" t="e">
        <f ca="1">Control!$C$155*$HP205</f>
        <v>#N/A</v>
      </c>
      <c r="HU205" s="217" t="e">
        <f ca="1">Control!$C$161*$FI205</f>
        <v>#N/A</v>
      </c>
      <c r="HV205" s="218" t="e">
        <f t="shared" ca="1" si="872"/>
        <v>#N/A</v>
      </c>
      <c r="HW205" s="218" t="e">
        <f ca="1">Control!$C$160*$FF205+$IP205*$EO205</f>
        <v>#N/A</v>
      </c>
      <c r="HX205" s="218" t="e">
        <f t="shared" ca="1" si="909"/>
        <v>#N/A</v>
      </c>
      <c r="HY205" s="219" t="e">
        <f ca="1">IF(Control!$C$114=1, $EB205*$FS205, 0)</f>
        <v>#N/A</v>
      </c>
      <c r="HZ205" s="91" t="e">
        <f t="shared" ca="1" si="754"/>
        <v>#N/A</v>
      </c>
      <c r="IA205" s="220" t="e">
        <f ca="1">Control!$C$153*$HO205</f>
        <v>#N/A</v>
      </c>
      <c r="IB205" s="218" t="e">
        <f t="shared" ca="1" si="755"/>
        <v>#N/A</v>
      </c>
      <c r="IC205" s="220" t="e">
        <f ca="1">Control!$C$153*$HT205</f>
        <v>#N/A</v>
      </c>
      <c r="ID205" s="218" t="e">
        <f t="shared" ca="1" si="756"/>
        <v>#N/A</v>
      </c>
      <c r="IE205" s="221" t="e">
        <f ca="1">($EB205*Control!$C$159+$EF205*Control!$C$160)/(IF($GZ205&lt;&gt;0,$GZ205,1))</f>
        <v>#N/A</v>
      </c>
      <c r="IF205" s="216" t="e">
        <f t="shared" ca="1" si="757"/>
        <v>#N/A</v>
      </c>
      <c r="IG205" s="91">
        <f ca="1">IF(OR(Control!$B$198=$AH205,Control!$B$199=$AH205, Control!$B$200=$AH205, Control!$B$201=$AH205, Control!$B$202=$AH205, Control!$B$203=$AH205, Control!$B$204=$AH205, Control!$B$205=$AH205, Control!$B$206=$AH205, Control!$B$207=$AH205), 1, 0)</f>
        <v>0</v>
      </c>
      <c r="IH205" s="91">
        <f ca="1">IF($IG205=0,0, VLOOKUP($AH205,Control!$B$198:$C$207,2))</f>
        <v>0</v>
      </c>
      <c r="II205" s="222">
        <f t="shared" ca="1" si="873"/>
        <v>0</v>
      </c>
      <c r="IJ205" s="91">
        <f>Control!$C$121</f>
        <v>0.7</v>
      </c>
      <c r="IK205" s="218">
        <f t="shared" ca="1" si="758"/>
        <v>0</v>
      </c>
      <c r="IL205" s="217" t="e">
        <f t="shared" ca="1" si="910"/>
        <v>#N/A</v>
      </c>
      <c r="IM205" s="223" t="e">
        <f ca="1">IF(AND(Control!$C$114=1,$KH205&lt;1),$EB205*Control!$C$148*(1-$KH205), 0)</f>
        <v>#N/A</v>
      </c>
      <c r="IN205" s="217" t="e">
        <f t="shared" ca="1" si="759"/>
        <v>#DIV/0!</v>
      </c>
      <c r="IO205" s="91" t="e">
        <f ca="1">MAX(0,$IL205-$EF205*Control!$C$160)</f>
        <v>#N/A</v>
      </c>
      <c r="IP205" s="220" t="e">
        <f t="shared" ca="1" si="760"/>
        <v>#N/A</v>
      </c>
      <c r="IQ205" s="217" t="e">
        <f t="shared" ca="1" si="874"/>
        <v>#N/A</v>
      </c>
      <c r="IR205" s="218" t="e">
        <f t="shared" ca="1" si="761"/>
        <v>#N/A</v>
      </c>
      <c r="IS205" s="217" t="e">
        <f ca="1">Control!$C$159*MAX(0,$FD205-$EN205)</f>
        <v>#N/A</v>
      </c>
      <c r="IT205" s="217" t="e">
        <f t="shared" ca="1" si="911"/>
        <v>#N/A</v>
      </c>
      <c r="IU205" s="217" t="e">
        <f t="shared" ca="1" si="875"/>
        <v>#N/A</v>
      </c>
      <c r="IV205" s="217" t="e">
        <f t="shared" ca="1" si="912"/>
        <v>#N/A</v>
      </c>
      <c r="IW205" s="217" t="e">
        <f ca="1">IF(OR($AW205=1,AND($AW205=0, Control!$B$18=1,$EN205&lt;&gt;0)), $IQ205-$IU205, $IQ205)</f>
        <v>#N/A</v>
      </c>
      <c r="IX205" s="218" t="e">
        <f t="shared" ca="1" si="762"/>
        <v>#N/A</v>
      </c>
      <c r="IY205" s="218" t="e">
        <f ca="1">MAX(0,$IQ205-$EB205*Control!$C$159)</f>
        <v>#N/A</v>
      </c>
      <c r="IZ205" s="218" t="e">
        <f t="shared" ca="1" si="763"/>
        <v>#N/A</v>
      </c>
      <c r="JA205" s="216" t="e">
        <f t="shared" ca="1" si="764"/>
        <v>#N/A</v>
      </c>
      <c r="JB205" s="217" t="e">
        <f t="shared" ca="1" si="765"/>
        <v>#N/A</v>
      </c>
      <c r="JC205" s="222" t="e">
        <f ca="1">MAX(Control!$C$157*$EK205-$JT205, 0)/Control!$C$162</f>
        <v>#N/A</v>
      </c>
      <c r="JD205" s="218" t="e">
        <f t="shared" ca="1" si="766"/>
        <v>#N/A</v>
      </c>
      <c r="JE205" s="218" t="e">
        <f t="shared" ca="1" si="767"/>
        <v>#N/A</v>
      </c>
      <c r="JF205" s="218" t="e">
        <f t="shared" ca="1" si="876"/>
        <v>#N/A</v>
      </c>
      <c r="JG205" s="218" t="e">
        <f t="shared" ca="1" si="768"/>
        <v>#N/A</v>
      </c>
      <c r="JH205" s="217" t="e">
        <f t="shared" ca="1" si="877"/>
        <v>#N/A</v>
      </c>
      <c r="JI205" s="217" t="e">
        <f t="shared" ca="1" si="878"/>
        <v>#N/A</v>
      </c>
      <c r="JJ205" s="217" t="e">
        <f t="shared" ca="1" si="913"/>
        <v>#N/A</v>
      </c>
      <c r="JK205" s="217" t="e">
        <f ca="1">IF(Control!$C$114=1,IF(Control!$B$24=0,MAX(0,$JI205)*$GN205/Control!$C$64,(MAX(0,MIN($JI205,$JJ205*$GN205/Control!$C$64),0))))</f>
        <v>#N/A</v>
      </c>
      <c r="JL205" s="217" t="e">
        <f ca="1">$IK205/Control!$C$64-$JK205+$HQ205</f>
        <v>#N/A</v>
      </c>
      <c r="JM205" s="217" t="e">
        <f ca="1">IF(Control!$C$114=1,($JB205/(IF($JI205&lt;&gt;0,$JI205,1)))*$JK205,0)</f>
        <v>#N/A</v>
      </c>
      <c r="JN205" s="217" t="e">
        <f ca="1">IF(Control!$C$114=1,($JG205/(IF($JI205&lt;&gt;0,$JI205,1)))*$JK205, 0)</f>
        <v>#N/A</v>
      </c>
      <c r="JO205" s="218" t="e">
        <f t="shared" ca="1" si="769"/>
        <v>#N/A</v>
      </c>
      <c r="JP205" s="218" t="e">
        <f ca="1">MIN(($IY205+$IO205)*Control!$C$151, $JF205-$EH205*Control!$C$161)</f>
        <v>#N/A</v>
      </c>
      <c r="JQ205" s="218" t="e">
        <f t="shared" ca="1" si="770"/>
        <v>#N/A</v>
      </c>
      <c r="JR205" s="217" t="e">
        <f ca="1">IF($CP205-Control!$C$150&lt;0, 0, $JQ205/Control!$C$162)</f>
        <v>#N/A</v>
      </c>
      <c r="JS205" s="218" t="e">
        <f t="shared" ca="1" si="771"/>
        <v>#N/A</v>
      </c>
      <c r="JT205" s="218" t="e">
        <f t="shared" ca="1" si="879"/>
        <v>#N/A</v>
      </c>
      <c r="JU205" s="218" t="e">
        <f t="shared" ca="1" si="772"/>
        <v>#N/A</v>
      </c>
      <c r="JV205" s="218" t="e">
        <f t="shared" ca="1" si="773"/>
        <v>#N/A</v>
      </c>
      <c r="JW205" s="216" t="e">
        <f t="shared" ca="1" si="774"/>
        <v>#N/A</v>
      </c>
      <c r="JX205" s="91" t="e">
        <f t="shared" ca="1" si="775"/>
        <v>#N/A</v>
      </c>
      <c r="JY205" s="218" t="e">
        <f t="shared" ca="1" si="776"/>
        <v>#N/A</v>
      </c>
      <c r="JZ205" s="217" t="e">
        <f ca="1">IF(Control!$C$114=1,($IZ205/(IF($JI205&lt;&gt;0,$JI205,1)))*$JK205, 0)</f>
        <v>#N/A</v>
      </c>
      <c r="KA205" s="218" t="e">
        <f t="shared" ca="1" si="914"/>
        <v>#N/A</v>
      </c>
      <c r="KB205" s="218" t="e">
        <f t="shared" ca="1" si="880"/>
        <v>#N/A</v>
      </c>
      <c r="KC205" s="218" t="e">
        <f t="shared" ca="1" si="777"/>
        <v>#N/A</v>
      </c>
      <c r="KD205" s="218" t="e">
        <f t="shared" ca="1" si="778"/>
        <v>#N/A</v>
      </c>
      <c r="KE205" s="218" t="e">
        <f t="shared" ca="1" si="779"/>
        <v>#N/A</v>
      </c>
      <c r="KF205" s="218" t="e">
        <f t="shared" ca="1" si="780"/>
        <v>#N/A</v>
      </c>
      <c r="KG205" s="216" t="e">
        <f t="shared" ca="1" si="781"/>
        <v>#N/A</v>
      </c>
      <c r="KH205" s="221" t="e">
        <f ca="1">IF(Control!$B$24=0,1,MAX(0.001,MIN(1,IF(($IF205-$IE205)&lt;&gt;0,($KG205-$IE205)/($IF205-$IE205),1))))</f>
        <v>#N/A</v>
      </c>
      <c r="KI205" s="222" t="e">
        <f ca="1">IF(Control!$C$114=1, $KI204+ $KH204, 0)</f>
        <v>#N/A</v>
      </c>
      <c r="KJ205" s="217" t="e">
        <f t="shared" ca="1" si="782"/>
        <v>#N/A</v>
      </c>
      <c r="KK205" s="218" t="e">
        <f t="shared" ca="1" si="783"/>
        <v>#N/A</v>
      </c>
      <c r="KL205" s="274" t="e">
        <f ca="1">IF(Control!$B$26=3,4000000000*EXP(-8400/($G205+273)),IF(Control!$B$26=4,4000000000*EXP(-8400/($G205+273))*($KT205),0))</f>
        <v>#DIV/0!</v>
      </c>
      <c r="KM205" s="274" t="e">
        <f ca="1">IF(Control!$B$26=3,5600000000000*EXP(-9800/($G205+273)),IF(Control!$B$26=4,5600000000000*EXP(-9800/($G205+273))*$KT205,0))</f>
        <v>#DIV/0!</v>
      </c>
      <c r="KN205" s="454" t="e">
        <f t="shared" ca="1" si="881"/>
        <v>#DIV/0!</v>
      </c>
      <c r="KO205" s="274" t="e">
        <f t="shared" ca="1" si="882"/>
        <v>#DIV/0!</v>
      </c>
      <c r="KP205" s="454" t="e">
        <f t="shared" ca="1" si="784"/>
        <v>#DIV/0!</v>
      </c>
      <c r="KQ205" s="454" t="e">
        <f t="shared" ca="1" si="785"/>
        <v>#DIV/0!</v>
      </c>
      <c r="KR205" s="454" t="e">
        <f t="shared" ca="1" si="786"/>
        <v>#DIV/0!</v>
      </c>
      <c r="KS205" s="454" t="e">
        <f t="shared" ca="1" si="787"/>
        <v>#DIV/0!</v>
      </c>
      <c r="KT205" s="455" t="e">
        <f t="shared" ca="1" si="788"/>
        <v>#DIV/0!</v>
      </c>
      <c r="KU205" s="456" t="e">
        <f ca="1">IF($CP205-Control!$C$149&lt;0, IF($NT205-0.01&lt;0,0,1),0)</f>
        <v>#N/A</v>
      </c>
      <c r="KV205" s="456" t="e">
        <f ca="1">IF(Control!$C$114=1,MAX(0,MIN(Control!$C$125*$KW205*$GN205,$KW205)))</f>
        <v>#DIV/0!</v>
      </c>
      <c r="KW205" s="456" t="e">
        <f t="shared" ca="1" si="915"/>
        <v>#DIV/0!</v>
      </c>
      <c r="KX205" s="457" t="e">
        <f ca="1">IF($CP205-Control!$C$149&lt;0, IF($MR205-$OM205&lt;0,0,1),0)</f>
        <v>#N/A</v>
      </c>
      <c r="KY205" s="167">
        <f t="shared" ca="1" si="883"/>
        <v>201</v>
      </c>
      <c r="KZ205" s="168">
        <f ca="1">1370*(1+0.033*COS(2*Control!$C$138*$AH205/365))</f>
        <v>1327.0633708631415</v>
      </c>
      <c r="LA205" s="169">
        <f t="shared" ca="1" si="884"/>
        <v>0.96865931118788273</v>
      </c>
      <c r="LB205" s="169">
        <f t="shared" ca="1" si="885"/>
        <v>0.35907644013137774</v>
      </c>
      <c r="LC205" s="169">
        <f ca="1">ACOS(-TAN((2*Control!$B$8/360))*TAN(Calculations!$LB205))</f>
        <v>1.6825838472102863</v>
      </c>
      <c r="LD205" s="169">
        <f ca="1">((24*60)/PI())*0.082*$LA205*(($LC205*SIN(Control!$B$8*2*PI()/360))*SIN($LB205)+COS(Control!$B$8*2*PI()/360)*COS($LB205)*SIN($LC205))</f>
        <v>37.818146356547423</v>
      </c>
      <c r="LE205" s="170">
        <f t="shared" ca="1" si="789"/>
        <v>39.179748164398958</v>
      </c>
      <c r="LF205" s="170">
        <f ca="1">SIN(Control!$C$139*Control!$B$8)*SIN($HD205)</f>
        <v>0.27659931436107238</v>
      </c>
      <c r="LG205" s="170">
        <f ca="1">COS(Control!$C$139*Control!$B$8)*COS($HD205)</f>
        <v>0.57648665662566767</v>
      </c>
      <c r="LH205" s="170">
        <f ca="1">12*(1+2*ASIN(MAX(-1,MIN(1,$LF205/$LG205))/Control!$C$138))</f>
        <v>15.679807852282407</v>
      </c>
      <c r="LI205" s="170">
        <f ca="1">12*(1+2*ASIN(MAX(-1,MIN(1,(-SIN(-4*Control!$C$139)+$LF205)/$LG205))/Control!$C$138))</f>
        <v>16.618247997430597</v>
      </c>
      <c r="LJ205" s="168">
        <f ca="1">3600*($LH205*$LF205+24*$LG205*SQRT(1-$LK205*$LK205)/Control!$C$138)</f>
        <v>29523.645233999549</v>
      </c>
      <c r="LK205" s="170">
        <f t="shared" ca="1" si="790"/>
        <v>0.47980176328812707</v>
      </c>
      <c r="LL205" s="170">
        <f t="shared" ca="1" si="791"/>
        <v>0</v>
      </c>
      <c r="LM205" s="171">
        <f ca="1">Control!$C$145*$AB205</f>
        <v>6.6660906138995932E-2</v>
      </c>
      <c r="LN205" s="170">
        <f t="shared" ca="1" si="886"/>
        <v>0.54</v>
      </c>
      <c r="LO205" s="170">
        <f t="shared" ca="1" si="792"/>
        <v>0</v>
      </c>
      <c r="LP205" s="170">
        <f ca="1">Control!$C$140*((($D205+273.16)^4+($E205+273.16)^4)/2)*(0.34-0.14*SQRT($Y205))*(1.35*$AQ205/(0.75*$LD205)-0.35)</f>
        <v>-3.2464704755046001</v>
      </c>
      <c r="LQ205" s="170">
        <f ca="1">Control!$C$140*($G205+273)^4*(0.56-0.079*SQRT($Y205*10))*(0.1+0.9*$LO205)</f>
        <v>1.5241745131704001</v>
      </c>
      <c r="LR205" s="170">
        <f ca="1">$AQ205*(1-Control!$C$142)-$LQ205</f>
        <v>-1.5241745131704001</v>
      </c>
      <c r="LS205" s="170">
        <f ca="1">$AQ205*(1-Control!$C$143)-$LQ205</f>
        <v>-1.5241745131704001</v>
      </c>
      <c r="LT205" s="170">
        <f ca="1">$AQ205*(1-Control!$C$144)-$LQ205</f>
        <v>-1.5241745131704001</v>
      </c>
      <c r="LU205" s="169">
        <f ca="1">(1-Control!$C$144)*AQ205-LP205</f>
        <v>3.2464704755046001</v>
      </c>
      <c r="LV205" s="172">
        <f t="shared" ca="1" si="793"/>
        <v>0.79430000000000012</v>
      </c>
      <c r="LW205" s="170">
        <f t="shared" ca="1" si="794"/>
        <v>1.5886000000000002</v>
      </c>
      <c r="LX205" s="170">
        <f ca="1">($AC205*($LR205/Control!$C$141)+$LM205*$LV205)/($AC205+$LM205)</f>
        <v>0.23530094218323697</v>
      </c>
      <c r="LY205" s="170">
        <f ca="1">($AC205*($LS205/Control!$C$141)+$LM205*$LV205)/($AC205+$LM205)</f>
        <v>0.23530094218323697</v>
      </c>
      <c r="LZ205" s="170">
        <f t="shared" ca="1" si="795"/>
        <v>0.23530094218323697</v>
      </c>
      <c r="MA205" s="170">
        <f t="shared" ca="1" si="796"/>
        <v>0.23530094218323697</v>
      </c>
      <c r="MB205" s="170" t="e">
        <f t="shared" ca="1" si="797"/>
        <v>#N/A</v>
      </c>
      <c r="MC205" s="170">
        <f t="shared" ca="1" si="887"/>
        <v>0.6018</v>
      </c>
      <c r="MD205" s="170">
        <f t="shared" ca="1" si="798"/>
        <v>0.52989392535414004</v>
      </c>
      <c r="ME205" s="170">
        <f ca="1">($AC205*($LT205/Control!$C$141)+$LM205*$LW205)/($AC205+$LM205)</f>
        <v>0.71612369323045078</v>
      </c>
      <c r="MF205" s="170" t="e">
        <f ca="1">IF(Control!$B$16&gt;=1000,0.92,IF(AND(720&lt;=Control!$B$16,1000&gt;Control!$B$16),(0.95+(Control!$B$16-720)*((0.92-0.95)/(1000-720))),IF(AND(360&lt;=Control!$B$16,720&gt;Control!$B$16),(1+(Control!$B$16-360)*((0.95-1)/(720-360))),IF(AND(40&lt;=Control!$B$16,360&gt;Control!$B$16),(1.05+(Control!$B$16-40)*((1.05-1)/(360-40)))))))</f>
        <v>#N/A</v>
      </c>
      <c r="MG205" s="170">
        <f t="shared" ca="1" si="799"/>
        <v>0.71612369323045078</v>
      </c>
      <c r="MH205" s="170" t="e">
        <f t="shared" ca="1" si="695"/>
        <v>#N/A</v>
      </c>
      <c r="MI205" s="170" t="e">
        <f t="shared" ca="1" si="695"/>
        <v>#N/A</v>
      </c>
      <c r="MJ205" s="170" t="e">
        <f ca="1">MAX(0.0001, Control!$C$132*$MI205*$DL205)</f>
        <v>#N/A</v>
      </c>
      <c r="MK205" s="170">
        <f ca="1">1/(0.76+1.5*($MG205/10))-(5-Control!$C$110)*0.1</f>
        <v>1.002845988140797</v>
      </c>
      <c r="ML205" s="173">
        <f ca="1">IF(Control!$C$110&lt;3,$MK205+($MG205-0.6)/(Control!$C$110*(Control!$C$110+3)), MAX(0.1, MIN(0.95,$MK205)))</f>
        <v>0.95</v>
      </c>
      <c r="MM205" s="173">
        <f ca="1">IF(Control!$C$110&lt;3,$MK205+(($MI205/10)-0.6)/(Control!$C$110*(Control!$C$110+3)), MAX(0.1, MIN(0.95,$MK205)))</f>
        <v>0.95</v>
      </c>
      <c r="MN205" s="173">
        <f ca="1">(1-$MM205)*(Control!$C$128-Control!$C$127)+Control!$C$127</f>
        <v>0.16</v>
      </c>
      <c r="MO205" s="170" t="e">
        <f ca="1">MAX(0,MIN(1,($MS205-Control!$C$127)/($MN205-Control!$C$127)))</f>
        <v>#DIV/0!</v>
      </c>
      <c r="MP205" s="173" t="e">
        <f ca="1">1/(0.76+1.5*$MI205)-(5-Control!$C$110)*0.1</f>
        <v>#N/A</v>
      </c>
      <c r="MQ205" s="172" t="e">
        <f t="shared" ca="1" si="916"/>
        <v>#DIV/0!</v>
      </c>
      <c r="MR205" s="168" t="e">
        <f t="shared" ca="1" si="888"/>
        <v>#DIV/0!</v>
      </c>
      <c r="MS205" s="173" t="e">
        <f ca="1">MAX(Control!$C$127, MIN(Control!$C$135, $MR205/MAX(0.0001,$CY205)))</f>
        <v>#DIV/0!</v>
      </c>
      <c r="MT205" s="168" t="e">
        <f ca="1">(Control!$C$128-$MS205)*Control!$C$74</f>
        <v>#DIV/0!</v>
      </c>
      <c r="MU205" s="168" t="e">
        <f ca="1">(Control!$C$135-$MS205)*Control!$C$74</f>
        <v>#DIV/0!</v>
      </c>
      <c r="MV205" s="168" t="e">
        <f t="shared" ca="1" si="889"/>
        <v>#DIV/0!</v>
      </c>
      <c r="MW205" s="168" t="e">
        <f t="shared" ca="1" si="890"/>
        <v>#DIV/0!</v>
      </c>
      <c r="MX205" s="171" t="e">
        <f ca="1">MAX(Control!$C$127, MIN(Control!$C$135, $MW205/MAX(0.0001,Control!$C$119-$CY205)))</f>
        <v>#DIV/0!</v>
      </c>
      <c r="MY205" s="54" t="e">
        <f ca="1">IF(Control!$C$114=1, $CX205*$MX205, 0)</f>
        <v>#DIV/0!</v>
      </c>
      <c r="MZ205" s="54" t="e">
        <f t="shared" ca="1" si="891"/>
        <v>#N/A</v>
      </c>
      <c r="NA205" s="168" t="e">
        <f ca="1">(Control!$C$128-$MX205)*(Control!$C$119-Control!$C$74)</f>
        <v>#DIV/0!</v>
      </c>
      <c r="NB205" s="168" t="e">
        <f ca="1">(Control!$C$135-$MX205)*(Control!$C$119-Control!$C$74)</f>
        <v>#DIV/0!</v>
      </c>
      <c r="NC205" s="174" t="e">
        <f t="shared" ca="1" si="892"/>
        <v>#DIV/0!</v>
      </c>
      <c r="ND205" s="54">
        <f ca="1">IF(Control!$C$58=2, IF(OR(Control!$B$218=$AH205,Control!$B$219=$AH205, Control!$B$220=$AH205, Control!$B$221=$AH205, Control!$B$222=$AH205, Control!$B$223=$AH205, Control!$B$224=$AH205, Control!$B$225=$AH205, Control!$B$226=$AH205, Control!$B$227=$AH205, Control!$B$228=$AH205), 1, 0), 0)</f>
        <v>0</v>
      </c>
      <c r="NE205" s="54">
        <f ca="1">IF($ND205=0,0, VLOOKUP($AH205,Control!$B$218:$C$228,2))</f>
        <v>0</v>
      </c>
      <c r="NF205" s="168" t="e">
        <f ca="1">$CY205*(Control!$C$128-Control!$C$127)</f>
        <v>#N/A</v>
      </c>
      <c r="NG205" s="54" t="e">
        <f ca="1">IF(Control!$C$58=2, $NI204-$NJ204, 0)</f>
        <v>#DIV/0!</v>
      </c>
      <c r="NH205" s="54" t="e">
        <f ca="1">IF(AND(Control!$C$58=1, $MS204&lt;= ($MN204+0.02), $I204&lt;10), 0, IF(Control!$C$58=2, $NG204, 0))</f>
        <v>#DIV/0!</v>
      </c>
      <c r="NI205" s="54" t="e">
        <f ca="1">IF(Control!$C$58=2, $NE205+$NH205,0)</f>
        <v>#DIV/0!</v>
      </c>
      <c r="NJ205" s="54" t="e">
        <f ca="1">IF(AND(Control!$C$58=1, $MS205&lt;= ($MN205+0.02), $I205&lt;10), MAX(0, MIN(10, 0.7*($NF205-$MV205))), IF(Control!$C$58=2, MIN(10,$NI205),0))</f>
        <v>#DIV/0!</v>
      </c>
      <c r="NK205" s="54" t="e">
        <f t="shared" ca="1" si="800"/>
        <v>#DIV/0!</v>
      </c>
      <c r="NL205" s="173" t="e">
        <f ca="1">(1-Control!$C$73)*$I205+$NJ205</f>
        <v>#DIV/0!</v>
      </c>
      <c r="NM205" s="172" t="e">
        <f ca="1">IF($NL205&lt;0.5, $MB205* MAX(0, MIN(1, (SQRT($NC205)-SQRT($NC205-1))*Control!$C$71)),0)</f>
        <v>#DIV/0!</v>
      </c>
      <c r="NN205" s="170" t="e">
        <f ca="1">IF($NL205&gt;=5, $MB205, MAX(0,MIN($MB205, $NM205+$NL205,($MS205-Control!$C$129))))</f>
        <v>#DIV/0!</v>
      </c>
      <c r="NO205" s="54">
        <f>IF(Control!$C$133&lt;&gt;1, Control!$C$135-Control!$C$131, 0)</f>
        <v>0.38</v>
      </c>
      <c r="NP205" s="54" t="e">
        <f t="shared" ca="1" si="801"/>
        <v>#DIV/0!</v>
      </c>
      <c r="NQ205" s="173" t="e">
        <f ca="1">MAX(0,MIN(1,(Control!$C$135-$MS205)/(Control!$C$135-$NO205)))</f>
        <v>#DIV/0!</v>
      </c>
      <c r="NR205" s="170" t="e">
        <f ca="1">IF(Control!$C$133&lt;&gt;1, $NQ205+((1-$NP205/4)*(1-$NQ205)),1)</f>
        <v>#DIV/0!</v>
      </c>
      <c r="NS205" s="170" t="e">
        <f ca="1">IF(Control!$B$31=0,$MJ205,MAX(0,MIN($MV205,$MO205*$NR205*$MJ205)))</f>
        <v>#DIV/0!</v>
      </c>
      <c r="NT205" s="170" t="e">
        <f t="shared" ca="1" si="917"/>
        <v>#DIV/0!</v>
      </c>
      <c r="NU205" s="170" t="e">
        <f t="shared" ca="1" si="893"/>
        <v>#N/A</v>
      </c>
      <c r="NV205" s="170" t="e">
        <f t="shared" ca="1" si="802"/>
        <v>#N/A</v>
      </c>
      <c r="NW205" s="175" t="e">
        <f t="shared" ca="1" si="803"/>
        <v>#DIV/0!</v>
      </c>
      <c r="NX205" s="170" t="e">
        <f ca="1">MIN(Control!$C$72+$MU205, $NW205)</f>
        <v>#DIV/0!</v>
      </c>
      <c r="NY205" s="170" t="e">
        <f ca="1">IF($MT205&lt;=$NX205,MIN(Control!$C$72+$NB205,$NX205-$MT205),0)</f>
        <v>#DIV/0!</v>
      </c>
      <c r="NZ205" s="54" t="e">
        <f ca="1">IF(Control!$C$114=1,  $CX205*($MX205-Control!$C$127), 0)</f>
        <v>#DIV/0!</v>
      </c>
      <c r="OA205" s="170" t="e">
        <f t="shared" ca="1" si="804"/>
        <v>#DIV/0!</v>
      </c>
      <c r="OB205" s="170" t="e">
        <f ca="1">IF($NA205 &lt;=$NY205, MIN(Control!$C$72, $NY205-$NA205), 0)</f>
        <v>#DIV/0!</v>
      </c>
      <c r="OC205" s="168" t="e">
        <f t="shared" ca="1" si="805"/>
        <v>#DIV/0!</v>
      </c>
      <c r="OD205" s="168" t="e">
        <f t="shared" ca="1" si="894"/>
        <v>#DIV/0!</v>
      </c>
      <c r="OE205" s="170">
        <f ca="1">Control!$C$73*$I205</f>
        <v>0</v>
      </c>
      <c r="OF205" s="176" t="e">
        <f t="shared" ca="1" si="806"/>
        <v>#DIV/0!</v>
      </c>
      <c r="OG205" s="168" t="e">
        <f t="shared" ca="1" si="807"/>
        <v>#DIV/0!</v>
      </c>
      <c r="OH205" s="168" t="e">
        <f t="shared" ca="1" si="808"/>
        <v>#DIV/0!</v>
      </c>
      <c r="OI205" s="168" t="e">
        <f t="shared" ca="1" si="809"/>
        <v>#DIV/0!</v>
      </c>
      <c r="OJ205" s="168" t="e">
        <f t="shared" ca="1" si="810"/>
        <v>#DIV/0!</v>
      </c>
      <c r="OK205" s="204" t="e">
        <f t="shared" ca="1" si="811"/>
        <v>#DIV/0!</v>
      </c>
      <c r="OL205" s="177">
        <f>Control!$C$127</f>
        <v>0.15</v>
      </c>
      <c r="OM205" s="182" t="e">
        <f t="shared" ca="1" si="812"/>
        <v>#N/A</v>
      </c>
      <c r="ON205" s="177">
        <f>Control!$C$128</f>
        <v>0.35</v>
      </c>
      <c r="OO205" s="182" t="e">
        <f t="shared" ca="1" si="813"/>
        <v>#N/A</v>
      </c>
      <c r="OP205" s="138">
        <f t="shared" ca="1" si="895"/>
        <v>0</v>
      </c>
      <c r="OQ205" s="138" t="e">
        <f t="shared" ca="1" si="918"/>
        <v>#DIV/0!</v>
      </c>
      <c r="OR205" s="138" t="e">
        <f t="shared" ca="1" si="896"/>
        <v>#DIV/0!</v>
      </c>
      <c r="OS205" s="137" t="e">
        <f t="shared" ca="1" si="919"/>
        <v>#DIV/0!</v>
      </c>
      <c r="OT205" s="139" t="e">
        <f t="shared" ca="1" si="920"/>
        <v>#DIV/0!</v>
      </c>
      <c r="OU205" s="138" t="e">
        <f t="shared" ca="1" si="921"/>
        <v>#N/A</v>
      </c>
      <c r="OV205" s="138" t="e">
        <f t="shared" ca="1" si="922"/>
        <v>#DIV/0!</v>
      </c>
      <c r="OW205" s="138" t="e">
        <f t="shared" ca="1" si="897"/>
        <v>#DIV/0!</v>
      </c>
      <c r="OX205" s="138" t="e">
        <f t="shared" ca="1" si="898"/>
        <v>#DIV/0!</v>
      </c>
      <c r="OY205" s="138" t="e">
        <f t="shared" ca="1" si="899"/>
        <v>#DIV/0!</v>
      </c>
      <c r="OZ205" s="138" t="e">
        <f t="shared" ca="1" si="814"/>
        <v>#DIV/0!</v>
      </c>
      <c r="PA205" s="138" t="e">
        <f t="shared" ca="1" si="815"/>
        <v>#DIV/0!</v>
      </c>
      <c r="PB205" s="55">
        <f>IF(Control!$C$61="T", IF(Control!$C$65="F", IF($AH$6-Control!$C$60&lt;0,0,1), IF(365+$AH$6-Control!$C$60&lt;0,0,1)),0)</f>
        <v>0</v>
      </c>
      <c r="PC205" s="55">
        <f ca="1">IF(Control!$C$65="F", IF($AH$6-$HF205&lt;0,0,1), IF(365+$AH$6-$HF205&lt;0,0,1))</f>
        <v>1</v>
      </c>
      <c r="PD205" s="444">
        <f>Control!$C$118</f>
        <v>1500</v>
      </c>
      <c r="PE205" s="180" t="e">
        <f t="shared" ca="1" si="816"/>
        <v>#N/A</v>
      </c>
      <c r="PF205" s="445">
        <f t="shared" ca="1" si="900"/>
        <v>0.71612369323045078</v>
      </c>
      <c r="PT205" s="186"/>
      <c r="PU205" s="186"/>
      <c r="PV205" s="94"/>
      <c r="PW205" s="94"/>
      <c r="PX205" s="94"/>
      <c r="PY205" s="94"/>
      <c r="PZ205" s="94"/>
      <c r="QA205" s="94"/>
      <c r="QB205" s="94"/>
      <c r="QC205" s="94"/>
      <c r="QD205" s="94"/>
      <c r="QE205" s="94"/>
      <c r="QF205" s="94"/>
      <c r="QG205" s="94"/>
      <c r="QH205" s="94"/>
      <c r="QI205" s="94"/>
      <c r="QJ205" s="94"/>
      <c r="QK205" s="94"/>
      <c r="QL205" s="94"/>
      <c r="QM205" s="94"/>
      <c r="QN205" s="94"/>
      <c r="QO205" s="94"/>
      <c r="QP205" s="94"/>
    </row>
    <row r="206" spans="1:458" s="2" customFormat="1" x14ac:dyDescent="0.2">
      <c r="A206" s="395">
        <v>20</v>
      </c>
      <c r="B206" s="396">
        <v>7</v>
      </c>
      <c r="C206" s="387">
        <f ca="1">Weather_data!$B205</f>
        <v>0</v>
      </c>
      <c r="D206" s="388">
        <f ca="1">Weather_data!$F205</f>
        <v>0</v>
      </c>
      <c r="E206" s="388">
        <f ca="1">Weather_data!$E205</f>
        <v>0</v>
      </c>
      <c r="F206" s="388">
        <f t="shared" ca="1" si="817"/>
        <v>0</v>
      </c>
      <c r="G206" s="388">
        <f ca="1">AVERAGE($D206:$E206)+Control!$B$9</f>
        <v>0</v>
      </c>
      <c r="H206" s="388">
        <f ca="1">Weather_data!$G205</f>
        <v>0</v>
      </c>
      <c r="I206" s="388">
        <f ca="1">Weather_data!$I205</f>
        <v>0</v>
      </c>
      <c r="J206" s="388">
        <f ca="1">Weather_data!$H205</f>
        <v>0</v>
      </c>
      <c r="K206" s="389">
        <f ca="1">Weather_data!$D205</f>
        <v>0</v>
      </c>
      <c r="L206" s="388" t="e">
        <f t="shared" ca="1" si="818"/>
        <v>#N/A</v>
      </c>
      <c r="M206" s="388" t="e">
        <f t="shared" ca="1" si="696"/>
        <v>#N/A</v>
      </c>
      <c r="N206" s="388">
        <f t="shared" ca="1" si="697"/>
        <v>-3.5275395543276651E-10</v>
      </c>
      <c r="O206" s="388">
        <f t="shared" ca="1" si="819"/>
        <v>3.5275395543276649E-9</v>
      </c>
      <c r="P206" s="390">
        <v>3</v>
      </c>
      <c r="Q206" s="388">
        <f ca="1">MAX($G206-Control!$C$107,0)</f>
        <v>0</v>
      </c>
      <c r="R206" s="388">
        <f t="shared" ca="1" si="820"/>
        <v>0</v>
      </c>
      <c r="S206" s="388">
        <f t="shared" ca="1" si="698"/>
        <v>0</v>
      </c>
      <c r="T206" s="388">
        <f t="shared" ca="1" si="699"/>
        <v>0</v>
      </c>
      <c r="U206" s="59">
        <f t="shared" ca="1" si="700"/>
        <v>0</v>
      </c>
      <c r="V206" s="391">
        <f ca="1">MAX(0,MIN(Control!$C$100-Control!$C$99,$G206-Control!$C$99)*Control!$C$63)</f>
        <v>0</v>
      </c>
      <c r="W206" s="388">
        <f t="shared" ca="1" si="821"/>
        <v>0</v>
      </c>
      <c r="X206" s="388">
        <f t="shared" ca="1" si="822"/>
        <v>0.6110000000000001</v>
      </c>
      <c r="Y206" s="388">
        <f t="shared" ca="1" si="701"/>
        <v>0</v>
      </c>
      <c r="Z206" s="388">
        <f t="shared" ca="1" si="823"/>
        <v>0.61058800000000002</v>
      </c>
      <c r="AA206" s="388">
        <f t="shared" ca="1" si="702"/>
        <v>0.6018</v>
      </c>
      <c r="AB206" s="388">
        <f ca="1">101.3*EXP(-0.034*Control!$C$66/($G206+273))</f>
        <v>100.69623283836242</v>
      </c>
      <c r="AC206" s="392">
        <f t="shared" ca="1" si="703"/>
        <v>4.3460251046025113E-2</v>
      </c>
      <c r="AD206" s="392">
        <f t="shared" ca="1" si="704"/>
        <v>4.4450382862832649E-2</v>
      </c>
      <c r="AE206" s="388">
        <f t="shared" ca="1" si="705"/>
        <v>0</v>
      </c>
      <c r="AF206" s="388">
        <f ca="1">MAX(0,$G206-Control!$C$92)</f>
        <v>0</v>
      </c>
      <c r="AG206" s="393">
        <f t="shared" ca="1" si="706"/>
        <v>202</v>
      </c>
      <c r="AH206" s="389">
        <f t="shared" ca="1" si="707"/>
        <v>202</v>
      </c>
      <c r="AI206" s="388">
        <f t="shared" ca="1" si="824"/>
        <v>0.3551483451375797</v>
      </c>
      <c r="AJ206" s="388">
        <f ca="1">IF(Control!$C$60&lt;=0,$HH206,$HI206)</f>
        <v>1</v>
      </c>
      <c r="AK206" s="388">
        <f t="shared" ca="1" si="708"/>
        <v>2.1001331711668754</v>
      </c>
      <c r="AL206" s="388">
        <f t="shared" ca="1" si="709"/>
        <v>-1.442814617780286E-18</v>
      </c>
      <c r="AM206" s="388">
        <f t="shared" ca="1" si="710"/>
        <v>2.1001331711668754</v>
      </c>
      <c r="AN206" s="388">
        <f t="shared" ca="1" si="711"/>
        <v>0.35048987184561148</v>
      </c>
      <c r="AO206" s="388">
        <f ca="1">-0.10453/COS(Control!$B$8*PI()/180)*COS(AN206)</f>
        <v>-0.15946272959741678</v>
      </c>
      <c r="AP206" s="388">
        <f ca="1">ACOS(AO206-TAN(Control!$B$8*PI()/180)*TAN(AN206))</f>
        <v>2.2489914500301422</v>
      </c>
      <c r="AQ206" s="388">
        <f t="shared" ca="1" si="825"/>
        <v>0</v>
      </c>
      <c r="AR206" s="394">
        <f t="shared" ca="1" si="712"/>
        <v>0</v>
      </c>
      <c r="AS206" s="436">
        <f ca="1">IF(Control!$B$18=2,(IF(OR($AH206=Control!$B$175,$AH206=Control!$B$176,$AH206=Control!$B$177,$AH206=Control!$B$178,$AH206=Control!$B$179,$AH206=Control!$B$180,$AH206=Control!$B$181,$AH206=Control!$B$182,$AH206=Control!$B$183,$AH206=Control!$B$184,$AH206=Control!$B$185),1,0)),0)</f>
        <v>0</v>
      </c>
      <c r="AT206" s="436">
        <f>IF(Control!$B$20=8,IF(AND($AH206&gt;=Control!$B$172,$AH206&lt;=Control!$B$173),1,0),0)</f>
        <v>0</v>
      </c>
      <c r="AU206" s="436">
        <f>IF(Control!$B$20=8,IF($AV205=1,1*$AT206,IF($AT206=1,$AU205+1,$AU205)),0)</f>
        <v>0</v>
      </c>
      <c r="AV206" s="436">
        <f>IF(Control!$B$20=8,IF($AU206&gt;=Control!$B$174,1,0),0)</f>
        <v>0</v>
      </c>
      <c r="AW206" s="436">
        <f ca="1">IF(AND(Control!$B$18=2,Control!$B$171=1), $AV206, $AS206)</f>
        <v>0</v>
      </c>
      <c r="AX206" s="436" t="e">
        <f ca="1">IF(AND(Control!$B$18=1,$EU206&gt;=Control!$B$19),-$AY206,IF(AND(Control!$B$18=2,$AW206=1,$EU206&gt;$DS206),-$AY206, IF(Control!$C$108=0,0, IF(Control!$C$108&lt;&gt;0,1))))</f>
        <v>#N/A</v>
      </c>
      <c r="AY206" s="436" t="e">
        <f t="shared" ca="1" si="826"/>
        <v>#N/A</v>
      </c>
      <c r="AZ206" s="436" t="e">
        <f ca="1">IF(AND(Control!$B$18=1,$EB206&gt;Control!$B$19),$AZ205+1, IF(AND(Control!$B$18=2, $AW206=1, $EB206&gt;$DS206), $AZ205+1,$AZ205))</f>
        <v>#N/A</v>
      </c>
      <c r="BA206" s="587">
        <f>IF(Control!$C$81=0,1,IF($AH206&gt;=Control!$C$82,1,0))</f>
        <v>1</v>
      </c>
      <c r="BB206" s="140" t="e">
        <f ca="1">IF($BA206&gt;$BA205,Control!$C$83,IF($AW206&gt;0,$AW206*Control!$C$84,IF(AND(Control!$B$18=1,EN205&lt;&gt;0),Control!$C$84,0)))</f>
        <v>#N/A</v>
      </c>
      <c r="BC206" s="140" t="e">
        <f t="shared" ca="1" si="827"/>
        <v>#N/A</v>
      </c>
      <c r="BD206" s="140" t="e">
        <f ca="1">BC206*IF(OR($G206&lt;Control!$C$92,$G206&gt;Control!$C$95),0,IF(AND($G206&gt;=Control!$C$92,$G206&lt;=Control!$C$93),$G206-Control!$C$92,IF(AND($G206&gt;Control!$C$93,$G206&lt;=Control!$C$94),Control!$C$93-Control!$C$92,IF(AND($G206&gt;Control!$C$94,$G206&lt;=Control!$C$95),(Control!$C$93-Control!$C$92)*(Control!$C$94-$G206)/(Control!$C$95-Control!$C$94)))))</f>
        <v>#N/A</v>
      </c>
      <c r="BE206" s="140" t="e">
        <f t="shared" ca="1" si="828"/>
        <v>#N/A</v>
      </c>
      <c r="BF206" s="140" t="e">
        <f ca="1">IF($BE206&lt;=Control!$C$86,$BE206,Control!$C$86-$BE206)</f>
        <v>#N/A</v>
      </c>
      <c r="BG206" s="140" t="e">
        <f ca="1">IF(AND($AW206=1,Control!$C$84&lt;9),1,IF($BE206&gt;=Control!$C$86,0,$BC206))</f>
        <v>#N/A</v>
      </c>
      <c r="BH206" s="404" t="e">
        <f ca="1">IF($BG206=0,0,IF($BE206&lt;=Control!$C$86,$BC206*9*($BF206/Control!$C$86),0))</f>
        <v>#N/A</v>
      </c>
      <c r="BI206" s="140" t="e">
        <f ca="1">IF($BG206=1,0,IF($BE206&gt;=Control!$C$86,1,IF(AND($BB206&lt;21,$BB206&gt;=9),1,$BM205)))</f>
        <v>#N/A</v>
      </c>
      <c r="BJ206" s="140" t="e">
        <f ca="1">IF($BF206&lt;0,-$BF206,$BI206*IF(OR($G206&lt;Control!$C$92,$G206&gt;Control!$C$95),0,IF(AND($G206&gt;=Control!$C$92,$G206&lt;=Control!$C$93),$G206-Control!$C$92,IF(AND($G206&gt;Control!$C$93,$G206&lt;=Control!$C$94),Control!$C$93-Control!$C$92,IF(AND($G206&gt;Control!$C$94,$G206&lt;=Control!$C$95),(Control!$C$93-Control!$C$92)*(Control!$C$94-$G206)/(Control!$C$95-Control!$C$94))))))</f>
        <v>#N/A</v>
      </c>
      <c r="BK206" s="140" t="e">
        <f t="shared" ca="1" si="829"/>
        <v>#N/A</v>
      </c>
      <c r="BL206" s="140" t="e">
        <f ca="1">IF($BK206&lt;=Control!$C$87,$BK206,Control!$C$87-$BK206)</f>
        <v>#N/A</v>
      </c>
      <c r="BM206" s="140" t="e">
        <f ca="1">IF(AND($BB206&gt;=9,$BB206&lt;21),1,IF($BK206&gt;=Control!$C$87,0,$BI206))</f>
        <v>#N/A</v>
      </c>
      <c r="BN206" s="404" t="e">
        <f ca="1">IF($BM206=0,0,IF($BK206&lt;=Control!$C$87,$BI206*(9+(21-9)*($BL206/Control!$C$87)),0))</f>
        <v>#N/A</v>
      </c>
      <c r="BO206" s="140" t="e">
        <f ca="1">IF($BM206=1,0,IF($BK206&gt;=Control!$C$87,1,IF(AND($BB206&lt;30,$BB206&gt;=21),1,$BS205)))</f>
        <v>#N/A</v>
      </c>
      <c r="BP206" s="140" t="e">
        <f ca="1">IF($BL206&lt;0,-$BL206,$BO206*IF(OR($G206&lt;Control!$C$92,$G206&gt;Control!$C$95),0,IF(AND($G206&gt;=Control!$C$92,$G206&lt;=Control!$C$93),$G206-Control!$C$92,IF(AND($G206&gt;Control!$C$93,$G206&lt;=Control!$C$94),Control!$C$93-Control!$C$92,IF(AND($G206&gt;Control!$C$94,$G206&lt;=Control!$C$95),(Control!$C$93-Control!$C$92)*(Control!$C$94-$G206)/(Control!$C$95-Control!$C$94))))))</f>
        <v>#N/A</v>
      </c>
      <c r="BQ206" s="140" t="e">
        <f t="shared" ca="1" si="713"/>
        <v>#N/A</v>
      </c>
      <c r="BR206" s="140" t="e">
        <f ca="1">IF($BQ206&lt;=Control!$C$88,$BQ206,Control!$C$88-$BQ206)</f>
        <v>#N/A</v>
      </c>
      <c r="BS206" s="140" t="e">
        <f ca="1">IF(AND($BB206&gt;=21,$BB206&lt;30),1,IF($BQ206&gt;=Control!$C$88,0,$BO206))</f>
        <v>#N/A</v>
      </c>
      <c r="BT206" s="404" t="e">
        <f ca="1">IF($BS206=0,0,IF($BQ206&lt;=Control!$C$88,$BO206*(21+(30-21)*(BR206/Control!$C$88)),0))</f>
        <v>#N/A</v>
      </c>
      <c r="BU206" s="140" t="e">
        <f ca="1">IF(BG206+BM206+BS206=1,0,IF(OR(AND($BB206&lt;60,$BB206&gt;=30),$BQ206&gt;=Control!$C$88),1*$BA206,$BY205))</f>
        <v>#N/A</v>
      </c>
      <c r="BV206" s="140" t="e">
        <f ca="1">IF($BR206&lt;0,-$BR206,$BU206*IF(OR($G206&lt;Control!$C$92,$G206&gt;Control!$C$95),0,IF(AND($G206&gt;=Control!$C$92,$G206&lt;=Control!$C$93),$G206-Control!$C$92,IF(AND($G206&gt;Control!$C$93,$G206&lt;=Control!$C$94),Control!$C$93-Control!$C$92,IF(AND($G206&gt;Control!$C$94,$G206&lt;=Control!$C$95),(Control!$C$93-Control!$C$92)*(Control!$C$94-$G206)/(Control!$C$95-Control!$C$94))))))</f>
        <v>#N/A</v>
      </c>
      <c r="BW206" s="140" t="e">
        <f t="shared" ca="1" si="714"/>
        <v>#N/A</v>
      </c>
      <c r="BX206" s="140" t="e">
        <f ca="1">IF($BW206&lt;=Control!$C$89,$BW206,Control!$C$89-$BW206)</f>
        <v>#N/A</v>
      </c>
      <c r="BY206" s="140" t="e">
        <f ca="1">IF(AND($AJ206&gt;=30,$AJ206&lt;60),1,IF($BW206&gt;=Control!$C$89,0,$BU206))</f>
        <v>#N/A</v>
      </c>
      <c r="BZ206" s="404" t="e">
        <f ca="1">IF($BY206=0,0,IF($BW206&lt;=Control!$C$89,$BU206*(30+(60-30)*(BX206/Control!$C$89)),0))</f>
        <v>#N/A</v>
      </c>
      <c r="CA206" s="140" t="e">
        <f ca="1">IF($BG206+$BM206+$BS206+$BY206=1,0,IF(OR(AND($BB206&lt;65,$BB206&gt;=60),$BW206&gt;=Control!$C$89),1*$BA206,$CE205))</f>
        <v>#N/A</v>
      </c>
      <c r="CB206" s="140" t="e">
        <f ca="1">IF($BX206&lt;0,-$BX206,$CA206*IF(OR($G206&lt;Control!$C$92,$G206&gt;Control!$C$95),0,IF(AND($G206&gt;=Control!$C$92,$G206&lt;=Control!$C$93),$G206-Control!$C$92,IF(AND($G206&gt;Control!$C$93,$G206&lt;=Control!$C$94),Control!$C$93-Control!$C$92,IF(AND($G206&gt;Control!$C$94,$G206&lt;=Control!$C$95),(Control!$C$93-Control!$C$92)*(Control!$C$94-$G206)/(Control!$C$95-Control!$C$94))))))</f>
        <v>#N/A</v>
      </c>
      <c r="CC206" s="140" t="e">
        <f t="shared" ca="1" si="830"/>
        <v>#N/A</v>
      </c>
      <c r="CD206" s="140" t="e">
        <f ca="1">IF($CC206&lt;=Control!$C$90,$CC206,Control!$C$90-$CC206)</f>
        <v>#N/A</v>
      </c>
      <c r="CE206" s="140" t="e">
        <f ca="1">IF(AND($BB206&gt;=60,$BB206&lt;65),1,IF($CC206&gt;=Control!$C$90,0,$CA206))</f>
        <v>#N/A</v>
      </c>
      <c r="CF206" s="404" t="e">
        <f ca="1">IF($CE206=0,0,IF($CC206&lt;=Control!$C$90,$CA206*(60+(65-60)*(CD206/Control!$C$90)),0))</f>
        <v>#N/A</v>
      </c>
      <c r="CG206" s="140" t="e">
        <f ca="1">IF($BG206+$BM206+$BS206+$BY206+$CE206=1,0,IF(OR(AND($BB206&lt;90,$BB206&gt;=65),$CC206&gt;=Control!$C$90),$BA206,$CK205))</f>
        <v>#N/A</v>
      </c>
      <c r="CH206" s="140" t="e">
        <f ca="1">IF($CD206&lt;0,-$CD206,$CG206*IF(OR($G206&lt;Control!$C$92,$G206&gt;Control!$C$95),0,IF(AND($G206&gt;=Control!$C$92,$G206&lt;=Control!$C$93),$G206-Control!$C$92,IF(AND($G206&gt;Control!$C$93,$G206&lt;=Control!$C$94),Control!$C$93-Control!$C$92,IF(AND($G206&gt;Control!$C$94,$G206&lt;=Control!$C$95),(Control!$C$93-Control!$C$92)*(Control!$C$94-$G206)/(Control!$C$95-Control!$C$94))))))</f>
        <v>#N/A</v>
      </c>
      <c r="CI206" s="140" t="e">
        <f t="shared" ca="1" si="831"/>
        <v>#N/A</v>
      </c>
      <c r="CJ206" s="140" t="e">
        <f ca="1">IF($CI206&lt;=Control!$C$91,$CI206,Control!$C$91-$CI206)</f>
        <v>#N/A</v>
      </c>
      <c r="CK206" s="140" t="e">
        <f ca="1">IF(AND($BB206&gt;=65,$BB206&lt;90),1,IF($CI206&gt;=Control!$C$91,0,$CG206))</f>
        <v>#N/A</v>
      </c>
      <c r="CL206" s="404" t="e">
        <f ca="1">IF($CK206=0,0,IF($CI206&lt;=Control!$C$91,$CG206*(65+(90-65)*($CJ206/Control!$C$91)),0))</f>
        <v>#N/A</v>
      </c>
      <c r="CM206" s="140" t="e">
        <f ca="1">IF($BG206+$BM206+$BS206+$BY206+$CE206+$CK206=1,0,IF(OR($BB206&gt;=90,$CI206&gt;=Control!$C$91),$BA206,$CM205))</f>
        <v>#N/A</v>
      </c>
      <c r="CN206" s="140" t="e">
        <f t="shared" ca="1" si="832"/>
        <v>#N/A</v>
      </c>
      <c r="CO206" s="140" t="e">
        <f t="shared" ca="1" si="833"/>
        <v>#N/A</v>
      </c>
      <c r="CP206" s="140" t="e">
        <f t="shared" ca="1" si="834"/>
        <v>#N/A</v>
      </c>
      <c r="CQ206" s="141" t="e">
        <f ca="1">VLOOKUP($CP206,Control!$B$86:$G$91,6)</f>
        <v>#N/A</v>
      </c>
      <c r="CR206" s="141" t="e">
        <f ca="1">(1-$CQ206)*VLOOKUP($CP206,Control!$B$86:$D$91,3)</f>
        <v>#N/A</v>
      </c>
      <c r="CS206" s="141" t="e">
        <f ca="1">(1-$CQ206)*VLOOKUP($CP206,Control!$B$86:$E$91,4)</f>
        <v>#N/A</v>
      </c>
      <c r="CT206" s="141" t="e">
        <f ca="1">(1-$CQ206)*VLOOKUP($CP206,Control!$B$86:$F$91,5)</f>
        <v>#N/A</v>
      </c>
      <c r="CU206" s="141">
        <f t="shared" ca="1" si="835"/>
        <v>0</v>
      </c>
      <c r="CV206" s="583">
        <f t="shared" ca="1" si="836"/>
        <v>0</v>
      </c>
      <c r="CW206" s="142">
        <f t="shared" ca="1" si="837"/>
        <v>202</v>
      </c>
      <c r="CX206" s="612" t="e">
        <f ca="1">IF(Control!$C$114=1,(MIN(Control!$C$120*(IF($NT206-0.01&lt;0,0,1)),Control!$C$119-$CY206)))</f>
        <v>#DIV/0!</v>
      </c>
      <c r="CY206" s="143" t="e">
        <f t="shared" ca="1" si="838"/>
        <v>#N/A</v>
      </c>
      <c r="CZ206" s="144">
        <f t="shared" ca="1" si="715"/>
        <v>0</v>
      </c>
      <c r="DA206" s="144">
        <f t="shared" ca="1" si="716"/>
        <v>0</v>
      </c>
      <c r="DB206" s="144" t="e">
        <f t="shared" ca="1" si="717"/>
        <v>#N/A</v>
      </c>
      <c r="DC206" s="144" t="e">
        <f t="shared" ca="1" si="718"/>
        <v>#N/A</v>
      </c>
      <c r="DD206" s="144" t="e">
        <f t="shared" ca="1" si="923"/>
        <v>#N/A</v>
      </c>
      <c r="DE206" s="143" t="e">
        <f t="shared" ca="1" si="839"/>
        <v>#N/A</v>
      </c>
      <c r="DF206" s="145" t="e">
        <f ca="1">$DR206*EXP(-Control!$C$158*(1-$KH206))</f>
        <v>#N/A</v>
      </c>
      <c r="DG206" s="146" t="e">
        <f ca="1">IF(Control!$C$114=1, $DF206*$EY206, 0)</f>
        <v>#N/A</v>
      </c>
      <c r="DH206" s="147" t="e">
        <f t="shared" ca="1" si="840"/>
        <v>#N/A</v>
      </c>
      <c r="DI206" s="144" t="e">
        <f t="shared" ca="1" si="901"/>
        <v>#N/A</v>
      </c>
      <c r="DJ206" s="147" t="e">
        <f ca="1">$EF206*Control!$C$109</f>
        <v>#N/A</v>
      </c>
      <c r="DK206" s="144" t="e">
        <f t="shared" ca="1" si="841"/>
        <v>#N/A</v>
      </c>
      <c r="DL206" s="144" t="e">
        <f t="shared" ca="1" si="719"/>
        <v>#N/A</v>
      </c>
      <c r="DM206" s="144" t="e">
        <f ca="1">IF(Control!$C$114=1, (1-EXP(-Control!$C$96*$DK206))*$AR206, 0)</f>
        <v>#N/A</v>
      </c>
      <c r="DN206" s="144">
        <f t="shared" ca="1" si="842"/>
        <v>0</v>
      </c>
      <c r="DO206" s="148">
        <f>Control!$C$97</f>
        <v>4</v>
      </c>
      <c r="DP206" s="145" t="e">
        <f t="shared" ca="1" si="843"/>
        <v>#N/A</v>
      </c>
      <c r="DQ206" s="145" t="e">
        <f ca="1">IF(AND($CP206&gt;=0,$CP206&lt;=90),Control!$C$111,Control!$C$111)</f>
        <v>#N/A</v>
      </c>
      <c r="DR206" s="145" t="e">
        <f t="shared" ca="1" si="720"/>
        <v>#N/A</v>
      </c>
      <c r="DS206" s="143" t="e">
        <f ca="1">Control!$B$22/$DR206</f>
        <v>#N/A</v>
      </c>
      <c r="DT206" s="149" t="e">
        <f ca="1">IF(AND(Control!$C$114=1,$KH206&lt;1),$IM206*$DF206, 0)</f>
        <v>#N/A</v>
      </c>
      <c r="DU206" s="144" t="e">
        <f t="shared" ca="1" si="844"/>
        <v>#N/A</v>
      </c>
      <c r="DV206" s="144">
        <f ca="1">IF($G206-Control!$C$107&lt;=0, 0, 0.83*LN(MAX($G206, 3))-0.8924)</f>
        <v>0</v>
      </c>
      <c r="DW206" s="144" t="e">
        <f t="shared" ca="1" si="721"/>
        <v>#N/A</v>
      </c>
      <c r="DX206" s="150" t="e">
        <f ca="1">MAX(0.01*(1+$CU206/Control!$C$102),0.05*($DK206-Control!$C$97)/Control!$C$97)</f>
        <v>#N/A</v>
      </c>
      <c r="DY206" s="151" t="e">
        <f ca="1">IF(Control!$C$114=1, $DI206*$FS206, 0)</f>
        <v>#N/A</v>
      </c>
      <c r="DZ206" s="196" t="e">
        <f t="shared" ca="1" si="845"/>
        <v>#N/A</v>
      </c>
      <c r="EA206" s="152">
        <f t="shared" ca="1" si="846"/>
        <v>202</v>
      </c>
      <c r="EB206" s="153" t="e">
        <f t="shared" ca="1" si="847"/>
        <v>#N/A</v>
      </c>
      <c r="EC206" s="153" t="e">
        <f t="shared" ca="1" si="848"/>
        <v>#N/A</v>
      </c>
      <c r="ED206" s="154" t="e">
        <f ca="1">IF(Control!$C$114=1, $HM206*$FY206-$FD206, 0)</f>
        <v>#DIV/0!</v>
      </c>
      <c r="EE206" s="155" t="e">
        <f ca="1">IF(Control!$C$114=1, $HM206*$FZ206-$FF206, 0)</f>
        <v>#DIV/0!</v>
      </c>
      <c r="EF206" s="153" t="e">
        <f t="shared" ca="1" si="902"/>
        <v>#N/A</v>
      </c>
      <c r="EG206" s="155" t="e">
        <f ca="1">IF(Control!$C$114=1, $GX206*$FW206-$FI206, 0)</f>
        <v>#DIV/0!</v>
      </c>
      <c r="EH206" s="153" t="e">
        <f t="shared" ca="1" si="849"/>
        <v>#N/A</v>
      </c>
      <c r="EI206" s="156" t="e">
        <f t="shared" ca="1" si="850"/>
        <v>#N/A</v>
      </c>
      <c r="EJ206" s="155" t="e">
        <f ca="1">IF(Control!$C$114=1, $HM206*$GB206, 0)</f>
        <v>#DIV/0!</v>
      </c>
      <c r="EK206" s="153" t="e">
        <f t="shared" ca="1" si="903"/>
        <v>#N/A</v>
      </c>
      <c r="EL206" s="153" t="e">
        <f t="shared" ca="1" si="722"/>
        <v>#N/A</v>
      </c>
      <c r="EM206" s="153" t="e">
        <f t="shared" ca="1" si="723"/>
        <v>#N/A</v>
      </c>
      <c r="EN206" s="153" t="e">
        <f ca="1">IF(Control!$C$108=1,IF(AND(Control!$B$18=1,$EB206&gt;=Control!$B$19),$EB206-$DS206,IF(AND(Control!$B$18=2,$AW206=1,$EB206&gt;$DS206),$EB206-$DS206,0)))</f>
        <v>#N/A</v>
      </c>
      <c r="EO206" s="153" t="e">
        <f ca="1">IF(Control!$C$108=1,IF(AND(Control!$B$18=1,$EB206&gt;=Control!$B$19),$EF206,IF(AND(Control!$B$18=2,$AW206=1),$EF206,0)))</f>
        <v>#N/A</v>
      </c>
      <c r="EP206" s="153" t="e">
        <f ca="1">IF(Control!$C$108=1,IF(AND(Control!$B$18=1,$EB206&gt;=Control!$B$19),$EK206,IF(AND(Control!$B$18=2,$AW206=1),$EK206,0)))</f>
        <v>#N/A</v>
      </c>
      <c r="EQ206" s="153" t="e">
        <f t="shared" ca="1" si="851"/>
        <v>#N/A</v>
      </c>
      <c r="ER206" s="153" t="e">
        <f t="shared" ca="1" si="852"/>
        <v>#N/A</v>
      </c>
      <c r="ES206" s="153" t="e">
        <f t="shared" ca="1" si="904"/>
        <v>#N/A</v>
      </c>
      <c r="ET206" s="153" t="e">
        <f t="shared" ca="1" si="905"/>
        <v>#N/A</v>
      </c>
      <c r="EU206" s="153" t="e">
        <f t="shared" ca="1" si="853"/>
        <v>#N/A</v>
      </c>
      <c r="EV206" s="153" t="e">
        <f t="shared" ca="1" si="724"/>
        <v>#N/A</v>
      </c>
      <c r="EW206" s="153" t="e">
        <f t="shared" ca="1" si="725"/>
        <v>#N/A</v>
      </c>
      <c r="EX206" s="153" t="e">
        <f t="shared" ca="1" si="726"/>
        <v>#N/A</v>
      </c>
      <c r="EY206" s="157" t="e">
        <f t="shared" ca="1" si="727"/>
        <v>#DIV/0!</v>
      </c>
      <c r="EZ206" s="154" t="e">
        <f t="shared" ca="1" si="728"/>
        <v>#DIV/0!</v>
      </c>
      <c r="FA206" s="153" t="e">
        <f t="shared" ca="1" si="854"/>
        <v>#N/A</v>
      </c>
      <c r="FB206" s="153" t="e">
        <f t="shared" ca="1" si="729"/>
        <v>#N/A</v>
      </c>
      <c r="FC206" s="193" t="e">
        <f t="shared" ca="1" si="730"/>
        <v>#N/A</v>
      </c>
      <c r="FD206" s="158" t="e">
        <f t="shared" ca="1" si="855"/>
        <v>#N/A</v>
      </c>
      <c r="FE206" s="158" t="e">
        <f t="shared" ca="1" si="856"/>
        <v>#N/A</v>
      </c>
      <c r="FF206" s="159" t="e">
        <f t="shared" ca="1" si="731"/>
        <v>#N/A</v>
      </c>
      <c r="FG206" s="160" t="e">
        <f t="shared" ca="1" si="857"/>
        <v>#N/A</v>
      </c>
      <c r="FH206" s="158" t="e">
        <f t="shared" ca="1" si="858"/>
        <v>#N/A</v>
      </c>
      <c r="FI206" s="159" t="e">
        <f t="shared" ca="1" si="732"/>
        <v>#N/A</v>
      </c>
      <c r="FJ206" s="160" t="e">
        <f t="shared" ca="1" si="859"/>
        <v>#N/A</v>
      </c>
      <c r="FK206" s="160" t="e">
        <f t="shared" ca="1" si="733"/>
        <v>#N/A</v>
      </c>
      <c r="FL206" s="160" t="e">
        <f t="shared" ca="1" si="906"/>
        <v>#N/A</v>
      </c>
      <c r="FM206" s="160" t="e">
        <f t="shared" ca="1" si="734"/>
        <v>#N/A</v>
      </c>
      <c r="FN206" s="158">
        <f t="shared" ca="1" si="860"/>
        <v>0.01</v>
      </c>
      <c r="FO206" s="160">
        <f>Control!$C$101</f>
        <v>50</v>
      </c>
      <c r="FP206" s="150" t="e">
        <f t="shared" ca="1" si="735"/>
        <v>#N/A</v>
      </c>
      <c r="FQ206" s="150" t="e">
        <f ca="1">MAX(0,(Control!$C$112*(($DK206-Control!$C$97)/Control!$C$97)))</f>
        <v>#N/A</v>
      </c>
      <c r="FR206" s="150" t="e">
        <f ca="1">(1-$NT206)*Control!$C$113</f>
        <v>#DIV/0!</v>
      </c>
      <c r="FS206" s="198" t="e">
        <f t="shared" ca="1" si="736"/>
        <v>#N/A</v>
      </c>
      <c r="FT206" s="161">
        <f t="shared" ca="1" si="861"/>
        <v>202</v>
      </c>
      <c r="FU206" s="162" t="e">
        <f ca="1">IF(Control!$B$34=1,VLOOKUP($CP206,Control!$B$86:$G$91,6),Control!$B$35)</f>
        <v>#N/A</v>
      </c>
      <c r="FV206" s="162" t="e">
        <f t="shared" ca="1" si="737"/>
        <v>#DIV/0!</v>
      </c>
      <c r="FW206" s="162" t="e">
        <f ca="1">IF(Control!$B$31=1,$FU206*$FV206,  $FU206)</f>
        <v>#N/A</v>
      </c>
      <c r="FX206" s="162" t="e">
        <f ca="1">IF(Control!$B$34=1,VLOOKUP($CP206,Control!$B$86:$G$91,3),Control!$B$36)</f>
        <v>#N/A</v>
      </c>
      <c r="FY206" s="162" t="e">
        <f t="shared" ca="1" si="738"/>
        <v>#N/A</v>
      </c>
      <c r="FZ206" s="162" t="e">
        <f ca="1">IF(Control!$B$34=1,VLOOKUP($CP206,Control!$B$86:$G$91,4),Control!$B$37)</f>
        <v>#N/A</v>
      </c>
      <c r="GA206" s="162" t="e">
        <f t="shared" ca="1" si="739"/>
        <v>#N/A</v>
      </c>
      <c r="GB206" s="162" t="e">
        <f ca="1">IF(Control!$B$34=1,VLOOKUP($CP206,Control!$B$86:$G$91,5),Control!$B$38)</f>
        <v>#N/A</v>
      </c>
      <c r="GC206" s="162" t="e">
        <f t="shared" ca="1" si="862"/>
        <v>#N/A</v>
      </c>
      <c r="GD206" s="162">
        <f t="shared" ca="1" si="740"/>
        <v>1</v>
      </c>
      <c r="GE206" s="162">
        <f t="shared" ca="1" si="741"/>
        <v>1</v>
      </c>
      <c r="GF206" s="162">
        <f ca="1">IF(AND(Control!$C$104=1, Control!$C$62="F"),$GE206,1)</f>
        <v>1</v>
      </c>
      <c r="GG206" s="162" t="e">
        <f ca="1">IF(Control!$B$16=40,0,IF(AND(Control!$B$16&gt;40,Control!$B$16&lt;=360),(Control!$B$16-40)*((1-0)/(360-40)),IF(AND(Control!$B$16&gt;360,Control!$B$16&lt;=720),(1+(Control!$B$16-360)*((1.25-1)/(720-360))),IF(AND(Control!$B$16&gt;720,Control!$B$16&lt;=1000),(1.25+(Control!$B$16-720)*((1.35-1.25)/(1000-720))),IF(AND(Control!$B$16&gt;1000,Control!$B$16&lt;=2000),(1.35+(Control!$B$16-1000)*0))))))</f>
        <v>#N/A</v>
      </c>
      <c r="GH206" s="162" t="e">
        <f t="shared" ca="1" si="742"/>
        <v>#N/A</v>
      </c>
      <c r="GI206" s="162">
        <f t="shared" ca="1" si="863"/>
        <v>0</v>
      </c>
      <c r="GJ206" s="162">
        <f t="shared" ca="1" si="743"/>
        <v>0</v>
      </c>
      <c r="GK206" s="162">
        <f t="shared" ca="1" si="864"/>
        <v>1</v>
      </c>
      <c r="GL206" s="162">
        <f t="shared" ca="1" si="744"/>
        <v>1</v>
      </c>
      <c r="GM206" s="162" t="e">
        <f ca="1">MAX(0,MIN(1,1-Control!$C$156*(1.0001-$KH206)^2))</f>
        <v>#N/A</v>
      </c>
      <c r="GN206" s="162" t="e">
        <f ca="1">IF(Control!$B$26=1,$KU206,$KX206)</f>
        <v>#N/A</v>
      </c>
      <c r="GO206" s="162" t="e">
        <f ca="1">IF($CP206&lt;=60,Control!$C$105,IF($CP206&gt;=90,Control!$C$106,Control!$C$105+($CP206-60)*((Control!$C$106-Control!$C$105)/(90-60))))</f>
        <v>#N/A</v>
      </c>
      <c r="GP206" s="162" t="e">
        <f t="shared" ca="1" si="745"/>
        <v>#N/A</v>
      </c>
      <c r="GQ206" s="162" t="e">
        <f t="shared" ca="1" si="865"/>
        <v>#N/A</v>
      </c>
      <c r="GR206" s="163" t="e">
        <f t="shared" ca="1" si="746"/>
        <v>#DIV/0!</v>
      </c>
      <c r="GS206" s="162" t="e">
        <f t="shared" ca="1" si="747"/>
        <v>#DIV/0!</v>
      </c>
      <c r="GT206" s="164" t="e">
        <f t="shared" ca="1" si="866"/>
        <v>#N/A</v>
      </c>
      <c r="GU206" s="162" t="e">
        <f t="shared" ca="1" si="867"/>
        <v>#N/A</v>
      </c>
      <c r="GV206" s="162" t="e">
        <f t="shared" ca="1" si="748"/>
        <v>#N/A</v>
      </c>
      <c r="GW206" s="162" t="e">
        <f t="shared" ca="1" si="749"/>
        <v>#DIV/0!</v>
      </c>
      <c r="GX206" s="162" t="e">
        <f t="shared" ca="1" si="868"/>
        <v>#DIV/0!</v>
      </c>
      <c r="GY206" s="162" t="e">
        <f t="shared" ca="1" si="869"/>
        <v>#DIV/0!</v>
      </c>
      <c r="GZ206" s="165" t="e">
        <f t="shared" ca="1" si="750"/>
        <v>#N/A</v>
      </c>
      <c r="HA206" s="162" t="e">
        <f ca="1">IF(Control!$C$114=1, $DI206*$FS206, 0)</f>
        <v>#N/A</v>
      </c>
      <c r="HB206" s="162" t="e">
        <f ca="1">$FA206/Control!$C$64</f>
        <v>#N/A</v>
      </c>
      <c r="HC206" s="162" t="e">
        <f t="shared" ca="1" si="751"/>
        <v>#DIV/0!</v>
      </c>
      <c r="HD206" s="162">
        <f ca="1">-ASIN(SIN(23.45*Control!$C$139)*COS(2*Control!$C$138*($AH206+10)/365))</f>
        <v>0.3551483451375797</v>
      </c>
      <c r="HE206" s="165">
        <f t="shared" ca="1" si="870"/>
        <v>0</v>
      </c>
      <c r="HF206" s="166">
        <f ca="1">IF(AND(Control!$C$61="T",$HE206&gt;=Control!$C$103,Control!$C$114=0),$AH206,Control!$C$59)</f>
        <v>1</v>
      </c>
      <c r="HG206" s="166">
        <f ca="1">IF(AND(Control!$C$61="T",$HE206&gt;=Control!$C$103,Control!$C$114=0),$HF206,Control!$C$59)</f>
        <v>1</v>
      </c>
      <c r="HH206" s="165">
        <f ca="1">IF(AND(OR(Control!$C$60&lt;=0, $AH206= Control!$C$59, Control!$C$60 &gt;0, $AH206 = Control!$C$60)), Control!$C$59, IF(Control!$C$60&gt;0, 0))</f>
        <v>1</v>
      </c>
      <c r="HI206" s="165">
        <f ca="1">IF(AND(OR(Control!$C$60&lt;=0, $AH206= Control!$C$59, Control!$C$60 &gt;0, $AH206 = Control!$C$60)), Control!$C$60, IF(Control!$C$60&lt;=0, 0))</f>
        <v>0</v>
      </c>
      <c r="HJ206" s="166">
        <f ca="1">IF(AND(Control!$C$62="F",$CV206&gt;=Control!$C$102),$AH206,0)</f>
        <v>0</v>
      </c>
      <c r="HK206" s="165" t="e">
        <f t="shared" ca="1" si="907"/>
        <v>#N/A</v>
      </c>
      <c r="HL206" s="166">
        <f ca="1">IF(AND(Control!$C$61="T",$HE206&gt;=Control!$C$103,Control!$C$114=0),$HF206,0)</f>
        <v>0</v>
      </c>
      <c r="HM206" s="201" t="e">
        <f t="shared" ca="1" si="752"/>
        <v>#DIV/0!</v>
      </c>
      <c r="HN206" s="215">
        <f t="shared" ca="1" si="871"/>
        <v>202</v>
      </c>
      <c r="HO206" s="216" t="e">
        <f ca="1">IF(AND($CP206&gt;=0, $CP206&lt;=90), Control!$C$152, Control!$C$152)</f>
        <v>#N/A</v>
      </c>
      <c r="HP206" s="216" t="e">
        <f t="shared" ca="1" si="753"/>
        <v>#N/A</v>
      </c>
      <c r="HQ206" s="217" t="e">
        <f ca="1">IF(OR(Control!$B$26=1,Control!$B$26=2),$KV206,$KS206)</f>
        <v>#DIV/0!</v>
      </c>
      <c r="HR206" s="218" t="e">
        <f t="shared" ca="1" si="908"/>
        <v>#DIV/0!</v>
      </c>
      <c r="HS206" s="216" t="e">
        <f ca="1">Control!$C$154*$HP206</f>
        <v>#N/A</v>
      </c>
      <c r="HT206" s="216" t="e">
        <f ca="1">Control!$C$155*$HP206</f>
        <v>#N/A</v>
      </c>
      <c r="HU206" s="217" t="e">
        <f ca="1">Control!$C$161*$FI206</f>
        <v>#N/A</v>
      </c>
      <c r="HV206" s="218" t="e">
        <f t="shared" ca="1" si="872"/>
        <v>#N/A</v>
      </c>
      <c r="HW206" s="218" t="e">
        <f ca="1">Control!$C$160*$FF206+$IP206*$EO206</f>
        <v>#N/A</v>
      </c>
      <c r="HX206" s="218" t="e">
        <f t="shared" ca="1" si="909"/>
        <v>#N/A</v>
      </c>
      <c r="HY206" s="219" t="e">
        <f ca="1">IF(Control!$C$114=1, $EB206*$FS206, 0)</f>
        <v>#N/A</v>
      </c>
      <c r="HZ206" s="91" t="e">
        <f t="shared" ca="1" si="754"/>
        <v>#N/A</v>
      </c>
      <c r="IA206" s="220" t="e">
        <f ca="1">Control!$C$153*$HO206</f>
        <v>#N/A</v>
      </c>
      <c r="IB206" s="218" t="e">
        <f t="shared" ca="1" si="755"/>
        <v>#N/A</v>
      </c>
      <c r="IC206" s="220" t="e">
        <f ca="1">Control!$C$153*$HT206</f>
        <v>#N/A</v>
      </c>
      <c r="ID206" s="218" t="e">
        <f t="shared" ca="1" si="756"/>
        <v>#N/A</v>
      </c>
      <c r="IE206" s="221" t="e">
        <f ca="1">($EB206*Control!$C$159+$EF206*Control!$C$160)/(IF($GZ206&lt;&gt;0,$GZ206,1))</f>
        <v>#N/A</v>
      </c>
      <c r="IF206" s="216" t="e">
        <f t="shared" ca="1" si="757"/>
        <v>#N/A</v>
      </c>
      <c r="IG206" s="91">
        <f ca="1">IF(OR(Control!$B$198=$AH206,Control!$B$199=$AH206, Control!$B$200=$AH206, Control!$B$201=$AH206, Control!$B$202=$AH206, Control!$B$203=$AH206, Control!$B$204=$AH206, Control!$B$205=$AH206, Control!$B$206=$AH206, Control!$B$207=$AH206), 1, 0)</f>
        <v>0</v>
      </c>
      <c r="IH206" s="91">
        <f ca="1">IF($IG206=0,0, VLOOKUP($AH206,Control!$B$198:$C$207,2))</f>
        <v>0</v>
      </c>
      <c r="II206" s="222">
        <f t="shared" ca="1" si="873"/>
        <v>0</v>
      </c>
      <c r="IJ206" s="91">
        <f>Control!$C$121</f>
        <v>0.7</v>
      </c>
      <c r="IK206" s="218">
        <f t="shared" ca="1" si="758"/>
        <v>0</v>
      </c>
      <c r="IL206" s="217" t="e">
        <f t="shared" ca="1" si="910"/>
        <v>#N/A</v>
      </c>
      <c r="IM206" s="223" t="e">
        <f ca="1">IF(AND(Control!$C$114=1,$KH206&lt;1),$EB206*Control!$C$148*(1-$KH206), 0)</f>
        <v>#N/A</v>
      </c>
      <c r="IN206" s="217" t="e">
        <f t="shared" ca="1" si="759"/>
        <v>#DIV/0!</v>
      </c>
      <c r="IO206" s="91" t="e">
        <f ca="1">MAX(0,$IL206-$EF206*Control!$C$160)</f>
        <v>#N/A</v>
      </c>
      <c r="IP206" s="220" t="e">
        <f t="shared" ca="1" si="760"/>
        <v>#N/A</v>
      </c>
      <c r="IQ206" s="217" t="e">
        <f t="shared" ca="1" si="874"/>
        <v>#N/A</v>
      </c>
      <c r="IR206" s="218" t="e">
        <f t="shared" ca="1" si="761"/>
        <v>#N/A</v>
      </c>
      <c r="IS206" s="217" t="e">
        <f ca="1">Control!$C$159*MAX(0,$FD206-$EN206)</f>
        <v>#N/A</v>
      </c>
      <c r="IT206" s="217" t="e">
        <f t="shared" ca="1" si="911"/>
        <v>#N/A</v>
      </c>
      <c r="IU206" s="217" t="e">
        <f t="shared" ca="1" si="875"/>
        <v>#N/A</v>
      </c>
      <c r="IV206" s="217" t="e">
        <f t="shared" ca="1" si="912"/>
        <v>#N/A</v>
      </c>
      <c r="IW206" s="217" t="e">
        <f ca="1">IF(OR($AW206=1,AND($AW206=0, Control!$B$18=1,$EN206&lt;&gt;0)), $IQ206-$IU206, $IQ206)</f>
        <v>#N/A</v>
      </c>
      <c r="IX206" s="218" t="e">
        <f t="shared" ca="1" si="762"/>
        <v>#N/A</v>
      </c>
      <c r="IY206" s="218" t="e">
        <f ca="1">MAX(0,$IQ206-$EB206*Control!$C$159)</f>
        <v>#N/A</v>
      </c>
      <c r="IZ206" s="218" t="e">
        <f t="shared" ca="1" si="763"/>
        <v>#N/A</v>
      </c>
      <c r="JA206" s="216" t="e">
        <f t="shared" ca="1" si="764"/>
        <v>#N/A</v>
      </c>
      <c r="JB206" s="217" t="e">
        <f t="shared" ca="1" si="765"/>
        <v>#N/A</v>
      </c>
      <c r="JC206" s="222" t="e">
        <f ca="1">MAX(Control!$C$157*$EK206-$JT206, 0)/Control!$C$162</f>
        <v>#N/A</v>
      </c>
      <c r="JD206" s="218" t="e">
        <f t="shared" ca="1" si="766"/>
        <v>#N/A</v>
      </c>
      <c r="JE206" s="218" t="e">
        <f t="shared" ca="1" si="767"/>
        <v>#N/A</v>
      </c>
      <c r="JF206" s="218" t="e">
        <f t="shared" ca="1" si="876"/>
        <v>#N/A</v>
      </c>
      <c r="JG206" s="218" t="e">
        <f t="shared" ca="1" si="768"/>
        <v>#N/A</v>
      </c>
      <c r="JH206" s="217" t="e">
        <f t="shared" ca="1" si="877"/>
        <v>#N/A</v>
      </c>
      <c r="JI206" s="217" t="e">
        <f t="shared" ca="1" si="878"/>
        <v>#N/A</v>
      </c>
      <c r="JJ206" s="217" t="e">
        <f t="shared" ca="1" si="913"/>
        <v>#N/A</v>
      </c>
      <c r="JK206" s="217" t="e">
        <f ca="1">IF(Control!$C$114=1,IF(Control!$B$24=0,MAX(0,$JI206)*$GN206/Control!$C$64,(MAX(0,MIN($JI206,$JJ206*$GN206/Control!$C$64),0))))</f>
        <v>#N/A</v>
      </c>
      <c r="JL206" s="217" t="e">
        <f ca="1">$IK206/Control!$C$64-$JK206+$HQ206</f>
        <v>#N/A</v>
      </c>
      <c r="JM206" s="217" t="e">
        <f ca="1">IF(Control!$C$114=1,($JB206/(IF($JI206&lt;&gt;0,$JI206,1)))*$JK206,0)</f>
        <v>#N/A</v>
      </c>
      <c r="JN206" s="217" t="e">
        <f ca="1">IF(Control!$C$114=1,($JG206/(IF($JI206&lt;&gt;0,$JI206,1)))*$JK206, 0)</f>
        <v>#N/A</v>
      </c>
      <c r="JO206" s="218" t="e">
        <f t="shared" ca="1" si="769"/>
        <v>#N/A</v>
      </c>
      <c r="JP206" s="218" t="e">
        <f ca="1">MIN(($IY206+$IO206)*Control!$C$151, $JF206-$EH206*Control!$C$161)</f>
        <v>#N/A</v>
      </c>
      <c r="JQ206" s="218" t="e">
        <f t="shared" ca="1" si="770"/>
        <v>#N/A</v>
      </c>
      <c r="JR206" s="217" t="e">
        <f ca="1">IF($CP206-Control!$C$150&lt;0, 0, $JQ206/Control!$C$162)</f>
        <v>#N/A</v>
      </c>
      <c r="JS206" s="218" t="e">
        <f t="shared" ca="1" si="771"/>
        <v>#N/A</v>
      </c>
      <c r="JT206" s="218" t="e">
        <f t="shared" ca="1" si="879"/>
        <v>#N/A</v>
      </c>
      <c r="JU206" s="218" t="e">
        <f t="shared" ca="1" si="772"/>
        <v>#N/A</v>
      </c>
      <c r="JV206" s="218" t="e">
        <f t="shared" ca="1" si="773"/>
        <v>#N/A</v>
      </c>
      <c r="JW206" s="216" t="e">
        <f t="shared" ca="1" si="774"/>
        <v>#N/A</v>
      </c>
      <c r="JX206" s="91" t="e">
        <f t="shared" ca="1" si="775"/>
        <v>#N/A</v>
      </c>
      <c r="JY206" s="218" t="e">
        <f t="shared" ca="1" si="776"/>
        <v>#N/A</v>
      </c>
      <c r="JZ206" s="217" t="e">
        <f ca="1">IF(Control!$C$114=1,($IZ206/(IF($JI206&lt;&gt;0,$JI206,1)))*$JK206, 0)</f>
        <v>#N/A</v>
      </c>
      <c r="KA206" s="218" t="e">
        <f t="shared" ca="1" si="914"/>
        <v>#N/A</v>
      </c>
      <c r="KB206" s="218" t="e">
        <f t="shared" ca="1" si="880"/>
        <v>#N/A</v>
      </c>
      <c r="KC206" s="218" t="e">
        <f t="shared" ca="1" si="777"/>
        <v>#N/A</v>
      </c>
      <c r="KD206" s="218" t="e">
        <f t="shared" ca="1" si="778"/>
        <v>#N/A</v>
      </c>
      <c r="KE206" s="218" t="e">
        <f t="shared" ca="1" si="779"/>
        <v>#N/A</v>
      </c>
      <c r="KF206" s="218" t="e">
        <f t="shared" ca="1" si="780"/>
        <v>#N/A</v>
      </c>
      <c r="KG206" s="216" t="e">
        <f t="shared" ca="1" si="781"/>
        <v>#N/A</v>
      </c>
      <c r="KH206" s="221" t="e">
        <f ca="1">IF(Control!$B$24=0,1,MAX(0.001,MIN(1,IF(($IF206-$IE206)&lt;&gt;0,($KG206-$IE206)/($IF206-$IE206),1))))</f>
        <v>#N/A</v>
      </c>
      <c r="KI206" s="222" t="e">
        <f ca="1">IF(Control!$C$114=1, $KI205+ $KH205, 0)</f>
        <v>#N/A</v>
      </c>
      <c r="KJ206" s="217" t="e">
        <f t="shared" ca="1" si="782"/>
        <v>#N/A</v>
      </c>
      <c r="KK206" s="218" t="e">
        <f t="shared" ca="1" si="783"/>
        <v>#N/A</v>
      </c>
      <c r="KL206" s="274" t="e">
        <f ca="1">IF(Control!$B$26=3,4000000000*EXP(-8400/($G206+273)),IF(Control!$B$26=4,4000000000*EXP(-8400/($G206+273))*($KT206),0))</f>
        <v>#DIV/0!</v>
      </c>
      <c r="KM206" s="274" t="e">
        <f ca="1">IF(Control!$B$26=3,5600000000000*EXP(-9800/($G206+273)),IF(Control!$B$26=4,5600000000000*EXP(-9800/($G206+273))*$KT206,0))</f>
        <v>#DIV/0!</v>
      </c>
      <c r="KN206" s="454" t="e">
        <f t="shared" ca="1" si="881"/>
        <v>#DIV/0!</v>
      </c>
      <c r="KO206" s="274" t="e">
        <f t="shared" ca="1" si="882"/>
        <v>#DIV/0!</v>
      </c>
      <c r="KP206" s="454" t="e">
        <f t="shared" ca="1" si="784"/>
        <v>#DIV/0!</v>
      </c>
      <c r="KQ206" s="454" t="e">
        <f t="shared" ca="1" si="785"/>
        <v>#DIV/0!</v>
      </c>
      <c r="KR206" s="454" t="e">
        <f t="shared" ca="1" si="786"/>
        <v>#DIV/0!</v>
      </c>
      <c r="KS206" s="454" t="e">
        <f t="shared" ca="1" si="787"/>
        <v>#DIV/0!</v>
      </c>
      <c r="KT206" s="455" t="e">
        <f t="shared" ca="1" si="788"/>
        <v>#DIV/0!</v>
      </c>
      <c r="KU206" s="456" t="e">
        <f ca="1">IF($CP206-Control!$C$149&lt;0, IF($NT206-0.01&lt;0,0,1),0)</f>
        <v>#N/A</v>
      </c>
      <c r="KV206" s="456" t="e">
        <f ca="1">IF(Control!$C$114=1,MAX(0,MIN(Control!$C$125*$KW206*$GN206,$KW206)))</f>
        <v>#DIV/0!</v>
      </c>
      <c r="KW206" s="456" t="e">
        <f t="shared" ca="1" si="915"/>
        <v>#DIV/0!</v>
      </c>
      <c r="KX206" s="457" t="e">
        <f ca="1">IF($CP206-Control!$C$149&lt;0, IF($MR206-$OM206&lt;0,0,1),0)</f>
        <v>#N/A</v>
      </c>
      <c r="KY206" s="167">
        <f t="shared" ca="1" si="883"/>
        <v>202</v>
      </c>
      <c r="KZ206" s="168">
        <f ca="1">1370*(1+0.033*COS(2*Control!$C$138*$AH206/365))</f>
        <v>1327.3134038238989</v>
      </c>
      <c r="LA206" s="169">
        <f t="shared" ca="1" si="884"/>
        <v>0.96884181220847143</v>
      </c>
      <c r="LB206" s="169">
        <f t="shared" ca="1" si="885"/>
        <v>0.35565253560155563</v>
      </c>
      <c r="LC206" s="169">
        <f ca="1">ACOS(-TAN((2*Control!$B$8/360))*TAN(Calculations!$LB206))</f>
        <v>1.6814171655468544</v>
      </c>
      <c r="LD206" s="169">
        <f ca="1">((24*60)/PI())*0.082*$LA206*(($LC206*SIN(Control!$B$8*2*PI()/360))*SIN($LB206)+COS(Control!$B$8*2*PI()/360)*COS($LB206)*SIN($LC206))</f>
        <v>37.688149546888539</v>
      </c>
      <c r="LE206" s="170">
        <f t="shared" ca="1" si="789"/>
        <v>39.024371483443247</v>
      </c>
      <c r="LF206" s="170">
        <f ca="1">SIN(Control!$C$139*Control!$B$8)*SIN($HD206)</f>
        <v>0.27401500558006076</v>
      </c>
      <c r="LG206" s="170">
        <f ca="1">COS(Control!$C$139*Control!$B$8)*COS($HD206)</f>
        <v>0.57723950069861996</v>
      </c>
      <c r="LH206" s="170">
        <f ca="1">12*(1+2*ASIN(MAX(-1,MIN(1,$LF206/$LG206))/Control!$C$138))</f>
        <v>15.640367843832642</v>
      </c>
      <c r="LI206" s="170">
        <f ca="1">12*(1+2*ASIN(MAX(-1,MIN(1,(-SIN(-4*Control!$C$139)+$LF206)/$LG206))/Control!$C$138))</f>
        <v>16.577311220449097</v>
      </c>
      <c r="LJ206" s="168">
        <f ca="1">3600*($LH206*$LF206+24*$LG206*SQRT(1-$LK206*$LK206)/Control!$C$138)</f>
        <v>29401.022675591692</v>
      </c>
      <c r="LK206" s="170">
        <f t="shared" ca="1" si="790"/>
        <v>0.47469898586016129</v>
      </c>
      <c r="LL206" s="170">
        <f t="shared" ca="1" si="791"/>
        <v>0</v>
      </c>
      <c r="LM206" s="171">
        <f ca="1">Control!$C$145*$AB206</f>
        <v>6.6660906138995932E-2</v>
      </c>
      <c r="LN206" s="170">
        <f t="shared" ca="1" si="886"/>
        <v>0.54</v>
      </c>
      <c r="LO206" s="170">
        <f t="shared" ca="1" si="792"/>
        <v>0</v>
      </c>
      <c r="LP206" s="170">
        <f ca="1">Control!$C$140*((($D206+273.16)^4+($E206+273.16)^4)/2)*(0.34-0.14*SQRT($Y206))*(1.35*$AQ206/(0.75*$LD206)-0.35)</f>
        <v>-3.2464704755046001</v>
      </c>
      <c r="LQ206" s="170">
        <f ca="1">Control!$C$140*($G206+273)^4*(0.56-0.079*SQRT($Y206*10))*(0.1+0.9*$LO206)</f>
        <v>1.5241745131704001</v>
      </c>
      <c r="LR206" s="170">
        <f ca="1">$AQ206*(1-Control!$C$142)-$LQ206</f>
        <v>-1.5241745131704001</v>
      </c>
      <c r="LS206" s="170">
        <f ca="1">$AQ206*(1-Control!$C$143)-$LQ206</f>
        <v>-1.5241745131704001</v>
      </c>
      <c r="LT206" s="170">
        <f ca="1">$AQ206*(1-Control!$C$144)-$LQ206</f>
        <v>-1.5241745131704001</v>
      </c>
      <c r="LU206" s="169">
        <f ca="1">(1-Control!$C$144)*AQ206-LP206</f>
        <v>3.2464704755046001</v>
      </c>
      <c r="LV206" s="172">
        <f t="shared" ca="1" si="793"/>
        <v>0.79430000000000012</v>
      </c>
      <c r="LW206" s="170">
        <f t="shared" ca="1" si="794"/>
        <v>1.5886000000000002</v>
      </c>
      <c r="LX206" s="170">
        <f ca="1">($AC206*($LR206/Control!$C$141)+$LM206*$LV206)/($AC206+$LM206)</f>
        <v>0.23530094218323697</v>
      </c>
      <c r="LY206" s="170">
        <f ca="1">($AC206*($LS206/Control!$C$141)+$LM206*$LV206)/($AC206+$LM206)</f>
        <v>0.23530094218323697</v>
      </c>
      <c r="LZ206" s="170">
        <f t="shared" ca="1" si="795"/>
        <v>0.23530094218323697</v>
      </c>
      <c r="MA206" s="170">
        <f t="shared" ca="1" si="796"/>
        <v>0.23530094218323697</v>
      </c>
      <c r="MB206" s="170" t="e">
        <f t="shared" ca="1" si="797"/>
        <v>#N/A</v>
      </c>
      <c r="MC206" s="170">
        <f t="shared" ca="1" si="887"/>
        <v>0.6018</v>
      </c>
      <c r="MD206" s="170">
        <f t="shared" ca="1" si="798"/>
        <v>0.52989392535414004</v>
      </c>
      <c r="ME206" s="170">
        <f ca="1">($AC206*($LT206/Control!$C$141)+$LM206*$LW206)/($AC206+$LM206)</f>
        <v>0.71612369323045078</v>
      </c>
      <c r="MF206" s="170" t="e">
        <f ca="1">IF(Control!$B$16&gt;=1000,0.92,IF(AND(720&lt;=Control!$B$16,1000&gt;Control!$B$16),(0.95+(Control!$B$16-720)*((0.92-0.95)/(1000-720))),IF(AND(360&lt;=Control!$B$16,720&gt;Control!$B$16),(1+(Control!$B$16-360)*((0.95-1)/(720-360))),IF(AND(40&lt;=Control!$B$16,360&gt;Control!$B$16),(1.05+(Control!$B$16-40)*((1.05-1)/(360-40)))))))</f>
        <v>#N/A</v>
      </c>
      <c r="MG206" s="170">
        <f t="shared" ca="1" si="799"/>
        <v>0.71612369323045078</v>
      </c>
      <c r="MH206" s="170" t="e">
        <f t="shared" ref="MH206:MI225" ca="1" si="924">$MG206*$MF206</f>
        <v>#N/A</v>
      </c>
      <c r="MI206" s="170" t="e">
        <f t="shared" ca="1" si="924"/>
        <v>#N/A</v>
      </c>
      <c r="MJ206" s="170" t="e">
        <f ca="1">MAX(0.0001, Control!$C$132*$MI206*$DL206)</f>
        <v>#N/A</v>
      </c>
      <c r="MK206" s="170">
        <f ca="1">1/(0.76+1.5*($MG206/10))-(5-Control!$C$110)*0.1</f>
        <v>1.002845988140797</v>
      </c>
      <c r="ML206" s="173">
        <f ca="1">IF(Control!$C$110&lt;3,$MK206+($MG206-0.6)/(Control!$C$110*(Control!$C$110+3)), MAX(0.1, MIN(0.95,$MK206)))</f>
        <v>0.95</v>
      </c>
      <c r="MM206" s="173">
        <f ca="1">IF(Control!$C$110&lt;3,$MK206+(($MI206/10)-0.6)/(Control!$C$110*(Control!$C$110+3)), MAX(0.1, MIN(0.95,$MK206)))</f>
        <v>0.95</v>
      </c>
      <c r="MN206" s="173">
        <f ca="1">(1-$MM206)*(Control!$C$128-Control!$C$127)+Control!$C$127</f>
        <v>0.16</v>
      </c>
      <c r="MO206" s="170" t="e">
        <f ca="1">MAX(0,MIN(1,($MS206-Control!$C$127)/($MN206-Control!$C$127)))</f>
        <v>#DIV/0!</v>
      </c>
      <c r="MP206" s="173" t="e">
        <f ca="1">1/(0.76+1.5*$MI206)-(5-Control!$C$110)*0.1</f>
        <v>#N/A</v>
      </c>
      <c r="MQ206" s="172" t="e">
        <f t="shared" ca="1" si="916"/>
        <v>#DIV/0!</v>
      </c>
      <c r="MR206" s="168" t="e">
        <f t="shared" ca="1" si="888"/>
        <v>#DIV/0!</v>
      </c>
      <c r="MS206" s="173" t="e">
        <f ca="1">MAX(Control!$C$127, MIN(Control!$C$135, $MR206/MAX(0.0001,$CY206)))</f>
        <v>#DIV/0!</v>
      </c>
      <c r="MT206" s="168" t="e">
        <f ca="1">(Control!$C$128-$MS206)*Control!$C$74</f>
        <v>#DIV/0!</v>
      </c>
      <c r="MU206" s="168" t="e">
        <f ca="1">(Control!$C$135-$MS206)*Control!$C$74</f>
        <v>#DIV/0!</v>
      </c>
      <c r="MV206" s="168" t="e">
        <f t="shared" ca="1" si="889"/>
        <v>#DIV/0!</v>
      </c>
      <c r="MW206" s="168" t="e">
        <f t="shared" ca="1" si="890"/>
        <v>#DIV/0!</v>
      </c>
      <c r="MX206" s="171" t="e">
        <f ca="1">MAX(Control!$C$127, MIN(Control!$C$135, $MW206/MAX(0.0001,Control!$C$119-$CY206)))</f>
        <v>#DIV/0!</v>
      </c>
      <c r="MY206" s="54" t="e">
        <f ca="1">IF(Control!$C$114=1, $CX206*$MX206, 0)</f>
        <v>#DIV/0!</v>
      </c>
      <c r="MZ206" s="54" t="e">
        <f t="shared" ca="1" si="891"/>
        <v>#N/A</v>
      </c>
      <c r="NA206" s="168" t="e">
        <f ca="1">(Control!$C$128-$MX206)*(Control!$C$119-Control!$C$74)</f>
        <v>#DIV/0!</v>
      </c>
      <c r="NB206" s="168" t="e">
        <f ca="1">(Control!$C$135-$MX206)*(Control!$C$119-Control!$C$74)</f>
        <v>#DIV/0!</v>
      </c>
      <c r="NC206" s="174" t="e">
        <f t="shared" ca="1" si="892"/>
        <v>#DIV/0!</v>
      </c>
      <c r="ND206" s="54">
        <f ca="1">IF(Control!$C$58=2, IF(OR(Control!$B$218=$AH206,Control!$B$219=$AH206, Control!$B$220=$AH206, Control!$B$221=$AH206, Control!$B$222=$AH206, Control!$B$223=$AH206, Control!$B$224=$AH206, Control!$B$225=$AH206, Control!$B$226=$AH206, Control!$B$227=$AH206, Control!$B$228=$AH206), 1, 0), 0)</f>
        <v>0</v>
      </c>
      <c r="NE206" s="54">
        <f ca="1">IF($ND206=0,0, VLOOKUP($AH206,Control!$B$218:$C$228,2))</f>
        <v>0</v>
      </c>
      <c r="NF206" s="168" t="e">
        <f ca="1">$CY206*(Control!$C$128-Control!$C$127)</f>
        <v>#N/A</v>
      </c>
      <c r="NG206" s="54" t="e">
        <f ca="1">IF(Control!$C$58=2, $NI205-$NJ205, 0)</f>
        <v>#DIV/0!</v>
      </c>
      <c r="NH206" s="54" t="e">
        <f ca="1">IF(AND(Control!$C$58=1, $MS205&lt;= ($MN205+0.02), $I205&lt;10), 0, IF(Control!$C$58=2, $NG205, 0))</f>
        <v>#DIV/0!</v>
      </c>
      <c r="NI206" s="54" t="e">
        <f ca="1">IF(Control!$C$58=2, $NE206+$NH206,0)</f>
        <v>#DIV/0!</v>
      </c>
      <c r="NJ206" s="54" t="e">
        <f ca="1">IF(AND(Control!$C$58=1, $MS206&lt;= ($MN206+0.02), $I206&lt;10), MAX(0, MIN(10, 0.7*($NF206-$MV206))), IF(Control!$C$58=2, MIN(10,$NI206),0))</f>
        <v>#DIV/0!</v>
      </c>
      <c r="NK206" s="54" t="e">
        <f t="shared" ca="1" si="800"/>
        <v>#DIV/0!</v>
      </c>
      <c r="NL206" s="173" t="e">
        <f ca="1">(1-Control!$C$73)*$I206+$NJ206</f>
        <v>#DIV/0!</v>
      </c>
      <c r="NM206" s="172" t="e">
        <f ca="1">IF($NL206&lt;0.5, $MB206* MAX(0, MIN(1, (SQRT($NC206)-SQRT($NC206-1))*Control!$C$71)),0)</f>
        <v>#DIV/0!</v>
      </c>
      <c r="NN206" s="170" t="e">
        <f ca="1">IF($NL206&gt;=5, $MB206, MAX(0,MIN($MB206, $NM206+$NL206,($MS206-Control!$C$129))))</f>
        <v>#DIV/0!</v>
      </c>
      <c r="NO206" s="54">
        <f>IF(Control!$C$133&lt;&gt;1, Control!$C$135-Control!$C$131, 0)</f>
        <v>0.38</v>
      </c>
      <c r="NP206" s="54" t="e">
        <f t="shared" ca="1" si="801"/>
        <v>#DIV/0!</v>
      </c>
      <c r="NQ206" s="173" t="e">
        <f ca="1">MAX(0,MIN(1,(Control!$C$135-$MS206)/(Control!$C$135-$NO206)))</f>
        <v>#DIV/0!</v>
      </c>
      <c r="NR206" s="170" t="e">
        <f ca="1">IF(Control!$C$133&lt;&gt;1, $NQ206+((1-$NP206/4)*(1-$NQ206)),1)</f>
        <v>#DIV/0!</v>
      </c>
      <c r="NS206" s="170" t="e">
        <f ca="1">IF(Control!$B$31=0,$MJ206,MAX(0,MIN($MV206,$MO206*$NR206*$MJ206)))</f>
        <v>#DIV/0!</v>
      </c>
      <c r="NT206" s="170" t="e">
        <f t="shared" ca="1" si="917"/>
        <v>#DIV/0!</v>
      </c>
      <c r="NU206" s="170" t="e">
        <f t="shared" ca="1" si="893"/>
        <v>#N/A</v>
      </c>
      <c r="NV206" s="170" t="e">
        <f t="shared" ca="1" si="802"/>
        <v>#N/A</v>
      </c>
      <c r="NW206" s="175" t="e">
        <f t="shared" ca="1" si="803"/>
        <v>#DIV/0!</v>
      </c>
      <c r="NX206" s="170" t="e">
        <f ca="1">MIN(Control!$C$72+$MU206, $NW206)</f>
        <v>#DIV/0!</v>
      </c>
      <c r="NY206" s="170" t="e">
        <f ca="1">IF($MT206&lt;=$NX206,MIN(Control!$C$72+$NB206,$NX206-$MT206),0)</f>
        <v>#DIV/0!</v>
      </c>
      <c r="NZ206" s="54" t="e">
        <f ca="1">IF(Control!$C$114=1,  $CX206*($MX206-Control!$C$127), 0)</f>
        <v>#DIV/0!</v>
      </c>
      <c r="OA206" s="170" t="e">
        <f t="shared" ca="1" si="804"/>
        <v>#DIV/0!</v>
      </c>
      <c r="OB206" s="170" t="e">
        <f ca="1">IF($NA206 &lt;=$NY206, MIN(Control!$C$72, $NY206-$NA206), 0)</f>
        <v>#DIV/0!</v>
      </c>
      <c r="OC206" s="168" t="e">
        <f t="shared" ca="1" si="805"/>
        <v>#DIV/0!</v>
      </c>
      <c r="OD206" s="168" t="e">
        <f t="shared" ca="1" si="894"/>
        <v>#DIV/0!</v>
      </c>
      <c r="OE206" s="170">
        <f ca="1">Control!$C$73*$I206</f>
        <v>0</v>
      </c>
      <c r="OF206" s="176" t="e">
        <f t="shared" ca="1" si="806"/>
        <v>#DIV/0!</v>
      </c>
      <c r="OG206" s="168" t="e">
        <f t="shared" ca="1" si="807"/>
        <v>#DIV/0!</v>
      </c>
      <c r="OH206" s="168" t="e">
        <f t="shared" ca="1" si="808"/>
        <v>#DIV/0!</v>
      </c>
      <c r="OI206" s="168" t="e">
        <f t="shared" ca="1" si="809"/>
        <v>#DIV/0!</v>
      </c>
      <c r="OJ206" s="168" t="e">
        <f t="shared" ca="1" si="810"/>
        <v>#DIV/0!</v>
      </c>
      <c r="OK206" s="204" t="e">
        <f t="shared" ca="1" si="811"/>
        <v>#DIV/0!</v>
      </c>
      <c r="OL206" s="177">
        <f>Control!$C$127</f>
        <v>0.15</v>
      </c>
      <c r="OM206" s="182" t="e">
        <f t="shared" ca="1" si="812"/>
        <v>#N/A</v>
      </c>
      <c r="ON206" s="177">
        <f>Control!$C$128</f>
        <v>0.35</v>
      </c>
      <c r="OO206" s="182" t="e">
        <f t="shared" ca="1" si="813"/>
        <v>#N/A</v>
      </c>
      <c r="OP206" s="138">
        <f t="shared" ca="1" si="895"/>
        <v>0</v>
      </c>
      <c r="OQ206" s="138" t="e">
        <f t="shared" ca="1" si="918"/>
        <v>#DIV/0!</v>
      </c>
      <c r="OR206" s="138" t="e">
        <f t="shared" ca="1" si="896"/>
        <v>#DIV/0!</v>
      </c>
      <c r="OS206" s="137" t="e">
        <f t="shared" ca="1" si="919"/>
        <v>#DIV/0!</v>
      </c>
      <c r="OT206" s="139" t="e">
        <f t="shared" ca="1" si="920"/>
        <v>#DIV/0!</v>
      </c>
      <c r="OU206" s="138" t="e">
        <f t="shared" ca="1" si="921"/>
        <v>#N/A</v>
      </c>
      <c r="OV206" s="138" t="e">
        <f t="shared" ca="1" si="922"/>
        <v>#DIV/0!</v>
      </c>
      <c r="OW206" s="138" t="e">
        <f t="shared" ca="1" si="897"/>
        <v>#DIV/0!</v>
      </c>
      <c r="OX206" s="138" t="e">
        <f t="shared" ca="1" si="898"/>
        <v>#DIV/0!</v>
      </c>
      <c r="OY206" s="138" t="e">
        <f t="shared" ca="1" si="899"/>
        <v>#DIV/0!</v>
      </c>
      <c r="OZ206" s="138" t="e">
        <f t="shared" ca="1" si="814"/>
        <v>#DIV/0!</v>
      </c>
      <c r="PA206" s="138" t="e">
        <f t="shared" ca="1" si="815"/>
        <v>#DIV/0!</v>
      </c>
      <c r="PB206" s="55">
        <f>IF(Control!$C$61="T", IF(Control!$C$65="F", IF($AH$6-Control!$C$60&lt;0,0,1), IF(365+$AH$6-Control!$C$60&lt;0,0,1)),0)</f>
        <v>0</v>
      </c>
      <c r="PC206" s="55">
        <f ca="1">IF(Control!$C$65="F", IF($AH$6-$HF206&lt;0,0,1), IF(365+$AH$6-$HF206&lt;0,0,1))</f>
        <v>1</v>
      </c>
      <c r="PD206" s="444">
        <f>Control!$C$118</f>
        <v>1500</v>
      </c>
      <c r="PE206" s="180" t="e">
        <f t="shared" ca="1" si="816"/>
        <v>#N/A</v>
      </c>
      <c r="PF206" s="445">
        <f t="shared" ca="1" si="900"/>
        <v>0.71612369323045078</v>
      </c>
      <c r="PT206" s="186"/>
      <c r="PU206" s="186"/>
      <c r="PV206" s="94"/>
      <c r="PW206" s="94"/>
      <c r="PX206" s="94"/>
      <c r="PY206" s="94"/>
      <c r="PZ206" s="94"/>
      <c r="QA206" s="94"/>
      <c r="QB206" s="94"/>
      <c r="QC206" s="94"/>
      <c r="QD206" s="94"/>
      <c r="QE206" s="94"/>
      <c r="QF206" s="94"/>
      <c r="QG206" s="94"/>
      <c r="QH206" s="94"/>
      <c r="QI206" s="94"/>
      <c r="QJ206" s="94"/>
      <c r="QK206" s="94"/>
      <c r="QL206" s="94"/>
      <c r="QM206" s="94"/>
      <c r="QN206" s="94"/>
      <c r="QO206" s="94"/>
      <c r="QP206" s="94"/>
    </row>
    <row r="207" spans="1:458" s="2" customFormat="1" x14ac:dyDescent="0.2">
      <c r="A207" s="395">
        <v>21</v>
      </c>
      <c r="B207" s="396">
        <v>7</v>
      </c>
      <c r="C207" s="387">
        <f ca="1">Weather_data!$B206</f>
        <v>0</v>
      </c>
      <c r="D207" s="388">
        <f ca="1">Weather_data!$F206</f>
        <v>0</v>
      </c>
      <c r="E207" s="388">
        <f ca="1">Weather_data!$E206</f>
        <v>0</v>
      </c>
      <c r="F207" s="388">
        <f t="shared" ca="1" si="817"/>
        <v>0</v>
      </c>
      <c r="G207" s="388">
        <f ca="1">AVERAGE($D207:$E207)+Control!$B$9</f>
        <v>0</v>
      </c>
      <c r="H207" s="388">
        <f ca="1">Weather_data!$G206</f>
        <v>0</v>
      </c>
      <c r="I207" s="388">
        <f ca="1">Weather_data!$I206</f>
        <v>0</v>
      </c>
      <c r="J207" s="388">
        <f ca="1">Weather_data!$H206</f>
        <v>0</v>
      </c>
      <c r="K207" s="389">
        <f ca="1">Weather_data!$D206</f>
        <v>0</v>
      </c>
      <c r="L207" s="388" t="e">
        <f t="shared" ca="1" si="818"/>
        <v>#N/A</v>
      </c>
      <c r="M207" s="388" t="e">
        <f t="shared" ca="1" si="696"/>
        <v>#N/A</v>
      </c>
      <c r="N207" s="388">
        <f t="shared" ca="1" si="697"/>
        <v>-3.1747855988948983E-10</v>
      </c>
      <c r="O207" s="388">
        <f t="shared" ca="1" si="819"/>
        <v>3.1747855988948985E-9</v>
      </c>
      <c r="P207" s="390">
        <v>3</v>
      </c>
      <c r="Q207" s="388">
        <f ca="1">MAX($G207-Control!$C$107,0)</f>
        <v>0</v>
      </c>
      <c r="R207" s="388">
        <f t="shared" ca="1" si="820"/>
        <v>0</v>
      </c>
      <c r="S207" s="388">
        <f t="shared" ca="1" si="698"/>
        <v>0</v>
      </c>
      <c r="T207" s="388">
        <f t="shared" ca="1" si="699"/>
        <v>0</v>
      </c>
      <c r="U207" s="59">
        <f t="shared" ca="1" si="700"/>
        <v>0</v>
      </c>
      <c r="V207" s="391">
        <f ca="1">MAX(0,MIN(Control!$C$100-Control!$C$99,$G207-Control!$C$99)*Control!$C$63)</f>
        <v>0</v>
      </c>
      <c r="W207" s="388">
        <f t="shared" ca="1" si="821"/>
        <v>0</v>
      </c>
      <c r="X207" s="388">
        <f t="shared" ca="1" si="822"/>
        <v>0.6110000000000001</v>
      </c>
      <c r="Y207" s="388">
        <f t="shared" ca="1" si="701"/>
        <v>0</v>
      </c>
      <c r="Z207" s="388">
        <f t="shared" ca="1" si="823"/>
        <v>0.61058800000000002</v>
      </c>
      <c r="AA207" s="388">
        <f t="shared" ca="1" si="702"/>
        <v>0.6018</v>
      </c>
      <c r="AB207" s="388">
        <f ca="1">101.3*EXP(-0.034*Control!$C$66/($G207+273))</f>
        <v>100.69623283836242</v>
      </c>
      <c r="AC207" s="392">
        <f t="shared" ca="1" si="703"/>
        <v>4.3460251046025113E-2</v>
      </c>
      <c r="AD207" s="392">
        <f t="shared" ca="1" si="704"/>
        <v>4.4450382862832649E-2</v>
      </c>
      <c r="AE207" s="388">
        <f t="shared" ca="1" si="705"/>
        <v>0</v>
      </c>
      <c r="AF207" s="388">
        <f ca="1">MAX(0,$G207-Control!$C$92)</f>
        <v>0</v>
      </c>
      <c r="AG207" s="393">
        <f t="shared" ca="1" si="706"/>
        <v>203</v>
      </c>
      <c r="AH207" s="389">
        <f t="shared" ca="1" si="707"/>
        <v>203</v>
      </c>
      <c r="AI207" s="388">
        <f t="shared" ca="1" si="824"/>
        <v>0.35154303858214886</v>
      </c>
      <c r="AJ207" s="388">
        <f ca="1">IF(Control!$C$60&lt;=0,$HH207,$HI207)</f>
        <v>1</v>
      </c>
      <c r="AK207" s="388">
        <f t="shared" ca="1" si="708"/>
        <v>2.1173473774879152</v>
      </c>
      <c r="AL207" s="388">
        <f t="shared" ca="1" si="709"/>
        <v>-3.426455300048481E-18</v>
      </c>
      <c r="AM207" s="388">
        <f t="shared" ca="1" si="710"/>
        <v>2.1173473774879152</v>
      </c>
      <c r="AN207" s="388">
        <f t="shared" ca="1" si="711"/>
        <v>0.34675671841385314</v>
      </c>
      <c r="AO207" s="388">
        <f ca="1">-0.10453/COS(Control!$B$8*PI()/180)*COS(AN207)</f>
        <v>-0.15967924949685541</v>
      </c>
      <c r="AP207" s="388">
        <f ca="1">ACOS(AO207-TAN(Control!$B$8*PI()/180)*TAN(AN207))</f>
        <v>2.2423405231958817</v>
      </c>
      <c r="AQ207" s="388">
        <f t="shared" ca="1" si="825"/>
        <v>0</v>
      </c>
      <c r="AR207" s="394">
        <f t="shared" ca="1" si="712"/>
        <v>0</v>
      </c>
      <c r="AS207" s="436">
        <f ca="1">IF(Control!$B$18=2,(IF(OR($AH207=Control!$B$175,$AH207=Control!$B$176,$AH207=Control!$B$177,$AH207=Control!$B$178,$AH207=Control!$B$179,$AH207=Control!$B$180,$AH207=Control!$B$181,$AH207=Control!$B$182,$AH207=Control!$B$183,$AH207=Control!$B$184,$AH207=Control!$B$185),1,0)),0)</f>
        <v>0</v>
      </c>
      <c r="AT207" s="436">
        <f>IF(Control!$B$20=8,IF(AND($AH207&gt;=Control!$B$172,$AH207&lt;=Control!$B$173),1,0),0)</f>
        <v>0</v>
      </c>
      <c r="AU207" s="436">
        <f>IF(Control!$B$20=8,IF($AV206=1,1*$AT207,IF($AT207=1,$AU206+1,$AU206)),0)</f>
        <v>0</v>
      </c>
      <c r="AV207" s="436">
        <f>IF(Control!$B$20=8,IF($AU207&gt;=Control!$B$174,1,0),0)</f>
        <v>0</v>
      </c>
      <c r="AW207" s="436">
        <f ca="1">IF(AND(Control!$B$18=2,Control!$B$171=1), $AV207, $AS207)</f>
        <v>0</v>
      </c>
      <c r="AX207" s="436" t="e">
        <f ca="1">IF(AND(Control!$B$18=1,$EU207&gt;=Control!$B$19),-$AY207,IF(AND(Control!$B$18=2,$AW207=1,$EU207&gt;$DS207),-$AY207, IF(Control!$C$108=0,0, IF(Control!$C$108&lt;&gt;0,1))))</f>
        <v>#N/A</v>
      </c>
      <c r="AY207" s="436" t="e">
        <f t="shared" ca="1" si="826"/>
        <v>#N/A</v>
      </c>
      <c r="AZ207" s="436" t="e">
        <f ca="1">IF(AND(Control!$B$18=1,$EB207&gt;Control!$B$19),$AZ206+1, IF(AND(Control!$B$18=2, $AW207=1, $EB207&gt;$DS207), $AZ206+1,$AZ206))</f>
        <v>#N/A</v>
      </c>
      <c r="BA207" s="587">
        <f>IF(Control!$C$81=0,1,IF($AH207&gt;=Control!$C$82,1,0))</f>
        <v>1</v>
      </c>
      <c r="BB207" s="140" t="e">
        <f ca="1">IF($BA207&gt;$BA206,Control!$C$83,IF($AW207&gt;0,$AW207*Control!$C$84,IF(AND(Control!$B$18=1,EN206&lt;&gt;0),Control!$C$84,0)))</f>
        <v>#N/A</v>
      </c>
      <c r="BC207" s="140" t="e">
        <f t="shared" ca="1" si="827"/>
        <v>#N/A</v>
      </c>
      <c r="BD207" s="140" t="e">
        <f ca="1">BC207*IF(OR($G207&lt;Control!$C$92,$G207&gt;Control!$C$95),0,IF(AND($G207&gt;=Control!$C$92,$G207&lt;=Control!$C$93),$G207-Control!$C$92,IF(AND($G207&gt;Control!$C$93,$G207&lt;=Control!$C$94),Control!$C$93-Control!$C$92,IF(AND($G207&gt;Control!$C$94,$G207&lt;=Control!$C$95),(Control!$C$93-Control!$C$92)*(Control!$C$94-$G207)/(Control!$C$95-Control!$C$94)))))</f>
        <v>#N/A</v>
      </c>
      <c r="BE207" s="140" t="e">
        <f t="shared" ca="1" si="828"/>
        <v>#N/A</v>
      </c>
      <c r="BF207" s="140" t="e">
        <f ca="1">IF($BE207&lt;=Control!$C$86,$BE207,Control!$C$86-$BE207)</f>
        <v>#N/A</v>
      </c>
      <c r="BG207" s="140" t="e">
        <f ca="1">IF(AND($AW207=1,Control!$C$84&lt;9),1,IF($BE207&gt;=Control!$C$86,0,$BC207))</f>
        <v>#N/A</v>
      </c>
      <c r="BH207" s="404" t="e">
        <f ca="1">IF($BG207=0,0,IF($BE207&lt;=Control!$C$86,$BC207*9*($BF207/Control!$C$86),0))</f>
        <v>#N/A</v>
      </c>
      <c r="BI207" s="140" t="e">
        <f ca="1">IF($BG207=1,0,IF($BE207&gt;=Control!$C$86,1,IF(AND($BB207&lt;21,$BB207&gt;=9),1,$BM206)))</f>
        <v>#N/A</v>
      </c>
      <c r="BJ207" s="140" t="e">
        <f ca="1">IF($BF207&lt;0,-$BF207,$BI207*IF(OR($G207&lt;Control!$C$92,$G207&gt;Control!$C$95),0,IF(AND($G207&gt;=Control!$C$92,$G207&lt;=Control!$C$93),$G207-Control!$C$92,IF(AND($G207&gt;Control!$C$93,$G207&lt;=Control!$C$94),Control!$C$93-Control!$C$92,IF(AND($G207&gt;Control!$C$94,$G207&lt;=Control!$C$95),(Control!$C$93-Control!$C$92)*(Control!$C$94-$G207)/(Control!$C$95-Control!$C$94))))))</f>
        <v>#N/A</v>
      </c>
      <c r="BK207" s="140" t="e">
        <f t="shared" ca="1" si="829"/>
        <v>#N/A</v>
      </c>
      <c r="BL207" s="140" t="e">
        <f ca="1">IF($BK207&lt;=Control!$C$87,$BK207,Control!$C$87-$BK207)</f>
        <v>#N/A</v>
      </c>
      <c r="BM207" s="140" t="e">
        <f ca="1">IF(AND($BB207&gt;=9,$BB207&lt;21),1,IF($BK207&gt;=Control!$C$87,0,$BI207))</f>
        <v>#N/A</v>
      </c>
      <c r="BN207" s="404" t="e">
        <f ca="1">IF($BM207=0,0,IF($BK207&lt;=Control!$C$87,$BI207*(9+(21-9)*($BL207/Control!$C$87)),0))</f>
        <v>#N/A</v>
      </c>
      <c r="BO207" s="140" t="e">
        <f ca="1">IF($BM207=1,0,IF($BK207&gt;=Control!$C$87,1,IF(AND($BB207&lt;30,$BB207&gt;=21),1,$BS206)))</f>
        <v>#N/A</v>
      </c>
      <c r="BP207" s="140" t="e">
        <f ca="1">IF($BL207&lt;0,-$BL207,$BO207*IF(OR($G207&lt;Control!$C$92,$G207&gt;Control!$C$95),0,IF(AND($G207&gt;=Control!$C$92,$G207&lt;=Control!$C$93),$G207-Control!$C$92,IF(AND($G207&gt;Control!$C$93,$G207&lt;=Control!$C$94),Control!$C$93-Control!$C$92,IF(AND($G207&gt;Control!$C$94,$G207&lt;=Control!$C$95),(Control!$C$93-Control!$C$92)*(Control!$C$94-$G207)/(Control!$C$95-Control!$C$94))))))</f>
        <v>#N/A</v>
      </c>
      <c r="BQ207" s="140" t="e">
        <f t="shared" ca="1" si="713"/>
        <v>#N/A</v>
      </c>
      <c r="BR207" s="140" t="e">
        <f ca="1">IF($BQ207&lt;=Control!$C$88,$BQ207,Control!$C$88-$BQ207)</f>
        <v>#N/A</v>
      </c>
      <c r="BS207" s="140" t="e">
        <f ca="1">IF(AND($BB207&gt;=21,$BB207&lt;30),1,IF($BQ207&gt;=Control!$C$88,0,$BO207))</f>
        <v>#N/A</v>
      </c>
      <c r="BT207" s="404" t="e">
        <f ca="1">IF($BS207=0,0,IF($BQ207&lt;=Control!$C$88,$BO207*(21+(30-21)*(BR207/Control!$C$88)),0))</f>
        <v>#N/A</v>
      </c>
      <c r="BU207" s="140" t="e">
        <f ca="1">IF(BG207+BM207+BS207=1,0,IF(OR(AND($BB207&lt;60,$BB207&gt;=30),$BQ207&gt;=Control!$C$88),1*$BA207,$BY206))</f>
        <v>#N/A</v>
      </c>
      <c r="BV207" s="140" t="e">
        <f ca="1">IF($BR207&lt;0,-$BR207,$BU207*IF(OR($G207&lt;Control!$C$92,$G207&gt;Control!$C$95),0,IF(AND($G207&gt;=Control!$C$92,$G207&lt;=Control!$C$93),$G207-Control!$C$92,IF(AND($G207&gt;Control!$C$93,$G207&lt;=Control!$C$94),Control!$C$93-Control!$C$92,IF(AND($G207&gt;Control!$C$94,$G207&lt;=Control!$C$95),(Control!$C$93-Control!$C$92)*(Control!$C$94-$G207)/(Control!$C$95-Control!$C$94))))))</f>
        <v>#N/A</v>
      </c>
      <c r="BW207" s="140" t="e">
        <f t="shared" ca="1" si="714"/>
        <v>#N/A</v>
      </c>
      <c r="BX207" s="140" t="e">
        <f ca="1">IF($BW207&lt;=Control!$C$89,$BW207,Control!$C$89-$BW207)</f>
        <v>#N/A</v>
      </c>
      <c r="BY207" s="140" t="e">
        <f ca="1">IF(AND($AJ207&gt;=30,$AJ207&lt;60),1,IF($BW207&gt;=Control!$C$89,0,$BU207))</f>
        <v>#N/A</v>
      </c>
      <c r="BZ207" s="404" t="e">
        <f ca="1">IF($BY207=0,0,IF($BW207&lt;=Control!$C$89,$BU207*(30+(60-30)*(BX207/Control!$C$89)),0))</f>
        <v>#N/A</v>
      </c>
      <c r="CA207" s="140" t="e">
        <f ca="1">IF($BG207+$BM207+$BS207+$BY207=1,0,IF(OR(AND($BB207&lt;65,$BB207&gt;=60),$BW207&gt;=Control!$C$89),1*$BA207,$CE206))</f>
        <v>#N/A</v>
      </c>
      <c r="CB207" s="140" t="e">
        <f ca="1">IF($BX207&lt;0,-$BX207,$CA207*IF(OR($G207&lt;Control!$C$92,$G207&gt;Control!$C$95),0,IF(AND($G207&gt;=Control!$C$92,$G207&lt;=Control!$C$93),$G207-Control!$C$92,IF(AND($G207&gt;Control!$C$93,$G207&lt;=Control!$C$94),Control!$C$93-Control!$C$92,IF(AND($G207&gt;Control!$C$94,$G207&lt;=Control!$C$95),(Control!$C$93-Control!$C$92)*(Control!$C$94-$G207)/(Control!$C$95-Control!$C$94))))))</f>
        <v>#N/A</v>
      </c>
      <c r="CC207" s="140" t="e">
        <f t="shared" ca="1" si="830"/>
        <v>#N/A</v>
      </c>
      <c r="CD207" s="140" t="e">
        <f ca="1">IF($CC207&lt;=Control!$C$90,$CC207,Control!$C$90-$CC207)</f>
        <v>#N/A</v>
      </c>
      <c r="CE207" s="140" t="e">
        <f ca="1">IF(AND($BB207&gt;=60,$BB207&lt;65),1,IF($CC207&gt;=Control!$C$90,0,$CA207))</f>
        <v>#N/A</v>
      </c>
      <c r="CF207" s="404" t="e">
        <f ca="1">IF($CE207=0,0,IF($CC207&lt;=Control!$C$90,$CA207*(60+(65-60)*(CD207/Control!$C$90)),0))</f>
        <v>#N/A</v>
      </c>
      <c r="CG207" s="140" t="e">
        <f ca="1">IF($BG207+$BM207+$BS207+$BY207+$CE207=1,0,IF(OR(AND($BB207&lt;90,$BB207&gt;=65),$CC207&gt;=Control!$C$90),$BA207,$CK206))</f>
        <v>#N/A</v>
      </c>
      <c r="CH207" s="140" t="e">
        <f ca="1">IF($CD207&lt;0,-$CD207,$CG207*IF(OR($G207&lt;Control!$C$92,$G207&gt;Control!$C$95),0,IF(AND($G207&gt;=Control!$C$92,$G207&lt;=Control!$C$93),$G207-Control!$C$92,IF(AND($G207&gt;Control!$C$93,$G207&lt;=Control!$C$94),Control!$C$93-Control!$C$92,IF(AND($G207&gt;Control!$C$94,$G207&lt;=Control!$C$95),(Control!$C$93-Control!$C$92)*(Control!$C$94-$G207)/(Control!$C$95-Control!$C$94))))))</f>
        <v>#N/A</v>
      </c>
      <c r="CI207" s="140" t="e">
        <f t="shared" ca="1" si="831"/>
        <v>#N/A</v>
      </c>
      <c r="CJ207" s="140" t="e">
        <f ca="1">IF($CI207&lt;=Control!$C$91,$CI207,Control!$C$91-$CI207)</f>
        <v>#N/A</v>
      </c>
      <c r="CK207" s="140" t="e">
        <f ca="1">IF(AND($BB207&gt;=65,$BB207&lt;90),1,IF($CI207&gt;=Control!$C$91,0,$CG207))</f>
        <v>#N/A</v>
      </c>
      <c r="CL207" s="404" t="e">
        <f ca="1">IF($CK207=0,0,IF($CI207&lt;=Control!$C$91,$CG207*(65+(90-65)*($CJ207/Control!$C$91)),0))</f>
        <v>#N/A</v>
      </c>
      <c r="CM207" s="140" t="e">
        <f ca="1">IF($BG207+$BM207+$BS207+$BY207+$CE207+$CK207=1,0,IF(OR($BB207&gt;=90,$CI207&gt;=Control!$C$91),$BA207,$CM206))</f>
        <v>#N/A</v>
      </c>
      <c r="CN207" s="140" t="e">
        <f t="shared" ca="1" si="832"/>
        <v>#N/A</v>
      </c>
      <c r="CO207" s="140" t="e">
        <f t="shared" ca="1" si="833"/>
        <v>#N/A</v>
      </c>
      <c r="CP207" s="140" t="e">
        <f t="shared" ca="1" si="834"/>
        <v>#N/A</v>
      </c>
      <c r="CQ207" s="141" t="e">
        <f ca="1">VLOOKUP($CP207,Control!$B$86:$G$91,6)</f>
        <v>#N/A</v>
      </c>
      <c r="CR207" s="141" t="e">
        <f ca="1">(1-$CQ207)*VLOOKUP($CP207,Control!$B$86:$D$91,3)</f>
        <v>#N/A</v>
      </c>
      <c r="CS207" s="141" t="e">
        <f ca="1">(1-$CQ207)*VLOOKUP($CP207,Control!$B$86:$E$91,4)</f>
        <v>#N/A</v>
      </c>
      <c r="CT207" s="141" t="e">
        <f ca="1">(1-$CQ207)*VLOOKUP($CP207,Control!$B$86:$F$91,5)</f>
        <v>#N/A</v>
      </c>
      <c r="CU207" s="141">
        <f t="shared" ca="1" si="835"/>
        <v>0</v>
      </c>
      <c r="CV207" s="583">
        <f t="shared" ca="1" si="836"/>
        <v>0</v>
      </c>
      <c r="CW207" s="142">
        <f t="shared" ca="1" si="837"/>
        <v>203</v>
      </c>
      <c r="CX207" s="612" t="e">
        <f ca="1">IF(Control!$C$114=1,(MIN(Control!$C$120*(IF($NT207-0.01&lt;0,0,1)),Control!$C$119-$CY207)))</f>
        <v>#DIV/0!</v>
      </c>
      <c r="CY207" s="143" t="e">
        <f t="shared" ca="1" si="838"/>
        <v>#N/A</v>
      </c>
      <c r="CZ207" s="144">
        <f t="shared" ca="1" si="715"/>
        <v>0</v>
      </c>
      <c r="DA207" s="144">
        <f t="shared" ca="1" si="716"/>
        <v>0</v>
      </c>
      <c r="DB207" s="144" t="e">
        <f t="shared" ca="1" si="717"/>
        <v>#N/A</v>
      </c>
      <c r="DC207" s="144" t="e">
        <f t="shared" ca="1" si="718"/>
        <v>#N/A</v>
      </c>
      <c r="DD207" s="144" t="e">
        <f t="shared" ca="1" si="923"/>
        <v>#N/A</v>
      </c>
      <c r="DE207" s="143" t="e">
        <f t="shared" ca="1" si="839"/>
        <v>#N/A</v>
      </c>
      <c r="DF207" s="145" t="e">
        <f ca="1">$DR207*EXP(-Control!$C$158*(1-$KH207))</f>
        <v>#N/A</v>
      </c>
      <c r="DG207" s="146" t="e">
        <f ca="1">IF(Control!$C$114=1, $DF207*$EY207, 0)</f>
        <v>#N/A</v>
      </c>
      <c r="DH207" s="147" t="e">
        <f t="shared" ca="1" si="840"/>
        <v>#N/A</v>
      </c>
      <c r="DI207" s="144" t="e">
        <f t="shared" ca="1" si="901"/>
        <v>#N/A</v>
      </c>
      <c r="DJ207" s="147" t="e">
        <f ca="1">$EF207*Control!$C$109</f>
        <v>#N/A</v>
      </c>
      <c r="DK207" s="144" t="e">
        <f t="shared" ca="1" si="841"/>
        <v>#N/A</v>
      </c>
      <c r="DL207" s="144" t="e">
        <f t="shared" ca="1" si="719"/>
        <v>#N/A</v>
      </c>
      <c r="DM207" s="144" t="e">
        <f ca="1">IF(Control!$C$114=1, (1-EXP(-Control!$C$96*$DK207))*$AR207, 0)</f>
        <v>#N/A</v>
      </c>
      <c r="DN207" s="144">
        <f t="shared" ca="1" si="842"/>
        <v>0</v>
      </c>
      <c r="DO207" s="148">
        <f>Control!$C$97</f>
        <v>4</v>
      </c>
      <c r="DP207" s="145" t="e">
        <f t="shared" ca="1" si="843"/>
        <v>#N/A</v>
      </c>
      <c r="DQ207" s="145" t="e">
        <f ca="1">IF(AND($CP207&gt;=0,$CP207&lt;=90),Control!$C$111,Control!$C$111)</f>
        <v>#N/A</v>
      </c>
      <c r="DR207" s="145" t="e">
        <f t="shared" ca="1" si="720"/>
        <v>#N/A</v>
      </c>
      <c r="DS207" s="143" t="e">
        <f ca="1">Control!$B$22/$DR207</f>
        <v>#N/A</v>
      </c>
      <c r="DT207" s="149" t="e">
        <f ca="1">IF(AND(Control!$C$114=1,$KH207&lt;1),$IM207*$DF207, 0)</f>
        <v>#N/A</v>
      </c>
      <c r="DU207" s="144" t="e">
        <f t="shared" ca="1" si="844"/>
        <v>#N/A</v>
      </c>
      <c r="DV207" s="144">
        <f ca="1">IF($G207-Control!$C$107&lt;=0, 0, 0.83*LN(MAX($G207, 3))-0.8924)</f>
        <v>0</v>
      </c>
      <c r="DW207" s="144" t="e">
        <f t="shared" ca="1" si="721"/>
        <v>#N/A</v>
      </c>
      <c r="DX207" s="150" t="e">
        <f ca="1">MAX(0.01*(1+$CU207/Control!$C$102),0.05*($DK207-Control!$C$97)/Control!$C$97)</f>
        <v>#N/A</v>
      </c>
      <c r="DY207" s="151" t="e">
        <f ca="1">IF(Control!$C$114=1, $DI207*$FS207, 0)</f>
        <v>#N/A</v>
      </c>
      <c r="DZ207" s="196" t="e">
        <f t="shared" ca="1" si="845"/>
        <v>#N/A</v>
      </c>
      <c r="EA207" s="152">
        <f t="shared" ca="1" si="846"/>
        <v>203</v>
      </c>
      <c r="EB207" s="153" t="e">
        <f t="shared" ca="1" si="847"/>
        <v>#N/A</v>
      </c>
      <c r="EC207" s="153" t="e">
        <f t="shared" ca="1" si="848"/>
        <v>#N/A</v>
      </c>
      <c r="ED207" s="154" t="e">
        <f ca="1">IF(Control!$C$114=1, $HM207*$FY207-$FD207, 0)</f>
        <v>#DIV/0!</v>
      </c>
      <c r="EE207" s="155" t="e">
        <f ca="1">IF(Control!$C$114=1, $HM207*$FZ207-$FF207, 0)</f>
        <v>#DIV/0!</v>
      </c>
      <c r="EF207" s="153" t="e">
        <f t="shared" ca="1" si="902"/>
        <v>#N/A</v>
      </c>
      <c r="EG207" s="155" t="e">
        <f ca="1">IF(Control!$C$114=1, $GX207*$FW207-$FI207, 0)</f>
        <v>#DIV/0!</v>
      </c>
      <c r="EH207" s="153" t="e">
        <f t="shared" ca="1" si="849"/>
        <v>#N/A</v>
      </c>
      <c r="EI207" s="156" t="e">
        <f t="shared" ca="1" si="850"/>
        <v>#N/A</v>
      </c>
      <c r="EJ207" s="155" t="e">
        <f ca="1">IF(Control!$C$114=1, $HM207*$GB207, 0)</f>
        <v>#DIV/0!</v>
      </c>
      <c r="EK207" s="153" t="e">
        <f t="shared" ca="1" si="903"/>
        <v>#N/A</v>
      </c>
      <c r="EL207" s="153" t="e">
        <f t="shared" ca="1" si="722"/>
        <v>#N/A</v>
      </c>
      <c r="EM207" s="153" t="e">
        <f t="shared" ca="1" si="723"/>
        <v>#N/A</v>
      </c>
      <c r="EN207" s="153" t="e">
        <f ca="1">IF(Control!$C$108=1,IF(AND(Control!$B$18=1,$EB207&gt;=Control!$B$19),$EB207-$DS207,IF(AND(Control!$B$18=2,$AW207=1,$EB207&gt;$DS207),$EB207-$DS207,0)))</f>
        <v>#N/A</v>
      </c>
      <c r="EO207" s="153" t="e">
        <f ca="1">IF(Control!$C$108=1,IF(AND(Control!$B$18=1,$EB207&gt;=Control!$B$19),$EF207,IF(AND(Control!$B$18=2,$AW207=1),$EF207,0)))</f>
        <v>#N/A</v>
      </c>
      <c r="EP207" s="153" t="e">
        <f ca="1">IF(Control!$C$108=1,IF(AND(Control!$B$18=1,$EB207&gt;=Control!$B$19),$EK207,IF(AND(Control!$B$18=2,$AW207=1),$EK207,0)))</f>
        <v>#N/A</v>
      </c>
      <c r="EQ207" s="153" t="e">
        <f t="shared" ca="1" si="851"/>
        <v>#N/A</v>
      </c>
      <c r="ER207" s="153" t="e">
        <f t="shared" ca="1" si="852"/>
        <v>#N/A</v>
      </c>
      <c r="ES207" s="153" t="e">
        <f t="shared" ca="1" si="904"/>
        <v>#N/A</v>
      </c>
      <c r="ET207" s="153" t="e">
        <f t="shared" ca="1" si="905"/>
        <v>#N/A</v>
      </c>
      <c r="EU207" s="153" t="e">
        <f t="shared" ca="1" si="853"/>
        <v>#N/A</v>
      </c>
      <c r="EV207" s="153" t="e">
        <f t="shared" ca="1" si="724"/>
        <v>#N/A</v>
      </c>
      <c r="EW207" s="153" t="e">
        <f t="shared" ca="1" si="725"/>
        <v>#N/A</v>
      </c>
      <c r="EX207" s="153" t="e">
        <f t="shared" ca="1" si="726"/>
        <v>#N/A</v>
      </c>
      <c r="EY207" s="157" t="e">
        <f t="shared" ca="1" si="727"/>
        <v>#DIV/0!</v>
      </c>
      <c r="EZ207" s="154" t="e">
        <f t="shared" ca="1" si="728"/>
        <v>#DIV/0!</v>
      </c>
      <c r="FA207" s="153" t="e">
        <f t="shared" ca="1" si="854"/>
        <v>#N/A</v>
      </c>
      <c r="FB207" s="153" t="e">
        <f t="shared" ca="1" si="729"/>
        <v>#N/A</v>
      </c>
      <c r="FC207" s="193" t="e">
        <f t="shared" ca="1" si="730"/>
        <v>#N/A</v>
      </c>
      <c r="FD207" s="158" t="e">
        <f t="shared" ca="1" si="855"/>
        <v>#N/A</v>
      </c>
      <c r="FE207" s="158" t="e">
        <f t="shared" ca="1" si="856"/>
        <v>#N/A</v>
      </c>
      <c r="FF207" s="159" t="e">
        <f t="shared" ca="1" si="731"/>
        <v>#N/A</v>
      </c>
      <c r="FG207" s="160" t="e">
        <f t="shared" ca="1" si="857"/>
        <v>#N/A</v>
      </c>
      <c r="FH207" s="158" t="e">
        <f t="shared" ca="1" si="858"/>
        <v>#N/A</v>
      </c>
      <c r="FI207" s="159" t="e">
        <f t="shared" ca="1" si="732"/>
        <v>#N/A</v>
      </c>
      <c r="FJ207" s="160" t="e">
        <f t="shared" ca="1" si="859"/>
        <v>#N/A</v>
      </c>
      <c r="FK207" s="160" t="e">
        <f t="shared" ca="1" si="733"/>
        <v>#N/A</v>
      </c>
      <c r="FL207" s="160" t="e">
        <f t="shared" ca="1" si="906"/>
        <v>#N/A</v>
      </c>
      <c r="FM207" s="160" t="e">
        <f t="shared" ca="1" si="734"/>
        <v>#N/A</v>
      </c>
      <c r="FN207" s="158">
        <f t="shared" ca="1" si="860"/>
        <v>0.01</v>
      </c>
      <c r="FO207" s="160">
        <f>Control!$C$101</f>
        <v>50</v>
      </c>
      <c r="FP207" s="150" t="e">
        <f t="shared" ca="1" si="735"/>
        <v>#N/A</v>
      </c>
      <c r="FQ207" s="150" t="e">
        <f ca="1">MAX(0,(Control!$C$112*(($DK207-Control!$C$97)/Control!$C$97)))</f>
        <v>#N/A</v>
      </c>
      <c r="FR207" s="150" t="e">
        <f ca="1">(1-$NT207)*Control!$C$113</f>
        <v>#DIV/0!</v>
      </c>
      <c r="FS207" s="198" t="e">
        <f t="shared" ca="1" si="736"/>
        <v>#N/A</v>
      </c>
      <c r="FT207" s="161">
        <f t="shared" ca="1" si="861"/>
        <v>203</v>
      </c>
      <c r="FU207" s="162" t="e">
        <f ca="1">IF(Control!$B$34=1,VLOOKUP($CP207,Control!$B$86:$G$91,6),Control!$B$35)</f>
        <v>#N/A</v>
      </c>
      <c r="FV207" s="162" t="e">
        <f t="shared" ca="1" si="737"/>
        <v>#DIV/0!</v>
      </c>
      <c r="FW207" s="162" t="e">
        <f ca="1">IF(Control!$B$31=1,$FU207*$FV207,  $FU207)</f>
        <v>#N/A</v>
      </c>
      <c r="FX207" s="162" t="e">
        <f ca="1">IF(Control!$B$34=1,VLOOKUP($CP207,Control!$B$86:$G$91,3),Control!$B$36)</f>
        <v>#N/A</v>
      </c>
      <c r="FY207" s="162" t="e">
        <f t="shared" ca="1" si="738"/>
        <v>#N/A</v>
      </c>
      <c r="FZ207" s="162" t="e">
        <f ca="1">IF(Control!$B$34=1,VLOOKUP($CP207,Control!$B$86:$G$91,4),Control!$B$37)</f>
        <v>#N/A</v>
      </c>
      <c r="GA207" s="162" t="e">
        <f t="shared" ca="1" si="739"/>
        <v>#N/A</v>
      </c>
      <c r="GB207" s="162" t="e">
        <f ca="1">IF(Control!$B$34=1,VLOOKUP($CP207,Control!$B$86:$G$91,5),Control!$B$38)</f>
        <v>#N/A</v>
      </c>
      <c r="GC207" s="162" t="e">
        <f t="shared" ca="1" si="862"/>
        <v>#N/A</v>
      </c>
      <c r="GD207" s="162">
        <f t="shared" ca="1" si="740"/>
        <v>1</v>
      </c>
      <c r="GE207" s="162">
        <f t="shared" ca="1" si="741"/>
        <v>1</v>
      </c>
      <c r="GF207" s="162">
        <f ca="1">IF(AND(Control!$C$104=1, Control!$C$62="F"),$GE207,1)</f>
        <v>1</v>
      </c>
      <c r="GG207" s="162" t="e">
        <f ca="1">IF(Control!$B$16=40,0,IF(AND(Control!$B$16&gt;40,Control!$B$16&lt;=360),(Control!$B$16-40)*((1-0)/(360-40)),IF(AND(Control!$B$16&gt;360,Control!$B$16&lt;=720),(1+(Control!$B$16-360)*((1.25-1)/(720-360))),IF(AND(Control!$B$16&gt;720,Control!$B$16&lt;=1000),(1.25+(Control!$B$16-720)*((1.35-1.25)/(1000-720))),IF(AND(Control!$B$16&gt;1000,Control!$B$16&lt;=2000),(1.35+(Control!$B$16-1000)*0))))))</f>
        <v>#N/A</v>
      </c>
      <c r="GH207" s="162" t="e">
        <f t="shared" ca="1" si="742"/>
        <v>#N/A</v>
      </c>
      <c r="GI207" s="162">
        <f t="shared" ca="1" si="863"/>
        <v>0</v>
      </c>
      <c r="GJ207" s="162">
        <f t="shared" ca="1" si="743"/>
        <v>0</v>
      </c>
      <c r="GK207" s="162">
        <f t="shared" ca="1" si="864"/>
        <v>1</v>
      </c>
      <c r="GL207" s="162">
        <f t="shared" ca="1" si="744"/>
        <v>1</v>
      </c>
      <c r="GM207" s="162" t="e">
        <f ca="1">MAX(0,MIN(1,1-Control!$C$156*(1.0001-$KH207)^2))</f>
        <v>#N/A</v>
      </c>
      <c r="GN207" s="162" t="e">
        <f ca="1">IF(Control!$B$26=1,$KU207,$KX207)</f>
        <v>#N/A</v>
      </c>
      <c r="GO207" s="162" t="e">
        <f ca="1">IF($CP207&lt;=60,Control!$C$105,IF($CP207&gt;=90,Control!$C$106,Control!$C$105+($CP207-60)*((Control!$C$106-Control!$C$105)/(90-60))))</f>
        <v>#N/A</v>
      </c>
      <c r="GP207" s="162" t="e">
        <f t="shared" ca="1" si="745"/>
        <v>#N/A</v>
      </c>
      <c r="GQ207" s="162" t="e">
        <f t="shared" ca="1" si="865"/>
        <v>#N/A</v>
      </c>
      <c r="GR207" s="163" t="e">
        <f t="shared" ca="1" si="746"/>
        <v>#DIV/0!</v>
      </c>
      <c r="GS207" s="162" t="e">
        <f t="shared" ca="1" si="747"/>
        <v>#DIV/0!</v>
      </c>
      <c r="GT207" s="164" t="e">
        <f t="shared" ca="1" si="866"/>
        <v>#N/A</v>
      </c>
      <c r="GU207" s="162" t="e">
        <f t="shared" ca="1" si="867"/>
        <v>#N/A</v>
      </c>
      <c r="GV207" s="162" t="e">
        <f t="shared" ca="1" si="748"/>
        <v>#N/A</v>
      </c>
      <c r="GW207" s="162" t="e">
        <f t="shared" ca="1" si="749"/>
        <v>#DIV/0!</v>
      </c>
      <c r="GX207" s="162" t="e">
        <f t="shared" ca="1" si="868"/>
        <v>#DIV/0!</v>
      </c>
      <c r="GY207" s="162" t="e">
        <f t="shared" ca="1" si="869"/>
        <v>#DIV/0!</v>
      </c>
      <c r="GZ207" s="165" t="e">
        <f t="shared" ca="1" si="750"/>
        <v>#N/A</v>
      </c>
      <c r="HA207" s="162" t="e">
        <f ca="1">IF(Control!$C$114=1, $DI207*$FS207, 0)</f>
        <v>#N/A</v>
      </c>
      <c r="HB207" s="162" t="e">
        <f ca="1">$FA207/Control!$C$64</f>
        <v>#N/A</v>
      </c>
      <c r="HC207" s="162" t="e">
        <f t="shared" ca="1" si="751"/>
        <v>#DIV/0!</v>
      </c>
      <c r="HD207" s="162">
        <f ca="1">-ASIN(SIN(23.45*Control!$C$139)*COS(2*Control!$C$138*($AH207+10)/365))</f>
        <v>0.35154303858214886</v>
      </c>
      <c r="HE207" s="165">
        <f t="shared" ca="1" si="870"/>
        <v>0</v>
      </c>
      <c r="HF207" s="166">
        <f ca="1">IF(AND(Control!$C$61="T",$HE207&gt;=Control!$C$103,Control!$C$114=0),$AH207,Control!$C$59)</f>
        <v>1</v>
      </c>
      <c r="HG207" s="166">
        <f ca="1">IF(AND(Control!$C$61="T",$HE207&gt;=Control!$C$103,Control!$C$114=0),$HF207,Control!$C$59)</f>
        <v>1</v>
      </c>
      <c r="HH207" s="165">
        <f ca="1">IF(AND(OR(Control!$C$60&lt;=0, $AH207= Control!$C$59, Control!$C$60 &gt;0, $AH207 = Control!$C$60)), Control!$C$59, IF(Control!$C$60&gt;0, 0))</f>
        <v>1</v>
      </c>
      <c r="HI207" s="165">
        <f ca="1">IF(AND(OR(Control!$C$60&lt;=0, $AH207= Control!$C$59, Control!$C$60 &gt;0, $AH207 = Control!$C$60)), Control!$C$60, IF(Control!$C$60&lt;=0, 0))</f>
        <v>0</v>
      </c>
      <c r="HJ207" s="166">
        <f ca="1">IF(AND(Control!$C$62="F",$CV207&gt;=Control!$C$102),$AH207,0)</f>
        <v>0</v>
      </c>
      <c r="HK207" s="165" t="e">
        <f t="shared" ca="1" si="907"/>
        <v>#N/A</v>
      </c>
      <c r="HL207" s="166">
        <f ca="1">IF(AND(Control!$C$61="T",$HE207&gt;=Control!$C$103,Control!$C$114=0),$HF207,0)</f>
        <v>0</v>
      </c>
      <c r="HM207" s="201" t="e">
        <f t="shared" ca="1" si="752"/>
        <v>#DIV/0!</v>
      </c>
      <c r="HN207" s="215">
        <f t="shared" ca="1" si="871"/>
        <v>203</v>
      </c>
      <c r="HO207" s="216" t="e">
        <f ca="1">IF(AND($CP207&gt;=0, $CP207&lt;=90), Control!$C$152, Control!$C$152)</f>
        <v>#N/A</v>
      </c>
      <c r="HP207" s="216" t="e">
        <f t="shared" ca="1" si="753"/>
        <v>#N/A</v>
      </c>
      <c r="HQ207" s="217" t="e">
        <f ca="1">IF(OR(Control!$B$26=1,Control!$B$26=2),$KV207,$KS207)</f>
        <v>#DIV/0!</v>
      </c>
      <c r="HR207" s="218" t="e">
        <f t="shared" ca="1" si="908"/>
        <v>#DIV/0!</v>
      </c>
      <c r="HS207" s="216" t="e">
        <f ca="1">Control!$C$154*$HP207</f>
        <v>#N/A</v>
      </c>
      <c r="HT207" s="216" t="e">
        <f ca="1">Control!$C$155*$HP207</f>
        <v>#N/A</v>
      </c>
      <c r="HU207" s="217" t="e">
        <f ca="1">Control!$C$161*$FI207</f>
        <v>#N/A</v>
      </c>
      <c r="HV207" s="218" t="e">
        <f t="shared" ca="1" si="872"/>
        <v>#N/A</v>
      </c>
      <c r="HW207" s="218" t="e">
        <f ca="1">Control!$C$160*$FF207+$IP207*$EO207</f>
        <v>#N/A</v>
      </c>
      <c r="HX207" s="218" t="e">
        <f t="shared" ca="1" si="909"/>
        <v>#N/A</v>
      </c>
      <c r="HY207" s="219" t="e">
        <f ca="1">IF(Control!$C$114=1, $EB207*$FS207, 0)</f>
        <v>#N/A</v>
      </c>
      <c r="HZ207" s="91" t="e">
        <f t="shared" ca="1" si="754"/>
        <v>#N/A</v>
      </c>
      <c r="IA207" s="220" t="e">
        <f ca="1">Control!$C$153*$HO207</f>
        <v>#N/A</v>
      </c>
      <c r="IB207" s="218" t="e">
        <f t="shared" ca="1" si="755"/>
        <v>#N/A</v>
      </c>
      <c r="IC207" s="220" t="e">
        <f ca="1">Control!$C$153*$HT207</f>
        <v>#N/A</v>
      </c>
      <c r="ID207" s="218" t="e">
        <f t="shared" ca="1" si="756"/>
        <v>#N/A</v>
      </c>
      <c r="IE207" s="221" t="e">
        <f ca="1">($EB207*Control!$C$159+$EF207*Control!$C$160)/(IF($GZ207&lt;&gt;0,$GZ207,1))</f>
        <v>#N/A</v>
      </c>
      <c r="IF207" s="216" t="e">
        <f t="shared" ca="1" si="757"/>
        <v>#N/A</v>
      </c>
      <c r="IG207" s="91">
        <f ca="1">IF(OR(Control!$B$198=$AH207,Control!$B$199=$AH207, Control!$B$200=$AH207, Control!$B$201=$AH207, Control!$B$202=$AH207, Control!$B$203=$AH207, Control!$B$204=$AH207, Control!$B$205=$AH207, Control!$B$206=$AH207, Control!$B$207=$AH207), 1, 0)</f>
        <v>0</v>
      </c>
      <c r="IH207" s="91">
        <f ca="1">IF($IG207=0,0, VLOOKUP($AH207,Control!$B$198:$C$207,2))</f>
        <v>0</v>
      </c>
      <c r="II207" s="222">
        <f t="shared" ca="1" si="873"/>
        <v>0</v>
      </c>
      <c r="IJ207" s="91">
        <f>Control!$C$121</f>
        <v>0.7</v>
      </c>
      <c r="IK207" s="218">
        <f t="shared" ca="1" si="758"/>
        <v>0</v>
      </c>
      <c r="IL207" s="217" t="e">
        <f t="shared" ca="1" si="910"/>
        <v>#N/A</v>
      </c>
      <c r="IM207" s="223" t="e">
        <f ca="1">IF(AND(Control!$C$114=1,$KH207&lt;1),$EB207*Control!$C$148*(1-$KH207), 0)</f>
        <v>#N/A</v>
      </c>
      <c r="IN207" s="217" t="e">
        <f t="shared" ca="1" si="759"/>
        <v>#DIV/0!</v>
      </c>
      <c r="IO207" s="91" t="e">
        <f ca="1">MAX(0,$IL207-$EF207*Control!$C$160)</f>
        <v>#N/A</v>
      </c>
      <c r="IP207" s="220" t="e">
        <f t="shared" ca="1" si="760"/>
        <v>#N/A</v>
      </c>
      <c r="IQ207" s="217" t="e">
        <f t="shared" ca="1" si="874"/>
        <v>#N/A</v>
      </c>
      <c r="IR207" s="218" t="e">
        <f t="shared" ca="1" si="761"/>
        <v>#N/A</v>
      </c>
      <c r="IS207" s="217" t="e">
        <f ca="1">Control!$C$159*MAX(0,$FD207-$EN207)</f>
        <v>#N/A</v>
      </c>
      <c r="IT207" s="217" t="e">
        <f t="shared" ca="1" si="911"/>
        <v>#N/A</v>
      </c>
      <c r="IU207" s="217" t="e">
        <f t="shared" ca="1" si="875"/>
        <v>#N/A</v>
      </c>
      <c r="IV207" s="217" t="e">
        <f t="shared" ca="1" si="912"/>
        <v>#N/A</v>
      </c>
      <c r="IW207" s="217" t="e">
        <f ca="1">IF(OR($AW207=1,AND($AW207=0, Control!$B$18=1,$EN207&lt;&gt;0)), $IQ207-$IU207, $IQ207)</f>
        <v>#N/A</v>
      </c>
      <c r="IX207" s="218" t="e">
        <f t="shared" ca="1" si="762"/>
        <v>#N/A</v>
      </c>
      <c r="IY207" s="218" t="e">
        <f ca="1">MAX(0,$IQ207-$EB207*Control!$C$159)</f>
        <v>#N/A</v>
      </c>
      <c r="IZ207" s="218" t="e">
        <f t="shared" ca="1" si="763"/>
        <v>#N/A</v>
      </c>
      <c r="JA207" s="216" t="e">
        <f t="shared" ca="1" si="764"/>
        <v>#N/A</v>
      </c>
      <c r="JB207" s="217" t="e">
        <f t="shared" ca="1" si="765"/>
        <v>#N/A</v>
      </c>
      <c r="JC207" s="222" t="e">
        <f ca="1">MAX(Control!$C$157*$EK207-$JT207, 0)/Control!$C$162</f>
        <v>#N/A</v>
      </c>
      <c r="JD207" s="218" t="e">
        <f t="shared" ca="1" si="766"/>
        <v>#N/A</v>
      </c>
      <c r="JE207" s="218" t="e">
        <f t="shared" ca="1" si="767"/>
        <v>#N/A</v>
      </c>
      <c r="JF207" s="218" t="e">
        <f t="shared" ca="1" si="876"/>
        <v>#N/A</v>
      </c>
      <c r="JG207" s="218" t="e">
        <f t="shared" ca="1" si="768"/>
        <v>#N/A</v>
      </c>
      <c r="JH207" s="217" t="e">
        <f t="shared" ca="1" si="877"/>
        <v>#N/A</v>
      </c>
      <c r="JI207" s="217" t="e">
        <f t="shared" ca="1" si="878"/>
        <v>#N/A</v>
      </c>
      <c r="JJ207" s="217" t="e">
        <f t="shared" ca="1" si="913"/>
        <v>#N/A</v>
      </c>
      <c r="JK207" s="217" t="e">
        <f ca="1">IF(Control!$C$114=1,IF(Control!$B$24=0,MAX(0,$JI207)*$GN207/Control!$C$64,(MAX(0,MIN($JI207,$JJ207*$GN207/Control!$C$64),0))))</f>
        <v>#N/A</v>
      </c>
      <c r="JL207" s="217" t="e">
        <f ca="1">$IK207/Control!$C$64-$JK207+$HQ207</f>
        <v>#N/A</v>
      </c>
      <c r="JM207" s="217" t="e">
        <f ca="1">IF(Control!$C$114=1,($JB207/(IF($JI207&lt;&gt;0,$JI207,1)))*$JK207,0)</f>
        <v>#N/A</v>
      </c>
      <c r="JN207" s="217" t="e">
        <f ca="1">IF(Control!$C$114=1,($JG207/(IF($JI207&lt;&gt;0,$JI207,1)))*$JK207, 0)</f>
        <v>#N/A</v>
      </c>
      <c r="JO207" s="218" t="e">
        <f t="shared" ca="1" si="769"/>
        <v>#N/A</v>
      </c>
      <c r="JP207" s="218" t="e">
        <f ca="1">MIN(($IY207+$IO207)*Control!$C$151, $JF207-$EH207*Control!$C$161)</f>
        <v>#N/A</v>
      </c>
      <c r="JQ207" s="218" t="e">
        <f t="shared" ca="1" si="770"/>
        <v>#N/A</v>
      </c>
      <c r="JR207" s="217" t="e">
        <f ca="1">IF($CP207-Control!$C$150&lt;0, 0, $JQ207/Control!$C$162)</f>
        <v>#N/A</v>
      </c>
      <c r="JS207" s="218" t="e">
        <f t="shared" ca="1" si="771"/>
        <v>#N/A</v>
      </c>
      <c r="JT207" s="218" t="e">
        <f t="shared" ca="1" si="879"/>
        <v>#N/A</v>
      </c>
      <c r="JU207" s="218" t="e">
        <f t="shared" ca="1" si="772"/>
        <v>#N/A</v>
      </c>
      <c r="JV207" s="218" t="e">
        <f t="shared" ca="1" si="773"/>
        <v>#N/A</v>
      </c>
      <c r="JW207" s="216" t="e">
        <f t="shared" ca="1" si="774"/>
        <v>#N/A</v>
      </c>
      <c r="JX207" s="91" t="e">
        <f t="shared" ca="1" si="775"/>
        <v>#N/A</v>
      </c>
      <c r="JY207" s="218" t="e">
        <f t="shared" ca="1" si="776"/>
        <v>#N/A</v>
      </c>
      <c r="JZ207" s="217" t="e">
        <f ca="1">IF(Control!$C$114=1,($IZ207/(IF($JI207&lt;&gt;0,$JI207,1)))*$JK207, 0)</f>
        <v>#N/A</v>
      </c>
      <c r="KA207" s="218" t="e">
        <f t="shared" ca="1" si="914"/>
        <v>#N/A</v>
      </c>
      <c r="KB207" s="218" t="e">
        <f t="shared" ca="1" si="880"/>
        <v>#N/A</v>
      </c>
      <c r="KC207" s="218" t="e">
        <f t="shared" ca="1" si="777"/>
        <v>#N/A</v>
      </c>
      <c r="KD207" s="218" t="e">
        <f t="shared" ca="1" si="778"/>
        <v>#N/A</v>
      </c>
      <c r="KE207" s="218" t="e">
        <f t="shared" ca="1" si="779"/>
        <v>#N/A</v>
      </c>
      <c r="KF207" s="218" t="e">
        <f t="shared" ca="1" si="780"/>
        <v>#N/A</v>
      </c>
      <c r="KG207" s="216" t="e">
        <f t="shared" ca="1" si="781"/>
        <v>#N/A</v>
      </c>
      <c r="KH207" s="221" t="e">
        <f ca="1">IF(Control!$B$24=0,1,MAX(0.001,MIN(1,IF(($IF207-$IE207)&lt;&gt;0,($KG207-$IE207)/($IF207-$IE207),1))))</f>
        <v>#N/A</v>
      </c>
      <c r="KI207" s="222" t="e">
        <f ca="1">IF(Control!$C$114=1, $KI206+ $KH206, 0)</f>
        <v>#N/A</v>
      </c>
      <c r="KJ207" s="217" t="e">
        <f t="shared" ca="1" si="782"/>
        <v>#N/A</v>
      </c>
      <c r="KK207" s="218" t="e">
        <f t="shared" ca="1" si="783"/>
        <v>#N/A</v>
      </c>
      <c r="KL207" s="274" t="e">
        <f ca="1">IF(Control!$B$26=3,4000000000*EXP(-8400/($G207+273)),IF(Control!$B$26=4,4000000000*EXP(-8400/($G207+273))*($KT207),0))</f>
        <v>#DIV/0!</v>
      </c>
      <c r="KM207" s="274" t="e">
        <f ca="1">IF(Control!$B$26=3,5600000000000*EXP(-9800/($G207+273)),IF(Control!$B$26=4,5600000000000*EXP(-9800/($G207+273))*$KT207,0))</f>
        <v>#DIV/0!</v>
      </c>
      <c r="KN207" s="454" t="e">
        <f t="shared" ca="1" si="881"/>
        <v>#DIV/0!</v>
      </c>
      <c r="KO207" s="274" t="e">
        <f t="shared" ca="1" si="882"/>
        <v>#DIV/0!</v>
      </c>
      <c r="KP207" s="454" t="e">
        <f t="shared" ca="1" si="784"/>
        <v>#DIV/0!</v>
      </c>
      <c r="KQ207" s="454" t="e">
        <f t="shared" ca="1" si="785"/>
        <v>#DIV/0!</v>
      </c>
      <c r="KR207" s="454" t="e">
        <f t="shared" ca="1" si="786"/>
        <v>#DIV/0!</v>
      </c>
      <c r="KS207" s="454" t="e">
        <f t="shared" ca="1" si="787"/>
        <v>#DIV/0!</v>
      </c>
      <c r="KT207" s="455" t="e">
        <f t="shared" ca="1" si="788"/>
        <v>#DIV/0!</v>
      </c>
      <c r="KU207" s="456" t="e">
        <f ca="1">IF($CP207-Control!$C$149&lt;0, IF($NT207-0.01&lt;0,0,1),0)</f>
        <v>#N/A</v>
      </c>
      <c r="KV207" s="456" t="e">
        <f ca="1">IF(Control!$C$114=1,MAX(0,MIN(Control!$C$125*$KW207*$GN207,$KW207)))</f>
        <v>#DIV/0!</v>
      </c>
      <c r="KW207" s="456" t="e">
        <f t="shared" ca="1" si="915"/>
        <v>#DIV/0!</v>
      </c>
      <c r="KX207" s="457" t="e">
        <f ca="1">IF($CP207-Control!$C$149&lt;0, IF($MR207-$OM207&lt;0,0,1),0)</f>
        <v>#N/A</v>
      </c>
      <c r="KY207" s="167">
        <f t="shared" ca="1" si="883"/>
        <v>203</v>
      </c>
      <c r="KZ207" s="168">
        <f ca="1">1370*(1+0.033*COS(2*Control!$C$138*$AH207/365))</f>
        <v>1327.5760858035117</v>
      </c>
      <c r="LA207" s="169">
        <f t="shared" ca="1" si="884"/>
        <v>0.96903354607255143</v>
      </c>
      <c r="LB207" s="169">
        <f t="shared" ca="1" si="885"/>
        <v>0.3521232435498246</v>
      </c>
      <c r="LC207" s="169">
        <f ca="1">ACOS(-TAN((2*Control!$B$8/360))*TAN(Calculations!$LB207))</f>
        <v>1.6802178327441484</v>
      </c>
      <c r="LD207" s="169">
        <f ca="1">((24*60)/PI())*0.082*$LA207*(($LC207*SIN(Control!$B$8*2*PI()/360))*SIN($LB207)+COS(Control!$B$8*2*PI()/360)*COS($LB207)*SIN($LC207))</f>
        <v>37.55400217795578</v>
      </c>
      <c r="LE207" s="170">
        <f t="shared" ca="1" si="789"/>
        <v>38.864242276229284</v>
      </c>
      <c r="LF207" s="170">
        <f ca="1">SIN(Control!$C$139*Control!$B$8)*SIN($HD207)</f>
        <v>0.27134949985943069</v>
      </c>
      <c r="LG207" s="170">
        <f ca="1">COS(Control!$C$139*Control!$B$8)*COS($HD207)</f>
        <v>0.57800758250236939</v>
      </c>
      <c r="LH207" s="170">
        <f ca="1">12*(1+2*ASIN(MAX(-1,MIN(1,$LF207/$LG207))/Control!$C$138))</f>
        <v>15.599859437520012</v>
      </c>
      <c r="LI207" s="170">
        <f ca="1">12*(1+2*ASIN(MAX(-1,MIN(1,(-SIN(-4*Control!$C$139)+$LF207)/$LG207))/Control!$C$138))</f>
        <v>16.535280850780186</v>
      </c>
      <c r="LJ207" s="168">
        <f ca="1">3600*($LH207*$LF207+24*$LG207*SQRT(1-$LK207*$LK207)/Control!$C$138)</f>
        <v>29274.587492065897</v>
      </c>
      <c r="LK207" s="170">
        <f t="shared" ca="1" si="790"/>
        <v>0.46945664395037301</v>
      </c>
      <c r="LL207" s="170">
        <f t="shared" ca="1" si="791"/>
        <v>0</v>
      </c>
      <c r="LM207" s="171">
        <f ca="1">Control!$C$145*$AB207</f>
        <v>6.6660906138995932E-2</v>
      </c>
      <c r="LN207" s="170">
        <f t="shared" ca="1" si="886"/>
        <v>0.54</v>
      </c>
      <c r="LO207" s="170">
        <f t="shared" ca="1" si="792"/>
        <v>0</v>
      </c>
      <c r="LP207" s="170">
        <f ca="1">Control!$C$140*((($D207+273.16)^4+($E207+273.16)^4)/2)*(0.34-0.14*SQRT($Y207))*(1.35*$AQ207/(0.75*$LD207)-0.35)</f>
        <v>-3.2464704755046001</v>
      </c>
      <c r="LQ207" s="170">
        <f ca="1">Control!$C$140*($G207+273)^4*(0.56-0.079*SQRT($Y207*10))*(0.1+0.9*$LO207)</f>
        <v>1.5241745131704001</v>
      </c>
      <c r="LR207" s="170">
        <f ca="1">$AQ207*(1-Control!$C$142)-$LQ207</f>
        <v>-1.5241745131704001</v>
      </c>
      <c r="LS207" s="170">
        <f ca="1">$AQ207*(1-Control!$C$143)-$LQ207</f>
        <v>-1.5241745131704001</v>
      </c>
      <c r="LT207" s="170">
        <f ca="1">$AQ207*(1-Control!$C$144)-$LQ207</f>
        <v>-1.5241745131704001</v>
      </c>
      <c r="LU207" s="169">
        <f ca="1">(1-Control!$C$144)*AQ207-LP207</f>
        <v>3.2464704755046001</v>
      </c>
      <c r="LV207" s="172">
        <f t="shared" ca="1" si="793"/>
        <v>0.79430000000000012</v>
      </c>
      <c r="LW207" s="170">
        <f t="shared" ca="1" si="794"/>
        <v>1.5886000000000002</v>
      </c>
      <c r="LX207" s="170">
        <f ca="1">($AC207*($LR207/Control!$C$141)+$LM207*$LV207)/($AC207+$LM207)</f>
        <v>0.23530094218323697</v>
      </c>
      <c r="LY207" s="170">
        <f ca="1">($AC207*($LS207/Control!$C$141)+$LM207*$LV207)/($AC207+$LM207)</f>
        <v>0.23530094218323697</v>
      </c>
      <c r="LZ207" s="170">
        <f t="shared" ca="1" si="795"/>
        <v>0.23530094218323697</v>
      </c>
      <c r="MA207" s="170">
        <f t="shared" ca="1" si="796"/>
        <v>0.23530094218323697</v>
      </c>
      <c r="MB207" s="170" t="e">
        <f t="shared" ca="1" si="797"/>
        <v>#N/A</v>
      </c>
      <c r="MC207" s="170">
        <f t="shared" ca="1" si="887"/>
        <v>0.6018</v>
      </c>
      <c r="MD207" s="170">
        <f t="shared" ca="1" si="798"/>
        <v>0.52989392535414004</v>
      </c>
      <c r="ME207" s="170">
        <f ca="1">($AC207*($LT207/Control!$C$141)+$LM207*$LW207)/($AC207+$LM207)</f>
        <v>0.71612369323045078</v>
      </c>
      <c r="MF207" s="170" t="e">
        <f ca="1">IF(Control!$B$16&gt;=1000,0.92,IF(AND(720&lt;=Control!$B$16,1000&gt;Control!$B$16),(0.95+(Control!$B$16-720)*((0.92-0.95)/(1000-720))),IF(AND(360&lt;=Control!$B$16,720&gt;Control!$B$16),(1+(Control!$B$16-360)*((0.95-1)/(720-360))),IF(AND(40&lt;=Control!$B$16,360&gt;Control!$B$16),(1.05+(Control!$B$16-40)*((1.05-1)/(360-40)))))))</f>
        <v>#N/A</v>
      </c>
      <c r="MG207" s="170">
        <f t="shared" ca="1" si="799"/>
        <v>0.71612369323045078</v>
      </c>
      <c r="MH207" s="170" t="e">
        <f t="shared" ca="1" si="924"/>
        <v>#N/A</v>
      </c>
      <c r="MI207" s="170" t="e">
        <f t="shared" ca="1" si="924"/>
        <v>#N/A</v>
      </c>
      <c r="MJ207" s="170" t="e">
        <f ca="1">MAX(0.0001, Control!$C$132*$MI207*$DL207)</f>
        <v>#N/A</v>
      </c>
      <c r="MK207" s="170">
        <f ca="1">1/(0.76+1.5*($MG207/10))-(5-Control!$C$110)*0.1</f>
        <v>1.002845988140797</v>
      </c>
      <c r="ML207" s="173">
        <f ca="1">IF(Control!$C$110&lt;3,$MK207+($MG207-0.6)/(Control!$C$110*(Control!$C$110+3)), MAX(0.1, MIN(0.95,$MK207)))</f>
        <v>0.95</v>
      </c>
      <c r="MM207" s="173">
        <f ca="1">IF(Control!$C$110&lt;3,$MK207+(($MI207/10)-0.6)/(Control!$C$110*(Control!$C$110+3)), MAX(0.1, MIN(0.95,$MK207)))</f>
        <v>0.95</v>
      </c>
      <c r="MN207" s="173">
        <f ca="1">(1-$MM207)*(Control!$C$128-Control!$C$127)+Control!$C$127</f>
        <v>0.16</v>
      </c>
      <c r="MO207" s="170" t="e">
        <f ca="1">MAX(0,MIN(1,($MS207-Control!$C$127)/($MN207-Control!$C$127)))</f>
        <v>#DIV/0!</v>
      </c>
      <c r="MP207" s="173" t="e">
        <f ca="1">1/(0.76+1.5*$MI207)-(5-Control!$C$110)*0.1</f>
        <v>#N/A</v>
      </c>
      <c r="MQ207" s="172" t="e">
        <f t="shared" ca="1" si="916"/>
        <v>#DIV/0!</v>
      </c>
      <c r="MR207" s="168" t="e">
        <f t="shared" ca="1" si="888"/>
        <v>#DIV/0!</v>
      </c>
      <c r="MS207" s="173" t="e">
        <f ca="1">MAX(Control!$C$127, MIN(Control!$C$135, $MR207/MAX(0.0001,$CY207)))</f>
        <v>#DIV/0!</v>
      </c>
      <c r="MT207" s="168" t="e">
        <f ca="1">(Control!$C$128-$MS207)*Control!$C$74</f>
        <v>#DIV/0!</v>
      </c>
      <c r="MU207" s="168" t="e">
        <f ca="1">(Control!$C$135-$MS207)*Control!$C$74</f>
        <v>#DIV/0!</v>
      </c>
      <c r="MV207" s="168" t="e">
        <f t="shared" ca="1" si="889"/>
        <v>#DIV/0!</v>
      </c>
      <c r="MW207" s="168" t="e">
        <f t="shared" ca="1" si="890"/>
        <v>#DIV/0!</v>
      </c>
      <c r="MX207" s="171" t="e">
        <f ca="1">MAX(Control!$C$127, MIN(Control!$C$135, $MW207/MAX(0.0001,Control!$C$119-$CY207)))</f>
        <v>#DIV/0!</v>
      </c>
      <c r="MY207" s="54" t="e">
        <f ca="1">IF(Control!$C$114=1, $CX207*$MX207, 0)</f>
        <v>#DIV/0!</v>
      </c>
      <c r="MZ207" s="54" t="e">
        <f t="shared" ca="1" si="891"/>
        <v>#N/A</v>
      </c>
      <c r="NA207" s="168" t="e">
        <f ca="1">(Control!$C$128-$MX207)*(Control!$C$119-Control!$C$74)</f>
        <v>#DIV/0!</v>
      </c>
      <c r="NB207" s="168" t="e">
        <f ca="1">(Control!$C$135-$MX207)*(Control!$C$119-Control!$C$74)</f>
        <v>#DIV/0!</v>
      </c>
      <c r="NC207" s="174" t="e">
        <f t="shared" ca="1" si="892"/>
        <v>#DIV/0!</v>
      </c>
      <c r="ND207" s="54">
        <f ca="1">IF(Control!$C$58=2, IF(OR(Control!$B$218=$AH207,Control!$B$219=$AH207, Control!$B$220=$AH207, Control!$B$221=$AH207, Control!$B$222=$AH207, Control!$B$223=$AH207, Control!$B$224=$AH207, Control!$B$225=$AH207, Control!$B$226=$AH207, Control!$B$227=$AH207, Control!$B$228=$AH207), 1, 0), 0)</f>
        <v>0</v>
      </c>
      <c r="NE207" s="54">
        <f ca="1">IF($ND207=0,0, VLOOKUP($AH207,Control!$B$218:$C$228,2))</f>
        <v>0</v>
      </c>
      <c r="NF207" s="168" t="e">
        <f ca="1">$CY207*(Control!$C$128-Control!$C$127)</f>
        <v>#N/A</v>
      </c>
      <c r="NG207" s="54" t="e">
        <f ca="1">IF(Control!$C$58=2, $NI206-$NJ206, 0)</f>
        <v>#DIV/0!</v>
      </c>
      <c r="NH207" s="54" t="e">
        <f ca="1">IF(AND(Control!$C$58=1, $MS206&lt;= ($MN206+0.02), $I206&lt;10), 0, IF(Control!$C$58=2, $NG206, 0))</f>
        <v>#DIV/0!</v>
      </c>
      <c r="NI207" s="54" t="e">
        <f ca="1">IF(Control!$C$58=2, $NE207+$NH207,0)</f>
        <v>#DIV/0!</v>
      </c>
      <c r="NJ207" s="54" t="e">
        <f ca="1">IF(AND(Control!$C$58=1, $MS207&lt;= ($MN207+0.02), $I207&lt;10), MAX(0, MIN(10, 0.7*($NF207-$MV207))), IF(Control!$C$58=2, MIN(10,$NI207),0))</f>
        <v>#DIV/0!</v>
      </c>
      <c r="NK207" s="54" t="e">
        <f t="shared" ca="1" si="800"/>
        <v>#DIV/0!</v>
      </c>
      <c r="NL207" s="173" t="e">
        <f ca="1">(1-Control!$C$73)*$I207+$NJ207</f>
        <v>#DIV/0!</v>
      </c>
      <c r="NM207" s="172" t="e">
        <f ca="1">IF($NL207&lt;0.5, $MB207* MAX(0, MIN(1, (SQRT($NC207)-SQRT($NC207-1))*Control!$C$71)),0)</f>
        <v>#DIV/0!</v>
      </c>
      <c r="NN207" s="170" t="e">
        <f ca="1">IF($NL207&gt;=5, $MB207, MAX(0,MIN($MB207, $NM207+$NL207,($MS207-Control!$C$129))))</f>
        <v>#DIV/0!</v>
      </c>
      <c r="NO207" s="54">
        <f>IF(Control!$C$133&lt;&gt;1, Control!$C$135-Control!$C$131, 0)</f>
        <v>0.38</v>
      </c>
      <c r="NP207" s="54" t="e">
        <f t="shared" ca="1" si="801"/>
        <v>#DIV/0!</v>
      </c>
      <c r="NQ207" s="173" t="e">
        <f ca="1">MAX(0,MIN(1,(Control!$C$135-$MS207)/(Control!$C$135-$NO207)))</f>
        <v>#DIV/0!</v>
      </c>
      <c r="NR207" s="170" t="e">
        <f ca="1">IF(Control!$C$133&lt;&gt;1, $NQ207+((1-$NP207/4)*(1-$NQ207)),1)</f>
        <v>#DIV/0!</v>
      </c>
      <c r="NS207" s="170" t="e">
        <f ca="1">IF(Control!$B$31=0,$MJ207,MAX(0,MIN($MV207,$MO207*$NR207*$MJ207)))</f>
        <v>#DIV/0!</v>
      </c>
      <c r="NT207" s="170" t="e">
        <f t="shared" ca="1" si="917"/>
        <v>#DIV/0!</v>
      </c>
      <c r="NU207" s="170" t="e">
        <f t="shared" ca="1" si="893"/>
        <v>#N/A</v>
      </c>
      <c r="NV207" s="170" t="e">
        <f t="shared" ca="1" si="802"/>
        <v>#N/A</v>
      </c>
      <c r="NW207" s="175" t="e">
        <f t="shared" ca="1" si="803"/>
        <v>#DIV/0!</v>
      </c>
      <c r="NX207" s="170" t="e">
        <f ca="1">MIN(Control!$C$72+$MU207, $NW207)</f>
        <v>#DIV/0!</v>
      </c>
      <c r="NY207" s="170" t="e">
        <f ca="1">IF($MT207&lt;=$NX207,MIN(Control!$C$72+$NB207,$NX207-$MT207),0)</f>
        <v>#DIV/0!</v>
      </c>
      <c r="NZ207" s="54" t="e">
        <f ca="1">IF(Control!$C$114=1,  $CX207*($MX207-Control!$C$127), 0)</f>
        <v>#DIV/0!</v>
      </c>
      <c r="OA207" s="170" t="e">
        <f t="shared" ca="1" si="804"/>
        <v>#DIV/0!</v>
      </c>
      <c r="OB207" s="170" t="e">
        <f ca="1">IF($NA207 &lt;=$NY207, MIN(Control!$C$72, $NY207-$NA207), 0)</f>
        <v>#DIV/0!</v>
      </c>
      <c r="OC207" s="168" t="e">
        <f t="shared" ca="1" si="805"/>
        <v>#DIV/0!</v>
      </c>
      <c r="OD207" s="168" t="e">
        <f t="shared" ca="1" si="894"/>
        <v>#DIV/0!</v>
      </c>
      <c r="OE207" s="170">
        <f ca="1">Control!$C$73*$I207</f>
        <v>0</v>
      </c>
      <c r="OF207" s="176" t="e">
        <f t="shared" ca="1" si="806"/>
        <v>#DIV/0!</v>
      </c>
      <c r="OG207" s="168" t="e">
        <f t="shared" ca="1" si="807"/>
        <v>#DIV/0!</v>
      </c>
      <c r="OH207" s="168" t="e">
        <f t="shared" ca="1" si="808"/>
        <v>#DIV/0!</v>
      </c>
      <c r="OI207" s="168" t="e">
        <f t="shared" ca="1" si="809"/>
        <v>#DIV/0!</v>
      </c>
      <c r="OJ207" s="168" t="e">
        <f t="shared" ca="1" si="810"/>
        <v>#DIV/0!</v>
      </c>
      <c r="OK207" s="204" t="e">
        <f t="shared" ca="1" si="811"/>
        <v>#DIV/0!</v>
      </c>
      <c r="OL207" s="177">
        <f>Control!$C$127</f>
        <v>0.15</v>
      </c>
      <c r="OM207" s="182" t="e">
        <f t="shared" ca="1" si="812"/>
        <v>#N/A</v>
      </c>
      <c r="ON207" s="177">
        <f>Control!$C$128</f>
        <v>0.35</v>
      </c>
      <c r="OO207" s="182" t="e">
        <f t="shared" ca="1" si="813"/>
        <v>#N/A</v>
      </c>
      <c r="OP207" s="138">
        <f t="shared" ca="1" si="895"/>
        <v>0</v>
      </c>
      <c r="OQ207" s="138" t="e">
        <f t="shared" ca="1" si="918"/>
        <v>#DIV/0!</v>
      </c>
      <c r="OR207" s="138" t="e">
        <f t="shared" ca="1" si="896"/>
        <v>#DIV/0!</v>
      </c>
      <c r="OS207" s="137" t="e">
        <f t="shared" ca="1" si="919"/>
        <v>#DIV/0!</v>
      </c>
      <c r="OT207" s="139" t="e">
        <f t="shared" ca="1" si="920"/>
        <v>#DIV/0!</v>
      </c>
      <c r="OU207" s="138" t="e">
        <f t="shared" ca="1" si="921"/>
        <v>#N/A</v>
      </c>
      <c r="OV207" s="138" t="e">
        <f t="shared" ca="1" si="922"/>
        <v>#DIV/0!</v>
      </c>
      <c r="OW207" s="138" t="e">
        <f t="shared" ca="1" si="897"/>
        <v>#DIV/0!</v>
      </c>
      <c r="OX207" s="138" t="e">
        <f t="shared" ca="1" si="898"/>
        <v>#DIV/0!</v>
      </c>
      <c r="OY207" s="138" t="e">
        <f t="shared" ca="1" si="899"/>
        <v>#DIV/0!</v>
      </c>
      <c r="OZ207" s="138" t="e">
        <f t="shared" ca="1" si="814"/>
        <v>#DIV/0!</v>
      </c>
      <c r="PA207" s="138" t="e">
        <f t="shared" ca="1" si="815"/>
        <v>#DIV/0!</v>
      </c>
      <c r="PB207" s="55">
        <f>IF(Control!$C$61="T", IF(Control!$C$65="F", IF($AH$6-Control!$C$60&lt;0,0,1), IF(365+$AH$6-Control!$C$60&lt;0,0,1)),0)</f>
        <v>0</v>
      </c>
      <c r="PC207" s="55">
        <f ca="1">IF(Control!$C$65="F", IF($AH$6-$HF207&lt;0,0,1), IF(365+$AH$6-$HF207&lt;0,0,1))</f>
        <v>1</v>
      </c>
      <c r="PD207" s="444">
        <f>Control!$C$118</f>
        <v>1500</v>
      </c>
      <c r="PE207" s="180" t="e">
        <f t="shared" ca="1" si="816"/>
        <v>#N/A</v>
      </c>
      <c r="PF207" s="445">
        <f t="shared" ca="1" si="900"/>
        <v>0.71612369323045078</v>
      </c>
      <c r="PT207" s="186"/>
      <c r="PU207" s="186"/>
      <c r="PV207" s="94"/>
      <c r="PW207" s="94"/>
      <c r="PX207" s="94"/>
      <c r="PY207" s="94"/>
      <c r="PZ207" s="94"/>
      <c r="QA207" s="94"/>
      <c r="QB207" s="94"/>
      <c r="QC207" s="94"/>
      <c r="QD207" s="94"/>
      <c r="QE207" s="94"/>
      <c r="QF207" s="94"/>
      <c r="QG207" s="94"/>
      <c r="QH207" s="94"/>
      <c r="QI207" s="94"/>
      <c r="QJ207" s="94"/>
      <c r="QK207" s="94"/>
      <c r="QL207" s="94"/>
      <c r="QM207" s="94"/>
      <c r="QN207" s="94"/>
      <c r="QO207" s="94"/>
      <c r="QP207" s="94"/>
    </row>
    <row r="208" spans="1:458" s="2" customFormat="1" x14ac:dyDescent="0.2">
      <c r="A208" s="395">
        <v>22</v>
      </c>
      <c r="B208" s="396">
        <v>7</v>
      </c>
      <c r="C208" s="387">
        <f ca="1">Weather_data!$B207</f>
        <v>0</v>
      </c>
      <c r="D208" s="388">
        <f ca="1">Weather_data!$F207</f>
        <v>0</v>
      </c>
      <c r="E208" s="388">
        <f ca="1">Weather_data!$E207</f>
        <v>0</v>
      </c>
      <c r="F208" s="388">
        <f t="shared" ca="1" si="817"/>
        <v>0</v>
      </c>
      <c r="G208" s="388">
        <f ca="1">AVERAGE($D208:$E208)+Control!$B$9</f>
        <v>0</v>
      </c>
      <c r="H208" s="388">
        <f ca="1">Weather_data!$G207</f>
        <v>0</v>
      </c>
      <c r="I208" s="388">
        <f ca="1">Weather_data!$I207</f>
        <v>0</v>
      </c>
      <c r="J208" s="388">
        <f ca="1">Weather_data!$H207</f>
        <v>0</v>
      </c>
      <c r="K208" s="389">
        <f ca="1">Weather_data!$D207</f>
        <v>0</v>
      </c>
      <c r="L208" s="388" t="e">
        <f t="shared" ca="1" si="818"/>
        <v>#N/A</v>
      </c>
      <c r="M208" s="388" t="e">
        <f t="shared" ca="1" si="696"/>
        <v>#N/A</v>
      </c>
      <c r="N208" s="388">
        <f t="shared" ca="1" si="697"/>
        <v>-2.8573070390054089E-10</v>
      </c>
      <c r="O208" s="388">
        <f t="shared" ca="1" si="819"/>
        <v>2.8573070390054088E-9</v>
      </c>
      <c r="P208" s="390">
        <v>3</v>
      </c>
      <c r="Q208" s="388">
        <f ca="1">MAX($G208-Control!$C$107,0)</f>
        <v>0</v>
      </c>
      <c r="R208" s="388">
        <f t="shared" ca="1" si="820"/>
        <v>0</v>
      </c>
      <c r="S208" s="388">
        <f t="shared" ca="1" si="698"/>
        <v>0</v>
      </c>
      <c r="T208" s="388">
        <f t="shared" ca="1" si="699"/>
        <v>0</v>
      </c>
      <c r="U208" s="59">
        <f t="shared" ca="1" si="700"/>
        <v>0</v>
      </c>
      <c r="V208" s="391">
        <f ca="1">MAX(0,MIN(Control!$C$100-Control!$C$99,$G208-Control!$C$99)*Control!$C$63)</f>
        <v>0</v>
      </c>
      <c r="W208" s="388">
        <f t="shared" ca="1" si="821"/>
        <v>0</v>
      </c>
      <c r="X208" s="388">
        <f t="shared" ca="1" si="822"/>
        <v>0.6110000000000001</v>
      </c>
      <c r="Y208" s="388">
        <f t="shared" ca="1" si="701"/>
        <v>0</v>
      </c>
      <c r="Z208" s="388">
        <f t="shared" ca="1" si="823"/>
        <v>0.61058800000000002</v>
      </c>
      <c r="AA208" s="388">
        <f t="shared" ca="1" si="702"/>
        <v>0.6018</v>
      </c>
      <c r="AB208" s="388">
        <f ca="1">101.3*EXP(-0.034*Control!$C$66/($G208+273))</f>
        <v>100.69623283836242</v>
      </c>
      <c r="AC208" s="392">
        <f t="shared" ca="1" si="703"/>
        <v>4.3460251046025113E-2</v>
      </c>
      <c r="AD208" s="392">
        <f t="shared" ca="1" si="704"/>
        <v>4.4450382862832649E-2</v>
      </c>
      <c r="AE208" s="388">
        <f t="shared" ca="1" si="705"/>
        <v>0</v>
      </c>
      <c r="AF208" s="388">
        <f ca="1">MAX(0,$G208-Control!$C$92)</f>
        <v>0</v>
      </c>
      <c r="AG208" s="393">
        <f t="shared" ca="1" si="706"/>
        <v>204</v>
      </c>
      <c r="AH208" s="389">
        <f t="shared" ca="1" si="707"/>
        <v>204</v>
      </c>
      <c r="AI208" s="388">
        <f t="shared" ca="1" si="824"/>
        <v>0.34783395322024735</v>
      </c>
      <c r="AJ208" s="388">
        <f ca="1">IF(Control!$C$60&lt;=0,$HH208,$HI208)</f>
        <v>1</v>
      </c>
      <c r="AK208" s="388">
        <f t="shared" ca="1" si="708"/>
        <v>2.1345615838089551</v>
      </c>
      <c r="AL208" s="388">
        <f t="shared" ca="1" si="709"/>
        <v>-5.4100959823166765E-18</v>
      </c>
      <c r="AM208" s="388">
        <f t="shared" ca="1" si="710"/>
        <v>2.1345615838089551</v>
      </c>
      <c r="AN208" s="388">
        <f t="shared" ca="1" si="711"/>
        <v>0.34292166162978377</v>
      </c>
      <c r="AO208" s="388">
        <f ca="1">-0.10453/COS(Control!$B$8*PI()/180)*COS(AN208)</f>
        <v>-0.15989936237671082</v>
      </c>
      <c r="AP208" s="388">
        <f ca="1">ACOS(AO208-TAN(Control!$B$8*PI()/180)*TAN(AN208))</f>
        <v>2.2355607935705528</v>
      </c>
      <c r="AQ208" s="388">
        <f t="shared" ca="1" si="825"/>
        <v>0</v>
      </c>
      <c r="AR208" s="394">
        <f t="shared" ca="1" si="712"/>
        <v>0</v>
      </c>
      <c r="AS208" s="436">
        <f ca="1">IF(Control!$B$18=2,(IF(OR($AH208=Control!$B$175,$AH208=Control!$B$176,$AH208=Control!$B$177,$AH208=Control!$B$178,$AH208=Control!$B$179,$AH208=Control!$B$180,$AH208=Control!$B$181,$AH208=Control!$B$182,$AH208=Control!$B$183,$AH208=Control!$B$184,$AH208=Control!$B$185),1,0)),0)</f>
        <v>0</v>
      </c>
      <c r="AT208" s="436">
        <f>IF(Control!$B$20=8,IF(AND($AH208&gt;=Control!$B$172,$AH208&lt;=Control!$B$173),1,0),0)</f>
        <v>0</v>
      </c>
      <c r="AU208" s="436">
        <f>IF(Control!$B$20=8,IF($AV207=1,1*$AT208,IF($AT208=1,$AU207+1,$AU207)),0)</f>
        <v>0</v>
      </c>
      <c r="AV208" s="436">
        <f>IF(Control!$B$20=8,IF($AU208&gt;=Control!$B$174,1,0),0)</f>
        <v>0</v>
      </c>
      <c r="AW208" s="436">
        <f ca="1">IF(AND(Control!$B$18=2,Control!$B$171=1), $AV208, $AS208)</f>
        <v>0</v>
      </c>
      <c r="AX208" s="436" t="e">
        <f ca="1">IF(AND(Control!$B$18=1,$EU208&gt;=Control!$B$19),-$AY208,IF(AND(Control!$B$18=2,$AW208=1,$EU208&gt;$DS208),-$AY208, IF(Control!$C$108=0,0, IF(Control!$C$108&lt;&gt;0,1))))</f>
        <v>#N/A</v>
      </c>
      <c r="AY208" s="436" t="e">
        <f t="shared" ca="1" si="826"/>
        <v>#N/A</v>
      </c>
      <c r="AZ208" s="436" t="e">
        <f ca="1">IF(AND(Control!$B$18=1,$EB208&gt;Control!$B$19),$AZ207+1, IF(AND(Control!$B$18=2, $AW208=1, $EB208&gt;$DS208), $AZ207+1,$AZ207))</f>
        <v>#N/A</v>
      </c>
      <c r="BA208" s="587">
        <f>IF(Control!$C$81=0,1,IF($AH208&gt;=Control!$C$82,1,0))</f>
        <v>1</v>
      </c>
      <c r="BB208" s="140" t="e">
        <f ca="1">IF($BA208&gt;$BA207,Control!$C$83,IF($AW208&gt;0,$AW208*Control!$C$84,IF(AND(Control!$B$18=1,EN207&lt;&gt;0),Control!$C$84,0)))</f>
        <v>#N/A</v>
      </c>
      <c r="BC208" s="140" t="e">
        <f t="shared" ca="1" si="827"/>
        <v>#N/A</v>
      </c>
      <c r="BD208" s="140" t="e">
        <f ca="1">BC208*IF(OR($G208&lt;Control!$C$92,$G208&gt;Control!$C$95),0,IF(AND($G208&gt;=Control!$C$92,$G208&lt;=Control!$C$93),$G208-Control!$C$92,IF(AND($G208&gt;Control!$C$93,$G208&lt;=Control!$C$94),Control!$C$93-Control!$C$92,IF(AND($G208&gt;Control!$C$94,$G208&lt;=Control!$C$95),(Control!$C$93-Control!$C$92)*(Control!$C$94-$G208)/(Control!$C$95-Control!$C$94)))))</f>
        <v>#N/A</v>
      </c>
      <c r="BE208" s="140" t="e">
        <f t="shared" ca="1" si="828"/>
        <v>#N/A</v>
      </c>
      <c r="BF208" s="140" t="e">
        <f ca="1">IF($BE208&lt;=Control!$C$86,$BE208,Control!$C$86-$BE208)</f>
        <v>#N/A</v>
      </c>
      <c r="BG208" s="140" t="e">
        <f ca="1">IF(AND($AW208=1,Control!$C$84&lt;9),1,IF($BE208&gt;=Control!$C$86,0,$BC208))</f>
        <v>#N/A</v>
      </c>
      <c r="BH208" s="404" t="e">
        <f ca="1">IF($BG208=0,0,IF($BE208&lt;=Control!$C$86,$BC208*9*($BF208/Control!$C$86),0))</f>
        <v>#N/A</v>
      </c>
      <c r="BI208" s="140" t="e">
        <f ca="1">IF($BG208=1,0,IF($BE208&gt;=Control!$C$86,1,IF(AND($BB208&lt;21,$BB208&gt;=9),1,$BM207)))</f>
        <v>#N/A</v>
      </c>
      <c r="BJ208" s="140" t="e">
        <f ca="1">IF($BF208&lt;0,-$BF208,$BI208*IF(OR($G208&lt;Control!$C$92,$G208&gt;Control!$C$95),0,IF(AND($G208&gt;=Control!$C$92,$G208&lt;=Control!$C$93),$G208-Control!$C$92,IF(AND($G208&gt;Control!$C$93,$G208&lt;=Control!$C$94),Control!$C$93-Control!$C$92,IF(AND($G208&gt;Control!$C$94,$G208&lt;=Control!$C$95),(Control!$C$93-Control!$C$92)*(Control!$C$94-$G208)/(Control!$C$95-Control!$C$94))))))</f>
        <v>#N/A</v>
      </c>
      <c r="BK208" s="140" t="e">
        <f t="shared" ca="1" si="829"/>
        <v>#N/A</v>
      </c>
      <c r="BL208" s="140" t="e">
        <f ca="1">IF($BK208&lt;=Control!$C$87,$BK208,Control!$C$87-$BK208)</f>
        <v>#N/A</v>
      </c>
      <c r="BM208" s="140" t="e">
        <f ca="1">IF(AND($BB208&gt;=9,$BB208&lt;21),1,IF($BK208&gt;=Control!$C$87,0,$BI208))</f>
        <v>#N/A</v>
      </c>
      <c r="BN208" s="404" t="e">
        <f ca="1">IF($BM208=0,0,IF($BK208&lt;=Control!$C$87,$BI208*(9+(21-9)*($BL208/Control!$C$87)),0))</f>
        <v>#N/A</v>
      </c>
      <c r="BO208" s="140" t="e">
        <f ca="1">IF($BM208=1,0,IF($BK208&gt;=Control!$C$87,1,IF(AND($BB208&lt;30,$BB208&gt;=21),1,$BS207)))</f>
        <v>#N/A</v>
      </c>
      <c r="BP208" s="140" t="e">
        <f ca="1">IF($BL208&lt;0,-$BL208,$BO208*IF(OR($G208&lt;Control!$C$92,$G208&gt;Control!$C$95),0,IF(AND($G208&gt;=Control!$C$92,$G208&lt;=Control!$C$93),$G208-Control!$C$92,IF(AND($G208&gt;Control!$C$93,$G208&lt;=Control!$C$94),Control!$C$93-Control!$C$92,IF(AND($G208&gt;Control!$C$94,$G208&lt;=Control!$C$95),(Control!$C$93-Control!$C$92)*(Control!$C$94-$G208)/(Control!$C$95-Control!$C$94))))))</f>
        <v>#N/A</v>
      </c>
      <c r="BQ208" s="140" t="e">
        <f t="shared" ca="1" si="713"/>
        <v>#N/A</v>
      </c>
      <c r="BR208" s="140" t="e">
        <f ca="1">IF($BQ208&lt;=Control!$C$88,$BQ208,Control!$C$88-$BQ208)</f>
        <v>#N/A</v>
      </c>
      <c r="BS208" s="140" t="e">
        <f ca="1">IF(AND($BB208&gt;=21,$BB208&lt;30),1,IF($BQ208&gt;=Control!$C$88,0,$BO208))</f>
        <v>#N/A</v>
      </c>
      <c r="BT208" s="404" t="e">
        <f ca="1">IF($BS208=0,0,IF($BQ208&lt;=Control!$C$88,$BO208*(21+(30-21)*(BR208/Control!$C$88)),0))</f>
        <v>#N/A</v>
      </c>
      <c r="BU208" s="140" t="e">
        <f ca="1">IF(BG208+BM208+BS208=1,0,IF(OR(AND($BB208&lt;60,$BB208&gt;=30),$BQ208&gt;=Control!$C$88),1*$BA208,$BY207))</f>
        <v>#N/A</v>
      </c>
      <c r="BV208" s="140" t="e">
        <f ca="1">IF($BR208&lt;0,-$BR208,$BU208*IF(OR($G208&lt;Control!$C$92,$G208&gt;Control!$C$95),0,IF(AND($G208&gt;=Control!$C$92,$G208&lt;=Control!$C$93),$G208-Control!$C$92,IF(AND($G208&gt;Control!$C$93,$G208&lt;=Control!$C$94),Control!$C$93-Control!$C$92,IF(AND($G208&gt;Control!$C$94,$G208&lt;=Control!$C$95),(Control!$C$93-Control!$C$92)*(Control!$C$94-$G208)/(Control!$C$95-Control!$C$94))))))</f>
        <v>#N/A</v>
      </c>
      <c r="BW208" s="140" t="e">
        <f t="shared" ca="1" si="714"/>
        <v>#N/A</v>
      </c>
      <c r="BX208" s="140" t="e">
        <f ca="1">IF($BW208&lt;=Control!$C$89,$BW208,Control!$C$89-$BW208)</f>
        <v>#N/A</v>
      </c>
      <c r="BY208" s="140" t="e">
        <f ca="1">IF(AND($AJ208&gt;=30,$AJ208&lt;60),1,IF($BW208&gt;=Control!$C$89,0,$BU208))</f>
        <v>#N/A</v>
      </c>
      <c r="BZ208" s="404" t="e">
        <f ca="1">IF($BY208=0,0,IF($BW208&lt;=Control!$C$89,$BU208*(30+(60-30)*(BX208/Control!$C$89)),0))</f>
        <v>#N/A</v>
      </c>
      <c r="CA208" s="140" t="e">
        <f ca="1">IF($BG208+$BM208+$BS208+$BY208=1,0,IF(OR(AND($BB208&lt;65,$BB208&gt;=60),$BW208&gt;=Control!$C$89),1*$BA208,$CE207))</f>
        <v>#N/A</v>
      </c>
      <c r="CB208" s="140" t="e">
        <f ca="1">IF($BX208&lt;0,-$BX208,$CA208*IF(OR($G208&lt;Control!$C$92,$G208&gt;Control!$C$95),0,IF(AND($G208&gt;=Control!$C$92,$G208&lt;=Control!$C$93),$G208-Control!$C$92,IF(AND($G208&gt;Control!$C$93,$G208&lt;=Control!$C$94),Control!$C$93-Control!$C$92,IF(AND($G208&gt;Control!$C$94,$G208&lt;=Control!$C$95),(Control!$C$93-Control!$C$92)*(Control!$C$94-$G208)/(Control!$C$95-Control!$C$94))))))</f>
        <v>#N/A</v>
      </c>
      <c r="CC208" s="140" t="e">
        <f t="shared" ca="1" si="830"/>
        <v>#N/A</v>
      </c>
      <c r="CD208" s="140" t="e">
        <f ca="1">IF($CC208&lt;=Control!$C$90,$CC208,Control!$C$90-$CC208)</f>
        <v>#N/A</v>
      </c>
      <c r="CE208" s="140" t="e">
        <f ca="1">IF(AND($BB208&gt;=60,$BB208&lt;65),1,IF($CC208&gt;=Control!$C$90,0,$CA208))</f>
        <v>#N/A</v>
      </c>
      <c r="CF208" s="404" t="e">
        <f ca="1">IF($CE208=0,0,IF($CC208&lt;=Control!$C$90,$CA208*(60+(65-60)*(CD208/Control!$C$90)),0))</f>
        <v>#N/A</v>
      </c>
      <c r="CG208" s="140" t="e">
        <f ca="1">IF($BG208+$BM208+$BS208+$BY208+$CE208=1,0,IF(OR(AND($BB208&lt;90,$BB208&gt;=65),$CC208&gt;=Control!$C$90),$BA208,$CK207))</f>
        <v>#N/A</v>
      </c>
      <c r="CH208" s="140" t="e">
        <f ca="1">IF($CD208&lt;0,-$CD208,$CG208*IF(OR($G208&lt;Control!$C$92,$G208&gt;Control!$C$95),0,IF(AND($G208&gt;=Control!$C$92,$G208&lt;=Control!$C$93),$G208-Control!$C$92,IF(AND($G208&gt;Control!$C$93,$G208&lt;=Control!$C$94),Control!$C$93-Control!$C$92,IF(AND($G208&gt;Control!$C$94,$G208&lt;=Control!$C$95),(Control!$C$93-Control!$C$92)*(Control!$C$94-$G208)/(Control!$C$95-Control!$C$94))))))</f>
        <v>#N/A</v>
      </c>
      <c r="CI208" s="140" t="e">
        <f t="shared" ca="1" si="831"/>
        <v>#N/A</v>
      </c>
      <c r="CJ208" s="140" t="e">
        <f ca="1">IF($CI208&lt;=Control!$C$91,$CI208,Control!$C$91-$CI208)</f>
        <v>#N/A</v>
      </c>
      <c r="CK208" s="140" t="e">
        <f ca="1">IF(AND($BB208&gt;=65,$BB208&lt;90),1,IF($CI208&gt;=Control!$C$91,0,$CG208))</f>
        <v>#N/A</v>
      </c>
      <c r="CL208" s="404" t="e">
        <f ca="1">IF($CK208=0,0,IF($CI208&lt;=Control!$C$91,$CG208*(65+(90-65)*($CJ208/Control!$C$91)),0))</f>
        <v>#N/A</v>
      </c>
      <c r="CM208" s="140" t="e">
        <f ca="1">IF($BG208+$BM208+$BS208+$BY208+$CE208+$CK208=1,0,IF(OR($BB208&gt;=90,$CI208&gt;=Control!$C$91),$BA208,$CM207))</f>
        <v>#N/A</v>
      </c>
      <c r="CN208" s="140" t="e">
        <f t="shared" ca="1" si="832"/>
        <v>#N/A</v>
      </c>
      <c r="CO208" s="140" t="e">
        <f t="shared" ca="1" si="833"/>
        <v>#N/A</v>
      </c>
      <c r="CP208" s="140" t="e">
        <f t="shared" ca="1" si="834"/>
        <v>#N/A</v>
      </c>
      <c r="CQ208" s="141" t="e">
        <f ca="1">VLOOKUP($CP208,Control!$B$86:$G$91,6)</f>
        <v>#N/A</v>
      </c>
      <c r="CR208" s="141" t="e">
        <f ca="1">(1-$CQ208)*VLOOKUP($CP208,Control!$B$86:$D$91,3)</f>
        <v>#N/A</v>
      </c>
      <c r="CS208" s="141" t="e">
        <f ca="1">(1-$CQ208)*VLOOKUP($CP208,Control!$B$86:$E$91,4)</f>
        <v>#N/A</v>
      </c>
      <c r="CT208" s="141" t="e">
        <f ca="1">(1-$CQ208)*VLOOKUP($CP208,Control!$B$86:$F$91,5)</f>
        <v>#N/A</v>
      </c>
      <c r="CU208" s="141">
        <f t="shared" ca="1" si="835"/>
        <v>0</v>
      </c>
      <c r="CV208" s="583">
        <f t="shared" ca="1" si="836"/>
        <v>0</v>
      </c>
      <c r="CW208" s="142">
        <f t="shared" ca="1" si="837"/>
        <v>204</v>
      </c>
      <c r="CX208" s="612" t="e">
        <f ca="1">IF(Control!$C$114=1,(MIN(Control!$C$120*(IF($NT208-0.01&lt;0,0,1)),Control!$C$119-$CY208)))</f>
        <v>#DIV/0!</v>
      </c>
      <c r="CY208" s="143" t="e">
        <f t="shared" ca="1" si="838"/>
        <v>#N/A</v>
      </c>
      <c r="CZ208" s="144">
        <f t="shared" ca="1" si="715"/>
        <v>0</v>
      </c>
      <c r="DA208" s="144">
        <f t="shared" ca="1" si="716"/>
        <v>0</v>
      </c>
      <c r="DB208" s="144" t="e">
        <f t="shared" ca="1" si="717"/>
        <v>#N/A</v>
      </c>
      <c r="DC208" s="144" t="e">
        <f t="shared" ca="1" si="718"/>
        <v>#N/A</v>
      </c>
      <c r="DD208" s="144" t="e">
        <f t="shared" ca="1" si="923"/>
        <v>#N/A</v>
      </c>
      <c r="DE208" s="143" t="e">
        <f t="shared" ca="1" si="839"/>
        <v>#N/A</v>
      </c>
      <c r="DF208" s="145" t="e">
        <f ca="1">$DR208*EXP(-Control!$C$158*(1-$KH208))</f>
        <v>#N/A</v>
      </c>
      <c r="DG208" s="146" t="e">
        <f ca="1">IF(Control!$C$114=1, $DF208*$EY208, 0)</f>
        <v>#N/A</v>
      </c>
      <c r="DH208" s="147" t="e">
        <f t="shared" ca="1" si="840"/>
        <v>#N/A</v>
      </c>
      <c r="DI208" s="144" t="e">
        <f t="shared" ca="1" si="901"/>
        <v>#N/A</v>
      </c>
      <c r="DJ208" s="147" t="e">
        <f ca="1">$EF208*Control!$C$109</f>
        <v>#N/A</v>
      </c>
      <c r="DK208" s="144" t="e">
        <f t="shared" ca="1" si="841"/>
        <v>#N/A</v>
      </c>
      <c r="DL208" s="144" t="e">
        <f t="shared" ca="1" si="719"/>
        <v>#N/A</v>
      </c>
      <c r="DM208" s="144" t="e">
        <f ca="1">IF(Control!$C$114=1, (1-EXP(-Control!$C$96*$DK208))*$AR208, 0)</f>
        <v>#N/A</v>
      </c>
      <c r="DN208" s="144">
        <f t="shared" ca="1" si="842"/>
        <v>0</v>
      </c>
      <c r="DO208" s="148">
        <f>Control!$C$97</f>
        <v>4</v>
      </c>
      <c r="DP208" s="145" t="e">
        <f t="shared" ca="1" si="843"/>
        <v>#N/A</v>
      </c>
      <c r="DQ208" s="145" t="e">
        <f ca="1">IF(AND($CP208&gt;=0,$CP208&lt;=90),Control!$C$111,Control!$C$111)</f>
        <v>#N/A</v>
      </c>
      <c r="DR208" s="145" t="e">
        <f t="shared" ca="1" si="720"/>
        <v>#N/A</v>
      </c>
      <c r="DS208" s="143" t="e">
        <f ca="1">Control!$B$22/$DR208</f>
        <v>#N/A</v>
      </c>
      <c r="DT208" s="149" t="e">
        <f ca="1">IF(AND(Control!$C$114=1,$KH208&lt;1),$IM208*$DF208, 0)</f>
        <v>#N/A</v>
      </c>
      <c r="DU208" s="144" t="e">
        <f t="shared" ca="1" si="844"/>
        <v>#N/A</v>
      </c>
      <c r="DV208" s="144">
        <f ca="1">IF($G208-Control!$C$107&lt;=0, 0, 0.83*LN(MAX($G208, 3))-0.8924)</f>
        <v>0</v>
      </c>
      <c r="DW208" s="144" t="e">
        <f t="shared" ca="1" si="721"/>
        <v>#N/A</v>
      </c>
      <c r="DX208" s="150" t="e">
        <f ca="1">MAX(0.01*(1+$CU208/Control!$C$102),0.05*($DK208-Control!$C$97)/Control!$C$97)</f>
        <v>#N/A</v>
      </c>
      <c r="DY208" s="151" t="e">
        <f ca="1">IF(Control!$C$114=1, $DI208*$FS208, 0)</f>
        <v>#N/A</v>
      </c>
      <c r="DZ208" s="196" t="e">
        <f t="shared" ca="1" si="845"/>
        <v>#N/A</v>
      </c>
      <c r="EA208" s="152">
        <f t="shared" ca="1" si="846"/>
        <v>204</v>
      </c>
      <c r="EB208" s="153" t="e">
        <f t="shared" ca="1" si="847"/>
        <v>#N/A</v>
      </c>
      <c r="EC208" s="153" t="e">
        <f t="shared" ca="1" si="848"/>
        <v>#N/A</v>
      </c>
      <c r="ED208" s="154" t="e">
        <f ca="1">IF(Control!$C$114=1, $HM208*$FY208-$FD208, 0)</f>
        <v>#DIV/0!</v>
      </c>
      <c r="EE208" s="155" t="e">
        <f ca="1">IF(Control!$C$114=1, $HM208*$FZ208-$FF208, 0)</f>
        <v>#DIV/0!</v>
      </c>
      <c r="EF208" s="153" t="e">
        <f t="shared" ca="1" si="902"/>
        <v>#N/A</v>
      </c>
      <c r="EG208" s="155" t="e">
        <f ca="1">IF(Control!$C$114=1, $GX208*$FW208-$FI208, 0)</f>
        <v>#DIV/0!</v>
      </c>
      <c r="EH208" s="153" t="e">
        <f t="shared" ca="1" si="849"/>
        <v>#N/A</v>
      </c>
      <c r="EI208" s="156" t="e">
        <f t="shared" ca="1" si="850"/>
        <v>#N/A</v>
      </c>
      <c r="EJ208" s="155" t="e">
        <f ca="1">IF(Control!$C$114=1, $HM208*$GB208, 0)</f>
        <v>#DIV/0!</v>
      </c>
      <c r="EK208" s="153" t="e">
        <f t="shared" ca="1" si="903"/>
        <v>#N/A</v>
      </c>
      <c r="EL208" s="153" t="e">
        <f t="shared" ca="1" si="722"/>
        <v>#N/A</v>
      </c>
      <c r="EM208" s="153" t="e">
        <f t="shared" ca="1" si="723"/>
        <v>#N/A</v>
      </c>
      <c r="EN208" s="153" t="e">
        <f ca="1">IF(Control!$C$108=1,IF(AND(Control!$B$18=1,$EB208&gt;=Control!$B$19),$EB208-$DS208,IF(AND(Control!$B$18=2,$AW208=1,$EB208&gt;$DS208),$EB208-$DS208,0)))</f>
        <v>#N/A</v>
      </c>
      <c r="EO208" s="153" t="e">
        <f ca="1">IF(Control!$C$108=1,IF(AND(Control!$B$18=1,$EB208&gt;=Control!$B$19),$EF208,IF(AND(Control!$B$18=2,$AW208=1),$EF208,0)))</f>
        <v>#N/A</v>
      </c>
      <c r="EP208" s="153" t="e">
        <f ca="1">IF(Control!$C$108=1,IF(AND(Control!$B$18=1,$EB208&gt;=Control!$B$19),$EK208,IF(AND(Control!$B$18=2,$AW208=1),$EK208,0)))</f>
        <v>#N/A</v>
      </c>
      <c r="EQ208" s="153" t="e">
        <f t="shared" ca="1" si="851"/>
        <v>#N/A</v>
      </c>
      <c r="ER208" s="153" t="e">
        <f t="shared" ca="1" si="852"/>
        <v>#N/A</v>
      </c>
      <c r="ES208" s="153" t="e">
        <f t="shared" ca="1" si="904"/>
        <v>#N/A</v>
      </c>
      <c r="ET208" s="153" t="e">
        <f t="shared" ca="1" si="905"/>
        <v>#N/A</v>
      </c>
      <c r="EU208" s="153" t="e">
        <f t="shared" ca="1" si="853"/>
        <v>#N/A</v>
      </c>
      <c r="EV208" s="153" t="e">
        <f t="shared" ca="1" si="724"/>
        <v>#N/A</v>
      </c>
      <c r="EW208" s="153" t="e">
        <f t="shared" ca="1" si="725"/>
        <v>#N/A</v>
      </c>
      <c r="EX208" s="153" t="e">
        <f t="shared" ca="1" si="726"/>
        <v>#N/A</v>
      </c>
      <c r="EY208" s="157" t="e">
        <f t="shared" ca="1" si="727"/>
        <v>#DIV/0!</v>
      </c>
      <c r="EZ208" s="154" t="e">
        <f t="shared" ca="1" si="728"/>
        <v>#DIV/0!</v>
      </c>
      <c r="FA208" s="153" t="e">
        <f t="shared" ca="1" si="854"/>
        <v>#N/A</v>
      </c>
      <c r="FB208" s="153" t="e">
        <f t="shared" ca="1" si="729"/>
        <v>#N/A</v>
      </c>
      <c r="FC208" s="193" t="e">
        <f t="shared" ca="1" si="730"/>
        <v>#N/A</v>
      </c>
      <c r="FD208" s="158" t="e">
        <f t="shared" ca="1" si="855"/>
        <v>#N/A</v>
      </c>
      <c r="FE208" s="158" t="e">
        <f t="shared" ca="1" si="856"/>
        <v>#N/A</v>
      </c>
      <c r="FF208" s="159" t="e">
        <f t="shared" ca="1" si="731"/>
        <v>#N/A</v>
      </c>
      <c r="FG208" s="160" t="e">
        <f t="shared" ca="1" si="857"/>
        <v>#N/A</v>
      </c>
      <c r="FH208" s="158" t="e">
        <f t="shared" ca="1" si="858"/>
        <v>#N/A</v>
      </c>
      <c r="FI208" s="159" t="e">
        <f t="shared" ca="1" si="732"/>
        <v>#N/A</v>
      </c>
      <c r="FJ208" s="160" t="e">
        <f t="shared" ca="1" si="859"/>
        <v>#N/A</v>
      </c>
      <c r="FK208" s="160" t="e">
        <f t="shared" ca="1" si="733"/>
        <v>#N/A</v>
      </c>
      <c r="FL208" s="160" t="e">
        <f t="shared" ca="1" si="906"/>
        <v>#N/A</v>
      </c>
      <c r="FM208" s="160" t="e">
        <f t="shared" ca="1" si="734"/>
        <v>#N/A</v>
      </c>
      <c r="FN208" s="158">
        <f t="shared" ca="1" si="860"/>
        <v>0.01</v>
      </c>
      <c r="FO208" s="160">
        <f>Control!$C$101</f>
        <v>50</v>
      </c>
      <c r="FP208" s="150" t="e">
        <f t="shared" ca="1" si="735"/>
        <v>#N/A</v>
      </c>
      <c r="FQ208" s="150" t="e">
        <f ca="1">MAX(0,(Control!$C$112*(($DK208-Control!$C$97)/Control!$C$97)))</f>
        <v>#N/A</v>
      </c>
      <c r="FR208" s="150" t="e">
        <f ca="1">(1-$NT208)*Control!$C$113</f>
        <v>#DIV/0!</v>
      </c>
      <c r="FS208" s="198" t="e">
        <f t="shared" ca="1" si="736"/>
        <v>#N/A</v>
      </c>
      <c r="FT208" s="161">
        <f t="shared" ca="1" si="861"/>
        <v>204</v>
      </c>
      <c r="FU208" s="162" t="e">
        <f ca="1">IF(Control!$B$34=1,VLOOKUP($CP208,Control!$B$86:$G$91,6),Control!$B$35)</f>
        <v>#N/A</v>
      </c>
      <c r="FV208" s="162" t="e">
        <f t="shared" ca="1" si="737"/>
        <v>#DIV/0!</v>
      </c>
      <c r="FW208" s="162" t="e">
        <f ca="1">IF(Control!$B$31=1,$FU208*$FV208,  $FU208)</f>
        <v>#N/A</v>
      </c>
      <c r="FX208" s="162" t="e">
        <f ca="1">IF(Control!$B$34=1,VLOOKUP($CP208,Control!$B$86:$G$91,3),Control!$B$36)</f>
        <v>#N/A</v>
      </c>
      <c r="FY208" s="162" t="e">
        <f t="shared" ca="1" si="738"/>
        <v>#N/A</v>
      </c>
      <c r="FZ208" s="162" t="e">
        <f ca="1">IF(Control!$B$34=1,VLOOKUP($CP208,Control!$B$86:$G$91,4),Control!$B$37)</f>
        <v>#N/A</v>
      </c>
      <c r="GA208" s="162" t="e">
        <f t="shared" ca="1" si="739"/>
        <v>#N/A</v>
      </c>
      <c r="GB208" s="162" t="e">
        <f ca="1">IF(Control!$B$34=1,VLOOKUP($CP208,Control!$B$86:$G$91,5),Control!$B$38)</f>
        <v>#N/A</v>
      </c>
      <c r="GC208" s="162" t="e">
        <f t="shared" ca="1" si="862"/>
        <v>#N/A</v>
      </c>
      <c r="GD208" s="162">
        <f t="shared" ca="1" si="740"/>
        <v>1</v>
      </c>
      <c r="GE208" s="162">
        <f t="shared" ca="1" si="741"/>
        <v>1</v>
      </c>
      <c r="GF208" s="162">
        <f ca="1">IF(AND(Control!$C$104=1, Control!$C$62="F"),$GE208,1)</f>
        <v>1</v>
      </c>
      <c r="GG208" s="162" t="e">
        <f ca="1">IF(Control!$B$16=40,0,IF(AND(Control!$B$16&gt;40,Control!$B$16&lt;=360),(Control!$B$16-40)*((1-0)/(360-40)),IF(AND(Control!$B$16&gt;360,Control!$B$16&lt;=720),(1+(Control!$B$16-360)*((1.25-1)/(720-360))),IF(AND(Control!$B$16&gt;720,Control!$B$16&lt;=1000),(1.25+(Control!$B$16-720)*((1.35-1.25)/(1000-720))),IF(AND(Control!$B$16&gt;1000,Control!$B$16&lt;=2000),(1.35+(Control!$B$16-1000)*0))))))</f>
        <v>#N/A</v>
      </c>
      <c r="GH208" s="162" t="e">
        <f t="shared" ca="1" si="742"/>
        <v>#N/A</v>
      </c>
      <c r="GI208" s="162">
        <f t="shared" ca="1" si="863"/>
        <v>0</v>
      </c>
      <c r="GJ208" s="162">
        <f t="shared" ca="1" si="743"/>
        <v>0</v>
      </c>
      <c r="GK208" s="162">
        <f t="shared" ca="1" si="864"/>
        <v>1</v>
      </c>
      <c r="GL208" s="162">
        <f t="shared" ca="1" si="744"/>
        <v>1</v>
      </c>
      <c r="GM208" s="162" t="e">
        <f ca="1">MAX(0,MIN(1,1-Control!$C$156*(1.0001-$KH208)^2))</f>
        <v>#N/A</v>
      </c>
      <c r="GN208" s="162" t="e">
        <f ca="1">IF(Control!$B$26=1,$KU208,$KX208)</f>
        <v>#N/A</v>
      </c>
      <c r="GO208" s="162" t="e">
        <f ca="1">IF($CP208&lt;=60,Control!$C$105,IF($CP208&gt;=90,Control!$C$106,Control!$C$105+($CP208-60)*((Control!$C$106-Control!$C$105)/(90-60))))</f>
        <v>#N/A</v>
      </c>
      <c r="GP208" s="162" t="e">
        <f t="shared" ca="1" si="745"/>
        <v>#N/A</v>
      </c>
      <c r="GQ208" s="162" t="e">
        <f t="shared" ca="1" si="865"/>
        <v>#N/A</v>
      </c>
      <c r="GR208" s="163" t="e">
        <f t="shared" ca="1" si="746"/>
        <v>#DIV/0!</v>
      </c>
      <c r="GS208" s="162" t="e">
        <f t="shared" ca="1" si="747"/>
        <v>#DIV/0!</v>
      </c>
      <c r="GT208" s="164" t="e">
        <f t="shared" ca="1" si="866"/>
        <v>#N/A</v>
      </c>
      <c r="GU208" s="162" t="e">
        <f t="shared" ca="1" si="867"/>
        <v>#N/A</v>
      </c>
      <c r="GV208" s="162" t="e">
        <f t="shared" ca="1" si="748"/>
        <v>#N/A</v>
      </c>
      <c r="GW208" s="162" t="e">
        <f t="shared" ca="1" si="749"/>
        <v>#DIV/0!</v>
      </c>
      <c r="GX208" s="162" t="e">
        <f t="shared" ca="1" si="868"/>
        <v>#DIV/0!</v>
      </c>
      <c r="GY208" s="162" t="e">
        <f t="shared" ca="1" si="869"/>
        <v>#DIV/0!</v>
      </c>
      <c r="GZ208" s="165" t="e">
        <f t="shared" ca="1" si="750"/>
        <v>#N/A</v>
      </c>
      <c r="HA208" s="162" t="e">
        <f ca="1">IF(Control!$C$114=1, $DI208*$FS208, 0)</f>
        <v>#N/A</v>
      </c>
      <c r="HB208" s="162" t="e">
        <f ca="1">$FA208/Control!$C$64</f>
        <v>#N/A</v>
      </c>
      <c r="HC208" s="162" t="e">
        <f t="shared" ca="1" si="751"/>
        <v>#DIV/0!</v>
      </c>
      <c r="HD208" s="162">
        <f ca="1">-ASIN(SIN(23.45*Control!$C$139)*COS(2*Control!$C$138*($AH208+10)/365))</f>
        <v>0.34783395322024735</v>
      </c>
      <c r="HE208" s="165">
        <f t="shared" ca="1" si="870"/>
        <v>0</v>
      </c>
      <c r="HF208" s="166">
        <f ca="1">IF(AND(Control!$C$61="T",$HE208&gt;=Control!$C$103,Control!$C$114=0),$AH208,Control!$C$59)</f>
        <v>1</v>
      </c>
      <c r="HG208" s="166">
        <f ca="1">IF(AND(Control!$C$61="T",$HE208&gt;=Control!$C$103,Control!$C$114=0),$HF208,Control!$C$59)</f>
        <v>1</v>
      </c>
      <c r="HH208" s="165">
        <f ca="1">IF(AND(OR(Control!$C$60&lt;=0, $AH208= Control!$C$59, Control!$C$60 &gt;0, $AH208 = Control!$C$60)), Control!$C$59, IF(Control!$C$60&gt;0, 0))</f>
        <v>1</v>
      </c>
      <c r="HI208" s="165">
        <f ca="1">IF(AND(OR(Control!$C$60&lt;=0, $AH208= Control!$C$59, Control!$C$60 &gt;0, $AH208 = Control!$C$60)), Control!$C$60, IF(Control!$C$60&lt;=0, 0))</f>
        <v>0</v>
      </c>
      <c r="HJ208" s="166">
        <f ca="1">IF(AND(Control!$C$62="F",$CV208&gt;=Control!$C$102),$AH208,0)</f>
        <v>0</v>
      </c>
      <c r="HK208" s="165" t="e">
        <f t="shared" ca="1" si="907"/>
        <v>#N/A</v>
      </c>
      <c r="HL208" s="166">
        <f ca="1">IF(AND(Control!$C$61="T",$HE208&gt;=Control!$C$103,Control!$C$114=0),$HF208,0)</f>
        <v>0</v>
      </c>
      <c r="HM208" s="201" t="e">
        <f t="shared" ca="1" si="752"/>
        <v>#DIV/0!</v>
      </c>
      <c r="HN208" s="215">
        <f t="shared" ca="1" si="871"/>
        <v>204</v>
      </c>
      <c r="HO208" s="216" t="e">
        <f ca="1">IF(AND($CP208&gt;=0, $CP208&lt;=90), Control!$C$152, Control!$C$152)</f>
        <v>#N/A</v>
      </c>
      <c r="HP208" s="216" t="e">
        <f t="shared" ca="1" si="753"/>
        <v>#N/A</v>
      </c>
      <c r="HQ208" s="217" t="e">
        <f ca="1">IF(OR(Control!$B$26=1,Control!$B$26=2),$KV208,$KS208)</f>
        <v>#DIV/0!</v>
      </c>
      <c r="HR208" s="218" t="e">
        <f t="shared" ca="1" si="908"/>
        <v>#DIV/0!</v>
      </c>
      <c r="HS208" s="216" t="e">
        <f ca="1">Control!$C$154*$HP208</f>
        <v>#N/A</v>
      </c>
      <c r="HT208" s="216" t="e">
        <f ca="1">Control!$C$155*$HP208</f>
        <v>#N/A</v>
      </c>
      <c r="HU208" s="217" t="e">
        <f ca="1">Control!$C$161*$FI208</f>
        <v>#N/A</v>
      </c>
      <c r="HV208" s="218" t="e">
        <f t="shared" ca="1" si="872"/>
        <v>#N/A</v>
      </c>
      <c r="HW208" s="218" t="e">
        <f ca="1">Control!$C$160*$FF208+$IP208*$EO208</f>
        <v>#N/A</v>
      </c>
      <c r="HX208" s="218" t="e">
        <f t="shared" ca="1" si="909"/>
        <v>#N/A</v>
      </c>
      <c r="HY208" s="219" t="e">
        <f ca="1">IF(Control!$C$114=1, $EB208*$FS208, 0)</f>
        <v>#N/A</v>
      </c>
      <c r="HZ208" s="91" t="e">
        <f t="shared" ca="1" si="754"/>
        <v>#N/A</v>
      </c>
      <c r="IA208" s="220" t="e">
        <f ca="1">Control!$C$153*$HO208</f>
        <v>#N/A</v>
      </c>
      <c r="IB208" s="218" t="e">
        <f t="shared" ca="1" si="755"/>
        <v>#N/A</v>
      </c>
      <c r="IC208" s="220" t="e">
        <f ca="1">Control!$C$153*$HT208</f>
        <v>#N/A</v>
      </c>
      <c r="ID208" s="218" t="e">
        <f t="shared" ca="1" si="756"/>
        <v>#N/A</v>
      </c>
      <c r="IE208" s="221" t="e">
        <f ca="1">($EB208*Control!$C$159+$EF208*Control!$C$160)/(IF($GZ208&lt;&gt;0,$GZ208,1))</f>
        <v>#N/A</v>
      </c>
      <c r="IF208" s="216" t="e">
        <f t="shared" ca="1" si="757"/>
        <v>#N/A</v>
      </c>
      <c r="IG208" s="91">
        <f ca="1">IF(OR(Control!$B$198=$AH208,Control!$B$199=$AH208, Control!$B$200=$AH208, Control!$B$201=$AH208, Control!$B$202=$AH208, Control!$B$203=$AH208, Control!$B$204=$AH208, Control!$B$205=$AH208, Control!$B$206=$AH208, Control!$B$207=$AH208), 1, 0)</f>
        <v>0</v>
      </c>
      <c r="IH208" s="91">
        <f ca="1">IF($IG208=0,0, VLOOKUP($AH208,Control!$B$198:$C$207,2))</f>
        <v>0</v>
      </c>
      <c r="II208" s="222">
        <f t="shared" ca="1" si="873"/>
        <v>0</v>
      </c>
      <c r="IJ208" s="91">
        <f>Control!$C$121</f>
        <v>0.7</v>
      </c>
      <c r="IK208" s="218">
        <f t="shared" ca="1" si="758"/>
        <v>0</v>
      </c>
      <c r="IL208" s="217" t="e">
        <f t="shared" ca="1" si="910"/>
        <v>#N/A</v>
      </c>
      <c r="IM208" s="223" t="e">
        <f ca="1">IF(AND(Control!$C$114=1,$KH208&lt;1),$EB208*Control!$C$148*(1-$KH208), 0)</f>
        <v>#N/A</v>
      </c>
      <c r="IN208" s="217" t="e">
        <f t="shared" ca="1" si="759"/>
        <v>#DIV/0!</v>
      </c>
      <c r="IO208" s="91" t="e">
        <f ca="1">MAX(0,$IL208-$EF208*Control!$C$160)</f>
        <v>#N/A</v>
      </c>
      <c r="IP208" s="220" t="e">
        <f t="shared" ca="1" si="760"/>
        <v>#N/A</v>
      </c>
      <c r="IQ208" s="217" t="e">
        <f t="shared" ca="1" si="874"/>
        <v>#N/A</v>
      </c>
      <c r="IR208" s="218" t="e">
        <f t="shared" ca="1" si="761"/>
        <v>#N/A</v>
      </c>
      <c r="IS208" s="217" t="e">
        <f ca="1">Control!$C$159*MAX(0,$FD208-$EN208)</f>
        <v>#N/A</v>
      </c>
      <c r="IT208" s="217" t="e">
        <f t="shared" ca="1" si="911"/>
        <v>#N/A</v>
      </c>
      <c r="IU208" s="217" t="e">
        <f t="shared" ca="1" si="875"/>
        <v>#N/A</v>
      </c>
      <c r="IV208" s="217" t="e">
        <f t="shared" ca="1" si="912"/>
        <v>#N/A</v>
      </c>
      <c r="IW208" s="217" t="e">
        <f ca="1">IF(OR($AW208=1,AND($AW208=0, Control!$B$18=1,$EN208&lt;&gt;0)), $IQ208-$IU208, $IQ208)</f>
        <v>#N/A</v>
      </c>
      <c r="IX208" s="218" t="e">
        <f t="shared" ca="1" si="762"/>
        <v>#N/A</v>
      </c>
      <c r="IY208" s="218" t="e">
        <f ca="1">MAX(0,$IQ208-$EB208*Control!$C$159)</f>
        <v>#N/A</v>
      </c>
      <c r="IZ208" s="218" t="e">
        <f t="shared" ca="1" si="763"/>
        <v>#N/A</v>
      </c>
      <c r="JA208" s="216" t="e">
        <f t="shared" ca="1" si="764"/>
        <v>#N/A</v>
      </c>
      <c r="JB208" s="217" t="e">
        <f t="shared" ca="1" si="765"/>
        <v>#N/A</v>
      </c>
      <c r="JC208" s="222" t="e">
        <f ca="1">MAX(Control!$C$157*$EK208-$JT208, 0)/Control!$C$162</f>
        <v>#N/A</v>
      </c>
      <c r="JD208" s="218" t="e">
        <f t="shared" ca="1" si="766"/>
        <v>#N/A</v>
      </c>
      <c r="JE208" s="218" t="e">
        <f t="shared" ca="1" si="767"/>
        <v>#N/A</v>
      </c>
      <c r="JF208" s="218" t="e">
        <f t="shared" ca="1" si="876"/>
        <v>#N/A</v>
      </c>
      <c r="JG208" s="218" t="e">
        <f t="shared" ca="1" si="768"/>
        <v>#N/A</v>
      </c>
      <c r="JH208" s="217" t="e">
        <f t="shared" ca="1" si="877"/>
        <v>#N/A</v>
      </c>
      <c r="JI208" s="217" t="e">
        <f t="shared" ca="1" si="878"/>
        <v>#N/A</v>
      </c>
      <c r="JJ208" s="217" t="e">
        <f t="shared" ca="1" si="913"/>
        <v>#N/A</v>
      </c>
      <c r="JK208" s="217" t="e">
        <f ca="1">IF(Control!$C$114=1,IF(Control!$B$24=0,MAX(0,$JI208)*$GN208/Control!$C$64,(MAX(0,MIN($JI208,$JJ208*$GN208/Control!$C$64),0))))</f>
        <v>#N/A</v>
      </c>
      <c r="JL208" s="217" t="e">
        <f ca="1">$IK208/Control!$C$64-$JK208+$HQ208</f>
        <v>#N/A</v>
      </c>
      <c r="JM208" s="217" t="e">
        <f ca="1">IF(Control!$C$114=1,($JB208/(IF($JI208&lt;&gt;0,$JI208,1)))*$JK208,0)</f>
        <v>#N/A</v>
      </c>
      <c r="JN208" s="217" t="e">
        <f ca="1">IF(Control!$C$114=1,($JG208/(IF($JI208&lt;&gt;0,$JI208,1)))*$JK208, 0)</f>
        <v>#N/A</v>
      </c>
      <c r="JO208" s="218" t="e">
        <f t="shared" ca="1" si="769"/>
        <v>#N/A</v>
      </c>
      <c r="JP208" s="218" t="e">
        <f ca="1">MIN(($IY208+$IO208)*Control!$C$151, $JF208-$EH208*Control!$C$161)</f>
        <v>#N/A</v>
      </c>
      <c r="JQ208" s="218" t="e">
        <f t="shared" ca="1" si="770"/>
        <v>#N/A</v>
      </c>
      <c r="JR208" s="217" t="e">
        <f ca="1">IF($CP208-Control!$C$150&lt;0, 0, $JQ208/Control!$C$162)</f>
        <v>#N/A</v>
      </c>
      <c r="JS208" s="218" t="e">
        <f t="shared" ca="1" si="771"/>
        <v>#N/A</v>
      </c>
      <c r="JT208" s="218" t="e">
        <f t="shared" ca="1" si="879"/>
        <v>#N/A</v>
      </c>
      <c r="JU208" s="218" t="e">
        <f t="shared" ca="1" si="772"/>
        <v>#N/A</v>
      </c>
      <c r="JV208" s="218" t="e">
        <f t="shared" ca="1" si="773"/>
        <v>#N/A</v>
      </c>
      <c r="JW208" s="216" t="e">
        <f t="shared" ca="1" si="774"/>
        <v>#N/A</v>
      </c>
      <c r="JX208" s="91" t="e">
        <f t="shared" ca="1" si="775"/>
        <v>#N/A</v>
      </c>
      <c r="JY208" s="218" t="e">
        <f t="shared" ca="1" si="776"/>
        <v>#N/A</v>
      </c>
      <c r="JZ208" s="217" t="e">
        <f ca="1">IF(Control!$C$114=1,($IZ208/(IF($JI208&lt;&gt;0,$JI208,1)))*$JK208, 0)</f>
        <v>#N/A</v>
      </c>
      <c r="KA208" s="218" t="e">
        <f t="shared" ca="1" si="914"/>
        <v>#N/A</v>
      </c>
      <c r="KB208" s="218" t="e">
        <f t="shared" ca="1" si="880"/>
        <v>#N/A</v>
      </c>
      <c r="KC208" s="218" t="e">
        <f t="shared" ca="1" si="777"/>
        <v>#N/A</v>
      </c>
      <c r="KD208" s="218" t="e">
        <f t="shared" ca="1" si="778"/>
        <v>#N/A</v>
      </c>
      <c r="KE208" s="218" t="e">
        <f t="shared" ca="1" si="779"/>
        <v>#N/A</v>
      </c>
      <c r="KF208" s="218" t="e">
        <f t="shared" ca="1" si="780"/>
        <v>#N/A</v>
      </c>
      <c r="KG208" s="216" t="e">
        <f t="shared" ca="1" si="781"/>
        <v>#N/A</v>
      </c>
      <c r="KH208" s="221" t="e">
        <f ca="1">IF(Control!$B$24=0,1,MAX(0.001,MIN(1,IF(($IF208-$IE208)&lt;&gt;0,($KG208-$IE208)/($IF208-$IE208),1))))</f>
        <v>#N/A</v>
      </c>
      <c r="KI208" s="222" t="e">
        <f ca="1">IF(Control!$C$114=1, $KI207+ $KH207, 0)</f>
        <v>#N/A</v>
      </c>
      <c r="KJ208" s="217" t="e">
        <f t="shared" ca="1" si="782"/>
        <v>#N/A</v>
      </c>
      <c r="KK208" s="218" t="e">
        <f t="shared" ca="1" si="783"/>
        <v>#N/A</v>
      </c>
      <c r="KL208" s="274" t="e">
        <f ca="1">IF(Control!$B$26=3,4000000000*EXP(-8400/($G208+273)),IF(Control!$B$26=4,4000000000*EXP(-8400/($G208+273))*($KT208),0))</f>
        <v>#DIV/0!</v>
      </c>
      <c r="KM208" s="274" t="e">
        <f ca="1">IF(Control!$B$26=3,5600000000000*EXP(-9800/($G208+273)),IF(Control!$B$26=4,5600000000000*EXP(-9800/($G208+273))*$KT208,0))</f>
        <v>#DIV/0!</v>
      </c>
      <c r="KN208" s="454" t="e">
        <f t="shared" ca="1" si="881"/>
        <v>#DIV/0!</v>
      </c>
      <c r="KO208" s="274" t="e">
        <f t="shared" ca="1" si="882"/>
        <v>#DIV/0!</v>
      </c>
      <c r="KP208" s="454" t="e">
        <f t="shared" ca="1" si="784"/>
        <v>#DIV/0!</v>
      </c>
      <c r="KQ208" s="454" t="e">
        <f t="shared" ca="1" si="785"/>
        <v>#DIV/0!</v>
      </c>
      <c r="KR208" s="454" t="e">
        <f t="shared" ca="1" si="786"/>
        <v>#DIV/0!</v>
      </c>
      <c r="KS208" s="454" t="e">
        <f t="shared" ca="1" si="787"/>
        <v>#DIV/0!</v>
      </c>
      <c r="KT208" s="455" t="e">
        <f t="shared" ca="1" si="788"/>
        <v>#DIV/0!</v>
      </c>
      <c r="KU208" s="456" t="e">
        <f ca="1">IF($CP208-Control!$C$149&lt;0, IF($NT208-0.01&lt;0,0,1),0)</f>
        <v>#N/A</v>
      </c>
      <c r="KV208" s="456" t="e">
        <f ca="1">IF(Control!$C$114=1,MAX(0,MIN(Control!$C$125*$KW208*$GN208,$KW208)))</f>
        <v>#DIV/0!</v>
      </c>
      <c r="KW208" s="456" t="e">
        <f t="shared" ca="1" si="915"/>
        <v>#DIV/0!</v>
      </c>
      <c r="KX208" s="457" t="e">
        <f ca="1">IF($CP208-Control!$C$149&lt;0, IF($MR208-$OM208&lt;0,0,1),0)</f>
        <v>#N/A</v>
      </c>
      <c r="KY208" s="167">
        <f t="shared" ca="1" si="883"/>
        <v>204</v>
      </c>
      <c r="KZ208" s="168">
        <f ca="1">1370*(1+0.033*COS(2*Control!$C$138*$AH208/365))</f>
        <v>1327.8513389632762</v>
      </c>
      <c r="LA208" s="169">
        <f t="shared" ca="1" si="884"/>
        <v>0.96923445596524105</v>
      </c>
      <c r="LB208" s="169">
        <f t="shared" ca="1" si="885"/>
        <v>0.34848960978158766</v>
      </c>
      <c r="LC208" s="169">
        <f ca="1">ACOS(-TAN((2*Control!$B$8/360))*TAN(Calculations!$LB208))</f>
        <v>1.6789864519322479</v>
      </c>
      <c r="LD208" s="169">
        <f ca="1">((24*60)/PI())*0.082*$LA208*(($LC208*SIN(Control!$B$8*2*PI()/360))*SIN($LB208)+COS(Control!$B$8*2*PI()/360)*COS($LB208)*SIN($LC208))</f>
        <v>37.415716880218348</v>
      </c>
      <c r="LE208" s="170">
        <f t="shared" ca="1" si="789"/>
        <v>38.699411288048339</v>
      </c>
      <c r="LF208" s="170">
        <f ca="1">SIN(Control!$C$139*Control!$B$8)*SIN($HD208)</f>
        <v>0.26860358704974763</v>
      </c>
      <c r="LG208" s="170">
        <f ca="1">COS(Control!$C$139*Control!$B$8)*COS($HD208)</f>
        <v>0.57878993287499569</v>
      </c>
      <c r="LH208" s="170">
        <f ca="1">12*(1+2*ASIN(MAX(-1,MIN(1,$LF208/$LG208))/Control!$C$138))</f>
        <v>15.558307372786672</v>
      </c>
      <c r="LI208" s="170">
        <f ca="1">12*(1+2*ASIN(MAX(-1,MIN(1,(-SIN(-4*Control!$C$139)+$LF208)/$LG208))/Control!$C$138))</f>
        <v>16.492183808275712</v>
      </c>
      <c r="LJ208" s="168">
        <f ca="1">3600*($LH208*$LF208+24*$LG208*SQRT(1-$LK208*$LK208)/Control!$C$138)</f>
        <v>29144.385483892362</v>
      </c>
      <c r="LK208" s="170">
        <f t="shared" ca="1" si="790"/>
        <v>0.46407784896244791</v>
      </c>
      <c r="LL208" s="170">
        <f t="shared" ca="1" si="791"/>
        <v>0</v>
      </c>
      <c r="LM208" s="171">
        <f ca="1">Control!$C$145*$AB208</f>
        <v>6.6660906138995932E-2</v>
      </c>
      <c r="LN208" s="170">
        <f t="shared" ca="1" si="886"/>
        <v>0.54</v>
      </c>
      <c r="LO208" s="170">
        <f t="shared" ca="1" si="792"/>
        <v>0</v>
      </c>
      <c r="LP208" s="170">
        <f ca="1">Control!$C$140*((($D208+273.16)^4+($E208+273.16)^4)/2)*(0.34-0.14*SQRT($Y208))*(1.35*$AQ208/(0.75*$LD208)-0.35)</f>
        <v>-3.2464704755046001</v>
      </c>
      <c r="LQ208" s="170">
        <f ca="1">Control!$C$140*($G208+273)^4*(0.56-0.079*SQRT($Y208*10))*(0.1+0.9*$LO208)</f>
        <v>1.5241745131704001</v>
      </c>
      <c r="LR208" s="170">
        <f ca="1">$AQ208*(1-Control!$C$142)-$LQ208</f>
        <v>-1.5241745131704001</v>
      </c>
      <c r="LS208" s="170">
        <f ca="1">$AQ208*(1-Control!$C$143)-$LQ208</f>
        <v>-1.5241745131704001</v>
      </c>
      <c r="LT208" s="170">
        <f ca="1">$AQ208*(1-Control!$C$144)-$LQ208</f>
        <v>-1.5241745131704001</v>
      </c>
      <c r="LU208" s="169">
        <f ca="1">(1-Control!$C$144)*AQ208-LP208</f>
        <v>3.2464704755046001</v>
      </c>
      <c r="LV208" s="172">
        <f t="shared" ca="1" si="793"/>
        <v>0.79430000000000012</v>
      </c>
      <c r="LW208" s="170">
        <f t="shared" ca="1" si="794"/>
        <v>1.5886000000000002</v>
      </c>
      <c r="LX208" s="170">
        <f ca="1">($AC208*($LR208/Control!$C$141)+$LM208*$LV208)/($AC208+$LM208)</f>
        <v>0.23530094218323697</v>
      </c>
      <c r="LY208" s="170">
        <f ca="1">($AC208*($LS208/Control!$C$141)+$LM208*$LV208)/($AC208+$LM208)</f>
        <v>0.23530094218323697</v>
      </c>
      <c r="LZ208" s="170">
        <f t="shared" ca="1" si="795"/>
        <v>0.23530094218323697</v>
      </c>
      <c r="MA208" s="170">
        <f t="shared" ca="1" si="796"/>
        <v>0.23530094218323697</v>
      </c>
      <c r="MB208" s="170" t="e">
        <f t="shared" ca="1" si="797"/>
        <v>#N/A</v>
      </c>
      <c r="MC208" s="170">
        <f t="shared" ca="1" si="887"/>
        <v>0.6018</v>
      </c>
      <c r="MD208" s="170">
        <f t="shared" ca="1" si="798"/>
        <v>0.52989392535414004</v>
      </c>
      <c r="ME208" s="170">
        <f ca="1">($AC208*($LT208/Control!$C$141)+$LM208*$LW208)/($AC208+$LM208)</f>
        <v>0.71612369323045078</v>
      </c>
      <c r="MF208" s="170" t="e">
        <f ca="1">IF(Control!$B$16&gt;=1000,0.92,IF(AND(720&lt;=Control!$B$16,1000&gt;Control!$B$16),(0.95+(Control!$B$16-720)*((0.92-0.95)/(1000-720))),IF(AND(360&lt;=Control!$B$16,720&gt;Control!$B$16),(1+(Control!$B$16-360)*((0.95-1)/(720-360))),IF(AND(40&lt;=Control!$B$16,360&gt;Control!$B$16),(1.05+(Control!$B$16-40)*((1.05-1)/(360-40)))))))</f>
        <v>#N/A</v>
      </c>
      <c r="MG208" s="170">
        <f t="shared" ca="1" si="799"/>
        <v>0.71612369323045078</v>
      </c>
      <c r="MH208" s="170" t="e">
        <f t="shared" ca="1" si="924"/>
        <v>#N/A</v>
      </c>
      <c r="MI208" s="170" t="e">
        <f t="shared" ca="1" si="924"/>
        <v>#N/A</v>
      </c>
      <c r="MJ208" s="170" t="e">
        <f ca="1">MAX(0.0001, Control!$C$132*$MI208*$DL208)</f>
        <v>#N/A</v>
      </c>
      <c r="MK208" s="170">
        <f ca="1">1/(0.76+1.5*($MG208/10))-(5-Control!$C$110)*0.1</f>
        <v>1.002845988140797</v>
      </c>
      <c r="ML208" s="173">
        <f ca="1">IF(Control!$C$110&lt;3,$MK208+($MG208-0.6)/(Control!$C$110*(Control!$C$110+3)), MAX(0.1, MIN(0.95,$MK208)))</f>
        <v>0.95</v>
      </c>
      <c r="MM208" s="173">
        <f ca="1">IF(Control!$C$110&lt;3,$MK208+(($MI208/10)-0.6)/(Control!$C$110*(Control!$C$110+3)), MAX(0.1, MIN(0.95,$MK208)))</f>
        <v>0.95</v>
      </c>
      <c r="MN208" s="173">
        <f ca="1">(1-$MM208)*(Control!$C$128-Control!$C$127)+Control!$C$127</f>
        <v>0.16</v>
      </c>
      <c r="MO208" s="170" t="e">
        <f ca="1">MAX(0,MIN(1,($MS208-Control!$C$127)/($MN208-Control!$C$127)))</f>
        <v>#DIV/0!</v>
      </c>
      <c r="MP208" s="173" t="e">
        <f ca="1">1/(0.76+1.5*$MI208)-(5-Control!$C$110)*0.1</f>
        <v>#N/A</v>
      </c>
      <c r="MQ208" s="172" t="e">
        <f t="shared" ca="1" si="916"/>
        <v>#DIV/0!</v>
      </c>
      <c r="MR208" s="168" t="e">
        <f t="shared" ca="1" si="888"/>
        <v>#DIV/0!</v>
      </c>
      <c r="MS208" s="173" t="e">
        <f ca="1">MAX(Control!$C$127, MIN(Control!$C$135, $MR208/MAX(0.0001,$CY208)))</f>
        <v>#DIV/0!</v>
      </c>
      <c r="MT208" s="168" t="e">
        <f ca="1">(Control!$C$128-$MS208)*Control!$C$74</f>
        <v>#DIV/0!</v>
      </c>
      <c r="MU208" s="168" t="e">
        <f ca="1">(Control!$C$135-$MS208)*Control!$C$74</f>
        <v>#DIV/0!</v>
      </c>
      <c r="MV208" s="168" t="e">
        <f t="shared" ca="1" si="889"/>
        <v>#DIV/0!</v>
      </c>
      <c r="MW208" s="168" t="e">
        <f t="shared" ca="1" si="890"/>
        <v>#DIV/0!</v>
      </c>
      <c r="MX208" s="171" t="e">
        <f ca="1">MAX(Control!$C$127, MIN(Control!$C$135, $MW208/MAX(0.0001,Control!$C$119-$CY208)))</f>
        <v>#DIV/0!</v>
      </c>
      <c r="MY208" s="54" t="e">
        <f ca="1">IF(Control!$C$114=1, $CX208*$MX208, 0)</f>
        <v>#DIV/0!</v>
      </c>
      <c r="MZ208" s="54" t="e">
        <f t="shared" ca="1" si="891"/>
        <v>#N/A</v>
      </c>
      <c r="NA208" s="168" t="e">
        <f ca="1">(Control!$C$128-$MX208)*(Control!$C$119-Control!$C$74)</f>
        <v>#DIV/0!</v>
      </c>
      <c r="NB208" s="168" t="e">
        <f ca="1">(Control!$C$135-$MX208)*(Control!$C$119-Control!$C$74)</f>
        <v>#DIV/0!</v>
      </c>
      <c r="NC208" s="174" t="e">
        <f t="shared" ca="1" si="892"/>
        <v>#DIV/0!</v>
      </c>
      <c r="ND208" s="54">
        <f ca="1">IF(Control!$C$58=2, IF(OR(Control!$B$218=$AH208,Control!$B$219=$AH208, Control!$B$220=$AH208, Control!$B$221=$AH208, Control!$B$222=$AH208, Control!$B$223=$AH208, Control!$B$224=$AH208, Control!$B$225=$AH208, Control!$B$226=$AH208, Control!$B$227=$AH208, Control!$B$228=$AH208), 1, 0), 0)</f>
        <v>0</v>
      </c>
      <c r="NE208" s="54">
        <f ca="1">IF($ND208=0,0, VLOOKUP($AH208,Control!$B$218:$C$228,2))</f>
        <v>0</v>
      </c>
      <c r="NF208" s="168" t="e">
        <f ca="1">$CY208*(Control!$C$128-Control!$C$127)</f>
        <v>#N/A</v>
      </c>
      <c r="NG208" s="54" t="e">
        <f ca="1">IF(Control!$C$58=2, $NI207-$NJ207, 0)</f>
        <v>#DIV/0!</v>
      </c>
      <c r="NH208" s="54" t="e">
        <f ca="1">IF(AND(Control!$C$58=1, $MS207&lt;= ($MN207+0.02), $I207&lt;10), 0, IF(Control!$C$58=2, $NG207, 0))</f>
        <v>#DIV/0!</v>
      </c>
      <c r="NI208" s="54" t="e">
        <f ca="1">IF(Control!$C$58=2, $NE208+$NH208,0)</f>
        <v>#DIV/0!</v>
      </c>
      <c r="NJ208" s="54" t="e">
        <f ca="1">IF(AND(Control!$C$58=1, $MS208&lt;= ($MN208+0.02), $I208&lt;10), MAX(0, MIN(10, 0.7*($NF208-$MV208))), IF(Control!$C$58=2, MIN(10,$NI208),0))</f>
        <v>#DIV/0!</v>
      </c>
      <c r="NK208" s="54" t="e">
        <f t="shared" ca="1" si="800"/>
        <v>#DIV/0!</v>
      </c>
      <c r="NL208" s="173" t="e">
        <f ca="1">(1-Control!$C$73)*$I208+$NJ208</f>
        <v>#DIV/0!</v>
      </c>
      <c r="NM208" s="172" t="e">
        <f ca="1">IF($NL208&lt;0.5, $MB208* MAX(0, MIN(1, (SQRT($NC208)-SQRT($NC208-1))*Control!$C$71)),0)</f>
        <v>#DIV/0!</v>
      </c>
      <c r="NN208" s="170" t="e">
        <f ca="1">IF($NL208&gt;=5, $MB208, MAX(0,MIN($MB208, $NM208+$NL208,($MS208-Control!$C$129))))</f>
        <v>#DIV/0!</v>
      </c>
      <c r="NO208" s="54">
        <f>IF(Control!$C$133&lt;&gt;1, Control!$C$135-Control!$C$131, 0)</f>
        <v>0.38</v>
      </c>
      <c r="NP208" s="54" t="e">
        <f t="shared" ca="1" si="801"/>
        <v>#DIV/0!</v>
      </c>
      <c r="NQ208" s="173" t="e">
        <f ca="1">MAX(0,MIN(1,(Control!$C$135-$MS208)/(Control!$C$135-$NO208)))</f>
        <v>#DIV/0!</v>
      </c>
      <c r="NR208" s="170" t="e">
        <f ca="1">IF(Control!$C$133&lt;&gt;1, $NQ208+((1-$NP208/4)*(1-$NQ208)),1)</f>
        <v>#DIV/0!</v>
      </c>
      <c r="NS208" s="170" t="e">
        <f ca="1">IF(Control!$B$31=0,$MJ208,MAX(0,MIN($MV208,$MO208*$NR208*$MJ208)))</f>
        <v>#DIV/0!</v>
      </c>
      <c r="NT208" s="170" t="e">
        <f t="shared" ca="1" si="917"/>
        <v>#DIV/0!</v>
      </c>
      <c r="NU208" s="170" t="e">
        <f t="shared" ca="1" si="893"/>
        <v>#N/A</v>
      </c>
      <c r="NV208" s="170" t="e">
        <f t="shared" ca="1" si="802"/>
        <v>#N/A</v>
      </c>
      <c r="NW208" s="175" t="e">
        <f t="shared" ca="1" si="803"/>
        <v>#DIV/0!</v>
      </c>
      <c r="NX208" s="170" t="e">
        <f ca="1">MIN(Control!$C$72+$MU208, $NW208)</f>
        <v>#DIV/0!</v>
      </c>
      <c r="NY208" s="170" t="e">
        <f ca="1">IF($MT208&lt;=$NX208,MIN(Control!$C$72+$NB208,$NX208-$MT208),0)</f>
        <v>#DIV/0!</v>
      </c>
      <c r="NZ208" s="54" t="e">
        <f ca="1">IF(Control!$C$114=1,  $CX208*($MX208-Control!$C$127), 0)</f>
        <v>#DIV/0!</v>
      </c>
      <c r="OA208" s="170" t="e">
        <f t="shared" ca="1" si="804"/>
        <v>#DIV/0!</v>
      </c>
      <c r="OB208" s="170" t="e">
        <f ca="1">IF($NA208 &lt;=$NY208, MIN(Control!$C$72, $NY208-$NA208), 0)</f>
        <v>#DIV/0!</v>
      </c>
      <c r="OC208" s="168" t="e">
        <f t="shared" ca="1" si="805"/>
        <v>#DIV/0!</v>
      </c>
      <c r="OD208" s="168" t="e">
        <f t="shared" ca="1" si="894"/>
        <v>#DIV/0!</v>
      </c>
      <c r="OE208" s="170">
        <f ca="1">Control!$C$73*$I208</f>
        <v>0</v>
      </c>
      <c r="OF208" s="176" t="e">
        <f t="shared" ca="1" si="806"/>
        <v>#DIV/0!</v>
      </c>
      <c r="OG208" s="168" t="e">
        <f t="shared" ca="1" si="807"/>
        <v>#DIV/0!</v>
      </c>
      <c r="OH208" s="168" t="e">
        <f t="shared" ca="1" si="808"/>
        <v>#DIV/0!</v>
      </c>
      <c r="OI208" s="168" t="e">
        <f t="shared" ca="1" si="809"/>
        <v>#DIV/0!</v>
      </c>
      <c r="OJ208" s="168" t="e">
        <f t="shared" ca="1" si="810"/>
        <v>#DIV/0!</v>
      </c>
      <c r="OK208" s="204" t="e">
        <f t="shared" ca="1" si="811"/>
        <v>#DIV/0!</v>
      </c>
      <c r="OL208" s="177">
        <f>Control!$C$127</f>
        <v>0.15</v>
      </c>
      <c r="OM208" s="182" t="e">
        <f t="shared" ca="1" si="812"/>
        <v>#N/A</v>
      </c>
      <c r="ON208" s="177">
        <f>Control!$C$128</f>
        <v>0.35</v>
      </c>
      <c r="OO208" s="182" t="e">
        <f t="shared" ca="1" si="813"/>
        <v>#N/A</v>
      </c>
      <c r="OP208" s="138">
        <f t="shared" ca="1" si="895"/>
        <v>0</v>
      </c>
      <c r="OQ208" s="138" t="e">
        <f t="shared" ca="1" si="918"/>
        <v>#DIV/0!</v>
      </c>
      <c r="OR208" s="138" t="e">
        <f t="shared" ca="1" si="896"/>
        <v>#DIV/0!</v>
      </c>
      <c r="OS208" s="137" t="e">
        <f t="shared" ca="1" si="919"/>
        <v>#DIV/0!</v>
      </c>
      <c r="OT208" s="139" t="e">
        <f t="shared" ca="1" si="920"/>
        <v>#DIV/0!</v>
      </c>
      <c r="OU208" s="138" t="e">
        <f t="shared" ca="1" si="921"/>
        <v>#N/A</v>
      </c>
      <c r="OV208" s="138" t="e">
        <f t="shared" ca="1" si="922"/>
        <v>#DIV/0!</v>
      </c>
      <c r="OW208" s="138" t="e">
        <f t="shared" ca="1" si="897"/>
        <v>#DIV/0!</v>
      </c>
      <c r="OX208" s="138" t="e">
        <f t="shared" ca="1" si="898"/>
        <v>#DIV/0!</v>
      </c>
      <c r="OY208" s="138" t="e">
        <f t="shared" ca="1" si="899"/>
        <v>#DIV/0!</v>
      </c>
      <c r="OZ208" s="138" t="e">
        <f t="shared" ca="1" si="814"/>
        <v>#DIV/0!</v>
      </c>
      <c r="PA208" s="138" t="e">
        <f t="shared" ca="1" si="815"/>
        <v>#DIV/0!</v>
      </c>
      <c r="PB208" s="55">
        <f>IF(Control!$C$61="T", IF(Control!$C$65="F", IF($AH$6-Control!$C$60&lt;0,0,1), IF(365+$AH$6-Control!$C$60&lt;0,0,1)),0)</f>
        <v>0</v>
      </c>
      <c r="PC208" s="55">
        <f ca="1">IF(Control!$C$65="F", IF($AH$6-$HF208&lt;0,0,1), IF(365+$AH$6-$HF208&lt;0,0,1))</f>
        <v>1</v>
      </c>
      <c r="PD208" s="444">
        <f>Control!$C$118</f>
        <v>1500</v>
      </c>
      <c r="PE208" s="180" t="e">
        <f t="shared" ca="1" si="816"/>
        <v>#N/A</v>
      </c>
      <c r="PF208" s="445">
        <f t="shared" ca="1" si="900"/>
        <v>0.71612369323045078</v>
      </c>
      <c r="PT208" s="186"/>
      <c r="PU208" s="186"/>
      <c r="PV208" s="94"/>
      <c r="PW208" s="94"/>
      <c r="PX208" s="94"/>
      <c r="PY208" s="94"/>
      <c r="PZ208" s="94"/>
      <c r="QA208" s="94"/>
      <c r="QB208" s="94"/>
      <c r="QC208" s="94"/>
      <c r="QD208" s="94"/>
      <c r="QE208" s="94"/>
      <c r="QF208" s="94"/>
      <c r="QG208" s="94"/>
      <c r="QH208" s="94"/>
      <c r="QI208" s="94"/>
      <c r="QJ208" s="94"/>
      <c r="QK208" s="94"/>
      <c r="QL208" s="94"/>
      <c r="QM208" s="94"/>
      <c r="QN208" s="94"/>
      <c r="QO208" s="94"/>
      <c r="QP208" s="94"/>
    </row>
    <row r="209" spans="1:458" s="2" customFormat="1" x14ac:dyDescent="0.2">
      <c r="A209" s="395">
        <v>23</v>
      </c>
      <c r="B209" s="396">
        <v>7</v>
      </c>
      <c r="C209" s="387">
        <f ca="1">Weather_data!$B208</f>
        <v>0</v>
      </c>
      <c r="D209" s="388">
        <f ca="1">Weather_data!$F208</f>
        <v>0</v>
      </c>
      <c r="E209" s="388">
        <f ca="1">Weather_data!$E208</f>
        <v>0</v>
      </c>
      <c r="F209" s="388">
        <f t="shared" ca="1" si="817"/>
        <v>0</v>
      </c>
      <c r="G209" s="388">
        <f ca="1">AVERAGE($D209:$E209)+Control!$B$9</f>
        <v>0</v>
      </c>
      <c r="H209" s="388">
        <f ca="1">Weather_data!$G208</f>
        <v>0</v>
      </c>
      <c r="I209" s="388">
        <f ca="1">Weather_data!$I208</f>
        <v>0</v>
      </c>
      <c r="J209" s="388">
        <f ca="1">Weather_data!$H208</f>
        <v>0</v>
      </c>
      <c r="K209" s="389">
        <f ca="1">Weather_data!$D208</f>
        <v>0</v>
      </c>
      <c r="L209" s="388" t="e">
        <f t="shared" ca="1" si="818"/>
        <v>#N/A</v>
      </c>
      <c r="M209" s="388" t="e">
        <f t="shared" ca="1" si="696"/>
        <v>#N/A</v>
      </c>
      <c r="N209" s="388">
        <f t="shared" ca="1" si="697"/>
        <v>-2.5715763351048675E-10</v>
      </c>
      <c r="O209" s="388">
        <f t="shared" ca="1" si="819"/>
        <v>2.5715763351048677E-9</v>
      </c>
      <c r="P209" s="390">
        <v>3</v>
      </c>
      <c r="Q209" s="388">
        <f ca="1">MAX($G209-Control!$C$107,0)</f>
        <v>0</v>
      </c>
      <c r="R209" s="388">
        <f t="shared" ca="1" si="820"/>
        <v>0</v>
      </c>
      <c r="S209" s="388">
        <f t="shared" ca="1" si="698"/>
        <v>0</v>
      </c>
      <c r="T209" s="388">
        <f t="shared" ca="1" si="699"/>
        <v>0</v>
      </c>
      <c r="U209" s="59">
        <f t="shared" ca="1" si="700"/>
        <v>0</v>
      </c>
      <c r="V209" s="391">
        <f ca="1">MAX(0,MIN(Control!$C$100-Control!$C$99,$G209-Control!$C$99)*Control!$C$63)</f>
        <v>0</v>
      </c>
      <c r="W209" s="388">
        <f t="shared" ca="1" si="821"/>
        <v>0</v>
      </c>
      <c r="X209" s="388">
        <f t="shared" ca="1" si="822"/>
        <v>0.6110000000000001</v>
      </c>
      <c r="Y209" s="388">
        <f t="shared" ca="1" si="701"/>
        <v>0</v>
      </c>
      <c r="Z209" s="388">
        <f t="shared" ca="1" si="823"/>
        <v>0.61058800000000002</v>
      </c>
      <c r="AA209" s="388">
        <f t="shared" ca="1" si="702"/>
        <v>0.6018</v>
      </c>
      <c r="AB209" s="388">
        <f ca="1">101.3*EXP(-0.034*Control!$C$66/($G209+273))</f>
        <v>100.69623283836242</v>
      </c>
      <c r="AC209" s="392">
        <f t="shared" ca="1" si="703"/>
        <v>4.3460251046025113E-2</v>
      </c>
      <c r="AD209" s="392">
        <f t="shared" ca="1" si="704"/>
        <v>4.4450382862832649E-2</v>
      </c>
      <c r="AE209" s="388">
        <f t="shared" ca="1" si="705"/>
        <v>0</v>
      </c>
      <c r="AF209" s="388">
        <f ca="1">MAX(0,$G209-Control!$C$92)</f>
        <v>0</v>
      </c>
      <c r="AG209" s="393">
        <f t="shared" ca="1" si="706"/>
        <v>205</v>
      </c>
      <c r="AH209" s="389">
        <f t="shared" ca="1" si="707"/>
        <v>205</v>
      </c>
      <c r="AI209" s="388">
        <f t="shared" ca="1" si="824"/>
        <v>0.34402255516079228</v>
      </c>
      <c r="AJ209" s="388">
        <f ca="1">IF(Control!$C$60&lt;=0,$HH209,$HI209)</f>
        <v>1</v>
      </c>
      <c r="AK209" s="388">
        <f t="shared" ca="1" si="708"/>
        <v>2.151775790129995</v>
      </c>
      <c r="AL209" s="388">
        <f t="shared" ca="1" si="709"/>
        <v>-7.393736664584871E-18</v>
      </c>
      <c r="AM209" s="388">
        <f t="shared" ca="1" si="710"/>
        <v>2.151775790129995</v>
      </c>
      <c r="AN209" s="388">
        <f t="shared" ca="1" si="711"/>
        <v>0.33898619943326758</v>
      </c>
      <c r="AO209" s="388">
        <f ca="1">-0.10453/COS(Control!$B$8*PI()/180)*COS(AN209)</f>
        <v>-0.16012279308581126</v>
      </c>
      <c r="AP209" s="388">
        <f ca="1">ACOS(AO209-TAN(Control!$B$8*PI()/180)*TAN(AN209))</f>
        <v>2.228657631473391</v>
      </c>
      <c r="AQ209" s="388">
        <f t="shared" ca="1" si="825"/>
        <v>0</v>
      </c>
      <c r="AR209" s="394">
        <f t="shared" ca="1" si="712"/>
        <v>0</v>
      </c>
      <c r="AS209" s="436">
        <f ca="1">IF(Control!$B$18=2,(IF(OR($AH209=Control!$B$175,$AH209=Control!$B$176,$AH209=Control!$B$177,$AH209=Control!$B$178,$AH209=Control!$B$179,$AH209=Control!$B$180,$AH209=Control!$B$181,$AH209=Control!$B$182,$AH209=Control!$B$183,$AH209=Control!$B$184,$AH209=Control!$B$185),1,0)),0)</f>
        <v>0</v>
      </c>
      <c r="AT209" s="436">
        <f>IF(Control!$B$20=8,IF(AND($AH209&gt;=Control!$B$172,$AH209&lt;=Control!$B$173),1,0),0)</f>
        <v>0</v>
      </c>
      <c r="AU209" s="436">
        <f>IF(Control!$B$20=8,IF($AV208=1,1*$AT209,IF($AT209=1,$AU208+1,$AU208)),0)</f>
        <v>0</v>
      </c>
      <c r="AV209" s="436">
        <f>IF(Control!$B$20=8,IF($AU209&gt;=Control!$B$174,1,0),0)</f>
        <v>0</v>
      </c>
      <c r="AW209" s="436">
        <f ca="1">IF(AND(Control!$B$18=2,Control!$B$171=1), $AV209, $AS209)</f>
        <v>0</v>
      </c>
      <c r="AX209" s="436" t="e">
        <f ca="1">IF(AND(Control!$B$18=1,$EU209&gt;=Control!$B$19),-$AY209,IF(AND(Control!$B$18=2,$AW209=1,$EU209&gt;$DS209),-$AY209, IF(Control!$C$108=0,0, IF(Control!$C$108&lt;&gt;0,1))))</f>
        <v>#N/A</v>
      </c>
      <c r="AY209" s="436" t="e">
        <f t="shared" ca="1" si="826"/>
        <v>#N/A</v>
      </c>
      <c r="AZ209" s="436" t="e">
        <f ca="1">IF(AND(Control!$B$18=1,$EB209&gt;Control!$B$19),$AZ208+1, IF(AND(Control!$B$18=2, $AW209=1, $EB209&gt;$DS209), $AZ208+1,$AZ208))</f>
        <v>#N/A</v>
      </c>
      <c r="BA209" s="587">
        <f>IF(Control!$C$81=0,1,IF($AH209&gt;=Control!$C$82,1,0))</f>
        <v>1</v>
      </c>
      <c r="BB209" s="140" t="e">
        <f ca="1">IF($BA209&gt;$BA208,Control!$C$83,IF($AW209&gt;0,$AW209*Control!$C$84,IF(AND(Control!$B$18=1,EN208&lt;&gt;0),Control!$C$84,0)))</f>
        <v>#N/A</v>
      </c>
      <c r="BC209" s="140" t="e">
        <f t="shared" ca="1" si="827"/>
        <v>#N/A</v>
      </c>
      <c r="BD209" s="140" t="e">
        <f ca="1">BC209*IF(OR($G209&lt;Control!$C$92,$G209&gt;Control!$C$95),0,IF(AND($G209&gt;=Control!$C$92,$G209&lt;=Control!$C$93),$G209-Control!$C$92,IF(AND($G209&gt;Control!$C$93,$G209&lt;=Control!$C$94),Control!$C$93-Control!$C$92,IF(AND($G209&gt;Control!$C$94,$G209&lt;=Control!$C$95),(Control!$C$93-Control!$C$92)*(Control!$C$94-$G209)/(Control!$C$95-Control!$C$94)))))</f>
        <v>#N/A</v>
      </c>
      <c r="BE209" s="140" t="e">
        <f t="shared" ca="1" si="828"/>
        <v>#N/A</v>
      </c>
      <c r="BF209" s="140" t="e">
        <f ca="1">IF($BE209&lt;=Control!$C$86,$BE209,Control!$C$86-$BE209)</f>
        <v>#N/A</v>
      </c>
      <c r="BG209" s="140" t="e">
        <f ca="1">IF(AND($AW209=1,Control!$C$84&lt;9),1,IF($BE209&gt;=Control!$C$86,0,$BC209))</f>
        <v>#N/A</v>
      </c>
      <c r="BH209" s="404" t="e">
        <f ca="1">IF($BG209=0,0,IF($BE209&lt;=Control!$C$86,$BC209*9*($BF209/Control!$C$86),0))</f>
        <v>#N/A</v>
      </c>
      <c r="BI209" s="140" t="e">
        <f ca="1">IF($BG209=1,0,IF($BE209&gt;=Control!$C$86,1,IF(AND($BB209&lt;21,$BB209&gt;=9),1,$BM208)))</f>
        <v>#N/A</v>
      </c>
      <c r="BJ209" s="140" t="e">
        <f ca="1">IF($BF209&lt;0,-$BF209,$BI209*IF(OR($G209&lt;Control!$C$92,$G209&gt;Control!$C$95),0,IF(AND($G209&gt;=Control!$C$92,$G209&lt;=Control!$C$93),$G209-Control!$C$92,IF(AND($G209&gt;Control!$C$93,$G209&lt;=Control!$C$94),Control!$C$93-Control!$C$92,IF(AND($G209&gt;Control!$C$94,$G209&lt;=Control!$C$95),(Control!$C$93-Control!$C$92)*(Control!$C$94-$G209)/(Control!$C$95-Control!$C$94))))))</f>
        <v>#N/A</v>
      </c>
      <c r="BK209" s="140" t="e">
        <f t="shared" ca="1" si="829"/>
        <v>#N/A</v>
      </c>
      <c r="BL209" s="140" t="e">
        <f ca="1">IF($BK209&lt;=Control!$C$87,$BK209,Control!$C$87-$BK209)</f>
        <v>#N/A</v>
      </c>
      <c r="BM209" s="140" t="e">
        <f ca="1">IF(AND($BB209&gt;=9,$BB209&lt;21),1,IF($BK209&gt;=Control!$C$87,0,$BI209))</f>
        <v>#N/A</v>
      </c>
      <c r="BN209" s="404" t="e">
        <f ca="1">IF($BM209=0,0,IF($BK209&lt;=Control!$C$87,$BI209*(9+(21-9)*($BL209/Control!$C$87)),0))</f>
        <v>#N/A</v>
      </c>
      <c r="BO209" s="140" t="e">
        <f ca="1">IF($BM209=1,0,IF($BK209&gt;=Control!$C$87,1,IF(AND($BB209&lt;30,$BB209&gt;=21),1,$BS208)))</f>
        <v>#N/A</v>
      </c>
      <c r="BP209" s="140" t="e">
        <f ca="1">IF($BL209&lt;0,-$BL209,$BO209*IF(OR($G209&lt;Control!$C$92,$G209&gt;Control!$C$95),0,IF(AND($G209&gt;=Control!$C$92,$G209&lt;=Control!$C$93),$G209-Control!$C$92,IF(AND($G209&gt;Control!$C$93,$G209&lt;=Control!$C$94),Control!$C$93-Control!$C$92,IF(AND($G209&gt;Control!$C$94,$G209&lt;=Control!$C$95),(Control!$C$93-Control!$C$92)*(Control!$C$94-$G209)/(Control!$C$95-Control!$C$94))))))</f>
        <v>#N/A</v>
      </c>
      <c r="BQ209" s="140" t="e">
        <f t="shared" ca="1" si="713"/>
        <v>#N/A</v>
      </c>
      <c r="BR209" s="140" t="e">
        <f ca="1">IF($BQ209&lt;=Control!$C$88,$BQ209,Control!$C$88-$BQ209)</f>
        <v>#N/A</v>
      </c>
      <c r="BS209" s="140" t="e">
        <f ca="1">IF(AND($BB209&gt;=21,$BB209&lt;30),1,IF($BQ209&gt;=Control!$C$88,0,$BO209))</f>
        <v>#N/A</v>
      </c>
      <c r="BT209" s="404" t="e">
        <f ca="1">IF($BS209=0,0,IF($BQ209&lt;=Control!$C$88,$BO209*(21+(30-21)*(BR209/Control!$C$88)),0))</f>
        <v>#N/A</v>
      </c>
      <c r="BU209" s="140" t="e">
        <f ca="1">IF(BG209+BM209+BS209=1,0,IF(OR(AND($BB209&lt;60,$BB209&gt;=30),$BQ209&gt;=Control!$C$88),1*$BA209,$BY208))</f>
        <v>#N/A</v>
      </c>
      <c r="BV209" s="140" t="e">
        <f ca="1">IF($BR209&lt;0,-$BR209,$BU209*IF(OR($G209&lt;Control!$C$92,$G209&gt;Control!$C$95),0,IF(AND($G209&gt;=Control!$C$92,$G209&lt;=Control!$C$93),$G209-Control!$C$92,IF(AND($G209&gt;Control!$C$93,$G209&lt;=Control!$C$94),Control!$C$93-Control!$C$92,IF(AND($G209&gt;Control!$C$94,$G209&lt;=Control!$C$95),(Control!$C$93-Control!$C$92)*(Control!$C$94-$G209)/(Control!$C$95-Control!$C$94))))))</f>
        <v>#N/A</v>
      </c>
      <c r="BW209" s="140" t="e">
        <f t="shared" ca="1" si="714"/>
        <v>#N/A</v>
      </c>
      <c r="BX209" s="140" t="e">
        <f ca="1">IF($BW209&lt;=Control!$C$89,$BW209,Control!$C$89-$BW209)</f>
        <v>#N/A</v>
      </c>
      <c r="BY209" s="140" t="e">
        <f ca="1">IF(AND($AJ209&gt;=30,$AJ209&lt;60),1,IF($BW209&gt;=Control!$C$89,0,$BU209))</f>
        <v>#N/A</v>
      </c>
      <c r="BZ209" s="404" t="e">
        <f ca="1">IF($BY209=0,0,IF($BW209&lt;=Control!$C$89,$BU209*(30+(60-30)*(BX209/Control!$C$89)),0))</f>
        <v>#N/A</v>
      </c>
      <c r="CA209" s="140" t="e">
        <f ca="1">IF($BG209+$BM209+$BS209+$BY209=1,0,IF(OR(AND($BB209&lt;65,$BB209&gt;=60),$BW209&gt;=Control!$C$89),1*$BA209,$CE208))</f>
        <v>#N/A</v>
      </c>
      <c r="CB209" s="140" t="e">
        <f ca="1">IF($BX209&lt;0,-$BX209,$CA209*IF(OR($G209&lt;Control!$C$92,$G209&gt;Control!$C$95),0,IF(AND($G209&gt;=Control!$C$92,$G209&lt;=Control!$C$93),$G209-Control!$C$92,IF(AND($G209&gt;Control!$C$93,$G209&lt;=Control!$C$94),Control!$C$93-Control!$C$92,IF(AND($G209&gt;Control!$C$94,$G209&lt;=Control!$C$95),(Control!$C$93-Control!$C$92)*(Control!$C$94-$G209)/(Control!$C$95-Control!$C$94))))))</f>
        <v>#N/A</v>
      </c>
      <c r="CC209" s="140" t="e">
        <f t="shared" ca="1" si="830"/>
        <v>#N/A</v>
      </c>
      <c r="CD209" s="140" t="e">
        <f ca="1">IF($CC209&lt;=Control!$C$90,$CC209,Control!$C$90-$CC209)</f>
        <v>#N/A</v>
      </c>
      <c r="CE209" s="140" t="e">
        <f ca="1">IF(AND($BB209&gt;=60,$BB209&lt;65),1,IF($CC209&gt;=Control!$C$90,0,$CA209))</f>
        <v>#N/A</v>
      </c>
      <c r="CF209" s="404" t="e">
        <f ca="1">IF($CE209=0,0,IF($CC209&lt;=Control!$C$90,$CA209*(60+(65-60)*(CD209/Control!$C$90)),0))</f>
        <v>#N/A</v>
      </c>
      <c r="CG209" s="140" t="e">
        <f ca="1">IF($BG209+$BM209+$BS209+$BY209+$CE209=1,0,IF(OR(AND($BB209&lt;90,$BB209&gt;=65),$CC209&gt;=Control!$C$90),$BA209,$CK208))</f>
        <v>#N/A</v>
      </c>
      <c r="CH209" s="140" t="e">
        <f ca="1">IF($CD209&lt;0,-$CD209,$CG209*IF(OR($G209&lt;Control!$C$92,$G209&gt;Control!$C$95),0,IF(AND($G209&gt;=Control!$C$92,$G209&lt;=Control!$C$93),$G209-Control!$C$92,IF(AND($G209&gt;Control!$C$93,$G209&lt;=Control!$C$94),Control!$C$93-Control!$C$92,IF(AND($G209&gt;Control!$C$94,$G209&lt;=Control!$C$95),(Control!$C$93-Control!$C$92)*(Control!$C$94-$G209)/(Control!$C$95-Control!$C$94))))))</f>
        <v>#N/A</v>
      </c>
      <c r="CI209" s="140" t="e">
        <f t="shared" ca="1" si="831"/>
        <v>#N/A</v>
      </c>
      <c r="CJ209" s="140" t="e">
        <f ca="1">IF($CI209&lt;=Control!$C$91,$CI209,Control!$C$91-$CI209)</f>
        <v>#N/A</v>
      </c>
      <c r="CK209" s="140" t="e">
        <f ca="1">IF(AND($BB209&gt;=65,$BB209&lt;90),1,IF($CI209&gt;=Control!$C$91,0,$CG209))</f>
        <v>#N/A</v>
      </c>
      <c r="CL209" s="404" t="e">
        <f ca="1">IF($CK209=0,0,IF($CI209&lt;=Control!$C$91,$CG209*(65+(90-65)*($CJ209/Control!$C$91)),0))</f>
        <v>#N/A</v>
      </c>
      <c r="CM209" s="140" t="e">
        <f ca="1">IF($BG209+$BM209+$BS209+$BY209+$CE209+$CK209=1,0,IF(OR($BB209&gt;=90,$CI209&gt;=Control!$C$91),$BA209,$CM208))</f>
        <v>#N/A</v>
      </c>
      <c r="CN209" s="140" t="e">
        <f t="shared" ca="1" si="832"/>
        <v>#N/A</v>
      </c>
      <c r="CO209" s="140" t="e">
        <f t="shared" ca="1" si="833"/>
        <v>#N/A</v>
      </c>
      <c r="CP209" s="140" t="e">
        <f t="shared" ca="1" si="834"/>
        <v>#N/A</v>
      </c>
      <c r="CQ209" s="141" t="e">
        <f ca="1">VLOOKUP($CP209,Control!$B$86:$G$91,6)</f>
        <v>#N/A</v>
      </c>
      <c r="CR209" s="141" t="e">
        <f ca="1">(1-$CQ209)*VLOOKUP($CP209,Control!$B$86:$D$91,3)</f>
        <v>#N/A</v>
      </c>
      <c r="CS209" s="141" t="e">
        <f ca="1">(1-$CQ209)*VLOOKUP($CP209,Control!$B$86:$E$91,4)</f>
        <v>#N/A</v>
      </c>
      <c r="CT209" s="141" t="e">
        <f ca="1">(1-$CQ209)*VLOOKUP($CP209,Control!$B$86:$F$91,5)</f>
        <v>#N/A</v>
      </c>
      <c r="CU209" s="141">
        <f t="shared" ca="1" si="835"/>
        <v>0</v>
      </c>
      <c r="CV209" s="583">
        <f t="shared" ca="1" si="836"/>
        <v>0</v>
      </c>
      <c r="CW209" s="142">
        <f t="shared" ca="1" si="837"/>
        <v>205</v>
      </c>
      <c r="CX209" s="612" t="e">
        <f ca="1">IF(Control!$C$114=1,(MIN(Control!$C$120*(IF($NT209-0.01&lt;0,0,1)),Control!$C$119-$CY209)))</f>
        <v>#DIV/0!</v>
      </c>
      <c r="CY209" s="143" t="e">
        <f t="shared" ca="1" si="838"/>
        <v>#N/A</v>
      </c>
      <c r="CZ209" s="144">
        <f t="shared" ca="1" si="715"/>
        <v>0</v>
      </c>
      <c r="DA209" s="144">
        <f t="shared" ca="1" si="716"/>
        <v>0</v>
      </c>
      <c r="DB209" s="144" t="e">
        <f t="shared" ca="1" si="717"/>
        <v>#N/A</v>
      </c>
      <c r="DC209" s="144" t="e">
        <f t="shared" ca="1" si="718"/>
        <v>#N/A</v>
      </c>
      <c r="DD209" s="144" t="e">
        <f t="shared" ca="1" si="923"/>
        <v>#N/A</v>
      </c>
      <c r="DE209" s="143" t="e">
        <f t="shared" ca="1" si="839"/>
        <v>#N/A</v>
      </c>
      <c r="DF209" s="145" t="e">
        <f ca="1">$DR209*EXP(-Control!$C$158*(1-$KH209))</f>
        <v>#N/A</v>
      </c>
      <c r="DG209" s="146" t="e">
        <f ca="1">IF(Control!$C$114=1, $DF209*$EY209, 0)</f>
        <v>#N/A</v>
      </c>
      <c r="DH209" s="147" t="e">
        <f t="shared" ca="1" si="840"/>
        <v>#N/A</v>
      </c>
      <c r="DI209" s="144" t="e">
        <f t="shared" ca="1" si="901"/>
        <v>#N/A</v>
      </c>
      <c r="DJ209" s="147" t="e">
        <f ca="1">$EF209*Control!$C$109</f>
        <v>#N/A</v>
      </c>
      <c r="DK209" s="144" t="e">
        <f t="shared" ca="1" si="841"/>
        <v>#N/A</v>
      </c>
      <c r="DL209" s="144" t="e">
        <f t="shared" ca="1" si="719"/>
        <v>#N/A</v>
      </c>
      <c r="DM209" s="144" t="e">
        <f ca="1">IF(Control!$C$114=1, (1-EXP(-Control!$C$96*$DK209))*$AR209, 0)</f>
        <v>#N/A</v>
      </c>
      <c r="DN209" s="144">
        <f t="shared" ca="1" si="842"/>
        <v>0</v>
      </c>
      <c r="DO209" s="148">
        <f>Control!$C$97</f>
        <v>4</v>
      </c>
      <c r="DP209" s="145" t="e">
        <f t="shared" ca="1" si="843"/>
        <v>#N/A</v>
      </c>
      <c r="DQ209" s="145" t="e">
        <f ca="1">IF(AND($CP209&gt;=0,$CP209&lt;=90),Control!$C$111,Control!$C$111)</f>
        <v>#N/A</v>
      </c>
      <c r="DR209" s="145" t="e">
        <f t="shared" ca="1" si="720"/>
        <v>#N/A</v>
      </c>
      <c r="DS209" s="143" t="e">
        <f ca="1">Control!$B$22/$DR209</f>
        <v>#N/A</v>
      </c>
      <c r="DT209" s="149" t="e">
        <f ca="1">IF(AND(Control!$C$114=1,$KH209&lt;1),$IM209*$DF209, 0)</f>
        <v>#N/A</v>
      </c>
      <c r="DU209" s="144" t="e">
        <f t="shared" ca="1" si="844"/>
        <v>#N/A</v>
      </c>
      <c r="DV209" s="144">
        <f ca="1">IF($G209-Control!$C$107&lt;=0, 0, 0.83*LN(MAX($G209, 3))-0.8924)</f>
        <v>0</v>
      </c>
      <c r="DW209" s="144" t="e">
        <f t="shared" ca="1" si="721"/>
        <v>#N/A</v>
      </c>
      <c r="DX209" s="150" t="e">
        <f ca="1">MAX(0.01*(1+$CU209/Control!$C$102),0.05*($DK209-Control!$C$97)/Control!$C$97)</f>
        <v>#N/A</v>
      </c>
      <c r="DY209" s="151" t="e">
        <f ca="1">IF(Control!$C$114=1, $DI209*$FS209, 0)</f>
        <v>#N/A</v>
      </c>
      <c r="DZ209" s="196" t="e">
        <f t="shared" ca="1" si="845"/>
        <v>#N/A</v>
      </c>
      <c r="EA209" s="152">
        <f t="shared" ca="1" si="846"/>
        <v>205</v>
      </c>
      <c r="EB209" s="153" t="e">
        <f t="shared" ca="1" si="847"/>
        <v>#N/A</v>
      </c>
      <c r="EC209" s="153" t="e">
        <f t="shared" ca="1" si="848"/>
        <v>#N/A</v>
      </c>
      <c r="ED209" s="154" t="e">
        <f ca="1">IF(Control!$C$114=1, $HM209*$FY209-$FD209, 0)</f>
        <v>#DIV/0!</v>
      </c>
      <c r="EE209" s="155" t="e">
        <f ca="1">IF(Control!$C$114=1, $HM209*$FZ209-$FF209, 0)</f>
        <v>#DIV/0!</v>
      </c>
      <c r="EF209" s="153" t="e">
        <f t="shared" ca="1" si="902"/>
        <v>#N/A</v>
      </c>
      <c r="EG209" s="155" t="e">
        <f ca="1">IF(Control!$C$114=1, $GX209*$FW209-$FI209, 0)</f>
        <v>#DIV/0!</v>
      </c>
      <c r="EH209" s="153" t="e">
        <f t="shared" ca="1" si="849"/>
        <v>#N/A</v>
      </c>
      <c r="EI209" s="156" t="e">
        <f t="shared" ca="1" si="850"/>
        <v>#N/A</v>
      </c>
      <c r="EJ209" s="155" t="e">
        <f ca="1">IF(Control!$C$114=1, $HM209*$GB209, 0)</f>
        <v>#DIV/0!</v>
      </c>
      <c r="EK209" s="153" t="e">
        <f t="shared" ca="1" si="903"/>
        <v>#N/A</v>
      </c>
      <c r="EL209" s="153" t="e">
        <f t="shared" ca="1" si="722"/>
        <v>#N/A</v>
      </c>
      <c r="EM209" s="153" t="e">
        <f t="shared" ca="1" si="723"/>
        <v>#N/A</v>
      </c>
      <c r="EN209" s="153" t="e">
        <f ca="1">IF(Control!$C$108=1,IF(AND(Control!$B$18=1,$EB209&gt;=Control!$B$19),$EB209-$DS209,IF(AND(Control!$B$18=2,$AW209=1,$EB209&gt;$DS209),$EB209-$DS209,0)))</f>
        <v>#N/A</v>
      </c>
      <c r="EO209" s="153" t="e">
        <f ca="1">IF(Control!$C$108=1,IF(AND(Control!$B$18=1,$EB209&gt;=Control!$B$19),$EF209,IF(AND(Control!$B$18=2,$AW209=1),$EF209,0)))</f>
        <v>#N/A</v>
      </c>
      <c r="EP209" s="153" t="e">
        <f ca="1">IF(Control!$C$108=1,IF(AND(Control!$B$18=1,$EB209&gt;=Control!$B$19),$EK209,IF(AND(Control!$B$18=2,$AW209=1),$EK209,0)))</f>
        <v>#N/A</v>
      </c>
      <c r="EQ209" s="153" t="e">
        <f t="shared" ca="1" si="851"/>
        <v>#N/A</v>
      </c>
      <c r="ER209" s="153" t="e">
        <f t="shared" ca="1" si="852"/>
        <v>#N/A</v>
      </c>
      <c r="ES209" s="153" t="e">
        <f t="shared" ca="1" si="904"/>
        <v>#N/A</v>
      </c>
      <c r="ET209" s="153" t="e">
        <f t="shared" ca="1" si="905"/>
        <v>#N/A</v>
      </c>
      <c r="EU209" s="153" t="e">
        <f t="shared" ca="1" si="853"/>
        <v>#N/A</v>
      </c>
      <c r="EV209" s="153" t="e">
        <f t="shared" ca="1" si="724"/>
        <v>#N/A</v>
      </c>
      <c r="EW209" s="153" t="e">
        <f t="shared" ca="1" si="725"/>
        <v>#N/A</v>
      </c>
      <c r="EX209" s="153" t="e">
        <f t="shared" ca="1" si="726"/>
        <v>#N/A</v>
      </c>
      <c r="EY209" s="157" t="e">
        <f t="shared" ca="1" si="727"/>
        <v>#DIV/0!</v>
      </c>
      <c r="EZ209" s="154" t="e">
        <f t="shared" ca="1" si="728"/>
        <v>#DIV/0!</v>
      </c>
      <c r="FA209" s="153" t="e">
        <f t="shared" ca="1" si="854"/>
        <v>#N/A</v>
      </c>
      <c r="FB209" s="153" t="e">
        <f t="shared" ca="1" si="729"/>
        <v>#N/A</v>
      </c>
      <c r="FC209" s="193" t="e">
        <f t="shared" ca="1" si="730"/>
        <v>#N/A</v>
      </c>
      <c r="FD209" s="158" t="e">
        <f t="shared" ca="1" si="855"/>
        <v>#N/A</v>
      </c>
      <c r="FE209" s="158" t="e">
        <f t="shared" ca="1" si="856"/>
        <v>#N/A</v>
      </c>
      <c r="FF209" s="159" t="e">
        <f t="shared" ca="1" si="731"/>
        <v>#N/A</v>
      </c>
      <c r="FG209" s="160" t="e">
        <f t="shared" ca="1" si="857"/>
        <v>#N/A</v>
      </c>
      <c r="FH209" s="158" t="e">
        <f t="shared" ca="1" si="858"/>
        <v>#N/A</v>
      </c>
      <c r="FI209" s="159" t="e">
        <f t="shared" ca="1" si="732"/>
        <v>#N/A</v>
      </c>
      <c r="FJ209" s="160" t="e">
        <f t="shared" ca="1" si="859"/>
        <v>#N/A</v>
      </c>
      <c r="FK209" s="160" t="e">
        <f t="shared" ca="1" si="733"/>
        <v>#N/A</v>
      </c>
      <c r="FL209" s="160" t="e">
        <f t="shared" ca="1" si="906"/>
        <v>#N/A</v>
      </c>
      <c r="FM209" s="160" t="e">
        <f t="shared" ca="1" si="734"/>
        <v>#N/A</v>
      </c>
      <c r="FN209" s="158">
        <f t="shared" ca="1" si="860"/>
        <v>0.01</v>
      </c>
      <c r="FO209" s="160">
        <f>Control!$C$101</f>
        <v>50</v>
      </c>
      <c r="FP209" s="150" t="e">
        <f t="shared" ca="1" si="735"/>
        <v>#N/A</v>
      </c>
      <c r="FQ209" s="150" t="e">
        <f ca="1">MAX(0,(Control!$C$112*(($DK209-Control!$C$97)/Control!$C$97)))</f>
        <v>#N/A</v>
      </c>
      <c r="FR209" s="150" t="e">
        <f ca="1">(1-$NT209)*Control!$C$113</f>
        <v>#DIV/0!</v>
      </c>
      <c r="FS209" s="198" t="e">
        <f t="shared" ca="1" si="736"/>
        <v>#N/A</v>
      </c>
      <c r="FT209" s="161">
        <f t="shared" ca="1" si="861"/>
        <v>205</v>
      </c>
      <c r="FU209" s="162" t="e">
        <f ca="1">IF(Control!$B$34=1,VLOOKUP($CP209,Control!$B$86:$G$91,6),Control!$B$35)</f>
        <v>#N/A</v>
      </c>
      <c r="FV209" s="162" t="e">
        <f t="shared" ca="1" si="737"/>
        <v>#DIV/0!</v>
      </c>
      <c r="FW209" s="162" t="e">
        <f ca="1">IF(Control!$B$31=1,$FU209*$FV209,  $FU209)</f>
        <v>#N/A</v>
      </c>
      <c r="FX209" s="162" t="e">
        <f ca="1">IF(Control!$B$34=1,VLOOKUP($CP209,Control!$B$86:$G$91,3),Control!$B$36)</f>
        <v>#N/A</v>
      </c>
      <c r="FY209" s="162" t="e">
        <f t="shared" ca="1" si="738"/>
        <v>#N/A</v>
      </c>
      <c r="FZ209" s="162" t="e">
        <f ca="1">IF(Control!$B$34=1,VLOOKUP($CP209,Control!$B$86:$G$91,4),Control!$B$37)</f>
        <v>#N/A</v>
      </c>
      <c r="GA209" s="162" t="e">
        <f t="shared" ca="1" si="739"/>
        <v>#N/A</v>
      </c>
      <c r="GB209" s="162" t="e">
        <f ca="1">IF(Control!$B$34=1,VLOOKUP($CP209,Control!$B$86:$G$91,5),Control!$B$38)</f>
        <v>#N/A</v>
      </c>
      <c r="GC209" s="162" t="e">
        <f t="shared" ca="1" si="862"/>
        <v>#N/A</v>
      </c>
      <c r="GD209" s="162">
        <f t="shared" ca="1" si="740"/>
        <v>1</v>
      </c>
      <c r="GE209" s="162">
        <f t="shared" ca="1" si="741"/>
        <v>1</v>
      </c>
      <c r="GF209" s="162">
        <f ca="1">IF(AND(Control!$C$104=1, Control!$C$62="F"),$GE209,1)</f>
        <v>1</v>
      </c>
      <c r="GG209" s="162" t="e">
        <f ca="1">IF(Control!$B$16=40,0,IF(AND(Control!$B$16&gt;40,Control!$B$16&lt;=360),(Control!$B$16-40)*((1-0)/(360-40)),IF(AND(Control!$B$16&gt;360,Control!$B$16&lt;=720),(1+(Control!$B$16-360)*((1.25-1)/(720-360))),IF(AND(Control!$B$16&gt;720,Control!$B$16&lt;=1000),(1.25+(Control!$B$16-720)*((1.35-1.25)/(1000-720))),IF(AND(Control!$B$16&gt;1000,Control!$B$16&lt;=2000),(1.35+(Control!$B$16-1000)*0))))))</f>
        <v>#N/A</v>
      </c>
      <c r="GH209" s="162" t="e">
        <f t="shared" ca="1" si="742"/>
        <v>#N/A</v>
      </c>
      <c r="GI209" s="162">
        <f t="shared" ca="1" si="863"/>
        <v>0</v>
      </c>
      <c r="GJ209" s="162">
        <f t="shared" ca="1" si="743"/>
        <v>0</v>
      </c>
      <c r="GK209" s="162">
        <f t="shared" ca="1" si="864"/>
        <v>1</v>
      </c>
      <c r="GL209" s="162">
        <f t="shared" ca="1" si="744"/>
        <v>1</v>
      </c>
      <c r="GM209" s="162" t="e">
        <f ca="1">MAX(0,MIN(1,1-Control!$C$156*(1.0001-$KH209)^2))</f>
        <v>#N/A</v>
      </c>
      <c r="GN209" s="162" t="e">
        <f ca="1">IF(Control!$B$26=1,$KU209,$KX209)</f>
        <v>#N/A</v>
      </c>
      <c r="GO209" s="162" t="e">
        <f ca="1">IF($CP209&lt;=60,Control!$C$105,IF($CP209&gt;=90,Control!$C$106,Control!$C$105+($CP209-60)*((Control!$C$106-Control!$C$105)/(90-60))))</f>
        <v>#N/A</v>
      </c>
      <c r="GP209" s="162" t="e">
        <f t="shared" ca="1" si="745"/>
        <v>#N/A</v>
      </c>
      <c r="GQ209" s="162" t="e">
        <f t="shared" ca="1" si="865"/>
        <v>#N/A</v>
      </c>
      <c r="GR209" s="163" t="e">
        <f t="shared" ca="1" si="746"/>
        <v>#DIV/0!</v>
      </c>
      <c r="GS209" s="162" t="e">
        <f t="shared" ca="1" si="747"/>
        <v>#DIV/0!</v>
      </c>
      <c r="GT209" s="164" t="e">
        <f t="shared" ca="1" si="866"/>
        <v>#N/A</v>
      </c>
      <c r="GU209" s="162" t="e">
        <f t="shared" ca="1" si="867"/>
        <v>#N/A</v>
      </c>
      <c r="GV209" s="162" t="e">
        <f t="shared" ca="1" si="748"/>
        <v>#N/A</v>
      </c>
      <c r="GW209" s="162" t="e">
        <f t="shared" ca="1" si="749"/>
        <v>#DIV/0!</v>
      </c>
      <c r="GX209" s="162" t="e">
        <f t="shared" ca="1" si="868"/>
        <v>#DIV/0!</v>
      </c>
      <c r="GY209" s="162" t="e">
        <f t="shared" ca="1" si="869"/>
        <v>#DIV/0!</v>
      </c>
      <c r="GZ209" s="165" t="e">
        <f t="shared" ca="1" si="750"/>
        <v>#N/A</v>
      </c>
      <c r="HA209" s="162" t="e">
        <f ca="1">IF(Control!$C$114=1, $DI209*$FS209, 0)</f>
        <v>#N/A</v>
      </c>
      <c r="HB209" s="162" t="e">
        <f ca="1">$FA209/Control!$C$64</f>
        <v>#N/A</v>
      </c>
      <c r="HC209" s="162" t="e">
        <f t="shared" ca="1" si="751"/>
        <v>#DIV/0!</v>
      </c>
      <c r="HD209" s="162">
        <f ca="1">-ASIN(SIN(23.45*Control!$C$139)*COS(2*Control!$C$138*($AH209+10)/365))</f>
        <v>0.34402255516079228</v>
      </c>
      <c r="HE209" s="165">
        <f t="shared" ca="1" si="870"/>
        <v>0</v>
      </c>
      <c r="HF209" s="166">
        <f ca="1">IF(AND(Control!$C$61="T",$HE209&gt;=Control!$C$103,Control!$C$114=0),$AH209,Control!$C$59)</f>
        <v>1</v>
      </c>
      <c r="HG209" s="166">
        <f ca="1">IF(AND(Control!$C$61="T",$HE209&gt;=Control!$C$103,Control!$C$114=0),$HF209,Control!$C$59)</f>
        <v>1</v>
      </c>
      <c r="HH209" s="165">
        <f ca="1">IF(AND(OR(Control!$C$60&lt;=0, $AH209= Control!$C$59, Control!$C$60 &gt;0, $AH209 = Control!$C$60)), Control!$C$59, IF(Control!$C$60&gt;0, 0))</f>
        <v>1</v>
      </c>
      <c r="HI209" s="165">
        <f ca="1">IF(AND(OR(Control!$C$60&lt;=0, $AH209= Control!$C$59, Control!$C$60 &gt;0, $AH209 = Control!$C$60)), Control!$C$60, IF(Control!$C$60&lt;=0, 0))</f>
        <v>0</v>
      </c>
      <c r="HJ209" s="166">
        <f ca="1">IF(AND(Control!$C$62="F",$CV209&gt;=Control!$C$102),$AH209,0)</f>
        <v>0</v>
      </c>
      <c r="HK209" s="165" t="e">
        <f t="shared" ca="1" si="907"/>
        <v>#N/A</v>
      </c>
      <c r="HL209" s="166">
        <f ca="1">IF(AND(Control!$C$61="T",$HE209&gt;=Control!$C$103,Control!$C$114=0),$HF209,0)</f>
        <v>0</v>
      </c>
      <c r="HM209" s="201" t="e">
        <f t="shared" ca="1" si="752"/>
        <v>#DIV/0!</v>
      </c>
      <c r="HN209" s="215">
        <f t="shared" ca="1" si="871"/>
        <v>205</v>
      </c>
      <c r="HO209" s="216" t="e">
        <f ca="1">IF(AND($CP209&gt;=0, $CP209&lt;=90), Control!$C$152, Control!$C$152)</f>
        <v>#N/A</v>
      </c>
      <c r="HP209" s="216" t="e">
        <f t="shared" ca="1" si="753"/>
        <v>#N/A</v>
      </c>
      <c r="HQ209" s="217" t="e">
        <f ca="1">IF(OR(Control!$B$26=1,Control!$B$26=2),$KV209,$KS209)</f>
        <v>#DIV/0!</v>
      </c>
      <c r="HR209" s="218" t="e">
        <f t="shared" ca="1" si="908"/>
        <v>#DIV/0!</v>
      </c>
      <c r="HS209" s="216" t="e">
        <f ca="1">Control!$C$154*$HP209</f>
        <v>#N/A</v>
      </c>
      <c r="HT209" s="216" t="e">
        <f ca="1">Control!$C$155*$HP209</f>
        <v>#N/A</v>
      </c>
      <c r="HU209" s="217" t="e">
        <f ca="1">Control!$C$161*$FI209</f>
        <v>#N/A</v>
      </c>
      <c r="HV209" s="218" t="e">
        <f t="shared" ca="1" si="872"/>
        <v>#N/A</v>
      </c>
      <c r="HW209" s="218" t="e">
        <f ca="1">Control!$C$160*$FF209+$IP209*$EO209</f>
        <v>#N/A</v>
      </c>
      <c r="HX209" s="218" t="e">
        <f t="shared" ca="1" si="909"/>
        <v>#N/A</v>
      </c>
      <c r="HY209" s="219" t="e">
        <f ca="1">IF(Control!$C$114=1, $EB209*$FS209, 0)</f>
        <v>#N/A</v>
      </c>
      <c r="HZ209" s="91" t="e">
        <f t="shared" ca="1" si="754"/>
        <v>#N/A</v>
      </c>
      <c r="IA209" s="220" t="e">
        <f ca="1">Control!$C$153*$HO209</f>
        <v>#N/A</v>
      </c>
      <c r="IB209" s="218" t="e">
        <f t="shared" ca="1" si="755"/>
        <v>#N/A</v>
      </c>
      <c r="IC209" s="220" t="e">
        <f ca="1">Control!$C$153*$HT209</f>
        <v>#N/A</v>
      </c>
      <c r="ID209" s="218" t="e">
        <f t="shared" ca="1" si="756"/>
        <v>#N/A</v>
      </c>
      <c r="IE209" s="221" t="e">
        <f ca="1">($EB209*Control!$C$159+$EF209*Control!$C$160)/(IF($GZ209&lt;&gt;0,$GZ209,1))</f>
        <v>#N/A</v>
      </c>
      <c r="IF209" s="216" t="e">
        <f t="shared" ca="1" si="757"/>
        <v>#N/A</v>
      </c>
      <c r="IG209" s="91">
        <f ca="1">IF(OR(Control!$B$198=$AH209,Control!$B$199=$AH209, Control!$B$200=$AH209, Control!$B$201=$AH209, Control!$B$202=$AH209, Control!$B$203=$AH209, Control!$B$204=$AH209, Control!$B$205=$AH209, Control!$B$206=$AH209, Control!$B$207=$AH209), 1, 0)</f>
        <v>0</v>
      </c>
      <c r="IH209" s="91">
        <f ca="1">IF($IG209=0,0, VLOOKUP($AH209,Control!$B$198:$C$207,2))</f>
        <v>0</v>
      </c>
      <c r="II209" s="222">
        <f t="shared" ca="1" si="873"/>
        <v>0</v>
      </c>
      <c r="IJ209" s="91">
        <f>Control!$C$121</f>
        <v>0.7</v>
      </c>
      <c r="IK209" s="218">
        <f t="shared" ca="1" si="758"/>
        <v>0</v>
      </c>
      <c r="IL209" s="217" t="e">
        <f t="shared" ca="1" si="910"/>
        <v>#N/A</v>
      </c>
      <c r="IM209" s="223" t="e">
        <f ca="1">IF(AND(Control!$C$114=1,$KH209&lt;1),$EB209*Control!$C$148*(1-$KH209), 0)</f>
        <v>#N/A</v>
      </c>
      <c r="IN209" s="217" t="e">
        <f t="shared" ca="1" si="759"/>
        <v>#DIV/0!</v>
      </c>
      <c r="IO209" s="91" t="e">
        <f ca="1">MAX(0,$IL209-$EF209*Control!$C$160)</f>
        <v>#N/A</v>
      </c>
      <c r="IP209" s="220" t="e">
        <f t="shared" ca="1" si="760"/>
        <v>#N/A</v>
      </c>
      <c r="IQ209" s="217" t="e">
        <f t="shared" ca="1" si="874"/>
        <v>#N/A</v>
      </c>
      <c r="IR209" s="218" t="e">
        <f t="shared" ca="1" si="761"/>
        <v>#N/A</v>
      </c>
      <c r="IS209" s="217" t="e">
        <f ca="1">Control!$C$159*MAX(0,$FD209-$EN209)</f>
        <v>#N/A</v>
      </c>
      <c r="IT209" s="217" t="e">
        <f t="shared" ca="1" si="911"/>
        <v>#N/A</v>
      </c>
      <c r="IU209" s="217" t="e">
        <f t="shared" ca="1" si="875"/>
        <v>#N/A</v>
      </c>
      <c r="IV209" s="217" t="e">
        <f t="shared" ca="1" si="912"/>
        <v>#N/A</v>
      </c>
      <c r="IW209" s="217" t="e">
        <f ca="1">IF(OR($AW209=1,AND($AW209=0, Control!$B$18=1,$EN209&lt;&gt;0)), $IQ209-$IU209, $IQ209)</f>
        <v>#N/A</v>
      </c>
      <c r="IX209" s="218" t="e">
        <f t="shared" ca="1" si="762"/>
        <v>#N/A</v>
      </c>
      <c r="IY209" s="218" t="e">
        <f ca="1">MAX(0,$IQ209-$EB209*Control!$C$159)</f>
        <v>#N/A</v>
      </c>
      <c r="IZ209" s="218" t="e">
        <f t="shared" ca="1" si="763"/>
        <v>#N/A</v>
      </c>
      <c r="JA209" s="216" t="e">
        <f t="shared" ca="1" si="764"/>
        <v>#N/A</v>
      </c>
      <c r="JB209" s="217" t="e">
        <f t="shared" ca="1" si="765"/>
        <v>#N/A</v>
      </c>
      <c r="JC209" s="222" t="e">
        <f ca="1">MAX(Control!$C$157*$EK209-$JT209, 0)/Control!$C$162</f>
        <v>#N/A</v>
      </c>
      <c r="JD209" s="218" t="e">
        <f t="shared" ca="1" si="766"/>
        <v>#N/A</v>
      </c>
      <c r="JE209" s="218" t="e">
        <f t="shared" ca="1" si="767"/>
        <v>#N/A</v>
      </c>
      <c r="JF209" s="218" t="e">
        <f t="shared" ca="1" si="876"/>
        <v>#N/A</v>
      </c>
      <c r="JG209" s="218" t="e">
        <f t="shared" ca="1" si="768"/>
        <v>#N/A</v>
      </c>
      <c r="JH209" s="217" t="e">
        <f t="shared" ca="1" si="877"/>
        <v>#N/A</v>
      </c>
      <c r="JI209" s="217" t="e">
        <f t="shared" ca="1" si="878"/>
        <v>#N/A</v>
      </c>
      <c r="JJ209" s="217" t="e">
        <f t="shared" ca="1" si="913"/>
        <v>#N/A</v>
      </c>
      <c r="JK209" s="217" t="e">
        <f ca="1">IF(Control!$C$114=1,IF(Control!$B$24=0,MAX(0,$JI209)*$GN209/Control!$C$64,(MAX(0,MIN($JI209,$JJ209*$GN209/Control!$C$64),0))))</f>
        <v>#N/A</v>
      </c>
      <c r="JL209" s="217" t="e">
        <f ca="1">$IK209/Control!$C$64-$JK209+$HQ209</f>
        <v>#N/A</v>
      </c>
      <c r="JM209" s="217" t="e">
        <f ca="1">IF(Control!$C$114=1,($JB209/(IF($JI209&lt;&gt;0,$JI209,1)))*$JK209,0)</f>
        <v>#N/A</v>
      </c>
      <c r="JN209" s="217" t="e">
        <f ca="1">IF(Control!$C$114=1,($JG209/(IF($JI209&lt;&gt;0,$JI209,1)))*$JK209, 0)</f>
        <v>#N/A</v>
      </c>
      <c r="JO209" s="218" t="e">
        <f t="shared" ca="1" si="769"/>
        <v>#N/A</v>
      </c>
      <c r="JP209" s="218" t="e">
        <f ca="1">MIN(($IY209+$IO209)*Control!$C$151, $JF209-$EH209*Control!$C$161)</f>
        <v>#N/A</v>
      </c>
      <c r="JQ209" s="218" t="e">
        <f t="shared" ca="1" si="770"/>
        <v>#N/A</v>
      </c>
      <c r="JR209" s="217" t="e">
        <f ca="1">IF($CP209-Control!$C$150&lt;0, 0, $JQ209/Control!$C$162)</f>
        <v>#N/A</v>
      </c>
      <c r="JS209" s="218" t="e">
        <f t="shared" ca="1" si="771"/>
        <v>#N/A</v>
      </c>
      <c r="JT209" s="218" t="e">
        <f t="shared" ca="1" si="879"/>
        <v>#N/A</v>
      </c>
      <c r="JU209" s="218" t="e">
        <f t="shared" ca="1" si="772"/>
        <v>#N/A</v>
      </c>
      <c r="JV209" s="218" t="e">
        <f t="shared" ca="1" si="773"/>
        <v>#N/A</v>
      </c>
      <c r="JW209" s="216" t="e">
        <f t="shared" ca="1" si="774"/>
        <v>#N/A</v>
      </c>
      <c r="JX209" s="91" t="e">
        <f t="shared" ca="1" si="775"/>
        <v>#N/A</v>
      </c>
      <c r="JY209" s="218" t="e">
        <f t="shared" ca="1" si="776"/>
        <v>#N/A</v>
      </c>
      <c r="JZ209" s="217" t="e">
        <f ca="1">IF(Control!$C$114=1,($IZ209/(IF($JI209&lt;&gt;0,$JI209,1)))*$JK209, 0)</f>
        <v>#N/A</v>
      </c>
      <c r="KA209" s="218" t="e">
        <f t="shared" ca="1" si="914"/>
        <v>#N/A</v>
      </c>
      <c r="KB209" s="218" t="e">
        <f t="shared" ca="1" si="880"/>
        <v>#N/A</v>
      </c>
      <c r="KC209" s="218" t="e">
        <f t="shared" ca="1" si="777"/>
        <v>#N/A</v>
      </c>
      <c r="KD209" s="218" t="e">
        <f t="shared" ca="1" si="778"/>
        <v>#N/A</v>
      </c>
      <c r="KE209" s="218" t="e">
        <f t="shared" ca="1" si="779"/>
        <v>#N/A</v>
      </c>
      <c r="KF209" s="218" t="e">
        <f t="shared" ca="1" si="780"/>
        <v>#N/A</v>
      </c>
      <c r="KG209" s="216" t="e">
        <f t="shared" ca="1" si="781"/>
        <v>#N/A</v>
      </c>
      <c r="KH209" s="221" t="e">
        <f ca="1">IF(Control!$B$24=0,1,MAX(0.001,MIN(1,IF(($IF209-$IE209)&lt;&gt;0,($KG209-$IE209)/($IF209-$IE209),1))))</f>
        <v>#N/A</v>
      </c>
      <c r="KI209" s="222" t="e">
        <f ca="1">IF(Control!$C$114=1, $KI208+ $KH208, 0)</f>
        <v>#N/A</v>
      </c>
      <c r="KJ209" s="217" t="e">
        <f t="shared" ca="1" si="782"/>
        <v>#N/A</v>
      </c>
      <c r="KK209" s="218" t="e">
        <f t="shared" ca="1" si="783"/>
        <v>#N/A</v>
      </c>
      <c r="KL209" s="274" t="e">
        <f ca="1">IF(Control!$B$26=3,4000000000*EXP(-8400/($G209+273)),IF(Control!$B$26=4,4000000000*EXP(-8400/($G209+273))*($KT209),0))</f>
        <v>#DIV/0!</v>
      </c>
      <c r="KM209" s="274" t="e">
        <f ca="1">IF(Control!$B$26=3,5600000000000*EXP(-9800/($G209+273)),IF(Control!$B$26=4,5600000000000*EXP(-9800/($G209+273))*$KT209,0))</f>
        <v>#DIV/0!</v>
      </c>
      <c r="KN209" s="454" t="e">
        <f t="shared" ca="1" si="881"/>
        <v>#DIV/0!</v>
      </c>
      <c r="KO209" s="274" t="e">
        <f t="shared" ca="1" si="882"/>
        <v>#DIV/0!</v>
      </c>
      <c r="KP209" s="454" t="e">
        <f t="shared" ca="1" si="784"/>
        <v>#DIV/0!</v>
      </c>
      <c r="KQ209" s="454" t="e">
        <f t="shared" ca="1" si="785"/>
        <v>#DIV/0!</v>
      </c>
      <c r="KR209" s="454" t="e">
        <f t="shared" ca="1" si="786"/>
        <v>#DIV/0!</v>
      </c>
      <c r="KS209" s="454" t="e">
        <f t="shared" ca="1" si="787"/>
        <v>#DIV/0!</v>
      </c>
      <c r="KT209" s="455" t="e">
        <f t="shared" ca="1" si="788"/>
        <v>#DIV/0!</v>
      </c>
      <c r="KU209" s="456" t="e">
        <f ca="1">IF($CP209-Control!$C$149&lt;0, IF($NT209-0.01&lt;0,0,1),0)</f>
        <v>#N/A</v>
      </c>
      <c r="KV209" s="456" t="e">
        <f ca="1">IF(Control!$C$114=1,MAX(0,MIN(Control!$C$125*$KW209*$GN209,$KW209)))</f>
        <v>#DIV/0!</v>
      </c>
      <c r="KW209" s="456" t="e">
        <f t="shared" ca="1" si="915"/>
        <v>#DIV/0!</v>
      </c>
      <c r="KX209" s="457" t="e">
        <f ca="1">IF($CP209-Control!$C$149&lt;0, IF($MR209-$OM209&lt;0,0,1),0)</f>
        <v>#N/A</v>
      </c>
      <c r="KY209" s="167">
        <f t="shared" ca="1" si="883"/>
        <v>205</v>
      </c>
      <c r="KZ209" s="168">
        <f ca="1">1370*(1+0.033*COS(2*Control!$C$138*$AH209/365))</f>
        <v>1328.1390817393592</v>
      </c>
      <c r="LA209" s="169">
        <f t="shared" ca="1" si="884"/>
        <v>0.96944448235260294</v>
      </c>
      <c r="LB209" s="169">
        <f t="shared" ca="1" si="885"/>
        <v>0.34475271102095079</v>
      </c>
      <c r="LC209" s="169">
        <f ca="1">ACOS(-TAN((2*Control!$B$8/360))*TAN(Calculations!$LB209))</f>
        <v>1.6777236335561978</v>
      </c>
      <c r="LD209" s="169">
        <f ca="1">((24*60)/PI())*0.082*$LA209*(($LC209*SIN(Control!$B$8*2*PI()/360))*SIN($LB209)+COS(Control!$B$8*2*PI()/360)*COS($LB209)*SIN($LC209))</f>
        <v>37.273307054668003</v>
      </c>
      <c r="LE209" s="170">
        <f t="shared" ca="1" si="789"/>
        <v>38.529931295454702</v>
      </c>
      <c r="LF209" s="170">
        <f ca="1">SIN(Control!$C$139*Control!$B$8)*SIN($HD209)</f>
        <v>0.26577808082804394</v>
      </c>
      <c r="LG209" s="170">
        <f ca="1">COS(Control!$C$139*Control!$B$8)*COS($HD209)</f>
        <v>0.57958556869015521</v>
      </c>
      <c r="LH209" s="170">
        <f ca="1">12*(1+2*ASIN(MAX(-1,MIN(1,$LF209/$LG209))/Control!$C$138))</f>
        <v>15.515736521432846</v>
      </c>
      <c r="LI209" s="170">
        <f ca="1">12*(1+2*ASIN(MAX(-1,MIN(1,(-SIN(-4*Control!$C$139)+$LF209)/$LG209))/Control!$C$138))</f>
        <v>16.448047147673769</v>
      </c>
      <c r="LJ209" s="168">
        <f ca="1">3600*($LH209*$LF209+24*$LG209*SQRT(1-$LK209*$LK209)/Control!$C$138)</f>
        <v>29010.464209060912</v>
      </c>
      <c r="LK209" s="170">
        <f t="shared" ca="1" si="790"/>
        <v>0.4585657324572347</v>
      </c>
      <c r="LL209" s="170">
        <f t="shared" ca="1" si="791"/>
        <v>0</v>
      </c>
      <c r="LM209" s="171">
        <f ca="1">Control!$C$145*$AB209</f>
        <v>6.6660906138995932E-2</v>
      </c>
      <c r="LN209" s="170">
        <f t="shared" ca="1" si="886"/>
        <v>0.54</v>
      </c>
      <c r="LO209" s="170">
        <f t="shared" ca="1" si="792"/>
        <v>0</v>
      </c>
      <c r="LP209" s="170">
        <f ca="1">Control!$C$140*((($D209+273.16)^4+($E209+273.16)^4)/2)*(0.34-0.14*SQRT($Y209))*(1.35*$AQ209/(0.75*$LD209)-0.35)</f>
        <v>-3.2464704755046001</v>
      </c>
      <c r="LQ209" s="170">
        <f ca="1">Control!$C$140*($G209+273)^4*(0.56-0.079*SQRT($Y209*10))*(0.1+0.9*$LO209)</f>
        <v>1.5241745131704001</v>
      </c>
      <c r="LR209" s="170">
        <f ca="1">$AQ209*(1-Control!$C$142)-$LQ209</f>
        <v>-1.5241745131704001</v>
      </c>
      <c r="LS209" s="170">
        <f ca="1">$AQ209*(1-Control!$C$143)-$LQ209</f>
        <v>-1.5241745131704001</v>
      </c>
      <c r="LT209" s="170">
        <f ca="1">$AQ209*(1-Control!$C$144)-$LQ209</f>
        <v>-1.5241745131704001</v>
      </c>
      <c r="LU209" s="169">
        <f ca="1">(1-Control!$C$144)*AQ209-LP209</f>
        <v>3.2464704755046001</v>
      </c>
      <c r="LV209" s="172">
        <f t="shared" ca="1" si="793"/>
        <v>0.79430000000000012</v>
      </c>
      <c r="LW209" s="170">
        <f t="shared" ca="1" si="794"/>
        <v>1.5886000000000002</v>
      </c>
      <c r="LX209" s="170">
        <f ca="1">($AC209*($LR209/Control!$C$141)+$LM209*$LV209)/($AC209+$LM209)</f>
        <v>0.23530094218323697</v>
      </c>
      <c r="LY209" s="170">
        <f ca="1">($AC209*($LS209/Control!$C$141)+$LM209*$LV209)/($AC209+$LM209)</f>
        <v>0.23530094218323697</v>
      </c>
      <c r="LZ209" s="170">
        <f t="shared" ca="1" si="795"/>
        <v>0.23530094218323697</v>
      </c>
      <c r="MA209" s="170">
        <f t="shared" ca="1" si="796"/>
        <v>0.23530094218323697</v>
      </c>
      <c r="MB209" s="170" t="e">
        <f t="shared" ca="1" si="797"/>
        <v>#N/A</v>
      </c>
      <c r="MC209" s="170">
        <f t="shared" ca="1" si="887"/>
        <v>0.6018</v>
      </c>
      <c r="MD209" s="170">
        <f t="shared" ca="1" si="798"/>
        <v>0.52989392535414004</v>
      </c>
      <c r="ME209" s="170">
        <f ca="1">($AC209*($LT209/Control!$C$141)+$LM209*$LW209)/($AC209+$LM209)</f>
        <v>0.71612369323045078</v>
      </c>
      <c r="MF209" s="170" t="e">
        <f ca="1">IF(Control!$B$16&gt;=1000,0.92,IF(AND(720&lt;=Control!$B$16,1000&gt;Control!$B$16),(0.95+(Control!$B$16-720)*((0.92-0.95)/(1000-720))),IF(AND(360&lt;=Control!$B$16,720&gt;Control!$B$16),(1+(Control!$B$16-360)*((0.95-1)/(720-360))),IF(AND(40&lt;=Control!$B$16,360&gt;Control!$B$16),(1.05+(Control!$B$16-40)*((1.05-1)/(360-40)))))))</f>
        <v>#N/A</v>
      </c>
      <c r="MG209" s="170">
        <f t="shared" ca="1" si="799"/>
        <v>0.71612369323045078</v>
      </c>
      <c r="MH209" s="170" t="e">
        <f t="shared" ca="1" si="924"/>
        <v>#N/A</v>
      </c>
      <c r="MI209" s="170" t="e">
        <f t="shared" ca="1" si="924"/>
        <v>#N/A</v>
      </c>
      <c r="MJ209" s="170" t="e">
        <f ca="1">MAX(0.0001, Control!$C$132*$MI209*$DL209)</f>
        <v>#N/A</v>
      </c>
      <c r="MK209" s="170">
        <f ca="1">1/(0.76+1.5*($MG209/10))-(5-Control!$C$110)*0.1</f>
        <v>1.002845988140797</v>
      </c>
      <c r="ML209" s="173">
        <f ca="1">IF(Control!$C$110&lt;3,$MK209+($MG209-0.6)/(Control!$C$110*(Control!$C$110+3)), MAX(0.1, MIN(0.95,$MK209)))</f>
        <v>0.95</v>
      </c>
      <c r="MM209" s="173">
        <f ca="1">IF(Control!$C$110&lt;3,$MK209+(($MI209/10)-0.6)/(Control!$C$110*(Control!$C$110+3)), MAX(0.1, MIN(0.95,$MK209)))</f>
        <v>0.95</v>
      </c>
      <c r="MN209" s="173">
        <f ca="1">(1-$MM209)*(Control!$C$128-Control!$C$127)+Control!$C$127</f>
        <v>0.16</v>
      </c>
      <c r="MO209" s="170" t="e">
        <f ca="1">MAX(0,MIN(1,($MS209-Control!$C$127)/($MN209-Control!$C$127)))</f>
        <v>#DIV/0!</v>
      </c>
      <c r="MP209" s="173" t="e">
        <f ca="1">1/(0.76+1.5*$MI209)-(5-Control!$C$110)*0.1</f>
        <v>#N/A</v>
      </c>
      <c r="MQ209" s="172" t="e">
        <f t="shared" ca="1" si="916"/>
        <v>#DIV/0!</v>
      </c>
      <c r="MR209" s="168" t="e">
        <f t="shared" ca="1" si="888"/>
        <v>#DIV/0!</v>
      </c>
      <c r="MS209" s="173" t="e">
        <f ca="1">MAX(Control!$C$127, MIN(Control!$C$135, $MR209/MAX(0.0001,$CY209)))</f>
        <v>#DIV/0!</v>
      </c>
      <c r="MT209" s="168" t="e">
        <f ca="1">(Control!$C$128-$MS209)*Control!$C$74</f>
        <v>#DIV/0!</v>
      </c>
      <c r="MU209" s="168" t="e">
        <f ca="1">(Control!$C$135-$MS209)*Control!$C$74</f>
        <v>#DIV/0!</v>
      </c>
      <c r="MV209" s="168" t="e">
        <f t="shared" ca="1" si="889"/>
        <v>#DIV/0!</v>
      </c>
      <c r="MW209" s="168" t="e">
        <f t="shared" ca="1" si="890"/>
        <v>#DIV/0!</v>
      </c>
      <c r="MX209" s="171" t="e">
        <f ca="1">MAX(Control!$C$127, MIN(Control!$C$135, $MW209/MAX(0.0001,Control!$C$119-$CY209)))</f>
        <v>#DIV/0!</v>
      </c>
      <c r="MY209" s="54" t="e">
        <f ca="1">IF(Control!$C$114=1, $CX209*$MX209, 0)</f>
        <v>#DIV/0!</v>
      </c>
      <c r="MZ209" s="54" t="e">
        <f t="shared" ca="1" si="891"/>
        <v>#N/A</v>
      </c>
      <c r="NA209" s="168" t="e">
        <f ca="1">(Control!$C$128-$MX209)*(Control!$C$119-Control!$C$74)</f>
        <v>#DIV/0!</v>
      </c>
      <c r="NB209" s="168" t="e">
        <f ca="1">(Control!$C$135-$MX209)*(Control!$C$119-Control!$C$74)</f>
        <v>#DIV/0!</v>
      </c>
      <c r="NC209" s="174" t="e">
        <f t="shared" ca="1" si="892"/>
        <v>#DIV/0!</v>
      </c>
      <c r="ND209" s="54">
        <f ca="1">IF(Control!$C$58=2, IF(OR(Control!$B$218=$AH209,Control!$B$219=$AH209, Control!$B$220=$AH209, Control!$B$221=$AH209, Control!$B$222=$AH209, Control!$B$223=$AH209, Control!$B$224=$AH209, Control!$B$225=$AH209, Control!$B$226=$AH209, Control!$B$227=$AH209, Control!$B$228=$AH209), 1, 0), 0)</f>
        <v>0</v>
      </c>
      <c r="NE209" s="54">
        <f ca="1">IF($ND209=0,0, VLOOKUP($AH209,Control!$B$218:$C$228,2))</f>
        <v>0</v>
      </c>
      <c r="NF209" s="168" t="e">
        <f ca="1">$CY209*(Control!$C$128-Control!$C$127)</f>
        <v>#N/A</v>
      </c>
      <c r="NG209" s="54" t="e">
        <f ca="1">IF(Control!$C$58=2, $NI208-$NJ208, 0)</f>
        <v>#DIV/0!</v>
      </c>
      <c r="NH209" s="54" t="e">
        <f ca="1">IF(AND(Control!$C$58=1, $MS208&lt;= ($MN208+0.02), $I208&lt;10), 0, IF(Control!$C$58=2, $NG208, 0))</f>
        <v>#DIV/0!</v>
      </c>
      <c r="NI209" s="54" t="e">
        <f ca="1">IF(Control!$C$58=2, $NE209+$NH209,0)</f>
        <v>#DIV/0!</v>
      </c>
      <c r="NJ209" s="54" t="e">
        <f ca="1">IF(AND(Control!$C$58=1, $MS209&lt;= ($MN209+0.02), $I209&lt;10), MAX(0, MIN(10, 0.7*($NF209-$MV209))), IF(Control!$C$58=2, MIN(10,$NI209),0))</f>
        <v>#DIV/0!</v>
      </c>
      <c r="NK209" s="54" t="e">
        <f t="shared" ca="1" si="800"/>
        <v>#DIV/0!</v>
      </c>
      <c r="NL209" s="173" t="e">
        <f ca="1">(1-Control!$C$73)*$I209+$NJ209</f>
        <v>#DIV/0!</v>
      </c>
      <c r="NM209" s="172" t="e">
        <f ca="1">IF($NL209&lt;0.5, $MB209* MAX(0, MIN(1, (SQRT($NC209)-SQRT($NC209-1))*Control!$C$71)),0)</f>
        <v>#DIV/0!</v>
      </c>
      <c r="NN209" s="170" t="e">
        <f ca="1">IF($NL209&gt;=5, $MB209, MAX(0,MIN($MB209, $NM209+$NL209,($MS209-Control!$C$129))))</f>
        <v>#DIV/0!</v>
      </c>
      <c r="NO209" s="54">
        <f>IF(Control!$C$133&lt;&gt;1, Control!$C$135-Control!$C$131, 0)</f>
        <v>0.38</v>
      </c>
      <c r="NP209" s="54" t="e">
        <f t="shared" ca="1" si="801"/>
        <v>#DIV/0!</v>
      </c>
      <c r="NQ209" s="173" t="e">
        <f ca="1">MAX(0,MIN(1,(Control!$C$135-$MS209)/(Control!$C$135-$NO209)))</f>
        <v>#DIV/0!</v>
      </c>
      <c r="NR209" s="170" t="e">
        <f ca="1">IF(Control!$C$133&lt;&gt;1, $NQ209+((1-$NP209/4)*(1-$NQ209)),1)</f>
        <v>#DIV/0!</v>
      </c>
      <c r="NS209" s="170" t="e">
        <f ca="1">IF(Control!$B$31=0,$MJ209,MAX(0,MIN($MV209,$MO209*$NR209*$MJ209)))</f>
        <v>#DIV/0!</v>
      </c>
      <c r="NT209" s="170" t="e">
        <f t="shared" ca="1" si="917"/>
        <v>#DIV/0!</v>
      </c>
      <c r="NU209" s="170" t="e">
        <f t="shared" ca="1" si="893"/>
        <v>#N/A</v>
      </c>
      <c r="NV209" s="170" t="e">
        <f t="shared" ca="1" si="802"/>
        <v>#N/A</v>
      </c>
      <c r="NW209" s="175" t="e">
        <f t="shared" ca="1" si="803"/>
        <v>#DIV/0!</v>
      </c>
      <c r="NX209" s="170" t="e">
        <f ca="1">MIN(Control!$C$72+$MU209, $NW209)</f>
        <v>#DIV/0!</v>
      </c>
      <c r="NY209" s="170" t="e">
        <f ca="1">IF($MT209&lt;=$NX209,MIN(Control!$C$72+$NB209,$NX209-$MT209),0)</f>
        <v>#DIV/0!</v>
      </c>
      <c r="NZ209" s="54" t="e">
        <f ca="1">IF(Control!$C$114=1,  $CX209*($MX209-Control!$C$127), 0)</f>
        <v>#DIV/0!</v>
      </c>
      <c r="OA209" s="170" t="e">
        <f t="shared" ca="1" si="804"/>
        <v>#DIV/0!</v>
      </c>
      <c r="OB209" s="170" t="e">
        <f ca="1">IF($NA209 &lt;=$NY209, MIN(Control!$C$72, $NY209-$NA209), 0)</f>
        <v>#DIV/0!</v>
      </c>
      <c r="OC209" s="168" t="e">
        <f t="shared" ca="1" si="805"/>
        <v>#DIV/0!</v>
      </c>
      <c r="OD209" s="168" t="e">
        <f t="shared" ca="1" si="894"/>
        <v>#DIV/0!</v>
      </c>
      <c r="OE209" s="170">
        <f ca="1">Control!$C$73*$I209</f>
        <v>0</v>
      </c>
      <c r="OF209" s="176" t="e">
        <f t="shared" ca="1" si="806"/>
        <v>#DIV/0!</v>
      </c>
      <c r="OG209" s="168" t="e">
        <f t="shared" ca="1" si="807"/>
        <v>#DIV/0!</v>
      </c>
      <c r="OH209" s="168" t="e">
        <f t="shared" ca="1" si="808"/>
        <v>#DIV/0!</v>
      </c>
      <c r="OI209" s="168" t="e">
        <f t="shared" ca="1" si="809"/>
        <v>#DIV/0!</v>
      </c>
      <c r="OJ209" s="168" t="e">
        <f t="shared" ca="1" si="810"/>
        <v>#DIV/0!</v>
      </c>
      <c r="OK209" s="204" t="e">
        <f t="shared" ca="1" si="811"/>
        <v>#DIV/0!</v>
      </c>
      <c r="OL209" s="177">
        <f>Control!$C$127</f>
        <v>0.15</v>
      </c>
      <c r="OM209" s="182" t="e">
        <f t="shared" ca="1" si="812"/>
        <v>#N/A</v>
      </c>
      <c r="ON209" s="177">
        <f>Control!$C$128</f>
        <v>0.35</v>
      </c>
      <c r="OO209" s="182" t="e">
        <f t="shared" ca="1" si="813"/>
        <v>#N/A</v>
      </c>
      <c r="OP209" s="138">
        <f t="shared" ca="1" si="895"/>
        <v>0</v>
      </c>
      <c r="OQ209" s="138" t="e">
        <f t="shared" ca="1" si="918"/>
        <v>#DIV/0!</v>
      </c>
      <c r="OR209" s="138" t="e">
        <f t="shared" ca="1" si="896"/>
        <v>#DIV/0!</v>
      </c>
      <c r="OS209" s="137" t="e">
        <f t="shared" ca="1" si="919"/>
        <v>#DIV/0!</v>
      </c>
      <c r="OT209" s="139" t="e">
        <f t="shared" ca="1" si="920"/>
        <v>#DIV/0!</v>
      </c>
      <c r="OU209" s="138" t="e">
        <f t="shared" ca="1" si="921"/>
        <v>#N/A</v>
      </c>
      <c r="OV209" s="138" t="e">
        <f t="shared" ca="1" si="922"/>
        <v>#DIV/0!</v>
      </c>
      <c r="OW209" s="138" t="e">
        <f t="shared" ca="1" si="897"/>
        <v>#DIV/0!</v>
      </c>
      <c r="OX209" s="138" t="e">
        <f t="shared" ca="1" si="898"/>
        <v>#DIV/0!</v>
      </c>
      <c r="OY209" s="138" t="e">
        <f t="shared" ca="1" si="899"/>
        <v>#DIV/0!</v>
      </c>
      <c r="OZ209" s="138" t="e">
        <f t="shared" ca="1" si="814"/>
        <v>#DIV/0!</v>
      </c>
      <c r="PA209" s="138" t="e">
        <f t="shared" ca="1" si="815"/>
        <v>#DIV/0!</v>
      </c>
      <c r="PB209" s="55">
        <f>IF(Control!$C$61="T", IF(Control!$C$65="F", IF($AH$6-Control!$C$60&lt;0,0,1), IF(365+$AH$6-Control!$C$60&lt;0,0,1)),0)</f>
        <v>0</v>
      </c>
      <c r="PC209" s="55">
        <f ca="1">IF(Control!$C$65="F", IF($AH$6-$HF209&lt;0,0,1), IF(365+$AH$6-$HF209&lt;0,0,1))</f>
        <v>1</v>
      </c>
      <c r="PD209" s="444">
        <f>Control!$C$118</f>
        <v>1500</v>
      </c>
      <c r="PE209" s="180" t="e">
        <f t="shared" ca="1" si="816"/>
        <v>#N/A</v>
      </c>
      <c r="PF209" s="445">
        <f t="shared" ca="1" si="900"/>
        <v>0.71612369323045078</v>
      </c>
      <c r="PT209" s="186"/>
      <c r="PU209" s="186"/>
      <c r="PV209" s="94"/>
      <c r="PW209" s="94"/>
      <c r="PX209" s="94"/>
      <c r="PY209" s="94"/>
      <c r="PZ209" s="94"/>
      <c r="QA209" s="94"/>
      <c r="QB209" s="94"/>
      <c r="QC209" s="94"/>
      <c r="QD209" s="94"/>
      <c r="QE209" s="94"/>
      <c r="QF209" s="94"/>
      <c r="QG209" s="94"/>
      <c r="QH209" s="94"/>
      <c r="QI209" s="94"/>
      <c r="QJ209" s="94"/>
      <c r="QK209" s="94"/>
      <c r="QL209" s="94"/>
      <c r="QM209" s="94"/>
      <c r="QN209" s="94"/>
      <c r="QO209" s="94"/>
      <c r="QP209" s="94"/>
    </row>
    <row r="210" spans="1:458" s="2" customFormat="1" x14ac:dyDescent="0.2">
      <c r="A210" s="395">
        <v>24</v>
      </c>
      <c r="B210" s="396">
        <v>7</v>
      </c>
      <c r="C210" s="387">
        <f ca="1">Weather_data!$B209</f>
        <v>0</v>
      </c>
      <c r="D210" s="388">
        <f ca="1">Weather_data!$F209</f>
        <v>0</v>
      </c>
      <c r="E210" s="388">
        <f ca="1">Weather_data!$E209</f>
        <v>0</v>
      </c>
      <c r="F210" s="388">
        <f t="shared" ca="1" si="817"/>
        <v>0</v>
      </c>
      <c r="G210" s="388">
        <f ca="1">AVERAGE($D210:$E210)+Control!$B$9</f>
        <v>0</v>
      </c>
      <c r="H210" s="388">
        <f ca="1">Weather_data!$G209</f>
        <v>0</v>
      </c>
      <c r="I210" s="388">
        <f ca="1">Weather_data!$I209</f>
        <v>0</v>
      </c>
      <c r="J210" s="388">
        <f ca="1">Weather_data!$H209</f>
        <v>0</v>
      </c>
      <c r="K210" s="389">
        <f ca="1">Weather_data!$D209</f>
        <v>0</v>
      </c>
      <c r="L210" s="388" t="e">
        <f t="shared" ca="1" si="818"/>
        <v>#N/A</v>
      </c>
      <c r="M210" s="388" t="e">
        <f t="shared" ca="1" si="696"/>
        <v>#N/A</v>
      </c>
      <c r="N210" s="388">
        <f t="shared" ca="1" si="697"/>
        <v>-2.3144187015943812E-10</v>
      </c>
      <c r="O210" s="388">
        <f t="shared" ca="1" si="819"/>
        <v>2.3144187015943811E-9</v>
      </c>
      <c r="P210" s="390">
        <v>3</v>
      </c>
      <c r="Q210" s="388">
        <f ca="1">MAX($G210-Control!$C$107,0)</f>
        <v>0</v>
      </c>
      <c r="R210" s="388">
        <f t="shared" ca="1" si="820"/>
        <v>0</v>
      </c>
      <c r="S210" s="388">
        <f t="shared" ca="1" si="698"/>
        <v>0</v>
      </c>
      <c r="T210" s="388">
        <f t="shared" ca="1" si="699"/>
        <v>0</v>
      </c>
      <c r="U210" s="59">
        <f t="shared" ca="1" si="700"/>
        <v>0</v>
      </c>
      <c r="V210" s="391">
        <f ca="1">MAX(0,MIN(Control!$C$100-Control!$C$99,$G210-Control!$C$99)*Control!$C$63)</f>
        <v>0</v>
      </c>
      <c r="W210" s="388">
        <f t="shared" ca="1" si="821"/>
        <v>0</v>
      </c>
      <c r="X210" s="388">
        <f t="shared" ca="1" si="822"/>
        <v>0.6110000000000001</v>
      </c>
      <c r="Y210" s="388">
        <f t="shared" ca="1" si="701"/>
        <v>0</v>
      </c>
      <c r="Z210" s="388">
        <f t="shared" ca="1" si="823"/>
        <v>0.61058800000000002</v>
      </c>
      <c r="AA210" s="388">
        <f t="shared" ca="1" si="702"/>
        <v>0.6018</v>
      </c>
      <c r="AB210" s="388">
        <f ca="1">101.3*EXP(-0.034*Control!$C$66/($G210+273))</f>
        <v>100.69623283836242</v>
      </c>
      <c r="AC210" s="392">
        <f t="shared" ca="1" si="703"/>
        <v>4.3460251046025113E-2</v>
      </c>
      <c r="AD210" s="392">
        <f t="shared" ca="1" si="704"/>
        <v>4.4450382862832649E-2</v>
      </c>
      <c r="AE210" s="388">
        <f t="shared" ca="1" si="705"/>
        <v>0</v>
      </c>
      <c r="AF210" s="388">
        <f ca="1">MAX(0,$G210-Control!$C$92)</f>
        <v>0</v>
      </c>
      <c r="AG210" s="393">
        <f t="shared" ca="1" si="706"/>
        <v>206</v>
      </c>
      <c r="AH210" s="389">
        <f t="shared" ca="1" si="707"/>
        <v>206</v>
      </c>
      <c r="AI210" s="388">
        <f t="shared" ca="1" si="824"/>
        <v>0.34011033691714188</v>
      </c>
      <c r="AJ210" s="388">
        <f ca="1">IF(Control!$C$60&lt;=0,$HH210,$HI210)</f>
        <v>1</v>
      </c>
      <c r="AK210" s="388">
        <f t="shared" ca="1" si="708"/>
        <v>2.1689899964510353</v>
      </c>
      <c r="AL210" s="388">
        <f t="shared" ca="1" si="709"/>
        <v>-9.3773773468530661E-18</v>
      </c>
      <c r="AM210" s="388">
        <f t="shared" ca="1" si="710"/>
        <v>2.1689899964510353</v>
      </c>
      <c r="AN210" s="388">
        <f t="shared" ca="1" si="711"/>
        <v>0.33495185435817276</v>
      </c>
      <c r="AO210" s="388">
        <f ca="1">-0.10453/COS(Control!$B$8*PI()/180)*COS(AN210)</f>
        <v>-0.16034926350395831</v>
      </c>
      <c r="AP210" s="388">
        <f ca="1">ACOS(AO210-TAN(Control!$B$8*PI()/180)*TAN(AN210))</f>
        <v>2.2216362996504784</v>
      </c>
      <c r="AQ210" s="388">
        <f t="shared" ca="1" si="825"/>
        <v>0</v>
      </c>
      <c r="AR210" s="394">
        <f t="shared" ca="1" si="712"/>
        <v>0</v>
      </c>
      <c r="AS210" s="436">
        <f ca="1">IF(Control!$B$18=2,(IF(OR($AH210=Control!$B$175,$AH210=Control!$B$176,$AH210=Control!$B$177,$AH210=Control!$B$178,$AH210=Control!$B$179,$AH210=Control!$B$180,$AH210=Control!$B$181,$AH210=Control!$B$182,$AH210=Control!$B$183,$AH210=Control!$B$184,$AH210=Control!$B$185),1,0)),0)</f>
        <v>0</v>
      </c>
      <c r="AT210" s="436">
        <f>IF(Control!$B$20=8,IF(AND($AH210&gt;=Control!$B$172,$AH210&lt;=Control!$B$173),1,0),0)</f>
        <v>0</v>
      </c>
      <c r="AU210" s="436">
        <f>IF(Control!$B$20=8,IF($AV209=1,1*$AT210,IF($AT210=1,$AU209+1,$AU209)),0)</f>
        <v>0</v>
      </c>
      <c r="AV210" s="436">
        <f>IF(Control!$B$20=8,IF($AU210&gt;=Control!$B$174,1,0),0)</f>
        <v>0</v>
      </c>
      <c r="AW210" s="436">
        <f ca="1">IF(AND(Control!$B$18=2,Control!$B$171=1), $AV210, $AS210)</f>
        <v>0</v>
      </c>
      <c r="AX210" s="436" t="e">
        <f ca="1">IF(AND(Control!$B$18=1,$EU210&gt;=Control!$B$19),-$AY210,IF(AND(Control!$B$18=2,$AW210=1,$EU210&gt;$DS210),-$AY210, IF(Control!$C$108=0,0, IF(Control!$C$108&lt;&gt;0,1))))</f>
        <v>#N/A</v>
      </c>
      <c r="AY210" s="436" t="e">
        <f t="shared" ca="1" si="826"/>
        <v>#N/A</v>
      </c>
      <c r="AZ210" s="436" t="e">
        <f ca="1">IF(AND(Control!$B$18=1,$EB210&gt;Control!$B$19),$AZ209+1, IF(AND(Control!$B$18=2, $AW210=1, $EB210&gt;$DS210), $AZ209+1,$AZ209))</f>
        <v>#N/A</v>
      </c>
      <c r="BA210" s="587">
        <f>IF(Control!$C$81=0,1,IF($AH210&gt;=Control!$C$82,1,0))</f>
        <v>1</v>
      </c>
      <c r="BB210" s="140" t="e">
        <f ca="1">IF($BA210&gt;$BA209,Control!$C$83,IF($AW210&gt;0,$AW210*Control!$C$84,IF(AND(Control!$B$18=1,EN209&lt;&gt;0),Control!$C$84,0)))</f>
        <v>#N/A</v>
      </c>
      <c r="BC210" s="140" t="e">
        <f t="shared" ca="1" si="827"/>
        <v>#N/A</v>
      </c>
      <c r="BD210" s="140" t="e">
        <f ca="1">BC210*IF(OR($G210&lt;Control!$C$92,$G210&gt;Control!$C$95),0,IF(AND($G210&gt;=Control!$C$92,$G210&lt;=Control!$C$93),$G210-Control!$C$92,IF(AND($G210&gt;Control!$C$93,$G210&lt;=Control!$C$94),Control!$C$93-Control!$C$92,IF(AND($G210&gt;Control!$C$94,$G210&lt;=Control!$C$95),(Control!$C$93-Control!$C$92)*(Control!$C$94-$G210)/(Control!$C$95-Control!$C$94)))))</f>
        <v>#N/A</v>
      </c>
      <c r="BE210" s="140" t="e">
        <f t="shared" ca="1" si="828"/>
        <v>#N/A</v>
      </c>
      <c r="BF210" s="140" t="e">
        <f ca="1">IF($BE210&lt;=Control!$C$86,$BE210,Control!$C$86-$BE210)</f>
        <v>#N/A</v>
      </c>
      <c r="BG210" s="140" t="e">
        <f ca="1">IF(AND($AW210=1,Control!$C$84&lt;9),1,IF($BE210&gt;=Control!$C$86,0,$BC210))</f>
        <v>#N/A</v>
      </c>
      <c r="BH210" s="404" t="e">
        <f ca="1">IF($BG210=0,0,IF($BE210&lt;=Control!$C$86,$BC210*9*($BF210/Control!$C$86),0))</f>
        <v>#N/A</v>
      </c>
      <c r="BI210" s="140" t="e">
        <f ca="1">IF($BG210=1,0,IF($BE210&gt;=Control!$C$86,1,IF(AND($BB210&lt;21,$BB210&gt;=9),1,$BM209)))</f>
        <v>#N/A</v>
      </c>
      <c r="BJ210" s="140" t="e">
        <f ca="1">IF($BF210&lt;0,-$BF210,$BI210*IF(OR($G210&lt;Control!$C$92,$G210&gt;Control!$C$95),0,IF(AND($G210&gt;=Control!$C$92,$G210&lt;=Control!$C$93),$G210-Control!$C$92,IF(AND($G210&gt;Control!$C$93,$G210&lt;=Control!$C$94),Control!$C$93-Control!$C$92,IF(AND($G210&gt;Control!$C$94,$G210&lt;=Control!$C$95),(Control!$C$93-Control!$C$92)*(Control!$C$94-$G210)/(Control!$C$95-Control!$C$94))))))</f>
        <v>#N/A</v>
      </c>
      <c r="BK210" s="140" t="e">
        <f t="shared" ca="1" si="829"/>
        <v>#N/A</v>
      </c>
      <c r="BL210" s="140" t="e">
        <f ca="1">IF($BK210&lt;=Control!$C$87,$BK210,Control!$C$87-$BK210)</f>
        <v>#N/A</v>
      </c>
      <c r="BM210" s="140" t="e">
        <f ca="1">IF(AND($BB210&gt;=9,$BB210&lt;21),1,IF($BK210&gt;=Control!$C$87,0,$BI210))</f>
        <v>#N/A</v>
      </c>
      <c r="BN210" s="404" t="e">
        <f ca="1">IF($BM210=0,0,IF($BK210&lt;=Control!$C$87,$BI210*(9+(21-9)*($BL210/Control!$C$87)),0))</f>
        <v>#N/A</v>
      </c>
      <c r="BO210" s="140" t="e">
        <f ca="1">IF($BM210=1,0,IF($BK210&gt;=Control!$C$87,1,IF(AND($BB210&lt;30,$BB210&gt;=21),1,$BS209)))</f>
        <v>#N/A</v>
      </c>
      <c r="BP210" s="140" t="e">
        <f ca="1">IF($BL210&lt;0,-$BL210,$BO210*IF(OR($G210&lt;Control!$C$92,$G210&gt;Control!$C$95),0,IF(AND($G210&gt;=Control!$C$92,$G210&lt;=Control!$C$93),$G210-Control!$C$92,IF(AND($G210&gt;Control!$C$93,$G210&lt;=Control!$C$94),Control!$C$93-Control!$C$92,IF(AND($G210&gt;Control!$C$94,$G210&lt;=Control!$C$95),(Control!$C$93-Control!$C$92)*(Control!$C$94-$G210)/(Control!$C$95-Control!$C$94))))))</f>
        <v>#N/A</v>
      </c>
      <c r="BQ210" s="140" t="e">
        <f t="shared" ca="1" si="713"/>
        <v>#N/A</v>
      </c>
      <c r="BR210" s="140" t="e">
        <f ca="1">IF($BQ210&lt;=Control!$C$88,$BQ210,Control!$C$88-$BQ210)</f>
        <v>#N/A</v>
      </c>
      <c r="BS210" s="140" t="e">
        <f ca="1">IF(AND($BB210&gt;=21,$BB210&lt;30),1,IF($BQ210&gt;=Control!$C$88,0,$BO210))</f>
        <v>#N/A</v>
      </c>
      <c r="BT210" s="404" t="e">
        <f ca="1">IF($BS210=0,0,IF($BQ210&lt;=Control!$C$88,$BO210*(21+(30-21)*(BR210/Control!$C$88)),0))</f>
        <v>#N/A</v>
      </c>
      <c r="BU210" s="140" t="e">
        <f ca="1">IF(BG210+BM210+BS210=1,0,IF(OR(AND($BB210&lt;60,$BB210&gt;=30),$BQ210&gt;=Control!$C$88),1*$BA210,$BY209))</f>
        <v>#N/A</v>
      </c>
      <c r="BV210" s="140" t="e">
        <f ca="1">IF($BR210&lt;0,-$BR210,$BU210*IF(OR($G210&lt;Control!$C$92,$G210&gt;Control!$C$95),0,IF(AND($G210&gt;=Control!$C$92,$G210&lt;=Control!$C$93),$G210-Control!$C$92,IF(AND($G210&gt;Control!$C$93,$G210&lt;=Control!$C$94),Control!$C$93-Control!$C$92,IF(AND($G210&gt;Control!$C$94,$G210&lt;=Control!$C$95),(Control!$C$93-Control!$C$92)*(Control!$C$94-$G210)/(Control!$C$95-Control!$C$94))))))</f>
        <v>#N/A</v>
      </c>
      <c r="BW210" s="140" t="e">
        <f t="shared" ca="1" si="714"/>
        <v>#N/A</v>
      </c>
      <c r="BX210" s="140" t="e">
        <f ca="1">IF($BW210&lt;=Control!$C$89,$BW210,Control!$C$89-$BW210)</f>
        <v>#N/A</v>
      </c>
      <c r="BY210" s="140" t="e">
        <f ca="1">IF(AND($AJ210&gt;=30,$AJ210&lt;60),1,IF($BW210&gt;=Control!$C$89,0,$BU210))</f>
        <v>#N/A</v>
      </c>
      <c r="BZ210" s="404" t="e">
        <f ca="1">IF($BY210=0,0,IF($BW210&lt;=Control!$C$89,$BU210*(30+(60-30)*(BX210/Control!$C$89)),0))</f>
        <v>#N/A</v>
      </c>
      <c r="CA210" s="140" t="e">
        <f ca="1">IF($BG210+$BM210+$BS210+$BY210=1,0,IF(OR(AND($BB210&lt;65,$BB210&gt;=60),$BW210&gt;=Control!$C$89),1*$BA210,$CE209))</f>
        <v>#N/A</v>
      </c>
      <c r="CB210" s="140" t="e">
        <f ca="1">IF($BX210&lt;0,-$BX210,$CA210*IF(OR($G210&lt;Control!$C$92,$G210&gt;Control!$C$95),0,IF(AND($G210&gt;=Control!$C$92,$G210&lt;=Control!$C$93),$G210-Control!$C$92,IF(AND($G210&gt;Control!$C$93,$G210&lt;=Control!$C$94),Control!$C$93-Control!$C$92,IF(AND($G210&gt;Control!$C$94,$G210&lt;=Control!$C$95),(Control!$C$93-Control!$C$92)*(Control!$C$94-$G210)/(Control!$C$95-Control!$C$94))))))</f>
        <v>#N/A</v>
      </c>
      <c r="CC210" s="140" t="e">
        <f t="shared" ca="1" si="830"/>
        <v>#N/A</v>
      </c>
      <c r="CD210" s="140" t="e">
        <f ca="1">IF($CC210&lt;=Control!$C$90,$CC210,Control!$C$90-$CC210)</f>
        <v>#N/A</v>
      </c>
      <c r="CE210" s="140" t="e">
        <f ca="1">IF(AND($BB210&gt;=60,$BB210&lt;65),1,IF($CC210&gt;=Control!$C$90,0,$CA210))</f>
        <v>#N/A</v>
      </c>
      <c r="CF210" s="404" t="e">
        <f ca="1">IF($CE210=0,0,IF($CC210&lt;=Control!$C$90,$CA210*(60+(65-60)*(CD210/Control!$C$90)),0))</f>
        <v>#N/A</v>
      </c>
      <c r="CG210" s="140" t="e">
        <f ca="1">IF($BG210+$BM210+$BS210+$BY210+$CE210=1,0,IF(OR(AND($BB210&lt;90,$BB210&gt;=65),$CC210&gt;=Control!$C$90),$BA210,$CK209))</f>
        <v>#N/A</v>
      </c>
      <c r="CH210" s="140" t="e">
        <f ca="1">IF($CD210&lt;0,-$CD210,$CG210*IF(OR($G210&lt;Control!$C$92,$G210&gt;Control!$C$95),0,IF(AND($G210&gt;=Control!$C$92,$G210&lt;=Control!$C$93),$G210-Control!$C$92,IF(AND($G210&gt;Control!$C$93,$G210&lt;=Control!$C$94),Control!$C$93-Control!$C$92,IF(AND($G210&gt;Control!$C$94,$G210&lt;=Control!$C$95),(Control!$C$93-Control!$C$92)*(Control!$C$94-$G210)/(Control!$C$95-Control!$C$94))))))</f>
        <v>#N/A</v>
      </c>
      <c r="CI210" s="140" t="e">
        <f t="shared" ca="1" si="831"/>
        <v>#N/A</v>
      </c>
      <c r="CJ210" s="140" t="e">
        <f ca="1">IF($CI210&lt;=Control!$C$91,$CI210,Control!$C$91-$CI210)</f>
        <v>#N/A</v>
      </c>
      <c r="CK210" s="140" t="e">
        <f ca="1">IF(AND($BB210&gt;=65,$BB210&lt;90),1,IF($CI210&gt;=Control!$C$91,0,$CG210))</f>
        <v>#N/A</v>
      </c>
      <c r="CL210" s="404" t="e">
        <f ca="1">IF($CK210=0,0,IF($CI210&lt;=Control!$C$91,$CG210*(65+(90-65)*($CJ210/Control!$C$91)),0))</f>
        <v>#N/A</v>
      </c>
      <c r="CM210" s="140" t="e">
        <f ca="1">IF($BG210+$BM210+$BS210+$BY210+$CE210+$CK210=1,0,IF(OR($BB210&gt;=90,$CI210&gt;=Control!$C$91),$BA210,$CM209))</f>
        <v>#N/A</v>
      </c>
      <c r="CN210" s="140" t="e">
        <f t="shared" ca="1" si="832"/>
        <v>#N/A</v>
      </c>
      <c r="CO210" s="140" t="e">
        <f t="shared" ca="1" si="833"/>
        <v>#N/A</v>
      </c>
      <c r="CP210" s="140" t="e">
        <f t="shared" ca="1" si="834"/>
        <v>#N/A</v>
      </c>
      <c r="CQ210" s="141" t="e">
        <f ca="1">VLOOKUP($CP210,Control!$B$86:$G$91,6)</f>
        <v>#N/A</v>
      </c>
      <c r="CR210" s="141" t="e">
        <f ca="1">(1-$CQ210)*VLOOKUP($CP210,Control!$B$86:$D$91,3)</f>
        <v>#N/A</v>
      </c>
      <c r="CS210" s="141" t="e">
        <f ca="1">(1-$CQ210)*VLOOKUP($CP210,Control!$B$86:$E$91,4)</f>
        <v>#N/A</v>
      </c>
      <c r="CT210" s="141" t="e">
        <f ca="1">(1-$CQ210)*VLOOKUP($CP210,Control!$B$86:$F$91,5)</f>
        <v>#N/A</v>
      </c>
      <c r="CU210" s="141">
        <f t="shared" ca="1" si="835"/>
        <v>0</v>
      </c>
      <c r="CV210" s="583">
        <f t="shared" ca="1" si="836"/>
        <v>0</v>
      </c>
      <c r="CW210" s="142">
        <f t="shared" ca="1" si="837"/>
        <v>206</v>
      </c>
      <c r="CX210" s="612" t="e">
        <f ca="1">IF(Control!$C$114=1,(MIN(Control!$C$120*(IF($NT210-0.01&lt;0,0,1)),Control!$C$119-$CY210)))</f>
        <v>#DIV/0!</v>
      </c>
      <c r="CY210" s="143" t="e">
        <f t="shared" ca="1" si="838"/>
        <v>#N/A</v>
      </c>
      <c r="CZ210" s="144">
        <f t="shared" ca="1" si="715"/>
        <v>0</v>
      </c>
      <c r="DA210" s="144">
        <f t="shared" ca="1" si="716"/>
        <v>0</v>
      </c>
      <c r="DB210" s="144" t="e">
        <f t="shared" ca="1" si="717"/>
        <v>#N/A</v>
      </c>
      <c r="DC210" s="144" t="e">
        <f t="shared" ca="1" si="718"/>
        <v>#N/A</v>
      </c>
      <c r="DD210" s="144" t="e">
        <f t="shared" ca="1" si="923"/>
        <v>#N/A</v>
      </c>
      <c r="DE210" s="143" t="e">
        <f t="shared" ca="1" si="839"/>
        <v>#N/A</v>
      </c>
      <c r="DF210" s="145" t="e">
        <f ca="1">$DR210*EXP(-Control!$C$158*(1-$KH210))</f>
        <v>#N/A</v>
      </c>
      <c r="DG210" s="146" t="e">
        <f ca="1">IF(Control!$C$114=1, $DF210*$EY210, 0)</f>
        <v>#N/A</v>
      </c>
      <c r="DH210" s="147" t="e">
        <f t="shared" ca="1" si="840"/>
        <v>#N/A</v>
      </c>
      <c r="DI210" s="144" t="e">
        <f t="shared" ca="1" si="901"/>
        <v>#N/A</v>
      </c>
      <c r="DJ210" s="147" t="e">
        <f ca="1">$EF210*Control!$C$109</f>
        <v>#N/A</v>
      </c>
      <c r="DK210" s="144" t="e">
        <f t="shared" ca="1" si="841"/>
        <v>#N/A</v>
      </c>
      <c r="DL210" s="144" t="e">
        <f t="shared" ca="1" si="719"/>
        <v>#N/A</v>
      </c>
      <c r="DM210" s="144" t="e">
        <f ca="1">IF(Control!$C$114=1, (1-EXP(-Control!$C$96*$DK210))*$AR210, 0)</f>
        <v>#N/A</v>
      </c>
      <c r="DN210" s="144">
        <f t="shared" ca="1" si="842"/>
        <v>0</v>
      </c>
      <c r="DO210" s="148">
        <f>Control!$C$97</f>
        <v>4</v>
      </c>
      <c r="DP210" s="145" t="e">
        <f t="shared" ca="1" si="843"/>
        <v>#N/A</v>
      </c>
      <c r="DQ210" s="145" t="e">
        <f ca="1">IF(AND($CP210&gt;=0,$CP210&lt;=90),Control!$C$111,Control!$C$111)</f>
        <v>#N/A</v>
      </c>
      <c r="DR210" s="145" t="e">
        <f t="shared" ca="1" si="720"/>
        <v>#N/A</v>
      </c>
      <c r="DS210" s="143" t="e">
        <f ca="1">Control!$B$22/$DR210</f>
        <v>#N/A</v>
      </c>
      <c r="DT210" s="149" t="e">
        <f ca="1">IF(AND(Control!$C$114=1,$KH210&lt;1),$IM210*$DF210, 0)</f>
        <v>#N/A</v>
      </c>
      <c r="DU210" s="144" t="e">
        <f t="shared" ca="1" si="844"/>
        <v>#N/A</v>
      </c>
      <c r="DV210" s="144">
        <f ca="1">IF($G210-Control!$C$107&lt;=0, 0, 0.83*LN(MAX($G210, 3))-0.8924)</f>
        <v>0</v>
      </c>
      <c r="DW210" s="144" t="e">
        <f t="shared" ca="1" si="721"/>
        <v>#N/A</v>
      </c>
      <c r="DX210" s="150" t="e">
        <f ca="1">MAX(0.01*(1+$CU210/Control!$C$102),0.05*($DK210-Control!$C$97)/Control!$C$97)</f>
        <v>#N/A</v>
      </c>
      <c r="DY210" s="151" t="e">
        <f ca="1">IF(Control!$C$114=1, $DI210*$FS210, 0)</f>
        <v>#N/A</v>
      </c>
      <c r="DZ210" s="196" t="e">
        <f t="shared" ca="1" si="845"/>
        <v>#N/A</v>
      </c>
      <c r="EA210" s="152">
        <f t="shared" ca="1" si="846"/>
        <v>206</v>
      </c>
      <c r="EB210" s="153" t="e">
        <f t="shared" ca="1" si="847"/>
        <v>#N/A</v>
      </c>
      <c r="EC210" s="153" t="e">
        <f t="shared" ca="1" si="848"/>
        <v>#N/A</v>
      </c>
      <c r="ED210" s="154" t="e">
        <f ca="1">IF(Control!$C$114=1, $HM210*$FY210-$FD210, 0)</f>
        <v>#DIV/0!</v>
      </c>
      <c r="EE210" s="155" t="e">
        <f ca="1">IF(Control!$C$114=1, $HM210*$FZ210-$FF210, 0)</f>
        <v>#DIV/0!</v>
      </c>
      <c r="EF210" s="153" t="e">
        <f t="shared" ca="1" si="902"/>
        <v>#N/A</v>
      </c>
      <c r="EG210" s="155" t="e">
        <f ca="1">IF(Control!$C$114=1, $GX210*$FW210-$FI210, 0)</f>
        <v>#DIV/0!</v>
      </c>
      <c r="EH210" s="153" t="e">
        <f t="shared" ca="1" si="849"/>
        <v>#N/A</v>
      </c>
      <c r="EI210" s="156" t="e">
        <f t="shared" ca="1" si="850"/>
        <v>#N/A</v>
      </c>
      <c r="EJ210" s="155" t="e">
        <f ca="1">IF(Control!$C$114=1, $HM210*$GB210, 0)</f>
        <v>#DIV/0!</v>
      </c>
      <c r="EK210" s="153" t="e">
        <f t="shared" ca="1" si="903"/>
        <v>#N/A</v>
      </c>
      <c r="EL210" s="153" t="e">
        <f t="shared" ca="1" si="722"/>
        <v>#N/A</v>
      </c>
      <c r="EM210" s="153" t="e">
        <f t="shared" ca="1" si="723"/>
        <v>#N/A</v>
      </c>
      <c r="EN210" s="153" t="e">
        <f ca="1">IF(Control!$C$108=1,IF(AND(Control!$B$18=1,$EB210&gt;=Control!$B$19),$EB210-$DS210,IF(AND(Control!$B$18=2,$AW210=1,$EB210&gt;$DS210),$EB210-$DS210,0)))</f>
        <v>#N/A</v>
      </c>
      <c r="EO210" s="153" t="e">
        <f ca="1">IF(Control!$C$108=1,IF(AND(Control!$B$18=1,$EB210&gt;=Control!$B$19),$EF210,IF(AND(Control!$B$18=2,$AW210=1),$EF210,0)))</f>
        <v>#N/A</v>
      </c>
      <c r="EP210" s="153" t="e">
        <f ca="1">IF(Control!$C$108=1,IF(AND(Control!$B$18=1,$EB210&gt;=Control!$B$19),$EK210,IF(AND(Control!$B$18=2,$AW210=1),$EK210,0)))</f>
        <v>#N/A</v>
      </c>
      <c r="EQ210" s="153" t="e">
        <f t="shared" ca="1" si="851"/>
        <v>#N/A</v>
      </c>
      <c r="ER210" s="153" t="e">
        <f t="shared" ca="1" si="852"/>
        <v>#N/A</v>
      </c>
      <c r="ES210" s="153" t="e">
        <f t="shared" ca="1" si="904"/>
        <v>#N/A</v>
      </c>
      <c r="ET210" s="153" t="e">
        <f t="shared" ca="1" si="905"/>
        <v>#N/A</v>
      </c>
      <c r="EU210" s="153" t="e">
        <f t="shared" ca="1" si="853"/>
        <v>#N/A</v>
      </c>
      <c r="EV210" s="153" t="e">
        <f t="shared" ca="1" si="724"/>
        <v>#N/A</v>
      </c>
      <c r="EW210" s="153" t="e">
        <f t="shared" ca="1" si="725"/>
        <v>#N/A</v>
      </c>
      <c r="EX210" s="153" t="e">
        <f t="shared" ca="1" si="726"/>
        <v>#N/A</v>
      </c>
      <c r="EY210" s="157" t="e">
        <f t="shared" ca="1" si="727"/>
        <v>#DIV/0!</v>
      </c>
      <c r="EZ210" s="154" t="e">
        <f t="shared" ca="1" si="728"/>
        <v>#DIV/0!</v>
      </c>
      <c r="FA210" s="153" t="e">
        <f t="shared" ca="1" si="854"/>
        <v>#N/A</v>
      </c>
      <c r="FB210" s="153" t="e">
        <f t="shared" ca="1" si="729"/>
        <v>#N/A</v>
      </c>
      <c r="FC210" s="193" t="e">
        <f t="shared" ca="1" si="730"/>
        <v>#N/A</v>
      </c>
      <c r="FD210" s="158" t="e">
        <f t="shared" ca="1" si="855"/>
        <v>#N/A</v>
      </c>
      <c r="FE210" s="158" t="e">
        <f t="shared" ca="1" si="856"/>
        <v>#N/A</v>
      </c>
      <c r="FF210" s="159" t="e">
        <f t="shared" ca="1" si="731"/>
        <v>#N/A</v>
      </c>
      <c r="FG210" s="160" t="e">
        <f t="shared" ca="1" si="857"/>
        <v>#N/A</v>
      </c>
      <c r="FH210" s="158" t="e">
        <f t="shared" ca="1" si="858"/>
        <v>#N/A</v>
      </c>
      <c r="FI210" s="159" t="e">
        <f t="shared" ca="1" si="732"/>
        <v>#N/A</v>
      </c>
      <c r="FJ210" s="160" t="e">
        <f t="shared" ca="1" si="859"/>
        <v>#N/A</v>
      </c>
      <c r="FK210" s="160" t="e">
        <f t="shared" ca="1" si="733"/>
        <v>#N/A</v>
      </c>
      <c r="FL210" s="160" t="e">
        <f t="shared" ca="1" si="906"/>
        <v>#N/A</v>
      </c>
      <c r="FM210" s="160" t="e">
        <f t="shared" ca="1" si="734"/>
        <v>#N/A</v>
      </c>
      <c r="FN210" s="158">
        <f t="shared" ca="1" si="860"/>
        <v>0.01</v>
      </c>
      <c r="FO210" s="160">
        <f>Control!$C$101</f>
        <v>50</v>
      </c>
      <c r="FP210" s="150" t="e">
        <f t="shared" ca="1" si="735"/>
        <v>#N/A</v>
      </c>
      <c r="FQ210" s="150" t="e">
        <f ca="1">MAX(0,(Control!$C$112*(($DK210-Control!$C$97)/Control!$C$97)))</f>
        <v>#N/A</v>
      </c>
      <c r="FR210" s="150" t="e">
        <f ca="1">(1-$NT210)*Control!$C$113</f>
        <v>#DIV/0!</v>
      </c>
      <c r="FS210" s="198" t="e">
        <f t="shared" ca="1" si="736"/>
        <v>#N/A</v>
      </c>
      <c r="FT210" s="161">
        <f t="shared" ca="1" si="861"/>
        <v>206</v>
      </c>
      <c r="FU210" s="162" t="e">
        <f ca="1">IF(Control!$B$34=1,VLOOKUP($CP210,Control!$B$86:$G$91,6),Control!$B$35)</f>
        <v>#N/A</v>
      </c>
      <c r="FV210" s="162" t="e">
        <f t="shared" ca="1" si="737"/>
        <v>#DIV/0!</v>
      </c>
      <c r="FW210" s="162" t="e">
        <f ca="1">IF(Control!$B$31=1,$FU210*$FV210,  $FU210)</f>
        <v>#N/A</v>
      </c>
      <c r="FX210" s="162" t="e">
        <f ca="1">IF(Control!$B$34=1,VLOOKUP($CP210,Control!$B$86:$G$91,3),Control!$B$36)</f>
        <v>#N/A</v>
      </c>
      <c r="FY210" s="162" t="e">
        <f t="shared" ca="1" si="738"/>
        <v>#N/A</v>
      </c>
      <c r="FZ210" s="162" t="e">
        <f ca="1">IF(Control!$B$34=1,VLOOKUP($CP210,Control!$B$86:$G$91,4),Control!$B$37)</f>
        <v>#N/A</v>
      </c>
      <c r="GA210" s="162" t="e">
        <f t="shared" ca="1" si="739"/>
        <v>#N/A</v>
      </c>
      <c r="GB210" s="162" t="e">
        <f ca="1">IF(Control!$B$34=1,VLOOKUP($CP210,Control!$B$86:$G$91,5),Control!$B$38)</f>
        <v>#N/A</v>
      </c>
      <c r="GC210" s="162" t="e">
        <f t="shared" ca="1" si="862"/>
        <v>#N/A</v>
      </c>
      <c r="GD210" s="162">
        <f t="shared" ca="1" si="740"/>
        <v>1</v>
      </c>
      <c r="GE210" s="162">
        <f t="shared" ca="1" si="741"/>
        <v>1</v>
      </c>
      <c r="GF210" s="162">
        <f ca="1">IF(AND(Control!$C$104=1, Control!$C$62="F"),$GE210,1)</f>
        <v>1</v>
      </c>
      <c r="GG210" s="162" t="e">
        <f ca="1">IF(Control!$B$16=40,0,IF(AND(Control!$B$16&gt;40,Control!$B$16&lt;=360),(Control!$B$16-40)*((1-0)/(360-40)),IF(AND(Control!$B$16&gt;360,Control!$B$16&lt;=720),(1+(Control!$B$16-360)*((1.25-1)/(720-360))),IF(AND(Control!$B$16&gt;720,Control!$B$16&lt;=1000),(1.25+(Control!$B$16-720)*((1.35-1.25)/(1000-720))),IF(AND(Control!$B$16&gt;1000,Control!$B$16&lt;=2000),(1.35+(Control!$B$16-1000)*0))))))</f>
        <v>#N/A</v>
      </c>
      <c r="GH210" s="162" t="e">
        <f t="shared" ca="1" si="742"/>
        <v>#N/A</v>
      </c>
      <c r="GI210" s="162">
        <f t="shared" ca="1" si="863"/>
        <v>0</v>
      </c>
      <c r="GJ210" s="162">
        <f t="shared" ca="1" si="743"/>
        <v>0</v>
      </c>
      <c r="GK210" s="162">
        <f t="shared" ca="1" si="864"/>
        <v>1</v>
      </c>
      <c r="GL210" s="162">
        <f t="shared" ca="1" si="744"/>
        <v>1</v>
      </c>
      <c r="GM210" s="162" t="e">
        <f ca="1">MAX(0,MIN(1,1-Control!$C$156*(1.0001-$KH210)^2))</f>
        <v>#N/A</v>
      </c>
      <c r="GN210" s="162" t="e">
        <f ca="1">IF(Control!$B$26=1,$KU210,$KX210)</f>
        <v>#N/A</v>
      </c>
      <c r="GO210" s="162" t="e">
        <f ca="1">IF($CP210&lt;=60,Control!$C$105,IF($CP210&gt;=90,Control!$C$106,Control!$C$105+($CP210-60)*((Control!$C$106-Control!$C$105)/(90-60))))</f>
        <v>#N/A</v>
      </c>
      <c r="GP210" s="162" t="e">
        <f t="shared" ca="1" si="745"/>
        <v>#N/A</v>
      </c>
      <c r="GQ210" s="162" t="e">
        <f t="shared" ca="1" si="865"/>
        <v>#N/A</v>
      </c>
      <c r="GR210" s="163" t="e">
        <f t="shared" ca="1" si="746"/>
        <v>#DIV/0!</v>
      </c>
      <c r="GS210" s="162" t="e">
        <f t="shared" ca="1" si="747"/>
        <v>#DIV/0!</v>
      </c>
      <c r="GT210" s="164" t="e">
        <f t="shared" ca="1" si="866"/>
        <v>#N/A</v>
      </c>
      <c r="GU210" s="162" t="e">
        <f t="shared" ca="1" si="867"/>
        <v>#N/A</v>
      </c>
      <c r="GV210" s="162" t="e">
        <f t="shared" ca="1" si="748"/>
        <v>#N/A</v>
      </c>
      <c r="GW210" s="162" t="e">
        <f t="shared" ca="1" si="749"/>
        <v>#DIV/0!</v>
      </c>
      <c r="GX210" s="162" t="e">
        <f t="shared" ca="1" si="868"/>
        <v>#DIV/0!</v>
      </c>
      <c r="GY210" s="162" t="e">
        <f t="shared" ca="1" si="869"/>
        <v>#DIV/0!</v>
      </c>
      <c r="GZ210" s="165" t="e">
        <f t="shared" ca="1" si="750"/>
        <v>#N/A</v>
      </c>
      <c r="HA210" s="162" t="e">
        <f ca="1">IF(Control!$C$114=1, $DI210*$FS210, 0)</f>
        <v>#N/A</v>
      </c>
      <c r="HB210" s="162" t="e">
        <f ca="1">$FA210/Control!$C$64</f>
        <v>#N/A</v>
      </c>
      <c r="HC210" s="162" t="e">
        <f t="shared" ca="1" si="751"/>
        <v>#DIV/0!</v>
      </c>
      <c r="HD210" s="162">
        <f ca="1">-ASIN(SIN(23.45*Control!$C$139)*COS(2*Control!$C$138*($AH210+10)/365))</f>
        <v>0.34011033691714188</v>
      </c>
      <c r="HE210" s="165">
        <f t="shared" ca="1" si="870"/>
        <v>0</v>
      </c>
      <c r="HF210" s="166">
        <f ca="1">IF(AND(Control!$C$61="T",$HE210&gt;=Control!$C$103,Control!$C$114=0),$AH210,Control!$C$59)</f>
        <v>1</v>
      </c>
      <c r="HG210" s="166">
        <f ca="1">IF(AND(Control!$C$61="T",$HE210&gt;=Control!$C$103,Control!$C$114=0),$HF210,Control!$C$59)</f>
        <v>1</v>
      </c>
      <c r="HH210" s="165">
        <f ca="1">IF(AND(OR(Control!$C$60&lt;=0, $AH210= Control!$C$59, Control!$C$60 &gt;0, $AH210 = Control!$C$60)), Control!$C$59, IF(Control!$C$60&gt;0, 0))</f>
        <v>1</v>
      </c>
      <c r="HI210" s="165">
        <f ca="1">IF(AND(OR(Control!$C$60&lt;=0, $AH210= Control!$C$59, Control!$C$60 &gt;0, $AH210 = Control!$C$60)), Control!$C$60, IF(Control!$C$60&lt;=0, 0))</f>
        <v>0</v>
      </c>
      <c r="HJ210" s="166">
        <f ca="1">IF(AND(Control!$C$62="F",$CV210&gt;=Control!$C$102),$AH210,0)</f>
        <v>0</v>
      </c>
      <c r="HK210" s="165" t="e">
        <f t="shared" ca="1" si="907"/>
        <v>#N/A</v>
      </c>
      <c r="HL210" s="166">
        <f ca="1">IF(AND(Control!$C$61="T",$HE210&gt;=Control!$C$103,Control!$C$114=0),$HF210,0)</f>
        <v>0</v>
      </c>
      <c r="HM210" s="201" t="e">
        <f t="shared" ca="1" si="752"/>
        <v>#DIV/0!</v>
      </c>
      <c r="HN210" s="215">
        <f t="shared" ca="1" si="871"/>
        <v>206</v>
      </c>
      <c r="HO210" s="216" t="e">
        <f ca="1">IF(AND($CP210&gt;=0, $CP210&lt;=90), Control!$C$152, Control!$C$152)</f>
        <v>#N/A</v>
      </c>
      <c r="HP210" s="216" t="e">
        <f t="shared" ca="1" si="753"/>
        <v>#N/A</v>
      </c>
      <c r="HQ210" s="217" t="e">
        <f ca="1">IF(OR(Control!$B$26=1,Control!$B$26=2),$KV210,$KS210)</f>
        <v>#DIV/0!</v>
      </c>
      <c r="HR210" s="218" t="e">
        <f t="shared" ca="1" si="908"/>
        <v>#DIV/0!</v>
      </c>
      <c r="HS210" s="216" t="e">
        <f ca="1">Control!$C$154*$HP210</f>
        <v>#N/A</v>
      </c>
      <c r="HT210" s="216" t="e">
        <f ca="1">Control!$C$155*$HP210</f>
        <v>#N/A</v>
      </c>
      <c r="HU210" s="217" t="e">
        <f ca="1">Control!$C$161*$FI210</f>
        <v>#N/A</v>
      </c>
      <c r="HV210" s="218" t="e">
        <f t="shared" ca="1" si="872"/>
        <v>#N/A</v>
      </c>
      <c r="HW210" s="218" t="e">
        <f ca="1">Control!$C$160*$FF210+$IP210*$EO210</f>
        <v>#N/A</v>
      </c>
      <c r="HX210" s="218" t="e">
        <f t="shared" ca="1" si="909"/>
        <v>#N/A</v>
      </c>
      <c r="HY210" s="219" t="e">
        <f ca="1">IF(Control!$C$114=1, $EB210*$FS210, 0)</f>
        <v>#N/A</v>
      </c>
      <c r="HZ210" s="91" t="e">
        <f t="shared" ca="1" si="754"/>
        <v>#N/A</v>
      </c>
      <c r="IA210" s="220" t="e">
        <f ca="1">Control!$C$153*$HO210</f>
        <v>#N/A</v>
      </c>
      <c r="IB210" s="218" t="e">
        <f t="shared" ca="1" si="755"/>
        <v>#N/A</v>
      </c>
      <c r="IC210" s="220" t="e">
        <f ca="1">Control!$C$153*$HT210</f>
        <v>#N/A</v>
      </c>
      <c r="ID210" s="218" t="e">
        <f t="shared" ca="1" si="756"/>
        <v>#N/A</v>
      </c>
      <c r="IE210" s="221" t="e">
        <f ca="1">($EB210*Control!$C$159+$EF210*Control!$C$160)/(IF($GZ210&lt;&gt;0,$GZ210,1))</f>
        <v>#N/A</v>
      </c>
      <c r="IF210" s="216" t="e">
        <f t="shared" ca="1" si="757"/>
        <v>#N/A</v>
      </c>
      <c r="IG210" s="91">
        <f ca="1">IF(OR(Control!$B$198=$AH210,Control!$B$199=$AH210, Control!$B$200=$AH210, Control!$B$201=$AH210, Control!$B$202=$AH210, Control!$B$203=$AH210, Control!$B$204=$AH210, Control!$B$205=$AH210, Control!$B$206=$AH210, Control!$B$207=$AH210), 1, 0)</f>
        <v>0</v>
      </c>
      <c r="IH210" s="91">
        <f ca="1">IF($IG210=0,0, VLOOKUP($AH210,Control!$B$198:$C$207,2))</f>
        <v>0</v>
      </c>
      <c r="II210" s="222">
        <f t="shared" ca="1" si="873"/>
        <v>0</v>
      </c>
      <c r="IJ210" s="91">
        <f>Control!$C$121</f>
        <v>0.7</v>
      </c>
      <c r="IK210" s="218">
        <f t="shared" ca="1" si="758"/>
        <v>0</v>
      </c>
      <c r="IL210" s="217" t="e">
        <f t="shared" ca="1" si="910"/>
        <v>#N/A</v>
      </c>
      <c r="IM210" s="223" t="e">
        <f ca="1">IF(AND(Control!$C$114=1,$KH210&lt;1),$EB210*Control!$C$148*(1-$KH210), 0)</f>
        <v>#N/A</v>
      </c>
      <c r="IN210" s="217" t="e">
        <f t="shared" ca="1" si="759"/>
        <v>#DIV/0!</v>
      </c>
      <c r="IO210" s="91" t="e">
        <f ca="1">MAX(0,$IL210-$EF210*Control!$C$160)</f>
        <v>#N/A</v>
      </c>
      <c r="IP210" s="220" t="e">
        <f t="shared" ca="1" si="760"/>
        <v>#N/A</v>
      </c>
      <c r="IQ210" s="217" t="e">
        <f t="shared" ca="1" si="874"/>
        <v>#N/A</v>
      </c>
      <c r="IR210" s="218" t="e">
        <f t="shared" ca="1" si="761"/>
        <v>#N/A</v>
      </c>
      <c r="IS210" s="217" t="e">
        <f ca="1">Control!$C$159*MAX(0,$FD210-$EN210)</f>
        <v>#N/A</v>
      </c>
      <c r="IT210" s="217" t="e">
        <f t="shared" ca="1" si="911"/>
        <v>#N/A</v>
      </c>
      <c r="IU210" s="217" t="e">
        <f t="shared" ca="1" si="875"/>
        <v>#N/A</v>
      </c>
      <c r="IV210" s="217" t="e">
        <f t="shared" ca="1" si="912"/>
        <v>#N/A</v>
      </c>
      <c r="IW210" s="217" t="e">
        <f ca="1">IF(OR($AW210=1,AND($AW210=0, Control!$B$18=1,$EN210&lt;&gt;0)), $IQ210-$IU210, $IQ210)</f>
        <v>#N/A</v>
      </c>
      <c r="IX210" s="218" t="e">
        <f t="shared" ca="1" si="762"/>
        <v>#N/A</v>
      </c>
      <c r="IY210" s="218" t="e">
        <f ca="1">MAX(0,$IQ210-$EB210*Control!$C$159)</f>
        <v>#N/A</v>
      </c>
      <c r="IZ210" s="218" t="e">
        <f t="shared" ca="1" si="763"/>
        <v>#N/A</v>
      </c>
      <c r="JA210" s="216" t="e">
        <f t="shared" ca="1" si="764"/>
        <v>#N/A</v>
      </c>
      <c r="JB210" s="217" t="e">
        <f t="shared" ca="1" si="765"/>
        <v>#N/A</v>
      </c>
      <c r="JC210" s="222" t="e">
        <f ca="1">MAX(Control!$C$157*$EK210-$JT210, 0)/Control!$C$162</f>
        <v>#N/A</v>
      </c>
      <c r="JD210" s="218" t="e">
        <f t="shared" ca="1" si="766"/>
        <v>#N/A</v>
      </c>
      <c r="JE210" s="218" t="e">
        <f t="shared" ca="1" si="767"/>
        <v>#N/A</v>
      </c>
      <c r="JF210" s="218" t="e">
        <f t="shared" ca="1" si="876"/>
        <v>#N/A</v>
      </c>
      <c r="JG210" s="218" t="e">
        <f t="shared" ca="1" si="768"/>
        <v>#N/A</v>
      </c>
      <c r="JH210" s="217" t="e">
        <f t="shared" ca="1" si="877"/>
        <v>#N/A</v>
      </c>
      <c r="JI210" s="217" t="e">
        <f t="shared" ca="1" si="878"/>
        <v>#N/A</v>
      </c>
      <c r="JJ210" s="217" t="e">
        <f t="shared" ca="1" si="913"/>
        <v>#N/A</v>
      </c>
      <c r="JK210" s="217" t="e">
        <f ca="1">IF(Control!$C$114=1,IF(Control!$B$24=0,MAX(0,$JI210)*$GN210/Control!$C$64,(MAX(0,MIN($JI210,$JJ210*$GN210/Control!$C$64),0))))</f>
        <v>#N/A</v>
      </c>
      <c r="JL210" s="217" t="e">
        <f ca="1">$IK210/Control!$C$64-$JK210+$HQ210</f>
        <v>#N/A</v>
      </c>
      <c r="JM210" s="217" t="e">
        <f ca="1">IF(Control!$C$114=1,($JB210/(IF($JI210&lt;&gt;0,$JI210,1)))*$JK210,0)</f>
        <v>#N/A</v>
      </c>
      <c r="JN210" s="217" t="e">
        <f ca="1">IF(Control!$C$114=1,($JG210/(IF($JI210&lt;&gt;0,$JI210,1)))*$JK210, 0)</f>
        <v>#N/A</v>
      </c>
      <c r="JO210" s="218" t="e">
        <f t="shared" ca="1" si="769"/>
        <v>#N/A</v>
      </c>
      <c r="JP210" s="218" t="e">
        <f ca="1">MIN(($IY210+$IO210)*Control!$C$151, $JF210-$EH210*Control!$C$161)</f>
        <v>#N/A</v>
      </c>
      <c r="JQ210" s="218" t="e">
        <f t="shared" ca="1" si="770"/>
        <v>#N/A</v>
      </c>
      <c r="JR210" s="217" t="e">
        <f ca="1">IF($CP210-Control!$C$150&lt;0, 0, $JQ210/Control!$C$162)</f>
        <v>#N/A</v>
      </c>
      <c r="JS210" s="218" t="e">
        <f t="shared" ca="1" si="771"/>
        <v>#N/A</v>
      </c>
      <c r="JT210" s="218" t="e">
        <f t="shared" ca="1" si="879"/>
        <v>#N/A</v>
      </c>
      <c r="JU210" s="218" t="e">
        <f t="shared" ca="1" si="772"/>
        <v>#N/A</v>
      </c>
      <c r="JV210" s="218" t="e">
        <f t="shared" ca="1" si="773"/>
        <v>#N/A</v>
      </c>
      <c r="JW210" s="216" t="e">
        <f t="shared" ca="1" si="774"/>
        <v>#N/A</v>
      </c>
      <c r="JX210" s="91" t="e">
        <f t="shared" ca="1" si="775"/>
        <v>#N/A</v>
      </c>
      <c r="JY210" s="218" t="e">
        <f t="shared" ca="1" si="776"/>
        <v>#N/A</v>
      </c>
      <c r="JZ210" s="217" t="e">
        <f ca="1">IF(Control!$C$114=1,($IZ210/(IF($JI210&lt;&gt;0,$JI210,1)))*$JK210, 0)</f>
        <v>#N/A</v>
      </c>
      <c r="KA210" s="218" t="e">
        <f t="shared" ca="1" si="914"/>
        <v>#N/A</v>
      </c>
      <c r="KB210" s="218" t="e">
        <f t="shared" ca="1" si="880"/>
        <v>#N/A</v>
      </c>
      <c r="KC210" s="218" t="e">
        <f t="shared" ca="1" si="777"/>
        <v>#N/A</v>
      </c>
      <c r="KD210" s="218" t="e">
        <f t="shared" ca="1" si="778"/>
        <v>#N/A</v>
      </c>
      <c r="KE210" s="218" t="e">
        <f t="shared" ca="1" si="779"/>
        <v>#N/A</v>
      </c>
      <c r="KF210" s="218" t="e">
        <f t="shared" ca="1" si="780"/>
        <v>#N/A</v>
      </c>
      <c r="KG210" s="216" t="e">
        <f t="shared" ca="1" si="781"/>
        <v>#N/A</v>
      </c>
      <c r="KH210" s="221" t="e">
        <f ca="1">IF(Control!$B$24=0,1,MAX(0.001,MIN(1,IF(($IF210-$IE210)&lt;&gt;0,($KG210-$IE210)/($IF210-$IE210),1))))</f>
        <v>#N/A</v>
      </c>
      <c r="KI210" s="222" t="e">
        <f ca="1">IF(Control!$C$114=1, $KI209+ $KH209, 0)</f>
        <v>#N/A</v>
      </c>
      <c r="KJ210" s="217" t="e">
        <f t="shared" ca="1" si="782"/>
        <v>#N/A</v>
      </c>
      <c r="KK210" s="218" t="e">
        <f t="shared" ca="1" si="783"/>
        <v>#N/A</v>
      </c>
      <c r="KL210" s="274" t="e">
        <f ca="1">IF(Control!$B$26=3,4000000000*EXP(-8400/($G210+273)),IF(Control!$B$26=4,4000000000*EXP(-8400/($G210+273))*($KT210),0))</f>
        <v>#DIV/0!</v>
      </c>
      <c r="KM210" s="274" t="e">
        <f ca="1">IF(Control!$B$26=3,5600000000000*EXP(-9800/($G210+273)),IF(Control!$B$26=4,5600000000000*EXP(-9800/($G210+273))*$KT210,0))</f>
        <v>#DIV/0!</v>
      </c>
      <c r="KN210" s="454" t="e">
        <f t="shared" ca="1" si="881"/>
        <v>#DIV/0!</v>
      </c>
      <c r="KO210" s="274" t="e">
        <f t="shared" ca="1" si="882"/>
        <v>#DIV/0!</v>
      </c>
      <c r="KP210" s="454" t="e">
        <f t="shared" ca="1" si="784"/>
        <v>#DIV/0!</v>
      </c>
      <c r="KQ210" s="454" t="e">
        <f t="shared" ca="1" si="785"/>
        <v>#DIV/0!</v>
      </c>
      <c r="KR210" s="454" t="e">
        <f t="shared" ca="1" si="786"/>
        <v>#DIV/0!</v>
      </c>
      <c r="KS210" s="454" t="e">
        <f t="shared" ca="1" si="787"/>
        <v>#DIV/0!</v>
      </c>
      <c r="KT210" s="455" t="e">
        <f t="shared" ca="1" si="788"/>
        <v>#DIV/0!</v>
      </c>
      <c r="KU210" s="456" t="e">
        <f ca="1">IF($CP210-Control!$C$149&lt;0, IF($NT210-0.01&lt;0,0,1),0)</f>
        <v>#N/A</v>
      </c>
      <c r="KV210" s="456" t="e">
        <f ca="1">IF(Control!$C$114=1,MAX(0,MIN(Control!$C$125*$KW210*$GN210,$KW210)))</f>
        <v>#DIV/0!</v>
      </c>
      <c r="KW210" s="456" t="e">
        <f t="shared" ca="1" si="915"/>
        <v>#DIV/0!</v>
      </c>
      <c r="KX210" s="457" t="e">
        <f ca="1">IF($CP210-Control!$C$149&lt;0, IF($MR210-$OM210&lt;0,0,1),0)</f>
        <v>#N/A</v>
      </c>
      <c r="KY210" s="167">
        <f t="shared" ca="1" si="883"/>
        <v>206</v>
      </c>
      <c r="KZ210" s="168">
        <f ca="1">1370*(1+0.033*COS(2*Control!$C$138*$AH210/365))</f>
        <v>1328.4392288669671</v>
      </c>
      <c r="LA210" s="169">
        <f t="shared" ca="1" si="884"/>
        <v>0.9696635629992858</v>
      </c>
      <c r="LB210" s="169">
        <f t="shared" ca="1" si="885"/>
        <v>0.34091365459166534</v>
      </c>
      <c r="LC210" s="169">
        <f ca="1">ACOS(-TAN((2*Control!$B$8/360))*TAN(Calculations!$LB210))</f>
        <v>1.6764299945064012</v>
      </c>
      <c r="LD210" s="169">
        <f ca="1">((24*60)/PI())*0.082*$LA210*(($LC210*SIN(Control!$B$8*2*PI()/360))*SIN($LB210)+COS(Control!$B$8*2*PI()/360)*COS($LB210)*SIN($LC210))</f>
        <v>37.126786914368239</v>
      </c>
      <c r="LE210" s="170">
        <f t="shared" ca="1" si="789"/>
        <v>38.355857078233832</v>
      </c>
      <c r="LF210" s="170">
        <f ca="1">SIN(Control!$C$139*Control!$B$8)*SIN($HD210)</f>
        <v>0.26287381845670821</v>
      </c>
      <c r="LG210" s="170">
        <f ca="1">COS(Control!$C$139*Control!$B$8)*COS($HD210)</f>
        <v>0.58039349427964571</v>
      </c>
      <c r="LH210" s="170">
        <f ca="1">12*(1+2*ASIN(MAX(-1,MIN(1,$LF210/$LG210))/Control!$C$138))</f>
        <v>15.472171844232832</v>
      </c>
      <c r="LI210" s="170">
        <f ca="1">12*(1+2*ASIN(MAX(-1,MIN(1,(-SIN(-4*Control!$C$139)+$LF210)/$LG210))/Control!$C$138))</f>
        <v>16.402898011036989</v>
      </c>
      <c r="LJ210" s="168">
        <f ca="1">3600*($LH210*$LF210+24*$LG210*SQRT(1-$LK210*$LK210)/Control!$C$138)</f>
        <v>28872.872951025198</v>
      </c>
      <c r="LK210" s="170">
        <f t="shared" ca="1" si="790"/>
        <v>0.45292344081660246</v>
      </c>
      <c r="LL210" s="170">
        <f t="shared" ca="1" si="791"/>
        <v>0</v>
      </c>
      <c r="LM210" s="171">
        <f ca="1">Control!$C$145*$AB210</f>
        <v>6.6660906138995932E-2</v>
      </c>
      <c r="LN210" s="170">
        <f t="shared" ca="1" si="886"/>
        <v>0.54</v>
      </c>
      <c r="LO210" s="170">
        <f t="shared" ca="1" si="792"/>
        <v>0</v>
      </c>
      <c r="LP210" s="170">
        <f ca="1">Control!$C$140*((($D210+273.16)^4+($E210+273.16)^4)/2)*(0.34-0.14*SQRT($Y210))*(1.35*$AQ210/(0.75*$LD210)-0.35)</f>
        <v>-3.2464704755046001</v>
      </c>
      <c r="LQ210" s="170">
        <f ca="1">Control!$C$140*($G210+273)^4*(0.56-0.079*SQRT($Y210*10))*(0.1+0.9*$LO210)</f>
        <v>1.5241745131704001</v>
      </c>
      <c r="LR210" s="170">
        <f ca="1">$AQ210*(1-Control!$C$142)-$LQ210</f>
        <v>-1.5241745131704001</v>
      </c>
      <c r="LS210" s="170">
        <f ca="1">$AQ210*(1-Control!$C$143)-$LQ210</f>
        <v>-1.5241745131704001</v>
      </c>
      <c r="LT210" s="170">
        <f ca="1">$AQ210*(1-Control!$C$144)-$LQ210</f>
        <v>-1.5241745131704001</v>
      </c>
      <c r="LU210" s="169">
        <f ca="1">(1-Control!$C$144)*AQ210-LP210</f>
        <v>3.2464704755046001</v>
      </c>
      <c r="LV210" s="172">
        <f t="shared" ca="1" si="793"/>
        <v>0.79430000000000012</v>
      </c>
      <c r="LW210" s="170">
        <f t="shared" ca="1" si="794"/>
        <v>1.5886000000000002</v>
      </c>
      <c r="LX210" s="170">
        <f ca="1">($AC210*($LR210/Control!$C$141)+$LM210*$LV210)/($AC210+$LM210)</f>
        <v>0.23530094218323697</v>
      </c>
      <c r="LY210" s="170">
        <f ca="1">($AC210*($LS210/Control!$C$141)+$LM210*$LV210)/($AC210+$LM210)</f>
        <v>0.23530094218323697</v>
      </c>
      <c r="LZ210" s="170">
        <f t="shared" ca="1" si="795"/>
        <v>0.23530094218323697</v>
      </c>
      <c r="MA210" s="170">
        <f t="shared" ca="1" si="796"/>
        <v>0.23530094218323697</v>
      </c>
      <c r="MB210" s="170" t="e">
        <f t="shared" ca="1" si="797"/>
        <v>#N/A</v>
      </c>
      <c r="MC210" s="170">
        <f t="shared" ca="1" si="887"/>
        <v>0.6018</v>
      </c>
      <c r="MD210" s="170">
        <f t="shared" ca="1" si="798"/>
        <v>0.52989392535414004</v>
      </c>
      <c r="ME210" s="170">
        <f ca="1">($AC210*($LT210/Control!$C$141)+$LM210*$LW210)/($AC210+$LM210)</f>
        <v>0.71612369323045078</v>
      </c>
      <c r="MF210" s="170" t="e">
        <f ca="1">IF(Control!$B$16&gt;=1000,0.92,IF(AND(720&lt;=Control!$B$16,1000&gt;Control!$B$16),(0.95+(Control!$B$16-720)*((0.92-0.95)/(1000-720))),IF(AND(360&lt;=Control!$B$16,720&gt;Control!$B$16),(1+(Control!$B$16-360)*((0.95-1)/(720-360))),IF(AND(40&lt;=Control!$B$16,360&gt;Control!$B$16),(1.05+(Control!$B$16-40)*((1.05-1)/(360-40)))))))</f>
        <v>#N/A</v>
      </c>
      <c r="MG210" s="170">
        <f t="shared" ca="1" si="799"/>
        <v>0.71612369323045078</v>
      </c>
      <c r="MH210" s="170" t="e">
        <f t="shared" ca="1" si="924"/>
        <v>#N/A</v>
      </c>
      <c r="MI210" s="170" t="e">
        <f t="shared" ca="1" si="924"/>
        <v>#N/A</v>
      </c>
      <c r="MJ210" s="170" t="e">
        <f ca="1">MAX(0.0001, Control!$C$132*$MI210*$DL210)</f>
        <v>#N/A</v>
      </c>
      <c r="MK210" s="170">
        <f ca="1">1/(0.76+1.5*($MG210/10))-(5-Control!$C$110)*0.1</f>
        <v>1.002845988140797</v>
      </c>
      <c r="ML210" s="173">
        <f ca="1">IF(Control!$C$110&lt;3,$MK210+($MG210-0.6)/(Control!$C$110*(Control!$C$110+3)), MAX(0.1, MIN(0.95,$MK210)))</f>
        <v>0.95</v>
      </c>
      <c r="MM210" s="173">
        <f ca="1">IF(Control!$C$110&lt;3,$MK210+(($MI210/10)-0.6)/(Control!$C$110*(Control!$C$110+3)), MAX(0.1, MIN(0.95,$MK210)))</f>
        <v>0.95</v>
      </c>
      <c r="MN210" s="173">
        <f ca="1">(1-$MM210)*(Control!$C$128-Control!$C$127)+Control!$C$127</f>
        <v>0.16</v>
      </c>
      <c r="MO210" s="170" t="e">
        <f ca="1">MAX(0,MIN(1,($MS210-Control!$C$127)/($MN210-Control!$C$127)))</f>
        <v>#DIV/0!</v>
      </c>
      <c r="MP210" s="173" t="e">
        <f ca="1">1/(0.76+1.5*$MI210)-(5-Control!$C$110)*0.1</f>
        <v>#N/A</v>
      </c>
      <c r="MQ210" s="172" t="e">
        <f t="shared" ca="1" si="916"/>
        <v>#DIV/0!</v>
      </c>
      <c r="MR210" s="168" t="e">
        <f t="shared" ca="1" si="888"/>
        <v>#DIV/0!</v>
      </c>
      <c r="MS210" s="173" t="e">
        <f ca="1">MAX(Control!$C$127, MIN(Control!$C$135, $MR210/MAX(0.0001,$CY210)))</f>
        <v>#DIV/0!</v>
      </c>
      <c r="MT210" s="168" t="e">
        <f ca="1">(Control!$C$128-$MS210)*Control!$C$74</f>
        <v>#DIV/0!</v>
      </c>
      <c r="MU210" s="168" t="e">
        <f ca="1">(Control!$C$135-$MS210)*Control!$C$74</f>
        <v>#DIV/0!</v>
      </c>
      <c r="MV210" s="168" t="e">
        <f t="shared" ca="1" si="889"/>
        <v>#DIV/0!</v>
      </c>
      <c r="MW210" s="168" t="e">
        <f t="shared" ca="1" si="890"/>
        <v>#DIV/0!</v>
      </c>
      <c r="MX210" s="171" t="e">
        <f ca="1">MAX(Control!$C$127, MIN(Control!$C$135, $MW210/MAX(0.0001,Control!$C$119-$CY210)))</f>
        <v>#DIV/0!</v>
      </c>
      <c r="MY210" s="54" t="e">
        <f ca="1">IF(Control!$C$114=1, $CX210*$MX210, 0)</f>
        <v>#DIV/0!</v>
      </c>
      <c r="MZ210" s="54" t="e">
        <f t="shared" ca="1" si="891"/>
        <v>#N/A</v>
      </c>
      <c r="NA210" s="168" t="e">
        <f ca="1">(Control!$C$128-$MX210)*(Control!$C$119-Control!$C$74)</f>
        <v>#DIV/0!</v>
      </c>
      <c r="NB210" s="168" t="e">
        <f ca="1">(Control!$C$135-$MX210)*(Control!$C$119-Control!$C$74)</f>
        <v>#DIV/0!</v>
      </c>
      <c r="NC210" s="174" t="e">
        <f t="shared" ca="1" si="892"/>
        <v>#DIV/0!</v>
      </c>
      <c r="ND210" s="54">
        <f ca="1">IF(Control!$C$58=2, IF(OR(Control!$B$218=$AH210,Control!$B$219=$AH210, Control!$B$220=$AH210, Control!$B$221=$AH210, Control!$B$222=$AH210, Control!$B$223=$AH210, Control!$B$224=$AH210, Control!$B$225=$AH210, Control!$B$226=$AH210, Control!$B$227=$AH210, Control!$B$228=$AH210), 1, 0), 0)</f>
        <v>0</v>
      </c>
      <c r="NE210" s="54">
        <f ca="1">IF($ND210=0,0, VLOOKUP($AH210,Control!$B$218:$C$228,2))</f>
        <v>0</v>
      </c>
      <c r="NF210" s="168" t="e">
        <f ca="1">$CY210*(Control!$C$128-Control!$C$127)</f>
        <v>#N/A</v>
      </c>
      <c r="NG210" s="54" t="e">
        <f ca="1">IF(Control!$C$58=2, $NI209-$NJ209, 0)</f>
        <v>#DIV/0!</v>
      </c>
      <c r="NH210" s="54" t="e">
        <f ca="1">IF(AND(Control!$C$58=1, $MS209&lt;= ($MN209+0.02), $I209&lt;10), 0, IF(Control!$C$58=2, $NG209, 0))</f>
        <v>#DIV/0!</v>
      </c>
      <c r="NI210" s="54" t="e">
        <f ca="1">IF(Control!$C$58=2, $NE210+$NH210,0)</f>
        <v>#DIV/0!</v>
      </c>
      <c r="NJ210" s="54" t="e">
        <f ca="1">IF(AND(Control!$C$58=1, $MS210&lt;= ($MN210+0.02), $I210&lt;10), MAX(0, MIN(10, 0.7*($NF210-$MV210))), IF(Control!$C$58=2, MIN(10,$NI210),0))</f>
        <v>#DIV/0!</v>
      </c>
      <c r="NK210" s="54" t="e">
        <f t="shared" ca="1" si="800"/>
        <v>#DIV/0!</v>
      </c>
      <c r="NL210" s="173" t="e">
        <f ca="1">(1-Control!$C$73)*$I210+$NJ210</f>
        <v>#DIV/0!</v>
      </c>
      <c r="NM210" s="172" t="e">
        <f ca="1">IF($NL210&lt;0.5, $MB210* MAX(0, MIN(1, (SQRT($NC210)-SQRT($NC210-1))*Control!$C$71)),0)</f>
        <v>#DIV/0!</v>
      </c>
      <c r="NN210" s="170" t="e">
        <f ca="1">IF($NL210&gt;=5, $MB210, MAX(0,MIN($MB210, $NM210+$NL210,($MS210-Control!$C$129))))</f>
        <v>#DIV/0!</v>
      </c>
      <c r="NO210" s="54">
        <f>IF(Control!$C$133&lt;&gt;1, Control!$C$135-Control!$C$131, 0)</f>
        <v>0.38</v>
      </c>
      <c r="NP210" s="54" t="e">
        <f t="shared" ca="1" si="801"/>
        <v>#DIV/0!</v>
      </c>
      <c r="NQ210" s="173" t="e">
        <f ca="1">MAX(0,MIN(1,(Control!$C$135-$MS210)/(Control!$C$135-$NO210)))</f>
        <v>#DIV/0!</v>
      </c>
      <c r="NR210" s="170" t="e">
        <f ca="1">IF(Control!$C$133&lt;&gt;1, $NQ210+((1-$NP210/4)*(1-$NQ210)),1)</f>
        <v>#DIV/0!</v>
      </c>
      <c r="NS210" s="170" t="e">
        <f ca="1">IF(Control!$B$31=0,$MJ210,MAX(0,MIN($MV210,$MO210*$NR210*$MJ210)))</f>
        <v>#DIV/0!</v>
      </c>
      <c r="NT210" s="170" t="e">
        <f t="shared" ca="1" si="917"/>
        <v>#DIV/0!</v>
      </c>
      <c r="NU210" s="170" t="e">
        <f t="shared" ca="1" si="893"/>
        <v>#N/A</v>
      </c>
      <c r="NV210" s="170" t="e">
        <f t="shared" ca="1" si="802"/>
        <v>#N/A</v>
      </c>
      <c r="NW210" s="175" t="e">
        <f t="shared" ca="1" si="803"/>
        <v>#DIV/0!</v>
      </c>
      <c r="NX210" s="170" t="e">
        <f ca="1">MIN(Control!$C$72+$MU210, $NW210)</f>
        <v>#DIV/0!</v>
      </c>
      <c r="NY210" s="170" t="e">
        <f ca="1">IF($MT210&lt;=$NX210,MIN(Control!$C$72+$NB210,$NX210-$MT210),0)</f>
        <v>#DIV/0!</v>
      </c>
      <c r="NZ210" s="54" t="e">
        <f ca="1">IF(Control!$C$114=1,  $CX210*($MX210-Control!$C$127), 0)</f>
        <v>#DIV/0!</v>
      </c>
      <c r="OA210" s="170" t="e">
        <f t="shared" ca="1" si="804"/>
        <v>#DIV/0!</v>
      </c>
      <c r="OB210" s="170" t="e">
        <f ca="1">IF($NA210 &lt;=$NY210, MIN(Control!$C$72, $NY210-$NA210), 0)</f>
        <v>#DIV/0!</v>
      </c>
      <c r="OC210" s="168" t="e">
        <f t="shared" ca="1" si="805"/>
        <v>#DIV/0!</v>
      </c>
      <c r="OD210" s="168" t="e">
        <f t="shared" ca="1" si="894"/>
        <v>#DIV/0!</v>
      </c>
      <c r="OE210" s="170">
        <f ca="1">Control!$C$73*$I210</f>
        <v>0</v>
      </c>
      <c r="OF210" s="176" t="e">
        <f t="shared" ca="1" si="806"/>
        <v>#DIV/0!</v>
      </c>
      <c r="OG210" s="168" t="e">
        <f t="shared" ca="1" si="807"/>
        <v>#DIV/0!</v>
      </c>
      <c r="OH210" s="168" t="e">
        <f t="shared" ca="1" si="808"/>
        <v>#DIV/0!</v>
      </c>
      <c r="OI210" s="168" t="e">
        <f t="shared" ca="1" si="809"/>
        <v>#DIV/0!</v>
      </c>
      <c r="OJ210" s="168" t="e">
        <f t="shared" ca="1" si="810"/>
        <v>#DIV/0!</v>
      </c>
      <c r="OK210" s="204" t="e">
        <f t="shared" ca="1" si="811"/>
        <v>#DIV/0!</v>
      </c>
      <c r="OL210" s="177">
        <f>Control!$C$127</f>
        <v>0.15</v>
      </c>
      <c r="OM210" s="182" t="e">
        <f t="shared" ca="1" si="812"/>
        <v>#N/A</v>
      </c>
      <c r="ON210" s="177">
        <f>Control!$C$128</f>
        <v>0.35</v>
      </c>
      <c r="OO210" s="182" t="e">
        <f t="shared" ca="1" si="813"/>
        <v>#N/A</v>
      </c>
      <c r="OP210" s="138">
        <f t="shared" ca="1" si="895"/>
        <v>0</v>
      </c>
      <c r="OQ210" s="138" t="e">
        <f t="shared" ca="1" si="918"/>
        <v>#DIV/0!</v>
      </c>
      <c r="OR210" s="138" t="e">
        <f t="shared" ca="1" si="896"/>
        <v>#DIV/0!</v>
      </c>
      <c r="OS210" s="137" t="e">
        <f t="shared" ca="1" si="919"/>
        <v>#DIV/0!</v>
      </c>
      <c r="OT210" s="139" t="e">
        <f t="shared" ca="1" si="920"/>
        <v>#DIV/0!</v>
      </c>
      <c r="OU210" s="138" t="e">
        <f t="shared" ca="1" si="921"/>
        <v>#N/A</v>
      </c>
      <c r="OV210" s="138" t="e">
        <f t="shared" ca="1" si="922"/>
        <v>#DIV/0!</v>
      </c>
      <c r="OW210" s="138" t="e">
        <f t="shared" ca="1" si="897"/>
        <v>#DIV/0!</v>
      </c>
      <c r="OX210" s="138" t="e">
        <f t="shared" ca="1" si="898"/>
        <v>#DIV/0!</v>
      </c>
      <c r="OY210" s="138" t="e">
        <f t="shared" ca="1" si="899"/>
        <v>#DIV/0!</v>
      </c>
      <c r="OZ210" s="138" t="e">
        <f t="shared" ca="1" si="814"/>
        <v>#DIV/0!</v>
      </c>
      <c r="PA210" s="138" t="e">
        <f t="shared" ca="1" si="815"/>
        <v>#DIV/0!</v>
      </c>
      <c r="PB210" s="55">
        <f>IF(Control!$C$61="T", IF(Control!$C$65="F", IF($AH$6-Control!$C$60&lt;0,0,1), IF(365+$AH$6-Control!$C$60&lt;0,0,1)),0)</f>
        <v>0</v>
      </c>
      <c r="PC210" s="55">
        <f ca="1">IF(Control!$C$65="F", IF($AH$6-$HF210&lt;0,0,1), IF(365+$AH$6-$HF210&lt;0,0,1))</f>
        <v>1</v>
      </c>
      <c r="PD210" s="444">
        <f>Control!$C$118</f>
        <v>1500</v>
      </c>
      <c r="PE210" s="180" t="e">
        <f t="shared" ca="1" si="816"/>
        <v>#N/A</v>
      </c>
      <c r="PF210" s="445">
        <f t="shared" ca="1" si="900"/>
        <v>0.71612369323045078</v>
      </c>
      <c r="PT210" s="186"/>
      <c r="PU210" s="186"/>
      <c r="PV210" s="94"/>
      <c r="PW210" s="94"/>
      <c r="PX210" s="94"/>
      <c r="PY210" s="94"/>
      <c r="PZ210" s="94"/>
      <c r="QA210" s="94"/>
      <c r="QB210" s="94"/>
      <c r="QC210" s="94"/>
      <c r="QD210" s="94"/>
      <c r="QE210" s="94"/>
      <c r="QF210" s="94"/>
      <c r="QG210" s="94"/>
      <c r="QH210" s="94"/>
      <c r="QI210" s="94"/>
      <c r="QJ210" s="94"/>
      <c r="QK210" s="94"/>
      <c r="QL210" s="94"/>
      <c r="QM210" s="94"/>
      <c r="QN210" s="94"/>
      <c r="QO210" s="94"/>
      <c r="QP210" s="94"/>
    </row>
    <row r="211" spans="1:458" s="2" customFormat="1" x14ac:dyDescent="0.2">
      <c r="A211" s="395">
        <v>25</v>
      </c>
      <c r="B211" s="396">
        <v>7</v>
      </c>
      <c r="C211" s="387">
        <f ca="1">Weather_data!$B210</f>
        <v>0</v>
      </c>
      <c r="D211" s="388">
        <f ca="1">Weather_data!$F210</f>
        <v>0</v>
      </c>
      <c r="E211" s="388">
        <f ca="1">Weather_data!$E210</f>
        <v>0</v>
      </c>
      <c r="F211" s="388">
        <f t="shared" ca="1" si="817"/>
        <v>0</v>
      </c>
      <c r="G211" s="388">
        <f ca="1">AVERAGE($D211:$E211)+Control!$B$9</f>
        <v>0</v>
      </c>
      <c r="H211" s="388">
        <f ca="1">Weather_data!$G210</f>
        <v>0</v>
      </c>
      <c r="I211" s="388">
        <f ca="1">Weather_data!$I210</f>
        <v>0</v>
      </c>
      <c r="J211" s="388">
        <f ca="1">Weather_data!$H210</f>
        <v>0</v>
      </c>
      <c r="K211" s="389">
        <f ca="1">Weather_data!$D210</f>
        <v>0</v>
      </c>
      <c r="L211" s="388" t="e">
        <f t="shared" ca="1" si="818"/>
        <v>#N/A</v>
      </c>
      <c r="M211" s="388" t="e">
        <f t="shared" ca="1" si="696"/>
        <v>#N/A</v>
      </c>
      <c r="N211" s="388">
        <f t="shared" ca="1" si="697"/>
        <v>-2.0829768314349429E-10</v>
      </c>
      <c r="O211" s="388">
        <f t="shared" ca="1" si="819"/>
        <v>2.0829768314349428E-9</v>
      </c>
      <c r="P211" s="390">
        <v>3</v>
      </c>
      <c r="Q211" s="388">
        <f ca="1">MAX($G211-Control!$C$107,0)</f>
        <v>0</v>
      </c>
      <c r="R211" s="388">
        <f t="shared" ca="1" si="820"/>
        <v>0</v>
      </c>
      <c r="S211" s="388">
        <f t="shared" ca="1" si="698"/>
        <v>0</v>
      </c>
      <c r="T211" s="388">
        <f t="shared" ca="1" si="699"/>
        <v>0</v>
      </c>
      <c r="U211" s="59">
        <f t="shared" ca="1" si="700"/>
        <v>0</v>
      </c>
      <c r="V211" s="391">
        <f ca="1">MAX(0,MIN(Control!$C$100-Control!$C$99,$G211-Control!$C$99)*Control!$C$63)</f>
        <v>0</v>
      </c>
      <c r="W211" s="388">
        <f t="shared" ca="1" si="821"/>
        <v>0</v>
      </c>
      <c r="X211" s="388">
        <f t="shared" ca="1" si="822"/>
        <v>0.6110000000000001</v>
      </c>
      <c r="Y211" s="388">
        <f t="shared" ca="1" si="701"/>
        <v>0</v>
      </c>
      <c r="Z211" s="388">
        <f t="shared" ca="1" si="823"/>
        <v>0.61058800000000002</v>
      </c>
      <c r="AA211" s="388">
        <f t="shared" ca="1" si="702"/>
        <v>0.6018</v>
      </c>
      <c r="AB211" s="388">
        <f ca="1">101.3*EXP(-0.034*Control!$C$66/($G211+273))</f>
        <v>100.69623283836242</v>
      </c>
      <c r="AC211" s="392">
        <f t="shared" ca="1" si="703"/>
        <v>4.3460251046025113E-2</v>
      </c>
      <c r="AD211" s="392">
        <f t="shared" ca="1" si="704"/>
        <v>4.4450382862832649E-2</v>
      </c>
      <c r="AE211" s="388">
        <f t="shared" ca="1" si="705"/>
        <v>0</v>
      </c>
      <c r="AF211" s="388">
        <f ca="1">MAX(0,$G211-Control!$C$92)</f>
        <v>0</v>
      </c>
      <c r="AG211" s="393">
        <f t="shared" ca="1" si="706"/>
        <v>207</v>
      </c>
      <c r="AH211" s="389">
        <f t="shared" ca="1" si="707"/>
        <v>207</v>
      </c>
      <c r="AI211" s="388">
        <f t="shared" ca="1" si="824"/>
        <v>0.3360988159577929</v>
      </c>
      <c r="AJ211" s="388">
        <f ca="1">IF(Control!$C$60&lt;=0,$HH211,$HI211)</f>
        <v>1</v>
      </c>
      <c r="AK211" s="388">
        <f t="shared" ca="1" si="708"/>
        <v>2.1862042027720752</v>
      </c>
      <c r="AL211" s="388">
        <f t="shared" ca="1" si="709"/>
        <v>-1.136101802912126E-17</v>
      </c>
      <c r="AM211" s="388">
        <f t="shared" ca="1" si="710"/>
        <v>2.1862042027720752</v>
      </c>
      <c r="AN211" s="388">
        <f t="shared" ca="1" si="711"/>
        <v>0.33082017211133663</v>
      </c>
      <c r="AO211" s="388">
        <f ca="1">-0.10453/COS(Control!$B$8*PI()/180)*COS(AN211)</f>
        <v>-0.16057849293035592</v>
      </c>
      <c r="AP211" s="388">
        <f ca="1">ACOS(AO211-TAN(Control!$B$8*PI()/180)*TAN(AN211))</f>
        <v>2.2145019462637823</v>
      </c>
      <c r="AQ211" s="388">
        <f t="shared" ca="1" si="825"/>
        <v>0</v>
      </c>
      <c r="AR211" s="394">
        <f t="shared" ca="1" si="712"/>
        <v>0</v>
      </c>
      <c r="AS211" s="436">
        <f ca="1">IF(Control!$B$18=2,(IF(OR($AH211=Control!$B$175,$AH211=Control!$B$176,$AH211=Control!$B$177,$AH211=Control!$B$178,$AH211=Control!$B$179,$AH211=Control!$B$180,$AH211=Control!$B$181,$AH211=Control!$B$182,$AH211=Control!$B$183,$AH211=Control!$B$184,$AH211=Control!$B$185),1,0)),0)</f>
        <v>0</v>
      </c>
      <c r="AT211" s="436">
        <f>IF(Control!$B$20=8,IF(AND($AH211&gt;=Control!$B$172,$AH211&lt;=Control!$B$173),1,0),0)</f>
        <v>0</v>
      </c>
      <c r="AU211" s="436">
        <f>IF(Control!$B$20=8,IF($AV210=1,1*$AT211,IF($AT211=1,$AU210+1,$AU210)),0)</f>
        <v>0</v>
      </c>
      <c r="AV211" s="436">
        <f>IF(Control!$B$20=8,IF($AU211&gt;=Control!$B$174,1,0),0)</f>
        <v>0</v>
      </c>
      <c r="AW211" s="436">
        <f ca="1">IF(AND(Control!$B$18=2,Control!$B$171=1), $AV211, $AS211)</f>
        <v>0</v>
      </c>
      <c r="AX211" s="436" t="e">
        <f ca="1">IF(AND(Control!$B$18=1,$EU211&gt;=Control!$B$19),-$AY211,IF(AND(Control!$B$18=2,$AW211=1,$EU211&gt;$DS211),-$AY211, IF(Control!$C$108=0,0, IF(Control!$C$108&lt;&gt;0,1))))</f>
        <v>#N/A</v>
      </c>
      <c r="AY211" s="436" t="e">
        <f t="shared" ca="1" si="826"/>
        <v>#N/A</v>
      </c>
      <c r="AZ211" s="436" t="e">
        <f ca="1">IF(AND(Control!$B$18=1,$EB211&gt;Control!$B$19),$AZ210+1, IF(AND(Control!$B$18=2, $AW211=1, $EB211&gt;$DS211), $AZ210+1,$AZ210))</f>
        <v>#N/A</v>
      </c>
      <c r="BA211" s="587">
        <f>IF(Control!$C$81=0,1,IF($AH211&gt;=Control!$C$82,1,0))</f>
        <v>1</v>
      </c>
      <c r="BB211" s="140" t="e">
        <f ca="1">IF($BA211&gt;$BA210,Control!$C$83,IF($AW211&gt;0,$AW211*Control!$C$84,IF(AND(Control!$B$18=1,EN210&lt;&gt;0),Control!$C$84,0)))</f>
        <v>#N/A</v>
      </c>
      <c r="BC211" s="140" t="e">
        <f t="shared" ca="1" si="827"/>
        <v>#N/A</v>
      </c>
      <c r="BD211" s="140" t="e">
        <f ca="1">BC211*IF(OR($G211&lt;Control!$C$92,$G211&gt;Control!$C$95),0,IF(AND($G211&gt;=Control!$C$92,$G211&lt;=Control!$C$93),$G211-Control!$C$92,IF(AND($G211&gt;Control!$C$93,$G211&lt;=Control!$C$94),Control!$C$93-Control!$C$92,IF(AND($G211&gt;Control!$C$94,$G211&lt;=Control!$C$95),(Control!$C$93-Control!$C$92)*(Control!$C$94-$G211)/(Control!$C$95-Control!$C$94)))))</f>
        <v>#N/A</v>
      </c>
      <c r="BE211" s="140" t="e">
        <f t="shared" ca="1" si="828"/>
        <v>#N/A</v>
      </c>
      <c r="BF211" s="140" t="e">
        <f ca="1">IF($BE211&lt;=Control!$C$86,$BE211,Control!$C$86-$BE211)</f>
        <v>#N/A</v>
      </c>
      <c r="BG211" s="140" t="e">
        <f ca="1">IF(AND($AW211=1,Control!$C$84&lt;9),1,IF($BE211&gt;=Control!$C$86,0,$BC211))</f>
        <v>#N/A</v>
      </c>
      <c r="BH211" s="404" t="e">
        <f ca="1">IF($BG211=0,0,IF($BE211&lt;=Control!$C$86,$BC211*9*($BF211/Control!$C$86),0))</f>
        <v>#N/A</v>
      </c>
      <c r="BI211" s="140" t="e">
        <f ca="1">IF($BG211=1,0,IF($BE211&gt;=Control!$C$86,1,IF(AND($BB211&lt;21,$BB211&gt;=9),1,$BM210)))</f>
        <v>#N/A</v>
      </c>
      <c r="BJ211" s="140" t="e">
        <f ca="1">IF($BF211&lt;0,-$BF211,$BI211*IF(OR($G211&lt;Control!$C$92,$G211&gt;Control!$C$95),0,IF(AND($G211&gt;=Control!$C$92,$G211&lt;=Control!$C$93),$G211-Control!$C$92,IF(AND($G211&gt;Control!$C$93,$G211&lt;=Control!$C$94),Control!$C$93-Control!$C$92,IF(AND($G211&gt;Control!$C$94,$G211&lt;=Control!$C$95),(Control!$C$93-Control!$C$92)*(Control!$C$94-$G211)/(Control!$C$95-Control!$C$94))))))</f>
        <v>#N/A</v>
      </c>
      <c r="BK211" s="140" t="e">
        <f t="shared" ca="1" si="829"/>
        <v>#N/A</v>
      </c>
      <c r="BL211" s="140" t="e">
        <f ca="1">IF($BK211&lt;=Control!$C$87,$BK211,Control!$C$87-$BK211)</f>
        <v>#N/A</v>
      </c>
      <c r="BM211" s="140" t="e">
        <f ca="1">IF(AND($BB211&gt;=9,$BB211&lt;21),1,IF($BK211&gt;=Control!$C$87,0,$BI211))</f>
        <v>#N/A</v>
      </c>
      <c r="BN211" s="404" t="e">
        <f ca="1">IF($BM211=0,0,IF($BK211&lt;=Control!$C$87,$BI211*(9+(21-9)*($BL211/Control!$C$87)),0))</f>
        <v>#N/A</v>
      </c>
      <c r="BO211" s="140" t="e">
        <f ca="1">IF($BM211=1,0,IF($BK211&gt;=Control!$C$87,1,IF(AND($BB211&lt;30,$BB211&gt;=21),1,$BS210)))</f>
        <v>#N/A</v>
      </c>
      <c r="BP211" s="140" t="e">
        <f ca="1">IF($BL211&lt;0,-$BL211,$BO211*IF(OR($G211&lt;Control!$C$92,$G211&gt;Control!$C$95),0,IF(AND($G211&gt;=Control!$C$92,$G211&lt;=Control!$C$93),$G211-Control!$C$92,IF(AND($G211&gt;Control!$C$93,$G211&lt;=Control!$C$94),Control!$C$93-Control!$C$92,IF(AND($G211&gt;Control!$C$94,$G211&lt;=Control!$C$95),(Control!$C$93-Control!$C$92)*(Control!$C$94-$G211)/(Control!$C$95-Control!$C$94))))))</f>
        <v>#N/A</v>
      </c>
      <c r="BQ211" s="140" t="e">
        <f t="shared" ca="1" si="713"/>
        <v>#N/A</v>
      </c>
      <c r="BR211" s="140" t="e">
        <f ca="1">IF($BQ211&lt;=Control!$C$88,$BQ211,Control!$C$88-$BQ211)</f>
        <v>#N/A</v>
      </c>
      <c r="BS211" s="140" t="e">
        <f ca="1">IF(AND($BB211&gt;=21,$BB211&lt;30),1,IF($BQ211&gt;=Control!$C$88,0,$BO211))</f>
        <v>#N/A</v>
      </c>
      <c r="BT211" s="404" t="e">
        <f ca="1">IF($BS211=0,0,IF($BQ211&lt;=Control!$C$88,$BO211*(21+(30-21)*(BR211/Control!$C$88)),0))</f>
        <v>#N/A</v>
      </c>
      <c r="BU211" s="140" t="e">
        <f ca="1">IF(BG211+BM211+BS211=1,0,IF(OR(AND($BB211&lt;60,$BB211&gt;=30),$BQ211&gt;=Control!$C$88),1*$BA211,$BY210))</f>
        <v>#N/A</v>
      </c>
      <c r="BV211" s="140" t="e">
        <f ca="1">IF($BR211&lt;0,-$BR211,$BU211*IF(OR($G211&lt;Control!$C$92,$G211&gt;Control!$C$95),0,IF(AND($G211&gt;=Control!$C$92,$G211&lt;=Control!$C$93),$G211-Control!$C$92,IF(AND($G211&gt;Control!$C$93,$G211&lt;=Control!$C$94),Control!$C$93-Control!$C$92,IF(AND($G211&gt;Control!$C$94,$G211&lt;=Control!$C$95),(Control!$C$93-Control!$C$92)*(Control!$C$94-$G211)/(Control!$C$95-Control!$C$94))))))</f>
        <v>#N/A</v>
      </c>
      <c r="BW211" s="140" t="e">
        <f t="shared" ca="1" si="714"/>
        <v>#N/A</v>
      </c>
      <c r="BX211" s="140" t="e">
        <f ca="1">IF($BW211&lt;=Control!$C$89,$BW211,Control!$C$89-$BW211)</f>
        <v>#N/A</v>
      </c>
      <c r="BY211" s="140" t="e">
        <f ca="1">IF(AND($AJ211&gt;=30,$AJ211&lt;60),1,IF($BW211&gt;=Control!$C$89,0,$BU211))</f>
        <v>#N/A</v>
      </c>
      <c r="BZ211" s="404" t="e">
        <f ca="1">IF($BY211=0,0,IF($BW211&lt;=Control!$C$89,$BU211*(30+(60-30)*(BX211/Control!$C$89)),0))</f>
        <v>#N/A</v>
      </c>
      <c r="CA211" s="140" t="e">
        <f ca="1">IF($BG211+$BM211+$BS211+$BY211=1,0,IF(OR(AND($BB211&lt;65,$BB211&gt;=60),$BW211&gt;=Control!$C$89),1*$BA211,$CE210))</f>
        <v>#N/A</v>
      </c>
      <c r="CB211" s="140" t="e">
        <f ca="1">IF($BX211&lt;0,-$BX211,$CA211*IF(OR($G211&lt;Control!$C$92,$G211&gt;Control!$C$95),0,IF(AND($G211&gt;=Control!$C$92,$G211&lt;=Control!$C$93),$G211-Control!$C$92,IF(AND($G211&gt;Control!$C$93,$G211&lt;=Control!$C$94),Control!$C$93-Control!$C$92,IF(AND($G211&gt;Control!$C$94,$G211&lt;=Control!$C$95),(Control!$C$93-Control!$C$92)*(Control!$C$94-$G211)/(Control!$C$95-Control!$C$94))))))</f>
        <v>#N/A</v>
      </c>
      <c r="CC211" s="140" t="e">
        <f t="shared" ca="1" si="830"/>
        <v>#N/A</v>
      </c>
      <c r="CD211" s="140" t="e">
        <f ca="1">IF($CC211&lt;=Control!$C$90,$CC211,Control!$C$90-$CC211)</f>
        <v>#N/A</v>
      </c>
      <c r="CE211" s="140" t="e">
        <f ca="1">IF(AND($BB211&gt;=60,$BB211&lt;65),1,IF($CC211&gt;=Control!$C$90,0,$CA211))</f>
        <v>#N/A</v>
      </c>
      <c r="CF211" s="404" t="e">
        <f ca="1">IF($CE211=0,0,IF($CC211&lt;=Control!$C$90,$CA211*(60+(65-60)*(CD211/Control!$C$90)),0))</f>
        <v>#N/A</v>
      </c>
      <c r="CG211" s="140" t="e">
        <f ca="1">IF($BG211+$BM211+$BS211+$BY211+$CE211=1,0,IF(OR(AND($BB211&lt;90,$BB211&gt;=65),$CC211&gt;=Control!$C$90),$BA211,$CK210))</f>
        <v>#N/A</v>
      </c>
      <c r="CH211" s="140" t="e">
        <f ca="1">IF($CD211&lt;0,-$CD211,$CG211*IF(OR($G211&lt;Control!$C$92,$G211&gt;Control!$C$95),0,IF(AND($G211&gt;=Control!$C$92,$G211&lt;=Control!$C$93),$G211-Control!$C$92,IF(AND($G211&gt;Control!$C$93,$G211&lt;=Control!$C$94),Control!$C$93-Control!$C$92,IF(AND($G211&gt;Control!$C$94,$G211&lt;=Control!$C$95),(Control!$C$93-Control!$C$92)*(Control!$C$94-$G211)/(Control!$C$95-Control!$C$94))))))</f>
        <v>#N/A</v>
      </c>
      <c r="CI211" s="140" t="e">
        <f t="shared" ca="1" si="831"/>
        <v>#N/A</v>
      </c>
      <c r="CJ211" s="140" t="e">
        <f ca="1">IF($CI211&lt;=Control!$C$91,$CI211,Control!$C$91-$CI211)</f>
        <v>#N/A</v>
      </c>
      <c r="CK211" s="140" t="e">
        <f ca="1">IF(AND($BB211&gt;=65,$BB211&lt;90),1,IF($CI211&gt;=Control!$C$91,0,$CG211))</f>
        <v>#N/A</v>
      </c>
      <c r="CL211" s="404" t="e">
        <f ca="1">IF($CK211=0,0,IF($CI211&lt;=Control!$C$91,$CG211*(65+(90-65)*($CJ211/Control!$C$91)),0))</f>
        <v>#N/A</v>
      </c>
      <c r="CM211" s="140" t="e">
        <f ca="1">IF($BG211+$BM211+$BS211+$BY211+$CE211+$CK211=1,0,IF(OR($BB211&gt;=90,$CI211&gt;=Control!$C$91),$BA211,$CM210))</f>
        <v>#N/A</v>
      </c>
      <c r="CN211" s="140" t="e">
        <f t="shared" ca="1" si="832"/>
        <v>#N/A</v>
      </c>
      <c r="CO211" s="140" t="e">
        <f t="shared" ca="1" si="833"/>
        <v>#N/A</v>
      </c>
      <c r="CP211" s="140" t="e">
        <f t="shared" ca="1" si="834"/>
        <v>#N/A</v>
      </c>
      <c r="CQ211" s="141" t="e">
        <f ca="1">VLOOKUP($CP211,Control!$B$86:$G$91,6)</f>
        <v>#N/A</v>
      </c>
      <c r="CR211" s="141" t="e">
        <f ca="1">(1-$CQ211)*VLOOKUP($CP211,Control!$B$86:$D$91,3)</f>
        <v>#N/A</v>
      </c>
      <c r="CS211" s="141" t="e">
        <f ca="1">(1-$CQ211)*VLOOKUP($CP211,Control!$B$86:$E$91,4)</f>
        <v>#N/A</v>
      </c>
      <c r="CT211" s="141" t="e">
        <f ca="1">(1-$CQ211)*VLOOKUP($CP211,Control!$B$86:$F$91,5)</f>
        <v>#N/A</v>
      </c>
      <c r="CU211" s="141">
        <f t="shared" ca="1" si="835"/>
        <v>0</v>
      </c>
      <c r="CV211" s="583">
        <f t="shared" ca="1" si="836"/>
        <v>0</v>
      </c>
      <c r="CW211" s="142">
        <f t="shared" ca="1" si="837"/>
        <v>207</v>
      </c>
      <c r="CX211" s="612" t="e">
        <f ca="1">IF(Control!$C$114=1,(MIN(Control!$C$120*(IF($NT211-0.01&lt;0,0,1)),Control!$C$119-$CY211)))</f>
        <v>#DIV/0!</v>
      </c>
      <c r="CY211" s="143" t="e">
        <f t="shared" ca="1" si="838"/>
        <v>#N/A</v>
      </c>
      <c r="CZ211" s="144">
        <f t="shared" ca="1" si="715"/>
        <v>0</v>
      </c>
      <c r="DA211" s="144">
        <f t="shared" ca="1" si="716"/>
        <v>0</v>
      </c>
      <c r="DB211" s="144" t="e">
        <f t="shared" ca="1" si="717"/>
        <v>#N/A</v>
      </c>
      <c r="DC211" s="144" t="e">
        <f t="shared" ca="1" si="718"/>
        <v>#N/A</v>
      </c>
      <c r="DD211" s="144" t="e">
        <f t="shared" ca="1" si="923"/>
        <v>#N/A</v>
      </c>
      <c r="DE211" s="143" t="e">
        <f t="shared" ca="1" si="839"/>
        <v>#N/A</v>
      </c>
      <c r="DF211" s="145" t="e">
        <f ca="1">$DR211*EXP(-Control!$C$158*(1-$KH211))</f>
        <v>#N/A</v>
      </c>
      <c r="DG211" s="146" t="e">
        <f ca="1">IF(Control!$C$114=1, $DF211*$EY211, 0)</f>
        <v>#N/A</v>
      </c>
      <c r="DH211" s="147" t="e">
        <f t="shared" ca="1" si="840"/>
        <v>#N/A</v>
      </c>
      <c r="DI211" s="144" t="e">
        <f t="shared" ca="1" si="901"/>
        <v>#N/A</v>
      </c>
      <c r="DJ211" s="147" t="e">
        <f ca="1">$EF211*Control!$C$109</f>
        <v>#N/A</v>
      </c>
      <c r="DK211" s="144" t="e">
        <f t="shared" ca="1" si="841"/>
        <v>#N/A</v>
      </c>
      <c r="DL211" s="144" t="e">
        <f t="shared" ca="1" si="719"/>
        <v>#N/A</v>
      </c>
      <c r="DM211" s="144" t="e">
        <f ca="1">IF(Control!$C$114=1, (1-EXP(-Control!$C$96*$DK211))*$AR211, 0)</f>
        <v>#N/A</v>
      </c>
      <c r="DN211" s="144">
        <f t="shared" ca="1" si="842"/>
        <v>0</v>
      </c>
      <c r="DO211" s="148">
        <f>Control!$C$97</f>
        <v>4</v>
      </c>
      <c r="DP211" s="145" t="e">
        <f t="shared" ca="1" si="843"/>
        <v>#N/A</v>
      </c>
      <c r="DQ211" s="145" t="e">
        <f ca="1">IF(AND($CP211&gt;=0,$CP211&lt;=90),Control!$C$111,Control!$C$111)</f>
        <v>#N/A</v>
      </c>
      <c r="DR211" s="145" t="e">
        <f t="shared" ca="1" si="720"/>
        <v>#N/A</v>
      </c>
      <c r="DS211" s="143" t="e">
        <f ca="1">Control!$B$22/$DR211</f>
        <v>#N/A</v>
      </c>
      <c r="DT211" s="149" t="e">
        <f ca="1">IF(AND(Control!$C$114=1,$KH211&lt;1),$IM211*$DF211, 0)</f>
        <v>#N/A</v>
      </c>
      <c r="DU211" s="144" t="e">
        <f t="shared" ca="1" si="844"/>
        <v>#N/A</v>
      </c>
      <c r="DV211" s="144">
        <f ca="1">IF($G211-Control!$C$107&lt;=0, 0, 0.83*LN(MAX($G211, 3))-0.8924)</f>
        <v>0</v>
      </c>
      <c r="DW211" s="144" t="e">
        <f t="shared" ca="1" si="721"/>
        <v>#N/A</v>
      </c>
      <c r="DX211" s="150" t="e">
        <f ca="1">MAX(0.01*(1+$CU211/Control!$C$102),0.05*($DK211-Control!$C$97)/Control!$C$97)</f>
        <v>#N/A</v>
      </c>
      <c r="DY211" s="151" t="e">
        <f ca="1">IF(Control!$C$114=1, $DI211*$FS211, 0)</f>
        <v>#N/A</v>
      </c>
      <c r="DZ211" s="196" t="e">
        <f t="shared" ca="1" si="845"/>
        <v>#N/A</v>
      </c>
      <c r="EA211" s="152">
        <f t="shared" ca="1" si="846"/>
        <v>207</v>
      </c>
      <c r="EB211" s="153" t="e">
        <f t="shared" ca="1" si="847"/>
        <v>#N/A</v>
      </c>
      <c r="EC211" s="153" t="e">
        <f t="shared" ca="1" si="848"/>
        <v>#N/A</v>
      </c>
      <c r="ED211" s="154" t="e">
        <f ca="1">IF(Control!$C$114=1, $HM211*$FY211-$FD211, 0)</f>
        <v>#DIV/0!</v>
      </c>
      <c r="EE211" s="155" t="e">
        <f ca="1">IF(Control!$C$114=1, $HM211*$FZ211-$FF211, 0)</f>
        <v>#DIV/0!</v>
      </c>
      <c r="EF211" s="153" t="e">
        <f t="shared" ca="1" si="902"/>
        <v>#N/A</v>
      </c>
      <c r="EG211" s="155" t="e">
        <f ca="1">IF(Control!$C$114=1, $GX211*$FW211-$FI211, 0)</f>
        <v>#DIV/0!</v>
      </c>
      <c r="EH211" s="153" t="e">
        <f t="shared" ca="1" si="849"/>
        <v>#N/A</v>
      </c>
      <c r="EI211" s="156" t="e">
        <f t="shared" ca="1" si="850"/>
        <v>#N/A</v>
      </c>
      <c r="EJ211" s="155" t="e">
        <f ca="1">IF(Control!$C$114=1, $HM211*$GB211, 0)</f>
        <v>#DIV/0!</v>
      </c>
      <c r="EK211" s="153" t="e">
        <f t="shared" ca="1" si="903"/>
        <v>#N/A</v>
      </c>
      <c r="EL211" s="153" t="e">
        <f t="shared" ca="1" si="722"/>
        <v>#N/A</v>
      </c>
      <c r="EM211" s="153" t="e">
        <f t="shared" ca="1" si="723"/>
        <v>#N/A</v>
      </c>
      <c r="EN211" s="153" t="e">
        <f ca="1">IF(Control!$C$108=1,IF(AND(Control!$B$18=1,$EB211&gt;=Control!$B$19),$EB211-$DS211,IF(AND(Control!$B$18=2,$AW211=1,$EB211&gt;$DS211),$EB211-$DS211,0)))</f>
        <v>#N/A</v>
      </c>
      <c r="EO211" s="153" t="e">
        <f ca="1">IF(Control!$C$108=1,IF(AND(Control!$B$18=1,$EB211&gt;=Control!$B$19),$EF211,IF(AND(Control!$B$18=2,$AW211=1),$EF211,0)))</f>
        <v>#N/A</v>
      </c>
      <c r="EP211" s="153" t="e">
        <f ca="1">IF(Control!$C$108=1,IF(AND(Control!$B$18=1,$EB211&gt;=Control!$B$19),$EK211,IF(AND(Control!$B$18=2,$AW211=1),$EK211,0)))</f>
        <v>#N/A</v>
      </c>
      <c r="EQ211" s="153" t="e">
        <f t="shared" ca="1" si="851"/>
        <v>#N/A</v>
      </c>
      <c r="ER211" s="153" t="e">
        <f t="shared" ca="1" si="852"/>
        <v>#N/A</v>
      </c>
      <c r="ES211" s="153" t="e">
        <f t="shared" ca="1" si="904"/>
        <v>#N/A</v>
      </c>
      <c r="ET211" s="153" t="e">
        <f t="shared" ca="1" si="905"/>
        <v>#N/A</v>
      </c>
      <c r="EU211" s="153" t="e">
        <f t="shared" ca="1" si="853"/>
        <v>#N/A</v>
      </c>
      <c r="EV211" s="153" t="e">
        <f t="shared" ca="1" si="724"/>
        <v>#N/A</v>
      </c>
      <c r="EW211" s="153" t="e">
        <f t="shared" ca="1" si="725"/>
        <v>#N/A</v>
      </c>
      <c r="EX211" s="153" t="e">
        <f t="shared" ca="1" si="726"/>
        <v>#N/A</v>
      </c>
      <c r="EY211" s="157" t="e">
        <f t="shared" ca="1" si="727"/>
        <v>#DIV/0!</v>
      </c>
      <c r="EZ211" s="154" t="e">
        <f t="shared" ca="1" si="728"/>
        <v>#DIV/0!</v>
      </c>
      <c r="FA211" s="153" t="e">
        <f t="shared" ca="1" si="854"/>
        <v>#N/A</v>
      </c>
      <c r="FB211" s="153" t="e">
        <f t="shared" ca="1" si="729"/>
        <v>#N/A</v>
      </c>
      <c r="FC211" s="193" t="e">
        <f t="shared" ca="1" si="730"/>
        <v>#N/A</v>
      </c>
      <c r="FD211" s="158" t="e">
        <f t="shared" ca="1" si="855"/>
        <v>#N/A</v>
      </c>
      <c r="FE211" s="158" t="e">
        <f t="shared" ca="1" si="856"/>
        <v>#N/A</v>
      </c>
      <c r="FF211" s="159" t="e">
        <f t="shared" ca="1" si="731"/>
        <v>#N/A</v>
      </c>
      <c r="FG211" s="160" t="e">
        <f t="shared" ca="1" si="857"/>
        <v>#N/A</v>
      </c>
      <c r="FH211" s="158" t="e">
        <f t="shared" ca="1" si="858"/>
        <v>#N/A</v>
      </c>
      <c r="FI211" s="159" t="e">
        <f t="shared" ca="1" si="732"/>
        <v>#N/A</v>
      </c>
      <c r="FJ211" s="160" t="e">
        <f t="shared" ca="1" si="859"/>
        <v>#N/A</v>
      </c>
      <c r="FK211" s="160" t="e">
        <f t="shared" ca="1" si="733"/>
        <v>#N/A</v>
      </c>
      <c r="FL211" s="160" t="e">
        <f t="shared" ca="1" si="906"/>
        <v>#N/A</v>
      </c>
      <c r="FM211" s="160" t="e">
        <f t="shared" ca="1" si="734"/>
        <v>#N/A</v>
      </c>
      <c r="FN211" s="158">
        <f t="shared" ca="1" si="860"/>
        <v>0.01</v>
      </c>
      <c r="FO211" s="160">
        <f>Control!$C$101</f>
        <v>50</v>
      </c>
      <c r="FP211" s="150" t="e">
        <f t="shared" ca="1" si="735"/>
        <v>#N/A</v>
      </c>
      <c r="FQ211" s="150" t="e">
        <f ca="1">MAX(0,(Control!$C$112*(($DK211-Control!$C$97)/Control!$C$97)))</f>
        <v>#N/A</v>
      </c>
      <c r="FR211" s="150" t="e">
        <f ca="1">(1-$NT211)*Control!$C$113</f>
        <v>#DIV/0!</v>
      </c>
      <c r="FS211" s="198" t="e">
        <f t="shared" ca="1" si="736"/>
        <v>#N/A</v>
      </c>
      <c r="FT211" s="161">
        <f t="shared" ca="1" si="861"/>
        <v>207</v>
      </c>
      <c r="FU211" s="162" t="e">
        <f ca="1">IF(Control!$B$34=1,VLOOKUP($CP211,Control!$B$86:$G$91,6),Control!$B$35)</f>
        <v>#N/A</v>
      </c>
      <c r="FV211" s="162" t="e">
        <f t="shared" ca="1" si="737"/>
        <v>#DIV/0!</v>
      </c>
      <c r="FW211" s="162" t="e">
        <f ca="1">IF(Control!$B$31=1,$FU211*$FV211,  $FU211)</f>
        <v>#N/A</v>
      </c>
      <c r="FX211" s="162" t="e">
        <f ca="1">IF(Control!$B$34=1,VLOOKUP($CP211,Control!$B$86:$G$91,3),Control!$B$36)</f>
        <v>#N/A</v>
      </c>
      <c r="FY211" s="162" t="e">
        <f t="shared" ca="1" si="738"/>
        <v>#N/A</v>
      </c>
      <c r="FZ211" s="162" t="e">
        <f ca="1">IF(Control!$B$34=1,VLOOKUP($CP211,Control!$B$86:$G$91,4),Control!$B$37)</f>
        <v>#N/A</v>
      </c>
      <c r="GA211" s="162" t="e">
        <f t="shared" ca="1" si="739"/>
        <v>#N/A</v>
      </c>
      <c r="GB211" s="162" t="e">
        <f ca="1">IF(Control!$B$34=1,VLOOKUP($CP211,Control!$B$86:$G$91,5),Control!$B$38)</f>
        <v>#N/A</v>
      </c>
      <c r="GC211" s="162" t="e">
        <f t="shared" ca="1" si="862"/>
        <v>#N/A</v>
      </c>
      <c r="GD211" s="162">
        <f t="shared" ca="1" si="740"/>
        <v>1</v>
      </c>
      <c r="GE211" s="162">
        <f t="shared" ca="1" si="741"/>
        <v>1</v>
      </c>
      <c r="GF211" s="162">
        <f ca="1">IF(AND(Control!$C$104=1, Control!$C$62="F"),$GE211,1)</f>
        <v>1</v>
      </c>
      <c r="GG211" s="162" t="e">
        <f ca="1">IF(Control!$B$16=40,0,IF(AND(Control!$B$16&gt;40,Control!$B$16&lt;=360),(Control!$B$16-40)*((1-0)/(360-40)),IF(AND(Control!$B$16&gt;360,Control!$B$16&lt;=720),(1+(Control!$B$16-360)*((1.25-1)/(720-360))),IF(AND(Control!$B$16&gt;720,Control!$B$16&lt;=1000),(1.25+(Control!$B$16-720)*((1.35-1.25)/(1000-720))),IF(AND(Control!$B$16&gt;1000,Control!$B$16&lt;=2000),(1.35+(Control!$B$16-1000)*0))))))</f>
        <v>#N/A</v>
      </c>
      <c r="GH211" s="162" t="e">
        <f t="shared" ca="1" si="742"/>
        <v>#N/A</v>
      </c>
      <c r="GI211" s="162">
        <f t="shared" ca="1" si="863"/>
        <v>0</v>
      </c>
      <c r="GJ211" s="162">
        <f t="shared" ca="1" si="743"/>
        <v>0</v>
      </c>
      <c r="GK211" s="162">
        <f t="shared" ca="1" si="864"/>
        <v>1</v>
      </c>
      <c r="GL211" s="162">
        <f t="shared" ca="1" si="744"/>
        <v>1</v>
      </c>
      <c r="GM211" s="162" t="e">
        <f ca="1">MAX(0,MIN(1,1-Control!$C$156*(1.0001-$KH211)^2))</f>
        <v>#N/A</v>
      </c>
      <c r="GN211" s="162" t="e">
        <f ca="1">IF(Control!$B$26=1,$KU211,$KX211)</f>
        <v>#N/A</v>
      </c>
      <c r="GO211" s="162" t="e">
        <f ca="1">IF($CP211&lt;=60,Control!$C$105,IF($CP211&gt;=90,Control!$C$106,Control!$C$105+($CP211-60)*((Control!$C$106-Control!$C$105)/(90-60))))</f>
        <v>#N/A</v>
      </c>
      <c r="GP211" s="162" t="e">
        <f t="shared" ca="1" si="745"/>
        <v>#N/A</v>
      </c>
      <c r="GQ211" s="162" t="e">
        <f t="shared" ca="1" si="865"/>
        <v>#N/A</v>
      </c>
      <c r="GR211" s="163" t="e">
        <f t="shared" ca="1" si="746"/>
        <v>#DIV/0!</v>
      </c>
      <c r="GS211" s="162" t="e">
        <f t="shared" ca="1" si="747"/>
        <v>#DIV/0!</v>
      </c>
      <c r="GT211" s="164" t="e">
        <f t="shared" ca="1" si="866"/>
        <v>#N/A</v>
      </c>
      <c r="GU211" s="162" t="e">
        <f t="shared" ca="1" si="867"/>
        <v>#N/A</v>
      </c>
      <c r="GV211" s="162" t="e">
        <f t="shared" ca="1" si="748"/>
        <v>#N/A</v>
      </c>
      <c r="GW211" s="162" t="e">
        <f t="shared" ca="1" si="749"/>
        <v>#DIV/0!</v>
      </c>
      <c r="GX211" s="162" t="e">
        <f t="shared" ca="1" si="868"/>
        <v>#DIV/0!</v>
      </c>
      <c r="GY211" s="162" t="e">
        <f t="shared" ca="1" si="869"/>
        <v>#DIV/0!</v>
      </c>
      <c r="GZ211" s="165" t="e">
        <f t="shared" ca="1" si="750"/>
        <v>#N/A</v>
      </c>
      <c r="HA211" s="162" t="e">
        <f ca="1">IF(Control!$C$114=1, $DI211*$FS211, 0)</f>
        <v>#N/A</v>
      </c>
      <c r="HB211" s="162" t="e">
        <f ca="1">$FA211/Control!$C$64</f>
        <v>#N/A</v>
      </c>
      <c r="HC211" s="162" t="e">
        <f t="shared" ca="1" si="751"/>
        <v>#DIV/0!</v>
      </c>
      <c r="HD211" s="162">
        <f ca="1">-ASIN(SIN(23.45*Control!$C$139)*COS(2*Control!$C$138*($AH211+10)/365))</f>
        <v>0.3360988159577929</v>
      </c>
      <c r="HE211" s="165">
        <f t="shared" ca="1" si="870"/>
        <v>0</v>
      </c>
      <c r="HF211" s="166">
        <f ca="1">IF(AND(Control!$C$61="T",$HE211&gt;=Control!$C$103,Control!$C$114=0),$AH211,Control!$C$59)</f>
        <v>1</v>
      </c>
      <c r="HG211" s="166">
        <f ca="1">IF(AND(Control!$C$61="T",$HE211&gt;=Control!$C$103,Control!$C$114=0),$HF211,Control!$C$59)</f>
        <v>1</v>
      </c>
      <c r="HH211" s="165">
        <f ca="1">IF(AND(OR(Control!$C$60&lt;=0, $AH211= Control!$C$59, Control!$C$60 &gt;0, $AH211 = Control!$C$60)), Control!$C$59, IF(Control!$C$60&gt;0, 0))</f>
        <v>1</v>
      </c>
      <c r="HI211" s="165">
        <f ca="1">IF(AND(OR(Control!$C$60&lt;=0, $AH211= Control!$C$59, Control!$C$60 &gt;0, $AH211 = Control!$C$60)), Control!$C$60, IF(Control!$C$60&lt;=0, 0))</f>
        <v>0</v>
      </c>
      <c r="HJ211" s="166">
        <f ca="1">IF(AND(Control!$C$62="F",$CV211&gt;=Control!$C$102),$AH211,0)</f>
        <v>0</v>
      </c>
      <c r="HK211" s="165" t="e">
        <f t="shared" ca="1" si="907"/>
        <v>#N/A</v>
      </c>
      <c r="HL211" s="166">
        <f ca="1">IF(AND(Control!$C$61="T",$HE211&gt;=Control!$C$103,Control!$C$114=0),$HF211,0)</f>
        <v>0</v>
      </c>
      <c r="HM211" s="201" t="e">
        <f t="shared" ca="1" si="752"/>
        <v>#DIV/0!</v>
      </c>
      <c r="HN211" s="215">
        <f t="shared" ca="1" si="871"/>
        <v>207</v>
      </c>
      <c r="HO211" s="216" t="e">
        <f ca="1">IF(AND($CP211&gt;=0, $CP211&lt;=90), Control!$C$152, Control!$C$152)</f>
        <v>#N/A</v>
      </c>
      <c r="HP211" s="216" t="e">
        <f t="shared" ca="1" si="753"/>
        <v>#N/A</v>
      </c>
      <c r="HQ211" s="217" t="e">
        <f ca="1">IF(OR(Control!$B$26=1,Control!$B$26=2),$KV211,$KS211)</f>
        <v>#DIV/0!</v>
      </c>
      <c r="HR211" s="218" t="e">
        <f t="shared" ca="1" si="908"/>
        <v>#DIV/0!</v>
      </c>
      <c r="HS211" s="216" t="e">
        <f ca="1">Control!$C$154*$HP211</f>
        <v>#N/A</v>
      </c>
      <c r="HT211" s="216" t="e">
        <f ca="1">Control!$C$155*$HP211</f>
        <v>#N/A</v>
      </c>
      <c r="HU211" s="217" t="e">
        <f ca="1">Control!$C$161*$FI211</f>
        <v>#N/A</v>
      </c>
      <c r="HV211" s="218" t="e">
        <f t="shared" ca="1" si="872"/>
        <v>#N/A</v>
      </c>
      <c r="HW211" s="218" t="e">
        <f ca="1">Control!$C$160*$FF211+$IP211*$EO211</f>
        <v>#N/A</v>
      </c>
      <c r="HX211" s="218" t="e">
        <f t="shared" ca="1" si="909"/>
        <v>#N/A</v>
      </c>
      <c r="HY211" s="219" t="e">
        <f ca="1">IF(Control!$C$114=1, $EB211*$FS211, 0)</f>
        <v>#N/A</v>
      </c>
      <c r="HZ211" s="91" t="e">
        <f t="shared" ca="1" si="754"/>
        <v>#N/A</v>
      </c>
      <c r="IA211" s="220" t="e">
        <f ca="1">Control!$C$153*$HO211</f>
        <v>#N/A</v>
      </c>
      <c r="IB211" s="218" t="e">
        <f t="shared" ca="1" si="755"/>
        <v>#N/A</v>
      </c>
      <c r="IC211" s="220" t="e">
        <f ca="1">Control!$C$153*$HT211</f>
        <v>#N/A</v>
      </c>
      <c r="ID211" s="218" t="e">
        <f t="shared" ca="1" si="756"/>
        <v>#N/A</v>
      </c>
      <c r="IE211" s="221" t="e">
        <f ca="1">($EB211*Control!$C$159+$EF211*Control!$C$160)/(IF($GZ211&lt;&gt;0,$GZ211,1))</f>
        <v>#N/A</v>
      </c>
      <c r="IF211" s="216" t="e">
        <f t="shared" ca="1" si="757"/>
        <v>#N/A</v>
      </c>
      <c r="IG211" s="91">
        <f ca="1">IF(OR(Control!$B$198=$AH211,Control!$B$199=$AH211, Control!$B$200=$AH211, Control!$B$201=$AH211, Control!$B$202=$AH211, Control!$B$203=$AH211, Control!$B$204=$AH211, Control!$B$205=$AH211, Control!$B$206=$AH211, Control!$B$207=$AH211), 1, 0)</f>
        <v>0</v>
      </c>
      <c r="IH211" s="91">
        <f ca="1">IF($IG211=0,0, VLOOKUP($AH211,Control!$B$198:$C$207,2))</f>
        <v>0</v>
      </c>
      <c r="II211" s="222">
        <f t="shared" ca="1" si="873"/>
        <v>0</v>
      </c>
      <c r="IJ211" s="91">
        <f>Control!$C$121</f>
        <v>0.7</v>
      </c>
      <c r="IK211" s="218">
        <f t="shared" ca="1" si="758"/>
        <v>0</v>
      </c>
      <c r="IL211" s="217" t="e">
        <f t="shared" ca="1" si="910"/>
        <v>#N/A</v>
      </c>
      <c r="IM211" s="223" t="e">
        <f ca="1">IF(AND(Control!$C$114=1,$KH211&lt;1),$EB211*Control!$C$148*(1-$KH211), 0)</f>
        <v>#N/A</v>
      </c>
      <c r="IN211" s="217" t="e">
        <f t="shared" ca="1" si="759"/>
        <v>#DIV/0!</v>
      </c>
      <c r="IO211" s="91" t="e">
        <f ca="1">MAX(0,$IL211-$EF211*Control!$C$160)</f>
        <v>#N/A</v>
      </c>
      <c r="IP211" s="220" t="e">
        <f t="shared" ca="1" si="760"/>
        <v>#N/A</v>
      </c>
      <c r="IQ211" s="217" t="e">
        <f t="shared" ca="1" si="874"/>
        <v>#N/A</v>
      </c>
      <c r="IR211" s="218" t="e">
        <f t="shared" ca="1" si="761"/>
        <v>#N/A</v>
      </c>
      <c r="IS211" s="217" t="e">
        <f ca="1">Control!$C$159*MAX(0,$FD211-$EN211)</f>
        <v>#N/A</v>
      </c>
      <c r="IT211" s="217" t="e">
        <f t="shared" ca="1" si="911"/>
        <v>#N/A</v>
      </c>
      <c r="IU211" s="217" t="e">
        <f t="shared" ca="1" si="875"/>
        <v>#N/A</v>
      </c>
      <c r="IV211" s="217" t="e">
        <f t="shared" ca="1" si="912"/>
        <v>#N/A</v>
      </c>
      <c r="IW211" s="217" t="e">
        <f ca="1">IF(OR($AW211=1,AND($AW211=0, Control!$B$18=1,$EN211&lt;&gt;0)), $IQ211-$IU211, $IQ211)</f>
        <v>#N/A</v>
      </c>
      <c r="IX211" s="218" t="e">
        <f t="shared" ca="1" si="762"/>
        <v>#N/A</v>
      </c>
      <c r="IY211" s="218" t="e">
        <f ca="1">MAX(0,$IQ211-$EB211*Control!$C$159)</f>
        <v>#N/A</v>
      </c>
      <c r="IZ211" s="218" t="e">
        <f t="shared" ca="1" si="763"/>
        <v>#N/A</v>
      </c>
      <c r="JA211" s="216" t="e">
        <f t="shared" ca="1" si="764"/>
        <v>#N/A</v>
      </c>
      <c r="JB211" s="217" t="e">
        <f t="shared" ca="1" si="765"/>
        <v>#N/A</v>
      </c>
      <c r="JC211" s="222" t="e">
        <f ca="1">MAX(Control!$C$157*$EK211-$JT211, 0)/Control!$C$162</f>
        <v>#N/A</v>
      </c>
      <c r="JD211" s="218" t="e">
        <f t="shared" ca="1" si="766"/>
        <v>#N/A</v>
      </c>
      <c r="JE211" s="218" t="e">
        <f t="shared" ca="1" si="767"/>
        <v>#N/A</v>
      </c>
      <c r="JF211" s="218" t="e">
        <f t="shared" ca="1" si="876"/>
        <v>#N/A</v>
      </c>
      <c r="JG211" s="218" t="e">
        <f t="shared" ca="1" si="768"/>
        <v>#N/A</v>
      </c>
      <c r="JH211" s="217" t="e">
        <f t="shared" ca="1" si="877"/>
        <v>#N/A</v>
      </c>
      <c r="JI211" s="217" t="e">
        <f t="shared" ca="1" si="878"/>
        <v>#N/A</v>
      </c>
      <c r="JJ211" s="217" t="e">
        <f t="shared" ca="1" si="913"/>
        <v>#N/A</v>
      </c>
      <c r="JK211" s="217" t="e">
        <f ca="1">IF(Control!$C$114=1,IF(Control!$B$24=0,MAX(0,$JI211)*$GN211/Control!$C$64,(MAX(0,MIN($JI211,$JJ211*$GN211/Control!$C$64),0))))</f>
        <v>#N/A</v>
      </c>
      <c r="JL211" s="217" t="e">
        <f ca="1">$IK211/Control!$C$64-$JK211+$HQ211</f>
        <v>#N/A</v>
      </c>
      <c r="JM211" s="217" t="e">
        <f ca="1">IF(Control!$C$114=1,($JB211/(IF($JI211&lt;&gt;0,$JI211,1)))*$JK211,0)</f>
        <v>#N/A</v>
      </c>
      <c r="JN211" s="217" t="e">
        <f ca="1">IF(Control!$C$114=1,($JG211/(IF($JI211&lt;&gt;0,$JI211,1)))*$JK211, 0)</f>
        <v>#N/A</v>
      </c>
      <c r="JO211" s="218" t="e">
        <f t="shared" ca="1" si="769"/>
        <v>#N/A</v>
      </c>
      <c r="JP211" s="218" t="e">
        <f ca="1">MIN(($IY211+$IO211)*Control!$C$151, $JF211-$EH211*Control!$C$161)</f>
        <v>#N/A</v>
      </c>
      <c r="JQ211" s="218" t="e">
        <f t="shared" ca="1" si="770"/>
        <v>#N/A</v>
      </c>
      <c r="JR211" s="217" t="e">
        <f ca="1">IF($CP211-Control!$C$150&lt;0, 0, $JQ211/Control!$C$162)</f>
        <v>#N/A</v>
      </c>
      <c r="JS211" s="218" t="e">
        <f t="shared" ca="1" si="771"/>
        <v>#N/A</v>
      </c>
      <c r="JT211" s="218" t="e">
        <f t="shared" ca="1" si="879"/>
        <v>#N/A</v>
      </c>
      <c r="JU211" s="218" t="e">
        <f t="shared" ca="1" si="772"/>
        <v>#N/A</v>
      </c>
      <c r="JV211" s="218" t="e">
        <f t="shared" ca="1" si="773"/>
        <v>#N/A</v>
      </c>
      <c r="JW211" s="216" t="e">
        <f t="shared" ca="1" si="774"/>
        <v>#N/A</v>
      </c>
      <c r="JX211" s="91" t="e">
        <f t="shared" ca="1" si="775"/>
        <v>#N/A</v>
      </c>
      <c r="JY211" s="218" t="e">
        <f t="shared" ca="1" si="776"/>
        <v>#N/A</v>
      </c>
      <c r="JZ211" s="217" t="e">
        <f ca="1">IF(Control!$C$114=1,($IZ211/(IF($JI211&lt;&gt;0,$JI211,1)))*$JK211, 0)</f>
        <v>#N/A</v>
      </c>
      <c r="KA211" s="218" t="e">
        <f t="shared" ca="1" si="914"/>
        <v>#N/A</v>
      </c>
      <c r="KB211" s="218" t="e">
        <f t="shared" ca="1" si="880"/>
        <v>#N/A</v>
      </c>
      <c r="KC211" s="218" t="e">
        <f t="shared" ca="1" si="777"/>
        <v>#N/A</v>
      </c>
      <c r="KD211" s="218" t="e">
        <f t="shared" ca="1" si="778"/>
        <v>#N/A</v>
      </c>
      <c r="KE211" s="218" t="e">
        <f t="shared" ca="1" si="779"/>
        <v>#N/A</v>
      </c>
      <c r="KF211" s="218" t="e">
        <f t="shared" ca="1" si="780"/>
        <v>#N/A</v>
      </c>
      <c r="KG211" s="216" t="e">
        <f t="shared" ca="1" si="781"/>
        <v>#N/A</v>
      </c>
      <c r="KH211" s="221" t="e">
        <f ca="1">IF(Control!$B$24=0,1,MAX(0.001,MIN(1,IF(($IF211-$IE211)&lt;&gt;0,($KG211-$IE211)/($IF211-$IE211),1))))</f>
        <v>#N/A</v>
      </c>
      <c r="KI211" s="222" t="e">
        <f ca="1">IF(Control!$C$114=1, $KI210+ $KH210, 0)</f>
        <v>#N/A</v>
      </c>
      <c r="KJ211" s="217" t="e">
        <f t="shared" ca="1" si="782"/>
        <v>#N/A</v>
      </c>
      <c r="KK211" s="218" t="e">
        <f t="shared" ca="1" si="783"/>
        <v>#N/A</v>
      </c>
      <c r="KL211" s="274" t="e">
        <f ca="1">IF(Control!$B$26=3,4000000000*EXP(-8400/($G211+273)),IF(Control!$B$26=4,4000000000*EXP(-8400/($G211+273))*($KT211),0))</f>
        <v>#DIV/0!</v>
      </c>
      <c r="KM211" s="274" t="e">
        <f ca="1">IF(Control!$B$26=3,5600000000000*EXP(-9800/($G211+273)),IF(Control!$B$26=4,5600000000000*EXP(-9800/($G211+273))*$KT211,0))</f>
        <v>#DIV/0!</v>
      </c>
      <c r="KN211" s="454" t="e">
        <f t="shared" ca="1" si="881"/>
        <v>#DIV/0!</v>
      </c>
      <c r="KO211" s="274" t="e">
        <f t="shared" ca="1" si="882"/>
        <v>#DIV/0!</v>
      </c>
      <c r="KP211" s="454" t="e">
        <f t="shared" ca="1" si="784"/>
        <v>#DIV/0!</v>
      </c>
      <c r="KQ211" s="454" t="e">
        <f t="shared" ca="1" si="785"/>
        <v>#DIV/0!</v>
      </c>
      <c r="KR211" s="454" t="e">
        <f t="shared" ca="1" si="786"/>
        <v>#DIV/0!</v>
      </c>
      <c r="KS211" s="454" t="e">
        <f t="shared" ca="1" si="787"/>
        <v>#DIV/0!</v>
      </c>
      <c r="KT211" s="455" t="e">
        <f t="shared" ca="1" si="788"/>
        <v>#DIV/0!</v>
      </c>
      <c r="KU211" s="456" t="e">
        <f ca="1">IF($CP211-Control!$C$149&lt;0, IF($NT211-0.01&lt;0,0,1),0)</f>
        <v>#N/A</v>
      </c>
      <c r="KV211" s="456" t="e">
        <f ca="1">IF(Control!$C$114=1,MAX(0,MIN(Control!$C$125*$KW211*$GN211,$KW211)))</f>
        <v>#DIV/0!</v>
      </c>
      <c r="KW211" s="456" t="e">
        <f t="shared" ca="1" si="915"/>
        <v>#DIV/0!</v>
      </c>
      <c r="KX211" s="457" t="e">
        <f ca="1">IF($CP211-Control!$C$149&lt;0, IF($MR211-$OM211&lt;0,0,1),0)</f>
        <v>#N/A</v>
      </c>
      <c r="KY211" s="167">
        <f t="shared" ca="1" si="883"/>
        <v>207</v>
      </c>
      <c r="KZ211" s="168">
        <f ca="1">1370*(1+0.033*COS(2*Control!$C$138*$AH211/365))</f>
        <v>1328.7516914056127</v>
      </c>
      <c r="LA211" s="169">
        <f t="shared" ca="1" si="884"/>
        <v>0.96989163298696601</v>
      </c>
      <c r="LB211" s="169">
        <f t="shared" ca="1" si="885"/>
        <v>0.3369735780890053</v>
      </c>
      <c r="LC211" s="169">
        <f ca="1">ACOS(-TAN((2*Control!$B$8/360))*TAN(Calculations!$LB211))</f>
        <v>1.6751061572643293</v>
      </c>
      <c r="LD211" s="169">
        <f ca="1">((24*60)/PI())*0.082*$LA211*(($LC211*SIN(Control!$B$8*2*PI()/360))*SIN($LB211)+COS(Control!$B$8*2*PI()/360)*COS($LB211)*SIN($LC211))</f>
        <v>36.976171526776973</v>
      </c>
      <c r="LE211" s="170">
        <f t="shared" ca="1" si="789"/>
        <v>38.177245386073501</v>
      </c>
      <c r="LF211" s="170">
        <f ca="1">SIN(Control!$C$139*Control!$B$8)*SIN($HD211)</f>
        <v>0.25989166053538515</v>
      </c>
      <c r="LG211" s="170">
        <f ca="1">COS(Control!$C$139*Control!$B$8)*COS($HD211)</f>
        <v>0.58121270285194915</v>
      </c>
      <c r="LH211" s="170">
        <f ca="1">12*(1+2*ASIN(MAX(-1,MIN(1,$LF211/$LG211))/Control!$C$138))</f>
        <v>15.427638349071632</v>
      </c>
      <c r="LI211" s="170">
        <f ca="1">12*(1+2*ASIN(MAX(-1,MIN(1,(-SIN(-4*Control!$C$139)+$LF211)/$LG211))/Control!$C$138))</f>
        <v>16.356763581886003</v>
      </c>
      <c r="LJ211" s="168">
        <f ca="1">3600*($LH211*$LF211+24*$LG211*SQRT(1-$LK211*$LK211)/Control!$C$138)</f>
        <v>28731.662682354072</v>
      </c>
      <c r="LK211" s="170">
        <f t="shared" ca="1" si="790"/>
        <v>0.4471541300803033</v>
      </c>
      <c r="LL211" s="170">
        <f t="shared" ca="1" si="791"/>
        <v>0</v>
      </c>
      <c r="LM211" s="171">
        <f ca="1">Control!$C$145*$AB211</f>
        <v>6.6660906138995932E-2</v>
      </c>
      <c r="LN211" s="170">
        <f t="shared" ca="1" si="886"/>
        <v>0.54</v>
      </c>
      <c r="LO211" s="170">
        <f t="shared" ca="1" si="792"/>
        <v>0</v>
      </c>
      <c r="LP211" s="170">
        <f ca="1">Control!$C$140*((($D211+273.16)^4+($E211+273.16)^4)/2)*(0.34-0.14*SQRT($Y211))*(1.35*$AQ211/(0.75*$LD211)-0.35)</f>
        <v>-3.2464704755046001</v>
      </c>
      <c r="LQ211" s="170">
        <f ca="1">Control!$C$140*($G211+273)^4*(0.56-0.079*SQRT($Y211*10))*(0.1+0.9*$LO211)</f>
        <v>1.5241745131704001</v>
      </c>
      <c r="LR211" s="170">
        <f ca="1">$AQ211*(1-Control!$C$142)-$LQ211</f>
        <v>-1.5241745131704001</v>
      </c>
      <c r="LS211" s="170">
        <f ca="1">$AQ211*(1-Control!$C$143)-$LQ211</f>
        <v>-1.5241745131704001</v>
      </c>
      <c r="LT211" s="170">
        <f ca="1">$AQ211*(1-Control!$C$144)-$LQ211</f>
        <v>-1.5241745131704001</v>
      </c>
      <c r="LU211" s="169">
        <f ca="1">(1-Control!$C$144)*AQ211-LP211</f>
        <v>3.2464704755046001</v>
      </c>
      <c r="LV211" s="172">
        <f t="shared" ca="1" si="793"/>
        <v>0.79430000000000012</v>
      </c>
      <c r="LW211" s="170">
        <f t="shared" ca="1" si="794"/>
        <v>1.5886000000000002</v>
      </c>
      <c r="LX211" s="170">
        <f ca="1">($AC211*($LR211/Control!$C$141)+$LM211*$LV211)/($AC211+$LM211)</f>
        <v>0.23530094218323697</v>
      </c>
      <c r="LY211" s="170">
        <f ca="1">($AC211*($LS211/Control!$C$141)+$LM211*$LV211)/($AC211+$LM211)</f>
        <v>0.23530094218323697</v>
      </c>
      <c r="LZ211" s="170">
        <f t="shared" ca="1" si="795"/>
        <v>0.23530094218323697</v>
      </c>
      <c r="MA211" s="170">
        <f t="shared" ca="1" si="796"/>
        <v>0.23530094218323697</v>
      </c>
      <c r="MB211" s="170" t="e">
        <f t="shared" ca="1" si="797"/>
        <v>#N/A</v>
      </c>
      <c r="MC211" s="170">
        <f t="shared" ca="1" si="887"/>
        <v>0.6018</v>
      </c>
      <c r="MD211" s="170">
        <f t="shared" ca="1" si="798"/>
        <v>0.52989392535414004</v>
      </c>
      <c r="ME211" s="170">
        <f ca="1">($AC211*($LT211/Control!$C$141)+$LM211*$LW211)/($AC211+$LM211)</f>
        <v>0.71612369323045078</v>
      </c>
      <c r="MF211" s="170" t="e">
        <f ca="1">IF(Control!$B$16&gt;=1000,0.92,IF(AND(720&lt;=Control!$B$16,1000&gt;Control!$B$16),(0.95+(Control!$B$16-720)*((0.92-0.95)/(1000-720))),IF(AND(360&lt;=Control!$B$16,720&gt;Control!$B$16),(1+(Control!$B$16-360)*((0.95-1)/(720-360))),IF(AND(40&lt;=Control!$B$16,360&gt;Control!$B$16),(1.05+(Control!$B$16-40)*((1.05-1)/(360-40)))))))</f>
        <v>#N/A</v>
      </c>
      <c r="MG211" s="170">
        <f t="shared" ca="1" si="799"/>
        <v>0.71612369323045078</v>
      </c>
      <c r="MH211" s="170" t="e">
        <f t="shared" ca="1" si="924"/>
        <v>#N/A</v>
      </c>
      <c r="MI211" s="170" t="e">
        <f t="shared" ca="1" si="924"/>
        <v>#N/A</v>
      </c>
      <c r="MJ211" s="170" t="e">
        <f ca="1">MAX(0.0001, Control!$C$132*$MI211*$DL211)</f>
        <v>#N/A</v>
      </c>
      <c r="MK211" s="170">
        <f ca="1">1/(0.76+1.5*($MG211/10))-(5-Control!$C$110)*0.1</f>
        <v>1.002845988140797</v>
      </c>
      <c r="ML211" s="173">
        <f ca="1">IF(Control!$C$110&lt;3,$MK211+($MG211-0.6)/(Control!$C$110*(Control!$C$110+3)), MAX(0.1, MIN(0.95,$MK211)))</f>
        <v>0.95</v>
      </c>
      <c r="MM211" s="173">
        <f ca="1">IF(Control!$C$110&lt;3,$MK211+(($MI211/10)-0.6)/(Control!$C$110*(Control!$C$110+3)), MAX(0.1, MIN(0.95,$MK211)))</f>
        <v>0.95</v>
      </c>
      <c r="MN211" s="173">
        <f ca="1">(1-$MM211)*(Control!$C$128-Control!$C$127)+Control!$C$127</f>
        <v>0.16</v>
      </c>
      <c r="MO211" s="170" t="e">
        <f ca="1">MAX(0,MIN(1,($MS211-Control!$C$127)/($MN211-Control!$C$127)))</f>
        <v>#DIV/0!</v>
      </c>
      <c r="MP211" s="173" t="e">
        <f ca="1">1/(0.76+1.5*$MI211)-(5-Control!$C$110)*0.1</f>
        <v>#N/A</v>
      </c>
      <c r="MQ211" s="172" t="e">
        <f t="shared" ca="1" si="916"/>
        <v>#DIV/0!</v>
      </c>
      <c r="MR211" s="168" t="e">
        <f t="shared" ca="1" si="888"/>
        <v>#DIV/0!</v>
      </c>
      <c r="MS211" s="173" t="e">
        <f ca="1">MAX(Control!$C$127, MIN(Control!$C$135, $MR211/MAX(0.0001,$CY211)))</f>
        <v>#DIV/0!</v>
      </c>
      <c r="MT211" s="168" t="e">
        <f ca="1">(Control!$C$128-$MS211)*Control!$C$74</f>
        <v>#DIV/0!</v>
      </c>
      <c r="MU211" s="168" t="e">
        <f ca="1">(Control!$C$135-$MS211)*Control!$C$74</f>
        <v>#DIV/0!</v>
      </c>
      <c r="MV211" s="168" t="e">
        <f t="shared" ca="1" si="889"/>
        <v>#DIV/0!</v>
      </c>
      <c r="MW211" s="168" t="e">
        <f t="shared" ca="1" si="890"/>
        <v>#DIV/0!</v>
      </c>
      <c r="MX211" s="171" t="e">
        <f ca="1">MAX(Control!$C$127, MIN(Control!$C$135, $MW211/MAX(0.0001,Control!$C$119-$CY211)))</f>
        <v>#DIV/0!</v>
      </c>
      <c r="MY211" s="54" t="e">
        <f ca="1">IF(Control!$C$114=1, $CX211*$MX211, 0)</f>
        <v>#DIV/0!</v>
      </c>
      <c r="MZ211" s="54" t="e">
        <f t="shared" ca="1" si="891"/>
        <v>#N/A</v>
      </c>
      <c r="NA211" s="168" t="e">
        <f ca="1">(Control!$C$128-$MX211)*(Control!$C$119-Control!$C$74)</f>
        <v>#DIV/0!</v>
      </c>
      <c r="NB211" s="168" t="e">
        <f ca="1">(Control!$C$135-$MX211)*(Control!$C$119-Control!$C$74)</f>
        <v>#DIV/0!</v>
      </c>
      <c r="NC211" s="174" t="e">
        <f t="shared" ca="1" si="892"/>
        <v>#DIV/0!</v>
      </c>
      <c r="ND211" s="54">
        <f ca="1">IF(Control!$C$58=2, IF(OR(Control!$B$218=$AH211,Control!$B$219=$AH211, Control!$B$220=$AH211, Control!$B$221=$AH211, Control!$B$222=$AH211, Control!$B$223=$AH211, Control!$B$224=$AH211, Control!$B$225=$AH211, Control!$B$226=$AH211, Control!$B$227=$AH211, Control!$B$228=$AH211), 1, 0), 0)</f>
        <v>0</v>
      </c>
      <c r="NE211" s="54">
        <f ca="1">IF($ND211=0,0, VLOOKUP($AH211,Control!$B$218:$C$228,2))</f>
        <v>0</v>
      </c>
      <c r="NF211" s="168" t="e">
        <f ca="1">$CY211*(Control!$C$128-Control!$C$127)</f>
        <v>#N/A</v>
      </c>
      <c r="NG211" s="54" t="e">
        <f ca="1">IF(Control!$C$58=2, $NI210-$NJ210, 0)</f>
        <v>#DIV/0!</v>
      </c>
      <c r="NH211" s="54" t="e">
        <f ca="1">IF(AND(Control!$C$58=1, $MS210&lt;= ($MN210+0.02), $I210&lt;10), 0, IF(Control!$C$58=2, $NG210, 0))</f>
        <v>#DIV/0!</v>
      </c>
      <c r="NI211" s="54" t="e">
        <f ca="1">IF(Control!$C$58=2, $NE211+$NH211,0)</f>
        <v>#DIV/0!</v>
      </c>
      <c r="NJ211" s="54" t="e">
        <f ca="1">IF(AND(Control!$C$58=1, $MS211&lt;= ($MN211+0.02), $I211&lt;10), MAX(0, MIN(10, 0.7*($NF211-$MV211))), IF(Control!$C$58=2, MIN(10,$NI211),0))</f>
        <v>#DIV/0!</v>
      </c>
      <c r="NK211" s="54" t="e">
        <f t="shared" ca="1" si="800"/>
        <v>#DIV/0!</v>
      </c>
      <c r="NL211" s="173" t="e">
        <f ca="1">(1-Control!$C$73)*$I211+$NJ211</f>
        <v>#DIV/0!</v>
      </c>
      <c r="NM211" s="172" t="e">
        <f ca="1">IF($NL211&lt;0.5, $MB211* MAX(0, MIN(1, (SQRT($NC211)-SQRT($NC211-1))*Control!$C$71)),0)</f>
        <v>#DIV/0!</v>
      </c>
      <c r="NN211" s="170" t="e">
        <f ca="1">IF($NL211&gt;=5, $MB211, MAX(0,MIN($MB211, $NM211+$NL211,($MS211-Control!$C$129))))</f>
        <v>#DIV/0!</v>
      </c>
      <c r="NO211" s="54">
        <f>IF(Control!$C$133&lt;&gt;1, Control!$C$135-Control!$C$131, 0)</f>
        <v>0.38</v>
      </c>
      <c r="NP211" s="54" t="e">
        <f t="shared" ca="1" si="801"/>
        <v>#DIV/0!</v>
      </c>
      <c r="NQ211" s="173" t="e">
        <f ca="1">MAX(0,MIN(1,(Control!$C$135-$MS211)/(Control!$C$135-$NO211)))</f>
        <v>#DIV/0!</v>
      </c>
      <c r="NR211" s="170" t="e">
        <f ca="1">IF(Control!$C$133&lt;&gt;1, $NQ211+((1-$NP211/4)*(1-$NQ211)),1)</f>
        <v>#DIV/0!</v>
      </c>
      <c r="NS211" s="170" t="e">
        <f ca="1">IF(Control!$B$31=0,$MJ211,MAX(0,MIN($MV211,$MO211*$NR211*$MJ211)))</f>
        <v>#DIV/0!</v>
      </c>
      <c r="NT211" s="170" t="e">
        <f t="shared" ca="1" si="917"/>
        <v>#DIV/0!</v>
      </c>
      <c r="NU211" s="170" t="e">
        <f t="shared" ca="1" si="893"/>
        <v>#N/A</v>
      </c>
      <c r="NV211" s="170" t="e">
        <f t="shared" ca="1" si="802"/>
        <v>#N/A</v>
      </c>
      <c r="NW211" s="175" t="e">
        <f t="shared" ca="1" si="803"/>
        <v>#DIV/0!</v>
      </c>
      <c r="NX211" s="170" t="e">
        <f ca="1">MIN(Control!$C$72+$MU211, $NW211)</f>
        <v>#DIV/0!</v>
      </c>
      <c r="NY211" s="170" t="e">
        <f ca="1">IF($MT211&lt;=$NX211,MIN(Control!$C$72+$NB211,$NX211-$MT211),0)</f>
        <v>#DIV/0!</v>
      </c>
      <c r="NZ211" s="54" t="e">
        <f ca="1">IF(Control!$C$114=1,  $CX211*($MX211-Control!$C$127), 0)</f>
        <v>#DIV/0!</v>
      </c>
      <c r="OA211" s="170" t="e">
        <f t="shared" ca="1" si="804"/>
        <v>#DIV/0!</v>
      </c>
      <c r="OB211" s="170" t="e">
        <f ca="1">IF($NA211 &lt;=$NY211, MIN(Control!$C$72, $NY211-$NA211), 0)</f>
        <v>#DIV/0!</v>
      </c>
      <c r="OC211" s="168" t="e">
        <f t="shared" ca="1" si="805"/>
        <v>#DIV/0!</v>
      </c>
      <c r="OD211" s="168" t="e">
        <f t="shared" ca="1" si="894"/>
        <v>#DIV/0!</v>
      </c>
      <c r="OE211" s="170">
        <f ca="1">Control!$C$73*$I211</f>
        <v>0</v>
      </c>
      <c r="OF211" s="176" t="e">
        <f t="shared" ca="1" si="806"/>
        <v>#DIV/0!</v>
      </c>
      <c r="OG211" s="168" t="e">
        <f t="shared" ca="1" si="807"/>
        <v>#DIV/0!</v>
      </c>
      <c r="OH211" s="168" t="e">
        <f t="shared" ca="1" si="808"/>
        <v>#DIV/0!</v>
      </c>
      <c r="OI211" s="168" t="e">
        <f t="shared" ca="1" si="809"/>
        <v>#DIV/0!</v>
      </c>
      <c r="OJ211" s="168" t="e">
        <f t="shared" ca="1" si="810"/>
        <v>#DIV/0!</v>
      </c>
      <c r="OK211" s="204" t="e">
        <f t="shared" ca="1" si="811"/>
        <v>#DIV/0!</v>
      </c>
      <c r="OL211" s="177">
        <f>Control!$C$127</f>
        <v>0.15</v>
      </c>
      <c r="OM211" s="182" t="e">
        <f t="shared" ca="1" si="812"/>
        <v>#N/A</v>
      </c>
      <c r="ON211" s="177">
        <f>Control!$C$128</f>
        <v>0.35</v>
      </c>
      <c r="OO211" s="182" t="e">
        <f t="shared" ca="1" si="813"/>
        <v>#N/A</v>
      </c>
      <c r="OP211" s="138">
        <f t="shared" ca="1" si="895"/>
        <v>0</v>
      </c>
      <c r="OQ211" s="138" t="e">
        <f t="shared" ca="1" si="918"/>
        <v>#DIV/0!</v>
      </c>
      <c r="OR211" s="138" t="e">
        <f t="shared" ca="1" si="896"/>
        <v>#DIV/0!</v>
      </c>
      <c r="OS211" s="137" t="e">
        <f t="shared" ca="1" si="919"/>
        <v>#DIV/0!</v>
      </c>
      <c r="OT211" s="139" t="e">
        <f t="shared" ca="1" si="920"/>
        <v>#DIV/0!</v>
      </c>
      <c r="OU211" s="138" t="e">
        <f t="shared" ca="1" si="921"/>
        <v>#N/A</v>
      </c>
      <c r="OV211" s="138" t="e">
        <f t="shared" ca="1" si="922"/>
        <v>#DIV/0!</v>
      </c>
      <c r="OW211" s="138" t="e">
        <f t="shared" ca="1" si="897"/>
        <v>#DIV/0!</v>
      </c>
      <c r="OX211" s="138" t="e">
        <f t="shared" ca="1" si="898"/>
        <v>#DIV/0!</v>
      </c>
      <c r="OY211" s="138" t="e">
        <f t="shared" ca="1" si="899"/>
        <v>#DIV/0!</v>
      </c>
      <c r="OZ211" s="138" t="e">
        <f t="shared" ca="1" si="814"/>
        <v>#DIV/0!</v>
      </c>
      <c r="PA211" s="138" t="e">
        <f t="shared" ca="1" si="815"/>
        <v>#DIV/0!</v>
      </c>
      <c r="PB211" s="55">
        <f>IF(Control!$C$61="T", IF(Control!$C$65="F", IF($AH$6-Control!$C$60&lt;0,0,1), IF(365+$AH$6-Control!$C$60&lt;0,0,1)),0)</f>
        <v>0</v>
      </c>
      <c r="PC211" s="55">
        <f ca="1">IF(Control!$C$65="F", IF($AH$6-$HF211&lt;0,0,1), IF(365+$AH$6-$HF211&lt;0,0,1))</f>
        <v>1</v>
      </c>
      <c r="PD211" s="444">
        <f>Control!$C$118</f>
        <v>1500</v>
      </c>
      <c r="PE211" s="180" t="e">
        <f t="shared" ca="1" si="816"/>
        <v>#N/A</v>
      </c>
      <c r="PF211" s="445">
        <f t="shared" ca="1" si="900"/>
        <v>0.71612369323045078</v>
      </c>
      <c r="PT211" s="186"/>
      <c r="PU211" s="186"/>
      <c r="PV211" s="94"/>
      <c r="PW211" s="94"/>
      <c r="PX211" s="94"/>
      <c r="PY211" s="94"/>
      <c r="PZ211" s="94"/>
      <c r="QA211" s="94"/>
      <c r="QB211" s="94"/>
      <c r="QC211" s="94"/>
      <c r="QD211" s="94"/>
      <c r="QE211" s="94"/>
      <c r="QF211" s="94"/>
      <c r="QG211" s="94"/>
      <c r="QH211" s="94"/>
      <c r="QI211" s="94"/>
      <c r="QJ211" s="94"/>
      <c r="QK211" s="94"/>
      <c r="QL211" s="94"/>
      <c r="QM211" s="94"/>
      <c r="QN211" s="94"/>
      <c r="QO211" s="94"/>
      <c r="QP211" s="94"/>
    </row>
    <row r="212" spans="1:458" s="2" customFormat="1" x14ac:dyDescent="0.2">
      <c r="A212" s="395">
        <v>26</v>
      </c>
      <c r="B212" s="396">
        <v>7</v>
      </c>
      <c r="C212" s="387">
        <f ca="1">Weather_data!$B211</f>
        <v>0</v>
      </c>
      <c r="D212" s="388">
        <f ca="1">Weather_data!$F211</f>
        <v>0</v>
      </c>
      <c r="E212" s="388">
        <f ca="1">Weather_data!$E211</f>
        <v>0</v>
      </c>
      <c r="F212" s="388">
        <f t="shared" ca="1" si="817"/>
        <v>0</v>
      </c>
      <c r="G212" s="388">
        <f ca="1">AVERAGE($D212:$E212)+Control!$B$9</f>
        <v>0</v>
      </c>
      <c r="H212" s="388">
        <f ca="1">Weather_data!$G211</f>
        <v>0</v>
      </c>
      <c r="I212" s="388">
        <f ca="1">Weather_data!$I211</f>
        <v>0</v>
      </c>
      <c r="J212" s="388">
        <f ca="1">Weather_data!$H211</f>
        <v>0</v>
      </c>
      <c r="K212" s="389">
        <f ca="1">Weather_data!$D211</f>
        <v>0</v>
      </c>
      <c r="L212" s="388" t="e">
        <f t="shared" ca="1" si="818"/>
        <v>#N/A</v>
      </c>
      <c r="M212" s="388" t="e">
        <f t="shared" ca="1" si="696"/>
        <v>#N/A</v>
      </c>
      <c r="N212" s="388">
        <f t="shared" ca="1" si="697"/>
        <v>-1.8746791482914485E-10</v>
      </c>
      <c r="O212" s="388">
        <f t="shared" ca="1" si="819"/>
        <v>1.8746791482914486E-9</v>
      </c>
      <c r="P212" s="390">
        <v>3</v>
      </c>
      <c r="Q212" s="388">
        <f ca="1">MAX($G212-Control!$C$107,0)</f>
        <v>0</v>
      </c>
      <c r="R212" s="388">
        <f t="shared" ca="1" si="820"/>
        <v>0</v>
      </c>
      <c r="S212" s="388">
        <f t="shared" ca="1" si="698"/>
        <v>0</v>
      </c>
      <c r="T212" s="388">
        <f t="shared" ca="1" si="699"/>
        <v>0</v>
      </c>
      <c r="U212" s="59">
        <f t="shared" ca="1" si="700"/>
        <v>0</v>
      </c>
      <c r="V212" s="391">
        <f ca="1">MAX(0,MIN(Control!$C$100-Control!$C$99,$G212-Control!$C$99)*Control!$C$63)</f>
        <v>0</v>
      </c>
      <c r="W212" s="388">
        <f t="shared" ca="1" si="821"/>
        <v>0</v>
      </c>
      <c r="X212" s="388">
        <f t="shared" ca="1" si="822"/>
        <v>0.6110000000000001</v>
      </c>
      <c r="Y212" s="388">
        <f t="shared" ca="1" si="701"/>
        <v>0</v>
      </c>
      <c r="Z212" s="388">
        <f t="shared" ca="1" si="823"/>
        <v>0.61058800000000002</v>
      </c>
      <c r="AA212" s="388">
        <f t="shared" ca="1" si="702"/>
        <v>0.6018</v>
      </c>
      <c r="AB212" s="388">
        <f ca="1">101.3*EXP(-0.034*Control!$C$66/($G212+273))</f>
        <v>100.69623283836242</v>
      </c>
      <c r="AC212" s="392">
        <f t="shared" ca="1" si="703"/>
        <v>4.3460251046025113E-2</v>
      </c>
      <c r="AD212" s="392">
        <f t="shared" ca="1" si="704"/>
        <v>4.4450382862832649E-2</v>
      </c>
      <c r="AE212" s="388">
        <f t="shared" ca="1" si="705"/>
        <v>0</v>
      </c>
      <c r="AF212" s="388">
        <f ca="1">MAX(0,$G212-Control!$C$92)</f>
        <v>0</v>
      </c>
      <c r="AG212" s="393">
        <f t="shared" ca="1" si="706"/>
        <v>208</v>
      </c>
      <c r="AH212" s="389">
        <f t="shared" ca="1" si="707"/>
        <v>208</v>
      </c>
      <c r="AI212" s="388">
        <f t="shared" ca="1" si="824"/>
        <v>0.33198953327814795</v>
      </c>
      <c r="AJ212" s="388">
        <f ca="1">IF(Control!$C$60&lt;=0,$HH212,$HI212)</f>
        <v>1</v>
      </c>
      <c r="AK212" s="388">
        <f t="shared" ca="1" si="708"/>
        <v>2.203418409093115</v>
      </c>
      <c r="AL212" s="388">
        <f t="shared" ca="1" si="709"/>
        <v>7.573719429387893E-18</v>
      </c>
      <c r="AM212" s="388">
        <f t="shared" ca="1" si="710"/>
        <v>2.203418409093115</v>
      </c>
      <c r="AN212" s="388">
        <f t="shared" ca="1" si="711"/>
        <v>0.32659272017626467</v>
      </c>
      <c r="AO212" s="388">
        <f ca="1">-0.10453/COS(Control!$B$8*PI()/180)*COS(AN212)</f>
        <v>-0.16081019846935499</v>
      </c>
      <c r="AP212" s="388">
        <f ca="1">ACOS(AO212-TAN(Control!$B$8*PI()/180)*TAN(AN212))</f>
        <v>2.2072595988602406</v>
      </c>
      <c r="AQ212" s="388">
        <f t="shared" ca="1" si="825"/>
        <v>0</v>
      </c>
      <c r="AR212" s="394">
        <f t="shared" ca="1" si="712"/>
        <v>0</v>
      </c>
      <c r="AS212" s="436">
        <f ca="1">IF(Control!$B$18=2,(IF(OR($AH212=Control!$B$175,$AH212=Control!$B$176,$AH212=Control!$B$177,$AH212=Control!$B$178,$AH212=Control!$B$179,$AH212=Control!$B$180,$AH212=Control!$B$181,$AH212=Control!$B$182,$AH212=Control!$B$183,$AH212=Control!$B$184,$AH212=Control!$B$185),1,0)),0)</f>
        <v>0</v>
      </c>
      <c r="AT212" s="436">
        <f>IF(Control!$B$20=8,IF(AND($AH212&gt;=Control!$B$172,$AH212&lt;=Control!$B$173),1,0),0)</f>
        <v>0</v>
      </c>
      <c r="AU212" s="436">
        <f>IF(Control!$B$20=8,IF($AV211=1,1*$AT212,IF($AT212=1,$AU211+1,$AU211)),0)</f>
        <v>0</v>
      </c>
      <c r="AV212" s="436">
        <f>IF(Control!$B$20=8,IF($AU212&gt;=Control!$B$174,1,0),0)</f>
        <v>0</v>
      </c>
      <c r="AW212" s="436">
        <f ca="1">IF(AND(Control!$B$18=2,Control!$B$171=1), $AV212, $AS212)</f>
        <v>0</v>
      </c>
      <c r="AX212" s="436" t="e">
        <f ca="1">IF(AND(Control!$B$18=1,$EU212&gt;=Control!$B$19),-$AY212,IF(AND(Control!$B$18=2,$AW212=1,$EU212&gt;$DS212),-$AY212, IF(Control!$C$108=0,0, IF(Control!$C$108&lt;&gt;0,1))))</f>
        <v>#N/A</v>
      </c>
      <c r="AY212" s="436" t="e">
        <f t="shared" ca="1" si="826"/>
        <v>#N/A</v>
      </c>
      <c r="AZ212" s="436" t="e">
        <f ca="1">IF(AND(Control!$B$18=1,$EB212&gt;Control!$B$19),$AZ211+1, IF(AND(Control!$B$18=2, $AW212=1, $EB212&gt;$DS212), $AZ211+1,$AZ211))</f>
        <v>#N/A</v>
      </c>
      <c r="BA212" s="587">
        <f>IF(Control!$C$81=0,1,IF($AH212&gt;=Control!$C$82,1,0))</f>
        <v>1</v>
      </c>
      <c r="BB212" s="140" t="e">
        <f ca="1">IF($BA212&gt;$BA211,Control!$C$83,IF($AW212&gt;0,$AW212*Control!$C$84,IF(AND(Control!$B$18=1,EN211&lt;&gt;0),Control!$C$84,0)))</f>
        <v>#N/A</v>
      </c>
      <c r="BC212" s="140" t="e">
        <f t="shared" ca="1" si="827"/>
        <v>#N/A</v>
      </c>
      <c r="BD212" s="140" t="e">
        <f ca="1">BC212*IF(OR($G212&lt;Control!$C$92,$G212&gt;Control!$C$95),0,IF(AND($G212&gt;=Control!$C$92,$G212&lt;=Control!$C$93),$G212-Control!$C$92,IF(AND($G212&gt;Control!$C$93,$G212&lt;=Control!$C$94),Control!$C$93-Control!$C$92,IF(AND($G212&gt;Control!$C$94,$G212&lt;=Control!$C$95),(Control!$C$93-Control!$C$92)*(Control!$C$94-$G212)/(Control!$C$95-Control!$C$94)))))</f>
        <v>#N/A</v>
      </c>
      <c r="BE212" s="140" t="e">
        <f t="shared" ca="1" si="828"/>
        <v>#N/A</v>
      </c>
      <c r="BF212" s="140" t="e">
        <f ca="1">IF($BE212&lt;=Control!$C$86,$BE212,Control!$C$86-$BE212)</f>
        <v>#N/A</v>
      </c>
      <c r="BG212" s="140" t="e">
        <f ca="1">IF(AND($AW212=1,Control!$C$84&lt;9),1,IF($BE212&gt;=Control!$C$86,0,$BC212))</f>
        <v>#N/A</v>
      </c>
      <c r="BH212" s="404" t="e">
        <f ca="1">IF($BG212=0,0,IF($BE212&lt;=Control!$C$86,$BC212*9*($BF212/Control!$C$86),0))</f>
        <v>#N/A</v>
      </c>
      <c r="BI212" s="140" t="e">
        <f ca="1">IF($BG212=1,0,IF($BE212&gt;=Control!$C$86,1,IF(AND($BB212&lt;21,$BB212&gt;=9),1,$BM211)))</f>
        <v>#N/A</v>
      </c>
      <c r="BJ212" s="140" t="e">
        <f ca="1">IF($BF212&lt;0,-$BF212,$BI212*IF(OR($G212&lt;Control!$C$92,$G212&gt;Control!$C$95),0,IF(AND($G212&gt;=Control!$C$92,$G212&lt;=Control!$C$93),$G212-Control!$C$92,IF(AND($G212&gt;Control!$C$93,$G212&lt;=Control!$C$94),Control!$C$93-Control!$C$92,IF(AND($G212&gt;Control!$C$94,$G212&lt;=Control!$C$95),(Control!$C$93-Control!$C$92)*(Control!$C$94-$G212)/(Control!$C$95-Control!$C$94))))))</f>
        <v>#N/A</v>
      </c>
      <c r="BK212" s="140" t="e">
        <f t="shared" ca="1" si="829"/>
        <v>#N/A</v>
      </c>
      <c r="BL212" s="140" t="e">
        <f ca="1">IF($BK212&lt;=Control!$C$87,$BK212,Control!$C$87-$BK212)</f>
        <v>#N/A</v>
      </c>
      <c r="BM212" s="140" t="e">
        <f ca="1">IF(AND($BB212&gt;=9,$BB212&lt;21),1,IF($BK212&gt;=Control!$C$87,0,$BI212))</f>
        <v>#N/A</v>
      </c>
      <c r="BN212" s="404" t="e">
        <f ca="1">IF($BM212=0,0,IF($BK212&lt;=Control!$C$87,$BI212*(9+(21-9)*($BL212/Control!$C$87)),0))</f>
        <v>#N/A</v>
      </c>
      <c r="BO212" s="140" t="e">
        <f ca="1">IF($BM212=1,0,IF($BK212&gt;=Control!$C$87,1,IF(AND($BB212&lt;30,$BB212&gt;=21),1,$BS211)))</f>
        <v>#N/A</v>
      </c>
      <c r="BP212" s="140" t="e">
        <f ca="1">IF($BL212&lt;0,-$BL212,$BO212*IF(OR($G212&lt;Control!$C$92,$G212&gt;Control!$C$95),0,IF(AND($G212&gt;=Control!$C$92,$G212&lt;=Control!$C$93),$G212-Control!$C$92,IF(AND($G212&gt;Control!$C$93,$G212&lt;=Control!$C$94),Control!$C$93-Control!$C$92,IF(AND($G212&gt;Control!$C$94,$G212&lt;=Control!$C$95),(Control!$C$93-Control!$C$92)*(Control!$C$94-$G212)/(Control!$C$95-Control!$C$94))))))</f>
        <v>#N/A</v>
      </c>
      <c r="BQ212" s="140" t="e">
        <f t="shared" ca="1" si="713"/>
        <v>#N/A</v>
      </c>
      <c r="BR212" s="140" t="e">
        <f ca="1">IF($BQ212&lt;=Control!$C$88,$BQ212,Control!$C$88-$BQ212)</f>
        <v>#N/A</v>
      </c>
      <c r="BS212" s="140" t="e">
        <f ca="1">IF(AND($BB212&gt;=21,$BB212&lt;30),1,IF($BQ212&gt;=Control!$C$88,0,$BO212))</f>
        <v>#N/A</v>
      </c>
      <c r="BT212" s="404" t="e">
        <f ca="1">IF($BS212=0,0,IF($BQ212&lt;=Control!$C$88,$BO212*(21+(30-21)*(BR212/Control!$C$88)),0))</f>
        <v>#N/A</v>
      </c>
      <c r="BU212" s="140" t="e">
        <f ca="1">IF(BG212+BM212+BS212=1,0,IF(OR(AND($BB212&lt;60,$BB212&gt;=30),$BQ212&gt;=Control!$C$88),1*$BA212,$BY211))</f>
        <v>#N/A</v>
      </c>
      <c r="BV212" s="140" t="e">
        <f ca="1">IF($BR212&lt;0,-$BR212,$BU212*IF(OR($G212&lt;Control!$C$92,$G212&gt;Control!$C$95),0,IF(AND($G212&gt;=Control!$C$92,$G212&lt;=Control!$C$93),$G212-Control!$C$92,IF(AND($G212&gt;Control!$C$93,$G212&lt;=Control!$C$94),Control!$C$93-Control!$C$92,IF(AND($G212&gt;Control!$C$94,$G212&lt;=Control!$C$95),(Control!$C$93-Control!$C$92)*(Control!$C$94-$G212)/(Control!$C$95-Control!$C$94))))))</f>
        <v>#N/A</v>
      </c>
      <c r="BW212" s="140" t="e">
        <f t="shared" ca="1" si="714"/>
        <v>#N/A</v>
      </c>
      <c r="BX212" s="140" t="e">
        <f ca="1">IF($BW212&lt;=Control!$C$89,$BW212,Control!$C$89-$BW212)</f>
        <v>#N/A</v>
      </c>
      <c r="BY212" s="140" t="e">
        <f ca="1">IF(AND($AJ212&gt;=30,$AJ212&lt;60),1,IF($BW212&gt;=Control!$C$89,0,$BU212))</f>
        <v>#N/A</v>
      </c>
      <c r="BZ212" s="404" t="e">
        <f ca="1">IF($BY212=0,0,IF($BW212&lt;=Control!$C$89,$BU212*(30+(60-30)*(BX212/Control!$C$89)),0))</f>
        <v>#N/A</v>
      </c>
      <c r="CA212" s="140" t="e">
        <f ca="1">IF($BG212+$BM212+$BS212+$BY212=1,0,IF(OR(AND($BB212&lt;65,$BB212&gt;=60),$BW212&gt;=Control!$C$89),1*$BA212,$CE211))</f>
        <v>#N/A</v>
      </c>
      <c r="CB212" s="140" t="e">
        <f ca="1">IF($BX212&lt;0,-$BX212,$CA212*IF(OR($G212&lt;Control!$C$92,$G212&gt;Control!$C$95),0,IF(AND($G212&gt;=Control!$C$92,$G212&lt;=Control!$C$93),$G212-Control!$C$92,IF(AND($G212&gt;Control!$C$93,$G212&lt;=Control!$C$94),Control!$C$93-Control!$C$92,IF(AND($G212&gt;Control!$C$94,$G212&lt;=Control!$C$95),(Control!$C$93-Control!$C$92)*(Control!$C$94-$G212)/(Control!$C$95-Control!$C$94))))))</f>
        <v>#N/A</v>
      </c>
      <c r="CC212" s="140" t="e">
        <f t="shared" ca="1" si="830"/>
        <v>#N/A</v>
      </c>
      <c r="CD212" s="140" t="e">
        <f ca="1">IF($CC212&lt;=Control!$C$90,$CC212,Control!$C$90-$CC212)</f>
        <v>#N/A</v>
      </c>
      <c r="CE212" s="140" t="e">
        <f ca="1">IF(AND($BB212&gt;=60,$BB212&lt;65),1,IF($CC212&gt;=Control!$C$90,0,$CA212))</f>
        <v>#N/A</v>
      </c>
      <c r="CF212" s="404" t="e">
        <f ca="1">IF($CE212=0,0,IF($CC212&lt;=Control!$C$90,$CA212*(60+(65-60)*(CD212/Control!$C$90)),0))</f>
        <v>#N/A</v>
      </c>
      <c r="CG212" s="140" t="e">
        <f ca="1">IF($BG212+$BM212+$BS212+$BY212+$CE212=1,0,IF(OR(AND($BB212&lt;90,$BB212&gt;=65),$CC212&gt;=Control!$C$90),$BA212,$CK211))</f>
        <v>#N/A</v>
      </c>
      <c r="CH212" s="140" t="e">
        <f ca="1">IF($CD212&lt;0,-$CD212,$CG212*IF(OR($G212&lt;Control!$C$92,$G212&gt;Control!$C$95),0,IF(AND($G212&gt;=Control!$C$92,$G212&lt;=Control!$C$93),$G212-Control!$C$92,IF(AND($G212&gt;Control!$C$93,$G212&lt;=Control!$C$94),Control!$C$93-Control!$C$92,IF(AND($G212&gt;Control!$C$94,$G212&lt;=Control!$C$95),(Control!$C$93-Control!$C$92)*(Control!$C$94-$G212)/(Control!$C$95-Control!$C$94))))))</f>
        <v>#N/A</v>
      </c>
      <c r="CI212" s="140" t="e">
        <f t="shared" ca="1" si="831"/>
        <v>#N/A</v>
      </c>
      <c r="CJ212" s="140" t="e">
        <f ca="1">IF($CI212&lt;=Control!$C$91,$CI212,Control!$C$91-$CI212)</f>
        <v>#N/A</v>
      </c>
      <c r="CK212" s="140" t="e">
        <f ca="1">IF(AND($BB212&gt;=65,$BB212&lt;90),1,IF($CI212&gt;=Control!$C$91,0,$CG212))</f>
        <v>#N/A</v>
      </c>
      <c r="CL212" s="404" t="e">
        <f ca="1">IF($CK212=0,0,IF($CI212&lt;=Control!$C$91,$CG212*(65+(90-65)*($CJ212/Control!$C$91)),0))</f>
        <v>#N/A</v>
      </c>
      <c r="CM212" s="140" t="e">
        <f ca="1">IF($BG212+$BM212+$BS212+$BY212+$CE212+$CK212=1,0,IF(OR($BB212&gt;=90,$CI212&gt;=Control!$C$91),$BA212,$CM211))</f>
        <v>#N/A</v>
      </c>
      <c r="CN212" s="140" t="e">
        <f t="shared" ca="1" si="832"/>
        <v>#N/A</v>
      </c>
      <c r="CO212" s="140" t="e">
        <f t="shared" ca="1" si="833"/>
        <v>#N/A</v>
      </c>
      <c r="CP212" s="140" t="e">
        <f t="shared" ca="1" si="834"/>
        <v>#N/A</v>
      </c>
      <c r="CQ212" s="141" t="e">
        <f ca="1">VLOOKUP($CP212,Control!$B$86:$G$91,6)</f>
        <v>#N/A</v>
      </c>
      <c r="CR212" s="141" t="e">
        <f ca="1">(1-$CQ212)*VLOOKUP($CP212,Control!$B$86:$D$91,3)</f>
        <v>#N/A</v>
      </c>
      <c r="CS212" s="141" t="e">
        <f ca="1">(1-$CQ212)*VLOOKUP($CP212,Control!$B$86:$E$91,4)</f>
        <v>#N/A</v>
      </c>
      <c r="CT212" s="141" t="e">
        <f ca="1">(1-$CQ212)*VLOOKUP($CP212,Control!$B$86:$F$91,5)</f>
        <v>#N/A</v>
      </c>
      <c r="CU212" s="141">
        <f t="shared" ca="1" si="835"/>
        <v>0</v>
      </c>
      <c r="CV212" s="583">
        <f t="shared" ca="1" si="836"/>
        <v>0</v>
      </c>
      <c r="CW212" s="142">
        <f t="shared" ca="1" si="837"/>
        <v>208</v>
      </c>
      <c r="CX212" s="612" t="e">
        <f ca="1">IF(Control!$C$114=1,(MIN(Control!$C$120*(IF($NT212-0.01&lt;0,0,1)),Control!$C$119-$CY212)))</f>
        <v>#DIV/0!</v>
      </c>
      <c r="CY212" s="143" t="e">
        <f t="shared" ca="1" si="838"/>
        <v>#N/A</v>
      </c>
      <c r="CZ212" s="144">
        <f t="shared" ca="1" si="715"/>
        <v>0</v>
      </c>
      <c r="DA212" s="144">
        <f t="shared" ca="1" si="716"/>
        <v>0</v>
      </c>
      <c r="DB212" s="144" t="e">
        <f t="shared" ca="1" si="717"/>
        <v>#N/A</v>
      </c>
      <c r="DC212" s="144" t="e">
        <f t="shared" ca="1" si="718"/>
        <v>#N/A</v>
      </c>
      <c r="DD212" s="144" t="e">
        <f t="shared" ca="1" si="923"/>
        <v>#N/A</v>
      </c>
      <c r="DE212" s="143" t="e">
        <f t="shared" ca="1" si="839"/>
        <v>#N/A</v>
      </c>
      <c r="DF212" s="145" t="e">
        <f ca="1">$DR212*EXP(-Control!$C$158*(1-$KH212))</f>
        <v>#N/A</v>
      </c>
      <c r="DG212" s="146" t="e">
        <f ca="1">IF(Control!$C$114=1, $DF212*$EY212, 0)</f>
        <v>#N/A</v>
      </c>
      <c r="DH212" s="147" t="e">
        <f t="shared" ca="1" si="840"/>
        <v>#N/A</v>
      </c>
      <c r="DI212" s="144" t="e">
        <f t="shared" ca="1" si="901"/>
        <v>#N/A</v>
      </c>
      <c r="DJ212" s="147" t="e">
        <f ca="1">$EF212*Control!$C$109</f>
        <v>#N/A</v>
      </c>
      <c r="DK212" s="144" t="e">
        <f t="shared" ca="1" si="841"/>
        <v>#N/A</v>
      </c>
      <c r="DL212" s="144" t="e">
        <f t="shared" ca="1" si="719"/>
        <v>#N/A</v>
      </c>
      <c r="DM212" s="144" t="e">
        <f ca="1">IF(Control!$C$114=1, (1-EXP(-Control!$C$96*$DK212))*$AR212, 0)</f>
        <v>#N/A</v>
      </c>
      <c r="DN212" s="144">
        <f t="shared" ca="1" si="842"/>
        <v>0</v>
      </c>
      <c r="DO212" s="148">
        <f>Control!$C$97</f>
        <v>4</v>
      </c>
      <c r="DP212" s="145" t="e">
        <f t="shared" ca="1" si="843"/>
        <v>#N/A</v>
      </c>
      <c r="DQ212" s="145" t="e">
        <f ca="1">IF(AND($CP212&gt;=0,$CP212&lt;=90),Control!$C$111,Control!$C$111)</f>
        <v>#N/A</v>
      </c>
      <c r="DR212" s="145" t="e">
        <f t="shared" ca="1" si="720"/>
        <v>#N/A</v>
      </c>
      <c r="DS212" s="143" t="e">
        <f ca="1">Control!$B$22/$DR212</f>
        <v>#N/A</v>
      </c>
      <c r="DT212" s="149" t="e">
        <f ca="1">IF(AND(Control!$C$114=1,$KH212&lt;1),$IM212*$DF212, 0)</f>
        <v>#N/A</v>
      </c>
      <c r="DU212" s="144" t="e">
        <f t="shared" ca="1" si="844"/>
        <v>#N/A</v>
      </c>
      <c r="DV212" s="144">
        <f ca="1">IF($G212-Control!$C$107&lt;=0, 0, 0.83*LN(MAX($G212, 3))-0.8924)</f>
        <v>0</v>
      </c>
      <c r="DW212" s="144" t="e">
        <f t="shared" ca="1" si="721"/>
        <v>#N/A</v>
      </c>
      <c r="DX212" s="150" t="e">
        <f ca="1">MAX(0.01*(1+$CU212/Control!$C$102),0.05*($DK212-Control!$C$97)/Control!$C$97)</f>
        <v>#N/A</v>
      </c>
      <c r="DY212" s="151" t="e">
        <f ca="1">IF(Control!$C$114=1, $DI212*$FS212, 0)</f>
        <v>#N/A</v>
      </c>
      <c r="DZ212" s="196" t="e">
        <f t="shared" ca="1" si="845"/>
        <v>#N/A</v>
      </c>
      <c r="EA212" s="152">
        <f t="shared" ca="1" si="846"/>
        <v>208</v>
      </c>
      <c r="EB212" s="153" t="e">
        <f t="shared" ca="1" si="847"/>
        <v>#N/A</v>
      </c>
      <c r="EC212" s="153" t="e">
        <f t="shared" ca="1" si="848"/>
        <v>#N/A</v>
      </c>
      <c r="ED212" s="154" t="e">
        <f ca="1">IF(Control!$C$114=1, $HM212*$FY212-$FD212, 0)</f>
        <v>#DIV/0!</v>
      </c>
      <c r="EE212" s="155" t="e">
        <f ca="1">IF(Control!$C$114=1, $HM212*$FZ212-$FF212, 0)</f>
        <v>#DIV/0!</v>
      </c>
      <c r="EF212" s="153" t="e">
        <f t="shared" ca="1" si="902"/>
        <v>#N/A</v>
      </c>
      <c r="EG212" s="155" t="e">
        <f ca="1">IF(Control!$C$114=1, $GX212*$FW212-$FI212, 0)</f>
        <v>#DIV/0!</v>
      </c>
      <c r="EH212" s="153" t="e">
        <f t="shared" ca="1" si="849"/>
        <v>#N/A</v>
      </c>
      <c r="EI212" s="156" t="e">
        <f t="shared" ca="1" si="850"/>
        <v>#N/A</v>
      </c>
      <c r="EJ212" s="155" t="e">
        <f ca="1">IF(Control!$C$114=1, $HM212*$GB212, 0)</f>
        <v>#DIV/0!</v>
      </c>
      <c r="EK212" s="153" t="e">
        <f t="shared" ca="1" si="903"/>
        <v>#N/A</v>
      </c>
      <c r="EL212" s="153" t="e">
        <f t="shared" ca="1" si="722"/>
        <v>#N/A</v>
      </c>
      <c r="EM212" s="153" t="e">
        <f t="shared" ca="1" si="723"/>
        <v>#N/A</v>
      </c>
      <c r="EN212" s="153" t="e">
        <f ca="1">IF(Control!$C$108=1,IF(AND(Control!$B$18=1,$EB212&gt;=Control!$B$19),$EB212-$DS212,IF(AND(Control!$B$18=2,$AW212=1,$EB212&gt;$DS212),$EB212-$DS212,0)))</f>
        <v>#N/A</v>
      </c>
      <c r="EO212" s="153" t="e">
        <f ca="1">IF(Control!$C$108=1,IF(AND(Control!$B$18=1,$EB212&gt;=Control!$B$19),$EF212,IF(AND(Control!$B$18=2,$AW212=1),$EF212,0)))</f>
        <v>#N/A</v>
      </c>
      <c r="EP212" s="153" t="e">
        <f ca="1">IF(Control!$C$108=1,IF(AND(Control!$B$18=1,$EB212&gt;=Control!$B$19),$EK212,IF(AND(Control!$B$18=2,$AW212=1),$EK212,0)))</f>
        <v>#N/A</v>
      </c>
      <c r="EQ212" s="153" t="e">
        <f t="shared" ca="1" si="851"/>
        <v>#N/A</v>
      </c>
      <c r="ER212" s="153" t="e">
        <f t="shared" ca="1" si="852"/>
        <v>#N/A</v>
      </c>
      <c r="ES212" s="153" t="e">
        <f t="shared" ca="1" si="904"/>
        <v>#N/A</v>
      </c>
      <c r="ET212" s="153" t="e">
        <f t="shared" ca="1" si="905"/>
        <v>#N/A</v>
      </c>
      <c r="EU212" s="153" t="e">
        <f t="shared" ca="1" si="853"/>
        <v>#N/A</v>
      </c>
      <c r="EV212" s="153" t="e">
        <f t="shared" ca="1" si="724"/>
        <v>#N/A</v>
      </c>
      <c r="EW212" s="153" t="e">
        <f t="shared" ca="1" si="725"/>
        <v>#N/A</v>
      </c>
      <c r="EX212" s="153" t="e">
        <f t="shared" ca="1" si="726"/>
        <v>#N/A</v>
      </c>
      <c r="EY212" s="157" t="e">
        <f t="shared" ca="1" si="727"/>
        <v>#DIV/0!</v>
      </c>
      <c r="EZ212" s="154" t="e">
        <f t="shared" ca="1" si="728"/>
        <v>#DIV/0!</v>
      </c>
      <c r="FA212" s="153" t="e">
        <f t="shared" ca="1" si="854"/>
        <v>#N/A</v>
      </c>
      <c r="FB212" s="153" t="e">
        <f t="shared" ca="1" si="729"/>
        <v>#N/A</v>
      </c>
      <c r="FC212" s="193" t="e">
        <f t="shared" ca="1" si="730"/>
        <v>#N/A</v>
      </c>
      <c r="FD212" s="158" t="e">
        <f t="shared" ca="1" si="855"/>
        <v>#N/A</v>
      </c>
      <c r="FE212" s="158" t="e">
        <f t="shared" ca="1" si="856"/>
        <v>#N/A</v>
      </c>
      <c r="FF212" s="159" t="e">
        <f t="shared" ca="1" si="731"/>
        <v>#N/A</v>
      </c>
      <c r="FG212" s="160" t="e">
        <f t="shared" ca="1" si="857"/>
        <v>#N/A</v>
      </c>
      <c r="FH212" s="158" t="e">
        <f t="shared" ca="1" si="858"/>
        <v>#N/A</v>
      </c>
      <c r="FI212" s="159" t="e">
        <f t="shared" ca="1" si="732"/>
        <v>#N/A</v>
      </c>
      <c r="FJ212" s="160" t="e">
        <f t="shared" ca="1" si="859"/>
        <v>#N/A</v>
      </c>
      <c r="FK212" s="160" t="e">
        <f t="shared" ca="1" si="733"/>
        <v>#N/A</v>
      </c>
      <c r="FL212" s="160" t="e">
        <f t="shared" ca="1" si="906"/>
        <v>#N/A</v>
      </c>
      <c r="FM212" s="160" t="e">
        <f t="shared" ca="1" si="734"/>
        <v>#N/A</v>
      </c>
      <c r="FN212" s="158">
        <f t="shared" ca="1" si="860"/>
        <v>0.01</v>
      </c>
      <c r="FO212" s="160">
        <f>Control!$C$101</f>
        <v>50</v>
      </c>
      <c r="FP212" s="150" t="e">
        <f t="shared" ca="1" si="735"/>
        <v>#N/A</v>
      </c>
      <c r="FQ212" s="150" t="e">
        <f ca="1">MAX(0,(Control!$C$112*(($DK212-Control!$C$97)/Control!$C$97)))</f>
        <v>#N/A</v>
      </c>
      <c r="FR212" s="150" t="e">
        <f ca="1">(1-$NT212)*Control!$C$113</f>
        <v>#DIV/0!</v>
      </c>
      <c r="FS212" s="198" t="e">
        <f t="shared" ca="1" si="736"/>
        <v>#N/A</v>
      </c>
      <c r="FT212" s="161">
        <f t="shared" ca="1" si="861"/>
        <v>208</v>
      </c>
      <c r="FU212" s="162" t="e">
        <f ca="1">IF(Control!$B$34=1,VLOOKUP($CP212,Control!$B$86:$G$91,6),Control!$B$35)</f>
        <v>#N/A</v>
      </c>
      <c r="FV212" s="162" t="e">
        <f t="shared" ca="1" si="737"/>
        <v>#DIV/0!</v>
      </c>
      <c r="FW212" s="162" t="e">
        <f ca="1">IF(Control!$B$31=1,$FU212*$FV212,  $FU212)</f>
        <v>#N/A</v>
      </c>
      <c r="FX212" s="162" t="e">
        <f ca="1">IF(Control!$B$34=1,VLOOKUP($CP212,Control!$B$86:$G$91,3),Control!$B$36)</f>
        <v>#N/A</v>
      </c>
      <c r="FY212" s="162" t="e">
        <f t="shared" ca="1" si="738"/>
        <v>#N/A</v>
      </c>
      <c r="FZ212" s="162" t="e">
        <f ca="1">IF(Control!$B$34=1,VLOOKUP($CP212,Control!$B$86:$G$91,4),Control!$B$37)</f>
        <v>#N/A</v>
      </c>
      <c r="GA212" s="162" t="e">
        <f t="shared" ca="1" si="739"/>
        <v>#N/A</v>
      </c>
      <c r="GB212" s="162" t="e">
        <f ca="1">IF(Control!$B$34=1,VLOOKUP($CP212,Control!$B$86:$G$91,5),Control!$B$38)</f>
        <v>#N/A</v>
      </c>
      <c r="GC212" s="162" t="e">
        <f t="shared" ca="1" si="862"/>
        <v>#N/A</v>
      </c>
      <c r="GD212" s="162">
        <f t="shared" ca="1" si="740"/>
        <v>1</v>
      </c>
      <c r="GE212" s="162">
        <f t="shared" ca="1" si="741"/>
        <v>1</v>
      </c>
      <c r="GF212" s="162">
        <f ca="1">IF(AND(Control!$C$104=1, Control!$C$62="F"),$GE212,1)</f>
        <v>1</v>
      </c>
      <c r="GG212" s="162" t="e">
        <f ca="1">IF(Control!$B$16=40,0,IF(AND(Control!$B$16&gt;40,Control!$B$16&lt;=360),(Control!$B$16-40)*((1-0)/(360-40)),IF(AND(Control!$B$16&gt;360,Control!$B$16&lt;=720),(1+(Control!$B$16-360)*((1.25-1)/(720-360))),IF(AND(Control!$B$16&gt;720,Control!$B$16&lt;=1000),(1.25+(Control!$B$16-720)*((1.35-1.25)/(1000-720))),IF(AND(Control!$B$16&gt;1000,Control!$B$16&lt;=2000),(1.35+(Control!$B$16-1000)*0))))))</f>
        <v>#N/A</v>
      </c>
      <c r="GH212" s="162" t="e">
        <f t="shared" ca="1" si="742"/>
        <v>#N/A</v>
      </c>
      <c r="GI212" s="162">
        <f t="shared" ca="1" si="863"/>
        <v>0</v>
      </c>
      <c r="GJ212" s="162">
        <f t="shared" ca="1" si="743"/>
        <v>0</v>
      </c>
      <c r="GK212" s="162">
        <f t="shared" ca="1" si="864"/>
        <v>1</v>
      </c>
      <c r="GL212" s="162">
        <f t="shared" ca="1" si="744"/>
        <v>1</v>
      </c>
      <c r="GM212" s="162" t="e">
        <f ca="1">MAX(0,MIN(1,1-Control!$C$156*(1.0001-$KH212)^2))</f>
        <v>#N/A</v>
      </c>
      <c r="GN212" s="162" t="e">
        <f ca="1">IF(Control!$B$26=1,$KU212,$KX212)</f>
        <v>#N/A</v>
      </c>
      <c r="GO212" s="162" t="e">
        <f ca="1">IF($CP212&lt;=60,Control!$C$105,IF($CP212&gt;=90,Control!$C$106,Control!$C$105+($CP212-60)*((Control!$C$106-Control!$C$105)/(90-60))))</f>
        <v>#N/A</v>
      </c>
      <c r="GP212" s="162" t="e">
        <f t="shared" ca="1" si="745"/>
        <v>#N/A</v>
      </c>
      <c r="GQ212" s="162" t="e">
        <f t="shared" ca="1" si="865"/>
        <v>#N/A</v>
      </c>
      <c r="GR212" s="163" t="e">
        <f t="shared" ca="1" si="746"/>
        <v>#DIV/0!</v>
      </c>
      <c r="GS212" s="162" t="e">
        <f t="shared" ca="1" si="747"/>
        <v>#DIV/0!</v>
      </c>
      <c r="GT212" s="164" t="e">
        <f t="shared" ca="1" si="866"/>
        <v>#N/A</v>
      </c>
      <c r="GU212" s="162" t="e">
        <f t="shared" ca="1" si="867"/>
        <v>#N/A</v>
      </c>
      <c r="GV212" s="162" t="e">
        <f t="shared" ca="1" si="748"/>
        <v>#N/A</v>
      </c>
      <c r="GW212" s="162" t="e">
        <f t="shared" ca="1" si="749"/>
        <v>#DIV/0!</v>
      </c>
      <c r="GX212" s="162" t="e">
        <f t="shared" ca="1" si="868"/>
        <v>#DIV/0!</v>
      </c>
      <c r="GY212" s="162" t="e">
        <f t="shared" ca="1" si="869"/>
        <v>#DIV/0!</v>
      </c>
      <c r="GZ212" s="165" t="e">
        <f t="shared" ca="1" si="750"/>
        <v>#N/A</v>
      </c>
      <c r="HA212" s="162" t="e">
        <f ca="1">IF(Control!$C$114=1, $DI212*$FS212, 0)</f>
        <v>#N/A</v>
      </c>
      <c r="HB212" s="162" t="e">
        <f ca="1">$FA212/Control!$C$64</f>
        <v>#N/A</v>
      </c>
      <c r="HC212" s="162" t="e">
        <f t="shared" ca="1" si="751"/>
        <v>#DIV/0!</v>
      </c>
      <c r="HD212" s="162">
        <f ca="1">-ASIN(SIN(23.45*Control!$C$139)*COS(2*Control!$C$138*($AH212+10)/365))</f>
        <v>0.33198953327814795</v>
      </c>
      <c r="HE212" s="165">
        <f t="shared" ca="1" si="870"/>
        <v>0</v>
      </c>
      <c r="HF212" s="166">
        <f ca="1">IF(AND(Control!$C$61="T",$HE212&gt;=Control!$C$103,Control!$C$114=0),$AH212,Control!$C$59)</f>
        <v>1</v>
      </c>
      <c r="HG212" s="166">
        <f ca="1">IF(AND(Control!$C$61="T",$HE212&gt;=Control!$C$103,Control!$C$114=0),$HF212,Control!$C$59)</f>
        <v>1</v>
      </c>
      <c r="HH212" s="165">
        <f ca="1">IF(AND(OR(Control!$C$60&lt;=0, $AH212= Control!$C$59, Control!$C$60 &gt;0, $AH212 = Control!$C$60)), Control!$C$59, IF(Control!$C$60&gt;0, 0))</f>
        <v>1</v>
      </c>
      <c r="HI212" s="165">
        <f ca="1">IF(AND(OR(Control!$C$60&lt;=0, $AH212= Control!$C$59, Control!$C$60 &gt;0, $AH212 = Control!$C$60)), Control!$C$60, IF(Control!$C$60&lt;=0, 0))</f>
        <v>0</v>
      </c>
      <c r="HJ212" s="166">
        <f ca="1">IF(AND(Control!$C$62="F",$CV212&gt;=Control!$C$102),$AH212,0)</f>
        <v>0</v>
      </c>
      <c r="HK212" s="165" t="e">
        <f t="shared" ca="1" si="907"/>
        <v>#N/A</v>
      </c>
      <c r="HL212" s="166">
        <f ca="1">IF(AND(Control!$C$61="T",$HE212&gt;=Control!$C$103,Control!$C$114=0),$HF212,0)</f>
        <v>0</v>
      </c>
      <c r="HM212" s="201" t="e">
        <f t="shared" ca="1" si="752"/>
        <v>#DIV/0!</v>
      </c>
      <c r="HN212" s="215">
        <f t="shared" ca="1" si="871"/>
        <v>208</v>
      </c>
      <c r="HO212" s="216" t="e">
        <f ca="1">IF(AND($CP212&gt;=0, $CP212&lt;=90), Control!$C$152, Control!$C$152)</f>
        <v>#N/A</v>
      </c>
      <c r="HP212" s="216" t="e">
        <f t="shared" ca="1" si="753"/>
        <v>#N/A</v>
      </c>
      <c r="HQ212" s="217" t="e">
        <f ca="1">IF(OR(Control!$B$26=1,Control!$B$26=2),$KV212,$KS212)</f>
        <v>#DIV/0!</v>
      </c>
      <c r="HR212" s="218" t="e">
        <f t="shared" ca="1" si="908"/>
        <v>#DIV/0!</v>
      </c>
      <c r="HS212" s="216" t="e">
        <f ca="1">Control!$C$154*$HP212</f>
        <v>#N/A</v>
      </c>
      <c r="HT212" s="216" t="e">
        <f ca="1">Control!$C$155*$HP212</f>
        <v>#N/A</v>
      </c>
      <c r="HU212" s="217" t="e">
        <f ca="1">Control!$C$161*$FI212</f>
        <v>#N/A</v>
      </c>
      <c r="HV212" s="218" t="e">
        <f t="shared" ca="1" si="872"/>
        <v>#N/A</v>
      </c>
      <c r="HW212" s="218" t="e">
        <f ca="1">Control!$C$160*$FF212+$IP212*$EO212</f>
        <v>#N/A</v>
      </c>
      <c r="HX212" s="218" t="e">
        <f t="shared" ca="1" si="909"/>
        <v>#N/A</v>
      </c>
      <c r="HY212" s="219" t="e">
        <f ca="1">IF(Control!$C$114=1, $EB212*$FS212, 0)</f>
        <v>#N/A</v>
      </c>
      <c r="HZ212" s="91" t="e">
        <f t="shared" ca="1" si="754"/>
        <v>#N/A</v>
      </c>
      <c r="IA212" s="220" t="e">
        <f ca="1">Control!$C$153*$HO212</f>
        <v>#N/A</v>
      </c>
      <c r="IB212" s="218" t="e">
        <f t="shared" ca="1" si="755"/>
        <v>#N/A</v>
      </c>
      <c r="IC212" s="220" t="e">
        <f ca="1">Control!$C$153*$HT212</f>
        <v>#N/A</v>
      </c>
      <c r="ID212" s="218" t="e">
        <f t="shared" ca="1" si="756"/>
        <v>#N/A</v>
      </c>
      <c r="IE212" s="221" t="e">
        <f ca="1">($EB212*Control!$C$159+$EF212*Control!$C$160)/(IF($GZ212&lt;&gt;0,$GZ212,1))</f>
        <v>#N/A</v>
      </c>
      <c r="IF212" s="216" t="e">
        <f t="shared" ca="1" si="757"/>
        <v>#N/A</v>
      </c>
      <c r="IG212" s="91">
        <f ca="1">IF(OR(Control!$B$198=$AH212,Control!$B$199=$AH212, Control!$B$200=$AH212, Control!$B$201=$AH212, Control!$B$202=$AH212, Control!$B$203=$AH212, Control!$B$204=$AH212, Control!$B$205=$AH212, Control!$B$206=$AH212, Control!$B$207=$AH212), 1, 0)</f>
        <v>0</v>
      </c>
      <c r="IH212" s="91">
        <f ca="1">IF($IG212=0,0, VLOOKUP($AH212,Control!$B$198:$C$207,2))</f>
        <v>0</v>
      </c>
      <c r="II212" s="222">
        <f t="shared" ca="1" si="873"/>
        <v>0</v>
      </c>
      <c r="IJ212" s="91">
        <f>Control!$C$121</f>
        <v>0.7</v>
      </c>
      <c r="IK212" s="218">
        <f t="shared" ca="1" si="758"/>
        <v>0</v>
      </c>
      <c r="IL212" s="217" t="e">
        <f t="shared" ca="1" si="910"/>
        <v>#N/A</v>
      </c>
      <c r="IM212" s="223" t="e">
        <f ca="1">IF(AND(Control!$C$114=1,$KH212&lt;1),$EB212*Control!$C$148*(1-$KH212), 0)</f>
        <v>#N/A</v>
      </c>
      <c r="IN212" s="217" t="e">
        <f t="shared" ca="1" si="759"/>
        <v>#DIV/0!</v>
      </c>
      <c r="IO212" s="91" t="e">
        <f ca="1">MAX(0,$IL212-$EF212*Control!$C$160)</f>
        <v>#N/A</v>
      </c>
      <c r="IP212" s="220" t="e">
        <f t="shared" ca="1" si="760"/>
        <v>#N/A</v>
      </c>
      <c r="IQ212" s="217" t="e">
        <f t="shared" ca="1" si="874"/>
        <v>#N/A</v>
      </c>
      <c r="IR212" s="218" t="e">
        <f t="shared" ca="1" si="761"/>
        <v>#N/A</v>
      </c>
      <c r="IS212" s="217" t="e">
        <f ca="1">Control!$C$159*MAX(0,$FD212-$EN212)</f>
        <v>#N/A</v>
      </c>
      <c r="IT212" s="217" t="e">
        <f t="shared" ca="1" si="911"/>
        <v>#N/A</v>
      </c>
      <c r="IU212" s="217" t="e">
        <f t="shared" ca="1" si="875"/>
        <v>#N/A</v>
      </c>
      <c r="IV212" s="217" t="e">
        <f t="shared" ca="1" si="912"/>
        <v>#N/A</v>
      </c>
      <c r="IW212" s="217" t="e">
        <f ca="1">IF(OR($AW212=1,AND($AW212=0, Control!$B$18=1,$EN212&lt;&gt;0)), $IQ212-$IU212, $IQ212)</f>
        <v>#N/A</v>
      </c>
      <c r="IX212" s="218" t="e">
        <f t="shared" ca="1" si="762"/>
        <v>#N/A</v>
      </c>
      <c r="IY212" s="218" t="e">
        <f ca="1">MAX(0,$IQ212-$EB212*Control!$C$159)</f>
        <v>#N/A</v>
      </c>
      <c r="IZ212" s="218" t="e">
        <f t="shared" ca="1" si="763"/>
        <v>#N/A</v>
      </c>
      <c r="JA212" s="216" t="e">
        <f t="shared" ca="1" si="764"/>
        <v>#N/A</v>
      </c>
      <c r="JB212" s="217" t="e">
        <f t="shared" ca="1" si="765"/>
        <v>#N/A</v>
      </c>
      <c r="JC212" s="222" t="e">
        <f ca="1">MAX(Control!$C$157*$EK212-$JT212, 0)/Control!$C$162</f>
        <v>#N/A</v>
      </c>
      <c r="JD212" s="218" t="e">
        <f t="shared" ca="1" si="766"/>
        <v>#N/A</v>
      </c>
      <c r="JE212" s="218" t="e">
        <f t="shared" ca="1" si="767"/>
        <v>#N/A</v>
      </c>
      <c r="JF212" s="218" t="e">
        <f t="shared" ca="1" si="876"/>
        <v>#N/A</v>
      </c>
      <c r="JG212" s="218" t="e">
        <f t="shared" ca="1" si="768"/>
        <v>#N/A</v>
      </c>
      <c r="JH212" s="217" t="e">
        <f t="shared" ca="1" si="877"/>
        <v>#N/A</v>
      </c>
      <c r="JI212" s="217" t="e">
        <f t="shared" ca="1" si="878"/>
        <v>#N/A</v>
      </c>
      <c r="JJ212" s="217" t="e">
        <f t="shared" ca="1" si="913"/>
        <v>#N/A</v>
      </c>
      <c r="JK212" s="217" t="e">
        <f ca="1">IF(Control!$C$114=1,IF(Control!$B$24=0,MAX(0,$JI212)*$GN212/Control!$C$64,(MAX(0,MIN($JI212,$JJ212*$GN212/Control!$C$64),0))))</f>
        <v>#N/A</v>
      </c>
      <c r="JL212" s="217" t="e">
        <f ca="1">$IK212/Control!$C$64-$JK212+$HQ212</f>
        <v>#N/A</v>
      </c>
      <c r="JM212" s="217" t="e">
        <f ca="1">IF(Control!$C$114=1,($JB212/(IF($JI212&lt;&gt;0,$JI212,1)))*$JK212,0)</f>
        <v>#N/A</v>
      </c>
      <c r="JN212" s="217" t="e">
        <f ca="1">IF(Control!$C$114=1,($JG212/(IF($JI212&lt;&gt;0,$JI212,1)))*$JK212, 0)</f>
        <v>#N/A</v>
      </c>
      <c r="JO212" s="218" t="e">
        <f t="shared" ca="1" si="769"/>
        <v>#N/A</v>
      </c>
      <c r="JP212" s="218" t="e">
        <f ca="1">MIN(($IY212+$IO212)*Control!$C$151, $JF212-$EH212*Control!$C$161)</f>
        <v>#N/A</v>
      </c>
      <c r="JQ212" s="218" t="e">
        <f t="shared" ca="1" si="770"/>
        <v>#N/A</v>
      </c>
      <c r="JR212" s="217" t="e">
        <f ca="1">IF($CP212-Control!$C$150&lt;0, 0, $JQ212/Control!$C$162)</f>
        <v>#N/A</v>
      </c>
      <c r="JS212" s="218" t="e">
        <f t="shared" ca="1" si="771"/>
        <v>#N/A</v>
      </c>
      <c r="JT212" s="218" t="e">
        <f t="shared" ca="1" si="879"/>
        <v>#N/A</v>
      </c>
      <c r="JU212" s="218" t="e">
        <f t="shared" ca="1" si="772"/>
        <v>#N/A</v>
      </c>
      <c r="JV212" s="218" t="e">
        <f t="shared" ca="1" si="773"/>
        <v>#N/A</v>
      </c>
      <c r="JW212" s="216" t="e">
        <f t="shared" ca="1" si="774"/>
        <v>#N/A</v>
      </c>
      <c r="JX212" s="91" t="e">
        <f t="shared" ca="1" si="775"/>
        <v>#N/A</v>
      </c>
      <c r="JY212" s="218" t="e">
        <f t="shared" ca="1" si="776"/>
        <v>#N/A</v>
      </c>
      <c r="JZ212" s="217" t="e">
        <f ca="1">IF(Control!$C$114=1,($IZ212/(IF($JI212&lt;&gt;0,$JI212,1)))*$JK212, 0)</f>
        <v>#N/A</v>
      </c>
      <c r="KA212" s="218" t="e">
        <f t="shared" ca="1" si="914"/>
        <v>#N/A</v>
      </c>
      <c r="KB212" s="218" t="e">
        <f t="shared" ca="1" si="880"/>
        <v>#N/A</v>
      </c>
      <c r="KC212" s="218" t="e">
        <f t="shared" ca="1" si="777"/>
        <v>#N/A</v>
      </c>
      <c r="KD212" s="218" t="e">
        <f t="shared" ca="1" si="778"/>
        <v>#N/A</v>
      </c>
      <c r="KE212" s="218" t="e">
        <f t="shared" ca="1" si="779"/>
        <v>#N/A</v>
      </c>
      <c r="KF212" s="218" t="e">
        <f t="shared" ca="1" si="780"/>
        <v>#N/A</v>
      </c>
      <c r="KG212" s="216" t="e">
        <f t="shared" ca="1" si="781"/>
        <v>#N/A</v>
      </c>
      <c r="KH212" s="221" t="e">
        <f ca="1">IF(Control!$B$24=0,1,MAX(0.001,MIN(1,IF(($IF212-$IE212)&lt;&gt;0,($KG212-$IE212)/($IF212-$IE212),1))))</f>
        <v>#N/A</v>
      </c>
      <c r="KI212" s="222" t="e">
        <f ca="1">IF(Control!$C$114=1, $KI211+ $KH211, 0)</f>
        <v>#N/A</v>
      </c>
      <c r="KJ212" s="217" t="e">
        <f t="shared" ca="1" si="782"/>
        <v>#N/A</v>
      </c>
      <c r="KK212" s="218" t="e">
        <f t="shared" ca="1" si="783"/>
        <v>#N/A</v>
      </c>
      <c r="KL212" s="274" t="e">
        <f ca="1">IF(Control!$B$26=3,4000000000*EXP(-8400/($G212+273)),IF(Control!$B$26=4,4000000000*EXP(-8400/($G212+273))*($KT212),0))</f>
        <v>#DIV/0!</v>
      </c>
      <c r="KM212" s="274" t="e">
        <f ca="1">IF(Control!$B$26=3,5600000000000*EXP(-9800/($G212+273)),IF(Control!$B$26=4,5600000000000*EXP(-9800/($G212+273))*$KT212,0))</f>
        <v>#DIV/0!</v>
      </c>
      <c r="KN212" s="454" t="e">
        <f t="shared" ca="1" si="881"/>
        <v>#DIV/0!</v>
      </c>
      <c r="KO212" s="274" t="e">
        <f t="shared" ca="1" si="882"/>
        <v>#DIV/0!</v>
      </c>
      <c r="KP212" s="454" t="e">
        <f t="shared" ca="1" si="784"/>
        <v>#DIV/0!</v>
      </c>
      <c r="KQ212" s="454" t="e">
        <f t="shared" ca="1" si="785"/>
        <v>#DIV/0!</v>
      </c>
      <c r="KR212" s="454" t="e">
        <f t="shared" ca="1" si="786"/>
        <v>#DIV/0!</v>
      </c>
      <c r="KS212" s="454" t="e">
        <f t="shared" ca="1" si="787"/>
        <v>#DIV/0!</v>
      </c>
      <c r="KT212" s="455" t="e">
        <f t="shared" ca="1" si="788"/>
        <v>#DIV/0!</v>
      </c>
      <c r="KU212" s="456" t="e">
        <f ca="1">IF($CP212-Control!$C$149&lt;0, IF($NT212-0.01&lt;0,0,1),0)</f>
        <v>#N/A</v>
      </c>
      <c r="KV212" s="456" t="e">
        <f ca="1">IF(Control!$C$114=1,MAX(0,MIN(Control!$C$125*$KW212*$GN212,$KW212)))</f>
        <v>#DIV/0!</v>
      </c>
      <c r="KW212" s="456" t="e">
        <f t="shared" ca="1" si="915"/>
        <v>#DIV/0!</v>
      </c>
      <c r="KX212" s="457" t="e">
        <f ca="1">IF($CP212-Control!$C$149&lt;0, IF($MR212-$OM212&lt;0,0,1),0)</f>
        <v>#N/A</v>
      </c>
      <c r="KY212" s="167">
        <f t="shared" ca="1" si="883"/>
        <v>208</v>
      </c>
      <c r="KZ212" s="168">
        <f ca="1">1370*(1+0.033*COS(2*Control!$C$138*$AH212/365))</f>
        <v>1329.0763767654694</v>
      </c>
      <c r="LA212" s="169">
        <f t="shared" ca="1" si="884"/>
        <v>0.97012862473358386</v>
      </c>
      <c r="LB212" s="169">
        <f t="shared" ca="1" si="885"/>
        <v>0.33293364904267192</v>
      </c>
      <c r="LC212" s="169">
        <f ca="1">ACOS(-TAN((2*Control!$B$8/360))*TAN(Calculations!$LB212))</f>
        <v>1.6737527490656829</v>
      </c>
      <c r="LD212" s="169">
        <f ca="1">((24*60)/PI())*0.082*$LA212*(($LC212*SIN(Control!$B$8*2*PI()/360))*SIN($LB212)+COS(Control!$B$8*2*PI()/360)*COS($LB212)*SIN($LC212))</f>
        <v>36.821476856756114</v>
      </c>
      <c r="LE212" s="170">
        <f t="shared" ca="1" si="789"/>
        <v>37.99415490036553</v>
      </c>
      <c r="LF212" s="170">
        <f ca="1">SIN(Control!$C$139*Control!$B$8)*SIN($HD212)</f>
        <v>0.2568324907459596</v>
      </c>
      <c r="LG212" s="170">
        <f ca="1">COS(Control!$C$139*Control!$B$8)*COS($HD212)</f>
        <v>0.58204217790410917</v>
      </c>
      <c r="LH212" s="170">
        <f ca="1">12*(1+2*ASIN(MAX(-1,MIN(1,$LF212/$LG212))/Control!$C$138))</f>
        <v>15.382161050699455</v>
      </c>
      <c r="LI212" s="170">
        <f ca="1">12*(1+2*ASIN(MAX(-1,MIN(1,(-SIN(-4*Control!$C$139)+$LF212)/$LG212))/Control!$C$138))</f>
        <v>16.309671041133431</v>
      </c>
      <c r="LJ212" s="168">
        <f ca="1">3600*($LH212*$LF212+24*$LG212*SQRT(1-$LK212*$LK212)/Control!$C$138)</f>
        <v>28586.886024436524</v>
      </c>
      <c r="LK212" s="170">
        <f t="shared" ca="1" si="790"/>
        <v>0.44126096096814565</v>
      </c>
      <c r="LL212" s="170">
        <f t="shared" ca="1" si="791"/>
        <v>0</v>
      </c>
      <c r="LM212" s="171">
        <f ca="1">Control!$C$145*$AB212</f>
        <v>6.6660906138995932E-2</v>
      </c>
      <c r="LN212" s="170">
        <f t="shared" ca="1" si="886"/>
        <v>0.54</v>
      </c>
      <c r="LO212" s="170">
        <f t="shared" ca="1" si="792"/>
        <v>0</v>
      </c>
      <c r="LP212" s="170">
        <f ca="1">Control!$C$140*((($D212+273.16)^4+($E212+273.16)^4)/2)*(0.34-0.14*SQRT($Y212))*(1.35*$AQ212/(0.75*$LD212)-0.35)</f>
        <v>-3.2464704755046001</v>
      </c>
      <c r="LQ212" s="170">
        <f ca="1">Control!$C$140*($G212+273)^4*(0.56-0.079*SQRT($Y212*10))*(0.1+0.9*$LO212)</f>
        <v>1.5241745131704001</v>
      </c>
      <c r="LR212" s="170">
        <f ca="1">$AQ212*(1-Control!$C$142)-$LQ212</f>
        <v>-1.5241745131704001</v>
      </c>
      <c r="LS212" s="170">
        <f ca="1">$AQ212*(1-Control!$C$143)-$LQ212</f>
        <v>-1.5241745131704001</v>
      </c>
      <c r="LT212" s="170">
        <f ca="1">$AQ212*(1-Control!$C$144)-$LQ212</f>
        <v>-1.5241745131704001</v>
      </c>
      <c r="LU212" s="169">
        <f ca="1">(1-Control!$C$144)*AQ212-LP212</f>
        <v>3.2464704755046001</v>
      </c>
      <c r="LV212" s="172">
        <f t="shared" ca="1" si="793"/>
        <v>0.79430000000000012</v>
      </c>
      <c r="LW212" s="170">
        <f t="shared" ca="1" si="794"/>
        <v>1.5886000000000002</v>
      </c>
      <c r="LX212" s="170">
        <f ca="1">($AC212*($LR212/Control!$C$141)+$LM212*$LV212)/($AC212+$LM212)</f>
        <v>0.23530094218323697</v>
      </c>
      <c r="LY212" s="170">
        <f ca="1">($AC212*($LS212/Control!$C$141)+$LM212*$LV212)/($AC212+$LM212)</f>
        <v>0.23530094218323697</v>
      </c>
      <c r="LZ212" s="170">
        <f t="shared" ca="1" si="795"/>
        <v>0.23530094218323697</v>
      </c>
      <c r="MA212" s="170">
        <f t="shared" ca="1" si="796"/>
        <v>0.23530094218323697</v>
      </c>
      <c r="MB212" s="170" t="e">
        <f t="shared" ca="1" si="797"/>
        <v>#N/A</v>
      </c>
      <c r="MC212" s="170">
        <f t="shared" ca="1" si="887"/>
        <v>0.6018</v>
      </c>
      <c r="MD212" s="170">
        <f t="shared" ca="1" si="798"/>
        <v>0.52989392535414004</v>
      </c>
      <c r="ME212" s="170">
        <f ca="1">($AC212*($LT212/Control!$C$141)+$LM212*$LW212)/($AC212+$LM212)</f>
        <v>0.71612369323045078</v>
      </c>
      <c r="MF212" s="170" t="e">
        <f ca="1">IF(Control!$B$16&gt;=1000,0.92,IF(AND(720&lt;=Control!$B$16,1000&gt;Control!$B$16),(0.95+(Control!$B$16-720)*((0.92-0.95)/(1000-720))),IF(AND(360&lt;=Control!$B$16,720&gt;Control!$B$16),(1+(Control!$B$16-360)*((0.95-1)/(720-360))),IF(AND(40&lt;=Control!$B$16,360&gt;Control!$B$16),(1.05+(Control!$B$16-40)*((1.05-1)/(360-40)))))))</f>
        <v>#N/A</v>
      </c>
      <c r="MG212" s="170">
        <f t="shared" ca="1" si="799"/>
        <v>0.71612369323045078</v>
      </c>
      <c r="MH212" s="170" t="e">
        <f t="shared" ca="1" si="924"/>
        <v>#N/A</v>
      </c>
      <c r="MI212" s="170" t="e">
        <f t="shared" ca="1" si="924"/>
        <v>#N/A</v>
      </c>
      <c r="MJ212" s="170" t="e">
        <f ca="1">MAX(0.0001, Control!$C$132*$MI212*$DL212)</f>
        <v>#N/A</v>
      </c>
      <c r="MK212" s="170">
        <f ca="1">1/(0.76+1.5*($MG212/10))-(5-Control!$C$110)*0.1</f>
        <v>1.002845988140797</v>
      </c>
      <c r="ML212" s="173">
        <f ca="1">IF(Control!$C$110&lt;3,$MK212+($MG212-0.6)/(Control!$C$110*(Control!$C$110+3)), MAX(0.1, MIN(0.95,$MK212)))</f>
        <v>0.95</v>
      </c>
      <c r="MM212" s="173">
        <f ca="1">IF(Control!$C$110&lt;3,$MK212+(($MI212/10)-0.6)/(Control!$C$110*(Control!$C$110+3)), MAX(0.1, MIN(0.95,$MK212)))</f>
        <v>0.95</v>
      </c>
      <c r="MN212" s="173">
        <f ca="1">(1-$MM212)*(Control!$C$128-Control!$C$127)+Control!$C$127</f>
        <v>0.16</v>
      </c>
      <c r="MO212" s="170" t="e">
        <f ca="1">MAX(0,MIN(1,($MS212-Control!$C$127)/($MN212-Control!$C$127)))</f>
        <v>#DIV/0!</v>
      </c>
      <c r="MP212" s="173" t="e">
        <f ca="1">1/(0.76+1.5*$MI212)-(5-Control!$C$110)*0.1</f>
        <v>#N/A</v>
      </c>
      <c r="MQ212" s="172" t="e">
        <f t="shared" ca="1" si="916"/>
        <v>#DIV/0!</v>
      </c>
      <c r="MR212" s="168" t="e">
        <f t="shared" ca="1" si="888"/>
        <v>#DIV/0!</v>
      </c>
      <c r="MS212" s="173" t="e">
        <f ca="1">MAX(Control!$C$127, MIN(Control!$C$135, $MR212/MAX(0.0001,$CY212)))</f>
        <v>#DIV/0!</v>
      </c>
      <c r="MT212" s="168" t="e">
        <f ca="1">(Control!$C$128-$MS212)*Control!$C$74</f>
        <v>#DIV/0!</v>
      </c>
      <c r="MU212" s="168" t="e">
        <f ca="1">(Control!$C$135-$MS212)*Control!$C$74</f>
        <v>#DIV/0!</v>
      </c>
      <c r="MV212" s="168" t="e">
        <f t="shared" ca="1" si="889"/>
        <v>#DIV/0!</v>
      </c>
      <c r="MW212" s="168" t="e">
        <f t="shared" ca="1" si="890"/>
        <v>#DIV/0!</v>
      </c>
      <c r="MX212" s="171" t="e">
        <f ca="1">MAX(Control!$C$127, MIN(Control!$C$135, $MW212/MAX(0.0001,Control!$C$119-$CY212)))</f>
        <v>#DIV/0!</v>
      </c>
      <c r="MY212" s="54" t="e">
        <f ca="1">IF(Control!$C$114=1, $CX212*$MX212, 0)</f>
        <v>#DIV/0!</v>
      </c>
      <c r="MZ212" s="54" t="e">
        <f t="shared" ca="1" si="891"/>
        <v>#N/A</v>
      </c>
      <c r="NA212" s="168" t="e">
        <f ca="1">(Control!$C$128-$MX212)*(Control!$C$119-Control!$C$74)</f>
        <v>#DIV/0!</v>
      </c>
      <c r="NB212" s="168" t="e">
        <f ca="1">(Control!$C$135-$MX212)*(Control!$C$119-Control!$C$74)</f>
        <v>#DIV/0!</v>
      </c>
      <c r="NC212" s="174" t="e">
        <f t="shared" ca="1" si="892"/>
        <v>#DIV/0!</v>
      </c>
      <c r="ND212" s="54">
        <f ca="1">IF(Control!$C$58=2, IF(OR(Control!$B$218=$AH212,Control!$B$219=$AH212, Control!$B$220=$AH212, Control!$B$221=$AH212, Control!$B$222=$AH212, Control!$B$223=$AH212, Control!$B$224=$AH212, Control!$B$225=$AH212, Control!$B$226=$AH212, Control!$B$227=$AH212, Control!$B$228=$AH212), 1, 0), 0)</f>
        <v>0</v>
      </c>
      <c r="NE212" s="54">
        <f ca="1">IF($ND212=0,0, VLOOKUP($AH212,Control!$B$218:$C$228,2))</f>
        <v>0</v>
      </c>
      <c r="NF212" s="168" t="e">
        <f ca="1">$CY212*(Control!$C$128-Control!$C$127)</f>
        <v>#N/A</v>
      </c>
      <c r="NG212" s="54" t="e">
        <f ca="1">IF(Control!$C$58=2, $NI211-$NJ211, 0)</f>
        <v>#DIV/0!</v>
      </c>
      <c r="NH212" s="54" t="e">
        <f ca="1">IF(AND(Control!$C$58=1, $MS211&lt;= ($MN211+0.02), $I211&lt;10), 0, IF(Control!$C$58=2, $NG211, 0))</f>
        <v>#DIV/0!</v>
      </c>
      <c r="NI212" s="54" t="e">
        <f ca="1">IF(Control!$C$58=2, $NE212+$NH212,0)</f>
        <v>#DIV/0!</v>
      </c>
      <c r="NJ212" s="54" t="e">
        <f ca="1">IF(AND(Control!$C$58=1, $MS212&lt;= ($MN212+0.02), $I212&lt;10), MAX(0, MIN(10, 0.7*($NF212-$MV212))), IF(Control!$C$58=2, MIN(10,$NI212),0))</f>
        <v>#DIV/0!</v>
      </c>
      <c r="NK212" s="54" t="e">
        <f t="shared" ca="1" si="800"/>
        <v>#DIV/0!</v>
      </c>
      <c r="NL212" s="173" t="e">
        <f ca="1">(1-Control!$C$73)*$I212+$NJ212</f>
        <v>#DIV/0!</v>
      </c>
      <c r="NM212" s="172" t="e">
        <f ca="1">IF($NL212&lt;0.5, $MB212* MAX(0, MIN(1, (SQRT($NC212)-SQRT($NC212-1))*Control!$C$71)),0)</f>
        <v>#DIV/0!</v>
      </c>
      <c r="NN212" s="170" t="e">
        <f ca="1">IF($NL212&gt;=5, $MB212, MAX(0,MIN($MB212, $NM212+$NL212,($MS212-Control!$C$129))))</f>
        <v>#DIV/0!</v>
      </c>
      <c r="NO212" s="54">
        <f>IF(Control!$C$133&lt;&gt;1, Control!$C$135-Control!$C$131, 0)</f>
        <v>0.38</v>
      </c>
      <c r="NP212" s="54" t="e">
        <f t="shared" ca="1" si="801"/>
        <v>#DIV/0!</v>
      </c>
      <c r="NQ212" s="173" t="e">
        <f ca="1">MAX(0,MIN(1,(Control!$C$135-$MS212)/(Control!$C$135-$NO212)))</f>
        <v>#DIV/0!</v>
      </c>
      <c r="NR212" s="170" t="e">
        <f ca="1">IF(Control!$C$133&lt;&gt;1, $NQ212+((1-$NP212/4)*(1-$NQ212)),1)</f>
        <v>#DIV/0!</v>
      </c>
      <c r="NS212" s="170" t="e">
        <f ca="1">IF(Control!$B$31=0,$MJ212,MAX(0,MIN($MV212,$MO212*$NR212*$MJ212)))</f>
        <v>#DIV/0!</v>
      </c>
      <c r="NT212" s="170" t="e">
        <f t="shared" ca="1" si="917"/>
        <v>#DIV/0!</v>
      </c>
      <c r="NU212" s="170" t="e">
        <f t="shared" ca="1" si="893"/>
        <v>#N/A</v>
      </c>
      <c r="NV212" s="170" t="e">
        <f t="shared" ca="1" si="802"/>
        <v>#N/A</v>
      </c>
      <c r="NW212" s="175" t="e">
        <f t="shared" ca="1" si="803"/>
        <v>#DIV/0!</v>
      </c>
      <c r="NX212" s="170" t="e">
        <f ca="1">MIN(Control!$C$72+$MU212, $NW212)</f>
        <v>#DIV/0!</v>
      </c>
      <c r="NY212" s="170" t="e">
        <f ca="1">IF($MT212&lt;=$NX212,MIN(Control!$C$72+$NB212,$NX212-$MT212),0)</f>
        <v>#DIV/0!</v>
      </c>
      <c r="NZ212" s="54" t="e">
        <f ca="1">IF(Control!$C$114=1,  $CX212*($MX212-Control!$C$127), 0)</f>
        <v>#DIV/0!</v>
      </c>
      <c r="OA212" s="170" t="e">
        <f t="shared" ca="1" si="804"/>
        <v>#DIV/0!</v>
      </c>
      <c r="OB212" s="170" t="e">
        <f ca="1">IF($NA212 &lt;=$NY212, MIN(Control!$C$72, $NY212-$NA212), 0)</f>
        <v>#DIV/0!</v>
      </c>
      <c r="OC212" s="168" t="e">
        <f t="shared" ca="1" si="805"/>
        <v>#DIV/0!</v>
      </c>
      <c r="OD212" s="168" t="e">
        <f t="shared" ca="1" si="894"/>
        <v>#DIV/0!</v>
      </c>
      <c r="OE212" s="170">
        <f ca="1">Control!$C$73*$I212</f>
        <v>0</v>
      </c>
      <c r="OF212" s="176" t="e">
        <f t="shared" ca="1" si="806"/>
        <v>#DIV/0!</v>
      </c>
      <c r="OG212" s="168" t="e">
        <f t="shared" ca="1" si="807"/>
        <v>#DIV/0!</v>
      </c>
      <c r="OH212" s="168" t="e">
        <f t="shared" ca="1" si="808"/>
        <v>#DIV/0!</v>
      </c>
      <c r="OI212" s="168" t="e">
        <f t="shared" ca="1" si="809"/>
        <v>#DIV/0!</v>
      </c>
      <c r="OJ212" s="168" t="e">
        <f t="shared" ca="1" si="810"/>
        <v>#DIV/0!</v>
      </c>
      <c r="OK212" s="204" t="e">
        <f t="shared" ca="1" si="811"/>
        <v>#DIV/0!</v>
      </c>
      <c r="OL212" s="177">
        <f>Control!$C$127</f>
        <v>0.15</v>
      </c>
      <c r="OM212" s="182" t="e">
        <f t="shared" ca="1" si="812"/>
        <v>#N/A</v>
      </c>
      <c r="ON212" s="177">
        <f>Control!$C$128</f>
        <v>0.35</v>
      </c>
      <c r="OO212" s="182" t="e">
        <f t="shared" ca="1" si="813"/>
        <v>#N/A</v>
      </c>
      <c r="OP212" s="138">
        <f t="shared" ca="1" si="895"/>
        <v>0</v>
      </c>
      <c r="OQ212" s="138" t="e">
        <f t="shared" ca="1" si="918"/>
        <v>#DIV/0!</v>
      </c>
      <c r="OR212" s="138" t="e">
        <f t="shared" ca="1" si="896"/>
        <v>#DIV/0!</v>
      </c>
      <c r="OS212" s="137" t="e">
        <f t="shared" ca="1" si="919"/>
        <v>#DIV/0!</v>
      </c>
      <c r="OT212" s="139" t="e">
        <f t="shared" ca="1" si="920"/>
        <v>#DIV/0!</v>
      </c>
      <c r="OU212" s="138" t="e">
        <f t="shared" ca="1" si="921"/>
        <v>#N/A</v>
      </c>
      <c r="OV212" s="138" t="e">
        <f t="shared" ca="1" si="922"/>
        <v>#DIV/0!</v>
      </c>
      <c r="OW212" s="138" t="e">
        <f t="shared" ca="1" si="897"/>
        <v>#DIV/0!</v>
      </c>
      <c r="OX212" s="138" t="e">
        <f t="shared" ca="1" si="898"/>
        <v>#DIV/0!</v>
      </c>
      <c r="OY212" s="138" t="e">
        <f t="shared" ca="1" si="899"/>
        <v>#DIV/0!</v>
      </c>
      <c r="OZ212" s="138" t="e">
        <f t="shared" ca="1" si="814"/>
        <v>#DIV/0!</v>
      </c>
      <c r="PA212" s="138" t="e">
        <f t="shared" ca="1" si="815"/>
        <v>#DIV/0!</v>
      </c>
      <c r="PB212" s="55">
        <f>IF(Control!$C$61="T", IF(Control!$C$65="F", IF($AH$6-Control!$C$60&lt;0,0,1), IF(365+$AH$6-Control!$C$60&lt;0,0,1)),0)</f>
        <v>0</v>
      </c>
      <c r="PC212" s="55">
        <f ca="1">IF(Control!$C$65="F", IF($AH$6-$HF212&lt;0,0,1), IF(365+$AH$6-$HF212&lt;0,0,1))</f>
        <v>1</v>
      </c>
      <c r="PD212" s="444">
        <f>Control!$C$118</f>
        <v>1500</v>
      </c>
      <c r="PE212" s="180" t="e">
        <f t="shared" ca="1" si="816"/>
        <v>#N/A</v>
      </c>
      <c r="PF212" s="445">
        <f t="shared" ca="1" si="900"/>
        <v>0.71612369323045078</v>
      </c>
      <c r="PT212" s="186"/>
      <c r="PU212" s="186"/>
      <c r="PV212" s="94"/>
      <c r="PW212" s="94"/>
      <c r="PX212" s="94"/>
      <c r="PY212" s="94"/>
      <c r="PZ212" s="94"/>
      <c r="QA212" s="94"/>
      <c r="QB212" s="94"/>
      <c r="QC212" s="94"/>
      <c r="QD212" s="94"/>
      <c r="QE212" s="94"/>
      <c r="QF212" s="94"/>
      <c r="QG212" s="94"/>
      <c r="QH212" s="94"/>
      <c r="QI212" s="94"/>
      <c r="QJ212" s="94"/>
      <c r="QK212" s="94"/>
      <c r="QL212" s="94"/>
      <c r="QM212" s="94"/>
      <c r="QN212" s="94"/>
      <c r="QO212" s="94"/>
      <c r="QP212" s="94"/>
    </row>
    <row r="213" spans="1:458" s="2" customFormat="1" x14ac:dyDescent="0.2">
      <c r="A213" s="395">
        <v>27</v>
      </c>
      <c r="B213" s="396">
        <v>7</v>
      </c>
      <c r="C213" s="387">
        <f ca="1">Weather_data!$B212</f>
        <v>0</v>
      </c>
      <c r="D213" s="388">
        <f ca="1">Weather_data!$F212</f>
        <v>0</v>
      </c>
      <c r="E213" s="388">
        <f ca="1">Weather_data!$E212</f>
        <v>0</v>
      </c>
      <c r="F213" s="388">
        <f t="shared" ca="1" si="817"/>
        <v>0</v>
      </c>
      <c r="G213" s="388">
        <f ca="1">AVERAGE($D213:$E213)+Control!$B$9</f>
        <v>0</v>
      </c>
      <c r="H213" s="388">
        <f ca="1">Weather_data!$G212</f>
        <v>0</v>
      </c>
      <c r="I213" s="388">
        <f ca="1">Weather_data!$I212</f>
        <v>0</v>
      </c>
      <c r="J213" s="388">
        <f ca="1">Weather_data!$H212</f>
        <v>0</v>
      </c>
      <c r="K213" s="389">
        <f ca="1">Weather_data!$D212</f>
        <v>0</v>
      </c>
      <c r="L213" s="388" t="e">
        <f t="shared" ca="1" si="818"/>
        <v>#N/A</v>
      </c>
      <c r="M213" s="388" t="e">
        <f t="shared" ca="1" si="696"/>
        <v>#N/A</v>
      </c>
      <c r="N213" s="388">
        <f t="shared" ca="1" si="697"/>
        <v>-1.6872112334623037E-10</v>
      </c>
      <c r="O213" s="388">
        <f t="shared" ca="1" si="819"/>
        <v>1.6872112334623037E-9</v>
      </c>
      <c r="P213" s="390">
        <v>3</v>
      </c>
      <c r="Q213" s="388">
        <f ca="1">MAX($G213-Control!$C$107,0)</f>
        <v>0</v>
      </c>
      <c r="R213" s="388">
        <f t="shared" ca="1" si="820"/>
        <v>0</v>
      </c>
      <c r="S213" s="388">
        <f t="shared" ca="1" si="698"/>
        <v>0</v>
      </c>
      <c r="T213" s="388">
        <f t="shared" ca="1" si="699"/>
        <v>0</v>
      </c>
      <c r="U213" s="59">
        <f t="shared" ca="1" si="700"/>
        <v>0</v>
      </c>
      <c r="V213" s="391">
        <f ca="1">MAX(0,MIN(Control!$C$100-Control!$C$99,$G213-Control!$C$99)*Control!$C$63)</f>
        <v>0</v>
      </c>
      <c r="W213" s="388">
        <f t="shared" ca="1" si="821"/>
        <v>0</v>
      </c>
      <c r="X213" s="388">
        <f t="shared" ca="1" si="822"/>
        <v>0.6110000000000001</v>
      </c>
      <c r="Y213" s="388">
        <f t="shared" ca="1" si="701"/>
        <v>0</v>
      </c>
      <c r="Z213" s="388">
        <f t="shared" ca="1" si="823"/>
        <v>0.61058800000000002</v>
      </c>
      <c r="AA213" s="388">
        <f t="shared" ca="1" si="702"/>
        <v>0.6018</v>
      </c>
      <c r="AB213" s="388">
        <f ca="1">101.3*EXP(-0.034*Control!$C$66/($G213+273))</f>
        <v>100.69623283836242</v>
      </c>
      <c r="AC213" s="392">
        <f t="shared" ca="1" si="703"/>
        <v>4.3460251046025113E-2</v>
      </c>
      <c r="AD213" s="392">
        <f t="shared" ca="1" si="704"/>
        <v>4.4450382862832649E-2</v>
      </c>
      <c r="AE213" s="388">
        <f t="shared" ca="1" si="705"/>
        <v>0</v>
      </c>
      <c r="AF213" s="388">
        <f ca="1">MAX(0,$G213-Control!$C$92)</f>
        <v>0</v>
      </c>
      <c r="AG213" s="393">
        <f t="shared" ca="1" si="706"/>
        <v>209</v>
      </c>
      <c r="AH213" s="389">
        <f t="shared" ca="1" si="707"/>
        <v>209</v>
      </c>
      <c r="AI213" s="388">
        <f t="shared" ca="1" si="824"/>
        <v>0.32778405199636101</v>
      </c>
      <c r="AJ213" s="388">
        <f ca="1">IF(Control!$C$60&lt;=0,$HH213,$HI213)</f>
        <v>1</v>
      </c>
      <c r="AK213" s="388">
        <f t="shared" ca="1" si="708"/>
        <v>2.2206326154141549</v>
      </c>
      <c r="AL213" s="388">
        <f t="shared" ca="1" si="709"/>
        <v>5.5900787471196978E-18</v>
      </c>
      <c r="AM213" s="388">
        <f t="shared" ca="1" si="710"/>
        <v>2.2206326154141549</v>
      </c>
      <c r="AN213" s="388">
        <f t="shared" ca="1" si="711"/>
        <v>0.32227108644430091</v>
      </c>
      <c r="AO213" s="388">
        <f ca="1">-0.10453/COS(Control!$B$8*PI()/180)*COS(AN213)</f>
        <v>-0.1610440954128731</v>
      </c>
      <c r="AP213" s="388">
        <f ca="1">ACOS(AO213-TAN(Control!$B$8*PI()/180)*TAN(AN213))</f>
        <v>2.1999141592712745</v>
      </c>
      <c r="AQ213" s="388">
        <f t="shared" ca="1" si="825"/>
        <v>0</v>
      </c>
      <c r="AR213" s="394">
        <f t="shared" ca="1" si="712"/>
        <v>0</v>
      </c>
      <c r="AS213" s="436">
        <f ca="1">IF(Control!$B$18=2,(IF(OR($AH213=Control!$B$175,$AH213=Control!$B$176,$AH213=Control!$B$177,$AH213=Control!$B$178,$AH213=Control!$B$179,$AH213=Control!$B$180,$AH213=Control!$B$181,$AH213=Control!$B$182,$AH213=Control!$B$183,$AH213=Control!$B$184,$AH213=Control!$B$185),1,0)),0)</f>
        <v>0</v>
      </c>
      <c r="AT213" s="436">
        <f>IF(Control!$B$20=8,IF(AND($AH213&gt;=Control!$B$172,$AH213&lt;=Control!$B$173),1,0),0)</f>
        <v>0</v>
      </c>
      <c r="AU213" s="436">
        <f>IF(Control!$B$20=8,IF($AV212=1,1*$AT213,IF($AT213=1,$AU212+1,$AU212)),0)</f>
        <v>0</v>
      </c>
      <c r="AV213" s="436">
        <f>IF(Control!$B$20=8,IF($AU213&gt;=Control!$B$174,1,0),0)</f>
        <v>0</v>
      </c>
      <c r="AW213" s="436">
        <f ca="1">IF(AND(Control!$B$18=2,Control!$B$171=1), $AV213, $AS213)</f>
        <v>0</v>
      </c>
      <c r="AX213" s="436" t="e">
        <f ca="1">IF(AND(Control!$B$18=1,$EU213&gt;=Control!$B$19),-$AY213,IF(AND(Control!$B$18=2,$AW213=1,$EU213&gt;$DS213),-$AY213, IF(Control!$C$108=0,0, IF(Control!$C$108&lt;&gt;0,1))))</f>
        <v>#N/A</v>
      </c>
      <c r="AY213" s="436" t="e">
        <f t="shared" ca="1" si="826"/>
        <v>#N/A</v>
      </c>
      <c r="AZ213" s="436" t="e">
        <f ca="1">IF(AND(Control!$B$18=1,$EB213&gt;Control!$B$19),$AZ212+1, IF(AND(Control!$B$18=2, $AW213=1, $EB213&gt;$DS213), $AZ212+1,$AZ212))</f>
        <v>#N/A</v>
      </c>
      <c r="BA213" s="587">
        <f>IF(Control!$C$81=0,1,IF($AH213&gt;=Control!$C$82,1,0))</f>
        <v>1</v>
      </c>
      <c r="BB213" s="140" t="e">
        <f ca="1">IF($BA213&gt;$BA212,Control!$C$83,IF($AW213&gt;0,$AW213*Control!$C$84,IF(AND(Control!$B$18=1,EN212&lt;&gt;0),Control!$C$84,0)))</f>
        <v>#N/A</v>
      </c>
      <c r="BC213" s="140" t="e">
        <f t="shared" ca="1" si="827"/>
        <v>#N/A</v>
      </c>
      <c r="BD213" s="140" t="e">
        <f ca="1">BC213*IF(OR($G213&lt;Control!$C$92,$G213&gt;Control!$C$95),0,IF(AND($G213&gt;=Control!$C$92,$G213&lt;=Control!$C$93),$G213-Control!$C$92,IF(AND($G213&gt;Control!$C$93,$G213&lt;=Control!$C$94),Control!$C$93-Control!$C$92,IF(AND($G213&gt;Control!$C$94,$G213&lt;=Control!$C$95),(Control!$C$93-Control!$C$92)*(Control!$C$94-$G213)/(Control!$C$95-Control!$C$94)))))</f>
        <v>#N/A</v>
      </c>
      <c r="BE213" s="140" t="e">
        <f t="shared" ca="1" si="828"/>
        <v>#N/A</v>
      </c>
      <c r="BF213" s="140" t="e">
        <f ca="1">IF($BE213&lt;=Control!$C$86,$BE213,Control!$C$86-$BE213)</f>
        <v>#N/A</v>
      </c>
      <c r="BG213" s="140" t="e">
        <f ca="1">IF(AND($AW213=1,Control!$C$84&lt;9),1,IF($BE213&gt;=Control!$C$86,0,$BC213))</f>
        <v>#N/A</v>
      </c>
      <c r="BH213" s="404" t="e">
        <f ca="1">IF($BG213=0,0,IF($BE213&lt;=Control!$C$86,$BC213*9*($BF213/Control!$C$86),0))</f>
        <v>#N/A</v>
      </c>
      <c r="BI213" s="140" t="e">
        <f ca="1">IF($BG213=1,0,IF($BE213&gt;=Control!$C$86,1,IF(AND($BB213&lt;21,$BB213&gt;=9),1,$BM212)))</f>
        <v>#N/A</v>
      </c>
      <c r="BJ213" s="140" t="e">
        <f ca="1">IF($BF213&lt;0,-$BF213,$BI213*IF(OR($G213&lt;Control!$C$92,$G213&gt;Control!$C$95),0,IF(AND($G213&gt;=Control!$C$92,$G213&lt;=Control!$C$93),$G213-Control!$C$92,IF(AND($G213&gt;Control!$C$93,$G213&lt;=Control!$C$94),Control!$C$93-Control!$C$92,IF(AND($G213&gt;Control!$C$94,$G213&lt;=Control!$C$95),(Control!$C$93-Control!$C$92)*(Control!$C$94-$G213)/(Control!$C$95-Control!$C$94))))))</f>
        <v>#N/A</v>
      </c>
      <c r="BK213" s="140" t="e">
        <f t="shared" ca="1" si="829"/>
        <v>#N/A</v>
      </c>
      <c r="BL213" s="140" t="e">
        <f ca="1">IF($BK213&lt;=Control!$C$87,$BK213,Control!$C$87-$BK213)</f>
        <v>#N/A</v>
      </c>
      <c r="BM213" s="140" t="e">
        <f ca="1">IF(AND($BB213&gt;=9,$BB213&lt;21),1,IF($BK213&gt;=Control!$C$87,0,$BI213))</f>
        <v>#N/A</v>
      </c>
      <c r="BN213" s="404" t="e">
        <f ca="1">IF($BM213=0,0,IF($BK213&lt;=Control!$C$87,$BI213*(9+(21-9)*($BL213/Control!$C$87)),0))</f>
        <v>#N/A</v>
      </c>
      <c r="BO213" s="140" t="e">
        <f ca="1">IF($BM213=1,0,IF($BK213&gt;=Control!$C$87,1,IF(AND($BB213&lt;30,$BB213&gt;=21),1,$BS212)))</f>
        <v>#N/A</v>
      </c>
      <c r="BP213" s="140" t="e">
        <f ca="1">IF($BL213&lt;0,-$BL213,$BO213*IF(OR($G213&lt;Control!$C$92,$G213&gt;Control!$C$95),0,IF(AND($G213&gt;=Control!$C$92,$G213&lt;=Control!$C$93),$G213-Control!$C$92,IF(AND($G213&gt;Control!$C$93,$G213&lt;=Control!$C$94),Control!$C$93-Control!$C$92,IF(AND($G213&gt;Control!$C$94,$G213&lt;=Control!$C$95),(Control!$C$93-Control!$C$92)*(Control!$C$94-$G213)/(Control!$C$95-Control!$C$94))))))</f>
        <v>#N/A</v>
      </c>
      <c r="BQ213" s="140" t="e">
        <f t="shared" ca="1" si="713"/>
        <v>#N/A</v>
      </c>
      <c r="BR213" s="140" t="e">
        <f ca="1">IF($BQ213&lt;=Control!$C$88,$BQ213,Control!$C$88-$BQ213)</f>
        <v>#N/A</v>
      </c>
      <c r="BS213" s="140" t="e">
        <f ca="1">IF(AND($BB213&gt;=21,$BB213&lt;30),1,IF($BQ213&gt;=Control!$C$88,0,$BO213))</f>
        <v>#N/A</v>
      </c>
      <c r="BT213" s="404" t="e">
        <f ca="1">IF($BS213=0,0,IF($BQ213&lt;=Control!$C$88,$BO213*(21+(30-21)*(BR213/Control!$C$88)),0))</f>
        <v>#N/A</v>
      </c>
      <c r="BU213" s="140" t="e">
        <f ca="1">IF(BG213+BM213+BS213=1,0,IF(OR(AND($BB213&lt;60,$BB213&gt;=30),$BQ213&gt;=Control!$C$88),1*$BA213,$BY212))</f>
        <v>#N/A</v>
      </c>
      <c r="BV213" s="140" t="e">
        <f ca="1">IF($BR213&lt;0,-$BR213,$BU213*IF(OR($G213&lt;Control!$C$92,$G213&gt;Control!$C$95),0,IF(AND($G213&gt;=Control!$C$92,$G213&lt;=Control!$C$93),$G213-Control!$C$92,IF(AND($G213&gt;Control!$C$93,$G213&lt;=Control!$C$94),Control!$C$93-Control!$C$92,IF(AND($G213&gt;Control!$C$94,$G213&lt;=Control!$C$95),(Control!$C$93-Control!$C$92)*(Control!$C$94-$G213)/(Control!$C$95-Control!$C$94))))))</f>
        <v>#N/A</v>
      </c>
      <c r="BW213" s="140" t="e">
        <f t="shared" ca="1" si="714"/>
        <v>#N/A</v>
      </c>
      <c r="BX213" s="140" t="e">
        <f ca="1">IF($BW213&lt;=Control!$C$89,$BW213,Control!$C$89-$BW213)</f>
        <v>#N/A</v>
      </c>
      <c r="BY213" s="140" t="e">
        <f ca="1">IF(AND($AJ213&gt;=30,$AJ213&lt;60),1,IF($BW213&gt;=Control!$C$89,0,$BU213))</f>
        <v>#N/A</v>
      </c>
      <c r="BZ213" s="404" t="e">
        <f ca="1">IF($BY213=0,0,IF($BW213&lt;=Control!$C$89,$BU213*(30+(60-30)*(BX213/Control!$C$89)),0))</f>
        <v>#N/A</v>
      </c>
      <c r="CA213" s="140" t="e">
        <f ca="1">IF($BG213+$BM213+$BS213+$BY213=1,0,IF(OR(AND($BB213&lt;65,$BB213&gt;=60),$BW213&gt;=Control!$C$89),1*$BA213,$CE212))</f>
        <v>#N/A</v>
      </c>
      <c r="CB213" s="140" t="e">
        <f ca="1">IF($BX213&lt;0,-$BX213,$CA213*IF(OR($G213&lt;Control!$C$92,$G213&gt;Control!$C$95),0,IF(AND($G213&gt;=Control!$C$92,$G213&lt;=Control!$C$93),$G213-Control!$C$92,IF(AND($G213&gt;Control!$C$93,$G213&lt;=Control!$C$94),Control!$C$93-Control!$C$92,IF(AND($G213&gt;Control!$C$94,$G213&lt;=Control!$C$95),(Control!$C$93-Control!$C$92)*(Control!$C$94-$G213)/(Control!$C$95-Control!$C$94))))))</f>
        <v>#N/A</v>
      </c>
      <c r="CC213" s="140" t="e">
        <f t="shared" ca="1" si="830"/>
        <v>#N/A</v>
      </c>
      <c r="CD213" s="140" t="e">
        <f ca="1">IF($CC213&lt;=Control!$C$90,$CC213,Control!$C$90-$CC213)</f>
        <v>#N/A</v>
      </c>
      <c r="CE213" s="140" t="e">
        <f ca="1">IF(AND($BB213&gt;=60,$BB213&lt;65),1,IF($CC213&gt;=Control!$C$90,0,$CA213))</f>
        <v>#N/A</v>
      </c>
      <c r="CF213" s="404" t="e">
        <f ca="1">IF($CE213=0,0,IF($CC213&lt;=Control!$C$90,$CA213*(60+(65-60)*(CD213/Control!$C$90)),0))</f>
        <v>#N/A</v>
      </c>
      <c r="CG213" s="140" t="e">
        <f ca="1">IF($BG213+$BM213+$BS213+$BY213+$CE213=1,0,IF(OR(AND($BB213&lt;90,$BB213&gt;=65),$CC213&gt;=Control!$C$90),$BA213,$CK212))</f>
        <v>#N/A</v>
      </c>
      <c r="CH213" s="140" t="e">
        <f ca="1">IF($CD213&lt;0,-$CD213,$CG213*IF(OR($G213&lt;Control!$C$92,$G213&gt;Control!$C$95),0,IF(AND($G213&gt;=Control!$C$92,$G213&lt;=Control!$C$93),$G213-Control!$C$92,IF(AND($G213&gt;Control!$C$93,$G213&lt;=Control!$C$94),Control!$C$93-Control!$C$92,IF(AND($G213&gt;Control!$C$94,$G213&lt;=Control!$C$95),(Control!$C$93-Control!$C$92)*(Control!$C$94-$G213)/(Control!$C$95-Control!$C$94))))))</f>
        <v>#N/A</v>
      </c>
      <c r="CI213" s="140" t="e">
        <f t="shared" ca="1" si="831"/>
        <v>#N/A</v>
      </c>
      <c r="CJ213" s="140" t="e">
        <f ca="1">IF($CI213&lt;=Control!$C$91,$CI213,Control!$C$91-$CI213)</f>
        <v>#N/A</v>
      </c>
      <c r="CK213" s="140" t="e">
        <f ca="1">IF(AND($BB213&gt;=65,$BB213&lt;90),1,IF($CI213&gt;=Control!$C$91,0,$CG213))</f>
        <v>#N/A</v>
      </c>
      <c r="CL213" s="404" t="e">
        <f ca="1">IF($CK213=0,0,IF($CI213&lt;=Control!$C$91,$CG213*(65+(90-65)*($CJ213/Control!$C$91)),0))</f>
        <v>#N/A</v>
      </c>
      <c r="CM213" s="140" t="e">
        <f ca="1">IF($BG213+$BM213+$BS213+$BY213+$CE213+$CK213=1,0,IF(OR($BB213&gt;=90,$CI213&gt;=Control!$C$91),$BA213,$CM212))</f>
        <v>#N/A</v>
      </c>
      <c r="CN213" s="140" t="e">
        <f t="shared" ca="1" si="832"/>
        <v>#N/A</v>
      </c>
      <c r="CO213" s="140" t="e">
        <f t="shared" ca="1" si="833"/>
        <v>#N/A</v>
      </c>
      <c r="CP213" s="140" t="e">
        <f t="shared" ca="1" si="834"/>
        <v>#N/A</v>
      </c>
      <c r="CQ213" s="141" t="e">
        <f ca="1">VLOOKUP($CP213,Control!$B$86:$G$91,6)</f>
        <v>#N/A</v>
      </c>
      <c r="CR213" s="141" t="e">
        <f ca="1">(1-$CQ213)*VLOOKUP($CP213,Control!$B$86:$D$91,3)</f>
        <v>#N/A</v>
      </c>
      <c r="CS213" s="141" t="e">
        <f ca="1">(1-$CQ213)*VLOOKUP($CP213,Control!$B$86:$E$91,4)</f>
        <v>#N/A</v>
      </c>
      <c r="CT213" s="141" t="e">
        <f ca="1">(1-$CQ213)*VLOOKUP($CP213,Control!$B$86:$F$91,5)</f>
        <v>#N/A</v>
      </c>
      <c r="CU213" s="141">
        <f t="shared" ca="1" si="835"/>
        <v>0</v>
      </c>
      <c r="CV213" s="583">
        <f t="shared" ca="1" si="836"/>
        <v>0</v>
      </c>
      <c r="CW213" s="142">
        <f t="shared" ca="1" si="837"/>
        <v>209</v>
      </c>
      <c r="CX213" s="612" t="e">
        <f ca="1">IF(Control!$C$114=1,(MIN(Control!$C$120*(IF($NT213-0.01&lt;0,0,1)),Control!$C$119-$CY213)))</f>
        <v>#DIV/0!</v>
      </c>
      <c r="CY213" s="143" t="e">
        <f t="shared" ca="1" si="838"/>
        <v>#N/A</v>
      </c>
      <c r="CZ213" s="144">
        <f t="shared" ca="1" si="715"/>
        <v>0</v>
      </c>
      <c r="DA213" s="144">
        <f t="shared" ca="1" si="716"/>
        <v>0</v>
      </c>
      <c r="DB213" s="144" t="e">
        <f t="shared" ca="1" si="717"/>
        <v>#N/A</v>
      </c>
      <c r="DC213" s="144" t="e">
        <f t="shared" ca="1" si="718"/>
        <v>#N/A</v>
      </c>
      <c r="DD213" s="144" t="e">
        <f t="shared" ca="1" si="923"/>
        <v>#N/A</v>
      </c>
      <c r="DE213" s="143" t="e">
        <f t="shared" ca="1" si="839"/>
        <v>#N/A</v>
      </c>
      <c r="DF213" s="145" t="e">
        <f ca="1">$DR213*EXP(-Control!$C$158*(1-$KH213))</f>
        <v>#N/A</v>
      </c>
      <c r="DG213" s="146" t="e">
        <f ca="1">IF(Control!$C$114=1, $DF213*$EY213, 0)</f>
        <v>#N/A</v>
      </c>
      <c r="DH213" s="147" t="e">
        <f t="shared" ca="1" si="840"/>
        <v>#N/A</v>
      </c>
      <c r="DI213" s="144" t="e">
        <f t="shared" ca="1" si="901"/>
        <v>#N/A</v>
      </c>
      <c r="DJ213" s="147" t="e">
        <f ca="1">$EF213*Control!$C$109</f>
        <v>#N/A</v>
      </c>
      <c r="DK213" s="144" t="e">
        <f t="shared" ca="1" si="841"/>
        <v>#N/A</v>
      </c>
      <c r="DL213" s="144" t="e">
        <f t="shared" ca="1" si="719"/>
        <v>#N/A</v>
      </c>
      <c r="DM213" s="144" t="e">
        <f ca="1">IF(Control!$C$114=1, (1-EXP(-Control!$C$96*$DK213))*$AR213, 0)</f>
        <v>#N/A</v>
      </c>
      <c r="DN213" s="144">
        <f t="shared" ca="1" si="842"/>
        <v>0</v>
      </c>
      <c r="DO213" s="148">
        <f>Control!$C$97</f>
        <v>4</v>
      </c>
      <c r="DP213" s="145" t="e">
        <f t="shared" ca="1" si="843"/>
        <v>#N/A</v>
      </c>
      <c r="DQ213" s="145" t="e">
        <f ca="1">IF(AND($CP213&gt;=0,$CP213&lt;=90),Control!$C$111,Control!$C$111)</f>
        <v>#N/A</v>
      </c>
      <c r="DR213" s="145" t="e">
        <f t="shared" ca="1" si="720"/>
        <v>#N/A</v>
      </c>
      <c r="DS213" s="143" t="e">
        <f ca="1">Control!$B$22/$DR213</f>
        <v>#N/A</v>
      </c>
      <c r="DT213" s="149" t="e">
        <f ca="1">IF(AND(Control!$C$114=1,$KH213&lt;1),$IM213*$DF213, 0)</f>
        <v>#N/A</v>
      </c>
      <c r="DU213" s="144" t="e">
        <f t="shared" ca="1" si="844"/>
        <v>#N/A</v>
      </c>
      <c r="DV213" s="144">
        <f ca="1">IF($G213-Control!$C$107&lt;=0, 0, 0.83*LN(MAX($G213, 3))-0.8924)</f>
        <v>0</v>
      </c>
      <c r="DW213" s="144" t="e">
        <f t="shared" ca="1" si="721"/>
        <v>#N/A</v>
      </c>
      <c r="DX213" s="150" t="e">
        <f ca="1">MAX(0.01*(1+$CU213/Control!$C$102),0.05*($DK213-Control!$C$97)/Control!$C$97)</f>
        <v>#N/A</v>
      </c>
      <c r="DY213" s="151" t="e">
        <f ca="1">IF(Control!$C$114=1, $DI213*$FS213, 0)</f>
        <v>#N/A</v>
      </c>
      <c r="DZ213" s="196" t="e">
        <f t="shared" ca="1" si="845"/>
        <v>#N/A</v>
      </c>
      <c r="EA213" s="152">
        <f t="shared" ca="1" si="846"/>
        <v>209</v>
      </c>
      <c r="EB213" s="153" t="e">
        <f t="shared" ca="1" si="847"/>
        <v>#N/A</v>
      </c>
      <c r="EC213" s="153" t="e">
        <f t="shared" ca="1" si="848"/>
        <v>#N/A</v>
      </c>
      <c r="ED213" s="154" t="e">
        <f ca="1">IF(Control!$C$114=1, $HM213*$FY213-$FD213, 0)</f>
        <v>#DIV/0!</v>
      </c>
      <c r="EE213" s="155" t="e">
        <f ca="1">IF(Control!$C$114=1, $HM213*$FZ213-$FF213, 0)</f>
        <v>#DIV/0!</v>
      </c>
      <c r="EF213" s="153" t="e">
        <f t="shared" ca="1" si="902"/>
        <v>#N/A</v>
      </c>
      <c r="EG213" s="155" t="e">
        <f ca="1">IF(Control!$C$114=1, $GX213*$FW213-$FI213, 0)</f>
        <v>#DIV/0!</v>
      </c>
      <c r="EH213" s="153" t="e">
        <f t="shared" ca="1" si="849"/>
        <v>#N/A</v>
      </c>
      <c r="EI213" s="156" t="e">
        <f t="shared" ca="1" si="850"/>
        <v>#N/A</v>
      </c>
      <c r="EJ213" s="155" t="e">
        <f ca="1">IF(Control!$C$114=1, $HM213*$GB213, 0)</f>
        <v>#DIV/0!</v>
      </c>
      <c r="EK213" s="153" t="e">
        <f t="shared" ca="1" si="903"/>
        <v>#N/A</v>
      </c>
      <c r="EL213" s="153" t="e">
        <f t="shared" ca="1" si="722"/>
        <v>#N/A</v>
      </c>
      <c r="EM213" s="153" t="e">
        <f t="shared" ca="1" si="723"/>
        <v>#N/A</v>
      </c>
      <c r="EN213" s="153" t="e">
        <f ca="1">IF(Control!$C$108=1,IF(AND(Control!$B$18=1,$EB213&gt;=Control!$B$19),$EB213-$DS213,IF(AND(Control!$B$18=2,$AW213=1,$EB213&gt;$DS213),$EB213-$DS213,0)))</f>
        <v>#N/A</v>
      </c>
      <c r="EO213" s="153" t="e">
        <f ca="1">IF(Control!$C$108=1,IF(AND(Control!$B$18=1,$EB213&gt;=Control!$B$19),$EF213,IF(AND(Control!$B$18=2,$AW213=1),$EF213,0)))</f>
        <v>#N/A</v>
      </c>
      <c r="EP213" s="153" t="e">
        <f ca="1">IF(Control!$C$108=1,IF(AND(Control!$B$18=1,$EB213&gt;=Control!$B$19),$EK213,IF(AND(Control!$B$18=2,$AW213=1),$EK213,0)))</f>
        <v>#N/A</v>
      </c>
      <c r="EQ213" s="153" t="e">
        <f t="shared" ca="1" si="851"/>
        <v>#N/A</v>
      </c>
      <c r="ER213" s="153" t="e">
        <f t="shared" ca="1" si="852"/>
        <v>#N/A</v>
      </c>
      <c r="ES213" s="153" t="e">
        <f t="shared" ca="1" si="904"/>
        <v>#N/A</v>
      </c>
      <c r="ET213" s="153" t="e">
        <f t="shared" ca="1" si="905"/>
        <v>#N/A</v>
      </c>
      <c r="EU213" s="153" t="e">
        <f t="shared" ca="1" si="853"/>
        <v>#N/A</v>
      </c>
      <c r="EV213" s="153" t="e">
        <f t="shared" ca="1" si="724"/>
        <v>#N/A</v>
      </c>
      <c r="EW213" s="153" t="e">
        <f t="shared" ca="1" si="725"/>
        <v>#N/A</v>
      </c>
      <c r="EX213" s="153" t="e">
        <f t="shared" ca="1" si="726"/>
        <v>#N/A</v>
      </c>
      <c r="EY213" s="157" t="e">
        <f t="shared" ca="1" si="727"/>
        <v>#DIV/0!</v>
      </c>
      <c r="EZ213" s="154" t="e">
        <f t="shared" ca="1" si="728"/>
        <v>#DIV/0!</v>
      </c>
      <c r="FA213" s="153" t="e">
        <f t="shared" ca="1" si="854"/>
        <v>#N/A</v>
      </c>
      <c r="FB213" s="153" t="e">
        <f t="shared" ca="1" si="729"/>
        <v>#N/A</v>
      </c>
      <c r="FC213" s="193" t="e">
        <f t="shared" ca="1" si="730"/>
        <v>#N/A</v>
      </c>
      <c r="FD213" s="158" t="e">
        <f t="shared" ca="1" si="855"/>
        <v>#N/A</v>
      </c>
      <c r="FE213" s="158" t="e">
        <f t="shared" ca="1" si="856"/>
        <v>#N/A</v>
      </c>
      <c r="FF213" s="159" t="e">
        <f t="shared" ca="1" si="731"/>
        <v>#N/A</v>
      </c>
      <c r="FG213" s="160" t="e">
        <f t="shared" ca="1" si="857"/>
        <v>#N/A</v>
      </c>
      <c r="FH213" s="158" t="e">
        <f t="shared" ca="1" si="858"/>
        <v>#N/A</v>
      </c>
      <c r="FI213" s="159" t="e">
        <f t="shared" ca="1" si="732"/>
        <v>#N/A</v>
      </c>
      <c r="FJ213" s="160" t="e">
        <f t="shared" ca="1" si="859"/>
        <v>#N/A</v>
      </c>
      <c r="FK213" s="160" t="e">
        <f t="shared" ca="1" si="733"/>
        <v>#N/A</v>
      </c>
      <c r="FL213" s="160" t="e">
        <f t="shared" ca="1" si="906"/>
        <v>#N/A</v>
      </c>
      <c r="FM213" s="160" t="e">
        <f t="shared" ca="1" si="734"/>
        <v>#N/A</v>
      </c>
      <c r="FN213" s="158">
        <f t="shared" ca="1" si="860"/>
        <v>0.01</v>
      </c>
      <c r="FO213" s="160">
        <f>Control!$C$101</f>
        <v>50</v>
      </c>
      <c r="FP213" s="150" t="e">
        <f t="shared" ca="1" si="735"/>
        <v>#N/A</v>
      </c>
      <c r="FQ213" s="150" t="e">
        <f ca="1">MAX(0,(Control!$C$112*(($DK213-Control!$C$97)/Control!$C$97)))</f>
        <v>#N/A</v>
      </c>
      <c r="FR213" s="150" t="e">
        <f ca="1">(1-$NT213)*Control!$C$113</f>
        <v>#DIV/0!</v>
      </c>
      <c r="FS213" s="198" t="e">
        <f t="shared" ca="1" si="736"/>
        <v>#N/A</v>
      </c>
      <c r="FT213" s="161">
        <f t="shared" ca="1" si="861"/>
        <v>209</v>
      </c>
      <c r="FU213" s="162" t="e">
        <f ca="1">IF(Control!$B$34=1,VLOOKUP($CP213,Control!$B$86:$G$91,6),Control!$B$35)</f>
        <v>#N/A</v>
      </c>
      <c r="FV213" s="162" t="e">
        <f t="shared" ca="1" si="737"/>
        <v>#DIV/0!</v>
      </c>
      <c r="FW213" s="162" t="e">
        <f ca="1">IF(Control!$B$31=1,$FU213*$FV213,  $FU213)</f>
        <v>#N/A</v>
      </c>
      <c r="FX213" s="162" t="e">
        <f ca="1">IF(Control!$B$34=1,VLOOKUP($CP213,Control!$B$86:$G$91,3),Control!$B$36)</f>
        <v>#N/A</v>
      </c>
      <c r="FY213" s="162" t="e">
        <f t="shared" ca="1" si="738"/>
        <v>#N/A</v>
      </c>
      <c r="FZ213" s="162" t="e">
        <f ca="1">IF(Control!$B$34=1,VLOOKUP($CP213,Control!$B$86:$G$91,4),Control!$B$37)</f>
        <v>#N/A</v>
      </c>
      <c r="GA213" s="162" t="e">
        <f t="shared" ca="1" si="739"/>
        <v>#N/A</v>
      </c>
      <c r="GB213" s="162" t="e">
        <f ca="1">IF(Control!$B$34=1,VLOOKUP($CP213,Control!$B$86:$G$91,5),Control!$B$38)</f>
        <v>#N/A</v>
      </c>
      <c r="GC213" s="162" t="e">
        <f t="shared" ca="1" si="862"/>
        <v>#N/A</v>
      </c>
      <c r="GD213" s="162">
        <f t="shared" ca="1" si="740"/>
        <v>1</v>
      </c>
      <c r="GE213" s="162">
        <f t="shared" ca="1" si="741"/>
        <v>1</v>
      </c>
      <c r="GF213" s="162">
        <f ca="1">IF(AND(Control!$C$104=1, Control!$C$62="F"),$GE213,1)</f>
        <v>1</v>
      </c>
      <c r="GG213" s="162" t="e">
        <f ca="1">IF(Control!$B$16=40,0,IF(AND(Control!$B$16&gt;40,Control!$B$16&lt;=360),(Control!$B$16-40)*((1-0)/(360-40)),IF(AND(Control!$B$16&gt;360,Control!$B$16&lt;=720),(1+(Control!$B$16-360)*((1.25-1)/(720-360))),IF(AND(Control!$B$16&gt;720,Control!$B$16&lt;=1000),(1.25+(Control!$B$16-720)*((1.35-1.25)/(1000-720))),IF(AND(Control!$B$16&gt;1000,Control!$B$16&lt;=2000),(1.35+(Control!$B$16-1000)*0))))))</f>
        <v>#N/A</v>
      </c>
      <c r="GH213" s="162" t="e">
        <f t="shared" ca="1" si="742"/>
        <v>#N/A</v>
      </c>
      <c r="GI213" s="162">
        <f t="shared" ca="1" si="863"/>
        <v>0</v>
      </c>
      <c r="GJ213" s="162">
        <f t="shared" ca="1" si="743"/>
        <v>0</v>
      </c>
      <c r="GK213" s="162">
        <f t="shared" ca="1" si="864"/>
        <v>1</v>
      </c>
      <c r="GL213" s="162">
        <f t="shared" ca="1" si="744"/>
        <v>1</v>
      </c>
      <c r="GM213" s="162" t="e">
        <f ca="1">MAX(0,MIN(1,1-Control!$C$156*(1.0001-$KH213)^2))</f>
        <v>#N/A</v>
      </c>
      <c r="GN213" s="162" t="e">
        <f ca="1">IF(Control!$B$26=1,$KU213,$KX213)</f>
        <v>#N/A</v>
      </c>
      <c r="GO213" s="162" t="e">
        <f ca="1">IF($CP213&lt;=60,Control!$C$105,IF($CP213&gt;=90,Control!$C$106,Control!$C$105+($CP213-60)*((Control!$C$106-Control!$C$105)/(90-60))))</f>
        <v>#N/A</v>
      </c>
      <c r="GP213" s="162" t="e">
        <f t="shared" ca="1" si="745"/>
        <v>#N/A</v>
      </c>
      <c r="GQ213" s="162" t="e">
        <f t="shared" ca="1" si="865"/>
        <v>#N/A</v>
      </c>
      <c r="GR213" s="163" t="e">
        <f t="shared" ca="1" si="746"/>
        <v>#DIV/0!</v>
      </c>
      <c r="GS213" s="162" t="e">
        <f t="shared" ca="1" si="747"/>
        <v>#DIV/0!</v>
      </c>
      <c r="GT213" s="164" t="e">
        <f t="shared" ca="1" si="866"/>
        <v>#N/A</v>
      </c>
      <c r="GU213" s="162" t="e">
        <f t="shared" ca="1" si="867"/>
        <v>#N/A</v>
      </c>
      <c r="GV213" s="162" t="e">
        <f t="shared" ca="1" si="748"/>
        <v>#N/A</v>
      </c>
      <c r="GW213" s="162" t="e">
        <f t="shared" ca="1" si="749"/>
        <v>#DIV/0!</v>
      </c>
      <c r="GX213" s="162" t="e">
        <f t="shared" ca="1" si="868"/>
        <v>#DIV/0!</v>
      </c>
      <c r="GY213" s="162" t="e">
        <f t="shared" ca="1" si="869"/>
        <v>#DIV/0!</v>
      </c>
      <c r="GZ213" s="165" t="e">
        <f t="shared" ca="1" si="750"/>
        <v>#N/A</v>
      </c>
      <c r="HA213" s="162" t="e">
        <f ca="1">IF(Control!$C$114=1, $DI213*$FS213, 0)</f>
        <v>#N/A</v>
      </c>
      <c r="HB213" s="162" t="e">
        <f ca="1">$FA213/Control!$C$64</f>
        <v>#N/A</v>
      </c>
      <c r="HC213" s="162" t="e">
        <f t="shared" ca="1" si="751"/>
        <v>#DIV/0!</v>
      </c>
      <c r="HD213" s="162">
        <f ca="1">-ASIN(SIN(23.45*Control!$C$139)*COS(2*Control!$C$138*($AH213+10)/365))</f>
        <v>0.32778405199636101</v>
      </c>
      <c r="HE213" s="165">
        <f t="shared" ca="1" si="870"/>
        <v>0</v>
      </c>
      <c r="HF213" s="166">
        <f ca="1">IF(AND(Control!$C$61="T",$HE213&gt;=Control!$C$103,Control!$C$114=0),$AH213,Control!$C$59)</f>
        <v>1</v>
      </c>
      <c r="HG213" s="166">
        <f ca="1">IF(AND(Control!$C$61="T",$HE213&gt;=Control!$C$103,Control!$C$114=0),$HF213,Control!$C$59)</f>
        <v>1</v>
      </c>
      <c r="HH213" s="165">
        <f ca="1">IF(AND(OR(Control!$C$60&lt;=0, $AH213= Control!$C$59, Control!$C$60 &gt;0, $AH213 = Control!$C$60)), Control!$C$59, IF(Control!$C$60&gt;0, 0))</f>
        <v>1</v>
      </c>
      <c r="HI213" s="165">
        <f ca="1">IF(AND(OR(Control!$C$60&lt;=0, $AH213= Control!$C$59, Control!$C$60 &gt;0, $AH213 = Control!$C$60)), Control!$C$60, IF(Control!$C$60&lt;=0, 0))</f>
        <v>0</v>
      </c>
      <c r="HJ213" s="166">
        <f ca="1">IF(AND(Control!$C$62="F",$CV213&gt;=Control!$C$102),$AH213,0)</f>
        <v>0</v>
      </c>
      <c r="HK213" s="165" t="e">
        <f t="shared" ca="1" si="907"/>
        <v>#N/A</v>
      </c>
      <c r="HL213" s="166">
        <f ca="1">IF(AND(Control!$C$61="T",$HE213&gt;=Control!$C$103,Control!$C$114=0),$HF213,0)</f>
        <v>0</v>
      </c>
      <c r="HM213" s="201" t="e">
        <f t="shared" ca="1" si="752"/>
        <v>#DIV/0!</v>
      </c>
      <c r="HN213" s="215">
        <f t="shared" ca="1" si="871"/>
        <v>209</v>
      </c>
      <c r="HO213" s="216" t="e">
        <f ca="1">IF(AND($CP213&gt;=0, $CP213&lt;=90), Control!$C$152, Control!$C$152)</f>
        <v>#N/A</v>
      </c>
      <c r="HP213" s="216" t="e">
        <f t="shared" ca="1" si="753"/>
        <v>#N/A</v>
      </c>
      <c r="HQ213" s="217" t="e">
        <f ca="1">IF(OR(Control!$B$26=1,Control!$B$26=2),$KV213,$KS213)</f>
        <v>#DIV/0!</v>
      </c>
      <c r="HR213" s="218" t="e">
        <f t="shared" ca="1" si="908"/>
        <v>#DIV/0!</v>
      </c>
      <c r="HS213" s="216" t="e">
        <f ca="1">Control!$C$154*$HP213</f>
        <v>#N/A</v>
      </c>
      <c r="HT213" s="216" t="e">
        <f ca="1">Control!$C$155*$HP213</f>
        <v>#N/A</v>
      </c>
      <c r="HU213" s="217" t="e">
        <f ca="1">Control!$C$161*$FI213</f>
        <v>#N/A</v>
      </c>
      <c r="HV213" s="218" t="e">
        <f t="shared" ca="1" si="872"/>
        <v>#N/A</v>
      </c>
      <c r="HW213" s="218" t="e">
        <f ca="1">Control!$C$160*$FF213+$IP213*$EO213</f>
        <v>#N/A</v>
      </c>
      <c r="HX213" s="218" t="e">
        <f t="shared" ca="1" si="909"/>
        <v>#N/A</v>
      </c>
      <c r="HY213" s="219" t="e">
        <f ca="1">IF(Control!$C$114=1, $EB213*$FS213, 0)</f>
        <v>#N/A</v>
      </c>
      <c r="HZ213" s="91" t="e">
        <f t="shared" ca="1" si="754"/>
        <v>#N/A</v>
      </c>
      <c r="IA213" s="220" t="e">
        <f ca="1">Control!$C$153*$HO213</f>
        <v>#N/A</v>
      </c>
      <c r="IB213" s="218" t="e">
        <f t="shared" ca="1" si="755"/>
        <v>#N/A</v>
      </c>
      <c r="IC213" s="220" t="e">
        <f ca="1">Control!$C$153*$HT213</f>
        <v>#N/A</v>
      </c>
      <c r="ID213" s="218" t="e">
        <f t="shared" ca="1" si="756"/>
        <v>#N/A</v>
      </c>
      <c r="IE213" s="221" t="e">
        <f ca="1">($EB213*Control!$C$159+$EF213*Control!$C$160)/(IF($GZ213&lt;&gt;0,$GZ213,1))</f>
        <v>#N/A</v>
      </c>
      <c r="IF213" s="216" t="e">
        <f t="shared" ca="1" si="757"/>
        <v>#N/A</v>
      </c>
      <c r="IG213" s="91">
        <f ca="1">IF(OR(Control!$B$198=$AH213,Control!$B$199=$AH213, Control!$B$200=$AH213, Control!$B$201=$AH213, Control!$B$202=$AH213, Control!$B$203=$AH213, Control!$B$204=$AH213, Control!$B$205=$AH213, Control!$B$206=$AH213, Control!$B$207=$AH213), 1, 0)</f>
        <v>0</v>
      </c>
      <c r="IH213" s="91">
        <f ca="1">IF($IG213=0,0, VLOOKUP($AH213,Control!$B$198:$C$207,2))</f>
        <v>0</v>
      </c>
      <c r="II213" s="222">
        <f t="shared" ca="1" si="873"/>
        <v>0</v>
      </c>
      <c r="IJ213" s="91">
        <f>Control!$C$121</f>
        <v>0.7</v>
      </c>
      <c r="IK213" s="218">
        <f t="shared" ca="1" si="758"/>
        <v>0</v>
      </c>
      <c r="IL213" s="217" t="e">
        <f t="shared" ca="1" si="910"/>
        <v>#N/A</v>
      </c>
      <c r="IM213" s="223" t="e">
        <f ca="1">IF(AND(Control!$C$114=1,$KH213&lt;1),$EB213*Control!$C$148*(1-$KH213), 0)</f>
        <v>#N/A</v>
      </c>
      <c r="IN213" s="217" t="e">
        <f t="shared" ca="1" si="759"/>
        <v>#DIV/0!</v>
      </c>
      <c r="IO213" s="91" t="e">
        <f ca="1">MAX(0,$IL213-$EF213*Control!$C$160)</f>
        <v>#N/A</v>
      </c>
      <c r="IP213" s="220" t="e">
        <f t="shared" ca="1" si="760"/>
        <v>#N/A</v>
      </c>
      <c r="IQ213" s="217" t="e">
        <f t="shared" ca="1" si="874"/>
        <v>#N/A</v>
      </c>
      <c r="IR213" s="218" t="e">
        <f t="shared" ca="1" si="761"/>
        <v>#N/A</v>
      </c>
      <c r="IS213" s="217" t="e">
        <f ca="1">Control!$C$159*MAX(0,$FD213-$EN213)</f>
        <v>#N/A</v>
      </c>
      <c r="IT213" s="217" t="e">
        <f t="shared" ca="1" si="911"/>
        <v>#N/A</v>
      </c>
      <c r="IU213" s="217" t="e">
        <f t="shared" ca="1" si="875"/>
        <v>#N/A</v>
      </c>
      <c r="IV213" s="217" t="e">
        <f t="shared" ca="1" si="912"/>
        <v>#N/A</v>
      </c>
      <c r="IW213" s="217" t="e">
        <f ca="1">IF(OR($AW213=1,AND($AW213=0, Control!$B$18=1,$EN213&lt;&gt;0)), $IQ213-$IU213, $IQ213)</f>
        <v>#N/A</v>
      </c>
      <c r="IX213" s="218" t="e">
        <f t="shared" ca="1" si="762"/>
        <v>#N/A</v>
      </c>
      <c r="IY213" s="218" t="e">
        <f ca="1">MAX(0,$IQ213-$EB213*Control!$C$159)</f>
        <v>#N/A</v>
      </c>
      <c r="IZ213" s="218" t="e">
        <f t="shared" ca="1" si="763"/>
        <v>#N/A</v>
      </c>
      <c r="JA213" s="216" t="e">
        <f t="shared" ca="1" si="764"/>
        <v>#N/A</v>
      </c>
      <c r="JB213" s="217" t="e">
        <f t="shared" ca="1" si="765"/>
        <v>#N/A</v>
      </c>
      <c r="JC213" s="222" t="e">
        <f ca="1">MAX(Control!$C$157*$EK213-$JT213, 0)/Control!$C$162</f>
        <v>#N/A</v>
      </c>
      <c r="JD213" s="218" t="e">
        <f t="shared" ca="1" si="766"/>
        <v>#N/A</v>
      </c>
      <c r="JE213" s="218" t="e">
        <f t="shared" ca="1" si="767"/>
        <v>#N/A</v>
      </c>
      <c r="JF213" s="218" t="e">
        <f t="shared" ca="1" si="876"/>
        <v>#N/A</v>
      </c>
      <c r="JG213" s="218" t="e">
        <f t="shared" ca="1" si="768"/>
        <v>#N/A</v>
      </c>
      <c r="JH213" s="217" t="e">
        <f t="shared" ca="1" si="877"/>
        <v>#N/A</v>
      </c>
      <c r="JI213" s="217" t="e">
        <f t="shared" ca="1" si="878"/>
        <v>#N/A</v>
      </c>
      <c r="JJ213" s="217" t="e">
        <f t="shared" ca="1" si="913"/>
        <v>#N/A</v>
      </c>
      <c r="JK213" s="217" t="e">
        <f ca="1">IF(Control!$C$114=1,IF(Control!$B$24=0,MAX(0,$JI213)*$GN213/Control!$C$64,(MAX(0,MIN($JI213,$JJ213*$GN213/Control!$C$64),0))))</f>
        <v>#N/A</v>
      </c>
      <c r="JL213" s="217" t="e">
        <f ca="1">$IK213/Control!$C$64-$JK213+$HQ213</f>
        <v>#N/A</v>
      </c>
      <c r="JM213" s="217" t="e">
        <f ca="1">IF(Control!$C$114=1,($JB213/(IF($JI213&lt;&gt;0,$JI213,1)))*$JK213,0)</f>
        <v>#N/A</v>
      </c>
      <c r="JN213" s="217" t="e">
        <f ca="1">IF(Control!$C$114=1,($JG213/(IF($JI213&lt;&gt;0,$JI213,1)))*$JK213, 0)</f>
        <v>#N/A</v>
      </c>
      <c r="JO213" s="218" t="e">
        <f t="shared" ca="1" si="769"/>
        <v>#N/A</v>
      </c>
      <c r="JP213" s="218" t="e">
        <f ca="1">MIN(($IY213+$IO213)*Control!$C$151, $JF213-$EH213*Control!$C$161)</f>
        <v>#N/A</v>
      </c>
      <c r="JQ213" s="218" t="e">
        <f t="shared" ca="1" si="770"/>
        <v>#N/A</v>
      </c>
      <c r="JR213" s="217" t="e">
        <f ca="1">IF($CP213-Control!$C$150&lt;0, 0, $JQ213/Control!$C$162)</f>
        <v>#N/A</v>
      </c>
      <c r="JS213" s="218" t="e">
        <f t="shared" ca="1" si="771"/>
        <v>#N/A</v>
      </c>
      <c r="JT213" s="218" t="e">
        <f t="shared" ca="1" si="879"/>
        <v>#N/A</v>
      </c>
      <c r="JU213" s="218" t="e">
        <f t="shared" ca="1" si="772"/>
        <v>#N/A</v>
      </c>
      <c r="JV213" s="218" t="e">
        <f t="shared" ca="1" si="773"/>
        <v>#N/A</v>
      </c>
      <c r="JW213" s="216" t="e">
        <f t="shared" ca="1" si="774"/>
        <v>#N/A</v>
      </c>
      <c r="JX213" s="91" t="e">
        <f t="shared" ca="1" si="775"/>
        <v>#N/A</v>
      </c>
      <c r="JY213" s="218" t="e">
        <f t="shared" ca="1" si="776"/>
        <v>#N/A</v>
      </c>
      <c r="JZ213" s="217" t="e">
        <f ca="1">IF(Control!$C$114=1,($IZ213/(IF($JI213&lt;&gt;0,$JI213,1)))*$JK213, 0)</f>
        <v>#N/A</v>
      </c>
      <c r="KA213" s="218" t="e">
        <f t="shared" ca="1" si="914"/>
        <v>#N/A</v>
      </c>
      <c r="KB213" s="218" t="e">
        <f t="shared" ca="1" si="880"/>
        <v>#N/A</v>
      </c>
      <c r="KC213" s="218" t="e">
        <f t="shared" ca="1" si="777"/>
        <v>#N/A</v>
      </c>
      <c r="KD213" s="218" t="e">
        <f t="shared" ca="1" si="778"/>
        <v>#N/A</v>
      </c>
      <c r="KE213" s="218" t="e">
        <f t="shared" ca="1" si="779"/>
        <v>#N/A</v>
      </c>
      <c r="KF213" s="218" t="e">
        <f t="shared" ca="1" si="780"/>
        <v>#N/A</v>
      </c>
      <c r="KG213" s="216" t="e">
        <f t="shared" ca="1" si="781"/>
        <v>#N/A</v>
      </c>
      <c r="KH213" s="221" t="e">
        <f ca="1">IF(Control!$B$24=0,1,MAX(0.001,MIN(1,IF(($IF213-$IE213)&lt;&gt;0,($KG213-$IE213)/($IF213-$IE213),1))))</f>
        <v>#N/A</v>
      </c>
      <c r="KI213" s="222" t="e">
        <f ca="1">IF(Control!$C$114=1, $KI212+ $KH212, 0)</f>
        <v>#N/A</v>
      </c>
      <c r="KJ213" s="217" t="e">
        <f t="shared" ca="1" si="782"/>
        <v>#N/A</v>
      </c>
      <c r="KK213" s="218" t="e">
        <f t="shared" ca="1" si="783"/>
        <v>#N/A</v>
      </c>
      <c r="KL213" s="274" t="e">
        <f ca="1">IF(Control!$B$26=3,4000000000*EXP(-8400/($G213+273)),IF(Control!$B$26=4,4000000000*EXP(-8400/($G213+273))*($KT213),0))</f>
        <v>#DIV/0!</v>
      </c>
      <c r="KM213" s="274" t="e">
        <f ca="1">IF(Control!$B$26=3,5600000000000*EXP(-9800/($G213+273)),IF(Control!$B$26=4,5600000000000*EXP(-9800/($G213+273))*$KT213,0))</f>
        <v>#DIV/0!</v>
      </c>
      <c r="KN213" s="454" t="e">
        <f t="shared" ca="1" si="881"/>
        <v>#DIV/0!</v>
      </c>
      <c r="KO213" s="274" t="e">
        <f t="shared" ca="1" si="882"/>
        <v>#DIV/0!</v>
      </c>
      <c r="KP213" s="454" t="e">
        <f t="shared" ca="1" si="784"/>
        <v>#DIV/0!</v>
      </c>
      <c r="KQ213" s="454" t="e">
        <f t="shared" ca="1" si="785"/>
        <v>#DIV/0!</v>
      </c>
      <c r="KR213" s="454" t="e">
        <f t="shared" ca="1" si="786"/>
        <v>#DIV/0!</v>
      </c>
      <c r="KS213" s="454" t="e">
        <f t="shared" ca="1" si="787"/>
        <v>#DIV/0!</v>
      </c>
      <c r="KT213" s="455" t="e">
        <f t="shared" ca="1" si="788"/>
        <v>#DIV/0!</v>
      </c>
      <c r="KU213" s="456" t="e">
        <f ca="1">IF($CP213-Control!$C$149&lt;0, IF($NT213-0.01&lt;0,0,1),0)</f>
        <v>#N/A</v>
      </c>
      <c r="KV213" s="456" t="e">
        <f ca="1">IF(Control!$C$114=1,MAX(0,MIN(Control!$C$125*$KW213*$GN213,$KW213)))</f>
        <v>#DIV/0!</v>
      </c>
      <c r="KW213" s="456" t="e">
        <f t="shared" ca="1" si="915"/>
        <v>#DIV/0!</v>
      </c>
      <c r="KX213" s="457" t="e">
        <f ca="1">IF($CP213-Control!$C$149&lt;0, IF($MR213-$OM213&lt;0,0,1),0)</f>
        <v>#N/A</v>
      </c>
      <c r="KY213" s="167">
        <f t="shared" ca="1" si="883"/>
        <v>209</v>
      </c>
      <c r="KZ213" s="168">
        <f ca="1">1370*(1+0.033*COS(2*Control!$C$138*$AH213/365))</f>
        <v>1329.4131887348074</v>
      </c>
      <c r="LA213" s="169">
        <f t="shared" ca="1" si="884"/>
        <v>0.97037446801337024</v>
      </c>
      <c r="LB213" s="169">
        <f t="shared" ca="1" si="885"/>
        <v>0.32879506457083052</v>
      </c>
      <c r="LC213" s="169">
        <f ca="1">ACOS(-TAN((2*Control!$B$8/360))*TAN(Calculations!$LB213))</f>
        <v>1.6723704010830118</v>
      </c>
      <c r="LD213" s="169">
        <f ca="1">((24*60)/PI())*0.082*$LA213*(($LC213*SIN(Control!$B$8*2*PI()/360))*SIN($LB213)+COS(Control!$B$8*2*PI()/360)*COS($LB213)*SIN($LC213))</f>
        <v>36.662719810177016</v>
      </c>
      <c r="LE213" s="170">
        <f t="shared" ca="1" si="789"/>
        <v>37.806646191587205</v>
      </c>
      <c r="LF213" s="170">
        <f ca="1">SIN(Control!$C$139*Control!$B$8)*SIN($HD213)</f>
        <v>0.25369721559070207</v>
      </c>
      <c r="LG213" s="170">
        <f ca="1">COS(Control!$C$139*Control!$B$8)*COS($HD213)</f>
        <v>0.58288089462444248</v>
      </c>
      <c r="LH213" s="170">
        <f ca="1">12*(1+2*ASIN(MAX(-1,MIN(1,$LF213/$LG213))/Control!$C$138))</f>
        <v>15.335764932188289</v>
      </c>
      <c r="LI213" s="170">
        <f ca="1">12*(1+2*ASIN(MAX(-1,MIN(1,(-SIN(-4*Control!$C$139)+$LF213)/$LG213))/Control!$C$138))</f>
        <v>16.261647524909094</v>
      </c>
      <c r="LJ213" s="168">
        <f ca="1">3600*($LH213*$LF213+24*$LG213*SQRT(1-$LK213*$LK213)/Control!$C$138)</f>
        <v>28438.597203603422</v>
      </c>
      <c r="LK213" s="170">
        <f t="shared" ca="1" si="790"/>
        <v>0.43524709409829326</v>
      </c>
      <c r="LL213" s="170">
        <f t="shared" ca="1" si="791"/>
        <v>0</v>
      </c>
      <c r="LM213" s="171">
        <f ca="1">Control!$C$145*$AB213</f>
        <v>6.6660906138995932E-2</v>
      </c>
      <c r="LN213" s="170">
        <f t="shared" ca="1" si="886"/>
        <v>0.54</v>
      </c>
      <c r="LO213" s="170">
        <f t="shared" ca="1" si="792"/>
        <v>0</v>
      </c>
      <c r="LP213" s="170">
        <f ca="1">Control!$C$140*((($D213+273.16)^4+($E213+273.16)^4)/2)*(0.34-0.14*SQRT($Y213))*(1.35*$AQ213/(0.75*$LD213)-0.35)</f>
        <v>-3.2464704755046001</v>
      </c>
      <c r="LQ213" s="170">
        <f ca="1">Control!$C$140*($G213+273)^4*(0.56-0.079*SQRT($Y213*10))*(0.1+0.9*$LO213)</f>
        <v>1.5241745131704001</v>
      </c>
      <c r="LR213" s="170">
        <f ca="1">$AQ213*(1-Control!$C$142)-$LQ213</f>
        <v>-1.5241745131704001</v>
      </c>
      <c r="LS213" s="170">
        <f ca="1">$AQ213*(1-Control!$C$143)-$LQ213</f>
        <v>-1.5241745131704001</v>
      </c>
      <c r="LT213" s="170">
        <f ca="1">$AQ213*(1-Control!$C$144)-$LQ213</f>
        <v>-1.5241745131704001</v>
      </c>
      <c r="LU213" s="169">
        <f ca="1">(1-Control!$C$144)*AQ213-LP213</f>
        <v>3.2464704755046001</v>
      </c>
      <c r="LV213" s="172">
        <f t="shared" ca="1" si="793"/>
        <v>0.79430000000000012</v>
      </c>
      <c r="LW213" s="170">
        <f t="shared" ca="1" si="794"/>
        <v>1.5886000000000002</v>
      </c>
      <c r="LX213" s="170">
        <f ca="1">($AC213*($LR213/Control!$C$141)+$LM213*$LV213)/($AC213+$LM213)</f>
        <v>0.23530094218323697</v>
      </c>
      <c r="LY213" s="170">
        <f ca="1">($AC213*($LS213/Control!$C$141)+$LM213*$LV213)/($AC213+$LM213)</f>
        <v>0.23530094218323697</v>
      </c>
      <c r="LZ213" s="170">
        <f t="shared" ca="1" si="795"/>
        <v>0.23530094218323697</v>
      </c>
      <c r="MA213" s="170">
        <f t="shared" ca="1" si="796"/>
        <v>0.23530094218323697</v>
      </c>
      <c r="MB213" s="170" t="e">
        <f t="shared" ca="1" si="797"/>
        <v>#N/A</v>
      </c>
      <c r="MC213" s="170">
        <f t="shared" ca="1" si="887"/>
        <v>0.6018</v>
      </c>
      <c r="MD213" s="170">
        <f t="shared" ca="1" si="798"/>
        <v>0.52989392535414004</v>
      </c>
      <c r="ME213" s="170">
        <f ca="1">($AC213*($LT213/Control!$C$141)+$LM213*$LW213)/($AC213+$LM213)</f>
        <v>0.71612369323045078</v>
      </c>
      <c r="MF213" s="170" t="e">
        <f ca="1">IF(Control!$B$16&gt;=1000,0.92,IF(AND(720&lt;=Control!$B$16,1000&gt;Control!$B$16),(0.95+(Control!$B$16-720)*((0.92-0.95)/(1000-720))),IF(AND(360&lt;=Control!$B$16,720&gt;Control!$B$16),(1+(Control!$B$16-360)*((0.95-1)/(720-360))),IF(AND(40&lt;=Control!$B$16,360&gt;Control!$B$16),(1.05+(Control!$B$16-40)*((1.05-1)/(360-40)))))))</f>
        <v>#N/A</v>
      </c>
      <c r="MG213" s="170">
        <f t="shared" ca="1" si="799"/>
        <v>0.71612369323045078</v>
      </c>
      <c r="MH213" s="170" t="e">
        <f t="shared" ca="1" si="924"/>
        <v>#N/A</v>
      </c>
      <c r="MI213" s="170" t="e">
        <f t="shared" ca="1" si="924"/>
        <v>#N/A</v>
      </c>
      <c r="MJ213" s="170" t="e">
        <f ca="1">MAX(0.0001, Control!$C$132*$MI213*$DL213)</f>
        <v>#N/A</v>
      </c>
      <c r="MK213" s="170">
        <f ca="1">1/(0.76+1.5*($MG213/10))-(5-Control!$C$110)*0.1</f>
        <v>1.002845988140797</v>
      </c>
      <c r="ML213" s="173">
        <f ca="1">IF(Control!$C$110&lt;3,$MK213+($MG213-0.6)/(Control!$C$110*(Control!$C$110+3)), MAX(0.1, MIN(0.95,$MK213)))</f>
        <v>0.95</v>
      </c>
      <c r="MM213" s="173">
        <f ca="1">IF(Control!$C$110&lt;3,$MK213+(($MI213/10)-0.6)/(Control!$C$110*(Control!$C$110+3)), MAX(0.1, MIN(0.95,$MK213)))</f>
        <v>0.95</v>
      </c>
      <c r="MN213" s="173">
        <f ca="1">(1-$MM213)*(Control!$C$128-Control!$C$127)+Control!$C$127</f>
        <v>0.16</v>
      </c>
      <c r="MO213" s="170" t="e">
        <f ca="1">MAX(0,MIN(1,($MS213-Control!$C$127)/($MN213-Control!$C$127)))</f>
        <v>#DIV/0!</v>
      </c>
      <c r="MP213" s="173" t="e">
        <f ca="1">1/(0.76+1.5*$MI213)-(5-Control!$C$110)*0.1</f>
        <v>#N/A</v>
      </c>
      <c r="MQ213" s="172" t="e">
        <f t="shared" ca="1" si="916"/>
        <v>#DIV/0!</v>
      </c>
      <c r="MR213" s="168" t="e">
        <f t="shared" ca="1" si="888"/>
        <v>#DIV/0!</v>
      </c>
      <c r="MS213" s="173" t="e">
        <f ca="1">MAX(Control!$C$127, MIN(Control!$C$135, $MR213/MAX(0.0001,$CY213)))</f>
        <v>#DIV/0!</v>
      </c>
      <c r="MT213" s="168" t="e">
        <f ca="1">(Control!$C$128-$MS213)*Control!$C$74</f>
        <v>#DIV/0!</v>
      </c>
      <c r="MU213" s="168" t="e">
        <f ca="1">(Control!$C$135-$MS213)*Control!$C$74</f>
        <v>#DIV/0!</v>
      </c>
      <c r="MV213" s="168" t="e">
        <f t="shared" ca="1" si="889"/>
        <v>#DIV/0!</v>
      </c>
      <c r="MW213" s="168" t="e">
        <f t="shared" ca="1" si="890"/>
        <v>#DIV/0!</v>
      </c>
      <c r="MX213" s="171" t="e">
        <f ca="1">MAX(Control!$C$127, MIN(Control!$C$135, $MW213/MAX(0.0001,Control!$C$119-$CY213)))</f>
        <v>#DIV/0!</v>
      </c>
      <c r="MY213" s="54" t="e">
        <f ca="1">IF(Control!$C$114=1, $CX213*$MX213, 0)</f>
        <v>#DIV/0!</v>
      </c>
      <c r="MZ213" s="54" t="e">
        <f t="shared" ca="1" si="891"/>
        <v>#N/A</v>
      </c>
      <c r="NA213" s="168" t="e">
        <f ca="1">(Control!$C$128-$MX213)*(Control!$C$119-Control!$C$74)</f>
        <v>#DIV/0!</v>
      </c>
      <c r="NB213" s="168" t="e">
        <f ca="1">(Control!$C$135-$MX213)*(Control!$C$119-Control!$C$74)</f>
        <v>#DIV/0!</v>
      </c>
      <c r="NC213" s="174" t="e">
        <f t="shared" ca="1" si="892"/>
        <v>#DIV/0!</v>
      </c>
      <c r="ND213" s="54">
        <f ca="1">IF(Control!$C$58=2, IF(OR(Control!$B$218=$AH213,Control!$B$219=$AH213, Control!$B$220=$AH213, Control!$B$221=$AH213, Control!$B$222=$AH213, Control!$B$223=$AH213, Control!$B$224=$AH213, Control!$B$225=$AH213, Control!$B$226=$AH213, Control!$B$227=$AH213, Control!$B$228=$AH213), 1, 0), 0)</f>
        <v>0</v>
      </c>
      <c r="NE213" s="54">
        <f ca="1">IF($ND213=0,0, VLOOKUP($AH213,Control!$B$218:$C$228,2))</f>
        <v>0</v>
      </c>
      <c r="NF213" s="168" t="e">
        <f ca="1">$CY213*(Control!$C$128-Control!$C$127)</f>
        <v>#N/A</v>
      </c>
      <c r="NG213" s="54" t="e">
        <f ca="1">IF(Control!$C$58=2, $NI212-$NJ212, 0)</f>
        <v>#DIV/0!</v>
      </c>
      <c r="NH213" s="54" t="e">
        <f ca="1">IF(AND(Control!$C$58=1, $MS212&lt;= ($MN212+0.02), $I212&lt;10), 0, IF(Control!$C$58=2, $NG212, 0))</f>
        <v>#DIV/0!</v>
      </c>
      <c r="NI213" s="54" t="e">
        <f ca="1">IF(Control!$C$58=2, $NE213+$NH213,0)</f>
        <v>#DIV/0!</v>
      </c>
      <c r="NJ213" s="54" t="e">
        <f ca="1">IF(AND(Control!$C$58=1, $MS213&lt;= ($MN213+0.02), $I213&lt;10), MAX(0, MIN(10, 0.7*($NF213-$MV213))), IF(Control!$C$58=2, MIN(10,$NI213),0))</f>
        <v>#DIV/0!</v>
      </c>
      <c r="NK213" s="54" t="e">
        <f t="shared" ca="1" si="800"/>
        <v>#DIV/0!</v>
      </c>
      <c r="NL213" s="173" t="e">
        <f ca="1">(1-Control!$C$73)*$I213+$NJ213</f>
        <v>#DIV/0!</v>
      </c>
      <c r="NM213" s="172" t="e">
        <f ca="1">IF($NL213&lt;0.5, $MB213* MAX(0, MIN(1, (SQRT($NC213)-SQRT($NC213-1))*Control!$C$71)),0)</f>
        <v>#DIV/0!</v>
      </c>
      <c r="NN213" s="170" t="e">
        <f ca="1">IF($NL213&gt;=5, $MB213, MAX(0,MIN($MB213, $NM213+$NL213,($MS213-Control!$C$129))))</f>
        <v>#DIV/0!</v>
      </c>
      <c r="NO213" s="54">
        <f>IF(Control!$C$133&lt;&gt;1, Control!$C$135-Control!$C$131, 0)</f>
        <v>0.38</v>
      </c>
      <c r="NP213" s="54" t="e">
        <f t="shared" ca="1" si="801"/>
        <v>#DIV/0!</v>
      </c>
      <c r="NQ213" s="173" t="e">
        <f ca="1">MAX(0,MIN(1,(Control!$C$135-$MS213)/(Control!$C$135-$NO213)))</f>
        <v>#DIV/0!</v>
      </c>
      <c r="NR213" s="170" t="e">
        <f ca="1">IF(Control!$C$133&lt;&gt;1, $NQ213+((1-$NP213/4)*(1-$NQ213)),1)</f>
        <v>#DIV/0!</v>
      </c>
      <c r="NS213" s="170" t="e">
        <f ca="1">IF(Control!$B$31=0,$MJ213,MAX(0,MIN($MV213,$MO213*$NR213*$MJ213)))</f>
        <v>#DIV/0!</v>
      </c>
      <c r="NT213" s="170" t="e">
        <f t="shared" ca="1" si="917"/>
        <v>#DIV/0!</v>
      </c>
      <c r="NU213" s="170" t="e">
        <f t="shared" ca="1" si="893"/>
        <v>#N/A</v>
      </c>
      <c r="NV213" s="170" t="e">
        <f t="shared" ca="1" si="802"/>
        <v>#N/A</v>
      </c>
      <c r="NW213" s="175" t="e">
        <f t="shared" ca="1" si="803"/>
        <v>#DIV/0!</v>
      </c>
      <c r="NX213" s="170" t="e">
        <f ca="1">MIN(Control!$C$72+$MU213, $NW213)</f>
        <v>#DIV/0!</v>
      </c>
      <c r="NY213" s="170" t="e">
        <f ca="1">IF($MT213&lt;=$NX213,MIN(Control!$C$72+$NB213,$NX213-$MT213),0)</f>
        <v>#DIV/0!</v>
      </c>
      <c r="NZ213" s="54" t="e">
        <f ca="1">IF(Control!$C$114=1,  $CX213*($MX213-Control!$C$127), 0)</f>
        <v>#DIV/0!</v>
      </c>
      <c r="OA213" s="170" t="e">
        <f t="shared" ca="1" si="804"/>
        <v>#DIV/0!</v>
      </c>
      <c r="OB213" s="170" t="e">
        <f ca="1">IF($NA213 &lt;=$NY213, MIN(Control!$C$72, $NY213-$NA213), 0)</f>
        <v>#DIV/0!</v>
      </c>
      <c r="OC213" s="168" t="e">
        <f t="shared" ca="1" si="805"/>
        <v>#DIV/0!</v>
      </c>
      <c r="OD213" s="168" t="e">
        <f t="shared" ca="1" si="894"/>
        <v>#DIV/0!</v>
      </c>
      <c r="OE213" s="170">
        <f ca="1">Control!$C$73*$I213</f>
        <v>0</v>
      </c>
      <c r="OF213" s="176" t="e">
        <f t="shared" ca="1" si="806"/>
        <v>#DIV/0!</v>
      </c>
      <c r="OG213" s="168" t="e">
        <f t="shared" ca="1" si="807"/>
        <v>#DIV/0!</v>
      </c>
      <c r="OH213" s="168" t="e">
        <f t="shared" ca="1" si="808"/>
        <v>#DIV/0!</v>
      </c>
      <c r="OI213" s="168" t="e">
        <f t="shared" ca="1" si="809"/>
        <v>#DIV/0!</v>
      </c>
      <c r="OJ213" s="168" t="e">
        <f t="shared" ca="1" si="810"/>
        <v>#DIV/0!</v>
      </c>
      <c r="OK213" s="204" t="e">
        <f t="shared" ca="1" si="811"/>
        <v>#DIV/0!</v>
      </c>
      <c r="OL213" s="177">
        <f>Control!$C$127</f>
        <v>0.15</v>
      </c>
      <c r="OM213" s="182" t="e">
        <f t="shared" ca="1" si="812"/>
        <v>#N/A</v>
      </c>
      <c r="ON213" s="177">
        <f>Control!$C$128</f>
        <v>0.35</v>
      </c>
      <c r="OO213" s="182" t="e">
        <f t="shared" ca="1" si="813"/>
        <v>#N/A</v>
      </c>
      <c r="OP213" s="138">
        <f t="shared" ca="1" si="895"/>
        <v>0</v>
      </c>
      <c r="OQ213" s="138" t="e">
        <f t="shared" ca="1" si="918"/>
        <v>#DIV/0!</v>
      </c>
      <c r="OR213" s="138" t="e">
        <f t="shared" ca="1" si="896"/>
        <v>#DIV/0!</v>
      </c>
      <c r="OS213" s="137" t="e">
        <f t="shared" ca="1" si="919"/>
        <v>#DIV/0!</v>
      </c>
      <c r="OT213" s="139" t="e">
        <f t="shared" ca="1" si="920"/>
        <v>#DIV/0!</v>
      </c>
      <c r="OU213" s="138" t="e">
        <f t="shared" ca="1" si="921"/>
        <v>#N/A</v>
      </c>
      <c r="OV213" s="138" t="e">
        <f t="shared" ca="1" si="922"/>
        <v>#DIV/0!</v>
      </c>
      <c r="OW213" s="138" t="e">
        <f t="shared" ca="1" si="897"/>
        <v>#DIV/0!</v>
      </c>
      <c r="OX213" s="138" t="e">
        <f t="shared" ca="1" si="898"/>
        <v>#DIV/0!</v>
      </c>
      <c r="OY213" s="138" t="e">
        <f t="shared" ca="1" si="899"/>
        <v>#DIV/0!</v>
      </c>
      <c r="OZ213" s="138" t="e">
        <f t="shared" ca="1" si="814"/>
        <v>#DIV/0!</v>
      </c>
      <c r="PA213" s="138" t="e">
        <f t="shared" ca="1" si="815"/>
        <v>#DIV/0!</v>
      </c>
      <c r="PB213" s="55">
        <f>IF(Control!$C$61="T", IF(Control!$C$65="F", IF($AH$6-Control!$C$60&lt;0,0,1), IF(365+$AH$6-Control!$C$60&lt;0,0,1)),0)</f>
        <v>0</v>
      </c>
      <c r="PC213" s="55">
        <f ca="1">IF(Control!$C$65="F", IF($AH$6-$HF213&lt;0,0,1), IF(365+$AH$6-$HF213&lt;0,0,1))</f>
        <v>1</v>
      </c>
      <c r="PD213" s="444">
        <f>Control!$C$118</f>
        <v>1500</v>
      </c>
      <c r="PE213" s="180" t="e">
        <f t="shared" ca="1" si="816"/>
        <v>#N/A</v>
      </c>
      <c r="PF213" s="445">
        <f t="shared" ca="1" si="900"/>
        <v>0.71612369323045078</v>
      </c>
      <c r="PT213" s="186"/>
      <c r="PU213" s="186"/>
      <c r="PV213" s="94"/>
      <c r="PW213" s="94"/>
      <c r="PX213" s="94"/>
      <c r="PY213" s="94"/>
      <c r="PZ213" s="94"/>
      <c r="QA213" s="94"/>
      <c r="QB213" s="94"/>
      <c r="QC213" s="94"/>
      <c r="QD213" s="94"/>
      <c r="QE213" s="94"/>
      <c r="QF213" s="94"/>
      <c r="QG213" s="94"/>
      <c r="QH213" s="94"/>
      <c r="QI213" s="94"/>
      <c r="QJ213" s="94"/>
      <c r="QK213" s="94"/>
      <c r="QL213" s="94"/>
      <c r="QM213" s="94"/>
      <c r="QN213" s="94"/>
      <c r="QO213" s="94"/>
      <c r="QP213" s="94"/>
    </row>
    <row r="214" spans="1:458" s="2" customFormat="1" x14ac:dyDescent="0.2">
      <c r="A214" s="395">
        <v>28</v>
      </c>
      <c r="B214" s="396">
        <v>7</v>
      </c>
      <c r="C214" s="387">
        <f ca="1">Weather_data!$B213</f>
        <v>0</v>
      </c>
      <c r="D214" s="388">
        <f ca="1">Weather_data!$F213</f>
        <v>0</v>
      </c>
      <c r="E214" s="388">
        <f ca="1">Weather_data!$E213</f>
        <v>0</v>
      </c>
      <c r="F214" s="388">
        <f t="shared" ca="1" si="817"/>
        <v>0</v>
      </c>
      <c r="G214" s="388">
        <f ca="1">AVERAGE($D214:$E214)+Control!$B$9</f>
        <v>0</v>
      </c>
      <c r="H214" s="388">
        <f ca="1">Weather_data!$G213</f>
        <v>0</v>
      </c>
      <c r="I214" s="388">
        <f ca="1">Weather_data!$I213</f>
        <v>0</v>
      </c>
      <c r="J214" s="388">
        <f ca="1">Weather_data!$H213</f>
        <v>0</v>
      </c>
      <c r="K214" s="389">
        <f ca="1">Weather_data!$D213</f>
        <v>0</v>
      </c>
      <c r="L214" s="388" t="e">
        <f t="shared" ca="1" si="818"/>
        <v>#N/A</v>
      </c>
      <c r="M214" s="388" t="e">
        <f t="shared" ca="1" si="696"/>
        <v>#N/A</v>
      </c>
      <c r="N214" s="388">
        <f t="shared" ca="1" si="697"/>
        <v>-1.5184901101160734E-10</v>
      </c>
      <c r="O214" s="388">
        <f t="shared" ca="1" si="819"/>
        <v>1.5184901101160734E-9</v>
      </c>
      <c r="P214" s="390">
        <v>3</v>
      </c>
      <c r="Q214" s="388">
        <f ca="1">MAX($G214-Control!$C$107,0)</f>
        <v>0</v>
      </c>
      <c r="R214" s="388">
        <f t="shared" ca="1" si="820"/>
        <v>0</v>
      </c>
      <c r="S214" s="388">
        <f t="shared" ca="1" si="698"/>
        <v>0</v>
      </c>
      <c r="T214" s="388">
        <f t="shared" ca="1" si="699"/>
        <v>0</v>
      </c>
      <c r="U214" s="59">
        <f t="shared" ca="1" si="700"/>
        <v>0</v>
      </c>
      <c r="V214" s="391">
        <f ca="1">MAX(0,MIN(Control!$C$100-Control!$C$99,$G214-Control!$C$99)*Control!$C$63)</f>
        <v>0</v>
      </c>
      <c r="W214" s="388">
        <f t="shared" ca="1" si="821"/>
        <v>0</v>
      </c>
      <c r="X214" s="388">
        <f t="shared" ca="1" si="822"/>
        <v>0.6110000000000001</v>
      </c>
      <c r="Y214" s="388">
        <f t="shared" ca="1" si="701"/>
        <v>0</v>
      </c>
      <c r="Z214" s="388">
        <f t="shared" ca="1" si="823"/>
        <v>0.61058800000000002</v>
      </c>
      <c r="AA214" s="388">
        <f t="shared" ca="1" si="702"/>
        <v>0.6018</v>
      </c>
      <c r="AB214" s="388">
        <f ca="1">101.3*EXP(-0.034*Control!$C$66/($G214+273))</f>
        <v>100.69623283836242</v>
      </c>
      <c r="AC214" s="392">
        <f t="shared" ca="1" si="703"/>
        <v>4.3460251046025113E-2</v>
      </c>
      <c r="AD214" s="392">
        <f t="shared" ca="1" si="704"/>
        <v>4.4450382862832649E-2</v>
      </c>
      <c r="AE214" s="388">
        <f t="shared" ca="1" si="705"/>
        <v>0</v>
      </c>
      <c r="AF214" s="388">
        <f ca="1">MAX(0,$G214-Control!$C$92)</f>
        <v>0</v>
      </c>
      <c r="AG214" s="393">
        <f t="shared" ca="1" si="706"/>
        <v>210</v>
      </c>
      <c r="AH214" s="389">
        <f t="shared" ca="1" si="707"/>
        <v>210</v>
      </c>
      <c r="AI214" s="388">
        <f t="shared" ca="1" si="824"/>
        <v>0.32348395597605001</v>
      </c>
      <c r="AJ214" s="388">
        <f ca="1">IF(Control!$C$60&lt;=0,$HH214,$HI214)</f>
        <v>1</v>
      </c>
      <c r="AK214" s="388">
        <f t="shared" ca="1" si="708"/>
        <v>2.2378468217351948</v>
      </c>
      <c r="AL214" s="388">
        <f t="shared" ca="1" si="709"/>
        <v>3.6064380648515026E-18</v>
      </c>
      <c r="AM214" s="388">
        <f t="shared" ca="1" si="710"/>
        <v>2.2378468217351948</v>
      </c>
      <c r="AN214" s="388">
        <f t="shared" ca="1" si="711"/>
        <v>0.3178568778757882</v>
      </c>
      <c r="AO214" s="388">
        <f ca="1">-0.10453/COS(Control!$B$8*PI()/180)*COS(AN214)</f>
        <v>-0.16127989761888986</v>
      </c>
      <c r="AP214" s="388">
        <f ca="1">ACOS(AO214-TAN(Control!$B$8*PI()/180)*TAN(AN214))</f>
        <v>2.1924703993907424</v>
      </c>
      <c r="AQ214" s="388">
        <f t="shared" ca="1" si="825"/>
        <v>0</v>
      </c>
      <c r="AR214" s="394">
        <f t="shared" ca="1" si="712"/>
        <v>0</v>
      </c>
      <c r="AS214" s="436">
        <f ca="1">IF(Control!$B$18=2,(IF(OR($AH214=Control!$B$175,$AH214=Control!$B$176,$AH214=Control!$B$177,$AH214=Control!$B$178,$AH214=Control!$B$179,$AH214=Control!$B$180,$AH214=Control!$B$181,$AH214=Control!$B$182,$AH214=Control!$B$183,$AH214=Control!$B$184,$AH214=Control!$B$185),1,0)),0)</f>
        <v>0</v>
      </c>
      <c r="AT214" s="436">
        <f>IF(Control!$B$20=8,IF(AND($AH214&gt;=Control!$B$172,$AH214&lt;=Control!$B$173),1,0),0)</f>
        <v>0</v>
      </c>
      <c r="AU214" s="436">
        <f>IF(Control!$B$20=8,IF($AV213=1,1*$AT214,IF($AT214=1,$AU213+1,$AU213)),0)</f>
        <v>0</v>
      </c>
      <c r="AV214" s="436">
        <f>IF(Control!$B$20=8,IF($AU214&gt;=Control!$B$174,1,0),0)</f>
        <v>0</v>
      </c>
      <c r="AW214" s="436">
        <f ca="1">IF(AND(Control!$B$18=2,Control!$B$171=1), $AV214, $AS214)</f>
        <v>0</v>
      </c>
      <c r="AX214" s="436" t="e">
        <f ca="1">IF(AND(Control!$B$18=1,$EU214&gt;=Control!$B$19),-$AY214,IF(AND(Control!$B$18=2,$AW214=1,$EU214&gt;$DS214),-$AY214, IF(Control!$C$108=0,0, IF(Control!$C$108&lt;&gt;0,1))))</f>
        <v>#N/A</v>
      </c>
      <c r="AY214" s="436" t="e">
        <f t="shared" ca="1" si="826"/>
        <v>#N/A</v>
      </c>
      <c r="AZ214" s="436" t="e">
        <f ca="1">IF(AND(Control!$B$18=1,$EB214&gt;Control!$B$19),$AZ213+1, IF(AND(Control!$B$18=2, $AW214=1, $EB214&gt;$DS214), $AZ213+1,$AZ213))</f>
        <v>#N/A</v>
      </c>
      <c r="BA214" s="587">
        <f>IF(Control!$C$81=0,1,IF($AH214&gt;=Control!$C$82,1,0))</f>
        <v>1</v>
      </c>
      <c r="BB214" s="140" t="e">
        <f ca="1">IF($BA214&gt;$BA213,Control!$C$83,IF($AW214&gt;0,$AW214*Control!$C$84,IF(AND(Control!$B$18=1,EN213&lt;&gt;0),Control!$C$84,0)))</f>
        <v>#N/A</v>
      </c>
      <c r="BC214" s="140" t="e">
        <f t="shared" ca="1" si="827"/>
        <v>#N/A</v>
      </c>
      <c r="BD214" s="140" t="e">
        <f ca="1">BC214*IF(OR($G214&lt;Control!$C$92,$G214&gt;Control!$C$95),0,IF(AND($G214&gt;=Control!$C$92,$G214&lt;=Control!$C$93),$G214-Control!$C$92,IF(AND($G214&gt;Control!$C$93,$G214&lt;=Control!$C$94),Control!$C$93-Control!$C$92,IF(AND($G214&gt;Control!$C$94,$G214&lt;=Control!$C$95),(Control!$C$93-Control!$C$92)*(Control!$C$94-$G214)/(Control!$C$95-Control!$C$94)))))</f>
        <v>#N/A</v>
      </c>
      <c r="BE214" s="140" t="e">
        <f t="shared" ca="1" si="828"/>
        <v>#N/A</v>
      </c>
      <c r="BF214" s="140" t="e">
        <f ca="1">IF($BE214&lt;=Control!$C$86,$BE214,Control!$C$86-$BE214)</f>
        <v>#N/A</v>
      </c>
      <c r="BG214" s="140" t="e">
        <f ca="1">IF(AND($AW214=1,Control!$C$84&lt;9),1,IF($BE214&gt;=Control!$C$86,0,$BC214))</f>
        <v>#N/A</v>
      </c>
      <c r="BH214" s="404" t="e">
        <f ca="1">IF($BG214=0,0,IF($BE214&lt;=Control!$C$86,$BC214*9*($BF214/Control!$C$86),0))</f>
        <v>#N/A</v>
      </c>
      <c r="BI214" s="140" t="e">
        <f ca="1">IF($BG214=1,0,IF($BE214&gt;=Control!$C$86,1,IF(AND($BB214&lt;21,$BB214&gt;=9),1,$BM213)))</f>
        <v>#N/A</v>
      </c>
      <c r="BJ214" s="140" t="e">
        <f ca="1">IF($BF214&lt;0,-$BF214,$BI214*IF(OR($G214&lt;Control!$C$92,$G214&gt;Control!$C$95),0,IF(AND($G214&gt;=Control!$C$92,$G214&lt;=Control!$C$93),$G214-Control!$C$92,IF(AND($G214&gt;Control!$C$93,$G214&lt;=Control!$C$94),Control!$C$93-Control!$C$92,IF(AND($G214&gt;Control!$C$94,$G214&lt;=Control!$C$95),(Control!$C$93-Control!$C$92)*(Control!$C$94-$G214)/(Control!$C$95-Control!$C$94))))))</f>
        <v>#N/A</v>
      </c>
      <c r="BK214" s="140" t="e">
        <f t="shared" ca="1" si="829"/>
        <v>#N/A</v>
      </c>
      <c r="BL214" s="140" t="e">
        <f ca="1">IF($BK214&lt;=Control!$C$87,$BK214,Control!$C$87-$BK214)</f>
        <v>#N/A</v>
      </c>
      <c r="BM214" s="140" t="e">
        <f ca="1">IF(AND($BB214&gt;=9,$BB214&lt;21),1,IF($BK214&gt;=Control!$C$87,0,$BI214))</f>
        <v>#N/A</v>
      </c>
      <c r="BN214" s="404" t="e">
        <f ca="1">IF($BM214=0,0,IF($BK214&lt;=Control!$C$87,$BI214*(9+(21-9)*($BL214/Control!$C$87)),0))</f>
        <v>#N/A</v>
      </c>
      <c r="BO214" s="140" t="e">
        <f ca="1">IF($BM214=1,0,IF($BK214&gt;=Control!$C$87,1,IF(AND($BB214&lt;30,$BB214&gt;=21),1,$BS213)))</f>
        <v>#N/A</v>
      </c>
      <c r="BP214" s="140" t="e">
        <f ca="1">IF($BL214&lt;0,-$BL214,$BO214*IF(OR($G214&lt;Control!$C$92,$G214&gt;Control!$C$95),0,IF(AND($G214&gt;=Control!$C$92,$G214&lt;=Control!$C$93),$G214-Control!$C$92,IF(AND($G214&gt;Control!$C$93,$G214&lt;=Control!$C$94),Control!$C$93-Control!$C$92,IF(AND($G214&gt;Control!$C$94,$G214&lt;=Control!$C$95),(Control!$C$93-Control!$C$92)*(Control!$C$94-$G214)/(Control!$C$95-Control!$C$94))))))</f>
        <v>#N/A</v>
      </c>
      <c r="BQ214" s="140" t="e">
        <f t="shared" ca="1" si="713"/>
        <v>#N/A</v>
      </c>
      <c r="BR214" s="140" t="e">
        <f ca="1">IF($BQ214&lt;=Control!$C$88,$BQ214,Control!$C$88-$BQ214)</f>
        <v>#N/A</v>
      </c>
      <c r="BS214" s="140" t="e">
        <f ca="1">IF(AND($BB214&gt;=21,$BB214&lt;30),1,IF($BQ214&gt;=Control!$C$88,0,$BO214))</f>
        <v>#N/A</v>
      </c>
      <c r="BT214" s="404" t="e">
        <f ca="1">IF($BS214=0,0,IF($BQ214&lt;=Control!$C$88,$BO214*(21+(30-21)*(BR214/Control!$C$88)),0))</f>
        <v>#N/A</v>
      </c>
      <c r="BU214" s="140" t="e">
        <f ca="1">IF(BG214+BM214+BS214=1,0,IF(OR(AND($BB214&lt;60,$BB214&gt;=30),$BQ214&gt;=Control!$C$88),1*$BA214,$BY213))</f>
        <v>#N/A</v>
      </c>
      <c r="BV214" s="140" t="e">
        <f ca="1">IF($BR214&lt;0,-$BR214,$BU214*IF(OR($G214&lt;Control!$C$92,$G214&gt;Control!$C$95),0,IF(AND($G214&gt;=Control!$C$92,$G214&lt;=Control!$C$93),$G214-Control!$C$92,IF(AND($G214&gt;Control!$C$93,$G214&lt;=Control!$C$94),Control!$C$93-Control!$C$92,IF(AND($G214&gt;Control!$C$94,$G214&lt;=Control!$C$95),(Control!$C$93-Control!$C$92)*(Control!$C$94-$G214)/(Control!$C$95-Control!$C$94))))))</f>
        <v>#N/A</v>
      </c>
      <c r="BW214" s="140" t="e">
        <f t="shared" ca="1" si="714"/>
        <v>#N/A</v>
      </c>
      <c r="BX214" s="140" t="e">
        <f ca="1">IF($BW214&lt;=Control!$C$89,$BW214,Control!$C$89-$BW214)</f>
        <v>#N/A</v>
      </c>
      <c r="BY214" s="140" t="e">
        <f ca="1">IF(AND($AJ214&gt;=30,$AJ214&lt;60),1,IF($BW214&gt;=Control!$C$89,0,$BU214))</f>
        <v>#N/A</v>
      </c>
      <c r="BZ214" s="404" t="e">
        <f ca="1">IF($BY214=0,0,IF($BW214&lt;=Control!$C$89,$BU214*(30+(60-30)*(BX214/Control!$C$89)),0))</f>
        <v>#N/A</v>
      </c>
      <c r="CA214" s="140" t="e">
        <f ca="1">IF($BG214+$BM214+$BS214+$BY214=1,0,IF(OR(AND($BB214&lt;65,$BB214&gt;=60),$BW214&gt;=Control!$C$89),1*$BA214,$CE213))</f>
        <v>#N/A</v>
      </c>
      <c r="CB214" s="140" t="e">
        <f ca="1">IF($BX214&lt;0,-$BX214,$CA214*IF(OR($G214&lt;Control!$C$92,$G214&gt;Control!$C$95),0,IF(AND($G214&gt;=Control!$C$92,$G214&lt;=Control!$C$93),$G214-Control!$C$92,IF(AND($G214&gt;Control!$C$93,$G214&lt;=Control!$C$94),Control!$C$93-Control!$C$92,IF(AND($G214&gt;Control!$C$94,$G214&lt;=Control!$C$95),(Control!$C$93-Control!$C$92)*(Control!$C$94-$G214)/(Control!$C$95-Control!$C$94))))))</f>
        <v>#N/A</v>
      </c>
      <c r="CC214" s="140" t="e">
        <f t="shared" ca="1" si="830"/>
        <v>#N/A</v>
      </c>
      <c r="CD214" s="140" t="e">
        <f ca="1">IF($CC214&lt;=Control!$C$90,$CC214,Control!$C$90-$CC214)</f>
        <v>#N/A</v>
      </c>
      <c r="CE214" s="140" t="e">
        <f ca="1">IF(AND($BB214&gt;=60,$BB214&lt;65),1,IF($CC214&gt;=Control!$C$90,0,$CA214))</f>
        <v>#N/A</v>
      </c>
      <c r="CF214" s="404" t="e">
        <f ca="1">IF($CE214=0,0,IF($CC214&lt;=Control!$C$90,$CA214*(60+(65-60)*(CD214/Control!$C$90)),0))</f>
        <v>#N/A</v>
      </c>
      <c r="CG214" s="140" t="e">
        <f ca="1">IF($BG214+$BM214+$BS214+$BY214+$CE214=1,0,IF(OR(AND($BB214&lt;90,$BB214&gt;=65),$CC214&gt;=Control!$C$90),$BA214,$CK213))</f>
        <v>#N/A</v>
      </c>
      <c r="CH214" s="140" t="e">
        <f ca="1">IF($CD214&lt;0,-$CD214,$CG214*IF(OR($G214&lt;Control!$C$92,$G214&gt;Control!$C$95),0,IF(AND($G214&gt;=Control!$C$92,$G214&lt;=Control!$C$93),$G214-Control!$C$92,IF(AND($G214&gt;Control!$C$93,$G214&lt;=Control!$C$94),Control!$C$93-Control!$C$92,IF(AND($G214&gt;Control!$C$94,$G214&lt;=Control!$C$95),(Control!$C$93-Control!$C$92)*(Control!$C$94-$G214)/(Control!$C$95-Control!$C$94))))))</f>
        <v>#N/A</v>
      </c>
      <c r="CI214" s="140" t="e">
        <f t="shared" ca="1" si="831"/>
        <v>#N/A</v>
      </c>
      <c r="CJ214" s="140" t="e">
        <f ca="1">IF($CI214&lt;=Control!$C$91,$CI214,Control!$C$91-$CI214)</f>
        <v>#N/A</v>
      </c>
      <c r="CK214" s="140" t="e">
        <f ca="1">IF(AND($BB214&gt;=65,$BB214&lt;90),1,IF($CI214&gt;=Control!$C$91,0,$CG214))</f>
        <v>#N/A</v>
      </c>
      <c r="CL214" s="404" t="e">
        <f ca="1">IF($CK214=0,0,IF($CI214&lt;=Control!$C$91,$CG214*(65+(90-65)*($CJ214/Control!$C$91)),0))</f>
        <v>#N/A</v>
      </c>
      <c r="CM214" s="140" t="e">
        <f ca="1">IF($BG214+$BM214+$BS214+$BY214+$CE214+$CK214=1,0,IF(OR($BB214&gt;=90,$CI214&gt;=Control!$C$91),$BA214,$CM213))</f>
        <v>#N/A</v>
      </c>
      <c r="CN214" s="140" t="e">
        <f t="shared" ca="1" si="832"/>
        <v>#N/A</v>
      </c>
      <c r="CO214" s="140" t="e">
        <f t="shared" ca="1" si="833"/>
        <v>#N/A</v>
      </c>
      <c r="CP214" s="140" t="e">
        <f t="shared" ca="1" si="834"/>
        <v>#N/A</v>
      </c>
      <c r="CQ214" s="141" t="e">
        <f ca="1">VLOOKUP($CP214,Control!$B$86:$G$91,6)</f>
        <v>#N/A</v>
      </c>
      <c r="CR214" s="141" t="e">
        <f ca="1">(1-$CQ214)*VLOOKUP($CP214,Control!$B$86:$D$91,3)</f>
        <v>#N/A</v>
      </c>
      <c r="CS214" s="141" t="e">
        <f ca="1">(1-$CQ214)*VLOOKUP($CP214,Control!$B$86:$E$91,4)</f>
        <v>#N/A</v>
      </c>
      <c r="CT214" s="141" t="e">
        <f ca="1">(1-$CQ214)*VLOOKUP($CP214,Control!$B$86:$F$91,5)</f>
        <v>#N/A</v>
      </c>
      <c r="CU214" s="141">
        <f t="shared" ca="1" si="835"/>
        <v>0</v>
      </c>
      <c r="CV214" s="583">
        <f t="shared" ca="1" si="836"/>
        <v>0</v>
      </c>
      <c r="CW214" s="142">
        <f t="shared" ca="1" si="837"/>
        <v>210</v>
      </c>
      <c r="CX214" s="612" t="e">
        <f ca="1">IF(Control!$C$114=1,(MIN(Control!$C$120*(IF($NT214-0.01&lt;0,0,1)),Control!$C$119-$CY214)))</f>
        <v>#DIV/0!</v>
      </c>
      <c r="CY214" s="143" t="e">
        <f t="shared" ca="1" si="838"/>
        <v>#N/A</v>
      </c>
      <c r="CZ214" s="144">
        <f t="shared" ca="1" si="715"/>
        <v>0</v>
      </c>
      <c r="DA214" s="144">
        <f t="shared" ca="1" si="716"/>
        <v>0</v>
      </c>
      <c r="DB214" s="144" t="e">
        <f t="shared" ca="1" si="717"/>
        <v>#N/A</v>
      </c>
      <c r="DC214" s="144" t="e">
        <f t="shared" ca="1" si="718"/>
        <v>#N/A</v>
      </c>
      <c r="DD214" s="144" t="e">
        <f t="shared" ca="1" si="923"/>
        <v>#N/A</v>
      </c>
      <c r="DE214" s="143" t="e">
        <f t="shared" ca="1" si="839"/>
        <v>#N/A</v>
      </c>
      <c r="DF214" s="145" t="e">
        <f ca="1">$DR214*EXP(-Control!$C$158*(1-$KH214))</f>
        <v>#N/A</v>
      </c>
      <c r="DG214" s="146" t="e">
        <f ca="1">IF(Control!$C$114=1, $DF214*$EY214, 0)</f>
        <v>#N/A</v>
      </c>
      <c r="DH214" s="147" t="e">
        <f t="shared" ca="1" si="840"/>
        <v>#N/A</v>
      </c>
      <c r="DI214" s="144" t="e">
        <f t="shared" ca="1" si="901"/>
        <v>#N/A</v>
      </c>
      <c r="DJ214" s="147" t="e">
        <f ca="1">$EF214*Control!$C$109</f>
        <v>#N/A</v>
      </c>
      <c r="DK214" s="144" t="e">
        <f t="shared" ca="1" si="841"/>
        <v>#N/A</v>
      </c>
      <c r="DL214" s="144" t="e">
        <f t="shared" ca="1" si="719"/>
        <v>#N/A</v>
      </c>
      <c r="DM214" s="144" t="e">
        <f ca="1">IF(Control!$C$114=1, (1-EXP(-Control!$C$96*$DK214))*$AR214, 0)</f>
        <v>#N/A</v>
      </c>
      <c r="DN214" s="144">
        <f t="shared" ca="1" si="842"/>
        <v>0</v>
      </c>
      <c r="DO214" s="148">
        <f>Control!$C$97</f>
        <v>4</v>
      </c>
      <c r="DP214" s="145" t="e">
        <f t="shared" ca="1" si="843"/>
        <v>#N/A</v>
      </c>
      <c r="DQ214" s="145" t="e">
        <f ca="1">IF(AND($CP214&gt;=0,$CP214&lt;=90),Control!$C$111,Control!$C$111)</f>
        <v>#N/A</v>
      </c>
      <c r="DR214" s="145" t="e">
        <f t="shared" ca="1" si="720"/>
        <v>#N/A</v>
      </c>
      <c r="DS214" s="143" t="e">
        <f ca="1">Control!$B$22/$DR214</f>
        <v>#N/A</v>
      </c>
      <c r="DT214" s="149" t="e">
        <f ca="1">IF(AND(Control!$C$114=1,$KH214&lt;1),$IM214*$DF214, 0)</f>
        <v>#N/A</v>
      </c>
      <c r="DU214" s="144" t="e">
        <f t="shared" ca="1" si="844"/>
        <v>#N/A</v>
      </c>
      <c r="DV214" s="144">
        <f ca="1">IF($G214-Control!$C$107&lt;=0, 0, 0.83*LN(MAX($G214, 3))-0.8924)</f>
        <v>0</v>
      </c>
      <c r="DW214" s="144" t="e">
        <f t="shared" ca="1" si="721"/>
        <v>#N/A</v>
      </c>
      <c r="DX214" s="150" t="e">
        <f ca="1">MAX(0.01*(1+$CU214/Control!$C$102),0.05*($DK214-Control!$C$97)/Control!$C$97)</f>
        <v>#N/A</v>
      </c>
      <c r="DY214" s="151" t="e">
        <f ca="1">IF(Control!$C$114=1, $DI214*$FS214, 0)</f>
        <v>#N/A</v>
      </c>
      <c r="DZ214" s="196" t="e">
        <f t="shared" ca="1" si="845"/>
        <v>#N/A</v>
      </c>
      <c r="EA214" s="152">
        <f t="shared" ca="1" si="846"/>
        <v>210</v>
      </c>
      <c r="EB214" s="153" t="e">
        <f t="shared" ca="1" si="847"/>
        <v>#N/A</v>
      </c>
      <c r="EC214" s="153" t="e">
        <f t="shared" ca="1" si="848"/>
        <v>#N/A</v>
      </c>
      <c r="ED214" s="154" t="e">
        <f ca="1">IF(Control!$C$114=1, $HM214*$FY214-$FD214, 0)</f>
        <v>#DIV/0!</v>
      </c>
      <c r="EE214" s="155" t="e">
        <f ca="1">IF(Control!$C$114=1, $HM214*$FZ214-$FF214, 0)</f>
        <v>#DIV/0!</v>
      </c>
      <c r="EF214" s="153" t="e">
        <f t="shared" ca="1" si="902"/>
        <v>#N/A</v>
      </c>
      <c r="EG214" s="155" t="e">
        <f ca="1">IF(Control!$C$114=1, $GX214*$FW214-$FI214, 0)</f>
        <v>#DIV/0!</v>
      </c>
      <c r="EH214" s="153" t="e">
        <f t="shared" ca="1" si="849"/>
        <v>#N/A</v>
      </c>
      <c r="EI214" s="156" t="e">
        <f t="shared" ca="1" si="850"/>
        <v>#N/A</v>
      </c>
      <c r="EJ214" s="155" t="e">
        <f ca="1">IF(Control!$C$114=1, $HM214*$GB214, 0)</f>
        <v>#DIV/0!</v>
      </c>
      <c r="EK214" s="153" t="e">
        <f t="shared" ca="1" si="903"/>
        <v>#N/A</v>
      </c>
      <c r="EL214" s="153" t="e">
        <f t="shared" ca="1" si="722"/>
        <v>#N/A</v>
      </c>
      <c r="EM214" s="153" t="e">
        <f t="shared" ca="1" si="723"/>
        <v>#N/A</v>
      </c>
      <c r="EN214" s="153" t="e">
        <f ca="1">IF(Control!$C$108=1,IF(AND(Control!$B$18=1,$EB214&gt;=Control!$B$19),$EB214-$DS214,IF(AND(Control!$B$18=2,$AW214=1,$EB214&gt;$DS214),$EB214-$DS214,0)))</f>
        <v>#N/A</v>
      </c>
      <c r="EO214" s="153" t="e">
        <f ca="1">IF(Control!$C$108=1,IF(AND(Control!$B$18=1,$EB214&gt;=Control!$B$19),$EF214,IF(AND(Control!$B$18=2,$AW214=1),$EF214,0)))</f>
        <v>#N/A</v>
      </c>
      <c r="EP214" s="153" t="e">
        <f ca="1">IF(Control!$C$108=1,IF(AND(Control!$B$18=1,$EB214&gt;=Control!$B$19),$EK214,IF(AND(Control!$B$18=2,$AW214=1),$EK214,0)))</f>
        <v>#N/A</v>
      </c>
      <c r="EQ214" s="153" t="e">
        <f t="shared" ca="1" si="851"/>
        <v>#N/A</v>
      </c>
      <c r="ER214" s="153" t="e">
        <f t="shared" ca="1" si="852"/>
        <v>#N/A</v>
      </c>
      <c r="ES214" s="153" t="e">
        <f t="shared" ca="1" si="904"/>
        <v>#N/A</v>
      </c>
      <c r="ET214" s="153" t="e">
        <f t="shared" ca="1" si="905"/>
        <v>#N/A</v>
      </c>
      <c r="EU214" s="153" t="e">
        <f t="shared" ca="1" si="853"/>
        <v>#N/A</v>
      </c>
      <c r="EV214" s="153" t="e">
        <f t="shared" ca="1" si="724"/>
        <v>#N/A</v>
      </c>
      <c r="EW214" s="153" t="e">
        <f t="shared" ca="1" si="725"/>
        <v>#N/A</v>
      </c>
      <c r="EX214" s="153" t="e">
        <f t="shared" ca="1" si="726"/>
        <v>#N/A</v>
      </c>
      <c r="EY214" s="157" t="e">
        <f t="shared" ca="1" si="727"/>
        <v>#DIV/0!</v>
      </c>
      <c r="EZ214" s="154" t="e">
        <f t="shared" ca="1" si="728"/>
        <v>#DIV/0!</v>
      </c>
      <c r="FA214" s="153" t="e">
        <f t="shared" ca="1" si="854"/>
        <v>#N/A</v>
      </c>
      <c r="FB214" s="153" t="e">
        <f t="shared" ca="1" si="729"/>
        <v>#N/A</v>
      </c>
      <c r="FC214" s="193" t="e">
        <f t="shared" ca="1" si="730"/>
        <v>#N/A</v>
      </c>
      <c r="FD214" s="158" t="e">
        <f t="shared" ca="1" si="855"/>
        <v>#N/A</v>
      </c>
      <c r="FE214" s="158" t="e">
        <f t="shared" ca="1" si="856"/>
        <v>#N/A</v>
      </c>
      <c r="FF214" s="159" t="e">
        <f t="shared" ca="1" si="731"/>
        <v>#N/A</v>
      </c>
      <c r="FG214" s="160" t="e">
        <f t="shared" ca="1" si="857"/>
        <v>#N/A</v>
      </c>
      <c r="FH214" s="158" t="e">
        <f t="shared" ca="1" si="858"/>
        <v>#N/A</v>
      </c>
      <c r="FI214" s="159" t="e">
        <f t="shared" ca="1" si="732"/>
        <v>#N/A</v>
      </c>
      <c r="FJ214" s="160" t="e">
        <f t="shared" ca="1" si="859"/>
        <v>#N/A</v>
      </c>
      <c r="FK214" s="160" t="e">
        <f t="shared" ca="1" si="733"/>
        <v>#N/A</v>
      </c>
      <c r="FL214" s="160" t="e">
        <f t="shared" ca="1" si="906"/>
        <v>#N/A</v>
      </c>
      <c r="FM214" s="160" t="e">
        <f t="shared" ca="1" si="734"/>
        <v>#N/A</v>
      </c>
      <c r="FN214" s="158">
        <f t="shared" ca="1" si="860"/>
        <v>0.01</v>
      </c>
      <c r="FO214" s="160">
        <f>Control!$C$101</f>
        <v>50</v>
      </c>
      <c r="FP214" s="150" t="e">
        <f t="shared" ca="1" si="735"/>
        <v>#N/A</v>
      </c>
      <c r="FQ214" s="150" t="e">
        <f ca="1">MAX(0,(Control!$C$112*(($DK214-Control!$C$97)/Control!$C$97)))</f>
        <v>#N/A</v>
      </c>
      <c r="FR214" s="150" t="e">
        <f ca="1">(1-$NT214)*Control!$C$113</f>
        <v>#DIV/0!</v>
      </c>
      <c r="FS214" s="198" t="e">
        <f t="shared" ca="1" si="736"/>
        <v>#N/A</v>
      </c>
      <c r="FT214" s="161">
        <f t="shared" ca="1" si="861"/>
        <v>210</v>
      </c>
      <c r="FU214" s="162" t="e">
        <f ca="1">IF(Control!$B$34=1,VLOOKUP($CP214,Control!$B$86:$G$91,6),Control!$B$35)</f>
        <v>#N/A</v>
      </c>
      <c r="FV214" s="162" t="e">
        <f t="shared" ca="1" si="737"/>
        <v>#DIV/0!</v>
      </c>
      <c r="FW214" s="162" t="e">
        <f ca="1">IF(Control!$B$31=1,$FU214*$FV214,  $FU214)</f>
        <v>#N/A</v>
      </c>
      <c r="FX214" s="162" t="e">
        <f ca="1">IF(Control!$B$34=1,VLOOKUP($CP214,Control!$B$86:$G$91,3),Control!$B$36)</f>
        <v>#N/A</v>
      </c>
      <c r="FY214" s="162" t="e">
        <f t="shared" ca="1" si="738"/>
        <v>#N/A</v>
      </c>
      <c r="FZ214" s="162" t="e">
        <f ca="1">IF(Control!$B$34=1,VLOOKUP($CP214,Control!$B$86:$G$91,4),Control!$B$37)</f>
        <v>#N/A</v>
      </c>
      <c r="GA214" s="162" t="e">
        <f t="shared" ca="1" si="739"/>
        <v>#N/A</v>
      </c>
      <c r="GB214" s="162" t="e">
        <f ca="1">IF(Control!$B$34=1,VLOOKUP($CP214,Control!$B$86:$G$91,5),Control!$B$38)</f>
        <v>#N/A</v>
      </c>
      <c r="GC214" s="162" t="e">
        <f t="shared" ca="1" si="862"/>
        <v>#N/A</v>
      </c>
      <c r="GD214" s="162">
        <f t="shared" ca="1" si="740"/>
        <v>1</v>
      </c>
      <c r="GE214" s="162">
        <f t="shared" ca="1" si="741"/>
        <v>1</v>
      </c>
      <c r="GF214" s="162">
        <f ca="1">IF(AND(Control!$C$104=1, Control!$C$62="F"),$GE214,1)</f>
        <v>1</v>
      </c>
      <c r="GG214" s="162" t="e">
        <f ca="1">IF(Control!$B$16=40,0,IF(AND(Control!$B$16&gt;40,Control!$B$16&lt;=360),(Control!$B$16-40)*((1-0)/(360-40)),IF(AND(Control!$B$16&gt;360,Control!$B$16&lt;=720),(1+(Control!$B$16-360)*((1.25-1)/(720-360))),IF(AND(Control!$B$16&gt;720,Control!$B$16&lt;=1000),(1.25+(Control!$B$16-720)*((1.35-1.25)/(1000-720))),IF(AND(Control!$B$16&gt;1000,Control!$B$16&lt;=2000),(1.35+(Control!$B$16-1000)*0))))))</f>
        <v>#N/A</v>
      </c>
      <c r="GH214" s="162" t="e">
        <f t="shared" ca="1" si="742"/>
        <v>#N/A</v>
      </c>
      <c r="GI214" s="162">
        <f t="shared" ca="1" si="863"/>
        <v>0</v>
      </c>
      <c r="GJ214" s="162">
        <f t="shared" ca="1" si="743"/>
        <v>0</v>
      </c>
      <c r="GK214" s="162">
        <f t="shared" ca="1" si="864"/>
        <v>1</v>
      </c>
      <c r="GL214" s="162">
        <f t="shared" ca="1" si="744"/>
        <v>1</v>
      </c>
      <c r="GM214" s="162" t="e">
        <f ca="1">MAX(0,MIN(1,1-Control!$C$156*(1.0001-$KH214)^2))</f>
        <v>#N/A</v>
      </c>
      <c r="GN214" s="162" t="e">
        <f ca="1">IF(Control!$B$26=1,$KU214,$KX214)</f>
        <v>#N/A</v>
      </c>
      <c r="GO214" s="162" t="e">
        <f ca="1">IF($CP214&lt;=60,Control!$C$105,IF($CP214&gt;=90,Control!$C$106,Control!$C$105+($CP214-60)*((Control!$C$106-Control!$C$105)/(90-60))))</f>
        <v>#N/A</v>
      </c>
      <c r="GP214" s="162" t="e">
        <f t="shared" ca="1" si="745"/>
        <v>#N/A</v>
      </c>
      <c r="GQ214" s="162" t="e">
        <f t="shared" ca="1" si="865"/>
        <v>#N/A</v>
      </c>
      <c r="GR214" s="163" t="e">
        <f t="shared" ca="1" si="746"/>
        <v>#DIV/0!</v>
      </c>
      <c r="GS214" s="162" t="e">
        <f t="shared" ca="1" si="747"/>
        <v>#DIV/0!</v>
      </c>
      <c r="GT214" s="164" t="e">
        <f t="shared" ca="1" si="866"/>
        <v>#N/A</v>
      </c>
      <c r="GU214" s="162" t="e">
        <f t="shared" ca="1" si="867"/>
        <v>#N/A</v>
      </c>
      <c r="GV214" s="162" t="e">
        <f t="shared" ca="1" si="748"/>
        <v>#N/A</v>
      </c>
      <c r="GW214" s="162" t="e">
        <f t="shared" ca="1" si="749"/>
        <v>#DIV/0!</v>
      </c>
      <c r="GX214" s="162" t="e">
        <f t="shared" ca="1" si="868"/>
        <v>#DIV/0!</v>
      </c>
      <c r="GY214" s="162" t="e">
        <f t="shared" ca="1" si="869"/>
        <v>#DIV/0!</v>
      </c>
      <c r="GZ214" s="165" t="e">
        <f t="shared" ca="1" si="750"/>
        <v>#N/A</v>
      </c>
      <c r="HA214" s="162" t="e">
        <f ca="1">IF(Control!$C$114=1, $DI214*$FS214, 0)</f>
        <v>#N/A</v>
      </c>
      <c r="HB214" s="162" t="e">
        <f ca="1">$FA214/Control!$C$64</f>
        <v>#N/A</v>
      </c>
      <c r="HC214" s="162" t="e">
        <f t="shared" ca="1" si="751"/>
        <v>#DIV/0!</v>
      </c>
      <c r="HD214" s="162">
        <f ca="1">-ASIN(SIN(23.45*Control!$C$139)*COS(2*Control!$C$138*($AH214+10)/365))</f>
        <v>0.32348395597605001</v>
      </c>
      <c r="HE214" s="165">
        <f t="shared" ca="1" si="870"/>
        <v>0</v>
      </c>
      <c r="HF214" s="166">
        <f ca="1">IF(AND(Control!$C$61="T",$HE214&gt;=Control!$C$103,Control!$C$114=0),$AH214,Control!$C$59)</f>
        <v>1</v>
      </c>
      <c r="HG214" s="166">
        <f ca="1">IF(AND(Control!$C$61="T",$HE214&gt;=Control!$C$103,Control!$C$114=0),$HF214,Control!$C$59)</f>
        <v>1</v>
      </c>
      <c r="HH214" s="165">
        <f ca="1">IF(AND(OR(Control!$C$60&lt;=0, $AH214= Control!$C$59, Control!$C$60 &gt;0, $AH214 = Control!$C$60)), Control!$C$59, IF(Control!$C$60&gt;0, 0))</f>
        <v>1</v>
      </c>
      <c r="HI214" s="165">
        <f ca="1">IF(AND(OR(Control!$C$60&lt;=0, $AH214= Control!$C$59, Control!$C$60 &gt;0, $AH214 = Control!$C$60)), Control!$C$60, IF(Control!$C$60&lt;=0, 0))</f>
        <v>0</v>
      </c>
      <c r="HJ214" s="166">
        <f ca="1">IF(AND(Control!$C$62="F",$CV214&gt;=Control!$C$102),$AH214,0)</f>
        <v>0</v>
      </c>
      <c r="HK214" s="165" t="e">
        <f t="shared" ca="1" si="907"/>
        <v>#N/A</v>
      </c>
      <c r="HL214" s="166">
        <f ca="1">IF(AND(Control!$C$61="T",$HE214&gt;=Control!$C$103,Control!$C$114=0),$HF214,0)</f>
        <v>0</v>
      </c>
      <c r="HM214" s="201" t="e">
        <f t="shared" ca="1" si="752"/>
        <v>#DIV/0!</v>
      </c>
      <c r="HN214" s="215">
        <f t="shared" ca="1" si="871"/>
        <v>210</v>
      </c>
      <c r="HO214" s="216" t="e">
        <f ca="1">IF(AND($CP214&gt;=0, $CP214&lt;=90), Control!$C$152, Control!$C$152)</f>
        <v>#N/A</v>
      </c>
      <c r="HP214" s="216" t="e">
        <f t="shared" ca="1" si="753"/>
        <v>#N/A</v>
      </c>
      <c r="HQ214" s="217" t="e">
        <f ca="1">IF(OR(Control!$B$26=1,Control!$B$26=2),$KV214,$KS214)</f>
        <v>#DIV/0!</v>
      </c>
      <c r="HR214" s="218" t="e">
        <f t="shared" ca="1" si="908"/>
        <v>#DIV/0!</v>
      </c>
      <c r="HS214" s="216" t="e">
        <f ca="1">Control!$C$154*$HP214</f>
        <v>#N/A</v>
      </c>
      <c r="HT214" s="216" t="e">
        <f ca="1">Control!$C$155*$HP214</f>
        <v>#N/A</v>
      </c>
      <c r="HU214" s="217" t="e">
        <f ca="1">Control!$C$161*$FI214</f>
        <v>#N/A</v>
      </c>
      <c r="HV214" s="218" t="e">
        <f t="shared" ca="1" si="872"/>
        <v>#N/A</v>
      </c>
      <c r="HW214" s="218" t="e">
        <f ca="1">Control!$C$160*$FF214+$IP214*$EO214</f>
        <v>#N/A</v>
      </c>
      <c r="HX214" s="218" t="e">
        <f t="shared" ca="1" si="909"/>
        <v>#N/A</v>
      </c>
      <c r="HY214" s="219" t="e">
        <f ca="1">IF(Control!$C$114=1, $EB214*$FS214, 0)</f>
        <v>#N/A</v>
      </c>
      <c r="HZ214" s="91" t="e">
        <f t="shared" ca="1" si="754"/>
        <v>#N/A</v>
      </c>
      <c r="IA214" s="220" t="e">
        <f ca="1">Control!$C$153*$HO214</f>
        <v>#N/A</v>
      </c>
      <c r="IB214" s="218" t="e">
        <f t="shared" ca="1" si="755"/>
        <v>#N/A</v>
      </c>
      <c r="IC214" s="220" t="e">
        <f ca="1">Control!$C$153*$HT214</f>
        <v>#N/A</v>
      </c>
      <c r="ID214" s="218" t="e">
        <f t="shared" ca="1" si="756"/>
        <v>#N/A</v>
      </c>
      <c r="IE214" s="221" t="e">
        <f ca="1">($EB214*Control!$C$159+$EF214*Control!$C$160)/(IF($GZ214&lt;&gt;0,$GZ214,1))</f>
        <v>#N/A</v>
      </c>
      <c r="IF214" s="216" t="e">
        <f t="shared" ca="1" si="757"/>
        <v>#N/A</v>
      </c>
      <c r="IG214" s="91">
        <f ca="1">IF(OR(Control!$B$198=$AH214,Control!$B$199=$AH214, Control!$B$200=$AH214, Control!$B$201=$AH214, Control!$B$202=$AH214, Control!$B$203=$AH214, Control!$B$204=$AH214, Control!$B$205=$AH214, Control!$B$206=$AH214, Control!$B$207=$AH214), 1, 0)</f>
        <v>0</v>
      </c>
      <c r="IH214" s="91">
        <f ca="1">IF($IG214=0,0, VLOOKUP($AH214,Control!$B$198:$C$207,2))</f>
        <v>0</v>
      </c>
      <c r="II214" s="222">
        <f t="shared" ca="1" si="873"/>
        <v>0</v>
      </c>
      <c r="IJ214" s="91">
        <f>Control!$C$121</f>
        <v>0.7</v>
      </c>
      <c r="IK214" s="218">
        <f t="shared" ca="1" si="758"/>
        <v>0</v>
      </c>
      <c r="IL214" s="217" t="e">
        <f t="shared" ca="1" si="910"/>
        <v>#N/A</v>
      </c>
      <c r="IM214" s="223" t="e">
        <f ca="1">IF(AND(Control!$C$114=1,$KH214&lt;1),$EB214*Control!$C$148*(1-$KH214), 0)</f>
        <v>#N/A</v>
      </c>
      <c r="IN214" s="217" t="e">
        <f t="shared" ca="1" si="759"/>
        <v>#DIV/0!</v>
      </c>
      <c r="IO214" s="91" t="e">
        <f ca="1">MAX(0,$IL214-$EF214*Control!$C$160)</f>
        <v>#N/A</v>
      </c>
      <c r="IP214" s="220" t="e">
        <f t="shared" ca="1" si="760"/>
        <v>#N/A</v>
      </c>
      <c r="IQ214" s="217" t="e">
        <f t="shared" ca="1" si="874"/>
        <v>#N/A</v>
      </c>
      <c r="IR214" s="218" t="e">
        <f t="shared" ca="1" si="761"/>
        <v>#N/A</v>
      </c>
      <c r="IS214" s="217" t="e">
        <f ca="1">Control!$C$159*MAX(0,$FD214-$EN214)</f>
        <v>#N/A</v>
      </c>
      <c r="IT214" s="217" t="e">
        <f t="shared" ca="1" si="911"/>
        <v>#N/A</v>
      </c>
      <c r="IU214" s="217" t="e">
        <f t="shared" ca="1" si="875"/>
        <v>#N/A</v>
      </c>
      <c r="IV214" s="217" t="e">
        <f t="shared" ca="1" si="912"/>
        <v>#N/A</v>
      </c>
      <c r="IW214" s="217" t="e">
        <f ca="1">IF(OR($AW214=1,AND($AW214=0, Control!$B$18=1,$EN214&lt;&gt;0)), $IQ214-$IU214, $IQ214)</f>
        <v>#N/A</v>
      </c>
      <c r="IX214" s="218" t="e">
        <f t="shared" ca="1" si="762"/>
        <v>#N/A</v>
      </c>
      <c r="IY214" s="218" t="e">
        <f ca="1">MAX(0,$IQ214-$EB214*Control!$C$159)</f>
        <v>#N/A</v>
      </c>
      <c r="IZ214" s="218" t="e">
        <f t="shared" ca="1" si="763"/>
        <v>#N/A</v>
      </c>
      <c r="JA214" s="216" t="e">
        <f t="shared" ca="1" si="764"/>
        <v>#N/A</v>
      </c>
      <c r="JB214" s="217" t="e">
        <f t="shared" ca="1" si="765"/>
        <v>#N/A</v>
      </c>
      <c r="JC214" s="222" t="e">
        <f ca="1">MAX(Control!$C$157*$EK214-$JT214, 0)/Control!$C$162</f>
        <v>#N/A</v>
      </c>
      <c r="JD214" s="218" t="e">
        <f t="shared" ca="1" si="766"/>
        <v>#N/A</v>
      </c>
      <c r="JE214" s="218" t="e">
        <f t="shared" ca="1" si="767"/>
        <v>#N/A</v>
      </c>
      <c r="JF214" s="218" t="e">
        <f t="shared" ca="1" si="876"/>
        <v>#N/A</v>
      </c>
      <c r="JG214" s="218" t="e">
        <f t="shared" ca="1" si="768"/>
        <v>#N/A</v>
      </c>
      <c r="JH214" s="217" t="e">
        <f t="shared" ca="1" si="877"/>
        <v>#N/A</v>
      </c>
      <c r="JI214" s="217" t="e">
        <f t="shared" ca="1" si="878"/>
        <v>#N/A</v>
      </c>
      <c r="JJ214" s="217" t="e">
        <f t="shared" ca="1" si="913"/>
        <v>#N/A</v>
      </c>
      <c r="JK214" s="217" t="e">
        <f ca="1">IF(Control!$C$114=1,IF(Control!$B$24=0,MAX(0,$JI214)*$GN214/Control!$C$64,(MAX(0,MIN($JI214,$JJ214*$GN214/Control!$C$64),0))))</f>
        <v>#N/A</v>
      </c>
      <c r="JL214" s="217" t="e">
        <f ca="1">$IK214/Control!$C$64-$JK214+$HQ214</f>
        <v>#N/A</v>
      </c>
      <c r="JM214" s="217" t="e">
        <f ca="1">IF(Control!$C$114=1,($JB214/(IF($JI214&lt;&gt;0,$JI214,1)))*$JK214,0)</f>
        <v>#N/A</v>
      </c>
      <c r="JN214" s="217" t="e">
        <f ca="1">IF(Control!$C$114=1,($JG214/(IF($JI214&lt;&gt;0,$JI214,1)))*$JK214, 0)</f>
        <v>#N/A</v>
      </c>
      <c r="JO214" s="218" t="e">
        <f t="shared" ca="1" si="769"/>
        <v>#N/A</v>
      </c>
      <c r="JP214" s="218" t="e">
        <f ca="1">MIN(($IY214+$IO214)*Control!$C$151, $JF214-$EH214*Control!$C$161)</f>
        <v>#N/A</v>
      </c>
      <c r="JQ214" s="218" t="e">
        <f t="shared" ca="1" si="770"/>
        <v>#N/A</v>
      </c>
      <c r="JR214" s="217" t="e">
        <f ca="1">IF($CP214-Control!$C$150&lt;0, 0, $JQ214/Control!$C$162)</f>
        <v>#N/A</v>
      </c>
      <c r="JS214" s="218" t="e">
        <f t="shared" ca="1" si="771"/>
        <v>#N/A</v>
      </c>
      <c r="JT214" s="218" t="e">
        <f t="shared" ca="1" si="879"/>
        <v>#N/A</v>
      </c>
      <c r="JU214" s="218" t="e">
        <f t="shared" ca="1" si="772"/>
        <v>#N/A</v>
      </c>
      <c r="JV214" s="218" t="e">
        <f t="shared" ca="1" si="773"/>
        <v>#N/A</v>
      </c>
      <c r="JW214" s="216" t="e">
        <f t="shared" ca="1" si="774"/>
        <v>#N/A</v>
      </c>
      <c r="JX214" s="91" t="e">
        <f t="shared" ca="1" si="775"/>
        <v>#N/A</v>
      </c>
      <c r="JY214" s="218" t="e">
        <f t="shared" ca="1" si="776"/>
        <v>#N/A</v>
      </c>
      <c r="JZ214" s="217" t="e">
        <f ca="1">IF(Control!$C$114=1,($IZ214/(IF($JI214&lt;&gt;0,$JI214,1)))*$JK214, 0)</f>
        <v>#N/A</v>
      </c>
      <c r="KA214" s="218" t="e">
        <f t="shared" ca="1" si="914"/>
        <v>#N/A</v>
      </c>
      <c r="KB214" s="218" t="e">
        <f t="shared" ca="1" si="880"/>
        <v>#N/A</v>
      </c>
      <c r="KC214" s="218" t="e">
        <f t="shared" ca="1" si="777"/>
        <v>#N/A</v>
      </c>
      <c r="KD214" s="218" t="e">
        <f t="shared" ca="1" si="778"/>
        <v>#N/A</v>
      </c>
      <c r="KE214" s="218" t="e">
        <f t="shared" ca="1" si="779"/>
        <v>#N/A</v>
      </c>
      <c r="KF214" s="218" t="e">
        <f t="shared" ca="1" si="780"/>
        <v>#N/A</v>
      </c>
      <c r="KG214" s="216" t="e">
        <f t="shared" ca="1" si="781"/>
        <v>#N/A</v>
      </c>
      <c r="KH214" s="221" t="e">
        <f ca="1">IF(Control!$B$24=0,1,MAX(0.001,MIN(1,IF(($IF214-$IE214)&lt;&gt;0,($KG214-$IE214)/($IF214-$IE214),1))))</f>
        <v>#N/A</v>
      </c>
      <c r="KI214" s="222" t="e">
        <f ca="1">IF(Control!$C$114=1, $KI213+ $KH213, 0)</f>
        <v>#N/A</v>
      </c>
      <c r="KJ214" s="217" t="e">
        <f t="shared" ca="1" si="782"/>
        <v>#N/A</v>
      </c>
      <c r="KK214" s="218" t="e">
        <f t="shared" ca="1" si="783"/>
        <v>#N/A</v>
      </c>
      <c r="KL214" s="274" t="e">
        <f ca="1">IF(Control!$B$26=3,4000000000*EXP(-8400/($G214+273)),IF(Control!$B$26=4,4000000000*EXP(-8400/($G214+273))*($KT214),0))</f>
        <v>#DIV/0!</v>
      </c>
      <c r="KM214" s="274" t="e">
        <f ca="1">IF(Control!$B$26=3,5600000000000*EXP(-9800/($G214+273)),IF(Control!$B$26=4,5600000000000*EXP(-9800/($G214+273))*$KT214,0))</f>
        <v>#DIV/0!</v>
      </c>
      <c r="KN214" s="454" t="e">
        <f t="shared" ca="1" si="881"/>
        <v>#DIV/0!</v>
      </c>
      <c r="KO214" s="274" t="e">
        <f t="shared" ca="1" si="882"/>
        <v>#DIV/0!</v>
      </c>
      <c r="KP214" s="454" t="e">
        <f t="shared" ca="1" si="784"/>
        <v>#DIV/0!</v>
      </c>
      <c r="KQ214" s="454" t="e">
        <f t="shared" ca="1" si="785"/>
        <v>#DIV/0!</v>
      </c>
      <c r="KR214" s="454" t="e">
        <f t="shared" ca="1" si="786"/>
        <v>#DIV/0!</v>
      </c>
      <c r="KS214" s="454" t="e">
        <f t="shared" ca="1" si="787"/>
        <v>#DIV/0!</v>
      </c>
      <c r="KT214" s="455" t="e">
        <f t="shared" ca="1" si="788"/>
        <v>#DIV/0!</v>
      </c>
      <c r="KU214" s="456" t="e">
        <f ca="1">IF($CP214-Control!$C$149&lt;0, IF($NT214-0.01&lt;0,0,1),0)</f>
        <v>#N/A</v>
      </c>
      <c r="KV214" s="456" t="e">
        <f ca="1">IF(Control!$C$114=1,MAX(0,MIN(Control!$C$125*$KW214*$GN214,$KW214)))</f>
        <v>#DIV/0!</v>
      </c>
      <c r="KW214" s="456" t="e">
        <f t="shared" ca="1" si="915"/>
        <v>#DIV/0!</v>
      </c>
      <c r="KX214" s="457" t="e">
        <f ca="1">IF($CP214-Control!$C$149&lt;0, IF($MR214-$OM214&lt;0,0,1),0)</f>
        <v>#N/A</v>
      </c>
      <c r="KY214" s="167">
        <f t="shared" ca="1" si="883"/>
        <v>210</v>
      </c>
      <c r="KZ214" s="168">
        <f ca="1">1370*(1+0.033*COS(2*Control!$C$138*$AH214/365))</f>
        <v>1329.7620275085046</v>
      </c>
      <c r="LA214" s="169">
        <f t="shared" ca="1" si="884"/>
        <v>0.97062908997765562</v>
      </c>
      <c r="LB214" s="169">
        <f t="shared" ca="1" si="885"/>
        <v>0.32455905102537808</v>
      </c>
      <c r="LC214" s="169">
        <f ca="1">ACOS(-TAN((2*Control!$B$8/360))*TAN(Calculations!$LB214))</f>
        <v>1.6709597476296529</v>
      </c>
      <c r="LD214" s="169">
        <f ca="1">((24*60)/PI())*0.082*$LA214*(($LC214*SIN(Control!$B$8*2*PI()/360))*SIN($LB214)+COS(Control!$B$8*2*PI()/360)*COS($LB214)*SIN($LC214))</f>
        <v>36.499918278025511</v>
      </c>
      <c r="LE214" s="170">
        <f t="shared" ca="1" si="789"/>
        <v>37.614781672725684</v>
      </c>
      <c r="LF214" s="170">
        <f ca="1">SIN(Control!$C$139*Control!$B$8)*SIN($HD214)</f>
        <v>0.25048676412365073</v>
      </c>
      <c r="LG214" s="170">
        <f ca="1">COS(Control!$C$139*Control!$B$8)*COS($HD214)</f>
        <v>0.58372782128372258</v>
      </c>
      <c r="LH214" s="170">
        <f ca="1">12*(1+2*ASIN(MAX(-1,MIN(1,$LF214/$LG214))/Control!$C$138))</f>
        <v>15.288474908161941</v>
      </c>
      <c r="LI214" s="170">
        <f ca="1">12*(1+2*ASIN(MAX(-1,MIN(1,(-SIN(-4*Control!$C$139)+$LF214)/$LG214))/Control!$C$138))</f>
        <v>16.212720084352824</v>
      </c>
      <c r="LJ214" s="168">
        <f ca="1">3600*($LH214*$LF214+24*$LG214*SQRT(1-$LK214*$LK214)/Control!$C$138)</f>
        <v>28286.852004040335</v>
      </c>
      <c r="LK214" s="170">
        <f t="shared" ca="1" si="790"/>
        <v>0.42911568541102807</v>
      </c>
      <c r="LL214" s="170">
        <f t="shared" ca="1" si="791"/>
        <v>0</v>
      </c>
      <c r="LM214" s="171">
        <f ca="1">Control!$C$145*$AB214</f>
        <v>6.6660906138995932E-2</v>
      </c>
      <c r="LN214" s="170">
        <f t="shared" ca="1" si="886"/>
        <v>0.54</v>
      </c>
      <c r="LO214" s="170">
        <f t="shared" ca="1" si="792"/>
        <v>0</v>
      </c>
      <c r="LP214" s="170">
        <f ca="1">Control!$C$140*((($D214+273.16)^4+($E214+273.16)^4)/2)*(0.34-0.14*SQRT($Y214))*(1.35*$AQ214/(0.75*$LD214)-0.35)</f>
        <v>-3.2464704755046001</v>
      </c>
      <c r="LQ214" s="170">
        <f ca="1">Control!$C$140*($G214+273)^4*(0.56-0.079*SQRT($Y214*10))*(0.1+0.9*$LO214)</f>
        <v>1.5241745131704001</v>
      </c>
      <c r="LR214" s="170">
        <f ca="1">$AQ214*(1-Control!$C$142)-$LQ214</f>
        <v>-1.5241745131704001</v>
      </c>
      <c r="LS214" s="170">
        <f ca="1">$AQ214*(1-Control!$C$143)-$LQ214</f>
        <v>-1.5241745131704001</v>
      </c>
      <c r="LT214" s="170">
        <f ca="1">$AQ214*(1-Control!$C$144)-$LQ214</f>
        <v>-1.5241745131704001</v>
      </c>
      <c r="LU214" s="169">
        <f ca="1">(1-Control!$C$144)*AQ214-LP214</f>
        <v>3.2464704755046001</v>
      </c>
      <c r="LV214" s="172">
        <f t="shared" ca="1" si="793"/>
        <v>0.79430000000000012</v>
      </c>
      <c r="LW214" s="170">
        <f t="shared" ca="1" si="794"/>
        <v>1.5886000000000002</v>
      </c>
      <c r="LX214" s="170">
        <f ca="1">($AC214*($LR214/Control!$C$141)+$LM214*$LV214)/($AC214+$LM214)</f>
        <v>0.23530094218323697</v>
      </c>
      <c r="LY214" s="170">
        <f ca="1">($AC214*($LS214/Control!$C$141)+$LM214*$LV214)/($AC214+$LM214)</f>
        <v>0.23530094218323697</v>
      </c>
      <c r="LZ214" s="170">
        <f t="shared" ca="1" si="795"/>
        <v>0.23530094218323697</v>
      </c>
      <c r="MA214" s="170">
        <f t="shared" ca="1" si="796"/>
        <v>0.23530094218323697</v>
      </c>
      <c r="MB214" s="170" t="e">
        <f t="shared" ca="1" si="797"/>
        <v>#N/A</v>
      </c>
      <c r="MC214" s="170">
        <f t="shared" ca="1" si="887"/>
        <v>0.6018</v>
      </c>
      <c r="MD214" s="170">
        <f t="shared" ca="1" si="798"/>
        <v>0.52989392535414004</v>
      </c>
      <c r="ME214" s="170">
        <f ca="1">($AC214*($LT214/Control!$C$141)+$LM214*$LW214)/($AC214+$LM214)</f>
        <v>0.71612369323045078</v>
      </c>
      <c r="MF214" s="170" t="e">
        <f ca="1">IF(Control!$B$16&gt;=1000,0.92,IF(AND(720&lt;=Control!$B$16,1000&gt;Control!$B$16),(0.95+(Control!$B$16-720)*((0.92-0.95)/(1000-720))),IF(AND(360&lt;=Control!$B$16,720&gt;Control!$B$16),(1+(Control!$B$16-360)*((0.95-1)/(720-360))),IF(AND(40&lt;=Control!$B$16,360&gt;Control!$B$16),(1.05+(Control!$B$16-40)*((1.05-1)/(360-40)))))))</f>
        <v>#N/A</v>
      </c>
      <c r="MG214" s="170">
        <f t="shared" ca="1" si="799"/>
        <v>0.71612369323045078</v>
      </c>
      <c r="MH214" s="170" t="e">
        <f t="shared" ca="1" si="924"/>
        <v>#N/A</v>
      </c>
      <c r="MI214" s="170" t="e">
        <f t="shared" ca="1" si="924"/>
        <v>#N/A</v>
      </c>
      <c r="MJ214" s="170" t="e">
        <f ca="1">MAX(0.0001, Control!$C$132*$MI214*$DL214)</f>
        <v>#N/A</v>
      </c>
      <c r="MK214" s="170">
        <f ca="1">1/(0.76+1.5*($MG214/10))-(5-Control!$C$110)*0.1</f>
        <v>1.002845988140797</v>
      </c>
      <c r="ML214" s="173">
        <f ca="1">IF(Control!$C$110&lt;3,$MK214+($MG214-0.6)/(Control!$C$110*(Control!$C$110+3)), MAX(0.1, MIN(0.95,$MK214)))</f>
        <v>0.95</v>
      </c>
      <c r="MM214" s="173">
        <f ca="1">IF(Control!$C$110&lt;3,$MK214+(($MI214/10)-0.6)/(Control!$C$110*(Control!$C$110+3)), MAX(0.1, MIN(0.95,$MK214)))</f>
        <v>0.95</v>
      </c>
      <c r="MN214" s="173">
        <f ca="1">(1-$MM214)*(Control!$C$128-Control!$C$127)+Control!$C$127</f>
        <v>0.16</v>
      </c>
      <c r="MO214" s="170" t="e">
        <f ca="1">MAX(0,MIN(1,($MS214-Control!$C$127)/($MN214-Control!$C$127)))</f>
        <v>#DIV/0!</v>
      </c>
      <c r="MP214" s="173" t="e">
        <f ca="1">1/(0.76+1.5*$MI214)-(5-Control!$C$110)*0.1</f>
        <v>#N/A</v>
      </c>
      <c r="MQ214" s="172" t="e">
        <f t="shared" ca="1" si="916"/>
        <v>#DIV/0!</v>
      </c>
      <c r="MR214" s="168" t="e">
        <f t="shared" ca="1" si="888"/>
        <v>#DIV/0!</v>
      </c>
      <c r="MS214" s="173" t="e">
        <f ca="1">MAX(Control!$C$127, MIN(Control!$C$135, $MR214/MAX(0.0001,$CY214)))</f>
        <v>#DIV/0!</v>
      </c>
      <c r="MT214" s="168" t="e">
        <f ca="1">(Control!$C$128-$MS214)*Control!$C$74</f>
        <v>#DIV/0!</v>
      </c>
      <c r="MU214" s="168" t="e">
        <f ca="1">(Control!$C$135-$MS214)*Control!$C$74</f>
        <v>#DIV/0!</v>
      </c>
      <c r="MV214" s="168" t="e">
        <f t="shared" ca="1" si="889"/>
        <v>#DIV/0!</v>
      </c>
      <c r="MW214" s="168" t="e">
        <f t="shared" ca="1" si="890"/>
        <v>#DIV/0!</v>
      </c>
      <c r="MX214" s="171" t="e">
        <f ca="1">MAX(Control!$C$127, MIN(Control!$C$135, $MW214/MAX(0.0001,Control!$C$119-$CY214)))</f>
        <v>#DIV/0!</v>
      </c>
      <c r="MY214" s="54" t="e">
        <f ca="1">IF(Control!$C$114=1, $CX214*$MX214, 0)</f>
        <v>#DIV/0!</v>
      </c>
      <c r="MZ214" s="54" t="e">
        <f t="shared" ca="1" si="891"/>
        <v>#N/A</v>
      </c>
      <c r="NA214" s="168" t="e">
        <f ca="1">(Control!$C$128-$MX214)*(Control!$C$119-Control!$C$74)</f>
        <v>#DIV/0!</v>
      </c>
      <c r="NB214" s="168" t="e">
        <f ca="1">(Control!$C$135-$MX214)*(Control!$C$119-Control!$C$74)</f>
        <v>#DIV/0!</v>
      </c>
      <c r="NC214" s="174" t="e">
        <f t="shared" ca="1" si="892"/>
        <v>#DIV/0!</v>
      </c>
      <c r="ND214" s="54">
        <f ca="1">IF(Control!$C$58=2, IF(OR(Control!$B$218=$AH214,Control!$B$219=$AH214, Control!$B$220=$AH214, Control!$B$221=$AH214, Control!$B$222=$AH214, Control!$B$223=$AH214, Control!$B$224=$AH214, Control!$B$225=$AH214, Control!$B$226=$AH214, Control!$B$227=$AH214, Control!$B$228=$AH214), 1, 0), 0)</f>
        <v>0</v>
      </c>
      <c r="NE214" s="54">
        <f ca="1">IF($ND214=0,0, VLOOKUP($AH214,Control!$B$218:$C$228,2))</f>
        <v>0</v>
      </c>
      <c r="NF214" s="168" t="e">
        <f ca="1">$CY214*(Control!$C$128-Control!$C$127)</f>
        <v>#N/A</v>
      </c>
      <c r="NG214" s="54" t="e">
        <f ca="1">IF(Control!$C$58=2, $NI213-$NJ213, 0)</f>
        <v>#DIV/0!</v>
      </c>
      <c r="NH214" s="54" t="e">
        <f ca="1">IF(AND(Control!$C$58=1, $MS213&lt;= ($MN213+0.02), $I213&lt;10), 0, IF(Control!$C$58=2, $NG213, 0))</f>
        <v>#DIV/0!</v>
      </c>
      <c r="NI214" s="54" t="e">
        <f ca="1">IF(Control!$C$58=2, $NE214+$NH214,0)</f>
        <v>#DIV/0!</v>
      </c>
      <c r="NJ214" s="54" t="e">
        <f ca="1">IF(AND(Control!$C$58=1, $MS214&lt;= ($MN214+0.02), $I214&lt;10), MAX(0, MIN(10, 0.7*($NF214-$MV214))), IF(Control!$C$58=2, MIN(10,$NI214),0))</f>
        <v>#DIV/0!</v>
      </c>
      <c r="NK214" s="54" t="e">
        <f t="shared" ca="1" si="800"/>
        <v>#DIV/0!</v>
      </c>
      <c r="NL214" s="173" t="e">
        <f ca="1">(1-Control!$C$73)*$I214+$NJ214</f>
        <v>#DIV/0!</v>
      </c>
      <c r="NM214" s="172" t="e">
        <f ca="1">IF($NL214&lt;0.5, $MB214* MAX(0, MIN(1, (SQRT($NC214)-SQRT($NC214-1))*Control!$C$71)),0)</f>
        <v>#DIV/0!</v>
      </c>
      <c r="NN214" s="170" t="e">
        <f ca="1">IF($NL214&gt;=5, $MB214, MAX(0,MIN($MB214, $NM214+$NL214,($MS214-Control!$C$129))))</f>
        <v>#DIV/0!</v>
      </c>
      <c r="NO214" s="54">
        <f>IF(Control!$C$133&lt;&gt;1, Control!$C$135-Control!$C$131, 0)</f>
        <v>0.38</v>
      </c>
      <c r="NP214" s="54" t="e">
        <f t="shared" ca="1" si="801"/>
        <v>#DIV/0!</v>
      </c>
      <c r="NQ214" s="173" t="e">
        <f ca="1">MAX(0,MIN(1,(Control!$C$135-$MS214)/(Control!$C$135-$NO214)))</f>
        <v>#DIV/0!</v>
      </c>
      <c r="NR214" s="170" t="e">
        <f ca="1">IF(Control!$C$133&lt;&gt;1, $NQ214+((1-$NP214/4)*(1-$NQ214)),1)</f>
        <v>#DIV/0!</v>
      </c>
      <c r="NS214" s="170" t="e">
        <f ca="1">IF(Control!$B$31=0,$MJ214,MAX(0,MIN($MV214,$MO214*$NR214*$MJ214)))</f>
        <v>#DIV/0!</v>
      </c>
      <c r="NT214" s="170" t="e">
        <f t="shared" ca="1" si="917"/>
        <v>#DIV/0!</v>
      </c>
      <c r="NU214" s="170" t="e">
        <f t="shared" ca="1" si="893"/>
        <v>#N/A</v>
      </c>
      <c r="NV214" s="170" t="e">
        <f t="shared" ca="1" si="802"/>
        <v>#N/A</v>
      </c>
      <c r="NW214" s="175" t="e">
        <f t="shared" ca="1" si="803"/>
        <v>#DIV/0!</v>
      </c>
      <c r="NX214" s="170" t="e">
        <f ca="1">MIN(Control!$C$72+$MU214, $NW214)</f>
        <v>#DIV/0!</v>
      </c>
      <c r="NY214" s="170" t="e">
        <f ca="1">IF($MT214&lt;=$NX214,MIN(Control!$C$72+$NB214,$NX214-$MT214),0)</f>
        <v>#DIV/0!</v>
      </c>
      <c r="NZ214" s="54" t="e">
        <f ca="1">IF(Control!$C$114=1,  $CX214*($MX214-Control!$C$127), 0)</f>
        <v>#DIV/0!</v>
      </c>
      <c r="OA214" s="170" t="e">
        <f t="shared" ca="1" si="804"/>
        <v>#DIV/0!</v>
      </c>
      <c r="OB214" s="170" t="e">
        <f ca="1">IF($NA214 &lt;=$NY214, MIN(Control!$C$72, $NY214-$NA214), 0)</f>
        <v>#DIV/0!</v>
      </c>
      <c r="OC214" s="168" t="e">
        <f t="shared" ca="1" si="805"/>
        <v>#DIV/0!</v>
      </c>
      <c r="OD214" s="168" t="e">
        <f t="shared" ca="1" si="894"/>
        <v>#DIV/0!</v>
      </c>
      <c r="OE214" s="170">
        <f ca="1">Control!$C$73*$I214</f>
        <v>0</v>
      </c>
      <c r="OF214" s="176" t="e">
        <f t="shared" ca="1" si="806"/>
        <v>#DIV/0!</v>
      </c>
      <c r="OG214" s="168" t="e">
        <f t="shared" ca="1" si="807"/>
        <v>#DIV/0!</v>
      </c>
      <c r="OH214" s="168" t="e">
        <f t="shared" ca="1" si="808"/>
        <v>#DIV/0!</v>
      </c>
      <c r="OI214" s="168" t="e">
        <f t="shared" ca="1" si="809"/>
        <v>#DIV/0!</v>
      </c>
      <c r="OJ214" s="168" t="e">
        <f t="shared" ca="1" si="810"/>
        <v>#DIV/0!</v>
      </c>
      <c r="OK214" s="204" t="e">
        <f t="shared" ca="1" si="811"/>
        <v>#DIV/0!</v>
      </c>
      <c r="OL214" s="177">
        <f>Control!$C$127</f>
        <v>0.15</v>
      </c>
      <c r="OM214" s="182" t="e">
        <f t="shared" ca="1" si="812"/>
        <v>#N/A</v>
      </c>
      <c r="ON214" s="177">
        <f>Control!$C$128</f>
        <v>0.35</v>
      </c>
      <c r="OO214" s="182" t="e">
        <f t="shared" ca="1" si="813"/>
        <v>#N/A</v>
      </c>
      <c r="OP214" s="138">
        <f t="shared" ca="1" si="895"/>
        <v>0</v>
      </c>
      <c r="OQ214" s="138" t="e">
        <f t="shared" ca="1" si="918"/>
        <v>#DIV/0!</v>
      </c>
      <c r="OR214" s="138" t="e">
        <f t="shared" ca="1" si="896"/>
        <v>#DIV/0!</v>
      </c>
      <c r="OS214" s="137" t="e">
        <f t="shared" ca="1" si="919"/>
        <v>#DIV/0!</v>
      </c>
      <c r="OT214" s="139" t="e">
        <f t="shared" ca="1" si="920"/>
        <v>#DIV/0!</v>
      </c>
      <c r="OU214" s="138" t="e">
        <f t="shared" ca="1" si="921"/>
        <v>#N/A</v>
      </c>
      <c r="OV214" s="138" t="e">
        <f t="shared" ca="1" si="922"/>
        <v>#DIV/0!</v>
      </c>
      <c r="OW214" s="138" t="e">
        <f t="shared" ca="1" si="897"/>
        <v>#DIV/0!</v>
      </c>
      <c r="OX214" s="138" t="e">
        <f t="shared" ca="1" si="898"/>
        <v>#DIV/0!</v>
      </c>
      <c r="OY214" s="138" t="e">
        <f t="shared" ca="1" si="899"/>
        <v>#DIV/0!</v>
      </c>
      <c r="OZ214" s="138" t="e">
        <f t="shared" ca="1" si="814"/>
        <v>#DIV/0!</v>
      </c>
      <c r="PA214" s="138" t="e">
        <f t="shared" ca="1" si="815"/>
        <v>#DIV/0!</v>
      </c>
      <c r="PB214" s="55">
        <f>IF(Control!$C$61="T", IF(Control!$C$65="F", IF($AH$6-Control!$C$60&lt;0,0,1), IF(365+$AH$6-Control!$C$60&lt;0,0,1)),0)</f>
        <v>0</v>
      </c>
      <c r="PC214" s="55">
        <f ca="1">IF(Control!$C$65="F", IF($AH$6-$HF214&lt;0,0,1), IF(365+$AH$6-$HF214&lt;0,0,1))</f>
        <v>1</v>
      </c>
      <c r="PD214" s="444">
        <f>Control!$C$118</f>
        <v>1500</v>
      </c>
      <c r="PE214" s="180" t="e">
        <f t="shared" ca="1" si="816"/>
        <v>#N/A</v>
      </c>
      <c r="PF214" s="445">
        <f t="shared" ca="1" si="900"/>
        <v>0.71612369323045078</v>
      </c>
      <c r="PT214" s="186"/>
      <c r="PU214" s="186"/>
      <c r="PV214" s="94"/>
      <c r="PW214" s="94"/>
      <c r="PX214" s="94"/>
      <c r="PY214" s="94"/>
      <c r="PZ214" s="94"/>
      <c r="QA214" s="94"/>
      <c r="QB214" s="94"/>
      <c r="QC214" s="94"/>
      <c r="QD214" s="94"/>
      <c r="QE214" s="94"/>
      <c r="QF214" s="94"/>
      <c r="QG214" s="94"/>
      <c r="QH214" s="94"/>
      <c r="QI214" s="94"/>
      <c r="QJ214" s="94"/>
      <c r="QK214" s="94"/>
      <c r="QL214" s="94"/>
      <c r="QM214" s="94"/>
      <c r="QN214" s="94"/>
      <c r="QO214" s="94"/>
      <c r="QP214" s="94"/>
    </row>
    <row r="215" spans="1:458" s="2" customFormat="1" x14ac:dyDescent="0.2">
      <c r="A215" s="395">
        <v>29</v>
      </c>
      <c r="B215" s="396">
        <v>7</v>
      </c>
      <c r="C215" s="387">
        <f ca="1">Weather_data!$B214</f>
        <v>0</v>
      </c>
      <c r="D215" s="388">
        <f ca="1">Weather_data!$F214</f>
        <v>0</v>
      </c>
      <c r="E215" s="388">
        <f ca="1">Weather_data!$E214</f>
        <v>0</v>
      </c>
      <c r="F215" s="388">
        <f t="shared" ca="1" si="817"/>
        <v>0</v>
      </c>
      <c r="G215" s="388">
        <f ca="1">AVERAGE($D215:$E215)+Control!$B$9</f>
        <v>0</v>
      </c>
      <c r="H215" s="388">
        <f ca="1">Weather_data!$G214</f>
        <v>0</v>
      </c>
      <c r="I215" s="388">
        <f ca="1">Weather_data!$I214</f>
        <v>0</v>
      </c>
      <c r="J215" s="388">
        <f ca="1">Weather_data!$H214</f>
        <v>0</v>
      </c>
      <c r="K215" s="389">
        <f ca="1">Weather_data!$D214</f>
        <v>0</v>
      </c>
      <c r="L215" s="388" t="e">
        <f t="shared" ca="1" si="818"/>
        <v>#N/A</v>
      </c>
      <c r="M215" s="388" t="e">
        <f t="shared" ca="1" si="696"/>
        <v>#N/A</v>
      </c>
      <c r="N215" s="388">
        <f t="shared" ca="1" si="697"/>
        <v>-1.3666410991044661E-10</v>
      </c>
      <c r="O215" s="388">
        <f t="shared" ca="1" si="819"/>
        <v>1.366641099104466E-9</v>
      </c>
      <c r="P215" s="390">
        <v>3</v>
      </c>
      <c r="Q215" s="388">
        <f ca="1">MAX($G215-Control!$C$107,0)</f>
        <v>0</v>
      </c>
      <c r="R215" s="388">
        <f t="shared" ca="1" si="820"/>
        <v>0</v>
      </c>
      <c r="S215" s="388">
        <f t="shared" ca="1" si="698"/>
        <v>0</v>
      </c>
      <c r="T215" s="388">
        <f t="shared" ca="1" si="699"/>
        <v>0</v>
      </c>
      <c r="U215" s="59">
        <f t="shared" ca="1" si="700"/>
        <v>0</v>
      </c>
      <c r="V215" s="391">
        <f ca="1">MAX(0,MIN(Control!$C$100-Control!$C$99,$G215-Control!$C$99)*Control!$C$63)</f>
        <v>0</v>
      </c>
      <c r="W215" s="388">
        <f t="shared" ca="1" si="821"/>
        <v>0</v>
      </c>
      <c r="X215" s="388">
        <f t="shared" ca="1" si="822"/>
        <v>0.6110000000000001</v>
      </c>
      <c r="Y215" s="388">
        <f t="shared" ca="1" si="701"/>
        <v>0</v>
      </c>
      <c r="Z215" s="388">
        <f t="shared" ca="1" si="823"/>
        <v>0.61058800000000002</v>
      </c>
      <c r="AA215" s="388">
        <f t="shared" ca="1" si="702"/>
        <v>0.6018</v>
      </c>
      <c r="AB215" s="388">
        <f ca="1">101.3*EXP(-0.034*Control!$C$66/($G215+273))</f>
        <v>100.69623283836242</v>
      </c>
      <c r="AC215" s="392">
        <f t="shared" ca="1" si="703"/>
        <v>4.3460251046025113E-2</v>
      </c>
      <c r="AD215" s="392">
        <f t="shared" ca="1" si="704"/>
        <v>4.4450382862832649E-2</v>
      </c>
      <c r="AE215" s="388">
        <f t="shared" ca="1" si="705"/>
        <v>0</v>
      </c>
      <c r="AF215" s="388">
        <f ca="1">MAX(0,$G215-Control!$C$92)</f>
        <v>0</v>
      </c>
      <c r="AG215" s="393">
        <f t="shared" ca="1" si="706"/>
        <v>211</v>
      </c>
      <c r="AH215" s="389">
        <f t="shared" ca="1" si="707"/>
        <v>211</v>
      </c>
      <c r="AI215" s="388">
        <f t="shared" ca="1" si="824"/>
        <v>0.31909084847845492</v>
      </c>
      <c r="AJ215" s="388">
        <f ca="1">IF(Control!$C$60&lt;=0,$HH215,$HI215)</f>
        <v>1</v>
      </c>
      <c r="AK215" s="388">
        <f t="shared" ca="1" si="708"/>
        <v>2.2550610280562351</v>
      </c>
      <c r="AL215" s="388">
        <f t="shared" ca="1" si="709"/>
        <v>1.6227973825833076E-18</v>
      </c>
      <c r="AM215" s="388">
        <f t="shared" ca="1" si="710"/>
        <v>2.2550610280562351</v>
      </c>
      <c r="AN215" s="388">
        <f t="shared" ca="1" si="711"/>
        <v>0.31335171919352139</v>
      </c>
      <c r="AO215" s="388">
        <f ca="1">-0.10453/COS(Control!$B$8*PI()/180)*COS(AN215)</f>
        <v>-0.16151731788545842</v>
      </c>
      <c r="AP215" s="388">
        <f ca="1">ACOS(AO215-TAN(Control!$B$8*PI()/180)*TAN(AN215))</f>
        <v>2.1849329577778747</v>
      </c>
      <c r="AQ215" s="388">
        <f t="shared" ca="1" si="825"/>
        <v>0</v>
      </c>
      <c r="AR215" s="394">
        <f t="shared" ca="1" si="712"/>
        <v>0</v>
      </c>
      <c r="AS215" s="436">
        <f ca="1">IF(Control!$B$18=2,(IF(OR($AH215=Control!$B$175,$AH215=Control!$B$176,$AH215=Control!$B$177,$AH215=Control!$B$178,$AH215=Control!$B$179,$AH215=Control!$B$180,$AH215=Control!$B$181,$AH215=Control!$B$182,$AH215=Control!$B$183,$AH215=Control!$B$184,$AH215=Control!$B$185),1,0)),0)</f>
        <v>0</v>
      </c>
      <c r="AT215" s="436">
        <f>IF(Control!$B$20=8,IF(AND($AH215&gt;=Control!$B$172,$AH215&lt;=Control!$B$173),1,0),0)</f>
        <v>0</v>
      </c>
      <c r="AU215" s="436">
        <f>IF(Control!$B$20=8,IF($AV214=1,1*$AT215,IF($AT215=1,$AU214+1,$AU214)),0)</f>
        <v>0</v>
      </c>
      <c r="AV215" s="436">
        <f>IF(Control!$B$20=8,IF($AU215&gt;=Control!$B$174,1,0),0)</f>
        <v>0</v>
      </c>
      <c r="AW215" s="436">
        <f ca="1">IF(AND(Control!$B$18=2,Control!$B$171=1), $AV215, $AS215)</f>
        <v>0</v>
      </c>
      <c r="AX215" s="436" t="e">
        <f ca="1">IF(AND(Control!$B$18=1,$EU215&gt;=Control!$B$19),-$AY215,IF(AND(Control!$B$18=2,$AW215=1,$EU215&gt;$DS215),-$AY215, IF(Control!$C$108=0,0, IF(Control!$C$108&lt;&gt;0,1))))</f>
        <v>#N/A</v>
      </c>
      <c r="AY215" s="436" t="e">
        <f t="shared" ca="1" si="826"/>
        <v>#N/A</v>
      </c>
      <c r="AZ215" s="436" t="e">
        <f ca="1">IF(AND(Control!$B$18=1,$EB215&gt;Control!$B$19),$AZ214+1, IF(AND(Control!$B$18=2, $AW215=1, $EB215&gt;$DS215), $AZ214+1,$AZ214))</f>
        <v>#N/A</v>
      </c>
      <c r="BA215" s="587">
        <f>IF(Control!$C$81=0,1,IF($AH215&gt;=Control!$C$82,1,0))</f>
        <v>1</v>
      </c>
      <c r="BB215" s="140" t="e">
        <f ca="1">IF($BA215&gt;$BA214,Control!$C$83,IF($AW215&gt;0,$AW215*Control!$C$84,IF(AND(Control!$B$18=1,EN214&lt;&gt;0),Control!$C$84,0)))</f>
        <v>#N/A</v>
      </c>
      <c r="BC215" s="140" t="e">
        <f t="shared" ca="1" si="827"/>
        <v>#N/A</v>
      </c>
      <c r="BD215" s="140" t="e">
        <f ca="1">BC215*IF(OR($G215&lt;Control!$C$92,$G215&gt;Control!$C$95),0,IF(AND($G215&gt;=Control!$C$92,$G215&lt;=Control!$C$93),$G215-Control!$C$92,IF(AND($G215&gt;Control!$C$93,$G215&lt;=Control!$C$94),Control!$C$93-Control!$C$92,IF(AND($G215&gt;Control!$C$94,$G215&lt;=Control!$C$95),(Control!$C$93-Control!$C$92)*(Control!$C$94-$G215)/(Control!$C$95-Control!$C$94)))))</f>
        <v>#N/A</v>
      </c>
      <c r="BE215" s="140" t="e">
        <f t="shared" ca="1" si="828"/>
        <v>#N/A</v>
      </c>
      <c r="BF215" s="140" t="e">
        <f ca="1">IF($BE215&lt;=Control!$C$86,$BE215,Control!$C$86-$BE215)</f>
        <v>#N/A</v>
      </c>
      <c r="BG215" s="140" t="e">
        <f ca="1">IF(AND($AW215=1,Control!$C$84&lt;9),1,IF($BE215&gt;=Control!$C$86,0,$BC215))</f>
        <v>#N/A</v>
      </c>
      <c r="BH215" s="404" t="e">
        <f ca="1">IF($BG215=0,0,IF($BE215&lt;=Control!$C$86,$BC215*9*($BF215/Control!$C$86),0))</f>
        <v>#N/A</v>
      </c>
      <c r="BI215" s="140" t="e">
        <f ca="1">IF($BG215=1,0,IF($BE215&gt;=Control!$C$86,1,IF(AND($BB215&lt;21,$BB215&gt;=9),1,$BM214)))</f>
        <v>#N/A</v>
      </c>
      <c r="BJ215" s="140" t="e">
        <f ca="1">IF($BF215&lt;0,-$BF215,$BI215*IF(OR($G215&lt;Control!$C$92,$G215&gt;Control!$C$95),0,IF(AND($G215&gt;=Control!$C$92,$G215&lt;=Control!$C$93),$G215-Control!$C$92,IF(AND($G215&gt;Control!$C$93,$G215&lt;=Control!$C$94),Control!$C$93-Control!$C$92,IF(AND($G215&gt;Control!$C$94,$G215&lt;=Control!$C$95),(Control!$C$93-Control!$C$92)*(Control!$C$94-$G215)/(Control!$C$95-Control!$C$94))))))</f>
        <v>#N/A</v>
      </c>
      <c r="BK215" s="140" t="e">
        <f t="shared" ca="1" si="829"/>
        <v>#N/A</v>
      </c>
      <c r="BL215" s="140" t="e">
        <f ca="1">IF($BK215&lt;=Control!$C$87,$BK215,Control!$C$87-$BK215)</f>
        <v>#N/A</v>
      </c>
      <c r="BM215" s="140" t="e">
        <f ca="1">IF(AND($BB215&gt;=9,$BB215&lt;21),1,IF($BK215&gt;=Control!$C$87,0,$BI215))</f>
        <v>#N/A</v>
      </c>
      <c r="BN215" s="404" t="e">
        <f ca="1">IF($BM215=0,0,IF($BK215&lt;=Control!$C$87,$BI215*(9+(21-9)*($BL215/Control!$C$87)),0))</f>
        <v>#N/A</v>
      </c>
      <c r="BO215" s="140" t="e">
        <f ca="1">IF($BM215=1,0,IF($BK215&gt;=Control!$C$87,1,IF(AND($BB215&lt;30,$BB215&gt;=21),1,$BS214)))</f>
        <v>#N/A</v>
      </c>
      <c r="BP215" s="140" t="e">
        <f ca="1">IF($BL215&lt;0,-$BL215,$BO215*IF(OR($G215&lt;Control!$C$92,$G215&gt;Control!$C$95),0,IF(AND($G215&gt;=Control!$C$92,$G215&lt;=Control!$C$93),$G215-Control!$C$92,IF(AND($G215&gt;Control!$C$93,$G215&lt;=Control!$C$94),Control!$C$93-Control!$C$92,IF(AND($G215&gt;Control!$C$94,$G215&lt;=Control!$C$95),(Control!$C$93-Control!$C$92)*(Control!$C$94-$G215)/(Control!$C$95-Control!$C$94))))))</f>
        <v>#N/A</v>
      </c>
      <c r="BQ215" s="140" t="e">
        <f t="shared" ca="1" si="713"/>
        <v>#N/A</v>
      </c>
      <c r="BR215" s="140" t="e">
        <f ca="1">IF($BQ215&lt;=Control!$C$88,$BQ215,Control!$C$88-$BQ215)</f>
        <v>#N/A</v>
      </c>
      <c r="BS215" s="140" t="e">
        <f ca="1">IF(AND($BB215&gt;=21,$BB215&lt;30),1,IF($BQ215&gt;=Control!$C$88,0,$BO215))</f>
        <v>#N/A</v>
      </c>
      <c r="BT215" s="404" t="e">
        <f ca="1">IF($BS215=0,0,IF($BQ215&lt;=Control!$C$88,$BO215*(21+(30-21)*(BR215/Control!$C$88)),0))</f>
        <v>#N/A</v>
      </c>
      <c r="BU215" s="140" t="e">
        <f ca="1">IF(BG215+BM215+BS215=1,0,IF(OR(AND($BB215&lt;60,$BB215&gt;=30),$BQ215&gt;=Control!$C$88),1*$BA215,$BY214))</f>
        <v>#N/A</v>
      </c>
      <c r="BV215" s="140" t="e">
        <f ca="1">IF($BR215&lt;0,-$BR215,$BU215*IF(OR($G215&lt;Control!$C$92,$G215&gt;Control!$C$95),0,IF(AND($G215&gt;=Control!$C$92,$G215&lt;=Control!$C$93),$G215-Control!$C$92,IF(AND($G215&gt;Control!$C$93,$G215&lt;=Control!$C$94),Control!$C$93-Control!$C$92,IF(AND($G215&gt;Control!$C$94,$G215&lt;=Control!$C$95),(Control!$C$93-Control!$C$92)*(Control!$C$94-$G215)/(Control!$C$95-Control!$C$94))))))</f>
        <v>#N/A</v>
      </c>
      <c r="BW215" s="140" t="e">
        <f t="shared" ca="1" si="714"/>
        <v>#N/A</v>
      </c>
      <c r="BX215" s="140" t="e">
        <f ca="1">IF($BW215&lt;=Control!$C$89,$BW215,Control!$C$89-$BW215)</f>
        <v>#N/A</v>
      </c>
      <c r="BY215" s="140" t="e">
        <f ca="1">IF(AND($AJ215&gt;=30,$AJ215&lt;60),1,IF($BW215&gt;=Control!$C$89,0,$BU215))</f>
        <v>#N/A</v>
      </c>
      <c r="BZ215" s="404" t="e">
        <f ca="1">IF($BY215=0,0,IF($BW215&lt;=Control!$C$89,$BU215*(30+(60-30)*(BX215/Control!$C$89)),0))</f>
        <v>#N/A</v>
      </c>
      <c r="CA215" s="140" t="e">
        <f ca="1">IF($BG215+$BM215+$BS215+$BY215=1,0,IF(OR(AND($BB215&lt;65,$BB215&gt;=60),$BW215&gt;=Control!$C$89),1*$BA215,$CE214))</f>
        <v>#N/A</v>
      </c>
      <c r="CB215" s="140" t="e">
        <f ca="1">IF($BX215&lt;0,-$BX215,$CA215*IF(OR($G215&lt;Control!$C$92,$G215&gt;Control!$C$95),0,IF(AND($G215&gt;=Control!$C$92,$G215&lt;=Control!$C$93),$G215-Control!$C$92,IF(AND($G215&gt;Control!$C$93,$G215&lt;=Control!$C$94),Control!$C$93-Control!$C$92,IF(AND($G215&gt;Control!$C$94,$G215&lt;=Control!$C$95),(Control!$C$93-Control!$C$92)*(Control!$C$94-$G215)/(Control!$C$95-Control!$C$94))))))</f>
        <v>#N/A</v>
      </c>
      <c r="CC215" s="140" t="e">
        <f t="shared" ca="1" si="830"/>
        <v>#N/A</v>
      </c>
      <c r="CD215" s="140" t="e">
        <f ca="1">IF($CC215&lt;=Control!$C$90,$CC215,Control!$C$90-$CC215)</f>
        <v>#N/A</v>
      </c>
      <c r="CE215" s="140" t="e">
        <f ca="1">IF(AND($BB215&gt;=60,$BB215&lt;65),1,IF($CC215&gt;=Control!$C$90,0,$CA215))</f>
        <v>#N/A</v>
      </c>
      <c r="CF215" s="404" t="e">
        <f ca="1">IF($CE215=0,0,IF($CC215&lt;=Control!$C$90,$CA215*(60+(65-60)*(CD215/Control!$C$90)),0))</f>
        <v>#N/A</v>
      </c>
      <c r="CG215" s="140" t="e">
        <f ca="1">IF($BG215+$BM215+$BS215+$BY215+$CE215=1,0,IF(OR(AND($BB215&lt;90,$BB215&gt;=65),$CC215&gt;=Control!$C$90),$BA215,$CK214))</f>
        <v>#N/A</v>
      </c>
      <c r="CH215" s="140" t="e">
        <f ca="1">IF($CD215&lt;0,-$CD215,$CG215*IF(OR($G215&lt;Control!$C$92,$G215&gt;Control!$C$95),0,IF(AND($G215&gt;=Control!$C$92,$G215&lt;=Control!$C$93),$G215-Control!$C$92,IF(AND($G215&gt;Control!$C$93,$G215&lt;=Control!$C$94),Control!$C$93-Control!$C$92,IF(AND($G215&gt;Control!$C$94,$G215&lt;=Control!$C$95),(Control!$C$93-Control!$C$92)*(Control!$C$94-$G215)/(Control!$C$95-Control!$C$94))))))</f>
        <v>#N/A</v>
      </c>
      <c r="CI215" s="140" t="e">
        <f t="shared" ca="1" si="831"/>
        <v>#N/A</v>
      </c>
      <c r="CJ215" s="140" t="e">
        <f ca="1">IF($CI215&lt;=Control!$C$91,$CI215,Control!$C$91-$CI215)</f>
        <v>#N/A</v>
      </c>
      <c r="CK215" s="140" t="e">
        <f ca="1">IF(AND($BB215&gt;=65,$BB215&lt;90),1,IF($CI215&gt;=Control!$C$91,0,$CG215))</f>
        <v>#N/A</v>
      </c>
      <c r="CL215" s="404" t="e">
        <f ca="1">IF($CK215=0,0,IF($CI215&lt;=Control!$C$91,$CG215*(65+(90-65)*($CJ215/Control!$C$91)),0))</f>
        <v>#N/A</v>
      </c>
      <c r="CM215" s="140" t="e">
        <f ca="1">IF($BG215+$BM215+$BS215+$BY215+$CE215+$CK215=1,0,IF(OR($BB215&gt;=90,$CI215&gt;=Control!$C$91),$BA215,$CM214))</f>
        <v>#N/A</v>
      </c>
      <c r="CN215" s="140" t="e">
        <f t="shared" ca="1" si="832"/>
        <v>#N/A</v>
      </c>
      <c r="CO215" s="140" t="e">
        <f t="shared" ca="1" si="833"/>
        <v>#N/A</v>
      </c>
      <c r="CP215" s="140" t="e">
        <f t="shared" ca="1" si="834"/>
        <v>#N/A</v>
      </c>
      <c r="CQ215" s="141" t="e">
        <f ca="1">VLOOKUP($CP215,Control!$B$86:$G$91,6)</f>
        <v>#N/A</v>
      </c>
      <c r="CR215" s="141" t="e">
        <f ca="1">(1-$CQ215)*VLOOKUP($CP215,Control!$B$86:$D$91,3)</f>
        <v>#N/A</v>
      </c>
      <c r="CS215" s="141" t="e">
        <f ca="1">(1-$CQ215)*VLOOKUP($CP215,Control!$B$86:$E$91,4)</f>
        <v>#N/A</v>
      </c>
      <c r="CT215" s="141" t="e">
        <f ca="1">(1-$CQ215)*VLOOKUP($CP215,Control!$B$86:$F$91,5)</f>
        <v>#N/A</v>
      </c>
      <c r="CU215" s="141">
        <f t="shared" ca="1" si="835"/>
        <v>0</v>
      </c>
      <c r="CV215" s="583">
        <f t="shared" ca="1" si="836"/>
        <v>0</v>
      </c>
      <c r="CW215" s="142">
        <f t="shared" ca="1" si="837"/>
        <v>211</v>
      </c>
      <c r="CX215" s="612" t="e">
        <f ca="1">IF(Control!$C$114=1,(MIN(Control!$C$120*(IF($NT215-0.01&lt;0,0,1)),Control!$C$119-$CY215)))</f>
        <v>#DIV/0!</v>
      </c>
      <c r="CY215" s="143" t="e">
        <f t="shared" ca="1" si="838"/>
        <v>#N/A</v>
      </c>
      <c r="CZ215" s="144">
        <f t="shared" ca="1" si="715"/>
        <v>0</v>
      </c>
      <c r="DA215" s="144">
        <f t="shared" ca="1" si="716"/>
        <v>0</v>
      </c>
      <c r="DB215" s="144" t="e">
        <f t="shared" ca="1" si="717"/>
        <v>#N/A</v>
      </c>
      <c r="DC215" s="144" t="e">
        <f t="shared" ca="1" si="718"/>
        <v>#N/A</v>
      </c>
      <c r="DD215" s="144" t="e">
        <f t="shared" ca="1" si="923"/>
        <v>#N/A</v>
      </c>
      <c r="DE215" s="143" t="e">
        <f t="shared" ca="1" si="839"/>
        <v>#N/A</v>
      </c>
      <c r="DF215" s="145" t="e">
        <f ca="1">$DR215*EXP(-Control!$C$158*(1-$KH215))</f>
        <v>#N/A</v>
      </c>
      <c r="DG215" s="146" t="e">
        <f ca="1">IF(Control!$C$114=1, $DF215*$EY215, 0)</f>
        <v>#N/A</v>
      </c>
      <c r="DH215" s="147" t="e">
        <f t="shared" ca="1" si="840"/>
        <v>#N/A</v>
      </c>
      <c r="DI215" s="144" t="e">
        <f t="shared" ca="1" si="901"/>
        <v>#N/A</v>
      </c>
      <c r="DJ215" s="147" t="e">
        <f ca="1">$EF215*Control!$C$109</f>
        <v>#N/A</v>
      </c>
      <c r="DK215" s="144" t="e">
        <f t="shared" ca="1" si="841"/>
        <v>#N/A</v>
      </c>
      <c r="DL215" s="144" t="e">
        <f t="shared" ca="1" si="719"/>
        <v>#N/A</v>
      </c>
      <c r="DM215" s="144" t="e">
        <f ca="1">IF(Control!$C$114=1, (1-EXP(-Control!$C$96*$DK215))*$AR215, 0)</f>
        <v>#N/A</v>
      </c>
      <c r="DN215" s="144">
        <f t="shared" ca="1" si="842"/>
        <v>0</v>
      </c>
      <c r="DO215" s="148">
        <f>Control!$C$97</f>
        <v>4</v>
      </c>
      <c r="DP215" s="145" t="e">
        <f t="shared" ca="1" si="843"/>
        <v>#N/A</v>
      </c>
      <c r="DQ215" s="145" t="e">
        <f ca="1">IF(AND($CP215&gt;=0,$CP215&lt;=90),Control!$C$111,Control!$C$111)</f>
        <v>#N/A</v>
      </c>
      <c r="DR215" s="145" t="e">
        <f t="shared" ca="1" si="720"/>
        <v>#N/A</v>
      </c>
      <c r="DS215" s="143" t="e">
        <f ca="1">Control!$B$22/$DR215</f>
        <v>#N/A</v>
      </c>
      <c r="DT215" s="149" t="e">
        <f ca="1">IF(AND(Control!$C$114=1,$KH215&lt;1),$IM215*$DF215, 0)</f>
        <v>#N/A</v>
      </c>
      <c r="DU215" s="144" t="e">
        <f t="shared" ca="1" si="844"/>
        <v>#N/A</v>
      </c>
      <c r="DV215" s="144">
        <f ca="1">IF($G215-Control!$C$107&lt;=0, 0, 0.83*LN(MAX($G215, 3))-0.8924)</f>
        <v>0</v>
      </c>
      <c r="DW215" s="144" t="e">
        <f t="shared" ca="1" si="721"/>
        <v>#N/A</v>
      </c>
      <c r="DX215" s="150" t="e">
        <f ca="1">MAX(0.01*(1+$CU215/Control!$C$102),0.05*($DK215-Control!$C$97)/Control!$C$97)</f>
        <v>#N/A</v>
      </c>
      <c r="DY215" s="151" t="e">
        <f ca="1">IF(Control!$C$114=1, $DI215*$FS215, 0)</f>
        <v>#N/A</v>
      </c>
      <c r="DZ215" s="196" t="e">
        <f t="shared" ca="1" si="845"/>
        <v>#N/A</v>
      </c>
      <c r="EA215" s="152">
        <f t="shared" ca="1" si="846"/>
        <v>211</v>
      </c>
      <c r="EB215" s="153" t="e">
        <f t="shared" ca="1" si="847"/>
        <v>#N/A</v>
      </c>
      <c r="EC215" s="153" t="e">
        <f t="shared" ca="1" si="848"/>
        <v>#N/A</v>
      </c>
      <c r="ED215" s="154" t="e">
        <f ca="1">IF(Control!$C$114=1, $HM215*$FY215-$FD215, 0)</f>
        <v>#DIV/0!</v>
      </c>
      <c r="EE215" s="155" t="e">
        <f ca="1">IF(Control!$C$114=1, $HM215*$FZ215-$FF215, 0)</f>
        <v>#DIV/0!</v>
      </c>
      <c r="EF215" s="153" t="e">
        <f t="shared" ca="1" si="902"/>
        <v>#N/A</v>
      </c>
      <c r="EG215" s="155" t="e">
        <f ca="1">IF(Control!$C$114=1, $GX215*$FW215-$FI215, 0)</f>
        <v>#DIV/0!</v>
      </c>
      <c r="EH215" s="153" t="e">
        <f t="shared" ca="1" si="849"/>
        <v>#N/A</v>
      </c>
      <c r="EI215" s="156" t="e">
        <f t="shared" ca="1" si="850"/>
        <v>#N/A</v>
      </c>
      <c r="EJ215" s="155" t="e">
        <f ca="1">IF(Control!$C$114=1, $HM215*$GB215, 0)</f>
        <v>#DIV/0!</v>
      </c>
      <c r="EK215" s="153" t="e">
        <f t="shared" ca="1" si="903"/>
        <v>#N/A</v>
      </c>
      <c r="EL215" s="153" t="e">
        <f t="shared" ca="1" si="722"/>
        <v>#N/A</v>
      </c>
      <c r="EM215" s="153" t="e">
        <f t="shared" ca="1" si="723"/>
        <v>#N/A</v>
      </c>
      <c r="EN215" s="153" t="e">
        <f ca="1">IF(Control!$C$108=1,IF(AND(Control!$B$18=1,$EB215&gt;=Control!$B$19),$EB215-$DS215,IF(AND(Control!$B$18=2,$AW215=1,$EB215&gt;$DS215),$EB215-$DS215,0)))</f>
        <v>#N/A</v>
      </c>
      <c r="EO215" s="153" t="e">
        <f ca="1">IF(Control!$C$108=1,IF(AND(Control!$B$18=1,$EB215&gt;=Control!$B$19),$EF215,IF(AND(Control!$B$18=2,$AW215=1),$EF215,0)))</f>
        <v>#N/A</v>
      </c>
      <c r="EP215" s="153" t="e">
        <f ca="1">IF(Control!$C$108=1,IF(AND(Control!$B$18=1,$EB215&gt;=Control!$B$19),$EK215,IF(AND(Control!$B$18=2,$AW215=1),$EK215,0)))</f>
        <v>#N/A</v>
      </c>
      <c r="EQ215" s="153" t="e">
        <f t="shared" ca="1" si="851"/>
        <v>#N/A</v>
      </c>
      <c r="ER215" s="153" t="e">
        <f t="shared" ca="1" si="852"/>
        <v>#N/A</v>
      </c>
      <c r="ES215" s="153" t="e">
        <f t="shared" ca="1" si="904"/>
        <v>#N/A</v>
      </c>
      <c r="ET215" s="153" t="e">
        <f t="shared" ca="1" si="905"/>
        <v>#N/A</v>
      </c>
      <c r="EU215" s="153" t="e">
        <f t="shared" ca="1" si="853"/>
        <v>#N/A</v>
      </c>
      <c r="EV215" s="153" t="e">
        <f t="shared" ca="1" si="724"/>
        <v>#N/A</v>
      </c>
      <c r="EW215" s="153" t="e">
        <f t="shared" ca="1" si="725"/>
        <v>#N/A</v>
      </c>
      <c r="EX215" s="153" t="e">
        <f t="shared" ca="1" si="726"/>
        <v>#N/A</v>
      </c>
      <c r="EY215" s="157" t="e">
        <f t="shared" ca="1" si="727"/>
        <v>#DIV/0!</v>
      </c>
      <c r="EZ215" s="154" t="e">
        <f t="shared" ca="1" si="728"/>
        <v>#DIV/0!</v>
      </c>
      <c r="FA215" s="153" t="e">
        <f t="shared" ca="1" si="854"/>
        <v>#N/A</v>
      </c>
      <c r="FB215" s="153" t="e">
        <f t="shared" ca="1" si="729"/>
        <v>#N/A</v>
      </c>
      <c r="FC215" s="193" t="e">
        <f t="shared" ca="1" si="730"/>
        <v>#N/A</v>
      </c>
      <c r="FD215" s="158" t="e">
        <f t="shared" ca="1" si="855"/>
        <v>#N/A</v>
      </c>
      <c r="FE215" s="158" t="e">
        <f t="shared" ca="1" si="856"/>
        <v>#N/A</v>
      </c>
      <c r="FF215" s="159" t="e">
        <f t="shared" ca="1" si="731"/>
        <v>#N/A</v>
      </c>
      <c r="FG215" s="160" t="e">
        <f t="shared" ca="1" si="857"/>
        <v>#N/A</v>
      </c>
      <c r="FH215" s="158" t="e">
        <f t="shared" ca="1" si="858"/>
        <v>#N/A</v>
      </c>
      <c r="FI215" s="159" t="e">
        <f t="shared" ca="1" si="732"/>
        <v>#N/A</v>
      </c>
      <c r="FJ215" s="160" t="e">
        <f t="shared" ca="1" si="859"/>
        <v>#N/A</v>
      </c>
      <c r="FK215" s="160" t="e">
        <f t="shared" ca="1" si="733"/>
        <v>#N/A</v>
      </c>
      <c r="FL215" s="160" t="e">
        <f t="shared" ca="1" si="906"/>
        <v>#N/A</v>
      </c>
      <c r="FM215" s="160" t="e">
        <f t="shared" ca="1" si="734"/>
        <v>#N/A</v>
      </c>
      <c r="FN215" s="158">
        <f t="shared" ca="1" si="860"/>
        <v>0.01</v>
      </c>
      <c r="FO215" s="160">
        <f>Control!$C$101</f>
        <v>50</v>
      </c>
      <c r="FP215" s="150" t="e">
        <f t="shared" ca="1" si="735"/>
        <v>#N/A</v>
      </c>
      <c r="FQ215" s="150" t="e">
        <f ca="1">MAX(0,(Control!$C$112*(($DK215-Control!$C$97)/Control!$C$97)))</f>
        <v>#N/A</v>
      </c>
      <c r="FR215" s="150" t="e">
        <f ca="1">(1-$NT215)*Control!$C$113</f>
        <v>#DIV/0!</v>
      </c>
      <c r="FS215" s="198" t="e">
        <f t="shared" ca="1" si="736"/>
        <v>#N/A</v>
      </c>
      <c r="FT215" s="161">
        <f t="shared" ca="1" si="861"/>
        <v>211</v>
      </c>
      <c r="FU215" s="162" t="e">
        <f ca="1">IF(Control!$B$34=1,VLOOKUP($CP215,Control!$B$86:$G$91,6),Control!$B$35)</f>
        <v>#N/A</v>
      </c>
      <c r="FV215" s="162" t="e">
        <f t="shared" ca="1" si="737"/>
        <v>#DIV/0!</v>
      </c>
      <c r="FW215" s="162" t="e">
        <f ca="1">IF(Control!$B$31=1,$FU215*$FV215,  $FU215)</f>
        <v>#N/A</v>
      </c>
      <c r="FX215" s="162" t="e">
        <f ca="1">IF(Control!$B$34=1,VLOOKUP($CP215,Control!$B$86:$G$91,3),Control!$B$36)</f>
        <v>#N/A</v>
      </c>
      <c r="FY215" s="162" t="e">
        <f t="shared" ca="1" si="738"/>
        <v>#N/A</v>
      </c>
      <c r="FZ215" s="162" t="e">
        <f ca="1">IF(Control!$B$34=1,VLOOKUP($CP215,Control!$B$86:$G$91,4),Control!$B$37)</f>
        <v>#N/A</v>
      </c>
      <c r="GA215" s="162" t="e">
        <f t="shared" ca="1" si="739"/>
        <v>#N/A</v>
      </c>
      <c r="GB215" s="162" t="e">
        <f ca="1">IF(Control!$B$34=1,VLOOKUP($CP215,Control!$B$86:$G$91,5),Control!$B$38)</f>
        <v>#N/A</v>
      </c>
      <c r="GC215" s="162" t="e">
        <f t="shared" ca="1" si="862"/>
        <v>#N/A</v>
      </c>
      <c r="GD215" s="162">
        <f t="shared" ca="1" si="740"/>
        <v>1</v>
      </c>
      <c r="GE215" s="162">
        <f t="shared" ca="1" si="741"/>
        <v>1</v>
      </c>
      <c r="GF215" s="162">
        <f ca="1">IF(AND(Control!$C$104=1, Control!$C$62="F"),$GE215,1)</f>
        <v>1</v>
      </c>
      <c r="GG215" s="162" t="e">
        <f ca="1">IF(Control!$B$16=40,0,IF(AND(Control!$B$16&gt;40,Control!$B$16&lt;=360),(Control!$B$16-40)*((1-0)/(360-40)),IF(AND(Control!$B$16&gt;360,Control!$B$16&lt;=720),(1+(Control!$B$16-360)*((1.25-1)/(720-360))),IF(AND(Control!$B$16&gt;720,Control!$B$16&lt;=1000),(1.25+(Control!$B$16-720)*((1.35-1.25)/(1000-720))),IF(AND(Control!$B$16&gt;1000,Control!$B$16&lt;=2000),(1.35+(Control!$B$16-1000)*0))))))</f>
        <v>#N/A</v>
      </c>
      <c r="GH215" s="162" t="e">
        <f t="shared" ca="1" si="742"/>
        <v>#N/A</v>
      </c>
      <c r="GI215" s="162">
        <f t="shared" ca="1" si="863"/>
        <v>0</v>
      </c>
      <c r="GJ215" s="162">
        <f t="shared" ca="1" si="743"/>
        <v>0</v>
      </c>
      <c r="GK215" s="162">
        <f t="shared" ca="1" si="864"/>
        <v>1</v>
      </c>
      <c r="GL215" s="162">
        <f t="shared" ca="1" si="744"/>
        <v>1</v>
      </c>
      <c r="GM215" s="162" t="e">
        <f ca="1">MAX(0,MIN(1,1-Control!$C$156*(1.0001-$KH215)^2))</f>
        <v>#N/A</v>
      </c>
      <c r="GN215" s="162" t="e">
        <f ca="1">IF(Control!$B$26=1,$KU215,$KX215)</f>
        <v>#N/A</v>
      </c>
      <c r="GO215" s="162" t="e">
        <f ca="1">IF($CP215&lt;=60,Control!$C$105,IF($CP215&gt;=90,Control!$C$106,Control!$C$105+($CP215-60)*((Control!$C$106-Control!$C$105)/(90-60))))</f>
        <v>#N/A</v>
      </c>
      <c r="GP215" s="162" t="e">
        <f t="shared" ca="1" si="745"/>
        <v>#N/A</v>
      </c>
      <c r="GQ215" s="162" t="e">
        <f t="shared" ca="1" si="865"/>
        <v>#N/A</v>
      </c>
      <c r="GR215" s="163" t="e">
        <f t="shared" ca="1" si="746"/>
        <v>#DIV/0!</v>
      </c>
      <c r="GS215" s="162" t="e">
        <f t="shared" ca="1" si="747"/>
        <v>#DIV/0!</v>
      </c>
      <c r="GT215" s="164" t="e">
        <f t="shared" ca="1" si="866"/>
        <v>#N/A</v>
      </c>
      <c r="GU215" s="162" t="e">
        <f t="shared" ca="1" si="867"/>
        <v>#N/A</v>
      </c>
      <c r="GV215" s="162" t="e">
        <f t="shared" ca="1" si="748"/>
        <v>#N/A</v>
      </c>
      <c r="GW215" s="162" t="e">
        <f t="shared" ca="1" si="749"/>
        <v>#DIV/0!</v>
      </c>
      <c r="GX215" s="162" t="e">
        <f t="shared" ca="1" si="868"/>
        <v>#DIV/0!</v>
      </c>
      <c r="GY215" s="162" t="e">
        <f t="shared" ca="1" si="869"/>
        <v>#DIV/0!</v>
      </c>
      <c r="GZ215" s="165" t="e">
        <f t="shared" ca="1" si="750"/>
        <v>#N/A</v>
      </c>
      <c r="HA215" s="162" t="e">
        <f ca="1">IF(Control!$C$114=1, $DI215*$FS215, 0)</f>
        <v>#N/A</v>
      </c>
      <c r="HB215" s="162" t="e">
        <f ca="1">$FA215/Control!$C$64</f>
        <v>#N/A</v>
      </c>
      <c r="HC215" s="162" t="e">
        <f t="shared" ca="1" si="751"/>
        <v>#DIV/0!</v>
      </c>
      <c r="HD215" s="162">
        <f ca="1">-ASIN(SIN(23.45*Control!$C$139)*COS(2*Control!$C$138*($AH215+10)/365))</f>
        <v>0.31909084847845492</v>
      </c>
      <c r="HE215" s="165">
        <f t="shared" ca="1" si="870"/>
        <v>0</v>
      </c>
      <c r="HF215" s="166">
        <f ca="1">IF(AND(Control!$C$61="T",$HE215&gt;=Control!$C$103,Control!$C$114=0),$AH215,Control!$C$59)</f>
        <v>1</v>
      </c>
      <c r="HG215" s="166">
        <f ca="1">IF(AND(Control!$C$61="T",$HE215&gt;=Control!$C$103,Control!$C$114=0),$HF215,Control!$C$59)</f>
        <v>1</v>
      </c>
      <c r="HH215" s="165">
        <f ca="1">IF(AND(OR(Control!$C$60&lt;=0, $AH215= Control!$C$59, Control!$C$60 &gt;0, $AH215 = Control!$C$60)), Control!$C$59, IF(Control!$C$60&gt;0, 0))</f>
        <v>1</v>
      </c>
      <c r="HI215" s="165">
        <f ca="1">IF(AND(OR(Control!$C$60&lt;=0, $AH215= Control!$C$59, Control!$C$60 &gt;0, $AH215 = Control!$C$60)), Control!$C$60, IF(Control!$C$60&lt;=0, 0))</f>
        <v>0</v>
      </c>
      <c r="HJ215" s="166">
        <f ca="1">IF(AND(Control!$C$62="F",$CV215&gt;=Control!$C$102),$AH215,0)</f>
        <v>0</v>
      </c>
      <c r="HK215" s="165" t="e">
        <f t="shared" ca="1" si="907"/>
        <v>#N/A</v>
      </c>
      <c r="HL215" s="166">
        <f ca="1">IF(AND(Control!$C$61="T",$HE215&gt;=Control!$C$103,Control!$C$114=0),$HF215,0)</f>
        <v>0</v>
      </c>
      <c r="HM215" s="201" t="e">
        <f t="shared" ca="1" si="752"/>
        <v>#DIV/0!</v>
      </c>
      <c r="HN215" s="215">
        <f t="shared" ca="1" si="871"/>
        <v>211</v>
      </c>
      <c r="HO215" s="216" t="e">
        <f ca="1">IF(AND($CP215&gt;=0, $CP215&lt;=90), Control!$C$152, Control!$C$152)</f>
        <v>#N/A</v>
      </c>
      <c r="HP215" s="216" t="e">
        <f t="shared" ca="1" si="753"/>
        <v>#N/A</v>
      </c>
      <c r="HQ215" s="217" t="e">
        <f ca="1">IF(OR(Control!$B$26=1,Control!$B$26=2),$KV215,$KS215)</f>
        <v>#DIV/0!</v>
      </c>
      <c r="HR215" s="218" t="e">
        <f t="shared" ca="1" si="908"/>
        <v>#DIV/0!</v>
      </c>
      <c r="HS215" s="216" t="e">
        <f ca="1">Control!$C$154*$HP215</f>
        <v>#N/A</v>
      </c>
      <c r="HT215" s="216" t="e">
        <f ca="1">Control!$C$155*$HP215</f>
        <v>#N/A</v>
      </c>
      <c r="HU215" s="217" t="e">
        <f ca="1">Control!$C$161*$FI215</f>
        <v>#N/A</v>
      </c>
      <c r="HV215" s="218" t="e">
        <f t="shared" ca="1" si="872"/>
        <v>#N/A</v>
      </c>
      <c r="HW215" s="218" t="e">
        <f ca="1">Control!$C$160*$FF215+$IP215*$EO215</f>
        <v>#N/A</v>
      </c>
      <c r="HX215" s="218" t="e">
        <f t="shared" ca="1" si="909"/>
        <v>#N/A</v>
      </c>
      <c r="HY215" s="219" t="e">
        <f ca="1">IF(Control!$C$114=1, $EB215*$FS215, 0)</f>
        <v>#N/A</v>
      </c>
      <c r="HZ215" s="91" t="e">
        <f t="shared" ca="1" si="754"/>
        <v>#N/A</v>
      </c>
      <c r="IA215" s="220" t="e">
        <f ca="1">Control!$C$153*$HO215</f>
        <v>#N/A</v>
      </c>
      <c r="IB215" s="218" t="e">
        <f t="shared" ca="1" si="755"/>
        <v>#N/A</v>
      </c>
      <c r="IC215" s="220" t="e">
        <f ca="1">Control!$C$153*$HT215</f>
        <v>#N/A</v>
      </c>
      <c r="ID215" s="218" t="e">
        <f t="shared" ca="1" si="756"/>
        <v>#N/A</v>
      </c>
      <c r="IE215" s="221" t="e">
        <f ca="1">($EB215*Control!$C$159+$EF215*Control!$C$160)/(IF($GZ215&lt;&gt;0,$GZ215,1))</f>
        <v>#N/A</v>
      </c>
      <c r="IF215" s="216" t="e">
        <f t="shared" ca="1" si="757"/>
        <v>#N/A</v>
      </c>
      <c r="IG215" s="91">
        <f ca="1">IF(OR(Control!$B$198=$AH215,Control!$B$199=$AH215, Control!$B$200=$AH215, Control!$B$201=$AH215, Control!$B$202=$AH215, Control!$B$203=$AH215, Control!$B$204=$AH215, Control!$B$205=$AH215, Control!$B$206=$AH215, Control!$B$207=$AH215), 1, 0)</f>
        <v>0</v>
      </c>
      <c r="IH215" s="91">
        <f ca="1">IF($IG215=0,0, VLOOKUP($AH215,Control!$B$198:$C$207,2))</f>
        <v>0</v>
      </c>
      <c r="II215" s="222">
        <f t="shared" ca="1" si="873"/>
        <v>0</v>
      </c>
      <c r="IJ215" s="91">
        <f>Control!$C$121</f>
        <v>0.7</v>
      </c>
      <c r="IK215" s="218">
        <f t="shared" ca="1" si="758"/>
        <v>0</v>
      </c>
      <c r="IL215" s="217" t="e">
        <f t="shared" ca="1" si="910"/>
        <v>#N/A</v>
      </c>
      <c r="IM215" s="223" t="e">
        <f ca="1">IF(AND(Control!$C$114=1,$KH215&lt;1),$EB215*Control!$C$148*(1-$KH215), 0)</f>
        <v>#N/A</v>
      </c>
      <c r="IN215" s="217" t="e">
        <f t="shared" ca="1" si="759"/>
        <v>#DIV/0!</v>
      </c>
      <c r="IO215" s="91" t="e">
        <f ca="1">MAX(0,$IL215-$EF215*Control!$C$160)</f>
        <v>#N/A</v>
      </c>
      <c r="IP215" s="220" t="e">
        <f t="shared" ca="1" si="760"/>
        <v>#N/A</v>
      </c>
      <c r="IQ215" s="217" t="e">
        <f t="shared" ca="1" si="874"/>
        <v>#N/A</v>
      </c>
      <c r="IR215" s="218" t="e">
        <f t="shared" ca="1" si="761"/>
        <v>#N/A</v>
      </c>
      <c r="IS215" s="217" t="e">
        <f ca="1">Control!$C$159*MAX(0,$FD215-$EN215)</f>
        <v>#N/A</v>
      </c>
      <c r="IT215" s="217" t="e">
        <f t="shared" ca="1" si="911"/>
        <v>#N/A</v>
      </c>
      <c r="IU215" s="217" t="e">
        <f t="shared" ca="1" si="875"/>
        <v>#N/A</v>
      </c>
      <c r="IV215" s="217" t="e">
        <f t="shared" ca="1" si="912"/>
        <v>#N/A</v>
      </c>
      <c r="IW215" s="217" t="e">
        <f ca="1">IF(OR($AW215=1,AND($AW215=0, Control!$B$18=1,$EN215&lt;&gt;0)), $IQ215-$IU215, $IQ215)</f>
        <v>#N/A</v>
      </c>
      <c r="IX215" s="218" t="e">
        <f t="shared" ca="1" si="762"/>
        <v>#N/A</v>
      </c>
      <c r="IY215" s="218" t="e">
        <f ca="1">MAX(0,$IQ215-$EB215*Control!$C$159)</f>
        <v>#N/A</v>
      </c>
      <c r="IZ215" s="218" t="e">
        <f t="shared" ca="1" si="763"/>
        <v>#N/A</v>
      </c>
      <c r="JA215" s="216" t="e">
        <f t="shared" ca="1" si="764"/>
        <v>#N/A</v>
      </c>
      <c r="JB215" s="217" t="e">
        <f t="shared" ca="1" si="765"/>
        <v>#N/A</v>
      </c>
      <c r="JC215" s="222" t="e">
        <f ca="1">MAX(Control!$C$157*$EK215-$JT215, 0)/Control!$C$162</f>
        <v>#N/A</v>
      </c>
      <c r="JD215" s="218" t="e">
        <f t="shared" ca="1" si="766"/>
        <v>#N/A</v>
      </c>
      <c r="JE215" s="218" t="e">
        <f t="shared" ca="1" si="767"/>
        <v>#N/A</v>
      </c>
      <c r="JF215" s="218" t="e">
        <f t="shared" ca="1" si="876"/>
        <v>#N/A</v>
      </c>
      <c r="JG215" s="218" t="e">
        <f t="shared" ca="1" si="768"/>
        <v>#N/A</v>
      </c>
      <c r="JH215" s="217" t="e">
        <f t="shared" ca="1" si="877"/>
        <v>#N/A</v>
      </c>
      <c r="JI215" s="217" t="e">
        <f t="shared" ca="1" si="878"/>
        <v>#N/A</v>
      </c>
      <c r="JJ215" s="217" t="e">
        <f t="shared" ca="1" si="913"/>
        <v>#N/A</v>
      </c>
      <c r="JK215" s="217" t="e">
        <f ca="1">IF(Control!$C$114=1,IF(Control!$B$24=0,MAX(0,$JI215)*$GN215/Control!$C$64,(MAX(0,MIN($JI215,$JJ215*$GN215/Control!$C$64),0))))</f>
        <v>#N/A</v>
      </c>
      <c r="JL215" s="217" t="e">
        <f ca="1">$IK215/Control!$C$64-$JK215+$HQ215</f>
        <v>#N/A</v>
      </c>
      <c r="JM215" s="217" t="e">
        <f ca="1">IF(Control!$C$114=1,($JB215/(IF($JI215&lt;&gt;0,$JI215,1)))*$JK215,0)</f>
        <v>#N/A</v>
      </c>
      <c r="JN215" s="217" t="e">
        <f ca="1">IF(Control!$C$114=1,($JG215/(IF($JI215&lt;&gt;0,$JI215,1)))*$JK215, 0)</f>
        <v>#N/A</v>
      </c>
      <c r="JO215" s="218" t="e">
        <f t="shared" ca="1" si="769"/>
        <v>#N/A</v>
      </c>
      <c r="JP215" s="218" t="e">
        <f ca="1">MIN(($IY215+$IO215)*Control!$C$151, $JF215-$EH215*Control!$C$161)</f>
        <v>#N/A</v>
      </c>
      <c r="JQ215" s="218" t="e">
        <f t="shared" ca="1" si="770"/>
        <v>#N/A</v>
      </c>
      <c r="JR215" s="217" t="e">
        <f ca="1">IF($CP215-Control!$C$150&lt;0, 0, $JQ215/Control!$C$162)</f>
        <v>#N/A</v>
      </c>
      <c r="JS215" s="218" t="e">
        <f t="shared" ca="1" si="771"/>
        <v>#N/A</v>
      </c>
      <c r="JT215" s="218" t="e">
        <f t="shared" ca="1" si="879"/>
        <v>#N/A</v>
      </c>
      <c r="JU215" s="218" t="e">
        <f t="shared" ca="1" si="772"/>
        <v>#N/A</v>
      </c>
      <c r="JV215" s="218" t="e">
        <f t="shared" ca="1" si="773"/>
        <v>#N/A</v>
      </c>
      <c r="JW215" s="216" t="e">
        <f t="shared" ca="1" si="774"/>
        <v>#N/A</v>
      </c>
      <c r="JX215" s="91" t="e">
        <f t="shared" ca="1" si="775"/>
        <v>#N/A</v>
      </c>
      <c r="JY215" s="218" t="e">
        <f t="shared" ca="1" si="776"/>
        <v>#N/A</v>
      </c>
      <c r="JZ215" s="217" t="e">
        <f ca="1">IF(Control!$C$114=1,($IZ215/(IF($JI215&lt;&gt;0,$JI215,1)))*$JK215, 0)</f>
        <v>#N/A</v>
      </c>
      <c r="KA215" s="218" t="e">
        <f t="shared" ca="1" si="914"/>
        <v>#N/A</v>
      </c>
      <c r="KB215" s="218" t="e">
        <f t="shared" ca="1" si="880"/>
        <v>#N/A</v>
      </c>
      <c r="KC215" s="218" t="e">
        <f t="shared" ca="1" si="777"/>
        <v>#N/A</v>
      </c>
      <c r="KD215" s="218" t="e">
        <f t="shared" ca="1" si="778"/>
        <v>#N/A</v>
      </c>
      <c r="KE215" s="218" t="e">
        <f t="shared" ca="1" si="779"/>
        <v>#N/A</v>
      </c>
      <c r="KF215" s="218" t="e">
        <f t="shared" ca="1" si="780"/>
        <v>#N/A</v>
      </c>
      <c r="KG215" s="216" t="e">
        <f t="shared" ca="1" si="781"/>
        <v>#N/A</v>
      </c>
      <c r="KH215" s="221" t="e">
        <f ca="1">IF(Control!$B$24=0,1,MAX(0.001,MIN(1,IF(($IF215-$IE215)&lt;&gt;0,($KG215-$IE215)/($IF215-$IE215),1))))</f>
        <v>#N/A</v>
      </c>
      <c r="KI215" s="222" t="e">
        <f ca="1">IF(Control!$C$114=1, $KI214+ $KH214, 0)</f>
        <v>#N/A</v>
      </c>
      <c r="KJ215" s="217" t="e">
        <f t="shared" ca="1" si="782"/>
        <v>#N/A</v>
      </c>
      <c r="KK215" s="218" t="e">
        <f t="shared" ca="1" si="783"/>
        <v>#N/A</v>
      </c>
      <c r="KL215" s="274" t="e">
        <f ca="1">IF(Control!$B$26=3,4000000000*EXP(-8400/($G215+273)),IF(Control!$B$26=4,4000000000*EXP(-8400/($G215+273))*($KT215),0))</f>
        <v>#DIV/0!</v>
      </c>
      <c r="KM215" s="274" t="e">
        <f ca="1">IF(Control!$B$26=3,5600000000000*EXP(-9800/($G215+273)),IF(Control!$B$26=4,5600000000000*EXP(-9800/($G215+273))*$KT215,0))</f>
        <v>#DIV/0!</v>
      </c>
      <c r="KN215" s="454" t="e">
        <f t="shared" ca="1" si="881"/>
        <v>#DIV/0!</v>
      </c>
      <c r="KO215" s="274" t="e">
        <f t="shared" ca="1" si="882"/>
        <v>#DIV/0!</v>
      </c>
      <c r="KP215" s="454" t="e">
        <f t="shared" ca="1" si="784"/>
        <v>#DIV/0!</v>
      </c>
      <c r="KQ215" s="454" t="e">
        <f t="shared" ca="1" si="785"/>
        <v>#DIV/0!</v>
      </c>
      <c r="KR215" s="454" t="e">
        <f t="shared" ca="1" si="786"/>
        <v>#DIV/0!</v>
      </c>
      <c r="KS215" s="454" t="e">
        <f t="shared" ca="1" si="787"/>
        <v>#DIV/0!</v>
      </c>
      <c r="KT215" s="455" t="e">
        <f t="shared" ca="1" si="788"/>
        <v>#DIV/0!</v>
      </c>
      <c r="KU215" s="456" t="e">
        <f ca="1">IF($CP215-Control!$C$149&lt;0, IF($NT215-0.01&lt;0,0,1),0)</f>
        <v>#N/A</v>
      </c>
      <c r="KV215" s="456" t="e">
        <f ca="1">IF(Control!$C$114=1,MAX(0,MIN(Control!$C$125*$KW215*$GN215,$KW215)))</f>
        <v>#DIV/0!</v>
      </c>
      <c r="KW215" s="456" t="e">
        <f t="shared" ca="1" si="915"/>
        <v>#DIV/0!</v>
      </c>
      <c r="KX215" s="457" t="e">
        <f ca="1">IF($CP215-Control!$C$149&lt;0, IF($MR215-$OM215&lt;0,0,1),0)</f>
        <v>#N/A</v>
      </c>
      <c r="KY215" s="167">
        <f t="shared" ca="1" si="883"/>
        <v>211</v>
      </c>
      <c r="KZ215" s="168">
        <f ca="1">1370*(1+0.033*COS(2*Control!$C$138*$AH215/365))</f>
        <v>1330.1227897176202</v>
      </c>
      <c r="LA215" s="169">
        <f t="shared" ca="1" si="884"/>
        <v>0.97089241517645686</v>
      </c>
      <c r="LB215" s="169">
        <f t="shared" ca="1" si="885"/>
        <v>0.32022686362854907</v>
      </c>
      <c r="LC215" s="169">
        <f ca="1">ACOS(-TAN((2*Control!$B$8/360))*TAN(Calculations!$LB215))</f>
        <v>1.6695214253867121</v>
      </c>
      <c r="LD215" s="169">
        <f ca="1">((24*60)/PI())*0.082*$LA215*(($LC215*SIN(Control!$B$8*2*PI()/360))*SIN($LB215)+COS(Control!$B$8*2*PI()/360)*COS($LB215)*SIN($LC215))</f>
        <v>36.333091180906287</v>
      </c>
      <c r="LE215" s="170">
        <f t="shared" ca="1" si="789"/>
        <v>37.418625549215484</v>
      </c>
      <c r="LF215" s="170">
        <f ca="1">SIN(Control!$C$139*Control!$B$8)*SIN($HD215)</f>
        <v>0.24720208767531174</v>
      </c>
      <c r="LG215" s="170">
        <f ca="1">COS(Control!$C$139*Control!$B$8)*COS($HD215)</f>
        <v>0.58458192061262448</v>
      </c>
      <c r="LH215" s="170">
        <f ca="1">12*(1+2*ASIN(MAX(-1,MIN(1,$LF215/$LG215))/Control!$C$138))</f>
        <v>15.240315789858567</v>
      </c>
      <c r="LI215" s="170">
        <f ca="1">12*(1+2*ASIN(MAX(-1,MIN(1,(-SIN(-4*Control!$C$139)+$LF215)/$LG215))/Control!$C$138))</f>
        <v>16.162915647437515</v>
      </c>
      <c r="LJ215" s="168">
        <f ca="1">3600*($LH215*$LF215+24*$LG215*SQRT(1-$LK215*$LK215)/Control!$C$138)</f>
        <v>28131.707717871148</v>
      </c>
      <c r="LK215" s="170">
        <f t="shared" ca="1" si="790"/>
        <v>0.4228698818058747</v>
      </c>
      <c r="LL215" s="170">
        <f t="shared" ca="1" si="791"/>
        <v>0</v>
      </c>
      <c r="LM215" s="171">
        <f ca="1">Control!$C$145*$AB215</f>
        <v>6.6660906138995932E-2</v>
      </c>
      <c r="LN215" s="170">
        <f t="shared" ca="1" si="886"/>
        <v>0.54</v>
      </c>
      <c r="LO215" s="170">
        <f t="shared" ca="1" si="792"/>
        <v>0</v>
      </c>
      <c r="LP215" s="170">
        <f ca="1">Control!$C$140*((($D215+273.16)^4+($E215+273.16)^4)/2)*(0.34-0.14*SQRT($Y215))*(1.35*$AQ215/(0.75*$LD215)-0.35)</f>
        <v>-3.2464704755046001</v>
      </c>
      <c r="LQ215" s="170">
        <f ca="1">Control!$C$140*($G215+273)^4*(0.56-0.079*SQRT($Y215*10))*(0.1+0.9*$LO215)</f>
        <v>1.5241745131704001</v>
      </c>
      <c r="LR215" s="170">
        <f ca="1">$AQ215*(1-Control!$C$142)-$LQ215</f>
        <v>-1.5241745131704001</v>
      </c>
      <c r="LS215" s="170">
        <f ca="1">$AQ215*(1-Control!$C$143)-$LQ215</f>
        <v>-1.5241745131704001</v>
      </c>
      <c r="LT215" s="170">
        <f ca="1">$AQ215*(1-Control!$C$144)-$LQ215</f>
        <v>-1.5241745131704001</v>
      </c>
      <c r="LU215" s="169">
        <f ca="1">(1-Control!$C$144)*AQ215-LP215</f>
        <v>3.2464704755046001</v>
      </c>
      <c r="LV215" s="172">
        <f t="shared" ca="1" si="793"/>
        <v>0.79430000000000012</v>
      </c>
      <c r="LW215" s="170">
        <f t="shared" ca="1" si="794"/>
        <v>1.5886000000000002</v>
      </c>
      <c r="LX215" s="170">
        <f ca="1">($AC215*($LR215/Control!$C$141)+$LM215*$LV215)/($AC215+$LM215)</f>
        <v>0.23530094218323697</v>
      </c>
      <c r="LY215" s="170">
        <f ca="1">($AC215*($LS215/Control!$C$141)+$LM215*$LV215)/($AC215+$LM215)</f>
        <v>0.23530094218323697</v>
      </c>
      <c r="LZ215" s="170">
        <f t="shared" ca="1" si="795"/>
        <v>0.23530094218323697</v>
      </c>
      <c r="MA215" s="170">
        <f t="shared" ca="1" si="796"/>
        <v>0.23530094218323697</v>
      </c>
      <c r="MB215" s="170" t="e">
        <f t="shared" ca="1" si="797"/>
        <v>#N/A</v>
      </c>
      <c r="MC215" s="170">
        <f t="shared" ca="1" si="887"/>
        <v>0.6018</v>
      </c>
      <c r="MD215" s="170">
        <f t="shared" ca="1" si="798"/>
        <v>0.52989392535414004</v>
      </c>
      <c r="ME215" s="170">
        <f ca="1">($AC215*($LT215/Control!$C$141)+$LM215*$LW215)/($AC215+$LM215)</f>
        <v>0.71612369323045078</v>
      </c>
      <c r="MF215" s="170" t="e">
        <f ca="1">IF(Control!$B$16&gt;=1000,0.92,IF(AND(720&lt;=Control!$B$16,1000&gt;Control!$B$16),(0.95+(Control!$B$16-720)*((0.92-0.95)/(1000-720))),IF(AND(360&lt;=Control!$B$16,720&gt;Control!$B$16),(1+(Control!$B$16-360)*((0.95-1)/(720-360))),IF(AND(40&lt;=Control!$B$16,360&gt;Control!$B$16),(1.05+(Control!$B$16-40)*((1.05-1)/(360-40)))))))</f>
        <v>#N/A</v>
      </c>
      <c r="MG215" s="170">
        <f t="shared" ca="1" si="799"/>
        <v>0.71612369323045078</v>
      </c>
      <c r="MH215" s="170" t="e">
        <f t="shared" ca="1" si="924"/>
        <v>#N/A</v>
      </c>
      <c r="MI215" s="170" t="e">
        <f t="shared" ca="1" si="924"/>
        <v>#N/A</v>
      </c>
      <c r="MJ215" s="170" t="e">
        <f ca="1">MAX(0.0001, Control!$C$132*$MI215*$DL215)</f>
        <v>#N/A</v>
      </c>
      <c r="MK215" s="170">
        <f ca="1">1/(0.76+1.5*($MG215/10))-(5-Control!$C$110)*0.1</f>
        <v>1.002845988140797</v>
      </c>
      <c r="ML215" s="173">
        <f ca="1">IF(Control!$C$110&lt;3,$MK215+($MG215-0.6)/(Control!$C$110*(Control!$C$110+3)), MAX(0.1, MIN(0.95,$MK215)))</f>
        <v>0.95</v>
      </c>
      <c r="MM215" s="173">
        <f ca="1">IF(Control!$C$110&lt;3,$MK215+(($MI215/10)-0.6)/(Control!$C$110*(Control!$C$110+3)), MAX(0.1, MIN(0.95,$MK215)))</f>
        <v>0.95</v>
      </c>
      <c r="MN215" s="173">
        <f ca="1">(1-$MM215)*(Control!$C$128-Control!$C$127)+Control!$C$127</f>
        <v>0.16</v>
      </c>
      <c r="MO215" s="170" t="e">
        <f ca="1">MAX(0,MIN(1,($MS215-Control!$C$127)/($MN215-Control!$C$127)))</f>
        <v>#DIV/0!</v>
      </c>
      <c r="MP215" s="173" t="e">
        <f ca="1">1/(0.76+1.5*$MI215)-(5-Control!$C$110)*0.1</f>
        <v>#N/A</v>
      </c>
      <c r="MQ215" s="172" t="e">
        <f t="shared" ca="1" si="916"/>
        <v>#DIV/0!</v>
      </c>
      <c r="MR215" s="168" t="e">
        <f t="shared" ca="1" si="888"/>
        <v>#DIV/0!</v>
      </c>
      <c r="MS215" s="173" t="e">
        <f ca="1">MAX(Control!$C$127, MIN(Control!$C$135, $MR215/MAX(0.0001,$CY215)))</f>
        <v>#DIV/0!</v>
      </c>
      <c r="MT215" s="168" t="e">
        <f ca="1">(Control!$C$128-$MS215)*Control!$C$74</f>
        <v>#DIV/0!</v>
      </c>
      <c r="MU215" s="168" t="e">
        <f ca="1">(Control!$C$135-$MS215)*Control!$C$74</f>
        <v>#DIV/0!</v>
      </c>
      <c r="MV215" s="168" t="e">
        <f t="shared" ca="1" si="889"/>
        <v>#DIV/0!</v>
      </c>
      <c r="MW215" s="168" t="e">
        <f t="shared" ca="1" si="890"/>
        <v>#DIV/0!</v>
      </c>
      <c r="MX215" s="171" t="e">
        <f ca="1">MAX(Control!$C$127, MIN(Control!$C$135, $MW215/MAX(0.0001,Control!$C$119-$CY215)))</f>
        <v>#DIV/0!</v>
      </c>
      <c r="MY215" s="54" t="e">
        <f ca="1">IF(Control!$C$114=1, $CX215*$MX215, 0)</f>
        <v>#DIV/0!</v>
      </c>
      <c r="MZ215" s="54" t="e">
        <f t="shared" ca="1" si="891"/>
        <v>#N/A</v>
      </c>
      <c r="NA215" s="168" t="e">
        <f ca="1">(Control!$C$128-$MX215)*(Control!$C$119-Control!$C$74)</f>
        <v>#DIV/0!</v>
      </c>
      <c r="NB215" s="168" t="e">
        <f ca="1">(Control!$C$135-$MX215)*(Control!$C$119-Control!$C$74)</f>
        <v>#DIV/0!</v>
      </c>
      <c r="NC215" s="174" t="e">
        <f t="shared" ca="1" si="892"/>
        <v>#DIV/0!</v>
      </c>
      <c r="ND215" s="54">
        <f ca="1">IF(Control!$C$58=2, IF(OR(Control!$B$218=$AH215,Control!$B$219=$AH215, Control!$B$220=$AH215, Control!$B$221=$AH215, Control!$B$222=$AH215, Control!$B$223=$AH215, Control!$B$224=$AH215, Control!$B$225=$AH215, Control!$B$226=$AH215, Control!$B$227=$AH215, Control!$B$228=$AH215), 1, 0), 0)</f>
        <v>1</v>
      </c>
      <c r="NE215" s="54">
        <f ca="1">IF($ND215=0,0, VLOOKUP($AH215,Control!$B$218:$C$228,2))</f>
        <v>0</v>
      </c>
      <c r="NF215" s="168" t="e">
        <f ca="1">$CY215*(Control!$C$128-Control!$C$127)</f>
        <v>#N/A</v>
      </c>
      <c r="NG215" s="54" t="e">
        <f ca="1">IF(Control!$C$58=2, $NI214-$NJ214, 0)</f>
        <v>#DIV/0!</v>
      </c>
      <c r="NH215" s="54" t="e">
        <f ca="1">IF(AND(Control!$C$58=1, $MS214&lt;= ($MN214+0.02), $I214&lt;10), 0, IF(Control!$C$58=2, $NG214, 0))</f>
        <v>#DIV/0!</v>
      </c>
      <c r="NI215" s="54" t="e">
        <f ca="1">IF(Control!$C$58=2, $NE215+$NH215,0)</f>
        <v>#DIV/0!</v>
      </c>
      <c r="NJ215" s="54" t="e">
        <f ca="1">IF(AND(Control!$C$58=1, $MS215&lt;= ($MN215+0.02), $I215&lt;10), MAX(0, MIN(10, 0.7*($NF215-$MV215))), IF(Control!$C$58=2, MIN(10,$NI215),0))</f>
        <v>#DIV/0!</v>
      </c>
      <c r="NK215" s="54" t="e">
        <f t="shared" ca="1" si="800"/>
        <v>#DIV/0!</v>
      </c>
      <c r="NL215" s="173" t="e">
        <f ca="1">(1-Control!$C$73)*$I215+$NJ215</f>
        <v>#DIV/0!</v>
      </c>
      <c r="NM215" s="172" t="e">
        <f ca="1">IF($NL215&lt;0.5, $MB215* MAX(0, MIN(1, (SQRT($NC215)-SQRT($NC215-1))*Control!$C$71)),0)</f>
        <v>#DIV/0!</v>
      </c>
      <c r="NN215" s="170" t="e">
        <f ca="1">IF($NL215&gt;=5, $MB215, MAX(0,MIN($MB215, $NM215+$NL215,($MS215-Control!$C$129))))</f>
        <v>#DIV/0!</v>
      </c>
      <c r="NO215" s="54">
        <f>IF(Control!$C$133&lt;&gt;1, Control!$C$135-Control!$C$131, 0)</f>
        <v>0.38</v>
      </c>
      <c r="NP215" s="54" t="e">
        <f t="shared" ca="1" si="801"/>
        <v>#DIV/0!</v>
      </c>
      <c r="NQ215" s="173" t="e">
        <f ca="1">MAX(0,MIN(1,(Control!$C$135-$MS215)/(Control!$C$135-$NO215)))</f>
        <v>#DIV/0!</v>
      </c>
      <c r="NR215" s="170" t="e">
        <f ca="1">IF(Control!$C$133&lt;&gt;1, $NQ215+((1-$NP215/4)*(1-$NQ215)),1)</f>
        <v>#DIV/0!</v>
      </c>
      <c r="NS215" s="170" t="e">
        <f ca="1">IF(Control!$B$31=0,$MJ215,MAX(0,MIN($MV215,$MO215*$NR215*$MJ215)))</f>
        <v>#DIV/0!</v>
      </c>
      <c r="NT215" s="170" t="e">
        <f t="shared" ca="1" si="917"/>
        <v>#DIV/0!</v>
      </c>
      <c r="NU215" s="170" t="e">
        <f t="shared" ca="1" si="893"/>
        <v>#N/A</v>
      </c>
      <c r="NV215" s="170" t="e">
        <f t="shared" ca="1" si="802"/>
        <v>#N/A</v>
      </c>
      <c r="NW215" s="175" t="e">
        <f t="shared" ca="1" si="803"/>
        <v>#DIV/0!</v>
      </c>
      <c r="NX215" s="170" t="e">
        <f ca="1">MIN(Control!$C$72+$MU215, $NW215)</f>
        <v>#DIV/0!</v>
      </c>
      <c r="NY215" s="170" t="e">
        <f ca="1">IF($MT215&lt;=$NX215,MIN(Control!$C$72+$NB215,$NX215-$MT215),0)</f>
        <v>#DIV/0!</v>
      </c>
      <c r="NZ215" s="54" t="e">
        <f ca="1">IF(Control!$C$114=1,  $CX215*($MX215-Control!$C$127), 0)</f>
        <v>#DIV/0!</v>
      </c>
      <c r="OA215" s="170" t="e">
        <f t="shared" ca="1" si="804"/>
        <v>#DIV/0!</v>
      </c>
      <c r="OB215" s="170" t="e">
        <f ca="1">IF($NA215 &lt;=$NY215, MIN(Control!$C$72, $NY215-$NA215), 0)</f>
        <v>#DIV/0!</v>
      </c>
      <c r="OC215" s="168" t="e">
        <f t="shared" ca="1" si="805"/>
        <v>#DIV/0!</v>
      </c>
      <c r="OD215" s="168" t="e">
        <f t="shared" ca="1" si="894"/>
        <v>#DIV/0!</v>
      </c>
      <c r="OE215" s="170">
        <f ca="1">Control!$C$73*$I215</f>
        <v>0</v>
      </c>
      <c r="OF215" s="176" t="e">
        <f t="shared" ca="1" si="806"/>
        <v>#DIV/0!</v>
      </c>
      <c r="OG215" s="168" t="e">
        <f t="shared" ca="1" si="807"/>
        <v>#DIV/0!</v>
      </c>
      <c r="OH215" s="168" t="e">
        <f t="shared" ca="1" si="808"/>
        <v>#DIV/0!</v>
      </c>
      <c r="OI215" s="168" t="e">
        <f t="shared" ca="1" si="809"/>
        <v>#DIV/0!</v>
      </c>
      <c r="OJ215" s="168" t="e">
        <f t="shared" ca="1" si="810"/>
        <v>#DIV/0!</v>
      </c>
      <c r="OK215" s="204" t="e">
        <f t="shared" ca="1" si="811"/>
        <v>#DIV/0!</v>
      </c>
      <c r="OL215" s="177">
        <f>Control!$C$127</f>
        <v>0.15</v>
      </c>
      <c r="OM215" s="182" t="e">
        <f t="shared" ca="1" si="812"/>
        <v>#N/A</v>
      </c>
      <c r="ON215" s="177">
        <f>Control!$C$128</f>
        <v>0.35</v>
      </c>
      <c r="OO215" s="182" t="e">
        <f t="shared" ca="1" si="813"/>
        <v>#N/A</v>
      </c>
      <c r="OP215" s="138">
        <f t="shared" ca="1" si="895"/>
        <v>0</v>
      </c>
      <c r="OQ215" s="138" t="e">
        <f t="shared" ca="1" si="918"/>
        <v>#DIV/0!</v>
      </c>
      <c r="OR215" s="138" t="e">
        <f t="shared" ca="1" si="896"/>
        <v>#DIV/0!</v>
      </c>
      <c r="OS215" s="137" t="e">
        <f t="shared" ca="1" si="919"/>
        <v>#DIV/0!</v>
      </c>
      <c r="OT215" s="139" t="e">
        <f t="shared" ca="1" si="920"/>
        <v>#DIV/0!</v>
      </c>
      <c r="OU215" s="138" t="e">
        <f t="shared" ca="1" si="921"/>
        <v>#N/A</v>
      </c>
      <c r="OV215" s="138" t="e">
        <f t="shared" ca="1" si="922"/>
        <v>#DIV/0!</v>
      </c>
      <c r="OW215" s="138" t="e">
        <f t="shared" ca="1" si="897"/>
        <v>#DIV/0!</v>
      </c>
      <c r="OX215" s="138" t="e">
        <f t="shared" ca="1" si="898"/>
        <v>#DIV/0!</v>
      </c>
      <c r="OY215" s="138" t="e">
        <f t="shared" ca="1" si="899"/>
        <v>#DIV/0!</v>
      </c>
      <c r="OZ215" s="138" t="e">
        <f t="shared" ca="1" si="814"/>
        <v>#DIV/0!</v>
      </c>
      <c r="PA215" s="138" t="e">
        <f t="shared" ca="1" si="815"/>
        <v>#DIV/0!</v>
      </c>
      <c r="PB215" s="55">
        <f>IF(Control!$C$61="T", IF(Control!$C$65="F", IF($AH$6-Control!$C$60&lt;0,0,1), IF(365+$AH$6-Control!$C$60&lt;0,0,1)),0)</f>
        <v>0</v>
      </c>
      <c r="PC215" s="55">
        <f ca="1">IF(Control!$C$65="F", IF($AH$6-$HF215&lt;0,0,1), IF(365+$AH$6-$HF215&lt;0,0,1))</f>
        <v>1</v>
      </c>
      <c r="PD215" s="444">
        <f>Control!$C$118</f>
        <v>1500</v>
      </c>
      <c r="PE215" s="180" t="e">
        <f t="shared" ca="1" si="816"/>
        <v>#N/A</v>
      </c>
      <c r="PF215" s="445">
        <f t="shared" ca="1" si="900"/>
        <v>0.71612369323045078</v>
      </c>
      <c r="PT215" s="186"/>
      <c r="PU215" s="186"/>
      <c r="PV215" s="94"/>
      <c r="PW215" s="94"/>
      <c r="PX215" s="94"/>
      <c r="PY215" s="94"/>
      <c r="PZ215" s="94"/>
      <c r="QA215" s="94"/>
      <c r="QB215" s="94"/>
      <c r="QC215" s="94"/>
      <c r="QD215" s="94"/>
      <c r="QE215" s="94"/>
      <c r="QF215" s="94"/>
      <c r="QG215" s="94"/>
      <c r="QH215" s="94"/>
      <c r="QI215" s="94"/>
      <c r="QJ215" s="94"/>
      <c r="QK215" s="94"/>
      <c r="QL215" s="94"/>
      <c r="QM215" s="94"/>
      <c r="QN215" s="94"/>
      <c r="QO215" s="94"/>
      <c r="QP215" s="94"/>
    </row>
    <row r="216" spans="1:458" s="2" customFormat="1" x14ac:dyDescent="0.2">
      <c r="A216" s="395">
        <v>30</v>
      </c>
      <c r="B216" s="396">
        <v>7</v>
      </c>
      <c r="C216" s="387">
        <f ca="1">Weather_data!$B215</f>
        <v>0</v>
      </c>
      <c r="D216" s="388">
        <f ca="1">Weather_data!$F215</f>
        <v>0</v>
      </c>
      <c r="E216" s="388">
        <f ca="1">Weather_data!$E215</f>
        <v>0</v>
      </c>
      <c r="F216" s="388">
        <f t="shared" ca="1" si="817"/>
        <v>0</v>
      </c>
      <c r="G216" s="388">
        <f ca="1">AVERAGE($D216:$E216)+Control!$B$9</f>
        <v>0</v>
      </c>
      <c r="H216" s="388">
        <f ca="1">Weather_data!$G215</f>
        <v>0</v>
      </c>
      <c r="I216" s="388">
        <f ca="1">Weather_data!$I215</f>
        <v>0</v>
      </c>
      <c r="J216" s="388">
        <f ca="1">Weather_data!$H215</f>
        <v>0</v>
      </c>
      <c r="K216" s="389">
        <f ca="1">Weather_data!$D215</f>
        <v>0</v>
      </c>
      <c r="L216" s="388" t="e">
        <f t="shared" ca="1" si="818"/>
        <v>#N/A</v>
      </c>
      <c r="M216" s="388" t="e">
        <f t="shared" ca="1" si="696"/>
        <v>#N/A</v>
      </c>
      <c r="N216" s="388">
        <f t="shared" ca="1" si="697"/>
        <v>-1.2299769891940194E-10</v>
      </c>
      <c r="O216" s="388">
        <f t="shared" ca="1" si="819"/>
        <v>1.2299769891940194E-9</v>
      </c>
      <c r="P216" s="390">
        <v>3</v>
      </c>
      <c r="Q216" s="388">
        <f ca="1">MAX($G216-Control!$C$107,0)</f>
        <v>0</v>
      </c>
      <c r="R216" s="388">
        <f t="shared" ca="1" si="820"/>
        <v>0</v>
      </c>
      <c r="S216" s="388">
        <f t="shared" ca="1" si="698"/>
        <v>0</v>
      </c>
      <c r="T216" s="388">
        <f t="shared" ca="1" si="699"/>
        <v>0</v>
      </c>
      <c r="U216" s="59">
        <f t="shared" ca="1" si="700"/>
        <v>0</v>
      </c>
      <c r="V216" s="391">
        <f ca="1">MAX(0,MIN(Control!$C$100-Control!$C$99,$G216-Control!$C$99)*Control!$C$63)</f>
        <v>0</v>
      </c>
      <c r="W216" s="388">
        <f t="shared" ca="1" si="821"/>
        <v>0</v>
      </c>
      <c r="X216" s="388">
        <f t="shared" ca="1" si="822"/>
        <v>0.6110000000000001</v>
      </c>
      <c r="Y216" s="388">
        <f t="shared" ca="1" si="701"/>
        <v>0</v>
      </c>
      <c r="Z216" s="388">
        <f t="shared" ca="1" si="823"/>
        <v>0.61058800000000002</v>
      </c>
      <c r="AA216" s="388">
        <f t="shared" ca="1" si="702"/>
        <v>0.6018</v>
      </c>
      <c r="AB216" s="388">
        <f ca="1">101.3*EXP(-0.034*Control!$C$66/($G216+273))</f>
        <v>100.69623283836242</v>
      </c>
      <c r="AC216" s="392">
        <f t="shared" ca="1" si="703"/>
        <v>4.3460251046025113E-2</v>
      </c>
      <c r="AD216" s="392">
        <f t="shared" ca="1" si="704"/>
        <v>4.4450382862832649E-2</v>
      </c>
      <c r="AE216" s="388">
        <f t="shared" ca="1" si="705"/>
        <v>0</v>
      </c>
      <c r="AF216" s="388">
        <f ca="1">MAX(0,$G216-Control!$C$92)</f>
        <v>0</v>
      </c>
      <c r="AG216" s="393">
        <f t="shared" ca="1" si="706"/>
        <v>212</v>
      </c>
      <c r="AH216" s="389">
        <f t="shared" ca="1" si="707"/>
        <v>212</v>
      </c>
      <c r="AI216" s="388">
        <f t="shared" ca="1" si="824"/>
        <v>0.31460635084639954</v>
      </c>
      <c r="AJ216" s="388">
        <f ca="1">IF(Control!$C$60&lt;=0,$HH216,$HI216)</f>
        <v>1</v>
      </c>
      <c r="AK216" s="388">
        <f t="shared" ca="1" si="708"/>
        <v>2.272275234377275</v>
      </c>
      <c r="AL216" s="388">
        <f t="shared" ca="1" si="709"/>
        <v>-3.608432996848876E-19</v>
      </c>
      <c r="AM216" s="388">
        <f t="shared" ca="1" si="710"/>
        <v>2.272275234377275</v>
      </c>
      <c r="AN216" s="388">
        <f t="shared" ca="1" si="711"/>
        <v>0.30875725161058248</v>
      </c>
      <c r="AO216" s="388">
        <f ca="1">-0.10453/COS(Control!$B$8*PI()/180)*COS(AN216)</f>
        <v>-0.16175606831971401</v>
      </c>
      <c r="AP216" s="388">
        <f ca="1">ACOS(AO216-TAN(Control!$B$8*PI()/180)*TAN(AN216))</f>
        <v>2.1773063370310162</v>
      </c>
      <c r="AQ216" s="388">
        <f t="shared" ca="1" si="825"/>
        <v>0</v>
      </c>
      <c r="AR216" s="394">
        <f t="shared" ca="1" si="712"/>
        <v>0</v>
      </c>
      <c r="AS216" s="436">
        <f ca="1">IF(Control!$B$18=2,(IF(OR($AH216=Control!$B$175,$AH216=Control!$B$176,$AH216=Control!$B$177,$AH216=Control!$B$178,$AH216=Control!$B$179,$AH216=Control!$B$180,$AH216=Control!$B$181,$AH216=Control!$B$182,$AH216=Control!$B$183,$AH216=Control!$B$184,$AH216=Control!$B$185),1,0)),0)</f>
        <v>0</v>
      </c>
      <c r="AT216" s="436">
        <f>IF(Control!$B$20=8,IF(AND($AH216&gt;=Control!$B$172,$AH216&lt;=Control!$B$173),1,0),0)</f>
        <v>0</v>
      </c>
      <c r="AU216" s="436">
        <f>IF(Control!$B$20=8,IF($AV215=1,1*$AT216,IF($AT216=1,$AU215+1,$AU215)),0)</f>
        <v>0</v>
      </c>
      <c r="AV216" s="436">
        <f>IF(Control!$B$20=8,IF($AU216&gt;=Control!$B$174,1,0),0)</f>
        <v>0</v>
      </c>
      <c r="AW216" s="436">
        <f ca="1">IF(AND(Control!$B$18=2,Control!$B$171=1), $AV216, $AS216)</f>
        <v>0</v>
      </c>
      <c r="AX216" s="436" t="e">
        <f ca="1">IF(AND(Control!$B$18=1,$EU216&gt;=Control!$B$19),-$AY216,IF(AND(Control!$B$18=2,$AW216=1,$EU216&gt;$DS216),-$AY216, IF(Control!$C$108=0,0, IF(Control!$C$108&lt;&gt;0,1))))</f>
        <v>#N/A</v>
      </c>
      <c r="AY216" s="436" t="e">
        <f t="shared" ca="1" si="826"/>
        <v>#N/A</v>
      </c>
      <c r="AZ216" s="436" t="e">
        <f ca="1">IF(AND(Control!$B$18=1,$EB216&gt;Control!$B$19),$AZ215+1, IF(AND(Control!$B$18=2, $AW216=1, $EB216&gt;$DS216), $AZ215+1,$AZ215))</f>
        <v>#N/A</v>
      </c>
      <c r="BA216" s="587">
        <f>IF(Control!$C$81=0,1,IF($AH216&gt;=Control!$C$82,1,0))</f>
        <v>1</v>
      </c>
      <c r="BB216" s="140" t="e">
        <f ca="1">IF($BA216&gt;$BA215,Control!$C$83,IF($AW216&gt;0,$AW216*Control!$C$84,IF(AND(Control!$B$18=1,EN215&lt;&gt;0),Control!$C$84,0)))</f>
        <v>#N/A</v>
      </c>
      <c r="BC216" s="140" t="e">
        <f t="shared" ca="1" si="827"/>
        <v>#N/A</v>
      </c>
      <c r="BD216" s="140" t="e">
        <f ca="1">BC216*IF(OR($G216&lt;Control!$C$92,$G216&gt;Control!$C$95),0,IF(AND($G216&gt;=Control!$C$92,$G216&lt;=Control!$C$93),$G216-Control!$C$92,IF(AND($G216&gt;Control!$C$93,$G216&lt;=Control!$C$94),Control!$C$93-Control!$C$92,IF(AND($G216&gt;Control!$C$94,$G216&lt;=Control!$C$95),(Control!$C$93-Control!$C$92)*(Control!$C$94-$G216)/(Control!$C$95-Control!$C$94)))))</f>
        <v>#N/A</v>
      </c>
      <c r="BE216" s="140" t="e">
        <f t="shared" ca="1" si="828"/>
        <v>#N/A</v>
      </c>
      <c r="BF216" s="140" t="e">
        <f ca="1">IF($BE216&lt;=Control!$C$86,$BE216,Control!$C$86-$BE216)</f>
        <v>#N/A</v>
      </c>
      <c r="BG216" s="140" t="e">
        <f ca="1">IF(AND($AW216=1,Control!$C$84&lt;9),1,IF($BE216&gt;=Control!$C$86,0,$BC216))</f>
        <v>#N/A</v>
      </c>
      <c r="BH216" s="404" t="e">
        <f ca="1">IF($BG216=0,0,IF($BE216&lt;=Control!$C$86,$BC216*9*($BF216/Control!$C$86),0))</f>
        <v>#N/A</v>
      </c>
      <c r="BI216" s="140" t="e">
        <f ca="1">IF($BG216=1,0,IF($BE216&gt;=Control!$C$86,1,IF(AND($BB216&lt;21,$BB216&gt;=9),1,$BM215)))</f>
        <v>#N/A</v>
      </c>
      <c r="BJ216" s="140" t="e">
        <f ca="1">IF($BF216&lt;0,-$BF216,$BI216*IF(OR($G216&lt;Control!$C$92,$G216&gt;Control!$C$95),0,IF(AND($G216&gt;=Control!$C$92,$G216&lt;=Control!$C$93),$G216-Control!$C$92,IF(AND($G216&gt;Control!$C$93,$G216&lt;=Control!$C$94),Control!$C$93-Control!$C$92,IF(AND($G216&gt;Control!$C$94,$G216&lt;=Control!$C$95),(Control!$C$93-Control!$C$92)*(Control!$C$94-$G216)/(Control!$C$95-Control!$C$94))))))</f>
        <v>#N/A</v>
      </c>
      <c r="BK216" s="140" t="e">
        <f t="shared" ca="1" si="829"/>
        <v>#N/A</v>
      </c>
      <c r="BL216" s="140" t="e">
        <f ca="1">IF($BK216&lt;=Control!$C$87,$BK216,Control!$C$87-$BK216)</f>
        <v>#N/A</v>
      </c>
      <c r="BM216" s="140" t="e">
        <f ca="1">IF(AND($BB216&gt;=9,$BB216&lt;21),1,IF($BK216&gt;=Control!$C$87,0,$BI216))</f>
        <v>#N/A</v>
      </c>
      <c r="BN216" s="404" t="e">
        <f ca="1">IF($BM216=0,0,IF($BK216&lt;=Control!$C$87,$BI216*(9+(21-9)*($BL216/Control!$C$87)),0))</f>
        <v>#N/A</v>
      </c>
      <c r="BO216" s="140" t="e">
        <f ca="1">IF($BM216=1,0,IF($BK216&gt;=Control!$C$87,1,IF(AND($BB216&lt;30,$BB216&gt;=21),1,$BS215)))</f>
        <v>#N/A</v>
      </c>
      <c r="BP216" s="140" t="e">
        <f ca="1">IF($BL216&lt;0,-$BL216,$BO216*IF(OR($G216&lt;Control!$C$92,$G216&gt;Control!$C$95),0,IF(AND($G216&gt;=Control!$C$92,$G216&lt;=Control!$C$93),$G216-Control!$C$92,IF(AND($G216&gt;Control!$C$93,$G216&lt;=Control!$C$94),Control!$C$93-Control!$C$92,IF(AND($G216&gt;Control!$C$94,$G216&lt;=Control!$C$95),(Control!$C$93-Control!$C$92)*(Control!$C$94-$G216)/(Control!$C$95-Control!$C$94))))))</f>
        <v>#N/A</v>
      </c>
      <c r="BQ216" s="140" t="e">
        <f t="shared" ca="1" si="713"/>
        <v>#N/A</v>
      </c>
      <c r="BR216" s="140" t="e">
        <f ca="1">IF($BQ216&lt;=Control!$C$88,$BQ216,Control!$C$88-$BQ216)</f>
        <v>#N/A</v>
      </c>
      <c r="BS216" s="140" t="e">
        <f ca="1">IF(AND($BB216&gt;=21,$BB216&lt;30),1,IF($BQ216&gt;=Control!$C$88,0,$BO216))</f>
        <v>#N/A</v>
      </c>
      <c r="BT216" s="404" t="e">
        <f ca="1">IF($BS216=0,0,IF($BQ216&lt;=Control!$C$88,$BO216*(21+(30-21)*(BR216/Control!$C$88)),0))</f>
        <v>#N/A</v>
      </c>
      <c r="BU216" s="140" t="e">
        <f ca="1">IF(BG216+BM216+BS216=1,0,IF(OR(AND($BB216&lt;60,$BB216&gt;=30),$BQ216&gt;=Control!$C$88),1*$BA216,$BY215))</f>
        <v>#N/A</v>
      </c>
      <c r="BV216" s="140" t="e">
        <f ca="1">IF($BR216&lt;0,-$BR216,$BU216*IF(OR($G216&lt;Control!$C$92,$G216&gt;Control!$C$95),0,IF(AND($G216&gt;=Control!$C$92,$G216&lt;=Control!$C$93),$G216-Control!$C$92,IF(AND($G216&gt;Control!$C$93,$G216&lt;=Control!$C$94),Control!$C$93-Control!$C$92,IF(AND($G216&gt;Control!$C$94,$G216&lt;=Control!$C$95),(Control!$C$93-Control!$C$92)*(Control!$C$94-$G216)/(Control!$C$95-Control!$C$94))))))</f>
        <v>#N/A</v>
      </c>
      <c r="BW216" s="140" t="e">
        <f t="shared" ca="1" si="714"/>
        <v>#N/A</v>
      </c>
      <c r="BX216" s="140" t="e">
        <f ca="1">IF($BW216&lt;=Control!$C$89,$BW216,Control!$C$89-$BW216)</f>
        <v>#N/A</v>
      </c>
      <c r="BY216" s="140" t="e">
        <f ca="1">IF(AND($AJ216&gt;=30,$AJ216&lt;60),1,IF($BW216&gt;=Control!$C$89,0,$BU216))</f>
        <v>#N/A</v>
      </c>
      <c r="BZ216" s="404" t="e">
        <f ca="1">IF($BY216=0,0,IF($BW216&lt;=Control!$C$89,$BU216*(30+(60-30)*(BX216/Control!$C$89)),0))</f>
        <v>#N/A</v>
      </c>
      <c r="CA216" s="140" t="e">
        <f ca="1">IF($BG216+$BM216+$BS216+$BY216=1,0,IF(OR(AND($BB216&lt;65,$BB216&gt;=60),$BW216&gt;=Control!$C$89),1*$BA216,$CE215))</f>
        <v>#N/A</v>
      </c>
      <c r="CB216" s="140" t="e">
        <f ca="1">IF($BX216&lt;0,-$BX216,$CA216*IF(OR($G216&lt;Control!$C$92,$G216&gt;Control!$C$95),0,IF(AND($G216&gt;=Control!$C$92,$G216&lt;=Control!$C$93),$G216-Control!$C$92,IF(AND($G216&gt;Control!$C$93,$G216&lt;=Control!$C$94),Control!$C$93-Control!$C$92,IF(AND($G216&gt;Control!$C$94,$G216&lt;=Control!$C$95),(Control!$C$93-Control!$C$92)*(Control!$C$94-$G216)/(Control!$C$95-Control!$C$94))))))</f>
        <v>#N/A</v>
      </c>
      <c r="CC216" s="140" t="e">
        <f t="shared" ca="1" si="830"/>
        <v>#N/A</v>
      </c>
      <c r="CD216" s="140" t="e">
        <f ca="1">IF($CC216&lt;=Control!$C$90,$CC216,Control!$C$90-$CC216)</f>
        <v>#N/A</v>
      </c>
      <c r="CE216" s="140" t="e">
        <f ca="1">IF(AND($BB216&gt;=60,$BB216&lt;65),1,IF($CC216&gt;=Control!$C$90,0,$CA216))</f>
        <v>#N/A</v>
      </c>
      <c r="CF216" s="404" t="e">
        <f ca="1">IF($CE216=0,0,IF($CC216&lt;=Control!$C$90,$CA216*(60+(65-60)*(CD216/Control!$C$90)),0))</f>
        <v>#N/A</v>
      </c>
      <c r="CG216" s="140" t="e">
        <f ca="1">IF($BG216+$BM216+$BS216+$BY216+$CE216=1,0,IF(OR(AND($BB216&lt;90,$BB216&gt;=65),$CC216&gt;=Control!$C$90),$BA216,$CK215))</f>
        <v>#N/A</v>
      </c>
      <c r="CH216" s="140" t="e">
        <f ca="1">IF($CD216&lt;0,-$CD216,$CG216*IF(OR($G216&lt;Control!$C$92,$G216&gt;Control!$C$95),0,IF(AND($G216&gt;=Control!$C$92,$G216&lt;=Control!$C$93),$G216-Control!$C$92,IF(AND($G216&gt;Control!$C$93,$G216&lt;=Control!$C$94),Control!$C$93-Control!$C$92,IF(AND($G216&gt;Control!$C$94,$G216&lt;=Control!$C$95),(Control!$C$93-Control!$C$92)*(Control!$C$94-$G216)/(Control!$C$95-Control!$C$94))))))</f>
        <v>#N/A</v>
      </c>
      <c r="CI216" s="140" t="e">
        <f t="shared" ca="1" si="831"/>
        <v>#N/A</v>
      </c>
      <c r="CJ216" s="140" t="e">
        <f ca="1">IF($CI216&lt;=Control!$C$91,$CI216,Control!$C$91-$CI216)</f>
        <v>#N/A</v>
      </c>
      <c r="CK216" s="140" t="e">
        <f ca="1">IF(AND($BB216&gt;=65,$BB216&lt;90),1,IF($CI216&gt;=Control!$C$91,0,$CG216))</f>
        <v>#N/A</v>
      </c>
      <c r="CL216" s="404" t="e">
        <f ca="1">IF($CK216=0,0,IF($CI216&lt;=Control!$C$91,$CG216*(65+(90-65)*($CJ216/Control!$C$91)),0))</f>
        <v>#N/A</v>
      </c>
      <c r="CM216" s="140" t="e">
        <f ca="1">IF($BG216+$BM216+$BS216+$BY216+$CE216+$CK216=1,0,IF(OR($BB216&gt;=90,$CI216&gt;=Control!$C$91),$BA216,$CM215))</f>
        <v>#N/A</v>
      </c>
      <c r="CN216" s="140" t="e">
        <f t="shared" ca="1" si="832"/>
        <v>#N/A</v>
      </c>
      <c r="CO216" s="140" t="e">
        <f t="shared" ca="1" si="833"/>
        <v>#N/A</v>
      </c>
      <c r="CP216" s="140" t="e">
        <f t="shared" ca="1" si="834"/>
        <v>#N/A</v>
      </c>
      <c r="CQ216" s="141" t="e">
        <f ca="1">VLOOKUP($CP216,Control!$B$86:$G$91,6)</f>
        <v>#N/A</v>
      </c>
      <c r="CR216" s="141" t="e">
        <f ca="1">(1-$CQ216)*VLOOKUP($CP216,Control!$B$86:$D$91,3)</f>
        <v>#N/A</v>
      </c>
      <c r="CS216" s="141" t="e">
        <f ca="1">(1-$CQ216)*VLOOKUP($CP216,Control!$B$86:$E$91,4)</f>
        <v>#N/A</v>
      </c>
      <c r="CT216" s="141" t="e">
        <f ca="1">(1-$CQ216)*VLOOKUP($CP216,Control!$B$86:$F$91,5)</f>
        <v>#N/A</v>
      </c>
      <c r="CU216" s="141">
        <f t="shared" ca="1" si="835"/>
        <v>0</v>
      </c>
      <c r="CV216" s="583">
        <f t="shared" ca="1" si="836"/>
        <v>0</v>
      </c>
      <c r="CW216" s="142">
        <f t="shared" ca="1" si="837"/>
        <v>212</v>
      </c>
      <c r="CX216" s="612" t="e">
        <f ca="1">IF(Control!$C$114=1,(MIN(Control!$C$120*(IF($NT216-0.01&lt;0,0,1)),Control!$C$119-$CY216)))</f>
        <v>#DIV/0!</v>
      </c>
      <c r="CY216" s="143" t="e">
        <f t="shared" ca="1" si="838"/>
        <v>#N/A</v>
      </c>
      <c r="CZ216" s="144">
        <f t="shared" ca="1" si="715"/>
        <v>0</v>
      </c>
      <c r="DA216" s="144">
        <f t="shared" ca="1" si="716"/>
        <v>0</v>
      </c>
      <c r="DB216" s="144" t="e">
        <f t="shared" ca="1" si="717"/>
        <v>#N/A</v>
      </c>
      <c r="DC216" s="144" t="e">
        <f t="shared" ca="1" si="718"/>
        <v>#N/A</v>
      </c>
      <c r="DD216" s="144" t="e">
        <f t="shared" ca="1" si="923"/>
        <v>#N/A</v>
      </c>
      <c r="DE216" s="143" t="e">
        <f t="shared" ca="1" si="839"/>
        <v>#N/A</v>
      </c>
      <c r="DF216" s="145" t="e">
        <f ca="1">$DR216*EXP(-Control!$C$158*(1-$KH216))</f>
        <v>#N/A</v>
      </c>
      <c r="DG216" s="146" t="e">
        <f ca="1">IF(Control!$C$114=1, $DF216*$EY216, 0)</f>
        <v>#N/A</v>
      </c>
      <c r="DH216" s="147" t="e">
        <f t="shared" ca="1" si="840"/>
        <v>#N/A</v>
      </c>
      <c r="DI216" s="144" t="e">
        <f t="shared" ca="1" si="901"/>
        <v>#N/A</v>
      </c>
      <c r="DJ216" s="147" t="e">
        <f ca="1">$EF216*Control!$C$109</f>
        <v>#N/A</v>
      </c>
      <c r="DK216" s="144" t="e">
        <f t="shared" ca="1" si="841"/>
        <v>#N/A</v>
      </c>
      <c r="DL216" s="144" t="e">
        <f t="shared" ca="1" si="719"/>
        <v>#N/A</v>
      </c>
      <c r="DM216" s="144" t="e">
        <f ca="1">IF(Control!$C$114=1, (1-EXP(-Control!$C$96*$DK216))*$AR216, 0)</f>
        <v>#N/A</v>
      </c>
      <c r="DN216" s="144">
        <f t="shared" ca="1" si="842"/>
        <v>0</v>
      </c>
      <c r="DO216" s="148">
        <f>Control!$C$97</f>
        <v>4</v>
      </c>
      <c r="DP216" s="145" t="e">
        <f t="shared" ca="1" si="843"/>
        <v>#N/A</v>
      </c>
      <c r="DQ216" s="145" t="e">
        <f ca="1">IF(AND($CP216&gt;=0,$CP216&lt;=90),Control!$C$111,Control!$C$111)</f>
        <v>#N/A</v>
      </c>
      <c r="DR216" s="145" t="e">
        <f t="shared" ca="1" si="720"/>
        <v>#N/A</v>
      </c>
      <c r="DS216" s="143" t="e">
        <f ca="1">Control!$B$22/$DR216</f>
        <v>#N/A</v>
      </c>
      <c r="DT216" s="149" t="e">
        <f ca="1">IF(AND(Control!$C$114=1,$KH216&lt;1),$IM216*$DF216, 0)</f>
        <v>#N/A</v>
      </c>
      <c r="DU216" s="144" t="e">
        <f t="shared" ca="1" si="844"/>
        <v>#N/A</v>
      </c>
      <c r="DV216" s="144">
        <f ca="1">IF($G216-Control!$C$107&lt;=0, 0, 0.83*LN(MAX($G216, 3))-0.8924)</f>
        <v>0</v>
      </c>
      <c r="DW216" s="144" t="e">
        <f t="shared" ca="1" si="721"/>
        <v>#N/A</v>
      </c>
      <c r="DX216" s="150" t="e">
        <f ca="1">MAX(0.01*(1+$CU216/Control!$C$102),0.05*($DK216-Control!$C$97)/Control!$C$97)</f>
        <v>#N/A</v>
      </c>
      <c r="DY216" s="151" t="e">
        <f ca="1">IF(Control!$C$114=1, $DI216*$FS216, 0)</f>
        <v>#N/A</v>
      </c>
      <c r="DZ216" s="196" t="e">
        <f t="shared" ca="1" si="845"/>
        <v>#N/A</v>
      </c>
      <c r="EA216" s="152">
        <f t="shared" ca="1" si="846"/>
        <v>212</v>
      </c>
      <c r="EB216" s="153" t="e">
        <f t="shared" ca="1" si="847"/>
        <v>#N/A</v>
      </c>
      <c r="EC216" s="153" t="e">
        <f t="shared" ca="1" si="848"/>
        <v>#N/A</v>
      </c>
      <c r="ED216" s="154" t="e">
        <f ca="1">IF(Control!$C$114=1, $HM216*$FY216-$FD216, 0)</f>
        <v>#DIV/0!</v>
      </c>
      <c r="EE216" s="155" t="e">
        <f ca="1">IF(Control!$C$114=1, $HM216*$FZ216-$FF216, 0)</f>
        <v>#DIV/0!</v>
      </c>
      <c r="EF216" s="153" t="e">
        <f t="shared" ca="1" si="902"/>
        <v>#N/A</v>
      </c>
      <c r="EG216" s="155" t="e">
        <f ca="1">IF(Control!$C$114=1, $GX216*$FW216-$FI216, 0)</f>
        <v>#DIV/0!</v>
      </c>
      <c r="EH216" s="153" t="e">
        <f t="shared" ca="1" si="849"/>
        <v>#N/A</v>
      </c>
      <c r="EI216" s="156" t="e">
        <f t="shared" ca="1" si="850"/>
        <v>#N/A</v>
      </c>
      <c r="EJ216" s="155" t="e">
        <f ca="1">IF(Control!$C$114=1, $HM216*$GB216, 0)</f>
        <v>#DIV/0!</v>
      </c>
      <c r="EK216" s="153" t="e">
        <f t="shared" ca="1" si="903"/>
        <v>#N/A</v>
      </c>
      <c r="EL216" s="153" t="e">
        <f t="shared" ca="1" si="722"/>
        <v>#N/A</v>
      </c>
      <c r="EM216" s="153" t="e">
        <f t="shared" ca="1" si="723"/>
        <v>#N/A</v>
      </c>
      <c r="EN216" s="153" t="e">
        <f ca="1">IF(Control!$C$108=1,IF(AND(Control!$B$18=1,$EB216&gt;=Control!$B$19),$EB216-$DS216,IF(AND(Control!$B$18=2,$AW216=1,$EB216&gt;$DS216),$EB216-$DS216,0)))</f>
        <v>#N/A</v>
      </c>
      <c r="EO216" s="153" t="e">
        <f ca="1">IF(Control!$C$108=1,IF(AND(Control!$B$18=1,$EB216&gt;=Control!$B$19),$EF216,IF(AND(Control!$B$18=2,$AW216=1),$EF216,0)))</f>
        <v>#N/A</v>
      </c>
      <c r="EP216" s="153" t="e">
        <f ca="1">IF(Control!$C$108=1,IF(AND(Control!$B$18=1,$EB216&gt;=Control!$B$19),$EK216,IF(AND(Control!$B$18=2,$AW216=1),$EK216,0)))</f>
        <v>#N/A</v>
      </c>
      <c r="EQ216" s="153" t="e">
        <f t="shared" ca="1" si="851"/>
        <v>#N/A</v>
      </c>
      <c r="ER216" s="153" t="e">
        <f t="shared" ca="1" si="852"/>
        <v>#N/A</v>
      </c>
      <c r="ES216" s="153" t="e">
        <f t="shared" ca="1" si="904"/>
        <v>#N/A</v>
      </c>
      <c r="ET216" s="153" t="e">
        <f t="shared" ca="1" si="905"/>
        <v>#N/A</v>
      </c>
      <c r="EU216" s="153" t="e">
        <f t="shared" ca="1" si="853"/>
        <v>#N/A</v>
      </c>
      <c r="EV216" s="153" t="e">
        <f t="shared" ca="1" si="724"/>
        <v>#N/A</v>
      </c>
      <c r="EW216" s="153" t="e">
        <f t="shared" ca="1" si="725"/>
        <v>#N/A</v>
      </c>
      <c r="EX216" s="153" t="e">
        <f t="shared" ca="1" si="726"/>
        <v>#N/A</v>
      </c>
      <c r="EY216" s="157" t="e">
        <f t="shared" ca="1" si="727"/>
        <v>#DIV/0!</v>
      </c>
      <c r="EZ216" s="154" t="e">
        <f t="shared" ca="1" si="728"/>
        <v>#DIV/0!</v>
      </c>
      <c r="FA216" s="153" t="e">
        <f t="shared" ca="1" si="854"/>
        <v>#N/A</v>
      </c>
      <c r="FB216" s="153" t="e">
        <f t="shared" ca="1" si="729"/>
        <v>#N/A</v>
      </c>
      <c r="FC216" s="193" t="e">
        <f t="shared" ca="1" si="730"/>
        <v>#N/A</v>
      </c>
      <c r="FD216" s="158" t="e">
        <f t="shared" ca="1" si="855"/>
        <v>#N/A</v>
      </c>
      <c r="FE216" s="158" t="e">
        <f t="shared" ca="1" si="856"/>
        <v>#N/A</v>
      </c>
      <c r="FF216" s="159" t="e">
        <f t="shared" ca="1" si="731"/>
        <v>#N/A</v>
      </c>
      <c r="FG216" s="160" t="e">
        <f t="shared" ca="1" si="857"/>
        <v>#N/A</v>
      </c>
      <c r="FH216" s="158" t="e">
        <f t="shared" ca="1" si="858"/>
        <v>#N/A</v>
      </c>
      <c r="FI216" s="159" t="e">
        <f t="shared" ca="1" si="732"/>
        <v>#N/A</v>
      </c>
      <c r="FJ216" s="160" t="e">
        <f t="shared" ca="1" si="859"/>
        <v>#N/A</v>
      </c>
      <c r="FK216" s="160" t="e">
        <f t="shared" ca="1" si="733"/>
        <v>#N/A</v>
      </c>
      <c r="FL216" s="160" t="e">
        <f t="shared" ca="1" si="906"/>
        <v>#N/A</v>
      </c>
      <c r="FM216" s="160" t="e">
        <f t="shared" ca="1" si="734"/>
        <v>#N/A</v>
      </c>
      <c r="FN216" s="158">
        <f t="shared" ca="1" si="860"/>
        <v>0.01</v>
      </c>
      <c r="FO216" s="160">
        <f>Control!$C$101</f>
        <v>50</v>
      </c>
      <c r="FP216" s="150" t="e">
        <f t="shared" ca="1" si="735"/>
        <v>#N/A</v>
      </c>
      <c r="FQ216" s="150" t="e">
        <f ca="1">MAX(0,(Control!$C$112*(($DK216-Control!$C$97)/Control!$C$97)))</f>
        <v>#N/A</v>
      </c>
      <c r="FR216" s="150" t="e">
        <f ca="1">(1-$NT216)*Control!$C$113</f>
        <v>#DIV/0!</v>
      </c>
      <c r="FS216" s="198" t="e">
        <f t="shared" ca="1" si="736"/>
        <v>#N/A</v>
      </c>
      <c r="FT216" s="161">
        <f t="shared" ca="1" si="861"/>
        <v>212</v>
      </c>
      <c r="FU216" s="162" t="e">
        <f ca="1">IF(Control!$B$34=1,VLOOKUP($CP216,Control!$B$86:$G$91,6),Control!$B$35)</f>
        <v>#N/A</v>
      </c>
      <c r="FV216" s="162" t="e">
        <f t="shared" ca="1" si="737"/>
        <v>#DIV/0!</v>
      </c>
      <c r="FW216" s="162" t="e">
        <f ca="1">IF(Control!$B$31=1,$FU216*$FV216,  $FU216)</f>
        <v>#N/A</v>
      </c>
      <c r="FX216" s="162" t="e">
        <f ca="1">IF(Control!$B$34=1,VLOOKUP($CP216,Control!$B$86:$G$91,3),Control!$B$36)</f>
        <v>#N/A</v>
      </c>
      <c r="FY216" s="162" t="e">
        <f t="shared" ca="1" si="738"/>
        <v>#N/A</v>
      </c>
      <c r="FZ216" s="162" t="e">
        <f ca="1">IF(Control!$B$34=1,VLOOKUP($CP216,Control!$B$86:$G$91,4),Control!$B$37)</f>
        <v>#N/A</v>
      </c>
      <c r="GA216" s="162" t="e">
        <f t="shared" ca="1" si="739"/>
        <v>#N/A</v>
      </c>
      <c r="GB216" s="162" t="e">
        <f ca="1">IF(Control!$B$34=1,VLOOKUP($CP216,Control!$B$86:$G$91,5),Control!$B$38)</f>
        <v>#N/A</v>
      </c>
      <c r="GC216" s="162" t="e">
        <f t="shared" ca="1" si="862"/>
        <v>#N/A</v>
      </c>
      <c r="GD216" s="162">
        <f t="shared" ca="1" si="740"/>
        <v>1</v>
      </c>
      <c r="GE216" s="162">
        <f t="shared" ca="1" si="741"/>
        <v>1</v>
      </c>
      <c r="GF216" s="162">
        <f ca="1">IF(AND(Control!$C$104=1, Control!$C$62="F"),$GE216,1)</f>
        <v>1</v>
      </c>
      <c r="GG216" s="162" t="e">
        <f ca="1">IF(Control!$B$16=40,0,IF(AND(Control!$B$16&gt;40,Control!$B$16&lt;=360),(Control!$B$16-40)*((1-0)/(360-40)),IF(AND(Control!$B$16&gt;360,Control!$B$16&lt;=720),(1+(Control!$B$16-360)*((1.25-1)/(720-360))),IF(AND(Control!$B$16&gt;720,Control!$B$16&lt;=1000),(1.25+(Control!$B$16-720)*((1.35-1.25)/(1000-720))),IF(AND(Control!$B$16&gt;1000,Control!$B$16&lt;=2000),(1.35+(Control!$B$16-1000)*0))))))</f>
        <v>#N/A</v>
      </c>
      <c r="GH216" s="162" t="e">
        <f t="shared" ca="1" si="742"/>
        <v>#N/A</v>
      </c>
      <c r="GI216" s="162">
        <f t="shared" ca="1" si="863"/>
        <v>0</v>
      </c>
      <c r="GJ216" s="162">
        <f t="shared" ca="1" si="743"/>
        <v>0</v>
      </c>
      <c r="GK216" s="162">
        <f t="shared" ca="1" si="864"/>
        <v>1</v>
      </c>
      <c r="GL216" s="162">
        <f t="shared" ca="1" si="744"/>
        <v>1</v>
      </c>
      <c r="GM216" s="162" t="e">
        <f ca="1">MAX(0,MIN(1,1-Control!$C$156*(1.0001-$KH216)^2))</f>
        <v>#N/A</v>
      </c>
      <c r="GN216" s="162" t="e">
        <f ca="1">IF(Control!$B$26=1,$KU216,$KX216)</f>
        <v>#N/A</v>
      </c>
      <c r="GO216" s="162" t="e">
        <f ca="1">IF($CP216&lt;=60,Control!$C$105,IF($CP216&gt;=90,Control!$C$106,Control!$C$105+($CP216-60)*((Control!$C$106-Control!$C$105)/(90-60))))</f>
        <v>#N/A</v>
      </c>
      <c r="GP216" s="162" t="e">
        <f t="shared" ca="1" si="745"/>
        <v>#N/A</v>
      </c>
      <c r="GQ216" s="162" t="e">
        <f t="shared" ca="1" si="865"/>
        <v>#N/A</v>
      </c>
      <c r="GR216" s="163" t="e">
        <f t="shared" ca="1" si="746"/>
        <v>#DIV/0!</v>
      </c>
      <c r="GS216" s="162" t="e">
        <f t="shared" ca="1" si="747"/>
        <v>#DIV/0!</v>
      </c>
      <c r="GT216" s="164" t="e">
        <f t="shared" ca="1" si="866"/>
        <v>#N/A</v>
      </c>
      <c r="GU216" s="162" t="e">
        <f t="shared" ca="1" si="867"/>
        <v>#N/A</v>
      </c>
      <c r="GV216" s="162" t="e">
        <f t="shared" ca="1" si="748"/>
        <v>#N/A</v>
      </c>
      <c r="GW216" s="162" t="e">
        <f t="shared" ca="1" si="749"/>
        <v>#DIV/0!</v>
      </c>
      <c r="GX216" s="162" t="e">
        <f t="shared" ca="1" si="868"/>
        <v>#DIV/0!</v>
      </c>
      <c r="GY216" s="162" t="e">
        <f t="shared" ca="1" si="869"/>
        <v>#DIV/0!</v>
      </c>
      <c r="GZ216" s="165" t="e">
        <f t="shared" ca="1" si="750"/>
        <v>#N/A</v>
      </c>
      <c r="HA216" s="162" t="e">
        <f ca="1">IF(Control!$C$114=1, $DI216*$FS216, 0)</f>
        <v>#N/A</v>
      </c>
      <c r="HB216" s="162" t="e">
        <f ca="1">$FA216/Control!$C$64</f>
        <v>#N/A</v>
      </c>
      <c r="HC216" s="162" t="e">
        <f t="shared" ca="1" si="751"/>
        <v>#DIV/0!</v>
      </c>
      <c r="HD216" s="162">
        <f ca="1">-ASIN(SIN(23.45*Control!$C$139)*COS(2*Control!$C$138*($AH216+10)/365))</f>
        <v>0.31460635084639954</v>
      </c>
      <c r="HE216" s="165">
        <f t="shared" ca="1" si="870"/>
        <v>0</v>
      </c>
      <c r="HF216" s="166">
        <f ca="1">IF(AND(Control!$C$61="T",$HE216&gt;=Control!$C$103,Control!$C$114=0),$AH216,Control!$C$59)</f>
        <v>1</v>
      </c>
      <c r="HG216" s="166">
        <f ca="1">IF(AND(Control!$C$61="T",$HE216&gt;=Control!$C$103,Control!$C$114=0),$HF216,Control!$C$59)</f>
        <v>1</v>
      </c>
      <c r="HH216" s="165">
        <f ca="1">IF(AND(OR(Control!$C$60&lt;=0, $AH216= Control!$C$59, Control!$C$60 &gt;0, $AH216 = Control!$C$60)), Control!$C$59, IF(Control!$C$60&gt;0, 0))</f>
        <v>1</v>
      </c>
      <c r="HI216" s="165">
        <f ca="1">IF(AND(OR(Control!$C$60&lt;=0, $AH216= Control!$C$59, Control!$C$60 &gt;0, $AH216 = Control!$C$60)), Control!$C$60, IF(Control!$C$60&lt;=0, 0))</f>
        <v>0</v>
      </c>
      <c r="HJ216" s="166">
        <f ca="1">IF(AND(Control!$C$62="F",$CV216&gt;=Control!$C$102),$AH216,0)</f>
        <v>0</v>
      </c>
      <c r="HK216" s="165" t="e">
        <f t="shared" ca="1" si="907"/>
        <v>#N/A</v>
      </c>
      <c r="HL216" s="166">
        <f ca="1">IF(AND(Control!$C$61="T",$HE216&gt;=Control!$C$103,Control!$C$114=0),$HF216,0)</f>
        <v>0</v>
      </c>
      <c r="HM216" s="201" t="e">
        <f t="shared" ca="1" si="752"/>
        <v>#DIV/0!</v>
      </c>
      <c r="HN216" s="215">
        <f t="shared" ca="1" si="871"/>
        <v>212</v>
      </c>
      <c r="HO216" s="216" t="e">
        <f ca="1">IF(AND($CP216&gt;=0, $CP216&lt;=90), Control!$C$152, Control!$C$152)</f>
        <v>#N/A</v>
      </c>
      <c r="HP216" s="216" t="e">
        <f t="shared" ca="1" si="753"/>
        <v>#N/A</v>
      </c>
      <c r="HQ216" s="217" t="e">
        <f ca="1">IF(OR(Control!$B$26=1,Control!$B$26=2),$KV216,$KS216)</f>
        <v>#DIV/0!</v>
      </c>
      <c r="HR216" s="218" t="e">
        <f t="shared" ca="1" si="908"/>
        <v>#DIV/0!</v>
      </c>
      <c r="HS216" s="216" t="e">
        <f ca="1">Control!$C$154*$HP216</f>
        <v>#N/A</v>
      </c>
      <c r="HT216" s="216" t="e">
        <f ca="1">Control!$C$155*$HP216</f>
        <v>#N/A</v>
      </c>
      <c r="HU216" s="217" t="e">
        <f ca="1">Control!$C$161*$FI216</f>
        <v>#N/A</v>
      </c>
      <c r="HV216" s="218" t="e">
        <f t="shared" ca="1" si="872"/>
        <v>#N/A</v>
      </c>
      <c r="HW216" s="218" t="e">
        <f ca="1">Control!$C$160*$FF216+$IP216*$EO216</f>
        <v>#N/A</v>
      </c>
      <c r="HX216" s="218" t="e">
        <f t="shared" ca="1" si="909"/>
        <v>#N/A</v>
      </c>
      <c r="HY216" s="219" t="e">
        <f ca="1">IF(Control!$C$114=1, $EB216*$FS216, 0)</f>
        <v>#N/A</v>
      </c>
      <c r="HZ216" s="91" t="e">
        <f t="shared" ca="1" si="754"/>
        <v>#N/A</v>
      </c>
      <c r="IA216" s="220" t="e">
        <f ca="1">Control!$C$153*$HO216</f>
        <v>#N/A</v>
      </c>
      <c r="IB216" s="218" t="e">
        <f t="shared" ca="1" si="755"/>
        <v>#N/A</v>
      </c>
      <c r="IC216" s="220" t="e">
        <f ca="1">Control!$C$153*$HT216</f>
        <v>#N/A</v>
      </c>
      <c r="ID216" s="218" t="e">
        <f t="shared" ca="1" si="756"/>
        <v>#N/A</v>
      </c>
      <c r="IE216" s="221" t="e">
        <f ca="1">($EB216*Control!$C$159+$EF216*Control!$C$160)/(IF($GZ216&lt;&gt;0,$GZ216,1))</f>
        <v>#N/A</v>
      </c>
      <c r="IF216" s="216" t="e">
        <f t="shared" ca="1" si="757"/>
        <v>#N/A</v>
      </c>
      <c r="IG216" s="91">
        <f ca="1">IF(OR(Control!$B$198=$AH216,Control!$B$199=$AH216, Control!$B$200=$AH216, Control!$B$201=$AH216, Control!$B$202=$AH216, Control!$B$203=$AH216, Control!$B$204=$AH216, Control!$B$205=$AH216, Control!$B$206=$AH216, Control!$B$207=$AH216), 1, 0)</f>
        <v>0</v>
      </c>
      <c r="IH216" s="91">
        <f ca="1">IF($IG216=0,0, VLOOKUP($AH216,Control!$B$198:$C$207,2))</f>
        <v>0</v>
      </c>
      <c r="II216" s="222">
        <f t="shared" ca="1" si="873"/>
        <v>0</v>
      </c>
      <c r="IJ216" s="91">
        <f>Control!$C$121</f>
        <v>0.7</v>
      </c>
      <c r="IK216" s="218">
        <f t="shared" ca="1" si="758"/>
        <v>0</v>
      </c>
      <c r="IL216" s="217" t="e">
        <f t="shared" ca="1" si="910"/>
        <v>#N/A</v>
      </c>
      <c r="IM216" s="223" t="e">
        <f ca="1">IF(AND(Control!$C$114=1,$KH216&lt;1),$EB216*Control!$C$148*(1-$KH216), 0)</f>
        <v>#N/A</v>
      </c>
      <c r="IN216" s="217" t="e">
        <f t="shared" ca="1" si="759"/>
        <v>#DIV/0!</v>
      </c>
      <c r="IO216" s="91" t="e">
        <f ca="1">MAX(0,$IL216-$EF216*Control!$C$160)</f>
        <v>#N/A</v>
      </c>
      <c r="IP216" s="220" t="e">
        <f t="shared" ca="1" si="760"/>
        <v>#N/A</v>
      </c>
      <c r="IQ216" s="217" t="e">
        <f t="shared" ca="1" si="874"/>
        <v>#N/A</v>
      </c>
      <c r="IR216" s="218" t="e">
        <f t="shared" ca="1" si="761"/>
        <v>#N/A</v>
      </c>
      <c r="IS216" s="217" t="e">
        <f ca="1">Control!$C$159*MAX(0,$FD216-$EN216)</f>
        <v>#N/A</v>
      </c>
      <c r="IT216" s="217" t="e">
        <f t="shared" ca="1" si="911"/>
        <v>#N/A</v>
      </c>
      <c r="IU216" s="217" t="e">
        <f t="shared" ca="1" si="875"/>
        <v>#N/A</v>
      </c>
      <c r="IV216" s="217" t="e">
        <f t="shared" ca="1" si="912"/>
        <v>#N/A</v>
      </c>
      <c r="IW216" s="217" t="e">
        <f ca="1">IF(OR($AW216=1,AND($AW216=0, Control!$B$18=1,$EN216&lt;&gt;0)), $IQ216-$IU216, $IQ216)</f>
        <v>#N/A</v>
      </c>
      <c r="IX216" s="218" t="e">
        <f t="shared" ca="1" si="762"/>
        <v>#N/A</v>
      </c>
      <c r="IY216" s="218" t="e">
        <f ca="1">MAX(0,$IQ216-$EB216*Control!$C$159)</f>
        <v>#N/A</v>
      </c>
      <c r="IZ216" s="218" t="e">
        <f t="shared" ca="1" si="763"/>
        <v>#N/A</v>
      </c>
      <c r="JA216" s="216" t="e">
        <f t="shared" ca="1" si="764"/>
        <v>#N/A</v>
      </c>
      <c r="JB216" s="217" t="e">
        <f t="shared" ca="1" si="765"/>
        <v>#N/A</v>
      </c>
      <c r="JC216" s="222" t="e">
        <f ca="1">MAX(Control!$C$157*$EK216-$JT216, 0)/Control!$C$162</f>
        <v>#N/A</v>
      </c>
      <c r="JD216" s="218" t="e">
        <f t="shared" ca="1" si="766"/>
        <v>#N/A</v>
      </c>
      <c r="JE216" s="218" t="e">
        <f t="shared" ca="1" si="767"/>
        <v>#N/A</v>
      </c>
      <c r="JF216" s="218" t="e">
        <f t="shared" ca="1" si="876"/>
        <v>#N/A</v>
      </c>
      <c r="JG216" s="218" t="e">
        <f t="shared" ca="1" si="768"/>
        <v>#N/A</v>
      </c>
      <c r="JH216" s="217" t="e">
        <f t="shared" ca="1" si="877"/>
        <v>#N/A</v>
      </c>
      <c r="JI216" s="217" t="e">
        <f t="shared" ca="1" si="878"/>
        <v>#N/A</v>
      </c>
      <c r="JJ216" s="217" t="e">
        <f t="shared" ca="1" si="913"/>
        <v>#N/A</v>
      </c>
      <c r="JK216" s="217" t="e">
        <f ca="1">IF(Control!$C$114=1,IF(Control!$B$24=0,MAX(0,$JI216)*$GN216/Control!$C$64,(MAX(0,MIN($JI216,$JJ216*$GN216/Control!$C$64),0))))</f>
        <v>#N/A</v>
      </c>
      <c r="JL216" s="217" t="e">
        <f ca="1">$IK216/Control!$C$64-$JK216+$HQ216</f>
        <v>#N/A</v>
      </c>
      <c r="JM216" s="217" t="e">
        <f ca="1">IF(Control!$C$114=1,($JB216/(IF($JI216&lt;&gt;0,$JI216,1)))*$JK216,0)</f>
        <v>#N/A</v>
      </c>
      <c r="JN216" s="217" t="e">
        <f ca="1">IF(Control!$C$114=1,($JG216/(IF($JI216&lt;&gt;0,$JI216,1)))*$JK216, 0)</f>
        <v>#N/A</v>
      </c>
      <c r="JO216" s="218" t="e">
        <f t="shared" ca="1" si="769"/>
        <v>#N/A</v>
      </c>
      <c r="JP216" s="218" t="e">
        <f ca="1">MIN(($IY216+$IO216)*Control!$C$151, $JF216-$EH216*Control!$C$161)</f>
        <v>#N/A</v>
      </c>
      <c r="JQ216" s="218" t="e">
        <f t="shared" ca="1" si="770"/>
        <v>#N/A</v>
      </c>
      <c r="JR216" s="217" t="e">
        <f ca="1">IF($CP216-Control!$C$150&lt;0, 0, $JQ216/Control!$C$162)</f>
        <v>#N/A</v>
      </c>
      <c r="JS216" s="218" t="e">
        <f t="shared" ca="1" si="771"/>
        <v>#N/A</v>
      </c>
      <c r="JT216" s="218" t="e">
        <f t="shared" ca="1" si="879"/>
        <v>#N/A</v>
      </c>
      <c r="JU216" s="218" t="e">
        <f t="shared" ca="1" si="772"/>
        <v>#N/A</v>
      </c>
      <c r="JV216" s="218" t="e">
        <f t="shared" ca="1" si="773"/>
        <v>#N/A</v>
      </c>
      <c r="JW216" s="216" t="e">
        <f t="shared" ca="1" si="774"/>
        <v>#N/A</v>
      </c>
      <c r="JX216" s="91" t="e">
        <f t="shared" ca="1" si="775"/>
        <v>#N/A</v>
      </c>
      <c r="JY216" s="218" t="e">
        <f t="shared" ca="1" si="776"/>
        <v>#N/A</v>
      </c>
      <c r="JZ216" s="217" t="e">
        <f ca="1">IF(Control!$C$114=1,($IZ216/(IF($JI216&lt;&gt;0,$JI216,1)))*$JK216, 0)</f>
        <v>#N/A</v>
      </c>
      <c r="KA216" s="218" t="e">
        <f t="shared" ca="1" si="914"/>
        <v>#N/A</v>
      </c>
      <c r="KB216" s="218" t="e">
        <f t="shared" ca="1" si="880"/>
        <v>#N/A</v>
      </c>
      <c r="KC216" s="218" t="e">
        <f t="shared" ca="1" si="777"/>
        <v>#N/A</v>
      </c>
      <c r="KD216" s="218" t="e">
        <f t="shared" ca="1" si="778"/>
        <v>#N/A</v>
      </c>
      <c r="KE216" s="218" t="e">
        <f t="shared" ca="1" si="779"/>
        <v>#N/A</v>
      </c>
      <c r="KF216" s="218" t="e">
        <f t="shared" ca="1" si="780"/>
        <v>#N/A</v>
      </c>
      <c r="KG216" s="216" t="e">
        <f t="shared" ca="1" si="781"/>
        <v>#N/A</v>
      </c>
      <c r="KH216" s="221" t="e">
        <f ca="1">IF(Control!$B$24=0,1,MAX(0.001,MIN(1,IF(($IF216-$IE216)&lt;&gt;0,($KG216-$IE216)/($IF216-$IE216),1))))</f>
        <v>#N/A</v>
      </c>
      <c r="KI216" s="222" t="e">
        <f ca="1">IF(Control!$C$114=1, $KI215+ $KH215, 0)</f>
        <v>#N/A</v>
      </c>
      <c r="KJ216" s="217" t="e">
        <f t="shared" ca="1" si="782"/>
        <v>#N/A</v>
      </c>
      <c r="KK216" s="218" t="e">
        <f t="shared" ca="1" si="783"/>
        <v>#N/A</v>
      </c>
      <c r="KL216" s="274" t="e">
        <f ca="1">IF(Control!$B$26=3,4000000000*EXP(-8400/($G216+273)),IF(Control!$B$26=4,4000000000*EXP(-8400/($G216+273))*($KT216),0))</f>
        <v>#DIV/0!</v>
      </c>
      <c r="KM216" s="274" t="e">
        <f ca="1">IF(Control!$B$26=3,5600000000000*EXP(-9800/($G216+273)),IF(Control!$B$26=4,5600000000000*EXP(-9800/($G216+273))*$KT216,0))</f>
        <v>#DIV/0!</v>
      </c>
      <c r="KN216" s="454" t="e">
        <f t="shared" ca="1" si="881"/>
        <v>#DIV/0!</v>
      </c>
      <c r="KO216" s="274" t="e">
        <f t="shared" ca="1" si="882"/>
        <v>#DIV/0!</v>
      </c>
      <c r="KP216" s="454" t="e">
        <f t="shared" ca="1" si="784"/>
        <v>#DIV/0!</v>
      </c>
      <c r="KQ216" s="454" t="e">
        <f t="shared" ca="1" si="785"/>
        <v>#DIV/0!</v>
      </c>
      <c r="KR216" s="454" t="e">
        <f t="shared" ca="1" si="786"/>
        <v>#DIV/0!</v>
      </c>
      <c r="KS216" s="454" t="e">
        <f t="shared" ca="1" si="787"/>
        <v>#DIV/0!</v>
      </c>
      <c r="KT216" s="455" t="e">
        <f t="shared" ca="1" si="788"/>
        <v>#DIV/0!</v>
      </c>
      <c r="KU216" s="456" t="e">
        <f ca="1">IF($CP216-Control!$C$149&lt;0, IF($NT216-0.01&lt;0,0,1),0)</f>
        <v>#N/A</v>
      </c>
      <c r="KV216" s="456" t="e">
        <f ca="1">IF(Control!$C$114=1,MAX(0,MIN(Control!$C$125*$KW216*$GN216,$KW216)))</f>
        <v>#DIV/0!</v>
      </c>
      <c r="KW216" s="456" t="e">
        <f t="shared" ca="1" si="915"/>
        <v>#DIV/0!</v>
      </c>
      <c r="KX216" s="457" t="e">
        <f ca="1">IF($CP216-Control!$C$149&lt;0, IF($MR216-$OM216&lt;0,0,1),0)</f>
        <v>#N/A</v>
      </c>
      <c r="KY216" s="167">
        <f t="shared" ca="1" si="883"/>
        <v>212</v>
      </c>
      <c r="KZ216" s="168">
        <f ca="1">1370*(1+0.033*COS(2*Control!$C$138*$AH216/365))</f>
        <v>1330.4953684600264</v>
      </c>
      <c r="LA216" s="169">
        <f t="shared" ca="1" si="884"/>
        <v>0.9711643655808343</v>
      </c>
      <c r="LB216" s="169">
        <f t="shared" ca="1" si="885"/>
        <v>0.31579978610096499</v>
      </c>
      <c r="LC216" s="169">
        <f ca="1">ACOS(-TAN((2*Control!$B$8/360))*TAN(Calculations!$LB216))</f>
        <v>1.6680560726546694</v>
      </c>
      <c r="LD216" s="169">
        <f ca="1">((24*60)/PI())*0.082*$LA216*(($LC216*SIN(Control!$B$8*2*PI()/360))*SIN($LB216)+COS(Control!$B$8*2*PI()/360)*COS($LB216)*SIN($LC216))</f>
        <v>36.162258513841309</v>
      </c>
      <c r="LE216" s="170">
        <f t="shared" ca="1" si="789"/>
        <v>37.218243765858603</v>
      </c>
      <c r="LF216" s="170">
        <f ca="1">SIN(Control!$C$139*Control!$B$8)*SIN($HD216)</f>
        <v>0.24384415957075764</v>
      </c>
      <c r="LG216" s="170">
        <f ca="1">COS(Control!$C$139*Control!$B$8)*COS($HD216)</f>
        <v>0.58544215116336118</v>
      </c>
      <c r="LH216" s="170">
        <f ca="1">12*(1+2*ASIN(MAX(-1,MIN(1,$LF216/$LG216))/Control!$C$138))</f>
        <v>15.191312252072549</v>
      </c>
      <c r="LI216" s="170">
        <f ca="1">12*(1+2*ASIN(MAX(-1,MIN(1,(-SIN(-4*Control!$C$139)+$LF216)/$LG216))/Control!$C$138))</f>
        <v>16.112260982871561</v>
      </c>
      <c r="LJ216" s="168">
        <f ca="1">3600*($LH216*$LF216+24*$LG216*SQRT(1-$LK216*$LK216)/Control!$C$138)</f>
        <v>27973.223092791846</v>
      </c>
      <c r="LK216" s="170">
        <f t="shared" ca="1" si="790"/>
        <v>0.41651281699857584</v>
      </c>
      <c r="LL216" s="170">
        <f t="shared" ca="1" si="791"/>
        <v>0</v>
      </c>
      <c r="LM216" s="171">
        <f ca="1">Control!$C$145*$AB216</f>
        <v>6.6660906138995932E-2</v>
      </c>
      <c r="LN216" s="170">
        <f t="shared" ca="1" si="886"/>
        <v>0.54</v>
      </c>
      <c r="LO216" s="170">
        <f t="shared" ca="1" si="792"/>
        <v>0</v>
      </c>
      <c r="LP216" s="170">
        <f ca="1">Control!$C$140*((($D216+273.16)^4+($E216+273.16)^4)/2)*(0.34-0.14*SQRT($Y216))*(1.35*$AQ216/(0.75*$LD216)-0.35)</f>
        <v>-3.2464704755046001</v>
      </c>
      <c r="LQ216" s="170">
        <f ca="1">Control!$C$140*($G216+273)^4*(0.56-0.079*SQRT($Y216*10))*(0.1+0.9*$LO216)</f>
        <v>1.5241745131704001</v>
      </c>
      <c r="LR216" s="170">
        <f ca="1">$AQ216*(1-Control!$C$142)-$LQ216</f>
        <v>-1.5241745131704001</v>
      </c>
      <c r="LS216" s="170">
        <f ca="1">$AQ216*(1-Control!$C$143)-$LQ216</f>
        <v>-1.5241745131704001</v>
      </c>
      <c r="LT216" s="170">
        <f ca="1">$AQ216*(1-Control!$C$144)-$LQ216</f>
        <v>-1.5241745131704001</v>
      </c>
      <c r="LU216" s="169">
        <f ca="1">(1-Control!$C$144)*AQ216-LP216</f>
        <v>3.2464704755046001</v>
      </c>
      <c r="LV216" s="172">
        <f t="shared" ca="1" si="793"/>
        <v>0.79430000000000012</v>
      </c>
      <c r="LW216" s="170">
        <f t="shared" ca="1" si="794"/>
        <v>1.5886000000000002</v>
      </c>
      <c r="LX216" s="170">
        <f ca="1">($AC216*($LR216/Control!$C$141)+$LM216*$LV216)/($AC216+$LM216)</f>
        <v>0.23530094218323697</v>
      </c>
      <c r="LY216" s="170">
        <f ca="1">($AC216*($LS216/Control!$C$141)+$LM216*$LV216)/($AC216+$LM216)</f>
        <v>0.23530094218323697</v>
      </c>
      <c r="LZ216" s="170">
        <f t="shared" ca="1" si="795"/>
        <v>0.23530094218323697</v>
      </c>
      <c r="MA216" s="170">
        <f t="shared" ca="1" si="796"/>
        <v>0.23530094218323697</v>
      </c>
      <c r="MB216" s="170" t="e">
        <f t="shared" ca="1" si="797"/>
        <v>#N/A</v>
      </c>
      <c r="MC216" s="170">
        <f t="shared" ca="1" si="887"/>
        <v>0.6018</v>
      </c>
      <c r="MD216" s="170">
        <f t="shared" ca="1" si="798"/>
        <v>0.52989392535414004</v>
      </c>
      <c r="ME216" s="170">
        <f ca="1">($AC216*($LT216/Control!$C$141)+$LM216*$LW216)/($AC216+$LM216)</f>
        <v>0.71612369323045078</v>
      </c>
      <c r="MF216" s="170" t="e">
        <f ca="1">IF(Control!$B$16&gt;=1000,0.92,IF(AND(720&lt;=Control!$B$16,1000&gt;Control!$B$16),(0.95+(Control!$B$16-720)*((0.92-0.95)/(1000-720))),IF(AND(360&lt;=Control!$B$16,720&gt;Control!$B$16),(1+(Control!$B$16-360)*((0.95-1)/(720-360))),IF(AND(40&lt;=Control!$B$16,360&gt;Control!$B$16),(1.05+(Control!$B$16-40)*((1.05-1)/(360-40)))))))</f>
        <v>#N/A</v>
      </c>
      <c r="MG216" s="170">
        <f t="shared" ca="1" si="799"/>
        <v>0.71612369323045078</v>
      </c>
      <c r="MH216" s="170" t="e">
        <f t="shared" ca="1" si="924"/>
        <v>#N/A</v>
      </c>
      <c r="MI216" s="170" t="e">
        <f t="shared" ca="1" si="924"/>
        <v>#N/A</v>
      </c>
      <c r="MJ216" s="170" t="e">
        <f ca="1">MAX(0.0001, Control!$C$132*$MI216*$DL216)</f>
        <v>#N/A</v>
      </c>
      <c r="MK216" s="170">
        <f ca="1">1/(0.76+1.5*($MG216/10))-(5-Control!$C$110)*0.1</f>
        <v>1.002845988140797</v>
      </c>
      <c r="ML216" s="173">
        <f ca="1">IF(Control!$C$110&lt;3,$MK216+($MG216-0.6)/(Control!$C$110*(Control!$C$110+3)), MAX(0.1, MIN(0.95,$MK216)))</f>
        <v>0.95</v>
      </c>
      <c r="MM216" s="173">
        <f ca="1">IF(Control!$C$110&lt;3,$MK216+(($MI216/10)-0.6)/(Control!$C$110*(Control!$C$110+3)), MAX(0.1, MIN(0.95,$MK216)))</f>
        <v>0.95</v>
      </c>
      <c r="MN216" s="173">
        <f ca="1">(1-$MM216)*(Control!$C$128-Control!$C$127)+Control!$C$127</f>
        <v>0.16</v>
      </c>
      <c r="MO216" s="170" t="e">
        <f ca="1">MAX(0,MIN(1,($MS216-Control!$C$127)/($MN216-Control!$C$127)))</f>
        <v>#DIV/0!</v>
      </c>
      <c r="MP216" s="173" t="e">
        <f ca="1">1/(0.76+1.5*$MI216)-(5-Control!$C$110)*0.1</f>
        <v>#N/A</v>
      </c>
      <c r="MQ216" s="172" t="e">
        <f t="shared" ca="1" si="916"/>
        <v>#DIV/0!</v>
      </c>
      <c r="MR216" s="168" t="e">
        <f t="shared" ca="1" si="888"/>
        <v>#DIV/0!</v>
      </c>
      <c r="MS216" s="173" t="e">
        <f ca="1">MAX(Control!$C$127, MIN(Control!$C$135, $MR216/MAX(0.0001,$CY216)))</f>
        <v>#DIV/0!</v>
      </c>
      <c r="MT216" s="168" t="e">
        <f ca="1">(Control!$C$128-$MS216)*Control!$C$74</f>
        <v>#DIV/0!</v>
      </c>
      <c r="MU216" s="168" t="e">
        <f ca="1">(Control!$C$135-$MS216)*Control!$C$74</f>
        <v>#DIV/0!</v>
      </c>
      <c r="MV216" s="168" t="e">
        <f t="shared" ca="1" si="889"/>
        <v>#DIV/0!</v>
      </c>
      <c r="MW216" s="168" t="e">
        <f t="shared" ca="1" si="890"/>
        <v>#DIV/0!</v>
      </c>
      <c r="MX216" s="171" t="e">
        <f ca="1">MAX(Control!$C$127, MIN(Control!$C$135, $MW216/MAX(0.0001,Control!$C$119-$CY216)))</f>
        <v>#DIV/0!</v>
      </c>
      <c r="MY216" s="54" t="e">
        <f ca="1">IF(Control!$C$114=1, $CX216*$MX216, 0)</f>
        <v>#DIV/0!</v>
      </c>
      <c r="MZ216" s="54" t="e">
        <f t="shared" ca="1" si="891"/>
        <v>#N/A</v>
      </c>
      <c r="NA216" s="168" t="e">
        <f ca="1">(Control!$C$128-$MX216)*(Control!$C$119-Control!$C$74)</f>
        <v>#DIV/0!</v>
      </c>
      <c r="NB216" s="168" t="e">
        <f ca="1">(Control!$C$135-$MX216)*(Control!$C$119-Control!$C$74)</f>
        <v>#DIV/0!</v>
      </c>
      <c r="NC216" s="174" t="e">
        <f t="shared" ca="1" si="892"/>
        <v>#DIV/0!</v>
      </c>
      <c r="ND216" s="54">
        <f ca="1">IF(Control!$C$58=2, IF(OR(Control!$B$218=$AH216,Control!$B$219=$AH216, Control!$B$220=$AH216, Control!$B$221=$AH216, Control!$B$222=$AH216, Control!$B$223=$AH216, Control!$B$224=$AH216, Control!$B$225=$AH216, Control!$B$226=$AH216, Control!$B$227=$AH216, Control!$B$228=$AH216), 1, 0), 0)</f>
        <v>0</v>
      </c>
      <c r="NE216" s="54">
        <f ca="1">IF($ND216=0,0, VLOOKUP($AH216,Control!$B$218:$C$228,2))</f>
        <v>0</v>
      </c>
      <c r="NF216" s="168" t="e">
        <f ca="1">$CY216*(Control!$C$128-Control!$C$127)</f>
        <v>#N/A</v>
      </c>
      <c r="NG216" s="54" t="e">
        <f ca="1">IF(Control!$C$58=2, $NI215-$NJ215, 0)</f>
        <v>#DIV/0!</v>
      </c>
      <c r="NH216" s="54" t="e">
        <f ca="1">IF(AND(Control!$C$58=1, $MS215&lt;= ($MN215+0.02), $I215&lt;10), 0, IF(Control!$C$58=2, $NG215, 0))</f>
        <v>#DIV/0!</v>
      </c>
      <c r="NI216" s="54" t="e">
        <f ca="1">IF(Control!$C$58=2, $NE216+$NH216,0)</f>
        <v>#DIV/0!</v>
      </c>
      <c r="NJ216" s="54" t="e">
        <f ca="1">IF(AND(Control!$C$58=1, $MS216&lt;= ($MN216+0.02), $I216&lt;10), MAX(0, MIN(10, 0.7*($NF216-$MV216))), IF(Control!$C$58=2, MIN(10,$NI216),0))</f>
        <v>#DIV/0!</v>
      </c>
      <c r="NK216" s="54" t="e">
        <f t="shared" ca="1" si="800"/>
        <v>#DIV/0!</v>
      </c>
      <c r="NL216" s="173" t="e">
        <f ca="1">(1-Control!$C$73)*$I216+$NJ216</f>
        <v>#DIV/0!</v>
      </c>
      <c r="NM216" s="172" t="e">
        <f ca="1">IF($NL216&lt;0.5, $MB216* MAX(0, MIN(1, (SQRT($NC216)-SQRT($NC216-1))*Control!$C$71)),0)</f>
        <v>#DIV/0!</v>
      </c>
      <c r="NN216" s="170" t="e">
        <f ca="1">IF($NL216&gt;=5, $MB216, MAX(0,MIN($MB216, $NM216+$NL216,($MS216-Control!$C$129))))</f>
        <v>#DIV/0!</v>
      </c>
      <c r="NO216" s="54">
        <f>IF(Control!$C$133&lt;&gt;1, Control!$C$135-Control!$C$131, 0)</f>
        <v>0.38</v>
      </c>
      <c r="NP216" s="54" t="e">
        <f t="shared" ca="1" si="801"/>
        <v>#DIV/0!</v>
      </c>
      <c r="NQ216" s="173" t="e">
        <f ca="1">MAX(0,MIN(1,(Control!$C$135-$MS216)/(Control!$C$135-$NO216)))</f>
        <v>#DIV/0!</v>
      </c>
      <c r="NR216" s="170" t="e">
        <f ca="1">IF(Control!$C$133&lt;&gt;1, $NQ216+((1-$NP216/4)*(1-$NQ216)),1)</f>
        <v>#DIV/0!</v>
      </c>
      <c r="NS216" s="170" t="e">
        <f ca="1">IF(Control!$B$31=0,$MJ216,MAX(0,MIN($MV216,$MO216*$NR216*$MJ216)))</f>
        <v>#DIV/0!</v>
      </c>
      <c r="NT216" s="170" t="e">
        <f t="shared" ca="1" si="917"/>
        <v>#DIV/0!</v>
      </c>
      <c r="NU216" s="170" t="e">
        <f t="shared" ca="1" si="893"/>
        <v>#N/A</v>
      </c>
      <c r="NV216" s="170" t="e">
        <f t="shared" ca="1" si="802"/>
        <v>#N/A</v>
      </c>
      <c r="NW216" s="175" t="e">
        <f t="shared" ca="1" si="803"/>
        <v>#DIV/0!</v>
      </c>
      <c r="NX216" s="170" t="e">
        <f ca="1">MIN(Control!$C$72+$MU216, $NW216)</f>
        <v>#DIV/0!</v>
      </c>
      <c r="NY216" s="170" t="e">
        <f ca="1">IF($MT216&lt;=$NX216,MIN(Control!$C$72+$NB216,$NX216-$MT216),0)</f>
        <v>#DIV/0!</v>
      </c>
      <c r="NZ216" s="54" t="e">
        <f ca="1">IF(Control!$C$114=1,  $CX216*($MX216-Control!$C$127), 0)</f>
        <v>#DIV/0!</v>
      </c>
      <c r="OA216" s="170" t="e">
        <f t="shared" ca="1" si="804"/>
        <v>#DIV/0!</v>
      </c>
      <c r="OB216" s="170" t="e">
        <f ca="1">IF($NA216 &lt;=$NY216, MIN(Control!$C$72, $NY216-$NA216), 0)</f>
        <v>#DIV/0!</v>
      </c>
      <c r="OC216" s="168" t="e">
        <f t="shared" ca="1" si="805"/>
        <v>#DIV/0!</v>
      </c>
      <c r="OD216" s="168" t="e">
        <f t="shared" ca="1" si="894"/>
        <v>#DIV/0!</v>
      </c>
      <c r="OE216" s="170">
        <f ca="1">Control!$C$73*$I216</f>
        <v>0</v>
      </c>
      <c r="OF216" s="176" t="e">
        <f t="shared" ca="1" si="806"/>
        <v>#DIV/0!</v>
      </c>
      <c r="OG216" s="168" t="e">
        <f t="shared" ca="1" si="807"/>
        <v>#DIV/0!</v>
      </c>
      <c r="OH216" s="168" t="e">
        <f t="shared" ca="1" si="808"/>
        <v>#DIV/0!</v>
      </c>
      <c r="OI216" s="168" t="e">
        <f t="shared" ca="1" si="809"/>
        <v>#DIV/0!</v>
      </c>
      <c r="OJ216" s="168" t="e">
        <f t="shared" ca="1" si="810"/>
        <v>#DIV/0!</v>
      </c>
      <c r="OK216" s="204" t="e">
        <f t="shared" ca="1" si="811"/>
        <v>#DIV/0!</v>
      </c>
      <c r="OL216" s="177">
        <f>Control!$C$127</f>
        <v>0.15</v>
      </c>
      <c r="OM216" s="182" t="e">
        <f t="shared" ca="1" si="812"/>
        <v>#N/A</v>
      </c>
      <c r="ON216" s="177">
        <f>Control!$C$128</f>
        <v>0.35</v>
      </c>
      <c r="OO216" s="182" t="e">
        <f t="shared" ca="1" si="813"/>
        <v>#N/A</v>
      </c>
      <c r="OP216" s="138">
        <f t="shared" ca="1" si="895"/>
        <v>0</v>
      </c>
      <c r="OQ216" s="138" t="e">
        <f t="shared" ca="1" si="918"/>
        <v>#DIV/0!</v>
      </c>
      <c r="OR216" s="138" t="e">
        <f t="shared" ca="1" si="896"/>
        <v>#DIV/0!</v>
      </c>
      <c r="OS216" s="137" t="e">
        <f t="shared" ca="1" si="919"/>
        <v>#DIV/0!</v>
      </c>
      <c r="OT216" s="139" t="e">
        <f t="shared" ca="1" si="920"/>
        <v>#DIV/0!</v>
      </c>
      <c r="OU216" s="138" t="e">
        <f t="shared" ca="1" si="921"/>
        <v>#N/A</v>
      </c>
      <c r="OV216" s="138" t="e">
        <f t="shared" ca="1" si="922"/>
        <v>#DIV/0!</v>
      </c>
      <c r="OW216" s="138" t="e">
        <f t="shared" ca="1" si="897"/>
        <v>#DIV/0!</v>
      </c>
      <c r="OX216" s="138" t="e">
        <f t="shared" ca="1" si="898"/>
        <v>#DIV/0!</v>
      </c>
      <c r="OY216" s="138" t="e">
        <f t="shared" ca="1" si="899"/>
        <v>#DIV/0!</v>
      </c>
      <c r="OZ216" s="138" t="e">
        <f t="shared" ca="1" si="814"/>
        <v>#DIV/0!</v>
      </c>
      <c r="PA216" s="138" t="e">
        <f t="shared" ca="1" si="815"/>
        <v>#DIV/0!</v>
      </c>
      <c r="PB216" s="55">
        <f>IF(Control!$C$61="T", IF(Control!$C$65="F", IF($AH$6-Control!$C$60&lt;0,0,1), IF(365+$AH$6-Control!$C$60&lt;0,0,1)),0)</f>
        <v>0</v>
      </c>
      <c r="PC216" s="55">
        <f ca="1">IF(Control!$C$65="F", IF($AH$6-$HF216&lt;0,0,1), IF(365+$AH$6-$HF216&lt;0,0,1))</f>
        <v>1</v>
      </c>
      <c r="PD216" s="444">
        <f>Control!$C$118</f>
        <v>1500</v>
      </c>
      <c r="PE216" s="180" t="e">
        <f t="shared" ca="1" si="816"/>
        <v>#N/A</v>
      </c>
      <c r="PF216" s="445">
        <f t="shared" ca="1" si="900"/>
        <v>0.71612369323045078</v>
      </c>
      <c r="PT216" s="186"/>
      <c r="PU216" s="186"/>
      <c r="PV216" s="94"/>
      <c r="PW216" s="94"/>
      <c r="PX216" s="94"/>
      <c r="PY216" s="94"/>
      <c r="PZ216" s="94"/>
      <c r="QA216" s="94"/>
      <c r="QB216" s="94"/>
      <c r="QC216" s="94"/>
      <c r="QD216" s="94"/>
      <c r="QE216" s="94"/>
      <c r="QF216" s="94"/>
      <c r="QG216" s="94"/>
      <c r="QH216" s="94"/>
      <c r="QI216" s="94"/>
      <c r="QJ216" s="94"/>
      <c r="QK216" s="94"/>
      <c r="QL216" s="94"/>
      <c r="QM216" s="94"/>
      <c r="QN216" s="94"/>
      <c r="QO216" s="94"/>
      <c r="QP216" s="94"/>
    </row>
    <row r="217" spans="1:458" s="2" customFormat="1" x14ac:dyDescent="0.2">
      <c r="A217" s="395">
        <v>31</v>
      </c>
      <c r="B217" s="396">
        <v>7</v>
      </c>
      <c r="C217" s="387">
        <f ca="1">Weather_data!$B216</f>
        <v>0</v>
      </c>
      <c r="D217" s="388">
        <f ca="1">Weather_data!$F216</f>
        <v>0</v>
      </c>
      <c r="E217" s="388">
        <f ca="1">Weather_data!$E216</f>
        <v>0</v>
      </c>
      <c r="F217" s="388">
        <f t="shared" ca="1" si="817"/>
        <v>0</v>
      </c>
      <c r="G217" s="388">
        <f ca="1">AVERAGE($D217:$E217)+Control!$B$9</f>
        <v>0</v>
      </c>
      <c r="H217" s="388">
        <f ca="1">Weather_data!$G216</f>
        <v>0</v>
      </c>
      <c r="I217" s="388">
        <f ca="1">Weather_data!$I216</f>
        <v>0</v>
      </c>
      <c r="J217" s="388">
        <f ca="1">Weather_data!$H216</f>
        <v>0</v>
      </c>
      <c r="K217" s="389">
        <f ca="1">Weather_data!$D216</f>
        <v>0</v>
      </c>
      <c r="L217" s="388" t="e">
        <f t="shared" ca="1" si="818"/>
        <v>#N/A</v>
      </c>
      <c r="M217" s="388" t="e">
        <f t="shared" ca="1" si="696"/>
        <v>#N/A</v>
      </c>
      <c r="N217" s="388">
        <f t="shared" ca="1" si="697"/>
        <v>-1.1069792902746175E-10</v>
      </c>
      <c r="O217" s="388">
        <f t="shared" ca="1" si="819"/>
        <v>1.1069792902746175E-9</v>
      </c>
      <c r="P217" s="390">
        <v>3</v>
      </c>
      <c r="Q217" s="388">
        <f ca="1">MAX($G217-Control!$C$107,0)</f>
        <v>0</v>
      </c>
      <c r="R217" s="388">
        <f t="shared" ca="1" si="820"/>
        <v>0</v>
      </c>
      <c r="S217" s="388">
        <f t="shared" ca="1" si="698"/>
        <v>0</v>
      </c>
      <c r="T217" s="388">
        <f t="shared" ca="1" si="699"/>
        <v>0</v>
      </c>
      <c r="U217" s="59">
        <f t="shared" ca="1" si="700"/>
        <v>0</v>
      </c>
      <c r="V217" s="391">
        <f ca="1">MAX(0,MIN(Control!$C$100-Control!$C$99,$G217-Control!$C$99)*Control!$C$63)</f>
        <v>0</v>
      </c>
      <c r="W217" s="388">
        <f t="shared" ca="1" si="821"/>
        <v>0</v>
      </c>
      <c r="X217" s="388">
        <f t="shared" ca="1" si="822"/>
        <v>0.6110000000000001</v>
      </c>
      <c r="Y217" s="388">
        <f t="shared" ca="1" si="701"/>
        <v>0</v>
      </c>
      <c r="Z217" s="388">
        <f t="shared" ca="1" si="823"/>
        <v>0.61058800000000002</v>
      </c>
      <c r="AA217" s="388">
        <f t="shared" ca="1" si="702"/>
        <v>0.6018</v>
      </c>
      <c r="AB217" s="388">
        <f ca="1">101.3*EXP(-0.034*Control!$C$66/($G217+273))</f>
        <v>100.69623283836242</v>
      </c>
      <c r="AC217" s="392">
        <f t="shared" ca="1" si="703"/>
        <v>4.3460251046025113E-2</v>
      </c>
      <c r="AD217" s="392">
        <f t="shared" ca="1" si="704"/>
        <v>4.4450382862832649E-2</v>
      </c>
      <c r="AE217" s="388">
        <f t="shared" ca="1" si="705"/>
        <v>0</v>
      </c>
      <c r="AF217" s="388">
        <f ca="1">MAX(0,$G217-Control!$C$92)</f>
        <v>0</v>
      </c>
      <c r="AG217" s="393">
        <f t="shared" ca="1" si="706"/>
        <v>213</v>
      </c>
      <c r="AH217" s="389">
        <f t="shared" ca="1" si="707"/>
        <v>213</v>
      </c>
      <c r="AI217" s="388">
        <f t="shared" ca="1" si="824"/>
        <v>0.31003210122220026</v>
      </c>
      <c r="AJ217" s="388">
        <f ca="1">IF(Control!$C$60&lt;=0,$HH217,$HI217)</f>
        <v>1</v>
      </c>
      <c r="AK217" s="388">
        <f t="shared" ca="1" si="708"/>
        <v>2.2894894406983148</v>
      </c>
      <c r="AL217" s="388">
        <f t="shared" ca="1" si="709"/>
        <v>-2.3444839819530825E-18</v>
      </c>
      <c r="AM217" s="388">
        <f t="shared" ca="1" si="710"/>
        <v>2.2894894406983148</v>
      </c>
      <c r="AN217" s="388">
        <f t="shared" ca="1" si="711"/>
        <v>0.30407513159442756</v>
      </c>
      <c r="AO217" s="388">
        <f ca="1">-0.10453/COS(Control!$B$8*PI()/180)*COS(AN217)</f>
        <v>-0.16199586070140198</v>
      </c>
      <c r="AP217" s="388">
        <f ca="1">ACOS(AO217-TAN(Control!$B$8*PI()/180)*TAN(AN217))</f>
        <v>2.1695949018779643</v>
      </c>
      <c r="AQ217" s="388">
        <f t="shared" ca="1" si="825"/>
        <v>0</v>
      </c>
      <c r="AR217" s="394">
        <f t="shared" ca="1" si="712"/>
        <v>0</v>
      </c>
      <c r="AS217" s="436">
        <f ca="1">IF(Control!$B$18=2,(IF(OR($AH217=Control!$B$175,$AH217=Control!$B$176,$AH217=Control!$B$177,$AH217=Control!$B$178,$AH217=Control!$B$179,$AH217=Control!$B$180,$AH217=Control!$B$181,$AH217=Control!$B$182,$AH217=Control!$B$183,$AH217=Control!$B$184,$AH217=Control!$B$185),1,0)),0)</f>
        <v>0</v>
      </c>
      <c r="AT217" s="436">
        <f>IF(Control!$B$20=8,IF(AND($AH217&gt;=Control!$B$172,$AH217&lt;=Control!$B$173),1,0),0)</f>
        <v>0</v>
      </c>
      <c r="AU217" s="436">
        <f>IF(Control!$B$20=8,IF($AV216=1,1*$AT217,IF($AT217=1,$AU216+1,$AU216)),0)</f>
        <v>0</v>
      </c>
      <c r="AV217" s="436">
        <f>IF(Control!$B$20=8,IF($AU217&gt;=Control!$B$174,1,0),0)</f>
        <v>0</v>
      </c>
      <c r="AW217" s="436">
        <f ca="1">IF(AND(Control!$B$18=2,Control!$B$171=1), $AV217, $AS217)</f>
        <v>0</v>
      </c>
      <c r="AX217" s="436" t="e">
        <f ca="1">IF(AND(Control!$B$18=1,$EU217&gt;=Control!$B$19),-$AY217,IF(AND(Control!$B$18=2,$AW217=1,$EU217&gt;$DS217),-$AY217, IF(Control!$C$108=0,0, IF(Control!$C$108&lt;&gt;0,1))))</f>
        <v>#N/A</v>
      </c>
      <c r="AY217" s="436" t="e">
        <f t="shared" ca="1" si="826"/>
        <v>#N/A</v>
      </c>
      <c r="AZ217" s="436" t="e">
        <f ca="1">IF(AND(Control!$B$18=1,$EB217&gt;Control!$B$19),$AZ216+1, IF(AND(Control!$B$18=2, $AW217=1, $EB217&gt;$DS217), $AZ216+1,$AZ216))</f>
        <v>#N/A</v>
      </c>
      <c r="BA217" s="587">
        <f>IF(Control!$C$81=0,1,IF($AH217&gt;=Control!$C$82,1,0))</f>
        <v>1</v>
      </c>
      <c r="BB217" s="140" t="e">
        <f ca="1">IF($BA217&gt;$BA216,Control!$C$83,IF($AW217&gt;0,$AW217*Control!$C$84,IF(AND(Control!$B$18=1,EN216&lt;&gt;0),Control!$C$84,0)))</f>
        <v>#N/A</v>
      </c>
      <c r="BC217" s="140" t="e">
        <f t="shared" ca="1" si="827"/>
        <v>#N/A</v>
      </c>
      <c r="BD217" s="140" t="e">
        <f ca="1">BC217*IF(OR($G217&lt;Control!$C$92,$G217&gt;Control!$C$95),0,IF(AND($G217&gt;=Control!$C$92,$G217&lt;=Control!$C$93),$G217-Control!$C$92,IF(AND($G217&gt;Control!$C$93,$G217&lt;=Control!$C$94),Control!$C$93-Control!$C$92,IF(AND($G217&gt;Control!$C$94,$G217&lt;=Control!$C$95),(Control!$C$93-Control!$C$92)*(Control!$C$94-$G217)/(Control!$C$95-Control!$C$94)))))</f>
        <v>#N/A</v>
      </c>
      <c r="BE217" s="140" t="e">
        <f t="shared" ca="1" si="828"/>
        <v>#N/A</v>
      </c>
      <c r="BF217" s="140" t="e">
        <f ca="1">IF($BE217&lt;=Control!$C$86,$BE217,Control!$C$86-$BE217)</f>
        <v>#N/A</v>
      </c>
      <c r="BG217" s="140" t="e">
        <f ca="1">IF(AND($AW217=1,Control!$C$84&lt;9),1,IF($BE217&gt;=Control!$C$86,0,$BC217))</f>
        <v>#N/A</v>
      </c>
      <c r="BH217" s="404" t="e">
        <f ca="1">IF($BG217=0,0,IF($BE217&lt;=Control!$C$86,$BC217*9*($BF217/Control!$C$86),0))</f>
        <v>#N/A</v>
      </c>
      <c r="BI217" s="140" t="e">
        <f ca="1">IF($BG217=1,0,IF($BE217&gt;=Control!$C$86,1,IF(AND($BB217&lt;21,$BB217&gt;=9),1,$BM216)))</f>
        <v>#N/A</v>
      </c>
      <c r="BJ217" s="140" t="e">
        <f ca="1">IF($BF217&lt;0,-$BF217,$BI217*IF(OR($G217&lt;Control!$C$92,$G217&gt;Control!$C$95),0,IF(AND($G217&gt;=Control!$C$92,$G217&lt;=Control!$C$93),$G217-Control!$C$92,IF(AND($G217&gt;Control!$C$93,$G217&lt;=Control!$C$94),Control!$C$93-Control!$C$92,IF(AND($G217&gt;Control!$C$94,$G217&lt;=Control!$C$95),(Control!$C$93-Control!$C$92)*(Control!$C$94-$G217)/(Control!$C$95-Control!$C$94))))))</f>
        <v>#N/A</v>
      </c>
      <c r="BK217" s="140" t="e">
        <f t="shared" ca="1" si="829"/>
        <v>#N/A</v>
      </c>
      <c r="BL217" s="140" t="e">
        <f ca="1">IF($BK217&lt;=Control!$C$87,$BK217,Control!$C$87-$BK217)</f>
        <v>#N/A</v>
      </c>
      <c r="BM217" s="140" t="e">
        <f ca="1">IF(AND($BB217&gt;=9,$BB217&lt;21),1,IF($BK217&gt;=Control!$C$87,0,$BI217))</f>
        <v>#N/A</v>
      </c>
      <c r="BN217" s="404" t="e">
        <f ca="1">IF($BM217=0,0,IF($BK217&lt;=Control!$C$87,$BI217*(9+(21-9)*($BL217/Control!$C$87)),0))</f>
        <v>#N/A</v>
      </c>
      <c r="BO217" s="140" t="e">
        <f ca="1">IF($BM217=1,0,IF($BK217&gt;=Control!$C$87,1,IF(AND($BB217&lt;30,$BB217&gt;=21),1,$BS216)))</f>
        <v>#N/A</v>
      </c>
      <c r="BP217" s="140" t="e">
        <f ca="1">IF($BL217&lt;0,-$BL217,$BO217*IF(OR($G217&lt;Control!$C$92,$G217&gt;Control!$C$95),0,IF(AND($G217&gt;=Control!$C$92,$G217&lt;=Control!$C$93),$G217-Control!$C$92,IF(AND($G217&gt;Control!$C$93,$G217&lt;=Control!$C$94),Control!$C$93-Control!$C$92,IF(AND($G217&gt;Control!$C$94,$G217&lt;=Control!$C$95),(Control!$C$93-Control!$C$92)*(Control!$C$94-$G217)/(Control!$C$95-Control!$C$94))))))</f>
        <v>#N/A</v>
      </c>
      <c r="BQ217" s="140" t="e">
        <f t="shared" ca="1" si="713"/>
        <v>#N/A</v>
      </c>
      <c r="BR217" s="140" t="e">
        <f ca="1">IF($BQ217&lt;=Control!$C$88,$BQ217,Control!$C$88-$BQ217)</f>
        <v>#N/A</v>
      </c>
      <c r="BS217" s="140" t="e">
        <f ca="1">IF(AND($BB217&gt;=21,$BB217&lt;30),1,IF($BQ217&gt;=Control!$C$88,0,$BO217))</f>
        <v>#N/A</v>
      </c>
      <c r="BT217" s="404" t="e">
        <f ca="1">IF($BS217=0,0,IF($BQ217&lt;=Control!$C$88,$BO217*(21+(30-21)*(BR217/Control!$C$88)),0))</f>
        <v>#N/A</v>
      </c>
      <c r="BU217" s="140" t="e">
        <f ca="1">IF(BG217+BM217+BS217=1,0,IF(OR(AND($BB217&lt;60,$BB217&gt;=30),$BQ217&gt;=Control!$C$88),1*$BA217,$BY216))</f>
        <v>#N/A</v>
      </c>
      <c r="BV217" s="140" t="e">
        <f ca="1">IF($BR217&lt;0,-$BR217,$BU217*IF(OR($G217&lt;Control!$C$92,$G217&gt;Control!$C$95),0,IF(AND($G217&gt;=Control!$C$92,$G217&lt;=Control!$C$93),$G217-Control!$C$92,IF(AND($G217&gt;Control!$C$93,$G217&lt;=Control!$C$94),Control!$C$93-Control!$C$92,IF(AND($G217&gt;Control!$C$94,$G217&lt;=Control!$C$95),(Control!$C$93-Control!$C$92)*(Control!$C$94-$G217)/(Control!$C$95-Control!$C$94))))))</f>
        <v>#N/A</v>
      </c>
      <c r="BW217" s="140" t="e">
        <f t="shared" ca="1" si="714"/>
        <v>#N/A</v>
      </c>
      <c r="BX217" s="140" t="e">
        <f ca="1">IF($BW217&lt;=Control!$C$89,$BW217,Control!$C$89-$BW217)</f>
        <v>#N/A</v>
      </c>
      <c r="BY217" s="140" t="e">
        <f ca="1">IF(AND($AJ217&gt;=30,$AJ217&lt;60),1,IF($BW217&gt;=Control!$C$89,0,$BU217))</f>
        <v>#N/A</v>
      </c>
      <c r="BZ217" s="404" t="e">
        <f ca="1">IF($BY217=0,0,IF($BW217&lt;=Control!$C$89,$BU217*(30+(60-30)*(BX217/Control!$C$89)),0))</f>
        <v>#N/A</v>
      </c>
      <c r="CA217" s="140" t="e">
        <f ca="1">IF($BG217+$BM217+$BS217+$BY217=1,0,IF(OR(AND($BB217&lt;65,$BB217&gt;=60),$BW217&gt;=Control!$C$89),1*$BA217,$CE216))</f>
        <v>#N/A</v>
      </c>
      <c r="CB217" s="140" t="e">
        <f ca="1">IF($BX217&lt;0,-$BX217,$CA217*IF(OR($G217&lt;Control!$C$92,$G217&gt;Control!$C$95),0,IF(AND($G217&gt;=Control!$C$92,$G217&lt;=Control!$C$93),$G217-Control!$C$92,IF(AND($G217&gt;Control!$C$93,$G217&lt;=Control!$C$94),Control!$C$93-Control!$C$92,IF(AND($G217&gt;Control!$C$94,$G217&lt;=Control!$C$95),(Control!$C$93-Control!$C$92)*(Control!$C$94-$G217)/(Control!$C$95-Control!$C$94))))))</f>
        <v>#N/A</v>
      </c>
      <c r="CC217" s="140" t="e">
        <f t="shared" ca="1" si="830"/>
        <v>#N/A</v>
      </c>
      <c r="CD217" s="140" t="e">
        <f ca="1">IF($CC217&lt;=Control!$C$90,$CC217,Control!$C$90-$CC217)</f>
        <v>#N/A</v>
      </c>
      <c r="CE217" s="140" t="e">
        <f ca="1">IF(AND($BB217&gt;=60,$BB217&lt;65),1,IF($CC217&gt;=Control!$C$90,0,$CA217))</f>
        <v>#N/A</v>
      </c>
      <c r="CF217" s="404" t="e">
        <f ca="1">IF($CE217=0,0,IF($CC217&lt;=Control!$C$90,$CA217*(60+(65-60)*(CD217/Control!$C$90)),0))</f>
        <v>#N/A</v>
      </c>
      <c r="CG217" s="140" t="e">
        <f ca="1">IF($BG217+$BM217+$BS217+$BY217+$CE217=1,0,IF(OR(AND($BB217&lt;90,$BB217&gt;=65),$CC217&gt;=Control!$C$90),$BA217,$CK216))</f>
        <v>#N/A</v>
      </c>
      <c r="CH217" s="140" t="e">
        <f ca="1">IF($CD217&lt;0,-$CD217,$CG217*IF(OR($G217&lt;Control!$C$92,$G217&gt;Control!$C$95),0,IF(AND($G217&gt;=Control!$C$92,$G217&lt;=Control!$C$93),$G217-Control!$C$92,IF(AND($G217&gt;Control!$C$93,$G217&lt;=Control!$C$94),Control!$C$93-Control!$C$92,IF(AND($G217&gt;Control!$C$94,$G217&lt;=Control!$C$95),(Control!$C$93-Control!$C$92)*(Control!$C$94-$G217)/(Control!$C$95-Control!$C$94))))))</f>
        <v>#N/A</v>
      </c>
      <c r="CI217" s="140" t="e">
        <f t="shared" ca="1" si="831"/>
        <v>#N/A</v>
      </c>
      <c r="CJ217" s="140" t="e">
        <f ca="1">IF($CI217&lt;=Control!$C$91,$CI217,Control!$C$91-$CI217)</f>
        <v>#N/A</v>
      </c>
      <c r="CK217" s="140" t="e">
        <f ca="1">IF(AND($BB217&gt;=65,$BB217&lt;90),1,IF($CI217&gt;=Control!$C$91,0,$CG217))</f>
        <v>#N/A</v>
      </c>
      <c r="CL217" s="404" t="e">
        <f ca="1">IF($CK217=0,0,IF($CI217&lt;=Control!$C$91,$CG217*(65+(90-65)*($CJ217/Control!$C$91)),0))</f>
        <v>#N/A</v>
      </c>
      <c r="CM217" s="140" t="e">
        <f ca="1">IF($BG217+$BM217+$BS217+$BY217+$CE217+$CK217=1,0,IF(OR($BB217&gt;=90,$CI217&gt;=Control!$C$91),$BA217,$CM216))</f>
        <v>#N/A</v>
      </c>
      <c r="CN217" s="140" t="e">
        <f t="shared" ca="1" si="832"/>
        <v>#N/A</v>
      </c>
      <c r="CO217" s="140" t="e">
        <f t="shared" ca="1" si="833"/>
        <v>#N/A</v>
      </c>
      <c r="CP217" s="140" t="e">
        <f t="shared" ca="1" si="834"/>
        <v>#N/A</v>
      </c>
      <c r="CQ217" s="141" t="e">
        <f ca="1">VLOOKUP($CP217,Control!$B$86:$G$91,6)</f>
        <v>#N/A</v>
      </c>
      <c r="CR217" s="141" t="e">
        <f ca="1">(1-$CQ217)*VLOOKUP($CP217,Control!$B$86:$D$91,3)</f>
        <v>#N/A</v>
      </c>
      <c r="CS217" s="141" t="e">
        <f ca="1">(1-$CQ217)*VLOOKUP($CP217,Control!$B$86:$E$91,4)</f>
        <v>#N/A</v>
      </c>
      <c r="CT217" s="141" t="e">
        <f ca="1">(1-$CQ217)*VLOOKUP($CP217,Control!$B$86:$F$91,5)</f>
        <v>#N/A</v>
      </c>
      <c r="CU217" s="141">
        <f t="shared" ca="1" si="835"/>
        <v>0</v>
      </c>
      <c r="CV217" s="583">
        <f t="shared" ca="1" si="836"/>
        <v>0</v>
      </c>
      <c r="CW217" s="142">
        <f t="shared" ca="1" si="837"/>
        <v>213</v>
      </c>
      <c r="CX217" s="612" t="e">
        <f ca="1">IF(Control!$C$114=1,(MIN(Control!$C$120*(IF($NT217-0.01&lt;0,0,1)),Control!$C$119-$CY217)))</f>
        <v>#DIV/0!</v>
      </c>
      <c r="CY217" s="143" t="e">
        <f t="shared" ca="1" si="838"/>
        <v>#N/A</v>
      </c>
      <c r="CZ217" s="144">
        <f t="shared" ca="1" si="715"/>
        <v>0</v>
      </c>
      <c r="DA217" s="144">
        <f t="shared" ca="1" si="716"/>
        <v>0</v>
      </c>
      <c r="DB217" s="144" t="e">
        <f t="shared" ca="1" si="717"/>
        <v>#N/A</v>
      </c>
      <c r="DC217" s="144" t="e">
        <f t="shared" ca="1" si="718"/>
        <v>#N/A</v>
      </c>
      <c r="DD217" s="144" t="e">
        <f t="shared" ca="1" si="923"/>
        <v>#N/A</v>
      </c>
      <c r="DE217" s="143" t="e">
        <f t="shared" ca="1" si="839"/>
        <v>#N/A</v>
      </c>
      <c r="DF217" s="145" t="e">
        <f ca="1">$DR217*EXP(-Control!$C$158*(1-$KH217))</f>
        <v>#N/A</v>
      </c>
      <c r="DG217" s="146" t="e">
        <f ca="1">IF(Control!$C$114=1, $DF217*$EY217, 0)</f>
        <v>#N/A</v>
      </c>
      <c r="DH217" s="147" t="e">
        <f t="shared" ca="1" si="840"/>
        <v>#N/A</v>
      </c>
      <c r="DI217" s="144" t="e">
        <f t="shared" ca="1" si="901"/>
        <v>#N/A</v>
      </c>
      <c r="DJ217" s="147" t="e">
        <f ca="1">$EF217*Control!$C$109</f>
        <v>#N/A</v>
      </c>
      <c r="DK217" s="144" t="e">
        <f t="shared" ca="1" si="841"/>
        <v>#N/A</v>
      </c>
      <c r="DL217" s="144" t="e">
        <f t="shared" ca="1" si="719"/>
        <v>#N/A</v>
      </c>
      <c r="DM217" s="144" t="e">
        <f ca="1">IF(Control!$C$114=1, (1-EXP(-Control!$C$96*$DK217))*$AR217, 0)</f>
        <v>#N/A</v>
      </c>
      <c r="DN217" s="144">
        <f t="shared" ca="1" si="842"/>
        <v>0</v>
      </c>
      <c r="DO217" s="148">
        <f>Control!$C$97</f>
        <v>4</v>
      </c>
      <c r="DP217" s="145" t="e">
        <f t="shared" ca="1" si="843"/>
        <v>#N/A</v>
      </c>
      <c r="DQ217" s="145" t="e">
        <f ca="1">IF(AND($CP217&gt;=0,$CP217&lt;=90),Control!$C$111,Control!$C$111)</f>
        <v>#N/A</v>
      </c>
      <c r="DR217" s="145" t="e">
        <f t="shared" ca="1" si="720"/>
        <v>#N/A</v>
      </c>
      <c r="DS217" s="143" t="e">
        <f ca="1">Control!$B$22/$DR217</f>
        <v>#N/A</v>
      </c>
      <c r="DT217" s="149" t="e">
        <f ca="1">IF(AND(Control!$C$114=1,$KH217&lt;1),$IM217*$DF217, 0)</f>
        <v>#N/A</v>
      </c>
      <c r="DU217" s="144" t="e">
        <f t="shared" ca="1" si="844"/>
        <v>#N/A</v>
      </c>
      <c r="DV217" s="144">
        <f ca="1">IF($G217-Control!$C$107&lt;=0, 0, 0.83*LN(MAX($G217, 3))-0.8924)</f>
        <v>0</v>
      </c>
      <c r="DW217" s="144" t="e">
        <f t="shared" ca="1" si="721"/>
        <v>#N/A</v>
      </c>
      <c r="DX217" s="150" t="e">
        <f ca="1">MAX(0.01*(1+$CU217/Control!$C$102),0.05*($DK217-Control!$C$97)/Control!$C$97)</f>
        <v>#N/A</v>
      </c>
      <c r="DY217" s="151" t="e">
        <f ca="1">IF(Control!$C$114=1, $DI217*$FS217, 0)</f>
        <v>#N/A</v>
      </c>
      <c r="DZ217" s="196" t="e">
        <f t="shared" ca="1" si="845"/>
        <v>#N/A</v>
      </c>
      <c r="EA217" s="152">
        <f t="shared" ca="1" si="846"/>
        <v>213</v>
      </c>
      <c r="EB217" s="153" t="e">
        <f t="shared" ca="1" si="847"/>
        <v>#N/A</v>
      </c>
      <c r="EC217" s="153" t="e">
        <f t="shared" ca="1" si="848"/>
        <v>#N/A</v>
      </c>
      <c r="ED217" s="154" t="e">
        <f ca="1">IF(Control!$C$114=1, $HM217*$FY217-$FD217, 0)</f>
        <v>#DIV/0!</v>
      </c>
      <c r="EE217" s="155" t="e">
        <f ca="1">IF(Control!$C$114=1, $HM217*$FZ217-$FF217, 0)</f>
        <v>#DIV/0!</v>
      </c>
      <c r="EF217" s="153" t="e">
        <f t="shared" ca="1" si="902"/>
        <v>#N/A</v>
      </c>
      <c r="EG217" s="155" t="e">
        <f ca="1">IF(Control!$C$114=1, $GX217*$FW217-$FI217, 0)</f>
        <v>#DIV/0!</v>
      </c>
      <c r="EH217" s="153" t="e">
        <f t="shared" ca="1" si="849"/>
        <v>#N/A</v>
      </c>
      <c r="EI217" s="156" t="e">
        <f t="shared" ca="1" si="850"/>
        <v>#N/A</v>
      </c>
      <c r="EJ217" s="155" t="e">
        <f ca="1">IF(Control!$C$114=1, $HM217*$GB217, 0)</f>
        <v>#DIV/0!</v>
      </c>
      <c r="EK217" s="153" t="e">
        <f t="shared" ca="1" si="903"/>
        <v>#N/A</v>
      </c>
      <c r="EL217" s="153" t="e">
        <f t="shared" ca="1" si="722"/>
        <v>#N/A</v>
      </c>
      <c r="EM217" s="153" t="e">
        <f t="shared" ca="1" si="723"/>
        <v>#N/A</v>
      </c>
      <c r="EN217" s="153" t="e">
        <f ca="1">IF(Control!$C$108=1,IF(AND(Control!$B$18=1,$EB217&gt;=Control!$B$19),$EB217-$DS217,IF(AND(Control!$B$18=2,$AW217=1,$EB217&gt;$DS217),$EB217-$DS217,0)))</f>
        <v>#N/A</v>
      </c>
      <c r="EO217" s="153" t="e">
        <f ca="1">IF(Control!$C$108=1,IF(AND(Control!$B$18=1,$EB217&gt;=Control!$B$19),$EF217,IF(AND(Control!$B$18=2,$AW217=1),$EF217,0)))</f>
        <v>#N/A</v>
      </c>
      <c r="EP217" s="153" t="e">
        <f ca="1">IF(Control!$C$108=1,IF(AND(Control!$B$18=1,$EB217&gt;=Control!$B$19),$EK217,IF(AND(Control!$B$18=2,$AW217=1),$EK217,0)))</f>
        <v>#N/A</v>
      </c>
      <c r="EQ217" s="153" t="e">
        <f t="shared" ca="1" si="851"/>
        <v>#N/A</v>
      </c>
      <c r="ER217" s="153" t="e">
        <f t="shared" ca="1" si="852"/>
        <v>#N/A</v>
      </c>
      <c r="ES217" s="153" t="e">
        <f t="shared" ca="1" si="904"/>
        <v>#N/A</v>
      </c>
      <c r="ET217" s="153" t="e">
        <f t="shared" ca="1" si="905"/>
        <v>#N/A</v>
      </c>
      <c r="EU217" s="153" t="e">
        <f t="shared" ca="1" si="853"/>
        <v>#N/A</v>
      </c>
      <c r="EV217" s="153" t="e">
        <f t="shared" ca="1" si="724"/>
        <v>#N/A</v>
      </c>
      <c r="EW217" s="153" t="e">
        <f t="shared" ca="1" si="725"/>
        <v>#N/A</v>
      </c>
      <c r="EX217" s="153" t="e">
        <f t="shared" ca="1" si="726"/>
        <v>#N/A</v>
      </c>
      <c r="EY217" s="157" t="e">
        <f t="shared" ca="1" si="727"/>
        <v>#DIV/0!</v>
      </c>
      <c r="EZ217" s="154" t="e">
        <f t="shared" ca="1" si="728"/>
        <v>#DIV/0!</v>
      </c>
      <c r="FA217" s="153" t="e">
        <f t="shared" ca="1" si="854"/>
        <v>#N/A</v>
      </c>
      <c r="FB217" s="153" t="e">
        <f t="shared" ca="1" si="729"/>
        <v>#N/A</v>
      </c>
      <c r="FC217" s="193" t="e">
        <f t="shared" ca="1" si="730"/>
        <v>#N/A</v>
      </c>
      <c r="FD217" s="158" t="e">
        <f t="shared" ca="1" si="855"/>
        <v>#N/A</v>
      </c>
      <c r="FE217" s="158" t="e">
        <f t="shared" ca="1" si="856"/>
        <v>#N/A</v>
      </c>
      <c r="FF217" s="159" t="e">
        <f t="shared" ca="1" si="731"/>
        <v>#N/A</v>
      </c>
      <c r="FG217" s="160" t="e">
        <f t="shared" ca="1" si="857"/>
        <v>#N/A</v>
      </c>
      <c r="FH217" s="158" t="e">
        <f t="shared" ca="1" si="858"/>
        <v>#N/A</v>
      </c>
      <c r="FI217" s="159" t="e">
        <f t="shared" ca="1" si="732"/>
        <v>#N/A</v>
      </c>
      <c r="FJ217" s="160" t="e">
        <f t="shared" ca="1" si="859"/>
        <v>#N/A</v>
      </c>
      <c r="FK217" s="160" t="e">
        <f t="shared" ca="1" si="733"/>
        <v>#N/A</v>
      </c>
      <c r="FL217" s="160" t="e">
        <f t="shared" ca="1" si="906"/>
        <v>#N/A</v>
      </c>
      <c r="FM217" s="160" t="e">
        <f t="shared" ca="1" si="734"/>
        <v>#N/A</v>
      </c>
      <c r="FN217" s="158">
        <f t="shared" ca="1" si="860"/>
        <v>0.01</v>
      </c>
      <c r="FO217" s="160">
        <f>Control!$C$101</f>
        <v>50</v>
      </c>
      <c r="FP217" s="150" t="e">
        <f t="shared" ca="1" si="735"/>
        <v>#N/A</v>
      </c>
      <c r="FQ217" s="150" t="e">
        <f ca="1">MAX(0,(Control!$C$112*(($DK217-Control!$C$97)/Control!$C$97)))</f>
        <v>#N/A</v>
      </c>
      <c r="FR217" s="150" t="e">
        <f ca="1">(1-$NT217)*Control!$C$113</f>
        <v>#DIV/0!</v>
      </c>
      <c r="FS217" s="198" t="e">
        <f t="shared" ca="1" si="736"/>
        <v>#N/A</v>
      </c>
      <c r="FT217" s="161">
        <f t="shared" ca="1" si="861"/>
        <v>213</v>
      </c>
      <c r="FU217" s="162" t="e">
        <f ca="1">IF(Control!$B$34=1,VLOOKUP($CP217,Control!$B$86:$G$91,6),Control!$B$35)</f>
        <v>#N/A</v>
      </c>
      <c r="FV217" s="162" t="e">
        <f t="shared" ca="1" si="737"/>
        <v>#DIV/0!</v>
      </c>
      <c r="FW217" s="162" t="e">
        <f ca="1">IF(Control!$B$31=1,$FU217*$FV217,  $FU217)</f>
        <v>#N/A</v>
      </c>
      <c r="FX217" s="162" t="e">
        <f ca="1">IF(Control!$B$34=1,VLOOKUP($CP217,Control!$B$86:$G$91,3),Control!$B$36)</f>
        <v>#N/A</v>
      </c>
      <c r="FY217" s="162" t="e">
        <f t="shared" ca="1" si="738"/>
        <v>#N/A</v>
      </c>
      <c r="FZ217" s="162" t="e">
        <f ca="1">IF(Control!$B$34=1,VLOOKUP($CP217,Control!$B$86:$G$91,4),Control!$B$37)</f>
        <v>#N/A</v>
      </c>
      <c r="GA217" s="162" t="e">
        <f t="shared" ca="1" si="739"/>
        <v>#N/A</v>
      </c>
      <c r="GB217" s="162" t="e">
        <f ca="1">IF(Control!$B$34=1,VLOOKUP($CP217,Control!$B$86:$G$91,5),Control!$B$38)</f>
        <v>#N/A</v>
      </c>
      <c r="GC217" s="162" t="e">
        <f t="shared" ca="1" si="862"/>
        <v>#N/A</v>
      </c>
      <c r="GD217" s="162">
        <f t="shared" ca="1" si="740"/>
        <v>1</v>
      </c>
      <c r="GE217" s="162">
        <f t="shared" ca="1" si="741"/>
        <v>1</v>
      </c>
      <c r="GF217" s="162">
        <f ca="1">IF(AND(Control!$C$104=1, Control!$C$62="F"),$GE217,1)</f>
        <v>1</v>
      </c>
      <c r="GG217" s="162" t="e">
        <f ca="1">IF(Control!$B$16=40,0,IF(AND(Control!$B$16&gt;40,Control!$B$16&lt;=360),(Control!$B$16-40)*((1-0)/(360-40)),IF(AND(Control!$B$16&gt;360,Control!$B$16&lt;=720),(1+(Control!$B$16-360)*((1.25-1)/(720-360))),IF(AND(Control!$B$16&gt;720,Control!$B$16&lt;=1000),(1.25+(Control!$B$16-720)*((1.35-1.25)/(1000-720))),IF(AND(Control!$B$16&gt;1000,Control!$B$16&lt;=2000),(1.35+(Control!$B$16-1000)*0))))))</f>
        <v>#N/A</v>
      </c>
      <c r="GH217" s="162" t="e">
        <f t="shared" ca="1" si="742"/>
        <v>#N/A</v>
      </c>
      <c r="GI217" s="162">
        <f t="shared" ca="1" si="863"/>
        <v>0</v>
      </c>
      <c r="GJ217" s="162">
        <f t="shared" ca="1" si="743"/>
        <v>0</v>
      </c>
      <c r="GK217" s="162">
        <f t="shared" ca="1" si="864"/>
        <v>1</v>
      </c>
      <c r="GL217" s="162">
        <f t="shared" ca="1" si="744"/>
        <v>1</v>
      </c>
      <c r="GM217" s="162" t="e">
        <f ca="1">MAX(0,MIN(1,1-Control!$C$156*(1.0001-$KH217)^2))</f>
        <v>#N/A</v>
      </c>
      <c r="GN217" s="162" t="e">
        <f ca="1">IF(Control!$B$26=1,$KU217,$KX217)</f>
        <v>#N/A</v>
      </c>
      <c r="GO217" s="162" t="e">
        <f ca="1">IF($CP217&lt;=60,Control!$C$105,IF($CP217&gt;=90,Control!$C$106,Control!$C$105+($CP217-60)*((Control!$C$106-Control!$C$105)/(90-60))))</f>
        <v>#N/A</v>
      </c>
      <c r="GP217" s="162" t="e">
        <f t="shared" ca="1" si="745"/>
        <v>#N/A</v>
      </c>
      <c r="GQ217" s="162" t="e">
        <f t="shared" ca="1" si="865"/>
        <v>#N/A</v>
      </c>
      <c r="GR217" s="163" t="e">
        <f t="shared" ca="1" si="746"/>
        <v>#DIV/0!</v>
      </c>
      <c r="GS217" s="162" t="e">
        <f t="shared" ca="1" si="747"/>
        <v>#DIV/0!</v>
      </c>
      <c r="GT217" s="164" t="e">
        <f t="shared" ca="1" si="866"/>
        <v>#N/A</v>
      </c>
      <c r="GU217" s="162" t="e">
        <f t="shared" ca="1" si="867"/>
        <v>#N/A</v>
      </c>
      <c r="GV217" s="162" t="e">
        <f t="shared" ca="1" si="748"/>
        <v>#N/A</v>
      </c>
      <c r="GW217" s="162" t="e">
        <f t="shared" ca="1" si="749"/>
        <v>#DIV/0!</v>
      </c>
      <c r="GX217" s="162" t="e">
        <f t="shared" ca="1" si="868"/>
        <v>#DIV/0!</v>
      </c>
      <c r="GY217" s="162" t="e">
        <f t="shared" ca="1" si="869"/>
        <v>#DIV/0!</v>
      </c>
      <c r="GZ217" s="165" t="e">
        <f t="shared" ca="1" si="750"/>
        <v>#N/A</v>
      </c>
      <c r="HA217" s="162" t="e">
        <f ca="1">IF(Control!$C$114=1, $DI217*$FS217, 0)</f>
        <v>#N/A</v>
      </c>
      <c r="HB217" s="162" t="e">
        <f ca="1">$FA217/Control!$C$64</f>
        <v>#N/A</v>
      </c>
      <c r="HC217" s="162" t="e">
        <f t="shared" ca="1" si="751"/>
        <v>#DIV/0!</v>
      </c>
      <c r="HD217" s="162">
        <f ca="1">-ASIN(SIN(23.45*Control!$C$139)*COS(2*Control!$C$138*($AH217+10)/365))</f>
        <v>0.31003210122220026</v>
      </c>
      <c r="HE217" s="165">
        <f t="shared" ca="1" si="870"/>
        <v>0</v>
      </c>
      <c r="HF217" s="166">
        <f ca="1">IF(AND(Control!$C$61="T",$HE217&gt;=Control!$C$103,Control!$C$114=0),$AH217,Control!$C$59)</f>
        <v>1</v>
      </c>
      <c r="HG217" s="166">
        <f ca="1">IF(AND(Control!$C$61="T",$HE217&gt;=Control!$C$103,Control!$C$114=0),$HF217,Control!$C$59)</f>
        <v>1</v>
      </c>
      <c r="HH217" s="165">
        <f ca="1">IF(AND(OR(Control!$C$60&lt;=0, $AH217= Control!$C$59, Control!$C$60 &gt;0, $AH217 = Control!$C$60)), Control!$C$59, IF(Control!$C$60&gt;0, 0))</f>
        <v>1</v>
      </c>
      <c r="HI217" s="165">
        <f ca="1">IF(AND(OR(Control!$C$60&lt;=0, $AH217= Control!$C$59, Control!$C$60 &gt;0, $AH217 = Control!$C$60)), Control!$C$60, IF(Control!$C$60&lt;=0, 0))</f>
        <v>0</v>
      </c>
      <c r="HJ217" s="166">
        <f ca="1">IF(AND(Control!$C$62="F",$CV217&gt;=Control!$C$102),$AH217,0)</f>
        <v>0</v>
      </c>
      <c r="HK217" s="165" t="e">
        <f t="shared" ca="1" si="907"/>
        <v>#N/A</v>
      </c>
      <c r="HL217" s="166">
        <f ca="1">IF(AND(Control!$C$61="T",$HE217&gt;=Control!$C$103,Control!$C$114=0),$HF217,0)</f>
        <v>0</v>
      </c>
      <c r="HM217" s="201" t="e">
        <f t="shared" ca="1" si="752"/>
        <v>#DIV/0!</v>
      </c>
      <c r="HN217" s="215">
        <f t="shared" ca="1" si="871"/>
        <v>213</v>
      </c>
      <c r="HO217" s="216" t="e">
        <f ca="1">IF(AND($CP217&gt;=0, $CP217&lt;=90), Control!$C$152, Control!$C$152)</f>
        <v>#N/A</v>
      </c>
      <c r="HP217" s="216" t="e">
        <f t="shared" ca="1" si="753"/>
        <v>#N/A</v>
      </c>
      <c r="HQ217" s="217" t="e">
        <f ca="1">IF(OR(Control!$B$26=1,Control!$B$26=2),$KV217,$KS217)</f>
        <v>#DIV/0!</v>
      </c>
      <c r="HR217" s="218" t="e">
        <f t="shared" ca="1" si="908"/>
        <v>#DIV/0!</v>
      </c>
      <c r="HS217" s="216" t="e">
        <f ca="1">Control!$C$154*$HP217</f>
        <v>#N/A</v>
      </c>
      <c r="HT217" s="216" t="e">
        <f ca="1">Control!$C$155*$HP217</f>
        <v>#N/A</v>
      </c>
      <c r="HU217" s="217" t="e">
        <f ca="1">Control!$C$161*$FI217</f>
        <v>#N/A</v>
      </c>
      <c r="HV217" s="218" t="e">
        <f t="shared" ca="1" si="872"/>
        <v>#N/A</v>
      </c>
      <c r="HW217" s="218" t="e">
        <f ca="1">Control!$C$160*$FF217+$IP217*$EO217</f>
        <v>#N/A</v>
      </c>
      <c r="HX217" s="218" t="e">
        <f t="shared" ca="1" si="909"/>
        <v>#N/A</v>
      </c>
      <c r="HY217" s="219" t="e">
        <f ca="1">IF(Control!$C$114=1, $EB217*$FS217, 0)</f>
        <v>#N/A</v>
      </c>
      <c r="HZ217" s="91" t="e">
        <f t="shared" ca="1" si="754"/>
        <v>#N/A</v>
      </c>
      <c r="IA217" s="220" t="e">
        <f ca="1">Control!$C$153*$HO217</f>
        <v>#N/A</v>
      </c>
      <c r="IB217" s="218" t="e">
        <f t="shared" ca="1" si="755"/>
        <v>#N/A</v>
      </c>
      <c r="IC217" s="220" t="e">
        <f ca="1">Control!$C$153*$HT217</f>
        <v>#N/A</v>
      </c>
      <c r="ID217" s="218" t="e">
        <f t="shared" ca="1" si="756"/>
        <v>#N/A</v>
      </c>
      <c r="IE217" s="221" t="e">
        <f ca="1">($EB217*Control!$C$159+$EF217*Control!$C$160)/(IF($GZ217&lt;&gt;0,$GZ217,1))</f>
        <v>#N/A</v>
      </c>
      <c r="IF217" s="216" t="e">
        <f t="shared" ca="1" si="757"/>
        <v>#N/A</v>
      </c>
      <c r="IG217" s="91">
        <f ca="1">IF(OR(Control!$B$198=$AH217,Control!$B$199=$AH217, Control!$B$200=$AH217, Control!$B$201=$AH217, Control!$B$202=$AH217, Control!$B$203=$AH217, Control!$B$204=$AH217, Control!$B$205=$AH217, Control!$B$206=$AH217, Control!$B$207=$AH217), 1, 0)</f>
        <v>0</v>
      </c>
      <c r="IH217" s="91">
        <f ca="1">IF($IG217=0,0, VLOOKUP($AH217,Control!$B$198:$C$207,2))</f>
        <v>0</v>
      </c>
      <c r="II217" s="222">
        <f t="shared" ca="1" si="873"/>
        <v>0</v>
      </c>
      <c r="IJ217" s="91">
        <f>Control!$C$121</f>
        <v>0.7</v>
      </c>
      <c r="IK217" s="218">
        <f t="shared" ca="1" si="758"/>
        <v>0</v>
      </c>
      <c r="IL217" s="217" t="e">
        <f t="shared" ca="1" si="910"/>
        <v>#N/A</v>
      </c>
      <c r="IM217" s="223" t="e">
        <f ca="1">IF(AND(Control!$C$114=1,$KH217&lt;1),$EB217*Control!$C$148*(1-$KH217), 0)</f>
        <v>#N/A</v>
      </c>
      <c r="IN217" s="217" t="e">
        <f t="shared" ca="1" si="759"/>
        <v>#DIV/0!</v>
      </c>
      <c r="IO217" s="91" t="e">
        <f ca="1">MAX(0,$IL217-$EF217*Control!$C$160)</f>
        <v>#N/A</v>
      </c>
      <c r="IP217" s="220" t="e">
        <f t="shared" ca="1" si="760"/>
        <v>#N/A</v>
      </c>
      <c r="IQ217" s="217" t="e">
        <f t="shared" ca="1" si="874"/>
        <v>#N/A</v>
      </c>
      <c r="IR217" s="218" t="e">
        <f t="shared" ca="1" si="761"/>
        <v>#N/A</v>
      </c>
      <c r="IS217" s="217" t="e">
        <f ca="1">Control!$C$159*MAX(0,$FD217-$EN217)</f>
        <v>#N/A</v>
      </c>
      <c r="IT217" s="217" t="e">
        <f t="shared" ca="1" si="911"/>
        <v>#N/A</v>
      </c>
      <c r="IU217" s="217" t="e">
        <f t="shared" ca="1" si="875"/>
        <v>#N/A</v>
      </c>
      <c r="IV217" s="217" t="e">
        <f t="shared" ca="1" si="912"/>
        <v>#N/A</v>
      </c>
      <c r="IW217" s="217" t="e">
        <f ca="1">IF(OR($AW217=1,AND($AW217=0, Control!$B$18=1,$EN217&lt;&gt;0)), $IQ217-$IU217, $IQ217)</f>
        <v>#N/A</v>
      </c>
      <c r="IX217" s="218" t="e">
        <f t="shared" ca="1" si="762"/>
        <v>#N/A</v>
      </c>
      <c r="IY217" s="218" t="e">
        <f ca="1">MAX(0,$IQ217-$EB217*Control!$C$159)</f>
        <v>#N/A</v>
      </c>
      <c r="IZ217" s="218" t="e">
        <f t="shared" ca="1" si="763"/>
        <v>#N/A</v>
      </c>
      <c r="JA217" s="216" t="e">
        <f t="shared" ca="1" si="764"/>
        <v>#N/A</v>
      </c>
      <c r="JB217" s="217" t="e">
        <f t="shared" ca="1" si="765"/>
        <v>#N/A</v>
      </c>
      <c r="JC217" s="222" t="e">
        <f ca="1">MAX(Control!$C$157*$EK217-$JT217, 0)/Control!$C$162</f>
        <v>#N/A</v>
      </c>
      <c r="JD217" s="218" t="e">
        <f t="shared" ca="1" si="766"/>
        <v>#N/A</v>
      </c>
      <c r="JE217" s="218" t="e">
        <f t="shared" ca="1" si="767"/>
        <v>#N/A</v>
      </c>
      <c r="JF217" s="218" t="e">
        <f t="shared" ca="1" si="876"/>
        <v>#N/A</v>
      </c>
      <c r="JG217" s="218" t="e">
        <f t="shared" ca="1" si="768"/>
        <v>#N/A</v>
      </c>
      <c r="JH217" s="217" t="e">
        <f t="shared" ca="1" si="877"/>
        <v>#N/A</v>
      </c>
      <c r="JI217" s="217" t="e">
        <f t="shared" ca="1" si="878"/>
        <v>#N/A</v>
      </c>
      <c r="JJ217" s="217" t="e">
        <f t="shared" ca="1" si="913"/>
        <v>#N/A</v>
      </c>
      <c r="JK217" s="217" t="e">
        <f ca="1">IF(Control!$C$114=1,IF(Control!$B$24=0,MAX(0,$JI217)*$GN217/Control!$C$64,(MAX(0,MIN($JI217,$JJ217*$GN217/Control!$C$64),0))))</f>
        <v>#N/A</v>
      </c>
      <c r="JL217" s="217" t="e">
        <f ca="1">$IK217/Control!$C$64-$JK217+$HQ217</f>
        <v>#N/A</v>
      </c>
      <c r="JM217" s="217" t="e">
        <f ca="1">IF(Control!$C$114=1,($JB217/(IF($JI217&lt;&gt;0,$JI217,1)))*$JK217,0)</f>
        <v>#N/A</v>
      </c>
      <c r="JN217" s="217" t="e">
        <f ca="1">IF(Control!$C$114=1,($JG217/(IF($JI217&lt;&gt;0,$JI217,1)))*$JK217, 0)</f>
        <v>#N/A</v>
      </c>
      <c r="JO217" s="218" t="e">
        <f t="shared" ca="1" si="769"/>
        <v>#N/A</v>
      </c>
      <c r="JP217" s="218" t="e">
        <f ca="1">MIN(($IY217+$IO217)*Control!$C$151, $JF217-$EH217*Control!$C$161)</f>
        <v>#N/A</v>
      </c>
      <c r="JQ217" s="218" t="e">
        <f t="shared" ca="1" si="770"/>
        <v>#N/A</v>
      </c>
      <c r="JR217" s="217" t="e">
        <f ca="1">IF($CP217-Control!$C$150&lt;0, 0, $JQ217/Control!$C$162)</f>
        <v>#N/A</v>
      </c>
      <c r="JS217" s="218" t="e">
        <f t="shared" ca="1" si="771"/>
        <v>#N/A</v>
      </c>
      <c r="JT217" s="218" t="e">
        <f t="shared" ca="1" si="879"/>
        <v>#N/A</v>
      </c>
      <c r="JU217" s="218" t="e">
        <f t="shared" ca="1" si="772"/>
        <v>#N/A</v>
      </c>
      <c r="JV217" s="218" t="e">
        <f t="shared" ca="1" si="773"/>
        <v>#N/A</v>
      </c>
      <c r="JW217" s="216" t="e">
        <f t="shared" ca="1" si="774"/>
        <v>#N/A</v>
      </c>
      <c r="JX217" s="91" t="e">
        <f t="shared" ca="1" si="775"/>
        <v>#N/A</v>
      </c>
      <c r="JY217" s="218" t="e">
        <f t="shared" ca="1" si="776"/>
        <v>#N/A</v>
      </c>
      <c r="JZ217" s="217" t="e">
        <f ca="1">IF(Control!$C$114=1,($IZ217/(IF($JI217&lt;&gt;0,$JI217,1)))*$JK217, 0)</f>
        <v>#N/A</v>
      </c>
      <c r="KA217" s="218" t="e">
        <f t="shared" ca="1" si="914"/>
        <v>#N/A</v>
      </c>
      <c r="KB217" s="218" t="e">
        <f t="shared" ca="1" si="880"/>
        <v>#N/A</v>
      </c>
      <c r="KC217" s="218" t="e">
        <f t="shared" ca="1" si="777"/>
        <v>#N/A</v>
      </c>
      <c r="KD217" s="218" t="e">
        <f t="shared" ca="1" si="778"/>
        <v>#N/A</v>
      </c>
      <c r="KE217" s="218" t="e">
        <f t="shared" ca="1" si="779"/>
        <v>#N/A</v>
      </c>
      <c r="KF217" s="218" t="e">
        <f t="shared" ca="1" si="780"/>
        <v>#N/A</v>
      </c>
      <c r="KG217" s="216" t="e">
        <f t="shared" ca="1" si="781"/>
        <v>#N/A</v>
      </c>
      <c r="KH217" s="221" t="e">
        <f ca="1">IF(Control!$B$24=0,1,MAX(0.001,MIN(1,IF(($IF217-$IE217)&lt;&gt;0,($KG217-$IE217)/($IF217-$IE217),1))))</f>
        <v>#N/A</v>
      </c>
      <c r="KI217" s="222" t="e">
        <f ca="1">IF(Control!$C$114=1, $KI216+ $KH216, 0)</f>
        <v>#N/A</v>
      </c>
      <c r="KJ217" s="217" t="e">
        <f t="shared" ca="1" si="782"/>
        <v>#N/A</v>
      </c>
      <c r="KK217" s="218" t="e">
        <f t="shared" ca="1" si="783"/>
        <v>#N/A</v>
      </c>
      <c r="KL217" s="274" t="e">
        <f ca="1">IF(Control!$B$26=3,4000000000*EXP(-8400/($G217+273)),IF(Control!$B$26=4,4000000000*EXP(-8400/($G217+273))*($KT217),0))</f>
        <v>#DIV/0!</v>
      </c>
      <c r="KM217" s="274" t="e">
        <f ca="1">IF(Control!$B$26=3,5600000000000*EXP(-9800/($G217+273)),IF(Control!$B$26=4,5600000000000*EXP(-9800/($G217+273))*$KT217,0))</f>
        <v>#DIV/0!</v>
      </c>
      <c r="KN217" s="454" t="e">
        <f t="shared" ca="1" si="881"/>
        <v>#DIV/0!</v>
      </c>
      <c r="KO217" s="274" t="e">
        <f t="shared" ca="1" si="882"/>
        <v>#DIV/0!</v>
      </c>
      <c r="KP217" s="454" t="e">
        <f t="shared" ca="1" si="784"/>
        <v>#DIV/0!</v>
      </c>
      <c r="KQ217" s="454" t="e">
        <f t="shared" ca="1" si="785"/>
        <v>#DIV/0!</v>
      </c>
      <c r="KR217" s="454" t="e">
        <f t="shared" ca="1" si="786"/>
        <v>#DIV/0!</v>
      </c>
      <c r="KS217" s="454" t="e">
        <f t="shared" ca="1" si="787"/>
        <v>#DIV/0!</v>
      </c>
      <c r="KT217" s="455" t="e">
        <f t="shared" ca="1" si="788"/>
        <v>#DIV/0!</v>
      </c>
      <c r="KU217" s="456" t="e">
        <f ca="1">IF($CP217-Control!$C$149&lt;0, IF($NT217-0.01&lt;0,0,1),0)</f>
        <v>#N/A</v>
      </c>
      <c r="KV217" s="456" t="e">
        <f ca="1">IF(Control!$C$114=1,MAX(0,MIN(Control!$C$125*$KW217*$GN217,$KW217)))</f>
        <v>#DIV/0!</v>
      </c>
      <c r="KW217" s="456" t="e">
        <f t="shared" ca="1" si="915"/>
        <v>#DIV/0!</v>
      </c>
      <c r="KX217" s="457" t="e">
        <f ca="1">IF($CP217-Control!$C$149&lt;0, IF($MR217-$OM217&lt;0,0,1),0)</f>
        <v>#N/A</v>
      </c>
      <c r="KY217" s="167">
        <f t="shared" ca="1" si="883"/>
        <v>213</v>
      </c>
      <c r="KZ217" s="168">
        <f ca="1">1370*(1+0.033*COS(2*Control!$C$138*$AH217/365))</f>
        <v>1330.879653332084</v>
      </c>
      <c r="LA217" s="169">
        <f t="shared" ca="1" si="884"/>
        <v>0.9714448606060142</v>
      </c>
      <c r="LB217" s="169">
        <f t="shared" ca="1" si="885"/>
        <v>0.31127913028124182</v>
      </c>
      <c r="LC217" s="169">
        <f ca="1">ACOS(-TAN((2*Control!$B$8/360))*TAN(Calculations!$LB217))</f>
        <v>1.6665643286310443</v>
      </c>
      <c r="LD217" s="169">
        <f ca="1">((24*60)/PI())*0.082*$LA217*(($LC217*SIN(Control!$B$8*2*PI()/360))*SIN($LB217)+COS(Control!$B$8*2*PI()/360)*COS($LB217)*SIN($LC217))</f>
        <v>35.98744139125391</v>
      </c>
      <c r="LE217" s="170">
        <f t="shared" ca="1" si="789"/>
        <v>37.01370395119131</v>
      </c>
      <c r="LF217" s="170">
        <f ca="1">SIN(Control!$C$139*Control!$B$8)*SIN($HD217)</f>
        <v>0.24041397484120952</v>
      </c>
      <c r="LG217" s="170">
        <f ca="1">COS(Control!$C$139*Control!$B$8)*COS($HD217)</f>
        <v>0.58630746865359484</v>
      </c>
      <c r="LH217" s="170">
        <f ca="1">12*(1+2*ASIN(MAX(-1,MIN(1,$LF217/$LG217))/Control!$C$138))</f>
        <v>15.141488802011157</v>
      </c>
      <c r="LI217" s="170">
        <f ca="1">12*(1+2*ASIN(MAX(-1,MIN(1,(-SIN(-4*Control!$C$139)+$LF217)/$LG217))/Control!$C$138))</f>
        <v>16.060782666117031</v>
      </c>
      <c r="LJ217" s="168">
        <f ca="1">3600*($LH217*$LF217+24*$LG217*SQRT(1-$LK217*$LK217)/Control!$C$138)</f>
        <v>27811.458277629536</v>
      </c>
      <c r="LK217" s="170">
        <f t="shared" ca="1" si="790"/>
        <v>0.41004760760305464</v>
      </c>
      <c r="LL217" s="170">
        <f t="shared" ca="1" si="791"/>
        <v>0</v>
      </c>
      <c r="LM217" s="171">
        <f ca="1">Control!$C$145*$AB217</f>
        <v>6.6660906138995932E-2</v>
      </c>
      <c r="LN217" s="170">
        <f t="shared" ca="1" si="886"/>
        <v>0.54</v>
      </c>
      <c r="LO217" s="170">
        <f t="shared" ca="1" si="792"/>
        <v>0</v>
      </c>
      <c r="LP217" s="170">
        <f ca="1">Control!$C$140*((($D217+273.16)^4+($E217+273.16)^4)/2)*(0.34-0.14*SQRT($Y217))*(1.35*$AQ217/(0.75*$LD217)-0.35)</f>
        <v>-3.2464704755046001</v>
      </c>
      <c r="LQ217" s="170">
        <f ca="1">Control!$C$140*($G217+273)^4*(0.56-0.079*SQRT($Y217*10))*(0.1+0.9*$LO217)</f>
        <v>1.5241745131704001</v>
      </c>
      <c r="LR217" s="170">
        <f ca="1">$AQ217*(1-Control!$C$142)-$LQ217</f>
        <v>-1.5241745131704001</v>
      </c>
      <c r="LS217" s="170">
        <f ca="1">$AQ217*(1-Control!$C$143)-$LQ217</f>
        <v>-1.5241745131704001</v>
      </c>
      <c r="LT217" s="170">
        <f ca="1">$AQ217*(1-Control!$C$144)-$LQ217</f>
        <v>-1.5241745131704001</v>
      </c>
      <c r="LU217" s="169">
        <f ca="1">(1-Control!$C$144)*AQ217-LP217</f>
        <v>3.2464704755046001</v>
      </c>
      <c r="LV217" s="172">
        <f t="shared" ca="1" si="793"/>
        <v>0.79430000000000012</v>
      </c>
      <c r="LW217" s="170">
        <f t="shared" ca="1" si="794"/>
        <v>1.5886000000000002</v>
      </c>
      <c r="LX217" s="170">
        <f ca="1">($AC217*($LR217/Control!$C$141)+$LM217*$LV217)/($AC217+$LM217)</f>
        <v>0.23530094218323697</v>
      </c>
      <c r="LY217" s="170">
        <f ca="1">($AC217*($LS217/Control!$C$141)+$LM217*$LV217)/($AC217+$LM217)</f>
        <v>0.23530094218323697</v>
      </c>
      <c r="LZ217" s="170">
        <f t="shared" ca="1" si="795"/>
        <v>0.23530094218323697</v>
      </c>
      <c r="MA217" s="170">
        <f t="shared" ca="1" si="796"/>
        <v>0.23530094218323697</v>
      </c>
      <c r="MB217" s="170" t="e">
        <f t="shared" ca="1" si="797"/>
        <v>#N/A</v>
      </c>
      <c r="MC217" s="170">
        <f t="shared" ca="1" si="887"/>
        <v>0.6018</v>
      </c>
      <c r="MD217" s="170">
        <f t="shared" ca="1" si="798"/>
        <v>0.52989392535414004</v>
      </c>
      <c r="ME217" s="170">
        <f ca="1">($AC217*($LT217/Control!$C$141)+$LM217*$LW217)/($AC217+$LM217)</f>
        <v>0.71612369323045078</v>
      </c>
      <c r="MF217" s="170" t="e">
        <f ca="1">IF(Control!$B$16&gt;=1000,0.92,IF(AND(720&lt;=Control!$B$16,1000&gt;Control!$B$16),(0.95+(Control!$B$16-720)*((0.92-0.95)/(1000-720))),IF(AND(360&lt;=Control!$B$16,720&gt;Control!$B$16),(1+(Control!$B$16-360)*((0.95-1)/(720-360))),IF(AND(40&lt;=Control!$B$16,360&gt;Control!$B$16),(1.05+(Control!$B$16-40)*((1.05-1)/(360-40)))))))</f>
        <v>#N/A</v>
      </c>
      <c r="MG217" s="170">
        <f t="shared" ca="1" si="799"/>
        <v>0.71612369323045078</v>
      </c>
      <c r="MH217" s="170" t="e">
        <f t="shared" ca="1" si="924"/>
        <v>#N/A</v>
      </c>
      <c r="MI217" s="170" t="e">
        <f t="shared" ca="1" si="924"/>
        <v>#N/A</v>
      </c>
      <c r="MJ217" s="170" t="e">
        <f ca="1">MAX(0.0001, Control!$C$132*$MI217*$DL217)</f>
        <v>#N/A</v>
      </c>
      <c r="MK217" s="170">
        <f ca="1">1/(0.76+1.5*($MG217/10))-(5-Control!$C$110)*0.1</f>
        <v>1.002845988140797</v>
      </c>
      <c r="ML217" s="173">
        <f ca="1">IF(Control!$C$110&lt;3,$MK217+($MG217-0.6)/(Control!$C$110*(Control!$C$110+3)), MAX(0.1, MIN(0.95,$MK217)))</f>
        <v>0.95</v>
      </c>
      <c r="MM217" s="173">
        <f ca="1">IF(Control!$C$110&lt;3,$MK217+(($MI217/10)-0.6)/(Control!$C$110*(Control!$C$110+3)), MAX(0.1, MIN(0.95,$MK217)))</f>
        <v>0.95</v>
      </c>
      <c r="MN217" s="173">
        <f ca="1">(1-$MM217)*(Control!$C$128-Control!$C$127)+Control!$C$127</f>
        <v>0.16</v>
      </c>
      <c r="MO217" s="170" t="e">
        <f ca="1">MAX(0,MIN(1,($MS217-Control!$C$127)/($MN217-Control!$C$127)))</f>
        <v>#DIV/0!</v>
      </c>
      <c r="MP217" s="173" t="e">
        <f ca="1">1/(0.76+1.5*$MI217)-(5-Control!$C$110)*0.1</f>
        <v>#N/A</v>
      </c>
      <c r="MQ217" s="172" t="e">
        <f t="shared" ca="1" si="916"/>
        <v>#DIV/0!</v>
      </c>
      <c r="MR217" s="168" t="e">
        <f t="shared" ca="1" si="888"/>
        <v>#DIV/0!</v>
      </c>
      <c r="MS217" s="173" t="e">
        <f ca="1">MAX(Control!$C$127, MIN(Control!$C$135, $MR217/MAX(0.0001,$CY217)))</f>
        <v>#DIV/0!</v>
      </c>
      <c r="MT217" s="168" t="e">
        <f ca="1">(Control!$C$128-$MS217)*Control!$C$74</f>
        <v>#DIV/0!</v>
      </c>
      <c r="MU217" s="168" t="e">
        <f ca="1">(Control!$C$135-$MS217)*Control!$C$74</f>
        <v>#DIV/0!</v>
      </c>
      <c r="MV217" s="168" t="e">
        <f t="shared" ca="1" si="889"/>
        <v>#DIV/0!</v>
      </c>
      <c r="MW217" s="168" t="e">
        <f t="shared" ca="1" si="890"/>
        <v>#DIV/0!</v>
      </c>
      <c r="MX217" s="171" t="e">
        <f ca="1">MAX(Control!$C$127, MIN(Control!$C$135, $MW217/MAX(0.0001,Control!$C$119-$CY217)))</f>
        <v>#DIV/0!</v>
      </c>
      <c r="MY217" s="54" t="e">
        <f ca="1">IF(Control!$C$114=1, $CX217*$MX217, 0)</f>
        <v>#DIV/0!</v>
      </c>
      <c r="MZ217" s="54" t="e">
        <f t="shared" ca="1" si="891"/>
        <v>#N/A</v>
      </c>
      <c r="NA217" s="168" t="e">
        <f ca="1">(Control!$C$128-$MX217)*(Control!$C$119-Control!$C$74)</f>
        <v>#DIV/0!</v>
      </c>
      <c r="NB217" s="168" t="e">
        <f ca="1">(Control!$C$135-$MX217)*(Control!$C$119-Control!$C$74)</f>
        <v>#DIV/0!</v>
      </c>
      <c r="NC217" s="174" t="e">
        <f t="shared" ca="1" si="892"/>
        <v>#DIV/0!</v>
      </c>
      <c r="ND217" s="54">
        <f ca="1">IF(Control!$C$58=2, IF(OR(Control!$B$218=$AH217,Control!$B$219=$AH217, Control!$B$220=$AH217, Control!$B$221=$AH217, Control!$B$222=$AH217, Control!$B$223=$AH217, Control!$B$224=$AH217, Control!$B$225=$AH217, Control!$B$226=$AH217, Control!$B$227=$AH217, Control!$B$228=$AH217), 1, 0), 0)</f>
        <v>0</v>
      </c>
      <c r="NE217" s="54">
        <f ca="1">IF($ND217=0,0, VLOOKUP($AH217,Control!$B$218:$C$228,2))</f>
        <v>0</v>
      </c>
      <c r="NF217" s="168" t="e">
        <f ca="1">$CY217*(Control!$C$128-Control!$C$127)</f>
        <v>#N/A</v>
      </c>
      <c r="NG217" s="54" t="e">
        <f ca="1">IF(Control!$C$58=2, $NI216-$NJ216, 0)</f>
        <v>#DIV/0!</v>
      </c>
      <c r="NH217" s="54" t="e">
        <f ca="1">IF(AND(Control!$C$58=1, $MS216&lt;= ($MN216+0.02), $I216&lt;10), 0, IF(Control!$C$58=2, $NG216, 0))</f>
        <v>#DIV/0!</v>
      </c>
      <c r="NI217" s="54" t="e">
        <f ca="1">IF(Control!$C$58=2, $NE217+$NH217,0)</f>
        <v>#DIV/0!</v>
      </c>
      <c r="NJ217" s="54" t="e">
        <f ca="1">IF(AND(Control!$C$58=1, $MS217&lt;= ($MN217+0.02), $I217&lt;10), MAX(0, MIN(10, 0.7*($NF217-$MV217))), IF(Control!$C$58=2, MIN(10,$NI217),0))</f>
        <v>#DIV/0!</v>
      </c>
      <c r="NK217" s="54" t="e">
        <f t="shared" ca="1" si="800"/>
        <v>#DIV/0!</v>
      </c>
      <c r="NL217" s="173" t="e">
        <f ca="1">(1-Control!$C$73)*$I217+$NJ217</f>
        <v>#DIV/0!</v>
      </c>
      <c r="NM217" s="172" t="e">
        <f ca="1">IF($NL217&lt;0.5, $MB217* MAX(0, MIN(1, (SQRT($NC217)-SQRT($NC217-1))*Control!$C$71)),0)</f>
        <v>#DIV/0!</v>
      </c>
      <c r="NN217" s="170" t="e">
        <f ca="1">IF($NL217&gt;=5, $MB217, MAX(0,MIN($MB217, $NM217+$NL217,($MS217-Control!$C$129))))</f>
        <v>#DIV/0!</v>
      </c>
      <c r="NO217" s="54">
        <f>IF(Control!$C$133&lt;&gt;1, Control!$C$135-Control!$C$131, 0)</f>
        <v>0.38</v>
      </c>
      <c r="NP217" s="54" t="e">
        <f t="shared" ca="1" si="801"/>
        <v>#DIV/0!</v>
      </c>
      <c r="NQ217" s="173" t="e">
        <f ca="1">MAX(0,MIN(1,(Control!$C$135-$MS217)/(Control!$C$135-$NO217)))</f>
        <v>#DIV/0!</v>
      </c>
      <c r="NR217" s="170" t="e">
        <f ca="1">IF(Control!$C$133&lt;&gt;1, $NQ217+((1-$NP217/4)*(1-$NQ217)),1)</f>
        <v>#DIV/0!</v>
      </c>
      <c r="NS217" s="170" t="e">
        <f ca="1">IF(Control!$B$31=0,$MJ217,MAX(0,MIN($MV217,$MO217*$NR217*$MJ217)))</f>
        <v>#DIV/0!</v>
      </c>
      <c r="NT217" s="170" t="e">
        <f t="shared" ca="1" si="917"/>
        <v>#DIV/0!</v>
      </c>
      <c r="NU217" s="170" t="e">
        <f t="shared" ca="1" si="893"/>
        <v>#N/A</v>
      </c>
      <c r="NV217" s="170" t="e">
        <f t="shared" ca="1" si="802"/>
        <v>#N/A</v>
      </c>
      <c r="NW217" s="175" t="e">
        <f t="shared" ca="1" si="803"/>
        <v>#DIV/0!</v>
      </c>
      <c r="NX217" s="170" t="e">
        <f ca="1">MIN(Control!$C$72+$MU217, $NW217)</f>
        <v>#DIV/0!</v>
      </c>
      <c r="NY217" s="170" t="e">
        <f ca="1">IF($MT217&lt;=$NX217,MIN(Control!$C$72+$NB217,$NX217-$MT217),0)</f>
        <v>#DIV/0!</v>
      </c>
      <c r="NZ217" s="54" t="e">
        <f ca="1">IF(Control!$C$114=1,  $CX217*($MX217-Control!$C$127), 0)</f>
        <v>#DIV/0!</v>
      </c>
      <c r="OA217" s="170" t="e">
        <f t="shared" ca="1" si="804"/>
        <v>#DIV/0!</v>
      </c>
      <c r="OB217" s="170" t="e">
        <f ca="1">IF($NA217 &lt;=$NY217, MIN(Control!$C$72, $NY217-$NA217), 0)</f>
        <v>#DIV/0!</v>
      </c>
      <c r="OC217" s="168" t="e">
        <f t="shared" ca="1" si="805"/>
        <v>#DIV/0!</v>
      </c>
      <c r="OD217" s="168" t="e">
        <f t="shared" ca="1" si="894"/>
        <v>#DIV/0!</v>
      </c>
      <c r="OE217" s="170">
        <f ca="1">Control!$C$73*$I217</f>
        <v>0</v>
      </c>
      <c r="OF217" s="176" t="e">
        <f t="shared" ca="1" si="806"/>
        <v>#DIV/0!</v>
      </c>
      <c r="OG217" s="168" t="e">
        <f t="shared" ca="1" si="807"/>
        <v>#DIV/0!</v>
      </c>
      <c r="OH217" s="168" t="e">
        <f t="shared" ca="1" si="808"/>
        <v>#DIV/0!</v>
      </c>
      <c r="OI217" s="168" t="e">
        <f t="shared" ca="1" si="809"/>
        <v>#DIV/0!</v>
      </c>
      <c r="OJ217" s="168" t="e">
        <f t="shared" ca="1" si="810"/>
        <v>#DIV/0!</v>
      </c>
      <c r="OK217" s="204" t="e">
        <f t="shared" ca="1" si="811"/>
        <v>#DIV/0!</v>
      </c>
      <c r="OL217" s="177">
        <f>Control!$C$127</f>
        <v>0.15</v>
      </c>
      <c r="OM217" s="182" t="e">
        <f t="shared" ca="1" si="812"/>
        <v>#N/A</v>
      </c>
      <c r="ON217" s="177">
        <f>Control!$C$128</f>
        <v>0.35</v>
      </c>
      <c r="OO217" s="182" t="e">
        <f t="shared" ca="1" si="813"/>
        <v>#N/A</v>
      </c>
      <c r="OP217" s="138">
        <f t="shared" ca="1" si="895"/>
        <v>0</v>
      </c>
      <c r="OQ217" s="138" t="e">
        <f t="shared" ca="1" si="918"/>
        <v>#DIV/0!</v>
      </c>
      <c r="OR217" s="138" t="e">
        <f t="shared" ca="1" si="896"/>
        <v>#DIV/0!</v>
      </c>
      <c r="OS217" s="137" t="e">
        <f t="shared" ca="1" si="919"/>
        <v>#DIV/0!</v>
      </c>
      <c r="OT217" s="139" t="e">
        <f t="shared" ca="1" si="920"/>
        <v>#DIV/0!</v>
      </c>
      <c r="OU217" s="138" t="e">
        <f t="shared" ca="1" si="921"/>
        <v>#N/A</v>
      </c>
      <c r="OV217" s="138" t="e">
        <f t="shared" ca="1" si="922"/>
        <v>#DIV/0!</v>
      </c>
      <c r="OW217" s="138" t="e">
        <f t="shared" ca="1" si="897"/>
        <v>#DIV/0!</v>
      </c>
      <c r="OX217" s="138" t="e">
        <f t="shared" ca="1" si="898"/>
        <v>#DIV/0!</v>
      </c>
      <c r="OY217" s="138" t="e">
        <f t="shared" ca="1" si="899"/>
        <v>#DIV/0!</v>
      </c>
      <c r="OZ217" s="138" t="e">
        <f t="shared" ca="1" si="814"/>
        <v>#DIV/0!</v>
      </c>
      <c r="PA217" s="138" t="e">
        <f t="shared" ca="1" si="815"/>
        <v>#DIV/0!</v>
      </c>
      <c r="PB217" s="55">
        <f>IF(Control!$C$61="T", IF(Control!$C$65="F", IF($AH$6-Control!$C$60&lt;0,0,1), IF(365+$AH$6-Control!$C$60&lt;0,0,1)),0)</f>
        <v>0</v>
      </c>
      <c r="PC217" s="55">
        <f ca="1">IF(Control!$C$65="F", IF($AH$6-$HF217&lt;0,0,1), IF(365+$AH$6-$HF217&lt;0,0,1))</f>
        <v>1</v>
      </c>
      <c r="PD217" s="444">
        <f>Control!$C$118</f>
        <v>1500</v>
      </c>
      <c r="PE217" s="180" t="e">
        <f t="shared" ca="1" si="816"/>
        <v>#N/A</v>
      </c>
      <c r="PF217" s="445">
        <f t="shared" ca="1" si="900"/>
        <v>0.71612369323045078</v>
      </c>
      <c r="PT217" s="186"/>
      <c r="PU217" s="186"/>
      <c r="PV217" s="94"/>
      <c r="PW217" s="94"/>
      <c r="PX217" s="94"/>
      <c r="PY217" s="94"/>
      <c r="PZ217" s="94"/>
      <c r="QA217" s="94"/>
      <c r="QB217" s="94"/>
      <c r="QC217" s="94"/>
      <c r="QD217" s="94"/>
      <c r="QE217" s="94"/>
      <c r="QF217" s="94"/>
      <c r="QG217" s="94"/>
      <c r="QH217" s="94"/>
      <c r="QI217" s="94"/>
      <c r="QJ217" s="94"/>
      <c r="QK217" s="94"/>
      <c r="QL217" s="94"/>
      <c r="QM217" s="94"/>
      <c r="QN217" s="94"/>
      <c r="QO217" s="94"/>
      <c r="QP217" s="94"/>
    </row>
    <row r="218" spans="1:458" s="2" customFormat="1" x14ac:dyDescent="0.2">
      <c r="A218" s="395">
        <v>1</v>
      </c>
      <c r="B218" s="396">
        <v>8</v>
      </c>
      <c r="C218" s="387">
        <f ca="1">Weather_data!$B217</f>
        <v>0</v>
      </c>
      <c r="D218" s="388">
        <f ca="1">Weather_data!$F217</f>
        <v>0</v>
      </c>
      <c r="E218" s="388">
        <f ca="1">Weather_data!$E217</f>
        <v>0</v>
      </c>
      <c r="F218" s="388">
        <f t="shared" ca="1" si="817"/>
        <v>0</v>
      </c>
      <c r="G218" s="388">
        <f ca="1">AVERAGE($D218:$E218)+Control!$B$9</f>
        <v>0</v>
      </c>
      <c r="H218" s="388">
        <f ca="1">Weather_data!$G217</f>
        <v>0</v>
      </c>
      <c r="I218" s="388">
        <f ca="1">Weather_data!$I217</f>
        <v>0</v>
      </c>
      <c r="J218" s="388">
        <f ca="1">Weather_data!$H217</f>
        <v>0</v>
      </c>
      <c r="K218" s="389">
        <f ca="1">Weather_data!$D217</f>
        <v>0</v>
      </c>
      <c r="L218" s="388" t="e">
        <f t="shared" ca="1" si="818"/>
        <v>#N/A</v>
      </c>
      <c r="M218" s="388" t="e">
        <f t="shared" ca="1" si="696"/>
        <v>#N/A</v>
      </c>
      <c r="N218" s="388">
        <f t="shared" ca="1" si="697"/>
        <v>-9.9628136124715578E-11</v>
      </c>
      <c r="O218" s="388">
        <f t="shared" ca="1" si="819"/>
        <v>9.9628136124715578E-10</v>
      </c>
      <c r="P218" s="390">
        <v>3</v>
      </c>
      <c r="Q218" s="388">
        <f ca="1">MAX($G218-Control!$C$107,0)</f>
        <v>0</v>
      </c>
      <c r="R218" s="388">
        <f t="shared" ca="1" si="820"/>
        <v>0</v>
      </c>
      <c r="S218" s="388">
        <f t="shared" ca="1" si="698"/>
        <v>0</v>
      </c>
      <c r="T218" s="388">
        <f t="shared" ca="1" si="699"/>
        <v>0</v>
      </c>
      <c r="U218" s="59">
        <f t="shared" ca="1" si="700"/>
        <v>0</v>
      </c>
      <c r="V218" s="391">
        <f ca="1">MAX(0,MIN(Control!$C$100-Control!$C$99,$G218-Control!$C$99)*Control!$C$63)</f>
        <v>0</v>
      </c>
      <c r="W218" s="388">
        <f t="shared" ca="1" si="821"/>
        <v>0</v>
      </c>
      <c r="X218" s="388">
        <f t="shared" ca="1" si="822"/>
        <v>0.6110000000000001</v>
      </c>
      <c r="Y218" s="388">
        <f t="shared" ca="1" si="701"/>
        <v>0</v>
      </c>
      <c r="Z218" s="388">
        <f t="shared" ca="1" si="823"/>
        <v>0.61058800000000002</v>
      </c>
      <c r="AA218" s="388">
        <f t="shared" ca="1" si="702"/>
        <v>0.6018</v>
      </c>
      <c r="AB218" s="388">
        <f ca="1">101.3*EXP(-0.034*Control!$C$66/($G218+273))</f>
        <v>100.69623283836242</v>
      </c>
      <c r="AC218" s="392">
        <f t="shared" ca="1" si="703"/>
        <v>4.3460251046025113E-2</v>
      </c>
      <c r="AD218" s="392">
        <f t="shared" ca="1" si="704"/>
        <v>4.4450382862832649E-2</v>
      </c>
      <c r="AE218" s="388">
        <f t="shared" ca="1" si="705"/>
        <v>0</v>
      </c>
      <c r="AF218" s="388">
        <f ca="1">MAX(0,$G218-Control!$C$92)</f>
        <v>0</v>
      </c>
      <c r="AG218" s="393">
        <f t="shared" ca="1" si="706"/>
        <v>214</v>
      </c>
      <c r="AH218" s="389">
        <f t="shared" ca="1" si="707"/>
        <v>214</v>
      </c>
      <c r="AI218" s="388">
        <f t="shared" ca="1" si="824"/>
        <v>0.30536975330144828</v>
      </c>
      <c r="AJ218" s="388">
        <f ca="1">IF(Control!$C$60&lt;=0,$HH218,$HI218)</f>
        <v>1</v>
      </c>
      <c r="AK218" s="388">
        <f t="shared" ca="1" si="708"/>
        <v>2.3067036470193547</v>
      </c>
      <c r="AL218" s="388">
        <f t="shared" ca="1" si="709"/>
        <v>-4.3281246642212773E-18</v>
      </c>
      <c r="AM218" s="388">
        <f t="shared" ca="1" si="710"/>
        <v>2.3067036470193547</v>
      </c>
      <c r="AN218" s="388">
        <f t="shared" ca="1" si="711"/>
        <v>0.29930702966889139</v>
      </c>
      <c r="AO218" s="388">
        <f ca="1">-0.10453/COS(Control!$B$8*PI()/180)*COS(AN218)</f>
        <v>-0.16223640684048662</v>
      </c>
      <c r="AP218" s="388">
        <f ca="1">ACOS(AO218-TAN(Control!$B$8*PI()/180)*TAN(AN218))</f>
        <v>2.1618028779292464</v>
      </c>
      <c r="AQ218" s="388">
        <f t="shared" ca="1" si="825"/>
        <v>0</v>
      </c>
      <c r="AR218" s="394">
        <f t="shared" ca="1" si="712"/>
        <v>0</v>
      </c>
      <c r="AS218" s="436">
        <f ca="1">IF(Control!$B$18=2,(IF(OR($AH218=Control!$B$175,$AH218=Control!$B$176,$AH218=Control!$B$177,$AH218=Control!$B$178,$AH218=Control!$B$179,$AH218=Control!$B$180,$AH218=Control!$B$181,$AH218=Control!$B$182,$AH218=Control!$B$183,$AH218=Control!$B$184,$AH218=Control!$B$185),1,0)),0)</f>
        <v>0</v>
      </c>
      <c r="AT218" s="436">
        <f>IF(Control!$B$20=8,IF(AND($AH218&gt;=Control!$B$172,$AH218&lt;=Control!$B$173),1,0),0)</f>
        <v>0</v>
      </c>
      <c r="AU218" s="436">
        <f>IF(Control!$B$20=8,IF($AV217=1,1*$AT218,IF($AT218=1,$AU217+1,$AU217)),0)</f>
        <v>0</v>
      </c>
      <c r="AV218" s="436">
        <f>IF(Control!$B$20=8,IF($AU218&gt;=Control!$B$174,1,0),0)</f>
        <v>0</v>
      </c>
      <c r="AW218" s="436">
        <f ca="1">IF(AND(Control!$B$18=2,Control!$B$171=1), $AV218, $AS218)</f>
        <v>0</v>
      </c>
      <c r="AX218" s="436" t="e">
        <f ca="1">IF(AND(Control!$B$18=1,$EU218&gt;=Control!$B$19),-$AY218,IF(AND(Control!$B$18=2,$AW218=1,$EU218&gt;$DS218),-$AY218, IF(Control!$C$108=0,0, IF(Control!$C$108&lt;&gt;0,1))))</f>
        <v>#N/A</v>
      </c>
      <c r="AY218" s="436" t="e">
        <f t="shared" ca="1" si="826"/>
        <v>#N/A</v>
      </c>
      <c r="AZ218" s="436" t="e">
        <f ca="1">IF(AND(Control!$B$18=1,$EB218&gt;Control!$B$19),$AZ217+1, IF(AND(Control!$B$18=2, $AW218=1, $EB218&gt;$DS218), $AZ217+1,$AZ217))</f>
        <v>#N/A</v>
      </c>
      <c r="BA218" s="587">
        <f>IF(Control!$C$81=0,1,IF($AH218&gt;=Control!$C$82,1,0))</f>
        <v>1</v>
      </c>
      <c r="BB218" s="140" t="e">
        <f ca="1">IF($BA218&gt;$BA217,Control!$C$83,IF($AW218&gt;0,$AW218*Control!$C$84,IF(AND(Control!$B$18=1,EN217&lt;&gt;0),Control!$C$84,0)))</f>
        <v>#N/A</v>
      </c>
      <c r="BC218" s="140" t="e">
        <f t="shared" ca="1" si="827"/>
        <v>#N/A</v>
      </c>
      <c r="BD218" s="140" t="e">
        <f ca="1">BC218*IF(OR($G218&lt;Control!$C$92,$G218&gt;Control!$C$95),0,IF(AND($G218&gt;=Control!$C$92,$G218&lt;=Control!$C$93),$G218-Control!$C$92,IF(AND($G218&gt;Control!$C$93,$G218&lt;=Control!$C$94),Control!$C$93-Control!$C$92,IF(AND($G218&gt;Control!$C$94,$G218&lt;=Control!$C$95),(Control!$C$93-Control!$C$92)*(Control!$C$94-$G218)/(Control!$C$95-Control!$C$94)))))</f>
        <v>#N/A</v>
      </c>
      <c r="BE218" s="140" t="e">
        <f t="shared" ca="1" si="828"/>
        <v>#N/A</v>
      </c>
      <c r="BF218" s="140" t="e">
        <f ca="1">IF($BE218&lt;=Control!$C$86,$BE218,Control!$C$86-$BE218)</f>
        <v>#N/A</v>
      </c>
      <c r="BG218" s="140" t="e">
        <f ca="1">IF(AND($AW218=1,Control!$C$84&lt;9),1,IF($BE218&gt;=Control!$C$86,0,$BC218))</f>
        <v>#N/A</v>
      </c>
      <c r="BH218" s="404" t="e">
        <f ca="1">IF($BG218=0,0,IF($BE218&lt;=Control!$C$86,$BC218*9*($BF218/Control!$C$86),0))</f>
        <v>#N/A</v>
      </c>
      <c r="BI218" s="140" t="e">
        <f ca="1">IF($BG218=1,0,IF($BE218&gt;=Control!$C$86,1,IF(AND($BB218&lt;21,$BB218&gt;=9),1,$BM217)))</f>
        <v>#N/A</v>
      </c>
      <c r="BJ218" s="140" t="e">
        <f ca="1">IF($BF218&lt;0,-$BF218,$BI218*IF(OR($G218&lt;Control!$C$92,$G218&gt;Control!$C$95),0,IF(AND($G218&gt;=Control!$C$92,$G218&lt;=Control!$C$93),$G218-Control!$C$92,IF(AND($G218&gt;Control!$C$93,$G218&lt;=Control!$C$94),Control!$C$93-Control!$C$92,IF(AND($G218&gt;Control!$C$94,$G218&lt;=Control!$C$95),(Control!$C$93-Control!$C$92)*(Control!$C$94-$G218)/(Control!$C$95-Control!$C$94))))))</f>
        <v>#N/A</v>
      </c>
      <c r="BK218" s="140" t="e">
        <f t="shared" ca="1" si="829"/>
        <v>#N/A</v>
      </c>
      <c r="BL218" s="140" t="e">
        <f ca="1">IF($BK218&lt;=Control!$C$87,$BK218,Control!$C$87-$BK218)</f>
        <v>#N/A</v>
      </c>
      <c r="BM218" s="140" t="e">
        <f ca="1">IF(AND($BB218&gt;=9,$BB218&lt;21),1,IF($BK218&gt;=Control!$C$87,0,$BI218))</f>
        <v>#N/A</v>
      </c>
      <c r="BN218" s="404" t="e">
        <f ca="1">IF($BM218=0,0,IF($BK218&lt;=Control!$C$87,$BI218*(9+(21-9)*($BL218/Control!$C$87)),0))</f>
        <v>#N/A</v>
      </c>
      <c r="BO218" s="140" t="e">
        <f ca="1">IF($BM218=1,0,IF($BK218&gt;=Control!$C$87,1,IF(AND($BB218&lt;30,$BB218&gt;=21),1,$BS217)))</f>
        <v>#N/A</v>
      </c>
      <c r="BP218" s="140" t="e">
        <f ca="1">IF($BL218&lt;0,-$BL218,$BO218*IF(OR($G218&lt;Control!$C$92,$G218&gt;Control!$C$95),0,IF(AND($G218&gt;=Control!$C$92,$G218&lt;=Control!$C$93),$G218-Control!$C$92,IF(AND($G218&gt;Control!$C$93,$G218&lt;=Control!$C$94),Control!$C$93-Control!$C$92,IF(AND($G218&gt;Control!$C$94,$G218&lt;=Control!$C$95),(Control!$C$93-Control!$C$92)*(Control!$C$94-$G218)/(Control!$C$95-Control!$C$94))))))</f>
        <v>#N/A</v>
      </c>
      <c r="BQ218" s="140" t="e">
        <f t="shared" ca="1" si="713"/>
        <v>#N/A</v>
      </c>
      <c r="BR218" s="140" t="e">
        <f ca="1">IF($BQ218&lt;=Control!$C$88,$BQ218,Control!$C$88-$BQ218)</f>
        <v>#N/A</v>
      </c>
      <c r="BS218" s="140" t="e">
        <f ca="1">IF(AND($BB218&gt;=21,$BB218&lt;30),1,IF($BQ218&gt;=Control!$C$88,0,$BO218))</f>
        <v>#N/A</v>
      </c>
      <c r="BT218" s="404" t="e">
        <f ca="1">IF($BS218=0,0,IF($BQ218&lt;=Control!$C$88,$BO218*(21+(30-21)*(BR218/Control!$C$88)),0))</f>
        <v>#N/A</v>
      </c>
      <c r="BU218" s="140" t="e">
        <f ca="1">IF(BG218+BM218+BS218=1,0,IF(OR(AND($BB218&lt;60,$BB218&gt;=30),$BQ218&gt;=Control!$C$88),1*$BA218,$BY217))</f>
        <v>#N/A</v>
      </c>
      <c r="BV218" s="140" t="e">
        <f ca="1">IF($BR218&lt;0,-$BR218,$BU218*IF(OR($G218&lt;Control!$C$92,$G218&gt;Control!$C$95),0,IF(AND($G218&gt;=Control!$C$92,$G218&lt;=Control!$C$93),$G218-Control!$C$92,IF(AND($G218&gt;Control!$C$93,$G218&lt;=Control!$C$94),Control!$C$93-Control!$C$92,IF(AND($G218&gt;Control!$C$94,$G218&lt;=Control!$C$95),(Control!$C$93-Control!$C$92)*(Control!$C$94-$G218)/(Control!$C$95-Control!$C$94))))))</f>
        <v>#N/A</v>
      </c>
      <c r="BW218" s="140" t="e">
        <f t="shared" ca="1" si="714"/>
        <v>#N/A</v>
      </c>
      <c r="BX218" s="140" t="e">
        <f ca="1">IF($BW218&lt;=Control!$C$89,$BW218,Control!$C$89-$BW218)</f>
        <v>#N/A</v>
      </c>
      <c r="BY218" s="140" t="e">
        <f ca="1">IF(AND($AJ218&gt;=30,$AJ218&lt;60),1,IF($BW218&gt;=Control!$C$89,0,$BU218))</f>
        <v>#N/A</v>
      </c>
      <c r="BZ218" s="404" t="e">
        <f ca="1">IF($BY218=0,0,IF($BW218&lt;=Control!$C$89,$BU218*(30+(60-30)*(BX218/Control!$C$89)),0))</f>
        <v>#N/A</v>
      </c>
      <c r="CA218" s="140" t="e">
        <f ca="1">IF($BG218+$BM218+$BS218+$BY218=1,0,IF(OR(AND($BB218&lt;65,$BB218&gt;=60),$BW218&gt;=Control!$C$89),1*$BA218,$CE217))</f>
        <v>#N/A</v>
      </c>
      <c r="CB218" s="140" t="e">
        <f ca="1">IF($BX218&lt;0,-$BX218,$CA218*IF(OR($G218&lt;Control!$C$92,$G218&gt;Control!$C$95),0,IF(AND($G218&gt;=Control!$C$92,$G218&lt;=Control!$C$93),$G218-Control!$C$92,IF(AND($G218&gt;Control!$C$93,$G218&lt;=Control!$C$94),Control!$C$93-Control!$C$92,IF(AND($G218&gt;Control!$C$94,$G218&lt;=Control!$C$95),(Control!$C$93-Control!$C$92)*(Control!$C$94-$G218)/(Control!$C$95-Control!$C$94))))))</f>
        <v>#N/A</v>
      </c>
      <c r="CC218" s="140" t="e">
        <f t="shared" ca="1" si="830"/>
        <v>#N/A</v>
      </c>
      <c r="CD218" s="140" t="e">
        <f ca="1">IF($CC218&lt;=Control!$C$90,$CC218,Control!$C$90-$CC218)</f>
        <v>#N/A</v>
      </c>
      <c r="CE218" s="140" t="e">
        <f ca="1">IF(AND($BB218&gt;=60,$BB218&lt;65),1,IF($CC218&gt;=Control!$C$90,0,$CA218))</f>
        <v>#N/A</v>
      </c>
      <c r="CF218" s="404" t="e">
        <f ca="1">IF($CE218=0,0,IF($CC218&lt;=Control!$C$90,$CA218*(60+(65-60)*(CD218/Control!$C$90)),0))</f>
        <v>#N/A</v>
      </c>
      <c r="CG218" s="140" t="e">
        <f ca="1">IF($BG218+$BM218+$BS218+$BY218+$CE218=1,0,IF(OR(AND($BB218&lt;90,$BB218&gt;=65),$CC218&gt;=Control!$C$90),$BA218,$CK217))</f>
        <v>#N/A</v>
      </c>
      <c r="CH218" s="140" t="e">
        <f ca="1">IF($CD218&lt;0,-$CD218,$CG218*IF(OR($G218&lt;Control!$C$92,$G218&gt;Control!$C$95),0,IF(AND($G218&gt;=Control!$C$92,$G218&lt;=Control!$C$93),$G218-Control!$C$92,IF(AND($G218&gt;Control!$C$93,$G218&lt;=Control!$C$94),Control!$C$93-Control!$C$92,IF(AND($G218&gt;Control!$C$94,$G218&lt;=Control!$C$95),(Control!$C$93-Control!$C$92)*(Control!$C$94-$G218)/(Control!$C$95-Control!$C$94))))))</f>
        <v>#N/A</v>
      </c>
      <c r="CI218" s="140" t="e">
        <f t="shared" ca="1" si="831"/>
        <v>#N/A</v>
      </c>
      <c r="CJ218" s="140" t="e">
        <f ca="1">IF($CI218&lt;=Control!$C$91,$CI218,Control!$C$91-$CI218)</f>
        <v>#N/A</v>
      </c>
      <c r="CK218" s="140" t="e">
        <f ca="1">IF(AND($BB218&gt;=65,$BB218&lt;90),1,IF($CI218&gt;=Control!$C$91,0,$CG218))</f>
        <v>#N/A</v>
      </c>
      <c r="CL218" s="404" t="e">
        <f ca="1">IF($CK218=0,0,IF($CI218&lt;=Control!$C$91,$CG218*(65+(90-65)*($CJ218/Control!$C$91)),0))</f>
        <v>#N/A</v>
      </c>
      <c r="CM218" s="140" t="e">
        <f ca="1">IF($BG218+$BM218+$BS218+$BY218+$CE218+$CK218=1,0,IF(OR($BB218&gt;=90,$CI218&gt;=Control!$C$91),$BA218,$CM217))</f>
        <v>#N/A</v>
      </c>
      <c r="CN218" s="140" t="e">
        <f t="shared" ca="1" si="832"/>
        <v>#N/A</v>
      </c>
      <c r="CO218" s="140" t="e">
        <f t="shared" ca="1" si="833"/>
        <v>#N/A</v>
      </c>
      <c r="CP218" s="140" t="e">
        <f t="shared" ca="1" si="834"/>
        <v>#N/A</v>
      </c>
      <c r="CQ218" s="141" t="e">
        <f ca="1">VLOOKUP($CP218,Control!$B$86:$G$91,6)</f>
        <v>#N/A</v>
      </c>
      <c r="CR218" s="141" t="e">
        <f ca="1">(1-$CQ218)*VLOOKUP($CP218,Control!$B$86:$D$91,3)</f>
        <v>#N/A</v>
      </c>
      <c r="CS218" s="141" t="e">
        <f ca="1">(1-$CQ218)*VLOOKUP($CP218,Control!$B$86:$E$91,4)</f>
        <v>#N/A</v>
      </c>
      <c r="CT218" s="141" t="e">
        <f ca="1">(1-$CQ218)*VLOOKUP($CP218,Control!$B$86:$F$91,5)</f>
        <v>#N/A</v>
      </c>
      <c r="CU218" s="141">
        <f t="shared" ca="1" si="835"/>
        <v>0</v>
      </c>
      <c r="CV218" s="583">
        <f t="shared" ca="1" si="836"/>
        <v>0</v>
      </c>
      <c r="CW218" s="142">
        <f t="shared" ca="1" si="837"/>
        <v>214</v>
      </c>
      <c r="CX218" s="612" t="e">
        <f ca="1">IF(Control!$C$114=1,(MIN(Control!$C$120*(IF($NT218-0.01&lt;0,0,1)),Control!$C$119-$CY218)))</f>
        <v>#DIV/0!</v>
      </c>
      <c r="CY218" s="143" t="e">
        <f t="shared" ca="1" si="838"/>
        <v>#N/A</v>
      </c>
      <c r="CZ218" s="144">
        <f t="shared" ca="1" si="715"/>
        <v>0</v>
      </c>
      <c r="DA218" s="144">
        <f t="shared" ca="1" si="716"/>
        <v>0</v>
      </c>
      <c r="DB218" s="144" t="e">
        <f t="shared" ca="1" si="717"/>
        <v>#N/A</v>
      </c>
      <c r="DC218" s="144" t="e">
        <f t="shared" ca="1" si="718"/>
        <v>#N/A</v>
      </c>
      <c r="DD218" s="144" t="e">
        <f t="shared" ca="1" si="923"/>
        <v>#N/A</v>
      </c>
      <c r="DE218" s="143" t="e">
        <f t="shared" ca="1" si="839"/>
        <v>#N/A</v>
      </c>
      <c r="DF218" s="145" t="e">
        <f ca="1">$DR218*EXP(-Control!$C$158*(1-$KH218))</f>
        <v>#N/A</v>
      </c>
      <c r="DG218" s="146" t="e">
        <f ca="1">IF(Control!$C$114=1, $DF218*$EY218, 0)</f>
        <v>#N/A</v>
      </c>
      <c r="DH218" s="147" t="e">
        <f t="shared" ca="1" si="840"/>
        <v>#N/A</v>
      </c>
      <c r="DI218" s="144" t="e">
        <f t="shared" ca="1" si="901"/>
        <v>#N/A</v>
      </c>
      <c r="DJ218" s="147" t="e">
        <f ca="1">$EF218*Control!$C$109</f>
        <v>#N/A</v>
      </c>
      <c r="DK218" s="144" t="e">
        <f t="shared" ca="1" si="841"/>
        <v>#N/A</v>
      </c>
      <c r="DL218" s="144" t="e">
        <f t="shared" ca="1" si="719"/>
        <v>#N/A</v>
      </c>
      <c r="DM218" s="144" t="e">
        <f ca="1">IF(Control!$C$114=1, (1-EXP(-Control!$C$96*$DK218))*$AR218, 0)</f>
        <v>#N/A</v>
      </c>
      <c r="DN218" s="144">
        <f t="shared" ca="1" si="842"/>
        <v>0</v>
      </c>
      <c r="DO218" s="148">
        <f>Control!$C$97</f>
        <v>4</v>
      </c>
      <c r="DP218" s="145" t="e">
        <f t="shared" ca="1" si="843"/>
        <v>#N/A</v>
      </c>
      <c r="DQ218" s="145" t="e">
        <f ca="1">IF(AND($CP218&gt;=0,$CP218&lt;=90),Control!$C$111,Control!$C$111)</f>
        <v>#N/A</v>
      </c>
      <c r="DR218" s="145" t="e">
        <f t="shared" ca="1" si="720"/>
        <v>#N/A</v>
      </c>
      <c r="DS218" s="143" t="e">
        <f ca="1">Control!$B$22/$DR218</f>
        <v>#N/A</v>
      </c>
      <c r="DT218" s="149" t="e">
        <f ca="1">IF(AND(Control!$C$114=1,$KH218&lt;1),$IM218*$DF218, 0)</f>
        <v>#N/A</v>
      </c>
      <c r="DU218" s="144" t="e">
        <f t="shared" ca="1" si="844"/>
        <v>#N/A</v>
      </c>
      <c r="DV218" s="144">
        <f ca="1">IF($G218-Control!$C$107&lt;=0, 0, 0.83*LN(MAX($G218, 3))-0.8924)</f>
        <v>0</v>
      </c>
      <c r="DW218" s="144" t="e">
        <f t="shared" ca="1" si="721"/>
        <v>#N/A</v>
      </c>
      <c r="DX218" s="150" t="e">
        <f ca="1">MAX(0.01*(1+$CU218/Control!$C$102),0.05*($DK218-Control!$C$97)/Control!$C$97)</f>
        <v>#N/A</v>
      </c>
      <c r="DY218" s="151" t="e">
        <f ca="1">IF(Control!$C$114=1, $DI218*$FS218, 0)</f>
        <v>#N/A</v>
      </c>
      <c r="DZ218" s="196" t="e">
        <f t="shared" ca="1" si="845"/>
        <v>#N/A</v>
      </c>
      <c r="EA218" s="152">
        <f t="shared" ca="1" si="846"/>
        <v>214</v>
      </c>
      <c r="EB218" s="153" t="e">
        <f t="shared" ca="1" si="847"/>
        <v>#N/A</v>
      </c>
      <c r="EC218" s="153" t="e">
        <f t="shared" ca="1" si="848"/>
        <v>#N/A</v>
      </c>
      <c r="ED218" s="154" t="e">
        <f ca="1">IF(Control!$C$114=1, $HM218*$FY218-$FD218, 0)</f>
        <v>#DIV/0!</v>
      </c>
      <c r="EE218" s="155" t="e">
        <f ca="1">IF(Control!$C$114=1, $HM218*$FZ218-$FF218, 0)</f>
        <v>#DIV/0!</v>
      </c>
      <c r="EF218" s="153" t="e">
        <f t="shared" ca="1" si="902"/>
        <v>#N/A</v>
      </c>
      <c r="EG218" s="155" t="e">
        <f ca="1">IF(Control!$C$114=1, $GX218*$FW218-$FI218, 0)</f>
        <v>#DIV/0!</v>
      </c>
      <c r="EH218" s="153" t="e">
        <f t="shared" ca="1" si="849"/>
        <v>#N/A</v>
      </c>
      <c r="EI218" s="156" t="e">
        <f t="shared" ca="1" si="850"/>
        <v>#N/A</v>
      </c>
      <c r="EJ218" s="155" t="e">
        <f ca="1">IF(Control!$C$114=1, $HM218*$GB218, 0)</f>
        <v>#DIV/0!</v>
      </c>
      <c r="EK218" s="153" t="e">
        <f t="shared" ca="1" si="903"/>
        <v>#N/A</v>
      </c>
      <c r="EL218" s="153" t="e">
        <f t="shared" ca="1" si="722"/>
        <v>#N/A</v>
      </c>
      <c r="EM218" s="153" t="e">
        <f t="shared" ca="1" si="723"/>
        <v>#N/A</v>
      </c>
      <c r="EN218" s="153" t="e">
        <f ca="1">IF(Control!$C$108=1,IF(AND(Control!$B$18=1,$EB218&gt;=Control!$B$19),$EB218-$DS218,IF(AND(Control!$B$18=2,$AW218=1,$EB218&gt;$DS218),$EB218-$DS218,0)))</f>
        <v>#N/A</v>
      </c>
      <c r="EO218" s="153" t="e">
        <f ca="1">IF(Control!$C$108=1,IF(AND(Control!$B$18=1,$EB218&gt;=Control!$B$19),$EF218,IF(AND(Control!$B$18=2,$AW218=1),$EF218,0)))</f>
        <v>#N/A</v>
      </c>
      <c r="EP218" s="153" t="e">
        <f ca="1">IF(Control!$C$108=1,IF(AND(Control!$B$18=1,$EB218&gt;=Control!$B$19),$EK218,IF(AND(Control!$B$18=2,$AW218=1),$EK218,0)))</f>
        <v>#N/A</v>
      </c>
      <c r="EQ218" s="153" t="e">
        <f t="shared" ca="1" si="851"/>
        <v>#N/A</v>
      </c>
      <c r="ER218" s="153" t="e">
        <f t="shared" ca="1" si="852"/>
        <v>#N/A</v>
      </c>
      <c r="ES218" s="153" t="e">
        <f t="shared" ca="1" si="904"/>
        <v>#N/A</v>
      </c>
      <c r="ET218" s="153" t="e">
        <f t="shared" ca="1" si="905"/>
        <v>#N/A</v>
      </c>
      <c r="EU218" s="153" t="e">
        <f t="shared" ca="1" si="853"/>
        <v>#N/A</v>
      </c>
      <c r="EV218" s="153" t="e">
        <f t="shared" ca="1" si="724"/>
        <v>#N/A</v>
      </c>
      <c r="EW218" s="153" t="e">
        <f t="shared" ca="1" si="725"/>
        <v>#N/A</v>
      </c>
      <c r="EX218" s="153" t="e">
        <f t="shared" ca="1" si="726"/>
        <v>#N/A</v>
      </c>
      <c r="EY218" s="157" t="e">
        <f t="shared" ca="1" si="727"/>
        <v>#DIV/0!</v>
      </c>
      <c r="EZ218" s="154" t="e">
        <f t="shared" ca="1" si="728"/>
        <v>#DIV/0!</v>
      </c>
      <c r="FA218" s="153" t="e">
        <f t="shared" ca="1" si="854"/>
        <v>#N/A</v>
      </c>
      <c r="FB218" s="153" t="e">
        <f t="shared" ca="1" si="729"/>
        <v>#N/A</v>
      </c>
      <c r="FC218" s="193" t="e">
        <f t="shared" ca="1" si="730"/>
        <v>#N/A</v>
      </c>
      <c r="FD218" s="158" t="e">
        <f t="shared" ca="1" si="855"/>
        <v>#N/A</v>
      </c>
      <c r="FE218" s="158" t="e">
        <f t="shared" ca="1" si="856"/>
        <v>#N/A</v>
      </c>
      <c r="FF218" s="159" t="e">
        <f t="shared" ca="1" si="731"/>
        <v>#N/A</v>
      </c>
      <c r="FG218" s="160" t="e">
        <f t="shared" ca="1" si="857"/>
        <v>#N/A</v>
      </c>
      <c r="FH218" s="158" t="e">
        <f t="shared" ca="1" si="858"/>
        <v>#N/A</v>
      </c>
      <c r="FI218" s="159" t="e">
        <f t="shared" ca="1" si="732"/>
        <v>#N/A</v>
      </c>
      <c r="FJ218" s="160" t="e">
        <f t="shared" ca="1" si="859"/>
        <v>#N/A</v>
      </c>
      <c r="FK218" s="160" t="e">
        <f t="shared" ca="1" si="733"/>
        <v>#N/A</v>
      </c>
      <c r="FL218" s="160" t="e">
        <f t="shared" ca="1" si="906"/>
        <v>#N/A</v>
      </c>
      <c r="FM218" s="160" t="e">
        <f t="shared" ca="1" si="734"/>
        <v>#N/A</v>
      </c>
      <c r="FN218" s="158">
        <f t="shared" ca="1" si="860"/>
        <v>0.01</v>
      </c>
      <c r="FO218" s="160">
        <f>Control!$C$101</f>
        <v>50</v>
      </c>
      <c r="FP218" s="150" t="e">
        <f t="shared" ca="1" si="735"/>
        <v>#N/A</v>
      </c>
      <c r="FQ218" s="150" t="e">
        <f ca="1">MAX(0,(Control!$C$112*(($DK218-Control!$C$97)/Control!$C$97)))</f>
        <v>#N/A</v>
      </c>
      <c r="FR218" s="150" t="e">
        <f ca="1">(1-$NT218)*Control!$C$113</f>
        <v>#DIV/0!</v>
      </c>
      <c r="FS218" s="198" t="e">
        <f t="shared" ca="1" si="736"/>
        <v>#N/A</v>
      </c>
      <c r="FT218" s="161">
        <f t="shared" ca="1" si="861"/>
        <v>214</v>
      </c>
      <c r="FU218" s="162" t="e">
        <f ca="1">IF(Control!$B$34=1,VLOOKUP($CP218,Control!$B$86:$G$91,6),Control!$B$35)</f>
        <v>#N/A</v>
      </c>
      <c r="FV218" s="162" t="e">
        <f t="shared" ca="1" si="737"/>
        <v>#DIV/0!</v>
      </c>
      <c r="FW218" s="162" t="e">
        <f ca="1">IF(Control!$B$31=1,$FU218*$FV218,  $FU218)</f>
        <v>#N/A</v>
      </c>
      <c r="FX218" s="162" t="e">
        <f ca="1">IF(Control!$B$34=1,VLOOKUP($CP218,Control!$B$86:$G$91,3),Control!$B$36)</f>
        <v>#N/A</v>
      </c>
      <c r="FY218" s="162" t="e">
        <f t="shared" ca="1" si="738"/>
        <v>#N/A</v>
      </c>
      <c r="FZ218" s="162" t="e">
        <f ca="1">IF(Control!$B$34=1,VLOOKUP($CP218,Control!$B$86:$G$91,4),Control!$B$37)</f>
        <v>#N/A</v>
      </c>
      <c r="GA218" s="162" t="e">
        <f t="shared" ca="1" si="739"/>
        <v>#N/A</v>
      </c>
      <c r="GB218" s="162" t="e">
        <f ca="1">IF(Control!$B$34=1,VLOOKUP($CP218,Control!$B$86:$G$91,5),Control!$B$38)</f>
        <v>#N/A</v>
      </c>
      <c r="GC218" s="162" t="e">
        <f t="shared" ca="1" si="862"/>
        <v>#N/A</v>
      </c>
      <c r="GD218" s="162">
        <f t="shared" ca="1" si="740"/>
        <v>1</v>
      </c>
      <c r="GE218" s="162">
        <f t="shared" ca="1" si="741"/>
        <v>1</v>
      </c>
      <c r="GF218" s="162">
        <f ca="1">IF(AND(Control!$C$104=1, Control!$C$62="F"),$GE218,1)</f>
        <v>1</v>
      </c>
      <c r="GG218" s="162" t="e">
        <f ca="1">IF(Control!$B$16=40,0,IF(AND(Control!$B$16&gt;40,Control!$B$16&lt;=360),(Control!$B$16-40)*((1-0)/(360-40)),IF(AND(Control!$B$16&gt;360,Control!$B$16&lt;=720),(1+(Control!$B$16-360)*((1.25-1)/(720-360))),IF(AND(Control!$B$16&gt;720,Control!$B$16&lt;=1000),(1.25+(Control!$B$16-720)*((1.35-1.25)/(1000-720))),IF(AND(Control!$B$16&gt;1000,Control!$B$16&lt;=2000),(1.35+(Control!$B$16-1000)*0))))))</f>
        <v>#N/A</v>
      </c>
      <c r="GH218" s="162" t="e">
        <f t="shared" ca="1" si="742"/>
        <v>#N/A</v>
      </c>
      <c r="GI218" s="162">
        <f t="shared" ca="1" si="863"/>
        <v>0</v>
      </c>
      <c r="GJ218" s="162">
        <f t="shared" ca="1" si="743"/>
        <v>0</v>
      </c>
      <c r="GK218" s="162">
        <f t="shared" ca="1" si="864"/>
        <v>1</v>
      </c>
      <c r="GL218" s="162">
        <f t="shared" ca="1" si="744"/>
        <v>1</v>
      </c>
      <c r="GM218" s="162" t="e">
        <f ca="1">MAX(0,MIN(1,1-Control!$C$156*(1.0001-$KH218)^2))</f>
        <v>#N/A</v>
      </c>
      <c r="GN218" s="162" t="e">
        <f ca="1">IF(Control!$B$26=1,$KU218,$KX218)</f>
        <v>#N/A</v>
      </c>
      <c r="GO218" s="162" t="e">
        <f ca="1">IF($CP218&lt;=60,Control!$C$105,IF($CP218&gt;=90,Control!$C$106,Control!$C$105+($CP218-60)*((Control!$C$106-Control!$C$105)/(90-60))))</f>
        <v>#N/A</v>
      </c>
      <c r="GP218" s="162" t="e">
        <f t="shared" ca="1" si="745"/>
        <v>#N/A</v>
      </c>
      <c r="GQ218" s="162" t="e">
        <f t="shared" ca="1" si="865"/>
        <v>#N/A</v>
      </c>
      <c r="GR218" s="163" t="e">
        <f t="shared" ca="1" si="746"/>
        <v>#DIV/0!</v>
      </c>
      <c r="GS218" s="162" t="e">
        <f t="shared" ca="1" si="747"/>
        <v>#DIV/0!</v>
      </c>
      <c r="GT218" s="164" t="e">
        <f t="shared" ca="1" si="866"/>
        <v>#N/A</v>
      </c>
      <c r="GU218" s="162" t="e">
        <f t="shared" ca="1" si="867"/>
        <v>#N/A</v>
      </c>
      <c r="GV218" s="162" t="e">
        <f t="shared" ca="1" si="748"/>
        <v>#N/A</v>
      </c>
      <c r="GW218" s="162" t="e">
        <f t="shared" ca="1" si="749"/>
        <v>#DIV/0!</v>
      </c>
      <c r="GX218" s="162" t="e">
        <f t="shared" ca="1" si="868"/>
        <v>#DIV/0!</v>
      </c>
      <c r="GY218" s="162" t="e">
        <f t="shared" ca="1" si="869"/>
        <v>#DIV/0!</v>
      </c>
      <c r="GZ218" s="165" t="e">
        <f t="shared" ca="1" si="750"/>
        <v>#N/A</v>
      </c>
      <c r="HA218" s="162" t="e">
        <f ca="1">IF(Control!$C$114=1, $DI218*$FS218, 0)</f>
        <v>#N/A</v>
      </c>
      <c r="HB218" s="162" t="e">
        <f ca="1">$FA218/Control!$C$64</f>
        <v>#N/A</v>
      </c>
      <c r="HC218" s="162" t="e">
        <f t="shared" ca="1" si="751"/>
        <v>#DIV/0!</v>
      </c>
      <c r="HD218" s="162">
        <f ca="1">-ASIN(SIN(23.45*Control!$C$139)*COS(2*Control!$C$138*($AH218+10)/365))</f>
        <v>0.30536975330144828</v>
      </c>
      <c r="HE218" s="165">
        <f t="shared" ca="1" si="870"/>
        <v>0</v>
      </c>
      <c r="HF218" s="166">
        <f ca="1">IF(AND(Control!$C$61="T",$HE218&gt;=Control!$C$103,Control!$C$114=0),$AH218,Control!$C$59)</f>
        <v>1</v>
      </c>
      <c r="HG218" s="166">
        <f ca="1">IF(AND(Control!$C$61="T",$HE218&gt;=Control!$C$103,Control!$C$114=0),$HF218,Control!$C$59)</f>
        <v>1</v>
      </c>
      <c r="HH218" s="165">
        <f ca="1">IF(AND(OR(Control!$C$60&lt;=0, $AH218= Control!$C$59, Control!$C$60 &gt;0, $AH218 = Control!$C$60)), Control!$C$59, IF(Control!$C$60&gt;0, 0))</f>
        <v>1</v>
      </c>
      <c r="HI218" s="165">
        <f ca="1">IF(AND(OR(Control!$C$60&lt;=0, $AH218= Control!$C$59, Control!$C$60 &gt;0, $AH218 = Control!$C$60)), Control!$C$60, IF(Control!$C$60&lt;=0, 0))</f>
        <v>0</v>
      </c>
      <c r="HJ218" s="166">
        <f ca="1">IF(AND(Control!$C$62="F",$CV218&gt;=Control!$C$102),$AH218,0)</f>
        <v>0</v>
      </c>
      <c r="HK218" s="165" t="e">
        <f t="shared" ca="1" si="907"/>
        <v>#N/A</v>
      </c>
      <c r="HL218" s="166">
        <f ca="1">IF(AND(Control!$C$61="T",$HE218&gt;=Control!$C$103,Control!$C$114=0),$HF218,0)</f>
        <v>0</v>
      </c>
      <c r="HM218" s="201" t="e">
        <f t="shared" ca="1" si="752"/>
        <v>#DIV/0!</v>
      </c>
      <c r="HN218" s="215">
        <f t="shared" ca="1" si="871"/>
        <v>214</v>
      </c>
      <c r="HO218" s="216" t="e">
        <f ca="1">IF(AND($CP218&gt;=0, $CP218&lt;=90), Control!$C$152, Control!$C$152)</f>
        <v>#N/A</v>
      </c>
      <c r="HP218" s="216" t="e">
        <f t="shared" ca="1" si="753"/>
        <v>#N/A</v>
      </c>
      <c r="HQ218" s="217" t="e">
        <f ca="1">IF(OR(Control!$B$26=1,Control!$B$26=2),$KV218,$KS218)</f>
        <v>#DIV/0!</v>
      </c>
      <c r="HR218" s="218" t="e">
        <f t="shared" ca="1" si="908"/>
        <v>#DIV/0!</v>
      </c>
      <c r="HS218" s="216" t="e">
        <f ca="1">Control!$C$154*$HP218</f>
        <v>#N/A</v>
      </c>
      <c r="HT218" s="216" t="e">
        <f ca="1">Control!$C$155*$HP218</f>
        <v>#N/A</v>
      </c>
      <c r="HU218" s="217" t="e">
        <f ca="1">Control!$C$161*$FI218</f>
        <v>#N/A</v>
      </c>
      <c r="HV218" s="218" t="e">
        <f t="shared" ca="1" si="872"/>
        <v>#N/A</v>
      </c>
      <c r="HW218" s="218" t="e">
        <f ca="1">Control!$C$160*$FF218+$IP218*$EO218</f>
        <v>#N/A</v>
      </c>
      <c r="HX218" s="218" t="e">
        <f t="shared" ca="1" si="909"/>
        <v>#N/A</v>
      </c>
      <c r="HY218" s="219" t="e">
        <f ca="1">IF(Control!$C$114=1, $EB218*$FS218, 0)</f>
        <v>#N/A</v>
      </c>
      <c r="HZ218" s="91" t="e">
        <f t="shared" ca="1" si="754"/>
        <v>#N/A</v>
      </c>
      <c r="IA218" s="220" t="e">
        <f ca="1">Control!$C$153*$HO218</f>
        <v>#N/A</v>
      </c>
      <c r="IB218" s="218" t="e">
        <f t="shared" ca="1" si="755"/>
        <v>#N/A</v>
      </c>
      <c r="IC218" s="220" t="e">
        <f ca="1">Control!$C$153*$HT218</f>
        <v>#N/A</v>
      </c>
      <c r="ID218" s="218" t="e">
        <f t="shared" ca="1" si="756"/>
        <v>#N/A</v>
      </c>
      <c r="IE218" s="221" t="e">
        <f ca="1">($EB218*Control!$C$159+$EF218*Control!$C$160)/(IF($GZ218&lt;&gt;0,$GZ218,1))</f>
        <v>#N/A</v>
      </c>
      <c r="IF218" s="216" t="e">
        <f t="shared" ca="1" si="757"/>
        <v>#N/A</v>
      </c>
      <c r="IG218" s="91">
        <f ca="1">IF(OR(Control!$B$198=$AH218,Control!$B$199=$AH218, Control!$B$200=$AH218, Control!$B$201=$AH218, Control!$B$202=$AH218, Control!$B$203=$AH218, Control!$B$204=$AH218, Control!$B$205=$AH218, Control!$B$206=$AH218, Control!$B$207=$AH218), 1, 0)</f>
        <v>0</v>
      </c>
      <c r="IH218" s="91">
        <f ca="1">IF($IG218=0,0, VLOOKUP($AH218,Control!$B$198:$C$207,2))</f>
        <v>0</v>
      </c>
      <c r="II218" s="222">
        <f t="shared" ca="1" si="873"/>
        <v>0</v>
      </c>
      <c r="IJ218" s="91">
        <f>Control!$C$121</f>
        <v>0.7</v>
      </c>
      <c r="IK218" s="218">
        <f t="shared" ca="1" si="758"/>
        <v>0</v>
      </c>
      <c r="IL218" s="217" t="e">
        <f t="shared" ca="1" si="910"/>
        <v>#N/A</v>
      </c>
      <c r="IM218" s="223" t="e">
        <f ca="1">IF(AND(Control!$C$114=1,$KH218&lt;1),$EB218*Control!$C$148*(1-$KH218), 0)</f>
        <v>#N/A</v>
      </c>
      <c r="IN218" s="217" t="e">
        <f t="shared" ca="1" si="759"/>
        <v>#DIV/0!</v>
      </c>
      <c r="IO218" s="91" t="e">
        <f ca="1">MAX(0,$IL218-$EF218*Control!$C$160)</f>
        <v>#N/A</v>
      </c>
      <c r="IP218" s="220" t="e">
        <f t="shared" ca="1" si="760"/>
        <v>#N/A</v>
      </c>
      <c r="IQ218" s="217" t="e">
        <f t="shared" ca="1" si="874"/>
        <v>#N/A</v>
      </c>
      <c r="IR218" s="218" t="e">
        <f t="shared" ca="1" si="761"/>
        <v>#N/A</v>
      </c>
      <c r="IS218" s="217" t="e">
        <f ca="1">Control!$C$159*MAX(0,$FD218-$EN218)</f>
        <v>#N/A</v>
      </c>
      <c r="IT218" s="217" t="e">
        <f t="shared" ca="1" si="911"/>
        <v>#N/A</v>
      </c>
      <c r="IU218" s="217" t="e">
        <f t="shared" ca="1" si="875"/>
        <v>#N/A</v>
      </c>
      <c r="IV218" s="217" t="e">
        <f t="shared" ca="1" si="912"/>
        <v>#N/A</v>
      </c>
      <c r="IW218" s="217" t="e">
        <f ca="1">IF(OR($AW218=1,AND($AW218=0, Control!$B$18=1,$EN218&lt;&gt;0)), $IQ218-$IU218, $IQ218)</f>
        <v>#N/A</v>
      </c>
      <c r="IX218" s="218" t="e">
        <f t="shared" ca="1" si="762"/>
        <v>#N/A</v>
      </c>
      <c r="IY218" s="218" t="e">
        <f ca="1">MAX(0,$IQ218-$EB218*Control!$C$159)</f>
        <v>#N/A</v>
      </c>
      <c r="IZ218" s="218" t="e">
        <f t="shared" ca="1" si="763"/>
        <v>#N/A</v>
      </c>
      <c r="JA218" s="216" t="e">
        <f t="shared" ca="1" si="764"/>
        <v>#N/A</v>
      </c>
      <c r="JB218" s="217" t="e">
        <f t="shared" ca="1" si="765"/>
        <v>#N/A</v>
      </c>
      <c r="JC218" s="222" t="e">
        <f ca="1">MAX(Control!$C$157*$EK218-$JT218, 0)/Control!$C$162</f>
        <v>#N/A</v>
      </c>
      <c r="JD218" s="218" t="e">
        <f t="shared" ca="1" si="766"/>
        <v>#N/A</v>
      </c>
      <c r="JE218" s="218" t="e">
        <f t="shared" ca="1" si="767"/>
        <v>#N/A</v>
      </c>
      <c r="JF218" s="218" t="e">
        <f t="shared" ca="1" si="876"/>
        <v>#N/A</v>
      </c>
      <c r="JG218" s="218" t="e">
        <f t="shared" ca="1" si="768"/>
        <v>#N/A</v>
      </c>
      <c r="JH218" s="217" t="e">
        <f t="shared" ca="1" si="877"/>
        <v>#N/A</v>
      </c>
      <c r="JI218" s="217" t="e">
        <f t="shared" ca="1" si="878"/>
        <v>#N/A</v>
      </c>
      <c r="JJ218" s="217" t="e">
        <f t="shared" ca="1" si="913"/>
        <v>#N/A</v>
      </c>
      <c r="JK218" s="217" t="e">
        <f ca="1">IF(Control!$C$114=1,IF(Control!$B$24=0,MAX(0,$JI218)*$GN218/Control!$C$64,(MAX(0,MIN($JI218,$JJ218*$GN218/Control!$C$64),0))))</f>
        <v>#N/A</v>
      </c>
      <c r="JL218" s="217" t="e">
        <f ca="1">$IK218/Control!$C$64-$JK218+$HQ218</f>
        <v>#N/A</v>
      </c>
      <c r="JM218" s="217" t="e">
        <f ca="1">IF(Control!$C$114=1,($JB218/(IF($JI218&lt;&gt;0,$JI218,1)))*$JK218,0)</f>
        <v>#N/A</v>
      </c>
      <c r="JN218" s="217" t="e">
        <f ca="1">IF(Control!$C$114=1,($JG218/(IF($JI218&lt;&gt;0,$JI218,1)))*$JK218, 0)</f>
        <v>#N/A</v>
      </c>
      <c r="JO218" s="218" t="e">
        <f t="shared" ca="1" si="769"/>
        <v>#N/A</v>
      </c>
      <c r="JP218" s="218" t="e">
        <f ca="1">MIN(($IY218+$IO218)*Control!$C$151, $JF218-$EH218*Control!$C$161)</f>
        <v>#N/A</v>
      </c>
      <c r="JQ218" s="218" t="e">
        <f t="shared" ca="1" si="770"/>
        <v>#N/A</v>
      </c>
      <c r="JR218" s="217" t="e">
        <f ca="1">IF($CP218-Control!$C$150&lt;0, 0, $JQ218/Control!$C$162)</f>
        <v>#N/A</v>
      </c>
      <c r="JS218" s="218" t="e">
        <f t="shared" ca="1" si="771"/>
        <v>#N/A</v>
      </c>
      <c r="JT218" s="218" t="e">
        <f t="shared" ca="1" si="879"/>
        <v>#N/A</v>
      </c>
      <c r="JU218" s="218" t="e">
        <f t="shared" ca="1" si="772"/>
        <v>#N/A</v>
      </c>
      <c r="JV218" s="218" t="e">
        <f t="shared" ca="1" si="773"/>
        <v>#N/A</v>
      </c>
      <c r="JW218" s="216" t="e">
        <f t="shared" ca="1" si="774"/>
        <v>#N/A</v>
      </c>
      <c r="JX218" s="91" t="e">
        <f t="shared" ca="1" si="775"/>
        <v>#N/A</v>
      </c>
      <c r="JY218" s="218" t="e">
        <f t="shared" ca="1" si="776"/>
        <v>#N/A</v>
      </c>
      <c r="JZ218" s="217" t="e">
        <f ca="1">IF(Control!$C$114=1,($IZ218/(IF($JI218&lt;&gt;0,$JI218,1)))*$JK218, 0)</f>
        <v>#N/A</v>
      </c>
      <c r="KA218" s="218" t="e">
        <f t="shared" ca="1" si="914"/>
        <v>#N/A</v>
      </c>
      <c r="KB218" s="218" t="e">
        <f t="shared" ca="1" si="880"/>
        <v>#N/A</v>
      </c>
      <c r="KC218" s="218" t="e">
        <f t="shared" ca="1" si="777"/>
        <v>#N/A</v>
      </c>
      <c r="KD218" s="218" t="e">
        <f t="shared" ca="1" si="778"/>
        <v>#N/A</v>
      </c>
      <c r="KE218" s="218" t="e">
        <f t="shared" ca="1" si="779"/>
        <v>#N/A</v>
      </c>
      <c r="KF218" s="218" t="e">
        <f t="shared" ca="1" si="780"/>
        <v>#N/A</v>
      </c>
      <c r="KG218" s="216" t="e">
        <f t="shared" ca="1" si="781"/>
        <v>#N/A</v>
      </c>
      <c r="KH218" s="221" t="e">
        <f ca="1">IF(Control!$B$24=0,1,MAX(0.001,MIN(1,IF(($IF218-$IE218)&lt;&gt;0,($KG218-$IE218)/($IF218-$IE218),1))))</f>
        <v>#N/A</v>
      </c>
      <c r="KI218" s="222" t="e">
        <f ca="1">IF(Control!$C$114=1, $KI217+ $KH217, 0)</f>
        <v>#N/A</v>
      </c>
      <c r="KJ218" s="217" t="e">
        <f t="shared" ca="1" si="782"/>
        <v>#N/A</v>
      </c>
      <c r="KK218" s="218" t="e">
        <f t="shared" ca="1" si="783"/>
        <v>#N/A</v>
      </c>
      <c r="KL218" s="274" t="e">
        <f ca="1">IF(Control!$B$26=3,4000000000*EXP(-8400/($G218+273)),IF(Control!$B$26=4,4000000000*EXP(-8400/($G218+273))*($KT218),0))</f>
        <v>#DIV/0!</v>
      </c>
      <c r="KM218" s="274" t="e">
        <f ca="1">IF(Control!$B$26=3,5600000000000*EXP(-9800/($G218+273)),IF(Control!$B$26=4,5600000000000*EXP(-9800/($G218+273))*$KT218,0))</f>
        <v>#DIV/0!</v>
      </c>
      <c r="KN218" s="454" t="e">
        <f t="shared" ca="1" si="881"/>
        <v>#DIV/0!</v>
      </c>
      <c r="KO218" s="274" t="e">
        <f t="shared" ca="1" si="882"/>
        <v>#DIV/0!</v>
      </c>
      <c r="KP218" s="454" t="e">
        <f t="shared" ca="1" si="784"/>
        <v>#DIV/0!</v>
      </c>
      <c r="KQ218" s="454" t="e">
        <f t="shared" ca="1" si="785"/>
        <v>#DIV/0!</v>
      </c>
      <c r="KR218" s="454" t="e">
        <f t="shared" ca="1" si="786"/>
        <v>#DIV/0!</v>
      </c>
      <c r="KS218" s="454" t="e">
        <f t="shared" ca="1" si="787"/>
        <v>#DIV/0!</v>
      </c>
      <c r="KT218" s="455" t="e">
        <f t="shared" ca="1" si="788"/>
        <v>#DIV/0!</v>
      </c>
      <c r="KU218" s="456" t="e">
        <f ca="1">IF($CP218-Control!$C$149&lt;0, IF($NT218-0.01&lt;0,0,1),0)</f>
        <v>#N/A</v>
      </c>
      <c r="KV218" s="456" t="e">
        <f ca="1">IF(Control!$C$114=1,MAX(0,MIN(Control!$C$125*$KW218*$GN218,$KW218)))</f>
        <v>#DIV/0!</v>
      </c>
      <c r="KW218" s="456" t="e">
        <f t="shared" ca="1" si="915"/>
        <v>#DIV/0!</v>
      </c>
      <c r="KX218" s="457" t="e">
        <f ca="1">IF($CP218-Control!$C$149&lt;0, IF($MR218-$OM218&lt;0,0,1),0)</f>
        <v>#N/A</v>
      </c>
      <c r="KY218" s="167">
        <f t="shared" ca="1" si="883"/>
        <v>214</v>
      </c>
      <c r="KZ218" s="168">
        <f ca="1">1370*(1+0.033*COS(2*Control!$C$138*$AH218/365))</f>
        <v>1331.2755304613593</v>
      </c>
      <c r="LA218" s="169">
        <f t="shared" ca="1" si="884"/>
        <v>0.97173381713526685</v>
      </c>
      <c r="LB218" s="169">
        <f t="shared" ca="1" si="885"/>
        <v>0.30666623573726226</v>
      </c>
      <c r="LC218" s="169">
        <f ca="1">ACOS(-TAN((2*Control!$B$8/360))*TAN(Calculations!$LB218))</f>
        <v>1.6650468327154138</v>
      </c>
      <c r="LD218" s="169">
        <f ca="1">((24*60)/PI())*0.082*$LA218*(($LC218*SIN(Control!$B$8*2*PI()/360))*SIN($LB218)+COS(Control!$B$8*2*PI()/360)*COS($LB218)*SIN($LC218))</f>
        <v>35.808662092025159</v>
      </c>
      <c r="LE218" s="170">
        <f t="shared" ca="1" si="789"/>
        <v>36.805075359749786</v>
      </c>
      <c r="LF218" s="170">
        <f ca="1">SIN(Control!$C$139*Control!$B$8)*SIN($HD218)</f>
        <v>0.23691254992918567</v>
      </c>
      <c r="LG218" s="170">
        <f ca="1">COS(Control!$C$139*Control!$B$8)*COS($HD218)</f>
        <v>0.58717682729084941</v>
      </c>
      <c r="LH218" s="170">
        <f ca="1">12*(1+2*ASIN(MAX(-1,MIN(1,$LF218/$LG218))/Control!$C$138))</f>
        <v>15.090869750090253</v>
      </c>
      <c r="LI218" s="170">
        <f ca="1">12*(1+2*ASIN(MAX(-1,MIN(1,(-SIN(-4*Control!$C$139)+$LF218)/$LG218))/Control!$C$138))</f>
        <v>16.008507047547724</v>
      </c>
      <c r="LJ218" s="168">
        <f ca="1">3600*($LH218*$LF218+24*$LG218*SQRT(1-$LK218*$LK218)/Control!$C$138)</f>
        <v>27646.474766192714</v>
      </c>
      <c r="LK218" s="170">
        <f t="shared" ca="1" si="790"/>
        <v>0.4034773494421886</v>
      </c>
      <c r="LL218" s="170">
        <f t="shared" ca="1" si="791"/>
        <v>0</v>
      </c>
      <c r="LM218" s="171">
        <f ca="1">Control!$C$145*$AB218</f>
        <v>6.6660906138995932E-2</v>
      </c>
      <c r="LN218" s="170">
        <f t="shared" ca="1" si="886"/>
        <v>0.54</v>
      </c>
      <c r="LO218" s="170">
        <f t="shared" ca="1" si="792"/>
        <v>0</v>
      </c>
      <c r="LP218" s="170">
        <f ca="1">Control!$C$140*((($D218+273.16)^4+($E218+273.16)^4)/2)*(0.34-0.14*SQRT($Y218))*(1.35*$AQ218/(0.75*$LD218)-0.35)</f>
        <v>-3.2464704755046001</v>
      </c>
      <c r="LQ218" s="170">
        <f ca="1">Control!$C$140*($G218+273)^4*(0.56-0.079*SQRT($Y218*10))*(0.1+0.9*$LO218)</f>
        <v>1.5241745131704001</v>
      </c>
      <c r="LR218" s="170">
        <f ca="1">$AQ218*(1-Control!$C$142)-$LQ218</f>
        <v>-1.5241745131704001</v>
      </c>
      <c r="LS218" s="170">
        <f ca="1">$AQ218*(1-Control!$C$143)-$LQ218</f>
        <v>-1.5241745131704001</v>
      </c>
      <c r="LT218" s="170">
        <f ca="1">$AQ218*(1-Control!$C$144)-$LQ218</f>
        <v>-1.5241745131704001</v>
      </c>
      <c r="LU218" s="169">
        <f ca="1">(1-Control!$C$144)*AQ218-LP218</f>
        <v>3.2464704755046001</v>
      </c>
      <c r="LV218" s="172">
        <f t="shared" ca="1" si="793"/>
        <v>0.79430000000000012</v>
      </c>
      <c r="LW218" s="170">
        <f t="shared" ca="1" si="794"/>
        <v>1.5886000000000002</v>
      </c>
      <c r="LX218" s="170">
        <f ca="1">($AC218*($LR218/Control!$C$141)+$LM218*$LV218)/($AC218+$LM218)</f>
        <v>0.23530094218323697</v>
      </c>
      <c r="LY218" s="170">
        <f ca="1">($AC218*($LS218/Control!$C$141)+$LM218*$LV218)/($AC218+$LM218)</f>
        <v>0.23530094218323697</v>
      </c>
      <c r="LZ218" s="170">
        <f t="shared" ca="1" si="795"/>
        <v>0.23530094218323697</v>
      </c>
      <c r="MA218" s="170">
        <f t="shared" ca="1" si="796"/>
        <v>0.23530094218323697</v>
      </c>
      <c r="MB218" s="170" t="e">
        <f t="shared" ca="1" si="797"/>
        <v>#N/A</v>
      </c>
      <c r="MC218" s="170">
        <f t="shared" ca="1" si="887"/>
        <v>0.6018</v>
      </c>
      <c r="MD218" s="170">
        <f t="shared" ca="1" si="798"/>
        <v>0.52989392535414004</v>
      </c>
      <c r="ME218" s="170">
        <f ca="1">($AC218*($LT218/Control!$C$141)+$LM218*$LW218)/($AC218+$LM218)</f>
        <v>0.71612369323045078</v>
      </c>
      <c r="MF218" s="170" t="e">
        <f ca="1">IF(Control!$B$16&gt;=1000,0.92,IF(AND(720&lt;=Control!$B$16,1000&gt;Control!$B$16),(0.95+(Control!$B$16-720)*((0.92-0.95)/(1000-720))),IF(AND(360&lt;=Control!$B$16,720&gt;Control!$B$16),(1+(Control!$B$16-360)*((0.95-1)/(720-360))),IF(AND(40&lt;=Control!$B$16,360&gt;Control!$B$16),(1.05+(Control!$B$16-40)*((1.05-1)/(360-40)))))))</f>
        <v>#N/A</v>
      </c>
      <c r="MG218" s="170">
        <f t="shared" ca="1" si="799"/>
        <v>0.71612369323045078</v>
      </c>
      <c r="MH218" s="170" t="e">
        <f t="shared" ca="1" si="924"/>
        <v>#N/A</v>
      </c>
      <c r="MI218" s="170" t="e">
        <f t="shared" ca="1" si="924"/>
        <v>#N/A</v>
      </c>
      <c r="MJ218" s="170" t="e">
        <f ca="1">MAX(0.0001, Control!$C$132*$MI218*$DL218)</f>
        <v>#N/A</v>
      </c>
      <c r="MK218" s="170">
        <f ca="1">1/(0.76+1.5*($MG218/10))-(5-Control!$C$110)*0.1</f>
        <v>1.002845988140797</v>
      </c>
      <c r="ML218" s="173">
        <f ca="1">IF(Control!$C$110&lt;3,$MK218+($MG218-0.6)/(Control!$C$110*(Control!$C$110+3)), MAX(0.1, MIN(0.95,$MK218)))</f>
        <v>0.95</v>
      </c>
      <c r="MM218" s="173">
        <f ca="1">IF(Control!$C$110&lt;3,$MK218+(($MI218/10)-0.6)/(Control!$C$110*(Control!$C$110+3)), MAX(0.1, MIN(0.95,$MK218)))</f>
        <v>0.95</v>
      </c>
      <c r="MN218" s="173">
        <f ca="1">(1-$MM218)*(Control!$C$128-Control!$C$127)+Control!$C$127</f>
        <v>0.16</v>
      </c>
      <c r="MO218" s="170" t="e">
        <f ca="1">MAX(0,MIN(1,($MS218-Control!$C$127)/($MN218-Control!$C$127)))</f>
        <v>#DIV/0!</v>
      </c>
      <c r="MP218" s="173" t="e">
        <f ca="1">1/(0.76+1.5*$MI218)-(5-Control!$C$110)*0.1</f>
        <v>#N/A</v>
      </c>
      <c r="MQ218" s="172" t="e">
        <f t="shared" ca="1" si="916"/>
        <v>#DIV/0!</v>
      </c>
      <c r="MR218" s="168" t="e">
        <f t="shared" ca="1" si="888"/>
        <v>#DIV/0!</v>
      </c>
      <c r="MS218" s="173" t="e">
        <f ca="1">MAX(Control!$C$127, MIN(Control!$C$135, $MR218/MAX(0.0001,$CY218)))</f>
        <v>#DIV/0!</v>
      </c>
      <c r="MT218" s="168" t="e">
        <f ca="1">(Control!$C$128-$MS218)*Control!$C$74</f>
        <v>#DIV/0!</v>
      </c>
      <c r="MU218" s="168" t="e">
        <f ca="1">(Control!$C$135-$MS218)*Control!$C$74</f>
        <v>#DIV/0!</v>
      </c>
      <c r="MV218" s="168" t="e">
        <f t="shared" ca="1" si="889"/>
        <v>#DIV/0!</v>
      </c>
      <c r="MW218" s="168" t="e">
        <f t="shared" ca="1" si="890"/>
        <v>#DIV/0!</v>
      </c>
      <c r="MX218" s="171" t="e">
        <f ca="1">MAX(Control!$C$127, MIN(Control!$C$135, $MW218/MAX(0.0001,Control!$C$119-$CY218)))</f>
        <v>#DIV/0!</v>
      </c>
      <c r="MY218" s="54" t="e">
        <f ca="1">IF(Control!$C$114=1, $CX218*$MX218, 0)</f>
        <v>#DIV/0!</v>
      </c>
      <c r="MZ218" s="54" t="e">
        <f t="shared" ca="1" si="891"/>
        <v>#N/A</v>
      </c>
      <c r="NA218" s="168" t="e">
        <f ca="1">(Control!$C$128-$MX218)*(Control!$C$119-Control!$C$74)</f>
        <v>#DIV/0!</v>
      </c>
      <c r="NB218" s="168" t="e">
        <f ca="1">(Control!$C$135-$MX218)*(Control!$C$119-Control!$C$74)</f>
        <v>#DIV/0!</v>
      </c>
      <c r="NC218" s="174" t="e">
        <f t="shared" ca="1" si="892"/>
        <v>#DIV/0!</v>
      </c>
      <c r="ND218" s="54">
        <f ca="1">IF(Control!$C$58=2, IF(OR(Control!$B$218=$AH218,Control!$B$219=$AH218, Control!$B$220=$AH218, Control!$B$221=$AH218, Control!$B$222=$AH218, Control!$B$223=$AH218, Control!$B$224=$AH218, Control!$B$225=$AH218, Control!$B$226=$AH218, Control!$B$227=$AH218, Control!$B$228=$AH218), 1, 0), 0)</f>
        <v>0</v>
      </c>
      <c r="NE218" s="54">
        <f ca="1">IF($ND218=0,0, VLOOKUP($AH218,Control!$B$218:$C$228,2))</f>
        <v>0</v>
      </c>
      <c r="NF218" s="168" t="e">
        <f ca="1">$CY218*(Control!$C$128-Control!$C$127)</f>
        <v>#N/A</v>
      </c>
      <c r="NG218" s="54" t="e">
        <f ca="1">IF(Control!$C$58=2, $NI217-$NJ217, 0)</f>
        <v>#DIV/0!</v>
      </c>
      <c r="NH218" s="54" t="e">
        <f ca="1">IF(AND(Control!$C$58=1, $MS217&lt;= ($MN217+0.02), $I217&lt;10), 0, IF(Control!$C$58=2, $NG217, 0))</f>
        <v>#DIV/0!</v>
      </c>
      <c r="NI218" s="54" t="e">
        <f ca="1">IF(Control!$C$58=2, $NE218+$NH218,0)</f>
        <v>#DIV/0!</v>
      </c>
      <c r="NJ218" s="54" t="e">
        <f ca="1">IF(AND(Control!$C$58=1, $MS218&lt;= ($MN218+0.02), $I218&lt;10), MAX(0, MIN(10, 0.7*($NF218-$MV218))), IF(Control!$C$58=2, MIN(10,$NI218),0))</f>
        <v>#DIV/0!</v>
      </c>
      <c r="NK218" s="54" t="e">
        <f t="shared" ca="1" si="800"/>
        <v>#DIV/0!</v>
      </c>
      <c r="NL218" s="173" t="e">
        <f ca="1">(1-Control!$C$73)*$I218+$NJ218</f>
        <v>#DIV/0!</v>
      </c>
      <c r="NM218" s="172" t="e">
        <f ca="1">IF($NL218&lt;0.5, $MB218* MAX(0, MIN(1, (SQRT($NC218)-SQRT($NC218-1))*Control!$C$71)),0)</f>
        <v>#DIV/0!</v>
      </c>
      <c r="NN218" s="170" t="e">
        <f ca="1">IF($NL218&gt;=5, $MB218, MAX(0,MIN($MB218, $NM218+$NL218,($MS218-Control!$C$129))))</f>
        <v>#DIV/0!</v>
      </c>
      <c r="NO218" s="54">
        <f>IF(Control!$C$133&lt;&gt;1, Control!$C$135-Control!$C$131, 0)</f>
        <v>0.38</v>
      </c>
      <c r="NP218" s="54" t="e">
        <f t="shared" ca="1" si="801"/>
        <v>#DIV/0!</v>
      </c>
      <c r="NQ218" s="173" t="e">
        <f ca="1">MAX(0,MIN(1,(Control!$C$135-$MS218)/(Control!$C$135-$NO218)))</f>
        <v>#DIV/0!</v>
      </c>
      <c r="NR218" s="170" t="e">
        <f ca="1">IF(Control!$C$133&lt;&gt;1, $NQ218+((1-$NP218/4)*(1-$NQ218)),1)</f>
        <v>#DIV/0!</v>
      </c>
      <c r="NS218" s="170" t="e">
        <f ca="1">IF(Control!$B$31=0,$MJ218,MAX(0,MIN($MV218,$MO218*$NR218*$MJ218)))</f>
        <v>#DIV/0!</v>
      </c>
      <c r="NT218" s="170" t="e">
        <f t="shared" ca="1" si="917"/>
        <v>#DIV/0!</v>
      </c>
      <c r="NU218" s="170" t="e">
        <f t="shared" ca="1" si="893"/>
        <v>#N/A</v>
      </c>
      <c r="NV218" s="170" t="e">
        <f t="shared" ca="1" si="802"/>
        <v>#N/A</v>
      </c>
      <c r="NW218" s="175" t="e">
        <f t="shared" ca="1" si="803"/>
        <v>#DIV/0!</v>
      </c>
      <c r="NX218" s="170" t="e">
        <f ca="1">MIN(Control!$C$72+$MU218, $NW218)</f>
        <v>#DIV/0!</v>
      </c>
      <c r="NY218" s="170" t="e">
        <f ca="1">IF($MT218&lt;=$NX218,MIN(Control!$C$72+$NB218,$NX218-$MT218),0)</f>
        <v>#DIV/0!</v>
      </c>
      <c r="NZ218" s="54" t="e">
        <f ca="1">IF(Control!$C$114=1,  $CX218*($MX218-Control!$C$127), 0)</f>
        <v>#DIV/0!</v>
      </c>
      <c r="OA218" s="170" t="e">
        <f t="shared" ca="1" si="804"/>
        <v>#DIV/0!</v>
      </c>
      <c r="OB218" s="170" t="e">
        <f ca="1">IF($NA218 &lt;=$NY218, MIN(Control!$C$72, $NY218-$NA218), 0)</f>
        <v>#DIV/0!</v>
      </c>
      <c r="OC218" s="168" t="e">
        <f t="shared" ca="1" si="805"/>
        <v>#DIV/0!</v>
      </c>
      <c r="OD218" s="168" t="e">
        <f t="shared" ca="1" si="894"/>
        <v>#DIV/0!</v>
      </c>
      <c r="OE218" s="170">
        <f ca="1">Control!$C$73*$I218</f>
        <v>0</v>
      </c>
      <c r="OF218" s="176" t="e">
        <f t="shared" ca="1" si="806"/>
        <v>#DIV/0!</v>
      </c>
      <c r="OG218" s="168" t="e">
        <f t="shared" ca="1" si="807"/>
        <v>#DIV/0!</v>
      </c>
      <c r="OH218" s="168" t="e">
        <f t="shared" ca="1" si="808"/>
        <v>#DIV/0!</v>
      </c>
      <c r="OI218" s="168" t="e">
        <f t="shared" ca="1" si="809"/>
        <v>#DIV/0!</v>
      </c>
      <c r="OJ218" s="168" t="e">
        <f t="shared" ca="1" si="810"/>
        <v>#DIV/0!</v>
      </c>
      <c r="OK218" s="204" t="e">
        <f t="shared" ca="1" si="811"/>
        <v>#DIV/0!</v>
      </c>
      <c r="OL218" s="177">
        <f>Control!$C$127</f>
        <v>0.15</v>
      </c>
      <c r="OM218" s="182" t="e">
        <f t="shared" ca="1" si="812"/>
        <v>#N/A</v>
      </c>
      <c r="ON218" s="177">
        <f>Control!$C$128</f>
        <v>0.35</v>
      </c>
      <c r="OO218" s="182" t="e">
        <f t="shared" ca="1" si="813"/>
        <v>#N/A</v>
      </c>
      <c r="OP218" s="138">
        <f t="shared" ca="1" si="895"/>
        <v>0</v>
      </c>
      <c r="OQ218" s="138" t="e">
        <f t="shared" ca="1" si="918"/>
        <v>#DIV/0!</v>
      </c>
      <c r="OR218" s="138" t="e">
        <f t="shared" ca="1" si="896"/>
        <v>#DIV/0!</v>
      </c>
      <c r="OS218" s="137" t="e">
        <f t="shared" ca="1" si="919"/>
        <v>#DIV/0!</v>
      </c>
      <c r="OT218" s="139" t="e">
        <f t="shared" ca="1" si="920"/>
        <v>#DIV/0!</v>
      </c>
      <c r="OU218" s="138" t="e">
        <f t="shared" ca="1" si="921"/>
        <v>#N/A</v>
      </c>
      <c r="OV218" s="138" t="e">
        <f t="shared" ca="1" si="922"/>
        <v>#DIV/0!</v>
      </c>
      <c r="OW218" s="138" t="e">
        <f t="shared" ca="1" si="897"/>
        <v>#DIV/0!</v>
      </c>
      <c r="OX218" s="138" t="e">
        <f t="shared" ca="1" si="898"/>
        <v>#DIV/0!</v>
      </c>
      <c r="OY218" s="138" t="e">
        <f t="shared" ca="1" si="899"/>
        <v>#DIV/0!</v>
      </c>
      <c r="OZ218" s="138" t="e">
        <f t="shared" ca="1" si="814"/>
        <v>#DIV/0!</v>
      </c>
      <c r="PA218" s="138" t="e">
        <f t="shared" ca="1" si="815"/>
        <v>#DIV/0!</v>
      </c>
      <c r="PB218" s="55">
        <f>IF(Control!$C$61="T", IF(Control!$C$65="F", IF($AH$6-Control!$C$60&lt;0,0,1), IF(365+$AH$6-Control!$C$60&lt;0,0,1)),0)</f>
        <v>0</v>
      </c>
      <c r="PC218" s="55">
        <f ca="1">IF(Control!$C$65="F", IF($AH$6-$HF218&lt;0,0,1), IF(365+$AH$6-$HF218&lt;0,0,1))</f>
        <v>1</v>
      </c>
      <c r="PD218" s="444">
        <f>Control!$C$118</f>
        <v>1500</v>
      </c>
      <c r="PE218" s="180" t="e">
        <f t="shared" ca="1" si="816"/>
        <v>#N/A</v>
      </c>
      <c r="PF218" s="445">
        <f t="shared" ca="1" si="900"/>
        <v>0.71612369323045078</v>
      </c>
      <c r="PT218" s="186"/>
      <c r="PU218" s="186"/>
      <c r="PV218" s="94"/>
      <c r="PW218" s="94"/>
      <c r="PX218" s="94"/>
      <c r="PY218" s="94"/>
      <c r="PZ218" s="94"/>
      <c r="QA218" s="94"/>
      <c r="QB218" s="94"/>
      <c r="QC218" s="94"/>
      <c r="QD218" s="94"/>
      <c r="QE218" s="94"/>
      <c r="QF218" s="94"/>
      <c r="QG218" s="94"/>
      <c r="QH218" s="94"/>
      <c r="QI218" s="94"/>
      <c r="QJ218" s="94"/>
      <c r="QK218" s="94"/>
      <c r="QL218" s="94"/>
      <c r="QM218" s="94"/>
      <c r="QN218" s="94"/>
      <c r="QO218" s="94"/>
      <c r="QP218" s="94"/>
    </row>
    <row r="219" spans="1:458" s="2" customFormat="1" x14ac:dyDescent="0.2">
      <c r="A219" s="395">
        <v>2</v>
      </c>
      <c r="B219" s="396">
        <v>8</v>
      </c>
      <c r="C219" s="387">
        <f ca="1">Weather_data!$B218</f>
        <v>0</v>
      </c>
      <c r="D219" s="388">
        <f ca="1">Weather_data!$F218</f>
        <v>0</v>
      </c>
      <c r="E219" s="388">
        <f ca="1">Weather_data!$E218</f>
        <v>0</v>
      </c>
      <c r="F219" s="388">
        <f t="shared" ca="1" si="817"/>
        <v>0</v>
      </c>
      <c r="G219" s="388">
        <f ca="1">AVERAGE($D219:$E219)+Control!$B$9</f>
        <v>0</v>
      </c>
      <c r="H219" s="388">
        <f ca="1">Weather_data!$G218</f>
        <v>0</v>
      </c>
      <c r="I219" s="388">
        <f ca="1">Weather_data!$I218</f>
        <v>0</v>
      </c>
      <c r="J219" s="388">
        <f ca="1">Weather_data!$H218</f>
        <v>0</v>
      </c>
      <c r="K219" s="389">
        <f ca="1">Weather_data!$D218</f>
        <v>0</v>
      </c>
      <c r="L219" s="388" t="e">
        <f t="shared" ca="1" si="818"/>
        <v>#N/A</v>
      </c>
      <c r="M219" s="388" t="e">
        <f t="shared" ca="1" si="696"/>
        <v>#N/A</v>
      </c>
      <c r="N219" s="388">
        <f t="shared" ca="1" si="697"/>
        <v>-8.9665322512244015E-11</v>
      </c>
      <c r="O219" s="388">
        <f t="shared" ca="1" si="819"/>
        <v>8.966532251224402E-10</v>
      </c>
      <c r="P219" s="390">
        <v>3</v>
      </c>
      <c r="Q219" s="388">
        <f ca="1">MAX($G219-Control!$C$107,0)</f>
        <v>0</v>
      </c>
      <c r="R219" s="388">
        <f t="shared" ca="1" si="820"/>
        <v>0</v>
      </c>
      <c r="S219" s="388">
        <f t="shared" ca="1" si="698"/>
        <v>0</v>
      </c>
      <c r="T219" s="388">
        <f t="shared" ca="1" si="699"/>
        <v>0</v>
      </c>
      <c r="U219" s="59">
        <f t="shared" ca="1" si="700"/>
        <v>0</v>
      </c>
      <c r="V219" s="391">
        <f ca="1">MAX(0,MIN(Control!$C$100-Control!$C$99,$G219-Control!$C$99)*Control!$C$63)</f>
        <v>0</v>
      </c>
      <c r="W219" s="388">
        <f t="shared" ca="1" si="821"/>
        <v>0</v>
      </c>
      <c r="X219" s="388">
        <f t="shared" ca="1" si="822"/>
        <v>0.6110000000000001</v>
      </c>
      <c r="Y219" s="388">
        <f t="shared" ca="1" si="701"/>
        <v>0</v>
      </c>
      <c r="Z219" s="388">
        <f t="shared" ca="1" si="823"/>
        <v>0.61058800000000002</v>
      </c>
      <c r="AA219" s="388">
        <f t="shared" ca="1" si="702"/>
        <v>0.6018</v>
      </c>
      <c r="AB219" s="388">
        <f ca="1">101.3*EXP(-0.034*Control!$C$66/($G219+273))</f>
        <v>100.69623283836242</v>
      </c>
      <c r="AC219" s="392">
        <f t="shared" ca="1" si="703"/>
        <v>4.3460251046025113E-2</v>
      </c>
      <c r="AD219" s="392">
        <f t="shared" ca="1" si="704"/>
        <v>4.4450382862832649E-2</v>
      </c>
      <c r="AE219" s="388">
        <f t="shared" ca="1" si="705"/>
        <v>0</v>
      </c>
      <c r="AF219" s="388">
        <f ca="1">MAX(0,$G219-Control!$C$92)</f>
        <v>0</v>
      </c>
      <c r="AG219" s="393">
        <f t="shared" ca="1" si="706"/>
        <v>215</v>
      </c>
      <c r="AH219" s="389">
        <f t="shared" ca="1" si="707"/>
        <v>215</v>
      </c>
      <c r="AI219" s="388">
        <f t="shared" ca="1" si="824"/>
        <v>0.30062097512438113</v>
      </c>
      <c r="AJ219" s="388">
        <f ca="1">IF(Control!$C$60&lt;=0,$HH219,$HI219)</f>
        <v>1</v>
      </c>
      <c r="AK219" s="388">
        <f t="shared" ca="1" si="708"/>
        <v>2.323917853340395</v>
      </c>
      <c r="AL219" s="388">
        <f t="shared" ca="1" si="709"/>
        <v>-6.3117653464894725E-18</v>
      </c>
      <c r="AM219" s="388">
        <f t="shared" ca="1" si="710"/>
        <v>2.323917853340395</v>
      </c>
      <c r="AN219" s="388">
        <f t="shared" ca="1" si="711"/>
        <v>0.29445462925556093</v>
      </c>
      <c r="AO219" s="388">
        <f ca="1">-0.10453/COS(Control!$B$8*PI()/180)*COS(AN219)</f>
        <v>-0.16247741892844239</v>
      </c>
      <c r="AP219" s="388">
        <f ca="1">ACOS(AO219-TAN(Control!$B$8*PI()/180)*TAN(AN219))</f>
        <v>2.1539343510416957</v>
      </c>
      <c r="AQ219" s="388">
        <f t="shared" ca="1" si="825"/>
        <v>0</v>
      </c>
      <c r="AR219" s="394">
        <f t="shared" ca="1" si="712"/>
        <v>0</v>
      </c>
      <c r="AS219" s="436">
        <f ca="1">IF(Control!$B$18=2,(IF(OR($AH219=Control!$B$175,$AH219=Control!$B$176,$AH219=Control!$B$177,$AH219=Control!$B$178,$AH219=Control!$B$179,$AH219=Control!$B$180,$AH219=Control!$B$181,$AH219=Control!$B$182,$AH219=Control!$B$183,$AH219=Control!$B$184,$AH219=Control!$B$185),1,0)),0)</f>
        <v>0</v>
      </c>
      <c r="AT219" s="436">
        <f>IF(Control!$B$20=8,IF(AND($AH219&gt;=Control!$B$172,$AH219&lt;=Control!$B$173),1,0),0)</f>
        <v>0</v>
      </c>
      <c r="AU219" s="436">
        <f>IF(Control!$B$20=8,IF($AV218=1,1*$AT219,IF($AT219=1,$AU218+1,$AU218)),0)</f>
        <v>0</v>
      </c>
      <c r="AV219" s="436">
        <f>IF(Control!$B$20=8,IF($AU219&gt;=Control!$B$174,1,0),0)</f>
        <v>0</v>
      </c>
      <c r="AW219" s="436">
        <f ca="1">IF(AND(Control!$B$18=2,Control!$B$171=1), $AV219, $AS219)</f>
        <v>0</v>
      </c>
      <c r="AX219" s="436" t="e">
        <f ca="1">IF(AND(Control!$B$18=1,$EU219&gt;=Control!$B$19),-$AY219,IF(AND(Control!$B$18=2,$AW219=1,$EU219&gt;$DS219),-$AY219, IF(Control!$C$108=0,0, IF(Control!$C$108&lt;&gt;0,1))))</f>
        <v>#N/A</v>
      </c>
      <c r="AY219" s="436" t="e">
        <f t="shared" ca="1" si="826"/>
        <v>#N/A</v>
      </c>
      <c r="AZ219" s="436" t="e">
        <f ca="1">IF(AND(Control!$B$18=1,$EB219&gt;Control!$B$19),$AZ218+1, IF(AND(Control!$B$18=2, $AW219=1, $EB219&gt;$DS219), $AZ218+1,$AZ218))</f>
        <v>#N/A</v>
      </c>
      <c r="BA219" s="587">
        <f>IF(Control!$C$81=0,1,IF($AH219&gt;=Control!$C$82,1,0))</f>
        <v>1</v>
      </c>
      <c r="BB219" s="140" t="e">
        <f ca="1">IF($BA219&gt;$BA218,Control!$C$83,IF($AW219&gt;0,$AW219*Control!$C$84,IF(AND(Control!$B$18=1,EN218&lt;&gt;0),Control!$C$84,0)))</f>
        <v>#N/A</v>
      </c>
      <c r="BC219" s="140" t="e">
        <f t="shared" ca="1" si="827"/>
        <v>#N/A</v>
      </c>
      <c r="BD219" s="140" t="e">
        <f ca="1">BC219*IF(OR($G219&lt;Control!$C$92,$G219&gt;Control!$C$95),0,IF(AND($G219&gt;=Control!$C$92,$G219&lt;=Control!$C$93),$G219-Control!$C$92,IF(AND($G219&gt;Control!$C$93,$G219&lt;=Control!$C$94),Control!$C$93-Control!$C$92,IF(AND($G219&gt;Control!$C$94,$G219&lt;=Control!$C$95),(Control!$C$93-Control!$C$92)*(Control!$C$94-$G219)/(Control!$C$95-Control!$C$94)))))</f>
        <v>#N/A</v>
      </c>
      <c r="BE219" s="140" t="e">
        <f t="shared" ca="1" si="828"/>
        <v>#N/A</v>
      </c>
      <c r="BF219" s="140" t="e">
        <f ca="1">IF($BE219&lt;=Control!$C$86,$BE219,Control!$C$86-$BE219)</f>
        <v>#N/A</v>
      </c>
      <c r="BG219" s="140" t="e">
        <f ca="1">IF(AND($AW219=1,Control!$C$84&lt;9),1,IF($BE219&gt;=Control!$C$86,0,$BC219))</f>
        <v>#N/A</v>
      </c>
      <c r="BH219" s="404" t="e">
        <f ca="1">IF($BG219=0,0,IF($BE219&lt;=Control!$C$86,$BC219*9*($BF219/Control!$C$86),0))</f>
        <v>#N/A</v>
      </c>
      <c r="BI219" s="140" t="e">
        <f ca="1">IF($BG219=1,0,IF($BE219&gt;=Control!$C$86,1,IF(AND($BB219&lt;21,$BB219&gt;=9),1,$BM218)))</f>
        <v>#N/A</v>
      </c>
      <c r="BJ219" s="140" t="e">
        <f ca="1">IF($BF219&lt;0,-$BF219,$BI219*IF(OR($G219&lt;Control!$C$92,$G219&gt;Control!$C$95),0,IF(AND($G219&gt;=Control!$C$92,$G219&lt;=Control!$C$93),$G219-Control!$C$92,IF(AND($G219&gt;Control!$C$93,$G219&lt;=Control!$C$94),Control!$C$93-Control!$C$92,IF(AND($G219&gt;Control!$C$94,$G219&lt;=Control!$C$95),(Control!$C$93-Control!$C$92)*(Control!$C$94-$G219)/(Control!$C$95-Control!$C$94))))))</f>
        <v>#N/A</v>
      </c>
      <c r="BK219" s="140" t="e">
        <f t="shared" ca="1" si="829"/>
        <v>#N/A</v>
      </c>
      <c r="BL219" s="140" t="e">
        <f ca="1">IF($BK219&lt;=Control!$C$87,$BK219,Control!$C$87-$BK219)</f>
        <v>#N/A</v>
      </c>
      <c r="BM219" s="140" t="e">
        <f ca="1">IF(AND($BB219&gt;=9,$BB219&lt;21),1,IF($BK219&gt;=Control!$C$87,0,$BI219))</f>
        <v>#N/A</v>
      </c>
      <c r="BN219" s="404" t="e">
        <f ca="1">IF($BM219=0,0,IF($BK219&lt;=Control!$C$87,$BI219*(9+(21-9)*($BL219/Control!$C$87)),0))</f>
        <v>#N/A</v>
      </c>
      <c r="BO219" s="140" t="e">
        <f ca="1">IF($BM219=1,0,IF($BK219&gt;=Control!$C$87,1,IF(AND($BB219&lt;30,$BB219&gt;=21),1,$BS218)))</f>
        <v>#N/A</v>
      </c>
      <c r="BP219" s="140" t="e">
        <f ca="1">IF($BL219&lt;0,-$BL219,$BO219*IF(OR($G219&lt;Control!$C$92,$G219&gt;Control!$C$95),0,IF(AND($G219&gt;=Control!$C$92,$G219&lt;=Control!$C$93),$G219-Control!$C$92,IF(AND($G219&gt;Control!$C$93,$G219&lt;=Control!$C$94),Control!$C$93-Control!$C$92,IF(AND($G219&gt;Control!$C$94,$G219&lt;=Control!$C$95),(Control!$C$93-Control!$C$92)*(Control!$C$94-$G219)/(Control!$C$95-Control!$C$94))))))</f>
        <v>#N/A</v>
      </c>
      <c r="BQ219" s="140" t="e">
        <f t="shared" ca="1" si="713"/>
        <v>#N/A</v>
      </c>
      <c r="BR219" s="140" t="e">
        <f ca="1">IF($BQ219&lt;=Control!$C$88,$BQ219,Control!$C$88-$BQ219)</f>
        <v>#N/A</v>
      </c>
      <c r="BS219" s="140" t="e">
        <f ca="1">IF(AND($BB219&gt;=21,$BB219&lt;30),1,IF($BQ219&gt;=Control!$C$88,0,$BO219))</f>
        <v>#N/A</v>
      </c>
      <c r="BT219" s="404" t="e">
        <f ca="1">IF($BS219=0,0,IF($BQ219&lt;=Control!$C$88,$BO219*(21+(30-21)*(BR219/Control!$C$88)),0))</f>
        <v>#N/A</v>
      </c>
      <c r="BU219" s="140" t="e">
        <f ca="1">IF(BG219+BM219+BS219=1,0,IF(OR(AND($BB219&lt;60,$BB219&gt;=30),$BQ219&gt;=Control!$C$88),1*$BA219,$BY218))</f>
        <v>#N/A</v>
      </c>
      <c r="BV219" s="140" t="e">
        <f ca="1">IF($BR219&lt;0,-$BR219,$BU219*IF(OR($G219&lt;Control!$C$92,$G219&gt;Control!$C$95),0,IF(AND($G219&gt;=Control!$C$92,$G219&lt;=Control!$C$93),$G219-Control!$C$92,IF(AND($G219&gt;Control!$C$93,$G219&lt;=Control!$C$94),Control!$C$93-Control!$C$92,IF(AND($G219&gt;Control!$C$94,$G219&lt;=Control!$C$95),(Control!$C$93-Control!$C$92)*(Control!$C$94-$G219)/(Control!$C$95-Control!$C$94))))))</f>
        <v>#N/A</v>
      </c>
      <c r="BW219" s="140" t="e">
        <f t="shared" ca="1" si="714"/>
        <v>#N/A</v>
      </c>
      <c r="BX219" s="140" t="e">
        <f ca="1">IF($BW219&lt;=Control!$C$89,$BW219,Control!$C$89-$BW219)</f>
        <v>#N/A</v>
      </c>
      <c r="BY219" s="140" t="e">
        <f ca="1">IF(AND($AJ219&gt;=30,$AJ219&lt;60),1,IF($BW219&gt;=Control!$C$89,0,$BU219))</f>
        <v>#N/A</v>
      </c>
      <c r="BZ219" s="404" t="e">
        <f ca="1">IF($BY219=0,0,IF($BW219&lt;=Control!$C$89,$BU219*(30+(60-30)*(BX219/Control!$C$89)),0))</f>
        <v>#N/A</v>
      </c>
      <c r="CA219" s="140" t="e">
        <f ca="1">IF($BG219+$BM219+$BS219+$BY219=1,0,IF(OR(AND($BB219&lt;65,$BB219&gt;=60),$BW219&gt;=Control!$C$89),1*$BA219,$CE218))</f>
        <v>#N/A</v>
      </c>
      <c r="CB219" s="140" t="e">
        <f ca="1">IF($BX219&lt;0,-$BX219,$CA219*IF(OR($G219&lt;Control!$C$92,$G219&gt;Control!$C$95),0,IF(AND($G219&gt;=Control!$C$92,$G219&lt;=Control!$C$93),$G219-Control!$C$92,IF(AND($G219&gt;Control!$C$93,$G219&lt;=Control!$C$94),Control!$C$93-Control!$C$92,IF(AND($G219&gt;Control!$C$94,$G219&lt;=Control!$C$95),(Control!$C$93-Control!$C$92)*(Control!$C$94-$G219)/(Control!$C$95-Control!$C$94))))))</f>
        <v>#N/A</v>
      </c>
      <c r="CC219" s="140" t="e">
        <f t="shared" ca="1" si="830"/>
        <v>#N/A</v>
      </c>
      <c r="CD219" s="140" t="e">
        <f ca="1">IF($CC219&lt;=Control!$C$90,$CC219,Control!$C$90-$CC219)</f>
        <v>#N/A</v>
      </c>
      <c r="CE219" s="140" t="e">
        <f ca="1">IF(AND($BB219&gt;=60,$BB219&lt;65),1,IF($CC219&gt;=Control!$C$90,0,$CA219))</f>
        <v>#N/A</v>
      </c>
      <c r="CF219" s="404" t="e">
        <f ca="1">IF($CE219=0,0,IF($CC219&lt;=Control!$C$90,$CA219*(60+(65-60)*(CD219/Control!$C$90)),0))</f>
        <v>#N/A</v>
      </c>
      <c r="CG219" s="140" t="e">
        <f ca="1">IF($BG219+$BM219+$BS219+$BY219+$CE219=1,0,IF(OR(AND($BB219&lt;90,$BB219&gt;=65),$CC219&gt;=Control!$C$90),$BA219,$CK218))</f>
        <v>#N/A</v>
      </c>
      <c r="CH219" s="140" t="e">
        <f ca="1">IF($CD219&lt;0,-$CD219,$CG219*IF(OR($G219&lt;Control!$C$92,$G219&gt;Control!$C$95),0,IF(AND($G219&gt;=Control!$C$92,$G219&lt;=Control!$C$93),$G219-Control!$C$92,IF(AND($G219&gt;Control!$C$93,$G219&lt;=Control!$C$94),Control!$C$93-Control!$C$92,IF(AND($G219&gt;Control!$C$94,$G219&lt;=Control!$C$95),(Control!$C$93-Control!$C$92)*(Control!$C$94-$G219)/(Control!$C$95-Control!$C$94))))))</f>
        <v>#N/A</v>
      </c>
      <c r="CI219" s="140" t="e">
        <f t="shared" ca="1" si="831"/>
        <v>#N/A</v>
      </c>
      <c r="CJ219" s="140" t="e">
        <f ca="1">IF($CI219&lt;=Control!$C$91,$CI219,Control!$C$91-$CI219)</f>
        <v>#N/A</v>
      </c>
      <c r="CK219" s="140" t="e">
        <f ca="1">IF(AND($BB219&gt;=65,$BB219&lt;90),1,IF($CI219&gt;=Control!$C$91,0,$CG219))</f>
        <v>#N/A</v>
      </c>
      <c r="CL219" s="404" t="e">
        <f ca="1">IF($CK219=0,0,IF($CI219&lt;=Control!$C$91,$CG219*(65+(90-65)*($CJ219/Control!$C$91)),0))</f>
        <v>#N/A</v>
      </c>
      <c r="CM219" s="140" t="e">
        <f ca="1">IF($BG219+$BM219+$BS219+$BY219+$CE219+$CK219=1,0,IF(OR($BB219&gt;=90,$CI219&gt;=Control!$C$91),$BA219,$CM218))</f>
        <v>#N/A</v>
      </c>
      <c r="CN219" s="140" t="e">
        <f t="shared" ca="1" si="832"/>
        <v>#N/A</v>
      </c>
      <c r="CO219" s="140" t="e">
        <f t="shared" ca="1" si="833"/>
        <v>#N/A</v>
      </c>
      <c r="CP219" s="140" t="e">
        <f t="shared" ca="1" si="834"/>
        <v>#N/A</v>
      </c>
      <c r="CQ219" s="141" t="e">
        <f ca="1">VLOOKUP($CP219,Control!$B$86:$G$91,6)</f>
        <v>#N/A</v>
      </c>
      <c r="CR219" s="141" t="e">
        <f ca="1">(1-$CQ219)*VLOOKUP($CP219,Control!$B$86:$D$91,3)</f>
        <v>#N/A</v>
      </c>
      <c r="CS219" s="141" t="e">
        <f ca="1">(1-$CQ219)*VLOOKUP($CP219,Control!$B$86:$E$91,4)</f>
        <v>#N/A</v>
      </c>
      <c r="CT219" s="141" t="e">
        <f ca="1">(1-$CQ219)*VLOOKUP($CP219,Control!$B$86:$F$91,5)</f>
        <v>#N/A</v>
      </c>
      <c r="CU219" s="141">
        <f t="shared" ca="1" si="835"/>
        <v>0</v>
      </c>
      <c r="CV219" s="583">
        <f t="shared" ca="1" si="836"/>
        <v>0</v>
      </c>
      <c r="CW219" s="142">
        <f t="shared" ca="1" si="837"/>
        <v>215</v>
      </c>
      <c r="CX219" s="612" t="e">
        <f ca="1">IF(Control!$C$114=1,(MIN(Control!$C$120*(IF($NT219-0.01&lt;0,0,1)),Control!$C$119-$CY219)))</f>
        <v>#DIV/0!</v>
      </c>
      <c r="CY219" s="143" t="e">
        <f t="shared" ca="1" si="838"/>
        <v>#N/A</v>
      </c>
      <c r="CZ219" s="144">
        <f t="shared" ca="1" si="715"/>
        <v>0</v>
      </c>
      <c r="DA219" s="144">
        <f t="shared" ca="1" si="716"/>
        <v>0</v>
      </c>
      <c r="DB219" s="144" t="e">
        <f t="shared" ca="1" si="717"/>
        <v>#N/A</v>
      </c>
      <c r="DC219" s="144" t="e">
        <f t="shared" ca="1" si="718"/>
        <v>#N/A</v>
      </c>
      <c r="DD219" s="144" t="e">
        <f t="shared" ca="1" si="923"/>
        <v>#N/A</v>
      </c>
      <c r="DE219" s="143" t="e">
        <f t="shared" ca="1" si="839"/>
        <v>#N/A</v>
      </c>
      <c r="DF219" s="145" t="e">
        <f ca="1">$DR219*EXP(-Control!$C$158*(1-$KH219))</f>
        <v>#N/A</v>
      </c>
      <c r="DG219" s="146" t="e">
        <f ca="1">IF(Control!$C$114=1, $DF219*$EY219, 0)</f>
        <v>#N/A</v>
      </c>
      <c r="DH219" s="147" t="e">
        <f t="shared" ca="1" si="840"/>
        <v>#N/A</v>
      </c>
      <c r="DI219" s="144" t="e">
        <f t="shared" ca="1" si="901"/>
        <v>#N/A</v>
      </c>
      <c r="DJ219" s="147" t="e">
        <f ca="1">$EF219*Control!$C$109</f>
        <v>#N/A</v>
      </c>
      <c r="DK219" s="144" t="e">
        <f t="shared" ca="1" si="841"/>
        <v>#N/A</v>
      </c>
      <c r="DL219" s="144" t="e">
        <f t="shared" ca="1" si="719"/>
        <v>#N/A</v>
      </c>
      <c r="DM219" s="144" t="e">
        <f ca="1">IF(Control!$C$114=1, (1-EXP(-Control!$C$96*$DK219))*$AR219, 0)</f>
        <v>#N/A</v>
      </c>
      <c r="DN219" s="144">
        <f t="shared" ca="1" si="842"/>
        <v>0</v>
      </c>
      <c r="DO219" s="148">
        <f>Control!$C$97</f>
        <v>4</v>
      </c>
      <c r="DP219" s="145" t="e">
        <f t="shared" ca="1" si="843"/>
        <v>#N/A</v>
      </c>
      <c r="DQ219" s="145" t="e">
        <f ca="1">IF(AND($CP219&gt;=0,$CP219&lt;=90),Control!$C$111,Control!$C$111)</f>
        <v>#N/A</v>
      </c>
      <c r="DR219" s="145" t="e">
        <f t="shared" ca="1" si="720"/>
        <v>#N/A</v>
      </c>
      <c r="DS219" s="143" t="e">
        <f ca="1">Control!$B$22/$DR219</f>
        <v>#N/A</v>
      </c>
      <c r="DT219" s="149" t="e">
        <f ca="1">IF(AND(Control!$C$114=1,$KH219&lt;1),$IM219*$DF219, 0)</f>
        <v>#N/A</v>
      </c>
      <c r="DU219" s="144" t="e">
        <f t="shared" ca="1" si="844"/>
        <v>#N/A</v>
      </c>
      <c r="DV219" s="144">
        <f ca="1">IF($G219-Control!$C$107&lt;=0, 0, 0.83*LN(MAX($G219, 3))-0.8924)</f>
        <v>0</v>
      </c>
      <c r="DW219" s="144" t="e">
        <f t="shared" ca="1" si="721"/>
        <v>#N/A</v>
      </c>
      <c r="DX219" s="150" t="e">
        <f ca="1">MAX(0.01*(1+$CU219/Control!$C$102),0.05*($DK219-Control!$C$97)/Control!$C$97)</f>
        <v>#N/A</v>
      </c>
      <c r="DY219" s="151" t="e">
        <f ca="1">IF(Control!$C$114=1, $DI219*$FS219, 0)</f>
        <v>#N/A</v>
      </c>
      <c r="DZ219" s="196" t="e">
        <f t="shared" ca="1" si="845"/>
        <v>#N/A</v>
      </c>
      <c r="EA219" s="152">
        <f t="shared" ca="1" si="846"/>
        <v>215</v>
      </c>
      <c r="EB219" s="153" t="e">
        <f t="shared" ca="1" si="847"/>
        <v>#N/A</v>
      </c>
      <c r="EC219" s="153" t="e">
        <f t="shared" ca="1" si="848"/>
        <v>#N/A</v>
      </c>
      <c r="ED219" s="154" t="e">
        <f ca="1">IF(Control!$C$114=1, $HM219*$FY219-$FD219, 0)</f>
        <v>#DIV/0!</v>
      </c>
      <c r="EE219" s="155" t="e">
        <f ca="1">IF(Control!$C$114=1, $HM219*$FZ219-$FF219, 0)</f>
        <v>#DIV/0!</v>
      </c>
      <c r="EF219" s="153" t="e">
        <f t="shared" ca="1" si="902"/>
        <v>#N/A</v>
      </c>
      <c r="EG219" s="155" t="e">
        <f ca="1">IF(Control!$C$114=1, $GX219*$FW219-$FI219, 0)</f>
        <v>#DIV/0!</v>
      </c>
      <c r="EH219" s="153" t="e">
        <f t="shared" ca="1" si="849"/>
        <v>#N/A</v>
      </c>
      <c r="EI219" s="156" t="e">
        <f t="shared" ca="1" si="850"/>
        <v>#N/A</v>
      </c>
      <c r="EJ219" s="155" t="e">
        <f ca="1">IF(Control!$C$114=1, $HM219*$GB219, 0)</f>
        <v>#DIV/0!</v>
      </c>
      <c r="EK219" s="153" t="e">
        <f t="shared" ca="1" si="903"/>
        <v>#N/A</v>
      </c>
      <c r="EL219" s="153" t="e">
        <f t="shared" ca="1" si="722"/>
        <v>#N/A</v>
      </c>
      <c r="EM219" s="153" t="e">
        <f t="shared" ca="1" si="723"/>
        <v>#N/A</v>
      </c>
      <c r="EN219" s="153" t="e">
        <f ca="1">IF(Control!$C$108=1,IF(AND(Control!$B$18=1,$EB219&gt;=Control!$B$19),$EB219-$DS219,IF(AND(Control!$B$18=2,$AW219=1,$EB219&gt;$DS219),$EB219-$DS219,0)))</f>
        <v>#N/A</v>
      </c>
      <c r="EO219" s="153" t="e">
        <f ca="1">IF(Control!$C$108=1,IF(AND(Control!$B$18=1,$EB219&gt;=Control!$B$19),$EF219,IF(AND(Control!$B$18=2,$AW219=1),$EF219,0)))</f>
        <v>#N/A</v>
      </c>
      <c r="EP219" s="153" t="e">
        <f ca="1">IF(Control!$C$108=1,IF(AND(Control!$B$18=1,$EB219&gt;=Control!$B$19),$EK219,IF(AND(Control!$B$18=2,$AW219=1),$EK219,0)))</f>
        <v>#N/A</v>
      </c>
      <c r="EQ219" s="153" t="e">
        <f t="shared" ca="1" si="851"/>
        <v>#N/A</v>
      </c>
      <c r="ER219" s="153" t="e">
        <f t="shared" ca="1" si="852"/>
        <v>#N/A</v>
      </c>
      <c r="ES219" s="153" t="e">
        <f t="shared" ca="1" si="904"/>
        <v>#N/A</v>
      </c>
      <c r="ET219" s="153" t="e">
        <f t="shared" ca="1" si="905"/>
        <v>#N/A</v>
      </c>
      <c r="EU219" s="153" t="e">
        <f t="shared" ca="1" si="853"/>
        <v>#N/A</v>
      </c>
      <c r="EV219" s="153" t="e">
        <f t="shared" ca="1" si="724"/>
        <v>#N/A</v>
      </c>
      <c r="EW219" s="153" t="e">
        <f t="shared" ca="1" si="725"/>
        <v>#N/A</v>
      </c>
      <c r="EX219" s="153" t="e">
        <f t="shared" ca="1" si="726"/>
        <v>#N/A</v>
      </c>
      <c r="EY219" s="157" t="e">
        <f t="shared" ca="1" si="727"/>
        <v>#DIV/0!</v>
      </c>
      <c r="EZ219" s="154" t="e">
        <f t="shared" ca="1" si="728"/>
        <v>#DIV/0!</v>
      </c>
      <c r="FA219" s="153" t="e">
        <f t="shared" ca="1" si="854"/>
        <v>#N/A</v>
      </c>
      <c r="FB219" s="153" t="e">
        <f t="shared" ca="1" si="729"/>
        <v>#N/A</v>
      </c>
      <c r="FC219" s="193" t="e">
        <f t="shared" ca="1" si="730"/>
        <v>#N/A</v>
      </c>
      <c r="FD219" s="158" t="e">
        <f t="shared" ca="1" si="855"/>
        <v>#N/A</v>
      </c>
      <c r="FE219" s="158" t="e">
        <f t="shared" ca="1" si="856"/>
        <v>#N/A</v>
      </c>
      <c r="FF219" s="159" t="e">
        <f t="shared" ca="1" si="731"/>
        <v>#N/A</v>
      </c>
      <c r="FG219" s="160" t="e">
        <f t="shared" ca="1" si="857"/>
        <v>#N/A</v>
      </c>
      <c r="FH219" s="158" t="e">
        <f t="shared" ca="1" si="858"/>
        <v>#N/A</v>
      </c>
      <c r="FI219" s="159" t="e">
        <f t="shared" ca="1" si="732"/>
        <v>#N/A</v>
      </c>
      <c r="FJ219" s="160" t="e">
        <f t="shared" ca="1" si="859"/>
        <v>#N/A</v>
      </c>
      <c r="FK219" s="160" t="e">
        <f t="shared" ca="1" si="733"/>
        <v>#N/A</v>
      </c>
      <c r="FL219" s="160" t="e">
        <f t="shared" ca="1" si="906"/>
        <v>#N/A</v>
      </c>
      <c r="FM219" s="160" t="e">
        <f t="shared" ca="1" si="734"/>
        <v>#N/A</v>
      </c>
      <c r="FN219" s="158">
        <f t="shared" ca="1" si="860"/>
        <v>0.01</v>
      </c>
      <c r="FO219" s="160">
        <f>Control!$C$101</f>
        <v>50</v>
      </c>
      <c r="FP219" s="150" t="e">
        <f t="shared" ca="1" si="735"/>
        <v>#N/A</v>
      </c>
      <c r="FQ219" s="150" t="e">
        <f ca="1">MAX(0,(Control!$C$112*(($DK219-Control!$C$97)/Control!$C$97)))</f>
        <v>#N/A</v>
      </c>
      <c r="FR219" s="150" t="e">
        <f ca="1">(1-$NT219)*Control!$C$113</f>
        <v>#DIV/0!</v>
      </c>
      <c r="FS219" s="198" t="e">
        <f t="shared" ca="1" si="736"/>
        <v>#N/A</v>
      </c>
      <c r="FT219" s="161">
        <f t="shared" ca="1" si="861"/>
        <v>215</v>
      </c>
      <c r="FU219" s="162" t="e">
        <f ca="1">IF(Control!$B$34=1,VLOOKUP($CP219,Control!$B$86:$G$91,6),Control!$B$35)</f>
        <v>#N/A</v>
      </c>
      <c r="FV219" s="162" t="e">
        <f t="shared" ca="1" si="737"/>
        <v>#DIV/0!</v>
      </c>
      <c r="FW219" s="162" t="e">
        <f ca="1">IF(Control!$B$31=1,$FU219*$FV219,  $FU219)</f>
        <v>#N/A</v>
      </c>
      <c r="FX219" s="162" t="e">
        <f ca="1">IF(Control!$B$34=1,VLOOKUP($CP219,Control!$B$86:$G$91,3),Control!$B$36)</f>
        <v>#N/A</v>
      </c>
      <c r="FY219" s="162" t="e">
        <f t="shared" ca="1" si="738"/>
        <v>#N/A</v>
      </c>
      <c r="FZ219" s="162" t="e">
        <f ca="1">IF(Control!$B$34=1,VLOOKUP($CP219,Control!$B$86:$G$91,4),Control!$B$37)</f>
        <v>#N/A</v>
      </c>
      <c r="GA219" s="162" t="e">
        <f t="shared" ca="1" si="739"/>
        <v>#N/A</v>
      </c>
      <c r="GB219" s="162" t="e">
        <f ca="1">IF(Control!$B$34=1,VLOOKUP($CP219,Control!$B$86:$G$91,5),Control!$B$38)</f>
        <v>#N/A</v>
      </c>
      <c r="GC219" s="162" t="e">
        <f t="shared" ca="1" si="862"/>
        <v>#N/A</v>
      </c>
      <c r="GD219" s="162">
        <f t="shared" ca="1" si="740"/>
        <v>1</v>
      </c>
      <c r="GE219" s="162">
        <f t="shared" ca="1" si="741"/>
        <v>1</v>
      </c>
      <c r="GF219" s="162">
        <f ca="1">IF(AND(Control!$C$104=1, Control!$C$62="F"),$GE219,1)</f>
        <v>1</v>
      </c>
      <c r="GG219" s="162" t="e">
        <f ca="1">IF(Control!$B$16=40,0,IF(AND(Control!$B$16&gt;40,Control!$B$16&lt;=360),(Control!$B$16-40)*((1-0)/(360-40)),IF(AND(Control!$B$16&gt;360,Control!$B$16&lt;=720),(1+(Control!$B$16-360)*((1.25-1)/(720-360))),IF(AND(Control!$B$16&gt;720,Control!$B$16&lt;=1000),(1.25+(Control!$B$16-720)*((1.35-1.25)/(1000-720))),IF(AND(Control!$B$16&gt;1000,Control!$B$16&lt;=2000),(1.35+(Control!$B$16-1000)*0))))))</f>
        <v>#N/A</v>
      </c>
      <c r="GH219" s="162" t="e">
        <f t="shared" ca="1" si="742"/>
        <v>#N/A</v>
      </c>
      <c r="GI219" s="162">
        <f t="shared" ca="1" si="863"/>
        <v>0</v>
      </c>
      <c r="GJ219" s="162">
        <f t="shared" ca="1" si="743"/>
        <v>0</v>
      </c>
      <c r="GK219" s="162">
        <f t="shared" ca="1" si="864"/>
        <v>1</v>
      </c>
      <c r="GL219" s="162">
        <f t="shared" ca="1" si="744"/>
        <v>1</v>
      </c>
      <c r="GM219" s="162" t="e">
        <f ca="1">MAX(0,MIN(1,1-Control!$C$156*(1.0001-$KH219)^2))</f>
        <v>#N/A</v>
      </c>
      <c r="GN219" s="162" t="e">
        <f ca="1">IF(Control!$B$26=1,$KU219,$KX219)</f>
        <v>#N/A</v>
      </c>
      <c r="GO219" s="162" t="e">
        <f ca="1">IF($CP219&lt;=60,Control!$C$105,IF($CP219&gt;=90,Control!$C$106,Control!$C$105+($CP219-60)*((Control!$C$106-Control!$C$105)/(90-60))))</f>
        <v>#N/A</v>
      </c>
      <c r="GP219" s="162" t="e">
        <f t="shared" ca="1" si="745"/>
        <v>#N/A</v>
      </c>
      <c r="GQ219" s="162" t="e">
        <f t="shared" ca="1" si="865"/>
        <v>#N/A</v>
      </c>
      <c r="GR219" s="163" t="e">
        <f t="shared" ca="1" si="746"/>
        <v>#DIV/0!</v>
      </c>
      <c r="GS219" s="162" t="e">
        <f t="shared" ca="1" si="747"/>
        <v>#DIV/0!</v>
      </c>
      <c r="GT219" s="164" t="e">
        <f t="shared" ca="1" si="866"/>
        <v>#N/A</v>
      </c>
      <c r="GU219" s="162" t="e">
        <f t="shared" ca="1" si="867"/>
        <v>#N/A</v>
      </c>
      <c r="GV219" s="162" t="e">
        <f t="shared" ca="1" si="748"/>
        <v>#N/A</v>
      </c>
      <c r="GW219" s="162" t="e">
        <f t="shared" ca="1" si="749"/>
        <v>#DIV/0!</v>
      </c>
      <c r="GX219" s="162" t="e">
        <f t="shared" ca="1" si="868"/>
        <v>#DIV/0!</v>
      </c>
      <c r="GY219" s="162" t="e">
        <f t="shared" ca="1" si="869"/>
        <v>#DIV/0!</v>
      </c>
      <c r="GZ219" s="165" t="e">
        <f t="shared" ca="1" si="750"/>
        <v>#N/A</v>
      </c>
      <c r="HA219" s="162" t="e">
        <f ca="1">IF(Control!$C$114=1, $DI219*$FS219, 0)</f>
        <v>#N/A</v>
      </c>
      <c r="HB219" s="162" t="e">
        <f ca="1">$FA219/Control!$C$64</f>
        <v>#N/A</v>
      </c>
      <c r="HC219" s="162" t="e">
        <f t="shared" ca="1" si="751"/>
        <v>#DIV/0!</v>
      </c>
      <c r="HD219" s="162">
        <f ca="1">-ASIN(SIN(23.45*Control!$C$139)*COS(2*Control!$C$138*($AH219+10)/365))</f>
        <v>0.30062097512438113</v>
      </c>
      <c r="HE219" s="165">
        <f t="shared" ca="1" si="870"/>
        <v>0</v>
      </c>
      <c r="HF219" s="166">
        <f ca="1">IF(AND(Control!$C$61="T",$HE219&gt;=Control!$C$103,Control!$C$114=0),$AH219,Control!$C$59)</f>
        <v>1</v>
      </c>
      <c r="HG219" s="166">
        <f ca="1">IF(AND(Control!$C$61="T",$HE219&gt;=Control!$C$103,Control!$C$114=0),$HF219,Control!$C$59)</f>
        <v>1</v>
      </c>
      <c r="HH219" s="165">
        <f ca="1">IF(AND(OR(Control!$C$60&lt;=0, $AH219= Control!$C$59, Control!$C$60 &gt;0, $AH219 = Control!$C$60)), Control!$C$59, IF(Control!$C$60&gt;0, 0))</f>
        <v>1</v>
      </c>
      <c r="HI219" s="165">
        <f ca="1">IF(AND(OR(Control!$C$60&lt;=0, $AH219= Control!$C$59, Control!$C$60 &gt;0, $AH219 = Control!$C$60)), Control!$C$60, IF(Control!$C$60&lt;=0, 0))</f>
        <v>0</v>
      </c>
      <c r="HJ219" s="166">
        <f ca="1">IF(AND(Control!$C$62="F",$CV219&gt;=Control!$C$102),$AH219,0)</f>
        <v>0</v>
      </c>
      <c r="HK219" s="165" t="e">
        <f t="shared" ca="1" si="907"/>
        <v>#N/A</v>
      </c>
      <c r="HL219" s="166">
        <f ca="1">IF(AND(Control!$C$61="T",$HE219&gt;=Control!$C$103,Control!$C$114=0),$HF219,0)</f>
        <v>0</v>
      </c>
      <c r="HM219" s="201" t="e">
        <f t="shared" ca="1" si="752"/>
        <v>#DIV/0!</v>
      </c>
      <c r="HN219" s="215">
        <f t="shared" ca="1" si="871"/>
        <v>215</v>
      </c>
      <c r="HO219" s="216" t="e">
        <f ca="1">IF(AND($CP219&gt;=0, $CP219&lt;=90), Control!$C$152, Control!$C$152)</f>
        <v>#N/A</v>
      </c>
      <c r="HP219" s="216" t="e">
        <f t="shared" ca="1" si="753"/>
        <v>#N/A</v>
      </c>
      <c r="HQ219" s="217" t="e">
        <f ca="1">IF(OR(Control!$B$26=1,Control!$B$26=2),$KV219,$KS219)</f>
        <v>#DIV/0!</v>
      </c>
      <c r="HR219" s="218" t="e">
        <f t="shared" ca="1" si="908"/>
        <v>#DIV/0!</v>
      </c>
      <c r="HS219" s="216" t="e">
        <f ca="1">Control!$C$154*$HP219</f>
        <v>#N/A</v>
      </c>
      <c r="HT219" s="216" t="e">
        <f ca="1">Control!$C$155*$HP219</f>
        <v>#N/A</v>
      </c>
      <c r="HU219" s="217" t="e">
        <f ca="1">Control!$C$161*$FI219</f>
        <v>#N/A</v>
      </c>
      <c r="HV219" s="218" t="e">
        <f t="shared" ca="1" si="872"/>
        <v>#N/A</v>
      </c>
      <c r="HW219" s="218" t="e">
        <f ca="1">Control!$C$160*$FF219+$IP219*$EO219</f>
        <v>#N/A</v>
      </c>
      <c r="HX219" s="218" t="e">
        <f t="shared" ca="1" si="909"/>
        <v>#N/A</v>
      </c>
      <c r="HY219" s="219" t="e">
        <f ca="1">IF(Control!$C$114=1, $EB219*$FS219, 0)</f>
        <v>#N/A</v>
      </c>
      <c r="HZ219" s="91" t="e">
        <f t="shared" ca="1" si="754"/>
        <v>#N/A</v>
      </c>
      <c r="IA219" s="220" t="e">
        <f ca="1">Control!$C$153*$HO219</f>
        <v>#N/A</v>
      </c>
      <c r="IB219" s="218" t="e">
        <f t="shared" ca="1" si="755"/>
        <v>#N/A</v>
      </c>
      <c r="IC219" s="220" t="e">
        <f ca="1">Control!$C$153*$HT219</f>
        <v>#N/A</v>
      </c>
      <c r="ID219" s="218" t="e">
        <f t="shared" ca="1" si="756"/>
        <v>#N/A</v>
      </c>
      <c r="IE219" s="221" t="e">
        <f ca="1">($EB219*Control!$C$159+$EF219*Control!$C$160)/(IF($GZ219&lt;&gt;0,$GZ219,1))</f>
        <v>#N/A</v>
      </c>
      <c r="IF219" s="216" t="e">
        <f t="shared" ca="1" si="757"/>
        <v>#N/A</v>
      </c>
      <c r="IG219" s="91">
        <f ca="1">IF(OR(Control!$B$198=$AH219,Control!$B$199=$AH219, Control!$B$200=$AH219, Control!$B$201=$AH219, Control!$B$202=$AH219, Control!$B$203=$AH219, Control!$B$204=$AH219, Control!$B$205=$AH219, Control!$B$206=$AH219, Control!$B$207=$AH219), 1, 0)</f>
        <v>0</v>
      </c>
      <c r="IH219" s="91">
        <f ca="1">IF($IG219=0,0, VLOOKUP($AH219,Control!$B$198:$C$207,2))</f>
        <v>0</v>
      </c>
      <c r="II219" s="222">
        <f t="shared" ca="1" si="873"/>
        <v>0</v>
      </c>
      <c r="IJ219" s="91">
        <f>Control!$C$121</f>
        <v>0.7</v>
      </c>
      <c r="IK219" s="218">
        <f t="shared" ca="1" si="758"/>
        <v>0</v>
      </c>
      <c r="IL219" s="217" t="e">
        <f t="shared" ca="1" si="910"/>
        <v>#N/A</v>
      </c>
      <c r="IM219" s="223" t="e">
        <f ca="1">IF(AND(Control!$C$114=1,$KH219&lt;1),$EB219*Control!$C$148*(1-$KH219), 0)</f>
        <v>#N/A</v>
      </c>
      <c r="IN219" s="217" t="e">
        <f t="shared" ca="1" si="759"/>
        <v>#DIV/0!</v>
      </c>
      <c r="IO219" s="91" t="e">
        <f ca="1">MAX(0,$IL219-$EF219*Control!$C$160)</f>
        <v>#N/A</v>
      </c>
      <c r="IP219" s="220" t="e">
        <f t="shared" ca="1" si="760"/>
        <v>#N/A</v>
      </c>
      <c r="IQ219" s="217" t="e">
        <f t="shared" ca="1" si="874"/>
        <v>#N/A</v>
      </c>
      <c r="IR219" s="218" t="e">
        <f t="shared" ca="1" si="761"/>
        <v>#N/A</v>
      </c>
      <c r="IS219" s="217" t="e">
        <f ca="1">Control!$C$159*MAX(0,$FD219-$EN219)</f>
        <v>#N/A</v>
      </c>
      <c r="IT219" s="217" t="e">
        <f t="shared" ca="1" si="911"/>
        <v>#N/A</v>
      </c>
      <c r="IU219" s="217" t="e">
        <f t="shared" ca="1" si="875"/>
        <v>#N/A</v>
      </c>
      <c r="IV219" s="217" t="e">
        <f t="shared" ca="1" si="912"/>
        <v>#N/A</v>
      </c>
      <c r="IW219" s="217" t="e">
        <f ca="1">IF(OR($AW219=1,AND($AW219=0, Control!$B$18=1,$EN219&lt;&gt;0)), $IQ219-$IU219, $IQ219)</f>
        <v>#N/A</v>
      </c>
      <c r="IX219" s="218" t="e">
        <f t="shared" ca="1" si="762"/>
        <v>#N/A</v>
      </c>
      <c r="IY219" s="218" t="e">
        <f ca="1">MAX(0,$IQ219-$EB219*Control!$C$159)</f>
        <v>#N/A</v>
      </c>
      <c r="IZ219" s="218" t="e">
        <f t="shared" ca="1" si="763"/>
        <v>#N/A</v>
      </c>
      <c r="JA219" s="216" t="e">
        <f t="shared" ca="1" si="764"/>
        <v>#N/A</v>
      </c>
      <c r="JB219" s="217" t="e">
        <f t="shared" ca="1" si="765"/>
        <v>#N/A</v>
      </c>
      <c r="JC219" s="222" t="e">
        <f ca="1">MAX(Control!$C$157*$EK219-$JT219, 0)/Control!$C$162</f>
        <v>#N/A</v>
      </c>
      <c r="JD219" s="218" t="e">
        <f t="shared" ca="1" si="766"/>
        <v>#N/A</v>
      </c>
      <c r="JE219" s="218" t="e">
        <f t="shared" ca="1" si="767"/>
        <v>#N/A</v>
      </c>
      <c r="JF219" s="218" t="e">
        <f t="shared" ca="1" si="876"/>
        <v>#N/A</v>
      </c>
      <c r="JG219" s="218" t="e">
        <f t="shared" ca="1" si="768"/>
        <v>#N/A</v>
      </c>
      <c r="JH219" s="217" t="e">
        <f t="shared" ca="1" si="877"/>
        <v>#N/A</v>
      </c>
      <c r="JI219" s="217" t="e">
        <f t="shared" ca="1" si="878"/>
        <v>#N/A</v>
      </c>
      <c r="JJ219" s="217" t="e">
        <f t="shared" ca="1" si="913"/>
        <v>#N/A</v>
      </c>
      <c r="JK219" s="217" t="e">
        <f ca="1">IF(Control!$C$114=1,IF(Control!$B$24=0,MAX(0,$JI219)*$GN219/Control!$C$64,(MAX(0,MIN($JI219,$JJ219*$GN219/Control!$C$64),0))))</f>
        <v>#N/A</v>
      </c>
      <c r="JL219" s="217" t="e">
        <f ca="1">$IK219/Control!$C$64-$JK219+$HQ219</f>
        <v>#N/A</v>
      </c>
      <c r="JM219" s="217" t="e">
        <f ca="1">IF(Control!$C$114=1,($JB219/(IF($JI219&lt;&gt;0,$JI219,1)))*$JK219,0)</f>
        <v>#N/A</v>
      </c>
      <c r="JN219" s="217" t="e">
        <f ca="1">IF(Control!$C$114=1,($JG219/(IF($JI219&lt;&gt;0,$JI219,1)))*$JK219, 0)</f>
        <v>#N/A</v>
      </c>
      <c r="JO219" s="218" t="e">
        <f t="shared" ca="1" si="769"/>
        <v>#N/A</v>
      </c>
      <c r="JP219" s="218" t="e">
        <f ca="1">MIN(($IY219+$IO219)*Control!$C$151, $JF219-$EH219*Control!$C$161)</f>
        <v>#N/A</v>
      </c>
      <c r="JQ219" s="218" t="e">
        <f t="shared" ca="1" si="770"/>
        <v>#N/A</v>
      </c>
      <c r="JR219" s="217" t="e">
        <f ca="1">IF($CP219-Control!$C$150&lt;0, 0, $JQ219/Control!$C$162)</f>
        <v>#N/A</v>
      </c>
      <c r="JS219" s="218" t="e">
        <f t="shared" ca="1" si="771"/>
        <v>#N/A</v>
      </c>
      <c r="JT219" s="218" t="e">
        <f t="shared" ca="1" si="879"/>
        <v>#N/A</v>
      </c>
      <c r="JU219" s="218" t="e">
        <f t="shared" ca="1" si="772"/>
        <v>#N/A</v>
      </c>
      <c r="JV219" s="218" t="e">
        <f t="shared" ca="1" si="773"/>
        <v>#N/A</v>
      </c>
      <c r="JW219" s="216" t="e">
        <f t="shared" ca="1" si="774"/>
        <v>#N/A</v>
      </c>
      <c r="JX219" s="91" t="e">
        <f t="shared" ca="1" si="775"/>
        <v>#N/A</v>
      </c>
      <c r="JY219" s="218" t="e">
        <f t="shared" ca="1" si="776"/>
        <v>#N/A</v>
      </c>
      <c r="JZ219" s="217" t="e">
        <f ca="1">IF(Control!$C$114=1,($IZ219/(IF($JI219&lt;&gt;0,$JI219,1)))*$JK219, 0)</f>
        <v>#N/A</v>
      </c>
      <c r="KA219" s="218" t="e">
        <f t="shared" ca="1" si="914"/>
        <v>#N/A</v>
      </c>
      <c r="KB219" s="218" t="e">
        <f t="shared" ca="1" si="880"/>
        <v>#N/A</v>
      </c>
      <c r="KC219" s="218" t="e">
        <f t="shared" ca="1" si="777"/>
        <v>#N/A</v>
      </c>
      <c r="KD219" s="218" t="e">
        <f t="shared" ca="1" si="778"/>
        <v>#N/A</v>
      </c>
      <c r="KE219" s="218" t="e">
        <f t="shared" ca="1" si="779"/>
        <v>#N/A</v>
      </c>
      <c r="KF219" s="218" t="e">
        <f t="shared" ca="1" si="780"/>
        <v>#N/A</v>
      </c>
      <c r="KG219" s="216" t="e">
        <f t="shared" ca="1" si="781"/>
        <v>#N/A</v>
      </c>
      <c r="KH219" s="221" t="e">
        <f ca="1">IF(Control!$B$24=0,1,MAX(0.001,MIN(1,IF(($IF219-$IE219)&lt;&gt;0,($KG219-$IE219)/($IF219-$IE219),1))))</f>
        <v>#N/A</v>
      </c>
      <c r="KI219" s="222" t="e">
        <f ca="1">IF(Control!$C$114=1, $KI218+ $KH218, 0)</f>
        <v>#N/A</v>
      </c>
      <c r="KJ219" s="217" t="e">
        <f t="shared" ca="1" si="782"/>
        <v>#N/A</v>
      </c>
      <c r="KK219" s="218" t="e">
        <f t="shared" ca="1" si="783"/>
        <v>#N/A</v>
      </c>
      <c r="KL219" s="274" t="e">
        <f ca="1">IF(Control!$B$26=3,4000000000*EXP(-8400/($G219+273)),IF(Control!$B$26=4,4000000000*EXP(-8400/($G219+273))*($KT219),0))</f>
        <v>#DIV/0!</v>
      </c>
      <c r="KM219" s="274" t="e">
        <f ca="1">IF(Control!$B$26=3,5600000000000*EXP(-9800/($G219+273)),IF(Control!$B$26=4,5600000000000*EXP(-9800/($G219+273))*$KT219,0))</f>
        <v>#DIV/0!</v>
      </c>
      <c r="KN219" s="454" t="e">
        <f t="shared" ca="1" si="881"/>
        <v>#DIV/0!</v>
      </c>
      <c r="KO219" s="274" t="e">
        <f t="shared" ca="1" si="882"/>
        <v>#DIV/0!</v>
      </c>
      <c r="KP219" s="454" t="e">
        <f t="shared" ca="1" si="784"/>
        <v>#DIV/0!</v>
      </c>
      <c r="KQ219" s="454" t="e">
        <f t="shared" ca="1" si="785"/>
        <v>#DIV/0!</v>
      </c>
      <c r="KR219" s="454" t="e">
        <f t="shared" ca="1" si="786"/>
        <v>#DIV/0!</v>
      </c>
      <c r="KS219" s="454" t="e">
        <f t="shared" ca="1" si="787"/>
        <v>#DIV/0!</v>
      </c>
      <c r="KT219" s="455" t="e">
        <f t="shared" ca="1" si="788"/>
        <v>#DIV/0!</v>
      </c>
      <c r="KU219" s="456" t="e">
        <f ca="1">IF($CP219-Control!$C$149&lt;0, IF($NT219-0.01&lt;0,0,1),0)</f>
        <v>#N/A</v>
      </c>
      <c r="KV219" s="456" t="e">
        <f ca="1">IF(Control!$C$114=1,MAX(0,MIN(Control!$C$125*$KW219*$GN219,$KW219)))</f>
        <v>#DIV/0!</v>
      </c>
      <c r="KW219" s="456" t="e">
        <f t="shared" ca="1" si="915"/>
        <v>#DIV/0!</v>
      </c>
      <c r="KX219" s="457" t="e">
        <f ca="1">IF($CP219-Control!$C$149&lt;0, IF($MR219-$OM219&lt;0,0,1),0)</f>
        <v>#N/A</v>
      </c>
      <c r="KY219" s="167">
        <f t="shared" ca="1" si="883"/>
        <v>215</v>
      </c>
      <c r="KZ219" s="168">
        <f ca="1">1370*(1+0.033*COS(2*Control!$C$138*$AH219/365))</f>
        <v>1331.6828825403668</v>
      </c>
      <c r="LA219" s="169">
        <f t="shared" ca="1" si="884"/>
        <v>0.97203114954453662</v>
      </c>
      <c r="LB219" s="169">
        <f t="shared" ca="1" si="885"/>
        <v>0.30196246936923454</v>
      </c>
      <c r="LC219" s="169">
        <f ca="1">ACOS(-TAN((2*Control!$B$8/360))*TAN(Calculations!$LB219))</f>
        <v>1.6635042238429301</v>
      </c>
      <c r="LD219" s="169">
        <f ca="1">((24*60)/PI())*0.082*$LA219*(($LC219*SIN(Control!$B$8*2*PI()/360))*SIN($LB219)+COS(Control!$B$8*2*PI()/360)*COS($LB219)*SIN($LC219))</f>
        <v>35.625944104506715</v>
      </c>
      <c r="LE219" s="170">
        <f t="shared" ca="1" si="789"/>
        <v>36.592428812671045</v>
      </c>
      <c r="LF219" s="170">
        <f ca="1">SIN(Control!$C$139*Control!$B$8)*SIN($HD219)</f>
        <v>0.23334092238730686</v>
      </c>
      <c r="LG219" s="170">
        <f ca="1">COS(Control!$C$139*Control!$B$8)*COS($HD219)</f>
        <v>0.5880491810758004</v>
      </c>
      <c r="LH219" s="170">
        <f ca="1">12*(1+2*ASIN(MAX(-1,MIN(1,$LF219/$LG219))/Control!$C$138))</f>
        <v>15.039479182682973</v>
      </c>
      <c r="LI219" s="170">
        <f ca="1">12*(1+2*ASIN(MAX(-1,MIN(1,(-SIN(-4*Control!$C$139)+$LF219)/$LG219))/Control!$C$138))</f>
        <v>15.955460222759561</v>
      </c>
      <c r="LJ219" s="168">
        <f ca="1">3600*($LH219*$LF219+24*$LG219*SQRT(1-$LK219*$LK219)/Control!$C$138)</f>
        <v>27478.335339766469</v>
      </c>
      <c r="LK219" s="170">
        <f t="shared" ca="1" si="790"/>
        <v>0.39680511408998775</v>
      </c>
      <c r="LL219" s="170">
        <f t="shared" ca="1" si="791"/>
        <v>0</v>
      </c>
      <c r="LM219" s="171">
        <f ca="1">Control!$C$145*$AB219</f>
        <v>6.6660906138995932E-2</v>
      </c>
      <c r="LN219" s="170">
        <f t="shared" ca="1" si="886"/>
        <v>0.54</v>
      </c>
      <c r="LO219" s="170">
        <f t="shared" ca="1" si="792"/>
        <v>0</v>
      </c>
      <c r="LP219" s="170">
        <f ca="1">Control!$C$140*((($D219+273.16)^4+($E219+273.16)^4)/2)*(0.34-0.14*SQRT($Y219))*(1.35*$AQ219/(0.75*$LD219)-0.35)</f>
        <v>-3.2464704755046001</v>
      </c>
      <c r="LQ219" s="170">
        <f ca="1">Control!$C$140*($G219+273)^4*(0.56-0.079*SQRT($Y219*10))*(0.1+0.9*$LO219)</f>
        <v>1.5241745131704001</v>
      </c>
      <c r="LR219" s="170">
        <f ca="1">$AQ219*(1-Control!$C$142)-$LQ219</f>
        <v>-1.5241745131704001</v>
      </c>
      <c r="LS219" s="170">
        <f ca="1">$AQ219*(1-Control!$C$143)-$LQ219</f>
        <v>-1.5241745131704001</v>
      </c>
      <c r="LT219" s="170">
        <f ca="1">$AQ219*(1-Control!$C$144)-$LQ219</f>
        <v>-1.5241745131704001</v>
      </c>
      <c r="LU219" s="169">
        <f ca="1">(1-Control!$C$144)*AQ219-LP219</f>
        <v>3.2464704755046001</v>
      </c>
      <c r="LV219" s="172">
        <f t="shared" ca="1" si="793"/>
        <v>0.79430000000000012</v>
      </c>
      <c r="LW219" s="170">
        <f t="shared" ca="1" si="794"/>
        <v>1.5886000000000002</v>
      </c>
      <c r="LX219" s="170">
        <f ca="1">($AC219*($LR219/Control!$C$141)+$LM219*$LV219)/($AC219+$LM219)</f>
        <v>0.23530094218323697</v>
      </c>
      <c r="LY219" s="170">
        <f ca="1">($AC219*($LS219/Control!$C$141)+$LM219*$LV219)/($AC219+$LM219)</f>
        <v>0.23530094218323697</v>
      </c>
      <c r="LZ219" s="170">
        <f t="shared" ca="1" si="795"/>
        <v>0.23530094218323697</v>
      </c>
      <c r="MA219" s="170">
        <f t="shared" ca="1" si="796"/>
        <v>0.23530094218323697</v>
      </c>
      <c r="MB219" s="170" t="e">
        <f t="shared" ca="1" si="797"/>
        <v>#N/A</v>
      </c>
      <c r="MC219" s="170">
        <f t="shared" ca="1" si="887"/>
        <v>0.6018</v>
      </c>
      <c r="MD219" s="170">
        <f t="shared" ca="1" si="798"/>
        <v>0.52989392535414004</v>
      </c>
      <c r="ME219" s="170">
        <f ca="1">($AC219*($LT219/Control!$C$141)+$LM219*$LW219)/($AC219+$LM219)</f>
        <v>0.71612369323045078</v>
      </c>
      <c r="MF219" s="170" t="e">
        <f ca="1">IF(Control!$B$16&gt;=1000,0.92,IF(AND(720&lt;=Control!$B$16,1000&gt;Control!$B$16),(0.95+(Control!$B$16-720)*((0.92-0.95)/(1000-720))),IF(AND(360&lt;=Control!$B$16,720&gt;Control!$B$16),(1+(Control!$B$16-360)*((0.95-1)/(720-360))),IF(AND(40&lt;=Control!$B$16,360&gt;Control!$B$16),(1.05+(Control!$B$16-40)*((1.05-1)/(360-40)))))))</f>
        <v>#N/A</v>
      </c>
      <c r="MG219" s="170">
        <f t="shared" ca="1" si="799"/>
        <v>0.71612369323045078</v>
      </c>
      <c r="MH219" s="170" t="e">
        <f t="shared" ca="1" si="924"/>
        <v>#N/A</v>
      </c>
      <c r="MI219" s="170" t="e">
        <f t="shared" ca="1" si="924"/>
        <v>#N/A</v>
      </c>
      <c r="MJ219" s="170" t="e">
        <f ca="1">MAX(0.0001, Control!$C$132*$MI219*$DL219)</f>
        <v>#N/A</v>
      </c>
      <c r="MK219" s="170">
        <f ca="1">1/(0.76+1.5*($MG219/10))-(5-Control!$C$110)*0.1</f>
        <v>1.002845988140797</v>
      </c>
      <c r="ML219" s="173">
        <f ca="1">IF(Control!$C$110&lt;3,$MK219+($MG219-0.6)/(Control!$C$110*(Control!$C$110+3)), MAX(0.1, MIN(0.95,$MK219)))</f>
        <v>0.95</v>
      </c>
      <c r="MM219" s="173">
        <f ca="1">IF(Control!$C$110&lt;3,$MK219+(($MI219/10)-0.6)/(Control!$C$110*(Control!$C$110+3)), MAX(0.1, MIN(0.95,$MK219)))</f>
        <v>0.95</v>
      </c>
      <c r="MN219" s="173">
        <f ca="1">(1-$MM219)*(Control!$C$128-Control!$C$127)+Control!$C$127</f>
        <v>0.16</v>
      </c>
      <c r="MO219" s="170" t="e">
        <f ca="1">MAX(0,MIN(1,($MS219-Control!$C$127)/($MN219-Control!$C$127)))</f>
        <v>#DIV/0!</v>
      </c>
      <c r="MP219" s="173" t="e">
        <f ca="1">1/(0.76+1.5*$MI219)-(5-Control!$C$110)*0.1</f>
        <v>#N/A</v>
      </c>
      <c r="MQ219" s="172" t="e">
        <f t="shared" ca="1" si="916"/>
        <v>#DIV/0!</v>
      </c>
      <c r="MR219" s="168" t="e">
        <f t="shared" ca="1" si="888"/>
        <v>#DIV/0!</v>
      </c>
      <c r="MS219" s="173" t="e">
        <f ca="1">MAX(Control!$C$127, MIN(Control!$C$135, $MR219/MAX(0.0001,$CY219)))</f>
        <v>#DIV/0!</v>
      </c>
      <c r="MT219" s="168" t="e">
        <f ca="1">(Control!$C$128-$MS219)*Control!$C$74</f>
        <v>#DIV/0!</v>
      </c>
      <c r="MU219" s="168" t="e">
        <f ca="1">(Control!$C$135-$MS219)*Control!$C$74</f>
        <v>#DIV/0!</v>
      </c>
      <c r="MV219" s="168" t="e">
        <f t="shared" ca="1" si="889"/>
        <v>#DIV/0!</v>
      </c>
      <c r="MW219" s="168" t="e">
        <f t="shared" ca="1" si="890"/>
        <v>#DIV/0!</v>
      </c>
      <c r="MX219" s="171" t="e">
        <f ca="1">MAX(Control!$C$127, MIN(Control!$C$135, $MW219/MAX(0.0001,Control!$C$119-$CY219)))</f>
        <v>#DIV/0!</v>
      </c>
      <c r="MY219" s="54" t="e">
        <f ca="1">IF(Control!$C$114=1, $CX219*$MX219, 0)</f>
        <v>#DIV/0!</v>
      </c>
      <c r="MZ219" s="54" t="e">
        <f t="shared" ca="1" si="891"/>
        <v>#N/A</v>
      </c>
      <c r="NA219" s="168" t="e">
        <f ca="1">(Control!$C$128-$MX219)*(Control!$C$119-Control!$C$74)</f>
        <v>#DIV/0!</v>
      </c>
      <c r="NB219" s="168" t="e">
        <f ca="1">(Control!$C$135-$MX219)*(Control!$C$119-Control!$C$74)</f>
        <v>#DIV/0!</v>
      </c>
      <c r="NC219" s="174" t="e">
        <f t="shared" ca="1" si="892"/>
        <v>#DIV/0!</v>
      </c>
      <c r="ND219" s="54">
        <f ca="1">IF(Control!$C$58=2, IF(OR(Control!$B$218=$AH219,Control!$B$219=$AH219, Control!$B$220=$AH219, Control!$B$221=$AH219, Control!$B$222=$AH219, Control!$B$223=$AH219, Control!$B$224=$AH219, Control!$B$225=$AH219, Control!$B$226=$AH219, Control!$B$227=$AH219, Control!$B$228=$AH219), 1, 0), 0)</f>
        <v>0</v>
      </c>
      <c r="NE219" s="54">
        <f ca="1">IF($ND219=0,0, VLOOKUP($AH219,Control!$B$218:$C$228,2))</f>
        <v>0</v>
      </c>
      <c r="NF219" s="168" t="e">
        <f ca="1">$CY219*(Control!$C$128-Control!$C$127)</f>
        <v>#N/A</v>
      </c>
      <c r="NG219" s="54" t="e">
        <f ca="1">IF(Control!$C$58=2, $NI218-$NJ218, 0)</f>
        <v>#DIV/0!</v>
      </c>
      <c r="NH219" s="54" t="e">
        <f ca="1">IF(AND(Control!$C$58=1, $MS218&lt;= ($MN218+0.02), $I218&lt;10), 0, IF(Control!$C$58=2, $NG218, 0))</f>
        <v>#DIV/0!</v>
      </c>
      <c r="NI219" s="54" t="e">
        <f ca="1">IF(Control!$C$58=2, $NE219+$NH219,0)</f>
        <v>#DIV/0!</v>
      </c>
      <c r="NJ219" s="54" t="e">
        <f ca="1">IF(AND(Control!$C$58=1, $MS219&lt;= ($MN219+0.02), $I219&lt;10), MAX(0, MIN(10, 0.7*($NF219-$MV219))), IF(Control!$C$58=2, MIN(10,$NI219),0))</f>
        <v>#DIV/0!</v>
      </c>
      <c r="NK219" s="54" t="e">
        <f t="shared" ca="1" si="800"/>
        <v>#DIV/0!</v>
      </c>
      <c r="NL219" s="173" t="e">
        <f ca="1">(1-Control!$C$73)*$I219+$NJ219</f>
        <v>#DIV/0!</v>
      </c>
      <c r="NM219" s="172" t="e">
        <f ca="1">IF($NL219&lt;0.5, $MB219* MAX(0, MIN(1, (SQRT($NC219)-SQRT($NC219-1))*Control!$C$71)),0)</f>
        <v>#DIV/0!</v>
      </c>
      <c r="NN219" s="170" t="e">
        <f ca="1">IF($NL219&gt;=5, $MB219, MAX(0,MIN($MB219, $NM219+$NL219,($MS219-Control!$C$129))))</f>
        <v>#DIV/0!</v>
      </c>
      <c r="NO219" s="54">
        <f>IF(Control!$C$133&lt;&gt;1, Control!$C$135-Control!$C$131, 0)</f>
        <v>0.38</v>
      </c>
      <c r="NP219" s="54" t="e">
        <f t="shared" ca="1" si="801"/>
        <v>#DIV/0!</v>
      </c>
      <c r="NQ219" s="173" t="e">
        <f ca="1">MAX(0,MIN(1,(Control!$C$135-$MS219)/(Control!$C$135-$NO219)))</f>
        <v>#DIV/0!</v>
      </c>
      <c r="NR219" s="170" t="e">
        <f ca="1">IF(Control!$C$133&lt;&gt;1, $NQ219+((1-$NP219/4)*(1-$NQ219)),1)</f>
        <v>#DIV/0!</v>
      </c>
      <c r="NS219" s="170" t="e">
        <f ca="1">IF(Control!$B$31=0,$MJ219,MAX(0,MIN($MV219,$MO219*$NR219*$MJ219)))</f>
        <v>#DIV/0!</v>
      </c>
      <c r="NT219" s="170" t="e">
        <f t="shared" ca="1" si="917"/>
        <v>#DIV/0!</v>
      </c>
      <c r="NU219" s="170" t="e">
        <f t="shared" ca="1" si="893"/>
        <v>#N/A</v>
      </c>
      <c r="NV219" s="170" t="e">
        <f t="shared" ca="1" si="802"/>
        <v>#N/A</v>
      </c>
      <c r="NW219" s="175" t="e">
        <f t="shared" ca="1" si="803"/>
        <v>#DIV/0!</v>
      </c>
      <c r="NX219" s="170" t="e">
        <f ca="1">MIN(Control!$C$72+$MU219, $NW219)</f>
        <v>#DIV/0!</v>
      </c>
      <c r="NY219" s="170" t="e">
        <f ca="1">IF($MT219&lt;=$NX219,MIN(Control!$C$72+$NB219,$NX219-$MT219),0)</f>
        <v>#DIV/0!</v>
      </c>
      <c r="NZ219" s="54" t="e">
        <f ca="1">IF(Control!$C$114=1,  $CX219*($MX219-Control!$C$127), 0)</f>
        <v>#DIV/0!</v>
      </c>
      <c r="OA219" s="170" t="e">
        <f t="shared" ca="1" si="804"/>
        <v>#DIV/0!</v>
      </c>
      <c r="OB219" s="170" t="e">
        <f ca="1">IF($NA219 &lt;=$NY219, MIN(Control!$C$72, $NY219-$NA219), 0)</f>
        <v>#DIV/0!</v>
      </c>
      <c r="OC219" s="168" t="e">
        <f t="shared" ca="1" si="805"/>
        <v>#DIV/0!</v>
      </c>
      <c r="OD219" s="168" t="e">
        <f t="shared" ca="1" si="894"/>
        <v>#DIV/0!</v>
      </c>
      <c r="OE219" s="170">
        <f ca="1">Control!$C$73*$I219</f>
        <v>0</v>
      </c>
      <c r="OF219" s="176" t="e">
        <f t="shared" ca="1" si="806"/>
        <v>#DIV/0!</v>
      </c>
      <c r="OG219" s="168" t="e">
        <f t="shared" ca="1" si="807"/>
        <v>#DIV/0!</v>
      </c>
      <c r="OH219" s="168" t="e">
        <f t="shared" ca="1" si="808"/>
        <v>#DIV/0!</v>
      </c>
      <c r="OI219" s="168" t="e">
        <f t="shared" ca="1" si="809"/>
        <v>#DIV/0!</v>
      </c>
      <c r="OJ219" s="168" t="e">
        <f t="shared" ca="1" si="810"/>
        <v>#DIV/0!</v>
      </c>
      <c r="OK219" s="204" t="e">
        <f t="shared" ca="1" si="811"/>
        <v>#DIV/0!</v>
      </c>
      <c r="OL219" s="177">
        <f>Control!$C$127</f>
        <v>0.15</v>
      </c>
      <c r="OM219" s="182" t="e">
        <f t="shared" ca="1" si="812"/>
        <v>#N/A</v>
      </c>
      <c r="ON219" s="177">
        <f>Control!$C$128</f>
        <v>0.35</v>
      </c>
      <c r="OO219" s="182" t="e">
        <f t="shared" ca="1" si="813"/>
        <v>#N/A</v>
      </c>
      <c r="OP219" s="138">
        <f t="shared" ca="1" si="895"/>
        <v>0</v>
      </c>
      <c r="OQ219" s="138" t="e">
        <f t="shared" ca="1" si="918"/>
        <v>#DIV/0!</v>
      </c>
      <c r="OR219" s="138" t="e">
        <f t="shared" ca="1" si="896"/>
        <v>#DIV/0!</v>
      </c>
      <c r="OS219" s="137" t="e">
        <f t="shared" ca="1" si="919"/>
        <v>#DIV/0!</v>
      </c>
      <c r="OT219" s="139" t="e">
        <f t="shared" ca="1" si="920"/>
        <v>#DIV/0!</v>
      </c>
      <c r="OU219" s="138" t="e">
        <f t="shared" ca="1" si="921"/>
        <v>#N/A</v>
      </c>
      <c r="OV219" s="138" t="e">
        <f t="shared" ca="1" si="922"/>
        <v>#DIV/0!</v>
      </c>
      <c r="OW219" s="138" t="e">
        <f t="shared" ca="1" si="897"/>
        <v>#DIV/0!</v>
      </c>
      <c r="OX219" s="138" t="e">
        <f t="shared" ca="1" si="898"/>
        <v>#DIV/0!</v>
      </c>
      <c r="OY219" s="138" t="e">
        <f t="shared" ca="1" si="899"/>
        <v>#DIV/0!</v>
      </c>
      <c r="OZ219" s="138" t="e">
        <f t="shared" ca="1" si="814"/>
        <v>#DIV/0!</v>
      </c>
      <c r="PA219" s="138" t="e">
        <f t="shared" ca="1" si="815"/>
        <v>#DIV/0!</v>
      </c>
      <c r="PB219" s="55">
        <f>IF(Control!$C$61="T", IF(Control!$C$65="F", IF($AH$6-Control!$C$60&lt;0,0,1), IF(365+$AH$6-Control!$C$60&lt;0,0,1)),0)</f>
        <v>0</v>
      </c>
      <c r="PC219" s="55">
        <f ca="1">IF(Control!$C$65="F", IF($AH$6-$HF219&lt;0,0,1), IF(365+$AH$6-$HF219&lt;0,0,1))</f>
        <v>1</v>
      </c>
      <c r="PD219" s="444">
        <f>Control!$C$118</f>
        <v>1500</v>
      </c>
      <c r="PE219" s="180" t="e">
        <f t="shared" ca="1" si="816"/>
        <v>#N/A</v>
      </c>
      <c r="PF219" s="445">
        <f t="shared" ca="1" si="900"/>
        <v>0.71612369323045078</v>
      </c>
      <c r="PT219" s="186"/>
      <c r="PU219" s="186"/>
      <c r="PV219" s="94"/>
      <c r="PW219" s="94"/>
      <c r="PX219" s="94"/>
      <c r="PY219" s="94"/>
      <c r="PZ219" s="94"/>
      <c r="QA219" s="94"/>
      <c r="QB219" s="94"/>
      <c r="QC219" s="94"/>
      <c r="QD219" s="94"/>
      <c r="QE219" s="94"/>
      <c r="QF219" s="94"/>
      <c r="QG219" s="94"/>
      <c r="QH219" s="94"/>
      <c r="QI219" s="94"/>
      <c r="QJ219" s="94"/>
      <c r="QK219" s="94"/>
      <c r="QL219" s="94"/>
      <c r="QM219" s="94"/>
      <c r="QN219" s="94"/>
      <c r="QO219" s="94"/>
      <c r="QP219" s="94"/>
    </row>
    <row r="220" spans="1:458" s="2" customFormat="1" x14ac:dyDescent="0.2">
      <c r="A220" s="395">
        <v>3</v>
      </c>
      <c r="B220" s="396">
        <v>8</v>
      </c>
      <c r="C220" s="387">
        <f ca="1">Weather_data!$B219</f>
        <v>0</v>
      </c>
      <c r="D220" s="388">
        <f ca="1">Weather_data!$F219</f>
        <v>0</v>
      </c>
      <c r="E220" s="388">
        <f ca="1">Weather_data!$E219</f>
        <v>0</v>
      </c>
      <c r="F220" s="388">
        <f t="shared" ca="1" si="817"/>
        <v>0</v>
      </c>
      <c r="G220" s="388">
        <f ca="1">AVERAGE($D220:$E220)+Control!$B$9</f>
        <v>0</v>
      </c>
      <c r="H220" s="388">
        <f ca="1">Weather_data!$G219</f>
        <v>0</v>
      </c>
      <c r="I220" s="388">
        <f ca="1">Weather_data!$I219</f>
        <v>0</v>
      </c>
      <c r="J220" s="388">
        <f ca="1">Weather_data!$H219</f>
        <v>0</v>
      </c>
      <c r="K220" s="389">
        <f ca="1">Weather_data!$D219</f>
        <v>0</v>
      </c>
      <c r="L220" s="388" t="e">
        <f t="shared" ca="1" si="818"/>
        <v>#N/A</v>
      </c>
      <c r="M220" s="388" t="e">
        <f t="shared" ca="1" si="696"/>
        <v>#N/A</v>
      </c>
      <c r="N220" s="388">
        <f t="shared" ca="1" si="697"/>
        <v>-8.0698790261019624E-11</v>
      </c>
      <c r="O220" s="388">
        <f t="shared" ca="1" si="819"/>
        <v>8.0698790261019621E-10</v>
      </c>
      <c r="P220" s="390">
        <v>3</v>
      </c>
      <c r="Q220" s="388">
        <f ca="1">MAX($G220-Control!$C$107,0)</f>
        <v>0</v>
      </c>
      <c r="R220" s="388">
        <f t="shared" ca="1" si="820"/>
        <v>0</v>
      </c>
      <c r="S220" s="388">
        <f t="shared" ca="1" si="698"/>
        <v>0</v>
      </c>
      <c r="T220" s="388">
        <f t="shared" ca="1" si="699"/>
        <v>0</v>
      </c>
      <c r="U220" s="59">
        <f t="shared" ca="1" si="700"/>
        <v>0</v>
      </c>
      <c r="V220" s="391">
        <f ca="1">MAX(0,MIN(Control!$C$100-Control!$C$99,$G220-Control!$C$99)*Control!$C$63)</f>
        <v>0</v>
      </c>
      <c r="W220" s="388">
        <f t="shared" ca="1" si="821"/>
        <v>0</v>
      </c>
      <c r="X220" s="388">
        <f t="shared" ca="1" si="822"/>
        <v>0.6110000000000001</v>
      </c>
      <c r="Y220" s="388">
        <f t="shared" ca="1" si="701"/>
        <v>0</v>
      </c>
      <c r="Z220" s="388">
        <f t="shared" ca="1" si="823"/>
        <v>0.61058800000000002</v>
      </c>
      <c r="AA220" s="388">
        <f t="shared" ca="1" si="702"/>
        <v>0.6018</v>
      </c>
      <c r="AB220" s="388">
        <f ca="1">101.3*EXP(-0.034*Control!$C$66/($G220+273))</f>
        <v>100.69623283836242</v>
      </c>
      <c r="AC220" s="392">
        <f t="shared" ca="1" si="703"/>
        <v>4.3460251046025113E-2</v>
      </c>
      <c r="AD220" s="392">
        <f t="shared" ca="1" si="704"/>
        <v>4.4450382862832649E-2</v>
      </c>
      <c r="AE220" s="388">
        <f t="shared" ca="1" si="705"/>
        <v>0</v>
      </c>
      <c r="AF220" s="388">
        <f ca="1">MAX(0,$G220-Control!$C$92)</f>
        <v>0</v>
      </c>
      <c r="AG220" s="393">
        <f t="shared" ca="1" si="706"/>
        <v>216</v>
      </c>
      <c r="AH220" s="389">
        <f t="shared" ca="1" si="707"/>
        <v>216</v>
      </c>
      <c r="AI220" s="388">
        <f t="shared" ca="1" si="824"/>
        <v>0.2957874479063502</v>
      </c>
      <c r="AJ220" s="388">
        <f ca="1">IF(Control!$C$60&lt;=0,$HH220,$HI220)</f>
        <v>1</v>
      </c>
      <c r="AK220" s="388">
        <f t="shared" ca="1" si="708"/>
        <v>2.3411320596614349</v>
      </c>
      <c r="AL220" s="388">
        <f t="shared" ca="1" si="709"/>
        <v>-8.2954060287576669E-18</v>
      </c>
      <c r="AM220" s="388">
        <f t="shared" ca="1" si="710"/>
        <v>2.3411320596614349</v>
      </c>
      <c r="AN220" s="388">
        <f t="shared" ca="1" si="711"/>
        <v>0.28951962555577571</v>
      </c>
      <c r="AO220" s="388">
        <f ca="1">-0.10453/COS(Control!$B$8*PI()/180)*COS(AN220)</f>
        <v>-0.16271860988286685</v>
      </c>
      <c r="AP220" s="388">
        <f ca="1">ACOS(AO220-TAN(Control!$B$8*PI()/180)*TAN(AN220))</f>
        <v>2.1459932672411304</v>
      </c>
      <c r="AQ220" s="388">
        <f t="shared" ca="1" si="825"/>
        <v>0</v>
      </c>
      <c r="AR220" s="394">
        <f t="shared" ca="1" si="712"/>
        <v>0</v>
      </c>
      <c r="AS220" s="436">
        <f ca="1">IF(Control!$B$18=2,(IF(OR($AH220=Control!$B$175,$AH220=Control!$B$176,$AH220=Control!$B$177,$AH220=Control!$B$178,$AH220=Control!$B$179,$AH220=Control!$B$180,$AH220=Control!$B$181,$AH220=Control!$B$182,$AH220=Control!$B$183,$AH220=Control!$B$184,$AH220=Control!$B$185),1,0)),0)</f>
        <v>0</v>
      </c>
      <c r="AT220" s="436">
        <f>IF(Control!$B$20=8,IF(AND($AH220&gt;=Control!$B$172,$AH220&lt;=Control!$B$173),1,0),0)</f>
        <v>0</v>
      </c>
      <c r="AU220" s="436">
        <f>IF(Control!$B$20=8,IF($AV219=1,1*$AT220,IF($AT220=1,$AU219+1,$AU219)),0)</f>
        <v>0</v>
      </c>
      <c r="AV220" s="436">
        <f>IF(Control!$B$20=8,IF($AU220&gt;=Control!$B$174,1,0),0)</f>
        <v>0</v>
      </c>
      <c r="AW220" s="436">
        <f ca="1">IF(AND(Control!$B$18=2,Control!$B$171=1), $AV220, $AS220)</f>
        <v>0</v>
      </c>
      <c r="AX220" s="436" t="e">
        <f ca="1">IF(AND(Control!$B$18=1,$EU220&gt;=Control!$B$19),-$AY220,IF(AND(Control!$B$18=2,$AW220=1,$EU220&gt;$DS220),-$AY220, IF(Control!$C$108=0,0, IF(Control!$C$108&lt;&gt;0,1))))</f>
        <v>#N/A</v>
      </c>
      <c r="AY220" s="436" t="e">
        <f t="shared" ca="1" si="826"/>
        <v>#N/A</v>
      </c>
      <c r="AZ220" s="436" t="e">
        <f ca="1">IF(AND(Control!$B$18=1,$EB220&gt;Control!$B$19),$AZ219+1, IF(AND(Control!$B$18=2, $AW220=1, $EB220&gt;$DS220), $AZ219+1,$AZ219))</f>
        <v>#N/A</v>
      </c>
      <c r="BA220" s="587">
        <f>IF(Control!$C$81=0,1,IF($AH220&gt;=Control!$C$82,1,0))</f>
        <v>1</v>
      </c>
      <c r="BB220" s="140" t="e">
        <f ca="1">IF($BA220&gt;$BA219,Control!$C$83,IF($AW220&gt;0,$AW220*Control!$C$84,IF(AND(Control!$B$18=1,EN219&lt;&gt;0),Control!$C$84,0)))</f>
        <v>#N/A</v>
      </c>
      <c r="BC220" s="140" t="e">
        <f t="shared" ca="1" si="827"/>
        <v>#N/A</v>
      </c>
      <c r="BD220" s="140" t="e">
        <f ca="1">BC220*IF(OR($G220&lt;Control!$C$92,$G220&gt;Control!$C$95),0,IF(AND($G220&gt;=Control!$C$92,$G220&lt;=Control!$C$93),$G220-Control!$C$92,IF(AND($G220&gt;Control!$C$93,$G220&lt;=Control!$C$94),Control!$C$93-Control!$C$92,IF(AND($G220&gt;Control!$C$94,$G220&lt;=Control!$C$95),(Control!$C$93-Control!$C$92)*(Control!$C$94-$G220)/(Control!$C$95-Control!$C$94)))))</f>
        <v>#N/A</v>
      </c>
      <c r="BE220" s="140" t="e">
        <f t="shared" ca="1" si="828"/>
        <v>#N/A</v>
      </c>
      <c r="BF220" s="140" t="e">
        <f ca="1">IF($BE220&lt;=Control!$C$86,$BE220,Control!$C$86-$BE220)</f>
        <v>#N/A</v>
      </c>
      <c r="BG220" s="140" t="e">
        <f ca="1">IF(AND($AW220=1,Control!$C$84&lt;9),1,IF($BE220&gt;=Control!$C$86,0,$BC220))</f>
        <v>#N/A</v>
      </c>
      <c r="BH220" s="404" t="e">
        <f ca="1">IF($BG220=0,0,IF($BE220&lt;=Control!$C$86,$BC220*9*($BF220/Control!$C$86),0))</f>
        <v>#N/A</v>
      </c>
      <c r="BI220" s="140" t="e">
        <f ca="1">IF($BG220=1,0,IF($BE220&gt;=Control!$C$86,1,IF(AND($BB220&lt;21,$BB220&gt;=9),1,$BM219)))</f>
        <v>#N/A</v>
      </c>
      <c r="BJ220" s="140" t="e">
        <f ca="1">IF($BF220&lt;0,-$BF220,$BI220*IF(OR($G220&lt;Control!$C$92,$G220&gt;Control!$C$95),0,IF(AND($G220&gt;=Control!$C$92,$G220&lt;=Control!$C$93),$G220-Control!$C$92,IF(AND($G220&gt;Control!$C$93,$G220&lt;=Control!$C$94),Control!$C$93-Control!$C$92,IF(AND($G220&gt;Control!$C$94,$G220&lt;=Control!$C$95),(Control!$C$93-Control!$C$92)*(Control!$C$94-$G220)/(Control!$C$95-Control!$C$94))))))</f>
        <v>#N/A</v>
      </c>
      <c r="BK220" s="140" t="e">
        <f t="shared" ca="1" si="829"/>
        <v>#N/A</v>
      </c>
      <c r="BL220" s="140" t="e">
        <f ca="1">IF($BK220&lt;=Control!$C$87,$BK220,Control!$C$87-$BK220)</f>
        <v>#N/A</v>
      </c>
      <c r="BM220" s="140" t="e">
        <f ca="1">IF(AND($BB220&gt;=9,$BB220&lt;21),1,IF($BK220&gt;=Control!$C$87,0,$BI220))</f>
        <v>#N/A</v>
      </c>
      <c r="BN220" s="404" t="e">
        <f ca="1">IF($BM220=0,0,IF($BK220&lt;=Control!$C$87,$BI220*(9+(21-9)*($BL220/Control!$C$87)),0))</f>
        <v>#N/A</v>
      </c>
      <c r="BO220" s="140" t="e">
        <f ca="1">IF($BM220=1,0,IF($BK220&gt;=Control!$C$87,1,IF(AND($BB220&lt;30,$BB220&gt;=21),1,$BS219)))</f>
        <v>#N/A</v>
      </c>
      <c r="BP220" s="140" t="e">
        <f ca="1">IF($BL220&lt;0,-$BL220,$BO220*IF(OR($G220&lt;Control!$C$92,$G220&gt;Control!$C$95),0,IF(AND($G220&gt;=Control!$C$92,$G220&lt;=Control!$C$93),$G220-Control!$C$92,IF(AND($G220&gt;Control!$C$93,$G220&lt;=Control!$C$94),Control!$C$93-Control!$C$92,IF(AND($G220&gt;Control!$C$94,$G220&lt;=Control!$C$95),(Control!$C$93-Control!$C$92)*(Control!$C$94-$G220)/(Control!$C$95-Control!$C$94))))))</f>
        <v>#N/A</v>
      </c>
      <c r="BQ220" s="140" t="e">
        <f t="shared" ca="1" si="713"/>
        <v>#N/A</v>
      </c>
      <c r="BR220" s="140" t="e">
        <f ca="1">IF($BQ220&lt;=Control!$C$88,$BQ220,Control!$C$88-$BQ220)</f>
        <v>#N/A</v>
      </c>
      <c r="BS220" s="140" t="e">
        <f ca="1">IF(AND($BB220&gt;=21,$BB220&lt;30),1,IF($BQ220&gt;=Control!$C$88,0,$BO220))</f>
        <v>#N/A</v>
      </c>
      <c r="BT220" s="404" t="e">
        <f ca="1">IF($BS220=0,0,IF($BQ220&lt;=Control!$C$88,$BO220*(21+(30-21)*(BR220/Control!$C$88)),0))</f>
        <v>#N/A</v>
      </c>
      <c r="BU220" s="140" t="e">
        <f ca="1">IF(BG220+BM220+BS220=1,0,IF(OR(AND($BB220&lt;60,$BB220&gt;=30),$BQ220&gt;=Control!$C$88),1*$BA220,$BY219))</f>
        <v>#N/A</v>
      </c>
      <c r="BV220" s="140" t="e">
        <f ca="1">IF($BR220&lt;0,-$BR220,$BU220*IF(OR($G220&lt;Control!$C$92,$G220&gt;Control!$C$95),0,IF(AND($G220&gt;=Control!$C$92,$G220&lt;=Control!$C$93),$G220-Control!$C$92,IF(AND($G220&gt;Control!$C$93,$G220&lt;=Control!$C$94),Control!$C$93-Control!$C$92,IF(AND($G220&gt;Control!$C$94,$G220&lt;=Control!$C$95),(Control!$C$93-Control!$C$92)*(Control!$C$94-$G220)/(Control!$C$95-Control!$C$94))))))</f>
        <v>#N/A</v>
      </c>
      <c r="BW220" s="140" t="e">
        <f t="shared" ca="1" si="714"/>
        <v>#N/A</v>
      </c>
      <c r="BX220" s="140" t="e">
        <f ca="1">IF($BW220&lt;=Control!$C$89,$BW220,Control!$C$89-$BW220)</f>
        <v>#N/A</v>
      </c>
      <c r="BY220" s="140" t="e">
        <f ca="1">IF(AND($AJ220&gt;=30,$AJ220&lt;60),1,IF($BW220&gt;=Control!$C$89,0,$BU220))</f>
        <v>#N/A</v>
      </c>
      <c r="BZ220" s="404" t="e">
        <f ca="1">IF($BY220=0,0,IF($BW220&lt;=Control!$C$89,$BU220*(30+(60-30)*(BX220/Control!$C$89)),0))</f>
        <v>#N/A</v>
      </c>
      <c r="CA220" s="140" t="e">
        <f ca="1">IF($BG220+$BM220+$BS220+$BY220=1,0,IF(OR(AND($BB220&lt;65,$BB220&gt;=60),$BW220&gt;=Control!$C$89),1*$BA220,$CE219))</f>
        <v>#N/A</v>
      </c>
      <c r="CB220" s="140" t="e">
        <f ca="1">IF($BX220&lt;0,-$BX220,$CA220*IF(OR($G220&lt;Control!$C$92,$G220&gt;Control!$C$95),0,IF(AND($G220&gt;=Control!$C$92,$G220&lt;=Control!$C$93),$G220-Control!$C$92,IF(AND($G220&gt;Control!$C$93,$G220&lt;=Control!$C$94),Control!$C$93-Control!$C$92,IF(AND($G220&gt;Control!$C$94,$G220&lt;=Control!$C$95),(Control!$C$93-Control!$C$92)*(Control!$C$94-$G220)/(Control!$C$95-Control!$C$94))))))</f>
        <v>#N/A</v>
      </c>
      <c r="CC220" s="140" t="e">
        <f t="shared" ca="1" si="830"/>
        <v>#N/A</v>
      </c>
      <c r="CD220" s="140" t="e">
        <f ca="1">IF($CC220&lt;=Control!$C$90,$CC220,Control!$C$90-$CC220)</f>
        <v>#N/A</v>
      </c>
      <c r="CE220" s="140" t="e">
        <f ca="1">IF(AND($BB220&gt;=60,$BB220&lt;65),1,IF($CC220&gt;=Control!$C$90,0,$CA220))</f>
        <v>#N/A</v>
      </c>
      <c r="CF220" s="404" t="e">
        <f ca="1">IF($CE220=0,0,IF($CC220&lt;=Control!$C$90,$CA220*(60+(65-60)*(CD220/Control!$C$90)),0))</f>
        <v>#N/A</v>
      </c>
      <c r="CG220" s="140" t="e">
        <f ca="1">IF($BG220+$BM220+$BS220+$BY220+$CE220=1,0,IF(OR(AND($BB220&lt;90,$BB220&gt;=65),$CC220&gt;=Control!$C$90),$BA220,$CK219))</f>
        <v>#N/A</v>
      </c>
      <c r="CH220" s="140" t="e">
        <f ca="1">IF($CD220&lt;0,-$CD220,$CG220*IF(OR($G220&lt;Control!$C$92,$G220&gt;Control!$C$95),0,IF(AND($G220&gt;=Control!$C$92,$G220&lt;=Control!$C$93),$G220-Control!$C$92,IF(AND($G220&gt;Control!$C$93,$G220&lt;=Control!$C$94),Control!$C$93-Control!$C$92,IF(AND($G220&gt;Control!$C$94,$G220&lt;=Control!$C$95),(Control!$C$93-Control!$C$92)*(Control!$C$94-$G220)/(Control!$C$95-Control!$C$94))))))</f>
        <v>#N/A</v>
      </c>
      <c r="CI220" s="140" t="e">
        <f t="shared" ca="1" si="831"/>
        <v>#N/A</v>
      </c>
      <c r="CJ220" s="140" t="e">
        <f ca="1">IF($CI220&lt;=Control!$C$91,$CI220,Control!$C$91-$CI220)</f>
        <v>#N/A</v>
      </c>
      <c r="CK220" s="140" t="e">
        <f ca="1">IF(AND($BB220&gt;=65,$BB220&lt;90),1,IF($CI220&gt;=Control!$C$91,0,$CG220))</f>
        <v>#N/A</v>
      </c>
      <c r="CL220" s="404" t="e">
        <f ca="1">IF($CK220=0,0,IF($CI220&lt;=Control!$C$91,$CG220*(65+(90-65)*($CJ220/Control!$C$91)),0))</f>
        <v>#N/A</v>
      </c>
      <c r="CM220" s="140" t="e">
        <f ca="1">IF($BG220+$BM220+$BS220+$BY220+$CE220+$CK220=1,0,IF(OR($BB220&gt;=90,$CI220&gt;=Control!$C$91),$BA220,$CM219))</f>
        <v>#N/A</v>
      </c>
      <c r="CN220" s="140" t="e">
        <f t="shared" ca="1" si="832"/>
        <v>#N/A</v>
      </c>
      <c r="CO220" s="140" t="e">
        <f t="shared" ca="1" si="833"/>
        <v>#N/A</v>
      </c>
      <c r="CP220" s="140" t="e">
        <f t="shared" ca="1" si="834"/>
        <v>#N/A</v>
      </c>
      <c r="CQ220" s="141" t="e">
        <f ca="1">VLOOKUP($CP220,Control!$B$86:$G$91,6)</f>
        <v>#N/A</v>
      </c>
      <c r="CR220" s="141" t="e">
        <f ca="1">(1-$CQ220)*VLOOKUP($CP220,Control!$B$86:$D$91,3)</f>
        <v>#N/A</v>
      </c>
      <c r="CS220" s="141" t="e">
        <f ca="1">(1-$CQ220)*VLOOKUP($CP220,Control!$B$86:$E$91,4)</f>
        <v>#N/A</v>
      </c>
      <c r="CT220" s="141" t="e">
        <f ca="1">(1-$CQ220)*VLOOKUP($CP220,Control!$B$86:$F$91,5)</f>
        <v>#N/A</v>
      </c>
      <c r="CU220" s="141">
        <f t="shared" ca="1" si="835"/>
        <v>0</v>
      </c>
      <c r="CV220" s="583">
        <f t="shared" ca="1" si="836"/>
        <v>0</v>
      </c>
      <c r="CW220" s="142">
        <f t="shared" ca="1" si="837"/>
        <v>216</v>
      </c>
      <c r="CX220" s="612" t="e">
        <f ca="1">IF(Control!$C$114=1,(MIN(Control!$C$120*(IF($NT220-0.01&lt;0,0,1)),Control!$C$119-$CY220)))</f>
        <v>#DIV/0!</v>
      </c>
      <c r="CY220" s="143" t="e">
        <f t="shared" ca="1" si="838"/>
        <v>#N/A</v>
      </c>
      <c r="CZ220" s="144">
        <f t="shared" ca="1" si="715"/>
        <v>0</v>
      </c>
      <c r="DA220" s="144">
        <f t="shared" ca="1" si="716"/>
        <v>0</v>
      </c>
      <c r="DB220" s="144" t="e">
        <f t="shared" ca="1" si="717"/>
        <v>#N/A</v>
      </c>
      <c r="DC220" s="144" t="e">
        <f t="shared" ca="1" si="718"/>
        <v>#N/A</v>
      </c>
      <c r="DD220" s="144" t="e">
        <f t="shared" ca="1" si="923"/>
        <v>#N/A</v>
      </c>
      <c r="DE220" s="143" t="e">
        <f t="shared" ca="1" si="839"/>
        <v>#N/A</v>
      </c>
      <c r="DF220" s="145" t="e">
        <f ca="1">$DR220*EXP(-Control!$C$158*(1-$KH220))</f>
        <v>#N/A</v>
      </c>
      <c r="DG220" s="146" t="e">
        <f ca="1">IF(Control!$C$114=1, $DF220*$EY220, 0)</f>
        <v>#N/A</v>
      </c>
      <c r="DH220" s="147" t="e">
        <f t="shared" ca="1" si="840"/>
        <v>#N/A</v>
      </c>
      <c r="DI220" s="144" t="e">
        <f t="shared" ca="1" si="901"/>
        <v>#N/A</v>
      </c>
      <c r="DJ220" s="147" t="e">
        <f ca="1">$EF220*Control!$C$109</f>
        <v>#N/A</v>
      </c>
      <c r="DK220" s="144" t="e">
        <f t="shared" ca="1" si="841"/>
        <v>#N/A</v>
      </c>
      <c r="DL220" s="144" t="e">
        <f t="shared" ca="1" si="719"/>
        <v>#N/A</v>
      </c>
      <c r="DM220" s="144" t="e">
        <f ca="1">IF(Control!$C$114=1, (1-EXP(-Control!$C$96*$DK220))*$AR220, 0)</f>
        <v>#N/A</v>
      </c>
      <c r="DN220" s="144">
        <f t="shared" ca="1" si="842"/>
        <v>0</v>
      </c>
      <c r="DO220" s="148">
        <f>Control!$C$97</f>
        <v>4</v>
      </c>
      <c r="DP220" s="145" t="e">
        <f t="shared" ca="1" si="843"/>
        <v>#N/A</v>
      </c>
      <c r="DQ220" s="145" t="e">
        <f ca="1">IF(AND($CP220&gt;=0,$CP220&lt;=90),Control!$C$111,Control!$C$111)</f>
        <v>#N/A</v>
      </c>
      <c r="DR220" s="145" t="e">
        <f t="shared" ca="1" si="720"/>
        <v>#N/A</v>
      </c>
      <c r="DS220" s="143" t="e">
        <f ca="1">Control!$B$22/$DR220</f>
        <v>#N/A</v>
      </c>
      <c r="DT220" s="149" t="e">
        <f ca="1">IF(AND(Control!$C$114=1,$KH220&lt;1),$IM220*$DF220, 0)</f>
        <v>#N/A</v>
      </c>
      <c r="DU220" s="144" t="e">
        <f t="shared" ca="1" si="844"/>
        <v>#N/A</v>
      </c>
      <c r="DV220" s="144">
        <f ca="1">IF($G220-Control!$C$107&lt;=0, 0, 0.83*LN(MAX($G220, 3))-0.8924)</f>
        <v>0</v>
      </c>
      <c r="DW220" s="144" t="e">
        <f t="shared" ca="1" si="721"/>
        <v>#N/A</v>
      </c>
      <c r="DX220" s="150" t="e">
        <f ca="1">MAX(0.01*(1+$CU220/Control!$C$102),0.05*($DK220-Control!$C$97)/Control!$C$97)</f>
        <v>#N/A</v>
      </c>
      <c r="DY220" s="151" t="e">
        <f ca="1">IF(Control!$C$114=1, $DI220*$FS220, 0)</f>
        <v>#N/A</v>
      </c>
      <c r="DZ220" s="196" t="e">
        <f t="shared" ca="1" si="845"/>
        <v>#N/A</v>
      </c>
      <c r="EA220" s="152">
        <f t="shared" ca="1" si="846"/>
        <v>216</v>
      </c>
      <c r="EB220" s="153" t="e">
        <f t="shared" ca="1" si="847"/>
        <v>#N/A</v>
      </c>
      <c r="EC220" s="153" t="e">
        <f t="shared" ca="1" si="848"/>
        <v>#N/A</v>
      </c>
      <c r="ED220" s="154" t="e">
        <f ca="1">IF(Control!$C$114=1, $HM220*$FY220-$FD220, 0)</f>
        <v>#DIV/0!</v>
      </c>
      <c r="EE220" s="155" t="e">
        <f ca="1">IF(Control!$C$114=1, $HM220*$FZ220-$FF220, 0)</f>
        <v>#DIV/0!</v>
      </c>
      <c r="EF220" s="153" t="e">
        <f t="shared" ca="1" si="902"/>
        <v>#N/A</v>
      </c>
      <c r="EG220" s="155" t="e">
        <f ca="1">IF(Control!$C$114=1, $GX220*$FW220-$FI220, 0)</f>
        <v>#DIV/0!</v>
      </c>
      <c r="EH220" s="153" t="e">
        <f t="shared" ca="1" si="849"/>
        <v>#N/A</v>
      </c>
      <c r="EI220" s="156" t="e">
        <f t="shared" ca="1" si="850"/>
        <v>#N/A</v>
      </c>
      <c r="EJ220" s="155" t="e">
        <f ca="1">IF(Control!$C$114=1, $HM220*$GB220, 0)</f>
        <v>#DIV/0!</v>
      </c>
      <c r="EK220" s="153" t="e">
        <f t="shared" ca="1" si="903"/>
        <v>#N/A</v>
      </c>
      <c r="EL220" s="153" t="e">
        <f t="shared" ca="1" si="722"/>
        <v>#N/A</v>
      </c>
      <c r="EM220" s="153" t="e">
        <f t="shared" ca="1" si="723"/>
        <v>#N/A</v>
      </c>
      <c r="EN220" s="153" t="e">
        <f ca="1">IF(Control!$C$108=1,IF(AND(Control!$B$18=1,$EB220&gt;=Control!$B$19),$EB220-$DS220,IF(AND(Control!$B$18=2,$AW220=1,$EB220&gt;$DS220),$EB220-$DS220,0)))</f>
        <v>#N/A</v>
      </c>
      <c r="EO220" s="153" t="e">
        <f ca="1">IF(Control!$C$108=1,IF(AND(Control!$B$18=1,$EB220&gt;=Control!$B$19),$EF220,IF(AND(Control!$B$18=2,$AW220=1),$EF220,0)))</f>
        <v>#N/A</v>
      </c>
      <c r="EP220" s="153" t="e">
        <f ca="1">IF(Control!$C$108=1,IF(AND(Control!$B$18=1,$EB220&gt;=Control!$B$19),$EK220,IF(AND(Control!$B$18=2,$AW220=1),$EK220,0)))</f>
        <v>#N/A</v>
      </c>
      <c r="EQ220" s="153" t="e">
        <f t="shared" ca="1" si="851"/>
        <v>#N/A</v>
      </c>
      <c r="ER220" s="153" t="e">
        <f t="shared" ca="1" si="852"/>
        <v>#N/A</v>
      </c>
      <c r="ES220" s="153" t="e">
        <f t="shared" ca="1" si="904"/>
        <v>#N/A</v>
      </c>
      <c r="ET220" s="153" t="e">
        <f t="shared" ca="1" si="905"/>
        <v>#N/A</v>
      </c>
      <c r="EU220" s="153" t="e">
        <f t="shared" ca="1" si="853"/>
        <v>#N/A</v>
      </c>
      <c r="EV220" s="153" t="e">
        <f t="shared" ca="1" si="724"/>
        <v>#N/A</v>
      </c>
      <c r="EW220" s="153" t="e">
        <f t="shared" ca="1" si="725"/>
        <v>#N/A</v>
      </c>
      <c r="EX220" s="153" t="e">
        <f t="shared" ca="1" si="726"/>
        <v>#N/A</v>
      </c>
      <c r="EY220" s="157" t="e">
        <f t="shared" ca="1" si="727"/>
        <v>#DIV/0!</v>
      </c>
      <c r="EZ220" s="154" t="e">
        <f t="shared" ca="1" si="728"/>
        <v>#DIV/0!</v>
      </c>
      <c r="FA220" s="153" t="e">
        <f t="shared" ca="1" si="854"/>
        <v>#N/A</v>
      </c>
      <c r="FB220" s="153" t="e">
        <f t="shared" ca="1" si="729"/>
        <v>#N/A</v>
      </c>
      <c r="FC220" s="193" t="e">
        <f t="shared" ca="1" si="730"/>
        <v>#N/A</v>
      </c>
      <c r="FD220" s="158" t="e">
        <f t="shared" ca="1" si="855"/>
        <v>#N/A</v>
      </c>
      <c r="FE220" s="158" t="e">
        <f t="shared" ca="1" si="856"/>
        <v>#N/A</v>
      </c>
      <c r="FF220" s="159" t="e">
        <f t="shared" ca="1" si="731"/>
        <v>#N/A</v>
      </c>
      <c r="FG220" s="160" t="e">
        <f t="shared" ca="1" si="857"/>
        <v>#N/A</v>
      </c>
      <c r="FH220" s="158" t="e">
        <f t="shared" ca="1" si="858"/>
        <v>#N/A</v>
      </c>
      <c r="FI220" s="159" t="e">
        <f t="shared" ca="1" si="732"/>
        <v>#N/A</v>
      </c>
      <c r="FJ220" s="160" t="e">
        <f t="shared" ca="1" si="859"/>
        <v>#N/A</v>
      </c>
      <c r="FK220" s="160" t="e">
        <f t="shared" ca="1" si="733"/>
        <v>#N/A</v>
      </c>
      <c r="FL220" s="160" t="e">
        <f t="shared" ca="1" si="906"/>
        <v>#N/A</v>
      </c>
      <c r="FM220" s="160" t="e">
        <f t="shared" ca="1" si="734"/>
        <v>#N/A</v>
      </c>
      <c r="FN220" s="158">
        <f t="shared" ca="1" si="860"/>
        <v>0.01</v>
      </c>
      <c r="FO220" s="160">
        <f>Control!$C$101</f>
        <v>50</v>
      </c>
      <c r="FP220" s="150" t="e">
        <f t="shared" ca="1" si="735"/>
        <v>#N/A</v>
      </c>
      <c r="FQ220" s="150" t="e">
        <f ca="1">MAX(0,(Control!$C$112*(($DK220-Control!$C$97)/Control!$C$97)))</f>
        <v>#N/A</v>
      </c>
      <c r="FR220" s="150" t="e">
        <f ca="1">(1-$NT220)*Control!$C$113</f>
        <v>#DIV/0!</v>
      </c>
      <c r="FS220" s="198" t="e">
        <f t="shared" ca="1" si="736"/>
        <v>#N/A</v>
      </c>
      <c r="FT220" s="161">
        <f t="shared" ca="1" si="861"/>
        <v>216</v>
      </c>
      <c r="FU220" s="162" t="e">
        <f ca="1">IF(Control!$B$34=1,VLOOKUP($CP220,Control!$B$86:$G$91,6),Control!$B$35)</f>
        <v>#N/A</v>
      </c>
      <c r="FV220" s="162" t="e">
        <f t="shared" ca="1" si="737"/>
        <v>#DIV/0!</v>
      </c>
      <c r="FW220" s="162" t="e">
        <f ca="1">IF(Control!$B$31=1,$FU220*$FV220,  $FU220)</f>
        <v>#N/A</v>
      </c>
      <c r="FX220" s="162" t="e">
        <f ca="1">IF(Control!$B$34=1,VLOOKUP($CP220,Control!$B$86:$G$91,3),Control!$B$36)</f>
        <v>#N/A</v>
      </c>
      <c r="FY220" s="162" t="e">
        <f t="shared" ca="1" si="738"/>
        <v>#N/A</v>
      </c>
      <c r="FZ220" s="162" t="e">
        <f ca="1">IF(Control!$B$34=1,VLOOKUP($CP220,Control!$B$86:$G$91,4),Control!$B$37)</f>
        <v>#N/A</v>
      </c>
      <c r="GA220" s="162" t="e">
        <f t="shared" ca="1" si="739"/>
        <v>#N/A</v>
      </c>
      <c r="GB220" s="162" t="e">
        <f ca="1">IF(Control!$B$34=1,VLOOKUP($CP220,Control!$B$86:$G$91,5),Control!$B$38)</f>
        <v>#N/A</v>
      </c>
      <c r="GC220" s="162" t="e">
        <f t="shared" ca="1" si="862"/>
        <v>#N/A</v>
      </c>
      <c r="GD220" s="162">
        <f t="shared" ca="1" si="740"/>
        <v>1</v>
      </c>
      <c r="GE220" s="162">
        <f t="shared" ca="1" si="741"/>
        <v>1</v>
      </c>
      <c r="GF220" s="162">
        <f ca="1">IF(AND(Control!$C$104=1, Control!$C$62="F"),$GE220,1)</f>
        <v>1</v>
      </c>
      <c r="GG220" s="162" t="e">
        <f ca="1">IF(Control!$B$16=40,0,IF(AND(Control!$B$16&gt;40,Control!$B$16&lt;=360),(Control!$B$16-40)*((1-0)/(360-40)),IF(AND(Control!$B$16&gt;360,Control!$B$16&lt;=720),(1+(Control!$B$16-360)*((1.25-1)/(720-360))),IF(AND(Control!$B$16&gt;720,Control!$B$16&lt;=1000),(1.25+(Control!$B$16-720)*((1.35-1.25)/(1000-720))),IF(AND(Control!$B$16&gt;1000,Control!$B$16&lt;=2000),(1.35+(Control!$B$16-1000)*0))))))</f>
        <v>#N/A</v>
      </c>
      <c r="GH220" s="162" t="e">
        <f t="shared" ca="1" si="742"/>
        <v>#N/A</v>
      </c>
      <c r="GI220" s="162">
        <f t="shared" ca="1" si="863"/>
        <v>0</v>
      </c>
      <c r="GJ220" s="162">
        <f t="shared" ca="1" si="743"/>
        <v>0</v>
      </c>
      <c r="GK220" s="162">
        <f t="shared" ca="1" si="864"/>
        <v>1</v>
      </c>
      <c r="GL220" s="162">
        <f t="shared" ca="1" si="744"/>
        <v>1</v>
      </c>
      <c r="GM220" s="162" t="e">
        <f ca="1">MAX(0,MIN(1,1-Control!$C$156*(1.0001-$KH220)^2))</f>
        <v>#N/A</v>
      </c>
      <c r="GN220" s="162" t="e">
        <f ca="1">IF(Control!$B$26=1,$KU220,$KX220)</f>
        <v>#N/A</v>
      </c>
      <c r="GO220" s="162" t="e">
        <f ca="1">IF($CP220&lt;=60,Control!$C$105,IF($CP220&gt;=90,Control!$C$106,Control!$C$105+($CP220-60)*((Control!$C$106-Control!$C$105)/(90-60))))</f>
        <v>#N/A</v>
      </c>
      <c r="GP220" s="162" t="e">
        <f t="shared" ca="1" si="745"/>
        <v>#N/A</v>
      </c>
      <c r="GQ220" s="162" t="e">
        <f t="shared" ca="1" si="865"/>
        <v>#N/A</v>
      </c>
      <c r="GR220" s="163" t="e">
        <f t="shared" ca="1" si="746"/>
        <v>#DIV/0!</v>
      </c>
      <c r="GS220" s="162" t="e">
        <f t="shared" ca="1" si="747"/>
        <v>#DIV/0!</v>
      </c>
      <c r="GT220" s="164" t="e">
        <f t="shared" ca="1" si="866"/>
        <v>#N/A</v>
      </c>
      <c r="GU220" s="162" t="e">
        <f t="shared" ca="1" si="867"/>
        <v>#N/A</v>
      </c>
      <c r="GV220" s="162" t="e">
        <f t="shared" ca="1" si="748"/>
        <v>#N/A</v>
      </c>
      <c r="GW220" s="162" t="e">
        <f t="shared" ca="1" si="749"/>
        <v>#DIV/0!</v>
      </c>
      <c r="GX220" s="162" t="e">
        <f t="shared" ca="1" si="868"/>
        <v>#DIV/0!</v>
      </c>
      <c r="GY220" s="162" t="e">
        <f t="shared" ca="1" si="869"/>
        <v>#DIV/0!</v>
      </c>
      <c r="GZ220" s="165" t="e">
        <f t="shared" ca="1" si="750"/>
        <v>#N/A</v>
      </c>
      <c r="HA220" s="162" t="e">
        <f ca="1">IF(Control!$C$114=1, $DI220*$FS220, 0)</f>
        <v>#N/A</v>
      </c>
      <c r="HB220" s="162" t="e">
        <f ca="1">$FA220/Control!$C$64</f>
        <v>#N/A</v>
      </c>
      <c r="HC220" s="162" t="e">
        <f t="shared" ca="1" si="751"/>
        <v>#DIV/0!</v>
      </c>
      <c r="HD220" s="162">
        <f ca="1">-ASIN(SIN(23.45*Control!$C$139)*COS(2*Control!$C$138*($AH220+10)/365))</f>
        <v>0.2957874479063502</v>
      </c>
      <c r="HE220" s="165">
        <f t="shared" ca="1" si="870"/>
        <v>0</v>
      </c>
      <c r="HF220" s="166">
        <f ca="1">IF(AND(Control!$C$61="T",$HE220&gt;=Control!$C$103,Control!$C$114=0),$AH220,Control!$C$59)</f>
        <v>1</v>
      </c>
      <c r="HG220" s="166">
        <f ca="1">IF(AND(Control!$C$61="T",$HE220&gt;=Control!$C$103,Control!$C$114=0),$HF220,Control!$C$59)</f>
        <v>1</v>
      </c>
      <c r="HH220" s="165">
        <f ca="1">IF(AND(OR(Control!$C$60&lt;=0, $AH220= Control!$C$59, Control!$C$60 &gt;0, $AH220 = Control!$C$60)), Control!$C$59, IF(Control!$C$60&gt;0, 0))</f>
        <v>1</v>
      </c>
      <c r="HI220" s="165">
        <f ca="1">IF(AND(OR(Control!$C$60&lt;=0, $AH220= Control!$C$59, Control!$C$60 &gt;0, $AH220 = Control!$C$60)), Control!$C$60, IF(Control!$C$60&lt;=0, 0))</f>
        <v>0</v>
      </c>
      <c r="HJ220" s="166">
        <f ca="1">IF(AND(Control!$C$62="F",$CV220&gt;=Control!$C$102),$AH220,0)</f>
        <v>0</v>
      </c>
      <c r="HK220" s="165" t="e">
        <f t="shared" ca="1" si="907"/>
        <v>#N/A</v>
      </c>
      <c r="HL220" s="166">
        <f ca="1">IF(AND(Control!$C$61="T",$HE220&gt;=Control!$C$103,Control!$C$114=0),$HF220,0)</f>
        <v>0</v>
      </c>
      <c r="HM220" s="201" t="e">
        <f t="shared" ca="1" si="752"/>
        <v>#DIV/0!</v>
      </c>
      <c r="HN220" s="215">
        <f t="shared" ca="1" si="871"/>
        <v>216</v>
      </c>
      <c r="HO220" s="216" t="e">
        <f ca="1">IF(AND($CP220&gt;=0, $CP220&lt;=90), Control!$C$152, Control!$C$152)</f>
        <v>#N/A</v>
      </c>
      <c r="HP220" s="216" t="e">
        <f t="shared" ca="1" si="753"/>
        <v>#N/A</v>
      </c>
      <c r="HQ220" s="217" t="e">
        <f ca="1">IF(OR(Control!$B$26=1,Control!$B$26=2),$KV220,$KS220)</f>
        <v>#DIV/0!</v>
      </c>
      <c r="HR220" s="218" t="e">
        <f t="shared" ca="1" si="908"/>
        <v>#DIV/0!</v>
      </c>
      <c r="HS220" s="216" t="e">
        <f ca="1">Control!$C$154*$HP220</f>
        <v>#N/A</v>
      </c>
      <c r="HT220" s="216" t="e">
        <f ca="1">Control!$C$155*$HP220</f>
        <v>#N/A</v>
      </c>
      <c r="HU220" s="217" t="e">
        <f ca="1">Control!$C$161*$FI220</f>
        <v>#N/A</v>
      </c>
      <c r="HV220" s="218" t="e">
        <f t="shared" ca="1" si="872"/>
        <v>#N/A</v>
      </c>
      <c r="HW220" s="218" t="e">
        <f ca="1">Control!$C$160*$FF220+$IP220*$EO220</f>
        <v>#N/A</v>
      </c>
      <c r="HX220" s="218" t="e">
        <f t="shared" ca="1" si="909"/>
        <v>#N/A</v>
      </c>
      <c r="HY220" s="219" t="e">
        <f ca="1">IF(Control!$C$114=1, $EB220*$FS220, 0)</f>
        <v>#N/A</v>
      </c>
      <c r="HZ220" s="91" t="e">
        <f t="shared" ca="1" si="754"/>
        <v>#N/A</v>
      </c>
      <c r="IA220" s="220" t="e">
        <f ca="1">Control!$C$153*$HO220</f>
        <v>#N/A</v>
      </c>
      <c r="IB220" s="218" t="e">
        <f t="shared" ca="1" si="755"/>
        <v>#N/A</v>
      </c>
      <c r="IC220" s="220" t="e">
        <f ca="1">Control!$C$153*$HT220</f>
        <v>#N/A</v>
      </c>
      <c r="ID220" s="218" t="e">
        <f t="shared" ca="1" si="756"/>
        <v>#N/A</v>
      </c>
      <c r="IE220" s="221" t="e">
        <f ca="1">($EB220*Control!$C$159+$EF220*Control!$C$160)/(IF($GZ220&lt;&gt;0,$GZ220,1))</f>
        <v>#N/A</v>
      </c>
      <c r="IF220" s="216" t="e">
        <f t="shared" ca="1" si="757"/>
        <v>#N/A</v>
      </c>
      <c r="IG220" s="91">
        <f ca="1">IF(OR(Control!$B$198=$AH220,Control!$B$199=$AH220, Control!$B$200=$AH220, Control!$B$201=$AH220, Control!$B$202=$AH220, Control!$B$203=$AH220, Control!$B$204=$AH220, Control!$B$205=$AH220, Control!$B$206=$AH220, Control!$B$207=$AH220), 1, 0)</f>
        <v>0</v>
      </c>
      <c r="IH220" s="91">
        <f ca="1">IF($IG220=0,0, VLOOKUP($AH220,Control!$B$198:$C$207,2))</f>
        <v>0</v>
      </c>
      <c r="II220" s="222">
        <f t="shared" ca="1" si="873"/>
        <v>0</v>
      </c>
      <c r="IJ220" s="91">
        <f>Control!$C$121</f>
        <v>0.7</v>
      </c>
      <c r="IK220" s="218">
        <f t="shared" ca="1" si="758"/>
        <v>0</v>
      </c>
      <c r="IL220" s="217" t="e">
        <f t="shared" ca="1" si="910"/>
        <v>#N/A</v>
      </c>
      <c r="IM220" s="223" t="e">
        <f ca="1">IF(AND(Control!$C$114=1,$KH220&lt;1),$EB220*Control!$C$148*(1-$KH220), 0)</f>
        <v>#N/A</v>
      </c>
      <c r="IN220" s="217" t="e">
        <f t="shared" ca="1" si="759"/>
        <v>#DIV/0!</v>
      </c>
      <c r="IO220" s="91" t="e">
        <f ca="1">MAX(0,$IL220-$EF220*Control!$C$160)</f>
        <v>#N/A</v>
      </c>
      <c r="IP220" s="220" t="e">
        <f t="shared" ca="1" si="760"/>
        <v>#N/A</v>
      </c>
      <c r="IQ220" s="217" t="e">
        <f t="shared" ca="1" si="874"/>
        <v>#N/A</v>
      </c>
      <c r="IR220" s="218" t="e">
        <f t="shared" ca="1" si="761"/>
        <v>#N/A</v>
      </c>
      <c r="IS220" s="217" t="e">
        <f ca="1">Control!$C$159*MAX(0,$FD220-$EN220)</f>
        <v>#N/A</v>
      </c>
      <c r="IT220" s="217" t="e">
        <f t="shared" ca="1" si="911"/>
        <v>#N/A</v>
      </c>
      <c r="IU220" s="217" t="e">
        <f t="shared" ca="1" si="875"/>
        <v>#N/A</v>
      </c>
      <c r="IV220" s="217" t="e">
        <f t="shared" ca="1" si="912"/>
        <v>#N/A</v>
      </c>
      <c r="IW220" s="217" t="e">
        <f ca="1">IF(OR($AW220=1,AND($AW220=0, Control!$B$18=1,$EN220&lt;&gt;0)), $IQ220-$IU220, $IQ220)</f>
        <v>#N/A</v>
      </c>
      <c r="IX220" s="218" t="e">
        <f t="shared" ca="1" si="762"/>
        <v>#N/A</v>
      </c>
      <c r="IY220" s="218" t="e">
        <f ca="1">MAX(0,$IQ220-$EB220*Control!$C$159)</f>
        <v>#N/A</v>
      </c>
      <c r="IZ220" s="218" t="e">
        <f t="shared" ca="1" si="763"/>
        <v>#N/A</v>
      </c>
      <c r="JA220" s="216" t="e">
        <f t="shared" ca="1" si="764"/>
        <v>#N/A</v>
      </c>
      <c r="JB220" s="217" t="e">
        <f t="shared" ca="1" si="765"/>
        <v>#N/A</v>
      </c>
      <c r="JC220" s="222" t="e">
        <f ca="1">MAX(Control!$C$157*$EK220-$JT220, 0)/Control!$C$162</f>
        <v>#N/A</v>
      </c>
      <c r="JD220" s="218" t="e">
        <f t="shared" ca="1" si="766"/>
        <v>#N/A</v>
      </c>
      <c r="JE220" s="218" t="e">
        <f t="shared" ca="1" si="767"/>
        <v>#N/A</v>
      </c>
      <c r="JF220" s="218" t="e">
        <f t="shared" ca="1" si="876"/>
        <v>#N/A</v>
      </c>
      <c r="JG220" s="218" t="e">
        <f t="shared" ca="1" si="768"/>
        <v>#N/A</v>
      </c>
      <c r="JH220" s="217" t="e">
        <f t="shared" ca="1" si="877"/>
        <v>#N/A</v>
      </c>
      <c r="JI220" s="217" t="e">
        <f t="shared" ca="1" si="878"/>
        <v>#N/A</v>
      </c>
      <c r="JJ220" s="217" t="e">
        <f t="shared" ca="1" si="913"/>
        <v>#N/A</v>
      </c>
      <c r="JK220" s="217" t="e">
        <f ca="1">IF(Control!$C$114=1,IF(Control!$B$24=0,MAX(0,$JI220)*$GN220/Control!$C$64,(MAX(0,MIN($JI220,$JJ220*$GN220/Control!$C$64),0))))</f>
        <v>#N/A</v>
      </c>
      <c r="JL220" s="217" t="e">
        <f ca="1">$IK220/Control!$C$64-$JK220+$HQ220</f>
        <v>#N/A</v>
      </c>
      <c r="JM220" s="217" t="e">
        <f ca="1">IF(Control!$C$114=1,($JB220/(IF($JI220&lt;&gt;0,$JI220,1)))*$JK220,0)</f>
        <v>#N/A</v>
      </c>
      <c r="JN220" s="217" t="e">
        <f ca="1">IF(Control!$C$114=1,($JG220/(IF($JI220&lt;&gt;0,$JI220,1)))*$JK220, 0)</f>
        <v>#N/A</v>
      </c>
      <c r="JO220" s="218" t="e">
        <f t="shared" ca="1" si="769"/>
        <v>#N/A</v>
      </c>
      <c r="JP220" s="218" t="e">
        <f ca="1">MIN(($IY220+$IO220)*Control!$C$151, $JF220-$EH220*Control!$C$161)</f>
        <v>#N/A</v>
      </c>
      <c r="JQ220" s="218" t="e">
        <f t="shared" ca="1" si="770"/>
        <v>#N/A</v>
      </c>
      <c r="JR220" s="217" t="e">
        <f ca="1">IF($CP220-Control!$C$150&lt;0, 0, $JQ220/Control!$C$162)</f>
        <v>#N/A</v>
      </c>
      <c r="JS220" s="218" t="e">
        <f t="shared" ca="1" si="771"/>
        <v>#N/A</v>
      </c>
      <c r="JT220" s="218" t="e">
        <f t="shared" ca="1" si="879"/>
        <v>#N/A</v>
      </c>
      <c r="JU220" s="218" t="e">
        <f t="shared" ca="1" si="772"/>
        <v>#N/A</v>
      </c>
      <c r="JV220" s="218" t="e">
        <f t="shared" ca="1" si="773"/>
        <v>#N/A</v>
      </c>
      <c r="JW220" s="216" t="e">
        <f t="shared" ca="1" si="774"/>
        <v>#N/A</v>
      </c>
      <c r="JX220" s="91" t="e">
        <f t="shared" ca="1" si="775"/>
        <v>#N/A</v>
      </c>
      <c r="JY220" s="218" t="e">
        <f t="shared" ca="1" si="776"/>
        <v>#N/A</v>
      </c>
      <c r="JZ220" s="217" t="e">
        <f ca="1">IF(Control!$C$114=1,($IZ220/(IF($JI220&lt;&gt;0,$JI220,1)))*$JK220, 0)</f>
        <v>#N/A</v>
      </c>
      <c r="KA220" s="218" t="e">
        <f t="shared" ca="1" si="914"/>
        <v>#N/A</v>
      </c>
      <c r="KB220" s="218" t="e">
        <f t="shared" ca="1" si="880"/>
        <v>#N/A</v>
      </c>
      <c r="KC220" s="218" t="e">
        <f t="shared" ca="1" si="777"/>
        <v>#N/A</v>
      </c>
      <c r="KD220" s="218" t="e">
        <f t="shared" ca="1" si="778"/>
        <v>#N/A</v>
      </c>
      <c r="KE220" s="218" t="e">
        <f t="shared" ca="1" si="779"/>
        <v>#N/A</v>
      </c>
      <c r="KF220" s="218" t="e">
        <f t="shared" ca="1" si="780"/>
        <v>#N/A</v>
      </c>
      <c r="KG220" s="216" t="e">
        <f t="shared" ca="1" si="781"/>
        <v>#N/A</v>
      </c>
      <c r="KH220" s="221" t="e">
        <f ca="1">IF(Control!$B$24=0,1,MAX(0.001,MIN(1,IF(($IF220-$IE220)&lt;&gt;0,($KG220-$IE220)/($IF220-$IE220),1))))</f>
        <v>#N/A</v>
      </c>
      <c r="KI220" s="222" t="e">
        <f ca="1">IF(Control!$C$114=1, $KI219+ $KH219, 0)</f>
        <v>#N/A</v>
      </c>
      <c r="KJ220" s="217" t="e">
        <f t="shared" ca="1" si="782"/>
        <v>#N/A</v>
      </c>
      <c r="KK220" s="218" t="e">
        <f t="shared" ca="1" si="783"/>
        <v>#N/A</v>
      </c>
      <c r="KL220" s="274" t="e">
        <f ca="1">IF(Control!$B$26=3,4000000000*EXP(-8400/($G220+273)),IF(Control!$B$26=4,4000000000*EXP(-8400/($G220+273))*($KT220),0))</f>
        <v>#DIV/0!</v>
      </c>
      <c r="KM220" s="274" t="e">
        <f ca="1">IF(Control!$B$26=3,5600000000000*EXP(-9800/($G220+273)),IF(Control!$B$26=4,5600000000000*EXP(-9800/($G220+273))*$KT220,0))</f>
        <v>#DIV/0!</v>
      </c>
      <c r="KN220" s="454" t="e">
        <f t="shared" ca="1" si="881"/>
        <v>#DIV/0!</v>
      </c>
      <c r="KO220" s="274" t="e">
        <f t="shared" ca="1" si="882"/>
        <v>#DIV/0!</v>
      </c>
      <c r="KP220" s="454" t="e">
        <f t="shared" ca="1" si="784"/>
        <v>#DIV/0!</v>
      </c>
      <c r="KQ220" s="454" t="e">
        <f t="shared" ca="1" si="785"/>
        <v>#DIV/0!</v>
      </c>
      <c r="KR220" s="454" t="e">
        <f t="shared" ca="1" si="786"/>
        <v>#DIV/0!</v>
      </c>
      <c r="KS220" s="454" t="e">
        <f t="shared" ca="1" si="787"/>
        <v>#DIV/0!</v>
      </c>
      <c r="KT220" s="455" t="e">
        <f t="shared" ca="1" si="788"/>
        <v>#DIV/0!</v>
      </c>
      <c r="KU220" s="456" t="e">
        <f ca="1">IF($CP220-Control!$C$149&lt;0, IF($NT220-0.01&lt;0,0,1),0)</f>
        <v>#N/A</v>
      </c>
      <c r="KV220" s="456" t="e">
        <f ca="1">IF(Control!$C$114=1,MAX(0,MIN(Control!$C$125*$KW220*$GN220,$KW220)))</f>
        <v>#DIV/0!</v>
      </c>
      <c r="KW220" s="456" t="e">
        <f t="shared" ca="1" si="915"/>
        <v>#DIV/0!</v>
      </c>
      <c r="KX220" s="457" t="e">
        <f ca="1">IF($CP220-Control!$C$149&lt;0, IF($MR220-$OM220&lt;0,0,1),0)</f>
        <v>#N/A</v>
      </c>
      <c r="KY220" s="167">
        <f t="shared" ca="1" si="883"/>
        <v>216</v>
      </c>
      <c r="KZ220" s="168">
        <f ca="1">1370*(1+0.033*COS(2*Control!$C$138*$AH220/365))</f>
        <v>1332.1015888613297</v>
      </c>
      <c r="LA220" s="169">
        <f t="shared" ca="1" si="884"/>
        <v>0.97233676972781347</v>
      </c>
      <c r="LB220" s="169">
        <f t="shared" ca="1" si="885"/>
        <v>0.29716922500464871</v>
      </c>
      <c r="LC220" s="169">
        <f ca="1">ACOS(-TAN((2*Control!$B$8/360))*TAN(Calculations!$LB220))</f>
        <v>1.6619371398473493</v>
      </c>
      <c r="LD220" s="169">
        <f ca="1">((24*60)/PI())*0.082*$LA220*(($LC220*SIN(Control!$B$8*2*PI()/360))*SIN($LB220)+COS(Control!$B$8*2*PI()/360)*COS($LB220)*SIN($LC220))</f>
        <v>35.439312171370318</v>
      </c>
      <c r="LE220" s="170">
        <f t="shared" ca="1" si="789"/>
        <v>36.375836637045424</v>
      </c>
      <c r="LF220" s="170">
        <f ca="1">SIN(Control!$C$139*Control!$B$8)*SIN($HD220)</f>
        <v>0.22970015057084561</v>
      </c>
      <c r="LG220" s="170">
        <f ca="1">COS(Control!$C$139*Control!$B$8)*COS($HD220)</f>
        <v>0.58892348508295822</v>
      </c>
      <c r="LH220" s="170">
        <f ca="1">12*(1+2*ASIN(MAX(-1,MIN(1,$LF220/$LG220))/Control!$C$138))</f>
        <v>14.987340936825429</v>
      </c>
      <c r="LI220" s="170">
        <f ca="1">12*(1+2*ASIN(MAX(-1,MIN(1,(-SIN(-4*Control!$C$139)+$LF220)/$LG220))/Control!$C$138))</f>
        <v>15.901668005035155</v>
      </c>
      <c r="LJ220" s="168">
        <f ca="1">3600*($LH220*$LF220+24*$LG220*SQRT(1-$LK220*$LK220)/Control!$C$138)</f>
        <v>27307.104008590824</v>
      </c>
      <c r="LK220" s="170">
        <f t="shared" ca="1" si="790"/>
        <v>0.39003394564658783</v>
      </c>
      <c r="LL220" s="170">
        <f t="shared" ca="1" si="791"/>
        <v>0</v>
      </c>
      <c r="LM220" s="171">
        <f ca="1">Control!$C$145*$AB220</f>
        <v>6.6660906138995932E-2</v>
      </c>
      <c r="LN220" s="170">
        <f t="shared" ca="1" si="886"/>
        <v>0.54</v>
      </c>
      <c r="LO220" s="170">
        <f t="shared" ca="1" si="792"/>
        <v>0</v>
      </c>
      <c r="LP220" s="170">
        <f ca="1">Control!$C$140*((($D220+273.16)^4+($E220+273.16)^4)/2)*(0.34-0.14*SQRT($Y220))*(1.35*$AQ220/(0.75*$LD220)-0.35)</f>
        <v>-3.2464704755046001</v>
      </c>
      <c r="LQ220" s="170">
        <f ca="1">Control!$C$140*($G220+273)^4*(0.56-0.079*SQRT($Y220*10))*(0.1+0.9*$LO220)</f>
        <v>1.5241745131704001</v>
      </c>
      <c r="LR220" s="170">
        <f ca="1">$AQ220*(1-Control!$C$142)-$LQ220</f>
        <v>-1.5241745131704001</v>
      </c>
      <c r="LS220" s="170">
        <f ca="1">$AQ220*(1-Control!$C$143)-$LQ220</f>
        <v>-1.5241745131704001</v>
      </c>
      <c r="LT220" s="170">
        <f ca="1">$AQ220*(1-Control!$C$144)-$LQ220</f>
        <v>-1.5241745131704001</v>
      </c>
      <c r="LU220" s="169">
        <f ca="1">(1-Control!$C$144)*AQ220-LP220</f>
        <v>3.2464704755046001</v>
      </c>
      <c r="LV220" s="172">
        <f t="shared" ca="1" si="793"/>
        <v>0.79430000000000012</v>
      </c>
      <c r="LW220" s="170">
        <f t="shared" ca="1" si="794"/>
        <v>1.5886000000000002</v>
      </c>
      <c r="LX220" s="170">
        <f ca="1">($AC220*($LR220/Control!$C$141)+$LM220*$LV220)/($AC220+$LM220)</f>
        <v>0.23530094218323697</v>
      </c>
      <c r="LY220" s="170">
        <f ca="1">($AC220*($LS220/Control!$C$141)+$LM220*$LV220)/($AC220+$LM220)</f>
        <v>0.23530094218323697</v>
      </c>
      <c r="LZ220" s="170">
        <f t="shared" ca="1" si="795"/>
        <v>0.23530094218323697</v>
      </c>
      <c r="MA220" s="170">
        <f t="shared" ca="1" si="796"/>
        <v>0.23530094218323697</v>
      </c>
      <c r="MB220" s="170" t="e">
        <f t="shared" ca="1" si="797"/>
        <v>#N/A</v>
      </c>
      <c r="MC220" s="170">
        <f t="shared" ca="1" si="887"/>
        <v>0.6018</v>
      </c>
      <c r="MD220" s="170">
        <f t="shared" ca="1" si="798"/>
        <v>0.52989392535414004</v>
      </c>
      <c r="ME220" s="170">
        <f ca="1">($AC220*($LT220/Control!$C$141)+$LM220*$LW220)/($AC220+$LM220)</f>
        <v>0.71612369323045078</v>
      </c>
      <c r="MF220" s="170" t="e">
        <f ca="1">IF(Control!$B$16&gt;=1000,0.92,IF(AND(720&lt;=Control!$B$16,1000&gt;Control!$B$16),(0.95+(Control!$B$16-720)*((0.92-0.95)/(1000-720))),IF(AND(360&lt;=Control!$B$16,720&gt;Control!$B$16),(1+(Control!$B$16-360)*((0.95-1)/(720-360))),IF(AND(40&lt;=Control!$B$16,360&gt;Control!$B$16),(1.05+(Control!$B$16-40)*((1.05-1)/(360-40)))))))</f>
        <v>#N/A</v>
      </c>
      <c r="MG220" s="170">
        <f t="shared" ca="1" si="799"/>
        <v>0.71612369323045078</v>
      </c>
      <c r="MH220" s="170" t="e">
        <f t="shared" ca="1" si="924"/>
        <v>#N/A</v>
      </c>
      <c r="MI220" s="170" t="e">
        <f t="shared" ca="1" si="924"/>
        <v>#N/A</v>
      </c>
      <c r="MJ220" s="170" t="e">
        <f ca="1">MAX(0.0001, Control!$C$132*$MI220*$DL220)</f>
        <v>#N/A</v>
      </c>
      <c r="MK220" s="170">
        <f ca="1">1/(0.76+1.5*($MG220/10))-(5-Control!$C$110)*0.1</f>
        <v>1.002845988140797</v>
      </c>
      <c r="ML220" s="173">
        <f ca="1">IF(Control!$C$110&lt;3,$MK220+($MG220-0.6)/(Control!$C$110*(Control!$C$110+3)), MAX(0.1, MIN(0.95,$MK220)))</f>
        <v>0.95</v>
      </c>
      <c r="MM220" s="173">
        <f ca="1">IF(Control!$C$110&lt;3,$MK220+(($MI220/10)-0.6)/(Control!$C$110*(Control!$C$110+3)), MAX(0.1, MIN(0.95,$MK220)))</f>
        <v>0.95</v>
      </c>
      <c r="MN220" s="173">
        <f ca="1">(1-$MM220)*(Control!$C$128-Control!$C$127)+Control!$C$127</f>
        <v>0.16</v>
      </c>
      <c r="MO220" s="170" t="e">
        <f ca="1">MAX(0,MIN(1,($MS220-Control!$C$127)/($MN220-Control!$C$127)))</f>
        <v>#DIV/0!</v>
      </c>
      <c r="MP220" s="173" t="e">
        <f ca="1">1/(0.76+1.5*$MI220)-(5-Control!$C$110)*0.1</f>
        <v>#N/A</v>
      </c>
      <c r="MQ220" s="172" t="e">
        <f t="shared" ca="1" si="916"/>
        <v>#DIV/0!</v>
      </c>
      <c r="MR220" s="168" t="e">
        <f t="shared" ca="1" si="888"/>
        <v>#DIV/0!</v>
      </c>
      <c r="MS220" s="173" t="e">
        <f ca="1">MAX(Control!$C$127, MIN(Control!$C$135, $MR220/MAX(0.0001,$CY220)))</f>
        <v>#DIV/0!</v>
      </c>
      <c r="MT220" s="168" t="e">
        <f ca="1">(Control!$C$128-$MS220)*Control!$C$74</f>
        <v>#DIV/0!</v>
      </c>
      <c r="MU220" s="168" t="e">
        <f ca="1">(Control!$C$135-$MS220)*Control!$C$74</f>
        <v>#DIV/0!</v>
      </c>
      <c r="MV220" s="168" t="e">
        <f t="shared" ca="1" si="889"/>
        <v>#DIV/0!</v>
      </c>
      <c r="MW220" s="168" t="e">
        <f t="shared" ca="1" si="890"/>
        <v>#DIV/0!</v>
      </c>
      <c r="MX220" s="171" t="e">
        <f ca="1">MAX(Control!$C$127, MIN(Control!$C$135, $MW220/MAX(0.0001,Control!$C$119-$CY220)))</f>
        <v>#DIV/0!</v>
      </c>
      <c r="MY220" s="54" t="e">
        <f ca="1">IF(Control!$C$114=1, $CX220*$MX220, 0)</f>
        <v>#DIV/0!</v>
      </c>
      <c r="MZ220" s="54" t="e">
        <f t="shared" ca="1" si="891"/>
        <v>#N/A</v>
      </c>
      <c r="NA220" s="168" t="e">
        <f ca="1">(Control!$C$128-$MX220)*(Control!$C$119-Control!$C$74)</f>
        <v>#DIV/0!</v>
      </c>
      <c r="NB220" s="168" t="e">
        <f ca="1">(Control!$C$135-$MX220)*(Control!$C$119-Control!$C$74)</f>
        <v>#DIV/0!</v>
      </c>
      <c r="NC220" s="174" t="e">
        <f t="shared" ca="1" si="892"/>
        <v>#DIV/0!</v>
      </c>
      <c r="ND220" s="54">
        <f ca="1">IF(Control!$C$58=2, IF(OR(Control!$B$218=$AH220,Control!$B$219=$AH220, Control!$B$220=$AH220, Control!$B$221=$AH220, Control!$B$222=$AH220, Control!$B$223=$AH220, Control!$B$224=$AH220, Control!$B$225=$AH220, Control!$B$226=$AH220, Control!$B$227=$AH220, Control!$B$228=$AH220), 1, 0), 0)</f>
        <v>0</v>
      </c>
      <c r="NE220" s="54">
        <f ca="1">IF($ND220=0,0, VLOOKUP($AH220,Control!$B$218:$C$228,2))</f>
        <v>0</v>
      </c>
      <c r="NF220" s="168" t="e">
        <f ca="1">$CY220*(Control!$C$128-Control!$C$127)</f>
        <v>#N/A</v>
      </c>
      <c r="NG220" s="54" t="e">
        <f ca="1">IF(Control!$C$58=2, $NI219-$NJ219, 0)</f>
        <v>#DIV/0!</v>
      </c>
      <c r="NH220" s="54" t="e">
        <f ca="1">IF(AND(Control!$C$58=1, $MS219&lt;= ($MN219+0.02), $I219&lt;10), 0, IF(Control!$C$58=2, $NG219, 0))</f>
        <v>#DIV/0!</v>
      </c>
      <c r="NI220" s="54" t="e">
        <f ca="1">IF(Control!$C$58=2, $NE220+$NH220,0)</f>
        <v>#DIV/0!</v>
      </c>
      <c r="NJ220" s="54" t="e">
        <f ca="1">IF(AND(Control!$C$58=1, $MS220&lt;= ($MN220+0.02), $I220&lt;10), MAX(0, MIN(10, 0.7*($NF220-$MV220))), IF(Control!$C$58=2, MIN(10,$NI220),0))</f>
        <v>#DIV/0!</v>
      </c>
      <c r="NK220" s="54" t="e">
        <f t="shared" ca="1" si="800"/>
        <v>#DIV/0!</v>
      </c>
      <c r="NL220" s="173" t="e">
        <f ca="1">(1-Control!$C$73)*$I220+$NJ220</f>
        <v>#DIV/0!</v>
      </c>
      <c r="NM220" s="172" t="e">
        <f ca="1">IF($NL220&lt;0.5, $MB220* MAX(0, MIN(1, (SQRT($NC220)-SQRT($NC220-1))*Control!$C$71)),0)</f>
        <v>#DIV/0!</v>
      </c>
      <c r="NN220" s="170" t="e">
        <f ca="1">IF($NL220&gt;=5, $MB220, MAX(0,MIN($MB220, $NM220+$NL220,($MS220-Control!$C$129))))</f>
        <v>#DIV/0!</v>
      </c>
      <c r="NO220" s="54">
        <f>IF(Control!$C$133&lt;&gt;1, Control!$C$135-Control!$C$131, 0)</f>
        <v>0.38</v>
      </c>
      <c r="NP220" s="54" t="e">
        <f t="shared" ca="1" si="801"/>
        <v>#DIV/0!</v>
      </c>
      <c r="NQ220" s="173" t="e">
        <f ca="1">MAX(0,MIN(1,(Control!$C$135-$MS220)/(Control!$C$135-$NO220)))</f>
        <v>#DIV/0!</v>
      </c>
      <c r="NR220" s="170" t="e">
        <f ca="1">IF(Control!$C$133&lt;&gt;1, $NQ220+((1-$NP220/4)*(1-$NQ220)),1)</f>
        <v>#DIV/0!</v>
      </c>
      <c r="NS220" s="170" t="e">
        <f ca="1">IF(Control!$B$31=0,$MJ220,MAX(0,MIN($MV220,$MO220*$NR220*$MJ220)))</f>
        <v>#DIV/0!</v>
      </c>
      <c r="NT220" s="170" t="e">
        <f t="shared" ca="1" si="917"/>
        <v>#DIV/0!</v>
      </c>
      <c r="NU220" s="170" t="e">
        <f t="shared" ca="1" si="893"/>
        <v>#N/A</v>
      </c>
      <c r="NV220" s="170" t="e">
        <f t="shared" ca="1" si="802"/>
        <v>#N/A</v>
      </c>
      <c r="NW220" s="175" t="e">
        <f t="shared" ca="1" si="803"/>
        <v>#DIV/0!</v>
      </c>
      <c r="NX220" s="170" t="e">
        <f ca="1">MIN(Control!$C$72+$MU220, $NW220)</f>
        <v>#DIV/0!</v>
      </c>
      <c r="NY220" s="170" t="e">
        <f ca="1">IF($MT220&lt;=$NX220,MIN(Control!$C$72+$NB220,$NX220-$MT220),0)</f>
        <v>#DIV/0!</v>
      </c>
      <c r="NZ220" s="54" t="e">
        <f ca="1">IF(Control!$C$114=1,  $CX220*($MX220-Control!$C$127), 0)</f>
        <v>#DIV/0!</v>
      </c>
      <c r="OA220" s="170" t="e">
        <f t="shared" ca="1" si="804"/>
        <v>#DIV/0!</v>
      </c>
      <c r="OB220" s="170" t="e">
        <f ca="1">IF($NA220 &lt;=$NY220, MIN(Control!$C$72, $NY220-$NA220), 0)</f>
        <v>#DIV/0!</v>
      </c>
      <c r="OC220" s="168" t="e">
        <f t="shared" ca="1" si="805"/>
        <v>#DIV/0!</v>
      </c>
      <c r="OD220" s="168" t="e">
        <f t="shared" ca="1" si="894"/>
        <v>#DIV/0!</v>
      </c>
      <c r="OE220" s="170">
        <f ca="1">Control!$C$73*$I220</f>
        <v>0</v>
      </c>
      <c r="OF220" s="176" t="e">
        <f t="shared" ca="1" si="806"/>
        <v>#DIV/0!</v>
      </c>
      <c r="OG220" s="168" t="e">
        <f t="shared" ca="1" si="807"/>
        <v>#DIV/0!</v>
      </c>
      <c r="OH220" s="168" t="e">
        <f t="shared" ca="1" si="808"/>
        <v>#DIV/0!</v>
      </c>
      <c r="OI220" s="168" t="e">
        <f t="shared" ca="1" si="809"/>
        <v>#DIV/0!</v>
      </c>
      <c r="OJ220" s="168" t="e">
        <f t="shared" ca="1" si="810"/>
        <v>#DIV/0!</v>
      </c>
      <c r="OK220" s="204" t="e">
        <f t="shared" ca="1" si="811"/>
        <v>#DIV/0!</v>
      </c>
      <c r="OL220" s="177">
        <f>Control!$C$127</f>
        <v>0.15</v>
      </c>
      <c r="OM220" s="182" t="e">
        <f t="shared" ca="1" si="812"/>
        <v>#N/A</v>
      </c>
      <c r="ON220" s="177">
        <f>Control!$C$128</f>
        <v>0.35</v>
      </c>
      <c r="OO220" s="182" t="e">
        <f t="shared" ca="1" si="813"/>
        <v>#N/A</v>
      </c>
      <c r="OP220" s="138">
        <f t="shared" ca="1" si="895"/>
        <v>0</v>
      </c>
      <c r="OQ220" s="138" t="e">
        <f t="shared" ca="1" si="918"/>
        <v>#DIV/0!</v>
      </c>
      <c r="OR220" s="138" t="e">
        <f t="shared" ca="1" si="896"/>
        <v>#DIV/0!</v>
      </c>
      <c r="OS220" s="137" t="e">
        <f t="shared" ca="1" si="919"/>
        <v>#DIV/0!</v>
      </c>
      <c r="OT220" s="139" t="e">
        <f t="shared" ca="1" si="920"/>
        <v>#DIV/0!</v>
      </c>
      <c r="OU220" s="138" t="e">
        <f t="shared" ca="1" si="921"/>
        <v>#N/A</v>
      </c>
      <c r="OV220" s="138" t="e">
        <f t="shared" ca="1" si="922"/>
        <v>#DIV/0!</v>
      </c>
      <c r="OW220" s="138" t="e">
        <f t="shared" ca="1" si="897"/>
        <v>#DIV/0!</v>
      </c>
      <c r="OX220" s="138" t="e">
        <f t="shared" ca="1" si="898"/>
        <v>#DIV/0!</v>
      </c>
      <c r="OY220" s="138" t="e">
        <f t="shared" ca="1" si="899"/>
        <v>#DIV/0!</v>
      </c>
      <c r="OZ220" s="138" t="e">
        <f t="shared" ca="1" si="814"/>
        <v>#DIV/0!</v>
      </c>
      <c r="PA220" s="138" t="e">
        <f t="shared" ca="1" si="815"/>
        <v>#DIV/0!</v>
      </c>
      <c r="PB220" s="55">
        <f>IF(Control!$C$61="T", IF(Control!$C$65="F", IF($AH$6-Control!$C$60&lt;0,0,1), IF(365+$AH$6-Control!$C$60&lt;0,0,1)),0)</f>
        <v>0</v>
      </c>
      <c r="PC220" s="55">
        <f ca="1">IF(Control!$C$65="F", IF($AH$6-$HF220&lt;0,0,1), IF(365+$AH$6-$HF220&lt;0,0,1))</f>
        <v>1</v>
      </c>
      <c r="PD220" s="444">
        <f>Control!$C$118</f>
        <v>1500</v>
      </c>
      <c r="PE220" s="180" t="e">
        <f t="shared" ca="1" si="816"/>
        <v>#N/A</v>
      </c>
      <c r="PF220" s="445">
        <f t="shared" ca="1" si="900"/>
        <v>0.71612369323045078</v>
      </c>
      <c r="PT220" s="186"/>
      <c r="PU220" s="186"/>
      <c r="PV220" s="94"/>
      <c r="PW220" s="94"/>
      <c r="PX220" s="94"/>
      <c r="PY220" s="94"/>
      <c r="PZ220" s="94"/>
      <c r="QA220" s="94"/>
      <c r="QB220" s="94"/>
      <c r="QC220" s="94"/>
      <c r="QD220" s="94"/>
      <c r="QE220" s="94"/>
      <c r="QF220" s="94"/>
      <c r="QG220" s="94"/>
      <c r="QH220" s="94"/>
      <c r="QI220" s="94"/>
      <c r="QJ220" s="94"/>
      <c r="QK220" s="94"/>
      <c r="QL220" s="94"/>
      <c r="QM220" s="94"/>
      <c r="QN220" s="94"/>
      <c r="QO220" s="94"/>
      <c r="QP220" s="94"/>
    </row>
    <row r="221" spans="1:458" s="2" customFormat="1" x14ac:dyDescent="0.2">
      <c r="A221" s="395">
        <v>4</v>
      </c>
      <c r="B221" s="396">
        <v>8</v>
      </c>
      <c r="C221" s="387">
        <f ca="1">Weather_data!$B220</f>
        <v>0</v>
      </c>
      <c r="D221" s="388">
        <f ca="1">Weather_data!$F220</f>
        <v>0</v>
      </c>
      <c r="E221" s="388">
        <f ca="1">Weather_data!$E220</f>
        <v>0</v>
      </c>
      <c r="F221" s="388">
        <f t="shared" ca="1" si="817"/>
        <v>0</v>
      </c>
      <c r="G221" s="388">
        <f ca="1">AVERAGE($D221:$E221)+Control!$B$9</f>
        <v>0</v>
      </c>
      <c r="H221" s="388">
        <f ca="1">Weather_data!$G220</f>
        <v>0</v>
      </c>
      <c r="I221" s="388">
        <f ca="1">Weather_data!$I220</f>
        <v>0</v>
      </c>
      <c r="J221" s="388">
        <f ca="1">Weather_data!$H220</f>
        <v>0</v>
      </c>
      <c r="K221" s="389">
        <f ca="1">Weather_data!$D220</f>
        <v>0</v>
      </c>
      <c r="L221" s="388" t="e">
        <f t="shared" ca="1" si="818"/>
        <v>#N/A</v>
      </c>
      <c r="M221" s="388" t="e">
        <f t="shared" ca="1" si="696"/>
        <v>#N/A</v>
      </c>
      <c r="N221" s="388">
        <f t="shared" ca="1" si="697"/>
        <v>-7.262891123491765E-11</v>
      </c>
      <c r="O221" s="388">
        <f t="shared" ca="1" si="819"/>
        <v>7.2628911234917655E-10</v>
      </c>
      <c r="P221" s="390">
        <v>3</v>
      </c>
      <c r="Q221" s="388">
        <f ca="1">MAX($G221-Control!$C$107,0)</f>
        <v>0</v>
      </c>
      <c r="R221" s="388">
        <f t="shared" ca="1" si="820"/>
        <v>0</v>
      </c>
      <c r="S221" s="388">
        <f t="shared" ca="1" si="698"/>
        <v>0</v>
      </c>
      <c r="T221" s="388">
        <f t="shared" ca="1" si="699"/>
        <v>0</v>
      </c>
      <c r="U221" s="59">
        <f t="shared" ca="1" si="700"/>
        <v>0</v>
      </c>
      <c r="V221" s="391">
        <f ca="1">MAX(0,MIN(Control!$C$100-Control!$C$99,$G221-Control!$C$99)*Control!$C$63)</f>
        <v>0</v>
      </c>
      <c r="W221" s="388">
        <f t="shared" ca="1" si="821"/>
        <v>0</v>
      </c>
      <c r="X221" s="388">
        <f t="shared" ca="1" si="822"/>
        <v>0.6110000000000001</v>
      </c>
      <c r="Y221" s="388">
        <f t="shared" ca="1" si="701"/>
        <v>0</v>
      </c>
      <c r="Z221" s="388">
        <f t="shared" ca="1" si="823"/>
        <v>0.61058800000000002</v>
      </c>
      <c r="AA221" s="388">
        <f t="shared" ca="1" si="702"/>
        <v>0.6018</v>
      </c>
      <c r="AB221" s="388">
        <f ca="1">101.3*EXP(-0.034*Control!$C$66/($G221+273))</f>
        <v>100.69623283836242</v>
      </c>
      <c r="AC221" s="392">
        <f t="shared" ca="1" si="703"/>
        <v>4.3460251046025113E-2</v>
      </c>
      <c r="AD221" s="392">
        <f t="shared" ca="1" si="704"/>
        <v>4.4450382862832649E-2</v>
      </c>
      <c r="AE221" s="388">
        <f t="shared" ca="1" si="705"/>
        <v>0</v>
      </c>
      <c r="AF221" s="388">
        <f ca="1">MAX(0,$G221-Control!$C$92)</f>
        <v>0</v>
      </c>
      <c r="AG221" s="393">
        <f t="shared" ca="1" si="706"/>
        <v>217</v>
      </c>
      <c r="AH221" s="389">
        <f t="shared" ca="1" si="707"/>
        <v>217</v>
      </c>
      <c r="AI221" s="388">
        <f t="shared" ca="1" si="824"/>
        <v>0.29087086490868597</v>
      </c>
      <c r="AJ221" s="388">
        <f ca="1">IF(Control!$C$60&lt;=0,$HH221,$HI221)</f>
        <v>1</v>
      </c>
      <c r="AK221" s="388">
        <f t="shared" ca="1" si="708"/>
        <v>2.3583462659824748</v>
      </c>
      <c r="AL221" s="388">
        <f t="shared" ca="1" si="709"/>
        <v>-1.0279046711025864E-17</v>
      </c>
      <c r="AM221" s="388">
        <f t="shared" ca="1" si="710"/>
        <v>2.3583462659824748</v>
      </c>
      <c r="AN221" s="388">
        <f t="shared" ca="1" si="711"/>
        <v>0.28450372447430777</v>
      </c>
      <c r="AO221" s="388">
        <f ca="1">-0.10453/COS(Control!$B$8*PI()/180)*COS(AN221)</f>
        <v>-0.16295969368509389</v>
      </c>
      <c r="AP221" s="388">
        <f ca="1">ACOS(AO221-TAN(Control!$B$8*PI()/180)*TAN(AN221))</f>
        <v>2.1379834331546683</v>
      </c>
      <c r="AQ221" s="388">
        <f t="shared" ca="1" si="825"/>
        <v>0</v>
      </c>
      <c r="AR221" s="394">
        <f t="shared" ca="1" si="712"/>
        <v>0</v>
      </c>
      <c r="AS221" s="436">
        <f ca="1">IF(Control!$B$18=2,(IF(OR($AH221=Control!$B$175,$AH221=Control!$B$176,$AH221=Control!$B$177,$AH221=Control!$B$178,$AH221=Control!$B$179,$AH221=Control!$B$180,$AH221=Control!$B$181,$AH221=Control!$B$182,$AH221=Control!$B$183,$AH221=Control!$B$184,$AH221=Control!$B$185),1,0)),0)</f>
        <v>0</v>
      </c>
      <c r="AT221" s="436">
        <f>IF(Control!$B$20=8,IF(AND($AH221&gt;=Control!$B$172,$AH221&lt;=Control!$B$173),1,0),0)</f>
        <v>0</v>
      </c>
      <c r="AU221" s="436">
        <f>IF(Control!$B$20=8,IF($AV220=1,1*$AT221,IF($AT221=1,$AU220+1,$AU220)),0)</f>
        <v>0</v>
      </c>
      <c r="AV221" s="436">
        <f>IF(Control!$B$20=8,IF($AU221&gt;=Control!$B$174,1,0),0)</f>
        <v>0</v>
      </c>
      <c r="AW221" s="436">
        <f ca="1">IF(AND(Control!$B$18=2,Control!$B$171=1), $AV221, $AS221)</f>
        <v>0</v>
      </c>
      <c r="AX221" s="436" t="e">
        <f ca="1">IF(AND(Control!$B$18=1,$EU221&gt;=Control!$B$19),-$AY221,IF(AND(Control!$B$18=2,$AW221=1,$EU221&gt;$DS221),-$AY221, IF(Control!$C$108=0,0, IF(Control!$C$108&lt;&gt;0,1))))</f>
        <v>#N/A</v>
      </c>
      <c r="AY221" s="436" t="e">
        <f t="shared" ca="1" si="826"/>
        <v>#N/A</v>
      </c>
      <c r="AZ221" s="436" t="e">
        <f ca="1">IF(AND(Control!$B$18=1,$EB221&gt;Control!$B$19),$AZ220+1, IF(AND(Control!$B$18=2, $AW221=1, $EB221&gt;$DS221), $AZ220+1,$AZ220))</f>
        <v>#N/A</v>
      </c>
      <c r="BA221" s="587">
        <f>IF(Control!$C$81=0,1,IF($AH221&gt;=Control!$C$82,1,0))</f>
        <v>1</v>
      </c>
      <c r="BB221" s="140" t="e">
        <f ca="1">IF($BA221&gt;$BA220,Control!$C$83,IF($AW221&gt;0,$AW221*Control!$C$84,IF(AND(Control!$B$18=1,EN220&lt;&gt;0),Control!$C$84,0)))</f>
        <v>#N/A</v>
      </c>
      <c r="BC221" s="140" t="e">
        <f t="shared" ca="1" si="827"/>
        <v>#N/A</v>
      </c>
      <c r="BD221" s="140" t="e">
        <f ca="1">BC221*IF(OR($G221&lt;Control!$C$92,$G221&gt;Control!$C$95),0,IF(AND($G221&gt;=Control!$C$92,$G221&lt;=Control!$C$93),$G221-Control!$C$92,IF(AND($G221&gt;Control!$C$93,$G221&lt;=Control!$C$94),Control!$C$93-Control!$C$92,IF(AND($G221&gt;Control!$C$94,$G221&lt;=Control!$C$95),(Control!$C$93-Control!$C$92)*(Control!$C$94-$G221)/(Control!$C$95-Control!$C$94)))))</f>
        <v>#N/A</v>
      </c>
      <c r="BE221" s="140" t="e">
        <f t="shared" ca="1" si="828"/>
        <v>#N/A</v>
      </c>
      <c r="BF221" s="140" t="e">
        <f ca="1">IF($BE221&lt;=Control!$C$86,$BE221,Control!$C$86-$BE221)</f>
        <v>#N/A</v>
      </c>
      <c r="BG221" s="140" t="e">
        <f ca="1">IF(AND($AW221=1,Control!$C$84&lt;9),1,IF($BE221&gt;=Control!$C$86,0,$BC221))</f>
        <v>#N/A</v>
      </c>
      <c r="BH221" s="404" t="e">
        <f ca="1">IF($BG221=0,0,IF($BE221&lt;=Control!$C$86,$BC221*9*($BF221/Control!$C$86),0))</f>
        <v>#N/A</v>
      </c>
      <c r="BI221" s="140" t="e">
        <f ca="1">IF($BG221=1,0,IF($BE221&gt;=Control!$C$86,1,IF(AND($BB221&lt;21,$BB221&gt;=9),1,$BM220)))</f>
        <v>#N/A</v>
      </c>
      <c r="BJ221" s="140" t="e">
        <f ca="1">IF($BF221&lt;0,-$BF221,$BI221*IF(OR($G221&lt;Control!$C$92,$G221&gt;Control!$C$95),0,IF(AND($G221&gt;=Control!$C$92,$G221&lt;=Control!$C$93),$G221-Control!$C$92,IF(AND($G221&gt;Control!$C$93,$G221&lt;=Control!$C$94),Control!$C$93-Control!$C$92,IF(AND($G221&gt;Control!$C$94,$G221&lt;=Control!$C$95),(Control!$C$93-Control!$C$92)*(Control!$C$94-$G221)/(Control!$C$95-Control!$C$94))))))</f>
        <v>#N/A</v>
      </c>
      <c r="BK221" s="140" t="e">
        <f t="shared" ca="1" si="829"/>
        <v>#N/A</v>
      </c>
      <c r="BL221" s="140" t="e">
        <f ca="1">IF($BK221&lt;=Control!$C$87,$BK221,Control!$C$87-$BK221)</f>
        <v>#N/A</v>
      </c>
      <c r="BM221" s="140" t="e">
        <f ca="1">IF(AND($BB221&gt;=9,$BB221&lt;21),1,IF($BK221&gt;=Control!$C$87,0,$BI221))</f>
        <v>#N/A</v>
      </c>
      <c r="BN221" s="404" t="e">
        <f ca="1">IF($BM221=0,0,IF($BK221&lt;=Control!$C$87,$BI221*(9+(21-9)*($BL221/Control!$C$87)),0))</f>
        <v>#N/A</v>
      </c>
      <c r="BO221" s="140" t="e">
        <f ca="1">IF($BM221=1,0,IF($BK221&gt;=Control!$C$87,1,IF(AND($BB221&lt;30,$BB221&gt;=21),1,$BS220)))</f>
        <v>#N/A</v>
      </c>
      <c r="BP221" s="140" t="e">
        <f ca="1">IF($BL221&lt;0,-$BL221,$BO221*IF(OR($G221&lt;Control!$C$92,$G221&gt;Control!$C$95),0,IF(AND($G221&gt;=Control!$C$92,$G221&lt;=Control!$C$93),$G221-Control!$C$92,IF(AND($G221&gt;Control!$C$93,$G221&lt;=Control!$C$94),Control!$C$93-Control!$C$92,IF(AND($G221&gt;Control!$C$94,$G221&lt;=Control!$C$95),(Control!$C$93-Control!$C$92)*(Control!$C$94-$G221)/(Control!$C$95-Control!$C$94))))))</f>
        <v>#N/A</v>
      </c>
      <c r="BQ221" s="140" t="e">
        <f t="shared" ca="1" si="713"/>
        <v>#N/A</v>
      </c>
      <c r="BR221" s="140" t="e">
        <f ca="1">IF($BQ221&lt;=Control!$C$88,$BQ221,Control!$C$88-$BQ221)</f>
        <v>#N/A</v>
      </c>
      <c r="BS221" s="140" t="e">
        <f ca="1">IF(AND($BB221&gt;=21,$BB221&lt;30),1,IF($BQ221&gt;=Control!$C$88,0,$BO221))</f>
        <v>#N/A</v>
      </c>
      <c r="BT221" s="404" t="e">
        <f ca="1">IF($BS221=0,0,IF($BQ221&lt;=Control!$C$88,$BO221*(21+(30-21)*(BR221/Control!$C$88)),0))</f>
        <v>#N/A</v>
      </c>
      <c r="BU221" s="140" t="e">
        <f ca="1">IF(BG221+BM221+BS221=1,0,IF(OR(AND($BB221&lt;60,$BB221&gt;=30),$BQ221&gt;=Control!$C$88),1*$BA221,$BY220))</f>
        <v>#N/A</v>
      </c>
      <c r="BV221" s="140" t="e">
        <f ca="1">IF($BR221&lt;0,-$BR221,$BU221*IF(OR($G221&lt;Control!$C$92,$G221&gt;Control!$C$95),0,IF(AND($G221&gt;=Control!$C$92,$G221&lt;=Control!$C$93),$G221-Control!$C$92,IF(AND($G221&gt;Control!$C$93,$G221&lt;=Control!$C$94),Control!$C$93-Control!$C$92,IF(AND($G221&gt;Control!$C$94,$G221&lt;=Control!$C$95),(Control!$C$93-Control!$C$92)*(Control!$C$94-$G221)/(Control!$C$95-Control!$C$94))))))</f>
        <v>#N/A</v>
      </c>
      <c r="BW221" s="140" t="e">
        <f t="shared" ca="1" si="714"/>
        <v>#N/A</v>
      </c>
      <c r="BX221" s="140" t="e">
        <f ca="1">IF($BW221&lt;=Control!$C$89,$BW221,Control!$C$89-$BW221)</f>
        <v>#N/A</v>
      </c>
      <c r="BY221" s="140" t="e">
        <f ca="1">IF(AND($AJ221&gt;=30,$AJ221&lt;60),1,IF($BW221&gt;=Control!$C$89,0,$BU221))</f>
        <v>#N/A</v>
      </c>
      <c r="BZ221" s="404" t="e">
        <f ca="1">IF($BY221=0,0,IF($BW221&lt;=Control!$C$89,$BU221*(30+(60-30)*(BX221/Control!$C$89)),0))</f>
        <v>#N/A</v>
      </c>
      <c r="CA221" s="140" t="e">
        <f ca="1">IF($BG221+$BM221+$BS221+$BY221=1,0,IF(OR(AND($BB221&lt;65,$BB221&gt;=60),$BW221&gt;=Control!$C$89),1*$BA221,$CE220))</f>
        <v>#N/A</v>
      </c>
      <c r="CB221" s="140" t="e">
        <f ca="1">IF($BX221&lt;0,-$BX221,$CA221*IF(OR($G221&lt;Control!$C$92,$G221&gt;Control!$C$95),0,IF(AND($G221&gt;=Control!$C$92,$G221&lt;=Control!$C$93),$G221-Control!$C$92,IF(AND($G221&gt;Control!$C$93,$G221&lt;=Control!$C$94),Control!$C$93-Control!$C$92,IF(AND($G221&gt;Control!$C$94,$G221&lt;=Control!$C$95),(Control!$C$93-Control!$C$92)*(Control!$C$94-$G221)/(Control!$C$95-Control!$C$94))))))</f>
        <v>#N/A</v>
      </c>
      <c r="CC221" s="140" t="e">
        <f t="shared" ca="1" si="830"/>
        <v>#N/A</v>
      </c>
      <c r="CD221" s="140" t="e">
        <f ca="1">IF($CC221&lt;=Control!$C$90,$CC221,Control!$C$90-$CC221)</f>
        <v>#N/A</v>
      </c>
      <c r="CE221" s="140" t="e">
        <f ca="1">IF(AND($BB221&gt;=60,$BB221&lt;65),1,IF($CC221&gt;=Control!$C$90,0,$CA221))</f>
        <v>#N/A</v>
      </c>
      <c r="CF221" s="404" t="e">
        <f ca="1">IF($CE221=0,0,IF($CC221&lt;=Control!$C$90,$CA221*(60+(65-60)*(CD221/Control!$C$90)),0))</f>
        <v>#N/A</v>
      </c>
      <c r="CG221" s="140" t="e">
        <f ca="1">IF($BG221+$BM221+$BS221+$BY221+$CE221=1,0,IF(OR(AND($BB221&lt;90,$BB221&gt;=65),$CC221&gt;=Control!$C$90),$BA221,$CK220))</f>
        <v>#N/A</v>
      </c>
      <c r="CH221" s="140" t="e">
        <f ca="1">IF($CD221&lt;0,-$CD221,$CG221*IF(OR($G221&lt;Control!$C$92,$G221&gt;Control!$C$95),0,IF(AND($G221&gt;=Control!$C$92,$G221&lt;=Control!$C$93),$G221-Control!$C$92,IF(AND($G221&gt;Control!$C$93,$G221&lt;=Control!$C$94),Control!$C$93-Control!$C$92,IF(AND($G221&gt;Control!$C$94,$G221&lt;=Control!$C$95),(Control!$C$93-Control!$C$92)*(Control!$C$94-$G221)/(Control!$C$95-Control!$C$94))))))</f>
        <v>#N/A</v>
      </c>
      <c r="CI221" s="140" t="e">
        <f t="shared" ca="1" si="831"/>
        <v>#N/A</v>
      </c>
      <c r="CJ221" s="140" t="e">
        <f ca="1">IF($CI221&lt;=Control!$C$91,$CI221,Control!$C$91-$CI221)</f>
        <v>#N/A</v>
      </c>
      <c r="CK221" s="140" t="e">
        <f ca="1">IF(AND($BB221&gt;=65,$BB221&lt;90),1,IF($CI221&gt;=Control!$C$91,0,$CG221))</f>
        <v>#N/A</v>
      </c>
      <c r="CL221" s="404" t="e">
        <f ca="1">IF($CK221=0,0,IF($CI221&lt;=Control!$C$91,$CG221*(65+(90-65)*($CJ221/Control!$C$91)),0))</f>
        <v>#N/A</v>
      </c>
      <c r="CM221" s="140" t="e">
        <f ca="1">IF($BG221+$BM221+$BS221+$BY221+$CE221+$CK221=1,0,IF(OR($BB221&gt;=90,$CI221&gt;=Control!$C$91),$BA221,$CM220))</f>
        <v>#N/A</v>
      </c>
      <c r="CN221" s="140" t="e">
        <f t="shared" ca="1" si="832"/>
        <v>#N/A</v>
      </c>
      <c r="CO221" s="140" t="e">
        <f t="shared" ca="1" si="833"/>
        <v>#N/A</v>
      </c>
      <c r="CP221" s="140" t="e">
        <f t="shared" ca="1" si="834"/>
        <v>#N/A</v>
      </c>
      <c r="CQ221" s="141" t="e">
        <f ca="1">VLOOKUP($CP221,Control!$B$86:$G$91,6)</f>
        <v>#N/A</v>
      </c>
      <c r="CR221" s="141" t="e">
        <f ca="1">(1-$CQ221)*VLOOKUP($CP221,Control!$B$86:$D$91,3)</f>
        <v>#N/A</v>
      </c>
      <c r="CS221" s="141" t="e">
        <f ca="1">(1-$CQ221)*VLOOKUP($CP221,Control!$B$86:$E$91,4)</f>
        <v>#N/A</v>
      </c>
      <c r="CT221" s="141" t="e">
        <f ca="1">(1-$CQ221)*VLOOKUP($CP221,Control!$B$86:$F$91,5)</f>
        <v>#N/A</v>
      </c>
      <c r="CU221" s="141">
        <f t="shared" ca="1" si="835"/>
        <v>0</v>
      </c>
      <c r="CV221" s="583">
        <f t="shared" ca="1" si="836"/>
        <v>0</v>
      </c>
      <c r="CW221" s="142">
        <f t="shared" ca="1" si="837"/>
        <v>217</v>
      </c>
      <c r="CX221" s="612" t="e">
        <f ca="1">IF(Control!$C$114=1,(MIN(Control!$C$120*(IF($NT221-0.01&lt;0,0,1)),Control!$C$119-$CY221)))</f>
        <v>#DIV/0!</v>
      </c>
      <c r="CY221" s="143" t="e">
        <f t="shared" ca="1" si="838"/>
        <v>#N/A</v>
      </c>
      <c r="CZ221" s="144">
        <f t="shared" ca="1" si="715"/>
        <v>0</v>
      </c>
      <c r="DA221" s="144">
        <f t="shared" ca="1" si="716"/>
        <v>0</v>
      </c>
      <c r="DB221" s="144" t="e">
        <f t="shared" ca="1" si="717"/>
        <v>#N/A</v>
      </c>
      <c r="DC221" s="144" t="e">
        <f t="shared" ca="1" si="718"/>
        <v>#N/A</v>
      </c>
      <c r="DD221" s="144" t="e">
        <f t="shared" ca="1" si="923"/>
        <v>#N/A</v>
      </c>
      <c r="DE221" s="143" t="e">
        <f t="shared" ca="1" si="839"/>
        <v>#N/A</v>
      </c>
      <c r="DF221" s="145" t="e">
        <f ca="1">$DR221*EXP(-Control!$C$158*(1-$KH221))</f>
        <v>#N/A</v>
      </c>
      <c r="DG221" s="146" t="e">
        <f ca="1">IF(Control!$C$114=1, $DF221*$EY221, 0)</f>
        <v>#N/A</v>
      </c>
      <c r="DH221" s="147" t="e">
        <f t="shared" ca="1" si="840"/>
        <v>#N/A</v>
      </c>
      <c r="DI221" s="144" t="e">
        <f t="shared" ca="1" si="901"/>
        <v>#N/A</v>
      </c>
      <c r="DJ221" s="147" t="e">
        <f ca="1">$EF221*Control!$C$109</f>
        <v>#N/A</v>
      </c>
      <c r="DK221" s="144" t="e">
        <f t="shared" ca="1" si="841"/>
        <v>#N/A</v>
      </c>
      <c r="DL221" s="144" t="e">
        <f t="shared" ca="1" si="719"/>
        <v>#N/A</v>
      </c>
      <c r="DM221" s="144" t="e">
        <f ca="1">IF(Control!$C$114=1, (1-EXP(-Control!$C$96*$DK221))*$AR221, 0)</f>
        <v>#N/A</v>
      </c>
      <c r="DN221" s="144">
        <f t="shared" ca="1" si="842"/>
        <v>0</v>
      </c>
      <c r="DO221" s="148">
        <f>Control!$C$97</f>
        <v>4</v>
      </c>
      <c r="DP221" s="145" t="e">
        <f t="shared" ca="1" si="843"/>
        <v>#N/A</v>
      </c>
      <c r="DQ221" s="145" t="e">
        <f ca="1">IF(AND($CP221&gt;=0,$CP221&lt;=90),Control!$C$111,Control!$C$111)</f>
        <v>#N/A</v>
      </c>
      <c r="DR221" s="145" t="e">
        <f t="shared" ca="1" si="720"/>
        <v>#N/A</v>
      </c>
      <c r="DS221" s="143" t="e">
        <f ca="1">Control!$B$22/$DR221</f>
        <v>#N/A</v>
      </c>
      <c r="DT221" s="149" t="e">
        <f ca="1">IF(AND(Control!$C$114=1,$KH221&lt;1),$IM221*$DF221, 0)</f>
        <v>#N/A</v>
      </c>
      <c r="DU221" s="144" t="e">
        <f t="shared" ca="1" si="844"/>
        <v>#N/A</v>
      </c>
      <c r="DV221" s="144">
        <f ca="1">IF($G221-Control!$C$107&lt;=0, 0, 0.83*LN(MAX($G221, 3))-0.8924)</f>
        <v>0</v>
      </c>
      <c r="DW221" s="144" t="e">
        <f t="shared" ca="1" si="721"/>
        <v>#N/A</v>
      </c>
      <c r="DX221" s="150" t="e">
        <f ca="1">MAX(0.01*(1+$CU221/Control!$C$102),0.05*($DK221-Control!$C$97)/Control!$C$97)</f>
        <v>#N/A</v>
      </c>
      <c r="DY221" s="151" t="e">
        <f ca="1">IF(Control!$C$114=1, $DI221*$FS221, 0)</f>
        <v>#N/A</v>
      </c>
      <c r="DZ221" s="196" t="e">
        <f t="shared" ca="1" si="845"/>
        <v>#N/A</v>
      </c>
      <c r="EA221" s="152">
        <f t="shared" ca="1" si="846"/>
        <v>217</v>
      </c>
      <c r="EB221" s="153" t="e">
        <f t="shared" ca="1" si="847"/>
        <v>#N/A</v>
      </c>
      <c r="EC221" s="153" t="e">
        <f t="shared" ca="1" si="848"/>
        <v>#N/A</v>
      </c>
      <c r="ED221" s="154" t="e">
        <f ca="1">IF(Control!$C$114=1, $HM221*$FY221-$FD221, 0)</f>
        <v>#DIV/0!</v>
      </c>
      <c r="EE221" s="155" t="e">
        <f ca="1">IF(Control!$C$114=1, $HM221*$FZ221-$FF221, 0)</f>
        <v>#DIV/0!</v>
      </c>
      <c r="EF221" s="153" t="e">
        <f t="shared" ca="1" si="902"/>
        <v>#N/A</v>
      </c>
      <c r="EG221" s="155" t="e">
        <f ca="1">IF(Control!$C$114=1, $GX221*$FW221-$FI221, 0)</f>
        <v>#DIV/0!</v>
      </c>
      <c r="EH221" s="153" t="e">
        <f t="shared" ca="1" si="849"/>
        <v>#N/A</v>
      </c>
      <c r="EI221" s="156" t="e">
        <f t="shared" ca="1" si="850"/>
        <v>#N/A</v>
      </c>
      <c r="EJ221" s="155" t="e">
        <f ca="1">IF(Control!$C$114=1, $HM221*$GB221, 0)</f>
        <v>#DIV/0!</v>
      </c>
      <c r="EK221" s="153" t="e">
        <f t="shared" ca="1" si="903"/>
        <v>#N/A</v>
      </c>
      <c r="EL221" s="153" t="e">
        <f t="shared" ca="1" si="722"/>
        <v>#N/A</v>
      </c>
      <c r="EM221" s="153" t="e">
        <f t="shared" ca="1" si="723"/>
        <v>#N/A</v>
      </c>
      <c r="EN221" s="153" t="e">
        <f ca="1">IF(Control!$C$108=1,IF(AND(Control!$B$18=1,$EB221&gt;=Control!$B$19),$EB221-$DS221,IF(AND(Control!$B$18=2,$AW221=1,$EB221&gt;$DS221),$EB221-$DS221,0)))</f>
        <v>#N/A</v>
      </c>
      <c r="EO221" s="153" t="e">
        <f ca="1">IF(Control!$C$108=1,IF(AND(Control!$B$18=1,$EB221&gt;=Control!$B$19),$EF221,IF(AND(Control!$B$18=2,$AW221=1),$EF221,0)))</f>
        <v>#N/A</v>
      </c>
      <c r="EP221" s="153" t="e">
        <f ca="1">IF(Control!$C$108=1,IF(AND(Control!$B$18=1,$EB221&gt;=Control!$B$19),$EK221,IF(AND(Control!$B$18=2,$AW221=1),$EK221,0)))</f>
        <v>#N/A</v>
      </c>
      <c r="EQ221" s="153" t="e">
        <f t="shared" ca="1" si="851"/>
        <v>#N/A</v>
      </c>
      <c r="ER221" s="153" t="e">
        <f t="shared" ca="1" si="852"/>
        <v>#N/A</v>
      </c>
      <c r="ES221" s="153" t="e">
        <f t="shared" ca="1" si="904"/>
        <v>#N/A</v>
      </c>
      <c r="ET221" s="153" t="e">
        <f t="shared" ca="1" si="905"/>
        <v>#N/A</v>
      </c>
      <c r="EU221" s="153" t="e">
        <f t="shared" ca="1" si="853"/>
        <v>#N/A</v>
      </c>
      <c r="EV221" s="153" t="e">
        <f t="shared" ca="1" si="724"/>
        <v>#N/A</v>
      </c>
      <c r="EW221" s="153" t="e">
        <f t="shared" ca="1" si="725"/>
        <v>#N/A</v>
      </c>
      <c r="EX221" s="153" t="e">
        <f t="shared" ca="1" si="726"/>
        <v>#N/A</v>
      </c>
      <c r="EY221" s="157" t="e">
        <f t="shared" ca="1" si="727"/>
        <v>#DIV/0!</v>
      </c>
      <c r="EZ221" s="154" t="e">
        <f t="shared" ca="1" si="728"/>
        <v>#DIV/0!</v>
      </c>
      <c r="FA221" s="153" t="e">
        <f t="shared" ca="1" si="854"/>
        <v>#N/A</v>
      </c>
      <c r="FB221" s="153" t="e">
        <f t="shared" ca="1" si="729"/>
        <v>#N/A</v>
      </c>
      <c r="FC221" s="193" t="e">
        <f t="shared" ca="1" si="730"/>
        <v>#N/A</v>
      </c>
      <c r="FD221" s="158" t="e">
        <f t="shared" ca="1" si="855"/>
        <v>#N/A</v>
      </c>
      <c r="FE221" s="158" t="e">
        <f t="shared" ca="1" si="856"/>
        <v>#N/A</v>
      </c>
      <c r="FF221" s="159" t="e">
        <f t="shared" ca="1" si="731"/>
        <v>#N/A</v>
      </c>
      <c r="FG221" s="160" t="e">
        <f t="shared" ca="1" si="857"/>
        <v>#N/A</v>
      </c>
      <c r="FH221" s="158" t="e">
        <f t="shared" ca="1" si="858"/>
        <v>#N/A</v>
      </c>
      <c r="FI221" s="159" t="e">
        <f t="shared" ca="1" si="732"/>
        <v>#N/A</v>
      </c>
      <c r="FJ221" s="160" t="e">
        <f t="shared" ca="1" si="859"/>
        <v>#N/A</v>
      </c>
      <c r="FK221" s="160" t="e">
        <f t="shared" ca="1" si="733"/>
        <v>#N/A</v>
      </c>
      <c r="FL221" s="160" t="e">
        <f t="shared" ca="1" si="906"/>
        <v>#N/A</v>
      </c>
      <c r="FM221" s="160" t="e">
        <f t="shared" ca="1" si="734"/>
        <v>#N/A</v>
      </c>
      <c r="FN221" s="158">
        <f t="shared" ca="1" si="860"/>
        <v>0.01</v>
      </c>
      <c r="FO221" s="160">
        <f>Control!$C$101</f>
        <v>50</v>
      </c>
      <c r="FP221" s="150" t="e">
        <f t="shared" ca="1" si="735"/>
        <v>#N/A</v>
      </c>
      <c r="FQ221" s="150" t="e">
        <f ca="1">MAX(0,(Control!$C$112*(($DK221-Control!$C$97)/Control!$C$97)))</f>
        <v>#N/A</v>
      </c>
      <c r="FR221" s="150" t="e">
        <f ca="1">(1-$NT221)*Control!$C$113</f>
        <v>#DIV/0!</v>
      </c>
      <c r="FS221" s="198" t="e">
        <f t="shared" ca="1" si="736"/>
        <v>#N/A</v>
      </c>
      <c r="FT221" s="161">
        <f t="shared" ca="1" si="861"/>
        <v>217</v>
      </c>
      <c r="FU221" s="162" t="e">
        <f ca="1">IF(Control!$B$34=1,VLOOKUP($CP221,Control!$B$86:$G$91,6),Control!$B$35)</f>
        <v>#N/A</v>
      </c>
      <c r="FV221" s="162" t="e">
        <f t="shared" ca="1" si="737"/>
        <v>#DIV/0!</v>
      </c>
      <c r="FW221" s="162" t="e">
        <f ca="1">IF(Control!$B$31=1,$FU221*$FV221,  $FU221)</f>
        <v>#N/A</v>
      </c>
      <c r="FX221" s="162" t="e">
        <f ca="1">IF(Control!$B$34=1,VLOOKUP($CP221,Control!$B$86:$G$91,3),Control!$B$36)</f>
        <v>#N/A</v>
      </c>
      <c r="FY221" s="162" t="e">
        <f t="shared" ca="1" si="738"/>
        <v>#N/A</v>
      </c>
      <c r="FZ221" s="162" t="e">
        <f ca="1">IF(Control!$B$34=1,VLOOKUP($CP221,Control!$B$86:$G$91,4),Control!$B$37)</f>
        <v>#N/A</v>
      </c>
      <c r="GA221" s="162" t="e">
        <f t="shared" ca="1" si="739"/>
        <v>#N/A</v>
      </c>
      <c r="GB221" s="162" t="e">
        <f ca="1">IF(Control!$B$34=1,VLOOKUP($CP221,Control!$B$86:$G$91,5),Control!$B$38)</f>
        <v>#N/A</v>
      </c>
      <c r="GC221" s="162" t="e">
        <f t="shared" ca="1" si="862"/>
        <v>#N/A</v>
      </c>
      <c r="GD221" s="162">
        <f t="shared" ca="1" si="740"/>
        <v>1</v>
      </c>
      <c r="GE221" s="162">
        <f t="shared" ca="1" si="741"/>
        <v>1</v>
      </c>
      <c r="GF221" s="162">
        <f ca="1">IF(AND(Control!$C$104=1, Control!$C$62="F"),$GE221,1)</f>
        <v>1</v>
      </c>
      <c r="GG221" s="162" t="e">
        <f ca="1">IF(Control!$B$16=40,0,IF(AND(Control!$B$16&gt;40,Control!$B$16&lt;=360),(Control!$B$16-40)*((1-0)/(360-40)),IF(AND(Control!$B$16&gt;360,Control!$B$16&lt;=720),(1+(Control!$B$16-360)*((1.25-1)/(720-360))),IF(AND(Control!$B$16&gt;720,Control!$B$16&lt;=1000),(1.25+(Control!$B$16-720)*((1.35-1.25)/(1000-720))),IF(AND(Control!$B$16&gt;1000,Control!$B$16&lt;=2000),(1.35+(Control!$B$16-1000)*0))))))</f>
        <v>#N/A</v>
      </c>
      <c r="GH221" s="162" t="e">
        <f t="shared" ca="1" si="742"/>
        <v>#N/A</v>
      </c>
      <c r="GI221" s="162">
        <f t="shared" ca="1" si="863"/>
        <v>0</v>
      </c>
      <c r="GJ221" s="162">
        <f t="shared" ca="1" si="743"/>
        <v>0</v>
      </c>
      <c r="GK221" s="162">
        <f t="shared" ca="1" si="864"/>
        <v>1</v>
      </c>
      <c r="GL221" s="162">
        <f t="shared" ca="1" si="744"/>
        <v>1</v>
      </c>
      <c r="GM221" s="162" t="e">
        <f ca="1">MAX(0,MIN(1,1-Control!$C$156*(1.0001-$KH221)^2))</f>
        <v>#N/A</v>
      </c>
      <c r="GN221" s="162" t="e">
        <f ca="1">IF(Control!$B$26=1,$KU221,$KX221)</f>
        <v>#N/A</v>
      </c>
      <c r="GO221" s="162" t="e">
        <f ca="1">IF($CP221&lt;=60,Control!$C$105,IF($CP221&gt;=90,Control!$C$106,Control!$C$105+($CP221-60)*((Control!$C$106-Control!$C$105)/(90-60))))</f>
        <v>#N/A</v>
      </c>
      <c r="GP221" s="162" t="e">
        <f t="shared" ca="1" si="745"/>
        <v>#N/A</v>
      </c>
      <c r="GQ221" s="162" t="e">
        <f t="shared" ca="1" si="865"/>
        <v>#N/A</v>
      </c>
      <c r="GR221" s="163" t="e">
        <f t="shared" ca="1" si="746"/>
        <v>#DIV/0!</v>
      </c>
      <c r="GS221" s="162" t="e">
        <f t="shared" ca="1" si="747"/>
        <v>#DIV/0!</v>
      </c>
      <c r="GT221" s="164" t="e">
        <f t="shared" ca="1" si="866"/>
        <v>#N/A</v>
      </c>
      <c r="GU221" s="162" t="e">
        <f t="shared" ca="1" si="867"/>
        <v>#N/A</v>
      </c>
      <c r="GV221" s="162" t="e">
        <f t="shared" ca="1" si="748"/>
        <v>#N/A</v>
      </c>
      <c r="GW221" s="162" t="e">
        <f t="shared" ca="1" si="749"/>
        <v>#DIV/0!</v>
      </c>
      <c r="GX221" s="162" t="e">
        <f t="shared" ca="1" si="868"/>
        <v>#DIV/0!</v>
      </c>
      <c r="GY221" s="162" t="e">
        <f t="shared" ca="1" si="869"/>
        <v>#DIV/0!</v>
      </c>
      <c r="GZ221" s="165" t="e">
        <f t="shared" ca="1" si="750"/>
        <v>#N/A</v>
      </c>
      <c r="HA221" s="162" t="e">
        <f ca="1">IF(Control!$C$114=1, $DI221*$FS221, 0)</f>
        <v>#N/A</v>
      </c>
      <c r="HB221" s="162" t="e">
        <f ca="1">$FA221/Control!$C$64</f>
        <v>#N/A</v>
      </c>
      <c r="HC221" s="162" t="e">
        <f t="shared" ca="1" si="751"/>
        <v>#DIV/0!</v>
      </c>
      <c r="HD221" s="162">
        <f ca="1">-ASIN(SIN(23.45*Control!$C$139)*COS(2*Control!$C$138*($AH221+10)/365))</f>
        <v>0.29087086490868597</v>
      </c>
      <c r="HE221" s="165">
        <f t="shared" ca="1" si="870"/>
        <v>0</v>
      </c>
      <c r="HF221" s="166">
        <f ca="1">IF(AND(Control!$C$61="T",$HE221&gt;=Control!$C$103,Control!$C$114=0),$AH221,Control!$C$59)</f>
        <v>1</v>
      </c>
      <c r="HG221" s="166">
        <f ca="1">IF(AND(Control!$C$61="T",$HE221&gt;=Control!$C$103,Control!$C$114=0),$HF221,Control!$C$59)</f>
        <v>1</v>
      </c>
      <c r="HH221" s="165">
        <f ca="1">IF(AND(OR(Control!$C$60&lt;=0, $AH221= Control!$C$59, Control!$C$60 &gt;0, $AH221 = Control!$C$60)), Control!$C$59, IF(Control!$C$60&gt;0, 0))</f>
        <v>1</v>
      </c>
      <c r="HI221" s="165">
        <f ca="1">IF(AND(OR(Control!$C$60&lt;=0, $AH221= Control!$C$59, Control!$C$60 &gt;0, $AH221 = Control!$C$60)), Control!$C$60, IF(Control!$C$60&lt;=0, 0))</f>
        <v>0</v>
      </c>
      <c r="HJ221" s="166">
        <f ca="1">IF(AND(Control!$C$62="F",$CV221&gt;=Control!$C$102),$AH221,0)</f>
        <v>0</v>
      </c>
      <c r="HK221" s="165" t="e">
        <f t="shared" ca="1" si="907"/>
        <v>#N/A</v>
      </c>
      <c r="HL221" s="166">
        <f ca="1">IF(AND(Control!$C$61="T",$HE221&gt;=Control!$C$103,Control!$C$114=0),$HF221,0)</f>
        <v>0</v>
      </c>
      <c r="HM221" s="201" t="e">
        <f t="shared" ca="1" si="752"/>
        <v>#DIV/0!</v>
      </c>
      <c r="HN221" s="215">
        <f t="shared" ca="1" si="871"/>
        <v>217</v>
      </c>
      <c r="HO221" s="216" t="e">
        <f ca="1">IF(AND($CP221&gt;=0, $CP221&lt;=90), Control!$C$152, Control!$C$152)</f>
        <v>#N/A</v>
      </c>
      <c r="HP221" s="216" t="e">
        <f t="shared" ca="1" si="753"/>
        <v>#N/A</v>
      </c>
      <c r="HQ221" s="217" t="e">
        <f ca="1">IF(OR(Control!$B$26=1,Control!$B$26=2),$KV221,$KS221)</f>
        <v>#DIV/0!</v>
      </c>
      <c r="HR221" s="218" t="e">
        <f t="shared" ca="1" si="908"/>
        <v>#DIV/0!</v>
      </c>
      <c r="HS221" s="216" t="e">
        <f ca="1">Control!$C$154*$HP221</f>
        <v>#N/A</v>
      </c>
      <c r="HT221" s="216" t="e">
        <f ca="1">Control!$C$155*$HP221</f>
        <v>#N/A</v>
      </c>
      <c r="HU221" s="217" t="e">
        <f ca="1">Control!$C$161*$FI221</f>
        <v>#N/A</v>
      </c>
      <c r="HV221" s="218" t="e">
        <f t="shared" ca="1" si="872"/>
        <v>#N/A</v>
      </c>
      <c r="HW221" s="218" t="e">
        <f ca="1">Control!$C$160*$FF221+$IP221*$EO221</f>
        <v>#N/A</v>
      </c>
      <c r="HX221" s="218" t="e">
        <f t="shared" ca="1" si="909"/>
        <v>#N/A</v>
      </c>
      <c r="HY221" s="219" t="e">
        <f ca="1">IF(Control!$C$114=1, $EB221*$FS221, 0)</f>
        <v>#N/A</v>
      </c>
      <c r="HZ221" s="91" t="e">
        <f t="shared" ca="1" si="754"/>
        <v>#N/A</v>
      </c>
      <c r="IA221" s="220" t="e">
        <f ca="1">Control!$C$153*$HO221</f>
        <v>#N/A</v>
      </c>
      <c r="IB221" s="218" t="e">
        <f t="shared" ca="1" si="755"/>
        <v>#N/A</v>
      </c>
      <c r="IC221" s="220" t="e">
        <f ca="1">Control!$C$153*$HT221</f>
        <v>#N/A</v>
      </c>
      <c r="ID221" s="218" t="e">
        <f t="shared" ca="1" si="756"/>
        <v>#N/A</v>
      </c>
      <c r="IE221" s="221" t="e">
        <f ca="1">($EB221*Control!$C$159+$EF221*Control!$C$160)/(IF($GZ221&lt;&gt;0,$GZ221,1))</f>
        <v>#N/A</v>
      </c>
      <c r="IF221" s="216" t="e">
        <f t="shared" ca="1" si="757"/>
        <v>#N/A</v>
      </c>
      <c r="IG221" s="91">
        <f ca="1">IF(OR(Control!$B$198=$AH221,Control!$B$199=$AH221, Control!$B$200=$AH221, Control!$B$201=$AH221, Control!$B$202=$AH221, Control!$B$203=$AH221, Control!$B$204=$AH221, Control!$B$205=$AH221, Control!$B$206=$AH221, Control!$B$207=$AH221), 1, 0)</f>
        <v>0</v>
      </c>
      <c r="IH221" s="91">
        <f ca="1">IF($IG221=0,0, VLOOKUP($AH221,Control!$B$198:$C$207,2))</f>
        <v>0</v>
      </c>
      <c r="II221" s="222">
        <f t="shared" ca="1" si="873"/>
        <v>0</v>
      </c>
      <c r="IJ221" s="91">
        <f>Control!$C$121</f>
        <v>0.7</v>
      </c>
      <c r="IK221" s="218">
        <f t="shared" ca="1" si="758"/>
        <v>0</v>
      </c>
      <c r="IL221" s="217" t="e">
        <f t="shared" ca="1" si="910"/>
        <v>#N/A</v>
      </c>
      <c r="IM221" s="223" t="e">
        <f ca="1">IF(AND(Control!$C$114=1,$KH221&lt;1),$EB221*Control!$C$148*(1-$KH221), 0)</f>
        <v>#N/A</v>
      </c>
      <c r="IN221" s="217" t="e">
        <f t="shared" ca="1" si="759"/>
        <v>#DIV/0!</v>
      </c>
      <c r="IO221" s="91" t="e">
        <f ca="1">MAX(0,$IL221-$EF221*Control!$C$160)</f>
        <v>#N/A</v>
      </c>
      <c r="IP221" s="220" t="e">
        <f t="shared" ca="1" si="760"/>
        <v>#N/A</v>
      </c>
      <c r="IQ221" s="217" t="e">
        <f t="shared" ca="1" si="874"/>
        <v>#N/A</v>
      </c>
      <c r="IR221" s="218" t="e">
        <f t="shared" ca="1" si="761"/>
        <v>#N/A</v>
      </c>
      <c r="IS221" s="217" t="e">
        <f ca="1">Control!$C$159*MAX(0,$FD221-$EN221)</f>
        <v>#N/A</v>
      </c>
      <c r="IT221" s="217" t="e">
        <f t="shared" ca="1" si="911"/>
        <v>#N/A</v>
      </c>
      <c r="IU221" s="217" t="e">
        <f t="shared" ca="1" si="875"/>
        <v>#N/A</v>
      </c>
      <c r="IV221" s="217" t="e">
        <f t="shared" ca="1" si="912"/>
        <v>#N/A</v>
      </c>
      <c r="IW221" s="217" t="e">
        <f ca="1">IF(OR($AW221=1,AND($AW221=0, Control!$B$18=1,$EN221&lt;&gt;0)), $IQ221-$IU221, $IQ221)</f>
        <v>#N/A</v>
      </c>
      <c r="IX221" s="218" t="e">
        <f t="shared" ca="1" si="762"/>
        <v>#N/A</v>
      </c>
      <c r="IY221" s="218" t="e">
        <f ca="1">MAX(0,$IQ221-$EB221*Control!$C$159)</f>
        <v>#N/A</v>
      </c>
      <c r="IZ221" s="218" t="e">
        <f t="shared" ca="1" si="763"/>
        <v>#N/A</v>
      </c>
      <c r="JA221" s="216" t="e">
        <f t="shared" ca="1" si="764"/>
        <v>#N/A</v>
      </c>
      <c r="JB221" s="217" t="e">
        <f t="shared" ca="1" si="765"/>
        <v>#N/A</v>
      </c>
      <c r="JC221" s="222" t="e">
        <f ca="1">MAX(Control!$C$157*$EK221-$JT221, 0)/Control!$C$162</f>
        <v>#N/A</v>
      </c>
      <c r="JD221" s="218" t="e">
        <f t="shared" ca="1" si="766"/>
        <v>#N/A</v>
      </c>
      <c r="JE221" s="218" t="e">
        <f t="shared" ca="1" si="767"/>
        <v>#N/A</v>
      </c>
      <c r="JF221" s="218" t="e">
        <f t="shared" ca="1" si="876"/>
        <v>#N/A</v>
      </c>
      <c r="JG221" s="218" t="e">
        <f t="shared" ca="1" si="768"/>
        <v>#N/A</v>
      </c>
      <c r="JH221" s="217" t="e">
        <f t="shared" ca="1" si="877"/>
        <v>#N/A</v>
      </c>
      <c r="JI221" s="217" t="e">
        <f t="shared" ca="1" si="878"/>
        <v>#N/A</v>
      </c>
      <c r="JJ221" s="217" t="e">
        <f t="shared" ca="1" si="913"/>
        <v>#N/A</v>
      </c>
      <c r="JK221" s="217" t="e">
        <f ca="1">IF(Control!$C$114=1,IF(Control!$B$24=0,MAX(0,$JI221)*$GN221/Control!$C$64,(MAX(0,MIN($JI221,$JJ221*$GN221/Control!$C$64),0))))</f>
        <v>#N/A</v>
      </c>
      <c r="JL221" s="217" t="e">
        <f ca="1">$IK221/Control!$C$64-$JK221+$HQ221</f>
        <v>#N/A</v>
      </c>
      <c r="JM221" s="217" t="e">
        <f ca="1">IF(Control!$C$114=1,($JB221/(IF($JI221&lt;&gt;0,$JI221,1)))*$JK221,0)</f>
        <v>#N/A</v>
      </c>
      <c r="JN221" s="217" t="e">
        <f ca="1">IF(Control!$C$114=1,($JG221/(IF($JI221&lt;&gt;0,$JI221,1)))*$JK221, 0)</f>
        <v>#N/A</v>
      </c>
      <c r="JO221" s="218" t="e">
        <f t="shared" ca="1" si="769"/>
        <v>#N/A</v>
      </c>
      <c r="JP221" s="218" t="e">
        <f ca="1">MIN(($IY221+$IO221)*Control!$C$151, $JF221-$EH221*Control!$C$161)</f>
        <v>#N/A</v>
      </c>
      <c r="JQ221" s="218" t="e">
        <f t="shared" ca="1" si="770"/>
        <v>#N/A</v>
      </c>
      <c r="JR221" s="217" t="e">
        <f ca="1">IF($CP221-Control!$C$150&lt;0, 0, $JQ221/Control!$C$162)</f>
        <v>#N/A</v>
      </c>
      <c r="JS221" s="218" t="e">
        <f t="shared" ca="1" si="771"/>
        <v>#N/A</v>
      </c>
      <c r="JT221" s="218" t="e">
        <f t="shared" ca="1" si="879"/>
        <v>#N/A</v>
      </c>
      <c r="JU221" s="218" t="e">
        <f t="shared" ca="1" si="772"/>
        <v>#N/A</v>
      </c>
      <c r="JV221" s="218" t="e">
        <f t="shared" ca="1" si="773"/>
        <v>#N/A</v>
      </c>
      <c r="JW221" s="216" t="e">
        <f t="shared" ca="1" si="774"/>
        <v>#N/A</v>
      </c>
      <c r="JX221" s="91" t="e">
        <f t="shared" ca="1" si="775"/>
        <v>#N/A</v>
      </c>
      <c r="JY221" s="218" t="e">
        <f t="shared" ca="1" si="776"/>
        <v>#N/A</v>
      </c>
      <c r="JZ221" s="217" t="e">
        <f ca="1">IF(Control!$C$114=1,($IZ221/(IF($JI221&lt;&gt;0,$JI221,1)))*$JK221, 0)</f>
        <v>#N/A</v>
      </c>
      <c r="KA221" s="218" t="e">
        <f t="shared" ca="1" si="914"/>
        <v>#N/A</v>
      </c>
      <c r="KB221" s="218" t="e">
        <f t="shared" ca="1" si="880"/>
        <v>#N/A</v>
      </c>
      <c r="KC221" s="218" t="e">
        <f t="shared" ca="1" si="777"/>
        <v>#N/A</v>
      </c>
      <c r="KD221" s="218" t="e">
        <f t="shared" ca="1" si="778"/>
        <v>#N/A</v>
      </c>
      <c r="KE221" s="218" t="e">
        <f t="shared" ca="1" si="779"/>
        <v>#N/A</v>
      </c>
      <c r="KF221" s="218" t="e">
        <f t="shared" ca="1" si="780"/>
        <v>#N/A</v>
      </c>
      <c r="KG221" s="216" t="e">
        <f t="shared" ca="1" si="781"/>
        <v>#N/A</v>
      </c>
      <c r="KH221" s="221" t="e">
        <f ca="1">IF(Control!$B$24=0,1,MAX(0.001,MIN(1,IF(($IF221-$IE221)&lt;&gt;0,($KG221-$IE221)/($IF221-$IE221),1))))</f>
        <v>#N/A</v>
      </c>
      <c r="KI221" s="222" t="e">
        <f ca="1">IF(Control!$C$114=1, $KI220+ $KH220, 0)</f>
        <v>#N/A</v>
      </c>
      <c r="KJ221" s="217" t="e">
        <f t="shared" ca="1" si="782"/>
        <v>#N/A</v>
      </c>
      <c r="KK221" s="218" t="e">
        <f t="shared" ca="1" si="783"/>
        <v>#N/A</v>
      </c>
      <c r="KL221" s="274" t="e">
        <f ca="1">IF(Control!$B$26=3,4000000000*EXP(-8400/($G221+273)),IF(Control!$B$26=4,4000000000*EXP(-8400/($G221+273))*($KT221),0))</f>
        <v>#DIV/0!</v>
      </c>
      <c r="KM221" s="274" t="e">
        <f ca="1">IF(Control!$B$26=3,5600000000000*EXP(-9800/($G221+273)),IF(Control!$B$26=4,5600000000000*EXP(-9800/($G221+273))*$KT221,0))</f>
        <v>#DIV/0!</v>
      </c>
      <c r="KN221" s="454" t="e">
        <f t="shared" ca="1" si="881"/>
        <v>#DIV/0!</v>
      </c>
      <c r="KO221" s="274" t="e">
        <f t="shared" ca="1" si="882"/>
        <v>#DIV/0!</v>
      </c>
      <c r="KP221" s="454" t="e">
        <f t="shared" ca="1" si="784"/>
        <v>#DIV/0!</v>
      </c>
      <c r="KQ221" s="454" t="e">
        <f t="shared" ca="1" si="785"/>
        <v>#DIV/0!</v>
      </c>
      <c r="KR221" s="454" t="e">
        <f t="shared" ca="1" si="786"/>
        <v>#DIV/0!</v>
      </c>
      <c r="KS221" s="454" t="e">
        <f t="shared" ca="1" si="787"/>
        <v>#DIV/0!</v>
      </c>
      <c r="KT221" s="455" t="e">
        <f t="shared" ca="1" si="788"/>
        <v>#DIV/0!</v>
      </c>
      <c r="KU221" s="456" t="e">
        <f ca="1">IF($CP221-Control!$C$149&lt;0, IF($NT221-0.01&lt;0,0,1),0)</f>
        <v>#N/A</v>
      </c>
      <c r="KV221" s="456" t="e">
        <f ca="1">IF(Control!$C$114=1,MAX(0,MIN(Control!$C$125*$KW221*$GN221,$KW221)))</f>
        <v>#DIV/0!</v>
      </c>
      <c r="KW221" s="456" t="e">
        <f t="shared" ca="1" si="915"/>
        <v>#DIV/0!</v>
      </c>
      <c r="KX221" s="457" t="e">
        <f ca="1">IF($CP221-Control!$C$149&lt;0, IF($MR221-$OM221&lt;0,0,1),0)</f>
        <v>#N/A</v>
      </c>
      <c r="KY221" s="167">
        <f t="shared" ca="1" si="883"/>
        <v>217</v>
      </c>
      <c r="KZ221" s="168">
        <f ca="1">1370*(1+0.033*COS(2*Control!$C$138*$AH221/365))</f>
        <v>1332.5315253519482</v>
      </c>
      <c r="LA221" s="169">
        <f t="shared" ca="1" si="884"/>
        <v>0.97265058712324137</v>
      </c>
      <c r="LB221" s="169">
        <f t="shared" ca="1" si="885"/>
        <v>0.29228792298525702</v>
      </c>
      <c r="LC221" s="169">
        <f ca="1">ACOS(-TAN((2*Control!$B$8/360))*TAN(Calculations!$LB221))</f>
        <v>1.6603462168544363</v>
      </c>
      <c r="LD221" s="169">
        <f ca="1">((24*60)/PI())*0.082*$LA221*(($LC221*SIN(Control!$B$8*2*PI()/360))*SIN($LB221)+COS(Control!$B$8*2*PI()/360)*COS($LB221)*SIN($LC221))</f>
        <v>35.248792334171895</v>
      </c>
      <c r="LE221" s="170">
        <f t="shared" ca="1" si="789"/>
        <v>36.155372604414218</v>
      </c>
      <c r="LF221" s="170">
        <f ca="1">SIN(Control!$C$139*Control!$B$8)*SIN($HD221)</f>
        <v>0.22599131332411063</v>
      </c>
      <c r="LG221" s="170">
        <f ca="1">COS(Control!$C$139*Control!$B$8)*COS($HD221)</f>
        <v>0.58979869671740626</v>
      </c>
      <c r="LH221" s="170">
        <f ca="1">12*(1+2*ASIN(MAX(-1,MIN(1,$LF221/$LG221))/Control!$C$138))</f>
        <v>14.934478576874406</v>
      </c>
      <c r="LI221" s="170">
        <f ca="1">12*(1+2*ASIN(MAX(-1,MIN(1,(-SIN(-4*Control!$C$139)+$LF221)/$LG221))/Control!$C$138))</f>
        <v>15.847155899954121</v>
      </c>
      <c r="LJ221" s="168">
        <f ca="1">3600*($LH221*$LF221+24*$LG221*SQRT(1-$LK221*$LK221)/Control!$C$138)</f>
        <v>27132.845952642558</v>
      </c>
      <c r="LK221" s="170">
        <f t="shared" ca="1" si="790"/>
        <v>0.38316685774636627</v>
      </c>
      <c r="LL221" s="170">
        <f t="shared" ca="1" si="791"/>
        <v>0</v>
      </c>
      <c r="LM221" s="171">
        <f ca="1">Control!$C$145*$AB221</f>
        <v>6.6660906138995932E-2</v>
      </c>
      <c r="LN221" s="170">
        <f t="shared" ca="1" si="886"/>
        <v>0.54</v>
      </c>
      <c r="LO221" s="170">
        <f t="shared" ca="1" si="792"/>
        <v>0</v>
      </c>
      <c r="LP221" s="170">
        <f ca="1">Control!$C$140*((($D221+273.16)^4+($E221+273.16)^4)/2)*(0.34-0.14*SQRT($Y221))*(1.35*$AQ221/(0.75*$LD221)-0.35)</f>
        <v>-3.2464704755046001</v>
      </c>
      <c r="LQ221" s="170">
        <f ca="1">Control!$C$140*($G221+273)^4*(0.56-0.079*SQRT($Y221*10))*(0.1+0.9*$LO221)</f>
        <v>1.5241745131704001</v>
      </c>
      <c r="LR221" s="170">
        <f ca="1">$AQ221*(1-Control!$C$142)-$LQ221</f>
        <v>-1.5241745131704001</v>
      </c>
      <c r="LS221" s="170">
        <f ca="1">$AQ221*(1-Control!$C$143)-$LQ221</f>
        <v>-1.5241745131704001</v>
      </c>
      <c r="LT221" s="170">
        <f ca="1">$AQ221*(1-Control!$C$144)-$LQ221</f>
        <v>-1.5241745131704001</v>
      </c>
      <c r="LU221" s="169">
        <f ca="1">(1-Control!$C$144)*AQ221-LP221</f>
        <v>3.2464704755046001</v>
      </c>
      <c r="LV221" s="172">
        <f t="shared" ca="1" si="793"/>
        <v>0.79430000000000012</v>
      </c>
      <c r="LW221" s="170">
        <f t="shared" ca="1" si="794"/>
        <v>1.5886000000000002</v>
      </c>
      <c r="LX221" s="170">
        <f ca="1">($AC221*($LR221/Control!$C$141)+$LM221*$LV221)/($AC221+$LM221)</f>
        <v>0.23530094218323697</v>
      </c>
      <c r="LY221" s="170">
        <f ca="1">($AC221*($LS221/Control!$C$141)+$LM221*$LV221)/($AC221+$LM221)</f>
        <v>0.23530094218323697</v>
      </c>
      <c r="LZ221" s="170">
        <f t="shared" ca="1" si="795"/>
        <v>0.23530094218323697</v>
      </c>
      <c r="MA221" s="170">
        <f t="shared" ca="1" si="796"/>
        <v>0.23530094218323697</v>
      </c>
      <c r="MB221" s="170" t="e">
        <f t="shared" ca="1" si="797"/>
        <v>#N/A</v>
      </c>
      <c r="MC221" s="170">
        <f t="shared" ca="1" si="887"/>
        <v>0.6018</v>
      </c>
      <c r="MD221" s="170">
        <f t="shared" ca="1" si="798"/>
        <v>0.52989392535414004</v>
      </c>
      <c r="ME221" s="170">
        <f ca="1">($AC221*($LT221/Control!$C$141)+$LM221*$LW221)/($AC221+$LM221)</f>
        <v>0.71612369323045078</v>
      </c>
      <c r="MF221" s="170" t="e">
        <f ca="1">IF(Control!$B$16&gt;=1000,0.92,IF(AND(720&lt;=Control!$B$16,1000&gt;Control!$B$16),(0.95+(Control!$B$16-720)*((0.92-0.95)/(1000-720))),IF(AND(360&lt;=Control!$B$16,720&gt;Control!$B$16),(1+(Control!$B$16-360)*((0.95-1)/(720-360))),IF(AND(40&lt;=Control!$B$16,360&gt;Control!$B$16),(1.05+(Control!$B$16-40)*((1.05-1)/(360-40)))))))</f>
        <v>#N/A</v>
      </c>
      <c r="MG221" s="170">
        <f t="shared" ca="1" si="799"/>
        <v>0.71612369323045078</v>
      </c>
      <c r="MH221" s="170" t="e">
        <f t="shared" ca="1" si="924"/>
        <v>#N/A</v>
      </c>
      <c r="MI221" s="170" t="e">
        <f t="shared" ca="1" si="924"/>
        <v>#N/A</v>
      </c>
      <c r="MJ221" s="170" t="e">
        <f ca="1">MAX(0.0001, Control!$C$132*$MI221*$DL221)</f>
        <v>#N/A</v>
      </c>
      <c r="MK221" s="170">
        <f ca="1">1/(0.76+1.5*($MG221/10))-(5-Control!$C$110)*0.1</f>
        <v>1.002845988140797</v>
      </c>
      <c r="ML221" s="173">
        <f ca="1">IF(Control!$C$110&lt;3,$MK221+($MG221-0.6)/(Control!$C$110*(Control!$C$110+3)), MAX(0.1, MIN(0.95,$MK221)))</f>
        <v>0.95</v>
      </c>
      <c r="MM221" s="173">
        <f ca="1">IF(Control!$C$110&lt;3,$MK221+(($MI221/10)-0.6)/(Control!$C$110*(Control!$C$110+3)), MAX(0.1, MIN(0.95,$MK221)))</f>
        <v>0.95</v>
      </c>
      <c r="MN221" s="173">
        <f ca="1">(1-$MM221)*(Control!$C$128-Control!$C$127)+Control!$C$127</f>
        <v>0.16</v>
      </c>
      <c r="MO221" s="170" t="e">
        <f ca="1">MAX(0,MIN(1,($MS221-Control!$C$127)/($MN221-Control!$C$127)))</f>
        <v>#DIV/0!</v>
      </c>
      <c r="MP221" s="173" t="e">
        <f ca="1">1/(0.76+1.5*$MI221)-(5-Control!$C$110)*0.1</f>
        <v>#N/A</v>
      </c>
      <c r="MQ221" s="172" t="e">
        <f t="shared" ca="1" si="916"/>
        <v>#DIV/0!</v>
      </c>
      <c r="MR221" s="168" t="e">
        <f t="shared" ca="1" si="888"/>
        <v>#DIV/0!</v>
      </c>
      <c r="MS221" s="173" t="e">
        <f ca="1">MAX(Control!$C$127, MIN(Control!$C$135, $MR221/MAX(0.0001,$CY221)))</f>
        <v>#DIV/0!</v>
      </c>
      <c r="MT221" s="168" t="e">
        <f ca="1">(Control!$C$128-$MS221)*Control!$C$74</f>
        <v>#DIV/0!</v>
      </c>
      <c r="MU221" s="168" t="e">
        <f ca="1">(Control!$C$135-$MS221)*Control!$C$74</f>
        <v>#DIV/0!</v>
      </c>
      <c r="MV221" s="168" t="e">
        <f t="shared" ca="1" si="889"/>
        <v>#DIV/0!</v>
      </c>
      <c r="MW221" s="168" t="e">
        <f t="shared" ca="1" si="890"/>
        <v>#DIV/0!</v>
      </c>
      <c r="MX221" s="171" t="e">
        <f ca="1">MAX(Control!$C$127, MIN(Control!$C$135, $MW221/MAX(0.0001,Control!$C$119-$CY221)))</f>
        <v>#DIV/0!</v>
      </c>
      <c r="MY221" s="54" t="e">
        <f ca="1">IF(Control!$C$114=1, $CX221*$MX221, 0)</f>
        <v>#DIV/0!</v>
      </c>
      <c r="MZ221" s="54" t="e">
        <f t="shared" ca="1" si="891"/>
        <v>#N/A</v>
      </c>
      <c r="NA221" s="168" t="e">
        <f ca="1">(Control!$C$128-$MX221)*(Control!$C$119-Control!$C$74)</f>
        <v>#DIV/0!</v>
      </c>
      <c r="NB221" s="168" t="e">
        <f ca="1">(Control!$C$135-$MX221)*(Control!$C$119-Control!$C$74)</f>
        <v>#DIV/0!</v>
      </c>
      <c r="NC221" s="174" t="e">
        <f t="shared" ca="1" si="892"/>
        <v>#DIV/0!</v>
      </c>
      <c r="ND221" s="54">
        <f ca="1">IF(Control!$C$58=2, IF(OR(Control!$B$218=$AH221,Control!$B$219=$AH221, Control!$B$220=$AH221, Control!$B$221=$AH221, Control!$B$222=$AH221, Control!$B$223=$AH221, Control!$B$224=$AH221, Control!$B$225=$AH221, Control!$B$226=$AH221, Control!$B$227=$AH221, Control!$B$228=$AH221), 1, 0), 0)</f>
        <v>0</v>
      </c>
      <c r="NE221" s="54">
        <f ca="1">IF($ND221=0,0, VLOOKUP($AH221,Control!$B$218:$C$228,2))</f>
        <v>0</v>
      </c>
      <c r="NF221" s="168" t="e">
        <f ca="1">$CY221*(Control!$C$128-Control!$C$127)</f>
        <v>#N/A</v>
      </c>
      <c r="NG221" s="54" t="e">
        <f ca="1">IF(Control!$C$58=2, $NI220-$NJ220, 0)</f>
        <v>#DIV/0!</v>
      </c>
      <c r="NH221" s="54" t="e">
        <f ca="1">IF(AND(Control!$C$58=1, $MS220&lt;= ($MN220+0.02), $I220&lt;10), 0, IF(Control!$C$58=2, $NG220, 0))</f>
        <v>#DIV/0!</v>
      </c>
      <c r="NI221" s="54" t="e">
        <f ca="1">IF(Control!$C$58=2, $NE221+$NH221,0)</f>
        <v>#DIV/0!</v>
      </c>
      <c r="NJ221" s="54" t="e">
        <f ca="1">IF(AND(Control!$C$58=1, $MS221&lt;= ($MN221+0.02), $I221&lt;10), MAX(0, MIN(10, 0.7*($NF221-$MV221))), IF(Control!$C$58=2, MIN(10,$NI221),0))</f>
        <v>#DIV/0!</v>
      </c>
      <c r="NK221" s="54" t="e">
        <f t="shared" ca="1" si="800"/>
        <v>#DIV/0!</v>
      </c>
      <c r="NL221" s="173" t="e">
        <f ca="1">(1-Control!$C$73)*$I221+$NJ221</f>
        <v>#DIV/0!</v>
      </c>
      <c r="NM221" s="172" t="e">
        <f ca="1">IF($NL221&lt;0.5, $MB221* MAX(0, MIN(1, (SQRT($NC221)-SQRT($NC221-1))*Control!$C$71)),0)</f>
        <v>#DIV/0!</v>
      </c>
      <c r="NN221" s="170" t="e">
        <f ca="1">IF($NL221&gt;=5, $MB221, MAX(0,MIN($MB221, $NM221+$NL221,($MS221-Control!$C$129))))</f>
        <v>#DIV/0!</v>
      </c>
      <c r="NO221" s="54">
        <f>IF(Control!$C$133&lt;&gt;1, Control!$C$135-Control!$C$131, 0)</f>
        <v>0.38</v>
      </c>
      <c r="NP221" s="54" t="e">
        <f t="shared" ca="1" si="801"/>
        <v>#DIV/0!</v>
      </c>
      <c r="NQ221" s="173" t="e">
        <f ca="1">MAX(0,MIN(1,(Control!$C$135-$MS221)/(Control!$C$135-$NO221)))</f>
        <v>#DIV/0!</v>
      </c>
      <c r="NR221" s="170" t="e">
        <f ca="1">IF(Control!$C$133&lt;&gt;1, $NQ221+((1-$NP221/4)*(1-$NQ221)),1)</f>
        <v>#DIV/0!</v>
      </c>
      <c r="NS221" s="170" t="e">
        <f ca="1">IF(Control!$B$31=0,$MJ221,MAX(0,MIN($MV221,$MO221*$NR221*$MJ221)))</f>
        <v>#DIV/0!</v>
      </c>
      <c r="NT221" s="170" t="e">
        <f t="shared" ca="1" si="917"/>
        <v>#DIV/0!</v>
      </c>
      <c r="NU221" s="170" t="e">
        <f t="shared" ca="1" si="893"/>
        <v>#N/A</v>
      </c>
      <c r="NV221" s="170" t="e">
        <f t="shared" ca="1" si="802"/>
        <v>#N/A</v>
      </c>
      <c r="NW221" s="175" t="e">
        <f t="shared" ca="1" si="803"/>
        <v>#DIV/0!</v>
      </c>
      <c r="NX221" s="170" t="e">
        <f ca="1">MIN(Control!$C$72+$MU221, $NW221)</f>
        <v>#DIV/0!</v>
      </c>
      <c r="NY221" s="170" t="e">
        <f ca="1">IF($MT221&lt;=$NX221,MIN(Control!$C$72+$NB221,$NX221-$MT221),0)</f>
        <v>#DIV/0!</v>
      </c>
      <c r="NZ221" s="54" t="e">
        <f ca="1">IF(Control!$C$114=1,  $CX221*($MX221-Control!$C$127), 0)</f>
        <v>#DIV/0!</v>
      </c>
      <c r="OA221" s="170" t="e">
        <f t="shared" ca="1" si="804"/>
        <v>#DIV/0!</v>
      </c>
      <c r="OB221" s="170" t="e">
        <f ca="1">IF($NA221 &lt;=$NY221, MIN(Control!$C$72, $NY221-$NA221), 0)</f>
        <v>#DIV/0!</v>
      </c>
      <c r="OC221" s="168" t="e">
        <f t="shared" ca="1" si="805"/>
        <v>#DIV/0!</v>
      </c>
      <c r="OD221" s="168" t="e">
        <f t="shared" ca="1" si="894"/>
        <v>#DIV/0!</v>
      </c>
      <c r="OE221" s="170">
        <f ca="1">Control!$C$73*$I221</f>
        <v>0</v>
      </c>
      <c r="OF221" s="176" t="e">
        <f t="shared" ca="1" si="806"/>
        <v>#DIV/0!</v>
      </c>
      <c r="OG221" s="168" t="e">
        <f t="shared" ca="1" si="807"/>
        <v>#DIV/0!</v>
      </c>
      <c r="OH221" s="168" t="e">
        <f t="shared" ca="1" si="808"/>
        <v>#DIV/0!</v>
      </c>
      <c r="OI221" s="168" t="e">
        <f t="shared" ca="1" si="809"/>
        <v>#DIV/0!</v>
      </c>
      <c r="OJ221" s="168" t="e">
        <f t="shared" ca="1" si="810"/>
        <v>#DIV/0!</v>
      </c>
      <c r="OK221" s="204" t="e">
        <f t="shared" ca="1" si="811"/>
        <v>#DIV/0!</v>
      </c>
      <c r="OL221" s="177">
        <f>Control!$C$127</f>
        <v>0.15</v>
      </c>
      <c r="OM221" s="182" t="e">
        <f t="shared" ca="1" si="812"/>
        <v>#N/A</v>
      </c>
      <c r="ON221" s="177">
        <f>Control!$C$128</f>
        <v>0.35</v>
      </c>
      <c r="OO221" s="182" t="e">
        <f t="shared" ca="1" si="813"/>
        <v>#N/A</v>
      </c>
      <c r="OP221" s="138">
        <f t="shared" ca="1" si="895"/>
        <v>0</v>
      </c>
      <c r="OQ221" s="138" t="e">
        <f t="shared" ca="1" si="918"/>
        <v>#DIV/0!</v>
      </c>
      <c r="OR221" s="138" t="e">
        <f t="shared" ca="1" si="896"/>
        <v>#DIV/0!</v>
      </c>
      <c r="OS221" s="137" t="e">
        <f t="shared" ca="1" si="919"/>
        <v>#DIV/0!</v>
      </c>
      <c r="OT221" s="139" t="e">
        <f t="shared" ca="1" si="920"/>
        <v>#DIV/0!</v>
      </c>
      <c r="OU221" s="138" t="e">
        <f t="shared" ca="1" si="921"/>
        <v>#N/A</v>
      </c>
      <c r="OV221" s="138" t="e">
        <f t="shared" ca="1" si="922"/>
        <v>#DIV/0!</v>
      </c>
      <c r="OW221" s="138" t="e">
        <f t="shared" ca="1" si="897"/>
        <v>#DIV/0!</v>
      </c>
      <c r="OX221" s="138" t="e">
        <f t="shared" ca="1" si="898"/>
        <v>#DIV/0!</v>
      </c>
      <c r="OY221" s="138" t="e">
        <f t="shared" ca="1" si="899"/>
        <v>#DIV/0!</v>
      </c>
      <c r="OZ221" s="138" t="e">
        <f t="shared" ca="1" si="814"/>
        <v>#DIV/0!</v>
      </c>
      <c r="PA221" s="138" t="e">
        <f t="shared" ca="1" si="815"/>
        <v>#DIV/0!</v>
      </c>
      <c r="PB221" s="55">
        <f>IF(Control!$C$61="T", IF(Control!$C$65="F", IF($AH$6-Control!$C$60&lt;0,0,1), IF(365+$AH$6-Control!$C$60&lt;0,0,1)),0)</f>
        <v>0</v>
      </c>
      <c r="PC221" s="55">
        <f ca="1">IF(Control!$C$65="F", IF($AH$6-$HF221&lt;0,0,1), IF(365+$AH$6-$HF221&lt;0,0,1))</f>
        <v>1</v>
      </c>
      <c r="PD221" s="444">
        <f>Control!$C$118</f>
        <v>1500</v>
      </c>
      <c r="PE221" s="180" t="e">
        <f t="shared" ca="1" si="816"/>
        <v>#N/A</v>
      </c>
      <c r="PF221" s="445">
        <f t="shared" ca="1" si="900"/>
        <v>0.71612369323045078</v>
      </c>
      <c r="PT221" s="186"/>
      <c r="PU221" s="186"/>
      <c r="PV221" s="94"/>
      <c r="PW221" s="94"/>
      <c r="PX221" s="94"/>
      <c r="PY221" s="94"/>
      <c r="PZ221" s="94"/>
      <c r="QA221" s="94"/>
      <c r="QB221" s="94"/>
      <c r="QC221" s="94"/>
      <c r="QD221" s="94"/>
      <c r="QE221" s="94"/>
      <c r="QF221" s="94"/>
      <c r="QG221" s="94"/>
      <c r="QH221" s="94"/>
      <c r="QI221" s="94"/>
      <c r="QJ221" s="94"/>
      <c r="QK221" s="94"/>
      <c r="QL221" s="94"/>
      <c r="QM221" s="94"/>
      <c r="QN221" s="94"/>
      <c r="QO221" s="94"/>
      <c r="QP221" s="94"/>
    </row>
    <row r="222" spans="1:458" s="2" customFormat="1" x14ac:dyDescent="0.2">
      <c r="A222" s="395">
        <v>5</v>
      </c>
      <c r="B222" s="396">
        <v>8</v>
      </c>
      <c r="C222" s="387">
        <f ca="1">Weather_data!$B221</f>
        <v>0</v>
      </c>
      <c r="D222" s="388">
        <f ca="1">Weather_data!$F221</f>
        <v>0</v>
      </c>
      <c r="E222" s="388">
        <f ca="1">Weather_data!$E221</f>
        <v>0</v>
      </c>
      <c r="F222" s="388">
        <f t="shared" ca="1" si="817"/>
        <v>0</v>
      </c>
      <c r="G222" s="388">
        <f ca="1">AVERAGE($D222:$E222)+Control!$B$9</f>
        <v>0</v>
      </c>
      <c r="H222" s="388">
        <f ca="1">Weather_data!$G221</f>
        <v>0</v>
      </c>
      <c r="I222" s="388">
        <f ca="1">Weather_data!$I221</f>
        <v>0</v>
      </c>
      <c r="J222" s="388">
        <f ca="1">Weather_data!$H221</f>
        <v>0</v>
      </c>
      <c r="K222" s="389">
        <f ca="1">Weather_data!$D221</f>
        <v>0</v>
      </c>
      <c r="L222" s="388" t="e">
        <f t="shared" ca="1" si="818"/>
        <v>#N/A</v>
      </c>
      <c r="M222" s="388" t="e">
        <f t="shared" ca="1" si="696"/>
        <v>#N/A</v>
      </c>
      <c r="N222" s="388">
        <f t="shared" ca="1" si="697"/>
        <v>-6.5366020111425887E-11</v>
      </c>
      <c r="O222" s="388">
        <f t="shared" ca="1" si="819"/>
        <v>6.5366020111425887E-10</v>
      </c>
      <c r="P222" s="390">
        <v>3</v>
      </c>
      <c r="Q222" s="388">
        <f ca="1">MAX($G222-Control!$C$107,0)</f>
        <v>0</v>
      </c>
      <c r="R222" s="388">
        <f t="shared" ca="1" si="820"/>
        <v>0</v>
      </c>
      <c r="S222" s="388">
        <f t="shared" ca="1" si="698"/>
        <v>0</v>
      </c>
      <c r="T222" s="388">
        <f t="shared" ca="1" si="699"/>
        <v>0</v>
      </c>
      <c r="U222" s="59">
        <f t="shared" ca="1" si="700"/>
        <v>0</v>
      </c>
      <c r="V222" s="391">
        <f ca="1">MAX(0,MIN(Control!$C$100-Control!$C$99,$G222-Control!$C$99)*Control!$C$63)</f>
        <v>0</v>
      </c>
      <c r="W222" s="388">
        <f t="shared" ca="1" si="821"/>
        <v>0</v>
      </c>
      <c r="X222" s="388">
        <f t="shared" ca="1" si="822"/>
        <v>0.6110000000000001</v>
      </c>
      <c r="Y222" s="388">
        <f t="shared" ca="1" si="701"/>
        <v>0</v>
      </c>
      <c r="Z222" s="388">
        <f t="shared" ca="1" si="823"/>
        <v>0.61058800000000002</v>
      </c>
      <c r="AA222" s="388">
        <f t="shared" ca="1" si="702"/>
        <v>0.6018</v>
      </c>
      <c r="AB222" s="388">
        <f ca="1">101.3*EXP(-0.034*Control!$C$66/($G222+273))</f>
        <v>100.69623283836242</v>
      </c>
      <c r="AC222" s="392">
        <f t="shared" ca="1" si="703"/>
        <v>4.3460251046025113E-2</v>
      </c>
      <c r="AD222" s="392">
        <f t="shared" ca="1" si="704"/>
        <v>4.4450382862832649E-2</v>
      </c>
      <c r="AE222" s="388">
        <f t="shared" ca="1" si="705"/>
        <v>0</v>
      </c>
      <c r="AF222" s="388">
        <f ca="1">MAX(0,$G222-Control!$C$92)</f>
        <v>0</v>
      </c>
      <c r="AG222" s="393">
        <f t="shared" ca="1" si="706"/>
        <v>218</v>
      </c>
      <c r="AH222" s="389">
        <f t="shared" ca="1" si="707"/>
        <v>218</v>
      </c>
      <c r="AI222" s="388">
        <f t="shared" ca="1" si="824"/>
        <v>0.28587293035107098</v>
      </c>
      <c r="AJ222" s="388">
        <f ca="1">IF(Control!$C$60&lt;=0,$HH222,$HI222)</f>
        <v>1</v>
      </c>
      <c r="AK222" s="388">
        <f t="shared" ca="1" si="708"/>
        <v>2.3755604723035146</v>
      </c>
      <c r="AL222" s="388">
        <f t="shared" ca="1" si="709"/>
        <v>-1.2262687393294057E-17</v>
      </c>
      <c r="AM222" s="388">
        <f t="shared" ca="1" si="710"/>
        <v>2.3755604723035146</v>
      </c>
      <c r="AN222" s="388">
        <f t="shared" ca="1" si="711"/>
        <v>0.27940864158559464</v>
      </c>
      <c r="AO222" s="388">
        <f ca="1">-0.10453/COS(Control!$B$8*PI()/180)*COS(AN222)</f>
        <v>-0.16320038571052031</v>
      </c>
      <c r="AP222" s="388">
        <f ca="1">ACOS(AO222-TAN(Control!$B$8*PI()/180)*TAN(AN222))</f>
        <v>2.1299085169052416</v>
      </c>
      <c r="AQ222" s="388">
        <f t="shared" ca="1" si="825"/>
        <v>0</v>
      </c>
      <c r="AR222" s="394">
        <f t="shared" ca="1" si="712"/>
        <v>0</v>
      </c>
      <c r="AS222" s="436">
        <f ca="1">IF(Control!$B$18=2,(IF(OR($AH222=Control!$B$175,$AH222=Control!$B$176,$AH222=Control!$B$177,$AH222=Control!$B$178,$AH222=Control!$B$179,$AH222=Control!$B$180,$AH222=Control!$B$181,$AH222=Control!$B$182,$AH222=Control!$B$183,$AH222=Control!$B$184,$AH222=Control!$B$185),1,0)),0)</f>
        <v>0</v>
      </c>
      <c r="AT222" s="436">
        <f>IF(Control!$B$20=8,IF(AND($AH222&gt;=Control!$B$172,$AH222&lt;=Control!$B$173),1,0),0)</f>
        <v>0</v>
      </c>
      <c r="AU222" s="436">
        <f>IF(Control!$B$20=8,IF($AV221=1,1*$AT222,IF($AT222=1,$AU221+1,$AU221)),0)</f>
        <v>0</v>
      </c>
      <c r="AV222" s="436">
        <f>IF(Control!$B$20=8,IF($AU222&gt;=Control!$B$174,1,0),0)</f>
        <v>0</v>
      </c>
      <c r="AW222" s="436">
        <f ca="1">IF(AND(Control!$B$18=2,Control!$B$171=1), $AV222, $AS222)</f>
        <v>0</v>
      </c>
      <c r="AX222" s="436" t="e">
        <f ca="1">IF(AND(Control!$B$18=1,$EU222&gt;=Control!$B$19),-$AY222,IF(AND(Control!$B$18=2,$AW222=1,$EU222&gt;$DS222),-$AY222, IF(Control!$C$108=0,0, IF(Control!$C$108&lt;&gt;0,1))))</f>
        <v>#N/A</v>
      </c>
      <c r="AY222" s="436" t="e">
        <f t="shared" ca="1" si="826"/>
        <v>#N/A</v>
      </c>
      <c r="AZ222" s="436" t="e">
        <f ca="1">IF(AND(Control!$B$18=1,$EB222&gt;Control!$B$19),$AZ221+1, IF(AND(Control!$B$18=2, $AW222=1, $EB222&gt;$DS222), $AZ221+1,$AZ221))</f>
        <v>#N/A</v>
      </c>
      <c r="BA222" s="587">
        <f>IF(Control!$C$81=0,1,IF($AH222&gt;=Control!$C$82,1,0))</f>
        <v>1</v>
      </c>
      <c r="BB222" s="140" t="e">
        <f ca="1">IF($BA222&gt;$BA221,Control!$C$83,IF($AW222&gt;0,$AW222*Control!$C$84,IF(AND(Control!$B$18=1,EN221&lt;&gt;0),Control!$C$84,0)))</f>
        <v>#N/A</v>
      </c>
      <c r="BC222" s="140" t="e">
        <f t="shared" ca="1" si="827"/>
        <v>#N/A</v>
      </c>
      <c r="BD222" s="140" t="e">
        <f ca="1">BC222*IF(OR($G222&lt;Control!$C$92,$G222&gt;Control!$C$95),0,IF(AND($G222&gt;=Control!$C$92,$G222&lt;=Control!$C$93),$G222-Control!$C$92,IF(AND($G222&gt;Control!$C$93,$G222&lt;=Control!$C$94),Control!$C$93-Control!$C$92,IF(AND($G222&gt;Control!$C$94,$G222&lt;=Control!$C$95),(Control!$C$93-Control!$C$92)*(Control!$C$94-$G222)/(Control!$C$95-Control!$C$94)))))</f>
        <v>#N/A</v>
      </c>
      <c r="BE222" s="140" t="e">
        <f t="shared" ca="1" si="828"/>
        <v>#N/A</v>
      </c>
      <c r="BF222" s="140" t="e">
        <f ca="1">IF($BE222&lt;=Control!$C$86,$BE222,Control!$C$86-$BE222)</f>
        <v>#N/A</v>
      </c>
      <c r="BG222" s="140" t="e">
        <f ca="1">IF(AND($AW222=1,Control!$C$84&lt;9),1,IF($BE222&gt;=Control!$C$86,0,$BC222))</f>
        <v>#N/A</v>
      </c>
      <c r="BH222" s="404" t="e">
        <f ca="1">IF($BG222=0,0,IF($BE222&lt;=Control!$C$86,$BC222*9*($BF222/Control!$C$86),0))</f>
        <v>#N/A</v>
      </c>
      <c r="BI222" s="140" t="e">
        <f ca="1">IF($BG222=1,0,IF($BE222&gt;=Control!$C$86,1,IF(AND($BB222&lt;21,$BB222&gt;=9),1,$BM221)))</f>
        <v>#N/A</v>
      </c>
      <c r="BJ222" s="140" t="e">
        <f ca="1">IF($BF222&lt;0,-$BF222,$BI222*IF(OR($G222&lt;Control!$C$92,$G222&gt;Control!$C$95),0,IF(AND($G222&gt;=Control!$C$92,$G222&lt;=Control!$C$93),$G222-Control!$C$92,IF(AND($G222&gt;Control!$C$93,$G222&lt;=Control!$C$94),Control!$C$93-Control!$C$92,IF(AND($G222&gt;Control!$C$94,$G222&lt;=Control!$C$95),(Control!$C$93-Control!$C$92)*(Control!$C$94-$G222)/(Control!$C$95-Control!$C$94))))))</f>
        <v>#N/A</v>
      </c>
      <c r="BK222" s="140" t="e">
        <f t="shared" ca="1" si="829"/>
        <v>#N/A</v>
      </c>
      <c r="BL222" s="140" t="e">
        <f ca="1">IF($BK222&lt;=Control!$C$87,$BK222,Control!$C$87-$BK222)</f>
        <v>#N/A</v>
      </c>
      <c r="BM222" s="140" t="e">
        <f ca="1">IF(AND($BB222&gt;=9,$BB222&lt;21),1,IF($BK222&gt;=Control!$C$87,0,$BI222))</f>
        <v>#N/A</v>
      </c>
      <c r="BN222" s="404" t="e">
        <f ca="1">IF($BM222=0,0,IF($BK222&lt;=Control!$C$87,$BI222*(9+(21-9)*($BL222/Control!$C$87)),0))</f>
        <v>#N/A</v>
      </c>
      <c r="BO222" s="140" t="e">
        <f ca="1">IF($BM222=1,0,IF($BK222&gt;=Control!$C$87,1,IF(AND($BB222&lt;30,$BB222&gt;=21),1,$BS221)))</f>
        <v>#N/A</v>
      </c>
      <c r="BP222" s="140" t="e">
        <f ca="1">IF($BL222&lt;0,-$BL222,$BO222*IF(OR($G222&lt;Control!$C$92,$G222&gt;Control!$C$95),0,IF(AND($G222&gt;=Control!$C$92,$G222&lt;=Control!$C$93),$G222-Control!$C$92,IF(AND($G222&gt;Control!$C$93,$G222&lt;=Control!$C$94),Control!$C$93-Control!$C$92,IF(AND($G222&gt;Control!$C$94,$G222&lt;=Control!$C$95),(Control!$C$93-Control!$C$92)*(Control!$C$94-$G222)/(Control!$C$95-Control!$C$94))))))</f>
        <v>#N/A</v>
      </c>
      <c r="BQ222" s="140" t="e">
        <f t="shared" ca="1" si="713"/>
        <v>#N/A</v>
      </c>
      <c r="BR222" s="140" t="e">
        <f ca="1">IF($BQ222&lt;=Control!$C$88,$BQ222,Control!$C$88-$BQ222)</f>
        <v>#N/A</v>
      </c>
      <c r="BS222" s="140" t="e">
        <f ca="1">IF(AND($BB222&gt;=21,$BB222&lt;30),1,IF($BQ222&gt;=Control!$C$88,0,$BO222))</f>
        <v>#N/A</v>
      </c>
      <c r="BT222" s="404" t="e">
        <f ca="1">IF($BS222=0,0,IF($BQ222&lt;=Control!$C$88,$BO222*(21+(30-21)*(BR222/Control!$C$88)),0))</f>
        <v>#N/A</v>
      </c>
      <c r="BU222" s="140" t="e">
        <f ca="1">IF(BG222+BM222+BS222=1,0,IF(OR(AND($BB222&lt;60,$BB222&gt;=30),$BQ222&gt;=Control!$C$88),1*$BA222,$BY221))</f>
        <v>#N/A</v>
      </c>
      <c r="BV222" s="140" t="e">
        <f ca="1">IF($BR222&lt;0,-$BR222,$BU222*IF(OR($G222&lt;Control!$C$92,$G222&gt;Control!$C$95),0,IF(AND($G222&gt;=Control!$C$92,$G222&lt;=Control!$C$93),$G222-Control!$C$92,IF(AND($G222&gt;Control!$C$93,$G222&lt;=Control!$C$94),Control!$C$93-Control!$C$92,IF(AND($G222&gt;Control!$C$94,$G222&lt;=Control!$C$95),(Control!$C$93-Control!$C$92)*(Control!$C$94-$G222)/(Control!$C$95-Control!$C$94))))))</f>
        <v>#N/A</v>
      </c>
      <c r="BW222" s="140" t="e">
        <f t="shared" ca="1" si="714"/>
        <v>#N/A</v>
      </c>
      <c r="BX222" s="140" t="e">
        <f ca="1">IF($BW222&lt;=Control!$C$89,$BW222,Control!$C$89-$BW222)</f>
        <v>#N/A</v>
      </c>
      <c r="BY222" s="140" t="e">
        <f ca="1">IF(AND($AJ222&gt;=30,$AJ222&lt;60),1,IF($BW222&gt;=Control!$C$89,0,$BU222))</f>
        <v>#N/A</v>
      </c>
      <c r="BZ222" s="404" t="e">
        <f ca="1">IF($BY222=0,0,IF($BW222&lt;=Control!$C$89,$BU222*(30+(60-30)*(BX222/Control!$C$89)),0))</f>
        <v>#N/A</v>
      </c>
      <c r="CA222" s="140" t="e">
        <f ca="1">IF($BG222+$BM222+$BS222+$BY222=1,0,IF(OR(AND($BB222&lt;65,$BB222&gt;=60),$BW222&gt;=Control!$C$89),1*$BA222,$CE221))</f>
        <v>#N/A</v>
      </c>
      <c r="CB222" s="140" t="e">
        <f ca="1">IF($BX222&lt;0,-$BX222,$CA222*IF(OR($G222&lt;Control!$C$92,$G222&gt;Control!$C$95),0,IF(AND($G222&gt;=Control!$C$92,$G222&lt;=Control!$C$93),$G222-Control!$C$92,IF(AND($G222&gt;Control!$C$93,$G222&lt;=Control!$C$94),Control!$C$93-Control!$C$92,IF(AND($G222&gt;Control!$C$94,$G222&lt;=Control!$C$95),(Control!$C$93-Control!$C$92)*(Control!$C$94-$G222)/(Control!$C$95-Control!$C$94))))))</f>
        <v>#N/A</v>
      </c>
      <c r="CC222" s="140" t="e">
        <f t="shared" ca="1" si="830"/>
        <v>#N/A</v>
      </c>
      <c r="CD222" s="140" t="e">
        <f ca="1">IF($CC222&lt;=Control!$C$90,$CC222,Control!$C$90-$CC222)</f>
        <v>#N/A</v>
      </c>
      <c r="CE222" s="140" t="e">
        <f ca="1">IF(AND($BB222&gt;=60,$BB222&lt;65),1,IF($CC222&gt;=Control!$C$90,0,$CA222))</f>
        <v>#N/A</v>
      </c>
      <c r="CF222" s="404" t="e">
        <f ca="1">IF($CE222=0,0,IF($CC222&lt;=Control!$C$90,$CA222*(60+(65-60)*(CD222/Control!$C$90)),0))</f>
        <v>#N/A</v>
      </c>
      <c r="CG222" s="140" t="e">
        <f ca="1">IF($BG222+$BM222+$BS222+$BY222+$CE222=1,0,IF(OR(AND($BB222&lt;90,$BB222&gt;=65),$CC222&gt;=Control!$C$90),$BA222,$CK221))</f>
        <v>#N/A</v>
      </c>
      <c r="CH222" s="140" t="e">
        <f ca="1">IF($CD222&lt;0,-$CD222,$CG222*IF(OR($G222&lt;Control!$C$92,$G222&gt;Control!$C$95),0,IF(AND($G222&gt;=Control!$C$92,$G222&lt;=Control!$C$93),$G222-Control!$C$92,IF(AND($G222&gt;Control!$C$93,$G222&lt;=Control!$C$94),Control!$C$93-Control!$C$92,IF(AND($G222&gt;Control!$C$94,$G222&lt;=Control!$C$95),(Control!$C$93-Control!$C$92)*(Control!$C$94-$G222)/(Control!$C$95-Control!$C$94))))))</f>
        <v>#N/A</v>
      </c>
      <c r="CI222" s="140" t="e">
        <f t="shared" ca="1" si="831"/>
        <v>#N/A</v>
      </c>
      <c r="CJ222" s="140" t="e">
        <f ca="1">IF($CI222&lt;=Control!$C$91,$CI222,Control!$C$91-$CI222)</f>
        <v>#N/A</v>
      </c>
      <c r="CK222" s="140" t="e">
        <f ca="1">IF(AND($BB222&gt;=65,$BB222&lt;90),1,IF($CI222&gt;=Control!$C$91,0,$CG222))</f>
        <v>#N/A</v>
      </c>
      <c r="CL222" s="404" t="e">
        <f ca="1">IF($CK222=0,0,IF($CI222&lt;=Control!$C$91,$CG222*(65+(90-65)*($CJ222/Control!$C$91)),0))</f>
        <v>#N/A</v>
      </c>
      <c r="CM222" s="140" t="e">
        <f ca="1">IF($BG222+$BM222+$BS222+$BY222+$CE222+$CK222=1,0,IF(OR($BB222&gt;=90,$CI222&gt;=Control!$C$91),$BA222,$CM221))</f>
        <v>#N/A</v>
      </c>
      <c r="CN222" s="140" t="e">
        <f t="shared" ca="1" si="832"/>
        <v>#N/A</v>
      </c>
      <c r="CO222" s="140" t="e">
        <f t="shared" ca="1" si="833"/>
        <v>#N/A</v>
      </c>
      <c r="CP222" s="140" t="e">
        <f t="shared" ca="1" si="834"/>
        <v>#N/A</v>
      </c>
      <c r="CQ222" s="141" t="e">
        <f ca="1">VLOOKUP($CP222,Control!$B$86:$G$91,6)</f>
        <v>#N/A</v>
      </c>
      <c r="CR222" s="141" t="e">
        <f ca="1">(1-$CQ222)*VLOOKUP($CP222,Control!$B$86:$D$91,3)</f>
        <v>#N/A</v>
      </c>
      <c r="CS222" s="141" t="e">
        <f ca="1">(1-$CQ222)*VLOOKUP($CP222,Control!$B$86:$E$91,4)</f>
        <v>#N/A</v>
      </c>
      <c r="CT222" s="141" t="e">
        <f ca="1">(1-$CQ222)*VLOOKUP($CP222,Control!$B$86:$F$91,5)</f>
        <v>#N/A</v>
      </c>
      <c r="CU222" s="141">
        <f t="shared" ca="1" si="835"/>
        <v>0</v>
      </c>
      <c r="CV222" s="583">
        <f t="shared" ca="1" si="836"/>
        <v>0</v>
      </c>
      <c r="CW222" s="142">
        <f t="shared" ca="1" si="837"/>
        <v>218</v>
      </c>
      <c r="CX222" s="612" t="e">
        <f ca="1">IF(Control!$C$114=1,(MIN(Control!$C$120*(IF($NT222-0.01&lt;0,0,1)),Control!$C$119-$CY222)))</f>
        <v>#DIV/0!</v>
      </c>
      <c r="CY222" s="143" t="e">
        <f t="shared" ca="1" si="838"/>
        <v>#N/A</v>
      </c>
      <c r="CZ222" s="144">
        <f t="shared" ca="1" si="715"/>
        <v>0</v>
      </c>
      <c r="DA222" s="144">
        <f t="shared" ca="1" si="716"/>
        <v>0</v>
      </c>
      <c r="DB222" s="144" t="e">
        <f t="shared" ca="1" si="717"/>
        <v>#N/A</v>
      </c>
      <c r="DC222" s="144" t="e">
        <f t="shared" ca="1" si="718"/>
        <v>#N/A</v>
      </c>
      <c r="DD222" s="144" t="e">
        <f t="shared" ca="1" si="923"/>
        <v>#N/A</v>
      </c>
      <c r="DE222" s="143" t="e">
        <f t="shared" ca="1" si="839"/>
        <v>#N/A</v>
      </c>
      <c r="DF222" s="145" t="e">
        <f ca="1">$DR222*EXP(-Control!$C$158*(1-$KH222))</f>
        <v>#N/A</v>
      </c>
      <c r="DG222" s="146" t="e">
        <f ca="1">IF(Control!$C$114=1, $DF222*$EY222, 0)</f>
        <v>#N/A</v>
      </c>
      <c r="DH222" s="147" t="e">
        <f t="shared" ca="1" si="840"/>
        <v>#N/A</v>
      </c>
      <c r="DI222" s="144" t="e">
        <f t="shared" ca="1" si="901"/>
        <v>#N/A</v>
      </c>
      <c r="DJ222" s="147" t="e">
        <f ca="1">$EF222*Control!$C$109</f>
        <v>#N/A</v>
      </c>
      <c r="DK222" s="144" t="e">
        <f t="shared" ca="1" si="841"/>
        <v>#N/A</v>
      </c>
      <c r="DL222" s="144" t="e">
        <f t="shared" ca="1" si="719"/>
        <v>#N/A</v>
      </c>
      <c r="DM222" s="144" t="e">
        <f ca="1">IF(Control!$C$114=1, (1-EXP(-Control!$C$96*$DK222))*$AR222, 0)</f>
        <v>#N/A</v>
      </c>
      <c r="DN222" s="144">
        <f t="shared" ca="1" si="842"/>
        <v>0</v>
      </c>
      <c r="DO222" s="148">
        <f>Control!$C$97</f>
        <v>4</v>
      </c>
      <c r="DP222" s="145" t="e">
        <f t="shared" ca="1" si="843"/>
        <v>#N/A</v>
      </c>
      <c r="DQ222" s="145" t="e">
        <f ca="1">IF(AND($CP222&gt;=0,$CP222&lt;=90),Control!$C$111,Control!$C$111)</f>
        <v>#N/A</v>
      </c>
      <c r="DR222" s="145" t="e">
        <f t="shared" ca="1" si="720"/>
        <v>#N/A</v>
      </c>
      <c r="DS222" s="143" t="e">
        <f ca="1">Control!$B$22/$DR222</f>
        <v>#N/A</v>
      </c>
      <c r="DT222" s="149" t="e">
        <f ca="1">IF(AND(Control!$C$114=1,$KH222&lt;1),$IM222*$DF222, 0)</f>
        <v>#N/A</v>
      </c>
      <c r="DU222" s="144" t="e">
        <f t="shared" ca="1" si="844"/>
        <v>#N/A</v>
      </c>
      <c r="DV222" s="144">
        <f ca="1">IF($G222-Control!$C$107&lt;=0, 0, 0.83*LN(MAX($G222, 3))-0.8924)</f>
        <v>0</v>
      </c>
      <c r="DW222" s="144" t="e">
        <f t="shared" ca="1" si="721"/>
        <v>#N/A</v>
      </c>
      <c r="DX222" s="150" t="e">
        <f ca="1">MAX(0.01*(1+$CU222/Control!$C$102),0.05*($DK222-Control!$C$97)/Control!$C$97)</f>
        <v>#N/A</v>
      </c>
      <c r="DY222" s="151" t="e">
        <f ca="1">IF(Control!$C$114=1, $DI222*$FS222, 0)</f>
        <v>#N/A</v>
      </c>
      <c r="DZ222" s="196" t="e">
        <f t="shared" ca="1" si="845"/>
        <v>#N/A</v>
      </c>
      <c r="EA222" s="152">
        <f t="shared" ca="1" si="846"/>
        <v>218</v>
      </c>
      <c r="EB222" s="153" t="e">
        <f t="shared" ca="1" si="847"/>
        <v>#N/A</v>
      </c>
      <c r="EC222" s="153" t="e">
        <f t="shared" ca="1" si="848"/>
        <v>#N/A</v>
      </c>
      <c r="ED222" s="154" t="e">
        <f ca="1">IF(Control!$C$114=1, $HM222*$FY222-$FD222, 0)</f>
        <v>#DIV/0!</v>
      </c>
      <c r="EE222" s="155" t="e">
        <f ca="1">IF(Control!$C$114=1, $HM222*$FZ222-$FF222, 0)</f>
        <v>#DIV/0!</v>
      </c>
      <c r="EF222" s="153" t="e">
        <f t="shared" ca="1" si="902"/>
        <v>#N/A</v>
      </c>
      <c r="EG222" s="155" t="e">
        <f ca="1">IF(Control!$C$114=1, $GX222*$FW222-$FI222, 0)</f>
        <v>#DIV/0!</v>
      </c>
      <c r="EH222" s="153" t="e">
        <f t="shared" ca="1" si="849"/>
        <v>#N/A</v>
      </c>
      <c r="EI222" s="156" t="e">
        <f t="shared" ca="1" si="850"/>
        <v>#N/A</v>
      </c>
      <c r="EJ222" s="155" t="e">
        <f ca="1">IF(Control!$C$114=1, $HM222*$GB222, 0)</f>
        <v>#DIV/0!</v>
      </c>
      <c r="EK222" s="153" t="e">
        <f t="shared" ca="1" si="903"/>
        <v>#N/A</v>
      </c>
      <c r="EL222" s="153" t="e">
        <f t="shared" ca="1" si="722"/>
        <v>#N/A</v>
      </c>
      <c r="EM222" s="153" t="e">
        <f t="shared" ca="1" si="723"/>
        <v>#N/A</v>
      </c>
      <c r="EN222" s="153" t="e">
        <f ca="1">IF(Control!$C$108=1,IF(AND(Control!$B$18=1,$EB222&gt;=Control!$B$19),$EB222-$DS222,IF(AND(Control!$B$18=2,$AW222=1,$EB222&gt;$DS222),$EB222-$DS222,0)))</f>
        <v>#N/A</v>
      </c>
      <c r="EO222" s="153" t="e">
        <f ca="1">IF(Control!$C$108=1,IF(AND(Control!$B$18=1,$EB222&gt;=Control!$B$19),$EF222,IF(AND(Control!$B$18=2,$AW222=1),$EF222,0)))</f>
        <v>#N/A</v>
      </c>
      <c r="EP222" s="153" t="e">
        <f ca="1">IF(Control!$C$108=1,IF(AND(Control!$B$18=1,$EB222&gt;=Control!$B$19),$EK222,IF(AND(Control!$B$18=2,$AW222=1),$EK222,0)))</f>
        <v>#N/A</v>
      </c>
      <c r="EQ222" s="153" t="e">
        <f t="shared" ca="1" si="851"/>
        <v>#N/A</v>
      </c>
      <c r="ER222" s="153" t="e">
        <f t="shared" ca="1" si="852"/>
        <v>#N/A</v>
      </c>
      <c r="ES222" s="153" t="e">
        <f t="shared" ca="1" si="904"/>
        <v>#N/A</v>
      </c>
      <c r="ET222" s="153" t="e">
        <f t="shared" ca="1" si="905"/>
        <v>#N/A</v>
      </c>
      <c r="EU222" s="153" t="e">
        <f t="shared" ca="1" si="853"/>
        <v>#N/A</v>
      </c>
      <c r="EV222" s="153" t="e">
        <f t="shared" ca="1" si="724"/>
        <v>#N/A</v>
      </c>
      <c r="EW222" s="153" t="e">
        <f t="shared" ca="1" si="725"/>
        <v>#N/A</v>
      </c>
      <c r="EX222" s="153" t="e">
        <f t="shared" ca="1" si="726"/>
        <v>#N/A</v>
      </c>
      <c r="EY222" s="157" t="e">
        <f t="shared" ca="1" si="727"/>
        <v>#DIV/0!</v>
      </c>
      <c r="EZ222" s="154" t="e">
        <f t="shared" ca="1" si="728"/>
        <v>#DIV/0!</v>
      </c>
      <c r="FA222" s="153" t="e">
        <f t="shared" ca="1" si="854"/>
        <v>#N/A</v>
      </c>
      <c r="FB222" s="153" t="e">
        <f t="shared" ca="1" si="729"/>
        <v>#N/A</v>
      </c>
      <c r="FC222" s="193" t="e">
        <f t="shared" ca="1" si="730"/>
        <v>#N/A</v>
      </c>
      <c r="FD222" s="158" t="e">
        <f t="shared" ca="1" si="855"/>
        <v>#N/A</v>
      </c>
      <c r="FE222" s="158" t="e">
        <f t="shared" ca="1" si="856"/>
        <v>#N/A</v>
      </c>
      <c r="FF222" s="159" t="e">
        <f t="shared" ca="1" si="731"/>
        <v>#N/A</v>
      </c>
      <c r="FG222" s="160" t="e">
        <f t="shared" ca="1" si="857"/>
        <v>#N/A</v>
      </c>
      <c r="FH222" s="158" t="e">
        <f t="shared" ca="1" si="858"/>
        <v>#N/A</v>
      </c>
      <c r="FI222" s="159" t="e">
        <f t="shared" ca="1" si="732"/>
        <v>#N/A</v>
      </c>
      <c r="FJ222" s="160" t="e">
        <f t="shared" ca="1" si="859"/>
        <v>#N/A</v>
      </c>
      <c r="FK222" s="160" t="e">
        <f t="shared" ca="1" si="733"/>
        <v>#N/A</v>
      </c>
      <c r="FL222" s="160" t="e">
        <f t="shared" ca="1" si="906"/>
        <v>#N/A</v>
      </c>
      <c r="FM222" s="160" t="e">
        <f t="shared" ca="1" si="734"/>
        <v>#N/A</v>
      </c>
      <c r="FN222" s="158">
        <f t="shared" ca="1" si="860"/>
        <v>0.01</v>
      </c>
      <c r="FO222" s="160">
        <f>Control!$C$101</f>
        <v>50</v>
      </c>
      <c r="FP222" s="150" t="e">
        <f t="shared" ca="1" si="735"/>
        <v>#N/A</v>
      </c>
      <c r="FQ222" s="150" t="e">
        <f ca="1">MAX(0,(Control!$C$112*(($DK222-Control!$C$97)/Control!$C$97)))</f>
        <v>#N/A</v>
      </c>
      <c r="FR222" s="150" t="e">
        <f ca="1">(1-$NT222)*Control!$C$113</f>
        <v>#DIV/0!</v>
      </c>
      <c r="FS222" s="198" t="e">
        <f t="shared" ca="1" si="736"/>
        <v>#N/A</v>
      </c>
      <c r="FT222" s="161">
        <f t="shared" ca="1" si="861"/>
        <v>218</v>
      </c>
      <c r="FU222" s="162" t="e">
        <f ca="1">IF(Control!$B$34=1,VLOOKUP($CP222,Control!$B$86:$G$91,6),Control!$B$35)</f>
        <v>#N/A</v>
      </c>
      <c r="FV222" s="162" t="e">
        <f t="shared" ca="1" si="737"/>
        <v>#DIV/0!</v>
      </c>
      <c r="FW222" s="162" t="e">
        <f ca="1">IF(Control!$B$31=1,$FU222*$FV222,  $FU222)</f>
        <v>#N/A</v>
      </c>
      <c r="FX222" s="162" t="e">
        <f ca="1">IF(Control!$B$34=1,VLOOKUP($CP222,Control!$B$86:$G$91,3),Control!$B$36)</f>
        <v>#N/A</v>
      </c>
      <c r="FY222" s="162" t="e">
        <f t="shared" ca="1" si="738"/>
        <v>#N/A</v>
      </c>
      <c r="FZ222" s="162" t="e">
        <f ca="1">IF(Control!$B$34=1,VLOOKUP($CP222,Control!$B$86:$G$91,4),Control!$B$37)</f>
        <v>#N/A</v>
      </c>
      <c r="GA222" s="162" t="e">
        <f t="shared" ca="1" si="739"/>
        <v>#N/A</v>
      </c>
      <c r="GB222" s="162" t="e">
        <f ca="1">IF(Control!$B$34=1,VLOOKUP($CP222,Control!$B$86:$G$91,5),Control!$B$38)</f>
        <v>#N/A</v>
      </c>
      <c r="GC222" s="162" t="e">
        <f t="shared" ca="1" si="862"/>
        <v>#N/A</v>
      </c>
      <c r="GD222" s="162">
        <f t="shared" ca="1" si="740"/>
        <v>1</v>
      </c>
      <c r="GE222" s="162">
        <f t="shared" ca="1" si="741"/>
        <v>1</v>
      </c>
      <c r="GF222" s="162">
        <f ca="1">IF(AND(Control!$C$104=1, Control!$C$62="F"),$GE222,1)</f>
        <v>1</v>
      </c>
      <c r="GG222" s="162" t="e">
        <f ca="1">IF(Control!$B$16=40,0,IF(AND(Control!$B$16&gt;40,Control!$B$16&lt;=360),(Control!$B$16-40)*((1-0)/(360-40)),IF(AND(Control!$B$16&gt;360,Control!$B$16&lt;=720),(1+(Control!$B$16-360)*((1.25-1)/(720-360))),IF(AND(Control!$B$16&gt;720,Control!$B$16&lt;=1000),(1.25+(Control!$B$16-720)*((1.35-1.25)/(1000-720))),IF(AND(Control!$B$16&gt;1000,Control!$B$16&lt;=2000),(1.35+(Control!$B$16-1000)*0))))))</f>
        <v>#N/A</v>
      </c>
      <c r="GH222" s="162" t="e">
        <f t="shared" ca="1" si="742"/>
        <v>#N/A</v>
      </c>
      <c r="GI222" s="162">
        <f t="shared" ca="1" si="863"/>
        <v>0</v>
      </c>
      <c r="GJ222" s="162">
        <f t="shared" ca="1" si="743"/>
        <v>0</v>
      </c>
      <c r="GK222" s="162">
        <f t="shared" ca="1" si="864"/>
        <v>1</v>
      </c>
      <c r="GL222" s="162">
        <f t="shared" ca="1" si="744"/>
        <v>1</v>
      </c>
      <c r="GM222" s="162" t="e">
        <f ca="1">MAX(0,MIN(1,1-Control!$C$156*(1.0001-$KH222)^2))</f>
        <v>#N/A</v>
      </c>
      <c r="GN222" s="162" t="e">
        <f ca="1">IF(Control!$B$26=1,$KU222,$KX222)</f>
        <v>#N/A</v>
      </c>
      <c r="GO222" s="162" t="e">
        <f ca="1">IF($CP222&lt;=60,Control!$C$105,IF($CP222&gt;=90,Control!$C$106,Control!$C$105+($CP222-60)*((Control!$C$106-Control!$C$105)/(90-60))))</f>
        <v>#N/A</v>
      </c>
      <c r="GP222" s="162" t="e">
        <f t="shared" ca="1" si="745"/>
        <v>#N/A</v>
      </c>
      <c r="GQ222" s="162" t="e">
        <f t="shared" ca="1" si="865"/>
        <v>#N/A</v>
      </c>
      <c r="GR222" s="163" t="e">
        <f t="shared" ca="1" si="746"/>
        <v>#DIV/0!</v>
      </c>
      <c r="GS222" s="162" t="e">
        <f t="shared" ca="1" si="747"/>
        <v>#DIV/0!</v>
      </c>
      <c r="GT222" s="164" t="e">
        <f t="shared" ca="1" si="866"/>
        <v>#N/A</v>
      </c>
      <c r="GU222" s="162" t="e">
        <f t="shared" ca="1" si="867"/>
        <v>#N/A</v>
      </c>
      <c r="GV222" s="162" t="e">
        <f t="shared" ca="1" si="748"/>
        <v>#N/A</v>
      </c>
      <c r="GW222" s="162" t="e">
        <f t="shared" ca="1" si="749"/>
        <v>#DIV/0!</v>
      </c>
      <c r="GX222" s="162" t="e">
        <f t="shared" ca="1" si="868"/>
        <v>#DIV/0!</v>
      </c>
      <c r="GY222" s="162" t="e">
        <f t="shared" ca="1" si="869"/>
        <v>#DIV/0!</v>
      </c>
      <c r="GZ222" s="165" t="e">
        <f t="shared" ca="1" si="750"/>
        <v>#N/A</v>
      </c>
      <c r="HA222" s="162" t="e">
        <f ca="1">IF(Control!$C$114=1, $DI222*$FS222, 0)</f>
        <v>#N/A</v>
      </c>
      <c r="HB222" s="162" t="e">
        <f ca="1">$FA222/Control!$C$64</f>
        <v>#N/A</v>
      </c>
      <c r="HC222" s="162" t="e">
        <f t="shared" ca="1" si="751"/>
        <v>#DIV/0!</v>
      </c>
      <c r="HD222" s="162">
        <f ca="1">-ASIN(SIN(23.45*Control!$C$139)*COS(2*Control!$C$138*($AH222+10)/365))</f>
        <v>0.28587293035107098</v>
      </c>
      <c r="HE222" s="165">
        <f t="shared" ca="1" si="870"/>
        <v>0</v>
      </c>
      <c r="HF222" s="166">
        <f ca="1">IF(AND(Control!$C$61="T",$HE222&gt;=Control!$C$103,Control!$C$114=0),$AH222,Control!$C$59)</f>
        <v>1</v>
      </c>
      <c r="HG222" s="166">
        <f ca="1">IF(AND(Control!$C$61="T",$HE222&gt;=Control!$C$103,Control!$C$114=0),$HF222,Control!$C$59)</f>
        <v>1</v>
      </c>
      <c r="HH222" s="165">
        <f ca="1">IF(AND(OR(Control!$C$60&lt;=0, $AH222= Control!$C$59, Control!$C$60 &gt;0, $AH222 = Control!$C$60)), Control!$C$59, IF(Control!$C$60&gt;0, 0))</f>
        <v>1</v>
      </c>
      <c r="HI222" s="165">
        <f ca="1">IF(AND(OR(Control!$C$60&lt;=0, $AH222= Control!$C$59, Control!$C$60 &gt;0, $AH222 = Control!$C$60)), Control!$C$60, IF(Control!$C$60&lt;=0, 0))</f>
        <v>0</v>
      </c>
      <c r="HJ222" s="166">
        <f ca="1">IF(AND(Control!$C$62="F",$CV222&gt;=Control!$C$102),$AH222,0)</f>
        <v>0</v>
      </c>
      <c r="HK222" s="165" t="e">
        <f t="shared" ca="1" si="907"/>
        <v>#N/A</v>
      </c>
      <c r="HL222" s="166">
        <f ca="1">IF(AND(Control!$C$61="T",$HE222&gt;=Control!$C$103,Control!$C$114=0),$HF222,0)</f>
        <v>0</v>
      </c>
      <c r="HM222" s="201" t="e">
        <f t="shared" ca="1" si="752"/>
        <v>#DIV/0!</v>
      </c>
      <c r="HN222" s="215">
        <f t="shared" ca="1" si="871"/>
        <v>218</v>
      </c>
      <c r="HO222" s="216" t="e">
        <f ca="1">IF(AND($CP222&gt;=0, $CP222&lt;=90), Control!$C$152, Control!$C$152)</f>
        <v>#N/A</v>
      </c>
      <c r="HP222" s="216" t="e">
        <f t="shared" ca="1" si="753"/>
        <v>#N/A</v>
      </c>
      <c r="HQ222" s="217" t="e">
        <f ca="1">IF(OR(Control!$B$26=1,Control!$B$26=2),$KV222,$KS222)</f>
        <v>#DIV/0!</v>
      </c>
      <c r="HR222" s="218" t="e">
        <f t="shared" ca="1" si="908"/>
        <v>#DIV/0!</v>
      </c>
      <c r="HS222" s="216" t="e">
        <f ca="1">Control!$C$154*$HP222</f>
        <v>#N/A</v>
      </c>
      <c r="HT222" s="216" t="e">
        <f ca="1">Control!$C$155*$HP222</f>
        <v>#N/A</v>
      </c>
      <c r="HU222" s="217" t="e">
        <f ca="1">Control!$C$161*$FI222</f>
        <v>#N/A</v>
      </c>
      <c r="HV222" s="218" t="e">
        <f t="shared" ca="1" si="872"/>
        <v>#N/A</v>
      </c>
      <c r="HW222" s="218" t="e">
        <f ca="1">Control!$C$160*$FF222+$IP222*$EO222</f>
        <v>#N/A</v>
      </c>
      <c r="HX222" s="218" t="e">
        <f t="shared" ca="1" si="909"/>
        <v>#N/A</v>
      </c>
      <c r="HY222" s="219" t="e">
        <f ca="1">IF(Control!$C$114=1, $EB222*$FS222, 0)</f>
        <v>#N/A</v>
      </c>
      <c r="HZ222" s="91" t="e">
        <f t="shared" ca="1" si="754"/>
        <v>#N/A</v>
      </c>
      <c r="IA222" s="220" t="e">
        <f ca="1">Control!$C$153*$HO222</f>
        <v>#N/A</v>
      </c>
      <c r="IB222" s="218" t="e">
        <f t="shared" ca="1" si="755"/>
        <v>#N/A</v>
      </c>
      <c r="IC222" s="220" t="e">
        <f ca="1">Control!$C$153*$HT222</f>
        <v>#N/A</v>
      </c>
      <c r="ID222" s="218" t="e">
        <f t="shared" ca="1" si="756"/>
        <v>#N/A</v>
      </c>
      <c r="IE222" s="221" t="e">
        <f ca="1">($EB222*Control!$C$159+$EF222*Control!$C$160)/(IF($GZ222&lt;&gt;0,$GZ222,1))</f>
        <v>#N/A</v>
      </c>
      <c r="IF222" s="216" t="e">
        <f t="shared" ca="1" si="757"/>
        <v>#N/A</v>
      </c>
      <c r="IG222" s="91">
        <f ca="1">IF(OR(Control!$B$198=$AH222,Control!$B$199=$AH222, Control!$B$200=$AH222, Control!$B$201=$AH222, Control!$B$202=$AH222, Control!$B$203=$AH222, Control!$B$204=$AH222, Control!$B$205=$AH222, Control!$B$206=$AH222, Control!$B$207=$AH222), 1, 0)</f>
        <v>0</v>
      </c>
      <c r="IH222" s="91">
        <f ca="1">IF($IG222=0,0, VLOOKUP($AH222,Control!$B$198:$C$207,2))</f>
        <v>0</v>
      </c>
      <c r="II222" s="222">
        <f t="shared" ca="1" si="873"/>
        <v>0</v>
      </c>
      <c r="IJ222" s="91">
        <f>Control!$C$121</f>
        <v>0.7</v>
      </c>
      <c r="IK222" s="218">
        <f t="shared" ca="1" si="758"/>
        <v>0</v>
      </c>
      <c r="IL222" s="217" t="e">
        <f t="shared" ca="1" si="910"/>
        <v>#N/A</v>
      </c>
      <c r="IM222" s="223" t="e">
        <f ca="1">IF(AND(Control!$C$114=1,$KH222&lt;1),$EB222*Control!$C$148*(1-$KH222), 0)</f>
        <v>#N/A</v>
      </c>
      <c r="IN222" s="217" t="e">
        <f t="shared" ca="1" si="759"/>
        <v>#DIV/0!</v>
      </c>
      <c r="IO222" s="91" t="e">
        <f ca="1">MAX(0,$IL222-$EF222*Control!$C$160)</f>
        <v>#N/A</v>
      </c>
      <c r="IP222" s="220" t="e">
        <f t="shared" ca="1" si="760"/>
        <v>#N/A</v>
      </c>
      <c r="IQ222" s="217" t="e">
        <f t="shared" ca="1" si="874"/>
        <v>#N/A</v>
      </c>
      <c r="IR222" s="218" t="e">
        <f t="shared" ca="1" si="761"/>
        <v>#N/A</v>
      </c>
      <c r="IS222" s="217" t="e">
        <f ca="1">Control!$C$159*MAX(0,$FD222-$EN222)</f>
        <v>#N/A</v>
      </c>
      <c r="IT222" s="217" t="e">
        <f t="shared" ca="1" si="911"/>
        <v>#N/A</v>
      </c>
      <c r="IU222" s="217" t="e">
        <f t="shared" ca="1" si="875"/>
        <v>#N/A</v>
      </c>
      <c r="IV222" s="217" t="e">
        <f t="shared" ca="1" si="912"/>
        <v>#N/A</v>
      </c>
      <c r="IW222" s="217" t="e">
        <f ca="1">IF(OR($AW222=1,AND($AW222=0, Control!$B$18=1,$EN222&lt;&gt;0)), $IQ222-$IU222, $IQ222)</f>
        <v>#N/A</v>
      </c>
      <c r="IX222" s="218" t="e">
        <f t="shared" ca="1" si="762"/>
        <v>#N/A</v>
      </c>
      <c r="IY222" s="218" t="e">
        <f ca="1">MAX(0,$IQ222-$EB222*Control!$C$159)</f>
        <v>#N/A</v>
      </c>
      <c r="IZ222" s="218" t="e">
        <f t="shared" ca="1" si="763"/>
        <v>#N/A</v>
      </c>
      <c r="JA222" s="216" t="e">
        <f t="shared" ca="1" si="764"/>
        <v>#N/A</v>
      </c>
      <c r="JB222" s="217" t="e">
        <f t="shared" ca="1" si="765"/>
        <v>#N/A</v>
      </c>
      <c r="JC222" s="222" t="e">
        <f ca="1">MAX(Control!$C$157*$EK222-$JT222, 0)/Control!$C$162</f>
        <v>#N/A</v>
      </c>
      <c r="JD222" s="218" t="e">
        <f t="shared" ca="1" si="766"/>
        <v>#N/A</v>
      </c>
      <c r="JE222" s="218" t="e">
        <f t="shared" ca="1" si="767"/>
        <v>#N/A</v>
      </c>
      <c r="JF222" s="218" t="e">
        <f t="shared" ca="1" si="876"/>
        <v>#N/A</v>
      </c>
      <c r="JG222" s="218" t="e">
        <f t="shared" ca="1" si="768"/>
        <v>#N/A</v>
      </c>
      <c r="JH222" s="217" t="e">
        <f t="shared" ca="1" si="877"/>
        <v>#N/A</v>
      </c>
      <c r="JI222" s="217" t="e">
        <f t="shared" ca="1" si="878"/>
        <v>#N/A</v>
      </c>
      <c r="JJ222" s="217" t="e">
        <f t="shared" ca="1" si="913"/>
        <v>#N/A</v>
      </c>
      <c r="JK222" s="217" t="e">
        <f ca="1">IF(Control!$C$114=1,IF(Control!$B$24=0,MAX(0,$JI222)*$GN222/Control!$C$64,(MAX(0,MIN($JI222,$JJ222*$GN222/Control!$C$64),0))))</f>
        <v>#N/A</v>
      </c>
      <c r="JL222" s="217" t="e">
        <f ca="1">$IK222/Control!$C$64-$JK222+$HQ222</f>
        <v>#N/A</v>
      </c>
      <c r="JM222" s="217" t="e">
        <f ca="1">IF(Control!$C$114=1,($JB222/(IF($JI222&lt;&gt;0,$JI222,1)))*$JK222,0)</f>
        <v>#N/A</v>
      </c>
      <c r="JN222" s="217" t="e">
        <f ca="1">IF(Control!$C$114=1,($JG222/(IF($JI222&lt;&gt;0,$JI222,1)))*$JK222, 0)</f>
        <v>#N/A</v>
      </c>
      <c r="JO222" s="218" t="e">
        <f t="shared" ca="1" si="769"/>
        <v>#N/A</v>
      </c>
      <c r="JP222" s="218" t="e">
        <f ca="1">MIN(($IY222+$IO222)*Control!$C$151, $JF222-$EH222*Control!$C$161)</f>
        <v>#N/A</v>
      </c>
      <c r="JQ222" s="218" t="e">
        <f t="shared" ca="1" si="770"/>
        <v>#N/A</v>
      </c>
      <c r="JR222" s="217" t="e">
        <f ca="1">IF($CP222-Control!$C$150&lt;0, 0, $JQ222/Control!$C$162)</f>
        <v>#N/A</v>
      </c>
      <c r="JS222" s="218" t="e">
        <f t="shared" ca="1" si="771"/>
        <v>#N/A</v>
      </c>
      <c r="JT222" s="218" t="e">
        <f t="shared" ca="1" si="879"/>
        <v>#N/A</v>
      </c>
      <c r="JU222" s="218" t="e">
        <f t="shared" ca="1" si="772"/>
        <v>#N/A</v>
      </c>
      <c r="JV222" s="218" t="e">
        <f t="shared" ca="1" si="773"/>
        <v>#N/A</v>
      </c>
      <c r="JW222" s="216" t="e">
        <f t="shared" ca="1" si="774"/>
        <v>#N/A</v>
      </c>
      <c r="JX222" s="91" t="e">
        <f t="shared" ca="1" si="775"/>
        <v>#N/A</v>
      </c>
      <c r="JY222" s="218" t="e">
        <f t="shared" ca="1" si="776"/>
        <v>#N/A</v>
      </c>
      <c r="JZ222" s="217" t="e">
        <f ca="1">IF(Control!$C$114=1,($IZ222/(IF($JI222&lt;&gt;0,$JI222,1)))*$JK222, 0)</f>
        <v>#N/A</v>
      </c>
      <c r="KA222" s="218" t="e">
        <f t="shared" ca="1" si="914"/>
        <v>#N/A</v>
      </c>
      <c r="KB222" s="218" t="e">
        <f t="shared" ca="1" si="880"/>
        <v>#N/A</v>
      </c>
      <c r="KC222" s="218" t="e">
        <f t="shared" ca="1" si="777"/>
        <v>#N/A</v>
      </c>
      <c r="KD222" s="218" t="e">
        <f t="shared" ca="1" si="778"/>
        <v>#N/A</v>
      </c>
      <c r="KE222" s="218" t="e">
        <f t="shared" ca="1" si="779"/>
        <v>#N/A</v>
      </c>
      <c r="KF222" s="218" t="e">
        <f t="shared" ca="1" si="780"/>
        <v>#N/A</v>
      </c>
      <c r="KG222" s="216" t="e">
        <f t="shared" ca="1" si="781"/>
        <v>#N/A</v>
      </c>
      <c r="KH222" s="221" t="e">
        <f ca="1">IF(Control!$B$24=0,1,MAX(0.001,MIN(1,IF(($IF222-$IE222)&lt;&gt;0,($KG222-$IE222)/($IF222-$IE222),1))))</f>
        <v>#N/A</v>
      </c>
      <c r="KI222" s="222" t="e">
        <f ca="1">IF(Control!$C$114=1, $KI221+ $KH221, 0)</f>
        <v>#N/A</v>
      </c>
      <c r="KJ222" s="217" t="e">
        <f t="shared" ca="1" si="782"/>
        <v>#N/A</v>
      </c>
      <c r="KK222" s="218" t="e">
        <f t="shared" ca="1" si="783"/>
        <v>#N/A</v>
      </c>
      <c r="KL222" s="274" t="e">
        <f ca="1">IF(Control!$B$26=3,4000000000*EXP(-8400/($G222+273)),IF(Control!$B$26=4,4000000000*EXP(-8400/($G222+273))*($KT222),0))</f>
        <v>#DIV/0!</v>
      </c>
      <c r="KM222" s="274" t="e">
        <f ca="1">IF(Control!$B$26=3,5600000000000*EXP(-9800/($G222+273)),IF(Control!$B$26=4,5600000000000*EXP(-9800/($G222+273))*$KT222,0))</f>
        <v>#DIV/0!</v>
      </c>
      <c r="KN222" s="454" t="e">
        <f t="shared" ca="1" si="881"/>
        <v>#DIV/0!</v>
      </c>
      <c r="KO222" s="274" t="e">
        <f t="shared" ca="1" si="882"/>
        <v>#DIV/0!</v>
      </c>
      <c r="KP222" s="454" t="e">
        <f t="shared" ca="1" si="784"/>
        <v>#DIV/0!</v>
      </c>
      <c r="KQ222" s="454" t="e">
        <f t="shared" ca="1" si="785"/>
        <v>#DIV/0!</v>
      </c>
      <c r="KR222" s="454" t="e">
        <f t="shared" ca="1" si="786"/>
        <v>#DIV/0!</v>
      </c>
      <c r="KS222" s="454" t="e">
        <f t="shared" ca="1" si="787"/>
        <v>#DIV/0!</v>
      </c>
      <c r="KT222" s="455" t="e">
        <f t="shared" ca="1" si="788"/>
        <v>#DIV/0!</v>
      </c>
      <c r="KU222" s="456" t="e">
        <f ca="1">IF($CP222-Control!$C$149&lt;0, IF($NT222-0.01&lt;0,0,1),0)</f>
        <v>#N/A</v>
      </c>
      <c r="KV222" s="456" t="e">
        <f ca="1">IF(Control!$C$114=1,MAX(0,MIN(Control!$C$125*$KW222*$GN222,$KW222)))</f>
        <v>#DIV/0!</v>
      </c>
      <c r="KW222" s="456" t="e">
        <f t="shared" ca="1" si="915"/>
        <v>#DIV/0!</v>
      </c>
      <c r="KX222" s="457" t="e">
        <f ca="1">IF($CP222-Control!$C$149&lt;0, IF($MR222-$OM222&lt;0,0,1),0)</f>
        <v>#N/A</v>
      </c>
      <c r="KY222" s="167">
        <f t="shared" ca="1" si="883"/>
        <v>218</v>
      </c>
      <c r="KZ222" s="168">
        <f ca="1">1370*(1+0.033*COS(2*Control!$C$138*$AH222/365))</f>
        <v>1332.9725646121653</v>
      </c>
      <c r="LA222" s="169">
        <f t="shared" ca="1" si="884"/>
        <v>0.97297250873995333</v>
      </c>
      <c r="LB222" s="169">
        <f t="shared" ca="1" si="885"/>
        <v>0.28732000974619459</v>
      </c>
      <c r="LC222" s="169">
        <f ca="1">ACOS(-TAN((2*Control!$B$8/360))*TAN(Calculations!$LB222))</f>
        <v>1.6587320887064796</v>
      </c>
      <c r="LD222" s="169">
        <f ca="1">((24*60)/PI())*0.082*$LA222*(($LC222*SIN(Control!$B$8*2*PI()/360))*SIN($LB222)+COS(Control!$B$8*2*PI()/360)*COS($LB222)*SIN($LC222))</f>
        <v>35.054411977505104</v>
      </c>
      <c r="LE222" s="170">
        <f t="shared" ca="1" si="789"/>
        <v>35.931111868780157</v>
      </c>
      <c r="LF222" s="170">
        <f ca="1">SIN(Control!$C$139*Control!$B$8)*SIN($HD222)</f>
        <v>0.2222155096607614</v>
      </c>
      <c r="LG222" s="170">
        <f ca="1">COS(Control!$C$139*Control!$B$8)*COS($HD222)</f>
        <v>0.59067377694638878</v>
      </c>
      <c r="LH222" s="170">
        <f ca="1">12*(1+2*ASIN(MAX(-1,MIN(1,$LF222/$LG222))/Control!$C$138))</f>
        <v>14.880915373103505</v>
      </c>
      <c r="LI222" s="170">
        <f ca="1">12*(1+2*ASIN(MAX(-1,MIN(1,(-SIN(-4*Control!$C$139)+$LF222)/$LG222))/Control!$C$138))</f>
        <v>15.791949082131502</v>
      </c>
      <c r="LJ222" s="168">
        <f ca="1">3600*($LH222*$LF222+24*$LG222*SQRT(1-$LK222*$LK222)/Control!$C$138)</f>
        <v>26955.627462020933</v>
      </c>
      <c r="LK222" s="170">
        <f t="shared" ca="1" si="790"/>
        <v>0.37620683079846678</v>
      </c>
      <c r="LL222" s="170">
        <f t="shared" ca="1" si="791"/>
        <v>0</v>
      </c>
      <c r="LM222" s="171">
        <f ca="1">Control!$C$145*$AB222</f>
        <v>6.6660906138995932E-2</v>
      </c>
      <c r="LN222" s="170">
        <f t="shared" ca="1" si="886"/>
        <v>0.54</v>
      </c>
      <c r="LO222" s="170">
        <f t="shared" ca="1" si="792"/>
        <v>0</v>
      </c>
      <c r="LP222" s="170">
        <f ca="1">Control!$C$140*((($D222+273.16)^4+($E222+273.16)^4)/2)*(0.34-0.14*SQRT($Y222))*(1.35*$AQ222/(0.75*$LD222)-0.35)</f>
        <v>-3.2464704755046001</v>
      </c>
      <c r="LQ222" s="170">
        <f ca="1">Control!$C$140*($G222+273)^4*(0.56-0.079*SQRT($Y222*10))*(0.1+0.9*$LO222)</f>
        <v>1.5241745131704001</v>
      </c>
      <c r="LR222" s="170">
        <f ca="1">$AQ222*(1-Control!$C$142)-$LQ222</f>
        <v>-1.5241745131704001</v>
      </c>
      <c r="LS222" s="170">
        <f ca="1">$AQ222*(1-Control!$C$143)-$LQ222</f>
        <v>-1.5241745131704001</v>
      </c>
      <c r="LT222" s="170">
        <f ca="1">$AQ222*(1-Control!$C$144)-$LQ222</f>
        <v>-1.5241745131704001</v>
      </c>
      <c r="LU222" s="169">
        <f ca="1">(1-Control!$C$144)*AQ222-LP222</f>
        <v>3.2464704755046001</v>
      </c>
      <c r="LV222" s="172">
        <f t="shared" ca="1" si="793"/>
        <v>0.79430000000000012</v>
      </c>
      <c r="LW222" s="170">
        <f t="shared" ca="1" si="794"/>
        <v>1.5886000000000002</v>
      </c>
      <c r="LX222" s="170">
        <f ca="1">($AC222*($LR222/Control!$C$141)+$LM222*$LV222)/($AC222+$LM222)</f>
        <v>0.23530094218323697</v>
      </c>
      <c r="LY222" s="170">
        <f ca="1">($AC222*($LS222/Control!$C$141)+$LM222*$LV222)/($AC222+$LM222)</f>
        <v>0.23530094218323697</v>
      </c>
      <c r="LZ222" s="170">
        <f t="shared" ca="1" si="795"/>
        <v>0.23530094218323697</v>
      </c>
      <c r="MA222" s="170">
        <f t="shared" ca="1" si="796"/>
        <v>0.23530094218323697</v>
      </c>
      <c r="MB222" s="170" t="e">
        <f t="shared" ca="1" si="797"/>
        <v>#N/A</v>
      </c>
      <c r="MC222" s="170">
        <f t="shared" ca="1" si="887"/>
        <v>0.6018</v>
      </c>
      <c r="MD222" s="170">
        <f t="shared" ca="1" si="798"/>
        <v>0.52989392535414004</v>
      </c>
      <c r="ME222" s="170">
        <f ca="1">($AC222*($LT222/Control!$C$141)+$LM222*$LW222)/($AC222+$LM222)</f>
        <v>0.71612369323045078</v>
      </c>
      <c r="MF222" s="170" t="e">
        <f ca="1">IF(Control!$B$16&gt;=1000,0.92,IF(AND(720&lt;=Control!$B$16,1000&gt;Control!$B$16),(0.95+(Control!$B$16-720)*((0.92-0.95)/(1000-720))),IF(AND(360&lt;=Control!$B$16,720&gt;Control!$B$16),(1+(Control!$B$16-360)*((0.95-1)/(720-360))),IF(AND(40&lt;=Control!$B$16,360&gt;Control!$B$16),(1.05+(Control!$B$16-40)*((1.05-1)/(360-40)))))))</f>
        <v>#N/A</v>
      </c>
      <c r="MG222" s="170">
        <f t="shared" ca="1" si="799"/>
        <v>0.71612369323045078</v>
      </c>
      <c r="MH222" s="170" t="e">
        <f t="shared" ca="1" si="924"/>
        <v>#N/A</v>
      </c>
      <c r="MI222" s="170" t="e">
        <f t="shared" ca="1" si="924"/>
        <v>#N/A</v>
      </c>
      <c r="MJ222" s="170" t="e">
        <f ca="1">MAX(0.0001, Control!$C$132*$MI222*$DL222)</f>
        <v>#N/A</v>
      </c>
      <c r="MK222" s="170">
        <f ca="1">1/(0.76+1.5*($MG222/10))-(5-Control!$C$110)*0.1</f>
        <v>1.002845988140797</v>
      </c>
      <c r="ML222" s="173">
        <f ca="1">IF(Control!$C$110&lt;3,$MK222+($MG222-0.6)/(Control!$C$110*(Control!$C$110+3)), MAX(0.1, MIN(0.95,$MK222)))</f>
        <v>0.95</v>
      </c>
      <c r="MM222" s="173">
        <f ca="1">IF(Control!$C$110&lt;3,$MK222+(($MI222/10)-0.6)/(Control!$C$110*(Control!$C$110+3)), MAX(0.1, MIN(0.95,$MK222)))</f>
        <v>0.95</v>
      </c>
      <c r="MN222" s="173">
        <f ca="1">(1-$MM222)*(Control!$C$128-Control!$C$127)+Control!$C$127</f>
        <v>0.16</v>
      </c>
      <c r="MO222" s="170" t="e">
        <f ca="1">MAX(0,MIN(1,($MS222-Control!$C$127)/($MN222-Control!$C$127)))</f>
        <v>#DIV/0!</v>
      </c>
      <c r="MP222" s="173" t="e">
        <f ca="1">1/(0.76+1.5*$MI222)-(5-Control!$C$110)*0.1</f>
        <v>#N/A</v>
      </c>
      <c r="MQ222" s="172" t="e">
        <f t="shared" ca="1" si="916"/>
        <v>#DIV/0!</v>
      </c>
      <c r="MR222" s="168" t="e">
        <f t="shared" ca="1" si="888"/>
        <v>#DIV/0!</v>
      </c>
      <c r="MS222" s="173" t="e">
        <f ca="1">MAX(Control!$C$127, MIN(Control!$C$135, $MR222/MAX(0.0001,$CY222)))</f>
        <v>#DIV/0!</v>
      </c>
      <c r="MT222" s="168" t="e">
        <f ca="1">(Control!$C$128-$MS222)*Control!$C$74</f>
        <v>#DIV/0!</v>
      </c>
      <c r="MU222" s="168" t="e">
        <f ca="1">(Control!$C$135-$MS222)*Control!$C$74</f>
        <v>#DIV/0!</v>
      </c>
      <c r="MV222" s="168" t="e">
        <f t="shared" ca="1" si="889"/>
        <v>#DIV/0!</v>
      </c>
      <c r="MW222" s="168" t="e">
        <f t="shared" ca="1" si="890"/>
        <v>#DIV/0!</v>
      </c>
      <c r="MX222" s="171" t="e">
        <f ca="1">MAX(Control!$C$127, MIN(Control!$C$135, $MW222/MAX(0.0001,Control!$C$119-$CY222)))</f>
        <v>#DIV/0!</v>
      </c>
      <c r="MY222" s="54" t="e">
        <f ca="1">IF(Control!$C$114=1, $CX222*$MX222, 0)</f>
        <v>#DIV/0!</v>
      </c>
      <c r="MZ222" s="54" t="e">
        <f t="shared" ca="1" si="891"/>
        <v>#N/A</v>
      </c>
      <c r="NA222" s="168" t="e">
        <f ca="1">(Control!$C$128-$MX222)*(Control!$C$119-Control!$C$74)</f>
        <v>#DIV/0!</v>
      </c>
      <c r="NB222" s="168" t="e">
        <f ca="1">(Control!$C$135-$MX222)*(Control!$C$119-Control!$C$74)</f>
        <v>#DIV/0!</v>
      </c>
      <c r="NC222" s="174" t="e">
        <f t="shared" ca="1" si="892"/>
        <v>#DIV/0!</v>
      </c>
      <c r="ND222" s="54">
        <f ca="1">IF(Control!$C$58=2, IF(OR(Control!$B$218=$AH222,Control!$B$219=$AH222, Control!$B$220=$AH222, Control!$B$221=$AH222, Control!$B$222=$AH222, Control!$B$223=$AH222, Control!$B$224=$AH222, Control!$B$225=$AH222, Control!$B$226=$AH222, Control!$B$227=$AH222, Control!$B$228=$AH222), 1, 0), 0)</f>
        <v>0</v>
      </c>
      <c r="NE222" s="54">
        <f ca="1">IF($ND222=0,0, VLOOKUP($AH222,Control!$B$218:$C$228,2))</f>
        <v>0</v>
      </c>
      <c r="NF222" s="168" t="e">
        <f ca="1">$CY222*(Control!$C$128-Control!$C$127)</f>
        <v>#N/A</v>
      </c>
      <c r="NG222" s="54" t="e">
        <f ca="1">IF(Control!$C$58=2, $NI221-$NJ221, 0)</f>
        <v>#DIV/0!</v>
      </c>
      <c r="NH222" s="54" t="e">
        <f ca="1">IF(AND(Control!$C$58=1, $MS221&lt;= ($MN221+0.02), $I221&lt;10), 0, IF(Control!$C$58=2, $NG221, 0))</f>
        <v>#DIV/0!</v>
      </c>
      <c r="NI222" s="54" t="e">
        <f ca="1">IF(Control!$C$58=2, $NE222+$NH222,0)</f>
        <v>#DIV/0!</v>
      </c>
      <c r="NJ222" s="54" t="e">
        <f ca="1">IF(AND(Control!$C$58=1, $MS222&lt;= ($MN222+0.02), $I222&lt;10), MAX(0, MIN(10, 0.7*($NF222-$MV222))), IF(Control!$C$58=2, MIN(10,$NI222),0))</f>
        <v>#DIV/0!</v>
      </c>
      <c r="NK222" s="54" t="e">
        <f t="shared" ca="1" si="800"/>
        <v>#DIV/0!</v>
      </c>
      <c r="NL222" s="173" t="e">
        <f ca="1">(1-Control!$C$73)*$I222+$NJ222</f>
        <v>#DIV/0!</v>
      </c>
      <c r="NM222" s="172" t="e">
        <f ca="1">IF($NL222&lt;0.5, $MB222* MAX(0, MIN(1, (SQRT($NC222)-SQRT($NC222-1))*Control!$C$71)),0)</f>
        <v>#DIV/0!</v>
      </c>
      <c r="NN222" s="170" t="e">
        <f ca="1">IF($NL222&gt;=5, $MB222, MAX(0,MIN($MB222, $NM222+$NL222,($MS222-Control!$C$129))))</f>
        <v>#DIV/0!</v>
      </c>
      <c r="NO222" s="54">
        <f>IF(Control!$C$133&lt;&gt;1, Control!$C$135-Control!$C$131, 0)</f>
        <v>0.38</v>
      </c>
      <c r="NP222" s="54" t="e">
        <f t="shared" ca="1" si="801"/>
        <v>#DIV/0!</v>
      </c>
      <c r="NQ222" s="173" t="e">
        <f ca="1">MAX(0,MIN(1,(Control!$C$135-$MS222)/(Control!$C$135-$NO222)))</f>
        <v>#DIV/0!</v>
      </c>
      <c r="NR222" s="170" t="e">
        <f ca="1">IF(Control!$C$133&lt;&gt;1, $NQ222+((1-$NP222/4)*(1-$NQ222)),1)</f>
        <v>#DIV/0!</v>
      </c>
      <c r="NS222" s="170" t="e">
        <f ca="1">IF(Control!$B$31=0,$MJ222,MAX(0,MIN($MV222,$MO222*$NR222*$MJ222)))</f>
        <v>#DIV/0!</v>
      </c>
      <c r="NT222" s="170" t="e">
        <f t="shared" ca="1" si="917"/>
        <v>#DIV/0!</v>
      </c>
      <c r="NU222" s="170" t="e">
        <f t="shared" ca="1" si="893"/>
        <v>#N/A</v>
      </c>
      <c r="NV222" s="170" t="e">
        <f t="shared" ca="1" si="802"/>
        <v>#N/A</v>
      </c>
      <c r="NW222" s="175" t="e">
        <f t="shared" ca="1" si="803"/>
        <v>#DIV/0!</v>
      </c>
      <c r="NX222" s="170" t="e">
        <f ca="1">MIN(Control!$C$72+$MU222, $NW222)</f>
        <v>#DIV/0!</v>
      </c>
      <c r="NY222" s="170" t="e">
        <f ca="1">IF($MT222&lt;=$NX222,MIN(Control!$C$72+$NB222,$NX222-$MT222),0)</f>
        <v>#DIV/0!</v>
      </c>
      <c r="NZ222" s="54" t="e">
        <f ca="1">IF(Control!$C$114=1,  $CX222*($MX222-Control!$C$127), 0)</f>
        <v>#DIV/0!</v>
      </c>
      <c r="OA222" s="170" t="e">
        <f t="shared" ca="1" si="804"/>
        <v>#DIV/0!</v>
      </c>
      <c r="OB222" s="170" t="e">
        <f ca="1">IF($NA222 &lt;=$NY222, MIN(Control!$C$72, $NY222-$NA222), 0)</f>
        <v>#DIV/0!</v>
      </c>
      <c r="OC222" s="168" t="e">
        <f t="shared" ca="1" si="805"/>
        <v>#DIV/0!</v>
      </c>
      <c r="OD222" s="168" t="e">
        <f t="shared" ca="1" si="894"/>
        <v>#DIV/0!</v>
      </c>
      <c r="OE222" s="170">
        <f ca="1">Control!$C$73*$I222</f>
        <v>0</v>
      </c>
      <c r="OF222" s="176" t="e">
        <f t="shared" ca="1" si="806"/>
        <v>#DIV/0!</v>
      </c>
      <c r="OG222" s="168" t="e">
        <f t="shared" ca="1" si="807"/>
        <v>#DIV/0!</v>
      </c>
      <c r="OH222" s="168" t="e">
        <f t="shared" ca="1" si="808"/>
        <v>#DIV/0!</v>
      </c>
      <c r="OI222" s="168" t="e">
        <f t="shared" ca="1" si="809"/>
        <v>#DIV/0!</v>
      </c>
      <c r="OJ222" s="168" t="e">
        <f t="shared" ca="1" si="810"/>
        <v>#DIV/0!</v>
      </c>
      <c r="OK222" s="204" t="e">
        <f t="shared" ca="1" si="811"/>
        <v>#DIV/0!</v>
      </c>
      <c r="OL222" s="177">
        <f>Control!$C$127</f>
        <v>0.15</v>
      </c>
      <c r="OM222" s="182" t="e">
        <f t="shared" ca="1" si="812"/>
        <v>#N/A</v>
      </c>
      <c r="ON222" s="177">
        <f>Control!$C$128</f>
        <v>0.35</v>
      </c>
      <c r="OO222" s="182" t="e">
        <f t="shared" ca="1" si="813"/>
        <v>#N/A</v>
      </c>
      <c r="OP222" s="138">
        <f t="shared" ca="1" si="895"/>
        <v>0</v>
      </c>
      <c r="OQ222" s="138" t="e">
        <f t="shared" ca="1" si="918"/>
        <v>#DIV/0!</v>
      </c>
      <c r="OR222" s="138" t="e">
        <f t="shared" ca="1" si="896"/>
        <v>#DIV/0!</v>
      </c>
      <c r="OS222" s="137" t="e">
        <f t="shared" ca="1" si="919"/>
        <v>#DIV/0!</v>
      </c>
      <c r="OT222" s="139" t="e">
        <f t="shared" ca="1" si="920"/>
        <v>#DIV/0!</v>
      </c>
      <c r="OU222" s="138" t="e">
        <f t="shared" ca="1" si="921"/>
        <v>#N/A</v>
      </c>
      <c r="OV222" s="138" t="e">
        <f t="shared" ca="1" si="922"/>
        <v>#DIV/0!</v>
      </c>
      <c r="OW222" s="138" t="e">
        <f t="shared" ca="1" si="897"/>
        <v>#DIV/0!</v>
      </c>
      <c r="OX222" s="138" t="e">
        <f t="shared" ca="1" si="898"/>
        <v>#DIV/0!</v>
      </c>
      <c r="OY222" s="138" t="e">
        <f t="shared" ca="1" si="899"/>
        <v>#DIV/0!</v>
      </c>
      <c r="OZ222" s="138" t="e">
        <f t="shared" ca="1" si="814"/>
        <v>#DIV/0!</v>
      </c>
      <c r="PA222" s="138" t="e">
        <f t="shared" ca="1" si="815"/>
        <v>#DIV/0!</v>
      </c>
      <c r="PB222" s="55">
        <f>IF(Control!$C$61="T", IF(Control!$C$65="F", IF($AH$6-Control!$C$60&lt;0,0,1), IF(365+$AH$6-Control!$C$60&lt;0,0,1)),0)</f>
        <v>0</v>
      </c>
      <c r="PC222" s="55">
        <f ca="1">IF(Control!$C$65="F", IF($AH$6-$HF222&lt;0,0,1), IF(365+$AH$6-$HF222&lt;0,0,1))</f>
        <v>1</v>
      </c>
      <c r="PD222" s="444">
        <f>Control!$C$118</f>
        <v>1500</v>
      </c>
      <c r="PE222" s="180" t="e">
        <f t="shared" ca="1" si="816"/>
        <v>#N/A</v>
      </c>
      <c r="PF222" s="445">
        <f t="shared" ca="1" si="900"/>
        <v>0.71612369323045078</v>
      </c>
      <c r="PT222" s="186"/>
      <c r="PU222" s="186"/>
      <c r="PV222" s="94"/>
      <c r="PW222" s="94"/>
      <c r="PX222" s="94"/>
      <c r="PY222" s="94"/>
      <c r="PZ222" s="94"/>
      <c r="QA222" s="94"/>
      <c r="QB222" s="94"/>
      <c r="QC222" s="94"/>
      <c r="QD222" s="94"/>
      <c r="QE222" s="94"/>
      <c r="QF222" s="94"/>
      <c r="QG222" s="94"/>
      <c r="QH222" s="94"/>
      <c r="QI222" s="94"/>
      <c r="QJ222" s="94"/>
      <c r="QK222" s="94"/>
      <c r="QL222" s="94"/>
      <c r="QM222" s="94"/>
      <c r="QN222" s="94"/>
      <c r="QO222" s="94"/>
      <c r="QP222" s="94"/>
    </row>
    <row r="223" spans="1:458" s="2" customFormat="1" x14ac:dyDescent="0.2">
      <c r="A223" s="395">
        <v>6</v>
      </c>
      <c r="B223" s="396">
        <v>8</v>
      </c>
      <c r="C223" s="387">
        <f ca="1">Weather_data!$B222</f>
        <v>0</v>
      </c>
      <c r="D223" s="388">
        <f ca="1">Weather_data!$F222</f>
        <v>0</v>
      </c>
      <c r="E223" s="388">
        <f ca="1">Weather_data!$E222</f>
        <v>0</v>
      </c>
      <c r="F223" s="388">
        <f t="shared" ca="1" si="817"/>
        <v>0</v>
      </c>
      <c r="G223" s="388">
        <f ca="1">AVERAGE($D223:$E223)+Control!$B$9</f>
        <v>0</v>
      </c>
      <c r="H223" s="388">
        <f ca="1">Weather_data!$G222</f>
        <v>0</v>
      </c>
      <c r="I223" s="388">
        <f ca="1">Weather_data!$I222</f>
        <v>0</v>
      </c>
      <c r="J223" s="388">
        <f ca="1">Weather_data!$H222</f>
        <v>0</v>
      </c>
      <c r="K223" s="389">
        <f ca="1">Weather_data!$D222</f>
        <v>0</v>
      </c>
      <c r="L223" s="388" t="e">
        <f t="shared" ca="1" si="818"/>
        <v>#N/A</v>
      </c>
      <c r="M223" s="388" t="e">
        <f t="shared" ca="1" si="696"/>
        <v>#N/A</v>
      </c>
      <c r="N223" s="388">
        <f t="shared" ca="1" si="697"/>
        <v>-5.8829418100283299E-11</v>
      </c>
      <c r="O223" s="388">
        <f t="shared" ca="1" si="819"/>
        <v>5.8829418100283299E-10</v>
      </c>
      <c r="P223" s="390">
        <v>3</v>
      </c>
      <c r="Q223" s="388">
        <f ca="1">MAX($G223-Control!$C$107,0)</f>
        <v>0</v>
      </c>
      <c r="R223" s="388">
        <f t="shared" ca="1" si="820"/>
        <v>0</v>
      </c>
      <c r="S223" s="388">
        <f t="shared" ca="1" si="698"/>
        <v>0</v>
      </c>
      <c r="T223" s="388">
        <f t="shared" ca="1" si="699"/>
        <v>0</v>
      </c>
      <c r="U223" s="59">
        <f t="shared" ca="1" si="700"/>
        <v>0</v>
      </c>
      <c r="V223" s="391">
        <f ca="1">MAX(0,MIN(Control!$C$100-Control!$C$99,$G223-Control!$C$99)*Control!$C$63)</f>
        <v>0</v>
      </c>
      <c r="W223" s="388">
        <f t="shared" ca="1" si="821"/>
        <v>0</v>
      </c>
      <c r="X223" s="388">
        <f t="shared" ca="1" si="822"/>
        <v>0.6110000000000001</v>
      </c>
      <c r="Y223" s="388">
        <f t="shared" ca="1" si="701"/>
        <v>0</v>
      </c>
      <c r="Z223" s="388">
        <f t="shared" ca="1" si="823"/>
        <v>0.61058800000000002</v>
      </c>
      <c r="AA223" s="388">
        <f t="shared" ca="1" si="702"/>
        <v>0.6018</v>
      </c>
      <c r="AB223" s="388">
        <f ca="1">101.3*EXP(-0.034*Control!$C$66/($G223+273))</f>
        <v>100.69623283836242</v>
      </c>
      <c r="AC223" s="392">
        <f t="shared" ca="1" si="703"/>
        <v>4.3460251046025113E-2</v>
      </c>
      <c r="AD223" s="392">
        <f t="shared" ca="1" si="704"/>
        <v>4.4450382862832649E-2</v>
      </c>
      <c r="AE223" s="388">
        <f t="shared" ca="1" si="705"/>
        <v>0</v>
      </c>
      <c r="AF223" s="388">
        <f ca="1">MAX(0,$G223-Control!$C$92)</f>
        <v>0</v>
      </c>
      <c r="AG223" s="393">
        <f t="shared" ca="1" si="706"/>
        <v>219</v>
      </c>
      <c r="AH223" s="389">
        <f t="shared" ca="1" si="707"/>
        <v>219</v>
      </c>
      <c r="AI223" s="388">
        <f t="shared" ca="1" si="824"/>
        <v>0.28079535836633041</v>
      </c>
      <c r="AJ223" s="388">
        <f ca="1">IF(Control!$C$60&lt;=0,$HH223,$HI223)</f>
        <v>1</v>
      </c>
      <c r="AK223" s="388">
        <f t="shared" ca="1" si="708"/>
        <v>2.392774678624555</v>
      </c>
      <c r="AL223" s="388">
        <f t="shared" ca="1" si="709"/>
        <v>6.6720500652150962E-18</v>
      </c>
      <c r="AM223" s="388">
        <f t="shared" ca="1" si="710"/>
        <v>2.392774678624555</v>
      </c>
      <c r="AN223" s="388">
        <f t="shared" ca="1" si="711"/>
        <v>0.27423610114321006</v>
      </c>
      <c r="AO223" s="388">
        <f ca="1">-0.10453/COS(Control!$B$8*PI()/180)*COS(AN223)</f>
        <v>-0.16344040305139565</v>
      </c>
      <c r="AP223" s="388">
        <f ca="1">ACOS(AO223-TAN(Control!$B$8*PI()/180)*TAN(AN223))</f>
        <v>2.121772049423051</v>
      </c>
      <c r="AQ223" s="388">
        <f t="shared" ca="1" si="825"/>
        <v>0</v>
      </c>
      <c r="AR223" s="394">
        <f t="shared" ca="1" si="712"/>
        <v>0</v>
      </c>
      <c r="AS223" s="436">
        <f ca="1">IF(Control!$B$18=2,(IF(OR($AH223=Control!$B$175,$AH223=Control!$B$176,$AH223=Control!$B$177,$AH223=Control!$B$178,$AH223=Control!$B$179,$AH223=Control!$B$180,$AH223=Control!$B$181,$AH223=Control!$B$182,$AH223=Control!$B$183,$AH223=Control!$B$184,$AH223=Control!$B$185),1,0)),0)</f>
        <v>0</v>
      </c>
      <c r="AT223" s="436">
        <f>IF(Control!$B$20=8,IF(AND($AH223&gt;=Control!$B$172,$AH223&lt;=Control!$B$173),1,0),0)</f>
        <v>0</v>
      </c>
      <c r="AU223" s="436">
        <f>IF(Control!$B$20=8,IF($AV222=1,1*$AT223,IF($AT223=1,$AU222+1,$AU222)),0)</f>
        <v>0</v>
      </c>
      <c r="AV223" s="436">
        <f>IF(Control!$B$20=8,IF($AU223&gt;=Control!$B$174,1,0),0)</f>
        <v>0</v>
      </c>
      <c r="AW223" s="436">
        <f ca="1">IF(AND(Control!$B$18=2,Control!$B$171=1), $AV223, $AS223)</f>
        <v>0</v>
      </c>
      <c r="AX223" s="436" t="e">
        <f ca="1">IF(AND(Control!$B$18=1,$EU223&gt;=Control!$B$19),-$AY223,IF(AND(Control!$B$18=2,$AW223=1,$EU223&gt;$DS223),-$AY223, IF(Control!$C$108=0,0, IF(Control!$C$108&lt;&gt;0,1))))</f>
        <v>#N/A</v>
      </c>
      <c r="AY223" s="436" t="e">
        <f t="shared" ca="1" si="826"/>
        <v>#N/A</v>
      </c>
      <c r="AZ223" s="436" t="e">
        <f ca="1">IF(AND(Control!$B$18=1,$EB223&gt;Control!$B$19),$AZ222+1, IF(AND(Control!$B$18=2, $AW223=1, $EB223&gt;$DS223), $AZ222+1,$AZ222))</f>
        <v>#N/A</v>
      </c>
      <c r="BA223" s="587">
        <f>IF(Control!$C$81=0,1,IF($AH223&gt;=Control!$C$82,1,0))</f>
        <v>1</v>
      </c>
      <c r="BB223" s="140" t="e">
        <f ca="1">IF($BA223&gt;$BA222,Control!$C$83,IF($AW223&gt;0,$AW223*Control!$C$84,IF(AND(Control!$B$18=1,EN222&lt;&gt;0),Control!$C$84,0)))</f>
        <v>#N/A</v>
      </c>
      <c r="BC223" s="140" t="e">
        <f t="shared" ca="1" si="827"/>
        <v>#N/A</v>
      </c>
      <c r="BD223" s="140" t="e">
        <f ca="1">BC223*IF(OR($G223&lt;Control!$C$92,$G223&gt;Control!$C$95),0,IF(AND($G223&gt;=Control!$C$92,$G223&lt;=Control!$C$93),$G223-Control!$C$92,IF(AND($G223&gt;Control!$C$93,$G223&lt;=Control!$C$94),Control!$C$93-Control!$C$92,IF(AND($G223&gt;Control!$C$94,$G223&lt;=Control!$C$95),(Control!$C$93-Control!$C$92)*(Control!$C$94-$G223)/(Control!$C$95-Control!$C$94)))))</f>
        <v>#N/A</v>
      </c>
      <c r="BE223" s="140" t="e">
        <f t="shared" ca="1" si="828"/>
        <v>#N/A</v>
      </c>
      <c r="BF223" s="140" t="e">
        <f ca="1">IF($BE223&lt;=Control!$C$86,$BE223,Control!$C$86-$BE223)</f>
        <v>#N/A</v>
      </c>
      <c r="BG223" s="140" t="e">
        <f ca="1">IF(AND($AW223=1,Control!$C$84&lt;9),1,IF($BE223&gt;=Control!$C$86,0,$BC223))</f>
        <v>#N/A</v>
      </c>
      <c r="BH223" s="404" t="e">
        <f ca="1">IF($BG223=0,0,IF($BE223&lt;=Control!$C$86,$BC223*9*($BF223/Control!$C$86),0))</f>
        <v>#N/A</v>
      </c>
      <c r="BI223" s="140" t="e">
        <f ca="1">IF($BG223=1,0,IF($BE223&gt;=Control!$C$86,1,IF(AND($BB223&lt;21,$BB223&gt;=9),1,$BM222)))</f>
        <v>#N/A</v>
      </c>
      <c r="BJ223" s="140" t="e">
        <f ca="1">IF($BF223&lt;0,-$BF223,$BI223*IF(OR($G223&lt;Control!$C$92,$G223&gt;Control!$C$95),0,IF(AND($G223&gt;=Control!$C$92,$G223&lt;=Control!$C$93),$G223-Control!$C$92,IF(AND($G223&gt;Control!$C$93,$G223&lt;=Control!$C$94),Control!$C$93-Control!$C$92,IF(AND($G223&gt;Control!$C$94,$G223&lt;=Control!$C$95),(Control!$C$93-Control!$C$92)*(Control!$C$94-$G223)/(Control!$C$95-Control!$C$94))))))</f>
        <v>#N/A</v>
      </c>
      <c r="BK223" s="140" t="e">
        <f t="shared" ca="1" si="829"/>
        <v>#N/A</v>
      </c>
      <c r="BL223" s="140" t="e">
        <f ca="1">IF($BK223&lt;=Control!$C$87,$BK223,Control!$C$87-$BK223)</f>
        <v>#N/A</v>
      </c>
      <c r="BM223" s="140" t="e">
        <f ca="1">IF(AND($BB223&gt;=9,$BB223&lt;21),1,IF($BK223&gt;=Control!$C$87,0,$BI223))</f>
        <v>#N/A</v>
      </c>
      <c r="BN223" s="404" t="e">
        <f ca="1">IF($BM223=0,0,IF($BK223&lt;=Control!$C$87,$BI223*(9+(21-9)*($BL223/Control!$C$87)),0))</f>
        <v>#N/A</v>
      </c>
      <c r="BO223" s="140" t="e">
        <f ca="1">IF($BM223=1,0,IF($BK223&gt;=Control!$C$87,1,IF(AND($BB223&lt;30,$BB223&gt;=21),1,$BS222)))</f>
        <v>#N/A</v>
      </c>
      <c r="BP223" s="140" t="e">
        <f ca="1">IF($BL223&lt;0,-$BL223,$BO223*IF(OR($G223&lt;Control!$C$92,$G223&gt;Control!$C$95),0,IF(AND($G223&gt;=Control!$C$92,$G223&lt;=Control!$C$93),$G223-Control!$C$92,IF(AND($G223&gt;Control!$C$93,$G223&lt;=Control!$C$94),Control!$C$93-Control!$C$92,IF(AND($G223&gt;Control!$C$94,$G223&lt;=Control!$C$95),(Control!$C$93-Control!$C$92)*(Control!$C$94-$G223)/(Control!$C$95-Control!$C$94))))))</f>
        <v>#N/A</v>
      </c>
      <c r="BQ223" s="140" t="e">
        <f t="shared" ca="1" si="713"/>
        <v>#N/A</v>
      </c>
      <c r="BR223" s="140" t="e">
        <f ca="1">IF($BQ223&lt;=Control!$C$88,$BQ223,Control!$C$88-$BQ223)</f>
        <v>#N/A</v>
      </c>
      <c r="BS223" s="140" t="e">
        <f ca="1">IF(AND($BB223&gt;=21,$BB223&lt;30),1,IF($BQ223&gt;=Control!$C$88,0,$BO223))</f>
        <v>#N/A</v>
      </c>
      <c r="BT223" s="404" t="e">
        <f ca="1">IF($BS223=0,0,IF($BQ223&lt;=Control!$C$88,$BO223*(21+(30-21)*(BR223/Control!$C$88)),0))</f>
        <v>#N/A</v>
      </c>
      <c r="BU223" s="140" t="e">
        <f ca="1">IF(BG223+BM223+BS223=1,0,IF(OR(AND($BB223&lt;60,$BB223&gt;=30),$BQ223&gt;=Control!$C$88),1*$BA223,$BY222))</f>
        <v>#N/A</v>
      </c>
      <c r="BV223" s="140" t="e">
        <f ca="1">IF($BR223&lt;0,-$BR223,$BU223*IF(OR($G223&lt;Control!$C$92,$G223&gt;Control!$C$95),0,IF(AND($G223&gt;=Control!$C$92,$G223&lt;=Control!$C$93),$G223-Control!$C$92,IF(AND($G223&gt;Control!$C$93,$G223&lt;=Control!$C$94),Control!$C$93-Control!$C$92,IF(AND($G223&gt;Control!$C$94,$G223&lt;=Control!$C$95),(Control!$C$93-Control!$C$92)*(Control!$C$94-$G223)/(Control!$C$95-Control!$C$94))))))</f>
        <v>#N/A</v>
      </c>
      <c r="BW223" s="140" t="e">
        <f t="shared" ca="1" si="714"/>
        <v>#N/A</v>
      </c>
      <c r="BX223" s="140" t="e">
        <f ca="1">IF($BW223&lt;=Control!$C$89,$BW223,Control!$C$89-$BW223)</f>
        <v>#N/A</v>
      </c>
      <c r="BY223" s="140" t="e">
        <f ca="1">IF(AND($AJ223&gt;=30,$AJ223&lt;60),1,IF($BW223&gt;=Control!$C$89,0,$BU223))</f>
        <v>#N/A</v>
      </c>
      <c r="BZ223" s="404" t="e">
        <f ca="1">IF($BY223=0,0,IF($BW223&lt;=Control!$C$89,$BU223*(30+(60-30)*(BX223/Control!$C$89)),0))</f>
        <v>#N/A</v>
      </c>
      <c r="CA223" s="140" t="e">
        <f ca="1">IF($BG223+$BM223+$BS223+$BY223=1,0,IF(OR(AND($BB223&lt;65,$BB223&gt;=60),$BW223&gt;=Control!$C$89),1*$BA223,$CE222))</f>
        <v>#N/A</v>
      </c>
      <c r="CB223" s="140" t="e">
        <f ca="1">IF($BX223&lt;0,-$BX223,$CA223*IF(OR($G223&lt;Control!$C$92,$G223&gt;Control!$C$95),0,IF(AND($G223&gt;=Control!$C$92,$G223&lt;=Control!$C$93),$G223-Control!$C$92,IF(AND($G223&gt;Control!$C$93,$G223&lt;=Control!$C$94),Control!$C$93-Control!$C$92,IF(AND($G223&gt;Control!$C$94,$G223&lt;=Control!$C$95),(Control!$C$93-Control!$C$92)*(Control!$C$94-$G223)/(Control!$C$95-Control!$C$94))))))</f>
        <v>#N/A</v>
      </c>
      <c r="CC223" s="140" t="e">
        <f t="shared" ca="1" si="830"/>
        <v>#N/A</v>
      </c>
      <c r="CD223" s="140" t="e">
        <f ca="1">IF($CC223&lt;=Control!$C$90,$CC223,Control!$C$90-$CC223)</f>
        <v>#N/A</v>
      </c>
      <c r="CE223" s="140" t="e">
        <f ca="1">IF(AND($BB223&gt;=60,$BB223&lt;65),1,IF($CC223&gt;=Control!$C$90,0,$CA223))</f>
        <v>#N/A</v>
      </c>
      <c r="CF223" s="404" t="e">
        <f ca="1">IF($CE223=0,0,IF($CC223&lt;=Control!$C$90,$CA223*(60+(65-60)*(CD223/Control!$C$90)),0))</f>
        <v>#N/A</v>
      </c>
      <c r="CG223" s="140" t="e">
        <f ca="1">IF($BG223+$BM223+$BS223+$BY223+$CE223=1,0,IF(OR(AND($BB223&lt;90,$BB223&gt;=65),$CC223&gt;=Control!$C$90),$BA223,$CK222))</f>
        <v>#N/A</v>
      </c>
      <c r="CH223" s="140" t="e">
        <f ca="1">IF($CD223&lt;0,-$CD223,$CG223*IF(OR($G223&lt;Control!$C$92,$G223&gt;Control!$C$95),0,IF(AND($G223&gt;=Control!$C$92,$G223&lt;=Control!$C$93),$G223-Control!$C$92,IF(AND($G223&gt;Control!$C$93,$G223&lt;=Control!$C$94),Control!$C$93-Control!$C$92,IF(AND($G223&gt;Control!$C$94,$G223&lt;=Control!$C$95),(Control!$C$93-Control!$C$92)*(Control!$C$94-$G223)/(Control!$C$95-Control!$C$94))))))</f>
        <v>#N/A</v>
      </c>
      <c r="CI223" s="140" t="e">
        <f t="shared" ca="1" si="831"/>
        <v>#N/A</v>
      </c>
      <c r="CJ223" s="140" t="e">
        <f ca="1">IF($CI223&lt;=Control!$C$91,$CI223,Control!$C$91-$CI223)</f>
        <v>#N/A</v>
      </c>
      <c r="CK223" s="140" t="e">
        <f ca="1">IF(AND($BB223&gt;=65,$BB223&lt;90),1,IF($CI223&gt;=Control!$C$91,0,$CG223))</f>
        <v>#N/A</v>
      </c>
      <c r="CL223" s="404" t="e">
        <f ca="1">IF($CK223=0,0,IF($CI223&lt;=Control!$C$91,$CG223*(65+(90-65)*($CJ223/Control!$C$91)),0))</f>
        <v>#N/A</v>
      </c>
      <c r="CM223" s="140" t="e">
        <f ca="1">IF($BG223+$BM223+$BS223+$BY223+$CE223+$CK223=1,0,IF(OR($BB223&gt;=90,$CI223&gt;=Control!$C$91),$BA223,$CM222))</f>
        <v>#N/A</v>
      </c>
      <c r="CN223" s="140" t="e">
        <f t="shared" ca="1" si="832"/>
        <v>#N/A</v>
      </c>
      <c r="CO223" s="140" t="e">
        <f t="shared" ca="1" si="833"/>
        <v>#N/A</v>
      </c>
      <c r="CP223" s="140" t="e">
        <f t="shared" ca="1" si="834"/>
        <v>#N/A</v>
      </c>
      <c r="CQ223" s="141" t="e">
        <f ca="1">VLOOKUP($CP223,Control!$B$86:$G$91,6)</f>
        <v>#N/A</v>
      </c>
      <c r="CR223" s="141" t="e">
        <f ca="1">(1-$CQ223)*VLOOKUP($CP223,Control!$B$86:$D$91,3)</f>
        <v>#N/A</v>
      </c>
      <c r="CS223" s="141" t="e">
        <f ca="1">(1-$CQ223)*VLOOKUP($CP223,Control!$B$86:$E$91,4)</f>
        <v>#N/A</v>
      </c>
      <c r="CT223" s="141" t="e">
        <f ca="1">(1-$CQ223)*VLOOKUP($CP223,Control!$B$86:$F$91,5)</f>
        <v>#N/A</v>
      </c>
      <c r="CU223" s="141">
        <f t="shared" ca="1" si="835"/>
        <v>0</v>
      </c>
      <c r="CV223" s="583">
        <f t="shared" ca="1" si="836"/>
        <v>0</v>
      </c>
      <c r="CW223" s="142">
        <f t="shared" ca="1" si="837"/>
        <v>219</v>
      </c>
      <c r="CX223" s="612" t="e">
        <f ca="1">IF(Control!$C$114=1,(MIN(Control!$C$120*(IF($NT223-0.01&lt;0,0,1)),Control!$C$119-$CY223)))</f>
        <v>#DIV/0!</v>
      </c>
      <c r="CY223" s="143" t="e">
        <f t="shared" ca="1" si="838"/>
        <v>#N/A</v>
      </c>
      <c r="CZ223" s="144">
        <f t="shared" ca="1" si="715"/>
        <v>0</v>
      </c>
      <c r="DA223" s="144">
        <f t="shared" ca="1" si="716"/>
        <v>0</v>
      </c>
      <c r="DB223" s="144" t="e">
        <f t="shared" ca="1" si="717"/>
        <v>#N/A</v>
      </c>
      <c r="DC223" s="144" t="e">
        <f t="shared" ca="1" si="718"/>
        <v>#N/A</v>
      </c>
      <c r="DD223" s="144" t="e">
        <f t="shared" ca="1" si="923"/>
        <v>#N/A</v>
      </c>
      <c r="DE223" s="143" t="e">
        <f t="shared" ca="1" si="839"/>
        <v>#N/A</v>
      </c>
      <c r="DF223" s="145" t="e">
        <f ca="1">$DR223*EXP(-Control!$C$158*(1-$KH223))</f>
        <v>#N/A</v>
      </c>
      <c r="DG223" s="146" t="e">
        <f ca="1">IF(Control!$C$114=1, $DF223*$EY223, 0)</f>
        <v>#N/A</v>
      </c>
      <c r="DH223" s="147" t="e">
        <f t="shared" ca="1" si="840"/>
        <v>#N/A</v>
      </c>
      <c r="DI223" s="144" t="e">
        <f t="shared" ca="1" si="901"/>
        <v>#N/A</v>
      </c>
      <c r="DJ223" s="147" t="e">
        <f ca="1">$EF223*Control!$C$109</f>
        <v>#N/A</v>
      </c>
      <c r="DK223" s="144" t="e">
        <f t="shared" ca="1" si="841"/>
        <v>#N/A</v>
      </c>
      <c r="DL223" s="144" t="e">
        <f t="shared" ca="1" si="719"/>
        <v>#N/A</v>
      </c>
      <c r="DM223" s="144" t="e">
        <f ca="1">IF(Control!$C$114=1, (1-EXP(-Control!$C$96*$DK223))*$AR223, 0)</f>
        <v>#N/A</v>
      </c>
      <c r="DN223" s="144">
        <f t="shared" ca="1" si="842"/>
        <v>0</v>
      </c>
      <c r="DO223" s="148">
        <f>Control!$C$97</f>
        <v>4</v>
      </c>
      <c r="DP223" s="145" t="e">
        <f t="shared" ca="1" si="843"/>
        <v>#N/A</v>
      </c>
      <c r="DQ223" s="145" t="e">
        <f ca="1">IF(AND($CP223&gt;=0,$CP223&lt;=90),Control!$C$111,Control!$C$111)</f>
        <v>#N/A</v>
      </c>
      <c r="DR223" s="145" t="e">
        <f t="shared" ca="1" si="720"/>
        <v>#N/A</v>
      </c>
      <c r="DS223" s="143" t="e">
        <f ca="1">Control!$B$22/$DR223</f>
        <v>#N/A</v>
      </c>
      <c r="DT223" s="149" t="e">
        <f ca="1">IF(AND(Control!$C$114=1,$KH223&lt;1),$IM223*$DF223, 0)</f>
        <v>#N/A</v>
      </c>
      <c r="DU223" s="144" t="e">
        <f t="shared" ca="1" si="844"/>
        <v>#N/A</v>
      </c>
      <c r="DV223" s="144">
        <f ca="1">IF($G223-Control!$C$107&lt;=0, 0, 0.83*LN(MAX($G223, 3))-0.8924)</f>
        <v>0</v>
      </c>
      <c r="DW223" s="144" t="e">
        <f t="shared" ca="1" si="721"/>
        <v>#N/A</v>
      </c>
      <c r="DX223" s="150" t="e">
        <f ca="1">MAX(0.01*(1+$CU223/Control!$C$102),0.05*($DK223-Control!$C$97)/Control!$C$97)</f>
        <v>#N/A</v>
      </c>
      <c r="DY223" s="151" t="e">
        <f ca="1">IF(Control!$C$114=1, $DI223*$FS223, 0)</f>
        <v>#N/A</v>
      </c>
      <c r="DZ223" s="196" t="e">
        <f t="shared" ca="1" si="845"/>
        <v>#N/A</v>
      </c>
      <c r="EA223" s="152">
        <f t="shared" ca="1" si="846"/>
        <v>219</v>
      </c>
      <c r="EB223" s="153" t="e">
        <f t="shared" ca="1" si="847"/>
        <v>#N/A</v>
      </c>
      <c r="EC223" s="153" t="e">
        <f t="shared" ca="1" si="848"/>
        <v>#N/A</v>
      </c>
      <c r="ED223" s="154" t="e">
        <f ca="1">IF(Control!$C$114=1, $HM223*$FY223-$FD223, 0)</f>
        <v>#DIV/0!</v>
      </c>
      <c r="EE223" s="155" t="e">
        <f ca="1">IF(Control!$C$114=1, $HM223*$FZ223-$FF223, 0)</f>
        <v>#DIV/0!</v>
      </c>
      <c r="EF223" s="153" t="e">
        <f t="shared" ca="1" si="902"/>
        <v>#N/A</v>
      </c>
      <c r="EG223" s="155" t="e">
        <f ca="1">IF(Control!$C$114=1, $GX223*$FW223-$FI223, 0)</f>
        <v>#DIV/0!</v>
      </c>
      <c r="EH223" s="153" t="e">
        <f t="shared" ca="1" si="849"/>
        <v>#N/A</v>
      </c>
      <c r="EI223" s="156" t="e">
        <f t="shared" ca="1" si="850"/>
        <v>#N/A</v>
      </c>
      <c r="EJ223" s="155" t="e">
        <f ca="1">IF(Control!$C$114=1, $HM223*$GB223, 0)</f>
        <v>#DIV/0!</v>
      </c>
      <c r="EK223" s="153" t="e">
        <f t="shared" ca="1" si="903"/>
        <v>#N/A</v>
      </c>
      <c r="EL223" s="153" t="e">
        <f t="shared" ca="1" si="722"/>
        <v>#N/A</v>
      </c>
      <c r="EM223" s="153" t="e">
        <f t="shared" ca="1" si="723"/>
        <v>#N/A</v>
      </c>
      <c r="EN223" s="153" t="e">
        <f ca="1">IF(Control!$C$108=1,IF(AND(Control!$B$18=1,$EB223&gt;=Control!$B$19),$EB223-$DS223,IF(AND(Control!$B$18=2,$AW223=1,$EB223&gt;$DS223),$EB223-$DS223,0)))</f>
        <v>#N/A</v>
      </c>
      <c r="EO223" s="153" t="e">
        <f ca="1">IF(Control!$C$108=1,IF(AND(Control!$B$18=1,$EB223&gt;=Control!$B$19),$EF223,IF(AND(Control!$B$18=2,$AW223=1),$EF223,0)))</f>
        <v>#N/A</v>
      </c>
      <c r="EP223" s="153" t="e">
        <f ca="1">IF(Control!$C$108=1,IF(AND(Control!$B$18=1,$EB223&gt;=Control!$B$19),$EK223,IF(AND(Control!$B$18=2,$AW223=1),$EK223,0)))</f>
        <v>#N/A</v>
      </c>
      <c r="EQ223" s="153" t="e">
        <f t="shared" ca="1" si="851"/>
        <v>#N/A</v>
      </c>
      <c r="ER223" s="153" t="e">
        <f t="shared" ca="1" si="852"/>
        <v>#N/A</v>
      </c>
      <c r="ES223" s="153" t="e">
        <f t="shared" ca="1" si="904"/>
        <v>#N/A</v>
      </c>
      <c r="ET223" s="153" t="e">
        <f t="shared" ca="1" si="905"/>
        <v>#N/A</v>
      </c>
      <c r="EU223" s="153" t="e">
        <f t="shared" ca="1" si="853"/>
        <v>#N/A</v>
      </c>
      <c r="EV223" s="153" t="e">
        <f t="shared" ca="1" si="724"/>
        <v>#N/A</v>
      </c>
      <c r="EW223" s="153" t="e">
        <f t="shared" ca="1" si="725"/>
        <v>#N/A</v>
      </c>
      <c r="EX223" s="153" t="e">
        <f t="shared" ca="1" si="726"/>
        <v>#N/A</v>
      </c>
      <c r="EY223" s="157" t="e">
        <f t="shared" ca="1" si="727"/>
        <v>#DIV/0!</v>
      </c>
      <c r="EZ223" s="154" t="e">
        <f t="shared" ca="1" si="728"/>
        <v>#DIV/0!</v>
      </c>
      <c r="FA223" s="153" t="e">
        <f t="shared" ca="1" si="854"/>
        <v>#N/A</v>
      </c>
      <c r="FB223" s="153" t="e">
        <f t="shared" ca="1" si="729"/>
        <v>#N/A</v>
      </c>
      <c r="FC223" s="193" t="e">
        <f t="shared" ca="1" si="730"/>
        <v>#N/A</v>
      </c>
      <c r="FD223" s="158" t="e">
        <f t="shared" ca="1" si="855"/>
        <v>#N/A</v>
      </c>
      <c r="FE223" s="158" t="e">
        <f t="shared" ca="1" si="856"/>
        <v>#N/A</v>
      </c>
      <c r="FF223" s="159" t="e">
        <f t="shared" ca="1" si="731"/>
        <v>#N/A</v>
      </c>
      <c r="FG223" s="160" t="e">
        <f t="shared" ca="1" si="857"/>
        <v>#N/A</v>
      </c>
      <c r="FH223" s="158" t="e">
        <f t="shared" ca="1" si="858"/>
        <v>#N/A</v>
      </c>
      <c r="FI223" s="159" t="e">
        <f t="shared" ca="1" si="732"/>
        <v>#N/A</v>
      </c>
      <c r="FJ223" s="160" t="e">
        <f t="shared" ca="1" si="859"/>
        <v>#N/A</v>
      </c>
      <c r="FK223" s="160" t="e">
        <f t="shared" ca="1" si="733"/>
        <v>#N/A</v>
      </c>
      <c r="FL223" s="160" t="e">
        <f t="shared" ca="1" si="906"/>
        <v>#N/A</v>
      </c>
      <c r="FM223" s="160" t="e">
        <f t="shared" ca="1" si="734"/>
        <v>#N/A</v>
      </c>
      <c r="FN223" s="158">
        <f t="shared" ca="1" si="860"/>
        <v>0.01</v>
      </c>
      <c r="FO223" s="160">
        <f>Control!$C$101</f>
        <v>50</v>
      </c>
      <c r="FP223" s="150" t="e">
        <f t="shared" ca="1" si="735"/>
        <v>#N/A</v>
      </c>
      <c r="FQ223" s="150" t="e">
        <f ca="1">MAX(0,(Control!$C$112*(($DK223-Control!$C$97)/Control!$C$97)))</f>
        <v>#N/A</v>
      </c>
      <c r="FR223" s="150" t="e">
        <f ca="1">(1-$NT223)*Control!$C$113</f>
        <v>#DIV/0!</v>
      </c>
      <c r="FS223" s="198" t="e">
        <f t="shared" ca="1" si="736"/>
        <v>#N/A</v>
      </c>
      <c r="FT223" s="161">
        <f t="shared" ca="1" si="861"/>
        <v>219</v>
      </c>
      <c r="FU223" s="162" t="e">
        <f ca="1">IF(Control!$B$34=1,VLOOKUP($CP223,Control!$B$86:$G$91,6),Control!$B$35)</f>
        <v>#N/A</v>
      </c>
      <c r="FV223" s="162" t="e">
        <f t="shared" ca="1" si="737"/>
        <v>#DIV/0!</v>
      </c>
      <c r="FW223" s="162" t="e">
        <f ca="1">IF(Control!$B$31=1,$FU223*$FV223,  $FU223)</f>
        <v>#N/A</v>
      </c>
      <c r="FX223" s="162" t="e">
        <f ca="1">IF(Control!$B$34=1,VLOOKUP($CP223,Control!$B$86:$G$91,3),Control!$B$36)</f>
        <v>#N/A</v>
      </c>
      <c r="FY223" s="162" t="e">
        <f t="shared" ca="1" si="738"/>
        <v>#N/A</v>
      </c>
      <c r="FZ223" s="162" t="e">
        <f ca="1">IF(Control!$B$34=1,VLOOKUP($CP223,Control!$B$86:$G$91,4),Control!$B$37)</f>
        <v>#N/A</v>
      </c>
      <c r="GA223" s="162" t="e">
        <f t="shared" ca="1" si="739"/>
        <v>#N/A</v>
      </c>
      <c r="GB223" s="162" t="e">
        <f ca="1">IF(Control!$B$34=1,VLOOKUP($CP223,Control!$B$86:$G$91,5),Control!$B$38)</f>
        <v>#N/A</v>
      </c>
      <c r="GC223" s="162" t="e">
        <f t="shared" ca="1" si="862"/>
        <v>#N/A</v>
      </c>
      <c r="GD223" s="162">
        <f t="shared" ca="1" si="740"/>
        <v>1</v>
      </c>
      <c r="GE223" s="162">
        <f t="shared" ca="1" si="741"/>
        <v>1</v>
      </c>
      <c r="GF223" s="162">
        <f ca="1">IF(AND(Control!$C$104=1, Control!$C$62="F"),$GE223,1)</f>
        <v>1</v>
      </c>
      <c r="GG223" s="162" t="e">
        <f ca="1">IF(Control!$B$16=40,0,IF(AND(Control!$B$16&gt;40,Control!$B$16&lt;=360),(Control!$B$16-40)*((1-0)/(360-40)),IF(AND(Control!$B$16&gt;360,Control!$B$16&lt;=720),(1+(Control!$B$16-360)*((1.25-1)/(720-360))),IF(AND(Control!$B$16&gt;720,Control!$B$16&lt;=1000),(1.25+(Control!$B$16-720)*((1.35-1.25)/(1000-720))),IF(AND(Control!$B$16&gt;1000,Control!$B$16&lt;=2000),(1.35+(Control!$B$16-1000)*0))))))</f>
        <v>#N/A</v>
      </c>
      <c r="GH223" s="162" t="e">
        <f t="shared" ca="1" si="742"/>
        <v>#N/A</v>
      </c>
      <c r="GI223" s="162">
        <f t="shared" ca="1" si="863"/>
        <v>0</v>
      </c>
      <c r="GJ223" s="162">
        <f t="shared" ca="1" si="743"/>
        <v>0</v>
      </c>
      <c r="GK223" s="162">
        <f t="shared" ca="1" si="864"/>
        <v>1</v>
      </c>
      <c r="GL223" s="162">
        <f t="shared" ca="1" si="744"/>
        <v>1</v>
      </c>
      <c r="GM223" s="162" t="e">
        <f ca="1">MAX(0,MIN(1,1-Control!$C$156*(1.0001-$KH223)^2))</f>
        <v>#N/A</v>
      </c>
      <c r="GN223" s="162" t="e">
        <f ca="1">IF(Control!$B$26=1,$KU223,$KX223)</f>
        <v>#N/A</v>
      </c>
      <c r="GO223" s="162" t="e">
        <f ca="1">IF($CP223&lt;=60,Control!$C$105,IF($CP223&gt;=90,Control!$C$106,Control!$C$105+($CP223-60)*((Control!$C$106-Control!$C$105)/(90-60))))</f>
        <v>#N/A</v>
      </c>
      <c r="GP223" s="162" t="e">
        <f t="shared" ca="1" si="745"/>
        <v>#N/A</v>
      </c>
      <c r="GQ223" s="162" t="e">
        <f t="shared" ca="1" si="865"/>
        <v>#N/A</v>
      </c>
      <c r="GR223" s="163" t="e">
        <f t="shared" ca="1" si="746"/>
        <v>#DIV/0!</v>
      </c>
      <c r="GS223" s="162" t="e">
        <f t="shared" ca="1" si="747"/>
        <v>#DIV/0!</v>
      </c>
      <c r="GT223" s="164" t="e">
        <f t="shared" ca="1" si="866"/>
        <v>#N/A</v>
      </c>
      <c r="GU223" s="162" t="e">
        <f t="shared" ca="1" si="867"/>
        <v>#N/A</v>
      </c>
      <c r="GV223" s="162" t="e">
        <f t="shared" ca="1" si="748"/>
        <v>#N/A</v>
      </c>
      <c r="GW223" s="162" t="e">
        <f t="shared" ca="1" si="749"/>
        <v>#DIV/0!</v>
      </c>
      <c r="GX223" s="162" t="e">
        <f t="shared" ca="1" si="868"/>
        <v>#DIV/0!</v>
      </c>
      <c r="GY223" s="162" t="e">
        <f t="shared" ca="1" si="869"/>
        <v>#DIV/0!</v>
      </c>
      <c r="GZ223" s="165" t="e">
        <f t="shared" ca="1" si="750"/>
        <v>#N/A</v>
      </c>
      <c r="HA223" s="162" t="e">
        <f ca="1">IF(Control!$C$114=1, $DI223*$FS223, 0)</f>
        <v>#N/A</v>
      </c>
      <c r="HB223" s="162" t="e">
        <f ca="1">$FA223/Control!$C$64</f>
        <v>#N/A</v>
      </c>
      <c r="HC223" s="162" t="e">
        <f t="shared" ca="1" si="751"/>
        <v>#DIV/0!</v>
      </c>
      <c r="HD223" s="162">
        <f ca="1">-ASIN(SIN(23.45*Control!$C$139)*COS(2*Control!$C$138*($AH223+10)/365))</f>
        <v>0.28079535836633041</v>
      </c>
      <c r="HE223" s="165">
        <f t="shared" ca="1" si="870"/>
        <v>0</v>
      </c>
      <c r="HF223" s="166">
        <f ca="1">IF(AND(Control!$C$61="T",$HE223&gt;=Control!$C$103,Control!$C$114=0),$AH223,Control!$C$59)</f>
        <v>1</v>
      </c>
      <c r="HG223" s="166">
        <f ca="1">IF(AND(Control!$C$61="T",$HE223&gt;=Control!$C$103,Control!$C$114=0),$HF223,Control!$C$59)</f>
        <v>1</v>
      </c>
      <c r="HH223" s="165">
        <f ca="1">IF(AND(OR(Control!$C$60&lt;=0, $AH223= Control!$C$59, Control!$C$60 &gt;0, $AH223 = Control!$C$60)), Control!$C$59, IF(Control!$C$60&gt;0, 0))</f>
        <v>1</v>
      </c>
      <c r="HI223" s="165">
        <f ca="1">IF(AND(OR(Control!$C$60&lt;=0, $AH223= Control!$C$59, Control!$C$60 &gt;0, $AH223 = Control!$C$60)), Control!$C$60, IF(Control!$C$60&lt;=0, 0))</f>
        <v>0</v>
      </c>
      <c r="HJ223" s="166">
        <f ca="1">IF(AND(Control!$C$62="F",$CV223&gt;=Control!$C$102),$AH223,0)</f>
        <v>0</v>
      </c>
      <c r="HK223" s="165" t="e">
        <f t="shared" ca="1" si="907"/>
        <v>#N/A</v>
      </c>
      <c r="HL223" s="166">
        <f ca="1">IF(AND(Control!$C$61="T",$HE223&gt;=Control!$C$103,Control!$C$114=0),$HF223,0)</f>
        <v>0</v>
      </c>
      <c r="HM223" s="201" t="e">
        <f t="shared" ca="1" si="752"/>
        <v>#DIV/0!</v>
      </c>
      <c r="HN223" s="215">
        <f t="shared" ca="1" si="871"/>
        <v>219</v>
      </c>
      <c r="HO223" s="216" t="e">
        <f ca="1">IF(AND($CP223&gt;=0, $CP223&lt;=90), Control!$C$152, Control!$C$152)</f>
        <v>#N/A</v>
      </c>
      <c r="HP223" s="216" t="e">
        <f t="shared" ca="1" si="753"/>
        <v>#N/A</v>
      </c>
      <c r="HQ223" s="217" t="e">
        <f ca="1">IF(OR(Control!$B$26=1,Control!$B$26=2),$KV223,$KS223)</f>
        <v>#DIV/0!</v>
      </c>
      <c r="HR223" s="218" t="e">
        <f t="shared" ca="1" si="908"/>
        <v>#DIV/0!</v>
      </c>
      <c r="HS223" s="216" t="e">
        <f ca="1">Control!$C$154*$HP223</f>
        <v>#N/A</v>
      </c>
      <c r="HT223" s="216" t="e">
        <f ca="1">Control!$C$155*$HP223</f>
        <v>#N/A</v>
      </c>
      <c r="HU223" s="217" t="e">
        <f ca="1">Control!$C$161*$FI223</f>
        <v>#N/A</v>
      </c>
      <c r="HV223" s="218" t="e">
        <f t="shared" ca="1" si="872"/>
        <v>#N/A</v>
      </c>
      <c r="HW223" s="218" t="e">
        <f ca="1">Control!$C$160*$FF223+$IP223*$EO223</f>
        <v>#N/A</v>
      </c>
      <c r="HX223" s="218" t="e">
        <f t="shared" ca="1" si="909"/>
        <v>#N/A</v>
      </c>
      <c r="HY223" s="219" t="e">
        <f ca="1">IF(Control!$C$114=1, $EB223*$FS223, 0)</f>
        <v>#N/A</v>
      </c>
      <c r="HZ223" s="91" t="e">
        <f t="shared" ca="1" si="754"/>
        <v>#N/A</v>
      </c>
      <c r="IA223" s="220" t="e">
        <f ca="1">Control!$C$153*$HO223</f>
        <v>#N/A</v>
      </c>
      <c r="IB223" s="218" t="e">
        <f t="shared" ca="1" si="755"/>
        <v>#N/A</v>
      </c>
      <c r="IC223" s="220" t="e">
        <f ca="1">Control!$C$153*$HT223</f>
        <v>#N/A</v>
      </c>
      <c r="ID223" s="218" t="e">
        <f t="shared" ca="1" si="756"/>
        <v>#N/A</v>
      </c>
      <c r="IE223" s="221" t="e">
        <f ca="1">($EB223*Control!$C$159+$EF223*Control!$C$160)/(IF($GZ223&lt;&gt;0,$GZ223,1))</f>
        <v>#N/A</v>
      </c>
      <c r="IF223" s="216" t="e">
        <f t="shared" ca="1" si="757"/>
        <v>#N/A</v>
      </c>
      <c r="IG223" s="91">
        <f ca="1">IF(OR(Control!$B$198=$AH223,Control!$B$199=$AH223, Control!$B$200=$AH223, Control!$B$201=$AH223, Control!$B$202=$AH223, Control!$B$203=$AH223, Control!$B$204=$AH223, Control!$B$205=$AH223, Control!$B$206=$AH223, Control!$B$207=$AH223), 1, 0)</f>
        <v>0</v>
      </c>
      <c r="IH223" s="91">
        <f ca="1">IF($IG223=0,0, VLOOKUP($AH223,Control!$B$198:$C$207,2))</f>
        <v>0</v>
      </c>
      <c r="II223" s="222">
        <f t="shared" ca="1" si="873"/>
        <v>0</v>
      </c>
      <c r="IJ223" s="91">
        <f>Control!$C$121</f>
        <v>0.7</v>
      </c>
      <c r="IK223" s="218">
        <f t="shared" ca="1" si="758"/>
        <v>0</v>
      </c>
      <c r="IL223" s="217" t="e">
        <f t="shared" ca="1" si="910"/>
        <v>#N/A</v>
      </c>
      <c r="IM223" s="223" t="e">
        <f ca="1">IF(AND(Control!$C$114=1,$KH223&lt;1),$EB223*Control!$C$148*(1-$KH223), 0)</f>
        <v>#N/A</v>
      </c>
      <c r="IN223" s="217" t="e">
        <f t="shared" ca="1" si="759"/>
        <v>#DIV/0!</v>
      </c>
      <c r="IO223" s="91" t="e">
        <f ca="1">MAX(0,$IL223-$EF223*Control!$C$160)</f>
        <v>#N/A</v>
      </c>
      <c r="IP223" s="220" t="e">
        <f t="shared" ca="1" si="760"/>
        <v>#N/A</v>
      </c>
      <c r="IQ223" s="217" t="e">
        <f t="shared" ca="1" si="874"/>
        <v>#N/A</v>
      </c>
      <c r="IR223" s="218" t="e">
        <f t="shared" ca="1" si="761"/>
        <v>#N/A</v>
      </c>
      <c r="IS223" s="217" t="e">
        <f ca="1">Control!$C$159*MAX(0,$FD223-$EN223)</f>
        <v>#N/A</v>
      </c>
      <c r="IT223" s="217" t="e">
        <f t="shared" ca="1" si="911"/>
        <v>#N/A</v>
      </c>
      <c r="IU223" s="217" t="e">
        <f t="shared" ca="1" si="875"/>
        <v>#N/A</v>
      </c>
      <c r="IV223" s="217" t="e">
        <f t="shared" ca="1" si="912"/>
        <v>#N/A</v>
      </c>
      <c r="IW223" s="217" t="e">
        <f ca="1">IF(OR($AW223=1,AND($AW223=0, Control!$B$18=1,$EN223&lt;&gt;0)), $IQ223-$IU223, $IQ223)</f>
        <v>#N/A</v>
      </c>
      <c r="IX223" s="218" t="e">
        <f t="shared" ca="1" si="762"/>
        <v>#N/A</v>
      </c>
      <c r="IY223" s="218" t="e">
        <f ca="1">MAX(0,$IQ223-$EB223*Control!$C$159)</f>
        <v>#N/A</v>
      </c>
      <c r="IZ223" s="218" t="e">
        <f t="shared" ca="1" si="763"/>
        <v>#N/A</v>
      </c>
      <c r="JA223" s="216" t="e">
        <f t="shared" ca="1" si="764"/>
        <v>#N/A</v>
      </c>
      <c r="JB223" s="217" t="e">
        <f t="shared" ca="1" si="765"/>
        <v>#N/A</v>
      </c>
      <c r="JC223" s="222" t="e">
        <f ca="1">MAX(Control!$C$157*$EK223-$JT223, 0)/Control!$C$162</f>
        <v>#N/A</v>
      </c>
      <c r="JD223" s="218" t="e">
        <f t="shared" ca="1" si="766"/>
        <v>#N/A</v>
      </c>
      <c r="JE223" s="218" t="e">
        <f t="shared" ca="1" si="767"/>
        <v>#N/A</v>
      </c>
      <c r="JF223" s="218" t="e">
        <f t="shared" ca="1" si="876"/>
        <v>#N/A</v>
      </c>
      <c r="JG223" s="218" t="e">
        <f t="shared" ca="1" si="768"/>
        <v>#N/A</v>
      </c>
      <c r="JH223" s="217" t="e">
        <f t="shared" ca="1" si="877"/>
        <v>#N/A</v>
      </c>
      <c r="JI223" s="217" t="e">
        <f t="shared" ca="1" si="878"/>
        <v>#N/A</v>
      </c>
      <c r="JJ223" s="217" t="e">
        <f t="shared" ca="1" si="913"/>
        <v>#N/A</v>
      </c>
      <c r="JK223" s="217" t="e">
        <f ca="1">IF(Control!$C$114=1,IF(Control!$B$24=0,MAX(0,$JI223)*$GN223/Control!$C$64,(MAX(0,MIN($JI223,$JJ223*$GN223/Control!$C$64),0))))</f>
        <v>#N/A</v>
      </c>
      <c r="JL223" s="217" t="e">
        <f ca="1">$IK223/Control!$C$64-$JK223+$HQ223</f>
        <v>#N/A</v>
      </c>
      <c r="JM223" s="217" t="e">
        <f ca="1">IF(Control!$C$114=1,($JB223/(IF($JI223&lt;&gt;0,$JI223,1)))*$JK223,0)</f>
        <v>#N/A</v>
      </c>
      <c r="JN223" s="217" t="e">
        <f ca="1">IF(Control!$C$114=1,($JG223/(IF($JI223&lt;&gt;0,$JI223,1)))*$JK223, 0)</f>
        <v>#N/A</v>
      </c>
      <c r="JO223" s="218" t="e">
        <f t="shared" ca="1" si="769"/>
        <v>#N/A</v>
      </c>
      <c r="JP223" s="218" t="e">
        <f ca="1">MIN(($IY223+$IO223)*Control!$C$151, $JF223-$EH223*Control!$C$161)</f>
        <v>#N/A</v>
      </c>
      <c r="JQ223" s="218" t="e">
        <f t="shared" ca="1" si="770"/>
        <v>#N/A</v>
      </c>
      <c r="JR223" s="217" t="e">
        <f ca="1">IF($CP223-Control!$C$150&lt;0, 0, $JQ223/Control!$C$162)</f>
        <v>#N/A</v>
      </c>
      <c r="JS223" s="218" t="e">
        <f t="shared" ca="1" si="771"/>
        <v>#N/A</v>
      </c>
      <c r="JT223" s="218" t="e">
        <f t="shared" ca="1" si="879"/>
        <v>#N/A</v>
      </c>
      <c r="JU223" s="218" t="e">
        <f t="shared" ca="1" si="772"/>
        <v>#N/A</v>
      </c>
      <c r="JV223" s="218" t="e">
        <f t="shared" ca="1" si="773"/>
        <v>#N/A</v>
      </c>
      <c r="JW223" s="216" t="e">
        <f t="shared" ca="1" si="774"/>
        <v>#N/A</v>
      </c>
      <c r="JX223" s="91" t="e">
        <f t="shared" ca="1" si="775"/>
        <v>#N/A</v>
      </c>
      <c r="JY223" s="218" t="e">
        <f t="shared" ca="1" si="776"/>
        <v>#N/A</v>
      </c>
      <c r="JZ223" s="217" t="e">
        <f ca="1">IF(Control!$C$114=1,($IZ223/(IF($JI223&lt;&gt;0,$JI223,1)))*$JK223, 0)</f>
        <v>#N/A</v>
      </c>
      <c r="KA223" s="218" t="e">
        <f t="shared" ca="1" si="914"/>
        <v>#N/A</v>
      </c>
      <c r="KB223" s="218" t="e">
        <f t="shared" ca="1" si="880"/>
        <v>#N/A</v>
      </c>
      <c r="KC223" s="218" t="e">
        <f t="shared" ca="1" si="777"/>
        <v>#N/A</v>
      </c>
      <c r="KD223" s="218" t="e">
        <f t="shared" ca="1" si="778"/>
        <v>#N/A</v>
      </c>
      <c r="KE223" s="218" t="e">
        <f t="shared" ca="1" si="779"/>
        <v>#N/A</v>
      </c>
      <c r="KF223" s="218" t="e">
        <f t="shared" ca="1" si="780"/>
        <v>#N/A</v>
      </c>
      <c r="KG223" s="216" t="e">
        <f t="shared" ca="1" si="781"/>
        <v>#N/A</v>
      </c>
      <c r="KH223" s="221" t="e">
        <f ca="1">IF(Control!$B$24=0,1,MAX(0.001,MIN(1,IF(($IF223-$IE223)&lt;&gt;0,($KG223-$IE223)/($IF223-$IE223),1))))</f>
        <v>#N/A</v>
      </c>
      <c r="KI223" s="222" t="e">
        <f ca="1">IF(Control!$C$114=1, $KI222+ $KH222, 0)</f>
        <v>#N/A</v>
      </c>
      <c r="KJ223" s="217" t="e">
        <f t="shared" ca="1" si="782"/>
        <v>#N/A</v>
      </c>
      <c r="KK223" s="218" t="e">
        <f t="shared" ca="1" si="783"/>
        <v>#N/A</v>
      </c>
      <c r="KL223" s="274" t="e">
        <f ca="1">IF(Control!$B$26=3,4000000000*EXP(-8400/($G223+273)),IF(Control!$B$26=4,4000000000*EXP(-8400/($G223+273))*($KT223),0))</f>
        <v>#DIV/0!</v>
      </c>
      <c r="KM223" s="274" t="e">
        <f ca="1">IF(Control!$B$26=3,5600000000000*EXP(-9800/($G223+273)),IF(Control!$B$26=4,5600000000000*EXP(-9800/($G223+273))*$KT223,0))</f>
        <v>#DIV/0!</v>
      </c>
      <c r="KN223" s="454" t="e">
        <f t="shared" ca="1" si="881"/>
        <v>#DIV/0!</v>
      </c>
      <c r="KO223" s="274" t="e">
        <f t="shared" ca="1" si="882"/>
        <v>#DIV/0!</v>
      </c>
      <c r="KP223" s="454" t="e">
        <f t="shared" ca="1" si="784"/>
        <v>#DIV/0!</v>
      </c>
      <c r="KQ223" s="454" t="e">
        <f t="shared" ca="1" si="785"/>
        <v>#DIV/0!</v>
      </c>
      <c r="KR223" s="454" t="e">
        <f t="shared" ca="1" si="786"/>
        <v>#DIV/0!</v>
      </c>
      <c r="KS223" s="454" t="e">
        <f t="shared" ca="1" si="787"/>
        <v>#DIV/0!</v>
      </c>
      <c r="KT223" s="455" t="e">
        <f t="shared" ca="1" si="788"/>
        <v>#DIV/0!</v>
      </c>
      <c r="KU223" s="456" t="e">
        <f ca="1">IF($CP223-Control!$C$149&lt;0, IF($NT223-0.01&lt;0,0,1),0)</f>
        <v>#N/A</v>
      </c>
      <c r="KV223" s="456" t="e">
        <f ca="1">IF(Control!$C$114=1,MAX(0,MIN(Control!$C$125*$KW223*$GN223,$KW223)))</f>
        <v>#DIV/0!</v>
      </c>
      <c r="KW223" s="456" t="e">
        <f t="shared" ca="1" si="915"/>
        <v>#DIV/0!</v>
      </c>
      <c r="KX223" s="457" t="e">
        <f ca="1">IF($CP223-Control!$C$149&lt;0, IF($MR223-$OM223&lt;0,0,1),0)</f>
        <v>#N/A</v>
      </c>
      <c r="KY223" s="167">
        <f t="shared" ca="1" si="883"/>
        <v>219</v>
      </c>
      <c r="KZ223" s="168">
        <f ca="1">1370*(1+0.033*COS(2*Control!$C$138*$AH223/365))</f>
        <v>1333.4245759519192</v>
      </c>
      <c r="LA223" s="169">
        <f t="shared" ca="1" si="884"/>
        <v>0.97330243918562676</v>
      </c>
      <c r="LB223" s="169">
        <f t="shared" ca="1" si="885"/>
        <v>0.28226695738737068</v>
      </c>
      <c r="LC223" s="169">
        <f ca="1">ACOS(-TAN((2*Control!$B$8/360))*TAN(Calculations!$LB223))</f>
        <v>1.6570953864185161</v>
      </c>
      <c r="LD223" s="169">
        <f ca="1">((24*60)/PI())*0.082*$LA223*(($LC223*SIN(Control!$B$8*2*PI()/360))*SIN($LB223)+COS(Control!$B$8*2*PI()/360)*COS($LB223)*SIN($LC223))</f>
        <v>34.8561998726178</v>
      </c>
      <c r="LE223" s="170">
        <f t="shared" ca="1" si="789"/>
        <v>35.703130904470896</v>
      </c>
      <c r="LF223" s="170">
        <f ca="1">SIN(Control!$C$139*Control!$B$8)*SIN($HD223)</f>
        <v>0.21837385843814452</v>
      </c>
      <c r="LG223" s="170">
        <f ca="1">COS(Control!$C$139*Control!$B$8)*COS($HD223)</f>
        <v>0.59154769150468101</v>
      </c>
      <c r="LH223" s="170">
        <f ca="1">12*(1+2*ASIN(MAX(-1,MIN(1,$LF223/$LG223))/Control!$C$138))</f>
        <v>14.826674282216441</v>
      </c>
      <c r="LI223" s="170">
        <f ca="1">12*(1+2*ASIN(MAX(-1,MIN(1,(-SIN(-4*Control!$C$139)+$LF223)/$LG223))/Control!$C$138))</f>
        <v>15.736072374058093</v>
      </c>
      <c r="LJ223" s="168">
        <f ca="1">3600*($LH223*$LF223+24*$LG223*SQRT(1-$LK223*$LK223)/Control!$C$138)</f>
        <v>26775.515877216203</v>
      </c>
      <c r="LK223" s="170">
        <f t="shared" ca="1" si="790"/>
        <v>0.36915680945805279</v>
      </c>
      <c r="LL223" s="170">
        <f t="shared" ca="1" si="791"/>
        <v>0</v>
      </c>
      <c r="LM223" s="171">
        <f ca="1">Control!$C$145*$AB223</f>
        <v>6.6660906138995932E-2</v>
      </c>
      <c r="LN223" s="170">
        <f t="shared" ca="1" si="886"/>
        <v>0.54</v>
      </c>
      <c r="LO223" s="170">
        <f t="shared" ca="1" si="792"/>
        <v>0</v>
      </c>
      <c r="LP223" s="170">
        <f ca="1">Control!$C$140*((($D223+273.16)^4+($E223+273.16)^4)/2)*(0.34-0.14*SQRT($Y223))*(1.35*$AQ223/(0.75*$LD223)-0.35)</f>
        <v>-3.2464704755046001</v>
      </c>
      <c r="LQ223" s="170">
        <f ca="1">Control!$C$140*($G223+273)^4*(0.56-0.079*SQRT($Y223*10))*(0.1+0.9*$LO223)</f>
        <v>1.5241745131704001</v>
      </c>
      <c r="LR223" s="170">
        <f ca="1">$AQ223*(1-Control!$C$142)-$LQ223</f>
        <v>-1.5241745131704001</v>
      </c>
      <c r="LS223" s="170">
        <f ca="1">$AQ223*(1-Control!$C$143)-$LQ223</f>
        <v>-1.5241745131704001</v>
      </c>
      <c r="LT223" s="170">
        <f ca="1">$AQ223*(1-Control!$C$144)-$LQ223</f>
        <v>-1.5241745131704001</v>
      </c>
      <c r="LU223" s="169">
        <f ca="1">(1-Control!$C$144)*AQ223-LP223</f>
        <v>3.2464704755046001</v>
      </c>
      <c r="LV223" s="172">
        <f t="shared" ca="1" si="793"/>
        <v>0.79430000000000012</v>
      </c>
      <c r="LW223" s="170">
        <f t="shared" ca="1" si="794"/>
        <v>1.5886000000000002</v>
      </c>
      <c r="LX223" s="170">
        <f ca="1">($AC223*($LR223/Control!$C$141)+$LM223*$LV223)/($AC223+$LM223)</f>
        <v>0.23530094218323697</v>
      </c>
      <c r="LY223" s="170">
        <f ca="1">($AC223*($LS223/Control!$C$141)+$LM223*$LV223)/($AC223+$LM223)</f>
        <v>0.23530094218323697</v>
      </c>
      <c r="LZ223" s="170">
        <f t="shared" ca="1" si="795"/>
        <v>0.23530094218323697</v>
      </c>
      <c r="MA223" s="170">
        <f t="shared" ca="1" si="796"/>
        <v>0.23530094218323697</v>
      </c>
      <c r="MB223" s="170" t="e">
        <f t="shared" ca="1" si="797"/>
        <v>#N/A</v>
      </c>
      <c r="MC223" s="170">
        <f t="shared" ca="1" si="887"/>
        <v>0.6018</v>
      </c>
      <c r="MD223" s="170">
        <f t="shared" ca="1" si="798"/>
        <v>0.52989392535414004</v>
      </c>
      <c r="ME223" s="170">
        <f ca="1">($AC223*($LT223/Control!$C$141)+$LM223*$LW223)/($AC223+$LM223)</f>
        <v>0.71612369323045078</v>
      </c>
      <c r="MF223" s="170" t="e">
        <f ca="1">IF(Control!$B$16&gt;=1000,0.92,IF(AND(720&lt;=Control!$B$16,1000&gt;Control!$B$16),(0.95+(Control!$B$16-720)*((0.92-0.95)/(1000-720))),IF(AND(360&lt;=Control!$B$16,720&gt;Control!$B$16),(1+(Control!$B$16-360)*((0.95-1)/(720-360))),IF(AND(40&lt;=Control!$B$16,360&gt;Control!$B$16),(1.05+(Control!$B$16-40)*((1.05-1)/(360-40)))))))</f>
        <v>#N/A</v>
      </c>
      <c r="MG223" s="170">
        <f t="shared" ca="1" si="799"/>
        <v>0.71612369323045078</v>
      </c>
      <c r="MH223" s="170" t="e">
        <f t="shared" ca="1" si="924"/>
        <v>#N/A</v>
      </c>
      <c r="MI223" s="170" t="e">
        <f t="shared" ca="1" si="924"/>
        <v>#N/A</v>
      </c>
      <c r="MJ223" s="170" t="e">
        <f ca="1">MAX(0.0001, Control!$C$132*$MI223*$DL223)</f>
        <v>#N/A</v>
      </c>
      <c r="MK223" s="170">
        <f ca="1">1/(0.76+1.5*($MG223/10))-(5-Control!$C$110)*0.1</f>
        <v>1.002845988140797</v>
      </c>
      <c r="ML223" s="173">
        <f ca="1">IF(Control!$C$110&lt;3,$MK223+($MG223-0.6)/(Control!$C$110*(Control!$C$110+3)), MAX(0.1, MIN(0.95,$MK223)))</f>
        <v>0.95</v>
      </c>
      <c r="MM223" s="173">
        <f ca="1">IF(Control!$C$110&lt;3,$MK223+(($MI223/10)-0.6)/(Control!$C$110*(Control!$C$110+3)), MAX(0.1, MIN(0.95,$MK223)))</f>
        <v>0.95</v>
      </c>
      <c r="MN223" s="173">
        <f ca="1">(1-$MM223)*(Control!$C$128-Control!$C$127)+Control!$C$127</f>
        <v>0.16</v>
      </c>
      <c r="MO223" s="170" t="e">
        <f ca="1">MAX(0,MIN(1,($MS223-Control!$C$127)/($MN223-Control!$C$127)))</f>
        <v>#DIV/0!</v>
      </c>
      <c r="MP223" s="173" t="e">
        <f ca="1">1/(0.76+1.5*$MI223)-(5-Control!$C$110)*0.1</f>
        <v>#N/A</v>
      </c>
      <c r="MQ223" s="172" t="e">
        <f t="shared" ca="1" si="916"/>
        <v>#DIV/0!</v>
      </c>
      <c r="MR223" s="168" t="e">
        <f t="shared" ca="1" si="888"/>
        <v>#DIV/0!</v>
      </c>
      <c r="MS223" s="173" t="e">
        <f ca="1">MAX(Control!$C$127, MIN(Control!$C$135, $MR223/MAX(0.0001,$CY223)))</f>
        <v>#DIV/0!</v>
      </c>
      <c r="MT223" s="168" t="e">
        <f ca="1">(Control!$C$128-$MS223)*Control!$C$74</f>
        <v>#DIV/0!</v>
      </c>
      <c r="MU223" s="168" t="e">
        <f ca="1">(Control!$C$135-$MS223)*Control!$C$74</f>
        <v>#DIV/0!</v>
      </c>
      <c r="MV223" s="168" t="e">
        <f t="shared" ca="1" si="889"/>
        <v>#DIV/0!</v>
      </c>
      <c r="MW223" s="168" t="e">
        <f t="shared" ca="1" si="890"/>
        <v>#DIV/0!</v>
      </c>
      <c r="MX223" s="171" t="e">
        <f ca="1">MAX(Control!$C$127, MIN(Control!$C$135, $MW223/MAX(0.0001,Control!$C$119-$CY223)))</f>
        <v>#DIV/0!</v>
      </c>
      <c r="MY223" s="54" t="e">
        <f ca="1">IF(Control!$C$114=1, $CX223*$MX223, 0)</f>
        <v>#DIV/0!</v>
      </c>
      <c r="MZ223" s="54" t="e">
        <f t="shared" ca="1" si="891"/>
        <v>#N/A</v>
      </c>
      <c r="NA223" s="168" t="e">
        <f ca="1">(Control!$C$128-$MX223)*(Control!$C$119-Control!$C$74)</f>
        <v>#DIV/0!</v>
      </c>
      <c r="NB223" s="168" t="e">
        <f ca="1">(Control!$C$135-$MX223)*(Control!$C$119-Control!$C$74)</f>
        <v>#DIV/0!</v>
      </c>
      <c r="NC223" s="174" t="e">
        <f t="shared" ca="1" si="892"/>
        <v>#DIV/0!</v>
      </c>
      <c r="ND223" s="54">
        <f ca="1">IF(Control!$C$58=2, IF(OR(Control!$B$218=$AH223,Control!$B$219=$AH223, Control!$B$220=$AH223, Control!$B$221=$AH223, Control!$B$222=$AH223, Control!$B$223=$AH223, Control!$B$224=$AH223, Control!$B$225=$AH223, Control!$B$226=$AH223, Control!$B$227=$AH223, Control!$B$228=$AH223), 1, 0), 0)</f>
        <v>0</v>
      </c>
      <c r="NE223" s="54">
        <f ca="1">IF($ND223=0,0, VLOOKUP($AH223,Control!$B$218:$C$228,2))</f>
        <v>0</v>
      </c>
      <c r="NF223" s="168" t="e">
        <f ca="1">$CY223*(Control!$C$128-Control!$C$127)</f>
        <v>#N/A</v>
      </c>
      <c r="NG223" s="54" t="e">
        <f ca="1">IF(Control!$C$58=2, $NI222-$NJ222, 0)</f>
        <v>#DIV/0!</v>
      </c>
      <c r="NH223" s="54" t="e">
        <f ca="1">IF(AND(Control!$C$58=1, $MS222&lt;= ($MN222+0.02), $I222&lt;10), 0, IF(Control!$C$58=2, $NG222, 0))</f>
        <v>#DIV/0!</v>
      </c>
      <c r="NI223" s="54" t="e">
        <f ca="1">IF(Control!$C$58=2, $NE223+$NH223,0)</f>
        <v>#DIV/0!</v>
      </c>
      <c r="NJ223" s="54" t="e">
        <f ca="1">IF(AND(Control!$C$58=1, $MS223&lt;= ($MN223+0.02), $I223&lt;10), MAX(0, MIN(10, 0.7*($NF223-$MV223))), IF(Control!$C$58=2, MIN(10,$NI223),0))</f>
        <v>#DIV/0!</v>
      </c>
      <c r="NK223" s="54" t="e">
        <f t="shared" ca="1" si="800"/>
        <v>#DIV/0!</v>
      </c>
      <c r="NL223" s="173" t="e">
        <f ca="1">(1-Control!$C$73)*$I223+$NJ223</f>
        <v>#DIV/0!</v>
      </c>
      <c r="NM223" s="172" t="e">
        <f ca="1">IF($NL223&lt;0.5, $MB223* MAX(0, MIN(1, (SQRT($NC223)-SQRT($NC223-1))*Control!$C$71)),0)</f>
        <v>#DIV/0!</v>
      </c>
      <c r="NN223" s="170" t="e">
        <f ca="1">IF($NL223&gt;=5, $MB223, MAX(0,MIN($MB223, $NM223+$NL223,($MS223-Control!$C$129))))</f>
        <v>#DIV/0!</v>
      </c>
      <c r="NO223" s="54">
        <f>IF(Control!$C$133&lt;&gt;1, Control!$C$135-Control!$C$131, 0)</f>
        <v>0.38</v>
      </c>
      <c r="NP223" s="54" t="e">
        <f t="shared" ca="1" si="801"/>
        <v>#DIV/0!</v>
      </c>
      <c r="NQ223" s="173" t="e">
        <f ca="1">MAX(0,MIN(1,(Control!$C$135-$MS223)/(Control!$C$135-$NO223)))</f>
        <v>#DIV/0!</v>
      </c>
      <c r="NR223" s="170" t="e">
        <f ca="1">IF(Control!$C$133&lt;&gt;1, $NQ223+((1-$NP223/4)*(1-$NQ223)),1)</f>
        <v>#DIV/0!</v>
      </c>
      <c r="NS223" s="170" t="e">
        <f ca="1">IF(Control!$B$31=0,$MJ223,MAX(0,MIN($MV223,$MO223*$NR223*$MJ223)))</f>
        <v>#DIV/0!</v>
      </c>
      <c r="NT223" s="170" t="e">
        <f t="shared" ca="1" si="917"/>
        <v>#DIV/0!</v>
      </c>
      <c r="NU223" s="170" t="e">
        <f t="shared" ca="1" si="893"/>
        <v>#N/A</v>
      </c>
      <c r="NV223" s="170" t="e">
        <f t="shared" ca="1" si="802"/>
        <v>#N/A</v>
      </c>
      <c r="NW223" s="175" t="e">
        <f t="shared" ca="1" si="803"/>
        <v>#DIV/0!</v>
      </c>
      <c r="NX223" s="170" t="e">
        <f ca="1">MIN(Control!$C$72+$MU223, $NW223)</f>
        <v>#DIV/0!</v>
      </c>
      <c r="NY223" s="170" t="e">
        <f ca="1">IF($MT223&lt;=$NX223,MIN(Control!$C$72+$NB223,$NX223-$MT223),0)</f>
        <v>#DIV/0!</v>
      </c>
      <c r="NZ223" s="54" t="e">
        <f ca="1">IF(Control!$C$114=1,  $CX223*($MX223-Control!$C$127), 0)</f>
        <v>#DIV/0!</v>
      </c>
      <c r="OA223" s="170" t="e">
        <f t="shared" ca="1" si="804"/>
        <v>#DIV/0!</v>
      </c>
      <c r="OB223" s="170" t="e">
        <f ca="1">IF($NA223 &lt;=$NY223, MIN(Control!$C$72, $NY223-$NA223), 0)</f>
        <v>#DIV/0!</v>
      </c>
      <c r="OC223" s="168" t="e">
        <f t="shared" ca="1" si="805"/>
        <v>#DIV/0!</v>
      </c>
      <c r="OD223" s="168" t="e">
        <f t="shared" ca="1" si="894"/>
        <v>#DIV/0!</v>
      </c>
      <c r="OE223" s="170">
        <f ca="1">Control!$C$73*$I223</f>
        <v>0</v>
      </c>
      <c r="OF223" s="176" t="e">
        <f t="shared" ca="1" si="806"/>
        <v>#DIV/0!</v>
      </c>
      <c r="OG223" s="168" t="e">
        <f t="shared" ca="1" si="807"/>
        <v>#DIV/0!</v>
      </c>
      <c r="OH223" s="168" t="e">
        <f t="shared" ca="1" si="808"/>
        <v>#DIV/0!</v>
      </c>
      <c r="OI223" s="168" t="e">
        <f t="shared" ca="1" si="809"/>
        <v>#DIV/0!</v>
      </c>
      <c r="OJ223" s="168" t="e">
        <f t="shared" ca="1" si="810"/>
        <v>#DIV/0!</v>
      </c>
      <c r="OK223" s="204" t="e">
        <f t="shared" ca="1" si="811"/>
        <v>#DIV/0!</v>
      </c>
      <c r="OL223" s="177">
        <f>Control!$C$127</f>
        <v>0.15</v>
      </c>
      <c r="OM223" s="182" t="e">
        <f t="shared" ca="1" si="812"/>
        <v>#N/A</v>
      </c>
      <c r="ON223" s="177">
        <f>Control!$C$128</f>
        <v>0.35</v>
      </c>
      <c r="OO223" s="182" t="e">
        <f t="shared" ca="1" si="813"/>
        <v>#N/A</v>
      </c>
      <c r="OP223" s="138">
        <f t="shared" ca="1" si="895"/>
        <v>0</v>
      </c>
      <c r="OQ223" s="138" t="e">
        <f t="shared" ca="1" si="918"/>
        <v>#DIV/0!</v>
      </c>
      <c r="OR223" s="138" t="e">
        <f t="shared" ca="1" si="896"/>
        <v>#DIV/0!</v>
      </c>
      <c r="OS223" s="137" t="e">
        <f t="shared" ca="1" si="919"/>
        <v>#DIV/0!</v>
      </c>
      <c r="OT223" s="139" t="e">
        <f t="shared" ca="1" si="920"/>
        <v>#DIV/0!</v>
      </c>
      <c r="OU223" s="138" t="e">
        <f t="shared" ca="1" si="921"/>
        <v>#N/A</v>
      </c>
      <c r="OV223" s="138" t="e">
        <f t="shared" ca="1" si="922"/>
        <v>#DIV/0!</v>
      </c>
      <c r="OW223" s="138" t="e">
        <f t="shared" ca="1" si="897"/>
        <v>#DIV/0!</v>
      </c>
      <c r="OX223" s="138" t="e">
        <f t="shared" ca="1" si="898"/>
        <v>#DIV/0!</v>
      </c>
      <c r="OY223" s="138" t="e">
        <f t="shared" ca="1" si="899"/>
        <v>#DIV/0!</v>
      </c>
      <c r="OZ223" s="138" t="e">
        <f t="shared" ca="1" si="814"/>
        <v>#DIV/0!</v>
      </c>
      <c r="PA223" s="138" t="e">
        <f t="shared" ca="1" si="815"/>
        <v>#DIV/0!</v>
      </c>
      <c r="PB223" s="55">
        <f>IF(Control!$C$61="T", IF(Control!$C$65="F", IF($AH$6-Control!$C$60&lt;0,0,1), IF(365+$AH$6-Control!$C$60&lt;0,0,1)),0)</f>
        <v>0</v>
      </c>
      <c r="PC223" s="55">
        <f ca="1">IF(Control!$C$65="F", IF($AH$6-$HF223&lt;0,0,1), IF(365+$AH$6-$HF223&lt;0,0,1))</f>
        <v>1</v>
      </c>
      <c r="PD223" s="444">
        <f>Control!$C$118</f>
        <v>1500</v>
      </c>
      <c r="PE223" s="180" t="e">
        <f t="shared" ca="1" si="816"/>
        <v>#N/A</v>
      </c>
      <c r="PF223" s="445">
        <f t="shared" ca="1" si="900"/>
        <v>0.71612369323045078</v>
      </c>
      <c r="PT223" s="186"/>
      <c r="PU223" s="186"/>
      <c r="PV223" s="94"/>
      <c r="PW223" s="94"/>
      <c r="PX223" s="94"/>
      <c r="PY223" s="94"/>
      <c r="PZ223" s="94"/>
      <c r="QA223" s="94"/>
      <c r="QB223" s="94"/>
      <c r="QC223" s="94"/>
      <c r="QD223" s="94"/>
      <c r="QE223" s="94"/>
      <c r="QF223" s="94"/>
      <c r="QG223" s="94"/>
      <c r="QH223" s="94"/>
      <c r="QI223" s="94"/>
      <c r="QJ223" s="94"/>
      <c r="QK223" s="94"/>
      <c r="QL223" s="94"/>
      <c r="QM223" s="94"/>
      <c r="QN223" s="94"/>
      <c r="QO223" s="94"/>
      <c r="QP223" s="94"/>
    </row>
    <row r="224" spans="1:458" s="2" customFormat="1" x14ac:dyDescent="0.2">
      <c r="A224" s="395">
        <v>7</v>
      </c>
      <c r="B224" s="396">
        <v>8</v>
      </c>
      <c r="C224" s="387">
        <f ca="1">Weather_data!$B223</f>
        <v>0</v>
      </c>
      <c r="D224" s="388">
        <f ca="1">Weather_data!$F223</f>
        <v>0</v>
      </c>
      <c r="E224" s="388">
        <f ca="1">Weather_data!$E223</f>
        <v>0</v>
      </c>
      <c r="F224" s="388">
        <f t="shared" ca="1" si="817"/>
        <v>0</v>
      </c>
      <c r="G224" s="388">
        <f ca="1">AVERAGE($D224:$E224)+Control!$B$9</f>
        <v>0</v>
      </c>
      <c r="H224" s="388">
        <f ca="1">Weather_data!$G223</f>
        <v>0</v>
      </c>
      <c r="I224" s="388">
        <f ca="1">Weather_data!$I223</f>
        <v>0</v>
      </c>
      <c r="J224" s="388">
        <f ca="1">Weather_data!$H223</f>
        <v>0</v>
      </c>
      <c r="K224" s="389">
        <f ca="1">Weather_data!$D223</f>
        <v>0</v>
      </c>
      <c r="L224" s="388" t="e">
        <f t="shared" ca="1" si="818"/>
        <v>#N/A</v>
      </c>
      <c r="M224" s="388" t="e">
        <f t="shared" ca="1" si="696"/>
        <v>#N/A</v>
      </c>
      <c r="N224" s="388">
        <f t="shared" ca="1" si="697"/>
        <v>-5.2946476290254973E-11</v>
      </c>
      <c r="O224" s="388">
        <f t="shared" ca="1" si="819"/>
        <v>5.2946476290254974E-10</v>
      </c>
      <c r="P224" s="390">
        <v>3</v>
      </c>
      <c r="Q224" s="388">
        <f ca="1">MAX($G224-Control!$C$107,0)</f>
        <v>0</v>
      </c>
      <c r="R224" s="388">
        <f t="shared" ca="1" si="820"/>
        <v>0</v>
      </c>
      <c r="S224" s="388">
        <f t="shared" ca="1" si="698"/>
        <v>0</v>
      </c>
      <c r="T224" s="388">
        <f t="shared" ca="1" si="699"/>
        <v>0</v>
      </c>
      <c r="U224" s="59">
        <f t="shared" ca="1" si="700"/>
        <v>0</v>
      </c>
      <c r="V224" s="391">
        <f ca="1">MAX(0,MIN(Control!$C$100-Control!$C$99,$G224-Control!$C$99)*Control!$C$63)</f>
        <v>0</v>
      </c>
      <c r="W224" s="388">
        <f t="shared" ca="1" si="821"/>
        <v>0</v>
      </c>
      <c r="X224" s="388">
        <f t="shared" ca="1" si="822"/>
        <v>0.6110000000000001</v>
      </c>
      <c r="Y224" s="388">
        <f t="shared" ca="1" si="701"/>
        <v>0</v>
      </c>
      <c r="Z224" s="388">
        <f t="shared" ca="1" si="823"/>
        <v>0.61058800000000002</v>
      </c>
      <c r="AA224" s="388">
        <f t="shared" ca="1" si="702"/>
        <v>0.6018</v>
      </c>
      <c r="AB224" s="388">
        <f ca="1">101.3*EXP(-0.034*Control!$C$66/($G224+273))</f>
        <v>100.69623283836242</v>
      </c>
      <c r="AC224" s="392">
        <f t="shared" ca="1" si="703"/>
        <v>4.3460251046025113E-2</v>
      </c>
      <c r="AD224" s="392">
        <f t="shared" ca="1" si="704"/>
        <v>4.4450382862832649E-2</v>
      </c>
      <c r="AE224" s="388">
        <f t="shared" ca="1" si="705"/>
        <v>0</v>
      </c>
      <c r="AF224" s="388">
        <f ca="1">MAX(0,$G224-Control!$C$92)</f>
        <v>0</v>
      </c>
      <c r="AG224" s="393">
        <f t="shared" ca="1" si="706"/>
        <v>220</v>
      </c>
      <c r="AH224" s="389">
        <f t="shared" ca="1" si="707"/>
        <v>220</v>
      </c>
      <c r="AI224" s="388">
        <f t="shared" ca="1" si="824"/>
        <v>0.27563987199837431</v>
      </c>
      <c r="AJ224" s="388">
        <f ca="1">IF(Control!$C$60&lt;=0,$HH224,$HI224)</f>
        <v>1</v>
      </c>
      <c r="AK224" s="388">
        <f t="shared" ca="1" si="708"/>
        <v>2.4099888849455948</v>
      </c>
      <c r="AL224" s="388">
        <f t="shared" ca="1" si="709"/>
        <v>4.6884093829469011E-18</v>
      </c>
      <c r="AM224" s="388">
        <f t="shared" ca="1" si="710"/>
        <v>2.4099888849455948</v>
      </c>
      <c r="AN224" s="388">
        <f t="shared" ca="1" si="711"/>
        <v>0.26898783513308722</v>
      </c>
      <c r="AO224" s="388">
        <f ca="1">-0.10453/COS(Control!$B$8*PI()/180)*COS(AN224)</f>
        <v>-0.16367946483185802</v>
      </c>
      <c r="AP224" s="388">
        <f ca="1">ACOS(AO224-TAN(Control!$B$8*PI()/180)*TAN(AN224))</f>
        <v>2.1135774261310374</v>
      </c>
      <c r="AQ224" s="388">
        <f t="shared" ca="1" si="825"/>
        <v>0</v>
      </c>
      <c r="AR224" s="394">
        <f t="shared" ca="1" si="712"/>
        <v>0</v>
      </c>
      <c r="AS224" s="436">
        <f ca="1">IF(Control!$B$18=2,(IF(OR($AH224=Control!$B$175,$AH224=Control!$B$176,$AH224=Control!$B$177,$AH224=Control!$B$178,$AH224=Control!$B$179,$AH224=Control!$B$180,$AH224=Control!$B$181,$AH224=Control!$B$182,$AH224=Control!$B$183,$AH224=Control!$B$184,$AH224=Control!$B$185),1,0)),0)</f>
        <v>0</v>
      </c>
      <c r="AT224" s="436">
        <f>IF(Control!$B$20=8,IF(AND($AH224&gt;=Control!$B$172,$AH224&lt;=Control!$B$173),1,0),0)</f>
        <v>0</v>
      </c>
      <c r="AU224" s="436">
        <f>IF(Control!$B$20=8,IF($AV223=1,1*$AT224,IF($AT224=1,$AU223+1,$AU223)),0)</f>
        <v>0</v>
      </c>
      <c r="AV224" s="436">
        <f>IF(Control!$B$20=8,IF($AU224&gt;=Control!$B$174,1,0),0)</f>
        <v>0</v>
      </c>
      <c r="AW224" s="436">
        <f ca="1">IF(AND(Control!$B$18=2,Control!$B$171=1), $AV224, $AS224)</f>
        <v>0</v>
      </c>
      <c r="AX224" s="436" t="e">
        <f ca="1">IF(AND(Control!$B$18=1,$EU224&gt;=Control!$B$19),-$AY224,IF(AND(Control!$B$18=2,$AW224=1,$EU224&gt;$DS224),-$AY224, IF(Control!$C$108=0,0, IF(Control!$C$108&lt;&gt;0,1))))</f>
        <v>#N/A</v>
      </c>
      <c r="AY224" s="436" t="e">
        <f t="shared" ca="1" si="826"/>
        <v>#N/A</v>
      </c>
      <c r="AZ224" s="436" t="e">
        <f ca="1">IF(AND(Control!$B$18=1,$EB224&gt;Control!$B$19),$AZ223+1, IF(AND(Control!$B$18=2, $AW224=1, $EB224&gt;$DS224), $AZ223+1,$AZ223))</f>
        <v>#N/A</v>
      </c>
      <c r="BA224" s="587">
        <f>IF(Control!$C$81=0,1,IF($AH224&gt;=Control!$C$82,1,0))</f>
        <v>1</v>
      </c>
      <c r="BB224" s="140" t="e">
        <f ca="1">IF($BA224&gt;$BA223,Control!$C$83,IF($AW224&gt;0,$AW224*Control!$C$84,IF(AND(Control!$B$18=1,EN223&lt;&gt;0),Control!$C$84,0)))</f>
        <v>#N/A</v>
      </c>
      <c r="BC224" s="140" t="e">
        <f t="shared" ca="1" si="827"/>
        <v>#N/A</v>
      </c>
      <c r="BD224" s="140" t="e">
        <f ca="1">BC224*IF(OR($G224&lt;Control!$C$92,$G224&gt;Control!$C$95),0,IF(AND($G224&gt;=Control!$C$92,$G224&lt;=Control!$C$93),$G224-Control!$C$92,IF(AND($G224&gt;Control!$C$93,$G224&lt;=Control!$C$94),Control!$C$93-Control!$C$92,IF(AND($G224&gt;Control!$C$94,$G224&lt;=Control!$C$95),(Control!$C$93-Control!$C$92)*(Control!$C$94-$G224)/(Control!$C$95-Control!$C$94)))))</f>
        <v>#N/A</v>
      </c>
      <c r="BE224" s="140" t="e">
        <f t="shared" ca="1" si="828"/>
        <v>#N/A</v>
      </c>
      <c r="BF224" s="140" t="e">
        <f ca="1">IF($BE224&lt;=Control!$C$86,$BE224,Control!$C$86-$BE224)</f>
        <v>#N/A</v>
      </c>
      <c r="BG224" s="140" t="e">
        <f ca="1">IF(AND($AW224=1,Control!$C$84&lt;9),1,IF($BE224&gt;=Control!$C$86,0,$BC224))</f>
        <v>#N/A</v>
      </c>
      <c r="BH224" s="404" t="e">
        <f ca="1">IF($BG224=0,0,IF($BE224&lt;=Control!$C$86,$BC224*9*($BF224/Control!$C$86),0))</f>
        <v>#N/A</v>
      </c>
      <c r="BI224" s="140" t="e">
        <f ca="1">IF($BG224=1,0,IF($BE224&gt;=Control!$C$86,1,IF(AND($BB224&lt;21,$BB224&gt;=9),1,$BM223)))</f>
        <v>#N/A</v>
      </c>
      <c r="BJ224" s="140" t="e">
        <f ca="1">IF($BF224&lt;0,-$BF224,$BI224*IF(OR($G224&lt;Control!$C$92,$G224&gt;Control!$C$95),0,IF(AND($G224&gt;=Control!$C$92,$G224&lt;=Control!$C$93),$G224-Control!$C$92,IF(AND($G224&gt;Control!$C$93,$G224&lt;=Control!$C$94),Control!$C$93-Control!$C$92,IF(AND($G224&gt;Control!$C$94,$G224&lt;=Control!$C$95),(Control!$C$93-Control!$C$92)*(Control!$C$94-$G224)/(Control!$C$95-Control!$C$94))))))</f>
        <v>#N/A</v>
      </c>
      <c r="BK224" s="140" t="e">
        <f t="shared" ca="1" si="829"/>
        <v>#N/A</v>
      </c>
      <c r="BL224" s="140" t="e">
        <f ca="1">IF($BK224&lt;=Control!$C$87,$BK224,Control!$C$87-$BK224)</f>
        <v>#N/A</v>
      </c>
      <c r="BM224" s="140" t="e">
        <f ca="1">IF(AND($BB224&gt;=9,$BB224&lt;21),1,IF($BK224&gt;=Control!$C$87,0,$BI224))</f>
        <v>#N/A</v>
      </c>
      <c r="BN224" s="404" t="e">
        <f ca="1">IF($BM224=0,0,IF($BK224&lt;=Control!$C$87,$BI224*(9+(21-9)*($BL224/Control!$C$87)),0))</f>
        <v>#N/A</v>
      </c>
      <c r="BO224" s="140" t="e">
        <f ca="1">IF($BM224=1,0,IF($BK224&gt;=Control!$C$87,1,IF(AND($BB224&lt;30,$BB224&gt;=21),1,$BS223)))</f>
        <v>#N/A</v>
      </c>
      <c r="BP224" s="140" t="e">
        <f ca="1">IF($BL224&lt;0,-$BL224,$BO224*IF(OR($G224&lt;Control!$C$92,$G224&gt;Control!$C$95),0,IF(AND($G224&gt;=Control!$C$92,$G224&lt;=Control!$C$93),$G224-Control!$C$92,IF(AND($G224&gt;Control!$C$93,$G224&lt;=Control!$C$94),Control!$C$93-Control!$C$92,IF(AND($G224&gt;Control!$C$94,$G224&lt;=Control!$C$95),(Control!$C$93-Control!$C$92)*(Control!$C$94-$G224)/(Control!$C$95-Control!$C$94))))))</f>
        <v>#N/A</v>
      </c>
      <c r="BQ224" s="140" t="e">
        <f t="shared" ca="1" si="713"/>
        <v>#N/A</v>
      </c>
      <c r="BR224" s="140" t="e">
        <f ca="1">IF($BQ224&lt;=Control!$C$88,$BQ224,Control!$C$88-$BQ224)</f>
        <v>#N/A</v>
      </c>
      <c r="BS224" s="140" t="e">
        <f ca="1">IF(AND($BB224&gt;=21,$BB224&lt;30),1,IF($BQ224&gt;=Control!$C$88,0,$BO224))</f>
        <v>#N/A</v>
      </c>
      <c r="BT224" s="404" t="e">
        <f ca="1">IF($BS224=0,0,IF($BQ224&lt;=Control!$C$88,$BO224*(21+(30-21)*(BR224/Control!$C$88)),0))</f>
        <v>#N/A</v>
      </c>
      <c r="BU224" s="140" t="e">
        <f ca="1">IF(BG224+BM224+BS224=1,0,IF(OR(AND($BB224&lt;60,$BB224&gt;=30),$BQ224&gt;=Control!$C$88),1*$BA224,$BY223))</f>
        <v>#N/A</v>
      </c>
      <c r="BV224" s="140" t="e">
        <f ca="1">IF($BR224&lt;0,-$BR224,$BU224*IF(OR($G224&lt;Control!$C$92,$G224&gt;Control!$C$95),0,IF(AND($G224&gt;=Control!$C$92,$G224&lt;=Control!$C$93),$G224-Control!$C$92,IF(AND($G224&gt;Control!$C$93,$G224&lt;=Control!$C$94),Control!$C$93-Control!$C$92,IF(AND($G224&gt;Control!$C$94,$G224&lt;=Control!$C$95),(Control!$C$93-Control!$C$92)*(Control!$C$94-$G224)/(Control!$C$95-Control!$C$94))))))</f>
        <v>#N/A</v>
      </c>
      <c r="BW224" s="140" t="e">
        <f t="shared" ca="1" si="714"/>
        <v>#N/A</v>
      </c>
      <c r="BX224" s="140" t="e">
        <f ca="1">IF($BW224&lt;=Control!$C$89,$BW224,Control!$C$89-$BW224)</f>
        <v>#N/A</v>
      </c>
      <c r="BY224" s="140" t="e">
        <f ca="1">IF(AND($AJ224&gt;=30,$AJ224&lt;60),1,IF($BW224&gt;=Control!$C$89,0,$BU224))</f>
        <v>#N/A</v>
      </c>
      <c r="BZ224" s="404" t="e">
        <f ca="1">IF($BY224=0,0,IF($BW224&lt;=Control!$C$89,$BU224*(30+(60-30)*(BX224/Control!$C$89)),0))</f>
        <v>#N/A</v>
      </c>
      <c r="CA224" s="140" t="e">
        <f ca="1">IF($BG224+$BM224+$BS224+$BY224=1,0,IF(OR(AND($BB224&lt;65,$BB224&gt;=60),$BW224&gt;=Control!$C$89),1*$BA224,$CE223))</f>
        <v>#N/A</v>
      </c>
      <c r="CB224" s="140" t="e">
        <f ca="1">IF($BX224&lt;0,-$BX224,$CA224*IF(OR($G224&lt;Control!$C$92,$G224&gt;Control!$C$95),0,IF(AND($G224&gt;=Control!$C$92,$G224&lt;=Control!$C$93),$G224-Control!$C$92,IF(AND($G224&gt;Control!$C$93,$G224&lt;=Control!$C$94),Control!$C$93-Control!$C$92,IF(AND($G224&gt;Control!$C$94,$G224&lt;=Control!$C$95),(Control!$C$93-Control!$C$92)*(Control!$C$94-$G224)/(Control!$C$95-Control!$C$94))))))</f>
        <v>#N/A</v>
      </c>
      <c r="CC224" s="140" t="e">
        <f t="shared" ca="1" si="830"/>
        <v>#N/A</v>
      </c>
      <c r="CD224" s="140" t="e">
        <f ca="1">IF($CC224&lt;=Control!$C$90,$CC224,Control!$C$90-$CC224)</f>
        <v>#N/A</v>
      </c>
      <c r="CE224" s="140" t="e">
        <f ca="1">IF(AND($BB224&gt;=60,$BB224&lt;65),1,IF($CC224&gt;=Control!$C$90,0,$CA224))</f>
        <v>#N/A</v>
      </c>
      <c r="CF224" s="404" t="e">
        <f ca="1">IF($CE224=0,0,IF($CC224&lt;=Control!$C$90,$CA224*(60+(65-60)*(CD224/Control!$C$90)),0))</f>
        <v>#N/A</v>
      </c>
      <c r="CG224" s="140" t="e">
        <f ca="1">IF($BG224+$BM224+$BS224+$BY224+$CE224=1,0,IF(OR(AND($BB224&lt;90,$BB224&gt;=65),$CC224&gt;=Control!$C$90),$BA224,$CK223))</f>
        <v>#N/A</v>
      </c>
      <c r="CH224" s="140" t="e">
        <f ca="1">IF($CD224&lt;0,-$CD224,$CG224*IF(OR($G224&lt;Control!$C$92,$G224&gt;Control!$C$95),0,IF(AND($G224&gt;=Control!$C$92,$G224&lt;=Control!$C$93),$G224-Control!$C$92,IF(AND($G224&gt;Control!$C$93,$G224&lt;=Control!$C$94),Control!$C$93-Control!$C$92,IF(AND($G224&gt;Control!$C$94,$G224&lt;=Control!$C$95),(Control!$C$93-Control!$C$92)*(Control!$C$94-$G224)/(Control!$C$95-Control!$C$94))))))</f>
        <v>#N/A</v>
      </c>
      <c r="CI224" s="140" t="e">
        <f t="shared" ca="1" si="831"/>
        <v>#N/A</v>
      </c>
      <c r="CJ224" s="140" t="e">
        <f ca="1">IF($CI224&lt;=Control!$C$91,$CI224,Control!$C$91-$CI224)</f>
        <v>#N/A</v>
      </c>
      <c r="CK224" s="140" t="e">
        <f ca="1">IF(AND($BB224&gt;=65,$BB224&lt;90),1,IF($CI224&gt;=Control!$C$91,0,$CG224))</f>
        <v>#N/A</v>
      </c>
      <c r="CL224" s="404" t="e">
        <f ca="1">IF($CK224=0,0,IF($CI224&lt;=Control!$C$91,$CG224*(65+(90-65)*($CJ224/Control!$C$91)),0))</f>
        <v>#N/A</v>
      </c>
      <c r="CM224" s="140" t="e">
        <f ca="1">IF($BG224+$BM224+$BS224+$BY224+$CE224+$CK224=1,0,IF(OR($BB224&gt;=90,$CI224&gt;=Control!$C$91),$BA224,$CM223))</f>
        <v>#N/A</v>
      </c>
      <c r="CN224" s="140" t="e">
        <f t="shared" ca="1" si="832"/>
        <v>#N/A</v>
      </c>
      <c r="CO224" s="140" t="e">
        <f t="shared" ca="1" si="833"/>
        <v>#N/A</v>
      </c>
      <c r="CP224" s="140" t="e">
        <f t="shared" ca="1" si="834"/>
        <v>#N/A</v>
      </c>
      <c r="CQ224" s="141" t="e">
        <f ca="1">VLOOKUP($CP224,Control!$B$86:$G$91,6)</f>
        <v>#N/A</v>
      </c>
      <c r="CR224" s="141" t="e">
        <f ca="1">(1-$CQ224)*VLOOKUP($CP224,Control!$B$86:$D$91,3)</f>
        <v>#N/A</v>
      </c>
      <c r="CS224" s="141" t="e">
        <f ca="1">(1-$CQ224)*VLOOKUP($CP224,Control!$B$86:$E$91,4)</f>
        <v>#N/A</v>
      </c>
      <c r="CT224" s="141" t="e">
        <f ca="1">(1-$CQ224)*VLOOKUP($CP224,Control!$B$86:$F$91,5)</f>
        <v>#N/A</v>
      </c>
      <c r="CU224" s="141">
        <f t="shared" ca="1" si="835"/>
        <v>0</v>
      </c>
      <c r="CV224" s="583">
        <f t="shared" ca="1" si="836"/>
        <v>0</v>
      </c>
      <c r="CW224" s="142">
        <f t="shared" ca="1" si="837"/>
        <v>220</v>
      </c>
      <c r="CX224" s="612" t="e">
        <f ca="1">IF(Control!$C$114=1,(MIN(Control!$C$120*(IF($NT224-0.01&lt;0,0,1)),Control!$C$119-$CY224)))</f>
        <v>#DIV/0!</v>
      </c>
      <c r="CY224" s="143" t="e">
        <f t="shared" ca="1" si="838"/>
        <v>#N/A</v>
      </c>
      <c r="CZ224" s="144">
        <f t="shared" ca="1" si="715"/>
        <v>0</v>
      </c>
      <c r="DA224" s="144">
        <f t="shared" ca="1" si="716"/>
        <v>0</v>
      </c>
      <c r="DB224" s="144" t="e">
        <f t="shared" ca="1" si="717"/>
        <v>#N/A</v>
      </c>
      <c r="DC224" s="144" t="e">
        <f t="shared" ca="1" si="718"/>
        <v>#N/A</v>
      </c>
      <c r="DD224" s="144" t="e">
        <f t="shared" ca="1" si="923"/>
        <v>#N/A</v>
      </c>
      <c r="DE224" s="143" t="e">
        <f t="shared" ca="1" si="839"/>
        <v>#N/A</v>
      </c>
      <c r="DF224" s="145" t="e">
        <f ca="1">$DR224*EXP(-Control!$C$158*(1-$KH224))</f>
        <v>#N/A</v>
      </c>
      <c r="DG224" s="146" t="e">
        <f ca="1">IF(Control!$C$114=1, $DF224*$EY224, 0)</f>
        <v>#N/A</v>
      </c>
      <c r="DH224" s="147" t="e">
        <f t="shared" ca="1" si="840"/>
        <v>#N/A</v>
      </c>
      <c r="DI224" s="144" t="e">
        <f t="shared" ca="1" si="901"/>
        <v>#N/A</v>
      </c>
      <c r="DJ224" s="147" t="e">
        <f ca="1">$EF224*Control!$C$109</f>
        <v>#N/A</v>
      </c>
      <c r="DK224" s="144" t="e">
        <f t="shared" ca="1" si="841"/>
        <v>#N/A</v>
      </c>
      <c r="DL224" s="144" t="e">
        <f t="shared" ca="1" si="719"/>
        <v>#N/A</v>
      </c>
      <c r="DM224" s="144" t="e">
        <f ca="1">IF(Control!$C$114=1, (1-EXP(-Control!$C$96*$DK224))*$AR224, 0)</f>
        <v>#N/A</v>
      </c>
      <c r="DN224" s="144">
        <f t="shared" ca="1" si="842"/>
        <v>0</v>
      </c>
      <c r="DO224" s="148">
        <f>Control!$C$97</f>
        <v>4</v>
      </c>
      <c r="DP224" s="145" t="e">
        <f t="shared" ca="1" si="843"/>
        <v>#N/A</v>
      </c>
      <c r="DQ224" s="145" t="e">
        <f ca="1">IF(AND($CP224&gt;=0,$CP224&lt;=90),Control!$C$111,Control!$C$111)</f>
        <v>#N/A</v>
      </c>
      <c r="DR224" s="145" t="e">
        <f t="shared" ca="1" si="720"/>
        <v>#N/A</v>
      </c>
      <c r="DS224" s="143" t="e">
        <f ca="1">Control!$B$22/$DR224</f>
        <v>#N/A</v>
      </c>
      <c r="DT224" s="149" t="e">
        <f ca="1">IF(AND(Control!$C$114=1,$KH224&lt;1),$IM224*$DF224, 0)</f>
        <v>#N/A</v>
      </c>
      <c r="DU224" s="144" t="e">
        <f t="shared" ca="1" si="844"/>
        <v>#N/A</v>
      </c>
      <c r="DV224" s="144">
        <f ca="1">IF($G224-Control!$C$107&lt;=0, 0, 0.83*LN(MAX($G224, 3))-0.8924)</f>
        <v>0</v>
      </c>
      <c r="DW224" s="144" t="e">
        <f t="shared" ca="1" si="721"/>
        <v>#N/A</v>
      </c>
      <c r="DX224" s="150" t="e">
        <f ca="1">MAX(0.01*(1+$CU224/Control!$C$102),0.05*($DK224-Control!$C$97)/Control!$C$97)</f>
        <v>#N/A</v>
      </c>
      <c r="DY224" s="151" t="e">
        <f ca="1">IF(Control!$C$114=1, $DI224*$FS224, 0)</f>
        <v>#N/A</v>
      </c>
      <c r="DZ224" s="196" t="e">
        <f t="shared" ca="1" si="845"/>
        <v>#N/A</v>
      </c>
      <c r="EA224" s="152">
        <f t="shared" ca="1" si="846"/>
        <v>220</v>
      </c>
      <c r="EB224" s="153" t="e">
        <f t="shared" ca="1" si="847"/>
        <v>#N/A</v>
      </c>
      <c r="EC224" s="153" t="e">
        <f t="shared" ca="1" si="848"/>
        <v>#N/A</v>
      </c>
      <c r="ED224" s="154" t="e">
        <f ca="1">IF(Control!$C$114=1, $HM224*$FY224-$FD224, 0)</f>
        <v>#DIV/0!</v>
      </c>
      <c r="EE224" s="155" t="e">
        <f ca="1">IF(Control!$C$114=1, $HM224*$FZ224-$FF224, 0)</f>
        <v>#DIV/0!</v>
      </c>
      <c r="EF224" s="153" t="e">
        <f t="shared" ca="1" si="902"/>
        <v>#N/A</v>
      </c>
      <c r="EG224" s="155" t="e">
        <f ca="1">IF(Control!$C$114=1, $GX224*$FW224-$FI224, 0)</f>
        <v>#DIV/0!</v>
      </c>
      <c r="EH224" s="153" t="e">
        <f t="shared" ca="1" si="849"/>
        <v>#N/A</v>
      </c>
      <c r="EI224" s="156" t="e">
        <f t="shared" ca="1" si="850"/>
        <v>#N/A</v>
      </c>
      <c r="EJ224" s="155" t="e">
        <f ca="1">IF(Control!$C$114=1, $HM224*$GB224, 0)</f>
        <v>#DIV/0!</v>
      </c>
      <c r="EK224" s="153" t="e">
        <f t="shared" ca="1" si="903"/>
        <v>#N/A</v>
      </c>
      <c r="EL224" s="153" t="e">
        <f t="shared" ca="1" si="722"/>
        <v>#N/A</v>
      </c>
      <c r="EM224" s="153" t="e">
        <f t="shared" ca="1" si="723"/>
        <v>#N/A</v>
      </c>
      <c r="EN224" s="153" t="e">
        <f ca="1">IF(Control!$C$108=1,IF(AND(Control!$B$18=1,$EB224&gt;=Control!$B$19),$EB224-$DS224,IF(AND(Control!$B$18=2,$AW224=1,$EB224&gt;$DS224),$EB224-$DS224,0)))</f>
        <v>#N/A</v>
      </c>
      <c r="EO224" s="153" t="e">
        <f ca="1">IF(Control!$C$108=1,IF(AND(Control!$B$18=1,$EB224&gt;=Control!$B$19),$EF224,IF(AND(Control!$B$18=2,$AW224=1),$EF224,0)))</f>
        <v>#N/A</v>
      </c>
      <c r="EP224" s="153" t="e">
        <f ca="1">IF(Control!$C$108=1,IF(AND(Control!$B$18=1,$EB224&gt;=Control!$B$19),$EK224,IF(AND(Control!$B$18=2,$AW224=1),$EK224,0)))</f>
        <v>#N/A</v>
      </c>
      <c r="EQ224" s="153" t="e">
        <f t="shared" ca="1" si="851"/>
        <v>#N/A</v>
      </c>
      <c r="ER224" s="153" t="e">
        <f t="shared" ca="1" si="852"/>
        <v>#N/A</v>
      </c>
      <c r="ES224" s="153" t="e">
        <f t="shared" ca="1" si="904"/>
        <v>#N/A</v>
      </c>
      <c r="ET224" s="153" t="e">
        <f t="shared" ca="1" si="905"/>
        <v>#N/A</v>
      </c>
      <c r="EU224" s="153" t="e">
        <f t="shared" ca="1" si="853"/>
        <v>#N/A</v>
      </c>
      <c r="EV224" s="153" t="e">
        <f t="shared" ca="1" si="724"/>
        <v>#N/A</v>
      </c>
      <c r="EW224" s="153" t="e">
        <f t="shared" ca="1" si="725"/>
        <v>#N/A</v>
      </c>
      <c r="EX224" s="153" t="e">
        <f t="shared" ca="1" si="726"/>
        <v>#N/A</v>
      </c>
      <c r="EY224" s="157" t="e">
        <f t="shared" ca="1" si="727"/>
        <v>#DIV/0!</v>
      </c>
      <c r="EZ224" s="154" t="e">
        <f t="shared" ca="1" si="728"/>
        <v>#DIV/0!</v>
      </c>
      <c r="FA224" s="153" t="e">
        <f t="shared" ca="1" si="854"/>
        <v>#N/A</v>
      </c>
      <c r="FB224" s="153" t="e">
        <f t="shared" ca="1" si="729"/>
        <v>#N/A</v>
      </c>
      <c r="FC224" s="193" t="e">
        <f t="shared" ca="1" si="730"/>
        <v>#N/A</v>
      </c>
      <c r="FD224" s="158" t="e">
        <f t="shared" ca="1" si="855"/>
        <v>#N/A</v>
      </c>
      <c r="FE224" s="158" t="e">
        <f t="shared" ca="1" si="856"/>
        <v>#N/A</v>
      </c>
      <c r="FF224" s="159" t="e">
        <f t="shared" ca="1" si="731"/>
        <v>#N/A</v>
      </c>
      <c r="FG224" s="160" t="e">
        <f t="shared" ca="1" si="857"/>
        <v>#N/A</v>
      </c>
      <c r="FH224" s="158" t="e">
        <f t="shared" ca="1" si="858"/>
        <v>#N/A</v>
      </c>
      <c r="FI224" s="159" t="e">
        <f t="shared" ca="1" si="732"/>
        <v>#N/A</v>
      </c>
      <c r="FJ224" s="160" t="e">
        <f t="shared" ca="1" si="859"/>
        <v>#N/A</v>
      </c>
      <c r="FK224" s="160" t="e">
        <f t="shared" ca="1" si="733"/>
        <v>#N/A</v>
      </c>
      <c r="FL224" s="160" t="e">
        <f t="shared" ca="1" si="906"/>
        <v>#N/A</v>
      </c>
      <c r="FM224" s="160" t="e">
        <f t="shared" ca="1" si="734"/>
        <v>#N/A</v>
      </c>
      <c r="FN224" s="158">
        <f t="shared" ca="1" si="860"/>
        <v>0.01</v>
      </c>
      <c r="FO224" s="160">
        <f>Control!$C$101</f>
        <v>50</v>
      </c>
      <c r="FP224" s="150" t="e">
        <f t="shared" ca="1" si="735"/>
        <v>#N/A</v>
      </c>
      <c r="FQ224" s="150" t="e">
        <f ca="1">MAX(0,(Control!$C$112*(($DK224-Control!$C$97)/Control!$C$97)))</f>
        <v>#N/A</v>
      </c>
      <c r="FR224" s="150" t="e">
        <f ca="1">(1-$NT224)*Control!$C$113</f>
        <v>#DIV/0!</v>
      </c>
      <c r="FS224" s="198" t="e">
        <f t="shared" ca="1" si="736"/>
        <v>#N/A</v>
      </c>
      <c r="FT224" s="161">
        <f t="shared" ca="1" si="861"/>
        <v>220</v>
      </c>
      <c r="FU224" s="162" t="e">
        <f ca="1">IF(Control!$B$34=1,VLOOKUP($CP224,Control!$B$86:$G$91,6),Control!$B$35)</f>
        <v>#N/A</v>
      </c>
      <c r="FV224" s="162" t="e">
        <f t="shared" ca="1" si="737"/>
        <v>#DIV/0!</v>
      </c>
      <c r="FW224" s="162" t="e">
        <f ca="1">IF(Control!$B$31=1,$FU224*$FV224,  $FU224)</f>
        <v>#N/A</v>
      </c>
      <c r="FX224" s="162" t="e">
        <f ca="1">IF(Control!$B$34=1,VLOOKUP($CP224,Control!$B$86:$G$91,3),Control!$B$36)</f>
        <v>#N/A</v>
      </c>
      <c r="FY224" s="162" t="e">
        <f t="shared" ca="1" si="738"/>
        <v>#N/A</v>
      </c>
      <c r="FZ224" s="162" t="e">
        <f ca="1">IF(Control!$B$34=1,VLOOKUP($CP224,Control!$B$86:$G$91,4),Control!$B$37)</f>
        <v>#N/A</v>
      </c>
      <c r="GA224" s="162" t="e">
        <f t="shared" ca="1" si="739"/>
        <v>#N/A</v>
      </c>
      <c r="GB224" s="162" t="e">
        <f ca="1">IF(Control!$B$34=1,VLOOKUP($CP224,Control!$B$86:$G$91,5),Control!$B$38)</f>
        <v>#N/A</v>
      </c>
      <c r="GC224" s="162" t="e">
        <f t="shared" ca="1" si="862"/>
        <v>#N/A</v>
      </c>
      <c r="GD224" s="162">
        <f t="shared" ca="1" si="740"/>
        <v>1</v>
      </c>
      <c r="GE224" s="162">
        <f t="shared" ca="1" si="741"/>
        <v>1</v>
      </c>
      <c r="GF224" s="162">
        <f ca="1">IF(AND(Control!$C$104=1, Control!$C$62="F"),$GE224,1)</f>
        <v>1</v>
      </c>
      <c r="GG224" s="162" t="e">
        <f ca="1">IF(Control!$B$16=40,0,IF(AND(Control!$B$16&gt;40,Control!$B$16&lt;=360),(Control!$B$16-40)*((1-0)/(360-40)),IF(AND(Control!$B$16&gt;360,Control!$B$16&lt;=720),(1+(Control!$B$16-360)*((1.25-1)/(720-360))),IF(AND(Control!$B$16&gt;720,Control!$B$16&lt;=1000),(1.25+(Control!$B$16-720)*((1.35-1.25)/(1000-720))),IF(AND(Control!$B$16&gt;1000,Control!$B$16&lt;=2000),(1.35+(Control!$B$16-1000)*0))))))</f>
        <v>#N/A</v>
      </c>
      <c r="GH224" s="162" t="e">
        <f t="shared" ca="1" si="742"/>
        <v>#N/A</v>
      </c>
      <c r="GI224" s="162">
        <f t="shared" ca="1" si="863"/>
        <v>0</v>
      </c>
      <c r="GJ224" s="162">
        <f t="shared" ca="1" si="743"/>
        <v>0</v>
      </c>
      <c r="GK224" s="162">
        <f t="shared" ca="1" si="864"/>
        <v>1</v>
      </c>
      <c r="GL224" s="162">
        <f t="shared" ca="1" si="744"/>
        <v>1</v>
      </c>
      <c r="GM224" s="162" t="e">
        <f ca="1">MAX(0,MIN(1,1-Control!$C$156*(1.0001-$KH224)^2))</f>
        <v>#N/A</v>
      </c>
      <c r="GN224" s="162" t="e">
        <f ca="1">IF(Control!$B$26=1,$KU224,$KX224)</f>
        <v>#N/A</v>
      </c>
      <c r="GO224" s="162" t="e">
        <f ca="1">IF($CP224&lt;=60,Control!$C$105,IF($CP224&gt;=90,Control!$C$106,Control!$C$105+($CP224-60)*((Control!$C$106-Control!$C$105)/(90-60))))</f>
        <v>#N/A</v>
      </c>
      <c r="GP224" s="162" t="e">
        <f t="shared" ca="1" si="745"/>
        <v>#N/A</v>
      </c>
      <c r="GQ224" s="162" t="e">
        <f t="shared" ca="1" si="865"/>
        <v>#N/A</v>
      </c>
      <c r="GR224" s="163" t="e">
        <f t="shared" ca="1" si="746"/>
        <v>#DIV/0!</v>
      </c>
      <c r="GS224" s="162" t="e">
        <f t="shared" ca="1" si="747"/>
        <v>#DIV/0!</v>
      </c>
      <c r="GT224" s="164" t="e">
        <f t="shared" ca="1" si="866"/>
        <v>#N/A</v>
      </c>
      <c r="GU224" s="162" t="e">
        <f t="shared" ca="1" si="867"/>
        <v>#N/A</v>
      </c>
      <c r="GV224" s="162" t="e">
        <f t="shared" ca="1" si="748"/>
        <v>#N/A</v>
      </c>
      <c r="GW224" s="162" t="e">
        <f t="shared" ca="1" si="749"/>
        <v>#DIV/0!</v>
      </c>
      <c r="GX224" s="162" t="e">
        <f t="shared" ca="1" si="868"/>
        <v>#DIV/0!</v>
      </c>
      <c r="GY224" s="162" t="e">
        <f t="shared" ca="1" si="869"/>
        <v>#DIV/0!</v>
      </c>
      <c r="GZ224" s="165" t="e">
        <f t="shared" ca="1" si="750"/>
        <v>#N/A</v>
      </c>
      <c r="HA224" s="162" t="e">
        <f ca="1">IF(Control!$C$114=1, $DI224*$FS224, 0)</f>
        <v>#N/A</v>
      </c>
      <c r="HB224" s="162" t="e">
        <f ca="1">$FA224/Control!$C$64</f>
        <v>#N/A</v>
      </c>
      <c r="HC224" s="162" t="e">
        <f t="shared" ca="1" si="751"/>
        <v>#DIV/0!</v>
      </c>
      <c r="HD224" s="162">
        <f ca="1">-ASIN(SIN(23.45*Control!$C$139)*COS(2*Control!$C$138*($AH224+10)/365))</f>
        <v>0.27563987199837431</v>
      </c>
      <c r="HE224" s="165">
        <f t="shared" ca="1" si="870"/>
        <v>0</v>
      </c>
      <c r="HF224" s="166">
        <f ca="1">IF(AND(Control!$C$61="T",$HE224&gt;=Control!$C$103,Control!$C$114=0),$AH224,Control!$C$59)</f>
        <v>1</v>
      </c>
      <c r="HG224" s="166">
        <f ca="1">IF(AND(Control!$C$61="T",$HE224&gt;=Control!$C$103,Control!$C$114=0),$HF224,Control!$C$59)</f>
        <v>1</v>
      </c>
      <c r="HH224" s="165">
        <f ca="1">IF(AND(OR(Control!$C$60&lt;=0, $AH224= Control!$C$59, Control!$C$60 &gt;0, $AH224 = Control!$C$60)), Control!$C$59, IF(Control!$C$60&gt;0, 0))</f>
        <v>1</v>
      </c>
      <c r="HI224" s="165">
        <f ca="1">IF(AND(OR(Control!$C$60&lt;=0, $AH224= Control!$C$59, Control!$C$60 &gt;0, $AH224 = Control!$C$60)), Control!$C$60, IF(Control!$C$60&lt;=0, 0))</f>
        <v>0</v>
      </c>
      <c r="HJ224" s="166">
        <f ca="1">IF(AND(Control!$C$62="F",$CV224&gt;=Control!$C$102),$AH224,0)</f>
        <v>0</v>
      </c>
      <c r="HK224" s="165" t="e">
        <f t="shared" ca="1" si="907"/>
        <v>#N/A</v>
      </c>
      <c r="HL224" s="166">
        <f ca="1">IF(AND(Control!$C$61="T",$HE224&gt;=Control!$C$103,Control!$C$114=0),$HF224,0)</f>
        <v>0</v>
      </c>
      <c r="HM224" s="201" t="e">
        <f t="shared" ca="1" si="752"/>
        <v>#DIV/0!</v>
      </c>
      <c r="HN224" s="215">
        <f t="shared" ca="1" si="871"/>
        <v>220</v>
      </c>
      <c r="HO224" s="216" t="e">
        <f ca="1">IF(AND($CP224&gt;=0, $CP224&lt;=90), Control!$C$152, Control!$C$152)</f>
        <v>#N/A</v>
      </c>
      <c r="HP224" s="216" t="e">
        <f t="shared" ca="1" si="753"/>
        <v>#N/A</v>
      </c>
      <c r="HQ224" s="217" t="e">
        <f ca="1">IF(OR(Control!$B$26=1,Control!$B$26=2),$KV224,$KS224)</f>
        <v>#DIV/0!</v>
      </c>
      <c r="HR224" s="218" t="e">
        <f t="shared" ca="1" si="908"/>
        <v>#DIV/0!</v>
      </c>
      <c r="HS224" s="216" t="e">
        <f ca="1">Control!$C$154*$HP224</f>
        <v>#N/A</v>
      </c>
      <c r="HT224" s="216" t="e">
        <f ca="1">Control!$C$155*$HP224</f>
        <v>#N/A</v>
      </c>
      <c r="HU224" s="217" t="e">
        <f ca="1">Control!$C$161*$FI224</f>
        <v>#N/A</v>
      </c>
      <c r="HV224" s="218" t="e">
        <f t="shared" ca="1" si="872"/>
        <v>#N/A</v>
      </c>
      <c r="HW224" s="218" t="e">
        <f ca="1">Control!$C$160*$FF224+$IP224*$EO224</f>
        <v>#N/A</v>
      </c>
      <c r="HX224" s="218" t="e">
        <f t="shared" ca="1" si="909"/>
        <v>#N/A</v>
      </c>
      <c r="HY224" s="219" t="e">
        <f ca="1">IF(Control!$C$114=1, $EB224*$FS224, 0)</f>
        <v>#N/A</v>
      </c>
      <c r="HZ224" s="91" t="e">
        <f t="shared" ca="1" si="754"/>
        <v>#N/A</v>
      </c>
      <c r="IA224" s="220" t="e">
        <f ca="1">Control!$C$153*$HO224</f>
        <v>#N/A</v>
      </c>
      <c r="IB224" s="218" t="e">
        <f t="shared" ca="1" si="755"/>
        <v>#N/A</v>
      </c>
      <c r="IC224" s="220" t="e">
        <f ca="1">Control!$C$153*$HT224</f>
        <v>#N/A</v>
      </c>
      <c r="ID224" s="218" t="e">
        <f t="shared" ca="1" si="756"/>
        <v>#N/A</v>
      </c>
      <c r="IE224" s="221" t="e">
        <f ca="1">($EB224*Control!$C$159+$EF224*Control!$C$160)/(IF($GZ224&lt;&gt;0,$GZ224,1))</f>
        <v>#N/A</v>
      </c>
      <c r="IF224" s="216" t="e">
        <f t="shared" ca="1" si="757"/>
        <v>#N/A</v>
      </c>
      <c r="IG224" s="91">
        <f ca="1">IF(OR(Control!$B$198=$AH224,Control!$B$199=$AH224, Control!$B$200=$AH224, Control!$B$201=$AH224, Control!$B$202=$AH224, Control!$B$203=$AH224, Control!$B$204=$AH224, Control!$B$205=$AH224, Control!$B$206=$AH224, Control!$B$207=$AH224), 1, 0)</f>
        <v>0</v>
      </c>
      <c r="IH224" s="91">
        <f ca="1">IF($IG224=0,0, VLOOKUP($AH224,Control!$B$198:$C$207,2))</f>
        <v>0</v>
      </c>
      <c r="II224" s="222">
        <f t="shared" ca="1" si="873"/>
        <v>0</v>
      </c>
      <c r="IJ224" s="91">
        <f>Control!$C$121</f>
        <v>0.7</v>
      </c>
      <c r="IK224" s="218">
        <f t="shared" ca="1" si="758"/>
        <v>0</v>
      </c>
      <c r="IL224" s="217" t="e">
        <f t="shared" ca="1" si="910"/>
        <v>#N/A</v>
      </c>
      <c r="IM224" s="223" t="e">
        <f ca="1">IF(AND(Control!$C$114=1,$KH224&lt;1),$EB224*Control!$C$148*(1-$KH224), 0)</f>
        <v>#N/A</v>
      </c>
      <c r="IN224" s="217" t="e">
        <f t="shared" ca="1" si="759"/>
        <v>#DIV/0!</v>
      </c>
      <c r="IO224" s="91" t="e">
        <f ca="1">MAX(0,$IL224-$EF224*Control!$C$160)</f>
        <v>#N/A</v>
      </c>
      <c r="IP224" s="220" t="e">
        <f t="shared" ca="1" si="760"/>
        <v>#N/A</v>
      </c>
      <c r="IQ224" s="217" t="e">
        <f t="shared" ca="1" si="874"/>
        <v>#N/A</v>
      </c>
      <c r="IR224" s="218" t="e">
        <f t="shared" ca="1" si="761"/>
        <v>#N/A</v>
      </c>
      <c r="IS224" s="217" t="e">
        <f ca="1">Control!$C$159*MAX(0,$FD224-$EN224)</f>
        <v>#N/A</v>
      </c>
      <c r="IT224" s="217" t="e">
        <f t="shared" ca="1" si="911"/>
        <v>#N/A</v>
      </c>
      <c r="IU224" s="217" t="e">
        <f t="shared" ca="1" si="875"/>
        <v>#N/A</v>
      </c>
      <c r="IV224" s="217" t="e">
        <f t="shared" ca="1" si="912"/>
        <v>#N/A</v>
      </c>
      <c r="IW224" s="217" t="e">
        <f ca="1">IF(OR($AW224=1,AND($AW224=0, Control!$B$18=1,$EN224&lt;&gt;0)), $IQ224-$IU224, $IQ224)</f>
        <v>#N/A</v>
      </c>
      <c r="IX224" s="218" t="e">
        <f t="shared" ca="1" si="762"/>
        <v>#N/A</v>
      </c>
      <c r="IY224" s="218" t="e">
        <f ca="1">MAX(0,$IQ224-$EB224*Control!$C$159)</f>
        <v>#N/A</v>
      </c>
      <c r="IZ224" s="218" t="e">
        <f t="shared" ca="1" si="763"/>
        <v>#N/A</v>
      </c>
      <c r="JA224" s="216" t="e">
        <f t="shared" ca="1" si="764"/>
        <v>#N/A</v>
      </c>
      <c r="JB224" s="217" t="e">
        <f t="shared" ca="1" si="765"/>
        <v>#N/A</v>
      </c>
      <c r="JC224" s="222" t="e">
        <f ca="1">MAX(Control!$C$157*$EK224-$JT224, 0)/Control!$C$162</f>
        <v>#N/A</v>
      </c>
      <c r="JD224" s="218" t="e">
        <f t="shared" ca="1" si="766"/>
        <v>#N/A</v>
      </c>
      <c r="JE224" s="218" t="e">
        <f t="shared" ca="1" si="767"/>
        <v>#N/A</v>
      </c>
      <c r="JF224" s="218" t="e">
        <f t="shared" ca="1" si="876"/>
        <v>#N/A</v>
      </c>
      <c r="JG224" s="218" t="e">
        <f t="shared" ca="1" si="768"/>
        <v>#N/A</v>
      </c>
      <c r="JH224" s="217" t="e">
        <f t="shared" ca="1" si="877"/>
        <v>#N/A</v>
      </c>
      <c r="JI224" s="217" t="e">
        <f t="shared" ca="1" si="878"/>
        <v>#N/A</v>
      </c>
      <c r="JJ224" s="217" t="e">
        <f t="shared" ca="1" si="913"/>
        <v>#N/A</v>
      </c>
      <c r="JK224" s="217" t="e">
        <f ca="1">IF(Control!$C$114=1,IF(Control!$B$24=0,MAX(0,$JI224)*$GN224/Control!$C$64,(MAX(0,MIN($JI224,$JJ224*$GN224/Control!$C$64),0))))</f>
        <v>#N/A</v>
      </c>
      <c r="JL224" s="217" t="e">
        <f ca="1">$IK224/Control!$C$64-$JK224+$HQ224</f>
        <v>#N/A</v>
      </c>
      <c r="JM224" s="217" t="e">
        <f ca="1">IF(Control!$C$114=1,($JB224/(IF($JI224&lt;&gt;0,$JI224,1)))*$JK224,0)</f>
        <v>#N/A</v>
      </c>
      <c r="JN224" s="217" t="e">
        <f ca="1">IF(Control!$C$114=1,($JG224/(IF($JI224&lt;&gt;0,$JI224,1)))*$JK224, 0)</f>
        <v>#N/A</v>
      </c>
      <c r="JO224" s="218" t="e">
        <f t="shared" ca="1" si="769"/>
        <v>#N/A</v>
      </c>
      <c r="JP224" s="218" t="e">
        <f ca="1">MIN(($IY224+$IO224)*Control!$C$151, $JF224-$EH224*Control!$C$161)</f>
        <v>#N/A</v>
      </c>
      <c r="JQ224" s="218" t="e">
        <f t="shared" ca="1" si="770"/>
        <v>#N/A</v>
      </c>
      <c r="JR224" s="217" t="e">
        <f ca="1">IF($CP224-Control!$C$150&lt;0, 0, $JQ224/Control!$C$162)</f>
        <v>#N/A</v>
      </c>
      <c r="JS224" s="218" t="e">
        <f t="shared" ca="1" si="771"/>
        <v>#N/A</v>
      </c>
      <c r="JT224" s="218" t="e">
        <f t="shared" ca="1" si="879"/>
        <v>#N/A</v>
      </c>
      <c r="JU224" s="218" t="e">
        <f t="shared" ca="1" si="772"/>
        <v>#N/A</v>
      </c>
      <c r="JV224" s="218" t="e">
        <f t="shared" ca="1" si="773"/>
        <v>#N/A</v>
      </c>
      <c r="JW224" s="216" t="e">
        <f t="shared" ca="1" si="774"/>
        <v>#N/A</v>
      </c>
      <c r="JX224" s="91" t="e">
        <f t="shared" ca="1" si="775"/>
        <v>#N/A</v>
      </c>
      <c r="JY224" s="218" t="e">
        <f t="shared" ca="1" si="776"/>
        <v>#N/A</v>
      </c>
      <c r="JZ224" s="217" t="e">
        <f ca="1">IF(Control!$C$114=1,($IZ224/(IF($JI224&lt;&gt;0,$JI224,1)))*$JK224, 0)</f>
        <v>#N/A</v>
      </c>
      <c r="KA224" s="218" t="e">
        <f t="shared" ca="1" si="914"/>
        <v>#N/A</v>
      </c>
      <c r="KB224" s="218" t="e">
        <f t="shared" ca="1" si="880"/>
        <v>#N/A</v>
      </c>
      <c r="KC224" s="218" t="e">
        <f t="shared" ca="1" si="777"/>
        <v>#N/A</v>
      </c>
      <c r="KD224" s="218" t="e">
        <f t="shared" ca="1" si="778"/>
        <v>#N/A</v>
      </c>
      <c r="KE224" s="218" t="e">
        <f t="shared" ca="1" si="779"/>
        <v>#N/A</v>
      </c>
      <c r="KF224" s="218" t="e">
        <f t="shared" ca="1" si="780"/>
        <v>#N/A</v>
      </c>
      <c r="KG224" s="216" t="e">
        <f t="shared" ca="1" si="781"/>
        <v>#N/A</v>
      </c>
      <c r="KH224" s="221" t="e">
        <f ca="1">IF(Control!$B$24=0,1,MAX(0.001,MIN(1,IF(($IF224-$IE224)&lt;&gt;0,($KG224-$IE224)/($IF224-$IE224),1))))</f>
        <v>#N/A</v>
      </c>
      <c r="KI224" s="222" t="e">
        <f ca="1">IF(Control!$C$114=1, $KI223+ $KH223, 0)</f>
        <v>#N/A</v>
      </c>
      <c r="KJ224" s="217" t="e">
        <f t="shared" ca="1" si="782"/>
        <v>#N/A</v>
      </c>
      <c r="KK224" s="218" t="e">
        <f t="shared" ca="1" si="783"/>
        <v>#N/A</v>
      </c>
      <c r="KL224" s="274" t="e">
        <f ca="1">IF(Control!$B$26=3,4000000000*EXP(-8400/($G224+273)),IF(Control!$B$26=4,4000000000*EXP(-8400/($G224+273))*($KT224),0))</f>
        <v>#DIV/0!</v>
      </c>
      <c r="KM224" s="274" t="e">
        <f ca="1">IF(Control!$B$26=3,5600000000000*EXP(-9800/($G224+273)),IF(Control!$B$26=4,5600000000000*EXP(-9800/($G224+273))*$KT224,0))</f>
        <v>#DIV/0!</v>
      </c>
      <c r="KN224" s="454" t="e">
        <f t="shared" ca="1" si="881"/>
        <v>#DIV/0!</v>
      </c>
      <c r="KO224" s="274" t="e">
        <f t="shared" ca="1" si="882"/>
        <v>#DIV/0!</v>
      </c>
      <c r="KP224" s="454" t="e">
        <f t="shared" ca="1" si="784"/>
        <v>#DIV/0!</v>
      </c>
      <c r="KQ224" s="454" t="e">
        <f t="shared" ca="1" si="785"/>
        <v>#DIV/0!</v>
      </c>
      <c r="KR224" s="454" t="e">
        <f t="shared" ca="1" si="786"/>
        <v>#DIV/0!</v>
      </c>
      <c r="KS224" s="454" t="e">
        <f t="shared" ca="1" si="787"/>
        <v>#DIV/0!</v>
      </c>
      <c r="KT224" s="455" t="e">
        <f t="shared" ca="1" si="788"/>
        <v>#DIV/0!</v>
      </c>
      <c r="KU224" s="456" t="e">
        <f ca="1">IF($CP224-Control!$C$149&lt;0, IF($NT224-0.01&lt;0,0,1),0)</f>
        <v>#N/A</v>
      </c>
      <c r="KV224" s="456" t="e">
        <f ca="1">IF(Control!$C$114=1,MAX(0,MIN(Control!$C$125*$KW224*$GN224,$KW224)))</f>
        <v>#DIV/0!</v>
      </c>
      <c r="KW224" s="456" t="e">
        <f t="shared" ca="1" si="915"/>
        <v>#DIV/0!</v>
      </c>
      <c r="KX224" s="457" t="e">
        <f ca="1">IF($CP224-Control!$C$149&lt;0, IF($MR224-$OM224&lt;0,0,1),0)</f>
        <v>#N/A</v>
      </c>
      <c r="KY224" s="167">
        <f t="shared" ca="1" si="883"/>
        <v>220</v>
      </c>
      <c r="KZ224" s="168">
        <f ca="1">1370*(1+0.033*COS(2*Control!$C$138*$AH224/365))</f>
        <v>1333.8874254298678</v>
      </c>
      <c r="LA224" s="169">
        <f t="shared" ca="1" si="884"/>
        <v>0.97364028069474995</v>
      </c>
      <c r="LB224" s="169">
        <f t="shared" ca="1" si="885"/>
        <v>0.27713026323725298</v>
      </c>
      <c r="LC224" s="169">
        <f ca="1">ACOS(-TAN((2*Control!$B$8/360))*TAN(Calculations!$LB224))</f>
        <v>1.655436737666734</v>
      </c>
      <c r="LD224" s="169">
        <f ca="1">((24*60)/PI())*0.082*$LA224*(($LC224*SIN(Control!$B$8*2*PI()/360))*SIN($LB224)+COS(Control!$B$8*2*PI()/360)*COS($LB224)*SIN($LC224))</f>
        <v>34.654186220362448</v>
      </c>
      <c r="LE224" s="170">
        <f t="shared" ca="1" si="789"/>
        <v>35.471507444167251</v>
      </c>
      <c r="LF224" s="170">
        <f ca="1">SIN(Control!$C$139*Control!$B$8)*SIN($HD224)</f>
        <v>0.21446749802575041</v>
      </c>
      <c r="LG224" s="170">
        <f ca="1">COS(Control!$C$139*Control!$B$8)*COS($HD224)</f>
        <v>0.59241941207279936</v>
      </c>
      <c r="LH224" s="170">
        <f ca="1">12*(1+2*ASIN(MAX(-1,MIN(1,$LF224/$LG224))/Control!$C$138))</f>
        <v>14.771777929749197</v>
      </c>
      <c r="LI224" s="170">
        <f ca="1">12*(1+2*ASIN(MAX(-1,MIN(1,(-SIN(-4*Control!$C$139)+$LF224)/$LG224))/Control!$C$138))</f>
        <v>15.679550227008761</v>
      </c>
      <c r="LJ224" s="168">
        <f ca="1">3600*($LH224*$LF224+24*$LG224*SQRT(1-$LK224*$LK224)/Control!$C$138)</f>
        <v>26592.57952951761</v>
      </c>
      <c r="LK224" s="170">
        <f t="shared" ca="1" si="790"/>
        <v>0.3620197003257476</v>
      </c>
      <c r="LL224" s="170">
        <f t="shared" ca="1" si="791"/>
        <v>0</v>
      </c>
      <c r="LM224" s="171">
        <f ca="1">Control!$C$145*$AB224</f>
        <v>6.6660906138995932E-2</v>
      </c>
      <c r="LN224" s="170">
        <f t="shared" ca="1" si="886"/>
        <v>0.54</v>
      </c>
      <c r="LO224" s="170">
        <f t="shared" ca="1" si="792"/>
        <v>0</v>
      </c>
      <c r="LP224" s="170">
        <f ca="1">Control!$C$140*((($D224+273.16)^4+($E224+273.16)^4)/2)*(0.34-0.14*SQRT($Y224))*(1.35*$AQ224/(0.75*$LD224)-0.35)</f>
        <v>-3.2464704755046001</v>
      </c>
      <c r="LQ224" s="170">
        <f ca="1">Control!$C$140*($G224+273)^4*(0.56-0.079*SQRT($Y224*10))*(0.1+0.9*$LO224)</f>
        <v>1.5241745131704001</v>
      </c>
      <c r="LR224" s="170">
        <f ca="1">$AQ224*(1-Control!$C$142)-$LQ224</f>
        <v>-1.5241745131704001</v>
      </c>
      <c r="LS224" s="170">
        <f ca="1">$AQ224*(1-Control!$C$143)-$LQ224</f>
        <v>-1.5241745131704001</v>
      </c>
      <c r="LT224" s="170">
        <f ca="1">$AQ224*(1-Control!$C$144)-$LQ224</f>
        <v>-1.5241745131704001</v>
      </c>
      <c r="LU224" s="169">
        <f ca="1">(1-Control!$C$144)*AQ224-LP224</f>
        <v>3.2464704755046001</v>
      </c>
      <c r="LV224" s="172">
        <f t="shared" ca="1" si="793"/>
        <v>0.79430000000000012</v>
      </c>
      <c r="LW224" s="170">
        <f t="shared" ca="1" si="794"/>
        <v>1.5886000000000002</v>
      </c>
      <c r="LX224" s="170">
        <f ca="1">($AC224*($LR224/Control!$C$141)+$LM224*$LV224)/($AC224+$LM224)</f>
        <v>0.23530094218323697</v>
      </c>
      <c r="LY224" s="170">
        <f ca="1">($AC224*($LS224/Control!$C$141)+$LM224*$LV224)/($AC224+$LM224)</f>
        <v>0.23530094218323697</v>
      </c>
      <c r="LZ224" s="170">
        <f t="shared" ca="1" si="795"/>
        <v>0.23530094218323697</v>
      </c>
      <c r="MA224" s="170">
        <f t="shared" ca="1" si="796"/>
        <v>0.23530094218323697</v>
      </c>
      <c r="MB224" s="170" t="e">
        <f t="shared" ca="1" si="797"/>
        <v>#N/A</v>
      </c>
      <c r="MC224" s="170">
        <f t="shared" ca="1" si="887"/>
        <v>0.6018</v>
      </c>
      <c r="MD224" s="170">
        <f t="shared" ca="1" si="798"/>
        <v>0.52989392535414004</v>
      </c>
      <c r="ME224" s="170">
        <f ca="1">($AC224*($LT224/Control!$C$141)+$LM224*$LW224)/($AC224+$LM224)</f>
        <v>0.71612369323045078</v>
      </c>
      <c r="MF224" s="170" t="e">
        <f ca="1">IF(Control!$B$16&gt;=1000,0.92,IF(AND(720&lt;=Control!$B$16,1000&gt;Control!$B$16),(0.95+(Control!$B$16-720)*((0.92-0.95)/(1000-720))),IF(AND(360&lt;=Control!$B$16,720&gt;Control!$B$16),(1+(Control!$B$16-360)*((0.95-1)/(720-360))),IF(AND(40&lt;=Control!$B$16,360&gt;Control!$B$16),(1.05+(Control!$B$16-40)*((1.05-1)/(360-40)))))))</f>
        <v>#N/A</v>
      </c>
      <c r="MG224" s="170">
        <f t="shared" ca="1" si="799"/>
        <v>0.71612369323045078</v>
      </c>
      <c r="MH224" s="170" t="e">
        <f t="shared" ca="1" si="924"/>
        <v>#N/A</v>
      </c>
      <c r="MI224" s="170" t="e">
        <f t="shared" ca="1" si="924"/>
        <v>#N/A</v>
      </c>
      <c r="MJ224" s="170" t="e">
        <f ca="1">MAX(0.0001, Control!$C$132*$MI224*$DL224)</f>
        <v>#N/A</v>
      </c>
      <c r="MK224" s="170">
        <f ca="1">1/(0.76+1.5*($MG224/10))-(5-Control!$C$110)*0.1</f>
        <v>1.002845988140797</v>
      </c>
      <c r="ML224" s="173">
        <f ca="1">IF(Control!$C$110&lt;3,$MK224+($MG224-0.6)/(Control!$C$110*(Control!$C$110+3)), MAX(0.1, MIN(0.95,$MK224)))</f>
        <v>0.95</v>
      </c>
      <c r="MM224" s="173">
        <f ca="1">IF(Control!$C$110&lt;3,$MK224+(($MI224/10)-0.6)/(Control!$C$110*(Control!$C$110+3)), MAX(0.1, MIN(0.95,$MK224)))</f>
        <v>0.95</v>
      </c>
      <c r="MN224" s="173">
        <f ca="1">(1-$MM224)*(Control!$C$128-Control!$C$127)+Control!$C$127</f>
        <v>0.16</v>
      </c>
      <c r="MO224" s="170" t="e">
        <f ca="1">MAX(0,MIN(1,($MS224-Control!$C$127)/($MN224-Control!$C$127)))</f>
        <v>#DIV/0!</v>
      </c>
      <c r="MP224" s="173" t="e">
        <f ca="1">1/(0.76+1.5*$MI224)-(5-Control!$C$110)*0.1</f>
        <v>#N/A</v>
      </c>
      <c r="MQ224" s="172" t="e">
        <f t="shared" ca="1" si="916"/>
        <v>#DIV/0!</v>
      </c>
      <c r="MR224" s="168" t="e">
        <f t="shared" ca="1" si="888"/>
        <v>#DIV/0!</v>
      </c>
      <c r="MS224" s="173" t="e">
        <f ca="1">MAX(Control!$C$127, MIN(Control!$C$135, $MR224/MAX(0.0001,$CY224)))</f>
        <v>#DIV/0!</v>
      </c>
      <c r="MT224" s="168" t="e">
        <f ca="1">(Control!$C$128-$MS224)*Control!$C$74</f>
        <v>#DIV/0!</v>
      </c>
      <c r="MU224" s="168" t="e">
        <f ca="1">(Control!$C$135-$MS224)*Control!$C$74</f>
        <v>#DIV/0!</v>
      </c>
      <c r="MV224" s="168" t="e">
        <f t="shared" ca="1" si="889"/>
        <v>#DIV/0!</v>
      </c>
      <c r="MW224" s="168" t="e">
        <f t="shared" ca="1" si="890"/>
        <v>#DIV/0!</v>
      </c>
      <c r="MX224" s="171" t="e">
        <f ca="1">MAX(Control!$C$127, MIN(Control!$C$135, $MW224/MAX(0.0001,Control!$C$119-$CY224)))</f>
        <v>#DIV/0!</v>
      </c>
      <c r="MY224" s="54" t="e">
        <f ca="1">IF(Control!$C$114=1, $CX224*$MX224, 0)</f>
        <v>#DIV/0!</v>
      </c>
      <c r="MZ224" s="54" t="e">
        <f t="shared" ca="1" si="891"/>
        <v>#N/A</v>
      </c>
      <c r="NA224" s="168" t="e">
        <f ca="1">(Control!$C$128-$MX224)*(Control!$C$119-Control!$C$74)</f>
        <v>#DIV/0!</v>
      </c>
      <c r="NB224" s="168" t="e">
        <f ca="1">(Control!$C$135-$MX224)*(Control!$C$119-Control!$C$74)</f>
        <v>#DIV/0!</v>
      </c>
      <c r="NC224" s="174" t="e">
        <f t="shared" ca="1" si="892"/>
        <v>#DIV/0!</v>
      </c>
      <c r="ND224" s="54">
        <f ca="1">IF(Control!$C$58=2, IF(OR(Control!$B$218=$AH224,Control!$B$219=$AH224, Control!$B$220=$AH224, Control!$B$221=$AH224, Control!$B$222=$AH224, Control!$B$223=$AH224, Control!$B$224=$AH224, Control!$B$225=$AH224, Control!$B$226=$AH224, Control!$B$227=$AH224, Control!$B$228=$AH224), 1, 0), 0)</f>
        <v>0</v>
      </c>
      <c r="NE224" s="54">
        <f ca="1">IF($ND224=0,0, VLOOKUP($AH224,Control!$B$218:$C$228,2))</f>
        <v>0</v>
      </c>
      <c r="NF224" s="168" t="e">
        <f ca="1">$CY224*(Control!$C$128-Control!$C$127)</f>
        <v>#N/A</v>
      </c>
      <c r="NG224" s="54" t="e">
        <f ca="1">IF(Control!$C$58=2, $NI223-$NJ223, 0)</f>
        <v>#DIV/0!</v>
      </c>
      <c r="NH224" s="54" t="e">
        <f ca="1">IF(AND(Control!$C$58=1, $MS223&lt;= ($MN223+0.02), $I223&lt;10), 0, IF(Control!$C$58=2, $NG223, 0))</f>
        <v>#DIV/0!</v>
      </c>
      <c r="NI224" s="54" t="e">
        <f ca="1">IF(Control!$C$58=2, $NE224+$NH224,0)</f>
        <v>#DIV/0!</v>
      </c>
      <c r="NJ224" s="54" t="e">
        <f ca="1">IF(AND(Control!$C$58=1, $MS224&lt;= ($MN224+0.02), $I224&lt;10), MAX(0, MIN(10, 0.7*($NF224-$MV224))), IF(Control!$C$58=2, MIN(10,$NI224),0))</f>
        <v>#DIV/0!</v>
      </c>
      <c r="NK224" s="54" t="e">
        <f t="shared" ca="1" si="800"/>
        <v>#DIV/0!</v>
      </c>
      <c r="NL224" s="173" t="e">
        <f ca="1">(1-Control!$C$73)*$I224+$NJ224</f>
        <v>#DIV/0!</v>
      </c>
      <c r="NM224" s="172" t="e">
        <f ca="1">IF($NL224&lt;0.5, $MB224* MAX(0, MIN(1, (SQRT($NC224)-SQRT($NC224-1))*Control!$C$71)),0)</f>
        <v>#DIV/0!</v>
      </c>
      <c r="NN224" s="170" t="e">
        <f ca="1">IF($NL224&gt;=5, $MB224, MAX(0,MIN($MB224, $NM224+$NL224,($MS224-Control!$C$129))))</f>
        <v>#DIV/0!</v>
      </c>
      <c r="NO224" s="54">
        <f>IF(Control!$C$133&lt;&gt;1, Control!$C$135-Control!$C$131, 0)</f>
        <v>0.38</v>
      </c>
      <c r="NP224" s="54" t="e">
        <f t="shared" ca="1" si="801"/>
        <v>#DIV/0!</v>
      </c>
      <c r="NQ224" s="173" t="e">
        <f ca="1">MAX(0,MIN(1,(Control!$C$135-$MS224)/(Control!$C$135-$NO224)))</f>
        <v>#DIV/0!</v>
      </c>
      <c r="NR224" s="170" t="e">
        <f ca="1">IF(Control!$C$133&lt;&gt;1, $NQ224+((1-$NP224/4)*(1-$NQ224)),1)</f>
        <v>#DIV/0!</v>
      </c>
      <c r="NS224" s="170" t="e">
        <f ca="1">IF(Control!$B$31=0,$MJ224,MAX(0,MIN($MV224,$MO224*$NR224*$MJ224)))</f>
        <v>#DIV/0!</v>
      </c>
      <c r="NT224" s="170" t="e">
        <f t="shared" ca="1" si="917"/>
        <v>#DIV/0!</v>
      </c>
      <c r="NU224" s="170" t="e">
        <f t="shared" ca="1" si="893"/>
        <v>#N/A</v>
      </c>
      <c r="NV224" s="170" t="e">
        <f t="shared" ca="1" si="802"/>
        <v>#N/A</v>
      </c>
      <c r="NW224" s="175" t="e">
        <f t="shared" ca="1" si="803"/>
        <v>#DIV/0!</v>
      </c>
      <c r="NX224" s="170" t="e">
        <f ca="1">MIN(Control!$C$72+$MU224, $NW224)</f>
        <v>#DIV/0!</v>
      </c>
      <c r="NY224" s="170" t="e">
        <f ca="1">IF($MT224&lt;=$NX224,MIN(Control!$C$72+$NB224,$NX224-$MT224),0)</f>
        <v>#DIV/0!</v>
      </c>
      <c r="NZ224" s="54" t="e">
        <f ca="1">IF(Control!$C$114=1,  $CX224*($MX224-Control!$C$127), 0)</f>
        <v>#DIV/0!</v>
      </c>
      <c r="OA224" s="170" t="e">
        <f t="shared" ca="1" si="804"/>
        <v>#DIV/0!</v>
      </c>
      <c r="OB224" s="170" t="e">
        <f ca="1">IF($NA224 &lt;=$NY224, MIN(Control!$C$72, $NY224-$NA224), 0)</f>
        <v>#DIV/0!</v>
      </c>
      <c r="OC224" s="168" t="e">
        <f t="shared" ca="1" si="805"/>
        <v>#DIV/0!</v>
      </c>
      <c r="OD224" s="168" t="e">
        <f t="shared" ca="1" si="894"/>
        <v>#DIV/0!</v>
      </c>
      <c r="OE224" s="170">
        <f ca="1">Control!$C$73*$I224</f>
        <v>0</v>
      </c>
      <c r="OF224" s="176" t="e">
        <f t="shared" ca="1" si="806"/>
        <v>#DIV/0!</v>
      </c>
      <c r="OG224" s="168" t="e">
        <f t="shared" ca="1" si="807"/>
        <v>#DIV/0!</v>
      </c>
      <c r="OH224" s="168" t="e">
        <f t="shared" ca="1" si="808"/>
        <v>#DIV/0!</v>
      </c>
      <c r="OI224" s="168" t="e">
        <f t="shared" ca="1" si="809"/>
        <v>#DIV/0!</v>
      </c>
      <c r="OJ224" s="168" t="e">
        <f t="shared" ca="1" si="810"/>
        <v>#DIV/0!</v>
      </c>
      <c r="OK224" s="204" t="e">
        <f t="shared" ca="1" si="811"/>
        <v>#DIV/0!</v>
      </c>
      <c r="OL224" s="177">
        <f>Control!$C$127</f>
        <v>0.15</v>
      </c>
      <c r="OM224" s="182" t="e">
        <f t="shared" ca="1" si="812"/>
        <v>#N/A</v>
      </c>
      <c r="ON224" s="177">
        <f>Control!$C$128</f>
        <v>0.35</v>
      </c>
      <c r="OO224" s="182" t="e">
        <f t="shared" ca="1" si="813"/>
        <v>#N/A</v>
      </c>
      <c r="OP224" s="138">
        <f t="shared" ca="1" si="895"/>
        <v>0</v>
      </c>
      <c r="OQ224" s="138" t="e">
        <f t="shared" ca="1" si="918"/>
        <v>#DIV/0!</v>
      </c>
      <c r="OR224" s="138" t="e">
        <f t="shared" ca="1" si="896"/>
        <v>#DIV/0!</v>
      </c>
      <c r="OS224" s="137" t="e">
        <f t="shared" ca="1" si="919"/>
        <v>#DIV/0!</v>
      </c>
      <c r="OT224" s="139" t="e">
        <f t="shared" ca="1" si="920"/>
        <v>#DIV/0!</v>
      </c>
      <c r="OU224" s="138" t="e">
        <f t="shared" ca="1" si="921"/>
        <v>#N/A</v>
      </c>
      <c r="OV224" s="138" t="e">
        <f t="shared" ca="1" si="922"/>
        <v>#DIV/0!</v>
      </c>
      <c r="OW224" s="138" t="e">
        <f t="shared" ca="1" si="897"/>
        <v>#DIV/0!</v>
      </c>
      <c r="OX224" s="138" t="e">
        <f t="shared" ca="1" si="898"/>
        <v>#DIV/0!</v>
      </c>
      <c r="OY224" s="138" t="e">
        <f t="shared" ca="1" si="899"/>
        <v>#DIV/0!</v>
      </c>
      <c r="OZ224" s="138" t="e">
        <f t="shared" ca="1" si="814"/>
        <v>#DIV/0!</v>
      </c>
      <c r="PA224" s="138" t="e">
        <f t="shared" ca="1" si="815"/>
        <v>#DIV/0!</v>
      </c>
      <c r="PB224" s="55">
        <f>IF(Control!$C$61="T", IF(Control!$C$65="F", IF($AH$6-Control!$C$60&lt;0,0,1), IF(365+$AH$6-Control!$C$60&lt;0,0,1)),0)</f>
        <v>0</v>
      </c>
      <c r="PC224" s="55">
        <f ca="1">IF(Control!$C$65="F", IF($AH$6-$HF224&lt;0,0,1), IF(365+$AH$6-$HF224&lt;0,0,1))</f>
        <v>1</v>
      </c>
      <c r="PD224" s="444">
        <f>Control!$C$118</f>
        <v>1500</v>
      </c>
      <c r="PE224" s="180" t="e">
        <f t="shared" ca="1" si="816"/>
        <v>#N/A</v>
      </c>
      <c r="PF224" s="445">
        <f t="shared" ca="1" si="900"/>
        <v>0.71612369323045078</v>
      </c>
      <c r="PT224" s="186"/>
      <c r="PU224" s="186"/>
      <c r="PV224" s="94"/>
      <c r="PW224" s="94"/>
      <c r="PX224" s="94"/>
      <c r="PY224" s="94"/>
      <c r="PZ224" s="94"/>
      <c r="QA224" s="94"/>
      <c r="QB224" s="94"/>
      <c r="QC224" s="94"/>
      <c r="QD224" s="94"/>
      <c r="QE224" s="94"/>
      <c r="QF224" s="94"/>
      <c r="QG224" s="94"/>
      <c r="QH224" s="94"/>
      <c r="QI224" s="94"/>
      <c r="QJ224" s="94"/>
      <c r="QK224" s="94"/>
      <c r="QL224" s="94"/>
      <c r="QM224" s="94"/>
      <c r="QN224" s="94"/>
      <c r="QO224" s="94"/>
      <c r="QP224" s="94"/>
    </row>
    <row r="225" spans="1:458" s="2" customFormat="1" x14ac:dyDescent="0.2">
      <c r="A225" s="395">
        <v>8</v>
      </c>
      <c r="B225" s="396">
        <v>8</v>
      </c>
      <c r="C225" s="387">
        <f ca="1">Weather_data!$B224</f>
        <v>0</v>
      </c>
      <c r="D225" s="388">
        <f ca="1">Weather_data!$F224</f>
        <v>0</v>
      </c>
      <c r="E225" s="388">
        <f ca="1">Weather_data!$E224</f>
        <v>0</v>
      </c>
      <c r="F225" s="388">
        <f t="shared" ca="1" si="817"/>
        <v>0</v>
      </c>
      <c r="G225" s="388">
        <f ca="1">AVERAGE($D225:$E225)+Control!$B$9</f>
        <v>0</v>
      </c>
      <c r="H225" s="388">
        <f ca="1">Weather_data!$G224</f>
        <v>0</v>
      </c>
      <c r="I225" s="388">
        <f ca="1">Weather_data!$I224</f>
        <v>0</v>
      </c>
      <c r="J225" s="388">
        <f ca="1">Weather_data!$H224</f>
        <v>0</v>
      </c>
      <c r="K225" s="389">
        <f ca="1">Weather_data!$D224</f>
        <v>0</v>
      </c>
      <c r="L225" s="388" t="e">
        <f t="shared" ca="1" si="818"/>
        <v>#N/A</v>
      </c>
      <c r="M225" s="388" t="e">
        <f t="shared" ca="1" si="696"/>
        <v>#N/A</v>
      </c>
      <c r="N225" s="388">
        <f t="shared" ca="1" si="697"/>
        <v>-4.765182866122948E-11</v>
      </c>
      <c r="O225" s="388">
        <f t="shared" ca="1" si="819"/>
        <v>4.7651828661229479E-10</v>
      </c>
      <c r="P225" s="390">
        <v>3</v>
      </c>
      <c r="Q225" s="388">
        <f ca="1">MAX($G225-Control!$C$107,0)</f>
        <v>0</v>
      </c>
      <c r="R225" s="388">
        <f t="shared" ca="1" si="820"/>
        <v>0</v>
      </c>
      <c r="S225" s="388">
        <f t="shared" ca="1" si="698"/>
        <v>0</v>
      </c>
      <c r="T225" s="388">
        <f t="shared" ca="1" si="699"/>
        <v>0</v>
      </c>
      <c r="U225" s="59">
        <f t="shared" ca="1" si="700"/>
        <v>0</v>
      </c>
      <c r="V225" s="391">
        <f ca="1">MAX(0,MIN(Control!$C$100-Control!$C$99,$G225-Control!$C$99)*Control!$C$63)</f>
        <v>0</v>
      </c>
      <c r="W225" s="388">
        <f t="shared" ca="1" si="821"/>
        <v>0</v>
      </c>
      <c r="X225" s="388">
        <f t="shared" ca="1" si="822"/>
        <v>0.6110000000000001</v>
      </c>
      <c r="Y225" s="388">
        <f t="shared" ca="1" si="701"/>
        <v>0</v>
      </c>
      <c r="Z225" s="388">
        <f t="shared" ca="1" si="823"/>
        <v>0.61058800000000002</v>
      </c>
      <c r="AA225" s="388">
        <f t="shared" ca="1" si="702"/>
        <v>0.6018</v>
      </c>
      <c r="AB225" s="388">
        <f ca="1">101.3*EXP(-0.034*Control!$C$66/($G225+273))</f>
        <v>100.69623283836242</v>
      </c>
      <c r="AC225" s="392">
        <f t="shared" ca="1" si="703"/>
        <v>4.3460251046025113E-2</v>
      </c>
      <c r="AD225" s="392">
        <f t="shared" ca="1" si="704"/>
        <v>4.4450382862832649E-2</v>
      </c>
      <c r="AE225" s="388">
        <f t="shared" ca="1" si="705"/>
        <v>0</v>
      </c>
      <c r="AF225" s="388">
        <f ca="1">MAX(0,$G225-Control!$C$92)</f>
        <v>0</v>
      </c>
      <c r="AG225" s="393">
        <f t="shared" ca="1" si="706"/>
        <v>221</v>
      </c>
      <c r="AH225" s="389">
        <f t="shared" ca="1" si="707"/>
        <v>221</v>
      </c>
      <c r="AI225" s="388">
        <f t="shared" ca="1" si="824"/>
        <v>0.27040820224384782</v>
      </c>
      <c r="AJ225" s="388">
        <f ca="1">IF(Control!$C$60&lt;=0,$HH225,$HI225)</f>
        <v>1</v>
      </c>
      <c r="AK225" s="388">
        <f t="shared" ca="1" si="708"/>
        <v>2.4272030912666347</v>
      </c>
      <c r="AL225" s="388">
        <f t="shared" ca="1" si="709"/>
        <v>2.7047687006787059E-18</v>
      </c>
      <c r="AM225" s="388">
        <f t="shared" ca="1" si="710"/>
        <v>2.4272030912666347</v>
      </c>
      <c r="AN225" s="388">
        <f t="shared" ca="1" si="711"/>
        <v>0.26366558237084109</v>
      </c>
      <c r="AO225" s="388">
        <f ca="1">-0.10453/COS(Control!$B$8*PI()/180)*COS(AN225)</f>
        <v>-0.16391729251503184</v>
      </c>
      <c r="AP225" s="388">
        <f ca="1">ACOS(AO225-TAN(Control!$B$8*PI()/180)*TAN(AN225))</f>
        <v>2.1053279089638677</v>
      </c>
      <c r="AQ225" s="388">
        <f t="shared" ca="1" si="825"/>
        <v>0</v>
      </c>
      <c r="AR225" s="394">
        <f t="shared" ca="1" si="712"/>
        <v>0</v>
      </c>
      <c r="AS225" s="436">
        <f ca="1">IF(Control!$B$18=2,(IF(OR($AH225=Control!$B$175,$AH225=Control!$B$176,$AH225=Control!$B$177,$AH225=Control!$B$178,$AH225=Control!$B$179,$AH225=Control!$B$180,$AH225=Control!$B$181,$AH225=Control!$B$182,$AH225=Control!$B$183,$AH225=Control!$B$184,$AH225=Control!$B$185),1,0)),0)</f>
        <v>0</v>
      </c>
      <c r="AT225" s="436">
        <f>IF(Control!$B$20=8,IF(AND($AH225&gt;=Control!$B$172,$AH225&lt;=Control!$B$173),1,0),0)</f>
        <v>0</v>
      </c>
      <c r="AU225" s="436">
        <f>IF(Control!$B$20=8,IF($AV224=1,1*$AT225,IF($AT225=1,$AU224+1,$AU224)),0)</f>
        <v>0</v>
      </c>
      <c r="AV225" s="436">
        <f>IF(Control!$B$20=8,IF($AU225&gt;=Control!$B$174,1,0),0)</f>
        <v>0</v>
      </c>
      <c r="AW225" s="436">
        <f ca="1">IF(AND(Control!$B$18=2,Control!$B$171=1), $AV225, $AS225)</f>
        <v>0</v>
      </c>
      <c r="AX225" s="436" t="e">
        <f ca="1">IF(AND(Control!$B$18=1,$EU225&gt;=Control!$B$19),-$AY225,IF(AND(Control!$B$18=2,$AW225=1,$EU225&gt;$DS225),-$AY225, IF(Control!$C$108=0,0, IF(Control!$C$108&lt;&gt;0,1))))</f>
        <v>#N/A</v>
      </c>
      <c r="AY225" s="436" t="e">
        <f t="shared" ca="1" si="826"/>
        <v>#N/A</v>
      </c>
      <c r="AZ225" s="436" t="e">
        <f ca="1">IF(AND(Control!$B$18=1,$EB225&gt;Control!$B$19),$AZ224+1, IF(AND(Control!$B$18=2, $AW225=1, $EB225&gt;$DS225), $AZ224+1,$AZ224))</f>
        <v>#N/A</v>
      </c>
      <c r="BA225" s="587">
        <f>IF(Control!$C$81=0,1,IF($AH225&gt;=Control!$C$82,1,0))</f>
        <v>1</v>
      </c>
      <c r="BB225" s="140" t="e">
        <f ca="1">IF($BA225&gt;$BA224,Control!$C$83,IF($AW225&gt;0,$AW225*Control!$C$84,IF(AND(Control!$B$18=1,EN224&lt;&gt;0),Control!$C$84,0)))</f>
        <v>#N/A</v>
      </c>
      <c r="BC225" s="140" t="e">
        <f t="shared" ca="1" si="827"/>
        <v>#N/A</v>
      </c>
      <c r="BD225" s="140" t="e">
        <f ca="1">BC225*IF(OR($G225&lt;Control!$C$92,$G225&gt;Control!$C$95),0,IF(AND($G225&gt;=Control!$C$92,$G225&lt;=Control!$C$93),$G225-Control!$C$92,IF(AND($G225&gt;Control!$C$93,$G225&lt;=Control!$C$94),Control!$C$93-Control!$C$92,IF(AND($G225&gt;Control!$C$94,$G225&lt;=Control!$C$95),(Control!$C$93-Control!$C$92)*(Control!$C$94-$G225)/(Control!$C$95-Control!$C$94)))))</f>
        <v>#N/A</v>
      </c>
      <c r="BE225" s="140" t="e">
        <f t="shared" ca="1" si="828"/>
        <v>#N/A</v>
      </c>
      <c r="BF225" s="140" t="e">
        <f ca="1">IF($BE225&lt;=Control!$C$86,$BE225,Control!$C$86-$BE225)</f>
        <v>#N/A</v>
      </c>
      <c r="BG225" s="140" t="e">
        <f ca="1">IF(AND($AW225=1,Control!$C$84&lt;9),1,IF($BE225&gt;=Control!$C$86,0,$BC225))</f>
        <v>#N/A</v>
      </c>
      <c r="BH225" s="404" t="e">
        <f ca="1">IF($BG225=0,0,IF($BE225&lt;=Control!$C$86,$BC225*9*($BF225/Control!$C$86),0))</f>
        <v>#N/A</v>
      </c>
      <c r="BI225" s="140" t="e">
        <f ca="1">IF($BG225=1,0,IF($BE225&gt;=Control!$C$86,1,IF(AND($BB225&lt;21,$BB225&gt;=9),1,$BM224)))</f>
        <v>#N/A</v>
      </c>
      <c r="BJ225" s="140" t="e">
        <f ca="1">IF($BF225&lt;0,-$BF225,$BI225*IF(OR($G225&lt;Control!$C$92,$G225&gt;Control!$C$95),0,IF(AND($G225&gt;=Control!$C$92,$G225&lt;=Control!$C$93),$G225-Control!$C$92,IF(AND($G225&gt;Control!$C$93,$G225&lt;=Control!$C$94),Control!$C$93-Control!$C$92,IF(AND($G225&gt;Control!$C$94,$G225&lt;=Control!$C$95),(Control!$C$93-Control!$C$92)*(Control!$C$94-$G225)/(Control!$C$95-Control!$C$94))))))</f>
        <v>#N/A</v>
      </c>
      <c r="BK225" s="140" t="e">
        <f t="shared" ca="1" si="829"/>
        <v>#N/A</v>
      </c>
      <c r="BL225" s="140" t="e">
        <f ca="1">IF($BK225&lt;=Control!$C$87,$BK225,Control!$C$87-$BK225)</f>
        <v>#N/A</v>
      </c>
      <c r="BM225" s="140" t="e">
        <f ca="1">IF(AND($BB225&gt;=9,$BB225&lt;21),1,IF($BK225&gt;=Control!$C$87,0,$BI225))</f>
        <v>#N/A</v>
      </c>
      <c r="BN225" s="404" t="e">
        <f ca="1">IF($BM225=0,0,IF($BK225&lt;=Control!$C$87,$BI225*(9+(21-9)*($BL225/Control!$C$87)),0))</f>
        <v>#N/A</v>
      </c>
      <c r="BO225" s="140" t="e">
        <f ca="1">IF($BM225=1,0,IF($BK225&gt;=Control!$C$87,1,IF(AND($BB225&lt;30,$BB225&gt;=21),1,$BS224)))</f>
        <v>#N/A</v>
      </c>
      <c r="BP225" s="140" t="e">
        <f ca="1">IF($BL225&lt;0,-$BL225,$BO225*IF(OR($G225&lt;Control!$C$92,$G225&gt;Control!$C$95),0,IF(AND($G225&gt;=Control!$C$92,$G225&lt;=Control!$C$93),$G225-Control!$C$92,IF(AND($G225&gt;Control!$C$93,$G225&lt;=Control!$C$94),Control!$C$93-Control!$C$92,IF(AND($G225&gt;Control!$C$94,$G225&lt;=Control!$C$95),(Control!$C$93-Control!$C$92)*(Control!$C$94-$G225)/(Control!$C$95-Control!$C$94))))))</f>
        <v>#N/A</v>
      </c>
      <c r="BQ225" s="140" t="e">
        <f t="shared" ca="1" si="713"/>
        <v>#N/A</v>
      </c>
      <c r="BR225" s="140" t="e">
        <f ca="1">IF($BQ225&lt;=Control!$C$88,$BQ225,Control!$C$88-$BQ225)</f>
        <v>#N/A</v>
      </c>
      <c r="BS225" s="140" t="e">
        <f ca="1">IF(AND($BB225&gt;=21,$BB225&lt;30),1,IF($BQ225&gt;=Control!$C$88,0,$BO225))</f>
        <v>#N/A</v>
      </c>
      <c r="BT225" s="404" t="e">
        <f ca="1">IF($BS225=0,0,IF($BQ225&lt;=Control!$C$88,$BO225*(21+(30-21)*(BR225/Control!$C$88)),0))</f>
        <v>#N/A</v>
      </c>
      <c r="BU225" s="140" t="e">
        <f ca="1">IF(BG225+BM225+BS225=1,0,IF(OR(AND($BB225&lt;60,$BB225&gt;=30),$BQ225&gt;=Control!$C$88),1*$BA225,$BY224))</f>
        <v>#N/A</v>
      </c>
      <c r="BV225" s="140" t="e">
        <f ca="1">IF($BR225&lt;0,-$BR225,$BU225*IF(OR($G225&lt;Control!$C$92,$G225&gt;Control!$C$95),0,IF(AND($G225&gt;=Control!$C$92,$G225&lt;=Control!$C$93),$G225-Control!$C$92,IF(AND($G225&gt;Control!$C$93,$G225&lt;=Control!$C$94),Control!$C$93-Control!$C$92,IF(AND($G225&gt;Control!$C$94,$G225&lt;=Control!$C$95),(Control!$C$93-Control!$C$92)*(Control!$C$94-$G225)/(Control!$C$95-Control!$C$94))))))</f>
        <v>#N/A</v>
      </c>
      <c r="BW225" s="140" t="e">
        <f t="shared" ca="1" si="714"/>
        <v>#N/A</v>
      </c>
      <c r="BX225" s="140" t="e">
        <f ca="1">IF($BW225&lt;=Control!$C$89,$BW225,Control!$C$89-$BW225)</f>
        <v>#N/A</v>
      </c>
      <c r="BY225" s="140" t="e">
        <f ca="1">IF(AND($AJ225&gt;=30,$AJ225&lt;60),1,IF($BW225&gt;=Control!$C$89,0,$BU225))</f>
        <v>#N/A</v>
      </c>
      <c r="BZ225" s="404" t="e">
        <f ca="1">IF($BY225=0,0,IF($BW225&lt;=Control!$C$89,$BU225*(30+(60-30)*(BX225/Control!$C$89)),0))</f>
        <v>#N/A</v>
      </c>
      <c r="CA225" s="140" t="e">
        <f ca="1">IF($BG225+$BM225+$BS225+$BY225=1,0,IF(OR(AND($BB225&lt;65,$BB225&gt;=60),$BW225&gt;=Control!$C$89),1*$BA225,$CE224))</f>
        <v>#N/A</v>
      </c>
      <c r="CB225" s="140" t="e">
        <f ca="1">IF($BX225&lt;0,-$BX225,$CA225*IF(OR($G225&lt;Control!$C$92,$G225&gt;Control!$C$95),0,IF(AND($G225&gt;=Control!$C$92,$G225&lt;=Control!$C$93),$G225-Control!$C$92,IF(AND($G225&gt;Control!$C$93,$G225&lt;=Control!$C$94),Control!$C$93-Control!$C$92,IF(AND($G225&gt;Control!$C$94,$G225&lt;=Control!$C$95),(Control!$C$93-Control!$C$92)*(Control!$C$94-$G225)/(Control!$C$95-Control!$C$94))))))</f>
        <v>#N/A</v>
      </c>
      <c r="CC225" s="140" t="e">
        <f t="shared" ca="1" si="830"/>
        <v>#N/A</v>
      </c>
      <c r="CD225" s="140" t="e">
        <f ca="1">IF($CC225&lt;=Control!$C$90,$CC225,Control!$C$90-$CC225)</f>
        <v>#N/A</v>
      </c>
      <c r="CE225" s="140" t="e">
        <f ca="1">IF(AND($BB225&gt;=60,$BB225&lt;65),1,IF($CC225&gt;=Control!$C$90,0,$CA225))</f>
        <v>#N/A</v>
      </c>
      <c r="CF225" s="404" t="e">
        <f ca="1">IF($CE225=0,0,IF($CC225&lt;=Control!$C$90,$CA225*(60+(65-60)*(CD225/Control!$C$90)),0))</f>
        <v>#N/A</v>
      </c>
      <c r="CG225" s="140" t="e">
        <f ca="1">IF($BG225+$BM225+$BS225+$BY225+$CE225=1,0,IF(OR(AND($BB225&lt;90,$BB225&gt;=65),$CC225&gt;=Control!$C$90),$BA225,$CK224))</f>
        <v>#N/A</v>
      </c>
      <c r="CH225" s="140" t="e">
        <f ca="1">IF($CD225&lt;0,-$CD225,$CG225*IF(OR($G225&lt;Control!$C$92,$G225&gt;Control!$C$95),0,IF(AND($G225&gt;=Control!$C$92,$G225&lt;=Control!$C$93),$G225-Control!$C$92,IF(AND($G225&gt;Control!$C$93,$G225&lt;=Control!$C$94),Control!$C$93-Control!$C$92,IF(AND($G225&gt;Control!$C$94,$G225&lt;=Control!$C$95),(Control!$C$93-Control!$C$92)*(Control!$C$94-$G225)/(Control!$C$95-Control!$C$94))))))</f>
        <v>#N/A</v>
      </c>
      <c r="CI225" s="140" t="e">
        <f t="shared" ca="1" si="831"/>
        <v>#N/A</v>
      </c>
      <c r="CJ225" s="140" t="e">
        <f ca="1">IF($CI225&lt;=Control!$C$91,$CI225,Control!$C$91-$CI225)</f>
        <v>#N/A</v>
      </c>
      <c r="CK225" s="140" t="e">
        <f ca="1">IF(AND($BB225&gt;=65,$BB225&lt;90),1,IF($CI225&gt;=Control!$C$91,0,$CG225))</f>
        <v>#N/A</v>
      </c>
      <c r="CL225" s="404" t="e">
        <f ca="1">IF($CK225=0,0,IF($CI225&lt;=Control!$C$91,$CG225*(65+(90-65)*($CJ225/Control!$C$91)),0))</f>
        <v>#N/A</v>
      </c>
      <c r="CM225" s="140" t="e">
        <f ca="1">IF($BG225+$BM225+$BS225+$BY225+$CE225+$CK225=1,0,IF(OR($BB225&gt;=90,$CI225&gt;=Control!$C$91),$BA225,$CM224))</f>
        <v>#N/A</v>
      </c>
      <c r="CN225" s="140" t="e">
        <f t="shared" ca="1" si="832"/>
        <v>#N/A</v>
      </c>
      <c r="CO225" s="140" t="e">
        <f t="shared" ca="1" si="833"/>
        <v>#N/A</v>
      </c>
      <c r="CP225" s="140" t="e">
        <f t="shared" ca="1" si="834"/>
        <v>#N/A</v>
      </c>
      <c r="CQ225" s="141" t="e">
        <f ca="1">VLOOKUP($CP225,Control!$B$86:$G$91,6)</f>
        <v>#N/A</v>
      </c>
      <c r="CR225" s="141" t="e">
        <f ca="1">(1-$CQ225)*VLOOKUP($CP225,Control!$B$86:$D$91,3)</f>
        <v>#N/A</v>
      </c>
      <c r="CS225" s="141" t="e">
        <f ca="1">(1-$CQ225)*VLOOKUP($CP225,Control!$B$86:$E$91,4)</f>
        <v>#N/A</v>
      </c>
      <c r="CT225" s="141" t="e">
        <f ca="1">(1-$CQ225)*VLOOKUP($CP225,Control!$B$86:$F$91,5)</f>
        <v>#N/A</v>
      </c>
      <c r="CU225" s="141">
        <f t="shared" ca="1" si="835"/>
        <v>0</v>
      </c>
      <c r="CV225" s="583">
        <f t="shared" ca="1" si="836"/>
        <v>0</v>
      </c>
      <c r="CW225" s="142">
        <f t="shared" ca="1" si="837"/>
        <v>221</v>
      </c>
      <c r="CX225" s="612" t="e">
        <f ca="1">IF(Control!$C$114=1,(MIN(Control!$C$120*(IF($NT225-0.01&lt;0,0,1)),Control!$C$119-$CY225)))</f>
        <v>#DIV/0!</v>
      </c>
      <c r="CY225" s="143" t="e">
        <f t="shared" ca="1" si="838"/>
        <v>#N/A</v>
      </c>
      <c r="CZ225" s="144">
        <f t="shared" ca="1" si="715"/>
        <v>0</v>
      </c>
      <c r="DA225" s="144">
        <f t="shared" ca="1" si="716"/>
        <v>0</v>
      </c>
      <c r="DB225" s="144" t="e">
        <f t="shared" ca="1" si="717"/>
        <v>#N/A</v>
      </c>
      <c r="DC225" s="144" t="e">
        <f t="shared" ca="1" si="718"/>
        <v>#N/A</v>
      </c>
      <c r="DD225" s="144" t="e">
        <f t="shared" ca="1" si="923"/>
        <v>#N/A</v>
      </c>
      <c r="DE225" s="143" t="e">
        <f t="shared" ca="1" si="839"/>
        <v>#N/A</v>
      </c>
      <c r="DF225" s="145" t="e">
        <f ca="1">$DR225*EXP(-Control!$C$158*(1-$KH225))</f>
        <v>#N/A</v>
      </c>
      <c r="DG225" s="146" t="e">
        <f ca="1">IF(Control!$C$114=1, $DF225*$EY225, 0)</f>
        <v>#N/A</v>
      </c>
      <c r="DH225" s="147" t="e">
        <f t="shared" ca="1" si="840"/>
        <v>#N/A</v>
      </c>
      <c r="DI225" s="144" t="e">
        <f t="shared" ca="1" si="901"/>
        <v>#N/A</v>
      </c>
      <c r="DJ225" s="147" t="e">
        <f ca="1">$EF225*Control!$C$109</f>
        <v>#N/A</v>
      </c>
      <c r="DK225" s="144" t="e">
        <f t="shared" ca="1" si="841"/>
        <v>#N/A</v>
      </c>
      <c r="DL225" s="144" t="e">
        <f t="shared" ca="1" si="719"/>
        <v>#N/A</v>
      </c>
      <c r="DM225" s="144" t="e">
        <f ca="1">IF(Control!$C$114=1, (1-EXP(-Control!$C$96*$DK225))*$AR225, 0)</f>
        <v>#N/A</v>
      </c>
      <c r="DN225" s="144">
        <f t="shared" ca="1" si="842"/>
        <v>0</v>
      </c>
      <c r="DO225" s="148">
        <f>Control!$C$97</f>
        <v>4</v>
      </c>
      <c r="DP225" s="145" t="e">
        <f t="shared" ca="1" si="843"/>
        <v>#N/A</v>
      </c>
      <c r="DQ225" s="145" t="e">
        <f ca="1">IF(AND($CP225&gt;=0,$CP225&lt;=90),Control!$C$111,Control!$C$111)</f>
        <v>#N/A</v>
      </c>
      <c r="DR225" s="145" t="e">
        <f t="shared" ca="1" si="720"/>
        <v>#N/A</v>
      </c>
      <c r="DS225" s="143" t="e">
        <f ca="1">Control!$B$22/$DR225</f>
        <v>#N/A</v>
      </c>
      <c r="DT225" s="149" t="e">
        <f ca="1">IF(AND(Control!$C$114=1,$KH225&lt;1),$IM225*$DF225, 0)</f>
        <v>#N/A</v>
      </c>
      <c r="DU225" s="144" t="e">
        <f t="shared" ca="1" si="844"/>
        <v>#N/A</v>
      </c>
      <c r="DV225" s="144">
        <f ca="1">IF($G225-Control!$C$107&lt;=0, 0, 0.83*LN(MAX($G225, 3))-0.8924)</f>
        <v>0</v>
      </c>
      <c r="DW225" s="144" t="e">
        <f t="shared" ca="1" si="721"/>
        <v>#N/A</v>
      </c>
      <c r="DX225" s="150" t="e">
        <f ca="1">MAX(0.01*(1+$CU225/Control!$C$102),0.05*($DK225-Control!$C$97)/Control!$C$97)</f>
        <v>#N/A</v>
      </c>
      <c r="DY225" s="151" t="e">
        <f ca="1">IF(Control!$C$114=1, $DI225*$FS225, 0)</f>
        <v>#N/A</v>
      </c>
      <c r="DZ225" s="196" t="e">
        <f t="shared" ca="1" si="845"/>
        <v>#N/A</v>
      </c>
      <c r="EA225" s="152">
        <f t="shared" ca="1" si="846"/>
        <v>221</v>
      </c>
      <c r="EB225" s="153" t="e">
        <f t="shared" ca="1" si="847"/>
        <v>#N/A</v>
      </c>
      <c r="EC225" s="153" t="e">
        <f t="shared" ca="1" si="848"/>
        <v>#N/A</v>
      </c>
      <c r="ED225" s="154" t="e">
        <f ca="1">IF(Control!$C$114=1, $HM225*$FY225-$FD225, 0)</f>
        <v>#DIV/0!</v>
      </c>
      <c r="EE225" s="155" t="e">
        <f ca="1">IF(Control!$C$114=1, $HM225*$FZ225-$FF225, 0)</f>
        <v>#DIV/0!</v>
      </c>
      <c r="EF225" s="153" t="e">
        <f t="shared" ca="1" si="902"/>
        <v>#N/A</v>
      </c>
      <c r="EG225" s="155" t="e">
        <f ca="1">IF(Control!$C$114=1, $GX225*$FW225-$FI225, 0)</f>
        <v>#DIV/0!</v>
      </c>
      <c r="EH225" s="153" t="e">
        <f t="shared" ca="1" si="849"/>
        <v>#N/A</v>
      </c>
      <c r="EI225" s="156" t="e">
        <f t="shared" ca="1" si="850"/>
        <v>#N/A</v>
      </c>
      <c r="EJ225" s="155" t="e">
        <f ca="1">IF(Control!$C$114=1, $HM225*$GB225, 0)</f>
        <v>#DIV/0!</v>
      </c>
      <c r="EK225" s="153" t="e">
        <f t="shared" ca="1" si="903"/>
        <v>#N/A</v>
      </c>
      <c r="EL225" s="153" t="e">
        <f t="shared" ca="1" si="722"/>
        <v>#N/A</v>
      </c>
      <c r="EM225" s="153" t="e">
        <f t="shared" ca="1" si="723"/>
        <v>#N/A</v>
      </c>
      <c r="EN225" s="153" t="e">
        <f ca="1">IF(Control!$C$108=1,IF(AND(Control!$B$18=1,$EB225&gt;=Control!$B$19),$EB225-$DS225,IF(AND(Control!$B$18=2,$AW225=1,$EB225&gt;$DS225),$EB225-$DS225,0)))</f>
        <v>#N/A</v>
      </c>
      <c r="EO225" s="153" t="e">
        <f ca="1">IF(Control!$C$108=1,IF(AND(Control!$B$18=1,$EB225&gt;=Control!$B$19),$EF225,IF(AND(Control!$B$18=2,$AW225=1),$EF225,0)))</f>
        <v>#N/A</v>
      </c>
      <c r="EP225" s="153" t="e">
        <f ca="1">IF(Control!$C$108=1,IF(AND(Control!$B$18=1,$EB225&gt;=Control!$B$19),$EK225,IF(AND(Control!$B$18=2,$AW225=1),$EK225,0)))</f>
        <v>#N/A</v>
      </c>
      <c r="EQ225" s="153" t="e">
        <f t="shared" ca="1" si="851"/>
        <v>#N/A</v>
      </c>
      <c r="ER225" s="153" t="e">
        <f t="shared" ca="1" si="852"/>
        <v>#N/A</v>
      </c>
      <c r="ES225" s="153" t="e">
        <f t="shared" ca="1" si="904"/>
        <v>#N/A</v>
      </c>
      <c r="ET225" s="153" t="e">
        <f t="shared" ca="1" si="905"/>
        <v>#N/A</v>
      </c>
      <c r="EU225" s="153" t="e">
        <f t="shared" ca="1" si="853"/>
        <v>#N/A</v>
      </c>
      <c r="EV225" s="153" t="e">
        <f t="shared" ca="1" si="724"/>
        <v>#N/A</v>
      </c>
      <c r="EW225" s="153" t="e">
        <f t="shared" ca="1" si="725"/>
        <v>#N/A</v>
      </c>
      <c r="EX225" s="153" t="e">
        <f t="shared" ca="1" si="726"/>
        <v>#N/A</v>
      </c>
      <c r="EY225" s="157" t="e">
        <f t="shared" ca="1" si="727"/>
        <v>#DIV/0!</v>
      </c>
      <c r="EZ225" s="154" t="e">
        <f t="shared" ca="1" si="728"/>
        <v>#DIV/0!</v>
      </c>
      <c r="FA225" s="153" t="e">
        <f t="shared" ca="1" si="854"/>
        <v>#N/A</v>
      </c>
      <c r="FB225" s="153" t="e">
        <f t="shared" ca="1" si="729"/>
        <v>#N/A</v>
      </c>
      <c r="FC225" s="193" t="e">
        <f t="shared" ca="1" si="730"/>
        <v>#N/A</v>
      </c>
      <c r="FD225" s="158" t="e">
        <f t="shared" ca="1" si="855"/>
        <v>#N/A</v>
      </c>
      <c r="FE225" s="158" t="e">
        <f t="shared" ca="1" si="856"/>
        <v>#N/A</v>
      </c>
      <c r="FF225" s="159" t="e">
        <f t="shared" ca="1" si="731"/>
        <v>#N/A</v>
      </c>
      <c r="FG225" s="160" t="e">
        <f t="shared" ca="1" si="857"/>
        <v>#N/A</v>
      </c>
      <c r="FH225" s="158" t="e">
        <f t="shared" ca="1" si="858"/>
        <v>#N/A</v>
      </c>
      <c r="FI225" s="159" t="e">
        <f t="shared" ca="1" si="732"/>
        <v>#N/A</v>
      </c>
      <c r="FJ225" s="160" t="e">
        <f t="shared" ca="1" si="859"/>
        <v>#N/A</v>
      </c>
      <c r="FK225" s="160" t="e">
        <f t="shared" ca="1" si="733"/>
        <v>#N/A</v>
      </c>
      <c r="FL225" s="160" t="e">
        <f t="shared" ca="1" si="906"/>
        <v>#N/A</v>
      </c>
      <c r="FM225" s="160" t="e">
        <f t="shared" ca="1" si="734"/>
        <v>#N/A</v>
      </c>
      <c r="FN225" s="158">
        <f t="shared" ca="1" si="860"/>
        <v>0.01</v>
      </c>
      <c r="FO225" s="160">
        <f>Control!$C$101</f>
        <v>50</v>
      </c>
      <c r="FP225" s="150" t="e">
        <f t="shared" ca="1" si="735"/>
        <v>#N/A</v>
      </c>
      <c r="FQ225" s="150" t="e">
        <f ca="1">MAX(0,(Control!$C$112*(($DK225-Control!$C$97)/Control!$C$97)))</f>
        <v>#N/A</v>
      </c>
      <c r="FR225" s="150" t="e">
        <f ca="1">(1-$NT225)*Control!$C$113</f>
        <v>#DIV/0!</v>
      </c>
      <c r="FS225" s="198" t="e">
        <f t="shared" ca="1" si="736"/>
        <v>#N/A</v>
      </c>
      <c r="FT225" s="161">
        <f t="shared" ca="1" si="861"/>
        <v>221</v>
      </c>
      <c r="FU225" s="162" t="e">
        <f ca="1">IF(Control!$B$34=1,VLOOKUP($CP225,Control!$B$86:$G$91,6),Control!$B$35)</f>
        <v>#N/A</v>
      </c>
      <c r="FV225" s="162" t="e">
        <f t="shared" ca="1" si="737"/>
        <v>#DIV/0!</v>
      </c>
      <c r="FW225" s="162" t="e">
        <f ca="1">IF(Control!$B$31=1,$FU225*$FV225,  $FU225)</f>
        <v>#N/A</v>
      </c>
      <c r="FX225" s="162" t="e">
        <f ca="1">IF(Control!$B$34=1,VLOOKUP($CP225,Control!$B$86:$G$91,3),Control!$B$36)</f>
        <v>#N/A</v>
      </c>
      <c r="FY225" s="162" t="e">
        <f t="shared" ca="1" si="738"/>
        <v>#N/A</v>
      </c>
      <c r="FZ225" s="162" t="e">
        <f ca="1">IF(Control!$B$34=1,VLOOKUP($CP225,Control!$B$86:$G$91,4),Control!$B$37)</f>
        <v>#N/A</v>
      </c>
      <c r="GA225" s="162" t="e">
        <f t="shared" ca="1" si="739"/>
        <v>#N/A</v>
      </c>
      <c r="GB225" s="162" t="e">
        <f ca="1">IF(Control!$B$34=1,VLOOKUP($CP225,Control!$B$86:$G$91,5),Control!$B$38)</f>
        <v>#N/A</v>
      </c>
      <c r="GC225" s="162" t="e">
        <f t="shared" ca="1" si="862"/>
        <v>#N/A</v>
      </c>
      <c r="GD225" s="162">
        <f t="shared" ca="1" si="740"/>
        <v>1</v>
      </c>
      <c r="GE225" s="162">
        <f t="shared" ca="1" si="741"/>
        <v>1</v>
      </c>
      <c r="GF225" s="162">
        <f ca="1">IF(AND(Control!$C$104=1, Control!$C$62="F"),$GE225,1)</f>
        <v>1</v>
      </c>
      <c r="GG225" s="162" t="e">
        <f ca="1">IF(Control!$B$16=40,0,IF(AND(Control!$B$16&gt;40,Control!$B$16&lt;=360),(Control!$B$16-40)*((1-0)/(360-40)),IF(AND(Control!$B$16&gt;360,Control!$B$16&lt;=720),(1+(Control!$B$16-360)*((1.25-1)/(720-360))),IF(AND(Control!$B$16&gt;720,Control!$B$16&lt;=1000),(1.25+(Control!$B$16-720)*((1.35-1.25)/(1000-720))),IF(AND(Control!$B$16&gt;1000,Control!$B$16&lt;=2000),(1.35+(Control!$B$16-1000)*0))))))</f>
        <v>#N/A</v>
      </c>
      <c r="GH225" s="162" t="e">
        <f t="shared" ca="1" si="742"/>
        <v>#N/A</v>
      </c>
      <c r="GI225" s="162">
        <f t="shared" ca="1" si="863"/>
        <v>0</v>
      </c>
      <c r="GJ225" s="162">
        <f t="shared" ca="1" si="743"/>
        <v>0</v>
      </c>
      <c r="GK225" s="162">
        <f t="shared" ca="1" si="864"/>
        <v>1</v>
      </c>
      <c r="GL225" s="162">
        <f t="shared" ca="1" si="744"/>
        <v>1</v>
      </c>
      <c r="GM225" s="162" t="e">
        <f ca="1">MAX(0,MIN(1,1-Control!$C$156*(1.0001-$KH225)^2))</f>
        <v>#N/A</v>
      </c>
      <c r="GN225" s="162" t="e">
        <f ca="1">IF(Control!$B$26=1,$KU225,$KX225)</f>
        <v>#N/A</v>
      </c>
      <c r="GO225" s="162" t="e">
        <f ca="1">IF($CP225&lt;=60,Control!$C$105,IF($CP225&gt;=90,Control!$C$106,Control!$C$105+($CP225-60)*((Control!$C$106-Control!$C$105)/(90-60))))</f>
        <v>#N/A</v>
      </c>
      <c r="GP225" s="162" t="e">
        <f t="shared" ca="1" si="745"/>
        <v>#N/A</v>
      </c>
      <c r="GQ225" s="162" t="e">
        <f t="shared" ca="1" si="865"/>
        <v>#N/A</v>
      </c>
      <c r="GR225" s="163" t="e">
        <f t="shared" ca="1" si="746"/>
        <v>#DIV/0!</v>
      </c>
      <c r="GS225" s="162" t="e">
        <f t="shared" ca="1" si="747"/>
        <v>#DIV/0!</v>
      </c>
      <c r="GT225" s="164" t="e">
        <f t="shared" ca="1" si="866"/>
        <v>#N/A</v>
      </c>
      <c r="GU225" s="162" t="e">
        <f t="shared" ca="1" si="867"/>
        <v>#N/A</v>
      </c>
      <c r="GV225" s="162" t="e">
        <f t="shared" ca="1" si="748"/>
        <v>#N/A</v>
      </c>
      <c r="GW225" s="162" t="e">
        <f t="shared" ca="1" si="749"/>
        <v>#DIV/0!</v>
      </c>
      <c r="GX225" s="162" t="e">
        <f t="shared" ca="1" si="868"/>
        <v>#DIV/0!</v>
      </c>
      <c r="GY225" s="162" t="e">
        <f t="shared" ca="1" si="869"/>
        <v>#DIV/0!</v>
      </c>
      <c r="GZ225" s="165" t="e">
        <f t="shared" ca="1" si="750"/>
        <v>#N/A</v>
      </c>
      <c r="HA225" s="162" t="e">
        <f ca="1">IF(Control!$C$114=1, $DI225*$FS225, 0)</f>
        <v>#N/A</v>
      </c>
      <c r="HB225" s="162" t="e">
        <f ca="1">$FA225/Control!$C$64</f>
        <v>#N/A</v>
      </c>
      <c r="HC225" s="162" t="e">
        <f t="shared" ca="1" si="751"/>
        <v>#DIV/0!</v>
      </c>
      <c r="HD225" s="162">
        <f ca="1">-ASIN(SIN(23.45*Control!$C$139)*COS(2*Control!$C$138*($AH225+10)/365))</f>
        <v>0.27040820224384782</v>
      </c>
      <c r="HE225" s="165">
        <f t="shared" ca="1" si="870"/>
        <v>0</v>
      </c>
      <c r="HF225" s="166">
        <f ca="1">IF(AND(Control!$C$61="T",$HE225&gt;=Control!$C$103,Control!$C$114=0),$AH225,Control!$C$59)</f>
        <v>1</v>
      </c>
      <c r="HG225" s="166">
        <f ca="1">IF(AND(Control!$C$61="T",$HE225&gt;=Control!$C$103,Control!$C$114=0),$HF225,Control!$C$59)</f>
        <v>1</v>
      </c>
      <c r="HH225" s="165">
        <f ca="1">IF(AND(OR(Control!$C$60&lt;=0, $AH225= Control!$C$59, Control!$C$60 &gt;0, $AH225 = Control!$C$60)), Control!$C$59, IF(Control!$C$60&gt;0, 0))</f>
        <v>1</v>
      </c>
      <c r="HI225" s="165">
        <f ca="1">IF(AND(OR(Control!$C$60&lt;=0, $AH225= Control!$C$59, Control!$C$60 &gt;0, $AH225 = Control!$C$60)), Control!$C$60, IF(Control!$C$60&lt;=0, 0))</f>
        <v>0</v>
      </c>
      <c r="HJ225" s="166">
        <f ca="1">IF(AND(Control!$C$62="F",$CV225&gt;=Control!$C$102),$AH225,0)</f>
        <v>0</v>
      </c>
      <c r="HK225" s="165" t="e">
        <f t="shared" ca="1" si="907"/>
        <v>#N/A</v>
      </c>
      <c r="HL225" s="166">
        <f ca="1">IF(AND(Control!$C$61="T",$HE225&gt;=Control!$C$103,Control!$C$114=0),$HF225,0)</f>
        <v>0</v>
      </c>
      <c r="HM225" s="201" t="e">
        <f t="shared" ca="1" si="752"/>
        <v>#DIV/0!</v>
      </c>
      <c r="HN225" s="215">
        <f t="shared" ca="1" si="871"/>
        <v>221</v>
      </c>
      <c r="HO225" s="216" t="e">
        <f ca="1">IF(AND($CP225&gt;=0, $CP225&lt;=90), Control!$C$152, Control!$C$152)</f>
        <v>#N/A</v>
      </c>
      <c r="HP225" s="216" t="e">
        <f t="shared" ca="1" si="753"/>
        <v>#N/A</v>
      </c>
      <c r="HQ225" s="217" t="e">
        <f ca="1">IF(OR(Control!$B$26=1,Control!$B$26=2),$KV225,$KS225)</f>
        <v>#DIV/0!</v>
      </c>
      <c r="HR225" s="218" t="e">
        <f t="shared" ca="1" si="908"/>
        <v>#DIV/0!</v>
      </c>
      <c r="HS225" s="216" t="e">
        <f ca="1">Control!$C$154*$HP225</f>
        <v>#N/A</v>
      </c>
      <c r="HT225" s="216" t="e">
        <f ca="1">Control!$C$155*$HP225</f>
        <v>#N/A</v>
      </c>
      <c r="HU225" s="217" t="e">
        <f ca="1">Control!$C$161*$FI225</f>
        <v>#N/A</v>
      </c>
      <c r="HV225" s="218" t="e">
        <f t="shared" ca="1" si="872"/>
        <v>#N/A</v>
      </c>
      <c r="HW225" s="218" t="e">
        <f ca="1">Control!$C$160*$FF225+$IP225*$EO225</f>
        <v>#N/A</v>
      </c>
      <c r="HX225" s="218" t="e">
        <f t="shared" ca="1" si="909"/>
        <v>#N/A</v>
      </c>
      <c r="HY225" s="219" t="e">
        <f ca="1">IF(Control!$C$114=1, $EB225*$FS225, 0)</f>
        <v>#N/A</v>
      </c>
      <c r="HZ225" s="91" t="e">
        <f t="shared" ca="1" si="754"/>
        <v>#N/A</v>
      </c>
      <c r="IA225" s="220" t="e">
        <f ca="1">Control!$C$153*$HO225</f>
        <v>#N/A</v>
      </c>
      <c r="IB225" s="218" t="e">
        <f t="shared" ca="1" si="755"/>
        <v>#N/A</v>
      </c>
      <c r="IC225" s="220" t="e">
        <f ca="1">Control!$C$153*$HT225</f>
        <v>#N/A</v>
      </c>
      <c r="ID225" s="218" t="e">
        <f t="shared" ca="1" si="756"/>
        <v>#N/A</v>
      </c>
      <c r="IE225" s="221" t="e">
        <f ca="1">($EB225*Control!$C$159+$EF225*Control!$C$160)/(IF($GZ225&lt;&gt;0,$GZ225,1))</f>
        <v>#N/A</v>
      </c>
      <c r="IF225" s="216" t="e">
        <f t="shared" ca="1" si="757"/>
        <v>#N/A</v>
      </c>
      <c r="IG225" s="91">
        <f ca="1">IF(OR(Control!$B$198=$AH225,Control!$B$199=$AH225, Control!$B$200=$AH225, Control!$B$201=$AH225, Control!$B$202=$AH225, Control!$B$203=$AH225, Control!$B$204=$AH225, Control!$B$205=$AH225, Control!$B$206=$AH225, Control!$B$207=$AH225), 1, 0)</f>
        <v>0</v>
      </c>
      <c r="IH225" s="91">
        <f ca="1">IF($IG225=0,0, VLOOKUP($AH225,Control!$B$198:$C$207,2))</f>
        <v>0</v>
      </c>
      <c r="II225" s="222">
        <f t="shared" ca="1" si="873"/>
        <v>0</v>
      </c>
      <c r="IJ225" s="91">
        <f>Control!$C$121</f>
        <v>0.7</v>
      </c>
      <c r="IK225" s="218">
        <f t="shared" ca="1" si="758"/>
        <v>0</v>
      </c>
      <c r="IL225" s="217" t="e">
        <f t="shared" ca="1" si="910"/>
        <v>#N/A</v>
      </c>
      <c r="IM225" s="223" t="e">
        <f ca="1">IF(AND(Control!$C$114=1,$KH225&lt;1),$EB225*Control!$C$148*(1-$KH225), 0)</f>
        <v>#N/A</v>
      </c>
      <c r="IN225" s="217" t="e">
        <f t="shared" ca="1" si="759"/>
        <v>#DIV/0!</v>
      </c>
      <c r="IO225" s="91" t="e">
        <f ca="1">MAX(0,$IL225-$EF225*Control!$C$160)</f>
        <v>#N/A</v>
      </c>
      <c r="IP225" s="220" t="e">
        <f t="shared" ca="1" si="760"/>
        <v>#N/A</v>
      </c>
      <c r="IQ225" s="217" t="e">
        <f t="shared" ca="1" si="874"/>
        <v>#N/A</v>
      </c>
      <c r="IR225" s="218" t="e">
        <f t="shared" ca="1" si="761"/>
        <v>#N/A</v>
      </c>
      <c r="IS225" s="217" t="e">
        <f ca="1">Control!$C$159*MAX(0,$FD225-$EN225)</f>
        <v>#N/A</v>
      </c>
      <c r="IT225" s="217" t="e">
        <f t="shared" ca="1" si="911"/>
        <v>#N/A</v>
      </c>
      <c r="IU225" s="217" t="e">
        <f t="shared" ca="1" si="875"/>
        <v>#N/A</v>
      </c>
      <c r="IV225" s="217" t="e">
        <f t="shared" ca="1" si="912"/>
        <v>#N/A</v>
      </c>
      <c r="IW225" s="217" t="e">
        <f ca="1">IF(OR($AW225=1,AND($AW225=0, Control!$B$18=1,$EN225&lt;&gt;0)), $IQ225-$IU225, $IQ225)</f>
        <v>#N/A</v>
      </c>
      <c r="IX225" s="218" t="e">
        <f t="shared" ca="1" si="762"/>
        <v>#N/A</v>
      </c>
      <c r="IY225" s="218" t="e">
        <f ca="1">MAX(0,$IQ225-$EB225*Control!$C$159)</f>
        <v>#N/A</v>
      </c>
      <c r="IZ225" s="218" t="e">
        <f t="shared" ca="1" si="763"/>
        <v>#N/A</v>
      </c>
      <c r="JA225" s="216" t="e">
        <f t="shared" ca="1" si="764"/>
        <v>#N/A</v>
      </c>
      <c r="JB225" s="217" t="e">
        <f t="shared" ca="1" si="765"/>
        <v>#N/A</v>
      </c>
      <c r="JC225" s="222" t="e">
        <f ca="1">MAX(Control!$C$157*$EK225-$JT225, 0)/Control!$C$162</f>
        <v>#N/A</v>
      </c>
      <c r="JD225" s="218" t="e">
        <f t="shared" ca="1" si="766"/>
        <v>#N/A</v>
      </c>
      <c r="JE225" s="218" t="e">
        <f t="shared" ca="1" si="767"/>
        <v>#N/A</v>
      </c>
      <c r="JF225" s="218" t="e">
        <f t="shared" ca="1" si="876"/>
        <v>#N/A</v>
      </c>
      <c r="JG225" s="218" t="e">
        <f t="shared" ca="1" si="768"/>
        <v>#N/A</v>
      </c>
      <c r="JH225" s="217" t="e">
        <f t="shared" ca="1" si="877"/>
        <v>#N/A</v>
      </c>
      <c r="JI225" s="217" t="e">
        <f t="shared" ca="1" si="878"/>
        <v>#N/A</v>
      </c>
      <c r="JJ225" s="217" t="e">
        <f t="shared" ca="1" si="913"/>
        <v>#N/A</v>
      </c>
      <c r="JK225" s="217" t="e">
        <f ca="1">IF(Control!$C$114=1,IF(Control!$B$24=0,MAX(0,$JI225)*$GN225/Control!$C$64,(MAX(0,MIN($JI225,$JJ225*$GN225/Control!$C$64),0))))</f>
        <v>#N/A</v>
      </c>
      <c r="JL225" s="217" t="e">
        <f ca="1">$IK225/Control!$C$64-$JK225+$HQ225</f>
        <v>#N/A</v>
      </c>
      <c r="JM225" s="217" t="e">
        <f ca="1">IF(Control!$C$114=1,($JB225/(IF($JI225&lt;&gt;0,$JI225,1)))*$JK225,0)</f>
        <v>#N/A</v>
      </c>
      <c r="JN225" s="217" t="e">
        <f ca="1">IF(Control!$C$114=1,($JG225/(IF($JI225&lt;&gt;0,$JI225,1)))*$JK225, 0)</f>
        <v>#N/A</v>
      </c>
      <c r="JO225" s="218" t="e">
        <f t="shared" ca="1" si="769"/>
        <v>#N/A</v>
      </c>
      <c r="JP225" s="218" t="e">
        <f ca="1">MIN(($IY225+$IO225)*Control!$C$151, $JF225-$EH225*Control!$C$161)</f>
        <v>#N/A</v>
      </c>
      <c r="JQ225" s="218" t="e">
        <f t="shared" ca="1" si="770"/>
        <v>#N/A</v>
      </c>
      <c r="JR225" s="217" t="e">
        <f ca="1">IF($CP225-Control!$C$150&lt;0, 0, $JQ225/Control!$C$162)</f>
        <v>#N/A</v>
      </c>
      <c r="JS225" s="218" t="e">
        <f t="shared" ca="1" si="771"/>
        <v>#N/A</v>
      </c>
      <c r="JT225" s="218" t="e">
        <f t="shared" ca="1" si="879"/>
        <v>#N/A</v>
      </c>
      <c r="JU225" s="218" t="e">
        <f t="shared" ca="1" si="772"/>
        <v>#N/A</v>
      </c>
      <c r="JV225" s="218" t="e">
        <f t="shared" ca="1" si="773"/>
        <v>#N/A</v>
      </c>
      <c r="JW225" s="216" t="e">
        <f t="shared" ca="1" si="774"/>
        <v>#N/A</v>
      </c>
      <c r="JX225" s="91" t="e">
        <f t="shared" ca="1" si="775"/>
        <v>#N/A</v>
      </c>
      <c r="JY225" s="218" t="e">
        <f t="shared" ca="1" si="776"/>
        <v>#N/A</v>
      </c>
      <c r="JZ225" s="217" t="e">
        <f ca="1">IF(Control!$C$114=1,($IZ225/(IF($JI225&lt;&gt;0,$JI225,1)))*$JK225, 0)</f>
        <v>#N/A</v>
      </c>
      <c r="KA225" s="218" t="e">
        <f t="shared" ca="1" si="914"/>
        <v>#N/A</v>
      </c>
      <c r="KB225" s="218" t="e">
        <f t="shared" ca="1" si="880"/>
        <v>#N/A</v>
      </c>
      <c r="KC225" s="218" t="e">
        <f t="shared" ca="1" si="777"/>
        <v>#N/A</v>
      </c>
      <c r="KD225" s="218" t="e">
        <f t="shared" ca="1" si="778"/>
        <v>#N/A</v>
      </c>
      <c r="KE225" s="218" t="e">
        <f t="shared" ca="1" si="779"/>
        <v>#N/A</v>
      </c>
      <c r="KF225" s="218" t="e">
        <f t="shared" ca="1" si="780"/>
        <v>#N/A</v>
      </c>
      <c r="KG225" s="216" t="e">
        <f t="shared" ca="1" si="781"/>
        <v>#N/A</v>
      </c>
      <c r="KH225" s="221" t="e">
        <f ca="1">IF(Control!$B$24=0,1,MAX(0.001,MIN(1,IF(($IF225-$IE225)&lt;&gt;0,($KG225-$IE225)/($IF225-$IE225),1))))</f>
        <v>#N/A</v>
      </c>
      <c r="KI225" s="222" t="e">
        <f ca="1">IF(Control!$C$114=1, $KI224+ $KH224, 0)</f>
        <v>#N/A</v>
      </c>
      <c r="KJ225" s="217" t="e">
        <f t="shared" ca="1" si="782"/>
        <v>#N/A</v>
      </c>
      <c r="KK225" s="218" t="e">
        <f t="shared" ca="1" si="783"/>
        <v>#N/A</v>
      </c>
      <c r="KL225" s="274" t="e">
        <f ca="1">IF(Control!$B$26=3,4000000000*EXP(-8400/($G225+273)),IF(Control!$B$26=4,4000000000*EXP(-8400/($G225+273))*($KT225),0))</f>
        <v>#DIV/0!</v>
      </c>
      <c r="KM225" s="274" t="e">
        <f ca="1">IF(Control!$B$26=3,5600000000000*EXP(-9800/($G225+273)),IF(Control!$B$26=4,5600000000000*EXP(-9800/($G225+273))*$KT225,0))</f>
        <v>#DIV/0!</v>
      </c>
      <c r="KN225" s="454" t="e">
        <f t="shared" ca="1" si="881"/>
        <v>#DIV/0!</v>
      </c>
      <c r="KO225" s="274" t="e">
        <f t="shared" ca="1" si="882"/>
        <v>#DIV/0!</v>
      </c>
      <c r="KP225" s="454" t="e">
        <f t="shared" ca="1" si="784"/>
        <v>#DIV/0!</v>
      </c>
      <c r="KQ225" s="454" t="e">
        <f t="shared" ca="1" si="785"/>
        <v>#DIV/0!</v>
      </c>
      <c r="KR225" s="454" t="e">
        <f t="shared" ca="1" si="786"/>
        <v>#DIV/0!</v>
      </c>
      <c r="KS225" s="454" t="e">
        <f t="shared" ca="1" si="787"/>
        <v>#DIV/0!</v>
      </c>
      <c r="KT225" s="455" t="e">
        <f t="shared" ca="1" si="788"/>
        <v>#DIV/0!</v>
      </c>
      <c r="KU225" s="456" t="e">
        <f ca="1">IF($CP225-Control!$C$149&lt;0, IF($NT225-0.01&lt;0,0,1),0)</f>
        <v>#N/A</v>
      </c>
      <c r="KV225" s="456" t="e">
        <f ca="1">IF(Control!$C$114=1,MAX(0,MIN(Control!$C$125*$KW225*$GN225,$KW225)))</f>
        <v>#DIV/0!</v>
      </c>
      <c r="KW225" s="456" t="e">
        <f t="shared" ca="1" si="915"/>
        <v>#DIV/0!</v>
      </c>
      <c r="KX225" s="457" t="e">
        <f ca="1">IF($CP225-Control!$C$149&lt;0, IF($MR225-$OM225&lt;0,0,1),0)</f>
        <v>#N/A</v>
      </c>
      <c r="KY225" s="167">
        <f t="shared" ca="1" si="883"/>
        <v>221</v>
      </c>
      <c r="KZ225" s="168">
        <f ca="1">1370*(1+0.033*COS(2*Control!$C$138*$AH225/365))</f>
        <v>1334.3609758930804</v>
      </c>
      <c r="LA225" s="169">
        <f t="shared" ca="1" si="884"/>
        <v>0.97398593315759263</v>
      </c>
      <c r="LB225" s="169">
        <f t="shared" ca="1" si="885"/>
        <v>0.2719114494091775</v>
      </c>
      <c r="LC225" s="169">
        <f ca="1">ACOS(-TAN((2*Control!$B$8/360))*TAN(Calculations!$LB225))</f>
        <v>1.6537567663094077</v>
      </c>
      <c r="LD225" s="169">
        <f ca="1">((24*60)/PI())*0.082*$LA225*(($LC225*SIN(Control!$B$8*2*PI()/360))*SIN($LB225)+COS(Control!$B$8*2*PI()/360)*COS($LB225)*SIN($LC225))</f>
        <v>34.448402693350815</v>
      </c>
      <c r="LE225" s="170">
        <f t="shared" ca="1" si="789"/>
        <v>35.236320417377989</v>
      </c>
      <c r="LF225" s="170">
        <f ca="1">SIN(Control!$C$139*Control!$B$8)*SIN($HD225)</f>
        <v>0.21049758596788931</v>
      </c>
      <c r="LG225" s="170">
        <f ca="1">COS(Control!$C$139*Control!$B$8)*COS($HD225)</f>
        <v>0.59328791742723774</v>
      </c>
      <c r="LH225" s="170">
        <f ca="1">12*(1+2*ASIN(MAX(-1,MIN(1,$LF225/$LG225))/Control!$C$138))</f>
        <v>14.716248594326307</v>
      </c>
      <c r="LI225" s="170">
        <f ca="1">12*(1+2*ASIN(MAX(-1,MIN(1,(-SIN(-4*Control!$C$139)+$LF225)/$LG225))/Control!$C$138))</f>
        <v>15.622406703977971</v>
      </c>
      <c r="LJ225" s="168">
        <f ca="1">3600*($LH225*$LF225+24*$LG225*SQRT(1-$LK225*$LK225)/Control!$C$138)</f>
        <v>26406.887681794287</v>
      </c>
      <c r="LK225" s="170">
        <f t="shared" ca="1" si="790"/>
        <v>0.35479836987191843</v>
      </c>
      <c r="LL225" s="170">
        <f t="shared" ca="1" si="791"/>
        <v>0</v>
      </c>
      <c r="LM225" s="171">
        <f ca="1">Control!$C$145*$AB225</f>
        <v>6.6660906138995932E-2</v>
      </c>
      <c r="LN225" s="170">
        <f t="shared" ca="1" si="886"/>
        <v>0.54</v>
      </c>
      <c r="LO225" s="170">
        <f t="shared" ca="1" si="792"/>
        <v>0</v>
      </c>
      <c r="LP225" s="170">
        <f ca="1">Control!$C$140*((($D225+273.16)^4+($E225+273.16)^4)/2)*(0.34-0.14*SQRT($Y225))*(1.35*$AQ225/(0.75*$LD225)-0.35)</f>
        <v>-3.2464704755046001</v>
      </c>
      <c r="LQ225" s="170">
        <f ca="1">Control!$C$140*($G225+273)^4*(0.56-0.079*SQRT($Y225*10))*(0.1+0.9*$LO225)</f>
        <v>1.5241745131704001</v>
      </c>
      <c r="LR225" s="170">
        <f ca="1">$AQ225*(1-Control!$C$142)-$LQ225</f>
        <v>-1.5241745131704001</v>
      </c>
      <c r="LS225" s="170">
        <f ca="1">$AQ225*(1-Control!$C$143)-$LQ225</f>
        <v>-1.5241745131704001</v>
      </c>
      <c r="LT225" s="170">
        <f ca="1">$AQ225*(1-Control!$C$144)-$LQ225</f>
        <v>-1.5241745131704001</v>
      </c>
      <c r="LU225" s="169">
        <f ca="1">(1-Control!$C$144)*AQ225-LP225</f>
        <v>3.2464704755046001</v>
      </c>
      <c r="LV225" s="172">
        <f t="shared" ca="1" si="793"/>
        <v>0.79430000000000012</v>
      </c>
      <c r="LW225" s="170">
        <f t="shared" ca="1" si="794"/>
        <v>1.5886000000000002</v>
      </c>
      <c r="LX225" s="170">
        <f ca="1">($AC225*($LR225/Control!$C$141)+$LM225*$LV225)/($AC225+$LM225)</f>
        <v>0.23530094218323697</v>
      </c>
      <c r="LY225" s="170">
        <f ca="1">($AC225*($LS225/Control!$C$141)+$LM225*$LV225)/($AC225+$LM225)</f>
        <v>0.23530094218323697</v>
      </c>
      <c r="LZ225" s="170">
        <f t="shared" ca="1" si="795"/>
        <v>0.23530094218323697</v>
      </c>
      <c r="MA225" s="170">
        <f t="shared" ca="1" si="796"/>
        <v>0.23530094218323697</v>
      </c>
      <c r="MB225" s="170" t="e">
        <f t="shared" ca="1" si="797"/>
        <v>#N/A</v>
      </c>
      <c r="MC225" s="170">
        <f t="shared" ca="1" si="887"/>
        <v>0.6018</v>
      </c>
      <c r="MD225" s="170">
        <f t="shared" ca="1" si="798"/>
        <v>0.52989392535414004</v>
      </c>
      <c r="ME225" s="170">
        <f ca="1">($AC225*($LT225/Control!$C$141)+$LM225*$LW225)/($AC225+$LM225)</f>
        <v>0.71612369323045078</v>
      </c>
      <c r="MF225" s="170" t="e">
        <f ca="1">IF(Control!$B$16&gt;=1000,0.92,IF(AND(720&lt;=Control!$B$16,1000&gt;Control!$B$16),(0.95+(Control!$B$16-720)*((0.92-0.95)/(1000-720))),IF(AND(360&lt;=Control!$B$16,720&gt;Control!$B$16),(1+(Control!$B$16-360)*((0.95-1)/(720-360))),IF(AND(40&lt;=Control!$B$16,360&gt;Control!$B$16),(1.05+(Control!$B$16-40)*((1.05-1)/(360-40)))))))</f>
        <v>#N/A</v>
      </c>
      <c r="MG225" s="170">
        <f t="shared" ca="1" si="799"/>
        <v>0.71612369323045078</v>
      </c>
      <c r="MH225" s="170" t="e">
        <f t="shared" ca="1" si="924"/>
        <v>#N/A</v>
      </c>
      <c r="MI225" s="170" t="e">
        <f t="shared" ca="1" si="924"/>
        <v>#N/A</v>
      </c>
      <c r="MJ225" s="170" t="e">
        <f ca="1">MAX(0.0001, Control!$C$132*$MI225*$DL225)</f>
        <v>#N/A</v>
      </c>
      <c r="MK225" s="170">
        <f ca="1">1/(0.76+1.5*($MG225/10))-(5-Control!$C$110)*0.1</f>
        <v>1.002845988140797</v>
      </c>
      <c r="ML225" s="173">
        <f ca="1">IF(Control!$C$110&lt;3,$MK225+($MG225-0.6)/(Control!$C$110*(Control!$C$110+3)), MAX(0.1, MIN(0.95,$MK225)))</f>
        <v>0.95</v>
      </c>
      <c r="MM225" s="173">
        <f ca="1">IF(Control!$C$110&lt;3,$MK225+(($MI225/10)-0.6)/(Control!$C$110*(Control!$C$110+3)), MAX(0.1, MIN(0.95,$MK225)))</f>
        <v>0.95</v>
      </c>
      <c r="MN225" s="173">
        <f ca="1">(1-$MM225)*(Control!$C$128-Control!$C$127)+Control!$C$127</f>
        <v>0.16</v>
      </c>
      <c r="MO225" s="170" t="e">
        <f ca="1">MAX(0,MIN(1,($MS225-Control!$C$127)/($MN225-Control!$C$127)))</f>
        <v>#DIV/0!</v>
      </c>
      <c r="MP225" s="173" t="e">
        <f ca="1">1/(0.76+1.5*$MI225)-(5-Control!$C$110)*0.1</f>
        <v>#N/A</v>
      </c>
      <c r="MQ225" s="172" t="e">
        <f t="shared" ca="1" si="916"/>
        <v>#DIV/0!</v>
      </c>
      <c r="MR225" s="168" t="e">
        <f t="shared" ca="1" si="888"/>
        <v>#DIV/0!</v>
      </c>
      <c r="MS225" s="173" t="e">
        <f ca="1">MAX(Control!$C$127, MIN(Control!$C$135, $MR225/MAX(0.0001,$CY225)))</f>
        <v>#DIV/0!</v>
      </c>
      <c r="MT225" s="168" t="e">
        <f ca="1">(Control!$C$128-$MS225)*Control!$C$74</f>
        <v>#DIV/0!</v>
      </c>
      <c r="MU225" s="168" t="e">
        <f ca="1">(Control!$C$135-$MS225)*Control!$C$74</f>
        <v>#DIV/0!</v>
      </c>
      <c r="MV225" s="168" t="e">
        <f t="shared" ca="1" si="889"/>
        <v>#DIV/0!</v>
      </c>
      <c r="MW225" s="168" t="e">
        <f t="shared" ca="1" si="890"/>
        <v>#DIV/0!</v>
      </c>
      <c r="MX225" s="171" t="e">
        <f ca="1">MAX(Control!$C$127, MIN(Control!$C$135, $MW225/MAX(0.0001,Control!$C$119-$CY225)))</f>
        <v>#DIV/0!</v>
      </c>
      <c r="MY225" s="54" t="e">
        <f ca="1">IF(Control!$C$114=1, $CX225*$MX225, 0)</f>
        <v>#DIV/0!</v>
      </c>
      <c r="MZ225" s="54" t="e">
        <f t="shared" ca="1" si="891"/>
        <v>#N/A</v>
      </c>
      <c r="NA225" s="168" t="e">
        <f ca="1">(Control!$C$128-$MX225)*(Control!$C$119-Control!$C$74)</f>
        <v>#DIV/0!</v>
      </c>
      <c r="NB225" s="168" t="e">
        <f ca="1">(Control!$C$135-$MX225)*(Control!$C$119-Control!$C$74)</f>
        <v>#DIV/0!</v>
      </c>
      <c r="NC225" s="174" t="e">
        <f t="shared" ca="1" si="892"/>
        <v>#DIV/0!</v>
      </c>
      <c r="ND225" s="54">
        <f ca="1">IF(Control!$C$58=2, IF(OR(Control!$B$218=$AH225,Control!$B$219=$AH225, Control!$B$220=$AH225, Control!$B$221=$AH225, Control!$B$222=$AH225, Control!$B$223=$AH225, Control!$B$224=$AH225, Control!$B$225=$AH225, Control!$B$226=$AH225, Control!$B$227=$AH225, Control!$B$228=$AH225), 1, 0), 0)</f>
        <v>0</v>
      </c>
      <c r="NE225" s="54">
        <f ca="1">IF($ND225=0,0, VLOOKUP($AH225,Control!$B$218:$C$228,2))</f>
        <v>0</v>
      </c>
      <c r="NF225" s="168" t="e">
        <f ca="1">$CY225*(Control!$C$128-Control!$C$127)</f>
        <v>#N/A</v>
      </c>
      <c r="NG225" s="54" t="e">
        <f ca="1">IF(Control!$C$58=2, $NI224-$NJ224, 0)</f>
        <v>#DIV/0!</v>
      </c>
      <c r="NH225" s="54" t="e">
        <f ca="1">IF(AND(Control!$C$58=1, $MS224&lt;= ($MN224+0.02), $I224&lt;10), 0, IF(Control!$C$58=2, $NG224, 0))</f>
        <v>#DIV/0!</v>
      </c>
      <c r="NI225" s="54" t="e">
        <f ca="1">IF(Control!$C$58=2, $NE225+$NH225,0)</f>
        <v>#DIV/0!</v>
      </c>
      <c r="NJ225" s="54" t="e">
        <f ca="1">IF(AND(Control!$C$58=1, $MS225&lt;= ($MN225+0.02), $I225&lt;10), MAX(0, MIN(10, 0.7*($NF225-$MV225))), IF(Control!$C$58=2, MIN(10,$NI225),0))</f>
        <v>#DIV/0!</v>
      </c>
      <c r="NK225" s="54" t="e">
        <f t="shared" ca="1" si="800"/>
        <v>#DIV/0!</v>
      </c>
      <c r="NL225" s="173" t="e">
        <f ca="1">(1-Control!$C$73)*$I225+$NJ225</f>
        <v>#DIV/0!</v>
      </c>
      <c r="NM225" s="172" t="e">
        <f ca="1">IF($NL225&lt;0.5, $MB225* MAX(0, MIN(1, (SQRT($NC225)-SQRT($NC225-1))*Control!$C$71)),0)</f>
        <v>#DIV/0!</v>
      </c>
      <c r="NN225" s="170" t="e">
        <f ca="1">IF($NL225&gt;=5, $MB225, MAX(0,MIN($MB225, $NM225+$NL225,($MS225-Control!$C$129))))</f>
        <v>#DIV/0!</v>
      </c>
      <c r="NO225" s="54">
        <f>IF(Control!$C$133&lt;&gt;1, Control!$C$135-Control!$C$131, 0)</f>
        <v>0.38</v>
      </c>
      <c r="NP225" s="54" t="e">
        <f t="shared" ca="1" si="801"/>
        <v>#DIV/0!</v>
      </c>
      <c r="NQ225" s="173" t="e">
        <f ca="1">MAX(0,MIN(1,(Control!$C$135-$MS225)/(Control!$C$135-$NO225)))</f>
        <v>#DIV/0!</v>
      </c>
      <c r="NR225" s="170" t="e">
        <f ca="1">IF(Control!$C$133&lt;&gt;1, $NQ225+((1-$NP225/4)*(1-$NQ225)),1)</f>
        <v>#DIV/0!</v>
      </c>
      <c r="NS225" s="170" t="e">
        <f ca="1">IF(Control!$B$31=0,$MJ225,MAX(0,MIN($MV225,$MO225*$NR225*$MJ225)))</f>
        <v>#DIV/0!</v>
      </c>
      <c r="NT225" s="170" t="e">
        <f t="shared" ca="1" si="917"/>
        <v>#DIV/0!</v>
      </c>
      <c r="NU225" s="170" t="e">
        <f t="shared" ca="1" si="893"/>
        <v>#N/A</v>
      </c>
      <c r="NV225" s="170" t="e">
        <f t="shared" ca="1" si="802"/>
        <v>#N/A</v>
      </c>
      <c r="NW225" s="175" t="e">
        <f t="shared" ca="1" si="803"/>
        <v>#DIV/0!</v>
      </c>
      <c r="NX225" s="170" t="e">
        <f ca="1">MIN(Control!$C$72+$MU225, $NW225)</f>
        <v>#DIV/0!</v>
      </c>
      <c r="NY225" s="170" t="e">
        <f ca="1">IF($MT225&lt;=$NX225,MIN(Control!$C$72+$NB225,$NX225-$MT225),0)</f>
        <v>#DIV/0!</v>
      </c>
      <c r="NZ225" s="54" t="e">
        <f ca="1">IF(Control!$C$114=1,  $CX225*($MX225-Control!$C$127), 0)</f>
        <v>#DIV/0!</v>
      </c>
      <c r="OA225" s="170" t="e">
        <f t="shared" ca="1" si="804"/>
        <v>#DIV/0!</v>
      </c>
      <c r="OB225" s="170" t="e">
        <f ca="1">IF($NA225 &lt;=$NY225, MIN(Control!$C$72, $NY225-$NA225), 0)</f>
        <v>#DIV/0!</v>
      </c>
      <c r="OC225" s="168" t="e">
        <f t="shared" ca="1" si="805"/>
        <v>#DIV/0!</v>
      </c>
      <c r="OD225" s="168" t="e">
        <f t="shared" ca="1" si="894"/>
        <v>#DIV/0!</v>
      </c>
      <c r="OE225" s="170">
        <f ca="1">Control!$C$73*$I225</f>
        <v>0</v>
      </c>
      <c r="OF225" s="176" t="e">
        <f t="shared" ca="1" si="806"/>
        <v>#DIV/0!</v>
      </c>
      <c r="OG225" s="168" t="e">
        <f t="shared" ca="1" si="807"/>
        <v>#DIV/0!</v>
      </c>
      <c r="OH225" s="168" t="e">
        <f t="shared" ca="1" si="808"/>
        <v>#DIV/0!</v>
      </c>
      <c r="OI225" s="168" t="e">
        <f t="shared" ca="1" si="809"/>
        <v>#DIV/0!</v>
      </c>
      <c r="OJ225" s="168" t="e">
        <f t="shared" ca="1" si="810"/>
        <v>#DIV/0!</v>
      </c>
      <c r="OK225" s="204" t="e">
        <f t="shared" ca="1" si="811"/>
        <v>#DIV/0!</v>
      </c>
      <c r="OL225" s="177">
        <f>Control!$C$127</f>
        <v>0.15</v>
      </c>
      <c r="OM225" s="182" t="e">
        <f t="shared" ca="1" si="812"/>
        <v>#N/A</v>
      </c>
      <c r="ON225" s="177">
        <f>Control!$C$128</f>
        <v>0.35</v>
      </c>
      <c r="OO225" s="182" t="e">
        <f t="shared" ca="1" si="813"/>
        <v>#N/A</v>
      </c>
      <c r="OP225" s="138">
        <f t="shared" ca="1" si="895"/>
        <v>0</v>
      </c>
      <c r="OQ225" s="138" t="e">
        <f t="shared" ca="1" si="918"/>
        <v>#DIV/0!</v>
      </c>
      <c r="OR225" s="138" t="e">
        <f t="shared" ca="1" si="896"/>
        <v>#DIV/0!</v>
      </c>
      <c r="OS225" s="137" t="e">
        <f t="shared" ca="1" si="919"/>
        <v>#DIV/0!</v>
      </c>
      <c r="OT225" s="139" t="e">
        <f t="shared" ca="1" si="920"/>
        <v>#DIV/0!</v>
      </c>
      <c r="OU225" s="138" t="e">
        <f t="shared" ca="1" si="921"/>
        <v>#N/A</v>
      </c>
      <c r="OV225" s="138" t="e">
        <f t="shared" ca="1" si="922"/>
        <v>#DIV/0!</v>
      </c>
      <c r="OW225" s="138" t="e">
        <f t="shared" ca="1" si="897"/>
        <v>#DIV/0!</v>
      </c>
      <c r="OX225" s="138" t="e">
        <f t="shared" ca="1" si="898"/>
        <v>#DIV/0!</v>
      </c>
      <c r="OY225" s="138" t="e">
        <f t="shared" ca="1" si="899"/>
        <v>#DIV/0!</v>
      </c>
      <c r="OZ225" s="138" t="e">
        <f t="shared" ca="1" si="814"/>
        <v>#DIV/0!</v>
      </c>
      <c r="PA225" s="138" t="e">
        <f t="shared" ca="1" si="815"/>
        <v>#DIV/0!</v>
      </c>
      <c r="PB225" s="55">
        <f>IF(Control!$C$61="T", IF(Control!$C$65="F", IF($AH$6-Control!$C$60&lt;0,0,1), IF(365+$AH$6-Control!$C$60&lt;0,0,1)),0)</f>
        <v>0</v>
      </c>
      <c r="PC225" s="55">
        <f ca="1">IF(Control!$C$65="F", IF($AH$6-$HF225&lt;0,0,1), IF(365+$AH$6-$HF225&lt;0,0,1))</f>
        <v>1</v>
      </c>
      <c r="PD225" s="444">
        <f>Control!$C$118</f>
        <v>1500</v>
      </c>
      <c r="PE225" s="180" t="e">
        <f t="shared" ca="1" si="816"/>
        <v>#N/A</v>
      </c>
      <c r="PF225" s="445">
        <f t="shared" ca="1" si="900"/>
        <v>0.71612369323045078</v>
      </c>
      <c r="PT225" s="186"/>
      <c r="PU225" s="186"/>
      <c r="PV225" s="94"/>
      <c r="PW225" s="94"/>
      <c r="PX225" s="94"/>
      <c r="PY225" s="94"/>
      <c r="PZ225" s="94"/>
      <c r="QA225" s="94"/>
      <c r="QB225" s="94"/>
      <c r="QC225" s="94"/>
      <c r="QD225" s="94"/>
      <c r="QE225" s="94"/>
      <c r="QF225" s="94"/>
      <c r="QG225" s="94"/>
      <c r="QH225" s="94"/>
      <c r="QI225" s="94"/>
      <c r="QJ225" s="94"/>
      <c r="QK225" s="94"/>
      <c r="QL225" s="94"/>
      <c r="QM225" s="94"/>
      <c r="QN225" s="94"/>
      <c r="QO225" s="94"/>
      <c r="QP225" s="94"/>
    </row>
    <row r="226" spans="1:458" s="2" customFormat="1" x14ac:dyDescent="0.2">
      <c r="A226" s="395">
        <v>9</v>
      </c>
      <c r="B226" s="396">
        <v>8</v>
      </c>
      <c r="C226" s="387">
        <f ca="1">Weather_data!$B225</f>
        <v>0</v>
      </c>
      <c r="D226" s="388">
        <f ca="1">Weather_data!$F225</f>
        <v>0</v>
      </c>
      <c r="E226" s="388">
        <f ca="1">Weather_data!$E225</f>
        <v>0</v>
      </c>
      <c r="F226" s="388">
        <f t="shared" ca="1" si="817"/>
        <v>0</v>
      </c>
      <c r="G226" s="388">
        <f ca="1">AVERAGE($D226:$E226)+Control!$B$9</f>
        <v>0</v>
      </c>
      <c r="H226" s="388">
        <f ca="1">Weather_data!$G225</f>
        <v>0</v>
      </c>
      <c r="I226" s="388">
        <f ca="1">Weather_data!$I225</f>
        <v>0</v>
      </c>
      <c r="J226" s="388">
        <f ca="1">Weather_data!$H225</f>
        <v>0</v>
      </c>
      <c r="K226" s="389">
        <f ca="1">Weather_data!$D225</f>
        <v>0</v>
      </c>
      <c r="L226" s="388" t="e">
        <f t="shared" ca="1" si="818"/>
        <v>#N/A</v>
      </c>
      <c r="M226" s="388" t="e">
        <f t="shared" ca="1" si="696"/>
        <v>#N/A</v>
      </c>
      <c r="N226" s="388">
        <f t="shared" ca="1" si="697"/>
        <v>-4.2886645795106531E-11</v>
      </c>
      <c r="O226" s="388">
        <f t="shared" ca="1" si="819"/>
        <v>4.2886645795106529E-10</v>
      </c>
      <c r="P226" s="390">
        <v>3</v>
      </c>
      <c r="Q226" s="388">
        <f ca="1">MAX($G226-Control!$C$107,0)</f>
        <v>0</v>
      </c>
      <c r="R226" s="388">
        <f t="shared" ca="1" si="820"/>
        <v>0</v>
      </c>
      <c r="S226" s="388">
        <f t="shared" ca="1" si="698"/>
        <v>0</v>
      </c>
      <c r="T226" s="388">
        <f t="shared" ca="1" si="699"/>
        <v>0</v>
      </c>
      <c r="U226" s="59">
        <f t="shared" ca="1" si="700"/>
        <v>0</v>
      </c>
      <c r="V226" s="391">
        <f ca="1">MAX(0,MIN(Control!$C$100-Control!$C$99,$G226-Control!$C$99)*Control!$C$63)</f>
        <v>0</v>
      </c>
      <c r="W226" s="388">
        <f t="shared" ca="1" si="821"/>
        <v>0</v>
      </c>
      <c r="X226" s="388">
        <f t="shared" ca="1" si="822"/>
        <v>0.6110000000000001</v>
      </c>
      <c r="Y226" s="388">
        <f t="shared" ca="1" si="701"/>
        <v>0</v>
      </c>
      <c r="Z226" s="388">
        <f t="shared" ca="1" si="823"/>
        <v>0.61058800000000002</v>
      </c>
      <c r="AA226" s="388">
        <f t="shared" ca="1" si="702"/>
        <v>0.6018</v>
      </c>
      <c r="AB226" s="388">
        <f ca="1">101.3*EXP(-0.034*Control!$C$66/($G226+273))</f>
        <v>100.69623283836242</v>
      </c>
      <c r="AC226" s="392">
        <f t="shared" ca="1" si="703"/>
        <v>4.3460251046025113E-2</v>
      </c>
      <c r="AD226" s="392">
        <f t="shared" ca="1" si="704"/>
        <v>4.4450382862832649E-2</v>
      </c>
      <c r="AE226" s="388">
        <f t="shared" ca="1" si="705"/>
        <v>0</v>
      </c>
      <c r="AF226" s="388">
        <f ca="1">MAX(0,$G226-Control!$C$92)</f>
        <v>0</v>
      </c>
      <c r="AG226" s="393">
        <f t="shared" ca="1" si="706"/>
        <v>222</v>
      </c>
      <c r="AH226" s="389">
        <f t="shared" ca="1" si="707"/>
        <v>222</v>
      </c>
      <c r="AI226" s="388">
        <f t="shared" ca="1" si="824"/>
        <v>0.26510208713787226</v>
      </c>
      <c r="AJ226" s="388">
        <f ca="1">IF(Control!$C$60&lt;=0,$HH226,$HI226)</f>
        <v>1</v>
      </c>
      <c r="AK226" s="388">
        <f t="shared" ca="1" si="708"/>
        <v>2.4444172975876746</v>
      </c>
      <c r="AL226" s="388">
        <f t="shared" ca="1" si="709"/>
        <v>7.2112801841051059E-19</v>
      </c>
      <c r="AM226" s="388">
        <f t="shared" ca="1" si="710"/>
        <v>2.4444172975876746</v>
      </c>
      <c r="AN226" s="388">
        <f t="shared" ca="1" si="711"/>
        <v>0.25827108764338308</v>
      </c>
      <c r="AO226" s="388">
        <f ca="1">-0.10453/COS(Control!$B$8*PI()/180)*COS(AN226)</f>
        <v>-0.16415361020203328</v>
      </c>
      <c r="AP226" s="388">
        <f ca="1">ACOS(AO226-TAN(Control!$B$8*PI()/180)*TAN(AN226))</f>
        <v>2.0970266286823995</v>
      </c>
      <c r="AQ226" s="388">
        <f t="shared" ca="1" si="825"/>
        <v>0</v>
      </c>
      <c r="AR226" s="394">
        <f t="shared" ca="1" si="712"/>
        <v>0</v>
      </c>
      <c r="AS226" s="436">
        <f ca="1">IF(Control!$B$18=2,(IF(OR($AH226=Control!$B$175,$AH226=Control!$B$176,$AH226=Control!$B$177,$AH226=Control!$B$178,$AH226=Control!$B$179,$AH226=Control!$B$180,$AH226=Control!$B$181,$AH226=Control!$B$182,$AH226=Control!$B$183,$AH226=Control!$B$184,$AH226=Control!$B$185),1,0)),0)</f>
        <v>0</v>
      </c>
      <c r="AT226" s="436">
        <f>IF(Control!$B$20=8,IF(AND($AH226&gt;=Control!$B$172,$AH226&lt;=Control!$B$173),1,0),0)</f>
        <v>0</v>
      </c>
      <c r="AU226" s="436">
        <f>IF(Control!$B$20=8,IF($AV225=1,1*$AT226,IF($AT226=1,$AU225+1,$AU225)),0)</f>
        <v>0</v>
      </c>
      <c r="AV226" s="436">
        <f>IF(Control!$B$20=8,IF($AU226&gt;=Control!$B$174,1,0),0)</f>
        <v>0</v>
      </c>
      <c r="AW226" s="436">
        <f ca="1">IF(AND(Control!$B$18=2,Control!$B$171=1), $AV226, $AS226)</f>
        <v>0</v>
      </c>
      <c r="AX226" s="436" t="e">
        <f ca="1">IF(AND(Control!$B$18=1,$EU226&gt;=Control!$B$19),-$AY226,IF(AND(Control!$B$18=2,$AW226=1,$EU226&gt;$DS226),-$AY226, IF(Control!$C$108=0,0, IF(Control!$C$108&lt;&gt;0,1))))</f>
        <v>#N/A</v>
      </c>
      <c r="AY226" s="436" t="e">
        <f t="shared" ca="1" si="826"/>
        <v>#N/A</v>
      </c>
      <c r="AZ226" s="436" t="e">
        <f ca="1">IF(AND(Control!$B$18=1,$EB226&gt;Control!$B$19),$AZ225+1, IF(AND(Control!$B$18=2, $AW226=1, $EB226&gt;$DS226), $AZ225+1,$AZ225))</f>
        <v>#N/A</v>
      </c>
      <c r="BA226" s="587">
        <f>IF(Control!$C$81=0,1,IF($AH226&gt;=Control!$C$82,1,0))</f>
        <v>1</v>
      </c>
      <c r="BB226" s="140" t="e">
        <f ca="1">IF($BA226&gt;$BA225,Control!$C$83,IF($AW226&gt;0,$AW226*Control!$C$84,IF(AND(Control!$B$18=1,EN225&lt;&gt;0),Control!$C$84,0)))</f>
        <v>#N/A</v>
      </c>
      <c r="BC226" s="140" t="e">
        <f t="shared" ca="1" si="827"/>
        <v>#N/A</v>
      </c>
      <c r="BD226" s="140" t="e">
        <f ca="1">BC226*IF(OR($G226&lt;Control!$C$92,$G226&gt;Control!$C$95),0,IF(AND($G226&gt;=Control!$C$92,$G226&lt;=Control!$C$93),$G226-Control!$C$92,IF(AND($G226&gt;Control!$C$93,$G226&lt;=Control!$C$94),Control!$C$93-Control!$C$92,IF(AND($G226&gt;Control!$C$94,$G226&lt;=Control!$C$95),(Control!$C$93-Control!$C$92)*(Control!$C$94-$G226)/(Control!$C$95-Control!$C$94)))))</f>
        <v>#N/A</v>
      </c>
      <c r="BE226" s="140" t="e">
        <f t="shared" ca="1" si="828"/>
        <v>#N/A</v>
      </c>
      <c r="BF226" s="140" t="e">
        <f ca="1">IF($BE226&lt;=Control!$C$86,$BE226,Control!$C$86-$BE226)</f>
        <v>#N/A</v>
      </c>
      <c r="BG226" s="140" t="e">
        <f ca="1">IF(AND($AW226=1,Control!$C$84&lt;9),1,IF($BE226&gt;=Control!$C$86,0,$BC226))</f>
        <v>#N/A</v>
      </c>
      <c r="BH226" s="404" t="e">
        <f ca="1">IF($BG226=0,0,IF($BE226&lt;=Control!$C$86,$BC226*9*($BF226/Control!$C$86),0))</f>
        <v>#N/A</v>
      </c>
      <c r="BI226" s="140" t="e">
        <f ca="1">IF($BG226=1,0,IF($BE226&gt;=Control!$C$86,1,IF(AND($BB226&lt;21,$BB226&gt;=9),1,$BM225)))</f>
        <v>#N/A</v>
      </c>
      <c r="BJ226" s="140" t="e">
        <f ca="1">IF($BF226&lt;0,-$BF226,$BI226*IF(OR($G226&lt;Control!$C$92,$G226&gt;Control!$C$95),0,IF(AND($G226&gt;=Control!$C$92,$G226&lt;=Control!$C$93),$G226-Control!$C$92,IF(AND($G226&gt;Control!$C$93,$G226&lt;=Control!$C$94),Control!$C$93-Control!$C$92,IF(AND($G226&gt;Control!$C$94,$G226&lt;=Control!$C$95),(Control!$C$93-Control!$C$92)*(Control!$C$94-$G226)/(Control!$C$95-Control!$C$94))))))</f>
        <v>#N/A</v>
      </c>
      <c r="BK226" s="140" t="e">
        <f t="shared" ca="1" si="829"/>
        <v>#N/A</v>
      </c>
      <c r="BL226" s="140" t="e">
        <f ca="1">IF($BK226&lt;=Control!$C$87,$BK226,Control!$C$87-$BK226)</f>
        <v>#N/A</v>
      </c>
      <c r="BM226" s="140" t="e">
        <f ca="1">IF(AND($BB226&gt;=9,$BB226&lt;21),1,IF($BK226&gt;=Control!$C$87,0,$BI226))</f>
        <v>#N/A</v>
      </c>
      <c r="BN226" s="404" t="e">
        <f ca="1">IF($BM226=0,0,IF($BK226&lt;=Control!$C$87,$BI226*(9+(21-9)*($BL226/Control!$C$87)),0))</f>
        <v>#N/A</v>
      </c>
      <c r="BO226" s="140" t="e">
        <f ca="1">IF($BM226=1,0,IF($BK226&gt;=Control!$C$87,1,IF(AND($BB226&lt;30,$BB226&gt;=21),1,$BS225)))</f>
        <v>#N/A</v>
      </c>
      <c r="BP226" s="140" t="e">
        <f ca="1">IF($BL226&lt;0,-$BL226,$BO226*IF(OR($G226&lt;Control!$C$92,$G226&gt;Control!$C$95),0,IF(AND($G226&gt;=Control!$C$92,$G226&lt;=Control!$C$93),$G226-Control!$C$92,IF(AND($G226&gt;Control!$C$93,$G226&lt;=Control!$C$94),Control!$C$93-Control!$C$92,IF(AND($G226&gt;Control!$C$94,$G226&lt;=Control!$C$95),(Control!$C$93-Control!$C$92)*(Control!$C$94-$G226)/(Control!$C$95-Control!$C$94))))))</f>
        <v>#N/A</v>
      </c>
      <c r="BQ226" s="140" t="e">
        <f t="shared" ca="1" si="713"/>
        <v>#N/A</v>
      </c>
      <c r="BR226" s="140" t="e">
        <f ca="1">IF($BQ226&lt;=Control!$C$88,$BQ226,Control!$C$88-$BQ226)</f>
        <v>#N/A</v>
      </c>
      <c r="BS226" s="140" t="e">
        <f ca="1">IF(AND($BB226&gt;=21,$BB226&lt;30),1,IF($BQ226&gt;=Control!$C$88,0,$BO226))</f>
        <v>#N/A</v>
      </c>
      <c r="BT226" s="404" t="e">
        <f ca="1">IF($BS226=0,0,IF($BQ226&lt;=Control!$C$88,$BO226*(21+(30-21)*(BR226/Control!$C$88)),0))</f>
        <v>#N/A</v>
      </c>
      <c r="BU226" s="140" t="e">
        <f ca="1">IF(BG226+BM226+BS226=1,0,IF(OR(AND($BB226&lt;60,$BB226&gt;=30),$BQ226&gt;=Control!$C$88),1*$BA226,$BY225))</f>
        <v>#N/A</v>
      </c>
      <c r="BV226" s="140" t="e">
        <f ca="1">IF($BR226&lt;0,-$BR226,$BU226*IF(OR($G226&lt;Control!$C$92,$G226&gt;Control!$C$95),0,IF(AND($G226&gt;=Control!$C$92,$G226&lt;=Control!$C$93),$G226-Control!$C$92,IF(AND($G226&gt;Control!$C$93,$G226&lt;=Control!$C$94),Control!$C$93-Control!$C$92,IF(AND($G226&gt;Control!$C$94,$G226&lt;=Control!$C$95),(Control!$C$93-Control!$C$92)*(Control!$C$94-$G226)/(Control!$C$95-Control!$C$94))))))</f>
        <v>#N/A</v>
      </c>
      <c r="BW226" s="140" t="e">
        <f t="shared" ca="1" si="714"/>
        <v>#N/A</v>
      </c>
      <c r="BX226" s="140" t="e">
        <f ca="1">IF($BW226&lt;=Control!$C$89,$BW226,Control!$C$89-$BW226)</f>
        <v>#N/A</v>
      </c>
      <c r="BY226" s="140" t="e">
        <f ca="1">IF(AND($AJ226&gt;=30,$AJ226&lt;60),1,IF($BW226&gt;=Control!$C$89,0,$BU226))</f>
        <v>#N/A</v>
      </c>
      <c r="BZ226" s="404" t="e">
        <f ca="1">IF($BY226=0,0,IF($BW226&lt;=Control!$C$89,$BU226*(30+(60-30)*(BX226/Control!$C$89)),0))</f>
        <v>#N/A</v>
      </c>
      <c r="CA226" s="140" t="e">
        <f ca="1">IF($BG226+$BM226+$BS226+$BY226=1,0,IF(OR(AND($BB226&lt;65,$BB226&gt;=60),$BW226&gt;=Control!$C$89),1*$BA226,$CE225))</f>
        <v>#N/A</v>
      </c>
      <c r="CB226" s="140" t="e">
        <f ca="1">IF($BX226&lt;0,-$BX226,$CA226*IF(OR($G226&lt;Control!$C$92,$G226&gt;Control!$C$95),0,IF(AND($G226&gt;=Control!$C$92,$G226&lt;=Control!$C$93),$G226-Control!$C$92,IF(AND($G226&gt;Control!$C$93,$G226&lt;=Control!$C$94),Control!$C$93-Control!$C$92,IF(AND($G226&gt;Control!$C$94,$G226&lt;=Control!$C$95),(Control!$C$93-Control!$C$92)*(Control!$C$94-$G226)/(Control!$C$95-Control!$C$94))))))</f>
        <v>#N/A</v>
      </c>
      <c r="CC226" s="140" t="e">
        <f t="shared" ca="1" si="830"/>
        <v>#N/A</v>
      </c>
      <c r="CD226" s="140" t="e">
        <f ca="1">IF($CC226&lt;=Control!$C$90,$CC226,Control!$C$90-$CC226)</f>
        <v>#N/A</v>
      </c>
      <c r="CE226" s="140" t="e">
        <f ca="1">IF(AND($BB226&gt;=60,$BB226&lt;65),1,IF($CC226&gt;=Control!$C$90,0,$CA226))</f>
        <v>#N/A</v>
      </c>
      <c r="CF226" s="404" t="e">
        <f ca="1">IF($CE226=0,0,IF($CC226&lt;=Control!$C$90,$CA226*(60+(65-60)*(CD226/Control!$C$90)),0))</f>
        <v>#N/A</v>
      </c>
      <c r="CG226" s="140" t="e">
        <f ca="1">IF($BG226+$BM226+$BS226+$BY226+$CE226=1,0,IF(OR(AND($BB226&lt;90,$BB226&gt;=65),$CC226&gt;=Control!$C$90),$BA226,$CK225))</f>
        <v>#N/A</v>
      </c>
      <c r="CH226" s="140" t="e">
        <f ca="1">IF($CD226&lt;0,-$CD226,$CG226*IF(OR($G226&lt;Control!$C$92,$G226&gt;Control!$C$95),0,IF(AND($G226&gt;=Control!$C$92,$G226&lt;=Control!$C$93),$G226-Control!$C$92,IF(AND($G226&gt;Control!$C$93,$G226&lt;=Control!$C$94),Control!$C$93-Control!$C$92,IF(AND($G226&gt;Control!$C$94,$G226&lt;=Control!$C$95),(Control!$C$93-Control!$C$92)*(Control!$C$94-$G226)/(Control!$C$95-Control!$C$94))))))</f>
        <v>#N/A</v>
      </c>
      <c r="CI226" s="140" t="e">
        <f t="shared" ca="1" si="831"/>
        <v>#N/A</v>
      </c>
      <c r="CJ226" s="140" t="e">
        <f ca="1">IF($CI226&lt;=Control!$C$91,$CI226,Control!$C$91-$CI226)</f>
        <v>#N/A</v>
      </c>
      <c r="CK226" s="140" t="e">
        <f ca="1">IF(AND($BB226&gt;=65,$BB226&lt;90),1,IF($CI226&gt;=Control!$C$91,0,$CG226))</f>
        <v>#N/A</v>
      </c>
      <c r="CL226" s="404" t="e">
        <f ca="1">IF($CK226=0,0,IF($CI226&lt;=Control!$C$91,$CG226*(65+(90-65)*($CJ226/Control!$C$91)),0))</f>
        <v>#N/A</v>
      </c>
      <c r="CM226" s="140" t="e">
        <f ca="1">IF($BG226+$BM226+$BS226+$BY226+$CE226+$CK226=1,0,IF(OR($BB226&gt;=90,$CI226&gt;=Control!$C$91),$BA226,$CM225))</f>
        <v>#N/A</v>
      </c>
      <c r="CN226" s="140" t="e">
        <f t="shared" ca="1" si="832"/>
        <v>#N/A</v>
      </c>
      <c r="CO226" s="140" t="e">
        <f t="shared" ca="1" si="833"/>
        <v>#N/A</v>
      </c>
      <c r="CP226" s="140" t="e">
        <f t="shared" ca="1" si="834"/>
        <v>#N/A</v>
      </c>
      <c r="CQ226" s="141" t="e">
        <f ca="1">VLOOKUP($CP226,Control!$B$86:$G$91,6)</f>
        <v>#N/A</v>
      </c>
      <c r="CR226" s="141" t="e">
        <f ca="1">(1-$CQ226)*VLOOKUP($CP226,Control!$B$86:$D$91,3)</f>
        <v>#N/A</v>
      </c>
      <c r="CS226" s="141" t="e">
        <f ca="1">(1-$CQ226)*VLOOKUP($CP226,Control!$B$86:$E$91,4)</f>
        <v>#N/A</v>
      </c>
      <c r="CT226" s="141" t="e">
        <f ca="1">(1-$CQ226)*VLOOKUP($CP226,Control!$B$86:$F$91,5)</f>
        <v>#N/A</v>
      </c>
      <c r="CU226" s="141">
        <f t="shared" ca="1" si="835"/>
        <v>0</v>
      </c>
      <c r="CV226" s="583">
        <f t="shared" ca="1" si="836"/>
        <v>0</v>
      </c>
      <c r="CW226" s="142">
        <f t="shared" ca="1" si="837"/>
        <v>222</v>
      </c>
      <c r="CX226" s="612" t="e">
        <f ca="1">IF(Control!$C$114=1,(MIN(Control!$C$120*(IF($NT226-0.01&lt;0,0,1)),Control!$C$119-$CY226)))</f>
        <v>#DIV/0!</v>
      </c>
      <c r="CY226" s="143" t="e">
        <f t="shared" ca="1" si="838"/>
        <v>#N/A</v>
      </c>
      <c r="CZ226" s="144">
        <f t="shared" ca="1" si="715"/>
        <v>0</v>
      </c>
      <c r="DA226" s="144">
        <f t="shared" ca="1" si="716"/>
        <v>0</v>
      </c>
      <c r="DB226" s="144" t="e">
        <f t="shared" ca="1" si="717"/>
        <v>#N/A</v>
      </c>
      <c r="DC226" s="144" t="e">
        <f t="shared" ca="1" si="718"/>
        <v>#N/A</v>
      </c>
      <c r="DD226" s="144" t="e">
        <f t="shared" ca="1" si="923"/>
        <v>#N/A</v>
      </c>
      <c r="DE226" s="143" t="e">
        <f t="shared" ca="1" si="839"/>
        <v>#N/A</v>
      </c>
      <c r="DF226" s="145" t="e">
        <f ca="1">$DR226*EXP(-Control!$C$158*(1-$KH226))</f>
        <v>#N/A</v>
      </c>
      <c r="DG226" s="146" t="e">
        <f ca="1">IF(Control!$C$114=1, $DF226*$EY226, 0)</f>
        <v>#N/A</v>
      </c>
      <c r="DH226" s="147" t="e">
        <f t="shared" ca="1" si="840"/>
        <v>#N/A</v>
      </c>
      <c r="DI226" s="144" t="e">
        <f t="shared" ca="1" si="901"/>
        <v>#N/A</v>
      </c>
      <c r="DJ226" s="147" t="e">
        <f ca="1">$EF226*Control!$C$109</f>
        <v>#N/A</v>
      </c>
      <c r="DK226" s="144" t="e">
        <f t="shared" ca="1" si="841"/>
        <v>#N/A</v>
      </c>
      <c r="DL226" s="144" t="e">
        <f t="shared" ca="1" si="719"/>
        <v>#N/A</v>
      </c>
      <c r="DM226" s="144" t="e">
        <f ca="1">IF(Control!$C$114=1, (1-EXP(-Control!$C$96*$DK226))*$AR226, 0)</f>
        <v>#N/A</v>
      </c>
      <c r="DN226" s="144">
        <f t="shared" ca="1" si="842"/>
        <v>0</v>
      </c>
      <c r="DO226" s="148">
        <f>Control!$C$97</f>
        <v>4</v>
      </c>
      <c r="DP226" s="145" t="e">
        <f t="shared" ca="1" si="843"/>
        <v>#N/A</v>
      </c>
      <c r="DQ226" s="145" t="e">
        <f ca="1">IF(AND($CP226&gt;=0,$CP226&lt;=90),Control!$C$111,Control!$C$111)</f>
        <v>#N/A</v>
      </c>
      <c r="DR226" s="145" t="e">
        <f t="shared" ca="1" si="720"/>
        <v>#N/A</v>
      </c>
      <c r="DS226" s="143" t="e">
        <f ca="1">Control!$B$22/$DR226</f>
        <v>#N/A</v>
      </c>
      <c r="DT226" s="149" t="e">
        <f ca="1">IF(AND(Control!$C$114=1,$KH226&lt;1),$IM226*$DF226, 0)</f>
        <v>#N/A</v>
      </c>
      <c r="DU226" s="144" t="e">
        <f t="shared" ca="1" si="844"/>
        <v>#N/A</v>
      </c>
      <c r="DV226" s="144">
        <f ca="1">IF($G226-Control!$C$107&lt;=0, 0, 0.83*LN(MAX($G226, 3))-0.8924)</f>
        <v>0</v>
      </c>
      <c r="DW226" s="144" t="e">
        <f t="shared" ca="1" si="721"/>
        <v>#N/A</v>
      </c>
      <c r="DX226" s="150" t="e">
        <f ca="1">MAX(0.01*(1+$CU226/Control!$C$102),0.05*($DK226-Control!$C$97)/Control!$C$97)</f>
        <v>#N/A</v>
      </c>
      <c r="DY226" s="151" t="e">
        <f ca="1">IF(Control!$C$114=1, $DI226*$FS226, 0)</f>
        <v>#N/A</v>
      </c>
      <c r="DZ226" s="196" t="e">
        <f t="shared" ca="1" si="845"/>
        <v>#N/A</v>
      </c>
      <c r="EA226" s="152">
        <f t="shared" ca="1" si="846"/>
        <v>222</v>
      </c>
      <c r="EB226" s="153" t="e">
        <f t="shared" ca="1" si="847"/>
        <v>#N/A</v>
      </c>
      <c r="EC226" s="153" t="e">
        <f t="shared" ca="1" si="848"/>
        <v>#N/A</v>
      </c>
      <c r="ED226" s="154" t="e">
        <f ca="1">IF(Control!$C$114=1, $HM226*$FY226-$FD226, 0)</f>
        <v>#DIV/0!</v>
      </c>
      <c r="EE226" s="155" t="e">
        <f ca="1">IF(Control!$C$114=1, $HM226*$FZ226-$FF226, 0)</f>
        <v>#DIV/0!</v>
      </c>
      <c r="EF226" s="153" t="e">
        <f t="shared" ca="1" si="902"/>
        <v>#N/A</v>
      </c>
      <c r="EG226" s="155" t="e">
        <f ca="1">IF(Control!$C$114=1, $GX226*$FW226-$FI226, 0)</f>
        <v>#DIV/0!</v>
      </c>
      <c r="EH226" s="153" t="e">
        <f t="shared" ca="1" si="849"/>
        <v>#N/A</v>
      </c>
      <c r="EI226" s="156" t="e">
        <f t="shared" ca="1" si="850"/>
        <v>#N/A</v>
      </c>
      <c r="EJ226" s="155" t="e">
        <f ca="1">IF(Control!$C$114=1, $HM226*$GB226, 0)</f>
        <v>#DIV/0!</v>
      </c>
      <c r="EK226" s="153" t="e">
        <f t="shared" ca="1" si="903"/>
        <v>#N/A</v>
      </c>
      <c r="EL226" s="153" t="e">
        <f t="shared" ca="1" si="722"/>
        <v>#N/A</v>
      </c>
      <c r="EM226" s="153" t="e">
        <f t="shared" ca="1" si="723"/>
        <v>#N/A</v>
      </c>
      <c r="EN226" s="153" t="e">
        <f ca="1">IF(Control!$C$108=1,IF(AND(Control!$B$18=1,$EB226&gt;=Control!$B$19),$EB226-$DS226,IF(AND(Control!$B$18=2,$AW226=1,$EB226&gt;$DS226),$EB226-$DS226,0)))</f>
        <v>#N/A</v>
      </c>
      <c r="EO226" s="153" t="e">
        <f ca="1">IF(Control!$C$108=1,IF(AND(Control!$B$18=1,$EB226&gt;=Control!$B$19),$EF226,IF(AND(Control!$B$18=2,$AW226=1),$EF226,0)))</f>
        <v>#N/A</v>
      </c>
      <c r="EP226" s="153" t="e">
        <f ca="1">IF(Control!$C$108=1,IF(AND(Control!$B$18=1,$EB226&gt;=Control!$B$19),$EK226,IF(AND(Control!$B$18=2,$AW226=1),$EK226,0)))</f>
        <v>#N/A</v>
      </c>
      <c r="EQ226" s="153" t="e">
        <f t="shared" ca="1" si="851"/>
        <v>#N/A</v>
      </c>
      <c r="ER226" s="153" t="e">
        <f t="shared" ca="1" si="852"/>
        <v>#N/A</v>
      </c>
      <c r="ES226" s="153" t="e">
        <f t="shared" ca="1" si="904"/>
        <v>#N/A</v>
      </c>
      <c r="ET226" s="153" t="e">
        <f t="shared" ca="1" si="905"/>
        <v>#N/A</v>
      </c>
      <c r="EU226" s="153" t="e">
        <f t="shared" ca="1" si="853"/>
        <v>#N/A</v>
      </c>
      <c r="EV226" s="153" t="e">
        <f t="shared" ca="1" si="724"/>
        <v>#N/A</v>
      </c>
      <c r="EW226" s="153" t="e">
        <f t="shared" ca="1" si="725"/>
        <v>#N/A</v>
      </c>
      <c r="EX226" s="153" t="e">
        <f t="shared" ca="1" si="726"/>
        <v>#N/A</v>
      </c>
      <c r="EY226" s="157" t="e">
        <f t="shared" ca="1" si="727"/>
        <v>#DIV/0!</v>
      </c>
      <c r="EZ226" s="154" t="e">
        <f t="shared" ca="1" si="728"/>
        <v>#DIV/0!</v>
      </c>
      <c r="FA226" s="153" t="e">
        <f t="shared" ca="1" si="854"/>
        <v>#N/A</v>
      </c>
      <c r="FB226" s="153" t="e">
        <f t="shared" ca="1" si="729"/>
        <v>#N/A</v>
      </c>
      <c r="FC226" s="193" t="e">
        <f t="shared" ca="1" si="730"/>
        <v>#N/A</v>
      </c>
      <c r="FD226" s="158" t="e">
        <f t="shared" ca="1" si="855"/>
        <v>#N/A</v>
      </c>
      <c r="FE226" s="158" t="e">
        <f t="shared" ca="1" si="856"/>
        <v>#N/A</v>
      </c>
      <c r="FF226" s="159" t="e">
        <f t="shared" ca="1" si="731"/>
        <v>#N/A</v>
      </c>
      <c r="FG226" s="160" t="e">
        <f t="shared" ca="1" si="857"/>
        <v>#N/A</v>
      </c>
      <c r="FH226" s="158" t="e">
        <f t="shared" ca="1" si="858"/>
        <v>#N/A</v>
      </c>
      <c r="FI226" s="159" t="e">
        <f t="shared" ca="1" si="732"/>
        <v>#N/A</v>
      </c>
      <c r="FJ226" s="160" t="e">
        <f t="shared" ca="1" si="859"/>
        <v>#N/A</v>
      </c>
      <c r="FK226" s="160" t="e">
        <f t="shared" ca="1" si="733"/>
        <v>#N/A</v>
      </c>
      <c r="FL226" s="160" t="e">
        <f t="shared" ca="1" si="906"/>
        <v>#N/A</v>
      </c>
      <c r="FM226" s="160" t="e">
        <f t="shared" ca="1" si="734"/>
        <v>#N/A</v>
      </c>
      <c r="FN226" s="158">
        <f t="shared" ca="1" si="860"/>
        <v>0.01</v>
      </c>
      <c r="FO226" s="160">
        <f>Control!$C$101</f>
        <v>50</v>
      </c>
      <c r="FP226" s="150" t="e">
        <f t="shared" ca="1" si="735"/>
        <v>#N/A</v>
      </c>
      <c r="FQ226" s="150" t="e">
        <f ca="1">MAX(0,(Control!$C$112*(($DK226-Control!$C$97)/Control!$C$97)))</f>
        <v>#N/A</v>
      </c>
      <c r="FR226" s="150" t="e">
        <f ca="1">(1-$NT226)*Control!$C$113</f>
        <v>#DIV/0!</v>
      </c>
      <c r="FS226" s="198" t="e">
        <f t="shared" ca="1" si="736"/>
        <v>#N/A</v>
      </c>
      <c r="FT226" s="161">
        <f t="shared" ca="1" si="861"/>
        <v>222</v>
      </c>
      <c r="FU226" s="162" t="e">
        <f ca="1">IF(Control!$B$34=1,VLOOKUP($CP226,Control!$B$86:$G$91,6),Control!$B$35)</f>
        <v>#N/A</v>
      </c>
      <c r="FV226" s="162" t="e">
        <f t="shared" ca="1" si="737"/>
        <v>#DIV/0!</v>
      </c>
      <c r="FW226" s="162" t="e">
        <f ca="1">IF(Control!$B$31=1,$FU226*$FV226,  $FU226)</f>
        <v>#N/A</v>
      </c>
      <c r="FX226" s="162" t="e">
        <f ca="1">IF(Control!$B$34=1,VLOOKUP($CP226,Control!$B$86:$G$91,3),Control!$B$36)</f>
        <v>#N/A</v>
      </c>
      <c r="FY226" s="162" t="e">
        <f t="shared" ca="1" si="738"/>
        <v>#N/A</v>
      </c>
      <c r="FZ226" s="162" t="e">
        <f ca="1">IF(Control!$B$34=1,VLOOKUP($CP226,Control!$B$86:$G$91,4),Control!$B$37)</f>
        <v>#N/A</v>
      </c>
      <c r="GA226" s="162" t="e">
        <f t="shared" ca="1" si="739"/>
        <v>#N/A</v>
      </c>
      <c r="GB226" s="162" t="e">
        <f ca="1">IF(Control!$B$34=1,VLOOKUP($CP226,Control!$B$86:$G$91,5),Control!$B$38)</f>
        <v>#N/A</v>
      </c>
      <c r="GC226" s="162" t="e">
        <f t="shared" ca="1" si="862"/>
        <v>#N/A</v>
      </c>
      <c r="GD226" s="162">
        <f t="shared" ca="1" si="740"/>
        <v>1</v>
      </c>
      <c r="GE226" s="162">
        <f t="shared" ca="1" si="741"/>
        <v>1</v>
      </c>
      <c r="GF226" s="162">
        <f ca="1">IF(AND(Control!$C$104=1, Control!$C$62="F"),$GE226,1)</f>
        <v>1</v>
      </c>
      <c r="GG226" s="162" t="e">
        <f ca="1">IF(Control!$B$16=40,0,IF(AND(Control!$B$16&gt;40,Control!$B$16&lt;=360),(Control!$B$16-40)*((1-0)/(360-40)),IF(AND(Control!$B$16&gt;360,Control!$B$16&lt;=720),(1+(Control!$B$16-360)*((1.25-1)/(720-360))),IF(AND(Control!$B$16&gt;720,Control!$B$16&lt;=1000),(1.25+(Control!$B$16-720)*((1.35-1.25)/(1000-720))),IF(AND(Control!$B$16&gt;1000,Control!$B$16&lt;=2000),(1.35+(Control!$B$16-1000)*0))))))</f>
        <v>#N/A</v>
      </c>
      <c r="GH226" s="162" t="e">
        <f t="shared" ca="1" si="742"/>
        <v>#N/A</v>
      </c>
      <c r="GI226" s="162">
        <f t="shared" ca="1" si="863"/>
        <v>0</v>
      </c>
      <c r="GJ226" s="162">
        <f t="shared" ca="1" si="743"/>
        <v>0</v>
      </c>
      <c r="GK226" s="162">
        <f t="shared" ca="1" si="864"/>
        <v>1</v>
      </c>
      <c r="GL226" s="162">
        <f t="shared" ca="1" si="744"/>
        <v>1</v>
      </c>
      <c r="GM226" s="162" t="e">
        <f ca="1">MAX(0,MIN(1,1-Control!$C$156*(1.0001-$KH226)^2))</f>
        <v>#N/A</v>
      </c>
      <c r="GN226" s="162" t="e">
        <f ca="1">IF(Control!$B$26=1,$KU226,$KX226)</f>
        <v>#N/A</v>
      </c>
      <c r="GO226" s="162" t="e">
        <f ca="1">IF($CP226&lt;=60,Control!$C$105,IF($CP226&gt;=90,Control!$C$106,Control!$C$105+($CP226-60)*((Control!$C$106-Control!$C$105)/(90-60))))</f>
        <v>#N/A</v>
      </c>
      <c r="GP226" s="162" t="e">
        <f t="shared" ca="1" si="745"/>
        <v>#N/A</v>
      </c>
      <c r="GQ226" s="162" t="e">
        <f t="shared" ca="1" si="865"/>
        <v>#N/A</v>
      </c>
      <c r="GR226" s="163" t="e">
        <f t="shared" ca="1" si="746"/>
        <v>#DIV/0!</v>
      </c>
      <c r="GS226" s="162" t="e">
        <f t="shared" ca="1" si="747"/>
        <v>#DIV/0!</v>
      </c>
      <c r="GT226" s="164" t="e">
        <f t="shared" ca="1" si="866"/>
        <v>#N/A</v>
      </c>
      <c r="GU226" s="162" t="e">
        <f t="shared" ca="1" si="867"/>
        <v>#N/A</v>
      </c>
      <c r="GV226" s="162" t="e">
        <f t="shared" ca="1" si="748"/>
        <v>#N/A</v>
      </c>
      <c r="GW226" s="162" t="e">
        <f t="shared" ca="1" si="749"/>
        <v>#DIV/0!</v>
      </c>
      <c r="GX226" s="162" t="e">
        <f t="shared" ca="1" si="868"/>
        <v>#DIV/0!</v>
      </c>
      <c r="GY226" s="162" t="e">
        <f t="shared" ca="1" si="869"/>
        <v>#DIV/0!</v>
      </c>
      <c r="GZ226" s="165" t="e">
        <f t="shared" ca="1" si="750"/>
        <v>#N/A</v>
      </c>
      <c r="HA226" s="162" t="e">
        <f ca="1">IF(Control!$C$114=1, $DI226*$FS226, 0)</f>
        <v>#N/A</v>
      </c>
      <c r="HB226" s="162" t="e">
        <f ca="1">$FA226/Control!$C$64</f>
        <v>#N/A</v>
      </c>
      <c r="HC226" s="162" t="e">
        <f t="shared" ca="1" si="751"/>
        <v>#DIV/0!</v>
      </c>
      <c r="HD226" s="162">
        <f ca="1">-ASIN(SIN(23.45*Control!$C$139)*COS(2*Control!$C$138*($AH226+10)/365))</f>
        <v>0.26510208713787226</v>
      </c>
      <c r="HE226" s="165">
        <f t="shared" ca="1" si="870"/>
        <v>0</v>
      </c>
      <c r="HF226" s="166">
        <f ca="1">IF(AND(Control!$C$61="T",$HE226&gt;=Control!$C$103,Control!$C$114=0),$AH226,Control!$C$59)</f>
        <v>1</v>
      </c>
      <c r="HG226" s="166">
        <f ca="1">IF(AND(Control!$C$61="T",$HE226&gt;=Control!$C$103,Control!$C$114=0),$HF226,Control!$C$59)</f>
        <v>1</v>
      </c>
      <c r="HH226" s="165">
        <f ca="1">IF(AND(OR(Control!$C$60&lt;=0, $AH226= Control!$C$59, Control!$C$60 &gt;0, $AH226 = Control!$C$60)), Control!$C$59, IF(Control!$C$60&gt;0, 0))</f>
        <v>1</v>
      </c>
      <c r="HI226" s="165">
        <f ca="1">IF(AND(OR(Control!$C$60&lt;=0, $AH226= Control!$C$59, Control!$C$60 &gt;0, $AH226 = Control!$C$60)), Control!$C$60, IF(Control!$C$60&lt;=0, 0))</f>
        <v>0</v>
      </c>
      <c r="HJ226" s="166">
        <f ca="1">IF(AND(Control!$C$62="F",$CV226&gt;=Control!$C$102),$AH226,0)</f>
        <v>0</v>
      </c>
      <c r="HK226" s="165" t="e">
        <f t="shared" ca="1" si="907"/>
        <v>#N/A</v>
      </c>
      <c r="HL226" s="166">
        <f ca="1">IF(AND(Control!$C$61="T",$HE226&gt;=Control!$C$103,Control!$C$114=0),$HF226,0)</f>
        <v>0</v>
      </c>
      <c r="HM226" s="201" t="e">
        <f t="shared" ca="1" si="752"/>
        <v>#DIV/0!</v>
      </c>
      <c r="HN226" s="215">
        <f t="shared" ca="1" si="871"/>
        <v>222</v>
      </c>
      <c r="HO226" s="216" t="e">
        <f ca="1">IF(AND($CP226&gt;=0, $CP226&lt;=90), Control!$C$152, Control!$C$152)</f>
        <v>#N/A</v>
      </c>
      <c r="HP226" s="216" t="e">
        <f t="shared" ca="1" si="753"/>
        <v>#N/A</v>
      </c>
      <c r="HQ226" s="217" t="e">
        <f ca="1">IF(OR(Control!$B$26=1,Control!$B$26=2),$KV226,$KS226)</f>
        <v>#DIV/0!</v>
      </c>
      <c r="HR226" s="218" t="e">
        <f t="shared" ca="1" si="908"/>
        <v>#DIV/0!</v>
      </c>
      <c r="HS226" s="216" t="e">
        <f ca="1">Control!$C$154*$HP226</f>
        <v>#N/A</v>
      </c>
      <c r="HT226" s="216" t="e">
        <f ca="1">Control!$C$155*$HP226</f>
        <v>#N/A</v>
      </c>
      <c r="HU226" s="217" t="e">
        <f ca="1">Control!$C$161*$FI226</f>
        <v>#N/A</v>
      </c>
      <c r="HV226" s="218" t="e">
        <f t="shared" ca="1" si="872"/>
        <v>#N/A</v>
      </c>
      <c r="HW226" s="218" t="e">
        <f ca="1">Control!$C$160*$FF226+$IP226*$EO226</f>
        <v>#N/A</v>
      </c>
      <c r="HX226" s="218" t="e">
        <f t="shared" ca="1" si="909"/>
        <v>#N/A</v>
      </c>
      <c r="HY226" s="219" t="e">
        <f ca="1">IF(Control!$C$114=1, $EB226*$FS226, 0)</f>
        <v>#N/A</v>
      </c>
      <c r="HZ226" s="91" t="e">
        <f t="shared" ca="1" si="754"/>
        <v>#N/A</v>
      </c>
      <c r="IA226" s="220" t="e">
        <f ca="1">Control!$C$153*$HO226</f>
        <v>#N/A</v>
      </c>
      <c r="IB226" s="218" t="e">
        <f t="shared" ca="1" si="755"/>
        <v>#N/A</v>
      </c>
      <c r="IC226" s="220" t="e">
        <f ca="1">Control!$C$153*$HT226</f>
        <v>#N/A</v>
      </c>
      <c r="ID226" s="218" t="e">
        <f t="shared" ca="1" si="756"/>
        <v>#N/A</v>
      </c>
      <c r="IE226" s="221" t="e">
        <f ca="1">($EB226*Control!$C$159+$EF226*Control!$C$160)/(IF($GZ226&lt;&gt;0,$GZ226,1))</f>
        <v>#N/A</v>
      </c>
      <c r="IF226" s="216" t="e">
        <f t="shared" ca="1" si="757"/>
        <v>#N/A</v>
      </c>
      <c r="IG226" s="91">
        <f ca="1">IF(OR(Control!$B$198=$AH226,Control!$B$199=$AH226, Control!$B$200=$AH226, Control!$B$201=$AH226, Control!$B$202=$AH226, Control!$B$203=$AH226, Control!$B$204=$AH226, Control!$B$205=$AH226, Control!$B$206=$AH226, Control!$B$207=$AH226), 1, 0)</f>
        <v>0</v>
      </c>
      <c r="IH226" s="91">
        <f ca="1">IF($IG226=0,0, VLOOKUP($AH226,Control!$B$198:$C$207,2))</f>
        <v>0</v>
      </c>
      <c r="II226" s="222">
        <f t="shared" ca="1" si="873"/>
        <v>0</v>
      </c>
      <c r="IJ226" s="91">
        <f>Control!$C$121</f>
        <v>0.7</v>
      </c>
      <c r="IK226" s="218">
        <f t="shared" ca="1" si="758"/>
        <v>0</v>
      </c>
      <c r="IL226" s="217" t="e">
        <f t="shared" ca="1" si="910"/>
        <v>#N/A</v>
      </c>
      <c r="IM226" s="223" t="e">
        <f ca="1">IF(AND(Control!$C$114=1,$KH226&lt;1),$EB226*Control!$C$148*(1-$KH226), 0)</f>
        <v>#N/A</v>
      </c>
      <c r="IN226" s="217" t="e">
        <f t="shared" ca="1" si="759"/>
        <v>#DIV/0!</v>
      </c>
      <c r="IO226" s="91" t="e">
        <f ca="1">MAX(0,$IL226-$EF226*Control!$C$160)</f>
        <v>#N/A</v>
      </c>
      <c r="IP226" s="220" t="e">
        <f t="shared" ca="1" si="760"/>
        <v>#N/A</v>
      </c>
      <c r="IQ226" s="217" t="e">
        <f t="shared" ca="1" si="874"/>
        <v>#N/A</v>
      </c>
      <c r="IR226" s="218" t="e">
        <f t="shared" ca="1" si="761"/>
        <v>#N/A</v>
      </c>
      <c r="IS226" s="217" t="e">
        <f ca="1">Control!$C$159*MAX(0,$FD226-$EN226)</f>
        <v>#N/A</v>
      </c>
      <c r="IT226" s="217" t="e">
        <f t="shared" ca="1" si="911"/>
        <v>#N/A</v>
      </c>
      <c r="IU226" s="217" t="e">
        <f t="shared" ca="1" si="875"/>
        <v>#N/A</v>
      </c>
      <c r="IV226" s="217" t="e">
        <f t="shared" ca="1" si="912"/>
        <v>#N/A</v>
      </c>
      <c r="IW226" s="217" t="e">
        <f ca="1">IF(OR($AW226=1,AND($AW226=0, Control!$B$18=1,$EN226&lt;&gt;0)), $IQ226-$IU226, $IQ226)</f>
        <v>#N/A</v>
      </c>
      <c r="IX226" s="218" t="e">
        <f t="shared" ca="1" si="762"/>
        <v>#N/A</v>
      </c>
      <c r="IY226" s="218" t="e">
        <f ca="1">MAX(0,$IQ226-$EB226*Control!$C$159)</f>
        <v>#N/A</v>
      </c>
      <c r="IZ226" s="218" t="e">
        <f t="shared" ca="1" si="763"/>
        <v>#N/A</v>
      </c>
      <c r="JA226" s="216" t="e">
        <f t="shared" ca="1" si="764"/>
        <v>#N/A</v>
      </c>
      <c r="JB226" s="217" t="e">
        <f t="shared" ca="1" si="765"/>
        <v>#N/A</v>
      </c>
      <c r="JC226" s="222" t="e">
        <f ca="1">MAX(Control!$C$157*$EK226-$JT226, 0)/Control!$C$162</f>
        <v>#N/A</v>
      </c>
      <c r="JD226" s="218" t="e">
        <f t="shared" ca="1" si="766"/>
        <v>#N/A</v>
      </c>
      <c r="JE226" s="218" t="e">
        <f t="shared" ca="1" si="767"/>
        <v>#N/A</v>
      </c>
      <c r="JF226" s="218" t="e">
        <f t="shared" ca="1" si="876"/>
        <v>#N/A</v>
      </c>
      <c r="JG226" s="218" t="e">
        <f t="shared" ca="1" si="768"/>
        <v>#N/A</v>
      </c>
      <c r="JH226" s="217" t="e">
        <f t="shared" ca="1" si="877"/>
        <v>#N/A</v>
      </c>
      <c r="JI226" s="217" t="e">
        <f t="shared" ca="1" si="878"/>
        <v>#N/A</v>
      </c>
      <c r="JJ226" s="217" t="e">
        <f t="shared" ca="1" si="913"/>
        <v>#N/A</v>
      </c>
      <c r="JK226" s="217" t="e">
        <f ca="1">IF(Control!$C$114=1,IF(Control!$B$24=0,MAX(0,$JI226)*$GN226/Control!$C$64,(MAX(0,MIN($JI226,$JJ226*$GN226/Control!$C$64),0))))</f>
        <v>#N/A</v>
      </c>
      <c r="JL226" s="217" t="e">
        <f ca="1">$IK226/Control!$C$64-$JK226+$HQ226</f>
        <v>#N/A</v>
      </c>
      <c r="JM226" s="217" t="e">
        <f ca="1">IF(Control!$C$114=1,($JB226/(IF($JI226&lt;&gt;0,$JI226,1)))*$JK226,0)</f>
        <v>#N/A</v>
      </c>
      <c r="JN226" s="217" t="e">
        <f ca="1">IF(Control!$C$114=1,($JG226/(IF($JI226&lt;&gt;0,$JI226,1)))*$JK226, 0)</f>
        <v>#N/A</v>
      </c>
      <c r="JO226" s="218" t="e">
        <f t="shared" ca="1" si="769"/>
        <v>#N/A</v>
      </c>
      <c r="JP226" s="218" t="e">
        <f ca="1">MIN(($IY226+$IO226)*Control!$C$151, $JF226-$EH226*Control!$C$161)</f>
        <v>#N/A</v>
      </c>
      <c r="JQ226" s="218" t="e">
        <f t="shared" ca="1" si="770"/>
        <v>#N/A</v>
      </c>
      <c r="JR226" s="217" t="e">
        <f ca="1">IF($CP226-Control!$C$150&lt;0, 0, $JQ226/Control!$C$162)</f>
        <v>#N/A</v>
      </c>
      <c r="JS226" s="218" t="e">
        <f t="shared" ca="1" si="771"/>
        <v>#N/A</v>
      </c>
      <c r="JT226" s="218" t="e">
        <f t="shared" ca="1" si="879"/>
        <v>#N/A</v>
      </c>
      <c r="JU226" s="218" t="e">
        <f t="shared" ca="1" si="772"/>
        <v>#N/A</v>
      </c>
      <c r="JV226" s="218" t="e">
        <f t="shared" ca="1" si="773"/>
        <v>#N/A</v>
      </c>
      <c r="JW226" s="216" t="e">
        <f t="shared" ca="1" si="774"/>
        <v>#N/A</v>
      </c>
      <c r="JX226" s="91" t="e">
        <f t="shared" ca="1" si="775"/>
        <v>#N/A</v>
      </c>
      <c r="JY226" s="218" t="e">
        <f t="shared" ca="1" si="776"/>
        <v>#N/A</v>
      </c>
      <c r="JZ226" s="217" t="e">
        <f ca="1">IF(Control!$C$114=1,($IZ226/(IF($JI226&lt;&gt;0,$JI226,1)))*$JK226, 0)</f>
        <v>#N/A</v>
      </c>
      <c r="KA226" s="218" t="e">
        <f t="shared" ca="1" si="914"/>
        <v>#N/A</v>
      </c>
      <c r="KB226" s="218" t="e">
        <f t="shared" ca="1" si="880"/>
        <v>#N/A</v>
      </c>
      <c r="KC226" s="218" t="e">
        <f t="shared" ca="1" si="777"/>
        <v>#N/A</v>
      </c>
      <c r="KD226" s="218" t="e">
        <f t="shared" ca="1" si="778"/>
        <v>#N/A</v>
      </c>
      <c r="KE226" s="218" t="e">
        <f t="shared" ca="1" si="779"/>
        <v>#N/A</v>
      </c>
      <c r="KF226" s="218" t="e">
        <f t="shared" ca="1" si="780"/>
        <v>#N/A</v>
      </c>
      <c r="KG226" s="216" t="e">
        <f t="shared" ca="1" si="781"/>
        <v>#N/A</v>
      </c>
      <c r="KH226" s="221" t="e">
        <f ca="1">IF(Control!$B$24=0,1,MAX(0.001,MIN(1,IF(($IF226-$IE226)&lt;&gt;0,($KG226-$IE226)/($IF226-$IE226),1))))</f>
        <v>#N/A</v>
      </c>
      <c r="KI226" s="222" t="e">
        <f ca="1">IF(Control!$C$114=1, $KI225+ $KH225, 0)</f>
        <v>#N/A</v>
      </c>
      <c r="KJ226" s="217" t="e">
        <f t="shared" ca="1" si="782"/>
        <v>#N/A</v>
      </c>
      <c r="KK226" s="218" t="e">
        <f t="shared" ca="1" si="783"/>
        <v>#N/A</v>
      </c>
      <c r="KL226" s="274" t="e">
        <f ca="1">IF(Control!$B$26=3,4000000000*EXP(-8400/($G226+273)),IF(Control!$B$26=4,4000000000*EXP(-8400/($G226+273))*($KT226),0))</f>
        <v>#DIV/0!</v>
      </c>
      <c r="KM226" s="274" t="e">
        <f ca="1">IF(Control!$B$26=3,5600000000000*EXP(-9800/($G226+273)),IF(Control!$B$26=4,5600000000000*EXP(-9800/($G226+273))*$KT226,0))</f>
        <v>#DIV/0!</v>
      </c>
      <c r="KN226" s="454" t="e">
        <f t="shared" ca="1" si="881"/>
        <v>#DIV/0!</v>
      </c>
      <c r="KO226" s="274" t="e">
        <f t="shared" ca="1" si="882"/>
        <v>#DIV/0!</v>
      </c>
      <c r="KP226" s="454" t="e">
        <f t="shared" ca="1" si="784"/>
        <v>#DIV/0!</v>
      </c>
      <c r="KQ226" s="454" t="e">
        <f t="shared" ca="1" si="785"/>
        <v>#DIV/0!</v>
      </c>
      <c r="KR226" s="454" t="e">
        <f t="shared" ca="1" si="786"/>
        <v>#DIV/0!</v>
      </c>
      <c r="KS226" s="454" t="e">
        <f t="shared" ca="1" si="787"/>
        <v>#DIV/0!</v>
      </c>
      <c r="KT226" s="455" t="e">
        <f t="shared" ca="1" si="788"/>
        <v>#DIV/0!</v>
      </c>
      <c r="KU226" s="456" t="e">
        <f ca="1">IF($CP226-Control!$C$149&lt;0, IF($NT226-0.01&lt;0,0,1),0)</f>
        <v>#N/A</v>
      </c>
      <c r="KV226" s="456" t="e">
        <f ca="1">IF(Control!$C$114=1,MAX(0,MIN(Control!$C$125*$KW226*$GN226,$KW226)))</f>
        <v>#DIV/0!</v>
      </c>
      <c r="KW226" s="456" t="e">
        <f t="shared" ca="1" si="915"/>
        <v>#DIV/0!</v>
      </c>
      <c r="KX226" s="457" t="e">
        <f ca="1">IF($CP226-Control!$C$149&lt;0, IF($MR226-$OM226&lt;0,0,1),0)</f>
        <v>#N/A</v>
      </c>
      <c r="KY226" s="167">
        <f t="shared" ca="1" si="883"/>
        <v>222</v>
      </c>
      <c r="KZ226" s="168">
        <f ca="1">1370*(1+0.033*COS(2*Control!$C$138*$AH226/365))</f>
        <v>1334.8450870176787</v>
      </c>
      <c r="LA226" s="169">
        <f t="shared" ca="1" si="884"/>
        <v>0.97433929414987031</v>
      </c>
      <c r="LB226" s="169">
        <f t="shared" ca="1" si="885"/>
        <v>0.26661206235031204</v>
      </c>
      <c r="LC226" s="169">
        <f ca="1">ACOS(-TAN((2*Control!$B$8/360))*TAN(Calculations!$LB226))</f>
        <v>1.6520560919405842</v>
      </c>
      <c r="LD226" s="169">
        <f ca="1">((24*60)/PI())*0.082*$LA226*(($LC226*SIN(Control!$B$8*2*PI()/360))*SIN($LB226)+COS(Control!$B$8*2*PI()/360)*COS($LB226)*SIN($LC226))</f>
        <v>34.238882477182038</v>
      </c>
      <c r="LE226" s="170">
        <f t="shared" ca="1" si="789"/>
        <v>34.997649889612987</v>
      </c>
      <c r="LF226" s="170">
        <f ca="1">SIN(Control!$C$139*Control!$B$8)*SIN($HD226)</f>
        <v>0.20646529864068311</v>
      </c>
      <c r="LG226" s="170">
        <f ca="1">COS(Control!$C$139*Control!$B$8)*COS($HD226)</f>
        <v>0.59415219456203117</v>
      </c>
      <c r="LH226" s="170">
        <f ca="1">12*(1+2*ASIN(MAX(-1,MIN(1,$LF226/$LG226))/Control!$C$138))</f>
        <v>14.660108193730929</v>
      </c>
      <c r="LI226" s="170">
        <f ca="1">12*(1+2*ASIN(MAX(-1,MIN(1,(-SIN(-4*Control!$C$139)+$LF226)/$LG226))/Control!$C$138))</f>
        <v>15.564665464595388</v>
      </c>
      <c r="LJ226" s="168">
        <f ca="1">3600*($LH226*$LF226+24*$LG226*SQRT(1-$LK226*$LK226)/Control!$C$138)</f>
        <v>26218.510469859099</v>
      </c>
      <c r="LK226" s="170">
        <f t="shared" ca="1" si="790"/>
        <v>0.34749564258173843</v>
      </c>
      <c r="LL226" s="170">
        <f t="shared" ca="1" si="791"/>
        <v>0</v>
      </c>
      <c r="LM226" s="171">
        <f ca="1">Control!$C$145*$AB226</f>
        <v>6.6660906138995932E-2</v>
      </c>
      <c r="LN226" s="170">
        <f t="shared" ca="1" si="886"/>
        <v>0.54</v>
      </c>
      <c r="LO226" s="170">
        <f t="shared" ca="1" si="792"/>
        <v>0</v>
      </c>
      <c r="LP226" s="170">
        <f ca="1">Control!$C$140*((($D226+273.16)^4+($E226+273.16)^4)/2)*(0.34-0.14*SQRT($Y226))*(1.35*$AQ226/(0.75*$LD226)-0.35)</f>
        <v>-3.2464704755046001</v>
      </c>
      <c r="LQ226" s="170">
        <f ca="1">Control!$C$140*($G226+273)^4*(0.56-0.079*SQRT($Y226*10))*(0.1+0.9*$LO226)</f>
        <v>1.5241745131704001</v>
      </c>
      <c r="LR226" s="170">
        <f ca="1">$AQ226*(1-Control!$C$142)-$LQ226</f>
        <v>-1.5241745131704001</v>
      </c>
      <c r="LS226" s="170">
        <f ca="1">$AQ226*(1-Control!$C$143)-$LQ226</f>
        <v>-1.5241745131704001</v>
      </c>
      <c r="LT226" s="170">
        <f ca="1">$AQ226*(1-Control!$C$144)-$LQ226</f>
        <v>-1.5241745131704001</v>
      </c>
      <c r="LU226" s="169">
        <f ca="1">(1-Control!$C$144)*AQ226-LP226</f>
        <v>3.2464704755046001</v>
      </c>
      <c r="LV226" s="172">
        <f t="shared" ca="1" si="793"/>
        <v>0.79430000000000012</v>
      </c>
      <c r="LW226" s="170">
        <f t="shared" ca="1" si="794"/>
        <v>1.5886000000000002</v>
      </c>
      <c r="LX226" s="170">
        <f ca="1">($AC226*($LR226/Control!$C$141)+$LM226*$LV226)/($AC226+$LM226)</f>
        <v>0.23530094218323697</v>
      </c>
      <c r="LY226" s="170">
        <f ca="1">($AC226*($LS226/Control!$C$141)+$LM226*$LV226)/($AC226+$LM226)</f>
        <v>0.23530094218323697</v>
      </c>
      <c r="LZ226" s="170">
        <f t="shared" ca="1" si="795"/>
        <v>0.23530094218323697</v>
      </c>
      <c r="MA226" s="170">
        <f t="shared" ca="1" si="796"/>
        <v>0.23530094218323697</v>
      </c>
      <c r="MB226" s="170" t="e">
        <f t="shared" ca="1" si="797"/>
        <v>#N/A</v>
      </c>
      <c r="MC226" s="170">
        <f t="shared" ca="1" si="887"/>
        <v>0.6018</v>
      </c>
      <c r="MD226" s="170">
        <f t="shared" ca="1" si="798"/>
        <v>0.52989392535414004</v>
      </c>
      <c r="ME226" s="170">
        <f ca="1">($AC226*($LT226/Control!$C$141)+$LM226*$LW226)/($AC226+$LM226)</f>
        <v>0.71612369323045078</v>
      </c>
      <c r="MF226" s="170" t="e">
        <f ca="1">IF(Control!$B$16&gt;=1000,0.92,IF(AND(720&lt;=Control!$B$16,1000&gt;Control!$B$16),(0.95+(Control!$B$16-720)*((0.92-0.95)/(1000-720))),IF(AND(360&lt;=Control!$B$16,720&gt;Control!$B$16),(1+(Control!$B$16-360)*((0.95-1)/(720-360))),IF(AND(40&lt;=Control!$B$16,360&gt;Control!$B$16),(1.05+(Control!$B$16-40)*((1.05-1)/(360-40)))))))</f>
        <v>#N/A</v>
      </c>
      <c r="MG226" s="170">
        <f t="shared" ca="1" si="799"/>
        <v>0.71612369323045078</v>
      </c>
      <c r="MH226" s="170" t="e">
        <f t="shared" ref="MH226:MI245" ca="1" si="925">$MG226*$MF226</f>
        <v>#N/A</v>
      </c>
      <c r="MI226" s="170" t="e">
        <f t="shared" ca="1" si="925"/>
        <v>#N/A</v>
      </c>
      <c r="MJ226" s="170" t="e">
        <f ca="1">MAX(0.0001, Control!$C$132*$MI226*$DL226)</f>
        <v>#N/A</v>
      </c>
      <c r="MK226" s="170">
        <f ca="1">1/(0.76+1.5*($MG226/10))-(5-Control!$C$110)*0.1</f>
        <v>1.002845988140797</v>
      </c>
      <c r="ML226" s="173">
        <f ca="1">IF(Control!$C$110&lt;3,$MK226+($MG226-0.6)/(Control!$C$110*(Control!$C$110+3)), MAX(0.1, MIN(0.95,$MK226)))</f>
        <v>0.95</v>
      </c>
      <c r="MM226" s="173">
        <f ca="1">IF(Control!$C$110&lt;3,$MK226+(($MI226/10)-0.6)/(Control!$C$110*(Control!$C$110+3)), MAX(0.1, MIN(0.95,$MK226)))</f>
        <v>0.95</v>
      </c>
      <c r="MN226" s="173">
        <f ca="1">(1-$MM226)*(Control!$C$128-Control!$C$127)+Control!$C$127</f>
        <v>0.16</v>
      </c>
      <c r="MO226" s="170" t="e">
        <f ca="1">MAX(0,MIN(1,($MS226-Control!$C$127)/($MN226-Control!$C$127)))</f>
        <v>#DIV/0!</v>
      </c>
      <c r="MP226" s="173" t="e">
        <f ca="1">1/(0.76+1.5*$MI226)-(5-Control!$C$110)*0.1</f>
        <v>#N/A</v>
      </c>
      <c r="MQ226" s="172" t="e">
        <f t="shared" ca="1" si="916"/>
        <v>#DIV/0!</v>
      </c>
      <c r="MR226" s="168" t="e">
        <f t="shared" ca="1" si="888"/>
        <v>#DIV/0!</v>
      </c>
      <c r="MS226" s="173" t="e">
        <f ca="1">MAX(Control!$C$127, MIN(Control!$C$135, $MR226/MAX(0.0001,$CY226)))</f>
        <v>#DIV/0!</v>
      </c>
      <c r="MT226" s="168" t="e">
        <f ca="1">(Control!$C$128-$MS226)*Control!$C$74</f>
        <v>#DIV/0!</v>
      </c>
      <c r="MU226" s="168" t="e">
        <f ca="1">(Control!$C$135-$MS226)*Control!$C$74</f>
        <v>#DIV/0!</v>
      </c>
      <c r="MV226" s="168" t="e">
        <f t="shared" ca="1" si="889"/>
        <v>#DIV/0!</v>
      </c>
      <c r="MW226" s="168" t="e">
        <f t="shared" ca="1" si="890"/>
        <v>#DIV/0!</v>
      </c>
      <c r="MX226" s="171" t="e">
        <f ca="1">MAX(Control!$C$127, MIN(Control!$C$135, $MW226/MAX(0.0001,Control!$C$119-$CY226)))</f>
        <v>#DIV/0!</v>
      </c>
      <c r="MY226" s="54" t="e">
        <f ca="1">IF(Control!$C$114=1, $CX226*$MX226, 0)</f>
        <v>#DIV/0!</v>
      </c>
      <c r="MZ226" s="54" t="e">
        <f t="shared" ca="1" si="891"/>
        <v>#N/A</v>
      </c>
      <c r="NA226" s="168" t="e">
        <f ca="1">(Control!$C$128-$MX226)*(Control!$C$119-Control!$C$74)</f>
        <v>#DIV/0!</v>
      </c>
      <c r="NB226" s="168" t="e">
        <f ca="1">(Control!$C$135-$MX226)*(Control!$C$119-Control!$C$74)</f>
        <v>#DIV/0!</v>
      </c>
      <c r="NC226" s="174" t="e">
        <f t="shared" ca="1" si="892"/>
        <v>#DIV/0!</v>
      </c>
      <c r="ND226" s="54">
        <f ca="1">IF(Control!$C$58=2, IF(OR(Control!$B$218=$AH226,Control!$B$219=$AH226, Control!$B$220=$AH226, Control!$B$221=$AH226, Control!$B$222=$AH226, Control!$B$223=$AH226, Control!$B$224=$AH226, Control!$B$225=$AH226, Control!$B$226=$AH226, Control!$B$227=$AH226, Control!$B$228=$AH226), 1, 0), 0)</f>
        <v>0</v>
      </c>
      <c r="NE226" s="54">
        <f ca="1">IF($ND226=0,0, VLOOKUP($AH226,Control!$B$218:$C$228,2))</f>
        <v>0</v>
      </c>
      <c r="NF226" s="168" t="e">
        <f ca="1">$CY226*(Control!$C$128-Control!$C$127)</f>
        <v>#N/A</v>
      </c>
      <c r="NG226" s="54" t="e">
        <f ca="1">IF(Control!$C$58=2, $NI225-$NJ225, 0)</f>
        <v>#DIV/0!</v>
      </c>
      <c r="NH226" s="54" t="e">
        <f ca="1">IF(AND(Control!$C$58=1, $MS225&lt;= ($MN225+0.02), $I225&lt;10), 0, IF(Control!$C$58=2, $NG225, 0))</f>
        <v>#DIV/0!</v>
      </c>
      <c r="NI226" s="54" t="e">
        <f ca="1">IF(Control!$C$58=2, $NE226+$NH226,0)</f>
        <v>#DIV/0!</v>
      </c>
      <c r="NJ226" s="54" t="e">
        <f ca="1">IF(AND(Control!$C$58=1, $MS226&lt;= ($MN226+0.02), $I226&lt;10), MAX(0, MIN(10, 0.7*($NF226-$MV226))), IF(Control!$C$58=2, MIN(10,$NI226),0))</f>
        <v>#DIV/0!</v>
      </c>
      <c r="NK226" s="54" t="e">
        <f t="shared" ca="1" si="800"/>
        <v>#DIV/0!</v>
      </c>
      <c r="NL226" s="173" t="e">
        <f ca="1">(1-Control!$C$73)*$I226+$NJ226</f>
        <v>#DIV/0!</v>
      </c>
      <c r="NM226" s="172" t="e">
        <f ca="1">IF($NL226&lt;0.5, $MB226* MAX(0, MIN(1, (SQRT($NC226)-SQRT($NC226-1))*Control!$C$71)),0)</f>
        <v>#DIV/0!</v>
      </c>
      <c r="NN226" s="170" t="e">
        <f ca="1">IF($NL226&gt;=5, $MB226, MAX(0,MIN($MB226, $NM226+$NL226,($MS226-Control!$C$129))))</f>
        <v>#DIV/0!</v>
      </c>
      <c r="NO226" s="54">
        <f>IF(Control!$C$133&lt;&gt;1, Control!$C$135-Control!$C$131, 0)</f>
        <v>0.38</v>
      </c>
      <c r="NP226" s="54" t="e">
        <f t="shared" ca="1" si="801"/>
        <v>#DIV/0!</v>
      </c>
      <c r="NQ226" s="173" t="e">
        <f ca="1">MAX(0,MIN(1,(Control!$C$135-$MS226)/(Control!$C$135-$NO226)))</f>
        <v>#DIV/0!</v>
      </c>
      <c r="NR226" s="170" t="e">
        <f ca="1">IF(Control!$C$133&lt;&gt;1, $NQ226+((1-$NP226/4)*(1-$NQ226)),1)</f>
        <v>#DIV/0!</v>
      </c>
      <c r="NS226" s="170" t="e">
        <f ca="1">IF(Control!$B$31=0,$MJ226,MAX(0,MIN($MV226,$MO226*$NR226*$MJ226)))</f>
        <v>#DIV/0!</v>
      </c>
      <c r="NT226" s="170" t="e">
        <f t="shared" ca="1" si="917"/>
        <v>#DIV/0!</v>
      </c>
      <c r="NU226" s="170" t="e">
        <f t="shared" ca="1" si="893"/>
        <v>#N/A</v>
      </c>
      <c r="NV226" s="170" t="e">
        <f t="shared" ca="1" si="802"/>
        <v>#N/A</v>
      </c>
      <c r="NW226" s="175" t="e">
        <f t="shared" ca="1" si="803"/>
        <v>#DIV/0!</v>
      </c>
      <c r="NX226" s="170" t="e">
        <f ca="1">MIN(Control!$C$72+$MU226, $NW226)</f>
        <v>#DIV/0!</v>
      </c>
      <c r="NY226" s="170" t="e">
        <f ca="1">IF($MT226&lt;=$NX226,MIN(Control!$C$72+$NB226,$NX226-$MT226),0)</f>
        <v>#DIV/0!</v>
      </c>
      <c r="NZ226" s="54" t="e">
        <f ca="1">IF(Control!$C$114=1,  $CX226*($MX226-Control!$C$127), 0)</f>
        <v>#DIV/0!</v>
      </c>
      <c r="OA226" s="170" t="e">
        <f t="shared" ca="1" si="804"/>
        <v>#DIV/0!</v>
      </c>
      <c r="OB226" s="170" t="e">
        <f ca="1">IF($NA226 &lt;=$NY226, MIN(Control!$C$72, $NY226-$NA226), 0)</f>
        <v>#DIV/0!</v>
      </c>
      <c r="OC226" s="168" t="e">
        <f t="shared" ca="1" si="805"/>
        <v>#DIV/0!</v>
      </c>
      <c r="OD226" s="168" t="e">
        <f t="shared" ca="1" si="894"/>
        <v>#DIV/0!</v>
      </c>
      <c r="OE226" s="170">
        <f ca="1">Control!$C$73*$I226</f>
        <v>0</v>
      </c>
      <c r="OF226" s="176" t="e">
        <f t="shared" ca="1" si="806"/>
        <v>#DIV/0!</v>
      </c>
      <c r="OG226" s="168" t="e">
        <f t="shared" ca="1" si="807"/>
        <v>#DIV/0!</v>
      </c>
      <c r="OH226" s="168" t="e">
        <f t="shared" ca="1" si="808"/>
        <v>#DIV/0!</v>
      </c>
      <c r="OI226" s="168" t="e">
        <f t="shared" ca="1" si="809"/>
        <v>#DIV/0!</v>
      </c>
      <c r="OJ226" s="168" t="e">
        <f t="shared" ca="1" si="810"/>
        <v>#DIV/0!</v>
      </c>
      <c r="OK226" s="204" t="e">
        <f t="shared" ca="1" si="811"/>
        <v>#DIV/0!</v>
      </c>
      <c r="OL226" s="177">
        <f>Control!$C$127</f>
        <v>0.15</v>
      </c>
      <c r="OM226" s="182" t="e">
        <f t="shared" ca="1" si="812"/>
        <v>#N/A</v>
      </c>
      <c r="ON226" s="177">
        <f>Control!$C$128</f>
        <v>0.35</v>
      </c>
      <c r="OO226" s="182" t="e">
        <f t="shared" ca="1" si="813"/>
        <v>#N/A</v>
      </c>
      <c r="OP226" s="138">
        <f t="shared" ca="1" si="895"/>
        <v>0</v>
      </c>
      <c r="OQ226" s="138" t="e">
        <f t="shared" ca="1" si="918"/>
        <v>#DIV/0!</v>
      </c>
      <c r="OR226" s="138" t="e">
        <f t="shared" ca="1" si="896"/>
        <v>#DIV/0!</v>
      </c>
      <c r="OS226" s="137" t="e">
        <f t="shared" ca="1" si="919"/>
        <v>#DIV/0!</v>
      </c>
      <c r="OT226" s="139" t="e">
        <f t="shared" ca="1" si="920"/>
        <v>#DIV/0!</v>
      </c>
      <c r="OU226" s="138" t="e">
        <f t="shared" ca="1" si="921"/>
        <v>#N/A</v>
      </c>
      <c r="OV226" s="138" t="e">
        <f t="shared" ca="1" si="922"/>
        <v>#DIV/0!</v>
      </c>
      <c r="OW226" s="138" t="e">
        <f t="shared" ca="1" si="897"/>
        <v>#DIV/0!</v>
      </c>
      <c r="OX226" s="138" t="e">
        <f t="shared" ca="1" si="898"/>
        <v>#DIV/0!</v>
      </c>
      <c r="OY226" s="138" t="e">
        <f t="shared" ca="1" si="899"/>
        <v>#DIV/0!</v>
      </c>
      <c r="OZ226" s="138" t="e">
        <f t="shared" ca="1" si="814"/>
        <v>#DIV/0!</v>
      </c>
      <c r="PA226" s="138" t="e">
        <f t="shared" ca="1" si="815"/>
        <v>#DIV/0!</v>
      </c>
      <c r="PB226" s="55">
        <f>IF(Control!$C$61="T", IF(Control!$C$65="F", IF($AH$6-Control!$C$60&lt;0,0,1), IF(365+$AH$6-Control!$C$60&lt;0,0,1)),0)</f>
        <v>0</v>
      </c>
      <c r="PC226" s="55">
        <f ca="1">IF(Control!$C$65="F", IF($AH$6-$HF226&lt;0,0,1), IF(365+$AH$6-$HF226&lt;0,0,1))</f>
        <v>1</v>
      </c>
      <c r="PD226" s="444">
        <f>Control!$C$118</f>
        <v>1500</v>
      </c>
      <c r="PE226" s="180" t="e">
        <f t="shared" ca="1" si="816"/>
        <v>#N/A</v>
      </c>
      <c r="PF226" s="445">
        <f t="shared" ca="1" si="900"/>
        <v>0.71612369323045078</v>
      </c>
      <c r="PT226" s="186"/>
      <c r="PU226" s="186"/>
      <c r="PV226" s="94"/>
      <c r="PW226" s="94"/>
      <c r="PX226" s="94"/>
      <c r="PY226" s="94"/>
      <c r="PZ226" s="94"/>
      <c r="QA226" s="94"/>
      <c r="QB226" s="94"/>
      <c r="QC226" s="94"/>
      <c r="QD226" s="94"/>
      <c r="QE226" s="94"/>
      <c r="QF226" s="94"/>
      <c r="QG226" s="94"/>
      <c r="QH226" s="94"/>
      <c r="QI226" s="94"/>
      <c r="QJ226" s="94"/>
      <c r="QK226" s="94"/>
      <c r="QL226" s="94"/>
      <c r="QM226" s="94"/>
      <c r="QN226" s="94"/>
      <c r="QO226" s="94"/>
      <c r="QP226" s="94"/>
    </row>
    <row r="227" spans="1:458" s="2" customFormat="1" x14ac:dyDescent="0.2">
      <c r="A227" s="395">
        <v>10</v>
      </c>
      <c r="B227" s="396">
        <v>8</v>
      </c>
      <c r="C227" s="387">
        <f ca="1">Weather_data!$B226</f>
        <v>0</v>
      </c>
      <c r="D227" s="388">
        <f ca="1">Weather_data!$F226</f>
        <v>0</v>
      </c>
      <c r="E227" s="388">
        <f ca="1">Weather_data!$E226</f>
        <v>0</v>
      </c>
      <c r="F227" s="388">
        <f t="shared" ca="1" si="817"/>
        <v>0</v>
      </c>
      <c r="G227" s="388">
        <f ca="1">AVERAGE($D227:$E227)+Control!$B$9</f>
        <v>0</v>
      </c>
      <c r="H227" s="388">
        <f ca="1">Weather_data!$G226</f>
        <v>0</v>
      </c>
      <c r="I227" s="388">
        <f ca="1">Weather_data!$I226</f>
        <v>0</v>
      </c>
      <c r="J227" s="388">
        <f ca="1">Weather_data!$H226</f>
        <v>0</v>
      </c>
      <c r="K227" s="389">
        <f ca="1">Weather_data!$D226</f>
        <v>0</v>
      </c>
      <c r="L227" s="388" t="e">
        <f t="shared" ca="1" si="818"/>
        <v>#N/A</v>
      </c>
      <c r="M227" s="388" t="e">
        <f t="shared" ca="1" si="696"/>
        <v>#N/A</v>
      </c>
      <c r="N227" s="388">
        <f t="shared" ca="1" si="697"/>
        <v>-3.8597981215595875E-11</v>
      </c>
      <c r="O227" s="388">
        <f t="shared" ca="1" si="819"/>
        <v>3.8597981215595877E-10</v>
      </c>
      <c r="P227" s="390">
        <v>3</v>
      </c>
      <c r="Q227" s="388">
        <f ca="1">MAX($G227-Control!$C$107,0)</f>
        <v>0</v>
      </c>
      <c r="R227" s="388">
        <f t="shared" ca="1" si="820"/>
        <v>0</v>
      </c>
      <c r="S227" s="388">
        <f t="shared" ca="1" si="698"/>
        <v>0</v>
      </c>
      <c r="T227" s="388">
        <f t="shared" ca="1" si="699"/>
        <v>0</v>
      </c>
      <c r="U227" s="59">
        <f t="shared" ca="1" si="700"/>
        <v>0</v>
      </c>
      <c r="V227" s="391">
        <f ca="1">MAX(0,MIN(Control!$C$100-Control!$C$99,$G227-Control!$C$99)*Control!$C$63)</f>
        <v>0</v>
      </c>
      <c r="W227" s="388">
        <f t="shared" ca="1" si="821"/>
        <v>0</v>
      </c>
      <c r="X227" s="388">
        <f t="shared" ca="1" si="822"/>
        <v>0.6110000000000001</v>
      </c>
      <c r="Y227" s="388">
        <f t="shared" ca="1" si="701"/>
        <v>0</v>
      </c>
      <c r="Z227" s="388">
        <f t="shared" ca="1" si="823"/>
        <v>0.61058800000000002</v>
      </c>
      <c r="AA227" s="388">
        <f t="shared" ca="1" si="702"/>
        <v>0.6018</v>
      </c>
      <c r="AB227" s="388">
        <f ca="1">101.3*EXP(-0.034*Control!$C$66/($G227+273))</f>
        <v>100.69623283836242</v>
      </c>
      <c r="AC227" s="392">
        <f t="shared" ca="1" si="703"/>
        <v>4.3460251046025113E-2</v>
      </c>
      <c r="AD227" s="392">
        <f t="shared" ca="1" si="704"/>
        <v>4.4450382862832649E-2</v>
      </c>
      <c r="AE227" s="388">
        <f t="shared" ca="1" si="705"/>
        <v>0</v>
      </c>
      <c r="AF227" s="388">
        <f ca="1">MAX(0,$G227-Control!$C$92)</f>
        <v>0</v>
      </c>
      <c r="AG227" s="393">
        <f t="shared" ca="1" si="706"/>
        <v>223</v>
      </c>
      <c r="AH227" s="389">
        <f t="shared" ca="1" si="707"/>
        <v>223</v>
      </c>
      <c r="AI227" s="388">
        <f t="shared" ca="1" si="824"/>
        <v>0.25972327088411029</v>
      </c>
      <c r="AJ227" s="388">
        <f ca="1">IF(Control!$C$60&lt;=0,$HH227,$HI227)</f>
        <v>1</v>
      </c>
      <c r="AK227" s="388">
        <f t="shared" ca="1" si="708"/>
        <v>2.4616315039087149</v>
      </c>
      <c r="AL227" s="388">
        <f t="shared" ca="1" si="709"/>
        <v>-1.2625126638576845E-18</v>
      </c>
      <c r="AM227" s="388">
        <f t="shared" ca="1" si="710"/>
        <v>2.4616315039087149</v>
      </c>
      <c r="AN227" s="388">
        <f t="shared" ca="1" si="711"/>
        <v>0.25280610089487077</v>
      </c>
      <c r="AO227" s="388">
        <f ca="1">-0.10453/COS(Control!$B$8*PI()/180)*COS(AN227)</f>
        <v>-0.16438814492275938</v>
      </c>
      <c r="AP227" s="388">
        <f ca="1">ACOS(AO227-TAN(Control!$B$8*PI()/180)*TAN(AN227))</f>
        <v>2.0886765874480586</v>
      </c>
      <c r="AQ227" s="388">
        <f t="shared" ca="1" si="825"/>
        <v>0</v>
      </c>
      <c r="AR227" s="394">
        <f t="shared" ca="1" si="712"/>
        <v>0</v>
      </c>
      <c r="AS227" s="436">
        <f ca="1">IF(Control!$B$18=2,(IF(OR($AH227=Control!$B$175,$AH227=Control!$B$176,$AH227=Control!$B$177,$AH227=Control!$B$178,$AH227=Control!$B$179,$AH227=Control!$B$180,$AH227=Control!$B$181,$AH227=Control!$B$182,$AH227=Control!$B$183,$AH227=Control!$B$184,$AH227=Control!$B$185),1,0)),0)</f>
        <v>0</v>
      </c>
      <c r="AT227" s="436">
        <f>IF(Control!$B$20=8,IF(AND($AH227&gt;=Control!$B$172,$AH227&lt;=Control!$B$173),1,0),0)</f>
        <v>0</v>
      </c>
      <c r="AU227" s="436">
        <f>IF(Control!$B$20=8,IF($AV226=1,1*$AT227,IF($AT227=1,$AU226+1,$AU226)),0)</f>
        <v>0</v>
      </c>
      <c r="AV227" s="436">
        <f>IF(Control!$B$20=8,IF($AU227&gt;=Control!$B$174,1,0),0)</f>
        <v>0</v>
      </c>
      <c r="AW227" s="436">
        <f ca="1">IF(AND(Control!$B$18=2,Control!$B$171=1), $AV227, $AS227)</f>
        <v>0</v>
      </c>
      <c r="AX227" s="436" t="e">
        <f ca="1">IF(AND(Control!$B$18=1,$EU227&gt;=Control!$B$19),-$AY227,IF(AND(Control!$B$18=2,$AW227=1,$EU227&gt;$DS227),-$AY227, IF(Control!$C$108=0,0, IF(Control!$C$108&lt;&gt;0,1))))</f>
        <v>#N/A</v>
      </c>
      <c r="AY227" s="436" t="e">
        <f t="shared" ca="1" si="826"/>
        <v>#N/A</v>
      </c>
      <c r="AZ227" s="436" t="e">
        <f ca="1">IF(AND(Control!$B$18=1,$EB227&gt;Control!$B$19),$AZ226+1, IF(AND(Control!$B$18=2, $AW227=1, $EB227&gt;$DS227), $AZ226+1,$AZ226))</f>
        <v>#N/A</v>
      </c>
      <c r="BA227" s="587">
        <f>IF(Control!$C$81=0,1,IF($AH227&gt;=Control!$C$82,1,0))</f>
        <v>1</v>
      </c>
      <c r="BB227" s="140" t="e">
        <f ca="1">IF($BA227&gt;$BA226,Control!$C$83,IF($AW227&gt;0,$AW227*Control!$C$84,IF(AND(Control!$B$18=1,EN226&lt;&gt;0),Control!$C$84,0)))</f>
        <v>#N/A</v>
      </c>
      <c r="BC227" s="140" t="e">
        <f t="shared" ca="1" si="827"/>
        <v>#N/A</v>
      </c>
      <c r="BD227" s="140" t="e">
        <f ca="1">BC227*IF(OR($G227&lt;Control!$C$92,$G227&gt;Control!$C$95),0,IF(AND($G227&gt;=Control!$C$92,$G227&lt;=Control!$C$93),$G227-Control!$C$92,IF(AND($G227&gt;Control!$C$93,$G227&lt;=Control!$C$94),Control!$C$93-Control!$C$92,IF(AND($G227&gt;Control!$C$94,$G227&lt;=Control!$C$95),(Control!$C$93-Control!$C$92)*(Control!$C$94-$G227)/(Control!$C$95-Control!$C$94)))))</f>
        <v>#N/A</v>
      </c>
      <c r="BE227" s="140" t="e">
        <f t="shared" ca="1" si="828"/>
        <v>#N/A</v>
      </c>
      <c r="BF227" s="140" t="e">
        <f ca="1">IF($BE227&lt;=Control!$C$86,$BE227,Control!$C$86-$BE227)</f>
        <v>#N/A</v>
      </c>
      <c r="BG227" s="140" t="e">
        <f ca="1">IF(AND($AW227=1,Control!$C$84&lt;9),1,IF($BE227&gt;=Control!$C$86,0,$BC227))</f>
        <v>#N/A</v>
      </c>
      <c r="BH227" s="404" t="e">
        <f ca="1">IF($BG227=0,0,IF($BE227&lt;=Control!$C$86,$BC227*9*($BF227/Control!$C$86),0))</f>
        <v>#N/A</v>
      </c>
      <c r="BI227" s="140" t="e">
        <f ca="1">IF($BG227=1,0,IF($BE227&gt;=Control!$C$86,1,IF(AND($BB227&lt;21,$BB227&gt;=9),1,$BM226)))</f>
        <v>#N/A</v>
      </c>
      <c r="BJ227" s="140" t="e">
        <f ca="1">IF($BF227&lt;0,-$BF227,$BI227*IF(OR($G227&lt;Control!$C$92,$G227&gt;Control!$C$95),0,IF(AND($G227&gt;=Control!$C$92,$G227&lt;=Control!$C$93),$G227-Control!$C$92,IF(AND($G227&gt;Control!$C$93,$G227&lt;=Control!$C$94),Control!$C$93-Control!$C$92,IF(AND($G227&gt;Control!$C$94,$G227&lt;=Control!$C$95),(Control!$C$93-Control!$C$92)*(Control!$C$94-$G227)/(Control!$C$95-Control!$C$94))))))</f>
        <v>#N/A</v>
      </c>
      <c r="BK227" s="140" t="e">
        <f t="shared" ca="1" si="829"/>
        <v>#N/A</v>
      </c>
      <c r="BL227" s="140" t="e">
        <f ca="1">IF($BK227&lt;=Control!$C$87,$BK227,Control!$C$87-$BK227)</f>
        <v>#N/A</v>
      </c>
      <c r="BM227" s="140" t="e">
        <f ca="1">IF(AND($BB227&gt;=9,$BB227&lt;21),1,IF($BK227&gt;=Control!$C$87,0,$BI227))</f>
        <v>#N/A</v>
      </c>
      <c r="BN227" s="404" t="e">
        <f ca="1">IF($BM227=0,0,IF($BK227&lt;=Control!$C$87,$BI227*(9+(21-9)*($BL227/Control!$C$87)),0))</f>
        <v>#N/A</v>
      </c>
      <c r="BO227" s="140" t="e">
        <f ca="1">IF($BM227=1,0,IF($BK227&gt;=Control!$C$87,1,IF(AND($BB227&lt;30,$BB227&gt;=21),1,$BS226)))</f>
        <v>#N/A</v>
      </c>
      <c r="BP227" s="140" t="e">
        <f ca="1">IF($BL227&lt;0,-$BL227,$BO227*IF(OR($G227&lt;Control!$C$92,$G227&gt;Control!$C$95),0,IF(AND($G227&gt;=Control!$C$92,$G227&lt;=Control!$C$93),$G227-Control!$C$92,IF(AND($G227&gt;Control!$C$93,$G227&lt;=Control!$C$94),Control!$C$93-Control!$C$92,IF(AND($G227&gt;Control!$C$94,$G227&lt;=Control!$C$95),(Control!$C$93-Control!$C$92)*(Control!$C$94-$G227)/(Control!$C$95-Control!$C$94))))))</f>
        <v>#N/A</v>
      </c>
      <c r="BQ227" s="140" t="e">
        <f t="shared" ca="1" si="713"/>
        <v>#N/A</v>
      </c>
      <c r="BR227" s="140" t="e">
        <f ca="1">IF($BQ227&lt;=Control!$C$88,$BQ227,Control!$C$88-$BQ227)</f>
        <v>#N/A</v>
      </c>
      <c r="BS227" s="140" t="e">
        <f ca="1">IF(AND($BB227&gt;=21,$BB227&lt;30),1,IF($BQ227&gt;=Control!$C$88,0,$BO227))</f>
        <v>#N/A</v>
      </c>
      <c r="BT227" s="404" t="e">
        <f ca="1">IF($BS227=0,0,IF($BQ227&lt;=Control!$C$88,$BO227*(21+(30-21)*(BR227/Control!$C$88)),0))</f>
        <v>#N/A</v>
      </c>
      <c r="BU227" s="140" t="e">
        <f ca="1">IF(BG227+BM227+BS227=1,0,IF(OR(AND($BB227&lt;60,$BB227&gt;=30),$BQ227&gt;=Control!$C$88),1*$BA227,$BY226))</f>
        <v>#N/A</v>
      </c>
      <c r="BV227" s="140" t="e">
        <f ca="1">IF($BR227&lt;0,-$BR227,$BU227*IF(OR($G227&lt;Control!$C$92,$G227&gt;Control!$C$95),0,IF(AND($G227&gt;=Control!$C$92,$G227&lt;=Control!$C$93),$G227-Control!$C$92,IF(AND($G227&gt;Control!$C$93,$G227&lt;=Control!$C$94),Control!$C$93-Control!$C$92,IF(AND($G227&gt;Control!$C$94,$G227&lt;=Control!$C$95),(Control!$C$93-Control!$C$92)*(Control!$C$94-$G227)/(Control!$C$95-Control!$C$94))))))</f>
        <v>#N/A</v>
      </c>
      <c r="BW227" s="140" t="e">
        <f t="shared" ca="1" si="714"/>
        <v>#N/A</v>
      </c>
      <c r="BX227" s="140" t="e">
        <f ca="1">IF($BW227&lt;=Control!$C$89,$BW227,Control!$C$89-$BW227)</f>
        <v>#N/A</v>
      </c>
      <c r="BY227" s="140" t="e">
        <f ca="1">IF(AND($AJ227&gt;=30,$AJ227&lt;60),1,IF($BW227&gt;=Control!$C$89,0,$BU227))</f>
        <v>#N/A</v>
      </c>
      <c r="BZ227" s="404" t="e">
        <f ca="1">IF($BY227=0,0,IF($BW227&lt;=Control!$C$89,$BU227*(30+(60-30)*(BX227/Control!$C$89)),0))</f>
        <v>#N/A</v>
      </c>
      <c r="CA227" s="140" t="e">
        <f ca="1">IF($BG227+$BM227+$BS227+$BY227=1,0,IF(OR(AND($BB227&lt;65,$BB227&gt;=60),$BW227&gt;=Control!$C$89),1*$BA227,$CE226))</f>
        <v>#N/A</v>
      </c>
      <c r="CB227" s="140" t="e">
        <f ca="1">IF($BX227&lt;0,-$BX227,$CA227*IF(OR($G227&lt;Control!$C$92,$G227&gt;Control!$C$95),0,IF(AND($G227&gt;=Control!$C$92,$G227&lt;=Control!$C$93),$G227-Control!$C$92,IF(AND($G227&gt;Control!$C$93,$G227&lt;=Control!$C$94),Control!$C$93-Control!$C$92,IF(AND($G227&gt;Control!$C$94,$G227&lt;=Control!$C$95),(Control!$C$93-Control!$C$92)*(Control!$C$94-$G227)/(Control!$C$95-Control!$C$94))))))</f>
        <v>#N/A</v>
      </c>
      <c r="CC227" s="140" t="e">
        <f t="shared" ca="1" si="830"/>
        <v>#N/A</v>
      </c>
      <c r="CD227" s="140" t="e">
        <f ca="1">IF($CC227&lt;=Control!$C$90,$CC227,Control!$C$90-$CC227)</f>
        <v>#N/A</v>
      </c>
      <c r="CE227" s="140" t="e">
        <f ca="1">IF(AND($BB227&gt;=60,$BB227&lt;65),1,IF($CC227&gt;=Control!$C$90,0,$CA227))</f>
        <v>#N/A</v>
      </c>
      <c r="CF227" s="404" t="e">
        <f ca="1">IF($CE227=0,0,IF($CC227&lt;=Control!$C$90,$CA227*(60+(65-60)*(CD227/Control!$C$90)),0))</f>
        <v>#N/A</v>
      </c>
      <c r="CG227" s="140" t="e">
        <f ca="1">IF($BG227+$BM227+$BS227+$BY227+$CE227=1,0,IF(OR(AND($BB227&lt;90,$BB227&gt;=65),$CC227&gt;=Control!$C$90),$BA227,$CK226))</f>
        <v>#N/A</v>
      </c>
      <c r="CH227" s="140" t="e">
        <f ca="1">IF($CD227&lt;0,-$CD227,$CG227*IF(OR($G227&lt;Control!$C$92,$G227&gt;Control!$C$95),0,IF(AND($G227&gt;=Control!$C$92,$G227&lt;=Control!$C$93),$G227-Control!$C$92,IF(AND($G227&gt;Control!$C$93,$G227&lt;=Control!$C$94),Control!$C$93-Control!$C$92,IF(AND($G227&gt;Control!$C$94,$G227&lt;=Control!$C$95),(Control!$C$93-Control!$C$92)*(Control!$C$94-$G227)/(Control!$C$95-Control!$C$94))))))</f>
        <v>#N/A</v>
      </c>
      <c r="CI227" s="140" t="e">
        <f t="shared" ca="1" si="831"/>
        <v>#N/A</v>
      </c>
      <c r="CJ227" s="140" t="e">
        <f ca="1">IF($CI227&lt;=Control!$C$91,$CI227,Control!$C$91-$CI227)</f>
        <v>#N/A</v>
      </c>
      <c r="CK227" s="140" t="e">
        <f ca="1">IF(AND($BB227&gt;=65,$BB227&lt;90),1,IF($CI227&gt;=Control!$C$91,0,$CG227))</f>
        <v>#N/A</v>
      </c>
      <c r="CL227" s="404" t="e">
        <f ca="1">IF($CK227=0,0,IF($CI227&lt;=Control!$C$91,$CG227*(65+(90-65)*($CJ227/Control!$C$91)),0))</f>
        <v>#N/A</v>
      </c>
      <c r="CM227" s="140" t="e">
        <f ca="1">IF($BG227+$BM227+$BS227+$BY227+$CE227+$CK227=1,0,IF(OR($BB227&gt;=90,$CI227&gt;=Control!$C$91),$BA227,$CM226))</f>
        <v>#N/A</v>
      </c>
      <c r="CN227" s="140" t="e">
        <f t="shared" ca="1" si="832"/>
        <v>#N/A</v>
      </c>
      <c r="CO227" s="140" t="e">
        <f t="shared" ca="1" si="833"/>
        <v>#N/A</v>
      </c>
      <c r="CP227" s="140" t="e">
        <f t="shared" ca="1" si="834"/>
        <v>#N/A</v>
      </c>
      <c r="CQ227" s="141" t="e">
        <f ca="1">VLOOKUP($CP227,Control!$B$86:$G$91,6)</f>
        <v>#N/A</v>
      </c>
      <c r="CR227" s="141" t="e">
        <f ca="1">(1-$CQ227)*VLOOKUP($CP227,Control!$B$86:$D$91,3)</f>
        <v>#N/A</v>
      </c>
      <c r="CS227" s="141" t="e">
        <f ca="1">(1-$CQ227)*VLOOKUP($CP227,Control!$B$86:$E$91,4)</f>
        <v>#N/A</v>
      </c>
      <c r="CT227" s="141" t="e">
        <f ca="1">(1-$CQ227)*VLOOKUP($CP227,Control!$B$86:$F$91,5)</f>
        <v>#N/A</v>
      </c>
      <c r="CU227" s="141">
        <f t="shared" ca="1" si="835"/>
        <v>0</v>
      </c>
      <c r="CV227" s="583">
        <f t="shared" ca="1" si="836"/>
        <v>0</v>
      </c>
      <c r="CW227" s="142">
        <f t="shared" ca="1" si="837"/>
        <v>223</v>
      </c>
      <c r="CX227" s="612" t="e">
        <f ca="1">IF(Control!$C$114=1,(MIN(Control!$C$120*(IF($NT227-0.01&lt;0,0,1)),Control!$C$119-$CY227)))</f>
        <v>#DIV/0!</v>
      </c>
      <c r="CY227" s="143" t="e">
        <f t="shared" ca="1" si="838"/>
        <v>#N/A</v>
      </c>
      <c r="CZ227" s="144">
        <f t="shared" ca="1" si="715"/>
        <v>0</v>
      </c>
      <c r="DA227" s="144">
        <f t="shared" ca="1" si="716"/>
        <v>0</v>
      </c>
      <c r="DB227" s="144" t="e">
        <f t="shared" ca="1" si="717"/>
        <v>#N/A</v>
      </c>
      <c r="DC227" s="144" t="e">
        <f t="shared" ca="1" si="718"/>
        <v>#N/A</v>
      </c>
      <c r="DD227" s="144" t="e">
        <f t="shared" ca="1" si="923"/>
        <v>#N/A</v>
      </c>
      <c r="DE227" s="143" t="e">
        <f t="shared" ca="1" si="839"/>
        <v>#N/A</v>
      </c>
      <c r="DF227" s="145" t="e">
        <f ca="1">$DR227*EXP(-Control!$C$158*(1-$KH227))</f>
        <v>#N/A</v>
      </c>
      <c r="DG227" s="146" t="e">
        <f ca="1">IF(Control!$C$114=1, $DF227*$EY227, 0)</f>
        <v>#N/A</v>
      </c>
      <c r="DH227" s="147" t="e">
        <f t="shared" ca="1" si="840"/>
        <v>#N/A</v>
      </c>
      <c r="DI227" s="144" t="e">
        <f t="shared" ca="1" si="901"/>
        <v>#N/A</v>
      </c>
      <c r="DJ227" s="147" t="e">
        <f ca="1">$EF227*Control!$C$109</f>
        <v>#N/A</v>
      </c>
      <c r="DK227" s="144" t="e">
        <f t="shared" ca="1" si="841"/>
        <v>#N/A</v>
      </c>
      <c r="DL227" s="144" t="e">
        <f t="shared" ca="1" si="719"/>
        <v>#N/A</v>
      </c>
      <c r="DM227" s="144" t="e">
        <f ca="1">IF(Control!$C$114=1, (1-EXP(-Control!$C$96*$DK227))*$AR227, 0)</f>
        <v>#N/A</v>
      </c>
      <c r="DN227" s="144">
        <f t="shared" ca="1" si="842"/>
        <v>0</v>
      </c>
      <c r="DO227" s="148">
        <f>Control!$C$97</f>
        <v>4</v>
      </c>
      <c r="DP227" s="145" t="e">
        <f t="shared" ca="1" si="843"/>
        <v>#N/A</v>
      </c>
      <c r="DQ227" s="145" t="e">
        <f ca="1">IF(AND($CP227&gt;=0,$CP227&lt;=90),Control!$C$111,Control!$C$111)</f>
        <v>#N/A</v>
      </c>
      <c r="DR227" s="145" t="e">
        <f t="shared" ca="1" si="720"/>
        <v>#N/A</v>
      </c>
      <c r="DS227" s="143" t="e">
        <f ca="1">Control!$B$22/$DR227</f>
        <v>#N/A</v>
      </c>
      <c r="DT227" s="149" t="e">
        <f ca="1">IF(AND(Control!$C$114=1,$KH227&lt;1),$IM227*$DF227, 0)</f>
        <v>#N/A</v>
      </c>
      <c r="DU227" s="144" t="e">
        <f t="shared" ca="1" si="844"/>
        <v>#N/A</v>
      </c>
      <c r="DV227" s="144">
        <f ca="1">IF($G227-Control!$C$107&lt;=0, 0, 0.83*LN(MAX($G227, 3))-0.8924)</f>
        <v>0</v>
      </c>
      <c r="DW227" s="144" t="e">
        <f t="shared" ca="1" si="721"/>
        <v>#N/A</v>
      </c>
      <c r="DX227" s="150" t="e">
        <f ca="1">MAX(0.01*(1+$CU227/Control!$C$102),0.05*($DK227-Control!$C$97)/Control!$C$97)</f>
        <v>#N/A</v>
      </c>
      <c r="DY227" s="151" t="e">
        <f ca="1">IF(Control!$C$114=1, $DI227*$FS227, 0)</f>
        <v>#N/A</v>
      </c>
      <c r="DZ227" s="196" t="e">
        <f t="shared" ca="1" si="845"/>
        <v>#N/A</v>
      </c>
      <c r="EA227" s="152">
        <f t="shared" ca="1" si="846"/>
        <v>223</v>
      </c>
      <c r="EB227" s="153" t="e">
        <f t="shared" ca="1" si="847"/>
        <v>#N/A</v>
      </c>
      <c r="EC227" s="153" t="e">
        <f t="shared" ca="1" si="848"/>
        <v>#N/A</v>
      </c>
      <c r="ED227" s="154" t="e">
        <f ca="1">IF(Control!$C$114=1, $HM227*$FY227-$FD227, 0)</f>
        <v>#DIV/0!</v>
      </c>
      <c r="EE227" s="155" t="e">
        <f ca="1">IF(Control!$C$114=1, $HM227*$FZ227-$FF227, 0)</f>
        <v>#DIV/0!</v>
      </c>
      <c r="EF227" s="153" t="e">
        <f t="shared" ca="1" si="902"/>
        <v>#N/A</v>
      </c>
      <c r="EG227" s="155" t="e">
        <f ca="1">IF(Control!$C$114=1, $GX227*$FW227-$FI227, 0)</f>
        <v>#DIV/0!</v>
      </c>
      <c r="EH227" s="153" t="e">
        <f t="shared" ca="1" si="849"/>
        <v>#N/A</v>
      </c>
      <c r="EI227" s="156" t="e">
        <f t="shared" ca="1" si="850"/>
        <v>#N/A</v>
      </c>
      <c r="EJ227" s="155" t="e">
        <f ca="1">IF(Control!$C$114=1, $HM227*$GB227, 0)</f>
        <v>#DIV/0!</v>
      </c>
      <c r="EK227" s="153" t="e">
        <f t="shared" ca="1" si="903"/>
        <v>#N/A</v>
      </c>
      <c r="EL227" s="153" t="e">
        <f t="shared" ca="1" si="722"/>
        <v>#N/A</v>
      </c>
      <c r="EM227" s="153" t="e">
        <f t="shared" ca="1" si="723"/>
        <v>#N/A</v>
      </c>
      <c r="EN227" s="153" t="e">
        <f ca="1">IF(Control!$C$108=1,IF(AND(Control!$B$18=1,$EB227&gt;=Control!$B$19),$EB227-$DS227,IF(AND(Control!$B$18=2,$AW227=1,$EB227&gt;$DS227),$EB227-$DS227,0)))</f>
        <v>#N/A</v>
      </c>
      <c r="EO227" s="153" t="e">
        <f ca="1">IF(Control!$C$108=1,IF(AND(Control!$B$18=1,$EB227&gt;=Control!$B$19),$EF227,IF(AND(Control!$B$18=2,$AW227=1),$EF227,0)))</f>
        <v>#N/A</v>
      </c>
      <c r="EP227" s="153" t="e">
        <f ca="1">IF(Control!$C$108=1,IF(AND(Control!$B$18=1,$EB227&gt;=Control!$B$19),$EK227,IF(AND(Control!$B$18=2,$AW227=1),$EK227,0)))</f>
        <v>#N/A</v>
      </c>
      <c r="EQ227" s="153" t="e">
        <f t="shared" ca="1" si="851"/>
        <v>#N/A</v>
      </c>
      <c r="ER227" s="153" t="e">
        <f t="shared" ca="1" si="852"/>
        <v>#N/A</v>
      </c>
      <c r="ES227" s="153" t="e">
        <f t="shared" ca="1" si="904"/>
        <v>#N/A</v>
      </c>
      <c r="ET227" s="153" t="e">
        <f t="shared" ca="1" si="905"/>
        <v>#N/A</v>
      </c>
      <c r="EU227" s="153" t="e">
        <f t="shared" ca="1" si="853"/>
        <v>#N/A</v>
      </c>
      <c r="EV227" s="153" t="e">
        <f t="shared" ca="1" si="724"/>
        <v>#N/A</v>
      </c>
      <c r="EW227" s="153" t="e">
        <f t="shared" ca="1" si="725"/>
        <v>#N/A</v>
      </c>
      <c r="EX227" s="153" t="e">
        <f t="shared" ca="1" si="726"/>
        <v>#N/A</v>
      </c>
      <c r="EY227" s="157" t="e">
        <f t="shared" ca="1" si="727"/>
        <v>#DIV/0!</v>
      </c>
      <c r="EZ227" s="154" t="e">
        <f t="shared" ca="1" si="728"/>
        <v>#DIV/0!</v>
      </c>
      <c r="FA227" s="153" t="e">
        <f t="shared" ca="1" si="854"/>
        <v>#N/A</v>
      </c>
      <c r="FB227" s="153" t="e">
        <f t="shared" ca="1" si="729"/>
        <v>#N/A</v>
      </c>
      <c r="FC227" s="193" t="e">
        <f t="shared" ca="1" si="730"/>
        <v>#N/A</v>
      </c>
      <c r="FD227" s="158" t="e">
        <f t="shared" ca="1" si="855"/>
        <v>#N/A</v>
      </c>
      <c r="FE227" s="158" t="e">
        <f t="shared" ca="1" si="856"/>
        <v>#N/A</v>
      </c>
      <c r="FF227" s="159" t="e">
        <f t="shared" ca="1" si="731"/>
        <v>#N/A</v>
      </c>
      <c r="FG227" s="160" t="e">
        <f t="shared" ca="1" si="857"/>
        <v>#N/A</v>
      </c>
      <c r="FH227" s="158" t="e">
        <f t="shared" ca="1" si="858"/>
        <v>#N/A</v>
      </c>
      <c r="FI227" s="159" t="e">
        <f t="shared" ca="1" si="732"/>
        <v>#N/A</v>
      </c>
      <c r="FJ227" s="160" t="e">
        <f t="shared" ca="1" si="859"/>
        <v>#N/A</v>
      </c>
      <c r="FK227" s="160" t="e">
        <f t="shared" ca="1" si="733"/>
        <v>#N/A</v>
      </c>
      <c r="FL227" s="160" t="e">
        <f t="shared" ca="1" si="906"/>
        <v>#N/A</v>
      </c>
      <c r="FM227" s="160" t="e">
        <f t="shared" ca="1" si="734"/>
        <v>#N/A</v>
      </c>
      <c r="FN227" s="158">
        <f t="shared" ca="1" si="860"/>
        <v>0.01</v>
      </c>
      <c r="FO227" s="160">
        <f>Control!$C$101</f>
        <v>50</v>
      </c>
      <c r="FP227" s="150" t="e">
        <f t="shared" ca="1" si="735"/>
        <v>#N/A</v>
      </c>
      <c r="FQ227" s="150" t="e">
        <f ca="1">MAX(0,(Control!$C$112*(($DK227-Control!$C$97)/Control!$C$97)))</f>
        <v>#N/A</v>
      </c>
      <c r="FR227" s="150" t="e">
        <f ca="1">(1-$NT227)*Control!$C$113</f>
        <v>#DIV/0!</v>
      </c>
      <c r="FS227" s="198" t="e">
        <f t="shared" ca="1" si="736"/>
        <v>#N/A</v>
      </c>
      <c r="FT227" s="161">
        <f t="shared" ca="1" si="861"/>
        <v>223</v>
      </c>
      <c r="FU227" s="162" t="e">
        <f ca="1">IF(Control!$B$34=1,VLOOKUP($CP227,Control!$B$86:$G$91,6),Control!$B$35)</f>
        <v>#N/A</v>
      </c>
      <c r="FV227" s="162" t="e">
        <f t="shared" ca="1" si="737"/>
        <v>#DIV/0!</v>
      </c>
      <c r="FW227" s="162" t="e">
        <f ca="1">IF(Control!$B$31=1,$FU227*$FV227,  $FU227)</f>
        <v>#N/A</v>
      </c>
      <c r="FX227" s="162" t="e">
        <f ca="1">IF(Control!$B$34=1,VLOOKUP($CP227,Control!$B$86:$G$91,3),Control!$B$36)</f>
        <v>#N/A</v>
      </c>
      <c r="FY227" s="162" t="e">
        <f t="shared" ca="1" si="738"/>
        <v>#N/A</v>
      </c>
      <c r="FZ227" s="162" t="e">
        <f ca="1">IF(Control!$B$34=1,VLOOKUP($CP227,Control!$B$86:$G$91,4),Control!$B$37)</f>
        <v>#N/A</v>
      </c>
      <c r="GA227" s="162" t="e">
        <f t="shared" ca="1" si="739"/>
        <v>#N/A</v>
      </c>
      <c r="GB227" s="162" t="e">
        <f ca="1">IF(Control!$B$34=1,VLOOKUP($CP227,Control!$B$86:$G$91,5),Control!$B$38)</f>
        <v>#N/A</v>
      </c>
      <c r="GC227" s="162" t="e">
        <f t="shared" ca="1" si="862"/>
        <v>#N/A</v>
      </c>
      <c r="GD227" s="162">
        <f t="shared" ca="1" si="740"/>
        <v>1</v>
      </c>
      <c r="GE227" s="162">
        <f t="shared" ca="1" si="741"/>
        <v>1</v>
      </c>
      <c r="GF227" s="162">
        <f ca="1">IF(AND(Control!$C$104=1, Control!$C$62="F"),$GE227,1)</f>
        <v>1</v>
      </c>
      <c r="GG227" s="162" t="e">
        <f ca="1">IF(Control!$B$16=40,0,IF(AND(Control!$B$16&gt;40,Control!$B$16&lt;=360),(Control!$B$16-40)*((1-0)/(360-40)),IF(AND(Control!$B$16&gt;360,Control!$B$16&lt;=720),(1+(Control!$B$16-360)*((1.25-1)/(720-360))),IF(AND(Control!$B$16&gt;720,Control!$B$16&lt;=1000),(1.25+(Control!$B$16-720)*((1.35-1.25)/(1000-720))),IF(AND(Control!$B$16&gt;1000,Control!$B$16&lt;=2000),(1.35+(Control!$B$16-1000)*0))))))</f>
        <v>#N/A</v>
      </c>
      <c r="GH227" s="162" t="e">
        <f t="shared" ca="1" si="742"/>
        <v>#N/A</v>
      </c>
      <c r="GI227" s="162">
        <f t="shared" ca="1" si="863"/>
        <v>0</v>
      </c>
      <c r="GJ227" s="162">
        <f t="shared" ca="1" si="743"/>
        <v>0</v>
      </c>
      <c r="GK227" s="162">
        <f t="shared" ca="1" si="864"/>
        <v>1</v>
      </c>
      <c r="GL227" s="162">
        <f t="shared" ca="1" si="744"/>
        <v>1</v>
      </c>
      <c r="GM227" s="162" t="e">
        <f ca="1">MAX(0,MIN(1,1-Control!$C$156*(1.0001-$KH227)^2))</f>
        <v>#N/A</v>
      </c>
      <c r="GN227" s="162" t="e">
        <f ca="1">IF(Control!$B$26=1,$KU227,$KX227)</f>
        <v>#N/A</v>
      </c>
      <c r="GO227" s="162" t="e">
        <f ca="1">IF($CP227&lt;=60,Control!$C$105,IF($CP227&gt;=90,Control!$C$106,Control!$C$105+($CP227-60)*((Control!$C$106-Control!$C$105)/(90-60))))</f>
        <v>#N/A</v>
      </c>
      <c r="GP227" s="162" t="e">
        <f t="shared" ca="1" si="745"/>
        <v>#N/A</v>
      </c>
      <c r="GQ227" s="162" t="e">
        <f t="shared" ca="1" si="865"/>
        <v>#N/A</v>
      </c>
      <c r="GR227" s="163" t="e">
        <f t="shared" ca="1" si="746"/>
        <v>#DIV/0!</v>
      </c>
      <c r="GS227" s="162" t="e">
        <f t="shared" ca="1" si="747"/>
        <v>#DIV/0!</v>
      </c>
      <c r="GT227" s="164" t="e">
        <f t="shared" ca="1" si="866"/>
        <v>#N/A</v>
      </c>
      <c r="GU227" s="162" t="e">
        <f t="shared" ca="1" si="867"/>
        <v>#N/A</v>
      </c>
      <c r="GV227" s="162" t="e">
        <f t="shared" ca="1" si="748"/>
        <v>#N/A</v>
      </c>
      <c r="GW227" s="162" t="e">
        <f t="shared" ca="1" si="749"/>
        <v>#DIV/0!</v>
      </c>
      <c r="GX227" s="162" t="e">
        <f t="shared" ca="1" si="868"/>
        <v>#DIV/0!</v>
      </c>
      <c r="GY227" s="162" t="e">
        <f t="shared" ca="1" si="869"/>
        <v>#DIV/0!</v>
      </c>
      <c r="GZ227" s="165" t="e">
        <f t="shared" ca="1" si="750"/>
        <v>#N/A</v>
      </c>
      <c r="HA227" s="162" t="e">
        <f ca="1">IF(Control!$C$114=1, $DI227*$FS227, 0)</f>
        <v>#N/A</v>
      </c>
      <c r="HB227" s="162" t="e">
        <f ca="1">$FA227/Control!$C$64</f>
        <v>#N/A</v>
      </c>
      <c r="HC227" s="162" t="e">
        <f t="shared" ca="1" si="751"/>
        <v>#DIV/0!</v>
      </c>
      <c r="HD227" s="162">
        <f ca="1">-ASIN(SIN(23.45*Control!$C$139)*COS(2*Control!$C$138*($AH227+10)/365))</f>
        <v>0.25972327088411029</v>
      </c>
      <c r="HE227" s="165">
        <f t="shared" ca="1" si="870"/>
        <v>0</v>
      </c>
      <c r="HF227" s="166">
        <f ca="1">IF(AND(Control!$C$61="T",$HE227&gt;=Control!$C$103,Control!$C$114=0),$AH227,Control!$C$59)</f>
        <v>1</v>
      </c>
      <c r="HG227" s="166">
        <f ca="1">IF(AND(Control!$C$61="T",$HE227&gt;=Control!$C$103,Control!$C$114=0),$HF227,Control!$C$59)</f>
        <v>1</v>
      </c>
      <c r="HH227" s="165">
        <f ca="1">IF(AND(OR(Control!$C$60&lt;=0, $AH227= Control!$C$59, Control!$C$60 &gt;0, $AH227 = Control!$C$60)), Control!$C$59, IF(Control!$C$60&gt;0, 0))</f>
        <v>1</v>
      </c>
      <c r="HI227" s="165">
        <f ca="1">IF(AND(OR(Control!$C$60&lt;=0, $AH227= Control!$C$59, Control!$C$60 &gt;0, $AH227 = Control!$C$60)), Control!$C$60, IF(Control!$C$60&lt;=0, 0))</f>
        <v>0</v>
      </c>
      <c r="HJ227" s="166">
        <f ca="1">IF(AND(Control!$C$62="F",$CV227&gt;=Control!$C$102),$AH227,0)</f>
        <v>0</v>
      </c>
      <c r="HK227" s="165" t="e">
        <f t="shared" ca="1" si="907"/>
        <v>#N/A</v>
      </c>
      <c r="HL227" s="166">
        <f ca="1">IF(AND(Control!$C$61="T",$HE227&gt;=Control!$C$103,Control!$C$114=0),$HF227,0)</f>
        <v>0</v>
      </c>
      <c r="HM227" s="201" t="e">
        <f t="shared" ca="1" si="752"/>
        <v>#DIV/0!</v>
      </c>
      <c r="HN227" s="215">
        <f t="shared" ca="1" si="871"/>
        <v>223</v>
      </c>
      <c r="HO227" s="216" t="e">
        <f ca="1">IF(AND($CP227&gt;=0, $CP227&lt;=90), Control!$C$152, Control!$C$152)</f>
        <v>#N/A</v>
      </c>
      <c r="HP227" s="216" t="e">
        <f t="shared" ca="1" si="753"/>
        <v>#N/A</v>
      </c>
      <c r="HQ227" s="217" t="e">
        <f ca="1">IF(OR(Control!$B$26=1,Control!$B$26=2),$KV227,$KS227)</f>
        <v>#DIV/0!</v>
      </c>
      <c r="HR227" s="218" t="e">
        <f t="shared" ca="1" si="908"/>
        <v>#DIV/0!</v>
      </c>
      <c r="HS227" s="216" t="e">
        <f ca="1">Control!$C$154*$HP227</f>
        <v>#N/A</v>
      </c>
      <c r="HT227" s="216" t="e">
        <f ca="1">Control!$C$155*$HP227</f>
        <v>#N/A</v>
      </c>
      <c r="HU227" s="217" t="e">
        <f ca="1">Control!$C$161*$FI227</f>
        <v>#N/A</v>
      </c>
      <c r="HV227" s="218" t="e">
        <f t="shared" ca="1" si="872"/>
        <v>#N/A</v>
      </c>
      <c r="HW227" s="218" t="e">
        <f ca="1">Control!$C$160*$FF227+$IP227*$EO227</f>
        <v>#N/A</v>
      </c>
      <c r="HX227" s="218" t="e">
        <f t="shared" ca="1" si="909"/>
        <v>#N/A</v>
      </c>
      <c r="HY227" s="219" t="e">
        <f ca="1">IF(Control!$C$114=1, $EB227*$FS227, 0)</f>
        <v>#N/A</v>
      </c>
      <c r="HZ227" s="91" t="e">
        <f t="shared" ca="1" si="754"/>
        <v>#N/A</v>
      </c>
      <c r="IA227" s="220" t="e">
        <f ca="1">Control!$C$153*$HO227</f>
        <v>#N/A</v>
      </c>
      <c r="IB227" s="218" t="e">
        <f t="shared" ca="1" si="755"/>
        <v>#N/A</v>
      </c>
      <c r="IC227" s="220" t="e">
        <f ca="1">Control!$C$153*$HT227</f>
        <v>#N/A</v>
      </c>
      <c r="ID227" s="218" t="e">
        <f t="shared" ca="1" si="756"/>
        <v>#N/A</v>
      </c>
      <c r="IE227" s="221" t="e">
        <f ca="1">($EB227*Control!$C$159+$EF227*Control!$C$160)/(IF($GZ227&lt;&gt;0,$GZ227,1))</f>
        <v>#N/A</v>
      </c>
      <c r="IF227" s="216" t="e">
        <f t="shared" ca="1" si="757"/>
        <v>#N/A</v>
      </c>
      <c r="IG227" s="91">
        <f ca="1">IF(OR(Control!$B$198=$AH227,Control!$B$199=$AH227, Control!$B$200=$AH227, Control!$B$201=$AH227, Control!$B$202=$AH227, Control!$B$203=$AH227, Control!$B$204=$AH227, Control!$B$205=$AH227, Control!$B$206=$AH227, Control!$B$207=$AH227), 1, 0)</f>
        <v>0</v>
      </c>
      <c r="IH227" s="91">
        <f ca="1">IF($IG227=0,0, VLOOKUP($AH227,Control!$B$198:$C$207,2))</f>
        <v>0</v>
      </c>
      <c r="II227" s="222">
        <f t="shared" ca="1" si="873"/>
        <v>0</v>
      </c>
      <c r="IJ227" s="91">
        <f>Control!$C$121</f>
        <v>0.7</v>
      </c>
      <c r="IK227" s="218">
        <f t="shared" ca="1" si="758"/>
        <v>0</v>
      </c>
      <c r="IL227" s="217" t="e">
        <f t="shared" ca="1" si="910"/>
        <v>#N/A</v>
      </c>
      <c r="IM227" s="223" t="e">
        <f ca="1">IF(AND(Control!$C$114=1,$KH227&lt;1),$EB227*Control!$C$148*(1-$KH227), 0)</f>
        <v>#N/A</v>
      </c>
      <c r="IN227" s="217" t="e">
        <f t="shared" ca="1" si="759"/>
        <v>#DIV/0!</v>
      </c>
      <c r="IO227" s="91" t="e">
        <f ca="1">MAX(0,$IL227-$EF227*Control!$C$160)</f>
        <v>#N/A</v>
      </c>
      <c r="IP227" s="220" t="e">
        <f t="shared" ca="1" si="760"/>
        <v>#N/A</v>
      </c>
      <c r="IQ227" s="217" t="e">
        <f t="shared" ca="1" si="874"/>
        <v>#N/A</v>
      </c>
      <c r="IR227" s="218" t="e">
        <f t="shared" ca="1" si="761"/>
        <v>#N/A</v>
      </c>
      <c r="IS227" s="217" t="e">
        <f ca="1">Control!$C$159*MAX(0,$FD227-$EN227)</f>
        <v>#N/A</v>
      </c>
      <c r="IT227" s="217" t="e">
        <f t="shared" ca="1" si="911"/>
        <v>#N/A</v>
      </c>
      <c r="IU227" s="217" t="e">
        <f t="shared" ca="1" si="875"/>
        <v>#N/A</v>
      </c>
      <c r="IV227" s="217" t="e">
        <f t="shared" ca="1" si="912"/>
        <v>#N/A</v>
      </c>
      <c r="IW227" s="217" t="e">
        <f ca="1">IF(OR($AW227=1,AND($AW227=0, Control!$B$18=1,$EN227&lt;&gt;0)), $IQ227-$IU227, $IQ227)</f>
        <v>#N/A</v>
      </c>
      <c r="IX227" s="218" t="e">
        <f t="shared" ca="1" si="762"/>
        <v>#N/A</v>
      </c>
      <c r="IY227" s="218" t="e">
        <f ca="1">MAX(0,$IQ227-$EB227*Control!$C$159)</f>
        <v>#N/A</v>
      </c>
      <c r="IZ227" s="218" t="e">
        <f t="shared" ca="1" si="763"/>
        <v>#N/A</v>
      </c>
      <c r="JA227" s="216" t="e">
        <f t="shared" ca="1" si="764"/>
        <v>#N/A</v>
      </c>
      <c r="JB227" s="217" t="e">
        <f t="shared" ca="1" si="765"/>
        <v>#N/A</v>
      </c>
      <c r="JC227" s="222" t="e">
        <f ca="1">MAX(Control!$C$157*$EK227-$JT227, 0)/Control!$C$162</f>
        <v>#N/A</v>
      </c>
      <c r="JD227" s="218" t="e">
        <f t="shared" ca="1" si="766"/>
        <v>#N/A</v>
      </c>
      <c r="JE227" s="218" t="e">
        <f t="shared" ca="1" si="767"/>
        <v>#N/A</v>
      </c>
      <c r="JF227" s="218" t="e">
        <f t="shared" ca="1" si="876"/>
        <v>#N/A</v>
      </c>
      <c r="JG227" s="218" t="e">
        <f t="shared" ca="1" si="768"/>
        <v>#N/A</v>
      </c>
      <c r="JH227" s="217" t="e">
        <f t="shared" ca="1" si="877"/>
        <v>#N/A</v>
      </c>
      <c r="JI227" s="217" t="e">
        <f t="shared" ca="1" si="878"/>
        <v>#N/A</v>
      </c>
      <c r="JJ227" s="217" t="e">
        <f t="shared" ca="1" si="913"/>
        <v>#N/A</v>
      </c>
      <c r="JK227" s="217" t="e">
        <f ca="1">IF(Control!$C$114=1,IF(Control!$B$24=0,MAX(0,$JI227)*$GN227/Control!$C$64,(MAX(0,MIN($JI227,$JJ227*$GN227/Control!$C$64),0))))</f>
        <v>#N/A</v>
      </c>
      <c r="JL227" s="217" t="e">
        <f ca="1">$IK227/Control!$C$64-$JK227+$HQ227</f>
        <v>#N/A</v>
      </c>
      <c r="JM227" s="217" t="e">
        <f ca="1">IF(Control!$C$114=1,($JB227/(IF($JI227&lt;&gt;0,$JI227,1)))*$JK227,0)</f>
        <v>#N/A</v>
      </c>
      <c r="JN227" s="217" t="e">
        <f ca="1">IF(Control!$C$114=1,($JG227/(IF($JI227&lt;&gt;0,$JI227,1)))*$JK227, 0)</f>
        <v>#N/A</v>
      </c>
      <c r="JO227" s="218" t="e">
        <f t="shared" ca="1" si="769"/>
        <v>#N/A</v>
      </c>
      <c r="JP227" s="218" t="e">
        <f ca="1">MIN(($IY227+$IO227)*Control!$C$151, $JF227-$EH227*Control!$C$161)</f>
        <v>#N/A</v>
      </c>
      <c r="JQ227" s="218" t="e">
        <f t="shared" ca="1" si="770"/>
        <v>#N/A</v>
      </c>
      <c r="JR227" s="217" t="e">
        <f ca="1">IF($CP227-Control!$C$150&lt;0, 0, $JQ227/Control!$C$162)</f>
        <v>#N/A</v>
      </c>
      <c r="JS227" s="218" t="e">
        <f t="shared" ca="1" si="771"/>
        <v>#N/A</v>
      </c>
      <c r="JT227" s="218" t="e">
        <f t="shared" ca="1" si="879"/>
        <v>#N/A</v>
      </c>
      <c r="JU227" s="218" t="e">
        <f t="shared" ca="1" si="772"/>
        <v>#N/A</v>
      </c>
      <c r="JV227" s="218" t="e">
        <f t="shared" ca="1" si="773"/>
        <v>#N/A</v>
      </c>
      <c r="JW227" s="216" t="e">
        <f t="shared" ca="1" si="774"/>
        <v>#N/A</v>
      </c>
      <c r="JX227" s="91" t="e">
        <f t="shared" ca="1" si="775"/>
        <v>#N/A</v>
      </c>
      <c r="JY227" s="218" t="e">
        <f t="shared" ca="1" si="776"/>
        <v>#N/A</v>
      </c>
      <c r="JZ227" s="217" t="e">
        <f ca="1">IF(Control!$C$114=1,($IZ227/(IF($JI227&lt;&gt;0,$JI227,1)))*$JK227, 0)</f>
        <v>#N/A</v>
      </c>
      <c r="KA227" s="218" t="e">
        <f t="shared" ca="1" si="914"/>
        <v>#N/A</v>
      </c>
      <c r="KB227" s="218" t="e">
        <f t="shared" ca="1" si="880"/>
        <v>#N/A</v>
      </c>
      <c r="KC227" s="218" t="e">
        <f t="shared" ca="1" si="777"/>
        <v>#N/A</v>
      </c>
      <c r="KD227" s="218" t="e">
        <f t="shared" ca="1" si="778"/>
        <v>#N/A</v>
      </c>
      <c r="KE227" s="218" t="e">
        <f t="shared" ca="1" si="779"/>
        <v>#N/A</v>
      </c>
      <c r="KF227" s="218" t="e">
        <f t="shared" ca="1" si="780"/>
        <v>#N/A</v>
      </c>
      <c r="KG227" s="216" t="e">
        <f t="shared" ca="1" si="781"/>
        <v>#N/A</v>
      </c>
      <c r="KH227" s="221" t="e">
        <f ca="1">IF(Control!$B$24=0,1,MAX(0.001,MIN(1,IF(($IF227-$IE227)&lt;&gt;0,($KG227-$IE227)/($IF227-$IE227),1))))</f>
        <v>#N/A</v>
      </c>
      <c r="KI227" s="222" t="e">
        <f ca="1">IF(Control!$C$114=1, $KI226+ $KH226, 0)</f>
        <v>#N/A</v>
      </c>
      <c r="KJ227" s="217" t="e">
        <f t="shared" ca="1" si="782"/>
        <v>#N/A</v>
      </c>
      <c r="KK227" s="218" t="e">
        <f t="shared" ca="1" si="783"/>
        <v>#N/A</v>
      </c>
      <c r="KL227" s="274" t="e">
        <f ca="1">IF(Control!$B$26=3,4000000000*EXP(-8400/($G227+273)),IF(Control!$B$26=4,4000000000*EXP(-8400/($G227+273))*($KT227),0))</f>
        <v>#DIV/0!</v>
      </c>
      <c r="KM227" s="274" t="e">
        <f ca="1">IF(Control!$B$26=3,5600000000000*EXP(-9800/($G227+273)),IF(Control!$B$26=4,5600000000000*EXP(-9800/($G227+273))*$KT227,0))</f>
        <v>#DIV/0!</v>
      </c>
      <c r="KN227" s="454" t="e">
        <f t="shared" ca="1" si="881"/>
        <v>#DIV/0!</v>
      </c>
      <c r="KO227" s="274" t="e">
        <f t="shared" ca="1" si="882"/>
        <v>#DIV/0!</v>
      </c>
      <c r="KP227" s="454" t="e">
        <f t="shared" ca="1" si="784"/>
        <v>#DIV/0!</v>
      </c>
      <c r="KQ227" s="454" t="e">
        <f t="shared" ca="1" si="785"/>
        <v>#DIV/0!</v>
      </c>
      <c r="KR227" s="454" t="e">
        <f t="shared" ca="1" si="786"/>
        <v>#DIV/0!</v>
      </c>
      <c r="KS227" s="454" t="e">
        <f t="shared" ca="1" si="787"/>
        <v>#DIV/0!</v>
      </c>
      <c r="KT227" s="455" t="e">
        <f t="shared" ca="1" si="788"/>
        <v>#DIV/0!</v>
      </c>
      <c r="KU227" s="456" t="e">
        <f ca="1">IF($CP227-Control!$C$149&lt;0, IF($NT227-0.01&lt;0,0,1),0)</f>
        <v>#N/A</v>
      </c>
      <c r="KV227" s="456" t="e">
        <f ca="1">IF(Control!$C$114=1,MAX(0,MIN(Control!$C$125*$KW227*$GN227,$KW227)))</f>
        <v>#DIV/0!</v>
      </c>
      <c r="KW227" s="456" t="e">
        <f t="shared" ca="1" si="915"/>
        <v>#DIV/0!</v>
      </c>
      <c r="KX227" s="457" t="e">
        <f ca="1">IF($CP227-Control!$C$149&lt;0, IF($MR227-$OM227&lt;0,0,1),0)</f>
        <v>#N/A</v>
      </c>
      <c r="KY227" s="167">
        <f t="shared" ca="1" si="883"/>
        <v>223</v>
      </c>
      <c r="KZ227" s="168">
        <f ca="1">1370*(1+0.033*COS(2*Control!$C$138*$AH227/365))</f>
        <v>1335.3396153504173</v>
      </c>
      <c r="LA227" s="169">
        <f t="shared" ca="1" si="884"/>
        <v>0.97470025896309476</v>
      </c>
      <c r="LB227" s="169">
        <f t="shared" ca="1" si="885"/>
        <v>0.26123367238341294</v>
      </c>
      <c r="LC227" s="169">
        <f ca="1">ACOS(-TAN((2*Control!$B$8/360))*TAN(Calculations!$LB227))</f>
        <v>1.650335329476645</v>
      </c>
      <c r="LD227" s="169">
        <f ca="1">((24*60)/PI())*0.082*$LA227*(($LC227*SIN(Control!$B$8*2*PI()/360))*SIN($LB227)+COS(Control!$B$8*2*PI()/360)*COS($LB227)*SIN($LC227))</f>
        <v>34.025660310613063</v>
      </c>
      <c r="LE227" s="170">
        <f t="shared" ca="1" si="789"/>
        <v>34.755577002477139</v>
      </c>
      <c r="LF227" s="170">
        <f ca="1">SIN(Control!$C$139*Control!$B$8)*SIN($HD227)</f>
        <v>0.20237183090347879</v>
      </c>
      <c r="LG227" s="170">
        <f ca="1">COS(Control!$C$139*Control!$B$8)*COS($HD227)</f>
        <v>0.59501123978106252</v>
      </c>
      <c r="LH227" s="170">
        <f ca="1">12*(1+2*ASIN(MAX(-1,MIN(1,$LF227/$LG227))/Control!$C$138))</f>
        <v>14.603378272743401</v>
      </c>
      <c r="LI227" s="170">
        <f ca="1">12*(1+2*ASIN(MAX(-1,MIN(1,(-SIN(-4*Control!$C$139)+$LF227)/$LG227))/Control!$C$138))</f>
        <v>15.506349751969301</v>
      </c>
      <c r="LJ227" s="168">
        <f ca="1">3600*($LH227*$LF227+24*$LG227*SQRT(1-$LK227*$LK227)/Control!$C$138)</f>
        <v>26027.518844602426</v>
      </c>
      <c r="LK227" s="170">
        <f t="shared" ca="1" si="790"/>
        <v>0.34011429931633319</v>
      </c>
      <c r="LL227" s="170">
        <f t="shared" ca="1" si="791"/>
        <v>0</v>
      </c>
      <c r="LM227" s="171">
        <f ca="1">Control!$C$145*$AB227</f>
        <v>6.6660906138995932E-2</v>
      </c>
      <c r="LN227" s="170">
        <f t="shared" ca="1" si="886"/>
        <v>0.54</v>
      </c>
      <c r="LO227" s="170">
        <f t="shared" ca="1" si="792"/>
        <v>0</v>
      </c>
      <c r="LP227" s="170">
        <f ca="1">Control!$C$140*((($D227+273.16)^4+($E227+273.16)^4)/2)*(0.34-0.14*SQRT($Y227))*(1.35*$AQ227/(0.75*$LD227)-0.35)</f>
        <v>-3.2464704755046001</v>
      </c>
      <c r="LQ227" s="170">
        <f ca="1">Control!$C$140*($G227+273)^4*(0.56-0.079*SQRT($Y227*10))*(0.1+0.9*$LO227)</f>
        <v>1.5241745131704001</v>
      </c>
      <c r="LR227" s="170">
        <f ca="1">$AQ227*(1-Control!$C$142)-$LQ227</f>
        <v>-1.5241745131704001</v>
      </c>
      <c r="LS227" s="170">
        <f ca="1">$AQ227*(1-Control!$C$143)-$LQ227</f>
        <v>-1.5241745131704001</v>
      </c>
      <c r="LT227" s="170">
        <f ca="1">$AQ227*(1-Control!$C$144)-$LQ227</f>
        <v>-1.5241745131704001</v>
      </c>
      <c r="LU227" s="169">
        <f ca="1">(1-Control!$C$144)*AQ227-LP227</f>
        <v>3.2464704755046001</v>
      </c>
      <c r="LV227" s="172">
        <f t="shared" ca="1" si="793"/>
        <v>0.79430000000000012</v>
      </c>
      <c r="LW227" s="170">
        <f t="shared" ca="1" si="794"/>
        <v>1.5886000000000002</v>
      </c>
      <c r="LX227" s="170">
        <f ca="1">($AC227*($LR227/Control!$C$141)+$LM227*$LV227)/($AC227+$LM227)</f>
        <v>0.23530094218323697</v>
      </c>
      <c r="LY227" s="170">
        <f ca="1">($AC227*($LS227/Control!$C$141)+$LM227*$LV227)/($AC227+$LM227)</f>
        <v>0.23530094218323697</v>
      </c>
      <c r="LZ227" s="170">
        <f t="shared" ca="1" si="795"/>
        <v>0.23530094218323697</v>
      </c>
      <c r="MA227" s="170">
        <f t="shared" ca="1" si="796"/>
        <v>0.23530094218323697</v>
      </c>
      <c r="MB227" s="170" t="e">
        <f t="shared" ca="1" si="797"/>
        <v>#N/A</v>
      </c>
      <c r="MC227" s="170">
        <f t="shared" ca="1" si="887"/>
        <v>0.6018</v>
      </c>
      <c r="MD227" s="170">
        <f t="shared" ca="1" si="798"/>
        <v>0.52989392535414004</v>
      </c>
      <c r="ME227" s="170">
        <f ca="1">($AC227*($LT227/Control!$C$141)+$LM227*$LW227)/($AC227+$LM227)</f>
        <v>0.71612369323045078</v>
      </c>
      <c r="MF227" s="170" t="e">
        <f ca="1">IF(Control!$B$16&gt;=1000,0.92,IF(AND(720&lt;=Control!$B$16,1000&gt;Control!$B$16),(0.95+(Control!$B$16-720)*((0.92-0.95)/(1000-720))),IF(AND(360&lt;=Control!$B$16,720&gt;Control!$B$16),(1+(Control!$B$16-360)*((0.95-1)/(720-360))),IF(AND(40&lt;=Control!$B$16,360&gt;Control!$B$16),(1.05+(Control!$B$16-40)*((1.05-1)/(360-40)))))))</f>
        <v>#N/A</v>
      </c>
      <c r="MG227" s="170">
        <f t="shared" ca="1" si="799"/>
        <v>0.71612369323045078</v>
      </c>
      <c r="MH227" s="170" t="e">
        <f t="shared" ca="1" si="925"/>
        <v>#N/A</v>
      </c>
      <c r="MI227" s="170" t="e">
        <f t="shared" ca="1" si="925"/>
        <v>#N/A</v>
      </c>
      <c r="MJ227" s="170" t="e">
        <f ca="1">MAX(0.0001, Control!$C$132*$MI227*$DL227)</f>
        <v>#N/A</v>
      </c>
      <c r="MK227" s="170">
        <f ca="1">1/(0.76+1.5*($MG227/10))-(5-Control!$C$110)*0.1</f>
        <v>1.002845988140797</v>
      </c>
      <c r="ML227" s="173">
        <f ca="1">IF(Control!$C$110&lt;3,$MK227+($MG227-0.6)/(Control!$C$110*(Control!$C$110+3)), MAX(0.1, MIN(0.95,$MK227)))</f>
        <v>0.95</v>
      </c>
      <c r="MM227" s="173">
        <f ca="1">IF(Control!$C$110&lt;3,$MK227+(($MI227/10)-0.6)/(Control!$C$110*(Control!$C$110+3)), MAX(0.1, MIN(0.95,$MK227)))</f>
        <v>0.95</v>
      </c>
      <c r="MN227" s="173">
        <f ca="1">(1-$MM227)*(Control!$C$128-Control!$C$127)+Control!$C$127</f>
        <v>0.16</v>
      </c>
      <c r="MO227" s="170" t="e">
        <f ca="1">MAX(0,MIN(1,($MS227-Control!$C$127)/($MN227-Control!$C$127)))</f>
        <v>#DIV/0!</v>
      </c>
      <c r="MP227" s="173" t="e">
        <f ca="1">1/(0.76+1.5*$MI227)-(5-Control!$C$110)*0.1</f>
        <v>#N/A</v>
      </c>
      <c r="MQ227" s="172" t="e">
        <f t="shared" ca="1" si="916"/>
        <v>#DIV/0!</v>
      </c>
      <c r="MR227" s="168" t="e">
        <f t="shared" ca="1" si="888"/>
        <v>#DIV/0!</v>
      </c>
      <c r="MS227" s="173" t="e">
        <f ca="1">MAX(Control!$C$127, MIN(Control!$C$135, $MR227/MAX(0.0001,$CY227)))</f>
        <v>#DIV/0!</v>
      </c>
      <c r="MT227" s="168" t="e">
        <f ca="1">(Control!$C$128-$MS227)*Control!$C$74</f>
        <v>#DIV/0!</v>
      </c>
      <c r="MU227" s="168" t="e">
        <f ca="1">(Control!$C$135-$MS227)*Control!$C$74</f>
        <v>#DIV/0!</v>
      </c>
      <c r="MV227" s="168" t="e">
        <f t="shared" ca="1" si="889"/>
        <v>#DIV/0!</v>
      </c>
      <c r="MW227" s="168" t="e">
        <f t="shared" ca="1" si="890"/>
        <v>#DIV/0!</v>
      </c>
      <c r="MX227" s="171" t="e">
        <f ca="1">MAX(Control!$C$127, MIN(Control!$C$135, $MW227/MAX(0.0001,Control!$C$119-$CY227)))</f>
        <v>#DIV/0!</v>
      </c>
      <c r="MY227" s="54" t="e">
        <f ca="1">IF(Control!$C$114=1, $CX227*$MX227, 0)</f>
        <v>#DIV/0!</v>
      </c>
      <c r="MZ227" s="54" t="e">
        <f t="shared" ca="1" si="891"/>
        <v>#N/A</v>
      </c>
      <c r="NA227" s="168" t="e">
        <f ca="1">(Control!$C$128-$MX227)*(Control!$C$119-Control!$C$74)</f>
        <v>#DIV/0!</v>
      </c>
      <c r="NB227" s="168" t="e">
        <f ca="1">(Control!$C$135-$MX227)*(Control!$C$119-Control!$C$74)</f>
        <v>#DIV/0!</v>
      </c>
      <c r="NC227" s="174" t="e">
        <f t="shared" ca="1" si="892"/>
        <v>#DIV/0!</v>
      </c>
      <c r="ND227" s="54">
        <f ca="1">IF(Control!$C$58=2, IF(OR(Control!$B$218=$AH227,Control!$B$219=$AH227, Control!$B$220=$AH227, Control!$B$221=$AH227, Control!$B$222=$AH227, Control!$B$223=$AH227, Control!$B$224=$AH227, Control!$B$225=$AH227, Control!$B$226=$AH227, Control!$B$227=$AH227, Control!$B$228=$AH227), 1, 0), 0)</f>
        <v>0</v>
      </c>
      <c r="NE227" s="54">
        <f ca="1">IF($ND227=0,0, VLOOKUP($AH227,Control!$B$218:$C$228,2))</f>
        <v>0</v>
      </c>
      <c r="NF227" s="168" t="e">
        <f ca="1">$CY227*(Control!$C$128-Control!$C$127)</f>
        <v>#N/A</v>
      </c>
      <c r="NG227" s="54" t="e">
        <f ca="1">IF(Control!$C$58=2, $NI226-$NJ226, 0)</f>
        <v>#DIV/0!</v>
      </c>
      <c r="NH227" s="54" t="e">
        <f ca="1">IF(AND(Control!$C$58=1, $MS226&lt;= ($MN226+0.02), $I226&lt;10), 0, IF(Control!$C$58=2, $NG226, 0))</f>
        <v>#DIV/0!</v>
      </c>
      <c r="NI227" s="54" t="e">
        <f ca="1">IF(Control!$C$58=2, $NE227+$NH227,0)</f>
        <v>#DIV/0!</v>
      </c>
      <c r="NJ227" s="54" t="e">
        <f ca="1">IF(AND(Control!$C$58=1, $MS227&lt;= ($MN227+0.02), $I227&lt;10), MAX(0, MIN(10, 0.7*($NF227-$MV227))), IF(Control!$C$58=2, MIN(10,$NI227),0))</f>
        <v>#DIV/0!</v>
      </c>
      <c r="NK227" s="54" t="e">
        <f t="shared" ca="1" si="800"/>
        <v>#DIV/0!</v>
      </c>
      <c r="NL227" s="173" t="e">
        <f ca="1">(1-Control!$C$73)*$I227+$NJ227</f>
        <v>#DIV/0!</v>
      </c>
      <c r="NM227" s="172" t="e">
        <f ca="1">IF($NL227&lt;0.5, $MB227* MAX(0, MIN(1, (SQRT($NC227)-SQRT($NC227-1))*Control!$C$71)),0)</f>
        <v>#DIV/0!</v>
      </c>
      <c r="NN227" s="170" t="e">
        <f ca="1">IF($NL227&gt;=5, $MB227, MAX(0,MIN($MB227, $NM227+$NL227,($MS227-Control!$C$129))))</f>
        <v>#DIV/0!</v>
      </c>
      <c r="NO227" s="54">
        <f>IF(Control!$C$133&lt;&gt;1, Control!$C$135-Control!$C$131, 0)</f>
        <v>0.38</v>
      </c>
      <c r="NP227" s="54" t="e">
        <f t="shared" ca="1" si="801"/>
        <v>#DIV/0!</v>
      </c>
      <c r="NQ227" s="173" t="e">
        <f ca="1">MAX(0,MIN(1,(Control!$C$135-$MS227)/(Control!$C$135-$NO227)))</f>
        <v>#DIV/0!</v>
      </c>
      <c r="NR227" s="170" t="e">
        <f ca="1">IF(Control!$C$133&lt;&gt;1, $NQ227+((1-$NP227/4)*(1-$NQ227)),1)</f>
        <v>#DIV/0!</v>
      </c>
      <c r="NS227" s="170" t="e">
        <f ca="1">IF(Control!$B$31=0,$MJ227,MAX(0,MIN($MV227,$MO227*$NR227*$MJ227)))</f>
        <v>#DIV/0!</v>
      </c>
      <c r="NT227" s="170" t="e">
        <f t="shared" ca="1" si="917"/>
        <v>#DIV/0!</v>
      </c>
      <c r="NU227" s="170" t="e">
        <f t="shared" ca="1" si="893"/>
        <v>#N/A</v>
      </c>
      <c r="NV227" s="170" t="e">
        <f t="shared" ca="1" si="802"/>
        <v>#N/A</v>
      </c>
      <c r="NW227" s="175" t="e">
        <f t="shared" ca="1" si="803"/>
        <v>#DIV/0!</v>
      </c>
      <c r="NX227" s="170" t="e">
        <f ca="1">MIN(Control!$C$72+$MU227, $NW227)</f>
        <v>#DIV/0!</v>
      </c>
      <c r="NY227" s="170" t="e">
        <f ca="1">IF($MT227&lt;=$NX227,MIN(Control!$C$72+$NB227,$NX227-$MT227),0)</f>
        <v>#DIV/0!</v>
      </c>
      <c r="NZ227" s="54" t="e">
        <f ca="1">IF(Control!$C$114=1,  $CX227*($MX227-Control!$C$127), 0)</f>
        <v>#DIV/0!</v>
      </c>
      <c r="OA227" s="170" t="e">
        <f t="shared" ca="1" si="804"/>
        <v>#DIV/0!</v>
      </c>
      <c r="OB227" s="170" t="e">
        <f ca="1">IF($NA227 &lt;=$NY227, MIN(Control!$C$72, $NY227-$NA227), 0)</f>
        <v>#DIV/0!</v>
      </c>
      <c r="OC227" s="168" t="e">
        <f t="shared" ca="1" si="805"/>
        <v>#DIV/0!</v>
      </c>
      <c r="OD227" s="168" t="e">
        <f t="shared" ca="1" si="894"/>
        <v>#DIV/0!</v>
      </c>
      <c r="OE227" s="170">
        <f ca="1">Control!$C$73*$I227</f>
        <v>0</v>
      </c>
      <c r="OF227" s="176" t="e">
        <f t="shared" ca="1" si="806"/>
        <v>#DIV/0!</v>
      </c>
      <c r="OG227" s="168" t="e">
        <f t="shared" ca="1" si="807"/>
        <v>#DIV/0!</v>
      </c>
      <c r="OH227" s="168" t="e">
        <f t="shared" ca="1" si="808"/>
        <v>#DIV/0!</v>
      </c>
      <c r="OI227" s="168" t="e">
        <f t="shared" ca="1" si="809"/>
        <v>#DIV/0!</v>
      </c>
      <c r="OJ227" s="168" t="e">
        <f t="shared" ca="1" si="810"/>
        <v>#DIV/0!</v>
      </c>
      <c r="OK227" s="204" t="e">
        <f t="shared" ca="1" si="811"/>
        <v>#DIV/0!</v>
      </c>
      <c r="OL227" s="177">
        <f>Control!$C$127</f>
        <v>0.15</v>
      </c>
      <c r="OM227" s="182" t="e">
        <f t="shared" ca="1" si="812"/>
        <v>#N/A</v>
      </c>
      <c r="ON227" s="177">
        <f>Control!$C$128</f>
        <v>0.35</v>
      </c>
      <c r="OO227" s="182" t="e">
        <f t="shared" ca="1" si="813"/>
        <v>#N/A</v>
      </c>
      <c r="OP227" s="138">
        <f t="shared" ca="1" si="895"/>
        <v>0</v>
      </c>
      <c r="OQ227" s="138" t="e">
        <f t="shared" ca="1" si="918"/>
        <v>#DIV/0!</v>
      </c>
      <c r="OR227" s="138" t="e">
        <f t="shared" ca="1" si="896"/>
        <v>#DIV/0!</v>
      </c>
      <c r="OS227" s="137" t="e">
        <f t="shared" ca="1" si="919"/>
        <v>#DIV/0!</v>
      </c>
      <c r="OT227" s="139" t="e">
        <f t="shared" ca="1" si="920"/>
        <v>#DIV/0!</v>
      </c>
      <c r="OU227" s="138" t="e">
        <f t="shared" ca="1" si="921"/>
        <v>#N/A</v>
      </c>
      <c r="OV227" s="138" t="e">
        <f t="shared" ca="1" si="922"/>
        <v>#DIV/0!</v>
      </c>
      <c r="OW227" s="138" t="e">
        <f t="shared" ca="1" si="897"/>
        <v>#DIV/0!</v>
      </c>
      <c r="OX227" s="138" t="e">
        <f t="shared" ca="1" si="898"/>
        <v>#DIV/0!</v>
      </c>
      <c r="OY227" s="138" t="e">
        <f t="shared" ca="1" si="899"/>
        <v>#DIV/0!</v>
      </c>
      <c r="OZ227" s="138" t="e">
        <f t="shared" ca="1" si="814"/>
        <v>#DIV/0!</v>
      </c>
      <c r="PA227" s="138" t="e">
        <f t="shared" ca="1" si="815"/>
        <v>#DIV/0!</v>
      </c>
      <c r="PB227" s="55">
        <f>IF(Control!$C$61="T", IF(Control!$C$65="F", IF($AH$6-Control!$C$60&lt;0,0,1), IF(365+$AH$6-Control!$C$60&lt;0,0,1)),0)</f>
        <v>0</v>
      </c>
      <c r="PC227" s="55">
        <f ca="1">IF(Control!$C$65="F", IF($AH$6-$HF227&lt;0,0,1), IF(365+$AH$6-$HF227&lt;0,0,1))</f>
        <v>1</v>
      </c>
      <c r="PD227" s="444">
        <f>Control!$C$118</f>
        <v>1500</v>
      </c>
      <c r="PE227" s="180" t="e">
        <f t="shared" ca="1" si="816"/>
        <v>#N/A</v>
      </c>
      <c r="PF227" s="445">
        <f t="shared" ca="1" si="900"/>
        <v>0.71612369323045078</v>
      </c>
      <c r="PT227" s="186"/>
      <c r="PU227" s="186"/>
      <c r="PV227" s="94"/>
      <c r="PW227" s="94"/>
      <c r="PX227" s="94"/>
      <c r="PY227" s="94"/>
      <c r="PZ227" s="94"/>
      <c r="QA227" s="94"/>
      <c r="QB227" s="94"/>
      <c r="QC227" s="94"/>
      <c r="QD227" s="94"/>
      <c r="QE227" s="94"/>
      <c r="QF227" s="94"/>
      <c r="QG227" s="94"/>
      <c r="QH227" s="94"/>
      <c r="QI227" s="94"/>
      <c r="QJ227" s="94"/>
      <c r="QK227" s="94"/>
      <c r="QL227" s="94"/>
      <c r="QM227" s="94"/>
      <c r="QN227" s="94"/>
      <c r="QO227" s="94"/>
      <c r="QP227" s="94"/>
    </row>
    <row r="228" spans="1:458" s="2" customFormat="1" x14ac:dyDescent="0.2">
      <c r="A228" s="395">
        <v>11</v>
      </c>
      <c r="B228" s="396">
        <v>8</v>
      </c>
      <c r="C228" s="387">
        <f ca="1">Weather_data!$B227</f>
        <v>0</v>
      </c>
      <c r="D228" s="388">
        <f ca="1">Weather_data!$F227</f>
        <v>0</v>
      </c>
      <c r="E228" s="388">
        <f ca="1">Weather_data!$E227</f>
        <v>0</v>
      </c>
      <c r="F228" s="388">
        <f t="shared" ca="1" si="817"/>
        <v>0</v>
      </c>
      <c r="G228" s="388">
        <f ca="1">AVERAGE($D228:$E228)+Control!$B$9</f>
        <v>0</v>
      </c>
      <c r="H228" s="388">
        <f ca="1">Weather_data!$G227</f>
        <v>0</v>
      </c>
      <c r="I228" s="388">
        <f ca="1">Weather_data!$I227</f>
        <v>0</v>
      </c>
      <c r="J228" s="388">
        <f ca="1">Weather_data!$H227</f>
        <v>0</v>
      </c>
      <c r="K228" s="389">
        <f ca="1">Weather_data!$D227</f>
        <v>0</v>
      </c>
      <c r="L228" s="388" t="e">
        <f t="shared" ca="1" si="818"/>
        <v>#N/A</v>
      </c>
      <c r="M228" s="388" t="e">
        <f t="shared" ca="1" si="696"/>
        <v>#N/A</v>
      </c>
      <c r="N228" s="388">
        <f t="shared" ca="1" si="697"/>
        <v>-3.4738183094036289E-11</v>
      </c>
      <c r="O228" s="388">
        <f t="shared" ca="1" si="819"/>
        <v>3.4738183094036289E-10</v>
      </c>
      <c r="P228" s="390">
        <v>3</v>
      </c>
      <c r="Q228" s="388">
        <f ca="1">MAX($G228-Control!$C$107,0)</f>
        <v>0</v>
      </c>
      <c r="R228" s="388">
        <f t="shared" ca="1" si="820"/>
        <v>0</v>
      </c>
      <c r="S228" s="388">
        <f t="shared" ca="1" si="698"/>
        <v>0</v>
      </c>
      <c r="T228" s="388">
        <f t="shared" ca="1" si="699"/>
        <v>0</v>
      </c>
      <c r="U228" s="59">
        <f t="shared" ca="1" si="700"/>
        <v>0</v>
      </c>
      <c r="V228" s="391">
        <f ca="1">MAX(0,MIN(Control!$C$100-Control!$C$99,$G228-Control!$C$99)*Control!$C$63)</f>
        <v>0</v>
      </c>
      <c r="W228" s="388">
        <f t="shared" ca="1" si="821"/>
        <v>0</v>
      </c>
      <c r="X228" s="388">
        <f t="shared" ca="1" si="822"/>
        <v>0.6110000000000001</v>
      </c>
      <c r="Y228" s="388">
        <f t="shared" ca="1" si="701"/>
        <v>0</v>
      </c>
      <c r="Z228" s="388">
        <f t="shared" ca="1" si="823"/>
        <v>0.61058800000000002</v>
      </c>
      <c r="AA228" s="388">
        <f t="shared" ca="1" si="702"/>
        <v>0.6018</v>
      </c>
      <c r="AB228" s="388">
        <f ca="1">101.3*EXP(-0.034*Control!$C$66/($G228+273))</f>
        <v>100.69623283836242</v>
      </c>
      <c r="AC228" s="392">
        <f t="shared" ca="1" si="703"/>
        <v>4.3460251046025113E-2</v>
      </c>
      <c r="AD228" s="392">
        <f t="shared" ca="1" si="704"/>
        <v>4.4450382862832649E-2</v>
      </c>
      <c r="AE228" s="388">
        <f t="shared" ca="1" si="705"/>
        <v>0</v>
      </c>
      <c r="AF228" s="388">
        <f ca="1">MAX(0,$G228-Control!$C$92)</f>
        <v>0</v>
      </c>
      <c r="AG228" s="393">
        <f t="shared" ca="1" si="706"/>
        <v>224</v>
      </c>
      <c r="AH228" s="389">
        <f t="shared" ca="1" si="707"/>
        <v>224</v>
      </c>
      <c r="AI228" s="388">
        <f t="shared" ca="1" si="824"/>
        <v>0.25427350302923046</v>
      </c>
      <c r="AJ228" s="388">
        <f ca="1">IF(Control!$C$60&lt;=0,$HH228,$HI228)</f>
        <v>1</v>
      </c>
      <c r="AK228" s="388">
        <f t="shared" ca="1" si="708"/>
        <v>2.4788457102297548</v>
      </c>
      <c r="AL228" s="388">
        <f t="shared" ca="1" si="709"/>
        <v>-3.2461533461258797E-18</v>
      </c>
      <c r="AM228" s="388">
        <f t="shared" ca="1" si="710"/>
        <v>2.4788457102297548</v>
      </c>
      <c r="AN228" s="388">
        <f t="shared" ca="1" si="711"/>
        <v>0.24727237645689604</v>
      </c>
      <c r="AO228" s="388">
        <f ca="1">-0.10453/COS(Control!$B$8*PI()/180)*COS(AN228)</f>
        <v>-0.16462062691836338</v>
      </c>
      <c r="AP228" s="388">
        <f ca="1">ACOS(AO228-TAN(Control!$B$8*PI()/180)*TAN(AN228))</f>
        <v>2.0802806616240406</v>
      </c>
      <c r="AQ228" s="388">
        <f t="shared" ca="1" si="825"/>
        <v>0</v>
      </c>
      <c r="AR228" s="394">
        <f t="shared" ca="1" si="712"/>
        <v>0</v>
      </c>
      <c r="AS228" s="436">
        <f ca="1">IF(Control!$B$18=2,(IF(OR($AH228=Control!$B$175,$AH228=Control!$B$176,$AH228=Control!$B$177,$AH228=Control!$B$178,$AH228=Control!$B$179,$AH228=Control!$B$180,$AH228=Control!$B$181,$AH228=Control!$B$182,$AH228=Control!$B$183,$AH228=Control!$B$184,$AH228=Control!$B$185),1,0)),0)</f>
        <v>0</v>
      </c>
      <c r="AT228" s="436">
        <f>IF(Control!$B$20=8,IF(AND($AH228&gt;=Control!$B$172,$AH228&lt;=Control!$B$173),1,0),0)</f>
        <v>0</v>
      </c>
      <c r="AU228" s="436">
        <f>IF(Control!$B$20=8,IF($AV227=1,1*$AT228,IF($AT228=1,$AU227+1,$AU227)),0)</f>
        <v>0</v>
      </c>
      <c r="AV228" s="436">
        <f>IF(Control!$B$20=8,IF($AU228&gt;=Control!$B$174,1,0),0)</f>
        <v>0</v>
      </c>
      <c r="AW228" s="436">
        <f ca="1">IF(AND(Control!$B$18=2,Control!$B$171=1), $AV228, $AS228)</f>
        <v>0</v>
      </c>
      <c r="AX228" s="436" t="e">
        <f ca="1">IF(AND(Control!$B$18=1,$EU228&gt;=Control!$B$19),-$AY228,IF(AND(Control!$B$18=2,$AW228=1,$EU228&gt;$DS228),-$AY228, IF(Control!$C$108=0,0, IF(Control!$C$108&lt;&gt;0,1))))</f>
        <v>#N/A</v>
      </c>
      <c r="AY228" s="436" t="e">
        <f t="shared" ca="1" si="826"/>
        <v>#N/A</v>
      </c>
      <c r="AZ228" s="436" t="e">
        <f ca="1">IF(AND(Control!$B$18=1,$EB228&gt;Control!$B$19),$AZ227+1, IF(AND(Control!$B$18=2, $AW228=1, $EB228&gt;$DS228), $AZ227+1,$AZ227))</f>
        <v>#N/A</v>
      </c>
      <c r="BA228" s="587">
        <f>IF(Control!$C$81=0,1,IF($AH228&gt;=Control!$C$82,1,0))</f>
        <v>1</v>
      </c>
      <c r="BB228" s="140" t="e">
        <f ca="1">IF($BA228&gt;$BA227,Control!$C$83,IF($AW228&gt;0,$AW228*Control!$C$84,IF(AND(Control!$B$18=1,EN227&lt;&gt;0),Control!$C$84,0)))</f>
        <v>#N/A</v>
      </c>
      <c r="BC228" s="140" t="e">
        <f t="shared" ca="1" si="827"/>
        <v>#N/A</v>
      </c>
      <c r="BD228" s="140" t="e">
        <f ca="1">BC228*IF(OR($G228&lt;Control!$C$92,$G228&gt;Control!$C$95),0,IF(AND($G228&gt;=Control!$C$92,$G228&lt;=Control!$C$93),$G228-Control!$C$92,IF(AND($G228&gt;Control!$C$93,$G228&lt;=Control!$C$94),Control!$C$93-Control!$C$92,IF(AND($G228&gt;Control!$C$94,$G228&lt;=Control!$C$95),(Control!$C$93-Control!$C$92)*(Control!$C$94-$G228)/(Control!$C$95-Control!$C$94)))))</f>
        <v>#N/A</v>
      </c>
      <c r="BE228" s="140" t="e">
        <f t="shared" ca="1" si="828"/>
        <v>#N/A</v>
      </c>
      <c r="BF228" s="140" t="e">
        <f ca="1">IF($BE228&lt;=Control!$C$86,$BE228,Control!$C$86-$BE228)</f>
        <v>#N/A</v>
      </c>
      <c r="BG228" s="140" t="e">
        <f ca="1">IF(AND($AW228=1,Control!$C$84&lt;9),1,IF($BE228&gt;=Control!$C$86,0,$BC228))</f>
        <v>#N/A</v>
      </c>
      <c r="BH228" s="404" t="e">
        <f ca="1">IF($BG228=0,0,IF($BE228&lt;=Control!$C$86,$BC228*9*($BF228/Control!$C$86),0))</f>
        <v>#N/A</v>
      </c>
      <c r="BI228" s="140" t="e">
        <f ca="1">IF($BG228=1,0,IF($BE228&gt;=Control!$C$86,1,IF(AND($BB228&lt;21,$BB228&gt;=9),1,$BM227)))</f>
        <v>#N/A</v>
      </c>
      <c r="BJ228" s="140" t="e">
        <f ca="1">IF($BF228&lt;0,-$BF228,$BI228*IF(OR($G228&lt;Control!$C$92,$G228&gt;Control!$C$95),0,IF(AND($G228&gt;=Control!$C$92,$G228&lt;=Control!$C$93),$G228-Control!$C$92,IF(AND($G228&gt;Control!$C$93,$G228&lt;=Control!$C$94),Control!$C$93-Control!$C$92,IF(AND($G228&gt;Control!$C$94,$G228&lt;=Control!$C$95),(Control!$C$93-Control!$C$92)*(Control!$C$94-$G228)/(Control!$C$95-Control!$C$94))))))</f>
        <v>#N/A</v>
      </c>
      <c r="BK228" s="140" t="e">
        <f t="shared" ca="1" si="829"/>
        <v>#N/A</v>
      </c>
      <c r="BL228" s="140" t="e">
        <f ca="1">IF($BK228&lt;=Control!$C$87,$BK228,Control!$C$87-$BK228)</f>
        <v>#N/A</v>
      </c>
      <c r="BM228" s="140" t="e">
        <f ca="1">IF(AND($BB228&gt;=9,$BB228&lt;21),1,IF($BK228&gt;=Control!$C$87,0,$BI228))</f>
        <v>#N/A</v>
      </c>
      <c r="BN228" s="404" t="e">
        <f ca="1">IF($BM228=0,0,IF($BK228&lt;=Control!$C$87,$BI228*(9+(21-9)*($BL228/Control!$C$87)),0))</f>
        <v>#N/A</v>
      </c>
      <c r="BO228" s="140" t="e">
        <f ca="1">IF($BM228=1,0,IF($BK228&gt;=Control!$C$87,1,IF(AND($BB228&lt;30,$BB228&gt;=21),1,$BS227)))</f>
        <v>#N/A</v>
      </c>
      <c r="BP228" s="140" t="e">
        <f ca="1">IF($BL228&lt;0,-$BL228,$BO228*IF(OR($G228&lt;Control!$C$92,$G228&gt;Control!$C$95),0,IF(AND($G228&gt;=Control!$C$92,$G228&lt;=Control!$C$93),$G228-Control!$C$92,IF(AND($G228&gt;Control!$C$93,$G228&lt;=Control!$C$94),Control!$C$93-Control!$C$92,IF(AND($G228&gt;Control!$C$94,$G228&lt;=Control!$C$95),(Control!$C$93-Control!$C$92)*(Control!$C$94-$G228)/(Control!$C$95-Control!$C$94))))))</f>
        <v>#N/A</v>
      </c>
      <c r="BQ228" s="140" t="e">
        <f t="shared" ca="1" si="713"/>
        <v>#N/A</v>
      </c>
      <c r="BR228" s="140" t="e">
        <f ca="1">IF($BQ228&lt;=Control!$C$88,$BQ228,Control!$C$88-$BQ228)</f>
        <v>#N/A</v>
      </c>
      <c r="BS228" s="140" t="e">
        <f ca="1">IF(AND($BB228&gt;=21,$BB228&lt;30),1,IF($BQ228&gt;=Control!$C$88,0,$BO228))</f>
        <v>#N/A</v>
      </c>
      <c r="BT228" s="404" t="e">
        <f ca="1">IF($BS228=0,0,IF($BQ228&lt;=Control!$C$88,$BO228*(21+(30-21)*(BR228/Control!$C$88)),0))</f>
        <v>#N/A</v>
      </c>
      <c r="BU228" s="140" t="e">
        <f ca="1">IF(BG228+BM228+BS228=1,0,IF(OR(AND($BB228&lt;60,$BB228&gt;=30),$BQ228&gt;=Control!$C$88),1*$BA228,$BY227))</f>
        <v>#N/A</v>
      </c>
      <c r="BV228" s="140" t="e">
        <f ca="1">IF($BR228&lt;0,-$BR228,$BU228*IF(OR($G228&lt;Control!$C$92,$G228&gt;Control!$C$95),0,IF(AND($G228&gt;=Control!$C$92,$G228&lt;=Control!$C$93),$G228-Control!$C$92,IF(AND($G228&gt;Control!$C$93,$G228&lt;=Control!$C$94),Control!$C$93-Control!$C$92,IF(AND($G228&gt;Control!$C$94,$G228&lt;=Control!$C$95),(Control!$C$93-Control!$C$92)*(Control!$C$94-$G228)/(Control!$C$95-Control!$C$94))))))</f>
        <v>#N/A</v>
      </c>
      <c r="BW228" s="140" t="e">
        <f t="shared" ca="1" si="714"/>
        <v>#N/A</v>
      </c>
      <c r="BX228" s="140" t="e">
        <f ca="1">IF($BW228&lt;=Control!$C$89,$BW228,Control!$C$89-$BW228)</f>
        <v>#N/A</v>
      </c>
      <c r="BY228" s="140" t="e">
        <f ca="1">IF(AND($AJ228&gt;=30,$AJ228&lt;60),1,IF($BW228&gt;=Control!$C$89,0,$BU228))</f>
        <v>#N/A</v>
      </c>
      <c r="BZ228" s="404" t="e">
        <f ca="1">IF($BY228=0,0,IF($BW228&lt;=Control!$C$89,$BU228*(30+(60-30)*(BX228/Control!$C$89)),0))</f>
        <v>#N/A</v>
      </c>
      <c r="CA228" s="140" t="e">
        <f ca="1">IF($BG228+$BM228+$BS228+$BY228=1,0,IF(OR(AND($BB228&lt;65,$BB228&gt;=60),$BW228&gt;=Control!$C$89),1*$BA228,$CE227))</f>
        <v>#N/A</v>
      </c>
      <c r="CB228" s="140" t="e">
        <f ca="1">IF($BX228&lt;0,-$BX228,$CA228*IF(OR($G228&lt;Control!$C$92,$G228&gt;Control!$C$95),0,IF(AND($G228&gt;=Control!$C$92,$G228&lt;=Control!$C$93),$G228-Control!$C$92,IF(AND($G228&gt;Control!$C$93,$G228&lt;=Control!$C$94),Control!$C$93-Control!$C$92,IF(AND($G228&gt;Control!$C$94,$G228&lt;=Control!$C$95),(Control!$C$93-Control!$C$92)*(Control!$C$94-$G228)/(Control!$C$95-Control!$C$94))))))</f>
        <v>#N/A</v>
      </c>
      <c r="CC228" s="140" t="e">
        <f t="shared" ca="1" si="830"/>
        <v>#N/A</v>
      </c>
      <c r="CD228" s="140" t="e">
        <f ca="1">IF($CC228&lt;=Control!$C$90,$CC228,Control!$C$90-$CC228)</f>
        <v>#N/A</v>
      </c>
      <c r="CE228" s="140" t="e">
        <f ca="1">IF(AND($BB228&gt;=60,$BB228&lt;65),1,IF($CC228&gt;=Control!$C$90,0,$CA228))</f>
        <v>#N/A</v>
      </c>
      <c r="CF228" s="404" t="e">
        <f ca="1">IF($CE228=0,0,IF($CC228&lt;=Control!$C$90,$CA228*(60+(65-60)*(CD228/Control!$C$90)),0))</f>
        <v>#N/A</v>
      </c>
      <c r="CG228" s="140" t="e">
        <f ca="1">IF($BG228+$BM228+$BS228+$BY228+$CE228=1,0,IF(OR(AND($BB228&lt;90,$BB228&gt;=65),$CC228&gt;=Control!$C$90),$BA228,$CK227))</f>
        <v>#N/A</v>
      </c>
      <c r="CH228" s="140" t="e">
        <f ca="1">IF($CD228&lt;0,-$CD228,$CG228*IF(OR($G228&lt;Control!$C$92,$G228&gt;Control!$C$95),0,IF(AND($G228&gt;=Control!$C$92,$G228&lt;=Control!$C$93),$G228-Control!$C$92,IF(AND($G228&gt;Control!$C$93,$G228&lt;=Control!$C$94),Control!$C$93-Control!$C$92,IF(AND($G228&gt;Control!$C$94,$G228&lt;=Control!$C$95),(Control!$C$93-Control!$C$92)*(Control!$C$94-$G228)/(Control!$C$95-Control!$C$94))))))</f>
        <v>#N/A</v>
      </c>
      <c r="CI228" s="140" t="e">
        <f t="shared" ca="1" si="831"/>
        <v>#N/A</v>
      </c>
      <c r="CJ228" s="140" t="e">
        <f ca="1">IF($CI228&lt;=Control!$C$91,$CI228,Control!$C$91-$CI228)</f>
        <v>#N/A</v>
      </c>
      <c r="CK228" s="140" t="e">
        <f ca="1">IF(AND($BB228&gt;=65,$BB228&lt;90),1,IF($CI228&gt;=Control!$C$91,0,$CG228))</f>
        <v>#N/A</v>
      </c>
      <c r="CL228" s="404" t="e">
        <f ca="1">IF($CK228=0,0,IF($CI228&lt;=Control!$C$91,$CG228*(65+(90-65)*($CJ228/Control!$C$91)),0))</f>
        <v>#N/A</v>
      </c>
      <c r="CM228" s="140" t="e">
        <f ca="1">IF($BG228+$BM228+$BS228+$BY228+$CE228+$CK228=1,0,IF(OR($BB228&gt;=90,$CI228&gt;=Control!$C$91),$BA228,$CM227))</f>
        <v>#N/A</v>
      </c>
      <c r="CN228" s="140" t="e">
        <f t="shared" ca="1" si="832"/>
        <v>#N/A</v>
      </c>
      <c r="CO228" s="140" t="e">
        <f t="shared" ca="1" si="833"/>
        <v>#N/A</v>
      </c>
      <c r="CP228" s="140" t="e">
        <f t="shared" ca="1" si="834"/>
        <v>#N/A</v>
      </c>
      <c r="CQ228" s="141" t="e">
        <f ca="1">VLOOKUP($CP228,Control!$B$86:$G$91,6)</f>
        <v>#N/A</v>
      </c>
      <c r="CR228" s="141" t="e">
        <f ca="1">(1-$CQ228)*VLOOKUP($CP228,Control!$B$86:$D$91,3)</f>
        <v>#N/A</v>
      </c>
      <c r="CS228" s="141" t="e">
        <f ca="1">(1-$CQ228)*VLOOKUP($CP228,Control!$B$86:$E$91,4)</f>
        <v>#N/A</v>
      </c>
      <c r="CT228" s="141" t="e">
        <f ca="1">(1-$CQ228)*VLOOKUP($CP228,Control!$B$86:$F$91,5)</f>
        <v>#N/A</v>
      </c>
      <c r="CU228" s="141">
        <f t="shared" ca="1" si="835"/>
        <v>0</v>
      </c>
      <c r="CV228" s="583">
        <f t="shared" ca="1" si="836"/>
        <v>0</v>
      </c>
      <c r="CW228" s="142">
        <f t="shared" ca="1" si="837"/>
        <v>224</v>
      </c>
      <c r="CX228" s="612" t="e">
        <f ca="1">IF(Control!$C$114=1,(MIN(Control!$C$120*(IF($NT228-0.01&lt;0,0,1)),Control!$C$119-$CY228)))</f>
        <v>#DIV/0!</v>
      </c>
      <c r="CY228" s="143" t="e">
        <f t="shared" ca="1" si="838"/>
        <v>#N/A</v>
      </c>
      <c r="CZ228" s="144">
        <f t="shared" ca="1" si="715"/>
        <v>0</v>
      </c>
      <c r="DA228" s="144">
        <f t="shared" ca="1" si="716"/>
        <v>0</v>
      </c>
      <c r="DB228" s="144" t="e">
        <f t="shared" ca="1" si="717"/>
        <v>#N/A</v>
      </c>
      <c r="DC228" s="144" t="e">
        <f t="shared" ca="1" si="718"/>
        <v>#N/A</v>
      </c>
      <c r="DD228" s="144" t="e">
        <f t="shared" ca="1" si="923"/>
        <v>#N/A</v>
      </c>
      <c r="DE228" s="143" t="e">
        <f t="shared" ca="1" si="839"/>
        <v>#N/A</v>
      </c>
      <c r="DF228" s="145" t="e">
        <f ca="1">$DR228*EXP(-Control!$C$158*(1-$KH228))</f>
        <v>#N/A</v>
      </c>
      <c r="DG228" s="146" t="e">
        <f ca="1">IF(Control!$C$114=1, $DF228*$EY228, 0)</f>
        <v>#N/A</v>
      </c>
      <c r="DH228" s="147" t="e">
        <f t="shared" ca="1" si="840"/>
        <v>#N/A</v>
      </c>
      <c r="DI228" s="144" t="e">
        <f t="shared" ca="1" si="901"/>
        <v>#N/A</v>
      </c>
      <c r="DJ228" s="147" t="e">
        <f ca="1">$EF228*Control!$C$109</f>
        <v>#N/A</v>
      </c>
      <c r="DK228" s="144" t="e">
        <f t="shared" ca="1" si="841"/>
        <v>#N/A</v>
      </c>
      <c r="DL228" s="144" t="e">
        <f t="shared" ca="1" si="719"/>
        <v>#N/A</v>
      </c>
      <c r="DM228" s="144" t="e">
        <f ca="1">IF(Control!$C$114=1, (1-EXP(-Control!$C$96*$DK228))*$AR228, 0)</f>
        <v>#N/A</v>
      </c>
      <c r="DN228" s="144">
        <f t="shared" ca="1" si="842"/>
        <v>0</v>
      </c>
      <c r="DO228" s="148">
        <f>Control!$C$97</f>
        <v>4</v>
      </c>
      <c r="DP228" s="145" t="e">
        <f t="shared" ca="1" si="843"/>
        <v>#N/A</v>
      </c>
      <c r="DQ228" s="145" t="e">
        <f ca="1">IF(AND($CP228&gt;=0,$CP228&lt;=90),Control!$C$111,Control!$C$111)</f>
        <v>#N/A</v>
      </c>
      <c r="DR228" s="145" t="e">
        <f t="shared" ca="1" si="720"/>
        <v>#N/A</v>
      </c>
      <c r="DS228" s="143" t="e">
        <f ca="1">Control!$B$22/$DR228</f>
        <v>#N/A</v>
      </c>
      <c r="DT228" s="149" t="e">
        <f ca="1">IF(AND(Control!$C$114=1,$KH228&lt;1),$IM228*$DF228, 0)</f>
        <v>#N/A</v>
      </c>
      <c r="DU228" s="144" t="e">
        <f t="shared" ca="1" si="844"/>
        <v>#N/A</v>
      </c>
      <c r="DV228" s="144">
        <f ca="1">IF($G228-Control!$C$107&lt;=0, 0, 0.83*LN(MAX($G228, 3))-0.8924)</f>
        <v>0</v>
      </c>
      <c r="DW228" s="144" t="e">
        <f t="shared" ca="1" si="721"/>
        <v>#N/A</v>
      </c>
      <c r="DX228" s="150" t="e">
        <f ca="1">MAX(0.01*(1+$CU228/Control!$C$102),0.05*($DK228-Control!$C$97)/Control!$C$97)</f>
        <v>#N/A</v>
      </c>
      <c r="DY228" s="151" t="e">
        <f ca="1">IF(Control!$C$114=1, $DI228*$FS228, 0)</f>
        <v>#N/A</v>
      </c>
      <c r="DZ228" s="196" t="e">
        <f t="shared" ca="1" si="845"/>
        <v>#N/A</v>
      </c>
      <c r="EA228" s="152">
        <f t="shared" ca="1" si="846"/>
        <v>224</v>
      </c>
      <c r="EB228" s="153" t="e">
        <f t="shared" ca="1" si="847"/>
        <v>#N/A</v>
      </c>
      <c r="EC228" s="153" t="e">
        <f t="shared" ca="1" si="848"/>
        <v>#N/A</v>
      </c>
      <c r="ED228" s="154" t="e">
        <f ca="1">IF(Control!$C$114=1, $HM228*$FY228-$FD228, 0)</f>
        <v>#DIV/0!</v>
      </c>
      <c r="EE228" s="155" t="e">
        <f ca="1">IF(Control!$C$114=1, $HM228*$FZ228-$FF228, 0)</f>
        <v>#DIV/0!</v>
      </c>
      <c r="EF228" s="153" t="e">
        <f t="shared" ca="1" si="902"/>
        <v>#N/A</v>
      </c>
      <c r="EG228" s="155" t="e">
        <f ca="1">IF(Control!$C$114=1, $GX228*$FW228-$FI228, 0)</f>
        <v>#DIV/0!</v>
      </c>
      <c r="EH228" s="153" t="e">
        <f t="shared" ca="1" si="849"/>
        <v>#N/A</v>
      </c>
      <c r="EI228" s="156" t="e">
        <f t="shared" ca="1" si="850"/>
        <v>#N/A</v>
      </c>
      <c r="EJ228" s="155" t="e">
        <f ca="1">IF(Control!$C$114=1, $HM228*$GB228, 0)</f>
        <v>#DIV/0!</v>
      </c>
      <c r="EK228" s="153" t="e">
        <f t="shared" ca="1" si="903"/>
        <v>#N/A</v>
      </c>
      <c r="EL228" s="153" t="e">
        <f t="shared" ca="1" si="722"/>
        <v>#N/A</v>
      </c>
      <c r="EM228" s="153" t="e">
        <f t="shared" ca="1" si="723"/>
        <v>#N/A</v>
      </c>
      <c r="EN228" s="153" t="e">
        <f ca="1">IF(Control!$C$108=1,IF(AND(Control!$B$18=1,$EB228&gt;=Control!$B$19),$EB228-$DS228,IF(AND(Control!$B$18=2,$AW228=1,$EB228&gt;$DS228),$EB228-$DS228,0)))</f>
        <v>#N/A</v>
      </c>
      <c r="EO228" s="153" t="e">
        <f ca="1">IF(Control!$C$108=1,IF(AND(Control!$B$18=1,$EB228&gt;=Control!$B$19),$EF228,IF(AND(Control!$B$18=2,$AW228=1),$EF228,0)))</f>
        <v>#N/A</v>
      </c>
      <c r="EP228" s="153" t="e">
        <f ca="1">IF(Control!$C$108=1,IF(AND(Control!$B$18=1,$EB228&gt;=Control!$B$19),$EK228,IF(AND(Control!$B$18=2,$AW228=1),$EK228,0)))</f>
        <v>#N/A</v>
      </c>
      <c r="EQ228" s="153" t="e">
        <f t="shared" ca="1" si="851"/>
        <v>#N/A</v>
      </c>
      <c r="ER228" s="153" t="e">
        <f t="shared" ca="1" si="852"/>
        <v>#N/A</v>
      </c>
      <c r="ES228" s="153" t="e">
        <f t="shared" ca="1" si="904"/>
        <v>#N/A</v>
      </c>
      <c r="ET228" s="153" t="e">
        <f t="shared" ca="1" si="905"/>
        <v>#N/A</v>
      </c>
      <c r="EU228" s="153" t="e">
        <f t="shared" ca="1" si="853"/>
        <v>#N/A</v>
      </c>
      <c r="EV228" s="153" t="e">
        <f t="shared" ca="1" si="724"/>
        <v>#N/A</v>
      </c>
      <c r="EW228" s="153" t="e">
        <f t="shared" ca="1" si="725"/>
        <v>#N/A</v>
      </c>
      <c r="EX228" s="153" t="e">
        <f t="shared" ca="1" si="726"/>
        <v>#N/A</v>
      </c>
      <c r="EY228" s="157" t="e">
        <f t="shared" ca="1" si="727"/>
        <v>#DIV/0!</v>
      </c>
      <c r="EZ228" s="154" t="e">
        <f t="shared" ca="1" si="728"/>
        <v>#DIV/0!</v>
      </c>
      <c r="FA228" s="153" t="e">
        <f t="shared" ca="1" si="854"/>
        <v>#N/A</v>
      </c>
      <c r="FB228" s="153" t="e">
        <f t="shared" ca="1" si="729"/>
        <v>#N/A</v>
      </c>
      <c r="FC228" s="193" t="e">
        <f t="shared" ca="1" si="730"/>
        <v>#N/A</v>
      </c>
      <c r="FD228" s="158" t="e">
        <f t="shared" ca="1" si="855"/>
        <v>#N/A</v>
      </c>
      <c r="FE228" s="158" t="e">
        <f t="shared" ca="1" si="856"/>
        <v>#N/A</v>
      </c>
      <c r="FF228" s="159" t="e">
        <f t="shared" ca="1" si="731"/>
        <v>#N/A</v>
      </c>
      <c r="FG228" s="160" t="e">
        <f t="shared" ca="1" si="857"/>
        <v>#N/A</v>
      </c>
      <c r="FH228" s="158" t="e">
        <f t="shared" ca="1" si="858"/>
        <v>#N/A</v>
      </c>
      <c r="FI228" s="159" t="e">
        <f t="shared" ca="1" si="732"/>
        <v>#N/A</v>
      </c>
      <c r="FJ228" s="160" t="e">
        <f t="shared" ca="1" si="859"/>
        <v>#N/A</v>
      </c>
      <c r="FK228" s="160" t="e">
        <f t="shared" ca="1" si="733"/>
        <v>#N/A</v>
      </c>
      <c r="FL228" s="160" t="e">
        <f t="shared" ca="1" si="906"/>
        <v>#N/A</v>
      </c>
      <c r="FM228" s="160" t="e">
        <f t="shared" ca="1" si="734"/>
        <v>#N/A</v>
      </c>
      <c r="FN228" s="158">
        <f t="shared" ca="1" si="860"/>
        <v>0.01</v>
      </c>
      <c r="FO228" s="160">
        <f>Control!$C$101</f>
        <v>50</v>
      </c>
      <c r="FP228" s="150" t="e">
        <f t="shared" ca="1" si="735"/>
        <v>#N/A</v>
      </c>
      <c r="FQ228" s="150" t="e">
        <f ca="1">MAX(0,(Control!$C$112*(($DK228-Control!$C$97)/Control!$C$97)))</f>
        <v>#N/A</v>
      </c>
      <c r="FR228" s="150" t="e">
        <f ca="1">(1-$NT228)*Control!$C$113</f>
        <v>#DIV/0!</v>
      </c>
      <c r="FS228" s="198" t="e">
        <f t="shared" ca="1" si="736"/>
        <v>#N/A</v>
      </c>
      <c r="FT228" s="161">
        <f t="shared" ca="1" si="861"/>
        <v>224</v>
      </c>
      <c r="FU228" s="162" t="e">
        <f ca="1">IF(Control!$B$34=1,VLOOKUP($CP228,Control!$B$86:$G$91,6),Control!$B$35)</f>
        <v>#N/A</v>
      </c>
      <c r="FV228" s="162" t="e">
        <f t="shared" ca="1" si="737"/>
        <v>#DIV/0!</v>
      </c>
      <c r="FW228" s="162" t="e">
        <f ca="1">IF(Control!$B$31=1,$FU228*$FV228,  $FU228)</f>
        <v>#N/A</v>
      </c>
      <c r="FX228" s="162" t="e">
        <f ca="1">IF(Control!$B$34=1,VLOOKUP($CP228,Control!$B$86:$G$91,3),Control!$B$36)</f>
        <v>#N/A</v>
      </c>
      <c r="FY228" s="162" t="e">
        <f t="shared" ca="1" si="738"/>
        <v>#N/A</v>
      </c>
      <c r="FZ228" s="162" t="e">
        <f ca="1">IF(Control!$B$34=1,VLOOKUP($CP228,Control!$B$86:$G$91,4),Control!$B$37)</f>
        <v>#N/A</v>
      </c>
      <c r="GA228" s="162" t="e">
        <f t="shared" ca="1" si="739"/>
        <v>#N/A</v>
      </c>
      <c r="GB228" s="162" t="e">
        <f ca="1">IF(Control!$B$34=1,VLOOKUP($CP228,Control!$B$86:$G$91,5),Control!$B$38)</f>
        <v>#N/A</v>
      </c>
      <c r="GC228" s="162" t="e">
        <f t="shared" ca="1" si="862"/>
        <v>#N/A</v>
      </c>
      <c r="GD228" s="162">
        <f t="shared" ca="1" si="740"/>
        <v>1</v>
      </c>
      <c r="GE228" s="162">
        <f t="shared" ca="1" si="741"/>
        <v>1</v>
      </c>
      <c r="GF228" s="162">
        <f ca="1">IF(AND(Control!$C$104=1, Control!$C$62="F"),$GE228,1)</f>
        <v>1</v>
      </c>
      <c r="GG228" s="162" t="e">
        <f ca="1">IF(Control!$B$16=40,0,IF(AND(Control!$B$16&gt;40,Control!$B$16&lt;=360),(Control!$B$16-40)*((1-0)/(360-40)),IF(AND(Control!$B$16&gt;360,Control!$B$16&lt;=720),(1+(Control!$B$16-360)*((1.25-1)/(720-360))),IF(AND(Control!$B$16&gt;720,Control!$B$16&lt;=1000),(1.25+(Control!$B$16-720)*((1.35-1.25)/(1000-720))),IF(AND(Control!$B$16&gt;1000,Control!$B$16&lt;=2000),(1.35+(Control!$B$16-1000)*0))))))</f>
        <v>#N/A</v>
      </c>
      <c r="GH228" s="162" t="e">
        <f t="shared" ca="1" si="742"/>
        <v>#N/A</v>
      </c>
      <c r="GI228" s="162">
        <f t="shared" ca="1" si="863"/>
        <v>0</v>
      </c>
      <c r="GJ228" s="162">
        <f t="shared" ca="1" si="743"/>
        <v>0</v>
      </c>
      <c r="GK228" s="162">
        <f t="shared" ca="1" si="864"/>
        <v>1</v>
      </c>
      <c r="GL228" s="162">
        <f t="shared" ca="1" si="744"/>
        <v>1</v>
      </c>
      <c r="GM228" s="162" t="e">
        <f ca="1">MAX(0,MIN(1,1-Control!$C$156*(1.0001-$KH228)^2))</f>
        <v>#N/A</v>
      </c>
      <c r="GN228" s="162" t="e">
        <f ca="1">IF(Control!$B$26=1,$KU228,$KX228)</f>
        <v>#N/A</v>
      </c>
      <c r="GO228" s="162" t="e">
        <f ca="1">IF($CP228&lt;=60,Control!$C$105,IF($CP228&gt;=90,Control!$C$106,Control!$C$105+($CP228-60)*((Control!$C$106-Control!$C$105)/(90-60))))</f>
        <v>#N/A</v>
      </c>
      <c r="GP228" s="162" t="e">
        <f t="shared" ca="1" si="745"/>
        <v>#N/A</v>
      </c>
      <c r="GQ228" s="162" t="e">
        <f t="shared" ca="1" si="865"/>
        <v>#N/A</v>
      </c>
      <c r="GR228" s="163" t="e">
        <f t="shared" ca="1" si="746"/>
        <v>#DIV/0!</v>
      </c>
      <c r="GS228" s="162" t="e">
        <f t="shared" ca="1" si="747"/>
        <v>#DIV/0!</v>
      </c>
      <c r="GT228" s="164" t="e">
        <f t="shared" ca="1" si="866"/>
        <v>#N/A</v>
      </c>
      <c r="GU228" s="162" t="e">
        <f t="shared" ca="1" si="867"/>
        <v>#N/A</v>
      </c>
      <c r="GV228" s="162" t="e">
        <f t="shared" ca="1" si="748"/>
        <v>#N/A</v>
      </c>
      <c r="GW228" s="162" t="e">
        <f t="shared" ca="1" si="749"/>
        <v>#DIV/0!</v>
      </c>
      <c r="GX228" s="162" t="e">
        <f t="shared" ca="1" si="868"/>
        <v>#DIV/0!</v>
      </c>
      <c r="GY228" s="162" t="e">
        <f t="shared" ca="1" si="869"/>
        <v>#DIV/0!</v>
      </c>
      <c r="GZ228" s="165" t="e">
        <f t="shared" ca="1" si="750"/>
        <v>#N/A</v>
      </c>
      <c r="HA228" s="162" t="e">
        <f ca="1">IF(Control!$C$114=1, $DI228*$FS228, 0)</f>
        <v>#N/A</v>
      </c>
      <c r="HB228" s="162" t="e">
        <f ca="1">$FA228/Control!$C$64</f>
        <v>#N/A</v>
      </c>
      <c r="HC228" s="162" t="e">
        <f t="shared" ca="1" si="751"/>
        <v>#DIV/0!</v>
      </c>
      <c r="HD228" s="162">
        <f ca="1">-ASIN(SIN(23.45*Control!$C$139)*COS(2*Control!$C$138*($AH228+10)/365))</f>
        <v>0.25427350302923046</v>
      </c>
      <c r="HE228" s="165">
        <f t="shared" ca="1" si="870"/>
        <v>0</v>
      </c>
      <c r="HF228" s="166">
        <f ca="1">IF(AND(Control!$C$61="T",$HE228&gt;=Control!$C$103,Control!$C$114=0),$AH228,Control!$C$59)</f>
        <v>1</v>
      </c>
      <c r="HG228" s="166">
        <f ca="1">IF(AND(Control!$C$61="T",$HE228&gt;=Control!$C$103,Control!$C$114=0),$HF228,Control!$C$59)</f>
        <v>1</v>
      </c>
      <c r="HH228" s="165">
        <f ca="1">IF(AND(OR(Control!$C$60&lt;=0, $AH228= Control!$C$59, Control!$C$60 &gt;0, $AH228 = Control!$C$60)), Control!$C$59, IF(Control!$C$60&gt;0, 0))</f>
        <v>1</v>
      </c>
      <c r="HI228" s="165">
        <f ca="1">IF(AND(OR(Control!$C$60&lt;=0, $AH228= Control!$C$59, Control!$C$60 &gt;0, $AH228 = Control!$C$60)), Control!$C$60, IF(Control!$C$60&lt;=0, 0))</f>
        <v>0</v>
      </c>
      <c r="HJ228" s="166">
        <f ca="1">IF(AND(Control!$C$62="F",$CV228&gt;=Control!$C$102),$AH228,0)</f>
        <v>0</v>
      </c>
      <c r="HK228" s="165" t="e">
        <f t="shared" ca="1" si="907"/>
        <v>#N/A</v>
      </c>
      <c r="HL228" s="166">
        <f ca="1">IF(AND(Control!$C$61="T",$HE228&gt;=Control!$C$103,Control!$C$114=0),$HF228,0)</f>
        <v>0</v>
      </c>
      <c r="HM228" s="201" t="e">
        <f t="shared" ca="1" si="752"/>
        <v>#DIV/0!</v>
      </c>
      <c r="HN228" s="215">
        <f t="shared" ca="1" si="871"/>
        <v>224</v>
      </c>
      <c r="HO228" s="216" t="e">
        <f ca="1">IF(AND($CP228&gt;=0, $CP228&lt;=90), Control!$C$152, Control!$C$152)</f>
        <v>#N/A</v>
      </c>
      <c r="HP228" s="216" t="e">
        <f t="shared" ca="1" si="753"/>
        <v>#N/A</v>
      </c>
      <c r="HQ228" s="217" t="e">
        <f ca="1">IF(OR(Control!$B$26=1,Control!$B$26=2),$KV228,$KS228)</f>
        <v>#DIV/0!</v>
      </c>
      <c r="HR228" s="218" t="e">
        <f t="shared" ca="1" si="908"/>
        <v>#DIV/0!</v>
      </c>
      <c r="HS228" s="216" t="e">
        <f ca="1">Control!$C$154*$HP228</f>
        <v>#N/A</v>
      </c>
      <c r="HT228" s="216" t="e">
        <f ca="1">Control!$C$155*$HP228</f>
        <v>#N/A</v>
      </c>
      <c r="HU228" s="217" t="e">
        <f ca="1">Control!$C$161*$FI228</f>
        <v>#N/A</v>
      </c>
      <c r="HV228" s="218" t="e">
        <f t="shared" ca="1" si="872"/>
        <v>#N/A</v>
      </c>
      <c r="HW228" s="218" t="e">
        <f ca="1">Control!$C$160*$FF228+$IP228*$EO228</f>
        <v>#N/A</v>
      </c>
      <c r="HX228" s="218" t="e">
        <f t="shared" ca="1" si="909"/>
        <v>#N/A</v>
      </c>
      <c r="HY228" s="219" t="e">
        <f ca="1">IF(Control!$C$114=1, $EB228*$FS228, 0)</f>
        <v>#N/A</v>
      </c>
      <c r="HZ228" s="91" t="e">
        <f t="shared" ca="1" si="754"/>
        <v>#N/A</v>
      </c>
      <c r="IA228" s="220" t="e">
        <f ca="1">Control!$C$153*$HO228</f>
        <v>#N/A</v>
      </c>
      <c r="IB228" s="218" t="e">
        <f t="shared" ca="1" si="755"/>
        <v>#N/A</v>
      </c>
      <c r="IC228" s="220" t="e">
        <f ca="1">Control!$C$153*$HT228</f>
        <v>#N/A</v>
      </c>
      <c r="ID228" s="218" t="e">
        <f t="shared" ca="1" si="756"/>
        <v>#N/A</v>
      </c>
      <c r="IE228" s="221" t="e">
        <f ca="1">($EB228*Control!$C$159+$EF228*Control!$C$160)/(IF($GZ228&lt;&gt;0,$GZ228,1))</f>
        <v>#N/A</v>
      </c>
      <c r="IF228" s="216" t="e">
        <f t="shared" ca="1" si="757"/>
        <v>#N/A</v>
      </c>
      <c r="IG228" s="91">
        <f ca="1">IF(OR(Control!$B$198=$AH228,Control!$B$199=$AH228, Control!$B$200=$AH228, Control!$B$201=$AH228, Control!$B$202=$AH228, Control!$B$203=$AH228, Control!$B$204=$AH228, Control!$B$205=$AH228, Control!$B$206=$AH228, Control!$B$207=$AH228), 1, 0)</f>
        <v>0</v>
      </c>
      <c r="IH228" s="91">
        <f ca="1">IF($IG228=0,0, VLOOKUP($AH228,Control!$B$198:$C$207,2))</f>
        <v>0</v>
      </c>
      <c r="II228" s="222">
        <f t="shared" ca="1" si="873"/>
        <v>0</v>
      </c>
      <c r="IJ228" s="91">
        <f>Control!$C$121</f>
        <v>0.7</v>
      </c>
      <c r="IK228" s="218">
        <f t="shared" ca="1" si="758"/>
        <v>0</v>
      </c>
      <c r="IL228" s="217" t="e">
        <f t="shared" ca="1" si="910"/>
        <v>#N/A</v>
      </c>
      <c r="IM228" s="223" t="e">
        <f ca="1">IF(AND(Control!$C$114=1,$KH228&lt;1),$EB228*Control!$C$148*(1-$KH228), 0)</f>
        <v>#N/A</v>
      </c>
      <c r="IN228" s="217" t="e">
        <f t="shared" ca="1" si="759"/>
        <v>#DIV/0!</v>
      </c>
      <c r="IO228" s="91" t="e">
        <f ca="1">MAX(0,$IL228-$EF228*Control!$C$160)</f>
        <v>#N/A</v>
      </c>
      <c r="IP228" s="220" t="e">
        <f t="shared" ca="1" si="760"/>
        <v>#N/A</v>
      </c>
      <c r="IQ228" s="217" t="e">
        <f t="shared" ca="1" si="874"/>
        <v>#N/A</v>
      </c>
      <c r="IR228" s="218" t="e">
        <f t="shared" ca="1" si="761"/>
        <v>#N/A</v>
      </c>
      <c r="IS228" s="217" t="e">
        <f ca="1">Control!$C$159*MAX(0,$FD228-$EN228)</f>
        <v>#N/A</v>
      </c>
      <c r="IT228" s="217" t="e">
        <f t="shared" ca="1" si="911"/>
        <v>#N/A</v>
      </c>
      <c r="IU228" s="217" t="e">
        <f t="shared" ca="1" si="875"/>
        <v>#N/A</v>
      </c>
      <c r="IV228" s="217" t="e">
        <f t="shared" ca="1" si="912"/>
        <v>#N/A</v>
      </c>
      <c r="IW228" s="217" t="e">
        <f ca="1">IF(OR($AW228=1,AND($AW228=0, Control!$B$18=1,$EN228&lt;&gt;0)), $IQ228-$IU228, $IQ228)</f>
        <v>#N/A</v>
      </c>
      <c r="IX228" s="218" t="e">
        <f t="shared" ca="1" si="762"/>
        <v>#N/A</v>
      </c>
      <c r="IY228" s="218" t="e">
        <f ca="1">MAX(0,$IQ228-$EB228*Control!$C$159)</f>
        <v>#N/A</v>
      </c>
      <c r="IZ228" s="218" t="e">
        <f t="shared" ca="1" si="763"/>
        <v>#N/A</v>
      </c>
      <c r="JA228" s="216" t="e">
        <f t="shared" ca="1" si="764"/>
        <v>#N/A</v>
      </c>
      <c r="JB228" s="217" t="e">
        <f t="shared" ca="1" si="765"/>
        <v>#N/A</v>
      </c>
      <c r="JC228" s="222" t="e">
        <f ca="1">MAX(Control!$C$157*$EK228-$JT228, 0)/Control!$C$162</f>
        <v>#N/A</v>
      </c>
      <c r="JD228" s="218" t="e">
        <f t="shared" ca="1" si="766"/>
        <v>#N/A</v>
      </c>
      <c r="JE228" s="218" t="e">
        <f t="shared" ca="1" si="767"/>
        <v>#N/A</v>
      </c>
      <c r="JF228" s="218" t="e">
        <f t="shared" ca="1" si="876"/>
        <v>#N/A</v>
      </c>
      <c r="JG228" s="218" t="e">
        <f t="shared" ca="1" si="768"/>
        <v>#N/A</v>
      </c>
      <c r="JH228" s="217" t="e">
        <f t="shared" ca="1" si="877"/>
        <v>#N/A</v>
      </c>
      <c r="JI228" s="217" t="e">
        <f t="shared" ca="1" si="878"/>
        <v>#N/A</v>
      </c>
      <c r="JJ228" s="217" t="e">
        <f t="shared" ca="1" si="913"/>
        <v>#N/A</v>
      </c>
      <c r="JK228" s="217" t="e">
        <f ca="1">IF(Control!$C$114=1,IF(Control!$B$24=0,MAX(0,$JI228)*$GN228/Control!$C$64,(MAX(0,MIN($JI228,$JJ228*$GN228/Control!$C$64),0))))</f>
        <v>#N/A</v>
      </c>
      <c r="JL228" s="217" t="e">
        <f ca="1">$IK228/Control!$C$64-$JK228+$HQ228</f>
        <v>#N/A</v>
      </c>
      <c r="JM228" s="217" t="e">
        <f ca="1">IF(Control!$C$114=1,($JB228/(IF($JI228&lt;&gt;0,$JI228,1)))*$JK228,0)</f>
        <v>#N/A</v>
      </c>
      <c r="JN228" s="217" t="e">
        <f ca="1">IF(Control!$C$114=1,($JG228/(IF($JI228&lt;&gt;0,$JI228,1)))*$JK228, 0)</f>
        <v>#N/A</v>
      </c>
      <c r="JO228" s="218" t="e">
        <f t="shared" ca="1" si="769"/>
        <v>#N/A</v>
      </c>
      <c r="JP228" s="218" t="e">
        <f ca="1">MIN(($IY228+$IO228)*Control!$C$151, $JF228-$EH228*Control!$C$161)</f>
        <v>#N/A</v>
      </c>
      <c r="JQ228" s="218" t="e">
        <f t="shared" ca="1" si="770"/>
        <v>#N/A</v>
      </c>
      <c r="JR228" s="217" t="e">
        <f ca="1">IF($CP228-Control!$C$150&lt;0, 0, $JQ228/Control!$C$162)</f>
        <v>#N/A</v>
      </c>
      <c r="JS228" s="218" t="e">
        <f t="shared" ca="1" si="771"/>
        <v>#N/A</v>
      </c>
      <c r="JT228" s="218" t="e">
        <f t="shared" ca="1" si="879"/>
        <v>#N/A</v>
      </c>
      <c r="JU228" s="218" t="e">
        <f t="shared" ca="1" si="772"/>
        <v>#N/A</v>
      </c>
      <c r="JV228" s="218" t="e">
        <f t="shared" ca="1" si="773"/>
        <v>#N/A</v>
      </c>
      <c r="JW228" s="216" t="e">
        <f t="shared" ca="1" si="774"/>
        <v>#N/A</v>
      </c>
      <c r="JX228" s="91" t="e">
        <f t="shared" ca="1" si="775"/>
        <v>#N/A</v>
      </c>
      <c r="JY228" s="218" t="e">
        <f t="shared" ca="1" si="776"/>
        <v>#N/A</v>
      </c>
      <c r="JZ228" s="217" t="e">
        <f ca="1">IF(Control!$C$114=1,($IZ228/(IF($JI228&lt;&gt;0,$JI228,1)))*$JK228, 0)</f>
        <v>#N/A</v>
      </c>
      <c r="KA228" s="218" t="e">
        <f t="shared" ca="1" si="914"/>
        <v>#N/A</v>
      </c>
      <c r="KB228" s="218" t="e">
        <f t="shared" ca="1" si="880"/>
        <v>#N/A</v>
      </c>
      <c r="KC228" s="218" t="e">
        <f t="shared" ca="1" si="777"/>
        <v>#N/A</v>
      </c>
      <c r="KD228" s="218" t="e">
        <f t="shared" ca="1" si="778"/>
        <v>#N/A</v>
      </c>
      <c r="KE228" s="218" t="e">
        <f t="shared" ca="1" si="779"/>
        <v>#N/A</v>
      </c>
      <c r="KF228" s="218" t="e">
        <f t="shared" ca="1" si="780"/>
        <v>#N/A</v>
      </c>
      <c r="KG228" s="216" t="e">
        <f t="shared" ca="1" si="781"/>
        <v>#N/A</v>
      </c>
      <c r="KH228" s="221" t="e">
        <f ca="1">IF(Control!$B$24=0,1,MAX(0.001,MIN(1,IF(($IF228-$IE228)&lt;&gt;0,($KG228-$IE228)/($IF228-$IE228),1))))</f>
        <v>#N/A</v>
      </c>
      <c r="KI228" s="222" t="e">
        <f ca="1">IF(Control!$C$114=1, $KI227+ $KH227, 0)</f>
        <v>#N/A</v>
      </c>
      <c r="KJ228" s="217" t="e">
        <f t="shared" ca="1" si="782"/>
        <v>#N/A</v>
      </c>
      <c r="KK228" s="218" t="e">
        <f t="shared" ca="1" si="783"/>
        <v>#N/A</v>
      </c>
      <c r="KL228" s="274" t="e">
        <f ca="1">IF(Control!$B$26=3,4000000000*EXP(-8400/($G228+273)),IF(Control!$B$26=4,4000000000*EXP(-8400/($G228+273))*($KT228),0))</f>
        <v>#DIV/0!</v>
      </c>
      <c r="KM228" s="274" t="e">
        <f ca="1">IF(Control!$B$26=3,5600000000000*EXP(-9800/($G228+273)),IF(Control!$B$26=4,5600000000000*EXP(-9800/($G228+273))*$KT228,0))</f>
        <v>#DIV/0!</v>
      </c>
      <c r="KN228" s="454" t="e">
        <f t="shared" ca="1" si="881"/>
        <v>#DIV/0!</v>
      </c>
      <c r="KO228" s="274" t="e">
        <f t="shared" ca="1" si="882"/>
        <v>#DIV/0!</v>
      </c>
      <c r="KP228" s="454" t="e">
        <f t="shared" ca="1" si="784"/>
        <v>#DIV/0!</v>
      </c>
      <c r="KQ228" s="454" t="e">
        <f t="shared" ca="1" si="785"/>
        <v>#DIV/0!</v>
      </c>
      <c r="KR228" s="454" t="e">
        <f t="shared" ca="1" si="786"/>
        <v>#DIV/0!</v>
      </c>
      <c r="KS228" s="454" t="e">
        <f t="shared" ca="1" si="787"/>
        <v>#DIV/0!</v>
      </c>
      <c r="KT228" s="455" t="e">
        <f t="shared" ca="1" si="788"/>
        <v>#DIV/0!</v>
      </c>
      <c r="KU228" s="456" t="e">
        <f ca="1">IF($CP228-Control!$C$149&lt;0, IF($NT228-0.01&lt;0,0,1),0)</f>
        <v>#N/A</v>
      </c>
      <c r="KV228" s="456" t="e">
        <f ca="1">IF(Control!$C$114=1,MAX(0,MIN(Control!$C$125*$KW228*$GN228,$KW228)))</f>
        <v>#DIV/0!</v>
      </c>
      <c r="KW228" s="456" t="e">
        <f t="shared" ca="1" si="915"/>
        <v>#DIV/0!</v>
      </c>
      <c r="KX228" s="457" t="e">
        <f ca="1">IF($CP228-Control!$C$149&lt;0, IF($MR228-$OM228&lt;0,0,1),0)</f>
        <v>#N/A</v>
      </c>
      <c r="KY228" s="167">
        <f t="shared" ca="1" si="883"/>
        <v>224</v>
      </c>
      <c r="KZ228" s="168">
        <f ca="1">1370*(1+0.033*COS(2*Control!$C$138*$AH228/365))</f>
        <v>1335.8444143511929</v>
      </c>
      <c r="LA228" s="169">
        <f t="shared" ca="1" si="884"/>
        <v>0.97506872063560157</v>
      </c>
      <c r="LB228" s="169">
        <f t="shared" ca="1" si="885"/>
        <v>0.25577787324150192</v>
      </c>
      <c r="LC228" s="169">
        <f ca="1">ACOS(-TAN((2*Control!$B$8/360))*TAN(Calculations!$LB228))</f>
        <v>1.6485950887757437</v>
      </c>
      <c r="LD228" s="169">
        <f ca="1">((24*60)/PI())*0.082*$LA228*(($LC228*SIN(Control!$B$8*2*PI()/360))*SIN($LB228)+COS(Control!$B$8*2*PI()/360)*COS($LB228)*SIN($LC228))</f>
        <v>33.808772524540188</v>
      </c>
      <c r="LE228" s="170">
        <f t="shared" ca="1" si="789"/>
        <v>34.510183914877729</v>
      </c>
      <c r="LF228" s="170">
        <f ca="1">SIN(Control!$C$139*Control!$B$8)*SIN($HD228)</f>
        <v>0.19821839574478409</v>
      </c>
      <c r="LG228" s="170">
        <f ca="1">COS(Control!$C$139*Control!$B$8)*COS($HD228)</f>
        <v>0.59586405976063805</v>
      </c>
      <c r="LH228" s="170">
        <f ca="1">12*(1+2*ASIN(MAX(-1,MIN(1,$LF228/$LG228))/Control!$C$138))</f>
        <v>14.546079992698635</v>
      </c>
      <c r="LI228" s="170">
        <f ca="1">12*(1+2*ASIN(MAX(-1,MIN(1,(-SIN(-4*Control!$C$139)+$LF228)/$LG228))/Control!$C$138))</f>
        <v>15.4474823814007</v>
      </c>
      <c r="LJ228" s="168">
        <f ca="1">3600*($LH228*$LF228+24*$LG228*SQRT(1-$LK228*$LK228)/Control!$C$138)</f>
        <v>25833.98451505971</v>
      </c>
      <c r="LK228" s="170">
        <f t="shared" ca="1" si="790"/>
        <v>0.33265707588474042</v>
      </c>
      <c r="LL228" s="170">
        <f t="shared" ca="1" si="791"/>
        <v>0</v>
      </c>
      <c r="LM228" s="171">
        <f ca="1">Control!$C$145*$AB228</f>
        <v>6.6660906138995932E-2</v>
      </c>
      <c r="LN228" s="170">
        <f t="shared" ca="1" si="886"/>
        <v>0.54</v>
      </c>
      <c r="LO228" s="170">
        <f t="shared" ca="1" si="792"/>
        <v>0</v>
      </c>
      <c r="LP228" s="170">
        <f ca="1">Control!$C$140*((($D228+273.16)^4+($E228+273.16)^4)/2)*(0.34-0.14*SQRT($Y228))*(1.35*$AQ228/(0.75*$LD228)-0.35)</f>
        <v>-3.2464704755046001</v>
      </c>
      <c r="LQ228" s="170">
        <f ca="1">Control!$C$140*($G228+273)^4*(0.56-0.079*SQRT($Y228*10))*(0.1+0.9*$LO228)</f>
        <v>1.5241745131704001</v>
      </c>
      <c r="LR228" s="170">
        <f ca="1">$AQ228*(1-Control!$C$142)-$LQ228</f>
        <v>-1.5241745131704001</v>
      </c>
      <c r="LS228" s="170">
        <f ca="1">$AQ228*(1-Control!$C$143)-$LQ228</f>
        <v>-1.5241745131704001</v>
      </c>
      <c r="LT228" s="170">
        <f ca="1">$AQ228*(1-Control!$C$144)-$LQ228</f>
        <v>-1.5241745131704001</v>
      </c>
      <c r="LU228" s="169">
        <f ca="1">(1-Control!$C$144)*AQ228-LP228</f>
        <v>3.2464704755046001</v>
      </c>
      <c r="LV228" s="172">
        <f t="shared" ca="1" si="793"/>
        <v>0.79430000000000012</v>
      </c>
      <c r="LW228" s="170">
        <f t="shared" ca="1" si="794"/>
        <v>1.5886000000000002</v>
      </c>
      <c r="LX228" s="170">
        <f ca="1">($AC228*($LR228/Control!$C$141)+$LM228*$LV228)/($AC228+$LM228)</f>
        <v>0.23530094218323697</v>
      </c>
      <c r="LY228" s="170">
        <f ca="1">($AC228*($LS228/Control!$C$141)+$LM228*$LV228)/($AC228+$LM228)</f>
        <v>0.23530094218323697</v>
      </c>
      <c r="LZ228" s="170">
        <f t="shared" ca="1" si="795"/>
        <v>0.23530094218323697</v>
      </c>
      <c r="MA228" s="170">
        <f t="shared" ca="1" si="796"/>
        <v>0.23530094218323697</v>
      </c>
      <c r="MB228" s="170" t="e">
        <f t="shared" ca="1" si="797"/>
        <v>#N/A</v>
      </c>
      <c r="MC228" s="170">
        <f t="shared" ca="1" si="887"/>
        <v>0.6018</v>
      </c>
      <c r="MD228" s="170">
        <f t="shared" ca="1" si="798"/>
        <v>0.52989392535414004</v>
      </c>
      <c r="ME228" s="170">
        <f ca="1">($AC228*($LT228/Control!$C$141)+$LM228*$LW228)/($AC228+$LM228)</f>
        <v>0.71612369323045078</v>
      </c>
      <c r="MF228" s="170" t="e">
        <f ca="1">IF(Control!$B$16&gt;=1000,0.92,IF(AND(720&lt;=Control!$B$16,1000&gt;Control!$B$16),(0.95+(Control!$B$16-720)*((0.92-0.95)/(1000-720))),IF(AND(360&lt;=Control!$B$16,720&gt;Control!$B$16),(1+(Control!$B$16-360)*((0.95-1)/(720-360))),IF(AND(40&lt;=Control!$B$16,360&gt;Control!$B$16),(1.05+(Control!$B$16-40)*((1.05-1)/(360-40)))))))</f>
        <v>#N/A</v>
      </c>
      <c r="MG228" s="170">
        <f t="shared" ca="1" si="799"/>
        <v>0.71612369323045078</v>
      </c>
      <c r="MH228" s="170" t="e">
        <f t="shared" ca="1" si="925"/>
        <v>#N/A</v>
      </c>
      <c r="MI228" s="170" t="e">
        <f t="shared" ca="1" si="925"/>
        <v>#N/A</v>
      </c>
      <c r="MJ228" s="170" t="e">
        <f ca="1">MAX(0.0001, Control!$C$132*$MI228*$DL228)</f>
        <v>#N/A</v>
      </c>
      <c r="MK228" s="170">
        <f ca="1">1/(0.76+1.5*($MG228/10))-(5-Control!$C$110)*0.1</f>
        <v>1.002845988140797</v>
      </c>
      <c r="ML228" s="173">
        <f ca="1">IF(Control!$C$110&lt;3,$MK228+($MG228-0.6)/(Control!$C$110*(Control!$C$110+3)), MAX(0.1, MIN(0.95,$MK228)))</f>
        <v>0.95</v>
      </c>
      <c r="MM228" s="173">
        <f ca="1">IF(Control!$C$110&lt;3,$MK228+(($MI228/10)-0.6)/(Control!$C$110*(Control!$C$110+3)), MAX(0.1, MIN(0.95,$MK228)))</f>
        <v>0.95</v>
      </c>
      <c r="MN228" s="173">
        <f ca="1">(1-$MM228)*(Control!$C$128-Control!$C$127)+Control!$C$127</f>
        <v>0.16</v>
      </c>
      <c r="MO228" s="170" t="e">
        <f ca="1">MAX(0,MIN(1,($MS228-Control!$C$127)/($MN228-Control!$C$127)))</f>
        <v>#DIV/0!</v>
      </c>
      <c r="MP228" s="173" t="e">
        <f ca="1">1/(0.76+1.5*$MI228)-(5-Control!$C$110)*0.1</f>
        <v>#N/A</v>
      </c>
      <c r="MQ228" s="172" t="e">
        <f t="shared" ca="1" si="916"/>
        <v>#DIV/0!</v>
      </c>
      <c r="MR228" s="168" t="e">
        <f t="shared" ca="1" si="888"/>
        <v>#DIV/0!</v>
      </c>
      <c r="MS228" s="173" t="e">
        <f ca="1">MAX(Control!$C$127, MIN(Control!$C$135, $MR228/MAX(0.0001,$CY228)))</f>
        <v>#DIV/0!</v>
      </c>
      <c r="MT228" s="168" t="e">
        <f ca="1">(Control!$C$128-$MS228)*Control!$C$74</f>
        <v>#DIV/0!</v>
      </c>
      <c r="MU228" s="168" t="e">
        <f ca="1">(Control!$C$135-$MS228)*Control!$C$74</f>
        <v>#DIV/0!</v>
      </c>
      <c r="MV228" s="168" t="e">
        <f t="shared" ca="1" si="889"/>
        <v>#DIV/0!</v>
      </c>
      <c r="MW228" s="168" t="e">
        <f t="shared" ca="1" si="890"/>
        <v>#DIV/0!</v>
      </c>
      <c r="MX228" s="171" t="e">
        <f ca="1">MAX(Control!$C$127, MIN(Control!$C$135, $MW228/MAX(0.0001,Control!$C$119-$CY228)))</f>
        <v>#DIV/0!</v>
      </c>
      <c r="MY228" s="54" t="e">
        <f ca="1">IF(Control!$C$114=1, $CX228*$MX228, 0)</f>
        <v>#DIV/0!</v>
      </c>
      <c r="MZ228" s="54" t="e">
        <f t="shared" ca="1" si="891"/>
        <v>#N/A</v>
      </c>
      <c r="NA228" s="168" t="e">
        <f ca="1">(Control!$C$128-$MX228)*(Control!$C$119-Control!$C$74)</f>
        <v>#DIV/0!</v>
      </c>
      <c r="NB228" s="168" t="e">
        <f ca="1">(Control!$C$135-$MX228)*(Control!$C$119-Control!$C$74)</f>
        <v>#DIV/0!</v>
      </c>
      <c r="NC228" s="174" t="e">
        <f t="shared" ca="1" si="892"/>
        <v>#DIV/0!</v>
      </c>
      <c r="ND228" s="54">
        <f ca="1">IF(Control!$C$58=2, IF(OR(Control!$B$218=$AH228,Control!$B$219=$AH228, Control!$B$220=$AH228, Control!$B$221=$AH228, Control!$B$222=$AH228, Control!$B$223=$AH228, Control!$B$224=$AH228, Control!$B$225=$AH228, Control!$B$226=$AH228, Control!$B$227=$AH228, Control!$B$228=$AH228), 1, 0), 0)</f>
        <v>0</v>
      </c>
      <c r="NE228" s="54">
        <f ca="1">IF($ND228=0,0, VLOOKUP($AH228,Control!$B$218:$C$228,2))</f>
        <v>0</v>
      </c>
      <c r="NF228" s="168" t="e">
        <f ca="1">$CY228*(Control!$C$128-Control!$C$127)</f>
        <v>#N/A</v>
      </c>
      <c r="NG228" s="54" t="e">
        <f ca="1">IF(Control!$C$58=2, $NI227-$NJ227, 0)</f>
        <v>#DIV/0!</v>
      </c>
      <c r="NH228" s="54" t="e">
        <f ca="1">IF(AND(Control!$C$58=1, $MS227&lt;= ($MN227+0.02), $I227&lt;10), 0, IF(Control!$C$58=2, $NG227, 0))</f>
        <v>#DIV/0!</v>
      </c>
      <c r="NI228" s="54" t="e">
        <f ca="1">IF(Control!$C$58=2, $NE228+$NH228,0)</f>
        <v>#DIV/0!</v>
      </c>
      <c r="NJ228" s="54" t="e">
        <f ca="1">IF(AND(Control!$C$58=1, $MS228&lt;= ($MN228+0.02), $I228&lt;10), MAX(0, MIN(10, 0.7*($NF228-$MV228))), IF(Control!$C$58=2, MIN(10,$NI228),0))</f>
        <v>#DIV/0!</v>
      </c>
      <c r="NK228" s="54" t="e">
        <f t="shared" ca="1" si="800"/>
        <v>#DIV/0!</v>
      </c>
      <c r="NL228" s="173" t="e">
        <f ca="1">(1-Control!$C$73)*$I228+$NJ228</f>
        <v>#DIV/0!</v>
      </c>
      <c r="NM228" s="172" t="e">
        <f ca="1">IF($NL228&lt;0.5, $MB228* MAX(0, MIN(1, (SQRT($NC228)-SQRT($NC228-1))*Control!$C$71)),0)</f>
        <v>#DIV/0!</v>
      </c>
      <c r="NN228" s="170" t="e">
        <f ca="1">IF($NL228&gt;=5, $MB228, MAX(0,MIN($MB228, $NM228+$NL228,($MS228-Control!$C$129))))</f>
        <v>#DIV/0!</v>
      </c>
      <c r="NO228" s="54">
        <f>IF(Control!$C$133&lt;&gt;1, Control!$C$135-Control!$C$131, 0)</f>
        <v>0.38</v>
      </c>
      <c r="NP228" s="54" t="e">
        <f t="shared" ca="1" si="801"/>
        <v>#DIV/0!</v>
      </c>
      <c r="NQ228" s="173" t="e">
        <f ca="1">MAX(0,MIN(1,(Control!$C$135-$MS228)/(Control!$C$135-$NO228)))</f>
        <v>#DIV/0!</v>
      </c>
      <c r="NR228" s="170" t="e">
        <f ca="1">IF(Control!$C$133&lt;&gt;1, $NQ228+((1-$NP228/4)*(1-$NQ228)),1)</f>
        <v>#DIV/0!</v>
      </c>
      <c r="NS228" s="170" t="e">
        <f ca="1">IF(Control!$B$31=0,$MJ228,MAX(0,MIN($MV228,$MO228*$NR228*$MJ228)))</f>
        <v>#DIV/0!</v>
      </c>
      <c r="NT228" s="170" t="e">
        <f t="shared" ca="1" si="917"/>
        <v>#DIV/0!</v>
      </c>
      <c r="NU228" s="170" t="e">
        <f t="shared" ca="1" si="893"/>
        <v>#N/A</v>
      </c>
      <c r="NV228" s="170" t="e">
        <f t="shared" ca="1" si="802"/>
        <v>#N/A</v>
      </c>
      <c r="NW228" s="175" t="e">
        <f t="shared" ca="1" si="803"/>
        <v>#DIV/0!</v>
      </c>
      <c r="NX228" s="170" t="e">
        <f ca="1">MIN(Control!$C$72+$MU228, $NW228)</f>
        <v>#DIV/0!</v>
      </c>
      <c r="NY228" s="170" t="e">
        <f ca="1">IF($MT228&lt;=$NX228,MIN(Control!$C$72+$NB228,$NX228-$MT228),0)</f>
        <v>#DIV/0!</v>
      </c>
      <c r="NZ228" s="54" t="e">
        <f ca="1">IF(Control!$C$114=1,  $CX228*($MX228-Control!$C$127), 0)</f>
        <v>#DIV/0!</v>
      </c>
      <c r="OA228" s="170" t="e">
        <f t="shared" ca="1" si="804"/>
        <v>#DIV/0!</v>
      </c>
      <c r="OB228" s="170" t="e">
        <f ca="1">IF($NA228 &lt;=$NY228, MIN(Control!$C$72, $NY228-$NA228), 0)</f>
        <v>#DIV/0!</v>
      </c>
      <c r="OC228" s="168" t="e">
        <f t="shared" ca="1" si="805"/>
        <v>#DIV/0!</v>
      </c>
      <c r="OD228" s="168" t="e">
        <f t="shared" ca="1" si="894"/>
        <v>#DIV/0!</v>
      </c>
      <c r="OE228" s="170">
        <f ca="1">Control!$C$73*$I228</f>
        <v>0</v>
      </c>
      <c r="OF228" s="176" t="e">
        <f t="shared" ca="1" si="806"/>
        <v>#DIV/0!</v>
      </c>
      <c r="OG228" s="168" t="e">
        <f t="shared" ca="1" si="807"/>
        <v>#DIV/0!</v>
      </c>
      <c r="OH228" s="168" t="e">
        <f t="shared" ca="1" si="808"/>
        <v>#DIV/0!</v>
      </c>
      <c r="OI228" s="168" t="e">
        <f t="shared" ca="1" si="809"/>
        <v>#DIV/0!</v>
      </c>
      <c r="OJ228" s="168" t="e">
        <f t="shared" ca="1" si="810"/>
        <v>#DIV/0!</v>
      </c>
      <c r="OK228" s="204" t="e">
        <f t="shared" ca="1" si="811"/>
        <v>#DIV/0!</v>
      </c>
      <c r="OL228" s="177">
        <f>Control!$C$127</f>
        <v>0.15</v>
      </c>
      <c r="OM228" s="182" t="e">
        <f t="shared" ca="1" si="812"/>
        <v>#N/A</v>
      </c>
      <c r="ON228" s="177">
        <f>Control!$C$128</f>
        <v>0.35</v>
      </c>
      <c r="OO228" s="182" t="e">
        <f t="shared" ca="1" si="813"/>
        <v>#N/A</v>
      </c>
      <c r="OP228" s="138">
        <f t="shared" ca="1" si="895"/>
        <v>0</v>
      </c>
      <c r="OQ228" s="138" t="e">
        <f t="shared" ca="1" si="918"/>
        <v>#DIV/0!</v>
      </c>
      <c r="OR228" s="138" t="e">
        <f t="shared" ca="1" si="896"/>
        <v>#DIV/0!</v>
      </c>
      <c r="OS228" s="137" t="e">
        <f t="shared" ca="1" si="919"/>
        <v>#DIV/0!</v>
      </c>
      <c r="OT228" s="139" t="e">
        <f t="shared" ca="1" si="920"/>
        <v>#DIV/0!</v>
      </c>
      <c r="OU228" s="138" t="e">
        <f t="shared" ca="1" si="921"/>
        <v>#N/A</v>
      </c>
      <c r="OV228" s="138" t="e">
        <f t="shared" ca="1" si="922"/>
        <v>#DIV/0!</v>
      </c>
      <c r="OW228" s="138" t="e">
        <f t="shared" ca="1" si="897"/>
        <v>#DIV/0!</v>
      </c>
      <c r="OX228" s="138" t="e">
        <f t="shared" ca="1" si="898"/>
        <v>#DIV/0!</v>
      </c>
      <c r="OY228" s="138" t="e">
        <f t="shared" ca="1" si="899"/>
        <v>#DIV/0!</v>
      </c>
      <c r="OZ228" s="138" t="e">
        <f t="shared" ca="1" si="814"/>
        <v>#DIV/0!</v>
      </c>
      <c r="PA228" s="138" t="e">
        <f t="shared" ca="1" si="815"/>
        <v>#DIV/0!</v>
      </c>
      <c r="PB228" s="55">
        <f>IF(Control!$C$61="T", IF(Control!$C$65="F", IF($AH$6-Control!$C$60&lt;0,0,1), IF(365+$AH$6-Control!$C$60&lt;0,0,1)),0)</f>
        <v>0</v>
      </c>
      <c r="PC228" s="55">
        <f ca="1">IF(Control!$C$65="F", IF($AH$6-$HF228&lt;0,0,1), IF(365+$AH$6-$HF228&lt;0,0,1))</f>
        <v>1</v>
      </c>
      <c r="PD228" s="444">
        <f>Control!$C$118</f>
        <v>1500</v>
      </c>
      <c r="PE228" s="180" t="e">
        <f t="shared" ca="1" si="816"/>
        <v>#N/A</v>
      </c>
      <c r="PF228" s="445">
        <f t="shared" ca="1" si="900"/>
        <v>0.71612369323045078</v>
      </c>
      <c r="PT228" s="186"/>
      <c r="PU228" s="186"/>
      <c r="PV228" s="94"/>
      <c r="PW228" s="94"/>
      <c r="PX228" s="94"/>
      <c r="PY228" s="94"/>
      <c r="PZ228" s="94"/>
      <c r="QA228" s="94"/>
      <c r="QB228" s="94"/>
      <c r="QC228" s="94"/>
      <c r="QD228" s="94"/>
      <c r="QE228" s="94"/>
      <c r="QF228" s="94"/>
      <c r="QG228" s="94"/>
      <c r="QH228" s="94"/>
      <c r="QI228" s="94"/>
      <c r="QJ228" s="94"/>
      <c r="QK228" s="94"/>
      <c r="QL228" s="94"/>
      <c r="QM228" s="94"/>
      <c r="QN228" s="94"/>
      <c r="QO228" s="94"/>
      <c r="QP228" s="94"/>
    </row>
    <row r="229" spans="1:458" s="2" customFormat="1" x14ac:dyDescent="0.2">
      <c r="A229" s="395">
        <v>12</v>
      </c>
      <c r="B229" s="396">
        <v>8</v>
      </c>
      <c r="C229" s="387">
        <f ca="1">Weather_data!$B228</f>
        <v>0</v>
      </c>
      <c r="D229" s="388">
        <f ca="1">Weather_data!$F228</f>
        <v>0</v>
      </c>
      <c r="E229" s="388">
        <f ca="1">Weather_data!$E228</f>
        <v>0</v>
      </c>
      <c r="F229" s="388">
        <f t="shared" ca="1" si="817"/>
        <v>0</v>
      </c>
      <c r="G229" s="388">
        <f ca="1">AVERAGE($D229:$E229)+Control!$B$9</f>
        <v>0</v>
      </c>
      <c r="H229" s="388">
        <f ca="1">Weather_data!$G228</f>
        <v>0</v>
      </c>
      <c r="I229" s="388">
        <f ca="1">Weather_data!$I228</f>
        <v>0</v>
      </c>
      <c r="J229" s="388">
        <f ca="1">Weather_data!$H228</f>
        <v>0</v>
      </c>
      <c r="K229" s="389">
        <f ca="1">Weather_data!$D228</f>
        <v>0</v>
      </c>
      <c r="L229" s="388" t="e">
        <f t="shared" ca="1" si="818"/>
        <v>#N/A</v>
      </c>
      <c r="M229" s="388" t="e">
        <f t="shared" ca="1" si="696"/>
        <v>#N/A</v>
      </c>
      <c r="N229" s="388">
        <f t="shared" ca="1" si="697"/>
        <v>-3.1264364784632661E-11</v>
      </c>
      <c r="O229" s="388">
        <f t="shared" ca="1" si="819"/>
        <v>3.126436478463266E-10</v>
      </c>
      <c r="P229" s="390">
        <v>3</v>
      </c>
      <c r="Q229" s="388">
        <f ca="1">MAX($G229-Control!$C$107,0)</f>
        <v>0</v>
      </c>
      <c r="R229" s="388">
        <f t="shared" ca="1" si="820"/>
        <v>0</v>
      </c>
      <c r="S229" s="388">
        <f t="shared" ca="1" si="698"/>
        <v>0</v>
      </c>
      <c r="T229" s="388">
        <f t="shared" ca="1" si="699"/>
        <v>0</v>
      </c>
      <c r="U229" s="59">
        <f t="shared" ca="1" si="700"/>
        <v>0</v>
      </c>
      <c r="V229" s="391">
        <f ca="1">MAX(0,MIN(Control!$C$100-Control!$C$99,$G229-Control!$C$99)*Control!$C$63)</f>
        <v>0</v>
      </c>
      <c r="W229" s="388">
        <f t="shared" ca="1" si="821"/>
        <v>0</v>
      </c>
      <c r="X229" s="388">
        <f t="shared" ca="1" si="822"/>
        <v>0.6110000000000001</v>
      </c>
      <c r="Y229" s="388">
        <f t="shared" ca="1" si="701"/>
        <v>0</v>
      </c>
      <c r="Z229" s="388">
        <f t="shared" ca="1" si="823"/>
        <v>0.61058800000000002</v>
      </c>
      <c r="AA229" s="388">
        <f t="shared" ca="1" si="702"/>
        <v>0.6018</v>
      </c>
      <c r="AB229" s="388">
        <f ca="1">101.3*EXP(-0.034*Control!$C$66/($G229+273))</f>
        <v>100.69623283836242</v>
      </c>
      <c r="AC229" s="392">
        <f t="shared" ca="1" si="703"/>
        <v>4.3460251046025113E-2</v>
      </c>
      <c r="AD229" s="392">
        <f t="shared" ca="1" si="704"/>
        <v>4.4450382862832649E-2</v>
      </c>
      <c r="AE229" s="388">
        <f t="shared" ca="1" si="705"/>
        <v>0</v>
      </c>
      <c r="AF229" s="388">
        <f ca="1">MAX(0,$G229-Control!$C$92)</f>
        <v>0</v>
      </c>
      <c r="AG229" s="393">
        <f t="shared" ca="1" si="706"/>
        <v>225</v>
      </c>
      <c r="AH229" s="389">
        <f t="shared" ca="1" si="707"/>
        <v>225</v>
      </c>
      <c r="AI229" s="388">
        <f t="shared" ca="1" si="824"/>
        <v>0.2487545376817078</v>
      </c>
      <c r="AJ229" s="388">
        <f ca="1">IF(Control!$C$60&lt;=0,$HH229,$HI229)</f>
        <v>1</v>
      </c>
      <c r="AK229" s="388">
        <f t="shared" ca="1" si="708"/>
        <v>2.4960599165507946</v>
      </c>
      <c r="AL229" s="388">
        <f t="shared" ca="1" si="709"/>
        <v>-5.2297940283940749E-18</v>
      </c>
      <c r="AM229" s="388">
        <f t="shared" ca="1" si="710"/>
        <v>2.4960599165507946</v>
      </c>
      <c r="AN229" s="388">
        <f t="shared" ca="1" si="711"/>
        <v>0.24167167232268738</v>
      </c>
      <c r="AO229" s="388">
        <f ca="1">-0.10453/COS(Control!$B$8*PI()/180)*COS(AN229)</f>
        <v>-0.16485078991534513</v>
      </c>
      <c r="AP229" s="388">
        <f ca="1">ACOS(AO229-TAN(Control!$B$8*PI()/180)*TAN(AN229))</f>
        <v>2.0718416047726436</v>
      </c>
      <c r="AQ229" s="388">
        <f t="shared" ca="1" si="825"/>
        <v>0</v>
      </c>
      <c r="AR229" s="394">
        <f t="shared" ca="1" si="712"/>
        <v>0</v>
      </c>
      <c r="AS229" s="436">
        <f ca="1">IF(Control!$B$18=2,(IF(OR($AH229=Control!$B$175,$AH229=Control!$B$176,$AH229=Control!$B$177,$AH229=Control!$B$178,$AH229=Control!$B$179,$AH229=Control!$B$180,$AH229=Control!$B$181,$AH229=Control!$B$182,$AH229=Control!$B$183,$AH229=Control!$B$184,$AH229=Control!$B$185),1,0)),0)</f>
        <v>0</v>
      </c>
      <c r="AT229" s="436">
        <f>IF(Control!$B$20=8,IF(AND($AH229&gt;=Control!$B$172,$AH229&lt;=Control!$B$173),1,0),0)</f>
        <v>0</v>
      </c>
      <c r="AU229" s="436">
        <f>IF(Control!$B$20=8,IF($AV228=1,1*$AT229,IF($AT229=1,$AU228+1,$AU228)),0)</f>
        <v>0</v>
      </c>
      <c r="AV229" s="436">
        <f>IF(Control!$B$20=8,IF($AU229&gt;=Control!$B$174,1,0),0)</f>
        <v>0</v>
      </c>
      <c r="AW229" s="436">
        <f ca="1">IF(AND(Control!$B$18=2,Control!$B$171=1), $AV229, $AS229)</f>
        <v>0</v>
      </c>
      <c r="AX229" s="436" t="e">
        <f ca="1">IF(AND(Control!$B$18=1,$EU229&gt;=Control!$B$19),-$AY229,IF(AND(Control!$B$18=2,$AW229=1,$EU229&gt;$DS229),-$AY229, IF(Control!$C$108=0,0, IF(Control!$C$108&lt;&gt;0,1))))</f>
        <v>#N/A</v>
      </c>
      <c r="AY229" s="436" t="e">
        <f t="shared" ca="1" si="826"/>
        <v>#N/A</v>
      </c>
      <c r="AZ229" s="436" t="e">
        <f ca="1">IF(AND(Control!$B$18=1,$EB229&gt;Control!$B$19),$AZ228+1, IF(AND(Control!$B$18=2, $AW229=1, $EB229&gt;$DS229), $AZ228+1,$AZ228))</f>
        <v>#N/A</v>
      </c>
      <c r="BA229" s="587">
        <f>IF(Control!$C$81=0,1,IF($AH229&gt;=Control!$C$82,1,0))</f>
        <v>1</v>
      </c>
      <c r="BB229" s="140" t="e">
        <f ca="1">IF($BA229&gt;$BA228,Control!$C$83,IF($AW229&gt;0,$AW229*Control!$C$84,IF(AND(Control!$B$18=1,EN228&lt;&gt;0),Control!$C$84,0)))</f>
        <v>#N/A</v>
      </c>
      <c r="BC229" s="140" t="e">
        <f t="shared" ca="1" si="827"/>
        <v>#N/A</v>
      </c>
      <c r="BD229" s="140" t="e">
        <f ca="1">BC229*IF(OR($G229&lt;Control!$C$92,$G229&gt;Control!$C$95),0,IF(AND($G229&gt;=Control!$C$92,$G229&lt;=Control!$C$93),$G229-Control!$C$92,IF(AND($G229&gt;Control!$C$93,$G229&lt;=Control!$C$94),Control!$C$93-Control!$C$92,IF(AND($G229&gt;Control!$C$94,$G229&lt;=Control!$C$95),(Control!$C$93-Control!$C$92)*(Control!$C$94-$G229)/(Control!$C$95-Control!$C$94)))))</f>
        <v>#N/A</v>
      </c>
      <c r="BE229" s="140" t="e">
        <f t="shared" ca="1" si="828"/>
        <v>#N/A</v>
      </c>
      <c r="BF229" s="140" t="e">
        <f ca="1">IF($BE229&lt;=Control!$C$86,$BE229,Control!$C$86-$BE229)</f>
        <v>#N/A</v>
      </c>
      <c r="BG229" s="140" t="e">
        <f ca="1">IF(AND($AW229=1,Control!$C$84&lt;9),1,IF($BE229&gt;=Control!$C$86,0,$BC229))</f>
        <v>#N/A</v>
      </c>
      <c r="BH229" s="404" t="e">
        <f ca="1">IF($BG229=0,0,IF($BE229&lt;=Control!$C$86,$BC229*9*($BF229/Control!$C$86),0))</f>
        <v>#N/A</v>
      </c>
      <c r="BI229" s="140" t="e">
        <f ca="1">IF($BG229=1,0,IF($BE229&gt;=Control!$C$86,1,IF(AND($BB229&lt;21,$BB229&gt;=9),1,$BM228)))</f>
        <v>#N/A</v>
      </c>
      <c r="BJ229" s="140" t="e">
        <f ca="1">IF($BF229&lt;0,-$BF229,$BI229*IF(OR($G229&lt;Control!$C$92,$G229&gt;Control!$C$95),0,IF(AND($G229&gt;=Control!$C$92,$G229&lt;=Control!$C$93),$G229-Control!$C$92,IF(AND($G229&gt;Control!$C$93,$G229&lt;=Control!$C$94),Control!$C$93-Control!$C$92,IF(AND($G229&gt;Control!$C$94,$G229&lt;=Control!$C$95),(Control!$C$93-Control!$C$92)*(Control!$C$94-$G229)/(Control!$C$95-Control!$C$94))))))</f>
        <v>#N/A</v>
      </c>
      <c r="BK229" s="140" t="e">
        <f t="shared" ca="1" si="829"/>
        <v>#N/A</v>
      </c>
      <c r="BL229" s="140" t="e">
        <f ca="1">IF($BK229&lt;=Control!$C$87,$BK229,Control!$C$87-$BK229)</f>
        <v>#N/A</v>
      </c>
      <c r="BM229" s="140" t="e">
        <f ca="1">IF(AND($BB229&gt;=9,$BB229&lt;21),1,IF($BK229&gt;=Control!$C$87,0,$BI229))</f>
        <v>#N/A</v>
      </c>
      <c r="BN229" s="404" t="e">
        <f ca="1">IF($BM229=0,0,IF($BK229&lt;=Control!$C$87,$BI229*(9+(21-9)*($BL229/Control!$C$87)),0))</f>
        <v>#N/A</v>
      </c>
      <c r="BO229" s="140" t="e">
        <f ca="1">IF($BM229=1,0,IF($BK229&gt;=Control!$C$87,1,IF(AND($BB229&lt;30,$BB229&gt;=21),1,$BS228)))</f>
        <v>#N/A</v>
      </c>
      <c r="BP229" s="140" t="e">
        <f ca="1">IF($BL229&lt;0,-$BL229,$BO229*IF(OR($G229&lt;Control!$C$92,$G229&gt;Control!$C$95),0,IF(AND($G229&gt;=Control!$C$92,$G229&lt;=Control!$C$93),$G229-Control!$C$92,IF(AND($G229&gt;Control!$C$93,$G229&lt;=Control!$C$94),Control!$C$93-Control!$C$92,IF(AND($G229&gt;Control!$C$94,$G229&lt;=Control!$C$95),(Control!$C$93-Control!$C$92)*(Control!$C$94-$G229)/(Control!$C$95-Control!$C$94))))))</f>
        <v>#N/A</v>
      </c>
      <c r="BQ229" s="140" t="e">
        <f t="shared" ca="1" si="713"/>
        <v>#N/A</v>
      </c>
      <c r="BR229" s="140" t="e">
        <f ca="1">IF($BQ229&lt;=Control!$C$88,$BQ229,Control!$C$88-$BQ229)</f>
        <v>#N/A</v>
      </c>
      <c r="BS229" s="140" t="e">
        <f ca="1">IF(AND($BB229&gt;=21,$BB229&lt;30),1,IF($BQ229&gt;=Control!$C$88,0,$BO229))</f>
        <v>#N/A</v>
      </c>
      <c r="BT229" s="404" t="e">
        <f ca="1">IF($BS229=0,0,IF($BQ229&lt;=Control!$C$88,$BO229*(21+(30-21)*(BR229/Control!$C$88)),0))</f>
        <v>#N/A</v>
      </c>
      <c r="BU229" s="140" t="e">
        <f ca="1">IF(BG229+BM229+BS229=1,0,IF(OR(AND($BB229&lt;60,$BB229&gt;=30),$BQ229&gt;=Control!$C$88),1*$BA229,$BY228))</f>
        <v>#N/A</v>
      </c>
      <c r="BV229" s="140" t="e">
        <f ca="1">IF($BR229&lt;0,-$BR229,$BU229*IF(OR($G229&lt;Control!$C$92,$G229&gt;Control!$C$95),0,IF(AND($G229&gt;=Control!$C$92,$G229&lt;=Control!$C$93),$G229-Control!$C$92,IF(AND($G229&gt;Control!$C$93,$G229&lt;=Control!$C$94),Control!$C$93-Control!$C$92,IF(AND($G229&gt;Control!$C$94,$G229&lt;=Control!$C$95),(Control!$C$93-Control!$C$92)*(Control!$C$94-$G229)/(Control!$C$95-Control!$C$94))))))</f>
        <v>#N/A</v>
      </c>
      <c r="BW229" s="140" t="e">
        <f t="shared" ca="1" si="714"/>
        <v>#N/A</v>
      </c>
      <c r="BX229" s="140" t="e">
        <f ca="1">IF($BW229&lt;=Control!$C$89,$BW229,Control!$C$89-$BW229)</f>
        <v>#N/A</v>
      </c>
      <c r="BY229" s="140" t="e">
        <f ca="1">IF(AND($AJ229&gt;=30,$AJ229&lt;60),1,IF($BW229&gt;=Control!$C$89,0,$BU229))</f>
        <v>#N/A</v>
      </c>
      <c r="BZ229" s="404" t="e">
        <f ca="1">IF($BY229=0,0,IF($BW229&lt;=Control!$C$89,$BU229*(30+(60-30)*(BX229/Control!$C$89)),0))</f>
        <v>#N/A</v>
      </c>
      <c r="CA229" s="140" t="e">
        <f ca="1">IF($BG229+$BM229+$BS229+$BY229=1,0,IF(OR(AND($BB229&lt;65,$BB229&gt;=60),$BW229&gt;=Control!$C$89),1*$BA229,$CE228))</f>
        <v>#N/A</v>
      </c>
      <c r="CB229" s="140" t="e">
        <f ca="1">IF($BX229&lt;0,-$BX229,$CA229*IF(OR($G229&lt;Control!$C$92,$G229&gt;Control!$C$95),0,IF(AND($G229&gt;=Control!$C$92,$G229&lt;=Control!$C$93),$G229-Control!$C$92,IF(AND($G229&gt;Control!$C$93,$G229&lt;=Control!$C$94),Control!$C$93-Control!$C$92,IF(AND($G229&gt;Control!$C$94,$G229&lt;=Control!$C$95),(Control!$C$93-Control!$C$92)*(Control!$C$94-$G229)/(Control!$C$95-Control!$C$94))))))</f>
        <v>#N/A</v>
      </c>
      <c r="CC229" s="140" t="e">
        <f t="shared" ca="1" si="830"/>
        <v>#N/A</v>
      </c>
      <c r="CD229" s="140" t="e">
        <f ca="1">IF($CC229&lt;=Control!$C$90,$CC229,Control!$C$90-$CC229)</f>
        <v>#N/A</v>
      </c>
      <c r="CE229" s="140" t="e">
        <f ca="1">IF(AND($BB229&gt;=60,$BB229&lt;65),1,IF($CC229&gt;=Control!$C$90,0,$CA229))</f>
        <v>#N/A</v>
      </c>
      <c r="CF229" s="404" t="e">
        <f ca="1">IF($CE229=0,0,IF($CC229&lt;=Control!$C$90,$CA229*(60+(65-60)*(CD229/Control!$C$90)),0))</f>
        <v>#N/A</v>
      </c>
      <c r="CG229" s="140" t="e">
        <f ca="1">IF($BG229+$BM229+$BS229+$BY229+$CE229=1,0,IF(OR(AND($BB229&lt;90,$BB229&gt;=65),$CC229&gt;=Control!$C$90),$BA229,$CK228))</f>
        <v>#N/A</v>
      </c>
      <c r="CH229" s="140" t="e">
        <f ca="1">IF($CD229&lt;0,-$CD229,$CG229*IF(OR($G229&lt;Control!$C$92,$G229&gt;Control!$C$95),0,IF(AND($G229&gt;=Control!$C$92,$G229&lt;=Control!$C$93),$G229-Control!$C$92,IF(AND($G229&gt;Control!$C$93,$G229&lt;=Control!$C$94),Control!$C$93-Control!$C$92,IF(AND($G229&gt;Control!$C$94,$G229&lt;=Control!$C$95),(Control!$C$93-Control!$C$92)*(Control!$C$94-$G229)/(Control!$C$95-Control!$C$94))))))</f>
        <v>#N/A</v>
      </c>
      <c r="CI229" s="140" t="e">
        <f t="shared" ca="1" si="831"/>
        <v>#N/A</v>
      </c>
      <c r="CJ229" s="140" t="e">
        <f ca="1">IF($CI229&lt;=Control!$C$91,$CI229,Control!$C$91-$CI229)</f>
        <v>#N/A</v>
      </c>
      <c r="CK229" s="140" t="e">
        <f ca="1">IF(AND($BB229&gt;=65,$BB229&lt;90),1,IF($CI229&gt;=Control!$C$91,0,$CG229))</f>
        <v>#N/A</v>
      </c>
      <c r="CL229" s="404" t="e">
        <f ca="1">IF($CK229=0,0,IF($CI229&lt;=Control!$C$91,$CG229*(65+(90-65)*($CJ229/Control!$C$91)),0))</f>
        <v>#N/A</v>
      </c>
      <c r="CM229" s="140" t="e">
        <f ca="1">IF($BG229+$BM229+$BS229+$BY229+$CE229+$CK229=1,0,IF(OR($BB229&gt;=90,$CI229&gt;=Control!$C$91),$BA229,$CM228))</f>
        <v>#N/A</v>
      </c>
      <c r="CN229" s="140" t="e">
        <f t="shared" ca="1" si="832"/>
        <v>#N/A</v>
      </c>
      <c r="CO229" s="140" t="e">
        <f t="shared" ca="1" si="833"/>
        <v>#N/A</v>
      </c>
      <c r="CP229" s="140" t="e">
        <f t="shared" ca="1" si="834"/>
        <v>#N/A</v>
      </c>
      <c r="CQ229" s="141" t="e">
        <f ca="1">VLOOKUP($CP229,Control!$B$86:$G$91,6)</f>
        <v>#N/A</v>
      </c>
      <c r="CR229" s="141" t="e">
        <f ca="1">(1-$CQ229)*VLOOKUP($CP229,Control!$B$86:$D$91,3)</f>
        <v>#N/A</v>
      </c>
      <c r="CS229" s="141" t="e">
        <f ca="1">(1-$CQ229)*VLOOKUP($CP229,Control!$B$86:$E$91,4)</f>
        <v>#N/A</v>
      </c>
      <c r="CT229" s="141" t="e">
        <f ca="1">(1-$CQ229)*VLOOKUP($CP229,Control!$B$86:$F$91,5)</f>
        <v>#N/A</v>
      </c>
      <c r="CU229" s="141">
        <f t="shared" ca="1" si="835"/>
        <v>0</v>
      </c>
      <c r="CV229" s="583">
        <f t="shared" ca="1" si="836"/>
        <v>0</v>
      </c>
      <c r="CW229" s="142">
        <f t="shared" ca="1" si="837"/>
        <v>225</v>
      </c>
      <c r="CX229" s="612" t="e">
        <f ca="1">IF(Control!$C$114=1,(MIN(Control!$C$120*(IF($NT229-0.01&lt;0,0,1)),Control!$C$119-$CY229)))</f>
        <v>#DIV/0!</v>
      </c>
      <c r="CY229" s="143" t="e">
        <f t="shared" ca="1" si="838"/>
        <v>#N/A</v>
      </c>
      <c r="CZ229" s="144">
        <f t="shared" ca="1" si="715"/>
        <v>0</v>
      </c>
      <c r="DA229" s="144">
        <f t="shared" ca="1" si="716"/>
        <v>0</v>
      </c>
      <c r="DB229" s="144" t="e">
        <f t="shared" ca="1" si="717"/>
        <v>#N/A</v>
      </c>
      <c r="DC229" s="144" t="e">
        <f t="shared" ca="1" si="718"/>
        <v>#N/A</v>
      </c>
      <c r="DD229" s="144" t="e">
        <f t="shared" ca="1" si="923"/>
        <v>#N/A</v>
      </c>
      <c r="DE229" s="143" t="e">
        <f t="shared" ca="1" si="839"/>
        <v>#N/A</v>
      </c>
      <c r="DF229" s="145" t="e">
        <f ca="1">$DR229*EXP(-Control!$C$158*(1-$KH229))</f>
        <v>#N/A</v>
      </c>
      <c r="DG229" s="146" t="e">
        <f ca="1">IF(Control!$C$114=1, $DF229*$EY229, 0)</f>
        <v>#N/A</v>
      </c>
      <c r="DH229" s="147" t="e">
        <f t="shared" ca="1" si="840"/>
        <v>#N/A</v>
      </c>
      <c r="DI229" s="144" t="e">
        <f t="shared" ca="1" si="901"/>
        <v>#N/A</v>
      </c>
      <c r="DJ229" s="147" t="e">
        <f ca="1">$EF229*Control!$C$109</f>
        <v>#N/A</v>
      </c>
      <c r="DK229" s="144" t="e">
        <f t="shared" ca="1" si="841"/>
        <v>#N/A</v>
      </c>
      <c r="DL229" s="144" t="e">
        <f t="shared" ca="1" si="719"/>
        <v>#N/A</v>
      </c>
      <c r="DM229" s="144" t="e">
        <f ca="1">IF(Control!$C$114=1, (1-EXP(-Control!$C$96*$DK229))*$AR229, 0)</f>
        <v>#N/A</v>
      </c>
      <c r="DN229" s="144">
        <f t="shared" ca="1" si="842"/>
        <v>0</v>
      </c>
      <c r="DO229" s="148">
        <f>Control!$C$97</f>
        <v>4</v>
      </c>
      <c r="DP229" s="145" t="e">
        <f t="shared" ca="1" si="843"/>
        <v>#N/A</v>
      </c>
      <c r="DQ229" s="145" t="e">
        <f ca="1">IF(AND($CP229&gt;=0,$CP229&lt;=90),Control!$C$111,Control!$C$111)</f>
        <v>#N/A</v>
      </c>
      <c r="DR229" s="145" t="e">
        <f t="shared" ca="1" si="720"/>
        <v>#N/A</v>
      </c>
      <c r="DS229" s="143" t="e">
        <f ca="1">Control!$B$22/$DR229</f>
        <v>#N/A</v>
      </c>
      <c r="DT229" s="149" t="e">
        <f ca="1">IF(AND(Control!$C$114=1,$KH229&lt;1),$IM229*$DF229, 0)</f>
        <v>#N/A</v>
      </c>
      <c r="DU229" s="144" t="e">
        <f t="shared" ca="1" si="844"/>
        <v>#N/A</v>
      </c>
      <c r="DV229" s="144">
        <f ca="1">IF($G229-Control!$C$107&lt;=0, 0, 0.83*LN(MAX($G229, 3))-0.8924)</f>
        <v>0</v>
      </c>
      <c r="DW229" s="144" t="e">
        <f t="shared" ca="1" si="721"/>
        <v>#N/A</v>
      </c>
      <c r="DX229" s="150" t="e">
        <f ca="1">MAX(0.01*(1+$CU229/Control!$C$102),0.05*($DK229-Control!$C$97)/Control!$C$97)</f>
        <v>#N/A</v>
      </c>
      <c r="DY229" s="151" t="e">
        <f ca="1">IF(Control!$C$114=1, $DI229*$FS229, 0)</f>
        <v>#N/A</v>
      </c>
      <c r="DZ229" s="196" t="e">
        <f t="shared" ca="1" si="845"/>
        <v>#N/A</v>
      </c>
      <c r="EA229" s="152">
        <f t="shared" ca="1" si="846"/>
        <v>225</v>
      </c>
      <c r="EB229" s="153" t="e">
        <f t="shared" ca="1" si="847"/>
        <v>#N/A</v>
      </c>
      <c r="EC229" s="153" t="e">
        <f t="shared" ca="1" si="848"/>
        <v>#N/A</v>
      </c>
      <c r="ED229" s="154" t="e">
        <f ca="1">IF(Control!$C$114=1, $HM229*$FY229-$FD229, 0)</f>
        <v>#DIV/0!</v>
      </c>
      <c r="EE229" s="155" t="e">
        <f ca="1">IF(Control!$C$114=1, $HM229*$FZ229-$FF229, 0)</f>
        <v>#DIV/0!</v>
      </c>
      <c r="EF229" s="153" t="e">
        <f t="shared" ca="1" si="902"/>
        <v>#N/A</v>
      </c>
      <c r="EG229" s="155" t="e">
        <f ca="1">IF(Control!$C$114=1, $GX229*$FW229-$FI229, 0)</f>
        <v>#DIV/0!</v>
      </c>
      <c r="EH229" s="153" t="e">
        <f t="shared" ca="1" si="849"/>
        <v>#N/A</v>
      </c>
      <c r="EI229" s="156" t="e">
        <f t="shared" ca="1" si="850"/>
        <v>#N/A</v>
      </c>
      <c r="EJ229" s="155" t="e">
        <f ca="1">IF(Control!$C$114=1, $HM229*$GB229, 0)</f>
        <v>#DIV/0!</v>
      </c>
      <c r="EK229" s="153" t="e">
        <f t="shared" ca="1" si="903"/>
        <v>#N/A</v>
      </c>
      <c r="EL229" s="153" t="e">
        <f t="shared" ca="1" si="722"/>
        <v>#N/A</v>
      </c>
      <c r="EM229" s="153" t="e">
        <f t="shared" ca="1" si="723"/>
        <v>#N/A</v>
      </c>
      <c r="EN229" s="153" t="e">
        <f ca="1">IF(Control!$C$108=1,IF(AND(Control!$B$18=1,$EB229&gt;=Control!$B$19),$EB229-$DS229,IF(AND(Control!$B$18=2,$AW229=1,$EB229&gt;$DS229),$EB229-$DS229,0)))</f>
        <v>#N/A</v>
      </c>
      <c r="EO229" s="153" t="e">
        <f ca="1">IF(Control!$C$108=1,IF(AND(Control!$B$18=1,$EB229&gt;=Control!$B$19),$EF229,IF(AND(Control!$B$18=2,$AW229=1),$EF229,0)))</f>
        <v>#N/A</v>
      </c>
      <c r="EP229" s="153" t="e">
        <f ca="1">IF(Control!$C$108=1,IF(AND(Control!$B$18=1,$EB229&gt;=Control!$B$19),$EK229,IF(AND(Control!$B$18=2,$AW229=1),$EK229,0)))</f>
        <v>#N/A</v>
      </c>
      <c r="EQ229" s="153" t="e">
        <f t="shared" ca="1" si="851"/>
        <v>#N/A</v>
      </c>
      <c r="ER229" s="153" t="e">
        <f t="shared" ca="1" si="852"/>
        <v>#N/A</v>
      </c>
      <c r="ES229" s="153" t="e">
        <f t="shared" ca="1" si="904"/>
        <v>#N/A</v>
      </c>
      <c r="ET229" s="153" t="e">
        <f t="shared" ca="1" si="905"/>
        <v>#N/A</v>
      </c>
      <c r="EU229" s="153" t="e">
        <f t="shared" ca="1" si="853"/>
        <v>#N/A</v>
      </c>
      <c r="EV229" s="153" t="e">
        <f t="shared" ca="1" si="724"/>
        <v>#N/A</v>
      </c>
      <c r="EW229" s="153" t="e">
        <f t="shared" ca="1" si="725"/>
        <v>#N/A</v>
      </c>
      <c r="EX229" s="153" t="e">
        <f t="shared" ca="1" si="726"/>
        <v>#N/A</v>
      </c>
      <c r="EY229" s="157" t="e">
        <f t="shared" ca="1" si="727"/>
        <v>#DIV/0!</v>
      </c>
      <c r="EZ229" s="154" t="e">
        <f t="shared" ca="1" si="728"/>
        <v>#DIV/0!</v>
      </c>
      <c r="FA229" s="153" t="e">
        <f t="shared" ca="1" si="854"/>
        <v>#N/A</v>
      </c>
      <c r="FB229" s="153" t="e">
        <f t="shared" ca="1" si="729"/>
        <v>#N/A</v>
      </c>
      <c r="FC229" s="193" t="e">
        <f t="shared" ca="1" si="730"/>
        <v>#N/A</v>
      </c>
      <c r="FD229" s="158" t="e">
        <f t="shared" ca="1" si="855"/>
        <v>#N/A</v>
      </c>
      <c r="FE229" s="158" t="e">
        <f t="shared" ca="1" si="856"/>
        <v>#N/A</v>
      </c>
      <c r="FF229" s="159" t="e">
        <f t="shared" ca="1" si="731"/>
        <v>#N/A</v>
      </c>
      <c r="FG229" s="160" t="e">
        <f t="shared" ca="1" si="857"/>
        <v>#N/A</v>
      </c>
      <c r="FH229" s="158" t="e">
        <f t="shared" ca="1" si="858"/>
        <v>#N/A</v>
      </c>
      <c r="FI229" s="159" t="e">
        <f t="shared" ca="1" si="732"/>
        <v>#N/A</v>
      </c>
      <c r="FJ229" s="160" t="e">
        <f t="shared" ca="1" si="859"/>
        <v>#N/A</v>
      </c>
      <c r="FK229" s="160" t="e">
        <f t="shared" ca="1" si="733"/>
        <v>#N/A</v>
      </c>
      <c r="FL229" s="160" t="e">
        <f t="shared" ca="1" si="906"/>
        <v>#N/A</v>
      </c>
      <c r="FM229" s="160" t="e">
        <f t="shared" ca="1" si="734"/>
        <v>#N/A</v>
      </c>
      <c r="FN229" s="158">
        <f t="shared" ca="1" si="860"/>
        <v>0.01</v>
      </c>
      <c r="FO229" s="160">
        <f>Control!$C$101</f>
        <v>50</v>
      </c>
      <c r="FP229" s="150" t="e">
        <f t="shared" ca="1" si="735"/>
        <v>#N/A</v>
      </c>
      <c r="FQ229" s="150" t="e">
        <f ca="1">MAX(0,(Control!$C$112*(($DK229-Control!$C$97)/Control!$C$97)))</f>
        <v>#N/A</v>
      </c>
      <c r="FR229" s="150" t="e">
        <f ca="1">(1-$NT229)*Control!$C$113</f>
        <v>#DIV/0!</v>
      </c>
      <c r="FS229" s="198" t="e">
        <f t="shared" ca="1" si="736"/>
        <v>#N/A</v>
      </c>
      <c r="FT229" s="161">
        <f t="shared" ca="1" si="861"/>
        <v>225</v>
      </c>
      <c r="FU229" s="162" t="e">
        <f ca="1">IF(Control!$B$34=1,VLOOKUP($CP229,Control!$B$86:$G$91,6),Control!$B$35)</f>
        <v>#N/A</v>
      </c>
      <c r="FV229" s="162" t="e">
        <f t="shared" ca="1" si="737"/>
        <v>#DIV/0!</v>
      </c>
      <c r="FW229" s="162" t="e">
        <f ca="1">IF(Control!$B$31=1,$FU229*$FV229,  $FU229)</f>
        <v>#N/A</v>
      </c>
      <c r="FX229" s="162" t="e">
        <f ca="1">IF(Control!$B$34=1,VLOOKUP($CP229,Control!$B$86:$G$91,3),Control!$B$36)</f>
        <v>#N/A</v>
      </c>
      <c r="FY229" s="162" t="e">
        <f t="shared" ca="1" si="738"/>
        <v>#N/A</v>
      </c>
      <c r="FZ229" s="162" t="e">
        <f ca="1">IF(Control!$B$34=1,VLOOKUP($CP229,Control!$B$86:$G$91,4),Control!$B$37)</f>
        <v>#N/A</v>
      </c>
      <c r="GA229" s="162" t="e">
        <f t="shared" ca="1" si="739"/>
        <v>#N/A</v>
      </c>
      <c r="GB229" s="162" t="e">
        <f ca="1">IF(Control!$B$34=1,VLOOKUP($CP229,Control!$B$86:$G$91,5),Control!$B$38)</f>
        <v>#N/A</v>
      </c>
      <c r="GC229" s="162" t="e">
        <f t="shared" ca="1" si="862"/>
        <v>#N/A</v>
      </c>
      <c r="GD229" s="162">
        <f t="shared" ca="1" si="740"/>
        <v>1</v>
      </c>
      <c r="GE229" s="162">
        <f t="shared" ca="1" si="741"/>
        <v>1</v>
      </c>
      <c r="GF229" s="162">
        <f ca="1">IF(AND(Control!$C$104=1, Control!$C$62="F"),$GE229,1)</f>
        <v>1</v>
      </c>
      <c r="GG229" s="162" t="e">
        <f ca="1">IF(Control!$B$16=40,0,IF(AND(Control!$B$16&gt;40,Control!$B$16&lt;=360),(Control!$B$16-40)*((1-0)/(360-40)),IF(AND(Control!$B$16&gt;360,Control!$B$16&lt;=720),(1+(Control!$B$16-360)*((1.25-1)/(720-360))),IF(AND(Control!$B$16&gt;720,Control!$B$16&lt;=1000),(1.25+(Control!$B$16-720)*((1.35-1.25)/(1000-720))),IF(AND(Control!$B$16&gt;1000,Control!$B$16&lt;=2000),(1.35+(Control!$B$16-1000)*0))))))</f>
        <v>#N/A</v>
      </c>
      <c r="GH229" s="162" t="e">
        <f t="shared" ca="1" si="742"/>
        <v>#N/A</v>
      </c>
      <c r="GI229" s="162">
        <f t="shared" ca="1" si="863"/>
        <v>0</v>
      </c>
      <c r="GJ229" s="162">
        <f t="shared" ca="1" si="743"/>
        <v>0</v>
      </c>
      <c r="GK229" s="162">
        <f t="shared" ca="1" si="864"/>
        <v>1</v>
      </c>
      <c r="GL229" s="162">
        <f t="shared" ca="1" si="744"/>
        <v>1</v>
      </c>
      <c r="GM229" s="162" t="e">
        <f ca="1">MAX(0,MIN(1,1-Control!$C$156*(1.0001-$KH229)^2))</f>
        <v>#N/A</v>
      </c>
      <c r="GN229" s="162" t="e">
        <f ca="1">IF(Control!$B$26=1,$KU229,$KX229)</f>
        <v>#N/A</v>
      </c>
      <c r="GO229" s="162" t="e">
        <f ca="1">IF($CP229&lt;=60,Control!$C$105,IF($CP229&gt;=90,Control!$C$106,Control!$C$105+($CP229-60)*((Control!$C$106-Control!$C$105)/(90-60))))</f>
        <v>#N/A</v>
      </c>
      <c r="GP229" s="162" t="e">
        <f t="shared" ca="1" si="745"/>
        <v>#N/A</v>
      </c>
      <c r="GQ229" s="162" t="e">
        <f t="shared" ca="1" si="865"/>
        <v>#N/A</v>
      </c>
      <c r="GR229" s="163" t="e">
        <f t="shared" ca="1" si="746"/>
        <v>#DIV/0!</v>
      </c>
      <c r="GS229" s="162" t="e">
        <f t="shared" ca="1" si="747"/>
        <v>#DIV/0!</v>
      </c>
      <c r="GT229" s="164" t="e">
        <f t="shared" ca="1" si="866"/>
        <v>#N/A</v>
      </c>
      <c r="GU229" s="162" t="e">
        <f t="shared" ca="1" si="867"/>
        <v>#N/A</v>
      </c>
      <c r="GV229" s="162" t="e">
        <f t="shared" ca="1" si="748"/>
        <v>#N/A</v>
      </c>
      <c r="GW229" s="162" t="e">
        <f t="shared" ca="1" si="749"/>
        <v>#DIV/0!</v>
      </c>
      <c r="GX229" s="162" t="e">
        <f t="shared" ca="1" si="868"/>
        <v>#DIV/0!</v>
      </c>
      <c r="GY229" s="162" t="e">
        <f t="shared" ca="1" si="869"/>
        <v>#DIV/0!</v>
      </c>
      <c r="GZ229" s="165" t="e">
        <f t="shared" ca="1" si="750"/>
        <v>#N/A</v>
      </c>
      <c r="HA229" s="162" t="e">
        <f ca="1">IF(Control!$C$114=1, $DI229*$FS229, 0)</f>
        <v>#N/A</v>
      </c>
      <c r="HB229" s="162" t="e">
        <f ca="1">$FA229/Control!$C$64</f>
        <v>#N/A</v>
      </c>
      <c r="HC229" s="162" t="e">
        <f t="shared" ca="1" si="751"/>
        <v>#DIV/0!</v>
      </c>
      <c r="HD229" s="162">
        <f ca="1">-ASIN(SIN(23.45*Control!$C$139)*COS(2*Control!$C$138*($AH229+10)/365))</f>
        <v>0.2487545376817078</v>
      </c>
      <c r="HE229" s="165">
        <f t="shared" ca="1" si="870"/>
        <v>0</v>
      </c>
      <c r="HF229" s="166">
        <f ca="1">IF(AND(Control!$C$61="T",$HE229&gt;=Control!$C$103,Control!$C$114=0),$AH229,Control!$C$59)</f>
        <v>1</v>
      </c>
      <c r="HG229" s="166">
        <f ca="1">IF(AND(Control!$C$61="T",$HE229&gt;=Control!$C$103,Control!$C$114=0),$HF229,Control!$C$59)</f>
        <v>1</v>
      </c>
      <c r="HH229" s="165">
        <f ca="1">IF(AND(OR(Control!$C$60&lt;=0, $AH229= Control!$C$59, Control!$C$60 &gt;0, $AH229 = Control!$C$60)), Control!$C$59, IF(Control!$C$60&gt;0, 0))</f>
        <v>1</v>
      </c>
      <c r="HI229" s="165">
        <f ca="1">IF(AND(OR(Control!$C$60&lt;=0, $AH229= Control!$C$59, Control!$C$60 &gt;0, $AH229 = Control!$C$60)), Control!$C$60, IF(Control!$C$60&lt;=0, 0))</f>
        <v>0</v>
      </c>
      <c r="HJ229" s="166">
        <f ca="1">IF(AND(Control!$C$62="F",$CV229&gt;=Control!$C$102),$AH229,0)</f>
        <v>0</v>
      </c>
      <c r="HK229" s="165" t="e">
        <f t="shared" ca="1" si="907"/>
        <v>#N/A</v>
      </c>
      <c r="HL229" s="166">
        <f ca="1">IF(AND(Control!$C$61="T",$HE229&gt;=Control!$C$103,Control!$C$114=0),$HF229,0)</f>
        <v>0</v>
      </c>
      <c r="HM229" s="201" t="e">
        <f t="shared" ca="1" si="752"/>
        <v>#DIV/0!</v>
      </c>
      <c r="HN229" s="215">
        <f t="shared" ca="1" si="871"/>
        <v>225</v>
      </c>
      <c r="HO229" s="216" t="e">
        <f ca="1">IF(AND($CP229&gt;=0, $CP229&lt;=90), Control!$C$152, Control!$C$152)</f>
        <v>#N/A</v>
      </c>
      <c r="HP229" s="216" t="e">
        <f t="shared" ca="1" si="753"/>
        <v>#N/A</v>
      </c>
      <c r="HQ229" s="217" t="e">
        <f ca="1">IF(OR(Control!$B$26=1,Control!$B$26=2),$KV229,$KS229)</f>
        <v>#DIV/0!</v>
      </c>
      <c r="HR229" s="218" t="e">
        <f t="shared" ca="1" si="908"/>
        <v>#DIV/0!</v>
      </c>
      <c r="HS229" s="216" t="e">
        <f ca="1">Control!$C$154*$HP229</f>
        <v>#N/A</v>
      </c>
      <c r="HT229" s="216" t="e">
        <f ca="1">Control!$C$155*$HP229</f>
        <v>#N/A</v>
      </c>
      <c r="HU229" s="217" t="e">
        <f ca="1">Control!$C$161*$FI229</f>
        <v>#N/A</v>
      </c>
      <c r="HV229" s="218" t="e">
        <f t="shared" ca="1" si="872"/>
        <v>#N/A</v>
      </c>
      <c r="HW229" s="218" t="e">
        <f ca="1">Control!$C$160*$FF229+$IP229*$EO229</f>
        <v>#N/A</v>
      </c>
      <c r="HX229" s="218" t="e">
        <f t="shared" ca="1" si="909"/>
        <v>#N/A</v>
      </c>
      <c r="HY229" s="219" t="e">
        <f ca="1">IF(Control!$C$114=1, $EB229*$FS229, 0)</f>
        <v>#N/A</v>
      </c>
      <c r="HZ229" s="91" t="e">
        <f t="shared" ca="1" si="754"/>
        <v>#N/A</v>
      </c>
      <c r="IA229" s="220" t="e">
        <f ca="1">Control!$C$153*$HO229</f>
        <v>#N/A</v>
      </c>
      <c r="IB229" s="218" t="e">
        <f t="shared" ca="1" si="755"/>
        <v>#N/A</v>
      </c>
      <c r="IC229" s="220" t="e">
        <f ca="1">Control!$C$153*$HT229</f>
        <v>#N/A</v>
      </c>
      <c r="ID229" s="218" t="e">
        <f t="shared" ca="1" si="756"/>
        <v>#N/A</v>
      </c>
      <c r="IE229" s="221" t="e">
        <f ca="1">($EB229*Control!$C$159+$EF229*Control!$C$160)/(IF($GZ229&lt;&gt;0,$GZ229,1))</f>
        <v>#N/A</v>
      </c>
      <c r="IF229" s="216" t="e">
        <f t="shared" ca="1" si="757"/>
        <v>#N/A</v>
      </c>
      <c r="IG229" s="91">
        <f ca="1">IF(OR(Control!$B$198=$AH229,Control!$B$199=$AH229, Control!$B$200=$AH229, Control!$B$201=$AH229, Control!$B$202=$AH229, Control!$B$203=$AH229, Control!$B$204=$AH229, Control!$B$205=$AH229, Control!$B$206=$AH229, Control!$B$207=$AH229), 1, 0)</f>
        <v>0</v>
      </c>
      <c r="IH229" s="91">
        <f ca="1">IF($IG229=0,0, VLOOKUP($AH229,Control!$B$198:$C$207,2))</f>
        <v>0</v>
      </c>
      <c r="II229" s="222">
        <f t="shared" ca="1" si="873"/>
        <v>0</v>
      </c>
      <c r="IJ229" s="91">
        <f>Control!$C$121</f>
        <v>0.7</v>
      </c>
      <c r="IK229" s="218">
        <f t="shared" ca="1" si="758"/>
        <v>0</v>
      </c>
      <c r="IL229" s="217" t="e">
        <f t="shared" ca="1" si="910"/>
        <v>#N/A</v>
      </c>
      <c r="IM229" s="223" t="e">
        <f ca="1">IF(AND(Control!$C$114=1,$KH229&lt;1),$EB229*Control!$C$148*(1-$KH229), 0)</f>
        <v>#N/A</v>
      </c>
      <c r="IN229" s="217" t="e">
        <f t="shared" ca="1" si="759"/>
        <v>#DIV/0!</v>
      </c>
      <c r="IO229" s="91" t="e">
        <f ca="1">MAX(0,$IL229-$EF229*Control!$C$160)</f>
        <v>#N/A</v>
      </c>
      <c r="IP229" s="220" t="e">
        <f t="shared" ca="1" si="760"/>
        <v>#N/A</v>
      </c>
      <c r="IQ229" s="217" t="e">
        <f t="shared" ca="1" si="874"/>
        <v>#N/A</v>
      </c>
      <c r="IR229" s="218" t="e">
        <f t="shared" ca="1" si="761"/>
        <v>#N/A</v>
      </c>
      <c r="IS229" s="217" t="e">
        <f ca="1">Control!$C$159*MAX(0,$FD229-$EN229)</f>
        <v>#N/A</v>
      </c>
      <c r="IT229" s="217" t="e">
        <f t="shared" ca="1" si="911"/>
        <v>#N/A</v>
      </c>
      <c r="IU229" s="217" t="e">
        <f t="shared" ca="1" si="875"/>
        <v>#N/A</v>
      </c>
      <c r="IV229" s="217" t="e">
        <f t="shared" ca="1" si="912"/>
        <v>#N/A</v>
      </c>
      <c r="IW229" s="217" t="e">
        <f ca="1">IF(OR($AW229=1,AND($AW229=0, Control!$B$18=1,$EN229&lt;&gt;0)), $IQ229-$IU229, $IQ229)</f>
        <v>#N/A</v>
      </c>
      <c r="IX229" s="218" t="e">
        <f t="shared" ca="1" si="762"/>
        <v>#N/A</v>
      </c>
      <c r="IY229" s="218" t="e">
        <f ca="1">MAX(0,$IQ229-$EB229*Control!$C$159)</f>
        <v>#N/A</v>
      </c>
      <c r="IZ229" s="218" t="e">
        <f t="shared" ca="1" si="763"/>
        <v>#N/A</v>
      </c>
      <c r="JA229" s="216" t="e">
        <f t="shared" ca="1" si="764"/>
        <v>#N/A</v>
      </c>
      <c r="JB229" s="217" t="e">
        <f t="shared" ca="1" si="765"/>
        <v>#N/A</v>
      </c>
      <c r="JC229" s="222" t="e">
        <f ca="1">MAX(Control!$C$157*$EK229-$JT229, 0)/Control!$C$162</f>
        <v>#N/A</v>
      </c>
      <c r="JD229" s="218" t="e">
        <f t="shared" ca="1" si="766"/>
        <v>#N/A</v>
      </c>
      <c r="JE229" s="218" t="e">
        <f t="shared" ca="1" si="767"/>
        <v>#N/A</v>
      </c>
      <c r="JF229" s="218" t="e">
        <f t="shared" ca="1" si="876"/>
        <v>#N/A</v>
      </c>
      <c r="JG229" s="218" t="e">
        <f t="shared" ca="1" si="768"/>
        <v>#N/A</v>
      </c>
      <c r="JH229" s="217" t="e">
        <f t="shared" ca="1" si="877"/>
        <v>#N/A</v>
      </c>
      <c r="JI229" s="217" t="e">
        <f t="shared" ca="1" si="878"/>
        <v>#N/A</v>
      </c>
      <c r="JJ229" s="217" t="e">
        <f t="shared" ca="1" si="913"/>
        <v>#N/A</v>
      </c>
      <c r="JK229" s="217" t="e">
        <f ca="1">IF(Control!$C$114=1,IF(Control!$B$24=0,MAX(0,$JI229)*$GN229/Control!$C$64,(MAX(0,MIN($JI229,$JJ229*$GN229/Control!$C$64),0))))</f>
        <v>#N/A</v>
      </c>
      <c r="JL229" s="217" t="e">
        <f ca="1">$IK229/Control!$C$64-$JK229+$HQ229</f>
        <v>#N/A</v>
      </c>
      <c r="JM229" s="217" t="e">
        <f ca="1">IF(Control!$C$114=1,($JB229/(IF($JI229&lt;&gt;0,$JI229,1)))*$JK229,0)</f>
        <v>#N/A</v>
      </c>
      <c r="JN229" s="217" t="e">
        <f ca="1">IF(Control!$C$114=1,($JG229/(IF($JI229&lt;&gt;0,$JI229,1)))*$JK229, 0)</f>
        <v>#N/A</v>
      </c>
      <c r="JO229" s="218" t="e">
        <f t="shared" ca="1" si="769"/>
        <v>#N/A</v>
      </c>
      <c r="JP229" s="218" t="e">
        <f ca="1">MIN(($IY229+$IO229)*Control!$C$151, $JF229-$EH229*Control!$C$161)</f>
        <v>#N/A</v>
      </c>
      <c r="JQ229" s="218" t="e">
        <f t="shared" ca="1" si="770"/>
        <v>#N/A</v>
      </c>
      <c r="JR229" s="217" t="e">
        <f ca="1">IF($CP229-Control!$C$150&lt;0, 0, $JQ229/Control!$C$162)</f>
        <v>#N/A</v>
      </c>
      <c r="JS229" s="218" t="e">
        <f t="shared" ca="1" si="771"/>
        <v>#N/A</v>
      </c>
      <c r="JT229" s="218" t="e">
        <f t="shared" ca="1" si="879"/>
        <v>#N/A</v>
      </c>
      <c r="JU229" s="218" t="e">
        <f t="shared" ca="1" si="772"/>
        <v>#N/A</v>
      </c>
      <c r="JV229" s="218" t="e">
        <f t="shared" ca="1" si="773"/>
        <v>#N/A</v>
      </c>
      <c r="JW229" s="216" t="e">
        <f t="shared" ca="1" si="774"/>
        <v>#N/A</v>
      </c>
      <c r="JX229" s="91" t="e">
        <f t="shared" ca="1" si="775"/>
        <v>#N/A</v>
      </c>
      <c r="JY229" s="218" t="e">
        <f t="shared" ca="1" si="776"/>
        <v>#N/A</v>
      </c>
      <c r="JZ229" s="217" t="e">
        <f ca="1">IF(Control!$C$114=1,($IZ229/(IF($JI229&lt;&gt;0,$JI229,1)))*$JK229, 0)</f>
        <v>#N/A</v>
      </c>
      <c r="KA229" s="218" t="e">
        <f t="shared" ca="1" si="914"/>
        <v>#N/A</v>
      </c>
      <c r="KB229" s="218" t="e">
        <f t="shared" ca="1" si="880"/>
        <v>#N/A</v>
      </c>
      <c r="KC229" s="218" t="e">
        <f t="shared" ca="1" si="777"/>
        <v>#N/A</v>
      </c>
      <c r="KD229" s="218" t="e">
        <f t="shared" ca="1" si="778"/>
        <v>#N/A</v>
      </c>
      <c r="KE229" s="218" t="e">
        <f t="shared" ca="1" si="779"/>
        <v>#N/A</v>
      </c>
      <c r="KF229" s="218" t="e">
        <f t="shared" ca="1" si="780"/>
        <v>#N/A</v>
      </c>
      <c r="KG229" s="216" t="e">
        <f t="shared" ca="1" si="781"/>
        <v>#N/A</v>
      </c>
      <c r="KH229" s="221" t="e">
        <f ca="1">IF(Control!$B$24=0,1,MAX(0.001,MIN(1,IF(($IF229-$IE229)&lt;&gt;0,($KG229-$IE229)/($IF229-$IE229),1))))</f>
        <v>#N/A</v>
      </c>
      <c r="KI229" s="222" t="e">
        <f ca="1">IF(Control!$C$114=1, $KI228+ $KH228, 0)</f>
        <v>#N/A</v>
      </c>
      <c r="KJ229" s="217" t="e">
        <f t="shared" ca="1" si="782"/>
        <v>#N/A</v>
      </c>
      <c r="KK229" s="218" t="e">
        <f t="shared" ca="1" si="783"/>
        <v>#N/A</v>
      </c>
      <c r="KL229" s="274" t="e">
        <f ca="1">IF(Control!$B$26=3,4000000000*EXP(-8400/($G229+273)),IF(Control!$B$26=4,4000000000*EXP(-8400/($G229+273))*($KT229),0))</f>
        <v>#DIV/0!</v>
      </c>
      <c r="KM229" s="274" t="e">
        <f ca="1">IF(Control!$B$26=3,5600000000000*EXP(-9800/($G229+273)),IF(Control!$B$26=4,5600000000000*EXP(-9800/($G229+273))*$KT229,0))</f>
        <v>#DIV/0!</v>
      </c>
      <c r="KN229" s="454" t="e">
        <f t="shared" ca="1" si="881"/>
        <v>#DIV/0!</v>
      </c>
      <c r="KO229" s="274" t="e">
        <f t="shared" ca="1" si="882"/>
        <v>#DIV/0!</v>
      </c>
      <c r="KP229" s="454" t="e">
        <f t="shared" ca="1" si="784"/>
        <v>#DIV/0!</v>
      </c>
      <c r="KQ229" s="454" t="e">
        <f t="shared" ca="1" si="785"/>
        <v>#DIV/0!</v>
      </c>
      <c r="KR229" s="454" t="e">
        <f t="shared" ca="1" si="786"/>
        <v>#DIV/0!</v>
      </c>
      <c r="KS229" s="454" t="e">
        <f t="shared" ca="1" si="787"/>
        <v>#DIV/0!</v>
      </c>
      <c r="KT229" s="455" t="e">
        <f t="shared" ca="1" si="788"/>
        <v>#DIV/0!</v>
      </c>
      <c r="KU229" s="456" t="e">
        <f ca="1">IF($CP229-Control!$C$149&lt;0, IF($NT229-0.01&lt;0,0,1),0)</f>
        <v>#N/A</v>
      </c>
      <c r="KV229" s="456" t="e">
        <f ca="1">IF(Control!$C$114=1,MAX(0,MIN(Control!$C$125*$KW229*$GN229,$KW229)))</f>
        <v>#DIV/0!</v>
      </c>
      <c r="KW229" s="456" t="e">
        <f t="shared" ca="1" si="915"/>
        <v>#DIV/0!</v>
      </c>
      <c r="KX229" s="457" t="e">
        <f ca="1">IF($CP229-Control!$C$149&lt;0, IF($MR229-$OM229&lt;0,0,1),0)</f>
        <v>#N/A</v>
      </c>
      <c r="KY229" s="167">
        <f t="shared" ca="1" si="883"/>
        <v>225</v>
      </c>
      <c r="KZ229" s="168">
        <f ca="1">1370*(1+0.033*COS(2*Control!$C$138*$AH229/365))</f>
        <v>1336.3593344364681</v>
      </c>
      <c r="LA229" s="169">
        <f t="shared" ca="1" si="884"/>
        <v>0.97544456998424511</v>
      </c>
      <c r="LB229" s="169">
        <f t="shared" ca="1" si="885"/>
        <v>0.25024628159561113</v>
      </c>
      <c r="LC229" s="169">
        <f ca="1">ACOS(-TAN((2*Control!$B$8/360))*TAN(Calculations!$LB229))</f>
        <v>1.646835974290032</v>
      </c>
      <c r="LD229" s="169">
        <f ca="1">((24*60)/PI())*0.082*$LA229*(($LC229*SIN(Control!$B$8*2*PI()/360))*SIN($LB229)+COS(Control!$B$8*2*PI()/360)*COS($LB229)*SIN($LC229))</f>
        <v>33.588257079661197</v>
      </c>
      <c r="LE229" s="170">
        <f t="shared" ca="1" si="789"/>
        <v>34.261553745509396</v>
      </c>
      <c r="LF229" s="170">
        <f ca="1">SIN(Control!$C$139*Control!$B$8)*SIN($HD229)</f>
        <v>0.19400622392283109</v>
      </c>
      <c r="LG229" s="170">
        <f ca="1">COS(Control!$C$139*Control!$B$8)*COS($HD229)</f>
        <v>0.59670967258195395</v>
      </c>
      <c r="LH229" s="170">
        <f ca="1">12*(1+2*ASIN(MAX(-1,MIN(1,$LF229/$LG229))/Control!$C$138))</f>
        <v>14.488234122709034</v>
      </c>
      <c r="LI229" s="170">
        <f ca="1">12*(1+2*ASIN(MAX(-1,MIN(1,(-SIN(-4*Control!$C$139)+$LF229)/$LG229))/Control!$C$138))</f>
        <v>15.388085730907061</v>
      </c>
      <c r="LJ229" s="168">
        <f ca="1">3600*($LH229*$LF229+24*$LG229*SQRT(1-$LK229*$LK229)/Control!$C$138)</f>
        <v>25637.979892554285</v>
      </c>
      <c r="LK229" s="170">
        <f t="shared" ca="1" si="790"/>
        <v>0.32512666182093047</v>
      </c>
      <c r="LL229" s="170">
        <f t="shared" ca="1" si="791"/>
        <v>0</v>
      </c>
      <c r="LM229" s="171">
        <f ca="1">Control!$C$145*$AB229</f>
        <v>6.6660906138995932E-2</v>
      </c>
      <c r="LN229" s="170">
        <f t="shared" ca="1" si="886"/>
        <v>0.54</v>
      </c>
      <c r="LO229" s="170">
        <f t="shared" ca="1" si="792"/>
        <v>0</v>
      </c>
      <c r="LP229" s="170">
        <f ca="1">Control!$C$140*((($D229+273.16)^4+($E229+273.16)^4)/2)*(0.34-0.14*SQRT($Y229))*(1.35*$AQ229/(0.75*$LD229)-0.35)</f>
        <v>-3.2464704755046001</v>
      </c>
      <c r="LQ229" s="170">
        <f ca="1">Control!$C$140*($G229+273)^4*(0.56-0.079*SQRT($Y229*10))*(0.1+0.9*$LO229)</f>
        <v>1.5241745131704001</v>
      </c>
      <c r="LR229" s="170">
        <f ca="1">$AQ229*(1-Control!$C$142)-$LQ229</f>
        <v>-1.5241745131704001</v>
      </c>
      <c r="LS229" s="170">
        <f ca="1">$AQ229*(1-Control!$C$143)-$LQ229</f>
        <v>-1.5241745131704001</v>
      </c>
      <c r="LT229" s="170">
        <f ca="1">$AQ229*(1-Control!$C$144)-$LQ229</f>
        <v>-1.5241745131704001</v>
      </c>
      <c r="LU229" s="169">
        <f ca="1">(1-Control!$C$144)*AQ229-LP229</f>
        <v>3.2464704755046001</v>
      </c>
      <c r="LV229" s="172">
        <f t="shared" ca="1" si="793"/>
        <v>0.79430000000000012</v>
      </c>
      <c r="LW229" s="170">
        <f t="shared" ca="1" si="794"/>
        <v>1.5886000000000002</v>
      </c>
      <c r="LX229" s="170">
        <f ca="1">($AC229*($LR229/Control!$C$141)+$LM229*$LV229)/($AC229+$LM229)</f>
        <v>0.23530094218323697</v>
      </c>
      <c r="LY229" s="170">
        <f ca="1">($AC229*($LS229/Control!$C$141)+$LM229*$LV229)/($AC229+$LM229)</f>
        <v>0.23530094218323697</v>
      </c>
      <c r="LZ229" s="170">
        <f t="shared" ca="1" si="795"/>
        <v>0.23530094218323697</v>
      </c>
      <c r="MA229" s="170">
        <f t="shared" ca="1" si="796"/>
        <v>0.23530094218323697</v>
      </c>
      <c r="MB229" s="170" t="e">
        <f t="shared" ca="1" si="797"/>
        <v>#N/A</v>
      </c>
      <c r="MC229" s="170">
        <f t="shared" ca="1" si="887"/>
        <v>0.6018</v>
      </c>
      <c r="MD229" s="170">
        <f t="shared" ca="1" si="798"/>
        <v>0.52989392535414004</v>
      </c>
      <c r="ME229" s="170">
        <f ca="1">($AC229*($LT229/Control!$C$141)+$LM229*$LW229)/($AC229+$LM229)</f>
        <v>0.71612369323045078</v>
      </c>
      <c r="MF229" s="170" t="e">
        <f ca="1">IF(Control!$B$16&gt;=1000,0.92,IF(AND(720&lt;=Control!$B$16,1000&gt;Control!$B$16),(0.95+(Control!$B$16-720)*((0.92-0.95)/(1000-720))),IF(AND(360&lt;=Control!$B$16,720&gt;Control!$B$16),(1+(Control!$B$16-360)*((0.95-1)/(720-360))),IF(AND(40&lt;=Control!$B$16,360&gt;Control!$B$16),(1.05+(Control!$B$16-40)*((1.05-1)/(360-40)))))))</f>
        <v>#N/A</v>
      </c>
      <c r="MG229" s="170">
        <f t="shared" ca="1" si="799"/>
        <v>0.71612369323045078</v>
      </c>
      <c r="MH229" s="170" t="e">
        <f t="shared" ca="1" si="925"/>
        <v>#N/A</v>
      </c>
      <c r="MI229" s="170" t="e">
        <f t="shared" ca="1" si="925"/>
        <v>#N/A</v>
      </c>
      <c r="MJ229" s="170" t="e">
        <f ca="1">MAX(0.0001, Control!$C$132*$MI229*$DL229)</f>
        <v>#N/A</v>
      </c>
      <c r="MK229" s="170">
        <f ca="1">1/(0.76+1.5*($MG229/10))-(5-Control!$C$110)*0.1</f>
        <v>1.002845988140797</v>
      </c>
      <c r="ML229" s="173">
        <f ca="1">IF(Control!$C$110&lt;3,$MK229+($MG229-0.6)/(Control!$C$110*(Control!$C$110+3)), MAX(0.1, MIN(0.95,$MK229)))</f>
        <v>0.95</v>
      </c>
      <c r="MM229" s="173">
        <f ca="1">IF(Control!$C$110&lt;3,$MK229+(($MI229/10)-0.6)/(Control!$C$110*(Control!$C$110+3)), MAX(0.1, MIN(0.95,$MK229)))</f>
        <v>0.95</v>
      </c>
      <c r="MN229" s="173">
        <f ca="1">(1-$MM229)*(Control!$C$128-Control!$C$127)+Control!$C$127</f>
        <v>0.16</v>
      </c>
      <c r="MO229" s="170" t="e">
        <f ca="1">MAX(0,MIN(1,($MS229-Control!$C$127)/($MN229-Control!$C$127)))</f>
        <v>#DIV/0!</v>
      </c>
      <c r="MP229" s="173" t="e">
        <f ca="1">1/(0.76+1.5*$MI229)-(5-Control!$C$110)*0.1</f>
        <v>#N/A</v>
      </c>
      <c r="MQ229" s="172" t="e">
        <f t="shared" ca="1" si="916"/>
        <v>#DIV/0!</v>
      </c>
      <c r="MR229" s="168" t="e">
        <f t="shared" ca="1" si="888"/>
        <v>#DIV/0!</v>
      </c>
      <c r="MS229" s="173" t="e">
        <f ca="1">MAX(Control!$C$127, MIN(Control!$C$135, $MR229/MAX(0.0001,$CY229)))</f>
        <v>#DIV/0!</v>
      </c>
      <c r="MT229" s="168" t="e">
        <f ca="1">(Control!$C$128-$MS229)*Control!$C$74</f>
        <v>#DIV/0!</v>
      </c>
      <c r="MU229" s="168" t="e">
        <f ca="1">(Control!$C$135-$MS229)*Control!$C$74</f>
        <v>#DIV/0!</v>
      </c>
      <c r="MV229" s="168" t="e">
        <f t="shared" ca="1" si="889"/>
        <v>#DIV/0!</v>
      </c>
      <c r="MW229" s="168" t="e">
        <f t="shared" ca="1" si="890"/>
        <v>#DIV/0!</v>
      </c>
      <c r="MX229" s="171" t="e">
        <f ca="1">MAX(Control!$C$127, MIN(Control!$C$135, $MW229/MAX(0.0001,Control!$C$119-$CY229)))</f>
        <v>#DIV/0!</v>
      </c>
      <c r="MY229" s="54" t="e">
        <f ca="1">IF(Control!$C$114=1, $CX229*$MX229, 0)</f>
        <v>#DIV/0!</v>
      </c>
      <c r="MZ229" s="54" t="e">
        <f t="shared" ca="1" si="891"/>
        <v>#N/A</v>
      </c>
      <c r="NA229" s="168" t="e">
        <f ca="1">(Control!$C$128-$MX229)*(Control!$C$119-Control!$C$74)</f>
        <v>#DIV/0!</v>
      </c>
      <c r="NB229" s="168" t="e">
        <f ca="1">(Control!$C$135-$MX229)*(Control!$C$119-Control!$C$74)</f>
        <v>#DIV/0!</v>
      </c>
      <c r="NC229" s="174" t="e">
        <f t="shared" ca="1" si="892"/>
        <v>#DIV/0!</v>
      </c>
      <c r="ND229" s="54">
        <f ca="1">IF(Control!$C$58=2, IF(OR(Control!$B$218=$AH229,Control!$B$219=$AH229, Control!$B$220=$AH229, Control!$B$221=$AH229, Control!$B$222=$AH229, Control!$B$223=$AH229, Control!$B$224=$AH229, Control!$B$225=$AH229, Control!$B$226=$AH229, Control!$B$227=$AH229, Control!$B$228=$AH229), 1, 0), 0)</f>
        <v>1</v>
      </c>
      <c r="NE229" s="54">
        <f ca="1">IF($ND229=0,0, VLOOKUP($AH229,Control!$B$218:$C$228,2))</f>
        <v>0</v>
      </c>
      <c r="NF229" s="168" t="e">
        <f ca="1">$CY229*(Control!$C$128-Control!$C$127)</f>
        <v>#N/A</v>
      </c>
      <c r="NG229" s="54" t="e">
        <f ca="1">IF(Control!$C$58=2, $NI228-$NJ228, 0)</f>
        <v>#DIV/0!</v>
      </c>
      <c r="NH229" s="54" t="e">
        <f ca="1">IF(AND(Control!$C$58=1, $MS228&lt;= ($MN228+0.02), $I228&lt;10), 0, IF(Control!$C$58=2, $NG228, 0))</f>
        <v>#DIV/0!</v>
      </c>
      <c r="NI229" s="54" t="e">
        <f ca="1">IF(Control!$C$58=2, $NE229+$NH229,0)</f>
        <v>#DIV/0!</v>
      </c>
      <c r="NJ229" s="54" t="e">
        <f ca="1">IF(AND(Control!$C$58=1, $MS229&lt;= ($MN229+0.02), $I229&lt;10), MAX(0, MIN(10, 0.7*($NF229-$MV229))), IF(Control!$C$58=2, MIN(10,$NI229),0))</f>
        <v>#DIV/0!</v>
      </c>
      <c r="NK229" s="54" t="e">
        <f t="shared" ca="1" si="800"/>
        <v>#DIV/0!</v>
      </c>
      <c r="NL229" s="173" t="e">
        <f ca="1">(1-Control!$C$73)*$I229+$NJ229</f>
        <v>#DIV/0!</v>
      </c>
      <c r="NM229" s="172" t="e">
        <f ca="1">IF($NL229&lt;0.5, $MB229* MAX(0, MIN(1, (SQRT($NC229)-SQRT($NC229-1))*Control!$C$71)),0)</f>
        <v>#DIV/0!</v>
      </c>
      <c r="NN229" s="170" t="e">
        <f ca="1">IF($NL229&gt;=5, $MB229, MAX(0,MIN($MB229, $NM229+$NL229,($MS229-Control!$C$129))))</f>
        <v>#DIV/0!</v>
      </c>
      <c r="NO229" s="54">
        <f>IF(Control!$C$133&lt;&gt;1, Control!$C$135-Control!$C$131, 0)</f>
        <v>0.38</v>
      </c>
      <c r="NP229" s="54" t="e">
        <f t="shared" ca="1" si="801"/>
        <v>#DIV/0!</v>
      </c>
      <c r="NQ229" s="173" t="e">
        <f ca="1">MAX(0,MIN(1,(Control!$C$135-$MS229)/(Control!$C$135-$NO229)))</f>
        <v>#DIV/0!</v>
      </c>
      <c r="NR229" s="170" t="e">
        <f ca="1">IF(Control!$C$133&lt;&gt;1, $NQ229+((1-$NP229/4)*(1-$NQ229)),1)</f>
        <v>#DIV/0!</v>
      </c>
      <c r="NS229" s="170" t="e">
        <f ca="1">IF(Control!$B$31=0,$MJ229,MAX(0,MIN($MV229,$MO229*$NR229*$MJ229)))</f>
        <v>#DIV/0!</v>
      </c>
      <c r="NT229" s="170" t="e">
        <f t="shared" ca="1" si="917"/>
        <v>#DIV/0!</v>
      </c>
      <c r="NU229" s="170" t="e">
        <f t="shared" ca="1" si="893"/>
        <v>#N/A</v>
      </c>
      <c r="NV229" s="170" t="e">
        <f t="shared" ca="1" si="802"/>
        <v>#N/A</v>
      </c>
      <c r="NW229" s="175" t="e">
        <f t="shared" ca="1" si="803"/>
        <v>#DIV/0!</v>
      </c>
      <c r="NX229" s="170" t="e">
        <f ca="1">MIN(Control!$C$72+$MU229, $NW229)</f>
        <v>#DIV/0!</v>
      </c>
      <c r="NY229" s="170" t="e">
        <f ca="1">IF($MT229&lt;=$NX229,MIN(Control!$C$72+$NB229,$NX229-$MT229),0)</f>
        <v>#DIV/0!</v>
      </c>
      <c r="NZ229" s="54" t="e">
        <f ca="1">IF(Control!$C$114=1,  $CX229*($MX229-Control!$C$127), 0)</f>
        <v>#DIV/0!</v>
      </c>
      <c r="OA229" s="170" t="e">
        <f t="shared" ca="1" si="804"/>
        <v>#DIV/0!</v>
      </c>
      <c r="OB229" s="170" t="e">
        <f ca="1">IF($NA229 &lt;=$NY229, MIN(Control!$C$72, $NY229-$NA229), 0)</f>
        <v>#DIV/0!</v>
      </c>
      <c r="OC229" s="168" t="e">
        <f t="shared" ca="1" si="805"/>
        <v>#DIV/0!</v>
      </c>
      <c r="OD229" s="168" t="e">
        <f t="shared" ca="1" si="894"/>
        <v>#DIV/0!</v>
      </c>
      <c r="OE229" s="170">
        <f ca="1">Control!$C$73*$I229</f>
        <v>0</v>
      </c>
      <c r="OF229" s="176" t="e">
        <f t="shared" ca="1" si="806"/>
        <v>#DIV/0!</v>
      </c>
      <c r="OG229" s="168" t="e">
        <f t="shared" ca="1" si="807"/>
        <v>#DIV/0!</v>
      </c>
      <c r="OH229" s="168" t="e">
        <f t="shared" ca="1" si="808"/>
        <v>#DIV/0!</v>
      </c>
      <c r="OI229" s="168" t="e">
        <f t="shared" ca="1" si="809"/>
        <v>#DIV/0!</v>
      </c>
      <c r="OJ229" s="168" t="e">
        <f t="shared" ca="1" si="810"/>
        <v>#DIV/0!</v>
      </c>
      <c r="OK229" s="204" t="e">
        <f t="shared" ca="1" si="811"/>
        <v>#DIV/0!</v>
      </c>
      <c r="OL229" s="177">
        <f>Control!$C$127</f>
        <v>0.15</v>
      </c>
      <c r="OM229" s="182" t="e">
        <f t="shared" ca="1" si="812"/>
        <v>#N/A</v>
      </c>
      <c r="ON229" s="177">
        <f>Control!$C$128</f>
        <v>0.35</v>
      </c>
      <c r="OO229" s="182" t="e">
        <f t="shared" ca="1" si="813"/>
        <v>#N/A</v>
      </c>
      <c r="OP229" s="138">
        <f t="shared" ca="1" si="895"/>
        <v>0</v>
      </c>
      <c r="OQ229" s="138" t="e">
        <f t="shared" ca="1" si="918"/>
        <v>#DIV/0!</v>
      </c>
      <c r="OR229" s="138" t="e">
        <f t="shared" ca="1" si="896"/>
        <v>#DIV/0!</v>
      </c>
      <c r="OS229" s="137" t="e">
        <f t="shared" ca="1" si="919"/>
        <v>#DIV/0!</v>
      </c>
      <c r="OT229" s="139" t="e">
        <f t="shared" ca="1" si="920"/>
        <v>#DIV/0!</v>
      </c>
      <c r="OU229" s="138" t="e">
        <f t="shared" ca="1" si="921"/>
        <v>#N/A</v>
      </c>
      <c r="OV229" s="138" t="e">
        <f t="shared" ca="1" si="922"/>
        <v>#DIV/0!</v>
      </c>
      <c r="OW229" s="138" t="e">
        <f t="shared" ca="1" si="897"/>
        <v>#DIV/0!</v>
      </c>
      <c r="OX229" s="138" t="e">
        <f t="shared" ca="1" si="898"/>
        <v>#DIV/0!</v>
      </c>
      <c r="OY229" s="138" t="e">
        <f t="shared" ca="1" si="899"/>
        <v>#DIV/0!</v>
      </c>
      <c r="OZ229" s="138" t="e">
        <f t="shared" ca="1" si="814"/>
        <v>#DIV/0!</v>
      </c>
      <c r="PA229" s="138" t="e">
        <f t="shared" ca="1" si="815"/>
        <v>#DIV/0!</v>
      </c>
      <c r="PB229" s="55">
        <f>IF(Control!$C$61="T", IF(Control!$C$65="F", IF($AH$6-Control!$C$60&lt;0,0,1), IF(365+$AH$6-Control!$C$60&lt;0,0,1)),0)</f>
        <v>0</v>
      </c>
      <c r="PC229" s="55">
        <f ca="1">IF(Control!$C$65="F", IF($AH$6-$HF229&lt;0,0,1), IF(365+$AH$6-$HF229&lt;0,0,1))</f>
        <v>1</v>
      </c>
      <c r="PD229" s="444">
        <f>Control!$C$118</f>
        <v>1500</v>
      </c>
      <c r="PE229" s="180" t="e">
        <f t="shared" ca="1" si="816"/>
        <v>#N/A</v>
      </c>
      <c r="PF229" s="445">
        <f t="shared" ca="1" si="900"/>
        <v>0.71612369323045078</v>
      </c>
      <c r="PT229" s="186"/>
      <c r="PU229" s="186"/>
      <c r="PV229" s="94"/>
      <c r="PW229" s="94"/>
      <c r="PX229" s="94"/>
      <c r="PY229" s="94"/>
      <c r="PZ229" s="94"/>
      <c r="QA229" s="94"/>
      <c r="QB229" s="94"/>
      <c r="QC229" s="94"/>
      <c r="QD229" s="94"/>
      <c r="QE229" s="94"/>
      <c r="QF229" s="94"/>
      <c r="QG229" s="94"/>
      <c r="QH229" s="94"/>
      <c r="QI229" s="94"/>
      <c r="QJ229" s="94"/>
      <c r="QK229" s="94"/>
      <c r="QL229" s="94"/>
      <c r="QM229" s="94"/>
      <c r="QN229" s="94"/>
      <c r="QO229" s="94"/>
      <c r="QP229" s="94"/>
    </row>
    <row r="230" spans="1:458" s="2" customFormat="1" x14ac:dyDescent="0.2">
      <c r="A230" s="395">
        <v>13</v>
      </c>
      <c r="B230" s="396">
        <v>8</v>
      </c>
      <c r="C230" s="387">
        <f ca="1">Weather_data!$B229</f>
        <v>0</v>
      </c>
      <c r="D230" s="388">
        <f ca="1">Weather_data!$F229</f>
        <v>0</v>
      </c>
      <c r="E230" s="388">
        <f ca="1">Weather_data!$E229</f>
        <v>0</v>
      </c>
      <c r="F230" s="388">
        <f t="shared" ca="1" si="817"/>
        <v>0</v>
      </c>
      <c r="G230" s="388">
        <f ca="1">AVERAGE($D230:$E230)+Control!$B$9</f>
        <v>0</v>
      </c>
      <c r="H230" s="388">
        <f ca="1">Weather_data!$G229</f>
        <v>0</v>
      </c>
      <c r="I230" s="388">
        <f ca="1">Weather_data!$I229</f>
        <v>0</v>
      </c>
      <c r="J230" s="388">
        <f ca="1">Weather_data!$H229</f>
        <v>0</v>
      </c>
      <c r="K230" s="389">
        <f ca="1">Weather_data!$D229</f>
        <v>0</v>
      </c>
      <c r="L230" s="388" t="e">
        <f t="shared" ca="1" si="818"/>
        <v>#N/A</v>
      </c>
      <c r="M230" s="388" t="e">
        <f t="shared" ca="1" si="696"/>
        <v>#N/A</v>
      </c>
      <c r="N230" s="388">
        <f t="shared" ca="1" si="697"/>
        <v>-2.8137928306169393E-11</v>
      </c>
      <c r="O230" s="388">
        <f t="shared" ca="1" si="819"/>
        <v>2.8137928306169392E-10</v>
      </c>
      <c r="P230" s="390">
        <v>3</v>
      </c>
      <c r="Q230" s="388">
        <f ca="1">MAX($G230-Control!$C$107,0)</f>
        <v>0</v>
      </c>
      <c r="R230" s="388">
        <f t="shared" ca="1" si="820"/>
        <v>0</v>
      </c>
      <c r="S230" s="388">
        <f t="shared" ca="1" si="698"/>
        <v>0</v>
      </c>
      <c r="T230" s="388">
        <f t="shared" ca="1" si="699"/>
        <v>0</v>
      </c>
      <c r="U230" s="59">
        <f t="shared" ca="1" si="700"/>
        <v>0</v>
      </c>
      <c r="V230" s="391">
        <f ca="1">MAX(0,MIN(Control!$C$100-Control!$C$99,$G230-Control!$C$99)*Control!$C$63)</f>
        <v>0</v>
      </c>
      <c r="W230" s="388">
        <f t="shared" ca="1" si="821"/>
        <v>0</v>
      </c>
      <c r="X230" s="388">
        <f t="shared" ca="1" si="822"/>
        <v>0.6110000000000001</v>
      </c>
      <c r="Y230" s="388">
        <f t="shared" ca="1" si="701"/>
        <v>0</v>
      </c>
      <c r="Z230" s="388">
        <f t="shared" ca="1" si="823"/>
        <v>0.61058800000000002</v>
      </c>
      <c r="AA230" s="388">
        <f t="shared" ca="1" si="702"/>
        <v>0.6018</v>
      </c>
      <c r="AB230" s="388">
        <f ca="1">101.3*EXP(-0.034*Control!$C$66/($G230+273))</f>
        <v>100.69623283836242</v>
      </c>
      <c r="AC230" s="392">
        <f t="shared" ca="1" si="703"/>
        <v>4.3460251046025113E-2</v>
      </c>
      <c r="AD230" s="392">
        <f t="shared" ca="1" si="704"/>
        <v>4.4450382862832649E-2</v>
      </c>
      <c r="AE230" s="388">
        <f t="shared" ca="1" si="705"/>
        <v>0</v>
      </c>
      <c r="AF230" s="388">
        <f ca="1">MAX(0,$G230-Control!$C$92)</f>
        <v>0</v>
      </c>
      <c r="AG230" s="393">
        <f t="shared" ca="1" si="706"/>
        <v>226</v>
      </c>
      <c r="AH230" s="389">
        <f t="shared" ca="1" si="707"/>
        <v>226</v>
      </c>
      <c r="AI230" s="388">
        <f t="shared" ca="1" si="824"/>
        <v>0.24316813277476404</v>
      </c>
      <c r="AJ230" s="388">
        <f ca="1">IF(Control!$C$60&lt;=0,$HH230,$HI230)</f>
        <v>1</v>
      </c>
      <c r="AK230" s="388">
        <f t="shared" ca="1" si="708"/>
        <v>2.5132741228718345</v>
      </c>
      <c r="AL230" s="388">
        <f t="shared" ca="1" si="709"/>
        <v>-7.2134347106622693E-18</v>
      </c>
      <c r="AM230" s="388">
        <f t="shared" ca="1" si="710"/>
        <v>2.5132741228718345</v>
      </c>
      <c r="AN230" s="388">
        <f t="shared" ca="1" si="711"/>
        <v>0.23600574946497979</v>
      </c>
      <c r="AO230" s="388">
        <f ca="1">-0.10453/COS(Control!$B$8*PI()/180)*COS(AN230)</f>
        <v>-0.16507837139120979</v>
      </c>
      <c r="AP230" s="388">
        <f ca="1">ACOS(AO230-TAN(Control!$B$8*PI()/180)*TAN(AN230))</f>
        <v>2.063362050820428</v>
      </c>
      <c r="AQ230" s="388">
        <f t="shared" ca="1" si="825"/>
        <v>0</v>
      </c>
      <c r="AR230" s="394">
        <f t="shared" ca="1" si="712"/>
        <v>0</v>
      </c>
      <c r="AS230" s="436">
        <f ca="1">IF(Control!$B$18=2,(IF(OR($AH230=Control!$B$175,$AH230=Control!$B$176,$AH230=Control!$B$177,$AH230=Control!$B$178,$AH230=Control!$B$179,$AH230=Control!$B$180,$AH230=Control!$B$181,$AH230=Control!$B$182,$AH230=Control!$B$183,$AH230=Control!$B$184,$AH230=Control!$B$185),1,0)),0)</f>
        <v>0</v>
      </c>
      <c r="AT230" s="436">
        <f>IF(Control!$B$20=8,IF(AND($AH230&gt;=Control!$B$172,$AH230&lt;=Control!$B$173),1,0),0)</f>
        <v>0</v>
      </c>
      <c r="AU230" s="436">
        <f>IF(Control!$B$20=8,IF($AV229=1,1*$AT230,IF($AT230=1,$AU229+1,$AU229)),0)</f>
        <v>0</v>
      </c>
      <c r="AV230" s="436">
        <f>IF(Control!$B$20=8,IF($AU230&gt;=Control!$B$174,1,0),0)</f>
        <v>0</v>
      </c>
      <c r="AW230" s="436">
        <f ca="1">IF(AND(Control!$B$18=2,Control!$B$171=1), $AV230, $AS230)</f>
        <v>0</v>
      </c>
      <c r="AX230" s="436" t="e">
        <f ca="1">IF(AND(Control!$B$18=1,$EU230&gt;=Control!$B$19),-$AY230,IF(AND(Control!$B$18=2,$AW230=1,$EU230&gt;$DS230),-$AY230, IF(Control!$C$108=0,0, IF(Control!$C$108&lt;&gt;0,1))))</f>
        <v>#N/A</v>
      </c>
      <c r="AY230" s="436" t="e">
        <f t="shared" ca="1" si="826"/>
        <v>#N/A</v>
      </c>
      <c r="AZ230" s="436" t="e">
        <f ca="1">IF(AND(Control!$B$18=1,$EB230&gt;Control!$B$19),$AZ229+1, IF(AND(Control!$B$18=2, $AW230=1, $EB230&gt;$DS230), $AZ229+1,$AZ229))</f>
        <v>#N/A</v>
      </c>
      <c r="BA230" s="587">
        <f>IF(Control!$C$81=0,1,IF($AH230&gt;=Control!$C$82,1,0))</f>
        <v>1</v>
      </c>
      <c r="BB230" s="140" t="e">
        <f ca="1">IF($BA230&gt;$BA229,Control!$C$83,IF($AW230&gt;0,$AW230*Control!$C$84,IF(AND(Control!$B$18=1,EN229&lt;&gt;0),Control!$C$84,0)))</f>
        <v>#N/A</v>
      </c>
      <c r="BC230" s="140" t="e">
        <f t="shared" ca="1" si="827"/>
        <v>#N/A</v>
      </c>
      <c r="BD230" s="140" t="e">
        <f ca="1">BC230*IF(OR($G230&lt;Control!$C$92,$G230&gt;Control!$C$95),0,IF(AND($G230&gt;=Control!$C$92,$G230&lt;=Control!$C$93),$G230-Control!$C$92,IF(AND($G230&gt;Control!$C$93,$G230&lt;=Control!$C$94),Control!$C$93-Control!$C$92,IF(AND($G230&gt;Control!$C$94,$G230&lt;=Control!$C$95),(Control!$C$93-Control!$C$92)*(Control!$C$94-$G230)/(Control!$C$95-Control!$C$94)))))</f>
        <v>#N/A</v>
      </c>
      <c r="BE230" s="140" t="e">
        <f t="shared" ca="1" si="828"/>
        <v>#N/A</v>
      </c>
      <c r="BF230" s="140" t="e">
        <f ca="1">IF($BE230&lt;=Control!$C$86,$BE230,Control!$C$86-$BE230)</f>
        <v>#N/A</v>
      </c>
      <c r="BG230" s="140" t="e">
        <f ca="1">IF(AND($AW230=1,Control!$C$84&lt;9),1,IF($BE230&gt;=Control!$C$86,0,$BC230))</f>
        <v>#N/A</v>
      </c>
      <c r="BH230" s="404" t="e">
        <f ca="1">IF($BG230=0,0,IF($BE230&lt;=Control!$C$86,$BC230*9*($BF230/Control!$C$86),0))</f>
        <v>#N/A</v>
      </c>
      <c r="BI230" s="140" t="e">
        <f ca="1">IF($BG230=1,0,IF($BE230&gt;=Control!$C$86,1,IF(AND($BB230&lt;21,$BB230&gt;=9),1,$BM229)))</f>
        <v>#N/A</v>
      </c>
      <c r="BJ230" s="140" t="e">
        <f ca="1">IF($BF230&lt;0,-$BF230,$BI230*IF(OR($G230&lt;Control!$C$92,$G230&gt;Control!$C$95),0,IF(AND($G230&gt;=Control!$C$92,$G230&lt;=Control!$C$93),$G230-Control!$C$92,IF(AND($G230&gt;Control!$C$93,$G230&lt;=Control!$C$94),Control!$C$93-Control!$C$92,IF(AND($G230&gt;Control!$C$94,$G230&lt;=Control!$C$95),(Control!$C$93-Control!$C$92)*(Control!$C$94-$G230)/(Control!$C$95-Control!$C$94))))))</f>
        <v>#N/A</v>
      </c>
      <c r="BK230" s="140" t="e">
        <f t="shared" ca="1" si="829"/>
        <v>#N/A</v>
      </c>
      <c r="BL230" s="140" t="e">
        <f ca="1">IF($BK230&lt;=Control!$C$87,$BK230,Control!$C$87-$BK230)</f>
        <v>#N/A</v>
      </c>
      <c r="BM230" s="140" t="e">
        <f ca="1">IF(AND($BB230&gt;=9,$BB230&lt;21),1,IF($BK230&gt;=Control!$C$87,0,$BI230))</f>
        <v>#N/A</v>
      </c>
      <c r="BN230" s="404" t="e">
        <f ca="1">IF($BM230=0,0,IF($BK230&lt;=Control!$C$87,$BI230*(9+(21-9)*($BL230/Control!$C$87)),0))</f>
        <v>#N/A</v>
      </c>
      <c r="BO230" s="140" t="e">
        <f ca="1">IF($BM230=1,0,IF($BK230&gt;=Control!$C$87,1,IF(AND($BB230&lt;30,$BB230&gt;=21),1,$BS229)))</f>
        <v>#N/A</v>
      </c>
      <c r="BP230" s="140" t="e">
        <f ca="1">IF($BL230&lt;0,-$BL230,$BO230*IF(OR($G230&lt;Control!$C$92,$G230&gt;Control!$C$95),0,IF(AND($G230&gt;=Control!$C$92,$G230&lt;=Control!$C$93),$G230-Control!$C$92,IF(AND($G230&gt;Control!$C$93,$G230&lt;=Control!$C$94),Control!$C$93-Control!$C$92,IF(AND($G230&gt;Control!$C$94,$G230&lt;=Control!$C$95),(Control!$C$93-Control!$C$92)*(Control!$C$94-$G230)/(Control!$C$95-Control!$C$94))))))</f>
        <v>#N/A</v>
      </c>
      <c r="BQ230" s="140" t="e">
        <f t="shared" ca="1" si="713"/>
        <v>#N/A</v>
      </c>
      <c r="BR230" s="140" t="e">
        <f ca="1">IF($BQ230&lt;=Control!$C$88,$BQ230,Control!$C$88-$BQ230)</f>
        <v>#N/A</v>
      </c>
      <c r="BS230" s="140" t="e">
        <f ca="1">IF(AND($BB230&gt;=21,$BB230&lt;30),1,IF($BQ230&gt;=Control!$C$88,0,$BO230))</f>
        <v>#N/A</v>
      </c>
      <c r="BT230" s="404" t="e">
        <f ca="1">IF($BS230=0,0,IF($BQ230&lt;=Control!$C$88,$BO230*(21+(30-21)*(BR230/Control!$C$88)),0))</f>
        <v>#N/A</v>
      </c>
      <c r="BU230" s="140" t="e">
        <f ca="1">IF(BG230+BM230+BS230=1,0,IF(OR(AND($BB230&lt;60,$BB230&gt;=30),$BQ230&gt;=Control!$C$88),1*$BA230,$BY229))</f>
        <v>#N/A</v>
      </c>
      <c r="BV230" s="140" t="e">
        <f ca="1">IF($BR230&lt;0,-$BR230,$BU230*IF(OR($G230&lt;Control!$C$92,$G230&gt;Control!$C$95),0,IF(AND($G230&gt;=Control!$C$92,$G230&lt;=Control!$C$93),$G230-Control!$C$92,IF(AND($G230&gt;Control!$C$93,$G230&lt;=Control!$C$94),Control!$C$93-Control!$C$92,IF(AND($G230&gt;Control!$C$94,$G230&lt;=Control!$C$95),(Control!$C$93-Control!$C$92)*(Control!$C$94-$G230)/(Control!$C$95-Control!$C$94))))))</f>
        <v>#N/A</v>
      </c>
      <c r="BW230" s="140" t="e">
        <f t="shared" ca="1" si="714"/>
        <v>#N/A</v>
      </c>
      <c r="BX230" s="140" t="e">
        <f ca="1">IF($BW230&lt;=Control!$C$89,$BW230,Control!$C$89-$BW230)</f>
        <v>#N/A</v>
      </c>
      <c r="BY230" s="140" t="e">
        <f ca="1">IF(AND($AJ230&gt;=30,$AJ230&lt;60),1,IF($BW230&gt;=Control!$C$89,0,$BU230))</f>
        <v>#N/A</v>
      </c>
      <c r="BZ230" s="404" t="e">
        <f ca="1">IF($BY230=0,0,IF($BW230&lt;=Control!$C$89,$BU230*(30+(60-30)*(BX230/Control!$C$89)),0))</f>
        <v>#N/A</v>
      </c>
      <c r="CA230" s="140" t="e">
        <f ca="1">IF($BG230+$BM230+$BS230+$BY230=1,0,IF(OR(AND($BB230&lt;65,$BB230&gt;=60),$BW230&gt;=Control!$C$89),1*$BA230,$CE229))</f>
        <v>#N/A</v>
      </c>
      <c r="CB230" s="140" t="e">
        <f ca="1">IF($BX230&lt;0,-$BX230,$CA230*IF(OR($G230&lt;Control!$C$92,$G230&gt;Control!$C$95),0,IF(AND($G230&gt;=Control!$C$92,$G230&lt;=Control!$C$93),$G230-Control!$C$92,IF(AND($G230&gt;Control!$C$93,$G230&lt;=Control!$C$94),Control!$C$93-Control!$C$92,IF(AND($G230&gt;Control!$C$94,$G230&lt;=Control!$C$95),(Control!$C$93-Control!$C$92)*(Control!$C$94-$G230)/(Control!$C$95-Control!$C$94))))))</f>
        <v>#N/A</v>
      </c>
      <c r="CC230" s="140" t="e">
        <f t="shared" ca="1" si="830"/>
        <v>#N/A</v>
      </c>
      <c r="CD230" s="140" t="e">
        <f ca="1">IF($CC230&lt;=Control!$C$90,$CC230,Control!$C$90-$CC230)</f>
        <v>#N/A</v>
      </c>
      <c r="CE230" s="140" t="e">
        <f ca="1">IF(AND($BB230&gt;=60,$BB230&lt;65),1,IF($CC230&gt;=Control!$C$90,0,$CA230))</f>
        <v>#N/A</v>
      </c>
      <c r="CF230" s="404" t="e">
        <f ca="1">IF($CE230=0,0,IF($CC230&lt;=Control!$C$90,$CA230*(60+(65-60)*(CD230/Control!$C$90)),0))</f>
        <v>#N/A</v>
      </c>
      <c r="CG230" s="140" t="e">
        <f ca="1">IF($BG230+$BM230+$BS230+$BY230+$CE230=1,0,IF(OR(AND($BB230&lt;90,$BB230&gt;=65),$CC230&gt;=Control!$C$90),$BA230,$CK229))</f>
        <v>#N/A</v>
      </c>
      <c r="CH230" s="140" t="e">
        <f ca="1">IF($CD230&lt;0,-$CD230,$CG230*IF(OR($G230&lt;Control!$C$92,$G230&gt;Control!$C$95),0,IF(AND($G230&gt;=Control!$C$92,$G230&lt;=Control!$C$93),$G230-Control!$C$92,IF(AND($G230&gt;Control!$C$93,$G230&lt;=Control!$C$94),Control!$C$93-Control!$C$92,IF(AND($G230&gt;Control!$C$94,$G230&lt;=Control!$C$95),(Control!$C$93-Control!$C$92)*(Control!$C$94-$G230)/(Control!$C$95-Control!$C$94))))))</f>
        <v>#N/A</v>
      </c>
      <c r="CI230" s="140" t="e">
        <f t="shared" ca="1" si="831"/>
        <v>#N/A</v>
      </c>
      <c r="CJ230" s="140" t="e">
        <f ca="1">IF($CI230&lt;=Control!$C$91,$CI230,Control!$C$91-$CI230)</f>
        <v>#N/A</v>
      </c>
      <c r="CK230" s="140" t="e">
        <f ca="1">IF(AND($BB230&gt;=65,$BB230&lt;90),1,IF($CI230&gt;=Control!$C$91,0,$CG230))</f>
        <v>#N/A</v>
      </c>
      <c r="CL230" s="404" t="e">
        <f ca="1">IF($CK230=0,0,IF($CI230&lt;=Control!$C$91,$CG230*(65+(90-65)*($CJ230/Control!$C$91)),0))</f>
        <v>#N/A</v>
      </c>
      <c r="CM230" s="140" t="e">
        <f ca="1">IF($BG230+$BM230+$BS230+$BY230+$CE230+$CK230=1,0,IF(OR($BB230&gt;=90,$CI230&gt;=Control!$C$91),$BA230,$CM229))</f>
        <v>#N/A</v>
      </c>
      <c r="CN230" s="140" t="e">
        <f t="shared" ca="1" si="832"/>
        <v>#N/A</v>
      </c>
      <c r="CO230" s="140" t="e">
        <f t="shared" ca="1" si="833"/>
        <v>#N/A</v>
      </c>
      <c r="CP230" s="140" t="e">
        <f t="shared" ca="1" si="834"/>
        <v>#N/A</v>
      </c>
      <c r="CQ230" s="141" t="e">
        <f ca="1">VLOOKUP($CP230,Control!$B$86:$G$91,6)</f>
        <v>#N/A</v>
      </c>
      <c r="CR230" s="141" t="e">
        <f ca="1">(1-$CQ230)*VLOOKUP($CP230,Control!$B$86:$D$91,3)</f>
        <v>#N/A</v>
      </c>
      <c r="CS230" s="141" t="e">
        <f ca="1">(1-$CQ230)*VLOOKUP($CP230,Control!$B$86:$E$91,4)</f>
        <v>#N/A</v>
      </c>
      <c r="CT230" s="141" t="e">
        <f ca="1">(1-$CQ230)*VLOOKUP($CP230,Control!$B$86:$F$91,5)</f>
        <v>#N/A</v>
      </c>
      <c r="CU230" s="141">
        <f t="shared" ca="1" si="835"/>
        <v>0</v>
      </c>
      <c r="CV230" s="583">
        <f t="shared" ca="1" si="836"/>
        <v>0</v>
      </c>
      <c r="CW230" s="142">
        <f t="shared" ca="1" si="837"/>
        <v>226</v>
      </c>
      <c r="CX230" s="612" t="e">
        <f ca="1">IF(Control!$C$114=1,(MIN(Control!$C$120*(IF($NT230-0.01&lt;0,0,1)),Control!$C$119-$CY230)))</f>
        <v>#DIV/0!</v>
      </c>
      <c r="CY230" s="143" t="e">
        <f t="shared" ca="1" si="838"/>
        <v>#N/A</v>
      </c>
      <c r="CZ230" s="144">
        <f t="shared" ca="1" si="715"/>
        <v>0</v>
      </c>
      <c r="DA230" s="144">
        <f t="shared" ca="1" si="716"/>
        <v>0</v>
      </c>
      <c r="DB230" s="144" t="e">
        <f t="shared" ca="1" si="717"/>
        <v>#N/A</v>
      </c>
      <c r="DC230" s="144" t="e">
        <f t="shared" ca="1" si="718"/>
        <v>#N/A</v>
      </c>
      <c r="DD230" s="144" t="e">
        <f t="shared" ca="1" si="923"/>
        <v>#N/A</v>
      </c>
      <c r="DE230" s="143" t="e">
        <f t="shared" ca="1" si="839"/>
        <v>#N/A</v>
      </c>
      <c r="DF230" s="145" t="e">
        <f ca="1">$DR230*EXP(-Control!$C$158*(1-$KH230))</f>
        <v>#N/A</v>
      </c>
      <c r="DG230" s="146" t="e">
        <f ca="1">IF(Control!$C$114=1, $DF230*$EY230, 0)</f>
        <v>#N/A</v>
      </c>
      <c r="DH230" s="147" t="e">
        <f t="shared" ca="1" si="840"/>
        <v>#N/A</v>
      </c>
      <c r="DI230" s="144" t="e">
        <f t="shared" ca="1" si="901"/>
        <v>#N/A</v>
      </c>
      <c r="DJ230" s="147" t="e">
        <f ca="1">$EF230*Control!$C$109</f>
        <v>#N/A</v>
      </c>
      <c r="DK230" s="144" t="e">
        <f t="shared" ca="1" si="841"/>
        <v>#N/A</v>
      </c>
      <c r="DL230" s="144" t="e">
        <f t="shared" ca="1" si="719"/>
        <v>#N/A</v>
      </c>
      <c r="DM230" s="144" t="e">
        <f ca="1">IF(Control!$C$114=1, (1-EXP(-Control!$C$96*$DK230))*$AR230, 0)</f>
        <v>#N/A</v>
      </c>
      <c r="DN230" s="144">
        <f t="shared" ca="1" si="842"/>
        <v>0</v>
      </c>
      <c r="DO230" s="148">
        <f>Control!$C$97</f>
        <v>4</v>
      </c>
      <c r="DP230" s="145" t="e">
        <f t="shared" ca="1" si="843"/>
        <v>#N/A</v>
      </c>
      <c r="DQ230" s="145" t="e">
        <f ca="1">IF(AND($CP230&gt;=0,$CP230&lt;=90),Control!$C$111,Control!$C$111)</f>
        <v>#N/A</v>
      </c>
      <c r="DR230" s="145" t="e">
        <f t="shared" ca="1" si="720"/>
        <v>#N/A</v>
      </c>
      <c r="DS230" s="143" t="e">
        <f ca="1">Control!$B$22/$DR230</f>
        <v>#N/A</v>
      </c>
      <c r="DT230" s="149" t="e">
        <f ca="1">IF(AND(Control!$C$114=1,$KH230&lt;1),$IM230*$DF230, 0)</f>
        <v>#N/A</v>
      </c>
      <c r="DU230" s="144" t="e">
        <f t="shared" ca="1" si="844"/>
        <v>#N/A</v>
      </c>
      <c r="DV230" s="144">
        <f ca="1">IF($G230-Control!$C$107&lt;=0, 0, 0.83*LN(MAX($G230, 3))-0.8924)</f>
        <v>0</v>
      </c>
      <c r="DW230" s="144" t="e">
        <f t="shared" ca="1" si="721"/>
        <v>#N/A</v>
      </c>
      <c r="DX230" s="150" t="e">
        <f ca="1">MAX(0.01*(1+$CU230/Control!$C$102),0.05*($DK230-Control!$C$97)/Control!$C$97)</f>
        <v>#N/A</v>
      </c>
      <c r="DY230" s="151" t="e">
        <f ca="1">IF(Control!$C$114=1, $DI230*$FS230, 0)</f>
        <v>#N/A</v>
      </c>
      <c r="DZ230" s="196" t="e">
        <f t="shared" ca="1" si="845"/>
        <v>#N/A</v>
      </c>
      <c r="EA230" s="152">
        <f t="shared" ca="1" si="846"/>
        <v>226</v>
      </c>
      <c r="EB230" s="153" t="e">
        <f t="shared" ca="1" si="847"/>
        <v>#N/A</v>
      </c>
      <c r="EC230" s="153" t="e">
        <f t="shared" ca="1" si="848"/>
        <v>#N/A</v>
      </c>
      <c r="ED230" s="154" t="e">
        <f ca="1">IF(Control!$C$114=1, $HM230*$FY230-$FD230, 0)</f>
        <v>#DIV/0!</v>
      </c>
      <c r="EE230" s="155" t="e">
        <f ca="1">IF(Control!$C$114=1, $HM230*$FZ230-$FF230, 0)</f>
        <v>#DIV/0!</v>
      </c>
      <c r="EF230" s="153" t="e">
        <f t="shared" ca="1" si="902"/>
        <v>#N/A</v>
      </c>
      <c r="EG230" s="155" t="e">
        <f ca="1">IF(Control!$C$114=1, $GX230*$FW230-$FI230, 0)</f>
        <v>#DIV/0!</v>
      </c>
      <c r="EH230" s="153" t="e">
        <f t="shared" ca="1" si="849"/>
        <v>#N/A</v>
      </c>
      <c r="EI230" s="156" t="e">
        <f t="shared" ca="1" si="850"/>
        <v>#N/A</v>
      </c>
      <c r="EJ230" s="155" t="e">
        <f ca="1">IF(Control!$C$114=1, $HM230*$GB230, 0)</f>
        <v>#DIV/0!</v>
      </c>
      <c r="EK230" s="153" t="e">
        <f t="shared" ca="1" si="903"/>
        <v>#N/A</v>
      </c>
      <c r="EL230" s="153" t="e">
        <f t="shared" ca="1" si="722"/>
        <v>#N/A</v>
      </c>
      <c r="EM230" s="153" t="e">
        <f t="shared" ca="1" si="723"/>
        <v>#N/A</v>
      </c>
      <c r="EN230" s="153" t="e">
        <f ca="1">IF(Control!$C$108=1,IF(AND(Control!$B$18=1,$EB230&gt;=Control!$B$19),$EB230-$DS230,IF(AND(Control!$B$18=2,$AW230=1,$EB230&gt;$DS230),$EB230-$DS230,0)))</f>
        <v>#N/A</v>
      </c>
      <c r="EO230" s="153" t="e">
        <f ca="1">IF(Control!$C$108=1,IF(AND(Control!$B$18=1,$EB230&gt;=Control!$B$19),$EF230,IF(AND(Control!$B$18=2,$AW230=1),$EF230,0)))</f>
        <v>#N/A</v>
      </c>
      <c r="EP230" s="153" t="e">
        <f ca="1">IF(Control!$C$108=1,IF(AND(Control!$B$18=1,$EB230&gt;=Control!$B$19),$EK230,IF(AND(Control!$B$18=2,$AW230=1),$EK230,0)))</f>
        <v>#N/A</v>
      </c>
      <c r="EQ230" s="153" t="e">
        <f t="shared" ca="1" si="851"/>
        <v>#N/A</v>
      </c>
      <c r="ER230" s="153" t="e">
        <f t="shared" ca="1" si="852"/>
        <v>#N/A</v>
      </c>
      <c r="ES230" s="153" t="e">
        <f t="shared" ca="1" si="904"/>
        <v>#N/A</v>
      </c>
      <c r="ET230" s="153" t="e">
        <f t="shared" ca="1" si="905"/>
        <v>#N/A</v>
      </c>
      <c r="EU230" s="153" t="e">
        <f t="shared" ca="1" si="853"/>
        <v>#N/A</v>
      </c>
      <c r="EV230" s="153" t="e">
        <f t="shared" ca="1" si="724"/>
        <v>#N/A</v>
      </c>
      <c r="EW230" s="153" t="e">
        <f t="shared" ca="1" si="725"/>
        <v>#N/A</v>
      </c>
      <c r="EX230" s="153" t="e">
        <f t="shared" ca="1" si="726"/>
        <v>#N/A</v>
      </c>
      <c r="EY230" s="157" t="e">
        <f t="shared" ca="1" si="727"/>
        <v>#DIV/0!</v>
      </c>
      <c r="EZ230" s="154" t="e">
        <f t="shared" ca="1" si="728"/>
        <v>#DIV/0!</v>
      </c>
      <c r="FA230" s="153" t="e">
        <f t="shared" ca="1" si="854"/>
        <v>#N/A</v>
      </c>
      <c r="FB230" s="153" t="e">
        <f t="shared" ca="1" si="729"/>
        <v>#N/A</v>
      </c>
      <c r="FC230" s="193" t="e">
        <f t="shared" ca="1" si="730"/>
        <v>#N/A</v>
      </c>
      <c r="FD230" s="158" t="e">
        <f t="shared" ca="1" si="855"/>
        <v>#N/A</v>
      </c>
      <c r="FE230" s="158" t="e">
        <f t="shared" ca="1" si="856"/>
        <v>#N/A</v>
      </c>
      <c r="FF230" s="159" t="e">
        <f t="shared" ca="1" si="731"/>
        <v>#N/A</v>
      </c>
      <c r="FG230" s="160" t="e">
        <f t="shared" ca="1" si="857"/>
        <v>#N/A</v>
      </c>
      <c r="FH230" s="158" t="e">
        <f t="shared" ca="1" si="858"/>
        <v>#N/A</v>
      </c>
      <c r="FI230" s="159" t="e">
        <f t="shared" ca="1" si="732"/>
        <v>#N/A</v>
      </c>
      <c r="FJ230" s="160" t="e">
        <f t="shared" ca="1" si="859"/>
        <v>#N/A</v>
      </c>
      <c r="FK230" s="160" t="e">
        <f t="shared" ca="1" si="733"/>
        <v>#N/A</v>
      </c>
      <c r="FL230" s="160" t="e">
        <f t="shared" ca="1" si="906"/>
        <v>#N/A</v>
      </c>
      <c r="FM230" s="160" t="e">
        <f t="shared" ca="1" si="734"/>
        <v>#N/A</v>
      </c>
      <c r="FN230" s="158">
        <f t="shared" ca="1" si="860"/>
        <v>0.01</v>
      </c>
      <c r="FO230" s="160">
        <f>Control!$C$101</f>
        <v>50</v>
      </c>
      <c r="FP230" s="150" t="e">
        <f t="shared" ca="1" si="735"/>
        <v>#N/A</v>
      </c>
      <c r="FQ230" s="150" t="e">
        <f ca="1">MAX(0,(Control!$C$112*(($DK230-Control!$C$97)/Control!$C$97)))</f>
        <v>#N/A</v>
      </c>
      <c r="FR230" s="150" t="e">
        <f ca="1">(1-$NT230)*Control!$C$113</f>
        <v>#DIV/0!</v>
      </c>
      <c r="FS230" s="198" t="e">
        <f t="shared" ca="1" si="736"/>
        <v>#N/A</v>
      </c>
      <c r="FT230" s="161">
        <f t="shared" ca="1" si="861"/>
        <v>226</v>
      </c>
      <c r="FU230" s="162" t="e">
        <f ca="1">IF(Control!$B$34=1,VLOOKUP($CP230,Control!$B$86:$G$91,6),Control!$B$35)</f>
        <v>#N/A</v>
      </c>
      <c r="FV230" s="162" t="e">
        <f t="shared" ca="1" si="737"/>
        <v>#DIV/0!</v>
      </c>
      <c r="FW230" s="162" t="e">
        <f ca="1">IF(Control!$B$31=1,$FU230*$FV230,  $FU230)</f>
        <v>#N/A</v>
      </c>
      <c r="FX230" s="162" t="e">
        <f ca="1">IF(Control!$B$34=1,VLOOKUP($CP230,Control!$B$86:$G$91,3),Control!$B$36)</f>
        <v>#N/A</v>
      </c>
      <c r="FY230" s="162" t="e">
        <f t="shared" ca="1" si="738"/>
        <v>#N/A</v>
      </c>
      <c r="FZ230" s="162" t="e">
        <f ca="1">IF(Control!$B$34=1,VLOOKUP($CP230,Control!$B$86:$G$91,4),Control!$B$37)</f>
        <v>#N/A</v>
      </c>
      <c r="GA230" s="162" t="e">
        <f t="shared" ca="1" si="739"/>
        <v>#N/A</v>
      </c>
      <c r="GB230" s="162" t="e">
        <f ca="1">IF(Control!$B$34=1,VLOOKUP($CP230,Control!$B$86:$G$91,5),Control!$B$38)</f>
        <v>#N/A</v>
      </c>
      <c r="GC230" s="162" t="e">
        <f t="shared" ca="1" si="862"/>
        <v>#N/A</v>
      </c>
      <c r="GD230" s="162">
        <f t="shared" ca="1" si="740"/>
        <v>1</v>
      </c>
      <c r="GE230" s="162">
        <f t="shared" ca="1" si="741"/>
        <v>1</v>
      </c>
      <c r="GF230" s="162">
        <f ca="1">IF(AND(Control!$C$104=1, Control!$C$62="F"),$GE230,1)</f>
        <v>1</v>
      </c>
      <c r="GG230" s="162" t="e">
        <f ca="1">IF(Control!$B$16=40,0,IF(AND(Control!$B$16&gt;40,Control!$B$16&lt;=360),(Control!$B$16-40)*((1-0)/(360-40)),IF(AND(Control!$B$16&gt;360,Control!$B$16&lt;=720),(1+(Control!$B$16-360)*((1.25-1)/(720-360))),IF(AND(Control!$B$16&gt;720,Control!$B$16&lt;=1000),(1.25+(Control!$B$16-720)*((1.35-1.25)/(1000-720))),IF(AND(Control!$B$16&gt;1000,Control!$B$16&lt;=2000),(1.35+(Control!$B$16-1000)*0))))))</f>
        <v>#N/A</v>
      </c>
      <c r="GH230" s="162" t="e">
        <f t="shared" ca="1" si="742"/>
        <v>#N/A</v>
      </c>
      <c r="GI230" s="162">
        <f t="shared" ca="1" si="863"/>
        <v>0</v>
      </c>
      <c r="GJ230" s="162">
        <f t="shared" ca="1" si="743"/>
        <v>0</v>
      </c>
      <c r="GK230" s="162">
        <f t="shared" ca="1" si="864"/>
        <v>1</v>
      </c>
      <c r="GL230" s="162">
        <f t="shared" ca="1" si="744"/>
        <v>1</v>
      </c>
      <c r="GM230" s="162" t="e">
        <f ca="1">MAX(0,MIN(1,1-Control!$C$156*(1.0001-$KH230)^2))</f>
        <v>#N/A</v>
      </c>
      <c r="GN230" s="162" t="e">
        <f ca="1">IF(Control!$B$26=1,$KU230,$KX230)</f>
        <v>#N/A</v>
      </c>
      <c r="GO230" s="162" t="e">
        <f ca="1">IF($CP230&lt;=60,Control!$C$105,IF($CP230&gt;=90,Control!$C$106,Control!$C$105+($CP230-60)*((Control!$C$106-Control!$C$105)/(90-60))))</f>
        <v>#N/A</v>
      </c>
      <c r="GP230" s="162" t="e">
        <f t="shared" ca="1" si="745"/>
        <v>#N/A</v>
      </c>
      <c r="GQ230" s="162" t="e">
        <f t="shared" ca="1" si="865"/>
        <v>#N/A</v>
      </c>
      <c r="GR230" s="163" t="e">
        <f t="shared" ca="1" si="746"/>
        <v>#DIV/0!</v>
      </c>
      <c r="GS230" s="162" t="e">
        <f t="shared" ca="1" si="747"/>
        <v>#DIV/0!</v>
      </c>
      <c r="GT230" s="164" t="e">
        <f t="shared" ca="1" si="866"/>
        <v>#N/A</v>
      </c>
      <c r="GU230" s="162" t="e">
        <f t="shared" ca="1" si="867"/>
        <v>#N/A</v>
      </c>
      <c r="GV230" s="162" t="e">
        <f t="shared" ca="1" si="748"/>
        <v>#N/A</v>
      </c>
      <c r="GW230" s="162" t="e">
        <f t="shared" ca="1" si="749"/>
        <v>#DIV/0!</v>
      </c>
      <c r="GX230" s="162" t="e">
        <f t="shared" ca="1" si="868"/>
        <v>#DIV/0!</v>
      </c>
      <c r="GY230" s="162" t="e">
        <f t="shared" ca="1" si="869"/>
        <v>#DIV/0!</v>
      </c>
      <c r="GZ230" s="165" t="e">
        <f t="shared" ca="1" si="750"/>
        <v>#N/A</v>
      </c>
      <c r="HA230" s="162" t="e">
        <f ca="1">IF(Control!$C$114=1, $DI230*$FS230, 0)</f>
        <v>#N/A</v>
      </c>
      <c r="HB230" s="162" t="e">
        <f ca="1">$FA230/Control!$C$64</f>
        <v>#N/A</v>
      </c>
      <c r="HC230" s="162" t="e">
        <f t="shared" ca="1" si="751"/>
        <v>#DIV/0!</v>
      </c>
      <c r="HD230" s="162">
        <f ca="1">-ASIN(SIN(23.45*Control!$C$139)*COS(2*Control!$C$138*($AH230+10)/365))</f>
        <v>0.24316813277476404</v>
      </c>
      <c r="HE230" s="165">
        <f t="shared" ca="1" si="870"/>
        <v>0</v>
      </c>
      <c r="HF230" s="166">
        <f ca="1">IF(AND(Control!$C$61="T",$HE230&gt;=Control!$C$103,Control!$C$114=0),$AH230,Control!$C$59)</f>
        <v>1</v>
      </c>
      <c r="HG230" s="166">
        <f ca="1">IF(AND(Control!$C$61="T",$HE230&gt;=Control!$C$103,Control!$C$114=0),$HF230,Control!$C$59)</f>
        <v>1</v>
      </c>
      <c r="HH230" s="165">
        <f ca="1">IF(AND(OR(Control!$C$60&lt;=0, $AH230= Control!$C$59, Control!$C$60 &gt;0, $AH230 = Control!$C$60)), Control!$C$59, IF(Control!$C$60&gt;0, 0))</f>
        <v>1</v>
      </c>
      <c r="HI230" s="165">
        <f ca="1">IF(AND(OR(Control!$C$60&lt;=0, $AH230= Control!$C$59, Control!$C$60 &gt;0, $AH230 = Control!$C$60)), Control!$C$60, IF(Control!$C$60&lt;=0, 0))</f>
        <v>0</v>
      </c>
      <c r="HJ230" s="166">
        <f ca="1">IF(AND(Control!$C$62="F",$CV230&gt;=Control!$C$102),$AH230,0)</f>
        <v>0</v>
      </c>
      <c r="HK230" s="165" t="e">
        <f t="shared" ca="1" si="907"/>
        <v>#N/A</v>
      </c>
      <c r="HL230" s="166">
        <f ca="1">IF(AND(Control!$C$61="T",$HE230&gt;=Control!$C$103,Control!$C$114=0),$HF230,0)</f>
        <v>0</v>
      </c>
      <c r="HM230" s="201" t="e">
        <f t="shared" ca="1" si="752"/>
        <v>#DIV/0!</v>
      </c>
      <c r="HN230" s="215">
        <f t="shared" ca="1" si="871"/>
        <v>226</v>
      </c>
      <c r="HO230" s="216" t="e">
        <f ca="1">IF(AND($CP230&gt;=0, $CP230&lt;=90), Control!$C$152, Control!$C$152)</f>
        <v>#N/A</v>
      </c>
      <c r="HP230" s="216" t="e">
        <f t="shared" ca="1" si="753"/>
        <v>#N/A</v>
      </c>
      <c r="HQ230" s="217" t="e">
        <f ca="1">IF(OR(Control!$B$26=1,Control!$B$26=2),$KV230,$KS230)</f>
        <v>#DIV/0!</v>
      </c>
      <c r="HR230" s="218" t="e">
        <f t="shared" ca="1" si="908"/>
        <v>#DIV/0!</v>
      </c>
      <c r="HS230" s="216" t="e">
        <f ca="1">Control!$C$154*$HP230</f>
        <v>#N/A</v>
      </c>
      <c r="HT230" s="216" t="e">
        <f ca="1">Control!$C$155*$HP230</f>
        <v>#N/A</v>
      </c>
      <c r="HU230" s="217" t="e">
        <f ca="1">Control!$C$161*$FI230</f>
        <v>#N/A</v>
      </c>
      <c r="HV230" s="218" t="e">
        <f t="shared" ca="1" si="872"/>
        <v>#N/A</v>
      </c>
      <c r="HW230" s="218" t="e">
        <f ca="1">Control!$C$160*$FF230+$IP230*$EO230</f>
        <v>#N/A</v>
      </c>
      <c r="HX230" s="218" t="e">
        <f t="shared" ca="1" si="909"/>
        <v>#N/A</v>
      </c>
      <c r="HY230" s="219" t="e">
        <f ca="1">IF(Control!$C$114=1, $EB230*$FS230, 0)</f>
        <v>#N/A</v>
      </c>
      <c r="HZ230" s="91" t="e">
        <f t="shared" ca="1" si="754"/>
        <v>#N/A</v>
      </c>
      <c r="IA230" s="220" t="e">
        <f ca="1">Control!$C$153*$HO230</f>
        <v>#N/A</v>
      </c>
      <c r="IB230" s="218" t="e">
        <f t="shared" ca="1" si="755"/>
        <v>#N/A</v>
      </c>
      <c r="IC230" s="220" t="e">
        <f ca="1">Control!$C$153*$HT230</f>
        <v>#N/A</v>
      </c>
      <c r="ID230" s="218" t="e">
        <f t="shared" ca="1" si="756"/>
        <v>#N/A</v>
      </c>
      <c r="IE230" s="221" t="e">
        <f ca="1">($EB230*Control!$C$159+$EF230*Control!$C$160)/(IF($GZ230&lt;&gt;0,$GZ230,1))</f>
        <v>#N/A</v>
      </c>
      <c r="IF230" s="216" t="e">
        <f t="shared" ca="1" si="757"/>
        <v>#N/A</v>
      </c>
      <c r="IG230" s="91">
        <f ca="1">IF(OR(Control!$B$198=$AH230,Control!$B$199=$AH230, Control!$B$200=$AH230, Control!$B$201=$AH230, Control!$B$202=$AH230, Control!$B$203=$AH230, Control!$B$204=$AH230, Control!$B$205=$AH230, Control!$B$206=$AH230, Control!$B$207=$AH230), 1, 0)</f>
        <v>0</v>
      </c>
      <c r="IH230" s="91">
        <f ca="1">IF($IG230=0,0, VLOOKUP($AH230,Control!$B$198:$C$207,2))</f>
        <v>0</v>
      </c>
      <c r="II230" s="222">
        <f t="shared" ca="1" si="873"/>
        <v>0</v>
      </c>
      <c r="IJ230" s="91">
        <f>Control!$C$121</f>
        <v>0.7</v>
      </c>
      <c r="IK230" s="218">
        <f t="shared" ca="1" si="758"/>
        <v>0</v>
      </c>
      <c r="IL230" s="217" t="e">
        <f t="shared" ca="1" si="910"/>
        <v>#N/A</v>
      </c>
      <c r="IM230" s="223" t="e">
        <f ca="1">IF(AND(Control!$C$114=1,$KH230&lt;1),$EB230*Control!$C$148*(1-$KH230), 0)</f>
        <v>#N/A</v>
      </c>
      <c r="IN230" s="217" t="e">
        <f t="shared" ca="1" si="759"/>
        <v>#DIV/0!</v>
      </c>
      <c r="IO230" s="91" t="e">
        <f ca="1">MAX(0,$IL230-$EF230*Control!$C$160)</f>
        <v>#N/A</v>
      </c>
      <c r="IP230" s="220" t="e">
        <f t="shared" ca="1" si="760"/>
        <v>#N/A</v>
      </c>
      <c r="IQ230" s="217" t="e">
        <f t="shared" ca="1" si="874"/>
        <v>#N/A</v>
      </c>
      <c r="IR230" s="218" t="e">
        <f t="shared" ca="1" si="761"/>
        <v>#N/A</v>
      </c>
      <c r="IS230" s="217" t="e">
        <f ca="1">Control!$C$159*MAX(0,$FD230-$EN230)</f>
        <v>#N/A</v>
      </c>
      <c r="IT230" s="217" t="e">
        <f t="shared" ca="1" si="911"/>
        <v>#N/A</v>
      </c>
      <c r="IU230" s="217" t="e">
        <f t="shared" ca="1" si="875"/>
        <v>#N/A</v>
      </c>
      <c r="IV230" s="217" t="e">
        <f t="shared" ca="1" si="912"/>
        <v>#N/A</v>
      </c>
      <c r="IW230" s="217" t="e">
        <f ca="1">IF(OR($AW230=1,AND($AW230=0, Control!$B$18=1,$EN230&lt;&gt;0)), $IQ230-$IU230, $IQ230)</f>
        <v>#N/A</v>
      </c>
      <c r="IX230" s="218" t="e">
        <f t="shared" ca="1" si="762"/>
        <v>#N/A</v>
      </c>
      <c r="IY230" s="218" t="e">
        <f ca="1">MAX(0,$IQ230-$EB230*Control!$C$159)</f>
        <v>#N/A</v>
      </c>
      <c r="IZ230" s="218" t="e">
        <f t="shared" ca="1" si="763"/>
        <v>#N/A</v>
      </c>
      <c r="JA230" s="216" t="e">
        <f t="shared" ca="1" si="764"/>
        <v>#N/A</v>
      </c>
      <c r="JB230" s="217" t="e">
        <f t="shared" ca="1" si="765"/>
        <v>#N/A</v>
      </c>
      <c r="JC230" s="222" t="e">
        <f ca="1">MAX(Control!$C$157*$EK230-$JT230, 0)/Control!$C$162</f>
        <v>#N/A</v>
      </c>
      <c r="JD230" s="218" t="e">
        <f t="shared" ca="1" si="766"/>
        <v>#N/A</v>
      </c>
      <c r="JE230" s="218" t="e">
        <f t="shared" ca="1" si="767"/>
        <v>#N/A</v>
      </c>
      <c r="JF230" s="218" t="e">
        <f t="shared" ca="1" si="876"/>
        <v>#N/A</v>
      </c>
      <c r="JG230" s="218" t="e">
        <f t="shared" ca="1" si="768"/>
        <v>#N/A</v>
      </c>
      <c r="JH230" s="217" t="e">
        <f t="shared" ca="1" si="877"/>
        <v>#N/A</v>
      </c>
      <c r="JI230" s="217" t="e">
        <f t="shared" ca="1" si="878"/>
        <v>#N/A</v>
      </c>
      <c r="JJ230" s="217" t="e">
        <f t="shared" ca="1" si="913"/>
        <v>#N/A</v>
      </c>
      <c r="JK230" s="217" t="e">
        <f ca="1">IF(Control!$C$114=1,IF(Control!$B$24=0,MAX(0,$JI230)*$GN230/Control!$C$64,(MAX(0,MIN($JI230,$JJ230*$GN230/Control!$C$64),0))))</f>
        <v>#N/A</v>
      </c>
      <c r="JL230" s="217" t="e">
        <f ca="1">$IK230/Control!$C$64-$JK230+$HQ230</f>
        <v>#N/A</v>
      </c>
      <c r="JM230" s="217" t="e">
        <f ca="1">IF(Control!$C$114=1,($JB230/(IF($JI230&lt;&gt;0,$JI230,1)))*$JK230,0)</f>
        <v>#N/A</v>
      </c>
      <c r="JN230" s="217" t="e">
        <f ca="1">IF(Control!$C$114=1,($JG230/(IF($JI230&lt;&gt;0,$JI230,1)))*$JK230, 0)</f>
        <v>#N/A</v>
      </c>
      <c r="JO230" s="218" t="e">
        <f t="shared" ca="1" si="769"/>
        <v>#N/A</v>
      </c>
      <c r="JP230" s="218" t="e">
        <f ca="1">MIN(($IY230+$IO230)*Control!$C$151, $JF230-$EH230*Control!$C$161)</f>
        <v>#N/A</v>
      </c>
      <c r="JQ230" s="218" t="e">
        <f t="shared" ca="1" si="770"/>
        <v>#N/A</v>
      </c>
      <c r="JR230" s="217" t="e">
        <f ca="1">IF($CP230-Control!$C$150&lt;0, 0, $JQ230/Control!$C$162)</f>
        <v>#N/A</v>
      </c>
      <c r="JS230" s="218" t="e">
        <f t="shared" ca="1" si="771"/>
        <v>#N/A</v>
      </c>
      <c r="JT230" s="218" t="e">
        <f t="shared" ca="1" si="879"/>
        <v>#N/A</v>
      </c>
      <c r="JU230" s="218" t="e">
        <f t="shared" ca="1" si="772"/>
        <v>#N/A</v>
      </c>
      <c r="JV230" s="218" t="e">
        <f t="shared" ca="1" si="773"/>
        <v>#N/A</v>
      </c>
      <c r="JW230" s="216" t="e">
        <f t="shared" ca="1" si="774"/>
        <v>#N/A</v>
      </c>
      <c r="JX230" s="91" t="e">
        <f t="shared" ca="1" si="775"/>
        <v>#N/A</v>
      </c>
      <c r="JY230" s="218" t="e">
        <f t="shared" ca="1" si="776"/>
        <v>#N/A</v>
      </c>
      <c r="JZ230" s="217" t="e">
        <f ca="1">IF(Control!$C$114=1,($IZ230/(IF($JI230&lt;&gt;0,$JI230,1)))*$JK230, 0)</f>
        <v>#N/A</v>
      </c>
      <c r="KA230" s="218" t="e">
        <f t="shared" ca="1" si="914"/>
        <v>#N/A</v>
      </c>
      <c r="KB230" s="218" t="e">
        <f t="shared" ca="1" si="880"/>
        <v>#N/A</v>
      </c>
      <c r="KC230" s="218" t="e">
        <f t="shared" ca="1" si="777"/>
        <v>#N/A</v>
      </c>
      <c r="KD230" s="218" t="e">
        <f t="shared" ca="1" si="778"/>
        <v>#N/A</v>
      </c>
      <c r="KE230" s="218" t="e">
        <f t="shared" ca="1" si="779"/>
        <v>#N/A</v>
      </c>
      <c r="KF230" s="218" t="e">
        <f t="shared" ca="1" si="780"/>
        <v>#N/A</v>
      </c>
      <c r="KG230" s="216" t="e">
        <f t="shared" ca="1" si="781"/>
        <v>#N/A</v>
      </c>
      <c r="KH230" s="221" t="e">
        <f ca="1">IF(Control!$B$24=0,1,MAX(0.001,MIN(1,IF(($IF230-$IE230)&lt;&gt;0,($KG230-$IE230)/($IF230-$IE230),1))))</f>
        <v>#N/A</v>
      </c>
      <c r="KI230" s="222" t="e">
        <f ca="1">IF(Control!$C$114=1, $KI229+ $KH229, 0)</f>
        <v>#N/A</v>
      </c>
      <c r="KJ230" s="217" t="e">
        <f t="shared" ca="1" si="782"/>
        <v>#N/A</v>
      </c>
      <c r="KK230" s="218" t="e">
        <f t="shared" ca="1" si="783"/>
        <v>#N/A</v>
      </c>
      <c r="KL230" s="274" t="e">
        <f ca="1">IF(Control!$B$26=3,4000000000*EXP(-8400/($G230+273)),IF(Control!$B$26=4,4000000000*EXP(-8400/($G230+273))*($KT230),0))</f>
        <v>#DIV/0!</v>
      </c>
      <c r="KM230" s="274" t="e">
        <f ca="1">IF(Control!$B$26=3,5600000000000*EXP(-9800/($G230+273)),IF(Control!$B$26=4,5600000000000*EXP(-9800/($G230+273))*$KT230,0))</f>
        <v>#DIV/0!</v>
      </c>
      <c r="KN230" s="454" t="e">
        <f t="shared" ca="1" si="881"/>
        <v>#DIV/0!</v>
      </c>
      <c r="KO230" s="274" t="e">
        <f t="shared" ca="1" si="882"/>
        <v>#DIV/0!</v>
      </c>
      <c r="KP230" s="454" t="e">
        <f t="shared" ca="1" si="784"/>
        <v>#DIV/0!</v>
      </c>
      <c r="KQ230" s="454" t="e">
        <f t="shared" ca="1" si="785"/>
        <v>#DIV/0!</v>
      </c>
      <c r="KR230" s="454" t="e">
        <f t="shared" ca="1" si="786"/>
        <v>#DIV/0!</v>
      </c>
      <c r="KS230" s="454" t="e">
        <f t="shared" ca="1" si="787"/>
        <v>#DIV/0!</v>
      </c>
      <c r="KT230" s="455" t="e">
        <f t="shared" ca="1" si="788"/>
        <v>#DIV/0!</v>
      </c>
      <c r="KU230" s="456" t="e">
        <f ca="1">IF($CP230-Control!$C$149&lt;0, IF($NT230-0.01&lt;0,0,1),0)</f>
        <v>#N/A</v>
      </c>
      <c r="KV230" s="456" t="e">
        <f ca="1">IF(Control!$C$114=1,MAX(0,MIN(Control!$C$125*$KW230*$GN230,$KW230)))</f>
        <v>#DIV/0!</v>
      </c>
      <c r="KW230" s="456" t="e">
        <f t="shared" ca="1" si="915"/>
        <v>#DIV/0!</v>
      </c>
      <c r="KX230" s="457" t="e">
        <f ca="1">IF($CP230-Control!$C$149&lt;0, IF($MR230-$OM230&lt;0,0,1),0)</f>
        <v>#N/A</v>
      </c>
      <c r="KY230" s="167">
        <f t="shared" ca="1" si="883"/>
        <v>226</v>
      </c>
      <c r="KZ230" s="168">
        <f ca="1">1370*(1+0.033*COS(2*Control!$C$138*$AH230/365))</f>
        <v>1336.8842230235948</v>
      </c>
      <c r="LA230" s="169">
        <f t="shared" ca="1" si="884"/>
        <v>0.97582769563675187</v>
      </c>
      <c r="LB230" s="169">
        <f t="shared" ca="1" si="885"/>
        <v>0.24464053657572624</v>
      </c>
      <c r="LC230" s="169">
        <f ca="1">ACOS(-TAN((2*Control!$B$8/360))*TAN(Calculations!$LB230))</f>
        <v>1.6450585847504762</v>
      </c>
      <c r="LD230" s="169">
        <f ca="1">((24*60)/PI())*0.082*$LA230*(($LC230*SIN(Control!$B$8*2*PI()/360))*SIN($LB230)+COS(Control!$B$8*2*PI()/360)*COS($LB230)*SIN($LC230))</f>
        <v>33.364153602688177</v>
      </c>
      <c r="LE230" s="170">
        <f t="shared" ca="1" si="789"/>
        <v>34.00977051675342</v>
      </c>
      <c r="LF230" s="170">
        <f ca="1">SIN(Control!$C$139*Control!$B$8)*SIN($HD230)</f>
        <v>0.18973656360087349</v>
      </c>
      <c r="LG230" s="170">
        <f ca="1">COS(Control!$C$139*Control!$B$8)*COS($HD230)</f>
        <v>0.59754710873317551</v>
      </c>
      <c r="LH230" s="170">
        <f ca="1">12*(1+2*ASIN(MAX(-1,MIN(1,$LF230/$LG230))/Control!$C$138))</f>
        <v>14.429861032496547</v>
      </c>
      <c r="LI230" s="170">
        <f ca="1">12*(1+2*ASIN(MAX(-1,MIN(1,(-SIN(-4*Control!$C$139)+$LF230)/$LG230))/Control!$C$138))</f>
        <v>15.328181733491531</v>
      </c>
      <c r="LJ230" s="168">
        <f ca="1">3600*($LH230*$LF230+24*$LG230*SQRT(1-$LK230*$LK230)/Control!$C$138)</f>
        <v>25439.578036035495</v>
      </c>
      <c r="LK230" s="170">
        <f t="shared" ca="1" si="790"/>
        <v>0.31752569935970876</v>
      </c>
      <c r="LL230" s="170">
        <f t="shared" ca="1" si="791"/>
        <v>0</v>
      </c>
      <c r="LM230" s="171">
        <f ca="1">Control!$C$145*$AB230</f>
        <v>6.6660906138995932E-2</v>
      </c>
      <c r="LN230" s="170">
        <f t="shared" ca="1" si="886"/>
        <v>0.54</v>
      </c>
      <c r="LO230" s="170">
        <f t="shared" ca="1" si="792"/>
        <v>0</v>
      </c>
      <c r="LP230" s="170">
        <f ca="1">Control!$C$140*((($D230+273.16)^4+($E230+273.16)^4)/2)*(0.34-0.14*SQRT($Y230))*(1.35*$AQ230/(0.75*$LD230)-0.35)</f>
        <v>-3.2464704755046001</v>
      </c>
      <c r="LQ230" s="170">
        <f ca="1">Control!$C$140*($G230+273)^4*(0.56-0.079*SQRT($Y230*10))*(0.1+0.9*$LO230)</f>
        <v>1.5241745131704001</v>
      </c>
      <c r="LR230" s="170">
        <f ca="1">$AQ230*(1-Control!$C$142)-$LQ230</f>
        <v>-1.5241745131704001</v>
      </c>
      <c r="LS230" s="170">
        <f ca="1">$AQ230*(1-Control!$C$143)-$LQ230</f>
        <v>-1.5241745131704001</v>
      </c>
      <c r="LT230" s="170">
        <f ca="1">$AQ230*(1-Control!$C$144)-$LQ230</f>
        <v>-1.5241745131704001</v>
      </c>
      <c r="LU230" s="169">
        <f ca="1">(1-Control!$C$144)*AQ230-LP230</f>
        <v>3.2464704755046001</v>
      </c>
      <c r="LV230" s="172">
        <f t="shared" ca="1" si="793"/>
        <v>0.79430000000000012</v>
      </c>
      <c r="LW230" s="170">
        <f t="shared" ca="1" si="794"/>
        <v>1.5886000000000002</v>
      </c>
      <c r="LX230" s="170">
        <f ca="1">($AC230*($LR230/Control!$C$141)+$LM230*$LV230)/($AC230+$LM230)</f>
        <v>0.23530094218323697</v>
      </c>
      <c r="LY230" s="170">
        <f ca="1">($AC230*($LS230/Control!$C$141)+$LM230*$LV230)/($AC230+$LM230)</f>
        <v>0.23530094218323697</v>
      </c>
      <c r="LZ230" s="170">
        <f t="shared" ca="1" si="795"/>
        <v>0.23530094218323697</v>
      </c>
      <c r="MA230" s="170">
        <f t="shared" ca="1" si="796"/>
        <v>0.23530094218323697</v>
      </c>
      <c r="MB230" s="170" t="e">
        <f t="shared" ca="1" si="797"/>
        <v>#N/A</v>
      </c>
      <c r="MC230" s="170">
        <f t="shared" ca="1" si="887"/>
        <v>0.6018</v>
      </c>
      <c r="MD230" s="170">
        <f t="shared" ca="1" si="798"/>
        <v>0.52989392535414004</v>
      </c>
      <c r="ME230" s="170">
        <f ca="1">($AC230*($LT230/Control!$C$141)+$LM230*$LW230)/($AC230+$LM230)</f>
        <v>0.71612369323045078</v>
      </c>
      <c r="MF230" s="170" t="e">
        <f ca="1">IF(Control!$B$16&gt;=1000,0.92,IF(AND(720&lt;=Control!$B$16,1000&gt;Control!$B$16),(0.95+(Control!$B$16-720)*((0.92-0.95)/(1000-720))),IF(AND(360&lt;=Control!$B$16,720&gt;Control!$B$16),(1+(Control!$B$16-360)*((0.95-1)/(720-360))),IF(AND(40&lt;=Control!$B$16,360&gt;Control!$B$16),(1.05+(Control!$B$16-40)*((1.05-1)/(360-40)))))))</f>
        <v>#N/A</v>
      </c>
      <c r="MG230" s="170">
        <f t="shared" ca="1" si="799"/>
        <v>0.71612369323045078</v>
      </c>
      <c r="MH230" s="170" t="e">
        <f t="shared" ca="1" si="925"/>
        <v>#N/A</v>
      </c>
      <c r="MI230" s="170" t="e">
        <f t="shared" ca="1" si="925"/>
        <v>#N/A</v>
      </c>
      <c r="MJ230" s="170" t="e">
        <f ca="1">MAX(0.0001, Control!$C$132*$MI230*$DL230)</f>
        <v>#N/A</v>
      </c>
      <c r="MK230" s="170">
        <f ca="1">1/(0.76+1.5*($MG230/10))-(5-Control!$C$110)*0.1</f>
        <v>1.002845988140797</v>
      </c>
      <c r="ML230" s="173">
        <f ca="1">IF(Control!$C$110&lt;3,$MK230+($MG230-0.6)/(Control!$C$110*(Control!$C$110+3)), MAX(0.1, MIN(0.95,$MK230)))</f>
        <v>0.95</v>
      </c>
      <c r="MM230" s="173">
        <f ca="1">IF(Control!$C$110&lt;3,$MK230+(($MI230/10)-0.6)/(Control!$C$110*(Control!$C$110+3)), MAX(0.1, MIN(0.95,$MK230)))</f>
        <v>0.95</v>
      </c>
      <c r="MN230" s="173">
        <f ca="1">(1-$MM230)*(Control!$C$128-Control!$C$127)+Control!$C$127</f>
        <v>0.16</v>
      </c>
      <c r="MO230" s="170" t="e">
        <f ca="1">MAX(0,MIN(1,($MS230-Control!$C$127)/($MN230-Control!$C$127)))</f>
        <v>#DIV/0!</v>
      </c>
      <c r="MP230" s="173" t="e">
        <f ca="1">1/(0.76+1.5*$MI230)-(5-Control!$C$110)*0.1</f>
        <v>#N/A</v>
      </c>
      <c r="MQ230" s="172" t="e">
        <f t="shared" ca="1" si="916"/>
        <v>#DIV/0!</v>
      </c>
      <c r="MR230" s="168" t="e">
        <f t="shared" ca="1" si="888"/>
        <v>#DIV/0!</v>
      </c>
      <c r="MS230" s="173" t="e">
        <f ca="1">MAX(Control!$C$127, MIN(Control!$C$135, $MR230/MAX(0.0001,$CY230)))</f>
        <v>#DIV/0!</v>
      </c>
      <c r="MT230" s="168" t="e">
        <f ca="1">(Control!$C$128-$MS230)*Control!$C$74</f>
        <v>#DIV/0!</v>
      </c>
      <c r="MU230" s="168" t="e">
        <f ca="1">(Control!$C$135-$MS230)*Control!$C$74</f>
        <v>#DIV/0!</v>
      </c>
      <c r="MV230" s="168" t="e">
        <f t="shared" ca="1" si="889"/>
        <v>#DIV/0!</v>
      </c>
      <c r="MW230" s="168" t="e">
        <f t="shared" ca="1" si="890"/>
        <v>#DIV/0!</v>
      </c>
      <c r="MX230" s="171" t="e">
        <f ca="1">MAX(Control!$C$127, MIN(Control!$C$135, $MW230/MAX(0.0001,Control!$C$119-$CY230)))</f>
        <v>#DIV/0!</v>
      </c>
      <c r="MY230" s="54" t="e">
        <f ca="1">IF(Control!$C$114=1, $CX230*$MX230, 0)</f>
        <v>#DIV/0!</v>
      </c>
      <c r="MZ230" s="54" t="e">
        <f t="shared" ca="1" si="891"/>
        <v>#N/A</v>
      </c>
      <c r="NA230" s="168" t="e">
        <f ca="1">(Control!$C$128-$MX230)*(Control!$C$119-Control!$C$74)</f>
        <v>#DIV/0!</v>
      </c>
      <c r="NB230" s="168" t="e">
        <f ca="1">(Control!$C$135-$MX230)*(Control!$C$119-Control!$C$74)</f>
        <v>#DIV/0!</v>
      </c>
      <c r="NC230" s="174" t="e">
        <f t="shared" ca="1" si="892"/>
        <v>#DIV/0!</v>
      </c>
      <c r="ND230" s="54">
        <f ca="1">IF(Control!$C$58=2, IF(OR(Control!$B$218=$AH230,Control!$B$219=$AH230, Control!$B$220=$AH230, Control!$B$221=$AH230, Control!$B$222=$AH230, Control!$B$223=$AH230, Control!$B$224=$AH230, Control!$B$225=$AH230, Control!$B$226=$AH230, Control!$B$227=$AH230, Control!$B$228=$AH230), 1, 0), 0)</f>
        <v>0</v>
      </c>
      <c r="NE230" s="54">
        <f ca="1">IF($ND230=0,0, VLOOKUP($AH230,Control!$B$218:$C$228,2))</f>
        <v>0</v>
      </c>
      <c r="NF230" s="168" t="e">
        <f ca="1">$CY230*(Control!$C$128-Control!$C$127)</f>
        <v>#N/A</v>
      </c>
      <c r="NG230" s="54" t="e">
        <f ca="1">IF(Control!$C$58=2, $NI229-$NJ229, 0)</f>
        <v>#DIV/0!</v>
      </c>
      <c r="NH230" s="54" t="e">
        <f ca="1">IF(AND(Control!$C$58=1, $MS229&lt;= ($MN229+0.02), $I229&lt;10), 0, IF(Control!$C$58=2, $NG229, 0))</f>
        <v>#DIV/0!</v>
      </c>
      <c r="NI230" s="54" t="e">
        <f ca="1">IF(Control!$C$58=2, $NE230+$NH230,0)</f>
        <v>#DIV/0!</v>
      </c>
      <c r="NJ230" s="54" t="e">
        <f ca="1">IF(AND(Control!$C$58=1, $MS230&lt;= ($MN230+0.02), $I230&lt;10), MAX(0, MIN(10, 0.7*($NF230-$MV230))), IF(Control!$C$58=2, MIN(10,$NI230),0))</f>
        <v>#DIV/0!</v>
      </c>
      <c r="NK230" s="54" t="e">
        <f t="shared" ca="1" si="800"/>
        <v>#DIV/0!</v>
      </c>
      <c r="NL230" s="173" t="e">
        <f ca="1">(1-Control!$C$73)*$I230+$NJ230</f>
        <v>#DIV/0!</v>
      </c>
      <c r="NM230" s="172" t="e">
        <f ca="1">IF($NL230&lt;0.5, $MB230* MAX(0, MIN(1, (SQRT($NC230)-SQRT($NC230-1))*Control!$C$71)),0)</f>
        <v>#DIV/0!</v>
      </c>
      <c r="NN230" s="170" t="e">
        <f ca="1">IF($NL230&gt;=5, $MB230, MAX(0,MIN($MB230, $NM230+$NL230,($MS230-Control!$C$129))))</f>
        <v>#DIV/0!</v>
      </c>
      <c r="NO230" s="54">
        <f>IF(Control!$C$133&lt;&gt;1, Control!$C$135-Control!$C$131, 0)</f>
        <v>0.38</v>
      </c>
      <c r="NP230" s="54" t="e">
        <f t="shared" ca="1" si="801"/>
        <v>#DIV/0!</v>
      </c>
      <c r="NQ230" s="173" t="e">
        <f ca="1">MAX(0,MIN(1,(Control!$C$135-$MS230)/(Control!$C$135-$NO230)))</f>
        <v>#DIV/0!</v>
      </c>
      <c r="NR230" s="170" t="e">
        <f ca="1">IF(Control!$C$133&lt;&gt;1, $NQ230+((1-$NP230/4)*(1-$NQ230)),1)</f>
        <v>#DIV/0!</v>
      </c>
      <c r="NS230" s="170" t="e">
        <f ca="1">IF(Control!$B$31=0,$MJ230,MAX(0,MIN($MV230,$MO230*$NR230*$MJ230)))</f>
        <v>#DIV/0!</v>
      </c>
      <c r="NT230" s="170" t="e">
        <f t="shared" ca="1" si="917"/>
        <v>#DIV/0!</v>
      </c>
      <c r="NU230" s="170" t="e">
        <f t="shared" ca="1" si="893"/>
        <v>#N/A</v>
      </c>
      <c r="NV230" s="170" t="e">
        <f t="shared" ca="1" si="802"/>
        <v>#N/A</v>
      </c>
      <c r="NW230" s="175" t="e">
        <f t="shared" ca="1" si="803"/>
        <v>#DIV/0!</v>
      </c>
      <c r="NX230" s="170" t="e">
        <f ca="1">MIN(Control!$C$72+$MU230, $NW230)</f>
        <v>#DIV/0!</v>
      </c>
      <c r="NY230" s="170" t="e">
        <f ca="1">IF($MT230&lt;=$NX230,MIN(Control!$C$72+$NB230,$NX230-$MT230),0)</f>
        <v>#DIV/0!</v>
      </c>
      <c r="NZ230" s="54" t="e">
        <f ca="1">IF(Control!$C$114=1,  $CX230*($MX230-Control!$C$127), 0)</f>
        <v>#DIV/0!</v>
      </c>
      <c r="OA230" s="170" t="e">
        <f t="shared" ca="1" si="804"/>
        <v>#DIV/0!</v>
      </c>
      <c r="OB230" s="170" t="e">
        <f ca="1">IF($NA230 &lt;=$NY230, MIN(Control!$C$72, $NY230-$NA230), 0)</f>
        <v>#DIV/0!</v>
      </c>
      <c r="OC230" s="168" t="e">
        <f t="shared" ca="1" si="805"/>
        <v>#DIV/0!</v>
      </c>
      <c r="OD230" s="168" t="e">
        <f t="shared" ca="1" si="894"/>
        <v>#DIV/0!</v>
      </c>
      <c r="OE230" s="170">
        <f ca="1">Control!$C$73*$I230</f>
        <v>0</v>
      </c>
      <c r="OF230" s="176" t="e">
        <f t="shared" ca="1" si="806"/>
        <v>#DIV/0!</v>
      </c>
      <c r="OG230" s="168" t="e">
        <f t="shared" ca="1" si="807"/>
        <v>#DIV/0!</v>
      </c>
      <c r="OH230" s="168" t="e">
        <f t="shared" ca="1" si="808"/>
        <v>#DIV/0!</v>
      </c>
      <c r="OI230" s="168" t="e">
        <f t="shared" ca="1" si="809"/>
        <v>#DIV/0!</v>
      </c>
      <c r="OJ230" s="168" t="e">
        <f t="shared" ca="1" si="810"/>
        <v>#DIV/0!</v>
      </c>
      <c r="OK230" s="204" t="e">
        <f t="shared" ca="1" si="811"/>
        <v>#DIV/0!</v>
      </c>
      <c r="OL230" s="177">
        <f>Control!$C$127</f>
        <v>0.15</v>
      </c>
      <c r="OM230" s="182" t="e">
        <f t="shared" ca="1" si="812"/>
        <v>#N/A</v>
      </c>
      <c r="ON230" s="177">
        <f>Control!$C$128</f>
        <v>0.35</v>
      </c>
      <c r="OO230" s="182" t="e">
        <f t="shared" ca="1" si="813"/>
        <v>#N/A</v>
      </c>
      <c r="OP230" s="138">
        <f t="shared" ca="1" si="895"/>
        <v>0</v>
      </c>
      <c r="OQ230" s="138" t="e">
        <f t="shared" ca="1" si="918"/>
        <v>#DIV/0!</v>
      </c>
      <c r="OR230" s="138" t="e">
        <f t="shared" ca="1" si="896"/>
        <v>#DIV/0!</v>
      </c>
      <c r="OS230" s="137" t="e">
        <f t="shared" ca="1" si="919"/>
        <v>#DIV/0!</v>
      </c>
      <c r="OT230" s="139" t="e">
        <f t="shared" ca="1" si="920"/>
        <v>#DIV/0!</v>
      </c>
      <c r="OU230" s="138" t="e">
        <f t="shared" ca="1" si="921"/>
        <v>#N/A</v>
      </c>
      <c r="OV230" s="138" t="e">
        <f t="shared" ca="1" si="922"/>
        <v>#DIV/0!</v>
      </c>
      <c r="OW230" s="138" t="e">
        <f t="shared" ca="1" si="897"/>
        <v>#DIV/0!</v>
      </c>
      <c r="OX230" s="138" t="e">
        <f t="shared" ca="1" si="898"/>
        <v>#DIV/0!</v>
      </c>
      <c r="OY230" s="138" t="e">
        <f t="shared" ca="1" si="899"/>
        <v>#DIV/0!</v>
      </c>
      <c r="OZ230" s="138" t="e">
        <f t="shared" ca="1" si="814"/>
        <v>#DIV/0!</v>
      </c>
      <c r="PA230" s="138" t="e">
        <f t="shared" ca="1" si="815"/>
        <v>#DIV/0!</v>
      </c>
      <c r="PB230" s="55">
        <f>IF(Control!$C$61="T", IF(Control!$C$65="F", IF($AH$6-Control!$C$60&lt;0,0,1), IF(365+$AH$6-Control!$C$60&lt;0,0,1)),0)</f>
        <v>0</v>
      </c>
      <c r="PC230" s="55">
        <f ca="1">IF(Control!$C$65="F", IF($AH$6-$HF230&lt;0,0,1), IF(365+$AH$6-$HF230&lt;0,0,1))</f>
        <v>1</v>
      </c>
      <c r="PD230" s="444">
        <f>Control!$C$118</f>
        <v>1500</v>
      </c>
      <c r="PE230" s="180" t="e">
        <f t="shared" ca="1" si="816"/>
        <v>#N/A</v>
      </c>
      <c r="PF230" s="445">
        <f t="shared" ca="1" si="900"/>
        <v>0.71612369323045078</v>
      </c>
      <c r="PT230" s="186"/>
      <c r="PU230" s="186"/>
      <c r="PV230" s="94"/>
      <c r="PW230" s="94"/>
      <c r="PX230" s="94"/>
      <c r="PY230" s="94"/>
      <c r="PZ230" s="94"/>
      <c r="QA230" s="94"/>
      <c r="QB230" s="94"/>
      <c r="QC230" s="94"/>
      <c r="QD230" s="94"/>
      <c r="QE230" s="94"/>
      <c r="QF230" s="94"/>
      <c r="QG230" s="94"/>
      <c r="QH230" s="94"/>
      <c r="QI230" s="94"/>
      <c r="QJ230" s="94"/>
      <c r="QK230" s="94"/>
      <c r="QL230" s="94"/>
      <c r="QM230" s="94"/>
      <c r="QN230" s="94"/>
      <c r="QO230" s="94"/>
      <c r="QP230" s="94"/>
    </row>
    <row r="231" spans="1:458" s="2" customFormat="1" x14ac:dyDescent="0.2">
      <c r="A231" s="395">
        <v>14</v>
      </c>
      <c r="B231" s="396">
        <v>8</v>
      </c>
      <c r="C231" s="387">
        <f ca="1">Weather_data!$B230</f>
        <v>0</v>
      </c>
      <c r="D231" s="388">
        <f ca="1">Weather_data!$F230</f>
        <v>0</v>
      </c>
      <c r="E231" s="388">
        <f ca="1">Weather_data!$E230</f>
        <v>0</v>
      </c>
      <c r="F231" s="388">
        <f t="shared" ca="1" si="817"/>
        <v>0</v>
      </c>
      <c r="G231" s="388">
        <f ca="1">AVERAGE($D231:$E231)+Control!$B$9</f>
        <v>0</v>
      </c>
      <c r="H231" s="388">
        <f ca="1">Weather_data!$G230</f>
        <v>0</v>
      </c>
      <c r="I231" s="388">
        <f ca="1">Weather_data!$I230</f>
        <v>0</v>
      </c>
      <c r="J231" s="388">
        <f ca="1">Weather_data!$H230</f>
        <v>0</v>
      </c>
      <c r="K231" s="389">
        <f ca="1">Weather_data!$D230</f>
        <v>0</v>
      </c>
      <c r="L231" s="388" t="e">
        <f t="shared" ca="1" si="818"/>
        <v>#N/A</v>
      </c>
      <c r="M231" s="388" t="e">
        <f t="shared" ca="1" si="696"/>
        <v>#N/A</v>
      </c>
      <c r="N231" s="388">
        <f t="shared" ca="1" si="697"/>
        <v>-2.5324135475552453E-11</v>
      </c>
      <c r="O231" s="388">
        <f t="shared" ca="1" si="819"/>
        <v>2.5324135475552453E-10</v>
      </c>
      <c r="P231" s="390">
        <v>3</v>
      </c>
      <c r="Q231" s="388">
        <f ca="1">MAX($G231-Control!$C$107,0)</f>
        <v>0</v>
      </c>
      <c r="R231" s="388">
        <f t="shared" ca="1" si="820"/>
        <v>0</v>
      </c>
      <c r="S231" s="388">
        <f t="shared" ca="1" si="698"/>
        <v>0</v>
      </c>
      <c r="T231" s="388">
        <f t="shared" ca="1" si="699"/>
        <v>0</v>
      </c>
      <c r="U231" s="59">
        <f t="shared" ca="1" si="700"/>
        <v>0</v>
      </c>
      <c r="V231" s="391">
        <f ca="1">MAX(0,MIN(Control!$C$100-Control!$C$99,$G231-Control!$C$99)*Control!$C$63)</f>
        <v>0</v>
      </c>
      <c r="W231" s="388">
        <f t="shared" ca="1" si="821"/>
        <v>0</v>
      </c>
      <c r="X231" s="388">
        <f t="shared" ca="1" si="822"/>
        <v>0.6110000000000001</v>
      </c>
      <c r="Y231" s="388">
        <f t="shared" ca="1" si="701"/>
        <v>0</v>
      </c>
      <c r="Z231" s="388">
        <f t="shared" ca="1" si="823"/>
        <v>0.61058800000000002</v>
      </c>
      <c r="AA231" s="388">
        <f t="shared" ca="1" si="702"/>
        <v>0.6018</v>
      </c>
      <c r="AB231" s="388">
        <f ca="1">101.3*EXP(-0.034*Control!$C$66/($G231+273))</f>
        <v>100.69623283836242</v>
      </c>
      <c r="AC231" s="392">
        <f t="shared" ca="1" si="703"/>
        <v>4.3460251046025113E-2</v>
      </c>
      <c r="AD231" s="392">
        <f t="shared" ca="1" si="704"/>
        <v>4.4450382862832649E-2</v>
      </c>
      <c r="AE231" s="388">
        <f t="shared" ca="1" si="705"/>
        <v>0</v>
      </c>
      <c r="AF231" s="388">
        <f ca="1">MAX(0,$G231-Control!$C$92)</f>
        <v>0</v>
      </c>
      <c r="AG231" s="393">
        <f t="shared" ca="1" si="706"/>
        <v>227</v>
      </c>
      <c r="AH231" s="389">
        <f t="shared" ca="1" si="707"/>
        <v>227</v>
      </c>
      <c r="AI231" s="388">
        <f t="shared" ca="1" si="824"/>
        <v>0.23751604937313353</v>
      </c>
      <c r="AJ231" s="388">
        <f ca="1">IF(Control!$C$60&lt;=0,$HH231,$HI231)</f>
        <v>1</v>
      </c>
      <c r="AK231" s="388">
        <f t="shared" ca="1" si="708"/>
        <v>2.5304883291928748</v>
      </c>
      <c r="AL231" s="388">
        <f t="shared" ca="1" si="709"/>
        <v>-9.1970753929304645E-18</v>
      </c>
      <c r="AM231" s="388">
        <f t="shared" ca="1" si="710"/>
        <v>2.5304883291928748</v>
      </c>
      <c r="AN231" s="388">
        <f t="shared" ca="1" si="711"/>
        <v>0.2302763711970936</v>
      </c>
      <c r="AO231" s="388">
        <f ca="1">-0.10453/COS(Control!$B$8*PI()/180)*COS(AN231)</f>
        <v>-0.16530311283166949</v>
      </c>
      <c r="AP231" s="388">
        <f ca="1">ACOS(AO231-TAN(Control!$B$8*PI()/180)*TAN(AN231))</f>
        <v>2.0548445173651508</v>
      </c>
      <c r="AQ231" s="388">
        <f t="shared" ca="1" si="825"/>
        <v>0</v>
      </c>
      <c r="AR231" s="394">
        <f t="shared" ca="1" si="712"/>
        <v>0</v>
      </c>
      <c r="AS231" s="436">
        <f ca="1">IF(Control!$B$18=2,(IF(OR($AH231=Control!$B$175,$AH231=Control!$B$176,$AH231=Control!$B$177,$AH231=Control!$B$178,$AH231=Control!$B$179,$AH231=Control!$B$180,$AH231=Control!$B$181,$AH231=Control!$B$182,$AH231=Control!$B$183,$AH231=Control!$B$184,$AH231=Control!$B$185),1,0)),0)</f>
        <v>0</v>
      </c>
      <c r="AT231" s="436">
        <f>IF(Control!$B$20=8,IF(AND($AH231&gt;=Control!$B$172,$AH231&lt;=Control!$B$173),1,0),0)</f>
        <v>0</v>
      </c>
      <c r="AU231" s="436">
        <f>IF(Control!$B$20=8,IF($AV230=1,1*$AT231,IF($AT231=1,$AU230+1,$AU230)),0)</f>
        <v>0</v>
      </c>
      <c r="AV231" s="436">
        <f>IF(Control!$B$20=8,IF($AU231&gt;=Control!$B$174,1,0),0)</f>
        <v>0</v>
      </c>
      <c r="AW231" s="436">
        <f ca="1">IF(AND(Control!$B$18=2,Control!$B$171=1), $AV231, $AS231)</f>
        <v>0</v>
      </c>
      <c r="AX231" s="436" t="e">
        <f ca="1">IF(AND(Control!$B$18=1,$EU231&gt;=Control!$B$19),-$AY231,IF(AND(Control!$B$18=2,$AW231=1,$EU231&gt;$DS231),-$AY231, IF(Control!$C$108=0,0, IF(Control!$C$108&lt;&gt;0,1))))</f>
        <v>#N/A</v>
      </c>
      <c r="AY231" s="436" t="e">
        <f t="shared" ca="1" si="826"/>
        <v>#N/A</v>
      </c>
      <c r="AZ231" s="436" t="e">
        <f ca="1">IF(AND(Control!$B$18=1,$EB231&gt;Control!$B$19),$AZ230+1, IF(AND(Control!$B$18=2, $AW231=1, $EB231&gt;$DS231), $AZ230+1,$AZ230))</f>
        <v>#N/A</v>
      </c>
      <c r="BA231" s="587">
        <f>IF(Control!$C$81=0,1,IF($AH231&gt;=Control!$C$82,1,0))</f>
        <v>1</v>
      </c>
      <c r="BB231" s="140" t="e">
        <f ca="1">IF($BA231&gt;$BA230,Control!$C$83,IF($AW231&gt;0,$AW231*Control!$C$84,IF(AND(Control!$B$18=1,EN230&lt;&gt;0),Control!$C$84,0)))</f>
        <v>#N/A</v>
      </c>
      <c r="BC231" s="140" t="e">
        <f t="shared" ca="1" si="827"/>
        <v>#N/A</v>
      </c>
      <c r="BD231" s="140" t="e">
        <f ca="1">BC231*IF(OR($G231&lt;Control!$C$92,$G231&gt;Control!$C$95),0,IF(AND($G231&gt;=Control!$C$92,$G231&lt;=Control!$C$93),$G231-Control!$C$92,IF(AND($G231&gt;Control!$C$93,$G231&lt;=Control!$C$94),Control!$C$93-Control!$C$92,IF(AND($G231&gt;Control!$C$94,$G231&lt;=Control!$C$95),(Control!$C$93-Control!$C$92)*(Control!$C$94-$G231)/(Control!$C$95-Control!$C$94)))))</f>
        <v>#N/A</v>
      </c>
      <c r="BE231" s="140" t="e">
        <f t="shared" ca="1" si="828"/>
        <v>#N/A</v>
      </c>
      <c r="BF231" s="140" t="e">
        <f ca="1">IF($BE231&lt;=Control!$C$86,$BE231,Control!$C$86-$BE231)</f>
        <v>#N/A</v>
      </c>
      <c r="BG231" s="140" t="e">
        <f ca="1">IF(AND($AW231=1,Control!$C$84&lt;9),1,IF($BE231&gt;=Control!$C$86,0,$BC231))</f>
        <v>#N/A</v>
      </c>
      <c r="BH231" s="404" t="e">
        <f ca="1">IF($BG231=0,0,IF($BE231&lt;=Control!$C$86,$BC231*9*($BF231/Control!$C$86),0))</f>
        <v>#N/A</v>
      </c>
      <c r="BI231" s="140" t="e">
        <f ca="1">IF($BG231=1,0,IF($BE231&gt;=Control!$C$86,1,IF(AND($BB231&lt;21,$BB231&gt;=9),1,$BM230)))</f>
        <v>#N/A</v>
      </c>
      <c r="BJ231" s="140" t="e">
        <f ca="1">IF($BF231&lt;0,-$BF231,$BI231*IF(OR($G231&lt;Control!$C$92,$G231&gt;Control!$C$95),0,IF(AND($G231&gt;=Control!$C$92,$G231&lt;=Control!$C$93),$G231-Control!$C$92,IF(AND($G231&gt;Control!$C$93,$G231&lt;=Control!$C$94),Control!$C$93-Control!$C$92,IF(AND($G231&gt;Control!$C$94,$G231&lt;=Control!$C$95),(Control!$C$93-Control!$C$92)*(Control!$C$94-$G231)/(Control!$C$95-Control!$C$94))))))</f>
        <v>#N/A</v>
      </c>
      <c r="BK231" s="140" t="e">
        <f t="shared" ca="1" si="829"/>
        <v>#N/A</v>
      </c>
      <c r="BL231" s="140" t="e">
        <f ca="1">IF($BK231&lt;=Control!$C$87,$BK231,Control!$C$87-$BK231)</f>
        <v>#N/A</v>
      </c>
      <c r="BM231" s="140" t="e">
        <f ca="1">IF(AND($BB231&gt;=9,$BB231&lt;21),1,IF($BK231&gt;=Control!$C$87,0,$BI231))</f>
        <v>#N/A</v>
      </c>
      <c r="BN231" s="404" t="e">
        <f ca="1">IF($BM231=0,0,IF($BK231&lt;=Control!$C$87,$BI231*(9+(21-9)*($BL231/Control!$C$87)),0))</f>
        <v>#N/A</v>
      </c>
      <c r="BO231" s="140" t="e">
        <f ca="1">IF($BM231=1,0,IF($BK231&gt;=Control!$C$87,1,IF(AND($BB231&lt;30,$BB231&gt;=21),1,$BS230)))</f>
        <v>#N/A</v>
      </c>
      <c r="BP231" s="140" t="e">
        <f ca="1">IF($BL231&lt;0,-$BL231,$BO231*IF(OR($G231&lt;Control!$C$92,$G231&gt;Control!$C$95),0,IF(AND($G231&gt;=Control!$C$92,$G231&lt;=Control!$C$93),$G231-Control!$C$92,IF(AND($G231&gt;Control!$C$93,$G231&lt;=Control!$C$94),Control!$C$93-Control!$C$92,IF(AND($G231&gt;Control!$C$94,$G231&lt;=Control!$C$95),(Control!$C$93-Control!$C$92)*(Control!$C$94-$G231)/(Control!$C$95-Control!$C$94))))))</f>
        <v>#N/A</v>
      </c>
      <c r="BQ231" s="140" t="e">
        <f t="shared" ca="1" si="713"/>
        <v>#N/A</v>
      </c>
      <c r="BR231" s="140" t="e">
        <f ca="1">IF($BQ231&lt;=Control!$C$88,$BQ231,Control!$C$88-$BQ231)</f>
        <v>#N/A</v>
      </c>
      <c r="BS231" s="140" t="e">
        <f ca="1">IF(AND($BB231&gt;=21,$BB231&lt;30),1,IF($BQ231&gt;=Control!$C$88,0,$BO231))</f>
        <v>#N/A</v>
      </c>
      <c r="BT231" s="404" t="e">
        <f ca="1">IF($BS231=0,0,IF($BQ231&lt;=Control!$C$88,$BO231*(21+(30-21)*(BR231/Control!$C$88)),0))</f>
        <v>#N/A</v>
      </c>
      <c r="BU231" s="140" t="e">
        <f ca="1">IF(BG231+BM231+BS231=1,0,IF(OR(AND($BB231&lt;60,$BB231&gt;=30),$BQ231&gt;=Control!$C$88),1*$BA231,$BY230))</f>
        <v>#N/A</v>
      </c>
      <c r="BV231" s="140" t="e">
        <f ca="1">IF($BR231&lt;0,-$BR231,$BU231*IF(OR($G231&lt;Control!$C$92,$G231&gt;Control!$C$95),0,IF(AND($G231&gt;=Control!$C$92,$G231&lt;=Control!$C$93),$G231-Control!$C$92,IF(AND($G231&gt;Control!$C$93,$G231&lt;=Control!$C$94),Control!$C$93-Control!$C$92,IF(AND($G231&gt;Control!$C$94,$G231&lt;=Control!$C$95),(Control!$C$93-Control!$C$92)*(Control!$C$94-$G231)/(Control!$C$95-Control!$C$94))))))</f>
        <v>#N/A</v>
      </c>
      <c r="BW231" s="140" t="e">
        <f t="shared" ca="1" si="714"/>
        <v>#N/A</v>
      </c>
      <c r="BX231" s="140" t="e">
        <f ca="1">IF($BW231&lt;=Control!$C$89,$BW231,Control!$C$89-$BW231)</f>
        <v>#N/A</v>
      </c>
      <c r="BY231" s="140" t="e">
        <f ca="1">IF(AND($AJ231&gt;=30,$AJ231&lt;60),1,IF($BW231&gt;=Control!$C$89,0,$BU231))</f>
        <v>#N/A</v>
      </c>
      <c r="BZ231" s="404" t="e">
        <f ca="1">IF($BY231=0,0,IF($BW231&lt;=Control!$C$89,$BU231*(30+(60-30)*(BX231/Control!$C$89)),0))</f>
        <v>#N/A</v>
      </c>
      <c r="CA231" s="140" t="e">
        <f ca="1">IF($BG231+$BM231+$BS231+$BY231=1,0,IF(OR(AND($BB231&lt;65,$BB231&gt;=60),$BW231&gt;=Control!$C$89),1*$BA231,$CE230))</f>
        <v>#N/A</v>
      </c>
      <c r="CB231" s="140" t="e">
        <f ca="1">IF($BX231&lt;0,-$BX231,$CA231*IF(OR($G231&lt;Control!$C$92,$G231&gt;Control!$C$95),0,IF(AND($G231&gt;=Control!$C$92,$G231&lt;=Control!$C$93),$G231-Control!$C$92,IF(AND($G231&gt;Control!$C$93,$G231&lt;=Control!$C$94),Control!$C$93-Control!$C$92,IF(AND($G231&gt;Control!$C$94,$G231&lt;=Control!$C$95),(Control!$C$93-Control!$C$92)*(Control!$C$94-$G231)/(Control!$C$95-Control!$C$94))))))</f>
        <v>#N/A</v>
      </c>
      <c r="CC231" s="140" t="e">
        <f t="shared" ca="1" si="830"/>
        <v>#N/A</v>
      </c>
      <c r="CD231" s="140" t="e">
        <f ca="1">IF($CC231&lt;=Control!$C$90,$CC231,Control!$C$90-$CC231)</f>
        <v>#N/A</v>
      </c>
      <c r="CE231" s="140" t="e">
        <f ca="1">IF(AND($BB231&gt;=60,$BB231&lt;65),1,IF($CC231&gt;=Control!$C$90,0,$CA231))</f>
        <v>#N/A</v>
      </c>
      <c r="CF231" s="404" t="e">
        <f ca="1">IF($CE231=0,0,IF($CC231&lt;=Control!$C$90,$CA231*(60+(65-60)*(CD231/Control!$C$90)),0))</f>
        <v>#N/A</v>
      </c>
      <c r="CG231" s="140" t="e">
        <f ca="1">IF($BG231+$BM231+$BS231+$BY231+$CE231=1,0,IF(OR(AND($BB231&lt;90,$BB231&gt;=65),$CC231&gt;=Control!$C$90),$BA231,$CK230))</f>
        <v>#N/A</v>
      </c>
      <c r="CH231" s="140" t="e">
        <f ca="1">IF($CD231&lt;0,-$CD231,$CG231*IF(OR($G231&lt;Control!$C$92,$G231&gt;Control!$C$95),0,IF(AND($G231&gt;=Control!$C$92,$G231&lt;=Control!$C$93),$G231-Control!$C$92,IF(AND($G231&gt;Control!$C$93,$G231&lt;=Control!$C$94),Control!$C$93-Control!$C$92,IF(AND($G231&gt;Control!$C$94,$G231&lt;=Control!$C$95),(Control!$C$93-Control!$C$92)*(Control!$C$94-$G231)/(Control!$C$95-Control!$C$94))))))</f>
        <v>#N/A</v>
      </c>
      <c r="CI231" s="140" t="e">
        <f t="shared" ca="1" si="831"/>
        <v>#N/A</v>
      </c>
      <c r="CJ231" s="140" t="e">
        <f ca="1">IF($CI231&lt;=Control!$C$91,$CI231,Control!$C$91-$CI231)</f>
        <v>#N/A</v>
      </c>
      <c r="CK231" s="140" t="e">
        <f ca="1">IF(AND($BB231&gt;=65,$BB231&lt;90),1,IF($CI231&gt;=Control!$C$91,0,$CG231))</f>
        <v>#N/A</v>
      </c>
      <c r="CL231" s="404" t="e">
        <f ca="1">IF($CK231=0,0,IF($CI231&lt;=Control!$C$91,$CG231*(65+(90-65)*($CJ231/Control!$C$91)),0))</f>
        <v>#N/A</v>
      </c>
      <c r="CM231" s="140" t="e">
        <f ca="1">IF($BG231+$BM231+$BS231+$BY231+$CE231+$CK231=1,0,IF(OR($BB231&gt;=90,$CI231&gt;=Control!$C$91),$BA231,$CM230))</f>
        <v>#N/A</v>
      </c>
      <c r="CN231" s="140" t="e">
        <f t="shared" ca="1" si="832"/>
        <v>#N/A</v>
      </c>
      <c r="CO231" s="140" t="e">
        <f t="shared" ca="1" si="833"/>
        <v>#N/A</v>
      </c>
      <c r="CP231" s="140" t="e">
        <f t="shared" ca="1" si="834"/>
        <v>#N/A</v>
      </c>
      <c r="CQ231" s="141" t="e">
        <f ca="1">VLOOKUP($CP231,Control!$B$86:$G$91,6)</f>
        <v>#N/A</v>
      </c>
      <c r="CR231" s="141" t="e">
        <f ca="1">(1-$CQ231)*VLOOKUP($CP231,Control!$B$86:$D$91,3)</f>
        <v>#N/A</v>
      </c>
      <c r="CS231" s="141" t="e">
        <f ca="1">(1-$CQ231)*VLOOKUP($CP231,Control!$B$86:$E$91,4)</f>
        <v>#N/A</v>
      </c>
      <c r="CT231" s="141" t="e">
        <f ca="1">(1-$CQ231)*VLOOKUP($CP231,Control!$B$86:$F$91,5)</f>
        <v>#N/A</v>
      </c>
      <c r="CU231" s="141">
        <f t="shared" ca="1" si="835"/>
        <v>0</v>
      </c>
      <c r="CV231" s="583">
        <f t="shared" ca="1" si="836"/>
        <v>0</v>
      </c>
      <c r="CW231" s="142">
        <f t="shared" ca="1" si="837"/>
        <v>227</v>
      </c>
      <c r="CX231" s="612" t="e">
        <f ca="1">IF(Control!$C$114=1,(MIN(Control!$C$120*(IF($NT231-0.01&lt;0,0,1)),Control!$C$119-$CY231)))</f>
        <v>#DIV/0!</v>
      </c>
      <c r="CY231" s="143" t="e">
        <f t="shared" ca="1" si="838"/>
        <v>#N/A</v>
      </c>
      <c r="CZ231" s="144">
        <f t="shared" ca="1" si="715"/>
        <v>0</v>
      </c>
      <c r="DA231" s="144">
        <f t="shared" ca="1" si="716"/>
        <v>0</v>
      </c>
      <c r="DB231" s="144" t="e">
        <f t="shared" ca="1" si="717"/>
        <v>#N/A</v>
      </c>
      <c r="DC231" s="144" t="e">
        <f t="shared" ca="1" si="718"/>
        <v>#N/A</v>
      </c>
      <c r="DD231" s="144" t="e">
        <f t="shared" ca="1" si="923"/>
        <v>#N/A</v>
      </c>
      <c r="DE231" s="143" t="e">
        <f t="shared" ca="1" si="839"/>
        <v>#N/A</v>
      </c>
      <c r="DF231" s="145" t="e">
        <f ca="1">$DR231*EXP(-Control!$C$158*(1-$KH231))</f>
        <v>#N/A</v>
      </c>
      <c r="DG231" s="146" t="e">
        <f ca="1">IF(Control!$C$114=1, $DF231*$EY231, 0)</f>
        <v>#N/A</v>
      </c>
      <c r="DH231" s="147" t="e">
        <f t="shared" ca="1" si="840"/>
        <v>#N/A</v>
      </c>
      <c r="DI231" s="144" t="e">
        <f t="shared" ca="1" si="901"/>
        <v>#N/A</v>
      </c>
      <c r="DJ231" s="147" t="e">
        <f ca="1">$EF231*Control!$C$109</f>
        <v>#N/A</v>
      </c>
      <c r="DK231" s="144" t="e">
        <f t="shared" ca="1" si="841"/>
        <v>#N/A</v>
      </c>
      <c r="DL231" s="144" t="e">
        <f t="shared" ca="1" si="719"/>
        <v>#N/A</v>
      </c>
      <c r="DM231" s="144" t="e">
        <f ca="1">IF(Control!$C$114=1, (1-EXP(-Control!$C$96*$DK231))*$AR231, 0)</f>
        <v>#N/A</v>
      </c>
      <c r="DN231" s="144">
        <f t="shared" ca="1" si="842"/>
        <v>0</v>
      </c>
      <c r="DO231" s="148">
        <f>Control!$C$97</f>
        <v>4</v>
      </c>
      <c r="DP231" s="145" t="e">
        <f t="shared" ca="1" si="843"/>
        <v>#N/A</v>
      </c>
      <c r="DQ231" s="145" t="e">
        <f ca="1">IF(AND($CP231&gt;=0,$CP231&lt;=90),Control!$C$111,Control!$C$111)</f>
        <v>#N/A</v>
      </c>
      <c r="DR231" s="145" t="e">
        <f t="shared" ca="1" si="720"/>
        <v>#N/A</v>
      </c>
      <c r="DS231" s="143" t="e">
        <f ca="1">Control!$B$22/$DR231</f>
        <v>#N/A</v>
      </c>
      <c r="DT231" s="149" t="e">
        <f ca="1">IF(AND(Control!$C$114=1,$KH231&lt;1),$IM231*$DF231, 0)</f>
        <v>#N/A</v>
      </c>
      <c r="DU231" s="144" t="e">
        <f t="shared" ca="1" si="844"/>
        <v>#N/A</v>
      </c>
      <c r="DV231" s="144">
        <f ca="1">IF($G231-Control!$C$107&lt;=0, 0, 0.83*LN(MAX($G231, 3))-0.8924)</f>
        <v>0</v>
      </c>
      <c r="DW231" s="144" t="e">
        <f t="shared" ca="1" si="721"/>
        <v>#N/A</v>
      </c>
      <c r="DX231" s="150" t="e">
        <f ca="1">MAX(0.01*(1+$CU231/Control!$C$102),0.05*($DK231-Control!$C$97)/Control!$C$97)</f>
        <v>#N/A</v>
      </c>
      <c r="DY231" s="151" t="e">
        <f ca="1">IF(Control!$C$114=1, $DI231*$FS231, 0)</f>
        <v>#N/A</v>
      </c>
      <c r="DZ231" s="196" t="e">
        <f t="shared" ca="1" si="845"/>
        <v>#N/A</v>
      </c>
      <c r="EA231" s="152">
        <f t="shared" ca="1" si="846"/>
        <v>227</v>
      </c>
      <c r="EB231" s="153" t="e">
        <f t="shared" ca="1" si="847"/>
        <v>#N/A</v>
      </c>
      <c r="EC231" s="153" t="e">
        <f t="shared" ca="1" si="848"/>
        <v>#N/A</v>
      </c>
      <c r="ED231" s="154" t="e">
        <f ca="1">IF(Control!$C$114=1, $HM231*$FY231-$FD231, 0)</f>
        <v>#DIV/0!</v>
      </c>
      <c r="EE231" s="155" t="e">
        <f ca="1">IF(Control!$C$114=1, $HM231*$FZ231-$FF231, 0)</f>
        <v>#DIV/0!</v>
      </c>
      <c r="EF231" s="153" t="e">
        <f t="shared" ca="1" si="902"/>
        <v>#N/A</v>
      </c>
      <c r="EG231" s="155" t="e">
        <f ca="1">IF(Control!$C$114=1, $GX231*$FW231-$FI231, 0)</f>
        <v>#DIV/0!</v>
      </c>
      <c r="EH231" s="153" t="e">
        <f t="shared" ca="1" si="849"/>
        <v>#N/A</v>
      </c>
      <c r="EI231" s="156" t="e">
        <f t="shared" ca="1" si="850"/>
        <v>#N/A</v>
      </c>
      <c r="EJ231" s="155" t="e">
        <f ca="1">IF(Control!$C$114=1, $HM231*$GB231, 0)</f>
        <v>#DIV/0!</v>
      </c>
      <c r="EK231" s="153" t="e">
        <f t="shared" ca="1" si="903"/>
        <v>#N/A</v>
      </c>
      <c r="EL231" s="153" t="e">
        <f t="shared" ca="1" si="722"/>
        <v>#N/A</v>
      </c>
      <c r="EM231" s="153" t="e">
        <f t="shared" ca="1" si="723"/>
        <v>#N/A</v>
      </c>
      <c r="EN231" s="153" t="e">
        <f ca="1">IF(Control!$C$108=1,IF(AND(Control!$B$18=1,$EB231&gt;=Control!$B$19),$EB231-$DS231,IF(AND(Control!$B$18=2,$AW231=1,$EB231&gt;$DS231),$EB231-$DS231,0)))</f>
        <v>#N/A</v>
      </c>
      <c r="EO231" s="153" t="e">
        <f ca="1">IF(Control!$C$108=1,IF(AND(Control!$B$18=1,$EB231&gt;=Control!$B$19),$EF231,IF(AND(Control!$B$18=2,$AW231=1),$EF231,0)))</f>
        <v>#N/A</v>
      </c>
      <c r="EP231" s="153" t="e">
        <f ca="1">IF(Control!$C$108=1,IF(AND(Control!$B$18=1,$EB231&gt;=Control!$B$19),$EK231,IF(AND(Control!$B$18=2,$AW231=1),$EK231,0)))</f>
        <v>#N/A</v>
      </c>
      <c r="EQ231" s="153" t="e">
        <f t="shared" ca="1" si="851"/>
        <v>#N/A</v>
      </c>
      <c r="ER231" s="153" t="e">
        <f t="shared" ca="1" si="852"/>
        <v>#N/A</v>
      </c>
      <c r="ES231" s="153" t="e">
        <f t="shared" ca="1" si="904"/>
        <v>#N/A</v>
      </c>
      <c r="ET231" s="153" t="e">
        <f t="shared" ca="1" si="905"/>
        <v>#N/A</v>
      </c>
      <c r="EU231" s="153" t="e">
        <f t="shared" ca="1" si="853"/>
        <v>#N/A</v>
      </c>
      <c r="EV231" s="153" t="e">
        <f t="shared" ca="1" si="724"/>
        <v>#N/A</v>
      </c>
      <c r="EW231" s="153" t="e">
        <f t="shared" ca="1" si="725"/>
        <v>#N/A</v>
      </c>
      <c r="EX231" s="153" t="e">
        <f t="shared" ca="1" si="726"/>
        <v>#N/A</v>
      </c>
      <c r="EY231" s="157" t="e">
        <f t="shared" ca="1" si="727"/>
        <v>#DIV/0!</v>
      </c>
      <c r="EZ231" s="154" t="e">
        <f t="shared" ca="1" si="728"/>
        <v>#DIV/0!</v>
      </c>
      <c r="FA231" s="153" t="e">
        <f t="shared" ca="1" si="854"/>
        <v>#N/A</v>
      </c>
      <c r="FB231" s="153" t="e">
        <f t="shared" ca="1" si="729"/>
        <v>#N/A</v>
      </c>
      <c r="FC231" s="193" t="e">
        <f t="shared" ca="1" si="730"/>
        <v>#N/A</v>
      </c>
      <c r="FD231" s="158" t="e">
        <f t="shared" ca="1" si="855"/>
        <v>#N/A</v>
      </c>
      <c r="FE231" s="158" t="e">
        <f t="shared" ca="1" si="856"/>
        <v>#N/A</v>
      </c>
      <c r="FF231" s="159" t="e">
        <f t="shared" ca="1" si="731"/>
        <v>#N/A</v>
      </c>
      <c r="FG231" s="160" t="e">
        <f t="shared" ca="1" si="857"/>
        <v>#N/A</v>
      </c>
      <c r="FH231" s="158" t="e">
        <f t="shared" ca="1" si="858"/>
        <v>#N/A</v>
      </c>
      <c r="FI231" s="159" t="e">
        <f t="shared" ca="1" si="732"/>
        <v>#N/A</v>
      </c>
      <c r="FJ231" s="160" t="e">
        <f t="shared" ca="1" si="859"/>
        <v>#N/A</v>
      </c>
      <c r="FK231" s="160" t="e">
        <f t="shared" ca="1" si="733"/>
        <v>#N/A</v>
      </c>
      <c r="FL231" s="160" t="e">
        <f t="shared" ca="1" si="906"/>
        <v>#N/A</v>
      </c>
      <c r="FM231" s="160" t="e">
        <f t="shared" ca="1" si="734"/>
        <v>#N/A</v>
      </c>
      <c r="FN231" s="158">
        <f t="shared" ca="1" si="860"/>
        <v>0.01</v>
      </c>
      <c r="FO231" s="160">
        <f>Control!$C$101</f>
        <v>50</v>
      </c>
      <c r="FP231" s="150" t="e">
        <f t="shared" ca="1" si="735"/>
        <v>#N/A</v>
      </c>
      <c r="FQ231" s="150" t="e">
        <f ca="1">MAX(0,(Control!$C$112*(($DK231-Control!$C$97)/Control!$C$97)))</f>
        <v>#N/A</v>
      </c>
      <c r="FR231" s="150" t="e">
        <f ca="1">(1-$NT231)*Control!$C$113</f>
        <v>#DIV/0!</v>
      </c>
      <c r="FS231" s="198" t="e">
        <f t="shared" ca="1" si="736"/>
        <v>#N/A</v>
      </c>
      <c r="FT231" s="161">
        <f t="shared" ca="1" si="861"/>
        <v>227</v>
      </c>
      <c r="FU231" s="162" t="e">
        <f ca="1">IF(Control!$B$34=1,VLOOKUP($CP231,Control!$B$86:$G$91,6),Control!$B$35)</f>
        <v>#N/A</v>
      </c>
      <c r="FV231" s="162" t="e">
        <f t="shared" ca="1" si="737"/>
        <v>#DIV/0!</v>
      </c>
      <c r="FW231" s="162" t="e">
        <f ca="1">IF(Control!$B$31=1,$FU231*$FV231,  $FU231)</f>
        <v>#N/A</v>
      </c>
      <c r="FX231" s="162" t="e">
        <f ca="1">IF(Control!$B$34=1,VLOOKUP($CP231,Control!$B$86:$G$91,3),Control!$B$36)</f>
        <v>#N/A</v>
      </c>
      <c r="FY231" s="162" t="e">
        <f t="shared" ca="1" si="738"/>
        <v>#N/A</v>
      </c>
      <c r="FZ231" s="162" t="e">
        <f ca="1">IF(Control!$B$34=1,VLOOKUP($CP231,Control!$B$86:$G$91,4),Control!$B$37)</f>
        <v>#N/A</v>
      </c>
      <c r="GA231" s="162" t="e">
        <f t="shared" ca="1" si="739"/>
        <v>#N/A</v>
      </c>
      <c r="GB231" s="162" t="e">
        <f ca="1">IF(Control!$B$34=1,VLOOKUP($CP231,Control!$B$86:$G$91,5),Control!$B$38)</f>
        <v>#N/A</v>
      </c>
      <c r="GC231" s="162" t="e">
        <f t="shared" ca="1" si="862"/>
        <v>#N/A</v>
      </c>
      <c r="GD231" s="162">
        <f t="shared" ca="1" si="740"/>
        <v>1</v>
      </c>
      <c r="GE231" s="162">
        <f t="shared" ca="1" si="741"/>
        <v>1</v>
      </c>
      <c r="GF231" s="162">
        <f ca="1">IF(AND(Control!$C$104=1, Control!$C$62="F"),$GE231,1)</f>
        <v>1</v>
      </c>
      <c r="GG231" s="162" t="e">
        <f ca="1">IF(Control!$B$16=40,0,IF(AND(Control!$B$16&gt;40,Control!$B$16&lt;=360),(Control!$B$16-40)*((1-0)/(360-40)),IF(AND(Control!$B$16&gt;360,Control!$B$16&lt;=720),(1+(Control!$B$16-360)*((1.25-1)/(720-360))),IF(AND(Control!$B$16&gt;720,Control!$B$16&lt;=1000),(1.25+(Control!$B$16-720)*((1.35-1.25)/(1000-720))),IF(AND(Control!$B$16&gt;1000,Control!$B$16&lt;=2000),(1.35+(Control!$B$16-1000)*0))))))</f>
        <v>#N/A</v>
      </c>
      <c r="GH231" s="162" t="e">
        <f t="shared" ca="1" si="742"/>
        <v>#N/A</v>
      </c>
      <c r="GI231" s="162">
        <f t="shared" ca="1" si="863"/>
        <v>0</v>
      </c>
      <c r="GJ231" s="162">
        <f t="shared" ca="1" si="743"/>
        <v>0</v>
      </c>
      <c r="GK231" s="162">
        <f t="shared" ca="1" si="864"/>
        <v>1</v>
      </c>
      <c r="GL231" s="162">
        <f t="shared" ca="1" si="744"/>
        <v>1</v>
      </c>
      <c r="GM231" s="162" t="e">
        <f ca="1">MAX(0,MIN(1,1-Control!$C$156*(1.0001-$KH231)^2))</f>
        <v>#N/A</v>
      </c>
      <c r="GN231" s="162" t="e">
        <f ca="1">IF(Control!$B$26=1,$KU231,$KX231)</f>
        <v>#N/A</v>
      </c>
      <c r="GO231" s="162" t="e">
        <f ca="1">IF($CP231&lt;=60,Control!$C$105,IF($CP231&gt;=90,Control!$C$106,Control!$C$105+($CP231-60)*((Control!$C$106-Control!$C$105)/(90-60))))</f>
        <v>#N/A</v>
      </c>
      <c r="GP231" s="162" t="e">
        <f t="shared" ca="1" si="745"/>
        <v>#N/A</v>
      </c>
      <c r="GQ231" s="162" t="e">
        <f t="shared" ca="1" si="865"/>
        <v>#N/A</v>
      </c>
      <c r="GR231" s="163" t="e">
        <f t="shared" ca="1" si="746"/>
        <v>#DIV/0!</v>
      </c>
      <c r="GS231" s="162" t="e">
        <f t="shared" ca="1" si="747"/>
        <v>#DIV/0!</v>
      </c>
      <c r="GT231" s="164" t="e">
        <f t="shared" ca="1" si="866"/>
        <v>#N/A</v>
      </c>
      <c r="GU231" s="162" t="e">
        <f t="shared" ca="1" si="867"/>
        <v>#N/A</v>
      </c>
      <c r="GV231" s="162" t="e">
        <f t="shared" ca="1" si="748"/>
        <v>#N/A</v>
      </c>
      <c r="GW231" s="162" t="e">
        <f t="shared" ca="1" si="749"/>
        <v>#DIV/0!</v>
      </c>
      <c r="GX231" s="162" t="e">
        <f t="shared" ca="1" si="868"/>
        <v>#DIV/0!</v>
      </c>
      <c r="GY231" s="162" t="e">
        <f t="shared" ca="1" si="869"/>
        <v>#DIV/0!</v>
      </c>
      <c r="GZ231" s="165" t="e">
        <f t="shared" ca="1" si="750"/>
        <v>#N/A</v>
      </c>
      <c r="HA231" s="162" t="e">
        <f ca="1">IF(Control!$C$114=1, $DI231*$FS231, 0)</f>
        <v>#N/A</v>
      </c>
      <c r="HB231" s="162" t="e">
        <f ca="1">$FA231/Control!$C$64</f>
        <v>#N/A</v>
      </c>
      <c r="HC231" s="162" t="e">
        <f t="shared" ca="1" si="751"/>
        <v>#DIV/0!</v>
      </c>
      <c r="HD231" s="162">
        <f ca="1">-ASIN(SIN(23.45*Control!$C$139)*COS(2*Control!$C$138*($AH231+10)/365))</f>
        <v>0.23751604937313353</v>
      </c>
      <c r="HE231" s="165">
        <f t="shared" ca="1" si="870"/>
        <v>0</v>
      </c>
      <c r="HF231" s="166">
        <f ca="1">IF(AND(Control!$C$61="T",$HE231&gt;=Control!$C$103,Control!$C$114=0),$AH231,Control!$C$59)</f>
        <v>1</v>
      </c>
      <c r="HG231" s="166">
        <f ca="1">IF(AND(Control!$C$61="T",$HE231&gt;=Control!$C$103,Control!$C$114=0),$HF231,Control!$C$59)</f>
        <v>1</v>
      </c>
      <c r="HH231" s="165">
        <f ca="1">IF(AND(OR(Control!$C$60&lt;=0, $AH231= Control!$C$59, Control!$C$60 &gt;0, $AH231 = Control!$C$60)), Control!$C$59, IF(Control!$C$60&gt;0, 0))</f>
        <v>1</v>
      </c>
      <c r="HI231" s="165">
        <f ca="1">IF(AND(OR(Control!$C$60&lt;=0, $AH231= Control!$C$59, Control!$C$60 &gt;0, $AH231 = Control!$C$60)), Control!$C$60, IF(Control!$C$60&lt;=0, 0))</f>
        <v>0</v>
      </c>
      <c r="HJ231" s="166">
        <f ca="1">IF(AND(Control!$C$62="F",$CV231&gt;=Control!$C$102),$AH231,0)</f>
        <v>0</v>
      </c>
      <c r="HK231" s="165" t="e">
        <f t="shared" ca="1" si="907"/>
        <v>#N/A</v>
      </c>
      <c r="HL231" s="166">
        <f ca="1">IF(AND(Control!$C$61="T",$HE231&gt;=Control!$C$103,Control!$C$114=0),$HF231,0)</f>
        <v>0</v>
      </c>
      <c r="HM231" s="201" t="e">
        <f t="shared" ca="1" si="752"/>
        <v>#DIV/0!</v>
      </c>
      <c r="HN231" s="215">
        <f t="shared" ca="1" si="871"/>
        <v>227</v>
      </c>
      <c r="HO231" s="216" t="e">
        <f ca="1">IF(AND($CP231&gt;=0, $CP231&lt;=90), Control!$C$152, Control!$C$152)</f>
        <v>#N/A</v>
      </c>
      <c r="HP231" s="216" t="e">
        <f t="shared" ca="1" si="753"/>
        <v>#N/A</v>
      </c>
      <c r="HQ231" s="217" t="e">
        <f ca="1">IF(OR(Control!$B$26=1,Control!$B$26=2),$KV231,$KS231)</f>
        <v>#DIV/0!</v>
      </c>
      <c r="HR231" s="218" t="e">
        <f t="shared" ca="1" si="908"/>
        <v>#DIV/0!</v>
      </c>
      <c r="HS231" s="216" t="e">
        <f ca="1">Control!$C$154*$HP231</f>
        <v>#N/A</v>
      </c>
      <c r="HT231" s="216" t="e">
        <f ca="1">Control!$C$155*$HP231</f>
        <v>#N/A</v>
      </c>
      <c r="HU231" s="217" t="e">
        <f ca="1">Control!$C$161*$FI231</f>
        <v>#N/A</v>
      </c>
      <c r="HV231" s="218" t="e">
        <f t="shared" ca="1" si="872"/>
        <v>#N/A</v>
      </c>
      <c r="HW231" s="218" t="e">
        <f ca="1">Control!$C$160*$FF231+$IP231*$EO231</f>
        <v>#N/A</v>
      </c>
      <c r="HX231" s="218" t="e">
        <f t="shared" ca="1" si="909"/>
        <v>#N/A</v>
      </c>
      <c r="HY231" s="219" t="e">
        <f ca="1">IF(Control!$C$114=1, $EB231*$FS231, 0)</f>
        <v>#N/A</v>
      </c>
      <c r="HZ231" s="91" t="e">
        <f t="shared" ca="1" si="754"/>
        <v>#N/A</v>
      </c>
      <c r="IA231" s="220" t="e">
        <f ca="1">Control!$C$153*$HO231</f>
        <v>#N/A</v>
      </c>
      <c r="IB231" s="218" t="e">
        <f t="shared" ca="1" si="755"/>
        <v>#N/A</v>
      </c>
      <c r="IC231" s="220" t="e">
        <f ca="1">Control!$C$153*$HT231</f>
        <v>#N/A</v>
      </c>
      <c r="ID231" s="218" t="e">
        <f t="shared" ca="1" si="756"/>
        <v>#N/A</v>
      </c>
      <c r="IE231" s="221" t="e">
        <f ca="1">($EB231*Control!$C$159+$EF231*Control!$C$160)/(IF($GZ231&lt;&gt;0,$GZ231,1))</f>
        <v>#N/A</v>
      </c>
      <c r="IF231" s="216" t="e">
        <f t="shared" ca="1" si="757"/>
        <v>#N/A</v>
      </c>
      <c r="IG231" s="91">
        <f ca="1">IF(OR(Control!$B$198=$AH231,Control!$B$199=$AH231, Control!$B$200=$AH231, Control!$B$201=$AH231, Control!$B$202=$AH231, Control!$B$203=$AH231, Control!$B$204=$AH231, Control!$B$205=$AH231, Control!$B$206=$AH231, Control!$B$207=$AH231), 1, 0)</f>
        <v>0</v>
      </c>
      <c r="IH231" s="91">
        <f ca="1">IF($IG231=0,0, VLOOKUP($AH231,Control!$B$198:$C$207,2))</f>
        <v>0</v>
      </c>
      <c r="II231" s="222">
        <f t="shared" ca="1" si="873"/>
        <v>0</v>
      </c>
      <c r="IJ231" s="91">
        <f>Control!$C$121</f>
        <v>0.7</v>
      </c>
      <c r="IK231" s="218">
        <f t="shared" ca="1" si="758"/>
        <v>0</v>
      </c>
      <c r="IL231" s="217" t="e">
        <f t="shared" ca="1" si="910"/>
        <v>#N/A</v>
      </c>
      <c r="IM231" s="223" t="e">
        <f ca="1">IF(AND(Control!$C$114=1,$KH231&lt;1),$EB231*Control!$C$148*(1-$KH231), 0)</f>
        <v>#N/A</v>
      </c>
      <c r="IN231" s="217" t="e">
        <f t="shared" ca="1" si="759"/>
        <v>#DIV/0!</v>
      </c>
      <c r="IO231" s="91" t="e">
        <f ca="1">MAX(0,$IL231-$EF231*Control!$C$160)</f>
        <v>#N/A</v>
      </c>
      <c r="IP231" s="220" t="e">
        <f t="shared" ca="1" si="760"/>
        <v>#N/A</v>
      </c>
      <c r="IQ231" s="217" t="e">
        <f t="shared" ca="1" si="874"/>
        <v>#N/A</v>
      </c>
      <c r="IR231" s="218" t="e">
        <f t="shared" ca="1" si="761"/>
        <v>#N/A</v>
      </c>
      <c r="IS231" s="217" t="e">
        <f ca="1">Control!$C$159*MAX(0,$FD231-$EN231)</f>
        <v>#N/A</v>
      </c>
      <c r="IT231" s="217" t="e">
        <f t="shared" ca="1" si="911"/>
        <v>#N/A</v>
      </c>
      <c r="IU231" s="217" t="e">
        <f t="shared" ca="1" si="875"/>
        <v>#N/A</v>
      </c>
      <c r="IV231" s="217" t="e">
        <f t="shared" ca="1" si="912"/>
        <v>#N/A</v>
      </c>
      <c r="IW231" s="217" t="e">
        <f ca="1">IF(OR($AW231=1,AND($AW231=0, Control!$B$18=1,$EN231&lt;&gt;0)), $IQ231-$IU231, $IQ231)</f>
        <v>#N/A</v>
      </c>
      <c r="IX231" s="218" t="e">
        <f t="shared" ca="1" si="762"/>
        <v>#N/A</v>
      </c>
      <c r="IY231" s="218" t="e">
        <f ca="1">MAX(0,$IQ231-$EB231*Control!$C$159)</f>
        <v>#N/A</v>
      </c>
      <c r="IZ231" s="218" t="e">
        <f t="shared" ca="1" si="763"/>
        <v>#N/A</v>
      </c>
      <c r="JA231" s="216" t="e">
        <f t="shared" ca="1" si="764"/>
        <v>#N/A</v>
      </c>
      <c r="JB231" s="217" t="e">
        <f t="shared" ca="1" si="765"/>
        <v>#N/A</v>
      </c>
      <c r="JC231" s="222" t="e">
        <f ca="1">MAX(Control!$C$157*$EK231-$JT231, 0)/Control!$C$162</f>
        <v>#N/A</v>
      </c>
      <c r="JD231" s="218" t="e">
        <f t="shared" ca="1" si="766"/>
        <v>#N/A</v>
      </c>
      <c r="JE231" s="218" t="e">
        <f t="shared" ca="1" si="767"/>
        <v>#N/A</v>
      </c>
      <c r="JF231" s="218" t="e">
        <f t="shared" ca="1" si="876"/>
        <v>#N/A</v>
      </c>
      <c r="JG231" s="218" t="e">
        <f t="shared" ca="1" si="768"/>
        <v>#N/A</v>
      </c>
      <c r="JH231" s="217" t="e">
        <f t="shared" ca="1" si="877"/>
        <v>#N/A</v>
      </c>
      <c r="JI231" s="217" t="e">
        <f t="shared" ca="1" si="878"/>
        <v>#N/A</v>
      </c>
      <c r="JJ231" s="217" t="e">
        <f t="shared" ca="1" si="913"/>
        <v>#N/A</v>
      </c>
      <c r="JK231" s="217" t="e">
        <f ca="1">IF(Control!$C$114=1,IF(Control!$B$24=0,MAX(0,$JI231)*$GN231/Control!$C$64,(MAX(0,MIN($JI231,$JJ231*$GN231/Control!$C$64),0))))</f>
        <v>#N/A</v>
      </c>
      <c r="JL231" s="217" t="e">
        <f ca="1">$IK231/Control!$C$64-$JK231+$HQ231</f>
        <v>#N/A</v>
      </c>
      <c r="JM231" s="217" t="e">
        <f ca="1">IF(Control!$C$114=1,($JB231/(IF($JI231&lt;&gt;0,$JI231,1)))*$JK231,0)</f>
        <v>#N/A</v>
      </c>
      <c r="JN231" s="217" t="e">
        <f ca="1">IF(Control!$C$114=1,($JG231/(IF($JI231&lt;&gt;0,$JI231,1)))*$JK231, 0)</f>
        <v>#N/A</v>
      </c>
      <c r="JO231" s="218" t="e">
        <f t="shared" ca="1" si="769"/>
        <v>#N/A</v>
      </c>
      <c r="JP231" s="218" t="e">
        <f ca="1">MIN(($IY231+$IO231)*Control!$C$151, $JF231-$EH231*Control!$C$161)</f>
        <v>#N/A</v>
      </c>
      <c r="JQ231" s="218" t="e">
        <f t="shared" ca="1" si="770"/>
        <v>#N/A</v>
      </c>
      <c r="JR231" s="217" t="e">
        <f ca="1">IF($CP231-Control!$C$150&lt;0, 0, $JQ231/Control!$C$162)</f>
        <v>#N/A</v>
      </c>
      <c r="JS231" s="218" t="e">
        <f t="shared" ca="1" si="771"/>
        <v>#N/A</v>
      </c>
      <c r="JT231" s="218" t="e">
        <f t="shared" ca="1" si="879"/>
        <v>#N/A</v>
      </c>
      <c r="JU231" s="218" t="e">
        <f t="shared" ca="1" si="772"/>
        <v>#N/A</v>
      </c>
      <c r="JV231" s="218" t="e">
        <f t="shared" ca="1" si="773"/>
        <v>#N/A</v>
      </c>
      <c r="JW231" s="216" t="e">
        <f t="shared" ca="1" si="774"/>
        <v>#N/A</v>
      </c>
      <c r="JX231" s="91" t="e">
        <f t="shared" ca="1" si="775"/>
        <v>#N/A</v>
      </c>
      <c r="JY231" s="218" t="e">
        <f t="shared" ca="1" si="776"/>
        <v>#N/A</v>
      </c>
      <c r="JZ231" s="217" t="e">
        <f ca="1">IF(Control!$C$114=1,($IZ231/(IF($JI231&lt;&gt;0,$JI231,1)))*$JK231, 0)</f>
        <v>#N/A</v>
      </c>
      <c r="KA231" s="218" t="e">
        <f t="shared" ca="1" si="914"/>
        <v>#N/A</v>
      </c>
      <c r="KB231" s="218" t="e">
        <f t="shared" ca="1" si="880"/>
        <v>#N/A</v>
      </c>
      <c r="KC231" s="218" t="e">
        <f t="shared" ca="1" si="777"/>
        <v>#N/A</v>
      </c>
      <c r="KD231" s="218" t="e">
        <f t="shared" ca="1" si="778"/>
        <v>#N/A</v>
      </c>
      <c r="KE231" s="218" t="e">
        <f t="shared" ca="1" si="779"/>
        <v>#N/A</v>
      </c>
      <c r="KF231" s="218" t="e">
        <f t="shared" ca="1" si="780"/>
        <v>#N/A</v>
      </c>
      <c r="KG231" s="216" t="e">
        <f t="shared" ca="1" si="781"/>
        <v>#N/A</v>
      </c>
      <c r="KH231" s="221" t="e">
        <f ca="1">IF(Control!$B$24=0,1,MAX(0.001,MIN(1,IF(($IF231-$IE231)&lt;&gt;0,($KG231-$IE231)/($IF231-$IE231),1))))</f>
        <v>#N/A</v>
      </c>
      <c r="KI231" s="222" t="e">
        <f ca="1">IF(Control!$C$114=1, $KI230+ $KH230, 0)</f>
        <v>#N/A</v>
      </c>
      <c r="KJ231" s="217" t="e">
        <f t="shared" ca="1" si="782"/>
        <v>#N/A</v>
      </c>
      <c r="KK231" s="218" t="e">
        <f t="shared" ca="1" si="783"/>
        <v>#N/A</v>
      </c>
      <c r="KL231" s="274" t="e">
        <f ca="1">IF(Control!$B$26=3,4000000000*EXP(-8400/($G231+273)),IF(Control!$B$26=4,4000000000*EXP(-8400/($G231+273))*($KT231),0))</f>
        <v>#DIV/0!</v>
      </c>
      <c r="KM231" s="274" t="e">
        <f ca="1">IF(Control!$B$26=3,5600000000000*EXP(-9800/($G231+273)),IF(Control!$B$26=4,5600000000000*EXP(-9800/($G231+273))*$KT231,0))</f>
        <v>#DIV/0!</v>
      </c>
      <c r="KN231" s="454" t="e">
        <f t="shared" ca="1" si="881"/>
        <v>#DIV/0!</v>
      </c>
      <c r="KO231" s="274" t="e">
        <f t="shared" ca="1" si="882"/>
        <v>#DIV/0!</v>
      </c>
      <c r="KP231" s="454" t="e">
        <f t="shared" ca="1" si="784"/>
        <v>#DIV/0!</v>
      </c>
      <c r="KQ231" s="454" t="e">
        <f t="shared" ca="1" si="785"/>
        <v>#DIV/0!</v>
      </c>
      <c r="KR231" s="454" t="e">
        <f t="shared" ca="1" si="786"/>
        <v>#DIV/0!</v>
      </c>
      <c r="KS231" s="454" t="e">
        <f t="shared" ca="1" si="787"/>
        <v>#DIV/0!</v>
      </c>
      <c r="KT231" s="455" t="e">
        <f t="shared" ca="1" si="788"/>
        <v>#DIV/0!</v>
      </c>
      <c r="KU231" s="456" t="e">
        <f ca="1">IF($CP231-Control!$C$149&lt;0, IF($NT231-0.01&lt;0,0,1),0)</f>
        <v>#N/A</v>
      </c>
      <c r="KV231" s="456" t="e">
        <f ca="1">IF(Control!$C$114=1,MAX(0,MIN(Control!$C$125*$KW231*$GN231,$KW231)))</f>
        <v>#DIV/0!</v>
      </c>
      <c r="KW231" s="456" t="e">
        <f t="shared" ca="1" si="915"/>
        <v>#DIV/0!</v>
      </c>
      <c r="KX231" s="457" t="e">
        <f ca="1">IF($CP231-Control!$C$149&lt;0, IF($MR231-$OM231&lt;0,0,1),0)</f>
        <v>#N/A</v>
      </c>
      <c r="KY231" s="167">
        <f t="shared" ca="1" si="883"/>
        <v>227</v>
      </c>
      <c r="KZ231" s="168">
        <f ca="1">1370*(1+0.033*COS(2*Control!$C$138*$AH231/365))</f>
        <v>1337.4189245760292</v>
      </c>
      <c r="LA231" s="169">
        <f t="shared" ca="1" si="884"/>
        <v>0.9762179840647226</v>
      </c>
      <c r="LB231" s="169">
        <f t="shared" ca="1" si="885"/>
        <v>0.23896229928507901</v>
      </c>
      <c r="LC231" s="169">
        <f ca="1">ACOS(-TAN((2*Control!$B$8/360))*TAN(Calculations!$LB231))</f>
        <v>1.6432635128839912</v>
      </c>
      <c r="LD231" s="169">
        <f ca="1">((24*60)/PI())*0.082*$LA231*(($LC231*SIN(Control!$B$8*2*PI()/360))*SIN($LB231)+COS(Control!$B$8*2*PI()/360)*COS($LB231)*SIN($LC231))</f>
        <v>33.136503420983111</v>
      </c>
      <c r="LE231" s="170">
        <f t="shared" ca="1" si="789"/>
        <v>33.754919100101752</v>
      </c>
      <c r="LF231" s="170">
        <f ca="1">SIN(Control!$C$139*Control!$B$8)*SIN($HD231)</f>
        <v>0.18541067997732907</v>
      </c>
      <c r="LG231" s="170">
        <f ca="1">COS(Control!$C$139*Control!$B$8)*COS($HD231)</f>
        <v>0.59837541208093703</v>
      </c>
      <c r="LH231" s="170">
        <f ca="1">12*(1+2*ASIN(MAX(-1,MIN(1,$LF231/$LG231))/Control!$C$138))</f>
        <v>14.370980686775059</v>
      </c>
      <c r="LI231" s="170">
        <f ca="1">12*(1+2*ASIN(MAX(-1,MIN(1,(-SIN(-4*Control!$C$139)+$LF231)/$LG231))/Control!$C$138))</f>
        <v>15.267791871090679</v>
      </c>
      <c r="LJ231" s="168">
        <f ca="1">3600*($LH231*$LF231+24*$LG231*SQRT(1-$LK231*$LK231)/Control!$C$138)</f>
        <v>25238.852598711572</v>
      </c>
      <c r="LK231" s="170">
        <f t="shared" ca="1" si="790"/>
        <v>0.3098567826049814</v>
      </c>
      <c r="LL231" s="170">
        <f t="shared" ca="1" si="791"/>
        <v>0</v>
      </c>
      <c r="LM231" s="171">
        <f ca="1">Control!$C$145*$AB231</f>
        <v>6.6660906138995932E-2</v>
      </c>
      <c r="LN231" s="170">
        <f t="shared" ca="1" si="886"/>
        <v>0.54</v>
      </c>
      <c r="LO231" s="170">
        <f t="shared" ca="1" si="792"/>
        <v>0</v>
      </c>
      <c r="LP231" s="170">
        <f ca="1">Control!$C$140*((($D231+273.16)^4+($E231+273.16)^4)/2)*(0.34-0.14*SQRT($Y231))*(1.35*$AQ231/(0.75*$LD231)-0.35)</f>
        <v>-3.2464704755046001</v>
      </c>
      <c r="LQ231" s="170">
        <f ca="1">Control!$C$140*($G231+273)^4*(0.56-0.079*SQRT($Y231*10))*(0.1+0.9*$LO231)</f>
        <v>1.5241745131704001</v>
      </c>
      <c r="LR231" s="170">
        <f ca="1">$AQ231*(1-Control!$C$142)-$LQ231</f>
        <v>-1.5241745131704001</v>
      </c>
      <c r="LS231" s="170">
        <f ca="1">$AQ231*(1-Control!$C$143)-$LQ231</f>
        <v>-1.5241745131704001</v>
      </c>
      <c r="LT231" s="170">
        <f ca="1">$AQ231*(1-Control!$C$144)-$LQ231</f>
        <v>-1.5241745131704001</v>
      </c>
      <c r="LU231" s="169">
        <f ca="1">(1-Control!$C$144)*AQ231-LP231</f>
        <v>3.2464704755046001</v>
      </c>
      <c r="LV231" s="172">
        <f t="shared" ca="1" si="793"/>
        <v>0.79430000000000012</v>
      </c>
      <c r="LW231" s="170">
        <f t="shared" ca="1" si="794"/>
        <v>1.5886000000000002</v>
      </c>
      <c r="LX231" s="170">
        <f ca="1">($AC231*($LR231/Control!$C$141)+$LM231*$LV231)/($AC231+$LM231)</f>
        <v>0.23530094218323697</v>
      </c>
      <c r="LY231" s="170">
        <f ca="1">($AC231*($LS231/Control!$C$141)+$LM231*$LV231)/($AC231+$LM231)</f>
        <v>0.23530094218323697</v>
      </c>
      <c r="LZ231" s="170">
        <f t="shared" ca="1" si="795"/>
        <v>0.23530094218323697</v>
      </c>
      <c r="MA231" s="170">
        <f t="shared" ca="1" si="796"/>
        <v>0.23530094218323697</v>
      </c>
      <c r="MB231" s="170" t="e">
        <f t="shared" ca="1" si="797"/>
        <v>#N/A</v>
      </c>
      <c r="MC231" s="170">
        <f t="shared" ca="1" si="887"/>
        <v>0.6018</v>
      </c>
      <c r="MD231" s="170">
        <f t="shared" ca="1" si="798"/>
        <v>0.52989392535414004</v>
      </c>
      <c r="ME231" s="170">
        <f ca="1">($AC231*($LT231/Control!$C$141)+$LM231*$LW231)/($AC231+$LM231)</f>
        <v>0.71612369323045078</v>
      </c>
      <c r="MF231" s="170" t="e">
        <f ca="1">IF(Control!$B$16&gt;=1000,0.92,IF(AND(720&lt;=Control!$B$16,1000&gt;Control!$B$16),(0.95+(Control!$B$16-720)*((0.92-0.95)/(1000-720))),IF(AND(360&lt;=Control!$B$16,720&gt;Control!$B$16),(1+(Control!$B$16-360)*((0.95-1)/(720-360))),IF(AND(40&lt;=Control!$B$16,360&gt;Control!$B$16),(1.05+(Control!$B$16-40)*((1.05-1)/(360-40)))))))</f>
        <v>#N/A</v>
      </c>
      <c r="MG231" s="170">
        <f t="shared" ca="1" si="799"/>
        <v>0.71612369323045078</v>
      </c>
      <c r="MH231" s="170" t="e">
        <f t="shared" ca="1" si="925"/>
        <v>#N/A</v>
      </c>
      <c r="MI231" s="170" t="e">
        <f t="shared" ca="1" si="925"/>
        <v>#N/A</v>
      </c>
      <c r="MJ231" s="170" t="e">
        <f ca="1">MAX(0.0001, Control!$C$132*$MI231*$DL231)</f>
        <v>#N/A</v>
      </c>
      <c r="MK231" s="170">
        <f ca="1">1/(0.76+1.5*($MG231/10))-(5-Control!$C$110)*0.1</f>
        <v>1.002845988140797</v>
      </c>
      <c r="ML231" s="173">
        <f ca="1">IF(Control!$C$110&lt;3,$MK231+($MG231-0.6)/(Control!$C$110*(Control!$C$110+3)), MAX(0.1, MIN(0.95,$MK231)))</f>
        <v>0.95</v>
      </c>
      <c r="MM231" s="173">
        <f ca="1">IF(Control!$C$110&lt;3,$MK231+(($MI231/10)-0.6)/(Control!$C$110*(Control!$C$110+3)), MAX(0.1, MIN(0.95,$MK231)))</f>
        <v>0.95</v>
      </c>
      <c r="MN231" s="173">
        <f ca="1">(1-$MM231)*(Control!$C$128-Control!$C$127)+Control!$C$127</f>
        <v>0.16</v>
      </c>
      <c r="MO231" s="170" t="e">
        <f ca="1">MAX(0,MIN(1,($MS231-Control!$C$127)/($MN231-Control!$C$127)))</f>
        <v>#DIV/0!</v>
      </c>
      <c r="MP231" s="173" t="e">
        <f ca="1">1/(0.76+1.5*$MI231)-(5-Control!$C$110)*0.1</f>
        <v>#N/A</v>
      </c>
      <c r="MQ231" s="172" t="e">
        <f t="shared" ca="1" si="916"/>
        <v>#DIV/0!</v>
      </c>
      <c r="MR231" s="168" t="e">
        <f t="shared" ca="1" si="888"/>
        <v>#DIV/0!</v>
      </c>
      <c r="MS231" s="173" t="e">
        <f ca="1">MAX(Control!$C$127, MIN(Control!$C$135, $MR231/MAX(0.0001,$CY231)))</f>
        <v>#DIV/0!</v>
      </c>
      <c r="MT231" s="168" t="e">
        <f ca="1">(Control!$C$128-$MS231)*Control!$C$74</f>
        <v>#DIV/0!</v>
      </c>
      <c r="MU231" s="168" t="e">
        <f ca="1">(Control!$C$135-$MS231)*Control!$C$74</f>
        <v>#DIV/0!</v>
      </c>
      <c r="MV231" s="168" t="e">
        <f t="shared" ca="1" si="889"/>
        <v>#DIV/0!</v>
      </c>
      <c r="MW231" s="168" t="e">
        <f t="shared" ca="1" si="890"/>
        <v>#DIV/0!</v>
      </c>
      <c r="MX231" s="171" t="e">
        <f ca="1">MAX(Control!$C$127, MIN(Control!$C$135, $MW231/MAX(0.0001,Control!$C$119-$CY231)))</f>
        <v>#DIV/0!</v>
      </c>
      <c r="MY231" s="54" t="e">
        <f ca="1">IF(Control!$C$114=1, $CX231*$MX231, 0)</f>
        <v>#DIV/0!</v>
      </c>
      <c r="MZ231" s="54" t="e">
        <f t="shared" ca="1" si="891"/>
        <v>#N/A</v>
      </c>
      <c r="NA231" s="168" t="e">
        <f ca="1">(Control!$C$128-$MX231)*(Control!$C$119-Control!$C$74)</f>
        <v>#DIV/0!</v>
      </c>
      <c r="NB231" s="168" t="e">
        <f ca="1">(Control!$C$135-$MX231)*(Control!$C$119-Control!$C$74)</f>
        <v>#DIV/0!</v>
      </c>
      <c r="NC231" s="174" t="e">
        <f t="shared" ca="1" si="892"/>
        <v>#DIV/0!</v>
      </c>
      <c r="ND231" s="54">
        <f ca="1">IF(Control!$C$58=2, IF(OR(Control!$B$218=$AH231,Control!$B$219=$AH231, Control!$B$220=$AH231, Control!$B$221=$AH231, Control!$B$222=$AH231, Control!$B$223=$AH231, Control!$B$224=$AH231, Control!$B$225=$AH231, Control!$B$226=$AH231, Control!$B$227=$AH231, Control!$B$228=$AH231), 1, 0), 0)</f>
        <v>0</v>
      </c>
      <c r="NE231" s="54">
        <f ca="1">IF($ND231=0,0, VLOOKUP($AH231,Control!$B$218:$C$228,2))</f>
        <v>0</v>
      </c>
      <c r="NF231" s="168" t="e">
        <f ca="1">$CY231*(Control!$C$128-Control!$C$127)</f>
        <v>#N/A</v>
      </c>
      <c r="NG231" s="54" t="e">
        <f ca="1">IF(Control!$C$58=2, $NI230-$NJ230, 0)</f>
        <v>#DIV/0!</v>
      </c>
      <c r="NH231" s="54" t="e">
        <f ca="1">IF(AND(Control!$C$58=1, $MS230&lt;= ($MN230+0.02), $I230&lt;10), 0, IF(Control!$C$58=2, $NG230, 0))</f>
        <v>#DIV/0!</v>
      </c>
      <c r="NI231" s="54" t="e">
        <f ca="1">IF(Control!$C$58=2, $NE231+$NH231,0)</f>
        <v>#DIV/0!</v>
      </c>
      <c r="NJ231" s="54" t="e">
        <f ca="1">IF(AND(Control!$C$58=1, $MS231&lt;= ($MN231+0.02), $I231&lt;10), MAX(0, MIN(10, 0.7*($NF231-$MV231))), IF(Control!$C$58=2, MIN(10,$NI231),0))</f>
        <v>#DIV/0!</v>
      </c>
      <c r="NK231" s="54" t="e">
        <f t="shared" ca="1" si="800"/>
        <v>#DIV/0!</v>
      </c>
      <c r="NL231" s="173" t="e">
        <f ca="1">(1-Control!$C$73)*$I231+$NJ231</f>
        <v>#DIV/0!</v>
      </c>
      <c r="NM231" s="172" t="e">
        <f ca="1">IF($NL231&lt;0.5, $MB231* MAX(0, MIN(1, (SQRT($NC231)-SQRT($NC231-1))*Control!$C$71)),0)</f>
        <v>#DIV/0!</v>
      </c>
      <c r="NN231" s="170" t="e">
        <f ca="1">IF($NL231&gt;=5, $MB231, MAX(0,MIN($MB231, $NM231+$NL231,($MS231-Control!$C$129))))</f>
        <v>#DIV/0!</v>
      </c>
      <c r="NO231" s="54">
        <f>IF(Control!$C$133&lt;&gt;1, Control!$C$135-Control!$C$131, 0)</f>
        <v>0.38</v>
      </c>
      <c r="NP231" s="54" t="e">
        <f t="shared" ca="1" si="801"/>
        <v>#DIV/0!</v>
      </c>
      <c r="NQ231" s="173" t="e">
        <f ca="1">MAX(0,MIN(1,(Control!$C$135-$MS231)/(Control!$C$135-$NO231)))</f>
        <v>#DIV/0!</v>
      </c>
      <c r="NR231" s="170" t="e">
        <f ca="1">IF(Control!$C$133&lt;&gt;1, $NQ231+((1-$NP231/4)*(1-$NQ231)),1)</f>
        <v>#DIV/0!</v>
      </c>
      <c r="NS231" s="170" t="e">
        <f ca="1">IF(Control!$B$31=0,$MJ231,MAX(0,MIN($MV231,$MO231*$NR231*$MJ231)))</f>
        <v>#DIV/0!</v>
      </c>
      <c r="NT231" s="170" t="e">
        <f t="shared" ca="1" si="917"/>
        <v>#DIV/0!</v>
      </c>
      <c r="NU231" s="170" t="e">
        <f t="shared" ca="1" si="893"/>
        <v>#N/A</v>
      </c>
      <c r="NV231" s="170" t="e">
        <f t="shared" ca="1" si="802"/>
        <v>#N/A</v>
      </c>
      <c r="NW231" s="175" t="e">
        <f t="shared" ca="1" si="803"/>
        <v>#DIV/0!</v>
      </c>
      <c r="NX231" s="170" t="e">
        <f ca="1">MIN(Control!$C$72+$MU231, $NW231)</f>
        <v>#DIV/0!</v>
      </c>
      <c r="NY231" s="170" t="e">
        <f ca="1">IF($MT231&lt;=$NX231,MIN(Control!$C$72+$NB231,$NX231-$MT231),0)</f>
        <v>#DIV/0!</v>
      </c>
      <c r="NZ231" s="54" t="e">
        <f ca="1">IF(Control!$C$114=1,  $CX231*($MX231-Control!$C$127), 0)</f>
        <v>#DIV/0!</v>
      </c>
      <c r="OA231" s="170" t="e">
        <f t="shared" ca="1" si="804"/>
        <v>#DIV/0!</v>
      </c>
      <c r="OB231" s="170" t="e">
        <f ca="1">IF($NA231 &lt;=$NY231, MIN(Control!$C$72, $NY231-$NA231), 0)</f>
        <v>#DIV/0!</v>
      </c>
      <c r="OC231" s="168" t="e">
        <f t="shared" ca="1" si="805"/>
        <v>#DIV/0!</v>
      </c>
      <c r="OD231" s="168" t="e">
        <f t="shared" ca="1" si="894"/>
        <v>#DIV/0!</v>
      </c>
      <c r="OE231" s="170">
        <f ca="1">Control!$C$73*$I231</f>
        <v>0</v>
      </c>
      <c r="OF231" s="176" t="e">
        <f t="shared" ca="1" si="806"/>
        <v>#DIV/0!</v>
      </c>
      <c r="OG231" s="168" t="e">
        <f t="shared" ca="1" si="807"/>
        <v>#DIV/0!</v>
      </c>
      <c r="OH231" s="168" t="e">
        <f t="shared" ca="1" si="808"/>
        <v>#DIV/0!</v>
      </c>
      <c r="OI231" s="168" t="e">
        <f t="shared" ca="1" si="809"/>
        <v>#DIV/0!</v>
      </c>
      <c r="OJ231" s="168" t="e">
        <f t="shared" ca="1" si="810"/>
        <v>#DIV/0!</v>
      </c>
      <c r="OK231" s="204" t="e">
        <f t="shared" ca="1" si="811"/>
        <v>#DIV/0!</v>
      </c>
      <c r="OL231" s="177">
        <f>Control!$C$127</f>
        <v>0.15</v>
      </c>
      <c r="OM231" s="182" t="e">
        <f t="shared" ca="1" si="812"/>
        <v>#N/A</v>
      </c>
      <c r="ON231" s="177">
        <f>Control!$C$128</f>
        <v>0.35</v>
      </c>
      <c r="OO231" s="182" t="e">
        <f t="shared" ca="1" si="813"/>
        <v>#N/A</v>
      </c>
      <c r="OP231" s="138">
        <f t="shared" ca="1" si="895"/>
        <v>0</v>
      </c>
      <c r="OQ231" s="138" t="e">
        <f t="shared" ca="1" si="918"/>
        <v>#DIV/0!</v>
      </c>
      <c r="OR231" s="138" t="e">
        <f t="shared" ca="1" si="896"/>
        <v>#DIV/0!</v>
      </c>
      <c r="OS231" s="137" t="e">
        <f t="shared" ca="1" si="919"/>
        <v>#DIV/0!</v>
      </c>
      <c r="OT231" s="139" t="e">
        <f t="shared" ca="1" si="920"/>
        <v>#DIV/0!</v>
      </c>
      <c r="OU231" s="138" t="e">
        <f t="shared" ca="1" si="921"/>
        <v>#N/A</v>
      </c>
      <c r="OV231" s="138" t="e">
        <f t="shared" ca="1" si="922"/>
        <v>#DIV/0!</v>
      </c>
      <c r="OW231" s="138" t="e">
        <f t="shared" ca="1" si="897"/>
        <v>#DIV/0!</v>
      </c>
      <c r="OX231" s="138" t="e">
        <f t="shared" ca="1" si="898"/>
        <v>#DIV/0!</v>
      </c>
      <c r="OY231" s="138" t="e">
        <f t="shared" ca="1" si="899"/>
        <v>#DIV/0!</v>
      </c>
      <c r="OZ231" s="138" t="e">
        <f t="shared" ca="1" si="814"/>
        <v>#DIV/0!</v>
      </c>
      <c r="PA231" s="138" t="e">
        <f t="shared" ca="1" si="815"/>
        <v>#DIV/0!</v>
      </c>
      <c r="PB231" s="55">
        <f>IF(Control!$C$61="T", IF(Control!$C$65="F", IF($AH$6-Control!$C$60&lt;0,0,1), IF(365+$AH$6-Control!$C$60&lt;0,0,1)),0)</f>
        <v>0</v>
      </c>
      <c r="PC231" s="55">
        <f ca="1">IF(Control!$C$65="F", IF($AH$6-$HF231&lt;0,0,1), IF(365+$AH$6-$HF231&lt;0,0,1))</f>
        <v>1</v>
      </c>
      <c r="PD231" s="444">
        <f>Control!$C$118</f>
        <v>1500</v>
      </c>
      <c r="PE231" s="180" t="e">
        <f t="shared" ca="1" si="816"/>
        <v>#N/A</v>
      </c>
      <c r="PF231" s="445">
        <f t="shared" ca="1" si="900"/>
        <v>0.71612369323045078</v>
      </c>
      <c r="PT231" s="186"/>
      <c r="PU231" s="186"/>
      <c r="PV231" s="94"/>
      <c r="PW231" s="94"/>
      <c r="PX231" s="94"/>
      <c r="PY231" s="94"/>
      <c r="PZ231" s="94"/>
      <c r="QA231" s="94"/>
      <c r="QB231" s="94"/>
      <c r="QC231" s="94"/>
      <c r="QD231" s="94"/>
      <c r="QE231" s="94"/>
      <c r="QF231" s="94"/>
      <c r="QG231" s="94"/>
      <c r="QH231" s="94"/>
      <c r="QI231" s="94"/>
      <c r="QJ231" s="94"/>
      <c r="QK231" s="94"/>
      <c r="QL231" s="94"/>
      <c r="QM231" s="94"/>
      <c r="QN231" s="94"/>
      <c r="QO231" s="94"/>
      <c r="QP231" s="94"/>
    </row>
    <row r="232" spans="1:458" s="2" customFormat="1" x14ac:dyDescent="0.2">
      <c r="A232" s="395">
        <v>15</v>
      </c>
      <c r="B232" s="396">
        <v>8</v>
      </c>
      <c r="C232" s="387">
        <f ca="1">Weather_data!$B231</f>
        <v>0</v>
      </c>
      <c r="D232" s="388">
        <f ca="1">Weather_data!$F231</f>
        <v>0</v>
      </c>
      <c r="E232" s="388">
        <f ca="1">Weather_data!$E231</f>
        <v>0</v>
      </c>
      <c r="F232" s="388">
        <f t="shared" ca="1" si="817"/>
        <v>0</v>
      </c>
      <c r="G232" s="388">
        <f ca="1">AVERAGE($D232:$E232)+Control!$B$9</f>
        <v>0</v>
      </c>
      <c r="H232" s="388">
        <f ca="1">Weather_data!$G231</f>
        <v>0</v>
      </c>
      <c r="I232" s="388">
        <f ca="1">Weather_data!$I231</f>
        <v>0</v>
      </c>
      <c r="J232" s="388">
        <f ca="1">Weather_data!$H231</f>
        <v>0</v>
      </c>
      <c r="K232" s="389">
        <f ca="1">Weather_data!$D231</f>
        <v>0</v>
      </c>
      <c r="L232" s="388" t="e">
        <f t="shared" ca="1" si="818"/>
        <v>#N/A</v>
      </c>
      <c r="M232" s="388" t="e">
        <f t="shared" ca="1" si="696"/>
        <v>#N/A</v>
      </c>
      <c r="N232" s="388">
        <f t="shared" ca="1" si="697"/>
        <v>-2.2791721927997209E-11</v>
      </c>
      <c r="O232" s="388">
        <f t="shared" ca="1" si="819"/>
        <v>2.2791721927997208E-10</v>
      </c>
      <c r="P232" s="390">
        <v>3</v>
      </c>
      <c r="Q232" s="388">
        <f ca="1">MAX($G232-Control!$C$107,0)</f>
        <v>0</v>
      </c>
      <c r="R232" s="388">
        <f t="shared" ca="1" si="820"/>
        <v>0</v>
      </c>
      <c r="S232" s="388">
        <f t="shared" ca="1" si="698"/>
        <v>0</v>
      </c>
      <c r="T232" s="388">
        <f t="shared" ca="1" si="699"/>
        <v>0</v>
      </c>
      <c r="U232" s="59">
        <f t="shared" ca="1" si="700"/>
        <v>0</v>
      </c>
      <c r="V232" s="391">
        <f ca="1">MAX(0,MIN(Control!$C$100-Control!$C$99,$G232-Control!$C$99)*Control!$C$63)</f>
        <v>0</v>
      </c>
      <c r="W232" s="388">
        <f t="shared" ca="1" si="821"/>
        <v>0</v>
      </c>
      <c r="X232" s="388">
        <f t="shared" ca="1" si="822"/>
        <v>0.6110000000000001</v>
      </c>
      <c r="Y232" s="388">
        <f t="shared" ca="1" si="701"/>
        <v>0</v>
      </c>
      <c r="Z232" s="388">
        <f t="shared" ca="1" si="823"/>
        <v>0.61058800000000002</v>
      </c>
      <c r="AA232" s="388">
        <f t="shared" ca="1" si="702"/>
        <v>0.6018</v>
      </c>
      <c r="AB232" s="388">
        <f ca="1">101.3*EXP(-0.034*Control!$C$66/($G232+273))</f>
        <v>100.69623283836242</v>
      </c>
      <c r="AC232" s="392">
        <f t="shared" ca="1" si="703"/>
        <v>4.3460251046025113E-2</v>
      </c>
      <c r="AD232" s="392">
        <f t="shared" ca="1" si="704"/>
        <v>4.4450382862832649E-2</v>
      </c>
      <c r="AE232" s="388">
        <f t="shared" ca="1" si="705"/>
        <v>0</v>
      </c>
      <c r="AF232" s="388">
        <f ca="1">MAX(0,$G232-Control!$C$92)</f>
        <v>0</v>
      </c>
      <c r="AG232" s="393">
        <f t="shared" ca="1" si="706"/>
        <v>228</v>
      </c>
      <c r="AH232" s="389">
        <f t="shared" ca="1" si="707"/>
        <v>228</v>
      </c>
      <c r="AI232" s="388">
        <f t="shared" ca="1" si="824"/>
        <v>0.23180005102321208</v>
      </c>
      <c r="AJ232" s="388">
        <f ca="1">IF(Control!$C$60&lt;=0,$HH232,$HI232)</f>
        <v>1</v>
      </c>
      <c r="AK232" s="388">
        <f t="shared" ca="1" si="708"/>
        <v>2.5477025355139147</v>
      </c>
      <c r="AL232" s="388">
        <f t="shared" ca="1" si="709"/>
        <v>-1.118071607519866E-17</v>
      </c>
      <c r="AM232" s="388">
        <f t="shared" ca="1" si="710"/>
        <v>2.5477025355139147</v>
      </c>
      <c r="AN232" s="388">
        <f t="shared" ca="1" si="711"/>
        <v>0.22448530257666197</v>
      </c>
      <c r="AO232" s="388">
        <f ca="1">-0.10453/COS(Control!$B$8*PI()/180)*COS(AN232)</f>
        <v>-0.16552475997938423</v>
      </c>
      <c r="AP232" s="388">
        <f ca="1">ACOS(AO232-TAN(Control!$B$8*PI()/180)*TAN(AN232))</f>
        <v>2.0462914091006477</v>
      </c>
      <c r="AQ232" s="388">
        <f t="shared" ca="1" si="825"/>
        <v>0</v>
      </c>
      <c r="AR232" s="394">
        <f t="shared" ca="1" si="712"/>
        <v>0</v>
      </c>
      <c r="AS232" s="436">
        <f ca="1">IF(Control!$B$18=2,(IF(OR($AH232=Control!$B$175,$AH232=Control!$B$176,$AH232=Control!$B$177,$AH232=Control!$B$178,$AH232=Control!$B$179,$AH232=Control!$B$180,$AH232=Control!$B$181,$AH232=Control!$B$182,$AH232=Control!$B$183,$AH232=Control!$B$184,$AH232=Control!$B$185),1,0)),0)</f>
        <v>0</v>
      </c>
      <c r="AT232" s="436">
        <f>IF(Control!$B$20=8,IF(AND($AH232&gt;=Control!$B$172,$AH232&lt;=Control!$B$173),1,0),0)</f>
        <v>0</v>
      </c>
      <c r="AU232" s="436">
        <f>IF(Control!$B$20=8,IF($AV231=1,1*$AT232,IF($AT232=1,$AU231+1,$AU231)),0)</f>
        <v>0</v>
      </c>
      <c r="AV232" s="436">
        <f>IF(Control!$B$20=8,IF($AU232&gt;=Control!$B$174,1,0),0)</f>
        <v>0</v>
      </c>
      <c r="AW232" s="436">
        <f ca="1">IF(AND(Control!$B$18=2,Control!$B$171=1), $AV232, $AS232)</f>
        <v>0</v>
      </c>
      <c r="AX232" s="436" t="e">
        <f ca="1">IF(AND(Control!$B$18=1,$EU232&gt;=Control!$B$19),-$AY232,IF(AND(Control!$B$18=2,$AW232=1,$EU232&gt;$DS232),-$AY232, IF(Control!$C$108=0,0, IF(Control!$C$108&lt;&gt;0,1))))</f>
        <v>#N/A</v>
      </c>
      <c r="AY232" s="436" t="e">
        <f t="shared" ca="1" si="826"/>
        <v>#N/A</v>
      </c>
      <c r="AZ232" s="436" t="e">
        <f ca="1">IF(AND(Control!$B$18=1,$EB232&gt;Control!$B$19),$AZ231+1, IF(AND(Control!$B$18=2, $AW232=1, $EB232&gt;$DS232), $AZ231+1,$AZ231))</f>
        <v>#N/A</v>
      </c>
      <c r="BA232" s="587">
        <f>IF(Control!$C$81=0,1,IF($AH232&gt;=Control!$C$82,1,0))</f>
        <v>1</v>
      </c>
      <c r="BB232" s="140" t="e">
        <f ca="1">IF($BA232&gt;$BA231,Control!$C$83,IF($AW232&gt;0,$AW232*Control!$C$84,IF(AND(Control!$B$18=1,EN231&lt;&gt;0),Control!$C$84,0)))</f>
        <v>#N/A</v>
      </c>
      <c r="BC232" s="140" t="e">
        <f t="shared" ca="1" si="827"/>
        <v>#N/A</v>
      </c>
      <c r="BD232" s="140" t="e">
        <f ca="1">BC232*IF(OR($G232&lt;Control!$C$92,$G232&gt;Control!$C$95),0,IF(AND($G232&gt;=Control!$C$92,$G232&lt;=Control!$C$93),$G232-Control!$C$92,IF(AND($G232&gt;Control!$C$93,$G232&lt;=Control!$C$94),Control!$C$93-Control!$C$92,IF(AND($G232&gt;Control!$C$94,$G232&lt;=Control!$C$95),(Control!$C$93-Control!$C$92)*(Control!$C$94-$G232)/(Control!$C$95-Control!$C$94)))))</f>
        <v>#N/A</v>
      </c>
      <c r="BE232" s="140" t="e">
        <f t="shared" ca="1" si="828"/>
        <v>#N/A</v>
      </c>
      <c r="BF232" s="140" t="e">
        <f ca="1">IF($BE232&lt;=Control!$C$86,$BE232,Control!$C$86-$BE232)</f>
        <v>#N/A</v>
      </c>
      <c r="BG232" s="140" t="e">
        <f ca="1">IF(AND($AW232=1,Control!$C$84&lt;9),1,IF($BE232&gt;=Control!$C$86,0,$BC232))</f>
        <v>#N/A</v>
      </c>
      <c r="BH232" s="404" t="e">
        <f ca="1">IF($BG232=0,0,IF($BE232&lt;=Control!$C$86,$BC232*9*($BF232/Control!$C$86),0))</f>
        <v>#N/A</v>
      </c>
      <c r="BI232" s="140" t="e">
        <f ca="1">IF($BG232=1,0,IF($BE232&gt;=Control!$C$86,1,IF(AND($BB232&lt;21,$BB232&gt;=9),1,$BM231)))</f>
        <v>#N/A</v>
      </c>
      <c r="BJ232" s="140" t="e">
        <f ca="1">IF($BF232&lt;0,-$BF232,$BI232*IF(OR($G232&lt;Control!$C$92,$G232&gt;Control!$C$95),0,IF(AND($G232&gt;=Control!$C$92,$G232&lt;=Control!$C$93),$G232-Control!$C$92,IF(AND($G232&gt;Control!$C$93,$G232&lt;=Control!$C$94),Control!$C$93-Control!$C$92,IF(AND($G232&gt;Control!$C$94,$G232&lt;=Control!$C$95),(Control!$C$93-Control!$C$92)*(Control!$C$94-$G232)/(Control!$C$95-Control!$C$94))))))</f>
        <v>#N/A</v>
      </c>
      <c r="BK232" s="140" t="e">
        <f t="shared" ca="1" si="829"/>
        <v>#N/A</v>
      </c>
      <c r="BL232" s="140" t="e">
        <f ca="1">IF($BK232&lt;=Control!$C$87,$BK232,Control!$C$87-$BK232)</f>
        <v>#N/A</v>
      </c>
      <c r="BM232" s="140" t="e">
        <f ca="1">IF(AND($BB232&gt;=9,$BB232&lt;21),1,IF($BK232&gt;=Control!$C$87,0,$BI232))</f>
        <v>#N/A</v>
      </c>
      <c r="BN232" s="404" t="e">
        <f ca="1">IF($BM232=0,0,IF($BK232&lt;=Control!$C$87,$BI232*(9+(21-9)*($BL232/Control!$C$87)),0))</f>
        <v>#N/A</v>
      </c>
      <c r="BO232" s="140" t="e">
        <f ca="1">IF($BM232=1,0,IF($BK232&gt;=Control!$C$87,1,IF(AND($BB232&lt;30,$BB232&gt;=21),1,$BS231)))</f>
        <v>#N/A</v>
      </c>
      <c r="BP232" s="140" t="e">
        <f ca="1">IF($BL232&lt;0,-$BL232,$BO232*IF(OR($G232&lt;Control!$C$92,$G232&gt;Control!$C$95),0,IF(AND($G232&gt;=Control!$C$92,$G232&lt;=Control!$C$93),$G232-Control!$C$92,IF(AND($G232&gt;Control!$C$93,$G232&lt;=Control!$C$94),Control!$C$93-Control!$C$92,IF(AND($G232&gt;Control!$C$94,$G232&lt;=Control!$C$95),(Control!$C$93-Control!$C$92)*(Control!$C$94-$G232)/(Control!$C$95-Control!$C$94))))))</f>
        <v>#N/A</v>
      </c>
      <c r="BQ232" s="140" t="e">
        <f t="shared" ca="1" si="713"/>
        <v>#N/A</v>
      </c>
      <c r="BR232" s="140" t="e">
        <f ca="1">IF($BQ232&lt;=Control!$C$88,$BQ232,Control!$C$88-$BQ232)</f>
        <v>#N/A</v>
      </c>
      <c r="BS232" s="140" t="e">
        <f ca="1">IF(AND($BB232&gt;=21,$BB232&lt;30),1,IF($BQ232&gt;=Control!$C$88,0,$BO232))</f>
        <v>#N/A</v>
      </c>
      <c r="BT232" s="404" t="e">
        <f ca="1">IF($BS232=0,0,IF($BQ232&lt;=Control!$C$88,$BO232*(21+(30-21)*(BR232/Control!$C$88)),0))</f>
        <v>#N/A</v>
      </c>
      <c r="BU232" s="140" t="e">
        <f ca="1">IF(BG232+BM232+BS232=1,0,IF(OR(AND($BB232&lt;60,$BB232&gt;=30),$BQ232&gt;=Control!$C$88),1*$BA232,$BY231))</f>
        <v>#N/A</v>
      </c>
      <c r="BV232" s="140" t="e">
        <f ca="1">IF($BR232&lt;0,-$BR232,$BU232*IF(OR($G232&lt;Control!$C$92,$G232&gt;Control!$C$95),0,IF(AND($G232&gt;=Control!$C$92,$G232&lt;=Control!$C$93),$G232-Control!$C$92,IF(AND($G232&gt;Control!$C$93,$G232&lt;=Control!$C$94),Control!$C$93-Control!$C$92,IF(AND($G232&gt;Control!$C$94,$G232&lt;=Control!$C$95),(Control!$C$93-Control!$C$92)*(Control!$C$94-$G232)/(Control!$C$95-Control!$C$94))))))</f>
        <v>#N/A</v>
      </c>
      <c r="BW232" s="140" t="e">
        <f t="shared" ca="1" si="714"/>
        <v>#N/A</v>
      </c>
      <c r="BX232" s="140" t="e">
        <f ca="1">IF($BW232&lt;=Control!$C$89,$BW232,Control!$C$89-$BW232)</f>
        <v>#N/A</v>
      </c>
      <c r="BY232" s="140" t="e">
        <f ca="1">IF(AND($AJ232&gt;=30,$AJ232&lt;60),1,IF($BW232&gt;=Control!$C$89,0,$BU232))</f>
        <v>#N/A</v>
      </c>
      <c r="BZ232" s="404" t="e">
        <f ca="1">IF($BY232=0,0,IF($BW232&lt;=Control!$C$89,$BU232*(30+(60-30)*(BX232/Control!$C$89)),0))</f>
        <v>#N/A</v>
      </c>
      <c r="CA232" s="140" t="e">
        <f ca="1">IF($BG232+$BM232+$BS232+$BY232=1,0,IF(OR(AND($BB232&lt;65,$BB232&gt;=60),$BW232&gt;=Control!$C$89),1*$BA232,$CE231))</f>
        <v>#N/A</v>
      </c>
      <c r="CB232" s="140" t="e">
        <f ca="1">IF($BX232&lt;0,-$BX232,$CA232*IF(OR($G232&lt;Control!$C$92,$G232&gt;Control!$C$95),0,IF(AND($G232&gt;=Control!$C$92,$G232&lt;=Control!$C$93),$G232-Control!$C$92,IF(AND($G232&gt;Control!$C$93,$G232&lt;=Control!$C$94),Control!$C$93-Control!$C$92,IF(AND($G232&gt;Control!$C$94,$G232&lt;=Control!$C$95),(Control!$C$93-Control!$C$92)*(Control!$C$94-$G232)/(Control!$C$95-Control!$C$94))))))</f>
        <v>#N/A</v>
      </c>
      <c r="CC232" s="140" t="e">
        <f t="shared" ca="1" si="830"/>
        <v>#N/A</v>
      </c>
      <c r="CD232" s="140" t="e">
        <f ca="1">IF($CC232&lt;=Control!$C$90,$CC232,Control!$C$90-$CC232)</f>
        <v>#N/A</v>
      </c>
      <c r="CE232" s="140" t="e">
        <f ca="1">IF(AND($BB232&gt;=60,$BB232&lt;65),1,IF($CC232&gt;=Control!$C$90,0,$CA232))</f>
        <v>#N/A</v>
      </c>
      <c r="CF232" s="404" t="e">
        <f ca="1">IF($CE232=0,0,IF($CC232&lt;=Control!$C$90,$CA232*(60+(65-60)*(CD232/Control!$C$90)),0))</f>
        <v>#N/A</v>
      </c>
      <c r="CG232" s="140" t="e">
        <f ca="1">IF($BG232+$BM232+$BS232+$BY232+$CE232=1,0,IF(OR(AND($BB232&lt;90,$BB232&gt;=65),$CC232&gt;=Control!$C$90),$BA232,$CK231))</f>
        <v>#N/A</v>
      </c>
      <c r="CH232" s="140" t="e">
        <f ca="1">IF($CD232&lt;0,-$CD232,$CG232*IF(OR($G232&lt;Control!$C$92,$G232&gt;Control!$C$95),0,IF(AND($G232&gt;=Control!$C$92,$G232&lt;=Control!$C$93),$G232-Control!$C$92,IF(AND($G232&gt;Control!$C$93,$G232&lt;=Control!$C$94),Control!$C$93-Control!$C$92,IF(AND($G232&gt;Control!$C$94,$G232&lt;=Control!$C$95),(Control!$C$93-Control!$C$92)*(Control!$C$94-$G232)/(Control!$C$95-Control!$C$94))))))</f>
        <v>#N/A</v>
      </c>
      <c r="CI232" s="140" t="e">
        <f t="shared" ca="1" si="831"/>
        <v>#N/A</v>
      </c>
      <c r="CJ232" s="140" t="e">
        <f ca="1">IF($CI232&lt;=Control!$C$91,$CI232,Control!$C$91-$CI232)</f>
        <v>#N/A</v>
      </c>
      <c r="CK232" s="140" t="e">
        <f ca="1">IF(AND($BB232&gt;=65,$BB232&lt;90),1,IF($CI232&gt;=Control!$C$91,0,$CG232))</f>
        <v>#N/A</v>
      </c>
      <c r="CL232" s="404" t="e">
        <f ca="1">IF($CK232=0,0,IF($CI232&lt;=Control!$C$91,$CG232*(65+(90-65)*($CJ232/Control!$C$91)),0))</f>
        <v>#N/A</v>
      </c>
      <c r="CM232" s="140" t="e">
        <f ca="1">IF($BG232+$BM232+$BS232+$BY232+$CE232+$CK232=1,0,IF(OR($BB232&gt;=90,$CI232&gt;=Control!$C$91),$BA232,$CM231))</f>
        <v>#N/A</v>
      </c>
      <c r="CN232" s="140" t="e">
        <f t="shared" ca="1" si="832"/>
        <v>#N/A</v>
      </c>
      <c r="CO232" s="140" t="e">
        <f t="shared" ca="1" si="833"/>
        <v>#N/A</v>
      </c>
      <c r="CP232" s="140" t="e">
        <f t="shared" ca="1" si="834"/>
        <v>#N/A</v>
      </c>
      <c r="CQ232" s="141" t="e">
        <f ca="1">VLOOKUP($CP232,Control!$B$86:$G$91,6)</f>
        <v>#N/A</v>
      </c>
      <c r="CR232" s="141" t="e">
        <f ca="1">(1-$CQ232)*VLOOKUP($CP232,Control!$B$86:$D$91,3)</f>
        <v>#N/A</v>
      </c>
      <c r="CS232" s="141" t="e">
        <f ca="1">(1-$CQ232)*VLOOKUP($CP232,Control!$B$86:$E$91,4)</f>
        <v>#N/A</v>
      </c>
      <c r="CT232" s="141" t="e">
        <f ca="1">(1-$CQ232)*VLOOKUP($CP232,Control!$B$86:$F$91,5)</f>
        <v>#N/A</v>
      </c>
      <c r="CU232" s="141">
        <f t="shared" ca="1" si="835"/>
        <v>0</v>
      </c>
      <c r="CV232" s="583">
        <f t="shared" ca="1" si="836"/>
        <v>0</v>
      </c>
      <c r="CW232" s="142">
        <f t="shared" ca="1" si="837"/>
        <v>228</v>
      </c>
      <c r="CX232" s="612" t="e">
        <f ca="1">IF(Control!$C$114=1,(MIN(Control!$C$120*(IF($NT232-0.01&lt;0,0,1)),Control!$C$119-$CY232)))</f>
        <v>#DIV/0!</v>
      </c>
      <c r="CY232" s="143" t="e">
        <f t="shared" ca="1" si="838"/>
        <v>#N/A</v>
      </c>
      <c r="CZ232" s="144">
        <f t="shared" ca="1" si="715"/>
        <v>0</v>
      </c>
      <c r="DA232" s="144">
        <f t="shared" ca="1" si="716"/>
        <v>0</v>
      </c>
      <c r="DB232" s="144" t="e">
        <f t="shared" ca="1" si="717"/>
        <v>#N/A</v>
      </c>
      <c r="DC232" s="144" t="e">
        <f t="shared" ca="1" si="718"/>
        <v>#N/A</v>
      </c>
      <c r="DD232" s="144" t="e">
        <f t="shared" ca="1" si="923"/>
        <v>#N/A</v>
      </c>
      <c r="DE232" s="143" t="e">
        <f t="shared" ca="1" si="839"/>
        <v>#N/A</v>
      </c>
      <c r="DF232" s="145" t="e">
        <f ca="1">$DR232*EXP(-Control!$C$158*(1-$KH232))</f>
        <v>#N/A</v>
      </c>
      <c r="DG232" s="146" t="e">
        <f ca="1">IF(Control!$C$114=1, $DF232*$EY232, 0)</f>
        <v>#N/A</v>
      </c>
      <c r="DH232" s="147" t="e">
        <f t="shared" ca="1" si="840"/>
        <v>#N/A</v>
      </c>
      <c r="DI232" s="144" t="e">
        <f t="shared" ca="1" si="901"/>
        <v>#N/A</v>
      </c>
      <c r="DJ232" s="147" t="e">
        <f ca="1">$EF232*Control!$C$109</f>
        <v>#N/A</v>
      </c>
      <c r="DK232" s="144" t="e">
        <f t="shared" ca="1" si="841"/>
        <v>#N/A</v>
      </c>
      <c r="DL232" s="144" t="e">
        <f t="shared" ca="1" si="719"/>
        <v>#N/A</v>
      </c>
      <c r="DM232" s="144" t="e">
        <f ca="1">IF(Control!$C$114=1, (1-EXP(-Control!$C$96*$DK232))*$AR232, 0)</f>
        <v>#N/A</v>
      </c>
      <c r="DN232" s="144">
        <f t="shared" ca="1" si="842"/>
        <v>0</v>
      </c>
      <c r="DO232" s="148">
        <f>Control!$C$97</f>
        <v>4</v>
      </c>
      <c r="DP232" s="145" t="e">
        <f t="shared" ca="1" si="843"/>
        <v>#N/A</v>
      </c>
      <c r="DQ232" s="145" t="e">
        <f ca="1">IF(AND($CP232&gt;=0,$CP232&lt;=90),Control!$C$111,Control!$C$111)</f>
        <v>#N/A</v>
      </c>
      <c r="DR232" s="145" t="e">
        <f t="shared" ca="1" si="720"/>
        <v>#N/A</v>
      </c>
      <c r="DS232" s="143" t="e">
        <f ca="1">Control!$B$22/$DR232</f>
        <v>#N/A</v>
      </c>
      <c r="DT232" s="149" t="e">
        <f ca="1">IF(AND(Control!$C$114=1,$KH232&lt;1),$IM232*$DF232, 0)</f>
        <v>#N/A</v>
      </c>
      <c r="DU232" s="144" t="e">
        <f t="shared" ca="1" si="844"/>
        <v>#N/A</v>
      </c>
      <c r="DV232" s="144">
        <f ca="1">IF($G232-Control!$C$107&lt;=0, 0, 0.83*LN(MAX($G232, 3))-0.8924)</f>
        <v>0</v>
      </c>
      <c r="DW232" s="144" t="e">
        <f t="shared" ca="1" si="721"/>
        <v>#N/A</v>
      </c>
      <c r="DX232" s="150" t="e">
        <f ca="1">MAX(0.01*(1+$CU232/Control!$C$102),0.05*($DK232-Control!$C$97)/Control!$C$97)</f>
        <v>#N/A</v>
      </c>
      <c r="DY232" s="151" t="e">
        <f ca="1">IF(Control!$C$114=1, $DI232*$FS232, 0)</f>
        <v>#N/A</v>
      </c>
      <c r="DZ232" s="196" t="e">
        <f t="shared" ca="1" si="845"/>
        <v>#N/A</v>
      </c>
      <c r="EA232" s="152">
        <f t="shared" ca="1" si="846"/>
        <v>228</v>
      </c>
      <c r="EB232" s="153" t="e">
        <f t="shared" ca="1" si="847"/>
        <v>#N/A</v>
      </c>
      <c r="EC232" s="153" t="e">
        <f t="shared" ca="1" si="848"/>
        <v>#N/A</v>
      </c>
      <c r="ED232" s="154" t="e">
        <f ca="1">IF(Control!$C$114=1, $HM232*$FY232-$FD232, 0)</f>
        <v>#DIV/0!</v>
      </c>
      <c r="EE232" s="155" t="e">
        <f ca="1">IF(Control!$C$114=1, $HM232*$FZ232-$FF232, 0)</f>
        <v>#DIV/0!</v>
      </c>
      <c r="EF232" s="153" t="e">
        <f t="shared" ca="1" si="902"/>
        <v>#N/A</v>
      </c>
      <c r="EG232" s="155" t="e">
        <f ca="1">IF(Control!$C$114=1, $GX232*$FW232-$FI232, 0)</f>
        <v>#DIV/0!</v>
      </c>
      <c r="EH232" s="153" t="e">
        <f t="shared" ca="1" si="849"/>
        <v>#N/A</v>
      </c>
      <c r="EI232" s="156" t="e">
        <f t="shared" ca="1" si="850"/>
        <v>#N/A</v>
      </c>
      <c r="EJ232" s="155" t="e">
        <f ca="1">IF(Control!$C$114=1, $HM232*$GB232, 0)</f>
        <v>#DIV/0!</v>
      </c>
      <c r="EK232" s="153" t="e">
        <f t="shared" ca="1" si="903"/>
        <v>#N/A</v>
      </c>
      <c r="EL232" s="153" t="e">
        <f t="shared" ca="1" si="722"/>
        <v>#N/A</v>
      </c>
      <c r="EM232" s="153" t="e">
        <f t="shared" ca="1" si="723"/>
        <v>#N/A</v>
      </c>
      <c r="EN232" s="153" t="e">
        <f ca="1">IF(Control!$C$108=1,IF(AND(Control!$B$18=1,$EB232&gt;=Control!$B$19),$EB232-$DS232,IF(AND(Control!$B$18=2,$AW232=1,$EB232&gt;$DS232),$EB232-$DS232,0)))</f>
        <v>#N/A</v>
      </c>
      <c r="EO232" s="153" t="e">
        <f ca="1">IF(Control!$C$108=1,IF(AND(Control!$B$18=1,$EB232&gt;=Control!$B$19),$EF232,IF(AND(Control!$B$18=2,$AW232=1),$EF232,0)))</f>
        <v>#N/A</v>
      </c>
      <c r="EP232" s="153" t="e">
        <f ca="1">IF(Control!$C$108=1,IF(AND(Control!$B$18=1,$EB232&gt;=Control!$B$19),$EK232,IF(AND(Control!$B$18=2,$AW232=1),$EK232,0)))</f>
        <v>#N/A</v>
      </c>
      <c r="EQ232" s="153" t="e">
        <f t="shared" ca="1" si="851"/>
        <v>#N/A</v>
      </c>
      <c r="ER232" s="153" t="e">
        <f t="shared" ca="1" si="852"/>
        <v>#N/A</v>
      </c>
      <c r="ES232" s="153" t="e">
        <f t="shared" ca="1" si="904"/>
        <v>#N/A</v>
      </c>
      <c r="ET232" s="153" t="e">
        <f t="shared" ca="1" si="905"/>
        <v>#N/A</v>
      </c>
      <c r="EU232" s="153" t="e">
        <f t="shared" ca="1" si="853"/>
        <v>#N/A</v>
      </c>
      <c r="EV232" s="153" t="e">
        <f t="shared" ca="1" si="724"/>
        <v>#N/A</v>
      </c>
      <c r="EW232" s="153" t="e">
        <f t="shared" ca="1" si="725"/>
        <v>#N/A</v>
      </c>
      <c r="EX232" s="153" t="e">
        <f t="shared" ca="1" si="726"/>
        <v>#N/A</v>
      </c>
      <c r="EY232" s="157" t="e">
        <f t="shared" ca="1" si="727"/>
        <v>#DIV/0!</v>
      </c>
      <c r="EZ232" s="154" t="e">
        <f t="shared" ca="1" si="728"/>
        <v>#DIV/0!</v>
      </c>
      <c r="FA232" s="153" t="e">
        <f t="shared" ca="1" si="854"/>
        <v>#N/A</v>
      </c>
      <c r="FB232" s="153" t="e">
        <f t="shared" ca="1" si="729"/>
        <v>#N/A</v>
      </c>
      <c r="FC232" s="193" t="e">
        <f t="shared" ca="1" si="730"/>
        <v>#N/A</v>
      </c>
      <c r="FD232" s="158" t="e">
        <f t="shared" ca="1" si="855"/>
        <v>#N/A</v>
      </c>
      <c r="FE232" s="158" t="e">
        <f t="shared" ca="1" si="856"/>
        <v>#N/A</v>
      </c>
      <c r="FF232" s="159" t="e">
        <f t="shared" ca="1" si="731"/>
        <v>#N/A</v>
      </c>
      <c r="FG232" s="160" t="e">
        <f t="shared" ca="1" si="857"/>
        <v>#N/A</v>
      </c>
      <c r="FH232" s="158" t="e">
        <f t="shared" ca="1" si="858"/>
        <v>#N/A</v>
      </c>
      <c r="FI232" s="159" t="e">
        <f t="shared" ca="1" si="732"/>
        <v>#N/A</v>
      </c>
      <c r="FJ232" s="160" t="e">
        <f t="shared" ca="1" si="859"/>
        <v>#N/A</v>
      </c>
      <c r="FK232" s="160" t="e">
        <f t="shared" ca="1" si="733"/>
        <v>#N/A</v>
      </c>
      <c r="FL232" s="160" t="e">
        <f t="shared" ca="1" si="906"/>
        <v>#N/A</v>
      </c>
      <c r="FM232" s="160" t="e">
        <f t="shared" ca="1" si="734"/>
        <v>#N/A</v>
      </c>
      <c r="FN232" s="158">
        <f t="shared" ca="1" si="860"/>
        <v>0.01</v>
      </c>
      <c r="FO232" s="160">
        <f>Control!$C$101</f>
        <v>50</v>
      </c>
      <c r="FP232" s="150" t="e">
        <f t="shared" ca="1" si="735"/>
        <v>#N/A</v>
      </c>
      <c r="FQ232" s="150" t="e">
        <f ca="1">MAX(0,(Control!$C$112*(($DK232-Control!$C$97)/Control!$C$97)))</f>
        <v>#N/A</v>
      </c>
      <c r="FR232" s="150" t="e">
        <f ca="1">(1-$NT232)*Control!$C$113</f>
        <v>#DIV/0!</v>
      </c>
      <c r="FS232" s="198" t="e">
        <f t="shared" ca="1" si="736"/>
        <v>#N/A</v>
      </c>
      <c r="FT232" s="161">
        <f t="shared" ca="1" si="861"/>
        <v>228</v>
      </c>
      <c r="FU232" s="162" t="e">
        <f ca="1">IF(Control!$B$34=1,VLOOKUP($CP232,Control!$B$86:$G$91,6),Control!$B$35)</f>
        <v>#N/A</v>
      </c>
      <c r="FV232" s="162" t="e">
        <f t="shared" ca="1" si="737"/>
        <v>#DIV/0!</v>
      </c>
      <c r="FW232" s="162" t="e">
        <f ca="1">IF(Control!$B$31=1,$FU232*$FV232,  $FU232)</f>
        <v>#N/A</v>
      </c>
      <c r="FX232" s="162" t="e">
        <f ca="1">IF(Control!$B$34=1,VLOOKUP($CP232,Control!$B$86:$G$91,3),Control!$B$36)</f>
        <v>#N/A</v>
      </c>
      <c r="FY232" s="162" t="e">
        <f t="shared" ca="1" si="738"/>
        <v>#N/A</v>
      </c>
      <c r="FZ232" s="162" t="e">
        <f ca="1">IF(Control!$B$34=1,VLOOKUP($CP232,Control!$B$86:$G$91,4),Control!$B$37)</f>
        <v>#N/A</v>
      </c>
      <c r="GA232" s="162" t="e">
        <f t="shared" ca="1" si="739"/>
        <v>#N/A</v>
      </c>
      <c r="GB232" s="162" t="e">
        <f ca="1">IF(Control!$B$34=1,VLOOKUP($CP232,Control!$B$86:$G$91,5),Control!$B$38)</f>
        <v>#N/A</v>
      </c>
      <c r="GC232" s="162" t="e">
        <f t="shared" ca="1" si="862"/>
        <v>#N/A</v>
      </c>
      <c r="GD232" s="162">
        <f t="shared" ca="1" si="740"/>
        <v>1</v>
      </c>
      <c r="GE232" s="162">
        <f t="shared" ca="1" si="741"/>
        <v>1</v>
      </c>
      <c r="GF232" s="162">
        <f ca="1">IF(AND(Control!$C$104=1, Control!$C$62="F"),$GE232,1)</f>
        <v>1</v>
      </c>
      <c r="GG232" s="162" t="e">
        <f ca="1">IF(Control!$B$16=40,0,IF(AND(Control!$B$16&gt;40,Control!$B$16&lt;=360),(Control!$B$16-40)*((1-0)/(360-40)),IF(AND(Control!$B$16&gt;360,Control!$B$16&lt;=720),(1+(Control!$B$16-360)*((1.25-1)/(720-360))),IF(AND(Control!$B$16&gt;720,Control!$B$16&lt;=1000),(1.25+(Control!$B$16-720)*((1.35-1.25)/(1000-720))),IF(AND(Control!$B$16&gt;1000,Control!$B$16&lt;=2000),(1.35+(Control!$B$16-1000)*0))))))</f>
        <v>#N/A</v>
      </c>
      <c r="GH232" s="162" t="e">
        <f t="shared" ca="1" si="742"/>
        <v>#N/A</v>
      </c>
      <c r="GI232" s="162">
        <f t="shared" ca="1" si="863"/>
        <v>0</v>
      </c>
      <c r="GJ232" s="162">
        <f t="shared" ca="1" si="743"/>
        <v>0</v>
      </c>
      <c r="GK232" s="162">
        <f t="shared" ca="1" si="864"/>
        <v>1</v>
      </c>
      <c r="GL232" s="162">
        <f t="shared" ca="1" si="744"/>
        <v>1</v>
      </c>
      <c r="GM232" s="162" t="e">
        <f ca="1">MAX(0,MIN(1,1-Control!$C$156*(1.0001-$KH232)^2))</f>
        <v>#N/A</v>
      </c>
      <c r="GN232" s="162" t="e">
        <f ca="1">IF(Control!$B$26=1,$KU232,$KX232)</f>
        <v>#N/A</v>
      </c>
      <c r="GO232" s="162" t="e">
        <f ca="1">IF($CP232&lt;=60,Control!$C$105,IF($CP232&gt;=90,Control!$C$106,Control!$C$105+($CP232-60)*((Control!$C$106-Control!$C$105)/(90-60))))</f>
        <v>#N/A</v>
      </c>
      <c r="GP232" s="162" t="e">
        <f t="shared" ca="1" si="745"/>
        <v>#N/A</v>
      </c>
      <c r="GQ232" s="162" t="e">
        <f t="shared" ca="1" si="865"/>
        <v>#N/A</v>
      </c>
      <c r="GR232" s="163" t="e">
        <f t="shared" ca="1" si="746"/>
        <v>#DIV/0!</v>
      </c>
      <c r="GS232" s="162" t="e">
        <f t="shared" ca="1" si="747"/>
        <v>#DIV/0!</v>
      </c>
      <c r="GT232" s="164" t="e">
        <f t="shared" ca="1" si="866"/>
        <v>#N/A</v>
      </c>
      <c r="GU232" s="162" t="e">
        <f t="shared" ca="1" si="867"/>
        <v>#N/A</v>
      </c>
      <c r="GV232" s="162" t="e">
        <f t="shared" ca="1" si="748"/>
        <v>#N/A</v>
      </c>
      <c r="GW232" s="162" t="e">
        <f t="shared" ca="1" si="749"/>
        <v>#DIV/0!</v>
      </c>
      <c r="GX232" s="162" t="e">
        <f t="shared" ca="1" si="868"/>
        <v>#DIV/0!</v>
      </c>
      <c r="GY232" s="162" t="e">
        <f t="shared" ca="1" si="869"/>
        <v>#DIV/0!</v>
      </c>
      <c r="GZ232" s="165" t="e">
        <f t="shared" ca="1" si="750"/>
        <v>#N/A</v>
      </c>
      <c r="HA232" s="162" t="e">
        <f ca="1">IF(Control!$C$114=1, $DI232*$FS232, 0)</f>
        <v>#N/A</v>
      </c>
      <c r="HB232" s="162" t="e">
        <f ca="1">$FA232/Control!$C$64</f>
        <v>#N/A</v>
      </c>
      <c r="HC232" s="162" t="e">
        <f t="shared" ca="1" si="751"/>
        <v>#DIV/0!</v>
      </c>
      <c r="HD232" s="162">
        <f ca="1">-ASIN(SIN(23.45*Control!$C$139)*COS(2*Control!$C$138*($AH232+10)/365))</f>
        <v>0.23180005102321208</v>
      </c>
      <c r="HE232" s="165">
        <f t="shared" ca="1" si="870"/>
        <v>0</v>
      </c>
      <c r="HF232" s="166">
        <f ca="1">IF(AND(Control!$C$61="T",$HE232&gt;=Control!$C$103,Control!$C$114=0),$AH232,Control!$C$59)</f>
        <v>1</v>
      </c>
      <c r="HG232" s="166">
        <f ca="1">IF(AND(Control!$C$61="T",$HE232&gt;=Control!$C$103,Control!$C$114=0),$HF232,Control!$C$59)</f>
        <v>1</v>
      </c>
      <c r="HH232" s="165">
        <f ca="1">IF(AND(OR(Control!$C$60&lt;=0, $AH232= Control!$C$59, Control!$C$60 &gt;0, $AH232 = Control!$C$60)), Control!$C$59, IF(Control!$C$60&gt;0, 0))</f>
        <v>1</v>
      </c>
      <c r="HI232" s="165">
        <f ca="1">IF(AND(OR(Control!$C$60&lt;=0, $AH232= Control!$C$59, Control!$C$60 &gt;0, $AH232 = Control!$C$60)), Control!$C$60, IF(Control!$C$60&lt;=0, 0))</f>
        <v>0</v>
      </c>
      <c r="HJ232" s="166">
        <f ca="1">IF(AND(Control!$C$62="F",$CV232&gt;=Control!$C$102),$AH232,0)</f>
        <v>0</v>
      </c>
      <c r="HK232" s="165" t="e">
        <f t="shared" ca="1" si="907"/>
        <v>#N/A</v>
      </c>
      <c r="HL232" s="166">
        <f ca="1">IF(AND(Control!$C$61="T",$HE232&gt;=Control!$C$103,Control!$C$114=0),$HF232,0)</f>
        <v>0</v>
      </c>
      <c r="HM232" s="201" t="e">
        <f t="shared" ca="1" si="752"/>
        <v>#DIV/0!</v>
      </c>
      <c r="HN232" s="215">
        <f t="shared" ca="1" si="871"/>
        <v>228</v>
      </c>
      <c r="HO232" s="216" t="e">
        <f ca="1">IF(AND($CP232&gt;=0, $CP232&lt;=90), Control!$C$152, Control!$C$152)</f>
        <v>#N/A</v>
      </c>
      <c r="HP232" s="216" t="e">
        <f t="shared" ca="1" si="753"/>
        <v>#N/A</v>
      </c>
      <c r="HQ232" s="217" t="e">
        <f ca="1">IF(OR(Control!$B$26=1,Control!$B$26=2),$KV232,$KS232)</f>
        <v>#DIV/0!</v>
      </c>
      <c r="HR232" s="218" t="e">
        <f t="shared" ca="1" si="908"/>
        <v>#DIV/0!</v>
      </c>
      <c r="HS232" s="216" t="e">
        <f ca="1">Control!$C$154*$HP232</f>
        <v>#N/A</v>
      </c>
      <c r="HT232" s="216" t="e">
        <f ca="1">Control!$C$155*$HP232</f>
        <v>#N/A</v>
      </c>
      <c r="HU232" s="217" t="e">
        <f ca="1">Control!$C$161*$FI232</f>
        <v>#N/A</v>
      </c>
      <c r="HV232" s="218" t="e">
        <f t="shared" ca="1" si="872"/>
        <v>#N/A</v>
      </c>
      <c r="HW232" s="218" t="e">
        <f ca="1">Control!$C$160*$FF232+$IP232*$EO232</f>
        <v>#N/A</v>
      </c>
      <c r="HX232" s="218" t="e">
        <f t="shared" ca="1" si="909"/>
        <v>#N/A</v>
      </c>
      <c r="HY232" s="219" t="e">
        <f ca="1">IF(Control!$C$114=1, $EB232*$FS232, 0)</f>
        <v>#N/A</v>
      </c>
      <c r="HZ232" s="91" t="e">
        <f t="shared" ca="1" si="754"/>
        <v>#N/A</v>
      </c>
      <c r="IA232" s="220" t="e">
        <f ca="1">Control!$C$153*$HO232</f>
        <v>#N/A</v>
      </c>
      <c r="IB232" s="218" t="e">
        <f t="shared" ca="1" si="755"/>
        <v>#N/A</v>
      </c>
      <c r="IC232" s="220" t="e">
        <f ca="1">Control!$C$153*$HT232</f>
        <v>#N/A</v>
      </c>
      <c r="ID232" s="218" t="e">
        <f t="shared" ca="1" si="756"/>
        <v>#N/A</v>
      </c>
      <c r="IE232" s="221" t="e">
        <f ca="1">($EB232*Control!$C$159+$EF232*Control!$C$160)/(IF($GZ232&lt;&gt;0,$GZ232,1))</f>
        <v>#N/A</v>
      </c>
      <c r="IF232" s="216" t="e">
        <f t="shared" ca="1" si="757"/>
        <v>#N/A</v>
      </c>
      <c r="IG232" s="91">
        <f ca="1">IF(OR(Control!$B$198=$AH232,Control!$B$199=$AH232, Control!$B$200=$AH232, Control!$B$201=$AH232, Control!$B$202=$AH232, Control!$B$203=$AH232, Control!$B$204=$AH232, Control!$B$205=$AH232, Control!$B$206=$AH232, Control!$B$207=$AH232), 1, 0)</f>
        <v>0</v>
      </c>
      <c r="IH232" s="91">
        <f ca="1">IF($IG232=0,0, VLOOKUP($AH232,Control!$B$198:$C$207,2))</f>
        <v>0</v>
      </c>
      <c r="II232" s="222">
        <f t="shared" ca="1" si="873"/>
        <v>0</v>
      </c>
      <c r="IJ232" s="91">
        <f>Control!$C$121</f>
        <v>0.7</v>
      </c>
      <c r="IK232" s="218">
        <f t="shared" ca="1" si="758"/>
        <v>0</v>
      </c>
      <c r="IL232" s="217" t="e">
        <f t="shared" ca="1" si="910"/>
        <v>#N/A</v>
      </c>
      <c r="IM232" s="223" t="e">
        <f ca="1">IF(AND(Control!$C$114=1,$KH232&lt;1),$EB232*Control!$C$148*(1-$KH232), 0)</f>
        <v>#N/A</v>
      </c>
      <c r="IN232" s="217" t="e">
        <f t="shared" ca="1" si="759"/>
        <v>#DIV/0!</v>
      </c>
      <c r="IO232" s="91" t="e">
        <f ca="1">MAX(0,$IL232-$EF232*Control!$C$160)</f>
        <v>#N/A</v>
      </c>
      <c r="IP232" s="220" t="e">
        <f t="shared" ca="1" si="760"/>
        <v>#N/A</v>
      </c>
      <c r="IQ232" s="217" t="e">
        <f t="shared" ca="1" si="874"/>
        <v>#N/A</v>
      </c>
      <c r="IR232" s="218" t="e">
        <f t="shared" ca="1" si="761"/>
        <v>#N/A</v>
      </c>
      <c r="IS232" s="217" t="e">
        <f ca="1">Control!$C$159*MAX(0,$FD232-$EN232)</f>
        <v>#N/A</v>
      </c>
      <c r="IT232" s="217" t="e">
        <f t="shared" ca="1" si="911"/>
        <v>#N/A</v>
      </c>
      <c r="IU232" s="217" t="e">
        <f t="shared" ca="1" si="875"/>
        <v>#N/A</v>
      </c>
      <c r="IV232" s="217" t="e">
        <f t="shared" ca="1" si="912"/>
        <v>#N/A</v>
      </c>
      <c r="IW232" s="217" t="e">
        <f ca="1">IF(OR($AW232=1,AND($AW232=0, Control!$B$18=1,$EN232&lt;&gt;0)), $IQ232-$IU232, $IQ232)</f>
        <v>#N/A</v>
      </c>
      <c r="IX232" s="218" t="e">
        <f t="shared" ca="1" si="762"/>
        <v>#N/A</v>
      </c>
      <c r="IY232" s="218" t="e">
        <f ca="1">MAX(0,$IQ232-$EB232*Control!$C$159)</f>
        <v>#N/A</v>
      </c>
      <c r="IZ232" s="218" t="e">
        <f t="shared" ca="1" si="763"/>
        <v>#N/A</v>
      </c>
      <c r="JA232" s="216" t="e">
        <f t="shared" ca="1" si="764"/>
        <v>#N/A</v>
      </c>
      <c r="JB232" s="217" t="e">
        <f t="shared" ca="1" si="765"/>
        <v>#N/A</v>
      </c>
      <c r="JC232" s="222" t="e">
        <f ca="1">MAX(Control!$C$157*$EK232-$JT232, 0)/Control!$C$162</f>
        <v>#N/A</v>
      </c>
      <c r="JD232" s="218" t="e">
        <f t="shared" ca="1" si="766"/>
        <v>#N/A</v>
      </c>
      <c r="JE232" s="218" t="e">
        <f t="shared" ca="1" si="767"/>
        <v>#N/A</v>
      </c>
      <c r="JF232" s="218" t="e">
        <f t="shared" ca="1" si="876"/>
        <v>#N/A</v>
      </c>
      <c r="JG232" s="218" t="e">
        <f t="shared" ca="1" si="768"/>
        <v>#N/A</v>
      </c>
      <c r="JH232" s="217" t="e">
        <f t="shared" ca="1" si="877"/>
        <v>#N/A</v>
      </c>
      <c r="JI232" s="217" t="e">
        <f t="shared" ca="1" si="878"/>
        <v>#N/A</v>
      </c>
      <c r="JJ232" s="217" t="e">
        <f t="shared" ca="1" si="913"/>
        <v>#N/A</v>
      </c>
      <c r="JK232" s="217" t="e">
        <f ca="1">IF(Control!$C$114=1,IF(Control!$B$24=0,MAX(0,$JI232)*$GN232/Control!$C$64,(MAX(0,MIN($JI232,$JJ232*$GN232/Control!$C$64),0))))</f>
        <v>#N/A</v>
      </c>
      <c r="JL232" s="217" t="e">
        <f ca="1">$IK232/Control!$C$64-$JK232+$HQ232</f>
        <v>#N/A</v>
      </c>
      <c r="JM232" s="217" t="e">
        <f ca="1">IF(Control!$C$114=1,($JB232/(IF($JI232&lt;&gt;0,$JI232,1)))*$JK232,0)</f>
        <v>#N/A</v>
      </c>
      <c r="JN232" s="217" t="e">
        <f ca="1">IF(Control!$C$114=1,($JG232/(IF($JI232&lt;&gt;0,$JI232,1)))*$JK232, 0)</f>
        <v>#N/A</v>
      </c>
      <c r="JO232" s="218" t="e">
        <f t="shared" ca="1" si="769"/>
        <v>#N/A</v>
      </c>
      <c r="JP232" s="218" t="e">
        <f ca="1">MIN(($IY232+$IO232)*Control!$C$151, $JF232-$EH232*Control!$C$161)</f>
        <v>#N/A</v>
      </c>
      <c r="JQ232" s="218" t="e">
        <f t="shared" ca="1" si="770"/>
        <v>#N/A</v>
      </c>
      <c r="JR232" s="217" t="e">
        <f ca="1">IF($CP232-Control!$C$150&lt;0, 0, $JQ232/Control!$C$162)</f>
        <v>#N/A</v>
      </c>
      <c r="JS232" s="218" t="e">
        <f t="shared" ca="1" si="771"/>
        <v>#N/A</v>
      </c>
      <c r="JT232" s="218" t="e">
        <f t="shared" ca="1" si="879"/>
        <v>#N/A</v>
      </c>
      <c r="JU232" s="218" t="e">
        <f t="shared" ca="1" si="772"/>
        <v>#N/A</v>
      </c>
      <c r="JV232" s="218" t="e">
        <f t="shared" ca="1" si="773"/>
        <v>#N/A</v>
      </c>
      <c r="JW232" s="216" t="e">
        <f t="shared" ca="1" si="774"/>
        <v>#N/A</v>
      </c>
      <c r="JX232" s="91" t="e">
        <f t="shared" ca="1" si="775"/>
        <v>#N/A</v>
      </c>
      <c r="JY232" s="218" t="e">
        <f t="shared" ca="1" si="776"/>
        <v>#N/A</v>
      </c>
      <c r="JZ232" s="217" t="e">
        <f ca="1">IF(Control!$C$114=1,($IZ232/(IF($JI232&lt;&gt;0,$JI232,1)))*$JK232, 0)</f>
        <v>#N/A</v>
      </c>
      <c r="KA232" s="218" t="e">
        <f t="shared" ca="1" si="914"/>
        <v>#N/A</v>
      </c>
      <c r="KB232" s="218" t="e">
        <f t="shared" ca="1" si="880"/>
        <v>#N/A</v>
      </c>
      <c r="KC232" s="218" t="e">
        <f t="shared" ca="1" si="777"/>
        <v>#N/A</v>
      </c>
      <c r="KD232" s="218" t="e">
        <f t="shared" ca="1" si="778"/>
        <v>#N/A</v>
      </c>
      <c r="KE232" s="218" t="e">
        <f t="shared" ca="1" si="779"/>
        <v>#N/A</v>
      </c>
      <c r="KF232" s="218" t="e">
        <f t="shared" ca="1" si="780"/>
        <v>#N/A</v>
      </c>
      <c r="KG232" s="216" t="e">
        <f t="shared" ca="1" si="781"/>
        <v>#N/A</v>
      </c>
      <c r="KH232" s="221" t="e">
        <f ca="1">IF(Control!$B$24=0,1,MAX(0.001,MIN(1,IF(($IF232-$IE232)&lt;&gt;0,($KG232-$IE232)/($IF232-$IE232),1))))</f>
        <v>#N/A</v>
      </c>
      <c r="KI232" s="222" t="e">
        <f ca="1">IF(Control!$C$114=1, $KI231+ $KH231, 0)</f>
        <v>#N/A</v>
      </c>
      <c r="KJ232" s="217" t="e">
        <f t="shared" ca="1" si="782"/>
        <v>#N/A</v>
      </c>
      <c r="KK232" s="218" t="e">
        <f t="shared" ca="1" si="783"/>
        <v>#N/A</v>
      </c>
      <c r="KL232" s="274" t="e">
        <f ca="1">IF(Control!$B$26=3,4000000000*EXP(-8400/($G232+273)),IF(Control!$B$26=4,4000000000*EXP(-8400/($G232+273))*($KT232),0))</f>
        <v>#DIV/0!</v>
      </c>
      <c r="KM232" s="274" t="e">
        <f ca="1">IF(Control!$B$26=3,5600000000000*EXP(-9800/($G232+273)),IF(Control!$B$26=4,5600000000000*EXP(-9800/($G232+273))*$KT232,0))</f>
        <v>#DIV/0!</v>
      </c>
      <c r="KN232" s="454" t="e">
        <f t="shared" ca="1" si="881"/>
        <v>#DIV/0!</v>
      </c>
      <c r="KO232" s="274" t="e">
        <f t="shared" ca="1" si="882"/>
        <v>#DIV/0!</v>
      </c>
      <c r="KP232" s="454" t="e">
        <f t="shared" ca="1" si="784"/>
        <v>#DIV/0!</v>
      </c>
      <c r="KQ232" s="454" t="e">
        <f t="shared" ca="1" si="785"/>
        <v>#DIV/0!</v>
      </c>
      <c r="KR232" s="454" t="e">
        <f t="shared" ca="1" si="786"/>
        <v>#DIV/0!</v>
      </c>
      <c r="KS232" s="454" t="e">
        <f t="shared" ca="1" si="787"/>
        <v>#DIV/0!</v>
      </c>
      <c r="KT232" s="455" t="e">
        <f t="shared" ca="1" si="788"/>
        <v>#DIV/0!</v>
      </c>
      <c r="KU232" s="456" t="e">
        <f ca="1">IF($CP232-Control!$C$149&lt;0, IF($NT232-0.01&lt;0,0,1),0)</f>
        <v>#N/A</v>
      </c>
      <c r="KV232" s="456" t="e">
        <f ca="1">IF(Control!$C$114=1,MAX(0,MIN(Control!$C$125*$KW232*$GN232,$KW232)))</f>
        <v>#DIV/0!</v>
      </c>
      <c r="KW232" s="456" t="e">
        <f t="shared" ca="1" si="915"/>
        <v>#DIV/0!</v>
      </c>
      <c r="KX232" s="457" t="e">
        <f ca="1">IF($CP232-Control!$C$149&lt;0, IF($MR232-$OM232&lt;0,0,1),0)</f>
        <v>#N/A</v>
      </c>
      <c r="KY232" s="167">
        <f t="shared" ca="1" si="883"/>
        <v>228</v>
      </c>
      <c r="KZ232" s="168">
        <f ca="1">1370*(1+0.033*COS(2*Control!$C$138*$AH232/365))</f>
        <v>1337.9632806494208</v>
      </c>
      <c r="LA232" s="169">
        <f t="shared" ca="1" si="884"/>
        <v>0.97661531961727277</v>
      </c>
      <c r="LB232" s="169">
        <f t="shared" ca="1" si="885"/>
        <v>0.23321325230792456</v>
      </c>
      <c r="LC232" s="169">
        <f ca="1">ACOS(-TAN((2*Control!$B$8/360))*TAN(Calculations!$LB232))</f>
        <v>1.6414513451625254</v>
      </c>
      <c r="LD232" s="169">
        <f ca="1">((24*60)/PI())*0.082*$LA232*(($LC232*SIN(Control!$B$8*2*PI()/360))*SIN($LB232)+COS(Control!$B$8*2*PI()/360)*COS($LB232)*SIN($LC232))</f>
        <v>32.905349595489362</v>
      </c>
      <c r="LE232" s="170">
        <f t="shared" ca="1" si="789"/>
        <v>33.497085163191052</v>
      </c>
      <c r="LF232" s="170">
        <f ca="1">SIN(Control!$C$139*Control!$B$8)*SIN($HD232)</f>
        <v>0.1810298549108704</v>
      </c>
      <c r="LG232" s="170">
        <f ca="1">COS(Control!$C$139*Control!$B$8)*COS($HD232)</f>
        <v>0.59919364081115534</v>
      </c>
      <c r="LH232" s="170">
        <f ca="1">12*(1+2*ASIN(MAX(-1,MIN(1,$LF232/$LG232))/Control!$C$138))</f>
        <v>14.311612641122233</v>
      </c>
      <c r="LI232" s="170">
        <f ca="1">12*(1+2*ASIN(MAX(-1,MIN(1,(-SIN(-4*Control!$C$139)+$LF232)/$LG232))/Control!$C$138))</f>
        <v>15.206937170131809</v>
      </c>
      <c r="LJ232" s="168">
        <f ca="1">3600*($LH232*$LF232+24*$LG232*SQRT(1-$LK232*$LK232)/Control!$C$138)</f>
        <v>25035.877776056928</v>
      </c>
      <c r="LK232" s="170">
        <f t="shared" ca="1" si="790"/>
        <v>0.30212245688355799</v>
      </c>
      <c r="LL232" s="170">
        <f t="shared" ca="1" si="791"/>
        <v>0</v>
      </c>
      <c r="LM232" s="171">
        <f ca="1">Control!$C$145*$AB232</f>
        <v>6.6660906138995932E-2</v>
      </c>
      <c r="LN232" s="170">
        <f t="shared" ca="1" si="886"/>
        <v>0.54</v>
      </c>
      <c r="LO232" s="170">
        <f t="shared" ca="1" si="792"/>
        <v>0</v>
      </c>
      <c r="LP232" s="170">
        <f ca="1">Control!$C$140*((($D232+273.16)^4+($E232+273.16)^4)/2)*(0.34-0.14*SQRT($Y232))*(1.35*$AQ232/(0.75*$LD232)-0.35)</f>
        <v>-3.2464704755046001</v>
      </c>
      <c r="LQ232" s="170">
        <f ca="1">Control!$C$140*($G232+273)^4*(0.56-0.079*SQRT($Y232*10))*(0.1+0.9*$LO232)</f>
        <v>1.5241745131704001</v>
      </c>
      <c r="LR232" s="170">
        <f ca="1">$AQ232*(1-Control!$C$142)-$LQ232</f>
        <v>-1.5241745131704001</v>
      </c>
      <c r="LS232" s="170">
        <f ca="1">$AQ232*(1-Control!$C$143)-$LQ232</f>
        <v>-1.5241745131704001</v>
      </c>
      <c r="LT232" s="170">
        <f ca="1">$AQ232*(1-Control!$C$144)-$LQ232</f>
        <v>-1.5241745131704001</v>
      </c>
      <c r="LU232" s="169">
        <f ca="1">(1-Control!$C$144)*AQ232-LP232</f>
        <v>3.2464704755046001</v>
      </c>
      <c r="LV232" s="172">
        <f t="shared" ca="1" si="793"/>
        <v>0.79430000000000012</v>
      </c>
      <c r="LW232" s="170">
        <f t="shared" ca="1" si="794"/>
        <v>1.5886000000000002</v>
      </c>
      <c r="LX232" s="170">
        <f ca="1">($AC232*($LR232/Control!$C$141)+$LM232*$LV232)/($AC232+$LM232)</f>
        <v>0.23530094218323697</v>
      </c>
      <c r="LY232" s="170">
        <f ca="1">($AC232*($LS232/Control!$C$141)+$LM232*$LV232)/($AC232+$LM232)</f>
        <v>0.23530094218323697</v>
      </c>
      <c r="LZ232" s="170">
        <f t="shared" ca="1" si="795"/>
        <v>0.23530094218323697</v>
      </c>
      <c r="MA232" s="170">
        <f t="shared" ca="1" si="796"/>
        <v>0.23530094218323697</v>
      </c>
      <c r="MB232" s="170" t="e">
        <f t="shared" ca="1" si="797"/>
        <v>#N/A</v>
      </c>
      <c r="MC232" s="170">
        <f t="shared" ca="1" si="887"/>
        <v>0.6018</v>
      </c>
      <c r="MD232" s="170">
        <f t="shared" ca="1" si="798"/>
        <v>0.52989392535414004</v>
      </c>
      <c r="ME232" s="170">
        <f ca="1">($AC232*($LT232/Control!$C$141)+$LM232*$LW232)/($AC232+$LM232)</f>
        <v>0.71612369323045078</v>
      </c>
      <c r="MF232" s="170" t="e">
        <f ca="1">IF(Control!$B$16&gt;=1000,0.92,IF(AND(720&lt;=Control!$B$16,1000&gt;Control!$B$16),(0.95+(Control!$B$16-720)*((0.92-0.95)/(1000-720))),IF(AND(360&lt;=Control!$B$16,720&gt;Control!$B$16),(1+(Control!$B$16-360)*((0.95-1)/(720-360))),IF(AND(40&lt;=Control!$B$16,360&gt;Control!$B$16),(1.05+(Control!$B$16-40)*((1.05-1)/(360-40)))))))</f>
        <v>#N/A</v>
      </c>
      <c r="MG232" s="170">
        <f t="shared" ca="1" si="799"/>
        <v>0.71612369323045078</v>
      </c>
      <c r="MH232" s="170" t="e">
        <f t="shared" ca="1" si="925"/>
        <v>#N/A</v>
      </c>
      <c r="MI232" s="170" t="e">
        <f t="shared" ca="1" si="925"/>
        <v>#N/A</v>
      </c>
      <c r="MJ232" s="170" t="e">
        <f ca="1">MAX(0.0001, Control!$C$132*$MI232*$DL232)</f>
        <v>#N/A</v>
      </c>
      <c r="MK232" s="170">
        <f ca="1">1/(0.76+1.5*($MG232/10))-(5-Control!$C$110)*0.1</f>
        <v>1.002845988140797</v>
      </c>
      <c r="ML232" s="173">
        <f ca="1">IF(Control!$C$110&lt;3,$MK232+($MG232-0.6)/(Control!$C$110*(Control!$C$110+3)), MAX(0.1, MIN(0.95,$MK232)))</f>
        <v>0.95</v>
      </c>
      <c r="MM232" s="173">
        <f ca="1">IF(Control!$C$110&lt;3,$MK232+(($MI232/10)-0.6)/(Control!$C$110*(Control!$C$110+3)), MAX(0.1, MIN(0.95,$MK232)))</f>
        <v>0.95</v>
      </c>
      <c r="MN232" s="173">
        <f ca="1">(1-$MM232)*(Control!$C$128-Control!$C$127)+Control!$C$127</f>
        <v>0.16</v>
      </c>
      <c r="MO232" s="170" t="e">
        <f ca="1">MAX(0,MIN(1,($MS232-Control!$C$127)/($MN232-Control!$C$127)))</f>
        <v>#DIV/0!</v>
      </c>
      <c r="MP232" s="173" t="e">
        <f ca="1">1/(0.76+1.5*$MI232)-(5-Control!$C$110)*0.1</f>
        <v>#N/A</v>
      </c>
      <c r="MQ232" s="172" t="e">
        <f t="shared" ca="1" si="916"/>
        <v>#DIV/0!</v>
      </c>
      <c r="MR232" s="168" t="e">
        <f t="shared" ca="1" si="888"/>
        <v>#DIV/0!</v>
      </c>
      <c r="MS232" s="173" t="e">
        <f ca="1">MAX(Control!$C$127, MIN(Control!$C$135, $MR232/MAX(0.0001,$CY232)))</f>
        <v>#DIV/0!</v>
      </c>
      <c r="MT232" s="168" t="e">
        <f ca="1">(Control!$C$128-$MS232)*Control!$C$74</f>
        <v>#DIV/0!</v>
      </c>
      <c r="MU232" s="168" t="e">
        <f ca="1">(Control!$C$135-$MS232)*Control!$C$74</f>
        <v>#DIV/0!</v>
      </c>
      <c r="MV232" s="168" t="e">
        <f t="shared" ca="1" si="889"/>
        <v>#DIV/0!</v>
      </c>
      <c r="MW232" s="168" t="e">
        <f t="shared" ca="1" si="890"/>
        <v>#DIV/0!</v>
      </c>
      <c r="MX232" s="171" t="e">
        <f ca="1">MAX(Control!$C$127, MIN(Control!$C$135, $MW232/MAX(0.0001,Control!$C$119-$CY232)))</f>
        <v>#DIV/0!</v>
      </c>
      <c r="MY232" s="54" t="e">
        <f ca="1">IF(Control!$C$114=1, $CX232*$MX232, 0)</f>
        <v>#DIV/0!</v>
      </c>
      <c r="MZ232" s="54" t="e">
        <f t="shared" ca="1" si="891"/>
        <v>#N/A</v>
      </c>
      <c r="NA232" s="168" t="e">
        <f ca="1">(Control!$C$128-$MX232)*(Control!$C$119-Control!$C$74)</f>
        <v>#DIV/0!</v>
      </c>
      <c r="NB232" s="168" t="e">
        <f ca="1">(Control!$C$135-$MX232)*(Control!$C$119-Control!$C$74)</f>
        <v>#DIV/0!</v>
      </c>
      <c r="NC232" s="174" t="e">
        <f t="shared" ca="1" si="892"/>
        <v>#DIV/0!</v>
      </c>
      <c r="ND232" s="54">
        <f ca="1">IF(Control!$C$58=2, IF(OR(Control!$B$218=$AH232,Control!$B$219=$AH232, Control!$B$220=$AH232, Control!$B$221=$AH232, Control!$B$222=$AH232, Control!$B$223=$AH232, Control!$B$224=$AH232, Control!$B$225=$AH232, Control!$B$226=$AH232, Control!$B$227=$AH232, Control!$B$228=$AH232), 1, 0), 0)</f>
        <v>0</v>
      </c>
      <c r="NE232" s="54">
        <f ca="1">IF($ND232=0,0, VLOOKUP($AH232,Control!$B$218:$C$228,2))</f>
        <v>0</v>
      </c>
      <c r="NF232" s="168" t="e">
        <f ca="1">$CY232*(Control!$C$128-Control!$C$127)</f>
        <v>#N/A</v>
      </c>
      <c r="NG232" s="54" t="e">
        <f ca="1">IF(Control!$C$58=2, $NI231-$NJ231, 0)</f>
        <v>#DIV/0!</v>
      </c>
      <c r="NH232" s="54" t="e">
        <f ca="1">IF(AND(Control!$C$58=1, $MS231&lt;= ($MN231+0.02), $I231&lt;10), 0, IF(Control!$C$58=2, $NG231, 0))</f>
        <v>#DIV/0!</v>
      </c>
      <c r="NI232" s="54" t="e">
        <f ca="1">IF(Control!$C$58=2, $NE232+$NH232,0)</f>
        <v>#DIV/0!</v>
      </c>
      <c r="NJ232" s="54" t="e">
        <f ca="1">IF(AND(Control!$C$58=1, $MS232&lt;= ($MN232+0.02), $I232&lt;10), MAX(0, MIN(10, 0.7*($NF232-$MV232))), IF(Control!$C$58=2, MIN(10,$NI232),0))</f>
        <v>#DIV/0!</v>
      </c>
      <c r="NK232" s="54" t="e">
        <f t="shared" ca="1" si="800"/>
        <v>#DIV/0!</v>
      </c>
      <c r="NL232" s="173" t="e">
        <f ca="1">(1-Control!$C$73)*$I232+$NJ232</f>
        <v>#DIV/0!</v>
      </c>
      <c r="NM232" s="172" t="e">
        <f ca="1">IF($NL232&lt;0.5, $MB232* MAX(0, MIN(1, (SQRT($NC232)-SQRT($NC232-1))*Control!$C$71)),0)</f>
        <v>#DIV/0!</v>
      </c>
      <c r="NN232" s="170" t="e">
        <f ca="1">IF($NL232&gt;=5, $MB232, MAX(0,MIN($MB232, $NM232+$NL232,($MS232-Control!$C$129))))</f>
        <v>#DIV/0!</v>
      </c>
      <c r="NO232" s="54">
        <f>IF(Control!$C$133&lt;&gt;1, Control!$C$135-Control!$C$131, 0)</f>
        <v>0.38</v>
      </c>
      <c r="NP232" s="54" t="e">
        <f t="shared" ca="1" si="801"/>
        <v>#DIV/0!</v>
      </c>
      <c r="NQ232" s="173" t="e">
        <f ca="1">MAX(0,MIN(1,(Control!$C$135-$MS232)/(Control!$C$135-$NO232)))</f>
        <v>#DIV/0!</v>
      </c>
      <c r="NR232" s="170" t="e">
        <f ca="1">IF(Control!$C$133&lt;&gt;1, $NQ232+((1-$NP232/4)*(1-$NQ232)),1)</f>
        <v>#DIV/0!</v>
      </c>
      <c r="NS232" s="170" t="e">
        <f ca="1">IF(Control!$B$31=0,$MJ232,MAX(0,MIN($MV232,$MO232*$NR232*$MJ232)))</f>
        <v>#DIV/0!</v>
      </c>
      <c r="NT232" s="170" t="e">
        <f t="shared" ca="1" si="917"/>
        <v>#DIV/0!</v>
      </c>
      <c r="NU232" s="170" t="e">
        <f t="shared" ca="1" si="893"/>
        <v>#N/A</v>
      </c>
      <c r="NV232" s="170" t="e">
        <f t="shared" ca="1" si="802"/>
        <v>#N/A</v>
      </c>
      <c r="NW232" s="175" t="e">
        <f t="shared" ca="1" si="803"/>
        <v>#DIV/0!</v>
      </c>
      <c r="NX232" s="170" t="e">
        <f ca="1">MIN(Control!$C$72+$MU232, $NW232)</f>
        <v>#DIV/0!</v>
      </c>
      <c r="NY232" s="170" t="e">
        <f ca="1">IF($MT232&lt;=$NX232,MIN(Control!$C$72+$NB232,$NX232-$MT232),0)</f>
        <v>#DIV/0!</v>
      </c>
      <c r="NZ232" s="54" t="e">
        <f ca="1">IF(Control!$C$114=1,  $CX232*($MX232-Control!$C$127), 0)</f>
        <v>#DIV/0!</v>
      </c>
      <c r="OA232" s="170" t="e">
        <f t="shared" ca="1" si="804"/>
        <v>#DIV/0!</v>
      </c>
      <c r="OB232" s="170" t="e">
        <f ca="1">IF($NA232 &lt;=$NY232, MIN(Control!$C$72, $NY232-$NA232), 0)</f>
        <v>#DIV/0!</v>
      </c>
      <c r="OC232" s="168" t="e">
        <f t="shared" ca="1" si="805"/>
        <v>#DIV/0!</v>
      </c>
      <c r="OD232" s="168" t="e">
        <f t="shared" ca="1" si="894"/>
        <v>#DIV/0!</v>
      </c>
      <c r="OE232" s="170">
        <f ca="1">Control!$C$73*$I232</f>
        <v>0</v>
      </c>
      <c r="OF232" s="176" t="e">
        <f t="shared" ca="1" si="806"/>
        <v>#DIV/0!</v>
      </c>
      <c r="OG232" s="168" t="e">
        <f t="shared" ca="1" si="807"/>
        <v>#DIV/0!</v>
      </c>
      <c r="OH232" s="168" t="e">
        <f t="shared" ca="1" si="808"/>
        <v>#DIV/0!</v>
      </c>
      <c r="OI232" s="168" t="e">
        <f t="shared" ca="1" si="809"/>
        <v>#DIV/0!</v>
      </c>
      <c r="OJ232" s="168" t="e">
        <f t="shared" ca="1" si="810"/>
        <v>#DIV/0!</v>
      </c>
      <c r="OK232" s="204" t="e">
        <f t="shared" ca="1" si="811"/>
        <v>#DIV/0!</v>
      </c>
      <c r="OL232" s="177">
        <f>Control!$C$127</f>
        <v>0.15</v>
      </c>
      <c r="OM232" s="182" t="e">
        <f t="shared" ca="1" si="812"/>
        <v>#N/A</v>
      </c>
      <c r="ON232" s="177">
        <f>Control!$C$128</f>
        <v>0.35</v>
      </c>
      <c r="OO232" s="182" t="e">
        <f t="shared" ca="1" si="813"/>
        <v>#N/A</v>
      </c>
      <c r="OP232" s="138">
        <f t="shared" ca="1" si="895"/>
        <v>0</v>
      </c>
      <c r="OQ232" s="138" t="e">
        <f t="shared" ca="1" si="918"/>
        <v>#DIV/0!</v>
      </c>
      <c r="OR232" s="138" t="e">
        <f t="shared" ca="1" si="896"/>
        <v>#DIV/0!</v>
      </c>
      <c r="OS232" s="137" t="e">
        <f t="shared" ca="1" si="919"/>
        <v>#DIV/0!</v>
      </c>
      <c r="OT232" s="139" t="e">
        <f t="shared" ca="1" si="920"/>
        <v>#DIV/0!</v>
      </c>
      <c r="OU232" s="138" t="e">
        <f t="shared" ca="1" si="921"/>
        <v>#N/A</v>
      </c>
      <c r="OV232" s="138" t="e">
        <f t="shared" ca="1" si="922"/>
        <v>#DIV/0!</v>
      </c>
      <c r="OW232" s="138" t="e">
        <f t="shared" ca="1" si="897"/>
        <v>#DIV/0!</v>
      </c>
      <c r="OX232" s="138" t="e">
        <f t="shared" ca="1" si="898"/>
        <v>#DIV/0!</v>
      </c>
      <c r="OY232" s="138" t="e">
        <f t="shared" ca="1" si="899"/>
        <v>#DIV/0!</v>
      </c>
      <c r="OZ232" s="138" t="e">
        <f t="shared" ca="1" si="814"/>
        <v>#DIV/0!</v>
      </c>
      <c r="PA232" s="138" t="e">
        <f t="shared" ca="1" si="815"/>
        <v>#DIV/0!</v>
      </c>
      <c r="PB232" s="55">
        <f>IF(Control!$C$61="T", IF(Control!$C$65="F", IF($AH$6-Control!$C$60&lt;0,0,1), IF(365+$AH$6-Control!$C$60&lt;0,0,1)),0)</f>
        <v>0</v>
      </c>
      <c r="PC232" s="55">
        <f ca="1">IF(Control!$C$65="F", IF($AH$6-$HF232&lt;0,0,1), IF(365+$AH$6-$HF232&lt;0,0,1))</f>
        <v>1</v>
      </c>
      <c r="PD232" s="444">
        <f>Control!$C$118</f>
        <v>1500</v>
      </c>
      <c r="PE232" s="180" t="e">
        <f t="shared" ca="1" si="816"/>
        <v>#N/A</v>
      </c>
      <c r="PF232" s="445">
        <f t="shared" ca="1" si="900"/>
        <v>0.71612369323045078</v>
      </c>
      <c r="PT232" s="186"/>
      <c r="PU232" s="186"/>
      <c r="PV232" s="94"/>
      <c r="PW232" s="94"/>
      <c r="PX232" s="94"/>
      <c r="PY232" s="94"/>
      <c r="PZ232" s="94"/>
      <c r="QA232" s="94"/>
      <c r="QB232" s="94"/>
      <c r="QC232" s="94"/>
      <c r="QD232" s="94"/>
      <c r="QE232" s="94"/>
      <c r="QF232" s="94"/>
      <c r="QG232" s="94"/>
      <c r="QH232" s="94"/>
      <c r="QI232" s="94"/>
      <c r="QJ232" s="94"/>
      <c r="QK232" s="94"/>
      <c r="QL232" s="94"/>
      <c r="QM232" s="94"/>
      <c r="QN232" s="94"/>
      <c r="QO232" s="94"/>
      <c r="QP232" s="94"/>
    </row>
    <row r="233" spans="1:458" s="2" customFormat="1" x14ac:dyDescent="0.2">
      <c r="A233" s="395">
        <v>16</v>
      </c>
      <c r="B233" s="396">
        <v>8</v>
      </c>
      <c r="C233" s="387">
        <f ca="1">Weather_data!$B232</f>
        <v>0</v>
      </c>
      <c r="D233" s="388">
        <f ca="1">Weather_data!$F232</f>
        <v>0</v>
      </c>
      <c r="E233" s="388">
        <f ca="1">Weather_data!$E232</f>
        <v>0</v>
      </c>
      <c r="F233" s="388">
        <f t="shared" ca="1" si="817"/>
        <v>0</v>
      </c>
      <c r="G233" s="388">
        <f ca="1">AVERAGE($D233:$E233)+Control!$B$9</f>
        <v>0</v>
      </c>
      <c r="H233" s="388">
        <f ca="1">Weather_data!$G232</f>
        <v>0</v>
      </c>
      <c r="I233" s="388">
        <f ca="1">Weather_data!$I232</f>
        <v>0</v>
      </c>
      <c r="J233" s="388">
        <f ca="1">Weather_data!$H232</f>
        <v>0</v>
      </c>
      <c r="K233" s="389">
        <f ca="1">Weather_data!$D232</f>
        <v>0</v>
      </c>
      <c r="L233" s="388" t="e">
        <f t="shared" ca="1" si="818"/>
        <v>#N/A</v>
      </c>
      <c r="M233" s="388" t="e">
        <f t="shared" ca="1" si="696"/>
        <v>#N/A</v>
      </c>
      <c r="N233" s="388">
        <f t="shared" ca="1" si="697"/>
        <v>-2.0512549735197486E-11</v>
      </c>
      <c r="O233" s="388">
        <f t="shared" ca="1" si="819"/>
        <v>2.0512549735197486E-10</v>
      </c>
      <c r="P233" s="390">
        <v>3</v>
      </c>
      <c r="Q233" s="388">
        <f ca="1">MAX($G233-Control!$C$107,0)</f>
        <v>0</v>
      </c>
      <c r="R233" s="388">
        <f t="shared" ca="1" si="820"/>
        <v>0</v>
      </c>
      <c r="S233" s="388">
        <f t="shared" ca="1" si="698"/>
        <v>0</v>
      </c>
      <c r="T233" s="388">
        <f t="shared" ca="1" si="699"/>
        <v>0</v>
      </c>
      <c r="U233" s="59">
        <f t="shared" ca="1" si="700"/>
        <v>0</v>
      </c>
      <c r="V233" s="391">
        <f ca="1">MAX(0,MIN(Control!$C$100-Control!$C$99,$G233-Control!$C$99)*Control!$C$63)</f>
        <v>0</v>
      </c>
      <c r="W233" s="388">
        <f t="shared" ca="1" si="821"/>
        <v>0</v>
      </c>
      <c r="X233" s="388">
        <f t="shared" ca="1" si="822"/>
        <v>0.6110000000000001</v>
      </c>
      <c r="Y233" s="388">
        <f t="shared" ca="1" si="701"/>
        <v>0</v>
      </c>
      <c r="Z233" s="388">
        <f t="shared" ca="1" si="823"/>
        <v>0.61058800000000002</v>
      </c>
      <c r="AA233" s="388">
        <f t="shared" ca="1" si="702"/>
        <v>0.6018</v>
      </c>
      <c r="AB233" s="388">
        <f ca="1">101.3*EXP(-0.034*Control!$C$66/($G233+273))</f>
        <v>100.69623283836242</v>
      </c>
      <c r="AC233" s="392">
        <f t="shared" ca="1" si="703"/>
        <v>4.3460251046025113E-2</v>
      </c>
      <c r="AD233" s="392">
        <f t="shared" ca="1" si="704"/>
        <v>4.4450382862832649E-2</v>
      </c>
      <c r="AE233" s="388">
        <f t="shared" ca="1" si="705"/>
        <v>0</v>
      </c>
      <c r="AF233" s="388">
        <f ca="1">MAX(0,$G233-Control!$C$92)</f>
        <v>0</v>
      </c>
      <c r="AG233" s="393">
        <f t="shared" ca="1" si="706"/>
        <v>229</v>
      </c>
      <c r="AH233" s="389">
        <f t="shared" ca="1" si="707"/>
        <v>229</v>
      </c>
      <c r="AI233" s="388">
        <f t="shared" ca="1" si="824"/>
        <v>0.22602190314606027</v>
      </c>
      <c r="AJ233" s="388">
        <f ca="1">IF(Control!$C$60&lt;=0,$HH233,$HI233)</f>
        <v>1</v>
      </c>
      <c r="AK233" s="388">
        <f t="shared" ca="1" si="708"/>
        <v>2.5649167418349545</v>
      </c>
      <c r="AL233" s="388">
        <f t="shared" ca="1" si="709"/>
        <v>-1.3164356757466855E-17</v>
      </c>
      <c r="AM233" s="388">
        <f t="shared" ca="1" si="710"/>
        <v>2.5649167418349545</v>
      </c>
      <c r="AN233" s="388">
        <f t="shared" ca="1" si="711"/>
        <v>0.21863430985134924</v>
      </c>
      <c r="AO233" s="388">
        <f ca="1">-0.10453/COS(Control!$B$8*PI()/180)*COS(AN233)</f>
        <v>-0.16574306307425699</v>
      </c>
      <c r="AP233" s="388">
        <f ca="1">ACOS(AO233-TAN(Control!$B$8*PI()/180)*TAN(AN233))</f>
        <v>2.0377050213379113</v>
      </c>
      <c r="AQ233" s="388">
        <f t="shared" ca="1" si="825"/>
        <v>0</v>
      </c>
      <c r="AR233" s="394">
        <f t="shared" ca="1" si="712"/>
        <v>0</v>
      </c>
      <c r="AS233" s="436">
        <f ca="1">IF(Control!$B$18=2,(IF(OR($AH233=Control!$B$175,$AH233=Control!$B$176,$AH233=Control!$B$177,$AH233=Control!$B$178,$AH233=Control!$B$179,$AH233=Control!$B$180,$AH233=Control!$B$181,$AH233=Control!$B$182,$AH233=Control!$B$183,$AH233=Control!$B$184,$AH233=Control!$B$185),1,0)),0)</f>
        <v>0</v>
      </c>
      <c r="AT233" s="436">
        <f>IF(Control!$B$20=8,IF(AND($AH233&gt;=Control!$B$172,$AH233&lt;=Control!$B$173),1,0),0)</f>
        <v>0</v>
      </c>
      <c r="AU233" s="436">
        <f>IF(Control!$B$20=8,IF($AV232=1,1*$AT233,IF($AT233=1,$AU232+1,$AU232)),0)</f>
        <v>0</v>
      </c>
      <c r="AV233" s="436">
        <f>IF(Control!$B$20=8,IF($AU233&gt;=Control!$B$174,1,0),0)</f>
        <v>0</v>
      </c>
      <c r="AW233" s="436">
        <f ca="1">IF(AND(Control!$B$18=2,Control!$B$171=1), $AV233, $AS233)</f>
        <v>0</v>
      </c>
      <c r="AX233" s="436" t="e">
        <f ca="1">IF(AND(Control!$B$18=1,$EU233&gt;=Control!$B$19),-$AY233,IF(AND(Control!$B$18=2,$AW233=1,$EU233&gt;$DS233),-$AY233, IF(Control!$C$108=0,0, IF(Control!$C$108&lt;&gt;0,1))))</f>
        <v>#N/A</v>
      </c>
      <c r="AY233" s="436" t="e">
        <f t="shared" ca="1" si="826"/>
        <v>#N/A</v>
      </c>
      <c r="AZ233" s="436" t="e">
        <f ca="1">IF(AND(Control!$B$18=1,$EB233&gt;Control!$B$19),$AZ232+1, IF(AND(Control!$B$18=2, $AW233=1, $EB233&gt;$DS233), $AZ232+1,$AZ232))</f>
        <v>#N/A</v>
      </c>
      <c r="BA233" s="587">
        <f>IF(Control!$C$81=0,1,IF($AH233&gt;=Control!$C$82,1,0))</f>
        <v>1</v>
      </c>
      <c r="BB233" s="140" t="e">
        <f ca="1">IF($BA233&gt;$BA232,Control!$C$83,IF($AW233&gt;0,$AW233*Control!$C$84,IF(AND(Control!$B$18=1,EN232&lt;&gt;0),Control!$C$84,0)))</f>
        <v>#N/A</v>
      </c>
      <c r="BC233" s="140" t="e">
        <f t="shared" ca="1" si="827"/>
        <v>#N/A</v>
      </c>
      <c r="BD233" s="140" t="e">
        <f ca="1">BC233*IF(OR($G233&lt;Control!$C$92,$G233&gt;Control!$C$95),0,IF(AND($G233&gt;=Control!$C$92,$G233&lt;=Control!$C$93),$G233-Control!$C$92,IF(AND($G233&gt;Control!$C$93,$G233&lt;=Control!$C$94),Control!$C$93-Control!$C$92,IF(AND($G233&gt;Control!$C$94,$G233&lt;=Control!$C$95),(Control!$C$93-Control!$C$92)*(Control!$C$94-$G233)/(Control!$C$95-Control!$C$94)))))</f>
        <v>#N/A</v>
      </c>
      <c r="BE233" s="140" t="e">
        <f t="shared" ca="1" si="828"/>
        <v>#N/A</v>
      </c>
      <c r="BF233" s="140" t="e">
        <f ca="1">IF($BE233&lt;=Control!$C$86,$BE233,Control!$C$86-$BE233)</f>
        <v>#N/A</v>
      </c>
      <c r="BG233" s="140" t="e">
        <f ca="1">IF(AND($AW233=1,Control!$C$84&lt;9),1,IF($BE233&gt;=Control!$C$86,0,$BC233))</f>
        <v>#N/A</v>
      </c>
      <c r="BH233" s="404" t="e">
        <f ca="1">IF($BG233=0,0,IF($BE233&lt;=Control!$C$86,$BC233*9*($BF233/Control!$C$86),0))</f>
        <v>#N/A</v>
      </c>
      <c r="BI233" s="140" t="e">
        <f ca="1">IF($BG233=1,0,IF($BE233&gt;=Control!$C$86,1,IF(AND($BB233&lt;21,$BB233&gt;=9),1,$BM232)))</f>
        <v>#N/A</v>
      </c>
      <c r="BJ233" s="140" t="e">
        <f ca="1">IF($BF233&lt;0,-$BF233,$BI233*IF(OR($G233&lt;Control!$C$92,$G233&gt;Control!$C$95),0,IF(AND($G233&gt;=Control!$C$92,$G233&lt;=Control!$C$93),$G233-Control!$C$92,IF(AND($G233&gt;Control!$C$93,$G233&lt;=Control!$C$94),Control!$C$93-Control!$C$92,IF(AND($G233&gt;Control!$C$94,$G233&lt;=Control!$C$95),(Control!$C$93-Control!$C$92)*(Control!$C$94-$G233)/(Control!$C$95-Control!$C$94))))))</f>
        <v>#N/A</v>
      </c>
      <c r="BK233" s="140" t="e">
        <f t="shared" ca="1" si="829"/>
        <v>#N/A</v>
      </c>
      <c r="BL233" s="140" t="e">
        <f ca="1">IF($BK233&lt;=Control!$C$87,$BK233,Control!$C$87-$BK233)</f>
        <v>#N/A</v>
      </c>
      <c r="BM233" s="140" t="e">
        <f ca="1">IF(AND($BB233&gt;=9,$BB233&lt;21),1,IF($BK233&gt;=Control!$C$87,0,$BI233))</f>
        <v>#N/A</v>
      </c>
      <c r="BN233" s="404" t="e">
        <f ca="1">IF($BM233=0,0,IF($BK233&lt;=Control!$C$87,$BI233*(9+(21-9)*($BL233/Control!$C$87)),0))</f>
        <v>#N/A</v>
      </c>
      <c r="BO233" s="140" t="e">
        <f ca="1">IF($BM233=1,0,IF($BK233&gt;=Control!$C$87,1,IF(AND($BB233&lt;30,$BB233&gt;=21),1,$BS232)))</f>
        <v>#N/A</v>
      </c>
      <c r="BP233" s="140" t="e">
        <f ca="1">IF($BL233&lt;0,-$BL233,$BO233*IF(OR($G233&lt;Control!$C$92,$G233&gt;Control!$C$95),0,IF(AND($G233&gt;=Control!$C$92,$G233&lt;=Control!$C$93),$G233-Control!$C$92,IF(AND($G233&gt;Control!$C$93,$G233&lt;=Control!$C$94),Control!$C$93-Control!$C$92,IF(AND($G233&gt;Control!$C$94,$G233&lt;=Control!$C$95),(Control!$C$93-Control!$C$92)*(Control!$C$94-$G233)/(Control!$C$95-Control!$C$94))))))</f>
        <v>#N/A</v>
      </c>
      <c r="BQ233" s="140" t="e">
        <f t="shared" ca="1" si="713"/>
        <v>#N/A</v>
      </c>
      <c r="BR233" s="140" t="e">
        <f ca="1">IF($BQ233&lt;=Control!$C$88,$BQ233,Control!$C$88-$BQ233)</f>
        <v>#N/A</v>
      </c>
      <c r="BS233" s="140" t="e">
        <f ca="1">IF(AND($BB233&gt;=21,$BB233&lt;30),1,IF($BQ233&gt;=Control!$C$88,0,$BO233))</f>
        <v>#N/A</v>
      </c>
      <c r="BT233" s="404" t="e">
        <f ca="1">IF($BS233=0,0,IF($BQ233&lt;=Control!$C$88,$BO233*(21+(30-21)*(BR233/Control!$C$88)),0))</f>
        <v>#N/A</v>
      </c>
      <c r="BU233" s="140" t="e">
        <f ca="1">IF(BG233+BM233+BS233=1,0,IF(OR(AND($BB233&lt;60,$BB233&gt;=30),$BQ233&gt;=Control!$C$88),1*$BA233,$BY232))</f>
        <v>#N/A</v>
      </c>
      <c r="BV233" s="140" t="e">
        <f ca="1">IF($BR233&lt;0,-$BR233,$BU233*IF(OR($G233&lt;Control!$C$92,$G233&gt;Control!$C$95),0,IF(AND($G233&gt;=Control!$C$92,$G233&lt;=Control!$C$93),$G233-Control!$C$92,IF(AND($G233&gt;Control!$C$93,$G233&lt;=Control!$C$94),Control!$C$93-Control!$C$92,IF(AND($G233&gt;Control!$C$94,$G233&lt;=Control!$C$95),(Control!$C$93-Control!$C$92)*(Control!$C$94-$G233)/(Control!$C$95-Control!$C$94))))))</f>
        <v>#N/A</v>
      </c>
      <c r="BW233" s="140" t="e">
        <f t="shared" ca="1" si="714"/>
        <v>#N/A</v>
      </c>
      <c r="BX233" s="140" t="e">
        <f ca="1">IF($BW233&lt;=Control!$C$89,$BW233,Control!$C$89-$BW233)</f>
        <v>#N/A</v>
      </c>
      <c r="BY233" s="140" t="e">
        <f ca="1">IF(AND($AJ233&gt;=30,$AJ233&lt;60),1,IF($BW233&gt;=Control!$C$89,0,$BU233))</f>
        <v>#N/A</v>
      </c>
      <c r="BZ233" s="404" t="e">
        <f ca="1">IF($BY233=0,0,IF($BW233&lt;=Control!$C$89,$BU233*(30+(60-30)*(BX233/Control!$C$89)),0))</f>
        <v>#N/A</v>
      </c>
      <c r="CA233" s="140" t="e">
        <f ca="1">IF($BG233+$BM233+$BS233+$BY233=1,0,IF(OR(AND($BB233&lt;65,$BB233&gt;=60),$BW233&gt;=Control!$C$89),1*$BA233,$CE232))</f>
        <v>#N/A</v>
      </c>
      <c r="CB233" s="140" t="e">
        <f ca="1">IF($BX233&lt;0,-$BX233,$CA233*IF(OR($G233&lt;Control!$C$92,$G233&gt;Control!$C$95),0,IF(AND($G233&gt;=Control!$C$92,$G233&lt;=Control!$C$93),$G233-Control!$C$92,IF(AND($G233&gt;Control!$C$93,$G233&lt;=Control!$C$94),Control!$C$93-Control!$C$92,IF(AND($G233&gt;Control!$C$94,$G233&lt;=Control!$C$95),(Control!$C$93-Control!$C$92)*(Control!$C$94-$G233)/(Control!$C$95-Control!$C$94))))))</f>
        <v>#N/A</v>
      </c>
      <c r="CC233" s="140" t="e">
        <f t="shared" ca="1" si="830"/>
        <v>#N/A</v>
      </c>
      <c r="CD233" s="140" t="e">
        <f ca="1">IF($CC233&lt;=Control!$C$90,$CC233,Control!$C$90-$CC233)</f>
        <v>#N/A</v>
      </c>
      <c r="CE233" s="140" t="e">
        <f ca="1">IF(AND($BB233&gt;=60,$BB233&lt;65),1,IF($CC233&gt;=Control!$C$90,0,$CA233))</f>
        <v>#N/A</v>
      </c>
      <c r="CF233" s="404" t="e">
        <f ca="1">IF($CE233=0,0,IF($CC233&lt;=Control!$C$90,$CA233*(60+(65-60)*(CD233/Control!$C$90)),0))</f>
        <v>#N/A</v>
      </c>
      <c r="CG233" s="140" t="e">
        <f ca="1">IF($BG233+$BM233+$BS233+$BY233+$CE233=1,0,IF(OR(AND($BB233&lt;90,$BB233&gt;=65),$CC233&gt;=Control!$C$90),$BA233,$CK232))</f>
        <v>#N/A</v>
      </c>
      <c r="CH233" s="140" t="e">
        <f ca="1">IF($CD233&lt;0,-$CD233,$CG233*IF(OR($G233&lt;Control!$C$92,$G233&gt;Control!$C$95),0,IF(AND($G233&gt;=Control!$C$92,$G233&lt;=Control!$C$93),$G233-Control!$C$92,IF(AND($G233&gt;Control!$C$93,$G233&lt;=Control!$C$94),Control!$C$93-Control!$C$92,IF(AND($G233&gt;Control!$C$94,$G233&lt;=Control!$C$95),(Control!$C$93-Control!$C$92)*(Control!$C$94-$G233)/(Control!$C$95-Control!$C$94))))))</f>
        <v>#N/A</v>
      </c>
      <c r="CI233" s="140" t="e">
        <f t="shared" ca="1" si="831"/>
        <v>#N/A</v>
      </c>
      <c r="CJ233" s="140" t="e">
        <f ca="1">IF($CI233&lt;=Control!$C$91,$CI233,Control!$C$91-$CI233)</f>
        <v>#N/A</v>
      </c>
      <c r="CK233" s="140" t="e">
        <f ca="1">IF(AND($BB233&gt;=65,$BB233&lt;90),1,IF($CI233&gt;=Control!$C$91,0,$CG233))</f>
        <v>#N/A</v>
      </c>
      <c r="CL233" s="404" t="e">
        <f ca="1">IF($CK233=0,0,IF($CI233&lt;=Control!$C$91,$CG233*(65+(90-65)*($CJ233/Control!$C$91)),0))</f>
        <v>#N/A</v>
      </c>
      <c r="CM233" s="140" t="e">
        <f ca="1">IF($BG233+$BM233+$BS233+$BY233+$CE233+$CK233=1,0,IF(OR($BB233&gt;=90,$CI233&gt;=Control!$C$91),$BA233,$CM232))</f>
        <v>#N/A</v>
      </c>
      <c r="CN233" s="140" t="e">
        <f t="shared" ca="1" si="832"/>
        <v>#N/A</v>
      </c>
      <c r="CO233" s="140" t="e">
        <f t="shared" ca="1" si="833"/>
        <v>#N/A</v>
      </c>
      <c r="CP233" s="140" t="e">
        <f t="shared" ca="1" si="834"/>
        <v>#N/A</v>
      </c>
      <c r="CQ233" s="141" t="e">
        <f ca="1">VLOOKUP($CP233,Control!$B$86:$G$91,6)</f>
        <v>#N/A</v>
      </c>
      <c r="CR233" s="141" t="e">
        <f ca="1">(1-$CQ233)*VLOOKUP($CP233,Control!$B$86:$D$91,3)</f>
        <v>#N/A</v>
      </c>
      <c r="CS233" s="141" t="e">
        <f ca="1">(1-$CQ233)*VLOOKUP($CP233,Control!$B$86:$E$91,4)</f>
        <v>#N/A</v>
      </c>
      <c r="CT233" s="141" t="e">
        <f ca="1">(1-$CQ233)*VLOOKUP($CP233,Control!$B$86:$F$91,5)</f>
        <v>#N/A</v>
      </c>
      <c r="CU233" s="141">
        <f t="shared" ca="1" si="835"/>
        <v>0</v>
      </c>
      <c r="CV233" s="583">
        <f t="shared" ca="1" si="836"/>
        <v>0</v>
      </c>
      <c r="CW233" s="142">
        <f t="shared" ca="1" si="837"/>
        <v>229</v>
      </c>
      <c r="CX233" s="612" t="e">
        <f ca="1">IF(Control!$C$114=1,(MIN(Control!$C$120*(IF($NT233-0.01&lt;0,0,1)),Control!$C$119-$CY233)))</f>
        <v>#DIV/0!</v>
      </c>
      <c r="CY233" s="143" t="e">
        <f t="shared" ca="1" si="838"/>
        <v>#N/A</v>
      </c>
      <c r="CZ233" s="144">
        <f t="shared" ca="1" si="715"/>
        <v>0</v>
      </c>
      <c r="DA233" s="144">
        <f t="shared" ca="1" si="716"/>
        <v>0</v>
      </c>
      <c r="DB233" s="144" t="e">
        <f t="shared" ca="1" si="717"/>
        <v>#N/A</v>
      </c>
      <c r="DC233" s="144" t="e">
        <f t="shared" ca="1" si="718"/>
        <v>#N/A</v>
      </c>
      <c r="DD233" s="144" t="e">
        <f t="shared" ca="1" si="923"/>
        <v>#N/A</v>
      </c>
      <c r="DE233" s="143" t="e">
        <f t="shared" ca="1" si="839"/>
        <v>#N/A</v>
      </c>
      <c r="DF233" s="145" t="e">
        <f ca="1">$DR233*EXP(-Control!$C$158*(1-$KH233))</f>
        <v>#N/A</v>
      </c>
      <c r="DG233" s="146" t="e">
        <f ca="1">IF(Control!$C$114=1, $DF233*$EY233, 0)</f>
        <v>#N/A</v>
      </c>
      <c r="DH233" s="147" t="e">
        <f t="shared" ca="1" si="840"/>
        <v>#N/A</v>
      </c>
      <c r="DI233" s="144" t="e">
        <f t="shared" ca="1" si="901"/>
        <v>#N/A</v>
      </c>
      <c r="DJ233" s="147" t="e">
        <f ca="1">$EF233*Control!$C$109</f>
        <v>#N/A</v>
      </c>
      <c r="DK233" s="144" t="e">
        <f t="shared" ca="1" si="841"/>
        <v>#N/A</v>
      </c>
      <c r="DL233" s="144" t="e">
        <f t="shared" ca="1" si="719"/>
        <v>#N/A</v>
      </c>
      <c r="DM233" s="144" t="e">
        <f ca="1">IF(Control!$C$114=1, (1-EXP(-Control!$C$96*$DK233))*$AR233, 0)</f>
        <v>#N/A</v>
      </c>
      <c r="DN233" s="144">
        <f t="shared" ca="1" si="842"/>
        <v>0</v>
      </c>
      <c r="DO233" s="148">
        <f>Control!$C$97</f>
        <v>4</v>
      </c>
      <c r="DP233" s="145" t="e">
        <f t="shared" ca="1" si="843"/>
        <v>#N/A</v>
      </c>
      <c r="DQ233" s="145" t="e">
        <f ca="1">IF(AND($CP233&gt;=0,$CP233&lt;=90),Control!$C$111,Control!$C$111)</f>
        <v>#N/A</v>
      </c>
      <c r="DR233" s="145" t="e">
        <f t="shared" ca="1" si="720"/>
        <v>#N/A</v>
      </c>
      <c r="DS233" s="143" t="e">
        <f ca="1">Control!$B$22/$DR233</f>
        <v>#N/A</v>
      </c>
      <c r="DT233" s="149" t="e">
        <f ca="1">IF(AND(Control!$C$114=1,$KH233&lt;1),$IM233*$DF233, 0)</f>
        <v>#N/A</v>
      </c>
      <c r="DU233" s="144" t="e">
        <f t="shared" ca="1" si="844"/>
        <v>#N/A</v>
      </c>
      <c r="DV233" s="144">
        <f ca="1">IF($G233-Control!$C$107&lt;=0, 0, 0.83*LN(MAX($G233, 3))-0.8924)</f>
        <v>0</v>
      </c>
      <c r="DW233" s="144" t="e">
        <f t="shared" ca="1" si="721"/>
        <v>#N/A</v>
      </c>
      <c r="DX233" s="150" t="e">
        <f ca="1">MAX(0.01*(1+$CU233/Control!$C$102),0.05*($DK233-Control!$C$97)/Control!$C$97)</f>
        <v>#N/A</v>
      </c>
      <c r="DY233" s="151" t="e">
        <f ca="1">IF(Control!$C$114=1, $DI233*$FS233, 0)</f>
        <v>#N/A</v>
      </c>
      <c r="DZ233" s="196" t="e">
        <f t="shared" ca="1" si="845"/>
        <v>#N/A</v>
      </c>
      <c r="EA233" s="152">
        <f t="shared" ca="1" si="846"/>
        <v>229</v>
      </c>
      <c r="EB233" s="153" t="e">
        <f t="shared" ca="1" si="847"/>
        <v>#N/A</v>
      </c>
      <c r="EC233" s="153" t="e">
        <f t="shared" ca="1" si="848"/>
        <v>#N/A</v>
      </c>
      <c r="ED233" s="154" t="e">
        <f ca="1">IF(Control!$C$114=1, $HM233*$FY233-$FD233, 0)</f>
        <v>#DIV/0!</v>
      </c>
      <c r="EE233" s="155" t="e">
        <f ca="1">IF(Control!$C$114=1, $HM233*$FZ233-$FF233, 0)</f>
        <v>#DIV/0!</v>
      </c>
      <c r="EF233" s="153" t="e">
        <f t="shared" ca="1" si="902"/>
        <v>#N/A</v>
      </c>
      <c r="EG233" s="155" t="e">
        <f ca="1">IF(Control!$C$114=1, $GX233*$FW233-$FI233, 0)</f>
        <v>#DIV/0!</v>
      </c>
      <c r="EH233" s="153" t="e">
        <f t="shared" ca="1" si="849"/>
        <v>#N/A</v>
      </c>
      <c r="EI233" s="156" t="e">
        <f t="shared" ca="1" si="850"/>
        <v>#N/A</v>
      </c>
      <c r="EJ233" s="155" t="e">
        <f ca="1">IF(Control!$C$114=1, $HM233*$GB233, 0)</f>
        <v>#DIV/0!</v>
      </c>
      <c r="EK233" s="153" t="e">
        <f t="shared" ca="1" si="903"/>
        <v>#N/A</v>
      </c>
      <c r="EL233" s="153" t="e">
        <f t="shared" ca="1" si="722"/>
        <v>#N/A</v>
      </c>
      <c r="EM233" s="153" t="e">
        <f t="shared" ca="1" si="723"/>
        <v>#N/A</v>
      </c>
      <c r="EN233" s="153" t="e">
        <f ca="1">IF(Control!$C$108=1,IF(AND(Control!$B$18=1,$EB233&gt;=Control!$B$19),$EB233-$DS233,IF(AND(Control!$B$18=2,$AW233=1,$EB233&gt;$DS233),$EB233-$DS233,0)))</f>
        <v>#N/A</v>
      </c>
      <c r="EO233" s="153" t="e">
        <f ca="1">IF(Control!$C$108=1,IF(AND(Control!$B$18=1,$EB233&gt;=Control!$B$19),$EF233,IF(AND(Control!$B$18=2,$AW233=1),$EF233,0)))</f>
        <v>#N/A</v>
      </c>
      <c r="EP233" s="153" t="e">
        <f ca="1">IF(Control!$C$108=1,IF(AND(Control!$B$18=1,$EB233&gt;=Control!$B$19),$EK233,IF(AND(Control!$B$18=2,$AW233=1),$EK233,0)))</f>
        <v>#N/A</v>
      </c>
      <c r="EQ233" s="153" t="e">
        <f t="shared" ca="1" si="851"/>
        <v>#N/A</v>
      </c>
      <c r="ER233" s="153" t="e">
        <f t="shared" ca="1" si="852"/>
        <v>#N/A</v>
      </c>
      <c r="ES233" s="153" t="e">
        <f t="shared" ca="1" si="904"/>
        <v>#N/A</v>
      </c>
      <c r="ET233" s="153" t="e">
        <f t="shared" ca="1" si="905"/>
        <v>#N/A</v>
      </c>
      <c r="EU233" s="153" t="e">
        <f t="shared" ca="1" si="853"/>
        <v>#N/A</v>
      </c>
      <c r="EV233" s="153" t="e">
        <f t="shared" ca="1" si="724"/>
        <v>#N/A</v>
      </c>
      <c r="EW233" s="153" t="e">
        <f t="shared" ca="1" si="725"/>
        <v>#N/A</v>
      </c>
      <c r="EX233" s="153" t="e">
        <f t="shared" ca="1" si="726"/>
        <v>#N/A</v>
      </c>
      <c r="EY233" s="157" t="e">
        <f t="shared" ca="1" si="727"/>
        <v>#DIV/0!</v>
      </c>
      <c r="EZ233" s="154" t="e">
        <f t="shared" ca="1" si="728"/>
        <v>#DIV/0!</v>
      </c>
      <c r="FA233" s="153" t="e">
        <f t="shared" ca="1" si="854"/>
        <v>#N/A</v>
      </c>
      <c r="FB233" s="153" t="e">
        <f t="shared" ca="1" si="729"/>
        <v>#N/A</v>
      </c>
      <c r="FC233" s="193" t="e">
        <f t="shared" ca="1" si="730"/>
        <v>#N/A</v>
      </c>
      <c r="FD233" s="158" t="e">
        <f t="shared" ca="1" si="855"/>
        <v>#N/A</v>
      </c>
      <c r="FE233" s="158" t="e">
        <f t="shared" ca="1" si="856"/>
        <v>#N/A</v>
      </c>
      <c r="FF233" s="159" t="e">
        <f t="shared" ca="1" si="731"/>
        <v>#N/A</v>
      </c>
      <c r="FG233" s="160" t="e">
        <f t="shared" ca="1" si="857"/>
        <v>#N/A</v>
      </c>
      <c r="FH233" s="158" t="e">
        <f t="shared" ca="1" si="858"/>
        <v>#N/A</v>
      </c>
      <c r="FI233" s="159" t="e">
        <f t="shared" ca="1" si="732"/>
        <v>#N/A</v>
      </c>
      <c r="FJ233" s="160" t="e">
        <f t="shared" ca="1" si="859"/>
        <v>#N/A</v>
      </c>
      <c r="FK233" s="160" t="e">
        <f t="shared" ca="1" si="733"/>
        <v>#N/A</v>
      </c>
      <c r="FL233" s="160" t="e">
        <f t="shared" ca="1" si="906"/>
        <v>#N/A</v>
      </c>
      <c r="FM233" s="160" t="e">
        <f t="shared" ca="1" si="734"/>
        <v>#N/A</v>
      </c>
      <c r="FN233" s="158">
        <f t="shared" ca="1" si="860"/>
        <v>0.01</v>
      </c>
      <c r="FO233" s="160">
        <f>Control!$C$101</f>
        <v>50</v>
      </c>
      <c r="FP233" s="150" t="e">
        <f t="shared" ca="1" si="735"/>
        <v>#N/A</v>
      </c>
      <c r="FQ233" s="150" t="e">
        <f ca="1">MAX(0,(Control!$C$112*(($DK233-Control!$C$97)/Control!$C$97)))</f>
        <v>#N/A</v>
      </c>
      <c r="FR233" s="150" t="e">
        <f ca="1">(1-$NT233)*Control!$C$113</f>
        <v>#DIV/0!</v>
      </c>
      <c r="FS233" s="198" t="e">
        <f t="shared" ca="1" si="736"/>
        <v>#N/A</v>
      </c>
      <c r="FT233" s="161">
        <f t="shared" ca="1" si="861"/>
        <v>229</v>
      </c>
      <c r="FU233" s="162" t="e">
        <f ca="1">IF(Control!$B$34=1,VLOOKUP($CP233,Control!$B$86:$G$91,6),Control!$B$35)</f>
        <v>#N/A</v>
      </c>
      <c r="FV233" s="162" t="e">
        <f t="shared" ca="1" si="737"/>
        <v>#DIV/0!</v>
      </c>
      <c r="FW233" s="162" t="e">
        <f ca="1">IF(Control!$B$31=1,$FU233*$FV233,  $FU233)</f>
        <v>#N/A</v>
      </c>
      <c r="FX233" s="162" t="e">
        <f ca="1">IF(Control!$B$34=1,VLOOKUP($CP233,Control!$B$86:$G$91,3),Control!$B$36)</f>
        <v>#N/A</v>
      </c>
      <c r="FY233" s="162" t="e">
        <f t="shared" ca="1" si="738"/>
        <v>#N/A</v>
      </c>
      <c r="FZ233" s="162" t="e">
        <f ca="1">IF(Control!$B$34=1,VLOOKUP($CP233,Control!$B$86:$G$91,4),Control!$B$37)</f>
        <v>#N/A</v>
      </c>
      <c r="GA233" s="162" t="e">
        <f t="shared" ca="1" si="739"/>
        <v>#N/A</v>
      </c>
      <c r="GB233" s="162" t="e">
        <f ca="1">IF(Control!$B$34=1,VLOOKUP($CP233,Control!$B$86:$G$91,5),Control!$B$38)</f>
        <v>#N/A</v>
      </c>
      <c r="GC233" s="162" t="e">
        <f t="shared" ca="1" si="862"/>
        <v>#N/A</v>
      </c>
      <c r="GD233" s="162">
        <f t="shared" ca="1" si="740"/>
        <v>1</v>
      </c>
      <c r="GE233" s="162">
        <f t="shared" ca="1" si="741"/>
        <v>1</v>
      </c>
      <c r="GF233" s="162">
        <f ca="1">IF(AND(Control!$C$104=1, Control!$C$62="F"),$GE233,1)</f>
        <v>1</v>
      </c>
      <c r="GG233" s="162" t="e">
        <f ca="1">IF(Control!$B$16=40,0,IF(AND(Control!$B$16&gt;40,Control!$B$16&lt;=360),(Control!$B$16-40)*((1-0)/(360-40)),IF(AND(Control!$B$16&gt;360,Control!$B$16&lt;=720),(1+(Control!$B$16-360)*((1.25-1)/(720-360))),IF(AND(Control!$B$16&gt;720,Control!$B$16&lt;=1000),(1.25+(Control!$B$16-720)*((1.35-1.25)/(1000-720))),IF(AND(Control!$B$16&gt;1000,Control!$B$16&lt;=2000),(1.35+(Control!$B$16-1000)*0))))))</f>
        <v>#N/A</v>
      </c>
      <c r="GH233" s="162" t="e">
        <f t="shared" ca="1" si="742"/>
        <v>#N/A</v>
      </c>
      <c r="GI233" s="162">
        <f t="shared" ca="1" si="863"/>
        <v>0</v>
      </c>
      <c r="GJ233" s="162">
        <f t="shared" ca="1" si="743"/>
        <v>0</v>
      </c>
      <c r="GK233" s="162">
        <f t="shared" ca="1" si="864"/>
        <v>1</v>
      </c>
      <c r="GL233" s="162">
        <f t="shared" ca="1" si="744"/>
        <v>1</v>
      </c>
      <c r="GM233" s="162" t="e">
        <f ca="1">MAX(0,MIN(1,1-Control!$C$156*(1.0001-$KH233)^2))</f>
        <v>#N/A</v>
      </c>
      <c r="GN233" s="162" t="e">
        <f ca="1">IF(Control!$B$26=1,$KU233,$KX233)</f>
        <v>#N/A</v>
      </c>
      <c r="GO233" s="162" t="e">
        <f ca="1">IF($CP233&lt;=60,Control!$C$105,IF($CP233&gt;=90,Control!$C$106,Control!$C$105+($CP233-60)*((Control!$C$106-Control!$C$105)/(90-60))))</f>
        <v>#N/A</v>
      </c>
      <c r="GP233" s="162" t="e">
        <f t="shared" ca="1" si="745"/>
        <v>#N/A</v>
      </c>
      <c r="GQ233" s="162" t="e">
        <f t="shared" ca="1" si="865"/>
        <v>#N/A</v>
      </c>
      <c r="GR233" s="163" t="e">
        <f t="shared" ca="1" si="746"/>
        <v>#DIV/0!</v>
      </c>
      <c r="GS233" s="162" t="e">
        <f t="shared" ca="1" si="747"/>
        <v>#DIV/0!</v>
      </c>
      <c r="GT233" s="164" t="e">
        <f t="shared" ca="1" si="866"/>
        <v>#N/A</v>
      </c>
      <c r="GU233" s="162" t="e">
        <f t="shared" ca="1" si="867"/>
        <v>#N/A</v>
      </c>
      <c r="GV233" s="162" t="e">
        <f t="shared" ca="1" si="748"/>
        <v>#N/A</v>
      </c>
      <c r="GW233" s="162" t="e">
        <f t="shared" ca="1" si="749"/>
        <v>#DIV/0!</v>
      </c>
      <c r="GX233" s="162" t="e">
        <f t="shared" ca="1" si="868"/>
        <v>#DIV/0!</v>
      </c>
      <c r="GY233" s="162" t="e">
        <f t="shared" ca="1" si="869"/>
        <v>#DIV/0!</v>
      </c>
      <c r="GZ233" s="165" t="e">
        <f t="shared" ca="1" si="750"/>
        <v>#N/A</v>
      </c>
      <c r="HA233" s="162" t="e">
        <f ca="1">IF(Control!$C$114=1, $DI233*$FS233, 0)</f>
        <v>#N/A</v>
      </c>
      <c r="HB233" s="162" t="e">
        <f ca="1">$FA233/Control!$C$64</f>
        <v>#N/A</v>
      </c>
      <c r="HC233" s="162" t="e">
        <f t="shared" ca="1" si="751"/>
        <v>#DIV/0!</v>
      </c>
      <c r="HD233" s="162">
        <f ca="1">-ASIN(SIN(23.45*Control!$C$139)*COS(2*Control!$C$138*($AH233+10)/365))</f>
        <v>0.22602190314606027</v>
      </c>
      <c r="HE233" s="165">
        <f t="shared" ca="1" si="870"/>
        <v>0</v>
      </c>
      <c r="HF233" s="166">
        <f ca="1">IF(AND(Control!$C$61="T",$HE233&gt;=Control!$C$103,Control!$C$114=0),$AH233,Control!$C$59)</f>
        <v>1</v>
      </c>
      <c r="HG233" s="166">
        <f ca="1">IF(AND(Control!$C$61="T",$HE233&gt;=Control!$C$103,Control!$C$114=0),$HF233,Control!$C$59)</f>
        <v>1</v>
      </c>
      <c r="HH233" s="165">
        <f ca="1">IF(AND(OR(Control!$C$60&lt;=0, $AH233= Control!$C$59, Control!$C$60 &gt;0, $AH233 = Control!$C$60)), Control!$C$59, IF(Control!$C$60&gt;0, 0))</f>
        <v>1</v>
      </c>
      <c r="HI233" s="165">
        <f ca="1">IF(AND(OR(Control!$C$60&lt;=0, $AH233= Control!$C$59, Control!$C$60 &gt;0, $AH233 = Control!$C$60)), Control!$C$60, IF(Control!$C$60&lt;=0, 0))</f>
        <v>0</v>
      </c>
      <c r="HJ233" s="166">
        <f ca="1">IF(AND(Control!$C$62="F",$CV233&gt;=Control!$C$102),$AH233,0)</f>
        <v>0</v>
      </c>
      <c r="HK233" s="165" t="e">
        <f t="shared" ca="1" si="907"/>
        <v>#N/A</v>
      </c>
      <c r="HL233" s="166">
        <f ca="1">IF(AND(Control!$C$61="T",$HE233&gt;=Control!$C$103,Control!$C$114=0),$HF233,0)</f>
        <v>0</v>
      </c>
      <c r="HM233" s="201" t="e">
        <f t="shared" ca="1" si="752"/>
        <v>#DIV/0!</v>
      </c>
      <c r="HN233" s="215">
        <f t="shared" ca="1" si="871"/>
        <v>229</v>
      </c>
      <c r="HO233" s="216" t="e">
        <f ca="1">IF(AND($CP233&gt;=0, $CP233&lt;=90), Control!$C$152, Control!$C$152)</f>
        <v>#N/A</v>
      </c>
      <c r="HP233" s="216" t="e">
        <f t="shared" ca="1" si="753"/>
        <v>#N/A</v>
      </c>
      <c r="HQ233" s="217" t="e">
        <f ca="1">IF(OR(Control!$B$26=1,Control!$B$26=2),$KV233,$KS233)</f>
        <v>#DIV/0!</v>
      </c>
      <c r="HR233" s="218" t="e">
        <f t="shared" ca="1" si="908"/>
        <v>#DIV/0!</v>
      </c>
      <c r="HS233" s="216" t="e">
        <f ca="1">Control!$C$154*$HP233</f>
        <v>#N/A</v>
      </c>
      <c r="HT233" s="216" t="e">
        <f ca="1">Control!$C$155*$HP233</f>
        <v>#N/A</v>
      </c>
      <c r="HU233" s="217" t="e">
        <f ca="1">Control!$C$161*$FI233</f>
        <v>#N/A</v>
      </c>
      <c r="HV233" s="218" t="e">
        <f t="shared" ca="1" si="872"/>
        <v>#N/A</v>
      </c>
      <c r="HW233" s="218" t="e">
        <f ca="1">Control!$C$160*$FF233+$IP233*$EO233</f>
        <v>#N/A</v>
      </c>
      <c r="HX233" s="218" t="e">
        <f t="shared" ca="1" si="909"/>
        <v>#N/A</v>
      </c>
      <c r="HY233" s="219" t="e">
        <f ca="1">IF(Control!$C$114=1, $EB233*$FS233, 0)</f>
        <v>#N/A</v>
      </c>
      <c r="HZ233" s="91" t="e">
        <f t="shared" ca="1" si="754"/>
        <v>#N/A</v>
      </c>
      <c r="IA233" s="220" t="e">
        <f ca="1">Control!$C$153*$HO233</f>
        <v>#N/A</v>
      </c>
      <c r="IB233" s="218" t="e">
        <f t="shared" ca="1" si="755"/>
        <v>#N/A</v>
      </c>
      <c r="IC233" s="220" t="e">
        <f ca="1">Control!$C$153*$HT233</f>
        <v>#N/A</v>
      </c>
      <c r="ID233" s="218" t="e">
        <f t="shared" ca="1" si="756"/>
        <v>#N/A</v>
      </c>
      <c r="IE233" s="221" t="e">
        <f ca="1">($EB233*Control!$C$159+$EF233*Control!$C$160)/(IF($GZ233&lt;&gt;0,$GZ233,1))</f>
        <v>#N/A</v>
      </c>
      <c r="IF233" s="216" t="e">
        <f t="shared" ca="1" si="757"/>
        <v>#N/A</v>
      </c>
      <c r="IG233" s="91">
        <f ca="1">IF(OR(Control!$B$198=$AH233,Control!$B$199=$AH233, Control!$B$200=$AH233, Control!$B$201=$AH233, Control!$B$202=$AH233, Control!$B$203=$AH233, Control!$B$204=$AH233, Control!$B$205=$AH233, Control!$B$206=$AH233, Control!$B$207=$AH233), 1, 0)</f>
        <v>0</v>
      </c>
      <c r="IH233" s="91">
        <f ca="1">IF($IG233=0,0, VLOOKUP($AH233,Control!$B$198:$C$207,2))</f>
        <v>0</v>
      </c>
      <c r="II233" s="222">
        <f t="shared" ca="1" si="873"/>
        <v>0</v>
      </c>
      <c r="IJ233" s="91">
        <f>Control!$C$121</f>
        <v>0.7</v>
      </c>
      <c r="IK233" s="218">
        <f t="shared" ca="1" si="758"/>
        <v>0</v>
      </c>
      <c r="IL233" s="217" t="e">
        <f t="shared" ca="1" si="910"/>
        <v>#N/A</v>
      </c>
      <c r="IM233" s="223" t="e">
        <f ca="1">IF(AND(Control!$C$114=1,$KH233&lt;1),$EB233*Control!$C$148*(1-$KH233), 0)</f>
        <v>#N/A</v>
      </c>
      <c r="IN233" s="217" t="e">
        <f t="shared" ca="1" si="759"/>
        <v>#DIV/0!</v>
      </c>
      <c r="IO233" s="91" t="e">
        <f ca="1">MAX(0,$IL233-$EF233*Control!$C$160)</f>
        <v>#N/A</v>
      </c>
      <c r="IP233" s="220" t="e">
        <f t="shared" ca="1" si="760"/>
        <v>#N/A</v>
      </c>
      <c r="IQ233" s="217" t="e">
        <f t="shared" ca="1" si="874"/>
        <v>#N/A</v>
      </c>
      <c r="IR233" s="218" t="e">
        <f t="shared" ca="1" si="761"/>
        <v>#N/A</v>
      </c>
      <c r="IS233" s="217" t="e">
        <f ca="1">Control!$C$159*MAX(0,$FD233-$EN233)</f>
        <v>#N/A</v>
      </c>
      <c r="IT233" s="217" t="e">
        <f t="shared" ca="1" si="911"/>
        <v>#N/A</v>
      </c>
      <c r="IU233" s="217" t="e">
        <f t="shared" ca="1" si="875"/>
        <v>#N/A</v>
      </c>
      <c r="IV233" s="217" t="e">
        <f t="shared" ca="1" si="912"/>
        <v>#N/A</v>
      </c>
      <c r="IW233" s="217" t="e">
        <f ca="1">IF(OR($AW233=1,AND($AW233=0, Control!$B$18=1,$EN233&lt;&gt;0)), $IQ233-$IU233, $IQ233)</f>
        <v>#N/A</v>
      </c>
      <c r="IX233" s="218" t="e">
        <f t="shared" ca="1" si="762"/>
        <v>#N/A</v>
      </c>
      <c r="IY233" s="218" t="e">
        <f ca="1">MAX(0,$IQ233-$EB233*Control!$C$159)</f>
        <v>#N/A</v>
      </c>
      <c r="IZ233" s="218" t="e">
        <f t="shared" ca="1" si="763"/>
        <v>#N/A</v>
      </c>
      <c r="JA233" s="216" t="e">
        <f t="shared" ca="1" si="764"/>
        <v>#N/A</v>
      </c>
      <c r="JB233" s="217" t="e">
        <f t="shared" ca="1" si="765"/>
        <v>#N/A</v>
      </c>
      <c r="JC233" s="222" t="e">
        <f ca="1">MAX(Control!$C$157*$EK233-$JT233, 0)/Control!$C$162</f>
        <v>#N/A</v>
      </c>
      <c r="JD233" s="218" t="e">
        <f t="shared" ca="1" si="766"/>
        <v>#N/A</v>
      </c>
      <c r="JE233" s="218" t="e">
        <f t="shared" ca="1" si="767"/>
        <v>#N/A</v>
      </c>
      <c r="JF233" s="218" t="e">
        <f t="shared" ca="1" si="876"/>
        <v>#N/A</v>
      </c>
      <c r="JG233" s="218" t="e">
        <f t="shared" ca="1" si="768"/>
        <v>#N/A</v>
      </c>
      <c r="JH233" s="217" t="e">
        <f t="shared" ca="1" si="877"/>
        <v>#N/A</v>
      </c>
      <c r="JI233" s="217" t="e">
        <f t="shared" ca="1" si="878"/>
        <v>#N/A</v>
      </c>
      <c r="JJ233" s="217" t="e">
        <f t="shared" ca="1" si="913"/>
        <v>#N/A</v>
      </c>
      <c r="JK233" s="217" t="e">
        <f ca="1">IF(Control!$C$114=1,IF(Control!$B$24=0,MAX(0,$JI233)*$GN233/Control!$C$64,(MAX(0,MIN($JI233,$JJ233*$GN233/Control!$C$64),0))))</f>
        <v>#N/A</v>
      </c>
      <c r="JL233" s="217" t="e">
        <f ca="1">$IK233/Control!$C$64-$JK233+$HQ233</f>
        <v>#N/A</v>
      </c>
      <c r="JM233" s="217" t="e">
        <f ca="1">IF(Control!$C$114=1,($JB233/(IF($JI233&lt;&gt;0,$JI233,1)))*$JK233,0)</f>
        <v>#N/A</v>
      </c>
      <c r="JN233" s="217" t="e">
        <f ca="1">IF(Control!$C$114=1,($JG233/(IF($JI233&lt;&gt;0,$JI233,1)))*$JK233, 0)</f>
        <v>#N/A</v>
      </c>
      <c r="JO233" s="218" t="e">
        <f t="shared" ca="1" si="769"/>
        <v>#N/A</v>
      </c>
      <c r="JP233" s="218" t="e">
        <f ca="1">MIN(($IY233+$IO233)*Control!$C$151, $JF233-$EH233*Control!$C$161)</f>
        <v>#N/A</v>
      </c>
      <c r="JQ233" s="218" t="e">
        <f t="shared" ca="1" si="770"/>
        <v>#N/A</v>
      </c>
      <c r="JR233" s="217" t="e">
        <f ca="1">IF($CP233-Control!$C$150&lt;0, 0, $JQ233/Control!$C$162)</f>
        <v>#N/A</v>
      </c>
      <c r="JS233" s="218" t="e">
        <f t="shared" ca="1" si="771"/>
        <v>#N/A</v>
      </c>
      <c r="JT233" s="218" t="e">
        <f t="shared" ca="1" si="879"/>
        <v>#N/A</v>
      </c>
      <c r="JU233" s="218" t="e">
        <f t="shared" ca="1" si="772"/>
        <v>#N/A</v>
      </c>
      <c r="JV233" s="218" t="e">
        <f t="shared" ca="1" si="773"/>
        <v>#N/A</v>
      </c>
      <c r="JW233" s="216" t="e">
        <f t="shared" ca="1" si="774"/>
        <v>#N/A</v>
      </c>
      <c r="JX233" s="91" t="e">
        <f t="shared" ca="1" si="775"/>
        <v>#N/A</v>
      </c>
      <c r="JY233" s="218" t="e">
        <f t="shared" ca="1" si="776"/>
        <v>#N/A</v>
      </c>
      <c r="JZ233" s="217" t="e">
        <f ca="1">IF(Control!$C$114=1,($IZ233/(IF($JI233&lt;&gt;0,$JI233,1)))*$JK233, 0)</f>
        <v>#N/A</v>
      </c>
      <c r="KA233" s="218" t="e">
        <f t="shared" ca="1" si="914"/>
        <v>#N/A</v>
      </c>
      <c r="KB233" s="218" t="e">
        <f t="shared" ca="1" si="880"/>
        <v>#N/A</v>
      </c>
      <c r="KC233" s="218" t="e">
        <f t="shared" ca="1" si="777"/>
        <v>#N/A</v>
      </c>
      <c r="KD233" s="218" t="e">
        <f t="shared" ca="1" si="778"/>
        <v>#N/A</v>
      </c>
      <c r="KE233" s="218" t="e">
        <f t="shared" ca="1" si="779"/>
        <v>#N/A</v>
      </c>
      <c r="KF233" s="218" t="e">
        <f t="shared" ca="1" si="780"/>
        <v>#N/A</v>
      </c>
      <c r="KG233" s="216" t="e">
        <f t="shared" ca="1" si="781"/>
        <v>#N/A</v>
      </c>
      <c r="KH233" s="221" t="e">
        <f ca="1">IF(Control!$B$24=0,1,MAX(0.001,MIN(1,IF(($IF233-$IE233)&lt;&gt;0,($KG233-$IE233)/($IF233-$IE233),1))))</f>
        <v>#N/A</v>
      </c>
      <c r="KI233" s="222" t="e">
        <f ca="1">IF(Control!$C$114=1, $KI232+ $KH232, 0)</f>
        <v>#N/A</v>
      </c>
      <c r="KJ233" s="217" t="e">
        <f t="shared" ca="1" si="782"/>
        <v>#N/A</v>
      </c>
      <c r="KK233" s="218" t="e">
        <f t="shared" ca="1" si="783"/>
        <v>#N/A</v>
      </c>
      <c r="KL233" s="274" t="e">
        <f ca="1">IF(Control!$B$26=3,4000000000*EXP(-8400/($G233+273)),IF(Control!$B$26=4,4000000000*EXP(-8400/($G233+273))*($KT233),0))</f>
        <v>#DIV/0!</v>
      </c>
      <c r="KM233" s="274" t="e">
        <f ca="1">IF(Control!$B$26=3,5600000000000*EXP(-9800/($G233+273)),IF(Control!$B$26=4,5600000000000*EXP(-9800/($G233+273))*$KT233,0))</f>
        <v>#DIV/0!</v>
      </c>
      <c r="KN233" s="454" t="e">
        <f t="shared" ca="1" si="881"/>
        <v>#DIV/0!</v>
      </c>
      <c r="KO233" s="274" t="e">
        <f t="shared" ca="1" si="882"/>
        <v>#DIV/0!</v>
      </c>
      <c r="KP233" s="454" t="e">
        <f t="shared" ca="1" si="784"/>
        <v>#DIV/0!</v>
      </c>
      <c r="KQ233" s="454" t="e">
        <f t="shared" ca="1" si="785"/>
        <v>#DIV/0!</v>
      </c>
      <c r="KR233" s="454" t="e">
        <f t="shared" ca="1" si="786"/>
        <v>#DIV/0!</v>
      </c>
      <c r="KS233" s="454" t="e">
        <f t="shared" ca="1" si="787"/>
        <v>#DIV/0!</v>
      </c>
      <c r="KT233" s="455" t="e">
        <f t="shared" ca="1" si="788"/>
        <v>#DIV/0!</v>
      </c>
      <c r="KU233" s="456" t="e">
        <f ca="1">IF($CP233-Control!$C$149&lt;0, IF($NT233-0.01&lt;0,0,1),0)</f>
        <v>#N/A</v>
      </c>
      <c r="KV233" s="456" t="e">
        <f ca="1">IF(Control!$C$114=1,MAX(0,MIN(Control!$C$125*$KW233*$GN233,$KW233)))</f>
        <v>#DIV/0!</v>
      </c>
      <c r="KW233" s="456" t="e">
        <f t="shared" ca="1" si="915"/>
        <v>#DIV/0!</v>
      </c>
      <c r="KX233" s="457" t="e">
        <f ca="1">IF($CP233-Control!$C$149&lt;0, IF($MR233-$OM233&lt;0,0,1),0)</f>
        <v>#N/A</v>
      </c>
      <c r="KY233" s="167">
        <f t="shared" ca="1" si="883"/>
        <v>229</v>
      </c>
      <c r="KZ233" s="168">
        <f ca="1">1370*(1+0.033*COS(2*Control!$C$138*$AH233/365))</f>
        <v>1338.5171299385618</v>
      </c>
      <c r="LA233" s="169">
        <f t="shared" ca="1" si="884"/>
        <v>0.97701958455530324</v>
      </c>
      <c r="LB233" s="169">
        <f t="shared" ca="1" si="885"/>
        <v>0.22739509921095732</v>
      </c>
      <c r="LC233" s="169">
        <f ca="1">ACOS(-TAN((2*Control!$B$8/360))*TAN(Calculations!$LB233))</f>
        <v>1.6396226615836575</v>
      </c>
      <c r="LD233" s="169">
        <f ca="1">((24*60)/PI())*0.082*$LA233*(($LC233*SIN(Control!$B$8*2*PI()/360))*SIN($LB233)+COS(Control!$B$8*2*PI()/360)*COS($LB233)*SIN($LC233))</f>
        <v>32.670736951835444</v>
      </c>
      <c r="LE233" s="170">
        <f t="shared" ca="1" si="789"/>
        <v>33.236355118509067</v>
      </c>
      <c r="LF233" s="170">
        <f ca="1">SIN(Control!$C$139*Control!$B$8)*SIN($HD233)</f>
        <v>0.17659538654058171</v>
      </c>
      <c r="LG233" s="170">
        <f ca="1">COS(Control!$C$139*Control!$B$8)*COS($HD233)</f>
        <v>0.60000086833912469</v>
      </c>
      <c r="LH233" s="170">
        <f ca="1">12*(1+2*ASIN(MAX(-1,MIN(1,$LF233/$LG233))/Control!$C$138))</f>
        <v>14.251776039278671</v>
      </c>
      <c r="LI233" s="170">
        <f ca="1">12*(1+2*ASIN(MAX(-1,MIN(1,(-SIN(-4*Control!$C$139)+$LF233)/$LG233))/Control!$C$138))</f>
        <v>15.145638198629582</v>
      </c>
      <c r="LJ233" s="168">
        <f ca="1">3600*($LH233*$LF233+24*$LG233*SQRT(1-$LK233*$LK233)/Control!$C$138)</f>
        <v>24830.728255255595</v>
      </c>
      <c r="LK233" s="170">
        <f t="shared" ca="1" si="790"/>
        <v>0.29432521827746549</v>
      </c>
      <c r="LL233" s="170">
        <f t="shared" ca="1" si="791"/>
        <v>0</v>
      </c>
      <c r="LM233" s="171">
        <f ca="1">Control!$C$145*$AB233</f>
        <v>6.6660906138995932E-2</v>
      </c>
      <c r="LN233" s="170">
        <f t="shared" ca="1" si="886"/>
        <v>0.54</v>
      </c>
      <c r="LO233" s="170">
        <f t="shared" ca="1" si="792"/>
        <v>0</v>
      </c>
      <c r="LP233" s="170">
        <f ca="1">Control!$C$140*((($D233+273.16)^4+($E233+273.16)^4)/2)*(0.34-0.14*SQRT($Y233))*(1.35*$AQ233/(0.75*$LD233)-0.35)</f>
        <v>-3.2464704755046001</v>
      </c>
      <c r="LQ233" s="170">
        <f ca="1">Control!$C$140*($G233+273)^4*(0.56-0.079*SQRT($Y233*10))*(0.1+0.9*$LO233)</f>
        <v>1.5241745131704001</v>
      </c>
      <c r="LR233" s="170">
        <f ca="1">$AQ233*(1-Control!$C$142)-$LQ233</f>
        <v>-1.5241745131704001</v>
      </c>
      <c r="LS233" s="170">
        <f ca="1">$AQ233*(1-Control!$C$143)-$LQ233</f>
        <v>-1.5241745131704001</v>
      </c>
      <c r="LT233" s="170">
        <f ca="1">$AQ233*(1-Control!$C$144)-$LQ233</f>
        <v>-1.5241745131704001</v>
      </c>
      <c r="LU233" s="169">
        <f ca="1">(1-Control!$C$144)*AQ233-LP233</f>
        <v>3.2464704755046001</v>
      </c>
      <c r="LV233" s="172">
        <f t="shared" ca="1" si="793"/>
        <v>0.79430000000000012</v>
      </c>
      <c r="LW233" s="170">
        <f t="shared" ca="1" si="794"/>
        <v>1.5886000000000002</v>
      </c>
      <c r="LX233" s="170">
        <f ca="1">($AC233*($LR233/Control!$C$141)+$LM233*$LV233)/($AC233+$LM233)</f>
        <v>0.23530094218323697</v>
      </c>
      <c r="LY233" s="170">
        <f ca="1">($AC233*($LS233/Control!$C$141)+$LM233*$LV233)/($AC233+$LM233)</f>
        <v>0.23530094218323697</v>
      </c>
      <c r="LZ233" s="170">
        <f t="shared" ca="1" si="795"/>
        <v>0.23530094218323697</v>
      </c>
      <c r="MA233" s="170">
        <f t="shared" ca="1" si="796"/>
        <v>0.23530094218323697</v>
      </c>
      <c r="MB233" s="170" t="e">
        <f t="shared" ca="1" si="797"/>
        <v>#N/A</v>
      </c>
      <c r="MC233" s="170">
        <f t="shared" ca="1" si="887"/>
        <v>0.6018</v>
      </c>
      <c r="MD233" s="170">
        <f t="shared" ca="1" si="798"/>
        <v>0.52989392535414004</v>
      </c>
      <c r="ME233" s="170">
        <f ca="1">($AC233*($LT233/Control!$C$141)+$LM233*$LW233)/($AC233+$LM233)</f>
        <v>0.71612369323045078</v>
      </c>
      <c r="MF233" s="170" t="e">
        <f ca="1">IF(Control!$B$16&gt;=1000,0.92,IF(AND(720&lt;=Control!$B$16,1000&gt;Control!$B$16),(0.95+(Control!$B$16-720)*((0.92-0.95)/(1000-720))),IF(AND(360&lt;=Control!$B$16,720&gt;Control!$B$16),(1+(Control!$B$16-360)*((0.95-1)/(720-360))),IF(AND(40&lt;=Control!$B$16,360&gt;Control!$B$16),(1.05+(Control!$B$16-40)*((1.05-1)/(360-40)))))))</f>
        <v>#N/A</v>
      </c>
      <c r="MG233" s="170">
        <f t="shared" ca="1" si="799"/>
        <v>0.71612369323045078</v>
      </c>
      <c r="MH233" s="170" t="e">
        <f t="shared" ca="1" si="925"/>
        <v>#N/A</v>
      </c>
      <c r="MI233" s="170" t="e">
        <f t="shared" ca="1" si="925"/>
        <v>#N/A</v>
      </c>
      <c r="MJ233" s="170" t="e">
        <f ca="1">MAX(0.0001, Control!$C$132*$MI233*$DL233)</f>
        <v>#N/A</v>
      </c>
      <c r="MK233" s="170">
        <f ca="1">1/(0.76+1.5*($MG233/10))-(5-Control!$C$110)*0.1</f>
        <v>1.002845988140797</v>
      </c>
      <c r="ML233" s="173">
        <f ca="1">IF(Control!$C$110&lt;3,$MK233+($MG233-0.6)/(Control!$C$110*(Control!$C$110+3)), MAX(0.1, MIN(0.95,$MK233)))</f>
        <v>0.95</v>
      </c>
      <c r="MM233" s="173">
        <f ca="1">IF(Control!$C$110&lt;3,$MK233+(($MI233/10)-0.6)/(Control!$C$110*(Control!$C$110+3)), MAX(0.1, MIN(0.95,$MK233)))</f>
        <v>0.95</v>
      </c>
      <c r="MN233" s="173">
        <f ca="1">(1-$MM233)*(Control!$C$128-Control!$C$127)+Control!$C$127</f>
        <v>0.16</v>
      </c>
      <c r="MO233" s="170" t="e">
        <f ca="1">MAX(0,MIN(1,($MS233-Control!$C$127)/($MN233-Control!$C$127)))</f>
        <v>#DIV/0!</v>
      </c>
      <c r="MP233" s="173" t="e">
        <f ca="1">1/(0.76+1.5*$MI233)-(5-Control!$C$110)*0.1</f>
        <v>#N/A</v>
      </c>
      <c r="MQ233" s="172" t="e">
        <f t="shared" ca="1" si="916"/>
        <v>#DIV/0!</v>
      </c>
      <c r="MR233" s="168" t="e">
        <f t="shared" ca="1" si="888"/>
        <v>#DIV/0!</v>
      </c>
      <c r="MS233" s="173" t="e">
        <f ca="1">MAX(Control!$C$127, MIN(Control!$C$135, $MR233/MAX(0.0001,$CY233)))</f>
        <v>#DIV/0!</v>
      </c>
      <c r="MT233" s="168" t="e">
        <f ca="1">(Control!$C$128-$MS233)*Control!$C$74</f>
        <v>#DIV/0!</v>
      </c>
      <c r="MU233" s="168" t="e">
        <f ca="1">(Control!$C$135-$MS233)*Control!$C$74</f>
        <v>#DIV/0!</v>
      </c>
      <c r="MV233" s="168" t="e">
        <f t="shared" ca="1" si="889"/>
        <v>#DIV/0!</v>
      </c>
      <c r="MW233" s="168" t="e">
        <f t="shared" ca="1" si="890"/>
        <v>#DIV/0!</v>
      </c>
      <c r="MX233" s="171" t="e">
        <f ca="1">MAX(Control!$C$127, MIN(Control!$C$135, $MW233/MAX(0.0001,Control!$C$119-$CY233)))</f>
        <v>#DIV/0!</v>
      </c>
      <c r="MY233" s="54" t="e">
        <f ca="1">IF(Control!$C$114=1, $CX233*$MX233, 0)</f>
        <v>#DIV/0!</v>
      </c>
      <c r="MZ233" s="54" t="e">
        <f t="shared" ca="1" si="891"/>
        <v>#N/A</v>
      </c>
      <c r="NA233" s="168" t="e">
        <f ca="1">(Control!$C$128-$MX233)*(Control!$C$119-Control!$C$74)</f>
        <v>#DIV/0!</v>
      </c>
      <c r="NB233" s="168" t="e">
        <f ca="1">(Control!$C$135-$MX233)*(Control!$C$119-Control!$C$74)</f>
        <v>#DIV/0!</v>
      </c>
      <c r="NC233" s="174" t="e">
        <f t="shared" ca="1" si="892"/>
        <v>#DIV/0!</v>
      </c>
      <c r="ND233" s="54">
        <f ca="1">IF(Control!$C$58=2, IF(OR(Control!$B$218=$AH233,Control!$B$219=$AH233, Control!$B$220=$AH233, Control!$B$221=$AH233, Control!$B$222=$AH233, Control!$B$223=$AH233, Control!$B$224=$AH233, Control!$B$225=$AH233, Control!$B$226=$AH233, Control!$B$227=$AH233, Control!$B$228=$AH233), 1, 0), 0)</f>
        <v>0</v>
      </c>
      <c r="NE233" s="54">
        <f ca="1">IF($ND233=0,0, VLOOKUP($AH233,Control!$B$218:$C$228,2))</f>
        <v>0</v>
      </c>
      <c r="NF233" s="168" t="e">
        <f ca="1">$CY233*(Control!$C$128-Control!$C$127)</f>
        <v>#N/A</v>
      </c>
      <c r="NG233" s="54" t="e">
        <f ca="1">IF(Control!$C$58=2, $NI232-$NJ232, 0)</f>
        <v>#DIV/0!</v>
      </c>
      <c r="NH233" s="54" t="e">
        <f ca="1">IF(AND(Control!$C$58=1, $MS232&lt;= ($MN232+0.02), $I232&lt;10), 0, IF(Control!$C$58=2, $NG232, 0))</f>
        <v>#DIV/0!</v>
      </c>
      <c r="NI233" s="54" t="e">
        <f ca="1">IF(Control!$C$58=2, $NE233+$NH233,0)</f>
        <v>#DIV/0!</v>
      </c>
      <c r="NJ233" s="54" t="e">
        <f ca="1">IF(AND(Control!$C$58=1, $MS233&lt;= ($MN233+0.02), $I233&lt;10), MAX(0, MIN(10, 0.7*($NF233-$MV233))), IF(Control!$C$58=2, MIN(10,$NI233),0))</f>
        <v>#DIV/0!</v>
      </c>
      <c r="NK233" s="54" t="e">
        <f t="shared" ca="1" si="800"/>
        <v>#DIV/0!</v>
      </c>
      <c r="NL233" s="173" t="e">
        <f ca="1">(1-Control!$C$73)*$I233+$NJ233</f>
        <v>#DIV/0!</v>
      </c>
      <c r="NM233" s="172" t="e">
        <f ca="1">IF($NL233&lt;0.5, $MB233* MAX(0, MIN(1, (SQRT($NC233)-SQRT($NC233-1))*Control!$C$71)),0)</f>
        <v>#DIV/0!</v>
      </c>
      <c r="NN233" s="170" t="e">
        <f ca="1">IF($NL233&gt;=5, $MB233, MAX(0,MIN($MB233, $NM233+$NL233,($MS233-Control!$C$129))))</f>
        <v>#DIV/0!</v>
      </c>
      <c r="NO233" s="54">
        <f>IF(Control!$C$133&lt;&gt;1, Control!$C$135-Control!$C$131, 0)</f>
        <v>0.38</v>
      </c>
      <c r="NP233" s="54" t="e">
        <f t="shared" ca="1" si="801"/>
        <v>#DIV/0!</v>
      </c>
      <c r="NQ233" s="173" t="e">
        <f ca="1">MAX(0,MIN(1,(Control!$C$135-$MS233)/(Control!$C$135-$NO233)))</f>
        <v>#DIV/0!</v>
      </c>
      <c r="NR233" s="170" t="e">
        <f ca="1">IF(Control!$C$133&lt;&gt;1, $NQ233+((1-$NP233/4)*(1-$NQ233)),1)</f>
        <v>#DIV/0!</v>
      </c>
      <c r="NS233" s="170" t="e">
        <f ca="1">IF(Control!$B$31=0,$MJ233,MAX(0,MIN($MV233,$MO233*$NR233*$MJ233)))</f>
        <v>#DIV/0!</v>
      </c>
      <c r="NT233" s="170" t="e">
        <f t="shared" ca="1" si="917"/>
        <v>#DIV/0!</v>
      </c>
      <c r="NU233" s="170" t="e">
        <f t="shared" ca="1" si="893"/>
        <v>#N/A</v>
      </c>
      <c r="NV233" s="170" t="e">
        <f t="shared" ca="1" si="802"/>
        <v>#N/A</v>
      </c>
      <c r="NW233" s="175" t="e">
        <f t="shared" ca="1" si="803"/>
        <v>#DIV/0!</v>
      </c>
      <c r="NX233" s="170" t="e">
        <f ca="1">MIN(Control!$C$72+$MU233, $NW233)</f>
        <v>#DIV/0!</v>
      </c>
      <c r="NY233" s="170" t="e">
        <f ca="1">IF($MT233&lt;=$NX233,MIN(Control!$C$72+$NB233,$NX233-$MT233),0)</f>
        <v>#DIV/0!</v>
      </c>
      <c r="NZ233" s="54" t="e">
        <f ca="1">IF(Control!$C$114=1,  $CX233*($MX233-Control!$C$127), 0)</f>
        <v>#DIV/0!</v>
      </c>
      <c r="OA233" s="170" t="e">
        <f t="shared" ca="1" si="804"/>
        <v>#DIV/0!</v>
      </c>
      <c r="OB233" s="170" t="e">
        <f ca="1">IF($NA233 &lt;=$NY233, MIN(Control!$C$72, $NY233-$NA233), 0)</f>
        <v>#DIV/0!</v>
      </c>
      <c r="OC233" s="168" t="e">
        <f t="shared" ca="1" si="805"/>
        <v>#DIV/0!</v>
      </c>
      <c r="OD233" s="168" t="e">
        <f t="shared" ca="1" si="894"/>
        <v>#DIV/0!</v>
      </c>
      <c r="OE233" s="170">
        <f ca="1">Control!$C$73*$I233</f>
        <v>0</v>
      </c>
      <c r="OF233" s="176" t="e">
        <f t="shared" ca="1" si="806"/>
        <v>#DIV/0!</v>
      </c>
      <c r="OG233" s="168" t="e">
        <f t="shared" ca="1" si="807"/>
        <v>#DIV/0!</v>
      </c>
      <c r="OH233" s="168" t="e">
        <f t="shared" ca="1" si="808"/>
        <v>#DIV/0!</v>
      </c>
      <c r="OI233" s="168" t="e">
        <f t="shared" ca="1" si="809"/>
        <v>#DIV/0!</v>
      </c>
      <c r="OJ233" s="168" t="e">
        <f t="shared" ca="1" si="810"/>
        <v>#DIV/0!</v>
      </c>
      <c r="OK233" s="204" t="e">
        <f t="shared" ca="1" si="811"/>
        <v>#DIV/0!</v>
      </c>
      <c r="OL233" s="177">
        <f>Control!$C$127</f>
        <v>0.15</v>
      </c>
      <c r="OM233" s="182" t="e">
        <f t="shared" ca="1" si="812"/>
        <v>#N/A</v>
      </c>
      <c r="ON233" s="177">
        <f>Control!$C$128</f>
        <v>0.35</v>
      </c>
      <c r="OO233" s="182" t="e">
        <f t="shared" ca="1" si="813"/>
        <v>#N/A</v>
      </c>
      <c r="OP233" s="138">
        <f t="shared" ca="1" si="895"/>
        <v>0</v>
      </c>
      <c r="OQ233" s="138" t="e">
        <f t="shared" ca="1" si="918"/>
        <v>#DIV/0!</v>
      </c>
      <c r="OR233" s="138" t="e">
        <f t="shared" ca="1" si="896"/>
        <v>#DIV/0!</v>
      </c>
      <c r="OS233" s="137" t="e">
        <f t="shared" ca="1" si="919"/>
        <v>#DIV/0!</v>
      </c>
      <c r="OT233" s="139" t="e">
        <f t="shared" ca="1" si="920"/>
        <v>#DIV/0!</v>
      </c>
      <c r="OU233" s="138" t="e">
        <f t="shared" ca="1" si="921"/>
        <v>#N/A</v>
      </c>
      <c r="OV233" s="138" t="e">
        <f t="shared" ca="1" si="922"/>
        <v>#DIV/0!</v>
      </c>
      <c r="OW233" s="138" t="e">
        <f t="shared" ca="1" si="897"/>
        <v>#DIV/0!</v>
      </c>
      <c r="OX233" s="138" t="e">
        <f t="shared" ca="1" si="898"/>
        <v>#DIV/0!</v>
      </c>
      <c r="OY233" s="138" t="e">
        <f t="shared" ca="1" si="899"/>
        <v>#DIV/0!</v>
      </c>
      <c r="OZ233" s="138" t="e">
        <f t="shared" ca="1" si="814"/>
        <v>#DIV/0!</v>
      </c>
      <c r="PA233" s="138" t="e">
        <f t="shared" ca="1" si="815"/>
        <v>#DIV/0!</v>
      </c>
      <c r="PB233" s="55">
        <f>IF(Control!$C$61="T", IF(Control!$C$65="F", IF($AH$6-Control!$C$60&lt;0,0,1), IF(365+$AH$6-Control!$C$60&lt;0,0,1)),0)</f>
        <v>0</v>
      </c>
      <c r="PC233" s="55">
        <f ca="1">IF(Control!$C$65="F", IF($AH$6-$HF233&lt;0,0,1), IF(365+$AH$6-$HF233&lt;0,0,1))</f>
        <v>1</v>
      </c>
      <c r="PD233" s="444">
        <f>Control!$C$118</f>
        <v>1500</v>
      </c>
      <c r="PE233" s="180" t="e">
        <f t="shared" ca="1" si="816"/>
        <v>#N/A</v>
      </c>
      <c r="PF233" s="445">
        <f t="shared" ca="1" si="900"/>
        <v>0.71612369323045078</v>
      </c>
      <c r="PT233" s="186"/>
      <c r="PU233" s="186"/>
      <c r="PV233" s="94"/>
      <c r="PW233" s="94"/>
      <c r="PX233" s="94"/>
      <c r="PY233" s="94"/>
      <c r="PZ233" s="94"/>
      <c r="QA233" s="94"/>
      <c r="QB233" s="94"/>
      <c r="QC233" s="94"/>
      <c r="QD233" s="94"/>
      <c r="QE233" s="94"/>
      <c r="QF233" s="94"/>
      <c r="QG233" s="94"/>
      <c r="QH233" s="94"/>
      <c r="QI233" s="94"/>
      <c r="QJ233" s="94"/>
      <c r="QK233" s="94"/>
      <c r="QL233" s="94"/>
      <c r="QM233" s="94"/>
      <c r="QN233" s="94"/>
      <c r="QO233" s="94"/>
      <c r="QP233" s="94"/>
    </row>
    <row r="234" spans="1:458" s="2" customFormat="1" x14ac:dyDescent="0.2">
      <c r="A234" s="395">
        <v>17</v>
      </c>
      <c r="B234" s="396">
        <v>8</v>
      </c>
      <c r="C234" s="387">
        <f ca="1">Weather_data!$B233</f>
        <v>0</v>
      </c>
      <c r="D234" s="388">
        <f ca="1">Weather_data!$F233</f>
        <v>0</v>
      </c>
      <c r="E234" s="388">
        <f ca="1">Weather_data!$E233</f>
        <v>0</v>
      </c>
      <c r="F234" s="388">
        <f t="shared" ca="1" si="817"/>
        <v>0</v>
      </c>
      <c r="G234" s="388">
        <f ca="1">AVERAGE($D234:$E234)+Control!$B$9</f>
        <v>0</v>
      </c>
      <c r="H234" s="388">
        <f ca="1">Weather_data!$G233</f>
        <v>0</v>
      </c>
      <c r="I234" s="388">
        <f ca="1">Weather_data!$I233</f>
        <v>0</v>
      </c>
      <c r="J234" s="388">
        <f ca="1">Weather_data!$H233</f>
        <v>0</v>
      </c>
      <c r="K234" s="389">
        <f ca="1">Weather_data!$D233</f>
        <v>0</v>
      </c>
      <c r="L234" s="388" t="e">
        <f t="shared" ca="1" si="818"/>
        <v>#N/A</v>
      </c>
      <c r="M234" s="388" t="e">
        <f t="shared" ca="1" si="696"/>
        <v>#N/A</v>
      </c>
      <c r="N234" s="388">
        <f t="shared" ca="1" si="697"/>
        <v>-1.8461294761677738E-11</v>
      </c>
      <c r="O234" s="388">
        <f t="shared" ca="1" si="819"/>
        <v>1.8461294761677737E-10</v>
      </c>
      <c r="P234" s="390">
        <v>3</v>
      </c>
      <c r="Q234" s="388">
        <f ca="1">MAX($G234-Control!$C$107,0)</f>
        <v>0</v>
      </c>
      <c r="R234" s="388">
        <f t="shared" ca="1" si="820"/>
        <v>0</v>
      </c>
      <c r="S234" s="388">
        <f t="shared" ca="1" si="698"/>
        <v>0</v>
      </c>
      <c r="T234" s="388">
        <f t="shared" ca="1" si="699"/>
        <v>0</v>
      </c>
      <c r="U234" s="59">
        <f t="shared" ca="1" si="700"/>
        <v>0</v>
      </c>
      <c r="V234" s="391">
        <f ca="1">MAX(0,MIN(Control!$C$100-Control!$C$99,$G234-Control!$C$99)*Control!$C$63)</f>
        <v>0</v>
      </c>
      <c r="W234" s="388">
        <f t="shared" ca="1" si="821"/>
        <v>0</v>
      </c>
      <c r="X234" s="388">
        <f t="shared" ca="1" si="822"/>
        <v>0.6110000000000001</v>
      </c>
      <c r="Y234" s="388">
        <f t="shared" ca="1" si="701"/>
        <v>0</v>
      </c>
      <c r="Z234" s="388">
        <f t="shared" ca="1" si="823"/>
        <v>0.61058800000000002</v>
      </c>
      <c r="AA234" s="388">
        <f t="shared" ca="1" si="702"/>
        <v>0.6018</v>
      </c>
      <c r="AB234" s="388">
        <f ca="1">101.3*EXP(-0.034*Control!$C$66/($G234+273))</f>
        <v>100.69623283836242</v>
      </c>
      <c r="AC234" s="392">
        <f t="shared" ca="1" si="703"/>
        <v>4.3460251046025113E-2</v>
      </c>
      <c r="AD234" s="392">
        <f t="shared" ca="1" si="704"/>
        <v>4.4450382862832649E-2</v>
      </c>
      <c r="AE234" s="388">
        <f t="shared" ca="1" si="705"/>
        <v>0</v>
      </c>
      <c r="AF234" s="388">
        <f ca="1">MAX(0,$G234-Control!$C$92)</f>
        <v>0</v>
      </c>
      <c r="AG234" s="393">
        <f t="shared" ca="1" si="706"/>
        <v>230</v>
      </c>
      <c r="AH234" s="389">
        <f t="shared" ca="1" si="707"/>
        <v>230</v>
      </c>
      <c r="AI234" s="388">
        <f t="shared" ca="1" si="824"/>
        <v>0.22018337247261985</v>
      </c>
      <c r="AJ234" s="388">
        <f ca="1">IF(Control!$C$60&lt;=0,$HH234,$HI234)</f>
        <v>1</v>
      </c>
      <c r="AK234" s="388">
        <f t="shared" ca="1" si="708"/>
        <v>2.5821309481559944</v>
      </c>
      <c r="AL234" s="388">
        <f t="shared" ca="1" si="709"/>
        <v>5.7703807010422995E-18</v>
      </c>
      <c r="AM234" s="388">
        <f t="shared" ca="1" si="710"/>
        <v>2.5821309481559944</v>
      </c>
      <c r="AN234" s="388">
        <f t="shared" ca="1" si="711"/>
        <v>0.21272515994582172</v>
      </c>
      <c r="AO234" s="388">
        <f ca="1">-0.10453/COS(Control!$B$8*PI()/180)*COS(AN234)</f>
        <v>-0.16595777708531484</v>
      </c>
      <c r="AP234" s="388">
        <f ca="1">ACOS(AO234-TAN(Control!$B$8*PI()/180)*TAN(AN234))</f>
        <v>2.029087543602623</v>
      </c>
      <c r="AQ234" s="388">
        <f t="shared" ca="1" si="825"/>
        <v>0</v>
      </c>
      <c r="AR234" s="394">
        <f t="shared" ca="1" si="712"/>
        <v>0</v>
      </c>
      <c r="AS234" s="436">
        <f ca="1">IF(Control!$B$18=2,(IF(OR($AH234=Control!$B$175,$AH234=Control!$B$176,$AH234=Control!$B$177,$AH234=Control!$B$178,$AH234=Control!$B$179,$AH234=Control!$B$180,$AH234=Control!$B$181,$AH234=Control!$B$182,$AH234=Control!$B$183,$AH234=Control!$B$184,$AH234=Control!$B$185),1,0)),0)</f>
        <v>0</v>
      </c>
      <c r="AT234" s="436">
        <f>IF(Control!$B$20=8,IF(AND($AH234&gt;=Control!$B$172,$AH234&lt;=Control!$B$173),1,0),0)</f>
        <v>0</v>
      </c>
      <c r="AU234" s="436">
        <f>IF(Control!$B$20=8,IF($AV233=1,1*$AT234,IF($AT234=1,$AU233+1,$AU233)),0)</f>
        <v>0</v>
      </c>
      <c r="AV234" s="436">
        <f>IF(Control!$B$20=8,IF($AU234&gt;=Control!$B$174,1,0),0)</f>
        <v>0</v>
      </c>
      <c r="AW234" s="436">
        <f ca="1">IF(AND(Control!$B$18=2,Control!$B$171=1), $AV234, $AS234)</f>
        <v>0</v>
      </c>
      <c r="AX234" s="436" t="e">
        <f ca="1">IF(AND(Control!$B$18=1,$EU234&gt;=Control!$B$19),-$AY234,IF(AND(Control!$B$18=2,$AW234=1,$EU234&gt;$DS234),-$AY234, IF(Control!$C$108=0,0, IF(Control!$C$108&lt;&gt;0,1))))</f>
        <v>#N/A</v>
      </c>
      <c r="AY234" s="436" t="e">
        <f t="shared" ca="1" si="826"/>
        <v>#N/A</v>
      </c>
      <c r="AZ234" s="436" t="e">
        <f ca="1">IF(AND(Control!$B$18=1,$EB234&gt;Control!$B$19),$AZ233+1, IF(AND(Control!$B$18=2, $AW234=1, $EB234&gt;$DS234), $AZ233+1,$AZ233))</f>
        <v>#N/A</v>
      </c>
      <c r="BA234" s="587">
        <f>IF(Control!$C$81=0,1,IF($AH234&gt;=Control!$C$82,1,0))</f>
        <v>1</v>
      </c>
      <c r="BB234" s="140" t="e">
        <f ca="1">IF($BA234&gt;$BA233,Control!$C$83,IF($AW234&gt;0,$AW234*Control!$C$84,IF(AND(Control!$B$18=1,EN233&lt;&gt;0),Control!$C$84,0)))</f>
        <v>#N/A</v>
      </c>
      <c r="BC234" s="140" t="e">
        <f t="shared" ca="1" si="827"/>
        <v>#N/A</v>
      </c>
      <c r="BD234" s="140" t="e">
        <f ca="1">BC234*IF(OR($G234&lt;Control!$C$92,$G234&gt;Control!$C$95),0,IF(AND($G234&gt;=Control!$C$92,$G234&lt;=Control!$C$93),$G234-Control!$C$92,IF(AND($G234&gt;Control!$C$93,$G234&lt;=Control!$C$94),Control!$C$93-Control!$C$92,IF(AND($G234&gt;Control!$C$94,$G234&lt;=Control!$C$95),(Control!$C$93-Control!$C$92)*(Control!$C$94-$G234)/(Control!$C$95-Control!$C$94)))))</f>
        <v>#N/A</v>
      </c>
      <c r="BE234" s="140" t="e">
        <f t="shared" ca="1" si="828"/>
        <v>#N/A</v>
      </c>
      <c r="BF234" s="140" t="e">
        <f ca="1">IF($BE234&lt;=Control!$C$86,$BE234,Control!$C$86-$BE234)</f>
        <v>#N/A</v>
      </c>
      <c r="BG234" s="140" t="e">
        <f ca="1">IF(AND($AW234=1,Control!$C$84&lt;9),1,IF($BE234&gt;=Control!$C$86,0,$BC234))</f>
        <v>#N/A</v>
      </c>
      <c r="BH234" s="404" t="e">
        <f ca="1">IF($BG234=0,0,IF($BE234&lt;=Control!$C$86,$BC234*9*($BF234/Control!$C$86),0))</f>
        <v>#N/A</v>
      </c>
      <c r="BI234" s="140" t="e">
        <f ca="1">IF($BG234=1,0,IF($BE234&gt;=Control!$C$86,1,IF(AND($BB234&lt;21,$BB234&gt;=9),1,$BM233)))</f>
        <v>#N/A</v>
      </c>
      <c r="BJ234" s="140" t="e">
        <f ca="1">IF($BF234&lt;0,-$BF234,$BI234*IF(OR($G234&lt;Control!$C$92,$G234&gt;Control!$C$95),0,IF(AND($G234&gt;=Control!$C$92,$G234&lt;=Control!$C$93),$G234-Control!$C$92,IF(AND($G234&gt;Control!$C$93,$G234&lt;=Control!$C$94),Control!$C$93-Control!$C$92,IF(AND($G234&gt;Control!$C$94,$G234&lt;=Control!$C$95),(Control!$C$93-Control!$C$92)*(Control!$C$94-$G234)/(Control!$C$95-Control!$C$94))))))</f>
        <v>#N/A</v>
      </c>
      <c r="BK234" s="140" t="e">
        <f t="shared" ca="1" si="829"/>
        <v>#N/A</v>
      </c>
      <c r="BL234" s="140" t="e">
        <f ca="1">IF($BK234&lt;=Control!$C$87,$BK234,Control!$C$87-$BK234)</f>
        <v>#N/A</v>
      </c>
      <c r="BM234" s="140" t="e">
        <f ca="1">IF(AND($BB234&gt;=9,$BB234&lt;21),1,IF($BK234&gt;=Control!$C$87,0,$BI234))</f>
        <v>#N/A</v>
      </c>
      <c r="BN234" s="404" t="e">
        <f ca="1">IF($BM234=0,0,IF($BK234&lt;=Control!$C$87,$BI234*(9+(21-9)*($BL234/Control!$C$87)),0))</f>
        <v>#N/A</v>
      </c>
      <c r="BO234" s="140" t="e">
        <f ca="1">IF($BM234=1,0,IF($BK234&gt;=Control!$C$87,1,IF(AND($BB234&lt;30,$BB234&gt;=21),1,$BS233)))</f>
        <v>#N/A</v>
      </c>
      <c r="BP234" s="140" t="e">
        <f ca="1">IF($BL234&lt;0,-$BL234,$BO234*IF(OR($G234&lt;Control!$C$92,$G234&gt;Control!$C$95),0,IF(AND($G234&gt;=Control!$C$92,$G234&lt;=Control!$C$93),$G234-Control!$C$92,IF(AND($G234&gt;Control!$C$93,$G234&lt;=Control!$C$94),Control!$C$93-Control!$C$92,IF(AND($G234&gt;Control!$C$94,$G234&lt;=Control!$C$95),(Control!$C$93-Control!$C$92)*(Control!$C$94-$G234)/(Control!$C$95-Control!$C$94))))))</f>
        <v>#N/A</v>
      </c>
      <c r="BQ234" s="140" t="e">
        <f t="shared" ca="1" si="713"/>
        <v>#N/A</v>
      </c>
      <c r="BR234" s="140" t="e">
        <f ca="1">IF($BQ234&lt;=Control!$C$88,$BQ234,Control!$C$88-$BQ234)</f>
        <v>#N/A</v>
      </c>
      <c r="BS234" s="140" t="e">
        <f ca="1">IF(AND($BB234&gt;=21,$BB234&lt;30),1,IF($BQ234&gt;=Control!$C$88,0,$BO234))</f>
        <v>#N/A</v>
      </c>
      <c r="BT234" s="404" t="e">
        <f ca="1">IF($BS234=0,0,IF($BQ234&lt;=Control!$C$88,$BO234*(21+(30-21)*(BR234/Control!$C$88)),0))</f>
        <v>#N/A</v>
      </c>
      <c r="BU234" s="140" t="e">
        <f ca="1">IF(BG234+BM234+BS234=1,0,IF(OR(AND($BB234&lt;60,$BB234&gt;=30),$BQ234&gt;=Control!$C$88),1*$BA234,$BY233))</f>
        <v>#N/A</v>
      </c>
      <c r="BV234" s="140" t="e">
        <f ca="1">IF($BR234&lt;0,-$BR234,$BU234*IF(OR($G234&lt;Control!$C$92,$G234&gt;Control!$C$95),0,IF(AND($G234&gt;=Control!$C$92,$G234&lt;=Control!$C$93),$G234-Control!$C$92,IF(AND($G234&gt;Control!$C$93,$G234&lt;=Control!$C$94),Control!$C$93-Control!$C$92,IF(AND($G234&gt;Control!$C$94,$G234&lt;=Control!$C$95),(Control!$C$93-Control!$C$92)*(Control!$C$94-$G234)/(Control!$C$95-Control!$C$94))))))</f>
        <v>#N/A</v>
      </c>
      <c r="BW234" s="140" t="e">
        <f t="shared" ca="1" si="714"/>
        <v>#N/A</v>
      </c>
      <c r="BX234" s="140" t="e">
        <f ca="1">IF($BW234&lt;=Control!$C$89,$BW234,Control!$C$89-$BW234)</f>
        <v>#N/A</v>
      </c>
      <c r="BY234" s="140" t="e">
        <f ca="1">IF(AND($AJ234&gt;=30,$AJ234&lt;60),1,IF($BW234&gt;=Control!$C$89,0,$BU234))</f>
        <v>#N/A</v>
      </c>
      <c r="BZ234" s="404" t="e">
        <f ca="1">IF($BY234=0,0,IF($BW234&lt;=Control!$C$89,$BU234*(30+(60-30)*(BX234/Control!$C$89)),0))</f>
        <v>#N/A</v>
      </c>
      <c r="CA234" s="140" t="e">
        <f ca="1">IF($BG234+$BM234+$BS234+$BY234=1,0,IF(OR(AND($BB234&lt;65,$BB234&gt;=60),$BW234&gt;=Control!$C$89),1*$BA234,$CE233))</f>
        <v>#N/A</v>
      </c>
      <c r="CB234" s="140" t="e">
        <f ca="1">IF($BX234&lt;0,-$BX234,$CA234*IF(OR($G234&lt;Control!$C$92,$G234&gt;Control!$C$95),0,IF(AND($G234&gt;=Control!$C$92,$G234&lt;=Control!$C$93),$G234-Control!$C$92,IF(AND($G234&gt;Control!$C$93,$G234&lt;=Control!$C$94),Control!$C$93-Control!$C$92,IF(AND($G234&gt;Control!$C$94,$G234&lt;=Control!$C$95),(Control!$C$93-Control!$C$92)*(Control!$C$94-$G234)/(Control!$C$95-Control!$C$94))))))</f>
        <v>#N/A</v>
      </c>
      <c r="CC234" s="140" t="e">
        <f t="shared" ca="1" si="830"/>
        <v>#N/A</v>
      </c>
      <c r="CD234" s="140" t="e">
        <f ca="1">IF($CC234&lt;=Control!$C$90,$CC234,Control!$C$90-$CC234)</f>
        <v>#N/A</v>
      </c>
      <c r="CE234" s="140" t="e">
        <f ca="1">IF(AND($BB234&gt;=60,$BB234&lt;65),1,IF($CC234&gt;=Control!$C$90,0,$CA234))</f>
        <v>#N/A</v>
      </c>
      <c r="CF234" s="404" t="e">
        <f ca="1">IF($CE234=0,0,IF($CC234&lt;=Control!$C$90,$CA234*(60+(65-60)*(CD234/Control!$C$90)),0))</f>
        <v>#N/A</v>
      </c>
      <c r="CG234" s="140" t="e">
        <f ca="1">IF($BG234+$BM234+$BS234+$BY234+$CE234=1,0,IF(OR(AND($BB234&lt;90,$BB234&gt;=65),$CC234&gt;=Control!$C$90),$BA234,$CK233))</f>
        <v>#N/A</v>
      </c>
      <c r="CH234" s="140" t="e">
        <f ca="1">IF($CD234&lt;0,-$CD234,$CG234*IF(OR($G234&lt;Control!$C$92,$G234&gt;Control!$C$95),0,IF(AND($G234&gt;=Control!$C$92,$G234&lt;=Control!$C$93),$G234-Control!$C$92,IF(AND($G234&gt;Control!$C$93,$G234&lt;=Control!$C$94),Control!$C$93-Control!$C$92,IF(AND($G234&gt;Control!$C$94,$G234&lt;=Control!$C$95),(Control!$C$93-Control!$C$92)*(Control!$C$94-$G234)/(Control!$C$95-Control!$C$94))))))</f>
        <v>#N/A</v>
      </c>
      <c r="CI234" s="140" t="e">
        <f t="shared" ca="1" si="831"/>
        <v>#N/A</v>
      </c>
      <c r="CJ234" s="140" t="e">
        <f ca="1">IF($CI234&lt;=Control!$C$91,$CI234,Control!$C$91-$CI234)</f>
        <v>#N/A</v>
      </c>
      <c r="CK234" s="140" t="e">
        <f ca="1">IF(AND($BB234&gt;=65,$BB234&lt;90),1,IF($CI234&gt;=Control!$C$91,0,$CG234))</f>
        <v>#N/A</v>
      </c>
      <c r="CL234" s="404" t="e">
        <f ca="1">IF($CK234=0,0,IF($CI234&lt;=Control!$C$91,$CG234*(65+(90-65)*($CJ234/Control!$C$91)),0))</f>
        <v>#N/A</v>
      </c>
      <c r="CM234" s="140" t="e">
        <f ca="1">IF($BG234+$BM234+$BS234+$BY234+$CE234+$CK234=1,0,IF(OR($BB234&gt;=90,$CI234&gt;=Control!$C$91),$BA234,$CM233))</f>
        <v>#N/A</v>
      </c>
      <c r="CN234" s="140" t="e">
        <f t="shared" ca="1" si="832"/>
        <v>#N/A</v>
      </c>
      <c r="CO234" s="140" t="e">
        <f t="shared" ca="1" si="833"/>
        <v>#N/A</v>
      </c>
      <c r="CP234" s="140" t="e">
        <f t="shared" ca="1" si="834"/>
        <v>#N/A</v>
      </c>
      <c r="CQ234" s="141" t="e">
        <f ca="1">VLOOKUP($CP234,Control!$B$86:$G$91,6)</f>
        <v>#N/A</v>
      </c>
      <c r="CR234" s="141" t="e">
        <f ca="1">(1-$CQ234)*VLOOKUP($CP234,Control!$B$86:$D$91,3)</f>
        <v>#N/A</v>
      </c>
      <c r="CS234" s="141" t="e">
        <f ca="1">(1-$CQ234)*VLOOKUP($CP234,Control!$B$86:$E$91,4)</f>
        <v>#N/A</v>
      </c>
      <c r="CT234" s="141" t="e">
        <f ca="1">(1-$CQ234)*VLOOKUP($CP234,Control!$B$86:$F$91,5)</f>
        <v>#N/A</v>
      </c>
      <c r="CU234" s="141">
        <f t="shared" ca="1" si="835"/>
        <v>0</v>
      </c>
      <c r="CV234" s="583">
        <f t="shared" ca="1" si="836"/>
        <v>0</v>
      </c>
      <c r="CW234" s="142">
        <f t="shared" ca="1" si="837"/>
        <v>230</v>
      </c>
      <c r="CX234" s="612" t="e">
        <f ca="1">IF(Control!$C$114=1,(MIN(Control!$C$120*(IF($NT234-0.01&lt;0,0,1)),Control!$C$119-$CY234)))</f>
        <v>#DIV/0!</v>
      </c>
      <c r="CY234" s="143" t="e">
        <f t="shared" ca="1" si="838"/>
        <v>#N/A</v>
      </c>
      <c r="CZ234" s="144">
        <f t="shared" ca="1" si="715"/>
        <v>0</v>
      </c>
      <c r="DA234" s="144">
        <f t="shared" ca="1" si="716"/>
        <v>0</v>
      </c>
      <c r="DB234" s="144" t="e">
        <f t="shared" ca="1" si="717"/>
        <v>#N/A</v>
      </c>
      <c r="DC234" s="144" t="e">
        <f t="shared" ca="1" si="718"/>
        <v>#N/A</v>
      </c>
      <c r="DD234" s="144" t="e">
        <f t="shared" ca="1" si="923"/>
        <v>#N/A</v>
      </c>
      <c r="DE234" s="143" t="e">
        <f t="shared" ca="1" si="839"/>
        <v>#N/A</v>
      </c>
      <c r="DF234" s="145" t="e">
        <f ca="1">$DR234*EXP(-Control!$C$158*(1-$KH234))</f>
        <v>#N/A</v>
      </c>
      <c r="DG234" s="146" t="e">
        <f ca="1">IF(Control!$C$114=1, $DF234*$EY234, 0)</f>
        <v>#N/A</v>
      </c>
      <c r="DH234" s="147" t="e">
        <f t="shared" ca="1" si="840"/>
        <v>#N/A</v>
      </c>
      <c r="DI234" s="144" t="e">
        <f t="shared" ca="1" si="901"/>
        <v>#N/A</v>
      </c>
      <c r="DJ234" s="147" t="e">
        <f ca="1">$EF234*Control!$C$109</f>
        <v>#N/A</v>
      </c>
      <c r="DK234" s="144" t="e">
        <f t="shared" ca="1" si="841"/>
        <v>#N/A</v>
      </c>
      <c r="DL234" s="144" t="e">
        <f t="shared" ca="1" si="719"/>
        <v>#N/A</v>
      </c>
      <c r="DM234" s="144" t="e">
        <f ca="1">IF(Control!$C$114=1, (1-EXP(-Control!$C$96*$DK234))*$AR234, 0)</f>
        <v>#N/A</v>
      </c>
      <c r="DN234" s="144">
        <f t="shared" ca="1" si="842"/>
        <v>0</v>
      </c>
      <c r="DO234" s="148">
        <f>Control!$C$97</f>
        <v>4</v>
      </c>
      <c r="DP234" s="145" t="e">
        <f t="shared" ca="1" si="843"/>
        <v>#N/A</v>
      </c>
      <c r="DQ234" s="145" t="e">
        <f ca="1">IF(AND($CP234&gt;=0,$CP234&lt;=90),Control!$C$111,Control!$C$111)</f>
        <v>#N/A</v>
      </c>
      <c r="DR234" s="145" t="e">
        <f t="shared" ca="1" si="720"/>
        <v>#N/A</v>
      </c>
      <c r="DS234" s="143" t="e">
        <f ca="1">Control!$B$22/$DR234</f>
        <v>#N/A</v>
      </c>
      <c r="DT234" s="149" t="e">
        <f ca="1">IF(AND(Control!$C$114=1,$KH234&lt;1),$IM234*$DF234, 0)</f>
        <v>#N/A</v>
      </c>
      <c r="DU234" s="144" t="e">
        <f t="shared" ca="1" si="844"/>
        <v>#N/A</v>
      </c>
      <c r="DV234" s="144">
        <f ca="1">IF($G234-Control!$C$107&lt;=0, 0, 0.83*LN(MAX($G234, 3))-0.8924)</f>
        <v>0</v>
      </c>
      <c r="DW234" s="144" t="e">
        <f t="shared" ca="1" si="721"/>
        <v>#N/A</v>
      </c>
      <c r="DX234" s="150" t="e">
        <f ca="1">MAX(0.01*(1+$CU234/Control!$C$102),0.05*($DK234-Control!$C$97)/Control!$C$97)</f>
        <v>#N/A</v>
      </c>
      <c r="DY234" s="151" t="e">
        <f ca="1">IF(Control!$C$114=1, $DI234*$FS234, 0)</f>
        <v>#N/A</v>
      </c>
      <c r="DZ234" s="196" t="e">
        <f t="shared" ca="1" si="845"/>
        <v>#N/A</v>
      </c>
      <c r="EA234" s="152">
        <f t="shared" ca="1" si="846"/>
        <v>230</v>
      </c>
      <c r="EB234" s="153" t="e">
        <f t="shared" ca="1" si="847"/>
        <v>#N/A</v>
      </c>
      <c r="EC234" s="153" t="e">
        <f t="shared" ca="1" si="848"/>
        <v>#N/A</v>
      </c>
      <c r="ED234" s="154" t="e">
        <f ca="1">IF(Control!$C$114=1, $HM234*$FY234-$FD234, 0)</f>
        <v>#DIV/0!</v>
      </c>
      <c r="EE234" s="155" t="e">
        <f ca="1">IF(Control!$C$114=1, $HM234*$FZ234-$FF234, 0)</f>
        <v>#DIV/0!</v>
      </c>
      <c r="EF234" s="153" t="e">
        <f t="shared" ca="1" si="902"/>
        <v>#N/A</v>
      </c>
      <c r="EG234" s="155" t="e">
        <f ca="1">IF(Control!$C$114=1, $GX234*$FW234-$FI234, 0)</f>
        <v>#DIV/0!</v>
      </c>
      <c r="EH234" s="153" t="e">
        <f t="shared" ca="1" si="849"/>
        <v>#N/A</v>
      </c>
      <c r="EI234" s="156" t="e">
        <f t="shared" ca="1" si="850"/>
        <v>#N/A</v>
      </c>
      <c r="EJ234" s="155" t="e">
        <f ca="1">IF(Control!$C$114=1, $HM234*$GB234, 0)</f>
        <v>#DIV/0!</v>
      </c>
      <c r="EK234" s="153" t="e">
        <f t="shared" ca="1" si="903"/>
        <v>#N/A</v>
      </c>
      <c r="EL234" s="153" t="e">
        <f t="shared" ca="1" si="722"/>
        <v>#N/A</v>
      </c>
      <c r="EM234" s="153" t="e">
        <f t="shared" ca="1" si="723"/>
        <v>#N/A</v>
      </c>
      <c r="EN234" s="153" t="e">
        <f ca="1">IF(Control!$C$108=1,IF(AND(Control!$B$18=1,$EB234&gt;=Control!$B$19),$EB234-$DS234,IF(AND(Control!$B$18=2,$AW234=1,$EB234&gt;$DS234),$EB234-$DS234,0)))</f>
        <v>#N/A</v>
      </c>
      <c r="EO234" s="153" t="e">
        <f ca="1">IF(Control!$C$108=1,IF(AND(Control!$B$18=1,$EB234&gt;=Control!$B$19),$EF234,IF(AND(Control!$B$18=2,$AW234=1),$EF234,0)))</f>
        <v>#N/A</v>
      </c>
      <c r="EP234" s="153" t="e">
        <f ca="1">IF(Control!$C$108=1,IF(AND(Control!$B$18=1,$EB234&gt;=Control!$B$19),$EK234,IF(AND(Control!$B$18=2,$AW234=1),$EK234,0)))</f>
        <v>#N/A</v>
      </c>
      <c r="EQ234" s="153" t="e">
        <f t="shared" ca="1" si="851"/>
        <v>#N/A</v>
      </c>
      <c r="ER234" s="153" t="e">
        <f t="shared" ca="1" si="852"/>
        <v>#N/A</v>
      </c>
      <c r="ES234" s="153" t="e">
        <f t="shared" ca="1" si="904"/>
        <v>#N/A</v>
      </c>
      <c r="ET234" s="153" t="e">
        <f t="shared" ca="1" si="905"/>
        <v>#N/A</v>
      </c>
      <c r="EU234" s="153" t="e">
        <f t="shared" ca="1" si="853"/>
        <v>#N/A</v>
      </c>
      <c r="EV234" s="153" t="e">
        <f t="shared" ca="1" si="724"/>
        <v>#N/A</v>
      </c>
      <c r="EW234" s="153" t="e">
        <f t="shared" ca="1" si="725"/>
        <v>#N/A</v>
      </c>
      <c r="EX234" s="153" t="e">
        <f t="shared" ca="1" si="726"/>
        <v>#N/A</v>
      </c>
      <c r="EY234" s="157" t="e">
        <f t="shared" ca="1" si="727"/>
        <v>#DIV/0!</v>
      </c>
      <c r="EZ234" s="154" t="e">
        <f t="shared" ca="1" si="728"/>
        <v>#DIV/0!</v>
      </c>
      <c r="FA234" s="153" t="e">
        <f t="shared" ca="1" si="854"/>
        <v>#N/A</v>
      </c>
      <c r="FB234" s="153" t="e">
        <f t="shared" ca="1" si="729"/>
        <v>#N/A</v>
      </c>
      <c r="FC234" s="193" t="e">
        <f t="shared" ca="1" si="730"/>
        <v>#N/A</v>
      </c>
      <c r="FD234" s="158" t="e">
        <f t="shared" ca="1" si="855"/>
        <v>#N/A</v>
      </c>
      <c r="FE234" s="158" t="e">
        <f t="shared" ca="1" si="856"/>
        <v>#N/A</v>
      </c>
      <c r="FF234" s="159" t="e">
        <f t="shared" ca="1" si="731"/>
        <v>#N/A</v>
      </c>
      <c r="FG234" s="160" t="e">
        <f t="shared" ca="1" si="857"/>
        <v>#N/A</v>
      </c>
      <c r="FH234" s="158" t="e">
        <f t="shared" ca="1" si="858"/>
        <v>#N/A</v>
      </c>
      <c r="FI234" s="159" t="e">
        <f t="shared" ca="1" si="732"/>
        <v>#N/A</v>
      </c>
      <c r="FJ234" s="160" t="e">
        <f t="shared" ca="1" si="859"/>
        <v>#N/A</v>
      </c>
      <c r="FK234" s="160" t="e">
        <f t="shared" ca="1" si="733"/>
        <v>#N/A</v>
      </c>
      <c r="FL234" s="160" t="e">
        <f t="shared" ca="1" si="906"/>
        <v>#N/A</v>
      </c>
      <c r="FM234" s="160" t="e">
        <f t="shared" ca="1" si="734"/>
        <v>#N/A</v>
      </c>
      <c r="FN234" s="158">
        <f t="shared" ca="1" si="860"/>
        <v>0.01</v>
      </c>
      <c r="FO234" s="160">
        <f>Control!$C$101</f>
        <v>50</v>
      </c>
      <c r="FP234" s="150" t="e">
        <f t="shared" ca="1" si="735"/>
        <v>#N/A</v>
      </c>
      <c r="FQ234" s="150" t="e">
        <f ca="1">MAX(0,(Control!$C$112*(($DK234-Control!$C$97)/Control!$C$97)))</f>
        <v>#N/A</v>
      </c>
      <c r="FR234" s="150" t="e">
        <f ca="1">(1-$NT234)*Control!$C$113</f>
        <v>#DIV/0!</v>
      </c>
      <c r="FS234" s="198" t="e">
        <f t="shared" ca="1" si="736"/>
        <v>#N/A</v>
      </c>
      <c r="FT234" s="161">
        <f t="shared" ca="1" si="861"/>
        <v>230</v>
      </c>
      <c r="FU234" s="162" t="e">
        <f ca="1">IF(Control!$B$34=1,VLOOKUP($CP234,Control!$B$86:$G$91,6),Control!$B$35)</f>
        <v>#N/A</v>
      </c>
      <c r="FV234" s="162" t="e">
        <f t="shared" ca="1" si="737"/>
        <v>#DIV/0!</v>
      </c>
      <c r="FW234" s="162" t="e">
        <f ca="1">IF(Control!$B$31=1,$FU234*$FV234,  $FU234)</f>
        <v>#N/A</v>
      </c>
      <c r="FX234" s="162" t="e">
        <f ca="1">IF(Control!$B$34=1,VLOOKUP($CP234,Control!$B$86:$G$91,3),Control!$B$36)</f>
        <v>#N/A</v>
      </c>
      <c r="FY234" s="162" t="e">
        <f t="shared" ca="1" si="738"/>
        <v>#N/A</v>
      </c>
      <c r="FZ234" s="162" t="e">
        <f ca="1">IF(Control!$B$34=1,VLOOKUP($CP234,Control!$B$86:$G$91,4),Control!$B$37)</f>
        <v>#N/A</v>
      </c>
      <c r="GA234" s="162" t="e">
        <f t="shared" ca="1" si="739"/>
        <v>#N/A</v>
      </c>
      <c r="GB234" s="162" t="e">
        <f ca="1">IF(Control!$B$34=1,VLOOKUP($CP234,Control!$B$86:$G$91,5),Control!$B$38)</f>
        <v>#N/A</v>
      </c>
      <c r="GC234" s="162" t="e">
        <f t="shared" ca="1" si="862"/>
        <v>#N/A</v>
      </c>
      <c r="GD234" s="162">
        <f t="shared" ca="1" si="740"/>
        <v>1</v>
      </c>
      <c r="GE234" s="162">
        <f t="shared" ca="1" si="741"/>
        <v>1</v>
      </c>
      <c r="GF234" s="162">
        <f ca="1">IF(AND(Control!$C$104=1, Control!$C$62="F"),$GE234,1)</f>
        <v>1</v>
      </c>
      <c r="GG234" s="162" t="e">
        <f ca="1">IF(Control!$B$16=40,0,IF(AND(Control!$B$16&gt;40,Control!$B$16&lt;=360),(Control!$B$16-40)*((1-0)/(360-40)),IF(AND(Control!$B$16&gt;360,Control!$B$16&lt;=720),(1+(Control!$B$16-360)*((1.25-1)/(720-360))),IF(AND(Control!$B$16&gt;720,Control!$B$16&lt;=1000),(1.25+(Control!$B$16-720)*((1.35-1.25)/(1000-720))),IF(AND(Control!$B$16&gt;1000,Control!$B$16&lt;=2000),(1.35+(Control!$B$16-1000)*0))))))</f>
        <v>#N/A</v>
      </c>
      <c r="GH234" s="162" t="e">
        <f t="shared" ca="1" si="742"/>
        <v>#N/A</v>
      </c>
      <c r="GI234" s="162">
        <f t="shared" ca="1" si="863"/>
        <v>0</v>
      </c>
      <c r="GJ234" s="162">
        <f t="shared" ca="1" si="743"/>
        <v>0</v>
      </c>
      <c r="GK234" s="162">
        <f t="shared" ca="1" si="864"/>
        <v>1</v>
      </c>
      <c r="GL234" s="162">
        <f t="shared" ca="1" si="744"/>
        <v>1</v>
      </c>
      <c r="GM234" s="162" t="e">
        <f ca="1">MAX(0,MIN(1,1-Control!$C$156*(1.0001-$KH234)^2))</f>
        <v>#N/A</v>
      </c>
      <c r="GN234" s="162" t="e">
        <f ca="1">IF(Control!$B$26=1,$KU234,$KX234)</f>
        <v>#N/A</v>
      </c>
      <c r="GO234" s="162" t="e">
        <f ca="1">IF($CP234&lt;=60,Control!$C$105,IF($CP234&gt;=90,Control!$C$106,Control!$C$105+($CP234-60)*((Control!$C$106-Control!$C$105)/(90-60))))</f>
        <v>#N/A</v>
      </c>
      <c r="GP234" s="162" t="e">
        <f t="shared" ca="1" si="745"/>
        <v>#N/A</v>
      </c>
      <c r="GQ234" s="162" t="e">
        <f t="shared" ca="1" si="865"/>
        <v>#N/A</v>
      </c>
      <c r="GR234" s="163" t="e">
        <f t="shared" ca="1" si="746"/>
        <v>#DIV/0!</v>
      </c>
      <c r="GS234" s="162" t="e">
        <f t="shared" ca="1" si="747"/>
        <v>#DIV/0!</v>
      </c>
      <c r="GT234" s="164" t="e">
        <f t="shared" ca="1" si="866"/>
        <v>#N/A</v>
      </c>
      <c r="GU234" s="162" t="e">
        <f t="shared" ca="1" si="867"/>
        <v>#N/A</v>
      </c>
      <c r="GV234" s="162" t="e">
        <f t="shared" ca="1" si="748"/>
        <v>#N/A</v>
      </c>
      <c r="GW234" s="162" t="e">
        <f t="shared" ca="1" si="749"/>
        <v>#DIV/0!</v>
      </c>
      <c r="GX234" s="162" t="e">
        <f t="shared" ca="1" si="868"/>
        <v>#DIV/0!</v>
      </c>
      <c r="GY234" s="162" t="e">
        <f t="shared" ca="1" si="869"/>
        <v>#DIV/0!</v>
      </c>
      <c r="GZ234" s="165" t="e">
        <f t="shared" ca="1" si="750"/>
        <v>#N/A</v>
      </c>
      <c r="HA234" s="162" t="e">
        <f ca="1">IF(Control!$C$114=1, $DI234*$FS234, 0)</f>
        <v>#N/A</v>
      </c>
      <c r="HB234" s="162" t="e">
        <f ca="1">$FA234/Control!$C$64</f>
        <v>#N/A</v>
      </c>
      <c r="HC234" s="162" t="e">
        <f t="shared" ca="1" si="751"/>
        <v>#DIV/0!</v>
      </c>
      <c r="HD234" s="162">
        <f ca="1">-ASIN(SIN(23.45*Control!$C$139)*COS(2*Control!$C$138*($AH234+10)/365))</f>
        <v>0.22018337247261985</v>
      </c>
      <c r="HE234" s="165">
        <f t="shared" ca="1" si="870"/>
        <v>0</v>
      </c>
      <c r="HF234" s="166">
        <f ca="1">IF(AND(Control!$C$61="T",$HE234&gt;=Control!$C$103,Control!$C$114=0),$AH234,Control!$C$59)</f>
        <v>1</v>
      </c>
      <c r="HG234" s="166">
        <f ca="1">IF(AND(Control!$C$61="T",$HE234&gt;=Control!$C$103,Control!$C$114=0),$HF234,Control!$C$59)</f>
        <v>1</v>
      </c>
      <c r="HH234" s="165">
        <f ca="1">IF(AND(OR(Control!$C$60&lt;=0, $AH234= Control!$C$59, Control!$C$60 &gt;0, $AH234 = Control!$C$60)), Control!$C$59, IF(Control!$C$60&gt;0, 0))</f>
        <v>1</v>
      </c>
      <c r="HI234" s="165">
        <f ca="1">IF(AND(OR(Control!$C$60&lt;=0, $AH234= Control!$C$59, Control!$C$60 &gt;0, $AH234 = Control!$C$60)), Control!$C$60, IF(Control!$C$60&lt;=0, 0))</f>
        <v>0</v>
      </c>
      <c r="HJ234" s="166">
        <f ca="1">IF(AND(Control!$C$62="F",$CV234&gt;=Control!$C$102),$AH234,0)</f>
        <v>0</v>
      </c>
      <c r="HK234" s="165" t="e">
        <f t="shared" ca="1" si="907"/>
        <v>#N/A</v>
      </c>
      <c r="HL234" s="166">
        <f ca="1">IF(AND(Control!$C$61="T",$HE234&gt;=Control!$C$103,Control!$C$114=0),$HF234,0)</f>
        <v>0</v>
      </c>
      <c r="HM234" s="201" t="e">
        <f t="shared" ca="1" si="752"/>
        <v>#DIV/0!</v>
      </c>
      <c r="HN234" s="215">
        <f t="shared" ca="1" si="871"/>
        <v>230</v>
      </c>
      <c r="HO234" s="216" t="e">
        <f ca="1">IF(AND($CP234&gt;=0, $CP234&lt;=90), Control!$C$152, Control!$C$152)</f>
        <v>#N/A</v>
      </c>
      <c r="HP234" s="216" t="e">
        <f t="shared" ca="1" si="753"/>
        <v>#N/A</v>
      </c>
      <c r="HQ234" s="217" t="e">
        <f ca="1">IF(OR(Control!$B$26=1,Control!$B$26=2),$KV234,$KS234)</f>
        <v>#DIV/0!</v>
      </c>
      <c r="HR234" s="218" t="e">
        <f t="shared" ca="1" si="908"/>
        <v>#DIV/0!</v>
      </c>
      <c r="HS234" s="216" t="e">
        <f ca="1">Control!$C$154*$HP234</f>
        <v>#N/A</v>
      </c>
      <c r="HT234" s="216" t="e">
        <f ca="1">Control!$C$155*$HP234</f>
        <v>#N/A</v>
      </c>
      <c r="HU234" s="217" t="e">
        <f ca="1">Control!$C$161*$FI234</f>
        <v>#N/A</v>
      </c>
      <c r="HV234" s="218" t="e">
        <f t="shared" ca="1" si="872"/>
        <v>#N/A</v>
      </c>
      <c r="HW234" s="218" t="e">
        <f ca="1">Control!$C$160*$FF234+$IP234*$EO234</f>
        <v>#N/A</v>
      </c>
      <c r="HX234" s="218" t="e">
        <f t="shared" ca="1" si="909"/>
        <v>#N/A</v>
      </c>
      <c r="HY234" s="219" t="e">
        <f ca="1">IF(Control!$C$114=1, $EB234*$FS234, 0)</f>
        <v>#N/A</v>
      </c>
      <c r="HZ234" s="91" t="e">
        <f t="shared" ca="1" si="754"/>
        <v>#N/A</v>
      </c>
      <c r="IA234" s="220" t="e">
        <f ca="1">Control!$C$153*$HO234</f>
        <v>#N/A</v>
      </c>
      <c r="IB234" s="218" t="e">
        <f t="shared" ca="1" si="755"/>
        <v>#N/A</v>
      </c>
      <c r="IC234" s="220" t="e">
        <f ca="1">Control!$C$153*$HT234</f>
        <v>#N/A</v>
      </c>
      <c r="ID234" s="218" t="e">
        <f t="shared" ca="1" si="756"/>
        <v>#N/A</v>
      </c>
      <c r="IE234" s="221" t="e">
        <f ca="1">($EB234*Control!$C$159+$EF234*Control!$C$160)/(IF($GZ234&lt;&gt;0,$GZ234,1))</f>
        <v>#N/A</v>
      </c>
      <c r="IF234" s="216" t="e">
        <f t="shared" ca="1" si="757"/>
        <v>#N/A</v>
      </c>
      <c r="IG234" s="91">
        <f ca="1">IF(OR(Control!$B$198=$AH234,Control!$B$199=$AH234, Control!$B$200=$AH234, Control!$B$201=$AH234, Control!$B$202=$AH234, Control!$B$203=$AH234, Control!$B$204=$AH234, Control!$B$205=$AH234, Control!$B$206=$AH234, Control!$B$207=$AH234), 1, 0)</f>
        <v>0</v>
      </c>
      <c r="IH234" s="91">
        <f ca="1">IF($IG234=0,0, VLOOKUP($AH234,Control!$B$198:$C$207,2))</f>
        <v>0</v>
      </c>
      <c r="II234" s="222">
        <f t="shared" ca="1" si="873"/>
        <v>0</v>
      </c>
      <c r="IJ234" s="91">
        <f>Control!$C$121</f>
        <v>0.7</v>
      </c>
      <c r="IK234" s="218">
        <f t="shared" ca="1" si="758"/>
        <v>0</v>
      </c>
      <c r="IL234" s="217" t="e">
        <f t="shared" ca="1" si="910"/>
        <v>#N/A</v>
      </c>
      <c r="IM234" s="223" t="e">
        <f ca="1">IF(AND(Control!$C$114=1,$KH234&lt;1),$EB234*Control!$C$148*(1-$KH234), 0)</f>
        <v>#N/A</v>
      </c>
      <c r="IN234" s="217" t="e">
        <f t="shared" ca="1" si="759"/>
        <v>#DIV/0!</v>
      </c>
      <c r="IO234" s="91" t="e">
        <f ca="1">MAX(0,$IL234-$EF234*Control!$C$160)</f>
        <v>#N/A</v>
      </c>
      <c r="IP234" s="220" t="e">
        <f t="shared" ca="1" si="760"/>
        <v>#N/A</v>
      </c>
      <c r="IQ234" s="217" t="e">
        <f t="shared" ca="1" si="874"/>
        <v>#N/A</v>
      </c>
      <c r="IR234" s="218" t="e">
        <f t="shared" ca="1" si="761"/>
        <v>#N/A</v>
      </c>
      <c r="IS234" s="217" t="e">
        <f ca="1">Control!$C$159*MAX(0,$FD234-$EN234)</f>
        <v>#N/A</v>
      </c>
      <c r="IT234" s="217" t="e">
        <f t="shared" ca="1" si="911"/>
        <v>#N/A</v>
      </c>
      <c r="IU234" s="217" t="e">
        <f t="shared" ca="1" si="875"/>
        <v>#N/A</v>
      </c>
      <c r="IV234" s="217" t="e">
        <f t="shared" ca="1" si="912"/>
        <v>#N/A</v>
      </c>
      <c r="IW234" s="217" t="e">
        <f ca="1">IF(OR($AW234=1,AND($AW234=0, Control!$B$18=1,$EN234&lt;&gt;0)), $IQ234-$IU234, $IQ234)</f>
        <v>#N/A</v>
      </c>
      <c r="IX234" s="218" t="e">
        <f t="shared" ca="1" si="762"/>
        <v>#N/A</v>
      </c>
      <c r="IY234" s="218" t="e">
        <f ca="1">MAX(0,$IQ234-$EB234*Control!$C$159)</f>
        <v>#N/A</v>
      </c>
      <c r="IZ234" s="218" t="e">
        <f t="shared" ca="1" si="763"/>
        <v>#N/A</v>
      </c>
      <c r="JA234" s="216" t="e">
        <f t="shared" ca="1" si="764"/>
        <v>#N/A</v>
      </c>
      <c r="JB234" s="217" t="e">
        <f t="shared" ca="1" si="765"/>
        <v>#N/A</v>
      </c>
      <c r="JC234" s="222" t="e">
        <f ca="1">MAX(Control!$C$157*$EK234-$JT234, 0)/Control!$C$162</f>
        <v>#N/A</v>
      </c>
      <c r="JD234" s="218" t="e">
        <f t="shared" ca="1" si="766"/>
        <v>#N/A</v>
      </c>
      <c r="JE234" s="218" t="e">
        <f t="shared" ca="1" si="767"/>
        <v>#N/A</v>
      </c>
      <c r="JF234" s="218" t="e">
        <f t="shared" ca="1" si="876"/>
        <v>#N/A</v>
      </c>
      <c r="JG234" s="218" t="e">
        <f t="shared" ca="1" si="768"/>
        <v>#N/A</v>
      </c>
      <c r="JH234" s="217" t="e">
        <f t="shared" ca="1" si="877"/>
        <v>#N/A</v>
      </c>
      <c r="JI234" s="217" t="e">
        <f t="shared" ca="1" si="878"/>
        <v>#N/A</v>
      </c>
      <c r="JJ234" s="217" t="e">
        <f t="shared" ca="1" si="913"/>
        <v>#N/A</v>
      </c>
      <c r="JK234" s="217" t="e">
        <f ca="1">IF(Control!$C$114=1,IF(Control!$B$24=0,MAX(0,$JI234)*$GN234/Control!$C$64,(MAX(0,MIN($JI234,$JJ234*$GN234/Control!$C$64),0))))</f>
        <v>#N/A</v>
      </c>
      <c r="JL234" s="217" t="e">
        <f ca="1">$IK234/Control!$C$64-$JK234+$HQ234</f>
        <v>#N/A</v>
      </c>
      <c r="JM234" s="217" t="e">
        <f ca="1">IF(Control!$C$114=1,($JB234/(IF($JI234&lt;&gt;0,$JI234,1)))*$JK234,0)</f>
        <v>#N/A</v>
      </c>
      <c r="JN234" s="217" t="e">
        <f ca="1">IF(Control!$C$114=1,($JG234/(IF($JI234&lt;&gt;0,$JI234,1)))*$JK234, 0)</f>
        <v>#N/A</v>
      </c>
      <c r="JO234" s="218" t="e">
        <f t="shared" ca="1" si="769"/>
        <v>#N/A</v>
      </c>
      <c r="JP234" s="218" t="e">
        <f ca="1">MIN(($IY234+$IO234)*Control!$C$151, $JF234-$EH234*Control!$C$161)</f>
        <v>#N/A</v>
      </c>
      <c r="JQ234" s="218" t="e">
        <f t="shared" ca="1" si="770"/>
        <v>#N/A</v>
      </c>
      <c r="JR234" s="217" t="e">
        <f ca="1">IF($CP234-Control!$C$150&lt;0, 0, $JQ234/Control!$C$162)</f>
        <v>#N/A</v>
      </c>
      <c r="JS234" s="218" t="e">
        <f t="shared" ca="1" si="771"/>
        <v>#N/A</v>
      </c>
      <c r="JT234" s="218" t="e">
        <f t="shared" ca="1" si="879"/>
        <v>#N/A</v>
      </c>
      <c r="JU234" s="218" t="e">
        <f t="shared" ca="1" si="772"/>
        <v>#N/A</v>
      </c>
      <c r="JV234" s="218" t="e">
        <f t="shared" ca="1" si="773"/>
        <v>#N/A</v>
      </c>
      <c r="JW234" s="216" t="e">
        <f t="shared" ca="1" si="774"/>
        <v>#N/A</v>
      </c>
      <c r="JX234" s="91" t="e">
        <f t="shared" ca="1" si="775"/>
        <v>#N/A</v>
      </c>
      <c r="JY234" s="218" t="e">
        <f t="shared" ca="1" si="776"/>
        <v>#N/A</v>
      </c>
      <c r="JZ234" s="217" t="e">
        <f ca="1">IF(Control!$C$114=1,($IZ234/(IF($JI234&lt;&gt;0,$JI234,1)))*$JK234, 0)</f>
        <v>#N/A</v>
      </c>
      <c r="KA234" s="218" t="e">
        <f t="shared" ca="1" si="914"/>
        <v>#N/A</v>
      </c>
      <c r="KB234" s="218" t="e">
        <f t="shared" ca="1" si="880"/>
        <v>#N/A</v>
      </c>
      <c r="KC234" s="218" t="e">
        <f t="shared" ca="1" si="777"/>
        <v>#N/A</v>
      </c>
      <c r="KD234" s="218" t="e">
        <f t="shared" ca="1" si="778"/>
        <v>#N/A</v>
      </c>
      <c r="KE234" s="218" t="e">
        <f t="shared" ca="1" si="779"/>
        <v>#N/A</v>
      </c>
      <c r="KF234" s="218" t="e">
        <f t="shared" ca="1" si="780"/>
        <v>#N/A</v>
      </c>
      <c r="KG234" s="216" t="e">
        <f t="shared" ca="1" si="781"/>
        <v>#N/A</v>
      </c>
      <c r="KH234" s="221" t="e">
        <f ca="1">IF(Control!$B$24=0,1,MAX(0.001,MIN(1,IF(($IF234-$IE234)&lt;&gt;0,($KG234-$IE234)/($IF234-$IE234),1))))</f>
        <v>#N/A</v>
      </c>
      <c r="KI234" s="222" t="e">
        <f ca="1">IF(Control!$C$114=1, $KI233+ $KH233, 0)</f>
        <v>#N/A</v>
      </c>
      <c r="KJ234" s="217" t="e">
        <f t="shared" ca="1" si="782"/>
        <v>#N/A</v>
      </c>
      <c r="KK234" s="218" t="e">
        <f t="shared" ca="1" si="783"/>
        <v>#N/A</v>
      </c>
      <c r="KL234" s="274" t="e">
        <f ca="1">IF(Control!$B$26=3,4000000000*EXP(-8400/($G234+273)),IF(Control!$B$26=4,4000000000*EXP(-8400/($G234+273))*($KT234),0))</f>
        <v>#DIV/0!</v>
      </c>
      <c r="KM234" s="274" t="e">
        <f ca="1">IF(Control!$B$26=3,5600000000000*EXP(-9800/($G234+273)),IF(Control!$B$26=4,5600000000000*EXP(-9800/($G234+273))*$KT234,0))</f>
        <v>#DIV/0!</v>
      </c>
      <c r="KN234" s="454" t="e">
        <f t="shared" ca="1" si="881"/>
        <v>#DIV/0!</v>
      </c>
      <c r="KO234" s="274" t="e">
        <f t="shared" ca="1" si="882"/>
        <v>#DIV/0!</v>
      </c>
      <c r="KP234" s="454" t="e">
        <f t="shared" ca="1" si="784"/>
        <v>#DIV/0!</v>
      </c>
      <c r="KQ234" s="454" t="e">
        <f t="shared" ca="1" si="785"/>
        <v>#DIV/0!</v>
      </c>
      <c r="KR234" s="454" t="e">
        <f t="shared" ca="1" si="786"/>
        <v>#DIV/0!</v>
      </c>
      <c r="KS234" s="454" t="e">
        <f t="shared" ca="1" si="787"/>
        <v>#DIV/0!</v>
      </c>
      <c r="KT234" s="455" t="e">
        <f t="shared" ca="1" si="788"/>
        <v>#DIV/0!</v>
      </c>
      <c r="KU234" s="456" t="e">
        <f ca="1">IF($CP234-Control!$C$149&lt;0, IF($NT234-0.01&lt;0,0,1),0)</f>
        <v>#N/A</v>
      </c>
      <c r="KV234" s="456" t="e">
        <f ca="1">IF(Control!$C$114=1,MAX(0,MIN(Control!$C$125*$KW234*$GN234,$KW234)))</f>
        <v>#DIV/0!</v>
      </c>
      <c r="KW234" s="456" t="e">
        <f t="shared" ca="1" si="915"/>
        <v>#DIV/0!</v>
      </c>
      <c r="KX234" s="457" t="e">
        <f ca="1">IF($CP234-Control!$C$149&lt;0, IF($MR234-$OM234&lt;0,0,1),0)</f>
        <v>#N/A</v>
      </c>
      <c r="KY234" s="167">
        <f t="shared" ca="1" si="883"/>
        <v>230</v>
      </c>
      <c r="KZ234" s="168">
        <f ca="1">1370*(1+0.033*COS(2*Control!$C$138*$AH234/365))</f>
        <v>1339.0803083251883</v>
      </c>
      <c r="LA234" s="169">
        <f t="shared" ca="1" si="884"/>
        <v>0.97743065908638782</v>
      </c>
      <c r="LB234" s="169">
        <f t="shared" ca="1" si="885"/>
        <v>0.22150956403850508</v>
      </c>
      <c r="LC234" s="169">
        <f ca="1">ACOS(-TAN((2*Control!$B$8/360))*TAN(Calculations!$LB234))</f>
        <v>1.6377780354821931</v>
      </c>
      <c r="LD234" s="169">
        <f ca="1">((24*60)/PI())*0.082*$LA234*(($LC234*SIN(Control!$B$8*2*PI()/360))*SIN($LB234)+COS(Control!$B$8*2*PI()/360)*COS($LB234)*SIN($LC234))</f>
        <v>32.432712109489181</v>
      </c>
      <c r="LE234" s="170">
        <f t="shared" ca="1" si="789"/>
        <v>32.972816073813775</v>
      </c>
      <c r="LF234" s="170">
        <f ca="1">SIN(Control!$C$139*Control!$B$8)*SIN($HD234)</f>
        <v>0.17210858890129022</v>
      </c>
      <c r="LG234" s="170">
        <f ca="1">COS(Control!$C$139*Control!$B$8)*COS($HD234)</f>
        <v>0.60079618418893099</v>
      </c>
      <c r="LH234" s="170">
        <f ca="1">12*(1+2*ASIN(MAX(-1,MIN(1,$LF234/$LG234))/Control!$C$138))</f>
        <v>14.191489611811225</v>
      </c>
      <c r="LI234" s="170">
        <f ca="1">12*(1+2*ASIN(MAX(-1,MIN(1,(-SIN(-4*Control!$C$139)+$LF234)/$LG234))/Control!$C$138))</f>
        <v>15.083915064750597</v>
      </c>
      <c r="LJ234" s="168">
        <f ca="1">3600*($LH234*$LF234+24*$LG234*SQRT(1-$LK234*$LK234)/Control!$C$138)</f>
        <v>24623.479166125195</v>
      </c>
      <c r="LK234" s="170">
        <f t="shared" ca="1" si="790"/>
        <v>0.28646751332756071</v>
      </c>
      <c r="LL234" s="170">
        <f t="shared" ca="1" si="791"/>
        <v>0</v>
      </c>
      <c r="LM234" s="171">
        <f ca="1">Control!$C$145*$AB234</f>
        <v>6.6660906138995932E-2</v>
      </c>
      <c r="LN234" s="170">
        <f t="shared" ca="1" si="886"/>
        <v>0.54</v>
      </c>
      <c r="LO234" s="170">
        <f t="shared" ca="1" si="792"/>
        <v>0</v>
      </c>
      <c r="LP234" s="170">
        <f ca="1">Control!$C$140*((($D234+273.16)^4+($E234+273.16)^4)/2)*(0.34-0.14*SQRT($Y234))*(1.35*$AQ234/(0.75*$LD234)-0.35)</f>
        <v>-3.2464704755046001</v>
      </c>
      <c r="LQ234" s="170">
        <f ca="1">Control!$C$140*($G234+273)^4*(0.56-0.079*SQRT($Y234*10))*(0.1+0.9*$LO234)</f>
        <v>1.5241745131704001</v>
      </c>
      <c r="LR234" s="170">
        <f ca="1">$AQ234*(1-Control!$C$142)-$LQ234</f>
        <v>-1.5241745131704001</v>
      </c>
      <c r="LS234" s="170">
        <f ca="1">$AQ234*(1-Control!$C$143)-$LQ234</f>
        <v>-1.5241745131704001</v>
      </c>
      <c r="LT234" s="170">
        <f ca="1">$AQ234*(1-Control!$C$144)-$LQ234</f>
        <v>-1.5241745131704001</v>
      </c>
      <c r="LU234" s="169">
        <f ca="1">(1-Control!$C$144)*AQ234-LP234</f>
        <v>3.2464704755046001</v>
      </c>
      <c r="LV234" s="172">
        <f t="shared" ca="1" si="793"/>
        <v>0.79430000000000012</v>
      </c>
      <c r="LW234" s="170">
        <f t="shared" ca="1" si="794"/>
        <v>1.5886000000000002</v>
      </c>
      <c r="LX234" s="170">
        <f ca="1">($AC234*($LR234/Control!$C$141)+$LM234*$LV234)/($AC234+$LM234)</f>
        <v>0.23530094218323697</v>
      </c>
      <c r="LY234" s="170">
        <f ca="1">($AC234*($LS234/Control!$C$141)+$LM234*$LV234)/($AC234+$LM234)</f>
        <v>0.23530094218323697</v>
      </c>
      <c r="LZ234" s="170">
        <f t="shared" ca="1" si="795"/>
        <v>0.23530094218323697</v>
      </c>
      <c r="MA234" s="170">
        <f t="shared" ca="1" si="796"/>
        <v>0.23530094218323697</v>
      </c>
      <c r="MB234" s="170" t="e">
        <f t="shared" ca="1" si="797"/>
        <v>#N/A</v>
      </c>
      <c r="MC234" s="170">
        <f t="shared" ca="1" si="887"/>
        <v>0.6018</v>
      </c>
      <c r="MD234" s="170">
        <f t="shared" ca="1" si="798"/>
        <v>0.52989392535414004</v>
      </c>
      <c r="ME234" s="170">
        <f ca="1">($AC234*($LT234/Control!$C$141)+$LM234*$LW234)/($AC234+$LM234)</f>
        <v>0.71612369323045078</v>
      </c>
      <c r="MF234" s="170" t="e">
        <f ca="1">IF(Control!$B$16&gt;=1000,0.92,IF(AND(720&lt;=Control!$B$16,1000&gt;Control!$B$16),(0.95+(Control!$B$16-720)*((0.92-0.95)/(1000-720))),IF(AND(360&lt;=Control!$B$16,720&gt;Control!$B$16),(1+(Control!$B$16-360)*((0.95-1)/(720-360))),IF(AND(40&lt;=Control!$B$16,360&gt;Control!$B$16),(1.05+(Control!$B$16-40)*((1.05-1)/(360-40)))))))</f>
        <v>#N/A</v>
      </c>
      <c r="MG234" s="170">
        <f t="shared" ca="1" si="799"/>
        <v>0.71612369323045078</v>
      </c>
      <c r="MH234" s="170" t="e">
        <f t="shared" ca="1" si="925"/>
        <v>#N/A</v>
      </c>
      <c r="MI234" s="170" t="e">
        <f t="shared" ca="1" si="925"/>
        <v>#N/A</v>
      </c>
      <c r="MJ234" s="170" t="e">
        <f ca="1">MAX(0.0001, Control!$C$132*$MI234*$DL234)</f>
        <v>#N/A</v>
      </c>
      <c r="MK234" s="170">
        <f ca="1">1/(0.76+1.5*($MG234/10))-(5-Control!$C$110)*0.1</f>
        <v>1.002845988140797</v>
      </c>
      <c r="ML234" s="173">
        <f ca="1">IF(Control!$C$110&lt;3,$MK234+($MG234-0.6)/(Control!$C$110*(Control!$C$110+3)), MAX(0.1, MIN(0.95,$MK234)))</f>
        <v>0.95</v>
      </c>
      <c r="MM234" s="173">
        <f ca="1">IF(Control!$C$110&lt;3,$MK234+(($MI234/10)-0.6)/(Control!$C$110*(Control!$C$110+3)), MAX(0.1, MIN(0.95,$MK234)))</f>
        <v>0.95</v>
      </c>
      <c r="MN234" s="173">
        <f ca="1">(1-$MM234)*(Control!$C$128-Control!$C$127)+Control!$C$127</f>
        <v>0.16</v>
      </c>
      <c r="MO234" s="170" t="e">
        <f ca="1">MAX(0,MIN(1,($MS234-Control!$C$127)/($MN234-Control!$C$127)))</f>
        <v>#DIV/0!</v>
      </c>
      <c r="MP234" s="173" t="e">
        <f ca="1">1/(0.76+1.5*$MI234)-(5-Control!$C$110)*0.1</f>
        <v>#N/A</v>
      </c>
      <c r="MQ234" s="172" t="e">
        <f t="shared" ca="1" si="916"/>
        <v>#DIV/0!</v>
      </c>
      <c r="MR234" s="168" t="e">
        <f t="shared" ca="1" si="888"/>
        <v>#DIV/0!</v>
      </c>
      <c r="MS234" s="173" t="e">
        <f ca="1">MAX(Control!$C$127, MIN(Control!$C$135, $MR234/MAX(0.0001,$CY234)))</f>
        <v>#DIV/0!</v>
      </c>
      <c r="MT234" s="168" t="e">
        <f ca="1">(Control!$C$128-$MS234)*Control!$C$74</f>
        <v>#DIV/0!</v>
      </c>
      <c r="MU234" s="168" t="e">
        <f ca="1">(Control!$C$135-$MS234)*Control!$C$74</f>
        <v>#DIV/0!</v>
      </c>
      <c r="MV234" s="168" t="e">
        <f t="shared" ca="1" si="889"/>
        <v>#DIV/0!</v>
      </c>
      <c r="MW234" s="168" t="e">
        <f t="shared" ca="1" si="890"/>
        <v>#DIV/0!</v>
      </c>
      <c r="MX234" s="171" t="e">
        <f ca="1">MAX(Control!$C$127, MIN(Control!$C$135, $MW234/MAX(0.0001,Control!$C$119-$CY234)))</f>
        <v>#DIV/0!</v>
      </c>
      <c r="MY234" s="54" t="e">
        <f ca="1">IF(Control!$C$114=1, $CX234*$MX234, 0)</f>
        <v>#DIV/0!</v>
      </c>
      <c r="MZ234" s="54" t="e">
        <f t="shared" ca="1" si="891"/>
        <v>#N/A</v>
      </c>
      <c r="NA234" s="168" t="e">
        <f ca="1">(Control!$C$128-$MX234)*(Control!$C$119-Control!$C$74)</f>
        <v>#DIV/0!</v>
      </c>
      <c r="NB234" s="168" t="e">
        <f ca="1">(Control!$C$135-$MX234)*(Control!$C$119-Control!$C$74)</f>
        <v>#DIV/0!</v>
      </c>
      <c r="NC234" s="174" t="e">
        <f t="shared" ca="1" si="892"/>
        <v>#DIV/0!</v>
      </c>
      <c r="ND234" s="54">
        <f ca="1">IF(Control!$C$58=2, IF(OR(Control!$B$218=$AH234,Control!$B$219=$AH234, Control!$B$220=$AH234, Control!$B$221=$AH234, Control!$B$222=$AH234, Control!$B$223=$AH234, Control!$B$224=$AH234, Control!$B$225=$AH234, Control!$B$226=$AH234, Control!$B$227=$AH234, Control!$B$228=$AH234), 1, 0), 0)</f>
        <v>0</v>
      </c>
      <c r="NE234" s="54">
        <f ca="1">IF($ND234=0,0, VLOOKUP($AH234,Control!$B$218:$C$228,2))</f>
        <v>0</v>
      </c>
      <c r="NF234" s="168" t="e">
        <f ca="1">$CY234*(Control!$C$128-Control!$C$127)</f>
        <v>#N/A</v>
      </c>
      <c r="NG234" s="54" t="e">
        <f ca="1">IF(Control!$C$58=2, $NI233-$NJ233, 0)</f>
        <v>#DIV/0!</v>
      </c>
      <c r="NH234" s="54" t="e">
        <f ca="1">IF(AND(Control!$C$58=1, $MS233&lt;= ($MN233+0.02), $I233&lt;10), 0, IF(Control!$C$58=2, $NG233, 0))</f>
        <v>#DIV/0!</v>
      </c>
      <c r="NI234" s="54" t="e">
        <f ca="1">IF(Control!$C$58=2, $NE234+$NH234,0)</f>
        <v>#DIV/0!</v>
      </c>
      <c r="NJ234" s="54" t="e">
        <f ca="1">IF(AND(Control!$C$58=1, $MS234&lt;= ($MN234+0.02), $I234&lt;10), MAX(0, MIN(10, 0.7*($NF234-$MV234))), IF(Control!$C$58=2, MIN(10,$NI234),0))</f>
        <v>#DIV/0!</v>
      </c>
      <c r="NK234" s="54" t="e">
        <f t="shared" ca="1" si="800"/>
        <v>#DIV/0!</v>
      </c>
      <c r="NL234" s="173" t="e">
        <f ca="1">(1-Control!$C$73)*$I234+$NJ234</f>
        <v>#DIV/0!</v>
      </c>
      <c r="NM234" s="172" t="e">
        <f ca="1">IF($NL234&lt;0.5, $MB234* MAX(0, MIN(1, (SQRT($NC234)-SQRT($NC234-1))*Control!$C$71)),0)</f>
        <v>#DIV/0!</v>
      </c>
      <c r="NN234" s="170" t="e">
        <f ca="1">IF($NL234&gt;=5, $MB234, MAX(0,MIN($MB234, $NM234+$NL234,($MS234-Control!$C$129))))</f>
        <v>#DIV/0!</v>
      </c>
      <c r="NO234" s="54">
        <f>IF(Control!$C$133&lt;&gt;1, Control!$C$135-Control!$C$131, 0)</f>
        <v>0.38</v>
      </c>
      <c r="NP234" s="54" t="e">
        <f t="shared" ca="1" si="801"/>
        <v>#DIV/0!</v>
      </c>
      <c r="NQ234" s="173" t="e">
        <f ca="1">MAX(0,MIN(1,(Control!$C$135-$MS234)/(Control!$C$135-$NO234)))</f>
        <v>#DIV/0!</v>
      </c>
      <c r="NR234" s="170" t="e">
        <f ca="1">IF(Control!$C$133&lt;&gt;1, $NQ234+((1-$NP234/4)*(1-$NQ234)),1)</f>
        <v>#DIV/0!</v>
      </c>
      <c r="NS234" s="170" t="e">
        <f ca="1">IF(Control!$B$31=0,$MJ234,MAX(0,MIN($MV234,$MO234*$NR234*$MJ234)))</f>
        <v>#DIV/0!</v>
      </c>
      <c r="NT234" s="170" t="e">
        <f t="shared" ca="1" si="917"/>
        <v>#DIV/0!</v>
      </c>
      <c r="NU234" s="170" t="e">
        <f t="shared" ca="1" si="893"/>
        <v>#N/A</v>
      </c>
      <c r="NV234" s="170" t="e">
        <f t="shared" ca="1" si="802"/>
        <v>#N/A</v>
      </c>
      <c r="NW234" s="175" t="e">
        <f t="shared" ca="1" si="803"/>
        <v>#DIV/0!</v>
      </c>
      <c r="NX234" s="170" t="e">
        <f ca="1">MIN(Control!$C$72+$MU234, $NW234)</f>
        <v>#DIV/0!</v>
      </c>
      <c r="NY234" s="170" t="e">
        <f ca="1">IF($MT234&lt;=$NX234,MIN(Control!$C$72+$NB234,$NX234-$MT234),0)</f>
        <v>#DIV/0!</v>
      </c>
      <c r="NZ234" s="54" t="e">
        <f ca="1">IF(Control!$C$114=1,  $CX234*($MX234-Control!$C$127), 0)</f>
        <v>#DIV/0!</v>
      </c>
      <c r="OA234" s="170" t="e">
        <f t="shared" ca="1" si="804"/>
        <v>#DIV/0!</v>
      </c>
      <c r="OB234" s="170" t="e">
        <f ca="1">IF($NA234 &lt;=$NY234, MIN(Control!$C$72, $NY234-$NA234), 0)</f>
        <v>#DIV/0!</v>
      </c>
      <c r="OC234" s="168" t="e">
        <f t="shared" ca="1" si="805"/>
        <v>#DIV/0!</v>
      </c>
      <c r="OD234" s="168" t="e">
        <f t="shared" ca="1" si="894"/>
        <v>#DIV/0!</v>
      </c>
      <c r="OE234" s="170">
        <f ca="1">Control!$C$73*$I234</f>
        <v>0</v>
      </c>
      <c r="OF234" s="176" t="e">
        <f t="shared" ca="1" si="806"/>
        <v>#DIV/0!</v>
      </c>
      <c r="OG234" s="168" t="e">
        <f t="shared" ca="1" si="807"/>
        <v>#DIV/0!</v>
      </c>
      <c r="OH234" s="168" t="e">
        <f t="shared" ca="1" si="808"/>
        <v>#DIV/0!</v>
      </c>
      <c r="OI234" s="168" t="e">
        <f t="shared" ca="1" si="809"/>
        <v>#DIV/0!</v>
      </c>
      <c r="OJ234" s="168" t="e">
        <f t="shared" ca="1" si="810"/>
        <v>#DIV/0!</v>
      </c>
      <c r="OK234" s="204" t="e">
        <f t="shared" ca="1" si="811"/>
        <v>#DIV/0!</v>
      </c>
      <c r="OL234" s="177">
        <f>Control!$C$127</f>
        <v>0.15</v>
      </c>
      <c r="OM234" s="182" t="e">
        <f t="shared" ca="1" si="812"/>
        <v>#N/A</v>
      </c>
      <c r="ON234" s="177">
        <f>Control!$C$128</f>
        <v>0.35</v>
      </c>
      <c r="OO234" s="182" t="e">
        <f t="shared" ca="1" si="813"/>
        <v>#N/A</v>
      </c>
      <c r="OP234" s="138">
        <f t="shared" ca="1" si="895"/>
        <v>0</v>
      </c>
      <c r="OQ234" s="138" t="e">
        <f t="shared" ca="1" si="918"/>
        <v>#DIV/0!</v>
      </c>
      <c r="OR234" s="138" t="e">
        <f t="shared" ca="1" si="896"/>
        <v>#DIV/0!</v>
      </c>
      <c r="OS234" s="137" t="e">
        <f t="shared" ca="1" si="919"/>
        <v>#DIV/0!</v>
      </c>
      <c r="OT234" s="139" t="e">
        <f t="shared" ca="1" si="920"/>
        <v>#DIV/0!</v>
      </c>
      <c r="OU234" s="138" t="e">
        <f t="shared" ca="1" si="921"/>
        <v>#N/A</v>
      </c>
      <c r="OV234" s="138" t="e">
        <f t="shared" ca="1" si="922"/>
        <v>#DIV/0!</v>
      </c>
      <c r="OW234" s="138" t="e">
        <f t="shared" ca="1" si="897"/>
        <v>#DIV/0!</v>
      </c>
      <c r="OX234" s="138" t="e">
        <f t="shared" ca="1" si="898"/>
        <v>#DIV/0!</v>
      </c>
      <c r="OY234" s="138" t="e">
        <f t="shared" ca="1" si="899"/>
        <v>#DIV/0!</v>
      </c>
      <c r="OZ234" s="138" t="e">
        <f t="shared" ca="1" si="814"/>
        <v>#DIV/0!</v>
      </c>
      <c r="PA234" s="138" t="e">
        <f t="shared" ca="1" si="815"/>
        <v>#DIV/0!</v>
      </c>
      <c r="PB234" s="55">
        <f>IF(Control!$C$61="T", IF(Control!$C$65="F", IF($AH$6-Control!$C$60&lt;0,0,1), IF(365+$AH$6-Control!$C$60&lt;0,0,1)),0)</f>
        <v>0</v>
      </c>
      <c r="PC234" s="55">
        <f ca="1">IF(Control!$C$65="F", IF($AH$6-$HF234&lt;0,0,1), IF(365+$AH$6-$HF234&lt;0,0,1))</f>
        <v>1</v>
      </c>
      <c r="PD234" s="444">
        <f>Control!$C$118</f>
        <v>1500</v>
      </c>
      <c r="PE234" s="180" t="e">
        <f t="shared" ca="1" si="816"/>
        <v>#N/A</v>
      </c>
      <c r="PF234" s="445">
        <f t="shared" ca="1" si="900"/>
        <v>0.71612369323045078</v>
      </c>
      <c r="PT234" s="186"/>
      <c r="PU234" s="186"/>
      <c r="PV234" s="94"/>
      <c r="PW234" s="94"/>
      <c r="PX234" s="94"/>
      <c r="PY234" s="94"/>
      <c r="PZ234" s="94"/>
      <c r="QA234" s="94"/>
      <c r="QB234" s="94"/>
      <c r="QC234" s="94"/>
      <c r="QD234" s="94"/>
      <c r="QE234" s="94"/>
      <c r="QF234" s="94"/>
      <c r="QG234" s="94"/>
      <c r="QH234" s="94"/>
      <c r="QI234" s="94"/>
      <c r="QJ234" s="94"/>
      <c r="QK234" s="94"/>
      <c r="QL234" s="94"/>
      <c r="QM234" s="94"/>
      <c r="QN234" s="94"/>
      <c r="QO234" s="94"/>
      <c r="QP234" s="94"/>
    </row>
    <row r="235" spans="1:458" s="2" customFormat="1" x14ac:dyDescent="0.2">
      <c r="A235" s="395">
        <v>18</v>
      </c>
      <c r="B235" s="396">
        <v>8</v>
      </c>
      <c r="C235" s="387">
        <f ca="1">Weather_data!$B234</f>
        <v>0</v>
      </c>
      <c r="D235" s="388">
        <f ca="1">Weather_data!$F234</f>
        <v>0</v>
      </c>
      <c r="E235" s="388">
        <f ca="1">Weather_data!$E234</f>
        <v>0</v>
      </c>
      <c r="F235" s="388">
        <f t="shared" ca="1" si="817"/>
        <v>0</v>
      </c>
      <c r="G235" s="388">
        <f ca="1">AVERAGE($D235:$E235)+Control!$B$9</f>
        <v>0</v>
      </c>
      <c r="H235" s="388">
        <f ca="1">Weather_data!$G234</f>
        <v>0</v>
      </c>
      <c r="I235" s="388">
        <f ca="1">Weather_data!$I234</f>
        <v>0</v>
      </c>
      <c r="J235" s="388">
        <f ca="1">Weather_data!$H234</f>
        <v>0</v>
      </c>
      <c r="K235" s="389">
        <f ca="1">Weather_data!$D234</f>
        <v>0</v>
      </c>
      <c r="L235" s="388" t="e">
        <f t="shared" ca="1" si="818"/>
        <v>#N/A</v>
      </c>
      <c r="M235" s="388" t="e">
        <f t="shared" ca="1" si="696"/>
        <v>#N/A</v>
      </c>
      <c r="N235" s="388">
        <f t="shared" ca="1" si="697"/>
        <v>-1.6615165285509961E-11</v>
      </c>
      <c r="O235" s="388">
        <f t="shared" ca="1" si="819"/>
        <v>1.6615165285509963E-10</v>
      </c>
      <c r="P235" s="390">
        <v>3</v>
      </c>
      <c r="Q235" s="388">
        <f ca="1">MAX($G235-Control!$C$107,0)</f>
        <v>0</v>
      </c>
      <c r="R235" s="388">
        <f t="shared" ca="1" si="820"/>
        <v>0</v>
      </c>
      <c r="S235" s="388">
        <f t="shared" ca="1" si="698"/>
        <v>0</v>
      </c>
      <c r="T235" s="388">
        <f t="shared" ca="1" si="699"/>
        <v>0</v>
      </c>
      <c r="U235" s="59">
        <f t="shared" ca="1" si="700"/>
        <v>0</v>
      </c>
      <c r="V235" s="391">
        <f ca="1">MAX(0,MIN(Control!$C$100-Control!$C$99,$G235-Control!$C$99)*Control!$C$63)</f>
        <v>0</v>
      </c>
      <c r="W235" s="388">
        <f t="shared" ca="1" si="821"/>
        <v>0</v>
      </c>
      <c r="X235" s="388">
        <f t="shared" ca="1" si="822"/>
        <v>0.6110000000000001</v>
      </c>
      <c r="Y235" s="388">
        <f t="shared" ca="1" si="701"/>
        <v>0</v>
      </c>
      <c r="Z235" s="388">
        <f t="shared" ca="1" si="823"/>
        <v>0.61058800000000002</v>
      </c>
      <c r="AA235" s="388">
        <f t="shared" ca="1" si="702"/>
        <v>0.6018</v>
      </c>
      <c r="AB235" s="388">
        <f ca="1">101.3*EXP(-0.034*Control!$C$66/($G235+273))</f>
        <v>100.69623283836242</v>
      </c>
      <c r="AC235" s="392">
        <f t="shared" ca="1" si="703"/>
        <v>4.3460251046025113E-2</v>
      </c>
      <c r="AD235" s="392">
        <f t="shared" ca="1" si="704"/>
        <v>4.4450382862832649E-2</v>
      </c>
      <c r="AE235" s="388">
        <f t="shared" ca="1" si="705"/>
        <v>0</v>
      </c>
      <c r="AF235" s="388">
        <f ca="1">MAX(0,$G235-Control!$C$92)</f>
        <v>0</v>
      </c>
      <c r="AG235" s="393">
        <f t="shared" ca="1" si="706"/>
        <v>231</v>
      </c>
      <c r="AH235" s="389">
        <f t="shared" ca="1" si="707"/>
        <v>231</v>
      </c>
      <c r="AI235" s="388">
        <f t="shared" ca="1" si="824"/>
        <v>0.21428622652042284</v>
      </c>
      <c r="AJ235" s="388">
        <f ca="1">IF(Control!$C$60&lt;=0,$HH235,$HI235)</f>
        <v>1</v>
      </c>
      <c r="AK235" s="388">
        <f t="shared" ca="1" si="708"/>
        <v>2.5993451544770343</v>
      </c>
      <c r="AL235" s="388">
        <f t="shared" ca="1" si="709"/>
        <v>3.7867400187741035E-18</v>
      </c>
      <c r="AM235" s="388">
        <f t="shared" ca="1" si="710"/>
        <v>2.5993451544770343</v>
      </c>
      <c r="AN235" s="388">
        <f t="shared" ca="1" si="711"/>
        <v>0.20675961998914918</v>
      </c>
      <c r="AO235" s="388">
        <f ca="1">-0.10453/COS(Control!$B$8*PI()/180)*COS(AN235)</f>
        <v>-0.16616866193422442</v>
      </c>
      <c r="AP235" s="388">
        <f ca="1">ACOS(AO235-TAN(Control!$B$8*PI()/180)*TAN(AN235))</f>
        <v>2.0204410632912895</v>
      </c>
      <c r="AQ235" s="388">
        <f t="shared" ca="1" si="825"/>
        <v>0</v>
      </c>
      <c r="AR235" s="394">
        <f t="shared" ca="1" si="712"/>
        <v>0</v>
      </c>
      <c r="AS235" s="436">
        <f ca="1">IF(Control!$B$18=2,(IF(OR($AH235=Control!$B$175,$AH235=Control!$B$176,$AH235=Control!$B$177,$AH235=Control!$B$178,$AH235=Control!$B$179,$AH235=Control!$B$180,$AH235=Control!$B$181,$AH235=Control!$B$182,$AH235=Control!$B$183,$AH235=Control!$B$184,$AH235=Control!$B$185),1,0)),0)</f>
        <v>0</v>
      </c>
      <c r="AT235" s="436">
        <f>IF(Control!$B$20=8,IF(AND($AH235&gt;=Control!$B$172,$AH235&lt;=Control!$B$173),1,0),0)</f>
        <v>0</v>
      </c>
      <c r="AU235" s="436">
        <f>IF(Control!$B$20=8,IF($AV234=1,1*$AT235,IF($AT235=1,$AU234+1,$AU234)),0)</f>
        <v>0</v>
      </c>
      <c r="AV235" s="436">
        <f>IF(Control!$B$20=8,IF($AU235&gt;=Control!$B$174,1,0),0)</f>
        <v>0</v>
      </c>
      <c r="AW235" s="436">
        <f ca="1">IF(AND(Control!$B$18=2,Control!$B$171=1), $AV235, $AS235)</f>
        <v>0</v>
      </c>
      <c r="AX235" s="436" t="e">
        <f ca="1">IF(AND(Control!$B$18=1,$EU235&gt;=Control!$B$19),-$AY235,IF(AND(Control!$B$18=2,$AW235=1,$EU235&gt;$DS235),-$AY235, IF(Control!$C$108=0,0, IF(Control!$C$108&lt;&gt;0,1))))</f>
        <v>#N/A</v>
      </c>
      <c r="AY235" s="436" t="e">
        <f t="shared" ca="1" si="826"/>
        <v>#N/A</v>
      </c>
      <c r="AZ235" s="436" t="e">
        <f ca="1">IF(AND(Control!$B$18=1,$EB235&gt;Control!$B$19),$AZ234+1, IF(AND(Control!$B$18=2, $AW235=1, $EB235&gt;$DS235), $AZ234+1,$AZ234))</f>
        <v>#N/A</v>
      </c>
      <c r="BA235" s="587">
        <f>IF(Control!$C$81=0,1,IF($AH235&gt;=Control!$C$82,1,0))</f>
        <v>1</v>
      </c>
      <c r="BB235" s="140" t="e">
        <f ca="1">IF($BA235&gt;$BA234,Control!$C$83,IF($AW235&gt;0,$AW235*Control!$C$84,IF(AND(Control!$B$18=1,EN234&lt;&gt;0),Control!$C$84,0)))</f>
        <v>#N/A</v>
      </c>
      <c r="BC235" s="140" t="e">
        <f t="shared" ca="1" si="827"/>
        <v>#N/A</v>
      </c>
      <c r="BD235" s="140" t="e">
        <f ca="1">BC235*IF(OR($G235&lt;Control!$C$92,$G235&gt;Control!$C$95),0,IF(AND($G235&gt;=Control!$C$92,$G235&lt;=Control!$C$93),$G235-Control!$C$92,IF(AND($G235&gt;Control!$C$93,$G235&lt;=Control!$C$94),Control!$C$93-Control!$C$92,IF(AND($G235&gt;Control!$C$94,$G235&lt;=Control!$C$95),(Control!$C$93-Control!$C$92)*(Control!$C$94-$G235)/(Control!$C$95-Control!$C$94)))))</f>
        <v>#N/A</v>
      </c>
      <c r="BE235" s="140" t="e">
        <f t="shared" ca="1" si="828"/>
        <v>#N/A</v>
      </c>
      <c r="BF235" s="140" t="e">
        <f ca="1">IF($BE235&lt;=Control!$C$86,$BE235,Control!$C$86-$BE235)</f>
        <v>#N/A</v>
      </c>
      <c r="BG235" s="140" t="e">
        <f ca="1">IF(AND($AW235=1,Control!$C$84&lt;9),1,IF($BE235&gt;=Control!$C$86,0,$BC235))</f>
        <v>#N/A</v>
      </c>
      <c r="BH235" s="404" t="e">
        <f ca="1">IF($BG235=0,0,IF($BE235&lt;=Control!$C$86,$BC235*9*($BF235/Control!$C$86),0))</f>
        <v>#N/A</v>
      </c>
      <c r="BI235" s="140" t="e">
        <f ca="1">IF($BG235=1,0,IF($BE235&gt;=Control!$C$86,1,IF(AND($BB235&lt;21,$BB235&gt;=9),1,$BM234)))</f>
        <v>#N/A</v>
      </c>
      <c r="BJ235" s="140" t="e">
        <f ca="1">IF($BF235&lt;0,-$BF235,$BI235*IF(OR($G235&lt;Control!$C$92,$G235&gt;Control!$C$95),0,IF(AND($G235&gt;=Control!$C$92,$G235&lt;=Control!$C$93),$G235-Control!$C$92,IF(AND($G235&gt;Control!$C$93,$G235&lt;=Control!$C$94),Control!$C$93-Control!$C$92,IF(AND($G235&gt;Control!$C$94,$G235&lt;=Control!$C$95),(Control!$C$93-Control!$C$92)*(Control!$C$94-$G235)/(Control!$C$95-Control!$C$94))))))</f>
        <v>#N/A</v>
      </c>
      <c r="BK235" s="140" t="e">
        <f t="shared" ca="1" si="829"/>
        <v>#N/A</v>
      </c>
      <c r="BL235" s="140" t="e">
        <f ca="1">IF($BK235&lt;=Control!$C$87,$BK235,Control!$C$87-$BK235)</f>
        <v>#N/A</v>
      </c>
      <c r="BM235" s="140" t="e">
        <f ca="1">IF(AND($BB235&gt;=9,$BB235&lt;21),1,IF($BK235&gt;=Control!$C$87,0,$BI235))</f>
        <v>#N/A</v>
      </c>
      <c r="BN235" s="404" t="e">
        <f ca="1">IF($BM235=0,0,IF($BK235&lt;=Control!$C$87,$BI235*(9+(21-9)*($BL235/Control!$C$87)),0))</f>
        <v>#N/A</v>
      </c>
      <c r="BO235" s="140" t="e">
        <f ca="1">IF($BM235=1,0,IF($BK235&gt;=Control!$C$87,1,IF(AND($BB235&lt;30,$BB235&gt;=21),1,$BS234)))</f>
        <v>#N/A</v>
      </c>
      <c r="BP235" s="140" t="e">
        <f ca="1">IF($BL235&lt;0,-$BL235,$BO235*IF(OR($G235&lt;Control!$C$92,$G235&gt;Control!$C$95),0,IF(AND($G235&gt;=Control!$C$92,$G235&lt;=Control!$C$93),$G235-Control!$C$92,IF(AND($G235&gt;Control!$C$93,$G235&lt;=Control!$C$94),Control!$C$93-Control!$C$92,IF(AND($G235&gt;Control!$C$94,$G235&lt;=Control!$C$95),(Control!$C$93-Control!$C$92)*(Control!$C$94-$G235)/(Control!$C$95-Control!$C$94))))))</f>
        <v>#N/A</v>
      </c>
      <c r="BQ235" s="140" t="e">
        <f t="shared" ca="1" si="713"/>
        <v>#N/A</v>
      </c>
      <c r="BR235" s="140" t="e">
        <f ca="1">IF($BQ235&lt;=Control!$C$88,$BQ235,Control!$C$88-$BQ235)</f>
        <v>#N/A</v>
      </c>
      <c r="BS235" s="140" t="e">
        <f ca="1">IF(AND($BB235&gt;=21,$BB235&lt;30),1,IF($BQ235&gt;=Control!$C$88,0,$BO235))</f>
        <v>#N/A</v>
      </c>
      <c r="BT235" s="404" t="e">
        <f ca="1">IF($BS235=0,0,IF($BQ235&lt;=Control!$C$88,$BO235*(21+(30-21)*(BR235/Control!$C$88)),0))</f>
        <v>#N/A</v>
      </c>
      <c r="BU235" s="140" t="e">
        <f ca="1">IF(BG235+BM235+BS235=1,0,IF(OR(AND($BB235&lt;60,$BB235&gt;=30),$BQ235&gt;=Control!$C$88),1*$BA235,$BY234))</f>
        <v>#N/A</v>
      </c>
      <c r="BV235" s="140" t="e">
        <f ca="1">IF($BR235&lt;0,-$BR235,$BU235*IF(OR($G235&lt;Control!$C$92,$G235&gt;Control!$C$95),0,IF(AND($G235&gt;=Control!$C$92,$G235&lt;=Control!$C$93),$G235-Control!$C$92,IF(AND($G235&gt;Control!$C$93,$G235&lt;=Control!$C$94),Control!$C$93-Control!$C$92,IF(AND($G235&gt;Control!$C$94,$G235&lt;=Control!$C$95),(Control!$C$93-Control!$C$92)*(Control!$C$94-$G235)/(Control!$C$95-Control!$C$94))))))</f>
        <v>#N/A</v>
      </c>
      <c r="BW235" s="140" t="e">
        <f t="shared" ca="1" si="714"/>
        <v>#N/A</v>
      </c>
      <c r="BX235" s="140" t="e">
        <f ca="1">IF($BW235&lt;=Control!$C$89,$BW235,Control!$C$89-$BW235)</f>
        <v>#N/A</v>
      </c>
      <c r="BY235" s="140" t="e">
        <f ca="1">IF(AND($AJ235&gt;=30,$AJ235&lt;60),1,IF($BW235&gt;=Control!$C$89,0,$BU235))</f>
        <v>#N/A</v>
      </c>
      <c r="BZ235" s="404" t="e">
        <f ca="1">IF($BY235=0,0,IF($BW235&lt;=Control!$C$89,$BU235*(30+(60-30)*(BX235/Control!$C$89)),0))</f>
        <v>#N/A</v>
      </c>
      <c r="CA235" s="140" t="e">
        <f ca="1">IF($BG235+$BM235+$BS235+$BY235=1,0,IF(OR(AND($BB235&lt;65,$BB235&gt;=60),$BW235&gt;=Control!$C$89),1*$BA235,$CE234))</f>
        <v>#N/A</v>
      </c>
      <c r="CB235" s="140" t="e">
        <f ca="1">IF($BX235&lt;0,-$BX235,$CA235*IF(OR($G235&lt;Control!$C$92,$G235&gt;Control!$C$95),0,IF(AND($G235&gt;=Control!$C$92,$G235&lt;=Control!$C$93),$G235-Control!$C$92,IF(AND($G235&gt;Control!$C$93,$G235&lt;=Control!$C$94),Control!$C$93-Control!$C$92,IF(AND($G235&gt;Control!$C$94,$G235&lt;=Control!$C$95),(Control!$C$93-Control!$C$92)*(Control!$C$94-$G235)/(Control!$C$95-Control!$C$94))))))</f>
        <v>#N/A</v>
      </c>
      <c r="CC235" s="140" t="e">
        <f t="shared" ca="1" si="830"/>
        <v>#N/A</v>
      </c>
      <c r="CD235" s="140" t="e">
        <f ca="1">IF($CC235&lt;=Control!$C$90,$CC235,Control!$C$90-$CC235)</f>
        <v>#N/A</v>
      </c>
      <c r="CE235" s="140" t="e">
        <f ca="1">IF(AND($BB235&gt;=60,$BB235&lt;65),1,IF($CC235&gt;=Control!$C$90,0,$CA235))</f>
        <v>#N/A</v>
      </c>
      <c r="CF235" s="404" t="e">
        <f ca="1">IF($CE235=0,0,IF($CC235&lt;=Control!$C$90,$CA235*(60+(65-60)*(CD235/Control!$C$90)),0))</f>
        <v>#N/A</v>
      </c>
      <c r="CG235" s="140" t="e">
        <f ca="1">IF($BG235+$BM235+$BS235+$BY235+$CE235=1,0,IF(OR(AND($BB235&lt;90,$BB235&gt;=65),$CC235&gt;=Control!$C$90),$BA235,$CK234))</f>
        <v>#N/A</v>
      </c>
      <c r="CH235" s="140" t="e">
        <f ca="1">IF($CD235&lt;0,-$CD235,$CG235*IF(OR($G235&lt;Control!$C$92,$G235&gt;Control!$C$95),0,IF(AND($G235&gt;=Control!$C$92,$G235&lt;=Control!$C$93),$G235-Control!$C$92,IF(AND($G235&gt;Control!$C$93,$G235&lt;=Control!$C$94),Control!$C$93-Control!$C$92,IF(AND($G235&gt;Control!$C$94,$G235&lt;=Control!$C$95),(Control!$C$93-Control!$C$92)*(Control!$C$94-$G235)/(Control!$C$95-Control!$C$94))))))</f>
        <v>#N/A</v>
      </c>
      <c r="CI235" s="140" t="e">
        <f t="shared" ca="1" si="831"/>
        <v>#N/A</v>
      </c>
      <c r="CJ235" s="140" t="e">
        <f ca="1">IF($CI235&lt;=Control!$C$91,$CI235,Control!$C$91-$CI235)</f>
        <v>#N/A</v>
      </c>
      <c r="CK235" s="140" t="e">
        <f ca="1">IF(AND($BB235&gt;=65,$BB235&lt;90),1,IF($CI235&gt;=Control!$C$91,0,$CG235))</f>
        <v>#N/A</v>
      </c>
      <c r="CL235" s="404" t="e">
        <f ca="1">IF($CK235=0,0,IF($CI235&lt;=Control!$C$91,$CG235*(65+(90-65)*($CJ235/Control!$C$91)),0))</f>
        <v>#N/A</v>
      </c>
      <c r="CM235" s="140" t="e">
        <f ca="1">IF($BG235+$BM235+$BS235+$BY235+$CE235+$CK235=1,0,IF(OR($BB235&gt;=90,$CI235&gt;=Control!$C$91),$BA235,$CM234))</f>
        <v>#N/A</v>
      </c>
      <c r="CN235" s="140" t="e">
        <f t="shared" ca="1" si="832"/>
        <v>#N/A</v>
      </c>
      <c r="CO235" s="140" t="e">
        <f t="shared" ca="1" si="833"/>
        <v>#N/A</v>
      </c>
      <c r="CP235" s="140" t="e">
        <f t="shared" ca="1" si="834"/>
        <v>#N/A</v>
      </c>
      <c r="CQ235" s="141" t="e">
        <f ca="1">VLOOKUP($CP235,Control!$B$86:$G$91,6)</f>
        <v>#N/A</v>
      </c>
      <c r="CR235" s="141" t="e">
        <f ca="1">(1-$CQ235)*VLOOKUP($CP235,Control!$B$86:$D$91,3)</f>
        <v>#N/A</v>
      </c>
      <c r="CS235" s="141" t="e">
        <f ca="1">(1-$CQ235)*VLOOKUP($CP235,Control!$B$86:$E$91,4)</f>
        <v>#N/A</v>
      </c>
      <c r="CT235" s="141" t="e">
        <f ca="1">(1-$CQ235)*VLOOKUP($CP235,Control!$B$86:$F$91,5)</f>
        <v>#N/A</v>
      </c>
      <c r="CU235" s="141">
        <f t="shared" ca="1" si="835"/>
        <v>0</v>
      </c>
      <c r="CV235" s="583">
        <f t="shared" ca="1" si="836"/>
        <v>0</v>
      </c>
      <c r="CW235" s="142">
        <f t="shared" ca="1" si="837"/>
        <v>231</v>
      </c>
      <c r="CX235" s="612" t="e">
        <f ca="1">IF(Control!$C$114=1,(MIN(Control!$C$120*(IF($NT235-0.01&lt;0,0,1)),Control!$C$119-$CY235)))</f>
        <v>#DIV/0!</v>
      </c>
      <c r="CY235" s="143" t="e">
        <f t="shared" ca="1" si="838"/>
        <v>#N/A</v>
      </c>
      <c r="CZ235" s="144">
        <f t="shared" ca="1" si="715"/>
        <v>0</v>
      </c>
      <c r="DA235" s="144">
        <f t="shared" ca="1" si="716"/>
        <v>0</v>
      </c>
      <c r="DB235" s="144" t="e">
        <f t="shared" ca="1" si="717"/>
        <v>#N/A</v>
      </c>
      <c r="DC235" s="144" t="e">
        <f t="shared" ca="1" si="718"/>
        <v>#N/A</v>
      </c>
      <c r="DD235" s="144" t="e">
        <f t="shared" ca="1" si="923"/>
        <v>#N/A</v>
      </c>
      <c r="DE235" s="143" t="e">
        <f t="shared" ca="1" si="839"/>
        <v>#N/A</v>
      </c>
      <c r="DF235" s="145" t="e">
        <f ca="1">$DR235*EXP(-Control!$C$158*(1-$KH235))</f>
        <v>#N/A</v>
      </c>
      <c r="DG235" s="146" t="e">
        <f ca="1">IF(Control!$C$114=1, $DF235*$EY235, 0)</f>
        <v>#N/A</v>
      </c>
      <c r="DH235" s="147" t="e">
        <f t="shared" ca="1" si="840"/>
        <v>#N/A</v>
      </c>
      <c r="DI235" s="144" t="e">
        <f t="shared" ca="1" si="901"/>
        <v>#N/A</v>
      </c>
      <c r="DJ235" s="147" t="e">
        <f ca="1">$EF235*Control!$C$109</f>
        <v>#N/A</v>
      </c>
      <c r="DK235" s="144" t="e">
        <f t="shared" ca="1" si="841"/>
        <v>#N/A</v>
      </c>
      <c r="DL235" s="144" t="e">
        <f t="shared" ca="1" si="719"/>
        <v>#N/A</v>
      </c>
      <c r="DM235" s="144" t="e">
        <f ca="1">IF(Control!$C$114=1, (1-EXP(-Control!$C$96*$DK235))*$AR235, 0)</f>
        <v>#N/A</v>
      </c>
      <c r="DN235" s="144">
        <f t="shared" ca="1" si="842"/>
        <v>0</v>
      </c>
      <c r="DO235" s="148">
        <f>Control!$C$97</f>
        <v>4</v>
      </c>
      <c r="DP235" s="145" t="e">
        <f t="shared" ca="1" si="843"/>
        <v>#N/A</v>
      </c>
      <c r="DQ235" s="145" t="e">
        <f ca="1">IF(AND($CP235&gt;=0,$CP235&lt;=90),Control!$C$111,Control!$C$111)</f>
        <v>#N/A</v>
      </c>
      <c r="DR235" s="145" t="e">
        <f t="shared" ca="1" si="720"/>
        <v>#N/A</v>
      </c>
      <c r="DS235" s="143" t="e">
        <f ca="1">Control!$B$22/$DR235</f>
        <v>#N/A</v>
      </c>
      <c r="DT235" s="149" t="e">
        <f ca="1">IF(AND(Control!$C$114=1,$KH235&lt;1),$IM235*$DF235, 0)</f>
        <v>#N/A</v>
      </c>
      <c r="DU235" s="144" t="e">
        <f t="shared" ca="1" si="844"/>
        <v>#N/A</v>
      </c>
      <c r="DV235" s="144">
        <f ca="1">IF($G235-Control!$C$107&lt;=0, 0, 0.83*LN(MAX($G235, 3))-0.8924)</f>
        <v>0</v>
      </c>
      <c r="DW235" s="144" t="e">
        <f t="shared" ca="1" si="721"/>
        <v>#N/A</v>
      </c>
      <c r="DX235" s="150" t="e">
        <f ca="1">MAX(0.01*(1+$CU235/Control!$C$102),0.05*($DK235-Control!$C$97)/Control!$C$97)</f>
        <v>#N/A</v>
      </c>
      <c r="DY235" s="151" t="e">
        <f ca="1">IF(Control!$C$114=1, $DI235*$FS235, 0)</f>
        <v>#N/A</v>
      </c>
      <c r="DZ235" s="196" t="e">
        <f t="shared" ca="1" si="845"/>
        <v>#N/A</v>
      </c>
      <c r="EA235" s="152">
        <f t="shared" ca="1" si="846"/>
        <v>231</v>
      </c>
      <c r="EB235" s="153" t="e">
        <f t="shared" ca="1" si="847"/>
        <v>#N/A</v>
      </c>
      <c r="EC235" s="153" t="e">
        <f t="shared" ca="1" si="848"/>
        <v>#N/A</v>
      </c>
      <c r="ED235" s="154" t="e">
        <f ca="1">IF(Control!$C$114=1, $HM235*$FY235-$FD235, 0)</f>
        <v>#DIV/0!</v>
      </c>
      <c r="EE235" s="155" t="e">
        <f ca="1">IF(Control!$C$114=1, $HM235*$FZ235-$FF235, 0)</f>
        <v>#DIV/0!</v>
      </c>
      <c r="EF235" s="153" t="e">
        <f t="shared" ca="1" si="902"/>
        <v>#N/A</v>
      </c>
      <c r="EG235" s="155" t="e">
        <f ca="1">IF(Control!$C$114=1, $GX235*$FW235-$FI235, 0)</f>
        <v>#DIV/0!</v>
      </c>
      <c r="EH235" s="153" t="e">
        <f t="shared" ca="1" si="849"/>
        <v>#N/A</v>
      </c>
      <c r="EI235" s="156" t="e">
        <f t="shared" ca="1" si="850"/>
        <v>#N/A</v>
      </c>
      <c r="EJ235" s="155" t="e">
        <f ca="1">IF(Control!$C$114=1, $HM235*$GB235, 0)</f>
        <v>#DIV/0!</v>
      </c>
      <c r="EK235" s="153" t="e">
        <f t="shared" ca="1" si="903"/>
        <v>#N/A</v>
      </c>
      <c r="EL235" s="153" t="e">
        <f t="shared" ca="1" si="722"/>
        <v>#N/A</v>
      </c>
      <c r="EM235" s="153" t="e">
        <f t="shared" ca="1" si="723"/>
        <v>#N/A</v>
      </c>
      <c r="EN235" s="153" t="e">
        <f ca="1">IF(Control!$C$108=1,IF(AND(Control!$B$18=1,$EB235&gt;=Control!$B$19),$EB235-$DS235,IF(AND(Control!$B$18=2,$AW235=1,$EB235&gt;$DS235),$EB235-$DS235,0)))</f>
        <v>#N/A</v>
      </c>
      <c r="EO235" s="153" t="e">
        <f ca="1">IF(Control!$C$108=1,IF(AND(Control!$B$18=1,$EB235&gt;=Control!$B$19),$EF235,IF(AND(Control!$B$18=2,$AW235=1),$EF235,0)))</f>
        <v>#N/A</v>
      </c>
      <c r="EP235" s="153" t="e">
        <f ca="1">IF(Control!$C$108=1,IF(AND(Control!$B$18=1,$EB235&gt;=Control!$B$19),$EK235,IF(AND(Control!$B$18=2,$AW235=1),$EK235,0)))</f>
        <v>#N/A</v>
      </c>
      <c r="EQ235" s="153" t="e">
        <f t="shared" ca="1" si="851"/>
        <v>#N/A</v>
      </c>
      <c r="ER235" s="153" t="e">
        <f t="shared" ca="1" si="852"/>
        <v>#N/A</v>
      </c>
      <c r="ES235" s="153" t="e">
        <f t="shared" ca="1" si="904"/>
        <v>#N/A</v>
      </c>
      <c r="ET235" s="153" t="e">
        <f t="shared" ca="1" si="905"/>
        <v>#N/A</v>
      </c>
      <c r="EU235" s="153" t="e">
        <f t="shared" ca="1" si="853"/>
        <v>#N/A</v>
      </c>
      <c r="EV235" s="153" t="e">
        <f t="shared" ca="1" si="724"/>
        <v>#N/A</v>
      </c>
      <c r="EW235" s="153" t="e">
        <f t="shared" ca="1" si="725"/>
        <v>#N/A</v>
      </c>
      <c r="EX235" s="153" t="e">
        <f t="shared" ca="1" si="726"/>
        <v>#N/A</v>
      </c>
      <c r="EY235" s="157" t="e">
        <f t="shared" ca="1" si="727"/>
        <v>#DIV/0!</v>
      </c>
      <c r="EZ235" s="154" t="e">
        <f t="shared" ca="1" si="728"/>
        <v>#DIV/0!</v>
      </c>
      <c r="FA235" s="153" t="e">
        <f t="shared" ca="1" si="854"/>
        <v>#N/A</v>
      </c>
      <c r="FB235" s="153" t="e">
        <f t="shared" ca="1" si="729"/>
        <v>#N/A</v>
      </c>
      <c r="FC235" s="193" t="e">
        <f t="shared" ca="1" si="730"/>
        <v>#N/A</v>
      </c>
      <c r="FD235" s="158" t="e">
        <f t="shared" ca="1" si="855"/>
        <v>#N/A</v>
      </c>
      <c r="FE235" s="158" t="e">
        <f t="shared" ca="1" si="856"/>
        <v>#N/A</v>
      </c>
      <c r="FF235" s="159" t="e">
        <f t="shared" ca="1" si="731"/>
        <v>#N/A</v>
      </c>
      <c r="FG235" s="160" t="e">
        <f t="shared" ca="1" si="857"/>
        <v>#N/A</v>
      </c>
      <c r="FH235" s="158" t="e">
        <f t="shared" ca="1" si="858"/>
        <v>#N/A</v>
      </c>
      <c r="FI235" s="159" t="e">
        <f t="shared" ca="1" si="732"/>
        <v>#N/A</v>
      </c>
      <c r="FJ235" s="160" t="e">
        <f t="shared" ca="1" si="859"/>
        <v>#N/A</v>
      </c>
      <c r="FK235" s="160" t="e">
        <f t="shared" ca="1" si="733"/>
        <v>#N/A</v>
      </c>
      <c r="FL235" s="160" t="e">
        <f t="shared" ca="1" si="906"/>
        <v>#N/A</v>
      </c>
      <c r="FM235" s="160" t="e">
        <f t="shared" ca="1" si="734"/>
        <v>#N/A</v>
      </c>
      <c r="FN235" s="158">
        <f t="shared" ca="1" si="860"/>
        <v>0.01</v>
      </c>
      <c r="FO235" s="160">
        <f>Control!$C$101</f>
        <v>50</v>
      </c>
      <c r="FP235" s="150" t="e">
        <f t="shared" ca="1" si="735"/>
        <v>#N/A</v>
      </c>
      <c r="FQ235" s="150" t="e">
        <f ca="1">MAX(0,(Control!$C$112*(($DK235-Control!$C$97)/Control!$C$97)))</f>
        <v>#N/A</v>
      </c>
      <c r="FR235" s="150" t="e">
        <f ca="1">(1-$NT235)*Control!$C$113</f>
        <v>#DIV/0!</v>
      </c>
      <c r="FS235" s="198" t="e">
        <f t="shared" ca="1" si="736"/>
        <v>#N/A</v>
      </c>
      <c r="FT235" s="161">
        <f t="shared" ca="1" si="861"/>
        <v>231</v>
      </c>
      <c r="FU235" s="162" t="e">
        <f ca="1">IF(Control!$B$34=1,VLOOKUP($CP235,Control!$B$86:$G$91,6),Control!$B$35)</f>
        <v>#N/A</v>
      </c>
      <c r="FV235" s="162" t="e">
        <f t="shared" ca="1" si="737"/>
        <v>#DIV/0!</v>
      </c>
      <c r="FW235" s="162" t="e">
        <f ca="1">IF(Control!$B$31=1,$FU235*$FV235,  $FU235)</f>
        <v>#N/A</v>
      </c>
      <c r="FX235" s="162" t="e">
        <f ca="1">IF(Control!$B$34=1,VLOOKUP($CP235,Control!$B$86:$G$91,3),Control!$B$36)</f>
        <v>#N/A</v>
      </c>
      <c r="FY235" s="162" t="e">
        <f t="shared" ca="1" si="738"/>
        <v>#N/A</v>
      </c>
      <c r="FZ235" s="162" t="e">
        <f ca="1">IF(Control!$B$34=1,VLOOKUP($CP235,Control!$B$86:$G$91,4),Control!$B$37)</f>
        <v>#N/A</v>
      </c>
      <c r="GA235" s="162" t="e">
        <f t="shared" ca="1" si="739"/>
        <v>#N/A</v>
      </c>
      <c r="GB235" s="162" t="e">
        <f ca="1">IF(Control!$B$34=1,VLOOKUP($CP235,Control!$B$86:$G$91,5),Control!$B$38)</f>
        <v>#N/A</v>
      </c>
      <c r="GC235" s="162" t="e">
        <f t="shared" ca="1" si="862"/>
        <v>#N/A</v>
      </c>
      <c r="GD235" s="162">
        <f t="shared" ca="1" si="740"/>
        <v>1</v>
      </c>
      <c r="GE235" s="162">
        <f t="shared" ca="1" si="741"/>
        <v>1</v>
      </c>
      <c r="GF235" s="162">
        <f ca="1">IF(AND(Control!$C$104=1, Control!$C$62="F"),$GE235,1)</f>
        <v>1</v>
      </c>
      <c r="GG235" s="162" t="e">
        <f ca="1">IF(Control!$B$16=40,0,IF(AND(Control!$B$16&gt;40,Control!$B$16&lt;=360),(Control!$B$16-40)*((1-0)/(360-40)),IF(AND(Control!$B$16&gt;360,Control!$B$16&lt;=720),(1+(Control!$B$16-360)*((1.25-1)/(720-360))),IF(AND(Control!$B$16&gt;720,Control!$B$16&lt;=1000),(1.25+(Control!$B$16-720)*((1.35-1.25)/(1000-720))),IF(AND(Control!$B$16&gt;1000,Control!$B$16&lt;=2000),(1.35+(Control!$B$16-1000)*0))))))</f>
        <v>#N/A</v>
      </c>
      <c r="GH235" s="162" t="e">
        <f t="shared" ca="1" si="742"/>
        <v>#N/A</v>
      </c>
      <c r="GI235" s="162">
        <f t="shared" ca="1" si="863"/>
        <v>0</v>
      </c>
      <c r="GJ235" s="162">
        <f t="shared" ca="1" si="743"/>
        <v>0</v>
      </c>
      <c r="GK235" s="162">
        <f t="shared" ca="1" si="864"/>
        <v>1</v>
      </c>
      <c r="GL235" s="162">
        <f t="shared" ca="1" si="744"/>
        <v>1</v>
      </c>
      <c r="GM235" s="162" t="e">
        <f ca="1">MAX(0,MIN(1,1-Control!$C$156*(1.0001-$KH235)^2))</f>
        <v>#N/A</v>
      </c>
      <c r="GN235" s="162" t="e">
        <f ca="1">IF(Control!$B$26=1,$KU235,$KX235)</f>
        <v>#N/A</v>
      </c>
      <c r="GO235" s="162" t="e">
        <f ca="1">IF($CP235&lt;=60,Control!$C$105,IF($CP235&gt;=90,Control!$C$106,Control!$C$105+($CP235-60)*((Control!$C$106-Control!$C$105)/(90-60))))</f>
        <v>#N/A</v>
      </c>
      <c r="GP235" s="162" t="e">
        <f t="shared" ca="1" si="745"/>
        <v>#N/A</v>
      </c>
      <c r="GQ235" s="162" t="e">
        <f t="shared" ca="1" si="865"/>
        <v>#N/A</v>
      </c>
      <c r="GR235" s="163" t="e">
        <f t="shared" ca="1" si="746"/>
        <v>#DIV/0!</v>
      </c>
      <c r="GS235" s="162" t="e">
        <f t="shared" ca="1" si="747"/>
        <v>#DIV/0!</v>
      </c>
      <c r="GT235" s="164" t="e">
        <f t="shared" ca="1" si="866"/>
        <v>#N/A</v>
      </c>
      <c r="GU235" s="162" t="e">
        <f t="shared" ca="1" si="867"/>
        <v>#N/A</v>
      </c>
      <c r="GV235" s="162" t="e">
        <f t="shared" ca="1" si="748"/>
        <v>#N/A</v>
      </c>
      <c r="GW235" s="162" t="e">
        <f t="shared" ca="1" si="749"/>
        <v>#DIV/0!</v>
      </c>
      <c r="GX235" s="162" t="e">
        <f t="shared" ca="1" si="868"/>
        <v>#DIV/0!</v>
      </c>
      <c r="GY235" s="162" t="e">
        <f t="shared" ca="1" si="869"/>
        <v>#DIV/0!</v>
      </c>
      <c r="GZ235" s="165" t="e">
        <f t="shared" ca="1" si="750"/>
        <v>#N/A</v>
      </c>
      <c r="HA235" s="162" t="e">
        <f ca="1">IF(Control!$C$114=1, $DI235*$FS235, 0)</f>
        <v>#N/A</v>
      </c>
      <c r="HB235" s="162" t="e">
        <f ca="1">$FA235/Control!$C$64</f>
        <v>#N/A</v>
      </c>
      <c r="HC235" s="162" t="e">
        <f t="shared" ca="1" si="751"/>
        <v>#DIV/0!</v>
      </c>
      <c r="HD235" s="162">
        <f ca="1">-ASIN(SIN(23.45*Control!$C$139)*COS(2*Control!$C$138*($AH235+10)/365))</f>
        <v>0.21428622652042284</v>
      </c>
      <c r="HE235" s="165">
        <f t="shared" ca="1" si="870"/>
        <v>0</v>
      </c>
      <c r="HF235" s="166">
        <f ca="1">IF(AND(Control!$C$61="T",$HE235&gt;=Control!$C$103,Control!$C$114=0),$AH235,Control!$C$59)</f>
        <v>1</v>
      </c>
      <c r="HG235" s="166">
        <f ca="1">IF(AND(Control!$C$61="T",$HE235&gt;=Control!$C$103,Control!$C$114=0),$HF235,Control!$C$59)</f>
        <v>1</v>
      </c>
      <c r="HH235" s="165">
        <f ca="1">IF(AND(OR(Control!$C$60&lt;=0, $AH235= Control!$C$59, Control!$C$60 &gt;0, $AH235 = Control!$C$60)), Control!$C$59, IF(Control!$C$60&gt;0, 0))</f>
        <v>1</v>
      </c>
      <c r="HI235" s="165">
        <f ca="1">IF(AND(OR(Control!$C$60&lt;=0, $AH235= Control!$C$59, Control!$C$60 &gt;0, $AH235 = Control!$C$60)), Control!$C$60, IF(Control!$C$60&lt;=0, 0))</f>
        <v>0</v>
      </c>
      <c r="HJ235" s="166">
        <f ca="1">IF(AND(Control!$C$62="F",$CV235&gt;=Control!$C$102),$AH235,0)</f>
        <v>0</v>
      </c>
      <c r="HK235" s="165" t="e">
        <f t="shared" ca="1" si="907"/>
        <v>#N/A</v>
      </c>
      <c r="HL235" s="166">
        <f ca="1">IF(AND(Control!$C$61="T",$HE235&gt;=Control!$C$103,Control!$C$114=0),$HF235,0)</f>
        <v>0</v>
      </c>
      <c r="HM235" s="201" t="e">
        <f t="shared" ca="1" si="752"/>
        <v>#DIV/0!</v>
      </c>
      <c r="HN235" s="215">
        <f t="shared" ca="1" si="871"/>
        <v>231</v>
      </c>
      <c r="HO235" s="216" t="e">
        <f ca="1">IF(AND($CP235&gt;=0, $CP235&lt;=90), Control!$C$152, Control!$C$152)</f>
        <v>#N/A</v>
      </c>
      <c r="HP235" s="216" t="e">
        <f t="shared" ca="1" si="753"/>
        <v>#N/A</v>
      </c>
      <c r="HQ235" s="217" t="e">
        <f ca="1">IF(OR(Control!$B$26=1,Control!$B$26=2),$KV235,$KS235)</f>
        <v>#DIV/0!</v>
      </c>
      <c r="HR235" s="218" t="e">
        <f t="shared" ca="1" si="908"/>
        <v>#DIV/0!</v>
      </c>
      <c r="HS235" s="216" t="e">
        <f ca="1">Control!$C$154*$HP235</f>
        <v>#N/A</v>
      </c>
      <c r="HT235" s="216" t="e">
        <f ca="1">Control!$C$155*$HP235</f>
        <v>#N/A</v>
      </c>
      <c r="HU235" s="217" t="e">
        <f ca="1">Control!$C$161*$FI235</f>
        <v>#N/A</v>
      </c>
      <c r="HV235" s="218" t="e">
        <f t="shared" ca="1" si="872"/>
        <v>#N/A</v>
      </c>
      <c r="HW235" s="218" t="e">
        <f ca="1">Control!$C$160*$FF235+$IP235*$EO235</f>
        <v>#N/A</v>
      </c>
      <c r="HX235" s="218" t="e">
        <f t="shared" ca="1" si="909"/>
        <v>#N/A</v>
      </c>
      <c r="HY235" s="219" t="e">
        <f ca="1">IF(Control!$C$114=1, $EB235*$FS235, 0)</f>
        <v>#N/A</v>
      </c>
      <c r="HZ235" s="91" t="e">
        <f t="shared" ca="1" si="754"/>
        <v>#N/A</v>
      </c>
      <c r="IA235" s="220" t="e">
        <f ca="1">Control!$C$153*$HO235</f>
        <v>#N/A</v>
      </c>
      <c r="IB235" s="218" t="e">
        <f t="shared" ca="1" si="755"/>
        <v>#N/A</v>
      </c>
      <c r="IC235" s="220" t="e">
        <f ca="1">Control!$C$153*$HT235</f>
        <v>#N/A</v>
      </c>
      <c r="ID235" s="218" t="e">
        <f t="shared" ca="1" si="756"/>
        <v>#N/A</v>
      </c>
      <c r="IE235" s="221" t="e">
        <f ca="1">($EB235*Control!$C$159+$EF235*Control!$C$160)/(IF($GZ235&lt;&gt;0,$GZ235,1))</f>
        <v>#N/A</v>
      </c>
      <c r="IF235" s="216" t="e">
        <f t="shared" ca="1" si="757"/>
        <v>#N/A</v>
      </c>
      <c r="IG235" s="91">
        <f ca="1">IF(OR(Control!$B$198=$AH235,Control!$B$199=$AH235, Control!$B$200=$AH235, Control!$B$201=$AH235, Control!$B$202=$AH235, Control!$B$203=$AH235, Control!$B$204=$AH235, Control!$B$205=$AH235, Control!$B$206=$AH235, Control!$B$207=$AH235), 1, 0)</f>
        <v>0</v>
      </c>
      <c r="IH235" s="91">
        <f ca="1">IF($IG235=0,0, VLOOKUP($AH235,Control!$B$198:$C$207,2))</f>
        <v>0</v>
      </c>
      <c r="II235" s="222">
        <f t="shared" ca="1" si="873"/>
        <v>0</v>
      </c>
      <c r="IJ235" s="91">
        <f>Control!$C$121</f>
        <v>0.7</v>
      </c>
      <c r="IK235" s="218">
        <f t="shared" ca="1" si="758"/>
        <v>0</v>
      </c>
      <c r="IL235" s="217" t="e">
        <f t="shared" ca="1" si="910"/>
        <v>#N/A</v>
      </c>
      <c r="IM235" s="223" t="e">
        <f ca="1">IF(AND(Control!$C$114=1,$KH235&lt;1),$EB235*Control!$C$148*(1-$KH235), 0)</f>
        <v>#N/A</v>
      </c>
      <c r="IN235" s="217" t="e">
        <f t="shared" ca="1" si="759"/>
        <v>#DIV/0!</v>
      </c>
      <c r="IO235" s="91" t="e">
        <f ca="1">MAX(0,$IL235-$EF235*Control!$C$160)</f>
        <v>#N/A</v>
      </c>
      <c r="IP235" s="220" t="e">
        <f t="shared" ca="1" si="760"/>
        <v>#N/A</v>
      </c>
      <c r="IQ235" s="217" t="e">
        <f t="shared" ca="1" si="874"/>
        <v>#N/A</v>
      </c>
      <c r="IR235" s="218" t="e">
        <f t="shared" ca="1" si="761"/>
        <v>#N/A</v>
      </c>
      <c r="IS235" s="217" t="e">
        <f ca="1">Control!$C$159*MAX(0,$FD235-$EN235)</f>
        <v>#N/A</v>
      </c>
      <c r="IT235" s="217" t="e">
        <f t="shared" ca="1" si="911"/>
        <v>#N/A</v>
      </c>
      <c r="IU235" s="217" t="e">
        <f t="shared" ca="1" si="875"/>
        <v>#N/A</v>
      </c>
      <c r="IV235" s="217" t="e">
        <f t="shared" ca="1" si="912"/>
        <v>#N/A</v>
      </c>
      <c r="IW235" s="217" t="e">
        <f ca="1">IF(OR($AW235=1,AND($AW235=0, Control!$B$18=1,$EN235&lt;&gt;0)), $IQ235-$IU235, $IQ235)</f>
        <v>#N/A</v>
      </c>
      <c r="IX235" s="218" t="e">
        <f t="shared" ca="1" si="762"/>
        <v>#N/A</v>
      </c>
      <c r="IY235" s="218" t="e">
        <f ca="1">MAX(0,$IQ235-$EB235*Control!$C$159)</f>
        <v>#N/A</v>
      </c>
      <c r="IZ235" s="218" t="e">
        <f t="shared" ca="1" si="763"/>
        <v>#N/A</v>
      </c>
      <c r="JA235" s="216" t="e">
        <f t="shared" ca="1" si="764"/>
        <v>#N/A</v>
      </c>
      <c r="JB235" s="217" t="e">
        <f t="shared" ca="1" si="765"/>
        <v>#N/A</v>
      </c>
      <c r="JC235" s="222" t="e">
        <f ca="1">MAX(Control!$C$157*$EK235-$JT235, 0)/Control!$C$162</f>
        <v>#N/A</v>
      </c>
      <c r="JD235" s="218" t="e">
        <f t="shared" ca="1" si="766"/>
        <v>#N/A</v>
      </c>
      <c r="JE235" s="218" t="e">
        <f t="shared" ca="1" si="767"/>
        <v>#N/A</v>
      </c>
      <c r="JF235" s="218" t="e">
        <f t="shared" ca="1" si="876"/>
        <v>#N/A</v>
      </c>
      <c r="JG235" s="218" t="e">
        <f t="shared" ca="1" si="768"/>
        <v>#N/A</v>
      </c>
      <c r="JH235" s="217" t="e">
        <f t="shared" ca="1" si="877"/>
        <v>#N/A</v>
      </c>
      <c r="JI235" s="217" t="e">
        <f t="shared" ca="1" si="878"/>
        <v>#N/A</v>
      </c>
      <c r="JJ235" s="217" t="e">
        <f t="shared" ca="1" si="913"/>
        <v>#N/A</v>
      </c>
      <c r="JK235" s="217" t="e">
        <f ca="1">IF(Control!$C$114=1,IF(Control!$B$24=0,MAX(0,$JI235)*$GN235/Control!$C$64,(MAX(0,MIN($JI235,$JJ235*$GN235/Control!$C$64),0))))</f>
        <v>#N/A</v>
      </c>
      <c r="JL235" s="217" t="e">
        <f ca="1">$IK235/Control!$C$64-$JK235+$HQ235</f>
        <v>#N/A</v>
      </c>
      <c r="JM235" s="217" t="e">
        <f ca="1">IF(Control!$C$114=1,($JB235/(IF($JI235&lt;&gt;0,$JI235,1)))*$JK235,0)</f>
        <v>#N/A</v>
      </c>
      <c r="JN235" s="217" t="e">
        <f ca="1">IF(Control!$C$114=1,($JG235/(IF($JI235&lt;&gt;0,$JI235,1)))*$JK235, 0)</f>
        <v>#N/A</v>
      </c>
      <c r="JO235" s="218" t="e">
        <f t="shared" ca="1" si="769"/>
        <v>#N/A</v>
      </c>
      <c r="JP235" s="218" t="e">
        <f ca="1">MIN(($IY235+$IO235)*Control!$C$151, $JF235-$EH235*Control!$C$161)</f>
        <v>#N/A</v>
      </c>
      <c r="JQ235" s="218" t="e">
        <f t="shared" ca="1" si="770"/>
        <v>#N/A</v>
      </c>
      <c r="JR235" s="217" t="e">
        <f ca="1">IF($CP235-Control!$C$150&lt;0, 0, $JQ235/Control!$C$162)</f>
        <v>#N/A</v>
      </c>
      <c r="JS235" s="218" t="e">
        <f t="shared" ca="1" si="771"/>
        <v>#N/A</v>
      </c>
      <c r="JT235" s="218" t="e">
        <f t="shared" ca="1" si="879"/>
        <v>#N/A</v>
      </c>
      <c r="JU235" s="218" t="e">
        <f t="shared" ca="1" si="772"/>
        <v>#N/A</v>
      </c>
      <c r="JV235" s="218" t="e">
        <f t="shared" ca="1" si="773"/>
        <v>#N/A</v>
      </c>
      <c r="JW235" s="216" t="e">
        <f t="shared" ca="1" si="774"/>
        <v>#N/A</v>
      </c>
      <c r="JX235" s="91" t="e">
        <f t="shared" ca="1" si="775"/>
        <v>#N/A</v>
      </c>
      <c r="JY235" s="218" t="e">
        <f t="shared" ca="1" si="776"/>
        <v>#N/A</v>
      </c>
      <c r="JZ235" s="217" t="e">
        <f ca="1">IF(Control!$C$114=1,($IZ235/(IF($JI235&lt;&gt;0,$JI235,1)))*$JK235, 0)</f>
        <v>#N/A</v>
      </c>
      <c r="KA235" s="218" t="e">
        <f t="shared" ca="1" si="914"/>
        <v>#N/A</v>
      </c>
      <c r="KB235" s="218" t="e">
        <f t="shared" ca="1" si="880"/>
        <v>#N/A</v>
      </c>
      <c r="KC235" s="218" t="e">
        <f t="shared" ca="1" si="777"/>
        <v>#N/A</v>
      </c>
      <c r="KD235" s="218" t="e">
        <f t="shared" ca="1" si="778"/>
        <v>#N/A</v>
      </c>
      <c r="KE235" s="218" t="e">
        <f t="shared" ca="1" si="779"/>
        <v>#N/A</v>
      </c>
      <c r="KF235" s="218" t="e">
        <f t="shared" ca="1" si="780"/>
        <v>#N/A</v>
      </c>
      <c r="KG235" s="216" t="e">
        <f t="shared" ca="1" si="781"/>
        <v>#N/A</v>
      </c>
      <c r="KH235" s="221" t="e">
        <f ca="1">IF(Control!$B$24=0,1,MAX(0.001,MIN(1,IF(($IF235-$IE235)&lt;&gt;0,($KG235-$IE235)/($IF235-$IE235),1))))</f>
        <v>#N/A</v>
      </c>
      <c r="KI235" s="222" t="e">
        <f ca="1">IF(Control!$C$114=1, $KI234+ $KH234, 0)</f>
        <v>#N/A</v>
      </c>
      <c r="KJ235" s="217" t="e">
        <f t="shared" ca="1" si="782"/>
        <v>#N/A</v>
      </c>
      <c r="KK235" s="218" t="e">
        <f t="shared" ca="1" si="783"/>
        <v>#N/A</v>
      </c>
      <c r="KL235" s="274" t="e">
        <f ca="1">IF(Control!$B$26=3,4000000000*EXP(-8400/($G235+273)),IF(Control!$B$26=4,4000000000*EXP(-8400/($G235+273))*($KT235),0))</f>
        <v>#DIV/0!</v>
      </c>
      <c r="KM235" s="274" t="e">
        <f ca="1">IF(Control!$B$26=3,5600000000000*EXP(-9800/($G235+273)),IF(Control!$B$26=4,5600000000000*EXP(-9800/($G235+273))*$KT235,0))</f>
        <v>#DIV/0!</v>
      </c>
      <c r="KN235" s="454" t="e">
        <f t="shared" ca="1" si="881"/>
        <v>#DIV/0!</v>
      </c>
      <c r="KO235" s="274" t="e">
        <f t="shared" ca="1" si="882"/>
        <v>#DIV/0!</v>
      </c>
      <c r="KP235" s="454" t="e">
        <f t="shared" ca="1" si="784"/>
        <v>#DIV/0!</v>
      </c>
      <c r="KQ235" s="454" t="e">
        <f t="shared" ca="1" si="785"/>
        <v>#DIV/0!</v>
      </c>
      <c r="KR235" s="454" t="e">
        <f t="shared" ca="1" si="786"/>
        <v>#DIV/0!</v>
      </c>
      <c r="KS235" s="454" t="e">
        <f t="shared" ca="1" si="787"/>
        <v>#DIV/0!</v>
      </c>
      <c r="KT235" s="455" t="e">
        <f t="shared" ca="1" si="788"/>
        <v>#DIV/0!</v>
      </c>
      <c r="KU235" s="456" t="e">
        <f ca="1">IF($CP235-Control!$C$149&lt;0, IF($NT235-0.01&lt;0,0,1),0)</f>
        <v>#N/A</v>
      </c>
      <c r="KV235" s="456" t="e">
        <f ca="1">IF(Control!$C$114=1,MAX(0,MIN(Control!$C$125*$KW235*$GN235,$KW235)))</f>
        <v>#DIV/0!</v>
      </c>
      <c r="KW235" s="456" t="e">
        <f t="shared" ca="1" si="915"/>
        <v>#DIV/0!</v>
      </c>
      <c r="KX235" s="457" t="e">
        <f ca="1">IF($CP235-Control!$C$149&lt;0, IF($MR235-$OM235&lt;0,0,1),0)</f>
        <v>#N/A</v>
      </c>
      <c r="KY235" s="167">
        <f t="shared" ca="1" si="883"/>
        <v>231</v>
      </c>
      <c r="KZ235" s="168">
        <f ca="1">1370*(1+0.033*COS(2*Control!$C$138*$AH235/365))</f>
        <v>1339.6526489266087</v>
      </c>
      <c r="LA235" s="169">
        <f t="shared" ca="1" si="884"/>
        <v>0.97784842140027139</v>
      </c>
      <c r="LB235" s="169">
        <f t="shared" ca="1" si="885"/>
        <v>0.21555839080166095</v>
      </c>
      <c r="LC235" s="169">
        <f ca="1">ACOS(-TAN((2*Control!$B$8/360))*TAN(Calculations!$LB235))</f>
        <v>1.635918033372189</v>
      </c>
      <c r="LD235" s="169">
        <f ca="1">((24*60)/PI())*0.082*$LA235*(($LC235*SIN(Control!$B$8*2*PI()/360))*SIN($LB235)+COS(Control!$B$8*2*PI()/360)*COS($LB235)*SIN($LC235))</f>
        <v>32.191323508844818</v>
      </c>
      <c r="LE235" s="170">
        <f t="shared" ca="1" si="789"/>
        <v>32.706555784285555</v>
      </c>
      <c r="LF235" s="170">
        <f ca="1">SIN(Control!$C$139*Control!$B$8)*SIN($HD235)</f>
        <v>0.16757079153418727</v>
      </c>
      <c r="LG235" s="170">
        <f ca="1">COS(Control!$C$139*Control!$B$8)*COS($HD235)</f>
        <v>0.60157869484229087</v>
      </c>
      <c r="LH235" s="170">
        <f ca="1">12*(1+2*ASIN(MAX(-1,MIN(1,$LF235/$LG235))/Control!$C$138))</f>
        <v>14.130771676076732</v>
      </c>
      <c r="LI235" s="170">
        <f ca="1">12*(1+2*ASIN(MAX(-1,MIN(1,(-SIN(-4*Control!$C$139)+$LF235)/$LG235))/Control!$C$138))</f>
        <v>15.021787416774247</v>
      </c>
      <c r="LJ235" s="168">
        <f ca="1">3600*($LH235*$LF235+24*$LG235*SQRT(1-$LK235*$LK235)/Control!$C$138)</f>
        <v>24414.206033550228</v>
      </c>
      <c r="LK235" s="170">
        <f t="shared" ca="1" si="790"/>
        <v>0.27855173890112156</v>
      </c>
      <c r="LL235" s="170">
        <f t="shared" ca="1" si="791"/>
        <v>0</v>
      </c>
      <c r="LM235" s="171">
        <f ca="1">Control!$C$145*$AB235</f>
        <v>6.6660906138995932E-2</v>
      </c>
      <c r="LN235" s="170">
        <f t="shared" ca="1" si="886"/>
        <v>0.54</v>
      </c>
      <c r="LO235" s="170">
        <f t="shared" ca="1" si="792"/>
        <v>0</v>
      </c>
      <c r="LP235" s="170">
        <f ca="1">Control!$C$140*((($D235+273.16)^4+($E235+273.16)^4)/2)*(0.34-0.14*SQRT($Y235))*(1.35*$AQ235/(0.75*$LD235)-0.35)</f>
        <v>-3.2464704755046001</v>
      </c>
      <c r="LQ235" s="170">
        <f ca="1">Control!$C$140*($G235+273)^4*(0.56-0.079*SQRT($Y235*10))*(0.1+0.9*$LO235)</f>
        <v>1.5241745131704001</v>
      </c>
      <c r="LR235" s="170">
        <f ca="1">$AQ235*(1-Control!$C$142)-$LQ235</f>
        <v>-1.5241745131704001</v>
      </c>
      <c r="LS235" s="170">
        <f ca="1">$AQ235*(1-Control!$C$143)-$LQ235</f>
        <v>-1.5241745131704001</v>
      </c>
      <c r="LT235" s="170">
        <f ca="1">$AQ235*(1-Control!$C$144)-$LQ235</f>
        <v>-1.5241745131704001</v>
      </c>
      <c r="LU235" s="169">
        <f ca="1">(1-Control!$C$144)*AQ235-LP235</f>
        <v>3.2464704755046001</v>
      </c>
      <c r="LV235" s="172">
        <f t="shared" ca="1" si="793"/>
        <v>0.79430000000000012</v>
      </c>
      <c r="LW235" s="170">
        <f t="shared" ca="1" si="794"/>
        <v>1.5886000000000002</v>
      </c>
      <c r="LX235" s="170">
        <f ca="1">($AC235*($LR235/Control!$C$141)+$LM235*$LV235)/($AC235+$LM235)</f>
        <v>0.23530094218323697</v>
      </c>
      <c r="LY235" s="170">
        <f ca="1">($AC235*($LS235/Control!$C$141)+$LM235*$LV235)/($AC235+$LM235)</f>
        <v>0.23530094218323697</v>
      </c>
      <c r="LZ235" s="170">
        <f t="shared" ca="1" si="795"/>
        <v>0.23530094218323697</v>
      </c>
      <c r="MA235" s="170">
        <f t="shared" ca="1" si="796"/>
        <v>0.23530094218323697</v>
      </c>
      <c r="MB235" s="170" t="e">
        <f t="shared" ca="1" si="797"/>
        <v>#N/A</v>
      </c>
      <c r="MC235" s="170">
        <f t="shared" ca="1" si="887"/>
        <v>0.6018</v>
      </c>
      <c r="MD235" s="170">
        <f t="shared" ca="1" si="798"/>
        <v>0.52989392535414004</v>
      </c>
      <c r="ME235" s="170">
        <f ca="1">($AC235*($LT235/Control!$C$141)+$LM235*$LW235)/($AC235+$LM235)</f>
        <v>0.71612369323045078</v>
      </c>
      <c r="MF235" s="170" t="e">
        <f ca="1">IF(Control!$B$16&gt;=1000,0.92,IF(AND(720&lt;=Control!$B$16,1000&gt;Control!$B$16),(0.95+(Control!$B$16-720)*((0.92-0.95)/(1000-720))),IF(AND(360&lt;=Control!$B$16,720&gt;Control!$B$16),(1+(Control!$B$16-360)*((0.95-1)/(720-360))),IF(AND(40&lt;=Control!$B$16,360&gt;Control!$B$16),(1.05+(Control!$B$16-40)*((1.05-1)/(360-40)))))))</f>
        <v>#N/A</v>
      </c>
      <c r="MG235" s="170">
        <f t="shared" ca="1" si="799"/>
        <v>0.71612369323045078</v>
      </c>
      <c r="MH235" s="170" t="e">
        <f t="shared" ca="1" si="925"/>
        <v>#N/A</v>
      </c>
      <c r="MI235" s="170" t="e">
        <f t="shared" ca="1" si="925"/>
        <v>#N/A</v>
      </c>
      <c r="MJ235" s="170" t="e">
        <f ca="1">MAX(0.0001, Control!$C$132*$MI235*$DL235)</f>
        <v>#N/A</v>
      </c>
      <c r="MK235" s="170">
        <f ca="1">1/(0.76+1.5*($MG235/10))-(5-Control!$C$110)*0.1</f>
        <v>1.002845988140797</v>
      </c>
      <c r="ML235" s="173">
        <f ca="1">IF(Control!$C$110&lt;3,$MK235+($MG235-0.6)/(Control!$C$110*(Control!$C$110+3)), MAX(0.1, MIN(0.95,$MK235)))</f>
        <v>0.95</v>
      </c>
      <c r="MM235" s="173">
        <f ca="1">IF(Control!$C$110&lt;3,$MK235+(($MI235/10)-0.6)/(Control!$C$110*(Control!$C$110+3)), MAX(0.1, MIN(0.95,$MK235)))</f>
        <v>0.95</v>
      </c>
      <c r="MN235" s="173">
        <f ca="1">(1-$MM235)*(Control!$C$128-Control!$C$127)+Control!$C$127</f>
        <v>0.16</v>
      </c>
      <c r="MO235" s="170" t="e">
        <f ca="1">MAX(0,MIN(1,($MS235-Control!$C$127)/($MN235-Control!$C$127)))</f>
        <v>#DIV/0!</v>
      </c>
      <c r="MP235" s="173" t="e">
        <f ca="1">1/(0.76+1.5*$MI235)-(5-Control!$C$110)*0.1</f>
        <v>#N/A</v>
      </c>
      <c r="MQ235" s="172" t="e">
        <f t="shared" ca="1" si="916"/>
        <v>#DIV/0!</v>
      </c>
      <c r="MR235" s="168" t="e">
        <f t="shared" ca="1" si="888"/>
        <v>#DIV/0!</v>
      </c>
      <c r="MS235" s="173" t="e">
        <f ca="1">MAX(Control!$C$127, MIN(Control!$C$135, $MR235/MAX(0.0001,$CY235)))</f>
        <v>#DIV/0!</v>
      </c>
      <c r="MT235" s="168" t="e">
        <f ca="1">(Control!$C$128-$MS235)*Control!$C$74</f>
        <v>#DIV/0!</v>
      </c>
      <c r="MU235" s="168" t="e">
        <f ca="1">(Control!$C$135-$MS235)*Control!$C$74</f>
        <v>#DIV/0!</v>
      </c>
      <c r="MV235" s="168" t="e">
        <f t="shared" ca="1" si="889"/>
        <v>#DIV/0!</v>
      </c>
      <c r="MW235" s="168" t="e">
        <f t="shared" ca="1" si="890"/>
        <v>#DIV/0!</v>
      </c>
      <c r="MX235" s="171" t="e">
        <f ca="1">MAX(Control!$C$127, MIN(Control!$C$135, $MW235/MAX(0.0001,Control!$C$119-$CY235)))</f>
        <v>#DIV/0!</v>
      </c>
      <c r="MY235" s="54" t="e">
        <f ca="1">IF(Control!$C$114=1, $CX235*$MX235, 0)</f>
        <v>#DIV/0!</v>
      </c>
      <c r="MZ235" s="54" t="e">
        <f t="shared" ca="1" si="891"/>
        <v>#N/A</v>
      </c>
      <c r="NA235" s="168" t="e">
        <f ca="1">(Control!$C$128-$MX235)*(Control!$C$119-Control!$C$74)</f>
        <v>#DIV/0!</v>
      </c>
      <c r="NB235" s="168" t="e">
        <f ca="1">(Control!$C$135-$MX235)*(Control!$C$119-Control!$C$74)</f>
        <v>#DIV/0!</v>
      </c>
      <c r="NC235" s="174" t="e">
        <f t="shared" ca="1" si="892"/>
        <v>#DIV/0!</v>
      </c>
      <c r="ND235" s="54">
        <f ca="1">IF(Control!$C$58=2, IF(OR(Control!$B$218=$AH235,Control!$B$219=$AH235, Control!$B$220=$AH235, Control!$B$221=$AH235, Control!$B$222=$AH235, Control!$B$223=$AH235, Control!$B$224=$AH235, Control!$B$225=$AH235, Control!$B$226=$AH235, Control!$B$227=$AH235, Control!$B$228=$AH235), 1, 0), 0)</f>
        <v>0</v>
      </c>
      <c r="NE235" s="54">
        <f ca="1">IF($ND235=0,0, VLOOKUP($AH235,Control!$B$218:$C$228,2))</f>
        <v>0</v>
      </c>
      <c r="NF235" s="168" t="e">
        <f ca="1">$CY235*(Control!$C$128-Control!$C$127)</f>
        <v>#N/A</v>
      </c>
      <c r="NG235" s="54" t="e">
        <f ca="1">IF(Control!$C$58=2, $NI234-$NJ234, 0)</f>
        <v>#DIV/0!</v>
      </c>
      <c r="NH235" s="54" t="e">
        <f ca="1">IF(AND(Control!$C$58=1, $MS234&lt;= ($MN234+0.02), $I234&lt;10), 0, IF(Control!$C$58=2, $NG234, 0))</f>
        <v>#DIV/0!</v>
      </c>
      <c r="NI235" s="54" t="e">
        <f ca="1">IF(Control!$C$58=2, $NE235+$NH235,0)</f>
        <v>#DIV/0!</v>
      </c>
      <c r="NJ235" s="54" t="e">
        <f ca="1">IF(AND(Control!$C$58=1, $MS235&lt;= ($MN235+0.02), $I235&lt;10), MAX(0, MIN(10, 0.7*($NF235-$MV235))), IF(Control!$C$58=2, MIN(10,$NI235),0))</f>
        <v>#DIV/0!</v>
      </c>
      <c r="NK235" s="54" t="e">
        <f t="shared" ca="1" si="800"/>
        <v>#DIV/0!</v>
      </c>
      <c r="NL235" s="173" t="e">
        <f ca="1">(1-Control!$C$73)*$I235+$NJ235</f>
        <v>#DIV/0!</v>
      </c>
      <c r="NM235" s="172" t="e">
        <f ca="1">IF($NL235&lt;0.5, $MB235* MAX(0, MIN(1, (SQRT($NC235)-SQRT($NC235-1))*Control!$C$71)),0)</f>
        <v>#DIV/0!</v>
      </c>
      <c r="NN235" s="170" t="e">
        <f ca="1">IF($NL235&gt;=5, $MB235, MAX(0,MIN($MB235, $NM235+$NL235,($MS235-Control!$C$129))))</f>
        <v>#DIV/0!</v>
      </c>
      <c r="NO235" s="54">
        <f>IF(Control!$C$133&lt;&gt;1, Control!$C$135-Control!$C$131, 0)</f>
        <v>0.38</v>
      </c>
      <c r="NP235" s="54" t="e">
        <f t="shared" ca="1" si="801"/>
        <v>#DIV/0!</v>
      </c>
      <c r="NQ235" s="173" t="e">
        <f ca="1">MAX(0,MIN(1,(Control!$C$135-$MS235)/(Control!$C$135-$NO235)))</f>
        <v>#DIV/0!</v>
      </c>
      <c r="NR235" s="170" t="e">
        <f ca="1">IF(Control!$C$133&lt;&gt;1, $NQ235+((1-$NP235/4)*(1-$NQ235)),1)</f>
        <v>#DIV/0!</v>
      </c>
      <c r="NS235" s="170" t="e">
        <f ca="1">IF(Control!$B$31=0,$MJ235,MAX(0,MIN($MV235,$MO235*$NR235*$MJ235)))</f>
        <v>#DIV/0!</v>
      </c>
      <c r="NT235" s="170" t="e">
        <f t="shared" ca="1" si="917"/>
        <v>#DIV/0!</v>
      </c>
      <c r="NU235" s="170" t="e">
        <f t="shared" ca="1" si="893"/>
        <v>#N/A</v>
      </c>
      <c r="NV235" s="170" t="e">
        <f t="shared" ca="1" si="802"/>
        <v>#N/A</v>
      </c>
      <c r="NW235" s="175" t="e">
        <f t="shared" ca="1" si="803"/>
        <v>#DIV/0!</v>
      </c>
      <c r="NX235" s="170" t="e">
        <f ca="1">MIN(Control!$C$72+$MU235, $NW235)</f>
        <v>#DIV/0!</v>
      </c>
      <c r="NY235" s="170" t="e">
        <f ca="1">IF($MT235&lt;=$NX235,MIN(Control!$C$72+$NB235,$NX235-$MT235),0)</f>
        <v>#DIV/0!</v>
      </c>
      <c r="NZ235" s="54" t="e">
        <f ca="1">IF(Control!$C$114=1,  $CX235*($MX235-Control!$C$127), 0)</f>
        <v>#DIV/0!</v>
      </c>
      <c r="OA235" s="170" t="e">
        <f t="shared" ca="1" si="804"/>
        <v>#DIV/0!</v>
      </c>
      <c r="OB235" s="170" t="e">
        <f ca="1">IF($NA235 &lt;=$NY235, MIN(Control!$C$72, $NY235-$NA235), 0)</f>
        <v>#DIV/0!</v>
      </c>
      <c r="OC235" s="168" t="e">
        <f t="shared" ca="1" si="805"/>
        <v>#DIV/0!</v>
      </c>
      <c r="OD235" s="168" t="e">
        <f t="shared" ca="1" si="894"/>
        <v>#DIV/0!</v>
      </c>
      <c r="OE235" s="170">
        <f ca="1">Control!$C$73*$I235</f>
        <v>0</v>
      </c>
      <c r="OF235" s="176" t="e">
        <f t="shared" ca="1" si="806"/>
        <v>#DIV/0!</v>
      </c>
      <c r="OG235" s="168" t="e">
        <f t="shared" ca="1" si="807"/>
        <v>#DIV/0!</v>
      </c>
      <c r="OH235" s="168" t="e">
        <f t="shared" ca="1" si="808"/>
        <v>#DIV/0!</v>
      </c>
      <c r="OI235" s="168" t="e">
        <f t="shared" ca="1" si="809"/>
        <v>#DIV/0!</v>
      </c>
      <c r="OJ235" s="168" t="e">
        <f t="shared" ca="1" si="810"/>
        <v>#DIV/0!</v>
      </c>
      <c r="OK235" s="204" t="e">
        <f t="shared" ca="1" si="811"/>
        <v>#DIV/0!</v>
      </c>
      <c r="OL235" s="177">
        <f>Control!$C$127</f>
        <v>0.15</v>
      </c>
      <c r="OM235" s="182" t="e">
        <f t="shared" ca="1" si="812"/>
        <v>#N/A</v>
      </c>
      <c r="ON235" s="177">
        <f>Control!$C$128</f>
        <v>0.35</v>
      </c>
      <c r="OO235" s="182" t="e">
        <f t="shared" ca="1" si="813"/>
        <v>#N/A</v>
      </c>
      <c r="OP235" s="138">
        <f t="shared" ca="1" si="895"/>
        <v>0</v>
      </c>
      <c r="OQ235" s="138" t="e">
        <f t="shared" ca="1" si="918"/>
        <v>#DIV/0!</v>
      </c>
      <c r="OR235" s="138" t="e">
        <f t="shared" ca="1" si="896"/>
        <v>#DIV/0!</v>
      </c>
      <c r="OS235" s="137" t="e">
        <f t="shared" ca="1" si="919"/>
        <v>#DIV/0!</v>
      </c>
      <c r="OT235" s="139" t="e">
        <f t="shared" ca="1" si="920"/>
        <v>#DIV/0!</v>
      </c>
      <c r="OU235" s="138" t="e">
        <f t="shared" ca="1" si="921"/>
        <v>#N/A</v>
      </c>
      <c r="OV235" s="138" t="e">
        <f t="shared" ca="1" si="922"/>
        <v>#DIV/0!</v>
      </c>
      <c r="OW235" s="138" t="e">
        <f t="shared" ca="1" si="897"/>
        <v>#DIV/0!</v>
      </c>
      <c r="OX235" s="138" t="e">
        <f t="shared" ca="1" si="898"/>
        <v>#DIV/0!</v>
      </c>
      <c r="OY235" s="138" t="e">
        <f t="shared" ca="1" si="899"/>
        <v>#DIV/0!</v>
      </c>
      <c r="OZ235" s="138" t="e">
        <f t="shared" ca="1" si="814"/>
        <v>#DIV/0!</v>
      </c>
      <c r="PA235" s="138" t="e">
        <f t="shared" ca="1" si="815"/>
        <v>#DIV/0!</v>
      </c>
      <c r="PB235" s="55">
        <f>IF(Control!$C$61="T", IF(Control!$C$65="F", IF($AH$6-Control!$C$60&lt;0,0,1), IF(365+$AH$6-Control!$C$60&lt;0,0,1)),0)</f>
        <v>0</v>
      </c>
      <c r="PC235" s="55">
        <f ca="1">IF(Control!$C$65="F", IF($AH$6-$HF235&lt;0,0,1), IF(365+$AH$6-$HF235&lt;0,0,1))</f>
        <v>1</v>
      </c>
      <c r="PD235" s="444">
        <f>Control!$C$118</f>
        <v>1500</v>
      </c>
      <c r="PE235" s="180" t="e">
        <f t="shared" ca="1" si="816"/>
        <v>#N/A</v>
      </c>
      <c r="PF235" s="445">
        <f t="shared" ca="1" si="900"/>
        <v>0.71612369323045078</v>
      </c>
      <c r="PT235" s="186"/>
      <c r="PU235" s="186"/>
      <c r="PV235" s="94"/>
      <c r="PW235" s="94"/>
      <c r="PX235" s="94"/>
      <c r="PY235" s="94"/>
      <c r="PZ235" s="94"/>
      <c r="QA235" s="94"/>
      <c r="QB235" s="94"/>
      <c r="QC235" s="94"/>
      <c r="QD235" s="94"/>
      <c r="QE235" s="94"/>
      <c r="QF235" s="94"/>
      <c r="QG235" s="94"/>
      <c r="QH235" s="94"/>
      <c r="QI235" s="94"/>
      <c r="QJ235" s="94"/>
      <c r="QK235" s="94"/>
      <c r="QL235" s="94"/>
      <c r="QM235" s="94"/>
      <c r="QN235" s="94"/>
      <c r="QO235" s="94"/>
      <c r="QP235" s="94"/>
    </row>
    <row r="236" spans="1:458" s="2" customFormat="1" x14ac:dyDescent="0.2">
      <c r="A236" s="395">
        <v>19</v>
      </c>
      <c r="B236" s="396">
        <v>8</v>
      </c>
      <c r="C236" s="387">
        <f ca="1">Weather_data!$B235</f>
        <v>0</v>
      </c>
      <c r="D236" s="388">
        <f ca="1">Weather_data!$F235</f>
        <v>0</v>
      </c>
      <c r="E236" s="388">
        <f ca="1">Weather_data!$E235</f>
        <v>0</v>
      </c>
      <c r="F236" s="388">
        <f t="shared" ca="1" si="817"/>
        <v>0</v>
      </c>
      <c r="G236" s="388">
        <f ca="1">AVERAGE($D236:$E236)+Control!$B$9</f>
        <v>0</v>
      </c>
      <c r="H236" s="388">
        <f ca="1">Weather_data!$G235</f>
        <v>0</v>
      </c>
      <c r="I236" s="388">
        <f ca="1">Weather_data!$I235</f>
        <v>0</v>
      </c>
      <c r="J236" s="388">
        <f ca="1">Weather_data!$H235</f>
        <v>0</v>
      </c>
      <c r="K236" s="389">
        <f ca="1">Weather_data!$D235</f>
        <v>0</v>
      </c>
      <c r="L236" s="388" t="e">
        <f t="shared" ca="1" si="818"/>
        <v>#N/A</v>
      </c>
      <c r="M236" s="388" t="e">
        <f t="shared" ca="1" si="696"/>
        <v>#N/A</v>
      </c>
      <c r="N236" s="388">
        <f t="shared" ca="1" si="697"/>
        <v>-1.4953648756958966E-11</v>
      </c>
      <c r="O236" s="388">
        <f t="shared" ca="1" si="819"/>
        <v>1.4953648756958967E-10</v>
      </c>
      <c r="P236" s="390">
        <v>3</v>
      </c>
      <c r="Q236" s="388">
        <f ca="1">MAX($G236-Control!$C$107,0)</f>
        <v>0</v>
      </c>
      <c r="R236" s="388">
        <f t="shared" ca="1" si="820"/>
        <v>0</v>
      </c>
      <c r="S236" s="388">
        <f t="shared" ca="1" si="698"/>
        <v>0</v>
      </c>
      <c r="T236" s="388">
        <f t="shared" ca="1" si="699"/>
        <v>0</v>
      </c>
      <c r="U236" s="59">
        <f t="shared" ca="1" si="700"/>
        <v>0</v>
      </c>
      <c r="V236" s="391">
        <f ca="1">MAX(0,MIN(Control!$C$100-Control!$C$99,$G236-Control!$C$99)*Control!$C$63)</f>
        <v>0</v>
      </c>
      <c r="W236" s="388">
        <f t="shared" ca="1" si="821"/>
        <v>0</v>
      </c>
      <c r="X236" s="388">
        <f t="shared" ca="1" si="822"/>
        <v>0.6110000000000001</v>
      </c>
      <c r="Y236" s="388">
        <f t="shared" ca="1" si="701"/>
        <v>0</v>
      </c>
      <c r="Z236" s="388">
        <f t="shared" ca="1" si="823"/>
        <v>0.61058800000000002</v>
      </c>
      <c r="AA236" s="388">
        <f t="shared" ca="1" si="702"/>
        <v>0.6018</v>
      </c>
      <c r="AB236" s="388">
        <f ca="1">101.3*EXP(-0.034*Control!$C$66/($G236+273))</f>
        <v>100.69623283836242</v>
      </c>
      <c r="AC236" s="392">
        <f t="shared" ca="1" si="703"/>
        <v>4.3460251046025113E-2</v>
      </c>
      <c r="AD236" s="392">
        <f t="shared" ca="1" si="704"/>
        <v>4.4450382862832649E-2</v>
      </c>
      <c r="AE236" s="388">
        <f t="shared" ca="1" si="705"/>
        <v>0</v>
      </c>
      <c r="AF236" s="388">
        <f ca="1">MAX(0,$G236-Control!$C$92)</f>
        <v>0</v>
      </c>
      <c r="AG236" s="393">
        <f t="shared" ca="1" si="706"/>
        <v>232</v>
      </c>
      <c r="AH236" s="389">
        <f t="shared" ca="1" si="707"/>
        <v>232</v>
      </c>
      <c r="AI236" s="388">
        <f t="shared" ca="1" si="824"/>
        <v>0.20833223311099008</v>
      </c>
      <c r="AJ236" s="388">
        <f ca="1">IF(Control!$C$60&lt;=0,$HH236,$HI236)</f>
        <v>1</v>
      </c>
      <c r="AK236" s="388">
        <f t="shared" ca="1" si="708"/>
        <v>2.6165593607980742</v>
      </c>
      <c r="AL236" s="388">
        <f t="shared" ca="1" si="709"/>
        <v>1.8030993365059091E-18</v>
      </c>
      <c r="AM236" s="388">
        <f t="shared" ca="1" si="710"/>
        <v>2.6165593607980742</v>
      </c>
      <c r="AN236" s="388">
        <f t="shared" ca="1" si="711"/>
        <v>0.20073945688174885</v>
      </c>
      <c r="AO236" s="388">
        <f ca="1">-0.10453/COS(Control!$B$8*PI()/180)*COS(AN236)</f>
        <v>-0.16637548271050334</v>
      </c>
      <c r="AP236" s="388">
        <f ca="1">ACOS(AO236-TAN(Control!$B$8*PI()/180)*TAN(AN236))</f>
        <v>2.0117675693699004</v>
      </c>
      <c r="AQ236" s="388">
        <f t="shared" ca="1" si="825"/>
        <v>0</v>
      </c>
      <c r="AR236" s="394">
        <f t="shared" ca="1" si="712"/>
        <v>0</v>
      </c>
      <c r="AS236" s="436">
        <f ca="1">IF(Control!$B$18=2,(IF(OR($AH236=Control!$B$175,$AH236=Control!$B$176,$AH236=Control!$B$177,$AH236=Control!$B$178,$AH236=Control!$B$179,$AH236=Control!$B$180,$AH236=Control!$B$181,$AH236=Control!$B$182,$AH236=Control!$B$183,$AH236=Control!$B$184,$AH236=Control!$B$185),1,0)),0)</f>
        <v>0</v>
      </c>
      <c r="AT236" s="436">
        <f>IF(Control!$B$20=8,IF(AND($AH236&gt;=Control!$B$172,$AH236&lt;=Control!$B$173),1,0),0)</f>
        <v>0</v>
      </c>
      <c r="AU236" s="436">
        <f>IF(Control!$B$20=8,IF($AV235=1,1*$AT236,IF($AT236=1,$AU235+1,$AU235)),0)</f>
        <v>0</v>
      </c>
      <c r="AV236" s="436">
        <f>IF(Control!$B$20=8,IF($AU236&gt;=Control!$B$174,1,0),0)</f>
        <v>0</v>
      </c>
      <c r="AW236" s="436">
        <f ca="1">IF(AND(Control!$B$18=2,Control!$B$171=1), $AV236, $AS236)</f>
        <v>0</v>
      </c>
      <c r="AX236" s="436" t="e">
        <f ca="1">IF(AND(Control!$B$18=1,$EU236&gt;=Control!$B$19),-$AY236,IF(AND(Control!$B$18=2,$AW236=1,$EU236&gt;$DS236),-$AY236, IF(Control!$C$108=0,0, IF(Control!$C$108&lt;&gt;0,1))))</f>
        <v>#N/A</v>
      </c>
      <c r="AY236" s="436" t="e">
        <f t="shared" ca="1" si="826"/>
        <v>#N/A</v>
      </c>
      <c r="AZ236" s="436" t="e">
        <f ca="1">IF(AND(Control!$B$18=1,$EB236&gt;Control!$B$19),$AZ235+1, IF(AND(Control!$B$18=2, $AW236=1, $EB236&gt;$DS236), $AZ235+1,$AZ235))</f>
        <v>#N/A</v>
      </c>
      <c r="BA236" s="587">
        <f>IF(Control!$C$81=0,1,IF($AH236&gt;=Control!$C$82,1,0))</f>
        <v>1</v>
      </c>
      <c r="BB236" s="140" t="e">
        <f ca="1">IF($BA236&gt;$BA235,Control!$C$83,IF($AW236&gt;0,$AW236*Control!$C$84,IF(AND(Control!$B$18=1,EN235&lt;&gt;0),Control!$C$84,0)))</f>
        <v>#N/A</v>
      </c>
      <c r="BC236" s="140" t="e">
        <f t="shared" ca="1" si="827"/>
        <v>#N/A</v>
      </c>
      <c r="BD236" s="140" t="e">
        <f ca="1">BC236*IF(OR($G236&lt;Control!$C$92,$G236&gt;Control!$C$95),0,IF(AND($G236&gt;=Control!$C$92,$G236&lt;=Control!$C$93),$G236-Control!$C$92,IF(AND($G236&gt;Control!$C$93,$G236&lt;=Control!$C$94),Control!$C$93-Control!$C$92,IF(AND($G236&gt;Control!$C$94,$G236&lt;=Control!$C$95),(Control!$C$93-Control!$C$92)*(Control!$C$94-$G236)/(Control!$C$95-Control!$C$94)))))</f>
        <v>#N/A</v>
      </c>
      <c r="BE236" s="140" t="e">
        <f t="shared" ca="1" si="828"/>
        <v>#N/A</v>
      </c>
      <c r="BF236" s="140" t="e">
        <f ca="1">IF($BE236&lt;=Control!$C$86,$BE236,Control!$C$86-$BE236)</f>
        <v>#N/A</v>
      </c>
      <c r="BG236" s="140" t="e">
        <f ca="1">IF(AND($AW236=1,Control!$C$84&lt;9),1,IF($BE236&gt;=Control!$C$86,0,$BC236))</f>
        <v>#N/A</v>
      </c>
      <c r="BH236" s="404" t="e">
        <f ca="1">IF($BG236=0,0,IF($BE236&lt;=Control!$C$86,$BC236*9*($BF236/Control!$C$86),0))</f>
        <v>#N/A</v>
      </c>
      <c r="BI236" s="140" t="e">
        <f ca="1">IF($BG236=1,0,IF($BE236&gt;=Control!$C$86,1,IF(AND($BB236&lt;21,$BB236&gt;=9),1,$BM235)))</f>
        <v>#N/A</v>
      </c>
      <c r="BJ236" s="140" t="e">
        <f ca="1">IF($BF236&lt;0,-$BF236,$BI236*IF(OR($G236&lt;Control!$C$92,$G236&gt;Control!$C$95),0,IF(AND($G236&gt;=Control!$C$92,$G236&lt;=Control!$C$93),$G236-Control!$C$92,IF(AND($G236&gt;Control!$C$93,$G236&lt;=Control!$C$94),Control!$C$93-Control!$C$92,IF(AND($G236&gt;Control!$C$94,$G236&lt;=Control!$C$95),(Control!$C$93-Control!$C$92)*(Control!$C$94-$G236)/(Control!$C$95-Control!$C$94))))))</f>
        <v>#N/A</v>
      </c>
      <c r="BK236" s="140" t="e">
        <f t="shared" ca="1" si="829"/>
        <v>#N/A</v>
      </c>
      <c r="BL236" s="140" t="e">
        <f ca="1">IF($BK236&lt;=Control!$C$87,$BK236,Control!$C$87-$BK236)</f>
        <v>#N/A</v>
      </c>
      <c r="BM236" s="140" t="e">
        <f ca="1">IF(AND($BB236&gt;=9,$BB236&lt;21),1,IF($BK236&gt;=Control!$C$87,0,$BI236))</f>
        <v>#N/A</v>
      </c>
      <c r="BN236" s="404" t="e">
        <f ca="1">IF($BM236=0,0,IF($BK236&lt;=Control!$C$87,$BI236*(9+(21-9)*($BL236/Control!$C$87)),0))</f>
        <v>#N/A</v>
      </c>
      <c r="BO236" s="140" t="e">
        <f ca="1">IF($BM236=1,0,IF($BK236&gt;=Control!$C$87,1,IF(AND($BB236&lt;30,$BB236&gt;=21),1,$BS235)))</f>
        <v>#N/A</v>
      </c>
      <c r="BP236" s="140" t="e">
        <f ca="1">IF($BL236&lt;0,-$BL236,$BO236*IF(OR($G236&lt;Control!$C$92,$G236&gt;Control!$C$95),0,IF(AND($G236&gt;=Control!$C$92,$G236&lt;=Control!$C$93),$G236-Control!$C$92,IF(AND($G236&gt;Control!$C$93,$G236&lt;=Control!$C$94),Control!$C$93-Control!$C$92,IF(AND($G236&gt;Control!$C$94,$G236&lt;=Control!$C$95),(Control!$C$93-Control!$C$92)*(Control!$C$94-$G236)/(Control!$C$95-Control!$C$94))))))</f>
        <v>#N/A</v>
      </c>
      <c r="BQ236" s="140" t="e">
        <f t="shared" ca="1" si="713"/>
        <v>#N/A</v>
      </c>
      <c r="BR236" s="140" t="e">
        <f ca="1">IF($BQ236&lt;=Control!$C$88,$BQ236,Control!$C$88-$BQ236)</f>
        <v>#N/A</v>
      </c>
      <c r="BS236" s="140" t="e">
        <f ca="1">IF(AND($BB236&gt;=21,$BB236&lt;30),1,IF($BQ236&gt;=Control!$C$88,0,$BO236))</f>
        <v>#N/A</v>
      </c>
      <c r="BT236" s="404" t="e">
        <f ca="1">IF($BS236=0,0,IF($BQ236&lt;=Control!$C$88,$BO236*(21+(30-21)*(BR236/Control!$C$88)),0))</f>
        <v>#N/A</v>
      </c>
      <c r="BU236" s="140" t="e">
        <f ca="1">IF(BG236+BM236+BS236=1,0,IF(OR(AND($BB236&lt;60,$BB236&gt;=30),$BQ236&gt;=Control!$C$88),1*$BA236,$BY235))</f>
        <v>#N/A</v>
      </c>
      <c r="BV236" s="140" t="e">
        <f ca="1">IF($BR236&lt;0,-$BR236,$BU236*IF(OR($G236&lt;Control!$C$92,$G236&gt;Control!$C$95),0,IF(AND($G236&gt;=Control!$C$92,$G236&lt;=Control!$C$93),$G236-Control!$C$92,IF(AND($G236&gt;Control!$C$93,$G236&lt;=Control!$C$94),Control!$C$93-Control!$C$92,IF(AND($G236&gt;Control!$C$94,$G236&lt;=Control!$C$95),(Control!$C$93-Control!$C$92)*(Control!$C$94-$G236)/(Control!$C$95-Control!$C$94))))))</f>
        <v>#N/A</v>
      </c>
      <c r="BW236" s="140" t="e">
        <f t="shared" ca="1" si="714"/>
        <v>#N/A</v>
      </c>
      <c r="BX236" s="140" t="e">
        <f ca="1">IF($BW236&lt;=Control!$C$89,$BW236,Control!$C$89-$BW236)</f>
        <v>#N/A</v>
      </c>
      <c r="BY236" s="140" t="e">
        <f ca="1">IF(AND($AJ236&gt;=30,$AJ236&lt;60),1,IF($BW236&gt;=Control!$C$89,0,$BU236))</f>
        <v>#N/A</v>
      </c>
      <c r="BZ236" s="404" t="e">
        <f ca="1">IF($BY236=0,0,IF($BW236&lt;=Control!$C$89,$BU236*(30+(60-30)*(BX236/Control!$C$89)),0))</f>
        <v>#N/A</v>
      </c>
      <c r="CA236" s="140" t="e">
        <f ca="1">IF($BG236+$BM236+$BS236+$BY236=1,0,IF(OR(AND($BB236&lt;65,$BB236&gt;=60),$BW236&gt;=Control!$C$89),1*$BA236,$CE235))</f>
        <v>#N/A</v>
      </c>
      <c r="CB236" s="140" t="e">
        <f ca="1">IF($BX236&lt;0,-$BX236,$CA236*IF(OR($G236&lt;Control!$C$92,$G236&gt;Control!$C$95),0,IF(AND($G236&gt;=Control!$C$92,$G236&lt;=Control!$C$93),$G236-Control!$C$92,IF(AND($G236&gt;Control!$C$93,$G236&lt;=Control!$C$94),Control!$C$93-Control!$C$92,IF(AND($G236&gt;Control!$C$94,$G236&lt;=Control!$C$95),(Control!$C$93-Control!$C$92)*(Control!$C$94-$G236)/(Control!$C$95-Control!$C$94))))))</f>
        <v>#N/A</v>
      </c>
      <c r="CC236" s="140" t="e">
        <f t="shared" ca="1" si="830"/>
        <v>#N/A</v>
      </c>
      <c r="CD236" s="140" t="e">
        <f ca="1">IF($CC236&lt;=Control!$C$90,$CC236,Control!$C$90-$CC236)</f>
        <v>#N/A</v>
      </c>
      <c r="CE236" s="140" t="e">
        <f ca="1">IF(AND($BB236&gt;=60,$BB236&lt;65),1,IF($CC236&gt;=Control!$C$90,0,$CA236))</f>
        <v>#N/A</v>
      </c>
      <c r="CF236" s="404" t="e">
        <f ca="1">IF($CE236=0,0,IF($CC236&lt;=Control!$C$90,$CA236*(60+(65-60)*(CD236/Control!$C$90)),0))</f>
        <v>#N/A</v>
      </c>
      <c r="CG236" s="140" t="e">
        <f ca="1">IF($BG236+$BM236+$BS236+$BY236+$CE236=1,0,IF(OR(AND($BB236&lt;90,$BB236&gt;=65),$CC236&gt;=Control!$C$90),$BA236,$CK235))</f>
        <v>#N/A</v>
      </c>
      <c r="CH236" s="140" t="e">
        <f ca="1">IF($CD236&lt;0,-$CD236,$CG236*IF(OR($G236&lt;Control!$C$92,$G236&gt;Control!$C$95),0,IF(AND($G236&gt;=Control!$C$92,$G236&lt;=Control!$C$93),$G236-Control!$C$92,IF(AND($G236&gt;Control!$C$93,$G236&lt;=Control!$C$94),Control!$C$93-Control!$C$92,IF(AND($G236&gt;Control!$C$94,$G236&lt;=Control!$C$95),(Control!$C$93-Control!$C$92)*(Control!$C$94-$G236)/(Control!$C$95-Control!$C$94))))))</f>
        <v>#N/A</v>
      </c>
      <c r="CI236" s="140" t="e">
        <f t="shared" ca="1" si="831"/>
        <v>#N/A</v>
      </c>
      <c r="CJ236" s="140" t="e">
        <f ca="1">IF($CI236&lt;=Control!$C$91,$CI236,Control!$C$91-$CI236)</f>
        <v>#N/A</v>
      </c>
      <c r="CK236" s="140" t="e">
        <f ca="1">IF(AND($BB236&gt;=65,$BB236&lt;90),1,IF($CI236&gt;=Control!$C$91,0,$CG236))</f>
        <v>#N/A</v>
      </c>
      <c r="CL236" s="404" t="e">
        <f ca="1">IF($CK236=0,0,IF($CI236&lt;=Control!$C$91,$CG236*(65+(90-65)*($CJ236/Control!$C$91)),0))</f>
        <v>#N/A</v>
      </c>
      <c r="CM236" s="140" t="e">
        <f ca="1">IF($BG236+$BM236+$BS236+$BY236+$CE236+$CK236=1,0,IF(OR($BB236&gt;=90,$CI236&gt;=Control!$C$91),$BA236,$CM235))</f>
        <v>#N/A</v>
      </c>
      <c r="CN236" s="140" t="e">
        <f t="shared" ca="1" si="832"/>
        <v>#N/A</v>
      </c>
      <c r="CO236" s="140" t="e">
        <f t="shared" ca="1" si="833"/>
        <v>#N/A</v>
      </c>
      <c r="CP236" s="140" t="e">
        <f t="shared" ca="1" si="834"/>
        <v>#N/A</v>
      </c>
      <c r="CQ236" s="141" t="e">
        <f ca="1">VLOOKUP($CP236,Control!$B$86:$G$91,6)</f>
        <v>#N/A</v>
      </c>
      <c r="CR236" s="141" t="e">
        <f ca="1">(1-$CQ236)*VLOOKUP($CP236,Control!$B$86:$D$91,3)</f>
        <v>#N/A</v>
      </c>
      <c r="CS236" s="141" t="e">
        <f ca="1">(1-$CQ236)*VLOOKUP($CP236,Control!$B$86:$E$91,4)</f>
        <v>#N/A</v>
      </c>
      <c r="CT236" s="141" t="e">
        <f ca="1">(1-$CQ236)*VLOOKUP($CP236,Control!$B$86:$F$91,5)</f>
        <v>#N/A</v>
      </c>
      <c r="CU236" s="141">
        <f t="shared" ca="1" si="835"/>
        <v>0</v>
      </c>
      <c r="CV236" s="583">
        <f t="shared" ca="1" si="836"/>
        <v>0</v>
      </c>
      <c r="CW236" s="142">
        <f t="shared" ca="1" si="837"/>
        <v>232</v>
      </c>
      <c r="CX236" s="612" t="e">
        <f ca="1">IF(Control!$C$114=1,(MIN(Control!$C$120*(IF($NT236-0.01&lt;0,0,1)),Control!$C$119-$CY236)))</f>
        <v>#DIV/0!</v>
      </c>
      <c r="CY236" s="143" t="e">
        <f t="shared" ca="1" si="838"/>
        <v>#N/A</v>
      </c>
      <c r="CZ236" s="144">
        <f t="shared" ca="1" si="715"/>
        <v>0</v>
      </c>
      <c r="DA236" s="144">
        <f t="shared" ca="1" si="716"/>
        <v>0</v>
      </c>
      <c r="DB236" s="144" t="e">
        <f t="shared" ca="1" si="717"/>
        <v>#N/A</v>
      </c>
      <c r="DC236" s="144" t="e">
        <f t="shared" ca="1" si="718"/>
        <v>#N/A</v>
      </c>
      <c r="DD236" s="144" t="e">
        <f t="shared" ca="1" si="923"/>
        <v>#N/A</v>
      </c>
      <c r="DE236" s="143" t="e">
        <f t="shared" ca="1" si="839"/>
        <v>#N/A</v>
      </c>
      <c r="DF236" s="145" t="e">
        <f ca="1">$DR236*EXP(-Control!$C$158*(1-$KH236))</f>
        <v>#N/A</v>
      </c>
      <c r="DG236" s="146" t="e">
        <f ca="1">IF(Control!$C$114=1, $DF236*$EY236, 0)</f>
        <v>#N/A</v>
      </c>
      <c r="DH236" s="147" t="e">
        <f t="shared" ca="1" si="840"/>
        <v>#N/A</v>
      </c>
      <c r="DI236" s="144" t="e">
        <f t="shared" ca="1" si="901"/>
        <v>#N/A</v>
      </c>
      <c r="DJ236" s="147" t="e">
        <f ca="1">$EF236*Control!$C$109</f>
        <v>#N/A</v>
      </c>
      <c r="DK236" s="144" t="e">
        <f t="shared" ca="1" si="841"/>
        <v>#N/A</v>
      </c>
      <c r="DL236" s="144" t="e">
        <f t="shared" ca="1" si="719"/>
        <v>#N/A</v>
      </c>
      <c r="DM236" s="144" t="e">
        <f ca="1">IF(Control!$C$114=1, (1-EXP(-Control!$C$96*$DK236))*$AR236, 0)</f>
        <v>#N/A</v>
      </c>
      <c r="DN236" s="144">
        <f t="shared" ca="1" si="842"/>
        <v>0</v>
      </c>
      <c r="DO236" s="148">
        <f>Control!$C$97</f>
        <v>4</v>
      </c>
      <c r="DP236" s="145" t="e">
        <f t="shared" ca="1" si="843"/>
        <v>#N/A</v>
      </c>
      <c r="DQ236" s="145" t="e">
        <f ca="1">IF(AND($CP236&gt;=0,$CP236&lt;=90),Control!$C$111,Control!$C$111)</f>
        <v>#N/A</v>
      </c>
      <c r="DR236" s="145" t="e">
        <f t="shared" ca="1" si="720"/>
        <v>#N/A</v>
      </c>
      <c r="DS236" s="143" t="e">
        <f ca="1">Control!$B$22/$DR236</f>
        <v>#N/A</v>
      </c>
      <c r="DT236" s="149" t="e">
        <f ca="1">IF(AND(Control!$C$114=1,$KH236&lt;1),$IM236*$DF236, 0)</f>
        <v>#N/A</v>
      </c>
      <c r="DU236" s="144" t="e">
        <f t="shared" ca="1" si="844"/>
        <v>#N/A</v>
      </c>
      <c r="DV236" s="144">
        <f ca="1">IF($G236-Control!$C$107&lt;=0, 0, 0.83*LN(MAX($G236, 3))-0.8924)</f>
        <v>0</v>
      </c>
      <c r="DW236" s="144" t="e">
        <f t="shared" ca="1" si="721"/>
        <v>#N/A</v>
      </c>
      <c r="DX236" s="150" t="e">
        <f ca="1">MAX(0.01*(1+$CU236/Control!$C$102),0.05*($DK236-Control!$C$97)/Control!$C$97)</f>
        <v>#N/A</v>
      </c>
      <c r="DY236" s="151" t="e">
        <f ca="1">IF(Control!$C$114=1, $DI236*$FS236, 0)</f>
        <v>#N/A</v>
      </c>
      <c r="DZ236" s="196" t="e">
        <f t="shared" ca="1" si="845"/>
        <v>#N/A</v>
      </c>
      <c r="EA236" s="152">
        <f t="shared" ca="1" si="846"/>
        <v>232</v>
      </c>
      <c r="EB236" s="153" t="e">
        <f t="shared" ca="1" si="847"/>
        <v>#N/A</v>
      </c>
      <c r="EC236" s="153" t="e">
        <f t="shared" ca="1" si="848"/>
        <v>#N/A</v>
      </c>
      <c r="ED236" s="154" t="e">
        <f ca="1">IF(Control!$C$114=1, $HM236*$FY236-$FD236, 0)</f>
        <v>#DIV/0!</v>
      </c>
      <c r="EE236" s="155" t="e">
        <f ca="1">IF(Control!$C$114=1, $HM236*$FZ236-$FF236, 0)</f>
        <v>#DIV/0!</v>
      </c>
      <c r="EF236" s="153" t="e">
        <f t="shared" ca="1" si="902"/>
        <v>#N/A</v>
      </c>
      <c r="EG236" s="155" t="e">
        <f ca="1">IF(Control!$C$114=1, $GX236*$FW236-$FI236, 0)</f>
        <v>#DIV/0!</v>
      </c>
      <c r="EH236" s="153" t="e">
        <f t="shared" ca="1" si="849"/>
        <v>#N/A</v>
      </c>
      <c r="EI236" s="156" t="e">
        <f t="shared" ca="1" si="850"/>
        <v>#N/A</v>
      </c>
      <c r="EJ236" s="155" t="e">
        <f ca="1">IF(Control!$C$114=1, $HM236*$GB236, 0)</f>
        <v>#DIV/0!</v>
      </c>
      <c r="EK236" s="153" t="e">
        <f t="shared" ca="1" si="903"/>
        <v>#N/A</v>
      </c>
      <c r="EL236" s="153" t="e">
        <f t="shared" ca="1" si="722"/>
        <v>#N/A</v>
      </c>
      <c r="EM236" s="153" t="e">
        <f t="shared" ca="1" si="723"/>
        <v>#N/A</v>
      </c>
      <c r="EN236" s="153" t="e">
        <f ca="1">IF(Control!$C$108=1,IF(AND(Control!$B$18=1,$EB236&gt;=Control!$B$19),$EB236-$DS236,IF(AND(Control!$B$18=2,$AW236=1,$EB236&gt;$DS236),$EB236-$DS236,0)))</f>
        <v>#N/A</v>
      </c>
      <c r="EO236" s="153" t="e">
        <f ca="1">IF(Control!$C$108=1,IF(AND(Control!$B$18=1,$EB236&gt;=Control!$B$19),$EF236,IF(AND(Control!$B$18=2,$AW236=1),$EF236,0)))</f>
        <v>#N/A</v>
      </c>
      <c r="EP236" s="153" t="e">
        <f ca="1">IF(Control!$C$108=1,IF(AND(Control!$B$18=1,$EB236&gt;=Control!$B$19),$EK236,IF(AND(Control!$B$18=2,$AW236=1),$EK236,0)))</f>
        <v>#N/A</v>
      </c>
      <c r="EQ236" s="153" t="e">
        <f t="shared" ca="1" si="851"/>
        <v>#N/A</v>
      </c>
      <c r="ER236" s="153" t="e">
        <f t="shared" ca="1" si="852"/>
        <v>#N/A</v>
      </c>
      <c r="ES236" s="153" t="e">
        <f t="shared" ca="1" si="904"/>
        <v>#N/A</v>
      </c>
      <c r="ET236" s="153" t="e">
        <f t="shared" ca="1" si="905"/>
        <v>#N/A</v>
      </c>
      <c r="EU236" s="153" t="e">
        <f t="shared" ca="1" si="853"/>
        <v>#N/A</v>
      </c>
      <c r="EV236" s="153" t="e">
        <f t="shared" ca="1" si="724"/>
        <v>#N/A</v>
      </c>
      <c r="EW236" s="153" t="e">
        <f t="shared" ca="1" si="725"/>
        <v>#N/A</v>
      </c>
      <c r="EX236" s="153" t="e">
        <f t="shared" ca="1" si="726"/>
        <v>#N/A</v>
      </c>
      <c r="EY236" s="157" t="e">
        <f t="shared" ca="1" si="727"/>
        <v>#DIV/0!</v>
      </c>
      <c r="EZ236" s="154" t="e">
        <f t="shared" ca="1" si="728"/>
        <v>#DIV/0!</v>
      </c>
      <c r="FA236" s="153" t="e">
        <f t="shared" ca="1" si="854"/>
        <v>#N/A</v>
      </c>
      <c r="FB236" s="153" t="e">
        <f t="shared" ca="1" si="729"/>
        <v>#N/A</v>
      </c>
      <c r="FC236" s="193" t="e">
        <f t="shared" ca="1" si="730"/>
        <v>#N/A</v>
      </c>
      <c r="FD236" s="158" t="e">
        <f t="shared" ca="1" si="855"/>
        <v>#N/A</v>
      </c>
      <c r="FE236" s="158" t="e">
        <f t="shared" ca="1" si="856"/>
        <v>#N/A</v>
      </c>
      <c r="FF236" s="159" t="e">
        <f t="shared" ca="1" si="731"/>
        <v>#N/A</v>
      </c>
      <c r="FG236" s="160" t="e">
        <f t="shared" ca="1" si="857"/>
        <v>#N/A</v>
      </c>
      <c r="FH236" s="158" t="e">
        <f t="shared" ca="1" si="858"/>
        <v>#N/A</v>
      </c>
      <c r="FI236" s="159" t="e">
        <f t="shared" ca="1" si="732"/>
        <v>#N/A</v>
      </c>
      <c r="FJ236" s="160" t="e">
        <f t="shared" ca="1" si="859"/>
        <v>#N/A</v>
      </c>
      <c r="FK236" s="160" t="e">
        <f t="shared" ca="1" si="733"/>
        <v>#N/A</v>
      </c>
      <c r="FL236" s="160" t="e">
        <f t="shared" ca="1" si="906"/>
        <v>#N/A</v>
      </c>
      <c r="FM236" s="160" t="e">
        <f t="shared" ca="1" si="734"/>
        <v>#N/A</v>
      </c>
      <c r="FN236" s="158">
        <f t="shared" ca="1" si="860"/>
        <v>0.01</v>
      </c>
      <c r="FO236" s="160">
        <f>Control!$C$101</f>
        <v>50</v>
      </c>
      <c r="FP236" s="150" t="e">
        <f t="shared" ca="1" si="735"/>
        <v>#N/A</v>
      </c>
      <c r="FQ236" s="150" t="e">
        <f ca="1">MAX(0,(Control!$C$112*(($DK236-Control!$C$97)/Control!$C$97)))</f>
        <v>#N/A</v>
      </c>
      <c r="FR236" s="150" t="e">
        <f ca="1">(1-$NT236)*Control!$C$113</f>
        <v>#DIV/0!</v>
      </c>
      <c r="FS236" s="198" t="e">
        <f t="shared" ca="1" si="736"/>
        <v>#N/A</v>
      </c>
      <c r="FT236" s="161">
        <f t="shared" ca="1" si="861"/>
        <v>232</v>
      </c>
      <c r="FU236" s="162" t="e">
        <f ca="1">IF(Control!$B$34=1,VLOOKUP($CP236,Control!$B$86:$G$91,6),Control!$B$35)</f>
        <v>#N/A</v>
      </c>
      <c r="FV236" s="162" t="e">
        <f t="shared" ca="1" si="737"/>
        <v>#DIV/0!</v>
      </c>
      <c r="FW236" s="162" t="e">
        <f ca="1">IF(Control!$B$31=1,$FU236*$FV236,  $FU236)</f>
        <v>#N/A</v>
      </c>
      <c r="FX236" s="162" t="e">
        <f ca="1">IF(Control!$B$34=1,VLOOKUP($CP236,Control!$B$86:$G$91,3),Control!$B$36)</f>
        <v>#N/A</v>
      </c>
      <c r="FY236" s="162" t="e">
        <f t="shared" ca="1" si="738"/>
        <v>#N/A</v>
      </c>
      <c r="FZ236" s="162" t="e">
        <f ca="1">IF(Control!$B$34=1,VLOOKUP($CP236,Control!$B$86:$G$91,4),Control!$B$37)</f>
        <v>#N/A</v>
      </c>
      <c r="GA236" s="162" t="e">
        <f t="shared" ca="1" si="739"/>
        <v>#N/A</v>
      </c>
      <c r="GB236" s="162" t="e">
        <f ca="1">IF(Control!$B$34=1,VLOOKUP($CP236,Control!$B$86:$G$91,5),Control!$B$38)</f>
        <v>#N/A</v>
      </c>
      <c r="GC236" s="162" t="e">
        <f t="shared" ca="1" si="862"/>
        <v>#N/A</v>
      </c>
      <c r="GD236" s="162">
        <f t="shared" ca="1" si="740"/>
        <v>1</v>
      </c>
      <c r="GE236" s="162">
        <f t="shared" ca="1" si="741"/>
        <v>1</v>
      </c>
      <c r="GF236" s="162">
        <f ca="1">IF(AND(Control!$C$104=1, Control!$C$62="F"),$GE236,1)</f>
        <v>1</v>
      </c>
      <c r="GG236" s="162" t="e">
        <f ca="1">IF(Control!$B$16=40,0,IF(AND(Control!$B$16&gt;40,Control!$B$16&lt;=360),(Control!$B$16-40)*((1-0)/(360-40)),IF(AND(Control!$B$16&gt;360,Control!$B$16&lt;=720),(1+(Control!$B$16-360)*((1.25-1)/(720-360))),IF(AND(Control!$B$16&gt;720,Control!$B$16&lt;=1000),(1.25+(Control!$B$16-720)*((1.35-1.25)/(1000-720))),IF(AND(Control!$B$16&gt;1000,Control!$B$16&lt;=2000),(1.35+(Control!$B$16-1000)*0))))))</f>
        <v>#N/A</v>
      </c>
      <c r="GH236" s="162" t="e">
        <f t="shared" ca="1" si="742"/>
        <v>#N/A</v>
      </c>
      <c r="GI236" s="162">
        <f t="shared" ca="1" si="863"/>
        <v>0</v>
      </c>
      <c r="GJ236" s="162">
        <f t="shared" ca="1" si="743"/>
        <v>0</v>
      </c>
      <c r="GK236" s="162">
        <f t="shared" ca="1" si="864"/>
        <v>1</v>
      </c>
      <c r="GL236" s="162">
        <f t="shared" ca="1" si="744"/>
        <v>1</v>
      </c>
      <c r="GM236" s="162" t="e">
        <f ca="1">MAX(0,MIN(1,1-Control!$C$156*(1.0001-$KH236)^2))</f>
        <v>#N/A</v>
      </c>
      <c r="GN236" s="162" t="e">
        <f ca="1">IF(Control!$B$26=1,$KU236,$KX236)</f>
        <v>#N/A</v>
      </c>
      <c r="GO236" s="162" t="e">
        <f ca="1">IF($CP236&lt;=60,Control!$C$105,IF($CP236&gt;=90,Control!$C$106,Control!$C$105+($CP236-60)*((Control!$C$106-Control!$C$105)/(90-60))))</f>
        <v>#N/A</v>
      </c>
      <c r="GP236" s="162" t="e">
        <f t="shared" ca="1" si="745"/>
        <v>#N/A</v>
      </c>
      <c r="GQ236" s="162" t="e">
        <f t="shared" ca="1" si="865"/>
        <v>#N/A</v>
      </c>
      <c r="GR236" s="163" t="e">
        <f t="shared" ca="1" si="746"/>
        <v>#DIV/0!</v>
      </c>
      <c r="GS236" s="162" t="e">
        <f t="shared" ca="1" si="747"/>
        <v>#DIV/0!</v>
      </c>
      <c r="GT236" s="164" t="e">
        <f t="shared" ca="1" si="866"/>
        <v>#N/A</v>
      </c>
      <c r="GU236" s="162" t="e">
        <f t="shared" ca="1" si="867"/>
        <v>#N/A</v>
      </c>
      <c r="GV236" s="162" t="e">
        <f t="shared" ca="1" si="748"/>
        <v>#N/A</v>
      </c>
      <c r="GW236" s="162" t="e">
        <f t="shared" ca="1" si="749"/>
        <v>#DIV/0!</v>
      </c>
      <c r="GX236" s="162" t="e">
        <f t="shared" ca="1" si="868"/>
        <v>#DIV/0!</v>
      </c>
      <c r="GY236" s="162" t="e">
        <f t="shared" ca="1" si="869"/>
        <v>#DIV/0!</v>
      </c>
      <c r="GZ236" s="165" t="e">
        <f t="shared" ca="1" si="750"/>
        <v>#N/A</v>
      </c>
      <c r="HA236" s="162" t="e">
        <f ca="1">IF(Control!$C$114=1, $DI236*$FS236, 0)</f>
        <v>#N/A</v>
      </c>
      <c r="HB236" s="162" t="e">
        <f ca="1">$FA236/Control!$C$64</f>
        <v>#N/A</v>
      </c>
      <c r="HC236" s="162" t="e">
        <f t="shared" ca="1" si="751"/>
        <v>#DIV/0!</v>
      </c>
      <c r="HD236" s="162">
        <f ca="1">-ASIN(SIN(23.45*Control!$C$139)*COS(2*Control!$C$138*($AH236+10)/365))</f>
        <v>0.20833223311099008</v>
      </c>
      <c r="HE236" s="165">
        <f t="shared" ca="1" si="870"/>
        <v>0</v>
      </c>
      <c r="HF236" s="166">
        <f ca="1">IF(AND(Control!$C$61="T",$HE236&gt;=Control!$C$103,Control!$C$114=0),$AH236,Control!$C$59)</f>
        <v>1</v>
      </c>
      <c r="HG236" s="166">
        <f ca="1">IF(AND(Control!$C$61="T",$HE236&gt;=Control!$C$103,Control!$C$114=0),$HF236,Control!$C$59)</f>
        <v>1</v>
      </c>
      <c r="HH236" s="165">
        <f ca="1">IF(AND(OR(Control!$C$60&lt;=0, $AH236= Control!$C$59, Control!$C$60 &gt;0, $AH236 = Control!$C$60)), Control!$C$59, IF(Control!$C$60&gt;0, 0))</f>
        <v>1</v>
      </c>
      <c r="HI236" s="165">
        <f ca="1">IF(AND(OR(Control!$C$60&lt;=0, $AH236= Control!$C$59, Control!$C$60 &gt;0, $AH236 = Control!$C$60)), Control!$C$60, IF(Control!$C$60&lt;=0, 0))</f>
        <v>0</v>
      </c>
      <c r="HJ236" s="166">
        <f ca="1">IF(AND(Control!$C$62="F",$CV236&gt;=Control!$C$102),$AH236,0)</f>
        <v>0</v>
      </c>
      <c r="HK236" s="165" t="e">
        <f t="shared" ca="1" si="907"/>
        <v>#N/A</v>
      </c>
      <c r="HL236" s="166">
        <f ca="1">IF(AND(Control!$C$61="T",$HE236&gt;=Control!$C$103,Control!$C$114=0),$HF236,0)</f>
        <v>0</v>
      </c>
      <c r="HM236" s="201" t="e">
        <f t="shared" ca="1" si="752"/>
        <v>#DIV/0!</v>
      </c>
      <c r="HN236" s="215">
        <f t="shared" ca="1" si="871"/>
        <v>232</v>
      </c>
      <c r="HO236" s="216" t="e">
        <f ca="1">IF(AND($CP236&gt;=0, $CP236&lt;=90), Control!$C$152, Control!$C$152)</f>
        <v>#N/A</v>
      </c>
      <c r="HP236" s="216" t="e">
        <f t="shared" ca="1" si="753"/>
        <v>#N/A</v>
      </c>
      <c r="HQ236" s="217" t="e">
        <f ca="1">IF(OR(Control!$B$26=1,Control!$B$26=2),$KV236,$KS236)</f>
        <v>#DIV/0!</v>
      </c>
      <c r="HR236" s="218" t="e">
        <f t="shared" ca="1" si="908"/>
        <v>#DIV/0!</v>
      </c>
      <c r="HS236" s="216" t="e">
        <f ca="1">Control!$C$154*$HP236</f>
        <v>#N/A</v>
      </c>
      <c r="HT236" s="216" t="e">
        <f ca="1">Control!$C$155*$HP236</f>
        <v>#N/A</v>
      </c>
      <c r="HU236" s="217" t="e">
        <f ca="1">Control!$C$161*$FI236</f>
        <v>#N/A</v>
      </c>
      <c r="HV236" s="218" t="e">
        <f t="shared" ca="1" si="872"/>
        <v>#N/A</v>
      </c>
      <c r="HW236" s="218" t="e">
        <f ca="1">Control!$C$160*$FF236+$IP236*$EO236</f>
        <v>#N/A</v>
      </c>
      <c r="HX236" s="218" t="e">
        <f t="shared" ca="1" si="909"/>
        <v>#N/A</v>
      </c>
      <c r="HY236" s="219" t="e">
        <f ca="1">IF(Control!$C$114=1, $EB236*$FS236, 0)</f>
        <v>#N/A</v>
      </c>
      <c r="HZ236" s="91" t="e">
        <f t="shared" ca="1" si="754"/>
        <v>#N/A</v>
      </c>
      <c r="IA236" s="220" t="e">
        <f ca="1">Control!$C$153*$HO236</f>
        <v>#N/A</v>
      </c>
      <c r="IB236" s="218" t="e">
        <f t="shared" ca="1" si="755"/>
        <v>#N/A</v>
      </c>
      <c r="IC236" s="220" t="e">
        <f ca="1">Control!$C$153*$HT236</f>
        <v>#N/A</v>
      </c>
      <c r="ID236" s="218" t="e">
        <f t="shared" ca="1" si="756"/>
        <v>#N/A</v>
      </c>
      <c r="IE236" s="221" t="e">
        <f ca="1">($EB236*Control!$C$159+$EF236*Control!$C$160)/(IF($GZ236&lt;&gt;0,$GZ236,1))</f>
        <v>#N/A</v>
      </c>
      <c r="IF236" s="216" t="e">
        <f t="shared" ca="1" si="757"/>
        <v>#N/A</v>
      </c>
      <c r="IG236" s="91">
        <f ca="1">IF(OR(Control!$B$198=$AH236,Control!$B$199=$AH236, Control!$B$200=$AH236, Control!$B$201=$AH236, Control!$B$202=$AH236, Control!$B$203=$AH236, Control!$B$204=$AH236, Control!$B$205=$AH236, Control!$B$206=$AH236, Control!$B$207=$AH236), 1, 0)</f>
        <v>0</v>
      </c>
      <c r="IH236" s="91">
        <f ca="1">IF($IG236=0,0, VLOOKUP($AH236,Control!$B$198:$C$207,2))</f>
        <v>0</v>
      </c>
      <c r="II236" s="222">
        <f t="shared" ca="1" si="873"/>
        <v>0</v>
      </c>
      <c r="IJ236" s="91">
        <f>Control!$C$121</f>
        <v>0.7</v>
      </c>
      <c r="IK236" s="218">
        <f t="shared" ca="1" si="758"/>
        <v>0</v>
      </c>
      <c r="IL236" s="217" t="e">
        <f t="shared" ca="1" si="910"/>
        <v>#N/A</v>
      </c>
      <c r="IM236" s="223" t="e">
        <f ca="1">IF(AND(Control!$C$114=1,$KH236&lt;1),$EB236*Control!$C$148*(1-$KH236), 0)</f>
        <v>#N/A</v>
      </c>
      <c r="IN236" s="217" t="e">
        <f t="shared" ca="1" si="759"/>
        <v>#DIV/0!</v>
      </c>
      <c r="IO236" s="91" t="e">
        <f ca="1">MAX(0,$IL236-$EF236*Control!$C$160)</f>
        <v>#N/A</v>
      </c>
      <c r="IP236" s="220" t="e">
        <f t="shared" ca="1" si="760"/>
        <v>#N/A</v>
      </c>
      <c r="IQ236" s="217" t="e">
        <f t="shared" ca="1" si="874"/>
        <v>#N/A</v>
      </c>
      <c r="IR236" s="218" t="e">
        <f t="shared" ca="1" si="761"/>
        <v>#N/A</v>
      </c>
      <c r="IS236" s="217" t="e">
        <f ca="1">Control!$C$159*MAX(0,$FD236-$EN236)</f>
        <v>#N/A</v>
      </c>
      <c r="IT236" s="217" t="e">
        <f t="shared" ca="1" si="911"/>
        <v>#N/A</v>
      </c>
      <c r="IU236" s="217" t="e">
        <f t="shared" ca="1" si="875"/>
        <v>#N/A</v>
      </c>
      <c r="IV236" s="217" t="e">
        <f t="shared" ca="1" si="912"/>
        <v>#N/A</v>
      </c>
      <c r="IW236" s="217" t="e">
        <f ca="1">IF(OR($AW236=1,AND($AW236=0, Control!$B$18=1,$EN236&lt;&gt;0)), $IQ236-$IU236, $IQ236)</f>
        <v>#N/A</v>
      </c>
      <c r="IX236" s="218" t="e">
        <f t="shared" ca="1" si="762"/>
        <v>#N/A</v>
      </c>
      <c r="IY236" s="218" t="e">
        <f ca="1">MAX(0,$IQ236-$EB236*Control!$C$159)</f>
        <v>#N/A</v>
      </c>
      <c r="IZ236" s="218" t="e">
        <f t="shared" ca="1" si="763"/>
        <v>#N/A</v>
      </c>
      <c r="JA236" s="216" t="e">
        <f t="shared" ca="1" si="764"/>
        <v>#N/A</v>
      </c>
      <c r="JB236" s="217" t="e">
        <f t="shared" ca="1" si="765"/>
        <v>#N/A</v>
      </c>
      <c r="JC236" s="222" t="e">
        <f ca="1">MAX(Control!$C$157*$EK236-$JT236, 0)/Control!$C$162</f>
        <v>#N/A</v>
      </c>
      <c r="JD236" s="218" t="e">
        <f t="shared" ca="1" si="766"/>
        <v>#N/A</v>
      </c>
      <c r="JE236" s="218" t="e">
        <f t="shared" ca="1" si="767"/>
        <v>#N/A</v>
      </c>
      <c r="JF236" s="218" t="e">
        <f t="shared" ca="1" si="876"/>
        <v>#N/A</v>
      </c>
      <c r="JG236" s="218" t="e">
        <f t="shared" ca="1" si="768"/>
        <v>#N/A</v>
      </c>
      <c r="JH236" s="217" t="e">
        <f t="shared" ca="1" si="877"/>
        <v>#N/A</v>
      </c>
      <c r="JI236" s="217" t="e">
        <f t="shared" ca="1" si="878"/>
        <v>#N/A</v>
      </c>
      <c r="JJ236" s="217" t="e">
        <f t="shared" ca="1" si="913"/>
        <v>#N/A</v>
      </c>
      <c r="JK236" s="217" t="e">
        <f ca="1">IF(Control!$C$114=1,IF(Control!$B$24=0,MAX(0,$JI236)*$GN236/Control!$C$64,(MAX(0,MIN($JI236,$JJ236*$GN236/Control!$C$64),0))))</f>
        <v>#N/A</v>
      </c>
      <c r="JL236" s="217" t="e">
        <f ca="1">$IK236/Control!$C$64-$JK236+$HQ236</f>
        <v>#N/A</v>
      </c>
      <c r="JM236" s="217" t="e">
        <f ca="1">IF(Control!$C$114=1,($JB236/(IF($JI236&lt;&gt;0,$JI236,1)))*$JK236,0)</f>
        <v>#N/A</v>
      </c>
      <c r="JN236" s="217" t="e">
        <f ca="1">IF(Control!$C$114=1,($JG236/(IF($JI236&lt;&gt;0,$JI236,1)))*$JK236, 0)</f>
        <v>#N/A</v>
      </c>
      <c r="JO236" s="218" t="e">
        <f t="shared" ca="1" si="769"/>
        <v>#N/A</v>
      </c>
      <c r="JP236" s="218" t="e">
        <f ca="1">MIN(($IY236+$IO236)*Control!$C$151, $JF236-$EH236*Control!$C$161)</f>
        <v>#N/A</v>
      </c>
      <c r="JQ236" s="218" t="e">
        <f t="shared" ca="1" si="770"/>
        <v>#N/A</v>
      </c>
      <c r="JR236" s="217" t="e">
        <f ca="1">IF($CP236-Control!$C$150&lt;0, 0, $JQ236/Control!$C$162)</f>
        <v>#N/A</v>
      </c>
      <c r="JS236" s="218" t="e">
        <f t="shared" ca="1" si="771"/>
        <v>#N/A</v>
      </c>
      <c r="JT236" s="218" t="e">
        <f t="shared" ca="1" si="879"/>
        <v>#N/A</v>
      </c>
      <c r="JU236" s="218" t="e">
        <f t="shared" ca="1" si="772"/>
        <v>#N/A</v>
      </c>
      <c r="JV236" s="218" t="e">
        <f t="shared" ca="1" si="773"/>
        <v>#N/A</v>
      </c>
      <c r="JW236" s="216" t="e">
        <f t="shared" ca="1" si="774"/>
        <v>#N/A</v>
      </c>
      <c r="JX236" s="91" t="e">
        <f t="shared" ca="1" si="775"/>
        <v>#N/A</v>
      </c>
      <c r="JY236" s="218" t="e">
        <f t="shared" ca="1" si="776"/>
        <v>#N/A</v>
      </c>
      <c r="JZ236" s="217" t="e">
        <f ca="1">IF(Control!$C$114=1,($IZ236/(IF($JI236&lt;&gt;0,$JI236,1)))*$JK236, 0)</f>
        <v>#N/A</v>
      </c>
      <c r="KA236" s="218" t="e">
        <f t="shared" ca="1" si="914"/>
        <v>#N/A</v>
      </c>
      <c r="KB236" s="218" t="e">
        <f t="shared" ca="1" si="880"/>
        <v>#N/A</v>
      </c>
      <c r="KC236" s="218" t="e">
        <f t="shared" ca="1" si="777"/>
        <v>#N/A</v>
      </c>
      <c r="KD236" s="218" t="e">
        <f t="shared" ca="1" si="778"/>
        <v>#N/A</v>
      </c>
      <c r="KE236" s="218" t="e">
        <f t="shared" ca="1" si="779"/>
        <v>#N/A</v>
      </c>
      <c r="KF236" s="218" t="e">
        <f t="shared" ca="1" si="780"/>
        <v>#N/A</v>
      </c>
      <c r="KG236" s="216" t="e">
        <f t="shared" ca="1" si="781"/>
        <v>#N/A</v>
      </c>
      <c r="KH236" s="221" t="e">
        <f ca="1">IF(Control!$B$24=0,1,MAX(0.001,MIN(1,IF(($IF236-$IE236)&lt;&gt;0,($KG236-$IE236)/($IF236-$IE236),1))))</f>
        <v>#N/A</v>
      </c>
      <c r="KI236" s="222" t="e">
        <f ca="1">IF(Control!$C$114=1, $KI235+ $KH235, 0)</f>
        <v>#N/A</v>
      </c>
      <c r="KJ236" s="217" t="e">
        <f t="shared" ca="1" si="782"/>
        <v>#N/A</v>
      </c>
      <c r="KK236" s="218" t="e">
        <f t="shared" ca="1" si="783"/>
        <v>#N/A</v>
      </c>
      <c r="KL236" s="274" t="e">
        <f ca="1">IF(Control!$B$26=3,4000000000*EXP(-8400/($G236+273)),IF(Control!$B$26=4,4000000000*EXP(-8400/($G236+273))*($KT236),0))</f>
        <v>#DIV/0!</v>
      </c>
      <c r="KM236" s="274" t="e">
        <f ca="1">IF(Control!$B$26=3,5600000000000*EXP(-9800/($G236+273)),IF(Control!$B$26=4,5600000000000*EXP(-9800/($G236+273))*$KT236,0))</f>
        <v>#DIV/0!</v>
      </c>
      <c r="KN236" s="454" t="e">
        <f t="shared" ca="1" si="881"/>
        <v>#DIV/0!</v>
      </c>
      <c r="KO236" s="274" t="e">
        <f t="shared" ca="1" si="882"/>
        <v>#DIV/0!</v>
      </c>
      <c r="KP236" s="454" t="e">
        <f t="shared" ca="1" si="784"/>
        <v>#DIV/0!</v>
      </c>
      <c r="KQ236" s="454" t="e">
        <f t="shared" ca="1" si="785"/>
        <v>#DIV/0!</v>
      </c>
      <c r="KR236" s="454" t="e">
        <f t="shared" ca="1" si="786"/>
        <v>#DIV/0!</v>
      </c>
      <c r="KS236" s="454" t="e">
        <f t="shared" ca="1" si="787"/>
        <v>#DIV/0!</v>
      </c>
      <c r="KT236" s="455" t="e">
        <f t="shared" ca="1" si="788"/>
        <v>#DIV/0!</v>
      </c>
      <c r="KU236" s="456" t="e">
        <f ca="1">IF($CP236-Control!$C$149&lt;0, IF($NT236-0.01&lt;0,0,1),0)</f>
        <v>#N/A</v>
      </c>
      <c r="KV236" s="456" t="e">
        <f ca="1">IF(Control!$C$114=1,MAX(0,MIN(Control!$C$125*$KW236*$GN236,$KW236)))</f>
        <v>#DIV/0!</v>
      </c>
      <c r="KW236" s="456" t="e">
        <f t="shared" ca="1" si="915"/>
        <v>#DIV/0!</v>
      </c>
      <c r="KX236" s="457" t="e">
        <f ca="1">IF($CP236-Control!$C$149&lt;0, IF($MR236-$OM236&lt;0,0,1),0)</f>
        <v>#N/A</v>
      </c>
      <c r="KY236" s="167">
        <f t="shared" ca="1" si="883"/>
        <v>232</v>
      </c>
      <c r="KZ236" s="168">
        <f ca="1">1370*(1+0.033*COS(2*Control!$C$138*$AH236/365))</f>
        <v>1340.2339821451576</v>
      </c>
      <c r="LA236" s="169">
        <f t="shared" ca="1" si="884"/>
        <v>0.97827274770496442</v>
      </c>
      <c r="LB236" s="169">
        <f t="shared" ca="1" si="885"/>
        <v>0.20954334296149085</v>
      </c>
      <c r="LC236" s="169">
        <f ca="1">ACOS(-TAN((2*Control!$B$8/360))*TAN(Calculations!$LB236))</f>
        <v>1.6340432148187634</v>
      </c>
      <c r="LD236" s="169">
        <f ca="1">((24*60)/PI())*0.082*$LA236*(($LC236*SIN(Control!$B$8*2*PI()/360))*SIN($LB236)+COS(Control!$B$8*2*PI()/360)*COS($LB236)*SIN($LC236))</f>
        <v>31.946621436127835</v>
      </c>
      <c r="LE236" s="170">
        <f t="shared" ca="1" si="789"/>
        <v>32.437662606414854</v>
      </c>
      <c r="LF236" s="170">
        <f ca="1">SIN(Control!$C$139*Control!$B$8)*SIN($HD236)</f>
        <v>0.16298333909285515</v>
      </c>
      <c r="LG236" s="170">
        <f ca="1">COS(Control!$C$139*Control!$B$8)*COS($HD236)</f>
        <v>0.60234752455697349</v>
      </c>
      <c r="LH236" s="170">
        <f ca="1">12*(1+2*ASIN(MAX(-1,MIN(1,$LF236/$LG236))/Control!$C$138))</f>
        <v>14.069640137422549</v>
      </c>
      <c r="LI236" s="170">
        <f ca="1">12*(1+2*ASIN(MAX(-1,MIN(1,(-SIN(-4*Control!$C$139)+$LF236)/$LG236))/Control!$C$138))</f>
        <v>14.959274444378144</v>
      </c>
      <c r="LJ236" s="168">
        <f ca="1">3600*($LH236*$LF236+24*$LG236*SQRT(1-$LK236*$LK236)/Control!$C$138)</f>
        <v>24202.984731438937</v>
      </c>
      <c r="LK236" s="170">
        <f t="shared" ca="1" si="790"/>
        <v>0.27058024221603527</v>
      </c>
      <c r="LL236" s="170">
        <f t="shared" ca="1" si="791"/>
        <v>0</v>
      </c>
      <c r="LM236" s="171">
        <f ca="1">Control!$C$145*$AB236</f>
        <v>6.6660906138995932E-2</v>
      </c>
      <c r="LN236" s="170">
        <f t="shared" ca="1" si="886"/>
        <v>0.54</v>
      </c>
      <c r="LO236" s="170">
        <f t="shared" ca="1" si="792"/>
        <v>0</v>
      </c>
      <c r="LP236" s="170">
        <f ca="1">Control!$C$140*((($D236+273.16)^4+($E236+273.16)^4)/2)*(0.34-0.14*SQRT($Y236))*(1.35*$AQ236/(0.75*$LD236)-0.35)</f>
        <v>-3.2464704755046001</v>
      </c>
      <c r="LQ236" s="170">
        <f ca="1">Control!$C$140*($G236+273)^4*(0.56-0.079*SQRT($Y236*10))*(0.1+0.9*$LO236)</f>
        <v>1.5241745131704001</v>
      </c>
      <c r="LR236" s="170">
        <f ca="1">$AQ236*(1-Control!$C$142)-$LQ236</f>
        <v>-1.5241745131704001</v>
      </c>
      <c r="LS236" s="170">
        <f ca="1">$AQ236*(1-Control!$C$143)-$LQ236</f>
        <v>-1.5241745131704001</v>
      </c>
      <c r="LT236" s="170">
        <f ca="1">$AQ236*(1-Control!$C$144)-$LQ236</f>
        <v>-1.5241745131704001</v>
      </c>
      <c r="LU236" s="169">
        <f ca="1">(1-Control!$C$144)*AQ236-LP236</f>
        <v>3.2464704755046001</v>
      </c>
      <c r="LV236" s="172">
        <f t="shared" ca="1" si="793"/>
        <v>0.79430000000000012</v>
      </c>
      <c r="LW236" s="170">
        <f t="shared" ca="1" si="794"/>
        <v>1.5886000000000002</v>
      </c>
      <c r="LX236" s="170">
        <f ca="1">($AC236*($LR236/Control!$C$141)+$LM236*$LV236)/($AC236+$LM236)</f>
        <v>0.23530094218323697</v>
      </c>
      <c r="LY236" s="170">
        <f ca="1">($AC236*($LS236/Control!$C$141)+$LM236*$LV236)/($AC236+$LM236)</f>
        <v>0.23530094218323697</v>
      </c>
      <c r="LZ236" s="170">
        <f t="shared" ca="1" si="795"/>
        <v>0.23530094218323697</v>
      </c>
      <c r="MA236" s="170">
        <f t="shared" ca="1" si="796"/>
        <v>0.23530094218323697</v>
      </c>
      <c r="MB236" s="170" t="e">
        <f t="shared" ca="1" si="797"/>
        <v>#N/A</v>
      </c>
      <c r="MC236" s="170">
        <f t="shared" ca="1" si="887"/>
        <v>0.6018</v>
      </c>
      <c r="MD236" s="170">
        <f t="shared" ca="1" si="798"/>
        <v>0.52989392535414004</v>
      </c>
      <c r="ME236" s="170">
        <f ca="1">($AC236*($LT236/Control!$C$141)+$LM236*$LW236)/($AC236+$LM236)</f>
        <v>0.71612369323045078</v>
      </c>
      <c r="MF236" s="170" t="e">
        <f ca="1">IF(Control!$B$16&gt;=1000,0.92,IF(AND(720&lt;=Control!$B$16,1000&gt;Control!$B$16),(0.95+(Control!$B$16-720)*((0.92-0.95)/(1000-720))),IF(AND(360&lt;=Control!$B$16,720&gt;Control!$B$16),(1+(Control!$B$16-360)*((0.95-1)/(720-360))),IF(AND(40&lt;=Control!$B$16,360&gt;Control!$B$16),(1.05+(Control!$B$16-40)*((1.05-1)/(360-40)))))))</f>
        <v>#N/A</v>
      </c>
      <c r="MG236" s="170">
        <f t="shared" ca="1" si="799"/>
        <v>0.71612369323045078</v>
      </c>
      <c r="MH236" s="170" t="e">
        <f t="shared" ca="1" si="925"/>
        <v>#N/A</v>
      </c>
      <c r="MI236" s="170" t="e">
        <f t="shared" ca="1" si="925"/>
        <v>#N/A</v>
      </c>
      <c r="MJ236" s="170" t="e">
        <f ca="1">MAX(0.0001, Control!$C$132*$MI236*$DL236)</f>
        <v>#N/A</v>
      </c>
      <c r="MK236" s="170">
        <f ca="1">1/(0.76+1.5*($MG236/10))-(5-Control!$C$110)*0.1</f>
        <v>1.002845988140797</v>
      </c>
      <c r="ML236" s="173">
        <f ca="1">IF(Control!$C$110&lt;3,$MK236+($MG236-0.6)/(Control!$C$110*(Control!$C$110+3)), MAX(0.1, MIN(0.95,$MK236)))</f>
        <v>0.95</v>
      </c>
      <c r="MM236" s="173">
        <f ca="1">IF(Control!$C$110&lt;3,$MK236+(($MI236/10)-0.6)/(Control!$C$110*(Control!$C$110+3)), MAX(0.1, MIN(0.95,$MK236)))</f>
        <v>0.95</v>
      </c>
      <c r="MN236" s="173">
        <f ca="1">(1-$MM236)*(Control!$C$128-Control!$C$127)+Control!$C$127</f>
        <v>0.16</v>
      </c>
      <c r="MO236" s="170" t="e">
        <f ca="1">MAX(0,MIN(1,($MS236-Control!$C$127)/($MN236-Control!$C$127)))</f>
        <v>#DIV/0!</v>
      </c>
      <c r="MP236" s="173" t="e">
        <f ca="1">1/(0.76+1.5*$MI236)-(5-Control!$C$110)*0.1</f>
        <v>#N/A</v>
      </c>
      <c r="MQ236" s="172" t="e">
        <f t="shared" ca="1" si="916"/>
        <v>#DIV/0!</v>
      </c>
      <c r="MR236" s="168" t="e">
        <f t="shared" ca="1" si="888"/>
        <v>#DIV/0!</v>
      </c>
      <c r="MS236" s="173" t="e">
        <f ca="1">MAX(Control!$C$127, MIN(Control!$C$135, $MR236/MAX(0.0001,$CY236)))</f>
        <v>#DIV/0!</v>
      </c>
      <c r="MT236" s="168" t="e">
        <f ca="1">(Control!$C$128-$MS236)*Control!$C$74</f>
        <v>#DIV/0!</v>
      </c>
      <c r="MU236" s="168" t="e">
        <f ca="1">(Control!$C$135-$MS236)*Control!$C$74</f>
        <v>#DIV/0!</v>
      </c>
      <c r="MV236" s="168" t="e">
        <f t="shared" ca="1" si="889"/>
        <v>#DIV/0!</v>
      </c>
      <c r="MW236" s="168" t="e">
        <f t="shared" ca="1" si="890"/>
        <v>#DIV/0!</v>
      </c>
      <c r="MX236" s="171" t="e">
        <f ca="1">MAX(Control!$C$127, MIN(Control!$C$135, $MW236/MAX(0.0001,Control!$C$119-$CY236)))</f>
        <v>#DIV/0!</v>
      </c>
      <c r="MY236" s="54" t="e">
        <f ca="1">IF(Control!$C$114=1, $CX236*$MX236, 0)</f>
        <v>#DIV/0!</v>
      </c>
      <c r="MZ236" s="54" t="e">
        <f t="shared" ca="1" si="891"/>
        <v>#N/A</v>
      </c>
      <c r="NA236" s="168" t="e">
        <f ca="1">(Control!$C$128-$MX236)*(Control!$C$119-Control!$C$74)</f>
        <v>#DIV/0!</v>
      </c>
      <c r="NB236" s="168" t="e">
        <f ca="1">(Control!$C$135-$MX236)*(Control!$C$119-Control!$C$74)</f>
        <v>#DIV/0!</v>
      </c>
      <c r="NC236" s="174" t="e">
        <f t="shared" ca="1" si="892"/>
        <v>#DIV/0!</v>
      </c>
      <c r="ND236" s="54">
        <f ca="1">IF(Control!$C$58=2, IF(OR(Control!$B$218=$AH236,Control!$B$219=$AH236, Control!$B$220=$AH236, Control!$B$221=$AH236, Control!$B$222=$AH236, Control!$B$223=$AH236, Control!$B$224=$AH236, Control!$B$225=$AH236, Control!$B$226=$AH236, Control!$B$227=$AH236, Control!$B$228=$AH236), 1, 0), 0)</f>
        <v>0</v>
      </c>
      <c r="NE236" s="54">
        <f ca="1">IF($ND236=0,0, VLOOKUP($AH236,Control!$B$218:$C$228,2))</f>
        <v>0</v>
      </c>
      <c r="NF236" s="168" t="e">
        <f ca="1">$CY236*(Control!$C$128-Control!$C$127)</f>
        <v>#N/A</v>
      </c>
      <c r="NG236" s="54" t="e">
        <f ca="1">IF(Control!$C$58=2, $NI235-$NJ235, 0)</f>
        <v>#DIV/0!</v>
      </c>
      <c r="NH236" s="54" t="e">
        <f ca="1">IF(AND(Control!$C$58=1, $MS235&lt;= ($MN235+0.02), $I235&lt;10), 0, IF(Control!$C$58=2, $NG235, 0))</f>
        <v>#DIV/0!</v>
      </c>
      <c r="NI236" s="54" t="e">
        <f ca="1">IF(Control!$C$58=2, $NE236+$NH236,0)</f>
        <v>#DIV/0!</v>
      </c>
      <c r="NJ236" s="54" t="e">
        <f ca="1">IF(AND(Control!$C$58=1, $MS236&lt;= ($MN236+0.02), $I236&lt;10), MAX(0, MIN(10, 0.7*($NF236-$MV236))), IF(Control!$C$58=2, MIN(10,$NI236),0))</f>
        <v>#DIV/0!</v>
      </c>
      <c r="NK236" s="54" t="e">
        <f t="shared" ca="1" si="800"/>
        <v>#DIV/0!</v>
      </c>
      <c r="NL236" s="173" t="e">
        <f ca="1">(1-Control!$C$73)*$I236+$NJ236</f>
        <v>#DIV/0!</v>
      </c>
      <c r="NM236" s="172" t="e">
        <f ca="1">IF($NL236&lt;0.5, $MB236* MAX(0, MIN(1, (SQRT($NC236)-SQRT($NC236-1))*Control!$C$71)),0)</f>
        <v>#DIV/0!</v>
      </c>
      <c r="NN236" s="170" t="e">
        <f ca="1">IF($NL236&gt;=5, $MB236, MAX(0,MIN($MB236, $NM236+$NL236,($MS236-Control!$C$129))))</f>
        <v>#DIV/0!</v>
      </c>
      <c r="NO236" s="54">
        <f>IF(Control!$C$133&lt;&gt;1, Control!$C$135-Control!$C$131, 0)</f>
        <v>0.38</v>
      </c>
      <c r="NP236" s="54" t="e">
        <f t="shared" ca="1" si="801"/>
        <v>#DIV/0!</v>
      </c>
      <c r="NQ236" s="173" t="e">
        <f ca="1">MAX(0,MIN(1,(Control!$C$135-$MS236)/(Control!$C$135-$NO236)))</f>
        <v>#DIV/0!</v>
      </c>
      <c r="NR236" s="170" t="e">
        <f ca="1">IF(Control!$C$133&lt;&gt;1, $NQ236+((1-$NP236/4)*(1-$NQ236)),1)</f>
        <v>#DIV/0!</v>
      </c>
      <c r="NS236" s="170" t="e">
        <f ca="1">IF(Control!$B$31=0,$MJ236,MAX(0,MIN($MV236,$MO236*$NR236*$MJ236)))</f>
        <v>#DIV/0!</v>
      </c>
      <c r="NT236" s="170" t="e">
        <f t="shared" ca="1" si="917"/>
        <v>#DIV/0!</v>
      </c>
      <c r="NU236" s="170" t="e">
        <f t="shared" ca="1" si="893"/>
        <v>#N/A</v>
      </c>
      <c r="NV236" s="170" t="e">
        <f t="shared" ca="1" si="802"/>
        <v>#N/A</v>
      </c>
      <c r="NW236" s="175" t="e">
        <f t="shared" ca="1" si="803"/>
        <v>#DIV/0!</v>
      </c>
      <c r="NX236" s="170" t="e">
        <f ca="1">MIN(Control!$C$72+$MU236, $NW236)</f>
        <v>#DIV/0!</v>
      </c>
      <c r="NY236" s="170" t="e">
        <f ca="1">IF($MT236&lt;=$NX236,MIN(Control!$C$72+$NB236,$NX236-$MT236),0)</f>
        <v>#DIV/0!</v>
      </c>
      <c r="NZ236" s="54" t="e">
        <f ca="1">IF(Control!$C$114=1,  $CX236*($MX236-Control!$C$127), 0)</f>
        <v>#DIV/0!</v>
      </c>
      <c r="OA236" s="170" t="e">
        <f t="shared" ca="1" si="804"/>
        <v>#DIV/0!</v>
      </c>
      <c r="OB236" s="170" t="e">
        <f ca="1">IF($NA236 &lt;=$NY236, MIN(Control!$C$72, $NY236-$NA236), 0)</f>
        <v>#DIV/0!</v>
      </c>
      <c r="OC236" s="168" t="e">
        <f t="shared" ca="1" si="805"/>
        <v>#DIV/0!</v>
      </c>
      <c r="OD236" s="168" t="e">
        <f t="shared" ca="1" si="894"/>
        <v>#DIV/0!</v>
      </c>
      <c r="OE236" s="170">
        <f ca="1">Control!$C$73*$I236</f>
        <v>0</v>
      </c>
      <c r="OF236" s="176" t="e">
        <f t="shared" ca="1" si="806"/>
        <v>#DIV/0!</v>
      </c>
      <c r="OG236" s="168" t="e">
        <f t="shared" ca="1" si="807"/>
        <v>#DIV/0!</v>
      </c>
      <c r="OH236" s="168" t="e">
        <f t="shared" ca="1" si="808"/>
        <v>#DIV/0!</v>
      </c>
      <c r="OI236" s="168" t="e">
        <f t="shared" ca="1" si="809"/>
        <v>#DIV/0!</v>
      </c>
      <c r="OJ236" s="168" t="e">
        <f t="shared" ca="1" si="810"/>
        <v>#DIV/0!</v>
      </c>
      <c r="OK236" s="204" t="e">
        <f t="shared" ca="1" si="811"/>
        <v>#DIV/0!</v>
      </c>
      <c r="OL236" s="177">
        <f>Control!$C$127</f>
        <v>0.15</v>
      </c>
      <c r="OM236" s="182" t="e">
        <f t="shared" ca="1" si="812"/>
        <v>#N/A</v>
      </c>
      <c r="ON236" s="177">
        <f>Control!$C$128</f>
        <v>0.35</v>
      </c>
      <c r="OO236" s="182" t="e">
        <f t="shared" ca="1" si="813"/>
        <v>#N/A</v>
      </c>
      <c r="OP236" s="138">
        <f t="shared" ca="1" si="895"/>
        <v>0</v>
      </c>
      <c r="OQ236" s="138" t="e">
        <f t="shared" ca="1" si="918"/>
        <v>#DIV/0!</v>
      </c>
      <c r="OR236" s="138" t="e">
        <f t="shared" ca="1" si="896"/>
        <v>#DIV/0!</v>
      </c>
      <c r="OS236" s="137" t="e">
        <f t="shared" ca="1" si="919"/>
        <v>#DIV/0!</v>
      </c>
      <c r="OT236" s="139" t="e">
        <f t="shared" ca="1" si="920"/>
        <v>#DIV/0!</v>
      </c>
      <c r="OU236" s="138" t="e">
        <f t="shared" ca="1" si="921"/>
        <v>#N/A</v>
      </c>
      <c r="OV236" s="138" t="e">
        <f t="shared" ca="1" si="922"/>
        <v>#DIV/0!</v>
      </c>
      <c r="OW236" s="138" t="e">
        <f t="shared" ca="1" si="897"/>
        <v>#DIV/0!</v>
      </c>
      <c r="OX236" s="138" t="e">
        <f t="shared" ca="1" si="898"/>
        <v>#DIV/0!</v>
      </c>
      <c r="OY236" s="138" t="e">
        <f t="shared" ca="1" si="899"/>
        <v>#DIV/0!</v>
      </c>
      <c r="OZ236" s="138" t="e">
        <f t="shared" ca="1" si="814"/>
        <v>#DIV/0!</v>
      </c>
      <c r="PA236" s="138" t="e">
        <f t="shared" ca="1" si="815"/>
        <v>#DIV/0!</v>
      </c>
      <c r="PB236" s="55">
        <f>IF(Control!$C$61="T", IF(Control!$C$65="F", IF($AH$6-Control!$C$60&lt;0,0,1), IF(365+$AH$6-Control!$C$60&lt;0,0,1)),0)</f>
        <v>0</v>
      </c>
      <c r="PC236" s="55">
        <f ca="1">IF(Control!$C$65="F", IF($AH$6-$HF236&lt;0,0,1), IF(365+$AH$6-$HF236&lt;0,0,1))</f>
        <v>1</v>
      </c>
      <c r="PD236" s="444">
        <f>Control!$C$118</f>
        <v>1500</v>
      </c>
      <c r="PE236" s="180" t="e">
        <f t="shared" ca="1" si="816"/>
        <v>#N/A</v>
      </c>
      <c r="PF236" s="445">
        <f t="shared" ca="1" si="900"/>
        <v>0.71612369323045078</v>
      </c>
      <c r="PT236" s="186"/>
      <c r="PU236" s="186"/>
      <c r="PV236" s="94"/>
      <c r="PW236" s="94"/>
      <c r="PX236" s="94"/>
      <c r="PY236" s="94"/>
      <c r="PZ236" s="94"/>
      <c r="QA236" s="94"/>
      <c r="QB236" s="94"/>
      <c r="QC236" s="94"/>
      <c r="QD236" s="94"/>
      <c r="QE236" s="94"/>
      <c r="QF236" s="94"/>
      <c r="QG236" s="94"/>
      <c r="QH236" s="94"/>
      <c r="QI236" s="94"/>
      <c r="QJ236" s="94"/>
      <c r="QK236" s="94"/>
      <c r="QL236" s="94"/>
      <c r="QM236" s="94"/>
      <c r="QN236" s="94"/>
      <c r="QO236" s="94"/>
      <c r="QP236" s="94"/>
    </row>
    <row r="237" spans="1:458" s="2" customFormat="1" x14ac:dyDescent="0.2">
      <c r="A237" s="395">
        <v>20</v>
      </c>
      <c r="B237" s="396">
        <v>8</v>
      </c>
      <c r="C237" s="387">
        <f ca="1">Weather_data!$B236</f>
        <v>0</v>
      </c>
      <c r="D237" s="388">
        <f ca="1">Weather_data!$F236</f>
        <v>0</v>
      </c>
      <c r="E237" s="388">
        <f ca="1">Weather_data!$E236</f>
        <v>0</v>
      </c>
      <c r="F237" s="388">
        <f t="shared" ca="1" si="817"/>
        <v>0</v>
      </c>
      <c r="G237" s="388">
        <f ca="1">AVERAGE($D237:$E237)+Control!$B$9</f>
        <v>0</v>
      </c>
      <c r="H237" s="388">
        <f ca="1">Weather_data!$G236</f>
        <v>0</v>
      </c>
      <c r="I237" s="388">
        <f ca="1">Weather_data!$I236</f>
        <v>0</v>
      </c>
      <c r="J237" s="388">
        <f ca="1">Weather_data!$H236</f>
        <v>0</v>
      </c>
      <c r="K237" s="389">
        <f ca="1">Weather_data!$D236</f>
        <v>0</v>
      </c>
      <c r="L237" s="388" t="e">
        <f t="shared" ca="1" si="818"/>
        <v>#N/A</v>
      </c>
      <c r="M237" s="388" t="e">
        <f t="shared" ca="1" si="696"/>
        <v>#N/A</v>
      </c>
      <c r="N237" s="388">
        <f t="shared" ca="1" si="697"/>
        <v>-1.3458283881263069E-11</v>
      </c>
      <c r="O237" s="388">
        <f t="shared" ca="1" si="819"/>
        <v>1.345828388126307E-10</v>
      </c>
      <c r="P237" s="390">
        <v>3</v>
      </c>
      <c r="Q237" s="388">
        <f ca="1">MAX($G237-Control!$C$107,0)</f>
        <v>0</v>
      </c>
      <c r="R237" s="388">
        <f t="shared" ca="1" si="820"/>
        <v>0</v>
      </c>
      <c r="S237" s="388">
        <f t="shared" ca="1" si="698"/>
        <v>0</v>
      </c>
      <c r="T237" s="388">
        <f t="shared" ca="1" si="699"/>
        <v>0</v>
      </c>
      <c r="U237" s="59">
        <f t="shared" ca="1" si="700"/>
        <v>0</v>
      </c>
      <c r="V237" s="391">
        <f ca="1">MAX(0,MIN(Control!$C$100-Control!$C$99,$G237-Control!$C$99)*Control!$C$63)</f>
        <v>0</v>
      </c>
      <c r="W237" s="388">
        <f t="shared" ca="1" si="821"/>
        <v>0</v>
      </c>
      <c r="X237" s="388">
        <f t="shared" ca="1" si="822"/>
        <v>0.6110000000000001</v>
      </c>
      <c r="Y237" s="388">
        <f t="shared" ca="1" si="701"/>
        <v>0</v>
      </c>
      <c r="Z237" s="388">
        <f t="shared" ca="1" si="823"/>
        <v>0.61058800000000002</v>
      </c>
      <c r="AA237" s="388">
        <f t="shared" ca="1" si="702"/>
        <v>0.6018</v>
      </c>
      <c r="AB237" s="388">
        <f ca="1">101.3*EXP(-0.034*Control!$C$66/($G237+273))</f>
        <v>100.69623283836242</v>
      </c>
      <c r="AC237" s="392">
        <f t="shared" ca="1" si="703"/>
        <v>4.3460251046025113E-2</v>
      </c>
      <c r="AD237" s="392">
        <f t="shared" ca="1" si="704"/>
        <v>4.4450382862832649E-2</v>
      </c>
      <c r="AE237" s="388">
        <f t="shared" ca="1" si="705"/>
        <v>0</v>
      </c>
      <c r="AF237" s="388">
        <f ca="1">MAX(0,$G237-Control!$C$92)</f>
        <v>0</v>
      </c>
      <c r="AG237" s="393">
        <f t="shared" ca="1" si="706"/>
        <v>233</v>
      </c>
      <c r="AH237" s="389">
        <f t="shared" ca="1" si="707"/>
        <v>233</v>
      </c>
      <c r="AI237" s="388">
        <f t="shared" ca="1" si="824"/>
        <v>0.20232315992704361</v>
      </c>
      <c r="AJ237" s="388">
        <f ca="1">IF(Control!$C$60&lt;=0,$HH237,$HI237)</f>
        <v>1</v>
      </c>
      <c r="AK237" s="388">
        <f t="shared" ca="1" si="708"/>
        <v>2.6337735671191145</v>
      </c>
      <c r="AL237" s="388">
        <f t="shared" ca="1" si="709"/>
        <v>-1.805413457622862E-19</v>
      </c>
      <c r="AM237" s="388">
        <f t="shared" ca="1" si="710"/>
        <v>2.6337735671191145</v>
      </c>
      <c r="AN237" s="388">
        <f t="shared" ca="1" si="711"/>
        <v>0.19466643690091953</v>
      </c>
      <c r="AO237" s="388">
        <f ca="1">-0.10453/COS(Control!$B$8*PI()/180)*COS(AN237)</f>
        <v>-0.1665780098785026</v>
      </c>
      <c r="AP237" s="388">
        <f ca="1">ACOS(AO237-TAN(Control!$B$8*PI()/180)*TAN(AN237))</f>
        <v>2.0030689561007224</v>
      </c>
      <c r="AQ237" s="388">
        <f t="shared" ca="1" si="825"/>
        <v>0</v>
      </c>
      <c r="AR237" s="394">
        <f t="shared" ca="1" si="712"/>
        <v>0</v>
      </c>
      <c r="AS237" s="436">
        <f ca="1">IF(Control!$B$18=2,(IF(OR($AH237=Control!$B$175,$AH237=Control!$B$176,$AH237=Control!$B$177,$AH237=Control!$B$178,$AH237=Control!$B$179,$AH237=Control!$B$180,$AH237=Control!$B$181,$AH237=Control!$B$182,$AH237=Control!$B$183,$AH237=Control!$B$184,$AH237=Control!$B$185),1,0)),0)</f>
        <v>0</v>
      </c>
      <c r="AT237" s="436">
        <f>IF(Control!$B$20=8,IF(AND($AH237&gt;=Control!$B$172,$AH237&lt;=Control!$B$173),1,0),0)</f>
        <v>0</v>
      </c>
      <c r="AU237" s="436">
        <f>IF(Control!$B$20=8,IF($AV236=1,1*$AT237,IF($AT237=1,$AU236+1,$AU236)),0)</f>
        <v>0</v>
      </c>
      <c r="AV237" s="436">
        <f>IF(Control!$B$20=8,IF($AU237&gt;=Control!$B$174,1,0),0)</f>
        <v>0</v>
      </c>
      <c r="AW237" s="436">
        <f ca="1">IF(AND(Control!$B$18=2,Control!$B$171=1), $AV237, $AS237)</f>
        <v>0</v>
      </c>
      <c r="AX237" s="436" t="e">
        <f ca="1">IF(AND(Control!$B$18=1,$EU237&gt;=Control!$B$19),-$AY237,IF(AND(Control!$B$18=2,$AW237=1,$EU237&gt;$DS237),-$AY237, IF(Control!$C$108=0,0, IF(Control!$C$108&lt;&gt;0,1))))</f>
        <v>#N/A</v>
      </c>
      <c r="AY237" s="436" t="e">
        <f t="shared" ca="1" si="826"/>
        <v>#N/A</v>
      </c>
      <c r="AZ237" s="436" t="e">
        <f ca="1">IF(AND(Control!$B$18=1,$EB237&gt;Control!$B$19),$AZ236+1, IF(AND(Control!$B$18=2, $AW237=1, $EB237&gt;$DS237), $AZ236+1,$AZ236))</f>
        <v>#N/A</v>
      </c>
      <c r="BA237" s="587">
        <f>IF(Control!$C$81=0,1,IF($AH237&gt;=Control!$C$82,1,0))</f>
        <v>1</v>
      </c>
      <c r="BB237" s="140" t="e">
        <f ca="1">IF($BA237&gt;$BA236,Control!$C$83,IF($AW237&gt;0,$AW237*Control!$C$84,IF(AND(Control!$B$18=1,EN236&lt;&gt;0),Control!$C$84,0)))</f>
        <v>#N/A</v>
      </c>
      <c r="BC237" s="140" t="e">
        <f t="shared" ca="1" si="827"/>
        <v>#N/A</v>
      </c>
      <c r="BD237" s="140" t="e">
        <f ca="1">BC237*IF(OR($G237&lt;Control!$C$92,$G237&gt;Control!$C$95),0,IF(AND($G237&gt;=Control!$C$92,$G237&lt;=Control!$C$93),$G237-Control!$C$92,IF(AND($G237&gt;Control!$C$93,$G237&lt;=Control!$C$94),Control!$C$93-Control!$C$92,IF(AND($G237&gt;Control!$C$94,$G237&lt;=Control!$C$95),(Control!$C$93-Control!$C$92)*(Control!$C$94-$G237)/(Control!$C$95-Control!$C$94)))))</f>
        <v>#N/A</v>
      </c>
      <c r="BE237" s="140" t="e">
        <f t="shared" ca="1" si="828"/>
        <v>#N/A</v>
      </c>
      <c r="BF237" s="140" t="e">
        <f ca="1">IF($BE237&lt;=Control!$C$86,$BE237,Control!$C$86-$BE237)</f>
        <v>#N/A</v>
      </c>
      <c r="BG237" s="140" t="e">
        <f ca="1">IF(AND($AW237=1,Control!$C$84&lt;9),1,IF($BE237&gt;=Control!$C$86,0,$BC237))</f>
        <v>#N/A</v>
      </c>
      <c r="BH237" s="404" t="e">
        <f ca="1">IF($BG237=0,0,IF($BE237&lt;=Control!$C$86,$BC237*9*($BF237/Control!$C$86),0))</f>
        <v>#N/A</v>
      </c>
      <c r="BI237" s="140" t="e">
        <f ca="1">IF($BG237=1,0,IF($BE237&gt;=Control!$C$86,1,IF(AND($BB237&lt;21,$BB237&gt;=9),1,$BM236)))</f>
        <v>#N/A</v>
      </c>
      <c r="BJ237" s="140" t="e">
        <f ca="1">IF($BF237&lt;0,-$BF237,$BI237*IF(OR($G237&lt;Control!$C$92,$G237&gt;Control!$C$95),0,IF(AND($G237&gt;=Control!$C$92,$G237&lt;=Control!$C$93),$G237-Control!$C$92,IF(AND($G237&gt;Control!$C$93,$G237&lt;=Control!$C$94),Control!$C$93-Control!$C$92,IF(AND($G237&gt;Control!$C$94,$G237&lt;=Control!$C$95),(Control!$C$93-Control!$C$92)*(Control!$C$94-$G237)/(Control!$C$95-Control!$C$94))))))</f>
        <v>#N/A</v>
      </c>
      <c r="BK237" s="140" t="e">
        <f t="shared" ca="1" si="829"/>
        <v>#N/A</v>
      </c>
      <c r="BL237" s="140" t="e">
        <f ca="1">IF($BK237&lt;=Control!$C$87,$BK237,Control!$C$87-$BK237)</f>
        <v>#N/A</v>
      </c>
      <c r="BM237" s="140" t="e">
        <f ca="1">IF(AND($BB237&gt;=9,$BB237&lt;21),1,IF($BK237&gt;=Control!$C$87,0,$BI237))</f>
        <v>#N/A</v>
      </c>
      <c r="BN237" s="404" t="e">
        <f ca="1">IF($BM237=0,0,IF($BK237&lt;=Control!$C$87,$BI237*(9+(21-9)*($BL237/Control!$C$87)),0))</f>
        <v>#N/A</v>
      </c>
      <c r="BO237" s="140" t="e">
        <f ca="1">IF($BM237=1,0,IF($BK237&gt;=Control!$C$87,1,IF(AND($BB237&lt;30,$BB237&gt;=21),1,$BS236)))</f>
        <v>#N/A</v>
      </c>
      <c r="BP237" s="140" t="e">
        <f ca="1">IF($BL237&lt;0,-$BL237,$BO237*IF(OR($G237&lt;Control!$C$92,$G237&gt;Control!$C$95),0,IF(AND($G237&gt;=Control!$C$92,$G237&lt;=Control!$C$93),$G237-Control!$C$92,IF(AND($G237&gt;Control!$C$93,$G237&lt;=Control!$C$94),Control!$C$93-Control!$C$92,IF(AND($G237&gt;Control!$C$94,$G237&lt;=Control!$C$95),(Control!$C$93-Control!$C$92)*(Control!$C$94-$G237)/(Control!$C$95-Control!$C$94))))))</f>
        <v>#N/A</v>
      </c>
      <c r="BQ237" s="140" t="e">
        <f t="shared" ca="1" si="713"/>
        <v>#N/A</v>
      </c>
      <c r="BR237" s="140" t="e">
        <f ca="1">IF($BQ237&lt;=Control!$C$88,$BQ237,Control!$C$88-$BQ237)</f>
        <v>#N/A</v>
      </c>
      <c r="BS237" s="140" t="e">
        <f ca="1">IF(AND($BB237&gt;=21,$BB237&lt;30),1,IF($BQ237&gt;=Control!$C$88,0,$BO237))</f>
        <v>#N/A</v>
      </c>
      <c r="BT237" s="404" t="e">
        <f ca="1">IF($BS237=0,0,IF($BQ237&lt;=Control!$C$88,$BO237*(21+(30-21)*(BR237/Control!$C$88)),0))</f>
        <v>#N/A</v>
      </c>
      <c r="BU237" s="140" t="e">
        <f ca="1">IF(BG237+BM237+BS237=1,0,IF(OR(AND($BB237&lt;60,$BB237&gt;=30),$BQ237&gt;=Control!$C$88),1*$BA237,$BY236))</f>
        <v>#N/A</v>
      </c>
      <c r="BV237" s="140" t="e">
        <f ca="1">IF($BR237&lt;0,-$BR237,$BU237*IF(OR($G237&lt;Control!$C$92,$G237&gt;Control!$C$95),0,IF(AND($G237&gt;=Control!$C$92,$G237&lt;=Control!$C$93),$G237-Control!$C$92,IF(AND($G237&gt;Control!$C$93,$G237&lt;=Control!$C$94),Control!$C$93-Control!$C$92,IF(AND($G237&gt;Control!$C$94,$G237&lt;=Control!$C$95),(Control!$C$93-Control!$C$92)*(Control!$C$94-$G237)/(Control!$C$95-Control!$C$94))))))</f>
        <v>#N/A</v>
      </c>
      <c r="BW237" s="140" t="e">
        <f t="shared" ca="1" si="714"/>
        <v>#N/A</v>
      </c>
      <c r="BX237" s="140" t="e">
        <f ca="1">IF($BW237&lt;=Control!$C$89,$BW237,Control!$C$89-$BW237)</f>
        <v>#N/A</v>
      </c>
      <c r="BY237" s="140" t="e">
        <f ca="1">IF(AND($AJ237&gt;=30,$AJ237&lt;60),1,IF($BW237&gt;=Control!$C$89,0,$BU237))</f>
        <v>#N/A</v>
      </c>
      <c r="BZ237" s="404" t="e">
        <f ca="1">IF($BY237=0,0,IF($BW237&lt;=Control!$C$89,$BU237*(30+(60-30)*(BX237/Control!$C$89)),0))</f>
        <v>#N/A</v>
      </c>
      <c r="CA237" s="140" t="e">
        <f ca="1">IF($BG237+$BM237+$BS237+$BY237=1,0,IF(OR(AND($BB237&lt;65,$BB237&gt;=60),$BW237&gt;=Control!$C$89),1*$BA237,$CE236))</f>
        <v>#N/A</v>
      </c>
      <c r="CB237" s="140" t="e">
        <f ca="1">IF($BX237&lt;0,-$BX237,$CA237*IF(OR($G237&lt;Control!$C$92,$G237&gt;Control!$C$95),0,IF(AND($G237&gt;=Control!$C$92,$G237&lt;=Control!$C$93),$G237-Control!$C$92,IF(AND($G237&gt;Control!$C$93,$G237&lt;=Control!$C$94),Control!$C$93-Control!$C$92,IF(AND($G237&gt;Control!$C$94,$G237&lt;=Control!$C$95),(Control!$C$93-Control!$C$92)*(Control!$C$94-$G237)/(Control!$C$95-Control!$C$94))))))</f>
        <v>#N/A</v>
      </c>
      <c r="CC237" s="140" t="e">
        <f t="shared" ca="1" si="830"/>
        <v>#N/A</v>
      </c>
      <c r="CD237" s="140" t="e">
        <f ca="1">IF($CC237&lt;=Control!$C$90,$CC237,Control!$C$90-$CC237)</f>
        <v>#N/A</v>
      </c>
      <c r="CE237" s="140" t="e">
        <f ca="1">IF(AND($BB237&gt;=60,$BB237&lt;65),1,IF($CC237&gt;=Control!$C$90,0,$CA237))</f>
        <v>#N/A</v>
      </c>
      <c r="CF237" s="404" t="e">
        <f ca="1">IF($CE237=0,0,IF($CC237&lt;=Control!$C$90,$CA237*(60+(65-60)*(CD237/Control!$C$90)),0))</f>
        <v>#N/A</v>
      </c>
      <c r="CG237" s="140" t="e">
        <f ca="1">IF($BG237+$BM237+$BS237+$BY237+$CE237=1,0,IF(OR(AND($BB237&lt;90,$BB237&gt;=65),$CC237&gt;=Control!$C$90),$BA237,$CK236))</f>
        <v>#N/A</v>
      </c>
      <c r="CH237" s="140" t="e">
        <f ca="1">IF($CD237&lt;0,-$CD237,$CG237*IF(OR($G237&lt;Control!$C$92,$G237&gt;Control!$C$95),0,IF(AND($G237&gt;=Control!$C$92,$G237&lt;=Control!$C$93),$G237-Control!$C$92,IF(AND($G237&gt;Control!$C$93,$G237&lt;=Control!$C$94),Control!$C$93-Control!$C$92,IF(AND($G237&gt;Control!$C$94,$G237&lt;=Control!$C$95),(Control!$C$93-Control!$C$92)*(Control!$C$94-$G237)/(Control!$C$95-Control!$C$94))))))</f>
        <v>#N/A</v>
      </c>
      <c r="CI237" s="140" t="e">
        <f t="shared" ca="1" si="831"/>
        <v>#N/A</v>
      </c>
      <c r="CJ237" s="140" t="e">
        <f ca="1">IF($CI237&lt;=Control!$C$91,$CI237,Control!$C$91-$CI237)</f>
        <v>#N/A</v>
      </c>
      <c r="CK237" s="140" t="e">
        <f ca="1">IF(AND($BB237&gt;=65,$BB237&lt;90),1,IF($CI237&gt;=Control!$C$91,0,$CG237))</f>
        <v>#N/A</v>
      </c>
      <c r="CL237" s="404" t="e">
        <f ca="1">IF($CK237=0,0,IF($CI237&lt;=Control!$C$91,$CG237*(65+(90-65)*($CJ237/Control!$C$91)),0))</f>
        <v>#N/A</v>
      </c>
      <c r="CM237" s="140" t="e">
        <f ca="1">IF($BG237+$BM237+$BS237+$BY237+$CE237+$CK237=1,0,IF(OR($BB237&gt;=90,$CI237&gt;=Control!$C$91),$BA237,$CM236))</f>
        <v>#N/A</v>
      </c>
      <c r="CN237" s="140" t="e">
        <f t="shared" ca="1" si="832"/>
        <v>#N/A</v>
      </c>
      <c r="CO237" s="140" t="e">
        <f t="shared" ca="1" si="833"/>
        <v>#N/A</v>
      </c>
      <c r="CP237" s="140" t="e">
        <f t="shared" ca="1" si="834"/>
        <v>#N/A</v>
      </c>
      <c r="CQ237" s="141" t="e">
        <f ca="1">VLOOKUP($CP237,Control!$B$86:$G$91,6)</f>
        <v>#N/A</v>
      </c>
      <c r="CR237" s="141" t="e">
        <f ca="1">(1-$CQ237)*VLOOKUP($CP237,Control!$B$86:$D$91,3)</f>
        <v>#N/A</v>
      </c>
      <c r="CS237" s="141" t="e">
        <f ca="1">(1-$CQ237)*VLOOKUP($CP237,Control!$B$86:$E$91,4)</f>
        <v>#N/A</v>
      </c>
      <c r="CT237" s="141" t="e">
        <f ca="1">(1-$CQ237)*VLOOKUP($CP237,Control!$B$86:$F$91,5)</f>
        <v>#N/A</v>
      </c>
      <c r="CU237" s="141">
        <f t="shared" ca="1" si="835"/>
        <v>0</v>
      </c>
      <c r="CV237" s="583">
        <f t="shared" ca="1" si="836"/>
        <v>0</v>
      </c>
      <c r="CW237" s="142">
        <f t="shared" ca="1" si="837"/>
        <v>233</v>
      </c>
      <c r="CX237" s="612" t="e">
        <f ca="1">IF(Control!$C$114=1,(MIN(Control!$C$120*(IF($NT237-0.01&lt;0,0,1)),Control!$C$119-$CY237)))</f>
        <v>#DIV/0!</v>
      </c>
      <c r="CY237" s="143" t="e">
        <f t="shared" ca="1" si="838"/>
        <v>#N/A</v>
      </c>
      <c r="CZ237" s="144">
        <f t="shared" ca="1" si="715"/>
        <v>0</v>
      </c>
      <c r="DA237" s="144">
        <f t="shared" ca="1" si="716"/>
        <v>0</v>
      </c>
      <c r="DB237" s="144" t="e">
        <f t="shared" ca="1" si="717"/>
        <v>#N/A</v>
      </c>
      <c r="DC237" s="144" t="e">
        <f t="shared" ca="1" si="718"/>
        <v>#N/A</v>
      </c>
      <c r="DD237" s="144" t="e">
        <f t="shared" ca="1" si="923"/>
        <v>#N/A</v>
      </c>
      <c r="DE237" s="143" t="e">
        <f t="shared" ca="1" si="839"/>
        <v>#N/A</v>
      </c>
      <c r="DF237" s="145" t="e">
        <f ca="1">$DR237*EXP(-Control!$C$158*(1-$KH237))</f>
        <v>#N/A</v>
      </c>
      <c r="DG237" s="146" t="e">
        <f ca="1">IF(Control!$C$114=1, $DF237*$EY237, 0)</f>
        <v>#N/A</v>
      </c>
      <c r="DH237" s="147" t="e">
        <f t="shared" ca="1" si="840"/>
        <v>#N/A</v>
      </c>
      <c r="DI237" s="144" t="e">
        <f t="shared" ca="1" si="901"/>
        <v>#N/A</v>
      </c>
      <c r="DJ237" s="147" t="e">
        <f ca="1">$EF237*Control!$C$109</f>
        <v>#N/A</v>
      </c>
      <c r="DK237" s="144" t="e">
        <f t="shared" ca="1" si="841"/>
        <v>#N/A</v>
      </c>
      <c r="DL237" s="144" t="e">
        <f t="shared" ca="1" si="719"/>
        <v>#N/A</v>
      </c>
      <c r="DM237" s="144" t="e">
        <f ca="1">IF(Control!$C$114=1, (1-EXP(-Control!$C$96*$DK237))*$AR237, 0)</f>
        <v>#N/A</v>
      </c>
      <c r="DN237" s="144">
        <f t="shared" ca="1" si="842"/>
        <v>0</v>
      </c>
      <c r="DO237" s="148">
        <f>Control!$C$97</f>
        <v>4</v>
      </c>
      <c r="DP237" s="145" t="e">
        <f t="shared" ca="1" si="843"/>
        <v>#N/A</v>
      </c>
      <c r="DQ237" s="145" t="e">
        <f ca="1">IF(AND($CP237&gt;=0,$CP237&lt;=90),Control!$C$111,Control!$C$111)</f>
        <v>#N/A</v>
      </c>
      <c r="DR237" s="145" t="e">
        <f t="shared" ca="1" si="720"/>
        <v>#N/A</v>
      </c>
      <c r="DS237" s="143" t="e">
        <f ca="1">Control!$B$22/$DR237</f>
        <v>#N/A</v>
      </c>
      <c r="DT237" s="149" t="e">
        <f ca="1">IF(AND(Control!$C$114=1,$KH237&lt;1),$IM237*$DF237, 0)</f>
        <v>#N/A</v>
      </c>
      <c r="DU237" s="144" t="e">
        <f t="shared" ca="1" si="844"/>
        <v>#N/A</v>
      </c>
      <c r="DV237" s="144">
        <f ca="1">IF($G237-Control!$C$107&lt;=0, 0, 0.83*LN(MAX($G237, 3))-0.8924)</f>
        <v>0</v>
      </c>
      <c r="DW237" s="144" t="e">
        <f t="shared" ca="1" si="721"/>
        <v>#N/A</v>
      </c>
      <c r="DX237" s="150" t="e">
        <f ca="1">MAX(0.01*(1+$CU237/Control!$C$102),0.05*($DK237-Control!$C$97)/Control!$C$97)</f>
        <v>#N/A</v>
      </c>
      <c r="DY237" s="151" t="e">
        <f ca="1">IF(Control!$C$114=1, $DI237*$FS237, 0)</f>
        <v>#N/A</v>
      </c>
      <c r="DZ237" s="196" t="e">
        <f t="shared" ca="1" si="845"/>
        <v>#N/A</v>
      </c>
      <c r="EA237" s="152">
        <f t="shared" ca="1" si="846"/>
        <v>233</v>
      </c>
      <c r="EB237" s="153" t="e">
        <f t="shared" ca="1" si="847"/>
        <v>#N/A</v>
      </c>
      <c r="EC237" s="153" t="e">
        <f t="shared" ca="1" si="848"/>
        <v>#N/A</v>
      </c>
      <c r="ED237" s="154" t="e">
        <f ca="1">IF(Control!$C$114=1, $HM237*$FY237-$FD237, 0)</f>
        <v>#DIV/0!</v>
      </c>
      <c r="EE237" s="155" t="e">
        <f ca="1">IF(Control!$C$114=1, $HM237*$FZ237-$FF237, 0)</f>
        <v>#DIV/0!</v>
      </c>
      <c r="EF237" s="153" t="e">
        <f t="shared" ca="1" si="902"/>
        <v>#N/A</v>
      </c>
      <c r="EG237" s="155" t="e">
        <f ca="1">IF(Control!$C$114=1, $GX237*$FW237-$FI237, 0)</f>
        <v>#DIV/0!</v>
      </c>
      <c r="EH237" s="153" t="e">
        <f t="shared" ca="1" si="849"/>
        <v>#N/A</v>
      </c>
      <c r="EI237" s="156" t="e">
        <f t="shared" ca="1" si="850"/>
        <v>#N/A</v>
      </c>
      <c r="EJ237" s="155" t="e">
        <f ca="1">IF(Control!$C$114=1, $HM237*$GB237, 0)</f>
        <v>#DIV/0!</v>
      </c>
      <c r="EK237" s="153" t="e">
        <f t="shared" ca="1" si="903"/>
        <v>#N/A</v>
      </c>
      <c r="EL237" s="153" t="e">
        <f t="shared" ca="1" si="722"/>
        <v>#N/A</v>
      </c>
      <c r="EM237" s="153" t="e">
        <f t="shared" ca="1" si="723"/>
        <v>#N/A</v>
      </c>
      <c r="EN237" s="153" t="e">
        <f ca="1">IF(Control!$C$108=1,IF(AND(Control!$B$18=1,$EB237&gt;=Control!$B$19),$EB237-$DS237,IF(AND(Control!$B$18=2,$AW237=1,$EB237&gt;$DS237),$EB237-$DS237,0)))</f>
        <v>#N/A</v>
      </c>
      <c r="EO237" s="153" t="e">
        <f ca="1">IF(Control!$C$108=1,IF(AND(Control!$B$18=1,$EB237&gt;=Control!$B$19),$EF237,IF(AND(Control!$B$18=2,$AW237=1),$EF237,0)))</f>
        <v>#N/A</v>
      </c>
      <c r="EP237" s="153" t="e">
        <f ca="1">IF(Control!$C$108=1,IF(AND(Control!$B$18=1,$EB237&gt;=Control!$B$19),$EK237,IF(AND(Control!$B$18=2,$AW237=1),$EK237,0)))</f>
        <v>#N/A</v>
      </c>
      <c r="EQ237" s="153" t="e">
        <f t="shared" ca="1" si="851"/>
        <v>#N/A</v>
      </c>
      <c r="ER237" s="153" t="e">
        <f t="shared" ca="1" si="852"/>
        <v>#N/A</v>
      </c>
      <c r="ES237" s="153" t="e">
        <f t="shared" ca="1" si="904"/>
        <v>#N/A</v>
      </c>
      <c r="ET237" s="153" t="e">
        <f t="shared" ca="1" si="905"/>
        <v>#N/A</v>
      </c>
      <c r="EU237" s="153" t="e">
        <f t="shared" ca="1" si="853"/>
        <v>#N/A</v>
      </c>
      <c r="EV237" s="153" t="e">
        <f t="shared" ca="1" si="724"/>
        <v>#N/A</v>
      </c>
      <c r="EW237" s="153" t="e">
        <f t="shared" ca="1" si="725"/>
        <v>#N/A</v>
      </c>
      <c r="EX237" s="153" t="e">
        <f t="shared" ca="1" si="726"/>
        <v>#N/A</v>
      </c>
      <c r="EY237" s="157" t="e">
        <f t="shared" ca="1" si="727"/>
        <v>#DIV/0!</v>
      </c>
      <c r="EZ237" s="154" t="e">
        <f t="shared" ca="1" si="728"/>
        <v>#DIV/0!</v>
      </c>
      <c r="FA237" s="153" t="e">
        <f t="shared" ca="1" si="854"/>
        <v>#N/A</v>
      </c>
      <c r="FB237" s="153" t="e">
        <f t="shared" ca="1" si="729"/>
        <v>#N/A</v>
      </c>
      <c r="FC237" s="193" t="e">
        <f t="shared" ca="1" si="730"/>
        <v>#N/A</v>
      </c>
      <c r="FD237" s="158" t="e">
        <f t="shared" ca="1" si="855"/>
        <v>#N/A</v>
      </c>
      <c r="FE237" s="158" t="e">
        <f t="shared" ca="1" si="856"/>
        <v>#N/A</v>
      </c>
      <c r="FF237" s="159" t="e">
        <f t="shared" ca="1" si="731"/>
        <v>#N/A</v>
      </c>
      <c r="FG237" s="160" t="e">
        <f t="shared" ca="1" si="857"/>
        <v>#N/A</v>
      </c>
      <c r="FH237" s="158" t="e">
        <f t="shared" ca="1" si="858"/>
        <v>#N/A</v>
      </c>
      <c r="FI237" s="159" t="e">
        <f t="shared" ca="1" si="732"/>
        <v>#N/A</v>
      </c>
      <c r="FJ237" s="160" t="e">
        <f t="shared" ca="1" si="859"/>
        <v>#N/A</v>
      </c>
      <c r="FK237" s="160" t="e">
        <f t="shared" ca="1" si="733"/>
        <v>#N/A</v>
      </c>
      <c r="FL237" s="160" t="e">
        <f t="shared" ca="1" si="906"/>
        <v>#N/A</v>
      </c>
      <c r="FM237" s="160" t="e">
        <f t="shared" ca="1" si="734"/>
        <v>#N/A</v>
      </c>
      <c r="FN237" s="158">
        <f t="shared" ca="1" si="860"/>
        <v>0.01</v>
      </c>
      <c r="FO237" s="160">
        <f>Control!$C$101</f>
        <v>50</v>
      </c>
      <c r="FP237" s="150" t="e">
        <f t="shared" ca="1" si="735"/>
        <v>#N/A</v>
      </c>
      <c r="FQ237" s="150" t="e">
        <f ca="1">MAX(0,(Control!$C$112*(($DK237-Control!$C$97)/Control!$C$97)))</f>
        <v>#N/A</v>
      </c>
      <c r="FR237" s="150" t="e">
        <f ca="1">(1-$NT237)*Control!$C$113</f>
        <v>#DIV/0!</v>
      </c>
      <c r="FS237" s="198" t="e">
        <f t="shared" ca="1" si="736"/>
        <v>#N/A</v>
      </c>
      <c r="FT237" s="161">
        <f t="shared" ca="1" si="861"/>
        <v>233</v>
      </c>
      <c r="FU237" s="162" t="e">
        <f ca="1">IF(Control!$B$34=1,VLOOKUP($CP237,Control!$B$86:$G$91,6),Control!$B$35)</f>
        <v>#N/A</v>
      </c>
      <c r="FV237" s="162" t="e">
        <f t="shared" ca="1" si="737"/>
        <v>#DIV/0!</v>
      </c>
      <c r="FW237" s="162" t="e">
        <f ca="1">IF(Control!$B$31=1,$FU237*$FV237,  $FU237)</f>
        <v>#N/A</v>
      </c>
      <c r="FX237" s="162" t="e">
        <f ca="1">IF(Control!$B$34=1,VLOOKUP($CP237,Control!$B$86:$G$91,3),Control!$B$36)</f>
        <v>#N/A</v>
      </c>
      <c r="FY237" s="162" t="e">
        <f t="shared" ca="1" si="738"/>
        <v>#N/A</v>
      </c>
      <c r="FZ237" s="162" t="e">
        <f ca="1">IF(Control!$B$34=1,VLOOKUP($CP237,Control!$B$86:$G$91,4),Control!$B$37)</f>
        <v>#N/A</v>
      </c>
      <c r="GA237" s="162" t="e">
        <f t="shared" ca="1" si="739"/>
        <v>#N/A</v>
      </c>
      <c r="GB237" s="162" t="e">
        <f ca="1">IF(Control!$B$34=1,VLOOKUP($CP237,Control!$B$86:$G$91,5),Control!$B$38)</f>
        <v>#N/A</v>
      </c>
      <c r="GC237" s="162" t="e">
        <f t="shared" ca="1" si="862"/>
        <v>#N/A</v>
      </c>
      <c r="GD237" s="162">
        <f t="shared" ca="1" si="740"/>
        <v>1</v>
      </c>
      <c r="GE237" s="162">
        <f t="shared" ca="1" si="741"/>
        <v>1</v>
      </c>
      <c r="GF237" s="162">
        <f ca="1">IF(AND(Control!$C$104=1, Control!$C$62="F"),$GE237,1)</f>
        <v>1</v>
      </c>
      <c r="GG237" s="162" t="e">
        <f ca="1">IF(Control!$B$16=40,0,IF(AND(Control!$B$16&gt;40,Control!$B$16&lt;=360),(Control!$B$16-40)*((1-0)/(360-40)),IF(AND(Control!$B$16&gt;360,Control!$B$16&lt;=720),(1+(Control!$B$16-360)*((1.25-1)/(720-360))),IF(AND(Control!$B$16&gt;720,Control!$B$16&lt;=1000),(1.25+(Control!$B$16-720)*((1.35-1.25)/(1000-720))),IF(AND(Control!$B$16&gt;1000,Control!$B$16&lt;=2000),(1.35+(Control!$B$16-1000)*0))))))</f>
        <v>#N/A</v>
      </c>
      <c r="GH237" s="162" t="e">
        <f t="shared" ca="1" si="742"/>
        <v>#N/A</v>
      </c>
      <c r="GI237" s="162">
        <f t="shared" ca="1" si="863"/>
        <v>0</v>
      </c>
      <c r="GJ237" s="162">
        <f t="shared" ca="1" si="743"/>
        <v>0</v>
      </c>
      <c r="GK237" s="162">
        <f t="shared" ca="1" si="864"/>
        <v>1</v>
      </c>
      <c r="GL237" s="162">
        <f t="shared" ca="1" si="744"/>
        <v>1</v>
      </c>
      <c r="GM237" s="162" t="e">
        <f ca="1">MAX(0,MIN(1,1-Control!$C$156*(1.0001-$KH237)^2))</f>
        <v>#N/A</v>
      </c>
      <c r="GN237" s="162" t="e">
        <f ca="1">IF(Control!$B$26=1,$KU237,$KX237)</f>
        <v>#N/A</v>
      </c>
      <c r="GO237" s="162" t="e">
        <f ca="1">IF($CP237&lt;=60,Control!$C$105,IF($CP237&gt;=90,Control!$C$106,Control!$C$105+($CP237-60)*((Control!$C$106-Control!$C$105)/(90-60))))</f>
        <v>#N/A</v>
      </c>
      <c r="GP237" s="162" t="e">
        <f t="shared" ca="1" si="745"/>
        <v>#N/A</v>
      </c>
      <c r="GQ237" s="162" t="e">
        <f t="shared" ca="1" si="865"/>
        <v>#N/A</v>
      </c>
      <c r="GR237" s="163" t="e">
        <f t="shared" ca="1" si="746"/>
        <v>#DIV/0!</v>
      </c>
      <c r="GS237" s="162" t="e">
        <f t="shared" ca="1" si="747"/>
        <v>#DIV/0!</v>
      </c>
      <c r="GT237" s="164" t="e">
        <f t="shared" ca="1" si="866"/>
        <v>#N/A</v>
      </c>
      <c r="GU237" s="162" t="e">
        <f t="shared" ca="1" si="867"/>
        <v>#N/A</v>
      </c>
      <c r="GV237" s="162" t="e">
        <f t="shared" ca="1" si="748"/>
        <v>#N/A</v>
      </c>
      <c r="GW237" s="162" t="e">
        <f t="shared" ca="1" si="749"/>
        <v>#DIV/0!</v>
      </c>
      <c r="GX237" s="162" t="e">
        <f t="shared" ca="1" si="868"/>
        <v>#DIV/0!</v>
      </c>
      <c r="GY237" s="162" t="e">
        <f t="shared" ca="1" si="869"/>
        <v>#DIV/0!</v>
      </c>
      <c r="GZ237" s="165" t="e">
        <f t="shared" ca="1" si="750"/>
        <v>#N/A</v>
      </c>
      <c r="HA237" s="162" t="e">
        <f ca="1">IF(Control!$C$114=1, $DI237*$FS237, 0)</f>
        <v>#N/A</v>
      </c>
      <c r="HB237" s="162" t="e">
        <f ca="1">$FA237/Control!$C$64</f>
        <v>#N/A</v>
      </c>
      <c r="HC237" s="162" t="e">
        <f t="shared" ca="1" si="751"/>
        <v>#DIV/0!</v>
      </c>
      <c r="HD237" s="162">
        <f ca="1">-ASIN(SIN(23.45*Control!$C$139)*COS(2*Control!$C$138*($AH237+10)/365))</f>
        <v>0.20232315992704361</v>
      </c>
      <c r="HE237" s="165">
        <f t="shared" ca="1" si="870"/>
        <v>0</v>
      </c>
      <c r="HF237" s="166">
        <f ca="1">IF(AND(Control!$C$61="T",$HE237&gt;=Control!$C$103,Control!$C$114=0),$AH237,Control!$C$59)</f>
        <v>1</v>
      </c>
      <c r="HG237" s="166">
        <f ca="1">IF(AND(Control!$C$61="T",$HE237&gt;=Control!$C$103,Control!$C$114=0),$HF237,Control!$C$59)</f>
        <v>1</v>
      </c>
      <c r="HH237" s="165">
        <f ca="1">IF(AND(OR(Control!$C$60&lt;=0, $AH237= Control!$C$59, Control!$C$60 &gt;0, $AH237 = Control!$C$60)), Control!$C$59, IF(Control!$C$60&gt;0, 0))</f>
        <v>1</v>
      </c>
      <c r="HI237" s="165">
        <f ca="1">IF(AND(OR(Control!$C$60&lt;=0, $AH237= Control!$C$59, Control!$C$60 &gt;0, $AH237 = Control!$C$60)), Control!$C$60, IF(Control!$C$60&lt;=0, 0))</f>
        <v>0</v>
      </c>
      <c r="HJ237" s="166">
        <f ca="1">IF(AND(Control!$C$62="F",$CV237&gt;=Control!$C$102),$AH237,0)</f>
        <v>0</v>
      </c>
      <c r="HK237" s="165" t="e">
        <f t="shared" ca="1" si="907"/>
        <v>#N/A</v>
      </c>
      <c r="HL237" s="166">
        <f ca="1">IF(AND(Control!$C$61="T",$HE237&gt;=Control!$C$103,Control!$C$114=0),$HF237,0)</f>
        <v>0</v>
      </c>
      <c r="HM237" s="201" t="e">
        <f t="shared" ca="1" si="752"/>
        <v>#DIV/0!</v>
      </c>
      <c r="HN237" s="215">
        <f t="shared" ca="1" si="871"/>
        <v>233</v>
      </c>
      <c r="HO237" s="216" t="e">
        <f ca="1">IF(AND($CP237&gt;=0, $CP237&lt;=90), Control!$C$152, Control!$C$152)</f>
        <v>#N/A</v>
      </c>
      <c r="HP237" s="216" t="e">
        <f t="shared" ca="1" si="753"/>
        <v>#N/A</v>
      </c>
      <c r="HQ237" s="217" t="e">
        <f ca="1">IF(OR(Control!$B$26=1,Control!$B$26=2),$KV237,$KS237)</f>
        <v>#DIV/0!</v>
      </c>
      <c r="HR237" s="218" t="e">
        <f t="shared" ca="1" si="908"/>
        <v>#DIV/0!</v>
      </c>
      <c r="HS237" s="216" t="e">
        <f ca="1">Control!$C$154*$HP237</f>
        <v>#N/A</v>
      </c>
      <c r="HT237" s="216" t="e">
        <f ca="1">Control!$C$155*$HP237</f>
        <v>#N/A</v>
      </c>
      <c r="HU237" s="217" t="e">
        <f ca="1">Control!$C$161*$FI237</f>
        <v>#N/A</v>
      </c>
      <c r="HV237" s="218" t="e">
        <f t="shared" ca="1" si="872"/>
        <v>#N/A</v>
      </c>
      <c r="HW237" s="218" t="e">
        <f ca="1">Control!$C$160*$FF237+$IP237*$EO237</f>
        <v>#N/A</v>
      </c>
      <c r="HX237" s="218" t="e">
        <f t="shared" ca="1" si="909"/>
        <v>#N/A</v>
      </c>
      <c r="HY237" s="219" t="e">
        <f ca="1">IF(Control!$C$114=1, $EB237*$FS237, 0)</f>
        <v>#N/A</v>
      </c>
      <c r="HZ237" s="91" t="e">
        <f t="shared" ca="1" si="754"/>
        <v>#N/A</v>
      </c>
      <c r="IA237" s="220" t="e">
        <f ca="1">Control!$C$153*$HO237</f>
        <v>#N/A</v>
      </c>
      <c r="IB237" s="218" t="e">
        <f t="shared" ca="1" si="755"/>
        <v>#N/A</v>
      </c>
      <c r="IC237" s="220" t="e">
        <f ca="1">Control!$C$153*$HT237</f>
        <v>#N/A</v>
      </c>
      <c r="ID237" s="218" t="e">
        <f t="shared" ca="1" si="756"/>
        <v>#N/A</v>
      </c>
      <c r="IE237" s="221" t="e">
        <f ca="1">($EB237*Control!$C$159+$EF237*Control!$C$160)/(IF($GZ237&lt;&gt;0,$GZ237,1))</f>
        <v>#N/A</v>
      </c>
      <c r="IF237" s="216" t="e">
        <f t="shared" ca="1" si="757"/>
        <v>#N/A</v>
      </c>
      <c r="IG237" s="91">
        <f ca="1">IF(OR(Control!$B$198=$AH237,Control!$B$199=$AH237, Control!$B$200=$AH237, Control!$B$201=$AH237, Control!$B$202=$AH237, Control!$B$203=$AH237, Control!$B$204=$AH237, Control!$B$205=$AH237, Control!$B$206=$AH237, Control!$B$207=$AH237), 1, 0)</f>
        <v>0</v>
      </c>
      <c r="IH237" s="91">
        <f ca="1">IF($IG237=0,0, VLOOKUP($AH237,Control!$B$198:$C$207,2))</f>
        <v>0</v>
      </c>
      <c r="II237" s="222">
        <f t="shared" ca="1" si="873"/>
        <v>0</v>
      </c>
      <c r="IJ237" s="91">
        <f>Control!$C$121</f>
        <v>0.7</v>
      </c>
      <c r="IK237" s="218">
        <f t="shared" ca="1" si="758"/>
        <v>0</v>
      </c>
      <c r="IL237" s="217" t="e">
        <f t="shared" ca="1" si="910"/>
        <v>#N/A</v>
      </c>
      <c r="IM237" s="223" t="e">
        <f ca="1">IF(AND(Control!$C$114=1,$KH237&lt;1),$EB237*Control!$C$148*(1-$KH237), 0)</f>
        <v>#N/A</v>
      </c>
      <c r="IN237" s="217" t="e">
        <f t="shared" ca="1" si="759"/>
        <v>#DIV/0!</v>
      </c>
      <c r="IO237" s="91" t="e">
        <f ca="1">MAX(0,$IL237-$EF237*Control!$C$160)</f>
        <v>#N/A</v>
      </c>
      <c r="IP237" s="220" t="e">
        <f t="shared" ca="1" si="760"/>
        <v>#N/A</v>
      </c>
      <c r="IQ237" s="217" t="e">
        <f t="shared" ca="1" si="874"/>
        <v>#N/A</v>
      </c>
      <c r="IR237" s="218" t="e">
        <f t="shared" ca="1" si="761"/>
        <v>#N/A</v>
      </c>
      <c r="IS237" s="217" t="e">
        <f ca="1">Control!$C$159*MAX(0,$FD237-$EN237)</f>
        <v>#N/A</v>
      </c>
      <c r="IT237" s="217" t="e">
        <f t="shared" ca="1" si="911"/>
        <v>#N/A</v>
      </c>
      <c r="IU237" s="217" t="e">
        <f t="shared" ca="1" si="875"/>
        <v>#N/A</v>
      </c>
      <c r="IV237" s="217" t="e">
        <f t="shared" ca="1" si="912"/>
        <v>#N/A</v>
      </c>
      <c r="IW237" s="217" t="e">
        <f ca="1">IF(OR($AW237=1,AND($AW237=0, Control!$B$18=1,$EN237&lt;&gt;0)), $IQ237-$IU237, $IQ237)</f>
        <v>#N/A</v>
      </c>
      <c r="IX237" s="218" t="e">
        <f t="shared" ca="1" si="762"/>
        <v>#N/A</v>
      </c>
      <c r="IY237" s="218" t="e">
        <f ca="1">MAX(0,$IQ237-$EB237*Control!$C$159)</f>
        <v>#N/A</v>
      </c>
      <c r="IZ237" s="218" t="e">
        <f t="shared" ca="1" si="763"/>
        <v>#N/A</v>
      </c>
      <c r="JA237" s="216" t="e">
        <f t="shared" ca="1" si="764"/>
        <v>#N/A</v>
      </c>
      <c r="JB237" s="217" t="e">
        <f t="shared" ca="1" si="765"/>
        <v>#N/A</v>
      </c>
      <c r="JC237" s="222" t="e">
        <f ca="1">MAX(Control!$C$157*$EK237-$JT237, 0)/Control!$C$162</f>
        <v>#N/A</v>
      </c>
      <c r="JD237" s="218" t="e">
        <f t="shared" ca="1" si="766"/>
        <v>#N/A</v>
      </c>
      <c r="JE237" s="218" t="e">
        <f t="shared" ca="1" si="767"/>
        <v>#N/A</v>
      </c>
      <c r="JF237" s="218" t="e">
        <f t="shared" ca="1" si="876"/>
        <v>#N/A</v>
      </c>
      <c r="JG237" s="218" t="e">
        <f t="shared" ca="1" si="768"/>
        <v>#N/A</v>
      </c>
      <c r="JH237" s="217" t="e">
        <f t="shared" ca="1" si="877"/>
        <v>#N/A</v>
      </c>
      <c r="JI237" s="217" t="e">
        <f t="shared" ca="1" si="878"/>
        <v>#N/A</v>
      </c>
      <c r="JJ237" s="217" t="e">
        <f t="shared" ca="1" si="913"/>
        <v>#N/A</v>
      </c>
      <c r="JK237" s="217" t="e">
        <f ca="1">IF(Control!$C$114=1,IF(Control!$B$24=0,MAX(0,$JI237)*$GN237/Control!$C$64,(MAX(0,MIN($JI237,$JJ237*$GN237/Control!$C$64),0))))</f>
        <v>#N/A</v>
      </c>
      <c r="JL237" s="217" t="e">
        <f ca="1">$IK237/Control!$C$64-$JK237+$HQ237</f>
        <v>#N/A</v>
      </c>
      <c r="JM237" s="217" t="e">
        <f ca="1">IF(Control!$C$114=1,($JB237/(IF($JI237&lt;&gt;0,$JI237,1)))*$JK237,0)</f>
        <v>#N/A</v>
      </c>
      <c r="JN237" s="217" t="e">
        <f ca="1">IF(Control!$C$114=1,($JG237/(IF($JI237&lt;&gt;0,$JI237,1)))*$JK237, 0)</f>
        <v>#N/A</v>
      </c>
      <c r="JO237" s="218" t="e">
        <f t="shared" ca="1" si="769"/>
        <v>#N/A</v>
      </c>
      <c r="JP237" s="218" t="e">
        <f ca="1">MIN(($IY237+$IO237)*Control!$C$151, $JF237-$EH237*Control!$C$161)</f>
        <v>#N/A</v>
      </c>
      <c r="JQ237" s="218" t="e">
        <f t="shared" ca="1" si="770"/>
        <v>#N/A</v>
      </c>
      <c r="JR237" s="217" t="e">
        <f ca="1">IF($CP237-Control!$C$150&lt;0, 0, $JQ237/Control!$C$162)</f>
        <v>#N/A</v>
      </c>
      <c r="JS237" s="218" t="e">
        <f t="shared" ca="1" si="771"/>
        <v>#N/A</v>
      </c>
      <c r="JT237" s="218" t="e">
        <f t="shared" ca="1" si="879"/>
        <v>#N/A</v>
      </c>
      <c r="JU237" s="218" t="e">
        <f t="shared" ca="1" si="772"/>
        <v>#N/A</v>
      </c>
      <c r="JV237" s="218" t="e">
        <f t="shared" ca="1" si="773"/>
        <v>#N/A</v>
      </c>
      <c r="JW237" s="216" t="e">
        <f t="shared" ca="1" si="774"/>
        <v>#N/A</v>
      </c>
      <c r="JX237" s="91" t="e">
        <f t="shared" ca="1" si="775"/>
        <v>#N/A</v>
      </c>
      <c r="JY237" s="218" t="e">
        <f t="shared" ca="1" si="776"/>
        <v>#N/A</v>
      </c>
      <c r="JZ237" s="217" t="e">
        <f ca="1">IF(Control!$C$114=1,($IZ237/(IF($JI237&lt;&gt;0,$JI237,1)))*$JK237, 0)</f>
        <v>#N/A</v>
      </c>
      <c r="KA237" s="218" t="e">
        <f t="shared" ca="1" si="914"/>
        <v>#N/A</v>
      </c>
      <c r="KB237" s="218" t="e">
        <f t="shared" ca="1" si="880"/>
        <v>#N/A</v>
      </c>
      <c r="KC237" s="218" t="e">
        <f t="shared" ca="1" si="777"/>
        <v>#N/A</v>
      </c>
      <c r="KD237" s="218" t="e">
        <f t="shared" ca="1" si="778"/>
        <v>#N/A</v>
      </c>
      <c r="KE237" s="218" t="e">
        <f t="shared" ca="1" si="779"/>
        <v>#N/A</v>
      </c>
      <c r="KF237" s="218" t="e">
        <f t="shared" ca="1" si="780"/>
        <v>#N/A</v>
      </c>
      <c r="KG237" s="216" t="e">
        <f t="shared" ca="1" si="781"/>
        <v>#N/A</v>
      </c>
      <c r="KH237" s="221" t="e">
        <f ca="1">IF(Control!$B$24=0,1,MAX(0.001,MIN(1,IF(($IF237-$IE237)&lt;&gt;0,($KG237-$IE237)/($IF237-$IE237),1))))</f>
        <v>#N/A</v>
      </c>
      <c r="KI237" s="222" t="e">
        <f ca="1">IF(Control!$C$114=1, $KI236+ $KH236, 0)</f>
        <v>#N/A</v>
      </c>
      <c r="KJ237" s="217" t="e">
        <f t="shared" ca="1" si="782"/>
        <v>#N/A</v>
      </c>
      <c r="KK237" s="218" t="e">
        <f t="shared" ca="1" si="783"/>
        <v>#N/A</v>
      </c>
      <c r="KL237" s="274" t="e">
        <f ca="1">IF(Control!$B$26=3,4000000000*EXP(-8400/($G237+273)),IF(Control!$B$26=4,4000000000*EXP(-8400/($G237+273))*($KT237),0))</f>
        <v>#DIV/0!</v>
      </c>
      <c r="KM237" s="274" t="e">
        <f ca="1">IF(Control!$B$26=3,5600000000000*EXP(-9800/($G237+273)),IF(Control!$B$26=4,5600000000000*EXP(-9800/($G237+273))*$KT237,0))</f>
        <v>#DIV/0!</v>
      </c>
      <c r="KN237" s="454" t="e">
        <f t="shared" ca="1" si="881"/>
        <v>#DIV/0!</v>
      </c>
      <c r="KO237" s="274" t="e">
        <f t="shared" ca="1" si="882"/>
        <v>#DIV/0!</v>
      </c>
      <c r="KP237" s="454" t="e">
        <f t="shared" ca="1" si="784"/>
        <v>#DIV/0!</v>
      </c>
      <c r="KQ237" s="454" t="e">
        <f t="shared" ca="1" si="785"/>
        <v>#DIV/0!</v>
      </c>
      <c r="KR237" s="454" t="e">
        <f t="shared" ca="1" si="786"/>
        <v>#DIV/0!</v>
      </c>
      <c r="KS237" s="454" t="e">
        <f t="shared" ca="1" si="787"/>
        <v>#DIV/0!</v>
      </c>
      <c r="KT237" s="455" t="e">
        <f t="shared" ca="1" si="788"/>
        <v>#DIV/0!</v>
      </c>
      <c r="KU237" s="456" t="e">
        <f ca="1">IF($CP237-Control!$C$149&lt;0, IF($NT237-0.01&lt;0,0,1),0)</f>
        <v>#N/A</v>
      </c>
      <c r="KV237" s="456" t="e">
        <f ca="1">IF(Control!$C$114=1,MAX(0,MIN(Control!$C$125*$KW237*$GN237,$KW237)))</f>
        <v>#DIV/0!</v>
      </c>
      <c r="KW237" s="456" t="e">
        <f t="shared" ca="1" si="915"/>
        <v>#DIV/0!</v>
      </c>
      <c r="KX237" s="457" t="e">
        <f ca="1">IF($CP237-Control!$C$149&lt;0, IF($MR237-$OM237&lt;0,0,1),0)</f>
        <v>#N/A</v>
      </c>
      <c r="KY237" s="167">
        <f t="shared" ca="1" si="883"/>
        <v>233</v>
      </c>
      <c r="KZ237" s="168">
        <f ca="1">1370*(1+0.033*COS(2*Control!$C$138*$AH237/365))</f>
        <v>1340.8241357184506</v>
      </c>
      <c r="LA237" s="169">
        <f t="shared" ca="1" si="884"/>
        <v>0.97870351226342478</v>
      </c>
      <c r="LB237" s="169">
        <f t="shared" ca="1" si="885"/>
        <v>0.20346620290648557</v>
      </c>
      <c r="LC237" s="169">
        <f ca="1">ACOS(-TAN((2*Control!$B$8/360))*TAN(Calculations!$LB237))</f>
        <v>1.632154132339015</v>
      </c>
      <c r="LD237" s="169">
        <f ca="1">((24*60)/PI())*0.082*$LA237*(($LC237*SIN(Control!$B$8*2*PI()/360))*SIN($LB237)+COS(Control!$B$8*2*PI()/360)*COS($LB237)*SIN($LC237))</f>
        <v>31.698658046007768</v>
      </c>
      <c r="LE237" s="170">
        <f t="shared" ca="1" si="789"/>
        <v>32.166225453610785</v>
      </c>
      <c r="LF237" s="170">
        <f ca="1">SIN(Control!$C$139*Control!$B$8)*SIN($HD237)</f>
        <v>0.15834759094481485</v>
      </c>
      <c r="LG237" s="170">
        <f ca="1">COS(Control!$C$139*Control!$B$8)*COS($HD237)</f>
        <v>0.60310181615502267</v>
      </c>
      <c r="LH237" s="170">
        <f ca="1">12*(1+2*ASIN(MAX(-1,MIN(1,$LF237/$LG237))/Control!$C$138))</f>
        <v>14.008112491560299</v>
      </c>
      <c r="LI237" s="170">
        <f ca="1">12*(1+2*ASIN(MAX(-1,MIN(1,(-SIN(-4*Control!$C$139)+$LF237)/$LG237))/Control!$C$138))</f>
        <v>14.896394881176846</v>
      </c>
      <c r="LJ237" s="168">
        <f ca="1">3600*($LH237*$LF237+24*$LG237*SQRT(1-$LK237*$LK237)/Control!$C$138)</f>
        <v>23989.891438205079</v>
      </c>
      <c r="LK237" s="170">
        <f t="shared" ca="1" si="790"/>
        <v>0.2625553210141765</v>
      </c>
      <c r="LL237" s="170">
        <f t="shared" ca="1" si="791"/>
        <v>0</v>
      </c>
      <c r="LM237" s="171">
        <f ca="1">Control!$C$145*$AB237</f>
        <v>6.6660906138995932E-2</v>
      </c>
      <c r="LN237" s="170">
        <f t="shared" ca="1" si="886"/>
        <v>0.54</v>
      </c>
      <c r="LO237" s="170">
        <f t="shared" ca="1" si="792"/>
        <v>0</v>
      </c>
      <c r="LP237" s="170">
        <f ca="1">Control!$C$140*((($D237+273.16)^4+($E237+273.16)^4)/2)*(0.34-0.14*SQRT($Y237))*(1.35*$AQ237/(0.75*$LD237)-0.35)</f>
        <v>-3.2464704755046001</v>
      </c>
      <c r="LQ237" s="170">
        <f ca="1">Control!$C$140*($G237+273)^4*(0.56-0.079*SQRT($Y237*10))*(0.1+0.9*$LO237)</f>
        <v>1.5241745131704001</v>
      </c>
      <c r="LR237" s="170">
        <f ca="1">$AQ237*(1-Control!$C$142)-$LQ237</f>
        <v>-1.5241745131704001</v>
      </c>
      <c r="LS237" s="170">
        <f ca="1">$AQ237*(1-Control!$C$143)-$LQ237</f>
        <v>-1.5241745131704001</v>
      </c>
      <c r="LT237" s="170">
        <f ca="1">$AQ237*(1-Control!$C$144)-$LQ237</f>
        <v>-1.5241745131704001</v>
      </c>
      <c r="LU237" s="169">
        <f ca="1">(1-Control!$C$144)*AQ237-LP237</f>
        <v>3.2464704755046001</v>
      </c>
      <c r="LV237" s="172">
        <f t="shared" ca="1" si="793"/>
        <v>0.79430000000000012</v>
      </c>
      <c r="LW237" s="170">
        <f t="shared" ca="1" si="794"/>
        <v>1.5886000000000002</v>
      </c>
      <c r="LX237" s="170">
        <f ca="1">($AC237*($LR237/Control!$C$141)+$LM237*$LV237)/($AC237+$LM237)</f>
        <v>0.23530094218323697</v>
      </c>
      <c r="LY237" s="170">
        <f ca="1">($AC237*($LS237/Control!$C$141)+$LM237*$LV237)/($AC237+$LM237)</f>
        <v>0.23530094218323697</v>
      </c>
      <c r="LZ237" s="170">
        <f t="shared" ca="1" si="795"/>
        <v>0.23530094218323697</v>
      </c>
      <c r="MA237" s="170">
        <f t="shared" ca="1" si="796"/>
        <v>0.23530094218323697</v>
      </c>
      <c r="MB237" s="170" t="e">
        <f t="shared" ca="1" si="797"/>
        <v>#N/A</v>
      </c>
      <c r="MC237" s="170">
        <f t="shared" ca="1" si="887"/>
        <v>0.6018</v>
      </c>
      <c r="MD237" s="170">
        <f t="shared" ca="1" si="798"/>
        <v>0.52989392535414004</v>
      </c>
      <c r="ME237" s="170">
        <f ca="1">($AC237*($LT237/Control!$C$141)+$LM237*$LW237)/($AC237+$LM237)</f>
        <v>0.71612369323045078</v>
      </c>
      <c r="MF237" s="170" t="e">
        <f ca="1">IF(Control!$B$16&gt;=1000,0.92,IF(AND(720&lt;=Control!$B$16,1000&gt;Control!$B$16),(0.95+(Control!$B$16-720)*((0.92-0.95)/(1000-720))),IF(AND(360&lt;=Control!$B$16,720&gt;Control!$B$16),(1+(Control!$B$16-360)*((0.95-1)/(720-360))),IF(AND(40&lt;=Control!$B$16,360&gt;Control!$B$16),(1.05+(Control!$B$16-40)*((1.05-1)/(360-40)))))))</f>
        <v>#N/A</v>
      </c>
      <c r="MG237" s="170">
        <f t="shared" ca="1" si="799"/>
        <v>0.71612369323045078</v>
      </c>
      <c r="MH237" s="170" t="e">
        <f t="shared" ca="1" si="925"/>
        <v>#N/A</v>
      </c>
      <c r="MI237" s="170" t="e">
        <f t="shared" ca="1" si="925"/>
        <v>#N/A</v>
      </c>
      <c r="MJ237" s="170" t="e">
        <f ca="1">MAX(0.0001, Control!$C$132*$MI237*$DL237)</f>
        <v>#N/A</v>
      </c>
      <c r="MK237" s="170">
        <f ca="1">1/(0.76+1.5*($MG237/10))-(5-Control!$C$110)*0.1</f>
        <v>1.002845988140797</v>
      </c>
      <c r="ML237" s="173">
        <f ca="1">IF(Control!$C$110&lt;3,$MK237+($MG237-0.6)/(Control!$C$110*(Control!$C$110+3)), MAX(0.1, MIN(0.95,$MK237)))</f>
        <v>0.95</v>
      </c>
      <c r="MM237" s="173">
        <f ca="1">IF(Control!$C$110&lt;3,$MK237+(($MI237/10)-0.6)/(Control!$C$110*(Control!$C$110+3)), MAX(0.1, MIN(0.95,$MK237)))</f>
        <v>0.95</v>
      </c>
      <c r="MN237" s="173">
        <f ca="1">(1-$MM237)*(Control!$C$128-Control!$C$127)+Control!$C$127</f>
        <v>0.16</v>
      </c>
      <c r="MO237" s="170" t="e">
        <f ca="1">MAX(0,MIN(1,($MS237-Control!$C$127)/($MN237-Control!$C$127)))</f>
        <v>#DIV/0!</v>
      </c>
      <c r="MP237" s="173" t="e">
        <f ca="1">1/(0.76+1.5*$MI237)-(5-Control!$C$110)*0.1</f>
        <v>#N/A</v>
      </c>
      <c r="MQ237" s="172" t="e">
        <f t="shared" ca="1" si="916"/>
        <v>#DIV/0!</v>
      </c>
      <c r="MR237" s="168" t="e">
        <f t="shared" ca="1" si="888"/>
        <v>#DIV/0!</v>
      </c>
      <c r="MS237" s="173" t="e">
        <f ca="1">MAX(Control!$C$127, MIN(Control!$C$135, $MR237/MAX(0.0001,$CY237)))</f>
        <v>#DIV/0!</v>
      </c>
      <c r="MT237" s="168" t="e">
        <f ca="1">(Control!$C$128-$MS237)*Control!$C$74</f>
        <v>#DIV/0!</v>
      </c>
      <c r="MU237" s="168" t="e">
        <f ca="1">(Control!$C$135-$MS237)*Control!$C$74</f>
        <v>#DIV/0!</v>
      </c>
      <c r="MV237" s="168" t="e">
        <f t="shared" ca="1" si="889"/>
        <v>#DIV/0!</v>
      </c>
      <c r="MW237" s="168" t="e">
        <f t="shared" ca="1" si="890"/>
        <v>#DIV/0!</v>
      </c>
      <c r="MX237" s="171" t="e">
        <f ca="1">MAX(Control!$C$127, MIN(Control!$C$135, $MW237/MAX(0.0001,Control!$C$119-$CY237)))</f>
        <v>#DIV/0!</v>
      </c>
      <c r="MY237" s="54" t="e">
        <f ca="1">IF(Control!$C$114=1, $CX237*$MX237, 0)</f>
        <v>#DIV/0!</v>
      </c>
      <c r="MZ237" s="54" t="e">
        <f t="shared" ca="1" si="891"/>
        <v>#N/A</v>
      </c>
      <c r="NA237" s="168" t="e">
        <f ca="1">(Control!$C$128-$MX237)*(Control!$C$119-Control!$C$74)</f>
        <v>#DIV/0!</v>
      </c>
      <c r="NB237" s="168" t="e">
        <f ca="1">(Control!$C$135-$MX237)*(Control!$C$119-Control!$C$74)</f>
        <v>#DIV/0!</v>
      </c>
      <c r="NC237" s="174" t="e">
        <f t="shared" ca="1" si="892"/>
        <v>#DIV/0!</v>
      </c>
      <c r="ND237" s="54">
        <f ca="1">IF(Control!$C$58=2, IF(OR(Control!$B$218=$AH237,Control!$B$219=$AH237, Control!$B$220=$AH237, Control!$B$221=$AH237, Control!$B$222=$AH237, Control!$B$223=$AH237, Control!$B$224=$AH237, Control!$B$225=$AH237, Control!$B$226=$AH237, Control!$B$227=$AH237, Control!$B$228=$AH237), 1, 0), 0)</f>
        <v>0</v>
      </c>
      <c r="NE237" s="54">
        <f ca="1">IF($ND237=0,0, VLOOKUP($AH237,Control!$B$218:$C$228,2))</f>
        <v>0</v>
      </c>
      <c r="NF237" s="168" t="e">
        <f ca="1">$CY237*(Control!$C$128-Control!$C$127)</f>
        <v>#N/A</v>
      </c>
      <c r="NG237" s="54" t="e">
        <f ca="1">IF(Control!$C$58=2, $NI236-$NJ236, 0)</f>
        <v>#DIV/0!</v>
      </c>
      <c r="NH237" s="54" t="e">
        <f ca="1">IF(AND(Control!$C$58=1, $MS236&lt;= ($MN236+0.02), $I236&lt;10), 0, IF(Control!$C$58=2, $NG236, 0))</f>
        <v>#DIV/0!</v>
      </c>
      <c r="NI237" s="54" t="e">
        <f ca="1">IF(Control!$C$58=2, $NE237+$NH237,0)</f>
        <v>#DIV/0!</v>
      </c>
      <c r="NJ237" s="54" t="e">
        <f ca="1">IF(AND(Control!$C$58=1, $MS237&lt;= ($MN237+0.02), $I237&lt;10), MAX(0, MIN(10, 0.7*($NF237-$MV237))), IF(Control!$C$58=2, MIN(10,$NI237),0))</f>
        <v>#DIV/0!</v>
      </c>
      <c r="NK237" s="54" t="e">
        <f t="shared" ca="1" si="800"/>
        <v>#DIV/0!</v>
      </c>
      <c r="NL237" s="173" t="e">
        <f ca="1">(1-Control!$C$73)*$I237+$NJ237</f>
        <v>#DIV/0!</v>
      </c>
      <c r="NM237" s="172" t="e">
        <f ca="1">IF($NL237&lt;0.5, $MB237* MAX(0, MIN(1, (SQRT($NC237)-SQRT($NC237-1))*Control!$C$71)),0)</f>
        <v>#DIV/0!</v>
      </c>
      <c r="NN237" s="170" t="e">
        <f ca="1">IF($NL237&gt;=5, $MB237, MAX(0,MIN($MB237, $NM237+$NL237,($MS237-Control!$C$129))))</f>
        <v>#DIV/0!</v>
      </c>
      <c r="NO237" s="54">
        <f>IF(Control!$C$133&lt;&gt;1, Control!$C$135-Control!$C$131, 0)</f>
        <v>0.38</v>
      </c>
      <c r="NP237" s="54" t="e">
        <f t="shared" ca="1" si="801"/>
        <v>#DIV/0!</v>
      </c>
      <c r="NQ237" s="173" t="e">
        <f ca="1">MAX(0,MIN(1,(Control!$C$135-$MS237)/(Control!$C$135-$NO237)))</f>
        <v>#DIV/0!</v>
      </c>
      <c r="NR237" s="170" t="e">
        <f ca="1">IF(Control!$C$133&lt;&gt;1, $NQ237+((1-$NP237/4)*(1-$NQ237)),1)</f>
        <v>#DIV/0!</v>
      </c>
      <c r="NS237" s="170" t="e">
        <f ca="1">IF(Control!$B$31=0,$MJ237,MAX(0,MIN($MV237,$MO237*$NR237*$MJ237)))</f>
        <v>#DIV/0!</v>
      </c>
      <c r="NT237" s="170" t="e">
        <f t="shared" ca="1" si="917"/>
        <v>#DIV/0!</v>
      </c>
      <c r="NU237" s="170" t="e">
        <f t="shared" ca="1" si="893"/>
        <v>#N/A</v>
      </c>
      <c r="NV237" s="170" t="e">
        <f t="shared" ca="1" si="802"/>
        <v>#N/A</v>
      </c>
      <c r="NW237" s="175" t="e">
        <f t="shared" ca="1" si="803"/>
        <v>#DIV/0!</v>
      </c>
      <c r="NX237" s="170" t="e">
        <f ca="1">MIN(Control!$C$72+$MU237, $NW237)</f>
        <v>#DIV/0!</v>
      </c>
      <c r="NY237" s="170" t="e">
        <f ca="1">IF($MT237&lt;=$NX237,MIN(Control!$C$72+$NB237,$NX237-$MT237),0)</f>
        <v>#DIV/0!</v>
      </c>
      <c r="NZ237" s="54" t="e">
        <f ca="1">IF(Control!$C$114=1,  $CX237*($MX237-Control!$C$127), 0)</f>
        <v>#DIV/0!</v>
      </c>
      <c r="OA237" s="170" t="e">
        <f t="shared" ca="1" si="804"/>
        <v>#DIV/0!</v>
      </c>
      <c r="OB237" s="170" t="e">
        <f ca="1">IF($NA237 &lt;=$NY237, MIN(Control!$C$72, $NY237-$NA237), 0)</f>
        <v>#DIV/0!</v>
      </c>
      <c r="OC237" s="168" t="e">
        <f t="shared" ca="1" si="805"/>
        <v>#DIV/0!</v>
      </c>
      <c r="OD237" s="168" t="e">
        <f t="shared" ca="1" si="894"/>
        <v>#DIV/0!</v>
      </c>
      <c r="OE237" s="170">
        <f ca="1">Control!$C$73*$I237</f>
        <v>0</v>
      </c>
      <c r="OF237" s="176" t="e">
        <f t="shared" ca="1" si="806"/>
        <v>#DIV/0!</v>
      </c>
      <c r="OG237" s="168" t="e">
        <f t="shared" ca="1" si="807"/>
        <v>#DIV/0!</v>
      </c>
      <c r="OH237" s="168" t="e">
        <f t="shared" ca="1" si="808"/>
        <v>#DIV/0!</v>
      </c>
      <c r="OI237" s="168" t="e">
        <f t="shared" ca="1" si="809"/>
        <v>#DIV/0!</v>
      </c>
      <c r="OJ237" s="168" t="e">
        <f t="shared" ca="1" si="810"/>
        <v>#DIV/0!</v>
      </c>
      <c r="OK237" s="204" t="e">
        <f t="shared" ca="1" si="811"/>
        <v>#DIV/0!</v>
      </c>
      <c r="OL237" s="177">
        <f>Control!$C$127</f>
        <v>0.15</v>
      </c>
      <c r="OM237" s="182" t="e">
        <f t="shared" ca="1" si="812"/>
        <v>#N/A</v>
      </c>
      <c r="ON237" s="177">
        <f>Control!$C$128</f>
        <v>0.35</v>
      </c>
      <c r="OO237" s="182" t="e">
        <f t="shared" ca="1" si="813"/>
        <v>#N/A</v>
      </c>
      <c r="OP237" s="138">
        <f t="shared" ca="1" si="895"/>
        <v>0</v>
      </c>
      <c r="OQ237" s="138" t="e">
        <f t="shared" ca="1" si="918"/>
        <v>#DIV/0!</v>
      </c>
      <c r="OR237" s="138" t="e">
        <f t="shared" ca="1" si="896"/>
        <v>#DIV/0!</v>
      </c>
      <c r="OS237" s="137" t="e">
        <f t="shared" ca="1" si="919"/>
        <v>#DIV/0!</v>
      </c>
      <c r="OT237" s="139" t="e">
        <f t="shared" ca="1" si="920"/>
        <v>#DIV/0!</v>
      </c>
      <c r="OU237" s="138" t="e">
        <f t="shared" ca="1" si="921"/>
        <v>#N/A</v>
      </c>
      <c r="OV237" s="138" t="e">
        <f t="shared" ca="1" si="922"/>
        <v>#DIV/0!</v>
      </c>
      <c r="OW237" s="138" t="e">
        <f t="shared" ca="1" si="897"/>
        <v>#DIV/0!</v>
      </c>
      <c r="OX237" s="138" t="e">
        <f t="shared" ca="1" si="898"/>
        <v>#DIV/0!</v>
      </c>
      <c r="OY237" s="138" t="e">
        <f t="shared" ca="1" si="899"/>
        <v>#DIV/0!</v>
      </c>
      <c r="OZ237" s="138" t="e">
        <f t="shared" ca="1" si="814"/>
        <v>#DIV/0!</v>
      </c>
      <c r="PA237" s="138" t="e">
        <f t="shared" ca="1" si="815"/>
        <v>#DIV/0!</v>
      </c>
      <c r="PB237" s="55">
        <f>IF(Control!$C$61="T", IF(Control!$C$65="F", IF($AH$6-Control!$C$60&lt;0,0,1), IF(365+$AH$6-Control!$C$60&lt;0,0,1)),0)</f>
        <v>0</v>
      </c>
      <c r="PC237" s="55">
        <f ca="1">IF(Control!$C$65="F", IF($AH$6-$HF237&lt;0,0,1), IF(365+$AH$6-$HF237&lt;0,0,1))</f>
        <v>1</v>
      </c>
      <c r="PD237" s="444">
        <f>Control!$C$118</f>
        <v>1500</v>
      </c>
      <c r="PE237" s="180" t="e">
        <f t="shared" ca="1" si="816"/>
        <v>#N/A</v>
      </c>
      <c r="PF237" s="445">
        <f t="shared" ca="1" si="900"/>
        <v>0.71612369323045078</v>
      </c>
      <c r="PT237" s="186"/>
      <c r="PU237" s="186"/>
      <c r="PV237" s="94"/>
      <c r="PW237" s="94"/>
      <c r="PX237" s="94"/>
      <c r="PY237" s="94"/>
      <c r="PZ237" s="94"/>
      <c r="QA237" s="94"/>
      <c r="QB237" s="94"/>
      <c r="QC237" s="94"/>
      <c r="QD237" s="94"/>
      <c r="QE237" s="94"/>
      <c r="QF237" s="94"/>
      <c r="QG237" s="94"/>
      <c r="QH237" s="94"/>
      <c r="QI237" s="94"/>
      <c r="QJ237" s="94"/>
      <c r="QK237" s="94"/>
      <c r="QL237" s="94"/>
      <c r="QM237" s="94"/>
      <c r="QN237" s="94"/>
      <c r="QO237" s="94"/>
      <c r="QP237" s="94"/>
    </row>
    <row r="238" spans="1:458" s="2" customFormat="1" x14ac:dyDescent="0.2">
      <c r="A238" s="395">
        <v>21</v>
      </c>
      <c r="B238" s="396">
        <v>8</v>
      </c>
      <c r="C238" s="387">
        <f ca="1">Weather_data!$B237</f>
        <v>0</v>
      </c>
      <c r="D238" s="388">
        <f ca="1">Weather_data!$F237</f>
        <v>0</v>
      </c>
      <c r="E238" s="388">
        <f ca="1">Weather_data!$E237</f>
        <v>0</v>
      </c>
      <c r="F238" s="388">
        <f t="shared" ca="1" si="817"/>
        <v>0</v>
      </c>
      <c r="G238" s="388">
        <f ca="1">AVERAGE($D238:$E238)+Control!$B$9</f>
        <v>0</v>
      </c>
      <c r="H238" s="388">
        <f ca="1">Weather_data!$G237</f>
        <v>0</v>
      </c>
      <c r="I238" s="388">
        <f ca="1">Weather_data!$I237</f>
        <v>0</v>
      </c>
      <c r="J238" s="388">
        <f ca="1">Weather_data!$H237</f>
        <v>0</v>
      </c>
      <c r="K238" s="389">
        <f ca="1">Weather_data!$D237</f>
        <v>0</v>
      </c>
      <c r="L238" s="388" t="e">
        <f t="shared" ca="1" si="818"/>
        <v>#N/A</v>
      </c>
      <c r="M238" s="388" t="e">
        <f t="shared" ca="1" si="696"/>
        <v>#N/A</v>
      </c>
      <c r="N238" s="388">
        <f t="shared" ca="1" si="697"/>
        <v>-1.2112455493136763E-11</v>
      </c>
      <c r="O238" s="388">
        <f t="shared" ca="1" si="819"/>
        <v>1.2112455493136763E-10</v>
      </c>
      <c r="P238" s="390">
        <v>3</v>
      </c>
      <c r="Q238" s="388">
        <f ca="1">MAX($G238-Control!$C$107,0)</f>
        <v>0</v>
      </c>
      <c r="R238" s="388">
        <f t="shared" ca="1" si="820"/>
        <v>0</v>
      </c>
      <c r="S238" s="388">
        <f t="shared" ca="1" si="698"/>
        <v>0</v>
      </c>
      <c r="T238" s="388">
        <f t="shared" ca="1" si="699"/>
        <v>0</v>
      </c>
      <c r="U238" s="59">
        <f t="shared" ca="1" si="700"/>
        <v>0</v>
      </c>
      <c r="V238" s="391">
        <f ca="1">MAX(0,MIN(Control!$C$100-Control!$C$99,$G238-Control!$C$99)*Control!$C$63)</f>
        <v>0</v>
      </c>
      <c r="W238" s="388">
        <f t="shared" ca="1" si="821"/>
        <v>0</v>
      </c>
      <c r="X238" s="388">
        <f t="shared" ca="1" si="822"/>
        <v>0.6110000000000001</v>
      </c>
      <c r="Y238" s="388">
        <f t="shared" ca="1" si="701"/>
        <v>0</v>
      </c>
      <c r="Z238" s="388">
        <f t="shared" ca="1" si="823"/>
        <v>0.61058800000000002</v>
      </c>
      <c r="AA238" s="388">
        <f t="shared" ca="1" si="702"/>
        <v>0.6018</v>
      </c>
      <c r="AB238" s="388">
        <f ca="1">101.3*EXP(-0.034*Control!$C$66/($G238+273))</f>
        <v>100.69623283836242</v>
      </c>
      <c r="AC238" s="392">
        <f t="shared" ca="1" si="703"/>
        <v>4.3460251046025113E-2</v>
      </c>
      <c r="AD238" s="392">
        <f t="shared" ca="1" si="704"/>
        <v>4.4450382862832649E-2</v>
      </c>
      <c r="AE238" s="388">
        <f t="shared" ca="1" si="705"/>
        <v>0</v>
      </c>
      <c r="AF238" s="388">
        <f ca="1">MAX(0,$G238-Control!$C$92)</f>
        <v>0</v>
      </c>
      <c r="AG238" s="393">
        <f t="shared" ca="1" si="706"/>
        <v>234</v>
      </c>
      <c r="AH238" s="389">
        <f t="shared" ca="1" si="707"/>
        <v>234</v>
      </c>
      <c r="AI238" s="388">
        <f t="shared" ca="1" si="824"/>
        <v>0.19626077410859544</v>
      </c>
      <c r="AJ238" s="388">
        <f ca="1">IF(Control!$C$60&lt;=0,$HH238,$HI238)</f>
        <v>1</v>
      </c>
      <c r="AK238" s="388">
        <f t="shared" ca="1" si="708"/>
        <v>2.6509877734401543</v>
      </c>
      <c r="AL238" s="388">
        <f t="shared" ca="1" si="709"/>
        <v>-2.1641820280304812E-18</v>
      </c>
      <c r="AM238" s="388">
        <f t="shared" ca="1" si="710"/>
        <v>2.6509877734401543</v>
      </c>
      <c r="AN238" s="388">
        <f t="shared" ca="1" si="711"/>
        <v>0.18854232534396062</v>
      </c>
      <c r="AO238" s="388">
        <f ca="1">-0.10453/COS(Control!$B$8*PI()/180)*COS(AN238)</f>
        <v>-0.16677601947624499</v>
      </c>
      <c r="AP238" s="388">
        <f ca="1">ACOS(AO238-TAN(Control!$B$8*PI()/180)*TAN(AN238))</f>
        <v>1.9943470267843872</v>
      </c>
      <c r="AQ238" s="388">
        <f t="shared" ca="1" si="825"/>
        <v>0</v>
      </c>
      <c r="AR238" s="394">
        <f t="shared" ca="1" si="712"/>
        <v>0</v>
      </c>
      <c r="AS238" s="436">
        <f ca="1">IF(Control!$B$18=2,(IF(OR($AH238=Control!$B$175,$AH238=Control!$B$176,$AH238=Control!$B$177,$AH238=Control!$B$178,$AH238=Control!$B$179,$AH238=Control!$B$180,$AH238=Control!$B$181,$AH238=Control!$B$182,$AH238=Control!$B$183,$AH238=Control!$B$184,$AH238=Control!$B$185),1,0)),0)</f>
        <v>0</v>
      </c>
      <c r="AT238" s="436">
        <f>IF(Control!$B$20=8,IF(AND($AH238&gt;=Control!$B$172,$AH238&lt;=Control!$B$173),1,0),0)</f>
        <v>0</v>
      </c>
      <c r="AU238" s="436">
        <f>IF(Control!$B$20=8,IF($AV237=1,1*$AT238,IF($AT238=1,$AU237+1,$AU237)),0)</f>
        <v>0</v>
      </c>
      <c r="AV238" s="436">
        <f>IF(Control!$B$20=8,IF($AU238&gt;=Control!$B$174,1,0),0)</f>
        <v>0</v>
      </c>
      <c r="AW238" s="436">
        <f ca="1">IF(AND(Control!$B$18=2,Control!$B$171=1), $AV238, $AS238)</f>
        <v>0</v>
      </c>
      <c r="AX238" s="436" t="e">
        <f ca="1">IF(AND(Control!$B$18=1,$EU238&gt;=Control!$B$19),-$AY238,IF(AND(Control!$B$18=2,$AW238=1,$EU238&gt;$DS238),-$AY238, IF(Control!$C$108=0,0, IF(Control!$C$108&lt;&gt;0,1))))</f>
        <v>#N/A</v>
      </c>
      <c r="AY238" s="436" t="e">
        <f t="shared" ca="1" si="826"/>
        <v>#N/A</v>
      </c>
      <c r="AZ238" s="436" t="e">
        <f ca="1">IF(AND(Control!$B$18=1,$EB238&gt;Control!$B$19),$AZ237+1, IF(AND(Control!$B$18=2, $AW238=1, $EB238&gt;$DS238), $AZ237+1,$AZ237))</f>
        <v>#N/A</v>
      </c>
      <c r="BA238" s="587">
        <f>IF(Control!$C$81=0,1,IF($AH238&gt;=Control!$C$82,1,0))</f>
        <v>1</v>
      </c>
      <c r="BB238" s="140" t="e">
        <f ca="1">IF($BA238&gt;$BA237,Control!$C$83,IF($AW238&gt;0,$AW238*Control!$C$84,IF(AND(Control!$B$18=1,EN237&lt;&gt;0),Control!$C$84,0)))</f>
        <v>#N/A</v>
      </c>
      <c r="BC238" s="140" t="e">
        <f t="shared" ca="1" si="827"/>
        <v>#N/A</v>
      </c>
      <c r="BD238" s="140" t="e">
        <f ca="1">BC238*IF(OR($G238&lt;Control!$C$92,$G238&gt;Control!$C$95),0,IF(AND($G238&gt;=Control!$C$92,$G238&lt;=Control!$C$93),$G238-Control!$C$92,IF(AND($G238&gt;Control!$C$93,$G238&lt;=Control!$C$94),Control!$C$93-Control!$C$92,IF(AND($G238&gt;Control!$C$94,$G238&lt;=Control!$C$95),(Control!$C$93-Control!$C$92)*(Control!$C$94-$G238)/(Control!$C$95-Control!$C$94)))))</f>
        <v>#N/A</v>
      </c>
      <c r="BE238" s="140" t="e">
        <f t="shared" ca="1" si="828"/>
        <v>#N/A</v>
      </c>
      <c r="BF238" s="140" t="e">
        <f ca="1">IF($BE238&lt;=Control!$C$86,$BE238,Control!$C$86-$BE238)</f>
        <v>#N/A</v>
      </c>
      <c r="BG238" s="140" t="e">
        <f ca="1">IF(AND($AW238=1,Control!$C$84&lt;9),1,IF($BE238&gt;=Control!$C$86,0,$BC238))</f>
        <v>#N/A</v>
      </c>
      <c r="BH238" s="404" t="e">
        <f ca="1">IF($BG238=0,0,IF($BE238&lt;=Control!$C$86,$BC238*9*($BF238/Control!$C$86),0))</f>
        <v>#N/A</v>
      </c>
      <c r="BI238" s="140" t="e">
        <f ca="1">IF($BG238=1,0,IF($BE238&gt;=Control!$C$86,1,IF(AND($BB238&lt;21,$BB238&gt;=9),1,$BM237)))</f>
        <v>#N/A</v>
      </c>
      <c r="BJ238" s="140" t="e">
        <f ca="1">IF($BF238&lt;0,-$BF238,$BI238*IF(OR($G238&lt;Control!$C$92,$G238&gt;Control!$C$95),0,IF(AND($G238&gt;=Control!$C$92,$G238&lt;=Control!$C$93),$G238-Control!$C$92,IF(AND($G238&gt;Control!$C$93,$G238&lt;=Control!$C$94),Control!$C$93-Control!$C$92,IF(AND($G238&gt;Control!$C$94,$G238&lt;=Control!$C$95),(Control!$C$93-Control!$C$92)*(Control!$C$94-$G238)/(Control!$C$95-Control!$C$94))))))</f>
        <v>#N/A</v>
      </c>
      <c r="BK238" s="140" t="e">
        <f t="shared" ca="1" si="829"/>
        <v>#N/A</v>
      </c>
      <c r="BL238" s="140" t="e">
        <f ca="1">IF($BK238&lt;=Control!$C$87,$BK238,Control!$C$87-$BK238)</f>
        <v>#N/A</v>
      </c>
      <c r="BM238" s="140" t="e">
        <f ca="1">IF(AND($BB238&gt;=9,$BB238&lt;21),1,IF($BK238&gt;=Control!$C$87,0,$BI238))</f>
        <v>#N/A</v>
      </c>
      <c r="BN238" s="404" t="e">
        <f ca="1">IF($BM238=0,0,IF($BK238&lt;=Control!$C$87,$BI238*(9+(21-9)*($BL238/Control!$C$87)),0))</f>
        <v>#N/A</v>
      </c>
      <c r="BO238" s="140" t="e">
        <f ca="1">IF($BM238=1,0,IF($BK238&gt;=Control!$C$87,1,IF(AND($BB238&lt;30,$BB238&gt;=21),1,$BS237)))</f>
        <v>#N/A</v>
      </c>
      <c r="BP238" s="140" t="e">
        <f ca="1">IF($BL238&lt;0,-$BL238,$BO238*IF(OR($G238&lt;Control!$C$92,$G238&gt;Control!$C$95),0,IF(AND($G238&gt;=Control!$C$92,$G238&lt;=Control!$C$93),$G238-Control!$C$92,IF(AND($G238&gt;Control!$C$93,$G238&lt;=Control!$C$94),Control!$C$93-Control!$C$92,IF(AND($G238&gt;Control!$C$94,$G238&lt;=Control!$C$95),(Control!$C$93-Control!$C$92)*(Control!$C$94-$G238)/(Control!$C$95-Control!$C$94))))))</f>
        <v>#N/A</v>
      </c>
      <c r="BQ238" s="140" t="e">
        <f t="shared" ca="1" si="713"/>
        <v>#N/A</v>
      </c>
      <c r="BR238" s="140" t="e">
        <f ca="1">IF($BQ238&lt;=Control!$C$88,$BQ238,Control!$C$88-$BQ238)</f>
        <v>#N/A</v>
      </c>
      <c r="BS238" s="140" t="e">
        <f ca="1">IF(AND($BB238&gt;=21,$BB238&lt;30),1,IF($BQ238&gt;=Control!$C$88,0,$BO238))</f>
        <v>#N/A</v>
      </c>
      <c r="BT238" s="404" t="e">
        <f ca="1">IF($BS238=0,0,IF($BQ238&lt;=Control!$C$88,$BO238*(21+(30-21)*(BR238/Control!$C$88)),0))</f>
        <v>#N/A</v>
      </c>
      <c r="BU238" s="140" t="e">
        <f ca="1">IF(BG238+BM238+BS238=1,0,IF(OR(AND($BB238&lt;60,$BB238&gt;=30),$BQ238&gt;=Control!$C$88),1*$BA238,$BY237))</f>
        <v>#N/A</v>
      </c>
      <c r="BV238" s="140" t="e">
        <f ca="1">IF($BR238&lt;0,-$BR238,$BU238*IF(OR($G238&lt;Control!$C$92,$G238&gt;Control!$C$95),0,IF(AND($G238&gt;=Control!$C$92,$G238&lt;=Control!$C$93),$G238-Control!$C$92,IF(AND($G238&gt;Control!$C$93,$G238&lt;=Control!$C$94),Control!$C$93-Control!$C$92,IF(AND($G238&gt;Control!$C$94,$G238&lt;=Control!$C$95),(Control!$C$93-Control!$C$92)*(Control!$C$94-$G238)/(Control!$C$95-Control!$C$94))))))</f>
        <v>#N/A</v>
      </c>
      <c r="BW238" s="140" t="e">
        <f t="shared" ca="1" si="714"/>
        <v>#N/A</v>
      </c>
      <c r="BX238" s="140" t="e">
        <f ca="1">IF($BW238&lt;=Control!$C$89,$BW238,Control!$C$89-$BW238)</f>
        <v>#N/A</v>
      </c>
      <c r="BY238" s="140" t="e">
        <f ca="1">IF(AND($AJ238&gt;=30,$AJ238&lt;60),1,IF($BW238&gt;=Control!$C$89,0,$BU238))</f>
        <v>#N/A</v>
      </c>
      <c r="BZ238" s="404" t="e">
        <f ca="1">IF($BY238=0,0,IF($BW238&lt;=Control!$C$89,$BU238*(30+(60-30)*(BX238/Control!$C$89)),0))</f>
        <v>#N/A</v>
      </c>
      <c r="CA238" s="140" t="e">
        <f ca="1">IF($BG238+$BM238+$BS238+$BY238=1,0,IF(OR(AND($BB238&lt;65,$BB238&gt;=60),$BW238&gt;=Control!$C$89),1*$BA238,$CE237))</f>
        <v>#N/A</v>
      </c>
      <c r="CB238" s="140" t="e">
        <f ca="1">IF($BX238&lt;0,-$BX238,$CA238*IF(OR($G238&lt;Control!$C$92,$G238&gt;Control!$C$95),0,IF(AND($G238&gt;=Control!$C$92,$G238&lt;=Control!$C$93),$G238-Control!$C$92,IF(AND($G238&gt;Control!$C$93,$G238&lt;=Control!$C$94),Control!$C$93-Control!$C$92,IF(AND($G238&gt;Control!$C$94,$G238&lt;=Control!$C$95),(Control!$C$93-Control!$C$92)*(Control!$C$94-$G238)/(Control!$C$95-Control!$C$94))))))</f>
        <v>#N/A</v>
      </c>
      <c r="CC238" s="140" t="e">
        <f t="shared" ca="1" si="830"/>
        <v>#N/A</v>
      </c>
      <c r="CD238" s="140" t="e">
        <f ca="1">IF($CC238&lt;=Control!$C$90,$CC238,Control!$C$90-$CC238)</f>
        <v>#N/A</v>
      </c>
      <c r="CE238" s="140" t="e">
        <f ca="1">IF(AND($BB238&gt;=60,$BB238&lt;65),1,IF($CC238&gt;=Control!$C$90,0,$CA238))</f>
        <v>#N/A</v>
      </c>
      <c r="CF238" s="404" t="e">
        <f ca="1">IF($CE238=0,0,IF($CC238&lt;=Control!$C$90,$CA238*(60+(65-60)*(CD238/Control!$C$90)),0))</f>
        <v>#N/A</v>
      </c>
      <c r="CG238" s="140" t="e">
        <f ca="1">IF($BG238+$BM238+$BS238+$BY238+$CE238=1,0,IF(OR(AND($BB238&lt;90,$BB238&gt;=65),$CC238&gt;=Control!$C$90),$BA238,$CK237))</f>
        <v>#N/A</v>
      </c>
      <c r="CH238" s="140" t="e">
        <f ca="1">IF($CD238&lt;0,-$CD238,$CG238*IF(OR($G238&lt;Control!$C$92,$G238&gt;Control!$C$95),0,IF(AND($G238&gt;=Control!$C$92,$G238&lt;=Control!$C$93),$G238-Control!$C$92,IF(AND($G238&gt;Control!$C$93,$G238&lt;=Control!$C$94),Control!$C$93-Control!$C$92,IF(AND($G238&gt;Control!$C$94,$G238&lt;=Control!$C$95),(Control!$C$93-Control!$C$92)*(Control!$C$94-$G238)/(Control!$C$95-Control!$C$94))))))</f>
        <v>#N/A</v>
      </c>
      <c r="CI238" s="140" t="e">
        <f t="shared" ca="1" si="831"/>
        <v>#N/A</v>
      </c>
      <c r="CJ238" s="140" t="e">
        <f ca="1">IF($CI238&lt;=Control!$C$91,$CI238,Control!$C$91-$CI238)</f>
        <v>#N/A</v>
      </c>
      <c r="CK238" s="140" t="e">
        <f ca="1">IF(AND($BB238&gt;=65,$BB238&lt;90),1,IF($CI238&gt;=Control!$C$91,0,$CG238))</f>
        <v>#N/A</v>
      </c>
      <c r="CL238" s="404" t="e">
        <f ca="1">IF($CK238=0,0,IF($CI238&lt;=Control!$C$91,$CG238*(65+(90-65)*($CJ238/Control!$C$91)),0))</f>
        <v>#N/A</v>
      </c>
      <c r="CM238" s="140" t="e">
        <f ca="1">IF($BG238+$BM238+$BS238+$BY238+$CE238+$CK238=1,0,IF(OR($BB238&gt;=90,$CI238&gt;=Control!$C$91),$BA238,$CM237))</f>
        <v>#N/A</v>
      </c>
      <c r="CN238" s="140" t="e">
        <f t="shared" ca="1" si="832"/>
        <v>#N/A</v>
      </c>
      <c r="CO238" s="140" t="e">
        <f t="shared" ca="1" si="833"/>
        <v>#N/A</v>
      </c>
      <c r="CP238" s="140" t="e">
        <f t="shared" ca="1" si="834"/>
        <v>#N/A</v>
      </c>
      <c r="CQ238" s="141" t="e">
        <f ca="1">VLOOKUP($CP238,Control!$B$86:$G$91,6)</f>
        <v>#N/A</v>
      </c>
      <c r="CR238" s="141" t="e">
        <f ca="1">(1-$CQ238)*VLOOKUP($CP238,Control!$B$86:$D$91,3)</f>
        <v>#N/A</v>
      </c>
      <c r="CS238" s="141" t="e">
        <f ca="1">(1-$CQ238)*VLOOKUP($CP238,Control!$B$86:$E$91,4)</f>
        <v>#N/A</v>
      </c>
      <c r="CT238" s="141" t="e">
        <f ca="1">(1-$CQ238)*VLOOKUP($CP238,Control!$B$86:$F$91,5)</f>
        <v>#N/A</v>
      </c>
      <c r="CU238" s="141">
        <f t="shared" ca="1" si="835"/>
        <v>0</v>
      </c>
      <c r="CV238" s="583">
        <f t="shared" ca="1" si="836"/>
        <v>0</v>
      </c>
      <c r="CW238" s="142">
        <f t="shared" ca="1" si="837"/>
        <v>234</v>
      </c>
      <c r="CX238" s="612" t="e">
        <f ca="1">IF(Control!$C$114=1,(MIN(Control!$C$120*(IF($NT238-0.01&lt;0,0,1)),Control!$C$119-$CY238)))</f>
        <v>#DIV/0!</v>
      </c>
      <c r="CY238" s="143" t="e">
        <f t="shared" ca="1" si="838"/>
        <v>#N/A</v>
      </c>
      <c r="CZ238" s="144">
        <f t="shared" ca="1" si="715"/>
        <v>0</v>
      </c>
      <c r="DA238" s="144">
        <f t="shared" ca="1" si="716"/>
        <v>0</v>
      </c>
      <c r="DB238" s="144" t="e">
        <f t="shared" ca="1" si="717"/>
        <v>#N/A</v>
      </c>
      <c r="DC238" s="144" t="e">
        <f t="shared" ca="1" si="718"/>
        <v>#N/A</v>
      </c>
      <c r="DD238" s="144" t="e">
        <f t="shared" ca="1" si="923"/>
        <v>#N/A</v>
      </c>
      <c r="DE238" s="143" t="e">
        <f t="shared" ca="1" si="839"/>
        <v>#N/A</v>
      </c>
      <c r="DF238" s="145" t="e">
        <f ca="1">$DR238*EXP(-Control!$C$158*(1-$KH238))</f>
        <v>#N/A</v>
      </c>
      <c r="DG238" s="146" t="e">
        <f ca="1">IF(Control!$C$114=1, $DF238*$EY238, 0)</f>
        <v>#N/A</v>
      </c>
      <c r="DH238" s="147" t="e">
        <f t="shared" ca="1" si="840"/>
        <v>#N/A</v>
      </c>
      <c r="DI238" s="144" t="e">
        <f t="shared" ca="1" si="901"/>
        <v>#N/A</v>
      </c>
      <c r="DJ238" s="147" t="e">
        <f ca="1">$EF238*Control!$C$109</f>
        <v>#N/A</v>
      </c>
      <c r="DK238" s="144" t="e">
        <f t="shared" ca="1" si="841"/>
        <v>#N/A</v>
      </c>
      <c r="DL238" s="144" t="e">
        <f t="shared" ca="1" si="719"/>
        <v>#N/A</v>
      </c>
      <c r="DM238" s="144" t="e">
        <f ca="1">IF(Control!$C$114=1, (1-EXP(-Control!$C$96*$DK238))*$AR238, 0)</f>
        <v>#N/A</v>
      </c>
      <c r="DN238" s="144">
        <f t="shared" ca="1" si="842"/>
        <v>0</v>
      </c>
      <c r="DO238" s="148">
        <f>Control!$C$97</f>
        <v>4</v>
      </c>
      <c r="DP238" s="145" t="e">
        <f t="shared" ca="1" si="843"/>
        <v>#N/A</v>
      </c>
      <c r="DQ238" s="145" t="e">
        <f ca="1">IF(AND($CP238&gt;=0,$CP238&lt;=90),Control!$C$111,Control!$C$111)</f>
        <v>#N/A</v>
      </c>
      <c r="DR238" s="145" t="e">
        <f t="shared" ca="1" si="720"/>
        <v>#N/A</v>
      </c>
      <c r="DS238" s="143" t="e">
        <f ca="1">Control!$B$22/$DR238</f>
        <v>#N/A</v>
      </c>
      <c r="DT238" s="149" t="e">
        <f ca="1">IF(AND(Control!$C$114=1,$KH238&lt;1),$IM238*$DF238, 0)</f>
        <v>#N/A</v>
      </c>
      <c r="DU238" s="144" t="e">
        <f t="shared" ca="1" si="844"/>
        <v>#N/A</v>
      </c>
      <c r="DV238" s="144">
        <f ca="1">IF($G238-Control!$C$107&lt;=0, 0, 0.83*LN(MAX($G238, 3))-0.8924)</f>
        <v>0</v>
      </c>
      <c r="DW238" s="144" t="e">
        <f t="shared" ca="1" si="721"/>
        <v>#N/A</v>
      </c>
      <c r="DX238" s="150" t="e">
        <f ca="1">MAX(0.01*(1+$CU238/Control!$C$102),0.05*($DK238-Control!$C$97)/Control!$C$97)</f>
        <v>#N/A</v>
      </c>
      <c r="DY238" s="151" t="e">
        <f ca="1">IF(Control!$C$114=1, $DI238*$FS238, 0)</f>
        <v>#N/A</v>
      </c>
      <c r="DZ238" s="196" t="e">
        <f t="shared" ca="1" si="845"/>
        <v>#N/A</v>
      </c>
      <c r="EA238" s="152">
        <f t="shared" ca="1" si="846"/>
        <v>234</v>
      </c>
      <c r="EB238" s="153" t="e">
        <f t="shared" ca="1" si="847"/>
        <v>#N/A</v>
      </c>
      <c r="EC238" s="153" t="e">
        <f t="shared" ca="1" si="848"/>
        <v>#N/A</v>
      </c>
      <c r="ED238" s="154" t="e">
        <f ca="1">IF(Control!$C$114=1, $HM238*$FY238-$FD238, 0)</f>
        <v>#DIV/0!</v>
      </c>
      <c r="EE238" s="155" t="e">
        <f ca="1">IF(Control!$C$114=1, $HM238*$FZ238-$FF238, 0)</f>
        <v>#DIV/0!</v>
      </c>
      <c r="EF238" s="153" t="e">
        <f t="shared" ca="1" si="902"/>
        <v>#N/A</v>
      </c>
      <c r="EG238" s="155" t="e">
        <f ca="1">IF(Control!$C$114=1, $GX238*$FW238-$FI238, 0)</f>
        <v>#DIV/0!</v>
      </c>
      <c r="EH238" s="153" t="e">
        <f t="shared" ca="1" si="849"/>
        <v>#N/A</v>
      </c>
      <c r="EI238" s="156" t="e">
        <f t="shared" ca="1" si="850"/>
        <v>#N/A</v>
      </c>
      <c r="EJ238" s="155" t="e">
        <f ca="1">IF(Control!$C$114=1, $HM238*$GB238, 0)</f>
        <v>#DIV/0!</v>
      </c>
      <c r="EK238" s="153" t="e">
        <f t="shared" ca="1" si="903"/>
        <v>#N/A</v>
      </c>
      <c r="EL238" s="153" t="e">
        <f t="shared" ca="1" si="722"/>
        <v>#N/A</v>
      </c>
      <c r="EM238" s="153" t="e">
        <f t="shared" ca="1" si="723"/>
        <v>#N/A</v>
      </c>
      <c r="EN238" s="153" t="e">
        <f ca="1">IF(Control!$C$108=1,IF(AND(Control!$B$18=1,$EB238&gt;=Control!$B$19),$EB238-$DS238,IF(AND(Control!$B$18=2,$AW238=1,$EB238&gt;$DS238),$EB238-$DS238,0)))</f>
        <v>#N/A</v>
      </c>
      <c r="EO238" s="153" t="e">
        <f ca="1">IF(Control!$C$108=1,IF(AND(Control!$B$18=1,$EB238&gt;=Control!$B$19),$EF238,IF(AND(Control!$B$18=2,$AW238=1),$EF238,0)))</f>
        <v>#N/A</v>
      </c>
      <c r="EP238" s="153" t="e">
        <f ca="1">IF(Control!$C$108=1,IF(AND(Control!$B$18=1,$EB238&gt;=Control!$B$19),$EK238,IF(AND(Control!$B$18=2,$AW238=1),$EK238,0)))</f>
        <v>#N/A</v>
      </c>
      <c r="EQ238" s="153" t="e">
        <f t="shared" ca="1" si="851"/>
        <v>#N/A</v>
      </c>
      <c r="ER238" s="153" t="e">
        <f t="shared" ca="1" si="852"/>
        <v>#N/A</v>
      </c>
      <c r="ES238" s="153" t="e">
        <f t="shared" ca="1" si="904"/>
        <v>#N/A</v>
      </c>
      <c r="ET238" s="153" t="e">
        <f t="shared" ca="1" si="905"/>
        <v>#N/A</v>
      </c>
      <c r="EU238" s="153" t="e">
        <f t="shared" ca="1" si="853"/>
        <v>#N/A</v>
      </c>
      <c r="EV238" s="153" t="e">
        <f t="shared" ca="1" si="724"/>
        <v>#N/A</v>
      </c>
      <c r="EW238" s="153" t="e">
        <f t="shared" ca="1" si="725"/>
        <v>#N/A</v>
      </c>
      <c r="EX238" s="153" t="e">
        <f t="shared" ca="1" si="726"/>
        <v>#N/A</v>
      </c>
      <c r="EY238" s="157" t="e">
        <f t="shared" ca="1" si="727"/>
        <v>#DIV/0!</v>
      </c>
      <c r="EZ238" s="154" t="e">
        <f t="shared" ca="1" si="728"/>
        <v>#DIV/0!</v>
      </c>
      <c r="FA238" s="153" t="e">
        <f t="shared" ca="1" si="854"/>
        <v>#N/A</v>
      </c>
      <c r="FB238" s="153" t="e">
        <f t="shared" ca="1" si="729"/>
        <v>#N/A</v>
      </c>
      <c r="FC238" s="193" t="e">
        <f t="shared" ca="1" si="730"/>
        <v>#N/A</v>
      </c>
      <c r="FD238" s="158" t="e">
        <f t="shared" ca="1" si="855"/>
        <v>#N/A</v>
      </c>
      <c r="FE238" s="158" t="e">
        <f t="shared" ca="1" si="856"/>
        <v>#N/A</v>
      </c>
      <c r="FF238" s="159" t="e">
        <f t="shared" ca="1" si="731"/>
        <v>#N/A</v>
      </c>
      <c r="FG238" s="160" t="e">
        <f t="shared" ca="1" si="857"/>
        <v>#N/A</v>
      </c>
      <c r="FH238" s="158" t="e">
        <f t="shared" ca="1" si="858"/>
        <v>#N/A</v>
      </c>
      <c r="FI238" s="159" t="e">
        <f t="shared" ca="1" si="732"/>
        <v>#N/A</v>
      </c>
      <c r="FJ238" s="160" t="e">
        <f t="shared" ca="1" si="859"/>
        <v>#N/A</v>
      </c>
      <c r="FK238" s="160" t="e">
        <f t="shared" ca="1" si="733"/>
        <v>#N/A</v>
      </c>
      <c r="FL238" s="160" t="e">
        <f t="shared" ca="1" si="906"/>
        <v>#N/A</v>
      </c>
      <c r="FM238" s="160" t="e">
        <f t="shared" ca="1" si="734"/>
        <v>#N/A</v>
      </c>
      <c r="FN238" s="158">
        <f t="shared" ca="1" si="860"/>
        <v>0.01</v>
      </c>
      <c r="FO238" s="160">
        <f>Control!$C$101</f>
        <v>50</v>
      </c>
      <c r="FP238" s="150" t="e">
        <f t="shared" ca="1" si="735"/>
        <v>#N/A</v>
      </c>
      <c r="FQ238" s="150" t="e">
        <f ca="1">MAX(0,(Control!$C$112*(($DK238-Control!$C$97)/Control!$C$97)))</f>
        <v>#N/A</v>
      </c>
      <c r="FR238" s="150" t="e">
        <f ca="1">(1-$NT238)*Control!$C$113</f>
        <v>#DIV/0!</v>
      </c>
      <c r="FS238" s="198" t="e">
        <f t="shared" ca="1" si="736"/>
        <v>#N/A</v>
      </c>
      <c r="FT238" s="161">
        <f t="shared" ca="1" si="861"/>
        <v>234</v>
      </c>
      <c r="FU238" s="162" t="e">
        <f ca="1">IF(Control!$B$34=1,VLOOKUP($CP238,Control!$B$86:$G$91,6),Control!$B$35)</f>
        <v>#N/A</v>
      </c>
      <c r="FV238" s="162" t="e">
        <f t="shared" ca="1" si="737"/>
        <v>#DIV/0!</v>
      </c>
      <c r="FW238" s="162" t="e">
        <f ca="1">IF(Control!$B$31=1,$FU238*$FV238,  $FU238)</f>
        <v>#N/A</v>
      </c>
      <c r="FX238" s="162" t="e">
        <f ca="1">IF(Control!$B$34=1,VLOOKUP($CP238,Control!$B$86:$G$91,3),Control!$B$36)</f>
        <v>#N/A</v>
      </c>
      <c r="FY238" s="162" t="e">
        <f t="shared" ca="1" si="738"/>
        <v>#N/A</v>
      </c>
      <c r="FZ238" s="162" t="e">
        <f ca="1">IF(Control!$B$34=1,VLOOKUP($CP238,Control!$B$86:$G$91,4),Control!$B$37)</f>
        <v>#N/A</v>
      </c>
      <c r="GA238" s="162" t="e">
        <f t="shared" ca="1" si="739"/>
        <v>#N/A</v>
      </c>
      <c r="GB238" s="162" t="e">
        <f ca="1">IF(Control!$B$34=1,VLOOKUP($CP238,Control!$B$86:$G$91,5),Control!$B$38)</f>
        <v>#N/A</v>
      </c>
      <c r="GC238" s="162" t="e">
        <f t="shared" ca="1" si="862"/>
        <v>#N/A</v>
      </c>
      <c r="GD238" s="162">
        <f t="shared" ca="1" si="740"/>
        <v>1</v>
      </c>
      <c r="GE238" s="162">
        <f t="shared" ca="1" si="741"/>
        <v>1</v>
      </c>
      <c r="GF238" s="162">
        <f ca="1">IF(AND(Control!$C$104=1, Control!$C$62="F"),$GE238,1)</f>
        <v>1</v>
      </c>
      <c r="GG238" s="162" t="e">
        <f ca="1">IF(Control!$B$16=40,0,IF(AND(Control!$B$16&gt;40,Control!$B$16&lt;=360),(Control!$B$16-40)*((1-0)/(360-40)),IF(AND(Control!$B$16&gt;360,Control!$B$16&lt;=720),(1+(Control!$B$16-360)*((1.25-1)/(720-360))),IF(AND(Control!$B$16&gt;720,Control!$B$16&lt;=1000),(1.25+(Control!$B$16-720)*((1.35-1.25)/(1000-720))),IF(AND(Control!$B$16&gt;1000,Control!$B$16&lt;=2000),(1.35+(Control!$B$16-1000)*0))))))</f>
        <v>#N/A</v>
      </c>
      <c r="GH238" s="162" t="e">
        <f t="shared" ca="1" si="742"/>
        <v>#N/A</v>
      </c>
      <c r="GI238" s="162">
        <f t="shared" ca="1" si="863"/>
        <v>0</v>
      </c>
      <c r="GJ238" s="162">
        <f t="shared" ca="1" si="743"/>
        <v>0</v>
      </c>
      <c r="GK238" s="162">
        <f t="shared" ca="1" si="864"/>
        <v>1</v>
      </c>
      <c r="GL238" s="162">
        <f t="shared" ca="1" si="744"/>
        <v>1</v>
      </c>
      <c r="GM238" s="162" t="e">
        <f ca="1">MAX(0,MIN(1,1-Control!$C$156*(1.0001-$KH238)^2))</f>
        <v>#N/A</v>
      </c>
      <c r="GN238" s="162" t="e">
        <f ca="1">IF(Control!$B$26=1,$KU238,$KX238)</f>
        <v>#N/A</v>
      </c>
      <c r="GO238" s="162" t="e">
        <f ca="1">IF($CP238&lt;=60,Control!$C$105,IF($CP238&gt;=90,Control!$C$106,Control!$C$105+($CP238-60)*((Control!$C$106-Control!$C$105)/(90-60))))</f>
        <v>#N/A</v>
      </c>
      <c r="GP238" s="162" t="e">
        <f t="shared" ca="1" si="745"/>
        <v>#N/A</v>
      </c>
      <c r="GQ238" s="162" t="e">
        <f t="shared" ca="1" si="865"/>
        <v>#N/A</v>
      </c>
      <c r="GR238" s="163" t="e">
        <f t="shared" ca="1" si="746"/>
        <v>#DIV/0!</v>
      </c>
      <c r="GS238" s="162" t="e">
        <f t="shared" ca="1" si="747"/>
        <v>#DIV/0!</v>
      </c>
      <c r="GT238" s="164" t="e">
        <f t="shared" ca="1" si="866"/>
        <v>#N/A</v>
      </c>
      <c r="GU238" s="162" t="e">
        <f t="shared" ca="1" si="867"/>
        <v>#N/A</v>
      </c>
      <c r="GV238" s="162" t="e">
        <f t="shared" ca="1" si="748"/>
        <v>#N/A</v>
      </c>
      <c r="GW238" s="162" t="e">
        <f t="shared" ca="1" si="749"/>
        <v>#DIV/0!</v>
      </c>
      <c r="GX238" s="162" t="e">
        <f t="shared" ca="1" si="868"/>
        <v>#DIV/0!</v>
      </c>
      <c r="GY238" s="162" t="e">
        <f t="shared" ca="1" si="869"/>
        <v>#DIV/0!</v>
      </c>
      <c r="GZ238" s="165" t="e">
        <f t="shared" ca="1" si="750"/>
        <v>#N/A</v>
      </c>
      <c r="HA238" s="162" t="e">
        <f ca="1">IF(Control!$C$114=1, $DI238*$FS238, 0)</f>
        <v>#N/A</v>
      </c>
      <c r="HB238" s="162" t="e">
        <f ca="1">$FA238/Control!$C$64</f>
        <v>#N/A</v>
      </c>
      <c r="HC238" s="162" t="e">
        <f t="shared" ca="1" si="751"/>
        <v>#DIV/0!</v>
      </c>
      <c r="HD238" s="162">
        <f ca="1">-ASIN(SIN(23.45*Control!$C$139)*COS(2*Control!$C$138*($AH238+10)/365))</f>
        <v>0.19626077410859544</v>
      </c>
      <c r="HE238" s="165">
        <f t="shared" ca="1" si="870"/>
        <v>0</v>
      </c>
      <c r="HF238" s="166">
        <f ca="1">IF(AND(Control!$C$61="T",$HE238&gt;=Control!$C$103,Control!$C$114=0),$AH238,Control!$C$59)</f>
        <v>1</v>
      </c>
      <c r="HG238" s="166">
        <f ca="1">IF(AND(Control!$C$61="T",$HE238&gt;=Control!$C$103,Control!$C$114=0),$HF238,Control!$C$59)</f>
        <v>1</v>
      </c>
      <c r="HH238" s="165">
        <f ca="1">IF(AND(OR(Control!$C$60&lt;=0, $AH238= Control!$C$59, Control!$C$60 &gt;0, $AH238 = Control!$C$60)), Control!$C$59, IF(Control!$C$60&gt;0, 0))</f>
        <v>1</v>
      </c>
      <c r="HI238" s="165">
        <f ca="1">IF(AND(OR(Control!$C$60&lt;=0, $AH238= Control!$C$59, Control!$C$60 &gt;0, $AH238 = Control!$C$60)), Control!$C$60, IF(Control!$C$60&lt;=0, 0))</f>
        <v>0</v>
      </c>
      <c r="HJ238" s="166">
        <f ca="1">IF(AND(Control!$C$62="F",$CV238&gt;=Control!$C$102),$AH238,0)</f>
        <v>0</v>
      </c>
      <c r="HK238" s="165" t="e">
        <f t="shared" ca="1" si="907"/>
        <v>#N/A</v>
      </c>
      <c r="HL238" s="166">
        <f ca="1">IF(AND(Control!$C$61="T",$HE238&gt;=Control!$C$103,Control!$C$114=0),$HF238,0)</f>
        <v>0</v>
      </c>
      <c r="HM238" s="201" t="e">
        <f t="shared" ca="1" si="752"/>
        <v>#DIV/0!</v>
      </c>
      <c r="HN238" s="215">
        <f t="shared" ca="1" si="871"/>
        <v>234</v>
      </c>
      <c r="HO238" s="216" t="e">
        <f ca="1">IF(AND($CP238&gt;=0, $CP238&lt;=90), Control!$C$152, Control!$C$152)</f>
        <v>#N/A</v>
      </c>
      <c r="HP238" s="216" t="e">
        <f t="shared" ca="1" si="753"/>
        <v>#N/A</v>
      </c>
      <c r="HQ238" s="217" t="e">
        <f ca="1">IF(OR(Control!$B$26=1,Control!$B$26=2),$KV238,$KS238)</f>
        <v>#DIV/0!</v>
      </c>
      <c r="HR238" s="218" t="e">
        <f t="shared" ca="1" si="908"/>
        <v>#DIV/0!</v>
      </c>
      <c r="HS238" s="216" t="e">
        <f ca="1">Control!$C$154*$HP238</f>
        <v>#N/A</v>
      </c>
      <c r="HT238" s="216" t="e">
        <f ca="1">Control!$C$155*$HP238</f>
        <v>#N/A</v>
      </c>
      <c r="HU238" s="217" t="e">
        <f ca="1">Control!$C$161*$FI238</f>
        <v>#N/A</v>
      </c>
      <c r="HV238" s="218" t="e">
        <f t="shared" ca="1" si="872"/>
        <v>#N/A</v>
      </c>
      <c r="HW238" s="218" t="e">
        <f ca="1">Control!$C$160*$FF238+$IP238*$EO238</f>
        <v>#N/A</v>
      </c>
      <c r="HX238" s="218" t="e">
        <f t="shared" ca="1" si="909"/>
        <v>#N/A</v>
      </c>
      <c r="HY238" s="219" t="e">
        <f ca="1">IF(Control!$C$114=1, $EB238*$FS238, 0)</f>
        <v>#N/A</v>
      </c>
      <c r="HZ238" s="91" t="e">
        <f t="shared" ca="1" si="754"/>
        <v>#N/A</v>
      </c>
      <c r="IA238" s="220" t="e">
        <f ca="1">Control!$C$153*$HO238</f>
        <v>#N/A</v>
      </c>
      <c r="IB238" s="218" t="e">
        <f t="shared" ca="1" si="755"/>
        <v>#N/A</v>
      </c>
      <c r="IC238" s="220" t="e">
        <f ca="1">Control!$C$153*$HT238</f>
        <v>#N/A</v>
      </c>
      <c r="ID238" s="218" t="e">
        <f t="shared" ca="1" si="756"/>
        <v>#N/A</v>
      </c>
      <c r="IE238" s="221" t="e">
        <f ca="1">($EB238*Control!$C$159+$EF238*Control!$C$160)/(IF($GZ238&lt;&gt;0,$GZ238,1))</f>
        <v>#N/A</v>
      </c>
      <c r="IF238" s="216" t="e">
        <f t="shared" ca="1" si="757"/>
        <v>#N/A</v>
      </c>
      <c r="IG238" s="91">
        <f ca="1">IF(OR(Control!$B$198=$AH238,Control!$B$199=$AH238, Control!$B$200=$AH238, Control!$B$201=$AH238, Control!$B$202=$AH238, Control!$B$203=$AH238, Control!$B$204=$AH238, Control!$B$205=$AH238, Control!$B$206=$AH238, Control!$B$207=$AH238), 1, 0)</f>
        <v>0</v>
      </c>
      <c r="IH238" s="91">
        <f ca="1">IF($IG238=0,0, VLOOKUP($AH238,Control!$B$198:$C$207,2))</f>
        <v>0</v>
      </c>
      <c r="II238" s="222">
        <f t="shared" ca="1" si="873"/>
        <v>0</v>
      </c>
      <c r="IJ238" s="91">
        <f>Control!$C$121</f>
        <v>0.7</v>
      </c>
      <c r="IK238" s="218">
        <f t="shared" ca="1" si="758"/>
        <v>0</v>
      </c>
      <c r="IL238" s="217" t="e">
        <f t="shared" ca="1" si="910"/>
        <v>#N/A</v>
      </c>
      <c r="IM238" s="223" t="e">
        <f ca="1">IF(AND(Control!$C$114=1,$KH238&lt;1),$EB238*Control!$C$148*(1-$KH238), 0)</f>
        <v>#N/A</v>
      </c>
      <c r="IN238" s="217" t="e">
        <f t="shared" ca="1" si="759"/>
        <v>#DIV/0!</v>
      </c>
      <c r="IO238" s="91" t="e">
        <f ca="1">MAX(0,$IL238-$EF238*Control!$C$160)</f>
        <v>#N/A</v>
      </c>
      <c r="IP238" s="220" t="e">
        <f t="shared" ca="1" si="760"/>
        <v>#N/A</v>
      </c>
      <c r="IQ238" s="217" t="e">
        <f t="shared" ca="1" si="874"/>
        <v>#N/A</v>
      </c>
      <c r="IR238" s="218" t="e">
        <f t="shared" ca="1" si="761"/>
        <v>#N/A</v>
      </c>
      <c r="IS238" s="217" t="e">
        <f ca="1">Control!$C$159*MAX(0,$FD238-$EN238)</f>
        <v>#N/A</v>
      </c>
      <c r="IT238" s="217" t="e">
        <f t="shared" ca="1" si="911"/>
        <v>#N/A</v>
      </c>
      <c r="IU238" s="217" t="e">
        <f t="shared" ca="1" si="875"/>
        <v>#N/A</v>
      </c>
      <c r="IV238" s="217" t="e">
        <f t="shared" ca="1" si="912"/>
        <v>#N/A</v>
      </c>
      <c r="IW238" s="217" t="e">
        <f ca="1">IF(OR($AW238=1,AND($AW238=0, Control!$B$18=1,$EN238&lt;&gt;0)), $IQ238-$IU238, $IQ238)</f>
        <v>#N/A</v>
      </c>
      <c r="IX238" s="218" t="e">
        <f t="shared" ca="1" si="762"/>
        <v>#N/A</v>
      </c>
      <c r="IY238" s="218" t="e">
        <f ca="1">MAX(0,$IQ238-$EB238*Control!$C$159)</f>
        <v>#N/A</v>
      </c>
      <c r="IZ238" s="218" t="e">
        <f t="shared" ca="1" si="763"/>
        <v>#N/A</v>
      </c>
      <c r="JA238" s="216" t="e">
        <f t="shared" ca="1" si="764"/>
        <v>#N/A</v>
      </c>
      <c r="JB238" s="217" t="e">
        <f t="shared" ca="1" si="765"/>
        <v>#N/A</v>
      </c>
      <c r="JC238" s="222" t="e">
        <f ca="1">MAX(Control!$C$157*$EK238-$JT238, 0)/Control!$C$162</f>
        <v>#N/A</v>
      </c>
      <c r="JD238" s="218" t="e">
        <f t="shared" ca="1" si="766"/>
        <v>#N/A</v>
      </c>
      <c r="JE238" s="218" t="e">
        <f t="shared" ca="1" si="767"/>
        <v>#N/A</v>
      </c>
      <c r="JF238" s="218" t="e">
        <f t="shared" ca="1" si="876"/>
        <v>#N/A</v>
      </c>
      <c r="JG238" s="218" t="e">
        <f t="shared" ca="1" si="768"/>
        <v>#N/A</v>
      </c>
      <c r="JH238" s="217" t="e">
        <f t="shared" ca="1" si="877"/>
        <v>#N/A</v>
      </c>
      <c r="JI238" s="217" t="e">
        <f t="shared" ca="1" si="878"/>
        <v>#N/A</v>
      </c>
      <c r="JJ238" s="217" t="e">
        <f t="shared" ca="1" si="913"/>
        <v>#N/A</v>
      </c>
      <c r="JK238" s="217" t="e">
        <f ca="1">IF(Control!$C$114=1,IF(Control!$B$24=0,MAX(0,$JI238)*$GN238/Control!$C$64,(MAX(0,MIN($JI238,$JJ238*$GN238/Control!$C$64),0))))</f>
        <v>#N/A</v>
      </c>
      <c r="JL238" s="217" t="e">
        <f ca="1">$IK238/Control!$C$64-$JK238+$HQ238</f>
        <v>#N/A</v>
      </c>
      <c r="JM238" s="217" t="e">
        <f ca="1">IF(Control!$C$114=1,($JB238/(IF($JI238&lt;&gt;0,$JI238,1)))*$JK238,0)</f>
        <v>#N/A</v>
      </c>
      <c r="JN238" s="217" t="e">
        <f ca="1">IF(Control!$C$114=1,($JG238/(IF($JI238&lt;&gt;0,$JI238,1)))*$JK238, 0)</f>
        <v>#N/A</v>
      </c>
      <c r="JO238" s="218" t="e">
        <f t="shared" ca="1" si="769"/>
        <v>#N/A</v>
      </c>
      <c r="JP238" s="218" t="e">
        <f ca="1">MIN(($IY238+$IO238)*Control!$C$151, $JF238-$EH238*Control!$C$161)</f>
        <v>#N/A</v>
      </c>
      <c r="JQ238" s="218" t="e">
        <f t="shared" ca="1" si="770"/>
        <v>#N/A</v>
      </c>
      <c r="JR238" s="217" t="e">
        <f ca="1">IF($CP238-Control!$C$150&lt;0, 0, $JQ238/Control!$C$162)</f>
        <v>#N/A</v>
      </c>
      <c r="JS238" s="218" t="e">
        <f t="shared" ca="1" si="771"/>
        <v>#N/A</v>
      </c>
      <c r="JT238" s="218" t="e">
        <f t="shared" ca="1" si="879"/>
        <v>#N/A</v>
      </c>
      <c r="JU238" s="218" t="e">
        <f t="shared" ca="1" si="772"/>
        <v>#N/A</v>
      </c>
      <c r="JV238" s="218" t="e">
        <f t="shared" ca="1" si="773"/>
        <v>#N/A</v>
      </c>
      <c r="JW238" s="216" t="e">
        <f t="shared" ca="1" si="774"/>
        <v>#N/A</v>
      </c>
      <c r="JX238" s="91" t="e">
        <f t="shared" ca="1" si="775"/>
        <v>#N/A</v>
      </c>
      <c r="JY238" s="218" t="e">
        <f t="shared" ca="1" si="776"/>
        <v>#N/A</v>
      </c>
      <c r="JZ238" s="217" t="e">
        <f ca="1">IF(Control!$C$114=1,($IZ238/(IF($JI238&lt;&gt;0,$JI238,1)))*$JK238, 0)</f>
        <v>#N/A</v>
      </c>
      <c r="KA238" s="218" t="e">
        <f t="shared" ca="1" si="914"/>
        <v>#N/A</v>
      </c>
      <c r="KB238" s="218" t="e">
        <f t="shared" ca="1" si="880"/>
        <v>#N/A</v>
      </c>
      <c r="KC238" s="218" t="e">
        <f t="shared" ca="1" si="777"/>
        <v>#N/A</v>
      </c>
      <c r="KD238" s="218" t="e">
        <f t="shared" ca="1" si="778"/>
        <v>#N/A</v>
      </c>
      <c r="KE238" s="218" t="e">
        <f t="shared" ca="1" si="779"/>
        <v>#N/A</v>
      </c>
      <c r="KF238" s="218" t="e">
        <f t="shared" ca="1" si="780"/>
        <v>#N/A</v>
      </c>
      <c r="KG238" s="216" t="e">
        <f t="shared" ca="1" si="781"/>
        <v>#N/A</v>
      </c>
      <c r="KH238" s="221" t="e">
        <f ca="1">IF(Control!$B$24=0,1,MAX(0.001,MIN(1,IF(($IF238-$IE238)&lt;&gt;0,($KG238-$IE238)/($IF238-$IE238),1))))</f>
        <v>#N/A</v>
      </c>
      <c r="KI238" s="222" t="e">
        <f ca="1">IF(Control!$C$114=1, $KI237+ $KH237, 0)</f>
        <v>#N/A</v>
      </c>
      <c r="KJ238" s="217" t="e">
        <f t="shared" ca="1" si="782"/>
        <v>#N/A</v>
      </c>
      <c r="KK238" s="218" t="e">
        <f t="shared" ca="1" si="783"/>
        <v>#N/A</v>
      </c>
      <c r="KL238" s="274" t="e">
        <f ca="1">IF(Control!$B$26=3,4000000000*EXP(-8400/($G238+273)),IF(Control!$B$26=4,4000000000*EXP(-8400/($G238+273))*($KT238),0))</f>
        <v>#DIV/0!</v>
      </c>
      <c r="KM238" s="274" t="e">
        <f ca="1">IF(Control!$B$26=3,5600000000000*EXP(-9800/($G238+273)),IF(Control!$B$26=4,5600000000000*EXP(-9800/($G238+273))*$KT238,0))</f>
        <v>#DIV/0!</v>
      </c>
      <c r="KN238" s="454" t="e">
        <f t="shared" ca="1" si="881"/>
        <v>#DIV/0!</v>
      </c>
      <c r="KO238" s="274" t="e">
        <f t="shared" ca="1" si="882"/>
        <v>#DIV/0!</v>
      </c>
      <c r="KP238" s="454" t="e">
        <f t="shared" ca="1" si="784"/>
        <v>#DIV/0!</v>
      </c>
      <c r="KQ238" s="454" t="e">
        <f t="shared" ca="1" si="785"/>
        <v>#DIV/0!</v>
      </c>
      <c r="KR238" s="454" t="e">
        <f t="shared" ca="1" si="786"/>
        <v>#DIV/0!</v>
      </c>
      <c r="KS238" s="454" t="e">
        <f t="shared" ca="1" si="787"/>
        <v>#DIV/0!</v>
      </c>
      <c r="KT238" s="455" t="e">
        <f t="shared" ca="1" si="788"/>
        <v>#DIV/0!</v>
      </c>
      <c r="KU238" s="456" t="e">
        <f ca="1">IF($CP238-Control!$C$149&lt;0, IF($NT238-0.01&lt;0,0,1),0)</f>
        <v>#N/A</v>
      </c>
      <c r="KV238" s="456" t="e">
        <f ca="1">IF(Control!$C$114=1,MAX(0,MIN(Control!$C$125*$KW238*$GN238,$KW238)))</f>
        <v>#DIV/0!</v>
      </c>
      <c r="KW238" s="456" t="e">
        <f t="shared" ca="1" si="915"/>
        <v>#DIV/0!</v>
      </c>
      <c r="KX238" s="457" t="e">
        <f ca="1">IF($CP238-Control!$C$149&lt;0, IF($MR238-$OM238&lt;0,0,1),0)</f>
        <v>#N/A</v>
      </c>
      <c r="KY238" s="167">
        <f t="shared" ca="1" si="883"/>
        <v>234</v>
      </c>
      <c r="KZ238" s="168">
        <f ca="1">1370*(1+0.033*COS(2*Control!$C$138*$AH238/365))</f>
        <v>1341.4229347704299</v>
      </c>
      <c r="LA238" s="169">
        <f t="shared" ca="1" si="884"/>
        <v>0.97914058743081744</v>
      </c>
      <c r="LB238" s="169">
        <f t="shared" ca="1" si="885"/>
        <v>0.19732877142439911</v>
      </c>
      <c r="LC238" s="169">
        <f ca="1">ACOS(-TAN((2*Control!$B$8/360))*TAN(Calculations!$LB238))</f>
        <v>1.630251331331307</v>
      </c>
      <c r="LD238" s="169">
        <f ca="1">((24*60)/PI())*0.082*$LA238*(($LC238*SIN(Control!$B$8*2*PI()/360))*SIN($LB238)+COS(Control!$B$8*2*PI()/360)*COS($LB238)*SIN($LC238))</f>
        <v>31.447487381812728</v>
      </c>
      <c r="LE238" s="170">
        <f t="shared" ca="1" si="789"/>
        <v>31.892333753501642</v>
      </c>
      <c r="LF238" s="170">
        <f ca="1">SIN(Control!$C$139*Control!$B$8)*SIN($HD238)</f>
        <v>0.15366492076871469</v>
      </c>
      <c r="LG238" s="170">
        <f ca="1">COS(Control!$C$139*Control!$B$8)*COS($HD238)</f>
        <v>0.60384073178103825</v>
      </c>
      <c r="LH238" s="170">
        <f ca="1">12*(1+2*ASIN(MAX(-1,MIN(1,$LF238/$LG238))/Control!$C$138))</f>
        <v>13.946205828049992</v>
      </c>
      <c r="LI238" s="170">
        <f ca="1">12*(1+2*ASIN(MAX(-1,MIN(1,(-SIN(-4*Control!$C$139)+$LF238)/$LG238))/Control!$C$138))</f>
        <v>14.833167008443326</v>
      </c>
      <c r="LJ238" s="168">
        <f ca="1">3600*($LH238*$LF238+24*$LG238*SQRT(1-$LK238*$LK238)/Control!$C$138)</f>
        <v>23775.002593764115</v>
      </c>
      <c r="LK238" s="170">
        <f t="shared" ca="1" si="790"/>
        <v>0.25447922387659649</v>
      </c>
      <c r="LL238" s="170">
        <f t="shared" ca="1" si="791"/>
        <v>0</v>
      </c>
      <c r="LM238" s="171">
        <f ca="1">Control!$C$145*$AB238</f>
        <v>6.6660906138995932E-2</v>
      </c>
      <c r="LN238" s="170">
        <f t="shared" ca="1" si="886"/>
        <v>0.54</v>
      </c>
      <c r="LO238" s="170">
        <f t="shared" ca="1" si="792"/>
        <v>0</v>
      </c>
      <c r="LP238" s="170">
        <f ca="1">Control!$C$140*((($D238+273.16)^4+($E238+273.16)^4)/2)*(0.34-0.14*SQRT($Y238))*(1.35*$AQ238/(0.75*$LD238)-0.35)</f>
        <v>-3.2464704755046001</v>
      </c>
      <c r="LQ238" s="170">
        <f ca="1">Control!$C$140*($G238+273)^4*(0.56-0.079*SQRT($Y238*10))*(0.1+0.9*$LO238)</f>
        <v>1.5241745131704001</v>
      </c>
      <c r="LR238" s="170">
        <f ca="1">$AQ238*(1-Control!$C$142)-$LQ238</f>
        <v>-1.5241745131704001</v>
      </c>
      <c r="LS238" s="170">
        <f ca="1">$AQ238*(1-Control!$C$143)-$LQ238</f>
        <v>-1.5241745131704001</v>
      </c>
      <c r="LT238" s="170">
        <f ca="1">$AQ238*(1-Control!$C$144)-$LQ238</f>
        <v>-1.5241745131704001</v>
      </c>
      <c r="LU238" s="169">
        <f ca="1">(1-Control!$C$144)*AQ238-LP238</f>
        <v>3.2464704755046001</v>
      </c>
      <c r="LV238" s="172">
        <f t="shared" ca="1" si="793"/>
        <v>0.79430000000000012</v>
      </c>
      <c r="LW238" s="170">
        <f t="shared" ca="1" si="794"/>
        <v>1.5886000000000002</v>
      </c>
      <c r="LX238" s="170">
        <f ca="1">($AC238*($LR238/Control!$C$141)+$LM238*$LV238)/($AC238+$LM238)</f>
        <v>0.23530094218323697</v>
      </c>
      <c r="LY238" s="170">
        <f ca="1">($AC238*($LS238/Control!$C$141)+$LM238*$LV238)/($AC238+$LM238)</f>
        <v>0.23530094218323697</v>
      </c>
      <c r="LZ238" s="170">
        <f t="shared" ca="1" si="795"/>
        <v>0.23530094218323697</v>
      </c>
      <c r="MA238" s="170">
        <f t="shared" ca="1" si="796"/>
        <v>0.23530094218323697</v>
      </c>
      <c r="MB238" s="170" t="e">
        <f t="shared" ca="1" si="797"/>
        <v>#N/A</v>
      </c>
      <c r="MC238" s="170">
        <f t="shared" ca="1" si="887"/>
        <v>0.6018</v>
      </c>
      <c r="MD238" s="170">
        <f t="shared" ca="1" si="798"/>
        <v>0.52989392535414004</v>
      </c>
      <c r="ME238" s="170">
        <f ca="1">($AC238*($LT238/Control!$C$141)+$LM238*$LW238)/($AC238+$LM238)</f>
        <v>0.71612369323045078</v>
      </c>
      <c r="MF238" s="170" t="e">
        <f ca="1">IF(Control!$B$16&gt;=1000,0.92,IF(AND(720&lt;=Control!$B$16,1000&gt;Control!$B$16),(0.95+(Control!$B$16-720)*((0.92-0.95)/(1000-720))),IF(AND(360&lt;=Control!$B$16,720&gt;Control!$B$16),(1+(Control!$B$16-360)*((0.95-1)/(720-360))),IF(AND(40&lt;=Control!$B$16,360&gt;Control!$B$16),(1.05+(Control!$B$16-40)*((1.05-1)/(360-40)))))))</f>
        <v>#N/A</v>
      </c>
      <c r="MG238" s="170">
        <f t="shared" ca="1" si="799"/>
        <v>0.71612369323045078</v>
      </c>
      <c r="MH238" s="170" t="e">
        <f t="shared" ca="1" si="925"/>
        <v>#N/A</v>
      </c>
      <c r="MI238" s="170" t="e">
        <f t="shared" ca="1" si="925"/>
        <v>#N/A</v>
      </c>
      <c r="MJ238" s="170" t="e">
        <f ca="1">MAX(0.0001, Control!$C$132*$MI238*$DL238)</f>
        <v>#N/A</v>
      </c>
      <c r="MK238" s="170">
        <f ca="1">1/(0.76+1.5*($MG238/10))-(5-Control!$C$110)*0.1</f>
        <v>1.002845988140797</v>
      </c>
      <c r="ML238" s="173">
        <f ca="1">IF(Control!$C$110&lt;3,$MK238+($MG238-0.6)/(Control!$C$110*(Control!$C$110+3)), MAX(0.1, MIN(0.95,$MK238)))</f>
        <v>0.95</v>
      </c>
      <c r="MM238" s="173">
        <f ca="1">IF(Control!$C$110&lt;3,$MK238+(($MI238/10)-0.6)/(Control!$C$110*(Control!$C$110+3)), MAX(0.1, MIN(0.95,$MK238)))</f>
        <v>0.95</v>
      </c>
      <c r="MN238" s="173">
        <f ca="1">(1-$MM238)*(Control!$C$128-Control!$C$127)+Control!$C$127</f>
        <v>0.16</v>
      </c>
      <c r="MO238" s="170" t="e">
        <f ca="1">MAX(0,MIN(1,($MS238-Control!$C$127)/($MN238-Control!$C$127)))</f>
        <v>#DIV/0!</v>
      </c>
      <c r="MP238" s="173" t="e">
        <f ca="1">1/(0.76+1.5*$MI238)-(5-Control!$C$110)*0.1</f>
        <v>#N/A</v>
      </c>
      <c r="MQ238" s="172" t="e">
        <f t="shared" ca="1" si="916"/>
        <v>#DIV/0!</v>
      </c>
      <c r="MR238" s="168" t="e">
        <f t="shared" ca="1" si="888"/>
        <v>#DIV/0!</v>
      </c>
      <c r="MS238" s="173" t="e">
        <f ca="1">MAX(Control!$C$127, MIN(Control!$C$135, $MR238/MAX(0.0001,$CY238)))</f>
        <v>#DIV/0!</v>
      </c>
      <c r="MT238" s="168" t="e">
        <f ca="1">(Control!$C$128-$MS238)*Control!$C$74</f>
        <v>#DIV/0!</v>
      </c>
      <c r="MU238" s="168" t="e">
        <f ca="1">(Control!$C$135-$MS238)*Control!$C$74</f>
        <v>#DIV/0!</v>
      </c>
      <c r="MV238" s="168" t="e">
        <f t="shared" ca="1" si="889"/>
        <v>#DIV/0!</v>
      </c>
      <c r="MW238" s="168" t="e">
        <f t="shared" ca="1" si="890"/>
        <v>#DIV/0!</v>
      </c>
      <c r="MX238" s="171" t="e">
        <f ca="1">MAX(Control!$C$127, MIN(Control!$C$135, $MW238/MAX(0.0001,Control!$C$119-$CY238)))</f>
        <v>#DIV/0!</v>
      </c>
      <c r="MY238" s="54" t="e">
        <f ca="1">IF(Control!$C$114=1, $CX238*$MX238, 0)</f>
        <v>#DIV/0!</v>
      </c>
      <c r="MZ238" s="54" t="e">
        <f t="shared" ca="1" si="891"/>
        <v>#N/A</v>
      </c>
      <c r="NA238" s="168" t="e">
        <f ca="1">(Control!$C$128-$MX238)*(Control!$C$119-Control!$C$74)</f>
        <v>#DIV/0!</v>
      </c>
      <c r="NB238" s="168" t="e">
        <f ca="1">(Control!$C$135-$MX238)*(Control!$C$119-Control!$C$74)</f>
        <v>#DIV/0!</v>
      </c>
      <c r="NC238" s="174" t="e">
        <f t="shared" ca="1" si="892"/>
        <v>#DIV/0!</v>
      </c>
      <c r="ND238" s="54">
        <f ca="1">IF(Control!$C$58=2, IF(OR(Control!$B$218=$AH238,Control!$B$219=$AH238, Control!$B$220=$AH238, Control!$B$221=$AH238, Control!$B$222=$AH238, Control!$B$223=$AH238, Control!$B$224=$AH238, Control!$B$225=$AH238, Control!$B$226=$AH238, Control!$B$227=$AH238, Control!$B$228=$AH238), 1, 0), 0)</f>
        <v>0</v>
      </c>
      <c r="NE238" s="54">
        <f ca="1">IF($ND238=0,0, VLOOKUP($AH238,Control!$B$218:$C$228,2))</f>
        <v>0</v>
      </c>
      <c r="NF238" s="168" t="e">
        <f ca="1">$CY238*(Control!$C$128-Control!$C$127)</f>
        <v>#N/A</v>
      </c>
      <c r="NG238" s="54" t="e">
        <f ca="1">IF(Control!$C$58=2, $NI237-$NJ237, 0)</f>
        <v>#DIV/0!</v>
      </c>
      <c r="NH238" s="54" t="e">
        <f ca="1">IF(AND(Control!$C$58=1, $MS237&lt;= ($MN237+0.02), $I237&lt;10), 0, IF(Control!$C$58=2, $NG237, 0))</f>
        <v>#DIV/0!</v>
      </c>
      <c r="NI238" s="54" t="e">
        <f ca="1">IF(Control!$C$58=2, $NE238+$NH238,0)</f>
        <v>#DIV/0!</v>
      </c>
      <c r="NJ238" s="54" t="e">
        <f ca="1">IF(AND(Control!$C$58=1, $MS238&lt;= ($MN238+0.02), $I238&lt;10), MAX(0, MIN(10, 0.7*($NF238-$MV238))), IF(Control!$C$58=2, MIN(10,$NI238),0))</f>
        <v>#DIV/0!</v>
      </c>
      <c r="NK238" s="54" t="e">
        <f t="shared" ca="1" si="800"/>
        <v>#DIV/0!</v>
      </c>
      <c r="NL238" s="173" t="e">
        <f ca="1">(1-Control!$C$73)*$I238+$NJ238</f>
        <v>#DIV/0!</v>
      </c>
      <c r="NM238" s="172" t="e">
        <f ca="1">IF($NL238&lt;0.5, $MB238* MAX(0, MIN(1, (SQRT($NC238)-SQRT($NC238-1))*Control!$C$71)),0)</f>
        <v>#DIV/0!</v>
      </c>
      <c r="NN238" s="170" t="e">
        <f ca="1">IF($NL238&gt;=5, $MB238, MAX(0,MIN($MB238, $NM238+$NL238,($MS238-Control!$C$129))))</f>
        <v>#DIV/0!</v>
      </c>
      <c r="NO238" s="54">
        <f>IF(Control!$C$133&lt;&gt;1, Control!$C$135-Control!$C$131, 0)</f>
        <v>0.38</v>
      </c>
      <c r="NP238" s="54" t="e">
        <f t="shared" ca="1" si="801"/>
        <v>#DIV/0!</v>
      </c>
      <c r="NQ238" s="173" t="e">
        <f ca="1">MAX(0,MIN(1,(Control!$C$135-$MS238)/(Control!$C$135-$NO238)))</f>
        <v>#DIV/0!</v>
      </c>
      <c r="NR238" s="170" t="e">
        <f ca="1">IF(Control!$C$133&lt;&gt;1, $NQ238+((1-$NP238/4)*(1-$NQ238)),1)</f>
        <v>#DIV/0!</v>
      </c>
      <c r="NS238" s="170" t="e">
        <f ca="1">IF(Control!$B$31=0,$MJ238,MAX(0,MIN($MV238,$MO238*$NR238*$MJ238)))</f>
        <v>#DIV/0!</v>
      </c>
      <c r="NT238" s="170" t="e">
        <f t="shared" ca="1" si="917"/>
        <v>#DIV/0!</v>
      </c>
      <c r="NU238" s="170" t="e">
        <f t="shared" ca="1" si="893"/>
        <v>#N/A</v>
      </c>
      <c r="NV238" s="170" t="e">
        <f t="shared" ca="1" si="802"/>
        <v>#N/A</v>
      </c>
      <c r="NW238" s="175" t="e">
        <f t="shared" ca="1" si="803"/>
        <v>#DIV/0!</v>
      </c>
      <c r="NX238" s="170" t="e">
        <f ca="1">MIN(Control!$C$72+$MU238, $NW238)</f>
        <v>#DIV/0!</v>
      </c>
      <c r="NY238" s="170" t="e">
        <f ca="1">IF($MT238&lt;=$NX238,MIN(Control!$C$72+$NB238,$NX238-$MT238),0)</f>
        <v>#DIV/0!</v>
      </c>
      <c r="NZ238" s="54" t="e">
        <f ca="1">IF(Control!$C$114=1,  $CX238*($MX238-Control!$C$127), 0)</f>
        <v>#DIV/0!</v>
      </c>
      <c r="OA238" s="170" t="e">
        <f t="shared" ca="1" si="804"/>
        <v>#DIV/0!</v>
      </c>
      <c r="OB238" s="170" t="e">
        <f ca="1">IF($NA238 &lt;=$NY238, MIN(Control!$C$72, $NY238-$NA238), 0)</f>
        <v>#DIV/0!</v>
      </c>
      <c r="OC238" s="168" t="e">
        <f t="shared" ca="1" si="805"/>
        <v>#DIV/0!</v>
      </c>
      <c r="OD238" s="168" t="e">
        <f t="shared" ca="1" si="894"/>
        <v>#DIV/0!</v>
      </c>
      <c r="OE238" s="170">
        <f ca="1">Control!$C$73*$I238</f>
        <v>0</v>
      </c>
      <c r="OF238" s="176" t="e">
        <f t="shared" ca="1" si="806"/>
        <v>#DIV/0!</v>
      </c>
      <c r="OG238" s="168" t="e">
        <f t="shared" ca="1" si="807"/>
        <v>#DIV/0!</v>
      </c>
      <c r="OH238" s="168" t="e">
        <f t="shared" ca="1" si="808"/>
        <v>#DIV/0!</v>
      </c>
      <c r="OI238" s="168" t="e">
        <f t="shared" ca="1" si="809"/>
        <v>#DIV/0!</v>
      </c>
      <c r="OJ238" s="168" t="e">
        <f t="shared" ca="1" si="810"/>
        <v>#DIV/0!</v>
      </c>
      <c r="OK238" s="204" t="e">
        <f t="shared" ca="1" si="811"/>
        <v>#DIV/0!</v>
      </c>
      <c r="OL238" s="177">
        <f>Control!$C$127</f>
        <v>0.15</v>
      </c>
      <c r="OM238" s="182" t="e">
        <f t="shared" ca="1" si="812"/>
        <v>#N/A</v>
      </c>
      <c r="ON238" s="177">
        <f>Control!$C$128</f>
        <v>0.35</v>
      </c>
      <c r="OO238" s="182" t="e">
        <f t="shared" ca="1" si="813"/>
        <v>#N/A</v>
      </c>
      <c r="OP238" s="138">
        <f t="shared" ca="1" si="895"/>
        <v>0</v>
      </c>
      <c r="OQ238" s="138" t="e">
        <f t="shared" ca="1" si="918"/>
        <v>#DIV/0!</v>
      </c>
      <c r="OR238" s="138" t="e">
        <f t="shared" ca="1" si="896"/>
        <v>#DIV/0!</v>
      </c>
      <c r="OS238" s="137" t="e">
        <f t="shared" ca="1" si="919"/>
        <v>#DIV/0!</v>
      </c>
      <c r="OT238" s="139" t="e">
        <f t="shared" ca="1" si="920"/>
        <v>#DIV/0!</v>
      </c>
      <c r="OU238" s="138" t="e">
        <f t="shared" ca="1" si="921"/>
        <v>#N/A</v>
      </c>
      <c r="OV238" s="138" t="e">
        <f t="shared" ca="1" si="922"/>
        <v>#DIV/0!</v>
      </c>
      <c r="OW238" s="138" t="e">
        <f t="shared" ca="1" si="897"/>
        <v>#DIV/0!</v>
      </c>
      <c r="OX238" s="138" t="e">
        <f t="shared" ca="1" si="898"/>
        <v>#DIV/0!</v>
      </c>
      <c r="OY238" s="138" t="e">
        <f t="shared" ca="1" si="899"/>
        <v>#DIV/0!</v>
      </c>
      <c r="OZ238" s="138" t="e">
        <f t="shared" ca="1" si="814"/>
        <v>#DIV/0!</v>
      </c>
      <c r="PA238" s="138" t="e">
        <f t="shared" ca="1" si="815"/>
        <v>#DIV/0!</v>
      </c>
      <c r="PB238" s="55">
        <f>IF(Control!$C$61="T", IF(Control!$C$65="F", IF($AH$6-Control!$C$60&lt;0,0,1), IF(365+$AH$6-Control!$C$60&lt;0,0,1)),0)</f>
        <v>0</v>
      </c>
      <c r="PC238" s="55">
        <f ca="1">IF(Control!$C$65="F", IF($AH$6-$HF238&lt;0,0,1), IF(365+$AH$6-$HF238&lt;0,0,1))</f>
        <v>1</v>
      </c>
      <c r="PD238" s="444">
        <f>Control!$C$118</f>
        <v>1500</v>
      </c>
      <c r="PE238" s="180" t="e">
        <f t="shared" ca="1" si="816"/>
        <v>#N/A</v>
      </c>
      <c r="PF238" s="445">
        <f t="shared" ca="1" si="900"/>
        <v>0.71612369323045078</v>
      </c>
      <c r="PT238" s="186"/>
      <c r="PU238" s="186"/>
      <c r="PV238" s="94"/>
      <c r="PW238" s="94"/>
      <c r="PX238" s="94"/>
      <c r="PY238" s="94"/>
      <c r="PZ238" s="94"/>
      <c r="QA238" s="94"/>
      <c r="QB238" s="94"/>
      <c r="QC238" s="94"/>
      <c r="QD238" s="94"/>
      <c r="QE238" s="94"/>
      <c r="QF238" s="94"/>
      <c r="QG238" s="94"/>
      <c r="QH238" s="94"/>
      <c r="QI238" s="94"/>
      <c r="QJ238" s="94"/>
      <c r="QK238" s="94"/>
      <c r="QL238" s="94"/>
      <c r="QM238" s="94"/>
      <c r="QN238" s="94"/>
      <c r="QO238" s="94"/>
      <c r="QP238" s="94"/>
    </row>
    <row r="239" spans="1:458" s="2" customFormat="1" x14ac:dyDescent="0.2">
      <c r="A239" s="395">
        <v>22</v>
      </c>
      <c r="B239" s="396">
        <v>8</v>
      </c>
      <c r="C239" s="387">
        <f ca="1">Weather_data!$B238</f>
        <v>0</v>
      </c>
      <c r="D239" s="388">
        <f ca="1">Weather_data!$F238</f>
        <v>0</v>
      </c>
      <c r="E239" s="388">
        <f ca="1">Weather_data!$E238</f>
        <v>0</v>
      </c>
      <c r="F239" s="388">
        <f t="shared" ca="1" si="817"/>
        <v>0</v>
      </c>
      <c r="G239" s="388">
        <f ca="1">AVERAGE($D239:$E239)+Control!$B$9</f>
        <v>0</v>
      </c>
      <c r="H239" s="388">
        <f ca="1">Weather_data!$G238</f>
        <v>0</v>
      </c>
      <c r="I239" s="388">
        <f ca="1">Weather_data!$I238</f>
        <v>0</v>
      </c>
      <c r="J239" s="388">
        <f ca="1">Weather_data!$H238</f>
        <v>0</v>
      </c>
      <c r="K239" s="389">
        <f ca="1">Weather_data!$D238</f>
        <v>0</v>
      </c>
      <c r="L239" s="388" t="e">
        <f t="shared" ca="1" si="818"/>
        <v>#N/A</v>
      </c>
      <c r="M239" s="388" t="e">
        <f t="shared" ca="1" si="696"/>
        <v>#N/A</v>
      </c>
      <c r="N239" s="388">
        <f t="shared" ca="1" si="697"/>
        <v>-1.0901209943823087E-11</v>
      </c>
      <c r="O239" s="388">
        <f t="shared" ca="1" si="819"/>
        <v>1.0901209943823086E-10</v>
      </c>
      <c r="P239" s="390">
        <v>3</v>
      </c>
      <c r="Q239" s="388">
        <f ca="1">MAX($G239-Control!$C$107,0)</f>
        <v>0</v>
      </c>
      <c r="R239" s="388">
        <f t="shared" ca="1" si="820"/>
        <v>0</v>
      </c>
      <c r="S239" s="388">
        <f t="shared" ca="1" si="698"/>
        <v>0</v>
      </c>
      <c r="T239" s="388">
        <f t="shared" ca="1" si="699"/>
        <v>0</v>
      </c>
      <c r="U239" s="59">
        <f t="shared" ca="1" si="700"/>
        <v>0</v>
      </c>
      <c r="V239" s="391">
        <f ca="1">MAX(0,MIN(Control!$C$100-Control!$C$99,$G239-Control!$C$99)*Control!$C$63)</f>
        <v>0</v>
      </c>
      <c r="W239" s="388">
        <f t="shared" ca="1" si="821"/>
        <v>0</v>
      </c>
      <c r="X239" s="388">
        <f t="shared" ca="1" si="822"/>
        <v>0.6110000000000001</v>
      </c>
      <c r="Y239" s="388">
        <f t="shared" ca="1" si="701"/>
        <v>0</v>
      </c>
      <c r="Z239" s="388">
        <f t="shared" ca="1" si="823"/>
        <v>0.61058800000000002</v>
      </c>
      <c r="AA239" s="388">
        <f t="shared" ca="1" si="702"/>
        <v>0.6018</v>
      </c>
      <c r="AB239" s="388">
        <f ca="1">101.3*EXP(-0.034*Control!$C$66/($G239+273))</f>
        <v>100.69623283836242</v>
      </c>
      <c r="AC239" s="392">
        <f t="shared" ca="1" si="703"/>
        <v>4.3460251046025113E-2</v>
      </c>
      <c r="AD239" s="392">
        <f t="shared" ca="1" si="704"/>
        <v>4.4450382862832649E-2</v>
      </c>
      <c r="AE239" s="388">
        <f t="shared" ca="1" si="705"/>
        <v>0</v>
      </c>
      <c r="AF239" s="388">
        <f ca="1">MAX(0,$G239-Control!$C$92)</f>
        <v>0</v>
      </c>
      <c r="AG239" s="393">
        <f t="shared" ca="1" si="706"/>
        <v>235</v>
      </c>
      <c r="AH239" s="389">
        <f t="shared" ca="1" si="707"/>
        <v>235</v>
      </c>
      <c r="AI239" s="388">
        <f t="shared" ca="1" si="824"/>
        <v>0.19014684188691522</v>
      </c>
      <c r="AJ239" s="388">
        <f ca="1">IF(Control!$C$60&lt;=0,$HH239,$HI239)</f>
        <v>1</v>
      </c>
      <c r="AK239" s="388">
        <f t="shared" ca="1" si="708"/>
        <v>2.6682019797611942</v>
      </c>
      <c r="AL239" s="388">
        <f t="shared" ca="1" si="709"/>
        <v>-4.1478227102986756E-18</v>
      </c>
      <c r="AM239" s="388">
        <f t="shared" ca="1" si="710"/>
        <v>2.6682019797611942</v>
      </c>
      <c r="AN239" s="388">
        <f t="shared" ca="1" si="711"/>
        <v>0.18236888620781697</v>
      </c>
      <c r="AO239" s="388">
        <f ca="1">-0.10453/COS(Control!$B$8*PI()/180)*COS(AN239)</f>
        <v>-0.16696929330621521</v>
      </c>
      <c r="AP239" s="388">
        <f ca="1">ACOS(AO239-TAN(Control!$B$8*PI()/180)*TAN(AN239))</f>
        <v>1.9856034975059038</v>
      </c>
      <c r="AQ239" s="388">
        <f t="shared" ca="1" si="825"/>
        <v>0</v>
      </c>
      <c r="AR239" s="394">
        <f t="shared" ca="1" si="712"/>
        <v>0</v>
      </c>
      <c r="AS239" s="436">
        <f ca="1">IF(Control!$B$18=2,(IF(OR($AH239=Control!$B$175,$AH239=Control!$B$176,$AH239=Control!$B$177,$AH239=Control!$B$178,$AH239=Control!$B$179,$AH239=Control!$B$180,$AH239=Control!$B$181,$AH239=Control!$B$182,$AH239=Control!$B$183,$AH239=Control!$B$184,$AH239=Control!$B$185),1,0)),0)</f>
        <v>0</v>
      </c>
      <c r="AT239" s="436">
        <f>IF(Control!$B$20=8,IF(AND($AH239&gt;=Control!$B$172,$AH239&lt;=Control!$B$173),1,0),0)</f>
        <v>0</v>
      </c>
      <c r="AU239" s="436">
        <f>IF(Control!$B$20=8,IF($AV238=1,1*$AT239,IF($AT239=1,$AU238+1,$AU238)),0)</f>
        <v>0</v>
      </c>
      <c r="AV239" s="436">
        <f>IF(Control!$B$20=8,IF($AU239&gt;=Control!$B$174,1,0),0)</f>
        <v>0</v>
      </c>
      <c r="AW239" s="436">
        <f ca="1">IF(AND(Control!$B$18=2,Control!$B$171=1), $AV239, $AS239)</f>
        <v>0</v>
      </c>
      <c r="AX239" s="436" t="e">
        <f ca="1">IF(AND(Control!$B$18=1,$EU239&gt;=Control!$B$19),-$AY239,IF(AND(Control!$B$18=2,$AW239=1,$EU239&gt;$DS239),-$AY239, IF(Control!$C$108=0,0, IF(Control!$C$108&lt;&gt;0,1))))</f>
        <v>#N/A</v>
      </c>
      <c r="AY239" s="436" t="e">
        <f t="shared" ca="1" si="826"/>
        <v>#N/A</v>
      </c>
      <c r="AZ239" s="436" t="e">
        <f ca="1">IF(AND(Control!$B$18=1,$EB239&gt;Control!$B$19),$AZ238+1, IF(AND(Control!$B$18=2, $AW239=1, $EB239&gt;$DS239), $AZ238+1,$AZ238))</f>
        <v>#N/A</v>
      </c>
      <c r="BA239" s="587">
        <f>IF(Control!$C$81=0,1,IF($AH239&gt;=Control!$C$82,1,0))</f>
        <v>1</v>
      </c>
      <c r="BB239" s="140" t="e">
        <f ca="1">IF($BA239&gt;$BA238,Control!$C$83,IF($AW239&gt;0,$AW239*Control!$C$84,IF(AND(Control!$B$18=1,EN238&lt;&gt;0),Control!$C$84,0)))</f>
        <v>#N/A</v>
      </c>
      <c r="BC239" s="140" t="e">
        <f t="shared" ca="1" si="827"/>
        <v>#N/A</v>
      </c>
      <c r="BD239" s="140" t="e">
        <f ca="1">BC239*IF(OR($G239&lt;Control!$C$92,$G239&gt;Control!$C$95),0,IF(AND($G239&gt;=Control!$C$92,$G239&lt;=Control!$C$93),$G239-Control!$C$92,IF(AND($G239&gt;Control!$C$93,$G239&lt;=Control!$C$94),Control!$C$93-Control!$C$92,IF(AND($G239&gt;Control!$C$94,$G239&lt;=Control!$C$95),(Control!$C$93-Control!$C$92)*(Control!$C$94-$G239)/(Control!$C$95-Control!$C$94)))))</f>
        <v>#N/A</v>
      </c>
      <c r="BE239" s="140" t="e">
        <f t="shared" ca="1" si="828"/>
        <v>#N/A</v>
      </c>
      <c r="BF239" s="140" t="e">
        <f ca="1">IF($BE239&lt;=Control!$C$86,$BE239,Control!$C$86-$BE239)</f>
        <v>#N/A</v>
      </c>
      <c r="BG239" s="140" t="e">
        <f ca="1">IF(AND($AW239=1,Control!$C$84&lt;9),1,IF($BE239&gt;=Control!$C$86,0,$BC239))</f>
        <v>#N/A</v>
      </c>
      <c r="BH239" s="404" t="e">
        <f ca="1">IF($BG239=0,0,IF($BE239&lt;=Control!$C$86,$BC239*9*($BF239/Control!$C$86),0))</f>
        <v>#N/A</v>
      </c>
      <c r="BI239" s="140" t="e">
        <f ca="1">IF($BG239=1,0,IF($BE239&gt;=Control!$C$86,1,IF(AND($BB239&lt;21,$BB239&gt;=9),1,$BM238)))</f>
        <v>#N/A</v>
      </c>
      <c r="BJ239" s="140" t="e">
        <f ca="1">IF($BF239&lt;0,-$BF239,$BI239*IF(OR($G239&lt;Control!$C$92,$G239&gt;Control!$C$95),0,IF(AND($G239&gt;=Control!$C$92,$G239&lt;=Control!$C$93),$G239-Control!$C$92,IF(AND($G239&gt;Control!$C$93,$G239&lt;=Control!$C$94),Control!$C$93-Control!$C$92,IF(AND($G239&gt;Control!$C$94,$G239&lt;=Control!$C$95),(Control!$C$93-Control!$C$92)*(Control!$C$94-$G239)/(Control!$C$95-Control!$C$94))))))</f>
        <v>#N/A</v>
      </c>
      <c r="BK239" s="140" t="e">
        <f t="shared" ca="1" si="829"/>
        <v>#N/A</v>
      </c>
      <c r="BL239" s="140" t="e">
        <f ca="1">IF($BK239&lt;=Control!$C$87,$BK239,Control!$C$87-$BK239)</f>
        <v>#N/A</v>
      </c>
      <c r="BM239" s="140" t="e">
        <f ca="1">IF(AND($BB239&gt;=9,$BB239&lt;21),1,IF($BK239&gt;=Control!$C$87,0,$BI239))</f>
        <v>#N/A</v>
      </c>
      <c r="BN239" s="404" t="e">
        <f ca="1">IF($BM239=0,0,IF($BK239&lt;=Control!$C$87,$BI239*(9+(21-9)*($BL239/Control!$C$87)),0))</f>
        <v>#N/A</v>
      </c>
      <c r="BO239" s="140" t="e">
        <f ca="1">IF($BM239=1,0,IF($BK239&gt;=Control!$C$87,1,IF(AND($BB239&lt;30,$BB239&gt;=21),1,$BS238)))</f>
        <v>#N/A</v>
      </c>
      <c r="BP239" s="140" t="e">
        <f ca="1">IF($BL239&lt;0,-$BL239,$BO239*IF(OR($G239&lt;Control!$C$92,$G239&gt;Control!$C$95),0,IF(AND($G239&gt;=Control!$C$92,$G239&lt;=Control!$C$93),$G239-Control!$C$92,IF(AND($G239&gt;Control!$C$93,$G239&lt;=Control!$C$94),Control!$C$93-Control!$C$92,IF(AND($G239&gt;Control!$C$94,$G239&lt;=Control!$C$95),(Control!$C$93-Control!$C$92)*(Control!$C$94-$G239)/(Control!$C$95-Control!$C$94))))))</f>
        <v>#N/A</v>
      </c>
      <c r="BQ239" s="140" t="e">
        <f t="shared" ca="1" si="713"/>
        <v>#N/A</v>
      </c>
      <c r="BR239" s="140" t="e">
        <f ca="1">IF($BQ239&lt;=Control!$C$88,$BQ239,Control!$C$88-$BQ239)</f>
        <v>#N/A</v>
      </c>
      <c r="BS239" s="140" t="e">
        <f ca="1">IF(AND($BB239&gt;=21,$BB239&lt;30),1,IF($BQ239&gt;=Control!$C$88,0,$BO239))</f>
        <v>#N/A</v>
      </c>
      <c r="BT239" s="404" t="e">
        <f ca="1">IF($BS239=0,0,IF($BQ239&lt;=Control!$C$88,$BO239*(21+(30-21)*(BR239/Control!$C$88)),0))</f>
        <v>#N/A</v>
      </c>
      <c r="BU239" s="140" t="e">
        <f ca="1">IF(BG239+BM239+BS239=1,0,IF(OR(AND($BB239&lt;60,$BB239&gt;=30),$BQ239&gt;=Control!$C$88),1*$BA239,$BY238))</f>
        <v>#N/A</v>
      </c>
      <c r="BV239" s="140" t="e">
        <f ca="1">IF($BR239&lt;0,-$BR239,$BU239*IF(OR($G239&lt;Control!$C$92,$G239&gt;Control!$C$95),0,IF(AND($G239&gt;=Control!$C$92,$G239&lt;=Control!$C$93),$G239-Control!$C$92,IF(AND($G239&gt;Control!$C$93,$G239&lt;=Control!$C$94),Control!$C$93-Control!$C$92,IF(AND($G239&gt;Control!$C$94,$G239&lt;=Control!$C$95),(Control!$C$93-Control!$C$92)*(Control!$C$94-$G239)/(Control!$C$95-Control!$C$94))))))</f>
        <v>#N/A</v>
      </c>
      <c r="BW239" s="140" t="e">
        <f t="shared" ca="1" si="714"/>
        <v>#N/A</v>
      </c>
      <c r="BX239" s="140" t="e">
        <f ca="1">IF($BW239&lt;=Control!$C$89,$BW239,Control!$C$89-$BW239)</f>
        <v>#N/A</v>
      </c>
      <c r="BY239" s="140" t="e">
        <f ca="1">IF(AND($AJ239&gt;=30,$AJ239&lt;60),1,IF($BW239&gt;=Control!$C$89,0,$BU239))</f>
        <v>#N/A</v>
      </c>
      <c r="BZ239" s="404" t="e">
        <f ca="1">IF($BY239=0,0,IF($BW239&lt;=Control!$C$89,$BU239*(30+(60-30)*(BX239/Control!$C$89)),0))</f>
        <v>#N/A</v>
      </c>
      <c r="CA239" s="140" t="e">
        <f ca="1">IF($BG239+$BM239+$BS239+$BY239=1,0,IF(OR(AND($BB239&lt;65,$BB239&gt;=60),$BW239&gt;=Control!$C$89),1*$BA239,$CE238))</f>
        <v>#N/A</v>
      </c>
      <c r="CB239" s="140" t="e">
        <f ca="1">IF($BX239&lt;0,-$BX239,$CA239*IF(OR($G239&lt;Control!$C$92,$G239&gt;Control!$C$95),0,IF(AND($G239&gt;=Control!$C$92,$G239&lt;=Control!$C$93),$G239-Control!$C$92,IF(AND($G239&gt;Control!$C$93,$G239&lt;=Control!$C$94),Control!$C$93-Control!$C$92,IF(AND($G239&gt;Control!$C$94,$G239&lt;=Control!$C$95),(Control!$C$93-Control!$C$92)*(Control!$C$94-$G239)/(Control!$C$95-Control!$C$94))))))</f>
        <v>#N/A</v>
      </c>
      <c r="CC239" s="140" t="e">
        <f t="shared" ca="1" si="830"/>
        <v>#N/A</v>
      </c>
      <c r="CD239" s="140" t="e">
        <f ca="1">IF($CC239&lt;=Control!$C$90,$CC239,Control!$C$90-$CC239)</f>
        <v>#N/A</v>
      </c>
      <c r="CE239" s="140" t="e">
        <f ca="1">IF(AND($BB239&gt;=60,$BB239&lt;65),1,IF($CC239&gt;=Control!$C$90,0,$CA239))</f>
        <v>#N/A</v>
      </c>
      <c r="CF239" s="404" t="e">
        <f ca="1">IF($CE239=0,0,IF($CC239&lt;=Control!$C$90,$CA239*(60+(65-60)*(CD239/Control!$C$90)),0))</f>
        <v>#N/A</v>
      </c>
      <c r="CG239" s="140" t="e">
        <f ca="1">IF($BG239+$BM239+$BS239+$BY239+$CE239=1,0,IF(OR(AND($BB239&lt;90,$BB239&gt;=65),$CC239&gt;=Control!$C$90),$BA239,$CK238))</f>
        <v>#N/A</v>
      </c>
      <c r="CH239" s="140" t="e">
        <f ca="1">IF($CD239&lt;0,-$CD239,$CG239*IF(OR($G239&lt;Control!$C$92,$G239&gt;Control!$C$95),0,IF(AND($G239&gt;=Control!$C$92,$G239&lt;=Control!$C$93),$G239-Control!$C$92,IF(AND($G239&gt;Control!$C$93,$G239&lt;=Control!$C$94),Control!$C$93-Control!$C$92,IF(AND($G239&gt;Control!$C$94,$G239&lt;=Control!$C$95),(Control!$C$93-Control!$C$92)*(Control!$C$94-$G239)/(Control!$C$95-Control!$C$94))))))</f>
        <v>#N/A</v>
      </c>
      <c r="CI239" s="140" t="e">
        <f t="shared" ca="1" si="831"/>
        <v>#N/A</v>
      </c>
      <c r="CJ239" s="140" t="e">
        <f ca="1">IF($CI239&lt;=Control!$C$91,$CI239,Control!$C$91-$CI239)</f>
        <v>#N/A</v>
      </c>
      <c r="CK239" s="140" t="e">
        <f ca="1">IF(AND($BB239&gt;=65,$BB239&lt;90),1,IF($CI239&gt;=Control!$C$91,0,$CG239))</f>
        <v>#N/A</v>
      </c>
      <c r="CL239" s="404" t="e">
        <f ca="1">IF($CK239=0,0,IF($CI239&lt;=Control!$C$91,$CG239*(65+(90-65)*($CJ239/Control!$C$91)),0))</f>
        <v>#N/A</v>
      </c>
      <c r="CM239" s="140" t="e">
        <f ca="1">IF($BG239+$BM239+$BS239+$BY239+$CE239+$CK239=1,0,IF(OR($BB239&gt;=90,$CI239&gt;=Control!$C$91),$BA239,$CM238))</f>
        <v>#N/A</v>
      </c>
      <c r="CN239" s="140" t="e">
        <f t="shared" ca="1" si="832"/>
        <v>#N/A</v>
      </c>
      <c r="CO239" s="140" t="e">
        <f t="shared" ca="1" si="833"/>
        <v>#N/A</v>
      </c>
      <c r="CP239" s="140" t="e">
        <f t="shared" ca="1" si="834"/>
        <v>#N/A</v>
      </c>
      <c r="CQ239" s="141" t="e">
        <f ca="1">VLOOKUP($CP239,Control!$B$86:$G$91,6)</f>
        <v>#N/A</v>
      </c>
      <c r="CR239" s="141" t="e">
        <f ca="1">(1-$CQ239)*VLOOKUP($CP239,Control!$B$86:$D$91,3)</f>
        <v>#N/A</v>
      </c>
      <c r="CS239" s="141" t="e">
        <f ca="1">(1-$CQ239)*VLOOKUP($CP239,Control!$B$86:$E$91,4)</f>
        <v>#N/A</v>
      </c>
      <c r="CT239" s="141" t="e">
        <f ca="1">(1-$CQ239)*VLOOKUP($CP239,Control!$B$86:$F$91,5)</f>
        <v>#N/A</v>
      </c>
      <c r="CU239" s="141">
        <f t="shared" ca="1" si="835"/>
        <v>0</v>
      </c>
      <c r="CV239" s="583">
        <f t="shared" ca="1" si="836"/>
        <v>0</v>
      </c>
      <c r="CW239" s="142">
        <f t="shared" ca="1" si="837"/>
        <v>235</v>
      </c>
      <c r="CX239" s="612" t="e">
        <f ca="1">IF(Control!$C$114=1,(MIN(Control!$C$120*(IF($NT239-0.01&lt;0,0,1)),Control!$C$119-$CY239)))</f>
        <v>#DIV/0!</v>
      </c>
      <c r="CY239" s="143" t="e">
        <f t="shared" ca="1" si="838"/>
        <v>#N/A</v>
      </c>
      <c r="CZ239" s="144">
        <f t="shared" ca="1" si="715"/>
        <v>0</v>
      </c>
      <c r="DA239" s="144">
        <f t="shared" ca="1" si="716"/>
        <v>0</v>
      </c>
      <c r="DB239" s="144" t="e">
        <f t="shared" ca="1" si="717"/>
        <v>#N/A</v>
      </c>
      <c r="DC239" s="144" t="e">
        <f t="shared" ca="1" si="718"/>
        <v>#N/A</v>
      </c>
      <c r="DD239" s="144" t="e">
        <f t="shared" ca="1" si="923"/>
        <v>#N/A</v>
      </c>
      <c r="DE239" s="143" t="e">
        <f t="shared" ca="1" si="839"/>
        <v>#N/A</v>
      </c>
      <c r="DF239" s="145" t="e">
        <f ca="1">$DR239*EXP(-Control!$C$158*(1-$KH239))</f>
        <v>#N/A</v>
      </c>
      <c r="DG239" s="146" t="e">
        <f ca="1">IF(Control!$C$114=1, $DF239*$EY239, 0)</f>
        <v>#N/A</v>
      </c>
      <c r="DH239" s="147" t="e">
        <f t="shared" ca="1" si="840"/>
        <v>#N/A</v>
      </c>
      <c r="DI239" s="144" t="e">
        <f t="shared" ca="1" si="901"/>
        <v>#N/A</v>
      </c>
      <c r="DJ239" s="147" t="e">
        <f ca="1">$EF239*Control!$C$109</f>
        <v>#N/A</v>
      </c>
      <c r="DK239" s="144" t="e">
        <f t="shared" ca="1" si="841"/>
        <v>#N/A</v>
      </c>
      <c r="DL239" s="144" t="e">
        <f t="shared" ca="1" si="719"/>
        <v>#N/A</v>
      </c>
      <c r="DM239" s="144" t="e">
        <f ca="1">IF(Control!$C$114=1, (1-EXP(-Control!$C$96*$DK239))*$AR239, 0)</f>
        <v>#N/A</v>
      </c>
      <c r="DN239" s="144">
        <f t="shared" ca="1" si="842"/>
        <v>0</v>
      </c>
      <c r="DO239" s="148">
        <f>Control!$C$97</f>
        <v>4</v>
      </c>
      <c r="DP239" s="145" t="e">
        <f t="shared" ca="1" si="843"/>
        <v>#N/A</v>
      </c>
      <c r="DQ239" s="145" t="e">
        <f ca="1">IF(AND($CP239&gt;=0,$CP239&lt;=90),Control!$C$111,Control!$C$111)</f>
        <v>#N/A</v>
      </c>
      <c r="DR239" s="145" t="e">
        <f t="shared" ca="1" si="720"/>
        <v>#N/A</v>
      </c>
      <c r="DS239" s="143" t="e">
        <f ca="1">Control!$B$22/$DR239</f>
        <v>#N/A</v>
      </c>
      <c r="DT239" s="149" t="e">
        <f ca="1">IF(AND(Control!$C$114=1,$KH239&lt;1),$IM239*$DF239, 0)</f>
        <v>#N/A</v>
      </c>
      <c r="DU239" s="144" t="e">
        <f t="shared" ca="1" si="844"/>
        <v>#N/A</v>
      </c>
      <c r="DV239" s="144">
        <f ca="1">IF($G239-Control!$C$107&lt;=0, 0, 0.83*LN(MAX($G239, 3))-0.8924)</f>
        <v>0</v>
      </c>
      <c r="DW239" s="144" t="e">
        <f t="shared" ca="1" si="721"/>
        <v>#N/A</v>
      </c>
      <c r="DX239" s="150" t="e">
        <f ca="1">MAX(0.01*(1+$CU239/Control!$C$102),0.05*($DK239-Control!$C$97)/Control!$C$97)</f>
        <v>#N/A</v>
      </c>
      <c r="DY239" s="151" t="e">
        <f ca="1">IF(Control!$C$114=1, $DI239*$FS239, 0)</f>
        <v>#N/A</v>
      </c>
      <c r="DZ239" s="196" t="e">
        <f t="shared" ca="1" si="845"/>
        <v>#N/A</v>
      </c>
      <c r="EA239" s="152">
        <f t="shared" ca="1" si="846"/>
        <v>235</v>
      </c>
      <c r="EB239" s="153" t="e">
        <f t="shared" ca="1" si="847"/>
        <v>#N/A</v>
      </c>
      <c r="EC239" s="153" t="e">
        <f t="shared" ca="1" si="848"/>
        <v>#N/A</v>
      </c>
      <c r="ED239" s="154" t="e">
        <f ca="1">IF(Control!$C$114=1, $HM239*$FY239-$FD239, 0)</f>
        <v>#DIV/0!</v>
      </c>
      <c r="EE239" s="155" t="e">
        <f ca="1">IF(Control!$C$114=1, $HM239*$FZ239-$FF239, 0)</f>
        <v>#DIV/0!</v>
      </c>
      <c r="EF239" s="153" t="e">
        <f t="shared" ca="1" si="902"/>
        <v>#N/A</v>
      </c>
      <c r="EG239" s="155" t="e">
        <f ca="1">IF(Control!$C$114=1, $GX239*$FW239-$FI239, 0)</f>
        <v>#DIV/0!</v>
      </c>
      <c r="EH239" s="153" t="e">
        <f t="shared" ca="1" si="849"/>
        <v>#N/A</v>
      </c>
      <c r="EI239" s="156" t="e">
        <f t="shared" ca="1" si="850"/>
        <v>#N/A</v>
      </c>
      <c r="EJ239" s="155" t="e">
        <f ca="1">IF(Control!$C$114=1, $HM239*$GB239, 0)</f>
        <v>#DIV/0!</v>
      </c>
      <c r="EK239" s="153" t="e">
        <f t="shared" ca="1" si="903"/>
        <v>#N/A</v>
      </c>
      <c r="EL239" s="153" t="e">
        <f t="shared" ca="1" si="722"/>
        <v>#N/A</v>
      </c>
      <c r="EM239" s="153" t="e">
        <f t="shared" ca="1" si="723"/>
        <v>#N/A</v>
      </c>
      <c r="EN239" s="153" t="e">
        <f ca="1">IF(Control!$C$108=1,IF(AND(Control!$B$18=1,$EB239&gt;=Control!$B$19),$EB239-$DS239,IF(AND(Control!$B$18=2,$AW239=1,$EB239&gt;$DS239),$EB239-$DS239,0)))</f>
        <v>#N/A</v>
      </c>
      <c r="EO239" s="153" t="e">
        <f ca="1">IF(Control!$C$108=1,IF(AND(Control!$B$18=1,$EB239&gt;=Control!$B$19),$EF239,IF(AND(Control!$B$18=2,$AW239=1),$EF239,0)))</f>
        <v>#N/A</v>
      </c>
      <c r="EP239" s="153" t="e">
        <f ca="1">IF(Control!$C$108=1,IF(AND(Control!$B$18=1,$EB239&gt;=Control!$B$19),$EK239,IF(AND(Control!$B$18=2,$AW239=1),$EK239,0)))</f>
        <v>#N/A</v>
      </c>
      <c r="EQ239" s="153" t="e">
        <f t="shared" ca="1" si="851"/>
        <v>#N/A</v>
      </c>
      <c r="ER239" s="153" t="e">
        <f t="shared" ca="1" si="852"/>
        <v>#N/A</v>
      </c>
      <c r="ES239" s="153" t="e">
        <f t="shared" ca="1" si="904"/>
        <v>#N/A</v>
      </c>
      <c r="ET239" s="153" t="e">
        <f t="shared" ca="1" si="905"/>
        <v>#N/A</v>
      </c>
      <c r="EU239" s="153" t="e">
        <f t="shared" ca="1" si="853"/>
        <v>#N/A</v>
      </c>
      <c r="EV239" s="153" t="e">
        <f t="shared" ca="1" si="724"/>
        <v>#N/A</v>
      </c>
      <c r="EW239" s="153" t="e">
        <f t="shared" ca="1" si="725"/>
        <v>#N/A</v>
      </c>
      <c r="EX239" s="153" t="e">
        <f t="shared" ca="1" si="726"/>
        <v>#N/A</v>
      </c>
      <c r="EY239" s="157" t="e">
        <f t="shared" ca="1" si="727"/>
        <v>#DIV/0!</v>
      </c>
      <c r="EZ239" s="154" t="e">
        <f t="shared" ca="1" si="728"/>
        <v>#DIV/0!</v>
      </c>
      <c r="FA239" s="153" t="e">
        <f t="shared" ca="1" si="854"/>
        <v>#N/A</v>
      </c>
      <c r="FB239" s="153" t="e">
        <f t="shared" ca="1" si="729"/>
        <v>#N/A</v>
      </c>
      <c r="FC239" s="193" t="e">
        <f t="shared" ca="1" si="730"/>
        <v>#N/A</v>
      </c>
      <c r="FD239" s="158" t="e">
        <f t="shared" ca="1" si="855"/>
        <v>#N/A</v>
      </c>
      <c r="FE239" s="158" t="e">
        <f t="shared" ca="1" si="856"/>
        <v>#N/A</v>
      </c>
      <c r="FF239" s="159" t="e">
        <f t="shared" ca="1" si="731"/>
        <v>#N/A</v>
      </c>
      <c r="FG239" s="160" t="e">
        <f t="shared" ca="1" si="857"/>
        <v>#N/A</v>
      </c>
      <c r="FH239" s="158" t="e">
        <f t="shared" ca="1" si="858"/>
        <v>#N/A</v>
      </c>
      <c r="FI239" s="159" t="e">
        <f t="shared" ca="1" si="732"/>
        <v>#N/A</v>
      </c>
      <c r="FJ239" s="160" t="e">
        <f t="shared" ca="1" si="859"/>
        <v>#N/A</v>
      </c>
      <c r="FK239" s="160" t="e">
        <f t="shared" ca="1" si="733"/>
        <v>#N/A</v>
      </c>
      <c r="FL239" s="160" t="e">
        <f t="shared" ca="1" si="906"/>
        <v>#N/A</v>
      </c>
      <c r="FM239" s="160" t="e">
        <f t="shared" ca="1" si="734"/>
        <v>#N/A</v>
      </c>
      <c r="FN239" s="158">
        <f t="shared" ca="1" si="860"/>
        <v>0.01</v>
      </c>
      <c r="FO239" s="160">
        <f>Control!$C$101</f>
        <v>50</v>
      </c>
      <c r="FP239" s="150" t="e">
        <f t="shared" ca="1" si="735"/>
        <v>#N/A</v>
      </c>
      <c r="FQ239" s="150" t="e">
        <f ca="1">MAX(0,(Control!$C$112*(($DK239-Control!$C$97)/Control!$C$97)))</f>
        <v>#N/A</v>
      </c>
      <c r="FR239" s="150" t="e">
        <f ca="1">(1-$NT239)*Control!$C$113</f>
        <v>#DIV/0!</v>
      </c>
      <c r="FS239" s="198" t="e">
        <f t="shared" ca="1" si="736"/>
        <v>#N/A</v>
      </c>
      <c r="FT239" s="161">
        <f t="shared" ca="1" si="861"/>
        <v>235</v>
      </c>
      <c r="FU239" s="162" t="e">
        <f ca="1">IF(Control!$B$34=1,VLOOKUP($CP239,Control!$B$86:$G$91,6),Control!$B$35)</f>
        <v>#N/A</v>
      </c>
      <c r="FV239" s="162" t="e">
        <f t="shared" ca="1" si="737"/>
        <v>#DIV/0!</v>
      </c>
      <c r="FW239" s="162" t="e">
        <f ca="1">IF(Control!$B$31=1,$FU239*$FV239,  $FU239)</f>
        <v>#N/A</v>
      </c>
      <c r="FX239" s="162" t="e">
        <f ca="1">IF(Control!$B$34=1,VLOOKUP($CP239,Control!$B$86:$G$91,3),Control!$B$36)</f>
        <v>#N/A</v>
      </c>
      <c r="FY239" s="162" t="e">
        <f t="shared" ca="1" si="738"/>
        <v>#N/A</v>
      </c>
      <c r="FZ239" s="162" t="e">
        <f ca="1">IF(Control!$B$34=1,VLOOKUP($CP239,Control!$B$86:$G$91,4),Control!$B$37)</f>
        <v>#N/A</v>
      </c>
      <c r="GA239" s="162" t="e">
        <f t="shared" ca="1" si="739"/>
        <v>#N/A</v>
      </c>
      <c r="GB239" s="162" t="e">
        <f ca="1">IF(Control!$B$34=1,VLOOKUP($CP239,Control!$B$86:$G$91,5),Control!$B$38)</f>
        <v>#N/A</v>
      </c>
      <c r="GC239" s="162" t="e">
        <f t="shared" ca="1" si="862"/>
        <v>#N/A</v>
      </c>
      <c r="GD239" s="162">
        <f t="shared" ca="1" si="740"/>
        <v>1</v>
      </c>
      <c r="GE239" s="162">
        <f t="shared" ca="1" si="741"/>
        <v>1</v>
      </c>
      <c r="GF239" s="162">
        <f ca="1">IF(AND(Control!$C$104=1, Control!$C$62="F"),$GE239,1)</f>
        <v>1</v>
      </c>
      <c r="GG239" s="162" t="e">
        <f ca="1">IF(Control!$B$16=40,0,IF(AND(Control!$B$16&gt;40,Control!$B$16&lt;=360),(Control!$B$16-40)*((1-0)/(360-40)),IF(AND(Control!$B$16&gt;360,Control!$B$16&lt;=720),(1+(Control!$B$16-360)*((1.25-1)/(720-360))),IF(AND(Control!$B$16&gt;720,Control!$B$16&lt;=1000),(1.25+(Control!$B$16-720)*((1.35-1.25)/(1000-720))),IF(AND(Control!$B$16&gt;1000,Control!$B$16&lt;=2000),(1.35+(Control!$B$16-1000)*0))))))</f>
        <v>#N/A</v>
      </c>
      <c r="GH239" s="162" t="e">
        <f t="shared" ca="1" si="742"/>
        <v>#N/A</v>
      </c>
      <c r="GI239" s="162">
        <f t="shared" ca="1" si="863"/>
        <v>0</v>
      </c>
      <c r="GJ239" s="162">
        <f t="shared" ca="1" si="743"/>
        <v>0</v>
      </c>
      <c r="GK239" s="162">
        <f t="shared" ca="1" si="864"/>
        <v>1</v>
      </c>
      <c r="GL239" s="162">
        <f t="shared" ca="1" si="744"/>
        <v>1</v>
      </c>
      <c r="GM239" s="162" t="e">
        <f ca="1">MAX(0,MIN(1,1-Control!$C$156*(1.0001-$KH239)^2))</f>
        <v>#N/A</v>
      </c>
      <c r="GN239" s="162" t="e">
        <f ca="1">IF(Control!$B$26=1,$KU239,$KX239)</f>
        <v>#N/A</v>
      </c>
      <c r="GO239" s="162" t="e">
        <f ca="1">IF($CP239&lt;=60,Control!$C$105,IF($CP239&gt;=90,Control!$C$106,Control!$C$105+($CP239-60)*((Control!$C$106-Control!$C$105)/(90-60))))</f>
        <v>#N/A</v>
      </c>
      <c r="GP239" s="162" t="e">
        <f t="shared" ca="1" si="745"/>
        <v>#N/A</v>
      </c>
      <c r="GQ239" s="162" t="e">
        <f t="shared" ca="1" si="865"/>
        <v>#N/A</v>
      </c>
      <c r="GR239" s="163" t="e">
        <f t="shared" ca="1" si="746"/>
        <v>#DIV/0!</v>
      </c>
      <c r="GS239" s="162" t="e">
        <f t="shared" ca="1" si="747"/>
        <v>#DIV/0!</v>
      </c>
      <c r="GT239" s="164" t="e">
        <f t="shared" ca="1" si="866"/>
        <v>#N/A</v>
      </c>
      <c r="GU239" s="162" t="e">
        <f t="shared" ca="1" si="867"/>
        <v>#N/A</v>
      </c>
      <c r="GV239" s="162" t="e">
        <f t="shared" ca="1" si="748"/>
        <v>#N/A</v>
      </c>
      <c r="GW239" s="162" t="e">
        <f t="shared" ca="1" si="749"/>
        <v>#DIV/0!</v>
      </c>
      <c r="GX239" s="162" t="e">
        <f t="shared" ca="1" si="868"/>
        <v>#DIV/0!</v>
      </c>
      <c r="GY239" s="162" t="e">
        <f t="shared" ca="1" si="869"/>
        <v>#DIV/0!</v>
      </c>
      <c r="GZ239" s="165" t="e">
        <f t="shared" ca="1" si="750"/>
        <v>#N/A</v>
      </c>
      <c r="HA239" s="162" t="e">
        <f ca="1">IF(Control!$C$114=1, $DI239*$FS239, 0)</f>
        <v>#N/A</v>
      </c>
      <c r="HB239" s="162" t="e">
        <f ca="1">$FA239/Control!$C$64</f>
        <v>#N/A</v>
      </c>
      <c r="HC239" s="162" t="e">
        <f t="shared" ca="1" si="751"/>
        <v>#DIV/0!</v>
      </c>
      <c r="HD239" s="162">
        <f ca="1">-ASIN(SIN(23.45*Control!$C$139)*COS(2*Control!$C$138*($AH239+10)/365))</f>
        <v>0.19014684188691522</v>
      </c>
      <c r="HE239" s="165">
        <f t="shared" ca="1" si="870"/>
        <v>0</v>
      </c>
      <c r="HF239" s="166">
        <f ca="1">IF(AND(Control!$C$61="T",$HE239&gt;=Control!$C$103,Control!$C$114=0),$AH239,Control!$C$59)</f>
        <v>1</v>
      </c>
      <c r="HG239" s="166">
        <f ca="1">IF(AND(Control!$C$61="T",$HE239&gt;=Control!$C$103,Control!$C$114=0),$HF239,Control!$C$59)</f>
        <v>1</v>
      </c>
      <c r="HH239" s="165">
        <f ca="1">IF(AND(OR(Control!$C$60&lt;=0, $AH239= Control!$C$59, Control!$C$60 &gt;0, $AH239 = Control!$C$60)), Control!$C$59, IF(Control!$C$60&gt;0, 0))</f>
        <v>1</v>
      </c>
      <c r="HI239" s="165">
        <f ca="1">IF(AND(OR(Control!$C$60&lt;=0, $AH239= Control!$C$59, Control!$C$60 &gt;0, $AH239 = Control!$C$60)), Control!$C$60, IF(Control!$C$60&lt;=0, 0))</f>
        <v>0</v>
      </c>
      <c r="HJ239" s="166">
        <f ca="1">IF(AND(Control!$C$62="F",$CV239&gt;=Control!$C$102),$AH239,0)</f>
        <v>0</v>
      </c>
      <c r="HK239" s="165" t="e">
        <f t="shared" ca="1" si="907"/>
        <v>#N/A</v>
      </c>
      <c r="HL239" s="166">
        <f ca="1">IF(AND(Control!$C$61="T",$HE239&gt;=Control!$C$103,Control!$C$114=0),$HF239,0)</f>
        <v>0</v>
      </c>
      <c r="HM239" s="201" t="e">
        <f t="shared" ca="1" si="752"/>
        <v>#DIV/0!</v>
      </c>
      <c r="HN239" s="215">
        <f t="shared" ca="1" si="871"/>
        <v>235</v>
      </c>
      <c r="HO239" s="216" t="e">
        <f ca="1">IF(AND($CP239&gt;=0, $CP239&lt;=90), Control!$C$152, Control!$C$152)</f>
        <v>#N/A</v>
      </c>
      <c r="HP239" s="216" t="e">
        <f t="shared" ca="1" si="753"/>
        <v>#N/A</v>
      </c>
      <c r="HQ239" s="217" t="e">
        <f ca="1">IF(OR(Control!$B$26=1,Control!$B$26=2),$KV239,$KS239)</f>
        <v>#DIV/0!</v>
      </c>
      <c r="HR239" s="218" t="e">
        <f t="shared" ca="1" si="908"/>
        <v>#DIV/0!</v>
      </c>
      <c r="HS239" s="216" t="e">
        <f ca="1">Control!$C$154*$HP239</f>
        <v>#N/A</v>
      </c>
      <c r="HT239" s="216" t="e">
        <f ca="1">Control!$C$155*$HP239</f>
        <v>#N/A</v>
      </c>
      <c r="HU239" s="217" t="e">
        <f ca="1">Control!$C$161*$FI239</f>
        <v>#N/A</v>
      </c>
      <c r="HV239" s="218" t="e">
        <f t="shared" ca="1" si="872"/>
        <v>#N/A</v>
      </c>
      <c r="HW239" s="218" t="e">
        <f ca="1">Control!$C$160*$FF239+$IP239*$EO239</f>
        <v>#N/A</v>
      </c>
      <c r="HX239" s="218" t="e">
        <f t="shared" ca="1" si="909"/>
        <v>#N/A</v>
      </c>
      <c r="HY239" s="219" t="e">
        <f ca="1">IF(Control!$C$114=1, $EB239*$FS239, 0)</f>
        <v>#N/A</v>
      </c>
      <c r="HZ239" s="91" t="e">
        <f t="shared" ca="1" si="754"/>
        <v>#N/A</v>
      </c>
      <c r="IA239" s="220" t="e">
        <f ca="1">Control!$C$153*$HO239</f>
        <v>#N/A</v>
      </c>
      <c r="IB239" s="218" t="e">
        <f t="shared" ca="1" si="755"/>
        <v>#N/A</v>
      </c>
      <c r="IC239" s="220" t="e">
        <f ca="1">Control!$C$153*$HT239</f>
        <v>#N/A</v>
      </c>
      <c r="ID239" s="218" t="e">
        <f t="shared" ca="1" si="756"/>
        <v>#N/A</v>
      </c>
      <c r="IE239" s="221" t="e">
        <f ca="1">($EB239*Control!$C$159+$EF239*Control!$C$160)/(IF($GZ239&lt;&gt;0,$GZ239,1))</f>
        <v>#N/A</v>
      </c>
      <c r="IF239" s="216" t="e">
        <f t="shared" ca="1" si="757"/>
        <v>#N/A</v>
      </c>
      <c r="IG239" s="91">
        <f ca="1">IF(OR(Control!$B$198=$AH239,Control!$B$199=$AH239, Control!$B$200=$AH239, Control!$B$201=$AH239, Control!$B$202=$AH239, Control!$B$203=$AH239, Control!$B$204=$AH239, Control!$B$205=$AH239, Control!$B$206=$AH239, Control!$B$207=$AH239), 1, 0)</f>
        <v>0</v>
      </c>
      <c r="IH239" s="91">
        <f ca="1">IF($IG239=0,0, VLOOKUP($AH239,Control!$B$198:$C$207,2))</f>
        <v>0</v>
      </c>
      <c r="II239" s="222">
        <f t="shared" ca="1" si="873"/>
        <v>0</v>
      </c>
      <c r="IJ239" s="91">
        <f>Control!$C$121</f>
        <v>0.7</v>
      </c>
      <c r="IK239" s="218">
        <f t="shared" ca="1" si="758"/>
        <v>0</v>
      </c>
      <c r="IL239" s="217" t="e">
        <f t="shared" ca="1" si="910"/>
        <v>#N/A</v>
      </c>
      <c r="IM239" s="223" t="e">
        <f ca="1">IF(AND(Control!$C$114=1,$KH239&lt;1),$EB239*Control!$C$148*(1-$KH239), 0)</f>
        <v>#N/A</v>
      </c>
      <c r="IN239" s="217" t="e">
        <f t="shared" ca="1" si="759"/>
        <v>#DIV/0!</v>
      </c>
      <c r="IO239" s="91" t="e">
        <f ca="1">MAX(0,$IL239-$EF239*Control!$C$160)</f>
        <v>#N/A</v>
      </c>
      <c r="IP239" s="220" t="e">
        <f t="shared" ca="1" si="760"/>
        <v>#N/A</v>
      </c>
      <c r="IQ239" s="217" t="e">
        <f t="shared" ca="1" si="874"/>
        <v>#N/A</v>
      </c>
      <c r="IR239" s="218" t="e">
        <f t="shared" ca="1" si="761"/>
        <v>#N/A</v>
      </c>
      <c r="IS239" s="217" t="e">
        <f ca="1">Control!$C$159*MAX(0,$FD239-$EN239)</f>
        <v>#N/A</v>
      </c>
      <c r="IT239" s="217" t="e">
        <f t="shared" ca="1" si="911"/>
        <v>#N/A</v>
      </c>
      <c r="IU239" s="217" t="e">
        <f t="shared" ca="1" si="875"/>
        <v>#N/A</v>
      </c>
      <c r="IV239" s="217" t="e">
        <f t="shared" ca="1" si="912"/>
        <v>#N/A</v>
      </c>
      <c r="IW239" s="217" t="e">
        <f ca="1">IF(OR($AW239=1,AND($AW239=0, Control!$B$18=1,$EN239&lt;&gt;0)), $IQ239-$IU239, $IQ239)</f>
        <v>#N/A</v>
      </c>
      <c r="IX239" s="218" t="e">
        <f t="shared" ca="1" si="762"/>
        <v>#N/A</v>
      </c>
      <c r="IY239" s="218" t="e">
        <f ca="1">MAX(0,$IQ239-$EB239*Control!$C$159)</f>
        <v>#N/A</v>
      </c>
      <c r="IZ239" s="218" t="e">
        <f t="shared" ca="1" si="763"/>
        <v>#N/A</v>
      </c>
      <c r="JA239" s="216" t="e">
        <f t="shared" ca="1" si="764"/>
        <v>#N/A</v>
      </c>
      <c r="JB239" s="217" t="e">
        <f t="shared" ca="1" si="765"/>
        <v>#N/A</v>
      </c>
      <c r="JC239" s="222" t="e">
        <f ca="1">MAX(Control!$C$157*$EK239-$JT239, 0)/Control!$C$162</f>
        <v>#N/A</v>
      </c>
      <c r="JD239" s="218" t="e">
        <f t="shared" ca="1" si="766"/>
        <v>#N/A</v>
      </c>
      <c r="JE239" s="218" t="e">
        <f t="shared" ca="1" si="767"/>
        <v>#N/A</v>
      </c>
      <c r="JF239" s="218" t="e">
        <f t="shared" ca="1" si="876"/>
        <v>#N/A</v>
      </c>
      <c r="JG239" s="218" t="e">
        <f t="shared" ca="1" si="768"/>
        <v>#N/A</v>
      </c>
      <c r="JH239" s="217" t="e">
        <f t="shared" ca="1" si="877"/>
        <v>#N/A</v>
      </c>
      <c r="JI239" s="217" t="e">
        <f t="shared" ca="1" si="878"/>
        <v>#N/A</v>
      </c>
      <c r="JJ239" s="217" t="e">
        <f t="shared" ca="1" si="913"/>
        <v>#N/A</v>
      </c>
      <c r="JK239" s="217" t="e">
        <f ca="1">IF(Control!$C$114=1,IF(Control!$B$24=0,MAX(0,$JI239)*$GN239/Control!$C$64,(MAX(0,MIN($JI239,$JJ239*$GN239/Control!$C$64),0))))</f>
        <v>#N/A</v>
      </c>
      <c r="JL239" s="217" t="e">
        <f ca="1">$IK239/Control!$C$64-$JK239+$HQ239</f>
        <v>#N/A</v>
      </c>
      <c r="JM239" s="217" t="e">
        <f ca="1">IF(Control!$C$114=1,($JB239/(IF($JI239&lt;&gt;0,$JI239,1)))*$JK239,0)</f>
        <v>#N/A</v>
      </c>
      <c r="JN239" s="217" t="e">
        <f ca="1">IF(Control!$C$114=1,($JG239/(IF($JI239&lt;&gt;0,$JI239,1)))*$JK239, 0)</f>
        <v>#N/A</v>
      </c>
      <c r="JO239" s="218" t="e">
        <f t="shared" ca="1" si="769"/>
        <v>#N/A</v>
      </c>
      <c r="JP239" s="218" t="e">
        <f ca="1">MIN(($IY239+$IO239)*Control!$C$151, $JF239-$EH239*Control!$C$161)</f>
        <v>#N/A</v>
      </c>
      <c r="JQ239" s="218" t="e">
        <f t="shared" ca="1" si="770"/>
        <v>#N/A</v>
      </c>
      <c r="JR239" s="217" t="e">
        <f ca="1">IF($CP239-Control!$C$150&lt;0, 0, $JQ239/Control!$C$162)</f>
        <v>#N/A</v>
      </c>
      <c r="JS239" s="218" t="e">
        <f t="shared" ca="1" si="771"/>
        <v>#N/A</v>
      </c>
      <c r="JT239" s="218" t="e">
        <f t="shared" ca="1" si="879"/>
        <v>#N/A</v>
      </c>
      <c r="JU239" s="218" t="e">
        <f t="shared" ca="1" si="772"/>
        <v>#N/A</v>
      </c>
      <c r="JV239" s="218" t="e">
        <f t="shared" ca="1" si="773"/>
        <v>#N/A</v>
      </c>
      <c r="JW239" s="216" t="e">
        <f t="shared" ca="1" si="774"/>
        <v>#N/A</v>
      </c>
      <c r="JX239" s="91" t="e">
        <f t="shared" ca="1" si="775"/>
        <v>#N/A</v>
      </c>
      <c r="JY239" s="218" t="e">
        <f t="shared" ca="1" si="776"/>
        <v>#N/A</v>
      </c>
      <c r="JZ239" s="217" t="e">
        <f ca="1">IF(Control!$C$114=1,($IZ239/(IF($JI239&lt;&gt;0,$JI239,1)))*$JK239, 0)</f>
        <v>#N/A</v>
      </c>
      <c r="KA239" s="218" t="e">
        <f t="shared" ca="1" si="914"/>
        <v>#N/A</v>
      </c>
      <c r="KB239" s="218" t="e">
        <f t="shared" ca="1" si="880"/>
        <v>#N/A</v>
      </c>
      <c r="KC239" s="218" t="e">
        <f t="shared" ca="1" si="777"/>
        <v>#N/A</v>
      </c>
      <c r="KD239" s="218" t="e">
        <f t="shared" ca="1" si="778"/>
        <v>#N/A</v>
      </c>
      <c r="KE239" s="218" t="e">
        <f t="shared" ca="1" si="779"/>
        <v>#N/A</v>
      </c>
      <c r="KF239" s="218" t="e">
        <f t="shared" ca="1" si="780"/>
        <v>#N/A</v>
      </c>
      <c r="KG239" s="216" t="e">
        <f t="shared" ca="1" si="781"/>
        <v>#N/A</v>
      </c>
      <c r="KH239" s="221" t="e">
        <f ca="1">IF(Control!$B$24=0,1,MAX(0.001,MIN(1,IF(($IF239-$IE239)&lt;&gt;0,($KG239-$IE239)/($IF239-$IE239),1))))</f>
        <v>#N/A</v>
      </c>
      <c r="KI239" s="222" t="e">
        <f ca="1">IF(Control!$C$114=1, $KI238+ $KH238, 0)</f>
        <v>#N/A</v>
      </c>
      <c r="KJ239" s="217" t="e">
        <f t="shared" ca="1" si="782"/>
        <v>#N/A</v>
      </c>
      <c r="KK239" s="218" t="e">
        <f t="shared" ca="1" si="783"/>
        <v>#N/A</v>
      </c>
      <c r="KL239" s="274" t="e">
        <f ca="1">IF(Control!$B$26=3,4000000000*EXP(-8400/($G239+273)),IF(Control!$B$26=4,4000000000*EXP(-8400/($G239+273))*($KT239),0))</f>
        <v>#DIV/0!</v>
      </c>
      <c r="KM239" s="274" t="e">
        <f ca="1">IF(Control!$B$26=3,5600000000000*EXP(-9800/($G239+273)),IF(Control!$B$26=4,5600000000000*EXP(-9800/($G239+273))*$KT239,0))</f>
        <v>#DIV/0!</v>
      </c>
      <c r="KN239" s="454" t="e">
        <f t="shared" ca="1" si="881"/>
        <v>#DIV/0!</v>
      </c>
      <c r="KO239" s="274" t="e">
        <f t="shared" ca="1" si="882"/>
        <v>#DIV/0!</v>
      </c>
      <c r="KP239" s="454" t="e">
        <f t="shared" ca="1" si="784"/>
        <v>#DIV/0!</v>
      </c>
      <c r="KQ239" s="454" t="e">
        <f t="shared" ca="1" si="785"/>
        <v>#DIV/0!</v>
      </c>
      <c r="KR239" s="454" t="e">
        <f t="shared" ca="1" si="786"/>
        <v>#DIV/0!</v>
      </c>
      <c r="KS239" s="454" t="e">
        <f t="shared" ca="1" si="787"/>
        <v>#DIV/0!</v>
      </c>
      <c r="KT239" s="455" t="e">
        <f t="shared" ca="1" si="788"/>
        <v>#DIV/0!</v>
      </c>
      <c r="KU239" s="456" t="e">
        <f ca="1">IF($CP239-Control!$C$149&lt;0, IF($NT239-0.01&lt;0,0,1),0)</f>
        <v>#N/A</v>
      </c>
      <c r="KV239" s="456" t="e">
        <f ca="1">IF(Control!$C$114=1,MAX(0,MIN(Control!$C$125*$KW239*$GN239,$KW239)))</f>
        <v>#DIV/0!</v>
      </c>
      <c r="KW239" s="456" t="e">
        <f t="shared" ca="1" si="915"/>
        <v>#DIV/0!</v>
      </c>
      <c r="KX239" s="457" t="e">
        <f ca="1">IF($CP239-Control!$C$149&lt;0, IF($MR239-$OM239&lt;0,0,1),0)</f>
        <v>#N/A</v>
      </c>
      <c r="KY239" s="167">
        <f t="shared" ca="1" si="883"/>
        <v>235</v>
      </c>
      <c r="KZ239" s="168">
        <f ca="1">1370*(1+0.033*COS(2*Control!$C$138*$AH239/365))</f>
        <v>1342.030201863183</v>
      </c>
      <c r="LA239" s="169">
        <f t="shared" ca="1" si="884"/>
        <v>0.97958384369233742</v>
      </c>
      <c r="LB239" s="169">
        <f t="shared" ca="1" si="885"/>
        <v>0.19113286716863562</v>
      </c>
      <c r="LC239" s="169">
        <f ca="1">ACOS(-TAN((2*Control!$B$8/360))*TAN(Calculations!$LB239))</f>
        <v>1.6283353500321454</v>
      </c>
      <c r="LD239" s="169">
        <f ca="1">((24*60)/PI())*0.082*$LA239*(($LC239*SIN(Control!$B$8*2*PI()/360))*SIN($LB239)+COS(Control!$B$8*2*PI()/360)*COS($LB239)*SIN($LC239))</f>
        <v>31.193165393244598</v>
      </c>
      <c r="LE239" s="170">
        <f t="shared" ca="1" si="789"/>
        <v>31.616077406884919</v>
      </c>
      <c r="LF239" s="170">
        <f ca="1">SIN(Control!$C$139*Control!$B$8)*SIN($HD239)</f>
        <v>0.14893671614727752</v>
      </c>
      <c r="LG239" s="170">
        <f ca="1">COS(Control!$C$139*Control!$B$8)*COS($HD239)</f>
        <v>0.60456345363081965</v>
      </c>
      <c r="LH239" s="170">
        <f ca="1">12*(1+2*ASIN(MAX(-1,MIN(1,$LF239/$LG239))/Control!$C$138))</f>
        <v>13.883936834832578</v>
      </c>
      <c r="LI239" s="170">
        <f ca="1">12*(1+2*ASIN(MAX(-1,MIN(1,(-SIN(-4*Control!$C$139)+$LF239)/$LG239))/Control!$C$138))</f>
        <v>14.769608659943817</v>
      </c>
      <c r="LJ239" s="168">
        <f ca="1">3600*($LH239*$LF239+24*$LG239*SQRT(1-$LK239*$LK239)/Control!$C$138)</f>
        <v>23558.394858022806</v>
      </c>
      <c r="LK239" s="170">
        <f t="shared" ca="1" si="790"/>
        <v>0.24635415067320068</v>
      </c>
      <c r="LL239" s="170">
        <f t="shared" ca="1" si="791"/>
        <v>0</v>
      </c>
      <c r="LM239" s="171">
        <f ca="1">Control!$C$145*$AB239</f>
        <v>6.6660906138995932E-2</v>
      </c>
      <c r="LN239" s="170">
        <f t="shared" ca="1" si="886"/>
        <v>0.54</v>
      </c>
      <c r="LO239" s="170">
        <f t="shared" ca="1" si="792"/>
        <v>0</v>
      </c>
      <c r="LP239" s="170">
        <f ca="1">Control!$C$140*((($D239+273.16)^4+($E239+273.16)^4)/2)*(0.34-0.14*SQRT($Y239))*(1.35*$AQ239/(0.75*$LD239)-0.35)</f>
        <v>-3.2464704755046001</v>
      </c>
      <c r="LQ239" s="170">
        <f ca="1">Control!$C$140*($G239+273)^4*(0.56-0.079*SQRT($Y239*10))*(0.1+0.9*$LO239)</f>
        <v>1.5241745131704001</v>
      </c>
      <c r="LR239" s="170">
        <f ca="1">$AQ239*(1-Control!$C$142)-$LQ239</f>
        <v>-1.5241745131704001</v>
      </c>
      <c r="LS239" s="170">
        <f ca="1">$AQ239*(1-Control!$C$143)-$LQ239</f>
        <v>-1.5241745131704001</v>
      </c>
      <c r="LT239" s="170">
        <f ca="1">$AQ239*(1-Control!$C$144)-$LQ239</f>
        <v>-1.5241745131704001</v>
      </c>
      <c r="LU239" s="169">
        <f ca="1">(1-Control!$C$144)*AQ239-LP239</f>
        <v>3.2464704755046001</v>
      </c>
      <c r="LV239" s="172">
        <f t="shared" ca="1" si="793"/>
        <v>0.79430000000000012</v>
      </c>
      <c r="LW239" s="170">
        <f t="shared" ca="1" si="794"/>
        <v>1.5886000000000002</v>
      </c>
      <c r="LX239" s="170">
        <f ca="1">($AC239*($LR239/Control!$C$141)+$LM239*$LV239)/($AC239+$LM239)</f>
        <v>0.23530094218323697</v>
      </c>
      <c r="LY239" s="170">
        <f ca="1">($AC239*($LS239/Control!$C$141)+$LM239*$LV239)/($AC239+$LM239)</f>
        <v>0.23530094218323697</v>
      </c>
      <c r="LZ239" s="170">
        <f t="shared" ca="1" si="795"/>
        <v>0.23530094218323697</v>
      </c>
      <c r="MA239" s="170">
        <f t="shared" ca="1" si="796"/>
        <v>0.23530094218323697</v>
      </c>
      <c r="MB239" s="170" t="e">
        <f t="shared" ca="1" si="797"/>
        <v>#N/A</v>
      </c>
      <c r="MC239" s="170">
        <f t="shared" ca="1" si="887"/>
        <v>0.6018</v>
      </c>
      <c r="MD239" s="170">
        <f t="shared" ca="1" si="798"/>
        <v>0.52989392535414004</v>
      </c>
      <c r="ME239" s="170">
        <f ca="1">($AC239*($LT239/Control!$C$141)+$LM239*$LW239)/($AC239+$LM239)</f>
        <v>0.71612369323045078</v>
      </c>
      <c r="MF239" s="170" t="e">
        <f ca="1">IF(Control!$B$16&gt;=1000,0.92,IF(AND(720&lt;=Control!$B$16,1000&gt;Control!$B$16),(0.95+(Control!$B$16-720)*((0.92-0.95)/(1000-720))),IF(AND(360&lt;=Control!$B$16,720&gt;Control!$B$16),(1+(Control!$B$16-360)*((0.95-1)/(720-360))),IF(AND(40&lt;=Control!$B$16,360&gt;Control!$B$16),(1.05+(Control!$B$16-40)*((1.05-1)/(360-40)))))))</f>
        <v>#N/A</v>
      </c>
      <c r="MG239" s="170">
        <f t="shared" ca="1" si="799"/>
        <v>0.71612369323045078</v>
      </c>
      <c r="MH239" s="170" t="e">
        <f t="shared" ca="1" si="925"/>
        <v>#N/A</v>
      </c>
      <c r="MI239" s="170" t="e">
        <f t="shared" ca="1" si="925"/>
        <v>#N/A</v>
      </c>
      <c r="MJ239" s="170" t="e">
        <f ca="1">MAX(0.0001, Control!$C$132*$MI239*$DL239)</f>
        <v>#N/A</v>
      </c>
      <c r="MK239" s="170">
        <f ca="1">1/(0.76+1.5*($MG239/10))-(5-Control!$C$110)*0.1</f>
        <v>1.002845988140797</v>
      </c>
      <c r="ML239" s="173">
        <f ca="1">IF(Control!$C$110&lt;3,$MK239+($MG239-0.6)/(Control!$C$110*(Control!$C$110+3)), MAX(0.1, MIN(0.95,$MK239)))</f>
        <v>0.95</v>
      </c>
      <c r="MM239" s="173">
        <f ca="1">IF(Control!$C$110&lt;3,$MK239+(($MI239/10)-0.6)/(Control!$C$110*(Control!$C$110+3)), MAX(0.1, MIN(0.95,$MK239)))</f>
        <v>0.95</v>
      </c>
      <c r="MN239" s="173">
        <f ca="1">(1-$MM239)*(Control!$C$128-Control!$C$127)+Control!$C$127</f>
        <v>0.16</v>
      </c>
      <c r="MO239" s="170" t="e">
        <f ca="1">MAX(0,MIN(1,($MS239-Control!$C$127)/($MN239-Control!$C$127)))</f>
        <v>#DIV/0!</v>
      </c>
      <c r="MP239" s="173" t="e">
        <f ca="1">1/(0.76+1.5*$MI239)-(5-Control!$C$110)*0.1</f>
        <v>#N/A</v>
      </c>
      <c r="MQ239" s="172" t="e">
        <f t="shared" ca="1" si="916"/>
        <v>#DIV/0!</v>
      </c>
      <c r="MR239" s="168" t="e">
        <f t="shared" ca="1" si="888"/>
        <v>#DIV/0!</v>
      </c>
      <c r="MS239" s="173" t="e">
        <f ca="1">MAX(Control!$C$127, MIN(Control!$C$135, $MR239/MAX(0.0001,$CY239)))</f>
        <v>#DIV/0!</v>
      </c>
      <c r="MT239" s="168" t="e">
        <f ca="1">(Control!$C$128-$MS239)*Control!$C$74</f>
        <v>#DIV/0!</v>
      </c>
      <c r="MU239" s="168" t="e">
        <f ca="1">(Control!$C$135-$MS239)*Control!$C$74</f>
        <v>#DIV/0!</v>
      </c>
      <c r="MV239" s="168" t="e">
        <f t="shared" ca="1" si="889"/>
        <v>#DIV/0!</v>
      </c>
      <c r="MW239" s="168" t="e">
        <f t="shared" ca="1" si="890"/>
        <v>#DIV/0!</v>
      </c>
      <c r="MX239" s="171" t="e">
        <f ca="1">MAX(Control!$C$127, MIN(Control!$C$135, $MW239/MAX(0.0001,Control!$C$119-$CY239)))</f>
        <v>#DIV/0!</v>
      </c>
      <c r="MY239" s="54" t="e">
        <f ca="1">IF(Control!$C$114=1, $CX239*$MX239, 0)</f>
        <v>#DIV/0!</v>
      </c>
      <c r="MZ239" s="54" t="e">
        <f t="shared" ca="1" si="891"/>
        <v>#N/A</v>
      </c>
      <c r="NA239" s="168" t="e">
        <f ca="1">(Control!$C$128-$MX239)*(Control!$C$119-Control!$C$74)</f>
        <v>#DIV/0!</v>
      </c>
      <c r="NB239" s="168" t="e">
        <f ca="1">(Control!$C$135-$MX239)*(Control!$C$119-Control!$C$74)</f>
        <v>#DIV/0!</v>
      </c>
      <c r="NC239" s="174" t="e">
        <f t="shared" ca="1" si="892"/>
        <v>#DIV/0!</v>
      </c>
      <c r="ND239" s="54">
        <f ca="1">IF(Control!$C$58=2, IF(OR(Control!$B$218=$AH239,Control!$B$219=$AH239, Control!$B$220=$AH239, Control!$B$221=$AH239, Control!$B$222=$AH239, Control!$B$223=$AH239, Control!$B$224=$AH239, Control!$B$225=$AH239, Control!$B$226=$AH239, Control!$B$227=$AH239, Control!$B$228=$AH239), 1, 0), 0)</f>
        <v>0</v>
      </c>
      <c r="NE239" s="54">
        <f ca="1">IF($ND239=0,0, VLOOKUP($AH239,Control!$B$218:$C$228,2))</f>
        <v>0</v>
      </c>
      <c r="NF239" s="168" t="e">
        <f ca="1">$CY239*(Control!$C$128-Control!$C$127)</f>
        <v>#N/A</v>
      </c>
      <c r="NG239" s="54" t="e">
        <f ca="1">IF(Control!$C$58=2, $NI238-$NJ238, 0)</f>
        <v>#DIV/0!</v>
      </c>
      <c r="NH239" s="54" t="e">
        <f ca="1">IF(AND(Control!$C$58=1, $MS238&lt;= ($MN238+0.02), $I238&lt;10), 0, IF(Control!$C$58=2, $NG238, 0))</f>
        <v>#DIV/0!</v>
      </c>
      <c r="NI239" s="54" t="e">
        <f ca="1">IF(Control!$C$58=2, $NE239+$NH239,0)</f>
        <v>#DIV/0!</v>
      </c>
      <c r="NJ239" s="54" t="e">
        <f ca="1">IF(AND(Control!$C$58=1, $MS239&lt;= ($MN239+0.02), $I239&lt;10), MAX(0, MIN(10, 0.7*($NF239-$MV239))), IF(Control!$C$58=2, MIN(10,$NI239),0))</f>
        <v>#DIV/0!</v>
      </c>
      <c r="NK239" s="54" t="e">
        <f t="shared" ca="1" si="800"/>
        <v>#DIV/0!</v>
      </c>
      <c r="NL239" s="173" t="e">
        <f ca="1">(1-Control!$C$73)*$I239+$NJ239</f>
        <v>#DIV/0!</v>
      </c>
      <c r="NM239" s="172" t="e">
        <f ca="1">IF($NL239&lt;0.5, $MB239* MAX(0, MIN(1, (SQRT($NC239)-SQRT($NC239-1))*Control!$C$71)),0)</f>
        <v>#DIV/0!</v>
      </c>
      <c r="NN239" s="170" t="e">
        <f ca="1">IF($NL239&gt;=5, $MB239, MAX(0,MIN($MB239, $NM239+$NL239,($MS239-Control!$C$129))))</f>
        <v>#DIV/0!</v>
      </c>
      <c r="NO239" s="54">
        <f>IF(Control!$C$133&lt;&gt;1, Control!$C$135-Control!$C$131, 0)</f>
        <v>0.38</v>
      </c>
      <c r="NP239" s="54" t="e">
        <f t="shared" ca="1" si="801"/>
        <v>#DIV/0!</v>
      </c>
      <c r="NQ239" s="173" t="e">
        <f ca="1">MAX(0,MIN(1,(Control!$C$135-$MS239)/(Control!$C$135-$NO239)))</f>
        <v>#DIV/0!</v>
      </c>
      <c r="NR239" s="170" t="e">
        <f ca="1">IF(Control!$C$133&lt;&gt;1, $NQ239+((1-$NP239/4)*(1-$NQ239)),1)</f>
        <v>#DIV/0!</v>
      </c>
      <c r="NS239" s="170" t="e">
        <f ca="1">IF(Control!$B$31=0,$MJ239,MAX(0,MIN($MV239,$MO239*$NR239*$MJ239)))</f>
        <v>#DIV/0!</v>
      </c>
      <c r="NT239" s="170" t="e">
        <f t="shared" ca="1" si="917"/>
        <v>#DIV/0!</v>
      </c>
      <c r="NU239" s="170" t="e">
        <f t="shared" ca="1" si="893"/>
        <v>#N/A</v>
      </c>
      <c r="NV239" s="170" t="e">
        <f t="shared" ca="1" si="802"/>
        <v>#N/A</v>
      </c>
      <c r="NW239" s="175" t="e">
        <f t="shared" ca="1" si="803"/>
        <v>#DIV/0!</v>
      </c>
      <c r="NX239" s="170" t="e">
        <f ca="1">MIN(Control!$C$72+$MU239, $NW239)</f>
        <v>#DIV/0!</v>
      </c>
      <c r="NY239" s="170" t="e">
        <f ca="1">IF($MT239&lt;=$NX239,MIN(Control!$C$72+$NB239,$NX239-$MT239),0)</f>
        <v>#DIV/0!</v>
      </c>
      <c r="NZ239" s="54" t="e">
        <f ca="1">IF(Control!$C$114=1,  $CX239*($MX239-Control!$C$127), 0)</f>
        <v>#DIV/0!</v>
      </c>
      <c r="OA239" s="170" t="e">
        <f t="shared" ca="1" si="804"/>
        <v>#DIV/0!</v>
      </c>
      <c r="OB239" s="170" t="e">
        <f ca="1">IF($NA239 &lt;=$NY239, MIN(Control!$C$72, $NY239-$NA239), 0)</f>
        <v>#DIV/0!</v>
      </c>
      <c r="OC239" s="168" t="e">
        <f t="shared" ca="1" si="805"/>
        <v>#DIV/0!</v>
      </c>
      <c r="OD239" s="168" t="e">
        <f t="shared" ca="1" si="894"/>
        <v>#DIV/0!</v>
      </c>
      <c r="OE239" s="170">
        <f ca="1">Control!$C$73*$I239</f>
        <v>0</v>
      </c>
      <c r="OF239" s="176" t="e">
        <f t="shared" ca="1" si="806"/>
        <v>#DIV/0!</v>
      </c>
      <c r="OG239" s="168" t="e">
        <f t="shared" ca="1" si="807"/>
        <v>#DIV/0!</v>
      </c>
      <c r="OH239" s="168" t="e">
        <f t="shared" ca="1" si="808"/>
        <v>#DIV/0!</v>
      </c>
      <c r="OI239" s="168" t="e">
        <f t="shared" ca="1" si="809"/>
        <v>#DIV/0!</v>
      </c>
      <c r="OJ239" s="168" t="e">
        <f t="shared" ca="1" si="810"/>
        <v>#DIV/0!</v>
      </c>
      <c r="OK239" s="204" t="e">
        <f t="shared" ca="1" si="811"/>
        <v>#DIV/0!</v>
      </c>
      <c r="OL239" s="177">
        <f>Control!$C$127</f>
        <v>0.15</v>
      </c>
      <c r="OM239" s="182" t="e">
        <f t="shared" ca="1" si="812"/>
        <v>#N/A</v>
      </c>
      <c r="ON239" s="177">
        <f>Control!$C$128</f>
        <v>0.35</v>
      </c>
      <c r="OO239" s="182" t="e">
        <f t="shared" ca="1" si="813"/>
        <v>#N/A</v>
      </c>
      <c r="OP239" s="138">
        <f t="shared" ca="1" si="895"/>
        <v>0</v>
      </c>
      <c r="OQ239" s="138" t="e">
        <f t="shared" ca="1" si="918"/>
        <v>#DIV/0!</v>
      </c>
      <c r="OR239" s="138" t="e">
        <f t="shared" ca="1" si="896"/>
        <v>#DIV/0!</v>
      </c>
      <c r="OS239" s="137" t="e">
        <f t="shared" ca="1" si="919"/>
        <v>#DIV/0!</v>
      </c>
      <c r="OT239" s="139" t="e">
        <f t="shared" ca="1" si="920"/>
        <v>#DIV/0!</v>
      </c>
      <c r="OU239" s="138" t="e">
        <f t="shared" ca="1" si="921"/>
        <v>#N/A</v>
      </c>
      <c r="OV239" s="138" t="e">
        <f t="shared" ca="1" si="922"/>
        <v>#DIV/0!</v>
      </c>
      <c r="OW239" s="138" t="e">
        <f t="shared" ca="1" si="897"/>
        <v>#DIV/0!</v>
      </c>
      <c r="OX239" s="138" t="e">
        <f t="shared" ca="1" si="898"/>
        <v>#DIV/0!</v>
      </c>
      <c r="OY239" s="138" t="e">
        <f t="shared" ca="1" si="899"/>
        <v>#DIV/0!</v>
      </c>
      <c r="OZ239" s="138" t="e">
        <f t="shared" ca="1" si="814"/>
        <v>#DIV/0!</v>
      </c>
      <c r="PA239" s="138" t="e">
        <f t="shared" ca="1" si="815"/>
        <v>#DIV/0!</v>
      </c>
      <c r="PB239" s="55">
        <f>IF(Control!$C$61="T", IF(Control!$C$65="F", IF($AH$6-Control!$C$60&lt;0,0,1), IF(365+$AH$6-Control!$C$60&lt;0,0,1)),0)</f>
        <v>0</v>
      </c>
      <c r="PC239" s="55">
        <f ca="1">IF(Control!$C$65="F", IF($AH$6-$HF239&lt;0,0,1), IF(365+$AH$6-$HF239&lt;0,0,1))</f>
        <v>1</v>
      </c>
      <c r="PD239" s="444">
        <f>Control!$C$118</f>
        <v>1500</v>
      </c>
      <c r="PE239" s="180" t="e">
        <f t="shared" ca="1" si="816"/>
        <v>#N/A</v>
      </c>
      <c r="PF239" s="445">
        <f t="shared" ca="1" si="900"/>
        <v>0.71612369323045078</v>
      </c>
      <c r="PT239" s="186"/>
      <c r="PU239" s="186"/>
      <c r="PV239" s="94"/>
      <c r="PW239" s="94"/>
      <c r="PX239" s="94"/>
      <c r="PY239" s="94"/>
      <c r="PZ239" s="94"/>
      <c r="QA239" s="94"/>
      <c r="QB239" s="94"/>
      <c r="QC239" s="94"/>
      <c r="QD239" s="94"/>
      <c r="QE239" s="94"/>
      <c r="QF239" s="94"/>
      <c r="QG239" s="94"/>
      <c r="QH239" s="94"/>
      <c r="QI239" s="94"/>
      <c r="QJ239" s="94"/>
      <c r="QK239" s="94"/>
      <c r="QL239" s="94"/>
      <c r="QM239" s="94"/>
      <c r="QN239" s="94"/>
      <c r="QO239" s="94"/>
      <c r="QP239" s="94"/>
    </row>
    <row r="240" spans="1:458" s="2" customFormat="1" x14ac:dyDescent="0.2">
      <c r="A240" s="395">
        <v>23</v>
      </c>
      <c r="B240" s="396">
        <v>8</v>
      </c>
      <c r="C240" s="387">
        <f ca="1">Weather_data!$B239</f>
        <v>0</v>
      </c>
      <c r="D240" s="388">
        <f ca="1">Weather_data!$F239</f>
        <v>0</v>
      </c>
      <c r="E240" s="388">
        <f ca="1">Weather_data!$E239</f>
        <v>0</v>
      </c>
      <c r="F240" s="388">
        <f t="shared" ca="1" si="817"/>
        <v>0</v>
      </c>
      <c r="G240" s="388">
        <f ca="1">AVERAGE($D240:$E240)+Control!$B$9</f>
        <v>0</v>
      </c>
      <c r="H240" s="388">
        <f ca="1">Weather_data!$G239</f>
        <v>0</v>
      </c>
      <c r="I240" s="388">
        <f ca="1">Weather_data!$I239</f>
        <v>0</v>
      </c>
      <c r="J240" s="388">
        <f ca="1">Weather_data!$H239</f>
        <v>0</v>
      </c>
      <c r="K240" s="389">
        <f ca="1">Weather_data!$D239</f>
        <v>0</v>
      </c>
      <c r="L240" s="388" t="e">
        <f t="shared" ca="1" si="818"/>
        <v>#N/A</v>
      </c>
      <c r="M240" s="388" t="e">
        <f t="shared" ca="1" si="696"/>
        <v>#N/A</v>
      </c>
      <c r="N240" s="388">
        <f t="shared" ca="1" si="697"/>
        <v>-9.8110889494407772E-12</v>
      </c>
      <c r="O240" s="388">
        <f t="shared" ca="1" si="819"/>
        <v>9.8110889494407778E-11</v>
      </c>
      <c r="P240" s="390">
        <v>3</v>
      </c>
      <c r="Q240" s="388">
        <f ca="1">MAX($G240-Control!$C$107,0)</f>
        <v>0</v>
      </c>
      <c r="R240" s="388">
        <f t="shared" ca="1" si="820"/>
        <v>0</v>
      </c>
      <c r="S240" s="388">
        <f t="shared" ca="1" si="698"/>
        <v>0</v>
      </c>
      <c r="T240" s="388">
        <f t="shared" ca="1" si="699"/>
        <v>0</v>
      </c>
      <c r="U240" s="59">
        <f t="shared" ca="1" si="700"/>
        <v>0</v>
      </c>
      <c r="V240" s="391">
        <f ca="1">MAX(0,MIN(Control!$C$100-Control!$C$99,$G240-Control!$C$99)*Control!$C$63)</f>
        <v>0</v>
      </c>
      <c r="W240" s="388">
        <f t="shared" ca="1" si="821"/>
        <v>0</v>
      </c>
      <c r="X240" s="388">
        <f t="shared" ca="1" si="822"/>
        <v>0.6110000000000001</v>
      </c>
      <c r="Y240" s="388">
        <f t="shared" ca="1" si="701"/>
        <v>0</v>
      </c>
      <c r="Z240" s="388">
        <f t="shared" ca="1" si="823"/>
        <v>0.61058800000000002</v>
      </c>
      <c r="AA240" s="388">
        <f t="shared" ca="1" si="702"/>
        <v>0.6018</v>
      </c>
      <c r="AB240" s="388">
        <f ca="1">101.3*EXP(-0.034*Control!$C$66/($G240+273))</f>
        <v>100.69623283836242</v>
      </c>
      <c r="AC240" s="392">
        <f t="shared" ca="1" si="703"/>
        <v>4.3460251046025113E-2</v>
      </c>
      <c r="AD240" s="392">
        <f t="shared" ca="1" si="704"/>
        <v>4.4450382862832649E-2</v>
      </c>
      <c r="AE240" s="388">
        <f t="shared" ca="1" si="705"/>
        <v>0</v>
      </c>
      <c r="AF240" s="388">
        <f ca="1">MAX(0,$G240-Control!$C$92)</f>
        <v>0</v>
      </c>
      <c r="AG240" s="393">
        <f t="shared" ca="1" si="706"/>
        <v>236</v>
      </c>
      <c r="AH240" s="389">
        <f t="shared" ca="1" si="707"/>
        <v>236</v>
      </c>
      <c r="AI240" s="388">
        <f t="shared" ca="1" si="824"/>
        <v>0.18398312825533172</v>
      </c>
      <c r="AJ240" s="388">
        <f ca="1">IF(Control!$C$60&lt;=0,$HH240,$HI240)</f>
        <v>1</v>
      </c>
      <c r="AK240" s="388">
        <f t="shared" ca="1" si="708"/>
        <v>2.6854161860822341</v>
      </c>
      <c r="AL240" s="388">
        <f t="shared" ca="1" si="709"/>
        <v>-6.1314633925668708E-18</v>
      </c>
      <c r="AM240" s="388">
        <f t="shared" ca="1" si="710"/>
        <v>2.6854161860822341</v>
      </c>
      <c r="AN240" s="388">
        <f t="shared" ca="1" si="711"/>
        <v>0.17614788190415639</v>
      </c>
      <c r="AO240" s="388">
        <f ca="1">-0.10453/COS(Control!$B$8*PI()/180)*COS(AN240)</f>
        <v>-0.16715761911820551</v>
      </c>
      <c r="AP240" s="388">
        <f ca="1">ACOS(AO240-TAN(Control!$B$8*PI()/180)*TAN(AN240))</f>
        <v>1.9768400008745899</v>
      </c>
      <c r="AQ240" s="388">
        <f t="shared" ca="1" si="825"/>
        <v>0</v>
      </c>
      <c r="AR240" s="394">
        <f t="shared" ca="1" si="712"/>
        <v>0</v>
      </c>
      <c r="AS240" s="436">
        <f ca="1">IF(Control!$B$18=2,(IF(OR($AH240=Control!$B$175,$AH240=Control!$B$176,$AH240=Control!$B$177,$AH240=Control!$B$178,$AH240=Control!$B$179,$AH240=Control!$B$180,$AH240=Control!$B$181,$AH240=Control!$B$182,$AH240=Control!$B$183,$AH240=Control!$B$184,$AH240=Control!$B$185),1,0)),0)</f>
        <v>0</v>
      </c>
      <c r="AT240" s="436">
        <f>IF(Control!$B$20=8,IF(AND($AH240&gt;=Control!$B$172,$AH240&lt;=Control!$B$173),1,0),0)</f>
        <v>0</v>
      </c>
      <c r="AU240" s="436">
        <f>IF(Control!$B$20=8,IF($AV239=1,1*$AT240,IF($AT240=1,$AU239+1,$AU239)),0)</f>
        <v>0</v>
      </c>
      <c r="AV240" s="436">
        <f>IF(Control!$B$20=8,IF($AU240&gt;=Control!$B$174,1,0),0)</f>
        <v>0</v>
      </c>
      <c r="AW240" s="436">
        <f ca="1">IF(AND(Control!$B$18=2,Control!$B$171=1), $AV240, $AS240)</f>
        <v>0</v>
      </c>
      <c r="AX240" s="436" t="e">
        <f ca="1">IF(AND(Control!$B$18=1,$EU240&gt;=Control!$B$19),-$AY240,IF(AND(Control!$B$18=2,$AW240=1,$EU240&gt;$DS240),-$AY240, IF(Control!$C$108=0,0, IF(Control!$C$108&lt;&gt;0,1))))</f>
        <v>#N/A</v>
      </c>
      <c r="AY240" s="436" t="e">
        <f t="shared" ca="1" si="826"/>
        <v>#N/A</v>
      </c>
      <c r="AZ240" s="436" t="e">
        <f ca="1">IF(AND(Control!$B$18=1,$EB240&gt;Control!$B$19),$AZ239+1, IF(AND(Control!$B$18=2, $AW240=1, $EB240&gt;$DS240), $AZ239+1,$AZ239))</f>
        <v>#N/A</v>
      </c>
      <c r="BA240" s="587">
        <f>IF(Control!$C$81=0,1,IF($AH240&gt;=Control!$C$82,1,0))</f>
        <v>1</v>
      </c>
      <c r="BB240" s="140" t="e">
        <f ca="1">IF($BA240&gt;$BA239,Control!$C$83,IF($AW240&gt;0,$AW240*Control!$C$84,IF(AND(Control!$B$18=1,EN239&lt;&gt;0),Control!$C$84,0)))</f>
        <v>#N/A</v>
      </c>
      <c r="BC240" s="140" t="e">
        <f t="shared" ca="1" si="827"/>
        <v>#N/A</v>
      </c>
      <c r="BD240" s="140" t="e">
        <f ca="1">BC240*IF(OR($G240&lt;Control!$C$92,$G240&gt;Control!$C$95),0,IF(AND($G240&gt;=Control!$C$92,$G240&lt;=Control!$C$93),$G240-Control!$C$92,IF(AND($G240&gt;Control!$C$93,$G240&lt;=Control!$C$94),Control!$C$93-Control!$C$92,IF(AND($G240&gt;Control!$C$94,$G240&lt;=Control!$C$95),(Control!$C$93-Control!$C$92)*(Control!$C$94-$G240)/(Control!$C$95-Control!$C$94)))))</f>
        <v>#N/A</v>
      </c>
      <c r="BE240" s="140" t="e">
        <f t="shared" ca="1" si="828"/>
        <v>#N/A</v>
      </c>
      <c r="BF240" s="140" t="e">
        <f ca="1">IF($BE240&lt;=Control!$C$86,$BE240,Control!$C$86-$BE240)</f>
        <v>#N/A</v>
      </c>
      <c r="BG240" s="140" t="e">
        <f ca="1">IF(AND($AW240=1,Control!$C$84&lt;9),1,IF($BE240&gt;=Control!$C$86,0,$BC240))</f>
        <v>#N/A</v>
      </c>
      <c r="BH240" s="404" t="e">
        <f ca="1">IF($BG240=0,0,IF($BE240&lt;=Control!$C$86,$BC240*9*($BF240/Control!$C$86),0))</f>
        <v>#N/A</v>
      </c>
      <c r="BI240" s="140" t="e">
        <f ca="1">IF($BG240=1,0,IF($BE240&gt;=Control!$C$86,1,IF(AND($BB240&lt;21,$BB240&gt;=9),1,$BM239)))</f>
        <v>#N/A</v>
      </c>
      <c r="BJ240" s="140" t="e">
        <f ca="1">IF($BF240&lt;0,-$BF240,$BI240*IF(OR($G240&lt;Control!$C$92,$G240&gt;Control!$C$95),0,IF(AND($G240&gt;=Control!$C$92,$G240&lt;=Control!$C$93),$G240-Control!$C$92,IF(AND($G240&gt;Control!$C$93,$G240&lt;=Control!$C$94),Control!$C$93-Control!$C$92,IF(AND($G240&gt;Control!$C$94,$G240&lt;=Control!$C$95),(Control!$C$93-Control!$C$92)*(Control!$C$94-$G240)/(Control!$C$95-Control!$C$94))))))</f>
        <v>#N/A</v>
      </c>
      <c r="BK240" s="140" t="e">
        <f t="shared" ca="1" si="829"/>
        <v>#N/A</v>
      </c>
      <c r="BL240" s="140" t="e">
        <f ca="1">IF($BK240&lt;=Control!$C$87,$BK240,Control!$C$87-$BK240)</f>
        <v>#N/A</v>
      </c>
      <c r="BM240" s="140" t="e">
        <f ca="1">IF(AND($BB240&gt;=9,$BB240&lt;21),1,IF($BK240&gt;=Control!$C$87,0,$BI240))</f>
        <v>#N/A</v>
      </c>
      <c r="BN240" s="404" t="e">
        <f ca="1">IF($BM240=0,0,IF($BK240&lt;=Control!$C$87,$BI240*(9+(21-9)*($BL240/Control!$C$87)),0))</f>
        <v>#N/A</v>
      </c>
      <c r="BO240" s="140" t="e">
        <f ca="1">IF($BM240=1,0,IF($BK240&gt;=Control!$C$87,1,IF(AND($BB240&lt;30,$BB240&gt;=21),1,$BS239)))</f>
        <v>#N/A</v>
      </c>
      <c r="BP240" s="140" t="e">
        <f ca="1">IF($BL240&lt;0,-$BL240,$BO240*IF(OR($G240&lt;Control!$C$92,$G240&gt;Control!$C$95),0,IF(AND($G240&gt;=Control!$C$92,$G240&lt;=Control!$C$93),$G240-Control!$C$92,IF(AND($G240&gt;Control!$C$93,$G240&lt;=Control!$C$94),Control!$C$93-Control!$C$92,IF(AND($G240&gt;Control!$C$94,$G240&lt;=Control!$C$95),(Control!$C$93-Control!$C$92)*(Control!$C$94-$G240)/(Control!$C$95-Control!$C$94))))))</f>
        <v>#N/A</v>
      </c>
      <c r="BQ240" s="140" t="e">
        <f t="shared" ca="1" si="713"/>
        <v>#N/A</v>
      </c>
      <c r="BR240" s="140" t="e">
        <f ca="1">IF($BQ240&lt;=Control!$C$88,$BQ240,Control!$C$88-$BQ240)</f>
        <v>#N/A</v>
      </c>
      <c r="BS240" s="140" t="e">
        <f ca="1">IF(AND($BB240&gt;=21,$BB240&lt;30),1,IF($BQ240&gt;=Control!$C$88,0,$BO240))</f>
        <v>#N/A</v>
      </c>
      <c r="BT240" s="404" t="e">
        <f ca="1">IF($BS240=0,0,IF($BQ240&lt;=Control!$C$88,$BO240*(21+(30-21)*(BR240/Control!$C$88)),0))</f>
        <v>#N/A</v>
      </c>
      <c r="BU240" s="140" t="e">
        <f ca="1">IF(BG240+BM240+BS240=1,0,IF(OR(AND($BB240&lt;60,$BB240&gt;=30),$BQ240&gt;=Control!$C$88),1*$BA240,$BY239))</f>
        <v>#N/A</v>
      </c>
      <c r="BV240" s="140" t="e">
        <f ca="1">IF($BR240&lt;0,-$BR240,$BU240*IF(OR($G240&lt;Control!$C$92,$G240&gt;Control!$C$95),0,IF(AND($G240&gt;=Control!$C$92,$G240&lt;=Control!$C$93),$G240-Control!$C$92,IF(AND($G240&gt;Control!$C$93,$G240&lt;=Control!$C$94),Control!$C$93-Control!$C$92,IF(AND($G240&gt;Control!$C$94,$G240&lt;=Control!$C$95),(Control!$C$93-Control!$C$92)*(Control!$C$94-$G240)/(Control!$C$95-Control!$C$94))))))</f>
        <v>#N/A</v>
      </c>
      <c r="BW240" s="140" t="e">
        <f t="shared" ca="1" si="714"/>
        <v>#N/A</v>
      </c>
      <c r="BX240" s="140" t="e">
        <f ca="1">IF($BW240&lt;=Control!$C$89,$BW240,Control!$C$89-$BW240)</f>
        <v>#N/A</v>
      </c>
      <c r="BY240" s="140" t="e">
        <f ca="1">IF(AND($AJ240&gt;=30,$AJ240&lt;60),1,IF($BW240&gt;=Control!$C$89,0,$BU240))</f>
        <v>#N/A</v>
      </c>
      <c r="BZ240" s="404" t="e">
        <f ca="1">IF($BY240=0,0,IF($BW240&lt;=Control!$C$89,$BU240*(30+(60-30)*(BX240/Control!$C$89)),0))</f>
        <v>#N/A</v>
      </c>
      <c r="CA240" s="140" t="e">
        <f ca="1">IF($BG240+$BM240+$BS240+$BY240=1,0,IF(OR(AND($BB240&lt;65,$BB240&gt;=60),$BW240&gt;=Control!$C$89),1*$BA240,$CE239))</f>
        <v>#N/A</v>
      </c>
      <c r="CB240" s="140" t="e">
        <f ca="1">IF($BX240&lt;0,-$BX240,$CA240*IF(OR($G240&lt;Control!$C$92,$G240&gt;Control!$C$95),0,IF(AND($G240&gt;=Control!$C$92,$G240&lt;=Control!$C$93),$G240-Control!$C$92,IF(AND($G240&gt;Control!$C$93,$G240&lt;=Control!$C$94),Control!$C$93-Control!$C$92,IF(AND($G240&gt;Control!$C$94,$G240&lt;=Control!$C$95),(Control!$C$93-Control!$C$92)*(Control!$C$94-$G240)/(Control!$C$95-Control!$C$94))))))</f>
        <v>#N/A</v>
      </c>
      <c r="CC240" s="140" t="e">
        <f t="shared" ca="1" si="830"/>
        <v>#N/A</v>
      </c>
      <c r="CD240" s="140" t="e">
        <f ca="1">IF($CC240&lt;=Control!$C$90,$CC240,Control!$C$90-$CC240)</f>
        <v>#N/A</v>
      </c>
      <c r="CE240" s="140" t="e">
        <f ca="1">IF(AND($BB240&gt;=60,$BB240&lt;65),1,IF($CC240&gt;=Control!$C$90,0,$CA240))</f>
        <v>#N/A</v>
      </c>
      <c r="CF240" s="404" t="e">
        <f ca="1">IF($CE240=0,0,IF($CC240&lt;=Control!$C$90,$CA240*(60+(65-60)*(CD240/Control!$C$90)),0))</f>
        <v>#N/A</v>
      </c>
      <c r="CG240" s="140" t="e">
        <f ca="1">IF($BG240+$BM240+$BS240+$BY240+$CE240=1,0,IF(OR(AND($BB240&lt;90,$BB240&gt;=65),$CC240&gt;=Control!$C$90),$BA240,$CK239))</f>
        <v>#N/A</v>
      </c>
      <c r="CH240" s="140" t="e">
        <f ca="1">IF($CD240&lt;0,-$CD240,$CG240*IF(OR($G240&lt;Control!$C$92,$G240&gt;Control!$C$95),0,IF(AND($G240&gt;=Control!$C$92,$G240&lt;=Control!$C$93),$G240-Control!$C$92,IF(AND($G240&gt;Control!$C$93,$G240&lt;=Control!$C$94),Control!$C$93-Control!$C$92,IF(AND($G240&gt;Control!$C$94,$G240&lt;=Control!$C$95),(Control!$C$93-Control!$C$92)*(Control!$C$94-$G240)/(Control!$C$95-Control!$C$94))))))</f>
        <v>#N/A</v>
      </c>
      <c r="CI240" s="140" t="e">
        <f t="shared" ca="1" si="831"/>
        <v>#N/A</v>
      </c>
      <c r="CJ240" s="140" t="e">
        <f ca="1">IF($CI240&lt;=Control!$C$91,$CI240,Control!$C$91-$CI240)</f>
        <v>#N/A</v>
      </c>
      <c r="CK240" s="140" t="e">
        <f ca="1">IF(AND($BB240&gt;=65,$BB240&lt;90),1,IF($CI240&gt;=Control!$C$91,0,$CG240))</f>
        <v>#N/A</v>
      </c>
      <c r="CL240" s="404" t="e">
        <f ca="1">IF($CK240=0,0,IF($CI240&lt;=Control!$C$91,$CG240*(65+(90-65)*($CJ240/Control!$C$91)),0))</f>
        <v>#N/A</v>
      </c>
      <c r="CM240" s="140" t="e">
        <f ca="1">IF($BG240+$BM240+$BS240+$BY240+$CE240+$CK240=1,0,IF(OR($BB240&gt;=90,$CI240&gt;=Control!$C$91),$BA240,$CM239))</f>
        <v>#N/A</v>
      </c>
      <c r="CN240" s="140" t="e">
        <f t="shared" ca="1" si="832"/>
        <v>#N/A</v>
      </c>
      <c r="CO240" s="140" t="e">
        <f t="shared" ca="1" si="833"/>
        <v>#N/A</v>
      </c>
      <c r="CP240" s="140" t="e">
        <f t="shared" ca="1" si="834"/>
        <v>#N/A</v>
      </c>
      <c r="CQ240" s="141" t="e">
        <f ca="1">VLOOKUP($CP240,Control!$B$86:$G$91,6)</f>
        <v>#N/A</v>
      </c>
      <c r="CR240" s="141" t="e">
        <f ca="1">(1-$CQ240)*VLOOKUP($CP240,Control!$B$86:$D$91,3)</f>
        <v>#N/A</v>
      </c>
      <c r="CS240" s="141" t="e">
        <f ca="1">(1-$CQ240)*VLOOKUP($CP240,Control!$B$86:$E$91,4)</f>
        <v>#N/A</v>
      </c>
      <c r="CT240" s="141" t="e">
        <f ca="1">(1-$CQ240)*VLOOKUP($CP240,Control!$B$86:$F$91,5)</f>
        <v>#N/A</v>
      </c>
      <c r="CU240" s="141">
        <f t="shared" ca="1" si="835"/>
        <v>0</v>
      </c>
      <c r="CV240" s="583">
        <f t="shared" ca="1" si="836"/>
        <v>0</v>
      </c>
      <c r="CW240" s="142">
        <f t="shared" ca="1" si="837"/>
        <v>236</v>
      </c>
      <c r="CX240" s="612" t="e">
        <f ca="1">IF(Control!$C$114=1,(MIN(Control!$C$120*(IF($NT240-0.01&lt;0,0,1)),Control!$C$119-$CY240)))</f>
        <v>#DIV/0!</v>
      </c>
      <c r="CY240" s="143" t="e">
        <f t="shared" ca="1" si="838"/>
        <v>#N/A</v>
      </c>
      <c r="CZ240" s="144">
        <f t="shared" ca="1" si="715"/>
        <v>0</v>
      </c>
      <c r="DA240" s="144">
        <f t="shared" ca="1" si="716"/>
        <v>0</v>
      </c>
      <c r="DB240" s="144" t="e">
        <f t="shared" ca="1" si="717"/>
        <v>#N/A</v>
      </c>
      <c r="DC240" s="144" t="e">
        <f t="shared" ca="1" si="718"/>
        <v>#N/A</v>
      </c>
      <c r="DD240" s="144" t="e">
        <f t="shared" ca="1" si="923"/>
        <v>#N/A</v>
      </c>
      <c r="DE240" s="143" t="e">
        <f t="shared" ca="1" si="839"/>
        <v>#N/A</v>
      </c>
      <c r="DF240" s="145" t="e">
        <f ca="1">$DR240*EXP(-Control!$C$158*(1-$KH240))</f>
        <v>#N/A</v>
      </c>
      <c r="DG240" s="146" t="e">
        <f ca="1">IF(Control!$C$114=1, $DF240*$EY240, 0)</f>
        <v>#N/A</v>
      </c>
      <c r="DH240" s="147" t="e">
        <f t="shared" ca="1" si="840"/>
        <v>#N/A</v>
      </c>
      <c r="DI240" s="144" t="e">
        <f t="shared" ca="1" si="901"/>
        <v>#N/A</v>
      </c>
      <c r="DJ240" s="147" t="e">
        <f ca="1">$EF240*Control!$C$109</f>
        <v>#N/A</v>
      </c>
      <c r="DK240" s="144" t="e">
        <f t="shared" ca="1" si="841"/>
        <v>#N/A</v>
      </c>
      <c r="DL240" s="144" t="e">
        <f t="shared" ca="1" si="719"/>
        <v>#N/A</v>
      </c>
      <c r="DM240" s="144" t="e">
        <f ca="1">IF(Control!$C$114=1, (1-EXP(-Control!$C$96*$DK240))*$AR240, 0)</f>
        <v>#N/A</v>
      </c>
      <c r="DN240" s="144">
        <f t="shared" ca="1" si="842"/>
        <v>0</v>
      </c>
      <c r="DO240" s="148">
        <f>Control!$C$97</f>
        <v>4</v>
      </c>
      <c r="DP240" s="145" t="e">
        <f t="shared" ca="1" si="843"/>
        <v>#N/A</v>
      </c>
      <c r="DQ240" s="145" t="e">
        <f ca="1">IF(AND($CP240&gt;=0,$CP240&lt;=90),Control!$C$111,Control!$C$111)</f>
        <v>#N/A</v>
      </c>
      <c r="DR240" s="145" t="e">
        <f t="shared" ca="1" si="720"/>
        <v>#N/A</v>
      </c>
      <c r="DS240" s="143" t="e">
        <f ca="1">Control!$B$22/$DR240</f>
        <v>#N/A</v>
      </c>
      <c r="DT240" s="149" t="e">
        <f ca="1">IF(AND(Control!$C$114=1,$KH240&lt;1),$IM240*$DF240, 0)</f>
        <v>#N/A</v>
      </c>
      <c r="DU240" s="144" t="e">
        <f t="shared" ca="1" si="844"/>
        <v>#N/A</v>
      </c>
      <c r="DV240" s="144">
        <f ca="1">IF($G240-Control!$C$107&lt;=0, 0, 0.83*LN(MAX($G240, 3))-0.8924)</f>
        <v>0</v>
      </c>
      <c r="DW240" s="144" t="e">
        <f t="shared" ca="1" si="721"/>
        <v>#N/A</v>
      </c>
      <c r="DX240" s="150" t="e">
        <f ca="1">MAX(0.01*(1+$CU240/Control!$C$102),0.05*($DK240-Control!$C$97)/Control!$C$97)</f>
        <v>#N/A</v>
      </c>
      <c r="DY240" s="151" t="e">
        <f ca="1">IF(Control!$C$114=1, $DI240*$FS240, 0)</f>
        <v>#N/A</v>
      </c>
      <c r="DZ240" s="196" t="e">
        <f t="shared" ca="1" si="845"/>
        <v>#N/A</v>
      </c>
      <c r="EA240" s="152">
        <f t="shared" ca="1" si="846"/>
        <v>236</v>
      </c>
      <c r="EB240" s="153" t="e">
        <f t="shared" ca="1" si="847"/>
        <v>#N/A</v>
      </c>
      <c r="EC240" s="153" t="e">
        <f t="shared" ca="1" si="848"/>
        <v>#N/A</v>
      </c>
      <c r="ED240" s="154" t="e">
        <f ca="1">IF(Control!$C$114=1, $HM240*$FY240-$FD240, 0)</f>
        <v>#DIV/0!</v>
      </c>
      <c r="EE240" s="155" t="e">
        <f ca="1">IF(Control!$C$114=1, $HM240*$FZ240-$FF240, 0)</f>
        <v>#DIV/0!</v>
      </c>
      <c r="EF240" s="153" t="e">
        <f t="shared" ca="1" si="902"/>
        <v>#N/A</v>
      </c>
      <c r="EG240" s="155" t="e">
        <f ca="1">IF(Control!$C$114=1, $GX240*$FW240-$FI240, 0)</f>
        <v>#DIV/0!</v>
      </c>
      <c r="EH240" s="153" t="e">
        <f t="shared" ca="1" si="849"/>
        <v>#N/A</v>
      </c>
      <c r="EI240" s="156" t="e">
        <f t="shared" ca="1" si="850"/>
        <v>#N/A</v>
      </c>
      <c r="EJ240" s="155" t="e">
        <f ca="1">IF(Control!$C$114=1, $HM240*$GB240, 0)</f>
        <v>#DIV/0!</v>
      </c>
      <c r="EK240" s="153" t="e">
        <f t="shared" ca="1" si="903"/>
        <v>#N/A</v>
      </c>
      <c r="EL240" s="153" t="e">
        <f t="shared" ca="1" si="722"/>
        <v>#N/A</v>
      </c>
      <c r="EM240" s="153" t="e">
        <f t="shared" ca="1" si="723"/>
        <v>#N/A</v>
      </c>
      <c r="EN240" s="153" t="e">
        <f ca="1">IF(Control!$C$108=1,IF(AND(Control!$B$18=1,$EB240&gt;=Control!$B$19),$EB240-$DS240,IF(AND(Control!$B$18=2,$AW240=1,$EB240&gt;$DS240),$EB240-$DS240,0)))</f>
        <v>#N/A</v>
      </c>
      <c r="EO240" s="153" t="e">
        <f ca="1">IF(Control!$C$108=1,IF(AND(Control!$B$18=1,$EB240&gt;=Control!$B$19),$EF240,IF(AND(Control!$B$18=2,$AW240=1),$EF240,0)))</f>
        <v>#N/A</v>
      </c>
      <c r="EP240" s="153" t="e">
        <f ca="1">IF(Control!$C$108=1,IF(AND(Control!$B$18=1,$EB240&gt;=Control!$B$19),$EK240,IF(AND(Control!$B$18=2,$AW240=1),$EK240,0)))</f>
        <v>#N/A</v>
      </c>
      <c r="EQ240" s="153" t="e">
        <f t="shared" ca="1" si="851"/>
        <v>#N/A</v>
      </c>
      <c r="ER240" s="153" t="e">
        <f t="shared" ca="1" si="852"/>
        <v>#N/A</v>
      </c>
      <c r="ES240" s="153" t="e">
        <f t="shared" ca="1" si="904"/>
        <v>#N/A</v>
      </c>
      <c r="ET240" s="153" t="e">
        <f t="shared" ca="1" si="905"/>
        <v>#N/A</v>
      </c>
      <c r="EU240" s="153" t="e">
        <f t="shared" ca="1" si="853"/>
        <v>#N/A</v>
      </c>
      <c r="EV240" s="153" t="e">
        <f t="shared" ca="1" si="724"/>
        <v>#N/A</v>
      </c>
      <c r="EW240" s="153" t="e">
        <f t="shared" ca="1" si="725"/>
        <v>#N/A</v>
      </c>
      <c r="EX240" s="153" t="e">
        <f t="shared" ca="1" si="726"/>
        <v>#N/A</v>
      </c>
      <c r="EY240" s="157" t="e">
        <f t="shared" ca="1" si="727"/>
        <v>#DIV/0!</v>
      </c>
      <c r="EZ240" s="154" t="e">
        <f t="shared" ca="1" si="728"/>
        <v>#DIV/0!</v>
      </c>
      <c r="FA240" s="153" t="e">
        <f t="shared" ca="1" si="854"/>
        <v>#N/A</v>
      </c>
      <c r="FB240" s="153" t="e">
        <f t="shared" ca="1" si="729"/>
        <v>#N/A</v>
      </c>
      <c r="FC240" s="193" t="e">
        <f t="shared" ca="1" si="730"/>
        <v>#N/A</v>
      </c>
      <c r="FD240" s="158" t="e">
        <f t="shared" ca="1" si="855"/>
        <v>#N/A</v>
      </c>
      <c r="FE240" s="158" t="e">
        <f t="shared" ca="1" si="856"/>
        <v>#N/A</v>
      </c>
      <c r="FF240" s="159" t="e">
        <f t="shared" ca="1" si="731"/>
        <v>#N/A</v>
      </c>
      <c r="FG240" s="160" t="e">
        <f t="shared" ca="1" si="857"/>
        <v>#N/A</v>
      </c>
      <c r="FH240" s="158" t="e">
        <f t="shared" ca="1" si="858"/>
        <v>#N/A</v>
      </c>
      <c r="FI240" s="159" t="e">
        <f t="shared" ca="1" si="732"/>
        <v>#N/A</v>
      </c>
      <c r="FJ240" s="160" t="e">
        <f t="shared" ca="1" si="859"/>
        <v>#N/A</v>
      </c>
      <c r="FK240" s="160" t="e">
        <f t="shared" ca="1" si="733"/>
        <v>#N/A</v>
      </c>
      <c r="FL240" s="160" t="e">
        <f t="shared" ca="1" si="906"/>
        <v>#N/A</v>
      </c>
      <c r="FM240" s="160" t="e">
        <f t="shared" ca="1" si="734"/>
        <v>#N/A</v>
      </c>
      <c r="FN240" s="158">
        <f t="shared" ca="1" si="860"/>
        <v>0.01</v>
      </c>
      <c r="FO240" s="160">
        <f>Control!$C$101</f>
        <v>50</v>
      </c>
      <c r="FP240" s="150" t="e">
        <f t="shared" ca="1" si="735"/>
        <v>#N/A</v>
      </c>
      <c r="FQ240" s="150" t="e">
        <f ca="1">MAX(0,(Control!$C$112*(($DK240-Control!$C$97)/Control!$C$97)))</f>
        <v>#N/A</v>
      </c>
      <c r="FR240" s="150" t="e">
        <f ca="1">(1-$NT240)*Control!$C$113</f>
        <v>#DIV/0!</v>
      </c>
      <c r="FS240" s="198" t="e">
        <f t="shared" ca="1" si="736"/>
        <v>#N/A</v>
      </c>
      <c r="FT240" s="161">
        <f t="shared" ca="1" si="861"/>
        <v>236</v>
      </c>
      <c r="FU240" s="162" t="e">
        <f ca="1">IF(Control!$B$34=1,VLOOKUP($CP240,Control!$B$86:$G$91,6),Control!$B$35)</f>
        <v>#N/A</v>
      </c>
      <c r="FV240" s="162" t="e">
        <f t="shared" ca="1" si="737"/>
        <v>#DIV/0!</v>
      </c>
      <c r="FW240" s="162" t="e">
        <f ca="1">IF(Control!$B$31=1,$FU240*$FV240,  $FU240)</f>
        <v>#N/A</v>
      </c>
      <c r="FX240" s="162" t="e">
        <f ca="1">IF(Control!$B$34=1,VLOOKUP($CP240,Control!$B$86:$G$91,3),Control!$B$36)</f>
        <v>#N/A</v>
      </c>
      <c r="FY240" s="162" t="e">
        <f t="shared" ca="1" si="738"/>
        <v>#N/A</v>
      </c>
      <c r="FZ240" s="162" t="e">
        <f ca="1">IF(Control!$B$34=1,VLOOKUP($CP240,Control!$B$86:$G$91,4),Control!$B$37)</f>
        <v>#N/A</v>
      </c>
      <c r="GA240" s="162" t="e">
        <f t="shared" ca="1" si="739"/>
        <v>#N/A</v>
      </c>
      <c r="GB240" s="162" t="e">
        <f ca="1">IF(Control!$B$34=1,VLOOKUP($CP240,Control!$B$86:$G$91,5),Control!$B$38)</f>
        <v>#N/A</v>
      </c>
      <c r="GC240" s="162" t="e">
        <f t="shared" ca="1" si="862"/>
        <v>#N/A</v>
      </c>
      <c r="GD240" s="162">
        <f t="shared" ca="1" si="740"/>
        <v>1</v>
      </c>
      <c r="GE240" s="162">
        <f t="shared" ca="1" si="741"/>
        <v>1</v>
      </c>
      <c r="GF240" s="162">
        <f ca="1">IF(AND(Control!$C$104=1, Control!$C$62="F"),$GE240,1)</f>
        <v>1</v>
      </c>
      <c r="GG240" s="162" t="e">
        <f ca="1">IF(Control!$B$16=40,0,IF(AND(Control!$B$16&gt;40,Control!$B$16&lt;=360),(Control!$B$16-40)*((1-0)/(360-40)),IF(AND(Control!$B$16&gt;360,Control!$B$16&lt;=720),(1+(Control!$B$16-360)*((1.25-1)/(720-360))),IF(AND(Control!$B$16&gt;720,Control!$B$16&lt;=1000),(1.25+(Control!$B$16-720)*((1.35-1.25)/(1000-720))),IF(AND(Control!$B$16&gt;1000,Control!$B$16&lt;=2000),(1.35+(Control!$B$16-1000)*0))))))</f>
        <v>#N/A</v>
      </c>
      <c r="GH240" s="162" t="e">
        <f t="shared" ca="1" si="742"/>
        <v>#N/A</v>
      </c>
      <c r="GI240" s="162">
        <f t="shared" ca="1" si="863"/>
        <v>0</v>
      </c>
      <c r="GJ240" s="162">
        <f t="shared" ca="1" si="743"/>
        <v>0</v>
      </c>
      <c r="GK240" s="162">
        <f t="shared" ca="1" si="864"/>
        <v>1</v>
      </c>
      <c r="GL240" s="162">
        <f t="shared" ca="1" si="744"/>
        <v>1</v>
      </c>
      <c r="GM240" s="162" t="e">
        <f ca="1">MAX(0,MIN(1,1-Control!$C$156*(1.0001-$KH240)^2))</f>
        <v>#N/A</v>
      </c>
      <c r="GN240" s="162" t="e">
        <f ca="1">IF(Control!$B$26=1,$KU240,$KX240)</f>
        <v>#N/A</v>
      </c>
      <c r="GO240" s="162" t="e">
        <f ca="1">IF($CP240&lt;=60,Control!$C$105,IF($CP240&gt;=90,Control!$C$106,Control!$C$105+($CP240-60)*((Control!$C$106-Control!$C$105)/(90-60))))</f>
        <v>#N/A</v>
      </c>
      <c r="GP240" s="162" t="e">
        <f t="shared" ca="1" si="745"/>
        <v>#N/A</v>
      </c>
      <c r="GQ240" s="162" t="e">
        <f t="shared" ca="1" si="865"/>
        <v>#N/A</v>
      </c>
      <c r="GR240" s="163" t="e">
        <f t="shared" ca="1" si="746"/>
        <v>#DIV/0!</v>
      </c>
      <c r="GS240" s="162" t="e">
        <f t="shared" ca="1" si="747"/>
        <v>#DIV/0!</v>
      </c>
      <c r="GT240" s="164" t="e">
        <f t="shared" ca="1" si="866"/>
        <v>#N/A</v>
      </c>
      <c r="GU240" s="162" t="e">
        <f t="shared" ca="1" si="867"/>
        <v>#N/A</v>
      </c>
      <c r="GV240" s="162" t="e">
        <f t="shared" ca="1" si="748"/>
        <v>#N/A</v>
      </c>
      <c r="GW240" s="162" t="e">
        <f t="shared" ca="1" si="749"/>
        <v>#DIV/0!</v>
      </c>
      <c r="GX240" s="162" t="e">
        <f t="shared" ca="1" si="868"/>
        <v>#DIV/0!</v>
      </c>
      <c r="GY240" s="162" t="e">
        <f t="shared" ca="1" si="869"/>
        <v>#DIV/0!</v>
      </c>
      <c r="GZ240" s="165" t="e">
        <f t="shared" ca="1" si="750"/>
        <v>#N/A</v>
      </c>
      <c r="HA240" s="162" t="e">
        <f ca="1">IF(Control!$C$114=1, $DI240*$FS240, 0)</f>
        <v>#N/A</v>
      </c>
      <c r="HB240" s="162" t="e">
        <f ca="1">$FA240/Control!$C$64</f>
        <v>#N/A</v>
      </c>
      <c r="HC240" s="162" t="e">
        <f t="shared" ca="1" si="751"/>
        <v>#DIV/0!</v>
      </c>
      <c r="HD240" s="162">
        <f ca="1">-ASIN(SIN(23.45*Control!$C$139)*COS(2*Control!$C$138*($AH240+10)/365))</f>
        <v>0.18398312825533172</v>
      </c>
      <c r="HE240" s="165">
        <f t="shared" ca="1" si="870"/>
        <v>0</v>
      </c>
      <c r="HF240" s="166">
        <f ca="1">IF(AND(Control!$C$61="T",$HE240&gt;=Control!$C$103,Control!$C$114=0),$AH240,Control!$C$59)</f>
        <v>1</v>
      </c>
      <c r="HG240" s="166">
        <f ca="1">IF(AND(Control!$C$61="T",$HE240&gt;=Control!$C$103,Control!$C$114=0),$HF240,Control!$C$59)</f>
        <v>1</v>
      </c>
      <c r="HH240" s="165">
        <f ca="1">IF(AND(OR(Control!$C$60&lt;=0, $AH240= Control!$C$59, Control!$C$60 &gt;0, $AH240 = Control!$C$60)), Control!$C$59, IF(Control!$C$60&gt;0, 0))</f>
        <v>1</v>
      </c>
      <c r="HI240" s="165">
        <f ca="1">IF(AND(OR(Control!$C$60&lt;=0, $AH240= Control!$C$59, Control!$C$60 &gt;0, $AH240 = Control!$C$60)), Control!$C$60, IF(Control!$C$60&lt;=0, 0))</f>
        <v>0</v>
      </c>
      <c r="HJ240" s="166">
        <f ca="1">IF(AND(Control!$C$62="F",$CV240&gt;=Control!$C$102),$AH240,0)</f>
        <v>0</v>
      </c>
      <c r="HK240" s="165" t="e">
        <f t="shared" ca="1" si="907"/>
        <v>#N/A</v>
      </c>
      <c r="HL240" s="166">
        <f ca="1">IF(AND(Control!$C$61="T",$HE240&gt;=Control!$C$103,Control!$C$114=0),$HF240,0)</f>
        <v>0</v>
      </c>
      <c r="HM240" s="201" t="e">
        <f t="shared" ca="1" si="752"/>
        <v>#DIV/0!</v>
      </c>
      <c r="HN240" s="215">
        <f t="shared" ca="1" si="871"/>
        <v>236</v>
      </c>
      <c r="HO240" s="216" t="e">
        <f ca="1">IF(AND($CP240&gt;=0, $CP240&lt;=90), Control!$C$152, Control!$C$152)</f>
        <v>#N/A</v>
      </c>
      <c r="HP240" s="216" t="e">
        <f t="shared" ca="1" si="753"/>
        <v>#N/A</v>
      </c>
      <c r="HQ240" s="217" t="e">
        <f ca="1">IF(OR(Control!$B$26=1,Control!$B$26=2),$KV240,$KS240)</f>
        <v>#DIV/0!</v>
      </c>
      <c r="HR240" s="218" t="e">
        <f t="shared" ca="1" si="908"/>
        <v>#DIV/0!</v>
      </c>
      <c r="HS240" s="216" t="e">
        <f ca="1">Control!$C$154*$HP240</f>
        <v>#N/A</v>
      </c>
      <c r="HT240" s="216" t="e">
        <f ca="1">Control!$C$155*$HP240</f>
        <v>#N/A</v>
      </c>
      <c r="HU240" s="217" t="e">
        <f ca="1">Control!$C$161*$FI240</f>
        <v>#N/A</v>
      </c>
      <c r="HV240" s="218" t="e">
        <f t="shared" ca="1" si="872"/>
        <v>#N/A</v>
      </c>
      <c r="HW240" s="218" t="e">
        <f ca="1">Control!$C$160*$FF240+$IP240*$EO240</f>
        <v>#N/A</v>
      </c>
      <c r="HX240" s="218" t="e">
        <f t="shared" ca="1" si="909"/>
        <v>#N/A</v>
      </c>
      <c r="HY240" s="219" t="e">
        <f ca="1">IF(Control!$C$114=1, $EB240*$FS240, 0)</f>
        <v>#N/A</v>
      </c>
      <c r="HZ240" s="91" t="e">
        <f t="shared" ca="1" si="754"/>
        <v>#N/A</v>
      </c>
      <c r="IA240" s="220" t="e">
        <f ca="1">Control!$C$153*$HO240</f>
        <v>#N/A</v>
      </c>
      <c r="IB240" s="218" t="e">
        <f t="shared" ca="1" si="755"/>
        <v>#N/A</v>
      </c>
      <c r="IC240" s="220" t="e">
        <f ca="1">Control!$C$153*$HT240</f>
        <v>#N/A</v>
      </c>
      <c r="ID240" s="218" t="e">
        <f t="shared" ca="1" si="756"/>
        <v>#N/A</v>
      </c>
      <c r="IE240" s="221" t="e">
        <f ca="1">($EB240*Control!$C$159+$EF240*Control!$C$160)/(IF($GZ240&lt;&gt;0,$GZ240,1))</f>
        <v>#N/A</v>
      </c>
      <c r="IF240" s="216" t="e">
        <f t="shared" ca="1" si="757"/>
        <v>#N/A</v>
      </c>
      <c r="IG240" s="91">
        <f ca="1">IF(OR(Control!$B$198=$AH240,Control!$B$199=$AH240, Control!$B$200=$AH240, Control!$B$201=$AH240, Control!$B$202=$AH240, Control!$B$203=$AH240, Control!$B$204=$AH240, Control!$B$205=$AH240, Control!$B$206=$AH240, Control!$B$207=$AH240), 1, 0)</f>
        <v>0</v>
      </c>
      <c r="IH240" s="91">
        <f ca="1">IF($IG240=0,0, VLOOKUP($AH240,Control!$B$198:$C$207,2))</f>
        <v>0</v>
      </c>
      <c r="II240" s="222">
        <f t="shared" ca="1" si="873"/>
        <v>0</v>
      </c>
      <c r="IJ240" s="91">
        <f>Control!$C$121</f>
        <v>0.7</v>
      </c>
      <c r="IK240" s="218">
        <f t="shared" ca="1" si="758"/>
        <v>0</v>
      </c>
      <c r="IL240" s="217" t="e">
        <f t="shared" ca="1" si="910"/>
        <v>#N/A</v>
      </c>
      <c r="IM240" s="223" t="e">
        <f ca="1">IF(AND(Control!$C$114=1,$KH240&lt;1),$EB240*Control!$C$148*(1-$KH240), 0)</f>
        <v>#N/A</v>
      </c>
      <c r="IN240" s="217" t="e">
        <f t="shared" ca="1" si="759"/>
        <v>#DIV/0!</v>
      </c>
      <c r="IO240" s="91" t="e">
        <f ca="1">MAX(0,$IL240-$EF240*Control!$C$160)</f>
        <v>#N/A</v>
      </c>
      <c r="IP240" s="220" t="e">
        <f t="shared" ca="1" si="760"/>
        <v>#N/A</v>
      </c>
      <c r="IQ240" s="217" t="e">
        <f t="shared" ca="1" si="874"/>
        <v>#N/A</v>
      </c>
      <c r="IR240" s="218" t="e">
        <f t="shared" ca="1" si="761"/>
        <v>#N/A</v>
      </c>
      <c r="IS240" s="217" t="e">
        <f ca="1">Control!$C$159*MAX(0,$FD240-$EN240)</f>
        <v>#N/A</v>
      </c>
      <c r="IT240" s="217" t="e">
        <f t="shared" ca="1" si="911"/>
        <v>#N/A</v>
      </c>
      <c r="IU240" s="217" t="e">
        <f t="shared" ca="1" si="875"/>
        <v>#N/A</v>
      </c>
      <c r="IV240" s="217" t="e">
        <f t="shared" ca="1" si="912"/>
        <v>#N/A</v>
      </c>
      <c r="IW240" s="217" t="e">
        <f ca="1">IF(OR($AW240=1,AND($AW240=0, Control!$B$18=1,$EN240&lt;&gt;0)), $IQ240-$IU240, $IQ240)</f>
        <v>#N/A</v>
      </c>
      <c r="IX240" s="218" t="e">
        <f t="shared" ca="1" si="762"/>
        <v>#N/A</v>
      </c>
      <c r="IY240" s="218" t="e">
        <f ca="1">MAX(0,$IQ240-$EB240*Control!$C$159)</f>
        <v>#N/A</v>
      </c>
      <c r="IZ240" s="218" t="e">
        <f t="shared" ca="1" si="763"/>
        <v>#N/A</v>
      </c>
      <c r="JA240" s="216" t="e">
        <f t="shared" ca="1" si="764"/>
        <v>#N/A</v>
      </c>
      <c r="JB240" s="217" t="e">
        <f t="shared" ca="1" si="765"/>
        <v>#N/A</v>
      </c>
      <c r="JC240" s="222" t="e">
        <f ca="1">MAX(Control!$C$157*$EK240-$JT240, 0)/Control!$C$162</f>
        <v>#N/A</v>
      </c>
      <c r="JD240" s="218" t="e">
        <f t="shared" ca="1" si="766"/>
        <v>#N/A</v>
      </c>
      <c r="JE240" s="218" t="e">
        <f t="shared" ca="1" si="767"/>
        <v>#N/A</v>
      </c>
      <c r="JF240" s="218" t="e">
        <f t="shared" ca="1" si="876"/>
        <v>#N/A</v>
      </c>
      <c r="JG240" s="218" t="e">
        <f t="shared" ca="1" si="768"/>
        <v>#N/A</v>
      </c>
      <c r="JH240" s="217" t="e">
        <f t="shared" ca="1" si="877"/>
        <v>#N/A</v>
      </c>
      <c r="JI240" s="217" t="e">
        <f t="shared" ca="1" si="878"/>
        <v>#N/A</v>
      </c>
      <c r="JJ240" s="217" t="e">
        <f t="shared" ca="1" si="913"/>
        <v>#N/A</v>
      </c>
      <c r="JK240" s="217" t="e">
        <f ca="1">IF(Control!$C$114=1,IF(Control!$B$24=0,MAX(0,$JI240)*$GN240/Control!$C$64,(MAX(0,MIN($JI240,$JJ240*$GN240/Control!$C$64),0))))</f>
        <v>#N/A</v>
      </c>
      <c r="JL240" s="217" t="e">
        <f ca="1">$IK240/Control!$C$64-$JK240+$HQ240</f>
        <v>#N/A</v>
      </c>
      <c r="JM240" s="217" t="e">
        <f ca="1">IF(Control!$C$114=1,($JB240/(IF($JI240&lt;&gt;0,$JI240,1)))*$JK240,0)</f>
        <v>#N/A</v>
      </c>
      <c r="JN240" s="217" t="e">
        <f ca="1">IF(Control!$C$114=1,($JG240/(IF($JI240&lt;&gt;0,$JI240,1)))*$JK240, 0)</f>
        <v>#N/A</v>
      </c>
      <c r="JO240" s="218" t="e">
        <f t="shared" ca="1" si="769"/>
        <v>#N/A</v>
      </c>
      <c r="JP240" s="218" t="e">
        <f ca="1">MIN(($IY240+$IO240)*Control!$C$151, $JF240-$EH240*Control!$C$161)</f>
        <v>#N/A</v>
      </c>
      <c r="JQ240" s="218" t="e">
        <f t="shared" ca="1" si="770"/>
        <v>#N/A</v>
      </c>
      <c r="JR240" s="217" t="e">
        <f ca="1">IF($CP240-Control!$C$150&lt;0, 0, $JQ240/Control!$C$162)</f>
        <v>#N/A</v>
      </c>
      <c r="JS240" s="218" t="e">
        <f t="shared" ca="1" si="771"/>
        <v>#N/A</v>
      </c>
      <c r="JT240" s="218" t="e">
        <f t="shared" ca="1" si="879"/>
        <v>#N/A</v>
      </c>
      <c r="JU240" s="218" t="e">
        <f t="shared" ca="1" si="772"/>
        <v>#N/A</v>
      </c>
      <c r="JV240" s="218" t="e">
        <f t="shared" ca="1" si="773"/>
        <v>#N/A</v>
      </c>
      <c r="JW240" s="216" t="e">
        <f t="shared" ca="1" si="774"/>
        <v>#N/A</v>
      </c>
      <c r="JX240" s="91" t="e">
        <f t="shared" ca="1" si="775"/>
        <v>#N/A</v>
      </c>
      <c r="JY240" s="218" t="e">
        <f t="shared" ca="1" si="776"/>
        <v>#N/A</v>
      </c>
      <c r="JZ240" s="217" t="e">
        <f ca="1">IF(Control!$C$114=1,($IZ240/(IF($JI240&lt;&gt;0,$JI240,1)))*$JK240, 0)</f>
        <v>#N/A</v>
      </c>
      <c r="KA240" s="218" t="e">
        <f t="shared" ca="1" si="914"/>
        <v>#N/A</v>
      </c>
      <c r="KB240" s="218" t="e">
        <f t="shared" ca="1" si="880"/>
        <v>#N/A</v>
      </c>
      <c r="KC240" s="218" t="e">
        <f t="shared" ca="1" si="777"/>
        <v>#N/A</v>
      </c>
      <c r="KD240" s="218" t="e">
        <f t="shared" ca="1" si="778"/>
        <v>#N/A</v>
      </c>
      <c r="KE240" s="218" t="e">
        <f t="shared" ca="1" si="779"/>
        <v>#N/A</v>
      </c>
      <c r="KF240" s="218" t="e">
        <f t="shared" ca="1" si="780"/>
        <v>#N/A</v>
      </c>
      <c r="KG240" s="216" t="e">
        <f t="shared" ca="1" si="781"/>
        <v>#N/A</v>
      </c>
      <c r="KH240" s="221" t="e">
        <f ca="1">IF(Control!$B$24=0,1,MAX(0.001,MIN(1,IF(($IF240-$IE240)&lt;&gt;0,($KG240-$IE240)/($IF240-$IE240),1))))</f>
        <v>#N/A</v>
      </c>
      <c r="KI240" s="222" t="e">
        <f ca="1">IF(Control!$C$114=1, $KI239+ $KH239, 0)</f>
        <v>#N/A</v>
      </c>
      <c r="KJ240" s="217" t="e">
        <f t="shared" ca="1" si="782"/>
        <v>#N/A</v>
      </c>
      <c r="KK240" s="218" t="e">
        <f t="shared" ca="1" si="783"/>
        <v>#N/A</v>
      </c>
      <c r="KL240" s="274" t="e">
        <f ca="1">IF(Control!$B$26=3,4000000000*EXP(-8400/($G240+273)),IF(Control!$B$26=4,4000000000*EXP(-8400/($G240+273))*($KT240),0))</f>
        <v>#DIV/0!</v>
      </c>
      <c r="KM240" s="274" t="e">
        <f ca="1">IF(Control!$B$26=3,5600000000000*EXP(-9800/($G240+273)),IF(Control!$B$26=4,5600000000000*EXP(-9800/($G240+273))*$KT240,0))</f>
        <v>#DIV/0!</v>
      </c>
      <c r="KN240" s="454" t="e">
        <f t="shared" ca="1" si="881"/>
        <v>#DIV/0!</v>
      </c>
      <c r="KO240" s="274" t="e">
        <f t="shared" ca="1" si="882"/>
        <v>#DIV/0!</v>
      </c>
      <c r="KP240" s="454" t="e">
        <f t="shared" ca="1" si="784"/>
        <v>#DIV/0!</v>
      </c>
      <c r="KQ240" s="454" t="e">
        <f t="shared" ca="1" si="785"/>
        <v>#DIV/0!</v>
      </c>
      <c r="KR240" s="454" t="e">
        <f t="shared" ca="1" si="786"/>
        <v>#DIV/0!</v>
      </c>
      <c r="KS240" s="454" t="e">
        <f t="shared" ca="1" si="787"/>
        <v>#DIV/0!</v>
      </c>
      <c r="KT240" s="455" t="e">
        <f t="shared" ca="1" si="788"/>
        <v>#DIV/0!</v>
      </c>
      <c r="KU240" s="456" t="e">
        <f ca="1">IF($CP240-Control!$C$149&lt;0, IF($NT240-0.01&lt;0,0,1),0)</f>
        <v>#N/A</v>
      </c>
      <c r="KV240" s="456" t="e">
        <f ca="1">IF(Control!$C$114=1,MAX(0,MIN(Control!$C$125*$KW240*$GN240,$KW240)))</f>
        <v>#DIV/0!</v>
      </c>
      <c r="KW240" s="456" t="e">
        <f t="shared" ca="1" si="915"/>
        <v>#DIV/0!</v>
      </c>
      <c r="KX240" s="457" t="e">
        <f ca="1">IF($CP240-Control!$C$149&lt;0, IF($MR240-$OM240&lt;0,0,1),0)</f>
        <v>#N/A</v>
      </c>
      <c r="KY240" s="167">
        <f t="shared" ca="1" si="883"/>
        <v>236</v>
      </c>
      <c r="KZ240" s="168">
        <f ca="1">1370*(1+0.033*COS(2*Control!$C$138*$AH240/365))</f>
        <v>1342.6457570495229</v>
      </c>
      <c r="LA240" s="169">
        <f t="shared" ca="1" si="884"/>
        <v>0.98003314970158795</v>
      </c>
      <c r="LB240" s="169">
        <f t="shared" ca="1" si="885"/>
        <v>0.18488032611934527</v>
      </c>
      <c r="LC240" s="169">
        <f ca="1">ACOS(-TAN((2*Control!$B$8/360))*TAN(Calculations!$LB240))</f>
        <v>1.6264067194998395</v>
      </c>
      <c r="LD240" s="169">
        <f ca="1">((24*60)/PI())*0.082*$LA240*(($LC240*SIN(Control!$B$8*2*PI()/360))*SIN($LB240)+COS(Control!$B$8*2*PI()/360)*COS($LB240)*SIN($LC240))</f>
        <v>30.935749951499446</v>
      </c>
      <c r="LE240" s="170">
        <f t="shared" ca="1" si="789"/>
        <v>31.337546748273191</v>
      </c>
      <c r="LF240" s="170">
        <f ca="1">SIN(Control!$C$139*Control!$B$8)*SIN($HD240)</f>
        <v>0.14416437815612809</v>
      </c>
      <c r="LG240" s="170">
        <f ca="1">COS(Control!$C$139*Control!$B$8)*COS($HD240)</f>
        <v>0.60526918465071</v>
      </c>
      <c r="LH240" s="170">
        <f ca="1">12*(1+2*ASIN(MAX(-1,MIN(1,$LF240/$LG240))/Control!$C$138))</f>
        <v>13.821321803750081</v>
      </c>
      <c r="LI240" s="170">
        <f ca="1">12*(1+2*ASIN(MAX(-1,MIN(1,(-SIN(-4*Control!$C$139)+$LF240)/$LG240))/Control!$C$138))</f>
        <v>14.705737227817968</v>
      </c>
      <c r="LJ240" s="168">
        <f ca="1">3600*($LH240*$LF240+24*$LG240*SQRT(1-$LK240*$LK240)/Control!$C$138)</f>
        <v>23340.145070832201</v>
      </c>
      <c r="LK240" s="170">
        <f t="shared" ca="1" si="790"/>
        <v>0.23818225313968822</v>
      </c>
      <c r="LL240" s="170">
        <f t="shared" ca="1" si="791"/>
        <v>0</v>
      </c>
      <c r="LM240" s="171">
        <f ca="1">Control!$C$145*$AB240</f>
        <v>6.6660906138995932E-2</v>
      </c>
      <c r="LN240" s="170">
        <f t="shared" ca="1" si="886"/>
        <v>0.54</v>
      </c>
      <c r="LO240" s="170">
        <f t="shared" ca="1" si="792"/>
        <v>0</v>
      </c>
      <c r="LP240" s="170">
        <f ca="1">Control!$C$140*((($D240+273.16)^4+($E240+273.16)^4)/2)*(0.34-0.14*SQRT($Y240))*(1.35*$AQ240/(0.75*$LD240)-0.35)</f>
        <v>-3.2464704755046001</v>
      </c>
      <c r="LQ240" s="170">
        <f ca="1">Control!$C$140*($G240+273)^4*(0.56-0.079*SQRT($Y240*10))*(0.1+0.9*$LO240)</f>
        <v>1.5241745131704001</v>
      </c>
      <c r="LR240" s="170">
        <f ca="1">$AQ240*(1-Control!$C$142)-$LQ240</f>
        <v>-1.5241745131704001</v>
      </c>
      <c r="LS240" s="170">
        <f ca="1">$AQ240*(1-Control!$C$143)-$LQ240</f>
        <v>-1.5241745131704001</v>
      </c>
      <c r="LT240" s="170">
        <f ca="1">$AQ240*(1-Control!$C$144)-$LQ240</f>
        <v>-1.5241745131704001</v>
      </c>
      <c r="LU240" s="169">
        <f ca="1">(1-Control!$C$144)*AQ240-LP240</f>
        <v>3.2464704755046001</v>
      </c>
      <c r="LV240" s="172">
        <f t="shared" ca="1" si="793"/>
        <v>0.79430000000000012</v>
      </c>
      <c r="LW240" s="170">
        <f t="shared" ca="1" si="794"/>
        <v>1.5886000000000002</v>
      </c>
      <c r="LX240" s="170">
        <f ca="1">($AC240*($LR240/Control!$C$141)+$LM240*$LV240)/($AC240+$LM240)</f>
        <v>0.23530094218323697</v>
      </c>
      <c r="LY240" s="170">
        <f ca="1">($AC240*($LS240/Control!$C$141)+$LM240*$LV240)/($AC240+$LM240)</f>
        <v>0.23530094218323697</v>
      </c>
      <c r="LZ240" s="170">
        <f t="shared" ca="1" si="795"/>
        <v>0.23530094218323697</v>
      </c>
      <c r="MA240" s="170">
        <f t="shared" ca="1" si="796"/>
        <v>0.23530094218323697</v>
      </c>
      <c r="MB240" s="170" t="e">
        <f t="shared" ca="1" si="797"/>
        <v>#N/A</v>
      </c>
      <c r="MC240" s="170">
        <f t="shared" ca="1" si="887"/>
        <v>0.6018</v>
      </c>
      <c r="MD240" s="170">
        <f t="shared" ca="1" si="798"/>
        <v>0.52989392535414004</v>
      </c>
      <c r="ME240" s="170">
        <f ca="1">($AC240*($LT240/Control!$C$141)+$LM240*$LW240)/($AC240+$LM240)</f>
        <v>0.71612369323045078</v>
      </c>
      <c r="MF240" s="170" t="e">
        <f ca="1">IF(Control!$B$16&gt;=1000,0.92,IF(AND(720&lt;=Control!$B$16,1000&gt;Control!$B$16),(0.95+(Control!$B$16-720)*((0.92-0.95)/(1000-720))),IF(AND(360&lt;=Control!$B$16,720&gt;Control!$B$16),(1+(Control!$B$16-360)*((0.95-1)/(720-360))),IF(AND(40&lt;=Control!$B$16,360&gt;Control!$B$16),(1.05+(Control!$B$16-40)*((1.05-1)/(360-40)))))))</f>
        <v>#N/A</v>
      </c>
      <c r="MG240" s="170">
        <f t="shared" ca="1" si="799"/>
        <v>0.71612369323045078</v>
      </c>
      <c r="MH240" s="170" t="e">
        <f t="shared" ca="1" si="925"/>
        <v>#N/A</v>
      </c>
      <c r="MI240" s="170" t="e">
        <f t="shared" ca="1" si="925"/>
        <v>#N/A</v>
      </c>
      <c r="MJ240" s="170" t="e">
        <f ca="1">MAX(0.0001, Control!$C$132*$MI240*$DL240)</f>
        <v>#N/A</v>
      </c>
      <c r="MK240" s="170">
        <f ca="1">1/(0.76+1.5*($MG240/10))-(5-Control!$C$110)*0.1</f>
        <v>1.002845988140797</v>
      </c>
      <c r="ML240" s="173">
        <f ca="1">IF(Control!$C$110&lt;3,$MK240+($MG240-0.6)/(Control!$C$110*(Control!$C$110+3)), MAX(0.1, MIN(0.95,$MK240)))</f>
        <v>0.95</v>
      </c>
      <c r="MM240" s="173">
        <f ca="1">IF(Control!$C$110&lt;3,$MK240+(($MI240/10)-0.6)/(Control!$C$110*(Control!$C$110+3)), MAX(0.1, MIN(0.95,$MK240)))</f>
        <v>0.95</v>
      </c>
      <c r="MN240" s="173">
        <f ca="1">(1-$MM240)*(Control!$C$128-Control!$C$127)+Control!$C$127</f>
        <v>0.16</v>
      </c>
      <c r="MO240" s="170" t="e">
        <f ca="1">MAX(0,MIN(1,($MS240-Control!$C$127)/($MN240-Control!$C$127)))</f>
        <v>#DIV/0!</v>
      </c>
      <c r="MP240" s="173" t="e">
        <f ca="1">1/(0.76+1.5*$MI240)-(5-Control!$C$110)*0.1</f>
        <v>#N/A</v>
      </c>
      <c r="MQ240" s="172" t="e">
        <f t="shared" ca="1" si="916"/>
        <v>#DIV/0!</v>
      </c>
      <c r="MR240" s="168" t="e">
        <f t="shared" ca="1" si="888"/>
        <v>#DIV/0!</v>
      </c>
      <c r="MS240" s="173" t="e">
        <f ca="1">MAX(Control!$C$127, MIN(Control!$C$135, $MR240/MAX(0.0001,$CY240)))</f>
        <v>#DIV/0!</v>
      </c>
      <c r="MT240" s="168" t="e">
        <f ca="1">(Control!$C$128-$MS240)*Control!$C$74</f>
        <v>#DIV/0!</v>
      </c>
      <c r="MU240" s="168" t="e">
        <f ca="1">(Control!$C$135-$MS240)*Control!$C$74</f>
        <v>#DIV/0!</v>
      </c>
      <c r="MV240" s="168" t="e">
        <f t="shared" ca="1" si="889"/>
        <v>#DIV/0!</v>
      </c>
      <c r="MW240" s="168" t="e">
        <f t="shared" ca="1" si="890"/>
        <v>#DIV/0!</v>
      </c>
      <c r="MX240" s="171" t="e">
        <f ca="1">MAX(Control!$C$127, MIN(Control!$C$135, $MW240/MAX(0.0001,Control!$C$119-$CY240)))</f>
        <v>#DIV/0!</v>
      </c>
      <c r="MY240" s="54" t="e">
        <f ca="1">IF(Control!$C$114=1, $CX240*$MX240, 0)</f>
        <v>#DIV/0!</v>
      </c>
      <c r="MZ240" s="54" t="e">
        <f t="shared" ca="1" si="891"/>
        <v>#N/A</v>
      </c>
      <c r="NA240" s="168" t="e">
        <f ca="1">(Control!$C$128-$MX240)*(Control!$C$119-Control!$C$74)</f>
        <v>#DIV/0!</v>
      </c>
      <c r="NB240" s="168" t="e">
        <f ca="1">(Control!$C$135-$MX240)*(Control!$C$119-Control!$C$74)</f>
        <v>#DIV/0!</v>
      </c>
      <c r="NC240" s="174" t="e">
        <f t="shared" ca="1" si="892"/>
        <v>#DIV/0!</v>
      </c>
      <c r="ND240" s="54">
        <f ca="1">IF(Control!$C$58=2, IF(OR(Control!$B$218=$AH240,Control!$B$219=$AH240, Control!$B$220=$AH240, Control!$B$221=$AH240, Control!$B$222=$AH240, Control!$B$223=$AH240, Control!$B$224=$AH240, Control!$B$225=$AH240, Control!$B$226=$AH240, Control!$B$227=$AH240, Control!$B$228=$AH240), 1, 0), 0)</f>
        <v>0</v>
      </c>
      <c r="NE240" s="54">
        <f ca="1">IF($ND240=0,0, VLOOKUP($AH240,Control!$B$218:$C$228,2))</f>
        <v>0</v>
      </c>
      <c r="NF240" s="168" t="e">
        <f ca="1">$CY240*(Control!$C$128-Control!$C$127)</f>
        <v>#N/A</v>
      </c>
      <c r="NG240" s="54" t="e">
        <f ca="1">IF(Control!$C$58=2, $NI239-$NJ239, 0)</f>
        <v>#DIV/0!</v>
      </c>
      <c r="NH240" s="54" t="e">
        <f ca="1">IF(AND(Control!$C$58=1, $MS239&lt;= ($MN239+0.02), $I239&lt;10), 0, IF(Control!$C$58=2, $NG239, 0))</f>
        <v>#DIV/0!</v>
      </c>
      <c r="NI240" s="54" t="e">
        <f ca="1">IF(Control!$C$58=2, $NE240+$NH240,0)</f>
        <v>#DIV/0!</v>
      </c>
      <c r="NJ240" s="54" t="e">
        <f ca="1">IF(AND(Control!$C$58=1, $MS240&lt;= ($MN240+0.02), $I240&lt;10), MAX(0, MIN(10, 0.7*($NF240-$MV240))), IF(Control!$C$58=2, MIN(10,$NI240),0))</f>
        <v>#DIV/0!</v>
      </c>
      <c r="NK240" s="54" t="e">
        <f t="shared" ca="1" si="800"/>
        <v>#DIV/0!</v>
      </c>
      <c r="NL240" s="173" t="e">
        <f ca="1">(1-Control!$C$73)*$I240+$NJ240</f>
        <v>#DIV/0!</v>
      </c>
      <c r="NM240" s="172" t="e">
        <f ca="1">IF($NL240&lt;0.5, $MB240* MAX(0, MIN(1, (SQRT($NC240)-SQRT($NC240-1))*Control!$C$71)),0)</f>
        <v>#DIV/0!</v>
      </c>
      <c r="NN240" s="170" t="e">
        <f ca="1">IF($NL240&gt;=5, $MB240, MAX(0,MIN($MB240, $NM240+$NL240,($MS240-Control!$C$129))))</f>
        <v>#DIV/0!</v>
      </c>
      <c r="NO240" s="54">
        <f>IF(Control!$C$133&lt;&gt;1, Control!$C$135-Control!$C$131, 0)</f>
        <v>0.38</v>
      </c>
      <c r="NP240" s="54" t="e">
        <f t="shared" ca="1" si="801"/>
        <v>#DIV/0!</v>
      </c>
      <c r="NQ240" s="173" t="e">
        <f ca="1">MAX(0,MIN(1,(Control!$C$135-$MS240)/(Control!$C$135-$NO240)))</f>
        <v>#DIV/0!</v>
      </c>
      <c r="NR240" s="170" t="e">
        <f ca="1">IF(Control!$C$133&lt;&gt;1, $NQ240+((1-$NP240/4)*(1-$NQ240)),1)</f>
        <v>#DIV/0!</v>
      </c>
      <c r="NS240" s="170" t="e">
        <f ca="1">IF(Control!$B$31=0,$MJ240,MAX(0,MIN($MV240,$MO240*$NR240*$MJ240)))</f>
        <v>#DIV/0!</v>
      </c>
      <c r="NT240" s="170" t="e">
        <f t="shared" ca="1" si="917"/>
        <v>#DIV/0!</v>
      </c>
      <c r="NU240" s="170" t="e">
        <f t="shared" ca="1" si="893"/>
        <v>#N/A</v>
      </c>
      <c r="NV240" s="170" t="e">
        <f t="shared" ca="1" si="802"/>
        <v>#N/A</v>
      </c>
      <c r="NW240" s="175" t="e">
        <f t="shared" ca="1" si="803"/>
        <v>#DIV/0!</v>
      </c>
      <c r="NX240" s="170" t="e">
        <f ca="1">MIN(Control!$C$72+$MU240, $NW240)</f>
        <v>#DIV/0!</v>
      </c>
      <c r="NY240" s="170" t="e">
        <f ca="1">IF($MT240&lt;=$NX240,MIN(Control!$C$72+$NB240,$NX240-$MT240),0)</f>
        <v>#DIV/0!</v>
      </c>
      <c r="NZ240" s="54" t="e">
        <f ca="1">IF(Control!$C$114=1,  $CX240*($MX240-Control!$C$127), 0)</f>
        <v>#DIV/0!</v>
      </c>
      <c r="OA240" s="170" t="e">
        <f t="shared" ca="1" si="804"/>
        <v>#DIV/0!</v>
      </c>
      <c r="OB240" s="170" t="e">
        <f ca="1">IF($NA240 &lt;=$NY240, MIN(Control!$C$72, $NY240-$NA240), 0)</f>
        <v>#DIV/0!</v>
      </c>
      <c r="OC240" s="168" t="e">
        <f t="shared" ca="1" si="805"/>
        <v>#DIV/0!</v>
      </c>
      <c r="OD240" s="168" t="e">
        <f t="shared" ca="1" si="894"/>
        <v>#DIV/0!</v>
      </c>
      <c r="OE240" s="170">
        <f ca="1">Control!$C$73*$I240</f>
        <v>0</v>
      </c>
      <c r="OF240" s="176" t="e">
        <f t="shared" ca="1" si="806"/>
        <v>#DIV/0!</v>
      </c>
      <c r="OG240" s="168" t="e">
        <f t="shared" ca="1" si="807"/>
        <v>#DIV/0!</v>
      </c>
      <c r="OH240" s="168" t="e">
        <f t="shared" ca="1" si="808"/>
        <v>#DIV/0!</v>
      </c>
      <c r="OI240" s="168" t="e">
        <f t="shared" ca="1" si="809"/>
        <v>#DIV/0!</v>
      </c>
      <c r="OJ240" s="168" t="e">
        <f t="shared" ca="1" si="810"/>
        <v>#DIV/0!</v>
      </c>
      <c r="OK240" s="204" t="e">
        <f t="shared" ca="1" si="811"/>
        <v>#DIV/0!</v>
      </c>
      <c r="OL240" s="177">
        <f>Control!$C$127</f>
        <v>0.15</v>
      </c>
      <c r="OM240" s="182" t="e">
        <f t="shared" ca="1" si="812"/>
        <v>#N/A</v>
      </c>
      <c r="ON240" s="177">
        <f>Control!$C$128</f>
        <v>0.35</v>
      </c>
      <c r="OO240" s="182" t="e">
        <f t="shared" ca="1" si="813"/>
        <v>#N/A</v>
      </c>
      <c r="OP240" s="138">
        <f t="shared" ca="1" si="895"/>
        <v>0</v>
      </c>
      <c r="OQ240" s="138" t="e">
        <f t="shared" ca="1" si="918"/>
        <v>#DIV/0!</v>
      </c>
      <c r="OR240" s="138" t="e">
        <f t="shared" ca="1" si="896"/>
        <v>#DIV/0!</v>
      </c>
      <c r="OS240" s="137" t="e">
        <f t="shared" ca="1" si="919"/>
        <v>#DIV/0!</v>
      </c>
      <c r="OT240" s="139" t="e">
        <f t="shared" ca="1" si="920"/>
        <v>#DIV/0!</v>
      </c>
      <c r="OU240" s="138" t="e">
        <f t="shared" ca="1" si="921"/>
        <v>#N/A</v>
      </c>
      <c r="OV240" s="138" t="e">
        <f t="shared" ca="1" si="922"/>
        <v>#DIV/0!</v>
      </c>
      <c r="OW240" s="138" t="e">
        <f t="shared" ca="1" si="897"/>
        <v>#DIV/0!</v>
      </c>
      <c r="OX240" s="138" t="e">
        <f t="shared" ca="1" si="898"/>
        <v>#DIV/0!</v>
      </c>
      <c r="OY240" s="138" t="e">
        <f t="shared" ca="1" si="899"/>
        <v>#DIV/0!</v>
      </c>
      <c r="OZ240" s="138" t="e">
        <f t="shared" ca="1" si="814"/>
        <v>#DIV/0!</v>
      </c>
      <c r="PA240" s="138" t="e">
        <f t="shared" ca="1" si="815"/>
        <v>#DIV/0!</v>
      </c>
      <c r="PB240" s="55">
        <f>IF(Control!$C$61="T", IF(Control!$C$65="F", IF($AH$6-Control!$C$60&lt;0,0,1), IF(365+$AH$6-Control!$C$60&lt;0,0,1)),0)</f>
        <v>0</v>
      </c>
      <c r="PC240" s="55">
        <f ca="1">IF(Control!$C$65="F", IF($AH$6-$HF240&lt;0,0,1), IF(365+$AH$6-$HF240&lt;0,0,1))</f>
        <v>1</v>
      </c>
      <c r="PD240" s="444">
        <f>Control!$C$118</f>
        <v>1500</v>
      </c>
      <c r="PE240" s="180" t="e">
        <f t="shared" ca="1" si="816"/>
        <v>#N/A</v>
      </c>
      <c r="PF240" s="445">
        <f t="shared" ca="1" si="900"/>
        <v>0.71612369323045078</v>
      </c>
      <c r="PT240" s="186"/>
      <c r="PU240" s="186"/>
      <c r="PV240" s="94"/>
      <c r="PW240" s="94"/>
      <c r="PX240" s="94"/>
      <c r="PY240" s="94"/>
      <c r="PZ240" s="94"/>
      <c r="QA240" s="94"/>
      <c r="QB240" s="94"/>
      <c r="QC240" s="94"/>
      <c r="QD240" s="94"/>
      <c r="QE240" s="94"/>
      <c r="QF240" s="94"/>
      <c r="QG240" s="94"/>
      <c r="QH240" s="94"/>
      <c r="QI240" s="94"/>
      <c r="QJ240" s="94"/>
      <c r="QK240" s="94"/>
      <c r="QL240" s="94"/>
      <c r="QM240" s="94"/>
      <c r="QN240" s="94"/>
      <c r="QO240" s="94"/>
      <c r="QP240" s="94"/>
    </row>
    <row r="241" spans="1:458" s="2" customFormat="1" x14ac:dyDescent="0.2">
      <c r="A241" s="395">
        <v>24</v>
      </c>
      <c r="B241" s="396">
        <v>8</v>
      </c>
      <c r="C241" s="387">
        <f ca="1">Weather_data!$B240</f>
        <v>0</v>
      </c>
      <c r="D241" s="388">
        <f ca="1">Weather_data!$F240</f>
        <v>0</v>
      </c>
      <c r="E241" s="388">
        <f ca="1">Weather_data!$E240</f>
        <v>0</v>
      </c>
      <c r="F241" s="388">
        <f t="shared" ca="1" si="817"/>
        <v>0</v>
      </c>
      <c r="G241" s="388">
        <f ca="1">AVERAGE($D241:$E241)+Control!$B$9</f>
        <v>0</v>
      </c>
      <c r="H241" s="388">
        <f ca="1">Weather_data!$G240</f>
        <v>0</v>
      </c>
      <c r="I241" s="388">
        <f ca="1">Weather_data!$I240</f>
        <v>0</v>
      </c>
      <c r="J241" s="388">
        <f ca="1">Weather_data!$H240</f>
        <v>0</v>
      </c>
      <c r="K241" s="389">
        <f ca="1">Weather_data!$D240</f>
        <v>0</v>
      </c>
      <c r="L241" s="388" t="e">
        <f t="shared" ca="1" si="818"/>
        <v>#N/A</v>
      </c>
      <c r="M241" s="388" t="e">
        <f t="shared" ca="1" si="696"/>
        <v>#N/A</v>
      </c>
      <c r="N241" s="388">
        <f t="shared" ca="1" si="697"/>
        <v>-8.8299800544967008E-12</v>
      </c>
      <c r="O241" s="388">
        <f t="shared" ca="1" si="819"/>
        <v>8.8299800544967004E-11</v>
      </c>
      <c r="P241" s="390">
        <v>3</v>
      </c>
      <c r="Q241" s="388">
        <f ca="1">MAX($G241-Control!$C$107,0)</f>
        <v>0</v>
      </c>
      <c r="R241" s="388">
        <f t="shared" ca="1" si="820"/>
        <v>0</v>
      </c>
      <c r="S241" s="388">
        <f t="shared" ca="1" si="698"/>
        <v>0</v>
      </c>
      <c r="T241" s="388">
        <f t="shared" ca="1" si="699"/>
        <v>0</v>
      </c>
      <c r="U241" s="59">
        <f t="shared" ca="1" si="700"/>
        <v>0</v>
      </c>
      <c r="V241" s="391">
        <f ca="1">MAX(0,MIN(Control!$C$100-Control!$C$99,$G241-Control!$C$99)*Control!$C$63)</f>
        <v>0</v>
      </c>
      <c r="W241" s="388">
        <f t="shared" ca="1" si="821"/>
        <v>0</v>
      </c>
      <c r="X241" s="388">
        <f t="shared" ca="1" si="822"/>
        <v>0.6110000000000001</v>
      </c>
      <c r="Y241" s="388">
        <f t="shared" ca="1" si="701"/>
        <v>0</v>
      </c>
      <c r="Z241" s="388">
        <f t="shared" ca="1" si="823"/>
        <v>0.61058800000000002</v>
      </c>
      <c r="AA241" s="388">
        <f t="shared" ca="1" si="702"/>
        <v>0.6018</v>
      </c>
      <c r="AB241" s="388">
        <f ca="1">101.3*EXP(-0.034*Control!$C$66/($G241+273))</f>
        <v>100.69623283836242</v>
      </c>
      <c r="AC241" s="392">
        <f t="shared" ca="1" si="703"/>
        <v>4.3460251046025113E-2</v>
      </c>
      <c r="AD241" s="392">
        <f t="shared" ca="1" si="704"/>
        <v>4.4450382862832649E-2</v>
      </c>
      <c r="AE241" s="388">
        <f t="shared" ca="1" si="705"/>
        <v>0</v>
      </c>
      <c r="AF241" s="388">
        <f ca="1">MAX(0,$G241-Control!$C$92)</f>
        <v>0</v>
      </c>
      <c r="AG241" s="393">
        <f t="shared" ca="1" si="706"/>
        <v>237</v>
      </c>
      <c r="AH241" s="389">
        <f t="shared" ca="1" si="707"/>
        <v>237</v>
      </c>
      <c r="AI241" s="388">
        <f t="shared" ca="1" si="824"/>
        <v>0.17777139667577782</v>
      </c>
      <c r="AJ241" s="388">
        <f ca="1">IF(Control!$C$60&lt;=0,$HH241,$HI241)</f>
        <v>1</v>
      </c>
      <c r="AK241" s="388">
        <f t="shared" ca="1" si="708"/>
        <v>2.702630392403274</v>
      </c>
      <c r="AL241" s="388">
        <f t="shared" ca="1" si="709"/>
        <v>-8.1151040748350668E-18</v>
      </c>
      <c r="AM241" s="388">
        <f t="shared" ca="1" si="710"/>
        <v>2.702630392403274</v>
      </c>
      <c r="AN241" s="388">
        <f t="shared" ca="1" si="711"/>
        <v>0.16988107300874283</v>
      </c>
      <c r="AO241" s="388">
        <f ca="1">-0.10453/COS(Control!$B$8*PI()/180)*COS(AN241)</f>
        <v>-0.16734079078432648</v>
      </c>
      <c r="AP241" s="388">
        <f ca="1">ACOS(AO241-TAN(Control!$B$8*PI()/180)*TAN(AN241))</f>
        <v>1.9680580897491575</v>
      </c>
      <c r="AQ241" s="388">
        <f t="shared" ca="1" si="825"/>
        <v>0</v>
      </c>
      <c r="AR241" s="394">
        <f t="shared" ca="1" si="712"/>
        <v>0</v>
      </c>
      <c r="AS241" s="436">
        <f ca="1">IF(Control!$B$18=2,(IF(OR($AH241=Control!$B$175,$AH241=Control!$B$176,$AH241=Control!$B$177,$AH241=Control!$B$178,$AH241=Control!$B$179,$AH241=Control!$B$180,$AH241=Control!$B$181,$AH241=Control!$B$182,$AH241=Control!$B$183,$AH241=Control!$B$184,$AH241=Control!$B$185),1,0)),0)</f>
        <v>0</v>
      </c>
      <c r="AT241" s="436">
        <f>IF(Control!$B$20=8,IF(AND($AH241&gt;=Control!$B$172,$AH241&lt;=Control!$B$173),1,0),0)</f>
        <v>0</v>
      </c>
      <c r="AU241" s="436">
        <f>IF(Control!$B$20=8,IF($AV240=1,1*$AT241,IF($AT241=1,$AU240+1,$AU240)),0)</f>
        <v>0</v>
      </c>
      <c r="AV241" s="436">
        <f>IF(Control!$B$20=8,IF($AU241&gt;=Control!$B$174,1,0),0)</f>
        <v>0</v>
      </c>
      <c r="AW241" s="436">
        <f ca="1">IF(AND(Control!$B$18=2,Control!$B$171=1), $AV241, $AS241)</f>
        <v>0</v>
      </c>
      <c r="AX241" s="436" t="e">
        <f ca="1">IF(AND(Control!$B$18=1,$EU241&gt;=Control!$B$19),-$AY241,IF(AND(Control!$B$18=2,$AW241=1,$EU241&gt;$DS241),-$AY241, IF(Control!$C$108=0,0, IF(Control!$C$108&lt;&gt;0,1))))</f>
        <v>#N/A</v>
      </c>
      <c r="AY241" s="436" t="e">
        <f t="shared" ca="1" si="826"/>
        <v>#N/A</v>
      </c>
      <c r="AZ241" s="436" t="e">
        <f ca="1">IF(AND(Control!$B$18=1,$EB241&gt;Control!$B$19),$AZ240+1, IF(AND(Control!$B$18=2, $AW241=1, $EB241&gt;$DS241), $AZ240+1,$AZ240))</f>
        <v>#N/A</v>
      </c>
      <c r="BA241" s="587">
        <f>IF(Control!$C$81=0,1,IF($AH241&gt;=Control!$C$82,1,0))</f>
        <v>1</v>
      </c>
      <c r="BB241" s="140" t="e">
        <f ca="1">IF($BA241&gt;$BA240,Control!$C$83,IF($AW241&gt;0,$AW241*Control!$C$84,IF(AND(Control!$B$18=1,EN240&lt;&gt;0),Control!$C$84,0)))</f>
        <v>#N/A</v>
      </c>
      <c r="BC241" s="140" t="e">
        <f t="shared" ca="1" si="827"/>
        <v>#N/A</v>
      </c>
      <c r="BD241" s="140" t="e">
        <f ca="1">BC241*IF(OR($G241&lt;Control!$C$92,$G241&gt;Control!$C$95),0,IF(AND($G241&gt;=Control!$C$92,$G241&lt;=Control!$C$93),$G241-Control!$C$92,IF(AND($G241&gt;Control!$C$93,$G241&lt;=Control!$C$94),Control!$C$93-Control!$C$92,IF(AND($G241&gt;Control!$C$94,$G241&lt;=Control!$C$95),(Control!$C$93-Control!$C$92)*(Control!$C$94-$G241)/(Control!$C$95-Control!$C$94)))))</f>
        <v>#N/A</v>
      </c>
      <c r="BE241" s="140" t="e">
        <f t="shared" ca="1" si="828"/>
        <v>#N/A</v>
      </c>
      <c r="BF241" s="140" t="e">
        <f ca="1">IF($BE241&lt;=Control!$C$86,$BE241,Control!$C$86-$BE241)</f>
        <v>#N/A</v>
      </c>
      <c r="BG241" s="140" t="e">
        <f ca="1">IF(AND($AW241=1,Control!$C$84&lt;9),1,IF($BE241&gt;=Control!$C$86,0,$BC241))</f>
        <v>#N/A</v>
      </c>
      <c r="BH241" s="404" t="e">
        <f ca="1">IF($BG241=0,0,IF($BE241&lt;=Control!$C$86,$BC241*9*($BF241/Control!$C$86),0))</f>
        <v>#N/A</v>
      </c>
      <c r="BI241" s="140" t="e">
        <f ca="1">IF($BG241=1,0,IF($BE241&gt;=Control!$C$86,1,IF(AND($BB241&lt;21,$BB241&gt;=9),1,$BM240)))</f>
        <v>#N/A</v>
      </c>
      <c r="BJ241" s="140" t="e">
        <f ca="1">IF($BF241&lt;0,-$BF241,$BI241*IF(OR($G241&lt;Control!$C$92,$G241&gt;Control!$C$95),0,IF(AND($G241&gt;=Control!$C$92,$G241&lt;=Control!$C$93),$G241-Control!$C$92,IF(AND($G241&gt;Control!$C$93,$G241&lt;=Control!$C$94),Control!$C$93-Control!$C$92,IF(AND($G241&gt;Control!$C$94,$G241&lt;=Control!$C$95),(Control!$C$93-Control!$C$92)*(Control!$C$94-$G241)/(Control!$C$95-Control!$C$94))))))</f>
        <v>#N/A</v>
      </c>
      <c r="BK241" s="140" t="e">
        <f t="shared" ca="1" si="829"/>
        <v>#N/A</v>
      </c>
      <c r="BL241" s="140" t="e">
        <f ca="1">IF($BK241&lt;=Control!$C$87,$BK241,Control!$C$87-$BK241)</f>
        <v>#N/A</v>
      </c>
      <c r="BM241" s="140" t="e">
        <f ca="1">IF(AND($BB241&gt;=9,$BB241&lt;21),1,IF($BK241&gt;=Control!$C$87,0,$BI241))</f>
        <v>#N/A</v>
      </c>
      <c r="BN241" s="404" t="e">
        <f ca="1">IF($BM241=0,0,IF($BK241&lt;=Control!$C$87,$BI241*(9+(21-9)*($BL241/Control!$C$87)),0))</f>
        <v>#N/A</v>
      </c>
      <c r="BO241" s="140" t="e">
        <f ca="1">IF($BM241=1,0,IF($BK241&gt;=Control!$C$87,1,IF(AND($BB241&lt;30,$BB241&gt;=21),1,$BS240)))</f>
        <v>#N/A</v>
      </c>
      <c r="BP241" s="140" t="e">
        <f ca="1">IF($BL241&lt;0,-$BL241,$BO241*IF(OR($G241&lt;Control!$C$92,$G241&gt;Control!$C$95),0,IF(AND($G241&gt;=Control!$C$92,$G241&lt;=Control!$C$93),$G241-Control!$C$92,IF(AND($G241&gt;Control!$C$93,$G241&lt;=Control!$C$94),Control!$C$93-Control!$C$92,IF(AND($G241&gt;Control!$C$94,$G241&lt;=Control!$C$95),(Control!$C$93-Control!$C$92)*(Control!$C$94-$G241)/(Control!$C$95-Control!$C$94))))))</f>
        <v>#N/A</v>
      </c>
      <c r="BQ241" s="140" t="e">
        <f t="shared" ca="1" si="713"/>
        <v>#N/A</v>
      </c>
      <c r="BR241" s="140" t="e">
        <f ca="1">IF($BQ241&lt;=Control!$C$88,$BQ241,Control!$C$88-$BQ241)</f>
        <v>#N/A</v>
      </c>
      <c r="BS241" s="140" t="e">
        <f ca="1">IF(AND($BB241&gt;=21,$BB241&lt;30),1,IF($BQ241&gt;=Control!$C$88,0,$BO241))</f>
        <v>#N/A</v>
      </c>
      <c r="BT241" s="404" t="e">
        <f ca="1">IF($BS241=0,0,IF($BQ241&lt;=Control!$C$88,$BO241*(21+(30-21)*(BR241/Control!$C$88)),0))</f>
        <v>#N/A</v>
      </c>
      <c r="BU241" s="140" t="e">
        <f ca="1">IF(BG241+BM241+BS241=1,0,IF(OR(AND($BB241&lt;60,$BB241&gt;=30),$BQ241&gt;=Control!$C$88),1*$BA241,$BY240))</f>
        <v>#N/A</v>
      </c>
      <c r="BV241" s="140" t="e">
        <f ca="1">IF($BR241&lt;0,-$BR241,$BU241*IF(OR($G241&lt;Control!$C$92,$G241&gt;Control!$C$95),0,IF(AND($G241&gt;=Control!$C$92,$G241&lt;=Control!$C$93),$G241-Control!$C$92,IF(AND($G241&gt;Control!$C$93,$G241&lt;=Control!$C$94),Control!$C$93-Control!$C$92,IF(AND($G241&gt;Control!$C$94,$G241&lt;=Control!$C$95),(Control!$C$93-Control!$C$92)*(Control!$C$94-$G241)/(Control!$C$95-Control!$C$94))))))</f>
        <v>#N/A</v>
      </c>
      <c r="BW241" s="140" t="e">
        <f t="shared" ca="1" si="714"/>
        <v>#N/A</v>
      </c>
      <c r="BX241" s="140" t="e">
        <f ca="1">IF($BW241&lt;=Control!$C$89,$BW241,Control!$C$89-$BW241)</f>
        <v>#N/A</v>
      </c>
      <c r="BY241" s="140" t="e">
        <f ca="1">IF(AND($AJ241&gt;=30,$AJ241&lt;60),1,IF($BW241&gt;=Control!$C$89,0,$BU241))</f>
        <v>#N/A</v>
      </c>
      <c r="BZ241" s="404" t="e">
        <f ca="1">IF($BY241=0,0,IF($BW241&lt;=Control!$C$89,$BU241*(30+(60-30)*(BX241/Control!$C$89)),0))</f>
        <v>#N/A</v>
      </c>
      <c r="CA241" s="140" t="e">
        <f ca="1">IF($BG241+$BM241+$BS241+$BY241=1,0,IF(OR(AND($BB241&lt;65,$BB241&gt;=60),$BW241&gt;=Control!$C$89),1*$BA241,$CE240))</f>
        <v>#N/A</v>
      </c>
      <c r="CB241" s="140" t="e">
        <f ca="1">IF($BX241&lt;0,-$BX241,$CA241*IF(OR($G241&lt;Control!$C$92,$G241&gt;Control!$C$95),0,IF(AND($G241&gt;=Control!$C$92,$G241&lt;=Control!$C$93),$G241-Control!$C$92,IF(AND($G241&gt;Control!$C$93,$G241&lt;=Control!$C$94),Control!$C$93-Control!$C$92,IF(AND($G241&gt;Control!$C$94,$G241&lt;=Control!$C$95),(Control!$C$93-Control!$C$92)*(Control!$C$94-$G241)/(Control!$C$95-Control!$C$94))))))</f>
        <v>#N/A</v>
      </c>
      <c r="CC241" s="140" t="e">
        <f t="shared" ca="1" si="830"/>
        <v>#N/A</v>
      </c>
      <c r="CD241" s="140" t="e">
        <f ca="1">IF($CC241&lt;=Control!$C$90,$CC241,Control!$C$90-$CC241)</f>
        <v>#N/A</v>
      </c>
      <c r="CE241" s="140" t="e">
        <f ca="1">IF(AND($BB241&gt;=60,$BB241&lt;65),1,IF($CC241&gt;=Control!$C$90,0,$CA241))</f>
        <v>#N/A</v>
      </c>
      <c r="CF241" s="404" t="e">
        <f ca="1">IF($CE241=0,0,IF($CC241&lt;=Control!$C$90,$CA241*(60+(65-60)*(CD241/Control!$C$90)),0))</f>
        <v>#N/A</v>
      </c>
      <c r="CG241" s="140" t="e">
        <f ca="1">IF($BG241+$BM241+$BS241+$BY241+$CE241=1,0,IF(OR(AND($BB241&lt;90,$BB241&gt;=65),$CC241&gt;=Control!$C$90),$BA241,$CK240))</f>
        <v>#N/A</v>
      </c>
      <c r="CH241" s="140" t="e">
        <f ca="1">IF($CD241&lt;0,-$CD241,$CG241*IF(OR($G241&lt;Control!$C$92,$G241&gt;Control!$C$95),0,IF(AND($G241&gt;=Control!$C$92,$G241&lt;=Control!$C$93),$G241-Control!$C$92,IF(AND($G241&gt;Control!$C$93,$G241&lt;=Control!$C$94),Control!$C$93-Control!$C$92,IF(AND($G241&gt;Control!$C$94,$G241&lt;=Control!$C$95),(Control!$C$93-Control!$C$92)*(Control!$C$94-$G241)/(Control!$C$95-Control!$C$94))))))</f>
        <v>#N/A</v>
      </c>
      <c r="CI241" s="140" t="e">
        <f t="shared" ca="1" si="831"/>
        <v>#N/A</v>
      </c>
      <c r="CJ241" s="140" t="e">
        <f ca="1">IF($CI241&lt;=Control!$C$91,$CI241,Control!$C$91-$CI241)</f>
        <v>#N/A</v>
      </c>
      <c r="CK241" s="140" t="e">
        <f ca="1">IF(AND($BB241&gt;=65,$BB241&lt;90),1,IF($CI241&gt;=Control!$C$91,0,$CG241))</f>
        <v>#N/A</v>
      </c>
      <c r="CL241" s="404" t="e">
        <f ca="1">IF($CK241=0,0,IF($CI241&lt;=Control!$C$91,$CG241*(65+(90-65)*($CJ241/Control!$C$91)),0))</f>
        <v>#N/A</v>
      </c>
      <c r="CM241" s="140" t="e">
        <f ca="1">IF($BG241+$BM241+$BS241+$BY241+$CE241+$CK241=1,0,IF(OR($BB241&gt;=90,$CI241&gt;=Control!$C$91),$BA241,$CM240))</f>
        <v>#N/A</v>
      </c>
      <c r="CN241" s="140" t="e">
        <f t="shared" ca="1" si="832"/>
        <v>#N/A</v>
      </c>
      <c r="CO241" s="140" t="e">
        <f t="shared" ca="1" si="833"/>
        <v>#N/A</v>
      </c>
      <c r="CP241" s="140" t="e">
        <f t="shared" ca="1" si="834"/>
        <v>#N/A</v>
      </c>
      <c r="CQ241" s="141" t="e">
        <f ca="1">VLOOKUP($CP241,Control!$B$86:$G$91,6)</f>
        <v>#N/A</v>
      </c>
      <c r="CR241" s="141" t="e">
        <f ca="1">(1-$CQ241)*VLOOKUP($CP241,Control!$B$86:$D$91,3)</f>
        <v>#N/A</v>
      </c>
      <c r="CS241" s="141" t="e">
        <f ca="1">(1-$CQ241)*VLOOKUP($CP241,Control!$B$86:$E$91,4)</f>
        <v>#N/A</v>
      </c>
      <c r="CT241" s="141" t="e">
        <f ca="1">(1-$CQ241)*VLOOKUP($CP241,Control!$B$86:$F$91,5)</f>
        <v>#N/A</v>
      </c>
      <c r="CU241" s="141">
        <f t="shared" ca="1" si="835"/>
        <v>0</v>
      </c>
      <c r="CV241" s="583">
        <f t="shared" ca="1" si="836"/>
        <v>0</v>
      </c>
      <c r="CW241" s="142">
        <f t="shared" ca="1" si="837"/>
        <v>237</v>
      </c>
      <c r="CX241" s="612" t="e">
        <f ca="1">IF(Control!$C$114=1,(MIN(Control!$C$120*(IF($NT241-0.01&lt;0,0,1)),Control!$C$119-$CY241)))</f>
        <v>#DIV/0!</v>
      </c>
      <c r="CY241" s="143" t="e">
        <f t="shared" ca="1" si="838"/>
        <v>#N/A</v>
      </c>
      <c r="CZ241" s="144">
        <f t="shared" ca="1" si="715"/>
        <v>0</v>
      </c>
      <c r="DA241" s="144">
        <f t="shared" ca="1" si="716"/>
        <v>0</v>
      </c>
      <c r="DB241" s="144" t="e">
        <f t="shared" ca="1" si="717"/>
        <v>#N/A</v>
      </c>
      <c r="DC241" s="144" t="e">
        <f t="shared" ca="1" si="718"/>
        <v>#N/A</v>
      </c>
      <c r="DD241" s="144" t="e">
        <f t="shared" ca="1" si="923"/>
        <v>#N/A</v>
      </c>
      <c r="DE241" s="143" t="e">
        <f t="shared" ca="1" si="839"/>
        <v>#N/A</v>
      </c>
      <c r="DF241" s="145" t="e">
        <f ca="1">$DR241*EXP(-Control!$C$158*(1-$KH241))</f>
        <v>#N/A</v>
      </c>
      <c r="DG241" s="146" t="e">
        <f ca="1">IF(Control!$C$114=1, $DF241*$EY241, 0)</f>
        <v>#N/A</v>
      </c>
      <c r="DH241" s="147" t="e">
        <f t="shared" ca="1" si="840"/>
        <v>#N/A</v>
      </c>
      <c r="DI241" s="144" t="e">
        <f t="shared" ca="1" si="901"/>
        <v>#N/A</v>
      </c>
      <c r="DJ241" s="147" t="e">
        <f ca="1">$EF241*Control!$C$109</f>
        <v>#N/A</v>
      </c>
      <c r="DK241" s="144" t="e">
        <f t="shared" ca="1" si="841"/>
        <v>#N/A</v>
      </c>
      <c r="DL241" s="144" t="e">
        <f t="shared" ca="1" si="719"/>
        <v>#N/A</v>
      </c>
      <c r="DM241" s="144" t="e">
        <f ca="1">IF(Control!$C$114=1, (1-EXP(-Control!$C$96*$DK241))*$AR241, 0)</f>
        <v>#N/A</v>
      </c>
      <c r="DN241" s="144">
        <f t="shared" ca="1" si="842"/>
        <v>0</v>
      </c>
      <c r="DO241" s="148">
        <f>Control!$C$97</f>
        <v>4</v>
      </c>
      <c r="DP241" s="145" t="e">
        <f t="shared" ca="1" si="843"/>
        <v>#N/A</v>
      </c>
      <c r="DQ241" s="145" t="e">
        <f ca="1">IF(AND($CP241&gt;=0,$CP241&lt;=90),Control!$C$111,Control!$C$111)</f>
        <v>#N/A</v>
      </c>
      <c r="DR241" s="145" t="e">
        <f t="shared" ca="1" si="720"/>
        <v>#N/A</v>
      </c>
      <c r="DS241" s="143" t="e">
        <f ca="1">Control!$B$22/$DR241</f>
        <v>#N/A</v>
      </c>
      <c r="DT241" s="149" t="e">
        <f ca="1">IF(AND(Control!$C$114=1,$KH241&lt;1),$IM241*$DF241, 0)</f>
        <v>#N/A</v>
      </c>
      <c r="DU241" s="144" t="e">
        <f t="shared" ca="1" si="844"/>
        <v>#N/A</v>
      </c>
      <c r="DV241" s="144">
        <f ca="1">IF($G241-Control!$C$107&lt;=0, 0, 0.83*LN(MAX($G241, 3))-0.8924)</f>
        <v>0</v>
      </c>
      <c r="DW241" s="144" t="e">
        <f t="shared" ca="1" si="721"/>
        <v>#N/A</v>
      </c>
      <c r="DX241" s="150" t="e">
        <f ca="1">MAX(0.01*(1+$CU241/Control!$C$102),0.05*($DK241-Control!$C$97)/Control!$C$97)</f>
        <v>#N/A</v>
      </c>
      <c r="DY241" s="151" t="e">
        <f ca="1">IF(Control!$C$114=1, $DI241*$FS241, 0)</f>
        <v>#N/A</v>
      </c>
      <c r="DZ241" s="196" t="e">
        <f t="shared" ca="1" si="845"/>
        <v>#N/A</v>
      </c>
      <c r="EA241" s="152">
        <f t="shared" ca="1" si="846"/>
        <v>237</v>
      </c>
      <c r="EB241" s="153" t="e">
        <f t="shared" ca="1" si="847"/>
        <v>#N/A</v>
      </c>
      <c r="EC241" s="153" t="e">
        <f t="shared" ca="1" si="848"/>
        <v>#N/A</v>
      </c>
      <c r="ED241" s="154" t="e">
        <f ca="1">IF(Control!$C$114=1, $HM241*$FY241-$FD241, 0)</f>
        <v>#DIV/0!</v>
      </c>
      <c r="EE241" s="155" t="e">
        <f ca="1">IF(Control!$C$114=1, $HM241*$FZ241-$FF241, 0)</f>
        <v>#DIV/0!</v>
      </c>
      <c r="EF241" s="153" t="e">
        <f t="shared" ca="1" si="902"/>
        <v>#N/A</v>
      </c>
      <c r="EG241" s="155" t="e">
        <f ca="1">IF(Control!$C$114=1, $GX241*$FW241-$FI241, 0)</f>
        <v>#DIV/0!</v>
      </c>
      <c r="EH241" s="153" t="e">
        <f t="shared" ca="1" si="849"/>
        <v>#N/A</v>
      </c>
      <c r="EI241" s="156" t="e">
        <f t="shared" ca="1" si="850"/>
        <v>#N/A</v>
      </c>
      <c r="EJ241" s="155" t="e">
        <f ca="1">IF(Control!$C$114=1, $HM241*$GB241, 0)</f>
        <v>#DIV/0!</v>
      </c>
      <c r="EK241" s="153" t="e">
        <f t="shared" ca="1" si="903"/>
        <v>#N/A</v>
      </c>
      <c r="EL241" s="153" t="e">
        <f t="shared" ca="1" si="722"/>
        <v>#N/A</v>
      </c>
      <c r="EM241" s="153" t="e">
        <f t="shared" ca="1" si="723"/>
        <v>#N/A</v>
      </c>
      <c r="EN241" s="153" t="e">
        <f ca="1">IF(Control!$C$108=1,IF(AND(Control!$B$18=1,$EB241&gt;=Control!$B$19),$EB241-$DS241,IF(AND(Control!$B$18=2,$AW241=1,$EB241&gt;$DS241),$EB241-$DS241,0)))</f>
        <v>#N/A</v>
      </c>
      <c r="EO241" s="153" t="e">
        <f ca="1">IF(Control!$C$108=1,IF(AND(Control!$B$18=1,$EB241&gt;=Control!$B$19),$EF241,IF(AND(Control!$B$18=2,$AW241=1),$EF241,0)))</f>
        <v>#N/A</v>
      </c>
      <c r="EP241" s="153" t="e">
        <f ca="1">IF(Control!$C$108=1,IF(AND(Control!$B$18=1,$EB241&gt;=Control!$B$19),$EK241,IF(AND(Control!$B$18=2,$AW241=1),$EK241,0)))</f>
        <v>#N/A</v>
      </c>
      <c r="EQ241" s="153" t="e">
        <f t="shared" ca="1" si="851"/>
        <v>#N/A</v>
      </c>
      <c r="ER241" s="153" t="e">
        <f t="shared" ca="1" si="852"/>
        <v>#N/A</v>
      </c>
      <c r="ES241" s="153" t="e">
        <f t="shared" ca="1" si="904"/>
        <v>#N/A</v>
      </c>
      <c r="ET241" s="153" t="e">
        <f t="shared" ca="1" si="905"/>
        <v>#N/A</v>
      </c>
      <c r="EU241" s="153" t="e">
        <f t="shared" ca="1" si="853"/>
        <v>#N/A</v>
      </c>
      <c r="EV241" s="153" t="e">
        <f t="shared" ca="1" si="724"/>
        <v>#N/A</v>
      </c>
      <c r="EW241" s="153" t="e">
        <f t="shared" ca="1" si="725"/>
        <v>#N/A</v>
      </c>
      <c r="EX241" s="153" t="e">
        <f t="shared" ca="1" si="726"/>
        <v>#N/A</v>
      </c>
      <c r="EY241" s="157" t="e">
        <f t="shared" ca="1" si="727"/>
        <v>#DIV/0!</v>
      </c>
      <c r="EZ241" s="154" t="e">
        <f t="shared" ca="1" si="728"/>
        <v>#DIV/0!</v>
      </c>
      <c r="FA241" s="153" t="e">
        <f t="shared" ca="1" si="854"/>
        <v>#N/A</v>
      </c>
      <c r="FB241" s="153" t="e">
        <f t="shared" ca="1" si="729"/>
        <v>#N/A</v>
      </c>
      <c r="FC241" s="193" t="e">
        <f t="shared" ca="1" si="730"/>
        <v>#N/A</v>
      </c>
      <c r="FD241" s="158" t="e">
        <f t="shared" ca="1" si="855"/>
        <v>#N/A</v>
      </c>
      <c r="FE241" s="158" t="e">
        <f t="shared" ca="1" si="856"/>
        <v>#N/A</v>
      </c>
      <c r="FF241" s="159" t="e">
        <f t="shared" ca="1" si="731"/>
        <v>#N/A</v>
      </c>
      <c r="FG241" s="160" t="e">
        <f t="shared" ca="1" si="857"/>
        <v>#N/A</v>
      </c>
      <c r="FH241" s="158" t="e">
        <f t="shared" ca="1" si="858"/>
        <v>#N/A</v>
      </c>
      <c r="FI241" s="159" t="e">
        <f t="shared" ca="1" si="732"/>
        <v>#N/A</v>
      </c>
      <c r="FJ241" s="160" t="e">
        <f t="shared" ca="1" si="859"/>
        <v>#N/A</v>
      </c>
      <c r="FK241" s="160" t="e">
        <f t="shared" ca="1" si="733"/>
        <v>#N/A</v>
      </c>
      <c r="FL241" s="160" t="e">
        <f t="shared" ca="1" si="906"/>
        <v>#N/A</v>
      </c>
      <c r="FM241" s="160" t="e">
        <f t="shared" ca="1" si="734"/>
        <v>#N/A</v>
      </c>
      <c r="FN241" s="158">
        <f t="shared" ca="1" si="860"/>
        <v>0.01</v>
      </c>
      <c r="FO241" s="160">
        <f>Control!$C$101</f>
        <v>50</v>
      </c>
      <c r="FP241" s="150" t="e">
        <f t="shared" ca="1" si="735"/>
        <v>#N/A</v>
      </c>
      <c r="FQ241" s="150" t="e">
        <f ca="1">MAX(0,(Control!$C$112*(($DK241-Control!$C$97)/Control!$C$97)))</f>
        <v>#N/A</v>
      </c>
      <c r="FR241" s="150" t="e">
        <f ca="1">(1-$NT241)*Control!$C$113</f>
        <v>#DIV/0!</v>
      </c>
      <c r="FS241" s="198" t="e">
        <f t="shared" ca="1" si="736"/>
        <v>#N/A</v>
      </c>
      <c r="FT241" s="161">
        <f t="shared" ca="1" si="861"/>
        <v>237</v>
      </c>
      <c r="FU241" s="162" t="e">
        <f ca="1">IF(Control!$B$34=1,VLOOKUP($CP241,Control!$B$86:$G$91,6),Control!$B$35)</f>
        <v>#N/A</v>
      </c>
      <c r="FV241" s="162" t="e">
        <f t="shared" ca="1" si="737"/>
        <v>#DIV/0!</v>
      </c>
      <c r="FW241" s="162" t="e">
        <f ca="1">IF(Control!$B$31=1,$FU241*$FV241,  $FU241)</f>
        <v>#N/A</v>
      </c>
      <c r="FX241" s="162" t="e">
        <f ca="1">IF(Control!$B$34=1,VLOOKUP($CP241,Control!$B$86:$G$91,3),Control!$B$36)</f>
        <v>#N/A</v>
      </c>
      <c r="FY241" s="162" t="e">
        <f t="shared" ca="1" si="738"/>
        <v>#N/A</v>
      </c>
      <c r="FZ241" s="162" t="e">
        <f ca="1">IF(Control!$B$34=1,VLOOKUP($CP241,Control!$B$86:$G$91,4),Control!$B$37)</f>
        <v>#N/A</v>
      </c>
      <c r="GA241" s="162" t="e">
        <f t="shared" ca="1" si="739"/>
        <v>#N/A</v>
      </c>
      <c r="GB241" s="162" t="e">
        <f ca="1">IF(Control!$B$34=1,VLOOKUP($CP241,Control!$B$86:$G$91,5),Control!$B$38)</f>
        <v>#N/A</v>
      </c>
      <c r="GC241" s="162" t="e">
        <f t="shared" ca="1" si="862"/>
        <v>#N/A</v>
      </c>
      <c r="GD241" s="162">
        <f t="shared" ca="1" si="740"/>
        <v>1</v>
      </c>
      <c r="GE241" s="162">
        <f t="shared" ca="1" si="741"/>
        <v>1</v>
      </c>
      <c r="GF241" s="162">
        <f ca="1">IF(AND(Control!$C$104=1, Control!$C$62="F"),$GE241,1)</f>
        <v>1</v>
      </c>
      <c r="GG241" s="162" t="e">
        <f ca="1">IF(Control!$B$16=40,0,IF(AND(Control!$B$16&gt;40,Control!$B$16&lt;=360),(Control!$B$16-40)*((1-0)/(360-40)),IF(AND(Control!$B$16&gt;360,Control!$B$16&lt;=720),(1+(Control!$B$16-360)*((1.25-1)/(720-360))),IF(AND(Control!$B$16&gt;720,Control!$B$16&lt;=1000),(1.25+(Control!$B$16-720)*((1.35-1.25)/(1000-720))),IF(AND(Control!$B$16&gt;1000,Control!$B$16&lt;=2000),(1.35+(Control!$B$16-1000)*0))))))</f>
        <v>#N/A</v>
      </c>
      <c r="GH241" s="162" t="e">
        <f t="shared" ca="1" si="742"/>
        <v>#N/A</v>
      </c>
      <c r="GI241" s="162">
        <f t="shared" ca="1" si="863"/>
        <v>0</v>
      </c>
      <c r="GJ241" s="162">
        <f t="shared" ca="1" si="743"/>
        <v>0</v>
      </c>
      <c r="GK241" s="162">
        <f t="shared" ca="1" si="864"/>
        <v>1</v>
      </c>
      <c r="GL241" s="162">
        <f t="shared" ca="1" si="744"/>
        <v>1</v>
      </c>
      <c r="GM241" s="162" t="e">
        <f ca="1">MAX(0,MIN(1,1-Control!$C$156*(1.0001-$KH241)^2))</f>
        <v>#N/A</v>
      </c>
      <c r="GN241" s="162" t="e">
        <f ca="1">IF(Control!$B$26=1,$KU241,$KX241)</f>
        <v>#N/A</v>
      </c>
      <c r="GO241" s="162" t="e">
        <f ca="1">IF($CP241&lt;=60,Control!$C$105,IF($CP241&gt;=90,Control!$C$106,Control!$C$105+($CP241-60)*((Control!$C$106-Control!$C$105)/(90-60))))</f>
        <v>#N/A</v>
      </c>
      <c r="GP241" s="162" t="e">
        <f t="shared" ca="1" si="745"/>
        <v>#N/A</v>
      </c>
      <c r="GQ241" s="162" t="e">
        <f t="shared" ca="1" si="865"/>
        <v>#N/A</v>
      </c>
      <c r="GR241" s="163" t="e">
        <f t="shared" ca="1" si="746"/>
        <v>#DIV/0!</v>
      </c>
      <c r="GS241" s="162" t="e">
        <f t="shared" ca="1" si="747"/>
        <v>#DIV/0!</v>
      </c>
      <c r="GT241" s="164" t="e">
        <f t="shared" ca="1" si="866"/>
        <v>#N/A</v>
      </c>
      <c r="GU241" s="162" t="e">
        <f t="shared" ca="1" si="867"/>
        <v>#N/A</v>
      </c>
      <c r="GV241" s="162" t="e">
        <f t="shared" ca="1" si="748"/>
        <v>#N/A</v>
      </c>
      <c r="GW241" s="162" t="e">
        <f t="shared" ca="1" si="749"/>
        <v>#DIV/0!</v>
      </c>
      <c r="GX241" s="162" t="e">
        <f t="shared" ca="1" si="868"/>
        <v>#DIV/0!</v>
      </c>
      <c r="GY241" s="162" t="e">
        <f t="shared" ca="1" si="869"/>
        <v>#DIV/0!</v>
      </c>
      <c r="GZ241" s="165" t="e">
        <f t="shared" ca="1" si="750"/>
        <v>#N/A</v>
      </c>
      <c r="HA241" s="162" t="e">
        <f ca="1">IF(Control!$C$114=1, $DI241*$FS241, 0)</f>
        <v>#N/A</v>
      </c>
      <c r="HB241" s="162" t="e">
        <f ca="1">$FA241/Control!$C$64</f>
        <v>#N/A</v>
      </c>
      <c r="HC241" s="162" t="e">
        <f t="shared" ca="1" si="751"/>
        <v>#DIV/0!</v>
      </c>
      <c r="HD241" s="162">
        <f ca="1">-ASIN(SIN(23.45*Control!$C$139)*COS(2*Control!$C$138*($AH241+10)/365))</f>
        <v>0.17777139667577782</v>
      </c>
      <c r="HE241" s="165">
        <f t="shared" ca="1" si="870"/>
        <v>0</v>
      </c>
      <c r="HF241" s="166">
        <f ca="1">IF(AND(Control!$C$61="T",$HE241&gt;=Control!$C$103,Control!$C$114=0),$AH241,Control!$C$59)</f>
        <v>1</v>
      </c>
      <c r="HG241" s="166">
        <f ca="1">IF(AND(Control!$C$61="T",$HE241&gt;=Control!$C$103,Control!$C$114=0),$HF241,Control!$C$59)</f>
        <v>1</v>
      </c>
      <c r="HH241" s="165">
        <f ca="1">IF(AND(OR(Control!$C$60&lt;=0, $AH241= Control!$C$59, Control!$C$60 &gt;0, $AH241 = Control!$C$60)), Control!$C$59, IF(Control!$C$60&gt;0, 0))</f>
        <v>1</v>
      </c>
      <c r="HI241" s="165">
        <f ca="1">IF(AND(OR(Control!$C$60&lt;=0, $AH241= Control!$C$59, Control!$C$60 &gt;0, $AH241 = Control!$C$60)), Control!$C$60, IF(Control!$C$60&lt;=0, 0))</f>
        <v>0</v>
      </c>
      <c r="HJ241" s="166">
        <f ca="1">IF(AND(Control!$C$62="F",$CV241&gt;=Control!$C$102),$AH241,0)</f>
        <v>0</v>
      </c>
      <c r="HK241" s="165" t="e">
        <f t="shared" ca="1" si="907"/>
        <v>#N/A</v>
      </c>
      <c r="HL241" s="166">
        <f ca="1">IF(AND(Control!$C$61="T",$HE241&gt;=Control!$C$103,Control!$C$114=0),$HF241,0)</f>
        <v>0</v>
      </c>
      <c r="HM241" s="201" t="e">
        <f t="shared" ca="1" si="752"/>
        <v>#DIV/0!</v>
      </c>
      <c r="HN241" s="215">
        <f t="shared" ca="1" si="871"/>
        <v>237</v>
      </c>
      <c r="HO241" s="216" t="e">
        <f ca="1">IF(AND($CP241&gt;=0, $CP241&lt;=90), Control!$C$152, Control!$C$152)</f>
        <v>#N/A</v>
      </c>
      <c r="HP241" s="216" t="e">
        <f t="shared" ca="1" si="753"/>
        <v>#N/A</v>
      </c>
      <c r="HQ241" s="217" t="e">
        <f ca="1">IF(OR(Control!$B$26=1,Control!$B$26=2),$KV241,$KS241)</f>
        <v>#DIV/0!</v>
      </c>
      <c r="HR241" s="218" t="e">
        <f t="shared" ca="1" si="908"/>
        <v>#DIV/0!</v>
      </c>
      <c r="HS241" s="216" t="e">
        <f ca="1">Control!$C$154*$HP241</f>
        <v>#N/A</v>
      </c>
      <c r="HT241" s="216" t="e">
        <f ca="1">Control!$C$155*$HP241</f>
        <v>#N/A</v>
      </c>
      <c r="HU241" s="217" t="e">
        <f ca="1">Control!$C$161*$FI241</f>
        <v>#N/A</v>
      </c>
      <c r="HV241" s="218" t="e">
        <f t="shared" ca="1" si="872"/>
        <v>#N/A</v>
      </c>
      <c r="HW241" s="218" t="e">
        <f ca="1">Control!$C$160*$FF241+$IP241*$EO241</f>
        <v>#N/A</v>
      </c>
      <c r="HX241" s="218" t="e">
        <f t="shared" ca="1" si="909"/>
        <v>#N/A</v>
      </c>
      <c r="HY241" s="219" t="e">
        <f ca="1">IF(Control!$C$114=1, $EB241*$FS241, 0)</f>
        <v>#N/A</v>
      </c>
      <c r="HZ241" s="91" t="e">
        <f t="shared" ca="1" si="754"/>
        <v>#N/A</v>
      </c>
      <c r="IA241" s="220" t="e">
        <f ca="1">Control!$C$153*$HO241</f>
        <v>#N/A</v>
      </c>
      <c r="IB241" s="218" t="e">
        <f t="shared" ca="1" si="755"/>
        <v>#N/A</v>
      </c>
      <c r="IC241" s="220" t="e">
        <f ca="1">Control!$C$153*$HT241</f>
        <v>#N/A</v>
      </c>
      <c r="ID241" s="218" t="e">
        <f t="shared" ca="1" si="756"/>
        <v>#N/A</v>
      </c>
      <c r="IE241" s="221" t="e">
        <f ca="1">($EB241*Control!$C$159+$EF241*Control!$C$160)/(IF($GZ241&lt;&gt;0,$GZ241,1))</f>
        <v>#N/A</v>
      </c>
      <c r="IF241" s="216" t="e">
        <f t="shared" ca="1" si="757"/>
        <v>#N/A</v>
      </c>
      <c r="IG241" s="91">
        <f ca="1">IF(OR(Control!$B$198=$AH241,Control!$B$199=$AH241, Control!$B$200=$AH241, Control!$B$201=$AH241, Control!$B$202=$AH241, Control!$B$203=$AH241, Control!$B$204=$AH241, Control!$B$205=$AH241, Control!$B$206=$AH241, Control!$B$207=$AH241), 1, 0)</f>
        <v>0</v>
      </c>
      <c r="IH241" s="91">
        <f ca="1">IF($IG241=0,0, VLOOKUP($AH241,Control!$B$198:$C$207,2))</f>
        <v>0</v>
      </c>
      <c r="II241" s="222">
        <f t="shared" ca="1" si="873"/>
        <v>0</v>
      </c>
      <c r="IJ241" s="91">
        <f>Control!$C$121</f>
        <v>0.7</v>
      </c>
      <c r="IK241" s="218">
        <f t="shared" ca="1" si="758"/>
        <v>0</v>
      </c>
      <c r="IL241" s="217" t="e">
        <f t="shared" ca="1" si="910"/>
        <v>#N/A</v>
      </c>
      <c r="IM241" s="223" t="e">
        <f ca="1">IF(AND(Control!$C$114=1,$KH241&lt;1),$EB241*Control!$C$148*(1-$KH241), 0)</f>
        <v>#N/A</v>
      </c>
      <c r="IN241" s="217" t="e">
        <f t="shared" ca="1" si="759"/>
        <v>#DIV/0!</v>
      </c>
      <c r="IO241" s="91" t="e">
        <f ca="1">MAX(0,$IL241-$EF241*Control!$C$160)</f>
        <v>#N/A</v>
      </c>
      <c r="IP241" s="220" t="e">
        <f t="shared" ca="1" si="760"/>
        <v>#N/A</v>
      </c>
      <c r="IQ241" s="217" t="e">
        <f t="shared" ca="1" si="874"/>
        <v>#N/A</v>
      </c>
      <c r="IR241" s="218" t="e">
        <f t="shared" ca="1" si="761"/>
        <v>#N/A</v>
      </c>
      <c r="IS241" s="217" t="e">
        <f ca="1">Control!$C$159*MAX(0,$FD241-$EN241)</f>
        <v>#N/A</v>
      </c>
      <c r="IT241" s="217" t="e">
        <f t="shared" ca="1" si="911"/>
        <v>#N/A</v>
      </c>
      <c r="IU241" s="217" t="e">
        <f t="shared" ca="1" si="875"/>
        <v>#N/A</v>
      </c>
      <c r="IV241" s="217" t="e">
        <f t="shared" ca="1" si="912"/>
        <v>#N/A</v>
      </c>
      <c r="IW241" s="217" t="e">
        <f ca="1">IF(OR($AW241=1,AND($AW241=0, Control!$B$18=1,$EN241&lt;&gt;0)), $IQ241-$IU241, $IQ241)</f>
        <v>#N/A</v>
      </c>
      <c r="IX241" s="218" t="e">
        <f t="shared" ca="1" si="762"/>
        <v>#N/A</v>
      </c>
      <c r="IY241" s="218" t="e">
        <f ca="1">MAX(0,$IQ241-$EB241*Control!$C$159)</f>
        <v>#N/A</v>
      </c>
      <c r="IZ241" s="218" t="e">
        <f t="shared" ca="1" si="763"/>
        <v>#N/A</v>
      </c>
      <c r="JA241" s="216" t="e">
        <f t="shared" ca="1" si="764"/>
        <v>#N/A</v>
      </c>
      <c r="JB241" s="217" t="e">
        <f t="shared" ca="1" si="765"/>
        <v>#N/A</v>
      </c>
      <c r="JC241" s="222" t="e">
        <f ca="1">MAX(Control!$C$157*$EK241-$JT241, 0)/Control!$C$162</f>
        <v>#N/A</v>
      </c>
      <c r="JD241" s="218" t="e">
        <f t="shared" ca="1" si="766"/>
        <v>#N/A</v>
      </c>
      <c r="JE241" s="218" t="e">
        <f t="shared" ca="1" si="767"/>
        <v>#N/A</v>
      </c>
      <c r="JF241" s="218" t="e">
        <f t="shared" ca="1" si="876"/>
        <v>#N/A</v>
      </c>
      <c r="JG241" s="218" t="e">
        <f t="shared" ca="1" si="768"/>
        <v>#N/A</v>
      </c>
      <c r="JH241" s="217" t="e">
        <f t="shared" ca="1" si="877"/>
        <v>#N/A</v>
      </c>
      <c r="JI241" s="217" t="e">
        <f t="shared" ca="1" si="878"/>
        <v>#N/A</v>
      </c>
      <c r="JJ241" s="217" t="e">
        <f t="shared" ca="1" si="913"/>
        <v>#N/A</v>
      </c>
      <c r="JK241" s="217" t="e">
        <f ca="1">IF(Control!$C$114=1,IF(Control!$B$24=0,MAX(0,$JI241)*$GN241/Control!$C$64,(MAX(0,MIN($JI241,$JJ241*$GN241/Control!$C$64),0))))</f>
        <v>#N/A</v>
      </c>
      <c r="JL241" s="217" t="e">
        <f ca="1">$IK241/Control!$C$64-$JK241+$HQ241</f>
        <v>#N/A</v>
      </c>
      <c r="JM241" s="217" t="e">
        <f ca="1">IF(Control!$C$114=1,($JB241/(IF($JI241&lt;&gt;0,$JI241,1)))*$JK241,0)</f>
        <v>#N/A</v>
      </c>
      <c r="JN241" s="217" t="e">
        <f ca="1">IF(Control!$C$114=1,($JG241/(IF($JI241&lt;&gt;0,$JI241,1)))*$JK241, 0)</f>
        <v>#N/A</v>
      </c>
      <c r="JO241" s="218" t="e">
        <f t="shared" ca="1" si="769"/>
        <v>#N/A</v>
      </c>
      <c r="JP241" s="218" t="e">
        <f ca="1">MIN(($IY241+$IO241)*Control!$C$151, $JF241-$EH241*Control!$C$161)</f>
        <v>#N/A</v>
      </c>
      <c r="JQ241" s="218" t="e">
        <f t="shared" ca="1" si="770"/>
        <v>#N/A</v>
      </c>
      <c r="JR241" s="217" t="e">
        <f ca="1">IF($CP241-Control!$C$150&lt;0, 0, $JQ241/Control!$C$162)</f>
        <v>#N/A</v>
      </c>
      <c r="JS241" s="218" t="e">
        <f t="shared" ca="1" si="771"/>
        <v>#N/A</v>
      </c>
      <c r="JT241" s="218" t="e">
        <f t="shared" ca="1" si="879"/>
        <v>#N/A</v>
      </c>
      <c r="JU241" s="218" t="e">
        <f t="shared" ca="1" si="772"/>
        <v>#N/A</v>
      </c>
      <c r="JV241" s="218" t="e">
        <f t="shared" ca="1" si="773"/>
        <v>#N/A</v>
      </c>
      <c r="JW241" s="216" t="e">
        <f t="shared" ca="1" si="774"/>
        <v>#N/A</v>
      </c>
      <c r="JX241" s="91" t="e">
        <f t="shared" ca="1" si="775"/>
        <v>#N/A</v>
      </c>
      <c r="JY241" s="218" t="e">
        <f t="shared" ca="1" si="776"/>
        <v>#N/A</v>
      </c>
      <c r="JZ241" s="217" t="e">
        <f ca="1">IF(Control!$C$114=1,($IZ241/(IF($JI241&lt;&gt;0,$JI241,1)))*$JK241, 0)</f>
        <v>#N/A</v>
      </c>
      <c r="KA241" s="218" t="e">
        <f t="shared" ca="1" si="914"/>
        <v>#N/A</v>
      </c>
      <c r="KB241" s="218" t="e">
        <f t="shared" ca="1" si="880"/>
        <v>#N/A</v>
      </c>
      <c r="KC241" s="218" t="e">
        <f t="shared" ca="1" si="777"/>
        <v>#N/A</v>
      </c>
      <c r="KD241" s="218" t="e">
        <f t="shared" ca="1" si="778"/>
        <v>#N/A</v>
      </c>
      <c r="KE241" s="218" t="e">
        <f t="shared" ca="1" si="779"/>
        <v>#N/A</v>
      </c>
      <c r="KF241" s="218" t="e">
        <f t="shared" ca="1" si="780"/>
        <v>#N/A</v>
      </c>
      <c r="KG241" s="216" t="e">
        <f t="shared" ca="1" si="781"/>
        <v>#N/A</v>
      </c>
      <c r="KH241" s="221" t="e">
        <f ca="1">IF(Control!$B$24=0,1,MAX(0.001,MIN(1,IF(($IF241-$IE241)&lt;&gt;0,($KG241-$IE241)/($IF241-$IE241),1))))</f>
        <v>#N/A</v>
      </c>
      <c r="KI241" s="222" t="e">
        <f ca="1">IF(Control!$C$114=1, $KI240+ $KH240, 0)</f>
        <v>#N/A</v>
      </c>
      <c r="KJ241" s="217" t="e">
        <f t="shared" ca="1" si="782"/>
        <v>#N/A</v>
      </c>
      <c r="KK241" s="218" t="e">
        <f t="shared" ca="1" si="783"/>
        <v>#N/A</v>
      </c>
      <c r="KL241" s="274" t="e">
        <f ca="1">IF(Control!$B$26=3,4000000000*EXP(-8400/($G241+273)),IF(Control!$B$26=4,4000000000*EXP(-8400/($G241+273))*($KT241),0))</f>
        <v>#DIV/0!</v>
      </c>
      <c r="KM241" s="274" t="e">
        <f ca="1">IF(Control!$B$26=3,5600000000000*EXP(-9800/($G241+273)),IF(Control!$B$26=4,5600000000000*EXP(-9800/($G241+273))*$KT241,0))</f>
        <v>#DIV/0!</v>
      </c>
      <c r="KN241" s="454" t="e">
        <f t="shared" ca="1" si="881"/>
        <v>#DIV/0!</v>
      </c>
      <c r="KO241" s="274" t="e">
        <f t="shared" ca="1" si="882"/>
        <v>#DIV/0!</v>
      </c>
      <c r="KP241" s="454" t="e">
        <f t="shared" ca="1" si="784"/>
        <v>#DIV/0!</v>
      </c>
      <c r="KQ241" s="454" t="e">
        <f t="shared" ca="1" si="785"/>
        <v>#DIV/0!</v>
      </c>
      <c r="KR241" s="454" t="e">
        <f t="shared" ca="1" si="786"/>
        <v>#DIV/0!</v>
      </c>
      <c r="KS241" s="454" t="e">
        <f t="shared" ca="1" si="787"/>
        <v>#DIV/0!</v>
      </c>
      <c r="KT241" s="455" t="e">
        <f t="shared" ca="1" si="788"/>
        <v>#DIV/0!</v>
      </c>
      <c r="KU241" s="456" t="e">
        <f ca="1">IF($CP241-Control!$C$149&lt;0, IF($NT241-0.01&lt;0,0,1),0)</f>
        <v>#N/A</v>
      </c>
      <c r="KV241" s="456" t="e">
        <f ca="1">IF(Control!$C$114=1,MAX(0,MIN(Control!$C$125*$KW241*$GN241,$KW241)))</f>
        <v>#DIV/0!</v>
      </c>
      <c r="KW241" s="456" t="e">
        <f t="shared" ca="1" si="915"/>
        <v>#DIV/0!</v>
      </c>
      <c r="KX241" s="457" t="e">
        <f ca="1">IF($CP241-Control!$C$149&lt;0, IF($MR241-$OM241&lt;0,0,1),0)</f>
        <v>#N/A</v>
      </c>
      <c r="KY241" s="167">
        <f t="shared" ca="1" si="883"/>
        <v>237</v>
      </c>
      <c r="KZ241" s="168">
        <f ca="1">1370*(1+0.033*COS(2*Control!$C$138*$AH241/365))</f>
        <v>1343.2694179263103</v>
      </c>
      <c r="LA241" s="169">
        <f t="shared" ca="1" si="884"/>
        <v>0.98048837231950192</v>
      </c>
      <c r="LB241" s="169">
        <f t="shared" ca="1" si="885"/>
        <v>0.17857300103938117</v>
      </c>
      <c r="LC241" s="169">
        <f ca="1">ACOS(-TAN((2*Control!$B$8/360))*TAN(Calculations!$LB241))</f>
        <v>1.6244659636240961</v>
      </c>
      <c r="LD241" s="169">
        <f ca="1">((24*60)/PI())*0.082*$LA241*(($LC241*SIN(Control!$B$8*2*PI()/360))*SIN($LB241)+COS(Control!$B$8*2*PI()/360)*COS($LB241)*SIN($LC241))</f>
        <v>30.675300861702542</v>
      </c>
      <c r="LE241" s="170">
        <f t="shared" ca="1" si="789"/>
        <v>31.056832507972139</v>
      </c>
      <c r="LF241" s="170">
        <f ca="1">SIN(Control!$C$139*Control!$B$8)*SIN($HD241)</f>
        <v>0.13934932094862229</v>
      </c>
      <c r="LG241" s="170">
        <f ca="1">COS(Control!$C$139*Control!$B$8)*COS($HD241)</f>
        <v>0.60595714920801214</v>
      </c>
      <c r="LH241" s="170">
        <f ca="1">12*(1+2*ASIN(MAX(-1,MIN(1,$LF241/$LG241))/Control!$C$138))</f>
        <v>13.758376636993924</v>
      </c>
      <c r="LI241" s="170">
        <f ca="1">12*(1+2*ASIN(MAX(-1,MIN(1,(-SIN(-4*Control!$C$139)+$LF241)/$LG241))/Control!$C$138))</f>
        <v>14.641569669437931</v>
      </c>
      <c r="LJ241" s="168">
        <f ca="1">3600*($LH241*$LF241+24*$LG241*SQRT(1-$LK241*$LK241)/Control!$C$138)</f>
        <v>23120.330213365931</v>
      </c>
      <c r="LK241" s="170">
        <f t="shared" ca="1" si="790"/>
        <v>0.22996563557464794</v>
      </c>
      <c r="LL241" s="170">
        <f t="shared" ca="1" si="791"/>
        <v>0</v>
      </c>
      <c r="LM241" s="171">
        <f ca="1">Control!$C$145*$AB241</f>
        <v>6.6660906138995932E-2</v>
      </c>
      <c r="LN241" s="170">
        <f t="shared" ca="1" si="886"/>
        <v>0.54</v>
      </c>
      <c r="LO241" s="170">
        <f t="shared" ca="1" si="792"/>
        <v>0</v>
      </c>
      <c r="LP241" s="170">
        <f ca="1">Control!$C$140*((($D241+273.16)^4+($E241+273.16)^4)/2)*(0.34-0.14*SQRT($Y241))*(1.35*$AQ241/(0.75*$LD241)-0.35)</f>
        <v>-3.2464704755046001</v>
      </c>
      <c r="LQ241" s="170">
        <f ca="1">Control!$C$140*($G241+273)^4*(0.56-0.079*SQRT($Y241*10))*(0.1+0.9*$LO241)</f>
        <v>1.5241745131704001</v>
      </c>
      <c r="LR241" s="170">
        <f ca="1">$AQ241*(1-Control!$C$142)-$LQ241</f>
        <v>-1.5241745131704001</v>
      </c>
      <c r="LS241" s="170">
        <f ca="1">$AQ241*(1-Control!$C$143)-$LQ241</f>
        <v>-1.5241745131704001</v>
      </c>
      <c r="LT241" s="170">
        <f ca="1">$AQ241*(1-Control!$C$144)-$LQ241</f>
        <v>-1.5241745131704001</v>
      </c>
      <c r="LU241" s="169">
        <f ca="1">(1-Control!$C$144)*AQ241-LP241</f>
        <v>3.2464704755046001</v>
      </c>
      <c r="LV241" s="172">
        <f t="shared" ca="1" si="793"/>
        <v>0.79430000000000012</v>
      </c>
      <c r="LW241" s="170">
        <f t="shared" ca="1" si="794"/>
        <v>1.5886000000000002</v>
      </c>
      <c r="LX241" s="170">
        <f ca="1">($AC241*($LR241/Control!$C$141)+$LM241*$LV241)/($AC241+$LM241)</f>
        <v>0.23530094218323697</v>
      </c>
      <c r="LY241" s="170">
        <f ca="1">($AC241*($LS241/Control!$C$141)+$LM241*$LV241)/($AC241+$LM241)</f>
        <v>0.23530094218323697</v>
      </c>
      <c r="LZ241" s="170">
        <f t="shared" ca="1" si="795"/>
        <v>0.23530094218323697</v>
      </c>
      <c r="MA241" s="170">
        <f t="shared" ca="1" si="796"/>
        <v>0.23530094218323697</v>
      </c>
      <c r="MB241" s="170" t="e">
        <f t="shared" ca="1" si="797"/>
        <v>#N/A</v>
      </c>
      <c r="MC241" s="170">
        <f t="shared" ca="1" si="887"/>
        <v>0.6018</v>
      </c>
      <c r="MD241" s="170">
        <f t="shared" ca="1" si="798"/>
        <v>0.52989392535414004</v>
      </c>
      <c r="ME241" s="170">
        <f ca="1">($AC241*($LT241/Control!$C$141)+$LM241*$LW241)/($AC241+$LM241)</f>
        <v>0.71612369323045078</v>
      </c>
      <c r="MF241" s="170" t="e">
        <f ca="1">IF(Control!$B$16&gt;=1000,0.92,IF(AND(720&lt;=Control!$B$16,1000&gt;Control!$B$16),(0.95+(Control!$B$16-720)*((0.92-0.95)/(1000-720))),IF(AND(360&lt;=Control!$B$16,720&gt;Control!$B$16),(1+(Control!$B$16-360)*((0.95-1)/(720-360))),IF(AND(40&lt;=Control!$B$16,360&gt;Control!$B$16),(1.05+(Control!$B$16-40)*((1.05-1)/(360-40)))))))</f>
        <v>#N/A</v>
      </c>
      <c r="MG241" s="170">
        <f t="shared" ca="1" si="799"/>
        <v>0.71612369323045078</v>
      </c>
      <c r="MH241" s="170" t="e">
        <f t="shared" ca="1" si="925"/>
        <v>#N/A</v>
      </c>
      <c r="MI241" s="170" t="e">
        <f t="shared" ca="1" si="925"/>
        <v>#N/A</v>
      </c>
      <c r="MJ241" s="170" t="e">
        <f ca="1">MAX(0.0001, Control!$C$132*$MI241*$DL241)</f>
        <v>#N/A</v>
      </c>
      <c r="MK241" s="170">
        <f ca="1">1/(0.76+1.5*($MG241/10))-(5-Control!$C$110)*0.1</f>
        <v>1.002845988140797</v>
      </c>
      <c r="ML241" s="173">
        <f ca="1">IF(Control!$C$110&lt;3,$MK241+($MG241-0.6)/(Control!$C$110*(Control!$C$110+3)), MAX(0.1, MIN(0.95,$MK241)))</f>
        <v>0.95</v>
      </c>
      <c r="MM241" s="173">
        <f ca="1">IF(Control!$C$110&lt;3,$MK241+(($MI241/10)-0.6)/(Control!$C$110*(Control!$C$110+3)), MAX(0.1, MIN(0.95,$MK241)))</f>
        <v>0.95</v>
      </c>
      <c r="MN241" s="173">
        <f ca="1">(1-$MM241)*(Control!$C$128-Control!$C$127)+Control!$C$127</f>
        <v>0.16</v>
      </c>
      <c r="MO241" s="170" t="e">
        <f ca="1">MAX(0,MIN(1,($MS241-Control!$C$127)/($MN241-Control!$C$127)))</f>
        <v>#DIV/0!</v>
      </c>
      <c r="MP241" s="173" t="e">
        <f ca="1">1/(0.76+1.5*$MI241)-(5-Control!$C$110)*0.1</f>
        <v>#N/A</v>
      </c>
      <c r="MQ241" s="172" t="e">
        <f t="shared" ca="1" si="916"/>
        <v>#DIV/0!</v>
      </c>
      <c r="MR241" s="168" t="e">
        <f t="shared" ca="1" si="888"/>
        <v>#DIV/0!</v>
      </c>
      <c r="MS241" s="173" t="e">
        <f ca="1">MAX(Control!$C$127, MIN(Control!$C$135, $MR241/MAX(0.0001,$CY241)))</f>
        <v>#DIV/0!</v>
      </c>
      <c r="MT241" s="168" t="e">
        <f ca="1">(Control!$C$128-$MS241)*Control!$C$74</f>
        <v>#DIV/0!</v>
      </c>
      <c r="MU241" s="168" t="e">
        <f ca="1">(Control!$C$135-$MS241)*Control!$C$74</f>
        <v>#DIV/0!</v>
      </c>
      <c r="MV241" s="168" t="e">
        <f t="shared" ca="1" si="889"/>
        <v>#DIV/0!</v>
      </c>
      <c r="MW241" s="168" t="e">
        <f t="shared" ca="1" si="890"/>
        <v>#DIV/0!</v>
      </c>
      <c r="MX241" s="171" t="e">
        <f ca="1">MAX(Control!$C$127, MIN(Control!$C$135, $MW241/MAX(0.0001,Control!$C$119-$CY241)))</f>
        <v>#DIV/0!</v>
      </c>
      <c r="MY241" s="54" t="e">
        <f ca="1">IF(Control!$C$114=1, $CX241*$MX241, 0)</f>
        <v>#DIV/0!</v>
      </c>
      <c r="MZ241" s="54" t="e">
        <f t="shared" ca="1" si="891"/>
        <v>#N/A</v>
      </c>
      <c r="NA241" s="168" t="e">
        <f ca="1">(Control!$C$128-$MX241)*(Control!$C$119-Control!$C$74)</f>
        <v>#DIV/0!</v>
      </c>
      <c r="NB241" s="168" t="e">
        <f ca="1">(Control!$C$135-$MX241)*(Control!$C$119-Control!$C$74)</f>
        <v>#DIV/0!</v>
      </c>
      <c r="NC241" s="174" t="e">
        <f t="shared" ca="1" si="892"/>
        <v>#DIV/0!</v>
      </c>
      <c r="ND241" s="54">
        <f ca="1">IF(Control!$C$58=2, IF(OR(Control!$B$218=$AH241,Control!$B$219=$AH241, Control!$B$220=$AH241, Control!$B$221=$AH241, Control!$B$222=$AH241, Control!$B$223=$AH241, Control!$B$224=$AH241, Control!$B$225=$AH241, Control!$B$226=$AH241, Control!$B$227=$AH241, Control!$B$228=$AH241), 1, 0), 0)</f>
        <v>0</v>
      </c>
      <c r="NE241" s="54">
        <f ca="1">IF($ND241=0,0, VLOOKUP($AH241,Control!$B$218:$C$228,2))</f>
        <v>0</v>
      </c>
      <c r="NF241" s="168" t="e">
        <f ca="1">$CY241*(Control!$C$128-Control!$C$127)</f>
        <v>#N/A</v>
      </c>
      <c r="NG241" s="54" t="e">
        <f ca="1">IF(Control!$C$58=2, $NI240-$NJ240, 0)</f>
        <v>#DIV/0!</v>
      </c>
      <c r="NH241" s="54" t="e">
        <f ca="1">IF(AND(Control!$C$58=1, $MS240&lt;= ($MN240+0.02), $I240&lt;10), 0, IF(Control!$C$58=2, $NG240, 0))</f>
        <v>#DIV/0!</v>
      </c>
      <c r="NI241" s="54" t="e">
        <f ca="1">IF(Control!$C$58=2, $NE241+$NH241,0)</f>
        <v>#DIV/0!</v>
      </c>
      <c r="NJ241" s="54" t="e">
        <f ca="1">IF(AND(Control!$C$58=1, $MS241&lt;= ($MN241+0.02), $I241&lt;10), MAX(0, MIN(10, 0.7*($NF241-$MV241))), IF(Control!$C$58=2, MIN(10,$NI241),0))</f>
        <v>#DIV/0!</v>
      </c>
      <c r="NK241" s="54" t="e">
        <f t="shared" ca="1" si="800"/>
        <v>#DIV/0!</v>
      </c>
      <c r="NL241" s="173" t="e">
        <f ca="1">(1-Control!$C$73)*$I241+$NJ241</f>
        <v>#DIV/0!</v>
      </c>
      <c r="NM241" s="172" t="e">
        <f ca="1">IF($NL241&lt;0.5, $MB241* MAX(0, MIN(1, (SQRT($NC241)-SQRT($NC241-1))*Control!$C$71)),0)</f>
        <v>#DIV/0!</v>
      </c>
      <c r="NN241" s="170" t="e">
        <f ca="1">IF($NL241&gt;=5, $MB241, MAX(0,MIN($MB241, $NM241+$NL241,($MS241-Control!$C$129))))</f>
        <v>#DIV/0!</v>
      </c>
      <c r="NO241" s="54">
        <f>IF(Control!$C$133&lt;&gt;1, Control!$C$135-Control!$C$131, 0)</f>
        <v>0.38</v>
      </c>
      <c r="NP241" s="54" t="e">
        <f t="shared" ca="1" si="801"/>
        <v>#DIV/0!</v>
      </c>
      <c r="NQ241" s="173" t="e">
        <f ca="1">MAX(0,MIN(1,(Control!$C$135-$MS241)/(Control!$C$135-$NO241)))</f>
        <v>#DIV/0!</v>
      </c>
      <c r="NR241" s="170" t="e">
        <f ca="1">IF(Control!$C$133&lt;&gt;1, $NQ241+((1-$NP241/4)*(1-$NQ241)),1)</f>
        <v>#DIV/0!</v>
      </c>
      <c r="NS241" s="170" t="e">
        <f ca="1">IF(Control!$B$31=0,$MJ241,MAX(0,MIN($MV241,$MO241*$NR241*$MJ241)))</f>
        <v>#DIV/0!</v>
      </c>
      <c r="NT241" s="170" t="e">
        <f t="shared" ca="1" si="917"/>
        <v>#DIV/0!</v>
      </c>
      <c r="NU241" s="170" t="e">
        <f t="shared" ca="1" si="893"/>
        <v>#N/A</v>
      </c>
      <c r="NV241" s="170" t="e">
        <f t="shared" ca="1" si="802"/>
        <v>#N/A</v>
      </c>
      <c r="NW241" s="175" t="e">
        <f t="shared" ca="1" si="803"/>
        <v>#DIV/0!</v>
      </c>
      <c r="NX241" s="170" t="e">
        <f ca="1">MIN(Control!$C$72+$MU241, $NW241)</f>
        <v>#DIV/0!</v>
      </c>
      <c r="NY241" s="170" t="e">
        <f ca="1">IF($MT241&lt;=$NX241,MIN(Control!$C$72+$NB241,$NX241-$MT241),0)</f>
        <v>#DIV/0!</v>
      </c>
      <c r="NZ241" s="54" t="e">
        <f ca="1">IF(Control!$C$114=1,  $CX241*($MX241-Control!$C$127), 0)</f>
        <v>#DIV/0!</v>
      </c>
      <c r="OA241" s="170" t="e">
        <f t="shared" ca="1" si="804"/>
        <v>#DIV/0!</v>
      </c>
      <c r="OB241" s="170" t="e">
        <f ca="1">IF($NA241 &lt;=$NY241, MIN(Control!$C$72, $NY241-$NA241), 0)</f>
        <v>#DIV/0!</v>
      </c>
      <c r="OC241" s="168" t="e">
        <f t="shared" ca="1" si="805"/>
        <v>#DIV/0!</v>
      </c>
      <c r="OD241" s="168" t="e">
        <f t="shared" ca="1" si="894"/>
        <v>#DIV/0!</v>
      </c>
      <c r="OE241" s="170">
        <f ca="1">Control!$C$73*$I241</f>
        <v>0</v>
      </c>
      <c r="OF241" s="176" t="e">
        <f t="shared" ca="1" si="806"/>
        <v>#DIV/0!</v>
      </c>
      <c r="OG241" s="168" t="e">
        <f t="shared" ca="1" si="807"/>
        <v>#DIV/0!</v>
      </c>
      <c r="OH241" s="168" t="e">
        <f t="shared" ca="1" si="808"/>
        <v>#DIV/0!</v>
      </c>
      <c r="OI241" s="168" t="e">
        <f t="shared" ca="1" si="809"/>
        <v>#DIV/0!</v>
      </c>
      <c r="OJ241" s="168" t="e">
        <f t="shared" ca="1" si="810"/>
        <v>#DIV/0!</v>
      </c>
      <c r="OK241" s="204" t="e">
        <f t="shared" ca="1" si="811"/>
        <v>#DIV/0!</v>
      </c>
      <c r="OL241" s="177">
        <f>Control!$C$127</f>
        <v>0.15</v>
      </c>
      <c r="OM241" s="182" t="e">
        <f t="shared" ca="1" si="812"/>
        <v>#N/A</v>
      </c>
      <c r="ON241" s="177">
        <f>Control!$C$128</f>
        <v>0.35</v>
      </c>
      <c r="OO241" s="182" t="e">
        <f t="shared" ca="1" si="813"/>
        <v>#N/A</v>
      </c>
      <c r="OP241" s="138">
        <f t="shared" ca="1" si="895"/>
        <v>0</v>
      </c>
      <c r="OQ241" s="138" t="e">
        <f t="shared" ca="1" si="918"/>
        <v>#DIV/0!</v>
      </c>
      <c r="OR241" s="138" t="e">
        <f t="shared" ca="1" si="896"/>
        <v>#DIV/0!</v>
      </c>
      <c r="OS241" s="137" t="e">
        <f t="shared" ca="1" si="919"/>
        <v>#DIV/0!</v>
      </c>
      <c r="OT241" s="139" t="e">
        <f t="shared" ca="1" si="920"/>
        <v>#DIV/0!</v>
      </c>
      <c r="OU241" s="138" t="e">
        <f t="shared" ca="1" si="921"/>
        <v>#N/A</v>
      </c>
      <c r="OV241" s="138" t="e">
        <f t="shared" ca="1" si="922"/>
        <v>#DIV/0!</v>
      </c>
      <c r="OW241" s="138" t="e">
        <f t="shared" ca="1" si="897"/>
        <v>#DIV/0!</v>
      </c>
      <c r="OX241" s="138" t="e">
        <f t="shared" ca="1" si="898"/>
        <v>#DIV/0!</v>
      </c>
      <c r="OY241" s="138" t="e">
        <f t="shared" ca="1" si="899"/>
        <v>#DIV/0!</v>
      </c>
      <c r="OZ241" s="138" t="e">
        <f t="shared" ca="1" si="814"/>
        <v>#DIV/0!</v>
      </c>
      <c r="PA241" s="138" t="e">
        <f t="shared" ca="1" si="815"/>
        <v>#DIV/0!</v>
      </c>
      <c r="PB241" s="55">
        <f>IF(Control!$C$61="T", IF(Control!$C$65="F", IF($AH$6-Control!$C$60&lt;0,0,1), IF(365+$AH$6-Control!$C$60&lt;0,0,1)),0)</f>
        <v>0</v>
      </c>
      <c r="PC241" s="55">
        <f ca="1">IF(Control!$C$65="F", IF($AH$6-$HF241&lt;0,0,1), IF(365+$AH$6-$HF241&lt;0,0,1))</f>
        <v>1</v>
      </c>
      <c r="PD241" s="444">
        <f>Control!$C$118</f>
        <v>1500</v>
      </c>
      <c r="PE241" s="180" t="e">
        <f t="shared" ca="1" si="816"/>
        <v>#N/A</v>
      </c>
      <c r="PF241" s="445">
        <f t="shared" ca="1" si="900"/>
        <v>0.71612369323045078</v>
      </c>
      <c r="PT241" s="186"/>
      <c r="PU241" s="186"/>
      <c r="PV241" s="94"/>
      <c r="PW241" s="94"/>
      <c r="PX241" s="94"/>
      <c r="PY241" s="94"/>
      <c r="PZ241" s="94"/>
      <c r="QA241" s="94"/>
      <c r="QB241" s="94"/>
      <c r="QC241" s="94"/>
      <c r="QD241" s="94"/>
      <c r="QE241" s="94"/>
      <c r="QF241" s="94"/>
      <c r="QG241" s="94"/>
      <c r="QH241" s="94"/>
      <c r="QI241" s="94"/>
      <c r="QJ241" s="94"/>
      <c r="QK241" s="94"/>
      <c r="QL241" s="94"/>
      <c r="QM241" s="94"/>
      <c r="QN241" s="94"/>
      <c r="QO241" s="94"/>
      <c r="QP241" s="94"/>
    </row>
    <row r="242" spans="1:458" s="2" customFormat="1" x14ac:dyDescent="0.2">
      <c r="A242" s="395">
        <v>25</v>
      </c>
      <c r="B242" s="396">
        <v>8</v>
      </c>
      <c r="C242" s="387">
        <f ca="1">Weather_data!$B241</f>
        <v>0</v>
      </c>
      <c r="D242" s="388">
        <f ca="1">Weather_data!$F241</f>
        <v>0</v>
      </c>
      <c r="E242" s="388">
        <f ca="1">Weather_data!$E241</f>
        <v>0</v>
      </c>
      <c r="F242" s="388">
        <f t="shared" ca="1" si="817"/>
        <v>0</v>
      </c>
      <c r="G242" s="388">
        <f ca="1">AVERAGE($D242:$E242)+Control!$B$9</f>
        <v>0</v>
      </c>
      <c r="H242" s="388">
        <f ca="1">Weather_data!$G241</f>
        <v>0</v>
      </c>
      <c r="I242" s="388">
        <f ca="1">Weather_data!$I241</f>
        <v>0</v>
      </c>
      <c r="J242" s="388">
        <f ca="1">Weather_data!$H241</f>
        <v>0</v>
      </c>
      <c r="K242" s="389">
        <f ca="1">Weather_data!$D241</f>
        <v>0</v>
      </c>
      <c r="L242" s="388" t="e">
        <f t="shared" ca="1" si="818"/>
        <v>#N/A</v>
      </c>
      <c r="M242" s="388" t="e">
        <f t="shared" ca="1" si="696"/>
        <v>#N/A</v>
      </c>
      <c r="N242" s="388">
        <f t="shared" ca="1" si="697"/>
        <v>-7.9469820490470299E-12</v>
      </c>
      <c r="O242" s="388">
        <f t="shared" ca="1" si="819"/>
        <v>7.9469820490470305E-11</v>
      </c>
      <c r="P242" s="390">
        <v>3</v>
      </c>
      <c r="Q242" s="388">
        <f ca="1">MAX($G242-Control!$C$107,0)</f>
        <v>0</v>
      </c>
      <c r="R242" s="388">
        <f t="shared" ca="1" si="820"/>
        <v>0</v>
      </c>
      <c r="S242" s="388">
        <f t="shared" ca="1" si="698"/>
        <v>0</v>
      </c>
      <c r="T242" s="388">
        <f t="shared" ca="1" si="699"/>
        <v>0</v>
      </c>
      <c r="U242" s="59">
        <f t="shared" ca="1" si="700"/>
        <v>0</v>
      </c>
      <c r="V242" s="391">
        <f ca="1">MAX(0,MIN(Control!$C$100-Control!$C$99,$G242-Control!$C$99)*Control!$C$63)</f>
        <v>0</v>
      </c>
      <c r="W242" s="388">
        <f t="shared" ca="1" si="821"/>
        <v>0</v>
      </c>
      <c r="X242" s="388">
        <f t="shared" ca="1" si="822"/>
        <v>0.6110000000000001</v>
      </c>
      <c r="Y242" s="388">
        <f t="shared" ca="1" si="701"/>
        <v>0</v>
      </c>
      <c r="Z242" s="388">
        <f t="shared" ca="1" si="823"/>
        <v>0.61058800000000002</v>
      </c>
      <c r="AA242" s="388">
        <f t="shared" ca="1" si="702"/>
        <v>0.6018</v>
      </c>
      <c r="AB242" s="388">
        <f ca="1">101.3*EXP(-0.034*Control!$C$66/($G242+273))</f>
        <v>100.69623283836242</v>
      </c>
      <c r="AC242" s="392">
        <f t="shared" ca="1" si="703"/>
        <v>4.3460251046025113E-2</v>
      </c>
      <c r="AD242" s="392">
        <f t="shared" ca="1" si="704"/>
        <v>4.4450382862832649E-2</v>
      </c>
      <c r="AE242" s="388">
        <f t="shared" ca="1" si="705"/>
        <v>0</v>
      </c>
      <c r="AF242" s="388">
        <f ca="1">MAX(0,$G242-Control!$C$92)</f>
        <v>0</v>
      </c>
      <c r="AG242" s="393">
        <f t="shared" ca="1" si="706"/>
        <v>238</v>
      </c>
      <c r="AH242" s="389">
        <f t="shared" ca="1" si="707"/>
        <v>238</v>
      </c>
      <c r="AI242" s="388">
        <f t="shared" ca="1" si="824"/>
        <v>0.17151340881995183</v>
      </c>
      <c r="AJ242" s="388">
        <f ca="1">IF(Control!$C$60&lt;=0,$HH242,$HI242)</f>
        <v>1</v>
      </c>
      <c r="AK242" s="388">
        <f t="shared" ca="1" si="708"/>
        <v>2.7198445987243143</v>
      </c>
      <c r="AL242" s="388">
        <f t="shared" ca="1" si="709"/>
        <v>-1.009874475710326E-17</v>
      </c>
      <c r="AM242" s="388">
        <f t="shared" ca="1" si="710"/>
        <v>2.7198445987243143</v>
      </c>
      <c r="AN242" s="388">
        <f t="shared" ca="1" si="711"/>
        <v>0.16357021804394192</v>
      </c>
      <c r="AO242" s="388">
        <f ca="1">-0.10453/COS(Control!$B$8*PI()/180)*COS(AN242)</f>
        <v>-0.16751860846630032</v>
      </c>
      <c r="AP242" s="388">
        <f ca="1">ACOS(AO242-TAN(Control!$B$8*PI()/180)*TAN(AN242))</f>
        <v>1.959259240940372</v>
      </c>
      <c r="AQ242" s="388">
        <f t="shared" ca="1" si="825"/>
        <v>0</v>
      </c>
      <c r="AR242" s="394">
        <f t="shared" ca="1" si="712"/>
        <v>0</v>
      </c>
      <c r="AS242" s="436">
        <f ca="1">IF(Control!$B$18=2,(IF(OR($AH242=Control!$B$175,$AH242=Control!$B$176,$AH242=Control!$B$177,$AH242=Control!$B$178,$AH242=Control!$B$179,$AH242=Control!$B$180,$AH242=Control!$B$181,$AH242=Control!$B$182,$AH242=Control!$B$183,$AH242=Control!$B$184,$AH242=Control!$B$185),1,0)),0)</f>
        <v>0</v>
      </c>
      <c r="AT242" s="436">
        <f>IF(Control!$B$20=8,IF(AND($AH242&gt;=Control!$B$172,$AH242&lt;=Control!$B$173),1,0),0)</f>
        <v>0</v>
      </c>
      <c r="AU242" s="436">
        <f>IF(Control!$B$20=8,IF($AV241=1,1*$AT242,IF($AT242=1,$AU241+1,$AU241)),0)</f>
        <v>0</v>
      </c>
      <c r="AV242" s="436">
        <f>IF(Control!$B$20=8,IF($AU242&gt;=Control!$B$174,1,0),0)</f>
        <v>0</v>
      </c>
      <c r="AW242" s="436">
        <f ca="1">IF(AND(Control!$B$18=2,Control!$B$171=1), $AV242, $AS242)</f>
        <v>0</v>
      </c>
      <c r="AX242" s="436" t="e">
        <f ca="1">IF(AND(Control!$B$18=1,$EU242&gt;=Control!$B$19),-$AY242,IF(AND(Control!$B$18=2,$AW242=1,$EU242&gt;$DS242),-$AY242, IF(Control!$C$108=0,0, IF(Control!$C$108&lt;&gt;0,1))))</f>
        <v>#N/A</v>
      </c>
      <c r="AY242" s="436" t="e">
        <f t="shared" ca="1" si="826"/>
        <v>#N/A</v>
      </c>
      <c r="AZ242" s="436" t="e">
        <f ca="1">IF(AND(Control!$B$18=1,$EB242&gt;Control!$B$19),$AZ241+1, IF(AND(Control!$B$18=2, $AW242=1, $EB242&gt;$DS242), $AZ241+1,$AZ241))</f>
        <v>#N/A</v>
      </c>
      <c r="BA242" s="587">
        <f>IF(Control!$C$81=0,1,IF($AH242&gt;=Control!$C$82,1,0))</f>
        <v>1</v>
      </c>
      <c r="BB242" s="140" t="e">
        <f ca="1">IF($BA242&gt;$BA241,Control!$C$83,IF($AW242&gt;0,$AW242*Control!$C$84,IF(AND(Control!$B$18=1,EN241&lt;&gt;0),Control!$C$84,0)))</f>
        <v>#N/A</v>
      </c>
      <c r="BC242" s="140" t="e">
        <f t="shared" ca="1" si="827"/>
        <v>#N/A</v>
      </c>
      <c r="BD242" s="140" t="e">
        <f ca="1">BC242*IF(OR($G242&lt;Control!$C$92,$G242&gt;Control!$C$95),0,IF(AND($G242&gt;=Control!$C$92,$G242&lt;=Control!$C$93),$G242-Control!$C$92,IF(AND($G242&gt;Control!$C$93,$G242&lt;=Control!$C$94),Control!$C$93-Control!$C$92,IF(AND($G242&gt;Control!$C$94,$G242&lt;=Control!$C$95),(Control!$C$93-Control!$C$92)*(Control!$C$94-$G242)/(Control!$C$95-Control!$C$94)))))</f>
        <v>#N/A</v>
      </c>
      <c r="BE242" s="140" t="e">
        <f t="shared" ca="1" si="828"/>
        <v>#N/A</v>
      </c>
      <c r="BF242" s="140" t="e">
        <f ca="1">IF($BE242&lt;=Control!$C$86,$BE242,Control!$C$86-$BE242)</f>
        <v>#N/A</v>
      </c>
      <c r="BG242" s="140" t="e">
        <f ca="1">IF(AND($AW242=1,Control!$C$84&lt;9),1,IF($BE242&gt;=Control!$C$86,0,$BC242))</f>
        <v>#N/A</v>
      </c>
      <c r="BH242" s="404" t="e">
        <f ca="1">IF($BG242=0,0,IF($BE242&lt;=Control!$C$86,$BC242*9*($BF242/Control!$C$86),0))</f>
        <v>#N/A</v>
      </c>
      <c r="BI242" s="140" t="e">
        <f ca="1">IF($BG242=1,0,IF($BE242&gt;=Control!$C$86,1,IF(AND($BB242&lt;21,$BB242&gt;=9),1,$BM241)))</f>
        <v>#N/A</v>
      </c>
      <c r="BJ242" s="140" t="e">
        <f ca="1">IF($BF242&lt;0,-$BF242,$BI242*IF(OR($G242&lt;Control!$C$92,$G242&gt;Control!$C$95),0,IF(AND($G242&gt;=Control!$C$92,$G242&lt;=Control!$C$93),$G242-Control!$C$92,IF(AND($G242&gt;Control!$C$93,$G242&lt;=Control!$C$94),Control!$C$93-Control!$C$92,IF(AND($G242&gt;Control!$C$94,$G242&lt;=Control!$C$95),(Control!$C$93-Control!$C$92)*(Control!$C$94-$G242)/(Control!$C$95-Control!$C$94))))))</f>
        <v>#N/A</v>
      </c>
      <c r="BK242" s="140" t="e">
        <f t="shared" ca="1" si="829"/>
        <v>#N/A</v>
      </c>
      <c r="BL242" s="140" t="e">
        <f ca="1">IF($BK242&lt;=Control!$C$87,$BK242,Control!$C$87-$BK242)</f>
        <v>#N/A</v>
      </c>
      <c r="BM242" s="140" t="e">
        <f ca="1">IF(AND($BB242&gt;=9,$BB242&lt;21),1,IF($BK242&gt;=Control!$C$87,0,$BI242))</f>
        <v>#N/A</v>
      </c>
      <c r="BN242" s="404" t="e">
        <f ca="1">IF($BM242=0,0,IF($BK242&lt;=Control!$C$87,$BI242*(9+(21-9)*($BL242/Control!$C$87)),0))</f>
        <v>#N/A</v>
      </c>
      <c r="BO242" s="140" t="e">
        <f ca="1">IF($BM242=1,0,IF($BK242&gt;=Control!$C$87,1,IF(AND($BB242&lt;30,$BB242&gt;=21),1,$BS241)))</f>
        <v>#N/A</v>
      </c>
      <c r="BP242" s="140" t="e">
        <f ca="1">IF($BL242&lt;0,-$BL242,$BO242*IF(OR($G242&lt;Control!$C$92,$G242&gt;Control!$C$95),0,IF(AND($G242&gt;=Control!$C$92,$G242&lt;=Control!$C$93),$G242-Control!$C$92,IF(AND($G242&gt;Control!$C$93,$G242&lt;=Control!$C$94),Control!$C$93-Control!$C$92,IF(AND($G242&gt;Control!$C$94,$G242&lt;=Control!$C$95),(Control!$C$93-Control!$C$92)*(Control!$C$94-$G242)/(Control!$C$95-Control!$C$94))))))</f>
        <v>#N/A</v>
      </c>
      <c r="BQ242" s="140" t="e">
        <f t="shared" ca="1" si="713"/>
        <v>#N/A</v>
      </c>
      <c r="BR242" s="140" t="e">
        <f ca="1">IF($BQ242&lt;=Control!$C$88,$BQ242,Control!$C$88-$BQ242)</f>
        <v>#N/A</v>
      </c>
      <c r="BS242" s="140" t="e">
        <f ca="1">IF(AND($BB242&gt;=21,$BB242&lt;30),1,IF($BQ242&gt;=Control!$C$88,0,$BO242))</f>
        <v>#N/A</v>
      </c>
      <c r="BT242" s="404" t="e">
        <f ca="1">IF($BS242=0,0,IF($BQ242&lt;=Control!$C$88,$BO242*(21+(30-21)*(BR242/Control!$C$88)),0))</f>
        <v>#N/A</v>
      </c>
      <c r="BU242" s="140" t="e">
        <f ca="1">IF(BG242+BM242+BS242=1,0,IF(OR(AND($BB242&lt;60,$BB242&gt;=30),$BQ242&gt;=Control!$C$88),1*$BA242,$BY241))</f>
        <v>#N/A</v>
      </c>
      <c r="BV242" s="140" t="e">
        <f ca="1">IF($BR242&lt;0,-$BR242,$BU242*IF(OR($G242&lt;Control!$C$92,$G242&gt;Control!$C$95),0,IF(AND($G242&gt;=Control!$C$92,$G242&lt;=Control!$C$93),$G242-Control!$C$92,IF(AND($G242&gt;Control!$C$93,$G242&lt;=Control!$C$94),Control!$C$93-Control!$C$92,IF(AND($G242&gt;Control!$C$94,$G242&lt;=Control!$C$95),(Control!$C$93-Control!$C$92)*(Control!$C$94-$G242)/(Control!$C$95-Control!$C$94))))))</f>
        <v>#N/A</v>
      </c>
      <c r="BW242" s="140" t="e">
        <f t="shared" ca="1" si="714"/>
        <v>#N/A</v>
      </c>
      <c r="BX242" s="140" t="e">
        <f ca="1">IF($BW242&lt;=Control!$C$89,$BW242,Control!$C$89-$BW242)</f>
        <v>#N/A</v>
      </c>
      <c r="BY242" s="140" t="e">
        <f ca="1">IF(AND($AJ242&gt;=30,$AJ242&lt;60),1,IF($BW242&gt;=Control!$C$89,0,$BU242))</f>
        <v>#N/A</v>
      </c>
      <c r="BZ242" s="404" t="e">
        <f ca="1">IF($BY242=0,0,IF($BW242&lt;=Control!$C$89,$BU242*(30+(60-30)*(BX242/Control!$C$89)),0))</f>
        <v>#N/A</v>
      </c>
      <c r="CA242" s="140" t="e">
        <f ca="1">IF($BG242+$BM242+$BS242+$BY242=1,0,IF(OR(AND($BB242&lt;65,$BB242&gt;=60),$BW242&gt;=Control!$C$89),1*$BA242,$CE241))</f>
        <v>#N/A</v>
      </c>
      <c r="CB242" s="140" t="e">
        <f ca="1">IF($BX242&lt;0,-$BX242,$CA242*IF(OR($G242&lt;Control!$C$92,$G242&gt;Control!$C$95),0,IF(AND($G242&gt;=Control!$C$92,$G242&lt;=Control!$C$93),$G242-Control!$C$92,IF(AND($G242&gt;Control!$C$93,$G242&lt;=Control!$C$94),Control!$C$93-Control!$C$92,IF(AND($G242&gt;Control!$C$94,$G242&lt;=Control!$C$95),(Control!$C$93-Control!$C$92)*(Control!$C$94-$G242)/(Control!$C$95-Control!$C$94))))))</f>
        <v>#N/A</v>
      </c>
      <c r="CC242" s="140" t="e">
        <f t="shared" ca="1" si="830"/>
        <v>#N/A</v>
      </c>
      <c r="CD242" s="140" t="e">
        <f ca="1">IF($CC242&lt;=Control!$C$90,$CC242,Control!$C$90-$CC242)</f>
        <v>#N/A</v>
      </c>
      <c r="CE242" s="140" t="e">
        <f ca="1">IF(AND($BB242&gt;=60,$BB242&lt;65),1,IF($CC242&gt;=Control!$C$90,0,$CA242))</f>
        <v>#N/A</v>
      </c>
      <c r="CF242" s="404" t="e">
        <f ca="1">IF($CE242=0,0,IF($CC242&lt;=Control!$C$90,$CA242*(60+(65-60)*(CD242/Control!$C$90)),0))</f>
        <v>#N/A</v>
      </c>
      <c r="CG242" s="140" t="e">
        <f ca="1">IF($BG242+$BM242+$BS242+$BY242+$CE242=1,0,IF(OR(AND($BB242&lt;90,$BB242&gt;=65),$CC242&gt;=Control!$C$90),$BA242,$CK241))</f>
        <v>#N/A</v>
      </c>
      <c r="CH242" s="140" t="e">
        <f ca="1">IF($CD242&lt;0,-$CD242,$CG242*IF(OR($G242&lt;Control!$C$92,$G242&gt;Control!$C$95),0,IF(AND($G242&gt;=Control!$C$92,$G242&lt;=Control!$C$93),$G242-Control!$C$92,IF(AND($G242&gt;Control!$C$93,$G242&lt;=Control!$C$94),Control!$C$93-Control!$C$92,IF(AND($G242&gt;Control!$C$94,$G242&lt;=Control!$C$95),(Control!$C$93-Control!$C$92)*(Control!$C$94-$G242)/(Control!$C$95-Control!$C$94))))))</f>
        <v>#N/A</v>
      </c>
      <c r="CI242" s="140" t="e">
        <f t="shared" ca="1" si="831"/>
        <v>#N/A</v>
      </c>
      <c r="CJ242" s="140" t="e">
        <f ca="1">IF($CI242&lt;=Control!$C$91,$CI242,Control!$C$91-$CI242)</f>
        <v>#N/A</v>
      </c>
      <c r="CK242" s="140" t="e">
        <f ca="1">IF(AND($BB242&gt;=65,$BB242&lt;90),1,IF($CI242&gt;=Control!$C$91,0,$CG242))</f>
        <v>#N/A</v>
      </c>
      <c r="CL242" s="404" t="e">
        <f ca="1">IF($CK242=0,0,IF($CI242&lt;=Control!$C$91,$CG242*(65+(90-65)*($CJ242/Control!$C$91)),0))</f>
        <v>#N/A</v>
      </c>
      <c r="CM242" s="140" t="e">
        <f ca="1">IF($BG242+$BM242+$BS242+$BY242+$CE242+$CK242=1,0,IF(OR($BB242&gt;=90,$CI242&gt;=Control!$C$91),$BA242,$CM241))</f>
        <v>#N/A</v>
      </c>
      <c r="CN242" s="140" t="e">
        <f t="shared" ca="1" si="832"/>
        <v>#N/A</v>
      </c>
      <c r="CO242" s="140" t="e">
        <f t="shared" ca="1" si="833"/>
        <v>#N/A</v>
      </c>
      <c r="CP242" s="140" t="e">
        <f t="shared" ca="1" si="834"/>
        <v>#N/A</v>
      </c>
      <c r="CQ242" s="141" t="e">
        <f ca="1">VLOOKUP($CP242,Control!$B$86:$G$91,6)</f>
        <v>#N/A</v>
      </c>
      <c r="CR242" s="141" t="e">
        <f ca="1">(1-$CQ242)*VLOOKUP($CP242,Control!$B$86:$D$91,3)</f>
        <v>#N/A</v>
      </c>
      <c r="CS242" s="141" t="e">
        <f ca="1">(1-$CQ242)*VLOOKUP($CP242,Control!$B$86:$E$91,4)</f>
        <v>#N/A</v>
      </c>
      <c r="CT242" s="141" t="e">
        <f ca="1">(1-$CQ242)*VLOOKUP($CP242,Control!$B$86:$F$91,5)</f>
        <v>#N/A</v>
      </c>
      <c r="CU242" s="141">
        <f t="shared" ca="1" si="835"/>
        <v>0</v>
      </c>
      <c r="CV242" s="583">
        <f t="shared" ca="1" si="836"/>
        <v>0</v>
      </c>
      <c r="CW242" s="142">
        <f t="shared" ca="1" si="837"/>
        <v>238</v>
      </c>
      <c r="CX242" s="612" t="e">
        <f ca="1">IF(Control!$C$114=1,(MIN(Control!$C$120*(IF($NT242-0.01&lt;0,0,1)),Control!$C$119-$CY242)))</f>
        <v>#DIV/0!</v>
      </c>
      <c r="CY242" s="143" t="e">
        <f t="shared" ca="1" si="838"/>
        <v>#N/A</v>
      </c>
      <c r="CZ242" s="144">
        <f t="shared" ca="1" si="715"/>
        <v>0</v>
      </c>
      <c r="DA242" s="144">
        <f t="shared" ca="1" si="716"/>
        <v>0</v>
      </c>
      <c r="DB242" s="144" t="e">
        <f t="shared" ca="1" si="717"/>
        <v>#N/A</v>
      </c>
      <c r="DC242" s="144" t="e">
        <f t="shared" ca="1" si="718"/>
        <v>#N/A</v>
      </c>
      <c r="DD242" s="144" t="e">
        <f t="shared" ca="1" si="923"/>
        <v>#N/A</v>
      </c>
      <c r="DE242" s="143" t="e">
        <f t="shared" ca="1" si="839"/>
        <v>#N/A</v>
      </c>
      <c r="DF242" s="145" t="e">
        <f ca="1">$DR242*EXP(-Control!$C$158*(1-$KH242))</f>
        <v>#N/A</v>
      </c>
      <c r="DG242" s="146" t="e">
        <f ca="1">IF(Control!$C$114=1, $DF242*$EY242, 0)</f>
        <v>#N/A</v>
      </c>
      <c r="DH242" s="147" t="e">
        <f t="shared" ca="1" si="840"/>
        <v>#N/A</v>
      </c>
      <c r="DI242" s="144" t="e">
        <f t="shared" ca="1" si="901"/>
        <v>#N/A</v>
      </c>
      <c r="DJ242" s="147" t="e">
        <f ca="1">$EF242*Control!$C$109</f>
        <v>#N/A</v>
      </c>
      <c r="DK242" s="144" t="e">
        <f t="shared" ca="1" si="841"/>
        <v>#N/A</v>
      </c>
      <c r="DL242" s="144" t="e">
        <f t="shared" ca="1" si="719"/>
        <v>#N/A</v>
      </c>
      <c r="DM242" s="144" t="e">
        <f ca="1">IF(Control!$C$114=1, (1-EXP(-Control!$C$96*$DK242))*$AR242, 0)</f>
        <v>#N/A</v>
      </c>
      <c r="DN242" s="144">
        <f t="shared" ca="1" si="842"/>
        <v>0</v>
      </c>
      <c r="DO242" s="148">
        <f>Control!$C$97</f>
        <v>4</v>
      </c>
      <c r="DP242" s="145" t="e">
        <f t="shared" ca="1" si="843"/>
        <v>#N/A</v>
      </c>
      <c r="DQ242" s="145" t="e">
        <f ca="1">IF(AND($CP242&gt;=0,$CP242&lt;=90),Control!$C$111,Control!$C$111)</f>
        <v>#N/A</v>
      </c>
      <c r="DR242" s="145" t="e">
        <f t="shared" ca="1" si="720"/>
        <v>#N/A</v>
      </c>
      <c r="DS242" s="143" t="e">
        <f ca="1">Control!$B$22/$DR242</f>
        <v>#N/A</v>
      </c>
      <c r="DT242" s="149" t="e">
        <f ca="1">IF(AND(Control!$C$114=1,$KH242&lt;1),$IM242*$DF242, 0)</f>
        <v>#N/A</v>
      </c>
      <c r="DU242" s="144" t="e">
        <f t="shared" ca="1" si="844"/>
        <v>#N/A</v>
      </c>
      <c r="DV242" s="144">
        <f ca="1">IF($G242-Control!$C$107&lt;=0, 0, 0.83*LN(MAX($G242, 3))-0.8924)</f>
        <v>0</v>
      </c>
      <c r="DW242" s="144" t="e">
        <f t="shared" ca="1" si="721"/>
        <v>#N/A</v>
      </c>
      <c r="DX242" s="150" t="e">
        <f ca="1">MAX(0.01*(1+$CU242/Control!$C$102),0.05*($DK242-Control!$C$97)/Control!$C$97)</f>
        <v>#N/A</v>
      </c>
      <c r="DY242" s="151" t="e">
        <f ca="1">IF(Control!$C$114=1, $DI242*$FS242, 0)</f>
        <v>#N/A</v>
      </c>
      <c r="DZ242" s="196" t="e">
        <f t="shared" ca="1" si="845"/>
        <v>#N/A</v>
      </c>
      <c r="EA242" s="152">
        <f t="shared" ca="1" si="846"/>
        <v>238</v>
      </c>
      <c r="EB242" s="153" t="e">
        <f t="shared" ca="1" si="847"/>
        <v>#N/A</v>
      </c>
      <c r="EC242" s="153" t="e">
        <f t="shared" ca="1" si="848"/>
        <v>#N/A</v>
      </c>
      <c r="ED242" s="154" t="e">
        <f ca="1">IF(Control!$C$114=1, $HM242*$FY242-$FD242, 0)</f>
        <v>#DIV/0!</v>
      </c>
      <c r="EE242" s="155" t="e">
        <f ca="1">IF(Control!$C$114=1, $HM242*$FZ242-$FF242, 0)</f>
        <v>#DIV/0!</v>
      </c>
      <c r="EF242" s="153" t="e">
        <f t="shared" ca="1" si="902"/>
        <v>#N/A</v>
      </c>
      <c r="EG242" s="155" t="e">
        <f ca="1">IF(Control!$C$114=1, $GX242*$FW242-$FI242, 0)</f>
        <v>#DIV/0!</v>
      </c>
      <c r="EH242" s="153" t="e">
        <f t="shared" ca="1" si="849"/>
        <v>#N/A</v>
      </c>
      <c r="EI242" s="156" t="e">
        <f t="shared" ca="1" si="850"/>
        <v>#N/A</v>
      </c>
      <c r="EJ242" s="155" t="e">
        <f ca="1">IF(Control!$C$114=1, $HM242*$GB242, 0)</f>
        <v>#DIV/0!</v>
      </c>
      <c r="EK242" s="153" t="e">
        <f t="shared" ca="1" si="903"/>
        <v>#N/A</v>
      </c>
      <c r="EL242" s="153" t="e">
        <f t="shared" ca="1" si="722"/>
        <v>#N/A</v>
      </c>
      <c r="EM242" s="153" t="e">
        <f t="shared" ca="1" si="723"/>
        <v>#N/A</v>
      </c>
      <c r="EN242" s="153" t="e">
        <f ca="1">IF(Control!$C$108=1,IF(AND(Control!$B$18=1,$EB242&gt;=Control!$B$19),$EB242-$DS242,IF(AND(Control!$B$18=2,$AW242=1,$EB242&gt;$DS242),$EB242-$DS242,0)))</f>
        <v>#N/A</v>
      </c>
      <c r="EO242" s="153" t="e">
        <f ca="1">IF(Control!$C$108=1,IF(AND(Control!$B$18=1,$EB242&gt;=Control!$B$19),$EF242,IF(AND(Control!$B$18=2,$AW242=1),$EF242,0)))</f>
        <v>#N/A</v>
      </c>
      <c r="EP242" s="153" t="e">
        <f ca="1">IF(Control!$C$108=1,IF(AND(Control!$B$18=1,$EB242&gt;=Control!$B$19),$EK242,IF(AND(Control!$B$18=2,$AW242=1),$EK242,0)))</f>
        <v>#N/A</v>
      </c>
      <c r="EQ242" s="153" t="e">
        <f t="shared" ca="1" si="851"/>
        <v>#N/A</v>
      </c>
      <c r="ER242" s="153" t="e">
        <f t="shared" ca="1" si="852"/>
        <v>#N/A</v>
      </c>
      <c r="ES242" s="153" t="e">
        <f t="shared" ca="1" si="904"/>
        <v>#N/A</v>
      </c>
      <c r="ET242" s="153" t="e">
        <f t="shared" ca="1" si="905"/>
        <v>#N/A</v>
      </c>
      <c r="EU242" s="153" t="e">
        <f t="shared" ca="1" si="853"/>
        <v>#N/A</v>
      </c>
      <c r="EV242" s="153" t="e">
        <f t="shared" ca="1" si="724"/>
        <v>#N/A</v>
      </c>
      <c r="EW242" s="153" t="e">
        <f t="shared" ca="1" si="725"/>
        <v>#N/A</v>
      </c>
      <c r="EX242" s="153" t="e">
        <f t="shared" ca="1" si="726"/>
        <v>#N/A</v>
      </c>
      <c r="EY242" s="157" t="e">
        <f t="shared" ca="1" si="727"/>
        <v>#DIV/0!</v>
      </c>
      <c r="EZ242" s="154" t="e">
        <f t="shared" ca="1" si="728"/>
        <v>#DIV/0!</v>
      </c>
      <c r="FA242" s="153" t="e">
        <f t="shared" ca="1" si="854"/>
        <v>#N/A</v>
      </c>
      <c r="FB242" s="153" t="e">
        <f t="shared" ca="1" si="729"/>
        <v>#N/A</v>
      </c>
      <c r="FC242" s="193" t="e">
        <f t="shared" ca="1" si="730"/>
        <v>#N/A</v>
      </c>
      <c r="FD242" s="158" t="e">
        <f t="shared" ca="1" si="855"/>
        <v>#N/A</v>
      </c>
      <c r="FE242" s="158" t="e">
        <f t="shared" ca="1" si="856"/>
        <v>#N/A</v>
      </c>
      <c r="FF242" s="159" t="e">
        <f t="shared" ca="1" si="731"/>
        <v>#N/A</v>
      </c>
      <c r="FG242" s="160" t="e">
        <f t="shared" ca="1" si="857"/>
        <v>#N/A</v>
      </c>
      <c r="FH242" s="158" t="e">
        <f t="shared" ca="1" si="858"/>
        <v>#N/A</v>
      </c>
      <c r="FI242" s="159" t="e">
        <f t="shared" ca="1" si="732"/>
        <v>#N/A</v>
      </c>
      <c r="FJ242" s="160" t="e">
        <f t="shared" ca="1" si="859"/>
        <v>#N/A</v>
      </c>
      <c r="FK242" s="160" t="e">
        <f t="shared" ca="1" si="733"/>
        <v>#N/A</v>
      </c>
      <c r="FL242" s="160" t="e">
        <f t="shared" ca="1" si="906"/>
        <v>#N/A</v>
      </c>
      <c r="FM242" s="160" t="e">
        <f t="shared" ca="1" si="734"/>
        <v>#N/A</v>
      </c>
      <c r="FN242" s="158">
        <f t="shared" ca="1" si="860"/>
        <v>0.01</v>
      </c>
      <c r="FO242" s="160">
        <f>Control!$C$101</f>
        <v>50</v>
      </c>
      <c r="FP242" s="150" t="e">
        <f t="shared" ca="1" si="735"/>
        <v>#N/A</v>
      </c>
      <c r="FQ242" s="150" t="e">
        <f ca="1">MAX(0,(Control!$C$112*(($DK242-Control!$C$97)/Control!$C$97)))</f>
        <v>#N/A</v>
      </c>
      <c r="FR242" s="150" t="e">
        <f ca="1">(1-$NT242)*Control!$C$113</f>
        <v>#DIV/0!</v>
      </c>
      <c r="FS242" s="198" t="e">
        <f t="shared" ca="1" si="736"/>
        <v>#N/A</v>
      </c>
      <c r="FT242" s="161">
        <f t="shared" ca="1" si="861"/>
        <v>238</v>
      </c>
      <c r="FU242" s="162" t="e">
        <f ca="1">IF(Control!$B$34=1,VLOOKUP($CP242,Control!$B$86:$G$91,6),Control!$B$35)</f>
        <v>#N/A</v>
      </c>
      <c r="FV242" s="162" t="e">
        <f t="shared" ca="1" si="737"/>
        <v>#DIV/0!</v>
      </c>
      <c r="FW242" s="162" t="e">
        <f ca="1">IF(Control!$B$31=1,$FU242*$FV242,  $FU242)</f>
        <v>#N/A</v>
      </c>
      <c r="FX242" s="162" t="e">
        <f ca="1">IF(Control!$B$34=1,VLOOKUP($CP242,Control!$B$86:$G$91,3),Control!$B$36)</f>
        <v>#N/A</v>
      </c>
      <c r="FY242" s="162" t="e">
        <f t="shared" ca="1" si="738"/>
        <v>#N/A</v>
      </c>
      <c r="FZ242" s="162" t="e">
        <f ca="1">IF(Control!$B$34=1,VLOOKUP($CP242,Control!$B$86:$G$91,4),Control!$B$37)</f>
        <v>#N/A</v>
      </c>
      <c r="GA242" s="162" t="e">
        <f t="shared" ca="1" si="739"/>
        <v>#N/A</v>
      </c>
      <c r="GB242" s="162" t="e">
        <f ca="1">IF(Control!$B$34=1,VLOOKUP($CP242,Control!$B$86:$G$91,5),Control!$B$38)</f>
        <v>#N/A</v>
      </c>
      <c r="GC242" s="162" t="e">
        <f t="shared" ca="1" si="862"/>
        <v>#N/A</v>
      </c>
      <c r="GD242" s="162">
        <f t="shared" ca="1" si="740"/>
        <v>1</v>
      </c>
      <c r="GE242" s="162">
        <f t="shared" ca="1" si="741"/>
        <v>1</v>
      </c>
      <c r="GF242" s="162">
        <f ca="1">IF(AND(Control!$C$104=1, Control!$C$62="F"),$GE242,1)</f>
        <v>1</v>
      </c>
      <c r="GG242" s="162" t="e">
        <f ca="1">IF(Control!$B$16=40,0,IF(AND(Control!$B$16&gt;40,Control!$B$16&lt;=360),(Control!$B$16-40)*((1-0)/(360-40)),IF(AND(Control!$B$16&gt;360,Control!$B$16&lt;=720),(1+(Control!$B$16-360)*((1.25-1)/(720-360))),IF(AND(Control!$B$16&gt;720,Control!$B$16&lt;=1000),(1.25+(Control!$B$16-720)*((1.35-1.25)/(1000-720))),IF(AND(Control!$B$16&gt;1000,Control!$B$16&lt;=2000),(1.35+(Control!$B$16-1000)*0))))))</f>
        <v>#N/A</v>
      </c>
      <c r="GH242" s="162" t="e">
        <f t="shared" ca="1" si="742"/>
        <v>#N/A</v>
      </c>
      <c r="GI242" s="162">
        <f t="shared" ca="1" si="863"/>
        <v>0</v>
      </c>
      <c r="GJ242" s="162">
        <f t="shared" ca="1" si="743"/>
        <v>0</v>
      </c>
      <c r="GK242" s="162">
        <f t="shared" ca="1" si="864"/>
        <v>1</v>
      </c>
      <c r="GL242" s="162">
        <f t="shared" ca="1" si="744"/>
        <v>1</v>
      </c>
      <c r="GM242" s="162" t="e">
        <f ca="1">MAX(0,MIN(1,1-Control!$C$156*(1.0001-$KH242)^2))</f>
        <v>#N/A</v>
      </c>
      <c r="GN242" s="162" t="e">
        <f ca="1">IF(Control!$B$26=1,$KU242,$KX242)</f>
        <v>#N/A</v>
      </c>
      <c r="GO242" s="162" t="e">
        <f ca="1">IF($CP242&lt;=60,Control!$C$105,IF($CP242&gt;=90,Control!$C$106,Control!$C$105+($CP242-60)*((Control!$C$106-Control!$C$105)/(90-60))))</f>
        <v>#N/A</v>
      </c>
      <c r="GP242" s="162" t="e">
        <f t="shared" ca="1" si="745"/>
        <v>#N/A</v>
      </c>
      <c r="GQ242" s="162" t="e">
        <f t="shared" ca="1" si="865"/>
        <v>#N/A</v>
      </c>
      <c r="GR242" s="163" t="e">
        <f t="shared" ca="1" si="746"/>
        <v>#DIV/0!</v>
      </c>
      <c r="GS242" s="162" t="e">
        <f t="shared" ca="1" si="747"/>
        <v>#DIV/0!</v>
      </c>
      <c r="GT242" s="164" t="e">
        <f t="shared" ca="1" si="866"/>
        <v>#N/A</v>
      </c>
      <c r="GU242" s="162" t="e">
        <f t="shared" ca="1" si="867"/>
        <v>#N/A</v>
      </c>
      <c r="GV242" s="162" t="e">
        <f t="shared" ca="1" si="748"/>
        <v>#N/A</v>
      </c>
      <c r="GW242" s="162" t="e">
        <f t="shared" ca="1" si="749"/>
        <v>#DIV/0!</v>
      </c>
      <c r="GX242" s="162" t="e">
        <f t="shared" ca="1" si="868"/>
        <v>#DIV/0!</v>
      </c>
      <c r="GY242" s="162" t="e">
        <f t="shared" ca="1" si="869"/>
        <v>#DIV/0!</v>
      </c>
      <c r="GZ242" s="165" t="e">
        <f t="shared" ca="1" si="750"/>
        <v>#N/A</v>
      </c>
      <c r="HA242" s="162" t="e">
        <f ca="1">IF(Control!$C$114=1, $DI242*$FS242, 0)</f>
        <v>#N/A</v>
      </c>
      <c r="HB242" s="162" t="e">
        <f ca="1">$FA242/Control!$C$64</f>
        <v>#N/A</v>
      </c>
      <c r="HC242" s="162" t="e">
        <f t="shared" ca="1" si="751"/>
        <v>#DIV/0!</v>
      </c>
      <c r="HD242" s="162">
        <f ca="1">-ASIN(SIN(23.45*Control!$C$139)*COS(2*Control!$C$138*($AH242+10)/365))</f>
        <v>0.17151340881995183</v>
      </c>
      <c r="HE242" s="165">
        <f t="shared" ca="1" si="870"/>
        <v>0</v>
      </c>
      <c r="HF242" s="166">
        <f ca="1">IF(AND(Control!$C$61="T",$HE242&gt;=Control!$C$103,Control!$C$114=0),$AH242,Control!$C$59)</f>
        <v>1</v>
      </c>
      <c r="HG242" s="166">
        <f ca="1">IF(AND(Control!$C$61="T",$HE242&gt;=Control!$C$103,Control!$C$114=0),$HF242,Control!$C$59)</f>
        <v>1</v>
      </c>
      <c r="HH242" s="165">
        <f ca="1">IF(AND(OR(Control!$C$60&lt;=0, $AH242= Control!$C$59, Control!$C$60 &gt;0, $AH242 = Control!$C$60)), Control!$C$59, IF(Control!$C$60&gt;0, 0))</f>
        <v>1</v>
      </c>
      <c r="HI242" s="165">
        <f ca="1">IF(AND(OR(Control!$C$60&lt;=0, $AH242= Control!$C$59, Control!$C$60 &gt;0, $AH242 = Control!$C$60)), Control!$C$60, IF(Control!$C$60&lt;=0, 0))</f>
        <v>0</v>
      </c>
      <c r="HJ242" s="166">
        <f ca="1">IF(AND(Control!$C$62="F",$CV242&gt;=Control!$C$102),$AH242,0)</f>
        <v>0</v>
      </c>
      <c r="HK242" s="165" t="e">
        <f t="shared" ca="1" si="907"/>
        <v>#N/A</v>
      </c>
      <c r="HL242" s="166">
        <f ca="1">IF(AND(Control!$C$61="T",$HE242&gt;=Control!$C$103,Control!$C$114=0),$HF242,0)</f>
        <v>0</v>
      </c>
      <c r="HM242" s="201" t="e">
        <f t="shared" ca="1" si="752"/>
        <v>#DIV/0!</v>
      </c>
      <c r="HN242" s="215">
        <f t="shared" ca="1" si="871"/>
        <v>238</v>
      </c>
      <c r="HO242" s="216" t="e">
        <f ca="1">IF(AND($CP242&gt;=0, $CP242&lt;=90), Control!$C$152, Control!$C$152)</f>
        <v>#N/A</v>
      </c>
      <c r="HP242" s="216" t="e">
        <f t="shared" ca="1" si="753"/>
        <v>#N/A</v>
      </c>
      <c r="HQ242" s="217" t="e">
        <f ca="1">IF(OR(Control!$B$26=1,Control!$B$26=2),$KV242,$KS242)</f>
        <v>#DIV/0!</v>
      </c>
      <c r="HR242" s="218" t="e">
        <f t="shared" ca="1" si="908"/>
        <v>#DIV/0!</v>
      </c>
      <c r="HS242" s="216" t="e">
        <f ca="1">Control!$C$154*$HP242</f>
        <v>#N/A</v>
      </c>
      <c r="HT242" s="216" t="e">
        <f ca="1">Control!$C$155*$HP242</f>
        <v>#N/A</v>
      </c>
      <c r="HU242" s="217" t="e">
        <f ca="1">Control!$C$161*$FI242</f>
        <v>#N/A</v>
      </c>
      <c r="HV242" s="218" t="e">
        <f t="shared" ca="1" si="872"/>
        <v>#N/A</v>
      </c>
      <c r="HW242" s="218" t="e">
        <f ca="1">Control!$C$160*$FF242+$IP242*$EO242</f>
        <v>#N/A</v>
      </c>
      <c r="HX242" s="218" t="e">
        <f t="shared" ca="1" si="909"/>
        <v>#N/A</v>
      </c>
      <c r="HY242" s="219" t="e">
        <f ca="1">IF(Control!$C$114=1, $EB242*$FS242, 0)</f>
        <v>#N/A</v>
      </c>
      <c r="HZ242" s="91" t="e">
        <f t="shared" ca="1" si="754"/>
        <v>#N/A</v>
      </c>
      <c r="IA242" s="220" t="e">
        <f ca="1">Control!$C$153*$HO242</f>
        <v>#N/A</v>
      </c>
      <c r="IB242" s="218" t="e">
        <f t="shared" ca="1" si="755"/>
        <v>#N/A</v>
      </c>
      <c r="IC242" s="220" t="e">
        <f ca="1">Control!$C$153*$HT242</f>
        <v>#N/A</v>
      </c>
      <c r="ID242" s="218" t="e">
        <f t="shared" ca="1" si="756"/>
        <v>#N/A</v>
      </c>
      <c r="IE242" s="221" t="e">
        <f ca="1">($EB242*Control!$C$159+$EF242*Control!$C$160)/(IF($GZ242&lt;&gt;0,$GZ242,1))</f>
        <v>#N/A</v>
      </c>
      <c r="IF242" s="216" t="e">
        <f t="shared" ca="1" si="757"/>
        <v>#N/A</v>
      </c>
      <c r="IG242" s="91">
        <f ca="1">IF(OR(Control!$B$198=$AH242,Control!$B$199=$AH242, Control!$B$200=$AH242, Control!$B$201=$AH242, Control!$B$202=$AH242, Control!$B$203=$AH242, Control!$B$204=$AH242, Control!$B$205=$AH242, Control!$B$206=$AH242, Control!$B$207=$AH242), 1, 0)</f>
        <v>0</v>
      </c>
      <c r="IH242" s="91">
        <f ca="1">IF($IG242=0,0, VLOOKUP($AH242,Control!$B$198:$C$207,2))</f>
        <v>0</v>
      </c>
      <c r="II242" s="222">
        <f t="shared" ca="1" si="873"/>
        <v>0</v>
      </c>
      <c r="IJ242" s="91">
        <f>Control!$C$121</f>
        <v>0.7</v>
      </c>
      <c r="IK242" s="218">
        <f t="shared" ca="1" si="758"/>
        <v>0</v>
      </c>
      <c r="IL242" s="217" t="e">
        <f t="shared" ca="1" si="910"/>
        <v>#N/A</v>
      </c>
      <c r="IM242" s="223" t="e">
        <f ca="1">IF(AND(Control!$C$114=1,$KH242&lt;1),$EB242*Control!$C$148*(1-$KH242), 0)</f>
        <v>#N/A</v>
      </c>
      <c r="IN242" s="217" t="e">
        <f t="shared" ca="1" si="759"/>
        <v>#DIV/0!</v>
      </c>
      <c r="IO242" s="91" t="e">
        <f ca="1">MAX(0,$IL242-$EF242*Control!$C$160)</f>
        <v>#N/A</v>
      </c>
      <c r="IP242" s="220" t="e">
        <f t="shared" ca="1" si="760"/>
        <v>#N/A</v>
      </c>
      <c r="IQ242" s="217" t="e">
        <f t="shared" ca="1" si="874"/>
        <v>#N/A</v>
      </c>
      <c r="IR242" s="218" t="e">
        <f t="shared" ca="1" si="761"/>
        <v>#N/A</v>
      </c>
      <c r="IS242" s="217" t="e">
        <f ca="1">Control!$C$159*MAX(0,$FD242-$EN242)</f>
        <v>#N/A</v>
      </c>
      <c r="IT242" s="217" t="e">
        <f t="shared" ca="1" si="911"/>
        <v>#N/A</v>
      </c>
      <c r="IU242" s="217" t="e">
        <f t="shared" ca="1" si="875"/>
        <v>#N/A</v>
      </c>
      <c r="IV242" s="217" t="e">
        <f t="shared" ca="1" si="912"/>
        <v>#N/A</v>
      </c>
      <c r="IW242" s="217" t="e">
        <f ca="1">IF(OR($AW242=1,AND($AW242=0, Control!$B$18=1,$EN242&lt;&gt;0)), $IQ242-$IU242, $IQ242)</f>
        <v>#N/A</v>
      </c>
      <c r="IX242" s="218" t="e">
        <f t="shared" ca="1" si="762"/>
        <v>#N/A</v>
      </c>
      <c r="IY242" s="218" t="e">
        <f ca="1">MAX(0,$IQ242-$EB242*Control!$C$159)</f>
        <v>#N/A</v>
      </c>
      <c r="IZ242" s="218" t="e">
        <f t="shared" ca="1" si="763"/>
        <v>#N/A</v>
      </c>
      <c r="JA242" s="216" t="e">
        <f t="shared" ca="1" si="764"/>
        <v>#N/A</v>
      </c>
      <c r="JB242" s="217" t="e">
        <f t="shared" ca="1" si="765"/>
        <v>#N/A</v>
      </c>
      <c r="JC242" s="222" t="e">
        <f ca="1">MAX(Control!$C$157*$EK242-$JT242, 0)/Control!$C$162</f>
        <v>#N/A</v>
      </c>
      <c r="JD242" s="218" t="e">
        <f t="shared" ca="1" si="766"/>
        <v>#N/A</v>
      </c>
      <c r="JE242" s="218" t="e">
        <f t="shared" ca="1" si="767"/>
        <v>#N/A</v>
      </c>
      <c r="JF242" s="218" t="e">
        <f t="shared" ca="1" si="876"/>
        <v>#N/A</v>
      </c>
      <c r="JG242" s="218" t="e">
        <f t="shared" ca="1" si="768"/>
        <v>#N/A</v>
      </c>
      <c r="JH242" s="217" t="e">
        <f t="shared" ca="1" si="877"/>
        <v>#N/A</v>
      </c>
      <c r="JI242" s="217" t="e">
        <f t="shared" ca="1" si="878"/>
        <v>#N/A</v>
      </c>
      <c r="JJ242" s="217" t="e">
        <f t="shared" ca="1" si="913"/>
        <v>#N/A</v>
      </c>
      <c r="JK242" s="217" t="e">
        <f ca="1">IF(Control!$C$114=1,IF(Control!$B$24=0,MAX(0,$JI242)*$GN242/Control!$C$64,(MAX(0,MIN($JI242,$JJ242*$GN242/Control!$C$64),0))))</f>
        <v>#N/A</v>
      </c>
      <c r="JL242" s="217" t="e">
        <f ca="1">$IK242/Control!$C$64-$JK242+$HQ242</f>
        <v>#N/A</v>
      </c>
      <c r="JM242" s="217" t="e">
        <f ca="1">IF(Control!$C$114=1,($JB242/(IF($JI242&lt;&gt;0,$JI242,1)))*$JK242,0)</f>
        <v>#N/A</v>
      </c>
      <c r="JN242" s="217" t="e">
        <f ca="1">IF(Control!$C$114=1,($JG242/(IF($JI242&lt;&gt;0,$JI242,1)))*$JK242, 0)</f>
        <v>#N/A</v>
      </c>
      <c r="JO242" s="218" t="e">
        <f t="shared" ca="1" si="769"/>
        <v>#N/A</v>
      </c>
      <c r="JP242" s="218" t="e">
        <f ca="1">MIN(($IY242+$IO242)*Control!$C$151, $JF242-$EH242*Control!$C$161)</f>
        <v>#N/A</v>
      </c>
      <c r="JQ242" s="218" t="e">
        <f t="shared" ca="1" si="770"/>
        <v>#N/A</v>
      </c>
      <c r="JR242" s="217" t="e">
        <f ca="1">IF($CP242-Control!$C$150&lt;0, 0, $JQ242/Control!$C$162)</f>
        <v>#N/A</v>
      </c>
      <c r="JS242" s="218" t="e">
        <f t="shared" ca="1" si="771"/>
        <v>#N/A</v>
      </c>
      <c r="JT242" s="218" t="e">
        <f t="shared" ca="1" si="879"/>
        <v>#N/A</v>
      </c>
      <c r="JU242" s="218" t="e">
        <f t="shared" ca="1" si="772"/>
        <v>#N/A</v>
      </c>
      <c r="JV242" s="218" t="e">
        <f t="shared" ca="1" si="773"/>
        <v>#N/A</v>
      </c>
      <c r="JW242" s="216" t="e">
        <f t="shared" ca="1" si="774"/>
        <v>#N/A</v>
      </c>
      <c r="JX242" s="91" t="e">
        <f t="shared" ca="1" si="775"/>
        <v>#N/A</v>
      </c>
      <c r="JY242" s="218" t="e">
        <f t="shared" ca="1" si="776"/>
        <v>#N/A</v>
      </c>
      <c r="JZ242" s="217" t="e">
        <f ca="1">IF(Control!$C$114=1,($IZ242/(IF($JI242&lt;&gt;0,$JI242,1)))*$JK242, 0)</f>
        <v>#N/A</v>
      </c>
      <c r="KA242" s="218" t="e">
        <f t="shared" ca="1" si="914"/>
        <v>#N/A</v>
      </c>
      <c r="KB242" s="218" t="e">
        <f t="shared" ca="1" si="880"/>
        <v>#N/A</v>
      </c>
      <c r="KC242" s="218" t="e">
        <f t="shared" ca="1" si="777"/>
        <v>#N/A</v>
      </c>
      <c r="KD242" s="218" t="e">
        <f t="shared" ca="1" si="778"/>
        <v>#N/A</v>
      </c>
      <c r="KE242" s="218" t="e">
        <f t="shared" ca="1" si="779"/>
        <v>#N/A</v>
      </c>
      <c r="KF242" s="218" t="e">
        <f t="shared" ca="1" si="780"/>
        <v>#N/A</v>
      </c>
      <c r="KG242" s="216" t="e">
        <f t="shared" ca="1" si="781"/>
        <v>#N/A</v>
      </c>
      <c r="KH242" s="221" t="e">
        <f ca="1">IF(Control!$B$24=0,1,MAX(0.001,MIN(1,IF(($IF242-$IE242)&lt;&gt;0,($KG242-$IE242)/($IF242-$IE242),1))))</f>
        <v>#N/A</v>
      </c>
      <c r="KI242" s="222" t="e">
        <f ca="1">IF(Control!$C$114=1, $KI241+ $KH241, 0)</f>
        <v>#N/A</v>
      </c>
      <c r="KJ242" s="217" t="e">
        <f t="shared" ca="1" si="782"/>
        <v>#N/A</v>
      </c>
      <c r="KK242" s="218" t="e">
        <f t="shared" ca="1" si="783"/>
        <v>#N/A</v>
      </c>
      <c r="KL242" s="274" t="e">
        <f ca="1">IF(Control!$B$26=3,4000000000*EXP(-8400/($G242+273)),IF(Control!$B$26=4,4000000000*EXP(-8400/($G242+273))*($KT242),0))</f>
        <v>#DIV/0!</v>
      </c>
      <c r="KM242" s="274" t="e">
        <f ca="1">IF(Control!$B$26=3,5600000000000*EXP(-9800/($G242+273)),IF(Control!$B$26=4,5600000000000*EXP(-9800/($G242+273))*$KT242,0))</f>
        <v>#DIV/0!</v>
      </c>
      <c r="KN242" s="454" t="e">
        <f t="shared" ca="1" si="881"/>
        <v>#DIV/0!</v>
      </c>
      <c r="KO242" s="274" t="e">
        <f t="shared" ca="1" si="882"/>
        <v>#DIV/0!</v>
      </c>
      <c r="KP242" s="454" t="e">
        <f t="shared" ca="1" si="784"/>
        <v>#DIV/0!</v>
      </c>
      <c r="KQ242" s="454" t="e">
        <f t="shared" ca="1" si="785"/>
        <v>#DIV/0!</v>
      </c>
      <c r="KR242" s="454" t="e">
        <f t="shared" ca="1" si="786"/>
        <v>#DIV/0!</v>
      </c>
      <c r="KS242" s="454" t="e">
        <f t="shared" ca="1" si="787"/>
        <v>#DIV/0!</v>
      </c>
      <c r="KT242" s="455" t="e">
        <f t="shared" ca="1" si="788"/>
        <v>#DIV/0!</v>
      </c>
      <c r="KU242" s="456" t="e">
        <f ca="1">IF($CP242-Control!$C$149&lt;0, IF($NT242-0.01&lt;0,0,1),0)</f>
        <v>#N/A</v>
      </c>
      <c r="KV242" s="456" t="e">
        <f ca="1">IF(Control!$C$114=1,MAX(0,MIN(Control!$C$125*$KW242*$GN242,$KW242)))</f>
        <v>#DIV/0!</v>
      </c>
      <c r="KW242" s="456" t="e">
        <f t="shared" ca="1" si="915"/>
        <v>#DIV/0!</v>
      </c>
      <c r="KX242" s="457" t="e">
        <f ca="1">IF($CP242-Control!$C$149&lt;0, IF($MR242-$OM242&lt;0,0,1),0)</f>
        <v>#N/A</v>
      </c>
      <c r="KY242" s="167">
        <f t="shared" ca="1" si="883"/>
        <v>238</v>
      </c>
      <c r="KZ242" s="168">
        <f ca="1">1370*(1+0.033*COS(2*Control!$C$138*$AH242/365))</f>
        <v>1343.9009996885031</v>
      </c>
      <c r="LA242" s="169">
        <f t="shared" ca="1" si="884"/>
        <v>0.980949376653793</v>
      </c>
      <c r="LB242" s="169">
        <f t="shared" ca="1" si="885"/>
        <v>0.17221276092528845</v>
      </c>
      <c r="LC242" s="169">
        <f ca="1">ACOS(-TAN((2*Control!$B$8/360))*TAN(Calculations!$LB242))</f>
        <v>1.6225135991606843</v>
      </c>
      <c r="LD242" s="169">
        <f ca="1">((24*60)/PI())*0.082*$LA242*(($LC242*SIN(Control!$B$8*2*PI()/360))*SIN($LB242)+COS(Control!$B$8*2*PI()/360)*COS($LB242)*SIN($LC242))</f>
        <v>30.411879872574431</v>
      </c>
      <c r="LE242" s="170">
        <f t="shared" ca="1" si="789"/>
        <v>30.774025775618501</v>
      </c>
      <c r="LF242" s="170">
        <f ca="1">SIN(Control!$C$139*Control!$B$8)*SIN($HD242)</f>
        <v>0.13449297133680096</v>
      </c>
      <c r="LG242" s="170">
        <f ca="1">COS(Control!$C$139*Control!$B$8)*COS($HD242)</f>
        <v>0.60662659373287053</v>
      </c>
      <c r="LH242" s="170">
        <f ca="1">12*(1+2*ASIN(MAX(-1,MIN(1,$LF242/$LG242))/Control!$C$138))</f>
        <v>13.695116854423592</v>
      </c>
      <c r="LI242" s="170">
        <f ca="1">12*(1+2*ASIN(MAX(-1,MIN(1,(-SIN(-4*Control!$C$139)+$LF242)/$LG242))/Control!$C$138))</f>
        <v>14.577122515181806</v>
      </c>
      <c r="LJ242" s="168">
        <f ca="1">3600*($LH242*$LF242+24*$LG242*SQRT(1-$LK242*$LK242)/Control!$C$138)</f>
        <v>22899.027370878863</v>
      </c>
      <c r="LK242" s="170">
        <f t="shared" ca="1" si="790"/>
        <v>0.22170635564985677</v>
      </c>
      <c r="LL242" s="170">
        <f t="shared" ca="1" si="791"/>
        <v>0</v>
      </c>
      <c r="LM242" s="171">
        <f ca="1">Control!$C$145*$AB242</f>
        <v>6.6660906138995932E-2</v>
      </c>
      <c r="LN242" s="170">
        <f t="shared" ca="1" si="886"/>
        <v>0.54</v>
      </c>
      <c r="LO242" s="170">
        <f t="shared" ca="1" si="792"/>
        <v>0</v>
      </c>
      <c r="LP242" s="170">
        <f ca="1">Control!$C$140*((($D242+273.16)^4+($E242+273.16)^4)/2)*(0.34-0.14*SQRT($Y242))*(1.35*$AQ242/(0.75*$LD242)-0.35)</f>
        <v>-3.2464704755046001</v>
      </c>
      <c r="LQ242" s="170">
        <f ca="1">Control!$C$140*($G242+273)^4*(0.56-0.079*SQRT($Y242*10))*(0.1+0.9*$LO242)</f>
        <v>1.5241745131704001</v>
      </c>
      <c r="LR242" s="170">
        <f ca="1">$AQ242*(1-Control!$C$142)-$LQ242</f>
        <v>-1.5241745131704001</v>
      </c>
      <c r="LS242" s="170">
        <f ca="1">$AQ242*(1-Control!$C$143)-$LQ242</f>
        <v>-1.5241745131704001</v>
      </c>
      <c r="LT242" s="170">
        <f ca="1">$AQ242*(1-Control!$C$144)-$LQ242</f>
        <v>-1.5241745131704001</v>
      </c>
      <c r="LU242" s="169">
        <f ca="1">(1-Control!$C$144)*AQ242-LP242</f>
        <v>3.2464704755046001</v>
      </c>
      <c r="LV242" s="172">
        <f t="shared" ca="1" si="793"/>
        <v>0.79430000000000012</v>
      </c>
      <c r="LW242" s="170">
        <f t="shared" ca="1" si="794"/>
        <v>1.5886000000000002</v>
      </c>
      <c r="LX242" s="170">
        <f ca="1">($AC242*($LR242/Control!$C$141)+$LM242*$LV242)/($AC242+$LM242)</f>
        <v>0.23530094218323697</v>
      </c>
      <c r="LY242" s="170">
        <f ca="1">($AC242*($LS242/Control!$C$141)+$LM242*$LV242)/($AC242+$LM242)</f>
        <v>0.23530094218323697</v>
      </c>
      <c r="LZ242" s="170">
        <f t="shared" ca="1" si="795"/>
        <v>0.23530094218323697</v>
      </c>
      <c r="MA242" s="170">
        <f t="shared" ca="1" si="796"/>
        <v>0.23530094218323697</v>
      </c>
      <c r="MB242" s="170" t="e">
        <f t="shared" ca="1" si="797"/>
        <v>#N/A</v>
      </c>
      <c r="MC242" s="170">
        <f t="shared" ca="1" si="887"/>
        <v>0.6018</v>
      </c>
      <c r="MD242" s="170">
        <f t="shared" ca="1" si="798"/>
        <v>0.52989392535414004</v>
      </c>
      <c r="ME242" s="170">
        <f ca="1">($AC242*($LT242/Control!$C$141)+$LM242*$LW242)/($AC242+$LM242)</f>
        <v>0.71612369323045078</v>
      </c>
      <c r="MF242" s="170" t="e">
        <f ca="1">IF(Control!$B$16&gt;=1000,0.92,IF(AND(720&lt;=Control!$B$16,1000&gt;Control!$B$16),(0.95+(Control!$B$16-720)*((0.92-0.95)/(1000-720))),IF(AND(360&lt;=Control!$B$16,720&gt;Control!$B$16),(1+(Control!$B$16-360)*((0.95-1)/(720-360))),IF(AND(40&lt;=Control!$B$16,360&gt;Control!$B$16),(1.05+(Control!$B$16-40)*((1.05-1)/(360-40)))))))</f>
        <v>#N/A</v>
      </c>
      <c r="MG242" s="170">
        <f t="shared" ca="1" si="799"/>
        <v>0.71612369323045078</v>
      </c>
      <c r="MH242" s="170" t="e">
        <f t="shared" ca="1" si="925"/>
        <v>#N/A</v>
      </c>
      <c r="MI242" s="170" t="e">
        <f t="shared" ca="1" si="925"/>
        <v>#N/A</v>
      </c>
      <c r="MJ242" s="170" t="e">
        <f ca="1">MAX(0.0001, Control!$C$132*$MI242*$DL242)</f>
        <v>#N/A</v>
      </c>
      <c r="MK242" s="170">
        <f ca="1">1/(0.76+1.5*($MG242/10))-(5-Control!$C$110)*0.1</f>
        <v>1.002845988140797</v>
      </c>
      <c r="ML242" s="173">
        <f ca="1">IF(Control!$C$110&lt;3,$MK242+($MG242-0.6)/(Control!$C$110*(Control!$C$110+3)), MAX(0.1, MIN(0.95,$MK242)))</f>
        <v>0.95</v>
      </c>
      <c r="MM242" s="173">
        <f ca="1">IF(Control!$C$110&lt;3,$MK242+(($MI242/10)-0.6)/(Control!$C$110*(Control!$C$110+3)), MAX(0.1, MIN(0.95,$MK242)))</f>
        <v>0.95</v>
      </c>
      <c r="MN242" s="173">
        <f ca="1">(1-$MM242)*(Control!$C$128-Control!$C$127)+Control!$C$127</f>
        <v>0.16</v>
      </c>
      <c r="MO242" s="170" t="e">
        <f ca="1">MAX(0,MIN(1,($MS242-Control!$C$127)/($MN242-Control!$C$127)))</f>
        <v>#DIV/0!</v>
      </c>
      <c r="MP242" s="173" t="e">
        <f ca="1">1/(0.76+1.5*$MI242)-(5-Control!$C$110)*0.1</f>
        <v>#N/A</v>
      </c>
      <c r="MQ242" s="172" t="e">
        <f t="shared" ca="1" si="916"/>
        <v>#DIV/0!</v>
      </c>
      <c r="MR242" s="168" t="e">
        <f t="shared" ca="1" si="888"/>
        <v>#DIV/0!</v>
      </c>
      <c r="MS242" s="173" t="e">
        <f ca="1">MAX(Control!$C$127, MIN(Control!$C$135, $MR242/MAX(0.0001,$CY242)))</f>
        <v>#DIV/0!</v>
      </c>
      <c r="MT242" s="168" t="e">
        <f ca="1">(Control!$C$128-$MS242)*Control!$C$74</f>
        <v>#DIV/0!</v>
      </c>
      <c r="MU242" s="168" t="e">
        <f ca="1">(Control!$C$135-$MS242)*Control!$C$74</f>
        <v>#DIV/0!</v>
      </c>
      <c r="MV242" s="168" t="e">
        <f t="shared" ca="1" si="889"/>
        <v>#DIV/0!</v>
      </c>
      <c r="MW242" s="168" t="e">
        <f t="shared" ca="1" si="890"/>
        <v>#DIV/0!</v>
      </c>
      <c r="MX242" s="171" t="e">
        <f ca="1">MAX(Control!$C$127, MIN(Control!$C$135, $MW242/MAX(0.0001,Control!$C$119-$CY242)))</f>
        <v>#DIV/0!</v>
      </c>
      <c r="MY242" s="54" t="e">
        <f ca="1">IF(Control!$C$114=1, $CX242*$MX242, 0)</f>
        <v>#DIV/0!</v>
      </c>
      <c r="MZ242" s="54" t="e">
        <f t="shared" ca="1" si="891"/>
        <v>#N/A</v>
      </c>
      <c r="NA242" s="168" t="e">
        <f ca="1">(Control!$C$128-$MX242)*(Control!$C$119-Control!$C$74)</f>
        <v>#DIV/0!</v>
      </c>
      <c r="NB242" s="168" t="e">
        <f ca="1">(Control!$C$135-$MX242)*(Control!$C$119-Control!$C$74)</f>
        <v>#DIV/0!</v>
      </c>
      <c r="NC242" s="174" t="e">
        <f t="shared" ca="1" si="892"/>
        <v>#DIV/0!</v>
      </c>
      <c r="ND242" s="54">
        <f ca="1">IF(Control!$C$58=2, IF(OR(Control!$B$218=$AH242,Control!$B$219=$AH242, Control!$B$220=$AH242, Control!$B$221=$AH242, Control!$B$222=$AH242, Control!$B$223=$AH242, Control!$B$224=$AH242, Control!$B$225=$AH242, Control!$B$226=$AH242, Control!$B$227=$AH242, Control!$B$228=$AH242), 1, 0), 0)</f>
        <v>0</v>
      </c>
      <c r="NE242" s="54">
        <f ca="1">IF($ND242=0,0, VLOOKUP($AH242,Control!$B$218:$C$228,2))</f>
        <v>0</v>
      </c>
      <c r="NF242" s="168" t="e">
        <f ca="1">$CY242*(Control!$C$128-Control!$C$127)</f>
        <v>#N/A</v>
      </c>
      <c r="NG242" s="54" t="e">
        <f ca="1">IF(Control!$C$58=2, $NI241-$NJ241, 0)</f>
        <v>#DIV/0!</v>
      </c>
      <c r="NH242" s="54" t="e">
        <f ca="1">IF(AND(Control!$C$58=1, $MS241&lt;= ($MN241+0.02), $I241&lt;10), 0, IF(Control!$C$58=2, $NG241, 0))</f>
        <v>#DIV/0!</v>
      </c>
      <c r="NI242" s="54" t="e">
        <f ca="1">IF(Control!$C$58=2, $NE242+$NH242,0)</f>
        <v>#DIV/0!</v>
      </c>
      <c r="NJ242" s="54" t="e">
        <f ca="1">IF(AND(Control!$C$58=1, $MS242&lt;= ($MN242+0.02), $I242&lt;10), MAX(0, MIN(10, 0.7*($NF242-$MV242))), IF(Control!$C$58=2, MIN(10,$NI242),0))</f>
        <v>#DIV/0!</v>
      </c>
      <c r="NK242" s="54" t="e">
        <f t="shared" ca="1" si="800"/>
        <v>#DIV/0!</v>
      </c>
      <c r="NL242" s="173" t="e">
        <f ca="1">(1-Control!$C$73)*$I242+$NJ242</f>
        <v>#DIV/0!</v>
      </c>
      <c r="NM242" s="172" t="e">
        <f ca="1">IF($NL242&lt;0.5, $MB242* MAX(0, MIN(1, (SQRT($NC242)-SQRT($NC242-1))*Control!$C$71)),0)</f>
        <v>#DIV/0!</v>
      </c>
      <c r="NN242" s="170" t="e">
        <f ca="1">IF($NL242&gt;=5, $MB242, MAX(0,MIN($MB242, $NM242+$NL242,($MS242-Control!$C$129))))</f>
        <v>#DIV/0!</v>
      </c>
      <c r="NO242" s="54">
        <f>IF(Control!$C$133&lt;&gt;1, Control!$C$135-Control!$C$131, 0)</f>
        <v>0.38</v>
      </c>
      <c r="NP242" s="54" t="e">
        <f t="shared" ca="1" si="801"/>
        <v>#DIV/0!</v>
      </c>
      <c r="NQ242" s="173" t="e">
        <f ca="1">MAX(0,MIN(1,(Control!$C$135-$MS242)/(Control!$C$135-$NO242)))</f>
        <v>#DIV/0!</v>
      </c>
      <c r="NR242" s="170" t="e">
        <f ca="1">IF(Control!$C$133&lt;&gt;1, $NQ242+((1-$NP242/4)*(1-$NQ242)),1)</f>
        <v>#DIV/0!</v>
      </c>
      <c r="NS242" s="170" t="e">
        <f ca="1">IF(Control!$B$31=0,$MJ242,MAX(0,MIN($MV242,$MO242*$NR242*$MJ242)))</f>
        <v>#DIV/0!</v>
      </c>
      <c r="NT242" s="170" t="e">
        <f t="shared" ca="1" si="917"/>
        <v>#DIV/0!</v>
      </c>
      <c r="NU242" s="170" t="e">
        <f t="shared" ca="1" si="893"/>
        <v>#N/A</v>
      </c>
      <c r="NV242" s="170" t="e">
        <f t="shared" ca="1" si="802"/>
        <v>#N/A</v>
      </c>
      <c r="NW242" s="175" t="e">
        <f t="shared" ca="1" si="803"/>
        <v>#DIV/0!</v>
      </c>
      <c r="NX242" s="170" t="e">
        <f ca="1">MIN(Control!$C$72+$MU242, $NW242)</f>
        <v>#DIV/0!</v>
      </c>
      <c r="NY242" s="170" t="e">
        <f ca="1">IF($MT242&lt;=$NX242,MIN(Control!$C$72+$NB242,$NX242-$MT242),0)</f>
        <v>#DIV/0!</v>
      </c>
      <c r="NZ242" s="54" t="e">
        <f ca="1">IF(Control!$C$114=1,  $CX242*($MX242-Control!$C$127), 0)</f>
        <v>#DIV/0!</v>
      </c>
      <c r="OA242" s="170" t="e">
        <f t="shared" ca="1" si="804"/>
        <v>#DIV/0!</v>
      </c>
      <c r="OB242" s="170" t="e">
        <f ca="1">IF($NA242 &lt;=$NY242, MIN(Control!$C$72, $NY242-$NA242), 0)</f>
        <v>#DIV/0!</v>
      </c>
      <c r="OC242" s="168" t="e">
        <f t="shared" ca="1" si="805"/>
        <v>#DIV/0!</v>
      </c>
      <c r="OD242" s="168" t="e">
        <f t="shared" ca="1" si="894"/>
        <v>#DIV/0!</v>
      </c>
      <c r="OE242" s="170">
        <f ca="1">Control!$C$73*$I242</f>
        <v>0</v>
      </c>
      <c r="OF242" s="176" t="e">
        <f t="shared" ca="1" si="806"/>
        <v>#DIV/0!</v>
      </c>
      <c r="OG242" s="168" t="e">
        <f t="shared" ca="1" si="807"/>
        <v>#DIV/0!</v>
      </c>
      <c r="OH242" s="168" t="e">
        <f t="shared" ca="1" si="808"/>
        <v>#DIV/0!</v>
      </c>
      <c r="OI242" s="168" t="e">
        <f t="shared" ca="1" si="809"/>
        <v>#DIV/0!</v>
      </c>
      <c r="OJ242" s="168" t="e">
        <f t="shared" ca="1" si="810"/>
        <v>#DIV/0!</v>
      </c>
      <c r="OK242" s="204" t="e">
        <f t="shared" ca="1" si="811"/>
        <v>#DIV/0!</v>
      </c>
      <c r="OL242" s="177">
        <f>Control!$C$127</f>
        <v>0.15</v>
      </c>
      <c r="OM242" s="182" t="e">
        <f t="shared" ca="1" si="812"/>
        <v>#N/A</v>
      </c>
      <c r="ON242" s="177">
        <f>Control!$C$128</f>
        <v>0.35</v>
      </c>
      <c r="OO242" s="182" t="e">
        <f t="shared" ca="1" si="813"/>
        <v>#N/A</v>
      </c>
      <c r="OP242" s="138">
        <f t="shared" ca="1" si="895"/>
        <v>0</v>
      </c>
      <c r="OQ242" s="138" t="e">
        <f t="shared" ca="1" si="918"/>
        <v>#DIV/0!</v>
      </c>
      <c r="OR242" s="138" t="e">
        <f t="shared" ca="1" si="896"/>
        <v>#DIV/0!</v>
      </c>
      <c r="OS242" s="137" t="e">
        <f t="shared" ca="1" si="919"/>
        <v>#DIV/0!</v>
      </c>
      <c r="OT242" s="139" t="e">
        <f t="shared" ca="1" si="920"/>
        <v>#DIV/0!</v>
      </c>
      <c r="OU242" s="138" t="e">
        <f t="shared" ca="1" si="921"/>
        <v>#N/A</v>
      </c>
      <c r="OV242" s="138" t="e">
        <f t="shared" ca="1" si="922"/>
        <v>#DIV/0!</v>
      </c>
      <c r="OW242" s="138" t="e">
        <f t="shared" ca="1" si="897"/>
        <v>#DIV/0!</v>
      </c>
      <c r="OX242" s="138" t="e">
        <f t="shared" ca="1" si="898"/>
        <v>#DIV/0!</v>
      </c>
      <c r="OY242" s="138" t="e">
        <f t="shared" ca="1" si="899"/>
        <v>#DIV/0!</v>
      </c>
      <c r="OZ242" s="138" t="e">
        <f t="shared" ca="1" si="814"/>
        <v>#DIV/0!</v>
      </c>
      <c r="PA242" s="138" t="e">
        <f t="shared" ca="1" si="815"/>
        <v>#DIV/0!</v>
      </c>
      <c r="PB242" s="55">
        <f>IF(Control!$C$61="T", IF(Control!$C$65="F", IF($AH$6-Control!$C$60&lt;0,0,1), IF(365+$AH$6-Control!$C$60&lt;0,0,1)),0)</f>
        <v>0</v>
      </c>
      <c r="PC242" s="55">
        <f ca="1">IF(Control!$C$65="F", IF($AH$6-$HF242&lt;0,0,1), IF(365+$AH$6-$HF242&lt;0,0,1))</f>
        <v>1</v>
      </c>
      <c r="PD242" s="444">
        <f>Control!$C$118</f>
        <v>1500</v>
      </c>
      <c r="PE242" s="180" t="e">
        <f t="shared" ca="1" si="816"/>
        <v>#N/A</v>
      </c>
      <c r="PF242" s="445">
        <f t="shared" ca="1" si="900"/>
        <v>0.71612369323045078</v>
      </c>
      <c r="PT242" s="186"/>
      <c r="PU242" s="186"/>
      <c r="PV242" s="94"/>
      <c r="PW242" s="94"/>
      <c r="PX242" s="94"/>
      <c r="PY242" s="94"/>
      <c r="PZ242" s="94"/>
      <c r="QA242" s="94"/>
      <c r="QB242" s="94"/>
      <c r="QC242" s="94"/>
      <c r="QD242" s="94"/>
      <c r="QE242" s="94"/>
      <c r="QF242" s="94"/>
      <c r="QG242" s="94"/>
      <c r="QH242" s="94"/>
      <c r="QI242" s="94"/>
      <c r="QJ242" s="94"/>
      <c r="QK242" s="94"/>
      <c r="QL242" s="94"/>
      <c r="QM242" s="94"/>
      <c r="QN242" s="94"/>
      <c r="QO242" s="94"/>
      <c r="QP242" s="94"/>
    </row>
    <row r="243" spans="1:458" s="2" customFormat="1" x14ac:dyDescent="0.2">
      <c r="A243" s="395">
        <v>26</v>
      </c>
      <c r="B243" s="396">
        <v>8</v>
      </c>
      <c r="C243" s="387">
        <f ca="1">Weather_data!$B242</f>
        <v>0</v>
      </c>
      <c r="D243" s="388">
        <f ca="1">Weather_data!$F242</f>
        <v>0</v>
      </c>
      <c r="E243" s="388">
        <f ca="1">Weather_data!$E242</f>
        <v>0</v>
      </c>
      <c r="F243" s="388">
        <f t="shared" ca="1" si="817"/>
        <v>0</v>
      </c>
      <c r="G243" s="388">
        <f ca="1">AVERAGE($D243:$E243)+Control!$B$9</f>
        <v>0</v>
      </c>
      <c r="H243" s="388">
        <f ca="1">Weather_data!$G242</f>
        <v>0</v>
      </c>
      <c r="I243" s="388">
        <f ca="1">Weather_data!$I242</f>
        <v>0</v>
      </c>
      <c r="J243" s="388">
        <f ca="1">Weather_data!$H242</f>
        <v>0</v>
      </c>
      <c r="K243" s="389">
        <f ca="1">Weather_data!$D242</f>
        <v>0</v>
      </c>
      <c r="L243" s="388" t="e">
        <f t="shared" ca="1" si="818"/>
        <v>#N/A</v>
      </c>
      <c r="M243" s="388" t="e">
        <f t="shared" ca="1" si="696"/>
        <v>#N/A</v>
      </c>
      <c r="N243" s="388">
        <f t="shared" ca="1" si="697"/>
        <v>-7.1522838441423279E-12</v>
      </c>
      <c r="O243" s="388">
        <f t="shared" ca="1" si="819"/>
        <v>7.1522838441423279E-11</v>
      </c>
      <c r="P243" s="390">
        <v>3</v>
      </c>
      <c r="Q243" s="388">
        <f ca="1">MAX($G243-Control!$C$107,0)</f>
        <v>0</v>
      </c>
      <c r="R243" s="388">
        <f t="shared" ca="1" si="820"/>
        <v>0</v>
      </c>
      <c r="S243" s="388">
        <f t="shared" ca="1" si="698"/>
        <v>0</v>
      </c>
      <c r="T243" s="388">
        <f t="shared" ca="1" si="699"/>
        <v>0</v>
      </c>
      <c r="U243" s="59">
        <f t="shared" ca="1" si="700"/>
        <v>0</v>
      </c>
      <c r="V243" s="391">
        <f ca="1">MAX(0,MIN(Control!$C$100-Control!$C$99,$G243-Control!$C$99)*Control!$C$63)</f>
        <v>0</v>
      </c>
      <c r="W243" s="388">
        <f t="shared" ca="1" si="821"/>
        <v>0</v>
      </c>
      <c r="X243" s="388">
        <f t="shared" ca="1" si="822"/>
        <v>0.6110000000000001</v>
      </c>
      <c r="Y243" s="388">
        <f t="shared" ca="1" si="701"/>
        <v>0</v>
      </c>
      <c r="Z243" s="388">
        <f t="shared" ca="1" si="823"/>
        <v>0.61058800000000002</v>
      </c>
      <c r="AA243" s="388">
        <f t="shared" ca="1" si="702"/>
        <v>0.6018</v>
      </c>
      <c r="AB243" s="388">
        <f ca="1">101.3*EXP(-0.034*Control!$C$66/($G243+273))</f>
        <v>100.69623283836242</v>
      </c>
      <c r="AC243" s="392">
        <f t="shared" ca="1" si="703"/>
        <v>4.3460251046025113E-2</v>
      </c>
      <c r="AD243" s="392">
        <f t="shared" ca="1" si="704"/>
        <v>4.4450382862832649E-2</v>
      </c>
      <c r="AE243" s="388">
        <f t="shared" ca="1" si="705"/>
        <v>0</v>
      </c>
      <c r="AF243" s="388">
        <f ca="1">MAX(0,$G243-Control!$C$92)</f>
        <v>0</v>
      </c>
      <c r="AG243" s="393">
        <f t="shared" ca="1" si="706"/>
        <v>239</v>
      </c>
      <c r="AH243" s="389">
        <f t="shared" ca="1" si="707"/>
        <v>239</v>
      </c>
      <c r="AI243" s="388">
        <f t="shared" ca="1" si="824"/>
        <v>0.165210924343936</v>
      </c>
      <c r="AJ243" s="388">
        <f ca="1">IF(Control!$C$60&lt;=0,$HH243,$HI243)</f>
        <v>1</v>
      </c>
      <c r="AK243" s="388">
        <f t="shared" ca="1" si="708"/>
        <v>2.7370588050453541</v>
      </c>
      <c r="AL243" s="388">
        <f t="shared" ca="1" si="709"/>
        <v>-1.2082385439371457E-17</v>
      </c>
      <c r="AM243" s="388">
        <f t="shared" ca="1" si="710"/>
        <v>2.7370588050453541</v>
      </c>
      <c r="AN243" s="388">
        <f t="shared" ca="1" si="711"/>
        <v>0.15721707329317011</v>
      </c>
      <c r="AO243" s="388">
        <f ca="1">-0.10453/COS(Control!$B$8*PI()/180)*COS(AN243)</f>
        <v>-0.16769087877515673</v>
      </c>
      <c r="AP243" s="388">
        <f ca="1">ACOS(AO243-TAN(Control!$B$8*PI()/180)*TAN(AN243))</f>
        <v>1.950444858884758</v>
      </c>
      <c r="AQ243" s="388">
        <f t="shared" ca="1" si="825"/>
        <v>0</v>
      </c>
      <c r="AR243" s="394">
        <f t="shared" ca="1" si="712"/>
        <v>0</v>
      </c>
      <c r="AS243" s="436">
        <f ca="1">IF(Control!$B$18=2,(IF(OR($AH243=Control!$B$175,$AH243=Control!$B$176,$AH243=Control!$B$177,$AH243=Control!$B$178,$AH243=Control!$B$179,$AH243=Control!$B$180,$AH243=Control!$B$181,$AH243=Control!$B$182,$AH243=Control!$B$183,$AH243=Control!$B$184,$AH243=Control!$B$185),1,0)),0)</f>
        <v>0</v>
      </c>
      <c r="AT243" s="436">
        <f>IF(Control!$B$20=8,IF(AND($AH243&gt;=Control!$B$172,$AH243&lt;=Control!$B$173),1,0),0)</f>
        <v>0</v>
      </c>
      <c r="AU243" s="436">
        <f>IF(Control!$B$20=8,IF($AV242=1,1*$AT243,IF($AT243=1,$AU242+1,$AU242)),0)</f>
        <v>0</v>
      </c>
      <c r="AV243" s="436">
        <f>IF(Control!$B$20=8,IF($AU243&gt;=Control!$B$174,1,0),0)</f>
        <v>0</v>
      </c>
      <c r="AW243" s="436">
        <f ca="1">IF(AND(Control!$B$18=2,Control!$B$171=1), $AV243, $AS243)</f>
        <v>0</v>
      </c>
      <c r="AX243" s="436" t="e">
        <f ca="1">IF(AND(Control!$B$18=1,$EU243&gt;=Control!$B$19),-$AY243,IF(AND(Control!$B$18=2,$AW243=1,$EU243&gt;$DS243),-$AY243, IF(Control!$C$108=0,0, IF(Control!$C$108&lt;&gt;0,1))))</f>
        <v>#N/A</v>
      </c>
      <c r="AY243" s="436" t="e">
        <f t="shared" ca="1" si="826"/>
        <v>#N/A</v>
      </c>
      <c r="AZ243" s="436" t="e">
        <f ca="1">IF(AND(Control!$B$18=1,$EB243&gt;Control!$B$19),$AZ242+1, IF(AND(Control!$B$18=2, $AW243=1, $EB243&gt;$DS243), $AZ242+1,$AZ242))</f>
        <v>#N/A</v>
      </c>
      <c r="BA243" s="587">
        <f>IF(Control!$C$81=0,1,IF($AH243&gt;=Control!$C$82,1,0))</f>
        <v>1</v>
      </c>
      <c r="BB243" s="140" t="e">
        <f ca="1">IF($BA243&gt;$BA242,Control!$C$83,IF($AW243&gt;0,$AW243*Control!$C$84,IF(AND(Control!$B$18=1,EN242&lt;&gt;0),Control!$C$84,0)))</f>
        <v>#N/A</v>
      </c>
      <c r="BC243" s="140" t="e">
        <f t="shared" ca="1" si="827"/>
        <v>#N/A</v>
      </c>
      <c r="BD243" s="140" t="e">
        <f ca="1">BC243*IF(OR($G243&lt;Control!$C$92,$G243&gt;Control!$C$95),0,IF(AND($G243&gt;=Control!$C$92,$G243&lt;=Control!$C$93),$G243-Control!$C$92,IF(AND($G243&gt;Control!$C$93,$G243&lt;=Control!$C$94),Control!$C$93-Control!$C$92,IF(AND($G243&gt;Control!$C$94,$G243&lt;=Control!$C$95),(Control!$C$93-Control!$C$92)*(Control!$C$94-$G243)/(Control!$C$95-Control!$C$94)))))</f>
        <v>#N/A</v>
      </c>
      <c r="BE243" s="140" t="e">
        <f t="shared" ca="1" si="828"/>
        <v>#N/A</v>
      </c>
      <c r="BF243" s="140" t="e">
        <f ca="1">IF($BE243&lt;=Control!$C$86,$BE243,Control!$C$86-$BE243)</f>
        <v>#N/A</v>
      </c>
      <c r="BG243" s="140" t="e">
        <f ca="1">IF(AND($AW243=1,Control!$C$84&lt;9),1,IF($BE243&gt;=Control!$C$86,0,$BC243))</f>
        <v>#N/A</v>
      </c>
      <c r="BH243" s="404" t="e">
        <f ca="1">IF($BG243=0,0,IF($BE243&lt;=Control!$C$86,$BC243*9*($BF243/Control!$C$86),0))</f>
        <v>#N/A</v>
      </c>
      <c r="BI243" s="140" t="e">
        <f ca="1">IF($BG243=1,0,IF($BE243&gt;=Control!$C$86,1,IF(AND($BB243&lt;21,$BB243&gt;=9),1,$BM242)))</f>
        <v>#N/A</v>
      </c>
      <c r="BJ243" s="140" t="e">
        <f ca="1">IF($BF243&lt;0,-$BF243,$BI243*IF(OR($G243&lt;Control!$C$92,$G243&gt;Control!$C$95),0,IF(AND($G243&gt;=Control!$C$92,$G243&lt;=Control!$C$93),$G243-Control!$C$92,IF(AND($G243&gt;Control!$C$93,$G243&lt;=Control!$C$94),Control!$C$93-Control!$C$92,IF(AND($G243&gt;Control!$C$94,$G243&lt;=Control!$C$95),(Control!$C$93-Control!$C$92)*(Control!$C$94-$G243)/(Control!$C$95-Control!$C$94))))))</f>
        <v>#N/A</v>
      </c>
      <c r="BK243" s="140" t="e">
        <f t="shared" ca="1" si="829"/>
        <v>#N/A</v>
      </c>
      <c r="BL243" s="140" t="e">
        <f ca="1">IF($BK243&lt;=Control!$C$87,$BK243,Control!$C$87-$BK243)</f>
        <v>#N/A</v>
      </c>
      <c r="BM243" s="140" t="e">
        <f ca="1">IF(AND($BB243&gt;=9,$BB243&lt;21),1,IF($BK243&gt;=Control!$C$87,0,$BI243))</f>
        <v>#N/A</v>
      </c>
      <c r="BN243" s="404" t="e">
        <f ca="1">IF($BM243=0,0,IF($BK243&lt;=Control!$C$87,$BI243*(9+(21-9)*($BL243/Control!$C$87)),0))</f>
        <v>#N/A</v>
      </c>
      <c r="BO243" s="140" t="e">
        <f ca="1">IF($BM243=1,0,IF($BK243&gt;=Control!$C$87,1,IF(AND($BB243&lt;30,$BB243&gt;=21),1,$BS242)))</f>
        <v>#N/A</v>
      </c>
      <c r="BP243" s="140" t="e">
        <f ca="1">IF($BL243&lt;0,-$BL243,$BO243*IF(OR($G243&lt;Control!$C$92,$G243&gt;Control!$C$95),0,IF(AND($G243&gt;=Control!$C$92,$G243&lt;=Control!$C$93),$G243-Control!$C$92,IF(AND($G243&gt;Control!$C$93,$G243&lt;=Control!$C$94),Control!$C$93-Control!$C$92,IF(AND($G243&gt;Control!$C$94,$G243&lt;=Control!$C$95),(Control!$C$93-Control!$C$92)*(Control!$C$94-$G243)/(Control!$C$95-Control!$C$94))))))</f>
        <v>#N/A</v>
      </c>
      <c r="BQ243" s="140" t="e">
        <f t="shared" ca="1" si="713"/>
        <v>#N/A</v>
      </c>
      <c r="BR243" s="140" t="e">
        <f ca="1">IF($BQ243&lt;=Control!$C$88,$BQ243,Control!$C$88-$BQ243)</f>
        <v>#N/A</v>
      </c>
      <c r="BS243" s="140" t="e">
        <f ca="1">IF(AND($BB243&gt;=21,$BB243&lt;30),1,IF($BQ243&gt;=Control!$C$88,0,$BO243))</f>
        <v>#N/A</v>
      </c>
      <c r="BT243" s="404" t="e">
        <f ca="1">IF($BS243=0,0,IF($BQ243&lt;=Control!$C$88,$BO243*(21+(30-21)*(BR243/Control!$C$88)),0))</f>
        <v>#N/A</v>
      </c>
      <c r="BU243" s="140" t="e">
        <f ca="1">IF(BG243+BM243+BS243=1,0,IF(OR(AND($BB243&lt;60,$BB243&gt;=30),$BQ243&gt;=Control!$C$88),1*$BA243,$BY242))</f>
        <v>#N/A</v>
      </c>
      <c r="BV243" s="140" t="e">
        <f ca="1">IF($BR243&lt;0,-$BR243,$BU243*IF(OR($G243&lt;Control!$C$92,$G243&gt;Control!$C$95),0,IF(AND($G243&gt;=Control!$C$92,$G243&lt;=Control!$C$93),$G243-Control!$C$92,IF(AND($G243&gt;Control!$C$93,$G243&lt;=Control!$C$94),Control!$C$93-Control!$C$92,IF(AND($G243&gt;Control!$C$94,$G243&lt;=Control!$C$95),(Control!$C$93-Control!$C$92)*(Control!$C$94-$G243)/(Control!$C$95-Control!$C$94))))))</f>
        <v>#N/A</v>
      </c>
      <c r="BW243" s="140" t="e">
        <f t="shared" ca="1" si="714"/>
        <v>#N/A</v>
      </c>
      <c r="BX243" s="140" t="e">
        <f ca="1">IF($BW243&lt;=Control!$C$89,$BW243,Control!$C$89-$BW243)</f>
        <v>#N/A</v>
      </c>
      <c r="BY243" s="140" t="e">
        <f ca="1">IF(AND($AJ243&gt;=30,$AJ243&lt;60),1,IF($BW243&gt;=Control!$C$89,0,$BU243))</f>
        <v>#N/A</v>
      </c>
      <c r="BZ243" s="404" t="e">
        <f ca="1">IF($BY243=0,0,IF($BW243&lt;=Control!$C$89,$BU243*(30+(60-30)*(BX243/Control!$C$89)),0))</f>
        <v>#N/A</v>
      </c>
      <c r="CA243" s="140" t="e">
        <f ca="1">IF($BG243+$BM243+$BS243+$BY243=1,0,IF(OR(AND($BB243&lt;65,$BB243&gt;=60),$BW243&gt;=Control!$C$89),1*$BA243,$CE242))</f>
        <v>#N/A</v>
      </c>
      <c r="CB243" s="140" t="e">
        <f ca="1">IF($BX243&lt;0,-$BX243,$CA243*IF(OR($G243&lt;Control!$C$92,$G243&gt;Control!$C$95),0,IF(AND($G243&gt;=Control!$C$92,$G243&lt;=Control!$C$93),$G243-Control!$C$92,IF(AND($G243&gt;Control!$C$93,$G243&lt;=Control!$C$94),Control!$C$93-Control!$C$92,IF(AND($G243&gt;Control!$C$94,$G243&lt;=Control!$C$95),(Control!$C$93-Control!$C$92)*(Control!$C$94-$G243)/(Control!$C$95-Control!$C$94))))))</f>
        <v>#N/A</v>
      </c>
      <c r="CC243" s="140" t="e">
        <f t="shared" ca="1" si="830"/>
        <v>#N/A</v>
      </c>
      <c r="CD243" s="140" t="e">
        <f ca="1">IF($CC243&lt;=Control!$C$90,$CC243,Control!$C$90-$CC243)</f>
        <v>#N/A</v>
      </c>
      <c r="CE243" s="140" t="e">
        <f ca="1">IF(AND($BB243&gt;=60,$BB243&lt;65),1,IF($CC243&gt;=Control!$C$90,0,$CA243))</f>
        <v>#N/A</v>
      </c>
      <c r="CF243" s="404" t="e">
        <f ca="1">IF($CE243=0,0,IF($CC243&lt;=Control!$C$90,$CA243*(60+(65-60)*(CD243/Control!$C$90)),0))</f>
        <v>#N/A</v>
      </c>
      <c r="CG243" s="140" t="e">
        <f ca="1">IF($BG243+$BM243+$BS243+$BY243+$CE243=1,0,IF(OR(AND($BB243&lt;90,$BB243&gt;=65),$CC243&gt;=Control!$C$90),$BA243,$CK242))</f>
        <v>#N/A</v>
      </c>
      <c r="CH243" s="140" t="e">
        <f ca="1">IF($CD243&lt;0,-$CD243,$CG243*IF(OR($G243&lt;Control!$C$92,$G243&gt;Control!$C$95),0,IF(AND($G243&gt;=Control!$C$92,$G243&lt;=Control!$C$93),$G243-Control!$C$92,IF(AND($G243&gt;Control!$C$93,$G243&lt;=Control!$C$94),Control!$C$93-Control!$C$92,IF(AND($G243&gt;Control!$C$94,$G243&lt;=Control!$C$95),(Control!$C$93-Control!$C$92)*(Control!$C$94-$G243)/(Control!$C$95-Control!$C$94))))))</f>
        <v>#N/A</v>
      </c>
      <c r="CI243" s="140" t="e">
        <f t="shared" ca="1" si="831"/>
        <v>#N/A</v>
      </c>
      <c r="CJ243" s="140" t="e">
        <f ca="1">IF($CI243&lt;=Control!$C$91,$CI243,Control!$C$91-$CI243)</f>
        <v>#N/A</v>
      </c>
      <c r="CK243" s="140" t="e">
        <f ca="1">IF(AND($BB243&gt;=65,$BB243&lt;90),1,IF($CI243&gt;=Control!$C$91,0,$CG243))</f>
        <v>#N/A</v>
      </c>
      <c r="CL243" s="404" t="e">
        <f ca="1">IF($CK243=0,0,IF($CI243&lt;=Control!$C$91,$CG243*(65+(90-65)*($CJ243/Control!$C$91)),0))</f>
        <v>#N/A</v>
      </c>
      <c r="CM243" s="140" t="e">
        <f ca="1">IF($BG243+$BM243+$BS243+$BY243+$CE243+$CK243=1,0,IF(OR($BB243&gt;=90,$CI243&gt;=Control!$C$91),$BA243,$CM242))</f>
        <v>#N/A</v>
      </c>
      <c r="CN243" s="140" t="e">
        <f t="shared" ca="1" si="832"/>
        <v>#N/A</v>
      </c>
      <c r="CO243" s="140" t="e">
        <f t="shared" ca="1" si="833"/>
        <v>#N/A</v>
      </c>
      <c r="CP243" s="140" t="e">
        <f t="shared" ca="1" si="834"/>
        <v>#N/A</v>
      </c>
      <c r="CQ243" s="141" t="e">
        <f ca="1">VLOOKUP($CP243,Control!$B$86:$G$91,6)</f>
        <v>#N/A</v>
      </c>
      <c r="CR243" s="141" t="e">
        <f ca="1">(1-$CQ243)*VLOOKUP($CP243,Control!$B$86:$D$91,3)</f>
        <v>#N/A</v>
      </c>
      <c r="CS243" s="141" t="e">
        <f ca="1">(1-$CQ243)*VLOOKUP($CP243,Control!$B$86:$E$91,4)</f>
        <v>#N/A</v>
      </c>
      <c r="CT243" s="141" t="e">
        <f ca="1">(1-$CQ243)*VLOOKUP($CP243,Control!$B$86:$F$91,5)</f>
        <v>#N/A</v>
      </c>
      <c r="CU243" s="141">
        <f t="shared" ca="1" si="835"/>
        <v>0</v>
      </c>
      <c r="CV243" s="583">
        <f t="shared" ca="1" si="836"/>
        <v>0</v>
      </c>
      <c r="CW243" s="142">
        <f t="shared" ca="1" si="837"/>
        <v>239</v>
      </c>
      <c r="CX243" s="612" t="e">
        <f ca="1">IF(Control!$C$114=1,(MIN(Control!$C$120*(IF($NT243-0.01&lt;0,0,1)),Control!$C$119-$CY243)))</f>
        <v>#DIV/0!</v>
      </c>
      <c r="CY243" s="143" t="e">
        <f t="shared" ca="1" si="838"/>
        <v>#N/A</v>
      </c>
      <c r="CZ243" s="144">
        <f t="shared" ca="1" si="715"/>
        <v>0</v>
      </c>
      <c r="DA243" s="144">
        <f t="shared" ca="1" si="716"/>
        <v>0</v>
      </c>
      <c r="DB243" s="144" t="e">
        <f t="shared" ca="1" si="717"/>
        <v>#N/A</v>
      </c>
      <c r="DC243" s="144" t="e">
        <f t="shared" ca="1" si="718"/>
        <v>#N/A</v>
      </c>
      <c r="DD243" s="144" t="e">
        <f t="shared" ca="1" si="923"/>
        <v>#N/A</v>
      </c>
      <c r="DE243" s="143" t="e">
        <f t="shared" ca="1" si="839"/>
        <v>#N/A</v>
      </c>
      <c r="DF243" s="145" t="e">
        <f ca="1">$DR243*EXP(-Control!$C$158*(1-$KH243))</f>
        <v>#N/A</v>
      </c>
      <c r="DG243" s="146" t="e">
        <f ca="1">IF(Control!$C$114=1, $DF243*$EY243, 0)</f>
        <v>#N/A</v>
      </c>
      <c r="DH243" s="147" t="e">
        <f t="shared" ca="1" si="840"/>
        <v>#N/A</v>
      </c>
      <c r="DI243" s="144" t="e">
        <f t="shared" ca="1" si="901"/>
        <v>#N/A</v>
      </c>
      <c r="DJ243" s="147" t="e">
        <f ca="1">$EF243*Control!$C$109</f>
        <v>#N/A</v>
      </c>
      <c r="DK243" s="144" t="e">
        <f t="shared" ca="1" si="841"/>
        <v>#N/A</v>
      </c>
      <c r="DL243" s="144" t="e">
        <f t="shared" ca="1" si="719"/>
        <v>#N/A</v>
      </c>
      <c r="DM243" s="144" t="e">
        <f ca="1">IF(Control!$C$114=1, (1-EXP(-Control!$C$96*$DK243))*$AR243, 0)</f>
        <v>#N/A</v>
      </c>
      <c r="DN243" s="144">
        <f t="shared" ca="1" si="842"/>
        <v>0</v>
      </c>
      <c r="DO243" s="148">
        <f>Control!$C$97</f>
        <v>4</v>
      </c>
      <c r="DP243" s="145" t="e">
        <f t="shared" ca="1" si="843"/>
        <v>#N/A</v>
      </c>
      <c r="DQ243" s="145" t="e">
        <f ca="1">IF(AND($CP243&gt;=0,$CP243&lt;=90),Control!$C$111,Control!$C$111)</f>
        <v>#N/A</v>
      </c>
      <c r="DR243" s="145" t="e">
        <f t="shared" ca="1" si="720"/>
        <v>#N/A</v>
      </c>
      <c r="DS243" s="143" t="e">
        <f ca="1">Control!$B$22/$DR243</f>
        <v>#N/A</v>
      </c>
      <c r="DT243" s="149" t="e">
        <f ca="1">IF(AND(Control!$C$114=1,$KH243&lt;1),$IM243*$DF243, 0)</f>
        <v>#N/A</v>
      </c>
      <c r="DU243" s="144" t="e">
        <f t="shared" ca="1" si="844"/>
        <v>#N/A</v>
      </c>
      <c r="DV243" s="144">
        <f ca="1">IF($G243-Control!$C$107&lt;=0, 0, 0.83*LN(MAX($G243, 3))-0.8924)</f>
        <v>0</v>
      </c>
      <c r="DW243" s="144" t="e">
        <f t="shared" ca="1" si="721"/>
        <v>#N/A</v>
      </c>
      <c r="DX243" s="150" t="e">
        <f ca="1">MAX(0.01*(1+$CU243/Control!$C$102),0.05*($DK243-Control!$C$97)/Control!$C$97)</f>
        <v>#N/A</v>
      </c>
      <c r="DY243" s="151" t="e">
        <f ca="1">IF(Control!$C$114=1, $DI243*$FS243, 0)</f>
        <v>#N/A</v>
      </c>
      <c r="DZ243" s="196" t="e">
        <f t="shared" ca="1" si="845"/>
        <v>#N/A</v>
      </c>
      <c r="EA243" s="152">
        <f t="shared" ca="1" si="846"/>
        <v>239</v>
      </c>
      <c r="EB243" s="153" t="e">
        <f t="shared" ca="1" si="847"/>
        <v>#N/A</v>
      </c>
      <c r="EC243" s="153" t="e">
        <f t="shared" ca="1" si="848"/>
        <v>#N/A</v>
      </c>
      <c r="ED243" s="154" t="e">
        <f ca="1">IF(Control!$C$114=1, $HM243*$FY243-$FD243, 0)</f>
        <v>#DIV/0!</v>
      </c>
      <c r="EE243" s="155" t="e">
        <f ca="1">IF(Control!$C$114=1, $HM243*$FZ243-$FF243, 0)</f>
        <v>#DIV/0!</v>
      </c>
      <c r="EF243" s="153" t="e">
        <f t="shared" ca="1" si="902"/>
        <v>#N/A</v>
      </c>
      <c r="EG243" s="155" t="e">
        <f ca="1">IF(Control!$C$114=1, $GX243*$FW243-$FI243, 0)</f>
        <v>#DIV/0!</v>
      </c>
      <c r="EH243" s="153" t="e">
        <f t="shared" ca="1" si="849"/>
        <v>#N/A</v>
      </c>
      <c r="EI243" s="156" t="e">
        <f t="shared" ca="1" si="850"/>
        <v>#N/A</v>
      </c>
      <c r="EJ243" s="155" t="e">
        <f ca="1">IF(Control!$C$114=1, $HM243*$GB243, 0)</f>
        <v>#DIV/0!</v>
      </c>
      <c r="EK243" s="153" t="e">
        <f t="shared" ca="1" si="903"/>
        <v>#N/A</v>
      </c>
      <c r="EL243" s="153" t="e">
        <f t="shared" ca="1" si="722"/>
        <v>#N/A</v>
      </c>
      <c r="EM243" s="153" t="e">
        <f t="shared" ca="1" si="723"/>
        <v>#N/A</v>
      </c>
      <c r="EN243" s="153" t="e">
        <f ca="1">IF(Control!$C$108=1,IF(AND(Control!$B$18=1,$EB243&gt;=Control!$B$19),$EB243-$DS243,IF(AND(Control!$B$18=2,$AW243=1,$EB243&gt;$DS243),$EB243-$DS243,0)))</f>
        <v>#N/A</v>
      </c>
      <c r="EO243" s="153" t="e">
        <f ca="1">IF(Control!$C$108=1,IF(AND(Control!$B$18=1,$EB243&gt;=Control!$B$19),$EF243,IF(AND(Control!$B$18=2,$AW243=1),$EF243,0)))</f>
        <v>#N/A</v>
      </c>
      <c r="EP243" s="153" t="e">
        <f ca="1">IF(Control!$C$108=1,IF(AND(Control!$B$18=1,$EB243&gt;=Control!$B$19),$EK243,IF(AND(Control!$B$18=2,$AW243=1),$EK243,0)))</f>
        <v>#N/A</v>
      </c>
      <c r="EQ243" s="153" t="e">
        <f t="shared" ca="1" si="851"/>
        <v>#N/A</v>
      </c>
      <c r="ER243" s="153" t="e">
        <f t="shared" ca="1" si="852"/>
        <v>#N/A</v>
      </c>
      <c r="ES243" s="153" t="e">
        <f t="shared" ca="1" si="904"/>
        <v>#N/A</v>
      </c>
      <c r="ET243" s="153" t="e">
        <f t="shared" ca="1" si="905"/>
        <v>#N/A</v>
      </c>
      <c r="EU243" s="153" t="e">
        <f t="shared" ca="1" si="853"/>
        <v>#N/A</v>
      </c>
      <c r="EV243" s="153" t="e">
        <f t="shared" ca="1" si="724"/>
        <v>#N/A</v>
      </c>
      <c r="EW243" s="153" t="e">
        <f t="shared" ca="1" si="725"/>
        <v>#N/A</v>
      </c>
      <c r="EX243" s="153" t="e">
        <f t="shared" ca="1" si="726"/>
        <v>#N/A</v>
      </c>
      <c r="EY243" s="157" t="e">
        <f t="shared" ca="1" si="727"/>
        <v>#DIV/0!</v>
      </c>
      <c r="EZ243" s="154" t="e">
        <f t="shared" ca="1" si="728"/>
        <v>#DIV/0!</v>
      </c>
      <c r="FA243" s="153" t="e">
        <f t="shared" ca="1" si="854"/>
        <v>#N/A</v>
      </c>
      <c r="FB243" s="153" t="e">
        <f t="shared" ca="1" si="729"/>
        <v>#N/A</v>
      </c>
      <c r="FC243" s="193" t="e">
        <f t="shared" ca="1" si="730"/>
        <v>#N/A</v>
      </c>
      <c r="FD243" s="158" t="e">
        <f t="shared" ca="1" si="855"/>
        <v>#N/A</v>
      </c>
      <c r="FE243" s="158" t="e">
        <f t="shared" ca="1" si="856"/>
        <v>#N/A</v>
      </c>
      <c r="FF243" s="159" t="e">
        <f t="shared" ca="1" si="731"/>
        <v>#N/A</v>
      </c>
      <c r="FG243" s="160" t="e">
        <f t="shared" ca="1" si="857"/>
        <v>#N/A</v>
      </c>
      <c r="FH243" s="158" t="e">
        <f t="shared" ca="1" si="858"/>
        <v>#N/A</v>
      </c>
      <c r="FI243" s="159" t="e">
        <f t="shared" ca="1" si="732"/>
        <v>#N/A</v>
      </c>
      <c r="FJ243" s="160" t="e">
        <f t="shared" ca="1" si="859"/>
        <v>#N/A</v>
      </c>
      <c r="FK243" s="160" t="e">
        <f t="shared" ca="1" si="733"/>
        <v>#N/A</v>
      </c>
      <c r="FL243" s="160" t="e">
        <f t="shared" ca="1" si="906"/>
        <v>#N/A</v>
      </c>
      <c r="FM243" s="160" t="e">
        <f t="shared" ca="1" si="734"/>
        <v>#N/A</v>
      </c>
      <c r="FN243" s="158">
        <f t="shared" ca="1" si="860"/>
        <v>0.01</v>
      </c>
      <c r="FO243" s="160">
        <f>Control!$C$101</f>
        <v>50</v>
      </c>
      <c r="FP243" s="150" t="e">
        <f t="shared" ca="1" si="735"/>
        <v>#N/A</v>
      </c>
      <c r="FQ243" s="150" t="e">
        <f ca="1">MAX(0,(Control!$C$112*(($DK243-Control!$C$97)/Control!$C$97)))</f>
        <v>#N/A</v>
      </c>
      <c r="FR243" s="150" t="e">
        <f ca="1">(1-$NT243)*Control!$C$113</f>
        <v>#DIV/0!</v>
      </c>
      <c r="FS243" s="198" t="e">
        <f t="shared" ca="1" si="736"/>
        <v>#N/A</v>
      </c>
      <c r="FT243" s="161">
        <f t="shared" ca="1" si="861"/>
        <v>239</v>
      </c>
      <c r="FU243" s="162" t="e">
        <f ca="1">IF(Control!$B$34=1,VLOOKUP($CP243,Control!$B$86:$G$91,6),Control!$B$35)</f>
        <v>#N/A</v>
      </c>
      <c r="FV243" s="162" t="e">
        <f t="shared" ca="1" si="737"/>
        <v>#DIV/0!</v>
      </c>
      <c r="FW243" s="162" t="e">
        <f ca="1">IF(Control!$B$31=1,$FU243*$FV243,  $FU243)</f>
        <v>#N/A</v>
      </c>
      <c r="FX243" s="162" t="e">
        <f ca="1">IF(Control!$B$34=1,VLOOKUP($CP243,Control!$B$86:$G$91,3),Control!$B$36)</f>
        <v>#N/A</v>
      </c>
      <c r="FY243" s="162" t="e">
        <f t="shared" ca="1" si="738"/>
        <v>#N/A</v>
      </c>
      <c r="FZ243" s="162" t="e">
        <f ca="1">IF(Control!$B$34=1,VLOOKUP($CP243,Control!$B$86:$G$91,4),Control!$B$37)</f>
        <v>#N/A</v>
      </c>
      <c r="GA243" s="162" t="e">
        <f t="shared" ca="1" si="739"/>
        <v>#N/A</v>
      </c>
      <c r="GB243" s="162" t="e">
        <f ca="1">IF(Control!$B$34=1,VLOOKUP($CP243,Control!$B$86:$G$91,5),Control!$B$38)</f>
        <v>#N/A</v>
      </c>
      <c r="GC243" s="162" t="e">
        <f t="shared" ca="1" si="862"/>
        <v>#N/A</v>
      </c>
      <c r="GD243" s="162">
        <f t="shared" ca="1" si="740"/>
        <v>1</v>
      </c>
      <c r="GE243" s="162">
        <f t="shared" ca="1" si="741"/>
        <v>1</v>
      </c>
      <c r="GF243" s="162">
        <f ca="1">IF(AND(Control!$C$104=1, Control!$C$62="F"),$GE243,1)</f>
        <v>1</v>
      </c>
      <c r="GG243" s="162" t="e">
        <f ca="1">IF(Control!$B$16=40,0,IF(AND(Control!$B$16&gt;40,Control!$B$16&lt;=360),(Control!$B$16-40)*((1-0)/(360-40)),IF(AND(Control!$B$16&gt;360,Control!$B$16&lt;=720),(1+(Control!$B$16-360)*((1.25-1)/(720-360))),IF(AND(Control!$B$16&gt;720,Control!$B$16&lt;=1000),(1.25+(Control!$B$16-720)*((1.35-1.25)/(1000-720))),IF(AND(Control!$B$16&gt;1000,Control!$B$16&lt;=2000),(1.35+(Control!$B$16-1000)*0))))))</f>
        <v>#N/A</v>
      </c>
      <c r="GH243" s="162" t="e">
        <f t="shared" ca="1" si="742"/>
        <v>#N/A</v>
      </c>
      <c r="GI243" s="162">
        <f t="shared" ca="1" si="863"/>
        <v>0</v>
      </c>
      <c r="GJ243" s="162">
        <f t="shared" ca="1" si="743"/>
        <v>0</v>
      </c>
      <c r="GK243" s="162">
        <f t="shared" ca="1" si="864"/>
        <v>1</v>
      </c>
      <c r="GL243" s="162">
        <f t="shared" ca="1" si="744"/>
        <v>1</v>
      </c>
      <c r="GM243" s="162" t="e">
        <f ca="1">MAX(0,MIN(1,1-Control!$C$156*(1.0001-$KH243)^2))</f>
        <v>#N/A</v>
      </c>
      <c r="GN243" s="162" t="e">
        <f ca="1">IF(Control!$B$26=1,$KU243,$KX243)</f>
        <v>#N/A</v>
      </c>
      <c r="GO243" s="162" t="e">
        <f ca="1">IF($CP243&lt;=60,Control!$C$105,IF($CP243&gt;=90,Control!$C$106,Control!$C$105+($CP243-60)*((Control!$C$106-Control!$C$105)/(90-60))))</f>
        <v>#N/A</v>
      </c>
      <c r="GP243" s="162" t="e">
        <f t="shared" ca="1" si="745"/>
        <v>#N/A</v>
      </c>
      <c r="GQ243" s="162" t="e">
        <f t="shared" ca="1" si="865"/>
        <v>#N/A</v>
      </c>
      <c r="GR243" s="163" t="e">
        <f t="shared" ca="1" si="746"/>
        <v>#DIV/0!</v>
      </c>
      <c r="GS243" s="162" t="e">
        <f t="shared" ca="1" si="747"/>
        <v>#DIV/0!</v>
      </c>
      <c r="GT243" s="164" t="e">
        <f t="shared" ca="1" si="866"/>
        <v>#N/A</v>
      </c>
      <c r="GU243" s="162" t="e">
        <f t="shared" ca="1" si="867"/>
        <v>#N/A</v>
      </c>
      <c r="GV243" s="162" t="e">
        <f t="shared" ca="1" si="748"/>
        <v>#N/A</v>
      </c>
      <c r="GW243" s="162" t="e">
        <f t="shared" ca="1" si="749"/>
        <v>#DIV/0!</v>
      </c>
      <c r="GX243" s="162" t="e">
        <f t="shared" ca="1" si="868"/>
        <v>#DIV/0!</v>
      </c>
      <c r="GY243" s="162" t="e">
        <f t="shared" ca="1" si="869"/>
        <v>#DIV/0!</v>
      </c>
      <c r="GZ243" s="165" t="e">
        <f t="shared" ca="1" si="750"/>
        <v>#N/A</v>
      </c>
      <c r="HA243" s="162" t="e">
        <f ca="1">IF(Control!$C$114=1, $DI243*$FS243, 0)</f>
        <v>#N/A</v>
      </c>
      <c r="HB243" s="162" t="e">
        <f ca="1">$FA243/Control!$C$64</f>
        <v>#N/A</v>
      </c>
      <c r="HC243" s="162" t="e">
        <f t="shared" ca="1" si="751"/>
        <v>#DIV/0!</v>
      </c>
      <c r="HD243" s="162">
        <f ca="1">-ASIN(SIN(23.45*Control!$C$139)*COS(2*Control!$C$138*($AH243+10)/365))</f>
        <v>0.165210924343936</v>
      </c>
      <c r="HE243" s="165">
        <f t="shared" ca="1" si="870"/>
        <v>0</v>
      </c>
      <c r="HF243" s="166">
        <f ca="1">IF(AND(Control!$C$61="T",$HE243&gt;=Control!$C$103,Control!$C$114=0),$AH243,Control!$C$59)</f>
        <v>1</v>
      </c>
      <c r="HG243" s="166">
        <f ca="1">IF(AND(Control!$C$61="T",$HE243&gt;=Control!$C$103,Control!$C$114=0),$HF243,Control!$C$59)</f>
        <v>1</v>
      </c>
      <c r="HH243" s="165">
        <f ca="1">IF(AND(OR(Control!$C$60&lt;=0, $AH243= Control!$C$59, Control!$C$60 &gt;0, $AH243 = Control!$C$60)), Control!$C$59, IF(Control!$C$60&gt;0, 0))</f>
        <v>1</v>
      </c>
      <c r="HI243" s="165">
        <f ca="1">IF(AND(OR(Control!$C$60&lt;=0, $AH243= Control!$C$59, Control!$C$60 &gt;0, $AH243 = Control!$C$60)), Control!$C$60, IF(Control!$C$60&lt;=0, 0))</f>
        <v>0</v>
      </c>
      <c r="HJ243" s="166">
        <f ca="1">IF(AND(Control!$C$62="F",$CV243&gt;=Control!$C$102),$AH243,0)</f>
        <v>0</v>
      </c>
      <c r="HK243" s="165" t="e">
        <f t="shared" ca="1" si="907"/>
        <v>#N/A</v>
      </c>
      <c r="HL243" s="166">
        <f ca="1">IF(AND(Control!$C$61="T",$HE243&gt;=Control!$C$103,Control!$C$114=0),$HF243,0)</f>
        <v>0</v>
      </c>
      <c r="HM243" s="201" t="e">
        <f t="shared" ca="1" si="752"/>
        <v>#DIV/0!</v>
      </c>
      <c r="HN243" s="215">
        <f t="shared" ca="1" si="871"/>
        <v>239</v>
      </c>
      <c r="HO243" s="216" t="e">
        <f ca="1">IF(AND($CP243&gt;=0, $CP243&lt;=90), Control!$C$152, Control!$C$152)</f>
        <v>#N/A</v>
      </c>
      <c r="HP243" s="216" t="e">
        <f t="shared" ca="1" si="753"/>
        <v>#N/A</v>
      </c>
      <c r="HQ243" s="217" t="e">
        <f ca="1">IF(OR(Control!$B$26=1,Control!$B$26=2),$KV243,$KS243)</f>
        <v>#DIV/0!</v>
      </c>
      <c r="HR243" s="218" t="e">
        <f t="shared" ca="1" si="908"/>
        <v>#DIV/0!</v>
      </c>
      <c r="HS243" s="216" t="e">
        <f ca="1">Control!$C$154*$HP243</f>
        <v>#N/A</v>
      </c>
      <c r="HT243" s="216" t="e">
        <f ca="1">Control!$C$155*$HP243</f>
        <v>#N/A</v>
      </c>
      <c r="HU243" s="217" t="e">
        <f ca="1">Control!$C$161*$FI243</f>
        <v>#N/A</v>
      </c>
      <c r="HV243" s="218" t="e">
        <f t="shared" ca="1" si="872"/>
        <v>#N/A</v>
      </c>
      <c r="HW243" s="218" t="e">
        <f ca="1">Control!$C$160*$FF243+$IP243*$EO243</f>
        <v>#N/A</v>
      </c>
      <c r="HX243" s="218" t="e">
        <f t="shared" ca="1" si="909"/>
        <v>#N/A</v>
      </c>
      <c r="HY243" s="219" t="e">
        <f ca="1">IF(Control!$C$114=1, $EB243*$FS243, 0)</f>
        <v>#N/A</v>
      </c>
      <c r="HZ243" s="91" t="e">
        <f t="shared" ca="1" si="754"/>
        <v>#N/A</v>
      </c>
      <c r="IA243" s="220" t="e">
        <f ca="1">Control!$C$153*$HO243</f>
        <v>#N/A</v>
      </c>
      <c r="IB243" s="218" t="e">
        <f t="shared" ca="1" si="755"/>
        <v>#N/A</v>
      </c>
      <c r="IC243" s="220" t="e">
        <f ca="1">Control!$C$153*$HT243</f>
        <v>#N/A</v>
      </c>
      <c r="ID243" s="218" t="e">
        <f t="shared" ca="1" si="756"/>
        <v>#N/A</v>
      </c>
      <c r="IE243" s="221" t="e">
        <f ca="1">($EB243*Control!$C$159+$EF243*Control!$C$160)/(IF($GZ243&lt;&gt;0,$GZ243,1))</f>
        <v>#N/A</v>
      </c>
      <c r="IF243" s="216" t="e">
        <f t="shared" ca="1" si="757"/>
        <v>#N/A</v>
      </c>
      <c r="IG243" s="91">
        <f ca="1">IF(OR(Control!$B$198=$AH243,Control!$B$199=$AH243, Control!$B$200=$AH243, Control!$B$201=$AH243, Control!$B$202=$AH243, Control!$B$203=$AH243, Control!$B$204=$AH243, Control!$B$205=$AH243, Control!$B$206=$AH243, Control!$B$207=$AH243), 1, 0)</f>
        <v>0</v>
      </c>
      <c r="IH243" s="91">
        <f ca="1">IF($IG243=0,0, VLOOKUP($AH243,Control!$B$198:$C$207,2))</f>
        <v>0</v>
      </c>
      <c r="II243" s="222">
        <f t="shared" ca="1" si="873"/>
        <v>0</v>
      </c>
      <c r="IJ243" s="91">
        <f>Control!$C$121</f>
        <v>0.7</v>
      </c>
      <c r="IK243" s="218">
        <f t="shared" ca="1" si="758"/>
        <v>0</v>
      </c>
      <c r="IL243" s="217" t="e">
        <f t="shared" ca="1" si="910"/>
        <v>#N/A</v>
      </c>
      <c r="IM243" s="223" t="e">
        <f ca="1">IF(AND(Control!$C$114=1,$KH243&lt;1),$EB243*Control!$C$148*(1-$KH243), 0)</f>
        <v>#N/A</v>
      </c>
      <c r="IN243" s="217" t="e">
        <f t="shared" ca="1" si="759"/>
        <v>#DIV/0!</v>
      </c>
      <c r="IO243" s="91" t="e">
        <f ca="1">MAX(0,$IL243-$EF243*Control!$C$160)</f>
        <v>#N/A</v>
      </c>
      <c r="IP243" s="220" t="e">
        <f t="shared" ca="1" si="760"/>
        <v>#N/A</v>
      </c>
      <c r="IQ243" s="217" t="e">
        <f t="shared" ca="1" si="874"/>
        <v>#N/A</v>
      </c>
      <c r="IR243" s="218" t="e">
        <f t="shared" ca="1" si="761"/>
        <v>#N/A</v>
      </c>
      <c r="IS243" s="217" t="e">
        <f ca="1">Control!$C$159*MAX(0,$FD243-$EN243)</f>
        <v>#N/A</v>
      </c>
      <c r="IT243" s="217" t="e">
        <f t="shared" ca="1" si="911"/>
        <v>#N/A</v>
      </c>
      <c r="IU243" s="217" t="e">
        <f t="shared" ca="1" si="875"/>
        <v>#N/A</v>
      </c>
      <c r="IV243" s="217" t="e">
        <f t="shared" ca="1" si="912"/>
        <v>#N/A</v>
      </c>
      <c r="IW243" s="217" t="e">
        <f ca="1">IF(OR($AW243=1,AND($AW243=0, Control!$B$18=1,$EN243&lt;&gt;0)), $IQ243-$IU243, $IQ243)</f>
        <v>#N/A</v>
      </c>
      <c r="IX243" s="218" t="e">
        <f t="shared" ca="1" si="762"/>
        <v>#N/A</v>
      </c>
      <c r="IY243" s="218" t="e">
        <f ca="1">MAX(0,$IQ243-$EB243*Control!$C$159)</f>
        <v>#N/A</v>
      </c>
      <c r="IZ243" s="218" t="e">
        <f t="shared" ca="1" si="763"/>
        <v>#N/A</v>
      </c>
      <c r="JA243" s="216" t="e">
        <f t="shared" ca="1" si="764"/>
        <v>#N/A</v>
      </c>
      <c r="JB243" s="217" t="e">
        <f t="shared" ca="1" si="765"/>
        <v>#N/A</v>
      </c>
      <c r="JC243" s="222" t="e">
        <f ca="1">MAX(Control!$C$157*$EK243-$JT243, 0)/Control!$C$162</f>
        <v>#N/A</v>
      </c>
      <c r="JD243" s="218" t="e">
        <f t="shared" ca="1" si="766"/>
        <v>#N/A</v>
      </c>
      <c r="JE243" s="218" t="e">
        <f t="shared" ca="1" si="767"/>
        <v>#N/A</v>
      </c>
      <c r="JF243" s="218" t="e">
        <f t="shared" ca="1" si="876"/>
        <v>#N/A</v>
      </c>
      <c r="JG243" s="218" t="e">
        <f t="shared" ca="1" si="768"/>
        <v>#N/A</v>
      </c>
      <c r="JH243" s="217" t="e">
        <f t="shared" ca="1" si="877"/>
        <v>#N/A</v>
      </c>
      <c r="JI243" s="217" t="e">
        <f t="shared" ca="1" si="878"/>
        <v>#N/A</v>
      </c>
      <c r="JJ243" s="217" t="e">
        <f t="shared" ca="1" si="913"/>
        <v>#N/A</v>
      </c>
      <c r="JK243" s="217" t="e">
        <f ca="1">IF(Control!$C$114=1,IF(Control!$B$24=0,MAX(0,$JI243)*$GN243/Control!$C$64,(MAX(0,MIN($JI243,$JJ243*$GN243/Control!$C$64),0))))</f>
        <v>#N/A</v>
      </c>
      <c r="JL243" s="217" t="e">
        <f ca="1">$IK243/Control!$C$64-$JK243+$HQ243</f>
        <v>#N/A</v>
      </c>
      <c r="JM243" s="217" t="e">
        <f ca="1">IF(Control!$C$114=1,($JB243/(IF($JI243&lt;&gt;0,$JI243,1)))*$JK243,0)</f>
        <v>#N/A</v>
      </c>
      <c r="JN243" s="217" t="e">
        <f ca="1">IF(Control!$C$114=1,($JG243/(IF($JI243&lt;&gt;0,$JI243,1)))*$JK243, 0)</f>
        <v>#N/A</v>
      </c>
      <c r="JO243" s="218" t="e">
        <f t="shared" ca="1" si="769"/>
        <v>#N/A</v>
      </c>
      <c r="JP243" s="218" t="e">
        <f ca="1">MIN(($IY243+$IO243)*Control!$C$151, $JF243-$EH243*Control!$C$161)</f>
        <v>#N/A</v>
      </c>
      <c r="JQ243" s="218" t="e">
        <f t="shared" ca="1" si="770"/>
        <v>#N/A</v>
      </c>
      <c r="JR243" s="217" t="e">
        <f ca="1">IF($CP243-Control!$C$150&lt;0, 0, $JQ243/Control!$C$162)</f>
        <v>#N/A</v>
      </c>
      <c r="JS243" s="218" t="e">
        <f t="shared" ca="1" si="771"/>
        <v>#N/A</v>
      </c>
      <c r="JT243" s="218" t="e">
        <f t="shared" ca="1" si="879"/>
        <v>#N/A</v>
      </c>
      <c r="JU243" s="218" t="e">
        <f t="shared" ca="1" si="772"/>
        <v>#N/A</v>
      </c>
      <c r="JV243" s="218" t="e">
        <f t="shared" ca="1" si="773"/>
        <v>#N/A</v>
      </c>
      <c r="JW243" s="216" t="e">
        <f t="shared" ca="1" si="774"/>
        <v>#N/A</v>
      </c>
      <c r="JX243" s="91" t="e">
        <f t="shared" ca="1" si="775"/>
        <v>#N/A</v>
      </c>
      <c r="JY243" s="218" t="e">
        <f t="shared" ca="1" si="776"/>
        <v>#N/A</v>
      </c>
      <c r="JZ243" s="217" t="e">
        <f ca="1">IF(Control!$C$114=1,($IZ243/(IF($JI243&lt;&gt;0,$JI243,1)))*$JK243, 0)</f>
        <v>#N/A</v>
      </c>
      <c r="KA243" s="218" t="e">
        <f t="shared" ca="1" si="914"/>
        <v>#N/A</v>
      </c>
      <c r="KB243" s="218" t="e">
        <f t="shared" ca="1" si="880"/>
        <v>#N/A</v>
      </c>
      <c r="KC243" s="218" t="e">
        <f t="shared" ca="1" si="777"/>
        <v>#N/A</v>
      </c>
      <c r="KD243" s="218" t="e">
        <f t="shared" ca="1" si="778"/>
        <v>#N/A</v>
      </c>
      <c r="KE243" s="218" t="e">
        <f t="shared" ca="1" si="779"/>
        <v>#N/A</v>
      </c>
      <c r="KF243" s="218" t="e">
        <f t="shared" ca="1" si="780"/>
        <v>#N/A</v>
      </c>
      <c r="KG243" s="216" t="e">
        <f t="shared" ca="1" si="781"/>
        <v>#N/A</v>
      </c>
      <c r="KH243" s="221" t="e">
        <f ca="1">IF(Control!$B$24=0,1,MAX(0.001,MIN(1,IF(($IF243-$IE243)&lt;&gt;0,($KG243-$IE243)/($IF243-$IE243),1))))</f>
        <v>#N/A</v>
      </c>
      <c r="KI243" s="222" t="e">
        <f ca="1">IF(Control!$C$114=1, $KI242+ $KH242, 0)</f>
        <v>#N/A</v>
      </c>
      <c r="KJ243" s="217" t="e">
        <f t="shared" ca="1" si="782"/>
        <v>#N/A</v>
      </c>
      <c r="KK243" s="218" t="e">
        <f t="shared" ca="1" si="783"/>
        <v>#N/A</v>
      </c>
      <c r="KL243" s="274" t="e">
        <f ca="1">IF(Control!$B$26=3,4000000000*EXP(-8400/($G243+273)),IF(Control!$B$26=4,4000000000*EXP(-8400/($G243+273))*($KT243),0))</f>
        <v>#DIV/0!</v>
      </c>
      <c r="KM243" s="274" t="e">
        <f ca="1">IF(Control!$B$26=3,5600000000000*EXP(-9800/($G243+273)),IF(Control!$B$26=4,5600000000000*EXP(-9800/($G243+273))*$KT243,0))</f>
        <v>#DIV/0!</v>
      </c>
      <c r="KN243" s="454" t="e">
        <f t="shared" ca="1" si="881"/>
        <v>#DIV/0!</v>
      </c>
      <c r="KO243" s="274" t="e">
        <f t="shared" ca="1" si="882"/>
        <v>#DIV/0!</v>
      </c>
      <c r="KP243" s="454" t="e">
        <f t="shared" ca="1" si="784"/>
        <v>#DIV/0!</v>
      </c>
      <c r="KQ243" s="454" t="e">
        <f t="shared" ca="1" si="785"/>
        <v>#DIV/0!</v>
      </c>
      <c r="KR243" s="454" t="e">
        <f t="shared" ca="1" si="786"/>
        <v>#DIV/0!</v>
      </c>
      <c r="KS243" s="454" t="e">
        <f t="shared" ca="1" si="787"/>
        <v>#DIV/0!</v>
      </c>
      <c r="KT243" s="455" t="e">
        <f t="shared" ca="1" si="788"/>
        <v>#DIV/0!</v>
      </c>
      <c r="KU243" s="456" t="e">
        <f ca="1">IF($CP243-Control!$C$149&lt;0, IF($NT243-0.01&lt;0,0,1),0)</f>
        <v>#N/A</v>
      </c>
      <c r="KV243" s="456" t="e">
        <f ca="1">IF(Control!$C$114=1,MAX(0,MIN(Control!$C$125*$KW243*$GN243,$KW243)))</f>
        <v>#DIV/0!</v>
      </c>
      <c r="KW243" s="456" t="e">
        <f t="shared" ca="1" si="915"/>
        <v>#DIV/0!</v>
      </c>
      <c r="KX243" s="457" t="e">
        <f ca="1">IF($CP243-Control!$C$149&lt;0, IF($MR243-$OM243&lt;0,0,1),0)</f>
        <v>#N/A</v>
      </c>
      <c r="KY243" s="167">
        <f t="shared" ca="1" si="883"/>
        <v>239</v>
      </c>
      <c r="KZ243" s="168">
        <f ca="1">1370*(1+0.033*COS(2*Control!$C$138*$AH243/365))</f>
        <v>1344.5403151839193</v>
      </c>
      <c r="LA243" s="169">
        <f t="shared" ca="1" si="884"/>
        <v>0.98141602609892764</v>
      </c>
      <c r="LB243" s="169">
        <f t="shared" ca="1" si="885"/>
        <v>0.16580149045347745</v>
      </c>
      <c r="LC243" s="169">
        <f ca="1">ACOS(-TAN((2*Control!$B$8/360))*TAN(Calculations!$LB243))</f>
        <v>1.6205501357902699</v>
      </c>
      <c r="LD243" s="169">
        <f ca="1">((24*60)/PI())*0.082*$LA243*(($LC243*SIN(Control!$B$8*2*PI()/360))*SIN($LB243)+COS(Control!$B$8*2*PI()/360)*COS($LB243)*SIN($LC243))</f>
        <v>30.145550683249606</v>
      </c>
      <c r="LE243" s="170">
        <f t="shared" ca="1" si="789"/>
        <v>30.489217965099019</v>
      </c>
      <c r="LF243" s="170">
        <f ca="1">SIN(Control!$C$139*Control!$B$8)*SIN($HD243)</f>
        <v>0.12959676836859282</v>
      </c>
      <c r="LG243" s="170">
        <f ca="1">COS(Control!$C$139*Control!$B$8)*COS($HD243)</f>
        <v>0.60727678733204005</v>
      </c>
      <c r="LH243" s="170">
        <f ca="1">12*(1+2*ASIN(MAX(-1,MIN(1,$LF243/$LG243))/Control!$C$138))</f>
        <v>13.631557601699587</v>
      </c>
      <c r="LI243" s="170">
        <f ca="1">12*(1+2*ASIN(MAX(-1,MIN(1,(-SIN(-4*Control!$C$139)+$LF243)/$LG243))/Control!$C$138))</f>
        <v>14.512411877058886</v>
      </c>
      <c r="LJ243" s="168">
        <f ca="1">3600*($LH243*$LF243+24*$LG243*SQRT(1-$LK243*$LK243)/Control!$C$138)</f>
        <v>22676.313696795627</v>
      </c>
      <c r="LK243" s="170">
        <f t="shared" ca="1" si="790"/>
        <v>0.21340642532699566</v>
      </c>
      <c r="LL243" s="170">
        <f t="shared" ca="1" si="791"/>
        <v>0</v>
      </c>
      <c r="LM243" s="171">
        <f ca="1">Control!$C$145*$AB243</f>
        <v>6.6660906138995932E-2</v>
      </c>
      <c r="LN243" s="170">
        <f t="shared" ca="1" si="886"/>
        <v>0.54</v>
      </c>
      <c r="LO243" s="170">
        <f t="shared" ca="1" si="792"/>
        <v>0</v>
      </c>
      <c r="LP243" s="170">
        <f ca="1">Control!$C$140*((($D243+273.16)^4+($E243+273.16)^4)/2)*(0.34-0.14*SQRT($Y243))*(1.35*$AQ243/(0.75*$LD243)-0.35)</f>
        <v>-3.2464704755046001</v>
      </c>
      <c r="LQ243" s="170">
        <f ca="1">Control!$C$140*($G243+273)^4*(0.56-0.079*SQRT($Y243*10))*(0.1+0.9*$LO243)</f>
        <v>1.5241745131704001</v>
      </c>
      <c r="LR243" s="170">
        <f ca="1">$AQ243*(1-Control!$C$142)-$LQ243</f>
        <v>-1.5241745131704001</v>
      </c>
      <c r="LS243" s="170">
        <f ca="1">$AQ243*(1-Control!$C$143)-$LQ243</f>
        <v>-1.5241745131704001</v>
      </c>
      <c r="LT243" s="170">
        <f ca="1">$AQ243*(1-Control!$C$144)-$LQ243</f>
        <v>-1.5241745131704001</v>
      </c>
      <c r="LU243" s="169">
        <f ca="1">(1-Control!$C$144)*AQ243-LP243</f>
        <v>3.2464704755046001</v>
      </c>
      <c r="LV243" s="172">
        <f t="shared" ca="1" si="793"/>
        <v>0.79430000000000012</v>
      </c>
      <c r="LW243" s="170">
        <f t="shared" ca="1" si="794"/>
        <v>1.5886000000000002</v>
      </c>
      <c r="LX243" s="170">
        <f ca="1">($AC243*($LR243/Control!$C$141)+$LM243*$LV243)/($AC243+$LM243)</f>
        <v>0.23530094218323697</v>
      </c>
      <c r="LY243" s="170">
        <f ca="1">($AC243*($LS243/Control!$C$141)+$LM243*$LV243)/($AC243+$LM243)</f>
        <v>0.23530094218323697</v>
      </c>
      <c r="LZ243" s="170">
        <f t="shared" ca="1" si="795"/>
        <v>0.23530094218323697</v>
      </c>
      <c r="MA243" s="170">
        <f t="shared" ca="1" si="796"/>
        <v>0.23530094218323697</v>
      </c>
      <c r="MB243" s="170" t="e">
        <f t="shared" ca="1" si="797"/>
        <v>#N/A</v>
      </c>
      <c r="MC243" s="170">
        <f t="shared" ca="1" si="887"/>
        <v>0.6018</v>
      </c>
      <c r="MD243" s="170">
        <f t="shared" ca="1" si="798"/>
        <v>0.52989392535414004</v>
      </c>
      <c r="ME243" s="170">
        <f ca="1">($AC243*($LT243/Control!$C$141)+$LM243*$LW243)/($AC243+$LM243)</f>
        <v>0.71612369323045078</v>
      </c>
      <c r="MF243" s="170" t="e">
        <f ca="1">IF(Control!$B$16&gt;=1000,0.92,IF(AND(720&lt;=Control!$B$16,1000&gt;Control!$B$16),(0.95+(Control!$B$16-720)*((0.92-0.95)/(1000-720))),IF(AND(360&lt;=Control!$B$16,720&gt;Control!$B$16),(1+(Control!$B$16-360)*((0.95-1)/(720-360))),IF(AND(40&lt;=Control!$B$16,360&gt;Control!$B$16),(1.05+(Control!$B$16-40)*((1.05-1)/(360-40)))))))</f>
        <v>#N/A</v>
      </c>
      <c r="MG243" s="170">
        <f t="shared" ca="1" si="799"/>
        <v>0.71612369323045078</v>
      </c>
      <c r="MH243" s="170" t="e">
        <f t="shared" ca="1" si="925"/>
        <v>#N/A</v>
      </c>
      <c r="MI243" s="170" t="e">
        <f t="shared" ca="1" si="925"/>
        <v>#N/A</v>
      </c>
      <c r="MJ243" s="170" t="e">
        <f ca="1">MAX(0.0001, Control!$C$132*$MI243*$DL243)</f>
        <v>#N/A</v>
      </c>
      <c r="MK243" s="170">
        <f ca="1">1/(0.76+1.5*($MG243/10))-(5-Control!$C$110)*0.1</f>
        <v>1.002845988140797</v>
      </c>
      <c r="ML243" s="173">
        <f ca="1">IF(Control!$C$110&lt;3,$MK243+($MG243-0.6)/(Control!$C$110*(Control!$C$110+3)), MAX(0.1, MIN(0.95,$MK243)))</f>
        <v>0.95</v>
      </c>
      <c r="MM243" s="173">
        <f ca="1">IF(Control!$C$110&lt;3,$MK243+(($MI243/10)-0.6)/(Control!$C$110*(Control!$C$110+3)), MAX(0.1, MIN(0.95,$MK243)))</f>
        <v>0.95</v>
      </c>
      <c r="MN243" s="173">
        <f ca="1">(1-$MM243)*(Control!$C$128-Control!$C$127)+Control!$C$127</f>
        <v>0.16</v>
      </c>
      <c r="MO243" s="170" t="e">
        <f ca="1">MAX(0,MIN(1,($MS243-Control!$C$127)/($MN243-Control!$C$127)))</f>
        <v>#DIV/0!</v>
      </c>
      <c r="MP243" s="173" t="e">
        <f ca="1">1/(0.76+1.5*$MI243)-(5-Control!$C$110)*0.1</f>
        <v>#N/A</v>
      </c>
      <c r="MQ243" s="172" t="e">
        <f t="shared" ca="1" si="916"/>
        <v>#DIV/0!</v>
      </c>
      <c r="MR243" s="168" t="e">
        <f t="shared" ca="1" si="888"/>
        <v>#DIV/0!</v>
      </c>
      <c r="MS243" s="173" t="e">
        <f ca="1">MAX(Control!$C$127, MIN(Control!$C$135, $MR243/MAX(0.0001,$CY243)))</f>
        <v>#DIV/0!</v>
      </c>
      <c r="MT243" s="168" t="e">
        <f ca="1">(Control!$C$128-$MS243)*Control!$C$74</f>
        <v>#DIV/0!</v>
      </c>
      <c r="MU243" s="168" t="e">
        <f ca="1">(Control!$C$135-$MS243)*Control!$C$74</f>
        <v>#DIV/0!</v>
      </c>
      <c r="MV243" s="168" t="e">
        <f t="shared" ca="1" si="889"/>
        <v>#DIV/0!</v>
      </c>
      <c r="MW243" s="168" t="e">
        <f t="shared" ca="1" si="890"/>
        <v>#DIV/0!</v>
      </c>
      <c r="MX243" s="171" t="e">
        <f ca="1">MAX(Control!$C$127, MIN(Control!$C$135, $MW243/MAX(0.0001,Control!$C$119-$CY243)))</f>
        <v>#DIV/0!</v>
      </c>
      <c r="MY243" s="54" t="e">
        <f ca="1">IF(Control!$C$114=1, $CX243*$MX243, 0)</f>
        <v>#DIV/0!</v>
      </c>
      <c r="MZ243" s="54" t="e">
        <f t="shared" ca="1" si="891"/>
        <v>#N/A</v>
      </c>
      <c r="NA243" s="168" t="e">
        <f ca="1">(Control!$C$128-$MX243)*(Control!$C$119-Control!$C$74)</f>
        <v>#DIV/0!</v>
      </c>
      <c r="NB243" s="168" t="e">
        <f ca="1">(Control!$C$135-$MX243)*(Control!$C$119-Control!$C$74)</f>
        <v>#DIV/0!</v>
      </c>
      <c r="NC243" s="174" t="e">
        <f t="shared" ca="1" si="892"/>
        <v>#DIV/0!</v>
      </c>
      <c r="ND243" s="54">
        <f ca="1">IF(Control!$C$58=2, IF(OR(Control!$B$218=$AH243,Control!$B$219=$AH243, Control!$B$220=$AH243, Control!$B$221=$AH243, Control!$B$222=$AH243, Control!$B$223=$AH243, Control!$B$224=$AH243, Control!$B$225=$AH243, Control!$B$226=$AH243, Control!$B$227=$AH243, Control!$B$228=$AH243), 1, 0), 0)</f>
        <v>0</v>
      </c>
      <c r="NE243" s="54">
        <f ca="1">IF($ND243=0,0, VLOOKUP($AH243,Control!$B$218:$C$228,2))</f>
        <v>0</v>
      </c>
      <c r="NF243" s="168" t="e">
        <f ca="1">$CY243*(Control!$C$128-Control!$C$127)</f>
        <v>#N/A</v>
      </c>
      <c r="NG243" s="54" t="e">
        <f ca="1">IF(Control!$C$58=2, $NI242-$NJ242, 0)</f>
        <v>#DIV/0!</v>
      </c>
      <c r="NH243" s="54" t="e">
        <f ca="1">IF(AND(Control!$C$58=1, $MS242&lt;= ($MN242+0.02), $I242&lt;10), 0, IF(Control!$C$58=2, $NG242, 0))</f>
        <v>#DIV/0!</v>
      </c>
      <c r="NI243" s="54" t="e">
        <f ca="1">IF(Control!$C$58=2, $NE243+$NH243,0)</f>
        <v>#DIV/0!</v>
      </c>
      <c r="NJ243" s="54" t="e">
        <f ca="1">IF(AND(Control!$C$58=1, $MS243&lt;= ($MN243+0.02), $I243&lt;10), MAX(0, MIN(10, 0.7*($NF243-$MV243))), IF(Control!$C$58=2, MIN(10,$NI243),0))</f>
        <v>#DIV/0!</v>
      </c>
      <c r="NK243" s="54" t="e">
        <f t="shared" ca="1" si="800"/>
        <v>#DIV/0!</v>
      </c>
      <c r="NL243" s="173" t="e">
        <f ca="1">(1-Control!$C$73)*$I243+$NJ243</f>
        <v>#DIV/0!</v>
      </c>
      <c r="NM243" s="172" t="e">
        <f ca="1">IF($NL243&lt;0.5, $MB243* MAX(0, MIN(1, (SQRT($NC243)-SQRT($NC243-1))*Control!$C$71)),0)</f>
        <v>#DIV/0!</v>
      </c>
      <c r="NN243" s="170" t="e">
        <f ca="1">IF($NL243&gt;=5, $MB243, MAX(0,MIN($MB243, $NM243+$NL243,($MS243-Control!$C$129))))</f>
        <v>#DIV/0!</v>
      </c>
      <c r="NO243" s="54">
        <f>IF(Control!$C$133&lt;&gt;1, Control!$C$135-Control!$C$131, 0)</f>
        <v>0.38</v>
      </c>
      <c r="NP243" s="54" t="e">
        <f t="shared" ca="1" si="801"/>
        <v>#DIV/0!</v>
      </c>
      <c r="NQ243" s="173" t="e">
        <f ca="1">MAX(0,MIN(1,(Control!$C$135-$MS243)/(Control!$C$135-$NO243)))</f>
        <v>#DIV/0!</v>
      </c>
      <c r="NR243" s="170" t="e">
        <f ca="1">IF(Control!$C$133&lt;&gt;1, $NQ243+((1-$NP243/4)*(1-$NQ243)),1)</f>
        <v>#DIV/0!</v>
      </c>
      <c r="NS243" s="170" t="e">
        <f ca="1">IF(Control!$B$31=0,$MJ243,MAX(0,MIN($MV243,$MO243*$NR243*$MJ243)))</f>
        <v>#DIV/0!</v>
      </c>
      <c r="NT243" s="170" t="e">
        <f t="shared" ca="1" si="917"/>
        <v>#DIV/0!</v>
      </c>
      <c r="NU243" s="170" t="e">
        <f t="shared" ca="1" si="893"/>
        <v>#N/A</v>
      </c>
      <c r="NV243" s="170" t="e">
        <f t="shared" ca="1" si="802"/>
        <v>#N/A</v>
      </c>
      <c r="NW243" s="175" t="e">
        <f t="shared" ca="1" si="803"/>
        <v>#DIV/0!</v>
      </c>
      <c r="NX243" s="170" t="e">
        <f ca="1">MIN(Control!$C$72+$MU243, $NW243)</f>
        <v>#DIV/0!</v>
      </c>
      <c r="NY243" s="170" t="e">
        <f ca="1">IF($MT243&lt;=$NX243,MIN(Control!$C$72+$NB243,$NX243-$MT243),0)</f>
        <v>#DIV/0!</v>
      </c>
      <c r="NZ243" s="54" t="e">
        <f ca="1">IF(Control!$C$114=1,  $CX243*($MX243-Control!$C$127), 0)</f>
        <v>#DIV/0!</v>
      </c>
      <c r="OA243" s="170" t="e">
        <f t="shared" ca="1" si="804"/>
        <v>#DIV/0!</v>
      </c>
      <c r="OB243" s="170" t="e">
        <f ca="1">IF($NA243 &lt;=$NY243, MIN(Control!$C$72, $NY243-$NA243), 0)</f>
        <v>#DIV/0!</v>
      </c>
      <c r="OC243" s="168" t="e">
        <f t="shared" ca="1" si="805"/>
        <v>#DIV/0!</v>
      </c>
      <c r="OD243" s="168" t="e">
        <f t="shared" ca="1" si="894"/>
        <v>#DIV/0!</v>
      </c>
      <c r="OE243" s="170">
        <f ca="1">Control!$C$73*$I243</f>
        <v>0</v>
      </c>
      <c r="OF243" s="176" t="e">
        <f t="shared" ca="1" si="806"/>
        <v>#DIV/0!</v>
      </c>
      <c r="OG243" s="168" t="e">
        <f t="shared" ca="1" si="807"/>
        <v>#DIV/0!</v>
      </c>
      <c r="OH243" s="168" t="e">
        <f t="shared" ca="1" si="808"/>
        <v>#DIV/0!</v>
      </c>
      <c r="OI243" s="168" t="e">
        <f t="shared" ca="1" si="809"/>
        <v>#DIV/0!</v>
      </c>
      <c r="OJ243" s="168" t="e">
        <f t="shared" ca="1" si="810"/>
        <v>#DIV/0!</v>
      </c>
      <c r="OK243" s="204" t="e">
        <f t="shared" ca="1" si="811"/>
        <v>#DIV/0!</v>
      </c>
      <c r="OL243" s="177">
        <f>Control!$C$127</f>
        <v>0.15</v>
      </c>
      <c r="OM243" s="182" t="e">
        <f t="shared" ca="1" si="812"/>
        <v>#N/A</v>
      </c>
      <c r="ON243" s="177">
        <f>Control!$C$128</f>
        <v>0.35</v>
      </c>
      <c r="OO243" s="182" t="e">
        <f t="shared" ca="1" si="813"/>
        <v>#N/A</v>
      </c>
      <c r="OP243" s="138">
        <f t="shared" ca="1" si="895"/>
        <v>0</v>
      </c>
      <c r="OQ243" s="138" t="e">
        <f t="shared" ca="1" si="918"/>
        <v>#DIV/0!</v>
      </c>
      <c r="OR243" s="138" t="e">
        <f t="shared" ca="1" si="896"/>
        <v>#DIV/0!</v>
      </c>
      <c r="OS243" s="137" t="e">
        <f t="shared" ca="1" si="919"/>
        <v>#DIV/0!</v>
      </c>
      <c r="OT243" s="139" t="e">
        <f t="shared" ca="1" si="920"/>
        <v>#DIV/0!</v>
      </c>
      <c r="OU243" s="138" t="e">
        <f t="shared" ca="1" si="921"/>
        <v>#N/A</v>
      </c>
      <c r="OV243" s="138" t="e">
        <f t="shared" ca="1" si="922"/>
        <v>#DIV/0!</v>
      </c>
      <c r="OW243" s="138" t="e">
        <f t="shared" ca="1" si="897"/>
        <v>#DIV/0!</v>
      </c>
      <c r="OX243" s="138" t="e">
        <f t="shared" ca="1" si="898"/>
        <v>#DIV/0!</v>
      </c>
      <c r="OY243" s="138" t="e">
        <f t="shared" ca="1" si="899"/>
        <v>#DIV/0!</v>
      </c>
      <c r="OZ243" s="138" t="e">
        <f t="shared" ca="1" si="814"/>
        <v>#DIV/0!</v>
      </c>
      <c r="PA243" s="138" t="e">
        <f t="shared" ca="1" si="815"/>
        <v>#DIV/0!</v>
      </c>
      <c r="PB243" s="55">
        <f>IF(Control!$C$61="T", IF(Control!$C$65="F", IF($AH$6-Control!$C$60&lt;0,0,1), IF(365+$AH$6-Control!$C$60&lt;0,0,1)),0)</f>
        <v>0</v>
      </c>
      <c r="PC243" s="55">
        <f ca="1">IF(Control!$C$65="F", IF($AH$6-$HF243&lt;0,0,1), IF(365+$AH$6-$HF243&lt;0,0,1))</f>
        <v>1</v>
      </c>
      <c r="PD243" s="444">
        <f>Control!$C$118</f>
        <v>1500</v>
      </c>
      <c r="PE243" s="180" t="e">
        <f t="shared" ca="1" si="816"/>
        <v>#N/A</v>
      </c>
      <c r="PF243" s="445">
        <f t="shared" ca="1" si="900"/>
        <v>0.71612369323045078</v>
      </c>
      <c r="PT243" s="186"/>
      <c r="PU243" s="186"/>
      <c r="PV243" s="94"/>
      <c r="PW243" s="94"/>
      <c r="PX243" s="94"/>
      <c r="PY243" s="94"/>
      <c r="PZ243" s="94"/>
      <c r="QA243" s="94"/>
      <c r="QB243" s="94"/>
      <c r="QC243" s="94"/>
      <c r="QD243" s="94"/>
      <c r="QE243" s="94"/>
      <c r="QF243" s="94"/>
      <c r="QG243" s="94"/>
      <c r="QH243" s="94"/>
      <c r="QI243" s="94"/>
      <c r="QJ243" s="94"/>
      <c r="QK243" s="94"/>
      <c r="QL243" s="94"/>
      <c r="QM243" s="94"/>
      <c r="QN243" s="94"/>
      <c r="QO243" s="94"/>
      <c r="QP243" s="94"/>
    </row>
    <row r="244" spans="1:458" s="2" customFormat="1" x14ac:dyDescent="0.2">
      <c r="A244" s="395">
        <v>27</v>
      </c>
      <c r="B244" s="396">
        <v>8</v>
      </c>
      <c r="C244" s="387">
        <f ca="1">Weather_data!$B243</f>
        <v>0</v>
      </c>
      <c r="D244" s="388">
        <f ca="1">Weather_data!$F243</f>
        <v>0</v>
      </c>
      <c r="E244" s="388">
        <f ca="1">Weather_data!$E243</f>
        <v>0</v>
      </c>
      <c r="F244" s="388">
        <f t="shared" ca="1" si="817"/>
        <v>0</v>
      </c>
      <c r="G244" s="388">
        <f ca="1">AVERAGE($D244:$E244)+Control!$B$9</f>
        <v>0</v>
      </c>
      <c r="H244" s="388">
        <f ca="1">Weather_data!$G243</f>
        <v>0</v>
      </c>
      <c r="I244" s="388">
        <f ca="1">Weather_data!$I243</f>
        <v>0</v>
      </c>
      <c r="J244" s="388">
        <f ca="1">Weather_data!$H243</f>
        <v>0</v>
      </c>
      <c r="K244" s="389">
        <f ca="1">Weather_data!$D243</f>
        <v>0</v>
      </c>
      <c r="L244" s="388" t="e">
        <f t="shared" ca="1" si="818"/>
        <v>#N/A</v>
      </c>
      <c r="M244" s="388" t="e">
        <f t="shared" ca="1" si="696"/>
        <v>#N/A</v>
      </c>
      <c r="N244" s="388">
        <f t="shared" ca="1" si="697"/>
        <v>-6.4370554597280954E-12</v>
      </c>
      <c r="O244" s="388">
        <f t="shared" ca="1" si="819"/>
        <v>6.4370554597280951E-11</v>
      </c>
      <c r="P244" s="390">
        <v>3</v>
      </c>
      <c r="Q244" s="388">
        <f ca="1">MAX($G244-Control!$C$107,0)</f>
        <v>0</v>
      </c>
      <c r="R244" s="388">
        <f t="shared" ca="1" si="820"/>
        <v>0</v>
      </c>
      <c r="S244" s="388">
        <f t="shared" ca="1" si="698"/>
        <v>0</v>
      </c>
      <c r="T244" s="388">
        <f t="shared" ca="1" si="699"/>
        <v>0</v>
      </c>
      <c r="U244" s="59">
        <f t="shared" ca="1" si="700"/>
        <v>0</v>
      </c>
      <c r="V244" s="391">
        <f ca="1">MAX(0,MIN(Control!$C$100-Control!$C$99,$G244-Control!$C$99)*Control!$C$63)</f>
        <v>0</v>
      </c>
      <c r="W244" s="388">
        <f t="shared" ca="1" si="821"/>
        <v>0</v>
      </c>
      <c r="X244" s="388">
        <f t="shared" ca="1" si="822"/>
        <v>0.6110000000000001</v>
      </c>
      <c r="Y244" s="388">
        <f t="shared" ca="1" si="701"/>
        <v>0</v>
      </c>
      <c r="Z244" s="388">
        <f t="shared" ca="1" si="823"/>
        <v>0.61058800000000002</v>
      </c>
      <c r="AA244" s="388">
        <f t="shared" ca="1" si="702"/>
        <v>0.6018</v>
      </c>
      <c r="AB244" s="388">
        <f ca="1">101.3*EXP(-0.034*Control!$C$66/($G244+273))</f>
        <v>100.69623283836242</v>
      </c>
      <c r="AC244" s="392">
        <f t="shared" ca="1" si="703"/>
        <v>4.3460251046025113E-2</v>
      </c>
      <c r="AD244" s="392">
        <f t="shared" ca="1" si="704"/>
        <v>4.4450382862832649E-2</v>
      </c>
      <c r="AE244" s="388">
        <f t="shared" ca="1" si="705"/>
        <v>0</v>
      </c>
      <c r="AF244" s="388">
        <f ca="1">MAX(0,$G244-Control!$C$92)</f>
        <v>0</v>
      </c>
      <c r="AG244" s="393">
        <f t="shared" ca="1" si="706"/>
        <v>240</v>
      </c>
      <c r="AH244" s="389">
        <f t="shared" ca="1" si="707"/>
        <v>240</v>
      </c>
      <c r="AI244" s="388">
        <f t="shared" ca="1" si="824"/>
        <v>0.15886570069508577</v>
      </c>
      <c r="AJ244" s="388">
        <f ca="1">IF(Control!$C$60&lt;=0,$HH244,$HI244)</f>
        <v>1</v>
      </c>
      <c r="AK244" s="388">
        <f t="shared" ca="1" si="708"/>
        <v>2.754273011366394</v>
      </c>
      <c r="AL244" s="388">
        <f t="shared" ca="1" si="709"/>
        <v>-1.4066026121639651E-17</v>
      </c>
      <c r="AM244" s="388">
        <f t="shared" ca="1" si="710"/>
        <v>2.754273011366394</v>
      </c>
      <c r="AN244" s="388">
        <f t="shared" ca="1" si="711"/>
        <v>0.1508233926460737</v>
      </c>
      <c r="AO244" s="388">
        <f ca="1">-0.10453/COS(Control!$B$8*PI()/180)*COS(AN244)</f>
        <v>-0.16785741492345588</v>
      </c>
      <c r="AP244" s="388">
        <f ca="1">ACOS(AO244-TAN(Control!$B$8*PI()/180)*TAN(AN244))</f>
        <v>1.9416162792838259</v>
      </c>
      <c r="AQ244" s="388">
        <f t="shared" ca="1" si="825"/>
        <v>0</v>
      </c>
      <c r="AR244" s="394">
        <f t="shared" ca="1" si="712"/>
        <v>0</v>
      </c>
      <c r="AS244" s="436">
        <f ca="1">IF(Control!$B$18=2,(IF(OR($AH244=Control!$B$175,$AH244=Control!$B$176,$AH244=Control!$B$177,$AH244=Control!$B$178,$AH244=Control!$B$179,$AH244=Control!$B$180,$AH244=Control!$B$181,$AH244=Control!$B$182,$AH244=Control!$B$183,$AH244=Control!$B$184,$AH244=Control!$B$185),1,0)),0)</f>
        <v>0</v>
      </c>
      <c r="AT244" s="436">
        <f>IF(Control!$B$20=8,IF(AND($AH244&gt;=Control!$B$172,$AH244&lt;=Control!$B$173),1,0),0)</f>
        <v>0</v>
      </c>
      <c r="AU244" s="436">
        <f>IF(Control!$B$20=8,IF($AV243=1,1*$AT244,IF($AT244=1,$AU243+1,$AU243)),0)</f>
        <v>0</v>
      </c>
      <c r="AV244" s="436">
        <f>IF(Control!$B$20=8,IF($AU244&gt;=Control!$B$174,1,0),0)</f>
        <v>0</v>
      </c>
      <c r="AW244" s="436">
        <f ca="1">IF(AND(Control!$B$18=2,Control!$B$171=1), $AV244, $AS244)</f>
        <v>0</v>
      </c>
      <c r="AX244" s="436" t="e">
        <f ca="1">IF(AND(Control!$B$18=1,$EU244&gt;=Control!$B$19),-$AY244,IF(AND(Control!$B$18=2,$AW244=1,$EU244&gt;$DS244),-$AY244, IF(Control!$C$108=0,0, IF(Control!$C$108&lt;&gt;0,1))))</f>
        <v>#N/A</v>
      </c>
      <c r="AY244" s="436" t="e">
        <f t="shared" ca="1" si="826"/>
        <v>#N/A</v>
      </c>
      <c r="AZ244" s="436" t="e">
        <f ca="1">IF(AND(Control!$B$18=1,$EB244&gt;Control!$B$19),$AZ243+1, IF(AND(Control!$B$18=2, $AW244=1, $EB244&gt;$DS244), $AZ243+1,$AZ243))</f>
        <v>#N/A</v>
      </c>
      <c r="BA244" s="587">
        <f>IF(Control!$C$81=0,1,IF($AH244&gt;=Control!$C$82,1,0))</f>
        <v>1</v>
      </c>
      <c r="BB244" s="140" t="e">
        <f ca="1">IF($BA244&gt;$BA243,Control!$C$83,IF($AW244&gt;0,$AW244*Control!$C$84,IF(AND(Control!$B$18=1,EN243&lt;&gt;0),Control!$C$84,0)))</f>
        <v>#N/A</v>
      </c>
      <c r="BC244" s="140" t="e">
        <f t="shared" ca="1" si="827"/>
        <v>#N/A</v>
      </c>
      <c r="BD244" s="140" t="e">
        <f ca="1">BC244*IF(OR($G244&lt;Control!$C$92,$G244&gt;Control!$C$95),0,IF(AND($G244&gt;=Control!$C$92,$G244&lt;=Control!$C$93),$G244-Control!$C$92,IF(AND($G244&gt;Control!$C$93,$G244&lt;=Control!$C$94),Control!$C$93-Control!$C$92,IF(AND($G244&gt;Control!$C$94,$G244&lt;=Control!$C$95),(Control!$C$93-Control!$C$92)*(Control!$C$94-$G244)/(Control!$C$95-Control!$C$94)))))</f>
        <v>#N/A</v>
      </c>
      <c r="BE244" s="140" t="e">
        <f t="shared" ca="1" si="828"/>
        <v>#N/A</v>
      </c>
      <c r="BF244" s="140" t="e">
        <f ca="1">IF($BE244&lt;=Control!$C$86,$BE244,Control!$C$86-$BE244)</f>
        <v>#N/A</v>
      </c>
      <c r="BG244" s="140" t="e">
        <f ca="1">IF(AND($AW244=1,Control!$C$84&lt;9),1,IF($BE244&gt;=Control!$C$86,0,$BC244))</f>
        <v>#N/A</v>
      </c>
      <c r="BH244" s="404" t="e">
        <f ca="1">IF($BG244=0,0,IF($BE244&lt;=Control!$C$86,$BC244*9*($BF244/Control!$C$86),0))</f>
        <v>#N/A</v>
      </c>
      <c r="BI244" s="140" t="e">
        <f ca="1">IF($BG244=1,0,IF($BE244&gt;=Control!$C$86,1,IF(AND($BB244&lt;21,$BB244&gt;=9),1,$BM243)))</f>
        <v>#N/A</v>
      </c>
      <c r="BJ244" s="140" t="e">
        <f ca="1">IF($BF244&lt;0,-$BF244,$BI244*IF(OR($G244&lt;Control!$C$92,$G244&gt;Control!$C$95),0,IF(AND($G244&gt;=Control!$C$92,$G244&lt;=Control!$C$93),$G244-Control!$C$92,IF(AND($G244&gt;Control!$C$93,$G244&lt;=Control!$C$94),Control!$C$93-Control!$C$92,IF(AND($G244&gt;Control!$C$94,$G244&lt;=Control!$C$95),(Control!$C$93-Control!$C$92)*(Control!$C$94-$G244)/(Control!$C$95-Control!$C$94))))))</f>
        <v>#N/A</v>
      </c>
      <c r="BK244" s="140" t="e">
        <f t="shared" ca="1" si="829"/>
        <v>#N/A</v>
      </c>
      <c r="BL244" s="140" t="e">
        <f ca="1">IF($BK244&lt;=Control!$C$87,$BK244,Control!$C$87-$BK244)</f>
        <v>#N/A</v>
      </c>
      <c r="BM244" s="140" t="e">
        <f ca="1">IF(AND($BB244&gt;=9,$BB244&lt;21),1,IF($BK244&gt;=Control!$C$87,0,$BI244))</f>
        <v>#N/A</v>
      </c>
      <c r="BN244" s="404" t="e">
        <f ca="1">IF($BM244=0,0,IF($BK244&lt;=Control!$C$87,$BI244*(9+(21-9)*($BL244/Control!$C$87)),0))</f>
        <v>#N/A</v>
      </c>
      <c r="BO244" s="140" t="e">
        <f ca="1">IF($BM244=1,0,IF($BK244&gt;=Control!$C$87,1,IF(AND($BB244&lt;30,$BB244&gt;=21),1,$BS243)))</f>
        <v>#N/A</v>
      </c>
      <c r="BP244" s="140" t="e">
        <f ca="1">IF($BL244&lt;0,-$BL244,$BO244*IF(OR($G244&lt;Control!$C$92,$G244&gt;Control!$C$95),0,IF(AND($G244&gt;=Control!$C$92,$G244&lt;=Control!$C$93),$G244-Control!$C$92,IF(AND($G244&gt;Control!$C$93,$G244&lt;=Control!$C$94),Control!$C$93-Control!$C$92,IF(AND($G244&gt;Control!$C$94,$G244&lt;=Control!$C$95),(Control!$C$93-Control!$C$92)*(Control!$C$94-$G244)/(Control!$C$95-Control!$C$94))))))</f>
        <v>#N/A</v>
      </c>
      <c r="BQ244" s="140" t="e">
        <f t="shared" ca="1" si="713"/>
        <v>#N/A</v>
      </c>
      <c r="BR244" s="140" t="e">
        <f ca="1">IF($BQ244&lt;=Control!$C$88,$BQ244,Control!$C$88-$BQ244)</f>
        <v>#N/A</v>
      </c>
      <c r="BS244" s="140" t="e">
        <f ca="1">IF(AND($BB244&gt;=21,$BB244&lt;30),1,IF($BQ244&gt;=Control!$C$88,0,$BO244))</f>
        <v>#N/A</v>
      </c>
      <c r="BT244" s="404" t="e">
        <f ca="1">IF($BS244=0,0,IF($BQ244&lt;=Control!$C$88,$BO244*(21+(30-21)*(BR244/Control!$C$88)),0))</f>
        <v>#N/A</v>
      </c>
      <c r="BU244" s="140" t="e">
        <f ca="1">IF(BG244+BM244+BS244=1,0,IF(OR(AND($BB244&lt;60,$BB244&gt;=30),$BQ244&gt;=Control!$C$88),1*$BA244,$BY243))</f>
        <v>#N/A</v>
      </c>
      <c r="BV244" s="140" t="e">
        <f ca="1">IF($BR244&lt;0,-$BR244,$BU244*IF(OR($G244&lt;Control!$C$92,$G244&gt;Control!$C$95),0,IF(AND($G244&gt;=Control!$C$92,$G244&lt;=Control!$C$93),$G244-Control!$C$92,IF(AND($G244&gt;Control!$C$93,$G244&lt;=Control!$C$94),Control!$C$93-Control!$C$92,IF(AND($G244&gt;Control!$C$94,$G244&lt;=Control!$C$95),(Control!$C$93-Control!$C$92)*(Control!$C$94-$G244)/(Control!$C$95-Control!$C$94))))))</f>
        <v>#N/A</v>
      </c>
      <c r="BW244" s="140" t="e">
        <f t="shared" ca="1" si="714"/>
        <v>#N/A</v>
      </c>
      <c r="BX244" s="140" t="e">
        <f ca="1">IF($BW244&lt;=Control!$C$89,$BW244,Control!$C$89-$BW244)</f>
        <v>#N/A</v>
      </c>
      <c r="BY244" s="140" t="e">
        <f ca="1">IF(AND($AJ244&gt;=30,$AJ244&lt;60),1,IF($BW244&gt;=Control!$C$89,0,$BU244))</f>
        <v>#N/A</v>
      </c>
      <c r="BZ244" s="404" t="e">
        <f ca="1">IF($BY244=0,0,IF($BW244&lt;=Control!$C$89,$BU244*(30+(60-30)*(BX244/Control!$C$89)),0))</f>
        <v>#N/A</v>
      </c>
      <c r="CA244" s="140" t="e">
        <f ca="1">IF($BG244+$BM244+$BS244+$BY244=1,0,IF(OR(AND($BB244&lt;65,$BB244&gt;=60),$BW244&gt;=Control!$C$89),1*$BA244,$CE243))</f>
        <v>#N/A</v>
      </c>
      <c r="CB244" s="140" t="e">
        <f ca="1">IF($BX244&lt;0,-$BX244,$CA244*IF(OR($G244&lt;Control!$C$92,$G244&gt;Control!$C$95),0,IF(AND($G244&gt;=Control!$C$92,$G244&lt;=Control!$C$93),$G244-Control!$C$92,IF(AND($G244&gt;Control!$C$93,$G244&lt;=Control!$C$94),Control!$C$93-Control!$C$92,IF(AND($G244&gt;Control!$C$94,$G244&lt;=Control!$C$95),(Control!$C$93-Control!$C$92)*(Control!$C$94-$G244)/(Control!$C$95-Control!$C$94))))))</f>
        <v>#N/A</v>
      </c>
      <c r="CC244" s="140" t="e">
        <f t="shared" ca="1" si="830"/>
        <v>#N/A</v>
      </c>
      <c r="CD244" s="140" t="e">
        <f ca="1">IF($CC244&lt;=Control!$C$90,$CC244,Control!$C$90-$CC244)</f>
        <v>#N/A</v>
      </c>
      <c r="CE244" s="140" t="e">
        <f ca="1">IF(AND($BB244&gt;=60,$BB244&lt;65),1,IF($CC244&gt;=Control!$C$90,0,$CA244))</f>
        <v>#N/A</v>
      </c>
      <c r="CF244" s="404" t="e">
        <f ca="1">IF($CE244=0,0,IF($CC244&lt;=Control!$C$90,$CA244*(60+(65-60)*(CD244/Control!$C$90)),0))</f>
        <v>#N/A</v>
      </c>
      <c r="CG244" s="140" t="e">
        <f ca="1">IF($BG244+$BM244+$BS244+$BY244+$CE244=1,0,IF(OR(AND($BB244&lt;90,$BB244&gt;=65),$CC244&gt;=Control!$C$90),$BA244,$CK243))</f>
        <v>#N/A</v>
      </c>
      <c r="CH244" s="140" t="e">
        <f ca="1">IF($CD244&lt;0,-$CD244,$CG244*IF(OR($G244&lt;Control!$C$92,$G244&gt;Control!$C$95),0,IF(AND($G244&gt;=Control!$C$92,$G244&lt;=Control!$C$93),$G244-Control!$C$92,IF(AND($G244&gt;Control!$C$93,$G244&lt;=Control!$C$94),Control!$C$93-Control!$C$92,IF(AND($G244&gt;Control!$C$94,$G244&lt;=Control!$C$95),(Control!$C$93-Control!$C$92)*(Control!$C$94-$G244)/(Control!$C$95-Control!$C$94))))))</f>
        <v>#N/A</v>
      </c>
      <c r="CI244" s="140" t="e">
        <f t="shared" ca="1" si="831"/>
        <v>#N/A</v>
      </c>
      <c r="CJ244" s="140" t="e">
        <f ca="1">IF($CI244&lt;=Control!$C$91,$CI244,Control!$C$91-$CI244)</f>
        <v>#N/A</v>
      </c>
      <c r="CK244" s="140" t="e">
        <f ca="1">IF(AND($BB244&gt;=65,$BB244&lt;90),1,IF($CI244&gt;=Control!$C$91,0,$CG244))</f>
        <v>#N/A</v>
      </c>
      <c r="CL244" s="404" t="e">
        <f ca="1">IF($CK244=0,0,IF($CI244&lt;=Control!$C$91,$CG244*(65+(90-65)*($CJ244/Control!$C$91)),0))</f>
        <v>#N/A</v>
      </c>
      <c r="CM244" s="140" t="e">
        <f ca="1">IF($BG244+$BM244+$BS244+$BY244+$CE244+$CK244=1,0,IF(OR($BB244&gt;=90,$CI244&gt;=Control!$C$91),$BA244,$CM243))</f>
        <v>#N/A</v>
      </c>
      <c r="CN244" s="140" t="e">
        <f t="shared" ca="1" si="832"/>
        <v>#N/A</v>
      </c>
      <c r="CO244" s="140" t="e">
        <f t="shared" ca="1" si="833"/>
        <v>#N/A</v>
      </c>
      <c r="CP244" s="140" t="e">
        <f t="shared" ca="1" si="834"/>
        <v>#N/A</v>
      </c>
      <c r="CQ244" s="141" t="e">
        <f ca="1">VLOOKUP($CP244,Control!$B$86:$G$91,6)</f>
        <v>#N/A</v>
      </c>
      <c r="CR244" s="141" t="e">
        <f ca="1">(1-$CQ244)*VLOOKUP($CP244,Control!$B$86:$D$91,3)</f>
        <v>#N/A</v>
      </c>
      <c r="CS244" s="141" t="e">
        <f ca="1">(1-$CQ244)*VLOOKUP($CP244,Control!$B$86:$E$91,4)</f>
        <v>#N/A</v>
      </c>
      <c r="CT244" s="141" t="e">
        <f ca="1">(1-$CQ244)*VLOOKUP($CP244,Control!$B$86:$F$91,5)</f>
        <v>#N/A</v>
      </c>
      <c r="CU244" s="141">
        <f t="shared" ca="1" si="835"/>
        <v>0</v>
      </c>
      <c r="CV244" s="583">
        <f t="shared" ca="1" si="836"/>
        <v>0</v>
      </c>
      <c r="CW244" s="142">
        <f t="shared" ca="1" si="837"/>
        <v>240</v>
      </c>
      <c r="CX244" s="612" t="e">
        <f ca="1">IF(Control!$C$114=1,(MIN(Control!$C$120*(IF($NT244-0.01&lt;0,0,1)),Control!$C$119-$CY244)))</f>
        <v>#DIV/0!</v>
      </c>
      <c r="CY244" s="143" t="e">
        <f t="shared" ca="1" si="838"/>
        <v>#N/A</v>
      </c>
      <c r="CZ244" s="144">
        <f t="shared" ca="1" si="715"/>
        <v>0</v>
      </c>
      <c r="DA244" s="144">
        <f t="shared" ca="1" si="716"/>
        <v>0</v>
      </c>
      <c r="DB244" s="144" t="e">
        <f t="shared" ca="1" si="717"/>
        <v>#N/A</v>
      </c>
      <c r="DC244" s="144" t="e">
        <f t="shared" ca="1" si="718"/>
        <v>#N/A</v>
      </c>
      <c r="DD244" s="144" t="e">
        <f t="shared" ca="1" si="923"/>
        <v>#N/A</v>
      </c>
      <c r="DE244" s="143" t="e">
        <f t="shared" ca="1" si="839"/>
        <v>#N/A</v>
      </c>
      <c r="DF244" s="145" t="e">
        <f ca="1">$DR244*EXP(-Control!$C$158*(1-$KH244))</f>
        <v>#N/A</v>
      </c>
      <c r="DG244" s="146" t="e">
        <f ca="1">IF(Control!$C$114=1, $DF244*$EY244, 0)</f>
        <v>#N/A</v>
      </c>
      <c r="DH244" s="147" t="e">
        <f t="shared" ca="1" si="840"/>
        <v>#N/A</v>
      </c>
      <c r="DI244" s="144" t="e">
        <f t="shared" ca="1" si="901"/>
        <v>#N/A</v>
      </c>
      <c r="DJ244" s="147" t="e">
        <f ca="1">$EF244*Control!$C$109</f>
        <v>#N/A</v>
      </c>
      <c r="DK244" s="144" t="e">
        <f t="shared" ca="1" si="841"/>
        <v>#N/A</v>
      </c>
      <c r="DL244" s="144" t="e">
        <f t="shared" ca="1" si="719"/>
        <v>#N/A</v>
      </c>
      <c r="DM244" s="144" t="e">
        <f ca="1">IF(Control!$C$114=1, (1-EXP(-Control!$C$96*$DK244))*$AR244, 0)</f>
        <v>#N/A</v>
      </c>
      <c r="DN244" s="144">
        <f t="shared" ca="1" si="842"/>
        <v>0</v>
      </c>
      <c r="DO244" s="148">
        <f>Control!$C$97</f>
        <v>4</v>
      </c>
      <c r="DP244" s="145" t="e">
        <f t="shared" ca="1" si="843"/>
        <v>#N/A</v>
      </c>
      <c r="DQ244" s="145" t="e">
        <f ca="1">IF(AND($CP244&gt;=0,$CP244&lt;=90),Control!$C$111,Control!$C$111)</f>
        <v>#N/A</v>
      </c>
      <c r="DR244" s="145" t="e">
        <f t="shared" ca="1" si="720"/>
        <v>#N/A</v>
      </c>
      <c r="DS244" s="143" t="e">
        <f ca="1">Control!$B$22/$DR244</f>
        <v>#N/A</v>
      </c>
      <c r="DT244" s="149" t="e">
        <f ca="1">IF(AND(Control!$C$114=1,$KH244&lt;1),$IM244*$DF244, 0)</f>
        <v>#N/A</v>
      </c>
      <c r="DU244" s="144" t="e">
        <f t="shared" ca="1" si="844"/>
        <v>#N/A</v>
      </c>
      <c r="DV244" s="144">
        <f ca="1">IF($G244-Control!$C$107&lt;=0, 0, 0.83*LN(MAX($G244, 3))-0.8924)</f>
        <v>0</v>
      </c>
      <c r="DW244" s="144" t="e">
        <f t="shared" ca="1" si="721"/>
        <v>#N/A</v>
      </c>
      <c r="DX244" s="150" t="e">
        <f ca="1">MAX(0.01*(1+$CU244/Control!$C$102),0.05*($DK244-Control!$C$97)/Control!$C$97)</f>
        <v>#N/A</v>
      </c>
      <c r="DY244" s="151" t="e">
        <f ca="1">IF(Control!$C$114=1, $DI244*$FS244, 0)</f>
        <v>#N/A</v>
      </c>
      <c r="DZ244" s="196" t="e">
        <f t="shared" ca="1" si="845"/>
        <v>#N/A</v>
      </c>
      <c r="EA244" s="152">
        <f t="shared" ca="1" si="846"/>
        <v>240</v>
      </c>
      <c r="EB244" s="153" t="e">
        <f t="shared" ca="1" si="847"/>
        <v>#N/A</v>
      </c>
      <c r="EC244" s="153" t="e">
        <f t="shared" ca="1" si="848"/>
        <v>#N/A</v>
      </c>
      <c r="ED244" s="154" t="e">
        <f ca="1">IF(Control!$C$114=1, $HM244*$FY244-$FD244, 0)</f>
        <v>#DIV/0!</v>
      </c>
      <c r="EE244" s="155" t="e">
        <f ca="1">IF(Control!$C$114=1, $HM244*$FZ244-$FF244, 0)</f>
        <v>#DIV/0!</v>
      </c>
      <c r="EF244" s="153" t="e">
        <f t="shared" ca="1" si="902"/>
        <v>#N/A</v>
      </c>
      <c r="EG244" s="155" t="e">
        <f ca="1">IF(Control!$C$114=1, $GX244*$FW244-$FI244, 0)</f>
        <v>#DIV/0!</v>
      </c>
      <c r="EH244" s="153" t="e">
        <f t="shared" ca="1" si="849"/>
        <v>#N/A</v>
      </c>
      <c r="EI244" s="156" t="e">
        <f t="shared" ca="1" si="850"/>
        <v>#N/A</v>
      </c>
      <c r="EJ244" s="155" t="e">
        <f ca="1">IF(Control!$C$114=1, $HM244*$GB244, 0)</f>
        <v>#DIV/0!</v>
      </c>
      <c r="EK244" s="153" t="e">
        <f t="shared" ca="1" si="903"/>
        <v>#N/A</v>
      </c>
      <c r="EL244" s="153" t="e">
        <f t="shared" ca="1" si="722"/>
        <v>#N/A</v>
      </c>
      <c r="EM244" s="153" t="e">
        <f t="shared" ca="1" si="723"/>
        <v>#N/A</v>
      </c>
      <c r="EN244" s="153" t="e">
        <f ca="1">IF(Control!$C$108=1,IF(AND(Control!$B$18=1,$EB244&gt;=Control!$B$19),$EB244-$DS244,IF(AND(Control!$B$18=2,$AW244=1,$EB244&gt;$DS244),$EB244-$DS244,0)))</f>
        <v>#N/A</v>
      </c>
      <c r="EO244" s="153" t="e">
        <f ca="1">IF(Control!$C$108=1,IF(AND(Control!$B$18=1,$EB244&gt;=Control!$B$19),$EF244,IF(AND(Control!$B$18=2,$AW244=1),$EF244,0)))</f>
        <v>#N/A</v>
      </c>
      <c r="EP244" s="153" t="e">
        <f ca="1">IF(Control!$C$108=1,IF(AND(Control!$B$18=1,$EB244&gt;=Control!$B$19),$EK244,IF(AND(Control!$B$18=2,$AW244=1),$EK244,0)))</f>
        <v>#N/A</v>
      </c>
      <c r="EQ244" s="153" t="e">
        <f t="shared" ca="1" si="851"/>
        <v>#N/A</v>
      </c>
      <c r="ER244" s="153" t="e">
        <f t="shared" ca="1" si="852"/>
        <v>#N/A</v>
      </c>
      <c r="ES244" s="153" t="e">
        <f t="shared" ca="1" si="904"/>
        <v>#N/A</v>
      </c>
      <c r="ET244" s="153" t="e">
        <f t="shared" ca="1" si="905"/>
        <v>#N/A</v>
      </c>
      <c r="EU244" s="153" t="e">
        <f t="shared" ca="1" si="853"/>
        <v>#N/A</v>
      </c>
      <c r="EV244" s="153" t="e">
        <f t="shared" ca="1" si="724"/>
        <v>#N/A</v>
      </c>
      <c r="EW244" s="153" t="e">
        <f t="shared" ca="1" si="725"/>
        <v>#N/A</v>
      </c>
      <c r="EX244" s="153" t="e">
        <f t="shared" ca="1" si="726"/>
        <v>#N/A</v>
      </c>
      <c r="EY244" s="157" t="e">
        <f t="shared" ca="1" si="727"/>
        <v>#DIV/0!</v>
      </c>
      <c r="EZ244" s="154" t="e">
        <f t="shared" ca="1" si="728"/>
        <v>#DIV/0!</v>
      </c>
      <c r="FA244" s="153" t="e">
        <f t="shared" ca="1" si="854"/>
        <v>#N/A</v>
      </c>
      <c r="FB244" s="153" t="e">
        <f t="shared" ca="1" si="729"/>
        <v>#N/A</v>
      </c>
      <c r="FC244" s="193" t="e">
        <f t="shared" ca="1" si="730"/>
        <v>#N/A</v>
      </c>
      <c r="FD244" s="158" t="e">
        <f t="shared" ca="1" si="855"/>
        <v>#N/A</v>
      </c>
      <c r="FE244" s="158" t="e">
        <f t="shared" ca="1" si="856"/>
        <v>#N/A</v>
      </c>
      <c r="FF244" s="159" t="e">
        <f t="shared" ca="1" si="731"/>
        <v>#N/A</v>
      </c>
      <c r="FG244" s="160" t="e">
        <f t="shared" ca="1" si="857"/>
        <v>#N/A</v>
      </c>
      <c r="FH244" s="158" t="e">
        <f t="shared" ca="1" si="858"/>
        <v>#N/A</v>
      </c>
      <c r="FI244" s="159" t="e">
        <f t="shared" ca="1" si="732"/>
        <v>#N/A</v>
      </c>
      <c r="FJ244" s="160" t="e">
        <f t="shared" ca="1" si="859"/>
        <v>#N/A</v>
      </c>
      <c r="FK244" s="160" t="e">
        <f t="shared" ca="1" si="733"/>
        <v>#N/A</v>
      </c>
      <c r="FL244" s="160" t="e">
        <f t="shared" ca="1" si="906"/>
        <v>#N/A</v>
      </c>
      <c r="FM244" s="160" t="e">
        <f t="shared" ca="1" si="734"/>
        <v>#N/A</v>
      </c>
      <c r="FN244" s="158">
        <f t="shared" ca="1" si="860"/>
        <v>0.01</v>
      </c>
      <c r="FO244" s="160">
        <f>Control!$C$101</f>
        <v>50</v>
      </c>
      <c r="FP244" s="150" t="e">
        <f t="shared" ca="1" si="735"/>
        <v>#N/A</v>
      </c>
      <c r="FQ244" s="150" t="e">
        <f ca="1">MAX(0,(Control!$C$112*(($DK244-Control!$C$97)/Control!$C$97)))</f>
        <v>#N/A</v>
      </c>
      <c r="FR244" s="150" t="e">
        <f ca="1">(1-$NT244)*Control!$C$113</f>
        <v>#DIV/0!</v>
      </c>
      <c r="FS244" s="198" t="e">
        <f t="shared" ca="1" si="736"/>
        <v>#N/A</v>
      </c>
      <c r="FT244" s="161">
        <f t="shared" ca="1" si="861"/>
        <v>240</v>
      </c>
      <c r="FU244" s="162" t="e">
        <f ca="1">IF(Control!$B$34=1,VLOOKUP($CP244,Control!$B$86:$G$91,6),Control!$B$35)</f>
        <v>#N/A</v>
      </c>
      <c r="FV244" s="162" t="e">
        <f t="shared" ca="1" si="737"/>
        <v>#DIV/0!</v>
      </c>
      <c r="FW244" s="162" t="e">
        <f ca="1">IF(Control!$B$31=1,$FU244*$FV244,  $FU244)</f>
        <v>#N/A</v>
      </c>
      <c r="FX244" s="162" t="e">
        <f ca="1">IF(Control!$B$34=1,VLOOKUP($CP244,Control!$B$86:$G$91,3),Control!$B$36)</f>
        <v>#N/A</v>
      </c>
      <c r="FY244" s="162" t="e">
        <f t="shared" ca="1" si="738"/>
        <v>#N/A</v>
      </c>
      <c r="FZ244" s="162" t="e">
        <f ca="1">IF(Control!$B$34=1,VLOOKUP($CP244,Control!$B$86:$G$91,4),Control!$B$37)</f>
        <v>#N/A</v>
      </c>
      <c r="GA244" s="162" t="e">
        <f t="shared" ca="1" si="739"/>
        <v>#N/A</v>
      </c>
      <c r="GB244" s="162" t="e">
        <f ca="1">IF(Control!$B$34=1,VLOOKUP($CP244,Control!$B$86:$G$91,5),Control!$B$38)</f>
        <v>#N/A</v>
      </c>
      <c r="GC244" s="162" t="e">
        <f t="shared" ca="1" si="862"/>
        <v>#N/A</v>
      </c>
      <c r="GD244" s="162">
        <f t="shared" ca="1" si="740"/>
        <v>1</v>
      </c>
      <c r="GE244" s="162">
        <f t="shared" ca="1" si="741"/>
        <v>1</v>
      </c>
      <c r="GF244" s="162">
        <f ca="1">IF(AND(Control!$C$104=1, Control!$C$62="F"),$GE244,1)</f>
        <v>1</v>
      </c>
      <c r="GG244" s="162" t="e">
        <f ca="1">IF(Control!$B$16=40,0,IF(AND(Control!$B$16&gt;40,Control!$B$16&lt;=360),(Control!$B$16-40)*((1-0)/(360-40)),IF(AND(Control!$B$16&gt;360,Control!$B$16&lt;=720),(1+(Control!$B$16-360)*((1.25-1)/(720-360))),IF(AND(Control!$B$16&gt;720,Control!$B$16&lt;=1000),(1.25+(Control!$B$16-720)*((1.35-1.25)/(1000-720))),IF(AND(Control!$B$16&gt;1000,Control!$B$16&lt;=2000),(1.35+(Control!$B$16-1000)*0))))))</f>
        <v>#N/A</v>
      </c>
      <c r="GH244" s="162" t="e">
        <f t="shared" ca="1" si="742"/>
        <v>#N/A</v>
      </c>
      <c r="GI244" s="162">
        <f t="shared" ca="1" si="863"/>
        <v>0</v>
      </c>
      <c r="GJ244" s="162">
        <f t="shared" ca="1" si="743"/>
        <v>0</v>
      </c>
      <c r="GK244" s="162">
        <f t="shared" ca="1" si="864"/>
        <v>1</v>
      </c>
      <c r="GL244" s="162">
        <f t="shared" ca="1" si="744"/>
        <v>1</v>
      </c>
      <c r="GM244" s="162" t="e">
        <f ca="1">MAX(0,MIN(1,1-Control!$C$156*(1.0001-$KH244)^2))</f>
        <v>#N/A</v>
      </c>
      <c r="GN244" s="162" t="e">
        <f ca="1">IF(Control!$B$26=1,$KU244,$KX244)</f>
        <v>#N/A</v>
      </c>
      <c r="GO244" s="162" t="e">
        <f ca="1">IF($CP244&lt;=60,Control!$C$105,IF($CP244&gt;=90,Control!$C$106,Control!$C$105+($CP244-60)*((Control!$C$106-Control!$C$105)/(90-60))))</f>
        <v>#N/A</v>
      </c>
      <c r="GP244" s="162" t="e">
        <f t="shared" ca="1" si="745"/>
        <v>#N/A</v>
      </c>
      <c r="GQ244" s="162" t="e">
        <f t="shared" ca="1" si="865"/>
        <v>#N/A</v>
      </c>
      <c r="GR244" s="163" t="e">
        <f t="shared" ca="1" si="746"/>
        <v>#DIV/0!</v>
      </c>
      <c r="GS244" s="162" t="e">
        <f t="shared" ca="1" si="747"/>
        <v>#DIV/0!</v>
      </c>
      <c r="GT244" s="164" t="e">
        <f t="shared" ca="1" si="866"/>
        <v>#N/A</v>
      </c>
      <c r="GU244" s="162" t="e">
        <f t="shared" ca="1" si="867"/>
        <v>#N/A</v>
      </c>
      <c r="GV244" s="162" t="e">
        <f t="shared" ca="1" si="748"/>
        <v>#N/A</v>
      </c>
      <c r="GW244" s="162" t="e">
        <f t="shared" ca="1" si="749"/>
        <v>#DIV/0!</v>
      </c>
      <c r="GX244" s="162" t="e">
        <f t="shared" ca="1" si="868"/>
        <v>#DIV/0!</v>
      </c>
      <c r="GY244" s="162" t="e">
        <f t="shared" ca="1" si="869"/>
        <v>#DIV/0!</v>
      </c>
      <c r="GZ244" s="165" t="e">
        <f t="shared" ca="1" si="750"/>
        <v>#N/A</v>
      </c>
      <c r="HA244" s="162" t="e">
        <f ca="1">IF(Control!$C$114=1, $DI244*$FS244, 0)</f>
        <v>#N/A</v>
      </c>
      <c r="HB244" s="162" t="e">
        <f ca="1">$FA244/Control!$C$64</f>
        <v>#N/A</v>
      </c>
      <c r="HC244" s="162" t="e">
        <f t="shared" ca="1" si="751"/>
        <v>#DIV/0!</v>
      </c>
      <c r="HD244" s="162">
        <f ca="1">-ASIN(SIN(23.45*Control!$C$139)*COS(2*Control!$C$138*($AH244+10)/365))</f>
        <v>0.15886570069508577</v>
      </c>
      <c r="HE244" s="165">
        <f t="shared" ca="1" si="870"/>
        <v>0</v>
      </c>
      <c r="HF244" s="166">
        <f ca="1">IF(AND(Control!$C$61="T",$HE244&gt;=Control!$C$103,Control!$C$114=0),$AH244,Control!$C$59)</f>
        <v>1</v>
      </c>
      <c r="HG244" s="166">
        <f ca="1">IF(AND(Control!$C$61="T",$HE244&gt;=Control!$C$103,Control!$C$114=0),$HF244,Control!$C$59)</f>
        <v>1</v>
      </c>
      <c r="HH244" s="165">
        <f ca="1">IF(AND(OR(Control!$C$60&lt;=0, $AH244= Control!$C$59, Control!$C$60 &gt;0, $AH244 = Control!$C$60)), Control!$C$59, IF(Control!$C$60&gt;0, 0))</f>
        <v>1</v>
      </c>
      <c r="HI244" s="165">
        <f ca="1">IF(AND(OR(Control!$C$60&lt;=0, $AH244= Control!$C$59, Control!$C$60 &gt;0, $AH244 = Control!$C$60)), Control!$C$60, IF(Control!$C$60&lt;=0, 0))</f>
        <v>0</v>
      </c>
      <c r="HJ244" s="166">
        <f ca="1">IF(AND(Control!$C$62="F",$CV244&gt;=Control!$C$102),$AH244,0)</f>
        <v>0</v>
      </c>
      <c r="HK244" s="165" t="e">
        <f t="shared" ca="1" si="907"/>
        <v>#N/A</v>
      </c>
      <c r="HL244" s="166">
        <f ca="1">IF(AND(Control!$C$61="T",$HE244&gt;=Control!$C$103,Control!$C$114=0),$HF244,0)</f>
        <v>0</v>
      </c>
      <c r="HM244" s="201" t="e">
        <f t="shared" ca="1" si="752"/>
        <v>#DIV/0!</v>
      </c>
      <c r="HN244" s="215">
        <f t="shared" ca="1" si="871"/>
        <v>240</v>
      </c>
      <c r="HO244" s="216" t="e">
        <f ca="1">IF(AND($CP244&gt;=0, $CP244&lt;=90), Control!$C$152, Control!$C$152)</f>
        <v>#N/A</v>
      </c>
      <c r="HP244" s="216" t="e">
        <f t="shared" ca="1" si="753"/>
        <v>#N/A</v>
      </c>
      <c r="HQ244" s="217" t="e">
        <f ca="1">IF(OR(Control!$B$26=1,Control!$B$26=2),$KV244,$KS244)</f>
        <v>#DIV/0!</v>
      </c>
      <c r="HR244" s="218" t="e">
        <f t="shared" ca="1" si="908"/>
        <v>#DIV/0!</v>
      </c>
      <c r="HS244" s="216" t="e">
        <f ca="1">Control!$C$154*$HP244</f>
        <v>#N/A</v>
      </c>
      <c r="HT244" s="216" t="e">
        <f ca="1">Control!$C$155*$HP244</f>
        <v>#N/A</v>
      </c>
      <c r="HU244" s="217" t="e">
        <f ca="1">Control!$C$161*$FI244</f>
        <v>#N/A</v>
      </c>
      <c r="HV244" s="218" t="e">
        <f t="shared" ca="1" si="872"/>
        <v>#N/A</v>
      </c>
      <c r="HW244" s="218" t="e">
        <f ca="1">Control!$C$160*$FF244+$IP244*$EO244</f>
        <v>#N/A</v>
      </c>
      <c r="HX244" s="218" t="e">
        <f t="shared" ca="1" si="909"/>
        <v>#N/A</v>
      </c>
      <c r="HY244" s="219" t="e">
        <f ca="1">IF(Control!$C$114=1, $EB244*$FS244, 0)</f>
        <v>#N/A</v>
      </c>
      <c r="HZ244" s="91" t="e">
        <f t="shared" ca="1" si="754"/>
        <v>#N/A</v>
      </c>
      <c r="IA244" s="220" t="e">
        <f ca="1">Control!$C$153*$HO244</f>
        <v>#N/A</v>
      </c>
      <c r="IB244" s="218" t="e">
        <f t="shared" ca="1" si="755"/>
        <v>#N/A</v>
      </c>
      <c r="IC244" s="220" t="e">
        <f ca="1">Control!$C$153*$HT244</f>
        <v>#N/A</v>
      </c>
      <c r="ID244" s="218" t="e">
        <f t="shared" ca="1" si="756"/>
        <v>#N/A</v>
      </c>
      <c r="IE244" s="221" t="e">
        <f ca="1">($EB244*Control!$C$159+$EF244*Control!$C$160)/(IF($GZ244&lt;&gt;0,$GZ244,1))</f>
        <v>#N/A</v>
      </c>
      <c r="IF244" s="216" t="e">
        <f t="shared" ca="1" si="757"/>
        <v>#N/A</v>
      </c>
      <c r="IG244" s="91">
        <f ca="1">IF(OR(Control!$B$198=$AH244,Control!$B$199=$AH244, Control!$B$200=$AH244, Control!$B$201=$AH244, Control!$B$202=$AH244, Control!$B$203=$AH244, Control!$B$204=$AH244, Control!$B$205=$AH244, Control!$B$206=$AH244, Control!$B$207=$AH244), 1, 0)</f>
        <v>0</v>
      </c>
      <c r="IH244" s="91">
        <f ca="1">IF($IG244=0,0, VLOOKUP($AH244,Control!$B$198:$C$207,2))</f>
        <v>0</v>
      </c>
      <c r="II244" s="222">
        <f t="shared" ca="1" si="873"/>
        <v>0</v>
      </c>
      <c r="IJ244" s="91">
        <f>Control!$C$121</f>
        <v>0.7</v>
      </c>
      <c r="IK244" s="218">
        <f t="shared" ca="1" si="758"/>
        <v>0</v>
      </c>
      <c r="IL244" s="217" t="e">
        <f t="shared" ca="1" si="910"/>
        <v>#N/A</v>
      </c>
      <c r="IM244" s="223" t="e">
        <f ca="1">IF(AND(Control!$C$114=1,$KH244&lt;1),$EB244*Control!$C$148*(1-$KH244), 0)</f>
        <v>#N/A</v>
      </c>
      <c r="IN244" s="217" t="e">
        <f t="shared" ca="1" si="759"/>
        <v>#DIV/0!</v>
      </c>
      <c r="IO244" s="91" t="e">
        <f ca="1">MAX(0,$IL244-$EF244*Control!$C$160)</f>
        <v>#N/A</v>
      </c>
      <c r="IP244" s="220" t="e">
        <f t="shared" ca="1" si="760"/>
        <v>#N/A</v>
      </c>
      <c r="IQ244" s="217" t="e">
        <f t="shared" ca="1" si="874"/>
        <v>#N/A</v>
      </c>
      <c r="IR244" s="218" t="e">
        <f t="shared" ca="1" si="761"/>
        <v>#N/A</v>
      </c>
      <c r="IS244" s="217" t="e">
        <f ca="1">Control!$C$159*MAX(0,$FD244-$EN244)</f>
        <v>#N/A</v>
      </c>
      <c r="IT244" s="217" t="e">
        <f t="shared" ca="1" si="911"/>
        <v>#N/A</v>
      </c>
      <c r="IU244" s="217" t="e">
        <f t="shared" ca="1" si="875"/>
        <v>#N/A</v>
      </c>
      <c r="IV244" s="217" t="e">
        <f t="shared" ca="1" si="912"/>
        <v>#N/A</v>
      </c>
      <c r="IW244" s="217" t="e">
        <f ca="1">IF(OR($AW244=1,AND($AW244=0, Control!$B$18=1,$EN244&lt;&gt;0)), $IQ244-$IU244, $IQ244)</f>
        <v>#N/A</v>
      </c>
      <c r="IX244" s="218" t="e">
        <f t="shared" ca="1" si="762"/>
        <v>#N/A</v>
      </c>
      <c r="IY244" s="218" t="e">
        <f ca="1">MAX(0,$IQ244-$EB244*Control!$C$159)</f>
        <v>#N/A</v>
      </c>
      <c r="IZ244" s="218" t="e">
        <f t="shared" ca="1" si="763"/>
        <v>#N/A</v>
      </c>
      <c r="JA244" s="216" t="e">
        <f t="shared" ca="1" si="764"/>
        <v>#N/A</v>
      </c>
      <c r="JB244" s="217" t="e">
        <f t="shared" ca="1" si="765"/>
        <v>#N/A</v>
      </c>
      <c r="JC244" s="222" t="e">
        <f ca="1">MAX(Control!$C$157*$EK244-$JT244, 0)/Control!$C$162</f>
        <v>#N/A</v>
      </c>
      <c r="JD244" s="218" t="e">
        <f t="shared" ca="1" si="766"/>
        <v>#N/A</v>
      </c>
      <c r="JE244" s="218" t="e">
        <f t="shared" ca="1" si="767"/>
        <v>#N/A</v>
      </c>
      <c r="JF244" s="218" t="e">
        <f t="shared" ca="1" si="876"/>
        <v>#N/A</v>
      </c>
      <c r="JG244" s="218" t="e">
        <f t="shared" ca="1" si="768"/>
        <v>#N/A</v>
      </c>
      <c r="JH244" s="217" t="e">
        <f t="shared" ca="1" si="877"/>
        <v>#N/A</v>
      </c>
      <c r="JI244" s="217" t="e">
        <f t="shared" ca="1" si="878"/>
        <v>#N/A</v>
      </c>
      <c r="JJ244" s="217" t="e">
        <f t="shared" ca="1" si="913"/>
        <v>#N/A</v>
      </c>
      <c r="JK244" s="217" t="e">
        <f ca="1">IF(Control!$C$114=1,IF(Control!$B$24=0,MAX(0,$JI244)*$GN244/Control!$C$64,(MAX(0,MIN($JI244,$JJ244*$GN244/Control!$C$64),0))))</f>
        <v>#N/A</v>
      </c>
      <c r="JL244" s="217" t="e">
        <f ca="1">$IK244/Control!$C$64-$JK244+$HQ244</f>
        <v>#N/A</v>
      </c>
      <c r="JM244" s="217" t="e">
        <f ca="1">IF(Control!$C$114=1,($JB244/(IF($JI244&lt;&gt;0,$JI244,1)))*$JK244,0)</f>
        <v>#N/A</v>
      </c>
      <c r="JN244" s="217" t="e">
        <f ca="1">IF(Control!$C$114=1,($JG244/(IF($JI244&lt;&gt;0,$JI244,1)))*$JK244, 0)</f>
        <v>#N/A</v>
      </c>
      <c r="JO244" s="218" t="e">
        <f t="shared" ca="1" si="769"/>
        <v>#N/A</v>
      </c>
      <c r="JP244" s="218" t="e">
        <f ca="1">MIN(($IY244+$IO244)*Control!$C$151, $JF244-$EH244*Control!$C$161)</f>
        <v>#N/A</v>
      </c>
      <c r="JQ244" s="218" t="e">
        <f t="shared" ca="1" si="770"/>
        <v>#N/A</v>
      </c>
      <c r="JR244" s="217" t="e">
        <f ca="1">IF($CP244-Control!$C$150&lt;0, 0, $JQ244/Control!$C$162)</f>
        <v>#N/A</v>
      </c>
      <c r="JS244" s="218" t="e">
        <f t="shared" ca="1" si="771"/>
        <v>#N/A</v>
      </c>
      <c r="JT244" s="218" t="e">
        <f t="shared" ca="1" si="879"/>
        <v>#N/A</v>
      </c>
      <c r="JU244" s="218" t="e">
        <f t="shared" ca="1" si="772"/>
        <v>#N/A</v>
      </c>
      <c r="JV244" s="218" t="e">
        <f t="shared" ca="1" si="773"/>
        <v>#N/A</v>
      </c>
      <c r="JW244" s="216" t="e">
        <f t="shared" ca="1" si="774"/>
        <v>#N/A</v>
      </c>
      <c r="JX244" s="91" t="e">
        <f t="shared" ca="1" si="775"/>
        <v>#N/A</v>
      </c>
      <c r="JY244" s="218" t="e">
        <f t="shared" ca="1" si="776"/>
        <v>#N/A</v>
      </c>
      <c r="JZ244" s="217" t="e">
        <f ca="1">IF(Control!$C$114=1,($IZ244/(IF($JI244&lt;&gt;0,$JI244,1)))*$JK244, 0)</f>
        <v>#N/A</v>
      </c>
      <c r="KA244" s="218" t="e">
        <f t="shared" ca="1" si="914"/>
        <v>#N/A</v>
      </c>
      <c r="KB244" s="218" t="e">
        <f t="shared" ca="1" si="880"/>
        <v>#N/A</v>
      </c>
      <c r="KC244" s="218" t="e">
        <f t="shared" ca="1" si="777"/>
        <v>#N/A</v>
      </c>
      <c r="KD244" s="218" t="e">
        <f t="shared" ca="1" si="778"/>
        <v>#N/A</v>
      </c>
      <c r="KE244" s="218" t="e">
        <f t="shared" ca="1" si="779"/>
        <v>#N/A</v>
      </c>
      <c r="KF244" s="218" t="e">
        <f t="shared" ca="1" si="780"/>
        <v>#N/A</v>
      </c>
      <c r="KG244" s="216" t="e">
        <f t="shared" ca="1" si="781"/>
        <v>#N/A</v>
      </c>
      <c r="KH244" s="221" t="e">
        <f ca="1">IF(Control!$B$24=0,1,MAX(0.001,MIN(1,IF(($IF244-$IE244)&lt;&gt;0,($KG244-$IE244)/($IF244-$IE244),1))))</f>
        <v>#N/A</v>
      </c>
      <c r="KI244" s="222" t="e">
        <f ca="1">IF(Control!$C$114=1, $KI243+ $KH243, 0)</f>
        <v>#N/A</v>
      </c>
      <c r="KJ244" s="217" t="e">
        <f t="shared" ca="1" si="782"/>
        <v>#N/A</v>
      </c>
      <c r="KK244" s="218" t="e">
        <f t="shared" ca="1" si="783"/>
        <v>#N/A</v>
      </c>
      <c r="KL244" s="274" t="e">
        <f ca="1">IF(Control!$B$26=3,4000000000*EXP(-8400/($G244+273)),IF(Control!$B$26=4,4000000000*EXP(-8400/($G244+273))*($KT244),0))</f>
        <v>#DIV/0!</v>
      </c>
      <c r="KM244" s="274" t="e">
        <f ca="1">IF(Control!$B$26=3,5600000000000*EXP(-9800/($G244+273)),IF(Control!$B$26=4,5600000000000*EXP(-9800/($G244+273))*$KT244,0))</f>
        <v>#DIV/0!</v>
      </c>
      <c r="KN244" s="454" t="e">
        <f t="shared" ca="1" si="881"/>
        <v>#DIV/0!</v>
      </c>
      <c r="KO244" s="274" t="e">
        <f t="shared" ca="1" si="882"/>
        <v>#DIV/0!</v>
      </c>
      <c r="KP244" s="454" t="e">
        <f t="shared" ca="1" si="784"/>
        <v>#DIV/0!</v>
      </c>
      <c r="KQ244" s="454" t="e">
        <f t="shared" ca="1" si="785"/>
        <v>#DIV/0!</v>
      </c>
      <c r="KR244" s="454" t="e">
        <f t="shared" ca="1" si="786"/>
        <v>#DIV/0!</v>
      </c>
      <c r="KS244" s="454" t="e">
        <f t="shared" ca="1" si="787"/>
        <v>#DIV/0!</v>
      </c>
      <c r="KT244" s="455" t="e">
        <f t="shared" ca="1" si="788"/>
        <v>#DIV/0!</v>
      </c>
      <c r="KU244" s="456" t="e">
        <f ca="1">IF($CP244-Control!$C$149&lt;0, IF($NT244-0.01&lt;0,0,1),0)</f>
        <v>#N/A</v>
      </c>
      <c r="KV244" s="456" t="e">
        <f ca="1">IF(Control!$C$114=1,MAX(0,MIN(Control!$C$125*$KW244*$GN244,$KW244)))</f>
        <v>#DIV/0!</v>
      </c>
      <c r="KW244" s="456" t="e">
        <f t="shared" ca="1" si="915"/>
        <v>#DIV/0!</v>
      </c>
      <c r="KX244" s="457" t="e">
        <f ca="1">IF($CP244-Control!$C$149&lt;0, IF($MR244-$OM244&lt;0,0,1),0)</f>
        <v>#N/A</v>
      </c>
      <c r="KY244" s="167">
        <f t="shared" ca="1" si="883"/>
        <v>240</v>
      </c>
      <c r="KZ244" s="168">
        <f ca="1">1370*(1+0.033*COS(2*Control!$C$138*$AH244/365))</f>
        <v>1345.1871749686943</v>
      </c>
      <c r="LA244" s="169">
        <f t="shared" ca="1" si="884"/>
        <v>0.98188818237660425</v>
      </c>
      <c r="LB244" s="169">
        <f t="shared" ca="1" si="885"/>
        <v>0.1593410894217562</v>
      </c>
      <c r="LC244" s="169">
        <f ca="1">ACOS(-TAN((2*Control!$B$8/360))*TAN(Calculations!$LB244))</f>
        <v>1.618576076200517</v>
      </c>
      <c r="LD244" s="169">
        <f ca="1">((24*60)/PI())*0.082*$LA244*(($LC244*SIN(Control!$B$8*2*PI()/360))*SIN($LB244)+COS(Control!$B$8*2*PI()/360)*COS($LB244)*SIN($LC244))</f>
        <v>29.876378947177127</v>
      </c>
      <c r="LE244" s="170">
        <f t="shared" ca="1" si="789"/>
        <v>30.202500780765494</v>
      </c>
      <c r="LF244" s="170">
        <f ca="1">SIN(Control!$C$139*Control!$B$8)*SIN($HD244)</f>
        <v>0.1246621629013913</v>
      </c>
      <c r="LG244" s="170">
        <f ca="1">COS(Control!$C$139*Control!$B$8)*COS($HD244)</f>
        <v>0.6079070223749754</v>
      </c>
      <c r="LH244" s="170">
        <f ca="1">12*(1+2*ASIN(MAX(-1,MIN(1,$LF244/$LG244))/Control!$C$138))</f>
        <v>13.567713659176455</v>
      </c>
      <c r="LI244" s="170">
        <f ca="1">12*(1+2*ASIN(MAX(-1,MIN(1,(-SIN(-4*Control!$C$139)+$LF244)/$LG244))/Control!$C$138))</f>
        <v>14.447453458126388</v>
      </c>
      <c r="LJ244" s="168">
        <f ca="1">3600*($LH244*$LF244+24*$LG244*SQRT(1-$LK244*$LK244)/Control!$C$138)</f>
        <v>22452.266378073651</v>
      </c>
      <c r="LK244" s="170">
        <f t="shared" ca="1" si="790"/>
        <v>0.20506781187419137</v>
      </c>
      <c r="LL244" s="170">
        <f t="shared" ca="1" si="791"/>
        <v>0</v>
      </c>
      <c r="LM244" s="171">
        <f ca="1">Control!$C$145*$AB244</f>
        <v>6.6660906138995932E-2</v>
      </c>
      <c r="LN244" s="170">
        <f t="shared" ca="1" si="886"/>
        <v>0.54</v>
      </c>
      <c r="LO244" s="170">
        <f t="shared" ca="1" si="792"/>
        <v>0</v>
      </c>
      <c r="LP244" s="170">
        <f ca="1">Control!$C$140*((($D244+273.16)^4+($E244+273.16)^4)/2)*(0.34-0.14*SQRT($Y244))*(1.35*$AQ244/(0.75*$LD244)-0.35)</f>
        <v>-3.2464704755046001</v>
      </c>
      <c r="LQ244" s="170">
        <f ca="1">Control!$C$140*($G244+273)^4*(0.56-0.079*SQRT($Y244*10))*(0.1+0.9*$LO244)</f>
        <v>1.5241745131704001</v>
      </c>
      <c r="LR244" s="170">
        <f ca="1">$AQ244*(1-Control!$C$142)-$LQ244</f>
        <v>-1.5241745131704001</v>
      </c>
      <c r="LS244" s="170">
        <f ca="1">$AQ244*(1-Control!$C$143)-$LQ244</f>
        <v>-1.5241745131704001</v>
      </c>
      <c r="LT244" s="170">
        <f ca="1">$AQ244*(1-Control!$C$144)-$LQ244</f>
        <v>-1.5241745131704001</v>
      </c>
      <c r="LU244" s="169">
        <f ca="1">(1-Control!$C$144)*AQ244-LP244</f>
        <v>3.2464704755046001</v>
      </c>
      <c r="LV244" s="172">
        <f t="shared" ca="1" si="793"/>
        <v>0.79430000000000012</v>
      </c>
      <c r="LW244" s="170">
        <f t="shared" ca="1" si="794"/>
        <v>1.5886000000000002</v>
      </c>
      <c r="LX244" s="170">
        <f ca="1">($AC244*($LR244/Control!$C$141)+$LM244*$LV244)/($AC244+$LM244)</f>
        <v>0.23530094218323697</v>
      </c>
      <c r="LY244" s="170">
        <f ca="1">($AC244*($LS244/Control!$C$141)+$LM244*$LV244)/($AC244+$LM244)</f>
        <v>0.23530094218323697</v>
      </c>
      <c r="LZ244" s="170">
        <f t="shared" ca="1" si="795"/>
        <v>0.23530094218323697</v>
      </c>
      <c r="MA244" s="170">
        <f t="shared" ca="1" si="796"/>
        <v>0.23530094218323697</v>
      </c>
      <c r="MB244" s="170" t="e">
        <f t="shared" ca="1" si="797"/>
        <v>#N/A</v>
      </c>
      <c r="MC244" s="170">
        <f t="shared" ca="1" si="887"/>
        <v>0.6018</v>
      </c>
      <c r="MD244" s="170">
        <f t="shared" ca="1" si="798"/>
        <v>0.52989392535414004</v>
      </c>
      <c r="ME244" s="170">
        <f ca="1">($AC244*($LT244/Control!$C$141)+$LM244*$LW244)/($AC244+$LM244)</f>
        <v>0.71612369323045078</v>
      </c>
      <c r="MF244" s="170" t="e">
        <f ca="1">IF(Control!$B$16&gt;=1000,0.92,IF(AND(720&lt;=Control!$B$16,1000&gt;Control!$B$16),(0.95+(Control!$B$16-720)*((0.92-0.95)/(1000-720))),IF(AND(360&lt;=Control!$B$16,720&gt;Control!$B$16),(1+(Control!$B$16-360)*((0.95-1)/(720-360))),IF(AND(40&lt;=Control!$B$16,360&gt;Control!$B$16),(1.05+(Control!$B$16-40)*((1.05-1)/(360-40)))))))</f>
        <v>#N/A</v>
      </c>
      <c r="MG244" s="170">
        <f t="shared" ca="1" si="799"/>
        <v>0.71612369323045078</v>
      </c>
      <c r="MH244" s="170" t="e">
        <f t="shared" ca="1" si="925"/>
        <v>#N/A</v>
      </c>
      <c r="MI244" s="170" t="e">
        <f t="shared" ca="1" si="925"/>
        <v>#N/A</v>
      </c>
      <c r="MJ244" s="170" t="e">
        <f ca="1">MAX(0.0001, Control!$C$132*$MI244*$DL244)</f>
        <v>#N/A</v>
      </c>
      <c r="MK244" s="170">
        <f ca="1">1/(0.76+1.5*($MG244/10))-(5-Control!$C$110)*0.1</f>
        <v>1.002845988140797</v>
      </c>
      <c r="ML244" s="173">
        <f ca="1">IF(Control!$C$110&lt;3,$MK244+($MG244-0.6)/(Control!$C$110*(Control!$C$110+3)), MAX(0.1, MIN(0.95,$MK244)))</f>
        <v>0.95</v>
      </c>
      <c r="MM244" s="173">
        <f ca="1">IF(Control!$C$110&lt;3,$MK244+(($MI244/10)-0.6)/(Control!$C$110*(Control!$C$110+3)), MAX(0.1, MIN(0.95,$MK244)))</f>
        <v>0.95</v>
      </c>
      <c r="MN244" s="173">
        <f ca="1">(1-$MM244)*(Control!$C$128-Control!$C$127)+Control!$C$127</f>
        <v>0.16</v>
      </c>
      <c r="MO244" s="170" t="e">
        <f ca="1">MAX(0,MIN(1,($MS244-Control!$C$127)/($MN244-Control!$C$127)))</f>
        <v>#DIV/0!</v>
      </c>
      <c r="MP244" s="173" t="e">
        <f ca="1">1/(0.76+1.5*$MI244)-(5-Control!$C$110)*0.1</f>
        <v>#N/A</v>
      </c>
      <c r="MQ244" s="172" t="e">
        <f t="shared" ca="1" si="916"/>
        <v>#DIV/0!</v>
      </c>
      <c r="MR244" s="168" t="e">
        <f t="shared" ca="1" si="888"/>
        <v>#DIV/0!</v>
      </c>
      <c r="MS244" s="173" t="e">
        <f ca="1">MAX(Control!$C$127, MIN(Control!$C$135, $MR244/MAX(0.0001,$CY244)))</f>
        <v>#DIV/0!</v>
      </c>
      <c r="MT244" s="168" t="e">
        <f ca="1">(Control!$C$128-$MS244)*Control!$C$74</f>
        <v>#DIV/0!</v>
      </c>
      <c r="MU244" s="168" t="e">
        <f ca="1">(Control!$C$135-$MS244)*Control!$C$74</f>
        <v>#DIV/0!</v>
      </c>
      <c r="MV244" s="168" t="e">
        <f t="shared" ca="1" si="889"/>
        <v>#DIV/0!</v>
      </c>
      <c r="MW244" s="168" t="e">
        <f t="shared" ca="1" si="890"/>
        <v>#DIV/0!</v>
      </c>
      <c r="MX244" s="171" t="e">
        <f ca="1">MAX(Control!$C$127, MIN(Control!$C$135, $MW244/MAX(0.0001,Control!$C$119-$CY244)))</f>
        <v>#DIV/0!</v>
      </c>
      <c r="MY244" s="54" t="e">
        <f ca="1">IF(Control!$C$114=1, $CX244*$MX244, 0)</f>
        <v>#DIV/0!</v>
      </c>
      <c r="MZ244" s="54" t="e">
        <f t="shared" ca="1" si="891"/>
        <v>#N/A</v>
      </c>
      <c r="NA244" s="168" t="e">
        <f ca="1">(Control!$C$128-$MX244)*(Control!$C$119-Control!$C$74)</f>
        <v>#DIV/0!</v>
      </c>
      <c r="NB244" s="168" t="e">
        <f ca="1">(Control!$C$135-$MX244)*(Control!$C$119-Control!$C$74)</f>
        <v>#DIV/0!</v>
      </c>
      <c r="NC244" s="174" t="e">
        <f t="shared" ca="1" si="892"/>
        <v>#DIV/0!</v>
      </c>
      <c r="ND244" s="54">
        <f ca="1">IF(Control!$C$58=2, IF(OR(Control!$B$218=$AH244,Control!$B$219=$AH244, Control!$B$220=$AH244, Control!$B$221=$AH244, Control!$B$222=$AH244, Control!$B$223=$AH244, Control!$B$224=$AH244, Control!$B$225=$AH244, Control!$B$226=$AH244, Control!$B$227=$AH244, Control!$B$228=$AH244), 1, 0), 0)</f>
        <v>0</v>
      </c>
      <c r="NE244" s="54">
        <f ca="1">IF($ND244=0,0, VLOOKUP($AH244,Control!$B$218:$C$228,2))</f>
        <v>0</v>
      </c>
      <c r="NF244" s="168" t="e">
        <f ca="1">$CY244*(Control!$C$128-Control!$C$127)</f>
        <v>#N/A</v>
      </c>
      <c r="NG244" s="54" t="e">
        <f ca="1">IF(Control!$C$58=2, $NI243-$NJ243, 0)</f>
        <v>#DIV/0!</v>
      </c>
      <c r="NH244" s="54" t="e">
        <f ca="1">IF(AND(Control!$C$58=1, $MS243&lt;= ($MN243+0.02), $I243&lt;10), 0, IF(Control!$C$58=2, $NG243, 0))</f>
        <v>#DIV/0!</v>
      </c>
      <c r="NI244" s="54" t="e">
        <f ca="1">IF(Control!$C$58=2, $NE244+$NH244,0)</f>
        <v>#DIV/0!</v>
      </c>
      <c r="NJ244" s="54" t="e">
        <f ca="1">IF(AND(Control!$C$58=1, $MS244&lt;= ($MN244+0.02), $I244&lt;10), MAX(0, MIN(10, 0.7*($NF244-$MV244))), IF(Control!$C$58=2, MIN(10,$NI244),0))</f>
        <v>#DIV/0!</v>
      </c>
      <c r="NK244" s="54" t="e">
        <f t="shared" ca="1" si="800"/>
        <v>#DIV/0!</v>
      </c>
      <c r="NL244" s="173" t="e">
        <f ca="1">(1-Control!$C$73)*$I244+$NJ244</f>
        <v>#DIV/0!</v>
      </c>
      <c r="NM244" s="172" t="e">
        <f ca="1">IF($NL244&lt;0.5, $MB244* MAX(0, MIN(1, (SQRT($NC244)-SQRT($NC244-1))*Control!$C$71)),0)</f>
        <v>#DIV/0!</v>
      </c>
      <c r="NN244" s="170" t="e">
        <f ca="1">IF($NL244&gt;=5, $MB244, MAX(0,MIN($MB244, $NM244+$NL244,($MS244-Control!$C$129))))</f>
        <v>#DIV/0!</v>
      </c>
      <c r="NO244" s="54">
        <f>IF(Control!$C$133&lt;&gt;1, Control!$C$135-Control!$C$131, 0)</f>
        <v>0.38</v>
      </c>
      <c r="NP244" s="54" t="e">
        <f t="shared" ca="1" si="801"/>
        <v>#DIV/0!</v>
      </c>
      <c r="NQ244" s="173" t="e">
        <f ca="1">MAX(0,MIN(1,(Control!$C$135-$MS244)/(Control!$C$135-$NO244)))</f>
        <v>#DIV/0!</v>
      </c>
      <c r="NR244" s="170" t="e">
        <f ca="1">IF(Control!$C$133&lt;&gt;1, $NQ244+((1-$NP244/4)*(1-$NQ244)),1)</f>
        <v>#DIV/0!</v>
      </c>
      <c r="NS244" s="170" t="e">
        <f ca="1">IF(Control!$B$31=0,$MJ244,MAX(0,MIN($MV244,$MO244*$NR244*$MJ244)))</f>
        <v>#DIV/0!</v>
      </c>
      <c r="NT244" s="170" t="e">
        <f t="shared" ca="1" si="917"/>
        <v>#DIV/0!</v>
      </c>
      <c r="NU244" s="170" t="e">
        <f t="shared" ca="1" si="893"/>
        <v>#N/A</v>
      </c>
      <c r="NV244" s="170" t="e">
        <f t="shared" ca="1" si="802"/>
        <v>#N/A</v>
      </c>
      <c r="NW244" s="175" t="e">
        <f t="shared" ca="1" si="803"/>
        <v>#DIV/0!</v>
      </c>
      <c r="NX244" s="170" t="e">
        <f ca="1">MIN(Control!$C$72+$MU244, $NW244)</f>
        <v>#DIV/0!</v>
      </c>
      <c r="NY244" s="170" t="e">
        <f ca="1">IF($MT244&lt;=$NX244,MIN(Control!$C$72+$NB244,$NX244-$MT244),0)</f>
        <v>#DIV/0!</v>
      </c>
      <c r="NZ244" s="54" t="e">
        <f ca="1">IF(Control!$C$114=1,  $CX244*($MX244-Control!$C$127), 0)</f>
        <v>#DIV/0!</v>
      </c>
      <c r="OA244" s="170" t="e">
        <f t="shared" ca="1" si="804"/>
        <v>#DIV/0!</v>
      </c>
      <c r="OB244" s="170" t="e">
        <f ca="1">IF($NA244 &lt;=$NY244, MIN(Control!$C$72, $NY244-$NA244), 0)</f>
        <v>#DIV/0!</v>
      </c>
      <c r="OC244" s="168" t="e">
        <f t="shared" ca="1" si="805"/>
        <v>#DIV/0!</v>
      </c>
      <c r="OD244" s="168" t="e">
        <f t="shared" ca="1" si="894"/>
        <v>#DIV/0!</v>
      </c>
      <c r="OE244" s="170">
        <f ca="1">Control!$C$73*$I244</f>
        <v>0</v>
      </c>
      <c r="OF244" s="176" t="e">
        <f t="shared" ca="1" si="806"/>
        <v>#DIV/0!</v>
      </c>
      <c r="OG244" s="168" t="e">
        <f t="shared" ca="1" si="807"/>
        <v>#DIV/0!</v>
      </c>
      <c r="OH244" s="168" t="e">
        <f t="shared" ca="1" si="808"/>
        <v>#DIV/0!</v>
      </c>
      <c r="OI244" s="168" t="e">
        <f t="shared" ca="1" si="809"/>
        <v>#DIV/0!</v>
      </c>
      <c r="OJ244" s="168" t="e">
        <f t="shared" ca="1" si="810"/>
        <v>#DIV/0!</v>
      </c>
      <c r="OK244" s="204" t="e">
        <f t="shared" ca="1" si="811"/>
        <v>#DIV/0!</v>
      </c>
      <c r="OL244" s="177">
        <f>Control!$C$127</f>
        <v>0.15</v>
      </c>
      <c r="OM244" s="182" t="e">
        <f t="shared" ca="1" si="812"/>
        <v>#N/A</v>
      </c>
      <c r="ON244" s="177">
        <f>Control!$C$128</f>
        <v>0.35</v>
      </c>
      <c r="OO244" s="182" t="e">
        <f t="shared" ca="1" si="813"/>
        <v>#N/A</v>
      </c>
      <c r="OP244" s="138">
        <f t="shared" ca="1" si="895"/>
        <v>0</v>
      </c>
      <c r="OQ244" s="138" t="e">
        <f t="shared" ca="1" si="918"/>
        <v>#DIV/0!</v>
      </c>
      <c r="OR244" s="138" t="e">
        <f t="shared" ca="1" si="896"/>
        <v>#DIV/0!</v>
      </c>
      <c r="OS244" s="137" t="e">
        <f t="shared" ca="1" si="919"/>
        <v>#DIV/0!</v>
      </c>
      <c r="OT244" s="139" t="e">
        <f t="shared" ca="1" si="920"/>
        <v>#DIV/0!</v>
      </c>
      <c r="OU244" s="138" t="e">
        <f t="shared" ca="1" si="921"/>
        <v>#N/A</v>
      </c>
      <c r="OV244" s="138" t="e">
        <f t="shared" ca="1" si="922"/>
        <v>#DIV/0!</v>
      </c>
      <c r="OW244" s="138" t="e">
        <f t="shared" ca="1" si="897"/>
        <v>#DIV/0!</v>
      </c>
      <c r="OX244" s="138" t="e">
        <f t="shared" ca="1" si="898"/>
        <v>#DIV/0!</v>
      </c>
      <c r="OY244" s="138" t="e">
        <f t="shared" ca="1" si="899"/>
        <v>#DIV/0!</v>
      </c>
      <c r="OZ244" s="138" t="e">
        <f t="shared" ca="1" si="814"/>
        <v>#DIV/0!</v>
      </c>
      <c r="PA244" s="138" t="e">
        <f t="shared" ca="1" si="815"/>
        <v>#DIV/0!</v>
      </c>
      <c r="PB244" s="55">
        <f>IF(Control!$C$61="T", IF(Control!$C$65="F", IF($AH$6-Control!$C$60&lt;0,0,1), IF(365+$AH$6-Control!$C$60&lt;0,0,1)),0)</f>
        <v>0</v>
      </c>
      <c r="PC244" s="55">
        <f ca="1">IF(Control!$C$65="F", IF($AH$6-$HF244&lt;0,0,1), IF(365+$AH$6-$HF244&lt;0,0,1))</f>
        <v>1</v>
      </c>
      <c r="PD244" s="444">
        <f>Control!$C$118</f>
        <v>1500</v>
      </c>
      <c r="PE244" s="180" t="e">
        <f t="shared" ca="1" si="816"/>
        <v>#N/A</v>
      </c>
      <c r="PF244" s="445">
        <f t="shared" ca="1" si="900"/>
        <v>0.71612369323045078</v>
      </c>
      <c r="PT244" s="186"/>
      <c r="PU244" s="186"/>
      <c r="PV244" s="94"/>
      <c r="PW244" s="94"/>
      <c r="PX244" s="94"/>
      <c r="PY244" s="94"/>
      <c r="PZ244" s="94"/>
      <c r="QA244" s="94"/>
      <c r="QB244" s="94"/>
      <c r="QC244" s="94"/>
      <c r="QD244" s="94"/>
      <c r="QE244" s="94"/>
      <c r="QF244" s="94"/>
      <c r="QG244" s="94"/>
      <c r="QH244" s="94"/>
      <c r="QI244" s="94"/>
      <c r="QJ244" s="94"/>
      <c r="QK244" s="94"/>
      <c r="QL244" s="94"/>
      <c r="QM244" s="94"/>
      <c r="QN244" s="94"/>
      <c r="QO244" s="94"/>
      <c r="QP244" s="94"/>
    </row>
    <row r="245" spans="1:458" s="2" customFormat="1" x14ac:dyDescent="0.2">
      <c r="A245" s="395">
        <v>28</v>
      </c>
      <c r="B245" s="396">
        <v>8</v>
      </c>
      <c r="C245" s="387">
        <f ca="1">Weather_data!$B244</f>
        <v>0</v>
      </c>
      <c r="D245" s="388">
        <f ca="1">Weather_data!$F244</f>
        <v>0</v>
      </c>
      <c r="E245" s="388">
        <f ca="1">Weather_data!$E244</f>
        <v>0</v>
      </c>
      <c r="F245" s="388">
        <f t="shared" ca="1" si="817"/>
        <v>0</v>
      </c>
      <c r="G245" s="388">
        <f ca="1">AVERAGE($D245:$E245)+Control!$B$9</f>
        <v>0</v>
      </c>
      <c r="H245" s="388">
        <f ca="1">Weather_data!$G244</f>
        <v>0</v>
      </c>
      <c r="I245" s="388">
        <f ca="1">Weather_data!$I244</f>
        <v>0</v>
      </c>
      <c r="J245" s="388">
        <f ca="1">Weather_data!$H244</f>
        <v>0</v>
      </c>
      <c r="K245" s="389">
        <f ca="1">Weather_data!$D244</f>
        <v>0</v>
      </c>
      <c r="L245" s="388" t="e">
        <f t="shared" ca="1" si="818"/>
        <v>#N/A</v>
      </c>
      <c r="M245" s="388" t="e">
        <f t="shared" ca="1" si="696"/>
        <v>#N/A</v>
      </c>
      <c r="N245" s="388">
        <f t="shared" ca="1" si="697"/>
        <v>-5.7933499137552859E-12</v>
      </c>
      <c r="O245" s="388">
        <f t="shared" ca="1" si="819"/>
        <v>5.7933499137552857E-11</v>
      </c>
      <c r="P245" s="390">
        <v>3</v>
      </c>
      <c r="Q245" s="388">
        <f ca="1">MAX($G245-Control!$C$107,0)</f>
        <v>0</v>
      </c>
      <c r="R245" s="388">
        <f t="shared" ca="1" si="820"/>
        <v>0</v>
      </c>
      <c r="S245" s="388">
        <f t="shared" ca="1" si="698"/>
        <v>0</v>
      </c>
      <c r="T245" s="388">
        <f t="shared" ca="1" si="699"/>
        <v>0</v>
      </c>
      <c r="U245" s="59">
        <f t="shared" ca="1" si="700"/>
        <v>0</v>
      </c>
      <c r="V245" s="391">
        <f ca="1">MAX(0,MIN(Control!$C$100-Control!$C$99,$G245-Control!$C$99)*Control!$C$63)</f>
        <v>0</v>
      </c>
      <c r="W245" s="388">
        <f t="shared" ca="1" si="821"/>
        <v>0</v>
      </c>
      <c r="X245" s="388">
        <f t="shared" ca="1" si="822"/>
        <v>0.6110000000000001</v>
      </c>
      <c r="Y245" s="388">
        <f t="shared" ca="1" si="701"/>
        <v>0</v>
      </c>
      <c r="Z245" s="388">
        <f t="shared" ca="1" si="823"/>
        <v>0.61058800000000002</v>
      </c>
      <c r="AA245" s="388">
        <f t="shared" ca="1" si="702"/>
        <v>0.6018</v>
      </c>
      <c r="AB245" s="388">
        <f ca="1">101.3*EXP(-0.034*Control!$C$66/($G245+273))</f>
        <v>100.69623283836242</v>
      </c>
      <c r="AC245" s="392">
        <f t="shared" ca="1" si="703"/>
        <v>4.3460251046025113E-2</v>
      </c>
      <c r="AD245" s="392">
        <f t="shared" ca="1" si="704"/>
        <v>4.4450382862832649E-2</v>
      </c>
      <c r="AE245" s="388">
        <f t="shared" ca="1" si="705"/>
        <v>0</v>
      </c>
      <c r="AF245" s="388">
        <f ca="1">MAX(0,$G245-Control!$C$92)</f>
        <v>0</v>
      </c>
      <c r="AG245" s="393">
        <f t="shared" ca="1" si="706"/>
        <v>241</v>
      </c>
      <c r="AH245" s="389">
        <f t="shared" ca="1" si="707"/>
        <v>241</v>
      </c>
      <c r="AI245" s="388">
        <f t="shared" ca="1" si="824"/>
        <v>0.15247949294998317</v>
      </c>
      <c r="AJ245" s="388">
        <f ca="1">IF(Control!$C$60&lt;=0,$HH245,$HI245)</f>
        <v>1</v>
      </c>
      <c r="AK245" s="388">
        <f t="shared" ca="1" si="708"/>
        <v>2.7714872176874339</v>
      </c>
      <c r="AL245" s="388">
        <f t="shared" ca="1" si="709"/>
        <v>4.868711336869502E-18</v>
      </c>
      <c r="AM245" s="388">
        <f t="shared" ca="1" si="710"/>
        <v>2.7714872176874339</v>
      </c>
      <c r="AN245" s="388">
        <f t="shared" ca="1" si="711"/>
        <v>0.14439092747321589</v>
      </c>
      <c r="AO245" s="388">
        <f ca="1">-0.10453/COS(Control!$B$8*PI()/180)*COS(AN245)</f>
        <v>-0.16801803687016523</v>
      </c>
      <c r="AP245" s="388">
        <f ca="1">ACOS(AO245-TAN(Control!$B$8*PI()/180)*TAN(AN245))</f>
        <v>1.9327747727041871</v>
      </c>
      <c r="AQ245" s="388">
        <f t="shared" ca="1" si="825"/>
        <v>0</v>
      </c>
      <c r="AR245" s="394">
        <f t="shared" ca="1" si="712"/>
        <v>0</v>
      </c>
      <c r="AS245" s="436">
        <f ca="1">IF(Control!$B$18=2,(IF(OR($AH245=Control!$B$175,$AH245=Control!$B$176,$AH245=Control!$B$177,$AH245=Control!$B$178,$AH245=Control!$B$179,$AH245=Control!$B$180,$AH245=Control!$B$181,$AH245=Control!$B$182,$AH245=Control!$B$183,$AH245=Control!$B$184,$AH245=Control!$B$185),1,0)),0)</f>
        <v>0</v>
      </c>
      <c r="AT245" s="436">
        <f>IF(Control!$B$20=8,IF(AND($AH245&gt;=Control!$B$172,$AH245&lt;=Control!$B$173),1,0),0)</f>
        <v>0</v>
      </c>
      <c r="AU245" s="436">
        <f>IF(Control!$B$20=8,IF($AV244=1,1*$AT245,IF($AT245=1,$AU244+1,$AU244)),0)</f>
        <v>0</v>
      </c>
      <c r="AV245" s="436">
        <f>IF(Control!$B$20=8,IF($AU245&gt;=Control!$B$174,1,0),0)</f>
        <v>0</v>
      </c>
      <c r="AW245" s="436">
        <f ca="1">IF(AND(Control!$B$18=2,Control!$B$171=1), $AV245, $AS245)</f>
        <v>0</v>
      </c>
      <c r="AX245" s="436" t="e">
        <f ca="1">IF(AND(Control!$B$18=1,$EU245&gt;=Control!$B$19),-$AY245,IF(AND(Control!$B$18=2,$AW245=1,$EU245&gt;$DS245),-$AY245, IF(Control!$C$108=0,0, IF(Control!$C$108&lt;&gt;0,1))))</f>
        <v>#N/A</v>
      </c>
      <c r="AY245" s="436" t="e">
        <f t="shared" ca="1" si="826"/>
        <v>#N/A</v>
      </c>
      <c r="AZ245" s="436" t="e">
        <f ca="1">IF(AND(Control!$B$18=1,$EB245&gt;Control!$B$19),$AZ244+1, IF(AND(Control!$B$18=2, $AW245=1, $EB245&gt;$DS245), $AZ244+1,$AZ244))</f>
        <v>#N/A</v>
      </c>
      <c r="BA245" s="587">
        <f>IF(Control!$C$81=0,1,IF($AH245&gt;=Control!$C$82,1,0))</f>
        <v>1</v>
      </c>
      <c r="BB245" s="140" t="e">
        <f ca="1">IF($BA245&gt;$BA244,Control!$C$83,IF($AW245&gt;0,$AW245*Control!$C$84,IF(AND(Control!$B$18=1,EN244&lt;&gt;0),Control!$C$84,0)))</f>
        <v>#N/A</v>
      </c>
      <c r="BC245" s="140" t="e">
        <f t="shared" ca="1" si="827"/>
        <v>#N/A</v>
      </c>
      <c r="BD245" s="140" t="e">
        <f ca="1">BC245*IF(OR($G245&lt;Control!$C$92,$G245&gt;Control!$C$95),0,IF(AND($G245&gt;=Control!$C$92,$G245&lt;=Control!$C$93),$G245-Control!$C$92,IF(AND($G245&gt;Control!$C$93,$G245&lt;=Control!$C$94),Control!$C$93-Control!$C$92,IF(AND($G245&gt;Control!$C$94,$G245&lt;=Control!$C$95),(Control!$C$93-Control!$C$92)*(Control!$C$94-$G245)/(Control!$C$95-Control!$C$94)))))</f>
        <v>#N/A</v>
      </c>
      <c r="BE245" s="140" t="e">
        <f t="shared" ca="1" si="828"/>
        <v>#N/A</v>
      </c>
      <c r="BF245" s="140" t="e">
        <f ca="1">IF($BE245&lt;=Control!$C$86,$BE245,Control!$C$86-$BE245)</f>
        <v>#N/A</v>
      </c>
      <c r="BG245" s="140" t="e">
        <f ca="1">IF(AND($AW245=1,Control!$C$84&lt;9),1,IF($BE245&gt;=Control!$C$86,0,$BC245))</f>
        <v>#N/A</v>
      </c>
      <c r="BH245" s="404" t="e">
        <f ca="1">IF($BG245=0,0,IF($BE245&lt;=Control!$C$86,$BC245*9*($BF245/Control!$C$86),0))</f>
        <v>#N/A</v>
      </c>
      <c r="BI245" s="140" t="e">
        <f ca="1">IF($BG245=1,0,IF($BE245&gt;=Control!$C$86,1,IF(AND($BB245&lt;21,$BB245&gt;=9),1,$BM244)))</f>
        <v>#N/A</v>
      </c>
      <c r="BJ245" s="140" t="e">
        <f ca="1">IF($BF245&lt;0,-$BF245,$BI245*IF(OR($G245&lt;Control!$C$92,$G245&gt;Control!$C$95),0,IF(AND($G245&gt;=Control!$C$92,$G245&lt;=Control!$C$93),$G245-Control!$C$92,IF(AND($G245&gt;Control!$C$93,$G245&lt;=Control!$C$94),Control!$C$93-Control!$C$92,IF(AND($G245&gt;Control!$C$94,$G245&lt;=Control!$C$95),(Control!$C$93-Control!$C$92)*(Control!$C$94-$G245)/(Control!$C$95-Control!$C$94))))))</f>
        <v>#N/A</v>
      </c>
      <c r="BK245" s="140" t="e">
        <f t="shared" ca="1" si="829"/>
        <v>#N/A</v>
      </c>
      <c r="BL245" s="140" t="e">
        <f ca="1">IF($BK245&lt;=Control!$C$87,$BK245,Control!$C$87-$BK245)</f>
        <v>#N/A</v>
      </c>
      <c r="BM245" s="140" t="e">
        <f ca="1">IF(AND($BB245&gt;=9,$BB245&lt;21),1,IF($BK245&gt;=Control!$C$87,0,$BI245))</f>
        <v>#N/A</v>
      </c>
      <c r="BN245" s="404" t="e">
        <f ca="1">IF($BM245=0,0,IF($BK245&lt;=Control!$C$87,$BI245*(9+(21-9)*($BL245/Control!$C$87)),0))</f>
        <v>#N/A</v>
      </c>
      <c r="BO245" s="140" t="e">
        <f ca="1">IF($BM245=1,0,IF($BK245&gt;=Control!$C$87,1,IF(AND($BB245&lt;30,$BB245&gt;=21),1,$BS244)))</f>
        <v>#N/A</v>
      </c>
      <c r="BP245" s="140" t="e">
        <f ca="1">IF($BL245&lt;0,-$BL245,$BO245*IF(OR($G245&lt;Control!$C$92,$G245&gt;Control!$C$95),0,IF(AND($G245&gt;=Control!$C$92,$G245&lt;=Control!$C$93),$G245-Control!$C$92,IF(AND($G245&gt;Control!$C$93,$G245&lt;=Control!$C$94),Control!$C$93-Control!$C$92,IF(AND($G245&gt;Control!$C$94,$G245&lt;=Control!$C$95),(Control!$C$93-Control!$C$92)*(Control!$C$94-$G245)/(Control!$C$95-Control!$C$94))))))</f>
        <v>#N/A</v>
      </c>
      <c r="BQ245" s="140" t="e">
        <f t="shared" ca="1" si="713"/>
        <v>#N/A</v>
      </c>
      <c r="BR245" s="140" t="e">
        <f ca="1">IF($BQ245&lt;=Control!$C$88,$BQ245,Control!$C$88-$BQ245)</f>
        <v>#N/A</v>
      </c>
      <c r="BS245" s="140" t="e">
        <f ca="1">IF(AND($BB245&gt;=21,$BB245&lt;30),1,IF($BQ245&gt;=Control!$C$88,0,$BO245))</f>
        <v>#N/A</v>
      </c>
      <c r="BT245" s="404" t="e">
        <f ca="1">IF($BS245=0,0,IF($BQ245&lt;=Control!$C$88,$BO245*(21+(30-21)*(BR245/Control!$C$88)),0))</f>
        <v>#N/A</v>
      </c>
      <c r="BU245" s="140" t="e">
        <f ca="1">IF(BG245+BM245+BS245=1,0,IF(OR(AND($BB245&lt;60,$BB245&gt;=30),$BQ245&gt;=Control!$C$88),1*$BA245,$BY244))</f>
        <v>#N/A</v>
      </c>
      <c r="BV245" s="140" t="e">
        <f ca="1">IF($BR245&lt;0,-$BR245,$BU245*IF(OR($G245&lt;Control!$C$92,$G245&gt;Control!$C$95),0,IF(AND($G245&gt;=Control!$C$92,$G245&lt;=Control!$C$93),$G245-Control!$C$92,IF(AND($G245&gt;Control!$C$93,$G245&lt;=Control!$C$94),Control!$C$93-Control!$C$92,IF(AND($G245&gt;Control!$C$94,$G245&lt;=Control!$C$95),(Control!$C$93-Control!$C$92)*(Control!$C$94-$G245)/(Control!$C$95-Control!$C$94))))))</f>
        <v>#N/A</v>
      </c>
      <c r="BW245" s="140" t="e">
        <f t="shared" ca="1" si="714"/>
        <v>#N/A</v>
      </c>
      <c r="BX245" s="140" t="e">
        <f ca="1">IF($BW245&lt;=Control!$C$89,$BW245,Control!$C$89-$BW245)</f>
        <v>#N/A</v>
      </c>
      <c r="BY245" s="140" t="e">
        <f ca="1">IF(AND($AJ245&gt;=30,$AJ245&lt;60),1,IF($BW245&gt;=Control!$C$89,0,$BU245))</f>
        <v>#N/A</v>
      </c>
      <c r="BZ245" s="404" t="e">
        <f ca="1">IF($BY245=0,0,IF($BW245&lt;=Control!$C$89,$BU245*(30+(60-30)*(BX245/Control!$C$89)),0))</f>
        <v>#N/A</v>
      </c>
      <c r="CA245" s="140" t="e">
        <f ca="1">IF($BG245+$BM245+$BS245+$BY245=1,0,IF(OR(AND($BB245&lt;65,$BB245&gt;=60),$BW245&gt;=Control!$C$89),1*$BA245,$CE244))</f>
        <v>#N/A</v>
      </c>
      <c r="CB245" s="140" t="e">
        <f ca="1">IF($BX245&lt;0,-$BX245,$CA245*IF(OR($G245&lt;Control!$C$92,$G245&gt;Control!$C$95),0,IF(AND($G245&gt;=Control!$C$92,$G245&lt;=Control!$C$93),$G245-Control!$C$92,IF(AND($G245&gt;Control!$C$93,$G245&lt;=Control!$C$94),Control!$C$93-Control!$C$92,IF(AND($G245&gt;Control!$C$94,$G245&lt;=Control!$C$95),(Control!$C$93-Control!$C$92)*(Control!$C$94-$G245)/(Control!$C$95-Control!$C$94))))))</f>
        <v>#N/A</v>
      </c>
      <c r="CC245" s="140" t="e">
        <f t="shared" ca="1" si="830"/>
        <v>#N/A</v>
      </c>
      <c r="CD245" s="140" t="e">
        <f ca="1">IF($CC245&lt;=Control!$C$90,$CC245,Control!$C$90-$CC245)</f>
        <v>#N/A</v>
      </c>
      <c r="CE245" s="140" t="e">
        <f ca="1">IF(AND($BB245&gt;=60,$BB245&lt;65),1,IF($CC245&gt;=Control!$C$90,0,$CA245))</f>
        <v>#N/A</v>
      </c>
      <c r="CF245" s="404" t="e">
        <f ca="1">IF($CE245=0,0,IF($CC245&lt;=Control!$C$90,$CA245*(60+(65-60)*(CD245/Control!$C$90)),0))</f>
        <v>#N/A</v>
      </c>
      <c r="CG245" s="140" t="e">
        <f ca="1">IF($BG245+$BM245+$BS245+$BY245+$CE245=1,0,IF(OR(AND($BB245&lt;90,$BB245&gt;=65),$CC245&gt;=Control!$C$90),$BA245,$CK244))</f>
        <v>#N/A</v>
      </c>
      <c r="CH245" s="140" t="e">
        <f ca="1">IF($CD245&lt;0,-$CD245,$CG245*IF(OR($G245&lt;Control!$C$92,$G245&gt;Control!$C$95),0,IF(AND($G245&gt;=Control!$C$92,$G245&lt;=Control!$C$93),$G245-Control!$C$92,IF(AND($G245&gt;Control!$C$93,$G245&lt;=Control!$C$94),Control!$C$93-Control!$C$92,IF(AND($G245&gt;Control!$C$94,$G245&lt;=Control!$C$95),(Control!$C$93-Control!$C$92)*(Control!$C$94-$G245)/(Control!$C$95-Control!$C$94))))))</f>
        <v>#N/A</v>
      </c>
      <c r="CI245" s="140" t="e">
        <f t="shared" ca="1" si="831"/>
        <v>#N/A</v>
      </c>
      <c r="CJ245" s="140" t="e">
        <f ca="1">IF($CI245&lt;=Control!$C$91,$CI245,Control!$C$91-$CI245)</f>
        <v>#N/A</v>
      </c>
      <c r="CK245" s="140" t="e">
        <f ca="1">IF(AND($BB245&gt;=65,$BB245&lt;90),1,IF($CI245&gt;=Control!$C$91,0,$CG245))</f>
        <v>#N/A</v>
      </c>
      <c r="CL245" s="404" t="e">
        <f ca="1">IF($CK245=0,0,IF($CI245&lt;=Control!$C$91,$CG245*(65+(90-65)*($CJ245/Control!$C$91)),0))</f>
        <v>#N/A</v>
      </c>
      <c r="CM245" s="140" t="e">
        <f ca="1">IF($BG245+$BM245+$BS245+$BY245+$CE245+$CK245=1,0,IF(OR($BB245&gt;=90,$CI245&gt;=Control!$C$91),$BA245,$CM244))</f>
        <v>#N/A</v>
      </c>
      <c r="CN245" s="140" t="e">
        <f t="shared" ca="1" si="832"/>
        <v>#N/A</v>
      </c>
      <c r="CO245" s="140" t="e">
        <f t="shared" ca="1" si="833"/>
        <v>#N/A</v>
      </c>
      <c r="CP245" s="140" t="e">
        <f t="shared" ca="1" si="834"/>
        <v>#N/A</v>
      </c>
      <c r="CQ245" s="141" t="e">
        <f ca="1">VLOOKUP($CP245,Control!$B$86:$G$91,6)</f>
        <v>#N/A</v>
      </c>
      <c r="CR245" s="141" t="e">
        <f ca="1">(1-$CQ245)*VLOOKUP($CP245,Control!$B$86:$D$91,3)</f>
        <v>#N/A</v>
      </c>
      <c r="CS245" s="141" t="e">
        <f ca="1">(1-$CQ245)*VLOOKUP($CP245,Control!$B$86:$E$91,4)</f>
        <v>#N/A</v>
      </c>
      <c r="CT245" s="141" t="e">
        <f ca="1">(1-$CQ245)*VLOOKUP($CP245,Control!$B$86:$F$91,5)</f>
        <v>#N/A</v>
      </c>
      <c r="CU245" s="141">
        <f t="shared" ca="1" si="835"/>
        <v>0</v>
      </c>
      <c r="CV245" s="583">
        <f t="shared" ca="1" si="836"/>
        <v>0</v>
      </c>
      <c r="CW245" s="142">
        <f t="shared" ca="1" si="837"/>
        <v>241</v>
      </c>
      <c r="CX245" s="612" t="e">
        <f ca="1">IF(Control!$C$114=1,(MIN(Control!$C$120*(IF($NT245-0.01&lt;0,0,1)),Control!$C$119-$CY245)))</f>
        <v>#DIV/0!</v>
      </c>
      <c r="CY245" s="143" t="e">
        <f t="shared" ca="1" si="838"/>
        <v>#N/A</v>
      </c>
      <c r="CZ245" s="144">
        <f t="shared" ca="1" si="715"/>
        <v>0</v>
      </c>
      <c r="DA245" s="144">
        <f t="shared" ca="1" si="716"/>
        <v>0</v>
      </c>
      <c r="DB245" s="144" t="e">
        <f t="shared" ca="1" si="717"/>
        <v>#N/A</v>
      </c>
      <c r="DC245" s="144" t="e">
        <f t="shared" ca="1" si="718"/>
        <v>#N/A</v>
      </c>
      <c r="DD245" s="144" t="e">
        <f t="shared" ca="1" si="923"/>
        <v>#N/A</v>
      </c>
      <c r="DE245" s="143" t="e">
        <f t="shared" ca="1" si="839"/>
        <v>#N/A</v>
      </c>
      <c r="DF245" s="145" t="e">
        <f ca="1">$DR245*EXP(-Control!$C$158*(1-$KH245))</f>
        <v>#N/A</v>
      </c>
      <c r="DG245" s="146" t="e">
        <f ca="1">IF(Control!$C$114=1, $DF245*$EY245, 0)</f>
        <v>#N/A</v>
      </c>
      <c r="DH245" s="147" t="e">
        <f t="shared" ca="1" si="840"/>
        <v>#N/A</v>
      </c>
      <c r="DI245" s="144" t="e">
        <f t="shared" ca="1" si="901"/>
        <v>#N/A</v>
      </c>
      <c r="DJ245" s="147" t="e">
        <f ca="1">$EF245*Control!$C$109</f>
        <v>#N/A</v>
      </c>
      <c r="DK245" s="144" t="e">
        <f t="shared" ca="1" si="841"/>
        <v>#N/A</v>
      </c>
      <c r="DL245" s="144" t="e">
        <f t="shared" ca="1" si="719"/>
        <v>#N/A</v>
      </c>
      <c r="DM245" s="144" t="e">
        <f ca="1">IF(Control!$C$114=1, (1-EXP(-Control!$C$96*$DK245))*$AR245, 0)</f>
        <v>#N/A</v>
      </c>
      <c r="DN245" s="144">
        <f t="shared" ca="1" si="842"/>
        <v>0</v>
      </c>
      <c r="DO245" s="148">
        <f>Control!$C$97</f>
        <v>4</v>
      </c>
      <c r="DP245" s="145" t="e">
        <f t="shared" ca="1" si="843"/>
        <v>#N/A</v>
      </c>
      <c r="DQ245" s="145" t="e">
        <f ca="1">IF(AND($CP245&gt;=0,$CP245&lt;=90),Control!$C$111,Control!$C$111)</f>
        <v>#N/A</v>
      </c>
      <c r="DR245" s="145" t="e">
        <f t="shared" ca="1" si="720"/>
        <v>#N/A</v>
      </c>
      <c r="DS245" s="143" t="e">
        <f ca="1">Control!$B$22/$DR245</f>
        <v>#N/A</v>
      </c>
      <c r="DT245" s="149" t="e">
        <f ca="1">IF(AND(Control!$C$114=1,$KH245&lt;1),$IM245*$DF245, 0)</f>
        <v>#N/A</v>
      </c>
      <c r="DU245" s="144" t="e">
        <f t="shared" ca="1" si="844"/>
        <v>#N/A</v>
      </c>
      <c r="DV245" s="144">
        <f ca="1">IF($G245-Control!$C$107&lt;=0, 0, 0.83*LN(MAX($G245, 3))-0.8924)</f>
        <v>0</v>
      </c>
      <c r="DW245" s="144" t="e">
        <f t="shared" ca="1" si="721"/>
        <v>#N/A</v>
      </c>
      <c r="DX245" s="150" t="e">
        <f ca="1">MAX(0.01*(1+$CU245/Control!$C$102),0.05*($DK245-Control!$C$97)/Control!$C$97)</f>
        <v>#N/A</v>
      </c>
      <c r="DY245" s="151" t="e">
        <f ca="1">IF(Control!$C$114=1, $DI245*$FS245, 0)</f>
        <v>#N/A</v>
      </c>
      <c r="DZ245" s="196" t="e">
        <f t="shared" ca="1" si="845"/>
        <v>#N/A</v>
      </c>
      <c r="EA245" s="152">
        <f t="shared" ca="1" si="846"/>
        <v>241</v>
      </c>
      <c r="EB245" s="153" t="e">
        <f t="shared" ca="1" si="847"/>
        <v>#N/A</v>
      </c>
      <c r="EC245" s="153" t="e">
        <f t="shared" ca="1" si="848"/>
        <v>#N/A</v>
      </c>
      <c r="ED245" s="154" t="e">
        <f ca="1">IF(Control!$C$114=1, $HM245*$FY245-$FD245, 0)</f>
        <v>#DIV/0!</v>
      </c>
      <c r="EE245" s="155" t="e">
        <f ca="1">IF(Control!$C$114=1, $HM245*$FZ245-$FF245, 0)</f>
        <v>#DIV/0!</v>
      </c>
      <c r="EF245" s="153" t="e">
        <f t="shared" ca="1" si="902"/>
        <v>#N/A</v>
      </c>
      <c r="EG245" s="155" t="e">
        <f ca="1">IF(Control!$C$114=1, $GX245*$FW245-$FI245, 0)</f>
        <v>#DIV/0!</v>
      </c>
      <c r="EH245" s="153" t="e">
        <f t="shared" ca="1" si="849"/>
        <v>#N/A</v>
      </c>
      <c r="EI245" s="156" t="e">
        <f t="shared" ca="1" si="850"/>
        <v>#N/A</v>
      </c>
      <c r="EJ245" s="155" t="e">
        <f ca="1">IF(Control!$C$114=1, $HM245*$GB245, 0)</f>
        <v>#DIV/0!</v>
      </c>
      <c r="EK245" s="153" t="e">
        <f t="shared" ca="1" si="903"/>
        <v>#N/A</v>
      </c>
      <c r="EL245" s="153" t="e">
        <f t="shared" ca="1" si="722"/>
        <v>#N/A</v>
      </c>
      <c r="EM245" s="153" t="e">
        <f t="shared" ca="1" si="723"/>
        <v>#N/A</v>
      </c>
      <c r="EN245" s="153" t="e">
        <f ca="1">IF(Control!$C$108=1,IF(AND(Control!$B$18=1,$EB245&gt;=Control!$B$19),$EB245-$DS245,IF(AND(Control!$B$18=2,$AW245=1,$EB245&gt;$DS245),$EB245-$DS245,0)))</f>
        <v>#N/A</v>
      </c>
      <c r="EO245" s="153" t="e">
        <f ca="1">IF(Control!$C$108=1,IF(AND(Control!$B$18=1,$EB245&gt;=Control!$B$19),$EF245,IF(AND(Control!$B$18=2,$AW245=1),$EF245,0)))</f>
        <v>#N/A</v>
      </c>
      <c r="EP245" s="153" t="e">
        <f ca="1">IF(Control!$C$108=1,IF(AND(Control!$B$18=1,$EB245&gt;=Control!$B$19),$EK245,IF(AND(Control!$B$18=2,$AW245=1),$EK245,0)))</f>
        <v>#N/A</v>
      </c>
      <c r="EQ245" s="153" t="e">
        <f t="shared" ca="1" si="851"/>
        <v>#N/A</v>
      </c>
      <c r="ER245" s="153" t="e">
        <f t="shared" ca="1" si="852"/>
        <v>#N/A</v>
      </c>
      <c r="ES245" s="153" t="e">
        <f t="shared" ca="1" si="904"/>
        <v>#N/A</v>
      </c>
      <c r="ET245" s="153" t="e">
        <f t="shared" ca="1" si="905"/>
        <v>#N/A</v>
      </c>
      <c r="EU245" s="153" t="e">
        <f t="shared" ca="1" si="853"/>
        <v>#N/A</v>
      </c>
      <c r="EV245" s="153" t="e">
        <f t="shared" ca="1" si="724"/>
        <v>#N/A</v>
      </c>
      <c r="EW245" s="153" t="e">
        <f t="shared" ca="1" si="725"/>
        <v>#N/A</v>
      </c>
      <c r="EX245" s="153" t="e">
        <f t="shared" ca="1" si="726"/>
        <v>#N/A</v>
      </c>
      <c r="EY245" s="157" t="e">
        <f t="shared" ca="1" si="727"/>
        <v>#DIV/0!</v>
      </c>
      <c r="EZ245" s="154" t="e">
        <f t="shared" ca="1" si="728"/>
        <v>#DIV/0!</v>
      </c>
      <c r="FA245" s="153" t="e">
        <f t="shared" ca="1" si="854"/>
        <v>#N/A</v>
      </c>
      <c r="FB245" s="153" t="e">
        <f t="shared" ca="1" si="729"/>
        <v>#N/A</v>
      </c>
      <c r="FC245" s="193" t="e">
        <f t="shared" ca="1" si="730"/>
        <v>#N/A</v>
      </c>
      <c r="FD245" s="158" t="e">
        <f t="shared" ca="1" si="855"/>
        <v>#N/A</v>
      </c>
      <c r="FE245" s="158" t="e">
        <f t="shared" ca="1" si="856"/>
        <v>#N/A</v>
      </c>
      <c r="FF245" s="159" t="e">
        <f t="shared" ca="1" si="731"/>
        <v>#N/A</v>
      </c>
      <c r="FG245" s="160" t="e">
        <f t="shared" ca="1" si="857"/>
        <v>#N/A</v>
      </c>
      <c r="FH245" s="158" t="e">
        <f t="shared" ca="1" si="858"/>
        <v>#N/A</v>
      </c>
      <c r="FI245" s="159" t="e">
        <f t="shared" ca="1" si="732"/>
        <v>#N/A</v>
      </c>
      <c r="FJ245" s="160" t="e">
        <f t="shared" ca="1" si="859"/>
        <v>#N/A</v>
      </c>
      <c r="FK245" s="160" t="e">
        <f t="shared" ca="1" si="733"/>
        <v>#N/A</v>
      </c>
      <c r="FL245" s="160" t="e">
        <f t="shared" ca="1" si="906"/>
        <v>#N/A</v>
      </c>
      <c r="FM245" s="160" t="e">
        <f t="shared" ca="1" si="734"/>
        <v>#N/A</v>
      </c>
      <c r="FN245" s="158">
        <f t="shared" ca="1" si="860"/>
        <v>0.01</v>
      </c>
      <c r="FO245" s="160">
        <f>Control!$C$101</f>
        <v>50</v>
      </c>
      <c r="FP245" s="150" t="e">
        <f t="shared" ca="1" si="735"/>
        <v>#N/A</v>
      </c>
      <c r="FQ245" s="150" t="e">
        <f ca="1">MAX(0,(Control!$C$112*(($DK245-Control!$C$97)/Control!$C$97)))</f>
        <v>#N/A</v>
      </c>
      <c r="FR245" s="150" t="e">
        <f ca="1">(1-$NT245)*Control!$C$113</f>
        <v>#DIV/0!</v>
      </c>
      <c r="FS245" s="198" t="e">
        <f t="shared" ca="1" si="736"/>
        <v>#N/A</v>
      </c>
      <c r="FT245" s="161">
        <f t="shared" ca="1" si="861"/>
        <v>241</v>
      </c>
      <c r="FU245" s="162" t="e">
        <f ca="1">IF(Control!$B$34=1,VLOOKUP($CP245,Control!$B$86:$G$91,6),Control!$B$35)</f>
        <v>#N/A</v>
      </c>
      <c r="FV245" s="162" t="e">
        <f t="shared" ca="1" si="737"/>
        <v>#DIV/0!</v>
      </c>
      <c r="FW245" s="162" t="e">
        <f ca="1">IF(Control!$B$31=1,$FU245*$FV245,  $FU245)</f>
        <v>#N/A</v>
      </c>
      <c r="FX245" s="162" t="e">
        <f ca="1">IF(Control!$B$34=1,VLOOKUP($CP245,Control!$B$86:$G$91,3),Control!$B$36)</f>
        <v>#N/A</v>
      </c>
      <c r="FY245" s="162" t="e">
        <f t="shared" ca="1" si="738"/>
        <v>#N/A</v>
      </c>
      <c r="FZ245" s="162" t="e">
        <f ca="1">IF(Control!$B$34=1,VLOOKUP($CP245,Control!$B$86:$G$91,4),Control!$B$37)</f>
        <v>#N/A</v>
      </c>
      <c r="GA245" s="162" t="e">
        <f t="shared" ca="1" si="739"/>
        <v>#N/A</v>
      </c>
      <c r="GB245" s="162" t="e">
        <f ca="1">IF(Control!$B$34=1,VLOOKUP($CP245,Control!$B$86:$G$91,5),Control!$B$38)</f>
        <v>#N/A</v>
      </c>
      <c r="GC245" s="162" t="e">
        <f t="shared" ca="1" si="862"/>
        <v>#N/A</v>
      </c>
      <c r="GD245" s="162">
        <f t="shared" ca="1" si="740"/>
        <v>1</v>
      </c>
      <c r="GE245" s="162">
        <f t="shared" ca="1" si="741"/>
        <v>1</v>
      </c>
      <c r="GF245" s="162">
        <f ca="1">IF(AND(Control!$C$104=1, Control!$C$62="F"),$GE245,1)</f>
        <v>1</v>
      </c>
      <c r="GG245" s="162" t="e">
        <f ca="1">IF(Control!$B$16=40,0,IF(AND(Control!$B$16&gt;40,Control!$B$16&lt;=360),(Control!$B$16-40)*((1-0)/(360-40)),IF(AND(Control!$B$16&gt;360,Control!$B$16&lt;=720),(1+(Control!$B$16-360)*((1.25-1)/(720-360))),IF(AND(Control!$B$16&gt;720,Control!$B$16&lt;=1000),(1.25+(Control!$B$16-720)*((1.35-1.25)/(1000-720))),IF(AND(Control!$B$16&gt;1000,Control!$B$16&lt;=2000),(1.35+(Control!$B$16-1000)*0))))))</f>
        <v>#N/A</v>
      </c>
      <c r="GH245" s="162" t="e">
        <f t="shared" ca="1" si="742"/>
        <v>#N/A</v>
      </c>
      <c r="GI245" s="162">
        <f t="shared" ca="1" si="863"/>
        <v>0</v>
      </c>
      <c r="GJ245" s="162">
        <f t="shared" ca="1" si="743"/>
        <v>0</v>
      </c>
      <c r="GK245" s="162">
        <f t="shared" ca="1" si="864"/>
        <v>1</v>
      </c>
      <c r="GL245" s="162">
        <f t="shared" ca="1" si="744"/>
        <v>1</v>
      </c>
      <c r="GM245" s="162" t="e">
        <f ca="1">MAX(0,MIN(1,1-Control!$C$156*(1.0001-$KH245)^2))</f>
        <v>#N/A</v>
      </c>
      <c r="GN245" s="162" t="e">
        <f ca="1">IF(Control!$B$26=1,$KU245,$KX245)</f>
        <v>#N/A</v>
      </c>
      <c r="GO245" s="162" t="e">
        <f ca="1">IF($CP245&lt;=60,Control!$C$105,IF($CP245&gt;=90,Control!$C$106,Control!$C$105+($CP245-60)*((Control!$C$106-Control!$C$105)/(90-60))))</f>
        <v>#N/A</v>
      </c>
      <c r="GP245" s="162" t="e">
        <f t="shared" ca="1" si="745"/>
        <v>#N/A</v>
      </c>
      <c r="GQ245" s="162" t="e">
        <f t="shared" ca="1" si="865"/>
        <v>#N/A</v>
      </c>
      <c r="GR245" s="163" t="e">
        <f t="shared" ca="1" si="746"/>
        <v>#DIV/0!</v>
      </c>
      <c r="GS245" s="162" t="e">
        <f t="shared" ca="1" si="747"/>
        <v>#DIV/0!</v>
      </c>
      <c r="GT245" s="164" t="e">
        <f t="shared" ca="1" si="866"/>
        <v>#N/A</v>
      </c>
      <c r="GU245" s="162" t="e">
        <f t="shared" ca="1" si="867"/>
        <v>#N/A</v>
      </c>
      <c r="GV245" s="162" t="e">
        <f t="shared" ca="1" si="748"/>
        <v>#N/A</v>
      </c>
      <c r="GW245" s="162" t="e">
        <f t="shared" ca="1" si="749"/>
        <v>#DIV/0!</v>
      </c>
      <c r="GX245" s="162" t="e">
        <f t="shared" ca="1" si="868"/>
        <v>#DIV/0!</v>
      </c>
      <c r="GY245" s="162" t="e">
        <f t="shared" ca="1" si="869"/>
        <v>#DIV/0!</v>
      </c>
      <c r="GZ245" s="165" t="e">
        <f t="shared" ca="1" si="750"/>
        <v>#N/A</v>
      </c>
      <c r="HA245" s="162" t="e">
        <f ca="1">IF(Control!$C$114=1, $DI245*$FS245, 0)</f>
        <v>#N/A</v>
      </c>
      <c r="HB245" s="162" t="e">
        <f ca="1">$FA245/Control!$C$64</f>
        <v>#N/A</v>
      </c>
      <c r="HC245" s="162" t="e">
        <f t="shared" ca="1" si="751"/>
        <v>#DIV/0!</v>
      </c>
      <c r="HD245" s="162">
        <f ca="1">-ASIN(SIN(23.45*Control!$C$139)*COS(2*Control!$C$138*($AH245+10)/365))</f>
        <v>0.15247949294998317</v>
      </c>
      <c r="HE245" s="165">
        <f t="shared" ca="1" si="870"/>
        <v>0</v>
      </c>
      <c r="HF245" s="166">
        <f ca="1">IF(AND(Control!$C$61="T",$HE245&gt;=Control!$C$103,Control!$C$114=0),$AH245,Control!$C$59)</f>
        <v>1</v>
      </c>
      <c r="HG245" s="166">
        <f ca="1">IF(AND(Control!$C$61="T",$HE245&gt;=Control!$C$103,Control!$C$114=0),$HF245,Control!$C$59)</f>
        <v>1</v>
      </c>
      <c r="HH245" s="165">
        <f ca="1">IF(AND(OR(Control!$C$60&lt;=0, $AH245= Control!$C$59, Control!$C$60 &gt;0, $AH245 = Control!$C$60)), Control!$C$59, IF(Control!$C$60&gt;0, 0))</f>
        <v>1</v>
      </c>
      <c r="HI245" s="165">
        <f ca="1">IF(AND(OR(Control!$C$60&lt;=0, $AH245= Control!$C$59, Control!$C$60 &gt;0, $AH245 = Control!$C$60)), Control!$C$60, IF(Control!$C$60&lt;=0, 0))</f>
        <v>0</v>
      </c>
      <c r="HJ245" s="166">
        <f ca="1">IF(AND(Control!$C$62="F",$CV245&gt;=Control!$C$102),$AH245,0)</f>
        <v>0</v>
      </c>
      <c r="HK245" s="165" t="e">
        <f t="shared" ca="1" si="907"/>
        <v>#N/A</v>
      </c>
      <c r="HL245" s="166">
        <f ca="1">IF(AND(Control!$C$61="T",$HE245&gt;=Control!$C$103,Control!$C$114=0),$HF245,0)</f>
        <v>0</v>
      </c>
      <c r="HM245" s="201" t="e">
        <f t="shared" ca="1" si="752"/>
        <v>#DIV/0!</v>
      </c>
      <c r="HN245" s="215">
        <f t="shared" ca="1" si="871"/>
        <v>241</v>
      </c>
      <c r="HO245" s="216" t="e">
        <f ca="1">IF(AND($CP245&gt;=0, $CP245&lt;=90), Control!$C$152, Control!$C$152)</f>
        <v>#N/A</v>
      </c>
      <c r="HP245" s="216" t="e">
        <f t="shared" ca="1" si="753"/>
        <v>#N/A</v>
      </c>
      <c r="HQ245" s="217" t="e">
        <f ca="1">IF(OR(Control!$B$26=1,Control!$B$26=2),$KV245,$KS245)</f>
        <v>#DIV/0!</v>
      </c>
      <c r="HR245" s="218" t="e">
        <f t="shared" ca="1" si="908"/>
        <v>#DIV/0!</v>
      </c>
      <c r="HS245" s="216" t="e">
        <f ca="1">Control!$C$154*$HP245</f>
        <v>#N/A</v>
      </c>
      <c r="HT245" s="216" t="e">
        <f ca="1">Control!$C$155*$HP245</f>
        <v>#N/A</v>
      </c>
      <c r="HU245" s="217" t="e">
        <f ca="1">Control!$C$161*$FI245</f>
        <v>#N/A</v>
      </c>
      <c r="HV245" s="218" t="e">
        <f t="shared" ca="1" si="872"/>
        <v>#N/A</v>
      </c>
      <c r="HW245" s="218" t="e">
        <f ca="1">Control!$C$160*$FF245+$IP245*$EO245</f>
        <v>#N/A</v>
      </c>
      <c r="HX245" s="218" t="e">
        <f t="shared" ca="1" si="909"/>
        <v>#N/A</v>
      </c>
      <c r="HY245" s="219" t="e">
        <f ca="1">IF(Control!$C$114=1, $EB245*$FS245, 0)</f>
        <v>#N/A</v>
      </c>
      <c r="HZ245" s="91" t="e">
        <f t="shared" ca="1" si="754"/>
        <v>#N/A</v>
      </c>
      <c r="IA245" s="220" t="e">
        <f ca="1">Control!$C$153*$HO245</f>
        <v>#N/A</v>
      </c>
      <c r="IB245" s="218" t="e">
        <f t="shared" ca="1" si="755"/>
        <v>#N/A</v>
      </c>
      <c r="IC245" s="220" t="e">
        <f ca="1">Control!$C$153*$HT245</f>
        <v>#N/A</v>
      </c>
      <c r="ID245" s="218" t="e">
        <f t="shared" ca="1" si="756"/>
        <v>#N/A</v>
      </c>
      <c r="IE245" s="221" t="e">
        <f ca="1">($EB245*Control!$C$159+$EF245*Control!$C$160)/(IF($GZ245&lt;&gt;0,$GZ245,1))</f>
        <v>#N/A</v>
      </c>
      <c r="IF245" s="216" t="e">
        <f t="shared" ca="1" si="757"/>
        <v>#N/A</v>
      </c>
      <c r="IG245" s="91">
        <f ca="1">IF(OR(Control!$B$198=$AH245,Control!$B$199=$AH245, Control!$B$200=$AH245, Control!$B$201=$AH245, Control!$B$202=$AH245, Control!$B$203=$AH245, Control!$B$204=$AH245, Control!$B$205=$AH245, Control!$B$206=$AH245, Control!$B$207=$AH245), 1, 0)</f>
        <v>0</v>
      </c>
      <c r="IH245" s="91">
        <f ca="1">IF($IG245=0,0, VLOOKUP($AH245,Control!$B$198:$C$207,2))</f>
        <v>0</v>
      </c>
      <c r="II245" s="222">
        <f t="shared" ca="1" si="873"/>
        <v>0</v>
      </c>
      <c r="IJ245" s="91">
        <f>Control!$C$121</f>
        <v>0.7</v>
      </c>
      <c r="IK245" s="218">
        <f t="shared" ca="1" si="758"/>
        <v>0</v>
      </c>
      <c r="IL245" s="217" t="e">
        <f t="shared" ca="1" si="910"/>
        <v>#N/A</v>
      </c>
      <c r="IM245" s="223" t="e">
        <f ca="1">IF(AND(Control!$C$114=1,$KH245&lt;1),$EB245*Control!$C$148*(1-$KH245), 0)</f>
        <v>#N/A</v>
      </c>
      <c r="IN245" s="217" t="e">
        <f t="shared" ca="1" si="759"/>
        <v>#DIV/0!</v>
      </c>
      <c r="IO245" s="91" t="e">
        <f ca="1">MAX(0,$IL245-$EF245*Control!$C$160)</f>
        <v>#N/A</v>
      </c>
      <c r="IP245" s="220" t="e">
        <f t="shared" ca="1" si="760"/>
        <v>#N/A</v>
      </c>
      <c r="IQ245" s="217" t="e">
        <f t="shared" ca="1" si="874"/>
        <v>#N/A</v>
      </c>
      <c r="IR245" s="218" t="e">
        <f t="shared" ca="1" si="761"/>
        <v>#N/A</v>
      </c>
      <c r="IS245" s="217" t="e">
        <f ca="1">Control!$C$159*MAX(0,$FD245-$EN245)</f>
        <v>#N/A</v>
      </c>
      <c r="IT245" s="217" t="e">
        <f t="shared" ca="1" si="911"/>
        <v>#N/A</v>
      </c>
      <c r="IU245" s="217" t="e">
        <f t="shared" ca="1" si="875"/>
        <v>#N/A</v>
      </c>
      <c r="IV245" s="217" t="e">
        <f t="shared" ca="1" si="912"/>
        <v>#N/A</v>
      </c>
      <c r="IW245" s="217" t="e">
        <f ca="1">IF(OR($AW245=1,AND($AW245=0, Control!$B$18=1,$EN245&lt;&gt;0)), $IQ245-$IU245, $IQ245)</f>
        <v>#N/A</v>
      </c>
      <c r="IX245" s="218" t="e">
        <f t="shared" ca="1" si="762"/>
        <v>#N/A</v>
      </c>
      <c r="IY245" s="218" t="e">
        <f ca="1">MAX(0,$IQ245-$EB245*Control!$C$159)</f>
        <v>#N/A</v>
      </c>
      <c r="IZ245" s="218" t="e">
        <f t="shared" ca="1" si="763"/>
        <v>#N/A</v>
      </c>
      <c r="JA245" s="216" t="e">
        <f t="shared" ca="1" si="764"/>
        <v>#N/A</v>
      </c>
      <c r="JB245" s="217" t="e">
        <f t="shared" ca="1" si="765"/>
        <v>#N/A</v>
      </c>
      <c r="JC245" s="222" t="e">
        <f ca="1">MAX(Control!$C$157*$EK245-$JT245, 0)/Control!$C$162</f>
        <v>#N/A</v>
      </c>
      <c r="JD245" s="218" t="e">
        <f t="shared" ca="1" si="766"/>
        <v>#N/A</v>
      </c>
      <c r="JE245" s="218" t="e">
        <f t="shared" ca="1" si="767"/>
        <v>#N/A</v>
      </c>
      <c r="JF245" s="218" t="e">
        <f t="shared" ca="1" si="876"/>
        <v>#N/A</v>
      </c>
      <c r="JG245" s="218" t="e">
        <f t="shared" ca="1" si="768"/>
        <v>#N/A</v>
      </c>
      <c r="JH245" s="217" t="e">
        <f t="shared" ca="1" si="877"/>
        <v>#N/A</v>
      </c>
      <c r="JI245" s="217" t="e">
        <f t="shared" ca="1" si="878"/>
        <v>#N/A</v>
      </c>
      <c r="JJ245" s="217" t="e">
        <f t="shared" ca="1" si="913"/>
        <v>#N/A</v>
      </c>
      <c r="JK245" s="217" t="e">
        <f ca="1">IF(Control!$C$114=1,IF(Control!$B$24=0,MAX(0,$JI245)*$GN245/Control!$C$64,(MAX(0,MIN($JI245,$JJ245*$GN245/Control!$C$64),0))))</f>
        <v>#N/A</v>
      </c>
      <c r="JL245" s="217" t="e">
        <f ca="1">$IK245/Control!$C$64-$JK245+$HQ245</f>
        <v>#N/A</v>
      </c>
      <c r="JM245" s="217" t="e">
        <f ca="1">IF(Control!$C$114=1,($JB245/(IF($JI245&lt;&gt;0,$JI245,1)))*$JK245,0)</f>
        <v>#N/A</v>
      </c>
      <c r="JN245" s="217" t="e">
        <f ca="1">IF(Control!$C$114=1,($JG245/(IF($JI245&lt;&gt;0,$JI245,1)))*$JK245, 0)</f>
        <v>#N/A</v>
      </c>
      <c r="JO245" s="218" t="e">
        <f t="shared" ca="1" si="769"/>
        <v>#N/A</v>
      </c>
      <c r="JP245" s="218" t="e">
        <f ca="1">MIN(($IY245+$IO245)*Control!$C$151, $JF245-$EH245*Control!$C$161)</f>
        <v>#N/A</v>
      </c>
      <c r="JQ245" s="218" t="e">
        <f t="shared" ca="1" si="770"/>
        <v>#N/A</v>
      </c>
      <c r="JR245" s="217" t="e">
        <f ca="1">IF($CP245-Control!$C$150&lt;0, 0, $JQ245/Control!$C$162)</f>
        <v>#N/A</v>
      </c>
      <c r="JS245" s="218" t="e">
        <f t="shared" ca="1" si="771"/>
        <v>#N/A</v>
      </c>
      <c r="JT245" s="218" t="e">
        <f t="shared" ca="1" si="879"/>
        <v>#N/A</v>
      </c>
      <c r="JU245" s="218" t="e">
        <f t="shared" ca="1" si="772"/>
        <v>#N/A</v>
      </c>
      <c r="JV245" s="218" t="e">
        <f t="shared" ca="1" si="773"/>
        <v>#N/A</v>
      </c>
      <c r="JW245" s="216" t="e">
        <f t="shared" ca="1" si="774"/>
        <v>#N/A</v>
      </c>
      <c r="JX245" s="91" t="e">
        <f t="shared" ca="1" si="775"/>
        <v>#N/A</v>
      </c>
      <c r="JY245" s="218" t="e">
        <f t="shared" ca="1" si="776"/>
        <v>#N/A</v>
      </c>
      <c r="JZ245" s="217" t="e">
        <f ca="1">IF(Control!$C$114=1,($IZ245/(IF($JI245&lt;&gt;0,$JI245,1)))*$JK245, 0)</f>
        <v>#N/A</v>
      </c>
      <c r="KA245" s="218" t="e">
        <f t="shared" ca="1" si="914"/>
        <v>#N/A</v>
      </c>
      <c r="KB245" s="218" t="e">
        <f t="shared" ca="1" si="880"/>
        <v>#N/A</v>
      </c>
      <c r="KC245" s="218" t="e">
        <f t="shared" ca="1" si="777"/>
        <v>#N/A</v>
      </c>
      <c r="KD245" s="218" t="e">
        <f t="shared" ca="1" si="778"/>
        <v>#N/A</v>
      </c>
      <c r="KE245" s="218" t="e">
        <f t="shared" ca="1" si="779"/>
        <v>#N/A</v>
      </c>
      <c r="KF245" s="218" t="e">
        <f t="shared" ca="1" si="780"/>
        <v>#N/A</v>
      </c>
      <c r="KG245" s="216" t="e">
        <f t="shared" ca="1" si="781"/>
        <v>#N/A</v>
      </c>
      <c r="KH245" s="221" t="e">
        <f ca="1">IF(Control!$B$24=0,1,MAX(0.001,MIN(1,IF(($IF245-$IE245)&lt;&gt;0,($KG245-$IE245)/($IF245-$IE245),1))))</f>
        <v>#N/A</v>
      </c>
      <c r="KI245" s="222" t="e">
        <f ca="1">IF(Control!$C$114=1, $KI244+ $KH244, 0)</f>
        <v>#N/A</v>
      </c>
      <c r="KJ245" s="217" t="e">
        <f t="shared" ca="1" si="782"/>
        <v>#N/A</v>
      </c>
      <c r="KK245" s="218" t="e">
        <f t="shared" ca="1" si="783"/>
        <v>#N/A</v>
      </c>
      <c r="KL245" s="274" t="e">
        <f ca="1">IF(Control!$B$26=3,4000000000*EXP(-8400/($G245+273)),IF(Control!$B$26=4,4000000000*EXP(-8400/($G245+273))*($KT245),0))</f>
        <v>#DIV/0!</v>
      </c>
      <c r="KM245" s="274" t="e">
        <f ca="1">IF(Control!$B$26=3,5600000000000*EXP(-9800/($G245+273)),IF(Control!$B$26=4,5600000000000*EXP(-9800/($G245+273))*$KT245,0))</f>
        <v>#DIV/0!</v>
      </c>
      <c r="KN245" s="454" t="e">
        <f t="shared" ca="1" si="881"/>
        <v>#DIV/0!</v>
      </c>
      <c r="KO245" s="274" t="e">
        <f t="shared" ca="1" si="882"/>
        <v>#DIV/0!</v>
      </c>
      <c r="KP245" s="454" t="e">
        <f t="shared" ca="1" si="784"/>
        <v>#DIV/0!</v>
      </c>
      <c r="KQ245" s="454" t="e">
        <f t="shared" ca="1" si="785"/>
        <v>#DIV/0!</v>
      </c>
      <c r="KR245" s="454" t="e">
        <f t="shared" ca="1" si="786"/>
        <v>#DIV/0!</v>
      </c>
      <c r="KS245" s="454" t="e">
        <f t="shared" ca="1" si="787"/>
        <v>#DIV/0!</v>
      </c>
      <c r="KT245" s="455" t="e">
        <f t="shared" ca="1" si="788"/>
        <v>#DIV/0!</v>
      </c>
      <c r="KU245" s="456" t="e">
        <f ca="1">IF($CP245-Control!$C$149&lt;0, IF($NT245-0.01&lt;0,0,1),0)</f>
        <v>#N/A</v>
      </c>
      <c r="KV245" s="456" t="e">
        <f ca="1">IF(Control!$C$114=1,MAX(0,MIN(Control!$C$125*$KW245*$GN245,$KW245)))</f>
        <v>#DIV/0!</v>
      </c>
      <c r="KW245" s="456" t="e">
        <f t="shared" ca="1" si="915"/>
        <v>#DIV/0!</v>
      </c>
      <c r="KX245" s="457" t="e">
        <f ca="1">IF($CP245-Control!$C$149&lt;0, IF($MR245-$OM245&lt;0,0,1),0)</f>
        <v>#N/A</v>
      </c>
      <c r="KY245" s="167">
        <f t="shared" ca="1" si="883"/>
        <v>241</v>
      </c>
      <c r="KZ245" s="168">
        <f ca="1">1370*(1+0.033*COS(2*Control!$C$138*$AH245/365))</f>
        <v>1345.841387363417</v>
      </c>
      <c r="LA245" s="169">
        <f t="shared" ca="1" si="884"/>
        <v>0.98236570557672764</v>
      </c>
      <c r="LB245" s="169">
        <f t="shared" ca="1" si="885"/>
        <v>0.15283347218637625</v>
      </c>
      <c r="LC245" s="169">
        <f ca="1">ACOS(-TAN((2*Control!$B$8/360))*TAN(Calculations!$LB245))</f>
        <v>1.6165919161905267</v>
      </c>
      <c r="LD245" s="169">
        <f ca="1">((24*60)/PI())*0.082*$LA245*(($LC245*SIN(Control!$B$8*2*PI()/360))*SIN($LB245)+COS(Control!$B$8*2*PI()/360)*COS($LB245)*SIN($LC245))</f>
        <v>29.604432273038412</v>
      </c>
      <c r="LE245" s="170">
        <f t="shared" ca="1" si="789"/>
        <v>29.913966184856772</v>
      </c>
      <c r="LF245" s="170">
        <f ca="1">SIN(Control!$C$139*Control!$B$8)*SIN($HD245)</f>
        <v>0.11969061717213236</v>
      </c>
      <c r="LG245" s="170">
        <f ca="1">COS(Control!$C$139*Control!$B$8)*COS($HD245)</f>
        <v>0.60851661505269106</v>
      </c>
      <c r="LH245" s="170">
        <f ca="1">12*(1+2*ASIN(MAX(-1,MIN(1,$LF245/$LG245))/Control!$C$138))</f>
        <v>13.503599451503735</v>
      </c>
      <c r="LI245" s="170">
        <f ca="1">12*(1+2*ASIN(MAX(-1,MIN(1,(-SIN(-4*Control!$C$139)+$LF245)/$LG245))/Control!$C$138))</f>
        <v>14.382262562639477</v>
      </c>
      <c r="LJ245" s="168">
        <f ca="1">3600*($LH245*$LF245+24*$LG245*SQRT(1-$LK245*$LK245)/Control!$C$138)</f>
        <v>22226.962601781779</v>
      </c>
      <c r="LK245" s="170">
        <f t="shared" ca="1" si="790"/>
        <v>0.19669243897599811</v>
      </c>
      <c r="LL245" s="170">
        <f t="shared" ca="1" si="791"/>
        <v>0</v>
      </c>
      <c r="LM245" s="171">
        <f ca="1">Control!$C$145*$AB245</f>
        <v>6.6660906138995932E-2</v>
      </c>
      <c r="LN245" s="170">
        <f t="shared" ca="1" si="886"/>
        <v>0.54</v>
      </c>
      <c r="LO245" s="170">
        <f t="shared" ca="1" si="792"/>
        <v>0</v>
      </c>
      <c r="LP245" s="170">
        <f ca="1">Control!$C$140*((($D245+273.16)^4+($E245+273.16)^4)/2)*(0.34-0.14*SQRT($Y245))*(1.35*$AQ245/(0.75*$LD245)-0.35)</f>
        <v>-3.2464704755046001</v>
      </c>
      <c r="LQ245" s="170">
        <f ca="1">Control!$C$140*($G245+273)^4*(0.56-0.079*SQRT($Y245*10))*(0.1+0.9*$LO245)</f>
        <v>1.5241745131704001</v>
      </c>
      <c r="LR245" s="170">
        <f ca="1">$AQ245*(1-Control!$C$142)-$LQ245</f>
        <v>-1.5241745131704001</v>
      </c>
      <c r="LS245" s="170">
        <f ca="1">$AQ245*(1-Control!$C$143)-$LQ245</f>
        <v>-1.5241745131704001</v>
      </c>
      <c r="LT245" s="170">
        <f ca="1">$AQ245*(1-Control!$C$144)-$LQ245</f>
        <v>-1.5241745131704001</v>
      </c>
      <c r="LU245" s="169">
        <f ca="1">(1-Control!$C$144)*AQ245-LP245</f>
        <v>3.2464704755046001</v>
      </c>
      <c r="LV245" s="172">
        <f t="shared" ca="1" si="793"/>
        <v>0.79430000000000012</v>
      </c>
      <c r="LW245" s="170">
        <f t="shared" ca="1" si="794"/>
        <v>1.5886000000000002</v>
      </c>
      <c r="LX245" s="170">
        <f ca="1">($AC245*($LR245/Control!$C$141)+$LM245*$LV245)/($AC245+$LM245)</f>
        <v>0.23530094218323697</v>
      </c>
      <c r="LY245" s="170">
        <f ca="1">($AC245*($LS245/Control!$C$141)+$LM245*$LV245)/($AC245+$LM245)</f>
        <v>0.23530094218323697</v>
      </c>
      <c r="LZ245" s="170">
        <f t="shared" ca="1" si="795"/>
        <v>0.23530094218323697</v>
      </c>
      <c r="MA245" s="170">
        <f t="shared" ca="1" si="796"/>
        <v>0.23530094218323697</v>
      </c>
      <c r="MB245" s="170" t="e">
        <f t="shared" ca="1" si="797"/>
        <v>#N/A</v>
      </c>
      <c r="MC245" s="170">
        <f t="shared" ca="1" si="887"/>
        <v>0.6018</v>
      </c>
      <c r="MD245" s="170">
        <f t="shared" ca="1" si="798"/>
        <v>0.52989392535414004</v>
      </c>
      <c r="ME245" s="170">
        <f ca="1">($AC245*($LT245/Control!$C$141)+$LM245*$LW245)/($AC245+$LM245)</f>
        <v>0.71612369323045078</v>
      </c>
      <c r="MF245" s="170" t="e">
        <f ca="1">IF(Control!$B$16&gt;=1000,0.92,IF(AND(720&lt;=Control!$B$16,1000&gt;Control!$B$16),(0.95+(Control!$B$16-720)*((0.92-0.95)/(1000-720))),IF(AND(360&lt;=Control!$B$16,720&gt;Control!$B$16),(1+(Control!$B$16-360)*((0.95-1)/(720-360))),IF(AND(40&lt;=Control!$B$16,360&gt;Control!$B$16),(1.05+(Control!$B$16-40)*((1.05-1)/(360-40)))))))</f>
        <v>#N/A</v>
      </c>
      <c r="MG245" s="170">
        <f t="shared" ca="1" si="799"/>
        <v>0.71612369323045078</v>
      </c>
      <c r="MH245" s="170" t="e">
        <f t="shared" ca="1" si="925"/>
        <v>#N/A</v>
      </c>
      <c r="MI245" s="170" t="e">
        <f t="shared" ca="1" si="925"/>
        <v>#N/A</v>
      </c>
      <c r="MJ245" s="170" t="e">
        <f ca="1">MAX(0.0001, Control!$C$132*$MI245*$DL245)</f>
        <v>#N/A</v>
      </c>
      <c r="MK245" s="170">
        <f ca="1">1/(0.76+1.5*($MG245/10))-(5-Control!$C$110)*0.1</f>
        <v>1.002845988140797</v>
      </c>
      <c r="ML245" s="173">
        <f ca="1">IF(Control!$C$110&lt;3,$MK245+($MG245-0.6)/(Control!$C$110*(Control!$C$110+3)), MAX(0.1, MIN(0.95,$MK245)))</f>
        <v>0.95</v>
      </c>
      <c r="MM245" s="173">
        <f ca="1">IF(Control!$C$110&lt;3,$MK245+(($MI245/10)-0.6)/(Control!$C$110*(Control!$C$110+3)), MAX(0.1, MIN(0.95,$MK245)))</f>
        <v>0.95</v>
      </c>
      <c r="MN245" s="173">
        <f ca="1">(1-$MM245)*(Control!$C$128-Control!$C$127)+Control!$C$127</f>
        <v>0.16</v>
      </c>
      <c r="MO245" s="170" t="e">
        <f ca="1">MAX(0,MIN(1,($MS245-Control!$C$127)/($MN245-Control!$C$127)))</f>
        <v>#DIV/0!</v>
      </c>
      <c r="MP245" s="173" t="e">
        <f ca="1">1/(0.76+1.5*$MI245)-(5-Control!$C$110)*0.1</f>
        <v>#N/A</v>
      </c>
      <c r="MQ245" s="172" t="e">
        <f t="shared" ca="1" si="916"/>
        <v>#DIV/0!</v>
      </c>
      <c r="MR245" s="168" t="e">
        <f t="shared" ca="1" si="888"/>
        <v>#DIV/0!</v>
      </c>
      <c r="MS245" s="173" t="e">
        <f ca="1">MAX(Control!$C$127, MIN(Control!$C$135, $MR245/MAX(0.0001,$CY245)))</f>
        <v>#DIV/0!</v>
      </c>
      <c r="MT245" s="168" t="e">
        <f ca="1">(Control!$C$128-$MS245)*Control!$C$74</f>
        <v>#DIV/0!</v>
      </c>
      <c r="MU245" s="168" t="e">
        <f ca="1">(Control!$C$135-$MS245)*Control!$C$74</f>
        <v>#DIV/0!</v>
      </c>
      <c r="MV245" s="168" t="e">
        <f t="shared" ca="1" si="889"/>
        <v>#DIV/0!</v>
      </c>
      <c r="MW245" s="168" t="e">
        <f t="shared" ca="1" si="890"/>
        <v>#DIV/0!</v>
      </c>
      <c r="MX245" s="171" t="e">
        <f ca="1">MAX(Control!$C$127, MIN(Control!$C$135, $MW245/MAX(0.0001,Control!$C$119-$CY245)))</f>
        <v>#DIV/0!</v>
      </c>
      <c r="MY245" s="54" t="e">
        <f ca="1">IF(Control!$C$114=1, $CX245*$MX245, 0)</f>
        <v>#DIV/0!</v>
      </c>
      <c r="MZ245" s="54" t="e">
        <f t="shared" ca="1" si="891"/>
        <v>#N/A</v>
      </c>
      <c r="NA245" s="168" t="e">
        <f ca="1">(Control!$C$128-$MX245)*(Control!$C$119-Control!$C$74)</f>
        <v>#DIV/0!</v>
      </c>
      <c r="NB245" s="168" t="e">
        <f ca="1">(Control!$C$135-$MX245)*(Control!$C$119-Control!$C$74)</f>
        <v>#DIV/0!</v>
      </c>
      <c r="NC245" s="174" t="e">
        <f t="shared" ca="1" si="892"/>
        <v>#DIV/0!</v>
      </c>
      <c r="ND245" s="54">
        <f ca="1">IF(Control!$C$58=2, IF(OR(Control!$B$218=$AH245,Control!$B$219=$AH245, Control!$B$220=$AH245, Control!$B$221=$AH245, Control!$B$222=$AH245, Control!$B$223=$AH245, Control!$B$224=$AH245, Control!$B$225=$AH245, Control!$B$226=$AH245, Control!$B$227=$AH245, Control!$B$228=$AH245), 1, 0), 0)</f>
        <v>0</v>
      </c>
      <c r="NE245" s="54">
        <f ca="1">IF($ND245=0,0, VLOOKUP($AH245,Control!$B$218:$C$228,2))</f>
        <v>0</v>
      </c>
      <c r="NF245" s="168" t="e">
        <f ca="1">$CY245*(Control!$C$128-Control!$C$127)</f>
        <v>#N/A</v>
      </c>
      <c r="NG245" s="54" t="e">
        <f ca="1">IF(Control!$C$58=2, $NI244-$NJ244, 0)</f>
        <v>#DIV/0!</v>
      </c>
      <c r="NH245" s="54" t="e">
        <f ca="1">IF(AND(Control!$C$58=1, $MS244&lt;= ($MN244+0.02), $I244&lt;10), 0, IF(Control!$C$58=2, $NG244, 0))</f>
        <v>#DIV/0!</v>
      </c>
      <c r="NI245" s="54" t="e">
        <f ca="1">IF(Control!$C$58=2, $NE245+$NH245,0)</f>
        <v>#DIV/0!</v>
      </c>
      <c r="NJ245" s="54" t="e">
        <f ca="1">IF(AND(Control!$C$58=1, $MS245&lt;= ($MN245+0.02), $I245&lt;10), MAX(0, MIN(10, 0.7*($NF245-$MV245))), IF(Control!$C$58=2, MIN(10,$NI245),0))</f>
        <v>#DIV/0!</v>
      </c>
      <c r="NK245" s="54" t="e">
        <f t="shared" ca="1" si="800"/>
        <v>#DIV/0!</v>
      </c>
      <c r="NL245" s="173" t="e">
        <f ca="1">(1-Control!$C$73)*$I245+$NJ245</f>
        <v>#DIV/0!</v>
      </c>
      <c r="NM245" s="172" t="e">
        <f ca="1">IF($NL245&lt;0.5, $MB245* MAX(0, MIN(1, (SQRT($NC245)-SQRT($NC245-1))*Control!$C$71)),0)</f>
        <v>#DIV/0!</v>
      </c>
      <c r="NN245" s="170" t="e">
        <f ca="1">IF($NL245&gt;=5, $MB245, MAX(0,MIN($MB245, $NM245+$NL245,($MS245-Control!$C$129))))</f>
        <v>#DIV/0!</v>
      </c>
      <c r="NO245" s="54">
        <f>IF(Control!$C$133&lt;&gt;1, Control!$C$135-Control!$C$131, 0)</f>
        <v>0.38</v>
      </c>
      <c r="NP245" s="54" t="e">
        <f t="shared" ca="1" si="801"/>
        <v>#DIV/0!</v>
      </c>
      <c r="NQ245" s="173" t="e">
        <f ca="1">MAX(0,MIN(1,(Control!$C$135-$MS245)/(Control!$C$135-$NO245)))</f>
        <v>#DIV/0!</v>
      </c>
      <c r="NR245" s="170" t="e">
        <f ca="1">IF(Control!$C$133&lt;&gt;1, $NQ245+((1-$NP245/4)*(1-$NQ245)),1)</f>
        <v>#DIV/0!</v>
      </c>
      <c r="NS245" s="170" t="e">
        <f ca="1">IF(Control!$B$31=0,$MJ245,MAX(0,MIN($MV245,$MO245*$NR245*$MJ245)))</f>
        <v>#DIV/0!</v>
      </c>
      <c r="NT245" s="170" t="e">
        <f t="shared" ca="1" si="917"/>
        <v>#DIV/0!</v>
      </c>
      <c r="NU245" s="170" t="e">
        <f t="shared" ca="1" si="893"/>
        <v>#N/A</v>
      </c>
      <c r="NV245" s="170" t="e">
        <f t="shared" ca="1" si="802"/>
        <v>#N/A</v>
      </c>
      <c r="NW245" s="175" t="e">
        <f t="shared" ca="1" si="803"/>
        <v>#DIV/0!</v>
      </c>
      <c r="NX245" s="170" t="e">
        <f ca="1">MIN(Control!$C$72+$MU245, $NW245)</f>
        <v>#DIV/0!</v>
      </c>
      <c r="NY245" s="170" t="e">
        <f ca="1">IF($MT245&lt;=$NX245,MIN(Control!$C$72+$NB245,$NX245-$MT245),0)</f>
        <v>#DIV/0!</v>
      </c>
      <c r="NZ245" s="54" t="e">
        <f ca="1">IF(Control!$C$114=1,  $CX245*($MX245-Control!$C$127), 0)</f>
        <v>#DIV/0!</v>
      </c>
      <c r="OA245" s="170" t="e">
        <f t="shared" ca="1" si="804"/>
        <v>#DIV/0!</v>
      </c>
      <c r="OB245" s="170" t="e">
        <f ca="1">IF($NA245 &lt;=$NY245, MIN(Control!$C$72, $NY245-$NA245), 0)</f>
        <v>#DIV/0!</v>
      </c>
      <c r="OC245" s="168" t="e">
        <f t="shared" ca="1" si="805"/>
        <v>#DIV/0!</v>
      </c>
      <c r="OD245" s="168" t="e">
        <f t="shared" ca="1" si="894"/>
        <v>#DIV/0!</v>
      </c>
      <c r="OE245" s="170">
        <f ca="1">Control!$C$73*$I245</f>
        <v>0</v>
      </c>
      <c r="OF245" s="176" t="e">
        <f t="shared" ca="1" si="806"/>
        <v>#DIV/0!</v>
      </c>
      <c r="OG245" s="168" t="e">
        <f t="shared" ca="1" si="807"/>
        <v>#DIV/0!</v>
      </c>
      <c r="OH245" s="168" t="e">
        <f t="shared" ca="1" si="808"/>
        <v>#DIV/0!</v>
      </c>
      <c r="OI245" s="168" t="e">
        <f t="shared" ca="1" si="809"/>
        <v>#DIV/0!</v>
      </c>
      <c r="OJ245" s="168" t="e">
        <f t="shared" ca="1" si="810"/>
        <v>#DIV/0!</v>
      </c>
      <c r="OK245" s="204" t="e">
        <f t="shared" ca="1" si="811"/>
        <v>#DIV/0!</v>
      </c>
      <c r="OL245" s="177">
        <f>Control!$C$127</f>
        <v>0.15</v>
      </c>
      <c r="OM245" s="182" t="e">
        <f t="shared" ca="1" si="812"/>
        <v>#N/A</v>
      </c>
      <c r="ON245" s="177">
        <f>Control!$C$128</f>
        <v>0.35</v>
      </c>
      <c r="OO245" s="182" t="e">
        <f t="shared" ca="1" si="813"/>
        <v>#N/A</v>
      </c>
      <c r="OP245" s="138">
        <f t="shared" ca="1" si="895"/>
        <v>0</v>
      </c>
      <c r="OQ245" s="138" t="e">
        <f t="shared" ca="1" si="918"/>
        <v>#DIV/0!</v>
      </c>
      <c r="OR245" s="138" t="e">
        <f t="shared" ca="1" si="896"/>
        <v>#DIV/0!</v>
      </c>
      <c r="OS245" s="137" t="e">
        <f t="shared" ca="1" si="919"/>
        <v>#DIV/0!</v>
      </c>
      <c r="OT245" s="139" t="e">
        <f t="shared" ca="1" si="920"/>
        <v>#DIV/0!</v>
      </c>
      <c r="OU245" s="138" t="e">
        <f t="shared" ca="1" si="921"/>
        <v>#N/A</v>
      </c>
      <c r="OV245" s="138" t="e">
        <f t="shared" ca="1" si="922"/>
        <v>#DIV/0!</v>
      </c>
      <c r="OW245" s="138" t="e">
        <f t="shared" ca="1" si="897"/>
        <v>#DIV/0!</v>
      </c>
      <c r="OX245" s="138" t="e">
        <f t="shared" ca="1" si="898"/>
        <v>#DIV/0!</v>
      </c>
      <c r="OY245" s="138" t="e">
        <f t="shared" ca="1" si="899"/>
        <v>#DIV/0!</v>
      </c>
      <c r="OZ245" s="138" t="e">
        <f t="shared" ca="1" si="814"/>
        <v>#DIV/0!</v>
      </c>
      <c r="PA245" s="138" t="e">
        <f t="shared" ca="1" si="815"/>
        <v>#DIV/0!</v>
      </c>
      <c r="PB245" s="55">
        <f>IF(Control!$C$61="T", IF(Control!$C$65="F", IF($AH$6-Control!$C$60&lt;0,0,1), IF(365+$AH$6-Control!$C$60&lt;0,0,1)),0)</f>
        <v>0</v>
      </c>
      <c r="PC245" s="55">
        <f ca="1">IF(Control!$C$65="F", IF($AH$6-$HF245&lt;0,0,1), IF(365+$AH$6-$HF245&lt;0,0,1))</f>
        <v>1</v>
      </c>
      <c r="PD245" s="444">
        <f>Control!$C$118</f>
        <v>1500</v>
      </c>
      <c r="PE245" s="180" t="e">
        <f t="shared" ca="1" si="816"/>
        <v>#N/A</v>
      </c>
      <c r="PF245" s="445">
        <f t="shared" ca="1" si="900"/>
        <v>0.71612369323045078</v>
      </c>
      <c r="PT245" s="186"/>
      <c r="PU245" s="186"/>
      <c r="PV245" s="94"/>
      <c r="PW245" s="94"/>
      <c r="PX245" s="94"/>
      <c r="PY245" s="94"/>
      <c r="PZ245" s="94"/>
      <c r="QA245" s="94"/>
      <c r="QB245" s="94"/>
      <c r="QC245" s="94"/>
      <c r="QD245" s="94"/>
      <c r="QE245" s="94"/>
      <c r="QF245" s="94"/>
      <c r="QG245" s="94"/>
      <c r="QH245" s="94"/>
      <c r="QI245" s="94"/>
      <c r="QJ245" s="94"/>
      <c r="QK245" s="94"/>
      <c r="QL245" s="94"/>
      <c r="QM245" s="94"/>
      <c r="QN245" s="94"/>
      <c r="QO245" s="94"/>
      <c r="QP245" s="94"/>
    </row>
    <row r="246" spans="1:458" s="2" customFormat="1" x14ac:dyDescent="0.2">
      <c r="A246" s="395">
        <v>29</v>
      </c>
      <c r="B246" s="396">
        <v>8</v>
      </c>
      <c r="C246" s="387">
        <f ca="1">Weather_data!$B245</f>
        <v>0</v>
      </c>
      <c r="D246" s="388">
        <f ca="1">Weather_data!$F245</f>
        <v>0</v>
      </c>
      <c r="E246" s="388">
        <f ca="1">Weather_data!$E245</f>
        <v>0</v>
      </c>
      <c r="F246" s="388">
        <f t="shared" ca="1" si="817"/>
        <v>0</v>
      </c>
      <c r="G246" s="388">
        <f ca="1">AVERAGE($D246:$E246)+Control!$B$9</f>
        <v>0</v>
      </c>
      <c r="H246" s="388">
        <f ca="1">Weather_data!$G245</f>
        <v>0</v>
      </c>
      <c r="I246" s="388">
        <f ca="1">Weather_data!$I245</f>
        <v>0</v>
      </c>
      <c r="J246" s="388">
        <f ca="1">Weather_data!$H245</f>
        <v>0</v>
      </c>
      <c r="K246" s="389">
        <f ca="1">Weather_data!$D245</f>
        <v>0</v>
      </c>
      <c r="L246" s="388" t="e">
        <f t="shared" ca="1" si="818"/>
        <v>#N/A</v>
      </c>
      <c r="M246" s="388" t="e">
        <f t="shared" ca="1" si="696"/>
        <v>#N/A</v>
      </c>
      <c r="N246" s="388">
        <f t="shared" ca="1" si="697"/>
        <v>-5.2140149223797567E-12</v>
      </c>
      <c r="O246" s="388">
        <f t="shared" ca="1" si="819"/>
        <v>5.2140149223797569E-11</v>
      </c>
      <c r="P246" s="390">
        <v>3</v>
      </c>
      <c r="Q246" s="388">
        <f ca="1">MAX($G246-Control!$C$107,0)</f>
        <v>0</v>
      </c>
      <c r="R246" s="388">
        <f t="shared" ca="1" si="820"/>
        <v>0</v>
      </c>
      <c r="S246" s="388">
        <f t="shared" ca="1" si="698"/>
        <v>0</v>
      </c>
      <c r="T246" s="388">
        <f t="shared" ca="1" si="699"/>
        <v>0</v>
      </c>
      <c r="U246" s="59">
        <f t="shared" ca="1" si="700"/>
        <v>0</v>
      </c>
      <c r="V246" s="391">
        <f ca="1">MAX(0,MIN(Control!$C$100-Control!$C$99,$G246-Control!$C$99)*Control!$C$63)</f>
        <v>0</v>
      </c>
      <c r="W246" s="388">
        <f t="shared" ca="1" si="821"/>
        <v>0</v>
      </c>
      <c r="X246" s="388">
        <f t="shared" ca="1" si="822"/>
        <v>0.6110000000000001</v>
      </c>
      <c r="Y246" s="388">
        <f t="shared" ca="1" si="701"/>
        <v>0</v>
      </c>
      <c r="Z246" s="388">
        <f t="shared" ca="1" si="823"/>
        <v>0.61058800000000002</v>
      </c>
      <c r="AA246" s="388">
        <f t="shared" ca="1" si="702"/>
        <v>0.6018</v>
      </c>
      <c r="AB246" s="388">
        <f ca="1">101.3*EXP(-0.034*Control!$C$66/($G246+273))</f>
        <v>100.69623283836242</v>
      </c>
      <c r="AC246" s="392">
        <f t="shared" ca="1" si="703"/>
        <v>4.3460251046025113E-2</v>
      </c>
      <c r="AD246" s="392">
        <f t="shared" ca="1" si="704"/>
        <v>4.4450382862832649E-2</v>
      </c>
      <c r="AE246" s="388">
        <f t="shared" ca="1" si="705"/>
        <v>0</v>
      </c>
      <c r="AF246" s="388">
        <f ca="1">MAX(0,$G246-Control!$C$92)</f>
        <v>0</v>
      </c>
      <c r="AG246" s="393">
        <f t="shared" ca="1" si="706"/>
        <v>242</v>
      </c>
      <c r="AH246" s="389">
        <f t="shared" ca="1" si="707"/>
        <v>242</v>
      </c>
      <c r="AI246" s="388">
        <f t="shared" ca="1" si="824"/>
        <v>0.1460540536822286</v>
      </c>
      <c r="AJ246" s="388">
        <f ca="1">IF(Control!$C$60&lt;=0,$HH246,$HI246)</f>
        <v>1</v>
      </c>
      <c r="AK246" s="388">
        <f t="shared" ca="1" si="708"/>
        <v>2.7887014240084738</v>
      </c>
      <c r="AL246" s="388">
        <f t="shared" ca="1" si="709"/>
        <v>2.8850706546013072E-18</v>
      </c>
      <c r="AM246" s="388">
        <f t="shared" ca="1" si="710"/>
        <v>2.7887014240084738</v>
      </c>
      <c r="AN246" s="388">
        <f t="shared" ca="1" si="711"/>
        <v>0.13792142652902789</v>
      </c>
      <c r="AO246" s="388">
        <f ca="1">-0.10453/COS(Control!$B$8*PI()/180)*COS(AN246)</f>
        <v>-0.16817257145831799</v>
      </c>
      <c r="AP246" s="388">
        <f ca="1">ACOS(AO246-TAN(Control!$B$8*PI()/180)*TAN(AN246))</f>
        <v>1.9239215481347562</v>
      </c>
      <c r="AQ246" s="388">
        <f t="shared" ca="1" si="825"/>
        <v>0</v>
      </c>
      <c r="AR246" s="394">
        <f t="shared" ca="1" si="712"/>
        <v>0</v>
      </c>
      <c r="AS246" s="436">
        <f ca="1">IF(Control!$B$18=2,(IF(OR($AH246=Control!$B$175,$AH246=Control!$B$176,$AH246=Control!$B$177,$AH246=Control!$B$178,$AH246=Control!$B$179,$AH246=Control!$B$180,$AH246=Control!$B$181,$AH246=Control!$B$182,$AH246=Control!$B$183,$AH246=Control!$B$184,$AH246=Control!$B$185),1,0)),0)</f>
        <v>0</v>
      </c>
      <c r="AT246" s="436">
        <f>IF(Control!$B$20=8,IF(AND($AH246&gt;=Control!$B$172,$AH246&lt;=Control!$B$173),1,0),0)</f>
        <v>0</v>
      </c>
      <c r="AU246" s="436">
        <f>IF(Control!$B$20=8,IF($AV245=1,1*$AT246,IF($AT246=1,$AU245+1,$AU245)),0)</f>
        <v>0</v>
      </c>
      <c r="AV246" s="436">
        <f>IF(Control!$B$20=8,IF($AU246&gt;=Control!$B$174,1,0),0)</f>
        <v>0</v>
      </c>
      <c r="AW246" s="436">
        <f ca="1">IF(AND(Control!$B$18=2,Control!$B$171=1), $AV246, $AS246)</f>
        <v>0</v>
      </c>
      <c r="AX246" s="436" t="e">
        <f ca="1">IF(AND(Control!$B$18=1,$EU246&gt;=Control!$B$19),-$AY246,IF(AND(Control!$B$18=2,$AW246=1,$EU246&gt;$DS246),-$AY246, IF(Control!$C$108=0,0, IF(Control!$C$108&lt;&gt;0,1))))</f>
        <v>#N/A</v>
      </c>
      <c r="AY246" s="436" t="e">
        <f t="shared" ca="1" si="826"/>
        <v>#N/A</v>
      </c>
      <c r="AZ246" s="436" t="e">
        <f ca="1">IF(AND(Control!$B$18=1,$EB246&gt;Control!$B$19),$AZ245+1, IF(AND(Control!$B$18=2, $AW246=1, $EB246&gt;$DS246), $AZ245+1,$AZ245))</f>
        <v>#N/A</v>
      </c>
      <c r="BA246" s="587">
        <f>IF(Control!$C$81=0,1,IF($AH246&gt;=Control!$C$82,1,0))</f>
        <v>1</v>
      </c>
      <c r="BB246" s="140" t="e">
        <f ca="1">IF($BA246&gt;$BA245,Control!$C$83,IF($AW246&gt;0,$AW246*Control!$C$84,IF(AND(Control!$B$18=1,EN245&lt;&gt;0),Control!$C$84,0)))</f>
        <v>#N/A</v>
      </c>
      <c r="BC246" s="140" t="e">
        <f t="shared" ca="1" si="827"/>
        <v>#N/A</v>
      </c>
      <c r="BD246" s="140" t="e">
        <f ca="1">BC246*IF(OR($G246&lt;Control!$C$92,$G246&gt;Control!$C$95),0,IF(AND($G246&gt;=Control!$C$92,$G246&lt;=Control!$C$93),$G246-Control!$C$92,IF(AND($G246&gt;Control!$C$93,$G246&lt;=Control!$C$94),Control!$C$93-Control!$C$92,IF(AND($G246&gt;Control!$C$94,$G246&lt;=Control!$C$95),(Control!$C$93-Control!$C$92)*(Control!$C$94-$G246)/(Control!$C$95-Control!$C$94)))))</f>
        <v>#N/A</v>
      </c>
      <c r="BE246" s="140" t="e">
        <f t="shared" ca="1" si="828"/>
        <v>#N/A</v>
      </c>
      <c r="BF246" s="140" t="e">
        <f ca="1">IF($BE246&lt;=Control!$C$86,$BE246,Control!$C$86-$BE246)</f>
        <v>#N/A</v>
      </c>
      <c r="BG246" s="140" t="e">
        <f ca="1">IF(AND($AW246=1,Control!$C$84&lt;9),1,IF($BE246&gt;=Control!$C$86,0,$BC246))</f>
        <v>#N/A</v>
      </c>
      <c r="BH246" s="404" t="e">
        <f ca="1">IF($BG246=0,0,IF($BE246&lt;=Control!$C$86,$BC246*9*($BF246/Control!$C$86),0))</f>
        <v>#N/A</v>
      </c>
      <c r="BI246" s="140" t="e">
        <f ca="1">IF($BG246=1,0,IF($BE246&gt;=Control!$C$86,1,IF(AND($BB246&lt;21,$BB246&gt;=9),1,$BM245)))</f>
        <v>#N/A</v>
      </c>
      <c r="BJ246" s="140" t="e">
        <f ca="1">IF($BF246&lt;0,-$BF246,$BI246*IF(OR($G246&lt;Control!$C$92,$G246&gt;Control!$C$95),0,IF(AND($G246&gt;=Control!$C$92,$G246&lt;=Control!$C$93),$G246-Control!$C$92,IF(AND($G246&gt;Control!$C$93,$G246&lt;=Control!$C$94),Control!$C$93-Control!$C$92,IF(AND($G246&gt;Control!$C$94,$G246&lt;=Control!$C$95),(Control!$C$93-Control!$C$92)*(Control!$C$94-$G246)/(Control!$C$95-Control!$C$94))))))</f>
        <v>#N/A</v>
      </c>
      <c r="BK246" s="140" t="e">
        <f t="shared" ca="1" si="829"/>
        <v>#N/A</v>
      </c>
      <c r="BL246" s="140" t="e">
        <f ca="1">IF($BK246&lt;=Control!$C$87,$BK246,Control!$C$87-$BK246)</f>
        <v>#N/A</v>
      </c>
      <c r="BM246" s="140" t="e">
        <f ca="1">IF(AND($BB246&gt;=9,$BB246&lt;21),1,IF($BK246&gt;=Control!$C$87,0,$BI246))</f>
        <v>#N/A</v>
      </c>
      <c r="BN246" s="404" t="e">
        <f ca="1">IF($BM246=0,0,IF($BK246&lt;=Control!$C$87,$BI246*(9+(21-9)*($BL246/Control!$C$87)),0))</f>
        <v>#N/A</v>
      </c>
      <c r="BO246" s="140" t="e">
        <f ca="1">IF($BM246=1,0,IF($BK246&gt;=Control!$C$87,1,IF(AND($BB246&lt;30,$BB246&gt;=21),1,$BS245)))</f>
        <v>#N/A</v>
      </c>
      <c r="BP246" s="140" t="e">
        <f ca="1">IF($BL246&lt;0,-$BL246,$BO246*IF(OR($G246&lt;Control!$C$92,$G246&gt;Control!$C$95),0,IF(AND($G246&gt;=Control!$C$92,$G246&lt;=Control!$C$93),$G246-Control!$C$92,IF(AND($G246&gt;Control!$C$93,$G246&lt;=Control!$C$94),Control!$C$93-Control!$C$92,IF(AND($G246&gt;Control!$C$94,$G246&lt;=Control!$C$95),(Control!$C$93-Control!$C$92)*(Control!$C$94-$G246)/(Control!$C$95-Control!$C$94))))))</f>
        <v>#N/A</v>
      </c>
      <c r="BQ246" s="140" t="e">
        <f t="shared" ca="1" si="713"/>
        <v>#N/A</v>
      </c>
      <c r="BR246" s="140" t="e">
        <f ca="1">IF($BQ246&lt;=Control!$C$88,$BQ246,Control!$C$88-$BQ246)</f>
        <v>#N/A</v>
      </c>
      <c r="BS246" s="140" t="e">
        <f ca="1">IF(AND($BB246&gt;=21,$BB246&lt;30),1,IF($BQ246&gt;=Control!$C$88,0,$BO246))</f>
        <v>#N/A</v>
      </c>
      <c r="BT246" s="404" t="e">
        <f ca="1">IF($BS246=0,0,IF($BQ246&lt;=Control!$C$88,$BO246*(21+(30-21)*(BR246/Control!$C$88)),0))</f>
        <v>#N/A</v>
      </c>
      <c r="BU246" s="140" t="e">
        <f ca="1">IF(BG246+BM246+BS246=1,0,IF(OR(AND($BB246&lt;60,$BB246&gt;=30),$BQ246&gt;=Control!$C$88),1*$BA246,$BY245))</f>
        <v>#N/A</v>
      </c>
      <c r="BV246" s="140" t="e">
        <f ca="1">IF($BR246&lt;0,-$BR246,$BU246*IF(OR($G246&lt;Control!$C$92,$G246&gt;Control!$C$95),0,IF(AND($G246&gt;=Control!$C$92,$G246&lt;=Control!$C$93),$G246-Control!$C$92,IF(AND($G246&gt;Control!$C$93,$G246&lt;=Control!$C$94),Control!$C$93-Control!$C$92,IF(AND($G246&gt;Control!$C$94,$G246&lt;=Control!$C$95),(Control!$C$93-Control!$C$92)*(Control!$C$94-$G246)/(Control!$C$95-Control!$C$94))))))</f>
        <v>#N/A</v>
      </c>
      <c r="BW246" s="140" t="e">
        <f t="shared" ca="1" si="714"/>
        <v>#N/A</v>
      </c>
      <c r="BX246" s="140" t="e">
        <f ca="1">IF($BW246&lt;=Control!$C$89,$BW246,Control!$C$89-$BW246)</f>
        <v>#N/A</v>
      </c>
      <c r="BY246" s="140" t="e">
        <f ca="1">IF(AND($AJ246&gt;=30,$AJ246&lt;60),1,IF($BW246&gt;=Control!$C$89,0,$BU246))</f>
        <v>#N/A</v>
      </c>
      <c r="BZ246" s="404" t="e">
        <f ca="1">IF($BY246=0,0,IF($BW246&lt;=Control!$C$89,$BU246*(30+(60-30)*(BX246/Control!$C$89)),0))</f>
        <v>#N/A</v>
      </c>
      <c r="CA246" s="140" t="e">
        <f ca="1">IF($BG246+$BM246+$BS246+$BY246=1,0,IF(OR(AND($BB246&lt;65,$BB246&gt;=60),$BW246&gt;=Control!$C$89),1*$BA246,$CE245))</f>
        <v>#N/A</v>
      </c>
      <c r="CB246" s="140" t="e">
        <f ca="1">IF($BX246&lt;0,-$BX246,$CA246*IF(OR($G246&lt;Control!$C$92,$G246&gt;Control!$C$95),0,IF(AND($G246&gt;=Control!$C$92,$G246&lt;=Control!$C$93),$G246-Control!$C$92,IF(AND($G246&gt;Control!$C$93,$G246&lt;=Control!$C$94),Control!$C$93-Control!$C$92,IF(AND($G246&gt;Control!$C$94,$G246&lt;=Control!$C$95),(Control!$C$93-Control!$C$92)*(Control!$C$94-$G246)/(Control!$C$95-Control!$C$94))))))</f>
        <v>#N/A</v>
      </c>
      <c r="CC246" s="140" t="e">
        <f t="shared" ca="1" si="830"/>
        <v>#N/A</v>
      </c>
      <c r="CD246" s="140" t="e">
        <f ca="1">IF($CC246&lt;=Control!$C$90,$CC246,Control!$C$90-$CC246)</f>
        <v>#N/A</v>
      </c>
      <c r="CE246" s="140" t="e">
        <f ca="1">IF(AND($BB246&gt;=60,$BB246&lt;65),1,IF($CC246&gt;=Control!$C$90,0,$CA246))</f>
        <v>#N/A</v>
      </c>
      <c r="CF246" s="404" t="e">
        <f ca="1">IF($CE246=0,0,IF($CC246&lt;=Control!$C$90,$CA246*(60+(65-60)*(CD246/Control!$C$90)),0))</f>
        <v>#N/A</v>
      </c>
      <c r="CG246" s="140" t="e">
        <f ca="1">IF($BG246+$BM246+$BS246+$BY246+$CE246=1,0,IF(OR(AND($BB246&lt;90,$BB246&gt;=65),$CC246&gt;=Control!$C$90),$BA246,$CK245))</f>
        <v>#N/A</v>
      </c>
      <c r="CH246" s="140" t="e">
        <f ca="1">IF($CD246&lt;0,-$CD246,$CG246*IF(OR($G246&lt;Control!$C$92,$G246&gt;Control!$C$95),0,IF(AND($G246&gt;=Control!$C$92,$G246&lt;=Control!$C$93),$G246-Control!$C$92,IF(AND($G246&gt;Control!$C$93,$G246&lt;=Control!$C$94),Control!$C$93-Control!$C$92,IF(AND($G246&gt;Control!$C$94,$G246&lt;=Control!$C$95),(Control!$C$93-Control!$C$92)*(Control!$C$94-$G246)/(Control!$C$95-Control!$C$94))))))</f>
        <v>#N/A</v>
      </c>
      <c r="CI246" s="140" t="e">
        <f t="shared" ca="1" si="831"/>
        <v>#N/A</v>
      </c>
      <c r="CJ246" s="140" t="e">
        <f ca="1">IF($CI246&lt;=Control!$C$91,$CI246,Control!$C$91-$CI246)</f>
        <v>#N/A</v>
      </c>
      <c r="CK246" s="140" t="e">
        <f ca="1">IF(AND($BB246&gt;=65,$BB246&lt;90),1,IF($CI246&gt;=Control!$C$91,0,$CG246))</f>
        <v>#N/A</v>
      </c>
      <c r="CL246" s="404" t="e">
        <f ca="1">IF($CK246=0,0,IF($CI246&lt;=Control!$C$91,$CG246*(65+(90-65)*($CJ246/Control!$C$91)),0))</f>
        <v>#N/A</v>
      </c>
      <c r="CM246" s="140" t="e">
        <f ca="1">IF($BG246+$BM246+$BS246+$BY246+$CE246+$CK246=1,0,IF(OR($BB246&gt;=90,$CI246&gt;=Control!$C$91),$BA246,$CM245))</f>
        <v>#N/A</v>
      </c>
      <c r="CN246" s="140" t="e">
        <f t="shared" ca="1" si="832"/>
        <v>#N/A</v>
      </c>
      <c r="CO246" s="140" t="e">
        <f t="shared" ca="1" si="833"/>
        <v>#N/A</v>
      </c>
      <c r="CP246" s="140" t="e">
        <f t="shared" ca="1" si="834"/>
        <v>#N/A</v>
      </c>
      <c r="CQ246" s="141" t="e">
        <f ca="1">VLOOKUP($CP246,Control!$B$86:$G$91,6)</f>
        <v>#N/A</v>
      </c>
      <c r="CR246" s="141" t="e">
        <f ca="1">(1-$CQ246)*VLOOKUP($CP246,Control!$B$86:$D$91,3)</f>
        <v>#N/A</v>
      </c>
      <c r="CS246" s="141" t="e">
        <f ca="1">(1-$CQ246)*VLOOKUP($CP246,Control!$B$86:$E$91,4)</f>
        <v>#N/A</v>
      </c>
      <c r="CT246" s="141" t="e">
        <f ca="1">(1-$CQ246)*VLOOKUP($CP246,Control!$B$86:$F$91,5)</f>
        <v>#N/A</v>
      </c>
      <c r="CU246" s="141">
        <f t="shared" ca="1" si="835"/>
        <v>0</v>
      </c>
      <c r="CV246" s="583">
        <f t="shared" ca="1" si="836"/>
        <v>0</v>
      </c>
      <c r="CW246" s="142">
        <f t="shared" ca="1" si="837"/>
        <v>242</v>
      </c>
      <c r="CX246" s="612" t="e">
        <f ca="1">IF(Control!$C$114=1,(MIN(Control!$C$120*(IF($NT246-0.01&lt;0,0,1)),Control!$C$119-$CY246)))</f>
        <v>#DIV/0!</v>
      </c>
      <c r="CY246" s="143" t="e">
        <f t="shared" ca="1" si="838"/>
        <v>#N/A</v>
      </c>
      <c r="CZ246" s="144">
        <f t="shared" ca="1" si="715"/>
        <v>0</v>
      </c>
      <c r="DA246" s="144">
        <f t="shared" ca="1" si="716"/>
        <v>0</v>
      </c>
      <c r="DB246" s="144" t="e">
        <f t="shared" ca="1" si="717"/>
        <v>#N/A</v>
      </c>
      <c r="DC246" s="144" t="e">
        <f t="shared" ca="1" si="718"/>
        <v>#N/A</v>
      </c>
      <c r="DD246" s="144" t="e">
        <f t="shared" ca="1" si="923"/>
        <v>#N/A</v>
      </c>
      <c r="DE246" s="143" t="e">
        <f t="shared" ca="1" si="839"/>
        <v>#N/A</v>
      </c>
      <c r="DF246" s="145" t="e">
        <f ca="1">$DR246*EXP(-Control!$C$158*(1-$KH246))</f>
        <v>#N/A</v>
      </c>
      <c r="DG246" s="146" t="e">
        <f ca="1">IF(Control!$C$114=1, $DF246*$EY246, 0)</f>
        <v>#N/A</v>
      </c>
      <c r="DH246" s="147" t="e">
        <f t="shared" ca="1" si="840"/>
        <v>#N/A</v>
      </c>
      <c r="DI246" s="144" t="e">
        <f t="shared" ca="1" si="901"/>
        <v>#N/A</v>
      </c>
      <c r="DJ246" s="147" t="e">
        <f ca="1">$EF246*Control!$C$109</f>
        <v>#N/A</v>
      </c>
      <c r="DK246" s="144" t="e">
        <f t="shared" ca="1" si="841"/>
        <v>#N/A</v>
      </c>
      <c r="DL246" s="144" t="e">
        <f t="shared" ca="1" si="719"/>
        <v>#N/A</v>
      </c>
      <c r="DM246" s="144" t="e">
        <f ca="1">IF(Control!$C$114=1, (1-EXP(-Control!$C$96*$DK246))*$AR246, 0)</f>
        <v>#N/A</v>
      </c>
      <c r="DN246" s="144">
        <f t="shared" ca="1" si="842"/>
        <v>0</v>
      </c>
      <c r="DO246" s="148">
        <f>Control!$C$97</f>
        <v>4</v>
      </c>
      <c r="DP246" s="145" t="e">
        <f t="shared" ca="1" si="843"/>
        <v>#N/A</v>
      </c>
      <c r="DQ246" s="145" t="e">
        <f ca="1">IF(AND($CP246&gt;=0,$CP246&lt;=90),Control!$C$111,Control!$C$111)</f>
        <v>#N/A</v>
      </c>
      <c r="DR246" s="145" t="e">
        <f t="shared" ca="1" si="720"/>
        <v>#N/A</v>
      </c>
      <c r="DS246" s="143" t="e">
        <f ca="1">Control!$B$22/$DR246</f>
        <v>#N/A</v>
      </c>
      <c r="DT246" s="149" t="e">
        <f ca="1">IF(AND(Control!$C$114=1,$KH246&lt;1),$IM246*$DF246, 0)</f>
        <v>#N/A</v>
      </c>
      <c r="DU246" s="144" t="e">
        <f t="shared" ca="1" si="844"/>
        <v>#N/A</v>
      </c>
      <c r="DV246" s="144">
        <f ca="1">IF($G246-Control!$C$107&lt;=0, 0, 0.83*LN(MAX($G246, 3))-0.8924)</f>
        <v>0</v>
      </c>
      <c r="DW246" s="144" t="e">
        <f t="shared" ca="1" si="721"/>
        <v>#N/A</v>
      </c>
      <c r="DX246" s="150" t="e">
        <f ca="1">MAX(0.01*(1+$CU246/Control!$C$102),0.05*($DK246-Control!$C$97)/Control!$C$97)</f>
        <v>#N/A</v>
      </c>
      <c r="DY246" s="151" t="e">
        <f ca="1">IF(Control!$C$114=1, $DI246*$FS246, 0)</f>
        <v>#N/A</v>
      </c>
      <c r="DZ246" s="196" t="e">
        <f t="shared" ca="1" si="845"/>
        <v>#N/A</v>
      </c>
      <c r="EA246" s="152">
        <f t="shared" ca="1" si="846"/>
        <v>242</v>
      </c>
      <c r="EB246" s="153" t="e">
        <f t="shared" ca="1" si="847"/>
        <v>#N/A</v>
      </c>
      <c r="EC246" s="153" t="e">
        <f t="shared" ca="1" si="848"/>
        <v>#N/A</v>
      </c>
      <c r="ED246" s="154" t="e">
        <f ca="1">IF(Control!$C$114=1, $HM246*$FY246-$FD246, 0)</f>
        <v>#DIV/0!</v>
      </c>
      <c r="EE246" s="155" t="e">
        <f ca="1">IF(Control!$C$114=1, $HM246*$FZ246-$FF246, 0)</f>
        <v>#DIV/0!</v>
      </c>
      <c r="EF246" s="153" t="e">
        <f t="shared" ca="1" si="902"/>
        <v>#N/A</v>
      </c>
      <c r="EG246" s="155" t="e">
        <f ca="1">IF(Control!$C$114=1, $GX246*$FW246-$FI246, 0)</f>
        <v>#DIV/0!</v>
      </c>
      <c r="EH246" s="153" t="e">
        <f t="shared" ca="1" si="849"/>
        <v>#N/A</v>
      </c>
      <c r="EI246" s="156" t="e">
        <f t="shared" ca="1" si="850"/>
        <v>#N/A</v>
      </c>
      <c r="EJ246" s="155" t="e">
        <f ca="1">IF(Control!$C$114=1, $HM246*$GB246, 0)</f>
        <v>#DIV/0!</v>
      </c>
      <c r="EK246" s="153" t="e">
        <f t="shared" ca="1" si="903"/>
        <v>#N/A</v>
      </c>
      <c r="EL246" s="153" t="e">
        <f t="shared" ca="1" si="722"/>
        <v>#N/A</v>
      </c>
      <c r="EM246" s="153" t="e">
        <f t="shared" ca="1" si="723"/>
        <v>#N/A</v>
      </c>
      <c r="EN246" s="153" t="e">
        <f ca="1">IF(Control!$C$108=1,IF(AND(Control!$B$18=1,$EB246&gt;=Control!$B$19),$EB246-$DS246,IF(AND(Control!$B$18=2,$AW246=1,$EB246&gt;$DS246),$EB246-$DS246,0)))</f>
        <v>#N/A</v>
      </c>
      <c r="EO246" s="153" t="e">
        <f ca="1">IF(Control!$C$108=1,IF(AND(Control!$B$18=1,$EB246&gt;=Control!$B$19),$EF246,IF(AND(Control!$B$18=2,$AW246=1),$EF246,0)))</f>
        <v>#N/A</v>
      </c>
      <c r="EP246" s="153" t="e">
        <f ca="1">IF(Control!$C$108=1,IF(AND(Control!$B$18=1,$EB246&gt;=Control!$B$19),$EK246,IF(AND(Control!$B$18=2,$AW246=1),$EK246,0)))</f>
        <v>#N/A</v>
      </c>
      <c r="EQ246" s="153" t="e">
        <f t="shared" ca="1" si="851"/>
        <v>#N/A</v>
      </c>
      <c r="ER246" s="153" t="e">
        <f t="shared" ca="1" si="852"/>
        <v>#N/A</v>
      </c>
      <c r="ES246" s="153" t="e">
        <f t="shared" ca="1" si="904"/>
        <v>#N/A</v>
      </c>
      <c r="ET246" s="153" t="e">
        <f t="shared" ca="1" si="905"/>
        <v>#N/A</v>
      </c>
      <c r="EU246" s="153" t="e">
        <f t="shared" ca="1" si="853"/>
        <v>#N/A</v>
      </c>
      <c r="EV246" s="153" t="e">
        <f t="shared" ca="1" si="724"/>
        <v>#N/A</v>
      </c>
      <c r="EW246" s="153" t="e">
        <f t="shared" ca="1" si="725"/>
        <v>#N/A</v>
      </c>
      <c r="EX246" s="153" t="e">
        <f t="shared" ca="1" si="726"/>
        <v>#N/A</v>
      </c>
      <c r="EY246" s="157" t="e">
        <f t="shared" ca="1" si="727"/>
        <v>#DIV/0!</v>
      </c>
      <c r="EZ246" s="154" t="e">
        <f t="shared" ca="1" si="728"/>
        <v>#DIV/0!</v>
      </c>
      <c r="FA246" s="153" t="e">
        <f t="shared" ca="1" si="854"/>
        <v>#N/A</v>
      </c>
      <c r="FB246" s="153" t="e">
        <f t="shared" ca="1" si="729"/>
        <v>#N/A</v>
      </c>
      <c r="FC246" s="193" t="e">
        <f t="shared" ca="1" si="730"/>
        <v>#N/A</v>
      </c>
      <c r="FD246" s="158" t="e">
        <f t="shared" ca="1" si="855"/>
        <v>#N/A</v>
      </c>
      <c r="FE246" s="158" t="e">
        <f t="shared" ca="1" si="856"/>
        <v>#N/A</v>
      </c>
      <c r="FF246" s="159" t="e">
        <f t="shared" ca="1" si="731"/>
        <v>#N/A</v>
      </c>
      <c r="FG246" s="160" t="e">
        <f t="shared" ca="1" si="857"/>
        <v>#N/A</v>
      </c>
      <c r="FH246" s="158" t="e">
        <f t="shared" ca="1" si="858"/>
        <v>#N/A</v>
      </c>
      <c r="FI246" s="159" t="e">
        <f t="shared" ca="1" si="732"/>
        <v>#N/A</v>
      </c>
      <c r="FJ246" s="160" t="e">
        <f t="shared" ca="1" si="859"/>
        <v>#N/A</v>
      </c>
      <c r="FK246" s="160" t="e">
        <f t="shared" ca="1" si="733"/>
        <v>#N/A</v>
      </c>
      <c r="FL246" s="160" t="e">
        <f t="shared" ca="1" si="906"/>
        <v>#N/A</v>
      </c>
      <c r="FM246" s="160" t="e">
        <f t="shared" ca="1" si="734"/>
        <v>#N/A</v>
      </c>
      <c r="FN246" s="158">
        <f t="shared" ca="1" si="860"/>
        <v>0.01</v>
      </c>
      <c r="FO246" s="160">
        <f>Control!$C$101</f>
        <v>50</v>
      </c>
      <c r="FP246" s="150" t="e">
        <f t="shared" ca="1" si="735"/>
        <v>#N/A</v>
      </c>
      <c r="FQ246" s="150" t="e">
        <f ca="1">MAX(0,(Control!$C$112*(($DK246-Control!$C$97)/Control!$C$97)))</f>
        <v>#N/A</v>
      </c>
      <c r="FR246" s="150" t="e">
        <f ca="1">(1-$NT246)*Control!$C$113</f>
        <v>#DIV/0!</v>
      </c>
      <c r="FS246" s="198" t="e">
        <f t="shared" ca="1" si="736"/>
        <v>#N/A</v>
      </c>
      <c r="FT246" s="161">
        <f t="shared" ca="1" si="861"/>
        <v>242</v>
      </c>
      <c r="FU246" s="162" t="e">
        <f ca="1">IF(Control!$B$34=1,VLOOKUP($CP246,Control!$B$86:$G$91,6),Control!$B$35)</f>
        <v>#N/A</v>
      </c>
      <c r="FV246" s="162" t="e">
        <f t="shared" ca="1" si="737"/>
        <v>#DIV/0!</v>
      </c>
      <c r="FW246" s="162" t="e">
        <f ca="1">IF(Control!$B$31=1,$FU246*$FV246,  $FU246)</f>
        <v>#N/A</v>
      </c>
      <c r="FX246" s="162" t="e">
        <f ca="1">IF(Control!$B$34=1,VLOOKUP($CP246,Control!$B$86:$G$91,3),Control!$B$36)</f>
        <v>#N/A</v>
      </c>
      <c r="FY246" s="162" t="e">
        <f t="shared" ca="1" si="738"/>
        <v>#N/A</v>
      </c>
      <c r="FZ246" s="162" t="e">
        <f ca="1">IF(Control!$B$34=1,VLOOKUP($CP246,Control!$B$86:$G$91,4),Control!$B$37)</f>
        <v>#N/A</v>
      </c>
      <c r="GA246" s="162" t="e">
        <f t="shared" ca="1" si="739"/>
        <v>#N/A</v>
      </c>
      <c r="GB246" s="162" t="e">
        <f ca="1">IF(Control!$B$34=1,VLOOKUP($CP246,Control!$B$86:$G$91,5),Control!$B$38)</f>
        <v>#N/A</v>
      </c>
      <c r="GC246" s="162" t="e">
        <f t="shared" ca="1" si="862"/>
        <v>#N/A</v>
      </c>
      <c r="GD246" s="162">
        <f t="shared" ca="1" si="740"/>
        <v>1</v>
      </c>
      <c r="GE246" s="162">
        <f t="shared" ca="1" si="741"/>
        <v>1</v>
      </c>
      <c r="GF246" s="162">
        <f ca="1">IF(AND(Control!$C$104=1, Control!$C$62="F"),$GE246,1)</f>
        <v>1</v>
      </c>
      <c r="GG246" s="162" t="e">
        <f ca="1">IF(Control!$B$16=40,0,IF(AND(Control!$B$16&gt;40,Control!$B$16&lt;=360),(Control!$B$16-40)*((1-0)/(360-40)),IF(AND(Control!$B$16&gt;360,Control!$B$16&lt;=720),(1+(Control!$B$16-360)*((1.25-1)/(720-360))),IF(AND(Control!$B$16&gt;720,Control!$B$16&lt;=1000),(1.25+(Control!$B$16-720)*((1.35-1.25)/(1000-720))),IF(AND(Control!$B$16&gt;1000,Control!$B$16&lt;=2000),(1.35+(Control!$B$16-1000)*0))))))</f>
        <v>#N/A</v>
      </c>
      <c r="GH246" s="162" t="e">
        <f t="shared" ca="1" si="742"/>
        <v>#N/A</v>
      </c>
      <c r="GI246" s="162">
        <f t="shared" ca="1" si="863"/>
        <v>0</v>
      </c>
      <c r="GJ246" s="162">
        <f t="shared" ca="1" si="743"/>
        <v>0</v>
      </c>
      <c r="GK246" s="162">
        <f t="shared" ca="1" si="864"/>
        <v>1</v>
      </c>
      <c r="GL246" s="162">
        <f t="shared" ca="1" si="744"/>
        <v>1</v>
      </c>
      <c r="GM246" s="162" t="e">
        <f ca="1">MAX(0,MIN(1,1-Control!$C$156*(1.0001-$KH246)^2))</f>
        <v>#N/A</v>
      </c>
      <c r="GN246" s="162" t="e">
        <f ca="1">IF(Control!$B$26=1,$KU246,$KX246)</f>
        <v>#N/A</v>
      </c>
      <c r="GO246" s="162" t="e">
        <f ca="1">IF($CP246&lt;=60,Control!$C$105,IF($CP246&gt;=90,Control!$C$106,Control!$C$105+($CP246-60)*((Control!$C$106-Control!$C$105)/(90-60))))</f>
        <v>#N/A</v>
      </c>
      <c r="GP246" s="162" t="e">
        <f t="shared" ca="1" si="745"/>
        <v>#N/A</v>
      </c>
      <c r="GQ246" s="162" t="e">
        <f t="shared" ca="1" si="865"/>
        <v>#N/A</v>
      </c>
      <c r="GR246" s="163" t="e">
        <f t="shared" ca="1" si="746"/>
        <v>#DIV/0!</v>
      </c>
      <c r="GS246" s="162" t="e">
        <f t="shared" ca="1" si="747"/>
        <v>#DIV/0!</v>
      </c>
      <c r="GT246" s="164" t="e">
        <f t="shared" ca="1" si="866"/>
        <v>#N/A</v>
      </c>
      <c r="GU246" s="162" t="e">
        <f t="shared" ca="1" si="867"/>
        <v>#N/A</v>
      </c>
      <c r="GV246" s="162" t="e">
        <f t="shared" ca="1" si="748"/>
        <v>#N/A</v>
      </c>
      <c r="GW246" s="162" t="e">
        <f t="shared" ca="1" si="749"/>
        <v>#DIV/0!</v>
      </c>
      <c r="GX246" s="162" t="e">
        <f t="shared" ca="1" si="868"/>
        <v>#DIV/0!</v>
      </c>
      <c r="GY246" s="162" t="e">
        <f t="shared" ca="1" si="869"/>
        <v>#DIV/0!</v>
      </c>
      <c r="GZ246" s="165" t="e">
        <f t="shared" ca="1" si="750"/>
        <v>#N/A</v>
      </c>
      <c r="HA246" s="162" t="e">
        <f ca="1">IF(Control!$C$114=1, $DI246*$FS246, 0)</f>
        <v>#N/A</v>
      </c>
      <c r="HB246" s="162" t="e">
        <f ca="1">$FA246/Control!$C$64</f>
        <v>#N/A</v>
      </c>
      <c r="HC246" s="162" t="e">
        <f t="shared" ca="1" si="751"/>
        <v>#DIV/0!</v>
      </c>
      <c r="HD246" s="162">
        <f ca="1">-ASIN(SIN(23.45*Control!$C$139)*COS(2*Control!$C$138*($AH246+10)/365))</f>
        <v>0.1460540536822286</v>
      </c>
      <c r="HE246" s="165">
        <f t="shared" ca="1" si="870"/>
        <v>0</v>
      </c>
      <c r="HF246" s="166">
        <f ca="1">IF(AND(Control!$C$61="T",$HE246&gt;=Control!$C$103,Control!$C$114=0),$AH246,Control!$C$59)</f>
        <v>1</v>
      </c>
      <c r="HG246" s="166">
        <f ca="1">IF(AND(Control!$C$61="T",$HE246&gt;=Control!$C$103,Control!$C$114=0),$HF246,Control!$C$59)</f>
        <v>1</v>
      </c>
      <c r="HH246" s="165">
        <f ca="1">IF(AND(OR(Control!$C$60&lt;=0, $AH246= Control!$C$59, Control!$C$60 &gt;0, $AH246 = Control!$C$60)), Control!$C$59, IF(Control!$C$60&gt;0, 0))</f>
        <v>1</v>
      </c>
      <c r="HI246" s="165">
        <f ca="1">IF(AND(OR(Control!$C$60&lt;=0, $AH246= Control!$C$59, Control!$C$60 &gt;0, $AH246 = Control!$C$60)), Control!$C$60, IF(Control!$C$60&lt;=0, 0))</f>
        <v>0</v>
      </c>
      <c r="HJ246" s="166">
        <f ca="1">IF(AND(Control!$C$62="F",$CV246&gt;=Control!$C$102),$AH246,0)</f>
        <v>0</v>
      </c>
      <c r="HK246" s="165" t="e">
        <f t="shared" ca="1" si="907"/>
        <v>#N/A</v>
      </c>
      <c r="HL246" s="166">
        <f ca="1">IF(AND(Control!$C$61="T",$HE246&gt;=Control!$C$103,Control!$C$114=0),$HF246,0)</f>
        <v>0</v>
      </c>
      <c r="HM246" s="201" t="e">
        <f t="shared" ca="1" si="752"/>
        <v>#DIV/0!</v>
      </c>
      <c r="HN246" s="215">
        <f t="shared" ca="1" si="871"/>
        <v>242</v>
      </c>
      <c r="HO246" s="216" t="e">
        <f ca="1">IF(AND($CP246&gt;=0, $CP246&lt;=90), Control!$C$152, Control!$C$152)</f>
        <v>#N/A</v>
      </c>
      <c r="HP246" s="216" t="e">
        <f t="shared" ca="1" si="753"/>
        <v>#N/A</v>
      </c>
      <c r="HQ246" s="217" t="e">
        <f ca="1">IF(OR(Control!$B$26=1,Control!$B$26=2),$KV246,$KS246)</f>
        <v>#DIV/0!</v>
      </c>
      <c r="HR246" s="218" t="e">
        <f t="shared" ca="1" si="908"/>
        <v>#DIV/0!</v>
      </c>
      <c r="HS246" s="216" t="e">
        <f ca="1">Control!$C$154*$HP246</f>
        <v>#N/A</v>
      </c>
      <c r="HT246" s="216" t="e">
        <f ca="1">Control!$C$155*$HP246</f>
        <v>#N/A</v>
      </c>
      <c r="HU246" s="217" t="e">
        <f ca="1">Control!$C$161*$FI246</f>
        <v>#N/A</v>
      </c>
      <c r="HV246" s="218" t="e">
        <f t="shared" ca="1" si="872"/>
        <v>#N/A</v>
      </c>
      <c r="HW246" s="218" t="e">
        <f ca="1">Control!$C$160*$FF246+$IP246*$EO246</f>
        <v>#N/A</v>
      </c>
      <c r="HX246" s="218" t="e">
        <f t="shared" ca="1" si="909"/>
        <v>#N/A</v>
      </c>
      <c r="HY246" s="219" t="e">
        <f ca="1">IF(Control!$C$114=1, $EB246*$FS246, 0)</f>
        <v>#N/A</v>
      </c>
      <c r="HZ246" s="91" t="e">
        <f t="shared" ca="1" si="754"/>
        <v>#N/A</v>
      </c>
      <c r="IA246" s="220" t="e">
        <f ca="1">Control!$C$153*$HO246</f>
        <v>#N/A</v>
      </c>
      <c r="IB246" s="218" t="e">
        <f t="shared" ca="1" si="755"/>
        <v>#N/A</v>
      </c>
      <c r="IC246" s="220" t="e">
        <f ca="1">Control!$C$153*$HT246</f>
        <v>#N/A</v>
      </c>
      <c r="ID246" s="218" t="e">
        <f t="shared" ca="1" si="756"/>
        <v>#N/A</v>
      </c>
      <c r="IE246" s="221" t="e">
        <f ca="1">($EB246*Control!$C$159+$EF246*Control!$C$160)/(IF($GZ246&lt;&gt;0,$GZ246,1))</f>
        <v>#N/A</v>
      </c>
      <c r="IF246" s="216" t="e">
        <f t="shared" ca="1" si="757"/>
        <v>#N/A</v>
      </c>
      <c r="IG246" s="91">
        <f ca="1">IF(OR(Control!$B$198=$AH246,Control!$B$199=$AH246, Control!$B$200=$AH246, Control!$B$201=$AH246, Control!$B$202=$AH246, Control!$B$203=$AH246, Control!$B$204=$AH246, Control!$B$205=$AH246, Control!$B$206=$AH246, Control!$B$207=$AH246), 1, 0)</f>
        <v>0</v>
      </c>
      <c r="IH246" s="91">
        <f ca="1">IF($IG246=0,0, VLOOKUP($AH246,Control!$B$198:$C$207,2))</f>
        <v>0</v>
      </c>
      <c r="II246" s="222">
        <f t="shared" ca="1" si="873"/>
        <v>0</v>
      </c>
      <c r="IJ246" s="91">
        <f>Control!$C$121</f>
        <v>0.7</v>
      </c>
      <c r="IK246" s="218">
        <f t="shared" ca="1" si="758"/>
        <v>0</v>
      </c>
      <c r="IL246" s="217" t="e">
        <f t="shared" ca="1" si="910"/>
        <v>#N/A</v>
      </c>
      <c r="IM246" s="223" t="e">
        <f ca="1">IF(AND(Control!$C$114=1,$KH246&lt;1),$EB246*Control!$C$148*(1-$KH246), 0)</f>
        <v>#N/A</v>
      </c>
      <c r="IN246" s="217" t="e">
        <f t="shared" ca="1" si="759"/>
        <v>#DIV/0!</v>
      </c>
      <c r="IO246" s="91" t="e">
        <f ca="1">MAX(0,$IL246-$EF246*Control!$C$160)</f>
        <v>#N/A</v>
      </c>
      <c r="IP246" s="220" t="e">
        <f t="shared" ca="1" si="760"/>
        <v>#N/A</v>
      </c>
      <c r="IQ246" s="217" t="e">
        <f t="shared" ca="1" si="874"/>
        <v>#N/A</v>
      </c>
      <c r="IR246" s="218" t="e">
        <f t="shared" ca="1" si="761"/>
        <v>#N/A</v>
      </c>
      <c r="IS246" s="217" t="e">
        <f ca="1">Control!$C$159*MAX(0,$FD246-$EN246)</f>
        <v>#N/A</v>
      </c>
      <c r="IT246" s="217" t="e">
        <f t="shared" ca="1" si="911"/>
        <v>#N/A</v>
      </c>
      <c r="IU246" s="217" t="e">
        <f t="shared" ca="1" si="875"/>
        <v>#N/A</v>
      </c>
      <c r="IV246" s="217" t="e">
        <f t="shared" ca="1" si="912"/>
        <v>#N/A</v>
      </c>
      <c r="IW246" s="217" t="e">
        <f ca="1">IF(OR($AW246=1,AND($AW246=0, Control!$B$18=1,$EN246&lt;&gt;0)), $IQ246-$IU246, $IQ246)</f>
        <v>#N/A</v>
      </c>
      <c r="IX246" s="218" t="e">
        <f t="shared" ca="1" si="762"/>
        <v>#N/A</v>
      </c>
      <c r="IY246" s="218" t="e">
        <f ca="1">MAX(0,$IQ246-$EB246*Control!$C$159)</f>
        <v>#N/A</v>
      </c>
      <c r="IZ246" s="218" t="e">
        <f t="shared" ca="1" si="763"/>
        <v>#N/A</v>
      </c>
      <c r="JA246" s="216" t="e">
        <f t="shared" ca="1" si="764"/>
        <v>#N/A</v>
      </c>
      <c r="JB246" s="217" t="e">
        <f t="shared" ca="1" si="765"/>
        <v>#N/A</v>
      </c>
      <c r="JC246" s="222" t="e">
        <f ca="1">MAX(Control!$C$157*$EK246-$JT246, 0)/Control!$C$162</f>
        <v>#N/A</v>
      </c>
      <c r="JD246" s="218" t="e">
        <f t="shared" ca="1" si="766"/>
        <v>#N/A</v>
      </c>
      <c r="JE246" s="218" t="e">
        <f t="shared" ca="1" si="767"/>
        <v>#N/A</v>
      </c>
      <c r="JF246" s="218" t="e">
        <f t="shared" ca="1" si="876"/>
        <v>#N/A</v>
      </c>
      <c r="JG246" s="218" t="e">
        <f t="shared" ca="1" si="768"/>
        <v>#N/A</v>
      </c>
      <c r="JH246" s="217" t="e">
        <f t="shared" ca="1" si="877"/>
        <v>#N/A</v>
      </c>
      <c r="JI246" s="217" t="e">
        <f t="shared" ca="1" si="878"/>
        <v>#N/A</v>
      </c>
      <c r="JJ246" s="217" t="e">
        <f t="shared" ca="1" si="913"/>
        <v>#N/A</v>
      </c>
      <c r="JK246" s="217" t="e">
        <f ca="1">IF(Control!$C$114=1,IF(Control!$B$24=0,MAX(0,$JI246)*$GN246/Control!$C$64,(MAX(0,MIN($JI246,$JJ246*$GN246/Control!$C$64),0))))</f>
        <v>#N/A</v>
      </c>
      <c r="JL246" s="217" t="e">
        <f ca="1">$IK246/Control!$C$64-$JK246+$HQ246</f>
        <v>#N/A</v>
      </c>
      <c r="JM246" s="217" t="e">
        <f ca="1">IF(Control!$C$114=1,($JB246/(IF($JI246&lt;&gt;0,$JI246,1)))*$JK246,0)</f>
        <v>#N/A</v>
      </c>
      <c r="JN246" s="217" t="e">
        <f ca="1">IF(Control!$C$114=1,($JG246/(IF($JI246&lt;&gt;0,$JI246,1)))*$JK246, 0)</f>
        <v>#N/A</v>
      </c>
      <c r="JO246" s="218" t="e">
        <f t="shared" ca="1" si="769"/>
        <v>#N/A</v>
      </c>
      <c r="JP246" s="218" t="e">
        <f ca="1">MIN(($IY246+$IO246)*Control!$C$151, $JF246-$EH246*Control!$C$161)</f>
        <v>#N/A</v>
      </c>
      <c r="JQ246" s="218" t="e">
        <f t="shared" ca="1" si="770"/>
        <v>#N/A</v>
      </c>
      <c r="JR246" s="217" t="e">
        <f ca="1">IF($CP246-Control!$C$150&lt;0, 0, $JQ246/Control!$C$162)</f>
        <v>#N/A</v>
      </c>
      <c r="JS246" s="218" t="e">
        <f t="shared" ca="1" si="771"/>
        <v>#N/A</v>
      </c>
      <c r="JT246" s="218" t="e">
        <f t="shared" ca="1" si="879"/>
        <v>#N/A</v>
      </c>
      <c r="JU246" s="218" t="e">
        <f t="shared" ca="1" si="772"/>
        <v>#N/A</v>
      </c>
      <c r="JV246" s="218" t="e">
        <f t="shared" ca="1" si="773"/>
        <v>#N/A</v>
      </c>
      <c r="JW246" s="216" t="e">
        <f t="shared" ca="1" si="774"/>
        <v>#N/A</v>
      </c>
      <c r="JX246" s="91" t="e">
        <f t="shared" ca="1" si="775"/>
        <v>#N/A</v>
      </c>
      <c r="JY246" s="218" t="e">
        <f t="shared" ca="1" si="776"/>
        <v>#N/A</v>
      </c>
      <c r="JZ246" s="217" t="e">
        <f ca="1">IF(Control!$C$114=1,($IZ246/(IF($JI246&lt;&gt;0,$JI246,1)))*$JK246, 0)</f>
        <v>#N/A</v>
      </c>
      <c r="KA246" s="218" t="e">
        <f t="shared" ca="1" si="914"/>
        <v>#N/A</v>
      </c>
      <c r="KB246" s="218" t="e">
        <f t="shared" ca="1" si="880"/>
        <v>#N/A</v>
      </c>
      <c r="KC246" s="218" t="e">
        <f t="shared" ca="1" si="777"/>
        <v>#N/A</v>
      </c>
      <c r="KD246" s="218" t="e">
        <f t="shared" ca="1" si="778"/>
        <v>#N/A</v>
      </c>
      <c r="KE246" s="218" t="e">
        <f t="shared" ca="1" si="779"/>
        <v>#N/A</v>
      </c>
      <c r="KF246" s="218" t="e">
        <f t="shared" ca="1" si="780"/>
        <v>#N/A</v>
      </c>
      <c r="KG246" s="216" t="e">
        <f t="shared" ca="1" si="781"/>
        <v>#N/A</v>
      </c>
      <c r="KH246" s="221" t="e">
        <f ca="1">IF(Control!$B$24=0,1,MAX(0.001,MIN(1,IF(($IF246-$IE246)&lt;&gt;0,($KG246-$IE246)/($IF246-$IE246),1))))</f>
        <v>#N/A</v>
      </c>
      <c r="KI246" s="222" t="e">
        <f ca="1">IF(Control!$C$114=1, $KI245+ $KH245, 0)</f>
        <v>#N/A</v>
      </c>
      <c r="KJ246" s="217" t="e">
        <f t="shared" ca="1" si="782"/>
        <v>#N/A</v>
      </c>
      <c r="KK246" s="218" t="e">
        <f t="shared" ca="1" si="783"/>
        <v>#N/A</v>
      </c>
      <c r="KL246" s="274" t="e">
        <f ca="1">IF(Control!$B$26=3,4000000000*EXP(-8400/($G246+273)),IF(Control!$B$26=4,4000000000*EXP(-8400/($G246+273))*($KT246),0))</f>
        <v>#DIV/0!</v>
      </c>
      <c r="KM246" s="274" t="e">
        <f ca="1">IF(Control!$B$26=3,5600000000000*EXP(-9800/($G246+273)),IF(Control!$B$26=4,5600000000000*EXP(-9800/($G246+273))*$KT246,0))</f>
        <v>#DIV/0!</v>
      </c>
      <c r="KN246" s="454" t="e">
        <f t="shared" ca="1" si="881"/>
        <v>#DIV/0!</v>
      </c>
      <c r="KO246" s="274" t="e">
        <f t="shared" ca="1" si="882"/>
        <v>#DIV/0!</v>
      </c>
      <c r="KP246" s="454" t="e">
        <f t="shared" ca="1" si="784"/>
        <v>#DIV/0!</v>
      </c>
      <c r="KQ246" s="454" t="e">
        <f t="shared" ca="1" si="785"/>
        <v>#DIV/0!</v>
      </c>
      <c r="KR246" s="454" t="e">
        <f t="shared" ca="1" si="786"/>
        <v>#DIV/0!</v>
      </c>
      <c r="KS246" s="454" t="e">
        <f t="shared" ca="1" si="787"/>
        <v>#DIV/0!</v>
      </c>
      <c r="KT246" s="455" t="e">
        <f t="shared" ca="1" si="788"/>
        <v>#DIV/0!</v>
      </c>
      <c r="KU246" s="456" t="e">
        <f ca="1">IF($CP246-Control!$C$149&lt;0, IF($NT246-0.01&lt;0,0,1),0)</f>
        <v>#N/A</v>
      </c>
      <c r="KV246" s="456" t="e">
        <f ca="1">IF(Control!$C$114=1,MAX(0,MIN(Control!$C$125*$KW246*$GN246,$KW246)))</f>
        <v>#DIV/0!</v>
      </c>
      <c r="KW246" s="456" t="e">
        <f t="shared" ca="1" si="915"/>
        <v>#DIV/0!</v>
      </c>
      <c r="KX246" s="457" t="e">
        <f ca="1">IF($CP246-Control!$C$149&lt;0, IF($MR246-$OM246&lt;0,0,1),0)</f>
        <v>#N/A</v>
      </c>
      <c r="KY246" s="167">
        <f t="shared" ca="1" si="883"/>
        <v>242</v>
      </c>
      <c r="KZ246" s="168">
        <f ca="1">1370*(1+0.033*COS(2*Control!$C$138*$AH246/365))</f>
        <v>1346.502758509929</v>
      </c>
      <c r="LA246" s="169">
        <f t="shared" ca="1" si="884"/>
        <v>0.98284845419886802</v>
      </c>
      <c r="LB246" s="169">
        <f t="shared" ca="1" si="885"/>
        <v>0.14628056709477169</v>
      </c>
      <c r="LC246" s="169">
        <f ca="1">ACOS(-TAN((2*Control!$B$8/360))*TAN(Calculations!$LB246))</f>
        <v>1.6145981447966808</v>
      </c>
      <c r="LD246" s="169">
        <f ca="1">((24*60)/PI())*0.082*$LA246*(($LC246*SIN(Control!$B$8*2*PI()/360))*SIN($LB246)+COS(Control!$B$8*2*PI()/360)*COS($LB246)*SIN($LC246))</f>
        <v>29.329780222625615</v>
      </c>
      <c r="LE246" s="170">
        <f t="shared" ca="1" si="789"/>
        <v>29.623706366035449</v>
      </c>
      <c r="LF246" s="170">
        <f ca="1">SIN(Control!$C$139*Control!$B$8)*SIN($HD246)</f>
        <v>0.11468360436400002</v>
      </c>
      <c r="LG246" s="170">
        <f ca="1">COS(Control!$C$139*Control!$B$8)*COS($HD246)</f>
        <v>0.60910490590985078</v>
      </c>
      <c r="LH246" s="170">
        <f ca="1">12*(1+2*ASIN(MAX(-1,MIN(1,$LF246/$LG246))/Control!$C$138))</f>
        <v>13.43922905788472</v>
      </c>
      <c r="LI246" s="170">
        <f ca="1">12*(1+2*ASIN(MAX(-1,MIN(1,(-SIN(-4*Control!$C$139)+$LF246)/$LG246))/Control!$C$138))</f>
        <v>14.316854106878974</v>
      </c>
      <c r="LJ246" s="168">
        <f ca="1">3600*($LH246*$LF246+24*$LG246*SQRT(1-$LK246*$LK246)/Control!$C$138)</f>
        <v>22000.479522832709</v>
      </c>
      <c r="LK246" s="170">
        <f t="shared" ca="1" si="790"/>
        <v>0.18828218793065099</v>
      </c>
      <c r="LL246" s="170">
        <f t="shared" ca="1" si="791"/>
        <v>0</v>
      </c>
      <c r="LM246" s="171">
        <f ca="1">Control!$C$145*$AB246</f>
        <v>6.6660906138995932E-2</v>
      </c>
      <c r="LN246" s="170">
        <f t="shared" ca="1" si="886"/>
        <v>0.54</v>
      </c>
      <c r="LO246" s="170">
        <f t="shared" ca="1" si="792"/>
        <v>0</v>
      </c>
      <c r="LP246" s="170">
        <f ca="1">Control!$C$140*((($D246+273.16)^4+($E246+273.16)^4)/2)*(0.34-0.14*SQRT($Y246))*(1.35*$AQ246/(0.75*$LD246)-0.35)</f>
        <v>-3.2464704755046001</v>
      </c>
      <c r="LQ246" s="170">
        <f ca="1">Control!$C$140*($G246+273)^4*(0.56-0.079*SQRT($Y246*10))*(0.1+0.9*$LO246)</f>
        <v>1.5241745131704001</v>
      </c>
      <c r="LR246" s="170">
        <f ca="1">$AQ246*(1-Control!$C$142)-$LQ246</f>
        <v>-1.5241745131704001</v>
      </c>
      <c r="LS246" s="170">
        <f ca="1">$AQ246*(1-Control!$C$143)-$LQ246</f>
        <v>-1.5241745131704001</v>
      </c>
      <c r="LT246" s="170">
        <f ca="1">$AQ246*(1-Control!$C$144)-$LQ246</f>
        <v>-1.5241745131704001</v>
      </c>
      <c r="LU246" s="169">
        <f ca="1">(1-Control!$C$144)*AQ246-LP246</f>
        <v>3.2464704755046001</v>
      </c>
      <c r="LV246" s="172">
        <f t="shared" ca="1" si="793"/>
        <v>0.79430000000000012</v>
      </c>
      <c r="LW246" s="170">
        <f t="shared" ca="1" si="794"/>
        <v>1.5886000000000002</v>
      </c>
      <c r="LX246" s="170">
        <f ca="1">($AC246*($LR246/Control!$C$141)+$LM246*$LV246)/($AC246+$LM246)</f>
        <v>0.23530094218323697</v>
      </c>
      <c r="LY246" s="170">
        <f ca="1">($AC246*($LS246/Control!$C$141)+$LM246*$LV246)/($AC246+$LM246)</f>
        <v>0.23530094218323697</v>
      </c>
      <c r="LZ246" s="170">
        <f t="shared" ca="1" si="795"/>
        <v>0.23530094218323697</v>
      </c>
      <c r="MA246" s="170">
        <f t="shared" ca="1" si="796"/>
        <v>0.23530094218323697</v>
      </c>
      <c r="MB246" s="170" t="e">
        <f t="shared" ca="1" si="797"/>
        <v>#N/A</v>
      </c>
      <c r="MC246" s="170">
        <f t="shared" ca="1" si="887"/>
        <v>0.6018</v>
      </c>
      <c r="MD246" s="170">
        <f t="shared" ca="1" si="798"/>
        <v>0.52989392535414004</v>
      </c>
      <c r="ME246" s="170">
        <f ca="1">($AC246*($LT246/Control!$C$141)+$LM246*$LW246)/($AC246+$LM246)</f>
        <v>0.71612369323045078</v>
      </c>
      <c r="MF246" s="170" t="e">
        <f ca="1">IF(Control!$B$16&gt;=1000,0.92,IF(AND(720&lt;=Control!$B$16,1000&gt;Control!$B$16),(0.95+(Control!$B$16-720)*((0.92-0.95)/(1000-720))),IF(AND(360&lt;=Control!$B$16,720&gt;Control!$B$16),(1+(Control!$B$16-360)*((0.95-1)/(720-360))),IF(AND(40&lt;=Control!$B$16,360&gt;Control!$B$16),(1.05+(Control!$B$16-40)*((1.05-1)/(360-40)))))))</f>
        <v>#N/A</v>
      </c>
      <c r="MG246" s="170">
        <f t="shared" ca="1" si="799"/>
        <v>0.71612369323045078</v>
      </c>
      <c r="MH246" s="170" t="e">
        <f t="shared" ref="MH246:MI265" ca="1" si="926">$MG246*$MF246</f>
        <v>#N/A</v>
      </c>
      <c r="MI246" s="170" t="e">
        <f t="shared" ca="1" si="926"/>
        <v>#N/A</v>
      </c>
      <c r="MJ246" s="170" t="e">
        <f ca="1">MAX(0.0001, Control!$C$132*$MI246*$DL246)</f>
        <v>#N/A</v>
      </c>
      <c r="MK246" s="170">
        <f ca="1">1/(0.76+1.5*($MG246/10))-(5-Control!$C$110)*0.1</f>
        <v>1.002845988140797</v>
      </c>
      <c r="ML246" s="173">
        <f ca="1">IF(Control!$C$110&lt;3,$MK246+($MG246-0.6)/(Control!$C$110*(Control!$C$110+3)), MAX(0.1, MIN(0.95,$MK246)))</f>
        <v>0.95</v>
      </c>
      <c r="MM246" s="173">
        <f ca="1">IF(Control!$C$110&lt;3,$MK246+(($MI246/10)-0.6)/(Control!$C$110*(Control!$C$110+3)), MAX(0.1, MIN(0.95,$MK246)))</f>
        <v>0.95</v>
      </c>
      <c r="MN246" s="173">
        <f ca="1">(1-$MM246)*(Control!$C$128-Control!$C$127)+Control!$C$127</f>
        <v>0.16</v>
      </c>
      <c r="MO246" s="170" t="e">
        <f ca="1">MAX(0,MIN(1,($MS246-Control!$C$127)/($MN246-Control!$C$127)))</f>
        <v>#DIV/0!</v>
      </c>
      <c r="MP246" s="173" t="e">
        <f ca="1">1/(0.76+1.5*$MI246)-(5-Control!$C$110)*0.1</f>
        <v>#N/A</v>
      </c>
      <c r="MQ246" s="172" t="e">
        <f t="shared" ca="1" si="916"/>
        <v>#DIV/0!</v>
      </c>
      <c r="MR246" s="168" t="e">
        <f t="shared" ca="1" si="888"/>
        <v>#DIV/0!</v>
      </c>
      <c r="MS246" s="173" t="e">
        <f ca="1">MAX(Control!$C$127, MIN(Control!$C$135, $MR246/MAX(0.0001,$CY246)))</f>
        <v>#DIV/0!</v>
      </c>
      <c r="MT246" s="168" t="e">
        <f ca="1">(Control!$C$128-$MS246)*Control!$C$74</f>
        <v>#DIV/0!</v>
      </c>
      <c r="MU246" s="168" t="e">
        <f ca="1">(Control!$C$135-$MS246)*Control!$C$74</f>
        <v>#DIV/0!</v>
      </c>
      <c r="MV246" s="168" t="e">
        <f t="shared" ca="1" si="889"/>
        <v>#DIV/0!</v>
      </c>
      <c r="MW246" s="168" t="e">
        <f t="shared" ca="1" si="890"/>
        <v>#DIV/0!</v>
      </c>
      <c r="MX246" s="171" t="e">
        <f ca="1">MAX(Control!$C$127, MIN(Control!$C$135, $MW246/MAX(0.0001,Control!$C$119-$CY246)))</f>
        <v>#DIV/0!</v>
      </c>
      <c r="MY246" s="54" t="e">
        <f ca="1">IF(Control!$C$114=1, $CX246*$MX246, 0)</f>
        <v>#DIV/0!</v>
      </c>
      <c r="MZ246" s="54" t="e">
        <f t="shared" ca="1" si="891"/>
        <v>#N/A</v>
      </c>
      <c r="NA246" s="168" t="e">
        <f ca="1">(Control!$C$128-$MX246)*(Control!$C$119-Control!$C$74)</f>
        <v>#DIV/0!</v>
      </c>
      <c r="NB246" s="168" t="e">
        <f ca="1">(Control!$C$135-$MX246)*(Control!$C$119-Control!$C$74)</f>
        <v>#DIV/0!</v>
      </c>
      <c r="NC246" s="174" t="e">
        <f t="shared" ca="1" si="892"/>
        <v>#DIV/0!</v>
      </c>
      <c r="ND246" s="54">
        <f ca="1">IF(Control!$C$58=2, IF(OR(Control!$B$218=$AH246,Control!$B$219=$AH246, Control!$B$220=$AH246, Control!$B$221=$AH246, Control!$B$222=$AH246, Control!$B$223=$AH246, Control!$B$224=$AH246, Control!$B$225=$AH246, Control!$B$226=$AH246, Control!$B$227=$AH246, Control!$B$228=$AH246), 1, 0), 0)</f>
        <v>0</v>
      </c>
      <c r="NE246" s="54">
        <f ca="1">IF($ND246=0,0, VLOOKUP($AH246,Control!$B$218:$C$228,2))</f>
        <v>0</v>
      </c>
      <c r="NF246" s="168" t="e">
        <f ca="1">$CY246*(Control!$C$128-Control!$C$127)</f>
        <v>#N/A</v>
      </c>
      <c r="NG246" s="54" t="e">
        <f ca="1">IF(Control!$C$58=2, $NI245-$NJ245, 0)</f>
        <v>#DIV/0!</v>
      </c>
      <c r="NH246" s="54" t="e">
        <f ca="1">IF(AND(Control!$C$58=1, $MS245&lt;= ($MN245+0.02), $I245&lt;10), 0, IF(Control!$C$58=2, $NG245, 0))</f>
        <v>#DIV/0!</v>
      </c>
      <c r="NI246" s="54" t="e">
        <f ca="1">IF(Control!$C$58=2, $NE246+$NH246,0)</f>
        <v>#DIV/0!</v>
      </c>
      <c r="NJ246" s="54" t="e">
        <f ca="1">IF(AND(Control!$C$58=1, $MS246&lt;= ($MN246+0.02), $I246&lt;10), MAX(0, MIN(10, 0.7*($NF246-$MV246))), IF(Control!$C$58=2, MIN(10,$NI246),0))</f>
        <v>#DIV/0!</v>
      </c>
      <c r="NK246" s="54" t="e">
        <f t="shared" ca="1" si="800"/>
        <v>#DIV/0!</v>
      </c>
      <c r="NL246" s="173" t="e">
        <f ca="1">(1-Control!$C$73)*$I246+$NJ246</f>
        <v>#DIV/0!</v>
      </c>
      <c r="NM246" s="172" t="e">
        <f ca="1">IF($NL246&lt;0.5, $MB246* MAX(0, MIN(1, (SQRT($NC246)-SQRT($NC246-1))*Control!$C$71)),0)</f>
        <v>#DIV/0!</v>
      </c>
      <c r="NN246" s="170" t="e">
        <f ca="1">IF($NL246&gt;=5, $MB246, MAX(0,MIN($MB246, $NM246+$NL246,($MS246-Control!$C$129))))</f>
        <v>#DIV/0!</v>
      </c>
      <c r="NO246" s="54">
        <f>IF(Control!$C$133&lt;&gt;1, Control!$C$135-Control!$C$131, 0)</f>
        <v>0.38</v>
      </c>
      <c r="NP246" s="54" t="e">
        <f t="shared" ca="1" si="801"/>
        <v>#DIV/0!</v>
      </c>
      <c r="NQ246" s="173" t="e">
        <f ca="1">MAX(0,MIN(1,(Control!$C$135-$MS246)/(Control!$C$135-$NO246)))</f>
        <v>#DIV/0!</v>
      </c>
      <c r="NR246" s="170" t="e">
        <f ca="1">IF(Control!$C$133&lt;&gt;1, $NQ246+((1-$NP246/4)*(1-$NQ246)),1)</f>
        <v>#DIV/0!</v>
      </c>
      <c r="NS246" s="170" t="e">
        <f ca="1">IF(Control!$B$31=0,$MJ246,MAX(0,MIN($MV246,$MO246*$NR246*$MJ246)))</f>
        <v>#DIV/0!</v>
      </c>
      <c r="NT246" s="170" t="e">
        <f t="shared" ca="1" si="917"/>
        <v>#DIV/0!</v>
      </c>
      <c r="NU246" s="170" t="e">
        <f t="shared" ca="1" si="893"/>
        <v>#N/A</v>
      </c>
      <c r="NV246" s="170" t="e">
        <f t="shared" ca="1" si="802"/>
        <v>#N/A</v>
      </c>
      <c r="NW246" s="175" t="e">
        <f t="shared" ca="1" si="803"/>
        <v>#DIV/0!</v>
      </c>
      <c r="NX246" s="170" t="e">
        <f ca="1">MIN(Control!$C$72+$MU246, $NW246)</f>
        <v>#DIV/0!</v>
      </c>
      <c r="NY246" s="170" t="e">
        <f ca="1">IF($MT246&lt;=$NX246,MIN(Control!$C$72+$NB246,$NX246-$MT246),0)</f>
        <v>#DIV/0!</v>
      </c>
      <c r="NZ246" s="54" t="e">
        <f ca="1">IF(Control!$C$114=1,  $CX246*($MX246-Control!$C$127), 0)</f>
        <v>#DIV/0!</v>
      </c>
      <c r="OA246" s="170" t="e">
        <f t="shared" ca="1" si="804"/>
        <v>#DIV/0!</v>
      </c>
      <c r="OB246" s="170" t="e">
        <f ca="1">IF($NA246 &lt;=$NY246, MIN(Control!$C$72, $NY246-$NA246), 0)</f>
        <v>#DIV/0!</v>
      </c>
      <c r="OC246" s="168" t="e">
        <f t="shared" ca="1" si="805"/>
        <v>#DIV/0!</v>
      </c>
      <c r="OD246" s="168" t="e">
        <f t="shared" ca="1" si="894"/>
        <v>#DIV/0!</v>
      </c>
      <c r="OE246" s="170">
        <f ca="1">Control!$C$73*$I246</f>
        <v>0</v>
      </c>
      <c r="OF246" s="176" t="e">
        <f t="shared" ca="1" si="806"/>
        <v>#DIV/0!</v>
      </c>
      <c r="OG246" s="168" t="e">
        <f t="shared" ca="1" si="807"/>
        <v>#DIV/0!</v>
      </c>
      <c r="OH246" s="168" t="e">
        <f t="shared" ca="1" si="808"/>
        <v>#DIV/0!</v>
      </c>
      <c r="OI246" s="168" t="e">
        <f t="shared" ca="1" si="809"/>
        <v>#DIV/0!</v>
      </c>
      <c r="OJ246" s="168" t="e">
        <f t="shared" ca="1" si="810"/>
        <v>#DIV/0!</v>
      </c>
      <c r="OK246" s="204" t="e">
        <f t="shared" ca="1" si="811"/>
        <v>#DIV/0!</v>
      </c>
      <c r="OL246" s="177">
        <f>Control!$C$127</f>
        <v>0.15</v>
      </c>
      <c r="OM246" s="182" t="e">
        <f t="shared" ca="1" si="812"/>
        <v>#N/A</v>
      </c>
      <c r="ON246" s="177">
        <f>Control!$C$128</f>
        <v>0.35</v>
      </c>
      <c r="OO246" s="182" t="e">
        <f t="shared" ca="1" si="813"/>
        <v>#N/A</v>
      </c>
      <c r="OP246" s="138">
        <f t="shared" ca="1" si="895"/>
        <v>0</v>
      </c>
      <c r="OQ246" s="138" t="e">
        <f t="shared" ca="1" si="918"/>
        <v>#DIV/0!</v>
      </c>
      <c r="OR246" s="138" t="e">
        <f t="shared" ca="1" si="896"/>
        <v>#DIV/0!</v>
      </c>
      <c r="OS246" s="137" t="e">
        <f t="shared" ca="1" si="919"/>
        <v>#DIV/0!</v>
      </c>
      <c r="OT246" s="139" t="e">
        <f t="shared" ca="1" si="920"/>
        <v>#DIV/0!</v>
      </c>
      <c r="OU246" s="138" t="e">
        <f t="shared" ca="1" si="921"/>
        <v>#N/A</v>
      </c>
      <c r="OV246" s="138" t="e">
        <f t="shared" ca="1" si="922"/>
        <v>#DIV/0!</v>
      </c>
      <c r="OW246" s="138" t="e">
        <f t="shared" ca="1" si="897"/>
        <v>#DIV/0!</v>
      </c>
      <c r="OX246" s="138" t="e">
        <f t="shared" ca="1" si="898"/>
        <v>#DIV/0!</v>
      </c>
      <c r="OY246" s="138" t="e">
        <f t="shared" ca="1" si="899"/>
        <v>#DIV/0!</v>
      </c>
      <c r="OZ246" s="138" t="e">
        <f t="shared" ca="1" si="814"/>
        <v>#DIV/0!</v>
      </c>
      <c r="PA246" s="138" t="e">
        <f t="shared" ca="1" si="815"/>
        <v>#DIV/0!</v>
      </c>
      <c r="PB246" s="55">
        <f>IF(Control!$C$61="T", IF(Control!$C$65="F", IF($AH$6-Control!$C$60&lt;0,0,1), IF(365+$AH$6-Control!$C$60&lt;0,0,1)),0)</f>
        <v>0</v>
      </c>
      <c r="PC246" s="55">
        <f ca="1">IF(Control!$C$65="F", IF($AH$6-$HF246&lt;0,0,1), IF(365+$AH$6-$HF246&lt;0,0,1))</f>
        <v>1</v>
      </c>
      <c r="PD246" s="444">
        <f>Control!$C$118</f>
        <v>1500</v>
      </c>
      <c r="PE246" s="180" t="e">
        <f t="shared" ca="1" si="816"/>
        <v>#N/A</v>
      </c>
      <c r="PF246" s="445">
        <f t="shared" ca="1" si="900"/>
        <v>0.71612369323045078</v>
      </c>
      <c r="PT246" s="186"/>
      <c r="PU246" s="186"/>
      <c r="PV246" s="94"/>
      <c r="PW246" s="94"/>
      <c r="PX246" s="94"/>
      <c r="PY246" s="94"/>
      <c r="PZ246" s="94"/>
      <c r="QA246" s="94"/>
      <c r="QB246" s="94"/>
      <c r="QC246" s="94"/>
      <c r="QD246" s="94"/>
      <c r="QE246" s="94"/>
      <c r="QF246" s="94"/>
      <c r="QG246" s="94"/>
      <c r="QH246" s="94"/>
      <c r="QI246" s="94"/>
      <c r="QJ246" s="94"/>
      <c r="QK246" s="94"/>
      <c r="QL246" s="94"/>
      <c r="QM246" s="94"/>
      <c r="QN246" s="94"/>
      <c r="QO246" s="94"/>
      <c r="QP246" s="94"/>
    </row>
    <row r="247" spans="1:458" s="2" customFormat="1" x14ac:dyDescent="0.2">
      <c r="A247" s="395">
        <v>30</v>
      </c>
      <c r="B247" s="396">
        <v>8</v>
      </c>
      <c r="C247" s="387">
        <f ca="1">Weather_data!$B246</f>
        <v>0</v>
      </c>
      <c r="D247" s="388">
        <f ca="1">Weather_data!$F246</f>
        <v>0</v>
      </c>
      <c r="E247" s="388">
        <f ca="1">Weather_data!$E246</f>
        <v>0</v>
      </c>
      <c r="F247" s="388">
        <f t="shared" ca="1" si="817"/>
        <v>0</v>
      </c>
      <c r="G247" s="388">
        <f ca="1">AVERAGE($D247:$E247)+Control!$B$9</f>
        <v>0</v>
      </c>
      <c r="H247" s="388">
        <f ca="1">Weather_data!$G246</f>
        <v>0</v>
      </c>
      <c r="I247" s="388">
        <f ca="1">Weather_data!$I246</f>
        <v>0</v>
      </c>
      <c r="J247" s="388">
        <f ca="1">Weather_data!$H246</f>
        <v>0</v>
      </c>
      <c r="K247" s="389">
        <f ca="1">Weather_data!$D246</f>
        <v>0</v>
      </c>
      <c r="L247" s="388" t="e">
        <f t="shared" ca="1" si="818"/>
        <v>#N/A</v>
      </c>
      <c r="M247" s="388" t="e">
        <f t="shared" ca="1" si="696"/>
        <v>#N/A</v>
      </c>
      <c r="N247" s="388">
        <f t="shared" ca="1" si="697"/>
        <v>-4.6926134301417814E-12</v>
      </c>
      <c r="O247" s="388">
        <f t="shared" ca="1" si="819"/>
        <v>4.6926134301417814E-11</v>
      </c>
      <c r="P247" s="390">
        <v>3</v>
      </c>
      <c r="Q247" s="388">
        <f ca="1">MAX($G247-Control!$C$107,0)</f>
        <v>0</v>
      </c>
      <c r="R247" s="388">
        <f t="shared" ca="1" si="820"/>
        <v>0</v>
      </c>
      <c r="S247" s="388">
        <f t="shared" ca="1" si="698"/>
        <v>0</v>
      </c>
      <c r="T247" s="388">
        <f t="shared" ca="1" si="699"/>
        <v>0</v>
      </c>
      <c r="U247" s="59">
        <f t="shared" ca="1" si="700"/>
        <v>0</v>
      </c>
      <c r="V247" s="391">
        <f ca="1">MAX(0,MIN(Control!$C$100-Control!$C$99,$G247-Control!$C$99)*Control!$C$63)</f>
        <v>0</v>
      </c>
      <c r="W247" s="388">
        <f t="shared" ca="1" si="821"/>
        <v>0</v>
      </c>
      <c r="X247" s="388">
        <f t="shared" ca="1" si="822"/>
        <v>0.6110000000000001</v>
      </c>
      <c r="Y247" s="388">
        <f t="shared" ca="1" si="701"/>
        <v>0</v>
      </c>
      <c r="Z247" s="388">
        <f t="shared" ca="1" si="823"/>
        <v>0.61058800000000002</v>
      </c>
      <c r="AA247" s="388">
        <f t="shared" ca="1" si="702"/>
        <v>0.6018</v>
      </c>
      <c r="AB247" s="388">
        <f ca="1">101.3*EXP(-0.034*Control!$C$66/($G247+273))</f>
        <v>100.69623283836242</v>
      </c>
      <c r="AC247" s="392">
        <f t="shared" ca="1" si="703"/>
        <v>4.3460251046025113E-2</v>
      </c>
      <c r="AD247" s="392">
        <f t="shared" ca="1" si="704"/>
        <v>4.4450382862832649E-2</v>
      </c>
      <c r="AE247" s="388">
        <f t="shared" ca="1" si="705"/>
        <v>0</v>
      </c>
      <c r="AF247" s="388">
        <f ca="1">MAX(0,$G247-Control!$C$92)</f>
        <v>0</v>
      </c>
      <c r="AG247" s="393">
        <f t="shared" ca="1" si="706"/>
        <v>243</v>
      </c>
      <c r="AH247" s="389">
        <f t="shared" ca="1" si="707"/>
        <v>243</v>
      </c>
      <c r="AI247" s="388">
        <f t="shared" ca="1" si="824"/>
        <v>0.13959113285883298</v>
      </c>
      <c r="AJ247" s="388">
        <f ca="1">IF(Control!$C$60&lt;=0,$HH247,$HI247)</f>
        <v>1</v>
      </c>
      <c r="AK247" s="388">
        <f t="shared" ca="1" si="708"/>
        <v>2.8059156303295136</v>
      </c>
      <c r="AL247" s="388">
        <f t="shared" ca="1" si="709"/>
        <v>9.01429972333112E-19</v>
      </c>
      <c r="AM247" s="388">
        <f t="shared" ca="1" si="710"/>
        <v>2.8059156303295136</v>
      </c>
      <c r="AN247" s="388">
        <f t="shared" ca="1" si="711"/>
        <v>0.13141663588177982</v>
      </c>
      <c r="AO247" s="388">
        <f ca="1">-0.10453/COS(Control!$B$8*PI()/180)*COS(AN247)</f>
        <v>-0.16832085254558213</v>
      </c>
      <c r="AP247" s="388">
        <f ca="1">ACOS(AO247-TAN(Control!$B$8*PI()/180)*TAN(AN247))</f>
        <v>1.9150577564979927</v>
      </c>
      <c r="AQ247" s="388">
        <f t="shared" ca="1" si="825"/>
        <v>0</v>
      </c>
      <c r="AR247" s="394">
        <f t="shared" ca="1" si="712"/>
        <v>0</v>
      </c>
      <c r="AS247" s="436">
        <f ca="1">IF(Control!$B$18=2,(IF(OR($AH247=Control!$B$175,$AH247=Control!$B$176,$AH247=Control!$B$177,$AH247=Control!$B$178,$AH247=Control!$B$179,$AH247=Control!$B$180,$AH247=Control!$B$181,$AH247=Control!$B$182,$AH247=Control!$B$183,$AH247=Control!$B$184,$AH247=Control!$B$185),1,0)),0)</f>
        <v>0</v>
      </c>
      <c r="AT247" s="436">
        <f>IF(Control!$B$20=8,IF(AND($AH247&gt;=Control!$B$172,$AH247&lt;=Control!$B$173),1,0),0)</f>
        <v>0</v>
      </c>
      <c r="AU247" s="436">
        <f>IF(Control!$B$20=8,IF($AV246=1,1*$AT247,IF($AT247=1,$AU246+1,$AU246)),0)</f>
        <v>0</v>
      </c>
      <c r="AV247" s="436">
        <f>IF(Control!$B$20=8,IF($AU247&gt;=Control!$B$174,1,0),0)</f>
        <v>0</v>
      </c>
      <c r="AW247" s="436">
        <f ca="1">IF(AND(Control!$B$18=2,Control!$B$171=1), $AV247, $AS247)</f>
        <v>0</v>
      </c>
      <c r="AX247" s="436" t="e">
        <f ca="1">IF(AND(Control!$B$18=1,$EU247&gt;=Control!$B$19),-$AY247,IF(AND(Control!$B$18=2,$AW247=1,$EU247&gt;$DS247),-$AY247, IF(Control!$C$108=0,0, IF(Control!$C$108&lt;&gt;0,1))))</f>
        <v>#N/A</v>
      </c>
      <c r="AY247" s="436" t="e">
        <f t="shared" ca="1" si="826"/>
        <v>#N/A</v>
      </c>
      <c r="AZ247" s="436" t="e">
        <f ca="1">IF(AND(Control!$B$18=1,$EB247&gt;Control!$B$19),$AZ246+1, IF(AND(Control!$B$18=2, $AW247=1, $EB247&gt;$DS247), $AZ246+1,$AZ246))</f>
        <v>#N/A</v>
      </c>
      <c r="BA247" s="587">
        <f>IF(Control!$C$81=0,1,IF($AH247&gt;=Control!$C$82,1,0))</f>
        <v>1</v>
      </c>
      <c r="BB247" s="140" t="e">
        <f ca="1">IF($BA247&gt;$BA246,Control!$C$83,IF($AW247&gt;0,$AW247*Control!$C$84,IF(AND(Control!$B$18=1,EN246&lt;&gt;0),Control!$C$84,0)))</f>
        <v>#N/A</v>
      </c>
      <c r="BC247" s="140" t="e">
        <f t="shared" ca="1" si="827"/>
        <v>#N/A</v>
      </c>
      <c r="BD247" s="140" t="e">
        <f ca="1">BC247*IF(OR($G247&lt;Control!$C$92,$G247&gt;Control!$C$95),0,IF(AND($G247&gt;=Control!$C$92,$G247&lt;=Control!$C$93),$G247-Control!$C$92,IF(AND($G247&gt;Control!$C$93,$G247&lt;=Control!$C$94),Control!$C$93-Control!$C$92,IF(AND($G247&gt;Control!$C$94,$G247&lt;=Control!$C$95),(Control!$C$93-Control!$C$92)*(Control!$C$94-$G247)/(Control!$C$95-Control!$C$94)))))</f>
        <v>#N/A</v>
      </c>
      <c r="BE247" s="140" t="e">
        <f t="shared" ca="1" si="828"/>
        <v>#N/A</v>
      </c>
      <c r="BF247" s="140" t="e">
        <f ca="1">IF($BE247&lt;=Control!$C$86,$BE247,Control!$C$86-$BE247)</f>
        <v>#N/A</v>
      </c>
      <c r="BG247" s="140" t="e">
        <f ca="1">IF(AND($AW247=1,Control!$C$84&lt;9),1,IF($BE247&gt;=Control!$C$86,0,$BC247))</f>
        <v>#N/A</v>
      </c>
      <c r="BH247" s="404" t="e">
        <f ca="1">IF($BG247=0,0,IF($BE247&lt;=Control!$C$86,$BC247*9*($BF247/Control!$C$86),0))</f>
        <v>#N/A</v>
      </c>
      <c r="BI247" s="140" t="e">
        <f ca="1">IF($BG247=1,0,IF($BE247&gt;=Control!$C$86,1,IF(AND($BB247&lt;21,$BB247&gt;=9),1,$BM246)))</f>
        <v>#N/A</v>
      </c>
      <c r="BJ247" s="140" t="e">
        <f ca="1">IF($BF247&lt;0,-$BF247,$BI247*IF(OR($G247&lt;Control!$C$92,$G247&gt;Control!$C$95),0,IF(AND($G247&gt;=Control!$C$92,$G247&lt;=Control!$C$93),$G247-Control!$C$92,IF(AND($G247&gt;Control!$C$93,$G247&lt;=Control!$C$94),Control!$C$93-Control!$C$92,IF(AND($G247&gt;Control!$C$94,$G247&lt;=Control!$C$95),(Control!$C$93-Control!$C$92)*(Control!$C$94-$G247)/(Control!$C$95-Control!$C$94))))))</f>
        <v>#N/A</v>
      </c>
      <c r="BK247" s="140" t="e">
        <f t="shared" ca="1" si="829"/>
        <v>#N/A</v>
      </c>
      <c r="BL247" s="140" t="e">
        <f ca="1">IF($BK247&lt;=Control!$C$87,$BK247,Control!$C$87-$BK247)</f>
        <v>#N/A</v>
      </c>
      <c r="BM247" s="140" t="e">
        <f ca="1">IF(AND($BB247&gt;=9,$BB247&lt;21),1,IF($BK247&gt;=Control!$C$87,0,$BI247))</f>
        <v>#N/A</v>
      </c>
      <c r="BN247" s="404" t="e">
        <f ca="1">IF($BM247=0,0,IF($BK247&lt;=Control!$C$87,$BI247*(9+(21-9)*($BL247/Control!$C$87)),0))</f>
        <v>#N/A</v>
      </c>
      <c r="BO247" s="140" t="e">
        <f ca="1">IF($BM247=1,0,IF($BK247&gt;=Control!$C$87,1,IF(AND($BB247&lt;30,$BB247&gt;=21),1,$BS246)))</f>
        <v>#N/A</v>
      </c>
      <c r="BP247" s="140" t="e">
        <f ca="1">IF($BL247&lt;0,-$BL247,$BO247*IF(OR($G247&lt;Control!$C$92,$G247&gt;Control!$C$95),0,IF(AND($G247&gt;=Control!$C$92,$G247&lt;=Control!$C$93),$G247-Control!$C$92,IF(AND($G247&gt;Control!$C$93,$G247&lt;=Control!$C$94),Control!$C$93-Control!$C$92,IF(AND($G247&gt;Control!$C$94,$G247&lt;=Control!$C$95),(Control!$C$93-Control!$C$92)*(Control!$C$94-$G247)/(Control!$C$95-Control!$C$94))))))</f>
        <v>#N/A</v>
      </c>
      <c r="BQ247" s="140" t="e">
        <f t="shared" ca="1" si="713"/>
        <v>#N/A</v>
      </c>
      <c r="BR247" s="140" t="e">
        <f ca="1">IF($BQ247&lt;=Control!$C$88,$BQ247,Control!$C$88-$BQ247)</f>
        <v>#N/A</v>
      </c>
      <c r="BS247" s="140" t="e">
        <f ca="1">IF(AND($BB247&gt;=21,$BB247&lt;30),1,IF($BQ247&gt;=Control!$C$88,0,$BO247))</f>
        <v>#N/A</v>
      </c>
      <c r="BT247" s="404" t="e">
        <f ca="1">IF($BS247=0,0,IF($BQ247&lt;=Control!$C$88,$BO247*(21+(30-21)*(BR247/Control!$C$88)),0))</f>
        <v>#N/A</v>
      </c>
      <c r="BU247" s="140" t="e">
        <f ca="1">IF(BG247+BM247+BS247=1,0,IF(OR(AND($BB247&lt;60,$BB247&gt;=30),$BQ247&gt;=Control!$C$88),1*$BA247,$BY246))</f>
        <v>#N/A</v>
      </c>
      <c r="BV247" s="140" t="e">
        <f ca="1">IF($BR247&lt;0,-$BR247,$BU247*IF(OR($G247&lt;Control!$C$92,$G247&gt;Control!$C$95),0,IF(AND($G247&gt;=Control!$C$92,$G247&lt;=Control!$C$93),$G247-Control!$C$92,IF(AND($G247&gt;Control!$C$93,$G247&lt;=Control!$C$94),Control!$C$93-Control!$C$92,IF(AND($G247&gt;Control!$C$94,$G247&lt;=Control!$C$95),(Control!$C$93-Control!$C$92)*(Control!$C$94-$G247)/(Control!$C$95-Control!$C$94))))))</f>
        <v>#N/A</v>
      </c>
      <c r="BW247" s="140" t="e">
        <f t="shared" ca="1" si="714"/>
        <v>#N/A</v>
      </c>
      <c r="BX247" s="140" t="e">
        <f ca="1">IF($BW247&lt;=Control!$C$89,$BW247,Control!$C$89-$BW247)</f>
        <v>#N/A</v>
      </c>
      <c r="BY247" s="140" t="e">
        <f ca="1">IF(AND($AJ247&gt;=30,$AJ247&lt;60),1,IF($BW247&gt;=Control!$C$89,0,$BU247))</f>
        <v>#N/A</v>
      </c>
      <c r="BZ247" s="404" t="e">
        <f ca="1">IF($BY247=0,0,IF($BW247&lt;=Control!$C$89,$BU247*(30+(60-30)*(BX247/Control!$C$89)),0))</f>
        <v>#N/A</v>
      </c>
      <c r="CA247" s="140" t="e">
        <f ca="1">IF($BG247+$BM247+$BS247+$BY247=1,0,IF(OR(AND($BB247&lt;65,$BB247&gt;=60),$BW247&gt;=Control!$C$89),1*$BA247,$CE246))</f>
        <v>#N/A</v>
      </c>
      <c r="CB247" s="140" t="e">
        <f ca="1">IF($BX247&lt;0,-$BX247,$CA247*IF(OR($G247&lt;Control!$C$92,$G247&gt;Control!$C$95),0,IF(AND($G247&gt;=Control!$C$92,$G247&lt;=Control!$C$93),$G247-Control!$C$92,IF(AND($G247&gt;Control!$C$93,$G247&lt;=Control!$C$94),Control!$C$93-Control!$C$92,IF(AND($G247&gt;Control!$C$94,$G247&lt;=Control!$C$95),(Control!$C$93-Control!$C$92)*(Control!$C$94-$G247)/(Control!$C$95-Control!$C$94))))))</f>
        <v>#N/A</v>
      </c>
      <c r="CC247" s="140" t="e">
        <f t="shared" ca="1" si="830"/>
        <v>#N/A</v>
      </c>
      <c r="CD247" s="140" t="e">
        <f ca="1">IF($CC247&lt;=Control!$C$90,$CC247,Control!$C$90-$CC247)</f>
        <v>#N/A</v>
      </c>
      <c r="CE247" s="140" t="e">
        <f ca="1">IF(AND($BB247&gt;=60,$BB247&lt;65),1,IF($CC247&gt;=Control!$C$90,0,$CA247))</f>
        <v>#N/A</v>
      </c>
      <c r="CF247" s="404" t="e">
        <f ca="1">IF($CE247=0,0,IF($CC247&lt;=Control!$C$90,$CA247*(60+(65-60)*(CD247/Control!$C$90)),0))</f>
        <v>#N/A</v>
      </c>
      <c r="CG247" s="140" t="e">
        <f ca="1">IF($BG247+$BM247+$BS247+$BY247+$CE247=1,0,IF(OR(AND($BB247&lt;90,$BB247&gt;=65),$CC247&gt;=Control!$C$90),$BA247,$CK246))</f>
        <v>#N/A</v>
      </c>
      <c r="CH247" s="140" t="e">
        <f ca="1">IF($CD247&lt;0,-$CD247,$CG247*IF(OR($G247&lt;Control!$C$92,$G247&gt;Control!$C$95),0,IF(AND($G247&gt;=Control!$C$92,$G247&lt;=Control!$C$93),$G247-Control!$C$92,IF(AND($G247&gt;Control!$C$93,$G247&lt;=Control!$C$94),Control!$C$93-Control!$C$92,IF(AND($G247&gt;Control!$C$94,$G247&lt;=Control!$C$95),(Control!$C$93-Control!$C$92)*(Control!$C$94-$G247)/(Control!$C$95-Control!$C$94))))))</f>
        <v>#N/A</v>
      </c>
      <c r="CI247" s="140" t="e">
        <f t="shared" ca="1" si="831"/>
        <v>#N/A</v>
      </c>
      <c r="CJ247" s="140" t="e">
        <f ca="1">IF($CI247&lt;=Control!$C$91,$CI247,Control!$C$91-$CI247)</f>
        <v>#N/A</v>
      </c>
      <c r="CK247" s="140" t="e">
        <f ca="1">IF(AND($BB247&gt;=65,$BB247&lt;90),1,IF($CI247&gt;=Control!$C$91,0,$CG247))</f>
        <v>#N/A</v>
      </c>
      <c r="CL247" s="404" t="e">
        <f ca="1">IF($CK247=0,0,IF($CI247&lt;=Control!$C$91,$CG247*(65+(90-65)*($CJ247/Control!$C$91)),0))</f>
        <v>#N/A</v>
      </c>
      <c r="CM247" s="140" t="e">
        <f ca="1">IF($BG247+$BM247+$BS247+$BY247+$CE247+$CK247=1,0,IF(OR($BB247&gt;=90,$CI247&gt;=Control!$C$91),$BA247,$CM246))</f>
        <v>#N/A</v>
      </c>
      <c r="CN247" s="140" t="e">
        <f t="shared" ca="1" si="832"/>
        <v>#N/A</v>
      </c>
      <c r="CO247" s="140" t="e">
        <f t="shared" ca="1" si="833"/>
        <v>#N/A</v>
      </c>
      <c r="CP247" s="140" t="e">
        <f t="shared" ca="1" si="834"/>
        <v>#N/A</v>
      </c>
      <c r="CQ247" s="141" t="e">
        <f ca="1">VLOOKUP($CP247,Control!$B$86:$G$91,6)</f>
        <v>#N/A</v>
      </c>
      <c r="CR247" s="141" t="e">
        <f ca="1">(1-$CQ247)*VLOOKUP($CP247,Control!$B$86:$D$91,3)</f>
        <v>#N/A</v>
      </c>
      <c r="CS247" s="141" t="e">
        <f ca="1">(1-$CQ247)*VLOOKUP($CP247,Control!$B$86:$E$91,4)</f>
        <v>#N/A</v>
      </c>
      <c r="CT247" s="141" t="e">
        <f ca="1">(1-$CQ247)*VLOOKUP($CP247,Control!$B$86:$F$91,5)</f>
        <v>#N/A</v>
      </c>
      <c r="CU247" s="141">
        <f t="shared" ca="1" si="835"/>
        <v>0</v>
      </c>
      <c r="CV247" s="583">
        <f t="shared" ca="1" si="836"/>
        <v>0</v>
      </c>
      <c r="CW247" s="142">
        <f t="shared" ca="1" si="837"/>
        <v>243</v>
      </c>
      <c r="CX247" s="612" t="e">
        <f ca="1">IF(Control!$C$114=1,(MIN(Control!$C$120*(IF($NT247-0.01&lt;0,0,1)),Control!$C$119-$CY247)))</f>
        <v>#DIV/0!</v>
      </c>
      <c r="CY247" s="143" t="e">
        <f t="shared" ca="1" si="838"/>
        <v>#N/A</v>
      </c>
      <c r="CZ247" s="144">
        <f t="shared" ca="1" si="715"/>
        <v>0</v>
      </c>
      <c r="DA247" s="144">
        <f t="shared" ca="1" si="716"/>
        <v>0</v>
      </c>
      <c r="DB247" s="144" t="e">
        <f t="shared" ca="1" si="717"/>
        <v>#N/A</v>
      </c>
      <c r="DC247" s="144" t="e">
        <f t="shared" ca="1" si="718"/>
        <v>#N/A</v>
      </c>
      <c r="DD247" s="144" t="e">
        <f t="shared" ca="1" si="923"/>
        <v>#N/A</v>
      </c>
      <c r="DE247" s="143" t="e">
        <f t="shared" ca="1" si="839"/>
        <v>#N/A</v>
      </c>
      <c r="DF247" s="145" t="e">
        <f ca="1">$DR247*EXP(-Control!$C$158*(1-$KH247))</f>
        <v>#N/A</v>
      </c>
      <c r="DG247" s="146" t="e">
        <f ca="1">IF(Control!$C$114=1, $DF247*$EY247, 0)</f>
        <v>#N/A</v>
      </c>
      <c r="DH247" s="147" t="e">
        <f t="shared" ca="1" si="840"/>
        <v>#N/A</v>
      </c>
      <c r="DI247" s="144" t="e">
        <f t="shared" ca="1" si="901"/>
        <v>#N/A</v>
      </c>
      <c r="DJ247" s="147" t="e">
        <f ca="1">$EF247*Control!$C$109</f>
        <v>#N/A</v>
      </c>
      <c r="DK247" s="144" t="e">
        <f t="shared" ca="1" si="841"/>
        <v>#N/A</v>
      </c>
      <c r="DL247" s="144" t="e">
        <f t="shared" ca="1" si="719"/>
        <v>#N/A</v>
      </c>
      <c r="DM247" s="144" t="e">
        <f ca="1">IF(Control!$C$114=1, (1-EXP(-Control!$C$96*$DK247))*$AR247, 0)</f>
        <v>#N/A</v>
      </c>
      <c r="DN247" s="144">
        <f t="shared" ca="1" si="842"/>
        <v>0</v>
      </c>
      <c r="DO247" s="148">
        <f>Control!$C$97</f>
        <v>4</v>
      </c>
      <c r="DP247" s="145" t="e">
        <f t="shared" ca="1" si="843"/>
        <v>#N/A</v>
      </c>
      <c r="DQ247" s="145" t="e">
        <f ca="1">IF(AND($CP247&gt;=0,$CP247&lt;=90),Control!$C$111,Control!$C$111)</f>
        <v>#N/A</v>
      </c>
      <c r="DR247" s="145" t="e">
        <f t="shared" ca="1" si="720"/>
        <v>#N/A</v>
      </c>
      <c r="DS247" s="143" t="e">
        <f ca="1">Control!$B$22/$DR247</f>
        <v>#N/A</v>
      </c>
      <c r="DT247" s="149" t="e">
        <f ca="1">IF(AND(Control!$C$114=1,$KH247&lt;1),$IM247*$DF247, 0)</f>
        <v>#N/A</v>
      </c>
      <c r="DU247" s="144" t="e">
        <f t="shared" ca="1" si="844"/>
        <v>#N/A</v>
      </c>
      <c r="DV247" s="144">
        <f ca="1">IF($G247-Control!$C$107&lt;=0, 0, 0.83*LN(MAX($G247, 3))-0.8924)</f>
        <v>0</v>
      </c>
      <c r="DW247" s="144" t="e">
        <f t="shared" ca="1" si="721"/>
        <v>#N/A</v>
      </c>
      <c r="DX247" s="150" t="e">
        <f ca="1">MAX(0.01*(1+$CU247/Control!$C$102),0.05*($DK247-Control!$C$97)/Control!$C$97)</f>
        <v>#N/A</v>
      </c>
      <c r="DY247" s="151" t="e">
        <f ca="1">IF(Control!$C$114=1, $DI247*$FS247, 0)</f>
        <v>#N/A</v>
      </c>
      <c r="DZ247" s="196" t="e">
        <f t="shared" ca="1" si="845"/>
        <v>#N/A</v>
      </c>
      <c r="EA247" s="152">
        <f t="shared" ca="1" si="846"/>
        <v>243</v>
      </c>
      <c r="EB247" s="153" t="e">
        <f t="shared" ca="1" si="847"/>
        <v>#N/A</v>
      </c>
      <c r="EC247" s="153" t="e">
        <f t="shared" ca="1" si="848"/>
        <v>#N/A</v>
      </c>
      <c r="ED247" s="154" t="e">
        <f ca="1">IF(Control!$C$114=1, $HM247*$FY247-$FD247, 0)</f>
        <v>#DIV/0!</v>
      </c>
      <c r="EE247" s="155" t="e">
        <f ca="1">IF(Control!$C$114=1, $HM247*$FZ247-$FF247, 0)</f>
        <v>#DIV/0!</v>
      </c>
      <c r="EF247" s="153" t="e">
        <f t="shared" ca="1" si="902"/>
        <v>#N/A</v>
      </c>
      <c r="EG247" s="155" t="e">
        <f ca="1">IF(Control!$C$114=1, $GX247*$FW247-$FI247, 0)</f>
        <v>#DIV/0!</v>
      </c>
      <c r="EH247" s="153" t="e">
        <f t="shared" ca="1" si="849"/>
        <v>#N/A</v>
      </c>
      <c r="EI247" s="156" t="e">
        <f t="shared" ca="1" si="850"/>
        <v>#N/A</v>
      </c>
      <c r="EJ247" s="155" t="e">
        <f ca="1">IF(Control!$C$114=1, $HM247*$GB247, 0)</f>
        <v>#DIV/0!</v>
      </c>
      <c r="EK247" s="153" t="e">
        <f t="shared" ca="1" si="903"/>
        <v>#N/A</v>
      </c>
      <c r="EL247" s="153" t="e">
        <f t="shared" ca="1" si="722"/>
        <v>#N/A</v>
      </c>
      <c r="EM247" s="153" t="e">
        <f t="shared" ca="1" si="723"/>
        <v>#N/A</v>
      </c>
      <c r="EN247" s="153" t="e">
        <f ca="1">IF(Control!$C$108=1,IF(AND(Control!$B$18=1,$EB247&gt;=Control!$B$19),$EB247-$DS247,IF(AND(Control!$B$18=2,$AW247=1,$EB247&gt;$DS247),$EB247-$DS247,0)))</f>
        <v>#N/A</v>
      </c>
      <c r="EO247" s="153" t="e">
        <f ca="1">IF(Control!$C$108=1,IF(AND(Control!$B$18=1,$EB247&gt;=Control!$B$19),$EF247,IF(AND(Control!$B$18=2,$AW247=1),$EF247,0)))</f>
        <v>#N/A</v>
      </c>
      <c r="EP247" s="153" t="e">
        <f ca="1">IF(Control!$C$108=1,IF(AND(Control!$B$18=1,$EB247&gt;=Control!$B$19),$EK247,IF(AND(Control!$B$18=2,$AW247=1),$EK247,0)))</f>
        <v>#N/A</v>
      </c>
      <c r="EQ247" s="153" t="e">
        <f t="shared" ca="1" si="851"/>
        <v>#N/A</v>
      </c>
      <c r="ER247" s="153" t="e">
        <f t="shared" ca="1" si="852"/>
        <v>#N/A</v>
      </c>
      <c r="ES247" s="153" t="e">
        <f t="shared" ca="1" si="904"/>
        <v>#N/A</v>
      </c>
      <c r="ET247" s="153" t="e">
        <f t="shared" ca="1" si="905"/>
        <v>#N/A</v>
      </c>
      <c r="EU247" s="153" t="e">
        <f t="shared" ca="1" si="853"/>
        <v>#N/A</v>
      </c>
      <c r="EV247" s="153" t="e">
        <f t="shared" ca="1" si="724"/>
        <v>#N/A</v>
      </c>
      <c r="EW247" s="153" t="e">
        <f t="shared" ca="1" si="725"/>
        <v>#N/A</v>
      </c>
      <c r="EX247" s="153" t="e">
        <f t="shared" ca="1" si="726"/>
        <v>#N/A</v>
      </c>
      <c r="EY247" s="157" t="e">
        <f t="shared" ca="1" si="727"/>
        <v>#DIV/0!</v>
      </c>
      <c r="EZ247" s="154" t="e">
        <f t="shared" ca="1" si="728"/>
        <v>#DIV/0!</v>
      </c>
      <c r="FA247" s="153" t="e">
        <f t="shared" ca="1" si="854"/>
        <v>#N/A</v>
      </c>
      <c r="FB247" s="153" t="e">
        <f t="shared" ca="1" si="729"/>
        <v>#N/A</v>
      </c>
      <c r="FC247" s="193" t="e">
        <f t="shared" ca="1" si="730"/>
        <v>#N/A</v>
      </c>
      <c r="FD247" s="158" t="e">
        <f t="shared" ca="1" si="855"/>
        <v>#N/A</v>
      </c>
      <c r="FE247" s="158" t="e">
        <f t="shared" ca="1" si="856"/>
        <v>#N/A</v>
      </c>
      <c r="FF247" s="159" t="e">
        <f t="shared" ca="1" si="731"/>
        <v>#N/A</v>
      </c>
      <c r="FG247" s="160" t="e">
        <f t="shared" ca="1" si="857"/>
        <v>#N/A</v>
      </c>
      <c r="FH247" s="158" t="e">
        <f t="shared" ca="1" si="858"/>
        <v>#N/A</v>
      </c>
      <c r="FI247" s="159" t="e">
        <f t="shared" ca="1" si="732"/>
        <v>#N/A</v>
      </c>
      <c r="FJ247" s="160" t="e">
        <f t="shared" ca="1" si="859"/>
        <v>#N/A</v>
      </c>
      <c r="FK247" s="160" t="e">
        <f t="shared" ca="1" si="733"/>
        <v>#N/A</v>
      </c>
      <c r="FL247" s="160" t="e">
        <f t="shared" ca="1" si="906"/>
        <v>#N/A</v>
      </c>
      <c r="FM247" s="160" t="e">
        <f t="shared" ca="1" si="734"/>
        <v>#N/A</v>
      </c>
      <c r="FN247" s="158">
        <f t="shared" ca="1" si="860"/>
        <v>0.01</v>
      </c>
      <c r="FO247" s="160">
        <f>Control!$C$101</f>
        <v>50</v>
      </c>
      <c r="FP247" s="150" t="e">
        <f t="shared" ca="1" si="735"/>
        <v>#N/A</v>
      </c>
      <c r="FQ247" s="150" t="e">
        <f ca="1">MAX(0,(Control!$C$112*(($DK247-Control!$C$97)/Control!$C$97)))</f>
        <v>#N/A</v>
      </c>
      <c r="FR247" s="150" t="e">
        <f ca="1">(1-$NT247)*Control!$C$113</f>
        <v>#DIV/0!</v>
      </c>
      <c r="FS247" s="198" t="e">
        <f t="shared" ca="1" si="736"/>
        <v>#N/A</v>
      </c>
      <c r="FT247" s="161">
        <f t="shared" ca="1" si="861"/>
        <v>243</v>
      </c>
      <c r="FU247" s="162" t="e">
        <f ca="1">IF(Control!$B$34=1,VLOOKUP($CP247,Control!$B$86:$G$91,6),Control!$B$35)</f>
        <v>#N/A</v>
      </c>
      <c r="FV247" s="162" t="e">
        <f t="shared" ca="1" si="737"/>
        <v>#DIV/0!</v>
      </c>
      <c r="FW247" s="162" t="e">
        <f ca="1">IF(Control!$B$31=1,$FU247*$FV247,  $FU247)</f>
        <v>#N/A</v>
      </c>
      <c r="FX247" s="162" t="e">
        <f ca="1">IF(Control!$B$34=1,VLOOKUP($CP247,Control!$B$86:$G$91,3),Control!$B$36)</f>
        <v>#N/A</v>
      </c>
      <c r="FY247" s="162" t="e">
        <f t="shared" ca="1" si="738"/>
        <v>#N/A</v>
      </c>
      <c r="FZ247" s="162" t="e">
        <f ca="1">IF(Control!$B$34=1,VLOOKUP($CP247,Control!$B$86:$G$91,4),Control!$B$37)</f>
        <v>#N/A</v>
      </c>
      <c r="GA247" s="162" t="e">
        <f t="shared" ca="1" si="739"/>
        <v>#N/A</v>
      </c>
      <c r="GB247" s="162" t="e">
        <f ca="1">IF(Control!$B$34=1,VLOOKUP($CP247,Control!$B$86:$G$91,5),Control!$B$38)</f>
        <v>#N/A</v>
      </c>
      <c r="GC247" s="162" t="e">
        <f t="shared" ca="1" si="862"/>
        <v>#N/A</v>
      </c>
      <c r="GD247" s="162">
        <f t="shared" ca="1" si="740"/>
        <v>1</v>
      </c>
      <c r="GE247" s="162">
        <f t="shared" ca="1" si="741"/>
        <v>1</v>
      </c>
      <c r="GF247" s="162">
        <f ca="1">IF(AND(Control!$C$104=1, Control!$C$62="F"),$GE247,1)</f>
        <v>1</v>
      </c>
      <c r="GG247" s="162" t="e">
        <f ca="1">IF(Control!$B$16=40,0,IF(AND(Control!$B$16&gt;40,Control!$B$16&lt;=360),(Control!$B$16-40)*((1-0)/(360-40)),IF(AND(Control!$B$16&gt;360,Control!$B$16&lt;=720),(1+(Control!$B$16-360)*((1.25-1)/(720-360))),IF(AND(Control!$B$16&gt;720,Control!$B$16&lt;=1000),(1.25+(Control!$B$16-720)*((1.35-1.25)/(1000-720))),IF(AND(Control!$B$16&gt;1000,Control!$B$16&lt;=2000),(1.35+(Control!$B$16-1000)*0))))))</f>
        <v>#N/A</v>
      </c>
      <c r="GH247" s="162" t="e">
        <f t="shared" ca="1" si="742"/>
        <v>#N/A</v>
      </c>
      <c r="GI247" s="162">
        <f t="shared" ca="1" si="863"/>
        <v>0</v>
      </c>
      <c r="GJ247" s="162">
        <f t="shared" ca="1" si="743"/>
        <v>0</v>
      </c>
      <c r="GK247" s="162">
        <f t="shared" ca="1" si="864"/>
        <v>1</v>
      </c>
      <c r="GL247" s="162">
        <f t="shared" ca="1" si="744"/>
        <v>1</v>
      </c>
      <c r="GM247" s="162" t="e">
        <f ca="1">MAX(0,MIN(1,1-Control!$C$156*(1.0001-$KH247)^2))</f>
        <v>#N/A</v>
      </c>
      <c r="GN247" s="162" t="e">
        <f ca="1">IF(Control!$B$26=1,$KU247,$KX247)</f>
        <v>#N/A</v>
      </c>
      <c r="GO247" s="162" t="e">
        <f ca="1">IF($CP247&lt;=60,Control!$C$105,IF($CP247&gt;=90,Control!$C$106,Control!$C$105+($CP247-60)*((Control!$C$106-Control!$C$105)/(90-60))))</f>
        <v>#N/A</v>
      </c>
      <c r="GP247" s="162" t="e">
        <f t="shared" ca="1" si="745"/>
        <v>#N/A</v>
      </c>
      <c r="GQ247" s="162" t="e">
        <f t="shared" ca="1" si="865"/>
        <v>#N/A</v>
      </c>
      <c r="GR247" s="163" t="e">
        <f t="shared" ca="1" si="746"/>
        <v>#DIV/0!</v>
      </c>
      <c r="GS247" s="162" t="e">
        <f t="shared" ca="1" si="747"/>
        <v>#DIV/0!</v>
      </c>
      <c r="GT247" s="164" t="e">
        <f t="shared" ca="1" si="866"/>
        <v>#N/A</v>
      </c>
      <c r="GU247" s="162" t="e">
        <f t="shared" ca="1" si="867"/>
        <v>#N/A</v>
      </c>
      <c r="GV247" s="162" t="e">
        <f t="shared" ca="1" si="748"/>
        <v>#N/A</v>
      </c>
      <c r="GW247" s="162" t="e">
        <f t="shared" ca="1" si="749"/>
        <v>#DIV/0!</v>
      </c>
      <c r="GX247" s="162" t="e">
        <f t="shared" ca="1" si="868"/>
        <v>#DIV/0!</v>
      </c>
      <c r="GY247" s="162" t="e">
        <f t="shared" ca="1" si="869"/>
        <v>#DIV/0!</v>
      </c>
      <c r="GZ247" s="165" t="e">
        <f t="shared" ca="1" si="750"/>
        <v>#N/A</v>
      </c>
      <c r="HA247" s="162" t="e">
        <f ca="1">IF(Control!$C$114=1, $DI247*$FS247, 0)</f>
        <v>#N/A</v>
      </c>
      <c r="HB247" s="162" t="e">
        <f ca="1">$FA247/Control!$C$64</f>
        <v>#N/A</v>
      </c>
      <c r="HC247" s="162" t="e">
        <f t="shared" ca="1" si="751"/>
        <v>#DIV/0!</v>
      </c>
      <c r="HD247" s="162">
        <f ca="1">-ASIN(SIN(23.45*Control!$C$139)*COS(2*Control!$C$138*($AH247+10)/365))</f>
        <v>0.13959113285883298</v>
      </c>
      <c r="HE247" s="165">
        <f t="shared" ca="1" si="870"/>
        <v>0</v>
      </c>
      <c r="HF247" s="166">
        <f ca="1">IF(AND(Control!$C$61="T",$HE247&gt;=Control!$C$103,Control!$C$114=0),$AH247,Control!$C$59)</f>
        <v>1</v>
      </c>
      <c r="HG247" s="166">
        <f ca="1">IF(AND(Control!$C$61="T",$HE247&gt;=Control!$C$103,Control!$C$114=0),$HF247,Control!$C$59)</f>
        <v>1</v>
      </c>
      <c r="HH247" s="165">
        <f ca="1">IF(AND(OR(Control!$C$60&lt;=0, $AH247= Control!$C$59, Control!$C$60 &gt;0, $AH247 = Control!$C$60)), Control!$C$59, IF(Control!$C$60&gt;0, 0))</f>
        <v>1</v>
      </c>
      <c r="HI247" s="165">
        <f ca="1">IF(AND(OR(Control!$C$60&lt;=0, $AH247= Control!$C$59, Control!$C$60 &gt;0, $AH247 = Control!$C$60)), Control!$C$60, IF(Control!$C$60&lt;=0, 0))</f>
        <v>0</v>
      </c>
      <c r="HJ247" s="166">
        <f ca="1">IF(AND(Control!$C$62="F",$CV247&gt;=Control!$C$102),$AH247,0)</f>
        <v>0</v>
      </c>
      <c r="HK247" s="165" t="e">
        <f t="shared" ca="1" si="907"/>
        <v>#N/A</v>
      </c>
      <c r="HL247" s="166">
        <f ca="1">IF(AND(Control!$C$61="T",$HE247&gt;=Control!$C$103,Control!$C$114=0),$HF247,0)</f>
        <v>0</v>
      </c>
      <c r="HM247" s="201" t="e">
        <f t="shared" ca="1" si="752"/>
        <v>#DIV/0!</v>
      </c>
      <c r="HN247" s="215">
        <f t="shared" ca="1" si="871"/>
        <v>243</v>
      </c>
      <c r="HO247" s="216" t="e">
        <f ca="1">IF(AND($CP247&gt;=0, $CP247&lt;=90), Control!$C$152, Control!$C$152)</f>
        <v>#N/A</v>
      </c>
      <c r="HP247" s="216" t="e">
        <f t="shared" ca="1" si="753"/>
        <v>#N/A</v>
      </c>
      <c r="HQ247" s="217" t="e">
        <f ca="1">IF(OR(Control!$B$26=1,Control!$B$26=2),$KV247,$KS247)</f>
        <v>#DIV/0!</v>
      </c>
      <c r="HR247" s="218" t="e">
        <f t="shared" ca="1" si="908"/>
        <v>#DIV/0!</v>
      </c>
      <c r="HS247" s="216" t="e">
        <f ca="1">Control!$C$154*$HP247</f>
        <v>#N/A</v>
      </c>
      <c r="HT247" s="216" t="e">
        <f ca="1">Control!$C$155*$HP247</f>
        <v>#N/A</v>
      </c>
      <c r="HU247" s="217" t="e">
        <f ca="1">Control!$C$161*$FI247</f>
        <v>#N/A</v>
      </c>
      <c r="HV247" s="218" t="e">
        <f t="shared" ca="1" si="872"/>
        <v>#N/A</v>
      </c>
      <c r="HW247" s="218" t="e">
        <f ca="1">Control!$C$160*$FF247+$IP247*$EO247</f>
        <v>#N/A</v>
      </c>
      <c r="HX247" s="218" t="e">
        <f t="shared" ca="1" si="909"/>
        <v>#N/A</v>
      </c>
      <c r="HY247" s="219" t="e">
        <f ca="1">IF(Control!$C$114=1, $EB247*$FS247, 0)</f>
        <v>#N/A</v>
      </c>
      <c r="HZ247" s="91" t="e">
        <f t="shared" ca="1" si="754"/>
        <v>#N/A</v>
      </c>
      <c r="IA247" s="220" t="e">
        <f ca="1">Control!$C$153*$HO247</f>
        <v>#N/A</v>
      </c>
      <c r="IB247" s="218" t="e">
        <f t="shared" ca="1" si="755"/>
        <v>#N/A</v>
      </c>
      <c r="IC247" s="220" t="e">
        <f ca="1">Control!$C$153*$HT247</f>
        <v>#N/A</v>
      </c>
      <c r="ID247" s="218" t="e">
        <f t="shared" ca="1" si="756"/>
        <v>#N/A</v>
      </c>
      <c r="IE247" s="221" t="e">
        <f ca="1">($EB247*Control!$C$159+$EF247*Control!$C$160)/(IF($GZ247&lt;&gt;0,$GZ247,1))</f>
        <v>#N/A</v>
      </c>
      <c r="IF247" s="216" t="e">
        <f t="shared" ca="1" si="757"/>
        <v>#N/A</v>
      </c>
      <c r="IG247" s="91">
        <f ca="1">IF(OR(Control!$B$198=$AH247,Control!$B$199=$AH247, Control!$B$200=$AH247, Control!$B$201=$AH247, Control!$B$202=$AH247, Control!$B$203=$AH247, Control!$B$204=$AH247, Control!$B$205=$AH247, Control!$B$206=$AH247, Control!$B$207=$AH247), 1, 0)</f>
        <v>0</v>
      </c>
      <c r="IH247" s="91">
        <f ca="1">IF($IG247=0,0, VLOOKUP($AH247,Control!$B$198:$C$207,2))</f>
        <v>0</v>
      </c>
      <c r="II247" s="222">
        <f t="shared" ca="1" si="873"/>
        <v>0</v>
      </c>
      <c r="IJ247" s="91">
        <f>Control!$C$121</f>
        <v>0.7</v>
      </c>
      <c r="IK247" s="218">
        <f t="shared" ca="1" si="758"/>
        <v>0</v>
      </c>
      <c r="IL247" s="217" t="e">
        <f t="shared" ca="1" si="910"/>
        <v>#N/A</v>
      </c>
      <c r="IM247" s="223" t="e">
        <f ca="1">IF(AND(Control!$C$114=1,$KH247&lt;1),$EB247*Control!$C$148*(1-$KH247), 0)</f>
        <v>#N/A</v>
      </c>
      <c r="IN247" s="217" t="e">
        <f t="shared" ca="1" si="759"/>
        <v>#DIV/0!</v>
      </c>
      <c r="IO247" s="91" t="e">
        <f ca="1">MAX(0,$IL247-$EF247*Control!$C$160)</f>
        <v>#N/A</v>
      </c>
      <c r="IP247" s="220" t="e">
        <f t="shared" ca="1" si="760"/>
        <v>#N/A</v>
      </c>
      <c r="IQ247" s="217" t="e">
        <f t="shared" ca="1" si="874"/>
        <v>#N/A</v>
      </c>
      <c r="IR247" s="218" t="e">
        <f t="shared" ca="1" si="761"/>
        <v>#N/A</v>
      </c>
      <c r="IS247" s="217" t="e">
        <f ca="1">Control!$C$159*MAX(0,$FD247-$EN247)</f>
        <v>#N/A</v>
      </c>
      <c r="IT247" s="217" t="e">
        <f t="shared" ca="1" si="911"/>
        <v>#N/A</v>
      </c>
      <c r="IU247" s="217" t="e">
        <f t="shared" ca="1" si="875"/>
        <v>#N/A</v>
      </c>
      <c r="IV247" s="217" t="e">
        <f t="shared" ca="1" si="912"/>
        <v>#N/A</v>
      </c>
      <c r="IW247" s="217" t="e">
        <f ca="1">IF(OR($AW247=1,AND($AW247=0, Control!$B$18=1,$EN247&lt;&gt;0)), $IQ247-$IU247, $IQ247)</f>
        <v>#N/A</v>
      </c>
      <c r="IX247" s="218" t="e">
        <f t="shared" ca="1" si="762"/>
        <v>#N/A</v>
      </c>
      <c r="IY247" s="218" t="e">
        <f ca="1">MAX(0,$IQ247-$EB247*Control!$C$159)</f>
        <v>#N/A</v>
      </c>
      <c r="IZ247" s="218" t="e">
        <f t="shared" ca="1" si="763"/>
        <v>#N/A</v>
      </c>
      <c r="JA247" s="216" t="e">
        <f t="shared" ca="1" si="764"/>
        <v>#N/A</v>
      </c>
      <c r="JB247" s="217" t="e">
        <f t="shared" ca="1" si="765"/>
        <v>#N/A</v>
      </c>
      <c r="JC247" s="222" t="e">
        <f ca="1">MAX(Control!$C$157*$EK247-$JT247, 0)/Control!$C$162</f>
        <v>#N/A</v>
      </c>
      <c r="JD247" s="218" t="e">
        <f t="shared" ca="1" si="766"/>
        <v>#N/A</v>
      </c>
      <c r="JE247" s="218" t="e">
        <f t="shared" ca="1" si="767"/>
        <v>#N/A</v>
      </c>
      <c r="JF247" s="218" t="e">
        <f t="shared" ca="1" si="876"/>
        <v>#N/A</v>
      </c>
      <c r="JG247" s="218" t="e">
        <f t="shared" ca="1" si="768"/>
        <v>#N/A</v>
      </c>
      <c r="JH247" s="217" t="e">
        <f t="shared" ca="1" si="877"/>
        <v>#N/A</v>
      </c>
      <c r="JI247" s="217" t="e">
        <f t="shared" ca="1" si="878"/>
        <v>#N/A</v>
      </c>
      <c r="JJ247" s="217" t="e">
        <f t="shared" ca="1" si="913"/>
        <v>#N/A</v>
      </c>
      <c r="JK247" s="217" t="e">
        <f ca="1">IF(Control!$C$114=1,IF(Control!$B$24=0,MAX(0,$JI247)*$GN247/Control!$C$64,(MAX(0,MIN($JI247,$JJ247*$GN247/Control!$C$64),0))))</f>
        <v>#N/A</v>
      </c>
      <c r="JL247" s="217" t="e">
        <f ca="1">$IK247/Control!$C$64-$JK247+$HQ247</f>
        <v>#N/A</v>
      </c>
      <c r="JM247" s="217" t="e">
        <f ca="1">IF(Control!$C$114=1,($JB247/(IF($JI247&lt;&gt;0,$JI247,1)))*$JK247,0)</f>
        <v>#N/A</v>
      </c>
      <c r="JN247" s="217" t="e">
        <f ca="1">IF(Control!$C$114=1,($JG247/(IF($JI247&lt;&gt;0,$JI247,1)))*$JK247, 0)</f>
        <v>#N/A</v>
      </c>
      <c r="JO247" s="218" t="e">
        <f t="shared" ca="1" si="769"/>
        <v>#N/A</v>
      </c>
      <c r="JP247" s="218" t="e">
        <f ca="1">MIN(($IY247+$IO247)*Control!$C$151, $JF247-$EH247*Control!$C$161)</f>
        <v>#N/A</v>
      </c>
      <c r="JQ247" s="218" t="e">
        <f t="shared" ca="1" si="770"/>
        <v>#N/A</v>
      </c>
      <c r="JR247" s="217" t="e">
        <f ca="1">IF($CP247-Control!$C$150&lt;0, 0, $JQ247/Control!$C$162)</f>
        <v>#N/A</v>
      </c>
      <c r="JS247" s="218" t="e">
        <f t="shared" ca="1" si="771"/>
        <v>#N/A</v>
      </c>
      <c r="JT247" s="218" t="e">
        <f t="shared" ca="1" si="879"/>
        <v>#N/A</v>
      </c>
      <c r="JU247" s="218" t="e">
        <f t="shared" ca="1" si="772"/>
        <v>#N/A</v>
      </c>
      <c r="JV247" s="218" t="e">
        <f t="shared" ca="1" si="773"/>
        <v>#N/A</v>
      </c>
      <c r="JW247" s="216" t="e">
        <f t="shared" ca="1" si="774"/>
        <v>#N/A</v>
      </c>
      <c r="JX247" s="91" t="e">
        <f t="shared" ca="1" si="775"/>
        <v>#N/A</v>
      </c>
      <c r="JY247" s="218" t="e">
        <f t="shared" ca="1" si="776"/>
        <v>#N/A</v>
      </c>
      <c r="JZ247" s="217" t="e">
        <f ca="1">IF(Control!$C$114=1,($IZ247/(IF($JI247&lt;&gt;0,$JI247,1)))*$JK247, 0)</f>
        <v>#N/A</v>
      </c>
      <c r="KA247" s="218" t="e">
        <f t="shared" ca="1" si="914"/>
        <v>#N/A</v>
      </c>
      <c r="KB247" s="218" t="e">
        <f t="shared" ca="1" si="880"/>
        <v>#N/A</v>
      </c>
      <c r="KC247" s="218" t="e">
        <f t="shared" ca="1" si="777"/>
        <v>#N/A</v>
      </c>
      <c r="KD247" s="218" t="e">
        <f t="shared" ca="1" si="778"/>
        <v>#N/A</v>
      </c>
      <c r="KE247" s="218" t="e">
        <f t="shared" ca="1" si="779"/>
        <v>#N/A</v>
      </c>
      <c r="KF247" s="218" t="e">
        <f t="shared" ca="1" si="780"/>
        <v>#N/A</v>
      </c>
      <c r="KG247" s="216" t="e">
        <f t="shared" ca="1" si="781"/>
        <v>#N/A</v>
      </c>
      <c r="KH247" s="221" t="e">
        <f ca="1">IF(Control!$B$24=0,1,MAX(0.001,MIN(1,IF(($IF247-$IE247)&lt;&gt;0,($KG247-$IE247)/($IF247-$IE247),1))))</f>
        <v>#N/A</v>
      </c>
      <c r="KI247" s="222" t="e">
        <f ca="1">IF(Control!$C$114=1, $KI246+ $KH246, 0)</f>
        <v>#N/A</v>
      </c>
      <c r="KJ247" s="217" t="e">
        <f t="shared" ca="1" si="782"/>
        <v>#N/A</v>
      </c>
      <c r="KK247" s="218" t="e">
        <f t="shared" ca="1" si="783"/>
        <v>#N/A</v>
      </c>
      <c r="KL247" s="274" t="e">
        <f ca="1">IF(Control!$B$26=3,4000000000*EXP(-8400/($G247+273)),IF(Control!$B$26=4,4000000000*EXP(-8400/($G247+273))*($KT247),0))</f>
        <v>#DIV/0!</v>
      </c>
      <c r="KM247" s="274" t="e">
        <f ca="1">IF(Control!$B$26=3,5600000000000*EXP(-9800/($G247+273)),IF(Control!$B$26=4,5600000000000*EXP(-9800/($G247+273))*$KT247,0))</f>
        <v>#DIV/0!</v>
      </c>
      <c r="KN247" s="454" t="e">
        <f t="shared" ca="1" si="881"/>
        <v>#DIV/0!</v>
      </c>
      <c r="KO247" s="274" t="e">
        <f t="shared" ca="1" si="882"/>
        <v>#DIV/0!</v>
      </c>
      <c r="KP247" s="454" t="e">
        <f t="shared" ca="1" si="784"/>
        <v>#DIV/0!</v>
      </c>
      <c r="KQ247" s="454" t="e">
        <f t="shared" ca="1" si="785"/>
        <v>#DIV/0!</v>
      </c>
      <c r="KR247" s="454" t="e">
        <f t="shared" ca="1" si="786"/>
        <v>#DIV/0!</v>
      </c>
      <c r="KS247" s="454" t="e">
        <f t="shared" ca="1" si="787"/>
        <v>#DIV/0!</v>
      </c>
      <c r="KT247" s="455" t="e">
        <f t="shared" ca="1" si="788"/>
        <v>#DIV/0!</v>
      </c>
      <c r="KU247" s="456" t="e">
        <f ca="1">IF($CP247-Control!$C$149&lt;0, IF($NT247-0.01&lt;0,0,1),0)</f>
        <v>#N/A</v>
      </c>
      <c r="KV247" s="456" t="e">
        <f ca="1">IF(Control!$C$114=1,MAX(0,MIN(Control!$C$125*$KW247*$GN247,$KW247)))</f>
        <v>#DIV/0!</v>
      </c>
      <c r="KW247" s="456" t="e">
        <f t="shared" ca="1" si="915"/>
        <v>#DIV/0!</v>
      </c>
      <c r="KX247" s="457" t="e">
        <f ca="1">IF($CP247-Control!$C$149&lt;0, IF($MR247-$OM247&lt;0,0,1),0)</f>
        <v>#N/A</v>
      </c>
      <c r="KY247" s="167">
        <f t="shared" ca="1" si="883"/>
        <v>243</v>
      </c>
      <c r="KZ247" s="168">
        <f ca="1">1370*(1+0.033*COS(2*Control!$C$138*$AH247/365))</f>
        <v>1347.1710924287697</v>
      </c>
      <c r="LA247" s="169">
        <f t="shared" ca="1" si="884"/>
        <v>0.98333628519418981</v>
      </c>
      <c r="LB247" s="169">
        <f t="shared" ca="1" si="885"/>
        <v>0.13968431591414338</v>
      </c>
      <c r="LC247" s="169">
        <f ca="1">ACOS(-TAN((2*Control!$B$8/360))*TAN(Calculations!$LB247))</f>
        <v>1.612595244438944</v>
      </c>
      <c r="LD247" s="169">
        <f ca="1">((24*60)/PI())*0.082*$LA247*(($LC247*SIN(Control!$B$8*2*PI()/360))*SIN($LB247)+COS(Control!$B$8*2*PI()/360)*COS($LB247)*SIN($LC247))</f>
        <v>29.052494305629992</v>
      </c>
      <c r="LE247" s="170">
        <f t="shared" ca="1" si="789"/>
        <v>29.331813708944516</v>
      </c>
      <c r="LF247" s="170">
        <f ca="1">SIN(Control!$C$139*Control!$B$8)*SIN($HD247)</f>
        <v>0.10964260816988829</v>
      </c>
      <c r="LG247" s="170">
        <f ca="1">COS(Control!$C$139*Control!$B$8)*COS($HD247)</f>
        <v>0.60967126035055064</v>
      </c>
      <c r="LH247" s="170">
        <f ca="1">12*(1+2*ASIN(MAX(-1,MIN(1,$LF247/$LG247))/Control!$C$138))</f>
        <v>13.374616222945072</v>
      </c>
      <c r="LI247" s="170">
        <f ca="1">12*(1+2*ASIN(MAX(-1,MIN(1,(-SIN(-4*Control!$C$139)+$LF247)/$LG247))/Control!$C$138))</f>
        <v>14.251242630603365</v>
      </c>
      <c r="LJ247" s="168">
        <f ca="1">3600*($LH247*$LF247+24*$LG247*SQRT(1-$LK247*$LK247)/Control!$C$138)</f>
        <v>21772.894232805404</v>
      </c>
      <c r="LK247" s="170">
        <f t="shared" ca="1" si="790"/>
        <v>0.17983889892865484</v>
      </c>
      <c r="LL247" s="170">
        <f t="shared" ca="1" si="791"/>
        <v>0</v>
      </c>
      <c r="LM247" s="171">
        <f ca="1">Control!$C$145*$AB247</f>
        <v>6.6660906138995932E-2</v>
      </c>
      <c r="LN247" s="170">
        <f t="shared" ca="1" si="886"/>
        <v>0.54</v>
      </c>
      <c r="LO247" s="170">
        <f t="shared" ca="1" si="792"/>
        <v>0</v>
      </c>
      <c r="LP247" s="170">
        <f ca="1">Control!$C$140*((($D247+273.16)^4+($E247+273.16)^4)/2)*(0.34-0.14*SQRT($Y247))*(1.35*$AQ247/(0.75*$LD247)-0.35)</f>
        <v>-3.2464704755046001</v>
      </c>
      <c r="LQ247" s="170">
        <f ca="1">Control!$C$140*($G247+273)^4*(0.56-0.079*SQRT($Y247*10))*(0.1+0.9*$LO247)</f>
        <v>1.5241745131704001</v>
      </c>
      <c r="LR247" s="170">
        <f ca="1">$AQ247*(1-Control!$C$142)-$LQ247</f>
        <v>-1.5241745131704001</v>
      </c>
      <c r="LS247" s="170">
        <f ca="1">$AQ247*(1-Control!$C$143)-$LQ247</f>
        <v>-1.5241745131704001</v>
      </c>
      <c r="LT247" s="170">
        <f ca="1">$AQ247*(1-Control!$C$144)-$LQ247</f>
        <v>-1.5241745131704001</v>
      </c>
      <c r="LU247" s="169">
        <f ca="1">(1-Control!$C$144)*AQ247-LP247</f>
        <v>3.2464704755046001</v>
      </c>
      <c r="LV247" s="172">
        <f t="shared" ca="1" si="793"/>
        <v>0.79430000000000012</v>
      </c>
      <c r="LW247" s="170">
        <f t="shared" ca="1" si="794"/>
        <v>1.5886000000000002</v>
      </c>
      <c r="LX247" s="170">
        <f ca="1">($AC247*($LR247/Control!$C$141)+$LM247*$LV247)/($AC247+$LM247)</f>
        <v>0.23530094218323697</v>
      </c>
      <c r="LY247" s="170">
        <f ca="1">($AC247*($LS247/Control!$C$141)+$LM247*$LV247)/($AC247+$LM247)</f>
        <v>0.23530094218323697</v>
      </c>
      <c r="LZ247" s="170">
        <f t="shared" ca="1" si="795"/>
        <v>0.23530094218323697</v>
      </c>
      <c r="MA247" s="170">
        <f t="shared" ca="1" si="796"/>
        <v>0.23530094218323697</v>
      </c>
      <c r="MB247" s="170" t="e">
        <f t="shared" ca="1" si="797"/>
        <v>#N/A</v>
      </c>
      <c r="MC247" s="170">
        <f t="shared" ca="1" si="887"/>
        <v>0.6018</v>
      </c>
      <c r="MD247" s="170">
        <f t="shared" ca="1" si="798"/>
        <v>0.52989392535414004</v>
      </c>
      <c r="ME247" s="170">
        <f ca="1">($AC247*($LT247/Control!$C$141)+$LM247*$LW247)/($AC247+$LM247)</f>
        <v>0.71612369323045078</v>
      </c>
      <c r="MF247" s="170" t="e">
        <f ca="1">IF(Control!$B$16&gt;=1000,0.92,IF(AND(720&lt;=Control!$B$16,1000&gt;Control!$B$16),(0.95+(Control!$B$16-720)*((0.92-0.95)/(1000-720))),IF(AND(360&lt;=Control!$B$16,720&gt;Control!$B$16),(1+(Control!$B$16-360)*((0.95-1)/(720-360))),IF(AND(40&lt;=Control!$B$16,360&gt;Control!$B$16),(1.05+(Control!$B$16-40)*((1.05-1)/(360-40)))))))</f>
        <v>#N/A</v>
      </c>
      <c r="MG247" s="170">
        <f t="shared" ca="1" si="799"/>
        <v>0.71612369323045078</v>
      </c>
      <c r="MH247" s="170" t="e">
        <f t="shared" ca="1" si="926"/>
        <v>#N/A</v>
      </c>
      <c r="MI247" s="170" t="e">
        <f t="shared" ca="1" si="926"/>
        <v>#N/A</v>
      </c>
      <c r="MJ247" s="170" t="e">
        <f ca="1">MAX(0.0001, Control!$C$132*$MI247*$DL247)</f>
        <v>#N/A</v>
      </c>
      <c r="MK247" s="170">
        <f ca="1">1/(0.76+1.5*($MG247/10))-(5-Control!$C$110)*0.1</f>
        <v>1.002845988140797</v>
      </c>
      <c r="ML247" s="173">
        <f ca="1">IF(Control!$C$110&lt;3,$MK247+($MG247-0.6)/(Control!$C$110*(Control!$C$110+3)), MAX(0.1, MIN(0.95,$MK247)))</f>
        <v>0.95</v>
      </c>
      <c r="MM247" s="173">
        <f ca="1">IF(Control!$C$110&lt;3,$MK247+(($MI247/10)-0.6)/(Control!$C$110*(Control!$C$110+3)), MAX(0.1, MIN(0.95,$MK247)))</f>
        <v>0.95</v>
      </c>
      <c r="MN247" s="173">
        <f ca="1">(1-$MM247)*(Control!$C$128-Control!$C$127)+Control!$C$127</f>
        <v>0.16</v>
      </c>
      <c r="MO247" s="170" t="e">
        <f ca="1">MAX(0,MIN(1,($MS247-Control!$C$127)/($MN247-Control!$C$127)))</f>
        <v>#DIV/0!</v>
      </c>
      <c r="MP247" s="173" t="e">
        <f ca="1">1/(0.76+1.5*$MI247)-(5-Control!$C$110)*0.1</f>
        <v>#N/A</v>
      </c>
      <c r="MQ247" s="172" t="e">
        <f t="shared" ca="1" si="916"/>
        <v>#DIV/0!</v>
      </c>
      <c r="MR247" s="168" t="e">
        <f t="shared" ca="1" si="888"/>
        <v>#DIV/0!</v>
      </c>
      <c r="MS247" s="173" t="e">
        <f ca="1">MAX(Control!$C$127, MIN(Control!$C$135, $MR247/MAX(0.0001,$CY247)))</f>
        <v>#DIV/0!</v>
      </c>
      <c r="MT247" s="168" t="e">
        <f ca="1">(Control!$C$128-$MS247)*Control!$C$74</f>
        <v>#DIV/0!</v>
      </c>
      <c r="MU247" s="168" t="e">
        <f ca="1">(Control!$C$135-$MS247)*Control!$C$74</f>
        <v>#DIV/0!</v>
      </c>
      <c r="MV247" s="168" t="e">
        <f t="shared" ca="1" si="889"/>
        <v>#DIV/0!</v>
      </c>
      <c r="MW247" s="168" t="e">
        <f t="shared" ca="1" si="890"/>
        <v>#DIV/0!</v>
      </c>
      <c r="MX247" s="171" t="e">
        <f ca="1">MAX(Control!$C$127, MIN(Control!$C$135, $MW247/MAX(0.0001,Control!$C$119-$CY247)))</f>
        <v>#DIV/0!</v>
      </c>
      <c r="MY247" s="54" t="e">
        <f ca="1">IF(Control!$C$114=1, $CX247*$MX247, 0)</f>
        <v>#DIV/0!</v>
      </c>
      <c r="MZ247" s="54" t="e">
        <f t="shared" ca="1" si="891"/>
        <v>#N/A</v>
      </c>
      <c r="NA247" s="168" t="e">
        <f ca="1">(Control!$C$128-$MX247)*(Control!$C$119-Control!$C$74)</f>
        <v>#DIV/0!</v>
      </c>
      <c r="NB247" s="168" t="e">
        <f ca="1">(Control!$C$135-$MX247)*(Control!$C$119-Control!$C$74)</f>
        <v>#DIV/0!</v>
      </c>
      <c r="NC247" s="174" t="e">
        <f t="shared" ca="1" si="892"/>
        <v>#DIV/0!</v>
      </c>
      <c r="ND247" s="54">
        <f ca="1">IF(Control!$C$58=2, IF(OR(Control!$B$218=$AH247,Control!$B$219=$AH247, Control!$B$220=$AH247, Control!$B$221=$AH247, Control!$B$222=$AH247, Control!$B$223=$AH247, Control!$B$224=$AH247, Control!$B$225=$AH247, Control!$B$226=$AH247, Control!$B$227=$AH247, Control!$B$228=$AH247), 1, 0), 0)</f>
        <v>0</v>
      </c>
      <c r="NE247" s="54">
        <f ca="1">IF($ND247=0,0, VLOOKUP($AH247,Control!$B$218:$C$228,2))</f>
        <v>0</v>
      </c>
      <c r="NF247" s="168" t="e">
        <f ca="1">$CY247*(Control!$C$128-Control!$C$127)</f>
        <v>#N/A</v>
      </c>
      <c r="NG247" s="54" t="e">
        <f ca="1">IF(Control!$C$58=2, $NI246-$NJ246, 0)</f>
        <v>#DIV/0!</v>
      </c>
      <c r="NH247" s="54" t="e">
        <f ca="1">IF(AND(Control!$C$58=1, $MS246&lt;= ($MN246+0.02), $I246&lt;10), 0, IF(Control!$C$58=2, $NG246, 0))</f>
        <v>#DIV/0!</v>
      </c>
      <c r="NI247" s="54" t="e">
        <f ca="1">IF(Control!$C$58=2, $NE247+$NH247,0)</f>
        <v>#DIV/0!</v>
      </c>
      <c r="NJ247" s="54" t="e">
        <f ca="1">IF(AND(Control!$C$58=1, $MS247&lt;= ($MN247+0.02), $I247&lt;10), MAX(0, MIN(10, 0.7*($NF247-$MV247))), IF(Control!$C$58=2, MIN(10,$NI247),0))</f>
        <v>#DIV/0!</v>
      </c>
      <c r="NK247" s="54" t="e">
        <f t="shared" ca="1" si="800"/>
        <v>#DIV/0!</v>
      </c>
      <c r="NL247" s="173" t="e">
        <f ca="1">(1-Control!$C$73)*$I247+$NJ247</f>
        <v>#DIV/0!</v>
      </c>
      <c r="NM247" s="172" t="e">
        <f ca="1">IF($NL247&lt;0.5, $MB247* MAX(0, MIN(1, (SQRT($NC247)-SQRT($NC247-1))*Control!$C$71)),0)</f>
        <v>#DIV/0!</v>
      </c>
      <c r="NN247" s="170" t="e">
        <f ca="1">IF($NL247&gt;=5, $MB247, MAX(0,MIN($MB247, $NM247+$NL247,($MS247-Control!$C$129))))</f>
        <v>#DIV/0!</v>
      </c>
      <c r="NO247" s="54">
        <f>IF(Control!$C$133&lt;&gt;1, Control!$C$135-Control!$C$131, 0)</f>
        <v>0.38</v>
      </c>
      <c r="NP247" s="54" t="e">
        <f t="shared" ca="1" si="801"/>
        <v>#DIV/0!</v>
      </c>
      <c r="NQ247" s="173" t="e">
        <f ca="1">MAX(0,MIN(1,(Control!$C$135-$MS247)/(Control!$C$135-$NO247)))</f>
        <v>#DIV/0!</v>
      </c>
      <c r="NR247" s="170" t="e">
        <f ca="1">IF(Control!$C$133&lt;&gt;1, $NQ247+((1-$NP247/4)*(1-$NQ247)),1)</f>
        <v>#DIV/0!</v>
      </c>
      <c r="NS247" s="170" t="e">
        <f ca="1">IF(Control!$B$31=0,$MJ247,MAX(0,MIN($MV247,$MO247*$NR247*$MJ247)))</f>
        <v>#DIV/0!</v>
      </c>
      <c r="NT247" s="170" t="e">
        <f t="shared" ca="1" si="917"/>
        <v>#DIV/0!</v>
      </c>
      <c r="NU247" s="170" t="e">
        <f t="shared" ca="1" si="893"/>
        <v>#N/A</v>
      </c>
      <c r="NV247" s="170" t="e">
        <f t="shared" ca="1" si="802"/>
        <v>#N/A</v>
      </c>
      <c r="NW247" s="175" t="e">
        <f t="shared" ca="1" si="803"/>
        <v>#DIV/0!</v>
      </c>
      <c r="NX247" s="170" t="e">
        <f ca="1">MIN(Control!$C$72+$MU247, $NW247)</f>
        <v>#DIV/0!</v>
      </c>
      <c r="NY247" s="170" t="e">
        <f ca="1">IF($MT247&lt;=$NX247,MIN(Control!$C$72+$NB247,$NX247-$MT247),0)</f>
        <v>#DIV/0!</v>
      </c>
      <c r="NZ247" s="54" t="e">
        <f ca="1">IF(Control!$C$114=1,  $CX247*($MX247-Control!$C$127), 0)</f>
        <v>#DIV/0!</v>
      </c>
      <c r="OA247" s="170" t="e">
        <f t="shared" ca="1" si="804"/>
        <v>#DIV/0!</v>
      </c>
      <c r="OB247" s="170" t="e">
        <f ca="1">IF($NA247 &lt;=$NY247, MIN(Control!$C$72, $NY247-$NA247), 0)</f>
        <v>#DIV/0!</v>
      </c>
      <c r="OC247" s="168" t="e">
        <f t="shared" ca="1" si="805"/>
        <v>#DIV/0!</v>
      </c>
      <c r="OD247" s="168" t="e">
        <f t="shared" ca="1" si="894"/>
        <v>#DIV/0!</v>
      </c>
      <c r="OE247" s="170">
        <f ca="1">Control!$C$73*$I247</f>
        <v>0</v>
      </c>
      <c r="OF247" s="176" t="e">
        <f t="shared" ca="1" si="806"/>
        <v>#DIV/0!</v>
      </c>
      <c r="OG247" s="168" t="e">
        <f t="shared" ca="1" si="807"/>
        <v>#DIV/0!</v>
      </c>
      <c r="OH247" s="168" t="e">
        <f t="shared" ca="1" si="808"/>
        <v>#DIV/0!</v>
      </c>
      <c r="OI247" s="168" t="e">
        <f t="shared" ca="1" si="809"/>
        <v>#DIV/0!</v>
      </c>
      <c r="OJ247" s="168" t="e">
        <f t="shared" ca="1" si="810"/>
        <v>#DIV/0!</v>
      </c>
      <c r="OK247" s="204" t="e">
        <f t="shared" ca="1" si="811"/>
        <v>#DIV/0!</v>
      </c>
      <c r="OL247" s="177">
        <f>Control!$C$127</f>
        <v>0.15</v>
      </c>
      <c r="OM247" s="182" t="e">
        <f t="shared" ca="1" si="812"/>
        <v>#N/A</v>
      </c>
      <c r="ON247" s="177">
        <f>Control!$C$128</f>
        <v>0.35</v>
      </c>
      <c r="OO247" s="182" t="e">
        <f t="shared" ca="1" si="813"/>
        <v>#N/A</v>
      </c>
      <c r="OP247" s="138">
        <f t="shared" ca="1" si="895"/>
        <v>0</v>
      </c>
      <c r="OQ247" s="138" t="e">
        <f t="shared" ca="1" si="918"/>
        <v>#DIV/0!</v>
      </c>
      <c r="OR247" s="138" t="e">
        <f t="shared" ca="1" si="896"/>
        <v>#DIV/0!</v>
      </c>
      <c r="OS247" s="137" t="e">
        <f t="shared" ca="1" si="919"/>
        <v>#DIV/0!</v>
      </c>
      <c r="OT247" s="139" t="e">
        <f t="shared" ca="1" si="920"/>
        <v>#DIV/0!</v>
      </c>
      <c r="OU247" s="138" t="e">
        <f t="shared" ca="1" si="921"/>
        <v>#N/A</v>
      </c>
      <c r="OV247" s="138" t="e">
        <f t="shared" ca="1" si="922"/>
        <v>#DIV/0!</v>
      </c>
      <c r="OW247" s="138" t="e">
        <f t="shared" ca="1" si="897"/>
        <v>#DIV/0!</v>
      </c>
      <c r="OX247" s="138" t="e">
        <f t="shared" ca="1" si="898"/>
        <v>#DIV/0!</v>
      </c>
      <c r="OY247" s="138" t="e">
        <f t="shared" ca="1" si="899"/>
        <v>#DIV/0!</v>
      </c>
      <c r="OZ247" s="138" t="e">
        <f t="shared" ca="1" si="814"/>
        <v>#DIV/0!</v>
      </c>
      <c r="PA247" s="138" t="e">
        <f t="shared" ca="1" si="815"/>
        <v>#DIV/0!</v>
      </c>
      <c r="PB247" s="55">
        <f>IF(Control!$C$61="T", IF(Control!$C$65="F", IF($AH$6-Control!$C$60&lt;0,0,1), IF(365+$AH$6-Control!$C$60&lt;0,0,1)),0)</f>
        <v>0</v>
      </c>
      <c r="PC247" s="55">
        <f ca="1">IF(Control!$C$65="F", IF($AH$6-$HF247&lt;0,0,1), IF(365+$AH$6-$HF247&lt;0,0,1))</f>
        <v>1</v>
      </c>
      <c r="PD247" s="444">
        <f>Control!$C$118</f>
        <v>1500</v>
      </c>
      <c r="PE247" s="180" t="e">
        <f t="shared" ca="1" si="816"/>
        <v>#N/A</v>
      </c>
      <c r="PF247" s="445">
        <f t="shared" ca="1" si="900"/>
        <v>0.71612369323045078</v>
      </c>
      <c r="PT247" s="186"/>
      <c r="PU247" s="186"/>
      <c r="PV247" s="94"/>
      <c r="PW247" s="94"/>
      <c r="PX247" s="94"/>
      <c r="PY247" s="94"/>
      <c r="PZ247" s="94"/>
      <c r="QA247" s="94"/>
      <c r="QB247" s="94"/>
      <c r="QC247" s="94"/>
      <c r="QD247" s="94"/>
      <c r="QE247" s="94"/>
      <c r="QF247" s="94"/>
      <c r="QG247" s="94"/>
      <c r="QH247" s="94"/>
      <c r="QI247" s="94"/>
      <c r="QJ247" s="94"/>
      <c r="QK247" s="94"/>
      <c r="QL247" s="94"/>
      <c r="QM247" s="94"/>
      <c r="QN247" s="94"/>
      <c r="QO247" s="94"/>
      <c r="QP247" s="94"/>
    </row>
    <row r="248" spans="1:458" s="2" customFormat="1" x14ac:dyDescent="0.2">
      <c r="A248" s="395">
        <v>31</v>
      </c>
      <c r="B248" s="396">
        <v>8</v>
      </c>
      <c r="C248" s="387">
        <f ca="1">Weather_data!$B247</f>
        <v>0</v>
      </c>
      <c r="D248" s="388">
        <f ca="1">Weather_data!$F247</f>
        <v>0</v>
      </c>
      <c r="E248" s="388">
        <f ca="1">Weather_data!$E247</f>
        <v>0</v>
      </c>
      <c r="F248" s="388">
        <f t="shared" ca="1" si="817"/>
        <v>0</v>
      </c>
      <c r="G248" s="388">
        <f ca="1">AVERAGE($D248:$E248)+Control!$B$9</f>
        <v>0</v>
      </c>
      <c r="H248" s="388">
        <f ca="1">Weather_data!$G247</f>
        <v>0</v>
      </c>
      <c r="I248" s="388">
        <f ca="1">Weather_data!$I247</f>
        <v>0</v>
      </c>
      <c r="J248" s="388">
        <f ca="1">Weather_data!$H247</f>
        <v>0</v>
      </c>
      <c r="K248" s="389">
        <f ca="1">Weather_data!$D247</f>
        <v>0</v>
      </c>
      <c r="L248" s="388" t="e">
        <f t="shared" ca="1" si="818"/>
        <v>#N/A</v>
      </c>
      <c r="M248" s="388" t="e">
        <f t="shared" ca="1" si="696"/>
        <v>#N/A</v>
      </c>
      <c r="N248" s="388">
        <f t="shared" ca="1" si="697"/>
        <v>-4.2233520871276033E-12</v>
      </c>
      <c r="O248" s="388">
        <f t="shared" ca="1" si="819"/>
        <v>4.223352087127603E-11</v>
      </c>
      <c r="P248" s="390">
        <v>3</v>
      </c>
      <c r="Q248" s="388">
        <f ca="1">MAX($G248-Control!$C$107,0)</f>
        <v>0</v>
      </c>
      <c r="R248" s="388">
        <f t="shared" ca="1" si="820"/>
        <v>0</v>
      </c>
      <c r="S248" s="388">
        <f t="shared" ca="1" si="698"/>
        <v>0</v>
      </c>
      <c r="T248" s="388">
        <f t="shared" ca="1" si="699"/>
        <v>0</v>
      </c>
      <c r="U248" s="59">
        <f t="shared" ca="1" si="700"/>
        <v>0</v>
      </c>
      <c r="V248" s="391">
        <f ca="1">MAX(0,MIN(Control!$C$100-Control!$C$99,$G248-Control!$C$99)*Control!$C$63)</f>
        <v>0</v>
      </c>
      <c r="W248" s="388">
        <f t="shared" ca="1" si="821"/>
        <v>0</v>
      </c>
      <c r="X248" s="388">
        <f t="shared" ca="1" si="822"/>
        <v>0.6110000000000001</v>
      </c>
      <c r="Y248" s="388">
        <f t="shared" ca="1" si="701"/>
        <v>0</v>
      </c>
      <c r="Z248" s="388">
        <f t="shared" ca="1" si="823"/>
        <v>0.61058800000000002</v>
      </c>
      <c r="AA248" s="388">
        <f t="shared" ca="1" si="702"/>
        <v>0.6018</v>
      </c>
      <c r="AB248" s="388">
        <f ca="1">101.3*EXP(-0.034*Control!$C$66/($G248+273))</f>
        <v>100.69623283836242</v>
      </c>
      <c r="AC248" s="392">
        <f t="shared" ca="1" si="703"/>
        <v>4.3460251046025113E-2</v>
      </c>
      <c r="AD248" s="392">
        <f t="shared" ca="1" si="704"/>
        <v>4.4450382862832649E-2</v>
      </c>
      <c r="AE248" s="388">
        <f t="shared" ca="1" si="705"/>
        <v>0</v>
      </c>
      <c r="AF248" s="388">
        <f ca="1">MAX(0,$G248-Control!$C$92)</f>
        <v>0</v>
      </c>
      <c r="AG248" s="393">
        <f t="shared" ca="1" si="706"/>
        <v>244</v>
      </c>
      <c r="AH248" s="389">
        <f t="shared" ca="1" si="707"/>
        <v>244</v>
      </c>
      <c r="AI248" s="388">
        <f t="shared" ca="1" si="824"/>
        <v>0.13309247776396274</v>
      </c>
      <c r="AJ248" s="388">
        <f ca="1">IF(Control!$C$60&lt;=0,$HH248,$HI248)</f>
        <v>1</v>
      </c>
      <c r="AK248" s="388">
        <f t="shared" ca="1" si="708"/>
        <v>2.8231298366505535</v>
      </c>
      <c r="AL248" s="388">
        <f t="shared" ca="1" si="709"/>
        <v>-1.082210709935083E-18</v>
      </c>
      <c r="AM248" s="388">
        <f t="shared" ca="1" si="710"/>
        <v>2.8231298366505535</v>
      </c>
      <c r="AN248" s="388">
        <f t="shared" ca="1" si="711"/>
        <v>0.12487829886931504</v>
      </c>
      <c r="AO248" s="388">
        <f ca="1">-0.10453/COS(Control!$B$8*PI()/180)*COS(AN248)</f>
        <v>-0.1684627211278677</v>
      </c>
      <c r="AP248" s="388">
        <f ca="1">ACOS(AO248-TAN(Control!$B$8*PI()/180)*TAN(AN248))</f>
        <v>1.906184494112809</v>
      </c>
      <c r="AQ248" s="388">
        <f t="shared" ca="1" si="825"/>
        <v>0</v>
      </c>
      <c r="AR248" s="394">
        <f t="shared" ca="1" si="712"/>
        <v>0</v>
      </c>
      <c r="AS248" s="436">
        <f ca="1">IF(Control!$B$18=2,(IF(OR($AH248=Control!$B$175,$AH248=Control!$B$176,$AH248=Control!$B$177,$AH248=Control!$B$178,$AH248=Control!$B$179,$AH248=Control!$B$180,$AH248=Control!$B$181,$AH248=Control!$B$182,$AH248=Control!$B$183,$AH248=Control!$B$184,$AH248=Control!$B$185),1,0)),0)</f>
        <v>0</v>
      </c>
      <c r="AT248" s="436">
        <f>IF(Control!$B$20=8,IF(AND($AH248&gt;=Control!$B$172,$AH248&lt;=Control!$B$173),1,0),0)</f>
        <v>0</v>
      </c>
      <c r="AU248" s="436">
        <f>IF(Control!$B$20=8,IF($AV247=1,1*$AT248,IF($AT248=1,$AU247+1,$AU247)),0)</f>
        <v>0</v>
      </c>
      <c r="AV248" s="436">
        <f>IF(Control!$B$20=8,IF($AU248&gt;=Control!$B$174,1,0),0)</f>
        <v>0</v>
      </c>
      <c r="AW248" s="436">
        <f ca="1">IF(AND(Control!$B$18=2,Control!$B$171=1), $AV248, $AS248)</f>
        <v>0</v>
      </c>
      <c r="AX248" s="436" t="e">
        <f ca="1">IF(AND(Control!$B$18=1,$EU248&gt;=Control!$B$19),-$AY248,IF(AND(Control!$B$18=2,$AW248=1,$EU248&gt;$DS248),-$AY248, IF(Control!$C$108=0,0, IF(Control!$C$108&lt;&gt;0,1))))</f>
        <v>#N/A</v>
      </c>
      <c r="AY248" s="436" t="e">
        <f t="shared" ca="1" si="826"/>
        <v>#N/A</v>
      </c>
      <c r="AZ248" s="436" t="e">
        <f ca="1">IF(AND(Control!$B$18=1,$EB248&gt;Control!$B$19),$AZ247+1, IF(AND(Control!$B$18=2, $AW248=1, $EB248&gt;$DS248), $AZ247+1,$AZ247))</f>
        <v>#N/A</v>
      </c>
      <c r="BA248" s="587">
        <f>IF(Control!$C$81=0,1,IF($AH248&gt;=Control!$C$82,1,0))</f>
        <v>1</v>
      </c>
      <c r="BB248" s="140" t="e">
        <f ca="1">IF($BA248&gt;$BA247,Control!$C$83,IF($AW248&gt;0,$AW248*Control!$C$84,IF(AND(Control!$B$18=1,EN247&lt;&gt;0),Control!$C$84,0)))</f>
        <v>#N/A</v>
      </c>
      <c r="BC248" s="140" t="e">
        <f t="shared" ca="1" si="827"/>
        <v>#N/A</v>
      </c>
      <c r="BD248" s="140" t="e">
        <f ca="1">BC248*IF(OR($G248&lt;Control!$C$92,$G248&gt;Control!$C$95),0,IF(AND($G248&gt;=Control!$C$92,$G248&lt;=Control!$C$93),$G248-Control!$C$92,IF(AND($G248&gt;Control!$C$93,$G248&lt;=Control!$C$94),Control!$C$93-Control!$C$92,IF(AND($G248&gt;Control!$C$94,$G248&lt;=Control!$C$95),(Control!$C$93-Control!$C$92)*(Control!$C$94-$G248)/(Control!$C$95-Control!$C$94)))))</f>
        <v>#N/A</v>
      </c>
      <c r="BE248" s="140" t="e">
        <f t="shared" ca="1" si="828"/>
        <v>#N/A</v>
      </c>
      <c r="BF248" s="140" t="e">
        <f ca="1">IF($BE248&lt;=Control!$C$86,$BE248,Control!$C$86-$BE248)</f>
        <v>#N/A</v>
      </c>
      <c r="BG248" s="140" t="e">
        <f ca="1">IF(AND($AW248=1,Control!$C$84&lt;9),1,IF($BE248&gt;=Control!$C$86,0,$BC248))</f>
        <v>#N/A</v>
      </c>
      <c r="BH248" s="404" t="e">
        <f ca="1">IF($BG248=0,0,IF($BE248&lt;=Control!$C$86,$BC248*9*($BF248/Control!$C$86),0))</f>
        <v>#N/A</v>
      </c>
      <c r="BI248" s="140" t="e">
        <f ca="1">IF($BG248=1,0,IF($BE248&gt;=Control!$C$86,1,IF(AND($BB248&lt;21,$BB248&gt;=9),1,$BM247)))</f>
        <v>#N/A</v>
      </c>
      <c r="BJ248" s="140" t="e">
        <f ca="1">IF($BF248&lt;0,-$BF248,$BI248*IF(OR($G248&lt;Control!$C$92,$G248&gt;Control!$C$95),0,IF(AND($G248&gt;=Control!$C$92,$G248&lt;=Control!$C$93),$G248-Control!$C$92,IF(AND($G248&gt;Control!$C$93,$G248&lt;=Control!$C$94),Control!$C$93-Control!$C$92,IF(AND($G248&gt;Control!$C$94,$G248&lt;=Control!$C$95),(Control!$C$93-Control!$C$92)*(Control!$C$94-$G248)/(Control!$C$95-Control!$C$94))))))</f>
        <v>#N/A</v>
      </c>
      <c r="BK248" s="140" t="e">
        <f t="shared" ca="1" si="829"/>
        <v>#N/A</v>
      </c>
      <c r="BL248" s="140" t="e">
        <f ca="1">IF($BK248&lt;=Control!$C$87,$BK248,Control!$C$87-$BK248)</f>
        <v>#N/A</v>
      </c>
      <c r="BM248" s="140" t="e">
        <f ca="1">IF(AND($BB248&gt;=9,$BB248&lt;21),1,IF($BK248&gt;=Control!$C$87,0,$BI248))</f>
        <v>#N/A</v>
      </c>
      <c r="BN248" s="404" t="e">
        <f ca="1">IF($BM248=0,0,IF($BK248&lt;=Control!$C$87,$BI248*(9+(21-9)*($BL248/Control!$C$87)),0))</f>
        <v>#N/A</v>
      </c>
      <c r="BO248" s="140" t="e">
        <f ca="1">IF($BM248=1,0,IF($BK248&gt;=Control!$C$87,1,IF(AND($BB248&lt;30,$BB248&gt;=21),1,$BS247)))</f>
        <v>#N/A</v>
      </c>
      <c r="BP248" s="140" t="e">
        <f ca="1">IF($BL248&lt;0,-$BL248,$BO248*IF(OR($G248&lt;Control!$C$92,$G248&gt;Control!$C$95),0,IF(AND($G248&gt;=Control!$C$92,$G248&lt;=Control!$C$93),$G248-Control!$C$92,IF(AND($G248&gt;Control!$C$93,$G248&lt;=Control!$C$94),Control!$C$93-Control!$C$92,IF(AND($G248&gt;Control!$C$94,$G248&lt;=Control!$C$95),(Control!$C$93-Control!$C$92)*(Control!$C$94-$G248)/(Control!$C$95-Control!$C$94))))))</f>
        <v>#N/A</v>
      </c>
      <c r="BQ248" s="140" t="e">
        <f t="shared" ca="1" si="713"/>
        <v>#N/A</v>
      </c>
      <c r="BR248" s="140" t="e">
        <f ca="1">IF($BQ248&lt;=Control!$C$88,$BQ248,Control!$C$88-$BQ248)</f>
        <v>#N/A</v>
      </c>
      <c r="BS248" s="140" t="e">
        <f ca="1">IF(AND($BB248&gt;=21,$BB248&lt;30),1,IF($BQ248&gt;=Control!$C$88,0,$BO248))</f>
        <v>#N/A</v>
      </c>
      <c r="BT248" s="404" t="e">
        <f ca="1">IF($BS248=0,0,IF($BQ248&lt;=Control!$C$88,$BO248*(21+(30-21)*(BR248/Control!$C$88)),0))</f>
        <v>#N/A</v>
      </c>
      <c r="BU248" s="140" t="e">
        <f ca="1">IF(BG248+BM248+BS248=1,0,IF(OR(AND($BB248&lt;60,$BB248&gt;=30),$BQ248&gt;=Control!$C$88),1*$BA248,$BY247))</f>
        <v>#N/A</v>
      </c>
      <c r="BV248" s="140" t="e">
        <f ca="1">IF($BR248&lt;0,-$BR248,$BU248*IF(OR($G248&lt;Control!$C$92,$G248&gt;Control!$C$95),0,IF(AND($G248&gt;=Control!$C$92,$G248&lt;=Control!$C$93),$G248-Control!$C$92,IF(AND($G248&gt;Control!$C$93,$G248&lt;=Control!$C$94),Control!$C$93-Control!$C$92,IF(AND($G248&gt;Control!$C$94,$G248&lt;=Control!$C$95),(Control!$C$93-Control!$C$92)*(Control!$C$94-$G248)/(Control!$C$95-Control!$C$94))))))</f>
        <v>#N/A</v>
      </c>
      <c r="BW248" s="140" t="e">
        <f t="shared" ca="1" si="714"/>
        <v>#N/A</v>
      </c>
      <c r="BX248" s="140" t="e">
        <f ca="1">IF($BW248&lt;=Control!$C$89,$BW248,Control!$C$89-$BW248)</f>
        <v>#N/A</v>
      </c>
      <c r="BY248" s="140" t="e">
        <f ca="1">IF(AND($AJ248&gt;=30,$AJ248&lt;60),1,IF($BW248&gt;=Control!$C$89,0,$BU248))</f>
        <v>#N/A</v>
      </c>
      <c r="BZ248" s="404" t="e">
        <f ca="1">IF($BY248=0,0,IF($BW248&lt;=Control!$C$89,$BU248*(30+(60-30)*(BX248/Control!$C$89)),0))</f>
        <v>#N/A</v>
      </c>
      <c r="CA248" s="140" t="e">
        <f ca="1">IF($BG248+$BM248+$BS248+$BY248=1,0,IF(OR(AND($BB248&lt;65,$BB248&gt;=60),$BW248&gt;=Control!$C$89),1*$BA248,$CE247))</f>
        <v>#N/A</v>
      </c>
      <c r="CB248" s="140" t="e">
        <f ca="1">IF($BX248&lt;0,-$BX248,$CA248*IF(OR($G248&lt;Control!$C$92,$G248&gt;Control!$C$95),0,IF(AND($G248&gt;=Control!$C$92,$G248&lt;=Control!$C$93),$G248-Control!$C$92,IF(AND($G248&gt;Control!$C$93,$G248&lt;=Control!$C$94),Control!$C$93-Control!$C$92,IF(AND($G248&gt;Control!$C$94,$G248&lt;=Control!$C$95),(Control!$C$93-Control!$C$92)*(Control!$C$94-$G248)/(Control!$C$95-Control!$C$94))))))</f>
        <v>#N/A</v>
      </c>
      <c r="CC248" s="140" t="e">
        <f t="shared" ca="1" si="830"/>
        <v>#N/A</v>
      </c>
      <c r="CD248" s="140" t="e">
        <f ca="1">IF($CC248&lt;=Control!$C$90,$CC248,Control!$C$90-$CC248)</f>
        <v>#N/A</v>
      </c>
      <c r="CE248" s="140" t="e">
        <f ca="1">IF(AND($BB248&gt;=60,$BB248&lt;65),1,IF($CC248&gt;=Control!$C$90,0,$CA248))</f>
        <v>#N/A</v>
      </c>
      <c r="CF248" s="404" t="e">
        <f ca="1">IF($CE248=0,0,IF($CC248&lt;=Control!$C$90,$CA248*(60+(65-60)*(CD248/Control!$C$90)),0))</f>
        <v>#N/A</v>
      </c>
      <c r="CG248" s="140" t="e">
        <f ca="1">IF($BG248+$BM248+$BS248+$BY248+$CE248=1,0,IF(OR(AND($BB248&lt;90,$BB248&gt;=65),$CC248&gt;=Control!$C$90),$BA248,$CK247))</f>
        <v>#N/A</v>
      </c>
      <c r="CH248" s="140" t="e">
        <f ca="1">IF($CD248&lt;0,-$CD248,$CG248*IF(OR($G248&lt;Control!$C$92,$G248&gt;Control!$C$95),0,IF(AND($G248&gt;=Control!$C$92,$G248&lt;=Control!$C$93),$G248-Control!$C$92,IF(AND($G248&gt;Control!$C$93,$G248&lt;=Control!$C$94),Control!$C$93-Control!$C$92,IF(AND($G248&gt;Control!$C$94,$G248&lt;=Control!$C$95),(Control!$C$93-Control!$C$92)*(Control!$C$94-$G248)/(Control!$C$95-Control!$C$94))))))</f>
        <v>#N/A</v>
      </c>
      <c r="CI248" s="140" t="e">
        <f t="shared" ca="1" si="831"/>
        <v>#N/A</v>
      </c>
      <c r="CJ248" s="140" t="e">
        <f ca="1">IF($CI248&lt;=Control!$C$91,$CI248,Control!$C$91-$CI248)</f>
        <v>#N/A</v>
      </c>
      <c r="CK248" s="140" t="e">
        <f ca="1">IF(AND($BB248&gt;=65,$BB248&lt;90),1,IF($CI248&gt;=Control!$C$91,0,$CG248))</f>
        <v>#N/A</v>
      </c>
      <c r="CL248" s="404" t="e">
        <f ca="1">IF($CK248=0,0,IF($CI248&lt;=Control!$C$91,$CG248*(65+(90-65)*($CJ248/Control!$C$91)),0))</f>
        <v>#N/A</v>
      </c>
      <c r="CM248" s="140" t="e">
        <f ca="1">IF($BG248+$BM248+$BS248+$BY248+$CE248+$CK248=1,0,IF(OR($BB248&gt;=90,$CI248&gt;=Control!$C$91),$BA248,$CM247))</f>
        <v>#N/A</v>
      </c>
      <c r="CN248" s="140" t="e">
        <f t="shared" ca="1" si="832"/>
        <v>#N/A</v>
      </c>
      <c r="CO248" s="140" t="e">
        <f t="shared" ca="1" si="833"/>
        <v>#N/A</v>
      </c>
      <c r="CP248" s="140" t="e">
        <f t="shared" ca="1" si="834"/>
        <v>#N/A</v>
      </c>
      <c r="CQ248" s="141" t="e">
        <f ca="1">VLOOKUP($CP248,Control!$B$86:$G$91,6)</f>
        <v>#N/A</v>
      </c>
      <c r="CR248" s="141" t="e">
        <f ca="1">(1-$CQ248)*VLOOKUP($CP248,Control!$B$86:$D$91,3)</f>
        <v>#N/A</v>
      </c>
      <c r="CS248" s="141" t="e">
        <f ca="1">(1-$CQ248)*VLOOKUP($CP248,Control!$B$86:$E$91,4)</f>
        <v>#N/A</v>
      </c>
      <c r="CT248" s="141" t="e">
        <f ca="1">(1-$CQ248)*VLOOKUP($CP248,Control!$B$86:$F$91,5)</f>
        <v>#N/A</v>
      </c>
      <c r="CU248" s="141">
        <f t="shared" ca="1" si="835"/>
        <v>0</v>
      </c>
      <c r="CV248" s="583">
        <f t="shared" ca="1" si="836"/>
        <v>0</v>
      </c>
      <c r="CW248" s="142">
        <f t="shared" ca="1" si="837"/>
        <v>244</v>
      </c>
      <c r="CX248" s="612" t="e">
        <f ca="1">IF(Control!$C$114=1,(MIN(Control!$C$120*(IF($NT248-0.01&lt;0,0,1)),Control!$C$119-$CY248)))</f>
        <v>#DIV/0!</v>
      </c>
      <c r="CY248" s="143" t="e">
        <f t="shared" ca="1" si="838"/>
        <v>#N/A</v>
      </c>
      <c r="CZ248" s="144">
        <f t="shared" ca="1" si="715"/>
        <v>0</v>
      </c>
      <c r="DA248" s="144">
        <f t="shared" ca="1" si="716"/>
        <v>0</v>
      </c>
      <c r="DB248" s="144" t="e">
        <f t="shared" ca="1" si="717"/>
        <v>#N/A</v>
      </c>
      <c r="DC248" s="144" t="e">
        <f t="shared" ca="1" si="718"/>
        <v>#N/A</v>
      </c>
      <c r="DD248" s="144" t="e">
        <f t="shared" ca="1" si="923"/>
        <v>#N/A</v>
      </c>
      <c r="DE248" s="143" t="e">
        <f t="shared" ca="1" si="839"/>
        <v>#N/A</v>
      </c>
      <c r="DF248" s="145" t="e">
        <f ca="1">$DR248*EXP(-Control!$C$158*(1-$KH248))</f>
        <v>#N/A</v>
      </c>
      <c r="DG248" s="146" t="e">
        <f ca="1">IF(Control!$C$114=1, $DF248*$EY248, 0)</f>
        <v>#N/A</v>
      </c>
      <c r="DH248" s="147" t="e">
        <f t="shared" ca="1" si="840"/>
        <v>#N/A</v>
      </c>
      <c r="DI248" s="144" t="e">
        <f t="shared" ca="1" si="901"/>
        <v>#N/A</v>
      </c>
      <c r="DJ248" s="147" t="e">
        <f ca="1">$EF248*Control!$C$109</f>
        <v>#N/A</v>
      </c>
      <c r="DK248" s="144" t="e">
        <f t="shared" ca="1" si="841"/>
        <v>#N/A</v>
      </c>
      <c r="DL248" s="144" t="e">
        <f t="shared" ca="1" si="719"/>
        <v>#N/A</v>
      </c>
      <c r="DM248" s="144" t="e">
        <f ca="1">IF(Control!$C$114=1, (1-EXP(-Control!$C$96*$DK248))*$AR248, 0)</f>
        <v>#N/A</v>
      </c>
      <c r="DN248" s="144">
        <f t="shared" ca="1" si="842"/>
        <v>0</v>
      </c>
      <c r="DO248" s="148">
        <f>Control!$C$97</f>
        <v>4</v>
      </c>
      <c r="DP248" s="145" t="e">
        <f t="shared" ca="1" si="843"/>
        <v>#N/A</v>
      </c>
      <c r="DQ248" s="145" t="e">
        <f ca="1">IF(AND($CP248&gt;=0,$CP248&lt;=90),Control!$C$111,Control!$C$111)</f>
        <v>#N/A</v>
      </c>
      <c r="DR248" s="145" t="e">
        <f t="shared" ca="1" si="720"/>
        <v>#N/A</v>
      </c>
      <c r="DS248" s="143" t="e">
        <f ca="1">Control!$B$22/$DR248</f>
        <v>#N/A</v>
      </c>
      <c r="DT248" s="149" t="e">
        <f ca="1">IF(AND(Control!$C$114=1,$KH248&lt;1),$IM248*$DF248, 0)</f>
        <v>#N/A</v>
      </c>
      <c r="DU248" s="144" t="e">
        <f t="shared" ca="1" si="844"/>
        <v>#N/A</v>
      </c>
      <c r="DV248" s="144">
        <f ca="1">IF($G248-Control!$C$107&lt;=0, 0, 0.83*LN(MAX($G248, 3))-0.8924)</f>
        <v>0</v>
      </c>
      <c r="DW248" s="144" t="e">
        <f t="shared" ca="1" si="721"/>
        <v>#N/A</v>
      </c>
      <c r="DX248" s="150" t="e">
        <f ca="1">MAX(0.01*(1+$CU248/Control!$C$102),0.05*($DK248-Control!$C$97)/Control!$C$97)</f>
        <v>#N/A</v>
      </c>
      <c r="DY248" s="151" t="e">
        <f ca="1">IF(Control!$C$114=1, $DI248*$FS248, 0)</f>
        <v>#N/A</v>
      </c>
      <c r="DZ248" s="196" t="e">
        <f t="shared" ca="1" si="845"/>
        <v>#N/A</v>
      </c>
      <c r="EA248" s="152">
        <f t="shared" ca="1" si="846"/>
        <v>244</v>
      </c>
      <c r="EB248" s="153" t="e">
        <f t="shared" ca="1" si="847"/>
        <v>#N/A</v>
      </c>
      <c r="EC248" s="153" t="e">
        <f t="shared" ca="1" si="848"/>
        <v>#N/A</v>
      </c>
      <c r="ED248" s="154" t="e">
        <f ca="1">IF(Control!$C$114=1, $HM248*$FY248-$FD248, 0)</f>
        <v>#DIV/0!</v>
      </c>
      <c r="EE248" s="155" t="e">
        <f ca="1">IF(Control!$C$114=1, $HM248*$FZ248-$FF248, 0)</f>
        <v>#DIV/0!</v>
      </c>
      <c r="EF248" s="153" t="e">
        <f t="shared" ca="1" si="902"/>
        <v>#N/A</v>
      </c>
      <c r="EG248" s="155" t="e">
        <f ca="1">IF(Control!$C$114=1, $GX248*$FW248-$FI248, 0)</f>
        <v>#DIV/0!</v>
      </c>
      <c r="EH248" s="153" t="e">
        <f t="shared" ca="1" si="849"/>
        <v>#N/A</v>
      </c>
      <c r="EI248" s="156" t="e">
        <f t="shared" ca="1" si="850"/>
        <v>#N/A</v>
      </c>
      <c r="EJ248" s="155" t="e">
        <f ca="1">IF(Control!$C$114=1, $HM248*$GB248, 0)</f>
        <v>#DIV/0!</v>
      </c>
      <c r="EK248" s="153" t="e">
        <f t="shared" ca="1" si="903"/>
        <v>#N/A</v>
      </c>
      <c r="EL248" s="153" t="e">
        <f t="shared" ca="1" si="722"/>
        <v>#N/A</v>
      </c>
      <c r="EM248" s="153" t="e">
        <f t="shared" ca="1" si="723"/>
        <v>#N/A</v>
      </c>
      <c r="EN248" s="153" t="e">
        <f ca="1">IF(Control!$C$108=1,IF(AND(Control!$B$18=1,$EB248&gt;=Control!$B$19),$EB248-$DS248,IF(AND(Control!$B$18=2,$AW248=1,$EB248&gt;$DS248),$EB248-$DS248,0)))</f>
        <v>#N/A</v>
      </c>
      <c r="EO248" s="153" t="e">
        <f ca="1">IF(Control!$C$108=1,IF(AND(Control!$B$18=1,$EB248&gt;=Control!$B$19),$EF248,IF(AND(Control!$B$18=2,$AW248=1),$EF248,0)))</f>
        <v>#N/A</v>
      </c>
      <c r="EP248" s="153" t="e">
        <f ca="1">IF(Control!$C$108=1,IF(AND(Control!$B$18=1,$EB248&gt;=Control!$B$19),$EK248,IF(AND(Control!$B$18=2,$AW248=1),$EK248,0)))</f>
        <v>#N/A</v>
      </c>
      <c r="EQ248" s="153" t="e">
        <f t="shared" ca="1" si="851"/>
        <v>#N/A</v>
      </c>
      <c r="ER248" s="153" t="e">
        <f t="shared" ca="1" si="852"/>
        <v>#N/A</v>
      </c>
      <c r="ES248" s="153" t="e">
        <f t="shared" ca="1" si="904"/>
        <v>#N/A</v>
      </c>
      <c r="ET248" s="153" t="e">
        <f t="shared" ca="1" si="905"/>
        <v>#N/A</v>
      </c>
      <c r="EU248" s="153" t="e">
        <f t="shared" ca="1" si="853"/>
        <v>#N/A</v>
      </c>
      <c r="EV248" s="153" t="e">
        <f t="shared" ca="1" si="724"/>
        <v>#N/A</v>
      </c>
      <c r="EW248" s="153" t="e">
        <f t="shared" ca="1" si="725"/>
        <v>#N/A</v>
      </c>
      <c r="EX248" s="153" t="e">
        <f t="shared" ca="1" si="726"/>
        <v>#N/A</v>
      </c>
      <c r="EY248" s="157" t="e">
        <f t="shared" ca="1" si="727"/>
        <v>#DIV/0!</v>
      </c>
      <c r="EZ248" s="154" t="e">
        <f t="shared" ca="1" si="728"/>
        <v>#DIV/0!</v>
      </c>
      <c r="FA248" s="153" t="e">
        <f t="shared" ca="1" si="854"/>
        <v>#N/A</v>
      </c>
      <c r="FB248" s="153" t="e">
        <f t="shared" ca="1" si="729"/>
        <v>#N/A</v>
      </c>
      <c r="FC248" s="193" t="e">
        <f t="shared" ca="1" si="730"/>
        <v>#N/A</v>
      </c>
      <c r="FD248" s="158" t="e">
        <f t="shared" ca="1" si="855"/>
        <v>#N/A</v>
      </c>
      <c r="FE248" s="158" t="e">
        <f t="shared" ca="1" si="856"/>
        <v>#N/A</v>
      </c>
      <c r="FF248" s="159" t="e">
        <f t="shared" ca="1" si="731"/>
        <v>#N/A</v>
      </c>
      <c r="FG248" s="160" t="e">
        <f t="shared" ca="1" si="857"/>
        <v>#N/A</v>
      </c>
      <c r="FH248" s="158" t="e">
        <f t="shared" ca="1" si="858"/>
        <v>#N/A</v>
      </c>
      <c r="FI248" s="159" t="e">
        <f t="shared" ca="1" si="732"/>
        <v>#N/A</v>
      </c>
      <c r="FJ248" s="160" t="e">
        <f t="shared" ca="1" si="859"/>
        <v>#N/A</v>
      </c>
      <c r="FK248" s="160" t="e">
        <f t="shared" ca="1" si="733"/>
        <v>#N/A</v>
      </c>
      <c r="FL248" s="160" t="e">
        <f t="shared" ca="1" si="906"/>
        <v>#N/A</v>
      </c>
      <c r="FM248" s="160" t="e">
        <f t="shared" ca="1" si="734"/>
        <v>#N/A</v>
      </c>
      <c r="FN248" s="158">
        <f t="shared" ca="1" si="860"/>
        <v>0.01</v>
      </c>
      <c r="FO248" s="160">
        <f>Control!$C$101</f>
        <v>50</v>
      </c>
      <c r="FP248" s="150" t="e">
        <f t="shared" ca="1" si="735"/>
        <v>#N/A</v>
      </c>
      <c r="FQ248" s="150" t="e">
        <f ca="1">MAX(0,(Control!$C$112*(($DK248-Control!$C$97)/Control!$C$97)))</f>
        <v>#N/A</v>
      </c>
      <c r="FR248" s="150" t="e">
        <f ca="1">(1-$NT248)*Control!$C$113</f>
        <v>#DIV/0!</v>
      </c>
      <c r="FS248" s="198" t="e">
        <f t="shared" ca="1" si="736"/>
        <v>#N/A</v>
      </c>
      <c r="FT248" s="161">
        <f t="shared" ca="1" si="861"/>
        <v>244</v>
      </c>
      <c r="FU248" s="162" t="e">
        <f ca="1">IF(Control!$B$34=1,VLOOKUP($CP248,Control!$B$86:$G$91,6),Control!$B$35)</f>
        <v>#N/A</v>
      </c>
      <c r="FV248" s="162" t="e">
        <f t="shared" ca="1" si="737"/>
        <v>#DIV/0!</v>
      </c>
      <c r="FW248" s="162" t="e">
        <f ca="1">IF(Control!$B$31=1,$FU248*$FV248,  $FU248)</f>
        <v>#N/A</v>
      </c>
      <c r="FX248" s="162" t="e">
        <f ca="1">IF(Control!$B$34=1,VLOOKUP($CP248,Control!$B$86:$G$91,3),Control!$B$36)</f>
        <v>#N/A</v>
      </c>
      <c r="FY248" s="162" t="e">
        <f t="shared" ca="1" si="738"/>
        <v>#N/A</v>
      </c>
      <c r="FZ248" s="162" t="e">
        <f ca="1">IF(Control!$B$34=1,VLOOKUP($CP248,Control!$B$86:$G$91,4),Control!$B$37)</f>
        <v>#N/A</v>
      </c>
      <c r="GA248" s="162" t="e">
        <f t="shared" ca="1" si="739"/>
        <v>#N/A</v>
      </c>
      <c r="GB248" s="162" t="e">
        <f ca="1">IF(Control!$B$34=1,VLOOKUP($CP248,Control!$B$86:$G$91,5),Control!$B$38)</f>
        <v>#N/A</v>
      </c>
      <c r="GC248" s="162" t="e">
        <f t="shared" ca="1" si="862"/>
        <v>#N/A</v>
      </c>
      <c r="GD248" s="162">
        <f t="shared" ca="1" si="740"/>
        <v>1</v>
      </c>
      <c r="GE248" s="162">
        <f t="shared" ca="1" si="741"/>
        <v>1</v>
      </c>
      <c r="GF248" s="162">
        <f ca="1">IF(AND(Control!$C$104=1, Control!$C$62="F"),$GE248,1)</f>
        <v>1</v>
      </c>
      <c r="GG248" s="162" t="e">
        <f ca="1">IF(Control!$B$16=40,0,IF(AND(Control!$B$16&gt;40,Control!$B$16&lt;=360),(Control!$B$16-40)*((1-0)/(360-40)),IF(AND(Control!$B$16&gt;360,Control!$B$16&lt;=720),(1+(Control!$B$16-360)*((1.25-1)/(720-360))),IF(AND(Control!$B$16&gt;720,Control!$B$16&lt;=1000),(1.25+(Control!$B$16-720)*((1.35-1.25)/(1000-720))),IF(AND(Control!$B$16&gt;1000,Control!$B$16&lt;=2000),(1.35+(Control!$B$16-1000)*0))))))</f>
        <v>#N/A</v>
      </c>
      <c r="GH248" s="162" t="e">
        <f t="shared" ca="1" si="742"/>
        <v>#N/A</v>
      </c>
      <c r="GI248" s="162">
        <f t="shared" ca="1" si="863"/>
        <v>0</v>
      </c>
      <c r="GJ248" s="162">
        <f t="shared" ca="1" si="743"/>
        <v>0</v>
      </c>
      <c r="GK248" s="162">
        <f t="shared" ca="1" si="864"/>
        <v>1</v>
      </c>
      <c r="GL248" s="162">
        <f t="shared" ca="1" si="744"/>
        <v>1</v>
      </c>
      <c r="GM248" s="162" t="e">
        <f ca="1">MAX(0,MIN(1,1-Control!$C$156*(1.0001-$KH248)^2))</f>
        <v>#N/A</v>
      </c>
      <c r="GN248" s="162" t="e">
        <f ca="1">IF(Control!$B$26=1,$KU248,$KX248)</f>
        <v>#N/A</v>
      </c>
      <c r="GO248" s="162" t="e">
        <f ca="1">IF($CP248&lt;=60,Control!$C$105,IF($CP248&gt;=90,Control!$C$106,Control!$C$105+($CP248-60)*((Control!$C$106-Control!$C$105)/(90-60))))</f>
        <v>#N/A</v>
      </c>
      <c r="GP248" s="162" t="e">
        <f t="shared" ca="1" si="745"/>
        <v>#N/A</v>
      </c>
      <c r="GQ248" s="162" t="e">
        <f t="shared" ca="1" si="865"/>
        <v>#N/A</v>
      </c>
      <c r="GR248" s="163" t="e">
        <f t="shared" ca="1" si="746"/>
        <v>#DIV/0!</v>
      </c>
      <c r="GS248" s="162" t="e">
        <f t="shared" ca="1" si="747"/>
        <v>#DIV/0!</v>
      </c>
      <c r="GT248" s="164" t="e">
        <f t="shared" ca="1" si="866"/>
        <v>#N/A</v>
      </c>
      <c r="GU248" s="162" t="e">
        <f t="shared" ca="1" si="867"/>
        <v>#N/A</v>
      </c>
      <c r="GV248" s="162" t="e">
        <f t="shared" ca="1" si="748"/>
        <v>#N/A</v>
      </c>
      <c r="GW248" s="162" t="e">
        <f t="shared" ca="1" si="749"/>
        <v>#DIV/0!</v>
      </c>
      <c r="GX248" s="162" t="e">
        <f t="shared" ca="1" si="868"/>
        <v>#DIV/0!</v>
      </c>
      <c r="GY248" s="162" t="e">
        <f t="shared" ca="1" si="869"/>
        <v>#DIV/0!</v>
      </c>
      <c r="GZ248" s="165" t="e">
        <f t="shared" ca="1" si="750"/>
        <v>#N/A</v>
      </c>
      <c r="HA248" s="162" t="e">
        <f ca="1">IF(Control!$C$114=1, $DI248*$FS248, 0)</f>
        <v>#N/A</v>
      </c>
      <c r="HB248" s="162" t="e">
        <f ca="1">$FA248/Control!$C$64</f>
        <v>#N/A</v>
      </c>
      <c r="HC248" s="162" t="e">
        <f t="shared" ca="1" si="751"/>
        <v>#DIV/0!</v>
      </c>
      <c r="HD248" s="162">
        <f ca="1">-ASIN(SIN(23.45*Control!$C$139)*COS(2*Control!$C$138*($AH248+10)/365))</f>
        <v>0.13309247776396274</v>
      </c>
      <c r="HE248" s="165">
        <f t="shared" ca="1" si="870"/>
        <v>0</v>
      </c>
      <c r="HF248" s="166">
        <f ca="1">IF(AND(Control!$C$61="T",$HE248&gt;=Control!$C$103,Control!$C$114=0),$AH248,Control!$C$59)</f>
        <v>1</v>
      </c>
      <c r="HG248" s="166">
        <f ca="1">IF(AND(Control!$C$61="T",$HE248&gt;=Control!$C$103,Control!$C$114=0),$HF248,Control!$C$59)</f>
        <v>1</v>
      </c>
      <c r="HH248" s="165">
        <f ca="1">IF(AND(OR(Control!$C$60&lt;=0, $AH248= Control!$C$59, Control!$C$60 &gt;0, $AH248 = Control!$C$60)), Control!$C$59, IF(Control!$C$60&gt;0, 0))</f>
        <v>1</v>
      </c>
      <c r="HI248" s="165">
        <f ca="1">IF(AND(OR(Control!$C$60&lt;=0, $AH248= Control!$C$59, Control!$C$60 &gt;0, $AH248 = Control!$C$60)), Control!$C$60, IF(Control!$C$60&lt;=0, 0))</f>
        <v>0</v>
      </c>
      <c r="HJ248" s="166">
        <f ca="1">IF(AND(Control!$C$62="F",$CV248&gt;=Control!$C$102),$AH248,0)</f>
        <v>0</v>
      </c>
      <c r="HK248" s="165" t="e">
        <f t="shared" ca="1" si="907"/>
        <v>#N/A</v>
      </c>
      <c r="HL248" s="166">
        <f ca="1">IF(AND(Control!$C$61="T",$HE248&gt;=Control!$C$103,Control!$C$114=0),$HF248,0)</f>
        <v>0</v>
      </c>
      <c r="HM248" s="201" t="e">
        <f t="shared" ca="1" si="752"/>
        <v>#DIV/0!</v>
      </c>
      <c r="HN248" s="215">
        <f t="shared" ca="1" si="871"/>
        <v>244</v>
      </c>
      <c r="HO248" s="216" t="e">
        <f ca="1">IF(AND($CP248&gt;=0, $CP248&lt;=90), Control!$C$152, Control!$C$152)</f>
        <v>#N/A</v>
      </c>
      <c r="HP248" s="216" t="e">
        <f t="shared" ca="1" si="753"/>
        <v>#N/A</v>
      </c>
      <c r="HQ248" s="217" t="e">
        <f ca="1">IF(OR(Control!$B$26=1,Control!$B$26=2),$KV248,$KS248)</f>
        <v>#DIV/0!</v>
      </c>
      <c r="HR248" s="218" t="e">
        <f t="shared" ca="1" si="908"/>
        <v>#DIV/0!</v>
      </c>
      <c r="HS248" s="216" t="e">
        <f ca="1">Control!$C$154*$HP248</f>
        <v>#N/A</v>
      </c>
      <c r="HT248" s="216" t="e">
        <f ca="1">Control!$C$155*$HP248</f>
        <v>#N/A</v>
      </c>
      <c r="HU248" s="217" t="e">
        <f ca="1">Control!$C$161*$FI248</f>
        <v>#N/A</v>
      </c>
      <c r="HV248" s="218" t="e">
        <f t="shared" ca="1" si="872"/>
        <v>#N/A</v>
      </c>
      <c r="HW248" s="218" t="e">
        <f ca="1">Control!$C$160*$FF248+$IP248*$EO248</f>
        <v>#N/A</v>
      </c>
      <c r="HX248" s="218" t="e">
        <f t="shared" ca="1" si="909"/>
        <v>#N/A</v>
      </c>
      <c r="HY248" s="219" t="e">
        <f ca="1">IF(Control!$C$114=1, $EB248*$FS248, 0)</f>
        <v>#N/A</v>
      </c>
      <c r="HZ248" s="91" t="e">
        <f t="shared" ca="1" si="754"/>
        <v>#N/A</v>
      </c>
      <c r="IA248" s="220" t="e">
        <f ca="1">Control!$C$153*$HO248</f>
        <v>#N/A</v>
      </c>
      <c r="IB248" s="218" t="e">
        <f t="shared" ca="1" si="755"/>
        <v>#N/A</v>
      </c>
      <c r="IC248" s="220" t="e">
        <f ca="1">Control!$C$153*$HT248</f>
        <v>#N/A</v>
      </c>
      <c r="ID248" s="218" t="e">
        <f t="shared" ca="1" si="756"/>
        <v>#N/A</v>
      </c>
      <c r="IE248" s="221" t="e">
        <f ca="1">($EB248*Control!$C$159+$EF248*Control!$C$160)/(IF($GZ248&lt;&gt;0,$GZ248,1))</f>
        <v>#N/A</v>
      </c>
      <c r="IF248" s="216" t="e">
        <f t="shared" ca="1" si="757"/>
        <v>#N/A</v>
      </c>
      <c r="IG248" s="91">
        <f ca="1">IF(OR(Control!$B$198=$AH248,Control!$B$199=$AH248, Control!$B$200=$AH248, Control!$B$201=$AH248, Control!$B$202=$AH248, Control!$B$203=$AH248, Control!$B$204=$AH248, Control!$B$205=$AH248, Control!$B$206=$AH248, Control!$B$207=$AH248), 1, 0)</f>
        <v>0</v>
      </c>
      <c r="IH248" s="91">
        <f ca="1">IF($IG248=0,0, VLOOKUP($AH248,Control!$B$198:$C$207,2))</f>
        <v>0</v>
      </c>
      <c r="II248" s="222">
        <f t="shared" ca="1" si="873"/>
        <v>0</v>
      </c>
      <c r="IJ248" s="91">
        <f>Control!$C$121</f>
        <v>0.7</v>
      </c>
      <c r="IK248" s="218">
        <f t="shared" ca="1" si="758"/>
        <v>0</v>
      </c>
      <c r="IL248" s="217" t="e">
        <f t="shared" ca="1" si="910"/>
        <v>#N/A</v>
      </c>
      <c r="IM248" s="223" t="e">
        <f ca="1">IF(AND(Control!$C$114=1,$KH248&lt;1),$EB248*Control!$C$148*(1-$KH248), 0)</f>
        <v>#N/A</v>
      </c>
      <c r="IN248" s="217" t="e">
        <f t="shared" ca="1" si="759"/>
        <v>#DIV/0!</v>
      </c>
      <c r="IO248" s="91" t="e">
        <f ca="1">MAX(0,$IL248-$EF248*Control!$C$160)</f>
        <v>#N/A</v>
      </c>
      <c r="IP248" s="220" t="e">
        <f t="shared" ca="1" si="760"/>
        <v>#N/A</v>
      </c>
      <c r="IQ248" s="217" t="e">
        <f t="shared" ca="1" si="874"/>
        <v>#N/A</v>
      </c>
      <c r="IR248" s="218" t="e">
        <f t="shared" ca="1" si="761"/>
        <v>#N/A</v>
      </c>
      <c r="IS248" s="217" t="e">
        <f ca="1">Control!$C$159*MAX(0,$FD248-$EN248)</f>
        <v>#N/A</v>
      </c>
      <c r="IT248" s="217" t="e">
        <f t="shared" ca="1" si="911"/>
        <v>#N/A</v>
      </c>
      <c r="IU248" s="217" t="e">
        <f t="shared" ca="1" si="875"/>
        <v>#N/A</v>
      </c>
      <c r="IV248" s="217" t="e">
        <f t="shared" ca="1" si="912"/>
        <v>#N/A</v>
      </c>
      <c r="IW248" s="217" t="e">
        <f ca="1">IF(OR($AW248=1,AND($AW248=0, Control!$B$18=1,$EN248&lt;&gt;0)), $IQ248-$IU248, $IQ248)</f>
        <v>#N/A</v>
      </c>
      <c r="IX248" s="218" t="e">
        <f t="shared" ca="1" si="762"/>
        <v>#N/A</v>
      </c>
      <c r="IY248" s="218" t="e">
        <f ca="1">MAX(0,$IQ248-$EB248*Control!$C$159)</f>
        <v>#N/A</v>
      </c>
      <c r="IZ248" s="218" t="e">
        <f t="shared" ca="1" si="763"/>
        <v>#N/A</v>
      </c>
      <c r="JA248" s="216" t="e">
        <f t="shared" ca="1" si="764"/>
        <v>#N/A</v>
      </c>
      <c r="JB248" s="217" t="e">
        <f t="shared" ca="1" si="765"/>
        <v>#N/A</v>
      </c>
      <c r="JC248" s="222" t="e">
        <f ca="1">MAX(Control!$C$157*$EK248-$JT248, 0)/Control!$C$162</f>
        <v>#N/A</v>
      </c>
      <c r="JD248" s="218" t="e">
        <f t="shared" ca="1" si="766"/>
        <v>#N/A</v>
      </c>
      <c r="JE248" s="218" t="e">
        <f t="shared" ca="1" si="767"/>
        <v>#N/A</v>
      </c>
      <c r="JF248" s="218" t="e">
        <f t="shared" ca="1" si="876"/>
        <v>#N/A</v>
      </c>
      <c r="JG248" s="218" t="e">
        <f t="shared" ca="1" si="768"/>
        <v>#N/A</v>
      </c>
      <c r="JH248" s="217" t="e">
        <f t="shared" ca="1" si="877"/>
        <v>#N/A</v>
      </c>
      <c r="JI248" s="217" t="e">
        <f t="shared" ca="1" si="878"/>
        <v>#N/A</v>
      </c>
      <c r="JJ248" s="217" t="e">
        <f t="shared" ca="1" si="913"/>
        <v>#N/A</v>
      </c>
      <c r="JK248" s="217" t="e">
        <f ca="1">IF(Control!$C$114=1,IF(Control!$B$24=0,MAX(0,$JI248)*$GN248/Control!$C$64,(MAX(0,MIN($JI248,$JJ248*$GN248/Control!$C$64),0))))</f>
        <v>#N/A</v>
      </c>
      <c r="JL248" s="217" t="e">
        <f ca="1">$IK248/Control!$C$64-$JK248+$HQ248</f>
        <v>#N/A</v>
      </c>
      <c r="JM248" s="217" t="e">
        <f ca="1">IF(Control!$C$114=1,($JB248/(IF($JI248&lt;&gt;0,$JI248,1)))*$JK248,0)</f>
        <v>#N/A</v>
      </c>
      <c r="JN248" s="217" t="e">
        <f ca="1">IF(Control!$C$114=1,($JG248/(IF($JI248&lt;&gt;0,$JI248,1)))*$JK248, 0)</f>
        <v>#N/A</v>
      </c>
      <c r="JO248" s="218" t="e">
        <f t="shared" ca="1" si="769"/>
        <v>#N/A</v>
      </c>
      <c r="JP248" s="218" t="e">
        <f ca="1">MIN(($IY248+$IO248)*Control!$C$151, $JF248-$EH248*Control!$C$161)</f>
        <v>#N/A</v>
      </c>
      <c r="JQ248" s="218" t="e">
        <f t="shared" ca="1" si="770"/>
        <v>#N/A</v>
      </c>
      <c r="JR248" s="217" t="e">
        <f ca="1">IF($CP248-Control!$C$150&lt;0, 0, $JQ248/Control!$C$162)</f>
        <v>#N/A</v>
      </c>
      <c r="JS248" s="218" t="e">
        <f t="shared" ca="1" si="771"/>
        <v>#N/A</v>
      </c>
      <c r="JT248" s="218" t="e">
        <f t="shared" ca="1" si="879"/>
        <v>#N/A</v>
      </c>
      <c r="JU248" s="218" t="e">
        <f t="shared" ca="1" si="772"/>
        <v>#N/A</v>
      </c>
      <c r="JV248" s="218" t="e">
        <f t="shared" ca="1" si="773"/>
        <v>#N/A</v>
      </c>
      <c r="JW248" s="216" t="e">
        <f t="shared" ca="1" si="774"/>
        <v>#N/A</v>
      </c>
      <c r="JX248" s="91" t="e">
        <f t="shared" ca="1" si="775"/>
        <v>#N/A</v>
      </c>
      <c r="JY248" s="218" t="e">
        <f t="shared" ca="1" si="776"/>
        <v>#N/A</v>
      </c>
      <c r="JZ248" s="217" t="e">
        <f ca="1">IF(Control!$C$114=1,($IZ248/(IF($JI248&lt;&gt;0,$JI248,1)))*$JK248, 0)</f>
        <v>#N/A</v>
      </c>
      <c r="KA248" s="218" t="e">
        <f t="shared" ca="1" si="914"/>
        <v>#N/A</v>
      </c>
      <c r="KB248" s="218" t="e">
        <f t="shared" ca="1" si="880"/>
        <v>#N/A</v>
      </c>
      <c r="KC248" s="218" t="e">
        <f t="shared" ca="1" si="777"/>
        <v>#N/A</v>
      </c>
      <c r="KD248" s="218" t="e">
        <f t="shared" ca="1" si="778"/>
        <v>#N/A</v>
      </c>
      <c r="KE248" s="218" t="e">
        <f t="shared" ca="1" si="779"/>
        <v>#N/A</v>
      </c>
      <c r="KF248" s="218" t="e">
        <f t="shared" ca="1" si="780"/>
        <v>#N/A</v>
      </c>
      <c r="KG248" s="216" t="e">
        <f t="shared" ca="1" si="781"/>
        <v>#N/A</v>
      </c>
      <c r="KH248" s="221" t="e">
        <f ca="1">IF(Control!$B$24=0,1,MAX(0.001,MIN(1,IF(($IF248-$IE248)&lt;&gt;0,($KG248-$IE248)/($IF248-$IE248),1))))</f>
        <v>#N/A</v>
      </c>
      <c r="KI248" s="222" t="e">
        <f ca="1">IF(Control!$C$114=1, $KI247+ $KH247, 0)</f>
        <v>#N/A</v>
      </c>
      <c r="KJ248" s="217" t="e">
        <f t="shared" ca="1" si="782"/>
        <v>#N/A</v>
      </c>
      <c r="KK248" s="218" t="e">
        <f t="shared" ca="1" si="783"/>
        <v>#N/A</v>
      </c>
      <c r="KL248" s="274" t="e">
        <f ca="1">IF(Control!$B$26=3,4000000000*EXP(-8400/($G248+273)),IF(Control!$B$26=4,4000000000*EXP(-8400/($G248+273))*($KT248),0))</f>
        <v>#DIV/0!</v>
      </c>
      <c r="KM248" s="274" t="e">
        <f ca="1">IF(Control!$B$26=3,5600000000000*EXP(-9800/($G248+273)),IF(Control!$B$26=4,5600000000000*EXP(-9800/($G248+273))*$KT248,0))</f>
        <v>#DIV/0!</v>
      </c>
      <c r="KN248" s="454" t="e">
        <f t="shared" ca="1" si="881"/>
        <v>#DIV/0!</v>
      </c>
      <c r="KO248" s="274" t="e">
        <f t="shared" ca="1" si="882"/>
        <v>#DIV/0!</v>
      </c>
      <c r="KP248" s="454" t="e">
        <f t="shared" ca="1" si="784"/>
        <v>#DIV/0!</v>
      </c>
      <c r="KQ248" s="454" t="e">
        <f t="shared" ca="1" si="785"/>
        <v>#DIV/0!</v>
      </c>
      <c r="KR248" s="454" t="e">
        <f t="shared" ca="1" si="786"/>
        <v>#DIV/0!</v>
      </c>
      <c r="KS248" s="454" t="e">
        <f t="shared" ca="1" si="787"/>
        <v>#DIV/0!</v>
      </c>
      <c r="KT248" s="455" t="e">
        <f t="shared" ca="1" si="788"/>
        <v>#DIV/0!</v>
      </c>
      <c r="KU248" s="456" t="e">
        <f ca="1">IF($CP248-Control!$C$149&lt;0, IF($NT248-0.01&lt;0,0,1),0)</f>
        <v>#N/A</v>
      </c>
      <c r="KV248" s="456" t="e">
        <f ca="1">IF(Control!$C$114=1,MAX(0,MIN(Control!$C$125*$KW248*$GN248,$KW248)))</f>
        <v>#DIV/0!</v>
      </c>
      <c r="KW248" s="456" t="e">
        <f t="shared" ca="1" si="915"/>
        <v>#DIV/0!</v>
      </c>
      <c r="KX248" s="457" t="e">
        <f ca="1">IF($CP248-Control!$C$149&lt;0, IF($MR248-$OM248&lt;0,0,1),0)</f>
        <v>#N/A</v>
      </c>
      <c r="KY248" s="167">
        <f t="shared" ca="1" si="883"/>
        <v>244</v>
      </c>
      <c r="KZ248" s="168">
        <f ca="1">1370*(1+0.033*COS(2*Control!$C$138*$AH248/365))</f>
        <v>1347.8461910772485</v>
      </c>
      <c r="LA248" s="169">
        <f t="shared" ca="1" si="884"/>
        <v>0.98382905400784104</v>
      </c>
      <c r="LB248" s="169">
        <f t="shared" ca="1" si="885"/>
        <v>0.13304667325607564</v>
      </c>
      <c r="LC248" s="169">
        <f ca="1">ACOS(-TAN((2*Control!$B$8/360))*TAN(Calculations!$LB248))</f>
        <v>1.6105836910866849</v>
      </c>
      <c r="LD248" s="169">
        <f ca="1">((24*60)/PI())*0.082*$LA248*(($LC248*SIN(Control!$B$8*2*PI()/360))*SIN($LB248)+COS(Control!$B$8*2*PI()/360)*COS($LB248)*SIN($LC248))</f>
        <v>28.772647971299328</v>
      </c>
      <c r="LE248" s="170">
        <f t="shared" ca="1" si="789"/>
        <v>29.038380764688391</v>
      </c>
      <c r="LF248" s="170">
        <f ca="1">SIN(Control!$C$139*Control!$B$8)*SIN($HD248)</f>
        <v>0.10456912235274884</v>
      </c>
      <c r="LG248" s="170">
        <f ca="1">COS(Control!$C$139*Control!$B$8)*COS($HD248)</f>
        <v>0.61021506911826373</v>
      </c>
      <c r="LH248" s="170">
        <f ca="1">12*(1+2*ASIN(MAX(-1,MIN(1,$LF248/$LG248))/Control!$C$138))</f>
        <v>13.309774368165534</v>
      </c>
      <c r="LI248" s="170">
        <f ca="1">12*(1+2*ASIN(MAX(-1,MIN(1,(-SIN(-4*Control!$C$139)+$LF248)/$LG248))/Control!$C$138))</f>
        <v>14.185442309074361</v>
      </c>
      <c r="LJ248" s="168">
        <f ca="1">3600*($LH248*$LF248+24*$LG248*SQRT(1-$LK248*$LK248)/Control!$C$138)</f>
        <v>21544.283729792525</v>
      </c>
      <c r="LK248" s="170">
        <f t="shared" ca="1" si="790"/>
        <v>0.17136437240700567</v>
      </c>
      <c r="LL248" s="170">
        <f t="shared" ca="1" si="791"/>
        <v>0</v>
      </c>
      <c r="LM248" s="171">
        <f ca="1">Control!$C$145*$AB248</f>
        <v>6.6660906138995932E-2</v>
      </c>
      <c r="LN248" s="170">
        <f t="shared" ca="1" si="886"/>
        <v>0.54</v>
      </c>
      <c r="LO248" s="170">
        <f t="shared" ca="1" si="792"/>
        <v>0</v>
      </c>
      <c r="LP248" s="170">
        <f ca="1">Control!$C$140*((($D248+273.16)^4+($E248+273.16)^4)/2)*(0.34-0.14*SQRT($Y248))*(1.35*$AQ248/(0.75*$LD248)-0.35)</f>
        <v>-3.2464704755046001</v>
      </c>
      <c r="LQ248" s="170">
        <f ca="1">Control!$C$140*($G248+273)^4*(0.56-0.079*SQRT($Y248*10))*(0.1+0.9*$LO248)</f>
        <v>1.5241745131704001</v>
      </c>
      <c r="LR248" s="170">
        <f ca="1">$AQ248*(1-Control!$C$142)-$LQ248</f>
        <v>-1.5241745131704001</v>
      </c>
      <c r="LS248" s="170">
        <f ca="1">$AQ248*(1-Control!$C$143)-$LQ248</f>
        <v>-1.5241745131704001</v>
      </c>
      <c r="LT248" s="170">
        <f ca="1">$AQ248*(1-Control!$C$144)-$LQ248</f>
        <v>-1.5241745131704001</v>
      </c>
      <c r="LU248" s="169">
        <f ca="1">(1-Control!$C$144)*AQ248-LP248</f>
        <v>3.2464704755046001</v>
      </c>
      <c r="LV248" s="172">
        <f t="shared" ca="1" si="793"/>
        <v>0.79430000000000012</v>
      </c>
      <c r="LW248" s="170">
        <f t="shared" ca="1" si="794"/>
        <v>1.5886000000000002</v>
      </c>
      <c r="LX248" s="170">
        <f ca="1">($AC248*($LR248/Control!$C$141)+$LM248*$LV248)/($AC248+$LM248)</f>
        <v>0.23530094218323697</v>
      </c>
      <c r="LY248" s="170">
        <f ca="1">($AC248*($LS248/Control!$C$141)+$LM248*$LV248)/($AC248+$LM248)</f>
        <v>0.23530094218323697</v>
      </c>
      <c r="LZ248" s="170">
        <f t="shared" ca="1" si="795"/>
        <v>0.23530094218323697</v>
      </c>
      <c r="MA248" s="170">
        <f t="shared" ca="1" si="796"/>
        <v>0.23530094218323697</v>
      </c>
      <c r="MB248" s="170" t="e">
        <f t="shared" ca="1" si="797"/>
        <v>#N/A</v>
      </c>
      <c r="MC248" s="170">
        <f t="shared" ca="1" si="887"/>
        <v>0.6018</v>
      </c>
      <c r="MD248" s="170">
        <f t="shared" ca="1" si="798"/>
        <v>0.52989392535414004</v>
      </c>
      <c r="ME248" s="170">
        <f ca="1">($AC248*($LT248/Control!$C$141)+$LM248*$LW248)/($AC248+$LM248)</f>
        <v>0.71612369323045078</v>
      </c>
      <c r="MF248" s="170" t="e">
        <f ca="1">IF(Control!$B$16&gt;=1000,0.92,IF(AND(720&lt;=Control!$B$16,1000&gt;Control!$B$16),(0.95+(Control!$B$16-720)*((0.92-0.95)/(1000-720))),IF(AND(360&lt;=Control!$B$16,720&gt;Control!$B$16),(1+(Control!$B$16-360)*((0.95-1)/(720-360))),IF(AND(40&lt;=Control!$B$16,360&gt;Control!$B$16),(1.05+(Control!$B$16-40)*((1.05-1)/(360-40)))))))</f>
        <v>#N/A</v>
      </c>
      <c r="MG248" s="170">
        <f t="shared" ca="1" si="799"/>
        <v>0.71612369323045078</v>
      </c>
      <c r="MH248" s="170" t="e">
        <f t="shared" ca="1" si="926"/>
        <v>#N/A</v>
      </c>
      <c r="MI248" s="170" t="e">
        <f t="shared" ca="1" si="926"/>
        <v>#N/A</v>
      </c>
      <c r="MJ248" s="170" t="e">
        <f ca="1">MAX(0.0001, Control!$C$132*$MI248*$DL248)</f>
        <v>#N/A</v>
      </c>
      <c r="MK248" s="170">
        <f ca="1">1/(0.76+1.5*($MG248/10))-(5-Control!$C$110)*0.1</f>
        <v>1.002845988140797</v>
      </c>
      <c r="ML248" s="173">
        <f ca="1">IF(Control!$C$110&lt;3,$MK248+($MG248-0.6)/(Control!$C$110*(Control!$C$110+3)), MAX(0.1, MIN(0.95,$MK248)))</f>
        <v>0.95</v>
      </c>
      <c r="MM248" s="173">
        <f ca="1">IF(Control!$C$110&lt;3,$MK248+(($MI248/10)-0.6)/(Control!$C$110*(Control!$C$110+3)), MAX(0.1, MIN(0.95,$MK248)))</f>
        <v>0.95</v>
      </c>
      <c r="MN248" s="173">
        <f ca="1">(1-$MM248)*(Control!$C$128-Control!$C$127)+Control!$C$127</f>
        <v>0.16</v>
      </c>
      <c r="MO248" s="170" t="e">
        <f ca="1">MAX(0,MIN(1,($MS248-Control!$C$127)/($MN248-Control!$C$127)))</f>
        <v>#DIV/0!</v>
      </c>
      <c r="MP248" s="173" t="e">
        <f ca="1">1/(0.76+1.5*$MI248)-(5-Control!$C$110)*0.1</f>
        <v>#N/A</v>
      </c>
      <c r="MQ248" s="172" t="e">
        <f t="shared" ca="1" si="916"/>
        <v>#DIV/0!</v>
      </c>
      <c r="MR248" s="168" t="e">
        <f t="shared" ca="1" si="888"/>
        <v>#DIV/0!</v>
      </c>
      <c r="MS248" s="173" t="e">
        <f ca="1">MAX(Control!$C$127, MIN(Control!$C$135, $MR248/MAX(0.0001,$CY248)))</f>
        <v>#DIV/0!</v>
      </c>
      <c r="MT248" s="168" t="e">
        <f ca="1">(Control!$C$128-$MS248)*Control!$C$74</f>
        <v>#DIV/0!</v>
      </c>
      <c r="MU248" s="168" t="e">
        <f ca="1">(Control!$C$135-$MS248)*Control!$C$74</f>
        <v>#DIV/0!</v>
      </c>
      <c r="MV248" s="168" t="e">
        <f t="shared" ca="1" si="889"/>
        <v>#DIV/0!</v>
      </c>
      <c r="MW248" s="168" t="e">
        <f t="shared" ca="1" si="890"/>
        <v>#DIV/0!</v>
      </c>
      <c r="MX248" s="171" t="e">
        <f ca="1">MAX(Control!$C$127, MIN(Control!$C$135, $MW248/MAX(0.0001,Control!$C$119-$CY248)))</f>
        <v>#DIV/0!</v>
      </c>
      <c r="MY248" s="54" t="e">
        <f ca="1">IF(Control!$C$114=1, $CX248*$MX248, 0)</f>
        <v>#DIV/0!</v>
      </c>
      <c r="MZ248" s="54" t="e">
        <f t="shared" ca="1" si="891"/>
        <v>#N/A</v>
      </c>
      <c r="NA248" s="168" t="e">
        <f ca="1">(Control!$C$128-$MX248)*(Control!$C$119-Control!$C$74)</f>
        <v>#DIV/0!</v>
      </c>
      <c r="NB248" s="168" t="e">
        <f ca="1">(Control!$C$135-$MX248)*(Control!$C$119-Control!$C$74)</f>
        <v>#DIV/0!</v>
      </c>
      <c r="NC248" s="174" t="e">
        <f t="shared" ca="1" si="892"/>
        <v>#DIV/0!</v>
      </c>
      <c r="ND248" s="54">
        <f ca="1">IF(Control!$C$58=2, IF(OR(Control!$B$218=$AH248,Control!$B$219=$AH248, Control!$B$220=$AH248, Control!$B$221=$AH248, Control!$B$222=$AH248, Control!$B$223=$AH248, Control!$B$224=$AH248, Control!$B$225=$AH248, Control!$B$226=$AH248, Control!$B$227=$AH248, Control!$B$228=$AH248), 1, 0), 0)</f>
        <v>0</v>
      </c>
      <c r="NE248" s="54">
        <f ca="1">IF($ND248=0,0, VLOOKUP($AH248,Control!$B$218:$C$228,2))</f>
        <v>0</v>
      </c>
      <c r="NF248" s="168" t="e">
        <f ca="1">$CY248*(Control!$C$128-Control!$C$127)</f>
        <v>#N/A</v>
      </c>
      <c r="NG248" s="54" t="e">
        <f ca="1">IF(Control!$C$58=2, $NI247-$NJ247, 0)</f>
        <v>#DIV/0!</v>
      </c>
      <c r="NH248" s="54" t="e">
        <f ca="1">IF(AND(Control!$C$58=1, $MS247&lt;= ($MN247+0.02), $I247&lt;10), 0, IF(Control!$C$58=2, $NG247, 0))</f>
        <v>#DIV/0!</v>
      </c>
      <c r="NI248" s="54" t="e">
        <f ca="1">IF(Control!$C$58=2, $NE248+$NH248,0)</f>
        <v>#DIV/0!</v>
      </c>
      <c r="NJ248" s="54" t="e">
        <f ca="1">IF(AND(Control!$C$58=1, $MS248&lt;= ($MN248+0.02), $I248&lt;10), MAX(0, MIN(10, 0.7*($NF248-$MV248))), IF(Control!$C$58=2, MIN(10,$NI248),0))</f>
        <v>#DIV/0!</v>
      </c>
      <c r="NK248" s="54" t="e">
        <f t="shared" ca="1" si="800"/>
        <v>#DIV/0!</v>
      </c>
      <c r="NL248" s="173" t="e">
        <f ca="1">(1-Control!$C$73)*$I248+$NJ248</f>
        <v>#DIV/0!</v>
      </c>
      <c r="NM248" s="172" t="e">
        <f ca="1">IF($NL248&lt;0.5, $MB248* MAX(0, MIN(1, (SQRT($NC248)-SQRT($NC248-1))*Control!$C$71)),0)</f>
        <v>#DIV/0!</v>
      </c>
      <c r="NN248" s="170" t="e">
        <f ca="1">IF($NL248&gt;=5, $MB248, MAX(0,MIN($MB248, $NM248+$NL248,($MS248-Control!$C$129))))</f>
        <v>#DIV/0!</v>
      </c>
      <c r="NO248" s="54">
        <f>IF(Control!$C$133&lt;&gt;1, Control!$C$135-Control!$C$131, 0)</f>
        <v>0.38</v>
      </c>
      <c r="NP248" s="54" t="e">
        <f t="shared" ca="1" si="801"/>
        <v>#DIV/0!</v>
      </c>
      <c r="NQ248" s="173" t="e">
        <f ca="1">MAX(0,MIN(1,(Control!$C$135-$MS248)/(Control!$C$135-$NO248)))</f>
        <v>#DIV/0!</v>
      </c>
      <c r="NR248" s="170" t="e">
        <f ca="1">IF(Control!$C$133&lt;&gt;1, $NQ248+((1-$NP248/4)*(1-$NQ248)),1)</f>
        <v>#DIV/0!</v>
      </c>
      <c r="NS248" s="170" t="e">
        <f ca="1">IF(Control!$B$31=0,$MJ248,MAX(0,MIN($MV248,$MO248*$NR248*$MJ248)))</f>
        <v>#DIV/0!</v>
      </c>
      <c r="NT248" s="170" t="e">
        <f t="shared" ca="1" si="917"/>
        <v>#DIV/0!</v>
      </c>
      <c r="NU248" s="170" t="e">
        <f t="shared" ca="1" si="893"/>
        <v>#N/A</v>
      </c>
      <c r="NV248" s="170" t="e">
        <f t="shared" ca="1" si="802"/>
        <v>#N/A</v>
      </c>
      <c r="NW248" s="175" t="e">
        <f t="shared" ca="1" si="803"/>
        <v>#DIV/0!</v>
      </c>
      <c r="NX248" s="170" t="e">
        <f ca="1">MIN(Control!$C$72+$MU248, $NW248)</f>
        <v>#DIV/0!</v>
      </c>
      <c r="NY248" s="170" t="e">
        <f ca="1">IF($MT248&lt;=$NX248,MIN(Control!$C$72+$NB248,$NX248-$MT248),0)</f>
        <v>#DIV/0!</v>
      </c>
      <c r="NZ248" s="54" t="e">
        <f ca="1">IF(Control!$C$114=1,  $CX248*($MX248-Control!$C$127), 0)</f>
        <v>#DIV/0!</v>
      </c>
      <c r="OA248" s="170" t="e">
        <f t="shared" ca="1" si="804"/>
        <v>#DIV/0!</v>
      </c>
      <c r="OB248" s="170" t="e">
        <f ca="1">IF($NA248 &lt;=$NY248, MIN(Control!$C$72, $NY248-$NA248), 0)</f>
        <v>#DIV/0!</v>
      </c>
      <c r="OC248" s="168" t="e">
        <f t="shared" ca="1" si="805"/>
        <v>#DIV/0!</v>
      </c>
      <c r="OD248" s="168" t="e">
        <f t="shared" ca="1" si="894"/>
        <v>#DIV/0!</v>
      </c>
      <c r="OE248" s="170">
        <f ca="1">Control!$C$73*$I248</f>
        <v>0</v>
      </c>
      <c r="OF248" s="176" t="e">
        <f t="shared" ca="1" si="806"/>
        <v>#DIV/0!</v>
      </c>
      <c r="OG248" s="168" t="e">
        <f t="shared" ca="1" si="807"/>
        <v>#DIV/0!</v>
      </c>
      <c r="OH248" s="168" t="e">
        <f t="shared" ca="1" si="808"/>
        <v>#DIV/0!</v>
      </c>
      <c r="OI248" s="168" t="e">
        <f t="shared" ca="1" si="809"/>
        <v>#DIV/0!</v>
      </c>
      <c r="OJ248" s="168" t="e">
        <f t="shared" ca="1" si="810"/>
        <v>#DIV/0!</v>
      </c>
      <c r="OK248" s="204" t="e">
        <f t="shared" ca="1" si="811"/>
        <v>#DIV/0!</v>
      </c>
      <c r="OL248" s="177">
        <f>Control!$C$127</f>
        <v>0.15</v>
      </c>
      <c r="OM248" s="182" t="e">
        <f t="shared" ca="1" si="812"/>
        <v>#N/A</v>
      </c>
      <c r="ON248" s="177">
        <f>Control!$C$128</f>
        <v>0.35</v>
      </c>
      <c r="OO248" s="182" t="e">
        <f t="shared" ca="1" si="813"/>
        <v>#N/A</v>
      </c>
      <c r="OP248" s="138">
        <f t="shared" ca="1" si="895"/>
        <v>0</v>
      </c>
      <c r="OQ248" s="138" t="e">
        <f t="shared" ca="1" si="918"/>
        <v>#DIV/0!</v>
      </c>
      <c r="OR248" s="138" t="e">
        <f t="shared" ca="1" si="896"/>
        <v>#DIV/0!</v>
      </c>
      <c r="OS248" s="137" t="e">
        <f t="shared" ca="1" si="919"/>
        <v>#DIV/0!</v>
      </c>
      <c r="OT248" s="139" t="e">
        <f t="shared" ca="1" si="920"/>
        <v>#DIV/0!</v>
      </c>
      <c r="OU248" s="138" t="e">
        <f t="shared" ca="1" si="921"/>
        <v>#N/A</v>
      </c>
      <c r="OV248" s="138" t="e">
        <f t="shared" ca="1" si="922"/>
        <v>#DIV/0!</v>
      </c>
      <c r="OW248" s="138" t="e">
        <f t="shared" ca="1" si="897"/>
        <v>#DIV/0!</v>
      </c>
      <c r="OX248" s="138" t="e">
        <f t="shared" ca="1" si="898"/>
        <v>#DIV/0!</v>
      </c>
      <c r="OY248" s="138" t="e">
        <f t="shared" ca="1" si="899"/>
        <v>#DIV/0!</v>
      </c>
      <c r="OZ248" s="138" t="e">
        <f t="shared" ca="1" si="814"/>
        <v>#DIV/0!</v>
      </c>
      <c r="PA248" s="138" t="e">
        <f t="shared" ca="1" si="815"/>
        <v>#DIV/0!</v>
      </c>
      <c r="PB248" s="55">
        <f>IF(Control!$C$61="T", IF(Control!$C$65="F", IF($AH$6-Control!$C$60&lt;0,0,1), IF(365+$AH$6-Control!$C$60&lt;0,0,1)),0)</f>
        <v>0</v>
      </c>
      <c r="PC248" s="55">
        <f ca="1">IF(Control!$C$65="F", IF($AH$6-$HF248&lt;0,0,1), IF(365+$AH$6-$HF248&lt;0,0,1))</f>
        <v>1</v>
      </c>
      <c r="PD248" s="444">
        <f>Control!$C$118</f>
        <v>1500</v>
      </c>
      <c r="PE248" s="180" t="e">
        <f t="shared" ca="1" si="816"/>
        <v>#N/A</v>
      </c>
      <c r="PF248" s="445">
        <f t="shared" ca="1" si="900"/>
        <v>0.71612369323045078</v>
      </c>
      <c r="PT248" s="186"/>
      <c r="PU248" s="186"/>
      <c r="PV248" s="94"/>
      <c r="PW248" s="94"/>
      <c r="PX248" s="94"/>
      <c r="PY248" s="94"/>
      <c r="PZ248" s="94"/>
      <c r="QA248" s="94"/>
      <c r="QB248" s="94"/>
      <c r="QC248" s="94"/>
      <c r="QD248" s="94"/>
      <c r="QE248" s="94"/>
      <c r="QF248" s="94"/>
      <c r="QG248" s="94"/>
      <c r="QH248" s="94"/>
      <c r="QI248" s="94"/>
      <c r="QJ248" s="94"/>
      <c r="QK248" s="94"/>
      <c r="QL248" s="94"/>
      <c r="QM248" s="94"/>
      <c r="QN248" s="94"/>
      <c r="QO248" s="94"/>
      <c r="QP248" s="94"/>
    </row>
    <row r="249" spans="1:458" s="2" customFormat="1" x14ac:dyDescent="0.2">
      <c r="A249" s="395">
        <v>1</v>
      </c>
      <c r="B249" s="396">
        <v>9</v>
      </c>
      <c r="C249" s="387">
        <f ca="1">Weather_data!$B248</f>
        <v>0</v>
      </c>
      <c r="D249" s="388">
        <f ca="1">Weather_data!$F248</f>
        <v>0</v>
      </c>
      <c r="E249" s="388">
        <f ca="1">Weather_data!$E248</f>
        <v>0</v>
      </c>
      <c r="F249" s="388">
        <f t="shared" ca="1" si="817"/>
        <v>0</v>
      </c>
      <c r="G249" s="388">
        <f ca="1">AVERAGE($D249:$E249)+Control!$B$9</f>
        <v>0</v>
      </c>
      <c r="H249" s="388">
        <f ca="1">Weather_data!$G248</f>
        <v>0</v>
      </c>
      <c r="I249" s="388">
        <f ca="1">Weather_data!$I248</f>
        <v>0</v>
      </c>
      <c r="J249" s="388">
        <f ca="1">Weather_data!$H248</f>
        <v>0</v>
      </c>
      <c r="K249" s="389">
        <f ca="1">Weather_data!$D248</f>
        <v>0</v>
      </c>
      <c r="L249" s="388" t="e">
        <f t="shared" ca="1" si="818"/>
        <v>#N/A</v>
      </c>
      <c r="M249" s="388" t="e">
        <f t="shared" ca="1" si="696"/>
        <v>#N/A</v>
      </c>
      <c r="N249" s="388">
        <f t="shared" ca="1" si="697"/>
        <v>-3.8010168784148428E-12</v>
      </c>
      <c r="O249" s="388">
        <f t="shared" ca="1" si="819"/>
        <v>3.8010168784148428E-11</v>
      </c>
      <c r="P249" s="390">
        <v>3</v>
      </c>
      <c r="Q249" s="388">
        <f ca="1">MAX($G249-Control!$C$107,0)</f>
        <v>0</v>
      </c>
      <c r="R249" s="388">
        <f t="shared" ca="1" si="820"/>
        <v>0</v>
      </c>
      <c r="S249" s="388">
        <f t="shared" ca="1" si="698"/>
        <v>0</v>
      </c>
      <c r="T249" s="388">
        <f t="shared" ca="1" si="699"/>
        <v>0</v>
      </c>
      <c r="U249" s="59">
        <f t="shared" ca="1" si="700"/>
        <v>0</v>
      </c>
      <c r="V249" s="391">
        <f ca="1">MAX(0,MIN(Control!$C$100-Control!$C$99,$G249-Control!$C$99)*Control!$C$63)</f>
        <v>0</v>
      </c>
      <c r="W249" s="388">
        <f t="shared" ca="1" si="821"/>
        <v>0</v>
      </c>
      <c r="X249" s="388">
        <f t="shared" ca="1" si="822"/>
        <v>0.6110000000000001</v>
      </c>
      <c r="Y249" s="388">
        <f t="shared" ca="1" si="701"/>
        <v>0</v>
      </c>
      <c r="Z249" s="388">
        <f t="shared" ca="1" si="823"/>
        <v>0.61058800000000002</v>
      </c>
      <c r="AA249" s="388">
        <f t="shared" ca="1" si="702"/>
        <v>0.6018</v>
      </c>
      <c r="AB249" s="388">
        <f ca="1">101.3*EXP(-0.034*Control!$C$66/($G249+273))</f>
        <v>100.69623283836242</v>
      </c>
      <c r="AC249" s="392">
        <f t="shared" ca="1" si="703"/>
        <v>4.3460251046025113E-2</v>
      </c>
      <c r="AD249" s="392">
        <f t="shared" ca="1" si="704"/>
        <v>4.4450382862832649E-2</v>
      </c>
      <c r="AE249" s="388">
        <f t="shared" ca="1" si="705"/>
        <v>0</v>
      </c>
      <c r="AF249" s="388">
        <f ca="1">MAX(0,$G249-Control!$C$92)</f>
        <v>0</v>
      </c>
      <c r="AG249" s="393">
        <f t="shared" ca="1" si="706"/>
        <v>245</v>
      </c>
      <c r="AH249" s="389">
        <f t="shared" ca="1" si="707"/>
        <v>245</v>
      </c>
      <c r="AI249" s="388">
        <f t="shared" ca="1" si="824"/>
        <v>0.12655983294878489</v>
      </c>
      <c r="AJ249" s="388">
        <f ca="1">IF(Control!$C$60&lt;=0,$HH249,$HI249)</f>
        <v>1</v>
      </c>
      <c r="AK249" s="388">
        <f t="shared" ca="1" si="708"/>
        <v>2.8403440429715934</v>
      </c>
      <c r="AL249" s="388">
        <f t="shared" ca="1" si="709"/>
        <v>-3.0658513922032784E-18</v>
      </c>
      <c r="AM249" s="388">
        <f t="shared" ca="1" si="710"/>
        <v>2.8403440429715934</v>
      </c>
      <c r="AN249" s="388">
        <f t="shared" ca="1" si="711"/>
        <v>0.11830815607929364</v>
      </c>
      <c r="AO249" s="388">
        <f ca="1">-0.10453/COS(Control!$B$8*PI()/180)*COS(AN249)</f>
        <v>-0.16859802545609984</v>
      </c>
      <c r="AP249" s="388">
        <f ca="1">ACOS(AO249-TAN(Control!$B$8*PI()/180)*TAN(AN249))</f>
        <v>1.8973028061074135</v>
      </c>
      <c r="AQ249" s="388">
        <f t="shared" ca="1" si="825"/>
        <v>0</v>
      </c>
      <c r="AR249" s="394">
        <f t="shared" ca="1" si="712"/>
        <v>0</v>
      </c>
      <c r="AS249" s="436">
        <f ca="1">IF(Control!$B$18=2,(IF(OR($AH249=Control!$B$175,$AH249=Control!$B$176,$AH249=Control!$B$177,$AH249=Control!$B$178,$AH249=Control!$B$179,$AH249=Control!$B$180,$AH249=Control!$B$181,$AH249=Control!$B$182,$AH249=Control!$B$183,$AH249=Control!$B$184,$AH249=Control!$B$185),1,0)),0)</f>
        <v>0</v>
      </c>
      <c r="AT249" s="436">
        <f>IF(Control!$B$20=8,IF(AND($AH249&gt;=Control!$B$172,$AH249&lt;=Control!$B$173),1,0),0)</f>
        <v>0</v>
      </c>
      <c r="AU249" s="436">
        <f>IF(Control!$B$20=8,IF($AV248=1,1*$AT249,IF($AT249=1,$AU248+1,$AU248)),0)</f>
        <v>0</v>
      </c>
      <c r="AV249" s="436">
        <f>IF(Control!$B$20=8,IF($AU249&gt;=Control!$B$174,1,0),0)</f>
        <v>0</v>
      </c>
      <c r="AW249" s="436">
        <f ca="1">IF(AND(Control!$B$18=2,Control!$B$171=1), $AV249, $AS249)</f>
        <v>0</v>
      </c>
      <c r="AX249" s="436" t="e">
        <f ca="1">IF(AND(Control!$B$18=1,$EU249&gt;=Control!$B$19),-$AY249,IF(AND(Control!$B$18=2,$AW249=1,$EU249&gt;$DS249),-$AY249, IF(Control!$C$108=0,0, IF(Control!$C$108&lt;&gt;0,1))))</f>
        <v>#N/A</v>
      </c>
      <c r="AY249" s="436" t="e">
        <f t="shared" ca="1" si="826"/>
        <v>#N/A</v>
      </c>
      <c r="AZ249" s="436" t="e">
        <f ca="1">IF(AND(Control!$B$18=1,$EB249&gt;Control!$B$19),$AZ248+1, IF(AND(Control!$B$18=2, $AW249=1, $EB249&gt;$DS249), $AZ248+1,$AZ248))</f>
        <v>#N/A</v>
      </c>
      <c r="BA249" s="587">
        <f>IF(Control!$C$81=0,1,IF($AH249&gt;=Control!$C$82,1,0))</f>
        <v>1</v>
      </c>
      <c r="BB249" s="140" t="e">
        <f ca="1">IF($BA249&gt;$BA248,Control!$C$83,IF($AW249&gt;0,$AW249*Control!$C$84,IF(AND(Control!$B$18=1,EN248&lt;&gt;0),Control!$C$84,0)))</f>
        <v>#N/A</v>
      </c>
      <c r="BC249" s="140" t="e">
        <f t="shared" ca="1" si="827"/>
        <v>#N/A</v>
      </c>
      <c r="BD249" s="140" t="e">
        <f ca="1">BC249*IF(OR($G249&lt;Control!$C$92,$G249&gt;Control!$C$95),0,IF(AND($G249&gt;=Control!$C$92,$G249&lt;=Control!$C$93),$G249-Control!$C$92,IF(AND($G249&gt;Control!$C$93,$G249&lt;=Control!$C$94),Control!$C$93-Control!$C$92,IF(AND($G249&gt;Control!$C$94,$G249&lt;=Control!$C$95),(Control!$C$93-Control!$C$92)*(Control!$C$94-$G249)/(Control!$C$95-Control!$C$94)))))</f>
        <v>#N/A</v>
      </c>
      <c r="BE249" s="140" t="e">
        <f t="shared" ca="1" si="828"/>
        <v>#N/A</v>
      </c>
      <c r="BF249" s="140" t="e">
        <f ca="1">IF($BE249&lt;=Control!$C$86,$BE249,Control!$C$86-$BE249)</f>
        <v>#N/A</v>
      </c>
      <c r="BG249" s="140" t="e">
        <f ca="1">IF(AND($AW249=1,Control!$C$84&lt;9),1,IF($BE249&gt;=Control!$C$86,0,$BC249))</f>
        <v>#N/A</v>
      </c>
      <c r="BH249" s="404" t="e">
        <f ca="1">IF($BG249=0,0,IF($BE249&lt;=Control!$C$86,$BC249*9*($BF249/Control!$C$86),0))</f>
        <v>#N/A</v>
      </c>
      <c r="BI249" s="140" t="e">
        <f ca="1">IF($BG249=1,0,IF($BE249&gt;=Control!$C$86,1,IF(AND($BB249&lt;21,$BB249&gt;=9),1,$BM248)))</f>
        <v>#N/A</v>
      </c>
      <c r="BJ249" s="140" t="e">
        <f ca="1">IF($BF249&lt;0,-$BF249,$BI249*IF(OR($G249&lt;Control!$C$92,$G249&gt;Control!$C$95),0,IF(AND($G249&gt;=Control!$C$92,$G249&lt;=Control!$C$93),$G249-Control!$C$92,IF(AND($G249&gt;Control!$C$93,$G249&lt;=Control!$C$94),Control!$C$93-Control!$C$92,IF(AND($G249&gt;Control!$C$94,$G249&lt;=Control!$C$95),(Control!$C$93-Control!$C$92)*(Control!$C$94-$G249)/(Control!$C$95-Control!$C$94))))))</f>
        <v>#N/A</v>
      </c>
      <c r="BK249" s="140" t="e">
        <f t="shared" ca="1" si="829"/>
        <v>#N/A</v>
      </c>
      <c r="BL249" s="140" t="e">
        <f ca="1">IF($BK249&lt;=Control!$C$87,$BK249,Control!$C$87-$BK249)</f>
        <v>#N/A</v>
      </c>
      <c r="BM249" s="140" t="e">
        <f ca="1">IF(AND($BB249&gt;=9,$BB249&lt;21),1,IF($BK249&gt;=Control!$C$87,0,$BI249))</f>
        <v>#N/A</v>
      </c>
      <c r="BN249" s="404" t="e">
        <f ca="1">IF($BM249=0,0,IF($BK249&lt;=Control!$C$87,$BI249*(9+(21-9)*($BL249/Control!$C$87)),0))</f>
        <v>#N/A</v>
      </c>
      <c r="BO249" s="140" t="e">
        <f ca="1">IF($BM249=1,0,IF($BK249&gt;=Control!$C$87,1,IF(AND($BB249&lt;30,$BB249&gt;=21),1,$BS248)))</f>
        <v>#N/A</v>
      </c>
      <c r="BP249" s="140" t="e">
        <f ca="1">IF($BL249&lt;0,-$BL249,$BO249*IF(OR($G249&lt;Control!$C$92,$G249&gt;Control!$C$95),0,IF(AND($G249&gt;=Control!$C$92,$G249&lt;=Control!$C$93),$G249-Control!$C$92,IF(AND($G249&gt;Control!$C$93,$G249&lt;=Control!$C$94),Control!$C$93-Control!$C$92,IF(AND($G249&gt;Control!$C$94,$G249&lt;=Control!$C$95),(Control!$C$93-Control!$C$92)*(Control!$C$94-$G249)/(Control!$C$95-Control!$C$94))))))</f>
        <v>#N/A</v>
      </c>
      <c r="BQ249" s="140" t="e">
        <f t="shared" ca="1" si="713"/>
        <v>#N/A</v>
      </c>
      <c r="BR249" s="140" t="e">
        <f ca="1">IF($BQ249&lt;=Control!$C$88,$BQ249,Control!$C$88-$BQ249)</f>
        <v>#N/A</v>
      </c>
      <c r="BS249" s="140" t="e">
        <f ca="1">IF(AND($BB249&gt;=21,$BB249&lt;30),1,IF($BQ249&gt;=Control!$C$88,0,$BO249))</f>
        <v>#N/A</v>
      </c>
      <c r="BT249" s="404" t="e">
        <f ca="1">IF($BS249=0,0,IF($BQ249&lt;=Control!$C$88,$BO249*(21+(30-21)*(BR249/Control!$C$88)),0))</f>
        <v>#N/A</v>
      </c>
      <c r="BU249" s="140" t="e">
        <f ca="1">IF(BG249+BM249+BS249=1,0,IF(OR(AND($BB249&lt;60,$BB249&gt;=30),$BQ249&gt;=Control!$C$88),1*$BA249,$BY248))</f>
        <v>#N/A</v>
      </c>
      <c r="BV249" s="140" t="e">
        <f ca="1">IF($BR249&lt;0,-$BR249,$BU249*IF(OR($G249&lt;Control!$C$92,$G249&gt;Control!$C$95),0,IF(AND($G249&gt;=Control!$C$92,$G249&lt;=Control!$C$93),$G249-Control!$C$92,IF(AND($G249&gt;Control!$C$93,$G249&lt;=Control!$C$94),Control!$C$93-Control!$C$92,IF(AND($G249&gt;Control!$C$94,$G249&lt;=Control!$C$95),(Control!$C$93-Control!$C$92)*(Control!$C$94-$G249)/(Control!$C$95-Control!$C$94))))))</f>
        <v>#N/A</v>
      </c>
      <c r="BW249" s="140" t="e">
        <f t="shared" ca="1" si="714"/>
        <v>#N/A</v>
      </c>
      <c r="BX249" s="140" t="e">
        <f ca="1">IF($BW249&lt;=Control!$C$89,$BW249,Control!$C$89-$BW249)</f>
        <v>#N/A</v>
      </c>
      <c r="BY249" s="140" t="e">
        <f ca="1">IF(AND($AJ249&gt;=30,$AJ249&lt;60),1,IF($BW249&gt;=Control!$C$89,0,$BU249))</f>
        <v>#N/A</v>
      </c>
      <c r="BZ249" s="404" t="e">
        <f ca="1">IF($BY249=0,0,IF($BW249&lt;=Control!$C$89,$BU249*(30+(60-30)*(BX249/Control!$C$89)),0))</f>
        <v>#N/A</v>
      </c>
      <c r="CA249" s="140" t="e">
        <f ca="1">IF($BG249+$BM249+$BS249+$BY249=1,0,IF(OR(AND($BB249&lt;65,$BB249&gt;=60),$BW249&gt;=Control!$C$89),1*$BA249,$CE248))</f>
        <v>#N/A</v>
      </c>
      <c r="CB249" s="140" t="e">
        <f ca="1">IF($BX249&lt;0,-$BX249,$CA249*IF(OR($G249&lt;Control!$C$92,$G249&gt;Control!$C$95),0,IF(AND($G249&gt;=Control!$C$92,$G249&lt;=Control!$C$93),$G249-Control!$C$92,IF(AND($G249&gt;Control!$C$93,$G249&lt;=Control!$C$94),Control!$C$93-Control!$C$92,IF(AND($G249&gt;Control!$C$94,$G249&lt;=Control!$C$95),(Control!$C$93-Control!$C$92)*(Control!$C$94-$G249)/(Control!$C$95-Control!$C$94))))))</f>
        <v>#N/A</v>
      </c>
      <c r="CC249" s="140" t="e">
        <f t="shared" ca="1" si="830"/>
        <v>#N/A</v>
      </c>
      <c r="CD249" s="140" t="e">
        <f ca="1">IF($CC249&lt;=Control!$C$90,$CC249,Control!$C$90-$CC249)</f>
        <v>#N/A</v>
      </c>
      <c r="CE249" s="140" t="e">
        <f ca="1">IF(AND($BB249&gt;=60,$BB249&lt;65),1,IF($CC249&gt;=Control!$C$90,0,$CA249))</f>
        <v>#N/A</v>
      </c>
      <c r="CF249" s="404" t="e">
        <f ca="1">IF($CE249=0,0,IF($CC249&lt;=Control!$C$90,$CA249*(60+(65-60)*(CD249/Control!$C$90)),0))</f>
        <v>#N/A</v>
      </c>
      <c r="CG249" s="140" t="e">
        <f ca="1">IF($BG249+$BM249+$BS249+$BY249+$CE249=1,0,IF(OR(AND($BB249&lt;90,$BB249&gt;=65),$CC249&gt;=Control!$C$90),$BA249,$CK248))</f>
        <v>#N/A</v>
      </c>
      <c r="CH249" s="140" t="e">
        <f ca="1">IF($CD249&lt;0,-$CD249,$CG249*IF(OR($G249&lt;Control!$C$92,$G249&gt;Control!$C$95),0,IF(AND($G249&gt;=Control!$C$92,$G249&lt;=Control!$C$93),$G249-Control!$C$92,IF(AND($G249&gt;Control!$C$93,$G249&lt;=Control!$C$94),Control!$C$93-Control!$C$92,IF(AND($G249&gt;Control!$C$94,$G249&lt;=Control!$C$95),(Control!$C$93-Control!$C$92)*(Control!$C$94-$G249)/(Control!$C$95-Control!$C$94))))))</f>
        <v>#N/A</v>
      </c>
      <c r="CI249" s="140" t="e">
        <f t="shared" ca="1" si="831"/>
        <v>#N/A</v>
      </c>
      <c r="CJ249" s="140" t="e">
        <f ca="1">IF($CI249&lt;=Control!$C$91,$CI249,Control!$C$91-$CI249)</f>
        <v>#N/A</v>
      </c>
      <c r="CK249" s="140" t="e">
        <f ca="1">IF(AND($BB249&gt;=65,$BB249&lt;90),1,IF($CI249&gt;=Control!$C$91,0,$CG249))</f>
        <v>#N/A</v>
      </c>
      <c r="CL249" s="404" t="e">
        <f ca="1">IF($CK249=0,0,IF($CI249&lt;=Control!$C$91,$CG249*(65+(90-65)*($CJ249/Control!$C$91)),0))</f>
        <v>#N/A</v>
      </c>
      <c r="CM249" s="140" t="e">
        <f ca="1">IF($BG249+$BM249+$BS249+$BY249+$CE249+$CK249=1,0,IF(OR($BB249&gt;=90,$CI249&gt;=Control!$C$91),$BA249,$CM248))</f>
        <v>#N/A</v>
      </c>
      <c r="CN249" s="140" t="e">
        <f t="shared" ca="1" si="832"/>
        <v>#N/A</v>
      </c>
      <c r="CO249" s="140" t="e">
        <f t="shared" ca="1" si="833"/>
        <v>#N/A</v>
      </c>
      <c r="CP249" s="140" t="e">
        <f t="shared" ca="1" si="834"/>
        <v>#N/A</v>
      </c>
      <c r="CQ249" s="141" t="e">
        <f ca="1">VLOOKUP($CP249,Control!$B$86:$G$91,6)</f>
        <v>#N/A</v>
      </c>
      <c r="CR249" s="141" t="e">
        <f ca="1">(1-$CQ249)*VLOOKUP($CP249,Control!$B$86:$D$91,3)</f>
        <v>#N/A</v>
      </c>
      <c r="CS249" s="141" t="e">
        <f ca="1">(1-$CQ249)*VLOOKUP($CP249,Control!$B$86:$E$91,4)</f>
        <v>#N/A</v>
      </c>
      <c r="CT249" s="141" t="e">
        <f ca="1">(1-$CQ249)*VLOOKUP($CP249,Control!$B$86:$F$91,5)</f>
        <v>#N/A</v>
      </c>
      <c r="CU249" s="141">
        <f t="shared" ca="1" si="835"/>
        <v>0</v>
      </c>
      <c r="CV249" s="583">
        <f t="shared" ca="1" si="836"/>
        <v>0</v>
      </c>
      <c r="CW249" s="142">
        <f t="shared" ca="1" si="837"/>
        <v>245</v>
      </c>
      <c r="CX249" s="612" t="e">
        <f ca="1">IF(Control!$C$114=1,(MIN(Control!$C$120*(IF($NT249-0.01&lt;0,0,1)),Control!$C$119-$CY249)))</f>
        <v>#DIV/0!</v>
      </c>
      <c r="CY249" s="143" t="e">
        <f t="shared" ca="1" si="838"/>
        <v>#N/A</v>
      </c>
      <c r="CZ249" s="144">
        <f t="shared" ca="1" si="715"/>
        <v>0</v>
      </c>
      <c r="DA249" s="144">
        <f t="shared" ca="1" si="716"/>
        <v>0</v>
      </c>
      <c r="DB249" s="144" t="e">
        <f t="shared" ca="1" si="717"/>
        <v>#N/A</v>
      </c>
      <c r="DC249" s="144" t="e">
        <f t="shared" ca="1" si="718"/>
        <v>#N/A</v>
      </c>
      <c r="DD249" s="144" t="e">
        <f t="shared" ca="1" si="923"/>
        <v>#N/A</v>
      </c>
      <c r="DE249" s="143" t="e">
        <f t="shared" ca="1" si="839"/>
        <v>#N/A</v>
      </c>
      <c r="DF249" s="145" t="e">
        <f ca="1">$DR249*EXP(-Control!$C$158*(1-$KH249))</f>
        <v>#N/A</v>
      </c>
      <c r="DG249" s="146" t="e">
        <f ca="1">IF(Control!$C$114=1, $DF249*$EY249, 0)</f>
        <v>#N/A</v>
      </c>
      <c r="DH249" s="147" t="e">
        <f t="shared" ca="1" si="840"/>
        <v>#N/A</v>
      </c>
      <c r="DI249" s="144" t="e">
        <f t="shared" ca="1" si="901"/>
        <v>#N/A</v>
      </c>
      <c r="DJ249" s="147" t="e">
        <f ca="1">$EF249*Control!$C$109</f>
        <v>#N/A</v>
      </c>
      <c r="DK249" s="144" t="e">
        <f t="shared" ca="1" si="841"/>
        <v>#N/A</v>
      </c>
      <c r="DL249" s="144" t="e">
        <f t="shared" ca="1" si="719"/>
        <v>#N/A</v>
      </c>
      <c r="DM249" s="144" t="e">
        <f ca="1">IF(Control!$C$114=1, (1-EXP(-Control!$C$96*$DK249))*$AR249, 0)</f>
        <v>#N/A</v>
      </c>
      <c r="DN249" s="144">
        <f t="shared" ca="1" si="842"/>
        <v>0</v>
      </c>
      <c r="DO249" s="148">
        <f>Control!$C$97</f>
        <v>4</v>
      </c>
      <c r="DP249" s="145" t="e">
        <f t="shared" ca="1" si="843"/>
        <v>#N/A</v>
      </c>
      <c r="DQ249" s="145" t="e">
        <f ca="1">IF(AND($CP249&gt;=0,$CP249&lt;=90),Control!$C$111,Control!$C$111)</f>
        <v>#N/A</v>
      </c>
      <c r="DR249" s="145" t="e">
        <f t="shared" ca="1" si="720"/>
        <v>#N/A</v>
      </c>
      <c r="DS249" s="143" t="e">
        <f ca="1">Control!$B$22/$DR249</f>
        <v>#N/A</v>
      </c>
      <c r="DT249" s="149" t="e">
        <f ca="1">IF(AND(Control!$C$114=1,$KH249&lt;1),$IM249*$DF249, 0)</f>
        <v>#N/A</v>
      </c>
      <c r="DU249" s="144" t="e">
        <f t="shared" ca="1" si="844"/>
        <v>#N/A</v>
      </c>
      <c r="DV249" s="144">
        <f ca="1">IF($G249-Control!$C$107&lt;=0, 0, 0.83*LN(MAX($G249, 3))-0.8924)</f>
        <v>0</v>
      </c>
      <c r="DW249" s="144" t="e">
        <f t="shared" ca="1" si="721"/>
        <v>#N/A</v>
      </c>
      <c r="DX249" s="150" t="e">
        <f ca="1">MAX(0.01*(1+$CU249/Control!$C$102),0.05*($DK249-Control!$C$97)/Control!$C$97)</f>
        <v>#N/A</v>
      </c>
      <c r="DY249" s="151" t="e">
        <f ca="1">IF(Control!$C$114=1, $DI249*$FS249, 0)</f>
        <v>#N/A</v>
      </c>
      <c r="DZ249" s="196" t="e">
        <f t="shared" ca="1" si="845"/>
        <v>#N/A</v>
      </c>
      <c r="EA249" s="152">
        <f t="shared" ca="1" si="846"/>
        <v>245</v>
      </c>
      <c r="EB249" s="153" t="e">
        <f t="shared" ca="1" si="847"/>
        <v>#N/A</v>
      </c>
      <c r="EC249" s="153" t="e">
        <f t="shared" ca="1" si="848"/>
        <v>#N/A</v>
      </c>
      <c r="ED249" s="154" t="e">
        <f ca="1">IF(Control!$C$114=1, $HM249*$FY249-$FD249, 0)</f>
        <v>#DIV/0!</v>
      </c>
      <c r="EE249" s="155" t="e">
        <f ca="1">IF(Control!$C$114=1, $HM249*$FZ249-$FF249, 0)</f>
        <v>#DIV/0!</v>
      </c>
      <c r="EF249" s="153" t="e">
        <f t="shared" ca="1" si="902"/>
        <v>#N/A</v>
      </c>
      <c r="EG249" s="155" t="e">
        <f ca="1">IF(Control!$C$114=1, $GX249*$FW249-$FI249, 0)</f>
        <v>#DIV/0!</v>
      </c>
      <c r="EH249" s="153" t="e">
        <f t="shared" ca="1" si="849"/>
        <v>#N/A</v>
      </c>
      <c r="EI249" s="156" t="e">
        <f t="shared" ca="1" si="850"/>
        <v>#N/A</v>
      </c>
      <c r="EJ249" s="155" t="e">
        <f ca="1">IF(Control!$C$114=1, $HM249*$GB249, 0)</f>
        <v>#DIV/0!</v>
      </c>
      <c r="EK249" s="153" t="e">
        <f t="shared" ca="1" si="903"/>
        <v>#N/A</v>
      </c>
      <c r="EL249" s="153" t="e">
        <f t="shared" ca="1" si="722"/>
        <v>#N/A</v>
      </c>
      <c r="EM249" s="153" t="e">
        <f t="shared" ca="1" si="723"/>
        <v>#N/A</v>
      </c>
      <c r="EN249" s="153" t="e">
        <f ca="1">IF(Control!$C$108=1,IF(AND(Control!$B$18=1,$EB249&gt;=Control!$B$19),$EB249-$DS249,IF(AND(Control!$B$18=2,$AW249=1,$EB249&gt;$DS249),$EB249-$DS249,0)))</f>
        <v>#N/A</v>
      </c>
      <c r="EO249" s="153" t="e">
        <f ca="1">IF(Control!$C$108=1,IF(AND(Control!$B$18=1,$EB249&gt;=Control!$B$19),$EF249,IF(AND(Control!$B$18=2,$AW249=1),$EF249,0)))</f>
        <v>#N/A</v>
      </c>
      <c r="EP249" s="153" t="e">
        <f ca="1">IF(Control!$C$108=1,IF(AND(Control!$B$18=1,$EB249&gt;=Control!$B$19),$EK249,IF(AND(Control!$B$18=2,$AW249=1),$EK249,0)))</f>
        <v>#N/A</v>
      </c>
      <c r="EQ249" s="153" t="e">
        <f t="shared" ca="1" si="851"/>
        <v>#N/A</v>
      </c>
      <c r="ER249" s="153" t="e">
        <f t="shared" ca="1" si="852"/>
        <v>#N/A</v>
      </c>
      <c r="ES249" s="153" t="e">
        <f t="shared" ca="1" si="904"/>
        <v>#N/A</v>
      </c>
      <c r="ET249" s="153" t="e">
        <f t="shared" ca="1" si="905"/>
        <v>#N/A</v>
      </c>
      <c r="EU249" s="153" t="e">
        <f t="shared" ca="1" si="853"/>
        <v>#N/A</v>
      </c>
      <c r="EV249" s="153" t="e">
        <f t="shared" ca="1" si="724"/>
        <v>#N/A</v>
      </c>
      <c r="EW249" s="153" t="e">
        <f t="shared" ca="1" si="725"/>
        <v>#N/A</v>
      </c>
      <c r="EX249" s="153" t="e">
        <f t="shared" ca="1" si="726"/>
        <v>#N/A</v>
      </c>
      <c r="EY249" s="157" t="e">
        <f t="shared" ca="1" si="727"/>
        <v>#DIV/0!</v>
      </c>
      <c r="EZ249" s="154" t="e">
        <f t="shared" ca="1" si="728"/>
        <v>#DIV/0!</v>
      </c>
      <c r="FA249" s="153" t="e">
        <f t="shared" ca="1" si="854"/>
        <v>#N/A</v>
      </c>
      <c r="FB249" s="153" t="e">
        <f t="shared" ca="1" si="729"/>
        <v>#N/A</v>
      </c>
      <c r="FC249" s="193" t="e">
        <f t="shared" ca="1" si="730"/>
        <v>#N/A</v>
      </c>
      <c r="FD249" s="158" t="e">
        <f t="shared" ca="1" si="855"/>
        <v>#N/A</v>
      </c>
      <c r="FE249" s="158" t="e">
        <f t="shared" ca="1" si="856"/>
        <v>#N/A</v>
      </c>
      <c r="FF249" s="159" t="e">
        <f t="shared" ca="1" si="731"/>
        <v>#N/A</v>
      </c>
      <c r="FG249" s="160" t="e">
        <f t="shared" ca="1" si="857"/>
        <v>#N/A</v>
      </c>
      <c r="FH249" s="158" t="e">
        <f t="shared" ca="1" si="858"/>
        <v>#N/A</v>
      </c>
      <c r="FI249" s="159" t="e">
        <f t="shared" ca="1" si="732"/>
        <v>#N/A</v>
      </c>
      <c r="FJ249" s="160" t="e">
        <f t="shared" ca="1" si="859"/>
        <v>#N/A</v>
      </c>
      <c r="FK249" s="160" t="e">
        <f t="shared" ca="1" si="733"/>
        <v>#N/A</v>
      </c>
      <c r="FL249" s="160" t="e">
        <f t="shared" ca="1" si="906"/>
        <v>#N/A</v>
      </c>
      <c r="FM249" s="160" t="e">
        <f t="shared" ca="1" si="734"/>
        <v>#N/A</v>
      </c>
      <c r="FN249" s="158">
        <f t="shared" ca="1" si="860"/>
        <v>0.01</v>
      </c>
      <c r="FO249" s="160">
        <f>Control!$C$101</f>
        <v>50</v>
      </c>
      <c r="FP249" s="150" t="e">
        <f t="shared" ca="1" si="735"/>
        <v>#N/A</v>
      </c>
      <c r="FQ249" s="150" t="e">
        <f ca="1">MAX(0,(Control!$C$112*(($DK249-Control!$C$97)/Control!$C$97)))</f>
        <v>#N/A</v>
      </c>
      <c r="FR249" s="150" t="e">
        <f ca="1">(1-$NT249)*Control!$C$113</f>
        <v>#DIV/0!</v>
      </c>
      <c r="FS249" s="198" t="e">
        <f t="shared" ca="1" si="736"/>
        <v>#N/A</v>
      </c>
      <c r="FT249" s="161">
        <f t="shared" ca="1" si="861"/>
        <v>245</v>
      </c>
      <c r="FU249" s="162" t="e">
        <f ca="1">IF(Control!$B$34=1,VLOOKUP($CP249,Control!$B$86:$G$91,6),Control!$B$35)</f>
        <v>#N/A</v>
      </c>
      <c r="FV249" s="162" t="e">
        <f t="shared" ca="1" si="737"/>
        <v>#DIV/0!</v>
      </c>
      <c r="FW249" s="162" t="e">
        <f ca="1">IF(Control!$B$31=1,$FU249*$FV249,  $FU249)</f>
        <v>#N/A</v>
      </c>
      <c r="FX249" s="162" t="e">
        <f ca="1">IF(Control!$B$34=1,VLOOKUP($CP249,Control!$B$86:$G$91,3),Control!$B$36)</f>
        <v>#N/A</v>
      </c>
      <c r="FY249" s="162" t="e">
        <f t="shared" ca="1" si="738"/>
        <v>#N/A</v>
      </c>
      <c r="FZ249" s="162" t="e">
        <f ca="1">IF(Control!$B$34=1,VLOOKUP($CP249,Control!$B$86:$G$91,4),Control!$B$37)</f>
        <v>#N/A</v>
      </c>
      <c r="GA249" s="162" t="e">
        <f t="shared" ca="1" si="739"/>
        <v>#N/A</v>
      </c>
      <c r="GB249" s="162" t="e">
        <f ca="1">IF(Control!$B$34=1,VLOOKUP($CP249,Control!$B$86:$G$91,5),Control!$B$38)</f>
        <v>#N/A</v>
      </c>
      <c r="GC249" s="162" t="e">
        <f t="shared" ca="1" si="862"/>
        <v>#N/A</v>
      </c>
      <c r="GD249" s="162">
        <f t="shared" ca="1" si="740"/>
        <v>1</v>
      </c>
      <c r="GE249" s="162">
        <f t="shared" ca="1" si="741"/>
        <v>1</v>
      </c>
      <c r="GF249" s="162">
        <f ca="1">IF(AND(Control!$C$104=1, Control!$C$62="F"),$GE249,1)</f>
        <v>1</v>
      </c>
      <c r="GG249" s="162" t="e">
        <f ca="1">IF(Control!$B$16=40,0,IF(AND(Control!$B$16&gt;40,Control!$B$16&lt;=360),(Control!$B$16-40)*((1-0)/(360-40)),IF(AND(Control!$B$16&gt;360,Control!$B$16&lt;=720),(1+(Control!$B$16-360)*((1.25-1)/(720-360))),IF(AND(Control!$B$16&gt;720,Control!$B$16&lt;=1000),(1.25+(Control!$B$16-720)*((1.35-1.25)/(1000-720))),IF(AND(Control!$B$16&gt;1000,Control!$B$16&lt;=2000),(1.35+(Control!$B$16-1000)*0))))))</f>
        <v>#N/A</v>
      </c>
      <c r="GH249" s="162" t="e">
        <f t="shared" ca="1" si="742"/>
        <v>#N/A</v>
      </c>
      <c r="GI249" s="162">
        <f t="shared" ca="1" si="863"/>
        <v>0</v>
      </c>
      <c r="GJ249" s="162">
        <f t="shared" ca="1" si="743"/>
        <v>0</v>
      </c>
      <c r="GK249" s="162">
        <f t="shared" ca="1" si="864"/>
        <v>1</v>
      </c>
      <c r="GL249" s="162">
        <f t="shared" ca="1" si="744"/>
        <v>1</v>
      </c>
      <c r="GM249" s="162" t="e">
        <f ca="1">MAX(0,MIN(1,1-Control!$C$156*(1.0001-$KH249)^2))</f>
        <v>#N/A</v>
      </c>
      <c r="GN249" s="162" t="e">
        <f ca="1">IF(Control!$B$26=1,$KU249,$KX249)</f>
        <v>#N/A</v>
      </c>
      <c r="GO249" s="162" t="e">
        <f ca="1">IF($CP249&lt;=60,Control!$C$105,IF($CP249&gt;=90,Control!$C$106,Control!$C$105+($CP249-60)*((Control!$C$106-Control!$C$105)/(90-60))))</f>
        <v>#N/A</v>
      </c>
      <c r="GP249" s="162" t="e">
        <f t="shared" ca="1" si="745"/>
        <v>#N/A</v>
      </c>
      <c r="GQ249" s="162" t="e">
        <f t="shared" ca="1" si="865"/>
        <v>#N/A</v>
      </c>
      <c r="GR249" s="163" t="e">
        <f t="shared" ca="1" si="746"/>
        <v>#DIV/0!</v>
      </c>
      <c r="GS249" s="162" t="e">
        <f t="shared" ca="1" si="747"/>
        <v>#DIV/0!</v>
      </c>
      <c r="GT249" s="164" t="e">
        <f t="shared" ca="1" si="866"/>
        <v>#N/A</v>
      </c>
      <c r="GU249" s="162" t="e">
        <f t="shared" ca="1" si="867"/>
        <v>#N/A</v>
      </c>
      <c r="GV249" s="162" t="e">
        <f t="shared" ca="1" si="748"/>
        <v>#N/A</v>
      </c>
      <c r="GW249" s="162" t="e">
        <f t="shared" ca="1" si="749"/>
        <v>#DIV/0!</v>
      </c>
      <c r="GX249" s="162" t="e">
        <f t="shared" ca="1" si="868"/>
        <v>#DIV/0!</v>
      </c>
      <c r="GY249" s="162" t="e">
        <f t="shared" ca="1" si="869"/>
        <v>#DIV/0!</v>
      </c>
      <c r="GZ249" s="165" t="e">
        <f t="shared" ca="1" si="750"/>
        <v>#N/A</v>
      </c>
      <c r="HA249" s="162" t="e">
        <f ca="1">IF(Control!$C$114=1, $DI249*$FS249, 0)</f>
        <v>#N/A</v>
      </c>
      <c r="HB249" s="162" t="e">
        <f ca="1">$FA249/Control!$C$64</f>
        <v>#N/A</v>
      </c>
      <c r="HC249" s="162" t="e">
        <f t="shared" ca="1" si="751"/>
        <v>#DIV/0!</v>
      </c>
      <c r="HD249" s="162">
        <f ca="1">-ASIN(SIN(23.45*Control!$C$139)*COS(2*Control!$C$138*($AH249+10)/365))</f>
        <v>0.12655983294878489</v>
      </c>
      <c r="HE249" s="165">
        <f t="shared" ca="1" si="870"/>
        <v>0</v>
      </c>
      <c r="HF249" s="166">
        <f ca="1">IF(AND(Control!$C$61="T",$HE249&gt;=Control!$C$103,Control!$C$114=0),$AH249,Control!$C$59)</f>
        <v>1</v>
      </c>
      <c r="HG249" s="166">
        <f ca="1">IF(AND(Control!$C$61="T",$HE249&gt;=Control!$C$103,Control!$C$114=0),$HF249,Control!$C$59)</f>
        <v>1</v>
      </c>
      <c r="HH249" s="165">
        <f ca="1">IF(AND(OR(Control!$C$60&lt;=0, $AH249= Control!$C$59, Control!$C$60 &gt;0, $AH249 = Control!$C$60)), Control!$C$59, IF(Control!$C$60&gt;0, 0))</f>
        <v>1</v>
      </c>
      <c r="HI249" s="165">
        <f ca="1">IF(AND(OR(Control!$C$60&lt;=0, $AH249= Control!$C$59, Control!$C$60 &gt;0, $AH249 = Control!$C$60)), Control!$C$60, IF(Control!$C$60&lt;=0, 0))</f>
        <v>0</v>
      </c>
      <c r="HJ249" s="166">
        <f ca="1">IF(AND(Control!$C$62="F",$CV249&gt;=Control!$C$102),$AH249,0)</f>
        <v>0</v>
      </c>
      <c r="HK249" s="165" t="e">
        <f t="shared" ca="1" si="907"/>
        <v>#N/A</v>
      </c>
      <c r="HL249" s="166">
        <f ca="1">IF(AND(Control!$C$61="T",$HE249&gt;=Control!$C$103,Control!$C$114=0),$HF249,0)</f>
        <v>0</v>
      </c>
      <c r="HM249" s="201" t="e">
        <f t="shared" ca="1" si="752"/>
        <v>#DIV/0!</v>
      </c>
      <c r="HN249" s="215">
        <f t="shared" ca="1" si="871"/>
        <v>245</v>
      </c>
      <c r="HO249" s="216" t="e">
        <f ca="1">IF(AND($CP249&gt;=0, $CP249&lt;=90), Control!$C$152, Control!$C$152)</f>
        <v>#N/A</v>
      </c>
      <c r="HP249" s="216" t="e">
        <f t="shared" ca="1" si="753"/>
        <v>#N/A</v>
      </c>
      <c r="HQ249" s="217" t="e">
        <f ca="1">IF(OR(Control!$B$26=1,Control!$B$26=2),$KV249,$KS249)</f>
        <v>#DIV/0!</v>
      </c>
      <c r="HR249" s="218" t="e">
        <f t="shared" ca="1" si="908"/>
        <v>#DIV/0!</v>
      </c>
      <c r="HS249" s="216" t="e">
        <f ca="1">Control!$C$154*$HP249</f>
        <v>#N/A</v>
      </c>
      <c r="HT249" s="216" t="e">
        <f ca="1">Control!$C$155*$HP249</f>
        <v>#N/A</v>
      </c>
      <c r="HU249" s="217" t="e">
        <f ca="1">Control!$C$161*$FI249</f>
        <v>#N/A</v>
      </c>
      <c r="HV249" s="218" t="e">
        <f t="shared" ca="1" si="872"/>
        <v>#N/A</v>
      </c>
      <c r="HW249" s="218" t="e">
        <f ca="1">Control!$C$160*$FF249+$IP249*$EO249</f>
        <v>#N/A</v>
      </c>
      <c r="HX249" s="218" t="e">
        <f t="shared" ca="1" si="909"/>
        <v>#N/A</v>
      </c>
      <c r="HY249" s="219" t="e">
        <f ca="1">IF(Control!$C$114=1, $EB249*$FS249, 0)</f>
        <v>#N/A</v>
      </c>
      <c r="HZ249" s="91" t="e">
        <f t="shared" ca="1" si="754"/>
        <v>#N/A</v>
      </c>
      <c r="IA249" s="220" t="e">
        <f ca="1">Control!$C$153*$HO249</f>
        <v>#N/A</v>
      </c>
      <c r="IB249" s="218" t="e">
        <f t="shared" ca="1" si="755"/>
        <v>#N/A</v>
      </c>
      <c r="IC249" s="220" t="e">
        <f ca="1">Control!$C$153*$HT249</f>
        <v>#N/A</v>
      </c>
      <c r="ID249" s="218" t="e">
        <f t="shared" ca="1" si="756"/>
        <v>#N/A</v>
      </c>
      <c r="IE249" s="221" t="e">
        <f ca="1">($EB249*Control!$C$159+$EF249*Control!$C$160)/(IF($GZ249&lt;&gt;0,$GZ249,1))</f>
        <v>#N/A</v>
      </c>
      <c r="IF249" s="216" t="e">
        <f t="shared" ca="1" si="757"/>
        <v>#N/A</v>
      </c>
      <c r="IG249" s="91">
        <f ca="1">IF(OR(Control!$B$198=$AH249,Control!$B$199=$AH249, Control!$B$200=$AH249, Control!$B$201=$AH249, Control!$B$202=$AH249, Control!$B$203=$AH249, Control!$B$204=$AH249, Control!$B$205=$AH249, Control!$B$206=$AH249, Control!$B$207=$AH249), 1, 0)</f>
        <v>0</v>
      </c>
      <c r="IH249" s="91">
        <f ca="1">IF($IG249=0,0, VLOOKUP($AH249,Control!$B$198:$C$207,2))</f>
        <v>0</v>
      </c>
      <c r="II249" s="222">
        <f t="shared" ca="1" si="873"/>
        <v>0</v>
      </c>
      <c r="IJ249" s="91">
        <f>Control!$C$121</f>
        <v>0.7</v>
      </c>
      <c r="IK249" s="218">
        <f t="shared" ca="1" si="758"/>
        <v>0</v>
      </c>
      <c r="IL249" s="217" t="e">
        <f t="shared" ca="1" si="910"/>
        <v>#N/A</v>
      </c>
      <c r="IM249" s="223" t="e">
        <f ca="1">IF(AND(Control!$C$114=1,$KH249&lt;1),$EB249*Control!$C$148*(1-$KH249), 0)</f>
        <v>#N/A</v>
      </c>
      <c r="IN249" s="217" t="e">
        <f t="shared" ca="1" si="759"/>
        <v>#DIV/0!</v>
      </c>
      <c r="IO249" s="91" t="e">
        <f ca="1">MAX(0,$IL249-$EF249*Control!$C$160)</f>
        <v>#N/A</v>
      </c>
      <c r="IP249" s="220" t="e">
        <f t="shared" ca="1" si="760"/>
        <v>#N/A</v>
      </c>
      <c r="IQ249" s="217" t="e">
        <f t="shared" ca="1" si="874"/>
        <v>#N/A</v>
      </c>
      <c r="IR249" s="218" t="e">
        <f t="shared" ca="1" si="761"/>
        <v>#N/A</v>
      </c>
      <c r="IS249" s="217" t="e">
        <f ca="1">Control!$C$159*MAX(0,$FD249-$EN249)</f>
        <v>#N/A</v>
      </c>
      <c r="IT249" s="217" t="e">
        <f t="shared" ca="1" si="911"/>
        <v>#N/A</v>
      </c>
      <c r="IU249" s="217" t="e">
        <f t="shared" ca="1" si="875"/>
        <v>#N/A</v>
      </c>
      <c r="IV249" s="217" t="e">
        <f t="shared" ca="1" si="912"/>
        <v>#N/A</v>
      </c>
      <c r="IW249" s="217" t="e">
        <f ca="1">IF(OR($AW249=1,AND($AW249=0, Control!$B$18=1,$EN249&lt;&gt;0)), $IQ249-$IU249, $IQ249)</f>
        <v>#N/A</v>
      </c>
      <c r="IX249" s="218" t="e">
        <f t="shared" ca="1" si="762"/>
        <v>#N/A</v>
      </c>
      <c r="IY249" s="218" t="e">
        <f ca="1">MAX(0,$IQ249-$EB249*Control!$C$159)</f>
        <v>#N/A</v>
      </c>
      <c r="IZ249" s="218" t="e">
        <f t="shared" ca="1" si="763"/>
        <v>#N/A</v>
      </c>
      <c r="JA249" s="216" t="e">
        <f t="shared" ca="1" si="764"/>
        <v>#N/A</v>
      </c>
      <c r="JB249" s="217" t="e">
        <f t="shared" ca="1" si="765"/>
        <v>#N/A</v>
      </c>
      <c r="JC249" s="222" t="e">
        <f ca="1">MAX(Control!$C$157*$EK249-$JT249, 0)/Control!$C$162</f>
        <v>#N/A</v>
      </c>
      <c r="JD249" s="218" t="e">
        <f t="shared" ca="1" si="766"/>
        <v>#N/A</v>
      </c>
      <c r="JE249" s="218" t="e">
        <f t="shared" ca="1" si="767"/>
        <v>#N/A</v>
      </c>
      <c r="JF249" s="218" t="e">
        <f t="shared" ca="1" si="876"/>
        <v>#N/A</v>
      </c>
      <c r="JG249" s="218" t="e">
        <f t="shared" ca="1" si="768"/>
        <v>#N/A</v>
      </c>
      <c r="JH249" s="217" t="e">
        <f t="shared" ca="1" si="877"/>
        <v>#N/A</v>
      </c>
      <c r="JI249" s="217" t="e">
        <f t="shared" ca="1" si="878"/>
        <v>#N/A</v>
      </c>
      <c r="JJ249" s="217" t="e">
        <f t="shared" ca="1" si="913"/>
        <v>#N/A</v>
      </c>
      <c r="JK249" s="217" t="e">
        <f ca="1">IF(Control!$C$114=1,IF(Control!$B$24=0,MAX(0,$JI249)*$GN249/Control!$C$64,(MAX(0,MIN($JI249,$JJ249*$GN249/Control!$C$64),0))))</f>
        <v>#N/A</v>
      </c>
      <c r="JL249" s="217" t="e">
        <f ca="1">$IK249/Control!$C$64-$JK249+$HQ249</f>
        <v>#N/A</v>
      </c>
      <c r="JM249" s="217" t="e">
        <f ca="1">IF(Control!$C$114=1,($JB249/(IF($JI249&lt;&gt;0,$JI249,1)))*$JK249,0)</f>
        <v>#N/A</v>
      </c>
      <c r="JN249" s="217" t="e">
        <f ca="1">IF(Control!$C$114=1,($JG249/(IF($JI249&lt;&gt;0,$JI249,1)))*$JK249, 0)</f>
        <v>#N/A</v>
      </c>
      <c r="JO249" s="218" t="e">
        <f t="shared" ca="1" si="769"/>
        <v>#N/A</v>
      </c>
      <c r="JP249" s="218" t="e">
        <f ca="1">MIN(($IY249+$IO249)*Control!$C$151, $JF249-$EH249*Control!$C$161)</f>
        <v>#N/A</v>
      </c>
      <c r="JQ249" s="218" t="e">
        <f t="shared" ca="1" si="770"/>
        <v>#N/A</v>
      </c>
      <c r="JR249" s="217" t="e">
        <f ca="1">IF($CP249-Control!$C$150&lt;0, 0, $JQ249/Control!$C$162)</f>
        <v>#N/A</v>
      </c>
      <c r="JS249" s="218" t="e">
        <f t="shared" ca="1" si="771"/>
        <v>#N/A</v>
      </c>
      <c r="JT249" s="218" t="e">
        <f t="shared" ca="1" si="879"/>
        <v>#N/A</v>
      </c>
      <c r="JU249" s="218" t="e">
        <f t="shared" ca="1" si="772"/>
        <v>#N/A</v>
      </c>
      <c r="JV249" s="218" t="e">
        <f t="shared" ca="1" si="773"/>
        <v>#N/A</v>
      </c>
      <c r="JW249" s="216" t="e">
        <f t="shared" ca="1" si="774"/>
        <v>#N/A</v>
      </c>
      <c r="JX249" s="91" t="e">
        <f t="shared" ca="1" si="775"/>
        <v>#N/A</v>
      </c>
      <c r="JY249" s="218" t="e">
        <f t="shared" ca="1" si="776"/>
        <v>#N/A</v>
      </c>
      <c r="JZ249" s="217" t="e">
        <f ca="1">IF(Control!$C$114=1,($IZ249/(IF($JI249&lt;&gt;0,$JI249,1)))*$JK249, 0)</f>
        <v>#N/A</v>
      </c>
      <c r="KA249" s="218" t="e">
        <f t="shared" ca="1" si="914"/>
        <v>#N/A</v>
      </c>
      <c r="KB249" s="218" t="e">
        <f t="shared" ca="1" si="880"/>
        <v>#N/A</v>
      </c>
      <c r="KC249" s="218" t="e">
        <f t="shared" ca="1" si="777"/>
        <v>#N/A</v>
      </c>
      <c r="KD249" s="218" t="e">
        <f t="shared" ca="1" si="778"/>
        <v>#N/A</v>
      </c>
      <c r="KE249" s="218" t="e">
        <f t="shared" ca="1" si="779"/>
        <v>#N/A</v>
      </c>
      <c r="KF249" s="218" t="e">
        <f t="shared" ca="1" si="780"/>
        <v>#N/A</v>
      </c>
      <c r="KG249" s="216" t="e">
        <f t="shared" ca="1" si="781"/>
        <v>#N/A</v>
      </c>
      <c r="KH249" s="221" t="e">
        <f ca="1">IF(Control!$B$24=0,1,MAX(0.001,MIN(1,IF(($IF249-$IE249)&lt;&gt;0,($KG249-$IE249)/($IF249-$IE249),1))))</f>
        <v>#N/A</v>
      </c>
      <c r="KI249" s="222" t="e">
        <f ca="1">IF(Control!$C$114=1, $KI248+ $KH248, 0)</f>
        <v>#N/A</v>
      </c>
      <c r="KJ249" s="217" t="e">
        <f t="shared" ca="1" si="782"/>
        <v>#N/A</v>
      </c>
      <c r="KK249" s="218" t="e">
        <f t="shared" ca="1" si="783"/>
        <v>#N/A</v>
      </c>
      <c r="KL249" s="274" t="e">
        <f ca="1">IF(Control!$B$26=3,4000000000*EXP(-8400/($G249+273)),IF(Control!$B$26=4,4000000000*EXP(-8400/($G249+273))*($KT249),0))</f>
        <v>#DIV/0!</v>
      </c>
      <c r="KM249" s="274" t="e">
        <f ca="1">IF(Control!$B$26=3,5600000000000*EXP(-9800/($G249+273)),IF(Control!$B$26=4,5600000000000*EXP(-9800/($G249+273))*$KT249,0))</f>
        <v>#DIV/0!</v>
      </c>
      <c r="KN249" s="454" t="e">
        <f t="shared" ca="1" si="881"/>
        <v>#DIV/0!</v>
      </c>
      <c r="KO249" s="274" t="e">
        <f t="shared" ca="1" si="882"/>
        <v>#DIV/0!</v>
      </c>
      <c r="KP249" s="454" t="e">
        <f t="shared" ca="1" si="784"/>
        <v>#DIV/0!</v>
      </c>
      <c r="KQ249" s="454" t="e">
        <f t="shared" ca="1" si="785"/>
        <v>#DIV/0!</v>
      </c>
      <c r="KR249" s="454" t="e">
        <f t="shared" ca="1" si="786"/>
        <v>#DIV/0!</v>
      </c>
      <c r="KS249" s="454" t="e">
        <f t="shared" ca="1" si="787"/>
        <v>#DIV/0!</v>
      </c>
      <c r="KT249" s="455" t="e">
        <f t="shared" ca="1" si="788"/>
        <v>#DIV/0!</v>
      </c>
      <c r="KU249" s="456" t="e">
        <f ca="1">IF($CP249-Control!$C$149&lt;0, IF($NT249-0.01&lt;0,0,1),0)</f>
        <v>#N/A</v>
      </c>
      <c r="KV249" s="456" t="e">
        <f ca="1">IF(Control!$C$114=1,MAX(0,MIN(Control!$C$125*$KW249*$GN249,$KW249)))</f>
        <v>#DIV/0!</v>
      </c>
      <c r="KW249" s="456" t="e">
        <f t="shared" ca="1" si="915"/>
        <v>#DIV/0!</v>
      </c>
      <c r="KX249" s="457" t="e">
        <f ca="1">IF($CP249-Control!$C$149&lt;0, IF($MR249-$OM249&lt;0,0,1),0)</f>
        <v>#N/A</v>
      </c>
      <c r="KY249" s="167">
        <f t="shared" ca="1" si="883"/>
        <v>245</v>
      </c>
      <c r="KZ249" s="168">
        <f ca="1">1370*(1+0.033*COS(2*Control!$C$138*$AH249/365))</f>
        <v>1348.5278544081309</v>
      </c>
      <c r="LA249" s="169">
        <f t="shared" ca="1" si="884"/>
        <v>0.98432661462178728</v>
      </c>
      <c r="LB249" s="169">
        <f t="shared" ca="1" si="885"/>
        <v>0.1263696059973394</v>
      </c>
      <c r="LC249" s="169">
        <f ca="1">ACOS(-TAN((2*Control!$B$8/360))*TAN(Calculations!$LB249))</f>
        <v>1.608563954443059</v>
      </c>
      <c r="LD249" s="169">
        <f ca="1">((24*60)/PI())*0.082*$LA249*(($LC249*SIN(Control!$B$8*2*PI()/360))*SIN($LB249)+COS(Control!$B$8*2*PI()/360)*COS($LB249)*SIN($LC249))</f>
        <v>28.490316596928967</v>
      </c>
      <c r="LE249" s="170">
        <f t="shared" ca="1" si="789"/>
        <v>28.743500222142497</v>
      </c>
      <c r="LF249" s="170">
        <f ca="1">SIN(Control!$C$139*Control!$B$8)*SIN($HD249)</f>
        <v>9.9464650302955801E-2</v>
      </c>
      <c r="LG249" s="170">
        <f ca="1">COS(Control!$C$139*Control!$B$8)*COS($HD249)</f>
        <v>0.61073574875041226</v>
      </c>
      <c r="LH249" s="170">
        <f ca="1">12*(1+2*ASIN(MAX(-1,MIN(1,$LF249/$LG249))/Control!$C$138))</f>
        <v>13.244716603835217</v>
      </c>
      <c r="LI249" s="170">
        <f ca="1">12*(1+2*ASIN(MAX(-1,MIN(1,(-SIN(-4*Control!$C$139)+$LF249)/$LG249))/Control!$C$138))</f>
        <v>14.119466965607675</v>
      </c>
      <c r="LJ249" s="168">
        <f ca="1">3600*($LH249*$LF249+24*$LG249*SQRT(1-$LK249*$LK249)/Control!$C$138)</f>
        <v>21314.724889207442</v>
      </c>
      <c r="LK249" s="170">
        <f t="shared" ca="1" si="790"/>
        <v>0.16286037047358717</v>
      </c>
      <c r="LL249" s="170">
        <f t="shared" ca="1" si="791"/>
        <v>0</v>
      </c>
      <c r="LM249" s="171">
        <f ca="1">Control!$C$145*$AB249</f>
        <v>6.6660906138995932E-2</v>
      </c>
      <c r="LN249" s="170">
        <f t="shared" ca="1" si="886"/>
        <v>0.54</v>
      </c>
      <c r="LO249" s="170">
        <f t="shared" ca="1" si="792"/>
        <v>0</v>
      </c>
      <c r="LP249" s="170">
        <f ca="1">Control!$C$140*((($D249+273.16)^4+($E249+273.16)^4)/2)*(0.34-0.14*SQRT($Y249))*(1.35*$AQ249/(0.75*$LD249)-0.35)</f>
        <v>-3.2464704755046001</v>
      </c>
      <c r="LQ249" s="170">
        <f ca="1">Control!$C$140*($G249+273)^4*(0.56-0.079*SQRT($Y249*10))*(0.1+0.9*$LO249)</f>
        <v>1.5241745131704001</v>
      </c>
      <c r="LR249" s="170">
        <f ca="1">$AQ249*(1-Control!$C$142)-$LQ249</f>
        <v>-1.5241745131704001</v>
      </c>
      <c r="LS249" s="170">
        <f ca="1">$AQ249*(1-Control!$C$143)-$LQ249</f>
        <v>-1.5241745131704001</v>
      </c>
      <c r="LT249" s="170">
        <f ca="1">$AQ249*(1-Control!$C$144)-$LQ249</f>
        <v>-1.5241745131704001</v>
      </c>
      <c r="LU249" s="169">
        <f ca="1">(1-Control!$C$144)*AQ249-LP249</f>
        <v>3.2464704755046001</v>
      </c>
      <c r="LV249" s="172">
        <f t="shared" ca="1" si="793"/>
        <v>0.79430000000000012</v>
      </c>
      <c r="LW249" s="170">
        <f t="shared" ca="1" si="794"/>
        <v>1.5886000000000002</v>
      </c>
      <c r="LX249" s="170">
        <f ca="1">($AC249*($LR249/Control!$C$141)+$LM249*$LV249)/($AC249+$LM249)</f>
        <v>0.23530094218323697</v>
      </c>
      <c r="LY249" s="170">
        <f ca="1">($AC249*($LS249/Control!$C$141)+$LM249*$LV249)/($AC249+$LM249)</f>
        <v>0.23530094218323697</v>
      </c>
      <c r="LZ249" s="170">
        <f t="shared" ca="1" si="795"/>
        <v>0.23530094218323697</v>
      </c>
      <c r="MA249" s="170">
        <f t="shared" ca="1" si="796"/>
        <v>0.23530094218323697</v>
      </c>
      <c r="MB249" s="170" t="e">
        <f t="shared" ca="1" si="797"/>
        <v>#N/A</v>
      </c>
      <c r="MC249" s="170">
        <f t="shared" ca="1" si="887"/>
        <v>0.6018</v>
      </c>
      <c r="MD249" s="170">
        <f t="shared" ca="1" si="798"/>
        <v>0.52989392535414004</v>
      </c>
      <c r="ME249" s="170">
        <f ca="1">($AC249*($LT249/Control!$C$141)+$LM249*$LW249)/($AC249+$LM249)</f>
        <v>0.71612369323045078</v>
      </c>
      <c r="MF249" s="170" t="e">
        <f ca="1">IF(Control!$B$16&gt;=1000,0.92,IF(AND(720&lt;=Control!$B$16,1000&gt;Control!$B$16),(0.95+(Control!$B$16-720)*((0.92-0.95)/(1000-720))),IF(AND(360&lt;=Control!$B$16,720&gt;Control!$B$16),(1+(Control!$B$16-360)*((0.95-1)/(720-360))),IF(AND(40&lt;=Control!$B$16,360&gt;Control!$B$16),(1.05+(Control!$B$16-40)*((1.05-1)/(360-40)))))))</f>
        <v>#N/A</v>
      </c>
      <c r="MG249" s="170">
        <f t="shared" ca="1" si="799"/>
        <v>0.71612369323045078</v>
      </c>
      <c r="MH249" s="170" t="e">
        <f t="shared" ca="1" si="926"/>
        <v>#N/A</v>
      </c>
      <c r="MI249" s="170" t="e">
        <f t="shared" ca="1" si="926"/>
        <v>#N/A</v>
      </c>
      <c r="MJ249" s="170" t="e">
        <f ca="1">MAX(0.0001, Control!$C$132*$MI249*$DL249)</f>
        <v>#N/A</v>
      </c>
      <c r="MK249" s="170">
        <f ca="1">1/(0.76+1.5*($MG249/10))-(5-Control!$C$110)*0.1</f>
        <v>1.002845988140797</v>
      </c>
      <c r="ML249" s="173">
        <f ca="1">IF(Control!$C$110&lt;3,$MK249+($MG249-0.6)/(Control!$C$110*(Control!$C$110+3)), MAX(0.1, MIN(0.95,$MK249)))</f>
        <v>0.95</v>
      </c>
      <c r="MM249" s="173">
        <f ca="1">IF(Control!$C$110&lt;3,$MK249+(($MI249/10)-0.6)/(Control!$C$110*(Control!$C$110+3)), MAX(0.1, MIN(0.95,$MK249)))</f>
        <v>0.95</v>
      </c>
      <c r="MN249" s="173">
        <f ca="1">(1-$MM249)*(Control!$C$128-Control!$C$127)+Control!$C$127</f>
        <v>0.16</v>
      </c>
      <c r="MO249" s="170" t="e">
        <f ca="1">MAX(0,MIN(1,($MS249-Control!$C$127)/($MN249-Control!$C$127)))</f>
        <v>#DIV/0!</v>
      </c>
      <c r="MP249" s="173" t="e">
        <f ca="1">1/(0.76+1.5*$MI249)-(5-Control!$C$110)*0.1</f>
        <v>#N/A</v>
      </c>
      <c r="MQ249" s="172" t="e">
        <f t="shared" ca="1" si="916"/>
        <v>#DIV/0!</v>
      </c>
      <c r="MR249" s="168" t="e">
        <f t="shared" ca="1" si="888"/>
        <v>#DIV/0!</v>
      </c>
      <c r="MS249" s="173" t="e">
        <f ca="1">MAX(Control!$C$127, MIN(Control!$C$135, $MR249/MAX(0.0001,$CY249)))</f>
        <v>#DIV/0!</v>
      </c>
      <c r="MT249" s="168" t="e">
        <f ca="1">(Control!$C$128-$MS249)*Control!$C$74</f>
        <v>#DIV/0!</v>
      </c>
      <c r="MU249" s="168" t="e">
        <f ca="1">(Control!$C$135-$MS249)*Control!$C$74</f>
        <v>#DIV/0!</v>
      </c>
      <c r="MV249" s="168" t="e">
        <f t="shared" ca="1" si="889"/>
        <v>#DIV/0!</v>
      </c>
      <c r="MW249" s="168" t="e">
        <f t="shared" ca="1" si="890"/>
        <v>#DIV/0!</v>
      </c>
      <c r="MX249" s="171" t="e">
        <f ca="1">MAX(Control!$C$127, MIN(Control!$C$135, $MW249/MAX(0.0001,Control!$C$119-$CY249)))</f>
        <v>#DIV/0!</v>
      </c>
      <c r="MY249" s="54" t="e">
        <f ca="1">IF(Control!$C$114=1, $CX249*$MX249, 0)</f>
        <v>#DIV/0!</v>
      </c>
      <c r="MZ249" s="54" t="e">
        <f t="shared" ca="1" si="891"/>
        <v>#N/A</v>
      </c>
      <c r="NA249" s="168" t="e">
        <f ca="1">(Control!$C$128-$MX249)*(Control!$C$119-Control!$C$74)</f>
        <v>#DIV/0!</v>
      </c>
      <c r="NB249" s="168" t="e">
        <f ca="1">(Control!$C$135-$MX249)*(Control!$C$119-Control!$C$74)</f>
        <v>#DIV/0!</v>
      </c>
      <c r="NC249" s="174" t="e">
        <f t="shared" ca="1" si="892"/>
        <v>#DIV/0!</v>
      </c>
      <c r="ND249" s="54">
        <f ca="1">IF(Control!$C$58=2, IF(OR(Control!$B$218=$AH249,Control!$B$219=$AH249, Control!$B$220=$AH249, Control!$B$221=$AH249, Control!$B$222=$AH249, Control!$B$223=$AH249, Control!$B$224=$AH249, Control!$B$225=$AH249, Control!$B$226=$AH249, Control!$B$227=$AH249, Control!$B$228=$AH249), 1, 0), 0)</f>
        <v>0</v>
      </c>
      <c r="NE249" s="54">
        <f ca="1">IF($ND249=0,0, VLOOKUP($AH249,Control!$B$218:$C$228,2))</f>
        <v>0</v>
      </c>
      <c r="NF249" s="168" t="e">
        <f ca="1">$CY249*(Control!$C$128-Control!$C$127)</f>
        <v>#N/A</v>
      </c>
      <c r="NG249" s="54" t="e">
        <f ca="1">IF(Control!$C$58=2, $NI248-$NJ248, 0)</f>
        <v>#DIV/0!</v>
      </c>
      <c r="NH249" s="54" t="e">
        <f ca="1">IF(AND(Control!$C$58=1, $MS248&lt;= ($MN248+0.02), $I248&lt;10), 0, IF(Control!$C$58=2, $NG248, 0))</f>
        <v>#DIV/0!</v>
      </c>
      <c r="NI249" s="54" t="e">
        <f ca="1">IF(Control!$C$58=2, $NE249+$NH249,0)</f>
        <v>#DIV/0!</v>
      </c>
      <c r="NJ249" s="54" t="e">
        <f ca="1">IF(AND(Control!$C$58=1, $MS249&lt;= ($MN249+0.02), $I249&lt;10), MAX(0, MIN(10, 0.7*($NF249-$MV249))), IF(Control!$C$58=2, MIN(10,$NI249),0))</f>
        <v>#DIV/0!</v>
      </c>
      <c r="NK249" s="54" t="e">
        <f t="shared" ca="1" si="800"/>
        <v>#DIV/0!</v>
      </c>
      <c r="NL249" s="173" t="e">
        <f ca="1">(1-Control!$C$73)*$I249+$NJ249</f>
        <v>#DIV/0!</v>
      </c>
      <c r="NM249" s="172" t="e">
        <f ca="1">IF($NL249&lt;0.5, $MB249* MAX(0, MIN(1, (SQRT($NC249)-SQRT($NC249-1))*Control!$C$71)),0)</f>
        <v>#DIV/0!</v>
      </c>
      <c r="NN249" s="170" t="e">
        <f ca="1">IF($NL249&gt;=5, $MB249, MAX(0,MIN($MB249, $NM249+$NL249,($MS249-Control!$C$129))))</f>
        <v>#DIV/0!</v>
      </c>
      <c r="NO249" s="54">
        <f>IF(Control!$C$133&lt;&gt;1, Control!$C$135-Control!$C$131, 0)</f>
        <v>0.38</v>
      </c>
      <c r="NP249" s="54" t="e">
        <f t="shared" ca="1" si="801"/>
        <v>#DIV/0!</v>
      </c>
      <c r="NQ249" s="173" t="e">
        <f ca="1">MAX(0,MIN(1,(Control!$C$135-$MS249)/(Control!$C$135-$NO249)))</f>
        <v>#DIV/0!</v>
      </c>
      <c r="NR249" s="170" t="e">
        <f ca="1">IF(Control!$C$133&lt;&gt;1, $NQ249+((1-$NP249/4)*(1-$NQ249)),1)</f>
        <v>#DIV/0!</v>
      </c>
      <c r="NS249" s="170" t="e">
        <f ca="1">IF(Control!$B$31=0,$MJ249,MAX(0,MIN($MV249,$MO249*$NR249*$MJ249)))</f>
        <v>#DIV/0!</v>
      </c>
      <c r="NT249" s="170" t="e">
        <f t="shared" ca="1" si="917"/>
        <v>#DIV/0!</v>
      </c>
      <c r="NU249" s="170" t="e">
        <f t="shared" ca="1" si="893"/>
        <v>#N/A</v>
      </c>
      <c r="NV249" s="170" t="e">
        <f t="shared" ca="1" si="802"/>
        <v>#N/A</v>
      </c>
      <c r="NW249" s="175" t="e">
        <f t="shared" ca="1" si="803"/>
        <v>#DIV/0!</v>
      </c>
      <c r="NX249" s="170" t="e">
        <f ca="1">MIN(Control!$C$72+$MU249, $NW249)</f>
        <v>#DIV/0!</v>
      </c>
      <c r="NY249" s="170" t="e">
        <f ca="1">IF($MT249&lt;=$NX249,MIN(Control!$C$72+$NB249,$NX249-$MT249),0)</f>
        <v>#DIV/0!</v>
      </c>
      <c r="NZ249" s="54" t="e">
        <f ca="1">IF(Control!$C$114=1,  $CX249*($MX249-Control!$C$127), 0)</f>
        <v>#DIV/0!</v>
      </c>
      <c r="OA249" s="170" t="e">
        <f t="shared" ca="1" si="804"/>
        <v>#DIV/0!</v>
      </c>
      <c r="OB249" s="170" t="e">
        <f ca="1">IF($NA249 &lt;=$NY249, MIN(Control!$C$72, $NY249-$NA249), 0)</f>
        <v>#DIV/0!</v>
      </c>
      <c r="OC249" s="168" t="e">
        <f t="shared" ca="1" si="805"/>
        <v>#DIV/0!</v>
      </c>
      <c r="OD249" s="168" t="e">
        <f t="shared" ca="1" si="894"/>
        <v>#DIV/0!</v>
      </c>
      <c r="OE249" s="170">
        <f ca="1">Control!$C$73*$I249</f>
        <v>0</v>
      </c>
      <c r="OF249" s="176" t="e">
        <f t="shared" ca="1" si="806"/>
        <v>#DIV/0!</v>
      </c>
      <c r="OG249" s="168" t="e">
        <f t="shared" ca="1" si="807"/>
        <v>#DIV/0!</v>
      </c>
      <c r="OH249" s="168" t="e">
        <f t="shared" ca="1" si="808"/>
        <v>#DIV/0!</v>
      </c>
      <c r="OI249" s="168" t="e">
        <f t="shared" ca="1" si="809"/>
        <v>#DIV/0!</v>
      </c>
      <c r="OJ249" s="168" t="e">
        <f t="shared" ca="1" si="810"/>
        <v>#DIV/0!</v>
      </c>
      <c r="OK249" s="204" t="e">
        <f t="shared" ca="1" si="811"/>
        <v>#DIV/0!</v>
      </c>
      <c r="OL249" s="177">
        <f>Control!$C$127</f>
        <v>0.15</v>
      </c>
      <c r="OM249" s="182" t="e">
        <f t="shared" ca="1" si="812"/>
        <v>#N/A</v>
      </c>
      <c r="ON249" s="177">
        <f>Control!$C$128</f>
        <v>0.35</v>
      </c>
      <c r="OO249" s="182" t="e">
        <f t="shared" ca="1" si="813"/>
        <v>#N/A</v>
      </c>
      <c r="OP249" s="138">
        <f t="shared" ca="1" si="895"/>
        <v>0</v>
      </c>
      <c r="OQ249" s="138" t="e">
        <f t="shared" ca="1" si="918"/>
        <v>#DIV/0!</v>
      </c>
      <c r="OR249" s="138" t="e">
        <f t="shared" ca="1" si="896"/>
        <v>#DIV/0!</v>
      </c>
      <c r="OS249" s="137" t="e">
        <f t="shared" ca="1" si="919"/>
        <v>#DIV/0!</v>
      </c>
      <c r="OT249" s="139" t="e">
        <f t="shared" ca="1" si="920"/>
        <v>#DIV/0!</v>
      </c>
      <c r="OU249" s="138" t="e">
        <f t="shared" ca="1" si="921"/>
        <v>#N/A</v>
      </c>
      <c r="OV249" s="138" t="e">
        <f t="shared" ca="1" si="922"/>
        <v>#DIV/0!</v>
      </c>
      <c r="OW249" s="138" t="e">
        <f t="shared" ca="1" si="897"/>
        <v>#DIV/0!</v>
      </c>
      <c r="OX249" s="138" t="e">
        <f t="shared" ca="1" si="898"/>
        <v>#DIV/0!</v>
      </c>
      <c r="OY249" s="138" t="e">
        <f t="shared" ca="1" si="899"/>
        <v>#DIV/0!</v>
      </c>
      <c r="OZ249" s="138" t="e">
        <f t="shared" ca="1" si="814"/>
        <v>#DIV/0!</v>
      </c>
      <c r="PA249" s="138" t="e">
        <f t="shared" ca="1" si="815"/>
        <v>#DIV/0!</v>
      </c>
      <c r="PB249" s="55">
        <f>IF(Control!$C$61="T", IF(Control!$C$65="F", IF($AH$6-Control!$C$60&lt;0,0,1), IF(365+$AH$6-Control!$C$60&lt;0,0,1)),0)</f>
        <v>0</v>
      </c>
      <c r="PC249" s="55">
        <f ca="1">IF(Control!$C$65="F", IF($AH$6-$HF249&lt;0,0,1), IF(365+$AH$6-$HF249&lt;0,0,1))</f>
        <v>1</v>
      </c>
      <c r="PD249" s="444">
        <f>Control!$C$118</f>
        <v>1500</v>
      </c>
      <c r="PE249" s="180" t="e">
        <f t="shared" ca="1" si="816"/>
        <v>#N/A</v>
      </c>
      <c r="PF249" s="445">
        <f t="shared" ca="1" si="900"/>
        <v>0.71612369323045078</v>
      </c>
      <c r="PT249" s="186"/>
      <c r="PU249" s="186"/>
      <c r="PV249" s="94"/>
      <c r="PW249" s="94"/>
      <c r="PX249" s="94"/>
      <c r="PY249" s="94"/>
      <c r="PZ249" s="94"/>
      <c r="QA249" s="94"/>
      <c r="QB249" s="94"/>
      <c r="QC249" s="94"/>
      <c r="QD249" s="94"/>
      <c r="QE249" s="94"/>
      <c r="QF249" s="94"/>
      <c r="QG249" s="94"/>
      <c r="QH249" s="94"/>
      <c r="QI249" s="94"/>
      <c r="QJ249" s="94"/>
      <c r="QK249" s="94"/>
      <c r="QL249" s="94"/>
      <c r="QM249" s="94"/>
      <c r="QN249" s="94"/>
      <c r="QO249" s="94"/>
      <c r="QP249" s="94"/>
    </row>
    <row r="250" spans="1:458" s="2" customFormat="1" x14ac:dyDescent="0.2">
      <c r="A250" s="395">
        <v>2</v>
      </c>
      <c r="B250" s="396">
        <v>9</v>
      </c>
      <c r="C250" s="387">
        <f ca="1">Weather_data!$B249</f>
        <v>0</v>
      </c>
      <c r="D250" s="388">
        <f ca="1">Weather_data!$F249</f>
        <v>0</v>
      </c>
      <c r="E250" s="388">
        <f ca="1">Weather_data!$E249</f>
        <v>0</v>
      </c>
      <c r="F250" s="388">
        <f t="shared" ca="1" si="817"/>
        <v>0</v>
      </c>
      <c r="G250" s="388">
        <f ca="1">AVERAGE($D250:$E250)+Control!$B$9</f>
        <v>0</v>
      </c>
      <c r="H250" s="388">
        <f ca="1">Weather_data!$G249</f>
        <v>0</v>
      </c>
      <c r="I250" s="388">
        <f ca="1">Weather_data!$I249</f>
        <v>0</v>
      </c>
      <c r="J250" s="388">
        <f ca="1">Weather_data!$H249</f>
        <v>0</v>
      </c>
      <c r="K250" s="389">
        <f ca="1">Weather_data!$D249</f>
        <v>0</v>
      </c>
      <c r="L250" s="388" t="e">
        <f t="shared" ca="1" si="818"/>
        <v>#N/A</v>
      </c>
      <c r="M250" s="388" t="e">
        <f t="shared" ca="1" si="696"/>
        <v>#N/A</v>
      </c>
      <c r="N250" s="388">
        <f t="shared" ca="1" si="697"/>
        <v>-3.4209151905733584E-12</v>
      </c>
      <c r="O250" s="388">
        <f t="shared" ca="1" si="819"/>
        <v>3.4209151905733585E-11</v>
      </c>
      <c r="P250" s="390">
        <v>3</v>
      </c>
      <c r="Q250" s="388">
        <f ca="1">MAX($G250-Control!$C$107,0)</f>
        <v>0</v>
      </c>
      <c r="R250" s="388">
        <f t="shared" ca="1" si="820"/>
        <v>0</v>
      </c>
      <c r="S250" s="388">
        <f t="shared" ca="1" si="698"/>
        <v>0</v>
      </c>
      <c r="T250" s="388">
        <f t="shared" ca="1" si="699"/>
        <v>0</v>
      </c>
      <c r="U250" s="59">
        <f t="shared" ca="1" si="700"/>
        <v>0</v>
      </c>
      <c r="V250" s="391">
        <f ca="1">MAX(0,MIN(Control!$C$100-Control!$C$99,$G250-Control!$C$99)*Control!$C$63)</f>
        <v>0</v>
      </c>
      <c r="W250" s="388">
        <f t="shared" ca="1" si="821"/>
        <v>0</v>
      </c>
      <c r="X250" s="388">
        <f t="shared" ca="1" si="822"/>
        <v>0.6110000000000001</v>
      </c>
      <c r="Y250" s="388">
        <f t="shared" ca="1" si="701"/>
        <v>0</v>
      </c>
      <c r="Z250" s="388">
        <f t="shared" ca="1" si="823"/>
        <v>0.61058800000000002</v>
      </c>
      <c r="AA250" s="388">
        <f t="shared" ca="1" si="702"/>
        <v>0.6018</v>
      </c>
      <c r="AB250" s="388">
        <f ca="1">101.3*EXP(-0.034*Control!$C$66/($G250+273))</f>
        <v>100.69623283836242</v>
      </c>
      <c r="AC250" s="392">
        <f t="shared" ca="1" si="703"/>
        <v>4.3460251046025113E-2</v>
      </c>
      <c r="AD250" s="392">
        <f t="shared" ca="1" si="704"/>
        <v>4.4450382862832649E-2</v>
      </c>
      <c r="AE250" s="388">
        <f t="shared" ca="1" si="705"/>
        <v>0</v>
      </c>
      <c r="AF250" s="388">
        <f ca="1">MAX(0,$G250-Control!$C$92)</f>
        <v>0</v>
      </c>
      <c r="AG250" s="393">
        <f t="shared" ca="1" si="706"/>
        <v>246</v>
      </c>
      <c r="AH250" s="389">
        <f t="shared" ca="1" si="707"/>
        <v>246</v>
      </c>
      <c r="AI250" s="388">
        <f t="shared" ca="1" si="824"/>
        <v>0.11999494020614847</v>
      </c>
      <c r="AJ250" s="388">
        <f ca="1">IF(Control!$C$60&lt;=0,$HH250,$HI250)</f>
        <v>1</v>
      </c>
      <c r="AK250" s="388">
        <f t="shared" ca="1" si="708"/>
        <v>2.8575582492926341</v>
      </c>
      <c r="AL250" s="388">
        <f t="shared" ca="1" si="709"/>
        <v>-5.0494920744714739E-18</v>
      </c>
      <c r="AM250" s="388">
        <f t="shared" ca="1" si="710"/>
        <v>2.8575582492926341</v>
      </c>
      <c r="AN250" s="388">
        <f t="shared" ca="1" si="711"/>
        <v>0.11170794535268687</v>
      </c>
      <c r="AO250" s="388">
        <f ca="1">-0.10453/COS(Control!$B$8*PI()/180)*COS(AN250)</f>
        <v>-0.16872662114628212</v>
      </c>
      <c r="AP250" s="388">
        <f ca="1">ACOS(AO250-TAN(Control!$B$8*PI()/180)*TAN(AN250))</f>
        <v>1.8884136897808905</v>
      </c>
      <c r="AQ250" s="388">
        <f t="shared" ca="1" si="825"/>
        <v>0</v>
      </c>
      <c r="AR250" s="394">
        <f t="shared" ca="1" si="712"/>
        <v>0</v>
      </c>
      <c r="AS250" s="436">
        <f ca="1">IF(Control!$B$18=2,(IF(OR($AH250=Control!$B$175,$AH250=Control!$B$176,$AH250=Control!$B$177,$AH250=Control!$B$178,$AH250=Control!$B$179,$AH250=Control!$B$180,$AH250=Control!$B$181,$AH250=Control!$B$182,$AH250=Control!$B$183,$AH250=Control!$B$184,$AH250=Control!$B$185),1,0)),0)</f>
        <v>0</v>
      </c>
      <c r="AT250" s="436">
        <f>IF(Control!$B$20=8,IF(AND($AH250&gt;=Control!$B$172,$AH250&lt;=Control!$B$173),1,0),0)</f>
        <v>0</v>
      </c>
      <c r="AU250" s="436">
        <f>IF(Control!$B$20=8,IF($AV249=1,1*$AT250,IF($AT250=1,$AU249+1,$AU249)),0)</f>
        <v>0</v>
      </c>
      <c r="AV250" s="436">
        <f>IF(Control!$B$20=8,IF($AU250&gt;=Control!$B$174,1,0),0)</f>
        <v>0</v>
      </c>
      <c r="AW250" s="436">
        <f ca="1">IF(AND(Control!$B$18=2,Control!$B$171=1), $AV250, $AS250)</f>
        <v>0</v>
      </c>
      <c r="AX250" s="436" t="e">
        <f ca="1">IF(AND(Control!$B$18=1,$EU250&gt;=Control!$B$19),-$AY250,IF(AND(Control!$B$18=2,$AW250=1,$EU250&gt;$DS250),-$AY250, IF(Control!$C$108=0,0, IF(Control!$C$108&lt;&gt;0,1))))</f>
        <v>#N/A</v>
      </c>
      <c r="AY250" s="436" t="e">
        <f t="shared" ca="1" si="826"/>
        <v>#N/A</v>
      </c>
      <c r="AZ250" s="436" t="e">
        <f ca="1">IF(AND(Control!$B$18=1,$EB250&gt;Control!$B$19),$AZ249+1, IF(AND(Control!$B$18=2, $AW250=1, $EB250&gt;$DS250), $AZ249+1,$AZ249))</f>
        <v>#N/A</v>
      </c>
      <c r="BA250" s="587">
        <f>IF(Control!$C$81=0,1,IF($AH250&gt;=Control!$C$82,1,0))</f>
        <v>1</v>
      </c>
      <c r="BB250" s="140" t="e">
        <f ca="1">IF($BA250&gt;$BA249,Control!$C$83,IF($AW250&gt;0,$AW250*Control!$C$84,IF(AND(Control!$B$18=1,EN249&lt;&gt;0),Control!$C$84,0)))</f>
        <v>#N/A</v>
      </c>
      <c r="BC250" s="140" t="e">
        <f t="shared" ca="1" si="827"/>
        <v>#N/A</v>
      </c>
      <c r="BD250" s="140" t="e">
        <f ca="1">BC250*IF(OR($G250&lt;Control!$C$92,$G250&gt;Control!$C$95),0,IF(AND($G250&gt;=Control!$C$92,$G250&lt;=Control!$C$93),$G250-Control!$C$92,IF(AND($G250&gt;Control!$C$93,$G250&lt;=Control!$C$94),Control!$C$93-Control!$C$92,IF(AND($G250&gt;Control!$C$94,$G250&lt;=Control!$C$95),(Control!$C$93-Control!$C$92)*(Control!$C$94-$G250)/(Control!$C$95-Control!$C$94)))))</f>
        <v>#N/A</v>
      </c>
      <c r="BE250" s="140" t="e">
        <f t="shared" ca="1" si="828"/>
        <v>#N/A</v>
      </c>
      <c r="BF250" s="140" t="e">
        <f ca="1">IF($BE250&lt;=Control!$C$86,$BE250,Control!$C$86-$BE250)</f>
        <v>#N/A</v>
      </c>
      <c r="BG250" s="140" t="e">
        <f ca="1">IF(AND($AW250=1,Control!$C$84&lt;9),1,IF($BE250&gt;=Control!$C$86,0,$BC250))</f>
        <v>#N/A</v>
      </c>
      <c r="BH250" s="404" t="e">
        <f ca="1">IF($BG250=0,0,IF($BE250&lt;=Control!$C$86,$BC250*9*($BF250/Control!$C$86),0))</f>
        <v>#N/A</v>
      </c>
      <c r="BI250" s="140" t="e">
        <f ca="1">IF($BG250=1,0,IF($BE250&gt;=Control!$C$86,1,IF(AND($BB250&lt;21,$BB250&gt;=9),1,$BM249)))</f>
        <v>#N/A</v>
      </c>
      <c r="BJ250" s="140" t="e">
        <f ca="1">IF($BF250&lt;0,-$BF250,$BI250*IF(OR($G250&lt;Control!$C$92,$G250&gt;Control!$C$95),0,IF(AND($G250&gt;=Control!$C$92,$G250&lt;=Control!$C$93),$G250-Control!$C$92,IF(AND($G250&gt;Control!$C$93,$G250&lt;=Control!$C$94),Control!$C$93-Control!$C$92,IF(AND($G250&gt;Control!$C$94,$G250&lt;=Control!$C$95),(Control!$C$93-Control!$C$92)*(Control!$C$94-$G250)/(Control!$C$95-Control!$C$94))))))</f>
        <v>#N/A</v>
      </c>
      <c r="BK250" s="140" t="e">
        <f t="shared" ca="1" si="829"/>
        <v>#N/A</v>
      </c>
      <c r="BL250" s="140" t="e">
        <f ca="1">IF($BK250&lt;=Control!$C$87,$BK250,Control!$C$87-$BK250)</f>
        <v>#N/A</v>
      </c>
      <c r="BM250" s="140" t="e">
        <f ca="1">IF(AND($BB250&gt;=9,$BB250&lt;21),1,IF($BK250&gt;=Control!$C$87,0,$BI250))</f>
        <v>#N/A</v>
      </c>
      <c r="BN250" s="404" t="e">
        <f ca="1">IF($BM250=0,0,IF($BK250&lt;=Control!$C$87,$BI250*(9+(21-9)*($BL250/Control!$C$87)),0))</f>
        <v>#N/A</v>
      </c>
      <c r="BO250" s="140" t="e">
        <f ca="1">IF($BM250=1,0,IF($BK250&gt;=Control!$C$87,1,IF(AND($BB250&lt;30,$BB250&gt;=21),1,$BS249)))</f>
        <v>#N/A</v>
      </c>
      <c r="BP250" s="140" t="e">
        <f ca="1">IF($BL250&lt;0,-$BL250,$BO250*IF(OR($G250&lt;Control!$C$92,$G250&gt;Control!$C$95),0,IF(AND($G250&gt;=Control!$C$92,$G250&lt;=Control!$C$93),$G250-Control!$C$92,IF(AND($G250&gt;Control!$C$93,$G250&lt;=Control!$C$94),Control!$C$93-Control!$C$92,IF(AND($G250&gt;Control!$C$94,$G250&lt;=Control!$C$95),(Control!$C$93-Control!$C$92)*(Control!$C$94-$G250)/(Control!$C$95-Control!$C$94))))))</f>
        <v>#N/A</v>
      </c>
      <c r="BQ250" s="140" t="e">
        <f t="shared" ca="1" si="713"/>
        <v>#N/A</v>
      </c>
      <c r="BR250" s="140" t="e">
        <f ca="1">IF($BQ250&lt;=Control!$C$88,$BQ250,Control!$C$88-$BQ250)</f>
        <v>#N/A</v>
      </c>
      <c r="BS250" s="140" t="e">
        <f ca="1">IF(AND($BB250&gt;=21,$BB250&lt;30),1,IF($BQ250&gt;=Control!$C$88,0,$BO250))</f>
        <v>#N/A</v>
      </c>
      <c r="BT250" s="404" t="e">
        <f ca="1">IF($BS250=0,0,IF($BQ250&lt;=Control!$C$88,$BO250*(21+(30-21)*(BR250/Control!$C$88)),0))</f>
        <v>#N/A</v>
      </c>
      <c r="BU250" s="140" t="e">
        <f ca="1">IF(BG250+BM250+BS250=1,0,IF(OR(AND($BB250&lt;60,$BB250&gt;=30),$BQ250&gt;=Control!$C$88),1*$BA250,$BY249))</f>
        <v>#N/A</v>
      </c>
      <c r="BV250" s="140" t="e">
        <f ca="1">IF($BR250&lt;0,-$BR250,$BU250*IF(OR($G250&lt;Control!$C$92,$G250&gt;Control!$C$95),0,IF(AND($G250&gt;=Control!$C$92,$G250&lt;=Control!$C$93),$G250-Control!$C$92,IF(AND($G250&gt;Control!$C$93,$G250&lt;=Control!$C$94),Control!$C$93-Control!$C$92,IF(AND($G250&gt;Control!$C$94,$G250&lt;=Control!$C$95),(Control!$C$93-Control!$C$92)*(Control!$C$94-$G250)/(Control!$C$95-Control!$C$94))))))</f>
        <v>#N/A</v>
      </c>
      <c r="BW250" s="140" t="e">
        <f t="shared" ca="1" si="714"/>
        <v>#N/A</v>
      </c>
      <c r="BX250" s="140" t="e">
        <f ca="1">IF($BW250&lt;=Control!$C$89,$BW250,Control!$C$89-$BW250)</f>
        <v>#N/A</v>
      </c>
      <c r="BY250" s="140" t="e">
        <f ca="1">IF(AND($AJ250&gt;=30,$AJ250&lt;60),1,IF($BW250&gt;=Control!$C$89,0,$BU250))</f>
        <v>#N/A</v>
      </c>
      <c r="BZ250" s="404" t="e">
        <f ca="1">IF($BY250=0,0,IF($BW250&lt;=Control!$C$89,$BU250*(30+(60-30)*(BX250/Control!$C$89)),0))</f>
        <v>#N/A</v>
      </c>
      <c r="CA250" s="140" t="e">
        <f ca="1">IF($BG250+$BM250+$BS250+$BY250=1,0,IF(OR(AND($BB250&lt;65,$BB250&gt;=60),$BW250&gt;=Control!$C$89),1*$BA250,$CE249))</f>
        <v>#N/A</v>
      </c>
      <c r="CB250" s="140" t="e">
        <f ca="1">IF($BX250&lt;0,-$BX250,$CA250*IF(OR($G250&lt;Control!$C$92,$G250&gt;Control!$C$95),0,IF(AND($G250&gt;=Control!$C$92,$G250&lt;=Control!$C$93),$G250-Control!$C$92,IF(AND($G250&gt;Control!$C$93,$G250&lt;=Control!$C$94),Control!$C$93-Control!$C$92,IF(AND($G250&gt;Control!$C$94,$G250&lt;=Control!$C$95),(Control!$C$93-Control!$C$92)*(Control!$C$94-$G250)/(Control!$C$95-Control!$C$94))))))</f>
        <v>#N/A</v>
      </c>
      <c r="CC250" s="140" t="e">
        <f t="shared" ca="1" si="830"/>
        <v>#N/A</v>
      </c>
      <c r="CD250" s="140" t="e">
        <f ca="1">IF($CC250&lt;=Control!$C$90,$CC250,Control!$C$90-$CC250)</f>
        <v>#N/A</v>
      </c>
      <c r="CE250" s="140" t="e">
        <f ca="1">IF(AND($BB250&gt;=60,$BB250&lt;65),1,IF($CC250&gt;=Control!$C$90,0,$CA250))</f>
        <v>#N/A</v>
      </c>
      <c r="CF250" s="404" t="e">
        <f ca="1">IF($CE250=0,0,IF($CC250&lt;=Control!$C$90,$CA250*(60+(65-60)*(CD250/Control!$C$90)),0))</f>
        <v>#N/A</v>
      </c>
      <c r="CG250" s="140" t="e">
        <f ca="1">IF($BG250+$BM250+$BS250+$BY250+$CE250=1,0,IF(OR(AND($BB250&lt;90,$BB250&gt;=65),$CC250&gt;=Control!$C$90),$BA250,$CK249))</f>
        <v>#N/A</v>
      </c>
      <c r="CH250" s="140" t="e">
        <f ca="1">IF($CD250&lt;0,-$CD250,$CG250*IF(OR($G250&lt;Control!$C$92,$G250&gt;Control!$C$95),0,IF(AND($G250&gt;=Control!$C$92,$G250&lt;=Control!$C$93),$G250-Control!$C$92,IF(AND($G250&gt;Control!$C$93,$G250&lt;=Control!$C$94),Control!$C$93-Control!$C$92,IF(AND($G250&gt;Control!$C$94,$G250&lt;=Control!$C$95),(Control!$C$93-Control!$C$92)*(Control!$C$94-$G250)/(Control!$C$95-Control!$C$94))))))</f>
        <v>#N/A</v>
      </c>
      <c r="CI250" s="140" t="e">
        <f t="shared" ca="1" si="831"/>
        <v>#N/A</v>
      </c>
      <c r="CJ250" s="140" t="e">
        <f ca="1">IF($CI250&lt;=Control!$C$91,$CI250,Control!$C$91-$CI250)</f>
        <v>#N/A</v>
      </c>
      <c r="CK250" s="140" t="e">
        <f ca="1">IF(AND($BB250&gt;=65,$BB250&lt;90),1,IF($CI250&gt;=Control!$C$91,0,$CG250))</f>
        <v>#N/A</v>
      </c>
      <c r="CL250" s="404" t="e">
        <f ca="1">IF($CK250=0,0,IF($CI250&lt;=Control!$C$91,$CG250*(65+(90-65)*($CJ250/Control!$C$91)),0))</f>
        <v>#N/A</v>
      </c>
      <c r="CM250" s="140" t="e">
        <f ca="1">IF($BG250+$BM250+$BS250+$BY250+$CE250+$CK250=1,0,IF(OR($BB250&gt;=90,$CI250&gt;=Control!$C$91),$BA250,$CM249))</f>
        <v>#N/A</v>
      </c>
      <c r="CN250" s="140" t="e">
        <f t="shared" ca="1" si="832"/>
        <v>#N/A</v>
      </c>
      <c r="CO250" s="140" t="e">
        <f t="shared" ca="1" si="833"/>
        <v>#N/A</v>
      </c>
      <c r="CP250" s="140" t="e">
        <f t="shared" ca="1" si="834"/>
        <v>#N/A</v>
      </c>
      <c r="CQ250" s="141" t="e">
        <f ca="1">VLOOKUP($CP250,Control!$B$86:$G$91,6)</f>
        <v>#N/A</v>
      </c>
      <c r="CR250" s="141" t="e">
        <f ca="1">(1-$CQ250)*VLOOKUP($CP250,Control!$B$86:$D$91,3)</f>
        <v>#N/A</v>
      </c>
      <c r="CS250" s="141" t="e">
        <f ca="1">(1-$CQ250)*VLOOKUP($CP250,Control!$B$86:$E$91,4)</f>
        <v>#N/A</v>
      </c>
      <c r="CT250" s="141" t="e">
        <f ca="1">(1-$CQ250)*VLOOKUP($CP250,Control!$B$86:$F$91,5)</f>
        <v>#N/A</v>
      </c>
      <c r="CU250" s="141">
        <f t="shared" ca="1" si="835"/>
        <v>0</v>
      </c>
      <c r="CV250" s="583">
        <f t="shared" ca="1" si="836"/>
        <v>0</v>
      </c>
      <c r="CW250" s="142">
        <f t="shared" ca="1" si="837"/>
        <v>246</v>
      </c>
      <c r="CX250" s="612" t="e">
        <f ca="1">IF(Control!$C$114=1,(MIN(Control!$C$120*(IF($NT250-0.01&lt;0,0,1)),Control!$C$119-$CY250)))</f>
        <v>#DIV/0!</v>
      </c>
      <c r="CY250" s="143" t="e">
        <f t="shared" ca="1" si="838"/>
        <v>#N/A</v>
      </c>
      <c r="CZ250" s="144">
        <f t="shared" ca="1" si="715"/>
        <v>0</v>
      </c>
      <c r="DA250" s="144">
        <f t="shared" ca="1" si="716"/>
        <v>0</v>
      </c>
      <c r="DB250" s="144" t="e">
        <f t="shared" ca="1" si="717"/>
        <v>#N/A</v>
      </c>
      <c r="DC250" s="144" t="e">
        <f t="shared" ca="1" si="718"/>
        <v>#N/A</v>
      </c>
      <c r="DD250" s="144" t="e">
        <f t="shared" ca="1" si="923"/>
        <v>#N/A</v>
      </c>
      <c r="DE250" s="143" t="e">
        <f t="shared" ca="1" si="839"/>
        <v>#N/A</v>
      </c>
      <c r="DF250" s="145" t="e">
        <f ca="1">$DR250*EXP(-Control!$C$158*(1-$KH250))</f>
        <v>#N/A</v>
      </c>
      <c r="DG250" s="146" t="e">
        <f ca="1">IF(Control!$C$114=1, $DF250*$EY250, 0)</f>
        <v>#N/A</v>
      </c>
      <c r="DH250" s="147" t="e">
        <f t="shared" ca="1" si="840"/>
        <v>#N/A</v>
      </c>
      <c r="DI250" s="144" t="e">
        <f t="shared" ca="1" si="901"/>
        <v>#N/A</v>
      </c>
      <c r="DJ250" s="147" t="e">
        <f ca="1">$EF250*Control!$C$109</f>
        <v>#N/A</v>
      </c>
      <c r="DK250" s="144" t="e">
        <f t="shared" ca="1" si="841"/>
        <v>#N/A</v>
      </c>
      <c r="DL250" s="144" t="e">
        <f t="shared" ca="1" si="719"/>
        <v>#N/A</v>
      </c>
      <c r="DM250" s="144" t="e">
        <f ca="1">IF(Control!$C$114=1, (1-EXP(-Control!$C$96*$DK250))*$AR250, 0)</f>
        <v>#N/A</v>
      </c>
      <c r="DN250" s="144">
        <f t="shared" ca="1" si="842"/>
        <v>0</v>
      </c>
      <c r="DO250" s="148">
        <f>Control!$C$97</f>
        <v>4</v>
      </c>
      <c r="DP250" s="145" t="e">
        <f t="shared" ca="1" si="843"/>
        <v>#N/A</v>
      </c>
      <c r="DQ250" s="145" t="e">
        <f ca="1">IF(AND($CP250&gt;=0,$CP250&lt;=90),Control!$C$111,Control!$C$111)</f>
        <v>#N/A</v>
      </c>
      <c r="DR250" s="145" t="e">
        <f t="shared" ca="1" si="720"/>
        <v>#N/A</v>
      </c>
      <c r="DS250" s="143" t="e">
        <f ca="1">Control!$B$22/$DR250</f>
        <v>#N/A</v>
      </c>
      <c r="DT250" s="149" t="e">
        <f ca="1">IF(AND(Control!$C$114=1,$KH250&lt;1),$IM250*$DF250, 0)</f>
        <v>#N/A</v>
      </c>
      <c r="DU250" s="144" t="e">
        <f t="shared" ca="1" si="844"/>
        <v>#N/A</v>
      </c>
      <c r="DV250" s="144">
        <f ca="1">IF($G250-Control!$C$107&lt;=0, 0, 0.83*LN(MAX($G250, 3))-0.8924)</f>
        <v>0</v>
      </c>
      <c r="DW250" s="144" t="e">
        <f t="shared" ca="1" si="721"/>
        <v>#N/A</v>
      </c>
      <c r="DX250" s="150" t="e">
        <f ca="1">MAX(0.01*(1+$CU250/Control!$C$102),0.05*($DK250-Control!$C$97)/Control!$C$97)</f>
        <v>#N/A</v>
      </c>
      <c r="DY250" s="151" t="e">
        <f ca="1">IF(Control!$C$114=1, $DI250*$FS250, 0)</f>
        <v>#N/A</v>
      </c>
      <c r="DZ250" s="196" t="e">
        <f t="shared" ca="1" si="845"/>
        <v>#N/A</v>
      </c>
      <c r="EA250" s="152">
        <f t="shared" ca="1" si="846"/>
        <v>246</v>
      </c>
      <c r="EB250" s="153" t="e">
        <f t="shared" ca="1" si="847"/>
        <v>#N/A</v>
      </c>
      <c r="EC250" s="153" t="e">
        <f t="shared" ca="1" si="848"/>
        <v>#N/A</v>
      </c>
      <c r="ED250" s="154" t="e">
        <f ca="1">IF(Control!$C$114=1, $HM250*$FY250-$FD250, 0)</f>
        <v>#DIV/0!</v>
      </c>
      <c r="EE250" s="155" t="e">
        <f ca="1">IF(Control!$C$114=1, $HM250*$FZ250-$FF250, 0)</f>
        <v>#DIV/0!</v>
      </c>
      <c r="EF250" s="153" t="e">
        <f t="shared" ca="1" si="902"/>
        <v>#N/A</v>
      </c>
      <c r="EG250" s="155" t="e">
        <f ca="1">IF(Control!$C$114=1, $GX250*$FW250-$FI250, 0)</f>
        <v>#DIV/0!</v>
      </c>
      <c r="EH250" s="153" t="e">
        <f t="shared" ca="1" si="849"/>
        <v>#N/A</v>
      </c>
      <c r="EI250" s="156" t="e">
        <f t="shared" ca="1" si="850"/>
        <v>#N/A</v>
      </c>
      <c r="EJ250" s="155" t="e">
        <f ca="1">IF(Control!$C$114=1, $HM250*$GB250, 0)</f>
        <v>#DIV/0!</v>
      </c>
      <c r="EK250" s="153" t="e">
        <f t="shared" ca="1" si="903"/>
        <v>#N/A</v>
      </c>
      <c r="EL250" s="153" t="e">
        <f t="shared" ca="1" si="722"/>
        <v>#N/A</v>
      </c>
      <c r="EM250" s="153" t="e">
        <f t="shared" ca="1" si="723"/>
        <v>#N/A</v>
      </c>
      <c r="EN250" s="153" t="e">
        <f ca="1">IF(Control!$C$108=1,IF(AND(Control!$B$18=1,$EB250&gt;=Control!$B$19),$EB250-$DS250,IF(AND(Control!$B$18=2,$AW250=1,$EB250&gt;$DS250),$EB250-$DS250,0)))</f>
        <v>#N/A</v>
      </c>
      <c r="EO250" s="153" t="e">
        <f ca="1">IF(Control!$C$108=1,IF(AND(Control!$B$18=1,$EB250&gt;=Control!$B$19),$EF250,IF(AND(Control!$B$18=2,$AW250=1),$EF250,0)))</f>
        <v>#N/A</v>
      </c>
      <c r="EP250" s="153" t="e">
        <f ca="1">IF(Control!$C$108=1,IF(AND(Control!$B$18=1,$EB250&gt;=Control!$B$19),$EK250,IF(AND(Control!$B$18=2,$AW250=1),$EK250,0)))</f>
        <v>#N/A</v>
      </c>
      <c r="EQ250" s="153" t="e">
        <f t="shared" ca="1" si="851"/>
        <v>#N/A</v>
      </c>
      <c r="ER250" s="153" t="e">
        <f t="shared" ca="1" si="852"/>
        <v>#N/A</v>
      </c>
      <c r="ES250" s="153" t="e">
        <f t="shared" ca="1" si="904"/>
        <v>#N/A</v>
      </c>
      <c r="ET250" s="153" t="e">
        <f t="shared" ca="1" si="905"/>
        <v>#N/A</v>
      </c>
      <c r="EU250" s="153" t="e">
        <f t="shared" ca="1" si="853"/>
        <v>#N/A</v>
      </c>
      <c r="EV250" s="153" t="e">
        <f t="shared" ca="1" si="724"/>
        <v>#N/A</v>
      </c>
      <c r="EW250" s="153" t="e">
        <f t="shared" ca="1" si="725"/>
        <v>#N/A</v>
      </c>
      <c r="EX250" s="153" t="e">
        <f t="shared" ca="1" si="726"/>
        <v>#N/A</v>
      </c>
      <c r="EY250" s="157" t="e">
        <f t="shared" ca="1" si="727"/>
        <v>#DIV/0!</v>
      </c>
      <c r="EZ250" s="154" t="e">
        <f t="shared" ca="1" si="728"/>
        <v>#DIV/0!</v>
      </c>
      <c r="FA250" s="153" t="e">
        <f t="shared" ca="1" si="854"/>
        <v>#N/A</v>
      </c>
      <c r="FB250" s="153" t="e">
        <f t="shared" ca="1" si="729"/>
        <v>#N/A</v>
      </c>
      <c r="FC250" s="193" t="e">
        <f t="shared" ca="1" si="730"/>
        <v>#N/A</v>
      </c>
      <c r="FD250" s="158" t="e">
        <f t="shared" ca="1" si="855"/>
        <v>#N/A</v>
      </c>
      <c r="FE250" s="158" t="e">
        <f t="shared" ca="1" si="856"/>
        <v>#N/A</v>
      </c>
      <c r="FF250" s="159" t="e">
        <f t="shared" ca="1" si="731"/>
        <v>#N/A</v>
      </c>
      <c r="FG250" s="160" t="e">
        <f t="shared" ca="1" si="857"/>
        <v>#N/A</v>
      </c>
      <c r="FH250" s="158" t="e">
        <f t="shared" ca="1" si="858"/>
        <v>#N/A</v>
      </c>
      <c r="FI250" s="159" t="e">
        <f t="shared" ca="1" si="732"/>
        <v>#N/A</v>
      </c>
      <c r="FJ250" s="160" t="e">
        <f t="shared" ca="1" si="859"/>
        <v>#N/A</v>
      </c>
      <c r="FK250" s="160" t="e">
        <f t="shared" ca="1" si="733"/>
        <v>#N/A</v>
      </c>
      <c r="FL250" s="160" t="e">
        <f t="shared" ca="1" si="906"/>
        <v>#N/A</v>
      </c>
      <c r="FM250" s="160" t="e">
        <f t="shared" ca="1" si="734"/>
        <v>#N/A</v>
      </c>
      <c r="FN250" s="158">
        <f t="shared" ca="1" si="860"/>
        <v>0.01</v>
      </c>
      <c r="FO250" s="160">
        <f>Control!$C$101</f>
        <v>50</v>
      </c>
      <c r="FP250" s="150" t="e">
        <f t="shared" ca="1" si="735"/>
        <v>#N/A</v>
      </c>
      <c r="FQ250" s="150" t="e">
        <f ca="1">MAX(0,(Control!$C$112*(($DK250-Control!$C$97)/Control!$C$97)))</f>
        <v>#N/A</v>
      </c>
      <c r="FR250" s="150" t="e">
        <f ca="1">(1-$NT250)*Control!$C$113</f>
        <v>#DIV/0!</v>
      </c>
      <c r="FS250" s="198" t="e">
        <f t="shared" ca="1" si="736"/>
        <v>#N/A</v>
      </c>
      <c r="FT250" s="161">
        <f t="shared" ca="1" si="861"/>
        <v>246</v>
      </c>
      <c r="FU250" s="162" t="e">
        <f ca="1">IF(Control!$B$34=1,VLOOKUP($CP250,Control!$B$86:$G$91,6),Control!$B$35)</f>
        <v>#N/A</v>
      </c>
      <c r="FV250" s="162" t="e">
        <f t="shared" ca="1" si="737"/>
        <v>#DIV/0!</v>
      </c>
      <c r="FW250" s="162" t="e">
        <f ca="1">IF(Control!$B$31=1,$FU250*$FV250,  $FU250)</f>
        <v>#N/A</v>
      </c>
      <c r="FX250" s="162" t="e">
        <f ca="1">IF(Control!$B$34=1,VLOOKUP($CP250,Control!$B$86:$G$91,3),Control!$B$36)</f>
        <v>#N/A</v>
      </c>
      <c r="FY250" s="162" t="e">
        <f t="shared" ca="1" si="738"/>
        <v>#N/A</v>
      </c>
      <c r="FZ250" s="162" t="e">
        <f ca="1">IF(Control!$B$34=1,VLOOKUP($CP250,Control!$B$86:$G$91,4),Control!$B$37)</f>
        <v>#N/A</v>
      </c>
      <c r="GA250" s="162" t="e">
        <f t="shared" ca="1" si="739"/>
        <v>#N/A</v>
      </c>
      <c r="GB250" s="162" t="e">
        <f ca="1">IF(Control!$B$34=1,VLOOKUP($CP250,Control!$B$86:$G$91,5),Control!$B$38)</f>
        <v>#N/A</v>
      </c>
      <c r="GC250" s="162" t="e">
        <f t="shared" ca="1" si="862"/>
        <v>#N/A</v>
      </c>
      <c r="GD250" s="162">
        <f t="shared" ca="1" si="740"/>
        <v>1</v>
      </c>
      <c r="GE250" s="162">
        <f t="shared" ca="1" si="741"/>
        <v>1</v>
      </c>
      <c r="GF250" s="162">
        <f ca="1">IF(AND(Control!$C$104=1, Control!$C$62="F"),$GE250,1)</f>
        <v>1</v>
      </c>
      <c r="GG250" s="162" t="e">
        <f ca="1">IF(Control!$B$16=40,0,IF(AND(Control!$B$16&gt;40,Control!$B$16&lt;=360),(Control!$B$16-40)*((1-0)/(360-40)),IF(AND(Control!$B$16&gt;360,Control!$B$16&lt;=720),(1+(Control!$B$16-360)*((1.25-1)/(720-360))),IF(AND(Control!$B$16&gt;720,Control!$B$16&lt;=1000),(1.25+(Control!$B$16-720)*((1.35-1.25)/(1000-720))),IF(AND(Control!$B$16&gt;1000,Control!$B$16&lt;=2000),(1.35+(Control!$B$16-1000)*0))))))</f>
        <v>#N/A</v>
      </c>
      <c r="GH250" s="162" t="e">
        <f t="shared" ca="1" si="742"/>
        <v>#N/A</v>
      </c>
      <c r="GI250" s="162">
        <f t="shared" ca="1" si="863"/>
        <v>0</v>
      </c>
      <c r="GJ250" s="162">
        <f t="shared" ca="1" si="743"/>
        <v>0</v>
      </c>
      <c r="GK250" s="162">
        <f t="shared" ca="1" si="864"/>
        <v>1</v>
      </c>
      <c r="GL250" s="162">
        <f t="shared" ca="1" si="744"/>
        <v>1</v>
      </c>
      <c r="GM250" s="162" t="e">
        <f ca="1">MAX(0,MIN(1,1-Control!$C$156*(1.0001-$KH250)^2))</f>
        <v>#N/A</v>
      </c>
      <c r="GN250" s="162" t="e">
        <f ca="1">IF(Control!$B$26=1,$KU250,$KX250)</f>
        <v>#N/A</v>
      </c>
      <c r="GO250" s="162" t="e">
        <f ca="1">IF($CP250&lt;=60,Control!$C$105,IF($CP250&gt;=90,Control!$C$106,Control!$C$105+($CP250-60)*((Control!$C$106-Control!$C$105)/(90-60))))</f>
        <v>#N/A</v>
      </c>
      <c r="GP250" s="162" t="e">
        <f t="shared" ca="1" si="745"/>
        <v>#N/A</v>
      </c>
      <c r="GQ250" s="162" t="e">
        <f t="shared" ca="1" si="865"/>
        <v>#N/A</v>
      </c>
      <c r="GR250" s="163" t="e">
        <f t="shared" ca="1" si="746"/>
        <v>#DIV/0!</v>
      </c>
      <c r="GS250" s="162" t="e">
        <f t="shared" ca="1" si="747"/>
        <v>#DIV/0!</v>
      </c>
      <c r="GT250" s="164" t="e">
        <f t="shared" ca="1" si="866"/>
        <v>#N/A</v>
      </c>
      <c r="GU250" s="162" t="e">
        <f t="shared" ca="1" si="867"/>
        <v>#N/A</v>
      </c>
      <c r="GV250" s="162" t="e">
        <f t="shared" ca="1" si="748"/>
        <v>#N/A</v>
      </c>
      <c r="GW250" s="162" t="e">
        <f t="shared" ca="1" si="749"/>
        <v>#DIV/0!</v>
      </c>
      <c r="GX250" s="162" t="e">
        <f t="shared" ca="1" si="868"/>
        <v>#DIV/0!</v>
      </c>
      <c r="GY250" s="162" t="e">
        <f t="shared" ca="1" si="869"/>
        <v>#DIV/0!</v>
      </c>
      <c r="GZ250" s="165" t="e">
        <f t="shared" ca="1" si="750"/>
        <v>#N/A</v>
      </c>
      <c r="HA250" s="162" t="e">
        <f ca="1">IF(Control!$C$114=1, $DI250*$FS250, 0)</f>
        <v>#N/A</v>
      </c>
      <c r="HB250" s="162" t="e">
        <f ca="1">$FA250/Control!$C$64</f>
        <v>#N/A</v>
      </c>
      <c r="HC250" s="162" t="e">
        <f t="shared" ca="1" si="751"/>
        <v>#DIV/0!</v>
      </c>
      <c r="HD250" s="162">
        <f ca="1">-ASIN(SIN(23.45*Control!$C$139)*COS(2*Control!$C$138*($AH250+10)/365))</f>
        <v>0.11999494020614847</v>
      </c>
      <c r="HE250" s="165">
        <f t="shared" ca="1" si="870"/>
        <v>0</v>
      </c>
      <c r="HF250" s="166">
        <f ca="1">IF(AND(Control!$C$61="T",$HE250&gt;=Control!$C$103,Control!$C$114=0),$AH250,Control!$C$59)</f>
        <v>1</v>
      </c>
      <c r="HG250" s="166">
        <f ca="1">IF(AND(Control!$C$61="T",$HE250&gt;=Control!$C$103,Control!$C$114=0),$HF250,Control!$C$59)</f>
        <v>1</v>
      </c>
      <c r="HH250" s="165">
        <f ca="1">IF(AND(OR(Control!$C$60&lt;=0, $AH250= Control!$C$59, Control!$C$60 &gt;0, $AH250 = Control!$C$60)), Control!$C$59, IF(Control!$C$60&gt;0, 0))</f>
        <v>1</v>
      </c>
      <c r="HI250" s="165">
        <f ca="1">IF(AND(OR(Control!$C$60&lt;=0, $AH250= Control!$C$59, Control!$C$60 &gt;0, $AH250 = Control!$C$60)), Control!$C$60, IF(Control!$C$60&lt;=0, 0))</f>
        <v>0</v>
      </c>
      <c r="HJ250" s="166">
        <f ca="1">IF(AND(Control!$C$62="F",$CV250&gt;=Control!$C$102),$AH250,0)</f>
        <v>0</v>
      </c>
      <c r="HK250" s="165" t="e">
        <f t="shared" ca="1" si="907"/>
        <v>#N/A</v>
      </c>
      <c r="HL250" s="166">
        <f ca="1">IF(AND(Control!$C$61="T",$HE250&gt;=Control!$C$103,Control!$C$114=0),$HF250,0)</f>
        <v>0</v>
      </c>
      <c r="HM250" s="201" t="e">
        <f t="shared" ca="1" si="752"/>
        <v>#DIV/0!</v>
      </c>
      <c r="HN250" s="215">
        <f t="shared" ca="1" si="871"/>
        <v>246</v>
      </c>
      <c r="HO250" s="216" t="e">
        <f ca="1">IF(AND($CP250&gt;=0, $CP250&lt;=90), Control!$C$152, Control!$C$152)</f>
        <v>#N/A</v>
      </c>
      <c r="HP250" s="216" t="e">
        <f t="shared" ca="1" si="753"/>
        <v>#N/A</v>
      </c>
      <c r="HQ250" s="217" t="e">
        <f ca="1">IF(OR(Control!$B$26=1,Control!$B$26=2),$KV250,$KS250)</f>
        <v>#DIV/0!</v>
      </c>
      <c r="HR250" s="218" t="e">
        <f t="shared" ca="1" si="908"/>
        <v>#DIV/0!</v>
      </c>
      <c r="HS250" s="216" t="e">
        <f ca="1">Control!$C$154*$HP250</f>
        <v>#N/A</v>
      </c>
      <c r="HT250" s="216" t="e">
        <f ca="1">Control!$C$155*$HP250</f>
        <v>#N/A</v>
      </c>
      <c r="HU250" s="217" t="e">
        <f ca="1">Control!$C$161*$FI250</f>
        <v>#N/A</v>
      </c>
      <c r="HV250" s="218" t="e">
        <f t="shared" ca="1" si="872"/>
        <v>#N/A</v>
      </c>
      <c r="HW250" s="218" t="e">
        <f ca="1">Control!$C$160*$FF250+$IP250*$EO250</f>
        <v>#N/A</v>
      </c>
      <c r="HX250" s="218" t="e">
        <f t="shared" ca="1" si="909"/>
        <v>#N/A</v>
      </c>
      <c r="HY250" s="219" t="e">
        <f ca="1">IF(Control!$C$114=1, $EB250*$FS250, 0)</f>
        <v>#N/A</v>
      </c>
      <c r="HZ250" s="91" t="e">
        <f t="shared" ca="1" si="754"/>
        <v>#N/A</v>
      </c>
      <c r="IA250" s="220" t="e">
        <f ca="1">Control!$C$153*$HO250</f>
        <v>#N/A</v>
      </c>
      <c r="IB250" s="218" t="e">
        <f t="shared" ca="1" si="755"/>
        <v>#N/A</v>
      </c>
      <c r="IC250" s="220" t="e">
        <f ca="1">Control!$C$153*$HT250</f>
        <v>#N/A</v>
      </c>
      <c r="ID250" s="218" t="e">
        <f t="shared" ca="1" si="756"/>
        <v>#N/A</v>
      </c>
      <c r="IE250" s="221" t="e">
        <f ca="1">($EB250*Control!$C$159+$EF250*Control!$C$160)/(IF($GZ250&lt;&gt;0,$GZ250,1))</f>
        <v>#N/A</v>
      </c>
      <c r="IF250" s="216" t="e">
        <f t="shared" ca="1" si="757"/>
        <v>#N/A</v>
      </c>
      <c r="IG250" s="91">
        <f ca="1">IF(OR(Control!$B$198=$AH250,Control!$B$199=$AH250, Control!$B$200=$AH250, Control!$B$201=$AH250, Control!$B$202=$AH250, Control!$B$203=$AH250, Control!$B$204=$AH250, Control!$B$205=$AH250, Control!$B$206=$AH250, Control!$B$207=$AH250), 1, 0)</f>
        <v>0</v>
      </c>
      <c r="IH250" s="91">
        <f ca="1">IF($IG250=0,0, VLOOKUP($AH250,Control!$B$198:$C$207,2))</f>
        <v>0</v>
      </c>
      <c r="II250" s="222">
        <f t="shared" ca="1" si="873"/>
        <v>0</v>
      </c>
      <c r="IJ250" s="91">
        <f>Control!$C$121</f>
        <v>0.7</v>
      </c>
      <c r="IK250" s="218">
        <f t="shared" ca="1" si="758"/>
        <v>0</v>
      </c>
      <c r="IL250" s="217" t="e">
        <f t="shared" ca="1" si="910"/>
        <v>#N/A</v>
      </c>
      <c r="IM250" s="223" t="e">
        <f ca="1">IF(AND(Control!$C$114=1,$KH250&lt;1),$EB250*Control!$C$148*(1-$KH250), 0)</f>
        <v>#N/A</v>
      </c>
      <c r="IN250" s="217" t="e">
        <f t="shared" ca="1" si="759"/>
        <v>#DIV/0!</v>
      </c>
      <c r="IO250" s="91" t="e">
        <f ca="1">MAX(0,$IL250-$EF250*Control!$C$160)</f>
        <v>#N/A</v>
      </c>
      <c r="IP250" s="220" t="e">
        <f t="shared" ca="1" si="760"/>
        <v>#N/A</v>
      </c>
      <c r="IQ250" s="217" t="e">
        <f t="shared" ca="1" si="874"/>
        <v>#N/A</v>
      </c>
      <c r="IR250" s="218" t="e">
        <f t="shared" ca="1" si="761"/>
        <v>#N/A</v>
      </c>
      <c r="IS250" s="217" t="e">
        <f ca="1">Control!$C$159*MAX(0,$FD250-$EN250)</f>
        <v>#N/A</v>
      </c>
      <c r="IT250" s="217" t="e">
        <f t="shared" ca="1" si="911"/>
        <v>#N/A</v>
      </c>
      <c r="IU250" s="217" t="e">
        <f t="shared" ca="1" si="875"/>
        <v>#N/A</v>
      </c>
      <c r="IV250" s="217" t="e">
        <f t="shared" ca="1" si="912"/>
        <v>#N/A</v>
      </c>
      <c r="IW250" s="217" t="e">
        <f ca="1">IF(OR($AW250=1,AND($AW250=0, Control!$B$18=1,$EN250&lt;&gt;0)), $IQ250-$IU250, $IQ250)</f>
        <v>#N/A</v>
      </c>
      <c r="IX250" s="218" t="e">
        <f t="shared" ca="1" si="762"/>
        <v>#N/A</v>
      </c>
      <c r="IY250" s="218" t="e">
        <f ca="1">MAX(0,$IQ250-$EB250*Control!$C$159)</f>
        <v>#N/A</v>
      </c>
      <c r="IZ250" s="218" t="e">
        <f t="shared" ca="1" si="763"/>
        <v>#N/A</v>
      </c>
      <c r="JA250" s="216" t="e">
        <f t="shared" ca="1" si="764"/>
        <v>#N/A</v>
      </c>
      <c r="JB250" s="217" t="e">
        <f t="shared" ca="1" si="765"/>
        <v>#N/A</v>
      </c>
      <c r="JC250" s="222" t="e">
        <f ca="1">MAX(Control!$C$157*$EK250-$JT250, 0)/Control!$C$162</f>
        <v>#N/A</v>
      </c>
      <c r="JD250" s="218" t="e">
        <f t="shared" ca="1" si="766"/>
        <v>#N/A</v>
      </c>
      <c r="JE250" s="218" t="e">
        <f t="shared" ca="1" si="767"/>
        <v>#N/A</v>
      </c>
      <c r="JF250" s="218" t="e">
        <f t="shared" ca="1" si="876"/>
        <v>#N/A</v>
      </c>
      <c r="JG250" s="218" t="e">
        <f t="shared" ca="1" si="768"/>
        <v>#N/A</v>
      </c>
      <c r="JH250" s="217" t="e">
        <f t="shared" ca="1" si="877"/>
        <v>#N/A</v>
      </c>
      <c r="JI250" s="217" t="e">
        <f t="shared" ca="1" si="878"/>
        <v>#N/A</v>
      </c>
      <c r="JJ250" s="217" t="e">
        <f t="shared" ca="1" si="913"/>
        <v>#N/A</v>
      </c>
      <c r="JK250" s="217" t="e">
        <f ca="1">IF(Control!$C$114=1,IF(Control!$B$24=0,MAX(0,$JI250)*$GN250/Control!$C$64,(MAX(0,MIN($JI250,$JJ250*$GN250/Control!$C$64),0))))</f>
        <v>#N/A</v>
      </c>
      <c r="JL250" s="217" t="e">
        <f ca="1">$IK250/Control!$C$64-$JK250+$HQ250</f>
        <v>#N/A</v>
      </c>
      <c r="JM250" s="217" t="e">
        <f ca="1">IF(Control!$C$114=1,($JB250/(IF($JI250&lt;&gt;0,$JI250,1)))*$JK250,0)</f>
        <v>#N/A</v>
      </c>
      <c r="JN250" s="217" t="e">
        <f ca="1">IF(Control!$C$114=1,($JG250/(IF($JI250&lt;&gt;0,$JI250,1)))*$JK250, 0)</f>
        <v>#N/A</v>
      </c>
      <c r="JO250" s="218" t="e">
        <f t="shared" ca="1" si="769"/>
        <v>#N/A</v>
      </c>
      <c r="JP250" s="218" t="e">
        <f ca="1">MIN(($IY250+$IO250)*Control!$C$151, $JF250-$EH250*Control!$C$161)</f>
        <v>#N/A</v>
      </c>
      <c r="JQ250" s="218" t="e">
        <f t="shared" ca="1" si="770"/>
        <v>#N/A</v>
      </c>
      <c r="JR250" s="217" t="e">
        <f ca="1">IF($CP250-Control!$C$150&lt;0, 0, $JQ250/Control!$C$162)</f>
        <v>#N/A</v>
      </c>
      <c r="JS250" s="218" t="e">
        <f t="shared" ca="1" si="771"/>
        <v>#N/A</v>
      </c>
      <c r="JT250" s="218" t="e">
        <f t="shared" ca="1" si="879"/>
        <v>#N/A</v>
      </c>
      <c r="JU250" s="218" t="e">
        <f t="shared" ca="1" si="772"/>
        <v>#N/A</v>
      </c>
      <c r="JV250" s="218" t="e">
        <f t="shared" ca="1" si="773"/>
        <v>#N/A</v>
      </c>
      <c r="JW250" s="216" t="e">
        <f t="shared" ca="1" si="774"/>
        <v>#N/A</v>
      </c>
      <c r="JX250" s="91" t="e">
        <f t="shared" ca="1" si="775"/>
        <v>#N/A</v>
      </c>
      <c r="JY250" s="218" t="e">
        <f t="shared" ca="1" si="776"/>
        <v>#N/A</v>
      </c>
      <c r="JZ250" s="217" t="e">
        <f ca="1">IF(Control!$C$114=1,($IZ250/(IF($JI250&lt;&gt;0,$JI250,1)))*$JK250, 0)</f>
        <v>#N/A</v>
      </c>
      <c r="KA250" s="218" t="e">
        <f t="shared" ca="1" si="914"/>
        <v>#N/A</v>
      </c>
      <c r="KB250" s="218" t="e">
        <f t="shared" ca="1" si="880"/>
        <v>#N/A</v>
      </c>
      <c r="KC250" s="218" t="e">
        <f t="shared" ca="1" si="777"/>
        <v>#N/A</v>
      </c>
      <c r="KD250" s="218" t="e">
        <f t="shared" ca="1" si="778"/>
        <v>#N/A</v>
      </c>
      <c r="KE250" s="218" t="e">
        <f t="shared" ca="1" si="779"/>
        <v>#N/A</v>
      </c>
      <c r="KF250" s="218" t="e">
        <f t="shared" ca="1" si="780"/>
        <v>#N/A</v>
      </c>
      <c r="KG250" s="216" t="e">
        <f t="shared" ca="1" si="781"/>
        <v>#N/A</v>
      </c>
      <c r="KH250" s="221" t="e">
        <f ca="1">IF(Control!$B$24=0,1,MAX(0.001,MIN(1,IF(($IF250-$IE250)&lt;&gt;0,($KG250-$IE250)/($IF250-$IE250),1))))</f>
        <v>#N/A</v>
      </c>
      <c r="KI250" s="222" t="e">
        <f ca="1">IF(Control!$C$114=1, $KI249+ $KH249, 0)</f>
        <v>#N/A</v>
      </c>
      <c r="KJ250" s="217" t="e">
        <f t="shared" ca="1" si="782"/>
        <v>#N/A</v>
      </c>
      <c r="KK250" s="218" t="e">
        <f t="shared" ca="1" si="783"/>
        <v>#N/A</v>
      </c>
      <c r="KL250" s="274" t="e">
        <f ca="1">IF(Control!$B$26=3,4000000000*EXP(-8400/($G250+273)),IF(Control!$B$26=4,4000000000*EXP(-8400/($G250+273))*($KT250),0))</f>
        <v>#DIV/0!</v>
      </c>
      <c r="KM250" s="274" t="e">
        <f ca="1">IF(Control!$B$26=3,5600000000000*EXP(-9800/($G250+273)),IF(Control!$B$26=4,5600000000000*EXP(-9800/($G250+273))*$KT250,0))</f>
        <v>#DIV/0!</v>
      </c>
      <c r="KN250" s="454" t="e">
        <f t="shared" ca="1" si="881"/>
        <v>#DIV/0!</v>
      </c>
      <c r="KO250" s="274" t="e">
        <f t="shared" ca="1" si="882"/>
        <v>#DIV/0!</v>
      </c>
      <c r="KP250" s="454" t="e">
        <f t="shared" ca="1" si="784"/>
        <v>#DIV/0!</v>
      </c>
      <c r="KQ250" s="454" t="e">
        <f t="shared" ca="1" si="785"/>
        <v>#DIV/0!</v>
      </c>
      <c r="KR250" s="454" t="e">
        <f t="shared" ca="1" si="786"/>
        <v>#DIV/0!</v>
      </c>
      <c r="KS250" s="454" t="e">
        <f t="shared" ca="1" si="787"/>
        <v>#DIV/0!</v>
      </c>
      <c r="KT250" s="455" t="e">
        <f t="shared" ca="1" si="788"/>
        <v>#DIV/0!</v>
      </c>
      <c r="KU250" s="456" t="e">
        <f ca="1">IF($CP250-Control!$C$149&lt;0, IF($NT250-0.01&lt;0,0,1),0)</f>
        <v>#N/A</v>
      </c>
      <c r="KV250" s="456" t="e">
        <f ca="1">IF(Control!$C$114=1,MAX(0,MIN(Control!$C$125*$KW250*$GN250,$KW250)))</f>
        <v>#DIV/0!</v>
      </c>
      <c r="KW250" s="456" t="e">
        <f t="shared" ca="1" si="915"/>
        <v>#DIV/0!</v>
      </c>
      <c r="KX250" s="457" t="e">
        <f ca="1">IF($CP250-Control!$C$149&lt;0, IF($MR250-$OM250&lt;0,0,1),0)</f>
        <v>#N/A</v>
      </c>
      <c r="KY250" s="167">
        <f t="shared" ca="1" si="883"/>
        <v>246</v>
      </c>
      <c r="KZ250" s="168">
        <f ca="1">1370*(1+0.033*COS(2*Control!$C$138*$AH250/365))</f>
        <v>1349.2158804289159</v>
      </c>
      <c r="LA250" s="169">
        <f t="shared" ca="1" si="884"/>
        <v>0.98482881959808055</v>
      </c>
      <c r="LB250" s="169">
        <f t="shared" ca="1" si="885"/>
        <v>0.11965509269706703</v>
      </c>
      <c r="LC250" s="169">
        <f ca="1">ACOS(-TAN((2*Control!$B$8/360))*TAN(Calculations!$LB250))</f>
        <v>1.606536498147014</v>
      </c>
      <c r="LD250" s="169">
        <f ca="1">((24*60)/PI())*0.082*$LA250*(($LC250*SIN(Control!$B$8*2*PI()/360))*SIN($LB250)+COS(Control!$B$8*2*PI()/360)*COS($LB250)*SIN($LC250))</f>
        <v>28.205577473161039</v>
      </c>
      <c r="LE250" s="170">
        <f t="shared" ca="1" si="789"/>
        <v>28.447264879995554</v>
      </c>
      <c r="LF250" s="170">
        <f ca="1">SIN(Control!$C$139*Control!$B$8)*SIN($HD250)</f>
        <v>9.4330704592813924E-2</v>
      </c>
      <c r="LG250" s="170">
        <f ca="1">COS(Control!$C$139*Control!$B$8)*COS($HD250)</f>
        <v>0.61123274200803002</v>
      </c>
      <c r="LH250" s="170">
        <f ca="1">12*(1+2*ASIN(MAX(-1,MIN(1,$LF250/$LG250))/Control!$C$138))</f>
        <v>13.17945574148402</v>
      </c>
      <c r="LI250" s="170">
        <f ca="1">12*(1+2*ASIN(MAX(-1,MIN(1,(-SIN(-4*Control!$C$139)+$LF250)/$LG250))/Control!$C$138))</f>
        <v>14.053330084603111</v>
      </c>
      <c r="LJ250" s="168">
        <f ca="1">3600*($LH250*$LF250+24*$LG250*SQRT(1-$LK250*$LK250)/Control!$C$138)</f>
        <v>21084.294435485124</v>
      </c>
      <c r="LK250" s="170">
        <f t="shared" ca="1" si="790"/>
        <v>0.1543286183965169</v>
      </c>
      <c r="LL250" s="170">
        <f t="shared" ca="1" si="791"/>
        <v>0</v>
      </c>
      <c r="LM250" s="171">
        <f ca="1">Control!$C$145*$AB250</f>
        <v>6.6660906138995932E-2</v>
      </c>
      <c r="LN250" s="170">
        <f t="shared" ca="1" si="886"/>
        <v>0.54</v>
      </c>
      <c r="LO250" s="170">
        <f t="shared" ca="1" si="792"/>
        <v>0</v>
      </c>
      <c r="LP250" s="170">
        <f ca="1">Control!$C$140*((($D250+273.16)^4+($E250+273.16)^4)/2)*(0.34-0.14*SQRT($Y250))*(1.35*$AQ250/(0.75*$LD250)-0.35)</f>
        <v>-3.2464704755046001</v>
      </c>
      <c r="LQ250" s="170">
        <f ca="1">Control!$C$140*($G250+273)^4*(0.56-0.079*SQRT($Y250*10))*(0.1+0.9*$LO250)</f>
        <v>1.5241745131704001</v>
      </c>
      <c r="LR250" s="170">
        <f ca="1">$AQ250*(1-Control!$C$142)-$LQ250</f>
        <v>-1.5241745131704001</v>
      </c>
      <c r="LS250" s="170">
        <f ca="1">$AQ250*(1-Control!$C$143)-$LQ250</f>
        <v>-1.5241745131704001</v>
      </c>
      <c r="LT250" s="170">
        <f ca="1">$AQ250*(1-Control!$C$144)-$LQ250</f>
        <v>-1.5241745131704001</v>
      </c>
      <c r="LU250" s="169">
        <f ca="1">(1-Control!$C$144)*AQ250-LP250</f>
        <v>3.2464704755046001</v>
      </c>
      <c r="LV250" s="172">
        <f t="shared" ca="1" si="793"/>
        <v>0.79430000000000012</v>
      </c>
      <c r="LW250" s="170">
        <f t="shared" ca="1" si="794"/>
        <v>1.5886000000000002</v>
      </c>
      <c r="LX250" s="170">
        <f ca="1">($AC250*($LR250/Control!$C$141)+$LM250*$LV250)/($AC250+$LM250)</f>
        <v>0.23530094218323697</v>
      </c>
      <c r="LY250" s="170">
        <f ca="1">($AC250*($LS250/Control!$C$141)+$LM250*$LV250)/($AC250+$LM250)</f>
        <v>0.23530094218323697</v>
      </c>
      <c r="LZ250" s="170">
        <f t="shared" ca="1" si="795"/>
        <v>0.23530094218323697</v>
      </c>
      <c r="MA250" s="170">
        <f t="shared" ca="1" si="796"/>
        <v>0.23530094218323697</v>
      </c>
      <c r="MB250" s="170" t="e">
        <f t="shared" ca="1" si="797"/>
        <v>#N/A</v>
      </c>
      <c r="MC250" s="170">
        <f t="shared" ca="1" si="887"/>
        <v>0.6018</v>
      </c>
      <c r="MD250" s="170">
        <f t="shared" ca="1" si="798"/>
        <v>0.52989392535414004</v>
      </c>
      <c r="ME250" s="170">
        <f ca="1">($AC250*($LT250/Control!$C$141)+$LM250*$LW250)/($AC250+$LM250)</f>
        <v>0.71612369323045078</v>
      </c>
      <c r="MF250" s="170" t="e">
        <f ca="1">IF(Control!$B$16&gt;=1000,0.92,IF(AND(720&lt;=Control!$B$16,1000&gt;Control!$B$16),(0.95+(Control!$B$16-720)*((0.92-0.95)/(1000-720))),IF(AND(360&lt;=Control!$B$16,720&gt;Control!$B$16),(1+(Control!$B$16-360)*((0.95-1)/(720-360))),IF(AND(40&lt;=Control!$B$16,360&gt;Control!$B$16),(1.05+(Control!$B$16-40)*((1.05-1)/(360-40)))))))</f>
        <v>#N/A</v>
      </c>
      <c r="MG250" s="170">
        <f t="shared" ca="1" si="799"/>
        <v>0.71612369323045078</v>
      </c>
      <c r="MH250" s="170" t="e">
        <f t="shared" ca="1" si="926"/>
        <v>#N/A</v>
      </c>
      <c r="MI250" s="170" t="e">
        <f t="shared" ca="1" si="926"/>
        <v>#N/A</v>
      </c>
      <c r="MJ250" s="170" t="e">
        <f ca="1">MAX(0.0001, Control!$C$132*$MI250*$DL250)</f>
        <v>#N/A</v>
      </c>
      <c r="MK250" s="170">
        <f ca="1">1/(0.76+1.5*($MG250/10))-(5-Control!$C$110)*0.1</f>
        <v>1.002845988140797</v>
      </c>
      <c r="ML250" s="173">
        <f ca="1">IF(Control!$C$110&lt;3,$MK250+($MG250-0.6)/(Control!$C$110*(Control!$C$110+3)), MAX(0.1, MIN(0.95,$MK250)))</f>
        <v>0.95</v>
      </c>
      <c r="MM250" s="173">
        <f ca="1">IF(Control!$C$110&lt;3,$MK250+(($MI250/10)-0.6)/(Control!$C$110*(Control!$C$110+3)), MAX(0.1, MIN(0.95,$MK250)))</f>
        <v>0.95</v>
      </c>
      <c r="MN250" s="173">
        <f ca="1">(1-$MM250)*(Control!$C$128-Control!$C$127)+Control!$C$127</f>
        <v>0.16</v>
      </c>
      <c r="MO250" s="170" t="e">
        <f ca="1">MAX(0,MIN(1,($MS250-Control!$C$127)/($MN250-Control!$C$127)))</f>
        <v>#DIV/0!</v>
      </c>
      <c r="MP250" s="173" t="e">
        <f ca="1">1/(0.76+1.5*$MI250)-(5-Control!$C$110)*0.1</f>
        <v>#N/A</v>
      </c>
      <c r="MQ250" s="172" t="e">
        <f t="shared" ca="1" si="916"/>
        <v>#DIV/0!</v>
      </c>
      <c r="MR250" s="168" t="e">
        <f t="shared" ca="1" si="888"/>
        <v>#DIV/0!</v>
      </c>
      <c r="MS250" s="173" t="e">
        <f ca="1">MAX(Control!$C$127, MIN(Control!$C$135, $MR250/MAX(0.0001,$CY250)))</f>
        <v>#DIV/0!</v>
      </c>
      <c r="MT250" s="168" t="e">
        <f ca="1">(Control!$C$128-$MS250)*Control!$C$74</f>
        <v>#DIV/0!</v>
      </c>
      <c r="MU250" s="168" t="e">
        <f ca="1">(Control!$C$135-$MS250)*Control!$C$74</f>
        <v>#DIV/0!</v>
      </c>
      <c r="MV250" s="168" t="e">
        <f t="shared" ca="1" si="889"/>
        <v>#DIV/0!</v>
      </c>
      <c r="MW250" s="168" t="e">
        <f t="shared" ca="1" si="890"/>
        <v>#DIV/0!</v>
      </c>
      <c r="MX250" s="171" t="e">
        <f ca="1">MAX(Control!$C$127, MIN(Control!$C$135, $MW250/MAX(0.0001,Control!$C$119-$CY250)))</f>
        <v>#DIV/0!</v>
      </c>
      <c r="MY250" s="54" t="e">
        <f ca="1">IF(Control!$C$114=1, $CX250*$MX250, 0)</f>
        <v>#DIV/0!</v>
      </c>
      <c r="MZ250" s="54" t="e">
        <f t="shared" ca="1" si="891"/>
        <v>#N/A</v>
      </c>
      <c r="NA250" s="168" t="e">
        <f ca="1">(Control!$C$128-$MX250)*(Control!$C$119-Control!$C$74)</f>
        <v>#DIV/0!</v>
      </c>
      <c r="NB250" s="168" t="e">
        <f ca="1">(Control!$C$135-$MX250)*(Control!$C$119-Control!$C$74)</f>
        <v>#DIV/0!</v>
      </c>
      <c r="NC250" s="174" t="e">
        <f t="shared" ca="1" si="892"/>
        <v>#DIV/0!</v>
      </c>
      <c r="ND250" s="54">
        <f ca="1">IF(Control!$C$58=2, IF(OR(Control!$B$218=$AH250,Control!$B$219=$AH250, Control!$B$220=$AH250, Control!$B$221=$AH250, Control!$B$222=$AH250, Control!$B$223=$AH250, Control!$B$224=$AH250, Control!$B$225=$AH250, Control!$B$226=$AH250, Control!$B$227=$AH250, Control!$B$228=$AH250), 1, 0), 0)</f>
        <v>0</v>
      </c>
      <c r="NE250" s="54">
        <f ca="1">IF($ND250=0,0, VLOOKUP($AH250,Control!$B$218:$C$228,2))</f>
        <v>0</v>
      </c>
      <c r="NF250" s="168" t="e">
        <f ca="1">$CY250*(Control!$C$128-Control!$C$127)</f>
        <v>#N/A</v>
      </c>
      <c r="NG250" s="54" t="e">
        <f ca="1">IF(Control!$C$58=2, $NI249-$NJ249, 0)</f>
        <v>#DIV/0!</v>
      </c>
      <c r="NH250" s="54" t="e">
        <f ca="1">IF(AND(Control!$C$58=1, $MS249&lt;= ($MN249+0.02), $I249&lt;10), 0, IF(Control!$C$58=2, $NG249, 0))</f>
        <v>#DIV/0!</v>
      </c>
      <c r="NI250" s="54" t="e">
        <f ca="1">IF(Control!$C$58=2, $NE250+$NH250,0)</f>
        <v>#DIV/0!</v>
      </c>
      <c r="NJ250" s="54" t="e">
        <f ca="1">IF(AND(Control!$C$58=1, $MS250&lt;= ($MN250+0.02), $I250&lt;10), MAX(0, MIN(10, 0.7*($NF250-$MV250))), IF(Control!$C$58=2, MIN(10,$NI250),0))</f>
        <v>#DIV/0!</v>
      </c>
      <c r="NK250" s="54" t="e">
        <f t="shared" ca="1" si="800"/>
        <v>#DIV/0!</v>
      </c>
      <c r="NL250" s="173" t="e">
        <f ca="1">(1-Control!$C$73)*$I250+$NJ250</f>
        <v>#DIV/0!</v>
      </c>
      <c r="NM250" s="172" t="e">
        <f ca="1">IF($NL250&lt;0.5, $MB250* MAX(0, MIN(1, (SQRT($NC250)-SQRT($NC250-1))*Control!$C$71)),0)</f>
        <v>#DIV/0!</v>
      </c>
      <c r="NN250" s="170" t="e">
        <f ca="1">IF($NL250&gt;=5, $MB250, MAX(0,MIN($MB250, $NM250+$NL250,($MS250-Control!$C$129))))</f>
        <v>#DIV/0!</v>
      </c>
      <c r="NO250" s="54">
        <f>IF(Control!$C$133&lt;&gt;1, Control!$C$135-Control!$C$131, 0)</f>
        <v>0.38</v>
      </c>
      <c r="NP250" s="54" t="e">
        <f t="shared" ca="1" si="801"/>
        <v>#DIV/0!</v>
      </c>
      <c r="NQ250" s="173" t="e">
        <f ca="1">MAX(0,MIN(1,(Control!$C$135-$MS250)/(Control!$C$135-$NO250)))</f>
        <v>#DIV/0!</v>
      </c>
      <c r="NR250" s="170" t="e">
        <f ca="1">IF(Control!$C$133&lt;&gt;1, $NQ250+((1-$NP250/4)*(1-$NQ250)),1)</f>
        <v>#DIV/0!</v>
      </c>
      <c r="NS250" s="170" t="e">
        <f ca="1">IF(Control!$B$31=0,$MJ250,MAX(0,MIN($MV250,$MO250*$NR250*$MJ250)))</f>
        <v>#DIV/0!</v>
      </c>
      <c r="NT250" s="170" t="e">
        <f t="shared" ca="1" si="917"/>
        <v>#DIV/0!</v>
      </c>
      <c r="NU250" s="170" t="e">
        <f t="shared" ca="1" si="893"/>
        <v>#N/A</v>
      </c>
      <c r="NV250" s="170" t="e">
        <f t="shared" ca="1" si="802"/>
        <v>#N/A</v>
      </c>
      <c r="NW250" s="175" t="e">
        <f t="shared" ca="1" si="803"/>
        <v>#DIV/0!</v>
      </c>
      <c r="NX250" s="170" t="e">
        <f ca="1">MIN(Control!$C$72+$MU250, $NW250)</f>
        <v>#DIV/0!</v>
      </c>
      <c r="NY250" s="170" t="e">
        <f ca="1">IF($MT250&lt;=$NX250,MIN(Control!$C$72+$NB250,$NX250-$MT250),0)</f>
        <v>#DIV/0!</v>
      </c>
      <c r="NZ250" s="54" t="e">
        <f ca="1">IF(Control!$C$114=1,  $CX250*($MX250-Control!$C$127), 0)</f>
        <v>#DIV/0!</v>
      </c>
      <c r="OA250" s="170" t="e">
        <f t="shared" ca="1" si="804"/>
        <v>#DIV/0!</v>
      </c>
      <c r="OB250" s="170" t="e">
        <f ca="1">IF($NA250 &lt;=$NY250, MIN(Control!$C$72, $NY250-$NA250), 0)</f>
        <v>#DIV/0!</v>
      </c>
      <c r="OC250" s="168" t="e">
        <f t="shared" ca="1" si="805"/>
        <v>#DIV/0!</v>
      </c>
      <c r="OD250" s="168" t="e">
        <f t="shared" ca="1" si="894"/>
        <v>#DIV/0!</v>
      </c>
      <c r="OE250" s="170">
        <f ca="1">Control!$C$73*$I250</f>
        <v>0</v>
      </c>
      <c r="OF250" s="176" t="e">
        <f t="shared" ca="1" si="806"/>
        <v>#DIV/0!</v>
      </c>
      <c r="OG250" s="168" t="e">
        <f t="shared" ca="1" si="807"/>
        <v>#DIV/0!</v>
      </c>
      <c r="OH250" s="168" t="e">
        <f t="shared" ca="1" si="808"/>
        <v>#DIV/0!</v>
      </c>
      <c r="OI250" s="168" t="e">
        <f t="shared" ca="1" si="809"/>
        <v>#DIV/0!</v>
      </c>
      <c r="OJ250" s="168" t="e">
        <f t="shared" ca="1" si="810"/>
        <v>#DIV/0!</v>
      </c>
      <c r="OK250" s="204" t="e">
        <f t="shared" ca="1" si="811"/>
        <v>#DIV/0!</v>
      </c>
      <c r="OL250" s="177">
        <f>Control!$C$127</f>
        <v>0.15</v>
      </c>
      <c r="OM250" s="182" t="e">
        <f t="shared" ca="1" si="812"/>
        <v>#N/A</v>
      </c>
      <c r="ON250" s="177">
        <f>Control!$C$128</f>
        <v>0.35</v>
      </c>
      <c r="OO250" s="182" t="e">
        <f t="shared" ca="1" si="813"/>
        <v>#N/A</v>
      </c>
      <c r="OP250" s="138">
        <f t="shared" ca="1" si="895"/>
        <v>0</v>
      </c>
      <c r="OQ250" s="138" t="e">
        <f t="shared" ca="1" si="918"/>
        <v>#DIV/0!</v>
      </c>
      <c r="OR250" s="138" t="e">
        <f t="shared" ca="1" si="896"/>
        <v>#DIV/0!</v>
      </c>
      <c r="OS250" s="137" t="e">
        <f t="shared" ca="1" si="919"/>
        <v>#DIV/0!</v>
      </c>
      <c r="OT250" s="139" t="e">
        <f t="shared" ca="1" si="920"/>
        <v>#DIV/0!</v>
      </c>
      <c r="OU250" s="138" t="e">
        <f t="shared" ca="1" si="921"/>
        <v>#N/A</v>
      </c>
      <c r="OV250" s="138" t="e">
        <f t="shared" ca="1" si="922"/>
        <v>#DIV/0!</v>
      </c>
      <c r="OW250" s="138" t="e">
        <f t="shared" ca="1" si="897"/>
        <v>#DIV/0!</v>
      </c>
      <c r="OX250" s="138" t="e">
        <f t="shared" ca="1" si="898"/>
        <v>#DIV/0!</v>
      </c>
      <c r="OY250" s="138" t="e">
        <f t="shared" ca="1" si="899"/>
        <v>#DIV/0!</v>
      </c>
      <c r="OZ250" s="138" t="e">
        <f t="shared" ca="1" si="814"/>
        <v>#DIV/0!</v>
      </c>
      <c r="PA250" s="138" t="e">
        <f t="shared" ca="1" si="815"/>
        <v>#DIV/0!</v>
      </c>
      <c r="PB250" s="55">
        <f>IF(Control!$C$61="T", IF(Control!$C$65="F", IF($AH$6-Control!$C$60&lt;0,0,1), IF(365+$AH$6-Control!$C$60&lt;0,0,1)),0)</f>
        <v>0</v>
      </c>
      <c r="PC250" s="55">
        <f ca="1">IF(Control!$C$65="F", IF($AH$6-$HF250&lt;0,0,1), IF(365+$AH$6-$HF250&lt;0,0,1))</f>
        <v>1</v>
      </c>
      <c r="PD250" s="444">
        <f>Control!$C$118</f>
        <v>1500</v>
      </c>
      <c r="PE250" s="180" t="e">
        <f t="shared" ca="1" si="816"/>
        <v>#N/A</v>
      </c>
      <c r="PF250" s="445">
        <f t="shared" ca="1" si="900"/>
        <v>0.71612369323045078</v>
      </c>
      <c r="PT250" s="186"/>
      <c r="PU250" s="186"/>
      <c r="PV250" s="94"/>
      <c r="PW250" s="94"/>
      <c r="PX250" s="94"/>
      <c r="PY250" s="94"/>
      <c r="PZ250" s="94"/>
      <c r="QA250" s="94"/>
      <c r="QB250" s="94"/>
      <c r="QC250" s="94"/>
      <c r="QD250" s="94"/>
      <c r="QE250" s="94"/>
      <c r="QF250" s="94"/>
      <c r="QG250" s="94"/>
      <c r="QH250" s="94"/>
      <c r="QI250" s="94"/>
      <c r="QJ250" s="94"/>
      <c r="QK250" s="94"/>
      <c r="QL250" s="94"/>
      <c r="QM250" s="94"/>
      <c r="QN250" s="94"/>
      <c r="QO250" s="94"/>
      <c r="QP250" s="94"/>
    </row>
    <row r="251" spans="1:458" s="2" customFormat="1" x14ac:dyDescent="0.2">
      <c r="A251" s="395">
        <v>3</v>
      </c>
      <c r="B251" s="396">
        <v>9</v>
      </c>
      <c r="C251" s="387">
        <f ca="1">Weather_data!$B250</f>
        <v>0</v>
      </c>
      <c r="D251" s="388">
        <f ca="1">Weather_data!$F250</f>
        <v>0</v>
      </c>
      <c r="E251" s="388">
        <f ca="1">Weather_data!$E250</f>
        <v>0</v>
      </c>
      <c r="F251" s="388">
        <f t="shared" ca="1" si="817"/>
        <v>0</v>
      </c>
      <c r="G251" s="388">
        <f ca="1">AVERAGE($D251:$E251)+Control!$B$9</f>
        <v>0</v>
      </c>
      <c r="H251" s="388">
        <f ca="1">Weather_data!$G250</f>
        <v>0</v>
      </c>
      <c r="I251" s="388">
        <f ca="1">Weather_data!$I250</f>
        <v>0</v>
      </c>
      <c r="J251" s="388">
        <f ca="1">Weather_data!$H250</f>
        <v>0</v>
      </c>
      <c r="K251" s="389">
        <f ca="1">Weather_data!$D250</f>
        <v>0</v>
      </c>
      <c r="L251" s="388" t="e">
        <f t="shared" ca="1" si="818"/>
        <v>#N/A</v>
      </c>
      <c r="M251" s="388" t="e">
        <f t="shared" ca="1" si="696"/>
        <v>#N/A</v>
      </c>
      <c r="N251" s="388">
        <f t="shared" ca="1" si="697"/>
        <v>-3.0788236715160228E-12</v>
      </c>
      <c r="O251" s="388">
        <f t="shared" ca="1" si="819"/>
        <v>3.0788236715160228E-11</v>
      </c>
      <c r="P251" s="390">
        <v>3</v>
      </c>
      <c r="Q251" s="388">
        <f ca="1">MAX($G251-Control!$C$107,0)</f>
        <v>0</v>
      </c>
      <c r="R251" s="388">
        <f t="shared" ca="1" si="820"/>
        <v>0</v>
      </c>
      <c r="S251" s="388">
        <f t="shared" ca="1" si="698"/>
        <v>0</v>
      </c>
      <c r="T251" s="388">
        <f t="shared" ca="1" si="699"/>
        <v>0</v>
      </c>
      <c r="U251" s="59">
        <f t="shared" ca="1" si="700"/>
        <v>0</v>
      </c>
      <c r="V251" s="391">
        <f ca="1">MAX(0,MIN(Control!$C$100-Control!$C$99,$G251-Control!$C$99)*Control!$C$63)</f>
        <v>0</v>
      </c>
      <c r="W251" s="388">
        <f t="shared" ca="1" si="821"/>
        <v>0</v>
      </c>
      <c r="X251" s="388">
        <f t="shared" ca="1" si="822"/>
        <v>0.6110000000000001</v>
      </c>
      <c r="Y251" s="388">
        <f t="shared" ca="1" si="701"/>
        <v>0</v>
      </c>
      <c r="Z251" s="388">
        <f t="shared" ca="1" si="823"/>
        <v>0.61058800000000002</v>
      </c>
      <c r="AA251" s="388">
        <f t="shared" ca="1" si="702"/>
        <v>0.6018</v>
      </c>
      <c r="AB251" s="388">
        <f ca="1">101.3*EXP(-0.034*Control!$C$66/($G251+273))</f>
        <v>100.69623283836242</v>
      </c>
      <c r="AC251" s="392">
        <f t="shared" ca="1" si="703"/>
        <v>4.3460251046025113E-2</v>
      </c>
      <c r="AD251" s="392">
        <f t="shared" ca="1" si="704"/>
        <v>4.4450382862832649E-2</v>
      </c>
      <c r="AE251" s="388">
        <f t="shared" ca="1" si="705"/>
        <v>0</v>
      </c>
      <c r="AF251" s="388">
        <f ca="1">MAX(0,$G251-Control!$C$92)</f>
        <v>0</v>
      </c>
      <c r="AG251" s="393">
        <f t="shared" ca="1" si="706"/>
        <v>247</v>
      </c>
      <c r="AH251" s="389">
        <f t="shared" ca="1" si="707"/>
        <v>247</v>
      </c>
      <c r="AI251" s="388">
        <f t="shared" ca="1" si="824"/>
        <v>0.11339953856885679</v>
      </c>
      <c r="AJ251" s="388">
        <f ca="1">IF(Control!$C$60&lt;=0,$HH251,$HI251)</f>
        <v>1</v>
      </c>
      <c r="AK251" s="388">
        <f t="shared" ca="1" si="708"/>
        <v>2.874772455613674</v>
      </c>
      <c r="AL251" s="388">
        <f t="shared" ca="1" si="709"/>
        <v>-7.0331327567396676E-18</v>
      </c>
      <c r="AM251" s="388">
        <f t="shared" ca="1" si="710"/>
        <v>2.874772455613674</v>
      </c>
      <c r="AN251" s="388">
        <f t="shared" ca="1" si="711"/>
        <v>0.10507940180927001</v>
      </c>
      <c r="AO251" s="388">
        <f ca="1">-0.10453/COS(Control!$B$8*PI()/180)*COS(AN251)</f>
        <v>-0.168848371282973</v>
      </c>
      <c r="AP251" s="388">
        <f ca="1">ACOS(AO251-TAN(Control!$B$8*PI()/180)*TAN(AN251))</f>
        <v>1.8795180979128518</v>
      </c>
      <c r="AQ251" s="388">
        <f t="shared" ca="1" si="825"/>
        <v>0</v>
      </c>
      <c r="AR251" s="394">
        <f t="shared" ca="1" si="712"/>
        <v>0</v>
      </c>
      <c r="AS251" s="436">
        <f ca="1">IF(Control!$B$18=2,(IF(OR($AH251=Control!$B$175,$AH251=Control!$B$176,$AH251=Control!$B$177,$AH251=Control!$B$178,$AH251=Control!$B$179,$AH251=Control!$B$180,$AH251=Control!$B$181,$AH251=Control!$B$182,$AH251=Control!$B$183,$AH251=Control!$B$184,$AH251=Control!$B$185),1,0)),0)</f>
        <v>0</v>
      </c>
      <c r="AT251" s="436">
        <f>IF(Control!$B$20=8,IF(AND($AH251&gt;=Control!$B$172,$AH251&lt;=Control!$B$173),1,0),0)</f>
        <v>0</v>
      </c>
      <c r="AU251" s="436">
        <f>IF(Control!$B$20=8,IF($AV250=1,1*$AT251,IF($AT251=1,$AU250+1,$AU250)),0)</f>
        <v>0</v>
      </c>
      <c r="AV251" s="436">
        <f>IF(Control!$B$20=8,IF($AU251&gt;=Control!$B$174,1,0),0)</f>
        <v>0</v>
      </c>
      <c r="AW251" s="436">
        <f ca="1">IF(AND(Control!$B$18=2,Control!$B$171=1), $AV251, $AS251)</f>
        <v>0</v>
      </c>
      <c r="AX251" s="436" t="e">
        <f ca="1">IF(AND(Control!$B$18=1,$EU251&gt;=Control!$B$19),-$AY251,IF(AND(Control!$B$18=2,$AW251=1,$EU251&gt;$DS251),-$AY251, IF(Control!$C$108=0,0, IF(Control!$C$108&lt;&gt;0,1))))</f>
        <v>#N/A</v>
      </c>
      <c r="AY251" s="436" t="e">
        <f t="shared" ca="1" si="826"/>
        <v>#N/A</v>
      </c>
      <c r="AZ251" s="436" t="e">
        <f ca="1">IF(AND(Control!$B$18=1,$EB251&gt;Control!$B$19),$AZ250+1, IF(AND(Control!$B$18=2, $AW251=1, $EB251&gt;$DS251), $AZ250+1,$AZ250))</f>
        <v>#N/A</v>
      </c>
      <c r="BA251" s="587">
        <f>IF(Control!$C$81=0,1,IF($AH251&gt;=Control!$C$82,1,0))</f>
        <v>1</v>
      </c>
      <c r="BB251" s="140" t="e">
        <f ca="1">IF($BA251&gt;$BA250,Control!$C$83,IF($AW251&gt;0,$AW251*Control!$C$84,IF(AND(Control!$B$18=1,EN250&lt;&gt;0),Control!$C$84,0)))</f>
        <v>#N/A</v>
      </c>
      <c r="BC251" s="140" t="e">
        <f t="shared" ca="1" si="827"/>
        <v>#N/A</v>
      </c>
      <c r="BD251" s="140" t="e">
        <f ca="1">BC251*IF(OR($G251&lt;Control!$C$92,$G251&gt;Control!$C$95),0,IF(AND($G251&gt;=Control!$C$92,$G251&lt;=Control!$C$93),$G251-Control!$C$92,IF(AND($G251&gt;Control!$C$93,$G251&lt;=Control!$C$94),Control!$C$93-Control!$C$92,IF(AND($G251&gt;Control!$C$94,$G251&lt;=Control!$C$95),(Control!$C$93-Control!$C$92)*(Control!$C$94-$G251)/(Control!$C$95-Control!$C$94)))))</f>
        <v>#N/A</v>
      </c>
      <c r="BE251" s="140" t="e">
        <f t="shared" ca="1" si="828"/>
        <v>#N/A</v>
      </c>
      <c r="BF251" s="140" t="e">
        <f ca="1">IF($BE251&lt;=Control!$C$86,$BE251,Control!$C$86-$BE251)</f>
        <v>#N/A</v>
      </c>
      <c r="BG251" s="140" t="e">
        <f ca="1">IF(AND($AW251=1,Control!$C$84&lt;9),1,IF($BE251&gt;=Control!$C$86,0,$BC251))</f>
        <v>#N/A</v>
      </c>
      <c r="BH251" s="404" t="e">
        <f ca="1">IF($BG251=0,0,IF($BE251&lt;=Control!$C$86,$BC251*9*($BF251/Control!$C$86),0))</f>
        <v>#N/A</v>
      </c>
      <c r="BI251" s="140" t="e">
        <f ca="1">IF($BG251=1,0,IF($BE251&gt;=Control!$C$86,1,IF(AND($BB251&lt;21,$BB251&gt;=9),1,$BM250)))</f>
        <v>#N/A</v>
      </c>
      <c r="BJ251" s="140" t="e">
        <f ca="1">IF($BF251&lt;0,-$BF251,$BI251*IF(OR($G251&lt;Control!$C$92,$G251&gt;Control!$C$95),0,IF(AND($G251&gt;=Control!$C$92,$G251&lt;=Control!$C$93),$G251-Control!$C$92,IF(AND($G251&gt;Control!$C$93,$G251&lt;=Control!$C$94),Control!$C$93-Control!$C$92,IF(AND($G251&gt;Control!$C$94,$G251&lt;=Control!$C$95),(Control!$C$93-Control!$C$92)*(Control!$C$94-$G251)/(Control!$C$95-Control!$C$94))))))</f>
        <v>#N/A</v>
      </c>
      <c r="BK251" s="140" t="e">
        <f t="shared" ca="1" si="829"/>
        <v>#N/A</v>
      </c>
      <c r="BL251" s="140" t="e">
        <f ca="1">IF($BK251&lt;=Control!$C$87,$BK251,Control!$C$87-$BK251)</f>
        <v>#N/A</v>
      </c>
      <c r="BM251" s="140" t="e">
        <f ca="1">IF(AND($BB251&gt;=9,$BB251&lt;21),1,IF($BK251&gt;=Control!$C$87,0,$BI251))</f>
        <v>#N/A</v>
      </c>
      <c r="BN251" s="404" t="e">
        <f ca="1">IF($BM251=0,0,IF($BK251&lt;=Control!$C$87,$BI251*(9+(21-9)*($BL251/Control!$C$87)),0))</f>
        <v>#N/A</v>
      </c>
      <c r="BO251" s="140" t="e">
        <f ca="1">IF($BM251=1,0,IF($BK251&gt;=Control!$C$87,1,IF(AND($BB251&lt;30,$BB251&gt;=21),1,$BS250)))</f>
        <v>#N/A</v>
      </c>
      <c r="BP251" s="140" t="e">
        <f ca="1">IF($BL251&lt;0,-$BL251,$BO251*IF(OR($G251&lt;Control!$C$92,$G251&gt;Control!$C$95),0,IF(AND($G251&gt;=Control!$C$92,$G251&lt;=Control!$C$93),$G251-Control!$C$92,IF(AND($G251&gt;Control!$C$93,$G251&lt;=Control!$C$94),Control!$C$93-Control!$C$92,IF(AND($G251&gt;Control!$C$94,$G251&lt;=Control!$C$95),(Control!$C$93-Control!$C$92)*(Control!$C$94-$G251)/(Control!$C$95-Control!$C$94))))))</f>
        <v>#N/A</v>
      </c>
      <c r="BQ251" s="140" t="e">
        <f t="shared" ca="1" si="713"/>
        <v>#N/A</v>
      </c>
      <c r="BR251" s="140" t="e">
        <f ca="1">IF($BQ251&lt;=Control!$C$88,$BQ251,Control!$C$88-$BQ251)</f>
        <v>#N/A</v>
      </c>
      <c r="BS251" s="140" t="e">
        <f ca="1">IF(AND($BB251&gt;=21,$BB251&lt;30),1,IF($BQ251&gt;=Control!$C$88,0,$BO251))</f>
        <v>#N/A</v>
      </c>
      <c r="BT251" s="404" t="e">
        <f ca="1">IF($BS251=0,0,IF($BQ251&lt;=Control!$C$88,$BO251*(21+(30-21)*(BR251/Control!$C$88)),0))</f>
        <v>#N/A</v>
      </c>
      <c r="BU251" s="140" t="e">
        <f ca="1">IF(BG251+BM251+BS251=1,0,IF(OR(AND($BB251&lt;60,$BB251&gt;=30),$BQ251&gt;=Control!$C$88),1*$BA251,$BY250))</f>
        <v>#N/A</v>
      </c>
      <c r="BV251" s="140" t="e">
        <f ca="1">IF($BR251&lt;0,-$BR251,$BU251*IF(OR($G251&lt;Control!$C$92,$G251&gt;Control!$C$95),0,IF(AND($G251&gt;=Control!$C$92,$G251&lt;=Control!$C$93),$G251-Control!$C$92,IF(AND($G251&gt;Control!$C$93,$G251&lt;=Control!$C$94),Control!$C$93-Control!$C$92,IF(AND($G251&gt;Control!$C$94,$G251&lt;=Control!$C$95),(Control!$C$93-Control!$C$92)*(Control!$C$94-$G251)/(Control!$C$95-Control!$C$94))))))</f>
        <v>#N/A</v>
      </c>
      <c r="BW251" s="140" t="e">
        <f t="shared" ca="1" si="714"/>
        <v>#N/A</v>
      </c>
      <c r="BX251" s="140" t="e">
        <f ca="1">IF($BW251&lt;=Control!$C$89,$BW251,Control!$C$89-$BW251)</f>
        <v>#N/A</v>
      </c>
      <c r="BY251" s="140" t="e">
        <f ca="1">IF(AND($AJ251&gt;=30,$AJ251&lt;60),1,IF($BW251&gt;=Control!$C$89,0,$BU251))</f>
        <v>#N/A</v>
      </c>
      <c r="BZ251" s="404" t="e">
        <f ca="1">IF($BY251=0,0,IF($BW251&lt;=Control!$C$89,$BU251*(30+(60-30)*(BX251/Control!$C$89)),0))</f>
        <v>#N/A</v>
      </c>
      <c r="CA251" s="140" t="e">
        <f ca="1">IF($BG251+$BM251+$BS251+$BY251=1,0,IF(OR(AND($BB251&lt;65,$BB251&gt;=60),$BW251&gt;=Control!$C$89),1*$BA251,$CE250))</f>
        <v>#N/A</v>
      </c>
      <c r="CB251" s="140" t="e">
        <f ca="1">IF($BX251&lt;0,-$BX251,$CA251*IF(OR($G251&lt;Control!$C$92,$G251&gt;Control!$C$95),0,IF(AND($G251&gt;=Control!$C$92,$G251&lt;=Control!$C$93),$G251-Control!$C$92,IF(AND($G251&gt;Control!$C$93,$G251&lt;=Control!$C$94),Control!$C$93-Control!$C$92,IF(AND($G251&gt;Control!$C$94,$G251&lt;=Control!$C$95),(Control!$C$93-Control!$C$92)*(Control!$C$94-$G251)/(Control!$C$95-Control!$C$94))))))</f>
        <v>#N/A</v>
      </c>
      <c r="CC251" s="140" t="e">
        <f t="shared" ca="1" si="830"/>
        <v>#N/A</v>
      </c>
      <c r="CD251" s="140" t="e">
        <f ca="1">IF($CC251&lt;=Control!$C$90,$CC251,Control!$C$90-$CC251)</f>
        <v>#N/A</v>
      </c>
      <c r="CE251" s="140" t="e">
        <f ca="1">IF(AND($BB251&gt;=60,$BB251&lt;65),1,IF($CC251&gt;=Control!$C$90,0,$CA251))</f>
        <v>#N/A</v>
      </c>
      <c r="CF251" s="404" t="e">
        <f ca="1">IF($CE251=0,0,IF($CC251&lt;=Control!$C$90,$CA251*(60+(65-60)*(CD251/Control!$C$90)),0))</f>
        <v>#N/A</v>
      </c>
      <c r="CG251" s="140" t="e">
        <f ca="1">IF($BG251+$BM251+$BS251+$BY251+$CE251=1,0,IF(OR(AND($BB251&lt;90,$BB251&gt;=65),$CC251&gt;=Control!$C$90),$BA251,$CK250))</f>
        <v>#N/A</v>
      </c>
      <c r="CH251" s="140" t="e">
        <f ca="1">IF($CD251&lt;0,-$CD251,$CG251*IF(OR($G251&lt;Control!$C$92,$G251&gt;Control!$C$95),0,IF(AND($G251&gt;=Control!$C$92,$G251&lt;=Control!$C$93),$G251-Control!$C$92,IF(AND($G251&gt;Control!$C$93,$G251&lt;=Control!$C$94),Control!$C$93-Control!$C$92,IF(AND($G251&gt;Control!$C$94,$G251&lt;=Control!$C$95),(Control!$C$93-Control!$C$92)*(Control!$C$94-$G251)/(Control!$C$95-Control!$C$94))))))</f>
        <v>#N/A</v>
      </c>
      <c r="CI251" s="140" t="e">
        <f t="shared" ca="1" si="831"/>
        <v>#N/A</v>
      </c>
      <c r="CJ251" s="140" t="e">
        <f ca="1">IF($CI251&lt;=Control!$C$91,$CI251,Control!$C$91-$CI251)</f>
        <v>#N/A</v>
      </c>
      <c r="CK251" s="140" t="e">
        <f ca="1">IF(AND($BB251&gt;=65,$BB251&lt;90),1,IF($CI251&gt;=Control!$C$91,0,$CG251))</f>
        <v>#N/A</v>
      </c>
      <c r="CL251" s="404" t="e">
        <f ca="1">IF($CK251=0,0,IF($CI251&lt;=Control!$C$91,$CG251*(65+(90-65)*($CJ251/Control!$C$91)),0))</f>
        <v>#N/A</v>
      </c>
      <c r="CM251" s="140" t="e">
        <f ca="1">IF($BG251+$BM251+$BS251+$BY251+$CE251+$CK251=1,0,IF(OR($BB251&gt;=90,$CI251&gt;=Control!$C$91),$BA251,$CM250))</f>
        <v>#N/A</v>
      </c>
      <c r="CN251" s="140" t="e">
        <f t="shared" ca="1" si="832"/>
        <v>#N/A</v>
      </c>
      <c r="CO251" s="140" t="e">
        <f t="shared" ca="1" si="833"/>
        <v>#N/A</v>
      </c>
      <c r="CP251" s="140" t="e">
        <f t="shared" ca="1" si="834"/>
        <v>#N/A</v>
      </c>
      <c r="CQ251" s="141" t="e">
        <f ca="1">VLOOKUP($CP251,Control!$B$86:$G$91,6)</f>
        <v>#N/A</v>
      </c>
      <c r="CR251" s="141" t="e">
        <f ca="1">(1-$CQ251)*VLOOKUP($CP251,Control!$B$86:$D$91,3)</f>
        <v>#N/A</v>
      </c>
      <c r="CS251" s="141" t="e">
        <f ca="1">(1-$CQ251)*VLOOKUP($CP251,Control!$B$86:$E$91,4)</f>
        <v>#N/A</v>
      </c>
      <c r="CT251" s="141" t="e">
        <f ca="1">(1-$CQ251)*VLOOKUP($CP251,Control!$B$86:$F$91,5)</f>
        <v>#N/A</v>
      </c>
      <c r="CU251" s="141">
        <f t="shared" ca="1" si="835"/>
        <v>0</v>
      </c>
      <c r="CV251" s="583">
        <f t="shared" ca="1" si="836"/>
        <v>0</v>
      </c>
      <c r="CW251" s="142">
        <f t="shared" ca="1" si="837"/>
        <v>247</v>
      </c>
      <c r="CX251" s="612" t="e">
        <f ca="1">IF(Control!$C$114=1,(MIN(Control!$C$120*(IF($NT251-0.01&lt;0,0,1)),Control!$C$119-$CY251)))</f>
        <v>#DIV/0!</v>
      </c>
      <c r="CY251" s="143" t="e">
        <f t="shared" ca="1" si="838"/>
        <v>#N/A</v>
      </c>
      <c r="CZ251" s="144">
        <f t="shared" ca="1" si="715"/>
        <v>0</v>
      </c>
      <c r="DA251" s="144">
        <f t="shared" ca="1" si="716"/>
        <v>0</v>
      </c>
      <c r="DB251" s="144" t="e">
        <f t="shared" ca="1" si="717"/>
        <v>#N/A</v>
      </c>
      <c r="DC251" s="144" t="e">
        <f t="shared" ca="1" si="718"/>
        <v>#N/A</v>
      </c>
      <c r="DD251" s="144" t="e">
        <f t="shared" ca="1" si="923"/>
        <v>#N/A</v>
      </c>
      <c r="DE251" s="143" t="e">
        <f t="shared" ca="1" si="839"/>
        <v>#N/A</v>
      </c>
      <c r="DF251" s="145" t="e">
        <f ca="1">$DR251*EXP(-Control!$C$158*(1-$KH251))</f>
        <v>#N/A</v>
      </c>
      <c r="DG251" s="146" t="e">
        <f ca="1">IF(Control!$C$114=1, $DF251*$EY251, 0)</f>
        <v>#N/A</v>
      </c>
      <c r="DH251" s="147" t="e">
        <f t="shared" ca="1" si="840"/>
        <v>#N/A</v>
      </c>
      <c r="DI251" s="144" t="e">
        <f t="shared" ca="1" si="901"/>
        <v>#N/A</v>
      </c>
      <c r="DJ251" s="147" t="e">
        <f ca="1">$EF251*Control!$C$109</f>
        <v>#N/A</v>
      </c>
      <c r="DK251" s="144" t="e">
        <f t="shared" ca="1" si="841"/>
        <v>#N/A</v>
      </c>
      <c r="DL251" s="144" t="e">
        <f t="shared" ca="1" si="719"/>
        <v>#N/A</v>
      </c>
      <c r="DM251" s="144" t="e">
        <f ca="1">IF(Control!$C$114=1, (1-EXP(-Control!$C$96*$DK251))*$AR251, 0)</f>
        <v>#N/A</v>
      </c>
      <c r="DN251" s="144">
        <f t="shared" ca="1" si="842"/>
        <v>0</v>
      </c>
      <c r="DO251" s="148">
        <f>Control!$C$97</f>
        <v>4</v>
      </c>
      <c r="DP251" s="145" t="e">
        <f t="shared" ca="1" si="843"/>
        <v>#N/A</v>
      </c>
      <c r="DQ251" s="145" t="e">
        <f ca="1">IF(AND($CP251&gt;=0,$CP251&lt;=90),Control!$C$111,Control!$C$111)</f>
        <v>#N/A</v>
      </c>
      <c r="DR251" s="145" t="e">
        <f t="shared" ca="1" si="720"/>
        <v>#N/A</v>
      </c>
      <c r="DS251" s="143" t="e">
        <f ca="1">Control!$B$22/$DR251</f>
        <v>#N/A</v>
      </c>
      <c r="DT251" s="149" t="e">
        <f ca="1">IF(AND(Control!$C$114=1,$KH251&lt;1),$IM251*$DF251, 0)</f>
        <v>#N/A</v>
      </c>
      <c r="DU251" s="144" t="e">
        <f t="shared" ca="1" si="844"/>
        <v>#N/A</v>
      </c>
      <c r="DV251" s="144">
        <f ca="1">IF($G251-Control!$C$107&lt;=0, 0, 0.83*LN(MAX($G251, 3))-0.8924)</f>
        <v>0</v>
      </c>
      <c r="DW251" s="144" t="e">
        <f t="shared" ca="1" si="721"/>
        <v>#N/A</v>
      </c>
      <c r="DX251" s="150" t="e">
        <f ca="1">MAX(0.01*(1+$CU251/Control!$C$102),0.05*($DK251-Control!$C$97)/Control!$C$97)</f>
        <v>#N/A</v>
      </c>
      <c r="DY251" s="151" t="e">
        <f ca="1">IF(Control!$C$114=1, $DI251*$FS251, 0)</f>
        <v>#N/A</v>
      </c>
      <c r="DZ251" s="196" t="e">
        <f t="shared" ca="1" si="845"/>
        <v>#N/A</v>
      </c>
      <c r="EA251" s="152">
        <f t="shared" ca="1" si="846"/>
        <v>247</v>
      </c>
      <c r="EB251" s="153" t="e">
        <f t="shared" ca="1" si="847"/>
        <v>#N/A</v>
      </c>
      <c r="EC251" s="153" t="e">
        <f t="shared" ca="1" si="848"/>
        <v>#N/A</v>
      </c>
      <c r="ED251" s="154" t="e">
        <f ca="1">IF(Control!$C$114=1, $HM251*$FY251-$FD251, 0)</f>
        <v>#DIV/0!</v>
      </c>
      <c r="EE251" s="155" t="e">
        <f ca="1">IF(Control!$C$114=1, $HM251*$FZ251-$FF251, 0)</f>
        <v>#DIV/0!</v>
      </c>
      <c r="EF251" s="153" t="e">
        <f t="shared" ca="1" si="902"/>
        <v>#N/A</v>
      </c>
      <c r="EG251" s="155" t="e">
        <f ca="1">IF(Control!$C$114=1, $GX251*$FW251-$FI251, 0)</f>
        <v>#DIV/0!</v>
      </c>
      <c r="EH251" s="153" t="e">
        <f t="shared" ca="1" si="849"/>
        <v>#N/A</v>
      </c>
      <c r="EI251" s="156" t="e">
        <f t="shared" ca="1" si="850"/>
        <v>#N/A</v>
      </c>
      <c r="EJ251" s="155" t="e">
        <f ca="1">IF(Control!$C$114=1, $HM251*$GB251, 0)</f>
        <v>#DIV/0!</v>
      </c>
      <c r="EK251" s="153" t="e">
        <f t="shared" ca="1" si="903"/>
        <v>#N/A</v>
      </c>
      <c r="EL251" s="153" t="e">
        <f t="shared" ca="1" si="722"/>
        <v>#N/A</v>
      </c>
      <c r="EM251" s="153" t="e">
        <f t="shared" ca="1" si="723"/>
        <v>#N/A</v>
      </c>
      <c r="EN251" s="153" t="e">
        <f ca="1">IF(Control!$C$108=1,IF(AND(Control!$B$18=1,$EB251&gt;=Control!$B$19),$EB251-$DS251,IF(AND(Control!$B$18=2,$AW251=1,$EB251&gt;$DS251),$EB251-$DS251,0)))</f>
        <v>#N/A</v>
      </c>
      <c r="EO251" s="153" t="e">
        <f ca="1">IF(Control!$C$108=1,IF(AND(Control!$B$18=1,$EB251&gt;=Control!$B$19),$EF251,IF(AND(Control!$B$18=2,$AW251=1),$EF251,0)))</f>
        <v>#N/A</v>
      </c>
      <c r="EP251" s="153" t="e">
        <f ca="1">IF(Control!$C$108=1,IF(AND(Control!$B$18=1,$EB251&gt;=Control!$B$19),$EK251,IF(AND(Control!$B$18=2,$AW251=1),$EK251,0)))</f>
        <v>#N/A</v>
      </c>
      <c r="EQ251" s="153" t="e">
        <f t="shared" ca="1" si="851"/>
        <v>#N/A</v>
      </c>
      <c r="ER251" s="153" t="e">
        <f t="shared" ca="1" si="852"/>
        <v>#N/A</v>
      </c>
      <c r="ES251" s="153" t="e">
        <f t="shared" ca="1" si="904"/>
        <v>#N/A</v>
      </c>
      <c r="ET251" s="153" t="e">
        <f t="shared" ca="1" si="905"/>
        <v>#N/A</v>
      </c>
      <c r="EU251" s="153" t="e">
        <f t="shared" ca="1" si="853"/>
        <v>#N/A</v>
      </c>
      <c r="EV251" s="153" t="e">
        <f t="shared" ca="1" si="724"/>
        <v>#N/A</v>
      </c>
      <c r="EW251" s="153" t="e">
        <f t="shared" ca="1" si="725"/>
        <v>#N/A</v>
      </c>
      <c r="EX251" s="153" t="e">
        <f t="shared" ca="1" si="726"/>
        <v>#N/A</v>
      </c>
      <c r="EY251" s="157" t="e">
        <f t="shared" ca="1" si="727"/>
        <v>#DIV/0!</v>
      </c>
      <c r="EZ251" s="154" t="e">
        <f t="shared" ca="1" si="728"/>
        <v>#DIV/0!</v>
      </c>
      <c r="FA251" s="153" t="e">
        <f t="shared" ca="1" si="854"/>
        <v>#N/A</v>
      </c>
      <c r="FB251" s="153" t="e">
        <f t="shared" ca="1" si="729"/>
        <v>#N/A</v>
      </c>
      <c r="FC251" s="193" t="e">
        <f t="shared" ca="1" si="730"/>
        <v>#N/A</v>
      </c>
      <c r="FD251" s="158" t="e">
        <f t="shared" ca="1" si="855"/>
        <v>#N/A</v>
      </c>
      <c r="FE251" s="158" t="e">
        <f t="shared" ca="1" si="856"/>
        <v>#N/A</v>
      </c>
      <c r="FF251" s="159" t="e">
        <f t="shared" ca="1" si="731"/>
        <v>#N/A</v>
      </c>
      <c r="FG251" s="160" t="e">
        <f t="shared" ca="1" si="857"/>
        <v>#N/A</v>
      </c>
      <c r="FH251" s="158" t="e">
        <f t="shared" ca="1" si="858"/>
        <v>#N/A</v>
      </c>
      <c r="FI251" s="159" t="e">
        <f t="shared" ca="1" si="732"/>
        <v>#N/A</v>
      </c>
      <c r="FJ251" s="160" t="e">
        <f t="shared" ca="1" si="859"/>
        <v>#N/A</v>
      </c>
      <c r="FK251" s="160" t="e">
        <f t="shared" ca="1" si="733"/>
        <v>#N/A</v>
      </c>
      <c r="FL251" s="160" t="e">
        <f t="shared" ca="1" si="906"/>
        <v>#N/A</v>
      </c>
      <c r="FM251" s="160" t="e">
        <f t="shared" ca="1" si="734"/>
        <v>#N/A</v>
      </c>
      <c r="FN251" s="158">
        <f t="shared" ca="1" si="860"/>
        <v>0.01</v>
      </c>
      <c r="FO251" s="160">
        <f>Control!$C$101</f>
        <v>50</v>
      </c>
      <c r="FP251" s="150" t="e">
        <f t="shared" ca="1" si="735"/>
        <v>#N/A</v>
      </c>
      <c r="FQ251" s="150" t="e">
        <f ca="1">MAX(0,(Control!$C$112*(($DK251-Control!$C$97)/Control!$C$97)))</f>
        <v>#N/A</v>
      </c>
      <c r="FR251" s="150" t="e">
        <f ca="1">(1-$NT251)*Control!$C$113</f>
        <v>#DIV/0!</v>
      </c>
      <c r="FS251" s="198" t="e">
        <f t="shared" ca="1" si="736"/>
        <v>#N/A</v>
      </c>
      <c r="FT251" s="161">
        <f t="shared" ca="1" si="861"/>
        <v>247</v>
      </c>
      <c r="FU251" s="162" t="e">
        <f ca="1">IF(Control!$B$34=1,VLOOKUP($CP251,Control!$B$86:$G$91,6),Control!$B$35)</f>
        <v>#N/A</v>
      </c>
      <c r="FV251" s="162" t="e">
        <f t="shared" ca="1" si="737"/>
        <v>#DIV/0!</v>
      </c>
      <c r="FW251" s="162" t="e">
        <f ca="1">IF(Control!$B$31=1,$FU251*$FV251,  $FU251)</f>
        <v>#N/A</v>
      </c>
      <c r="FX251" s="162" t="e">
        <f ca="1">IF(Control!$B$34=1,VLOOKUP($CP251,Control!$B$86:$G$91,3),Control!$B$36)</f>
        <v>#N/A</v>
      </c>
      <c r="FY251" s="162" t="e">
        <f t="shared" ca="1" si="738"/>
        <v>#N/A</v>
      </c>
      <c r="FZ251" s="162" t="e">
        <f ca="1">IF(Control!$B$34=1,VLOOKUP($CP251,Control!$B$86:$G$91,4),Control!$B$37)</f>
        <v>#N/A</v>
      </c>
      <c r="GA251" s="162" t="e">
        <f t="shared" ca="1" si="739"/>
        <v>#N/A</v>
      </c>
      <c r="GB251" s="162" t="e">
        <f ca="1">IF(Control!$B$34=1,VLOOKUP($CP251,Control!$B$86:$G$91,5),Control!$B$38)</f>
        <v>#N/A</v>
      </c>
      <c r="GC251" s="162" t="e">
        <f t="shared" ca="1" si="862"/>
        <v>#N/A</v>
      </c>
      <c r="GD251" s="162">
        <f t="shared" ca="1" si="740"/>
        <v>1</v>
      </c>
      <c r="GE251" s="162">
        <f t="shared" ca="1" si="741"/>
        <v>1</v>
      </c>
      <c r="GF251" s="162">
        <f ca="1">IF(AND(Control!$C$104=1, Control!$C$62="F"),$GE251,1)</f>
        <v>1</v>
      </c>
      <c r="GG251" s="162" t="e">
        <f ca="1">IF(Control!$B$16=40,0,IF(AND(Control!$B$16&gt;40,Control!$B$16&lt;=360),(Control!$B$16-40)*((1-0)/(360-40)),IF(AND(Control!$B$16&gt;360,Control!$B$16&lt;=720),(1+(Control!$B$16-360)*((1.25-1)/(720-360))),IF(AND(Control!$B$16&gt;720,Control!$B$16&lt;=1000),(1.25+(Control!$B$16-720)*((1.35-1.25)/(1000-720))),IF(AND(Control!$B$16&gt;1000,Control!$B$16&lt;=2000),(1.35+(Control!$B$16-1000)*0))))))</f>
        <v>#N/A</v>
      </c>
      <c r="GH251" s="162" t="e">
        <f t="shared" ca="1" si="742"/>
        <v>#N/A</v>
      </c>
      <c r="GI251" s="162">
        <f t="shared" ca="1" si="863"/>
        <v>0</v>
      </c>
      <c r="GJ251" s="162">
        <f t="shared" ca="1" si="743"/>
        <v>0</v>
      </c>
      <c r="GK251" s="162">
        <f t="shared" ca="1" si="864"/>
        <v>1</v>
      </c>
      <c r="GL251" s="162">
        <f t="shared" ca="1" si="744"/>
        <v>1</v>
      </c>
      <c r="GM251" s="162" t="e">
        <f ca="1">MAX(0,MIN(1,1-Control!$C$156*(1.0001-$KH251)^2))</f>
        <v>#N/A</v>
      </c>
      <c r="GN251" s="162" t="e">
        <f ca="1">IF(Control!$B$26=1,$KU251,$KX251)</f>
        <v>#N/A</v>
      </c>
      <c r="GO251" s="162" t="e">
        <f ca="1">IF($CP251&lt;=60,Control!$C$105,IF($CP251&gt;=90,Control!$C$106,Control!$C$105+($CP251-60)*((Control!$C$106-Control!$C$105)/(90-60))))</f>
        <v>#N/A</v>
      </c>
      <c r="GP251" s="162" t="e">
        <f t="shared" ca="1" si="745"/>
        <v>#N/A</v>
      </c>
      <c r="GQ251" s="162" t="e">
        <f t="shared" ca="1" si="865"/>
        <v>#N/A</v>
      </c>
      <c r="GR251" s="163" t="e">
        <f t="shared" ca="1" si="746"/>
        <v>#DIV/0!</v>
      </c>
      <c r="GS251" s="162" t="e">
        <f t="shared" ca="1" si="747"/>
        <v>#DIV/0!</v>
      </c>
      <c r="GT251" s="164" t="e">
        <f t="shared" ca="1" si="866"/>
        <v>#N/A</v>
      </c>
      <c r="GU251" s="162" t="e">
        <f t="shared" ca="1" si="867"/>
        <v>#N/A</v>
      </c>
      <c r="GV251" s="162" t="e">
        <f t="shared" ca="1" si="748"/>
        <v>#N/A</v>
      </c>
      <c r="GW251" s="162" t="e">
        <f t="shared" ca="1" si="749"/>
        <v>#DIV/0!</v>
      </c>
      <c r="GX251" s="162" t="e">
        <f t="shared" ca="1" si="868"/>
        <v>#DIV/0!</v>
      </c>
      <c r="GY251" s="162" t="e">
        <f t="shared" ca="1" si="869"/>
        <v>#DIV/0!</v>
      </c>
      <c r="GZ251" s="165" t="e">
        <f t="shared" ca="1" si="750"/>
        <v>#N/A</v>
      </c>
      <c r="HA251" s="162" t="e">
        <f ca="1">IF(Control!$C$114=1, $DI251*$FS251, 0)</f>
        <v>#N/A</v>
      </c>
      <c r="HB251" s="162" t="e">
        <f ca="1">$FA251/Control!$C$64</f>
        <v>#N/A</v>
      </c>
      <c r="HC251" s="162" t="e">
        <f t="shared" ca="1" si="751"/>
        <v>#DIV/0!</v>
      </c>
      <c r="HD251" s="162">
        <f ca="1">-ASIN(SIN(23.45*Control!$C$139)*COS(2*Control!$C$138*($AH251+10)/365))</f>
        <v>0.11339953856885679</v>
      </c>
      <c r="HE251" s="165">
        <f t="shared" ca="1" si="870"/>
        <v>0</v>
      </c>
      <c r="HF251" s="166">
        <f ca="1">IF(AND(Control!$C$61="T",$HE251&gt;=Control!$C$103,Control!$C$114=0),$AH251,Control!$C$59)</f>
        <v>1</v>
      </c>
      <c r="HG251" s="166">
        <f ca="1">IF(AND(Control!$C$61="T",$HE251&gt;=Control!$C$103,Control!$C$114=0),$HF251,Control!$C$59)</f>
        <v>1</v>
      </c>
      <c r="HH251" s="165">
        <f ca="1">IF(AND(OR(Control!$C$60&lt;=0, $AH251= Control!$C$59, Control!$C$60 &gt;0, $AH251 = Control!$C$60)), Control!$C$59, IF(Control!$C$60&gt;0, 0))</f>
        <v>1</v>
      </c>
      <c r="HI251" s="165">
        <f ca="1">IF(AND(OR(Control!$C$60&lt;=0, $AH251= Control!$C$59, Control!$C$60 &gt;0, $AH251 = Control!$C$60)), Control!$C$60, IF(Control!$C$60&lt;=0, 0))</f>
        <v>0</v>
      </c>
      <c r="HJ251" s="166">
        <f ca="1">IF(AND(Control!$C$62="F",$CV251&gt;=Control!$C$102),$AH251,0)</f>
        <v>0</v>
      </c>
      <c r="HK251" s="165" t="e">
        <f t="shared" ca="1" si="907"/>
        <v>#N/A</v>
      </c>
      <c r="HL251" s="166">
        <f ca="1">IF(AND(Control!$C$61="T",$HE251&gt;=Control!$C$103,Control!$C$114=0),$HF251,0)</f>
        <v>0</v>
      </c>
      <c r="HM251" s="201" t="e">
        <f t="shared" ca="1" si="752"/>
        <v>#DIV/0!</v>
      </c>
      <c r="HN251" s="215">
        <f t="shared" ca="1" si="871"/>
        <v>247</v>
      </c>
      <c r="HO251" s="216" t="e">
        <f ca="1">IF(AND($CP251&gt;=0, $CP251&lt;=90), Control!$C$152, Control!$C$152)</f>
        <v>#N/A</v>
      </c>
      <c r="HP251" s="216" t="e">
        <f t="shared" ca="1" si="753"/>
        <v>#N/A</v>
      </c>
      <c r="HQ251" s="217" t="e">
        <f ca="1">IF(OR(Control!$B$26=1,Control!$B$26=2),$KV251,$KS251)</f>
        <v>#DIV/0!</v>
      </c>
      <c r="HR251" s="218" t="e">
        <f t="shared" ca="1" si="908"/>
        <v>#DIV/0!</v>
      </c>
      <c r="HS251" s="216" t="e">
        <f ca="1">Control!$C$154*$HP251</f>
        <v>#N/A</v>
      </c>
      <c r="HT251" s="216" t="e">
        <f ca="1">Control!$C$155*$HP251</f>
        <v>#N/A</v>
      </c>
      <c r="HU251" s="217" t="e">
        <f ca="1">Control!$C$161*$FI251</f>
        <v>#N/A</v>
      </c>
      <c r="HV251" s="218" t="e">
        <f t="shared" ca="1" si="872"/>
        <v>#N/A</v>
      </c>
      <c r="HW251" s="218" t="e">
        <f ca="1">Control!$C$160*$FF251+$IP251*$EO251</f>
        <v>#N/A</v>
      </c>
      <c r="HX251" s="218" t="e">
        <f t="shared" ca="1" si="909"/>
        <v>#N/A</v>
      </c>
      <c r="HY251" s="219" t="e">
        <f ca="1">IF(Control!$C$114=1, $EB251*$FS251, 0)</f>
        <v>#N/A</v>
      </c>
      <c r="HZ251" s="91" t="e">
        <f t="shared" ca="1" si="754"/>
        <v>#N/A</v>
      </c>
      <c r="IA251" s="220" t="e">
        <f ca="1">Control!$C$153*$HO251</f>
        <v>#N/A</v>
      </c>
      <c r="IB251" s="218" t="e">
        <f t="shared" ca="1" si="755"/>
        <v>#N/A</v>
      </c>
      <c r="IC251" s="220" t="e">
        <f ca="1">Control!$C$153*$HT251</f>
        <v>#N/A</v>
      </c>
      <c r="ID251" s="218" t="e">
        <f t="shared" ca="1" si="756"/>
        <v>#N/A</v>
      </c>
      <c r="IE251" s="221" t="e">
        <f ca="1">($EB251*Control!$C$159+$EF251*Control!$C$160)/(IF($GZ251&lt;&gt;0,$GZ251,1))</f>
        <v>#N/A</v>
      </c>
      <c r="IF251" s="216" t="e">
        <f t="shared" ca="1" si="757"/>
        <v>#N/A</v>
      </c>
      <c r="IG251" s="91">
        <f ca="1">IF(OR(Control!$B$198=$AH251,Control!$B$199=$AH251, Control!$B$200=$AH251, Control!$B$201=$AH251, Control!$B$202=$AH251, Control!$B$203=$AH251, Control!$B$204=$AH251, Control!$B$205=$AH251, Control!$B$206=$AH251, Control!$B$207=$AH251), 1, 0)</f>
        <v>0</v>
      </c>
      <c r="IH251" s="91">
        <f ca="1">IF($IG251=0,0, VLOOKUP($AH251,Control!$B$198:$C$207,2))</f>
        <v>0</v>
      </c>
      <c r="II251" s="222">
        <f t="shared" ca="1" si="873"/>
        <v>0</v>
      </c>
      <c r="IJ251" s="91">
        <f>Control!$C$121</f>
        <v>0.7</v>
      </c>
      <c r="IK251" s="218">
        <f t="shared" ca="1" si="758"/>
        <v>0</v>
      </c>
      <c r="IL251" s="217" t="e">
        <f t="shared" ca="1" si="910"/>
        <v>#N/A</v>
      </c>
      <c r="IM251" s="223" t="e">
        <f ca="1">IF(AND(Control!$C$114=1,$KH251&lt;1),$EB251*Control!$C$148*(1-$KH251), 0)</f>
        <v>#N/A</v>
      </c>
      <c r="IN251" s="217" t="e">
        <f t="shared" ca="1" si="759"/>
        <v>#DIV/0!</v>
      </c>
      <c r="IO251" s="91" t="e">
        <f ca="1">MAX(0,$IL251-$EF251*Control!$C$160)</f>
        <v>#N/A</v>
      </c>
      <c r="IP251" s="220" t="e">
        <f t="shared" ca="1" si="760"/>
        <v>#N/A</v>
      </c>
      <c r="IQ251" s="217" t="e">
        <f t="shared" ca="1" si="874"/>
        <v>#N/A</v>
      </c>
      <c r="IR251" s="218" t="e">
        <f t="shared" ca="1" si="761"/>
        <v>#N/A</v>
      </c>
      <c r="IS251" s="217" t="e">
        <f ca="1">Control!$C$159*MAX(0,$FD251-$EN251)</f>
        <v>#N/A</v>
      </c>
      <c r="IT251" s="217" t="e">
        <f t="shared" ca="1" si="911"/>
        <v>#N/A</v>
      </c>
      <c r="IU251" s="217" t="e">
        <f t="shared" ca="1" si="875"/>
        <v>#N/A</v>
      </c>
      <c r="IV251" s="217" t="e">
        <f t="shared" ca="1" si="912"/>
        <v>#N/A</v>
      </c>
      <c r="IW251" s="217" t="e">
        <f ca="1">IF(OR($AW251=1,AND($AW251=0, Control!$B$18=1,$EN251&lt;&gt;0)), $IQ251-$IU251, $IQ251)</f>
        <v>#N/A</v>
      </c>
      <c r="IX251" s="218" t="e">
        <f t="shared" ca="1" si="762"/>
        <v>#N/A</v>
      </c>
      <c r="IY251" s="218" t="e">
        <f ca="1">MAX(0,$IQ251-$EB251*Control!$C$159)</f>
        <v>#N/A</v>
      </c>
      <c r="IZ251" s="218" t="e">
        <f t="shared" ca="1" si="763"/>
        <v>#N/A</v>
      </c>
      <c r="JA251" s="216" t="e">
        <f t="shared" ca="1" si="764"/>
        <v>#N/A</v>
      </c>
      <c r="JB251" s="217" t="e">
        <f t="shared" ca="1" si="765"/>
        <v>#N/A</v>
      </c>
      <c r="JC251" s="222" t="e">
        <f ca="1">MAX(Control!$C$157*$EK251-$JT251, 0)/Control!$C$162</f>
        <v>#N/A</v>
      </c>
      <c r="JD251" s="218" t="e">
        <f t="shared" ca="1" si="766"/>
        <v>#N/A</v>
      </c>
      <c r="JE251" s="218" t="e">
        <f t="shared" ca="1" si="767"/>
        <v>#N/A</v>
      </c>
      <c r="JF251" s="218" t="e">
        <f t="shared" ca="1" si="876"/>
        <v>#N/A</v>
      </c>
      <c r="JG251" s="218" t="e">
        <f t="shared" ca="1" si="768"/>
        <v>#N/A</v>
      </c>
      <c r="JH251" s="217" t="e">
        <f t="shared" ca="1" si="877"/>
        <v>#N/A</v>
      </c>
      <c r="JI251" s="217" t="e">
        <f t="shared" ca="1" si="878"/>
        <v>#N/A</v>
      </c>
      <c r="JJ251" s="217" t="e">
        <f t="shared" ca="1" si="913"/>
        <v>#N/A</v>
      </c>
      <c r="JK251" s="217" t="e">
        <f ca="1">IF(Control!$C$114=1,IF(Control!$B$24=0,MAX(0,$JI251)*$GN251/Control!$C$64,(MAX(0,MIN($JI251,$JJ251*$GN251/Control!$C$64),0))))</f>
        <v>#N/A</v>
      </c>
      <c r="JL251" s="217" t="e">
        <f ca="1">$IK251/Control!$C$64-$JK251+$HQ251</f>
        <v>#N/A</v>
      </c>
      <c r="JM251" s="217" t="e">
        <f ca="1">IF(Control!$C$114=1,($JB251/(IF($JI251&lt;&gt;0,$JI251,1)))*$JK251,0)</f>
        <v>#N/A</v>
      </c>
      <c r="JN251" s="217" t="e">
        <f ca="1">IF(Control!$C$114=1,($JG251/(IF($JI251&lt;&gt;0,$JI251,1)))*$JK251, 0)</f>
        <v>#N/A</v>
      </c>
      <c r="JO251" s="218" t="e">
        <f t="shared" ca="1" si="769"/>
        <v>#N/A</v>
      </c>
      <c r="JP251" s="218" t="e">
        <f ca="1">MIN(($IY251+$IO251)*Control!$C$151, $JF251-$EH251*Control!$C$161)</f>
        <v>#N/A</v>
      </c>
      <c r="JQ251" s="218" t="e">
        <f t="shared" ca="1" si="770"/>
        <v>#N/A</v>
      </c>
      <c r="JR251" s="217" t="e">
        <f ca="1">IF($CP251-Control!$C$150&lt;0, 0, $JQ251/Control!$C$162)</f>
        <v>#N/A</v>
      </c>
      <c r="JS251" s="218" t="e">
        <f t="shared" ca="1" si="771"/>
        <v>#N/A</v>
      </c>
      <c r="JT251" s="218" t="e">
        <f t="shared" ca="1" si="879"/>
        <v>#N/A</v>
      </c>
      <c r="JU251" s="218" t="e">
        <f t="shared" ca="1" si="772"/>
        <v>#N/A</v>
      </c>
      <c r="JV251" s="218" t="e">
        <f t="shared" ca="1" si="773"/>
        <v>#N/A</v>
      </c>
      <c r="JW251" s="216" t="e">
        <f t="shared" ca="1" si="774"/>
        <v>#N/A</v>
      </c>
      <c r="JX251" s="91" t="e">
        <f t="shared" ca="1" si="775"/>
        <v>#N/A</v>
      </c>
      <c r="JY251" s="218" t="e">
        <f t="shared" ca="1" si="776"/>
        <v>#N/A</v>
      </c>
      <c r="JZ251" s="217" t="e">
        <f ca="1">IF(Control!$C$114=1,($IZ251/(IF($JI251&lt;&gt;0,$JI251,1)))*$JK251, 0)</f>
        <v>#N/A</v>
      </c>
      <c r="KA251" s="218" t="e">
        <f t="shared" ca="1" si="914"/>
        <v>#N/A</v>
      </c>
      <c r="KB251" s="218" t="e">
        <f t="shared" ca="1" si="880"/>
        <v>#N/A</v>
      </c>
      <c r="KC251" s="218" t="e">
        <f t="shared" ca="1" si="777"/>
        <v>#N/A</v>
      </c>
      <c r="KD251" s="218" t="e">
        <f t="shared" ca="1" si="778"/>
        <v>#N/A</v>
      </c>
      <c r="KE251" s="218" t="e">
        <f t="shared" ca="1" si="779"/>
        <v>#N/A</v>
      </c>
      <c r="KF251" s="218" t="e">
        <f t="shared" ca="1" si="780"/>
        <v>#N/A</v>
      </c>
      <c r="KG251" s="216" t="e">
        <f t="shared" ca="1" si="781"/>
        <v>#N/A</v>
      </c>
      <c r="KH251" s="221" t="e">
        <f ca="1">IF(Control!$B$24=0,1,MAX(0.001,MIN(1,IF(($IF251-$IE251)&lt;&gt;0,($KG251-$IE251)/($IF251-$IE251),1))))</f>
        <v>#N/A</v>
      </c>
      <c r="KI251" s="222" t="e">
        <f ca="1">IF(Control!$C$114=1, $KI250+ $KH250, 0)</f>
        <v>#N/A</v>
      </c>
      <c r="KJ251" s="217" t="e">
        <f t="shared" ca="1" si="782"/>
        <v>#N/A</v>
      </c>
      <c r="KK251" s="218" t="e">
        <f t="shared" ca="1" si="783"/>
        <v>#N/A</v>
      </c>
      <c r="KL251" s="274" t="e">
        <f ca="1">IF(Control!$B$26=3,4000000000*EXP(-8400/($G251+273)),IF(Control!$B$26=4,4000000000*EXP(-8400/($G251+273))*($KT251),0))</f>
        <v>#DIV/0!</v>
      </c>
      <c r="KM251" s="274" t="e">
        <f ca="1">IF(Control!$B$26=3,5600000000000*EXP(-9800/($G251+273)),IF(Control!$B$26=4,5600000000000*EXP(-9800/($G251+273))*$KT251,0))</f>
        <v>#DIV/0!</v>
      </c>
      <c r="KN251" s="454" t="e">
        <f t="shared" ca="1" si="881"/>
        <v>#DIV/0!</v>
      </c>
      <c r="KO251" s="274" t="e">
        <f t="shared" ca="1" si="882"/>
        <v>#DIV/0!</v>
      </c>
      <c r="KP251" s="454" t="e">
        <f t="shared" ca="1" si="784"/>
        <v>#DIV/0!</v>
      </c>
      <c r="KQ251" s="454" t="e">
        <f t="shared" ca="1" si="785"/>
        <v>#DIV/0!</v>
      </c>
      <c r="KR251" s="454" t="e">
        <f t="shared" ca="1" si="786"/>
        <v>#DIV/0!</v>
      </c>
      <c r="KS251" s="454" t="e">
        <f t="shared" ca="1" si="787"/>
        <v>#DIV/0!</v>
      </c>
      <c r="KT251" s="455" t="e">
        <f t="shared" ca="1" si="788"/>
        <v>#DIV/0!</v>
      </c>
      <c r="KU251" s="456" t="e">
        <f ca="1">IF($CP251-Control!$C$149&lt;0, IF($NT251-0.01&lt;0,0,1),0)</f>
        <v>#N/A</v>
      </c>
      <c r="KV251" s="456" t="e">
        <f ca="1">IF(Control!$C$114=1,MAX(0,MIN(Control!$C$125*$KW251*$GN251,$KW251)))</f>
        <v>#DIV/0!</v>
      </c>
      <c r="KW251" s="456" t="e">
        <f t="shared" ca="1" si="915"/>
        <v>#DIV/0!</v>
      </c>
      <c r="KX251" s="457" t="e">
        <f ca="1">IF($CP251-Control!$C$149&lt;0, IF($MR251-$OM251&lt;0,0,1),0)</f>
        <v>#N/A</v>
      </c>
      <c r="KY251" s="167">
        <f t="shared" ca="1" si="883"/>
        <v>247</v>
      </c>
      <c r="KZ251" s="168">
        <f ca="1">1370*(1+0.033*COS(2*Control!$C$138*$AH251/365))</f>
        <v>1349.9100652616908</v>
      </c>
      <c r="LA251" s="169">
        <f t="shared" ca="1" si="884"/>
        <v>0.98533552012254777</v>
      </c>
      <c r="LB251" s="169">
        <f t="shared" ca="1" si="885"/>
        <v>0.11290512301045975</v>
      </c>
      <c r="LC251" s="169">
        <f ca="1">ACOS(-TAN((2*Control!$B$8/360))*TAN(Calculations!$LB251))</f>
        <v>1.6045017799919654</v>
      </c>
      <c r="LD251" s="169">
        <f ca="1">((24*60)/PI())*0.082*$LA251*(($LC251*SIN(Control!$B$8*2*PI()/360))*SIN($LB251)+COS(Control!$B$8*2*PI()/360)*COS($LB251)*SIN($LC251))</f>
        <v>27.91850978607307</v>
      </c>
      <c r="LE251" s="170">
        <f t="shared" ca="1" si="789"/>
        <v>28.149767619431312</v>
      </c>
      <c r="LF251" s="170">
        <f ca="1">SIN(Control!$C$139*Control!$B$8)*SIN($HD251)</f>
        <v>8.9168806528352268E-2</v>
      </c>
      <c r="LG251" s="170">
        <f ca="1">COS(Control!$C$139*Control!$B$8)*COS($HD251)</f>
        <v>0.61170551828097242</v>
      </c>
      <c r="LH251" s="170">
        <f ca="1">12*(1+2*ASIN(MAX(-1,MIN(1,$LF251/$LG251))/Control!$C$138))</f>
        <v>13.114004306755156</v>
      </c>
      <c r="LI251" s="170">
        <f ca="1">12*(1+2*ASIN(MAX(-1,MIN(1,(-SIN(-4*Control!$C$139)+$LF251)/$LG251))/Control!$C$138))</f>
        <v>13.987044825010777</v>
      </c>
      <c r="LJ251" s="168">
        <f ca="1">3600*($LH251*$LF251+24*$LG251*SQRT(1-$LK251*$LK251)/Control!$C$138)</f>
        <v>20853.068914612661</v>
      </c>
      <c r="LK251" s="170">
        <f t="shared" ca="1" si="790"/>
        <v>0.14577080615348428</v>
      </c>
      <c r="LL251" s="170">
        <f t="shared" ca="1" si="791"/>
        <v>0</v>
      </c>
      <c r="LM251" s="171">
        <f ca="1">Control!$C$145*$AB251</f>
        <v>6.6660906138995932E-2</v>
      </c>
      <c r="LN251" s="170">
        <f t="shared" ca="1" si="886"/>
        <v>0.54</v>
      </c>
      <c r="LO251" s="170">
        <f t="shared" ca="1" si="792"/>
        <v>0</v>
      </c>
      <c r="LP251" s="170">
        <f ca="1">Control!$C$140*((($D251+273.16)^4+($E251+273.16)^4)/2)*(0.34-0.14*SQRT($Y251))*(1.35*$AQ251/(0.75*$LD251)-0.35)</f>
        <v>-3.2464704755046001</v>
      </c>
      <c r="LQ251" s="170">
        <f ca="1">Control!$C$140*($G251+273)^4*(0.56-0.079*SQRT($Y251*10))*(0.1+0.9*$LO251)</f>
        <v>1.5241745131704001</v>
      </c>
      <c r="LR251" s="170">
        <f ca="1">$AQ251*(1-Control!$C$142)-$LQ251</f>
        <v>-1.5241745131704001</v>
      </c>
      <c r="LS251" s="170">
        <f ca="1">$AQ251*(1-Control!$C$143)-$LQ251</f>
        <v>-1.5241745131704001</v>
      </c>
      <c r="LT251" s="170">
        <f ca="1">$AQ251*(1-Control!$C$144)-$LQ251</f>
        <v>-1.5241745131704001</v>
      </c>
      <c r="LU251" s="169">
        <f ca="1">(1-Control!$C$144)*AQ251-LP251</f>
        <v>3.2464704755046001</v>
      </c>
      <c r="LV251" s="172">
        <f t="shared" ca="1" si="793"/>
        <v>0.79430000000000012</v>
      </c>
      <c r="LW251" s="170">
        <f t="shared" ca="1" si="794"/>
        <v>1.5886000000000002</v>
      </c>
      <c r="LX251" s="170">
        <f ca="1">($AC251*($LR251/Control!$C$141)+$LM251*$LV251)/($AC251+$LM251)</f>
        <v>0.23530094218323697</v>
      </c>
      <c r="LY251" s="170">
        <f ca="1">($AC251*($LS251/Control!$C$141)+$LM251*$LV251)/($AC251+$LM251)</f>
        <v>0.23530094218323697</v>
      </c>
      <c r="LZ251" s="170">
        <f t="shared" ca="1" si="795"/>
        <v>0.23530094218323697</v>
      </c>
      <c r="MA251" s="170">
        <f t="shared" ca="1" si="796"/>
        <v>0.23530094218323697</v>
      </c>
      <c r="MB251" s="170" t="e">
        <f t="shared" ca="1" si="797"/>
        <v>#N/A</v>
      </c>
      <c r="MC251" s="170">
        <f t="shared" ca="1" si="887"/>
        <v>0.6018</v>
      </c>
      <c r="MD251" s="170">
        <f t="shared" ca="1" si="798"/>
        <v>0.52989392535414004</v>
      </c>
      <c r="ME251" s="170">
        <f ca="1">($AC251*($LT251/Control!$C$141)+$LM251*$LW251)/($AC251+$LM251)</f>
        <v>0.71612369323045078</v>
      </c>
      <c r="MF251" s="170" t="e">
        <f ca="1">IF(Control!$B$16&gt;=1000,0.92,IF(AND(720&lt;=Control!$B$16,1000&gt;Control!$B$16),(0.95+(Control!$B$16-720)*((0.92-0.95)/(1000-720))),IF(AND(360&lt;=Control!$B$16,720&gt;Control!$B$16),(1+(Control!$B$16-360)*((0.95-1)/(720-360))),IF(AND(40&lt;=Control!$B$16,360&gt;Control!$B$16),(1.05+(Control!$B$16-40)*((1.05-1)/(360-40)))))))</f>
        <v>#N/A</v>
      </c>
      <c r="MG251" s="170">
        <f t="shared" ca="1" si="799"/>
        <v>0.71612369323045078</v>
      </c>
      <c r="MH251" s="170" t="e">
        <f t="shared" ca="1" si="926"/>
        <v>#N/A</v>
      </c>
      <c r="MI251" s="170" t="e">
        <f t="shared" ca="1" si="926"/>
        <v>#N/A</v>
      </c>
      <c r="MJ251" s="170" t="e">
        <f ca="1">MAX(0.0001, Control!$C$132*$MI251*$DL251)</f>
        <v>#N/A</v>
      </c>
      <c r="MK251" s="170">
        <f ca="1">1/(0.76+1.5*($MG251/10))-(5-Control!$C$110)*0.1</f>
        <v>1.002845988140797</v>
      </c>
      <c r="ML251" s="173">
        <f ca="1">IF(Control!$C$110&lt;3,$MK251+($MG251-0.6)/(Control!$C$110*(Control!$C$110+3)), MAX(0.1, MIN(0.95,$MK251)))</f>
        <v>0.95</v>
      </c>
      <c r="MM251" s="173">
        <f ca="1">IF(Control!$C$110&lt;3,$MK251+(($MI251/10)-0.6)/(Control!$C$110*(Control!$C$110+3)), MAX(0.1, MIN(0.95,$MK251)))</f>
        <v>0.95</v>
      </c>
      <c r="MN251" s="173">
        <f ca="1">(1-$MM251)*(Control!$C$128-Control!$C$127)+Control!$C$127</f>
        <v>0.16</v>
      </c>
      <c r="MO251" s="170" t="e">
        <f ca="1">MAX(0,MIN(1,($MS251-Control!$C$127)/($MN251-Control!$C$127)))</f>
        <v>#DIV/0!</v>
      </c>
      <c r="MP251" s="173" t="e">
        <f ca="1">1/(0.76+1.5*$MI251)-(5-Control!$C$110)*0.1</f>
        <v>#N/A</v>
      </c>
      <c r="MQ251" s="172" t="e">
        <f t="shared" ca="1" si="916"/>
        <v>#DIV/0!</v>
      </c>
      <c r="MR251" s="168" t="e">
        <f t="shared" ca="1" si="888"/>
        <v>#DIV/0!</v>
      </c>
      <c r="MS251" s="173" t="e">
        <f ca="1">MAX(Control!$C$127, MIN(Control!$C$135, $MR251/MAX(0.0001,$CY251)))</f>
        <v>#DIV/0!</v>
      </c>
      <c r="MT251" s="168" t="e">
        <f ca="1">(Control!$C$128-$MS251)*Control!$C$74</f>
        <v>#DIV/0!</v>
      </c>
      <c r="MU251" s="168" t="e">
        <f ca="1">(Control!$C$135-$MS251)*Control!$C$74</f>
        <v>#DIV/0!</v>
      </c>
      <c r="MV251" s="168" t="e">
        <f t="shared" ca="1" si="889"/>
        <v>#DIV/0!</v>
      </c>
      <c r="MW251" s="168" t="e">
        <f t="shared" ca="1" si="890"/>
        <v>#DIV/0!</v>
      </c>
      <c r="MX251" s="171" t="e">
        <f ca="1">MAX(Control!$C$127, MIN(Control!$C$135, $MW251/MAX(0.0001,Control!$C$119-$CY251)))</f>
        <v>#DIV/0!</v>
      </c>
      <c r="MY251" s="54" t="e">
        <f ca="1">IF(Control!$C$114=1, $CX251*$MX251, 0)</f>
        <v>#DIV/0!</v>
      </c>
      <c r="MZ251" s="54" t="e">
        <f t="shared" ca="1" si="891"/>
        <v>#N/A</v>
      </c>
      <c r="NA251" s="168" t="e">
        <f ca="1">(Control!$C$128-$MX251)*(Control!$C$119-Control!$C$74)</f>
        <v>#DIV/0!</v>
      </c>
      <c r="NB251" s="168" t="e">
        <f ca="1">(Control!$C$135-$MX251)*(Control!$C$119-Control!$C$74)</f>
        <v>#DIV/0!</v>
      </c>
      <c r="NC251" s="174" t="e">
        <f t="shared" ca="1" si="892"/>
        <v>#DIV/0!</v>
      </c>
      <c r="ND251" s="54">
        <f ca="1">IF(Control!$C$58=2, IF(OR(Control!$B$218=$AH251,Control!$B$219=$AH251, Control!$B$220=$AH251, Control!$B$221=$AH251, Control!$B$222=$AH251, Control!$B$223=$AH251, Control!$B$224=$AH251, Control!$B$225=$AH251, Control!$B$226=$AH251, Control!$B$227=$AH251, Control!$B$228=$AH251), 1, 0), 0)</f>
        <v>0</v>
      </c>
      <c r="NE251" s="54">
        <f ca="1">IF($ND251=0,0, VLOOKUP($AH251,Control!$B$218:$C$228,2))</f>
        <v>0</v>
      </c>
      <c r="NF251" s="168" t="e">
        <f ca="1">$CY251*(Control!$C$128-Control!$C$127)</f>
        <v>#N/A</v>
      </c>
      <c r="NG251" s="54" t="e">
        <f ca="1">IF(Control!$C$58=2, $NI250-$NJ250, 0)</f>
        <v>#DIV/0!</v>
      </c>
      <c r="NH251" s="54" t="e">
        <f ca="1">IF(AND(Control!$C$58=1, $MS250&lt;= ($MN250+0.02), $I250&lt;10), 0, IF(Control!$C$58=2, $NG250, 0))</f>
        <v>#DIV/0!</v>
      </c>
      <c r="NI251" s="54" t="e">
        <f ca="1">IF(Control!$C$58=2, $NE251+$NH251,0)</f>
        <v>#DIV/0!</v>
      </c>
      <c r="NJ251" s="54" t="e">
        <f ca="1">IF(AND(Control!$C$58=1, $MS251&lt;= ($MN251+0.02), $I251&lt;10), MAX(0, MIN(10, 0.7*($NF251-$MV251))), IF(Control!$C$58=2, MIN(10,$NI251),0))</f>
        <v>#DIV/0!</v>
      </c>
      <c r="NK251" s="54" t="e">
        <f t="shared" ca="1" si="800"/>
        <v>#DIV/0!</v>
      </c>
      <c r="NL251" s="173" t="e">
        <f ca="1">(1-Control!$C$73)*$I251+$NJ251</f>
        <v>#DIV/0!</v>
      </c>
      <c r="NM251" s="172" t="e">
        <f ca="1">IF($NL251&lt;0.5, $MB251* MAX(0, MIN(1, (SQRT($NC251)-SQRT($NC251-1))*Control!$C$71)),0)</f>
        <v>#DIV/0!</v>
      </c>
      <c r="NN251" s="170" t="e">
        <f ca="1">IF($NL251&gt;=5, $MB251, MAX(0,MIN($MB251, $NM251+$NL251,($MS251-Control!$C$129))))</f>
        <v>#DIV/0!</v>
      </c>
      <c r="NO251" s="54">
        <f>IF(Control!$C$133&lt;&gt;1, Control!$C$135-Control!$C$131, 0)</f>
        <v>0.38</v>
      </c>
      <c r="NP251" s="54" t="e">
        <f t="shared" ca="1" si="801"/>
        <v>#DIV/0!</v>
      </c>
      <c r="NQ251" s="173" t="e">
        <f ca="1">MAX(0,MIN(1,(Control!$C$135-$MS251)/(Control!$C$135-$NO251)))</f>
        <v>#DIV/0!</v>
      </c>
      <c r="NR251" s="170" t="e">
        <f ca="1">IF(Control!$C$133&lt;&gt;1, $NQ251+((1-$NP251/4)*(1-$NQ251)),1)</f>
        <v>#DIV/0!</v>
      </c>
      <c r="NS251" s="170" t="e">
        <f ca="1">IF(Control!$B$31=0,$MJ251,MAX(0,MIN($MV251,$MO251*$NR251*$MJ251)))</f>
        <v>#DIV/0!</v>
      </c>
      <c r="NT251" s="170" t="e">
        <f t="shared" ca="1" si="917"/>
        <v>#DIV/0!</v>
      </c>
      <c r="NU251" s="170" t="e">
        <f t="shared" ca="1" si="893"/>
        <v>#N/A</v>
      </c>
      <c r="NV251" s="170" t="e">
        <f t="shared" ca="1" si="802"/>
        <v>#N/A</v>
      </c>
      <c r="NW251" s="175" t="e">
        <f t="shared" ca="1" si="803"/>
        <v>#DIV/0!</v>
      </c>
      <c r="NX251" s="170" t="e">
        <f ca="1">MIN(Control!$C$72+$MU251, $NW251)</f>
        <v>#DIV/0!</v>
      </c>
      <c r="NY251" s="170" t="e">
        <f ca="1">IF($MT251&lt;=$NX251,MIN(Control!$C$72+$NB251,$NX251-$MT251),0)</f>
        <v>#DIV/0!</v>
      </c>
      <c r="NZ251" s="54" t="e">
        <f ca="1">IF(Control!$C$114=1,  $CX251*($MX251-Control!$C$127), 0)</f>
        <v>#DIV/0!</v>
      </c>
      <c r="OA251" s="170" t="e">
        <f t="shared" ca="1" si="804"/>
        <v>#DIV/0!</v>
      </c>
      <c r="OB251" s="170" t="e">
        <f ca="1">IF($NA251 &lt;=$NY251, MIN(Control!$C$72, $NY251-$NA251), 0)</f>
        <v>#DIV/0!</v>
      </c>
      <c r="OC251" s="168" t="e">
        <f t="shared" ca="1" si="805"/>
        <v>#DIV/0!</v>
      </c>
      <c r="OD251" s="168" t="e">
        <f t="shared" ca="1" si="894"/>
        <v>#DIV/0!</v>
      </c>
      <c r="OE251" s="170">
        <f ca="1">Control!$C$73*$I251</f>
        <v>0</v>
      </c>
      <c r="OF251" s="176" t="e">
        <f t="shared" ca="1" si="806"/>
        <v>#DIV/0!</v>
      </c>
      <c r="OG251" s="168" t="e">
        <f t="shared" ca="1" si="807"/>
        <v>#DIV/0!</v>
      </c>
      <c r="OH251" s="168" t="e">
        <f t="shared" ca="1" si="808"/>
        <v>#DIV/0!</v>
      </c>
      <c r="OI251" s="168" t="e">
        <f t="shared" ca="1" si="809"/>
        <v>#DIV/0!</v>
      </c>
      <c r="OJ251" s="168" t="e">
        <f t="shared" ca="1" si="810"/>
        <v>#DIV/0!</v>
      </c>
      <c r="OK251" s="204" t="e">
        <f t="shared" ca="1" si="811"/>
        <v>#DIV/0!</v>
      </c>
      <c r="OL251" s="177">
        <f>Control!$C$127</f>
        <v>0.15</v>
      </c>
      <c r="OM251" s="182" t="e">
        <f t="shared" ca="1" si="812"/>
        <v>#N/A</v>
      </c>
      <c r="ON251" s="177">
        <f>Control!$C$128</f>
        <v>0.35</v>
      </c>
      <c r="OO251" s="182" t="e">
        <f t="shared" ca="1" si="813"/>
        <v>#N/A</v>
      </c>
      <c r="OP251" s="138">
        <f t="shared" ca="1" si="895"/>
        <v>0</v>
      </c>
      <c r="OQ251" s="138" t="e">
        <f t="shared" ca="1" si="918"/>
        <v>#DIV/0!</v>
      </c>
      <c r="OR251" s="138" t="e">
        <f t="shared" ca="1" si="896"/>
        <v>#DIV/0!</v>
      </c>
      <c r="OS251" s="137" t="e">
        <f t="shared" ca="1" si="919"/>
        <v>#DIV/0!</v>
      </c>
      <c r="OT251" s="139" t="e">
        <f t="shared" ca="1" si="920"/>
        <v>#DIV/0!</v>
      </c>
      <c r="OU251" s="138" t="e">
        <f t="shared" ca="1" si="921"/>
        <v>#N/A</v>
      </c>
      <c r="OV251" s="138" t="e">
        <f t="shared" ca="1" si="922"/>
        <v>#DIV/0!</v>
      </c>
      <c r="OW251" s="138" t="e">
        <f t="shared" ca="1" si="897"/>
        <v>#DIV/0!</v>
      </c>
      <c r="OX251" s="138" t="e">
        <f t="shared" ca="1" si="898"/>
        <v>#DIV/0!</v>
      </c>
      <c r="OY251" s="138" t="e">
        <f t="shared" ca="1" si="899"/>
        <v>#DIV/0!</v>
      </c>
      <c r="OZ251" s="138" t="e">
        <f t="shared" ca="1" si="814"/>
        <v>#DIV/0!</v>
      </c>
      <c r="PA251" s="138" t="e">
        <f t="shared" ca="1" si="815"/>
        <v>#DIV/0!</v>
      </c>
      <c r="PB251" s="55">
        <f>IF(Control!$C$61="T", IF(Control!$C$65="F", IF($AH$6-Control!$C$60&lt;0,0,1), IF(365+$AH$6-Control!$C$60&lt;0,0,1)),0)</f>
        <v>0</v>
      </c>
      <c r="PC251" s="55">
        <f ca="1">IF(Control!$C$65="F", IF($AH$6-$HF251&lt;0,0,1), IF(365+$AH$6-$HF251&lt;0,0,1))</f>
        <v>1</v>
      </c>
      <c r="PD251" s="444">
        <f>Control!$C$118</f>
        <v>1500</v>
      </c>
      <c r="PE251" s="180" t="e">
        <f t="shared" ca="1" si="816"/>
        <v>#N/A</v>
      </c>
      <c r="PF251" s="445">
        <f t="shared" ca="1" si="900"/>
        <v>0.71612369323045078</v>
      </c>
      <c r="PT251" s="186"/>
      <c r="PU251" s="186"/>
      <c r="PV251" s="94"/>
      <c r="PW251" s="94"/>
      <c r="PX251" s="94"/>
      <c r="PY251" s="94"/>
      <c r="PZ251" s="94"/>
      <c r="QA251" s="94"/>
      <c r="QB251" s="94"/>
      <c r="QC251" s="94"/>
      <c r="QD251" s="94"/>
      <c r="QE251" s="94"/>
      <c r="QF251" s="94"/>
      <c r="QG251" s="94"/>
      <c r="QH251" s="94"/>
      <c r="QI251" s="94"/>
      <c r="QJ251" s="94"/>
      <c r="QK251" s="94"/>
      <c r="QL251" s="94"/>
      <c r="QM251" s="94"/>
      <c r="QN251" s="94"/>
      <c r="QO251" s="94"/>
      <c r="QP251" s="94"/>
    </row>
    <row r="252" spans="1:458" s="2" customFormat="1" x14ac:dyDescent="0.2">
      <c r="A252" s="395">
        <v>4</v>
      </c>
      <c r="B252" s="396">
        <v>9</v>
      </c>
      <c r="C252" s="387">
        <f ca="1">Weather_data!$B251</f>
        <v>0</v>
      </c>
      <c r="D252" s="388">
        <f ca="1">Weather_data!$F251</f>
        <v>0</v>
      </c>
      <c r="E252" s="388">
        <f ca="1">Weather_data!$E251</f>
        <v>0</v>
      </c>
      <c r="F252" s="388">
        <f t="shared" ca="1" si="817"/>
        <v>0</v>
      </c>
      <c r="G252" s="388">
        <f ca="1">AVERAGE($D252:$E252)+Control!$B$9</f>
        <v>0</v>
      </c>
      <c r="H252" s="388">
        <f ca="1">Weather_data!$G251</f>
        <v>0</v>
      </c>
      <c r="I252" s="388">
        <f ca="1">Weather_data!$I251</f>
        <v>0</v>
      </c>
      <c r="J252" s="388">
        <f ca="1">Weather_data!$H251</f>
        <v>0</v>
      </c>
      <c r="K252" s="389">
        <f ca="1">Weather_data!$D251</f>
        <v>0</v>
      </c>
      <c r="L252" s="388" t="e">
        <f t="shared" ca="1" si="818"/>
        <v>#N/A</v>
      </c>
      <c r="M252" s="388" t="e">
        <f t="shared" ca="1" si="696"/>
        <v>#N/A</v>
      </c>
      <c r="N252" s="388">
        <f t="shared" ca="1" si="697"/>
        <v>-2.7709413043644204E-12</v>
      </c>
      <c r="O252" s="388">
        <f t="shared" ca="1" si="819"/>
        <v>2.7709413043644205E-11</v>
      </c>
      <c r="P252" s="390">
        <v>3</v>
      </c>
      <c r="Q252" s="388">
        <f ca="1">MAX($G252-Control!$C$107,0)</f>
        <v>0</v>
      </c>
      <c r="R252" s="388">
        <f t="shared" ca="1" si="820"/>
        <v>0</v>
      </c>
      <c r="S252" s="388">
        <f t="shared" ca="1" si="698"/>
        <v>0</v>
      </c>
      <c r="T252" s="388">
        <f t="shared" ca="1" si="699"/>
        <v>0</v>
      </c>
      <c r="U252" s="59">
        <f t="shared" ca="1" si="700"/>
        <v>0</v>
      </c>
      <c r="V252" s="391">
        <f ca="1">MAX(0,MIN(Control!$C$100-Control!$C$99,$G252-Control!$C$99)*Control!$C$63)</f>
        <v>0</v>
      </c>
      <c r="W252" s="388">
        <f t="shared" ca="1" si="821"/>
        <v>0</v>
      </c>
      <c r="X252" s="388">
        <f t="shared" ca="1" si="822"/>
        <v>0.6110000000000001</v>
      </c>
      <c r="Y252" s="388">
        <f t="shared" ca="1" si="701"/>
        <v>0</v>
      </c>
      <c r="Z252" s="388">
        <f t="shared" ca="1" si="823"/>
        <v>0.61058800000000002</v>
      </c>
      <c r="AA252" s="388">
        <f t="shared" ca="1" si="702"/>
        <v>0.6018</v>
      </c>
      <c r="AB252" s="388">
        <f ca="1">101.3*EXP(-0.034*Control!$C$66/($G252+273))</f>
        <v>100.69623283836242</v>
      </c>
      <c r="AC252" s="392">
        <f t="shared" ca="1" si="703"/>
        <v>4.3460251046025113E-2</v>
      </c>
      <c r="AD252" s="392">
        <f t="shared" ca="1" si="704"/>
        <v>4.4450382862832649E-2</v>
      </c>
      <c r="AE252" s="388">
        <f t="shared" ca="1" si="705"/>
        <v>0</v>
      </c>
      <c r="AF252" s="388">
        <f ca="1">MAX(0,$G252-Control!$C$92)</f>
        <v>0</v>
      </c>
      <c r="AG252" s="393">
        <f t="shared" ca="1" si="706"/>
        <v>248</v>
      </c>
      <c r="AH252" s="389">
        <f t="shared" ca="1" si="707"/>
        <v>248</v>
      </c>
      <c r="AI252" s="388">
        <f t="shared" ca="1" si="824"/>
        <v>0.10677536433025808</v>
      </c>
      <c r="AJ252" s="388">
        <f ca="1">IF(Control!$C$60&lt;=0,$HH252,$HI252)</f>
        <v>1</v>
      </c>
      <c r="AK252" s="388">
        <f t="shared" ca="1" si="708"/>
        <v>2.8919866619347139</v>
      </c>
      <c r="AL252" s="388">
        <f t="shared" ca="1" si="709"/>
        <v>-9.0167734390078628E-18</v>
      </c>
      <c r="AM252" s="388">
        <f t="shared" ca="1" si="710"/>
        <v>2.8919866619347139</v>
      </c>
      <c r="AN252" s="388">
        <f t="shared" ca="1" si="711"/>
        <v>9.8424257893857545E-2</v>
      </c>
      <c r="AO252" s="388">
        <f ca="1">-0.10453/COS(Control!$B$8*PI()/180)*COS(AN252)</f>
        <v>-0.16896314651629468</v>
      </c>
      <c r="AP252" s="388">
        <f ca="1">ACOS(AO252-TAN(Control!$B$8*PI()/180)*TAN(AN252))</f>
        <v>1.8706169420209176</v>
      </c>
      <c r="AQ252" s="388">
        <f t="shared" ca="1" si="825"/>
        <v>0</v>
      </c>
      <c r="AR252" s="394">
        <f t="shared" ca="1" si="712"/>
        <v>0</v>
      </c>
      <c r="AS252" s="436">
        <f ca="1">IF(Control!$B$18=2,(IF(OR($AH252=Control!$B$175,$AH252=Control!$B$176,$AH252=Control!$B$177,$AH252=Control!$B$178,$AH252=Control!$B$179,$AH252=Control!$B$180,$AH252=Control!$B$181,$AH252=Control!$B$182,$AH252=Control!$B$183,$AH252=Control!$B$184,$AH252=Control!$B$185),1,0)),0)</f>
        <v>0</v>
      </c>
      <c r="AT252" s="436">
        <f>IF(Control!$B$20=8,IF(AND($AH252&gt;=Control!$B$172,$AH252&lt;=Control!$B$173),1,0),0)</f>
        <v>0</v>
      </c>
      <c r="AU252" s="436">
        <f>IF(Control!$B$20=8,IF($AV251=1,1*$AT252,IF($AT252=1,$AU251+1,$AU251)),0)</f>
        <v>0</v>
      </c>
      <c r="AV252" s="436">
        <f>IF(Control!$B$20=8,IF($AU252&gt;=Control!$B$174,1,0),0)</f>
        <v>0</v>
      </c>
      <c r="AW252" s="436">
        <f ca="1">IF(AND(Control!$B$18=2,Control!$B$171=1), $AV252, $AS252)</f>
        <v>0</v>
      </c>
      <c r="AX252" s="436" t="e">
        <f ca="1">IF(AND(Control!$B$18=1,$EU252&gt;=Control!$B$19),-$AY252,IF(AND(Control!$B$18=2,$AW252=1,$EU252&gt;$DS252),-$AY252, IF(Control!$C$108=0,0, IF(Control!$C$108&lt;&gt;0,1))))</f>
        <v>#N/A</v>
      </c>
      <c r="AY252" s="436" t="e">
        <f t="shared" ca="1" si="826"/>
        <v>#N/A</v>
      </c>
      <c r="AZ252" s="436" t="e">
        <f ca="1">IF(AND(Control!$B$18=1,$EB252&gt;Control!$B$19),$AZ251+1, IF(AND(Control!$B$18=2, $AW252=1, $EB252&gt;$DS252), $AZ251+1,$AZ251))</f>
        <v>#N/A</v>
      </c>
      <c r="BA252" s="587">
        <f>IF(Control!$C$81=0,1,IF($AH252&gt;=Control!$C$82,1,0))</f>
        <v>1</v>
      </c>
      <c r="BB252" s="140" t="e">
        <f ca="1">IF($BA252&gt;$BA251,Control!$C$83,IF($AW252&gt;0,$AW252*Control!$C$84,IF(AND(Control!$B$18=1,EN251&lt;&gt;0),Control!$C$84,0)))</f>
        <v>#N/A</v>
      </c>
      <c r="BC252" s="140" t="e">
        <f t="shared" ca="1" si="827"/>
        <v>#N/A</v>
      </c>
      <c r="BD252" s="140" t="e">
        <f ca="1">BC252*IF(OR($G252&lt;Control!$C$92,$G252&gt;Control!$C$95),0,IF(AND($G252&gt;=Control!$C$92,$G252&lt;=Control!$C$93),$G252-Control!$C$92,IF(AND($G252&gt;Control!$C$93,$G252&lt;=Control!$C$94),Control!$C$93-Control!$C$92,IF(AND($G252&gt;Control!$C$94,$G252&lt;=Control!$C$95),(Control!$C$93-Control!$C$92)*(Control!$C$94-$G252)/(Control!$C$95-Control!$C$94)))))</f>
        <v>#N/A</v>
      </c>
      <c r="BE252" s="140" t="e">
        <f t="shared" ca="1" si="828"/>
        <v>#N/A</v>
      </c>
      <c r="BF252" s="140" t="e">
        <f ca="1">IF($BE252&lt;=Control!$C$86,$BE252,Control!$C$86-$BE252)</f>
        <v>#N/A</v>
      </c>
      <c r="BG252" s="140" t="e">
        <f ca="1">IF(AND($AW252=1,Control!$C$84&lt;9),1,IF($BE252&gt;=Control!$C$86,0,$BC252))</f>
        <v>#N/A</v>
      </c>
      <c r="BH252" s="404" t="e">
        <f ca="1">IF($BG252=0,0,IF($BE252&lt;=Control!$C$86,$BC252*9*($BF252/Control!$C$86),0))</f>
        <v>#N/A</v>
      </c>
      <c r="BI252" s="140" t="e">
        <f ca="1">IF($BG252=1,0,IF($BE252&gt;=Control!$C$86,1,IF(AND($BB252&lt;21,$BB252&gt;=9),1,$BM251)))</f>
        <v>#N/A</v>
      </c>
      <c r="BJ252" s="140" t="e">
        <f ca="1">IF($BF252&lt;0,-$BF252,$BI252*IF(OR($G252&lt;Control!$C$92,$G252&gt;Control!$C$95),0,IF(AND($G252&gt;=Control!$C$92,$G252&lt;=Control!$C$93),$G252-Control!$C$92,IF(AND($G252&gt;Control!$C$93,$G252&lt;=Control!$C$94),Control!$C$93-Control!$C$92,IF(AND($G252&gt;Control!$C$94,$G252&lt;=Control!$C$95),(Control!$C$93-Control!$C$92)*(Control!$C$94-$G252)/(Control!$C$95-Control!$C$94))))))</f>
        <v>#N/A</v>
      </c>
      <c r="BK252" s="140" t="e">
        <f t="shared" ca="1" si="829"/>
        <v>#N/A</v>
      </c>
      <c r="BL252" s="140" t="e">
        <f ca="1">IF($BK252&lt;=Control!$C$87,$BK252,Control!$C$87-$BK252)</f>
        <v>#N/A</v>
      </c>
      <c r="BM252" s="140" t="e">
        <f ca="1">IF(AND($BB252&gt;=9,$BB252&lt;21),1,IF($BK252&gt;=Control!$C$87,0,$BI252))</f>
        <v>#N/A</v>
      </c>
      <c r="BN252" s="404" t="e">
        <f ca="1">IF($BM252=0,0,IF($BK252&lt;=Control!$C$87,$BI252*(9+(21-9)*($BL252/Control!$C$87)),0))</f>
        <v>#N/A</v>
      </c>
      <c r="BO252" s="140" t="e">
        <f ca="1">IF($BM252=1,0,IF($BK252&gt;=Control!$C$87,1,IF(AND($BB252&lt;30,$BB252&gt;=21),1,$BS251)))</f>
        <v>#N/A</v>
      </c>
      <c r="BP252" s="140" t="e">
        <f ca="1">IF($BL252&lt;0,-$BL252,$BO252*IF(OR($G252&lt;Control!$C$92,$G252&gt;Control!$C$95),0,IF(AND($G252&gt;=Control!$C$92,$G252&lt;=Control!$C$93),$G252-Control!$C$92,IF(AND($G252&gt;Control!$C$93,$G252&lt;=Control!$C$94),Control!$C$93-Control!$C$92,IF(AND($G252&gt;Control!$C$94,$G252&lt;=Control!$C$95),(Control!$C$93-Control!$C$92)*(Control!$C$94-$G252)/(Control!$C$95-Control!$C$94))))))</f>
        <v>#N/A</v>
      </c>
      <c r="BQ252" s="140" t="e">
        <f t="shared" ca="1" si="713"/>
        <v>#N/A</v>
      </c>
      <c r="BR252" s="140" t="e">
        <f ca="1">IF($BQ252&lt;=Control!$C$88,$BQ252,Control!$C$88-$BQ252)</f>
        <v>#N/A</v>
      </c>
      <c r="BS252" s="140" t="e">
        <f ca="1">IF(AND($BB252&gt;=21,$BB252&lt;30),1,IF($BQ252&gt;=Control!$C$88,0,$BO252))</f>
        <v>#N/A</v>
      </c>
      <c r="BT252" s="404" t="e">
        <f ca="1">IF($BS252=0,0,IF($BQ252&lt;=Control!$C$88,$BO252*(21+(30-21)*(BR252/Control!$C$88)),0))</f>
        <v>#N/A</v>
      </c>
      <c r="BU252" s="140" t="e">
        <f ca="1">IF(BG252+BM252+BS252=1,0,IF(OR(AND($BB252&lt;60,$BB252&gt;=30),$BQ252&gt;=Control!$C$88),1*$BA252,$BY251))</f>
        <v>#N/A</v>
      </c>
      <c r="BV252" s="140" t="e">
        <f ca="1">IF($BR252&lt;0,-$BR252,$BU252*IF(OR($G252&lt;Control!$C$92,$G252&gt;Control!$C$95),0,IF(AND($G252&gt;=Control!$C$92,$G252&lt;=Control!$C$93),$G252-Control!$C$92,IF(AND($G252&gt;Control!$C$93,$G252&lt;=Control!$C$94),Control!$C$93-Control!$C$92,IF(AND($G252&gt;Control!$C$94,$G252&lt;=Control!$C$95),(Control!$C$93-Control!$C$92)*(Control!$C$94-$G252)/(Control!$C$95-Control!$C$94))))))</f>
        <v>#N/A</v>
      </c>
      <c r="BW252" s="140" t="e">
        <f t="shared" ca="1" si="714"/>
        <v>#N/A</v>
      </c>
      <c r="BX252" s="140" t="e">
        <f ca="1">IF($BW252&lt;=Control!$C$89,$BW252,Control!$C$89-$BW252)</f>
        <v>#N/A</v>
      </c>
      <c r="BY252" s="140" t="e">
        <f ca="1">IF(AND($AJ252&gt;=30,$AJ252&lt;60),1,IF($BW252&gt;=Control!$C$89,0,$BU252))</f>
        <v>#N/A</v>
      </c>
      <c r="BZ252" s="404" t="e">
        <f ca="1">IF($BY252=0,0,IF($BW252&lt;=Control!$C$89,$BU252*(30+(60-30)*(BX252/Control!$C$89)),0))</f>
        <v>#N/A</v>
      </c>
      <c r="CA252" s="140" t="e">
        <f ca="1">IF($BG252+$BM252+$BS252+$BY252=1,0,IF(OR(AND($BB252&lt;65,$BB252&gt;=60),$BW252&gt;=Control!$C$89),1*$BA252,$CE251))</f>
        <v>#N/A</v>
      </c>
      <c r="CB252" s="140" t="e">
        <f ca="1">IF($BX252&lt;0,-$BX252,$CA252*IF(OR($G252&lt;Control!$C$92,$G252&gt;Control!$C$95),0,IF(AND($G252&gt;=Control!$C$92,$G252&lt;=Control!$C$93),$G252-Control!$C$92,IF(AND($G252&gt;Control!$C$93,$G252&lt;=Control!$C$94),Control!$C$93-Control!$C$92,IF(AND($G252&gt;Control!$C$94,$G252&lt;=Control!$C$95),(Control!$C$93-Control!$C$92)*(Control!$C$94-$G252)/(Control!$C$95-Control!$C$94))))))</f>
        <v>#N/A</v>
      </c>
      <c r="CC252" s="140" t="e">
        <f t="shared" ca="1" si="830"/>
        <v>#N/A</v>
      </c>
      <c r="CD252" s="140" t="e">
        <f ca="1">IF($CC252&lt;=Control!$C$90,$CC252,Control!$C$90-$CC252)</f>
        <v>#N/A</v>
      </c>
      <c r="CE252" s="140" t="e">
        <f ca="1">IF(AND($BB252&gt;=60,$BB252&lt;65),1,IF($CC252&gt;=Control!$C$90,0,$CA252))</f>
        <v>#N/A</v>
      </c>
      <c r="CF252" s="404" t="e">
        <f ca="1">IF($CE252=0,0,IF($CC252&lt;=Control!$C$90,$CA252*(60+(65-60)*(CD252/Control!$C$90)),0))</f>
        <v>#N/A</v>
      </c>
      <c r="CG252" s="140" t="e">
        <f ca="1">IF($BG252+$BM252+$BS252+$BY252+$CE252=1,0,IF(OR(AND($BB252&lt;90,$BB252&gt;=65),$CC252&gt;=Control!$C$90),$BA252,$CK251))</f>
        <v>#N/A</v>
      </c>
      <c r="CH252" s="140" t="e">
        <f ca="1">IF($CD252&lt;0,-$CD252,$CG252*IF(OR($G252&lt;Control!$C$92,$G252&gt;Control!$C$95),0,IF(AND($G252&gt;=Control!$C$92,$G252&lt;=Control!$C$93),$G252-Control!$C$92,IF(AND($G252&gt;Control!$C$93,$G252&lt;=Control!$C$94),Control!$C$93-Control!$C$92,IF(AND($G252&gt;Control!$C$94,$G252&lt;=Control!$C$95),(Control!$C$93-Control!$C$92)*(Control!$C$94-$G252)/(Control!$C$95-Control!$C$94))))))</f>
        <v>#N/A</v>
      </c>
      <c r="CI252" s="140" t="e">
        <f t="shared" ca="1" si="831"/>
        <v>#N/A</v>
      </c>
      <c r="CJ252" s="140" t="e">
        <f ca="1">IF($CI252&lt;=Control!$C$91,$CI252,Control!$C$91-$CI252)</f>
        <v>#N/A</v>
      </c>
      <c r="CK252" s="140" t="e">
        <f ca="1">IF(AND($BB252&gt;=65,$BB252&lt;90),1,IF($CI252&gt;=Control!$C$91,0,$CG252))</f>
        <v>#N/A</v>
      </c>
      <c r="CL252" s="404" t="e">
        <f ca="1">IF($CK252=0,0,IF($CI252&lt;=Control!$C$91,$CG252*(65+(90-65)*($CJ252/Control!$C$91)),0))</f>
        <v>#N/A</v>
      </c>
      <c r="CM252" s="140" t="e">
        <f ca="1">IF($BG252+$BM252+$BS252+$BY252+$CE252+$CK252=1,0,IF(OR($BB252&gt;=90,$CI252&gt;=Control!$C$91),$BA252,$CM251))</f>
        <v>#N/A</v>
      </c>
      <c r="CN252" s="140" t="e">
        <f t="shared" ca="1" si="832"/>
        <v>#N/A</v>
      </c>
      <c r="CO252" s="140" t="e">
        <f t="shared" ca="1" si="833"/>
        <v>#N/A</v>
      </c>
      <c r="CP252" s="140" t="e">
        <f t="shared" ca="1" si="834"/>
        <v>#N/A</v>
      </c>
      <c r="CQ252" s="141" t="e">
        <f ca="1">VLOOKUP($CP252,Control!$B$86:$G$91,6)</f>
        <v>#N/A</v>
      </c>
      <c r="CR252" s="141" t="e">
        <f ca="1">(1-$CQ252)*VLOOKUP($CP252,Control!$B$86:$D$91,3)</f>
        <v>#N/A</v>
      </c>
      <c r="CS252" s="141" t="e">
        <f ca="1">(1-$CQ252)*VLOOKUP($CP252,Control!$B$86:$E$91,4)</f>
        <v>#N/A</v>
      </c>
      <c r="CT252" s="141" t="e">
        <f ca="1">(1-$CQ252)*VLOOKUP($CP252,Control!$B$86:$F$91,5)</f>
        <v>#N/A</v>
      </c>
      <c r="CU252" s="141">
        <f t="shared" ca="1" si="835"/>
        <v>0</v>
      </c>
      <c r="CV252" s="583">
        <f t="shared" ca="1" si="836"/>
        <v>0</v>
      </c>
      <c r="CW252" s="142">
        <f t="shared" ca="1" si="837"/>
        <v>248</v>
      </c>
      <c r="CX252" s="612" t="e">
        <f ca="1">IF(Control!$C$114=1,(MIN(Control!$C$120*(IF($NT252-0.01&lt;0,0,1)),Control!$C$119-$CY252)))</f>
        <v>#DIV/0!</v>
      </c>
      <c r="CY252" s="143" t="e">
        <f t="shared" ca="1" si="838"/>
        <v>#N/A</v>
      </c>
      <c r="CZ252" s="144">
        <f t="shared" ca="1" si="715"/>
        <v>0</v>
      </c>
      <c r="DA252" s="144">
        <f t="shared" ca="1" si="716"/>
        <v>0</v>
      </c>
      <c r="DB252" s="144" t="e">
        <f t="shared" ca="1" si="717"/>
        <v>#N/A</v>
      </c>
      <c r="DC252" s="144" t="e">
        <f t="shared" ca="1" si="718"/>
        <v>#N/A</v>
      </c>
      <c r="DD252" s="144" t="e">
        <f t="shared" ca="1" si="923"/>
        <v>#N/A</v>
      </c>
      <c r="DE252" s="143" t="e">
        <f t="shared" ca="1" si="839"/>
        <v>#N/A</v>
      </c>
      <c r="DF252" s="145" t="e">
        <f ca="1">$DR252*EXP(-Control!$C$158*(1-$KH252))</f>
        <v>#N/A</v>
      </c>
      <c r="DG252" s="146" t="e">
        <f ca="1">IF(Control!$C$114=1, $DF252*$EY252, 0)</f>
        <v>#N/A</v>
      </c>
      <c r="DH252" s="147" t="e">
        <f t="shared" ca="1" si="840"/>
        <v>#N/A</v>
      </c>
      <c r="DI252" s="144" t="e">
        <f t="shared" ca="1" si="901"/>
        <v>#N/A</v>
      </c>
      <c r="DJ252" s="147" t="e">
        <f ca="1">$EF252*Control!$C$109</f>
        <v>#N/A</v>
      </c>
      <c r="DK252" s="144" t="e">
        <f t="shared" ca="1" si="841"/>
        <v>#N/A</v>
      </c>
      <c r="DL252" s="144" t="e">
        <f t="shared" ca="1" si="719"/>
        <v>#N/A</v>
      </c>
      <c r="DM252" s="144" t="e">
        <f ca="1">IF(Control!$C$114=1, (1-EXP(-Control!$C$96*$DK252))*$AR252, 0)</f>
        <v>#N/A</v>
      </c>
      <c r="DN252" s="144">
        <f t="shared" ca="1" si="842"/>
        <v>0</v>
      </c>
      <c r="DO252" s="148">
        <f>Control!$C$97</f>
        <v>4</v>
      </c>
      <c r="DP252" s="145" t="e">
        <f t="shared" ca="1" si="843"/>
        <v>#N/A</v>
      </c>
      <c r="DQ252" s="145" t="e">
        <f ca="1">IF(AND($CP252&gt;=0,$CP252&lt;=90),Control!$C$111,Control!$C$111)</f>
        <v>#N/A</v>
      </c>
      <c r="DR252" s="145" t="e">
        <f t="shared" ca="1" si="720"/>
        <v>#N/A</v>
      </c>
      <c r="DS252" s="143" t="e">
        <f ca="1">Control!$B$22/$DR252</f>
        <v>#N/A</v>
      </c>
      <c r="DT252" s="149" t="e">
        <f ca="1">IF(AND(Control!$C$114=1,$KH252&lt;1),$IM252*$DF252, 0)</f>
        <v>#N/A</v>
      </c>
      <c r="DU252" s="144" t="e">
        <f t="shared" ca="1" si="844"/>
        <v>#N/A</v>
      </c>
      <c r="DV252" s="144">
        <f ca="1">IF($G252-Control!$C$107&lt;=0, 0, 0.83*LN(MAX($G252, 3))-0.8924)</f>
        <v>0</v>
      </c>
      <c r="DW252" s="144" t="e">
        <f t="shared" ca="1" si="721"/>
        <v>#N/A</v>
      </c>
      <c r="DX252" s="150" t="e">
        <f ca="1">MAX(0.01*(1+$CU252/Control!$C$102),0.05*($DK252-Control!$C$97)/Control!$C$97)</f>
        <v>#N/A</v>
      </c>
      <c r="DY252" s="151" t="e">
        <f ca="1">IF(Control!$C$114=1, $DI252*$FS252, 0)</f>
        <v>#N/A</v>
      </c>
      <c r="DZ252" s="196" t="e">
        <f t="shared" ca="1" si="845"/>
        <v>#N/A</v>
      </c>
      <c r="EA252" s="152">
        <f t="shared" ca="1" si="846"/>
        <v>248</v>
      </c>
      <c r="EB252" s="153" t="e">
        <f t="shared" ca="1" si="847"/>
        <v>#N/A</v>
      </c>
      <c r="EC252" s="153" t="e">
        <f t="shared" ca="1" si="848"/>
        <v>#N/A</v>
      </c>
      <c r="ED252" s="154" t="e">
        <f ca="1">IF(Control!$C$114=1, $HM252*$FY252-$FD252, 0)</f>
        <v>#DIV/0!</v>
      </c>
      <c r="EE252" s="155" t="e">
        <f ca="1">IF(Control!$C$114=1, $HM252*$FZ252-$FF252, 0)</f>
        <v>#DIV/0!</v>
      </c>
      <c r="EF252" s="153" t="e">
        <f t="shared" ca="1" si="902"/>
        <v>#N/A</v>
      </c>
      <c r="EG252" s="155" t="e">
        <f ca="1">IF(Control!$C$114=1, $GX252*$FW252-$FI252, 0)</f>
        <v>#DIV/0!</v>
      </c>
      <c r="EH252" s="153" t="e">
        <f t="shared" ca="1" si="849"/>
        <v>#N/A</v>
      </c>
      <c r="EI252" s="156" t="e">
        <f t="shared" ca="1" si="850"/>
        <v>#N/A</v>
      </c>
      <c r="EJ252" s="155" t="e">
        <f ca="1">IF(Control!$C$114=1, $HM252*$GB252, 0)</f>
        <v>#DIV/0!</v>
      </c>
      <c r="EK252" s="153" t="e">
        <f t="shared" ca="1" si="903"/>
        <v>#N/A</v>
      </c>
      <c r="EL252" s="153" t="e">
        <f t="shared" ca="1" si="722"/>
        <v>#N/A</v>
      </c>
      <c r="EM252" s="153" t="e">
        <f t="shared" ca="1" si="723"/>
        <v>#N/A</v>
      </c>
      <c r="EN252" s="153" t="e">
        <f ca="1">IF(Control!$C$108=1,IF(AND(Control!$B$18=1,$EB252&gt;=Control!$B$19),$EB252-$DS252,IF(AND(Control!$B$18=2,$AW252=1,$EB252&gt;$DS252),$EB252-$DS252,0)))</f>
        <v>#N/A</v>
      </c>
      <c r="EO252" s="153" t="e">
        <f ca="1">IF(Control!$C$108=1,IF(AND(Control!$B$18=1,$EB252&gt;=Control!$B$19),$EF252,IF(AND(Control!$B$18=2,$AW252=1),$EF252,0)))</f>
        <v>#N/A</v>
      </c>
      <c r="EP252" s="153" t="e">
        <f ca="1">IF(Control!$C$108=1,IF(AND(Control!$B$18=1,$EB252&gt;=Control!$B$19),$EK252,IF(AND(Control!$B$18=2,$AW252=1),$EK252,0)))</f>
        <v>#N/A</v>
      </c>
      <c r="EQ252" s="153" t="e">
        <f t="shared" ca="1" si="851"/>
        <v>#N/A</v>
      </c>
      <c r="ER252" s="153" t="e">
        <f t="shared" ca="1" si="852"/>
        <v>#N/A</v>
      </c>
      <c r="ES252" s="153" t="e">
        <f t="shared" ca="1" si="904"/>
        <v>#N/A</v>
      </c>
      <c r="ET252" s="153" t="e">
        <f t="shared" ca="1" si="905"/>
        <v>#N/A</v>
      </c>
      <c r="EU252" s="153" t="e">
        <f t="shared" ca="1" si="853"/>
        <v>#N/A</v>
      </c>
      <c r="EV252" s="153" t="e">
        <f t="shared" ca="1" si="724"/>
        <v>#N/A</v>
      </c>
      <c r="EW252" s="153" t="e">
        <f t="shared" ca="1" si="725"/>
        <v>#N/A</v>
      </c>
      <c r="EX252" s="153" t="e">
        <f t="shared" ca="1" si="726"/>
        <v>#N/A</v>
      </c>
      <c r="EY252" s="157" t="e">
        <f t="shared" ca="1" si="727"/>
        <v>#DIV/0!</v>
      </c>
      <c r="EZ252" s="154" t="e">
        <f t="shared" ca="1" si="728"/>
        <v>#DIV/0!</v>
      </c>
      <c r="FA252" s="153" t="e">
        <f t="shared" ca="1" si="854"/>
        <v>#N/A</v>
      </c>
      <c r="FB252" s="153" t="e">
        <f t="shared" ca="1" si="729"/>
        <v>#N/A</v>
      </c>
      <c r="FC252" s="193" t="e">
        <f t="shared" ca="1" si="730"/>
        <v>#N/A</v>
      </c>
      <c r="FD252" s="158" t="e">
        <f t="shared" ca="1" si="855"/>
        <v>#N/A</v>
      </c>
      <c r="FE252" s="158" t="e">
        <f t="shared" ca="1" si="856"/>
        <v>#N/A</v>
      </c>
      <c r="FF252" s="159" t="e">
        <f t="shared" ca="1" si="731"/>
        <v>#N/A</v>
      </c>
      <c r="FG252" s="160" t="e">
        <f t="shared" ca="1" si="857"/>
        <v>#N/A</v>
      </c>
      <c r="FH252" s="158" t="e">
        <f t="shared" ca="1" si="858"/>
        <v>#N/A</v>
      </c>
      <c r="FI252" s="159" t="e">
        <f t="shared" ca="1" si="732"/>
        <v>#N/A</v>
      </c>
      <c r="FJ252" s="160" t="e">
        <f t="shared" ca="1" si="859"/>
        <v>#N/A</v>
      </c>
      <c r="FK252" s="160" t="e">
        <f t="shared" ca="1" si="733"/>
        <v>#N/A</v>
      </c>
      <c r="FL252" s="160" t="e">
        <f t="shared" ca="1" si="906"/>
        <v>#N/A</v>
      </c>
      <c r="FM252" s="160" t="e">
        <f t="shared" ca="1" si="734"/>
        <v>#N/A</v>
      </c>
      <c r="FN252" s="158">
        <f t="shared" ca="1" si="860"/>
        <v>0.01</v>
      </c>
      <c r="FO252" s="160">
        <f>Control!$C$101</f>
        <v>50</v>
      </c>
      <c r="FP252" s="150" t="e">
        <f t="shared" ca="1" si="735"/>
        <v>#N/A</v>
      </c>
      <c r="FQ252" s="150" t="e">
        <f ca="1">MAX(0,(Control!$C$112*(($DK252-Control!$C$97)/Control!$C$97)))</f>
        <v>#N/A</v>
      </c>
      <c r="FR252" s="150" t="e">
        <f ca="1">(1-$NT252)*Control!$C$113</f>
        <v>#DIV/0!</v>
      </c>
      <c r="FS252" s="198" t="e">
        <f t="shared" ca="1" si="736"/>
        <v>#N/A</v>
      </c>
      <c r="FT252" s="161">
        <f t="shared" ca="1" si="861"/>
        <v>248</v>
      </c>
      <c r="FU252" s="162" t="e">
        <f ca="1">IF(Control!$B$34=1,VLOOKUP($CP252,Control!$B$86:$G$91,6),Control!$B$35)</f>
        <v>#N/A</v>
      </c>
      <c r="FV252" s="162" t="e">
        <f t="shared" ca="1" si="737"/>
        <v>#DIV/0!</v>
      </c>
      <c r="FW252" s="162" t="e">
        <f ca="1">IF(Control!$B$31=1,$FU252*$FV252,  $FU252)</f>
        <v>#N/A</v>
      </c>
      <c r="FX252" s="162" t="e">
        <f ca="1">IF(Control!$B$34=1,VLOOKUP($CP252,Control!$B$86:$G$91,3),Control!$B$36)</f>
        <v>#N/A</v>
      </c>
      <c r="FY252" s="162" t="e">
        <f t="shared" ca="1" si="738"/>
        <v>#N/A</v>
      </c>
      <c r="FZ252" s="162" t="e">
        <f ca="1">IF(Control!$B$34=1,VLOOKUP($CP252,Control!$B$86:$G$91,4),Control!$B$37)</f>
        <v>#N/A</v>
      </c>
      <c r="GA252" s="162" t="e">
        <f t="shared" ca="1" si="739"/>
        <v>#N/A</v>
      </c>
      <c r="GB252" s="162" t="e">
        <f ca="1">IF(Control!$B$34=1,VLOOKUP($CP252,Control!$B$86:$G$91,5),Control!$B$38)</f>
        <v>#N/A</v>
      </c>
      <c r="GC252" s="162" t="e">
        <f t="shared" ca="1" si="862"/>
        <v>#N/A</v>
      </c>
      <c r="GD252" s="162">
        <f t="shared" ca="1" si="740"/>
        <v>1</v>
      </c>
      <c r="GE252" s="162">
        <f t="shared" ca="1" si="741"/>
        <v>1</v>
      </c>
      <c r="GF252" s="162">
        <f ca="1">IF(AND(Control!$C$104=1, Control!$C$62="F"),$GE252,1)</f>
        <v>1</v>
      </c>
      <c r="GG252" s="162" t="e">
        <f ca="1">IF(Control!$B$16=40,0,IF(AND(Control!$B$16&gt;40,Control!$B$16&lt;=360),(Control!$B$16-40)*((1-0)/(360-40)),IF(AND(Control!$B$16&gt;360,Control!$B$16&lt;=720),(1+(Control!$B$16-360)*((1.25-1)/(720-360))),IF(AND(Control!$B$16&gt;720,Control!$B$16&lt;=1000),(1.25+(Control!$B$16-720)*((1.35-1.25)/(1000-720))),IF(AND(Control!$B$16&gt;1000,Control!$B$16&lt;=2000),(1.35+(Control!$B$16-1000)*0))))))</f>
        <v>#N/A</v>
      </c>
      <c r="GH252" s="162" t="e">
        <f t="shared" ca="1" si="742"/>
        <v>#N/A</v>
      </c>
      <c r="GI252" s="162">
        <f t="shared" ca="1" si="863"/>
        <v>0</v>
      </c>
      <c r="GJ252" s="162">
        <f t="shared" ca="1" si="743"/>
        <v>0</v>
      </c>
      <c r="GK252" s="162">
        <f t="shared" ca="1" si="864"/>
        <v>1</v>
      </c>
      <c r="GL252" s="162">
        <f t="shared" ca="1" si="744"/>
        <v>1</v>
      </c>
      <c r="GM252" s="162" t="e">
        <f ca="1">MAX(0,MIN(1,1-Control!$C$156*(1.0001-$KH252)^2))</f>
        <v>#N/A</v>
      </c>
      <c r="GN252" s="162" t="e">
        <f ca="1">IF(Control!$B$26=1,$KU252,$KX252)</f>
        <v>#N/A</v>
      </c>
      <c r="GO252" s="162" t="e">
        <f ca="1">IF($CP252&lt;=60,Control!$C$105,IF($CP252&gt;=90,Control!$C$106,Control!$C$105+($CP252-60)*((Control!$C$106-Control!$C$105)/(90-60))))</f>
        <v>#N/A</v>
      </c>
      <c r="GP252" s="162" t="e">
        <f t="shared" ca="1" si="745"/>
        <v>#N/A</v>
      </c>
      <c r="GQ252" s="162" t="e">
        <f t="shared" ca="1" si="865"/>
        <v>#N/A</v>
      </c>
      <c r="GR252" s="163" t="e">
        <f t="shared" ca="1" si="746"/>
        <v>#DIV/0!</v>
      </c>
      <c r="GS252" s="162" t="e">
        <f t="shared" ca="1" si="747"/>
        <v>#DIV/0!</v>
      </c>
      <c r="GT252" s="164" t="e">
        <f t="shared" ca="1" si="866"/>
        <v>#N/A</v>
      </c>
      <c r="GU252" s="162" t="e">
        <f t="shared" ca="1" si="867"/>
        <v>#N/A</v>
      </c>
      <c r="GV252" s="162" t="e">
        <f t="shared" ca="1" si="748"/>
        <v>#N/A</v>
      </c>
      <c r="GW252" s="162" t="e">
        <f t="shared" ca="1" si="749"/>
        <v>#DIV/0!</v>
      </c>
      <c r="GX252" s="162" t="e">
        <f t="shared" ca="1" si="868"/>
        <v>#DIV/0!</v>
      </c>
      <c r="GY252" s="162" t="e">
        <f t="shared" ca="1" si="869"/>
        <v>#DIV/0!</v>
      </c>
      <c r="GZ252" s="165" t="e">
        <f t="shared" ca="1" si="750"/>
        <v>#N/A</v>
      </c>
      <c r="HA252" s="162" t="e">
        <f ca="1">IF(Control!$C$114=1, $DI252*$FS252, 0)</f>
        <v>#N/A</v>
      </c>
      <c r="HB252" s="162" t="e">
        <f ca="1">$FA252/Control!$C$64</f>
        <v>#N/A</v>
      </c>
      <c r="HC252" s="162" t="e">
        <f t="shared" ca="1" si="751"/>
        <v>#DIV/0!</v>
      </c>
      <c r="HD252" s="162">
        <f ca="1">-ASIN(SIN(23.45*Control!$C$139)*COS(2*Control!$C$138*($AH252+10)/365))</f>
        <v>0.10677536433025808</v>
      </c>
      <c r="HE252" s="165">
        <f t="shared" ca="1" si="870"/>
        <v>0</v>
      </c>
      <c r="HF252" s="166">
        <f ca="1">IF(AND(Control!$C$61="T",$HE252&gt;=Control!$C$103,Control!$C$114=0),$AH252,Control!$C$59)</f>
        <v>1</v>
      </c>
      <c r="HG252" s="166">
        <f ca="1">IF(AND(Control!$C$61="T",$HE252&gt;=Control!$C$103,Control!$C$114=0),$HF252,Control!$C$59)</f>
        <v>1</v>
      </c>
      <c r="HH252" s="165">
        <f ca="1">IF(AND(OR(Control!$C$60&lt;=0, $AH252= Control!$C$59, Control!$C$60 &gt;0, $AH252 = Control!$C$60)), Control!$C$59, IF(Control!$C$60&gt;0, 0))</f>
        <v>1</v>
      </c>
      <c r="HI252" s="165">
        <f ca="1">IF(AND(OR(Control!$C$60&lt;=0, $AH252= Control!$C$59, Control!$C$60 &gt;0, $AH252 = Control!$C$60)), Control!$C$60, IF(Control!$C$60&lt;=0, 0))</f>
        <v>0</v>
      </c>
      <c r="HJ252" s="166">
        <f ca="1">IF(AND(Control!$C$62="F",$CV252&gt;=Control!$C$102),$AH252,0)</f>
        <v>0</v>
      </c>
      <c r="HK252" s="165" t="e">
        <f t="shared" ca="1" si="907"/>
        <v>#N/A</v>
      </c>
      <c r="HL252" s="166">
        <f ca="1">IF(AND(Control!$C$61="T",$HE252&gt;=Control!$C$103,Control!$C$114=0),$HF252,0)</f>
        <v>0</v>
      </c>
      <c r="HM252" s="201" t="e">
        <f t="shared" ca="1" si="752"/>
        <v>#DIV/0!</v>
      </c>
      <c r="HN252" s="215">
        <f t="shared" ca="1" si="871"/>
        <v>248</v>
      </c>
      <c r="HO252" s="216" t="e">
        <f ca="1">IF(AND($CP252&gt;=0, $CP252&lt;=90), Control!$C$152, Control!$C$152)</f>
        <v>#N/A</v>
      </c>
      <c r="HP252" s="216" t="e">
        <f t="shared" ca="1" si="753"/>
        <v>#N/A</v>
      </c>
      <c r="HQ252" s="217" t="e">
        <f ca="1">IF(OR(Control!$B$26=1,Control!$B$26=2),$KV252,$KS252)</f>
        <v>#DIV/0!</v>
      </c>
      <c r="HR252" s="218" t="e">
        <f t="shared" ca="1" si="908"/>
        <v>#DIV/0!</v>
      </c>
      <c r="HS252" s="216" t="e">
        <f ca="1">Control!$C$154*$HP252</f>
        <v>#N/A</v>
      </c>
      <c r="HT252" s="216" t="e">
        <f ca="1">Control!$C$155*$HP252</f>
        <v>#N/A</v>
      </c>
      <c r="HU252" s="217" t="e">
        <f ca="1">Control!$C$161*$FI252</f>
        <v>#N/A</v>
      </c>
      <c r="HV252" s="218" t="e">
        <f t="shared" ca="1" si="872"/>
        <v>#N/A</v>
      </c>
      <c r="HW252" s="218" t="e">
        <f ca="1">Control!$C$160*$FF252+$IP252*$EO252</f>
        <v>#N/A</v>
      </c>
      <c r="HX252" s="218" t="e">
        <f t="shared" ca="1" si="909"/>
        <v>#N/A</v>
      </c>
      <c r="HY252" s="219" t="e">
        <f ca="1">IF(Control!$C$114=1, $EB252*$FS252, 0)</f>
        <v>#N/A</v>
      </c>
      <c r="HZ252" s="91" t="e">
        <f t="shared" ca="1" si="754"/>
        <v>#N/A</v>
      </c>
      <c r="IA252" s="220" t="e">
        <f ca="1">Control!$C$153*$HO252</f>
        <v>#N/A</v>
      </c>
      <c r="IB252" s="218" t="e">
        <f t="shared" ca="1" si="755"/>
        <v>#N/A</v>
      </c>
      <c r="IC252" s="220" t="e">
        <f ca="1">Control!$C$153*$HT252</f>
        <v>#N/A</v>
      </c>
      <c r="ID252" s="218" t="e">
        <f t="shared" ca="1" si="756"/>
        <v>#N/A</v>
      </c>
      <c r="IE252" s="221" t="e">
        <f ca="1">($EB252*Control!$C$159+$EF252*Control!$C$160)/(IF($GZ252&lt;&gt;0,$GZ252,1))</f>
        <v>#N/A</v>
      </c>
      <c r="IF252" s="216" t="e">
        <f t="shared" ca="1" si="757"/>
        <v>#N/A</v>
      </c>
      <c r="IG252" s="91">
        <f ca="1">IF(OR(Control!$B$198=$AH252,Control!$B$199=$AH252, Control!$B$200=$AH252, Control!$B$201=$AH252, Control!$B$202=$AH252, Control!$B$203=$AH252, Control!$B$204=$AH252, Control!$B$205=$AH252, Control!$B$206=$AH252, Control!$B$207=$AH252), 1, 0)</f>
        <v>0</v>
      </c>
      <c r="IH252" s="91">
        <f ca="1">IF($IG252=0,0, VLOOKUP($AH252,Control!$B$198:$C$207,2))</f>
        <v>0</v>
      </c>
      <c r="II252" s="222">
        <f t="shared" ca="1" si="873"/>
        <v>0</v>
      </c>
      <c r="IJ252" s="91">
        <f>Control!$C$121</f>
        <v>0.7</v>
      </c>
      <c r="IK252" s="218">
        <f t="shared" ca="1" si="758"/>
        <v>0</v>
      </c>
      <c r="IL252" s="217" t="e">
        <f t="shared" ca="1" si="910"/>
        <v>#N/A</v>
      </c>
      <c r="IM252" s="223" t="e">
        <f ca="1">IF(AND(Control!$C$114=1,$KH252&lt;1),$EB252*Control!$C$148*(1-$KH252), 0)</f>
        <v>#N/A</v>
      </c>
      <c r="IN252" s="217" t="e">
        <f t="shared" ca="1" si="759"/>
        <v>#DIV/0!</v>
      </c>
      <c r="IO252" s="91" t="e">
        <f ca="1">MAX(0,$IL252-$EF252*Control!$C$160)</f>
        <v>#N/A</v>
      </c>
      <c r="IP252" s="220" t="e">
        <f t="shared" ca="1" si="760"/>
        <v>#N/A</v>
      </c>
      <c r="IQ252" s="217" t="e">
        <f t="shared" ca="1" si="874"/>
        <v>#N/A</v>
      </c>
      <c r="IR252" s="218" t="e">
        <f t="shared" ca="1" si="761"/>
        <v>#N/A</v>
      </c>
      <c r="IS252" s="217" t="e">
        <f ca="1">Control!$C$159*MAX(0,$FD252-$EN252)</f>
        <v>#N/A</v>
      </c>
      <c r="IT252" s="217" t="e">
        <f t="shared" ca="1" si="911"/>
        <v>#N/A</v>
      </c>
      <c r="IU252" s="217" t="e">
        <f t="shared" ca="1" si="875"/>
        <v>#N/A</v>
      </c>
      <c r="IV252" s="217" t="e">
        <f t="shared" ca="1" si="912"/>
        <v>#N/A</v>
      </c>
      <c r="IW252" s="217" t="e">
        <f ca="1">IF(OR($AW252=1,AND($AW252=0, Control!$B$18=1,$EN252&lt;&gt;0)), $IQ252-$IU252, $IQ252)</f>
        <v>#N/A</v>
      </c>
      <c r="IX252" s="218" t="e">
        <f t="shared" ca="1" si="762"/>
        <v>#N/A</v>
      </c>
      <c r="IY252" s="218" t="e">
        <f ca="1">MAX(0,$IQ252-$EB252*Control!$C$159)</f>
        <v>#N/A</v>
      </c>
      <c r="IZ252" s="218" t="e">
        <f t="shared" ca="1" si="763"/>
        <v>#N/A</v>
      </c>
      <c r="JA252" s="216" t="e">
        <f t="shared" ca="1" si="764"/>
        <v>#N/A</v>
      </c>
      <c r="JB252" s="217" t="e">
        <f t="shared" ca="1" si="765"/>
        <v>#N/A</v>
      </c>
      <c r="JC252" s="222" t="e">
        <f ca="1">MAX(Control!$C$157*$EK252-$JT252, 0)/Control!$C$162</f>
        <v>#N/A</v>
      </c>
      <c r="JD252" s="218" t="e">
        <f t="shared" ca="1" si="766"/>
        <v>#N/A</v>
      </c>
      <c r="JE252" s="218" t="e">
        <f t="shared" ca="1" si="767"/>
        <v>#N/A</v>
      </c>
      <c r="JF252" s="218" t="e">
        <f t="shared" ca="1" si="876"/>
        <v>#N/A</v>
      </c>
      <c r="JG252" s="218" t="e">
        <f t="shared" ca="1" si="768"/>
        <v>#N/A</v>
      </c>
      <c r="JH252" s="217" t="e">
        <f t="shared" ca="1" si="877"/>
        <v>#N/A</v>
      </c>
      <c r="JI252" s="217" t="e">
        <f t="shared" ca="1" si="878"/>
        <v>#N/A</v>
      </c>
      <c r="JJ252" s="217" t="e">
        <f t="shared" ca="1" si="913"/>
        <v>#N/A</v>
      </c>
      <c r="JK252" s="217" t="e">
        <f ca="1">IF(Control!$C$114=1,IF(Control!$B$24=0,MAX(0,$JI252)*$GN252/Control!$C$64,(MAX(0,MIN($JI252,$JJ252*$GN252/Control!$C$64),0))))</f>
        <v>#N/A</v>
      </c>
      <c r="JL252" s="217" t="e">
        <f ca="1">$IK252/Control!$C$64-$JK252+$HQ252</f>
        <v>#N/A</v>
      </c>
      <c r="JM252" s="217" t="e">
        <f ca="1">IF(Control!$C$114=1,($JB252/(IF($JI252&lt;&gt;0,$JI252,1)))*$JK252,0)</f>
        <v>#N/A</v>
      </c>
      <c r="JN252" s="217" t="e">
        <f ca="1">IF(Control!$C$114=1,($JG252/(IF($JI252&lt;&gt;0,$JI252,1)))*$JK252, 0)</f>
        <v>#N/A</v>
      </c>
      <c r="JO252" s="218" t="e">
        <f t="shared" ca="1" si="769"/>
        <v>#N/A</v>
      </c>
      <c r="JP252" s="218" t="e">
        <f ca="1">MIN(($IY252+$IO252)*Control!$C$151, $JF252-$EH252*Control!$C$161)</f>
        <v>#N/A</v>
      </c>
      <c r="JQ252" s="218" t="e">
        <f t="shared" ca="1" si="770"/>
        <v>#N/A</v>
      </c>
      <c r="JR252" s="217" t="e">
        <f ca="1">IF($CP252-Control!$C$150&lt;0, 0, $JQ252/Control!$C$162)</f>
        <v>#N/A</v>
      </c>
      <c r="JS252" s="218" t="e">
        <f t="shared" ca="1" si="771"/>
        <v>#N/A</v>
      </c>
      <c r="JT252" s="218" t="e">
        <f t="shared" ca="1" si="879"/>
        <v>#N/A</v>
      </c>
      <c r="JU252" s="218" t="e">
        <f t="shared" ca="1" si="772"/>
        <v>#N/A</v>
      </c>
      <c r="JV252" s="218" t="e">
        <f t="shared" ca="1" si="773"/>
        <v>#N/A</v>
      </c>
      <c r="JW252" s="216" t="e">
        <f t="shared" ca="1" si="774"/>
        <v>#N/A</v>
      </c>
      <c r="JX252" s="91" t="e">
        <f t="shared" ca="1" si="775"/>
        <v>#N/A</v>
      </c>
      <c r="JY252" s="218" t="e">
        <f t="shared" ca="1" si="776"/>
        <v>#N/A</v>
      </c>
      <c r="JZ252" s="217" t="e">
        <f ca="1">IF(Control!$C$114=1,($IZ252/(IF($JI252&lt;&gt;0,$JI252,1)))*$JK252, 0)</f>
        <v>#N/A</v>
      </c>
      <c r="KA252" s="218" t="e">
        <f t="shared" ca="1" si="914"/>
        <v>#N/A</v>
      </c>
      <c r="KB252" s="218" t="e">
        <f t="shared" ca="1" si="880"/>
        <v>#N/A</v>
      </c>
      <c r="KC252" s="218" t="e">
        <f t="shared" ca="1" si="777"/>
        <v>#N/A</v>
      </c>
      <c r="KD252" s="218" t="e">
        <f t="shared" ca="1" si="778"/>
        <v>#N/A</v>
      </c>
      <c r="KE252" s="218" t="e">
        <f t="shared" ca="1" si="779"/>
        <v>#N/A</v>
      </c>
      <c r="KF252" s="218" t="e">
        <f t="shared" ca="1" si="780"/>
        <v>#N/A</v>
      </c>
      <c r="KG252" s="216" t="e">
        <f t="shared" ca="1" si="781"/>
        <v>#N/A</v>
      </c>
      <c r="KH252" s="221" t="e">
        <f ca="1">IF(Control!$B$24=0,1,MAX(0.001,MIN(1,IF(($IF252-$IE252)&lt;&gt;0,($KG252-$IE252)/($IF252-$IE252),1))))</f>
        <v>#N/A</v>
      </c>
      <c r="KI252" s="222" t="e">
        <f ca="1">IF(Control!$C$114=1, $KI251+ $KH251, 0)</f>
        <v>#N/A</v>
      </c>
      <c r="KJ252" s="217" t="e">
        <f t="shared" ca="1" si="782"/>
        <v>#N/A</v>
      </c>
      <c r="KK252" s="218" t="e">
        <f t="shared" ca="1" si="783"/>
        <v>#N/A</v>
      </c>
      <c r="KL252" s="274" t="e">
        <f ca="1">IF(Control!$B$26=3,4000000000*EXP(-8400/($G252+273)),IF(Control!$B$26=4,4000000000*EXP(-8400/($G252+273))*($KT252),0))</f>
        <v>#DIV/0!</v>
      </c>
      <c r="KM252" s="274" t="e">
        <f ca="1">IF(Control!$B$26=3,5600000000000*EXP(-9800/($G252+273)),IF(Control!$B$26=4,5600000000000*EXP(-9800/($G252+273))*$KT252,0))</f>
        <v>#DIV/0!</v>
      </c>
      <c r="KN252" s="454" t="e">
        <f t="shared" ca="1" si="881"/>
        <v>#DIV/0!</v>
      </c>
      <c r="KO252" s="274" t="e">
        <f t="shared" ca="1" si="882"/>
        <v>#DIV/0!</v>
      </c>
      <c r="KP252" s="454" t="e">
        <f t="shared" ca="1" si="784"/>
        <v>#DIV/0!</v>
      </c>
      <c r="KQ252" s="454" t="e">
        <f t="shared" ca="1" si="785"/>
        <v>#DIV/0!</v>
      </c>
      <c r="KR252" s="454" t="e">
        <f t="shared" ca="1" si="786"/>
        <v>#DIV/0!</v>
      </c>
      <c r="KS252" s="454" t="e">
        <f t="shared" ca="1" si="787"/>
        <v>#DIV/0!</v>
      </c>
      <c r="KT252" s="455" t="e">
        <f t="shared" ca="1" si="788"/>
        <v>#DIV/0!</v>
      </c>
      <c r="KU252" s="456" t="e">
        <f ca="1">IF($CP252-Control!$C$149&lt;0, IF($NT252-0.01&lt;0,0,1),0)</f>
        <v>#N/A</v>
      </c>
      <c r="KV252" s="456" t="e">
        <f ca="1">IF(Control!$C$114=1,MAX(0,MIN(Control!$C$125*$KW252*$GN252,$KW252)))</f>
        <v>#DIV/0!</v>
      </c>
      <c r="KW252" s="456" t="e">
        <f t="shared" ca="1" si="915"/>
        <v>#DIV/0!</v>
      </c>
      <c r="KX252" s="457" t="e">
        <f ca="1">IF($CP252-Control!$C$149&lt;0, IF($MR252-$OM252&lt;0,0,1),0)</f>
        <v>#N/A</v>
      </c>
      <c r="KY252" s="167">
        <f t="shared" ca="1" si="883"/>
        <v>248</v>
      </c>
      <c r="KZ252" s="168">
        <f ca="1">1370*(1+0.033*COS(2*Control!$C$138*$AH252/365))</f>
        <v>1350.610203203546</v>
      </c>
      <c r="LA252" s="169">
        <f t="shared" ca="1" si="884"/>
        <v>0.98584656604888798</v>
      </c>
      <c r="LB252" s="169">
        <f t="shared" ca="1" si="885"/>
        <v>0.10612169709921272</v>
      </c>
      <c r="LC252" s="169">
        <f ca="1">ACOS(-TAN((2*Control!$B$8/360))*TAN(Calculations!$LB252))</f>
        <v>1.6024602521602078</v>
      </c>
      <c r="LD252" s="169">
        <f ca="1">((24*60)/PI())*0.082*$LA252*(($LC252*SIN(Control!$B$8*2*PI()/360))*SIN($LB252)+COS(Control!$B$8*2*PI()/360)*COS($LB252)*SIN($LC252))</f>
        <v>27.629194596046489</v>
      </c>
      <c r="LE252" s="170">
        <f t="shared" ca="1" si="789"/>
        <v>27.851101377356994</v>
      </c>
      <c r="LF252" s="170">
        <f ca="1">SIN(Control!$C$139*Control!$B$8)*SIN($HD252)</f>
        <v>8.3980485698523705E-2</v>
      </c>
      <c r="LG252" s="170">
        <f ca="1">COS(Control!$C$139*Control!$B$8)*COS($HD252)</f>
        <v>0.61215357396912118</v>
      </c>
      <c r="LH252" s="170">
        <f ca="1">12*(1+2*ASIN(MAX(-1,MIN(1,$LF252/$LG252))/Control!$C$138))</f>
        <v>13.048374552680643</v>
      </c>
      <c r="LI252" s="170">
        <f ca="1">12*(1+2*ASIN(MAX(-1,MIN(1,(-SIN(-4*Control!$C$139)+$LF252)/$LG252))/Control!$C$138))</f>
        <v>13.920624034192242</v>
      </c>
      <c r="LJ252" s="168">
        <f ca="1">3600*($LH252*$LF252+24*$LG252*SQRT(1-$LK252*$LK252)/Control!$C$138)</f>
        <v>20621.124667425342</v>
      </c>
      <c r="LK252" s="170">
        <f t="shared" ca="1" si="790"/>
        <v>0.13718859003632955</v>
      </c>
      <c r="LL252" s="170">
        <f t="shared" ca="1" si="791"/>
        <v>0</v>
      </c>
      <c r="LM252" s="171">
        <f ca="1">Control!$C$145*$AB252</f>
        <v>6.6660906138995932E-2</v>
      </c>
      <c r="LN252" s="170">
        <f t="shared" ca="1" si="886"/>
        <v>0.54</v>
      </c>
      <c r="LO252" s="170">
        <f t="shared" ca="1" si="792"/>
        <v>0</v>
      </c>
      <c r="LP252" s="170">
        <f ca="1">Control!$C$140*((($D252+273.16)^4+($E252+273.16)^4)/2)*(0.34-0.14*SQRT($Y252))*(1.35*$AQ252/(0.75*$LD252)-0.35)</f>
        <v>-3.2464704755046001</v>
      </c>
      <c r="LQ252" s="170">
        <f ca="1">Control!$C$140*($G252+273)^4*(0.56-0.079*SQRT($Y252*10))*(0.1+0.9*$LO252)</f>
        <v>1.5241745131704001</v>
      </c>
      <c r="LR252" s="170">
        <f ca="1">$AQ252*(1-Control!$C$142)-$LQ252</f>
        <v>-1.5241745131704001</v>
      </c>
      <c r="LS252" s="170">
        <f ca="1">$AQ252*(1-Control!$C$143)-$LQ252</f>
        <v>-1.5241745131704001</v>
      </c>
      <c r="LT252" s="170">
        <f ca="1">$AQ252*(1-Control!$C$144)-$LQ252</f>
        <v>-1.5241745131704001</v>
      </c>
      <c r="LU252" s="169">
        <f ca="1">(1-Control!$C$144)*AQ252-LP252</f>
        <v>3.2464704755046001</v>
      </c>
      <c r="LV252" s="172">
        <f t="shared" ca="1" si="793"/>
        <v>0.79430000000000012</v>
      </c>
      <c r="LW252" s="170">
        <f t="shared" ca="1" si="794"/>
        <v>1.5886000000000002</v>
      </c>
      <c r="LX252" s="170">
        <f ca="1">($AC252*($LR252/Control!$C$141)+$LM252*$LV252)/($AC252+$LM252)</f>
        <v>0.23530094218323697</v>
      </c>
      <c r="LY252" s="170">
        <f ca="1">($AC252*($LS252/Control!$C$141)+$LM252*$LV252)/($AC252+$LM252)</f>
        <v>0.23530094218323697</v>
      </c>
      <c r="LZ252" s="170">
        <f t="shared" ca="1" si="795"/>
        <v>0.23530094218323697</v>
      </c>
      <c r="MA252" s="170">
        <f t="shared" ca="1" si="796"/>
        <v>0.23530094218323697</v>
      </c>
      <c r="MB252" s="170" t="e">
        <f t="shared" ca="1" si="797"/>
        <v>#N/A</v>
      </c>
      <c r="MC252" s="170">
        <f t="shared" ca="1" si="887"/>
        <v>0.6018</v>
      </c>
      <c r="MD252" s="170">
        <f t="shared" ca="1" si="798"/>
        <v>0.52989392535414004</v>
      </c>
      <c r="ME252" s="170">
        <f ca="1">($AC252*($LT252/Control!$C$141)+$LM252*$LW252)/($AC252+$LM252)</f>
        <v>0.71612369323045078</v>
      </c>
      <c r="MF252" s="170" t="e">
        <f ca="1">IF(Control!$B$16&gt;=1000,0.92,IF(AND(720&lt;=Control!$B$16,1000&gt;Control!$B$16),(0.95+(Control!$B$16-720)*((0.92-0.95)/(1000-720))),IF(AND(360&lt;=Control!$B$16,720&gt;Control!$B$16),(1+(Control!$B$16-360)*((0.95-1)/(720-360))),IF(AND(40&lt;=Control!$B$16,360&gt;Control!$B$16),(1.05+(Control!$B$16-40)*((1.05-1)/(360-40)))))))</f>
        <v>#N/A</v>
      </c>
      <c r="MG252" s="170">
        <f t="shared" ca="1" si="799"/>
        <v>0.71612369323045078</v>
      </c>
      <c r="MH252" s="170" t="e">
        <f t="shared" ca="1" si="926"/>
        <v>#N/A</v>
      </c>
      <c r="MI252" s="170" t="e">
        <f t="shared" ca="1" si="926"/>
        <v>#N/A</v>
      </c>
      <c r="MJ252" s="170" t="e">
        <f ca="1">MAX(0.0001, Control!$C$132*$MI252*$DL252)</f>
        <v>#N/A</v>
      </c>
      <c r="MK252" s="170">
        <f ca="1">1/(0.76+1.5*($MG252/10))-(5-Control!$C$110)*0.1</f>
        <v>1.002845988140797</v>
      </c>
      <c r="ML252" s="173">
        <f ca="1">IF(Control!$C$110&lt;3,$MK252+($MG252-0.6)/(Control!$C$110*(Control!$C$110+3)), MAX(0.1, MIN(0.95,$MK252)))</f>
        <v>0.95</v>
      </c>
      <c r="MM252" s="173">
        <f ca="1">IF(Control!$C$110&lt;3,$MK252+(($MI252/10)-0.6)/(Control!$C$110*(Control!$C$110+3)), MAX(0.1, MIN(0.95,$MK252)))</f>
        <v>0.95</v>
      </c>
      <c r="MN252" s="173">
        <f ca="1">(1-$MM252)*(Control!$C$128-Control!$C$127)+Control!$C$127</f>
        <v>0.16</v>
      </c>
      <c r="MO252" s="170" t="e">
        <f ca="1">MAX(0,MIN(1,($MS252-Control!$C$127)/($MN252-Control!$C$127)))</f>
        <v>#DIV/0!</v>
      </c>
      <c r="MP252" s="173" t="e">
        <f ca="1">1/(0.76+1.5*$MI252)-(5-Control!$C$110)*0.1</f>
        <v>#N/A</v>
      </c>
      <c r="MQ252" s="172" t="e">
        <f t="shared" ca="1" si="916"/>
        <v>#DIV/0!</v>
      </c>
      <c r="MR252" s="168" t="e">
        <f t="shared" ca="1" si="888"/>
        <v>#DIV/0!</v>
      </c>
      <c r="MS252" s="173" t="e">
        <f ca="1">MAX(Control!$C$127, MIN(Control!$C$135, $MR252/MAX(0.0001,$CY252)))</f>
        <v>#DIV/0!</v>
      </c>
      <c r="MT252" s="168" t="e">
        <f ca="1">(Control!$C$128-$MS252)*Control!$C$74</f>
        <v>#DIV/0!</v>
      </c>
      <c r="MU252" s="168" t="e">
        <f ca="1">(Control!$C$135-$MS252)*Control!$C$74</f>
        <v>#DIV/0!</v>
      </c>
      <c r="MV252" s="168" t="e">
        <f t="shared" ca="1" si="889"/>
        <v>#DIV/0!</v>
      </c>
      <c r="MW252" s="168" t="e">
        <f t="shared" ca="1" si="890"/>
        <v>#DIV/0!</v>
      </c>
      <c r="MX252" s="171" t="e">
        <f ca="1">MAX(Control!$C$127, MIN(Control!$C$135, $MW252/MAX(0.0001,Control!$C$119-$CY252)))</f>
        <v>#DIV/0!</v>
      </c>
      <c r="MY252" s="54" t="e">
        <f ca="1">IF(Control!$C$114=1, $CX252*$MX252, 0)</f>
        <v>#DIV/0!</v>
      </c>
      <c r="MZ252" s="54" t="e">
        <f t="shared" ca="1" si="891"/>
        <v>#N/A</v>
      </c>
      <c r="NA252" s="168" t="e">
        <f ca="1">(Control!$C$128-$MX252)*(Control!$C$119-Control!$C$74)</f>
        <v>#DIV/0!</v>
      </c>
      <c r="NB252" s="168" t="e">
        <f ca="1">(Control!$C$135-$MX252)*(Control!$C$119-Control!$C$74)</f>
        <v>#DIV/0!</v>
      </c>
      <c r="NC252" s="174" t="e">
        <f t="shared" ca="1" si="892"/>
        <v>#DIV/0!</v>
      </c>
      <c r="ND252" s="54">
        <f ca="1">IF(Control!$C$58=2, IF(OR(Control!$B$218=$AH252,Control!$B$219=$AH252, Control!$B$220=$AH252, Control!$B$221=$AH252, Control!$B$222=$AH252, Control!$B$223=$AH252, Control!$B$224=$AH252, Control!$B$225=$AH252, Control!$B$226=$AH252, Control!$B$227=$AH252, Control!$B$228=$AH252), 1, 0), 0)</f>
        <v>0</v>
      </c>
      <c r="NE252" s="54">
        <f ca="1">IF($ND252=0,0, VLOOKUP($AH252,Control!$B$218:$C$228,2))</f>
        <v>0</v>
      </c>
      <c r="NF252" s="168" t="e">
        <f ca="1">$CY252*(Control!$C$128-Control!$C$127)</f>
        <v>#N/A</v>
      </c>
      <c r="NG252" s="54" t="e">
        <f ca="1">IF(Control!$C$58=2, $NI251-$NJ251, 0)</f>
        <v>#DIV/0!</v>
      </c>
      <c r="NH252" s="54" t="e">
        <f ca="1">IF(AND(Control!$C$58=1, $MS251&lt;= ($MN251+0.02), $I251&lt;10), 0, IF(Control!$C$58=2, $NG251, 0))</f>
        <v>#DIV/0!</v>
      </c>
      <c r="NI252" s="54" t="e">
        <f ca="1">IF(Control!$C$58=2, $NE252+$NH252,0)</f>
        <v>#DIV/0!</v>
      </c>
      <c r="NJ252" s="54" t="e">
        <f ca="1">IF(AND(Control!$C$58=1, $MS252&lt;= ($MN252+0.02), $I252&lt;10), MAX(0, MIN(10, 0.7*($NF252-$MV252))), IF(Control!$C$58=2, MIN(10,$NI252),0))</f>
        <v>#DIV/0!</v>
      </c>
      <c r="NK252" s="54" t="e">
        <f t="shared" ca="1" si="800"/>
        <v>#DIV/0!</v>
      </c>
      <c r="NL252" s="173" t="e">
        <f ca="1">(1-Control!$C$73)*$I252+$NJ252</f>
        <v>#DIV/0!</v>
      </c>
      <c r="NM252" s="172" t="e">
        <f ca="1">IF($NL252&lt;0.5, $MB252* MAX(0, MIN(1, (SQRT($NC252)-SQRT($NC252-1))*Control!$C$71)),0)</f>
        <v>#DIV/0!</v>
      </c>
      <c r="NN252" s="170" t="e">
        <f ca="1">IF($NL252&gt;=5, $MB252, MAX(0,MIN($MB252, $NM252+$NL252,($MS252-Control!$C$129))))</f>
        <v>#DIV/0!</v>
      </c>
      <c r="NO252" s="54">
        <f>IF(Control!$C$133&lt;&gt;1, Control!$C$135-Control!$C$131, 0)</f>
        <v>0.38</v>
      </c>
      <c r="NP252" s="54" t="e">
        <f t="shared" ca="1" si="801"/>
        <v>#DIV/0!</v>
      </c>
      <c r="NQ252" s="173" t="e">
        <f ca="1">MAX(0,MIN(1,(Control!$C$135-$MS252)/(Control!$C$135-$NO252)))</f>
        <v>#DIV/0!</v>
      </c>
      <c r="NR252" s="170" t="e">
        <f ca="1">IF(Control!$C$133&lt;&gt;1, $NQ252+((1-$NP252/4)*(1-$NQ252)),1)</f>
        <v>#DIV/0!</v>
      </c>
      <c r="NS252" s="170" t="e">
        <f ca="1">IF(Control!$B$31=0,$MJ252,MAX(0,MIN($MV252,$MO252*$NR252*$MJ252)))</f>
        <v>#DIV/0!</v>
      </c>
      <c r="NT252" s="170" t="e">
        <f t="shared" ca="1" si="917"/>
        <v>#DIV/0!</v>
      </c>
      <c r="NU252" s="170" t="e">
        <f t="shared" ca="1" si="893"/>
        <v>#N/A</v>
      </c>
      <c r="NV252" s="170" t="e">
        <f t="shared" ca="1" si="802"/>
        <v>#N/A</v>
      </c>
      <c r="NW252" s="175" t="e">
        <f t="shared" ca="1" si="803"/>
        <v>#DIV/0!</v>
      </c>
      <c r="NX252" s="170" t="e">
        <f ca="1">MIN(Control!$C$72+$MU252, $NW252)</f>
        <v>#DIV/0!</v>
      </c>
      <c r="NY252" s="170" t="e">
        <f ca="1">IF($MT252&lt;=$NX252,MIN(Control!$C$72+$NB252,$NX252-$MT252),0)</f>
        <v>#DIV/0!</v>
      </c>
      <c r="NZ252" s="54" t="e">
        <f ca="1">IF(Control!$C$114=1,  $CX252*($MX252-Control!$C$127), 0)</f>
        <v>#DIV/0!</v>
      </c>
      <c r="OA252" s="170" t="e">
        <f t="shared" ca="1" si="804"/>
        <v>#DIV/0!</v>
      </c>
      <c r="OB252" s="170" t="e">
        <f ca="1">IF($NA252 &lt;=$NY252, MIN(Control!$C$72, $NY252-$NA252), 0)</f>
        <v>#DIV/0!</v>
      </c>
      <c r="OC252" s="168" t="e">
        <f t="shared" ca="1" si="805"/>
        <v>#DIV/0!</v>
      </c>
      <c r="OD252" s="168" t="e">
        <f t="shared" ca="1" si="894"/>
        <v>#DIV/0!</v>
      </c>
      <c r="OE252" s="170">
        <f ca="1">Control!$C$73*$I252</f>
        <v>0</v>
      </c>
      <c r="OF252" s="176" t="e">
        <f t="shared" ca="1" si="806"/>
        <v>#DIV/0!</v>
      </c>
      <c r="OG252" s="168" t="e">
        <f t="shared" ca="1" si="807"/>
        <v>#DIV/0!</v>
      </c>
      <c r="OH252" s="168" t="e">
        <f t="shared" ca="1" si="808"/>
        <v>#DIV/0!</v>
      </c>
      <c r="OI252" s="168" t="e">
        <f t="shared" ca="1" si="809"/>
        <v>#DIV/0!</v>
      </c>
      <c r="OJ252" s="168" t="e">
        <f t="shared" ca="1" si="810"/>
        <v>#DIV/0!</v>
      </c>
      <c r="OK252" s="204" t="e">
        <f t="shared" ca="1" si="811"/>
        <v>#DIV/0!</v>
      </c>
      <c r="OL252" s="177">
        <f>Control!$C$127</f>
        <v>0.15</v>
      </c>
      <c r="OM252" s="182" t="e">
        <f t="shared" ca="1" si="812"/>
        <v>#N/A</v>
      </c>
      <c r="ON252" s="177">
        <f>Control!$C$128</f>
        <v>0.35</v>
      </c>
      <c r="OO252" s="182" t="e">
        <f t="shared" ca="1" si="813"/>
        <v>#N/A</v>
      </c>
      <c r="OP252" s="138">
        <f t="shared" ca="1" si="895"/>
        <v>0</v>
      </c>
      <c r="OQ252" s="138" t="e">
        <f t="shared" ca="1" si="918"/>
        <v>#DIV/0!</v>
      </c>
      <c r="OR252" s="138" t="e">
        <f t="shared" ca="1" si="896"/>
        <v>#DIV/0!</v>
      </c>
      <c r="OS252" s="137" t="e">
        <f t="shared" ca="1" si="919"/>
        <v>#DIV/0!</v>
      </c>
      <c r="OT252" s="139" t="e">
        <f t="shared" ca="1" si="920"/>
        <v>#DIV/0!</v>
      </c>
      <c r="OU252" s="138" t="e">
        <f t="shared" ca="1" si="921"/>
        <v>#N/A</v>
      </c>
      <c r="OV252" s="138" t="e">
        <f t="shared" ca="1" si="922"/>
        <v>#DIV/0!</v>
      </c>
      <c r="OW252" s="138" t="e">
        <f t="shared" ca="1" si="897"/>
        <v>#DIV/0!</v>
      </c>
      <c r="OX252" s="138" t="e">
        <f t="shared" ca="1" si="898"/>
        <v>#DIV/0!</v>
      </c>
      <c r="OY252" s="138" t="e">
        <f t="shared" ca="1" si="899"/>
        <v>#DIV/0!</v>
      </c>
      <c r="OZ252" s="138" t="e">
        <f t="shared" ca="1" si="814"/>
        <v>#DIV/0!</v>
      </c>
      <c r="PA252" s="138" t="e">
        <f t="shared" ca="1" si="815"/>
        <v>#DIV/0!</v>
      </c>
      <c r="PB252" s="55">
        <f>IF(Control!$C$61="T", IF(Control!$C$65="F", IF($AH$6-Control!$C$60&lt;0,0,1), IF(365+$AH$6-Control!$C$60&lt;0,0,1)),0)</f>
        <v>0</v>
      </c>
      <c r="PC252" s="55">
        <f ca="1">IF(Control!$C$65="F", IF($AH$6-$HF252&lt;0,0,1), IF(365+$AH$6-$HF252&lt;0,0,1))</f>
        <v>1</v>
      </c>
      <c r="PD252" s="444">
        <f>Control!$C$118</f>
        <v>1500</v>
      </c>
      <c r="PE252" s="180" t="e">
        <f t="shared" ca="1" si="816"/>
        <v>#N/A</v>
      </c>
      <c r="PF252" s="445">
        <f t="shared" ca="1" si="900"/>
        <v>0.71612369323045078</v>
      </c>
      <c r="PT252" s="186"/>
      <c r="PU252" s="186"/>
      <c r="PV252" s="94"/>
      <c r="PW252" s="94"/>
      <c r="PX252" s="94"/>
      <c r="PY252" s="94"/>
      <c r="PZ252" s="94"/>
      <c r="QA252" s="94"/>
      <c r="QB252" s="94"/>
      <c r="QC252" s="94"/>
      <c r="QD252" s="94"/>
      <c r="QE252" s="94"/>
      <c r="QF252" s="94"/>
      <c r="QG252" s="94"/>
      <c r="QH252" s="94"/>
      <c r="QI252" s="94"/>
      <c r="QJ252" s="94"/>
      <c r="QK252" s="94"/>
      <c r="QL252" s="94"/>
      <c r="QM252" s="94"/>
      <c r="QN252" s="94"/>
      <c r="QO252" s="94"/>
      <c r="QP252" s="94"/>
    </row>
    <row r="253" spans="1:458" s="2" customFormat="1" x14ac:dyDescent="0.2">
      <c r="A253" s="395">
        <v>5</v>
      </c>
      <c r="B253" s="396">
        <v>9</v>
      </c>
      <c r="C253" s="387">
        <f ca="1">Weather_data!$B252</f>
        <v>0</v>
      </c>
      <c r="D253" s="388">
        <f ca="1">Weather_data!$F252</f>
        <v>0</v>
      </c>
      <c r="E253" s="388">
        <f ca="1">Weather_data!$E252</f>
        <v>0</v>
      </c>
      <c r="F253" s="388">
        <f t="shared" ca="1" si="817"/>
        <v>0</v>
      </c>
      <c r="G253" s="388">
        <f ca="1">AVERAGE($D253:$E253)+Control!$B$9</f>
        <v>0</v>
      </c>
      <c r="H253" s="388">
        <f ca="1">Weather_data!$G252</f>
        <v>0</v>
      </c>
      <c r="I253" s="388">
        <f ca="1">Weather_data!$I252</f>
        <v>0</v>
      </c>
      <c r="J253" s="388">
        <f ca="1">Weather_data!$H252</f>
        <v>0</v>
      </c>
      <c r="K253" s="389">
        <f ca="1">Weather_data!$D252</f>
        <v>0</v>
      </c>
      <c r="L253" s="388" t="e">
        <f t="shared" ca="1" si="818"/>
        <v>#N/A</v>
      </c>
      <c r="M253" s="388" t="e">
        <f t="shared" ca="1" si="696"/>
        <v>#N/A</v>
      </c>
      <c r="N253" s="388">
        <f t="shared" ca="1" si="697"/>
        <v>-2.4938471739279787E-12</v>
      </c>
      <c r="O253" s="388">
        <f t="shared" ca="1" si="819"/>
        <v>2.4938471739279786E-11</v>
      </c>
      <c r="P253" s="390">
        <v>3</v>
      </c>
      <c r="Q253" s="388">
        <f ca="1">MAX($G253-Control!$C$107,0)</f>
        <v>0</v>
      </c>
      <c r="R253" s="388">
        <f t="shared" ca="1" si="820"/>
        <v>0</v>
      </c>
      <c r="S253" s="388">
        <f t="shared" ca="1" si="698"/>
        <v>0</v>
      </c>
      <c r="T253" s="388">
        <f t="shared" ca="1" si="699"/>
        <v>0</v>
      </c>
      <c r="U253" s="59">
        <f t="shared" ca="1" si="700"/>
        <v>0</v>
      </c>
      <c r="V253" s="391">
        <f ca="1">MAX(0,MIN(Control!$C$100-Control!$C$99,$G253-Control!$C$99)*Control!$C$63)</f>
        <v>0</v>
      </c>
      <c r="W253" s="388">
        <f t="shared" ca="1" si="821"/>
        <v>0</v>
      </c>
      <c r="X253" s="388">
        <f t="shared" ca="1" si="822"/>
        <v>0.6110000000000001</v>
      </c>
      <c r="Y253" s="388">
        <f t="shared" ca="1" si="701"/>
        <v>0</v>
      </c>
      <c r="Z253" s="388">
        <f t="shared" ca="1" si="823"/>
        <v>0.61058800000000002</v>
      </c>
      <c r="AA253" s="388">
        <f t="shared" ca="1" si="702"/>
        <v>0.6018</v>
      </c>
      <c r="AB253" s="388">
        <f ca="1">101.3*EXP(-0.034*Control!$C$66/($G253+273))</f>
        <v>100.69623283836242</v>
      </c>
      <c r="AC253" s="392">
        <f t="shared" ca="1" si="703"/>
        <v>4.3460251046025113E-2</v>
      </c>
      <c r="AD253" s="392">
        <f t="shared" ca="1" si="704"/>
        <v>4.4450382862832649E-2</v>
      </c>
      <c r="AE253" s="388">
        <f t="shared" ca="1" si="705"/>
        <v>0</v>
      </c>
      <c r="AF253" s="388">
        <f ca="1">MAX(0,$G253-Control!$C$92)</f>
        <v>0</v>
      </c>
      <c r="AG253" s="393">
        <f t="shared" ca="1" si="706"/>
        <v>249</v>
      </c>
      <c r="AH253" s="389">
        <f t="shared" ca="1" si="707"/>
        <v>249</v>
      </c>
      <c r="AI253" s="388">
        <f t="shared" ca="1" si="824"/>
        <v>0.10012415108591148</v>
      </c>
      <c r="AJ253" s="388">
        <f ca="1">IF(Control!$C$60&lt;=0,$HH253,$HI253)</f>
        <v>1</v>
      </c>
      <c r="AK253" s="388">
        <f t="shared" ca="1" si="708"/>
        <v>2.9092008682557537</v>
      </c>
      <c r="AL253" s="388">
        <f t="shared" ca="1" si="709"/>
        <v>-1.1000414121276058E-17</v>
      </c>
      <c r="AM253" s="388">
        <f t="shared" ca="1" si="710"/>
        <v>2.9092008682557537</v>
      </c>
      <c r="AN253" s="388">
        <f t="shared" ca="1" si="711"/>
        <v>9.1744243442040796E-2</v>
      </c>
      <c r="AO253" s="388">
        <f ca="1">-0.10453/COS(Control!$B$8*PI()/180)*COS(AN253)</f>
        <v>-0.1690708251525892</v>
      </c>
      <c r="AP253" s="388">
        <f ca="1">ACOS(AO253-TAN(Control!$B$8*PI()/180)*TAN(AN253))</f>
        <v>1.8617110955662199</v>
      </c>
      <c r="AQ253" s="388">
        <f t="shared" ca="1" si="825"/>
        <v>0</v>
      </c>
      <c r="AR253" s="394">
        <f t="shared" ca="1" si="712"/>
        <v>0</v>
      </c>
      <c r="AS253" s="436">
        <f ca="1">IF(Control!$B$18=2,(IF(OR($AH253=Control!$B$175,$AH253=Control!$B$176,$AH253=Control!$B$177,$AH253=Control!$B$178,$AH253=Control!$B$179,$AH253=Control!$B$180,$AH253=Control!$B$181,$AH253=Control!$B$182,$AH253=Control!$B$183,$AH253=Control!$B$184,$AH253=Control!$B$185),1,0)),0)</f>
        <v>0</v>
      </c>
      <c r="AT253" s="436">
        <f>IF(Control!$B$20=8,IF(AND($AH253&gt;=Control!$B$172,$AH253&lt;=Control!$B$173),1,0),0)</f>
        <v>0</v>
      </c>
      <c r="AU253" s="436">
        <f>IF(Control!$B$20=8,IF($AV252=1,1*$AT253,IF($AT253=1,$AU252+1,$AU252)),0)</f>
        <v>0</v>
      </c>
      <c r="AV253" s="436">
        <f>IF(Control!$B$20=8,IF($AU253&gt;=Control!$B$174,1,0),0)</f>
        <v>0</v>
      </c>
      <c r="AW253" s="436">
        <f ca="1">IF(AND(Control!$B$18=2,Control!$B$171=1), $AV253, $AS253)</f>
        <v>0</v>
      </c>
      <c r="AX253" s="436" t="e">
        <f ca="1">IF(AND(Control!$B$18=1,$EU253&gt;=Control!$B$19),-$AY253,IF(AND(Control!$B$18=2,$AW253=1,$EU253&gt;$DS253),-$AY253, IF(Control!$C$108=0,0, IF(Control!$C$108&lt;&gt;0,1))))</f>
        <v>#N/A</v>
      </c>
      <c r="AY253" s="436" t="e">
        <f t="shared" ca="1" si="826"/>
        <v>#N/A</v>
      </c>
      <c r="AZ253" s="436" t="e">
        <f ca="1">IF(AND(Control!$B$18=1,$EB253&gt;Control!$B$19),$AZ252+1, IF(AND(Control!$B$18=2, $AW253=1, $EB253&gt;$DS253), $AZ252+1,$AZ252))</f>
        <v>#N/A</v>
      </c>
      <c r="BA253" s="587">
        <f>IF(Control!$C$81=0,1,IF($AH253&gt;=Control!$C$82,1,0))</f>
        <v>1</v>
      </c>
      <c r="BB253" s="140" t="e">
        <f ca="1">IF($BA253&gt;$BA252,Control!$C$83,IF($AW253&gt;0,$AW253*Control!$C$84,IF(AND(Control!$B$18=1,EN252&lt;&gt;0),Control!$C$84,0)))</f>
        <v>#N/A</v>
      </c>
      <c r="BC253" s="140" t="e">
        <f t="shared" ca="1" si="827"/>
        <v>#N/A</v>
      </c>
      <c r="BD253" s="140" t="e">
        <f ca="1">BC253*IF(OR($G253&lt;Control!$C$92,$G253&gt;Control!$C$95),0,IF(AND($G253&gt;=Control!$C$92,$G253&lt;=Control!$C$93),$G253-Control!$C$92,IF(AND($G253&gt;Control!$C$93,$G253&lt;=Control!$C$94),Control!$C$93-Control!$C$92,IF(AND($G253&gt;Control!$C$94,$G253&lt;=Control!$C$95),(Control!$C$93-Control!$C$92)*(Control!$C$94-$G253)/(Control!$C$95-Control!$C$94)))))</f>
        <v>#N/A</v>
      </c>
      <c r="BE253" s="140" t="e">
        <f t="shared" ca="1" si="828"/>
        <v>#N/A</v>
      </c>
      <c r="BF253" s="140" t="e">
        <f ca="1">IF($BE253&lt;=Control!$C$86,$BE253,Control!$C$86-$BE253)</f>
        <v>#N/A</v>
      </c>
      <c r="BG253" s="140" t="e">
        <f ca="1">IF(AND($AW253=1,Control!$C$84&lt;9),1,IF($BE253&gt;=Control!$C$86,0,$BC253))</f>
        <v>#N/A</v>
      </c>
      <c r="BH253" s="404" t="e">
        <f ca="1">IF($BG253=0,0,IF($BE253&lt;=Control!$C$86,$BC253*9*($BF253/Control!$C$86),0))</f>
        <v>#N/A</v>
      </c>
      <c r="BI253" s="140" t="e">
        <f ca="1">IF($BG253=1,0,IF($BE253&gt;=Control!$C$86,1,IF(AND($BB253&lt;21,$BB253&gt;=9),1,$BM252)))</f>
        <v>#N/A</v>
      </c>
      <c r="BJ253" s="140" t="e">
        <f ca="1">IF($BF253&lt;0,-$BF253,$BI253*IF(OR($G253&lt;Control!$C$92,$G253&gt;Control!$C$95),0,IF(AND($G253&gt;=Control!$C$92,$G253&lt;=Control!$C$93),$G253-Control!$C$92,IF(AND($G253&gt;Control!$C$93,$G253&lt;=Control!$C$94),Control!$C$93-Control!$C$92,IF(AND($G253&gt;Control!$C$94,$G253&lt;=Control!$C$95),(Control!$C$93-Control!$C$92)*(Control!$C$94-$G253)/(Control!$C$95-Control!$C$94))))))</f>
        <v>#N/A</v>
      </c>
      <c r="BK253" s="140" t="e">
        <f t="shared" ca="1" si="829"/>
        <v>#N/A</v>
      </c>
      <c r="BL253" s="140" t="e">
        <f ca="1">IF($BK253&lt;=Control!$C$87,$BK253,Control!$C$87-$BK253)</f>
        <v>#N/A</v>
      </c>
      <c r="BM253" s="140" t="e">
        <f ca="1">IF(AND($BB253&gt;=9,$BB253&lt;21),1,IF($BK253&gt;=Control!$C$87,0,$BI253))</f>
        <v>#N/A</v>
      </c>
      <c r="BN253" s="404" t="e">
        <f ca="1">IF($BM253=0,0,IF($BK253&lt;=Control!$C$87,$BI253*(9+(21-9)*($BL253/Control!$C$87)),0))</f>
        <v>#N/A</v>
      </c>
      <c r="BO253" s="140" t="e">
        <f ca="1">IF($BM253=1,0,IF($BK253&gt;=Control!$C$87,1,IF(AND($BB253&lt;30,$BB253&gt;=21),1,$BS252)))</f>
        <v>#N/A</v>
      </c>
      <c r="BP253" s="140" t="e">
        <f ca="1">IF($BL253&lt;0,-$BL253,$BO253*IF(OR($G253&lt;Control!$C$92,$G253&gt;Control!$C$95),0,IF(AND($G253&gt;=Control!$C$92,$G253&lt;=Control!$C$93),$G253-Control!$C$92,IF(AND($G253&gt;Control!$C$93,$G253&lt;=Control!$C$94),Control!$C$93-Control!$C$92,IF(AND($G253&gt;Control!$C$94,$G253&lt;=Control!$C$95),(Control!$C$93-Control!$C$92)*(Control!$C$94-$G253)/(Control!$C$95-Control!$C$94))))))</f>
        <v>#N/A</v>
      </c>
      <c r="BQ253" s="140" t="e">
        <f t="shared" ca="1" si="713"/>
        <v>#N/A</v>
      </c>
      <c r="BR253" s="140" t="e">
        <f ca="1">IF($BQ253&lt;=Control!$C$88,$BQ253,Control!$C$88-$BQ253)</f>
        <v>#N/A</v>
      </c>
      <c r="BS253" s="140" t="e">
        <f ca="1">IF(AND($BB253&gt;=21,$BB253&lt;30),1,IF($BQ253&gt;=Control!$C$88,0,$BO253))</f>
        <v>#N/A</v>
      </c>
      <c r="BT253" s="404" t="e">
        <f ca="1">IF($BS253=0,0,IF($BQ253&lt;=Control!$C$88,$BO253*(21+(30-21)*(BR253/Control!$C$88)),0))</f>
        <v>#N/A</v>
      </c>
      <c r="BU253" s="140" t="e">
        <f ca="1">IF(BG253+BM253+BS253=1,0,IF(OR(AND($BB253&lt;60,$BB253&gt;=30),$BQ253&gt;=Control!$C$88),1*$BA253,$BY252))</f>
        <v>#N/A</v>
      </c>
      <c r="BV253" s="140" t="e">
        <f ca="1">IF($BR253&lt;0,-$BR253,$BU253*IF(OR($G253&lt;Control!$C$92,$G253&gt;Control!$C$95),0,IF(AND($G253&gt;=Control!$C$92,$G253&lt;=Control!$C$93),$G253-Control!$C$92,IF(AND($G253&gt;Control!$C$93,$G253&lt;=Control!$C$94),Control!$C$93-Control!$C$92,IF(AND($G253&gt;Control!$C$94,$G253&lt;=Control!$C$95),(Control!$C$93-Control!$C$92)*(Control!$C$94-$G253)/(Control!$C$95-Control!$C$94))))))</f>
        <v>#N/A</v>
      </c>
      <c r="BW253" s="140" t="e">
        <f t="shared" ca="1" si="714"/>
        <v>#N/A</v>
      </c>
      <c r="BX253" s="140" t="e">
        <f ca="1">IF($BW253&lt;=Control!$C$89,$BW253,Control!$C$89-$BW253)</f>
        <v>#N/A</v>
      </c>
      <c r="BY253" s="140" t="e">
        <f ca="1">IF(AND($AJ253&gt;=30,$AJ253&lt;60),1,IF($BW253&gt;=Control!$C$89,0,$BU253))</f>
        <v>#N/A</v>
      </c>
      <c r="BZ253" s="404" t="e">
        <f ca="1">IF($BY253=0,0,IF($BW253&lt;=Control!$C$89,$BU253*(30+(60-30)*(BX253/Control!$C$89)),0))</f>
        <v>#N/A</v>
      </c>
      <c r="CA253" s="140" t="e">
        <f ca="1">IF($BG253+$BM253+$BS253+$BY253=1,0,IF(OR(AND($BB253&lt;65,$BB253&gt;=60),$BW253&gt;=Control!$C$89),1*$BA253,$CE252))</f>
        <v>#N/A</v>
      </c>
      <c r="CB253" s="140" t="e">
        <f ca="1">IF($BX253&lt;0,-$BX253,$CA253*IF(OR($G253&lt;Control!$C$92,$G253&gt;Control!$C$95),0,IF(AND($G253&gt;=Control!$C$92,$G253&lt;=Control!$C$93),$G253-Control!$C$92,IF(AND($G253&gt;Control!$C$93,$G253&lt;=Control!$C$94),Control!$C$93-Control!$C$92,IF(AND($G253&gt;Control!$C$94,$G253&lt;=Control!$C$95),(Control!$C$93-Control!$C$92)*(Control!$C$94-$G253)/(Control!$C$95-Control!$C$94))))))</f>
        <v>#N/A</v>
      </c>
      <c r="CC253" s="140" t="e">
        <f t="shared" ca="1" si="830"/>
        <v>#N/A</v>
      </c>
      <c r="CD253" s="140" t="e">
        <f ca="1">IF($CC253&lt;=Control!$C$90,$CC253,Control!$C$90-$CC253)</f>
        <v>#N/A</v>
      </c>
      <c r="CE253" s="140" t="e">
        <f ca="1">IF(AND($BB253&gt;=60,$BB253&lt;65),1,IF($CC253&gt;=Control!$C$90,0,$CA253))</f>
        <v>#N/A</v>
      </c>
      <c r="CF253" s="404" t="e">
        <f ca="1">IF($CE253=0,0,IF($CC253&lt;=Control!$C$90,$CA253*(60+(65-60)*(CD253/Control!$C$90)),0))</f>
        <v>#N/A</v>
      </c>
      <c r="CG253" s="140" t="e">
        <f ca="1">IF($BG253+$BM253+$BS253+$BY253+$CE253=1,0,IF(OR(AND($BB253&lt;90,$BB253&gt;=65),$CC253&gt;=Control!$C$90),$BA253,$CK252))</f>
        <v>#N/A</v>
      </c>
      <c r="CH253" s="140" t="e">
        <f ca="1">IF($CD253&lt;0,-$CD253,$CG253*IF(OR($G253&lt;Control!$C$92,$G253&gt;Control!$C$95),0,IF(AND($G253&gt;=Control!$C$92,$G253&lt;=Control!$C$93),$G253-Control!$C$92,IF(AND($G253&gt;Control!$C$93,$G253&lt;=Control!$C$94),Control!$C$93-Control!$C$92,IF(AND($G253&gt;Control!$C$94,$G253&lt;=Control!$C$95),(Control!$C$93-Control!$C$92)*(Control!$C$94-$G253)/(Control!$C$95-Control!$C$94))))))</f>
        <v>#N/A</v>
      </c>
      <c r="CI253" s="140" t="e">
        <f t="shared" ca="1" si="831"/>
        <v>#N/A</v>
      </c>
      <c r="CJ253" s="140" t="e">
        <f ca="1">IF($CI253&lt;=Control!$C$91,$CI253,Control!$C$91-$CI253)</f>
        <v>#N/A</v>
      </c>
      <c r="CK253" s="140" t="e">
        <f ca="1">IF(AND($BB253&gt;=65,$BB253&lt;90),1,IF($CI253&gt;=Control!$C$91,0,$CG253))</f>
        <v>#N/A</v>
      </c>
      <c r="CL253" s="404" t="e">
        <f ca="1">IF($CK253=0,0,IF($CI253&lt;=Control!$C$91,$CG253*(65+(90-65)*($CJ253/Control!$C$91)),0))</f>
        <v>#N/A</v>
      </c>
      <c r="CM253" s="140" t="e">
        <f ca="1">IF($BG253+$BM253+$BS253+$BY253+$CE253+$CK253=1,0,IF(OR($BB253&gt;=90,$CI253&gt;=Control!$C$91),$BA253,$CM252))</f>
        <v>#N/A</v>
      </c>
      <c r="CN253" s="140" t="e">
        <f t="shared" ca="1" si="832"/>
        <v>#N/A</v>
      </c>
      <c r="CO253" s="140" t="e">
        <f t="shared" ca="1" si="833"/>
        <v>#N/A</v>
      </c>
      <c r="CP253" s="140" t="e">
        <f t="shared" ca="1" si="834"/>
        <v>#N/A</v>
      </c>
      <c r="CQ253" s="141" t="e">
        <f ca="1">VLOOKUP($CP253,Control!$B$86:$G$91,6)</f>
        <v>#N/A</v>
      </c>
      <c r="CR253" s="141" t="e">
        <f ca="1">(1-$CQ253)*VLOOKUP($CP253,Control!$B$86:$D$91,3)</f>
        <v>#N/A</v>
      </c>
      <c r="CS253" s="141" t="e">
        <f ca="1">(1-$CQ253)*VLOOKUP($CP253,Control!$B$86:$E$91,4)</f>
        <v>#N/A</v>
      </c>
      <c r="CT253" s="141" t="e">
        <f ca="1">(1-$CQ253)*VLOOKUP($CP253,Control!$B$86:$F$91,5)</f>
        <v>#N/A</v>
      </c>
      <c r="CU253" s="141">
        <f t="shared" ca="1" si="835"/>
        <v>0</v>
      </c>
      <c r="CV253" s="583">
        <f t="shared" ca="1" si="836"/>
        <v>0</v>
      </c>
      <c r="CW253" s="142">
        <f t="shared" ca="1" si="837"/>
        <v>249</v>
      </c>
      <c r="CX253" s="612" t="e">
        <f ca="1">IF(Control!$C$114=1,(MIN(Control!$C$120*(IF($NT253-0.01&lt;0,0,1)),Control!$C$119-$CY253)))</f>
        <v>#DIV/0!</v>
      </c>
      <c r="CY253" s="143" t="e">
        <f t="shared" ca="1" si="838"/>
        <v>#N/A</v>
      </c>
      <c r="CZ253" s="144">
        <f t="shared" ca="1" si="715"/>
        <v>0</v>
      </c>
      <c r="DA253" s="144">
        <f t="shared" ca="1" si="716"/>
        <v>0</v>
      </c>
      <c r="DB253" s="144" t="e">
        <f t="shared" ca="1" si="717"/>
        <v>#N/A</v>
      </c>
      <c r="DC253" s="144" t="e">
        <f t="shared" ca="1" si="718"/>
        <v>#N/A</v>
      </c>
      <c r="DD253" s="144" t="e">
        <f t="shared" ca="1" si="923"/>
        <v>#N/A</v>
      </c>
      <c r="DE253" s="143" t="e">
        <f t="shared" ca="1" si="839"/>
        <v>#N/A</v>
      </c>
      <c r="DF253" s="145" t="e">
        <f ca="1">$DR253*EXP(-Control!$C$158*(1-$KH253))</f>
        <v>#N/A</v>
      </c>
      <c r="DG253" s="146" t="e">
        <f ca="1">IF(Control!$C$114=1, $DF253*$EY253, 0)</f>
        <v>#N/A</v>
      </c>
      <c r="DH253" s="147" t="e">
        <f t="shared" ca="1" si="840"/>
        <v>#N/A</v>
      </c>
      <c r="DI253" s="144" t="e">
        <f t="shared" ca="1" si="901"/>
        <v>#N/A</v>
      </c>
      <c r="DJ253" s="147" t="e">
        <f ca="1">$EF253*Control!$C$109</f>
        <v>#N/A</v>
      </c>
      <c r="DK253" s="144" t="e">
        <f t="shared" ca="1" si="841"/>
        <v>#N/A</v>
      </c>
      <c r="DL253" s="144" t="e">
        <f t="shared" ca="1" si="719"/>
        <v>#N/A</v>
      </c>
      <c r="DM253" s="144" t="e">
        <f ca="1">IF(Control!$C$114=1, (1-EXP(-Control!$C$96*$DK253))*$AR253, 0)</f>
        <v>#N/A</v>
      </c>
      <c r="DN253" s="144">
        <f t="shared" ca="1" si="842"/>
        <v>0</v>
      </c>
      <c r="DO253" s="148">
        <f>Control!$C$97</f>
        <v>4</v>
      </c>
      <c r="DP253" s="145" t="e">
        <f t="shared" ca="1" si="843"/>
        <v>#N/A</v>
      </c>
      <c r="DQ253" s="145" t="e">
        <f ca="1">IF(AND($CP253&gt;=0,$CP253&lt;=90),Control!$C$111,Control!$C$111)</f>
        <v>#N/A</v>
      </c>
      <c r="DR253" s="145" t="e">
        <f t="shared" ca="1" si="720"/>
        <v>#N/A</v>
      </c>
      <c r="DS253" s="143" t="e">
        <f ca="1">Control!$B$22/$DR253</f>
        <v>#N/A</v>
      </c>
      <c r="DT253" s="149" t="e">
        <f ca="1">IF(AND(Control!$C$114=1,$KH253&lt;1),$IM253*$DF253, 0)</f>
        <v>#N/A</v>
      </c>
      <c r="DU253" s="144" t="e">
        <f t="shared" ca="1" si="844"/>
        <v>#N/A</v>
      </c>
      <c r="DV253" s="144">
        <f ca="1">IF($G253-Control!$C$107&lt;=0, 0, 0.83*LN(MAX($G253, 3))-0.8924)</f>
        <v>0</v>
      </c>
      <c r="DW253" s="144" t="e">
        <f t="shared" ca="1" si="721"/>
        <v>#N/A</v>
      </c>
      <c r="DX253" s="150" t="e">
        <f ca="1">MAX(0.01*(1+$CU253/Control!$C$102),0.05*($DK253-Control!$C$97)/Control!$C$97)</f>
        <v>#N/A</v>
      </c>
      <c r="DY253" s="151" t="e">
        <f ca="1">IF(Control!$C$114=1, $DI253*$FS253, 0)</f>
        <v>#N/A</v>
      </c>
      <c r="DZ253" s="196" t="e">
        <f t="shared" ca="1" si="845"/>
        <v>#N/A</v>
      </c>
      <c r="EA253" s="152">
        <f t="shared" ca="1" si="846"/>
        <v>249</v>
      </c>
      <c r="EB253" s="153" t="e">
        <f t="shared" ca="1" si="847"/>
        <v>#N/A</v>
      </c>
      <c r="EC253" s="153" t="e">
        <f t="shared" ca="1" si="848"/>
        <v>#N/A</v>
      </c>
      <c r="ED253" s="154" t="e">
        <f ca="1">IF(Control!$C$114=1, $HM253*$FY253-$FD253, 0)</f>
        <v>#DIV/0!</v>
      </c>
      <c r="EE253" s="155" t="e">
        <f ca="1">IF(Control!$C$114=1, $HM253*$FZ253-$FF253, 0)</f>
        <v>#DIV/0!</v>
      </c>
      <c r="EF253" s="153" t="e">
        <f t="shared" ca="1" si="902"/>
        <v>#N/A</v>
      </c>
      <c r="EG253" s="155" t="e">
        <f ca="1">IF(Control!$C$114=1, $GX253*$FW253-$FI253, 0)</f>
        <v>#DIV/0!</v>
      </c>
      <c r="EH253" s="153" t="e">
        <f t="shared" ca="1" si="849"/>
        <v>#N/A</v>
      </c>
      <c r="EI253" s="156" t="e">
        <f t="shared" ca="1" si="850"/>
        <v>#N/A</v>
      </c>
      <c r="EJ253" s="155" t="e">
        <f ca="1">IF(Control!$C$114=1, $HM253*$GB253, 0)</f>
        <v>#DIV/0!</v>
      </c>
      <c r="EK253" s="153" t="e">
        <f t="shared" ca="1" si="903"/>
        <v>#N/A</v>
      </c>
      <c r="EL253" s="153" t="e">
        <f t="shared" ca="1" si="722"/>
        <v>#N/A</v>
      </c>
      <c r="EM253" s="153" t="e">
        <f t="shared" ca="1" si="723"/>
        <v>#N/A</v>
      </c>
      <c r="EN253" s="153" t="e">
        <f ca="1">IF(Control!$C$108=1,IF(AND(Control!$B$18=1,$EB253&gt;=Control!$B$19),$EB253-$DS253,IF(AND(Control!$B$18=2,$AW253=1,$EB253&gt;$DS253),$EB253-$DS253,0)))</f>
        <v>#N/A</v>
      </c>
      <c r="EO253" s="153" t="e">
        <f ca="1">IF(Control!$C$108=1,IF(AND(Control!$B$18=1,$EB253&gt;=Control!$B$19),$EF253,IF(AND(Control!$B$18=2,$AW253=1),$EF253,0)))</f>
        <v>#N/A</v>
      </c>
      <c r="EP253" s="153" t="e">
        <f ca="1">IF(Control!$C$108=1,IF(AND(Control!$B$18=1,$EB253&gt;=Control!$B$19),$EK253,IF(AND(Control!$B$18=2,$AW253=1),$EK253,0)))</f>
        <v>#N/A</v>
      </c>
      <c r="EQ253" s="153" t="e">
        <f t="shared" ca="1" si="851"/>
        <v>#N/A</v>
      </c>
      <c r="ER253" s="153" t="e">
        <f t="shared" ca="1" si="852"/>
        <v>#N/A</v>
      </c>
      <c r="ES253" s="153" t="e">
        <f t="shared" ca="1" si="904"/>
        <v>#N/A</v>
      </c>
      <c r="ET253" s="153" t="e">
        <f t="shared" ca="1" si="905"/>
        <v>#N/A</v>
      </c>
      <c r="EU253" s="153" t="e">
        <f t="shared" ca="1" si="853"/>
        <v>#N/A</v>
      </c>
      <c r="EV253" s="153" t="e">
        <f t="shared" ca="1" si="724"/>
        <v>#N/A</v>
      </c>
      <c r="EW253" s="153" t="e">
        <f t="shared" ca="1" si="725"/>
        <v>#N/A</v>
      </c>
      <c r="EX253" s="153" t="e">
        <f t="shared" ca="1" si="726"/>
        <v>#N/A</v>
      </c>
      <c r="EY253" s="157" t="e">
        <f t="shared" ca="1" si="727"/>
        <v>#DIV/0!</v>
      </c>
      <c r="EZ253" s="154" t="e">
        <f t="shared" ca="1" si="728"/>
        <v>#DIV/0!</v>
      </c>
      <c r="FA253" s="153" t="e">
        <f t="shared" ca="1" si="854"/>
        <v>#N/A</v>
      </c>
      <c r="FB253" s="153" t="e">
        <f t="shared" ca="1" si="729"/>
        <v>#N/A</v>
      </c>
      <c r="FC253" s="193" t="e">
        <f t="shared" ca="1" si="730"/>
        <v>#N/A</v>
      </c>
      <c r="FD253" s="158" t="e">
        <f t="shared" ca="1" si="855"/>
        <v>#N/A</v>
      </c>
      <c r="FE253" s="158" t="e">
        <f t="shared" ca="1" si="856"/>
        <v>#N/A</v>
      </c>
      <c r="FF253" s="159" t="e">
        <f t="shared" ca="1" si="731"/>
        <v>#N/A</v>
      </c>
      <c r="FG253" s="160" t="e">
        <f t="shared" ca="1" si="857"/>
        <v>#N/A</v>
      </c>
      <c r="FH253" s="158" t="e">
        <f t="shared" ca="1" si="858"/>
        <v>#N/A</v>
      </c>
      <c r="FI253" s="159" t="e">
        <f t="shared" ca="1" si="732"/>
        <v>#N/A</v>
      </c>
      <c r="FJ253" s="160" t="e">
        <f t="shared" ca="1" si="859"/>
        <v>#N/A</v>
      </c>
      <c r="FK253" s="160" t="e">
        <f t="shared" ca="1" si="733"/>
        <v>#N/A</v>
      </c>
      <c r="FL253" s="160" t="e">
        <f t="shared" ca="1" si="906"/>
        <v>#N/A</v>
      </c>
      <c r="FM253" s="160" t="e">
        <f t="shared" ca="1" si="734"/>
        <v>#N/A</v>
      </c>
      <c r="FN253" s="158">
        <f t="shared" ca="1" si="860"/>
        <v>0.01</v>
      </c>
      <c r="FO253" s="160">
        <f>Control!$C$101</f>
        <v>50</v>
      </c>
      <c r="FP253" s="150" t="e">
        <f t="shared" ca="1" si="735"/>
        <v>#N/A</v>
      </c>
      <c r="FQ253" s="150" t="e">
        <f ca="1">MAX(0,(Control!$C$112*(($DK253-Control!$C$97)/Control!$C$97)))</f>
        <v>#N/A</v>
      </c>
      <c r="FR253" s="150" t="e">
        <f ca="1">(1-$NT253)*Control!$C$113</f>
        <v>#DIV/0!</v>
      </c>
      <c r="FS253" s="198" t="e">
        <f t="shared" ca="1" si="736"/>
        <v>#N/A</v>
      </c>
      <c r="FT253" s="161">
        <f t="shared" ca="1" si="861"/>
        <v>249</v>
      </c>
      <c r="FU253" s="162" t="e">
        <f ca="1">IF(Control!$B$34=1,VLOOKUP($CP253,Control!$B$86:$G$91,6),Control!$B$35)</f>
        <v>#N/A</v>
      </c>
      <c r="FV253" s="162" t="e">
        <f t="shared" ca="1" si="737"/>
        <v>#DIV/0!</v>
      </c>
      <c r="FW253" s="162" t="e">
        <f ca="1">IF(Control!$B$31=1,$FU253*$FV253,  $FU253)</f>
        <v>#N/A</v>
      </c>
      <c r="FX253" s="162" t="e">
        <f ca="1">IF(Control!$B$34=1,VLOOKUP($CP253,Control!$B$86:$G$91,3),Control!$B$36)</f>
        <v>#N/A</v>
      </c>
      <c r="FY253" s="162" t="e">
        <f t="shared" ca="1" si="738"/>
        <v>#N/A</v>
      </c>
      <c r="FZ253" s="162" t="e">
        <f ca="1">IF(Control!$B$34=1,VLOOKUP($CP253,Control!$B$86:$G$91,4),Control!$B$37)</f>
        <v>#N/A</v>
      </c>
      <c r="GA253" s="162" t="e">
        <f t="shared" ca="1" si="739"/>
        <v>#N/A</v>
      </c>
      <c r="GB253" s="162" t="e">
        <f ca="1">IF(Control!$B$34=1,VLOOKUP($CP253,Control!$B$86:$G$91,5),Control!$B$38)</f>
        <v>#N/A</v>
      </c>
      <c r="GC253" s="162" t="e">
        <f t="shared" ca="1" si="862"/>
        <v>#N/A</v>
      </c>
      <c r="GD253" s="162">
        <f t="shared" ca="1" si="740"/>
        <v>1</v>
      </c>
      <c r="GE253" s="162">
        <f t="shared" ca="1" si="741"/>
        <v>1</v>
      </c>
      <c r="GF253" s="162">
        <f ca="1">IF(AND(Control!$C$104=1, Control!$C$62="F"),$GE253,1)</f>
        <v>1</v>
      </c>
      <c r="GG253" s="162" t="e">
        <f ca="1">IF(Control!$B$16=40,0,IF(AND(Control!$B$16&gt;40,Control!$B$16&lt;=360),(Control!$B$16-40)*((1-0)/(360-40)),IF(AND(Control!$B$16&gt;360,Control!$B$16&lt;=720),(1+(Control!$B$16-360)*((1.25-1)/(720-360))),IF(AND(Control!$B$16&gt;720,Control!$B$16&lt;=1000),(1.25+(Control!$B$16-720)*((1.35-1.25)/(1000-720))),IF(AND(Control!$B$16&gt;1000,Control!$B$16&lt;=2000),(1.35+(Control!$B$16-1000)*0))))))</f>
        <v>#N/A</v>
      </c>
      <c r="GH253" s="162" t="e">
        <f t="shared" ca="1" si="742"/>
        <v>#N/A</v>
      </c>
      <c r="GI253" s="162">
        <f t="shared" ca="1" si="863"/>
        <v>0</v>
      </c>
      <c r="GJ253" s="162">
        <f t="shared" ca="1" si="743"/>
        <v>0</v>
      </c>
      <c r="GK253" s="162">
        <f t="shared" ca="1" si="864"/>
        <v>1</v>
      </c>
      <c r="GL253" s="162">
        <f t="shared" ca="1" si="744"/>
        <v>1</v>
      </c>
      <c r="GM253" s="162" t="e">
        <f ca="1">MAX(0,MIN(1,1-Control!$C$156*(1.0001-$KH253)^2))</f>
        <v>#N/A</v>
      </c>
      <c r="GN253" s="162" t="e">
        <f ca="1">IF(Control!$B$26=1,$KU253,$KX253)</f>
        <v>#N/A</v>
      </c>
      <c r="GO253" s="162" t="e">
        <f ca="1">IF($CP253&lt;=60,Control!$C$105,IF($CP253&gt;=90,Control!$C$106,Control!$C$105+($CP253-60)*((Control!$C$106-Control!$C$105)/(90-60))))</f>
        <v>#N/A</v>
      </c>
      <c r="GP253" s="162" t="e">
        <f t="shared" ca="1" si="745"/>
        <v>#N/A</v>
      </c>
      <c r="GQ253" s="162" t="e">
        <f t="shared" ca="1" si="865"/>
        <v>#N/A</v>
      </c>
      <c r="GR253" s="163" t="e">
        <f t="shared" ca="1" si="746"/>
        <v>#DIV/0!</v>
      </c>
      <c r="GS253" s="162" t="e">
        <f t="shared" ca="1" si="747"/>
        <v>#DIV/0!</v>
      </c>
      <c r="GT253" s="164" t="e">
        <f t="shared" ca="1" si="866"/>
        <v>#N/A</v>
      </c>
      <c r="GU253" s="162" t="e">
        <f t="shared" ca="1" si="867"/>
        <v>#N/A</v>
      </c>
      <c r="GV253" s="162" t="e">
        <f t="shared" ca="1" si="748"/>
        <v>#N/A</v>
      </c>
      <c r="GW253" s="162" t="e">
        <f t="shared" ca="1" si="749"/>
        <v>#DIV/0!</v>
      </c>
      <c r="GX253" s="162" t="e">
        <f t="shared" ca="1" si="868"/>
        <v>#DIV/0!</v>
      </c>
      <c r="GY253" s="162" t="e">
        <f t="shared" ca="1" si="869"/>
        <v>#DIV/0!</v>
      </c>
      <c r="GZ253" s="165" t="e">
        <f t="shared" ca="1" si="750"/>
        <v>#N/A</v>
      </c>
      <c r="HA253" s="162" t="e">
        <f ca="1">IF(Control!$C$114=1, $DI253*$FS253, 0)</f>
        <v>#N/A</v>
      </c>
      <c r="HB253" s="162" t="e">
        <f ca="1">$FA253/Control!$C$64</f>
        <v>#N/A</v>
      </c>
      <c r="HC253" s="162" t="e">
        <f t="shared" ca="1" si="751"/>
        <v>#DIV/0!</v>
      </c>
      <c r="HD253" s="162">
        <f ca="1">-ASIN(SIN(23.45*Control!$C$139)*COS(2*Control!$C$138*($AH253+10)/365))</f>
        <v>0.10012415108591148</v>
      </c>
      <c r="HE253" s="165">
        <f t="shared" ca="1" si="870"/>
        <v>0</v>
      </c>
      <c r="HF253" s="166">
        <f ca="1">IF(AND(Control!$C$61="T",$HE253&gt;=Control!$C$103,Control!$C$114=0),$AH253,Control!$C$59)</f>
        <v>1</v>
      </c>
      <c r="HG253" s="166">
        <f ca="1">IF(AND(Control!$C$61="T",$HE253&gt;=Control!$C$103,Control!$C$114=0),$HF253,Control!$C$59)</f>
        <v>1</v>
      </c>
      <c r="HH253" s="165">
        <f ca="1">IF(AND(OR(Control!$C$60&lt;=0, $AH253= Control!$C$59, Control!$C$60 &gt;0, $AH253 = Control!$C$60)), Control!$C$59, IF(Control!$C$60&gt;0, 0))</f>
        <v>1</v>
      </c>
      <c r="HI253" s="165">
        <f ca="1">IF(AND(OR(Control!$C$60&lt;=0, $AH253= Control!$C$59, Control!$C$60 &gt;0, $AH253 = Control!$C$60)), Control!$C$60, IF(Control!$C$60&lt;=0, 0))</f>
        <v>0</v>
      </c>
      <c r="HJ253" s="166">
        <f ca="1">IF(AND(Control!$C$62="F",$CV253&gt;=Control!$C$102),$AH253,0)</f>
        <v>0</v>
      </c>
      <c r="HK253" s="165" t="e">
        <f t="shared" ca="1" si="907"/>
        <v>#N/A</v>
      </c>
      <c r="HL253" s="166">
        <f ca="1">IF(AND(Control!$C$61="T",$HE253&gt;=Control!$C$103,Control!$C$114=0),$HF253,0)</f>
        <v>0</v>
      </c>
      <c r="HM253" s="201" t="e">
        <f t="shared" ca="1" si="752"/>
        <v>#DIV/0!</v>
      </c>
      <c r="HN253" s="215">
        <f t="shared" ca="1" si="871"/>
        <v>249</v>
      </c>
      <c r="HO253" s="216" t="e">
        <f ca="1">IF(AND($CP253&gt;=0, $CP253&lt;=90), Control!$C$152, Control!$C$152)</f>
        <v>#N/A</v>
      </c>
      <c r="HP253" s="216" t="e">
        <f t="shared" ca="1" si="753"/>
        <v>#N/A</v>
      </c>
      <c r="HQ253" s="217" t="e">
        <f ca="1">IF(OR(Control!$B$26=1,Control!$B$26=2),$KV253,$KS253)</f>
        <v>#DIV/0!</v>
      </c>
      <c r="HR253" s="218" t="e">
        <f t="shared" ca="1" si="908"/>
        <v>#DIV/0!</v>
      </c>
      <c r="HS253" s="216" t="e">
        <f ca="1">Control!$C$154*$HP253</f>
        <v>#N/A</v>
      </c>
      <c r="HT253" s="216" t="e">
        <f ca="1">Control!$C$155*$HP253</f>
        <v>#N/A</v>
      </c>
      <c r="HU253" s="217" t="e">
        <f ca="1">Control!$C$161*$FI253</f>
        <v>#N/A</v>
      </c>
      <c r="HV253" s="218" t="e">
        <f t="shared" ca="1" si="872"/>
        <v>#N/A</v>
      </c>
      <c r="HW253" s="218" t="e">
        <f ca="1">Control!$C$160*$FF253+$IP253*$EO253</f>
        <v>#N/A</v>
      </c>
      <c r="HX253" s="218" t="e">
        <f t="shared" ca="1" si="909"/>
        <v>#N/A</v>
      </c>
      <c r="HY253" s="219" t="e">
        <f ca="1">IF(Control!$C$114=1, $EB253*$FS253, 0)</f>
        <v>#N/A</v>
      </c>
      <c r="HZ253" s="91" t="e">
        <f t="shared" ca="1" si="754"/>
        <v>#N/A</v>
      </c>
      <c r="IA253" s="220" t="e">
        <f ca="1">Control!$C$153*$HO253</f>
        <v>#N/A</v>
      </c>
      <c r="IB253" s="218" t="e">
        <f t="shared" ca="1" si="755"/>
        <v>#N/A</v>
      </c>
      <c r="IC253" s="220" t="e">
        <f ca="1">Control!$C$153*$HT253</f>
        <v>#N/A</v>
      </c>
      <c r="ID253" s="218" t="e">
        <f t="shared" ca="1" si="756"/>
        <v>#N/A</v>
      </c>
      <c r="IE253" s="221" t="e">
        <f ca="1">($EB253*Control!$C$159+$EF253*Control!$C$160)/(IF($GZ253&lt;&gt;0,$GZ253,1))</f>
        <v>#N/A</v>
      </c>
      <c r="IF253" s="216" t="e">
        <f t="shared" ca="1" si="757"/>
        <v>#N/A</v>
      </c>
      <c r="IG253" s="91">
        <f ca="1">IF(OR(Control!$B$198=$AH253,Control!$B$199=$AH253, Control!$B$200=$AH253, Control!$B$201=$AH253, Control!$B$202=$AH253, Control!$B$203=$AH253, Control!$B$204=$AH253, Control!$B$205=$AH253, Control!$B$206=$AH253, Control!$B$207=$AH253), 1, 0)</f>
        <v>0</v>
      </c>
      <c r="IH253" s="91">
        <f ca="1">IF($IG253=0,0, VLOOKUP($AH253,Control!$B$198:$C$207,2))</f>
        <v>0</v>
      </c>
      <c r="II253" s="222">
        <f t="shared" ca="1" si="873"/>
        <v>0</v>
      </c>
      <c r="IJ253" s="91">
        <f>Control!$C$121</f>
        <v>0.7</v>
      </c>
      <c r="IK253" s="218">
        <f t="shared" ca="1" si="758"/>
        <v>0</v>
      </c>
      <c r="IL253" s="217" t="e">
        <f t="shared" ca="1" si="910"/>
        <v>#N/A</v>
      </c>
      <c r="IM253" s="223" t="e">
        <f ca="1">IF(AND(Control!$C$114=1,$KH253&lt;1),$EB253*Control!$C$148*(1-$KH253), 0)</f>
        <v>#N/A</v>
      </c>
      <c r="IN253" s="217" t="e">
        <f t="shared" ca="1" si="759"/>
        <v>#DIV/0!</v>
      </c>
      <c r="IO253" s="91" t="e">
        <f ca="1">MAX(0,$IL253-$EF253*Control!$C$160)</f>
        <v>#N/A</v>
      </c>
      <c r="IP253" s="220" t="e">
        <f t="shared" ca="1" si="760"/>
        <v>#N/A</v>
      </c>
      <c r="IQ253" s="217" t="e">
        <f t="shared" ca="1" si="874"/>
        <v>#N/A</v>
      </c>
      <c r="IR253" s="218" t="e">
        <f t="shared" ca="1" si="761"/>
        <v>#N/A</v>
      </c>
      <c r="IS253" s="217" t="e">
        <f ca="1">Control!$C$159*MAX(0,$FD253-$EN253)</f>
        <v>#N/A</v>
      </c>
      <c r="IT253" s="217" t="e">
        <f t="shared" ca="1" si="911"/>
        <v>#N/A</v>
      </c>
      <c r="IU253" s="217" t="e">
        <f t="shared" ca="1" si="875"/>
        <v>#N/A</v>
      </c>
      <c r="IV253" s="217" t="e">
        <f t="shared" ca="1" si="912"/>
        <v>#N/A</v>
      </c>
      <c r="IW253" s="217" t="e">
        <f ca="1">IF(OR($AW253=1,AND($AW253=0, Control!$B$18=1,$EN253&lt;&gt;0)), $IQ253-$IU253, $IQ253)</f>
        <v>#N/A</v>
      </c>
      <c r="IX253" s="218" t="e">
        <f t="shared" ca="1" si="762"/>
        <v>#N/A</v>
      </c>
      <c r="IY253" s="218" t="e">
        <f ca="1">MAX(0,$IQ253-$EB253*Control!$C$159)</f>
        <v>#N/A</v>
      </c>
      <c r="IZ253" s="218" t="e">
        <f t="shared" ca="1" si="763"/>
        <v>#N/A</v>
      </c>
      <c r="JA253" s="216" t="e">
        <f t="shared" ca="1" si="764"/>
        <v>#N/A</v>
      </c>
      <c r="JB253" s="217" t="e">
        <f t="shared" ca="1" si="765"/>
        <v>#N/A</v>
      </c>
      <c r="JC253" s="222" t="e">
        <f ca="1">MAX(Control!$C$157*$EK253-$JT253, 0)/Control!$C$162</f>
        <v>#N/A</v>
      </c>
      <c r="JD253" s="218" t="e">
        <f t="shared" ca="1" si="766"/>
        <v>#N/A</v>
      </c>
      <c r="JE253" s="218" t="e">
        <f t="shared" ca="1" si="767"/>
        <v>#N/A</v>
      </c>
      <c r="JF253" s="218" t="e">
        <f t="shared" ca="1" si="876"/>
        <v>#N/A</v>
      </c>
      <c r="JG253" s="218" t="e">
        <f t="shared" ca="1" si="768"/>
        <v>#N/A</v>
      </c>
      <c r="JH253" s="217" t="e">
        <f t="shared" ca="1" si="877"/>
        <v>#N/A</v>
      </c>
      <c r="JI253" s="217" t="e">
        <f t="shared" ca="1" si="878"/>
        <v>#N/A</v>
      </c>
      <c r="JJ253" s="217" t="e">
        <f t="shared" ca="1" si="913"/>
        <v>#N/A</v>
      </c>
      <c r="JK253" s="217" t="e">
        <f ca="1">IF(Control!$C$114=1,IF(Control!$B$24=0,MAX(0,$JI253)*$GN253/Control!$C$64,(MAX(0,MIN($JI253,$JJ253*$GN253/Control!$C$64),0))))</f>
        <v>#N/A</v>
      </c>
      <c r="JL253" s="217" t="e">
        <f ca="1">$IK253/Control!$C$64-$JK253+$HQ253</f>
        <v>#N/A</v>
      </c>
      <c r="JM253" s="217" t="e">
        <f ca="1">IF(Control!$C$114=1,($JB253/(IF($JI253&lt;&gt;0,$JI253,1)))*$JK253,0)</f>
        <v>#N/A</v>
      </c>
      <c r="JN253" s="217" t="e">
        <f ca="1">IF(Control!$C$114=1,($JG253/(IF($JI253&lt;&gt;0,$JI253,1)))*$JK253, 0)</f>
        <v>#N/A</v>
      </c>
      <c r="JO253" s="218" t="e">
        <f t="shared" ca="1" si="769"/>
        <v>#N/A</v>
      </c>
      <c r="JP253" s="218" t="e">
        <f ca="1">MIN(($IY253+$IO253)*Control!$C$151, $JF253-$EH253*Control!$C$161)</f>
        <v>#N/A</v>
      </c>
      <c r="JQ253" s="218" t="e">
        <f t="shared" ca="1" si="770"/>
        <v>#N/A</v>
      </c>
      <c r="JR253" s="217" t="e">
        <f ca="1">IF($CP253-Control!$C$150&lt;0, 0, $JQ253/Control!$C$162)</f>
        <v>#N/A</v>
      </c>
      <c r="JS253" s="218" t="e">
        <f t="shared" ca="1" si="771"/>
        <v>#N/A</v>
      </c>
      <c r="JT253" s="218" t="e">
        <f t="shared" ca="1" si="879"/>
        <v>#N/A</v>
      </c>
      <c r="JU253" s="218" t="e">
        <f t="shared" ca="1" si="772"/>
        <v>#N/A</v>
      </c>
      <c r="JV253" s="218" t="e">
        <f t="shared" ca="1" si="773"/>
        <v>#N/A</v>
      </c>
      <c r="JW253" s="216" t="e">
        <f t="shared" ca="1" si="774"/>
        <v>#N/A</v>
      </c>
      <c r="JX253" s="91" t="e">
        <f t="shared" ca="1" si="775"/>
        <v>#N/A</v>
      </c>
      <c r="JY253" s="218" t="e">
        <f t="shared" ca="1" si="776"/>
        <v>#N/A</v>
      </c>
      <c r="JZ253" s="217" t="e">
        <f ca="1">IF(Control!$C$114=1,($IZ253/(IF($JI253&lt;&gt;0,$JI253,1)))*$JK253, 0)</f>
        <v>#N/A</v>
      </c>
      <c r="KA253" s="218" t="e">
        <f t="shared" ca="1" si="914"/>
        <v>#N/A</v>
      </c>
      <c r="KB253" s="218" t="e">
        <f t="shared" ca="1" si="880"/>
        <v>#N/A</v>
      </c>
      <c r="KC253" s="218" t="e">
        <f t="shared" ca="1" si="777"/>
        <v>#N/A</v>
      </c>
      <c r="KD253" s="218" t="e">
        <f t="shared" ca="1" si="778"/>
        <v>#N/A</v>
      </c>
      <c r="KE253" s="218" t="e">
        <f t="shared" ca="1" si="779"/>
        <v>#N/A</v>
      </c>
      <c r="KF253" s="218" t="e">
        <f t="shared" ca="1" si="780"/>
        <v>#N/A</v>
      </c>
      <c r="KG253" s="216" t="e">
        <f t="shared" ca="1" si="781"/>
        <v>#N/A</v>
      </c>
      <c r="KH253" s="221" t="e">
        <f ca="1">IF(Control!$B$24=0,1,MAX(0.001,MIN(1,IF(($IF253-$IE253)&lt;&gt;0,($KG253-$IE253)/($IF253-$IE253),1))))</f>
        <v>#N/A</v>
      </c>
      <c r="KI253" s="222" t="e">
        <f ca="1">IF(Control!$C$114=1, $KI252+ $KH252, 0)</f>
        <v>#N/A</v>
      </c>
      <c r="KJ253" s="217" t="e">
        <f t="shared" ca="1" si="782"/>
        <v>#N/A</v>
      </c>
      <c r="KK253" s="218" t="e">
        <f t="shared" ca="1" si="783"/>
        <v>#N/A</v>
      </c>
      <c r="KL253" s="274" t="e">
        <f ca="1">IF(Control!$B$26=3,4000000000*EXP(-8400/($G253+273)),IF(Control!$B$26=4,4000000000*EXP(-8400/($G253+273))*($KT253),0))</f>
        <v>#DIV/0!</v>
      </c>
      <c r="KM253" s="274" t="e">
        <f ca="1">IF(Control!$B$26=3,5600000000000*EXP(-9800/($G253+273)),IF(Control!$B$26=4,5600000000000*EXP(-9800/($G253+273))*$KT253,0))</f>
        <v>#DIV/0!</v>
      </c>
      <c r="KN253" s="454" t="e">
        <f t="shared" ca="1" si="881"/>
        <v>#DIV/0!</v>
      </c>
      <c r="KO253" s="274" t="e">
        <f t="shared" ca="1" si="882"/>
        <v>#DIV/0!</v>
      </c>
      <c r="KP253" s="454" t="e">
        <f t="shared" ca="1" si="784"/>
        <v>#DIV/0!</v>
      </c>
      <c r="KQ253" s="454" t="e">
        <f t="shared" ca="1" si="785"/>
        <v>#DIV/0!</v>
      </c>
      <c r="KR253" s="454" t="e">
        <f t="shared" ca="1" si="786"/>
        <v>#DIV/0!</v>
      </c>
      <c r="KS253" s="454" t="e">
        <f t="shared" ca="1" si="787"/>
        <v>#DIV/0!</v>
      </c>
      <c r="KT253" s="455" t="e">
        <f t="shared" ca="1" si="788"/>
        <v>#DIV/0!</v>
      </c>
      <c r="KU253" s="456" t="e">
        <f ca="1">IF($CP253-Control!$C$149&lt;0, IF($NT253-0.01&lt;0,0,1),0)</f>
        <v>#N/A</v>
      </c>
      <c r="KV253" s="456" t="e">
        <f ca="1">IF(Control!$C$114=1,MAX(0,MIN(Control!$C$125*$KW253*$GN253,$KW253)))</f>
        <v>#DIV/0!</v>
      </c>
      <c r="KW253" s="456" t="e">
        <f t="shared" ca="1" si="915"/>
        <v>#DIV/0!</v>
      </c>
      <c r="KX253" s="457" t="e">
        <f ca="1">IF($CP253-Control!$C$149&lt;0, IF($MR253-$OM253&lt;0,0,1),0)</f>
        <v>#N/A</v>
      </c>
      <c r="KY253" s="167">
        <f t="shared" ca="1" si="883"/>
        <v>249</v>
      </c>
      <c r="KZ253" s="168">
        <f ca="1">1370*(1+0.033*COS(2*Control!$C$138*$AH253/365))</f>
        <v>1351.316086787529</v>
      </c>
      <c r="LA253" s="169">
        <f t="shared" ca="1" si="884"/>
        <v>0.98636180594316414</v>
      </c>
      <c r="LB253" s="169">
        <f t="shared" ca="1" si="885"/>
        <v>9.9306825038821045E-2</v>
      </c>
      <c r="LC253" s="169">
        <f ca="1">ACOS(-TAN((2*Control!$B$8/360))*TAN(Calculations!$LB253))</f>
        <v>1.6004123614721231</v>
      </c>
      <c r="LD253" s="169">
        <f ca="1">((24*60)/PI())*0.082*$LA253*(($LC253*SIN(Control!$B$8*2*PI()/360))*SIN($LB253)+COS(Control!$B$8*2*PI()/360)*COS($LB253)*SIN($LC253))</f>
        <v>27.337714813412958</v>
      </c>
      <c r="LE253" s="170">
        <f t="shared" ca="1" si="789"/>
        <v>27.551359120089423</v>
      </c>
      <c r="LF253" s="170">
        <f ca="1">SIN(Control!$C$139*Control!$B$8)*SIN($HD253)</f>
        <v>7.8767279521952588E-2</v>
      </c>
      <c r="LG253" s="170">
        <f ca="1">COS(Control!$C$139*Control!$B$8)*COS($HD253)</f>
        <v>0.61257643284001972</v>
      </c>
      <c r="LH253" s="170">
        <f ca="1">12*(1+2*ASIN(MAX(-1,MIN(1,$LF253/$LG253))/Control!$C$138))</f>
        <v>12.982578473324971</v>
      </c>
      <c r="LI253" s="170">
        <f ca="1">12*(1+2*ASIN(MAX(-1,MIN(1,(-SIN(-4*Control!$C$139)+$LF253)/$LG253))/Control!$C$138))</f>
        <v>13.854080262138313</v>
      </c>
      <c r="LJ253" s="168">
        <f ca="1">3600*($LH253*$LF253+24*$LG253*SQRT(1-$LK253*$LK253)/Control!$C$138)</f>
        <v>20388.537803606712</v>
      </c>
      <c r="LK253" s="170">
        <f t="shared" ca="1" si="790"/>
        <v>0.12858359430638336</v>
      </c>
      <c r="LL253" s="170">
        <f t="shared" ca="1" si="791"/>
        <v>0</v>
      </c>
      <c r="LM253" s="171">
        <f ca="1">Control!$C$145*$AB253</f>
        <v>6.6660906138995932E-2</v>
      </c>
      <c r="LN253" s="170">
        <f t="shared" ca="1" si="886"/>
        <v>0.54</v>
      </c>
      <c r="LO253" s="170">
        <f t="shared" ca="1" si="792"/>
        <v>0</v>
      </c>
      <c r="LP253" s="170">
        <f ca="1">Control!$C$140*((($D253+273.16)^4+($E253+273.16)^4)/2)*(0.34-0.14*SQRT($Y253))*(1.35*$AQ253/(0.75*$LD253)-0.35)</f>
        <v>-3.2464704755046001</v>
      </c>
      <c r="LQ253" s="170">
        <f ca="1">Control!$C$140*($G253+273)^4*(0.56-0.079*SQRT($Y253*10))*(0.1+0.9*$LO253)</f>
        <v>1.5241745131704001</v>
      </c>
      <c r="LR253" s="170">
        <f ca="1">$AQ253*(1-Control!$C$142)-$LQ253</f>
        <v>-1.5241745131704001</v>
      </c>
      <c r="LS253" s="170">
        <f ca="1">$AQ253*(1-Control!$C$143)-$LQ253</f>
        <v>-1.5241745131704001</v>
      </c>
      <c r="LT253" s="170">
        <f ca="1">$AQ253*(1-Control!$C$144)-$LQ253</f>
        <v>-1.5241745131704001</v>
      </c>
      <c r="LU253" s="169">
        <f ca="1">(1-Control!$C$144)*AQ253-LP253</f>
        <v>3.2464704755046001</v>
      </c>
      <c r="LV253" s="172">
        <f t="shared" ca="1" si="793"/>
        <v>0.79430000000000012</v>
      </c>
      <c r="LW253" s="170">
        <f t="shared" ca="1" si="794"/>
        <v>1.5886000000000002</v>
      </c>
      <c r="LX253" s="170">
        <f ca="1">($AC253*($LR253/Control!$C$141)+$LM253*$LV253)/($AC253+$LM253)</f>
        <v>0.23530094218323697</v>
      </c>
      <c r="LY253" s="170">
        <f ca="1">($AC253*($LS253/Control!$C$141)+$LM253*$LV253)/($AC253+$LM253)</f>
        <v>0.23530094218323697</v>
      </c>
      <c r="LZ253" s="170">
        <f t="shared" ca="1" si="795"/>
        <v>0.23530094218323697</v>
      </c>
      <c r="MA253" s="170">
        <f t="shared" ca="1" si="796"/>
        <v>0.23530094218323697</v>
      </c>
      <c r="MB253" s="170" t="e">
        <f t="shared" ca="1" si="797"/>
        <v>#N/A</v>
      </c>
      <c r="MC253" s="170">
        <f t="shared" ca="1" si="887"/>
        <v>0.6018</v>
      </c>
      <c r="MD253" s="170">
        <f t="shared" ca="1" si="798"/>
        <v>0.52989392535414004</v>
      </c>
      <c r="ME253" s="170">
        <f ca="1">($AC253*($LT253/Control!$C$141)+$LM253*$LW253)/($AC253+$LM253)</f>
        <v>0.71612369323045078</v>
      </c>
      <c r="MF253" s="170" t="e">
        <f ca="1">IF(Control!$B$16&gt;=1000,0.92,IF(AND(720&lt;=Control!$B$16,1000&gt;Control!$B$16),(0.95+(Control!$B$16-720)*((0.92-0.95)/(1000-720))),IF(AND(360&lt;=Control!$B$16,720&gt;Control!$B$16),(1+(Control!$B$16-360)*((0.95-1)/(720-360))),IF(AND(40&lt;=Control!$B$16,360&gt;Control!$B$16),(1.05+(Control!$B$16-40)*((1.05-1)/(360-40)))))))</f>
        <v>#N/A</v>
      </c>
      <c r="MG253" s="170">
        <f t="shared" ca="1" si="799"/>
        <v>0.71612369323045078</v>
      </c>
      <c r="MH253" s="170" t="e">
        <f t="shared" ca="1" si="926"/>
        <v>#N/A</v>
      </c>
      <c r="MI253" s="170" t="e">
        <f t="shared" ca="1" si="926"/>
        <v>#N/A</v>
      </c>
      <c r="MJ253" s="170" t="e">
        <f ca="1">MAX(0.0001, Control!$C$132*$MI253*$DL253)</f>
        <v>#N/A</v>
      </c>
      <c r="MK253" s="170">
        <f ca="1">1/(0.76+1.5*($MG253/10))-(5-Control!$C$110)*0.1</f>
        <v>1.002845988140797</v>
      </c>
      <c r="ML253" s="173">
        <f ca="1">IF(Control!$C$110&lt;3,$MK253+($MG253-0.6)/(Control!$C$110*(Control!$C$110+3)), MAX(0.1, MIN(0.95,$MK253)))</f>
        <v>0.95</v>
      </c>
      <c r="MM253" s="173">
        <f ca="1">IF(Control!$C$110&lt;3,$MK253+(($MI253/10)-0.6)/(Control!$C$110*(Control!$C$110+3)), MAX(0.1, MIN(0.95,$MK253)))</f>
        <v>0.95</v>
      </c>
      <c r="MN253" s="173">
        <f ca="1">(1-$MM253)*(Control!$C$128-Control!$C$127)+Control!$C$127</f>
        <v>0.16</v>
      </c>
      <c r="MO253" s="170" t="e">
        <f ca="1">MAX(0,MIN(1,($MS253-Control!$C$127)/($MN253-Control!$C$127)))</f>
        <v>#DIV/0!</v>
      </c>
      <c r="MP253" s="173" t="e">
        <f ca="1">1/(0.76+1.5*$MI253)-(5-Control!$C$110)*0.1</f>
        <v>#N/A</v>
      </c>
      <c r="MQ253" s="172" t="e">
        <f t="shared" ca="1" si="916"/>
        <v>#DIV/0!</v>
      </c>
      <c r="MR253" s="168" t="e">
        <f t="shared" ca="1" si="888"/>
        <v>#DIV/0!</v>
      </c>
      <c r="MS253" s="173" t="e">
        <f ca="1">MAX(Control!$C$127, MIN(Control!$C$135, $MR253/MAX(0.0001,$CY253)))</f>
        <v>#DIV/0!</v>
      </c>
      <c r="MT253" s="168" t="e">
        <f ca="1">(Control!$C$128-$MS253)*Control!$C$74</f>
        <v>#DIV/0!</v>
      </c>
      <c r="MU253" s="168" t="e">
        <f ca="1">(Control!$C$135-$MS253)*Control!$C$74</f>
        <v>#DIV/0!</v>
      </c>
      <c r="MV253" s="168" t="e">
        <f t="shared" ca="1" si="889"/>
        <v>#DIV/0!</v>
      </c>
      <c r="MW253" s="168" t="e">
        <f t="shared" ca="1" si="890"/>
        <v>#DIV/0!</v>
      </c>
      <c r="MX253" s="171" t="e">
        <f ca="1">MAX(Control!$C$127, MIN(Control!$C$135, $MW253/MAX(0.0001,Control!$C$119-$CY253)))</f>
        <v>#DIV/0!</v>
      </c>
      <c r="MY253" s="54" t="e">
        <f ca="1">IF(Control!$C$114=1, $CX253*$MX253, 0)</f>
        <v>#DIV/0!</v>
      </c>
      <c r="MZ253" s="54" t="e">
        <f t="shared" ca="1" si="891"/>
        <v>#N/A</v>
      </c>
      <c r="NA253" s="168" t="e">
        <f ca="1">(Control!$C$128-$MX253)*(Control!$C$119-Control!$C$74)</f>
        <v>#DIV/0!</v>
      </c>
      <c r="NB253" s="168" t="e">
        <f ca="1">(Control!$C$135-$MX253)*(Control!$C$119-Control!$C$74)</f>
        <v>#DIV/0!</v>
      </c>
      <c r="NC253" s="174" t="e">
        <f t="shared" ca="1" si="892"/>
        <v>#DIV/0!</v>
      </c>
      <c r="ND253" s="54">
        <f ca="1">IF(Control!$C$58=2, IF(OR(Control!$B$218=$AH253,Control!$B$219=$AH253, Control!$B$220=$AH253, Control!$B$221=$AH253, Control!$B$222=$AH253, Control!$B$223=$AH253, Control!$B$224=$AH253, Control!$B$225=$AH253, Control!$B$226=$AH253, Control!$B$227=$AH253, Control!$B$228=$AH253), 1, 0), 0)</f>
        <v>0</v>
      </c>
      <c r="NE253" s="54">
        <f ca="1">IF($ND253=0,0, VLOOKUP($AH253,Control!$B$218:$C$228,2))</f>
        <v>0</v>
      </c>
      <c r="NF253" s="168" t="e">
        <f ca="1">$CY253*(Control!$C$128-Control!$C$127)</f>
        <v>#N/A</v>
      </c>
      <c r="NG253" s="54" t="e">
        <f ca="1">IF(Control!$C$58=2, $NI252-$NJ252, 0)</f>
        <v>#DIV/0!</v>
      </c>
      <c r="NH253" s="54" t="e">
        <f ca="1">IF(AND(Control!$C$58=1, $MS252&lt;= ($MN252+0.02), $I252&lt;10), 0, IF(Control!$C$58=2, $NG252, 0))</f>
        <v>#DIV/0!</v>
      </c>
      <c r="NI253" s="54" t="e">
        <f ca="1">IF(Control!$C$58=2, $NE253+$NH253,0)</f>
        <v>#DIV/0!</v>
      </c>
      <c r="NJ253" s="54" t="e">
        <f ca="1">IF(AND(Control!$C$58=1, $MS253&lt;= ($MN253+0.02), $I253&lt;10), MAX(0, MIN(10, 0.7*($NF253-$MV253))), IF(Control!$C$58=2, MIN(10,$NI253),0))</f>
        <v>#DIV/0!</v>
      </c>
      <c r="NK253" s="54" t="e">
        <f t="shared" ca="1" si="800"/>
        <v>#DIV/0!</v>
      </c>
      <c r="NL253" s="173" t="e">
        <f ca="1">(1-Control!$C$73)*$I253+$NJ253</f>
        <v>#DIV/0!</v>
      </c>
      <c r="NM253" s="172" t="e">
        <f ca="1">IF($NL253&lt;0.5, $MB253* MAX(0, MIN(1, (SQRT($NC253)-SQRT($NC253-1))*Control!$C$71)),0)</f>
        <v>#DIV/0!</v>
      </c>
      <c r="NN253" s="170" t="e">
        <f ca="1">IF($NL253&gt;=5, $MB253, MAX(0,MIN($MB253, $NM253+$NL253,($MS253-Control!$C$129))))</f>
        <v>#DIV/0!</v>
      </c>
      <c r="NO253" s="54">
        <f>IF(Control!$C$133&lt;&gt;1, Control!$C$135-Control!$C$131, 0)</f>
        <v>0.38</v>
      </c>
      <c r="NP253" s="54" t="e">
        <f t="shared" ca="1" si="801"/>
        <v>#DIV/0!</v>
      </c>
      <c r="NQ253" s="173" t="e">
        <f ca="1">MAX(0,MIN(1,(Control!$C$135-$MS253)/(Control!$C$135-$NO253)))</f>
        <v>#DIV/0!</v>
      </c>
      <c r="NR253" s="170" t="e">
        <f ca="1">IF(Control!$C$133&lt;&gt;1, $NQ253+((1-$NP253/4)*(1-$NQ253)),1)</f>
        <v>#DIV/0!</v>
      </c>
      <c r="NS253" s="170" t="e">
        <f ca="1">IF(Control!$B$31=0,$MJ253,MAX(0,MIN($MV253,$MO253*$NR253*$MJ253)))</f>
        <v>#DIV/0!</v>
      </c>
      <c r="NT253" s="170" t="e">
        <f t="shared" ca="1" si="917"/>
        <v>#DIV/0!</v>
      </c>
      <c r="NU253" s="170" t="e">
        <f t="shared" ca="1" si="893"/>
        <v>#N/A</v>
      </c>
      <c r="NV253" s="170" t="e">
        <f t="shared" ca="1" si="802"/>
        <v>#N/A</v>
      </c>
      <c r="NW253" s="175" t="e">
        <f t="shared" ca="1" si="803"/>
        <v>#DIV/0!</v>
      </c>
      <c r="NX253" s="170" t="e">
        <f ca="1">MIN(Control!$C$72+$MU253, $NW253)</f>
        <v>#DIV/0!</v>
      </c>
      <c r="NY253" s="170" t="e">
        <f ca="1">IF($MT253&lt;=$NX253,MIN(Control!$C$72+$NB253,$NX253-$MT253),0)</f>
        <v>#DIV/0!</v>
      </c>
      <c r="NZ253" s="54" t="e">
        <f ca="1">IF(Control!$C$114=1,  $CX253*($MX253-Control!$C$127), 0)</f>
        <v>#DIV/0!</v>
      </c>
      <c r="OA253" s="170" t="e">
        <f t="shared" ca="1" si="804"/>
        <v>#DIV/0!</v>
      </c>
      <c r="OB253" s="170" t="e">
        <f ca="1">IF($NA253 &lt;=$NY253, MIN(Control!$C$72, $NY253-$NA253), 0)</f>
        <v>#DIV/0!</v>
      </c>
      <c r="OC253" s="168" t="e">
        <f t="shared" ca="1" si="805"/>
        <v>#DIV/0!</v>
      </c>
      <c r="OD253" s="168" t="e">
        <f t="shared" ca="1" si="894"/>
        <v>#DIV/0!</v>
      </c>
      <c r="OE253" s="170">
        <f ca="1">Control!$C$73*$I253</f>
        <v>0</v>
      </c>
      <c r="OF253" s="176" t="e">
        <f t="shared" ca="1" si="806"/>
        <v>#DIV/0!</v>
      </c>
      <c r="OG253" s="168" t="e">
        <f t="shared" ca="1" si="807"/>
        <v>#DIV/0!</v>
      </c>
      <c r="OH253" s="168" t="e">
        <f t="shared" ca="1" si="808"/>
        <v>#DIV/0!</v>
      </c>
      <c r="OI253" s="168" t="e">
        <f t="shared" ca="1" si="809"/>
        <v>#DIV/0!</v>
      </c>
      <c r="OJ253" s="168" t="e">
        <f t="shared" ca="1" si="810"/>
        <v>#DIV/0!</v>
      </c>
      <c r="OK253" s="204" t="e">
        <f t="shared" ca="1" si="811"/>
        <v>#DIV/0!</v>
      </c>
      <c r="OL253" s="177">
        <f>Control!$C$127</f>
        <v>0.15</v>
      </c>
      <c r="OM253" s="182" t="e">
        <f t="shared" ca="1" si="812"/>
        <v>#N/A</v>
      </c>
      <c r="ON253" s="177">
        <f>Control!$C$128</f>
        <v>0.35</v>
      </c>
      <c r="OO253" s="182" t="e">
        <f t="shared" ca="1" si="813"/>
        <v>#N/A</v>
      </c>
      <c r="OP253" s="138">
        <f t="shared" ca="1" si="895"/>
        <v>0</v>
      </c>
      <c r="OQ253" s="138" t="e">
        <f t="shared" ca="1" si="918"/>
        <v>#DIV/0!</v>
      </c>
      <c r="OR253" s="138" t="e">
        <f t="shared" ca="1" si="896"/>
        <v>#DIV/0!</v>
      </c>
      <c r="OS253" s="137" t="e">
        <f t="shared" ca="1" si="919"/>
        <v>#DIV/0!</v>
      </c>
      <c r="OT253" s="139" t="e">
        <f t="shared" ca="1" si="920"/>
        <v>#DIV/0!</v>
      </c>
      <c r="OU253" s="138" t="e">
        <f t="shared" ca="1" si="921"/>
        <v>#N/A</v>
      </c>
      <c r="OV253" s="138" t="e">
        <f t="shared" ca="1" si="922"/>
        <v>#DIV/0!</v>
      </c>
      <c r="OW253" s="138" t="e">
        <f t="shared" ca="1" si="897"/>
        <v>#DIV/0!</v>
      </c>
      <c r="OX253" s="138" t="e">
        <f t="shared" ca="1" si="898"/>
        <v>#DIV/0!</v>
      </c>
      <c r="OY253" s="138" t="e">
        <f t="shared" ca="1" si="899"/>
        <v>#DIV/0!</v>
      </c>
      <c r="OZ253" s="138" t="e">
        <f t="shared" ca="1" si="814"/>
        <v>#DIV/0!</v>
      </c>
      <c r="PA253" s="138" t="e">
        <f t="shared" ca="1" si="815"/>
        <v>#DIV/0!</v>
      </c>
      <c r="PB253" s="55">
        <f>IF(Control!$C$61="T", IF(Control!$C$65="F", IF($AH$6-Control!$C$60&lt;0,0,1), IF(365+$AH$6-Control!$C$60&lt;0,0,1)),0)</f>
        <v>0</v>
      </c>
      <c r="PC253" s="55">
        <f ca="1">IF(Control!$C$65="F", IF($AH$6-$HF253&lt;0,0,1), IF(365+$AH$6-$HF253&lt;0,0,1))</f>
        <v>1</v>
      </c>
      <c r="PD253" s="444">
        <f>Control!$C$118</f>
        <v>1500</v>
      </c>
      <c r="PE253" s="180" t="e">
        <f t="shared" ca="1" si="816"/>
        <v>#N/A</v>
      </c>
      <c r="PF253" s="445">
        <f t="shared" ca="1" si="900"/>
        <v>0.71612369323045078</v>
      </c>
      <c r="PT253" s="186"/>
      <c r="PU253" s="186"/>
      <c r="PV253" s="94"/>
      <c r="PW253" s="94"/>
      <c r="PX253" s="94"/>
      <c r="PY253" s="94"/>
      <c r="PZ253" s="94"/>
      <c r="QA253" s="94"/>
      <c r="QB253" s="94"/>
      <c r="QC253" s="94"/>
      <c r="QD253" s="94"/>
      <c r="QE253" s="94"/>
      <c r="QF253" s="94"/>
      <c r="QG253" s="94"/>
      <c r="QH253" s="94"/>
      <c r="QI253" s="94"/>
      <c r="QJ253" s="94"/>
      <c r="QK253" s="94"/>
      <c r="QL253" s="94"/>
      <c r="QM253" s="94"/>
      <c r="QN253" s="94"/>
      <c r="QO253" s="94"/>
      <c r="QP253" s="94"/>
    </row>
    <row r="254" spans="1:458" s="2" customFormat="1" x14ac:dyDescent="0.2">
      <c r="A254" s="395">
        <v>6</v>
      </c>
      <c r="B254" s="396">
        <v>9</v>
      </c>
      <c r="C254" s="387">
        <f ca="1">Weather_data!$B253</f>
        <v>0</v>
      </c>
      <c r="D254" s="388">
        <f ca="1">Weather_data!$F253</f>
        <v>0</v>
      </c>
      <c r="E254" s="388">
        <f ca="1">Weather_data!$E253</f>
        <v>0</v>
      </c>
      <c r="F254" s="388">
        <f t="shared" ca="1" si="817"/>
        <v>0</v>
      </c>
      <c r="G254" s="388">
        <f ca="1">AVERAGE($D254:$E254)+Control!$B$9</f>
        <v>0</v>
      </c>
      <c r="H254" s="388">
        <f ca="1">Weather_data!$G253</f>
        <v>0</v>
      </c>
      <c r="I254" s="388">
        <f ca="1">Weather_data!$I253</f>
        <v>0</v>
      </c>
      <c r="J254" s="388">
        <f ca="1">Weather_data!$H253</f>
        <v>0</v>
      </c>
      <c r="K254" s="389">
        <f ca="1">Weather_data!$D253</f>
        <v>0</v>
      </c>
      <c r="L254" s="388" t="e">
        <f t="shared" ca="1" si="818"/>
        <v>#N/A</v>
      </c>
      <c r="M254" s="388" t="e">
        <f t="shared" ca="1" si="696"/>
        <v>#N/A</v>
      </c>
      <c r="N254" s="388">
        <f t="shared" ca="1" si="697"/>
        <v>-2.2444624565351809E-12</v>
      </c>
      <c r="O254" s="388">
        <f t="shared" ca="1" si="819"/>
        <v>2.2444624565351808E-11</v>
      </c>
      <c r="P254" s="390">
        <v>3</v>
      </c>
      <c r="Q254" s="388">
        <f ca="1">MAX($G254-Control!$C$107,0)</f>
        <v>0</v>
      </c>
      <c r="R254" s="388">
        <f t="shared" ca="1" si="820"/>
        <v>0</v>
      </c>
      <c r="S254" s="388">
        <f t="shared" ca="1" si="698"/>
        <v>0</v>
      </c>
      <c r="T254" s="388">
        <f t="shared" ca="1" si="699"/>
        <v>0</v>
      </c>
      <c r="U254" s="59">
        <f t="shared" ca="1" si="700"/>
        <v>0</v>
      </c>
      <c r="V254" s="391">
        <f ca="1">MAX(0,MIN(Control!$C$100-Control!$C$99,$G254-Control!$C$99)*Control!$C$63)</f>
        <v>0</v>
      </c>
      <c r="W254" s="388">
        <f t="shared" ca="1" si="821"/>
        <v>0</v>
      </c>
      <c r="X254" s="388">
        <f t="shared" ca="1" si="822"/>
        <v>0.6110000000000001</v>
      </c>
      <c r="Y254" s="388">
        <f t="shared" ca="1" si="701"/>
        <v>0</v>
      </c>
      <c r="Z254" s="388">
        <f t="shared" ca="1" si="823"/>
        <v>0.61058800000000002</v>
      </c>
      <c r="AA254" s="388">
        <f t="shared" ca="1" si="702"/>
        <v>0.6018</v>
      </c>
      <c r="AB254" s="388">
        <f ca="1">101.3*EXP(-0.034*Control!$C$66/($G254+273))</f>
        <v>100.69623283836242</v>
      </c>
      <c r="AC254" s="392">
        <f t="shared" ca="1" si="703"/>
        <v>4.3460251046025113E-2</v>
      </c>
      <c r="AD254" s="392">
        <f t="shared" ca="1" si="704"/>
        <v>4.4450382862832649E-2</v>
      </c>
      <c r="AE254" s="388">
        <f t="shared" ca="1" si="705"/>
        <v>0</v>
      </c>
      <c r="AF254" s="388">
        <f ca="1">MAX(0,$G254-Control!$C$92)</f>
        <v>0</v>
      </c>
      <c r="AG254" s="393">
        <f t="shared" ca="1" si="706"/>
        <v>250</v>
      </c>
      <c r="AH254" s="389">
        <f t="shared" ca="1" si="707"/>
        <v>250</v>
      </c>
      <c r="AI254" s="388">
        <f t="shared" ca="1" si="824"/>
        <v>9.3447629795079659E-2</v>
      </c>
      <c r="AJ254" s="388">
        <f ca="1">IF(Control!$C$60&lt;=0,$HH254,$HI254)</f>
        <v>1</v>
      </c>
      <c r="AK254" s="388">
        <f t="shared" ca="1" si="708"/>
        <v>2.9264150745767936</v>
      </c>
      <c r="AL254" s="388">
        <f t="shared" ca="1" si="709"/>
        <v>-1.2984054803544253E-17</v>
      </c>
      <c r="AM254" s="388">
        <f t="shared" ca="1" si="710"/>
        <v>2.9264150745767936</v>
      </c>
      <c r="AN254" s="388">
        <f t="shared" ca="1" si="711"/>
        <v>8.5041085764183746E-2</v>
      </c>
      <c r="AO254" s="388">
        <f ca="1">-0.10453/COS(Control!$B$8*PI()/180)*COS(AN254)</f>
        <v>-0.16917129323883337</v>
      </c>
      <c r="AP254" s="388">
        <f ca="1">ACOS(AO254-TAN(Control!$B$8*PI()/180)*TAN(AN254))</f>
        <v>1.8528013971074548</v>
      </c>
      <c r="AQ254" s="388">
        <f t="shared" ca="1" si="825"/>
        <v>0</v>
      </c>
      <c r="AR254" s="394">
        <f t="shared" ca="1" si="712"/>
        <v>0</v>
      </c>
      <c r="AS254" s="436">
        <f ca="1">IF(Control!$B$18=2,(IF(OR($AH254=Control!$B$175,$AH254=Control!$B$176,$AH254=Control!$B$177,$AH254=Control!$B$178,$AH254=Control!$B$179,$AH254=Control!$B$180,$AH254=Control!$B$181,$AH254=Control!$B$182,$AH254=Control!$B$183,$AH254=Control!$B$184,$AH254=Control!$B$185),1,0)),0)</f>
        <v>0</v>
      </c>
      <c r="AT254" s="436">
        <f>IF(Control!$B$20=8,IF(AND($AH254&gt;=Control!$B$172,$AH254&lt;=Control!$B$173),1,0),0)</f>
        <v>0</v>
      </c>
      <c r="AU254" s="436">
        <f>IF(Control!$B$20=8,IF($AV253=1,1*$AT254,IF($AT254=1,$AU253+1,$AU253)),0)</f>
        <v>0</v>
      </c>
      <c r="AV254" s="436">
        <f>IF(Control!$B$20=8,IF($AU254&gt;=Control!$B$174,1,0),0)</f>
        <v>0</v>
      </c>
      <c r="AW254" s="436">
        <f ca="1">IF(AND(Control!$B$18=2,Control!$B$171=1), $AV254, $AS254)</f>
        <v>0</v>
      </c>
      <c r="AX254" s="436" t="e">
        <f ca="1">IF(AND(Control!$B$18=1,$EU254&gt;=Control!$B$19),-$AY254,IF(AND(Control!$B$18=2,$AW254=1,$EU254&gt;$DS254),-$AY254, IF(Control!$C$108=0,0, IF(Control!$C$108&lt;&gt;0,1))))</f>
        <v>#N/A</v>
      </c>
      <c r="AY254" s="436" t="e">
        <f t="shared" ca="1" si="826"/>
        <v>#N/A</v>
      </c>
      <c r="AZ254" s="436" t="e">
        <f ca="1">IF(AND(Control!$B$18=1,$EB254&gt;Control!$B$19),$AZ253+1, IF(AND(Control!$B$18=2, $AW254=1, $EB254&gt;$DS254), $AZ253+1,$AZ253))</f>
        <v>#N/A</v>
      </c>
      <c r="BA254" s="587">
        <f>IF(Control!$C$81=0,1,IF($AH254&gt;=Control!$C$82,1,0))</f>
        <v>1</v>
      </c>
      <c r="BB254" s="140" t="e">
        <f ca="1">IF($BA254&gt;$BA253,Control!$C$83,IF($AW254&gt;0,$AW254*Control!$C$84,IF(AND(Control!$B$18=1,EN253&lt;&gt;0),Control!$C$84,0)))</f>
        <v>#N/A</v>
      </c>
      <c r="BC254" s="140" t="e">
        <f t="shared" ca="1" si="827"/>
        <v>#N/A</v>
      </c>
      <c r="BD254" s="140" t="e">
        <f ca="1">BC254*IF(OR($G254&lt;Control!$C$92,$G254&gt;Control!$C$95),0,IF(AND($G254&gt;=Control!$C$92,$G254&lt;=Control!$C$93),$G254-Control!$C$92,IF(AND($G254&gt;Control!$C$93,$G254&lt;=Control!$C$94),Control!$C$93-Control!$C$92,IF(AND($G254&gt;Control!$C$94,$G254&lt;=Control!$C$95),(Control!$C$93-Control!$C$92)*(Control!$C$94-$G254)/(Control!$C$95-Control!$C$94)))))</f>
        <v>#N/A</v>
      </c>
      <c r="BE254" s="140" t="e">
        <f t="shared" ca="1" si="828"/>
        <v>#N/A</v>
      </c>
      <c r="BF254" s="140" t="e">
        <f ca="1">IF($BE254&lt;=Control!$C$86,$BE254,Control!$C$86-$BE254)</f>
        <v>#N/A</v>
      </c>
      <c r="BG254" s="140" t="e">
        <f ca="1">IF(AND($AW254=1,Control!$C$84&lt;9),1,IF($BE254&gt;=Control!$C$86,0,$BC254))</f>
        <v>#N/A</v>
      </c>
      <c r="BH254" s="404" t="e">
        <f ca="1">IF($BG254=0,0,IF($BE254&lt;=Control!$C$86,$BC254*9*($BF254/Control!$C$86),0))</f>
        <v>#N/A</v>
      </c>
      <c r="BI254" s="140" t="e">
        <f ca="1">IF($BG254=1,0,IF($BE254&gt;=Control!$C$86,1,IF(AND($BB254&lt;21,$BB254&gt;=9),1,$BM253)))</f>
        <v>#N/A</v>
      </c>
      <c r="BJ254" s="140" t="e">
        <f ca="1">IF($BF254&lt;0,-$BF254,$BI254*IF(OR($G254&lt;Control!$C$92,$G254&gt;Control!$C$95),0,IF(AND($G254&gt;=Control!$C$92,$G254&lt;=Control!$C$93),$G254-Control!$C$92,IF(AND($G254&gt;Control!$C$93,$G254&lt;=Control!$C$94),Control!$C$93-Control!$C$92,IF(AND($G254&gt;Control!$C$94,$G254&lt;=Control!$C$95),(Control!$C$93-Control!$C$92)*(Control!$C$94-$G254)/(Control!$C$95-Control!$C$94))))))</f>
        <v>#N/A</v>
      </c>
      <c r="BK254" s="140" t="e">
        <f t="shared" ca="1" si="829"/>
        <v>#N/A</v>
      </c>
      <c r="BL254" s="140" t="e">
        <f ca="1">IF($BK254&lt;=Control!$C$87,$BK254,Control!$C$87-$BK254)</f>
        <v>#N/A</v>
      </c>
      <c r="BM254" s="140" t="e">
        <f ca="1">IF(AND($BB254&gt;=9,$BB254&lt;21),1,IF($BK254&gt;=Control!$C$87,0,$BI254))</f>
        <v>#N/A</v>
      </c>
      <c r="BN254" s="404" t="e">
        <f ca="1">IF($BM254=0,0,IF($BK254&lt;=Control!$C$87,$BI254*(9+(21-9)*($BL254/Control!$C$87)),0))</f>
        <v>#N/A</v>
      </c>
      <c r="BO254" s="140" t="e">
        <f ca="1">IF($BM254=1,0,IF($BK254&gt;=Control!$C$87,1,IF(AND($BB254&lt;30,$BB254&gt;=21),1,$BS253)))</f>
        <v>#N/A</v>
      </c>
      <c r="BP254" s="140" t="e">
        <f ca="1">IF($BL254&lt;0,-$BL254,$BO254*IF(OR($G254&lt;Control!$C$92,$G254&gt;Control!$C$95),0,IF(AND($G254&gt;=Control!$C$92,$G254&lt;=Control!$C$93),$G254-Control!$C$92,IF(AND($G254&gt;Control!$C$93,$G254&lt;=Control!$C$94),Control!$C$93-Control!$C$92,IF(AND($G254&gt;Control!$C$94,$G254&lt;=Control!$C$95),(Control!$C$93-Control!$C$92)*(Control!$C$94-$G254)/(Control!$C$95-Control!$C$94))))))</f>
        <v>#N/A</v>
      </c>
      <c r="BQ254" s="140" t="e">
        <f t="shared" ca="1" si="713"/>
        <v>#N/A</v>
      </c>
      <c r="BR254" s="140" t="e">
        <f ca="1">IF($BQ254&lt;=Control!$C$88,$BQ254,Control!$C$88-$BQ254)</f>
        <v>#N/A</v>
      </c>
      <c r="BS254" s="140" t="e">
        <f ca="1">IF(AND($BB254&gt;=21,$BB254&lt;30),1,IF($BQ254&gt;=Control!$C$88,0,$BO254))</f>
        <v>#N/A</v>
      </c>
      <c r="BT254" s="404" t="e">
        <f ca="1">IF($BS254=0,0,IF($BQ254&lt;=Control!$C$88,$BO254*(21+(30-21)*(BR254/Control!$C$88)),0))</f>
        <v>#N/A</v>
      </c>
      <c r="BU254" s="140" t="e">
        <f ca="1">IF(BG254+BM254+BS254=1,0,IF(OR(AND($BB254&lt;60,$BB254&gt;=30),$BQ254&gt;=Control!$C$88),1*$BA254,$BY253))</f>
        <v>#N/A</v>
      </c>
      <c r="BV254" s="140" t="e">
        <f ca="1">IF($BR254&lt;0,-$BR254,$BU254*IF(OR($G254&lt;Control!$C$92,$G254&gt;Control!$C$95),0,IF(AND($G254&gt;=Control!$C$92,$G254&lt;=Control!$C$93),$G254-Control!$C$92,IF(AND($G254&gt;Control!$C$93,$G254&lt;=Control!$C$94),Control!$C$93-Control!$C$92,IF(AND($G254&gt;Control!$C$94,$G254&lt;=Control!$C$95),(Control!$C$93-Control!$C$92)*(Control!$C$94-$G254)/(Control!$C$95-Control!$C$94))))))</f>
        <v>#N/A</v>
      </c>
      <c r="BW254" s="140" t="e">
        <f t="shared" ca="1" si="714"/>
        <v>#N/A</v>
      </c>
      <c r="BX254" s="140" t="e">
        <f ca="1">IF($BW254&lt;=Control!$C$89,$BW254,Control!$C$89-$BW254)</f>
        <v>#N/A</v>
      </c>
      <c r="BY254" s="140" t="e">
        <f ca="1">IF(AND($AJ254&gt;=30,$AJ254&lt;60),1,IF($BW254&gt;=Control!$C$89,0,$BU254))</f>
        <v>#N/A</v>
      </c>
      <c r="BZ254" s="404" t="e">
        <f ca="1">IF($BY254=0,0,IF($BW254&lt;=Control!$C$89,$BU254*(30+(60-30)*(BX254/Control!$C$89)),0))</f>
        <v>#N/A</v>
      </c>
      <c r="CA254" s="140" t="e">
        <f ca="1">IF($BG254+$BM254+$BS254+$BY254=1,0,IF(OR(AND($BB254&lt;65,$BB254&gt;=60),$BW254&gt;=Control!$C$89),1*$BA254,$CE253))</f>
        <v>#N/A</v>
      </c>
      <c r="CB254" s="140" t="e">
        <f ca="1">IF($BX254&lt;0,-$BX254,$CA254*IF(OR($G254&lt;Control!$C$92,$G254&gt;Control!$C$95),0,IF(AND($G254&gt;=Control!$C$92,$G254&lt;=Control!$C$93),$G254-Control!$C$92,IF(AND($G254&gt;Control!$C$93,$G254&lt;=Control!$C$94),Control!$C$93-Control!$C$92,IF(AND($G254&gt;Control!$C$94,$G254&lt;=Control!$C$95),(Control!$C$93-Control!$C$92)*(Control!$C$94-$G254)/(Control!$C$95-Control!$C$94))))))</f>
        <v>#N/A</v>
      </c>
      <c r="CC254" s="140" t="e">
        <f t="shared" ca="1" si="830"/>
        <v>#N/A</v>
      </c>
      <c r="CD254" s="140" t="e">
        <f ca="1">IF($CC254&lt;=Control!$C$90,$CC254,Control!$C$90-$CC254)</f>
        <v>#N/A</v>
      </c>
      <c r="CE254" s="140" t="e">
        <f ca="1">IF(AND($BB254&gt;=60,$BB254&lt;65),1,IF($CC254&gt;=Control!$C$90,0,$CA254))</f>
        <v>#N/A</v>
      </c>
      <c r="CF254" s="404" t="e">
        <f ca="1">IF($CE254=0,0,IF($CC254&lt;=Control!$C$90,$CA254*(60+(65-60)*(CD254/Control!$C$90)),0))</f>
        <v>#N/A</v>
      </c>
      <c r="CG254" s="140" t="e">
        <f ca="1">IF($BG254+$BM254+$BS254+$BY254+$CE254=1,0,IF(OR(AND($BB254&lt;90,$BB254&gt;=65),$CC254&gt;=Control!$C$90),$BA254,$CK253))</f>
        <v>#N/A</v>
      </c>
      <c r="CH254" s="140" t="e">
        <f ca="1">IF($CD254&lt;0,-$CD254,$CG254*IF(OR($G254&lt;Control!$C$92,$G254&gt;Control!$C$95),0,IF(AND($G254&gt;=Control!$C$92,$G254&lt;=Control!$C$93),$G254-Control!$C$92,IF(AND($G254&gt;Control!$C$93,$G254&lt;=Control!$C$94),Control!$C$93-Control!$C$92,IF(AND($G254&gt;Control!$C$94,$G254&lt;=Control!$C$95),(Control!$C$93-Control!$C$92)*(Control!$C$94-$G254)/(Control!$C$95-Control!$C$94))))))</f>
        <v>#N/A</v>
      </c>
      <c r="CI254" s="140" t="e">
        <f t="shared" ca="1" si="831"/>
        <v>#N/A</v>
      </c>
      <c r="CJ254" s="140" t="e">
        <f ca="1">IF($CI254&lt;=Control!$C$91,$CI254,Control!$C$91-$CI254)</f>
        <v>#N/A</v>
      </c>
      <c r="CK254" s="140" t="e">
        <f ca="1">IF(AND($BB254&gt;=65,$BB254&lt;90),1,IF($CI254&gt;=Control!$C$91,0,$CG254))</f>
        <v>#N/A</v>
      </c>
      <c r="CL254" s="404" t="e">
        <f ca="1">IF($CK254=0,0,IF($CI254&lt;=Control!$C$91,$CG254*(65+(90-65)*($CJ254/Control!$C$91)),0))</f>
        <v>#N/A</v>
      </c>
      <c r="CM254" s="140" t="e">
        <f ca="1">IF($BG254+$BM254+$BS254+$BY254+$CE254+$CK254=1,0,IF(OR($BB254&gt;=90,$CI254&gt;=Control!$C$91),$BA254,$CM253))</f>
        <v>#N/A</v>
      </c>
      <c r="CN254" s="140" t="e">
        <f t="shared" ca="1" si="832"/>
        <v>#N/A</v>
      </c>
      <c r="CO254" s="140" t="e">
        <f t="shared" ca="1" si="833"/>
        <v>#N/A</v>
      </c>
      <c r="CP254" s="140" t="e">
        <f t="shared" ca="1" si="834"/>
        <v>#N/A</v>
      </c>
      <c r="CQ254" s="141" t="e">
        <f ca="1">VLOOKUP($CP254,Control!$B$86:$G$91,6)</f>
        <v>#N/A</v>
      </c>
      <c r="CR254" s="141" t="e">
        <f ca="1">(1-$CQ254)*VLOOKUP($CP254,Control!$B$86:$D$91,3)</f>
        <v>#N/A</v>
      </c>
      <c r="CS254" s="141" t="e">
        <f ca="1">(1-$CQ254)*VLOOKUP($CP254,Control!$B$86:$E$91,4)</f>
        <v>#N/A</v>
      </c>
      <c r="CT254" s="141" t="e">
        <f ca="1">(1-$CQ254)*VLOOKUP($CP254,Control!$B$86:$F$91,5)</f>
        <v>#N/A</v>
      </c>
      <c r="CU254" s="141">
        <f t="shared" ca="1" si="835"/>
        <v>0</v>
      </c>
      <c r="CV254" s="583">
        <f t="shared" ca="1" si="836"/>
        <v>0</v>
      </c>
      <c r="CW254" s="142">
        <f t="shared" ca="1" si="837"/>
        <v>250</v>
      </c>
      <c r="CX254" s="612" t="e">
        <f ca="1">IF(Control!$C$114=1,(MIN(Control!$C$120*(IF($NT254-0.01&lt;0,0,1)),Control!$C$119-$CY254)))</f>
        <v>#DIV/0!</v>
      </c>
      <c r="CY254" s="143" t="e">
        <f t="shared" ca="1" si="838"/>
        <v>#N/A</v>
      </c>
      <c r="CZ254" s="144">
        <f t="shared" ca="1" si="715"/>
        <v>0</v>
      </c>
      <c r="DA254" s="144">
        <f t="shared" ca="1" si="716"/>
        <v>0</v>
      </c>
      <c r="DB254" s="144" t="e">
        <f t="shared" ca="1" si="717"/>
        <v>#N/A</v>
      </c>
      <c r="DC254" s="144" t="e">
        <f t="shared" ca="1" si="718"/>
        <v>#N/A</v>
      </c>
      <c r="DD254" s="144" t="e">
        <f t="shared" ca="1" si="923"/>
        <v>#N/A</v>
      </c>
      <c r="DE254" s="143" t="e">
        <f t="shared" ca="1" si="839"/>
        <v>#N/A</v>
      </c>
      <c r="DF254" s="145" t="e">
        <f ca="1">$DR254*EXP(-Control!$C$158*(1-$KH254))</f>
        <v>#N/A</v>
      </c>
      <c r="DG254" s="146" t="e">
        <f ca="1">IF(Control!$C$114=1, $DF254*$EY254, 0)</f>
        <v>#N/A</v>
      </c>
      <c r="DH254" s="147" t="e">
        <f t="shared" ca="1" si="840"/>
        <v>#N/A</v>
      </c>
      <c r="DI254" s="144" t="e">
        <f t="shared" ca="1" si="901"/>
        <v>#N/A</v>
      </c>
      <c r="DJ254" s="147" t="e">
        <f ca="1">$EF254*Control!$C$109</f>
        <v>#N/A</v>
      </c>
      <c r="DK254" s="144" t="e">
        <f t="shared" ca="1" si="841"/>
        <v>#N/A</v>
      </c>
      <c r="DL254" s="144" t="e">
        <f t="shared" ca="1" si="719"/>
        <v>#N/A</v>
      </c>
      <c r="DM254" s="144" t="e">
        <f ca="1">IF(Control!$C$114=1, (1-EXP(-Control!$C$96*$DK254))*$AR254, 0)</f>
        <v>#N/A</v>
      </c>
      <c r="DN254" s="144">
        <f t="shared" ca="1" si="842"/>
        <v>0</v>
      </c>
      <c r="DO254" s="148">
        <f>Control!$C$97</f>
        <v>4</v>
      </c>
      <c r="DP254" s="145" t="e">
        <f t="shared" ca="1" si="843"/>
        <v>#N/A</v>
      </c>
      <c r="DQ254" s="145" t="e">
        <f ca="1">IF(AND($CP254&gt;=0,$CP254&lt;=90),Control!$C$111,Control!$C$111)</f>
        <v>#N/A</v>
      </c>
      <c r="DR254" s="145" t="e">
        <f t="shared" ca="1" si="720"/>
        <v>#N/A</v>
      </c>
      <c r="DS254" s="143" t="e">
        <f ca="1">Control!$B$22/$DR254</f>
        <v>#N/A</v>
      </c>
      <c r="DT254" s="149" t="e">
        <f ca="1">IF(AND(Control!$C$114=1,$KH254&lt;1),$IM254*$DF254, 0)</f>
        <v>#N/A</v>
      </c>
      <c r="DU254" s="144" t="e">
        <f t="shared" ca="1" si="844"/>
        <v>#N/A</v>
      </c>
      <c r="DV254" s="144">
        <f ca="1">IF($G254-Control!$C$107&lt;=0, 0, 0.83*LN(MAX($G254, 3))-0.8924)</f>
        <v>0</v>
      </c>
      <c r="DW254" s="144" t="e">
        <f t="shared" ca="1" si="721"/>
        <v>#N/A</v>
      </c>
      <c r="DX254" s="150" t="e">
        <f ca="1">MAX(0.01*(1+$CU254/Control!$C$102),0.05*($DK254-Control!$C$97)/Control!$C$97)</f>
        <v>#N/A</v>
      </c>
      <c r="DY254" s="151" t="e">
        <f ca="1">IF(Control!$C$114=1, $DI254*$FS254, 0)</f>
        <v>#N/A</v>
      </c>
      <c r="DZ254" s="196" t="e">
        <f t="shared" ca="1" si="845"/>
        <v>#N/A</v>
      </c>
      <c r="EA254" s="152">
        <f t="shared" ca="1" si="846"/>
        <v>250</v>
      </c>
      <c r="EB254" s="153" t="e">
        <f t="shared" ca="1" si="847"/>
        <v>#N/A</v>
      </c>
      <c r="EC254" s="153" t="e">
        <f t="shared" ca="1" si="848"/>
        <v>#N/A</v>
      </c>
      <c r="ED254" s="154" t="e">
        <f ca="1">IF(Control!$C$114=1, $HM254*$FY254-$FD254, 0)</f>
        <v>#DIV/0!</v>
      </c>
      <c r="EE254" s="155" t="e">
        <f ca="1">IF(Control!$C$114=1, $HM254*$FZ254-$FF254, 0)</f>
        <v>#DIV/0!</v>
      </c>
      <c r="EF254" s="153" t="e">
        <f t="shared" ca="1" si="902"/>
        <v>#N/A</v>
      </c>
      <c r="EG254" s="155" t="e">
        <f ca="1">IF(Control!$C$114=1, $GX254*$FW254-$FI254, 0)</f>
        <v>#DIV/0!</v>
      </c>
      <c r="EH254" s="153" t="e">
        <f t="shared" ca="1" si="849"/>
        <v>#N/A</v>
      </c>
      <c r="EI254" s="156" t="e">
        <f t="shared" ca="1" si="850"/>
        <v>#N/A</v>
      </c>
      <c r="EJ254" s="155" t="e">
        <f ca="1">IF(Control!$C$114=1, $HM254*$GB254, 0)</f>
        <v>#DIV/0!</v>
      </c>
      <c r="EK254" s="153" t="e">
        <f t="shared" ca="1" si="903"/>
        <v>#N/A</v>
      </c>
      <c r="EL254" s="153" t="e">
        <f t="shared" ca="1" si="722"/>
        <v>#N/A</v>
      </c>
      <c r="EM254" s="153" t="e">
        <f t="shared" ca="1" si="723"/>
        <v>#N/A</v>
      </c>
      <c r="EN254" s="153" t="e">
        <f ca="1">IF(Control!$C$108=1,IF(AND(Control!$B$18=1,$EB254&gt;=Control!$B$19),$EB254-$DS254,IF(AND(Control!$B$18=2,$AW254=1,$EB254&gt;$DS254),$EB254-$DS254,0)))</f>
        <v>#N/A</v>
      </c>
      <c r="EO254" s="153" t="e">
        <f ca="1">IF(Control!$C$108=1,IF(AND(Control!$B$18=1,$EB254&gt;=Control!$B$19),$EF254,IF(AND(Control!$B$18=2,$AW254=1),$EF254,0)))</f>
        <v>#N/A</v>
      </c>
      <c r="EP254" s="153" t="e">
        <f ca="1">IF(Control!$C$108=1,IF(AND(Control!$B$18=1,$EB254&gt;=Control!$B$19),$EK254,IF(AND(Control!$B$18=2,$AW254=1),$EK254,0)))</f>
        <v>#N/A</v>
      </c>
      <c r="EQ254" s="153" t="e">
        <f t="shared" ca="1" si="851"/>
        <v>#N/A</v>
      </c>
      <c r="ER254" s="153" t="e">
        <f t="shared" ca="1" si="852"/>
        <v>#N/A</v>
      </c>
      <c r="ES254" s="153" t="e">
        <f t="shared" ca="1" si="904"/>
        <v>#N/A</v>
      </c>
      <c r="ET254" s="153" t="e">
        <f t="shared" ca="1" si="905"/>
        <v>#N/A</v>
      </c>
      <c r="EU254" s="153" t="e">
        <f t="shared" ca="1" si="853"/>
        <v>#N/A</v>
      </c>
      <c r="EV254" s="153" t="e">
        <f t="shared" ca="1" si="724"/>
        <v>#N/A</v>
      </c>
      <c r="EW254" s="153" t="e">
        <f t="shared" ca="1" si="725"/>
        <v>#N/A</v>
      </c>
      <c r="EX254" s="153" t="e">
        <f t="shared" ca="1" si="726"/>
        <v>#N/A</v>
      </c>
      <c r="EY254" s="157" t="e">
        <f t="shared" ca="1" si="727"/>
        <v>#DIV/0!</v>
      </c>
      <c r="EZ254" s="154" t="e">
        <f t="shared" ca="1" si="728"/>
        <v>#DIV/0!</v>
      </c>
      <c r="FA254" s="153" t="e">
        <f t="shared" ca="1" si="854"/>
        <v>#N/A</v>
      </c>
      <c r="FB254" s="153" t="e">
        <f t="shared" ca="1" si="729"/>
        <v>#N/A</v>
      </c>
      <c r="FC254" s="193" t="e">
        <f t="shared" ca="1" si="730"/>
        <v>#N/A</v>
      </c>
      <c r="FD254" s="158" t="e">
        <f t="shared" ca="1" si="855"/>
        <v>#N/A</v>
      </c>
      <c r="FE254" s="158" t="e">
        <f t="shared" ca="1" si="856"/>
        <v>#N/A</v>
      </c>
      <c r="FF254" s="159" t="e">
        <f t="shared" ca="1" si="731"/>
        <v>#N/A</v>
      </c>
      <c r="FG254" s="160" t="e">
        <f t="shared" ca="1" si="857"/>
        <v>#N/A</v>
      </c>
      <c r="FH254" s="158" t="e">
        <f t="shared" ca="1" si="858"/>
        <v>#N/A</v>
      </c>
      <c r="FI254" s="159" t="e">
        <f t="shared" ca="1" si="732"/>
        <v>#N/A</v>
      </c>
      <c r="FJ254" s="160" t="e">
        <f t="shared" ca="1" si="859"/>
        <v>#N/A</v>
      </c>
      <c r="FK254" s="160" t="e">
        <f t="shared" ca="1" si="733"/>
        <v>#N/A</v>
      </c>
      <c r="FL254" s="160" t="e">
        <f t="shared" ca="1" si="906"/>
        <v>#N/A</v>
      </c>
      <c r="FM254" s="160" t="e">
        <f t="shared" ca="1" si="734"/>
        <v>#N/A</v>
      </c>
      <c r="FN254" s="158">
        <f t="shared" ca="1" si="860"/>
        <v>0.01</v>
      </c>
      <c r="FO254" s="160">
        <f>Control!$C$101</f>
        <v>50</v>
      </c>
      <c r="FP254" s="150" t="e">
        <f t="shared" ca="1" si="735"/>
        <v>#N/A</v>
      </c>
      <c r="FQ254" s="150" t="e">
        <f ca="1">MAX(0,(Control!$C$112*(($DK254-Control!$C$97)/Control!$C$97)))</f>
        <v>#N/A</v>
      </c>
      <c r="FR254" s="150" t="e">
        <f ca="1">(1-$NT254)*Control!$C$113</f>
        <v>#DIV/0!</v>
      </c>
      <c r="FS254" s="198" t="e">
        <f t="shared" ca="1" si="736"/>
        <v>#N/A</v>
      </c>
      <c r="FT254" s="161">
        <f t="shared" ca="1" si="861"/>
        <v>250</v>
      </c>
      <c r="FU254" s="162" t="e">
        <f ca="1">IF(Control!$B$34=1,VLOOKUP($CP254,Control!$B$86:$G$91,6),Control!$B$35)</f>
        <v>#N/A</v>
      </c>
      <c r="FV254" s="162" t="e">
        <f t="shared" ca="1" si="737"/>
        <v>#DIV/0!</v>
      </c>
      <c r="FW254" s="162" t="e">
        <f ca="1">IF(Control!$B$31=1,$FU254*$FV254,  $FU254)</f>
        <v>#N/A</v>
      </c>
      <c r="FX254" s="162" t="e">
        <f ca="1">IF(Control!$B$34=1,VLOOKUP($CP254,Control!$B$86:$G$91,3),Control!$B$36)</f>
        <v>#N/A</v>
      </c>
      <c r="FY254" s="162" t="e">
        <f t="shared" ca="1" si="738"/>
        <v>#N/A</v>
      </c>
      <c r="FZ254" s="162" t="e">
        <f ca="1">IF(Control!$B$34=1,VLOOKUP($CP254,Control!$B$86:$G$91,4),Control!$B$37)</f>
        <v>#N/A</v>
      </c>
      <c r="GA254" s="162" t="e">
        <f t="shared" ca="1" si="739"/>
        <v>#N/A</v>
      </c>
      <c r="GB254" s="162" t="e">
        <f ca="1">IF(Control!$B$34=1,VLOOKUP($CP254,Control!$B$86:$G$91,5),Control!$B$38)</f>
        <v>#N/A</v>
      </c>
      <c r="GC254" s="162" t="e">
        <f t="shared" ca="1" si="862"/>
        <v>#N/A</v>
      </c>
      <c r="GD254" s="162">
        <f t="shared" ca="1" si="740"/>
        <v>1</v>
      </c>
      <c r="GE254" s="162">
        <f t="shared" ca="1" si="741"/>
        <v>1</v>
      </c>
      <c r="GF254" s="162">
        <f ca="1">IF(AND(Control!$C$104=1, Control!$C$62="F"),$GE254,1)</f>
        <v>1</v>
      </c>
      <c r="GG254" s="162" t="e">
        <f ca="1">IF(Control!$B$16=40,0,IF(AND(Control!$B$16&gt;40,Control!$B$16&lt;=360),(Control!$B$16-40)*((1-0)/(360-40)),IF(AND(Control!$B$16&gt;360,Control!$B$16&lt;=720),(1+(Control!$B$16-360)*((1.25-1)/(720-360))),IF(AND(Control!$B$16&gt;720,Control!$B$16&lt;=1000),(1.25+(Control!$B$16-720)*((1.35-1.25)/(1000-720))),IF(AND(Control!$B$16&gt;1000,Control!$B$16&lt;=2000),(1.35+(Control!$B$16-1000)*0))))))</f>
        <v>#N/A</v>
      </c>
      <c r="GH254" s="162" t="e">
        <f t="shared" ca="1" si="742"/>
        <v>#N/A</v>
      </c>
      <c r="GI254" s="162">
        <f t="shared" ca="1" si="863"/>
        <v>0</v>
      </c>
      <c r="GJ254" s="162">
        <f t="shared" ca="1" si="743"/>
        <v>0</v>
      </c>
      <c r="GK254" s="162">
        <f t="shared" ca="1" si="864"/>
        <v>1</v>
      </c>
      <c r="GL254" s="162">
        <f t="shared" ca="1" si="744"/>
        <v>1</v>
      </c>
      <c r="GM254" s="162" t="e">
        <f ca="1">MAX(0,MIN(1,1-Control!$C$156*(1.0001-$KH254)^2))</f>
        <v>#N/A</v>
      </c>
      <c r="GN254" s="162" t="e">
        <f ca="1">IF(Control!$B$26=1,$KU254,$KX254)</f>
        <v>#N/A</v>
      </c>
      <c r="GO254" s="162" t="e">
        <f ca="1">IF($CP254&lt;=60,Control!$C$105,IF($CP254&gt;=90,Control!$C$106,Control!$C$105+($CP254-60)*((Control!$C$106-Control!$C$105)/(90-60))))</f>
        <v>#N/A</v>
      </c>
      <c r="GP254" s="162" t="e">
        <f t="shared" ca="1" si="745"/>
        <v>#N/A</v>
      </c>
      <c r="GQ254" s="162" t="e">
        <f t="shared" ca="1" si="865"/>
        <v>#N/A</v>
      </c>
      <c r="GR254" s="163" t="e">
        <f t="shared" ca="1" si="746"/>
        <v>#DIV/0!</v>
      </c>
      <c r="GS254" s="162" t="e">
        <f t="shared" ca="1" si="747"/>
        <v>#DIV/0!</v>
      </c>
      <c r="GT254" s="164" t="e">
        <f t="shared" ca="1" si="866"/>
        <v>#N/A</v>
      </c>
      <c r="GU254" s="162" t="e">
        <f t="shared" ca="1" si="867"/>
        <v>#N/A</v>
      </c>
      <c r="GV254" s="162" t="e">
        <f t="shared" ca="1" si="748"/>
        <v>#N/A</v>
      </c>
      <c r="GW254" s="162" t="e">
        <f t="shared" ca="1" si="749"/>
        <v>#DIV/0!</v>
      </c>
      <c r="GX254" s="162" t="e">
        <f t="shared" ca="1" si="868"/>
        <v>#DIV/0!</v>
      </c>
      <c r="GY254" s="162" t="e">
        <f t="shared" ca="1" si="869"/>
        <v>#DIV/0!</v>
      </c>
      <c r="GZ254" s="165" t="e">
        <f t="shared" ca="1" si="750"/>
        <v>#N/A</v>
      </c>
      <c r="HA254" s="162" t="e">
        <f ca="1">IF(Control!$C$114=1, $DI254*$FS254, 0)</f>
        <v>#N/A</v>
      </c>
      <c r="HB254" s="162" t="e">
        <f ca="1">$FA254/Control!$C$64</f>
        <v>#N/A</v>
      </c>
      <c r="HC254" s="162" t="e">
        <f t="shared" ca="1" si="751"/>
        <v>#DIV/0!</v>
      </c>
      <c r="HD254" s="162">
        <f ca="1">-ASIN(SIN(23.45*Control!$C$139)*COS(2*Control!$C$138*($AH254+10)/365))</f>
        <v>9.3447629795079659E-2</v>
      </c>
      <c r="HE254" s="165">
        <f t="shared" ca="1" si="870"/>
        <v>0</v>
      </c>
      <c r="HF254" s="166">
        <f ca="1">IF(AND(Control!$C$61="T",$HE254&gt;=Control!$C$103,Control!$C$114=0),$AH254,Control!$C$59)</f>
        <v>1</v>
      </c>
      <c r="HG254" s="166">
        <f ca="1">IF(AND(Control!$C$61="T",$HE254&gt;=Control!$C$103,Control!$C$114=0),$HF254,Control!$C$59)</f>
        <v>1</v>
      </c>
      <c r="HH254" s="165">
        <f ca="1">IF(AND(OR(Control!$C$60&lt;=0, $AH254= Control!$C$59, Control!$C$60 &gt;0, $AH254 = Control!$C$60)), Control!$C$59, IF(Control!$C$60&gt;0, 0))</f>
        <v>1</v>
      </c>
      <c r="HI254" s="165">
        <f ca="1">IF(AND(OR(Control!$C$60&lt;=0, $AH254= Control!$C$59, Control!$C$60 &gt;0, $AH254 = Control!$C$60)), Control!$C$60, IF(Control!$C$60&lt;=0, 0))</f>
        <v>0</v>
      </c>
      <c r="HJ254" s="166">
        <f ca="1">IF(AND(Control!$C$62="F",$CV254&gt;=Control!$C$102),$AH254,0)</f>
        <v>0</v>
      </c>
      <c r="HK254" s="165" t="e">
        <f t="shared" ca="1" si="907"/>
        <v>#N/A</v>
      </c>
      <c r="HL254" s="166">
        <f ca="1">IF(AND(Control!$C$61="T",$HE254&gt;=Control!$C$103,Control!$C$114=0),$HF254,0)</f>
        <v>0</v>
      </c>
      <c r="HM254" s="201" t="e">
        <f t="shared" ca="1" si="752"/>
        <v>#DIV/0!</v>
      </c>
      <c r="HN254" s="215">
        <f t="shared" ca="1" si="871"/>
        <v>250</v>
      </c>
      <c r="HO254" s="216" t="e">
        <f ca="1">IF(AND($CP254&gt;=0, $CP254&lt;=90), Control!$C$152, Control!$C$152)</f>
        <v>#N/A</v>
      </c>
      <c r="HP254" s="216" t="e">
        <f t="shared" ca="1" si="753"/>
        <v>#N/A</v>
      </c>
      <c r="HQ254" s="217" t="e">
        <f ca="1">IF(OR(Control!$B$26=1,Control!$B$26=2),$KV254,$KS254)</f>
        <v>#DIV/0!</v>
      </c>
      <c r="HR254" s="218" t="e">
        <f t="shared" ca="1" si="908"/>
        <v>#DIV/0!</v>
      </c>
      <c r="HS254" s="216" t="e">
        <f ca="1">Control!$C$154*$HP254</f>
        <v>#N/A</v>
      </c>
      <c r="HT254" s="216" t="e">
        <f ca="1">Control!$C$155*$HP254</f>
        <v>#N/A</v>
      </c>
      <c r="HU254" s="217" t="e">
        <f ca="1">Control!$C$161*$FI254</f>
        <v>#N/A</v>
      </c>
      <c r="HV254" s="218" t="e">
        <f t="shared" ca="1" si="872"/>
        <v>#N/A</v>
      </c>
      <c r="HW254" s="218" t="e">
        <f ca="1">Control!$C$160*$FF254+$IP254*$EO254</f>
        <v>#N/A</v>
      </c>
      <c r="HX254" s="218" t="e">
        <f t="shared" ca="1" si="909"/>
        <v>#N/A</v>
      </c>
      <c r="HY254" s="219" t="e">
        <f ca="1">IF(Control!$C$114=1, $EB254*$FS254, 0)</f>
        <v>#N/A</v>
      </c>
      <c r="HZ254" s="91" t="e">
        <f t="shared" ca="1" si="754"/>
        <v>#N/A</v>
      </c>
      <c r="IA254" s="220" t="e">
        <f ca="1">Control!$C$153*$HO254</f>
        <v>#N/A</v>
      </c>
      <c r="IB254" s="218" t="e">
        <f t="shared" ca="1" si="755"/>
        <v>#N/A</v>
      </c>
      <c r="IC254" s="220" t="e">
        <f ca="1">Control!$C$153*$HT254</f>
        <v>#N/A</v>
      </c>
      <c r="ID254" s="218" t="e">
        <f t="shared" ca="1" si="756"/>
        <v>#N/A</v>
      </c>
      <c r="IE254" s="221" t="e">
        <f ca="1">($EB254*Control!$C$159+$EF254*Control!$C$160)/(IF($GZ254&lt;&gt;0,$GZ254,1))</f>
        <v>#N/A</v>
      </c>
      <c r="IF254" s="216" t="e">
        <f t="shared" ca="1" si="757"/>
        <v>#N/A</v>
      </c>
      <c r="IG254" s="91">
        <f ca="1">IF(OR(Control!$B$198=$AH254,Control!$B$199=$AH254, Control!$B$200=$AH254, Control!$B$201=$AH254, Control!$B$202=$AH254, Control!$B$203=$AH254, Control!$B$204=$AH254, Control!$B$205=$AH254, Control!$B$206=$AH254, Control!$B$207=$AH254), 1, 0)</f>
        <v>0</v>
      </c>
      <c r="IH254" s="91">
        <f ca="1">IF($IG254=0,0, VLOOKUP($AH254,Control!$B$198:$C$207,2))</f>
        <v>0</v>
      </c>
      <c r="II254" s="222">
        <f t="shared" ca="1" si="873"/>
        <v>0</v>
      </c>
      <c r="IJ254" s="91">
        <f>Control!$C$121</f>
        <v>0.7</v>
      </c>
      <c r="IK254" s="218">
        <f t="shared" ca="1" si="758"/>
        <v>0</v>
      </c>
      <c r="IL254" s="217" t="e">
        <f t="shared" ca="1" si="910"/>
        <v>#N/A</v>
      </c>
      <c r="IM254" s="223" t="e">
        <f ca="1">IF(AND(Control!$C$114=1,$KH254&lt;1),$EB254*Control!$C$148*(1-$KH254), 0)</f>
        <v>#N/A</v>
      </c>
      <c r="IN254" s="217" t="e">
        <f t="shared" ca="1" si="759"/>
        <v>#DIV/0!</v>
      </c>
      <c r="IO254" s="91" t="e">
        <f ca="1">MAX(0,$IL254-$EF254*Control!$C$160)</f>
        <v>#N/A</v>
      </c>
      <c r="IP254" s="220" t="e">
        <f t="shared" ca="1" si="760"/>
        <v>#N/A</v>
      </c>
      <c r="IQ254" s="217" t="e">
        <f t="shared" ca="1" si="874"/>
        <v>#N/A</v>
      </c>
      <c r="IR254" s="218" t="e">
        <f t="shared" ca="1" si="761"/>
        <v>#N/A</v>
      </c>
      <c r="IS254" s="217" t="e">
        <f ca="1">Control!$C$159*MAX(0,$FD254-$EN254)</f>
        <v>#N/A</v>
      </c>
      <c r="IT254" s="217" t="e">
        <f t="shared" ca="1" si="911"/>
        <v>#N/A</v>
      </c>
      <c r="IU254" s="217" t="e">
        <f t="shared" ca="1" si="875"/>
        <v>#N/A</v>
      </c>
      <c r="IV254" s="217" t="e">
        <f t="shared" ca="1" si="912"/>
        <v>#N/A</v>
      </c>
      <c r="IW254" s="217" t="e">
        <f ca="1">IF(OR($AW254=1,AND($AW254=0, Control!$B$18=1,$EN254&lt;&gt;0)), $IQ254-$IU254, $IQ254)</f>
        <v>#N/A</v>
      </c>
      <c r="IX254" s="218" t="e">
        <f t="shared" ca="1" si="762"/>
        <v>#N/A</v>
      </c>
      <c r="IY254" s="218" t="e">
        <f ca="1">MAX(0,$IQ254-$EB254*Control!$C$159)</f>
        <v>#N/A</v>
      </c>
      <c r="IZ254" s="218" t="e">
        <f t="shared" ca="1" si="763"/>
        <v>#N/A</v>
      </c>
      <c r="JA254" s="216" t="e">
        <f t="shared" ca="1" si="764"/>
        <v>#N/A</v>
      </c>
      <c r="JB254" s="217" t="e">
        <f t="shared" ca="1" si="765"/>
        <v>#N/A</v>
      </c>
      <c r="JC254" s="222" t="e">
        <f ca="1">MAX(Control!$C$157*$EK254-$JT254, 0)/Control!$C$162</f>
        <v>#N/A</v>
      </c>
      <c r="JD254" s="218" t="e">
        <f t="shared" ca="1" si="766"/>
        <v>#N/A</v>
      </c>
      <c r="JE254" s="218" t="e">
        <f t="shared" ca="1" si="767"/>
        <v>#N/A</v>
      </c>
      <c r="JF254" s="218" t="e">
        <f t="shared" ca="1" si="876"/>
        <v>#N/A</v>
      </c>
      <c r="JG254" s="218" t="e">
        <f t="shared" ca="1" si="768"/>
        <v>#N/A</v>
      </c>
      <c r="JH254" s="217" t="e">
        <f t="shared" ca="1" si="877"/>
        <v>#N/A</v>
      </c>
      <c r="JI254" s="217" t="e">
        <f t="shared" ca="1" si="878"/>
        <v>#N/A</v>
      </c>
      <c r="JJ254" s="217" t="e">
        <f t="shared" ca="1" si="913"/>
        <v>#N/A</v>
      </c>
      <c r="JK254" s="217" t="e">
        <f ca="1">IF(Control!$C$114=1,IF(Control!$B$24=0,MAX(0,$JI254)*$GN254/Control!$C$64,(MAX(0,MIN($JI254,$JJ254*$GN254/Control!$C$64),0))))</f>
        <v>#N/A</v>
      </c>
      <c r="JL254" s="217" t="e">
        <f ca="1">$IK254/Control!$C$64-$JK254+$HQ254</f>
        <v>#N/A</v>
      </c>
      <c r="JM254" s="217" t="e">
        <f ca="1">IF(Control!$C$114=1,($JB254/(IF($JI254&lt;&gt;0,$JI254,1)))*$JK254,0)</f>
        <v>#N/A</v>
      </c>
      <c r="JN254" s="217" t="e">
        <f ca="1">IF(Control!$C$114=1,($JG254/(IF($JI254&lt;&gt;0,$JI254,1)))*$JK254, 0)</f>
        <v>#N/A</v>
      </c>
      <c r="JO254" s="218" t="e">
        <f t="shared" ca="1" si="769"/>
        <v>#N/A</v>
      </c>
      <c r="JP254" s="218" t="e">
        <f ca="1">MIN(($IY254+$IO254)*Control!$C$151, $JF254-$EH254*Control!$C$161)</f>
        <v>#N/A</v>
      </c>
      <c r="JQ254" s="218" t="e">
        <f t="shared" ca="1" si="770"/>
        <v>#N/A</v>
      </c>
      <c r="JR254" s="217" t="e">
        <f ca="1">IF($CP254-Control!$C$150&lt;0, 0, $JQ254/Control!$C$162)</f>
        <v>#N/A</v>
      </c>
      <c r="JS254" s="218" t="e">
        <f t="shared" ca="1" si="771"/>
        <v>#N/A</v>
      </c>
      <c r="JT254" s="218" t="e">
        <f t="shared" ca="1" si="879"/>
        <v>#N/A</v>
      </c>
      <c r="JU254" s="218" t="e">
        <f t="shared" ca="1" si="772"/>
        <v>#N/A</v>
      </c>
      <c r="JV254" s="218" t="e">
        <f t="shared" ca="1" si="773"/>
        <v>#N/A</v>
      </c>
      <c r="JW254" s="216" t="e">
        <f t="shared" ca="1" si="774"/>
        <v>#N/A</v>
      </c>
      <c r="JX254" s="91" t="e">
        <f t="shared" ca="1" si="775"/>
        <v>#N/A</v>
      </c>
      <c r="JY254" s="218" t="e">
        <f t="shared" ca="1" si="776"/>
        <v>#N/A</v>
      </c>
      <c r="JZ254" s="217" t="e">
        <f ca="1">IF(Control!$C$114=1,($IZ254/(IF($JI254&lt;&gt;0,$JI254,1)))*$JK254, 0)</f>
        <v>#N/A</v>
      </c>
      <c r="KA254" s="218" t="e">
        <f t="shared" ca="1" si="914"/>
        <v>#N/A</v>
      </c>
      <c r="KB254" s="218" t="e">
        <f t="shared" ca="1" si="880"/>
        <v>#N/A</v>
      </c>
      <c r="KC254" s="218" t="e">
        <f t="shared" ca="1" si="777"/>
        <v>#N/A</v>
      </c>
      <c r="KD254" s="218" t="e">
        <f t="shared" ca="1" si="778"/>
        <v>#N/A</v>
      </c>
      <c r="KE254" s="218" t="e">
        <f t="shared" ca="1" si="779"/>
        <v>#N/A</v>
      </c>
      <c r="KF254" s="218" t="e">
        <f t="shared" ca="1" si="780"/>
        <v>#N/A</v>
      </c>
      <c r="KG254" s="216" t="e">
        <f t="shared" ca="1" si="781"/>
        <v>#N/A</v>
      </c>
      <c r="KH254" s="221" t="e">
        <f ca="1">IF(Control!$B$24=0,1,MAX(0.001,MIN(1,IF(($IF254-$IE254)&lt;&gt;0,($KG254-$IE254)/($IF254-$IE254),1))))</f>
        <v>#N/A</v>
      </c>
      <c r="KI254" s="222" t="e">
        <f ca="1">IF(Control!$C$114=1, $KI253+ $KH253, 0)</f>
        <v>#N/A</v>
      </c>
      <c r="KJ254" s="217" t="e">
        <f t="shared" ca="1" si="782"/>
        <v>#N/A</v>
      </c>
      <c r="KK254" s="218" t="e">
        <f t="shared" ca="1" si="783"/>
        <v>#N/A</v>
      </c>
      <c r="KL254" s="274" t="e">
        <f ca="1">IF(Control!$B$26=3,4000000000*EXP(-8400/($G254+273)),IF(Control!$B$26=4,4000000000*EXP(-8400/($G254+273))*($KT254),0))</f>
        <v>#DIV/0!</v>
      </c>
      <c r="KM254" s="274" t="e">
        <f ca="1">IF(Control!$B$26=3,5600000000000*EXP(-9800/($G254+273)),IF(Control!$B$26=4,5600000000000*EXP(-9800/($G254+273))*$KT254,0))</f>
        <v>#DIV/0!</v>
      </c>
      <c r="KN254" s="454" t="e">
        <f t="shared" ca="1" si="881"/>
        <v>#DIV/0!</v>
      </c>
      <c r="KO254" s="274" t="e">
        <f t="shared" ca="1" si="882"/>
        <v>#DIV/0!</v>
      </c>
      <c r="KP254" s="454" t="e">
        <f t="shared" ca="1" si="784"/>
        <v>#DIV/0!</v>
      </c>
      <c r="KQ254" s="454" t="e">
        <f t="shared" ca="1" si="785"/>
        <v>#DIV/0!</v>
      </c>
      <c r="KR254" s="454" t="e">
        <f t="shared" ca="1" si="786"/>
        <v>#DIV/0!</v>
      </c>
      <c r="KS254" s="454" t="e">
        <f t="shared" ca="1" si="787"/>
        <v>#DIV/0!</v>
      </c>
      <c r="KT254" s="455" t="e">
        <f t="shared" ca="1" si="788"/>
        <v>#DIV/0!</v>
      </c>
      <c r="KU254" s="456" t="e">
        <f ca="1">IF($CP254-Control!$C$149&lt;0, IF($NT254-0.01&lt;0,0,1),0)</f>
        <v>#N/A</v>
      </c>
      <c r="KV254" s="456" t="e">
        <f ca="1">IF(Control!$C$114=1,MAX(0,MIN(Control!$C$125*$KW254*$GN254,$KW254)))</f>
        <v>#DIV/0!</v>
      </c>
      <c r="KW254" s="456" t="e">
        <f t="shared" ca="1" si="915"/>
        <v>#DIV/0!</v>
      </c>
      <c r="KX254" s="457" t="e">
        <f ca="1">IF($CP254-Control!$C$149&lt;0, IF($MR254-$OM254&lt;0,0,1),0)</f>
        <v>#N/A</v>
      </c>
      <c r="KY254" s="167">
        <f t="shared" ca="1" si="883"/>
        <v>250</v>
      </c>
      <c r="KZ254" s="168">
        <f ca="1">1370*(1+0.033*COS(2*Control!$C$138*$AH254/365))</f>
        <v>1352.0275068441215</v>
      </c>
      <c r="LA254" s="169">
        <f t="shared" ca="1" si="884"/>
        <v>0.98688108712867562</v>
      </c>
      <c r="LB254" s="169">
        <f t="shared" ca="1" si="885"/>
        <v>9.2462526222953909E-2</v>
      </c>
      <c r="LC254" s="169">
        <f ca="1">ACOS(-TAN((2*Control!$B$8/360))*TAN(Calculations!$LB254))</f>
        <v>1.5983585496492636</v>
      </c>
      <c r="LD254" s="169">
        <f ca="1">((24*60)/PI())*0.082*$LA254*(($LC254*SIN(Control!$B$8*2*PI()/360))*SIN($LB254)+COS(Control!$B$8*2*PI()/360)*COS($LB254)*SIN($LC254))</f>
        <v>27.044155170885666</v>
      </c>
      <c r="LE254" s="170">
        <f t="shared" ca="1" si="789"/>
        <v>27.250633817412769</v>
      </c>
      <c r="LF254" s="170">
        <f ca="1">SIN(Control!$C$139*Control!$B$8)*SIN($HD254)</f>
        <v>7.35307327913646E-2</v>
      </c>
      <c r="LG254" s="170">
        <f ca="1">COS(Control!$C$139*Control!$B$8)*COS($HD254)</f>
        <v>0.61297364636336349</v>
      </c>
      <c r="LH254" s="170">
        <f ca="1">12*(1+2*ASIN(MAX(-1,MIN(1,$LF254/$LG254))/Control!$C$138))</f>
        <v>12.916627817764065</v>
      </c>
      <c r="LI254" s="170">
        <f ca="1">12*(1+2*ASIN(MAX(-1,MIN(1,(-SIN(-4*Control!$C$139)+$LF254)/$LG254))/Control!$C$138))</f>
        <v>13.787425776007051</v>
      </c>
      <c r="LJ254" s="168">
        <f ca="1">3600*($LH254*$LF254+24*$LG254*SQRT(1-$LK254*$LK254)/Control!$C$138)</f>
        <v>20155.384176332856</v>
      </c>
      <c r="LK254" s="170">
        <f t="shared" ca="1" si="790"/>
        <v>0.11995741289630657</v>
      </c>
      <c r="LL254" s="170">
        <f t="shared" ca="1" si="791"/>
        <v>0</v>
      </c>
      <c r="LM254" s="171">
        <f ca="1">Control!$C$145*$AB254</f>
        <v>6.6660906138995932E-2</v>
      </c>
      <c r="LN254" s="170">
        <f t="shared" ca="1" si="886"/>
        <v>0.54</v>
      </c>
      <c r="LO254" s="170">
        <f t="shared" ca="1" si="792"/>
        <v>0</v>
      </c>
      <c r="LP254" s="170">
        <f ca="1">Control!$C$140*((($D254+273.16)^4+($E254+273.16)^4)/2)*(0.34-0.14*SQRT($Y254))*(1.35*$AQ254/(0.75*$LD254)-0.35)</f>
        <v>-3.2464704755046001</v>
      </c>
      <c r="LQ254" s="170">
        <f ca="1">Control!$C$140*($G254+273)^4*(0.56-0.079*SQRT($Y254*10))*(0.1+0.9*$LO254)</f>
        <v>1.5241745131704001</v>
      </c>
      <c r="LR254" s="170">
        <f ca="1">$AQ254*(1-Control!$C$142)-$LQ254</f>
        <v>-1.5241745131704001</v>
      </c>
      <c r="LS254" s="170">
        <f ca="1">$AQ254*(1-Control!$C$143)-$LQ254</f>
        <v>-1.5241745131704001</v>
      </c>
      <c r="LT254" s="170">
        <f ca="1">$AQ254*(1-Control!$C$144)-$LQ254</f>
        <v>-1.5241745131704001</v>
      </c>
      <c r="LU254" s="169">
        <f ca="1">(1-Control!$C$144)*AQ254-LP254</f>
        <v>3.2464704755046001</v>
      </c>
      <c r="LV254" s="172">
        <f t="shared" ca="1" si="793"/>
        <v>0.79430000000000012</v>
      </c>
      <c r="LW254" s="170">
        <f t="shared" ca="1" si="794"/>
        <v>1.5886000000000002</v>
      </c>
      <c r="LX254" s="170">
        <f ca="1">($AC254*($LR254/Control!$C$141)+$LM254*$LV254)/($AC254+$LM254)</f>
        <v>0.23530094218323697</v>
      </c>
      <c r="LY254" s="170">
        <f ca="1">($AC254*($LS254/Control!$C$141)+$LM254*$LV254)/($AC254+$LM254)</f>
        <v>0.23530094218323697</v>
      </c>
      <c r="LZ254" s="170">
        <f t="shared" ca="1" si="795"/>
        <v>0.23530094218323697</v>
      </c>
      <c r="MA254" s="170">
        <f t="shared" ca="1" si="796"/>
        <v>0.23530094218323697</v>
      </c>
      <c r="MB254" s="170" t="e">
        <f t="shared" ca="1" si="797"/>
        <v>#N/A</v>
      </c>
      <c r="MC254" s="170">
        <f t="shared" ca="1" si="887"/>
        <v>0.6018</v>
      </c>
      <c r="MD254" s="170">
        <f t="shared" ca="1" si="798"/>
        <v>0.52989392535414004</v>
      </c>
      <c r="ME254" s="170">
        <f ca="1">($AC254*($LT254/Control!$C$141)+$LM254*$LW254)/($AC254+$LM254)</f>
        <v>0.71612369323045078</v>
      </c>
      <c r="MF254" s="170" t="e">
        <f ca="1">IF(Control!$B$16&gt;=1000,0.92,IF(AND(720&lt;=Control!$B$16,1000&gt;Control!$B$16),(0.95+(Control!$B$16-720)*((0.92-0.95)/(1000-720))),IF(AND(360&lt;=Control!$B$16,720&gt;Control!$B$16),(1+(Control!$B$16-360)*((0.95-1)/(720-360))),IF(AND(40&lt;=Control!$B$16,360&gt;Control!$B$16),(1.05+(Control!$B$16-40)*((1.05-1)/(360-40)))))))</f>
        <v>#N/A</v>
      </c>
      <c r="MG254" s="170">
        <f t="shared" ca="1" si="799"/>
        <v>0.71612369323045078</v>
      </c>
      <c r="MH254" s="170" t="e">
        <f t="shared" ca="1" si="926"/>
        <v>#N/A</v>
      </c>
      <c r="MI254" s="170" t="e">
        <f t="shared" ca="1" si="926"/>
        <v>#N/A</v>
      </c>
      <c r="MJ254" s="170" t="e">
        <f ca="1">MAX(0.0001, Control!$C$132*$MI254*$DL254)</f>
        <v>#N/A</v>
      </c>
      <c r="MK254" s="170">
        <f ca="1">1/(0.76+1.5*($MG254/10))-(5-Control!$C$110)*0.1</f>
        <v>1.002845988140797</v>
      </c>
      <c r="ML254" s="173">
        <f ca="1">IF(Control!$C$110&lt;3,$MK254+($MG254-0.6)/(Control!$C$110*(Control!$C$110+3)), MAX(0.1, MIN(0.95,$MK254)))</f>
        <v>0.95</v>
      </c>
      <c r="MM254" s="173">
        <f ca="1">IF(Control!$C$110&lt;3,$MK254+(($MI254/10)-0.6)/(Control!$C$110*(Control!$C$110+3)), MAX(0.1, MIN(0.95,$MK254)))</f>
        <v>0.95</v>
      </c>
      <c r="MN254" s="173">
        <f ca="1">(1-$MM254)*(Control!$C$128-Control!$C$127)+Control!$C$127</f>
        <v>0.16</v>
      </c>
      <c r="MO254" s="170" t="e">
        <f ca="1">MAX(0,MIN(1,($MS254-Control!$C$127)/($MN254-Control!$C$127)))</f>
        <v>#DIV/0!</v>
      </c>
      <c r="MP254" s="173" t="e">
        <f ca="1">1/(0.76+1.5*$MI254)-(5-Control!$C$110)*0.1</f>
        <v>#N/A</v>
      </c>
      <c r="MQ254" s="172" t="e">
        <f t="shared" ca="1" si="916"/>
        <v>#DIV/0!</v>
      </c>
      <c r="MR254" s="168" t="e">
        <f t="shared" ca="1" si="888"/>
        <v>#DIV/0!</v>
      </c>
      <c r="MS254" s="173" t="e">
        <f ca="1">MAX(Control!$C$127, MIN(Control!$C$135, $MR254/MAX(0.0001,$CY254)))</f>
        <v>#DIV/0!</v>
      </c>
      <c r="MT254" s="168" t="e">
        <f ca="1">(Control!$C$128-$MS254)*Control!$C$74</f>
        <v>#DIV/0!</v>
      </c>
      <c r="MU254" s="168" t="e">
        <f ca="1">(Control!$C$135-$MS254)*Control!$C$74</f>
        <v>#DIV/0!</v>
      </c>
      <c r="MV254" s="168" t="e">
        <f t="shared" ca="1" si="889"/>
        <v>#DIV/0!</v>
      </c>
      <c r="MW254" s="168" t="e">
        <f t="shared" ca="1" si="890"/>
        <v>#DIV/0!</v>
      </c>
      <c r="MX254" s="171" t="e">
        <f ca="1">MAX(Control!$C$127, MIN(Control!$C$135, $MW254/MAX(0.0001,Control!$C$119-$CY254)))</f>
        <v>#DIV/0!</v>
      </c>
      <c r="MY254" s="54" t="e">
        <f ca="1">IF(Control!$C$114=1, $CX254*$MX254, 0)</f>
        <v>#DIV/0!</v>
      </c>
      <c r="MZ254" s="54" t="e">
        <f t="shared" ca="1" si="891"/>
        <v>#N/A</v>
      </c>
      <c r="NA254" s="168" t="e">
        <f ca="1">(Control!$C$128-$MX254)*(Control!$C$119-Control!$C$74)</f>
        <v>#DIV/0!</v>
      </c>
      <c r="NB254" s="168" t="e">
        <f ca="1">(Control!$C$135-$MX254)*(Control!$C$119-Control!$C$74)</f>
        <v>#DIV/0!</v>
      </c>
      <c r="NC254" s="174" t="e">
        <f t="shared" ca="1" si="892"/>
        <v>#DIV/0!</v>
      </c>
      <c r="ND254" s="54">
        <f ca="1">IF(Control!$C$58=2, IF(OR(Control!$B$218=$AH254,Control!$B$219=$AH254, Control!$B$220=$AH254, Control!$B$221=$AH254, Control!$B$222=$AH254, Control!$B$223=$AH254, Control!$B$224=$AH254, Control!$B$225=$AH254, Control!$B$226=$AH254, Control!$B$227=$AH254, Control!$B$228=$AH254), 1, 0), 0)</f>
        <v>0</v>
      </c>
      <c r="NE254" s="54">
        <f ca="1">IF($ND254=0,0, VLOOKUP($AH254,Control!$B$218:$C$228,2))</f>
        <v>0</v>
      </c>
      <c r="NF254" s="168" t="e">
        <f ca="1">$CY254*(Control!$C$128-Control!$C$127)</f>
        <v>#N/A</v>
      </c>
      <c r="NG254" s="54" t="e">
        <f ca="1">IF(Control!$C$58=2, $NI253-$NJ253, 0)</f>
        <v>#DIV/0!</v>
      </c>
      <c r="NH254" s="54" t="e">
        <f ca="1">IF(AND(Control!$C$58=1, $MS253&lt;= ($MN253+0.02), $I253&lt;10), 0, IF(Control!$C$58=2, $NG253, 0))</f>
        <v>#DIV/0!</v>
      </c>
      <c r="NI254" s="54" t="e">
        <f ca="1">IF(Control!$C$58=2, $NE254+$NH254,0)</f>
        <v>#DIV/0!</v>
      </c>
      <c r="NJ254" s="54" t="e">
        <f ca="1">IF(AND(Control!$C$58=1, $MS254&lt;= ($MN254+0.02), $I254&lt;10), MAX(0, MIN(10, 0.7*($NF254-$MV254))), IF(Control!$C$58=2, MIN(10,$NI254),0))</f>
        <v>#DIV/0!</v>
      </c>
      <c r="NK254" s="54" t="e">
        <f t="shared" ca="1" si="800"/>
        <v>#DIV/0!</v>
      </c>
      <c r="NL254" s="173" t="e">
        <f ca="1">(1-Control!$C$73)*$I254+$NJ254</f>
        <v>#DIV/0!</v>
      </c>
      <c r="NM254" s="172" t="e">
        <f ca="1">IF($NL254&lt;0.5, $MB254* MAX(0, MIN(1, (SQRT($NC254)-SQRT($NC254-1))*Control!$C$71)),0)</f>
        <v>#DIV/0!</v>
      </c>
      <c r="NN254" s="170" t="e">
        <f ca="1">IF($NL254&gt;=5, $MB254, MAX(0,MIN($MB254, $NM254+$NL254,($MS254-Control!$C$129))))</f>
        <v>#DIV/0!</v>
      </c>
      <c r="NO254" s="54">
        <f>IF(Control!$C$133&lt;&gt;1, Control!$C$135-Control!$C$131, 0)</f>
        <v>0.38</v>
      </c>
      <c r="NP254" s="54" t="e">
        <f t="shared" ca="1" si="801"/>
        <v>#DIV/0!</v>
      </c>
      <c r="NQ254" s="173" t="e">
        <f ca="1">MAX(0,MIN(1,(Control!$C$135-$MS254)/(Control!$C$135-$NO254)))</f>
        <v>#DIV/0!</v>
      </c>
      <c r="NR254" s="170" t="e">
        <f ca="1">IF(Control!$C$133&lt;&gt;1, $NQ254+((1-$NP254/4)*(1-$NQ254)),1)</f>
        <v>#DIV/0!</v>
      </c>
      <c r="NS254" s="170" t="e">
        <f ca="1">IF(Control!$B$31=0,$MJ254,MAX(0,MIN($MV254,$MO254*$NR254*$MJ254)))</f>
        <v>#DIV/0!</v>
      </c>
      <c r="NT254" s="170" t="e">
        <f t="shared" ca="1" si="917"/>
        <v>#DIV/0!</v>
      </c>
      <c r="NU254" s="170" t="e">
        <f t="shared" ca="1" si="893"/>
        <v>#N/A</v>
      </c>
      <c r="NV254" s="170" t="e">
        <f t="shared" ca="1" si="802"/>
        <v>#N/A</v>
      </c>
      <c r="NW254" s="175" t="e">
        <f t="shared" ca="1" si="803"/>
        <v>#DIV/0!</v>
      </c>
      <c r="NX254" s="170" t="e">
        <f ca="1">MIN(Control!$C$72+$MU254, $NW254)</f>
        <v>#DIV/0!</v>
      </c>
      <c r="NY254" s="170" t="e">
        <f ca="1">IF($MT254&lt;=$NX254,MIN(Control!$C$72+$NB254,$NX254-$MT254),0)</f>
        <v>#DIV/0!</v>
      </c>
      <c r="NZ254" s="54" t="e">
        <f ca="1">IF(Control!$C$114=1,  $CX254*($MX254-Control!$C$127), 0)</f>
        <v>#DIV/0!</v>
      </c>
      <c r="OA254" s="170" t="e">
        <f t="shared" ca="1" si="804"/>
        <v>#DIV/0!</v>
      </c>
      <c r="OB254" s="170" t="e">
        <f ca="1">IF($NA254 &lt;=$NY254, MIN(Control!$C$72, $NY254-$NA254), 0)</f>
        <v>#DIV/0!</v>
      </c>
      <c r="OC254" s="168" t="e">
        <f t="shared" ca="1" si="805"/>
        <v>#DIV/0!</v>
      </c>
      <c r="OD254" s="168" t="e">
        <f t="shared" ca="1" si="894"/>
        <v>#DIV/0!</v>
      </c>
      <c r="OE254" s="170">
        <f ca="1">Control!$C$73*$I254</f>
        <v>0</v>
      </c>
      <c r="OF254" s="176" t="e">
        <f t="shared" ca="1" si="806"/>
        <v>#DIV/0!</v>
      </c>
      <c r="OG254" s="168" t="e">
        <f t="shared" ca="1" si="807"/>
        <v>#DIV/0!</v>
      </c>
      <c r="OH254" s="168" t="e">
        <f t="shared" ca="1" si="808"/>
        <v>#DIV/0!</v>
      </c>
      <c r="OI254" s="168" t="e">
        <f t="shared" ca="1" si="809"/>
        <v>#DIV/0!</v>
      </c>
      <c r="OJ254" s="168" t="e">
        <f t="shared" ca="1" si="810"/>
        <v>#DIV/0!</v>
      </c>
      <c r="OK254" s="204" t="e">
        <f t="shared" ca="1" si="811"/>
        <v>#DIV/0!</v>
      </c>
      <c r="OL254" s="177">
        <f>Control!$C$127</f>
        <v>0.15</v>
      </c>
      <c r="OM254" s="182" t="e">
        <f t="shared" ca="1" si="812"/>
        <v>#N/A</v>
      </c>
      <c r="ON254" s="177">
        <f>Control!$C$128</f>
        <v>0.35</v>
      </c>
      <c r="OO254" s="182" t="e">
        <f t="shared" ca="1" si="813"/>
        <v>#N/A</v>
      </c>
      <c r="OP254" s="138">
        <f t="shared" ca="1" si="895"/>
        <v>0</v>
      </c>
      <c r="OQ254" s="138" t="e">
        <f t="shared" ca="1" si="918"/>
        <v>#DIV/0!</v>
      </c>
      <c r="OR254" s="138" t="e">
        <f t="shared" ca="1" si="896"/>
        <v>#DIV/0!</v>
      </c>
      <c r="OS254" s="137" t="e">
        <f t="shared" ca="1" si="919"/>
        <v>#DIV/0!</v>
      </c>
      <c r="OT254" s="139" t="e">
        <f t="shared" ca="1" si="920"/>
        <v>#DIV/0!</v>
      </c>
      <c r="OU254" s="138" t="e">
        <f t="shared" ca="1" si="921"/>
        <v>#N/A</v>
      </c>
      <c r="OV254" s="138" t="e">
        <f t="shared" ca="1" si="922"/>
        <v>#DIV/0!</v>
      </c>
      <c r="OW254" s="138" t="e">
        <f t="shared" ca="1" si="897"/>
        <v>#DIV/0!</v>
      </c>
      <c r="OX254" s="138" t="e">
        <f t="shared" ca="1" si="898"/>
        <v>#DIV/0!</v>
      </c>
      <c r="OY254" s="138" t="e">
        <f t="shared" ca="1" si="899"/>
        <v>#DIV/0!</v>
      </c>
      <c r="OZ254" s="138" t="e">
        <f t="shared" ca="1" si="814"/>
        <v>#DIV/0!</v>
      </c>
      <c r="PA254" s="138" t="e">
        <f t="shared" ca="1" si="815"/>
        <v>#DIV/0!</v>
      </c>
      <c r="PB254" s="55">
        <f>IF(Control!$C$61="T", IF(Control!$C$65="F", IF($AH$6-Control!$C$60&lt;0,0,1), IF(365+$AH$6-Control!$C$60&lt;0,0,1)),0)</f>
        <v>0</v>
      </c>
      <c r="PC254" s="55">
        <f ca="1">IF(Control!$C$65="F", IF($AH$6-$HF254&lt;0,0,1), IF(365+$AH$6-$HF254&lt;0,0,1))</f>
        <v>1</v>
      </c>
      <c r="PD254" s="444">
        <f>Control!$C$118</f>
        <v>1500</v>
      </c>
      <c r="PE254" s="180" t="e">
        <f t="shared" ca="1" si="816"/>
        <v>#N/A</v>
      </c>
      <c r="PF254" s="445">
        <f t="shared" ca="1" si="900"/>
        <v>0.71612369323045078</v>
      </c>
      <c r="PT254" s="186"/>
      <c r="PU254" s="186"/>
      <c r="PV254" s="94"/>
      <c r="PW254" s="94"/>
      <c r="PX254" s="94"/>
      <c r="PY254" s="94"/>
      <c r="PZ254" s="94"/>
      <c r="QA254" s="94"/>
      <c r="QB254" s="94"/>
      <c r="QC254" s="94"/>
      <c r="QD254" s="94"/>
      <c r="QE254" s="94"/>
      <c r="QF254" s="94"/>
      <c r="QG254" s="94"/>
      <c r="QH254" s="94"/>
      <c r="QI254" s="94"/>
      <c r="QJ254" s="94"/>
      <c r="QK254" s="94"/>
      <c r="QL254" s="94"/>
      <c r="QM254" s="94"/>
      <c r="QN254" s="94"/>
      <c r="QO254" s="94"/>
      <c r="QP254" s="94"/>
    </row>
    <row r="255" spans="1:458" s="2" customFormat="1" x14ac:dyDescent="0.2">
      <c r="A255" s="395">
        <v>7</v>
      </c>
      <c r="B255" s="396">
        <v>9</v>
      </c>
      <c r="C255" s="387">
        <f ca="1">Weather_data!$B254</f>
        <v>0</v>
      </c>
      <c r="D255" s="388">
        <f ca="1">Weather_data!$F254</f>
        <v>0</v>
      </c>
      <c r="E255" s="388">
        <f ca="1">Weather_data!$E254</f>
        <v>0</v>
      </c>
      <c r="F255" s="388">
        <f t="shared" ca="1" si="817"/>
        <v>0</v>
      </c>
      <c r="G255" s="388">
        <f ca="1">AVERAGE($D255:$E255)+Control!$B$9</f>
        <v>0</v>
      </c>
      <c r="H255" s="388">
        <f ca="1">Weather_data!$G254</f>
        <v>0</v>
      </c>
      <c r="I255" s="388">
        <f ca="1">Weather_data!$I254</f>
        <v>0</v>
      </c>
      <c r="J255" s="388">
        <f ca="1">Weather_data!$H254</f>
        <v>0</v>
      </c>
      <c r="K255" s="389">
        <f ca="1">Weather_data!$D254</f>
        <v>0</v>
      </c>
      <c r="L255" s="388" t="e">
        <f t="shared" ca="1" si="818"/>
        <v>#N/A</v>
      </c>
      <c r="M255" s="388" t="e">
        <f t="shared" ca="1" si="696"/>
        <v>#N/A</v>
      </c>
      <c r="N255" s="388">
        <f t="shared" ca="1" si="697"/>
        <v>-2.0200162108816627E-12</v>
      </c>
      <c r="O255" s="388">
        <f t="shared" ca="1" si="819"/>
        <v>2.0200162108816626E-11</v>
      </c>
      <c r="P255" s="390">
        <v>3</v>
      </c>
      <c r="Q255" s="388">
        <f ca="1">MAX($G255-Control!$C$107,0)</f>
        <v>0</v>
      </c>
      <c r="R255" s="388">
        <f t="shared" ca="1" si="820"/>
        <v>0</v>
      </c>
      <c r="S255" s="388">
        <f t="shared" ca="1" si="698"/>
        <v>0</v>
      </c>
      <c r="T255" s="388">
        <f t="shared" ca="1" si="699"/>
        <v>0</v>
      </c>
      <c r="U255" s="59">
        <f t="shared" ca="1" si="700"/>
        <v>0</v>
      </c>
      <c r="V255" s="391">
        <f ca="1">MAX(0,MIN(Control!$C$100-Control!$C$99,$G255-Control!$C$99)*Control!$C$63)</f>
        <v>0</v>
      </c>
      <c r="W255" s="388">
        <f t="shared" ca="1" si="821"/>
        <v>0</v>
      </c>
      <c r="X255" s="388">
        <f t="shared" ca="1" si="822"/>
        <v>0.6110000000000001</v>
      </c>
      <c r="Y255" s="388">
        <f t="shared" ca="1" si="701"/>
        <v>0</v>
      </c>
      <c r="Z255" s="388">
        <f t="shared" ca="1" si="823"/>
        <v>0.61058800000000002</v>
      </c>
      <c r="AA255" s="388">
        <f t="shared" ca="1" si="702"/>
        <v>0.6018</v>
      </c>
      <c r="AB255" s="388">
        <f ca="1">101.3*EXP(-0.034*Control!$C$66/($G255+273))</f>
        <v>100.69623283836242</v>
      </c>
      <c r="AC255" s="392">
        <f t="shared" ca="1" si="703"/>
        <v>4.3460251046025113E-2</v>
      </c>
      <c r="AD255" s="392">
        <f t="shared" ca="1" si="704"/>
        <v>4.4450382862832649E-2</v>
      </c>
      <c r="AE255" s="388">
        <f t="shared" ca="1" si="705"/>
        <v>0</v>
      </c>
      <c r="AF255" s="388">
        <f ca="1">MAX(0,$G255-Control!$C$92)</f>
        <v>0</v>
      </c>
      <c r="AG255" s="393">
        <f t="shared" ca="1" si="706"/>
        <v>251</v>
      </c>
      <c r="AH255" s="389">
        <f t="shared" ca="1" si="707"/>
        <v>251</v>
      </c>
      <c r="AI255" s="388">
        <f t="shared" ca="1" si="824"/>
        <v>8.6747528860796119E-2</v>
      </c>
      <c r="AJ255" s="388">
        <f ca="1">IF(Control!$C$60&lt;=0,$HH255,$HI255)</f>
        <v>1</v>
      </c>
      <c r="AK255" s="388">
        <f t="shared" ca="1" si="708"/>
        <v>2.9436292808978335</v>
      </c>
      <c r="AL255" s="388">
        <f t="shared" ca="1" si="709"/>
        <v>5.9506826549649004E-18</v>
      </c>
      <c r="AM255" s="388">
        <f t="shared" ca="1" si="710"/>
        <v>2.9436292808978335</v>
      </c>
      <c r="AN255" s="388">
        <f t="shared" ca="1" si="711"/>
        <v>7.8316509746446245E-2</v>
      </c>
      <c r="AO255" s="388">
        <f ca="1">-0.10453/COS(Control!$B$8*PI()/180)*COS(AN255)</f>
        <v>-0.16926444464091867</v>
      </c>
      <c r="AP255" s="388">
        <f ca="1">ACOS(AO255-TAN(Control!$B$8*PI()/180)*TAN(AN255))</f>
        <v>1.8438886534043399</v>
      </c>
      <c r="AQ255" s="388">
        <f t="shared" ca="1" si="825"/>
        <v>0</v>
      </c>
      <c r="AR255" s="394">
        <f t="shared" ca="1" si="712"/>
        <v>0</v>
      </c>
      <c r="AS255" s="436">
        <f ca="1">IF(Control!$B$18=2,(IF(OR($AH255=Control!$B$175,$AH255=Control!$B$176,$AH255=Control!$B$177,$AH255=Control!$B$178,$AH255=Control!$B$179,$AH255=Control!$B$180,$AH255=Control!$B$181,$AH255=Control!$B$182,$AH255=Control!$B$183,$AH255=Control!$B$184,$AH255=Control!$B$185),1,0)),0)</f>
        <v>0</v>
      </c>
      <c r="AT255" s="436">
        <f>IF(Control!$B$20=8,IF(AND($AH255&gt;=Control!$B$172,$AH255&lt;=Control!$B$173),1,0),0)</f>
        <v>0</v>
      </c>
      <c r="AU255" s="436">
        <f>IF(Control!$B$20=8,IF($AV254=1,1*$AT255,IF($AT255=1,$AU254+1,$AU254)),0)</f>
        <v>0</v>
      </c>
      <c r="AV255" s="436">
        <f>IF(Control!$B$20=8,IF($AU255&gt;=Control!$B$174,1,0),0)</f>
        <v>0</v>
      </c>
      <c r="AW255" s="436">
        <f ca="1">IF(AND(Control!$B$18=2,Control!$B$171=1), $AV255, $AS255)</f>
        <v>0</v>
      </c>
      <c r="AX255" s="436" t="e">
        <f ca="1">IF(AND(Control!$B$18=1,$EU255&gt;=Control!$B$19),-$AY255,IF(AND(Control!$B$18=2,$AW255=1,$EU255&gt;$DS255),-$AY255, IF(Control!$C$108=0,0, IF(Control!$C$108&lt;&gt;0,1))))</f>
        <v>#N/A</v>
      </c>
      <c r="AY255" s="436" t="e">
        <f t="shared" ca="1" si="826"/>
        <v>#N/A</v>
      </c>
      <c r="AZ255" s="436" t="e">
        <f ca="1">IF(AND(Control!$B$18=1,$EB255&gt;Control!$B$19),$AZ254+1, IF(AND(Control!$B$18=2, $AW255=1, $EB255&gt;$DS255), $AZ254+1,$AZ254))</f>
        <v>#N/A</v>
      </c>
      <c r="BA255" s="587">
        <f>IF(Control!$C$81=0,1,IF($AH255&gt;=Control!$C$82,1,0))</f>
        <v>1</v>
      </c>
      <c r="BB255" s="140" t="e">
        <f ca="1">IF($BA255&gt;$BA254,Control!$C$83,IF($AW255&gt;0,$AW255*Control!$C$84,IF(AND(Control!$B$18=1,EN254&lt;&gt;0),Control!$C$84,0)))</f>
        <v>#N/A</v>
      </c>
      <c r="BC255" s="140" t="e">
        <f t="shared" ca="1" si="827"/>
        <v>#N/A</v>
      </c>
      <c r="BD255" s="140" t="e">
        <f ca="1">BC255*IF(OR($G255&lt;Control!$C$92,$G255&gt;Control!$C$95),0,IF(AND($G255&gt;=Control!$C$92,$G255&lt;=Control!$C$93),$G255-Control!$C$92,IF(AND($G255&gt;Control!$C$93,$G255&lt;=Control!$C$94),Control!$C$93-Control!$C$92,IF(AND($G255&gt;Control!$C$94,$G255&lt;=Control!$C$95),(Control!$C$93-Control!$C$92)*(Control!$C$94-$G255)/(Control!$C$95-Control!$C$94)))))</f>
        <v>#N/A</v>
      </c>
      <c r="BE255" s="140" t="e">
        <f t="shared" ca="1" si="828"/>
        <v>#N/A</v>
      </c>
      <c r="BF255" s="140" t="e">
        <f ca="1">IF($BE255&lt;=Control!$C$86,$BE255,Control!$C$86-$BE255)</f>
        <v>#N/A</v>
      </c>
      <c r="BG255" s="140" t="e">
        <f ca="1">IF(AND($AW255=1,Control!$C$84&lt;9),1,IF($BE255&gt;=Control!$C$86,0,$BC255))</f>
        <v>#N/A</v>
      </c>
      <c r="BH255" s="404" t="e">
        <f ca="1">IF($BG255=0,0,IF($BE255&lt;=Control!$C$86,$BC255*9*($BF255/Control!$C$86),0))</f>
        <v>#N/A</v>
      </c>
      <c r="BI255" s="140" t="e">
        <f ca="1">IF($BG255=1,0,IF($BE255&gt;=Control!$C$86,1,IF(AND($BB255&lt;21,$BB255&gt;=9),1,$BM254)))</f>
        <v>#N/A</v>
      </c>
      <c r="BJ255" s="140" t="e">
        <f ca="1">IF($BF255&lt;0,-$BF255,$BI255*IF(OR($G255&lt;Control!$C$92,$G255&gt;Control!$C$95),0,IF(AND($G255&gt;=Control!$C$92,$G255&lt;=Control!$C$93),$G255-Control!$C$92,IF(AND($G255&gt;Control!$C$93,$G255&lt;=Control!$C$94),Control!$C$93-Control!$C$92,IF(AND($G255&gt;Control!$C$94,$G255&lt;=Control!$C$95),(Control!$C$93-Control!$C$92)*(Control!$C$94-$G255)/(Control!$C$95-Control!$C$94))))))</f>
        <v>#N/A</v>
      </c>
      <c r="BK255" s="140" t="e">
        <f t="shared" ca="1" si="829"/>
        <v>#N/A</v>
      </c>
      <c r="BL255" s="140" t="e">
        <f ca="1">IF($BK255&lt;=Control!$C$87,$BK255,Control!$C$87-$BK255)</f>
        <v>#N/A</v>
      </c>
      <c r="BM255" s="140" t="e">
        <f ca="1">IF(AND($BB255&gt;=9,$BB255&lt;21),1,IF($BK255&gt;=Control!$C$87,0,$BI255))</f>
        <v>#N/A</v>
      </c>
      <c r="BN255" s="404" t="e">
        <f ca="1">IF($BM255=0,0,IF($BK255&lt;=Control!$C$87,$BI255*(9+(21-9)*($BL255/Control!$C$87)),0))</f>
        <v>#N/A</v>
      </c>
      <c r="BO255" s="140" t="e">
        <f ca="1">IF($BM255=1,0,IF($BK255&gt;=Control!$C$87,1,IF(AND($BB255&lt;30,$BB255&gt;=21),1,$BS254)))</f>
        <v>#N/A</v>
      </c>
      <c r="BP255" s="140" t="e">
        <f ca="1">IF($BL255&lt;0,-$BL255,$BO255*IF(OR($G255&lt;Control!$C$92,$G255&gt;Control!$C$95),0,IF(AND($G255&gt;=Control!$C$92,$G255&lt;=Control!$C$93),$G255-Control!$C$92,IF(AND($G255&gt;Control!$C$93,$G255&lt;=Control!$C$94),Control!$C$93-Control!$C$92,IF(AND($G255&gt;Control!$C$94,$G255&lt;=Control!$C$95),(Control!$C$93-Control!$C$92)*(Control!$C$94-$G255)/(Control!$C$95-Control!$C$94))))))</f>
        <v>#N/A</v>
      </c>
      <c r="BQ255" s="140" t="e">
        <f t="shared" ca="1" si="713"/>
        <v>#N/A</v>
      </c>
      <c r="BR255" s="140" t="e">
        <f ca="1">IF($BQ255&lt;=Control!$C$88,$BQ255,Control!$C$88-$BQ255)</f>
        <v>#N/A</v>
      </c>
      <c r="BS255" s="140" t="e">
        <f ca="1">IF(AND($BB255&gt;=21,$BB255&lt;30),1,IF($BQ255&gt;=Control!$C$88,0,$BO255))</f>
        <v>#N/A</v>
      </c>
      <c r="BT255" s="404" t="e">
        <f ca="1">IF($BS255=0,0,IF($BQ255&lt;=Control!$C$88,$BO255*(21+(30-21)*(BR255/Control!$C$88)),0))</f>
        <v>#N/A</v>
      </c>
      <c r="BU255" s="140" t="e">
        <f ca="1">IF(BG255+BM255+BS255=1,0,IF(OR(AND($BB255&lt;60,$BB255&gt;=30),$BQ255&gt;=Control!$C$88),1*$BA255,$BY254))</f>
        <v>#N/A</v>
      </c>
      <c r="BV255" s="140" t="e">
        <f ca="1">IF($BR255&lt;0,-$BR255,$BU255*IF(OR($G255&lt;Control!$C$92,$G255&gt;Control!$C$95),0,IF(AND($G255&gt;=Control!$C$92,$G255&lt;=Control!$C$93),$G255-Control!$C$92,IF(AND($G255&gt;Control!$C$93,$G255&lt;=Control!$C$94),Control!$C$93-Control!$C$92,IF(AND($G255&gt;Control!$C$94,$G255&lt;=Control!$C$95),(Control!$C$93-Control!$C$92)*(Control!$C$94-$G255)/(Control!$C$95-Control!$C$94))))))</f>
        <v>#N/A</v>
      </c>
      <c r="BW255" s="140" t="e">
        <f t="shared" ca="1" si="714"/>
        <v>#N/A</v>
      </c>
      <c r="BX255" s="140" t="e">
        <f ca="1">IF($BW255&lt;=Control!$C$89,$BW255,Control!$C$89-$BW255)</f>
        <v>#N/A</v>
      </c>
      <c r="BY255" s="140" t="e">
        <f ca="1">IF(AND($AJ255&gt;=30,$AJ255&lt;60),1,IF($BW255&gt;=Control!$C$89,0,$BU255))</f>
        <v>#N/A</v>
      </c>
      <c r="BZ255" s="404" t="e">
        <f ca="1">IF($BY255=0,0,IF($BW255&lt;=Control!$C$89,$BU255*(30+(60-30)*(BX255/Control!$C$89)),0))</f>
        <v>#N/A</v>
      </c>
      <c r="CA255" s="140" t="e">
        <f ca="1">IF($BG255+$BM255+$BS255+$BY255=1,0,IF(OR(AND($BB255&lt;65,$BB255&gt;=60),$BW255&gt;=Control!$C$89),1*$BA255,$CE254))</f>
        <v>#N/A</v>
      </c>
      <c r="CB255" s="140" t="e">
        <f ca="1">IF($BX255&lt;0,-$BX255,$CA255*IF(OR($G255&lt;Control!$C$92,$G255&gt;Control!$C$95),0,IF(AND($G255&gt;=Control!$C$92,$G255&lt;=Control!$C$93),$G255-Control!$C$92,IF(AND($G255&gt;Control!$C$93,$G255&lt;=Control!$C$94),Control!$C$93-Control!$C$92,IF(AND($G255&gt;Control!$C$94,$G255&lt;=Control!$C$95),(Control!$C$93-Control!$C$92)*(Control!$C$94-$G255)/(Control!$C$95-Control!$C$94))))))</f>
        <v>#N/A</v>
      </c>
      <c r="CC255" s="140" t="e">
        <f t="shared" ca="1" si="830"/>
        <v>#N/A</v>
      </c>
      <c r="CD255" s="140" t="e">
        <f ca="1">IF($CC255&lt;=Control!$C$90,$CC255,Control!$C$90-$CC255)</f>
        <v>#N/A</v>
      </c>
      <c r="CE255" s="140" t="e">
        <f ca="1">IF(AND($BB255&gt;=60,$BB255&lt;65),1,IF($CC255&gt;=Control!$C$90,0,$CA255))</f>
        <v>#N/A</v>
      </c>
      <c r="CF255" s="404" t="e">
        <f ca="1">IF($CE255=0,0,IF($CC255&lt;=Control!$C$90,$CA255*(60+(65-60)*(CD255/Control!$C$90)),0))</f>
        <v>#N/A</v>
      </c>
      <c r="CG255" s="140" t="e">
        <f ca="1">IF($BG255+$BM255+$BS255+$BY255+$CE255=1,0,IF(OR(AND($BB255&lt;90,$BB255&gt;=65),$CC255&gt;=Control!$C$90),$BA255,$CK254))</f>
        <v>#N/A</v>
      </c>
      <c r="CH255" s="140" t="e">
        <f ca="1">IF($CD255&lt;0,-$CD255,$CG255*IF(OR($G255&lt;Control!$C$92,$G255&gt;Control!$C$95),0,IF(AND($G255&gt;=Control!$C$92,$G255&lt;=Control!$C$93),$G255-Control!$C$92,IF(AND($G255&gt;Control!$C$93,$G255&lt;=Control!$C$94),Control!$C$93-Control!$C$92,IF(AND($G255&gt;Control!$C$94,$G255&lt;=Control!$C$95),(Control!$C$93-Control!$C$92)*(Control!$C$94-$G255)/(Control!$C$95-Control!$C$94))))))</f>
        <v>#N/A</v>
      </c>
      <c r="CI255" s="140" t="e">
        <f t="shared" ca="1" si="831"/>
        <v>#N/A</v>
      </c>
      <c r="CJ255" s="140" t="e">
        <f ca="1">IF($CI255&lt;=Control!$C$91,$CI255,Control!$C$91-$CI255)</f>
        <v>#N/A</v>
      </c>
      <c r="CK255" s="140" t="e">
        <f ca="1">IF(AND($BB255&gt;=65,$BB255&lt;90),1,IF($CI255&gt;=Control!$C$91,0,$CG255))</f>
        <v>#N/A</v>
      </c>
      <c r="CL255" s="404" t="e">
        <f ca="1">IF($CK255=0,0,IF($CI255&lt;=Control!$C$91,$CG255*(65+(90-65)*($CJ255/Control!$C$91)),0))</f>
        <v>#N/A</v>
      </c>
      <c r="CM255" s="140" t="e">
        <f ca="1">IF($BG255+$BM255+$BS255+$BY255+$CE255+$CK255=1,0,IF(OR($BB255&gt;=90,$CI255&gt;=Control!$C$91),$BA255,$CM254))</f>
        <v>#N/A</v>
      </c>
      <c r="CN255" s="140" t="e">
        <f t="shared" ca="1" si="832"/>
        <v>#N/A</v>
      </c>
      <c r="CO255" s="140" t="e">
        <f t="shared" ca="1" si="833"/>
        <v>#N/A</v>
      </c>
      <c r="CP255" s="140" t="e">
        <f t="shared" ca="1" si="834"/>
        <v>#N/A</v>
      </c>
      <c r="CQ255" s="141" t="e">
        <f ca="1">VLOOKUP($CP255,Control!$B$86:$G$91,6)</f>
        <v>#N/A</v>
      </c>
      <c r="CR255" s="141" t="e">
        <f ca="1">(1-$CQ255)*VLOOKUP($CP255,Control!$B$86:$D$91,3)</f>
        <v>#N/A</v>
      </c>
      <c r="CS255" s="141" t="e">
        <f ca="1">(1-$CQ255)*VLOOKUP($CP255,Control!$B$86:$E$91,4)</f>
        <v>#N/A</v>
      </c>
      <c r="CT255" s="141" t="e">
        <f ca="1">(1-$CQ255)*VLOOKUP($CP255,Control!$B$86:$F$91,5)</f>
        <v>#N/A</v>
      </c>
      <c r="CU255" s="141">
        <f t="shared" ca="1" si="835"/>
        <v>0</v>
      </c>
      <c r="CV255" s="583">
        <f t="shared" ca="1" si="836"/>
        <v>0</v>
      </c>
      <c r="CW255" s="142">
        <f t="shared" ca="1" si="837"/>
        <v>251</v>
      </c>
      <c r="CX255" s="612" t="e">
        <f ca="1">IF(Control!$C$114=1,(MIN(Control!$C$120*(IF($NT255-0.01&lt;0,0,1)),Control!$C$119-$CY255)))</f>
        <v>#DIV/0!</v>
      </c>
      <c r="CY255" s="143" t="e">
        <f t="shared" ca="1" si="838"/>
        <v>#N/A</v>
      </c>
      <c r="CZ255" s="144">
        <f t="shared" ca="1" si="715"/>
        <v>0</v>
      </c>
      <c r="DA255" s="144">
        <f t="shared" ca="1" si="716"/>
        <v>0</v>
      </c>
      <c r="DB255" s="144" t="e">
        <f t="shared" ca="1" si="717"/>
        <v>#N/A</v>
      </c>
      <c r="DC255" s="144" t="e">
        <f t="shared" ca="1" si="718"/>
        <v>#N/A</v>
      </c>
      <c r="DD255" s="144" t="e">
        <f t="shared" ca="1" si="923"/>
        <v>#N/A</v>
      </c>
      <c r="DE255" s="143" t="e">
        <f t="shared" ca="1" si="839"/>
        <v>#N/A</v>
      </c>
      <c r="DF255" s="145" t="e">
        <f ca="1">$DR255*EXP(-Control!$C$158*(1-$KH255))</f>
        <v>#N/A</v>
      </c>
      <c r="DG255" s="146" t="e">
        <f ca="1">IF(Control!$C$114=1, $DF255*$EY255, 0)</f>
        <v>#N/A</v>
      </c>
      <c r="DH255" s="147" t="e">
        <f t="shared" ca="1" si="840"/>
        <v>#N/A</v>
      </c>
      <c r="DI255" s="144" t="e">
        <f t="shared" ca="1" si="901"/>
        <v>#N/A</v>
      </c>
      <c r="DJ255" s="147" t="e">
        <f ca="1">$EF255*Control!$C$109</f>
        <v>#N/A</v>
      </c>
      <c r="DK255" s="144" t="e">
        <f t="shared" ca="1" si="841"/>
        <v>#N/A</v>
      </c>
      <c r="DL255" s="144" t="e">
        <f t="shared" ca="1" si="719"/>
        <v>#N/A</v>
      </c>
      <c r="DM255" s="144" t="e">
        <f ca="1">IF(Control!$C$114=1, (1-EXP(-Control!$C$96*$DK255))*$AR255, 0)</f>
        <v>#N/A</v>
      </c>
      <c r="DN255" s="144">
        <f t="shared" ca="1" si="842"/>
        <v>0</v>
      </c>
      <c r="DO255" s="148">
        <f>Control!$C$97</f>
        <v>4</v>
      </c>
      <c r="DP255" s="145" t="e">
        <f t="shared" ca="1" si="843"/>
        <v>#N/A</v>
      </c>
      <c r="DQ255" s="145" t="e">
        <f ca="1">IF(AND($CP255&gt;=0,$CP255&lt;=90),Control!$C$111,Control!$C$111)</f>
        <v>#N/A</v>
      </c>
      <c r="DR255" s="145" t="e">
        <f t="shared" ca="1" si="720"/>
        <v>#N/A</v>
      </c>
      <c r="DS255" s="143" t="e">
        <f ca="1">Control!$B$22/$DR255</f>
        <v>#N/A</v>
      </c>
      <c r="DT255" s="149" t="e">
        <f ca="1">IF(AND(Control!$C$114=1,$KH255&lt;1),$IM255*$DF255, 0)</f>
        <v>#N/A</v>
      </c>
      <c r="DU255" s="144" t="e">
        <f t="shared" ca="1" si="844"/>
        <v>#N/A</v>
      </c>
      <c r="DV255" s="144">
        <f ca="1">IF($G255-Control!$C$107&lt;=0, 0, 0.83*LN(MAX($G255, 3))-0.8924)</f>
        <v>0</v>
      </c>
      <c r="DW255" s="144" t="e">
        <f t="shared" ca="1" si="721"/>
        <v>#N/A</v>
      </c>
      <c r="DX255" s="150" t="e">
        <f ca="1">MAX(0.01*(1+$CU255/Control!$C$102),0.05*($DK255-Control!$C$97)/Control!$C$97)</f>
        <v>#N/A</v>
      </c>
      <c r="DY255" s="151" t="e">
        <f ca="1">IF(Control!$C$114=1, $DI255*$FS255, 0)</f>
        <v>#N/A</v>
      </c>
      <c r="DZ255" s="196" t="e">
        <f t="shared" ca="1" si="845"/>
        <v>#N/A</v>
      </c>
      <c r="EA255" s="152">
        <f t="shared" ca="1" si="846"/>
        <v>251</v>
      </c>
      <c r="EB255" s="153" t="e">
        <f t="shared" ca="1" si="847"/>
        <v>#N/A</v>
      </c>
      <c r="EC255" s="153" t="e">
        <f t="shared" ca="1" si="848"/>
        <v>#N/A</v>
      </c>
      <c r="ED255" s="154" t="e">
        <f ca="1">IF(Control!$C$114=1, $HM255*$FY255-$FD255, 0)</f>
        <v>#DIV/0!</v>
      </c>
      <c r="EE255" s="155" t="e">
        <f ca="1">IF(Control!$C$114=1, $HM255*$FZ255-$FF255, 0)</f>
        <v>#DIV/0!</v>
      </c>
      <c r="EF255" s="153" t="e">
        <f t="shared" ca="1" si="902"/>
        <v>#N/A</v>
      </c>
      <c r="EG255" s="155" t="e">
        <f ca="1">IF(Control!$C$114=1, $GX255*$FW255-$FI255, 0)</f>
        <v>#DIV/0!</v>
      </c>
      <c r="EH255" s="153" t="e">
        <f t="shared" ca="1" si="849"/>
        <v>#N/A</v>
      </c>
      <c r="EI255" s="156" t="e">
        <f t="shared" ca="1" si="850"/>
        <v>#N/A</v>
      </c>
      <c r="EJ255" s="155" t="e">
        <f ca="1">IF(Control!$C$114=1, $HM255*$GB255, 0)</f>
        <v>#DIV/0!</v>
      </c>
      <c r="EK255" s="153" t="e">
        <f t="shared" ca="1" si="903"/>
        <v>#N/A</v>
      </c>
      <c r="EL255" s="153" t="e">
        <f t="shared" ca="1" si="722"/>
        <v>#N/A</v>
      </c>
      <c r="EM255" s="153" t="e">
        <f t="shared" ca="1" si="723"/>
        <v>#N/A</v>
      </c>
      <c r="EN255" s="153" t="e">
        <f ca="1">IF(Control!$C$108=1,IF(AND(Control!$B$18=1,$EB255&gt;=Control!$B$19),$EB255-$DS255,IF(AND(Control!$B$18=2,$AW255=1,$EB255&gt;$DS255),$EB255-$DS255,0)))</f>
        <v>#N/A</v>
      </c>
      <c r="EO255" s="153" t="e">
        <f ca="1">IF(Control!$C$108=1,IF(AND(Control!$B$18=1,$EB255&gt;=Control!$B$19),$EF255,IF(AND(Control!$B$18=2,$AW255=1),$EF255,0)))</f>
        <v>#N/A</v>
      </c>
      <c r="EP255" s="153" t="e">
        <f ca="1">IF(Control!$C$108=1,IF(AND(Control!$B$18=1,$EB255&gt;=Control!$B$19),$EK255,IF(AND(Control!$B$18=2,$AW255=1),$EK255,0)))</f>
        <v>#N/A</v>
      </c>
      <c r="EQ255" s="153" t="e">
        <f t="shared" ca="1" si="851"/>
        <v>#N/A</v>
      </c>
      <c r="ER255" s="153" t="e">
        <f t="shared" ca="1" si="852"/>
        <v>#N/A</v>
      </c>
      <c r="ES255" s="153" t="e">
        <f t="shared" ca="1" si="904"/>
        <v>#N/A</v>
      </c>
      <c r="ET255" s="153" t="e">
        <f t="shared" ca="1" si="905"/>
        <v>#N/A</v>
      </c>
      <c r="EU255" s="153" t="e">
        <f t="shared" ca="1" si="853"/>
        <v>#N/A</v>
      </c>
      <c r="EV255" s="153" t="e">
        <f t="shared" ca="1" si="724"/>
        <v>#N/A</v>
      </c>
      <c r="EW255" s="153" t="e">
        <f t="shared" ca="1" si="725"/>
        <v>#N/A</v>
      </c>
      <c r="EX255" s="153" t="e">
        <f t="shared" ca="1" si="726"/>
        <v>#N/A</v>
      </c>
      <c r="EY255" s="157" t="e">
        <f t="shared" ca="1" si="727"/>
        <v>#DIV/0!</v>
      </c>
      <c r="EZ255" s="154" t="e">
        <f t="shared" ca="1" si="728"/>
        <v>#DIV/0!</v>
      </c>
      <c r="FA255" s="153" t="e">
        <f t="shared" ca="1" si="854"/>
        <v>#N/A</v>
      </c>
      <c r="FB255" s="153" t="e">
        <f t="shared" ca="1" si="729"/>
        <v>#N/A</v>
      </c>
      <c r="FC255" s="193" t="e">
        <f t="shared" ca="1" si="730"/>
        <v>#N/A</v>
      </c>
      <c r="FD255" s="158" t="e">
        <f t="shared" ca="1" si="855"/>
        <v>#N/A</v>
      </c>
      <c r="FE255" s="158" t="e">
        <f t="shared" ca="1" si="856"/>
        <v>#N/A</v>
      </c>
      <c r="FF255" s="159" t="e">
        <f t="shared" ca="1" si="731"/>
        <v>#N/A</v>
      </c>
      <c r="FG255" s="160" t="e">
        <f t="shared" ca="1" si="857"/>
        <v>#N/A</v>
      </c>
      <c r="FH255" s="158" t="e">
        <f t="shared" ca="1" si="858"/>
        <v>#N/A</v>
      </c>
      <c r="FI255" s="159" t="e">
        <f t="shared" ca="1" si="732"/>
        <v>#N/A</v>
      </c>
      <c r="FJ255" s="160" t="e">
        <f t="shared" ca="1" si="859"/>
        <v>#N/A</v>
      </c>
      <c r="FK255" s="160" t="e">
        <f t="shared" ca="1" si="733"/>
        <v>#N/A</v>
      </c>
      <c r="FL255" s="160" t="e">
        <f t="shared" ca="1" si="906"/>
        <v>#N/A</v>
      </c>
      <c r="FM255" s="160" t="e">
        <f t="shared" ca="1" si="734"/>
        <v>#N/A</v>
      </c>
      <c r="FN255" s="158">
        <f t="shared" ca="1" si="860"/>
        <v>0.01</v>
      </c>
      <c r="FO255" s="160">
        <f>Control!$C$101</f>
        <v>50</v>
      </c>
      <c r="FP255" s="150" t="e">
        <f t="shared" ca="1" si="735"/>
        <v>#N/A</v>
      </c>
      <c r="FQ255" s="150" t="e">
        <f ca="1">MAX(0,(Control!$C$112*(($DK255-Control!$C$97)/Control!$C$97)))</f>
        <v>#N/A</v>
      </c>
      <c r="FR255" s="150" t="e">
        <f ca="1">(1-$NT255)*Control!$C$113</f>
        <v>#DIV/0!</v>
      </c>
      <c r="FS255" s="198" t="e">
        <f t="shared" ca="1" si="736"/>
        <v>#N/A</v>
      </c>
      <c r="FT255" s="161">
        <f t="shared" ca="1" si="861"/>
        <v>251</v>
      </c>
      <c r="FU255" s="162" t="e">
        <f ca="1">IF(Control!$B$34=1,VLOOKUP($CP255,Control!$B$86:$G$91,6),Control!$B$35)</f>
        <v>#N/A</v>
      </c>
      <c r="FV255" s="162" t="e">
        <f t="shared" ca="1" si="737"/>
        <v>#DIV/0!</v>
      </c>
      <c r="FW255" s="162" t="e">
        <f ca="1">IF(Control!$B$31=1,$FU255*$FV255,  $FU255)</f>
        <v>#N/A</v>
      </c>
      <c r="FX255" s="162" t="e">
        <f ca="1">IF(Control!$B$34=1,VLOOKUP($CP255,Control!$B$86:$G$91,3),Control!$B$36)</f>
        <v>#N/A</v>
      </c>
      <c r="FY255" s="162" t="e">
        <f t="shared" ca="1" si="738"/>
        <v>#N/A</v>
      </c>
      <c r="FZ255" s="162" t="e">
        <f ca="1">IF(Control!$B$34=1,VLOOKUP($CP255,Control!$B$86:$G$91,4),Control!$B$37)</f>
        <v>#N/A</v>
      </c>
      <c r="GA255" s="162" t="e">
        <f t="shared" ca="1" si="739"/>
        <v>#N/A</v>
      </c>
      <c r="GB255" s="162" t="e">
        <f ca="1">IF(Control!$B$34=1,VLOOKUP($CP255,Control!$B$86:$G$91,5),Control!$B$38)</f>
        <v>#N/A</v>
      </c>
      <c r="GC255" s="162" t="e">
        <f t="shared" ca="1" si="862"/>
        <v>#N/A</v>
      </c>
      <c r="GD255" s="162">
        <f t="shared" ca="1" si="740"/>
        <v>1</v>
      </c>
      <c r="GE255" s="162">
        <f t="shared" ca="1" si="741"/>
        <v>1</v>
      </c>
      <c r="GF255" s="162">
        <f ca="1">IF(AND(Control!$C$104=1, Control!$C$62="F"),$GE255,1)</f>
        <v>1</v>
      </c>
      <c r="GG255" s="162" t="e">
        <f ca="1">IF(Control!$B$16=40,0,IF(AND(Control!$B$16&gt;40,Control!$B$16&lt;=360),(Control!$B$16-40)*((1-0)/(360-40)),IF(AND(Control!$B$16&gt;360,Control!$B$16&lt;=720),(1+(Control!$B$16-360)*((1.25-1)/(720-360))),IF(AND(Control!$B$16&gt;720,Control!$B$16&lt;=1000),(1.25+(Control!$B$16-720)*((1.35-1.25)/(1000-720))),IF(AND(Control!$B$16&gt;1000,Control!$B$16&lt;=2000),(1.35+(Control!$B$16-1000)*0))))))</f>
        <v>#N/A</v>
      </c>
      <c r="GH255" s="162" t="e">
        <f t="shared" ca="1" si="742"/>
        <v>#N/A</v>
      </c>
      <c r="GI255" s="162">
        <f t="shared" ca="1" si="863"/>
        <v>0</v>
      </c>
      <c r="GJ255" s="162">
        <f t="shared" ca="1" si="743"/>
        <v>0</v>
      </c>
      <c r="GK255" s="162">
        <f t="shared" ca="1" si="864"/>
        <v>1</v>
      </c>
      <c r="GL255" s="162">
        <f t="shared" ca="1" si="744"/>
        <v>1</v>
      </c>
      <c r="GM255" s="162" t="e">
        <f ca="1">MAX(0,MIN(1,1-Control!$C$156*(1.0001-$KH255)^2))</f>
        <v>#N/A</v>
      </c>
      <c r="GN255" s="162" t="e">
        <f ca="1">IF(Control!$B$26=1,$KU255,$KX255)</f>
        <v>#N/A</v>
      </c>
      <c r="GO255" s="162" t="e">
        <f ca="1">IF($CP255&lt;=60,Control!$C$105,IF($CP255&gt;=90,Control!$C$106,Control!$C$105+($CP255-60)*((Control!$C$106-Control!$C$105)/(90-60))))</f>
        <v>#N/A</v>
      </c>
      <c r="GP255" s="162" t="e">
        <f t="shared" ca="1" si="745"/>
        <v>#N/A</v>
      </c>
      <c r="GQ255" s="162" t="e">
        <f t="shared" ca="1" si="865"/>
        <v>#N/A</v>
      </c>
      <c r="GR255" s="163" t="e">
        <f t="shared" ca="1" si="746"/>
        <v>#DIV/0!</v>
      </c>
      <c r="GS255" s="162" t="e">
        <f t="shared" ca="1" si="747"/>
        <v>#DIV/0!</v>
      </c>
      <c r="GT255" s="164" t="e">
        <f t="shared" ca="1" si="866"/>
        <v>#N/A</v>
      </c>
      <c r="GU255" s="162" t="e">
        <f t="shared" ca="1" si="867"/>
        <v>#N/A</v>
      </c>
      <c r="GV255" s="162" t="e">
        <f t="shared" ca="1" si="748"/>
        <v>#N/A</v>
      </c>
      <c r="GW255" s="162" t="e">
        <f t="shared" ca="1" si="749"/>
        <v>#DIV/0!</v>
      </c>
      <c r="GX255" s="162" t="e">
        <f t="shared" ca="1" si="868"/>
        <v>#DIV/0!</v>
      </c>
      <c r="GY255" s="162" t="e">
        <f t="shared" ca="1" si="869"/>
        <v>#DIV/0!</v>
      </c>
      <c r="GZ255" s="165" t="e">
        <f t="shared" ca="1" si="750"/>
        <v>#N/A</v>
      </c>
      <c r="HA255" s="162" t="e">
        <f ca="1">IF(Control!$C$114=1, $DI255*$FS255, 0)</f>
        <v>#N/A</v>
      </c>
      <c r="HB255" s="162" t="e">
        <f ca="1">$FA255/Control!$C$64</f>
        <v>#N/A</v>
      </c>
      <c r="HC255" s="162" t="e">
        <f t="shared" ca="1" si="751"/>
        <v>#DIV/0!</v>
      </c>
      <c r="HD255" s="162">
        <f ca="1">-ASIN(SIN(23.45*Control!$C$139)*COS(2*Control!$C$138*($AH255+10)/365))</f>
        <v>8.6747528860796119E-2</v>
      </c>
      <c r="HE255" s="165">
        <f t="shared" ca="1" si="870"/>
        <v>0</v>
      </c>
      <c r="HF255" s="166">
        <f ca="1">IF(AND(Control!$C$61="T",$HE255&gt;=Control!$C$103,Control!$C$114=0),$AH255,Control!$C$59)</f>
        <v>1</v>
      </c>
      <c r="HG255" s="166">
        <f ca="1">IF(AND(Control!$C$61="T",$HE255&gt;=Control!$C$103,Control!$C$114=0),$HF255,Control!$C$59)</f>
        <v>1</v>
      </c>
      <c r="HH255" s="165">
        <f ca="1">IF(AND(OR(Control!$C$60&lt;=0, $AH255= Control!$C$59, Control!$C$60 &gt;0, $AH255 = Control!$C$60)), Control!$C$59, IF(Control!$C$60&gt;0, 0))</f>
        <v>1</v>
      </c>
      <c r="HI255" s="165">
        <f ca="1">IF(AND(OR(Control!$C$60&lt;=0, $AH255= Control!$C$59, Control!$C$60 &gt;0, $AH255 = Control!$C$60)), Control!$C$60, IF(Control!$C$60&lt;=0, 0))</f>
        <v>0</v>
      </c>
      <c r="HJ255" s="166">
        <f ca="1">IF(AND(Control!$C$62="F",$CV255&gt;=Control!$C$102),$AH255,0)</f>
        <v>0</v>
      </c>
      <c r="HK255" s="165" t="e">
        <f t="shared" ca="1" si="907"/>
        <v>#N/A</v>
      </c>
      <c r="HL255" s="166">
        <f ca="1">IF(AND(Control!$C$61="T",$HE255&gt;=Control!$C$103,Control!$C$114=0),$HF255,0)</f>
        <v>0</v>
      </c>
      <c r="HM255" s="201" t="e">
        <f t="shared" ca="1" si="752"/>
        <v>#DIV/0!</v>
      </c>
      <c r="HN255" s="215">
        <f t="shared" ca="1" si="871"/>
        <v>251</v>
      </c>
      <c r="HO255" s="216" t="e">
        <f ca="1">IF(AND($CP255&gt;=0, $CP255&lt;=90), Control!$C$152, Control!$C$152)</f>
        <v>#N/A</v>
      </c>
      <c r="HP255" s="216" t="e">
        <f t="shared" ca="1" si="753"/>
        <v>#N/A</v>
      </c>
      <c r="HQ255" s="217" t="e">
        <f ca="1">IF(OR(Control!$B$26=1,Control!$B$26=2),$KV255,$KS255)</f>
        <v>#DIV/0!</v>
      </c>
      <c r="HR255" s="218" t="e">
        <f t="shared" ca="1" si="908"/>
        <v>#DIV/0!</v>
      </c>
      <c r="HS255" s="216" t="e">
        <f ca="1">Control!$C$154*$HP255</f>
        <v>#N/A</v>
      </c>
      <c r="HT255" s="216" t="e">
        <f ca="1">Control!$C$155*$HP255</f>
        <v>#N/A</v>
      </c>
      <c r="HU255" s="217" t="e">
        <f ca="1">Control!$C$161*$FI255</f>
        <v>#N/A</v>
      </c>
      <c r="HV255" s="218" t="e">
        <f t="shared" ca="1" si="872"/>
        <v>#N/A</v>
      </c>
      <c r="HW255" s="218" t="e">
        <f ca="1">Control!$C$160*$FF255+$IP255*$EO255</f>
        <v>#N/A</v>
      </c>
      <c r="HX255" s="218" t="e">
        <f t="shared" ca="1" si="909"/>
        <v>#N/A</v>
      </c>
      <c r="HY255" s="219" t="e">
        <f ca="1">IF(Control!$C$114=1, $EB255*$FS255, 0)</f>
        <v>#N/A</v>
      </c>
      <c r="HZ255" s="91" t="e">
        <f t="shared" ca="1" si="754"/>
        <v>#N/A</v>
      </c>
      <c r="IA255" s="220" t="e">
        <f ca="1">Control!$C$153*$HO255</f>
        <v>#N/A</v>
      </c>
      <c r="IB255" s="218" t="e">
        <f t="shared" ca="1" si="755"/>
        <v>#N/A</v>
      </c>
      <c r="IC255" s="220" t="e">
        <f ca="1">Control!$C$153*$HT255</f>
        <v>#N/A</v>
      </c>
      <c r="ID255" s="218" t="e">
        <f t="shared" ca="1" si="756"/>
        <v>#N/A</v>
      </c>
      <c r="IE255" s="221" t="e">
        <f ca="1">($EB255*Control!$C$159+$EF255*Control!$C$160)/(IF($GZ255&lt;&gt;0,$GZ255,1))</f>
        <v>#N/A</v>
      </c>
      <c r="IF255" s="216" t="e">
        <f t="shared" ca="1" si="757"/>
        <v>#N/A</v>
      </c>
      <c r="IG255" s="91">
        <f ca="1">IF(OR(Control!$B$198=$AH255,Control!$B$199=$AH255, Control!$B$200=$AH255, Control!$B$201=$AH255, Control!$B$202=$AH255, Control!$B$203=$AH255, Control!$B$204=$AH255, Control!$B$205=$AH255, Control!$B$206=$AH255, Control!$B$207=$AH255), 1, 0)</f>
        <v>0</v>
      </c>
      <c r="IH255" s="91">
        <f ca="1">IF($IG255=0,0, VLOOKUP($AH255,Control!$B$198:$C$207,2))</f>
        <v>0</v>
      </c>
      <c r="II255" s="222">
        <f t="shared" ca="1" si="873"/>
        <v>0</v>
      </c>
      <c r="IJ255" s="91">
        <f>Control!$C$121</f>
        <v>0.7</v>
      </c>
      <c r="IK255" s="218">
        <f t="shared" ca="1" si="758"/>
        <v>0</v>
      </c>
      <c r="IL255" s="217" t="e">
        <f t="shared" ca="1" si="910"/>
        <v>#N/A</v>
      </c>
      <c r="IM255" s="223" t="e">
        <f ca="1">IF(AND(Control!$C$114=1,$KH255&lt;1),$EB255*Control!$C$148*(1-$KH255), 0)</f>
        <v>#N/A</v>
      </c>
      <c r="IN255" s="217" t="e">
        <f t="shared" ca="1" si="759"/>
        <v>#DIV/0!</v>
      </c>
      <c r="IO255" s="91" t="e">
        <f ca="1">MAX(0,$IL255-$EF255*Control!$C$160)</f>
        <v>#N/A</v>
      </c>
      <c r="IP255" s="220" t="e">
        <f t="shared" ca="1" si="760"/>
        <v>#N/A</v>
      </c>
      <c r="IQ255" s="217" t="e">
        <f t="shared" ca="1" si="874"/>
        <v>#N/A</v>
      </c>
      <c r="IR255" s="218" t="e">
        <f t="shared" ca="1" si="761"/>
        <v>#N/A</v>
      </c>
      <c r="IS255" s="217" t="e">
        <f ca="1">Control!$C$159*MAX(0,$FD255-$EN255)</f>
        <v>#N/A</v>
      </c>
      <c r="IT255" s="217" t="e">
        <f t="shared" ca="1" si="911"/>
        <v>#N/A</v>
      </c>
      <c r="IU255" s="217" t="e">
        <f t="shared" ca="1" si="875"/>
        <v>#N/A</v>
      </c>
      <c r="IV255" s="217" t="e">
        <f t="shared" ca="1" si="912"/>
        <v>#N/A</v>
      </c>
      <c r="IW255" s="217" t="e">
        <f ca="1">IF(OR($AW255=1,AND($AW255=0, Control!$B$18=1,$EN255&lt;&gt;0)), $IQ255-$IU255, $IQ255)</f>
        <v>#N/A</v>
      </c>
      <c r="IX255" s="218" t="e">
        <f t="shared" ca="1" si="762"/>
        <v>#N/A</v>
      </c>
      <c r="IY255" s="218" t="e">
        <f ca="1">MAX(0,$IQ255-$EB255*Control!$C$159)</f>
        <v>#N/A</v>
      </c>
      <c r="IZ255" s="218" t="e">
        <f t="shared" ca="1" si="763"/>
        <v>#N/A</v>
      </c>
      <c r="JA255" s="216" t="e">
        <f t="shared" ca="1" si="764"/>
        <v>#N/A</v>
      </c>
      <c r="JB255" s="217" t="e">
        <f t="shared" ca="1" si="765"/>
        <v>#N/A</v>
      </c>
      <c r="JC255" s="222" t="e">
        <f ca="1">MAX(Control!$C$157*$EK255-$JT255, 0)/Control!$C$162</f>
        <v>#N/A</v>
      </c>
      <c r="JD255" s="218" t="e">
        <f t="shared" ca="1" si="766"/>
        <v>#N/A</v>
      </c>
      <c r="JE255" s="218" t="e">
        <f t="shared" ca="1" si="767"/>
        <v>#N/A</v>
      </c>
      <c r="JF255" s="218" t="e">
        <f t="shared" ca="1" si="876"/>
        <v>#N/A</v>
      </c>
      <c r="JG255" s="218" t="e">
        <f t="shared" ca="1" si="768"/>
        <v>#N/A</v>
      </c>
      <c r="JH255" s="217" t="e">
        <f t="shared" ca="1" si="877"/>
        <v>#N/A</v>
      </c>
      <c r="JI255" s="217" t="e">
        <f t="shared" ca="1" si="878"/>
        <v>#N/A</v>
      </c>
      <c r="JJ255" s="217" t="e">
        <f t="shared" ca="1" si="913"/>
        <v>#N/A</v>
      </c>
      <c r="JK255" s="217" t="e">
        <f ca="1">IF(Control!$C$114=1,IF(Control!$B$24=0,MAX(0,$JI255)*$GN255/Control!$C$64,(MAX(0,MIN($JI255,$JJ255*$GN255/Control!$C$64),0))))</f>
        <v>#N/A</v>
      </c>
      <c r="JL255" s="217" t="e">
        <f ca="1">$IK255/Control!$C$64-$JK255+$HQ255</f>
        <v>#N/A</v>
      </c>
      <c r="JM255" s="217" t="e">
        <f ca="1">IF(Control!$C$114=1,($JB255/(IF($JI255&lt;&gt;0,$JI255,1)))*$JK255,0)</f>
        <v>#N/A</v>
      </c>
      <c r="JN255" s="217" t="e">
        <f ca="1">IF(Control!$C$114=1,($JG255/(IF($JI255&lt;&gt;0,$JI255,1)))*$JK255, 0)</f>
        <v>#N/A</v>
      </c>
      <c r="JO255" s="218" t="e">
        <f t="shared" ca="1" si="769"/>
        <v>#N/A</v>
      </c>
      <c r="JP255" s="218" t="e">
        <f ca="1">MIN(($IY255+$IO255)*Control!$C$151, $JF255-$EH255*Control!$C$161)</f>
        <v>#N/A</v>
      </c>
      <c r="JQ255" s="218" t="e">
        <f t="shared" ca="1" si="770"/>
        <v>#N/A</v>
      </c>
      <c r="JR255" s="217" t="e">
        <f ca="1">IF($CP255-Control!$C$150&lt;0, 0, $JQ255/Control!$C$162)</f>
        <v>#N/A</v>
      </c>
      <c r="JS255" s="218" t="e">
        <f t="shared" ca="1" si="771"/>
        <v>#N/A</v>
      </c>
      <c r="JT255" s="218" t="e">
        <f t="shared" ca="1" si="879"/>
        <v>#N/A</v>
      </c>
      <c r="JU255" s="218" t="e">
        <f t="shared" ca="1" si="772"/>
        <v>#N/A</v>
      </c>
      <c r="JV255" s="218" t="e">
        <f t="shared" ca="1" si="773"/>
        <v>#N/A</v>
      </c>
      <c r="JW255" s="216" t="e">
        <f t="shared" ca="1" si="774"/>
        <v>#N/A</v>
      </c>
      <c r="JX255" s="91" t="e">
        <f t="shared" ca="1" si="775"/>
        <v>#N/A</v>
      </c>
      <c r="JY255" s="218" t="e">
        <f t="shared" ca="1" si="776"/>
        <v>#N/A</v>
      </c>
      <c r="JZ255" s="217" t="e">
        <f ca="1">IF(Control!$C$114=1,($IZ255/(IF($JI255&lt;&gt;0,$JI255,1)))*$JK255, 0)</f>
        <v>#N/A</v>
      </c>
      <c r="KA255" s="218" t="e">
        <f t="shared" ca="1" si="914"/>
        <v>#N/A</v>
      </c>
      <c r="KB255" s="218" t="e">
        <f t="shared" ca="1" si="880"/>
        <v>#N/A</v>
      </c>
      <c r="KC255" s="218" t="e">
        <f t="shared" ca="1" si="777"/>
        <v>#N/A</v>
      </c>
      <c r="KD255" s="218" t="e">
        <f t="shared" ca="1" si="778"/>
        <v>#N/A</v>
      </c>
      <c r="KE255" s="218" t="e">
        <f t="shared" ca="1" si="779"/>
        <v>#N/A</v>
      </c>
      <c r="KF255" s="218" t="e">
        <f t="shared" ca="1" si="780"/>
        <v>#N/A</v>
      </c>
      <c r="KG255" s="216" t="e">
        <f t="shared" ca="1" si="781"/>
        <v>#N/A</v>
      </c>
      <c r="KH255" s="221" t="e">
        <f ca="1">IF(Control!$B$24=0,1,MAX(0.001,MIN(1,IF(($IF255-$IE255)&lt;&gt;0,($KG255-$IE255)/($IF255-$IE255),1))))</f>
        <v>#N/A</v>
      </c>
      <c r="KI255" s="222" t="e">
        <f ca="1">IF(Control!$C$114=1, $KI254+ $KH254, 0)</f>
        <v>#N/A</v>
      </c>
      <c r="KJ255" s="217" t="e">
        <f t="shared" ca="1" si="782"/>
        <v>#N/A</v>
      </c>
      <c r="KK255" s="218" t="e">
        <f t="shared" ca="1" si="783"/>
        <v>#N/A</v>
      </c>
      <c r="KL255" s="274" t="e">
        <f ca="1">IF(Control!$B$26=3,4000000000*EXP(-8400/($G255+273)),IF(Control!$B$26=4,4000000000*EXP(-8400/($G255+273))*($KT255),0))</f>
        <v>#DIV/0!</v>
      </c>
      <c r="KM255" s="274" t="e">
        <f ca="1">IF(Control!$B$26=3,5600000000000*EXP(-9800/($G255+273)),IF(Control!$B$26=4,5600000000000*EXP(-9800/($G255+273))*$KT255,0))</f>
        <v>#DIV/0!</v>
      </c>
      <c r="KN255" s="454" t="e">
        <f t="shared" ca="1" si="881"/>
        <v>#DIV/0!</v>
      </c>
      <c r="KO255" s="274" t="e">
        <f t="shared" ca="1" si="882"/>
        <v>#DIV/0!</v>
      </c>
      <c r="KP255" s="454" t="e">
        <f t="shared" ca="1" si="784"/>
        <v>#DIV/0!</v>
      </c>
      <c r="KQ255" s="454" t="e">
        <f t="shared" ca="1" si="785"/>
        <v>#DIV/0!</v>
      </c>
      <c r="KR255" s="454" t="e">
        <f t="shared" ca="1" si="786"/>
        <v>#DIV/0!</v>
      </c>
      <c r="KS255" s="454" t="e">
        <f t="shared" ca="1" si="787"/>
        <v>#DIV/0!</v>
      </c>
      <c r="KT255" s="455" t="e">
        <f t="shared" ca="1" si="788"/>
        <v>#DIV/0!</v>
      </c>
      <c r="KU255" s="456" t="e">
        <f ca="1">IF($CP255-Control!$C$149&lt;0, IF($NT255-0.01&lt;0,0,1),0)</f>
        <v>#N/A</v>
      </c>
      <c r="KV255" s="456" t="e">
        <f ca="1">IF(Control!$C$114=1,MAX(0,MIN(Control!$C$125*$KW255*$GN255,$KW255)))</f>
        <v>#DIV/0!</v>
      </c>
      <c r="KW255" s="456" t="e">
        <f t="shared" ca="1" si="915"/>
        <v>#DIV/0!</v>
      </c>
      <c r="KX255" s="457" t="e">
        <f ca="1">IF($CP255-Control!$C$149&lt;0, IF($MR255-$OM255&lt;0,0,1),0)</f>
        <v>#N/A</v>
      </c>
      <c r="KY255" s="167">
        <f t="shared" ca="1" si="883"/>
        <v>251</v>
      </c>
      <c r="KZ255" s="168">
        <f ca="1">1370*(1+0.033*COS(2*Control!$C$138*$AH255/365))</f>
        <v>1352.7442525632209</v>
      </c>
      <c r="LA255" s="169">
        <f t="shared" ca="1" si="884"/>
        <v>0.98740425573120028</v>
      </c>
      <c r="LB255" s="169">
        <f t="shared" ca="1" si="885"/>
        <v>8.5590828765061439E-2</v>
      </c>
      <c r="LC255" s="169">
        <f ca="1">ACOS(-TAN((2*Control!$B$8/360))*TAN(Calculations!$LB255))</f>
        <v>1.5962992535903848</v>
      </c>
      <c r="LD255" s="169">
        <f ca="1">((24*60)/PI())*0.082*$LA255*(($LC255*SIN(Control!$B$8*2*PI()/360))*SIN($LB255)+COS(Control!$B$8*2*PI()/360)*COS($LB255)*SIN($LC255))</f>
        <v>26.74860219279028</v>
      </c>
      <c r="LE255" s="170">
        <f t="shared" ca="1" si="789"/>
        <v>26.949018416924865</v>
      </c>
      <c r="LF255" s="170">
        <f ca="1">SIN(Control!$C$139*Control!$B$8)*SIN($HD255)</f>
        <v>6.8272397215826633E-2</v>
      </c>
      <c r="LG255" s="170">
        <f ca="1">COS(Control!$C$139*Control!$B$8)*COS($HD255)</f>
        <v>0.61334479402275133</v>
      </c>
      <c r="LH255" s="170">
        <f ca="1">12*(1+2*ASIN(MAX(-1,MIN(1,$LF255/$LG255))/Control!$C$138))</f>
        <v>12.850534104368688</v>
      </c>
      <c r="LI255" s="170">
        <f ca="1">12*(1+2*ASIN(MAX(-1,MIN(1,(-SIN(-4*Control!$C$139)+$LF255)/$LG255))/Control!$C$138))</f>
        <v>13.720672574948058</v>
      </c>
      <c r="LJ255" s="168">
        <f ca="1">3600*($LH255*$LF255+24*$LG255*SQRT(1-$LK255*$LK255)/Control!$C$138)</f>
        <v>19921.739357503124</v>
      </c>
      <c r="LK255" s="170">
        <f t="shared" ca="1" si="790"/>
        <v>0.11131161115438463</v>
      </c>
      <c r="LL255" s="170">
        <f t="shared" ca="1" si="791"/>
        <v>0</v>
      </c>
      <c r="LM255" s="171">
        <f ca="1">Control!$C$145*$AB255</f>
        <v>6.6660906138995932E-2</v>
      </c>
      <c r="LN255" s="170">
        <f t="shared" ca="1" si="886"/>
        <v>0.54</v>
      </c>
      <c r="LO255" s="170">
        <f t="shared" ca="1" si="792"/>
        <v>0</v>
      </c>
      <c r="LP255" s="170">
        <f ca="1">Control!$C$140*((($D255+273.16)^4+($E255+273.16)^4)/2)*(0.34-0.14*SQRT($Y255))*(1.35*$AQ255/(0.75*$LD255)-0.35)</f>
        <v>-3.2464704755046001</v>
      </c>
      <c r="LQ255" s="170">
        <f ca="1">Control!$C$140*($G255+273)^4*(0.56-0.079*SQRT($Y255*10))*(0.1+0.9*$LO255)</f>
        <v>1.5241745131704001</v>
      </c>
      <c r="LR255" s="170">
        <f ca="1">$AQ255*(1-Control!$C$142)-$LQ255</f>
        <v>-1.5241745131704001</v>
      </c>
      <c r="LS255" s="170">
        <f ca="1">$AQ255*(1-Control!$C$143)-$LQ255</f>
        <v>-1.5241745131704001</v>
      </c>
      <c r="LT255" s="170">
        <f ca="1">$AQ255*(1-Control!$C$144)-$LQ255</f>
        <v>-1.5241745131704001</v>
      </c>
      <c r="LU255" s="169">
        <f ca="1">(1-Control!$C$144)*AQ255-LP255</f>
        <v>3.2464704755046001</v>
      </c>
      <c r="LV255" s="172">
        <f t="shared" ca="1" si="793"/>
        <v>0.79430000000000012</v>
      </c>
      <c r="LW255" s="170">
        <f t="shared" ca="1" si="794"/>
        <v>1.5886000000000002</v>
      </c>
      <c r="LX255" s="170">
        <f ca="1">($AC255*($LR255/Control!$C$141)+$LM255*$LV255)/($AC255+$LM255)</f>
        <v>0.23530094218323697</v>
      </c>
      <c r="LY255" s="170">
        <f ca="1">($AC255*($LS255/Control!$C$141)+$LM255*$LV255)/($AC255+$LM255)</f>
        <v>0.23530094218323697</v>
      </c>
      <c r="LZ255" s="170">
        <f t="shared" ca="1" si="795"/>
        <v>0.23530094218323697</v>
      </c>
      <c r="MA255" s="170">
        <f t="shared" ca="1" si="796"/>
        <v>0.23530094218323697</v>
      </c>
      <c r="MB255" s="170" t="e">
        <f t="shared" ca="1" si="797"/>
        <v>#N/A</v>
      </c>
      <c r="MC255" s="170">
        <f t="shared" ca="1" si="887"/>
        <v>0.6018</v>
      </c>
      <c r="MD255" s="170">
        <f t="shared" ca="1" si="798"/>
        <v>0.52989392535414004</v>
      </c>
      <c r="ME255" s="170">
        <f ca="1">($AC255*($LT255/Control!$C$141)+$LM255*$LW255)/($AC255+$LM255)</f>
        <v>0.71612369323045078</v>
      </c>
      <c r="MF255" s="170" t="e">
        <f ca="1">IF(Control!$B$16&gt;=1000,0.92,IF(AND(720&lt;=Control!$B$16,1000&gt;Control!$B$16),(0.95+(Control!$B$16-720)*((0.92-0.95)/(1000-720))),IF(AND(360&lt;=Control!$B$16,720&gt;Control!$B$16),(1+(Control!$B$16-360)*((0.95-1)/(720-360))),IF(AND(40&lt;=Control!$B$16,360&gt;Control!$B$16),(1.05+(Control!$B$16-40)*((1.05-1)/(360-40)))))))</f>
        <v>#N/A</v>
      </c>
      <c r="MG255" s="170">
        <f t="shared" ca="1" si="799"/>
        <v>0.71612369323045078</v>
      </c>
      <c r="MH255" s="170" t="e">
        <f t="shared" ca="1" si="926"/>
        <v>#N/A</v>
      </c>
      <c r="MI255" s="170" t="e">
        <f t="shared" ca="1" si="926"/>
        <v>#N/A</v>
      </c>
      <c r="MJ255" s="170" t="e">
        <f ca="1">MAX(0.0001, Control!$C$132*$MI255*$DL255)</f>
        <v>#N/A</v>
      </c>
      <c r="MK255" s="170">
        <f ca="1">1/(0.76+1.5*($MG255/10))-(5-Control!$C$110)*0.1</f>
        <v>1.002845988140797</v>
      </c>
      <c r="ML255" s="173">
        <f ca="1">IF(Control!$C$110&lt;3,$MK255+($MG255-0.6)/(Control!$C$110*(Control!$C$110+3)), MAX(0.1, MIN(0.95,$MK255)))</f>
        <v>0.95</v>
      </c>
      <c r="MM255" s="173">
        <f ca="1">IF(Control!$C$110&lt;3,$MK255+(($MI255/10)-0.6)/(Control!$C$110*(Control!$C$110+3)), MAX(0.1, MIN(0.95,$MK255)))</f>
        <v>0.95</v>
      </c>
      <c r="MN255" s="173">
        <f ca="1">(1-$MM255)*(Control!$C$128-Control!$C$127)+Control!$C$127</f>
        <v>0.16</v>
      </c>
      <c r="MO255" s="170" t="e">
        <f ca="1">MAX(0,MIN(1,($MS255-Control!$C$127)/($MN255-Control!$C$127)))</f>
        <v>#DIV/0!</v>
      </c>
      <c r="MP255" s="173" t="e">
        <f ca="1">1/(0.76+1.5*$MI255)-(5-Control!$C$110)*0.1</f>
        <v>#N/A</v>
      </c>
      <c r="MQ255" s="172" t="e">
        <f t="shared" ca="1" si="916"/>
        <v>#DIV/0!</v>
      </c>
      <c r="MR255" s="168" t="e">
        <f t="shared" ca="1" si="888"/>
        <v>#DIV/0!</v>
      </c>
      <c r="MS255" s="173" t="e">
        <f ca="1">MAX(Control!$C$127, MIN(Control!$C$135, $MR255/MAX(0.0001,$CY255)))</f>
        <v>#DIV/0!</v>
      </c>
      <c r="MT255" s="168" t="e">
        <f ca="1">(Control!$C$128-$MS255)*Control!$C$74</f>
        <v>#DIV/0!</v>
      </c>
      <c r="MU255" s="168" t="e">
        <f ca="1">(Control!$C$135-$MS255)*Control!$C$74</f>
        <v>#DIV/0!</v>
      </c>
      <c r="MV255" s="168" t="e">
        <f t="shared" ca="1" si="889"/>
        <v>#DIV/0!</v>
      </c>
      <c r="MW255" s="168" t="e">
        <f t="shared" ca="1" si="890"/>
        <v>#DIV/0!</v>
      </c>
      <c r="MX255" s="171" t="e">
        <f ca="1">MAX(Control!$C$127, MIN(Control!$C$135, $MW255/MAX(0.0001,Control!$C$119-$CY255)))</f>
        <v>#DIV/0!</v>
      </c>
      <c r="MY255" s="54" t="e">
        <f ca="1">IF(Control!$C$114=1, $CX255*$MX255, 0)</f>
        <v>#DIV/0!</v>
      </c>
      <c r="MZ255" s="54" t="e">
        <f t="shared" ca="1" si="891"/>
        <v>#N/A</v>
      </c>
      <c r="NA255" s="168" t="e">
        <f ca="1">(Control!$C$128-$MX255)*(Control!$C$119-Control!$C$74)</f>
        <v>#DIV/0!</v>
      </c>
      <c r="NB255" s="168" t="e">
        <f ca="1">(Control!$C$135-$MX255)*(Control!$C$119-Control!$C$74)</f>
        <v>#DIV/0!</v>
      </c>
      <c r="NC255" s="174" t="e">
        <f t="shared" ca="1" si="892"/>
        <v>#DIV/0!</v>
      </c>
      <c r="ND255" s="54">
        <f ca="1">IF(Control!$C$58=2, IF(OR(Control!$B$218=$AH255,Control!$B$219=$AH255, Control!$B$220=$AH255, Control!$B$221=$AH255, Control!$B$222=$AH255, Control!$B$223=$AH255, Control!$B$224=$AH255, Control!$B$225=$AH255, Control!$B$226=$AH255, Control!$B$227=$AH255, Control!$B$228=$AH255), 1, 0), 0)</f>
        <v>0</v>
      </c>
      <c r="NE255" s="54">
        <f ca="1">IF($ND255=0,0, VLOOKUP($AH255,Control!$B$218:$C$228,2))</f>
        <v>0</v>
      </c>
      <c r="NF255" s="168" t="e">
        <f ca="1">$CY255*(Control!$C$128-Control!$C$127)</f>
        <v>#N/A</v>
      </c>
      <c r="NG255" s="54" t="e">
        <f ca="1">IF(Control!$C$58=2, $NI254-$NJ254, 0)</f>
        <v>#DIV/0!</v>
      </c>
      <c r="NH255" s="54" t="e">
        <f ca="1">IF(AND(Control!$C$58=1, $MS254&lt;= ($MN254+0.02), $I254&lt;10), 0, IF(Control!$C$58=2, $NG254, 0))</f>
        <v>#DIV/0!</v>
      </c>
      <c r="NI255" s="54" t="e">
        <f ca="1">IF(Control!$C$58=2, $NE255+$NH255,0)</f>
        <v>#DIV/0!</v>
      </c>
      <c r="NJ255" s="54" t="e">
        <f ca="1">IF(AND(Control!$C$58=1, $MS255&lt;= ($MN255+0.02), $I255&lt;10), MAX(0, MIN(10, 0.7*($NF255-$MV255))), IF(Control!$C$58=2, MIN(10,$NI255),0))</f>
        <v>#DIV/0!</v>
      </c>
      <c r="NK255" s="54" t="e">
        <f t="shared" ca="1" si="800"/>
        <v>#DIV/0!</v>
      </c>
      <c r="NL255" s="173" t="e">
        <f ca="1">(1-Control!$C$73)*$I255+$NJ255</f>
        <v>#DIV/0!</v>
      </c>
      <c r="NM255" s="172" t="e">
        <f ca="1">IF($NL255&lt;0.5, $MB255* MAX(0, MIN(1, (SQRT($NC255)-SQRT($NC255-1))*Control!$C$71)),0)</f>
        <v>#DIV/0!</v>
      </c>
      <c r="NN255" s="170" t="e">
        <f ca="1">IF($NL255&gt;=5, $MB255, MAX(0,MIN($MB255, $NM255+$NL255,($MS255-Control!$C$129))))</f>
        <v>#DIV/0!</v>
      </c>
      <c r="NO255" s="54">
        <f>IF(Control!$C$133&lt;&gt;1, Control!$C$135-Control!$C$131, 0)</f>
        <v>0.38</v>
      </c>
      <c r="NP255" s="54" t="e">
        <f t="shared" ca="1" si="801"/>
        <v>#DIV/0!</v>
      </c>
      <c r="NQ255" s="173" t="e">
        <f ca="1">MAX(0,MIN(1,(Control!$C$135-$MS255)/(Control!$C$135-$NO255)))</f>
        <v>#DIV/0!</v>
      </c>
      <c r="NR255" s="170" t="e">
        <f ca="1">IF(Control!$C$133&lt;&gt;1, $NQ255+((1-$NP255/4)*(1-$NQ255)),1)</f>
        <v>#DIV/0!</v>
      </c>
      <c r="NS255" s="170" t="e">
        <f ca="1">IF(Control!$B$31=0,$MJ255,MAX(0,MIN($MV255,$MO255*$NR255*$MJ255)))</f>
        <v>#DIV/0!</v>
      </c>
      <c r="NT255" s="170" t="e">
        <f t="shared" ca="1" si="917"/>
        <v>#DIV/0!</v>
      </c>
      <c r="NU255" s="170" t="e">
        <f t="shared" ca="1" si="893"/>
        <v>#N/A</v>
      </c>
      <c r="NV255" s="170" t="e">
        <f t="shared" ca="1" si="802"/>
        <v>#N/A</v>
      </c>
      <c r="NW255" s="175" t="e">
        <f t="shared" ca="1" si="803"/>
        <v>#DIV/0!</v>
      </c>
      <c r="NX255" s="170" t="e">
        <f ca="1">MIN(Control!$C$72+$MU255, $NW255)</f>
        <v>#DIV/0!</v>
      </c>
      <c r="NY255" s="170" t="e">
        <f ca="1">IF($MT255&lt;=$NX255,MIN(Control!$C$72+$NB255,$NX255-$MT255),0)</f>
        <v>#DIV/0!</v>
      </c>
      <c r="NZ255" s="54" t="e">
        <f ca="1">IF(Control!$C$114=1,  $CX255*($MX255-Control!$C$127), 0)</f>
        <v>#DIV/0!</v>
      </c>
      <c r="OA255" s="170" t="e">
        <f t="shared" ca="1" si="804"/>
        <v>#DIV/0!</v>
      </c>
      <c r="OB255" s="170" t="e">
        <f ca="1">IF($NA255 &lt;=$NY255, MIN(Control!$C$72, $NY255-$NA255), 0)</f>
        <v>#DIV/0!</v>
      </c>
      <c r="OC255" s="168" t="e">
        <f t="shared" ca="1" si="805"/>
        <v>#DIV/0!</v>
      </c>
      <c r="OD255" s="168" t="e">
        <f t="shared" ca="1" si="894"/>
        <v>#DIV/0!</v>
      </c>
      <c r="OE255" s="170">
        <f ca="1">Control!$C$73*$I255</f>
        <v>0</v>
      </c>
      <c r="OF255" s="176" t="e">
        <f t="shared" ca="1" si="806"/>
        <v>#DIV/0!</v>
      </c>
      <c r="OG255" s="168" t="e">
        <f t="shared" ca="1" si="807"/>
        <v>#DIV/0!</v>
      </c>
      <c r="OH255" s="168" t="e">
        <f t="shared" ca="1" si="808"/>
        <v>#DIV/0!</v>
      </c>
      <c r="OI255" s="168" t="e">
        <f t="shared" ca="1" si="809"/>
        <v>#DIV/0!</v>
      </c>
      <c r="OJ255" s="168" t="e">
        <f t="shared" ca="1" si="810"/>
        <v>#DIV/0!</v>
      </c>
      <c r="OK255" s="204" t="e">
        <f t="shared" ca="1" si="811"/>
        <v>#DIV/0!</v>
      </c>
      <c r="OL255" s="177">
        <f>Control!$C$127</f>
        <v>0.15</v>
      </c>
      <c r="OM255" s="182" t="e">
        <f t="shared" ca="1" si="812"/>
        <v>#N/A</v>
      </c>
      <c r="ON255" s="177">
        <f>Control!$C$128</f>
        <v>0.35</v>
      </c>
      <c r="OO255" s="182" t="e">
        <f t="shared" ca="1" si="813"/>
        <v>#N/A</v>
      </c>
      <c r="OP255" s="138">
        <f t="shared" ca="1" si="895"/>
        <v>0</v>
      </c>
      <c r="OQ255" s="138" t="e">
        <f t="shared" ca="1" si="918"/>
        <v>#DIV/0!</v>
      </c>
      <c r="OR255" s="138" t="e">
        <f t="shared" ca="1" si="896"/>
        <v>#DIV/0!</v>
      </c>
      <c r="OS255" s="137" t="e">
        <f t="shared" ca="1" si="919"/>
        <v>#DIV/0!</v>
      </c>
      <c r="OT255" s="139" t="e">
        <f t="shared" ca="1" si="920"/>
        <v>#DIV/0!</v>
      </c>
      <c r="OU255" s="138" t="e">
        <f t="shared" ca="1" si="921"/>
        <v>#N/A</v>
      </c>
      <c r="OV255" s="138" t="e">
        <f t="shared" ca="1" si="922"/>
        <v>#DIV/0!</v>
      </c>
      <c r="OW255" s="138" t="e">
        <f t="shared" ca="1" si="897"/>
        <v>#DIV/0!</v>
      </c>
      <c r="OX255" s="138" t="e">
        <f t="shared" ca="1" si="898"/>
        <v>#DIV/0!</v>
      </c>
      <c r="OY255" s="138" t="e">
        <f t="shared" ca="1" si="899"/>
        <v>#DIV/0!</v>
      </c>
      <c r="OZ255" s="138" t="e">
        <f t="shared" ca="1" si="814"/>
        <v>#DIV/0!</v>
      </c>
      <c r="PA255" s="138" t="e">
        <f t="shared" ca="1" si="815"/>
        <v>#DIV/0!</v>
      </c>
      <c r="PB255" s="55">
        <f>IF(Control!$C$61="T", IF(Control!$C$65="F", IF($AH$6-Control!$C$60&lt;0,0,1), IF(365+$AH$6-Control!$C$60&lt;0,0,1)),0)</f>
        <v>0</v>
      </c>
      <c r="PC255" s="55">
        <f ca="1">IF(Control!$C$65="F", IF($AH$6-$HF255&lt;0,0,1), IF(365+$AH$6-$HF255&lt;0,0,1))</f>
        <v>1</v>
      </c>
      <c r="PD255" s="444">
        <f>Control!$C$118</f>
        <v>1500</v>
      </c>
      <c r="PE255" s="180" t="e">
        <f t="shared" ca="1" si="816"/>
        <v>#N/A</v>
      </c>
      <c r="PF255" s="445">
        <f t="shared" ca="1" si="900"/>
        <v>0.71612369323045078</v>
      </c>
      <c r="PT255" s="186"/>
      <c r="PU255" s="186"/>
      <c r="PV255" s="94"/>
      <c r="PW255" s="94"/>
      <c r="PX255" s="94"/>
      <c r="PY255" s="94"/>
      <c r="PZ255" s="94"/>
      <c r="QA255" s="94"/>
      <c r="QB255" s="94"/>
      <c r="QC255" s="94"/>
      <c r="QD255" s="94"/>
      <c r="QE255" s="94"/>
      <c r="QF255" s="94"/>
      <c r="QG255" s="94"/>
      <c r="QH255" s="94"/>
      <c r="QI255" s="94"/>
      <c r="QJ255" s="94"/>
      <c r="QK255" s="94"/>
      <c r="QL255" s="94"/>
      <c r="QM255" s="94"/>
      <c r="QN255" s="94"/>
      <c r="QO255" s="94"/>
      <c r="QP255" s="94"/>
    </row>
    <row r="256" spans="1:458" s="2" customFormat="1" x14ac:dyDescent="0.2">
      <c r="A256" s="395">
        <v>8</v>
      </c>
      <c r="B256" s="396">
        <v>9</v>
      </c>
      <c r="C256" s="387">
        <f ca="1">Weather_data!$B255</f>
        <v>0</v>
      </c>
      <c r="D256" s="388">
        <f ca="1">Weather_data!$F255</f>
        <v>0</v>
      </c>
      <c r="E256" s="388">
        <f ca="1">Weather_data!$E255</f>
        <v>0</v>
      </c>
      <c r="F256" s="388">
        <f t="shared" ca="1" si="817"/>
        <v>0</v>
      </c>
      <c r="G256" s="388">
        <f ca="1">AVERAGE($D256:$E256)+Control!$B$9</f>
        <v>0</v>
      </c>
      <c r="H256" s="388">
        <f ca="1">Weather_data!$G255</f>
        <v>0</v>
      </c>
      <c r="I256" s="388">
        <f ca="1">Weather_data!$I255</f>
        <v>0</v>
      </c>
      <c r="J256" s="388">
        <f ca="1">Weather_data!$H255</f>
        <v>0</v>
      </c>
      <c r="K256" s="389">
        <f ca="1">Weather_data!$D255</f>
        <v>0</v>
      </c>
      <c r="L256" s="388" t="e">
        <f t="shared" ca="1" si="818"/>
        <v>#N/A</v>
      </c>
      <c r="M256" s="388" t="e">
        <f t="shared" ca="1" si="696"/>
        <v>#N/A</v>
      </c>
      <c r="N256" s="388">
        <f t="shared" ca="1" si="697"/>
        <v>-1.8180145897934962E-12</v>
      </c>
      <c r="O256" s="388">
        <f t="shared" ca="1" si="819"/>
        <v>1.8180145897934962E-11</v>
      </c>
      <c r="P256" s="390">
        <v>3</v>
      </c>
      <c r="Q256" s="388">
        <f ca="1">MAX($G256-Control!$C$107,0)</f>
        <v>0</v>
      </c>
      <c r="R256" s="388">
        <f t="shared" ca="1" si="820"/>
        <v>0</v>
      </c>
      <c r="S256" s="388">
        <f t="shared" ca="1" si="698"/>
        <v>0</v>
      </c>
      <c r="T256" s="388">
        <f t="shared" ca="1" si="699"/>
        <v>0</v>
      </c>
      <c r="U256" s="59">
        <f t="shared" ca="1" si="700"/>
        <v>0</v>
      </c>
      <c r="V256" s="391">
        <f ca="1">MAX(0,MIN(Control!$C$100-Control!$C$99,$G256-Control!$C$99)*Control!$C$63)</f>
        <v>0</v>
      </c>
      <c r="W256" s="388">
        <f t="shared" ca="1" si="821"/>
        <v>0</v>
      </c>
      <c r="X256" s="388">
        <f t="shared" ca="1" si="822"/>
        <v>0.6110000000000001</v>
      </c>
      <c r="Y256" s="388">
        <f t="shared" ca="1" si="701"/>
        <v>0</v>
      </c>
      <c r="Z256" s="388">
        <f t="shared" ca="1" si="823"/>
        <v>0.61058800000000002</v>
      </c>
      <c r="AA256" s="388">
        <f t="shared" ca="1" si="702"/>
        <v>0.6018</v>
      </c>
      <c r="AB256" s="388">
        <f ca="1">101.3*EXP(-0.034*Control!$C$66/($G256+273))</f>
        <v>100.69623283836242</v>
      </c>
      <c r="AC256" s="392">
        <f t="shared" ca="1" si="703"/>
        <v>4.3460251046025113E-2</v>
      </c>
      <c r="AD256" s="392">
        <f t="shared" ca="1" si="704"/>
        <v>4.4450382862832649E-2</v>
      </c>
      <c r="AE256" s="388">
        <f t="shared" ca="1" si="705"/>
        <v>0</v>
      </c>
      <c r="AF256" s="388">
        <f ca="1">MAX(0,$G256-Control!$C$92)</f>
        <v>0</v>
      </c>
      <c r="AG256" s="393">
        <f t="shared" ca="1" si="706"/>
        <v>252</v>
      </c>
      <c r="AH256" s="389">
        <f t="shared" ca="1" si="707"/>
        <v>252</v>
      </c>
      <c r="AI256" s="388">
        <f t="shared" ca="1" si="824"/>
        <v>8.0025574227282625E-2</v>
      </c>
      <c r="AJ256" s="388">
        <f ca="1">IF(Control!$C$60&lt;=0,$HH256,$HI256)</f>
        <v>1</v>
      </c>
      <c r="AK256" s="388">
        <f t="shared" ca="1" si="708"/>
        <v>2.9608434872188734</v>
      </c>
      <c r="AL256" s="388">
        <f t="shared" ca="1" si="709"/>
        <v>3.9670419726967052E-18</v>
      </c>
      <c r="AM256" s="388">
        <f t="shared" ca="1" si="710"/>
        <v>2.9608434872188734</v>
      </c>
      <c r="AN256" s="388">
        <f t="shared" ca="1" si="711"/>
        <v>7.1572237967609656E-2</v>
      </c>
      <c r="AO256" s="388">
        <f ca="1">-0.10453/COS(Control!$B$8*PI()/180)*COS(AN256)</f>
        <v>-0.16935018111589648</v>
      </c>
      <c r="AP256" s="388">
        <f ca="1">ACOS(AO256-TAN(Control!$B$8*PI()/180)*TAN(AN256))</f>
        <v>1.8349736424716108</v>
      </c>
      <c r="AQ256" s="388">
        <f t="shared" ca="1" si="825"/>
        <v>0</v>
      </c>
      <c r="AR256" s="394">
        <f t="shared" ca="1" si="712"/>
        <v>0</v>
      </c>
      <c r="AS256" s="436">
        <f ca="1">IF(Control!$B$18=2,(IF(OR($AH256=Control!$B$175,$AH256=Control!$B$176,$AH256=Control!$B$177,$AH256=Control!$B$178,$AH256=Control!$B$179,$AH256=Control!$B$180,$AH256=Control!$B$181,$AH256=Control!$B$182,$AH256=Control!$B$183,$AH256=Control!$B$184,$AH256=Control!$B$185),1,0)),0)</f>
        <v>0</v>
      </c>
      <c r="AT256" s="436">
        <f>IF(Control!$B$20=8,IF(AND($AH256&gt;=Control!$B$172,$AH256&lt;=Control!$B$173),1,0),0)</f>
        <v>0</v>
      </c>
      <c r="AU256" s="436">
        <f>IF(Control!$B$20=8,IF($AV255=1,1*$AT256,IF($AT256=1,$AU255+1,$AU255)),0)</f>
        <v>0</v>
      </c>
      <c r="AV256" s="436">
        <f>IF(Control!$B$20=8,IF($AU256&gt;=Control!$B$174,1,0),0)</f>
        <v>0</v>
      </c>
      <c r="AW256" s="436">
        <f ca="1">IF(AND(Control!$B$18=2,Control!$B$171=1), $AV256, $AS256)</f>
        <v>0</v>
      </c>
      <c r="AX256" s="436" t="e">
        <f ca="1">IF(AND(Control!$B$18=1,$EU256&gt;=Control!$B$19),-$AY256,IF(AND(Control!$B$18=2,$AW256=1,$EU256&gt;$DS256),-$AY256, IF(Control!$C$108=0,0, IF(Control!$C$108&lt;&gt;0,1))))</f>
        <v>#N/A</v>
      </c>
      <c r="AY256" s="436" t="e">
        <f t="shared" ca="1" si="826"/>
        <v>#N/A</v>
      </c>
      <c r="AZ256" s="436" t="e">
        <f ca="1">IF(AND(Control!$B$18=1,$EB256&gt;Control!$B$19),$AZ255+1, IF(AND(Control!$B$18=2, $AW256=1, $EB256&gt;$DS256), $AZ255+1,$AZ255))</f>
        <v>#N/A</v>
      </c>
      <c r="BA256" s="587">
        <f>IF(Control!$C$81=0,1,IF($AH256&gt;=Control!$C$82,1,0))</f>
        <v>1</v>
      </c>
      <c r="BB256" s="140" t="e">
        <f ca="1">IF($BA256&gt;$BA255,Control!$C$83,IF($AW256&gt;0,$AW256*Control!$C$84,IF(AND(Control!$B$18=1,EN255&lt;&gt;0),Control!$C$84,0)))</f>
        <v>#N/A</v>
      </c>
      <c r="BC256" s="140" t="e">
        <f t="shared" ca="1" si="827"/>
        <v>#N/A</v>
      </c>
      <c r="BD256" s="140" t="e">
        <f ca="1">BC256*IF(OR($G256&lt;Control!$C$92,$G256&gt;Control!$C$95),0,IF(AND($G256&gt;=Control!$C$92,$G256&lt;=Control!$C$93),$G256-Control!$C$92,IF(AND($G256&gt;Control!$C$93,$G256&lt;=Control!$C$94),Control!$C$93-Control!$C$92,IF(AND($G256&gt;Control!$C$94,$G256&lt;=Control!$C$95),(Control!$C$93-Control!$C$92)*(Control!$C$94-$G256)/(Control!$C$95-Control!$C$94)))))</f>
        <v>#N/A</v>
      </c>
      <c r="BE256" s="140" t="e">
        <f t="shared" ca="1" si="828"/>
        <v>#N/A</v>
      </c>
      <c r="BF256" s="140" t="e">
        <f ca="1">IF($BE256&lt;=Control!$C$86,$BE256,Control!$C$86-$BE256)</f>
        <v>#N/A</v>
      </c>
      <c r="BG256" s="140" t="e">
        <f ca="1">IF(AND($AW256=1,Control!$C$84&lt;9),1,IF($BE256&gt;=Control!$C$86,0,$BC256))</f>
        <v>#N/A</v>
      </c>
      <c r="BH256" s="404" t="e">
        <f ca="1">IF($BG256=0,0,IF($BE256&lt;=Control!$C$86,$BC256*9*($BF256/Control!$C$86),0))</f>
        <v>#N/A</v>
      </c>
      <c r="BI256" s="140" t="e">
        <f ca="1">IF($BG256=1,0,IF($BE256&gt;=Control!$C$86,1,IF(AND($BB256&lt;21,$BB256&gt;=9),1,$BM255)))</f>
        <v>#N/A</v>
      </c>
      <c r="BJ256" s="140" t="e">
        <f ca="1">IF($BF256&lt;0,-$BF256,$BI256*IF(OR($G256&lt;Control!$C$92,$G256&gt;Control!$C$95),0,IF(AND($G256&gt;=Control!$C$92,$G256&lt;=Control!$C$93),$G256-Control!$C$92,IF(AND($G256&gt;Control!$C$93,$G256&lt;=Control!$C$94),Control!$C$93-Control!$C$92,IF(AND($G256&gt;Control!$C$94,$G256&lt;=Control!$C$95),(Control!$C$93-Control!$C$92)*(Control!$C$94-$G256)/(Control!$C$95-Control!$C$94))))))</f>
        <v>#N/A</v>
      </c>
      <c r="BK256" s="140" t="e">
        <f t="shared" ca="1" si="829"/>
        <v>#N/A</v>
      </c>
      <c r="BL256" s="140" t="e">
        <f ca="1">IF($BK256&lt;=Control!$C$87,$BK256,Control!$C$87-$BK256)</f>
        <v>#N/A</v>
      </c>
      <c r="BM256" s="140" t="e">
        <f ca="1">IF(AND($BB256&gt;=9,$BB256&lt;21),1,IF($BK256&gt;=Control!$C$87,0,$BI256))</f>
        <v>#N/A</v>
      </c>
      <c r="BN256" s="404" t="e">
        <f ca="1">IF($BM256=0,0,IF($BK256&lt;=Control!$C$87,$BI256*(9+(21-9)*($BL256/Control!$C$87)),0))</f>
        <v>#N/A</v>
      </c>
      <c r="BO256" s="140" t="e">
        <f ca="1">IF($BM256=1,0,IF($BK256&gt;=Control!$C$87,1,IF(AND($BB256&lt;30,$BB256&gt;=21),1,$BS255)))</f>
        <v>#N/A</v>
      </c>
      <c r="BP256" s="140" t="e">
        <f ca="1">IF($BL256&lt;0,-$BL256,$BO256*IF(OR($G256&lt;Control!$C$92,$G256&gt;Control!$C$95),0,IF(AND($G256&gt;=Control!$C$92,$G256&lt;=Control!$C$93),$G256-Control!$C$92,IF(AND($G256&gt;Control!$C$93,$G256&lt;=Control!$C$94),Control!$C$93-Control!$C$92,IF(AND($G256&gt;Control!$C$94,$G256&lt;=Control!$C$95),(Control!$C$93-Control!$C$92)*(Control!$C$94-$G256)/(Control!$C$95-Control!$C$94))))))</f>
        <v>#N/A</v>
      </c>
      <c r="BQ256" s="140" t="e">
        <f t="shared" ca="1" si="713"/>
        <v>#N/A</v>
      </c>
      <c r="BR256" s="140" t="e">
        <f ca="1">IF($BQ256&lt;=Control!$C$88,$BQ256,Control!$C$88-$BQ256)</f>
        <v>#N/A</v>
      </c>
      <c r="BS256" s="140" t="e">
        <f ca="1">IF(AND($BB256&gt;=21,$BB256&lt;30),1,IF($BQ256&gt;=Control!$C$88,0,$BO256))</f>
        <v>#N/A</v>
      </c>
      <c r="BT256" s="404" t="e">
        <f ca="1">IF($BS256=0,0,IF($BQ256&lt;=Control!$C$88,$BO256*(21+(30-21)*(BR256/Control!$C$88)),0))</f>
        <v>#N/A</v>
      </c>
      <c r="BU256" s="140" t="e">
        <f ca="1">IF(BG256+BM256+BS256=1,0,IF(OR(AND($BB256&lt;60,$BB256&gt;=30),$BQ256&gt;=Control!$C$88),1*$BA256,$BY255))</f>
        <v>#N/A</v>
      </c>
      <c r="BV256" s="140" t="e">
        <f ca="1">IF($BR256&lt;0,-$BR256,$BU256*IF(OR($G256&lt;Control!$C$92,$G256&gt;Control!$C$95),0,IF(AND($G256&gt;=Control!$C$92,$G256&lt;=Control!$C$93),$G256-Control!$C$92,IF(AND($G256&gt;Control!$C$93,$G256&lt;=Control!$C$94),Control!$C$93-Control!$C$92,IF(AND($G256&gt;Control!$C$94,$G256&lt;=Control!$C$95),(Control!$C$93-Control!$C$92)*(Control!$C$94-$G256)/(Control!$C$95-Control!$C$94))))))</f>
        <v>#N/A</v>
      </c>
      <c r="BW256" s="140" t="e">
        <f t="shared" ca="1" si="714"/>
        <v>#N/A</v>
      </c>
      <c r="BX256" s="140" t="e">
        <f ca="1">IF($BW256&lt;=Control!$C$89,$BW256,Control!$C$89-$BW256)</f>
        <v>#N/A</v>
      </c>
      <c r="BY256" s="140" t="e">
        <f ca="1">IF(AND($AJ256&gt;=30,$AJ256&lt;60),1,IF($BW256&gt;=Control!$C$89,0,$BU256))</f>
        <v>#N/A</v>
      </c>
      <c r="BZ256" s="404" t="e">
        <f ca="1">IF($BY256=0,0,IF($BW256&lt;=Control!$C$89,$BU256*(30+(60-30)*(BX256/Control!$C$89)),0))</f>
        <v>#N/A</v>
      </c>
      <c r="CA256" s="140" t="e">
        <f ca="1">IF($BG256+$BM256+$BS256+$BY256=1,0,IF(OR(AND($BB256&lt;65,$BB256&gt;=60),$BW256&gt;=Control!$C$89),1*$BA256,$CE255))</f>
        <v>#N/A</v>
      </c>
      <c r="CB256" s="140" t="e">
        <f ca="1">IF($BX256&lt;0,-$BX256,$CA256*IF(OR($G256&lt;Control!$C$92,$G256&gt;Control!$C$95),0,IF(AND($G256&gt;=Control!$C$92,$G256&lt;=Control!$C$93),$G256-Control!$C$92,IF(AND($G256&gt;Control!$C$93,$G256&lt;=Control!$C$94),Control!$C$93-Control!$C$92,IF(AND($G256&gt;Control!$C$94,$G256&lt;=Control!$C$95),(Control!$C$93-Control!$C$92)*(Control!$C$94-$G256)/(Control!$C$95-Control!$C$94))))))</f>
        <v>#N/A</v>
      </c>
      <c r="CC256" s="140" t="e">
        <f t="shared" ca="1" si="830"/>
        <v>#N/A</v>
      </c>
      <c r="CD256" s="140" t="e">
        <f ca="1">IF($CC256&lt;=Control!$C$90,$CC256,Control!$C$90-$CC256)</f>
        <v>#N/A</v>
      </c>
      <c r="CE256" s="140" t="e">
        <f ca="1">IF(AND($BB256&gt;=60,$BB256&lt;65),1,IF($CC256&gt;=Control!$C$90,0,$CA256))</f>
        <v>#N/A</v>
      </c>
      <c r="CF256" s="404" t="e">
        <f ca="1">IF($CE256=0,0,IF($CC256&lt;=Control!$C$90,$CA256*(60+(65-60)*(CD256/Control!$C$90)),0))</f>
        <v>#N/A</v>
      </c>
      <c r="CG256" s="140" t="e">
        <f ca="1">IF($BG256+$BM256+$BS256+$BY256+$CE256=1,0,IF(OR(AND($BB256&lt;90,$BB256&gt;=65),$CC256&gt;=Control!$C$90),$BA256,$CK255))</f>
        <v>#N/A</v>
      </c>
      <c r="CH256" s="140" t="e">
        <f ca="1">IF($CD256&lt;0,-$CD256,$CG256*IF(OR($G256&lt;Control!$C$92,$G256&gt;Control!$C$95),0,IF(AND($G256&gt;=Control!$C$92,$G256&lt;=Control!$C$93),$G256-Control!$C$92,IF(AND($G256&gt;Control!$C$93,$G256&lt;=Control!$C$94),Control!$C$93-Control!$C$92,IF(AND($G256&gt;Control!$C$94,$G256&lt;=Control!$C$95),(Control!$C$93-Control!$C$92)*(Control!$C$94-$G256)/(Control!$C$95-Control!$C$94))))))</f>
        <v>#N/A</v>
      </c>
      <c r="CI256" s="140" t="e">
        <f t="shared" ca="1" si="831"/>
        <v>#N/A</v>
      </c>
      <c r="CJ256" s="140" t="e">
        <f ca="1">IF($CI256&lt;=Control!$C$91,$CI256,Control!$C$91-$CI256)</f>
        <v>#N/A</v>
      </c>
      <c r="CK256" s="140" t="e">
        <f ca="1">IF(AND($BB256&gt;=65,$BB256&lt;90),1,IF($CI256&gt;=Control!$C$91,0,$CG256))</f>
        <v>#N/A</v>
      </c>
      <c r="CL256" s="404" t="e">
        <f ca="1">IF($CK256=0,0,IF($CI256&lt;=Control!$C$91,$CG256*(65+(90-65)*($CJ256/Control!$C$91)),0))</f>
        <v>#N/A</v>
      </c>
      <c r="CM256" s="140" t="e">
        <f ca="1">IF($BG256+$BM256+$BS256+$BY256+$CE256+$CK256=1,0,IF(OR($BB256&gt;=90,$CI256&gt;=Control!$C$91),$BA256,$CM255))</f>
        <v>#N/A</v>
      </c>
      <c r="CN256" s="140" t="e">
        <f t="shared" ca="1" si="832"/>
        <v>#N/A</v>
      </c>
      <c r="CO256" s="140" t="e">
        <f t="shared" ca="1" si="833"/>
        <v>#N/A</v>
      </c>
      <c r="CP256" s="140" t="e">
        <f t="shared" ca="1" si="834"/>
        <v>#N/A</v>
      </c>
      <c r="CQ256" s="141" t="e">
        <f ca="1">VLOOKUP($CP256,Control!$B$86:$G$91,6)</f>
        <v>#N/A</v>
      </c>
      <c r="CR256" s="141" t="e">
        <f ca="1">(1-$CQ256)*VLOOKUP($CP256,Control!$B$86:$D$91,3)</f>
        <v>#N/A</v>
      </c>
      <c r="CS256" s="141" t="e">
        <f ca="1">(1-$CQ256)*VLOOKUP($CP256,Control!$B$86:$E$91,4)</f>
        <v>#N/A</v>
      </c>
      <c r="CT256" s="141" t="e">
        <f ca="1">(1-$CQ256)*VLOOKUP($CP256,Control!$B$86:$F$91,5)</f>
        <v>#N/A</v>
      </c>
      <c r="CU256" s="141">
        <f t="shared" ca="1" si="835"/>
        <v>0</v>
      </c>
      <c r="CV256" s="583">
        <f t="shared" ca="1" si="836"/>
        <v>0</v>
      </c>
      <c r="CW256" s="142">
        <f t="shared" ca="1" si="837"/>
        <v>252</v>
      </c>
      <c r="CX256" s="612" t="e">
        <f ca="1">IF(Control!$C$114=1,(MIN(Control!$C$120*(IF($NT256-0.01&lt;0,0,1)),Control!$C$119-$CY256)))</f>
        <v>#DIV/0!</v>
      </c>
      <c r="CY256" s="143" t="e">
        <f t="shared" ca="1" si="838"/>
        <v>#N/A</v>
      </c>
      <c r="CZ256" s="144">
        <f t="shared" ca="1" si="715"/>
        <v>0</v>
      </c>
      <c r="DA256" s="144">
        <f t="shared" ca="1" si="716"/>
        <v>0</v>
      </c>
      <c r="DB256" s="144" t="e">
        <f t="shared" ca="1" si="717"/>
        <v>#N/A</v>
      </c>
      <c r="DC256" s="144" t="e">
        <f t="shared" ca="1" si="718"/>
        <v>#N/A</v>
      </c>
      <c r="DD256" s="144" t="e">
        <f t="shared" ca="1" si="923"/>
        <v>#N/A</v>
      </c>
      <c r="DE256" s="143" t="e">
        <f t="shared" ca="1" si="839"/>
        <v>#N/A</v>
      </c>
      <c r="DF256" s="145" t="e">
        <f ca="1">$DR256*EXP(-Control!$C$158*(1-$KH256))</f>
        <v>#N/A</v>
      </c>
      <c r="DG256" s="146" t="e">
        <f ca="1">IF(Control!$C$114=1, $DF256*$EY256, 0)</f>
        <v>#N/A</v>
      </c>
      <c r="DH256" s="147" t="e">
        <f t="shared" ca="1" si="840"/>
        <v>#N/A</v>
      </c>
      <c r="DI256" s="144" t="e">
        <f t="shared" ca="1" si="901"/>
        <v>#N/A</v>
      </c>
      <c r="DJ256" s="147" t="e">
        <f ca="1">$EF256*Control!$C$109</f>
        <v>#N/A</v>
      </c>
      <c r="DK256" s="144" t="e">
        <f t="shared" ca="1" si="841"/>
        <v>#N/A</v>
      </c>
      <c r="DL256" s="144" t="e">
        <f t="shared" ca="1" si="719"/>
        <v>#N/A</v>
      </c>
      <c r="DM256" s="144" t="e">
        <f ca="1">IF(Control!$C$114=1, (1-EXP(-Control!$C$96*$DK256))*$AR256, 0)</f>
        <v>#N/A</v>
      </c>
      <c r="DN256" s="144">
        <f t="shared" ca="1" si="842"/>
        <v>0</v>
      </c>
      <c r="DO256" s="148">
        <f>Control!$C$97</f>
        <v>4</v>
      </c>
      <c r="DP256" s="145" t="e">
        <f t="shared" ca="1" si="843"/>
        <v>#N/A</v>
      </c>
      <c r="DQ256" s="145" t="e">
        <f ca="1">IF(AND($CP256&gt;=0,$CP256&lt;=90),Control!$C$111,Control!$C$111)</f>
        <v>#N/A</v>
      </c>
      <c r="DR256" s="145" t="e">
        <f t="shared" ca="1" si="720"/>
        <v>#N/A</v>
      </c>
      <c r="DS256" s="143" t="e">
        <f ca="1">Control!$B$22/$DR256</f>
        <v>#N/A</v>
      </c>
      <c r="DT256" s="149" t="e">
        <f ca="1">IF(AND(Control!$C$114=1,$KH256&lt;1),$IM256*$DF256, 0)</f>
        <v>#N/A</v>
      </c>
      <c r="DU256" s="144" t="e">
        <f t="shared" ca="1" si="844"/>
        <v>#N/A</v>
      </c>
      <c r="DV256" s="144">
        <f ca="1">IF($G256-Control!$C$107&lt;=0, 0, 0.83*LN(MAX($G256, 3))-0.8924)</f>
        <v>0</v>
      </c>
      <c r="DW256" s="144" t="e">
        <f t="shared" ca="1" si="721"/>
        <v>#N/A</v>
      </c>
      <c r="DX256" s="150" t="e">
        <f ca="1">MAX(0.01*(1+$CU256/Control!$C$102),0.05*($DK256-Control!$C$97)/Control!$C$97)</f>
        <v>#N/A</v>
      </c>
      <c r="DY256" s="151" t="e">
        <f ca="1">IF(Control!$C$114=1, $DI256*$FS256, 0)</f>
        <v>#N/A</v>
      </c>
      <c r="DZ256" s="196" t="e">
        <f t="shared" ca="1" si="845"/>
        <v>#N/A</v>
      </c>
      <c r="EA256" s="152">
        <f t="shared" ca="1" si="846"/>
        <v>252</v>
      </c>
      <c r="EB256" s="153" t="e">
        <f t="shared" ca="1" si="847"/>
        <v>#N/A</v>
      </c>
      <c r="EC256" s="153" t="e">
        <f t="shared" ca="1" si="848"/>
        <v>#N/A</v>
      </c>
      <c r="ED256" s="154" t="e">
        <f ca="1">IF(Control!$C$114=1, $HM256*$FY256-$FD256, 0)</f>
        <v>#DIV/0!</v>
      </c>
      <c r="EE256" s="155" t="e">
        <f ca="1">IF(Control!$C$114=1, $HM256*$FZ256-$FF256, 0)</f>
        <v>#DIV/0!</v>
      </c>
      <c r="EF256" s="153" t="e">
        <f t="shared" ca="1" si="902"/>
        <v>#N/A</v>
      </c>
      <c r="EG256" s="155" t="e">
        <f ca="1">IF(Control!$C$114=1, $GX256*$FW256-$FI256, 0)</f>
        <v>#DIV/0!</v>
      </c>
      <c r="EH256" s="153" t="e">
        <f t="shared" ca="1" si="849"/>
        <v>#N/A</v>
      </c>
      <c r="EI256" s="156" t="e">
        <f t="shared" ca="1" si="850"/>
        <v>#N/A</v>
      </c>
      <c r="EJ256" s="155" t="e">
        <f ca="1">IF(Control!$C$114=1, $HM256*$GB256, 0)</f>
        <v>#DIV/0!</v>
      </c>
      <c r="EK256" s="153" t="e">
        <f t="shared" ca="1" si="903"/>
        <v>#N/A</v>
      </c>
      <c r="EL256" s="153" t="e">
        <f t="shared" ca="1" si="722"/>
        <v>#N/A</v>
      </c>
      <c r="EM256" s="153" t="e">
        <f t="shared" ca="1" si="723"/>
        <v>#N/A</v>
      </c>
      <c r="EN256" s="153" t="e">
        <f ca="1">IF(Control!$C$108=1,IF(AND(Control!$B$18=1,$EB256&gt;=Control!$B$19),$EB256-$DS256,IF(AND(Control!$B$18=2,$AW256=1,$EB256&gt;$DS256),$EB256-$DS256,0)))</f>
        <v>#N/A</v>
      </c>
      <c r="EO256" s="153" t="e">
        <f ca="1">IF(Control!$C$108=1,IF(AND(Control!$B$18=1,$EB256&gt;=Control!$B$19),$EF256,IF(AND(Control!$B$18=2,$AW256=1),$EF256,0)))</f>
        <v>#N/A</v>
      </c>
      <c r="EP256" s="153" t="e">
        <f ca="1">IF(Control!$C$108=1,IF(AND(Control!$B$18=1,$EB256&gt;=Control!$B$19),$EK256,IF(AND(Control!$B$18=2,$AW256=1),$EK256,0)))</f>
        <v>#N/A</v>
      </c>
      <c r="EQ256" s="153" t="e">
        <f t="shared" ca="1" si="851"/>
        <v>#N/A</v>
      </c>
      <c r="ER256" s="153" t="e">
        <f t="shared" ca="1" si="852"/>
        <v>#N/A</v>
      </c>
      <c r="ES256" s="153" t="e">
        <f t="shared" ca="1" si="904"/>
        <v>#N/A</v>
      </c>
      <c r="ET256" s="153" t="e">
        <f t="shared" ca="1" si="905"/>
        <v>#N/A</v>
      </c>
      <c r="EU256" s="153" t="e">
        <f t="shared" ca="1" si="853"/>
        <v>#N/A</v>
      </c>
      <c r="EV256" s="153" t="e">
        <f t="shared" ca="1" si="724"/>
        <v>#N/A</v>
      </c>
      <c r="EW256" s="153" t="e">
        <f t="shared" ca="1" si="725"/>
        <v>#N/A</v>
      </c>
      <c r="EX256" s="153" t="e">
        <f t="shared" ca="1" si="726"/>
        <v>#N/A</v>
      </c>
      <c r="EY256" s="157" t="e">
        <f t="shared" ca="1" si="727"/>
        <v>#DIV/0!</v>
      </c>
      <c r="EZ256" s="154" t="e">
        <f t="shared" ca="1" si="728"/>
        <v>#DIV/0!</v>
      </c>
      <c r="FA256" s="153" t="e">
        <f t="shared" ca="1" si="854"/>
        <v>#N/A</v>
      </c>
      <c r="FB256" s="153" t="e">
        <f t="shared" ca="1" si="729"/>
        <v>#N/A</v>
      </c>
      <c r="FC256" s="193" t="e">
        <f t="shared" ca="1" si="730"/>
        <v>#N/A</v>
      </c>
      <c r="FD256" s="158" t="e">
        <f t="shared" ca="1" si="855"/>
        <v>#N/A</v>
      </c>
      <c r="FE256" s="158" t="e">
        <f t="shared" ca="1" si="856"/>
        <v>#N/A</v>
      </c>
      <c r="FF256" s="159" t="e">
        <f t="shared" ca="1" si="731"/>
        <v>#N/A</v>
      </c>
      <c r="FG256" s="160" t="e">
        <f t="shared" ca="1" si="857"/>
        <v>#N/A</v>
      </c>
      <c r="FH256" s="158" t="e">
        <f t="shared" ca="1" si="858"/>
        <v>#N/A</v>
      </c>
      <c r="FI256" s="159" t="e">
        <f t="shared" ca="1" si="732"/>
        <v>#N/A</v>
      </c>
      <c r="FJ256" s="160" t="e">
        <f t="shared" ca="1" si="859"/>
        <v>#N/A</v>
      </c>
      <c r="FK256" s="160" t="e">
        <f t="shared" ca="1" si="733"/>
        <v>#N/A</v>
      </c>
      <c r="FL256" s="160" t="e">
        <f t="shared" ca="1" si="906"/>
        <v>#N/A</v>
      </c>
      <c r="FM256" s="160" t="e">
        <f t="shared" ca="1" si="734"/>
        <v>#N/A</v>
      </c>
      <c r="FN256" s="158">
        <f t="shared" ca="1" si="860"/>
        <v>0.01</v>
      </c>
      <c r="FO256" s="160">
        <f>Control!$C$101</f>
        <v>50</v>
      </c>
      <c r="FP256" s="150" t="e">
        <f t="shared" ca="1" si="735"/>
        <v>#N/A</v>
      </c>
      <c r="FQ256" s="150" t="e">
        <f ca="1">MAX(0,(Control!$C$112*(($DK256-Control!$C$97)/Control!$C$97)))</f>
        <v>#N/A</v>
      </c>
      <c r="FR256" s="150" t="e">
        <f ca="1">(1-$NT256)*Control!$C$113</f>
        <v>#DIV/0!</v>
      </c>
      <c r="FS256" s="198" t="e">
        <f t="shared" ca="1" si="736"/>
        <v>#N/A</v>
      </c>
      <c r="FT256" s="161">
        <f t="shared" ca="1" si="861"/>
        <v>252</v>
      </c>
      <c r="FU256" s="162" t="e">
        <f ca="1">IF(Control!$B$34=1,VLOOKUP($CP256,Control!$B$86:$G$91,6),Control!$B$35)</f>
        <v>#N/A</v>
      </c>
      <c r="FV256" s="162" t="e">
        <f t="shared" ca="1" si="737"/>
        <v>#DIV/0!</v>
      </c>
      <c r="FW256" s="162" t="e">
        <f ca="1">IF(Control!$B$31=1,$FU256*$FV256,  $FU256)</f>
        <v>#N/A</v>
      </c>
      <c r="FX256" s="162" t="e">
        <f ca="1">IF(Control!$B$34=1,VLOOKUP($CP256,Control!$B$86:$G$91,3),Control!$B$36)</f>
        <v>#N/A</v>
      </c>
      <c r="FY256" s="162" t="e">
        <f t="shared" ca="1" si="738"/>
        <v>#N/A</v>
      </c>
      <c r="FZ256" s="162" t="e">
        <f ca="1">IF(Control!$B$34=1,VLOOKUP($CP256,Control!$B$86:$G$91,4),Control!$B$37)</f>
        <v>#N/A</v>
      </c>
      <c r="GA256" s="162" t="e">
        <f t="shared" ca="1" si="739"/>
        <v>#N/A</v>
      </c>
      <c r="GB256" s="162" t="e">
        <f ca="1">IF(Control!$B$34=1,VLOOKUP($CP256,Control!$B$86:$G$91,5),Control!$B$38)</f>
        <v>#N/A</v>
      </c>
      <c r="GC256" s="162" t="e">
        <f t="shared" ca="1" si="862"/>
        <v>#N/A</v>
      </c>
      <c r="GD256" s="162">
        <f t="shared" ca="1" si="740"/>
        <v>1</v>
      </c>
      <c r="GE256" s="162">
        <f t="shared" ca="1" si="741"/>
        <v>1</v>
      </c>
      <c r="GF256" s="162">
        <f ca="1">IF(AND(Control!$C$104=1, Control!$C$62="F"),$GE256,1)</f>
        <v>1</v>
      </c>
      <c r="GG256" s="162" t="e">
        <f ca="1">IF(Control!$B$16=40,0,IF(AND(Control!$B$16&gt;40,Control!$B$16&lt;=360),(Control!$B$16-40)*((1-0)/(360-40)),IF(AND(Control!$B$16&gt;360,Control!$B$16&lt;=720),(1+(Control!$B$16-360)*((1.25-1)/(720-360))),IF(AND(Control!$B$16&gt;720,Control!$B$16&lt;=1000),(1.25+(Control!$B$16-720)*((1.35-1.25)/(1000-720))),IF(AND(Control!$B$16&gt;1000,Control!$B$16&lt;=2000),(1.35+(Control!$B$16-1000)*0))))))</f>
        <v>#N/A</v>
      </c>
      <c r="GH256" s="162" t="e">
        <f t="shared" ca="1" si="742"/>
        <v>#N/A</v>
      </c>
      <c r="GI256" s="162">
        <f t="shared" ca="1" si="863"/>
        <v>0</v>
      </c>
      <c r="GJ256" s="162">
        <f t="shared" ca="1" si="743"/>
        <v>0</v>
      </c>
      <c r="GK256" s="162">
        <f t="shared" ca="1" si="864"/>
        <v>1</v>
      </c>
      <c r="GL256" s="162">
        <f t="shared" ca="1" si="744"/>
        <v>1</v>
      </c>
      <c r="GM256" s="162" t="e">
        <f ca="1">MAX(0,MIN(1,1-Control!$C$156*(1.0001-$KH256)^2))</f>
        <v>#N/A</v>
      </c>
      <c r="GN256" s="162" t="e">
        <f ca="1">IF(Control!$B$26=1,$KU256,$KX256)</f>
        <v>#N/A</v>
      </c>
      <c r="GO256" s="162" t="e">
        <f ca="1">IF($CP256&lt;=60,Control!$C$105,IF($CP256&gt;=90,Control!$C$106,Control!$C$105+($CP256-60)*((Control!$C$106-Control!$C$105)/(90-60))))</f>
        <v>#N/A</v>
      </c>
      <c r="GP256" s="162" t="e">
        <f t="shared" ca="1" si="745"/>
        <v>#N/A</v>
      </c>
      <c r="GQ256" s="162" t="e">
        <f t="shared" ca="1" si="865"/>
        <v>#N/A</v>
      </c>
      <c r="GR256" s="163" t="e">
        <f t="shared" ca="1" si="746"/>
        <v>#DIV/0!</v>
      </c>
      <c r="GS256" s="162" t="e">
        <f t="shared" ca="1" si="747"/>
        <v>#DIV/0!</v>
      </c>
      <c r="GT256" s="164" t="e">
        <f t="shared" ca="1" si="866"/>
        <v>#N/A</v>
      </c>
      <c r="GU256" s="162" t="e">
        <f t="shared" ca="1" si="867"/>
        <v>#N/A</v>
      </c>
      <c r="GV256" s="162" t="e">
        <f t="shared" ca="1" si="748"/>
        <v>#N/A</v>
      </c>
      <c r="GW256" s="162" t="e">
        <f t="shared" ca="1" si="749"/>
        <v>#DIV/0!</v>
      </c>
      <c r="GX256" s="162" t="e">
        <f t="shared" ca="1" si="868"/>
        <v>#DIV/0!</v>
      </c>
      <c r="GY256" s="162" t="e">
        <f t="shared" ca="1" si="869"/>
        <v>#DIV/0!</v>
      </c>
      <c r="GZ256" s="165" t="e">
        <f t="shared" ca="1" si="750"/>
        <v>#N/A</v>
      </c>
      <c r="HA256" s="162" t="e">
        <f ca="1">IF(Control!$C$114=1, $DI256*$FS256, 0)</f>
        <v>#N/A</v>
      </c>
      <c r="HB256" s="162" t="e">
        <f ca="1">$FA256/Control!$C$64</f>
        <v>#N/A</v>
      </c>
      <c r="HC256" s="162" t="e">
        <f t="shared" ca="1" si="751"/>
        <v>#DIV/0!</v>
      </c>
      <c r="HD256" s="162">
        <f ca="1">-ASIN(SIN(23.45*Control!$C$139)*COS(2*Control!$C$138*($AH256+10)/365))</f>
        <v>8.0025574227282625E-2</v>
      </c>
      <c r="HE256" s="165">
        <f t="shared" ca="1" si="870"/>
        <v>0</v>
      </c>
      <c r="HF256" s="166">
        <f ca="1">IF(AND(Control!$C$61="T",$HE256&gt;=Control!$C$103,Control!$C$114=0),$AH256,Control!$C$59)</f>
        <v>1</v>
      </c>
      <c r="HG256" s="166">
        <f ca="1">IF(AND(Control!$C$61="T",$HE256&gt;=Control!$C$103,Control!$C$114=0),$HF256,Control!$C$59)</f>
        <v>1</v>
      </c>
      <c r="HH256" s="165">
        <f ca="1">IF(AND(OR(Control!$C$60&lt;=0, $AH256= Control!$C$59, Control!$C$60 &gt;0, $AH256 = Control!$C$60)), Control!$C$59, IF(Control!$C$60&gt;0, 0))</f>
        <v>1</v>
      </c>
      <c r="HI256" s="165">
        <f ca="1">IF(AND(OR(Control!$C$60&lt;=0, $AH256= Control!$C$59, Control!$C$60 &gt;0, $AH256 = Control!$C$60)), Control!$C$60, IF(Control!$C$60&lt;=0, 0))</f>
        <v>0</v>
      </c>
      <c r="HJ256" s="166">
        <f ca="1">IF(AND(Control!$C$62="F",$CV256&gt;=Control!$C$102),$AH256,0)</f>
        <v>0</v>
      </c>
      <c r="HK256" s="165" t="e">
        <f t="shared" ca="1" si="907"/>
        <v>#N/A</v>
      </c>
      <c r="HL256" s="166">
        <f ca="1">IF(AND(Control!$C$61="T",$HE256&gt;=Control!$C$103,Control!$C$114=0),$HF256,0)</f>
        <v>0</v>
      </c>
      <c r="HM256" s="201" t="e">
        <f t="shared" ca="1" si="752"/>
        <v>#DIV/0!</v>
      </c>
      <c r="HN256" s="215">
        <f t="shared" ca="1" si="871"/>
        <v>252</v>
      </c>
      <c r="HO256" s="216" t="e">
        <f ca="1">IF(AND($CP256&gt;=0, $CP256&lt;=90), Control!$C$152, Control!$C$152)</f>
        <v>#N/A</v>
      </c>
      <c r="HP256" s="216" t="e">
        <f t="shared" ca="1" si="753"/>
        <v>#N/A</v>
      </c>
      <c r="HQ256" s="217" t="e">
        <f ca="1">IF(OR(Control!$B$26=1,Control!$B$26=2),$KV256,$KS256)</f>
        <v>#DIV/0!</v>
      </c>
      <c r="HR256" s="218" t="e">
        <f t="shared" ca="1" si="908"/>
        <v>#DIV/0!</v>
      </c>
      <c r="HS256" s="216" t="e">
        <f ca="1">Control!$C$154*$HP256</f>
        <v>#N/A</v>
      </c>
      <c r="HT256" s="216" t="e">
        <f ca="1">Control!$C$155*$HP256</f>
        <v>#N/A</v>
      </c>
      <c r="HU256" s="217" t="e">
        <f ca="1">Control!$C$161*$FI256</f>
        <v>#N/A</v>
      </c>
      <c r="HV256" s="218" t="e">
        <f t="shared" ca="1" si="872"/>
        <v>#N/A</v>
      </c>
      <c r="HW256" s="218" t="e">
        <f ca="1">Control!$C$160*$FF256+$IP256*$EO256</f>
        <v>#N/A</v>
      </c>
      <c r="HX256" s="218" t="e">
        <f t="shared" ca="1" si="909"/>
        <v>#N/A</v>
      </c>
      <c r="HY256" s="219" t="e">
        <f ca="1">IF(Control!$C$114=1, $EB256*$FS256, 0)</f>
        <v>#N/A</v>
      </c>
      <c r="HZ256" s="91" t="e">
        <f t="shared" ca="1" si="754"/>
        <v>#N/A</v>
      </c>
      <c r="IA256" s="220" t="e">
        <f ca="1">Control!$C$153*$HO256</f>
        <v>#N/A</v>
      </c>
      <c r="IB256" s="218" t="e">
        <f t="shared" ca="1" si="755"/>
        <v>#N/A</v>
      </c>
      <c r="IC256" s="220" t="e">
        <f ca="1">Control!$C$153*$HT256</f>
        <v>#N/A</v>
      </c>
      <c r="ID256" s="218" t="e">
        <f t="shared" ca="1" si="756"/>
        <v>#N/A</v>
      </c>
      <c r="IE256" s="221" t="e">
        <f ca="1">($EB256*Control!$C$159+$EF256*Control!$C$160)/(IF($GZ256&lt;&gt;0,$GZ256,1))</f>
        <v>#N/A</v>
      </c>
      <c r="IF256" s="216" t="e">
        <f t="shared" ca="1" si="757"/>
        <v>#N/A</v>
      </c>
      <c r="IG256" s="91">
        <f ca="1">IF(OR(Control!$B$198=$AH256,Control!$B$199=$AH256, Control!$B$200=$AH256, Control!$B$201=$AH256, Control!$B$202=$AH256, Control!$B$203=$AH256, Control!$B$204=$AH256, Control!$B$205=$AH256, Control!$B$206=$AH256, Control!$B$207=$AH256), 1, 0)</f>
        <v>0</v>
      </c>
      <c r="IH256" s="91">
        <f ca="1">IF($IG256=0,0, VLOOKUP($AH256,Control!$B$198:$C$207,2))</f>
        <v>0</v>
      </c>
      <c r="II256" s="222">
        <f t="shared" ca="1" si="873"/>
        <v>0</v>
      </c>
      <c r="IJ256" s="91">
        <f>Control!$C$121</f>
        <v>0.7</v>
      </c>
      <c r="IK256" s="218">
        <f t="shared" ca="1" si="758"/>
        <v>0</v>
      </c>
      <c r="IL256" s="217" t="e">
        <f t="shared" ca="1" si="910"/>
        <v>#N/A</v>
      </c>
      <c r="IM256" s="223" t="e">
        <f ca="1">IF(AND(Control!$C$114=1,$KH256&lt;1),$EB256*Control!$C$148*(1-$KH256), 0)</f>
        <v>#N/A</v>
      </c>
      <c r="IN256" s="217" t="e">
        <f t="shared" ca="1" si="759"/>
        <v>#DIV/0!</v>
      </c>
      <c r="IO256" s="91" t="e">
        <f ca="1">MAX(0,$IL256-$EF256*Control!$C$160)</f>
        <v>#N/A</v>
      </c>
      <c r="IP256" s="220" t="e">
        <f t="shared" ca="1" si="760"/>
        <v>#N/A</v>
      </c>
      <c r="IQ256" s="217" t="e">
        <f t="shared" ca="1" si="874"/>
        <v>#N/A</v>
      </c>
      <c r="IR256" s="218" t="e">
        <f t="shared" ca="1" si="761"/>
        <v>#N/A</v>
      </c>
      <c r="IS256" s="217" t="e">
        <f ca="1">Control!$C$159*MAX(0,$FD256-$EN256)</f>
        <v>#N/A</v>
      </c>
      <c r="IT256" s="217" t="e">
        <f t="shared" ca="1" si="911"/>
        <v>#N/A</v>
      </c>
      <c r="IU256" s="217" t="e">
        <f t="shared" ca="1" si="875"/>
        <v>#N/A</v>
      </c>
      <c r="IV256" s="217" t="e">
        <f t="shared" ca="1" si="912"/>
        <v>#N/A</v>
      </c>
      <c r="IW256" s="217" t="e">
        <f ca="1">IF(OR($AW256=1,AND($AW256=0, Control!$B$18=1,$EN256&lt;&gt;0)), $IQ256-$IU256, $IQ256)</f>
        <v>#N/A</v>
      </c>
      <c r="IX256" s="218" t="e">
        <f t="shared" ca="1" si="762"/>
        <v>#N/A</v>
      </c>
      <c r="IY256" s="218" t="e">
        <f ca="1">MAX(0,$IQ256-$EB256*Control!$C$159)</f>
        <v>#N/A</v>
      </c>
      <c r="IZ256" s="218" t="e">
        <f t="shared" ca="1" si="763"/>
        <v>#N/A</v>
      </c>
      <c r="JA256" s="216" t="e">
        <f t="shared" ca="1" si="764"/>
        <v>#N/A</v>
      </c>
      <c r="JB256" s="217" t="e">
        <f t="shared" ca="1" si="765"/>
        <v>#N/A</v>
      </c>
      <c r="JC256" s="222" t="e">
        <f ca="1">MAX(Control!$C$157*$EK256-$JT256, 0)/Control!$C$162</f>
        <v>#N/A</v>
      </c>
      <c r="JD256" s="218" t="e">
        <f t="shared" ca="1" si="766"/>
        <v>#N/A</v>
      </c>
      <c r="JE256" s="218" t="e">
        <f t="shared" ca="1" si="767"/>
        <v>#N/A</v>
      </c>
      <c r="JF256" s="218" t="e">
        <f t="shared" ca="1" si="876"/>
        <v>#N/A</v>
      </c>
      <c r="JG256" s="218" t="e">
        <f t="shared" ca="1" si="768"/>
        <v>#N/A</v>
      </c>
      <c r="JH256" s="217" t="e">
        <f t="shared" ca="1" si="877"/>
        <v>#N/A</v>
      </c>
      <c r="JI256" s="217" t="e">
        <f t="shared" ca="1" si="878"/>
        <v>#N/A</v>
      </c>
      <c r="JJ256" s="217" t="e">
        <f t="shared" ca="1" si="913"/>
        <v>#N/A</v>
      </c>
      <c r="JK256" s="217" t="e">
        <f ca="1">IF(Control!$C$114=1,IF(Control!$B$24=0,MAX(0,$JI256)*$GN256/Control!$C$64,(MAX(0,MIN($JI256,$JJ256*$GN256/Control!$C$64),0))))</f>
        <v>#N/A</v>
      </c>
      <c r="JL256" s="217" t="e">
        <f ca="1">$IK256/Control!$C$64-$JK256+$HQ256</f>
        <v>#N/A</v>
      </c>
      <c r="JM256" s="217" t="e">
        <f ca="1">IF(Control!$C$114=1,($JB256/(IF($JI256&lt;&gt;0,$JI256,1)))*$JK256,0)</f>
        <v>#N/A</v>
      </c>
      <c r="JN256" s="217" t="e">
        <f ca="1">IF(Control!$C$114=1,($JG256/(IF($JI256&lt;&gt;0,$JI256,1)))*$JK256, 0)</f>
        <v>#N/A</v>
      </c>
      <c r="JO256" s="218" t="e">
        <f t="shared" ca="1" si="769"/>
        <v>#N/A</v>
      </c>
      <c r="JP256" s="218" t="e">
        <f ca="1">MIN(($IY256+$IO256)*Control!$C$151, $JF256-$EH256*Control!$C$161)</f>
        <v>#N/A</v>
      </c>
      <c r="JQ256" s="218" t="e">
        <f t="shared" ca="1" si="770"/>
        <v>#N/A</v>
      </c>
      <c r="JR256" s="217" t="e">
        <f ca="1">IF($CP256-Control!$C$150&lt;0, 0, $JQ256/Control!$C$162)</f>
        <v>#N/A</v>
      </c>
      <c r="JS256" s="218" t="e">
        <f t="shared" ca="1" si="771"/>
        <v>#N/A</v>
      </c>
      <c r="JT256" s="218" t="e">
        <f t="shared" ca="1" si="879"/>
        <v>#N/A</v>
      </c>
      <c r="JU256" s="218" t="e">
        <f t="shared" ca="1" si="772"/>
        <v>#N/A</v>
      </c>
      <c r="JV256" s="218" t="e">
        <f t="shared" ca="1" si="773"/>
        <v>#N/A</v>
      </c>
      <c r="JW256" s="216" t="e">
        <f t="shared" ca="1" si="774"/>
        <v>#N/A</v>
      </c>
      <c r="JX256" s="91" t="e">
        <f t="shared" ca="1" si="775"/>
        <v>#N/A</v>
      </c>
      <c r="JY256" s="218" t="e">
        <f t="shared" ca="1" si="776"/>
        <v>#N/A</v>
      </c>
      <c r="JZ256" s="217" t="e">
        <f ca="1">IF(Control!$C$114=1,($IZ256/(IF($JI256&lt;&gt;0,$JI256,1)))*$JK256, 0)</f>
        <v>#N/A</v>
      </c>
      <c r="KA256" s="218" t="e">
        <f t="shared" ca="1" si="914"/>
        <v>#N/A</v>
      </c>
      <c r="KB256" s="218" t="e">
        <f t="shared" ca="1" si="880"/>
        <v>#N/A</v>
      </c>
      <c r="KC256" s="218" t="e">
        <f t="shared" ca="1" si="777"/>
        <v>#N/A</v>
      </c>
      <c r="KD256" s="218" t="e">
        <f t="shared" ca="1" si="778"/>
        <v>#N/A</v>
      </c>
      <c r="KE256" s="218" t="e">
        <f t="shared" ca="1" si="779"/>
        <v>#N/A</v>
      </c>
      <c r="KF256" s="218" t="e">
        <f t="shared" ca="1" si="780"/>
        <v>#N/A</v>
      </c>
      <c r="KG256" s="216" t="e">
        <f t="shared" ca="1" si="781"/>
        <v>#N/A</v>
      </c>
      <c r="KH256" s="221" t="e">
        <f ca="1">IF(Control!$B$24=0,1,MAX(0.001,MIN(1,IF(($IF256-$IE256)&lt;&gt;0,($KG256-$IE256)/($IF256-$IE256),1))))</f>
        <v>#N/A</v>
      </c>
      <c r="KI256" s="222" t="e">
        <f ca="1">IF(Control!$C$114=1, $KI255+ $KH255, 0)</f>
        <v>#N/A</v>
      </c>
      <c r="KJ256" s="217" t="e">
        <f t="shared" ca="1" si="782"/>
        <v>#N/A</v>
      </c>
      <c r="KK256" s="218" t="e">
        <f t="shared" ca="1" si="783"/>
        <v>#N/A</v>
      </c>
      <c r="KL256" s="274" t="e">
        <f ca="1">IF(Control!$B$26=3,4000000000*EXP(-8400/($G256+273)),IF(Control!$B$26=4,4000000000*EXP(-8400/($G256+273))*($KT256),0))</f>
        <v>#DIV/0!</v>
      </c>
      <c r="KM256" s="274" t="e">
        <f ca="1">IF(Control!$B$26=3,5600000000000*EXP(-9800/($G256+273)),IF(Control!$B$26=4,5600000000000*EXP(-9800/($G256+273))*$KT256,0))</f>
        <v>#DIV/0!</v>
      </c>
      <c r="KN256" s="454" t="e">
        <f t="shared" ca="1" si="881"/>
        <v>#DIV/0!</v>
      </c>
      <c r="KO256" s="274" t="e">
        <f t="shared" ca="1" si="882"/>
        <v>#DIV/0!</v>
      </c>
      <c r="KP256" s="454" t="e">
        <f t="shared" ca="1" si="784"/>
        <v>#DIV/0!</v>
      </c>
      <c r="KQ256" s="454" t="e">
        <f t="shared" ca="1" si="785"/>
        <v>#DIV/0!</v>
      </c>
      <c r="KR256" s="454" t="e">
        <f t="shared" ca="1" si="786"/>
        <v>#DIV/0!</v>
      </c>
      <c r="KS256" s="454" t="e">
        <f t="shared" ca="1" si="787"/>
        <v>#DIV/0!</v>
      </c>
      <c r="KT256" s="455" t="e">
        <f t="shared" ca="1" si="788"/>
        <v>#DIV/0!</v>
      </c>
      <c r="KU256" s="456" t="e">
        <f ca="1">IF($CP256-Control!$C$149&lt;0, IF($NT256-0.01&lt;0,0,1),0)</f>
        <v>#N/A</v>
      </c>
      <c r="KV256" s="456" t="e">
        <f ca="1">IF(Control!$C$114=1,MAX(0,MIN(Control!$C$125*$KW256*$GN256,$KW256)))</f>
        <v>#DIV/0!</v>
      </c>
      <c r="KW256" s="456" t="e">
        <f t="shared" ca="1" si="915"/>
        <v>#DIV/0!</v>
      </c>
      <c r="KX256" s="457" t="e">
        <f ca="1">IF($CP256-Control!$C$149&lt;0, IF($MR256-$OM256&lt;0,0,1),0)</f>
        <v>#N/A</v>
      </c>
      <c r="KY256" s="167">
        <f t="shared" ca="1" si="883"/>
        <v>252</v>
      </c>
      <c r="KZ256" s="168">
        <f ca="1">1370*(1+0.033*COS(2*Control!$C$138*$AH256/365))</f>
        <v>1353.4661115566089</v>
      </c>
      <c r="LA256" s="169">
        <f t="shared" ca="1" si="884"/>
        <v>0.98793115672459009</v>
      </c>
      <c r="LB256" s="169">
        <f t="shared" ca="1" si="885"/>
        <v>7.8693768897405231E-2</v>
      </c>
      <c r="LC256" s="169">
        <f ca="1">ACOS(-TAN((2*Control!$B$8/360))*TAN(Calculations!$LB256))</f>
        <v>1.5942349056595253</v>
      </c>
      <c r="LD256" s="169">
        <f ca="1">((24*60)/PI())*0.082*$LA256*(($LC256*SIN(Control!$B$8*2*PI()/360))*SIN($LB256)+COS(Control!$B$8*2*PI()/360)*COS($LB256)*SIN($LC256))</f>
        <v>26.451144161119633</v>
      </c>
      <c r="LE256" s="170">
        <f t="shared" ca="1" si="789"/>
        <v>26.646605818594136</v>
      </c>
      <c r="LF256" s="170">
        <f ca="1">SIN(Control!$C$139*Control!$B$8)*SIN($HD256)</f>
        <v>6.2993830960941008E-2</v>
      </c>
      <c r="LG256" s="170">
        <f ca="1">COS(Control!$C$139*Control!$B$8)*COS($HD256)</f>
        <v>0.61368948360508913</v>
      </c>
      <c r="LH256" s="170">
        <f ca="1">12*(1+2*ASIN(MAX(-1,MIN(1,$LF256/$LG256))/Control!$C$138))</f>
        <v>12.784308635363356</v>
      </c>
      <c r="LI256" s="170">
        <f ca="1">12*(1+2*ASIN(MAX(-1,MIN(1,(-SIN(-4*Control!$C$139)+$LF256)/$LG256))/Control!$C$138))</f>
        <v>13.653832405181211</v>
      </c>
      <c r="LJ256" s="168">
        <f ca="1">3600*($LH256*$LF256+24*$LG256*SQRT(1-$LK256*$LK256)/Control!$C$138)</f>
        <v>19687.678613503016</v>
      </c>
      <c r="LK256" s="170">
        <f t="shared" ca="1" si="790"/>
        <v>0.10264772762747505</v>
      </c>
      <c r="LL256" s="170">
        <f t="shared" ca="1" si="791"/>
        <v>0</v>
      </c>
      <c r="LM256" s="171">
        <f ca="1">Control!$C$145*$AB256</f>
        <v>6.6660906138995932E-2</v>
      </c>
      <c r="LN256" s="170">
        <f t="shared" ca="1" si="886"/>
        <v>0.54</v>
      </c>
      <c r="LO256" s="170">
        <f t="shared" ca="1" si="792"/>
        <v>0</v>
      </c>
      <c r="LP256" s="170">
        <f ca="1">Control!$C$140*((($D256+273.16)^4+($E256+273.16)^4)/2)*(0.34-0.14*SQRT($Y256))*(1.35*$AQ256/(0.75*$LD256)-0.35)</f>
        <v>-3.2464704755046001</v>
      </c>
      <c r="LQ256" s="170">
        <f ca="1">Control!$C$140*($G256+273)^4*(0.56-0.079*SQRT($Y256*10))*(0.1+0.9*$LO256)</f>
        <v>1.5241745131704001</v>
      </c>
      <c r="LR256" s="170">
        <f ca="1">$AQ256*(1-Control!$C$142)-$LQ256</f>
        <v>-1.5241745131704001</v>
      </c>
      <c r="LS256" s="170">
        <f ca="1">$AQ256*(1-Control!$C$143)-$LQ256</f>
        <v>-1.5241745131704001</v>
      </c>
      <c r="LT256" s="170">
        <f ca="1">$AQ256*(1-Control!$C$144)-$LQ256</f>
        <v>-1.5241745131704001</v>
      </c>
      <c r="LU256" s="169">
        <f ca="1">(1-Control!$C$144)*AQ256-LP256</f>
        <v>3.2464704755046001</v>
      </c>
      <c r="LV256" s="172">
        <f t="shared" ca="1" si="793"/>
        <v>0.79430000000000012</v>
      </c>
      <c r="LW256" s="170">
        <f t="shared" ca="1" si="794"/>
        <v>1.5886000000000002</v>
      </c>
      <c r="LX256" s="170">
        <f ca="1">($AC256*($LR256/Control!$C$141)+$LM256*$LV256)/($AC256+$LM256)</f>
        <v>0.23530094218323697</v>
      </c>
      <c r="LY256" s="170">
        <f ca="1">($AC256*($LS256/Control!$C$141)+$LM256*$LV256)/($AC256+$LM256)</f>
        <v>0.23530094218323697</v>
      </c>
      <c r="LZ256" s="170">
        <f t="shared" ca="1" si="795"/>
        <v>0.23530094218323697</v>
      </c>
      <c r="MA256" s="170">
        <f t="shared" ca="1" si="796"/>
        <v>0.23530094218323697</v>
      </c>
      <c r="MB256" s="170" t="e">
        <f t="shared" ca="1" si="797"/>
        <v>#N/A</v>
      </c>
      <c r="MC256" s="170">
        <f t="shared" ca="1" si="887"/>
        <v>0.6018</v>
      </c>
      <c r="MD256" s="170">
        <f t="shared" ca="1" si="798"/>
        <v>0.52989392535414004</v>
      </c>
      <c r="ME256" s="170">
        <f ca="1">($AC256*($LT256/Control!$C$141)+$LM256*$LW256)/($AC256+$LM256)</f>
        <v>0.71612369323045078</v>
      </c>
      <c r="MF256" s="170" t="e">
        <f ca="1">IF(Control!$B$16&gt;=1000,0.92,IF(AND(720&lt;=Control!$B$16,1000&gt;Control!$B$16),(0.95+(Control!$B$16-720)*((0.92-0.95)/(1000-720))),IF(AND(360&lt;=Control!$B$16,720&gt;Control!$B$16),(1+(Control!$B$16-360)*((0.95-1)/(720-360))),IF(AND(40&lt;=Control!$B$16,360&gt;Control!$B$16),(1.05+(Control!$B$16-40)*((1.05-1)/(360-40)))))))</f>
        <v>#N/A</v>
      </c>
      <c r="MG256" s="170">
        <f t="shared" ca="1" si="799"/>
        <v>0.71612369323045078</v>
      </c>
      <c r="MH256" s="170" t="e">
        <f t="shared" ca="1" si="926"/>
        <v>#N/A</v>
      </c>
      <c r="MI256" s="170" t="e">
        <f t="shared" ca="1" si="926"/>
        <v>#N/A</v>
      </c>
      <c r="MJ256" s="170" t="e">
        <f ca="1">MAX(0.0001, Control!$C$132*$MI256*$DL256)</f>
        <v>#N/A</v>
      </c>
      <c r="MK256" s="170">
        <f ca="1">1/(0.76+1.5*($MG256/10))-(5-Control!$C$110)*0.1</f>
        <v>1.002845988140797</v>
      </c>
      <c r="ML256" s="173">
        <f ca="1">IF(Control!$C$110&lt;3,$MK256+($MG256-0.6)/(Control!$C$110*(Control!$C$110+3)), MAX(0.1, MIN(0.95,$MK256)))</f>
        <v>0.95</v>
      </c>
      <c r="MM256" s="173">
        <f ca="1">IF(Control!$C$110&lt;3,$MK256+(($MI256/10)-0.6)/(Control!$C$110*(Control!$C$110+3)), MAX(0.1, MIN(0.95,$MK256)))</f>
        <v>0.95</v>
      </c>
      <c r="MN256" s="173">
        <f ca="1">(1-$MM256)*(Control!$C$128-Control!$C$127)+Control!$C$127</f>
        <v>0.16</v>
      </c>
      <c r="MO256" s="170" t="e">
        <f ca="1">MAX(0,MIN(1,($MS256-Control!$C$127)/($MN256-Control!$C$127)))</f>
        <v>#DIV/0!</v>
      </c>
      <c r="MP256" s="173" t="e">
        <f ca="1">1/(0.76+1.5*$MI256)-(5-Control!$C$110)*0.1</f>
        <v>#N/A</v>
      </c>
      <c r="MQ256" s="172" t="e">
        <f t="shared" ca="1" si="916"/>
        <v>#DIV/0!</v>
      </c>
      <c r="MR256" s="168" t="e">
        <f t="shared" ca="1" si="888"/>
        <v>#DIV/0!</v>
      </c>
      <c r="MS256" s="173" t="e">
        <f ca="1">MAX(Control!$C$127, MIN(Control!$C$135, $MR256/MAX(0.0001,$CY256)))</f>
        <v>#DIV/0!</v>
      </c>
      <c r="MT256" s="168" t="e">
        <f ca="1">(Control!$C$128-$MS256)*Control!$C$74</f>
        <v>#DIV/0!</v>
      </c>
      <c r="MU256" s="168" t="e">
        <f ca="1">(Control!$C$135-$MS256)*Control!$C$74</f>
        <v>#DIV/0!</v>
      </c>
      <c r="MV256" s="168" t="e">
        <f t="shared" ca="1" si="889"/>
        <v>#DIV/0!</v>
      </c>
      <c r="MW256" s="168" t="e">
        <f t="shared" ca="1" si="890"/>
        <v>#DIV/0!</v>
      </c>
      <c r="MX256" s="171" t="e">
        <f ca="1">MAX(Control!$C$127, MIN(Control!$C$135, $MW256/MAX(0.0001,Control!$C$119-$CY256)))</f>
        <v>#DIV/0!</v>
      </c>
      <c r="MY256" s="54" t="e">
        <f ca="1">IF(Control!$C$114=1, $CX256*$MX256, 0)</f>
        <v>#DIV/0!</v>
      </c>
      <c r="MZ256" s="54" t="e">
        <f t="shared" ca="1" si="891"/>
        <v>#N/A</v>
      </c>
      <c r="NA256" s="168" t="e">
        <f ca="1">(Control!$C$128-$MX256)*(Control!$C$119-Control!$C$74)</f>
        <v>#DIV/0!</v>
      </c>
      <c r="NB256" s="168" t="e">
        <f ca="1">(Control!$C$135-$MX256)*(Control!$C$119-Control!$C$74)</f>
        <v>#DIV/0!</v>
      </c>
      <c r="NC256" s="174" t="e">
        <f t="shared" ca="1" si="892"/>
        <v>#DIV/0!</v>
      </c>
      <c r="ND256" s="54">
        <f ca="1">IF(Control!$C$58=2, IF(OR(Control!$B$218=$AH256,Control!$B$219=$AH256, Control!$B$220=$AH256, Control!$B$221=$AH256, Control!$B$222=$AH256, Control!$B$223=$AH256, Control!$B$224=$AH256, Control!$B$225=$AH256, Control!$B$226=$AH256, Control!$B$227=$AH256, Control!$B$228=$AH256), 1, 0), 0)</f>
        <v>0</v>
      </c>
      <c r="NE256" s="54">
        <f ca="1">IF($ND256=0,0, VLOOKUP($AH256,Control!$B$218:$C$228,2))</f>
        <v>0</v>
      </c>
      <c r="NF256" s="168" t="e">
        <f ca="1">$CY256*(Control!$C$128-Control!$C$127)</f>
        <v>#N/A</v>
      </c>
      <c r="NG256" s="54" t="e">
        <f ca="1">IF(Control!$C$58=2, $NI255-$NJ255, 0)</f>
        <v>#DIV/0!</v>
      </c>
      <c r="NH256" s="54" t="e">
        <f ca="1">IF(AND(Control!$C$58=1, $MS255&lt;= ($MN255+0.02), $I255&lt;10), 0, IF(Control!$C$58=2, $NG255, 0))</f>
        <v>#DIV/0!</v>
      </c>
      <c r="NI256" s="54" t="e">
        <f ca="1">IF(Control!$C$58=2, $NE256+$NH256,0)</f>
        <v>#DIV/0!</v>
      </c>
      <c r="NJ256" s="54" t="e">
        <f ca="1">IF(AND(Control!$C$58=1, $MS256&lt;= ($MN256+0.02), $I256&lt;10), MAX(0, MIN(10, 0.7*($NF256-$MV256))), IF(Control!$C$58=2, MIN(10,$NI256),0))</f>
        <v>#DIV/0!</v>
      </c>
      <c r="NK256" s="54" t="e">
        <f t="shared" ca="1" si="800"/>
        <v>#DIV/0!</v>
      </c>
      <c r="NL256" s="173" t="e">
        <f ca="1">(1-Control!$C$73)*$I256+$NJ256</f>
        <v>#DIV/0!</v>
      </c>
      <c r="NM256" s="172" t="e">
        <f ca="1">IF($NL256&lt;0.5, $MB256* MAX(0, MIN(1, (SQRT($NC256)-SQRT($NC256-1))*Control!$C$71)),0)</f>
        <v>#DIV/0!</v>
      </c>
      <c r="NN256" s="170" t="e">
        <f ca="1">IF($NL256&gt;=5, $MB256, MAX(0,MIN($MB256, $NM256+$NL256,($MS256-Control!$C$129))))</f>
        <v>#DIV/0!</v>
      </c>
      <c r="NO256" s="54">
        <f>IF(Control!$C$133&lt;&gt;1, Control!$C$135-Control!$C$131, 0)</f>
        <v>0.38</v>
      </c>
      <c r="NP256" s="54" t="e">
        <f t="shared" ca="1" si="801"/>
        <v>#DIV/0!</v>
      </c>
      <c r="NQ256" s="173" t="e">
        <f ca="1">MAX(0,MIN(1,(Control!$C$135-$MS256)/(Control!$C$135-$NO256)))</f>
        <v>#DIV/0!</v>
      </c>
      <c r="NR256" s="170" t="e">
        <f ca="1">IF(Control!$C$133&lt;&gt;1, $NQ256+((1-$NP256/4)*(1-$NQ256)),1)</f>
        <v>#DIV/0!</v>
      </c>
      <c r="NS256" s="170" t="e">
        <f ca="1">IF(Control!$B$31=0,$MJ256,MAX(0,MIN($MV256,$MO256*$NR256*$MJ256)))</f>
        <v>#DIV/0!</v>
      </c>
      <c r="NT256" s="170" t="e">
        <f t="shared" ca="1" si="917"/>
        <v>#DIV/0!</v>
      </c>
      <c r="NU256" s="170" t="e">
        <f t="shared" ca="1" si="893"/>
        <v>#N/A</v>
      </c>
      <c r="NV256" s="170" t="e">
        <f t="shared" ca="1" si="802"/>
        <v>#N/A</v>
      </c>
      <c r="NW256" s="175" t="e">
        <f t="shared" ca="1" si="803"/>
        <v>#DIV/0!</v>
      </c>
      <c r="NX256" s="170" t="e">
        <f ca="1">MIN(Control!$C$72+$MU256, $NW256)</f>
        <v>#DIV/0!</v>
      </c>
      <c r="NY256" s="170" t="e">
        <f ca="1">IF($MT256&lt;=$NX256,MIN(Control!$C$72+$NB256,$NX256-$MT256),0)</f>
        <v>#DIV/0!</v>
      </c>
      <c r="NZ256" s="54" t="e">
        <f ca="1">IF(Control!$C$114=1,  $CX256*($MX256-Control!$C$127), 0)</f>
        <v>#DIV/0!</v>
      </c>
      <c r="OA256" s="170" t="e">
        <f t="shared" ca="1" si="804"/>
        <v>#DIV/0!</v>
      </c>
      <c r="OB256" s="170" t="e">
        <f ca="1">IF($NA256 &lt;=$NY256, MIN(Control!$C$72, $NY256-$NA256), 0)</f>
        <v>#DIV/0!</v>
      </c>
      <c r="OC256" s="168" t="e">
        <f t="shared" ca="1" si="805"/>
        <v>#DIV/0!</v>
      </c>
      <c r="OD256" s="168" t="e">
        <f t="shared" ca="1" si="894"/>
        <v>#DIV/0!</v>
      </c>
      <c r="OE256" s="170">
        <f ca="1">Control!$C$73*$I256</f>
        <v>0</v>
      </c>
      <c r="OF256" s="176" t="e">
        <f t="shared" ca="1" si="806"/>
        <v>#DIV/0!</v>
      </c>
      <c r="OG256" s="168" t="e">
        <f t="shared" ca="1" si="807"/>
        <v>#DIV/0!</v>
      </c>
      <c r="OH256" s="168" t="e">
        <f t="shared" ca="1" si="808"/>
        <v>#DIV/0!</v>
      </c>
      <c r="OI256" s="168" t="e">
        <f t="shared" ca="1" si="809"/>
        <v>#DIV/0!</v>
      </c>
      <c r="OJ256" s="168" t="e">
        <f t="shared" ca="1" si="810"/>
        <v>#DIV/0!</v>
      </c>
      <c r="OK256" s="204" t="e">
        <f t="shared" ca="1" si="811"/>
        <v>#DIV/0!</v>
      </c>
      <c r="OL256" s="177">
        <f>Control!$C$127</f>
        <v>0.15</v>
      </c>
      <c r="OM256" s="182" t="e">
        <f t="shared" ca="1" si="812"/>
        <v>#N/A</v>
      </c>
      <c r="ON256" s="177">
        <f>Control!$C$128</f>
        <v>0.35</v>
      </c>
      <c r="OO256" s="182" t="e">
        <f t="shared" ca="1" si="813"/>
        <v>#N/A</v>
      </c>
      <c r="OP256" s="138">
        <f t="shared" ca="1" si="895"/>
        <v>0</v>
      </c>
      <c r="OQ256" s="138" t="e">
        <f t="shared" ca="1" si="918"/>
        <v>#DIV/0!</v>
      </c>
      <c r="OR256" s="138" t="e">
        <f t="shared" ca="1" si="896"/>
        <v>#DIV/0!</v>
      </c>
      <c r="OS256" s="137" t="e">
        <f t="shared" ca="1" si="919"/>
        <v>#DIV/0!</v>
      </c>
      <c r="OT256" s="139" t="e">
        <f t="shared" ca="1" si="920"/>
        <v>#DIV/0!</v>
      </c>
      <c r="OU256" s="138" t="e">
        <f t="shared" ca="1" si="921"/>
        <v>#N/A</v>
      </c>
      <c r="OV256" s="138" t="e">
        <f t="shared" ca="1" si="922"/>
        <v>#DIV/0!</v>
      </c>
      <c r="OW256" s="138" t="e">
        <f t="shared" ca="1" si="897"/>
        <v>#DIV/0!</v>
      </c>
      <c r="OX256" s="138" t="e">
        <f t="shared" ca="1" si="898"/>
        <v>#DIV/0!</v>
      </c>
      <c r="OY256" s="138" t="e">
        <f t="shared" ca="1" si="899"/>
        <v>#DIV/0!</v>
      </c>
      <c r="OZ256" s="138" t="e">
        <f t="shared" ca="1" si="814"/>
        <v>#DIV/0!</v>
      </c>
      <c r="PA256" s="138" t="e">
        <f t="shared" ca="1" si="815"/>
        <v>#DIV/0!</v>
      </c>
      <c r="PB256" s="55">
        <f>IF(Control!$C$61="T", IF(Control!$C$65="F", IF($AH$6-Control!$C$60&lt;0,0,1), IF(365+$AH$6-Control!$C$60&lt;0,0,1)),0)</f>
        <v>0</v>
      </c>
      <c r="PC256" s="55">
        <f ca="1">IF(Control!$C$65="F", IF($AH$6-$HF256&lt;0,0,1), IF(365+$AH$6-$HF256&lt;0,0,1))</f>
        <v>1</v>
      </c>
      <c r="PD256" s="444">
        <f>Control!$C$118</f>
        <v>1500</v>
      </c>
      <c r="PE256" s="180" t="e">
        <f t="shared" ca="1" si="816"/>
        <v>#N/A</v>
      </c>
      <c r="PF256" s="445">
        <f t="shared" ca="1" si="900"/>
        <v>0.71612369323045078</v>
      </c>
      <c r="PT256" s="186"/>
      <c r="PU256" s="186"/>
      <c r="PV256" s="94"/>
      <c r="PW256" s="94"/>
      <c r="PX256" s="94"/>
      <c r="PY256" s="94"/>
      <c r="PZ256" s="94"/>
      <c r="QA256" s="94"/>
      <c r="QB256" s="94"/>
      <c r="QC256" s="94"/>
      <c r="QD256" s="94"/>
      <c r="QE256" s="94"/>
      <c r="QF256" s="94"/>
      <c r="QG256" s="94"/>
      <c r="QH256" s="94"/>
      <c r="QI256" s="94"/>
      <c r="QJ256" s="94"/>
      <c r="QK256" s="94"/>
      <c r="QL256" s="94"/>
      <c r="QM256" s="94"/>
      <c r="QN256" s="94"/>
      <c r="QO256" s="94"/>
      <c r="QP256" s="94"/>
    </row>
    <row r="257" spans="1:458" s="2" customFormat="1" x14ac:dyDescent="0.2">
      <c r="A257" s="395">
        <v>9</v>
      </c>
      <c r="B257" s="396">
        <v>9</v>
      </c>
      <c r="C257" s="387">
        <f ca="1">Weather_data!$B256</f>
        <v>0</v>
      </c>
      <c r="D257" s="388">
        <f ca="1">Weather_data!$F256</f>
        <v>0</v>
      </c>
      <c r="E257" s="388">
        <f ca="1">Weather_data!$E256</f>
        <v>0</v>
      </c>
      <c r="F257" s="388">
        <f t="shared" ca="1" si="817"/>
        <v>0</v>
      </c>
      <c r="G257" s="388">
        <f ca="1">AVERAGE($D257:$E257)+Control!$B$9</f>
        <v>0</v>
      </c>
      <c r="H257" s="388">
        <f ca="1">Weather_data!$G256</f>
        <v>0</v>
      </c>
      <c r="I257" s="388">
        <f ca="1">Weather_data!$I256</f>
        <v>0</v>
      </c>
      <c r="J257" s="388">
        <f ca="1">Weather_data!$H256</f>
        <v>0</v>
      </c>
      <c r="K257" s="389">
        <f ca="1">Weather_data!$D256</f>
        <v>0</v>
      </c>
      <c r="L257" s="388" t="e">
        <f t="shared" ca="1" si="818"/>
        <v>#N/A</v>
      </c>
      <c r="M257" s="388" t="e">
        <f t="shared" ca="1" si="696"/>
        <v>#N/A</v>
      </c>
      <c r="N257" s="388">
        <f t="shared" ca="1" si="697"/>
        <v>-1.6362131308141464E-12</v>
      </c>
      <c r="O257" s="388">
        <f t="shared" ca="1" si="819"/>
        <v>1.6362131308141465E-11</v>
      </c>
      <c r="P257" s="390">
        <v>3</v>
      </c>
      <c r="Q257" s="388">
        <f ca="1">MAX($G257-Control!$C$107,0)</f>
        <v>0</v>
      </c>
      <c r="R257" s="388">
        <f t="shared" ca="1" si="820"/>
        <v>0</v>
      </c>
      <c r="S257" s="388">
        <f t="shared" ca="1" si="698"/>
        <v>0</v>
      </c>
      <c r="T257" s="388">
        <f t="shared" ca="1" si="699"/>
        <v>0</v>
      </c>
      <c r="U257" s="59">
        <f t="shared" ca="1" si="700"/>
        <v>0</v>
      </c>
      <c r="V257" s="391">
        <f ca="1">MAX(0,MIN(Control!$C$100-Control!$C$99,$G257-Control!$C$99)*Control!$C$63)</f>
        <v>0</v>
      </c>
      <c r="W257" s="388">
        <f t="shared" ca="1" si="821"/>
        <v>0</v>
      </c>
      <c r="X257" s="388">
        <f t="shared" ca="1" si="822"/>
        <v>0.6110000000000001</v>
      </c>
      <c r="Y257" s="388">
        <f t="shared" ca="1" si="701"/>
        <v>0</v>
      </c>
      <c r="Z257" s="388">
        <f t="shared" ca="1" si="823"/>
        <v>0.61058800000000002</v>
      </c>
      <c r="AA257" s="388">
        <f t="shared" ca="1" si="702"/>
        <v>0.6018</v>
      </c>
      <c r="AB257" s="388">
        <f ca="1">101.3*EXP(-0.034*Control!$C$66/($G257+273))</f>
        <v>100.69623283836242</v>
      </c>
      <c r="AC257" s="392">
        <f t="shared" ca="1" si="703"/>
        <v>4.3460251046025113E-2</v>
      </c>
      <c r="AD257" s="392">
        <f t="shared" ca="1" si="704"/>
        <v>4.4450382862832649E-2</v>
      </c>
      <c r="AE257" s="388">
        <f t="shared" ca="1" si="705"/>
        <v>0</v>
      </c>
      <c r="AF257" s="388">
        <f ca="1">MAX(0,$G257-Control!$C$92)</f>
        <v>0</v>
      </c>
      <c r="AG257" s="393">
        <f t="shared" ca="1" si="706"/>
        <v>253</v>
      </c>
      <c r="AH257" s="389">
        <f t="shared" ca="1" si="707"/>
        <v>253</v>
      </c>
      <c r="AI257" s="388">
        <f t="shared" ca="1" si="824"/>
        <v>7.3283489493482595E-2</v>
      </c>
      <c r="AJ257" s="388">
        <f ca="1">IF(Control!$C$60&lt;=0,$HH257,$HI257)</f>
        <v>1</v>
      </c>
      <c r="AK257" s="388">
        <f t="shared" ca="1" si="708"/>
        <v>2.9780576935399132</v>
      </c>
      <c r="AL257" s="388">
        <f t="shared" ca="1" si="709"/>
        <v>1.9834012904285104E-18</v>
      </c>
      <c r="AM257" s="388">
        <f t="shared" ca="1" si="710"/>
        <v>2.9780576935399132</v>
      </c>
      <c r="AN257" s="388">
        <f t="shared" ca="1" si="711"/>
        <v>6.480999083048955E-2</v>
      </c>
      <c r="AO257" s="388">
        <f ca="1">-0.10453/COS(Control!$B$8*PI()/180)*COS(AN257)</f>
        <v>-0.16942841237828449</v>
      </c>
      <c r="AP257" s="388">
        <f ca="1">ACOS(AO257-TAN(Control!$B$8*PI()/180)*TAN(AN257))</f>
        <v>1.8260571165849289</v>
      </c>
      <c r="AQ257" s="388">
        <f t="shared" ca="1" si="825"/>
        <v>0</v>
      </c>
      <c r="AR257" s="394">
        <f t="shared" ca="1" si="712"/>
        <v>0</v>
      </c>
      <c r="AS257" s="436">
        <f ca="1">IF(Control!$B$18=2,(IF(OR($AH257=Control!$B$175,$AH257=Control!$B$176,$AH257=Control!$B$177,$AH257=Control!$B$178,$AH257=Control!$B$179,$AH257=Control!$B$180,$AH257=Control!$B$181,$AH257=Control!$B$182,$AH257=Control!$B$183,$AH257=Control!$B$184,$AH257=Control!$B$185),1,0)),0)</f>
        <v>0</v>
      </c>
      <c r="AT257" s="436">
        <f>IF(Control!$B$20=8,IF(AND($AH257&gt;=Control!$B$172,$AH257&lt;=Control!$B$173),1,0),0)</f>
        <v>0</v>
      </c>
      <c r="AU257" s="436">
        <f>IF(Control!$B$20=8,IF($AV256=1,1*$AT257,IF($AT257=1,$AU256+1,$AU256)),0)</f>
        <v>0</v>
      </c>
      <c r="AV257" s="436">
        <f>IF(Control!$B$20=8,IF($AU257&gt;=Control!$B$174,1,0),0)</f>
        <v>0</v>
      </c>
      <c r="AW257" s="436">
        <f ca="1">IF(AND(Control!$B$18=2,Control!$B$171=1), $AV257, $AS257)</f>
        <v>0</v>
      </c>
      <c r="AX257" s="436" t="e">
        <f ca="1">IF(AND(Control!$B$18=1,$EU257&gt;=Control!$B$19),-$AY257,IF(AND(Control!$B$18=2,$AW257=1,$EU257&gt;$DS257),-$AY257, IF(Control!$C$108=0,0, IF(Control!$C$108&lt;&gt;0,1))))</f>
        <v>#N/A</v>
      </c>
      <c r="AY257" s="436" t="e">
        <f t="shared" ca="1" si="826"/>
        <v>#N/A</v>
      </c>
      <c r="AZ257" s="436" t="e">
        <f ca="1">IF(AND(Control!$B$18=1,$EB257&gt;Control!$B$19),$AZ256+1, IF(AND(Control!$B$18=2, $AW257=1, $EB257&gt;$DS257), $AZ256+1,$AZ256))</f>
        <v>#N/A</v>
      </c>
      <c r="BA257" s="587">
        <f>IF(Control!$C$81=0,1,IF($AH257&gt;=Control!$C$82,1,0))</f>
        <v>1</v>
      </c>
      <c r="BB257" s="140" t="e">
        <f ca="1">IF($BA257&gt;$BA256,Control!$C$83,IF($AW257&gt;0,$AW257*Control!$C$84,IF(AND(Control!$B$18=1,EN256&lt;&gt;0),Control!$C$84,0)))</f>
        <v>#N/A</v>
      </c>
      <c r="BC257" s="140" t="e">
        <f t="shared" ca="1" si="827"/>
        <v>#N/A</v>
      </c>
      <c r="BD257" s="140" t="e">
        <f ca="1">BC257*IF(OR($G257&lt;Control!$C$92,$G257&gt;Control!$C$95),0,IF(AND($G257&gt;=Control!$C$92,$G257&lt;=Control!$C$93),$G257-Control!$C$92,IF(AND($G257&gt;Control!$C$93,$G257&lt;=Control!$C$94),Control!$C$93-Control!$C$92,IF(AND($G257&gt;Control!$C$94,$G257&lt;=Control!$C$95),(Control!$C$93-Control!$C$92)*(Control!$C$94-$G257)/(Control!$C$95-Control!$C$94)))))</f>
        <v>#N/A</v>
      </c>
      <c r="BE257" s="140" t="e">
        <f t="shared" ca="1" si="828"/>
        <v>#N/A</v>
      </c>
      <c r="BF257" s="140" t="e">
        <f ca="1">IF($BE257&lt;=Control!$C$86,$BE257,Control!$C$86-$BE257)</f>
        <v>#N/A</v>
      </c>
      <c r="BG257" s="140" t="e">
        <f ca="1">IF(AND($AW257=1,Control!$C$84&lt;9),1,IF($BE257&gt;=Control!$C$86,0,$BC257))</f>
        <v>#N/A</v>
      </c>
      <c r="BH257" s="404" t="e">
        <f ca="1">IF($BG257=0,0,IF($BE257&lt;=Control!$C$86,$BC257*9*($BF257/Control!$C$86),0))</f>
        <v>#N/A</v>
      </c>
      <c r="BI257" s="140" t="e">
        <f ca="1">IF($BG257=1,0,IF($BE257&gt;=Control!$C$86,1,IF(AND($BB257&lt;21,$BB257&gt;=9),1,$BM256)))</f>
        <v>#N/A</v>
      </c>
      <c r="BJ257" s="140" t="e">
        <f ca="1">IF($BF257&lt;0,-$BF257,$BI257*IF(OR($G257&lt;Control!$C$92,$G257&gt;Control!$C$95),0,IF(AND($G257&gt;=Control!$C$92,$G257&lt;=Control!$C$93),$G257-Control!$C$92,IF(AND($G257&gt;Control!$C$93,$G257&lt;=Control!$C$94),Control!$C$93-Control!$C$92,IF(AND($G257&gt;Control!$C$94,$G257&lt;=Control!$C$95),(Control!$C$93-Control!$C$92)*(Control!$C$94-$G257)/(Control!$C$95-Control!$C$94))))))</f>
        <v>#N/A</v>
      </c>
      <c r="BK257" s="140" t="e">
        <f t="shared" ca="1" si="829"/>
        <v>#N/A</v>
      </c>
      <c r="BL257" s="140" t="e">
        <f ca="1">IF($BK257&lt;=Control!$C$87,$BK257,Control!$C$87-$BK257)</f>
        <v>#N/A</v>
      </c>
      <c r="BM257" s="140" t="e">
        <f ca="1">IF(AND($BB257&gt;=9,$BB257&lt;21),1,IF($BK257&gt;=Control!$C$87,0,$BI257))</f>
        <v>#N/A</v>
      </c>
      <c r="BN257" s="404" t="e">
        <f ca="1">IF($BM257=0,0,IF($BK257&lt;=Control!$C$87,$BI257*(9+(21-9)*($BL257/Control!$C$87)),0))</f>
        <v>#N/A</v>
      </c>
      <c r="BO257" s="140" t="e">
        <f ca="1">IF($BM257=1,0,IF($BK257&gt;=Control!$C$87,1,IF(AND($BB257&lt;30,$BB257&gt;=21),1,$BS256)))</f>
        <v>#N/A</v>
      </c>
      <c r="BP257" s="140" t="e">
        <f ca="1">IF($BL257&lt;0,-$BL257,$BO257*IF(OR($G257&lt;Control!$C$92,$G257&gt;Control!$C$95),0,IF(AND($G257&gt;=Control!$C$92,$G257&lt;=Control!$C$93),$G257-Control!$C$92,IF(AND($G257&gt;Control!$C$93,$G257&lt;=Control!$C$94),Control!$C$93-Control!$C$92,IF(AND($G257&gt;Control!$C$94,$G257&lt;=Control!$C$95),(Control!$C$93-Control!$C$92)*(Control!$C$94-$G257)/(Control!$C$95-Control!$C$94))))))</f>
        <v>#N/A</v>
      </c>
      <c r="BQ257" s="140" t="e">
        <f t="shared" ca="1" si="713"/>
        <v>#N/A</v>
      </c>
      <c r="BR257" s="140" t="e">
        <f ca="1">IF($BQ257&lt;=Control!$C$88,$BQ257,Control!$C$88-$BQ257)</f>
        <v>#N/A</v>
      </c>
      <c r="BS257" s="140" t="e">
        <f ca="1">IF(AND($BB257&gt;=21,$BB257&lt;30),1,IF($BQ257&gt;=Control!$C$88,0,$BO257))</f>
        <v>#N/A</v>
      </c>
      <c r="BT257" s="404" t="e">
        <f ca="1">IF($BS257=0,0,IF($BQ257&lt;=Control!$C$88,$BO257*(21+(30-21)*(BR257/Control!$C$88)),0))</f>
        <v>#N/A</v>
      </c>
      <c r="BU257" s="140" t="e">
        <f ca="1">IF(BG257+BM257+BS257=1,0,IF(OR(AND($BB257&lt;60,$BB257&gt;=30),$BQ257&gt;=Control!$C$88),1*$BA257,$BY256))</f>
        <v>#N/A</v>
      </c>
      <c r="BV257" s="140" t="e">
        <f ca="1">IF($BR257&lt;0,-$BR257,$BU257*IF(OR($G257&lt;Control!$C$92,$G257&gt;Control!$C$95),0,IF(AND($G257&gt;=Control!$C$92,$G257&lt;=Control!$C$93),$G257-Control!$C$92,IF(AND($G257&gt;Control!$C$93,$G257&lt;=Control!$C$94),Control!$C$93-Control!$C$92,IF(AND($G257&gt;Control!$C$94,$G257&lt;=Control!$C$95),(Control!$C$93-Control!$C$92)*(Control!$C$94-$G257)/(Control!$C$95-Control!$C$94))))))</f>
        <v>#N/A</v>
      </c>
      <c r="BW257" s="140" t="e">
        <f t="shared" ca="1" si="714"/>
        <v>#N/A</v>
      </c>
      <c r="BX257" s="140" t="e">
        <f ca="1">IF($BW257&lt;=Control!$C$89,$BW257,Control!$C$89-$BW257)</f>
        <v>#N/A</v>
      </c>
      <c r="BY257" s="140" t="e">
        <f ca="1">IF(AND($AJ257&gt;=30,$AJ257&lt;60),1,IF($BW257&gt;=Control!$C$89,0,$BU257))</f>
        <v>#N/A</v>
      </c>
      <c r="BZ257" s="404" t="e">
        <f ca="1">IF($BY257=0,0,IF($BW257&lt;=Control!$C$89,$BU257*(30+(60-30)*(BX257/Control!$C$89)),0))</f>
        <v>#N/A</v>
      </c>
      <c r="CA257" s="140" t="e">
        <f ca="1">IF($BG257+$BM257+$BS257+$BY257=1,0,IF(OR(AND($BB257&lt;65,$BB257&gt;=60),$BW257&gt;=Control!$C$89),1*$BA257,$CE256))</f>
        <v>#N/A</v>
      </c>
      <c r="CB257" s="140" t="e">
        <f ca="1">IF($BX257&lt;0,-$BX257,$CA257*IF(OR($G257&lt;Control!$C$92,$G257&gt;Control!$C$95),0,IF(AND($G257&gt;=Control!$C$92,$G257&lt;=Control!$C$93),$G257-Control!$C$92,IF(AND($G257&gt;Control!$C$93,$G257&lt;=Control!$C$94),Control!$C$93-Control!$C$92,IF(AND($G257&gt;Control!$C$94,$G257&lt;=Control!$C$95),(Control!$C$93-Control!$C$92)*(Control!$C$94-$G257)/(Control!$C$95-Control!$C$94))))))</f>
        <v>#N/A</v>
      </c>
      <c r="CC257" s="140" t="e">
        <f t="shared" ca="1" si="830"/>
        <v>#N/A</v>
      </c>
      <c r="CD257" s="140" t="e">
        <f ca="1">IF($CC257&lt;=Control!$C$90,$CC257,Control!$C$90-$CC257)</f>
        <v>#N/A</v>
      </c>
      <c r="CE257" s="140" t="e">
        <f ca="1">IF(AND($BB257&gt;=60,$BB257&lt;65),1,IF($CC257&gt;=Control!$C$90,0,$CA257))</f>
        <v>#N/A</v>
      </c>
      <c r="CF257" s="404" t="e">
        <f ca="1">IF($CE257=0,0,IF($CC257&lt;=Control!$C$90,$CA257*(60+(65-60)*(CD257/Control!$C$90)),0))</f>
        <v>#N/A</v>
      </c>
      <c r="CG257" s="140" t="e">
        <f ca="1">IF($BG257+$BM257+$BS257+$BY257+$CE257=1,0,IF(OR(AND($BB257&lt;90,$BB257&gt;=65),$CC257&gt;=Control!$C$90),$BA257,$CK256))</f>
        <v>#N/A</v>
      </c>
      <c r="CH257" s="140" t="e">
        <f ca="1">IF($CD257&lt;0,-$CD257,$CG257*IF(OR($G257&lt;Control!$C$92,$G257&gt;Control!$C$95),0,IF(AND($G257&gt;=Control!$C$92,$G257&lt;=Control!$C$93),$G257-Control!$C$92,IF(AND($G257&gt;Control!$C$93,$G257&lt;=Control!$C$94),Control!$C$93-Control!$C$92,IF(AND($G257&gt;Control!$C$94,$G257&lt;=Control!$C$95),(Control!$C$93-Control!$C$92)*(Control!$C$94-$G257)/(Control!$C$95-Control!$C$94))))))</f>
        <v>#N/A</v>
      </c>
      <c r="CI257" s="140" t="e">
        <f t="shared" ca="1" si="831"/>
        <v>#N/A</v>
      </c>
      <c r="CJ257" s="140" t="e">
        <f ca="1">IF($CI257&lt;=Control!$C$91,$CI257,Control!$C$91-$CI257)</f>
        <v>#N/A</v>
      </c>
      <c r="CK257" s="140" t="e">
        <f ca="1">IF(AND($BB257&gt;=65,$BB257&lt;90),1,IF($CI257&gt;=Control!$C$91,0,$CG257))</f>
        <v>#N/A</v>
      </c>
      <c r="CL257" s="404" t="e">
        <f ca="1">IF($CK257=0,0,IF($CI257&lt;=Control!$C$91,$CG257*(65+(90-65)*($CJ257/Control!$C$91)),0))</f>
        <v>#N/A</v>
      </c>
      <c r="CM257" s="140" t="e">
        <f ca="1">IF($BG257+$BM257+$BS257+$BY257+$CE257+$CK257=1,0,IF(OR($BB257&gt;=90,$CI257&gt;=Control!$C$91),$BA257,$CM256))</f>
        <v>#N/A</v>
      </c>
      <c r="CN257" s="140" t="e">
        <f t="shared" ca="1" si="832"/>
        <v>#N/A</v>
      </c>
      <c r="CO257" s="140" t="e">
        <f t="shared" ca="1" si="833"/>
        <v>#N/A</v>
      </c>
      <c r="CP257" s="140" t="e">
        <f t="shared" ca="1" si="834"/>
        <v>#N/A</v>
      </c>
      <c r="CQ257" s="141" t="e">
        <f ca="1">VLOOKUP($CP257,Control!$B$86:$G$91,6)</f>
        <v>#N/A</v>
      </c>
      <c r="CR257" s="141" t="e">
        <f ca="1">(1-$CQ257)*VLOOKUP($CP257,Control!$B$86:$D$91,3)</f>
        <v>#N/A</v>
      </c>
      <c r="CS257" s="141" t="e">
        <f ca="1">(1-$CQ257)*VLOOKUP($CP257,Control!$B$86:$E$91,4)</f>
        <v>#N/A</v>
      </c>
      <c r="CT257" s="141" t="e">
        <f ca="1">(1-$CQ257)*VLOOKUP($CP257,Control!$B$86:$F$91,5)</f>
        <v>#N/A</v>
      </c>
      <c r="CU257" s="141">
        <f t="shared" ca="1" si="835"/>
        <v>0</v>
      </c>
      <c r="CV257" s="583">
        <f t="shared" ca="1" si="836"/>
        <v>0</v>
      </c>
      <c r="CW257" s="142">
        <f t="shared" ca="1" si="837"/>
        <v>253</v>
      </c>
      <c r="CX257" s="612" t="e">
        <f ca="1">IF(Control!$C$114=1,(MIN(Control!$C$120*(IF($NT257-0.01&lt;0,0,1)),Control!$C$119-$CY257)))</f>
        <v>#DIV/0!</v>
      </c>
      <c r="CY257" s="143" t="e">
        <f t="shared" ca="1" si="838"/>
        <v>#N/A</v>
      </c>
      <c r="CZ257" s="144">
        <f t="shared" ca="1" si="715"/>
        <v>0</v>
      </c>
      <c r="DA257" s="144">
        <f t="shared" ca="1" si="716"/>
        <v>0</v>
      </c>
      <c r="DB257" s="144" t="e">
        <f t="shared" ca="1" si="717"/>
        <v>#N/A</v>
      </c>
      <c r="DC257" s="144" t="e">
        <f t="shared" ca="1" si="718"/>
        <v>#N/A</v>
      </c>
      <c r="DD257" s="144" t="e">
        <f t="shared" ca="1" si="923"/>
        <v>#N/A</v>
      </c>
      <c r="DE257" s="143" t="e">
        <f t="shared" ca="1" si="839"/>
        <v>#N/A</v>
      </c>
      <c r="DF257" s="145" t="e">
        <f ca="1">$DR257*EXP(-Control!$C$158*(1-$KH257))</f>
        <v>#N/A</v>
      </c>
      <c r="DG257" s="146" t="e">
        <f ca="1">IF(Control!$C$114=1, $DF257*$EY257, 0)</f>
        <v>#N/A</v>
      </c>
      <c r="DH257" s="147" t="e">
        <f t="shared" ca="1" si="840"/>
        <v>#N/A</v>
      </c>
      <c r="DI257" s="144" t="e">
        <f t="shared" ca="1" si="901"/>
        <v>#N/A</v>
      </c>
      <c r="DJ257" s="147" t="e">
        <f ca="1">$EF257*Control!$C$109</f>
        <v>#N/A</v>
      </c>
      <c r="DK257" s="144" t="e">
        <f t="shared" ca="1" si="841"/>
        <v>#N/A</v>
      </c>
      <c r="DL257" s="144" t="e">
        <f t="shared" ca="1" si="719"/>
        <v>#N/A</v>
      </c>
      <c r="DM257" s="144" t="e">
        <f ca="1">IF(Control!$C$114=1, (1-EXP(-Control!$C$96*$DK257))*$AR257, 0)</f>
        <v>#N/A</v>
      </c>
      <c r="DN257" s="144">
        <f t="shared" ca="1" si="842"/>
        <v>0</v>
      </c>
      <c r="DO257" s="148">
        <f>Control!$C$97</f>
        <v>4</v>
      </c>
      <c r="DP257" s="145" t="e">
        <f t="shared" ca="1" si="843"/>
        <v>#N/A</v>
      </c>
      <c r="DQ257" s="145" t="e">
        <f ca="1">IF(AND($CP257&gt;=0,$CP257&lt;=90),Control!$C$111,Control!$C$111)</f>
        <v>#N/A</v>
      </c>
      <c r="DR257" s="145" t="e">
        <f t="shared" ca="1" si="720"/>
        <v>#N/A</v>
      </c>
      <c r="DS257" s="143" t="e">
        <f ca="1">Control!$B$22/$DR257</f>
        <v>#N/A</v>
      </c>
      <c r="DT257" s="149" t="e">
        <f ca="1">IF(AND(Control!$C$114=1,$KH257&lt;1),$IM257*$DF257, 0)</f>
        <v>#N/A</v>
      </c>
      <c r="DU257" s="144" t="e">
        <f t="shared" ca="1" si="844"/>
        <v>#N/A</v>
      </c>
      <c r="DV257" s="144">
        <f ca="1">IF($G257-Control!$C$107&lt;=0, 0, 0.83*LN(MAX($G257, 3))-0.8924)</f>
        <v>0</v>
      </c>
      <c r="DW257" s="144" t="e">
        <f t="shared" ca="1" si="721"/>
        <v>#N/A</v>
      </c>
      <c r="DX257" s="150" t="e">
        <f ca="1">MAX(0.01*(1+$CU257/Control!$C$102),0.05*($DK257-Control!$C$97)/Control!$C$97)</f>
        <v>#N/A</v>
      </c>
      <c r="DY257" s="151" t="e">
        <f ca="1">IF(Control!$C$114=1, $DI257*$FS257, 0)</f>
        <v>#N/A</v>
      </c>
      <c r="DZ257" s="196" t="e">
        <f t="shared" ca="1" si="845"/>
        <v>#N/A</v>
      </c>
      <c r="EA257" s="152">
        <f t="shared" ca="1" si="846"/>
        <v>253</v>
      </c>
      <c r="EB257" s="153" t="e">
        <f t="shared" ca="1" si="847"/>
        <v>#N/A</v>
      </c>
      <c r="EC257" s="153" t="e">
        <f t="shared" ca="1" si="848"/>
        <v>#N/A</v>
      </c>
      <c r="ED257" s="154" t="e">
        <f ca="1">IF(Control!$C$114=1, $HM257*$FY257-$FD257, 0)</f>
        <v>#DIV/0!</v>
      </c>
      <c r="EE257" s="155" t="e">
        <f ca="1">IF(Control!$C$114=1, $HM257*$FZ257-$FF257, 0)</f>
        <v>#DIV/0!</v>
      </c>
      <c r="EF257" s="153" t="e">
        <f t="shared" ca="1" si="902"/>
        <v>#N/A</v>
      </c>
      <c r="EG257" s="155" t="e">
        <f ca="1">IF(Control!$C$114=1, $GX257*$FW257-$FI257, 0)</f>
        <v>#DIV/0!</v>
      </c>
      <c r="EH257" s="153" t="e">
        <f t="shared" ca="1" si="849"/>
        <v>#N/A</v>
      </c>
      <c r="EI257" s="156" t="e">
        <f t="shared" ca="1" si="850"/>
        <v>#N/A</v>
      </c>
      <c r="EJ257" s="155" t="e">
        <f ca="1">IF(Control!$C$114=1, $HM257*$GB257, 0)</f>
        <v>#DIV/0!</v>
      </c>
      <c r="EK257" s="153" t="e">
        <f t="shared" ca="1" si="903"/>
        <v>#N/A</v>
      </c>
      <c r="EL257" s="153" t="e">
        <f t="shared" ca="1" si="722"/>
        <v>#N/A</v>
      </c>
      <c r="EM257" s="153" t="e">
        <f t="shared" ca="1" si="723"/>
        <v>#N/A</v>
      </c>
      <c r="EN257" s="153" t="e">
        <f ca="1">IF(Control!$C$108=1,IF(AND(Control!$B$18=1,$EB257&gt;=Control!$B$19),$EB257-$DS257,IF(AND(Control!$B$18=2,$AW257=1,$EB257&gt;$DS257),$EB257-$DS257,0)))</f>
        <v>#N/A</v>
      </c>
      <c r="EO257" s="153" t="e">
        <f ca="1">IF(Control!$C$108=1,IF(AND(Control!$B$18=1,$EB257&gt;=Control!$B$19),$EF257,IF(AND(Control!$B$18=2,$AW257=1),$EF257,0)))</f>
        <v>#N/A</v>
      </c>
      <c r="EP257" s="153" t="e">
        <f ca="1">IF(Control!$C$108=1,IF(AND(Control!$B$18=1,$EB257&gt;=Control!$B$19),$EK257,IF(AND(Control!$B$18=2,$AW257=1),$EK257,0)))</f>
        <v>#N/A</v>
      </c>
      <c r="EQ257" s="153" t="e">
        <f t="shared" ca="1" si="851"/>
        <v>#N/A</v>
      </c>
      <c r="ER257" s="153" t="e">
        <f t="shared" ca="1" si="852"/>
        <v>#N/A</v>
      </c>
      <c r="ES257" s="153" t="e">
        <f t="shared" ca="1" si="904"/>
        <v>#N/A</v>
      </c>
      <c r="ET257" s="153" t="e">
        <f t="shared" ca="1" si="905"/>
        <v>#N/A</v>
      </c>
      <c r="EU257" s="153" t="e">
        <f t="shared" ca="1" si="853"/>
        <v>#N/A</v>
      </c>
      <c r="EV257" s="153" t="e">
        <f t="shared" ca="1" si="724"/>
        <v>#N/A</v>
      </c>
      <c r="EW257" s="153" t="e">
        <f t="shared" ca="1" si="725"/>
        <v>#N/A</v>
      </c>
      <c r="EX257" s="153" t="e">
        <f t="shared" ca="1" si="726"/>
        <v>#N/A</v>
      </c>
      <c r="EY257" s="157" t="e">
        <f t="shared" ca="1" si="727"/>
        <v>#DIV/0!</v>
      </c>
      <c r="EZ257" s="154" t="e">
        <f t="shared" ca="1" si="728"/>
        <v>#DIV/0!</v>
      </c>
      <c r="FA257" s="153" t="e">
        <f t="shared" ca="1" si="854"/>
        <v>#N/A</v>
      </c>
      <c r="FB257" s="153" t="e">
        <f t="shared" ca="1" si="729"/>
        <v>#N/A</v>
      </c>
      <c r="FC257" s="193" t="e">
        <f t="shared" ca="1" si="730"/>
        <v>#N/A</v>
      </c>
      <c r="FD257" s="158" t="e">
        <f t="shared" ca="1" si="855"/>
        <v>#N/A</v>
      </c>
      <c r="FE257" s="158" t="e">
        <f t="shared" ca="1" si="856"/>
        <v>#N/A</v>
      </c>
      <c r="FF257" s="159" t="e">
        <f t="shared" ca="1" si="731"/>
        <v>#N/A</v>
      </c>
      <c r="FG257" s="160" t="e">
        <f t="shared" ca="1" si="857"/>
        <v>#N/A</v>
      </c>
      <c r="FH257" s="158" t="e">
        <f t="shared" ca="1" si="858"/>
        <v>#N/A</v>
      </c>
      <c r="FI257" s="159" t="e">
        <f t="shared" ca="1" si="732"/>
        <v>#N/A</v>
      </c>
      <c r="FJ257" s="160" t="e">
        <f t="shared" ca="1" si="859"/>
        <v>#N/A</v>
      </c>
      <c r="FK257" s="160" t="e">
        <f t="shared" ca="1" si="733"/>
        <v>#N/A</v>
      </c>
      <c r="FL257" s="160" t="e">
        <f t="shared" ca="1" si="906"/>
        <v>#N/A</v>
      </c>
      <c r="FM257" s="160" t="e">
        <f t="shared" ca="1" si="734"/>
        <v>#N/A</v>
      </c>
      <c r="FN257" s="158">
        <f t="shared" ca="1" si="860"/>
        <v>0.01</v>
      </c>
      <c r="FO257" s="160">
        <f>Control!$C$101</f>
        <v>50</v>
      </c>
      <c r="FP257" s="150" t="e">
        <f t="shared" ca="1" si="735"/>
        <v>#N/A</v>
      </c>
      <c r="FQ257" s="150" t="e">
        <f ca="1">MAX(0,(Control!$C$112*(($DK257-Control!$C$97)/Control!$C$97)))</f>
        <v>#N/A</v>
      </c>
      <c r="FR257" s="150" t="e">
        <f ca="1">(1-$NT257)*Control!$C$113</f>
        <v>#DIV/0!</v>
      </c>
      <c r="FS257" s="198" t="e">
        <f t="shared" ca="1" si="736"/>
        <v>#N/A</v>
      </c>
      <c r="FT257" s="161">
        <f t="shared" ca="1" si="861"/>
        <v>253</v>
      </c>
      <c r="FU257" s="162" t="e">
        <f ca="1">IF(Control!$B$34=1,VLOOKUP($CP257,Control!$B$86:$G$91,6),Control!$B$35)</f>
        <v>#N/A</v>
      </c>
      <c r="FV257" s="162" t="e">
        <f t="shared" ca="1" si="737"/>
        <v>#DIV/0!</v>
      </c>
      <c r="FW257" s="162" t="e">
        <f ca="1">IF(Control!$B$31=1,$FU257*$FV257,  $FU257)</f>
        <v>#N/A</v>
      </c>
      <c r="FX257" s="162" t="e">
        <f ca="1">IF(Control!$B$34=1,VLOOKUP($CP257,Control!$B$86:$G$91,3),Control!$B$36)</f>
        <v>#N/A</v>
      </c>
      <c r="FY257" s="162" t="e">
        <f t="shared" ca="1" si="738"/>
        <v>#N/A</v>
      </c>
      <c r="FZ257" s="162" t="e">
        <f ca="1">IF(Control!$B$34=1,VLOOKUP($CP257,Control!$B$86:$G$91,4),Control!$B$37)</f>
        <v>#N/A</v>
      </c>
      <c r="GA257" s="162" t="e">
        <f t="shared" ca="1" si="739"/>
        <v>#N/A</v>
      </c>
      <c r="GB257" s="162" t="e">
        <f ca="1">IF(Control!$B$34=1,VLOOKUP($CP257,Control!$B$86:$G$91,5),Control!$B$38)</f>
        <v>#N/A</v>
      </c>
      <c r="GC257" s="162" t="e">
        <f t="shared" ca="1" si="862"/>
        <v>#N/A</v>
      </c>
      <c r="GD257" s="162">
        <f t="shared" ca="1" si="740"/>
        <v>1</v>
      </c>
      <c r="GE257" s="162">
        <f t="shared" ca="1" si="741"/>
        <v>1</v>
      </c>
      <c r="GF257" s="162">
        <f ca="1">IF(AND(Control!$C$104=1, Control!$C$62="F"),$GE257,1)</f>
        <v>1</v>
      </c>
      <c r="GG257" s="162" t="e">
        <f ca="1">IF(Control!$B$16=40,0,IF(AND(Control!$B$16&gt;40,Control!$B$16&lt;=360),(Control!$B$16-40)*((1-0)/(360-40)),IF(AND(Control!$B$16&gt;360,Control!$B$16&lt;=720),(1+(Control!$B$16-360)*((1.25-1)/(720-360))),IF(AND(Control!$B$16&gt;720,Control!$B$16&lt;=1000),(1.25+(Control!$B$16-720)*((1.35-1.25)/(1000-720))),IF(AND(Control!$B$16&gt;1000,Control!$B$16&lt;=2000),(1.35+(Control!$B$16-1000)*0))))))</f>
        <v>#N/A</v>
      </c>
      <c r="GH257" s="162" t="e">
        <f t="shared" ca="1" si="742"/>
        <v>#N/A</v>
      </c>
      <c r="GI257" s="162">
        <f t="shared" ca="1" si="863"/>
        <v>0</v>
      </c>
      <c r="GJ257" s="162">
        <f t="shared" ca="1" si="743"/>
        <v>0</v>
      </c>
      <c r="GK257" s="162">
        <f t="shared" ca="1" si="864"/>
        <v>1</v>
      </c>
      <c r="GL257" s="162">
        <f t="shared" ca="1" si="744"/>
        <v>1</v>
      </c>
      <c r="GM257" s="162" t="e">
        <f ca="1">MAX(0,MIN(1,1-Control!$C$156*(1.0001-$KH257)^2))</f>
        <v>#N/A</v>
      </c>
      <c r="GN257" s="162" t="e">
        <f ca="1">IF(Control!$B$26=1,$KU257,$KX257)</f>
        <v>#N/A</v>
      </c>
      <c r="GO257" s="162" t="e">
        <f ca="1">IF($CP257&lt;=60,Control!$C$105,IF($CP257&gt;=90,Control!$C$106,Control!$C$105+($CP257-60)*((Control!$C$106-Control!$C$105)/(90-60))))</f>
        <v>#N/A</v>
      </c>
      <c r="GP257" s="162" t="e">
        <f t="shared" ca="1" si="745"/>
        <v>#N/A</v>
      </c>
      <c r="GQ257" s="162" t="e">
        <f t="shared" ca="1" si="865"/>
        <v>#N/A</v>
      </c>
      <c r="GR257" s="163" t="e">
        <f t="shared" ca="1" si="746"/>
        <v>#DIV/0!</v>
      </c>
      <c r="GS257" s="162" t="e">
        <f t="shared" ca="1" si="747"/>
        <v>#DIV/0!</v>
      </c>
      <c r="GT257" s="164" t="e">
        <f t="shared" ca="1" si="866"/>
        <v>#N/A</v>
      </c>
      <c r="GU257" s="162" t="e">
        <f t="shared" ca="1" si="867"/>
        <v>#N/A</v>
      </c>
      <c r="GV257" s="162" t="e">
        <f t="shared" ca="1" si="748"/>
        <v>#N/A</v>
      </c>
      <c r="GW257" s="162" t="e">
        <f t="shared" ca="1" si="749"/>
        <v>#DIV/0!</v>
      </c>
      <c r="GX257" s="162" t="e">
        <f t="shared" ca="1" si="868"/>
        <v>#DIV/0!</v>
      </c>
      <c r="GY257" s="162" t="e">
        <f t="shared" ca="1" si="869"/>
        <v>#DIV/0!</v>
      </c>
      <c r="GZ257" s="165" t="e">
        <f t="shared" ca="1" si="750"/>
        <v>#N/A</v>
      </c>
      <c r="HA257" s="162" t="e">
        <f ca="1">IF(Control!$C$114=1, $DI257*$FS257, 0)</f>
        <v>#N/A</v>
      </c>
      <c r="HB257" s="162" t="e">
        <f ca="1">$FA257/Control!$C$64</f>
        <v>#N/A</v>
      </c>
      <c r="HC257" s="162" t="e">
        <f t="shared" ca="1" si="751"/>
        <v>#DIV/0!</v>
      </c>
      <c r="HD257" s="162">
        <f ca="1">-ASIN(SIN(23.45*Control!$C$139)*COS(2*Control!$C$138*($AH257+10)/365))</f>
        <v>7.3283489493482595E-2</v>
      </c>
      <c r="HE257" s="165">
        <f t="shared" ca="1" si="870"/>
        <v>0</v>
      </c>
      <c r="HF257" s="166">
        <f ca="1">IF(AND(Control!$C$61="T",$HE257&gt;=Control!$C$103,Control!$C$114=0),$AH257,Control!$C$59)</f>
        <v>1</v>
      </c>
      <c r="HG257" s="166">
        <f ca="1">IF(AND(Control!$C$61="T",$HE257&gt;=Control!$C$103,Control!$C$114=0),$HF257,Control!$C$59)</f>
        <v>1</v>
      </c>
      <c r="HH257" s="165">
        <f ca="1">IF(AND(OR(Control!$C$60&lt;=0, $AH257= Control!$C$59, Control!$C$60 &gt;0, $AH257 = Control!$C$60)), Control!$C$59, IF(Control!$C$60&gt;0, 0))</f>
        <v>1</v>
      </c>
      <c r="HI257" s="165">
        <f ca="1">IF(AND(OR(Control!$C$60&lt;=0, $AH257= Control!$C$59, Control!$C$60 &gt;0, $AH257 = Control!$C$60)), Control!$C$60, IF(Control!$C$60&lt;=0, 0))</f>
        <v>0</v>
      </c>
      <c r="HJ257" s="166">
        <f ca="1">IF(AND(Control!$C$62="F",$CV257&gt;=Control!$C$102),$AH257,0)</f>
        <v>0</v>
      </c>
      <c r="HK257" s="165" t="e">
        <f t="shared" ca="1" si="907"/>
        <v>#N/A</v>
      </c>
      <c r="HL257" s="166">
        <f ca="1">IF(AND(Control!$C$61="T",$HE257&gt;=Control!$C$103,Control!$C$114=0),$HF257,0)</f>
        <v>0</v>
      </c>
      <c r="HM257" s="201" t="e">
        <f t="shared" ca="1" si="752"/>
        <v>#DIV/0!</v>
      </c>
      <c r="HN257" s="215">
        <f t="shared" ca="1" si="871"/>
        <v>253</v>
      </c>
      <c r="HO257" s="216" t="e">
        <f ca="1">IF(AND($CP257&gt;=0, $CP257&lt;=90), Control!$C$152, Control!$C$152)</f>
        <v>#N/A</v>
      </c>
      <c r="HP257" s="216" t="e">
        <f t="shared" ca="1" si="753"/>
        <v>#N/A</v>
      </c>
      <c r="HQ257" s="217" t="e">
        <f ca="1">IF(OR(Control!$B$26=1,Control!$B$26=2),$KV257,$KS257)</f>
        <v>#DIV/0!</v>
      </c>
      <c r="HR257" s="218" t="e">
        <f t="shared" ca="1" si="908"/>
        <v>#DIV/0!</v>
      </c>
      <c r="HS257" s="216" t="e">
        <f ca="1">Control!$C$154*$HP257</f>
        <v>#N/A</v>
      </c>
      <c r="HT257" s="216" t="e">
        <f ca="1">Control!$C$155*$HP257</f>
        <v>#N/A</v>
      </c>
      <c r="HU257" s="217" t="e">
        <f ca="1">Control!$C$161*$FI257</f>
        <v>#N/A</v>
      </c>
      <c r="HV257" s="218" t="e">
        <f t="shared" ca="1" si="872"/>
        <v>#N/A</v>
      </c>
      <c r="HW257" s="218" t="e">
        <f ca="1">Control!$C$160*$FF257+$IP257*$EO257</f>
        <v>#N/A</v>
      </c>
      <c r="HX257" s="218" t="e">
        <f t="shared" ca="1" si="909"/>
        <v>#N/A</v>
      </c>
      <c r="HY257" s="219" t="e">
        <f ca="1">IF(Control!$C$114=1, $EB257*$FS257, 0)</f>
        <v>#N/A</v>
      </c>
      <c r="HZ257" s="91" t="e">
        <f t="shared" ca="1" si="754"/>
        <v>#N/A</v>
      </c>
      <c r="IA257" s="220" t="e">
        <f ca="1">Control!$C$153*$HO257</f>
        <v>#N/A</v>
      </c>
      <c r="IB257" s="218" t="e">
        <f t="shared" ca="1" si="755"/>
        <v>#N/A</v>
      </c>
      <c r="IC257" s="220" t="e">
        <f ca="1">Control!$C$153*$HT257</f>
        <v>#N/A</v>
      </c>
      <c r="ID257" s="218" t="e">
        <f t="shared" ca="1" si="756"/>
        <v>#N/A</v>
      </c>
      <c r="IE257" s="221" t="e">
        <f ca="1">($EB257*Control!$C$159+$EF257*Control!$C$160)/(IF($GZ257&lt;&gt;0,$GZ257,1))</f>
        <v>#N/A</v>
      </c>
      <c r="IF257" s="216" t="e">
        <f t="shared" ca="1" si="757"/>
        <v>#N/A</v>
      </c>
      <c r="IG257" s="91">
        <f ca="1">IF(OR(Control!$B$198=$AH257,Control!$B$199=$AH257, Control!$B$200=$AH257, Control!$B$201=$AH257, Control!$B$202=$AH257, Control!$B$203=$AH257, Control!$B$204=$AH257, Control!$B$205=$AH257, Control!$B$206=$AH257, Control!$B$207=$AH257), 1, 0)</f>
        <v>0</v>
      </c>
      <c r="IH257" s="91">
        <f ca="1">IF($IG257=0,0, VLOOKUP($AH257,Control!$B$198:$C$207,2))</f>
        <v>0</v>
      </c>
      <c r="II257" s="222">
        <f t="shared" ca="1" si="873"/>
        <v>0</v>
      </c>
      <c r="IJ257" s="91">
        <f>Control!$C$121</f>
        <v>0.7</v>
      </c>
      <c r="IK257" s="218">
        <f t="shared" ca="1" si="758"/>
        <v>0</v>
      </c>
      <c r="IL257" s="217" t="e">
        <f t="shared" ca="1" si="910"/>
        <v>#N/A</v>
      </c>
      <c r="IM257" s="223" t="e">
        <f ca="1">IF(AND(Control!$C$114=1,$KH257&lt;1),$EB257*Control!$C$148*(1-$KH257), 0)</f>
        <v>#N/A</v>
      </c>
      <c r="IN257" s="217" t="e">
        <f t="shared" ca="1" si="759"/>
        <v>#DIV/0!</v>
      </c>
      <c r="IO257" s="91" t="e">
        <f ca="1">MAX(0,$IL257-$EF257*Control!$C$160)</f>
        <v>#N/A</v>
      </c>
      <c r="IP257" s="220" t="e">
        <f t="shared" ca="1" si="760"/>
        <v>#N/A</v>
      </c>
      <c r="IQ257" s="217" t="e">
        <f t="shared" ca="1" si="874"/>
        <v>#N/A</v>
      </c>
      <c r="IR257" s="218" t="e">
        <f t="shared" ca="1" si="761"/>
        <v>#N/A</v>
      </c>
      <c r="IS257" s="217" t="e">
        <f ca="1">Control!$C$159*MAX(0,$FD257-$EN257)</f>
        <v>#N/A</v>
      </c>
      <c r="IT257" s="217" t="e">
        <f t="shared" ca="1" si="911"/>
        <v>#N/A</v>
      </c>
      <c r="IU257" s="217" t="e">
        <f t="shared" ca="1" si="875"/>
        <v>#N/A</v>
      </c>
      <c r="IV257" s="217" t="e">
        <f t="shared" ca="1" si="912"/>
        <v>#N/A</v>
      </c>
      <c r="IW257" s="217" t="e">
        <f ca="1">IF(OR($AW257=1,AND($AW257=0, Control!$B$18=1,$EN257&lt;&gt;0)), $IQ257-$IU257, $IQ257)</f>
        <v>#N/A</v>
      </c>
      <c r="IX257" s="218" t="e">
        <f t="shared" ca="1" si="762"/>
        <v>#N/A</v>
      </c>
      <c r="IY257" s="218" t="e">
        <f ca="1">MAX(0,$IQ257-$EB257*Control!$C$159)</f>
        <v>#N/A</v>
      </c>
      <c r="IZ257" s="218" t="e">
        <f t="shared" ca="1" si="763"/>
        <v>#N/A</v>
      </c>
      <c r="JA257" s="216" t="e">
        <f t="shared" ca="1" si="764"/>
        <v>#N/A</v>
      </c>
      <c r="JB257" s="217" t="e">
        <f t="shared" ca="1" si="765"/>
        <v>#N/A</v>
      </c>
      <c r="JC257" s="222" t="e">
        <f ca="1">MAX(Control!$C$157*$EK257-$JT257, 0)/Control!$C$162</f>
        <v>#N/A</v>
      </c>
      <c r="JD257" s="218" t="e">
        <f t="shared" ca="1" si="766"/>
        <v>#N/A</v>
      </c>
      <c r="JE257" s="218" t="e">
        <f t="shared" ca="1" si="767"/>
        <v>#N/A</v>
      </c>
      <c r="JF257" s="218" t="e">
        <f t="shared" ca="1" si="876"/>
        <v>#N/A</v>
      </c>
      <c r="JG257" s="218" t="e">
        <f t="shared" ca="1" si="768"/>
        <v>#N/A</v>
      </c>
      <c r="JH257" s="217" t="e">
        <f t="shared" ca="1" si="877"/>
        <v>#N/A</v>
      </c>
      <c r="JI257" s="217" t="e">
        <f t="shared" ca="1" si="878"/>
        <v>#N/A</v>
      </c>
      <c r="JJ257" s="217" t="e">
        <f t="shared" ca="1" si="913"/>
        <v>#N/A</v>
      </c>
      <c r="JK257" s="217" t="e">
        <f ca="1">IF(Control!$C$114=1,IF(Control!$B$24=0,MAX(0,$JI257)*$GN257/Control!$C$64,(MAX(0,MIN($JI257,$JJ257*$GN257/Control!$C$64),0))))</f>
        <v>#N/A</v>
      </c>
      <c r="JL257" s="217" t="e">
        <f ca="1">$IK257/Control!$C$64-$JK257+$HQ257</f>
        <v>#N/A</v>
      </c>
      <c r="JM257" s="217" t="e">
        <f ca="1">IF(Control!$C$114=1,($JB257/(IF($JI257&lt;&gt;0,$JI257,1)))*$JK257,0)</f>
        <v>#N/A</v>
      </c>
      <c r="JN257" s="217" t="e">
        <f ca="1">IF(Control!$C$114=1,($JG257/(IF($JI257&lt;&gt;0,$JI257,1)))*$JK257, 0)</f>
        <v>#N/A</v>
      </c>
      <c r="JO257" s="218" t="e">
        <f t="shared" ca="1" si="769"/>
        <v>#N/A</v>
      </c>
      <c r="JP257" s="218" t="e">
        <f ca="1">MIN(($IY257+$IO257)*Control!$C$151, $JF257-$EH257*Control!$C$161)</f>
        <v>#N/A</v>
      </c>
      <c r="JQ257" s="218" t="e">
        <f t="shared" ca="1" si="770"/>
        <v>#N/A</v>
      </c>
      <c r="JR257" s="217" t="e">
        <f ca="1">IF($CP257-Control!$C$150&lt;0, 0, $JQ257/Control!$C$162)</f>
        <v>#N/A</v>
      </c>
      <c r="JS257" s="218" t="e">
        <f t="shared" ca="1" si="771"/>
        <v>#N/A</v>
      </c>
      <c r="JT257" s="218" t="e">
        <f t="shared" ca="1" si="879"/>
        <v>#N/A</v>
      </c>
      <c r="JU257" s="218" t="e">
        <f t="shared" ca="1" si="772"/>
        <v>#N/A</v>
      </c>
      <c r="JV257" s="218" t="e">
        <f t="shared" ca="1" si="773"/>
        <v>#N/A</v>
      </c>
      <c r="JW257" s="216" t="e">
        <f t="shared" ca="1" si="774"/>
        <v>#N/A</v>
      </c>
      <c r="JX257" s="91" t="e">
        <f t="shared" ca="1" si="775"/>
        <v>#N/A</v>
      </c>
      <c r="JY257" s="218" t="e">
        <f t="shared" ca="1" si="776"/>
        <v>#N/A</v>
      </c>
      <c r="JZ257" s="217" t="e">
        <f ca="1">IF(Control!$C$114=1,($IZ257/(IF($JI257&lt;&gt;0,$JI257,1)))*$JK257, 0)</f>
        <v>#N/A</v>
      </c>
      <c r="KA257" s="218" t="e">
        <f t="shared" ca="1" si="914"/>
        <v>#N/A</v>
      </c>
      <c r="KB257" s="218" t="e">
        <f t="shared" ca="1" si="880"/>
        <v>#N/A</v>
      </c>
      <c r="KC257" s="218" t="e">
        <f t="shared" ca="1" si="777"/>
        <v>#N/A</v>
      </c>
      <c r="KD257" s="218" t="e">
        <f t="shared" ca="1" si="778"/>
        <v>#N/A</v>
      </c>
      <c r="KE257" s="218" t="e">
        <f t="shared" ca="1" si="779"/>
        <v>#N/A</v>
      </c>
      <c r="KF257" s="218" t="e">
        <f t="shared" ca="1" si="780"/>
        <v>#N/A</v>
      </c>
      <c r="KG257" s="216" t="e">
        <f t="shared" ca="1" si="781"/>
        <v>#N/A</v>
      </c>
      <c r="KH257" s="221" t="e">
        <f ca="1">IF(Control!$B$24=0,1,MAX(0.001,MIN(1,IF(($IF257-$IE257)&lt;&gt;0,($KG257-$IE257)/($IF257-$IE257),1))))</f>
        <v>#N/A</v>
      </c>
      <c r="KI257" s="222" t="e">
        <f ca="1">IF(Control!$C$114=1, $KI256+ $KH256, 0)</f>
        <v>#N/A</v>
      </c>
      <c r="KJ257" s="217" t="e">
        <f t="shared" ca="1" si="782"/>
        <v>#N/A</v>
      </c>
      <c r="KK257" s="218" t="e">
        <f t="shared" ca="1" si="783"/>
        <v>#N/A</v>
      </c>
      <c r="KL257" s="274" t="e">
        <f ca="1">IF(Control!$B$26=3,4000000000*EXP(-8400/($G257+273)),IF(Control!$B$26=4,4000000000*EXP(-8400/($G257+273))*($KT257),0))</f>
        <v>#DIV/0!</v>
      </c>
      <c r="KM257" s="274" t="e">
        <f ca="1">IF(Control!$B$26=3,5600000000000*EXP(-9800/($G257+273)),IF(Control!$B$26=4,5600000000000*EXP(-9800/($G257+273))*$KT257,0))</f>
        <v>#DIV/0!</v>
      </c>
      <c r="KN257" s="454" t="e">
        <f t="shared" ca="1" si="881"/>
        <v>#DIV/0!</v>
      </c>
      <c r="KO257" s="274" t="e">
        <f t="shared" ca="1" si="882"/>
        <v>#DIV/0!</v>
      </c>
      <c r="KP257" s="454" t="e">
        <f t="shared" ca="1" si="784"/>
        <v>#DIV/0!</v>
      </c>
      <c r="KQ257" s="454" t="e">
        <f t="shared" ca="1" si="785"/>
        <v>#DIV/0!</v>
      </c>
      <c r="KR257" s="454" t="e">
        <f t="shared" ca="1" si="786"/>
        <v>#DIV/0!</v>
      </c>
      <c r="KS257" s="454" t="e">
        <f t="shared" ca="1" si="787"/>
        <v>#DIV/0!</v>
      </c>
      <c r="KT257" s="455" t="e">
        <f t="shared" ca="1" si="788"/>
        <v>#DIV/0!</v>
      </c>
      <c r="KU257" s="456" t="e">
        <f ca="1">IF($CP257-Control!$C$149&lt;0, IF($NT257-0.01&lt;0,0,1),0)</f>
        <v>#N/A</v>
      </c>
      <c r="KV257" s="456" t="e">
        <f ca="1">IF(Control!$C$114=1,MAX(0,MIN(Control!$C$125*$KW257*$GN257,$KW257)))</f>
        <v>#DIV/0!</v>
      </c>
      <c r="KW257" s="456" t="e">
        <f t="shared" ca="1" si="915"/>
        <v>#DIV/0!</v>
      </c>
      <c r="KX257" s="457" t="e">
        <f ca="1">IF($CP257-Control!$C$149&lt;0, IF($MR257-$OM257&lt;0,0,1),0)</f>
        <v>#N/A</v>
      </c>
      <c r="KY257" s="167">
        <f t="shared" ca="1" si="883"/>
        <v>253</v>
      </c>
      <c r="KZ257" s="168">
        <f ca="1">1370*(1+0.033*COS(2*Control!$C$138*$AH257/365))</f>
        <v>1354.1928699208861</v>
      </c>
      <c r="LA257" s="169">
        <f t="shared" ca="1" si="884"/>
        <v>0.98846163397670939</v>
      </c>
      <c r="LB257" s="169">
        <f t="shared" ca="1" si="885"/>
        <v>7.1773390367673717E-2</v>
      </c>
      <c r="LC257" s="169">
        <f ca="1">ACOS(-TAN((2*Control!$B$8/360))*TAN(Calculations!$LB257))</f>
        <v>1.5921659339852265</v>
      </c>
      <c r="LD257" s="169">
        <f ca="1">((24*60)/PI())*0.082*$LA257*(($LC257*SIN(Control!$B$8*2*PI()/360))*SIN($LB257)+COS(Control!$B$8*2*PI()/360)*COS($LB257)*SIN($LC257))</f>
        <v>26.151871078443335</v>
      </c>
      <c r="LE257" s="170">
        <f t="shared" ca="1" si="789"/>
        <v>26.343488849452843</v>
      </c>
      <c r="LF257" s="170">
        <f ca="1">SIN(Control!$C$139*Control!$B$8)*SIN($HD257)</f>
        <v>5.7696598187125012E-2</v>
      </c>
      <c r="LG257" s="170">
        <f ca="1">COS(Control!$C$139*Control!$B$8)*COS($HD257)</f>
        <v>0.61400735146801688</v>
      </c>
      <c r="LH257" s="170">
        <f ca="1">12*(1+2*ASIN(MAX(-1,MIN(1,$LF257/$LG257))/Control!$C$138))</f>
        <v>12.71796251163364</v>
      </c>
      <c r="LI257" s="170">
        <f ca="1">12*(1+2*ASIN(MAX(-1,MIN(1,(-SIN(-4*Control!$C$139)+$LF257)/$LG257))/Control!$C$138))</f>
        <v>13.586916775300033</v>
      </c>
      <c r="LJ257" s="168">
        <f ca="1">3600*($LH257*$LF257+24*$LG257*SQRT(1-$LK257*$LK257)/Control!$C$138)</f>
        <v>19453.276881447371</v>
      </c>
      <c r="LK257" s="170">
        <f t="shared" ca="1" si="790"/>
        <v>9.396727587899309E-2</v>
      </c>
      <c r="LL257" s="170">
        <f t="shared" ca="1" si="791"/>
        <v>0</v>
      </c>
      <c r="LM257" s="171">
        <f ca="1">Control!$C$145*$AB257</f>
        <v>6.6660906138995932E-2</v>
      </c>
      <c r="LN257" s="170">
        <f t="shared" ca="1" si="886"/>
        <v>0.54</v>
      </c>
      <c r="LO257" s="170">
        <f t="shared" ca="1" si="792"/>
        <v>0</v>
      </c>
      <c r="LP257" s="170">
        <f ca="1">Control!$C$140*((($D257+273.16)^4+($E257+273.16)^4)/2)*(0.34-0.14*SQRT($Y257))*(1.35*$AQ257/(0.75*$LD257)-0.35)</f>
        <v>-3.2464704755046001</v>
      </c>
      <c r="LQ257" s="170">
        <f ca="1">Control!$C$140*($G257+273)^4*(0.56-0.079*SQRT($Y257*10))*(0.1+0.9*$LO257)</f>
        <v>1.5241745131704001</v>
      </c>
      <c r="LR257" s="170">
        <f ca="1">$AQ257*(1-Control!$C$142)-$LQ257</f>
        <v>-1.5241745131704001</v>
      </c>
      <c r="LS257" s="170">
        <f ca="1">$AQ257*(1-Control!$C$143)-$LQ257</f>
        <v>-1.5241745131704001</v>
      </c>
      <c r="LT257" s="170">
        <f ca="1">$AQ257*(1-Control!$C$144)-$LQ257</f>
        <v>-1.5241745131704001</v>
      </c>
      <c r="LU257" s="169">
        <f ca="1">(1-Control!$C$144)*AQ257-LP257</f>
        <v>3.2464704755046001</v>
      </c>
      <c r="LV257" s="172">
        <f t="shared" ca="1" si="793"/>
        <v>0.79430000000000012</v>
      </c>
      <c r="LW257" s="170">
        <f t="shared" ca="1" si="794"/>
        <v>1.5886000000000002</v>
      </c>
      <c r="LX257" s="170">
        <f ca="1">($AC257*($LR257/Control!$C$141)+$LM257*$LV257)/($AC257+$LM257)</f>
        <v>0.23530094218323697</v>
      </c>
      <c r="LY257" s="170">
        <f ca="1">($AC257*($LS257/Control!$C$141)+$LM257*$LV257)/($AC257+$LM257)</f>
        <v>0.23530094218323697</v>
      </c>
      <c r="LZ257" s="170">
        <f t="shared" ca="1" si="795"/>
        <v>0.23530094218323697</v>
      </c>
      <c r="MA257" s="170">
        <f t="shared" ca="1" si="796"/>
        <v>0.23530094218323697</v>
      </c>
      <c r="MB257" s="170" t="e">
        <f t="shared" ca="1" si="797"/>
        <v>#N/A</v>
      </c>
      <c r="MC257" s="170">
        <f t="shared" ca="1" si="887"/>
        <v>0.6018</v>
      </c>
      <c r="MD257" s="170">
        <f t="shared" ca="1" si="798"/>
        <v>0.52989392535414004</v>
      </c>
      <c r="ME257" s="170">
        <f ca="1">($AC257*($LT257/Control!$C$141)+$LM257*$LW257)/($AC257+$LM257)</f>
        <v>0.71612369323045078</v>
      </c>
      <c r="MF257" s="170" t="e">
        <f ca="1">IF(Control!$B$16&gt;=1000,0.92,IF(AND(720&lt;=Control!$B$16,1000&gt;Control!$B$16),(0.95+(Control!$B$16-720)*((0.92-0.95)/(1000-720))),IF(AND(360&lt;=Control!$B$16,720&gt;Control!$B$16),(1+(Control!$B$16-360)*((0.95-1)/(720-360))),IF(AND(40&lt;=Control!$B$16,360&gt;Control!$B$16),(1.05+(Control!$B$16-40)*((1.05-1)/(360-40)))))))</f>
        <v>#N/A</v>
      </c>
      <c r="MG257" s="170">
        <f t="shared" ca="1" si="799"/>
        <v>0.71612369323045078</v>
      </c>
      <c r="MH257" s="170" t="e">
        <f t="shared" ca="1" si="926"/>
        <v>#N/A</v>
      </c>
      <c r="MI257" s="170" t="e">
        <f t="shared" ca="1" si="926"/>
        <v>#N/A</v>
      </c>
      <c r="MJ257" s="170" t="e">
        <f ca="1">MAX(0.0001, Control!$C$132*$MI257*$DL257)</f>
        <v>#N/A</v>
      </c>
      <c r="MK257" s="170">
        <f ca="1">1/(0.76+1.5*($MG257/10))-(5-Control!$C$110)*0.1</f>
        <v>1.002845988140797</v>
      </c>
      <c r="ML257" s="173">
        <f ca="1">IF(Control!$C$110&lt;3,$MK257+($MG257-0.6)/(Control!$C$110*(Control!$C$110+3)), MAX(0.1, MIN(0.95,$MK257)))</f>
        <v>0.95</v>
      </c>
      <c r="MM257" s="173">
        <f ca="1">IF(Control!$C$110&lt;3,$MK257+(($MI257/10)-0.6)/(Control!$C$110*(Control!$C$110+3)), MAX(0.1, MIN(0.95,$MK257)))</f>
        <v>0.95</v>
      </c>
      <c r="MN257" s="173">
        <f ca="1">(1-$MM257)*(Control!$C$128-Control!$C$127)+Control!$C$127</f>
        <v>0.16</v>
      </c>
      <c r="MO257" s="170" t="e">
        <f ca="1">MAX(0,MIN(1,($MS257-Control!$C$127)/($MN257-Control!$C$127)))</f>
        <v>#DIV/0!</v>
      </c>
      <c r="MP257" s="173" t="e">
        <f ca="1">1/(0.76+1.5*$MI257)-(5-Control!$C$110)*0.1</f>
        <v>#N/A</v>
      </c>
      <c r="MQ257" s="172" t="e">
        <f t="shared" ca="1" si="916"/>
        <v>#DIV/0!</v>
      </c>
      <c r="MR257" s="168" t="e">
        <f t="shared" ca="1" si="888"/>
        <v>#DIV/0!</v>
      </c>
      <c r="MS257" s="173" t="e">
        <f ca="1">MAX(Control!$C$127, MIN(Control!$C$135, $MR257/MAX(0.0001,$CY257)))</f>
        <v>#DIV/0!</v>
      </c>
      <c r="MT257" s="168" t="e">
        <f ca="1">(Control!$C$128-$MS257)*Control!$C$74</f>
        <v>#DIV/0!</v>
      </c>
      <c r="MU257" s="168" t="e">
        <f ca="1">(Control!$C$135-$MS257)*Control!$C$74</f>
        <v>#DIV/0!</v>
      </c>
      <c r="MV257" s="168" t="e">
        <f t="shared" ca="1" si="889"/>
        <v>#DIV/0!</v>
      </c>
      <c r="MW257" s="168" t="e">
        <f t="shared" ca="1" si="890"/>
        <v>#DIV/0!</v>
      </c>
      <c r="MX257" s="171" t="e">
        <f ca="1">MAX(Control!$C$127, MIN(Control!$C$135, $MW257/MAX(0.0001,Control!$C$119-$CY257)))</f>
        <v>#DIV/0!</v>
      </c>
      <c r="MY257" s="54" t="e">
        <f ca="1">IF(Control!$C$114=1, $CX257*$MX257, 0)</f>
        <v>#DIV/0!</v>
      </c>
      <c r="MZ257" s="54" t="e">
        <f t="shared" ca="1" si="891"/>
        <v>#N/A</v>
      </c>
      <c r="NA257" s="168" t="e">
        <f ca="1">(Control!$C$128-$MX257)*(Control!$C$119-Control!$C$74)</f>
        <v>#DIV/0!</v>
      </c>
      <c r="NB257" s="168" t="e">
        <f ca="1">(Control!$C$135-$MX257)*(Control!$C$119-Control!$C$74)</f>
        <v>#DIV/0!</v>
      </c>
      <c r="NC257" s="174" t="e">
        <f t="shared" ca="1" si="892"/>
        <v>#DIV/0!</v>
      </c>
      <c r="ND257" s="54">
        <f ca="1">IF(Control!$C$58=2, IF(OR(Control!$B$218=$AH257,Control!$B$219=$AH257, Control!$B$220=$AH257, Control!$B$221=$AH257, Control!$B$222=$AH257, Control!$B$223=$AH257, Control!$B$224=$AH257, Control!$B$225=$AH257, Control!$B$226=$AH257, Control!$B$227=$AH257, Control!$B$228=$AH257), 1, 0), 0)</f>
        <v>0</v>
      </c>
      <c r="NE257" s="54">
        <f ca="1">IF($ND257=0,0, VLOOKUP($AH257,Control!$B$218:$C$228,2))</f>
        <v>0</v>
      </c>
      <c r="NF257" s="168" t="e">
        <f ca="1">$CY257*(Control!$C$128-Control!$C$127)</f>
        <v>#N/A</v>
      </c>
      <c r="NG257" s="54" t="e">
        <f ca="1">IF(Control!$C$58=2, $NI256-$NJ256, 0)</f>
        <v>#DIV/0!</v>
      </c>
      <c r="NH257" s="54" t="e">
        <f ca="1">IF(AND(Control!$C$58=1, $MS256&lt;= ($MN256+0.02), $I256&lt;10), 0, IF(Control!$C$58=2, $NG256, 0))</f>
        <v>#DIV/0!</v>
      </c>
      <c r="NI257" s="54" t="e">
        <f ca="1">IF(Control!$C$58=2, $NE257+$NH257,0)</f>
        <v>#DIV/0!</v>
      </c>
      <c r="NJ257" s="54" t="e">
        <f ca="1">IF(AND(Control!$C$58=1, $MS257&lt;= ($MN257+0.02), $I257&lt;10), MAX(0, MIN(10, 0.7*($NF257-$MV257))), IF(Control!$C$58=2, MIN(10,$NI257),0))</f>
        <v>#DIV/0!</v>
      </c>
      <c r="NK257" s="54" t="e">
        <f t="shared" ca="1" si="800"/>
        <v>#DIV/0!</v>
      </c>
      <c r="NL257" s="173" t="e">
        <f ca="1">(1-Control!$C$73)*$I257+$NJ257</f>
        <v>#DIV/0!</v>
      </c>
      <c r="NM257" s="172" t="e">
        <f ca="1">IF($NL257&lt;0.5, $MB257* MAX(0, MIN(1, (SQRT($NC257)-SQRT($NC257-1))*Control!$C$71)),0)</f>
        <v>#DIV/0!</v>
      </c>
      <c r="NN257" s="170" t="e">
        <f ca="1">IF($NL257&gt;=5, $MB257, MAX(0,MIN($MB257, $NM257+$NL257,($MS257-Control!$C$129))))</f>
        <v>#DIV/0!</v>
      </c>
      <c r="NO257" s="54">
        <f>IF(Control!$C$133&lt;&gt;1, Control!$C$135-Control!$C$131, 0)</f>
        <v>0.38</v>
      </c>
      <c r="NP257" s="54" t="e">
        <f t="shared" ca="1" si="801"/>
        <v>#DIV/0!</v>
      </c>
      <c r="NQ257" s="173" t="e">
        <f ca="1">MAX(0,MIN(1,(Control!$C$135-$MS257)/(Control!$C$135-$NO257)))</f>
        <v>#DIV/0!</v>
      </c>
      <c r="NR257" s="170" t="e">
        <f ca="1">IF(Control!$C$133&lt;&gt;1, $NQ257+((1-$NP257/4)*(1-$NQ257)),1)</f>
        <v>#DIV/0!</v>
      </c>
      <c r="NS257" s="170" t="e">
        <f ca="1">IF(Control!$B$31=0,$MJ257,MAX(0,MIN($MV257,$MO257*$NR257*$MJ257)))</f>
        <v>#DIV/0!</v>
      </c>
      <c r="NT257" s="170" t="e">
        <f t="shared" ca="1" si="917"/>
        <v>#DIV/0!</v>
      </c>
      <c r="NU257" s="170" t="e">
        <f t="shared" ca="1" si="893"/>
        <v>#N/A</v>
      </c>
      <c r="NV257" s="170" t="e">
        <f t="shared" ca="1" si="802"/>
        <v>#N/A</v>
      </c>
      <c r="NW257" s="175" t="e">
        <f t="shared" ca="1" si="803"/>
        <v>#DIV/0!</v>
      </c>
      <c r="NX257" s="170" t="e">
        <f ca="1">MIN(Control!$C$72+$MU257, $NW257)</f>
        <v>#DIV/0!</v>
      </c>
      <c r="NY257" s="170" t="e">
        <f ca="1">IF($MT257&lt;=$NX257,MIN(Control!$C$72+$NB257,$NX257-$MT257),0)</f>
        <v>#DIV/0!</v>
      </c>
      <c r="NZ257" s="54" t="e">
        <f ca="1">IF(Control!$C$114=1,  $CX257*($MX257-Control!$C$127), 0)</f>
        <v>#DIV/0!</v>
      </c>
      <c r="OA257" s="170" t="e">
        <f t="shared" ca="1" si="804"/>
        <v>#DIV/0!</v>
      </c>
      <c r="OB257" s="170" t="e">
        <f ca="1">IF($NA257 &lt;=$NY257, MIN(Control!$C$72, $NY257-$NA257), 0)</f>
        <v>#DIV/0!</v>
      </c>
      <c r="OC257" s="168" t="e">
        <f t="shared" ca="1" si="805"/>
        <v>#DIV/0!</v>
      </c>
      <c r="OD257" s="168" t="e">
        <f t="shared" ca="1" si="894"/>
        <v>#DIV/0!</v>
      </c>
      <c r="OE257" s="170">
        <f ca="1">Control!$C$73*$I257</f>
        <v>0</v>
      </c>
      <c r="OF257" s="176" t="e">
        <f t="shared" ca="1" si="806"/>
        <v>#DIV/0!</v>
      </c>
      <c r="OG257" s="168" t="e">
        <f t="shared" ca="1" si="807"/>
        <v>#DIV/0!</v>
      </c>
      <c r="OH257" s="168" t="e">
        <f t="shared" ca="1" si="808"/>
        <v>#DIV/0!</v>
      </c>
      <c r="OI257" s="168" t="e">
        <f t="shared" ca="1" si="809"/>
        <v>#DIV/0!</v>
      </c>
      <c r="OJ257" s="168" t="e">
        <f t="shared" ca="1" si="810"/>
        <v>#DIV/0!</v>
      </c>
      <c r="OK257" s="204" t="e">
        <f t="shared" ca="1" si="811"/>
        <v>#DIV/0!</v>
      </c>
      <c r="OL257" s="177">
        <f>Control!$C$127</f>
        <v>0.15</v>
      </c>
      <c r="OM257" s="182" t="e">
        <f t="shared" ca="1" si="812"/>
        <v>#N/A</v>
      </c>
      <c r="ON257" s="177">
        <f>Control!$C$128</f>
        <v>0.35</v>
      </c>
      <c r="OO257" s="182" t="e">
        <f t="shared" ca="1" si="813"/>
        <v>#N/A</v>
      </c>
      <c r="OP257" s="138">
        <f t="shared" ca="1" si="895"/>
        <v>0</v>
      </c>
      <c r="OQ257" s="138" t="e">
        <f t="shared" ca="1" si="918"/>
        <v>#DIV/0!</v>
      </c>
      <c r="OR257" s="138" t="e">
        <f t="shared" ca="1" si="896"/>
        <v>#DIV/0!</v>
      </c>
      <c r="OS257" s="137" t="e">
        <f t="shared" ca="1" si="919"/>
        <v>#DIV/0!</v>
      </c>
      <c r="OT257" s="139" t="e">
        <f t="shared" ca="1" si="920"/>
        <v>#DIV/0!</v>
      </c>
      <c r="OU257" s="138" t="e">
        <f t="shared" ca="1" si="921"/>
        <v>#N/A</v>
      </c>
      <c r="OV257" s="138" t="e">
        <f t="shared" ca="1" si="922"/>
        <v>#DIV/0!</v>
      </c>
      <c r="OW257" s="138" t="e">
        <f t="shared" ca="1" si="897"/>
        <v>#DIV/0!</v>
      </c>
      <c r="OX257" s="138" t="e">
        <f t="shared" ca="1" si="898"/>
        <v>#DIV/0!</v>
      </c>
      <c r="OY257" s="138" t="e">
        <f t="shared" ca="1" si="899"/>
        <v>#DIV/0!</v>
      </c>
      <c r="OZ257" s="138" t="e">
        <f t="shared" ca="1" si="814"/>
        <v>#DIV/0!</v>
      </c>
      <c r="PA257" s="138" t="e">
        <f t="shared" ca="1" si="815"/>
        <v>#DIV/0!</v>
      </c>
      <c r="PB257" s="55">
        <f>IF(Control!$C$61="T", IF(Control!$C$65="F", IF($AH$6-Control!$C$60&lt;0,0,1), IF(365+$AH$6-Control!$C$60&lt;0,0,1)),0)</f>
        <v>0</v>
      </c>
      <c r="PC257" s="55">
        <f ca="1">IF(Control!$C$65="F", IF($AH$6-$HF257&lt;0,0,1), IF(365+$AH$6-$HF257&lt;0,0,1))</f>
        <v>1</v>
      </c>
      <c r="PD257" s="444">
        <f>Control!$C$118</f>
        <v>1500</v>
      </c>
      <c r="PE257" s="180" t="e">
        <f t="shared" ca="1" si="816"/>
        <v>#N/A</v>
      </c>
      <c r="PF257" s="445">
        <f t="shared" ca="1" si="900"/>
        <v>0.71612369323045078</v>
      </c>
      <c r="PT257" s="186"/>
      <c r="PU257" s="186"/>
      <c r="PV257" s="94"/>
      <c r="PW257" s="94"/>
      <c r="PX257" s="94"/>
      <c r="PY257" s="94"/>
      <c r="PZ257" s="94"/>
      <c r="QA257" s="94"/>
      <c r="QB257" s="94"/>
      <c r="QC257" s="94"/>
      <c r="QD257" s="94"/>
      <c r="QE257" s="94"/>
      <c r="QF257" s="94"/>
      <c r="QG257" s="94"/>
      <c r="QH257" s="94"/>
      <c r="QI257" s="94"/>
      <c r="QJ257" s="94"/>
      <c r="QK257" s="94"/>
      <c r="QL257" s="94"/>
      <c r="QM257" s="94"/>
      <c r="QN257" s="94"/>
      <c r="QO257" s="94"/>
      <c r="QP257" s="94"/>
    </row>
    <row r="258" spans="1:458" s="2" customFormat="1" x14ac:dyDescent="0.2">
      <c r="A258" s="395">
        <v>10</v>
      </c>
      <c r="B258" s="396">
        <v>9</v>
      </c>
      <c r="C258" s="387">
        <f ca="1">Weather_data!$B257</f>
        <v>0</v>
      </c>
      <c r="D258" s="388">
        <f ca="1">Weather_data!$F257</f>
        <v>0</v>
      </c>
      <c r="E258" s="388">
        <f ca="1">Weather_data!$E257</f>
        <v>0</v>
      </c>
      <c r="F258" s="388">
        <f t="shared" ca="1" si="817"/>
        <v>0</v>
      </c>
      <c r="G258" s="388">
        <f ca="1">AVERAGE($D258:$E258)+Control!$B$9</f>
        <v>0</v>
      </c>
      <c r="H258" s="388">
        <f ca="1">Weather_data!$G257</f>
        <v>0</v>
      </c>
      <c r="I258" s="388">
        <f ca="1">Weather_data!$I257</f>
        <v>0</v>
      </c>
      <c r="J258" s="388">
        <f ca="1">Weather_data!$H257</f>
        <v>0</v>
      </c>
      <c r="K258" s="389">
        <f ca="1">Weather_data!$D257</f>
        <v>0</v>
      </c>
      <c r="L258" s="388" t="e">
        <f t="shared" ca="1" si="818"/>
        <v>#N/A</v>
      </c>
      <c r="M258" s="388" t="e">
        <f t="shared" ca="1" si="696"/>
        <v>#N/A</v>
      </c>
      <c r="N258" s="388">
        <f t="shared" ca="1" si="697"/>
        <v>-1.4725918177327318E-12</v>
      </c>
      <c r="O258" s="388">
        <f t="shared" ca="1" si="819"/>
        <v>1.4725918177327318E-11</v>
      </c>
      <c r="P258" s="390">
        <v>3</v>
      </c>
      <c r="Q258" s="388">
        <f ca="1">MAX($G258-Control!$C$107,0)</f>
        <v>0</v>
      </c>
      <c r="R258" s="388">
        <f t="shared" ca="1" si="820"/>
        <v>0</v>
      </c>
      <c r="S258" s="388">
        <f t="shared" ca="1" si="698"/>
        <v>0</v>
      </c>
      <c r="T258" s="388">
        <f t="shared" ca="1" si="699"/>
        <v>0</v>
      </c>
      <c r="U258" s="59">
        <f t="shared" ca="1" si="700"/>
        <v>0</v>
      </c>
      <c r="V258" s="391">
        <f ca="1">MAX(0,MIN(Control!$C$100-Control!$C$99,$G258-Control!$C$99)*Control!$C$63)</f>
        <v>0</v>
      </c>
      <c r="W258" s="388">
        <f t="shared" ca="1" si="821"/>
        <v>0</v>
      </c>
      <c r="X258" s="388">
        <f t="shared" ca="1" si="822"/>
        <v>0.6110000000000001</v>
      </c>
      <c r="Y258" s="388">
        <f t="shared" ca="1" si="701"/>
        <v>0</v>
      </c>
      <c r="Z258" s="388">
        <f t="shared" ca="1" si="823"/>
        <v>0.61058800000000002</v>
      </c>
      <c r="AA258" s="388">
        <f t="shared" ca="1" si="702"/>
        <v>0.6018</v>
      </c>
      <c r="AB258" s="388">
        <f ca="1">101.3*EXP(-0.034*Control!$C$66/($G258+273))</f>
        <v>100.69623283836242</v>
      </c>
      <c r="AC258" s="392">
        <f t="shared" ca="1" si="703"/>
        <v>4.3460251046025113E-2</v>
      </c>
      <c r="AD258" s="392">
        <f t="shared" ca="1" si="704"/>
        <v>4.4450382862832649E-2</v>
      </c>
      <c r="AE258" s="388">
        <f t="shared" ca="1" si="705"/>
        <v>0</v>
      </c>
      <c r="AF258" s="388">
        <f ca="1">MAX(0,$G258-Control!$C$92)</f>
        <v>0</v>
      </c>
      <c r="AG258" s="393">
        <f t="shared" ca="1" si="706"/>
        <v>254</v>
      </c>
      <c r="AH258" s="389">
        <f t="shared" ca="1" si="707"/>
        <v>254</v>
      </c>
      <c r="AI258" s="388">
        <f t="shared" ca="1" si="824"/>
        <v>6.6522996041493268E-2</v>
      </c>
      <c r="AJ258" s="388">
        <f ca="1">IF(Control!$C$60&lt;=0,$HH258,$HI258)</f>
        <v>1</v>
      </c>
      <c r="AK258" s="388">
        <f t="shared" ca="1" si="708"/>
        <v>2.9952718998609531</v>
      </c>
      <c r="AL258" s="388">
        <f t="shared" ca="1" si="709"/>
        <v>-2.3939183968479937E-22</v>
      </c>
      <c r="AM258" s="388">
        <f t="shared" ca="1" si="710"/>
        <v>2.9952718998609531</v>
      </c>
      <c r="AN258" s="388">
        <f t="shared" ca="1" si="711"/>
        <v>5.8031486706727121E-2</v>
      </c>
      <c r="AO258" s="388">
        <f ca="1">-0.10453/COS(Control!$B$8*PI()/180)*COS(AN258)</f>
        <v>-0.16949905616052313</v>
      </c>
      <c r="AP258" s="388">
        <f ca="1">ACOS(AO258-TAN(Control!$B$8*PI()/180)*TAN(AN258))</f>
        <v>1.8171398052402821</v>
      </c>
      <c r="AQ258" s="388">
        <f t="shared" ca="1" si="825"/>
        <v>0</v>
      </c>
      <c r="AR258" s="394">
        <f t="shared" ca="1" si="712"/>
        <v>0</v>
      </c>
      <c r="AS258" s="436">
        <f ca="1">IF(Control!$B$18=2,(IF(OR($AH258=Control!$B$175,$AH258=Control!$B$176,$AH258=Control!$B$177,$AH258=Control!$B$178,$AH258=Control!$B$179,$AH258=Control!$B$180,$AH258=Control!$B$181,$AH258=Control!$B$182,$AH258=Control!$B$183,$AH258=Control!$B$184,$AH258=Control!$B$185),1,0)),0)</f>
        <v>0</v>
      </c>
      <c r="AT258" s="436">
        <f>IF(Control!$B$20=8,IF(AND($AH258&gt;=Control!$B$172,$AH258&lt;=Control!$B$173),1,0),0)</f>
        <v>0</v>
      </c>
      <c r="AU258" s="436">
        <f>IF(Control!$B$20=8,IF($AV257=1,1*$AT258,IF($AT258=1,$AU257+1,$AU257)),0)</f>
        <v>0</v>
      </c>
      <c r="AV258" s="436">
        <f>IF(Control!$B$20=8,IF($AU258&gt;=Control!$B$174,1,0),0)</f>
        <v>0</v>
      </c>
      <c r="AW258" s="436">
        <f ca="1">IF(AND(Control!$B$18=2,Control!$B$171=1), $AV258, $AS258)</f>
        <v>0</v>
      </c>
      <c r="AX258" s="436" t="e">
        <f ca="1">IF(AND(Control!$B$18=1,$EU258&gt;=Control!$B$19),-$AY258,IF(AND(Control!$B$18=2,$AW258=1,$EU258&gt;$DS258),-$AY258, IF(Control!$C$108=0,0, IF(Control!$C$108&lt;&gt;0,1))))</f>
        <v>#N/A</v>
      </c>
      <c r="AY258" s="436" t="e">
        <f t="shared" ca="1" si="826"/>
        <v>#N/A</v>
      </c>
      <c r="AZ258" s="436" t="e">
        <f ca="1">IF(AND(Control!$B$18=1,$EB258&gt;Control!$B$19),$AZ257+1, IF(AND(Control!$B$18=2, $AW258=1, $EB258&gt;$DS258), $AZ257+1,$AZ257))</f>
        <v>#N/A</v>
      </c>
      <c r="BA258" s="587">
        <f>IF(Control!$C$81=0,1,IF($AH258&gt;=Control!$C$82,1,0))</f>
        <v>1</v>
      </c>
      <c r="BB258" s="140" t="e">
        <f ca="1">IF($BA258&gt;$BA257,Control!$C$83,IF($AW258&gt;0,$AW258*Control!$C$84,IF(AND(Control!$B$18=1,EN257&lt;&gt;0),Control!$C$84,0)))</f>
        <v>#N/A</v>
      </c>
      <c r="BC258" s="140" t="e">
        <f t="shared" ca="1" si="827"/>
        <v>#N/A</v>
      </c>
      <c r="BD258" s="140" t="e">
        <f ca="1">BC258*IF(OR($G258&lt;Control!$C$92,$G258&gt;Control!$C$95),0,IF(AND($G258&gt;=Control!$C$92,$G258&lt;=Control!$C$93),$G258-Control!$C$92,IF(AND($G258&gt;Control!$C$93,$G258&lt;=Control!$C$94),Control!$C$93-Control!$C$92,IF(AND($G258&gt;Control!$C$94,$G258&lt;=Control!$C$95),(Control!$C$93-Control!$C$92)*(Control!$C$94-$G258)/(Control!$C$95-Control!$C$94)))))</f>
        <v>#N/A</v>
      </c>
      <c r="BE258" s="140" t="e">
        <f t="shared" ca="1" si="828"/>
        <v>#N/A</v>
      </c>
      <c r="BF258" s="140" t="e">
        <f ca="1">IF($BE258&lt;=Control!$C$86,$BE258,Control!$C$86-$BE258)</f>
        <v>#N/A</v>
      </c>
      <c r="BG258" s="140" t="e">
        <f ca="1">IF(AND($AW258=1,Control!$C$84&lt;9),1,IF($BE258&gt;=Control!$C$86,0,$BC258))</f>
        <v>#N/A</v>
      </c>
      <c r="BH258" s="404" t="e">
        <f ca="1">IF($BG258=0,0,IF($BE258&lt;=Control!$C$86,$BC258*9*($BF258/Control!$C$86),0))</f>
        <v>#N/A</v>
      </c>
      <c r="BI258" s="140" t="e">
        <f ca="1">IF($BG258=1,0,IF($BE258&gt;=Control!$C$86,1,IF(AND($BB258&lt;21,$BB258&gt;=9),1,$BM257)))</f>
        <v>#N/A</v>
      </c>
      <c r="BJ258" s="140" t="e">
        <f ca="1">IF($BF258&lt;0,-$BF258,$BI258*IF(OR($G258&lt;Control!$C$92,$G258&gt;Control!$C$95),0,IF(AND($G258&gt;=Control!$C$92,$G258&lt;=Control!$C$93),$G258-Control!$C$92,IF(AND($G258&gt;Control!$C$93,$G258&lt;=Control!$C$94),Control!$C$93-Control!$C$92,IF(AND($G258&gt;Control!$C$94,$G258&lt;=Control!$C$95),(Control!$C$93-Control!$C$92)*(Control!$C$94-$G258)/(Control!$C$95-Control!$C$94))))))</f>
        <v>#N/A</v>
      </c>
      <c r="BK258" s="140" t="e">
        <f t="shared" ca="1" si="829"/>
        <v>#N/A</v>
      </c>
      <c r="BL258" s="140" t="e">
        <f ca="1">IF($BK258&lt;=Control!$C$87,$BK258,Control!$C$87-$BK258)</f>
        <v>#N/A</v>
      </c>
      <c r="BM258" s="140" t="e">
        <f ca="1">IF(AND($BB258&gt;=9,$BB258&lt;21),1,IF($BK258&gt;=Control!$C$87,0,$BI258))</f>
        <v>#N/A</v>
      </c>
      <c r="BN258" s="404" t="e">
        <f ca="1">IF($BM258=0,0,IF($BK258&lt;=Control!$C$87,$BI258*(9+(21-9)*($BL258/Control!$C$87)),0))</f>
        <v>#N/A</v>
      </c>
      <c r="BO258" s="140" t="e">
        <f ca="1">IF($BM258=1,0,IF($BK258&gt;=Control!$C$87,1,IF(AND($BB258&lt;30,$BB258&gt;=21),1,$BS257)))</f>
        <v>#N/A</v>
      </c>
      <c r="BP258" s="140" t="e">
        <f ca="1">IF($BL258&lt;0,-$BL258,$BO258*IF(OR($G258&lt;Control!$C$92,$G258&gt;Control!$C$95),0,IF(AND($G258&gt;=Control!$C$92,$G258&lt;=Control!$C$93),$G258-Control!$C$92,IF(AND($G258&gt;Control!$C$93,$G258&lt;=Control!$C$94),Control!$C$93-Control!$C$92,IF(AND($G258&gt;Control!$C$94,$G258&lt;=Control!$C$95),(Control!$C$93-Control!$C$92)*(Control!$C$94-$G258)/(Control!$C$95-Control!$C$94))))))</f>
        <v>#N/A</v>
      </c>
      <c r="BQ258" s="140" t="e">
        <f t="shared" ca="1" si="713"/>
        <v>#N/A</v>
      </c>
      <c r="BR258" s="140" t="e">
        <f ca="1">IF($BQ258&lt;=Control!$C$88,$BQ258,Control!$C$88-$BQ258)</f>
        <v>#N/A</v>
      </c>
      <c r="BS258" s="140" t="e">
        <f ca="1">IF(AND($BB258&gt;=21,$BB258&lt;30),1,IF($BQ258&gt;=Control!$C$88,0,$BO258))</f>
        <v>#N/A</v>
      </c>
      <c r="BT258" s="404" t="e">
        <f ca="1">IF($BS258=0,0,IF($BQ258&lt;=Control!$C$88,$BO258*(21+(30-21)*(BR258/Control!$C$88)),0))</f>
        <v>#N/A</v>
      </c>
      <c r="BU258" s="140" t="e">
        <f ca="1">IF(BG258+BM258+BS258=1,0,IF(OR(AND($BB258&lt;60,$BB258&gt;=30),$BQ258&gt;=Control!$C$88),1*$BA258,$BY257))</f>
        <v>#N/A</v>
      </c>
      <c r="BV258" s="140" t="e">
        <f ca="1">IF($BR258&lt;0,-$BR258,$BU258*IF(OR($G258&lt;Control!$C$92,$G258&gt;Control!$C$95),0,IF(AND($G258&gt;=Control!$C$92,$G258&lt;=Control!$C$93),$G258-Control!$C$92,IF(AND($G258&gt;Control!$C$93,$G258&lt;=Control!$C$94),Control!$C$93-Control!$C$92,IF(AND($G258&gt;Control!$C$94,$G258&lt;=Control!$C$95),(Control!$C$93-Control!$C$92)*(Control!$C$94-$G258)/(Control!$C$95-Control!$C$94))))))</f>
        <v>#N/A</v>
      </c>
      <c r="BW258" s="140" t="e">
        <f t="shared" ca="1" si="714"/>
        <v>#N/A</v>
      </c>
      <c r="BX258" s="140" t="e">
        <f ca="1">IF($BW258&lt;=Control!$C$89,$BW258,Control!$C$89-$BW258)</f>
        <v>#N/A</v>
      </c>
      <c r="BY258" s="140" t="e">
        <f ca="1">IF(AND($AJ258&gt;=30,$AJ258&lt;60),1,IF($BW258&gt;=Control!$C$89,0,$BU258))</f>
        <v>#N/A</v>
      </c>
      <c r="BZ258" s="404" t="e">
        <f ca="1">IF($BY258=0,0,IF($BW258&lt;=Control!$C$89,$BU258*(30+(60-30)*(BX258/Control!$C$89)),0))</f>
        <v>#N/A</v>
      </c>
      <c r="CA258" s="140" t="e">
        <f ca="1">IF($BG258+$BM258+$BS258+$BY258=1,0,IF(OR(AND($BB258&lt;65,$BB258&gt;=60),$BW258&gt;=Control!$C$89),1*$BA258,$CE257))</f>
        <v>#N/A</v>
      </c>
      <c r="CB258" s="140" t="e">
        <f ca="1">IF($BX258&lt;0,-$BX258,$CA258*IF(OR($G258&lt;Control!$C$92,$G258&gt;Control!$C$95),0,IF(AND($G258&gt;=Control!$C$92,$G258&lt;=Control!$C$93),$G258-Control!$C$92,IF(AND($G258&gt;Control!$C$93,$G258&lt;=Control!$C$94),Control!$C$93-Control!$C$92,IF(AND($G258&gt;Control!$C$94,$G258&lt;=Control!$C$95),(Control!$C$93-Control!$C$92)*(Control!$C$94-$G258)/(Control!$C$95-Control!$C$94))))))</f>
        <v>#N/A</v>
      </c>
      <c r="CC258" s="140" t="e">
        <f t="shared" ca="1" si="830"/>
        <v>#N/A</v>
      </c>
      <c r="CD258" s="140" t="e">
        <f ca="1">IF($CC258&lt;=Control!$C$90,$CC258,Control!$C$90-$CC258)</f>
        <v>#N/A</v>
      </c>
      <c r="CE258" s="140" t="e">
        <f ca="1">IF(AND($BB258&gt;=60,$BB258&lt;65),1,IF($CC258&gt;=Control!$C$90,0,$CA258))</f>
        <v>#N/A</v>
      </c>
      <c r="CF258" s="404" t="e">
        <f ca="1">IF($CE258=0,0,IF($CC258&lt;=Control!$C$90,$CA258*(60+(65-60)*(CD258/Control!$C$90)),0))</f>
        <v>#N/A</v>
      </c>
      <c r="CG258" s="140" t="e">
        <f ca="1">IF($BG258+$BM258+$BS258+$BY258+$CE258=1,0,IF(OR(AND($BB258&lt;90,$BB258&gt;=65),$CC258&gt;=Control!$C$90),$BA258,$CK257))</f>
        <v>#N/A</v>
      </c>
      <c r="CH258" s="140" t="e">
        <f ca="1">IF($CD258&lt;0,-$CD258,$CG258*IF(OR($G258&lt;Control!$C$92,$G258&gt;Control!$C$95),0,IF(AND($G258&gt;=Control!$C$92,$G258&lt;=Control!$C$93),$G258-Control!$C$92,IF(AND($G258&gt;Control!$C$93,$G258&lt;=Control!$C$94),Control!$C$93-Control!$C$92,IF(AND($G258&gt;Control!$C$94,$G258&lt;=Control!$C$95),(Control!$C$93-Control!$C$92)*(Control!$C$94-$G258)/(Control!$C$95-Control!$C$94))))))</f>
        <v>#N/A</v>
      </c>
      <c r="CI258" s="140" t="e">
        <f t="shared" ca="1" si="831"/>
        <v>#N/A</v>
      </c>
      <c r="CJ258" s="140" t="e">
        <f ca="1">IF($CI258&lt;=Control!$C$91,$CI258,Control!$C$91-$CI258)</f>
        <v>#N/A</v>
      </c>
      <c r="CK258" s="140" t="e">
        <f ca="1">IF(AND($BB258&gt;=65,$BB258&lt;90),1,IF($CI258&gt;=Control!$C$91,0,$CG258))</f>
        <v>#N/A</v>
      </c>
      <c r="CL258" s="404" t="e">
        <f ca="1">IF($CK258=0,0,IF($CI258&lt;=Control!$C$91,$CG258*(65+(90-65)*($CJ258/Control!$C$91)),0))</f>
        <v>#N/A</v>
      </c>
      <c r="CM258" s="140" t="e">
        <f ca="1">IF($BG258+$BM258+$BS258+$BY258+$CE258+$CK258=1,0,IF(OR($BB258&gt;=90,$CI258&gt;=Control!$C$91),$BA258,$CM257))</f>
        <v>#N/A</v>
      </c>
      <c r="CN258" s="140" t="e">
        <f t="shared" ca="1" si="832"/>
        <v>#N/A</v>
      </c>
      <c r="CO258" s="140" t="e">
        <f t="shared" ca="1" si="833"/>
        <v>#N/A</v>
      </c>
      <c r="CP258" s="140" t="e">
        <f t="shared" ca="1" si="834"/>
        <v>#N/A</v>
      </c>
      <c r="CQ258" s="141" t="e">
        <f ca="1">VLOOKUP($CP258,Control!$B$86:$G$91,6)</f>
        <v>#N/A</v>
      </c>
      <c r="CR258" s="141" t="e">
        <f ca="1">(1-$CQ258)*VLOOKUP($CP258,Control!$B$86:$D$91,3)</f>
        <v>#N/A</v>
      </c>
      <c r="CS258" s="141" t="e">
        <f ca="1">(1-$CQ258)*VLOOKUP($CP258,Control!$B$86:$E$91,4)</f>
        <v>#N/A</v>
      </c>
      <c r="CT258" s="141" t="e">
        <f ca="1">(1-$CQ258)*VLOOKUP($CP258,Control!$B$86:$F$91,5)</f>
        <v>#N/A</v>
      </c>
      <c r="CU258" s="141">
        <f t="shared" ca="1" si="835"/>
        <v>0</v>
      </c>
      <c r="CV258" s="583">
        <f t="shared" ca="1" si="836"/>
        <v>0</v>
      </c>
      <c r="CW258" s="142">
        <f t="shared" ca="1" si="837"/>
        <v>254</v>
      </c>
      <c r="CX258" s="612" t="e">
        <f ca="1">IF(Control!$C$114=1,(MIN(Control!$C$120*(IF($NT258-0.01&lt;0,0,1)),Control!$C$119-$CY258)))</f>
        <v>#DIV/0!</v>
      </c>
      <c r="CY258" s="143" t="e">
        <f t="shared" ca="1" si="838"/>
        <v>#N/A</v>
      </c>
      <c r="CZ258" s="144">
        <f t="shared" ca="1" si="715"/>
        <v>0</v>
      </c>
      <c r="DA258" s="144">
        <f t="shared" ca="1" si="716"/>
        <v>0</v>
      </c>
      <c r="DB258" s="144" t="e">
        <f t="shared" ca="1" si="717"/>
        <v>#N/A</v>
      </c>
      <c r="DC258" s="144" t="e">
        <f t="shared" ca="1" si="718"/>
        <v>#N/A</v>
      </c>
      <c r="DD258" s="144" t="e">
        <f t="shared" ca="1" si="923"/>
        <v>#N/A</v>
      </c>
      <c r="DE258" s="143" t="e">
        <f t="shared" ca="1" si="839"/>
        <v>#N/A</v>
      </c>
      <c r="DF258" s="145" t="e">
        <f ca="1">$DR258*EXP(-Control!$C$158*(1-$KH258))</f>
        <v>#N/A</v>
      </c>
      <c r="DG258" s="146" t="e">
        <f ca="1">IF(Control!$C$114=1, $DF258*$EY258, 0)</f>
        <v>#N/A</v>
      </c>
      <c r="DH258" s="147" t="e">
        <f t="shared" ca="1" si="840"/>
        <v>#N/A</v>
      </c>
      <c r="DI258" s="144" t="e">
        <f t="shared" ca="1" si="901"/>
        <v>#N/A</v>
      </c>
      <c r="DJ258" s="147" t="e">
        <f ca="1">$EF258*Control!$C$109</f>
        <v>#N/A</v>
      </c>
      <c r="DK258" s="144" t="e">
        <f t="shared" ca="1" si="841"/>
        <v>#N/A</v>
      </c>
      <c r="DL258" s="144" t="e">
        <f t="shared" ca="1" si="719"/>
        <v>#N/A</v>
      </c>
      <c r="DM258" s="144" t="e">
        <f ca="1">IF(Control!$C$114=1, (1-EXP(-Control!$C$96*$DK258))*$AR258, 0)</f>
        <v>#N/A</v>
      </c>
      <c r="DN258" s="144">
        <f t="shared" ca="1" si="842"/>
        <v>0</v>
      </c>
      <c r="DO258" s="148">
        <f>Control!$C$97</f>
        <v>4</v>
      </c>
      <c r="DP258" s="145" t="e">
        <f t="shared" ca="1" si="843"/>
        <v>#N/A</v>
      </c>
      <c r="DQ258" s="145" t="e">
        <f ca="1">IF(AND($CP258&gt;=0,$CP258&lt;=90),Control!$C$111,Control!$C$111)</f>
        <v>#N/A</v>
      </c>
      <c r="DR258" s="145" t="e">
        <f t="shared" ca="1" si="720"/>
        <v>#N/A</v>
      </c>
      <c r="DS258" s="143" t="e">
        <f ca="1">Control!$B$22/$DR258</f>
        <v>#N/A</v>
      </c>
      <c r="DT258" s="149" t="e">
        <f ca="1">IF(AND(Control!$C$114=1,$KH258&lt;1),$IM258*$DF258, 0)</f>
        <v>#N/A</v>
      </c>
      <c r="DU258" s="144" t="e">
        <f t="shared" ca="1" si="844"/>
        <v>#N/A</v>
      </c>
      <c r="DV258" s="144">
        <f ca="1">IF($G258-Control!$C$107&lt;=0, 0, 0.83*LN(MAX($G258, 3))-0.8924)</f>
        <v>0</v>
      </c>
      <c r="DW258" s="144" t="e">
        <f t="shared" ca="1" si="721"/>
        <v>#N/A</v>
      </c>
      <c r="DX258" s="150" t="e">
        <f ca="1">MAX(0.01*(1+$CU258/Control!$C$102),0.05*($DK258-Control!$C$97)/Control!$C$97)</f>
        <v>#N/A</v>
      </c>
      <c r="DY258" s="151" t="e">
        <f ca="1">IF(Control!$C$114=1, $DI258*$FS258, 0)</f>
        <v>#N/A</v>
      </c>
      <c r="DZ258" s="196" t="e">
        <f t="shared" ca="1" si="845"/>
        <v>#N/A</v>
      </c>
      <c r="EA258" s="152">
        <f t="shared" ca="1" si="846"/>
        <v>254</v>
      </c>
      <c r="EB258" s="153" t="e">
        <f t="shared" ca="1" si="847"/>
        <v>#N/A</v>
      </c>
      <c r="EC258" s="153" t="e">
        <f t="shared" ca="1" si="848"/>
        <v>#N/A</v>
      </c>
      <c r="ED258" s="154" t="e">
        <f ca="1">IF(Control!$C$114=1, $HM258*$FY258-$FD258, 0)</f>
        <v>#DIV/0!</v>
      </c>
      <c r="EE258" s="155" t="e">
        <f ca="1">IF(Control!$C$114=1, $HM258*$FZ258-$FF258, 0)</f>
        <v>#DIV/0!</v>
      </c>
      <c r="EF258" s="153" t="e">
        <f t="shared" ca="1" si="902"/>
        <v>#N/A</v>
      </c>
      <c r="EG258" s="155" t="e">
        <f ca="1">IF(Control!$C$114=1, $GX258*$FW258-$FI258, 0)</f>
        <v>#DIV/0!</v>
      </c>
      <c r="EH258" s="153" t="e">
        <f t="shared" ca="1" si="849"/>
        <v>#N/A</v>
      </c>
      <c r="EI258" s="156" t="e">
        <f t="shared" ca="1" si="850"/>
        <v>#N/A</v>
      </c>
      <c r="EJ258" s="155" t="e">
        <f ca="1">IF(Control!$C$114=1, $HM258*$GB258, 0)</f>
        <v>#DIV/0!</v>
      </c>
      <c r="EK258" s="153" t="e">
        <f t="shared" ca="1" si="903"/>
        <v>#N/A</v>
      </c>
      <c r="EL258" s="153" t="e">
        <f t="shared" ca="1" si="722"/>
        <v>#N/A</v>
      </c>
      <c r="EM258" s="153" t="e">
        <f t="shared" ca="1" si="723"/>
        <v>#N/A</v>
      </c>
      <c r="EN258" s="153" t="e">
        <f ca="1">IF(Control!$C$108=1,IF(AND(Control!$B$18=1,$EB258&gt;=Control!$B$19),$EB258-$DS258,IF(AND(Control!$B$18=2,$AW258=1,$EB258&gt;$DS258),$EB258-$DS258,0)))</f>
        <v>#N/A</v>
      </c>
      <c r="EO258" s="153" t="e">
        <f ca="1">IF(Control!$C$108=1,IF(AND(Control!$B$18=1,$EB258&gt;=Control!$B$19),$EF258,IF(AND(Control!$B$18=2,$AW258=1),$EF258,0)))</f>
        <v>#N/A</v>
      </c>
      <c r="EP258" s="153" t="e">
        <f ca="1">IF(Control!$C$108=1,IF(AND(Control!$B$18=1,$EB258&gt;=Control!$B$19),$EK258,IF(AND(Control!$B$18=2,$AW258=1),$EK258,0)))</f>
        <v>#N/A</v>
      </c>
      <c r="EQ258" s="153" t="e">
        <f t="shared" ca="1" si="851"/>
        <v>#N/A</v>
      </c>
      <c r="ER258" s="153" t="e">
        <f t="shared" ca="1" si="852"/>
        <v>#N/A</v>
      </c>
      <c r="ES258" s="153" t="e">
        <f t="shared" ca="1" si="904"/>
        <v>#N/A</v>
      </c>
      <c r="ET258" s="153" t="e">
        <f t="shared" ca="1" si="905"/>
        <v>#N/A</v>
      </c>
      <c r="EU258" s="153" t="e">
        <f t="shared" ca="1" si="853"/>
        <v>#N/A</v>
      </c>
      <c r="EV258" s="153" t="e">
        <f t="shared" ca="1" si="724"/>
        <v>#N/A</v>
      </c>
      <c r="EW258" s="153" t="e">
        <f t="shared" ca="1" si="725"/>
        <v>#N/A</v>
      </c>
      <c r="EX258" s="153" t="e">
        <f t="shared" ca="1" si="726"/>
        <v>#N/A</v>
      </c>
      <c r="EY258" s="157" t="e">
        <f t="shared" ca="1" si="727"/>
        <v>#DIV/0!</v>
      </c>
      <c r="EZ258" s="154" t="e">
        <f t="shared" ca="1" si="728"/>
        <v>#DIV/0!</v>
      </c>
      <c r="FA258" s="153" t="e">
        <f t="shared" ca="1" si="854"/>
        <v>#N/A</v>
      </c>
      <c r="FB258" s="153" t="e">
        <f t="shared" ca="1" si="729"/>
        <v>#N/A</v>
      </c>
      <c r="FC258" s="193" t="e">
        <f t="shared" ca="1" si="730"/>
        <v>#N/A</v>
      </c>
      <c r="FD258" s="158" t="e">
        <f t="shared" ca="1" si="855"/>
        <v>#N/A</v>
      </c>
      <c r="FE258" s="158" t="e">
        <f t="shared" ca="1" si="856"/>
        <v>#N/A</v>
      </c>
      <c r="FF258" s="159" t="e">
        <f t="shared" ca="1" si="731"/>
        <v>#N/A</v>
      </c>
      <c r="FG258" s="160" t="e">
        <f t="shared" ca="1" si="857"/>
        <v>#N/A</v>
      </c>
      <c r="FH258" s="158" t="e">
        <f t="shared" ca="1" si="858"/>
        <v>#N/A</v>
      </c>
      <c r="FI258" s="159" t="e">
        <f t="shared" ca="1" si="732"/>
        <v>#N/A</v>
      </c>
      <c r="FJ258" s="160" t="e">
        <f t="shared" ca="1" si="859"/>
        <v>#N/A</v>
      </c>
      <c r="FK258" s="160" t="e">
        <f t="shared" ca="1" si="733"/>
        <v>#N/A</v>
      </c>
      <c r="FL258" s="160" t="e">
        <f t="shared" ca="1" si="906"/>
        <v>#N/A</v>
      </c>
      <c r="FM258" s="160" t="e">
        <f t="shared" ca="1" si="734"/>
        <v>#N/A</v>
      </c>
      <c r="FN258" s="158">
        <f t="shared" ca="1" si="860"/>
        <v>0.01</v>
      </c>
      <c r="FO258" s="160">
        <f>Control!$C$101</f>
        <v>50</v>
      </c>
      <c r="FP258" s="150" t="e">
        <f t="shared" ca="1" si="735"/>
        <v>#N/A</v>
      </c>
      <c r="FQ258" s="150" t="e">
        <f ca="1">MAX(0,(Control!$C$112*(($DK258-Control!$C$97)/Control!$C$97)))</f>
        <v>#N/A</v>
      </c>
      <c r="FR258" s="150" t="e">
        <f ca="1">(1-$NT258)*Control!$C$113</f>
        <v>#DIV/0!</v>
      </c>
      <c r="FS258" s="198" t="e">
        <f t="shared" ca="1" si="736"/>
        <v>#N/A</v>
      </c>
      <c r="FT258" s="161">
        <f t="shared" ca="1" si="861"/>
        <v>254</v>
      </c>
      <c r="FU258" s="162" t="e">
        <f ca="1">IF(Control!$B$34=1,VLOOKUP($CP258,Control!$B$86:$G$91,6),Control!$B$35)</f>
        <v>#N/A</v>
      </c>
      <c r="FV258" s="162" t="e">
        <f t="shared" ca="1" si="737"/>
        <v>#DIV/0!</v>
      </c>
      <c r="FW258" s="162" t="e">
        <f ca="1">IF(Control!$B$31=1,$FU258*$FV258,  $FU258)</f>
        <v>#N/A</v>
      </c>
      <c r="FX258" s="162" t="e">
        <f ca="1">IF(Control!$B$34=1,VLOOKUP($CP258,Control!$B$86:$G$91,3),Control!$B$36)</f>
        <v>#N/A</v>
      </c>
      <c r="FY258" s="162" t="e">
        <f t="shared" ca="1" si="738"/>
        <v>#N/A</v>
      </c>
      <c r="FZ258" s="162" t="e">
        <f ca="1">IF(Control!$B$34=1,VLOOKUP($CP258,Control!$B$86:$G$91,4),Control!$B$37)</f>
        <v>#N/A</v>
      </c>
      <c r="GA258" s="162" t="e">
        <f t="shared" ca="1" si="739"/>
        <v>#N/A</v>
      </c>
      <c r="GB258" s="162" t="e">
        <f ca="1">IF(Control!$B$34=1,VLOOKUP($CP258,Control!$B$86:$G$91,5),Control!$B$38)</f>
        <v>#N/A</v>
      </c>
      <c r="GC258" s="162" t="e">
        <f t="shared" ca="1" si="862"/>
        <v>#N/A</v>
      </c>
      <c r="GD258" s="162">
        <f t="shared" ca="1" si="740"/>
        <v>1</v>
      </c>
      <c r="GE258" s="162">
        <f t="shared" ca="1" si="741"/>
        <v>1</v>
      </c>
      <c r="GF258" s="162">
        <f ca="1">IF(AND(Control!$C$104=1, Control!$C$62="F"),$GE258,1)</f>
        <v>1</v>
      </c>
      <c r="GG258" s="162" t="e">
        <f ca="1">IF(Control!$B$16=40,0,IF(AND(Control!$B$16&gt;40,Control!$B$16&lt;=360),(Control!$B$16-40)*((1-0)/(360-40)),IF(AND(Control!$B$16&gt;360,Control!$B$16&lt;=720),(1+(Control!$B$16-360)*((1.25-1)/(720-360))),IF(AND(Control!$B$16&gt;720,Control!$B$16&lt;=1000),(1.25+(Control!$B$16-720)*((1.35-1.25)/(1000-720))),IF(AND(Control!$B$16&gt;1000,Control!$B$16&lt;=2000),(1.35+(Control!$B$16-1000)*0))))))</f>
        <v>#N/A</v>
      </c>
      <c r="GH258" s="162" t="e">
        <f t="shared" ca="1" si="742"/>
        <v>#N/A</v>
      </c>
      <c r="GI258" s="162">
        <f t="shared" ca="1" si="863"/>
        <v>0</v>
      </c>
      <c r="GJ258" s="162">
        <f t="shared" ca="1" si="743"/>
        <v>0</v>
      </c>
      <c r="GK258" s="162">
        <f t="shared" ca="1" si="864"/>
        <v>1</v>
      </c>
      <c r="GL258" s="162">
        <f t="shared" ca="1" si="744"/>
        <v>1</v>
      </c>
      <c r="GM258" s="162" t="e">
        <f ca="1">MAX(0,MIN(1,1-Control!$C$156*(1.0001-$KH258)^2))</f>
        <v>#N/A</v>
      </c>
      <c r="GN258" s="162" t="e">
        <f ca="1">IF(Control!$B$26=1,$KU258,$KX258)</f>
        <v>#N/A</v>
      </c>
      <c r="GO258" s="162" t="e">
        <f ca="1">IF($CP258&lt;=60,Control!$C$105,IF($CP258&gt;=90,Control!$C$106,Control!$C$105+($CP258-60)*((Control!$C$106-Control!$C$105)/(90-60))))</f>
        <v>#N/A</v>
      </c>
      <c r="GP258" s="162" t="e">
        <f t="shared" ca="1" si="745"/>
        <v>#N/A</v>
      </c>
      <c r="GQ258" s="162" t="e">
        <f t="shared" ca="1" si="865"/>
        <v>#N/A</v>
      </c>
      <c r="GR258" s="163" t="e">
        <f t="shared" ca="1" si="746"/>
        <v>#DIV/0!</v>
      </c>
      <c r="GS258" s="162" t="e">
        <f t="shared" ca="1" si="747"/>
        <v>#DIV/0!</v>
      </c>
      <c r="GT258" s="164" t="e">
        <f t="shared" ca="1" si="866"/>
        <v>#N/A</v>
      </c>
      <c r="GU258" s="162" t="e">
        <f t="shared" ca="1" si="867"/>
        <v>#N/A</v>
      </c>
      <c r="GV258" s="162" t="e">
        <f t="shared" ca="1" si="748"/>
        <v>#N/A</v>
      </c>
      <c r="GW258" s="162" t="e">
        <f t="shared" ca="1" si="749"/>
        <v>#DIV/0!</v>
      </c>
      <c r="GX258" s="162" t="e">
        <f t="shared" ca="1" si="868"/>
        <v>#DIV/0!</v>
      </c>
      <c r="GY258" s="162" t="e">
        <f t="shared" ca="1" si="869"/>
        <v>#DIV/0!</v>
      </c>
      <c r="GZ258" s="165" t="e">
        <f t="shared" ca="1" si="750"/>
        <v>#N/A</v>
      </c>
      <c r="HA258" s="162" t="e">
        <f ca="1">IF(Control!$C$114=1, $DI258*$FS258, 0)</f>
        <v>#N/A</v>
      </c>
      <c r="HB258" s="162" t="e">
        <f ca="1">$FA258/Control!$C$64</f>
        <v>#N/A</v>
      </c>
      <c r="HC258" s="162" t="e">
        <f t="shared" ca="1" si="751"/>
        <v>#DIV/0!</v>
      </c>
      <c r="HD258" s="162">
        <f ca="1">-ASIN(SIN(23.45*Control!$C$139)*COS(2*Control!$C$138*($AH258+10)/365))</f>
        <v>6.6522996041493268E-2</v>
      </c>
      <c r="HE258" s="165">
        <f t="shared" ca="1" si="870"/>
        <v>0</v>
      </c>
      <c r="HF258" s="166">
        <f ca="1">IF(AND(Control!$C$61="T",$HE258&gt;=Control!$C$103,Control!$C$114=0),$AH258,Control!$C$59)</f>
        <v>1</v>
      </c>
      <c r="HG258" s="166">
        <f ca="1">IF(AND(Control!$C$61="T",$HE258&gt;=Control!$C$103,Control!$C$114=0),$HF258,Control!$C$59)</f>
        <v>1</v>
      </c>
      <c r="HH258" s="165">
        <f ca="1">IF(AND(OR(Control!$C$60&lt;=0, $AH258= Control!$C$59, Control!$C$60 &gt;0, $AH258 = Control!$C$60)), Control!$C$59, IF(Control!$C$60&gt;0, 0))</f>
        <v>1</v>
      </c>
      <c r="HI258" s="165">
        <f ca="1">IF(AND(OR(Control!$C$60&lt;=0, $AH258= Control!$C$59, Control!$C$60 &gt;0, $AH258 = Control!$C$60)), Control!$C$60, IF(Control!$C$60&lt;=0, 0))</f>
        <v>0</v>
      </c>
      <c r="HJ258" s="166">
        <f ca="1">IF(AND(Control!$C$62="F",$CV258&gt;=Control!$C$102),$AH258,0)</f>
        <v>0</v>
      </c>
      <c r="HK258" s="165" t="e">
        <f t="shared" ca="1" si="907"/>
        <v>#N/A</v>
      </c>
      <c r="HL258" s="166">
        <f ca="1">IF(AND(Control!$C$61="T",$HE258&gt;=Control!$C$103,Control!$C$114=0),$HF258,0)</f>
        <v>0</v>
      </c>
      <c r="HM258" s="201" t="e">
        <f t="shared" ca="1" si="752"/>
        <v>#DIV/0!</v>
      </c>
      <c r="HN258" s="215">
        <f t="shared" ca="1" si="871"/>
        <v>254</v>
      </c>
      <c r="HO258" s="216" t="e">
        <f ca="1">IF(AND($CP258&gt;=0, $CP258&lt;=90), Control!$C$152, Control!$C$152)</f>
        <v>#N/A</v>
      </c>
      <c r="HP258" s="216" t="e">
        <f t="shared" ca="1" si="753"/>
        <v>#N/A</v>
      </c>
      <c r="HQ258" s="217" t="e">
        <f ca="1">IF(OR(Control!$B$26=1,Control!$B$26=2),$KV258,$KS258)</f>
        <v>#DIV/0!</v>
      </c>
      <c r="HR258" s="218" t="e">
        <f t="shared" ca="1" si="908"/>
        <v>#DIV/0!</v>
      </c>
      <c r="HS258" s="216" t="e">
        <f ca="1">Control!$C$154*$HP258</f>
        <v>#N/A</v>
      </c>
      <c r="HT258" s="216" t="e">
        <f ca="1">Control!$C$155*$HP258</f>
        <v>#N/A</v>
      </c>
      <c r="HU258" s="217" t="e">
        <f ca="1">Control!$C$161*$FI258</f>
        <v>#N/A</v>
      </c>
      <c r="HV258" s="218" t="e">
        <f t="shared" ca="1" si="872"/>
        <v>#N/A</v>
      </c>
      <c r="HW258" s="218" t="e">
        <f ca="1">Control!$C$160*$FF258+$IP258*$EO258</f>
        <v>#N/A</v>
      </c>
      <c r="HX258" s="218" t="e">
        <f t="shared" ca="1" si="909"/>
        <v>#N/A</v>
      </c>
      <c r="HY258" s="219" t="e">
        <f ca="1">IF(Control!$C$114=1, $EB258*$FS258, 0)</f>
        <v>#N/A</v>
      </c>
      <c r="HZ258" s="91" t="e">
        <f t="shared" ca="1" si="754"/>
        <v>#N/A</v>
      </c>
      <c r="IA258" s="220" t="e">
        <f ca="1">Control!$C$153*$HO258</f>
        <v>#N/A</v>
      </c>
      <c r="IB258" s="218" t="e">
        <f t="shared" ca="1" si="755"/>
        <v>#N/A</v>
      </c>
      <c r="IC258" s="220" t="e">
        <f ca="1">Control!$C$153*$HT258</f>
        <v>#N/A</v>
      </c>
      <c r="ID258" s="218" t="e">
        <f t="shared" ca="1" si="756"/>
        <v>#N/A</v>
      </c>
      <c r="IE258" s="221" t="e">
        <f ca="1">($EB258*Control!$C$159+$EF258*Control!$C$160)/(IF($GZ258&lt;&gt;0,$GZ258,1))</f>
        <v>#N/A</v>
      </c>
      <c r="IF258" s="216" t="e">
        <f t="shared" ca="1" si="757"/>
        <v>#N/A</v>
      </c>
      <c r="IG258" s="91">
        <f ca="1">IF(OR(Control!$B$198=$AH258,Control!$B$199=$AH258, Control!$B$200=$AH258, Control!$B$201=$AH258, Control!$B$202=$AH258, Control!$B$203=$AH258, Control!$B$204=$AH258, Control!$B$205=$AH258, Control!$B$206=$AH258, Control!$B$207=$AH258), 1, 0)</f>
        <v>0</v>
      </c>
      <c r="IH258" s="91">
        <f ca="1">IF($IG258=0,0, VLOOKUP($AH258,Control!$B$198:$C$207,2))</f>
        <v>0</v>
      </c>
      <c r="II258" s="222">
        <f t="shared" ca="1" si="873"/>
        <v>0</v>
      </c>
      <c r="IJ258" s="91">
        <f>Control!$C$121</f>
        <v>0.7</v>
      </c>
      <c r="IK258" s="218">
        <f t="shared" ca="1" si="758"/>
        <v>0</v>
      </c>
      <c r="IL258" s="217" t="e">
        <f t="shared" ca="1" si="910"/>
        <v>#N/A</v>
      </c>
      <c r="IM258" s="223" t="e">
        <f ca="1">IF(AND(Control!$C$114=1,$KH258&lt;1),$EB258*Control!$C$148*(1-$KH258), 0)</f>
        <v>#N/A</v>
      </c>
      <c r="IN258" s="217" t="e">
        <f t="shared" ca="1" si="759"/>
        <v>#DIV/0!</v>
      </c>
      <c r="IO258" s="91" t="e">
        <f ca="1">MAX(0,$IL258-$EF258*Control!$C$160)</f>
        <v>#N/A</v>
      </c>
      <c r="IP258" s="220" t="e">
        <f t="shared" ca="1" si="760"/>
        <v>#N/A</v>
      </c>
      <c r="IQ258" s="217" t="e">
        <f t="shared" ca="1" si="874"/>
        <v>#N/A</v>
      </c>
      <c r="IR258" s="218" t="e">
        <f t="shared" ca="1" si="761"/>
        <v>#N/A</v>
      </c>
      <c r="IS258" s="217" t="e">
        <f ca="1">Control!$C$159*MAX(0,$FD258-$EN258)</f>
        <v>#N/A</v>
      </c>
      <c r="IT258" s="217" t="e">
        <f t="shared" ca="1" si="911"/>
        <v>#N/A</v>
      </c>
      <c r="IU258" s="217" t="e">
        <f t="shared" ca="1" si="875"/>
        <v>#N/A</v>
      </c>
      <c r="IV258" s="217" t="e">
        <f t="shared" ca="1" si="912"/>
        <v>#N/A</v>
      </c>
      <c r="IW258" s="217" t="e">
        <f ca="1">IF(OR($AW258=1,AND($AW258=0, Control!$B$18=1,$EN258&lt;&gt;0)), $IQ258-$IU258, $IQ258)</f>
        <v>#N/A</v>
      </c>
      <c r="IX258" s="218" t="e">
        <f t="shared" ca="1" si="762"/>
        <v>#N/A</v>
      </c>
      <c r="IY258" s="218" t="e">
        <f ca="1">MAX(0,$IQ258-$EB258*Control!$C$159)</f>
        <v>#N/A</v>
      </c>
      <c r="IZ258" s="218" t="e">
        <f t="shared" ca="1" si="763"/>
        <v>#N/A</v>
      </c>
      <c r="JA258" s="216" t="e">
        <f t="shared" ca="1" si="764"/>
        <v>#N/A</v>
      </c>
      <c r="JB258" s="217" t="e">
        <f t="shared" ca="1" si="765"/>
        <v>#N/A</v>
      </c>
      <c r="JC258" s="222" t="e">
        <f ca="1">MAX(Control!$C$157*$EK258-$JT258, 0)/Control!$C$162</f>
        <v>#N/A</v>
      </c>
      <c r="JD258" s="218" t="e">
        <f t="shared" ca="1" si="766"/>
        <v>#N/A</v>
      </c>
      <c r="JE258" s="218" t="e">
        <f t="shared" ca="1" si="767"/>
        <v>#N/A</v>
      </c>
      <c r="JF258" s="218" t="e">
        <f t="shared" ca="1" si="876"/>
        <v>#N/A</v>
      </c>
      <c r="JG258" s="218" t="e">
        <f t="shared" ca="1" si="768"/>
        <v>#N/A</v>
      </c>
      <c r="JH258" s="217" t="e">
        <f t="shared" ca="1" si="877"/>
        <v>#N/A</v>
      </c>
      <c r="JI258" s="217" t="e">
        <f t="shared" ca="1" si="878"/>
        <v>#N/A</v>
      </c>
      <c r="JJ258" s="217" t="e">
        <f t="shared" ca="1" si="913"/>
        <v>#N/A</v>
      </c>
      <c r="JK258" s="217" t="e">
        <f ca="1">IF(Control!$C$114=1,IF(Control!$B$24=0,MAX(0,$JI258)*$GN258/Control!$C$64,(MAX(0,MIN($JI258,$JJ258*$GN258/Control!$C$64),0))))</f>
        <v>#N/A</v>
      </c>
      <c r="JL258" s="217" t="e">
        <f ca="1">$IK258/Control!$C$64-$JK258+$HQ258</f>
        <v>#N/A</v>
      </c>
      <c r="JM258" s="217" t="e">
        <f ca="1">IF(Control!$C$114=1,($JB258/(IF($JI258&lt;&gt;0,$JI258,1)))*$JK258,0)</f>
        <v>#N/A</v>
      </c>
      <c r="JN258" s="217" t="e">
        <f ca="1">IF(Control!$C$114=1,($JG258/(IF($JI258&lt;&gt;0,$JI258,1)))*$JK258, 0)</f>
        <v>#N/A</v>
      </c>
      <c r="JO258" s="218" t="e">
        <f t="shared" ca="1" si="769"/>
        <v>#N/A</v>
      </c>
      <c r="JP258" s="218" t="e">
        <f ca="1">MIN(($IY258+$IO258)*Control!$C$151, $JF258-$EH258*Control!$C$161)</f>
        <v>#N/A</v>
      </c>
      <c r="JQ258" s="218" t="e">
        <f t="shared" ca="1" si="770"/>
        <v>#N/A</v>
      </c>
      <c r="JR258" s="217" t="e">
        <f ca="1">IF($CP258-Control!$C$150&lt;0, 0, $JQ258/Control!$C$162)</f>
        <v>#N/A</v>
      </c>
      <c r="JS258" s="218" t="e">
        <f t="shared" ca="1" si="771"/>
        <v>#N/A</v>
      </c>
      <c r="JT258" s="218" t="e">
        <f t="shared" ca="1" si="879"/>
        <v>#N/A</v>
      </c>
      <c r="JU258" s="218" t="e">
        <f t="shared" ca="1" si="772"/>
        <v>#N/A</v>
      </c>
      <c r="JV258" s="218" t="e">
        <f t="shared" ca="1" si="773"/>
        <v>#N/A</v>
      </c>
      <c r="JW258" s="216" t="e">
        <f t="shared" ca="1" si="774"/>
        <v>#N/A</v>
      </c>
      <c r="JX258" s="91" t="e">
        <f t="shared" ca="1" si="775"/>
        <v>#N/A</v>
      </c>
      <c r="JY258" s="218" t="e">
        <f t="shared" ca="1" si="776"/>
        <v>#N/A</v>
      </c>
      <c r="JZ258" s="217" t="e">
        <f ca="1">IF(Control!$C$114=1,($IZ258/(IF($JI258&lt;&gt;0,$JI258,1)))*$JK258, 0)</f>
        <v>#N/A</v>
      </c>
      <c r="KA258" s="218" t="e">
        <f t="shared" ca="1" si="914"/>
        <v>#N/A</v>
      </c>
      <c r="KB258" s="218" t="e">
        <f t="shared" ca="1" si="880"/>
        <v>#N/A</v>
      </c>
      <c r="KC258" s="218" t="e">
        <f t="shared" ca="1" si="777"/>
        <v>#N/A</v>
      </c>
      <c r="KD258" s="218" t="e">
        <f t="shared" ca="1" si="778"/>
        <v>#N/A</v>
      </c>
      <c r="KE258" s="218" t="e">
        <f t="shared" ca="1" si="779"/>
        <v>#N/A</v>
      </c>
      <c r="KF258" s="218" t="e">
        <f t="shared" ca="1" si="780"/>
        <v>#N/A</v>
      </c>
      <c r="KG258" s="216" t="e">
        <f t="shared" ca="1" si="781"/>
        <v>#N/A</v>
      </c>
      <c r="KH258" s="221" t="e">
        <f ca="1">IF(Control!$B$24=0,1,MAX(0.001,MIN(1,IF(($IF258-$IE258)&lt;&gt;0,($KG258-$IE258)/($IF258-$IE258),1))))</f>
        <v>#N/A</v>
      </c>
      <c r="KI258" s="222" t="e">
        <f ca="1">IF(Control!$C$114=1, $KI257+ $KH257, 0)</f>
        <v>#N/A</v>
      </c>
      <c r="KJ258" s="217" t="e">
        <f t="shared" ca="1" si="782"/>
        <v>#N/A</v>
      </c>
      <c r="KK258" s="218" t="e">
        <f t="shared" ca="1" si="783"/>
        <v>#N/A</v>
      </c>
      <c r="KL258" s="274" t="e">
        <f ca="1">IF(Control!$B$26=3,4000000000*EXP(-8400/($G258+273)),IF(Control!$B$26=4,4000000000*EXP(-8400/($G258+273))*($KT258),0))</f>
        <v>#DIV/0!</v>
      </c>
      <c r="KM258" s="274" t="e">
        <f ca="1">IF(Control!$B$26=3,5600000000000*EXP(-9800/($G258+273)),IF(Control!$B$26=4,5600000000000*EXP(-9800/($G258+273))*$KT258,0))</f>
        <v>#DIV/0!</v>
      </c>
      <c r="KN258" s="454" t="e">
        <f t="shared" ca="1" si="881"/>
        <v>#DIV/0!</v>
      </c>
      <c r="KO258" s="274" t="e">
        <f t="shared" ca="1" si="882"/>
        <v>#DIV/0!</v>
      </c>
      <c r="KP258" s="454" t="e">
        <f t="shared" ca="1" si="784"/>
        <v>#DIV/0!</v>
      </c>
      <c r="KQ258" s="454" t="e">
        <f t="shared" ca="1" si="785"/>
        <v>#DIV/0!</v>
      </c>
      <c r="KR258" s="454" t="e">
        <f t="shared" ca="1" si="786"/>
        <v>#DIV/0!</v>
      </c>
      <c r="KS258" s="454" t="e">
        <f t="shared" ca="1" si="787"/>
        <v>#DIV/0!</v>
      </c>
      <c r="KT258" s="455" t="e">
        <f t="shared" ca="1" si="788"/>
        <v>#DIV/0!</v>
      </c>
      <c r="KU258" s="456" t="e">
        <f ca="1">IF($CP258-Control!$C$149&lt;0, IF($NT258-0.01&lt;0,0,1),0)</f>
        <v>#N/A</v>
      </c>
      <c r="KV258" s="456" t="e">
        <f ca="1">IF(Control!$C$114=1,MAX(0,MIN(Control!$C$125*$KW258*$GN258,$KW258)))</f>
        <v>#DIV/0!</v>
      </c>
      <c r="KW258" s="456" t="e">
        <f t="shared" ca="1" si="915"/>
        <v>#DIV/0!</v>
      </c>
      <c r="KX258" s="457" t="e">
        <f ca="1">IF($CP258-Control!$C$149&lt;0, IF($MR258-$OM258&lt;0,0,1),0)</f>
        <v>#N/A</v>
      </c>
      <c r="KY258" s="167">
        <f t="shared" ca="1" si="883"/>
        <v>254</v>
      </c>
      <c r="KZ258" s="168">
        <f ca="1">1370*(1+0.033*COS(2*Control!$C$138*$AH258/365))</f>
        <v>1354.9243123008575</v>
      </c>
      <c r="LA258" s="169">
        <f t="shared" ca="1" si="884"/>
        <v>0.98899553029569987</v>
      </c>
      <c r="LB258" s="169">
        <f t="shared" ca="1" si="885"/>
        <v>6.4831743833380015E-2</v>
      </c>
      <c r="LC258" s="169">
        <f ca="1">ACOS(-TAN((2*Control!$B$8/360))*TAN(Calculations!$LB258))</f>
        <v>1.590092762770009</v>
      </c>
      <c r="LD258" s="169">
        <f ca="1">((24*60)/PI())*0.082*$LA258*(($LC258*SIN(Control!$B$8*2*PI()/360))*SIN($LB258)+COS(Control!$B$8*2*PI()/360)*COS($LB258)*SIN($LC258))</f>
        <v>25.850874627713459</v>
      </c>
      <c r="LE258" s="170">
        <f t="shared" ca="1" si="789"/>
        <v>26.039760238357601</v>
      </c>
      <c r="LF258" s="170">
        <f ca="1">SIN(Control!$C$139*Control!$B$8)*SIN($HD258)</f>
        <v>5.2382268586114215E-2</v>
      </c>
      <c r="LG258" s="170">
        <f ca="1">COS(Control!$C$139*Control!$B$8)*COS($HD258)</f>
        <v>0.61429806278571131</v>
      </c>
      <c r="LH258" s="170">
        <f ca="1">12*(1+2*ASIN(MAX(-1,MIN(1,$LF258/$LG258))/Control!$C$138))</f>
        <v>12.65150664775641</v>
      </c>
      <c r="LI258" s="170">
        <f ca="1">12*(1+2*ASIN(MAX(-1,MIN(1,(-SIN(-4*Control!$C$139)+$LF258)/$LG258))/Control!$C$138))</f>
        <v>13.519936971771831</v>
      </c>
      <c r="LJ258" s="168">
        <f ca="1">3600*($LH258*$LF258+24*$LG258*SQRT(1-$LK258*$LK258)/Control!$C$138)</f>
        <v>19218.608745855567</v>
      </c>
      <c r="LK258" s="170">
        <f t="shared" ca="1" si="790"/>
        <v>8.5271746338531088E-2</v>
      </c>
      <c r="LL258" s="170">
        <f t="shared" ca="1" si="791"/>
        <v>0</v>
      </c>
      <c r="LM258" s="171">
        <f ca="1">Control!$C$145*$AB258</f>
        <v>6.6660906138995932E-2</v>
      </c>
      <c r="LN258" s="170">
        <f t="shared" ca="1" si="886"/>
        <v>0.54</v>
      </c>
      <c r="LO258" s="170">
        <f t="shared" ca="1" si="792"/>
        <v>0</v>
      </c>
      <c r="LP258" s="170">
        <f ca="1">Control!$C$140*((($D258+273.16)^4+($E258+273.16)^4)/2)*(0.34-0.14*SQRT($Y258))*(1.35*$AQ258/(0.75*$LD258)-0.35)</f>
        <v>-3.2464704755046001</v>
      </c>
      <c r="LQ258" s="170">
        <f ca="1">Control!$C$140*($G258+273)^4*(0.56-0.079*SQRT($Y258*10))*(0.1+0.9*$LO258)</f>
        <v>1.5241745131704001</v>
      </c>
      <c r="LR258" s="170">
        <f ca="1">$AQ258*(1-Control!$C$142)-$LQ258</f>
        <v>-1.5241745131704001</v>
      </c>
      <c r="LS258" s="170">
        <f ca="1">$AQ258*(1-Control!$C$143)-$LQ258</f>
        <v>-1.5241745131704001</v>
      </c>
      <c r="LT258" s="170">
        <f ca="1">$AQ258*(1-Control!$C$144)-$LQ258</f>
        <v>-1.5241745131704001</v>
      </c>
      <c r="LU258" s="169">
        <f ca="1">(1-Control!$C$144)*AQ258-LP258</f>
        <v>3.2464704755046001</v>
      </c>
      <c r="LV258" s="172">
        <f t="shared" ca="1" si="793"/>
        <v>0.79430000000000012</v>
      </c>
      <c r="LW258" s="170">
        <f t="shared" ca="1" si="794"/>
        <v>1.5886000000000002</v>
      </c>
      <c r="LX258" s="170">
        <f ca="1">($AC258*($LR258/Control!$C$141)+$LM258*$LV258)/($AC258+$LM258)</f>
        <v>0.23530094218323697</v>
      </c>
      <c r="LY258" s="170">
        <f ca="1">($AC258*($LS258/Control!$C$141)+$LM258*$LV258)/($AC258+$LM258)</f>
        <v>0.23530094218323697</v>
      </c>
      <c r="LZ258" s="170">
        <f t="shared" ca="1" si="795"/>
        <v>0.23530094218323697</v>
      </c>
      <c r="MA258" s="170">
        <f t="shared" ca="1" si="796"/>
        <v>0.23530094218323697</v>
      </c>
      <c r="MB258" s="170" t="e">
        <f t="shared" ca="1" si="797"/>
        <v>#N/A</v>
      </c>
      <c r="MC258" s="170">
        <f t="shared" ca="1" si="887"/>
        <v>0.6018</v>
      </c>
      <c r="MD258" s="170">
        <f t="shared" ca="1" si="798"/>
        <v>0.52989392535414004</v>
      </c>
      <c r="ME258" s="170">
        <f ca="1">($AC258*($LT258/Control!$C$141)+$LM258*$LW258)/($AC258+$LM258)</f>
        <v>0.71612369323045078</v>
      </c>
      <c r="MF258" s="170" t="e">
        <f ca="1">IF(Control!$B$16&gt;=1000,0.92,IF(AND(720&lt;=Control!$B$16,1000&gt;Control!$B$16),(0.95+(Control!$B$16-720)*((0.92-0.95)/(1000-720))),IF(AND(360&lt;=Control!$B$16,720&gt;Control!$B$16),(1+(Control!$B$16-360)*((0.95-1)/(720-360))),IF(AND(40&lt;=Control!$B$16,360&gt;Control!$B$16),(1.05+(Control!$B$16-40)*((1.05-1)/(360-40)))))))</f>
        <v>#N/A</v>
      </c>
      <c r="MG258" s="170">
        <f t="shared" ca="1" si="799"/>
        <v>0.71612369323045078</v>
      </c>
      <c r="MH258" s="170" t="e">
        <f t="shared" ca="1" si="926"/>
        <v>#N/A</v>
      </c>
      <c r="MI258" s="170" t="e">
        <f t="shared" ca="1" si="926"/>
        <v>#N/A</v>
      </c>
      <c r="MJ258" s="170" t="e">
        <f ca="1">MAX(0.0001, Control!$C$132*$MI258*$DL258)</f>
        <v>#N/A</v>
      </c>
      <c r="MK258" s="170">
        <f ca="1">1/(0.76+1.5*($MG258/10))-(5-Control!$C$110)*0.1</f>
        <v>1.002845988140797</v>
      </c>
      <c r="ML258" s="173">
        <f ca="1">IF(Control!$C$110&lt;3,$MK258+($MG258-0.6)/(Control!$C$110*(Control!$C$110+3)), MAX(0.1, MIN(0.95,$MK258)))</f>
        <v>0.95</v>
      </c>
      <c r="MM258" s="173">
        <f ca="1">IF(Control!$C$110&lt;3,$MK258+(($MI258/10)-0.6)/(Control!$C$110*(Control!$C$110+3)), MAX(0.1, MIN(0.95,$MK258)))</f>
        <v>0.95</v>
      </c>
      <c r="MN258" s="173">
        <f ca="1">(1-$MM258)*(Control!$C$128-Control!$C$127)+Control!$C$127</f>
        <v>0.16</v>
      </c>
      <c r="MO258" s="170" t="e">
        <f ca="1">MAX(0,MIN(1,($MS258-Control!$C$127)/($MN258-Control!$C$127)))</f>
        <v>#DIV/0!</v>
      </c>
      <c r="MP258" s="173" t="e">
        <f ca="1">1/(0.76+1.5*$MI258)-(5-Control!$C$110)*0.1</f>
        <v>#N/A</v>
      </c>
      <c r="MQ258" s="172" t="e">
        <f t="shared" ca="1" si="916"/>
        <v>#DIV/0!</v>
      </c>
      <c r="MR258" s="168" t="e">
        <f t="shared" ca="1" si="888"/>
        <v>#DIV/0!</v>
      </c>
      <c r="MS258" s="173" t="e">
        <f ca="1">MAX(Control!$C$127, MIN(Control!$C$135, $MR258/MAX(0.0001,$CY258)))</f>
        <v>#DIV/0!</v>
      </c>
      <c r="MT258" s="168" t="e">
        <f ca="1">(Control!$C$128-$MS258)*Control!$C$74</f>
        <v>#DIV/0!</v>
      </c>
      <c r="MU258" s="168" t="e">
        <f ca="1">(Control!$C$135-$MS258)*Control!$C$74</f>
        <v>#DIV/0!</v>
      </c>
      <c r="MV258" s="168" t="e">
        <f t="shared" ca="1" si="889"/>
        <v>#DIV/0!</v>
      </c>
      <c r="MW258" s="168" t="e">
        <f t="shared" ca="1" si="890"/>
        <v>#DIV/0!</v>
      </c>
      <c r="MX258" s="171" t="e">
        <f ca="1">MAX(Control!$C$127, MIN(Control!$C$135, $MW258/MAX(0.0001,Control!$C$119-$CY258)))</f>
        <v>#DIV/0!</v>
      </c>
      <c r="MY258" s="54" t="e">
        <f ca="1">IF(Control!$C$114=1, $CX258*$MX258, 0)</f>
        <v>#DIV/0!</v>
      </c>
      <c r="MZ258" s="54" t="e">
        <f t="shared" ca="1" si="891"/>
        <v>#N/A</v>
      </c>
      <c r="NA258" s="168" t="e">
        <f ca="1">(Control!$C$128-$MX258)*(Control!$C$119-Control!$C$74)</f>
        <v>#DIV/0!</v>
      </c>
      <c r="NB258" s="168" t="e">
        <f ca="1">(Control!$C$135-$MX258)*(Control!$C$119-Control!$C$74)</f>
        <v>#DIV/0!</v>
      </c>
      <c r="NC258" s="174" t="e">
        <f t="shared" ca="1" si="892"/>
        <v>#DIV/0!</v>
      </c>
      <c r="ND258" s="54">
        <f ca="1">IF(Control!$C$58=2, IF(OR(Control!$B$218=$AH258,Control!$B$219=$AH258, Control!$B$220=$AH258, Control!$B$221=$AH258, Control!$B$222=$AH258, Control!$B$223=$AH258, Control!$B$224=$AH258, Control!$B$225=$AH258, Control!$B$226=$AH258, Control!$B$227=$AH258, Control!$B$228=$AH258), 1, 0), 0)</f>
        <v>0</v>
      </c>
      <c r="NE258" s="54">
        <f ca="1">IF($ND258=0,0, VLOOKUP($AH258,Control!$B$218:$C$228,2))</f>
        <v>0</v>
      </c>
      <c r="NF258" s="168" t="e">
        <f ca="1">$CY258*(Control!$C$128-Control!$C$127)</f>
        <v>#N/A</v>
      </c>
      <c r="NG258" s="54" t="e">
        <f ca="1">IF(Control!$C$58=2, $NI257-$NJ257, 0)</f>
        <v>#DIV/0!</v>
      </c>
      <c r="NH258" s="54" t="e">
        <f ca="1">IF(AND(Control!$C$58=1, $MS257&lt;= ($MN257+0.02), $I257&lt;10), 0, IF(Control!$C$58=2, $NG257, 0))</f>
        <v>#DIV/0!</v>
      </c>
      <c r="NI258" s="54" t="e">
        <f ca="1">IF(Control!$C$58=2, $NE258+$NH258,0)</f>
        <v>#DIV/0!</v>
      </c>
      <c r="NJ258" s="54" t="e">
        <f ca="1">IF(AND(Control!$C$58=1, $MS258&lt;= ($MN258+0.02), $I258&lt;10), MAX(0, MIN(10, 0.7*($NF258-$MV258))), IF(Control!$C$58=2, MIN(10,$NI258),0))</f>
        <v>#DIV/0!</v>
      </c>
      <c r="NK258" s="54" t="e">
        <f t="shared" ca="1" si="800"/>
        <v>#DIV/0!</v>
      </c>
      <c r="NL258" s="173" t="e">
        <f ca="1">(1-Control!$C$73)*$I258+$NJ258</f>
        <v>#DIV/0!</v>
      </c>
      <c r="NM258" s="172" t="e">
        <f ca="1">IF($NL258&lt;0.5, $MB258* MAX(0, MIN(1, (SQRT($NC258)-SQRT($NC258-1))*Control!$C$71)),0)</f>
        <v>#DIV/0!</v>
      </c>
      <c r="NN258" s="170" t="e">
        <f ca="1">IF($NL258&gt;=5, $MB258, MAX(0,MIN($MB258, $NM258+$NL258,($MS258-Control!$C$129))))</f>
        <v>#DIV/0!</v>
      </c>
      <c r="NO258" s="54">
        <f>IF(Control!$C$133&lt;&gt;1, Control!$C$135-Control!$C$131, 0)</f>
        <v>0.38</v>
      </c>
      <c r="NP258" s="54" t="e">
        <f t="shared" ca="1" si="801"/>
        <v>#DIV/0!</v>
      </c>
      <c r="NQ258" s="173" t="e">
        <f ca="1">MAX(0,MIN(1,(Control!$C$135-$MS258)/(Control!$C$135-$NO258)))</f>
        <v>#DIV/0!</v>
      </c>
      <c r="NR258" s="170" t="e">
        <f ca="1">IF(Control!$C$133&lt;&gt;1, $NQ258+((1-$NP258/4)*(1-$NQ258)),1)</f>
        <v>#DIV/0!</v>
      </c>
      <c r="NS258" s="170" t="e">
        <f ca="1">IF(Control!$B$31=0,$MJ258,MAX(0,MIN($MV258,$MO258*$NR258*$MJ258)))</f>
        <v>#DIV/0!</v>
      </c>
      <c r="NT258" s="170" t="e">
        <f t="shared" ca="1" si="917"/>
        <v>#DIV/0!</v>
      </c>
      <c r="NU258" s="170" t="e">
        <f t="shared" ca="1" si="893"/>
        <v>#N/A</v>
      </c>
      <c r="NV258" s="170" t="e">
        <f t="shared" ca="1" si="802"/>
        <v>#N/A</v>
      </c>
      <c r="NW258" s="175" t="e">
        <f t="shared" ca="1" si="803"/>
        <v>#DIV/0!</v>
      </c>
      <c r="NX258" s="170" t="e">
        <f ca="1">MIN(Control!$C$72+$MU258, $NW258)</f>
        <v>#DIV/0!</v>
      </c>
      <c r="NY258" s="170" t="e">
        <f ca="1">IF($MT258&lt;=$NX258,MIN(Control!$C$72+$NB258,$NX258-$MT258),0)</f>
        <v>#DIV/0!</v>
      </c>
      <c r="NZ258" s="54" t="e">
        <f ca="1">IF(Control!$C$114=1,  $CX258*($MX258-Control!$C$127), 0)</f>
        <v>#DIV/0!</v>
      </c>
      <c r="OA258" s="170" t="e">
        <f t="shared" ca="1" si="804"/>
        <v>#DIV/0!</v>
      </c>
      <c r="OB258" s="170" t="e">
        <f ca="1">IF($NA258 &lt;=$NY258, MIN(Control!$C$72, $NY258-$NA258), 0)</f>
        <v>#DIV/0!</v>
      </c>
      <c r="OC258" s="168" t="e">
        <f t="shared" ca="1" si="805"/>
        <v>#DIV/0!</v>
      </c>
      <c r="OD258" s="168" t="e">
        <f t="shared" ca="1" si="894"/>
        <v>#DIV/0!</v>
      </c>
      <c r="OE258" s="170">
        <f ca="1">Control!$C$73*$I258</f>
        <v>0</v>
      </c>
      <c r="OF258" s="176" t="e">
        <f t="shared" ca="1" si="806"/>
        <v>#DIV/0!</v>
      </c>
      <c r="OG258" s="168" t="e">
        <f t="shared" ca="1" si="807"/>
        <v>#DIV/0!</v>
      </c>
      <c r="OH258" s="168" t="e">
        <f t="shared" ca="1" si="808"/>
        <v>#DIV/0!</v>
      </c>
      <c r="OI258" s="168" t="e">
        <f t="shared" ca="1" si="809"/>
        <v>#DIV/0!</v>
      </c>
      <c r="OJ258" s="168" t="e">
        <f t="shared" ca="1" si="810"/>
        <v>#DIV/0!</v>
      </c>
      <c r="OK258" s="204" t="e">
        <f t="shared" ca="1" si="811"/>
        <v>#DIV/0!</v>
      </c>
      <c r="OL258" s="177">
        <f>Control!$C$127</f>
        <v>0.15</v>
      </c>
      <c r="OM258" s="182" t="e">
        <f t="shared" ca="1" si="812"/>
        <v>#N/A</v>
      </c>
      <c r="ON258" s="177">
        <f>Control!$C$128</f>
        <v>0.35</v>
      </c>
      <c r="OO258" s="182" t="e">
        <f t="shared" ca="1" si="813"/>
        <v>#N/A</v>
      </c>
      <c r="OP258" s="138">
        <f t="shared" ca="1" si="895"/>
        <v>0</v>
      </c>
      <c r="OQ258" s="138" t="e">
        <f t="shared" ca="1" si="918"/>
        <v>#DIV/0!</v>
      </c>
      <c r="OR258" s="138" t="e">
        <f t="shared" ca="1" si="896"/>
        <v>#DIV/0!</v>
      </c>
      <c r="OS258" s="137" t="e">
        <f t="shared" ca="1" si="919"/>
        <v>#DIV/0!</v>
      </c>
      <c r="OT258" s="139" t="e">
        <f t="shared" ca="1" si="920"/>
        <v>#DIV/0!</v>
      </c>
      <c r="OU258" s="138" t="e">
        <f t="shared" ca="1" si="921"/>
        <v>#N/A</v>
      </c>
      <c r="OV258" s="138" t="e">
        <f t="shared" ca="1" si="922"/>
        <v>#DIV/0!</v>
      </c>
      <c r="OW258" s="138" t="e">
        <f t="shared" ca="1" si="897"/>
        <v>#DIV/0!</v>
      </c>
      <c r="OX258" s="138" t="e">
        <f t="shared" ca="1" si="898"/>
        <v>#DIV/0!</v>
      </c>
      <c r="OY258" s="138" t="e">
        <f t="shared" ca="1" si="899"/>
        <v>#DIV/0!</v>
      </c>
      <c r="OZ258" s="138" t="e">
        <f t="shared" ca="1" si="814"/>
        <v>#DIV/0!</v>
      </c>
      <c r="PA258" s="138" t="e">
        <f t="shared" ca="1" si="815"/>
        <v>#DIV/0!</v>
      </c>
      <c r="PB258" s="55">
        <f>IF(Control!$C$61="T", IF(Control!$C$65="F", IF($AH$6-Control!$C$60&lt;0,0,1), IF(365+$AH$6-Control!$C$60&lt;0,0,1)),0)</f>
        <v>0</v>
      </c>
      <c r="PC258" s="55">
        <f ca="1">IF(Control!$C$65="F", IF($AH$6-$HF258&lt;0,0,1), IF(365+$AH$6-$HF258&lt;0,0,1))</f>
        <v>1</v>
      </c>
      <c r="PD258" s="444">
        <f>Control!$C$118</f>
        <v>1500</v>
      </c>
      <c r="PE258" s="180" t="e">
        <f t="shared" ca="1" si="816"/>
        <v>#N/A</v>
      </c>
      <c r="PF258" s="445">
        <f t="shared" ca="1" si="900"/>
        <v>0.71612369323045078</v>
      </c>
      <c r="PT258" s="186"/>
      <c r="PU258" s="186"/>
      <c r="PV258" s="94"/>
      <c r="PW258" s="94"/>
      <c r="PX258" s="94"/>
      <c r="PY258" s="94"/>
      <c r="PZ258" s="94"/>
      <c r="QA258" s="94"/>
      <c r="QB258" s="94"/>
      <c r="QC258" s="94"/>
      <c r="QD258" s="94"/>
      <c r="QE258" s="94"/>
      <c r="QF258" s="94"/>
      <c r="QG258" s="94"/>
      <c r="QH258" s="94"/>
      <c r="QI258" s="94"/>
      <c r="QJ258" s="94"/>
      <c r="QK258" s="94"/>
      <c r="QL258" s="94"/>
      <c r="QM258" s="94"/>
      <c r="QN258" s="94"/>
      <c r="QO258" s="94"/>
      <c r="QP258" s="94"/>
    </row>
    <row r="259" spans="1:458" s="2" customFormat="1" x14ac:dyDescent="0.2">
      <c r="A259" s="395">
        <v>11</v>
      </c>
      <c r="B259" s="396">
        <v>9</v>
      </c>
      <c r="C259" s="387">
        <f ca="1">Weather_data!$B258</f>
        <v>0</v>
      </c>
      <c r="D259" s="388">
        <f ca="1">Weather_data!$F258</f>
        <v>0</v>
      </c>
      <c r="E259" s="388">
        <f ca="1">Weather_data!$E258</f>
        <v>0</v>
      </c>
      <c r="F259" s="388">
        <f t="shared" ca="1" si="817"/>
        <v>0</v>
      </c>
      <c r="G259" s="388">
        <f ca="1">AVERAGE($D259:$E259)+Control!$B$9</f>
        <v>0</v>
      </c>
      <c r="H259" s="388">
        <f ca="1">Weather_data!$G258</f>
        <v>0</v>
      </c>
      <c r="I259" s="388">
        <f ca="1">Weather_data!$I258</f>
        <v>0</v>
      </c>
      <c r="J259" s="388">
        <f ca="1">Weather_data!$H258</f>
        <v>0</v>
      </c>
      <c r="K259" s="389">
        <f ca="1">Weather_data!$D258</f>
        <v>0</v>
      </c>
      <c r="L259" s="388" t="e">
        <f t="shared" ca="1" si="818"/>
        <v>#N/A</v>
      </c>
      <c r="M259" s="388" t="e">
        <f t="shared" ca="1" si="696"/>
        <v>#N/A</v>
      </c>
      <c r="N259" s="388">
        <f t="shared" ca="1" si="697"/>
        <v>-1.3253326359594586E-12</v>
      </c>
      <c r="O259" s="388">
        <f t="shared" ca="1" si="819"/>
        <v>1.3253326359594586E-11</v>
      </c>
      <c r="P259" s="390">
        <v>3</v>
      </c>
      <c r="Q259" s="388">
        <f ca="1">MAX($G259-Control!$C$107,0)</f>
        <v>0</v>
      </c>
      <c r="R259" s="388">
        <f t="shared" ca="1" si="820"/>
        <v>0</v>
      </c>
      <c r="S259" s="388">
        <f t="shared" ca="1" si="698"/>
        <v>0</v>
      </c>
      <c r="T259" s="388">
        <f t="shared" ca="1" si="699"/>
        <v>0</v>
      </c>
      <c r="U259" s="59">
        <f t="shared" ca="1" si="700"/>
        <v>0</v>
      </c>
      <c r="V259" s="391">
        <f ca="1">MAX(0,MIN(Control!$C$100-Control!$C$99,$G259-Control!$C$99)*Control!$C$63)</f>
        <v>0</v>
      </c>
      <c r="W259" s="388">
        <f t="shared" ca="1" si="821"/>
        <v>0</v>
      </c>
      <c r="X259" s="388">
        <f t="shared" ca="1" si="822"/>
        <v>0.6110000000000001</v>
      </c>
      <c r="Y259" s="388">
        <f t="shared" ca="1" si="701"/>
        <v>0</v>
      </c>
      <c r="Z259" s="388">
        <f t="shared" ca="1" si="823"/>
        <v>0.61058800000000002</v>
      </c>
      <c r="AA259" s="388">
        <f t="shared" ca="1" si="702"/>
        <v>0.6018</v>
      </c>
      <c r="AB259" s="388">
        <f ca="1">101.3*EXP(-0.034*Control!$C$66/($G259+273))</f>
        <v>100.69623283836242</v>
      </c>
      <c r="AC259" s="392">
        <f t="shared" ca="1" si="703"/>
        <v>4.3460251046025113E-2</v>
      </c>
      <c r="AD259" s="392">
        <f t="shared" ca="1" si="704"/>
        <v>4.4450382862832649E-2</v>
      </c>
      <c r="AE259" s="388">
        <f t="shared" ca="1" si="705"/>
        <v>0</v>
      </c>
      <c r="AF259" s="388">
        <f ca="1">MAX(0,$G259-Control!$C$92)</f>
        <v>0</v>
      </c>
      <c r="AG259" s="393">
        <f t="shared" ca="1" si="706"/>
        <v>255</v>
      </c>
      <c r="AH259" s="389">
        <f t="shared" ca="1" si="707"/>
        <v>255</v>
      </c>
      <c r="AI259" s="388">
        <f t="shared" ca="1" si="824"/>
        <v>5.9745813178686026E-2</v>
      </c>
      <c r="AJ259" s="388">
        <f ca="1">IF(Control!$C$60&lt;=0,$HH259,$HI259)</f>
        <v>1</v>
      </c>
      <c r="AK259" s="388">
        <f t="shared" ca="1" si="708"/>
        <v>3.012486106181993</v>
      </c>
      <c r="AL259" s="388">
        <f t="shared" ca="1" si="709"/>
        <v>-1.9838800741078799E-18</v>
      </c>
      <c r="AM259" s="388">
        <f t="shared" ca="1" si="710"/>
        <v>3.012486106181993</v>
      </c>
      <c r="AN259" s="388">
        <f t="shared" ca="1" si="711"/>
        <v>5.123844209376157E-2</v>
      </c>
      <c r="AO259" s="388">
        <f ca="1">-0.10453/COS(Control!$B$8*PI()/180)*COS(AN259)</f>
        <v>-0.16956203826766483</v>
      </c>
      <c r="AP259" s="388">
        <f ca="1">ACOS(AO259-TAN(Control!$B$8*PI()/180)*TAN(AN259))</f>
        <v>1.8082224180686404</v>
      </c>
      <c r="AQ259" s="388">
        <f t="shared" ca="1" si="825"/>
        <v>0</v>
      </c>
      <c r="AR259" s="394">
        <f t="shared" ca="1" si="712"/>
        <v>0</v>
      </c>
      <c r="AS259" s="436">
        <f ca="1">IF(Control!$B$18=2,(IF(OR($AH259=Control!$B$175,$AH259=Control!$B$176,$AH259=Control!$B$177,$AH259=Control!$B$178,$AH259=Control!$B$179,$AH259=Control!$B$180,$AH259=Control!$B$181,$AH259=Control!$B$182,$AH259=Control!$B$183,$AH259=Control!$B$184,$AH259=Control!$B$185),1,0)),0)</f>
        <v>0</v>
      </c>
      <c r="AT259" s="436">
        <f>IF(Control!$B$20=8,IF(AND($AH259&gt;=Control!$B$172,$AH259&lt;=Control!$B$173),1,0),0)</f>
        <v>0</v>
      </c>
      <c r="AU259" s="436">
        <f>IF(Control!$B$20=8,IF($AV258=1,1*$AT259,IF($AT259=1,$AU258+1,$AU258)),0)</f>
        <v>0</v>
      </c>
      <c r="AV259" s="436">
        <f>IF(Control!$B$20=8,IF($AU259&gt;=Control!$B$174,1,0),0)</f>
        <v>0</v>
      </c>
      <c r="AW259" s="436">
        <f ca="1">IF(AND(Control!$B$18=2,Control!$B$171=1), $AV259, $AS259)</f>
        <v>0</v>
      </c>
      <c r="AX259" s="436" t="e">
        <f ca="1">IF(AND(Control!$B$18=1,$EU259&gt;=Control!$B$19),-$AY259,IF(AND(Control!$B$18=2,$AW259=1,$EU259&gt;$DS259),-$AY259, IF(Control!$C$108=0,0, IF(Control!$C$108&lt;&gt;0,1))))</f>
        <v>#N/A</v>
      </c>
      <c r="AY259" s="436" t="e">
        <f t="shared" ca="1" si="826"/>
        <v>#N/A</v>
      </c>
      <c r="AZ259" s="436" t="e">
        <f ca="1">IF(AND(Control!$B$18=1,$EB259&gt;Control!$B$19),$AZ258+1, IF(AND(Control!$B$18=2, $AW259=1, $EB259&gt;$DS259), $AZ258+1,$AZ258))</f>
        <v>#N/A</v>
      </c>
      <c r="BA259" s="587">
        <f>IF(Control!$C$81=0,1,IF($AH259&gt;=Control!$C$82,1,0))</f>
        <v>1</v>
      </c>
      <c r="BB259" s="140" t="e">
        <f ca="1">IF($BA259&gt;$BA258,Control!$C$83,IF($AW259&gt;0,$AW259*Control!$C$84,IF(AND(Control!$B$18=1,EN258&lt;&gt;0),Control!$C$84,0)))</f>
        <v>#N/A</v>
      </c>
      <c r="BC259" s="140" t="e">
        <f t="shared" ca="1" si="827"/>
        <v>#N/A</v>
      </c>
      <c r="BD259" s="140" t="e">
        <f ca="1">BC259*IF(OR($G259&lt;Control!$C$92,$G259&gt;Control!$C$95),0,IF(AND($G259&gt;=Control!$C$92,$G259&lt;=Control!$C$93),$G259-Control!$C$92,IF(AND($G259&gt;Control!$C$93,$G259&lt;=Control!$C$94),Control!$C$93-Control!$C$92,IF(AND($G259&gt;Control!$C$94,$G259&lt;=Control!$C$95),(Control!$C$93-Control!$C$92)*(Control!$C$94-$G259)/(Control!$C$95-Control!$C$94)))))</f>
        <v>#N/A</v>
      </c>
      <c r="BE259" s="140" t="e">
        <f t="shared" ca="1" si="828"/>
        <v>#N/A</v>
      </c>
      <c r="BF259" s="140" t="e">
        <f ca="1">IF($BE259&lt;=Control!$C$86,$BE259,Control!$C$86-$BE259)</f>
        <v>#N/A</v>
      </c>
      <c r="BG259" s="140" t="e">
        <f ca="1">IF(AND($AW259=1,Control!$C$84&lt;9),1,IF($BE259&gt;=Control!$C$86,0,$BC259))</f>
        <v>#N/A</v>
      </c>
      <c r="BH259" s="404" t="e">
        <f ca="1">IF($BG259=0,0,IF($BE259&lt;=Control!$C$86,$BC259*9*($BF259/Control!$C$86),0))</f>
        <v>#N/A</v>
      </c>
      <c r="BI259" s="140" t="e">
        <f ca="1">IF($BG259=1,0,IF($BE259&gt;=Control!$C$86,1,IF(AND($BB259&lt;21,$BB259&gt;=9),1,$BM258)))</f>
        <v>#N/A</v>
      </c>
      <c r="BJ259" s="140" t="e">
        <f ca="1">IF($BF259&lt;0,-$BF259,$BI259*IF(OR($G259&lt;Control!$C$92,$G259&gt;Control!$C$95),0,IF(AND($G259&gt;=Control!$C$92,$G259&lt;=Control!$C$93),$G259-Control!$C$92,IF(AND($G259&gt;Control!$C$93,$G259&lt;=Control!$C$94),Control!$C$93-Control!$C$92,IF(AND($G259&gt;Control!$C$94,$G259&lt;=Control!$C$95),(Control!$C$93-Control!$C$92)*(Control!$C$94-$G259)/(Control!$C$95-Control!$C$94))))))</f>
        <v>#N/A</v>
      </c>
      <c r="BK259" s="140" t="e">
        <f t="shared" ca="1" si="829"/>
        <v>#N/A</v>
      </c>
      <c r="BL259" s="140" t="e">
        <f ca="1">IF($BK259&lt;=Control!$C$87,$BK259,Control!$C$87-$BK259)</f>
        <v>#N/A</v>
      </c>
      <c r="BM259" s="140" t="e">
        <f ca="1">IF(AND($BB259&gt;=9,$BB259&lt;21),1,IF($BK259&gt;=Control!$C$87,0,$BI259))</f>
        <v>#N/A</v>
      </c>
      <c r="BN259" s="404" t="e">
        <f ca="1">IF($BM259=0,0,IF($BK259&lt;=Control!$C$87,$BI259*(9+(21-9)*($BL259/Control!$C$87)),0))</f>
        <v>#N/A</v>
      </c>
      <c r="BO259" s="140" t="e">
        <f ca="1">IF($BM259=1,0,IF($BK259&gt;=Control!$C$87,1,IF(AND($BB259&lt;30,$BB259&gt;=21),1,$BS258)))</f>
        <v>#N/A</v>
      </c>
      <c r="BP259" s="140" t="e">
        <f ca="1">IF($BL259&lt;0,-$BL259,$BO259*IF(OR($G259&lt;Control!$C$92,$G259&gt;Control!$C$95),0,IF(AND($G259&gt;=Control!$C$92,$G259&lt;=Control!$C$93),$G259-Control!$C$92,IF(AND($G259&gt;Control!$C$93,$G259&lt;=Control!$C$94),Control!$C$93-Control!$C$92,IF(AND($G259&gt;Control!$C$94,$G259&lt;=Control!$C$95),(Control!$C$93-Control!$C$92)*(Control!$C$94-$G259)/(Control!$C$95-Control!$C$94))))))</f>
        <v>#N/A</v>
      </c>
      <c r="BQ259" s="140" t="e">
        <f t="shared" ca="1" si="713"/>
        <v>#N/A</v>
      </c>
      <c r="BR259" s="140" t="e">
        <f ca="1">IF($BQ259&lt;=Control!$C$88,$BQ259,Control!$C$88-$BQ259)</f>
        <v>#N/A</v>
      </c>
      <c r="BS259" s="140" t="e">
        <f ca="1">IF(AND($BB259&gt;=21,$BB259&lt;30),1,IF($BQ259&gt;=Control!$C$88,0,$BO259))</f>
        <v>#N/A</v>
      </c>
      <c r="BT259" s="404" t="e">
        <f ca="1">IF($BS259=0,0,IF($BQ259&lt;=Control!$C$88,$BO259*(21+(30-21)*(BR259/Control!$C$88)),0))</f>
        <v>#N/A</v>
      </c>
      <c r="BU259" s="140" t="e">
        <f ca="1">IF(BG259+BM259+BS259=1,0,IF(OR(AND($BB259&lt;60,$BB259&gt;=30),$BQ259&gt;=Control!$C$88),1*$BA259,$BY258))</f>
        <v>#N/A</v>
      </c>
      <c r="BV259" s="140" t="e">
        <f ca="1">IF($BR259&lt;0,-$BR259,$BU259*IF(OR($G259&lt;Control!$C$92,$G259&gt;Control!$C$95),0,IF(AND($G259&gt;=Control!$C$92,$G259&lt;=Control!$C$93),$G259-Control!$C$92,IF(AND($G259&gt;Control!$C$93,$G259&lt;=Control!$C$94),Control!$C$93-Control!$C$92,IF(AND($G259&gt;Control!$C$94,$G259&lt;=Control!$C$95),(Control!$C$93-Control!$C$92)*(Control!$C$94-$G259)/(Control!$C$95-Control!$C$94))))))</f>
        <v>#N/A</v>
      </c>
      <c r="BW259" s="140" t="e">
        <f t="shared" ca="1" si="714"/>
        <v>#N/A</v>
      </c>
      <c r="BX259" s="140" t="e">
        <f ca="1">IF($BW259&lt;=Control!$C$89,$BW259,Control!$C$89-$BW259)</f>
        <v>#N/A</v>
      </c>
      <c r="BY259" s="140" t="e">
        <f ca="1">IF(AND($AJ259&gt;=30,$AJ259&lt;60),1,IF($BW259&gt;=Control!$C$89,0,$BU259))</f>
        <v>#N/A</v>
      </c>
      <c r="BZ259" s="404" t="e">
        <f ca="1">IF($BY259=0,0,IF($BW259&lt;=Control!$C$89,$BU259*(30+(60-30)*(BX259/Control!$C$89)),0))</f>
        <v>#N/A</v>
      </c>
      <c r="CA259" s="140" t="e">
        <f ca="1">IF($BG259+$BM259+$BS259+$BY259=1,0,IF(OR(AND($BB259&lt;65,$BB259&gt;=60),$BW259&gt;=Control!$C$89),1*$BA259,$CE258))</f>
        <v>#N/A</v>
      </c>
      <c r="CB259" s="140" t="e">
        <f ca="1">IF($BX259&lt;0,-$BX259,$CA259*IF(OR($G259&lt;Control!$C$92,$G259&gt;Control!$C$95),0,IF(AND($G259&gt;=Control!$C$92,$G259&lt;=Control!$C$93),$G259-Control!$C$92,IF(AND($G259&gt;Control!$C$93,$G259&lt;=Control!$C$94),Control!$C$93-Control!$C$92,IF(AND($G259&gt;Control!$C$94,$G259&lt;=Control!$C$95),(Control!$C$93-Control!$C$92)*(Control!$C$94-$G259)/(Control!$C$95-Control!$C$94))))))</f>
        <v>#N/A</v>
      </c>
      <c r="CC259" s="140" t="e">
        <f t="shared" ca="1" si="830"/>
        <v>#N/A</v>
      </c>
      <c r="CD259" s="140" t="e">
        <f ca="1">IF($CC259&lt;=Control!$C$90,$CC259,Control!$C$90-$CC259)</f>
        <v>#N/A</v>
      </c>
      <c r="CE259" s="140" t="e">
        <f ca="1">IF(AND($BB259&gt;=60,$BB259&lt;65),1,IF($CC259&gt;=Control!$C$90,0,$CA259))</f>
        <v>#N/A</v>
      </c>
      <c r="CF259" s="404" t="e">
        <f ca="1">IF($CE259=0,0,IF($CC259&lt;=Control!$C$90,$CA259*(60+(65-60)*(CD259/Control!$C$90)),0))</f>
        <v>#N/A</v>
      </c>
      <c r="CG259" s="140" t="e">
        <f ca="1">IF($BG259+$BM259+$BS259+$BY259+$CE259=1,0,IF(OR(AND($BB259&lt;90,$BB259&gt;=65),$CC259&gt;=Control!$C$90),$BA259,$CK258))</f>
        <v>#N/A</v>
      </c>
      <c r="CH259" s="140" t="e">
        <f ca="1">IF($CD259&lt;0,-$CD259,$CG259*IF(OR($G259&lt;Control!$C$92,$G259&gt;Control!$C$95),0,IF(AND($G259&gt;=Control!$C$92,$G259&lt;=Control!$C$93),$G259-Control!$C$92,IF(AND($G259&gt;Control!$C$93,$G259&lt;=Control!$C$94),Control!$C$93-Control!$C$92,IF(AND($G259&gt;Control!$C$94,$G259&lt;=Control!$C$95),(Control!$C$93-Control!$C$92)*(Control!$C$94-$G259)/(Control!$C$95-Control!$C$94))))))</f>
        <v>#N/A</v>
      </c>
      <c r="CI259" s="140" t="e">
        <f t="shared" ca="1" si="831"/>
        <v>#N/A</v>
      </c>
      <c r="CJ259" s="140" t="e">
        <f ca="1">IF($CI259&lt;=Control!$C$91,$CI259,Control!$C$91-$CI259)</f>
        <v>#N/A</v>
      </c>
      <c r="CK259" s="140" t="e">
        <f ca="1">IF(AND($BB259&gt;=65,$BB259&lt;90),1,IF($CI259&gt;=Control!$C$91,0,$CG259))</f>
        <v>#N/A</v>
      </c>
      <c r="CL259" s="404" t="e">
        <f ca="1">IF($CK259=0,0,IF($CI259&lt;=Control!$C$91,$CG259*(65+(90-65)*($CJ259/Control!$C$91)),0))</f>
        <v>#N/A</v>
      </c>
      <c r="CM259" s="140" t="e">
        <f ca="1">IF($BG259+$BM259+$BS259+$BY259+$CE259+$CK259=1,0,IF(OR($BB259&gt;=90,$CI259&gt;=Control!$C$91),$BA259,$CM258))</f>
        <v>#N/A</v>
      </c>
      <c r="CN259" s="140" t="e">
        <f t="shared" ca="1" si="832"/>
        <v>#N/A</v>
      </c>
      <c r="CO259" s="140" t="e">
        <f t="shared" ca="1" si="833"/>
        <v>#N/A</v>
      </c>
      <c r="CP259" s="140" t="e">
        <f t="shared" ca="1" si="834"/>
        <v>#N/A</v>
      </c>
      <c r="CQ259" s="141" t="e">
        <f ca="1">VLOOKUP($CP259,Control!$B$86:$G$91,6)</f>
        <v>#N/A</v>
      </c>
      <c r="CR259" s="141" t="e">
        <f ca="1">(1-$CQ259)*VLOOKUP($CP259,Control!$B$86:$D$91,3)</f>
        <v>#N/A</v>
      </c>
      <c r="CS259" s="141" t="e">
        <f ca="1">(1-$CQ259)*VLOOKUP($CP259,Control!$B$86:$E$91,4)</f>
        <v>#N/A</v>
      </c>
      <c r="CT259" s="141" t="e">
        <f ca="1">(1-$CQ259)*VLOOKUP($CP259,Control!$B$86:$F$91,5)</f>
        <v>#N/A</v>
      </c>
      <c r="CU259" s="141">
        <f t="shared" ca="1" si="835"/>
        <v>0</v>
      </c>
      <c r="CV259" s="583">
        <f t="shared" ca="1" si="836"/>
        <v>0</v>
      </c>
      <c r="CW259" s="142">
        <f t="shared" ca="1" si="837"/>
        <v>255</v>
      </c>
      <c r="CX259" s="612" t="e">
        <f ca="1">IF(Control!$C$114=1,(MIN(Control!$C$120*(IF($NT259-0.01&lt;0,0,1)),Control!$C$119-$CY259)))</f>
        <v>#DIV/0!</v>
      </c>
      <c r="CY259" s="143" t="e">
        <f t="shared" ca="1" si="838"/>
        <v>#N/A</v>
      </c>
      <c r="CZ259" s="144">
        <f t="shared" ca="1" si="715"/>
        <v>0</v>
      </c>
      <c r="DA259" s="144">
        <f t="shared" ca="1" si="716"/>
        <v>0</v>
      </c>
      <c r="DB259" s="144" t="e">
        <f t="shared" ca="1" si="717"/>
        <v>#N/A</v>
      </c>
      <c r="DC259" s="144" t="e">
        <f t="shared" ca="1" si="718"/>
        <v>#N/A</v>
      </c>
      <c r="DD259" s="144" t="e">
        <f t="shared" ca="1" si="923"/>
        <v>#N/A</v>
      </c>
      <c r="DE259" s="143" t="e">
        <f t="shared" ca="1" si="839"/>
        <v>#N/A</v>
      </c>
      <c r="DF259" s="145" t="e">
        <f ca="1">$DR259*EXP(-Control!$C$158*(1-$KH259))</f>
        <v>#N/A</v>
      </c>
      <c r="DG259" s="146" t="e">
        <f ca="1">IF(Control!$C$114=1, $DF259*$EY259, 0)</f>
        <v>#N/A</v>
      </c>
      <c r="DH259" s="147" t="e">
        <f t="shared" ca="1" si="840"/>
        <v>#N/A</v>
      </c>
      <c r="DI259" s="144" t="e">
        <f t="shared" ca="1" si="901"/>
        <v>#N/A</v>
      </c>
      <c r="DJ259" s="147" t="e">
        <f ca="1">$EF259*Control!$C$109</f>
        <v>#N/A</v>
      </c>
      <c r="DK259" s="144" t="e">
        <f t="shared" ca="1" si="841"/>
        <v>#N/A</v>
      </c>
      <c r="DL259" s="144" t="e">
        <f t="shared" ca="1" si="719"/>
        <v>#N/A</v>
      </c>
      <c r="DM259" s="144" t="e">
        <f ca="1">IF(Control!$C$114=1, (1-EXP(-Control!$C$96*$DK259))*$AR259, 0)</f>
        <v>#N/A</v>
      </c>
      <c r="DN259" s="144">
        <f t="shared" ca="1" si="842"/>
        <v>0</v>
      </c>
      <c r="DO259" s="148">
        <f>Control!$C$97</f>
        <v>4</v>
      </c>
      <c r="DP259" s="145" t="e">
        <f t="shared" ca="1" si="843"/>
        <v>#N/A</v>
      </c>
      <c r="DQ259" s="145" t="e">
        <f ca="1">IF(AND($CP259&gt;=0,$CP259&lt;=90),Control!$C$111,Control!$C$111)</f>
        <v>#N/A</v>
      </c>
      <c r="DR259" s="145" t="e">
        <f t="shared" ca="1" si="720"/>
        <v>#N/A</v>
      </c>
      <c r="DS259" s="143" t="e">
        <f ca="1">Control!$B$22/$DR259</f>
        <v>#N/A</v>
      </c>
      <c r="DT259" s="149" t="e">
        <f ca="1">IF(AND(Control!$C$114=1,$KH259&lt;1),$IM259*$DF259, 0)</f>
        <v>#N/A</v>
      </c>
      <c r="DU259" s="144" t="e">
        <f t="shared" ca="1" si="844"/>
        <v>#N/A</v>
      </c>
      <c r="DV259" s="144">
        <f ca="1">IF($G259-Control!$C$107&lt;=0, 0, 0.83*LN(MAX($G259, 3))-0.8924)</f>
        <v>0</v>
      </c>
      <c r="DW259" s="144" t="e">
        <f t="shared" ca="1" si="721"/>
        <v>#N/A</v>
      </c>
      <c r="DX259" s="150" t="e">
        <f ca="1">MAX(0.01*(1+$CU259/Control!$C$102),0.05*($DK259-Control!$C$97)/Control!$C$97)</f>
        <v>#N/A</v>
      </c>
      <c r="DY259" s="151" t="e">
        <f ca="1">IF(Control!$C$114=1, $DI259*$FS259, 0)</f>
        <v>#N/A</v>
      </c>
      <c r="DZ259" s="196" t="e">
        <f t="shared" ca="1" si="845"/>
        <v>#N/A</v>
      </c>
      <c r="EA259" s="152">
        <f t="shared" ca="1" si="846"/>
        <v>255</v>
      </c>
      <c r="EB259" s="153" t="e">
        <f t="shared" ca="1" si="847"/>
        <v>#N/A</v>
      </c>
      <c r="EC259" s="153" t="e">
        <f t="shared" ca="1" si="848"/>
        <v>#N/A</v>
      </c>
      <c r="ED259" s="154" t="e">
        <f ca="1">IF(Control!$C$114=1, $HM259*$FY259-$FD259, 0)</f>
        <v>#DIV/0!</v>
      </c>
      <c r="EE259" s="155" t="e">
        <f ca="1">IF(Control!$C$114=1, $HM259*$FZ259-$FF259, 0)</f>
        <v>#DIV/0!</v>
      </c>
      <c r="EF259" s="153" t="e">
        <f t="shared" ca="1" si="902"/>
        <v>#N/A</v>
      </c>
      <c r="EG259" s="155" t="e">
        <f ca="1">IF(Control!$C$114=1, $GX259*$FW259-$FI259, 0)</f>
        <v>#DIV/0!</v>
      </c>
      <c r="EH259" s="153" t="e">
        <f t="shared" ca="1" si="849"/>
        <v>#N/A</v>
      </c>
      <c r="EI259" s="156" t="e">
        <f t="shared" ca="1" si="850"/>
        <v>#N/A</v>
      </c>
      <c r="EJ259" s="155" t="e">
        <f ca="1">IF(Control!$C$114=1, $HM259*$GB259, 0)</f>
        <v>#DIV/0!</v>
      </c>
      <c r="EK259" s="153" t="e">
        <f t="shared" ca="1" si="903"/>
        <v>#N/A</v>
      </c>
      <c r="EL259" s="153" t="e">
        <f t="shared" ca="1" si="722"/>
        <v>#N/A</v>
      </c>
      <c r="EM259" s="153" t="e">
        <f t="shared" ca="1" si="723"/>
        <v>#N/A</v>
      </c>
      <c r="EN259" s="153" t="e">
        <f ca="1">IF(Control!$C$108=1,IF(AND(Control!$B$18=1,$EB259&gt;=Control!$B$19),$EB259-$DS259,IF(AND(Control!$B$18=2,$AW259=1,$EB259&gt;$DS259),$EB259-$DS259,0)))</f>
        <v>#N/A</v>
      </c>
      <c r="EO259" s="153" t="e">
        <f ca="1">IF(Control!$C$108=1,IF(AND(Control!$B$18=1,$EB259&gt;=Control!$B$19),$EF259,IF(AND(Control!$B$18=2,$AW259=1),$EF259,0)))</f>
        <v>#N/A</v>
      </c>
      <c r="EP259" s="153" t="e">
        <f ca="1">IF(Control!$C$108=1,IF(AND(Control!$B$18=1,$EB259&gt;=Control!$B$19),$EK259,IF(AND(Control!$B$18=2,$AW259=1),$EK259,0)))</f>
        <v>#N/A</v>
      </c>
      <c r="EQ259" s="153" t="e">
        <f t="shared" ca="1" si="851"/>
        <v>#N/A</v>
      </c>
      <c r="ER259" s="153" t="e">
        <f t="shared" ca="1" si="852"/>
        <v>#N/A</v>
      </c>
      <c r="ES259" s="153" t="e">
        <f t="shared" ca="1" si="904"/>
        <v>#N/A</v>
      </c>
      <c r="ET259" s="153" t="e">
        <f t="shared" ca="1" si="905"/>
        <v>#N/A</v>
      </c>
      <c r="EU259" s="153" t="e">
        <f t="shared" ca="1" si="853"/>
        <v>#N/A</v>
      </c>
      <c r="EV259" s="153" t="e">
        <f t="shared" ca="1" si="724"/>
        <v>#N/A</v>
      </c>
      <c r="EW259" s="153" t="e">
        <f t="shared" ca="1" si="725"/>
        <v>#N/A</v>
      </c>
      <c r="EX259" s="153" t="e">
        <f t="shared" ca="1" si="726"/>
        <v>#N/A</v>
      </c>
      <c r="EY259" s="157" t="e">
        <f t="shared" ca="1" si="727"/>
        <v>#DIV/0!</v>
      </c>
      <c r="EZ259" s="154" t="e">
        <f t="shared" ca="1" si="728"/>
        <v>#DIV/0!</v>
      </c>
      <c r="FA259" s="153" t="e">
        <f t="shared" ca="1" si="854"/>
        <v>#N/A</v>
      </c>
      <c r="FB259" s="153" t="e">
        <f t="shared" ca="1" si="729"/>
        <v>#N/A</v>
      </c>
      <c r="FC259" s="193" t="e">
        <f t="shared" ca="1" si="730"/>
        <v>#N/A</v>
      </c>
      <c r="FD259" s="158" t="e">
        <f t="shared" ca="1" si="855"/>
        <v>#N/A</v>
      </c>
      <c r="FE259" s="158" t="e">
        <f t="shared" ca="1" si="856"/>
        <v>#N/A</v>
      </c>
      <c r="FF259" s="159" t="e">
        <f t="shared" ca="1" si="731"/>
        <v>#N/A</v>
      </c>
      <c r="FG259" s="160" t="e">
        <f t="shared" ca="1" si="857"/>
        <v>#N/A</v>
      </c>
      <c r="FH259" s="158" t="e">
        <f t="shared" ca="1" si="858"/>
        <v>#N/A</v>
      </c>
      <c r="FI259" s="159" t="e">
        <f t="shared" ca="1" si="732"/>
        <v>#N/A</v>
      </c>
      <c r="FJ259" s="160" t="e">
        <f t="shared" ca="1" si="859"/>
        <v>#N/A</v>
      </c>
      <c r="FK259" s="160" t="e">
        <f t="shared" ca="1" si="733"/>
        <v>#N/A</v>
      </c>
      <c r="FL259" s="160" t="e">
        <f t="shared" ca="1" si="906"/>
        <v>#N/A</v>
      </c>
      <c r="FM259" s="160" t="e">
        <f t="shared" ca="1" si="734"/>
        <v>#N/A</v>
      </c>
      <c r="FN259" s="158">
        <f t="shared" ca="1" si="860"/>
        <v>0.01</v>
      </c>
      <c r="FO259" s="160">
        <f>Control!$C$101</f>
        <v>50</v>
      </c>
      <c r="FP259" s="150" t="e">
        <f t="shared" ca="1" si="735"/>
        <v>#N/A</v>
      </c>
      <c r="FQ259" s="150" t="e">
        <f ca="1">MAX(0,(Control!$C$112*(($DK259-Control!$C$97)/Control!$C$97)))</f>
        <v>#N/A</v>
      </c>
      <c r="FR259" s="150" t="e">
        <f ca="1">(1-$NT259)*Control!$C$113</f>
        <v>#DIV/0!</v>
      </c>
      <c r="FS259" s="198" t="e">
        <f t="shared" ca="1" si="736"/>
        <v>#N/A</v>
      </c>
      <c r="FT259" s="161">
        <f t="shared" ca="1" si="861"/>
        <v>255</v>
      </c>
      <c r="FU259" s="162" t="e">
        <f ca="1">IF(Control!$B$34=1,VLOOKUP($CP259,Control!$B$86:$G$91,6),Control!$B$35)</f>
        <v>#N/A</v>
      </c>
      <c r="FV259" s="162" t="e">
        <f t="shared" ca="1" si="737"/>
        <v>#DIV/0!</v>
      </c>
      <c r="FW259" s="162" t="e">
        <f ca="1">IF(Control!$B$31=1,$FU259*$FV259,  $FU259)</f>
        <v>#N/A</v>
      </c>
      <c r="FX259" s="162" t="e">
        <f ca="1">IF(Control!$B$34=1,VLOOKUP($CP259,Control!$B$86:$G$91,3),Control!$B$36)</f>
        <v>#N/A</v>
      </c>
      <c r="FY259" s="162" t="e">
        <f t="shared" ca="1" si="738"/>
        <v>#N/A</v>
      </c>
      <c r="FZ259" s="162" t="e">
        <f ca="1">IF(Control!$B$34=1,VLOOKUP($CP259,Control!$B$86:$G$91,4),Control!$B$37)</f>
        <v>#N/A</v>
      </c>
      <c r="GA259" s="162" t="e">
        <f t="shared" ca="1" si="739"/>
        <v>#N/A</v>
      </c>
      <c r="GB259" s="162" t="e">
        <f ca="1">IF(Control!$B$34=1,VLOOKUP($CP259,Control!$B$86:$G$91,5),Control!$B$38)</f>
        <v>#N/A</v>
      </c>
      <c r="GC259" s="162" t="e">
        <f t="shared" ca="1" si="862"/>
        <v>#N/A</v>
      </c>
      <c r="GD259" s="162">
        <f t="shared" ca="1" si="740"/>
        <v>1</v>
      </c>
      <c r="GE259" s="162">
        <f t="shared" ca="1" si="741"/>
        <v>1</v>
      </c>
      <c r="GF259" s="162">
        <f ca="1">IF(AND(Control!$C$104=1, Control!$C$62="F"),$GE259,1)</f>
        <v>1</v>
      </c>
      <c r="GG259" s="162" t="e">
        <f ca="1">IF(Control!$B$16=40,0,IF(AND(Control!$B$16&gt;40,Control!$B$16&lt;=360),(Control!$B$16-40)*((1-0)/(360-40)),IF(AND(Control!$B$16&gt;360,Control!$B$16&lt;=720),(1+(Control!$B$16-360)*((1.25-1)/(720-360))),IF(AND(Control!$B$16&gt;720,Control!$B$16&lt;=1000),(1.25+(Control!$B$16-720)*((1.35-1.25)/(1000-720))),IF(AND(Control!$B$16&gt;1000,Control!$B$16&lt;=2000),(1.35+(Control!$B$16-1000)*0))))))</f>
        <v>#N/A</v>
      </c>
      <c r="GH259" s="162" t="e">
        <f t="shared" ca="1" si="742"/>
        <v>#N/A</v>
      </c>
      <c r="GI259" s="162">
        <f t="shared" ca="1" si="863"/>
        <v>0</v>
      </c>
      <c r="GJ259" s="162">
        <f t="shared" ca="1" si="743"/>
        <v>0</v>
      </c>
      <c r="GK259" s="162">
        <f t="shared" ca="1" si="864"/>
        <v>1</v>
      </c>
      <c r="GL259" s="162">
        <f t="shared" ca="1" si="744"/>
        <v>1</v>
      </c>
      <c r="GM259" s="162" t="e">
        <f ca="1">MAX(0,MIN(1,1-Control!$C$156*(1.0001-$KH259)^2))</f>
        <v>#N/A</v>
      </c>
      <c r="GN259" s="162" t="e">
        <f ca="1">IF(Control!$B$26=1,$KU259,$KX259)</f>
        <v>#N/A</v>
      </c>
      <c r="GO259" s="162" t="e">
        <f ca="1">IF($CP259&lt;=60,Control!$C$105,IF($CP259&gt;=90,Control!$C$106,Control!$C$105+($CP259-60)*((Control!$C$106-Control!$C$105)/(90-60))))</f>
        <v>#N/A</v>
      </c>
      <c r="GP259" s="162" t="e">
        <f t="shared" ca="1" si="745"/>
        <v>#N/A</v>
      </c>
      <c r="GQ259" s="162" t="e">
        <f t="shared" ca="1" si="865"/>
        <v>#N/A</v>
      </c>
      <c r="GR259" s="163" t="e">
        <f t="shared" ca="1" si="746"/>
        <v>#DIV/0!</v>
      </c>
      <c r="GS259" s="162" t="e">
        <f t="shared" ca="1" si="747"/>
        <v>#DIV/0!</v>
      </c>
      <c r="GT259" s="164" t="e">
        <f t="shared" ca="1" si="866"/>
        <v>#N/A</v>
      </c>
      <c r="GU259" s="162" t="e">
        <f t="shared" ca="1" si="867"/>
        <v>#N/A</v>
      </c>
      <c r="GV259" s="162" t="e">
        <f t="shared" ca="1" si="748"/>
        <v>#N/A</v>
      </c>
      <c r="GW259" s="162" t="e">
        <f t="shared" ca="1" si="749"/>
        <v>#DIV/0!</v>
      </c>
      <c r="GX259" s="162" t="e">
        <f t="shared" ca="1" si="868"/>
        <v>#DIV/0!</v>
      </c>
      <c r="GY259" s="162" t="e">
        <f t="shared" ca="1" si="869"/>
        <v>#DIV/0!</v>
      </c>
      <c r="GZ259" s="165" t="e">
        <f t="shared" ca="1" si="750"/>
        <v>#N/A</v>
      </c>
      <c r="HA259" s="162" t="e">
        <f ca="1">IF(Control!$C$114=1, $DI259*$FS259, 0)</f>
        <v>#N/A</v>
      </c>
      <c r="HB259" s="162" t="e">
        <f ca="1">$FA259/Control!$C$64</f>
        <v>#N/A</v>
      </c>
      <c r="HC259" s="162" t="e">
        <f t="shared" ca="1" si="751"/>
        <v>#DIV/0!</v>
      </c>
      <c r="HD259" s="162">
        <f ca="1">-ASIN(SIN(23.45*Control!$C$139)*COS(2*Control!$C$138*($AH259+10)/365))</f>
        <v>5.9745813178686026E-2</v>
      </c>
      <c r="HE259" s="165">
        <f t="shared" ca="1" si="870"/>
        <v>0</v>
      </c>
      <c r="HF259" s="166">
        <f ca="1">IF(AND(Control!$C$61="T",$HE259&gt;=Control!$C$103,Control!$C$114=0),$AH259,Control!$C$59)</f>
        <v>1</v>
      </c>
      <c r="HG259" s="166">
        <f ca="1">IF(AND(Control!$C$61="T",$HE259&gt;=Control!$C$103,Control!$C$114=0),$HF259,Control!$C$59)</f>
        <v>1</v>
      </c>
      <c r="HH259" s="165">
        <f ca="1">IF(AND(OR(Control!$C$60&lt;=0, $AH259= Control!$C$59, Control!$C$60 &gt;0, $AH259 = Control!$C$60)), Control!$C$59, IF(Control!$C$60&gt;0, 0))</f>
        <v>1</v>
      </c>
      <c r="HI259" s="165">
        <f ca="1">IF(AND(OR(Control!$C$60&lt;=0, $AH259= Control!$C$59, Control!$C$60 &gt;0, $AH259 = Control!$C$60)), Control!$C$60, IF(Control!$C$60&lt;=0, 0))</f>
        <v>0</v>
      </c>
      <c r="HJ259" s="166">
        <f ca="1">IF(AND(Control!$C$62="F",$CV259&gt;=Control!$C$102),$AH259,0)</f>
        <v>0</v>
      </c>
      <c r="HK259" s="165" t="e">
        <f t="shared" ca="1" si="907"/>
        <v>#N/A</v>
      </c>
      <c r="HL259" s="166">
        <f ca="1">IF(AND(Control!$C$61="T",$HE259&gt;=Control!$C$103,Control!$C$114=0),$HF259,0)</f>
        <v>0</v>
      </c>
      <c r="HM259" s="201" t="e">
        <f t="shared" ca="1" si="752"/>
        <v>#DIV/0!</v>
      </c>
      <c r="HN259" s="215">
        <f t="shared" ca="1" si="871"/>
        <v>255</v>
      </c>
      <c r="HO259" s="216" t="e">
        <f ca="1">IF(AND($CP259&gt;=0, $CP259&lt;=90), Control!$C$152, Control!$C$152)</f>
        <v>#N/A</v>
      </c>
      <c r="HP259" s="216" t="e">
        <f t="shared" ca="1" si="753"/>
        <v>#N/A</v>
      </c>
      <c r="HQ259" s="217" t="e">
        <f ca="1">IF(OR(Control!$B$26=1,Control!$B$26=2),$KV259,$KS259)</f>
        <v>#DIV/0!</v>
      </c>
      <c r="HR259" s="218" t="e">
        <f t="shared" ca="1" si="908"/>
        <v>#DIV/0!</v>
      </c>
      <c r="HS259" s="216" t="e">
        <f ca="1">Control!$C$154*$HP259</f>
        <v>#N/A</v>
      </c>
      <c r="HT259" s="216" t="e">
        <f ca="1">Control!$C$155*$HP259</f>
        <v>#N/A</v>
      </c>
      <c r="HU259" s="217" t="e">
        <f ca="1">Control!$C$161*$FI259</f>
        <v>#N/A</v>
      </c>
      <c r="HV259" s="218" t="e">
        <f t="shared" ca="1" si="872"/>
        <v>#N/A</v>
      </c>
      <c r="HW259" s="218" t="e">
        <f ca="1">Control!$C$160*$FF259+$IP259*$EO259</f>
        <v>#N/A</v>
      </c>
      <c r="HX259" s="218" t="e">
        <f t="shared" ca="1" si="909"/>
        <v>#N/A</v>
      </c>
      <c r="HY259" s="219" t="e">
        <f ca="1">IF(Control!$C$114=1, $EB259*$FS259, 0)</f>
        <v>#N/A</v>
      </c>
      <c r="HZ259" s="91" t="e">
        <f t="shared" ca="1" si="754"/>
        <v>#N/A</v>
      </c>
      <c r="IA259" s="220" t="e">
        <f ca="1">Control!$C$153*$HO259</f>
        <v>#N/A</v>
      </c>
      <c r="IB259" s="218" t="e">
        <f t="shared" ca="1" si="755"/>
        <v>#N/A</v>
      </c>
      <c r="IC259" s="220" t="e">
        <f ca="1">Control!$C$153*$HT259</f>
        <v>#N/A</v>
      </c>
      <c r="ID259" s="218" t="e">
        <f t="shared" ca="1" si="756"/>
        <v>#N/A</v>
      </c>
      <c r="IE259" s="221" t="e">
        <f ca="1">($EB259*Control!$C$159+$EF259*Control!$C$160)/(IF($GZ259&lt;&gt;0,$GZ259,1))</f>
        <v>#N/A</v>
      </c>
      <c r="IF259" s="216" t="e">
        <f t="shared" ca="1" si="757"/>
        <v>#N/A</v>
      </c>
      <c r="IG259" s="91">
        <f ca="1">IF(OR(Control!$B$198=$AH259,Control!$B$199=$AH259, Control!$B$200=$AH259, Control!$B$201=$AH259, Control!$B$202=$AH259, Control!$B$203=$AH259, Control!$B$204=$AH259, Control!$B$205=$AH259, Control!$B$206=$AH259, Control!$B$207=$AH259), 1, 0)</f>
        <v>0</v>
      </c>
      <c r="IH259" s="91">
        <f ca="1">IF($IG259=0,0, VLOOKUP($AH259,Control!$B$198:$C$207,2))</f>
        <v>0</v>
      </c>
      <c r="II259" s="222">
        <f t="shared" ca="1" si="873"/>
        <v>0</v>
      </c>
      <c r="IJ259" s="91">
        <f>Control!$C$121</f>
        <v>0.7</v>
      </c>
      <c r="IK259" s="218">
        <f t="shared" ca="1" si="758"/>
        <v>0</v>
      </c>
      <c r="IL259" s="217" t="e">
        <f t="shared" ca="1" si="910"/>
        <v>#N/A</v>
      </c>
      <c r="IM259" s="223" t="e">
        <f ca="1">IF(AND(Control!$C$114=1,$KH259&lt;1),$EB259*Control!$C$148*(1-$KH259), 0)</f>
        <v>#N/A</v>
      </c>
      <c r="IN259" s="217" t="e">
        <f t="shared" ca="1" si="759"/>
        <v>#DIV/0!</v>
      </c>
      <c r="IO259" s="91" t="e">
        <f ca="1">MAX(0,$IL259-$EF259*Control!$C$160)</f>
        <v>#N/A</v>
      </c>
      <c r="IP259" s="220" t="e">
        <f t="shared" ca="1" si="760"/>
        <v>#N/A</v>
      </c>
      <c r="IQ259" s="217" t="e">
        <f t="shared" ca="1" si="874"/>
        <v>#N/A</v>
      </c>
      <c r="IR259" s="218" t="e">
        <f t="shared" ca="1" si="761"/>
        <v>#N/A</v>
      </c>
      <c r="IS259" s="217" t="e">
        <f ca="1">Control!$C$159*MAX(0,$FD259-$EN259)</f>
        <v>#N/A</v>
      </c>
      <c r="IT259" s="217" t="e">
        <f t="shared" ca="1" si="911"/>
        <v>#N/A</v>
      </c>
      <c r="IU259" s="217" t="e">
        <f t="shared" ca="1" si="875"/>
        <v>#N/A</v>
      </c>
      <c r="IV259" s="217" t="e">
        <f t="shared" ca="1" si="912"/>
        <v>#N/A</v>
      </c>
      <c r="IW259" s="217" t="e">
        <f ca="1">IF(OR($AW259=1,AND($AW259=0, Control!$B$18=1,$EN259&lt;&gt;0)), $IQ259-$IU259, $IQ259)</f>
        <v>#N/A</v>
      </c>
      <c r="IX259" s="218" t="e">
        <f t="shared" ca="1" si="762"/>
        <v>#N/A</v>
      </c>
      <c r="IY259" s="218" t="e">
        <f ca="1">MAX(0,$IQ259-$EB259*Control!$C$159)</f>
        <v>#N/A</v>
      </c>
      <c r="IZ259" s="218" t="e">
        <f t="shared" ca="1" si="763"/>
        <v>#N/A</v>
      </c>
      <c r="JA259" s="216" t="e">
        <f t="shared" ca="1" si="764"/>
        <v>#N/A</v>
      </c>
      <c r="JB259" s="217" t="e">
        <f t="shared" ca="1" si="765"/>
        <v>#N/A</v>
      </c>
      <c r="JC259" s="222" t="e">
        <f ca="1">MAX(Control!$C$157*$EK259-$JT259, 0)/Control!$C$162</f>
        <v>#N/A</v>
      </c>
      <c r="JD259" s="218" t="e">
        <f t="shared" ca="1" si="766"/>
        <v>#N/A</v>
      </c>
      <c r="JE259" s="218" t="e">
        <f t="shared" ca="1" si="767"/>
        <v>#N/A</v>
      </c>
      <c r="JF259" s="218" t="e">
        <f t="shared" ca="1" si="876"/>
        <v>#N/A</v>
      </c>
      <c r="JG259" s="218" t="e">
        <f t="shared" ca="1" si="768"/>
        <v>#N/A</v>
      </c>
      <c r="JH259" s="217" t="e">
        <f t="shared" ca="1" si="877"/>
        <v>#N/A</v>
      </c>
      <c r="JI259" s="217" t="e">
        <f t="shared" ca="1" si="878"/>
        <v>#N/A</v>
      </c>
      <c r="JJ259" s="217" t="e">
        <f t="shared" ca="1" si="913"/>
        <v>#N/A</v>
      </c>
      <c r="JK259" s="217" t="e">
        <f ca="1">IF(Control!$C$114=1,IF(Control!$B$24=0,MAX(0,$JI259)*$GN259/Control!$C$64,(MAX(0,MIN($JI259,$JJ259*$GN259/Control!$C$64),0))))</f>
        <v>#N/A</v>
      </c>
      <c r="JL259" s="217" t="e">
        <f ca="1">$IK259/Control!$C$64-$JK259+$HQ259</f>
        <v>#N/A</v>
      </c>
      <c r="JM259" s="217" t="e">
        <f ca="1">IF(Control!$C$114=1,($JB259/(IF($JI259&lt;&gt;0,$JI259,1)))*$JK259,0)</f>
        <v>#N/A</v>
      </c>
      <c r="JN259" s="217" t="e">
        <f ca="1">IF(Control!$C$114=1,($JG259/(IF($JI259&lt;&gt;0,$JI259,1)))*$JK259, 0)</f>
        <v>#N/A</v>
      </c>
      <c r="JO259" s="218" t="e">
        <f t="shared" ca="1" si="769"/>
        <v>#N/A</v>
      </c>
      <c r="JP259" s="218" t="e">
        <f ca="1">MIN(($IY259+$IO259)*Control!$C$151, $JF259-$EH259*Control!$C$161)</f>
        <v>#N/A</v>
      </c>
      <c r="JQ259" s="218" t="e">
        <f t="shared" ca="1" si="770"/>
        <v>#N/A</v>
      </c>
      <c r="JR259" s="217" t="e">
        <f ca="1">IF($CP259-Control!$C$150&lt;0, 0, $JQ259/Control!$C$162)</f>
        <v>#N/A</v>
      </c>
      <c r="JS259" s="218" t="e">
        <f t="shared" ca="1" si="771"/>
        <v>#N/A</v>
      </c>
      <c r="JT259" s="218" t="e">
        <f t="shared" ca="1" si="879"/>
        <v>#N/A</v>
      </c>
      <c r="JU259" s="218" t="e">
        <f t="shared" ca="1" si="772"/>
        <v>#N/A</v>
      </c>
      <c r="JV259" s="218" t="e">
        <f t="shared" ca="1" si="773"/>
        <v>#N/A</v>
      </c>
      <c r="JW259" s="216" t="e">
        <f t="shared" ca="1" si="774"/>
        <v>#N/A</v>
      </c>
      <c r="JX259" s="91" t="e">
        <f t="shared" ca="1" si="775"/>
        <v>#N/A</v>
      </c>
      <c r="JY259" s="218" t="e">
        <f t="shared" ca="1" si="776"/>
        <v>#N/A</v>
      </c>
      <c r="JZ259" s="217" t="e">
        <f ca="1">IF(Control!$C$114=1,($IZ259/(IF($JI259&lt;&gt;0,$JI259,1)))*$JK259, 0)</f>
        <v>#N/A</v>
      </c>
      <c r="KA259" s="218" t="e">
        <f t="shared" ca="1" si="914"/>
        <v>#N/A</v>
      </c>
      <c r="KB259" s="218" t="e">
        <f t="shared" ca="1" si="880"/>
        <v>#N/A</v>
      </c>
      <c r="KC259" s="218" t="e">
        <f t="shared" ca="1" si="777"/>
        <v>#N/A</v>
      </c>
      <c r="KD259" s="218" t="e">
        <f t="shared" ca="1" si="778"/>
        <v>#N/A</v>
      </c>
      <c r="KE259" s="218" t="e">
        <f t="shared" ca="1" si="779"/>
        <v>#N/A</v>
      </c>
      <c r="KF259" s="218" t="e">
        <f t="shared" ca="1" si="780"/>
        <v>#N/A</v>
      </c>
      <c r="KG259" s="216" t="e">
        <f t="shared" ca="1" si="781"/>
        <v>#N/A</v>
      </c>
      <c r="KH259" s="221" t="e">
        <f ca="1">IF(Control!$B$24=0,1,MAX(0.001,MIN(1,IF(($IF259-$IE259)&lt;&gt;0,($KG259-$IE259)/($IF259-$IE259),1))))</f>
        <v>#N/A</v>
      </c>
      <c r="KI259" s="222" t="e">
        <f ca="1">IF(Control!$C$114=1, $KI258+ $KH258, 0)</f>
        <v>#N/A</v>
      </c>
      <c r="KJ259" s="217" t="e">
        <f t="shared" ca="1" si="782"/>
        <v>#N/A</v>
      </c>
      <c r="KK259" s="218" t="e">
        <f t="shared" ca="1" si="783"/>
        <v>#N/A</v>
      </c>
      <c r="KL259" s="274" t="e">
        <f ca="1">IF(Control!$B$26=3,4000000000*EXP(-8400/($G259+273)),IF(Control!$B$26=4,4000000000*EXP(-8400/($G259+273))*($KT259),0))</f>
        <v>#DIV/0!</v>
      </c>
      <c r="KM259" s="274" t="e">
        <f ca="1">IF(Control!$B$26=3,5600000000000*EXP(-9800/($G259+273)),IF(Control!$B$26=4,5600000000000*EXP(-9800/($G259+273))*$KT259,0))</f>
        <v>#DIV/0!</v>
      </c>
      <c r="KN259" s="454" t="e">
        <f t="shared" ca="1" si="881"/>
        <v>#DIV/0!</v>
      </c>
      <c r="KO259" s="274" t="e">
        <f t="shared" ca="1" si="882"/>
        <v>#DIV/0!</v>
      </c>
      <c r="KP259" s="454" t="e">
        <f t="shared" ca="1" si="784"/>
        <v>#DIV/0!</v>
      </c>
      <c r="KQ259" s="454" t="e">
        <f t="shared" ca="1" si="785"/>
        <v>#DIV/0!</v>
      </c>
      <c r="KR259" s="454" t="e">
        <f t="shared" ca="1" si="786"/>
        <v>#DIV/0!</v>
      </c>
      <c r="KS259" s="454" t="e">
        <f t="shared" ca="1" si="787"/>
        <v>#DIV/0!</v>
      </c>
      <c r="KT259" s="455" t="e">
        <f t="shared" ca="1" si="788"/>
        <v>#DIV/0!</v>
      </c>
      <c r="KU259" s="456" t="e">
        <f ca="1">IF($CP259-Control!$C$149&lt;0, IF($NT259-0.01&lt;0,0,1),0)</f>
        <v>#N/A</v>
      </c>
      <c r="KV259" s="456" t="e">
        <f ca="1">IF(Control!$C$114=1,MAX(0,MIN(Control!$C$125*$KW259*$GN259,$KW259)))</f>
        <v>#DIV/0!</v>
      </c>
      <c r="KW259" s="456" t="e">
        <f t="shared" ca="1" si="915"/>
        <v>#DIV/0!</v>
      </c>
      <c r="KX259" s="457" t="e">
        <f ca="1">IF($CP259-Control!$C$149&lt;0, IF($MR259-$OM259&lt;0,0,1),0)</f>
        <v>#N/A</v>
      </c>
      <c r="KY259" s="167">
        <f t="shared" ca="1" si="883"/>
        <v>255</v>
      </c>
      <c r="KZ259" s="168">
        <f ca="1">1370*(1+0.033*COS(2*Control!$C$138*$AH259/365))</f>
        <v>1355.6602219533465</v>
      </c>
      <c r="LA259" s="169">
        <f t="shared" ca="1" si="884"/>
        <v>0.98953268747655942</v>
      </c>
      <c r="LB259" s="169">
        <f t="shared" ca="1" si="885"/>
        <v>5.7870886254204473E-2</v>
      </c>
      <c r="LC259" s="169">
        <f ca="1">ACOS(-TAN((2*Control!$B$8/360))*TAN(Calculations!$LB259))</f>
        <v>1.588015812609219</v>
      </c>
      <c r="LD259" s="169">
        <f ca="1">((24*60)/PI())*0.082*$LA259*(($LC259*SIN(Control!$B$8*2*PI()/360))*SIN($LB259)+COS(Control!$B$8*2*PI()/360)*COS($LB259)*SIN($LC259))</f>
        <v>25.548248129013771</v>
      </c>
      <c r="LE259" s="170">
        <f t="shared" ca="1" si="789"/>
        <v>25.735512590752997</v>
      </c>
      <c r="LF259" s="170">
        <f ca="1">SIN(Control!$C$139*Control!$B$8)*SIN($HD259)</f>
        <v>4.7052416915826775E-2</v>
      </c>
      <c r="LG259" s="170">
        <f ca="1">COS(Control!$C$139*Control!$B$8)*COS($HD259)</f>
        <v>0.61456131177339168</v>
      </c>
      <c r="LH259" s="170">
        <f ca="1">12*(1+2*ASIN(MAX(-1,MIN(1,$LF259/$LG259))/Control!$C$138))</f>
        <v>12.58495178722929</v>
      </c>
      <c r="LI259" s="170">
        <f ca="1">12*(1+2*ASIN(MAX(-1,MIN(1,(-SIN(-4*Control!$C$139)+$LF259)/$LG259))/Control!$C$138))</f>
        <v>13.452904074608643</v>
      </c>
      <c r="LJ259" s="168">
        <f ca="1">3600*($LH259*$LF259+24*$LG259*SQRT(1-$LK259*$LK259)/Control!$C$138)</f>
        <v>18983.748415713751</v>
      </c>
      <c r="LK259" s="170">
        <f t="shared" ca="1" si="790"/>
        <v>7.656260817989223E-2</v>
      </c>
      <c r="LL259" s="170">
        <f t="shared" ca="1" si="791"/>
        <v>0</v>
      </c>
      <c r="LM259" s="171">
        <f ca="1">Control!$C$145*$AB259</f>
        <v>6.6660906138995932E-2</v>
      </c>
      <c r="LN259" s="170">
        <f t="shared" ca="1" si="886"/>
        <v>0.54</v>
      </c>
      <c r="LO259" s="170">
        <f t="shared" ca="1" si="792"/>
        <v>0</v>
      </c>
      <c r="LP259" s="170">
        <f ca="1">Control!$C$140*((($D259+273.16)^4+($E259+273.16)^4)/2)*(0.34-0.14*SQRT($Y259))*(1.35*$AQ259/(0.75*$LD259)-0.35)</f>
        <v>-3.2464704755046001</v>
      </c>
      <c r="LQ259" s="170">
        <f ca="1">Control!$C$140*($G259+273)^4*(0.56-0.079*SQRT($Y259*10))*(0.1+0.9*$LO259)</f>
        <v>1.5241745131704001</v>
      </c>
      <c r="LR259" s="170">
        <f ca="1">$AQ259*(1-Control!$C$142)-$LQ259</f>
        <v>-1.5241745131704001</v>
      </c>
      <c r="LS259" s="170">
        <f ca="1">$AQ259*(1-Control!$C$143)-$LQ259</f>
        <v>-1.5241745131704001</v>
      </c>
      <c r="LT259" s="170">
        <f ca="1">$AQ259*(1-Control!$C$144)-$LQ259</f>
        <v>-1.5241745131704001</v>
      </c>
      <c r="LU259" s="169">
        <f ca="1">(1-Control!$C$144)*AQ259-LP259</f>
        <v>3.2464704755046001</v>
      </c>
      <c r="LV259" s="172">
        <f t="shared" ca="1" si="793"/>
        <v>0.79430000000000012</v>
      </c>
      <c r="LW259" s="170">
        <f t="shared" ca="1" si="794"/>
        <v>1.5886000000000002</v>
      </c>
      <c r="LX259" s="170">
        <f ca="1">($AC259*($LR259/Control!$C$141)+$LM259*$LV259)/($AC259+$LM259)</f>
        <v>0.23530094218323697</v>
      </c>
      <c r="LY259" s="170">
        <f ca="1">($AC259*($LS259/Control!$C$141)+$LM259*$LV259)/($AC259+$LM259)</f>
        <v>0.23530094218323697</v>
      </c>
      <c r="LZ259" s="170">
        <f t="shared" ca="1" si="795"/>
        <v>0.23530094218323697</v>
      </c>
      <c r="MA259" s="170">
        <f t="shared" ca="1" si="796"/>
        <v>0.23530094218323697</v>
      </c>
      <c r="MB259" s="170" t="e">
        <f t="shared" ca="1" si="797"/>
        <v>#N/A</v>
      </c>
      <c r="MC259" s="170">
        <f t="shared" ca="1" si="887"/>
        <v>0.6018</v>
      </c>
      <c r="MD259" s="170">
        <f t="shared" ca="1" si="798"/>
        <v>0.52989392535414004</v>
      </c>
      <c r="ME259" s="170">
        <f ca="1">($AC259*($LT259/Control!$C$141)+$LM259*$LW259)/($AC259+$LM259)</f>
        <v>0.71612369323045078</v>
      </c>
      <c r="MF259" s="170" t="e">
        <f ca="1">IF(Control!$B$16&gt;=1000,0.92,IF(AND(720&lt;=Control!$B$16,1000&gt;Control!$B$16),(0.95+(Control!$B$16-720)*((0.92-0.95)/(1000-720))),IF(AND(360&lt;=Control!$B$16,720&gt;Control!$B$16),(1+(Control!$B$16-360)*((0.95-1)/(720-360))),IF(AND(40&lt;=Control!$B$16,360&gt;Control!$B$16),(1.05+(Control!$B$16-40)*((1.05-1)/(360-40)))))))</f>
        <v>#N/A</v>
      </c>
      <c r="MG259" s="170">
        <f t="shared" ca="1" si="799"/>
        <v>0.71612369323045078</v>
      </c>
      <c r="MH259" s="170" t="e">
        <f t="shared" ca="1" si="926"/>
        <v>#N/A</v>
      </c>
      <c r="MI259" s="170" t="e">
        <f t="shared" ca="1" si="926"/>
        <v>#N/A</v>
      </c>
      <c r="MJ259" s="170" t="e">
        <f ca="1">MAX(0.0001, Control!$C$132*$MI259*$DL259)</f>
        <v>#N/A</v>
      </c>
      <c r="MK259" s="170">
        <f ca="1">1/(0.76+1.5*($MG259/10))-(5-Control!$C$110)*0.1</f>
        <v>1.002845988140797</v>
      </c>
      <c r="ML259" s="173">
        <f ca="1">IF(Control!$C$110&lt;3,$MK259+($MG259-0.6)/(Control!$C$110*(Control!$C$110+3)), MAX(0.1, MIN(0.95,$MK259)))</f>
        <v>0.95</v>
      </c>
      <c r="MM259" s="173">
        <f ca="1">IF(Control!$C$110&lt;3,$MK259+(($MI259/10)-0.6)/(Control!$C$110*(Control!$C$110+3)), MAX(0.1, MIN(0.95,$MK259)))</f>
        <v>0.95</v>
      </c>
      <c r="MN259" s="173">
        <f ca="1">(1-$MM259)*(Control!$C$128-Control!$C$127)+Control!$C$127</f>
        <v>0.16</v>
      </c>
      <c r="MO259" s="170" t="e">
        <f ca="1">MAX(0,MIN(1,($MS259-Control!$C$127)/($MN259-Control!$C$127)))</f>
        <v>#DIV/0!</v>
      </c>
      <c r="MP259" s="173" t="e">
        <f ca="1">1/(0.76+1.5*$MI259)-(5-Control!$C$110)*0.1</f>
        <v>#N/A</v>
      </c>
      <c r="MQ259" s="172" t="e">
        <f t="shared" ca="1" si="916"/>
        <v>#DIV/0!</v>
      </c>
      <c r="MR259" s="168" t="e">
        <f t="shared" ca="1" si="888"/>
        <v>#DIV/0!</v>
      </c>
      <c r="MS259" s="173" t="e">
        <f ca="1">MAX(Control!$C$127, MIN(Control!$C$135, $MR259/MAX(0.0001,$CY259)))</f>
        <v>#DIV/0!</v>
      </c>
      <c r="MT259" s="168" t="e">
        <f ca="1">(Control!$C$128-$MS259)*Control!$C$74</f>
        <v>#DIV/0!</v>
      </c>
      <c r="MU259" s="168" t="e">
        <f ca="1">(Control!$C$135-$MS259)*Control!$C$74</f>
        <v>#DIV/0!</v>
      </c>
      <c r="MV259" s="168" t="e">
        <f t="shared" ca="1" si="889"/>
        <v>#DIV/0!</v>
      </c>
      <c r="MW259" s="168" t="e">
        <f t="shared" ca="1" si="890"/>
        <v>#DIV/0!</v>
      </c>
      <c r="MX259" s="171" t="e">
        <f ca="1">MAX(Control!$C$127, MIN(Control!$C$135, $MW259/MAX(0.0001,Control!$C$119-$CY259)))</f>
        <v>#DIV/0!</v>
      </c>
      <c r="MY259" s="54" t="e">
        <f ca="1">IF(Control!$C$114=1, $CX259*$MX259, 0)</f>
        <v>#DIV/0!</v>
      </c>
      <c r="MZ259" s="54" t="e">
        <f t="shared" ca="1" si="891"/>
        <v>#N/A</v>
      </c>
      <c r="NA259" s="168" t="e">
        <f ca="1">(Control!$C$128-$MX259)*(Control!$C$119-Control!$C$74)</f>
        <v>#DIV/0!</v>
      </c>
      <c r="NB259" s="168" t="e">
        <f ca="1">(Control!$C$135-$MX259)*(Control!$C$119-Control!$C$74)</f>
        <v>#DIV/0!</v>
      </c>
      <c r="NC259" s="174" t="e">
        <f t="shared" ca="1" si="892"/>
        <v>#DIV/0!</v>
      </c>
      <c r="ND259" s="54">
        <f ca="1">IF(Control!$C$58=2, IF(OR(Control!$B$218=$AH259,Control!$B$219=$AH259, Control!$B$220=$AH259, Control!$B$221=$AH259, Control!$B$222=$AH259, Control!$B$223=$AH259, Control!$B$224=$AH259, Control!$B$225=$AH259, Control!$B$226=$AH259, Control!$B$227=$AH259, Control!$B$228=$AH259), 1, 0), 0)</f>
        <v>0</v>
      </c>
      <c r="NE259" s="54">
        <f ca="1">IF($ND259=0,0, VLOOKUP($AH259,Control!$B$218:$C$228,2))</f>
        <v>0</v>
      </c>
      <c r="NF259" s="168" t="e">
        <f ca="1">$CY259*(Control!$C$128-Control!$C$127)</f>
        <v>#N/A</v>
      </c>
      <c r="NG259" s="54" t="e">
        <f ca="1">IF(Control!$C$58=2, $NI258-$NJ258, 0)</f>
        <v>#DIV/0!</v>
      </c>
      <c r="NH259" s="54" t="e">
        <f ca="1">IF(AND(Control!$C$58=1, $MS258&lt;= ($MN258+0.02), $I258&lt;10), 0, IF(Control!$C$58=2, $NG258, 0))</f>
        <v>#DIV/0!</v>
      </c>
      <c r="NI259" s="54" t="e">
        <f ca="1">IF(Control!$C$58=2, $NE259+$NH259,0)</f>
        <v>#DIV/0!</v>
      </c>
      <c r="NJ259" s="54" t="e">
        <f ca="1">IF(AND(Control!$C$58=1, $MS259&lt;= ($MN259+0.02), $I259&lt;10), MAX(0, MIN(10, 0.7*($NF259-$MV259))), IF(Control!$C$58=2, MIN(10,$NI259),0))</f>
        <v>#DIV/0!</v>
      </c>
      <c r="NK259" s="54" t="e">
        <f t="shared" ca="1" si="800"/>
        <v>#DIV/0!</v>
      </c>
      <c r="NL259" s="173" t="e">
        <f ca="1">(1-Control!$C$73)*$I259+$NJ259</f>
        <v>#DIV/0!</v>
      </c>
      <c r="NM259" s="172" t="e">
        <f ca="1">IF($NL259&lt;0.5, $MB259* MAX(0, MIN(1, (SQRT($NC259)-SQRT($NC259-1))*Control!$C$71)),0)</f>
        <v>#DIV/0!</v>
      </c>
      <c r="NN259" s="170" t="e">
        <f ca="1">IF($NL259&gt;=5, $MB259, MAX(0,MIN($MB259, $NM259+$NL259,($MS259-Control!$C$129))))</f>
        <v>#DIV/0!</v>
      </c>
      <c r="NO259" s="54">
        <f>IF(Control!$C$133&lt;&gt;1, Control!$C$135-Control!$C$131, 0)</f>
        <v>0.38</v>
      </c>
      <c r="NP259" s="54" t="e">
        <f t="shared" ca="1" si="801"/>
        <v>#DIV/0!</v>
      </c>
      <c r="NQ259" s="173" t="e">
        <f ca="1">MAX(0,MIN(1,(Control!$C$135-$MS259)/(Control!$C$135-$NO259)))</f>
        <v>#DIV/0!</v>
      </c>
      <c r="NR259" s="170" t="e">
        <f ca="1">IF(Control!$C$133&lt;&gt;1, $NQ259+((1-$NP259/4)*(1-$NQ259)),1)</f>
        <v>#DIV/0!</v>
      </c>
      <c r="NS259" s="170" t="e">
        <f ca="1">IF(Control!$B$31=0,$MJ259,MAX(0,MIN($MV259,$MO259*$NR259*$MJ259)))</f>
        <v>#DIV/0!</v>
      </c>
      <c r="NT259" s="170" t="e">
        <f t="shared" ca="1" si="917"/>
        <v>#DIV/0!</v>
      </c>
      <c r="NU259" s="170" t="e">
        <f t="shared" ca="1" si="893"/>
        <v>#N/A</v>
      </c>
      <c r="NV259" s="170" t="e">
        <f t="shared" ca="1" si="802"/>
        <v>#N/A</v>
      </c>
      <c r="NW259" s="175" t="e">
        <f t="shared" ca="1" si="803"/>
        <v>#DIV/0!</v>
      </c>
      <c r="NX259" s="170" t="e">
        <f ca="1">MIN(Control!$C$72+$MU259, $NW259)</f>
        <v>#DIV/0!</v>
      </c>
      <c r="NY259" s="170" t="e">
        <f ca="1">IF($MT259&lt;=$NX259,MIN(Control!$C$72+$NB259,$NX259-$MT259),0)</f>
        <v>#DIV/0!</v>
      </c>
      <c r="NZ259" s="54" t="e">
        <f ca="1">IF(Control!$C$114=1,  $CX259*($MX259-Control!$C$127), 0)</f>
        <v>#DIV/0!</v>
      </c>
      <c r="OA259" s="170" t="e">
        <f t="shared" ca="1" si="804"/>
        <v>#DIV/0!</v>
      </c>
      <c r="OB259" s="170" t="e">
        <f ca="1">IF($NA259 &lt;=$NY259, MIN(Control!$C$72, $NY259-$NA259), 0)</f>
        <v>#DIV/0!</v>
      </c>
      <c r="OC259" s="168" t="e">
        <f t="shared" ca="1" si="805"/>
        <v>#DIV/0!</v>
      </c>
      <c r="OD259" s="168" t="e">
        <f t="shared" ca="1" si="894"/>
        <v>#DIV/0!</v>
      </c>
      <c r="OE259" s="170">
        <f ca="1">Control!$C$73*$I259</f>
        <v>0</v>
      </c>
      <c r="OF259" s="176" t="e">
        <f t="shared" ca="1" si="806"/>
        <v>#DIV/0!</v>
      </c>
      <c r="OG259" s="168" t="e">
        <f t="shared" ca="1" si="807"/>
        <v>#DIV/0!</v>
      </c>
      <c r="OH259" s="168" t="e">
        <f t="shared" ca="1" si="808"/>
        <v>#DIV/0!</v>
      </c>
      <c r="OI259" s="168" t="e">
        <f t="shared" ca="1" si="809"/>
        <v>#DIV/0!</v>
      </c>
      <c r="OJ259" s="168" t="e">
        <f t="shared" ca="1" si="810"/>
        <v>#DIV/0!</v>
      </c>
      <c r="OK259" s="204" t="e">
        <f t="shared" ca="1" si="811"/>
        <v>#DIV/0!</v>
      </c>
      <c r="OL259" s="177">
        <f>Control!$C$127</f>
        <v>0.15</v>
      </c>
      <c r="OM259" s="182" t="e">
        <f t="shared" ca="1" si="812"/>
        <v>#N/A</v>
      </c>
      <c r="ON259" s="177">
        <f>Control!$C$128</f>
        <v>0.35</v>
      </c>
      <c r="OO259" s="182" t="e">
        <f t="shared" ca="1" si="813"/>
        <v>#N/A</v>
      </c>
      <c r="OP259" s="138">
        <f t="shared" ca="1" si="895"/>
        <v>0</v>
      </c>
      <c r="OQ259" s="138" t="e">
        <f t="shared" ca="1" si="918"/>
        <v>#DIV/0!</v>
      </c>
      <c r="OR259" s="138" t="e">
        <f t="shared" ca="1" si="896"/>
        <v>#DIV/0!</v>
      </c>
      <c r="OS259" s="137" t="e">
        <f t="shared" ca="1" si="919"/>
        <v>#DIV/0!</v>
      </c>
      <c r="OT259" s="139" t="e">
        <f t="shared" ca="1" si="920"/>
        <v>#DIV/0!</v>
      </c>
      <c r="OU259" s="138" t="e">
        <f t="shared" ca="1" si="921"/>
        <v>#N/A</v>
      </c>
      <c r="OV259" s="138" t="e">
        <f t="shared" ca="1" si="922"/>
        <v>#DIV/0!</v>
      </c>
      <c r="OW259" s="138" t="e">
        <f t="shared" ca="1" si="897"/>
        <v>#DIV/0!</v>
      </c>
      <c r="OX259" s="138" t="e">
        <f t="shared" ca="1" si="898"/>
        <v>#DIV/0!</v>
      </c>
      <c r="OY259" s="138" t="e">
        <f t="shared" ca="1" si="899"/>
        <v>#DIV/0!</v>
      </c>
      <c r="OZ259" s="138" t="e">
        <f t="shared" ca="1" si="814"/>
        <v>#DIV/0!</v>
      </c>
      <c r="PA259" s="138" t="e">
        <f t="shared" ca="1" si="815"/>
        <v>#DIV/0!</v>
      </c>
      <c r="PB259" s="55">
        <f>IF(Control!$C$61="T", IF(Control!$C$65="F", IF($AH$6-Control!$C$60&lt;0,0,1), IF(365+$AH$6-Control!$C$60&lt;0,0,1)),0)</f>
        <v>0</v>
      </c>
      <c r="PC259" s="55">
        <f ca="1">IF(Control!$C$65="F", IF($AH$6-$HF259&lt;0,0,1), IF(365+$AH$6-$HF259&lt;0,0,1))</f>
        <v>1</v>
      </c>
      <c r="PD259" s="444">
        <f>Control!$C$118</f>
        <v>1500</v>
      </c>
      <c r="PE259" s="180" t="e">
        <f t="shared" ca="1" si="816"/>
        <v>#N/A</v>
      </c>
      <c r="PF259" s="445">
        <f t="shared" ca="1" si="900"/>
        <v>0.71612369323045078</v>
      </c>
      <c r="PT259" s="186"/>
      <c r="PU259" s="186"/>
      <c r="PV259" s="94"/>
      <c r="PW259" s="94"/>
      <c r="PX259" s="94"/>
      <c r="PY259" s="94"/>
      <c r="PZ259" s="94"/>
      <c r="QA259" s="94"/>
      <c r="QB259" s="94"/>
      <c r="QC259" s="94"/>
      <c r="QD259" s="94"/>
      <c r="QE259" s="94"/>
      <c r="QF259" s="94"/>
      <c r="QG259" s="94"/>
      <c r="QH259" s="94"/>
      <c r="QI259" s="94"/>
      <c r="QJ259" s="94"/>
      <c r="QK259" s="94"/>
      <c r="QL259" s="94"/>
      <c r="QM259" s="94"/>
      <c r="QN259" s="94"/>
      <c r="QO259" s="94"/>
      <c r="QP259" s="94"/>
    </row>
    <row r="260" spans="1:458" s="2" customFormat="1" x14ac:dyDescent="0.2">
      <c r="A260" s="395">
        <v>12</v>
      </c>
      <c r="B260" s="396">
        <v>9</v>
      </c>
      <c r="C260" s="387">
        <f ca="1">Weather_data!$B259</f>
        <v>0</v>
      </c>
      <c r="D260" s="388">
        <f ca="1">Weather_data!$F259</f>
        <v>0</v>
      </c>
      <c r="E260" s="388">
        <f ca="1">Weather_data!$E259</f>
        <v>0</v>
      </c>
      <c r="F260" s="388">
        <f t="shared" ca="1" si="817"/>
        <v>0</v>
      </c>
      <c r="G260" s="388">
        <f ca="1">AVERAGE($D260:$E260)+Control!$B$9</f>
        <v>0</v>
      </c>
      <c r="H260" s="388">
        <f ca="1">Weather_data!$G259</f>
        <v>0</v>
      </c>
      <c r="I260" s="388">
        <f ca="1">Weather_data!$I259</f>
        <v>0</v>
      </c>
      <c r="J260" s="388">
        <f ca="1">Weather_data!$H259</f>
        <v>0</v>
      </c>
      <c r="K260" s="389">
        <f ca="1">Weather_data!$D259</f>
        <v>0</v>
      </c>
      <c r="L260" s="388" t="e">
        <f t="shared" ca="1" si="818"/>
        <v>#N/A</v>
      </c>
      <c r="M260" s="388" t="e">
        <f t="shared" ca="1" si="696"/>
        <v>#N/A</v>
      </c>
      <c r="N260" s="388">
        <f t="shared" ca="1" si="697"/>
        <v>-1.1927993723635128E-12</v>
      </c>
      <c r="O260" s="388">
        <f t="shared" ca="1" si="819"/>
        <v>1.1927993723635128E-11</v>
      </c>
      <c r="P260" s="390">
        <v>3</v>
      </c>
      <c r="Q260" s="388">
        <f ca="1">MAX($G260-Control!$C$107,0)</f>
        <v>0</v>
      </c>
      <c r="R260" s="388">
        <f t="shared" ca="1" si="820"/>
        <v>0</v>
      </c>
      <c r="S260" s="388">
        <f t="shared" ca="1" si="698"/>
        <v>0</v>
      </c>
      <c r="T260" s="388">
        <f t="shared" ca="1" si="699"/>
        <v>0</v>
      </c>
      <c r="U260" s="59">
        <f t="shared" ca="1" si="700"/>
        <v>0</v>
      </c>
      <c r="V260" s="391">
        <f ca="1">MAX(0,MIN(Control!$C$100-Control!$C$99,$G260-Control!$C$99)*Control!$C$63)</f>
        <v>0</v>
      </c>
      <c r="W260" s="388">
        <f t="shared" ca="1" si="821"/>
        <v>0</v>
      </c>
      <c r="X260" s="388">
        <f t="shared" ca="1" si="822"/>
        <v>0.6110000000000001</v>
      </c>
      <c r="Y260" s="388">
        <f t="shared" ca="1" si="701"/>
        <v>0</v>
      </c>
      <c r="Z260" s="388">
        <f t="shared" ca="1" si="823"/>
        <v>0.61058800000000002</v>
      </c>
      <c r="AA260" s="388">
        <f t="shared" ca="1" si="702"/>
        <v>0.6018</v>
      </c>
      <c r="AB260" s="388">
        <f ca="1">101.3*EXP(-0.034*Control!$C$66/($G260+273))</f>
        <v>100.69623283836242</v>
      </c>
      <c r="AC260" s="392">
        <f t="shared" ca="1" si="703"/>
        <v>4.3460251046025113E-2</v>
      </c>
      <c r="AD260" s="392">
        <f t="shared" ca="1" si="704"/>
        <v>4.4450382862832649E-2</v>
      </c>
      <c r="AE260" s="388">
        <f t="shared" ca="1" si="705"/>
        <v>0</v>
      </c>
      <c r="AF260" s="388">
        <f ca="1">MAX(0,$G260-Control!$C$92)</f>
        <v>0</v>
      </c>
      <c r="AG260" s="393">
        <f t="shared" ca="1" si="706"/>
        <v>256</v>
      </c>
      <c r="AH260" s="389">
        <f t="shared" ca="1" si="707"/>
        <v>256</v>
      </c>
      <c r="AI260" s="388">
        <f t="shared" ca="1" si="824"/>
        <v>5.2953658292312876E-2</v>
      </c>
      <c r="AJ260" s="388">
        <f ca="1">IF(Control!$C$60&lt;=0,$HH260,$HI260)</f>
        <v>1</v>
      </c>
      <c r="AK260" s="388">
        <f t="shared" ca="1" si="708"/>
        <v>3.0297003125030328</v>
      </c>
      <c r="AL260" s="388">
        <f t="shared" ca="1" si="709"/>
        <v>-3.9675207563760747E-18</v>
      </c>
      <c r="AM260" s="388">
        <f t="shared" ca="1" si="710"/>
        <v>3.0297003125030328</v>
      </c>
      <c r="AN260" s="388">
        <f t="shared" ca="1" si="711"/>
        <v>4.4432571782792911E-2</v>
      </c>
      <c r="AO260" s="388">
        <f ca="1">-0.10453/COS(Control!$B$8*PI()/180)*COS(AN260)</f>
        <v>-0.1696172926263721</v>
      </c>
      <c r="AP260" s="388">
        <f ca="1">ACOS(AO260-TAN(Control!$B$8*PI()/180)*TAN(AN260))</f>
        <v>1.7993056477077725</v>
      </c>
      <c r="AQ260" s="388">
        <f t="shared" ca="1" si="825"/>
        <v>0</v>
      </c>
      <c r="AR260" s="394">
        <f t="shared" ca="1" si="712"/>
        <v>0</v>
      </c>
      <c r="AS260" s="436">
        <f ca="1">IF(Control!$B$18=2,(IF(OR($AH260=Control!$B$175,$AH260=Control!$B$176,$AH260=Control!$B$177,$AH260=Control!$B$178,$AH260=Control!$B$179,$AH260=Control!$B$180,$AH260=Control!$B$181,$AH260=Control!$B$182,$AH260=Control!$B$183,$AH260=Control!$B$184,$AH260=Control!$B$185),1,0)),0)</f>
        <v>0</v>
      </c>
      <c r="AT260" s="436">
        <f>IF(Control!$B$20=8,IF(AND($AH260&gt;=Control!$B$172,$AH260&lt;=Control!$B$173),1,0),0)</f>
        <v>0</v>
      </c>
      <c r="AU260" s="436">
        <f>IF(Control!$B$20=8,IF($AV259=1,1*$AT260,IF($AT260=1,$AU259+1,$AU259)),0)</f>
        <v>0</v>
      </c>
      <c r="AV260" s="436">
        <f>IF(Control!$B$20=8,IF($AU260&gt;=Control!$B$174,1,0),0)</f>
        <v>0</v>
      </c>
      <c r="AW260" s="436">
        <f ca="1">IF(AND(Control!$B$18=2,Control!$B$171=1), $AV260, $AS260)</f>
        <v>0</v>
      </c>
      <c r="AX260" s="436" t="e">
        <f ca="1">IF(AND(Control!$B$18=1,$EU260&gt;=Control!$B$19),-$AY260,IF(AND(Control!$B$18=2,$AW260=1,$EU260&gt;$DS260),-$AY260, IF(Control!$C$108=0,0, IF(Control!$C$108&lt;&gt;0,1))))</f>
        <v>#N/A</v>
      </c>
      <c r="AY260" s="436" t="e">
        <f t="shared" ca="1" si="826"/>
        <v>#N/A</v>
      </c>
      <c r="AZ260" s="436" t="e">
        <f ca="1">IF(AND(Control!$B$18=1,$EB260&gt;Control!$B$19),$AZ259+1, IF(AND(Control!$B$18=2, $AW260=1, $EB260&gt;$DS260), $AZ259+1,$AZ259))</f>
        <v>#N/A</v>
      </c>
      <c r="BA260" s="587">
        <f>IF(Control!$C$81=0,1,IF($AH260&gt;=Control!$C$82,1,0))</f>
        <v>1</v>
      </c>
      <c r="BB260" s="140" t="e">
        <f ca="1">IF($BA260&gt;$BA259,Control!$C$83,IF($AW260&gt;0,$AW260*Control!$C$84,IF(AND(Control!$B$18=1,EN259&lt;&gt;0),Control!$C$84,0)))</f>
        <v>#N/A</v>
      </c>
      <c r="BC260" s="140" t="e">
        <f t="shared" ca="1" si="827"/>
        <v>#N/A</v>
      </c>
      <c r="BD260" s="140" t="e">
        <f ca="1">BC260*IF(OR($G260&lt;Control!$C$92,$G260&gt;Control!$C$95),0,IF(AND($G260&gt;=Control!$C$92,$G260&lt;=Control!$C$93),$G260-Control!$C$92,IF(AND($G260&gt;Control!$C$93,$G260&lt;=Control!$C$94),Control!$C$93-Control!$C$92,IF(AND($G260&gt;Control!$C$94,$G260&lt;=Control!$C$95),(Control!$C$93-Control!$C$92)*(Control!$C$94-$G260)/(Control!$C$95-Control!$C$94)))))</f>
        <v>#N/A</v>
      </c>
      <c r="BE260" s="140" t="e">
        <f t="shared" ca="1" si="828"/>
        <v>#N/A</v>
      </c>
      <c r="BF260" s="140" t="e">
        <f ca="1">IF($BE260&lt;=Control!$C$86,$BE260,Control!$C$86-$BE260)</f>
        <v>#N/A</v>
      </c>
      <c r="BG260" s="140" t="e">
        <f ca="1">IF(AND($AW260=1,Control!$C$84&lt;9),1,IF($BE260&gt;=Control!$C$86,0,$BC260))</f>
        <v>#N/A</v>
      </c>
      <c r="BH260" s="404" t="e">
        <f ca="1">IF($BG260=0,0,IF($BE260&lt;=Control!$C$86,$BC260*9*($BF260/Control!$C$86),0))</f>
        <v>#N/A</v>
      </c>
      <c r="BI260" s="140" t="e">
        <f ca="1">IF($BG260=1,0,IF($BE260&gt;=Control!$C$86,1,IF(AND($BB260&lt;21,$BB260&gt;=9),1,$BM259)))</f>
        <v>#N/A</v>
      </c>
      <c r="BJ260" s="140" t="e">
        <f ca="1">IF($BF260&lt;0,-$BF260,$BI260*IF(OR($G260&lt;Control!$C$92,$G260&gt;Control!$C$95),0,IF(AND($G260&gt;=Control!$C$92,$G260&lt;=Control!$C$93),$G260-Control!$C$92,IF(AND($G260&gt;Control!$C$93,$G260&lt;=Control!$C$94),Control!$C$93-Control!$C$92,IF(AND($G260&gt;Control!$C$94,$G260&lt;=Control!$C$95),(Control!$C$93-Control!$C$92)*(Control!$C$94-$G260)/(Control!$C$95-Control!$C$94))))))</f>
        <v>#N/A</v>
      </c>
      <c r="BK260" s="140" t="e">
        <f t="shared" ca="1" si="829"/>
        <v>#N/A</v>
      </c>
      <c r="BL260" s="140" t="e">
        <f ca="1">IF($BK260&lt;=Control!$C$87,$BK260,Control!$C$87-$BK260)</f>
        <v>#N/A</v>
      </c>
      <c r="BM260" s="140" t="e">
        <f ca="1">IF(AND($BB260&gt;=9,$BB260&lt;21),1,IF($BK260&gt;=Control!$C$87,0,$BI260))</f>
        <v>#N/A</v>
      </c>
      <c r="BN260" s="404" t="e">
        <f ca="1">IF($BM260=0,0,IF($BK260&lt;=Control!$C$87,$BI260*(9+(21-9)*($BL260/Control!$C$87)),0))</f>
        <v>#N/A</v>
      </c>
      <c r="BO260" s="140" t="e">
        <f ca="1">IF($BM260=1,0,IF($BK260&gt;=Control!$C$87,1,IF(AND($BB260&lt;30,$BB260&gt;=21),1,$BS259)))</f>
        <v>#N/A</v>
      </c>
      <c r="BP260" s="140" t="e">
        <f ca="1">IF($BL260&lt;0,-$BL260,$BO260*IF(OR($G260&lt;Control!$C$92,$G260&gt;Control!$C$95),0,IF(AND($G260&gt;=Control!$C$92,$G260&lt;=Control!$C$93),$G260-Control!$C$92,IF(AND($G260&gt;Control!$C$93,$G260&lt;=Control!$C$94),Control!$C$93-Control!$C$92,IF(AND($G260&gt;Control!$C$94,$G260&lt;=Control!$C$95),(Control!$C$93-Control!$C$92)*(Control!$C$94-$G260)/(Control!$C$95-Control!$C$94))))))</f>
        <v>#N/A</v>
      </c>
      <c r="BQ260" s="140" t="e">
        <f t="shared" ca="1" si="713"/>
        <v>#N/A</v>
      </c>
      <c r="BR260" s="140" t="e">
        <f ca="1">IF($BQ260&lt;=Control!$C$88,$BQ260,Control!$C$88-$BQ260)</f>
        <v>#N/A</v>
      </c>
      <c r="BS260" s="140" t="e">
        <f ca="1">IF(AND($BB260&gt;=21,$BB260&lt;30),1,IF($BQ260&gt;=Control!$C$88,0,$BO260))</f>
        <v>#N/A</v>
      </c>
      <c r="BT260" s="404" t="e">
        <f ca="1">IF($BS260=0,0,IF($BQ260&lt;=Control!$C$88,$BO260*(21+(30-21)*(BR260/Control!$C$88)),0))</f>
        <v>#N/A</v>
      </c>
      <c r="BU260" s="140" t="e">
        <f ca="1">IF(BG260+BM260+BS260=1,0,IF(OR(AND($BB260&lt;60,$BB260&gt;=30),$BQ260&gt;=Control!$C$88),1*$BA260,$BY259))</f>
        <v>#N/A</v>
      </c>
      <c r="BV260" s="140" t="e">
        <f ca="1">IF($BR260&lt;0,-$BR260,$BU260*IF(OR($G260&lt;Control!$C$92,$G260&gt;Control!$C$95),0,IF(AND($G260&gt;=Control!$C$92,$G260&lt;=Control!$C$93),$G260-Control!$C$92,IF(AND($G260&gt;Control!$C$93,$G260&lt;=Control!$C$94),Control!$C$93-Control!$C$92,IF(AND($G260&gt;Control!$C$94,$G260&lt;=Control!$C$95),(Control!$C$93-Control!$C$92)*(Control!$C$94-$G260)/(Control!$C$95-Control!$C$94))))))</f>
        <v>#N/A</v>
      </c>
      <c r="BW260" s="140" t="e">
        <f t="shared" ca="1" si="714"/>
        <v>#N/A</v>
      </c>
      <c r="BX260" s="140" t="e">
        <f ca="1">IF($BW260&lt;=Control!$C$89,$BW260,Control!$C$89-$BW260)</f>
        <v>#N/A</v>
      </c>
      <c r="BY260" s="140" t="e">
        <f ca="1">IF(AND($AJ260&gt;=30,$AJ260&lt;60),1,IF($BW260&gt;=Control!$C$89,0,$BU260))</f>
        <v>#N/A</v>
      </c>
      <c r="BZ260" s="404" t="e">
        <f ca="1">IF($BY260=0,0,IF($BW260&lt;=Control!$C$89,$BU260*(30+(60-30)*(BX260/Control!$C$89)),0))</f>
        <v>#N/A</v>
      </c>
      <c r="CA260" s="140" t="e">
        <f ca="1">IF($BG260+$BM260+$BS260+$BY260=1,0,IF(OR(AND($BB260&lt;65,$BB260&gt;=60),$BW260&gt;=Control!$C$89),1*$BA260,$CE259))</f>
        <v>#N/A</v>
      </c>
      <c r="CB260" s="140" t="e">
        <f ca="1">IF($BX260&lt;0,-$BX260,$CA260*IF(OR($G260&lt;Control!$C$92,$G260&gt;Control!$C$95),0,IF(AND($G260&gt;=Control!$C$92,$G260&lt;=Control!$C$93),$G260-Control!$C$92,IF(AND($G260&gt;Control!$C$93,$G260&lt;=Control!$C$94),Control!$C$93-Control!$C$92,IF(AND($G260&gt;Control!$C$94,$G260&lt;=Control!$C$95),(Control!$C$93-Control!$C$92)*(Control!$C$94-$G260)/(Control!$C$95-Control!$C$94))))))</f>
        <v>#N/A</v>
      </c>
      <c r="CC260" s="140" t="e">
        <f t="shared" ca="1" si="830"/>
        <v>#N/A</v>
      </c>
      <c r="CD260" s="140" t="e">
        <f ca="1">IF($CC260&lt;=Control!$C$90,$CC260,Control!$C$90-$CC260)</f>
        <v>#N/A</v>
      </c>
      <c r="CE260" s="140" t="e">
        <f ca="1">IF(AND($BB260&gt;=60,$BB260&lt;65),1,IF($CC260&gt;=Control!$C$90,0,$CA260))</f>
        <v>#N/A</v>
      </c>
      <c r="CF260" s="404" t="e">
        <f ca="1">IF($CE260=0,0,IF($CC260&lt;=Control!$C$90,$CA260*(60+(65-60)*(CD260/Control!$C$90)),0))</f>
        <v>#N/A</v>
      </c>
      <c r="CG260" s="140" t="e">
        <f ca="1">IF($BG260+$BM260+$BS260+$BY260+$CE260=1,0,IF(OR(AND($BB260&lt;90,$BB260&gt;=65),$CC260&gt;=Control!$C$90),$BA260,$CK259))</f>
        <v>#N/A</v>
      </c>
      <c r="CH260" s="140" t="e">
        <f ca="1">IF($CD260&lt;0,-$CD260,$CG260*IF(OR($G260&lt;Control!$C$92,$G260&gt;Control!$C$95),0,IF(AND($G260&gt;=Control!$C$92,$G260&lt;=Control!$C$93),$G260-Control!$C$92,IF(AND($G260&gt;Control!$C$93,$G260&lt;=Control!$C$94),Control!$C$93-Control!$C$92,IF(AND($G260&gt;Control!$C$94,$G260&lt;=Control!$C$95),(Control!$C$93-Control!$C$92)*(Control!$C$94-$G260)/(Control!$C$95-Control!$C$94))))))</f>
        <v>#N/A</v>
      </c>
      <c r="CI260" s="140" t="e">
        <f t="shared" ca="1" si="831"/>
        <v>#N/A</v>
      </c>
      <c r="CJ260" s="140" t="e">
        <f ca="1">IF($CI260&lt;=Control!$C$91,$CI260,Control!$C$91-$CI260)</f>
        <v>#N/A</v>
      </c>
      <c r="CK260" s="140" t="e">
        <f ca="1">IF(AND($BB260&gt;=65,$BB260&lt;90),1,IF($CI260&gt;=Control!$C$91,0,$CG260))</f>
        <v>#N/A</v>
      </c>
      <c r="CL260" s="404" t="e">
        <f ca="1">IF($CK260=0,0,IF($CI260&lt;=Control!$C$91,$CG260*(65+(90-65)*($CJ260/Control!$C$91)),0))</f>
        <v>#N/A</v>
      </c>
      <c r="CM260" s="140" t="e">
        <f ca="1">IF($BG260+$BM260+$BS260+$BY260+$CE260+$CK260=1,0,IF(OR($BB260&gt;=90,$CI260&gt;=Control!$C$91),$BA260,$CM259))</f>
        <v>#N/A</v>
      </c>
      <c r="CN260" s="140" t="e">
        <f t="shared" ca="1" si="832"/>
        <v>#N/A</v>
      </c>
      <c r="CO260" s="140" t="e">
        <f t="shared" ca="1" si="833"/>
        <v>#N/A</v>
      </c>
      <c r="CP260" s="140" t="e">
        <f t="shared" ca="1" si="834"/>
        <v>#N/A</v>
      </c>
      <c r="CQ260" s="141" t="e">
        <f ca="1">VLOOKUP($CP260,Control!$B$86:$G$91,6)</f>
        <v>#N/A</v>
      </c>
      <c r="CR260" s="141" t="e">
        <f ca="1">(1-$CQ260)*VLOOKUP($CP260,Control!$B$86:$D$91,3)</f>
        <v>#N/A</v>
      </c>
      <c r="CS260" s="141" t="e">
        <f ca="1">(1-$CQ260)*VLOOKUP($CP260,Control!$B$86:$E$91,4)</f>
        <v>#N/A</v>
      </c>
      <c r="CT260" s="141" t="e">
        <f ca="1">(1-$CQ260)*VLOOKUP($CP260,Control!$B$86:$F$91,5)</f>
        <v>#N/A</v>
      </c>
      <c r="CU260" s="141">
        <f t="shared" ca="1" si="835"/>
        <v>0</v>
      </c>
      <c r="CV260" s="583">
        <f t="shared" ca="1" si="836"/>
        <v>0</v>
      </c>
      <c r="CW260" s="142">
        <f t="shared" ca="1" si="837"/>
        <v>256</v>
      </c>
      <c r="CX260" s="612" t="e">
        <f ca="1">IF(Control!$C$114=1,(MIN(Control!$C$120*(IF($NT260-0.01&lt;0,0,1)),Control!$C$119-$CY260)))</f>
        <v>#DIV/0!</v>
      </c>
      <c r="CY260" s="143" t="e">
        <f t="shared" ca="1" si="838"/>
        <v>#N/A</v>
      </c>
      <c r="CZ260" s="144">
        <f t="shared" ca="1" si="715"/>
        <v>0</v>
      </c>
      <c r="DA260" s="144">
        <f t="shared" ca="1" si="716"/>
        <v>0</v>
      </c>
      <c r="DB260" s="144" t="e">
        <f t="shared" ca="1" si="717"/>
        <v>#N/A</v>
      </c>
      <c r="DC260" s="144" t="e">
        <f t="shared" ca="1" si="718"/>
        <v>#N/A</v>
      </c>
      <c r="DD260" s="144" t="e">
        <f t="shared" ca="1" si="923"/>
        <v>#N/A</v>
      </c>
      <c r="DE260" s="143" t="e">
        <f t="shared" ca="1" si="839"/>
        <v>#N/A</v>
      </c>
      <c r="DF260" s="145" t="e">
        <f ca="1">$DR260*EXP(-Control!$C$158*(1-$KH260))</f>
        <v>#N/A</v>
      </c>
      <c r="DG260" s="146" t="e">
        <f ca="1">IF(Control!$C$114=1, $DF260*$EY260, 0)</f>
        <v>#N/A</v>
      </c>
      <c r="DH260" s="147" t="e">
        <f t="shared" ca="1" si="840"/>
        <v>#N/A</v>
      </c>
      <c r="DI260" s="144" t="e">
        <f t="shared" ca="1" si="901"/>
        <v>#N/A</v>
      </c>
      <c r="DJ260" s="147" t="e">
        <f ca="1">$EF260*Control!$C$109</f>
        <v>#N/A</v>
      </c>
      <c r="DK260" s="144" t="e">
        <f t="shared" ca="1" si="841"/>
        <v>#N/A</v>
      </c>
      <c r="DL260" s="144" t="e">
        <f t="shared" ca="1" si="719"/>
        <v>#N/A</v>
      </c>
      <c r="DM260" s="144" t="e">
        <f ca="1">IF(Control!$C$114=1, (1-EXP(-Control!$C$96*$DK260))*$AR260, 0)</f>
        <v>#N/A</v>
      </c>
      <c r="DN260" s="144">
        <f t="shared" ca="1" si="842"/>
        <v>0</v>
      </c>
      <c r="DO260" s="148">
        <f>Control!$C$97</f>
        <v>4</v>
      </c>
      <c r="DP260" s="145" t="e">
        <f t="shared" ca="1" si="843"/>
        <v>#N/A</v>
      </c>
      <c r="DQ260" s="145" t="e">
        <f ca="1">IF(AND($CP260&gt;=0,$CP260&lt;=90),Control!$C$111,Control!$C$111)</f>
        <v>#N/A</v>
      </c>
      <c r="DR260" s="145" t="e">
        <f t="shared" ca="1" si="720"/>
        <v>#N/A</v>
      </c>
      <c r="DS260" s="143" t="e">
        <f ca="1">Control!$B$22/$DR260</f>
        <v>#N/A</v>
      </c>
      <c r="DT260" s="149" t="e">
        <f ca="1">IF(AND(Control!$C$114=1,$KH260&lt;1),$IM260*$DF260, 0)</f>
        <v>#N/A</v>
      </c>
      <c r="DU260" s="144" t="e">
        <f t="shared" ca="1" si="844"/>
        <v>#N/A</v>
      </c>
      <c r="DV260" s="144">
        <f ca="1">IF($G260-Control!$C$107&lt;=0, 0, 0.83*LN(MAX($G260, 3))-0.8924)</f>
        <v>0</v>
      </c>
      <c r="DW260" s="144" t="e">
        <f t="shared" ca="1" si="721"/>
        <v>#N/A</v>
      </c>
      <c r="DX260" s="150" t="e">
        <f ca="1">MAX(0.01*(1+$CU260/Control!$C$102),0.05*($DK260-Control!$C$97)/Control!$C$97)</f>
        <v>#N/A</v>
      </c>
      <c r="DY260" s="151" t="e">
        <f ca="1">IF(Control!$C$114=1, $DI260*$FS260, 0)</f>
        <v>#N/A</v>
      </c>
      <c r="DZ260" s="196" t="e">
        <f t="shared" ca="1" si="845"/>
        <v>#N/A</v>
      </c>
      <c r="EA260" s="152">
        <f t="shared" ca="1" si="846"/>
        <v>256</v>
      </c>
      <c r="EB260" s="153" t="e">
        <f t="shared" ca="1" si="847"/>
        <v>#N/A</v>
      </c>
      <c r="EC260" s="153" t="e">
        <f t="shared" ca="1" si="848"/>
        <v>#N/A</v>
      </c>
      <c r="ED260" s="154" t="e">
        <f ca="1">IF(Control!$C$114=1, $HM260*$FY260-$FD260, 0)</f>
        <v>#DIV/0!</v>
      </c>
      <c r="EE260" s="155" t="e">
        <f ca="1">IF(Control!$C$114=1, $HM260*$FZ260-$FF260, 0)</f>
        <v>#DIV/0!</v>
      </c>
      <c r="EF260" s="153" t="e">
        <f t="shared" ca="1" si="902"/>
        <v>#N/A</v>
      </c>
      <c r="EG260" s="155" t="e">
        <f ca="1">IF(Control!$C$114=1, $GX260*$FW260-$FI260, 0)</f>
        <v>#DIV/0!</v>
      </c>
      <c r="EH260" s="153" t="e">
        <f t="shared" ca="1" si="849"/>
        <v>#N/A</v>
      </c>
      <c r="EI260" s="156" t="e">
        <f t="shared" ca="1" si="850"/>
        <v>#N/A</v>
      </c>
      <c r="EJ260" s="155" t="e">
        <f ca="1">IF(Control!$C$114=1, $HM260*$GB260, 0)</f>
        <v>#DIV/0!</v>
      </c>
      <c r="EK260" s="153" t="e">
        <f t="shared" ca="1" si="903"/>
        <v>#N/A</v>
      </c>
      <c r="EL260" s="153" t="e">
        <f t="shared" ca="1" si="722"/>
        <v>#N/A</v>
      </c>
      <c r="EM260" s="153" t="e">
        <f t="shared" ca="1" si="723"/>
        <v>#N/A</v>
      </c>
      <c r="EN260" s="153" t="e">
        <f ca="1">IF(Control!$C$108=1,IF(AND(Control!$B$18=1,$EB260&gt;=Control!$B$19),$EB260-$DS260,IF(AND(Control!$B$18=2,$AW260=1,$EB260&gt;$DS260),$EB260-$DS260,0)))</f>
        <v>#N/A</v>
      </c>
      <c r="EO260" s="153" t="e">
        <f ca="1">IF(Control!$C$108=1,IF(AND(Control!$B$18=1,$EB260&gt;=Control!$B$19),$EF260,IF(AND(Control!$B$18=2,$AW260=1),$EF260,0)))</f>
        <v>#N/A</v>
      </c>
      <c r="EP260" s="153" t="e">
        <f ca="1">IF(Control!$C$108=1,IF(AND(Control!$B$18=1,$EB260&gt;=Control!$B$19),$EK260,IF(AND(Control!$B$18=2,$AW260=1),$EK260,0)))</f>
        <v>#N/A</v>
      </c>
      <c r="EQ260" s="153" t="e">
        <f t="shared" ca="1" si="851"/>
        <v>#N/A</v>
      </c>
      <c r="ER260" s="153" t="e">
        <f t="shared" ca="1" si="852"/>
        <v>#N/A</v>
      </c>
      <c r="ES260" s="153" t="e">
        <f t="shared" ca="1" si="904"/>
        <v>#N/A</v>
      </c>
      <c r="ET260" s="153" t="e">
        <f t="shared" ca="1" si="905"/>
        <v>#N/A</v>
      </c>
      <c r="EU260" s="153" t="e">
        <f t="shared" ca="1" si="853"/>
        <v>#N/A</v>
      </c>
      <c r="EV260" s="153" t="e">
        <f t="shared" ca="1" si="724"/>
        <v>#N/A</v>
      </c>
      <c r="EW260" s="153" t="e">
        <f t="shared" ca="1" si="725"/>
        <v>#N/A</v>
      </c>
      <c r="EX260" s="153" t="e">
        <f t="shared" ca="1" si="726"/>
        <v>#N/A</v>
      </c>
      <c r="EY260" s="157" t="e">
        <f t="shared" ca="1" si="727"/>
        <v>#DIV/0!</v>
      </c>
      <c r="EZ260" s="154" t="e">
        <f t="shared" ca="1" si="728"/>
        <v>#DIV/0!</v>
      </c>
      <c r="FA260" s="153" t="e">
        <f t="shared" ca="1" si="854"/>
        <v>#N/A</v>
      </c>
      <c r="FB260" s="153" t="e">
        <f t="shared" ca="1" si="729"/>
        <v>#N/A</v>
      </c>
      <c r="FC260" s="193" t="e">
        <f t="shared" ca="1" si="730"/>
        <v>#N/A</v>
      </c>
      <c r="FD260" s="158" t="e">
        <f t="shared" ca="1" si="855"/>
        <v>#N/A</v>
      </c>
      <c r="FE260" s="158" t="e">
        <f t="shared" ca="1" si="856"/>
        <v>#N/A</v>
      </c>
      <c r="FF260" s="159" t="e">
        <f t="shared" ca="1" si="731"/>
        <v>#N/A</v>
      </c>
      <c r="FG260" s="160" t="e">
        <f t="shared" ca="1" si="857"/>
        <v>#N/A</v>
      </c>
      <c r="FH260" s="158" t="e">
        <f t="shared" ca="1" si="858"/>
        <v>#N/A</v>
      </c>
      <c r="FI260" s="159" t="e">
        <f t="shared" ca="1" si="732"/>
        <v>#N/A</v>
      </c>
      <c r="FJ260" s="160" t="e">
        <f t="shared" ca="1" si="859"/>
        <v>#N/A</v>
      </c>
      <c r="FK260" s="160" t="e">
        <f t="shared" ca="1" si="733"/>
        <v>#N/A</v>
      </c>
      <c r="FL260" s="160" t="e">
        <f t="shared" ca="1" si="906"/>
        <v>#N/A</v>
      </c>
      <c r="FM260" s="160" t="e">
        <f t="shared" ca="1" si="734"/>
        <v>#N/A</v>
      </c>
      <c r="FN260" s="158">
        <f t="shared" ca="1" si="860"/>
        <v>0.01</v>
      </c>
      <c r="FO260" s="160">
        <f>Control!$C$101</f>
        <v>50</v>
      </c>
      <c r="FP260" s="150" t="e">
        <f t="shared" ca="1" si="735"/>
        <v>#N/A</v>
      </c>
      <c r="FQ260" s="150" t="e">
        <f ca="1">MAX(0,(Control!$C$112*(($DK260-Control!$C$97)/Control!$C$97)))</f>
        <v>#N/A</v>
      </c>
      <c r="FR260" s="150" t="e">
        <f ca="1">(1-$NT260)*Control!$C$113</f>
        <v>#DIV/0!</v>
      </c>
      <c r="FS260" s="198" t="e">
        <f t="shared" ca="1" si="736"/>
        <v>#N/A</v>
      </c>
      <c r="FT260" s="161">
        <f t="shared" ca="1" si="861"/>
        <v>256</v>
      </c>
      <c r="FU260" s="162" t="e">
        <f ca="1">IF(Control!$B$34=1,VLOOKUP($CP260,Control!$B$86:$G$91,6),Control!$B$35)</f>
        <v>#N/A</v>
      </c>
      <c r="FV260" s="162" t="e">
        <f t="shared" ca="1" si="737"/>
        <v>#DIV/0!</v>
      </c>
      <c r="FW260" s="162" t="e">
        <f ca="1">IF(Control!$B$31=1,$FU260*$FV260,  $FU260)</f>
        <v>#N/A</v>
      </c>
      <c r="FX260" s="162" t="e">
        <f ca="1">IF(Control!$B$34=1,VLOOKUP($CP260,Control!$B$86:$G$91,3),Control!$B$36)</f>
        <v>#N/A</v>
      </c>
      <c r="FY260" s="162" t="e">
        <f t="shared" ca="1" si="738"/>
        <v>#N/A</v>
      </c>
      <c r="FZ260" s="162" t="e">
        <f ca="1">IF(Control!$B$34=1,VLOOKUP($CP260,Control!$B$86:$G$91,4),Control!$B$37)</f>
        <v>#N/A</v>
      </c>
      <c r="GA260" s="162" t="e">
        <f t="shared" ca="1" si="739"/>
        <v>#N/A</v>
      </c>
      <c r="GB260" s="162" t="e">
        <f ca="1">IF(Control!$B$34=1,VLOOKUP($CP260,Control!$B$86:$G$91,5),Control!$B$38)</f>
        <v>#N/A</v>
      </c>
      <c r="GC260" s="162" t="e">
        <f t="shared" ca="1" si="862"/>
        <v>#N/A</v>
      </c>
      <c r="GD260" s="162">
        <f t="shared" ca="1" si="740"/>
        <v>1</v>
      </c>
      <c r="GE260" s="162">
        <f t="shared" ca="1" si="741"/>
        <v>1</v>
      </c>
      <c r="GF260" s="162">
        <f ca="1">IF(AND(Control!$C$104=1, Control!$C$62="F"),$GE260,1)</f>
        <v>1</v>
      </c>
      <c r="GG260" s="162" t="e">
        <f ca="1">IF(Control!$B$16=40,0,IF(AND(Control!$B$16&gt;40,Control!$B$16&lt;=360),(Control!$B$16-40)*((1-0)/(360-40)),IF(AND(Control!$B$16&gt;360,Control!$B$16&lt;=720),(1+(Control!$B$16-360)*((1.25-1)/(720-360))),IF(AND(Control!$B$16&gt;720,Control!$B$16&lt;=1000),(1.25+(Control!$B$16-720)*((1.35-1.25)/(1000-720))),IF(AND(Control!$B$16&gt;1000,Control!$B$16&lt;=2000),(1.35+(Control!$B$16-1000)*0))))))</f>
        <v>#N/A</v>
      </c>
      <c r="GH260" s="162" t="e">
        <f t="shared" ca="1" si="742"/>
        <v>#N/A</v>
      </c>
      <c r="GI260" s="162">
        <f t="shared" ca="1" si="863"/>
        <v>0</v>
      </c>
      <c r="GJ260" s="162">
        <f t="shared" ca="1" si="743"/>
        <v>0</v>
      </c>
      <c r="GK260" s="162">
        <f t="shared" ca="1" si="864"/>
        <v>1</v>
      </c>
      <c r="GL260" s="162">
        <f t="shared" ca="1" si="744"/>
        <v>1</v>
      </c>
      <c r="GM260" s="162" t="e">
        <f ca="1">MAX(0,MIN(1,1-Control!$C$156*(1.0001-$KH260)^2))</f>
        <v>#N/A</v>
      </c>
      <c r="GN260" s="162" t="e">
        <f ca="1">IF(Control!$B$26=1,$KU260,$KX260)</f>
        <v>#N/A</v>
      </c>
      <c r="GO260" s="162" t="e">
        <f ca="1">IF($CP260&lt;=60,Control!$C$105,IF($CP260&gt;=90,Control!$C$106,Control!$C$105+($CP260-60)*((Control!$C$106-Control!$C$105)/(90-60))))</f>
        <v>#N/A</v>
      </c>
      <c r="GP260" s="162" t="e">
        <f t="shared" ca="1" si="745"/>
        <v>#N/A</v>
      </c>
      <c r="GQ260" s="162" t="e">
        <f t="shared" ca="1" si="865"/>
        <v>#N/A</v>
      </c>
      <c r="GR260" s="163" t="e">
        <f t="shared" ca="1" si="746"/>
        <v>#DIV/0!</v>
      </c>
      <c r="GS260" s="162" t="e">
        <f t="shared" ca="1" si="747"/>
        <v>#DIV/0!</v>
      </c>
      <c r="GT260" s="164" t="e">
        <f t="shared" ca="1" si="866"/>
        <v>#N/A</v>
      </c>
      <c r="GU260" s="162" t="e">
        <f t="shared" ca="1" si="867"/>
        <v>#N/A</v>
      </c>
      <c r="GV260" s="162" t="e">
        <f t="shared" ca="1" si="748"/>
        <v>#N/A</v>
      </c>
      <c r="GW260" s="162" t="e">
        <f t="shared" ca="1" si="749"/>
        <v>#DIV/0!</v>
      </c>
      <c r="GX260" s="162" t="e">
        <f t="shared" ca="1" si="868"/>
        <v>#DIV/0!</v>
      </c>
      <c r="GY260" s="162" t="e">
        <f t="shared" ca="1" si="869"/>
        <v>#DIV/0!</v>
      </c>
      <c r="GZ260" s="165" t="e">
        <f t="shared" ca="1" si="750"/>
        <v>#N/A</v>
      </c>
      <c r="HA260" s="162" t="e">
        <f ca="1">IF(Control!$C$114=1, $DI260*$FS260, 0)</f>
        <v>#N/A</v>
      </c>
      <c r="HB260" s="162" t="e">
        <f ca="1">$FA260/Control!$C$64</f>
        <v>#N/A</v>
      </c>
      <c r="HC260" s="162" t="e">
        <f t="shared" ca="1" si="751"/>
        <v>#DIV/0!</v>
      </c>
      <c r="HD260" s="162">
        <f ca="1">-ASIN(SIN(23.45*Control!$C$139)*COS(2*Control!$C$138*($AH260+10)/365))</f>
        <v>5.2953658292312876E-2</v>
      </c>
      <c r="HE260" s="165">
        <f t="shared" ca="1" si="870"/>
        <v>0</v>
      </c>
      <c r="HF260" s="166">
        <f ca="1">IF(AND(Control!$C$61="T",$HE260&gt;=Control!$C$103,Control!$C$114=0),$AH260,Control!$C$59)</f>
        <v>1</v>
      </c>
      <c r="HG260" s="166">
        <f ca="1">IF(AND(Control!$C$61="T",$HE260&gt;=Control!$C$103,Control!$C$114=0),$HF260,Control!$C$59)</f>
        <v>1</v>
      </c>
      <c r="HH260" s="165">
        <f ca="1">IF(AND(OR(Control!$C$60&lt;=0, $AH260= Control!$C$59, Control!$C$60 &gt;0, $AH260 = Control!$C$60)), Control!$C$59, IF(Control!$C$60&gt;0, 0))</f>
        <v>1</v>
      </c>
      <c r="HI260" s="165">
        <f ca="1">IF(AND(OR(Control!$C$60&lt;=0, $AH260= Control!$C$59, Control!$C$60 &gt;0, $AH260 = Control!$C$60)), Control!$C$60, IF(Control!$C$60&lt;=0, 0))</f>
        <v>0</v>
      </c>
      <c r="HJ260" s="166">
        <f ca="1">IF(AND(Control!$C$62="F",$CV260&gt;=Control!$C$102),$AH260,0)</f>
        <v>0</v>
      </c>
      <c r="HK260" s="165" t="e">
        <f t="shared" ca="1" si="907"/>
        <v>#N/A</v>
      </c>
      <c r="HL260" s="166">
        <f ca="1">IF(AND(Control!$C$61="T",$HE260&gt;=Control!$C$103,Control!$C$114=0),$HF260,0)</f>
        <v>0</v>
      </c>
      <c r="HM260" s="201" t="e">
        <f t="shared" ca="1" si="752"/>
        <v>#DIV/0!</v>
      </c>
      <c r="HN260" s="215">
        <f t="shared" ca="1" si="871"/>
        <v>256</v>
      </c>
      <c r="HO260" s="216" t="e">
        <f ca="1">IF(AND($CP260&gt;=0, $CP260&lt;=90), Control!$C$152, Control!$C$152)</f>
        <v>#N/A</v>
      </c>
      <c r="HP260" s="216" t="e">
        <f t="shared" ca="1" si="753"/>
        <v>#N/A</v>
      </c>
      <c r="HQ260" s="217" t="e">
        <f ca="1">IF(OR(Control!$B$26=1,Control!$B$26=2),$KV260,$KS260)</f>
        <v>#DIV/0!</v>
      </c>
      <c r="HR260" s="218" t="e">
        <f t="shared" ca="1" si="908"/>
        <v>#DIV/0!</v>
      </c>
      <c r="HS260" s="216" t="e">
        <f ca="1">Control!$C$154*$HP260</f>
        <v>#N/A</v>
      </c>
      <c r="HT260" s="216" t="e">
        <f ca="1">Control!$C$155*$HP260</f>
        <v>#N/A</v>
      </c>
      <c r="HU260" s="217" t="e">
        <f ca="1">Control!$C$161*$FI260</f>
        <v>#N/A</v>
      </c>
      <c r="HV260" s="218" t="e">
        <f t="shared" ca="1" si="872"/>
        <v>#N/A</v>
      </c>
      <c r="HW260" s="218" t="e">
        <f ca="1">Control!$C$160*$FF260+$IP260*$EO260</f>
        <v>#N/A</v>
      </c>
      <c r="HX260" s="218" t="e">
        <f t="shared" ca="1" si="909"/>
        <v>#N/A</v>
      </c>
      <c r="HY260" s="219" t="e">
        <f ca="1">IF(Control!$C$114=1, $EB260*$FS260, 0)</f>
        <v>#N/A</v>
      </c>
      <c r="HZ260" s="91" t="e">
        <f t="shared" ca="1" si="754"/>
        <v>#N/A</v>
      </c>
      <c r="IA260" s="220" t="e">
        <f ca="1">Control!$C$153*$HO260</f>
        <v>#N/A</v>
      </c>
      <c r="IB260" s="218" t="e">
        <f t="shared" ca="1" si="755"/>
        <v>#N/A</v>
      </c>
      <c r="IC260" s="220" t="e">
        <f ca="1">Control!$C$153*$HT260</f>
        <v>#N/A</v>
      </c>
      <c r="ID260" s="218" t="e">
        <f t="shared" ca="1" si="756"/>
        <v>#N/A</v>
      </c>
      <c r="IE260" s="221" t="e">
        <f ca="1">($EB260*Control!$C$159+$EF260*Control!$C$160)/(IF($GZ260&lt;&gt;0,$GZ260,1))</f>
        <v>#N/A</v>
      </c>
      <c r="IF260" s="216" t="e">
        <f t="shared" ca="1" si="757"/>
        <v>#N/A</v>
      </c>
      <c r="IG260" s="91">
        <f ca="1">IF(OR(Control!$B$198=$AH260,Control!$B$199=$AH260, Control!$B$200=$AH260, Control!$B$201=$AH260, Control!$B$202=$AH260, Control!$B$203=$AH260, Control!$B$204=$AH260, Control!$B$205=$AH260, Control!$B$206=$AH260, Control!$B$207=$AH260), 1, 0)</f>
        <v>0</v>
      </c>
      <c r="IH260" s="91">
        <f ca="1">IF($IG260=0,0, VLOOKUP($AH260,Control!$B$198:$C$207,2))</f>
        <v>0</v>
      </c>
      <c r="II260" s="222">
        <f t="shared" ca="1" si="873"/>
        <v>0</v>
      </c>
      <c r="IJ260" s="91">
        <f>Control!$C$121</f>
        <v>0.7</v>
      </c>
      <c r="IK260" s="218">
        <f t="shared" ca="1" si="758"/>
        <v>0</v>
      </c>
      <c r="IL260" s="217" t="e">
        <f t="shared" ca="1" si="910"/>
        <v>#N/A</v>
      </c>
      <c r="IM260" s="223" t="e">
        <f ca="1">IF(AND(Control!$C$114=1,$KH260&lt;1),$EB260*Control!$C$148*(1-$KH260), 0)</f>
        <v>#N/A</v>
      </c>
      <c r="IN260" s="217" t="e">
        <f t="shared" ca="1" si="759"/>
        <v>#DIV/0!</v>
      </c>
      <c r="IO260" s="91" t="e">
        <f ca="1">MAX(0,$IL260-$EF260*Control!$C$160)</f>
        <v>#N/A</v>
      </c>
      <c r="IP260" s="220" t="e">
        <f t="shared" ca="1" si="760"/>
        <v>#N/A</v>
      </c>
      <c r="IQ260" s="217" t="e">
        <f t="shared" ca="1" si="874"/>
        <v>#N/A</v>
      </c>
      <c r="IR260" s="218" t="e">
        <f t="shared" ca="1" si="761"/>
        <v>#N/A</v>
      </c>
      <c r="IS260" s="217" t="e">
        <f ca="1">Control!$C$159*MAX(0,$FD260-$EN260)</f>
        <v>#N/A</v>
      </c>
      <c r="IT260" s="217" t="e">
        <f t="shared" ca="1" si="911"/>
        <v>#N/A</v>
      </c>
      <c r="IU260" s="217" t="e">
        <f t="shared" ca="1" si="875"/>
        <v>#N/A</v>
      </c>
      <c r="IV260" s="217" t="e">
        <f t="shared" ca="1" si="912"/>
        <v>#N/A</v>
      </c>
      <c r="IW260" s="217" t="e">
        <f ca="1">IF(OR($AW260=1,AND($AW260=0, Control!$B$18=1,$EN260&lt;&gt;0)), $IQ260-$IU260, $IQ260)</f>
        <v>#N/A</v>
      </c>
      <c r="IX260" s="218" t="e">
        <f t="shared" ca="1" si="762"/>
        <v>#N/A</v>
      </c>
      <c r="IY260" s="218" t="e">
        <f ca="1">MAX(0,$IQ260-$EB260*Control!$C$159)</f>
        <v>#N/A</v>
      </c>
      <c r="IZ260" s="218" t="e">
        <f t="shared" ca="1" si="763"/>
        <v>#N/A</v>
      </c>
      <c r="JA260" s="216" t="e">
        <f t="shared" ca="1" si="764"/>
        <v>#N/A</v>
      </c>
      <c r="JB260" s="217" t="e">
        <f t="shared" ca="1" si="765"/>
        <v>#N/A</v>
      </c>
      <c r="JC260" s="222" t="e">
        <f ca="1">MAX(Control!$C$157*$EK260-$JT260, 0)/Control!$C$162</f>
        <v>#N/A</v>
      </c>
      <c r="JD260" s="218" t="e">
        <f t="shared" ca="1" si="766"/>
        <v>#N/A</v>
      </c>
      <c r="JE260" s="218" t="e">
        <f t="shared" ca="1" si="767"/>
        <v>#N/A</v>
      </c>
      <c r="JF260" s="218" t="e">
        <f t="shared" ca="1" si="876"/>
        <v>#N/A</v>
      </c>
      <c r="JG260" s="218" t="e">
        <f t="shared" ca="1" si="768"/>
        <v>#N/A</v>
      </c>
      <c r="JH260" s="217" t="e">
        <f t="shared" ca="1" si="877"/>
        <v>#N/A</v>
      </c>
      <c r="JI260" s="217" t="e">
        <f t="shared" ca="1" si="878"/>
        <v>#N/A</v>
      </c>
      <c r="JJ260" s="217" t="e">
        <f t="shared" ca="1" si="913"/>
        <v>#N/A</v>
      </c>
      <c r="JK260" s="217" t="e">
        <f ca="1">IF(Control!$C$114=1,IF(Control!$B$24=0,MAX(0,$JI260)*$GN260/Control!$C$64,(MAX(0,MIN($JI260,$JJ260*$GN260/Control!$C$64),0))))</f>
        <v>#N/A</v>
      </c>
      <c r="JL260" s="217" t="e">
        <f ca="1">$IK260/Control!$C$64-$JK260+$HQ260</f>
        <v>#N/A</v>
      </c>
      <c r="JM260" s="217" t="e">
        <f ca="1">IF(Control!$C$114=1,($JB260/(IF($JI260&lt;&gt;0,$JI260,1)))*$JK260,0)</f>
        <v>#N/A</v>
      </c>
      <c r="JN260" s="217" t="e">
        <f ca="1">IF(Control!$C$114=1,($JG260/(IF($JI260&lt;&gt;0,$JI260,1)))*$JK260, 0)</f>
        <v>#N/A</v>
      </c>
      <c r="JO260" s="218" t="e">
        <f t="shared" ca="1" si="769"/>
        <v>#N/A</v>
      </c>
      <c r="JP260" s="218" t="e">
        <f ca="1">MIN(($IY260+$IO260)*Control!$C$151, $JF260-$EH260*Control!$C$161)</f>
        <v>#N/A</v>
      </c>
      <c r="JQ260" s="218" t="e">
        <f t="shared" ca="1" si="770"/>
        <v>#N/A</v>
      </c>
      <c r="JR260" s="217" t="e">
        <f ca="1">IF($CP260-Control!$C$150&lt;0, 0, $JQ260/Control!$C$162)</f>
        <v>#N/A</v>
      </c>
      <c r="JS260" s="218" t="e">
        <f t="shared" ca="1" si="771"/>
        <v>#N/A</v>
      </c>
      <c r="JT260" s="218" t="e">
        <f t="shared" ca="1" si="879"/>
        <v>#N/A</v>
      </c>
      <c r="JU260" s="218" t="e">
        <f t="shared" ca="1" si="772"/>
        <v>#N/A</v>
      </c>
      <c r="JV260" s="218" t="e">
        <f t="shared" ca="1" si="773"/>
        <v>#N/A</v>
      </c>
      <c r="JW260" s="216" t="e">
        <f t="shared" ca="1" si="774"/>
        <v>#N/A</v>
      </c>
      <c r="JX260" s="91" t="e">
        <f t="shared" ca="1" si="775"/>
        <v>#N/A</v>
      </c>
      <c r="JY260" s="218" t="e">
        <f t="shared" ca="1" si="776"/>
        <v>#N/A</v>
      </c>
      <c r="JZ260" s="217" t="e">
        <f ca="1">IF(Control!$C$114=1,($IZ260/(IF($JI260&lt;&gt;0,$JI260,1)))*$JK260, 0)</f>
        <v>#N/A</v>
      </c>
      <c r="KA260" s="218" t="e">
        <f t="shared" ca="1" si="914"/>
        <v>#N/A</v>
      </c>
      <c r="KB260" s="218" t="e">
        <f t="shared" ca="1" si="880"/>
        <v>#N/A</v>
      </c>
      <c r="KC260" s="218" t="e">
        <f t="shared" ca="1" si="777"/>
        <v>#N/A</v>
      </c>
      <c r="KD260" s="218" t="e">
        <f t="shared" ca="1" si="778"/>
        <v>#N/A</v>
      </c>
      <c r="KE260" s="218" t="e">
        <f t="shared" ca="1" si="779"/>
        <v>#N/A</v>
      </c>
      <c r="KF260" s="218" t="e">
        <f t="shared" ca="1" si="780"/>
        <v>#N/A</v>
      </c>
      <c r="KG260" s="216" t="e">
        <f t="shared" ca="1" si="781"/>
        <v>#N/A</v>
      </c>
      <c r="KH260" s="221" t="e">
        <f ca="1">IF(Control!$B$24=0,1,MAX(0.001,MIN(1,IF(($IF260-$IE260)&lt;&gt;0,($KG260-$IE260)/($IF260-$IE260),1))))</f>
        <v>#N/A</v>
      </c>
      <c r="KI260" s="222" t="e">
        <f ca="1">IF(Control!$C$114=1, $KI259+ $KH259, 0)</f>
        <v>#N/A</v>
      </c>
      <c r="KJ260" s="217" t="e">
        <f t="shared" ca="1" si="782"/>
        <v>#N/A</v>
      </c>
      <c r="KK260" s="218" t="e">
        <f t="shared" ca="1" si="783"/>
        <v>#N/A</v>
      </c>
      <c r="KL260" s="274" t="e">
        <f ca="1">IF(Control!$B$26=3,4000000000*EXP(-8400/($G260+273)),IF(Control!$B$26=4,4000000000*EXP(-8400/($G260+273))*($KT260),0))</f>
        <v>#DIV/0!</v>
      </c>
      <c r="KM260" s="274" t="e">
        <f ca="1">IF(Control!$B$26=3,5600000000000*EXP(-9800/($G260+273)),IF(Control!$B$26=4,5600000000000*EXP(-9800/($G260+273))*$KT260,0))</f>
        <v>#DIV/0!</v>
      </c>
      <c r="KN260" s="454" t="e">
        <f t="shared" ca="1" si="881"/>
        <v>#DIV/0!</v>
      </c>
      <c r="KO260" s="274" t="e">
        <f t="shared" ca="1" si="882"/>
        <v>#DIV/0!</v>
      </c>
      <c r="KP260" s="454" t="e">
        <f t="shared" ca="1" si="784"/>
        <v>#DIV/0!</v>
      </c>
      <c r="KQ260" s="454" t="e">
        <f t="shared" ca="1" si="785"/>
        <v>#DIV/0!</v>
      </c>
      <c r="KR260" s="454" t="e">
        <f t="shared" ca="1" si="786"/>
        <v>#DIV/0!</v>
      </c>
      <c r="KS260" s="454" t="e">
        <f t="shared" ca="1" si="787"/>
        <v>#DIV/0!</v>
      </c>
      <c r="KT260" s="455" t="e">
        <f t="shared" ca="1" si="788"/>
        <v>#DIV/0!</v>
      </c>
      <c r="KU260" s="456" t="e">
        <f ca="1">IF($CP260-Control!$C$149&lt;0, IF($NT260-0.01&lt;0,0,1),0)</f>
        <v>#N/A</v>
      </c>
      <c r="KV260" s="456" t="e">
        <f ca="1">IF(Control!$C$114=1,MAX(0,MIN(Control!$C$125*$KW260*$GN260,$KW260)))</f>
        <v>#DIV/0!</v>
      </c>
      <c r="KW260" s="456" t="e">
        <f t="shared" ca="1" si="915"/>
        <v>#DIV/0!</v>
      </c>
      <c r="KX260" s="457" t="e">
        <f ca="1">IF($CP260-Control!$C$149&lt;0, IF($MR260-$OM260&lt;0,0,1),0)</f>
        <v>#N/A</v>
      </c>
      <c r="KY260" s="167">
        <f t="shared" ca="1" si="883"/>
        <v>256</v>
      </c>
      <c r="KZ260" s="168">
        <f ca="1">1370*(1+0.033*COS(2*Control!$C$138*$AH260/365))</f>
        <v>1356.400380811421</v>
      </c>
      <c r="LA260" s="169">
        <f t="shared" ca="1" si="884"/>
        <v>0.99007294634802301</v>
      </c>
      <c r="LB260" s="169">
        <f t="shared" ca="1" si="885"/>
        <v>5.0892880282476169E-2</v>
      </c>
      <c r="LC260" s="169">
        <f ca="1">ACOS(-TAN((2*Control!$B$8/360))*TAN(Calculations!$LB260))</f>
        <v>1.5859355008183769</v>
      </c>
      <c r="LD260" s="169">
        <f ca="1">((24*60)/PI())*0.082*$LA260*(($LC260*SIN(Control!$B$8*2*PI()/360))*SIN($LB260)+COS(Control!$B$8*2*PI()/360)*COS($LB260)*SIN($LC260))</f>
        <v>25.244086493310302</v>
      </c>
      <c r="LE260" s="170">
        <f t="shared" ca="1" si="789"/>
        <v>25.430838363379603</v>
      </c>
      <c r="LF260" s="170">
        <f ca="1">SIN(Control!$C$139*Control!$B$8)*SIN($HD260)</f>
        <v>4.1708622533726425E-2</v>
      </c>
      <c r="LG260" s="170">
        <f ca="1">COS(Control!$C$139*Control!$B$8)*COS($HD260)</f>
        <v>0.61479682189083751</v>
      </c>
      <c r="LH260" s="170">
        <f ca="1">12*(1+2*ASIN(MAX(-1,MIN(1,$LF260/$LG260))/Control!$C$138))</f>
        <v>12.518308517876992</v>
      </c>
      <c r="LI260" s="170">
        <f ca="1">12*(1+2*ASIN(MAX(-1,MIN(1,(-SIN(-4*Control!$C$139)+$LF260)/$LG260))/Control!$C$138))</f>
        <v>13.385828973184694</v>
      </c>
      <c r="LJ260" s="168">
        <f ca="1">3600*($LH260*$LF260+24*$LG260*SQRT(1-$LK260*$LK260)/Control!$C$138)</f>
        <v>18748.769701882906</v>
      </c>
      <c r="LK260" s="170">
        <f t="shared" ca="1" si="790"/>
        <v>6.7841311224494508E-2</v>
      </c>
      <c r="LL260" s="170">
        <f t="shared" ca="1" si="791"/>
        <v>0</v>
      </c>
      <c r="LM260" s="171">
        <f ca="1">Control!$C$145*$AB260</f>
        <v>6.6660906138995932E-2</v>
      </c>
      <c r="LN260" s="170">
        <f t="shared" ca="1" si="886"/>
        <v>0.54</v>
      </c>
      <c r="LO260" s="170">
        <f t="shared" ca="1" si="792"/>
        <v>0</v>
      </c>
      <c r="LP260" s="170">
        <f ca="1">Control!$C$140*((($D260+273.16)^4+($E260+273.16)^4)/2)*(0.34-0.14*SQRT($Y260))*(1.35*$AQ260/(0.75*$LD260)-0.35)</f>
        <v>-3.2464704755046001</v>
      </c>
      <c r="LQ260" s="170">
        <f ca="1">Control!$C$140*($G260+273)^4*(0.56-0.079*SQRT($Y260*10))*(0.1+0.9*$LO260)</f>
        <v>1.5241745131704001</v>
      </c>
      <c r="LR260" s="170">
        <f ca="1">$AQ260*(1-Control!$C$142)-$LQ260</f>
        <v>-1.5241745131704001</v>
      </c>
      <c r="LS260" s="170">
        <f ca="1">$AQ260*(1-Control!$C$143)-$LQ260</f>
        <v>-1.5241745131704001</v>
      </c>
      <c r="LT260" s="170">
        <f ca="1">$AQ260*(1-Control!$C$144)-$LQ260</f>
        <v>-1.5241745131704001</v>
      </c>
      <c r="LU260" s="169">
        <f ca="1">(1-Control!$C$144)*AQ260-LP260</f>
        <v>3.2464704755046001</v>
      </c>
      <c r="LV260" s="172">
        <f t="shared" ca="1" si="793"/>
        <v>0.79430000000000012</v>
      </c>
      <c r="LW260" s="170">
        <f t="shared" ca="1" si="794"/>
        <v>1.5886000000000002</v>
      </c>
      <c r="LX260" s="170">
        <f ca="1">($AC260*($LR260/Control!$C$141)+$LM260*$LV260)/($AC260+$LM260)</f>
        <v>0.23530094218323697</v>
      </c>
      <c r="LY260" s="170">
        <f ca="1">($AC260*($LS260/Control!$C$141)+$LM260*$LV260)/($AC260+$LM260)</f>
        <v>0.23530094218323697</v>
      </c>
      <c r="LZ260" s="170">
        <f t="shared" ca="1" si="795"/>
        <v>0.23530094218323697</v>
      </c>
      <c r="MA260" s="170">
        <f t="shared" ca="1" si="796"/>
        <v>0.23530094218323697</v>
      </c>
      <c r="MB260" s="170" t="e">
        <f t="shared" ca="1" si="797"/>
        <v>#N/A</v>
      </c>
      <c r="MC260" s="170">
        <f t="shared" ca="1" si="887"/>
        <v>0.6018</v>
      </c>
      <c r="MD260" s="170">
        <f t="shared" ca="1" si="798"/>
        <v>0.52989392535414004</v>
      </c>
      <c r="ME260" s="170">
        <f ca="1">($AC260*($LT260/Control!$C$141)+$LM260*$LW260)/($AC260+$LM260)</f>
        <v>0.71612369323045078</v>
      </c>
      <c r="MF260" s="170" t="e">
        <f ca="1">IF(Control!$B$16&gt;=1000,0.92,IF(AND(720&lt;=Control!$B$16,1000&gt;Control!$B$16),(0.95+(Control!$B$16-720)*((0.92-0.95)/(1000-720))),IF(AND(360&lt;=Control!$B$16,720&gt;Control!$B$16),(1+(Control!$B$16-360)*((0.95-1)/(720-360))),IF(AND(40&lt;=Control!$B$16,360&gt;Control!$B$16),(1.05+(Control!$B$16-40)*((1.05-1)/(360-40)))))))</f>
        <v>#N/A</v>
      </c>
      <c r="MG260" s="170">
        <f t="shared" ca="1" si="799"/>
        <v>0.71612369323045078</v>
      </c>
      <c r="MH260" s="170" t="e">
        <f t="shared" ca="1" si="926"/>
        <v>#N/A</v>
      </c>
      <c r="MI260" s="170" t="e">
        <f t="shared" ca="1" si="926"/>
        <v>#N/A</v>
      </c>
      <c r="MJ260" s="170" t="e">
        <f ca="1">MAX(0.0001, Control!$C$132*$MI260*$DL260)</f>
        <v>#N/A</v>
      </c>
      <c r="MK260" s="170">
        <f ca="1">1/(0.76+1.5*($MG260/10))-(5-Control!$C$110)*0.1</f>
        <v>1.002845988140797</v>
      </c>
      <c r="ML260" s="173">
        <f ca="1">IF(Control!$C$110&lt;3,$MK260+($MG260-0.6)/(Control!$C$110*(Control!$C$110+3)), MAX(0.1, MIN(0.95,$MK260)))</f>
        <v>0.95</v>
      </c>
      <c r="MM260" s="173">
        <f ca="1">IF(Control!$C$110&lt;3,$MK260+(($MI260/10)-0.6)/(Control!$C$110*(Control!$C$110+3)), MAX(0.1, MIN(0.95,$MK260)))</f>
        <v>0.95</v>
      </c>
      <c r="MN260" s="173">
        <f ca="1">(1-$MM260)*(Control!$C$128-Control!$C$127)+Control!$C$127</f>
        <v>0.16</v>
      </c>
      <c r="MO260" s="170" t="e">
        <f ca="1">MAX(0,MIN(1,($MS260-Control!$C$127)/($MN260-Control!$C$127)))</f>
        <v>#DIV/0!</v>
      </c>
      <c r="MP260" s="173" t="e">
        <f ca="1">1/(0.76+1.5*$MI260)-(5-Control!$C$110)*0.1</f>
        <v>#N/A</v>
      </c>
      <c r="MQ260" s="172" t="e">
        <f t="shared" ca="1" si="916"/>
        <v>#DIV/0!</v>
      </c>
      <c r="MR260" s="168" t="e">
        <f t="shared" ca="1" si="888"/>
        <v>#DIV/0!</v>
      </c>
      <c r="MS260" s="173" t="e">
        <f ca="1">MAX(Control!$C$127, MIN(Control!$C$135, $MR260/MAX(0.0001,$CY260)))</f>
        <v>#DIV/0!</v>
      </c>
      <c r="MT260" s="168" t="e">
        <f ca="1">(Control!$C$128-$MS260)*Control!$C$74</f>
        <v>#DIV/0!</v>
      </c>
      <c r="MU260" s="168" t="e">
        <f ca="1">(Control!$C$135-$MS260)*Control!$C$74</f>
        <v>#DIV/0!</v>
      </c>
      <c r="MV260" s="168" t="e">
        <f t="shared" ca="1" si="889"/>
        <v>#DIV/0!</v>
      </c>
      <c r="MW260" s="168" t="e">
        <f t="shared" ca="1" si="890"/>
        <v>#DIV/0!</v>
      </c>
      <c r="MX260" s="171" t="e">
        <f ca="1">MAX(Control!$C$127, MIN(Control!$C$135, $MW260/MAX(0.0001,Control!$C$119-$CY260)))</f>
        <v>#DIV/0!</v>
      </c>
      <c r="MY260" s="54" t="e">
        <f ca="1">IF(Control!$C$114=1, $CX260*$MX260, 0)</f>
        <v>#DIV/0!</v>
      </c>
      <c r="MZ260" s="54" t="e">
        <f t="shared" ca="1" si="891"/>
        <v>#N/A</v>
      </c>
      <c r="NA260" s="168" t="e">
        <f ca="1">(Control!$C$128-$MX260)*(Control!$C$119-Control!$C$74)</f>
        <v>#DIV/0!</v>
      </c>
      <c r="NB260" s="168" t="e">
        <f ca="1">(Control!$C$135-$MX260)*(Control!$C$119-Control!$C$74)</f>
        <v>#DIV/0!</v>
      </c>
      <c r="NC260" s="174" t="e">
        <f t="shared" ca="1" si="892"/>
        <v>#DIV/0!</v>
      </c>
      <c r="ND260" s="54">
        <f ca="1">IF(Control!$C$58=2, IF(OR(Control!$B$218=$AH260,Control!$B$219=$AH260, Control!$B$220=$AH260, Control!$B$221=$AH260, Control!$B$222=$AH260, Control!$B$223=$AH260, Control!$B$224=$AH260, Control!$B$225=$AH260, Control!$B$226=$AH260, Control!$B$227=$AH260, Control!$B$228=$AH260), 1, 0), 0)</f>
        <v>0</v>
      </c>
      <c r="NE260" s="54">
        <f ca="1">IF($ND260=0,0, VLOOKUP($AH260,Control!$B$218:$C$228,2))</f>
        <v>0</v>
      </c>
      <c r="NF260" s="168" t="e">
        <f ca="1">$CY260*(Control!$C$128-Control!$C$127)</f>
        <v>#N/A</v>
      </c>
      <c r="NG260" s="54" t="e">
        <f ca="1">IF(Control!$C$58=2, $NI259-$NJ259, 0)</f>
        <v>#DIV/0!</v>
      </c>
      <c r="NH260" s="54" t="e">
        <f ca="1">IF(AND(Control!$C$58=1, $MS259&lt;= ($MN259+0.02), $I259&lt;10), 0, IF(Control!$C$58=2, $NG259, 0))</f>
        <v>#DIV/0!</v>
      </c>
      <c r="NI260" s="54" t="e">
        <f ca="1">IF(Control!$C$58=2, $NE260+$NH260,0)</f>
        <v>#DIV/0!</v>
      </c>
      <c r="NJ260" s="54" t="e">
        <f ca="1">IF(AND(Control!$C$58=1, $MS260&lt;= ($MN260+0.02), $I260&lt;10), MAX(0, MIN(10, 0.7*($NF260-$MV260))), IF(Control!$C$58=2, MIN(10,$NI260),0))</f>
        <v>#DIV/0!</v>
      </c>
      <c r="NK260" s="54" t="e">
        <f t="shared" ca="1" si="800"/>
        <v>#DIV/0!</v>
      </c>
      <c r="NL260" s="173" t="e">
        <f ca="1">(1-Control!$C$73)*$I260+$NJ260</f>
        <v>#DIV/0!</v>
      </c>
      <c r="NM260" s="172" t="e">
        <f ca="1">IF($NL260&lt;0.5, $MB260* MAX(0, MIN(1, (SQRT($NC260)-SQRT($NC260-1))*Control!$C$71)),0)</f>
        <v>#DIV/0!</v>
      </c>
      <c r="NN260" s="170" t="e">
        <f ca="1">IF($NL260&gt;=5, $MB260, MAX(0,MIN($MB260, $NM260+$NL260,($MS260-Control!$C$129))))</f>
        <v>#DIV/0!</v>
      </c>
      <c r="NO260" s="54">
        <f>IF(Control!$C$133&lt;&gt;1, Control!$C$135-Control!$C$131, 0)</f>
        <v>0.38</v>
      </c>
      <c r="NP260" s="54" t="e">
        <f t="shared" ca="1" si="801"/>
        <v>#DIV/0!</v>
      </c>
      <c r="NQ260" s="173" t="e">
        <f ca="1">MAX(0,MIN(1,(Control!$C$135-$MS260)/(Control!$C$135-$NO260)))</f>
        <v>#DIV/0!</v>
      </c>
      <c r="NR260" s="170" t="e">
        <f ca="1">IF(Control!$C$133&lt;&gt;1, $NQ260+((1-$NP260/4)*(1-$NQ260)),1)</f>
        <v>#DIV/0!</v>
      </c>
      <c r="NS260" s="170" t="e">
        <f ca="1">IF(Control!$B$31=0,$MJ260,MAX(0,MIN($MV260,$MO260*$NR260*$MJ260)))</f>
        <v>#DIV/0!</v>
      </c>
      <c r="NT260" s="170" t="e">
        <f t="shared" ca="1" si="917"/>
        <v>#DIV/0!</v>
      </c>
      <c r="NU260" s="170" t="e">
        <f t="shared" ca="1" si="893"/>
        <v>#N/A</v>
      </c>
      <c r="NV260" s="170" t="e">
        <f t="shared" ca="1" si="802"/>
        <v>#N/A</v>
      </c>
      <c r="NW260" s="175" t="e">
        <f t="shared" ca="1" si="803"/>
        <v>#DIV/0!</v>
      </c>
      <c r="NX260" s="170" t="e">
        <f ca="1">MIN(Control!$C$72+$MU260, $NW260)</f>
        <v>#DIV/0!</v>
      </c>
      <c r="NY260" s="170" t="e">
        <f ca="1">IF($MT260&lt;=$NX260,MIN(Control!$C$72+$NB260,$NX260-$MT260),0)</f>
        <v>#DIV/0!</v>
      </c>
      <c r="NZ260" s="54" t="e">
        <f ca="1">IF(Control!$C$114=1,  $CX260*($MX260-Control!$C$127), 0)</f>
        <v>#DIV/0!</v>
      </c>
      <c r="OA260" s="170" t="e">
        <f t="shared" ca="1" si="804"/>
        <v>#DIV/0!</v>
      </c>
      <c r="OB260" s="170" t="e">
        <f ca="1">IF($NA260 &lt;=$NY260, MIN(Control!$C$72, $NY260-$NA260), 0)</f>
        <v>#DIV/0!</v>
      </c>
      <c r="OC260" s="168" t="e">
        <f t="shared" ca="1" si="805"/>
        <v>#DIV/0!</v>
      </c>
      <c r="OD260" s="168" t="e">
        <f t="shared" ca="1" si="894"/>
        <v>#DIV/0!</v>
      </c>
      <c r="OE260" s="170">
        <f ca="1">Control!$C$73*$I260</f>
        <v>0</v>
      </c>
      <c r="OF260" s="176" t="e">
        <f t="shared" ca="1" si="806"/>
        <v>#DIV/0!</v>
      </c>
      <c r="OG260" s="168" t="e">
        <f t="shared" ca="1" si="807"/>
        <v>#DIV/0!</v>
      </c>
      <c r="OH260" s="168" t="e">
        <f t="shared" ca="1" si="808"/>
        <v>#DIV/0!</v>
      </c>
      <c r="OI260" s="168" t="e">
        <f t="shared" ca="1" si="809"/>
        <v>#DIV/0!</v>
      </c>
      <c r="OJ260" s="168" t="e">
        <f t="shared" ca="1" si="810"/>
        <v>#DIV/0!</v>
      </c>
      <c r="OK260" s="204" t="e">
        <f t="shared" ca="1" si="811"/>
        <v>#DIV/0!</v>
      </c>
      <c r="OL260" s="177">
        <f>Control!$C$127</f>
        <v>0.15</v>
      </c>
      <c r="OM260" s="182" t="e">
        <f t="shared" ca="1" si="812"/>
        <v>#N/A</v>
      </c>
      <c r="ON260" s="177">
        <f>Control!$C$128</f>
        <v>0.35</v>
      </c>
      <c r="OO260" s="182" t="e">
        <f t="shared" ca="1" si="813"/>
        <v>#N/A</v>
      </c>
      <c r="OP260" s="138">
        <f t="shared" ca="1" si="895"/>
        <v>0</v>
      </c>
      <c r="OQ260" s="138" t="e">
        <f t="shared" ca="1" si="918"/>
        <v>#DIV/0!</v>
      </c>
      <c r="OR260" s="138" t="e">
        <f t="shared" ca="1" si="896"/>
        <v>#DIV/0!</v>
      </c>
      <c r="OS260" s="137" t="e">
        <f t="shared" ca="1" si="919"/>
        <v>#DIV/0!</v>
      </c>
      <c r="OT260" s="139" t="e">
        <f t="shared" ca="1" si="920"/>
        <v>#DIV/0!</v>
      </c>
      <c r="OU260" s="138" t="e">
        <f t="shared" ca="1" si="921"/>
        <v>#N/A</v>
      </c>
      <c r="OV260" s="138" t="e">
        <f t="shared" ca="1" si="922"/>
        <v>#DIV/0!</v>
      </c>
      <c r="OW260" s="138" t="e">
        <f t="shared" ca="1" si="897"/>
        <v>#DIV/0!</v>
      </c>
      <c r="OX260" s="138" t="e">
        <f t="shared" ca="1" si="898"/>
        <v>#DIV/0!</v>
      </c>
      <c r="OY260" s="138" t="e">
        <f t="shared" ca="1" si="899"/>
        <v>#DIV/0!</v>
      </c>
      <c r="OZ260" s="138" t="e">
        <f t="shared" ca="1" si="814"/>
        <v>#DIV/0!</v>
      </c>
      <c r="PA260" s="138" t="e">
        <f t="shared" ca="1" si="815"/>
        <v>#DIV/0!</v>
      </c>
      <c r="PB260" s="55">
        <f>IF(Control!$C$61="T", IF(Control!$C$65="F", IF($AH$6-Control!$C$60&lt;0,0,1), IF(365+$AH$6-Control!$C$60&lt;0,0,1)),0)</f>
        <v>0</v>
      </c>
      <c r="PC260" s="55">
        <f ca="1">IF(Control!$C$65="F", IF($AH$6-$HF260&lt;0,0,1), IF(365+$AH$6-$HF260&lt;0,0,1))</f>
        <v>1</v>
      </c>
      <c r="PD260" s="444">
        <f>Control!$C$118</f>
        <v>1500</v>
      </c>
      <c r="PE260" s="180" t="e">
        <f t="shared" ca="1" si="816"/>
        <v>#N/A</v>
      </c>
      <c r="PF260" s="445">
        <f t="shared" ca="1" si="900"/>
        <v>0.71612369323045078</v>
      </c>
      <c r="PT260" s="186"/>
      <c r="PU260" s="186"/>
      <c r="PV260" s="94"/>
      <c r="PW260" s="94"/>
      <c r="PX260" s="94"/>
      <c r="PY260" s="94"/>
      <c r="PZ260" s="94"/>
      <c r="QA260" s="94"/>
      <c r="QB260" s="94"/>
      <c r="QC260" s="94"/>
      <c r="QD260" s="94"/>
      <c r="QE260" s="94"/>
      <c r="QF260" s="94"/>
      <c r="QG260" s="94"/>
      <c r="QH260" s="94"/>
      <c r="QI260" s="94"/>
      <c r="QJ260" s="94"/>
      <c r="QK260" s="94"/>
      <c r="QL260" s="94"/>
      <c r="QM260" s="94"/>
      <c r="QN260" s="94"/>
      <c r="QO260" s="94"/>
      <c r="QP260" s="94"/>
    </row>
    <row r="261" spans="1:458" s="2" customFormat="1" x14ac:dyDescent="0.2">
      <c r="A261" s="395">
        <v>13</v>
      </c>
      <c r="B261" s="396">
        <v>9</v>
      </c>
      <c r="C261" s="387">
        <f ca="1">Weather_data!$B260</f>
        <v>0</v>
      </c>
      <c r="D261" s="388">
        <f ca="1">Weather_data!$F260</f>
        <v>0</v>
      </c>
      <c r="E261" s="388">
        <f ca="1">Weather_data!$E260</f>
        <v>0</v>
      </c>
      <c r="F261" s="388">
        <f t="shared" ca="1" si="817"/>
        <v>0</v>
      </c>
      <c r="G261" s="388">
        <f ca="1">AVERAGE($D261:$E261)+Control!$B$9</f>
        <v>0</v>
      </c>
      <c r="H261" s="388">
        <f ca="1">Weather_data!$G260</f>
        <v>0</v>
      </c>
      <c r="I261" s="388">
        <f ca="1">Weather_data!$I260</f>
        <v>0</v>
      </c>
      <c r="J261" s="388">
        <f ca="1">Weather_data!$H260</f>
        <v>0</v>
      </c>
      <c r="K261" s="389">
        <f ca="1">Weather_data!$D260</f>
        <v>0</v>
      </c>
      <c r="L261" s="388" t="e">
        <f t="shared" ca="1" si="818"/>
        <v>#N/A</v>
      </c>
      <c r="M261" s="388" t="e">
        <f t="shared" ca="1" si="696"/>
        <v>#N/A</v>
      </c>
      <c r="N261" s="388">
        <f t="shared" ca="1" si="697"/>
        <v>-1.0735194351271615E-12</v>
      </c>
      <c r="O261" s="388">
        <f t="shared" ca="1" si="819"/>
        <v>1.0735194351271615E-11</v>
      </c>
      <c r="P261" s="390">
        <v>3</v>
      </c>
      <c r="Q261" s="388">
        <f ca="1">MAX($G261-Control!$C$107,0)</f>
        <v>0</v>
      </c>
      <c r="R261" s="388">
        <f t="shared" ca="1" si="820"/>
        <v>0</v>
      </c>
      <c r="S261" s="388">
        <f t="shared" ca="1" si="698"/>
        <v>0</v>
      </c>
      <c r="T261" s="388">
        <f t="shared" ca="1" si="699"/>
        <v>0</v>
      </c>
      <c r="U261" s="59">
        <f t="shared" ca="1" si="700"/>
        <v>0</v>
      </c>
      <c r="V261" s="391">
        <f ca="1">MAX(0,MIN(Control!$C$100-Control!$C$99,$G261-Control!$C$99)*Control!$C$63)</f>
        <v>0</v>
      </c>
      <c r="W261" s="388">
        <f t="shared" ca="1" si="821"/>
        <v>0</v>
      </c>
      <c r="X261" s="388">
        <f t="shared" ca="1" si="822"/>
        <v>0.6110000000000001</v>
      </c>
      <c r="Y261" s="388">
        <f t="shared" ca="1" si="701"/>
        <v>0</v>
      </c>
      <c r="Z261" s="388">
        <f t="shared" ca="1" si="823"/>
        <v>0.61058800000000002</v>
      </c>
      <c r="AA261" s="388">
        <f t="shared" ca="1" si="702"/>
        <v>0.6018</v>
      </c>
      <c r="AB261" s="388">
        <f ca="1">101.3*EXP(-0.034*Control!$C$66/($G261+273))</f>
        <v>100.69623283836242</v>
      </c>
      <c r="AC261" s="392">
        <f t="shared" ca="1" si="703"/>
        <v>4.3460251046025113E-2</v>
      </c>
      <c r="AD261" s="392">
        <f t="shared" ca="1" si="704"/>
        <v>4.4450382862832649E-2</v>
      </c>
      <c r="AE261" s="388">
        <f t="shared" ca="1" si="705"/>
        <v>0</v>
      </c>
      <c r="AF261" s="388">
        <f ca="1">MAX(0,$G261-Control!$C$92)</f>
        <v>0</v>
      </c>
      <c r="AG261" s="393">
        <f t="shared" ca="1" si="706"/>
        <v>257</v>
      </c>
      <c r="AH261" s="389">
        <f t="shared" ca="1" si="707"/>
        <v>257</v>
      </c>
      <c r="AI261" s="388">
        <f t="shared" ca="1" si="824"/>
        <v>4.6148247015406478E-2</v>
      </c>
      <c r="AJ261" s="388">
        <f ca="1">IF(Control!$C$60&lt;=0,$HH261,$HI261)</f>
        <v>1</v>
      </c>
      <c r="AK261" s="388">
        <f t="shared" ca="1" si="708"/>
        <v>3.0469145188240736</v>
      </c>
      <c r="AL261" s="388">
        <f t="shared" ca="1" si="709"/>
        <v>-5.9511614386442691E-18</v>
      </c>
      <c r="AM261" s="388">
        <f t="shared" ca="1" si="710"/>
        <v>3.0469145188240736</v>
      </c>
      <c r="AN261" s="388">
        <f t="shared" ca="1" si="711"/>
        <v>3.7615589036553043E-2</v>
      </c>
      <c r="AO261" s="388">
        <f ca="1">-0.10453/COS(Control!$B$8*PI()/180)*COS(AN261)</f>
        <v>-0.16966476132829403</v>
      </c>
      <c r="AP261" s="388">
        <f ca="1">ACOS(AO261-TAN(Control!$B$8*PI()/180)*TAN(AN261))</f>
        <v>1.7903901726332454</v>
      </c>
      <c r="AQ261" s="388">
        <f t="shared" ca="1" si="825"/>
        <v>0</v>
      </c>
      <c r="AR261" s="394">
        <f t="shared" ca="1" si="712"/>
        <v>0</v>
      </c>
      <c r="AS261" s="436">
        <f ca="1">IF(Control!$B$18=2,(IF(OR($AH261=Control!$B$175,$AH261=Control!$B$176,$AH261=Control!$B$177,$AH261=Control!$B$178,$AH261=Control!$B$179,$AH261=Control!$B$180,$AH261=Control!$B$181,$AH261=Control!$B$182,$AH261=Control!$B$183,$AH261=Control!$B$184,$AH261=Control!$B$185),1,0)),0)</f>
        <v>0</v>
      </c>
      <c r="AT261" s="436">
        <f>IF(Control!$B$20=8,IF(AND($AH261&gt;=Control!$B$172,$AH261&lt;=Control!$B$173),1,0),0)</f>
        <v>0</v>
      </c>
      <c r="AU261" s="436">
        <f>IF(Control!$B$20=8,IF($AV260=1,1*$AT261,IF($AT261=1,$AU260+1,$AU260)),0)</f>
        <v>0</v>
      </c>
      <c r="AV261" s="436">
        <f>IF(Control!$B$20=8,IF($AU261&gt;=Control!$B$174,1,0),0)</f>
        <v>0</v>
      </c>
      <c r="AW261" s="436">
        <f ca="1">IF(AND(Control!$B$18=2,Control!$B$171=1), $AV261, $AS261)</f>
        <v>0</v>
      </c>
      <c r="AX261" s="436" t="e">
        <f ca="1">IF(AND(Control!$B$18=1,$EU261&gt;=Control!$B$19),-$AY261,IF(AND(Control!$B$18=2,$AW261=1,$EU261&gt;$DS261),-$AY261, IF(Control!$C$108=0,0, IF(Control!$C$108&lt;&gt;0,1))))</f>
        <v>#N/A</v>
      </c>
      <c r="AY261" s="436" t="e">
        <f t="shared" ca="1" si="826"/>
        <v>#N/A</v>
      </c>
      <c r="AZ261" s="436" t="e">
        <f ca="1">IF(AND(Control!$B$18=1,$EB261&gt;Control!$B$19),$AZ260+1, IF(AND(Control!$B$18=2, $AW261=1, $EB261&gt;$DS261), $AZ260+1,$AZ260))</f>
        <v>#N/A</v>
      </c>
      <c r="BA261" s="587">
        <f>IF(Control!$C$81=0,1,IF($AH261&gt;=Control!$C$82,1,0))</f>
        <v>1</v>
      </c>
      <c r="BB261" s="140" t="e">
        <f ca="1">IF($BA261&gt;$BA260,Control!$C$83,IF($AW261&gt;0,$AW261*Control!$C$84,IF(AND(Control!$B$18=1,EN260&lt;&gt;0),Control!$C$84,0)))</f>
        <v>#N/A</v>
      </c>
      <c r="BC261" s="140" t="e">
        <f t="shared" ca="1" si="827"/>
        <v>#N/A</v>
      </c>
      <c r="BD261" s="140" t="e">
        <f ca="1">BC261*IF(OR($G261&lt;Control!$C$92,$G261&gt;Control!$C$95),0,IF(AND($G261&gt;=Control!$C$92,$G261&lt;=Control!$C$93),$G261-Control!$C$92,IF(AND($G261&gt;Control!$C$93,$G261&lt;=Control!$C$94),Control!$C$93-Control!$C$92,IF(AND($G261&gt;Control!$C$94,$G261&lt;=Control!$C$95),(Control!$C$93-Control!$C$92)*(Control!$C$94-$G261)/(Control!$C$95-Control!$C$94)))))</f>
        <v>#N/A</v>
      </c>
      <c r="BE261" s="140" t="e">
        <f t="shared" ca="1" si="828"/>
        <v>#N/A</v>
      </c>
      <c r="BF261" s="140" t="e">
        <f ca="1">IF($BE261&lt;=Control!$C$86,$BE261,Control!$C$86-$BE261)</f>
        <v>#N/A</v>
      </c>
      <c r="BG261" s="140" t="e">
        <f ca="1">IF(AND($AW261=1,Control!$C$84&lt;9),1,IF($BE261&gt;=Control!$C$86,0,$BC261))</f>
        <v>#N/A</v>
      </c>
      <c r="BH261" s="404" t="e">
        <f ca="1">IF($BG261=0,0,IF($BE261&lt;=Control!$C$86,$BC261*9*($BF261/Control!$C$86),0))</f>
        <v>#N/A</v>
      </c>
      <c r="BI261" s="140" t="e">
        <f ca="1">IF($BG261=1,0,IF($BE261&gt;=Control!$C$86,1,IF(AND($BB261&lt;21,$BB261&gt;=9),1,$BM260)))</f>
        <v>#N/A</v>
      </c>
      <c r="BJ261" s="140" t="e">
        <f ca="1">IF($BF261&lt;0,-$BF261,$BI261*IF(OR($G261&lt;Control!$C$92,$G261&gt;Control!$C$95),0,IF(AND($G261&gt;=Control!$C$92,$G261&lt;=Control!$C$93),$G261-Control!$C$92,IF(AND($G261&gt;Control!$C$93,$G261&lt;=Control!$C$94),Control!$C$93-Control!$C$92,IF(AND($G261&gt;Control!$C$94,$G261&lt;=Control!$C$95),(Control!$C$93-Control!$C$92)*(Control!$C$94-$G261)/(Control!$C$95-Control!$C$94))))))</f>
        <v>#N/A</v>
      </c>
      <c r="BK261" s="140" t="e">
        <f t="shared" ca="1" si="829"/>
        <v>#N/A</v>
      </c>
      <c r="BL261" s="140" t="e">
        <f ca="1">IF($BK261&lt;=Control!$C$87,$BK261,Control!$C$87-$BK261)</f>
        <v>#N/A</v>
      </c>
      <c r="BM261" s="140" t="e">
        <f ca="1">IF(AND($BB261&gt;=9,$BB261&lt;21),1,IF($BK261&gt;=Control!$C$87,0,$BI261))</f>
        <v>#N/A</v>
      </c>
      <c r="BN261" s="404" t="e">
        <f ca="1">IF($BM261=0,0,IF($BK261&lt;=Control!$C$87,$BI261*(9+(21-9)*($BL261/Control!$C$87)),0))</f>
        <v>#N/A</v>
      </c>
      <c r="BO261" s="140" t="e">
        <f ca="1">IF($BM261=1,0,IF($BK261&gt;=Control!$C$87,1,IF(AND($BB261&lt;30,$BB261&gt;=21),1,$BS260)))</f>
        <v>#N/A</v>
      </c>
      <c r="BP261" s="140" t="e">
        <f ca="1">IF($BL261&lt;0,-$BL261,$BO261*IF(OR($G261&lt;Control!$C$92,$G261&gt;Control!$C$95),0,IF(AND($G261&gt;=Control!$C$92,$G261&lt;=Control!$C$93),$G261-Control!$C$92,IF(AND($G261&gt;Control!$C$93,$G261&lt;=Control!$C$94),Control!$C$93-Control!$C$92,IF(AND($G261&gt;Control!$C$94,$G261&lt;=Control!$C$95),(Control!$C$93-Control!$C$92)*(Control!$C$94-$G261)/(Control!$C$95-Control!$C$94))))))</f>
        <v>#N/A</v>
      </c>
      <c r="BQ261" s="140" t="e">
        <f t="shared" ca="1" si="713"/>
        <v>#N/A</v>
      </c>
      <c r="BR261" s="140" t="e">
        <f ca="1">IF($BQ261&lt;=Control!$C$88,$BQ261,Control!$C$88-$BQ261)</f>
        <v>#N/A</v>
      </c>
      <c r="BS261" s="140" t="e">
        <f ca="1">IF(AND($BB261&gt;=21,$BB261&lt;30),1,IF($BQ261&gt;=Control!$C$88,0,$BO261))</f>
        <v>#N/A</v>
      </c>
      <c r="BT261" s="404" t="e">
        <f ca="1">IF($BS261=0,0,IF($BQ261&lt;=Control!$C$88,$BO261*(21+(30-21)*(BR261/Control!$C$88)),0))</f>
        <v>#N/A</v>
      </c>
      <c r="BU261" s="140" t="e">
        <f ca="1">IF(BG261+BM261+BS261=1,0,IF(OR(AND($BB261&lt;60,$BB261&gt;=30),$BQ261&gt;=Control!$C$88),1*$BA261,$BY260))</f>
        <v>#N/A</v>
      </c>
      <c r="BV261" s="140" t="e">
        <f ca="1">IF($BR261&lt;0,-$BR261,$BU261*IF(OR($G261&lt;Control!$C$92,$G261&gt;Control!$C$95),0,IF(AND($G261&gt;=Control!$C$92,$G261&lt;=Control!$C$93),$G261-Control!$C$92,IF(AND($G261&gt;Control!$C$93,$G261&lt;=Control!$C$94),Control!$C$93-Control!$C$92,IF(AND($G261&gt;Control!$C$94,$G261&lt;=Control!$C$95),(Control!$C$93-Control!$C$92)*(Control!$C$94-$G261)/(Control!$C$95-Control!$C$94))))))</f>
        <v>#N/A</v>
      </c>
      <c r="BW261" s="140" t="e">
        <f t="shared" ca="1" si="714"/>
        <v>#N/A</v>
      </c>
      <c r="BX261" s="140" t="e">
        <f ca="1">IF($BW261&lt;=Control!$C$89,$BW261,Control!$C$89-$BW261)</f>
        <v>#N/A</v>
      </c>
      <c r="BY261" s="140" t="e">
        <f ca="1">IF(AND($AJ261&gt;=30,$AJ261&lt;60),1,IF($BW261&gt;=Control!$C$89,0,$BU261))</f>
        <v>#N/A</v>
      </c>
      <c r="BZ261" s="404" t="e">
        <f ca="1">IF($BY261=0,0,IF($BW261&lt;=Control!$C$89,$BU261*(30+(60-30)*(BX261/Control!$C$89)),0))</f>
        <v>#N/A</v>
      </c>
      <c r="CA261" s="140" t="e">
        <f ca="1">IF($BG261+$BM261+$BS261+$BY261=1,0,IF(OR(AND($BB261&lt;65,$BB261&gt;=60),$BW261&gt;=Control!$C$89),1*$BA261,$CE260))</f>
        <v>#N/A</v>
      </c>
      <c r="CB261" s="140" t="e">
        <f ca="1">IF($BX261&lt;0,-$BX261,$CA261*IF(OR($G261&lt;Control!$C$92,$G261&gt;Control!$C$95),0,IF(AND($G261&gt;=Control!$C$92,$G261&lt;=Control!$C$93),$G261-Control!$C$92,IF(AND($G261&gt;Control!$C$93,$G261&lt;=Control!$C$94),Control!$C$93-Control!$C$92,IF(AND($G261&gt;Control!$C$94,$G261&lt;=Control!$C$95),(Control!$C$93-Control!$C$92)*(Control!$C$94-$G261)/(Control!$C$95-Control!$C$94))))))</f>
        <v>#N/A</v>
      </c>
      <c r="CC261" s="140" t="e">
        <f t="shared" ca="1" si="830"/>
        <v>#N/A</v>
      </c>
      <c r="CD261" s="140" t="e">
        <f ca="1">IF($CC261&lt;=Control!$C$90,$CC261,Control!$C$90-$CC261)</f>
        <v>#N/A</v>
      </c>
      <c r="CE261" s="140" t="e">
        <f ca="1">IF(AND($BB261&gt;=60,$BB261&lt;65),1,IF($CC261&gt;=Control!$C$90,0,$CA261))</f>
        <v>#N/A</v>
      </c>
      <c r="CF261" s="404" t="e">
        <f ca="1">IF($CE261=0,0,IF($CC261&lt;=Control!$C$90,$CA261*(60+(65-60)*(CD261/Control!$C$90)),0))</f>
        <v>#N/A</v>
      </c>
      <c r="CG261" s="140" t="e">
        <f ca="1">IF($BG261+$BM261+$BS261+$BY261+$CE261=1,0,IF(OR(AND($BB261&lt;90,$BB261&gt;=65),$CC261&gt;=Control!$C$90),$BA261,$CK260))</f>
        <v>#N/A</v>
      </c>
      <c r="CH261" s="140" t="e">
        <f ca="1">IF($CD261&lt;0,-$CD261,$CG261*IF(OR($G261&lt;Control!$C$92,$G261&gt;Control!$C$95),0,IF(AND($G261&gt;=Control!$C$92,$G261&lt;=Control!$C$93),$G261-Control!$C$92,IF(AND($G261&gt;Control!$C$93,$G261&lt;=Control!$C$94),Control!$C$93-Control!$C$92,IF(AND($G261&gt;Control!$C$94,$G261&lt;=Control!$C$95),(Control!$C$93-Control!$C$92)*(Control!$C$94-$G261)/(Control!$C$95-Control!$C$94))))))</f>
        <v>#N/A</v>
      </c>
      <c r="CI261" s="140" t="e">
        <f t="shared" ca="1" si="831"/>
        <v>#N/A</v>
      </c>
      <c r="CJ261" s="140" t="e">
        <f ca="1">IF($CI261&lt;=Control!$C$91,$CI261,Control!$C$91-$CI261)</f>
        <v>#N/A</v>
      </c>
      <c r="CK261" s="140" t="e">
        <f ca="1">IF(AND($BB261&gt;=65,$BB261&lt;90),1,IF($CI261&gt;=Control!$C$91,0,$CG261))</f>
        <v>#N/A</v>
      </c>
      <c r="CL261" s="404" t="e">
        <f ca="1">IF($CK261=0,0,IF($CI261&lt;=Control!$C$91,$CG261*(65+(90-65)*($CJ261/Control!$C$91)),0))</f>
        <v>#N/A</v>
      </c>
      <c r="CM261" s="140" t="e">
        <f ca="1">IF($BG261+$BM261+$BS261+$BY261+$CE261+$CK261=1,0,IF(OR($BB261&gt;=90,$CI261&gt;=Control!$C$91),$BA261,$CM260))</f>
        <v>#N/A</v>
      </c>
      <c r="CN261" s="140" t="e">
        <f t="shared" ca="1" si="832"/>
        <v>#N/A</v>
      </c>
      <c r="CO261" s="140" t="e">
        <f t="shared" ca="1" si="833"/>
        <v>#N/A</v>
      </c>
      <c r="CP261" s="140" t="e">
        <f t="shared" ca="1" si="834"/>
        <v>#N/A</v>
      </c>
      <c r="CQ261" s="141" t="e">
        <f ca="1">VLOOKUP($CP261,Control!$B$86:$G$91,6)</f>
        <v>#N/A</v>
      </c>
      <c r="CR261" s="141" t="e">
        <f ca="1">(1-$CQ261)*VLOOKUP($CP261,Control!$B$86:$D$91,3)</f>
        <v>#N/A</v>
      </c>
      <c r="CS261" s="141" t="e">
        <f ca="1">(1-$CQ261)*VLOOKUP($CP261,Control!$B$86:$E$91,4)</f>
        <v>#N/A</v>
      </c>
      <c r="CT261" s="141" t="e">
        <f ca="1">(1-$CQ261)*VLOOKUP($CP261,Control!$B$86:$F$91,5)</f>
        <v>#N/A</v>
      </c>
      <c r="CU261" s="141">
        <f t="shared" ca="1" si="835"/>
        <v>0</v>
      </c>
      <c r="CV261" s="583">
        <f t="shared" ca="1" si="836"/>
        <v>0</v>
      </c>
      <c r="CW261" s="142">
        <f t="shared" ca="1" si="837"/>
        <v>257</v>
      </c>
      <c r="CX261" s="612" t="e">
        <f ca="1">IF(Control!$C$114=1,(MIN(Control!$C$120*(IF($NT261-0.01&lt;0,0,1)),Control!$C$119-$CY261)))</f>
        <v>#DIV/0!</v>
      </c>
      <c r="CY261" s="143" t="e">
        <f t="shared" ca="1" si="838"/>
        <v>#N/A</v>
      </c>
      <c r="CZ261" s="144">
        <f t="shared" ca="1" si="715"/>
        <v>0</v>
      </c>
      <c r="DA261" s="144">
        <f t="shared" ca="1" si="716"/>
        <v>0</v>
      </c>
      <c r="DB261" s="144" t="e">
        <f t="shared" ca="1" si="717"/>
        <v>#N/A</v>
      </c>
      <c r="DC261" s="144" t="e">
        <f t="shared" ca="1" si="718"/>
        <v>#N/A</v>
      </c>
      <c r="DD261" s="144" t="e">
        <f t="shared" ca="1" si="923"/>
        <v>#N/A</v>
      </c>
      <c r="DE261" s="143" t="e">
        <f t="shared" ca="1" si="839"/>
        <v>#N/A</v>
      </c>
      <c r="DF261" s="145" t="e">
        <f ca="1">$DR261*EXP(-Control!$C$158*(1-$KH261))</f>
        <v>#N/A</v>
      </c>
      <c r="DG261" s="146" t="e">
        <f ca="1">IF(Control!$C$114=1, $DF261*$EY261, 0)</f>
        <v>#N/A</v>
      </c>
      <c r="DH261" s="147" t="e">
        <f t="shared" ca="1" si="840"/>
        <v>#N/A</v>
      </c>
      <c r="DI261" s="144" t="e">
        <f t="shared" ca="1" si="901"/>
        <v>#N/A</v>
      </c>
      <c r="DJ261" s="147" t="e">
        <f ca="1">$EF261*Control!$C$109</f>
        <v>#N/A</v>
      </c>
      <c r="DK261" s="144" t="e">
        <f t="shared" ca="1" si="841"/>
        <v>#N/A</v>
      </c>
      <c r="DL261" s="144" t="e">
        <f t="shared" ca="1" si="719"/>
        <v>#N/A</v>
      </c>
      <c r="DM261" s="144" t="e">
        <f ca="1">IF(Control!$C$114=1, (1-EXP(-Control!$C$96*$DK261))*$AR261, 0)</f>
        <v>#N/A</v>
      </c>
      <c r="DN261" s="144">
        <f t="shared" ca="1" si="842"/>
        <v>0</v>
      </c>
      <c r="DO261" s="148">
        <f>Control!$C$97</f>
        <v>4</v>
      </c>
      <c r="DP261" s="145" t="e">
        <f t="shared" ca="1" si="843"/>
        <v>#N/A</v>
      </c>
      <c r="DQ261" s="145" t="e">
        <f ca="1">IF(AND($CP261&gt;=0,$CP261&lt;=90),Control!$C$111,Control!$C$111)</f>
        <v>#N/A</v>
      </c>
      <c r="DR261" s="145" t="e">
        <f t="shared" ca="1" si="720"/>
        <v>#N/A</v>
      </c>
      <c r="DS261" s="143" t="e">
        <f ca="1">Control!$B$22/$DR261</f>
        <v>#N/A</v>
      </c>
      <c r="DT261" s="149" t="e">
        <f ca="1">IF(AND(Control!$C$114=1,$KH261&lt;1),$IM261*$DF261, 0)</f>
        <v>#N/A</v>
      </c>
      <c r="DU261" s="144" t="e">
        <f t="shared" ca="1" si="844"/>
        <v>#N/A</v>
      </c>
      <c r="DV261" s="144">
        <f ca="1">IF($G261-Control!$C$107&lt;=0, 0, 0.83*LN(MAX($G261, 3))-0.8924)</f>
        <v>0</v>
      </c>
      <c r="DW261" s="144" t="e">
        <f t="shared" ca="1" si="721"/>
        <v>#N/A</v>
      </c>
      <c r="DX261" s="150" t="e">
        <f ca="1">MAX(0.01*(1+$CU261/Control!$C$102),0.05*($DK261-Control!$C$97)/Control!$C$97)</f>
        <v>#N/A</v>
      </c>
      <c r="DY261" s="151" t="e">
        <f ca="1">IF(Control!$C$114=1, $DI261*$FS261, 0)</f>
        <v>#N/A</v>
      </c>
      <c r="DZ261" s="196" t="e">
        <f t="shared" ca="1" si="845"/>
        <v>#N/A</v>
      </c>
      <c r="EA261" s="152">
        <f t="shared" ca="1" si="846"/>
        <v>257</v>
      </c>
      <c r="EB261" s="153" t="e">
        <f t="shared" ca="1" si="847"/>
        <v>#N/A</v>
      </c>
      <c r="EC261" s="153" t="e">
        <f t="shared" ca="1" si="848"/>
        <v>#N/A</v>
      </c>
      <c r="ED261" s="154" t="e">
        <f ca="1">IF(Control!$C$114=1, $HM261*$FY261-$FD261, 0)</f>
        <v>#DIV/0!</v>
      </c>
      <c r="EE261" s="155" t="e">
        <f ca="1">IF(Control!$C$114=1, $HM261*$FZ261-$FF261, 0)</f>
        <v>#DIV/0!</v>
      </c>
      <c r="EF261" s="153" t="e">
        <f t="shared" ca="1" si="902"/>
        <v>#N/A</v>
      </c>
      <c r="EG261" s="155" t="e">
        <f ca="1">IF(Control!$C$114=1, $GX261*$FW261-$FI261, 0)</f>
        <v>#DIV/0!</v>
      </c>
      <c r="EH261" s="153" t="e">
        <f t="shared" ca="1" si="849"/>
        <v>#N/A</v>
      </c>
      <c r="EI261" s="156" t="e">
        <f t="shared" ca="1" si="850"/>
        <v>#N/A</v>
      </c>
      <c r="EJ261" s="155" t="e">
        <f ca="1">IF(Control!$C$114=1, $HM261*$GB261, 0)</f>
        <v>#DIV/0!</v>
      </c>
      <c r="EK261" s="153" t="e">
        <f t="shared" ca="1" si="903"/>
        <v>#N/A</v>
      </c>
      <c r="EL261" s="153" t="e">
        <f t="shared" ca="1" si="722"/>
        <v>#N/A</v>
      </c>
      <c r="EM261" s="153" t="e">
        <f t="shared" ca="1" si="723"/>
        <v>#N/A</v>
      </c>
      <c r="EN261" s="153" t="e">
        <f ca="1">IF(Control!$C$108=1,IF(AND(Control!$B$18=1,$EB261&gt;=Control!$B$19),$EB261-$DS261,IF(AND(Control!$B$18=2,$AW261=1,$EB261&gt;$DS261),$EB261-$DS261,0)))</f>
        <v>#N/A</v>
      </c>
      <c r="EO261" s="153" t="e">
        <f ca="1">IF(Control!$C$108=1,IF(AND(Control!$B$18=1,$EB261&gt;=Control!$B$19),$EF261,IF(AND(Control!$B$18=2,$AW261=1),$EF261,0)))</f>
        <v>#N/A</v>
      </c>
      <c r="EP261" s="153" t="e">
        <f ca="1">IF(Control!$C$108=1,IF(AND(Control!$B$18=1,$EB261&gt;=Control!$B$19),$EK261,IF(AND(Control!$B$18=2,$AW261=1),$EK261,0)))</f>
        <v>#N/A</v>
      </c>
      <c r="EQ261" s="153" t="e">
        <f t="shared" ca="1" si="851"/>
        <v>#N/A</v>
      </c>
      <c r="ER261" s="153" t="e">
        <f t="shared" ca="1" si="852"/>
        <v>#N/A</v>
      </c>
      <c r="ES261" s="153" t="e">
        <f t="shared" ca="1" si="904"/>
        <v>#N/A</v>
      </c>
      <c r="ET261" s="153" t="e">
        <f t="shared" ca="1" si="905"/>
        <v>#N/A</v>
      </c>
      <c r="EU261" s="153" t="e">
        <f t="shared" ca="1" si="853"/>
        <v>#N/A</v>
      </c>
      <c r="EV261" s="153" t="e">
        <f t="shared" ca="1" si="724"/>
        <v>#N/A</v>
      </c>
      <c r="EW261" s="153" t="e">
        <f t="shared" ca="1" si="725"/>
        <v>#N/A</v>
      </c>
      <c r="EX261" s="153" t="e">
        <f t="shared" ca="1" si="726"/>
        <v>#N/A</v>
      </c>
      <c r="EY261" s="157" t="e">
        <f t="shared" ca="1" si="727"/>
        <v>#DIV/0!</v>
      </c>
      <c r="EZ261" s="154" t="e">
        <f t="shared" ca="1" si="728"/>
        <v>#DIV/0!</v>
      </c>
      <c r="FA261" s="153" t="e">
        <f t="shared" ca="1" si="854"/>
        <v>#N/A</v>
      </c>
      <c r="FB261" s="153" t="e">
        <f t="shared" ca="1" si="729"/>
        <v>#N/A</v>
      </c>
      <c r="FC261" s="193" t="e">
        <f t="shared" ca="1" si="730"/>
        <v>#N/A</v>
      </c>
      <c r="FD261" s="158" t="e">
        <f t="shared" ca="1" si="855"/>
        <v>#N/A</v>
      </c>
      <c r="FE261" s="158" t="e">
        <f t="shared" ca="1" si="856"/>
        <v>#N/A</v>
      </c>
      <c r="FF261" s="159" t="e">
        <f t="shared" ca="1" si="731"/>
        <v>#N/A</v>
      </c>
      <c r="FG261" s="160" t="e">
        <f t="shared" ca="1" si="857"/>
        <v>#N/A</v>
      </c>
      <c r="FH261" s="158" t="e">
        <f t="shared" ca="1" si="858"/>
        <v>#N/A</v>
      </c>
      <c r="FI261" s="159" t="e">
        <f t="shared" ca="1" si="732"/>
        <v>#N/A</v>
      </c>
      <c r="FJ261" s="160" t="e">
        <f t="shared" ca="1" si="859"/>
        <v>#N/A</v>
      </c>
      <c r="FK261" s="160" t="e">
        <f t="shared" ca="1" si="733"/>
        <v>#N/A</v>
      </c>
      <c r="FL261" s="160" t="e">
        <f t="shared" ca="1" si="906"/>
        <v>#N/A</v>
      </c>
      <c r="FM261" s="160" t="e">
        <f t="shared" ca="1" si="734"/>
        <v>#N/A</v>
      </c>
      <c r="FN261" s="158">
        <f t="shared" ca="1" si="860"/>
        <v>0.01</v>
      </c>
      <c r="FO261" s="160">
        <f>Control!$C$101</f>
        <v>50</v>
      </c>
      <c r="FP261" s="150" t="e">
        <f t="shared" ca="1" si="735"/>
        <v>#N/A</v>
      </c>
      <c r="FQ261" s="150" t="e">
        <f ca="1">MAX(0,(Control!$C$112*(($DK261-Control!$C$97)/Control!$C$97)))</f>
        <v>#N/A</v>
      </c>
      <c r="FR261" s="150" t="e">
        <f ca="1">(1-$NT261)*Control!$C$113</f>
        <v>#DIV/0!</v>
      </c>
      <c r="FS261" s="198" t="e">
        <f t="shared" ca="1" si="736"/>
        <v>#N/A</v>
      </c>
      <c r="FT261" s="161">
        <f t="shared" ca="1" si="861"/>
        <v>257</v>
      </c>
      <c r="FU261" s="162" t="e">
        <f ca="1">IF(Control!$B$34=1,VLOOKUP($CP261,Control!$B$86:$G$91,6),Control!$B$35)</f>
        <v>#N/A</v>
      </c>
      <c r="FV261" s="162" t="e">
        <f t="shared" ca="1" si="737"/>
        <v>#DIV/0!</v>
      </c>
      <c r="FW261" s="162" t="e">
        <f ca="1">IF(Control!$B$31=1,$FU261*$FV261,  $FU261)</f>
        <v>#N/A</v>
      </c>
      <c r="FX261" s="162" t="e">
        <f ca="1">IF(Control!$B$34=1,VLOOKUP($CP261,Control!$B$86:$G$91,3),Control!$B$36)</f>
        <v>#N/A</v>
      </c>
      <c r="FY261" s="162" t="e">
        <f t="shared" ca="1" si="738"/>
        <v>#N/A</v>
      </c>
      <c r="FZ261" s="162" t="e">
        <f ca="1">IF(Control!$B$34=1,VLOOKUP($CP261,Control!$B$86:$G$91,4),Control!$B$37)</f>
        <v>#N/A</v>
      </c>
      <c r="GA261" s="162" t="e">
        <f t="shared" ca="1" si="739"/>
        <v>#N/A</v>
      </c>
      <c r="GB261" s="162" t="e">
        <f ca="1">IF(Control!$B$34=1,VLOOKUP($CP261,Control!$B$86:$G$91,5),Control!$B$38)</f>
        <v>#N/A</v>
      </c>
      <c r="GC261" s="162" t="e">
        <f t="shared" ca="1" si="862"/>
        <v>#N/A</v>
      </c>
      <c r="GD261" s="162">
        <f t="shared" ca="1" si="740"/>
        <v>1</v>
      </c>
      <c r="GE261" s="162">
        <f t="shared" ca="1" si="741"/>
        <v>1</v>
      </c>
      <c r="GF261" s="162">
        <f ca="1">IF(AND(Control!$C$104=1, Control!$C$62="F"),$GE261,1)</f>
        <v>1</v>
      </c>
      <c r="GG261" s="162" t="e">
        <f ca="1">IF(Control!$B$16=40,0,IF(AND(Control!$B$16&gt;40,Control!$B$16&lt;=360),(Control!$B$16-40)*((1-0)/(360-40)),IF(AND(Control!$B$16&gt;360,Control!$B$16&lt;=720),(1+(Control!$B$16-360)*((1.25-1)/(720-360))),IF(AND(Control!$B$16&gt;720,Control!$B$16&lt;=1000),(1.25+(Control!$B$16-720)*((1.35-1.25)/(1000-720))),IF(AND(Control!$B$16&gt;1000,Control!$B$16&lt;=2000),(1.35+(Control!$B$16-1000)*0))))))</f>
        <v>#N/A</v>
      </c>
      <c r="GH261" s="162" t="e">
        <f t="shared" ca="1" si="742"/>
        <v>#N/A</v>
      </c>
      <c r="GI261" s="162">
        <f t="shared" ca="1" si="863"/>
        <v>0</v>
      </c>
      <c r="GJ261" s="162">
        <f t="shared" ca="1" si="743"/>
        <v>0</v>
      </c>
      <c r="GK261" s="162">
        <f t="shared" ca="1" si="864"/>
        <v>1</v>
      </c>
      <c r="GL261" s="162">
        <f t="shared" ca="1" si="744"/>
        <v>1</v>
      </c>
      <c r="GM261" s="162" t="e">
        <f ca="1">MAX(0,MIN(1,1-Control!$C$156*(1.0001-$KH261)^2))</f>
        <v>#N/A</v>
      </c>
      <c r="GN261" s="162" t="e">
        <f ca="1">IF(Control!$B$26=1,$KU261,$KX261)</f>
        <v>#N/A</v>
      </c>
      <c r="GO261" s="162" t="e">
        <f ca="1">IF($CP261&lt;=60,Control!$C$105,IF($CP261&gt;=90,Control!$C$106,Control!$C$105+($CP261-60)*((Control!$C$106-Control!$C$105)/(90-60))))</f>
        <v>#N/A</v>
      </c>
      <c r="GP261" s="162" t="e">
        <f t="shared" ca="1" si="745"/>
        <v>#N/A</v>
      </c>
      <c r="GQ261" s="162" t="e">
        <f t="shared" ca="1" si="865"/>
        <v>#N/A</v>
      </c>
      <c r="GR261" s="163" t="e">
        <f t="shared" ca="1" si="746"/>
        <v>#DIV/0!</v>
      </c>
      <c r="GS261" s="162" t="e">
        <f t="shared" ca="1" si="747"/>
        <v>#DIV/0!</v>
      </c>
      <c r="GT261" s="164" t="e">
        <f t="shared" ca="1" si="866"/>
        <v>#N/A</v>
      </c>
      <c r="GU261" s="162" t="e">
        <f t="shared" ca="1" si="867"/>
        <v>#N/A</v>
      </c>
      <c r="GV261" s="162" t="e">
        <f t="shared" ca="1" si="748"/>
        <v>#N/A</v>
      </c>
      <c r="GW261" s="162" t="e">
        <f t="shared" ca="1" si="749"/>
        <v>#DIV/0!</v>
      </c>
      <c r="GX261" s="162" t="e">
        <f t="shared" ca="1" si="868"/>
        <v>#DIV/0!</v>
      </c>
      <c r="GY261" s="162" t="e">
        <f t="shared" ca="1" si="869"/>
        <v>#DIV/0!</v>
      </c>
      <c r="GZ261" s="165" t="e">
        <f t="shared" ca="1" si="750"/>
        <v>#N/A</v>
      </c>
      <c r="HA261" s="162" t="e">
        <f ca="1">IF(Control!$C$114=1, $DI261*$FS261, 0)</f>
        <v>#N/A</v>
      </c>
      <c r="HB261" s="162" t="e">
        <f ca="1">$FA261/Control!$C$64</f>
        <v>#N/A</v>
      </c>
      <c r="HC261" s="162" t="e">
        <f t="shared" ca="1" si="751"/>
        <v>#DIV/0!</v>
      </c>
      <c r="HD261" s="162">
        <f ca="1">-ASIN(SIN(23.45*Control!$C$139)*COS(2*Control!$C$138*($AH261+10)/365))</f>
        <v>4.6148247015406478E-2</v>
      </c>
      <c r="HE261" s="165">
        <f t="shared" ca="1" si="870"/>
        <v>0</v>
      </c>
      <c r="HF261" s="166">
        <f ca="1">IF(AND(Control!$C$61="T",$HE261&gt;=Control!$C$103,Control!$C$114=0),$AH261,Control!$C$59)</f>
        <v>1</v>
      </c>
      <c r="HG261" s="166">
        <f ca="1">IF(AND(Control!$C$61="T",$HE261&gt;=Control!$C$103,Control!$C$114=0),$HF261,Control!$C$59)</f>
        <v>1</v>
      </c>
      <c r="HH261" s="165">
        <f ca="1">IF(AND(OR(Control!$C$60&lt;=0, $AH261= Control!$C$59, Control!$C$60 &gt;0, $AH261 = Control!$C$60)), Control!$C$59, IF(Control!$C$60&gt;0, 0))</f>
        <v>1</v>
      </c>
      <c r="HI261" s="165">
        <f ca="1">IF(AND(OR(Control!$C$60&lt;=0, $AH261= Control!$C$59, Control!$C$60 &gt;0, $AH261 = Control!$C$60)), Control!$C$60, IF(Control!$C$60&lt;=0, 0))</f>
        <v>0</v>
      </c>
      <c r="HJ261" s="166">
        <f ca="1">IF(AND(Control!$C$62="F",$CV261&gt;=Control!$C$102),$AH261,0)</f>
        <v>0</v>
      </c>
      <c r="HK261" s="165" t="e">
        <f t="shared" ca="1" si="907"/>
        <v>#N/A</v>
      </c>
      <c r="HL261" s="166">
        <f ca="1">IF(AND(Control!$C$61="T",$HE261&gt;=Control!$C$103,Control!$C$114=0),$HF261,0)</f>
        <v>0</v>
      </c>
      <c r="HM261" s="201" t="e">
        <f t="shared" ca="1" si="752"/>
        <v>#DIV/0!</v>
      </c>
      <c r="HN261" s="215">
        <f t="shared" ca="1" si="871"/>
        <v>257</v>
      </c>
      <c r="HO261" s="216" t="e">
        <f ca="1">IF(AND($CP261&gt;=0, $CP261&lt;=90), Control!$C$152, Control!$C$152)</f>
        <v>#N/A</v>
      </c>
      <c r="HP261" s="216" t="e">
        <f t="shared" ca="1" si="753"/>
        <v>#N/A</v>
      </c>
      <c r="HQ261" s="217" t="e">
        <f ca="1">IF(OR(Control!$B$26=1,Control!$B$26=2),$KV261,$KS261)</f>
        <v>#DIV/0!</v>
      </c>
      <c r="HR261" s="218" t="e">
        <f t="shared" ca="1" si="908"/>
        <v>#DIV/0!</v>
      </c>
      <c r="HS261" s="216" t="e">
        <f ca="1">Control!$C$154*$HP261</f>
        <v>#N/A</v>
      </c>
      <c r="HT261" s="216" t="e">
        <f ca="1">Control!$C$155*$HP261</f>
        <v>#N/A</v>
      </c>
      <c r="HU261" s="217" t="e">
        <f ca="1">Control!$C$161*$FI261</f>
        <v>#N/A</v>
      </c>
      <c r="HV261" s="218" t="e">
        <f t="shared" ca="1" si="872"/>
        <v>#N/A</v>
      </c>
      <c r="HW261" s="218" t="e">
        <f ca="1">Control!$C$160*$FF261+$IP261*$EO261</f>
        <v>#N/A</v>
      </c>
      <c r="HX261" s="218" t="e">
        <f t="shared" ca="1" si="909"/>
        <v>#N/A</v>
      </c>
      <c r="HY261" s="219" t="e">
        <f ca="1">IF(Control!$C$114=1, $EB261*$FS261, 0)</f>
        <v>#N/A</v>
      </c>
      <c r="HZ261" s="91" t="e">
        <f t="shared" ca="1" si="754"/>
        <v>#N/A</v>
      </c>
      <c r="IA261" s="220" t="e">
        <f ca="1">Control!$C$153*$HO261</f>
        <v>#N/A</v>
      </c>
      <c r="IB261" s="218" t="e">
        <f t="shared" ca="1" si="755"/>
        <v>#N/A</v>
      </c>
      <c r="IC261" s="220" t="e">
        <f ca="1">Control!$C$153*$HT261</f>
        <v>#N/A</v>
      </c>
      <c r="ID261" s="218" t="e">
        <f t="shared" ca="1" si="756"/>
        <v>#N/A</v>
      </c>
      <c r="IE261" s="221" t="e">
        <f ca="1">($EB261*Control!$C$159+$EF261*Control!$C$160)/(IF($GZ261&lt;&gt;0,$GZ261,1))</f>
        <v>#N/A</v>
      </c>
      <c r="IF261" s="216" t="e">
        <f t="shared" ca="1" si="757"/>
        <v>#N/A</v>
      </c>
      <c r="IG261" s="91">
        <f ca="1">IF(OR(Control!$B$198=$AH261,Control!$B$199=$AH261, Control!$B$200=$AH261, Control!$B$201=$AH261, Control!$B$202=$AH261, Control!$B$203=$AH261, Control!$B$204=$AH261, Control!$B$205=$AH261, Control!$B$206=$AH261, Control!$B$207=$AH261), 1, 0)</f>
        <v>0</v>
      </c>
      <c r="IH261" s="91">
        <f ca="1">IF($IG261=0,0, VLOOKUP($AH261,Control!$B$198:$C$207,2))</f>
        <v>0</v>
      </c>
      <c r="II261" s="222">
        <f t="shared" ca="1" si="873"/>
        <v>0</v>
      </c>
      <c r="IJ261" s="91">
        <f>Control!$C$121</f>
        <v>0.7</v>
      </c>
      <c r="IK261" s="218">
        <f t="shared" ca="1" si="758"/>
        <v>0</v>
      </c>
      <c r="IL261" s="217" t="e">
        <f t="shared" ca="1" si="910"/>
        <v>#N/A</v>
      </c>
      <c r="IM261" s="223" t="e">
        <f ca="1">IF(AND(Control!$C$114=1,$KH261&lt;1),$EB261*Control!$C$148*(1-$KH261), 0)</f>
        <v>#N/A</v>
      </c>
      <c r="IN261" s="217" t="e">
        <f t="shared" ca="1" si="759"/>
        <v>#DIV/0!</v>
      </c>
      <c r="IO261" s="91" t="e">
        <f ca="1">MAX(0,$IL261-$EF261*Control!$C$160)</f>
        <v>#N/A</v>
      </c>
      <c r="IP261" s="220" t="e">
        <f t="shared" ca="1" si="760"/>
        <v>#N/A</v>
      </c>
      <c r="IQ261" s="217" t="e">
        <f t="shared" ca="1" si="874"/>
        <v>#N/A</v>
      </c>
      <c r="IR261" s="218" t="e">
        <f t="shared" ca="1" si="761"/>
        <v>#N/A</v>
      </c>
      <c r="IS261" s="217" t="e">
        <f ca="1">Control!$C$159*MAX(0,$FD261-$EN261)</f>
        <v>#N/A</v>
      </c>
      <c r="IT261" s="217" t="e">
        <f t="shared" ca="1" si="911"/>
        <v>#N/A</v>
      </c>
      <c r="IU261" s="217" t="e">
        <f t="shared" ca="1" si="875"/>
        <v>#N/A</v>
      </c>
      <c r="IV261" s="217" t="e">
        <f t="shared" ca="1" si="912"/>
        <v>#N/A</v>
      </c>
      <c r="IW261" s="217" t="e">
        <f ca="1">IF(OR($AW261=1,AND($AW261=0, Control!$B$18=1,$EN261&lt;&gt;0)), $IQ261-$IU261, $IQ261)</f>
        <v>#N/A</v>
      </c>
      <c r="IX261" s="218" t="e">
        <f t="shared" ca="1" si="762"/>
        <v>#N/A</v>
      </c>
      <c r="IY261" s="218" t="e">
        <f ca="1">MAX(0,$IQ261-$EB261*Control!$C$159)</f>
        <v>#N/A</v>
      </c>
      <c r="IZ261" s="218" t="e">
        <f t="shared" ca="1" si="763"/>
        <v>#N/A</v>
      </c>
      <c r="JA261" s="216" t="e">
        <f t="shared" ca="1" si="764"/>
        <v>#N/A</v>
      </c>
      <c r="JB261" s="217" t="e">
        <f t="shared" ca="1" si="765"/>
        <v>#N/A</v>
      </c>
      <c r="JC261" s="222" t="e">
        <f ca="1">MAX(Control!$C$157*$EK261-$JT261, 0)/Control!$C$162</f>
        <v>#N/A</v>
      </c>
      <c r="JD261" s="218" t="e">
        <f t="shared" ca="1" si="766"/>
        <v>#N/A</v>
      </c>
      <c r="JE261" s="218" t="e">
        <f t="shared" ca="1" si="767"/>
        <v>#N/A</v>
      </c>
      <c r="JF261" s="218" t="e">
        <f t="shared" ca="1" si="876"/>
        <v>#N/A</v>
      </c>
      <c r="JG261" s="218" t="e">
        <f t="shared" ca="1" si="768"/>
        <v>#N/A</v>
      </c>
      <c r="JH261" s="217" t="e">
        <f t="shared" ca="1" si="877"/>
        <v>#N/A</v>
      </c>
      <c r="JI261" s="217" t="e">
        <f t="shared" ca="1" si="878"/>
        <v>#N/A</v>
      </c>
      <c r="JJ261" s="217" t="e">
        <f t="shared" ca="1" si="913"/>
        <v>#N/A</v>
      </c>
      <c r="JK261" s="217" t="e">
        <f ca="1">IF(Control!$C$114=1,IF(Control!$B$24=0,MAX(0,$JI261)*$GN261/Control!$C$64,(MAX(0,MIN($JI261,$JJ261*$GN261/Control!$C$64),0))))</f>
        <v>#N/A</v>
      </c>
      <c r="JL261" s="217" t="e">
        <f ca="1">$IK261/Control!$C$64-$JK261+$HQ261</f>
        <v>#N/A</v>
      </c>
      <c r="JM261" s="217" t="e">
        <f ca="1">IF(Control!$C$114=1,($JB261/(IF($JI261&lt;&gt;0,$JI261,1)))*$JK261,0)</f>
        <v>#N/A</v>
      </c>
      <c r="JN261" s="217" t="e">
        <f ca="1">IF(Control!$C$114=1,($JG261/(IF($JI261&lt;&gt;0,$JI261,1)))*$JK261, 0)</f>
        <v>#N/A</v>
      </c>
      <c r="JO261" s="218" t="e">
        <f t="shared" ca="1" si="769"/>
        <v>#N/A</v>
      </c>
      <c r="JP261" s="218" t="e">
        <f ca="1">MIN(($IY261+$IO261)*Control!$C$151, $JF261-$EH261*Control!$C$161)</f>
        <v>#N/A</v>
      </c>
      <c r="JQ261" s="218" t="e">
        <f t="shared" ca="1" si="770"/>
        <v>#N/A</v>
      </c>
      <c r="JR261" s="217" t="e">
        <f ca="1">IF($CP261-Control!$C$150&lt;0, 0, $JQ261/Control!$C$162)</f>
        <v>#N/A</v>
      </c>
      <c r="JS261" s="218" t="e">
        <f t="shared" ca="1" si="771"/>
        <v>#N/A</v>
      </c>
      <c r="JT261" s="218" t="e">
        <f t="shared" ca="1" si="879"/>
        <v>#N/A</v>
      </c>
      <c r="JU261" s="218" t="e">
        <f t="shared" ca="1" si="772"/>
        <v>#N/A</v>
      </c>
      <c r="JV261" s="218" t="e">
        <f t="shared" ca="1" si="773"/>
        <v>#N/A</v>
      </c>
      <c r="JW261" s="216" t="e">
        <f t="shared" ca="1" si="774"/>
        <v>#N/A</v>
      </c>
      <c r="JX261" s="91" t="e">
        <f t="shared" ca="1" si="775"/>
        <v>#N/A</v>
      </c>
      <c r="JY261" s="218" t="e">
        <f t="shared" ca="1" si="776"/>
        <v>#N/A</v>
      </c>
      <c r="JZ261" s="217" t="e">
        <f ca="1">IF(Control!$C$114=1,($IZ261/(IF($JI261&lt;&gt;0,$JI261,1)))*$JK261, 0)</f>
        <v>#N/A</v>
      </c>
      <c r="KA261" s="218" t="e">
        <f t="shared" ca="1" si="914"/>
        <v>#N/A</v>
      </c>
      <c r="KB261" s="218" t="e">
        <f t="shared" ca="1" si="880"/>
        <v>#N/A</v>
      </c>
      <c r="KC261" s="218" t="e">
        <f t="shared" ca="1" si="777"/>
        <v>#N/A</v>
      </c>
      <c r="KD261" s="218" t="e">
        <f t="shared" ca="1" si="778"/>
        <v>#N/A</v>
      </c>
      <c r="KE261" s="218" t="e">
        <f t="shared" ca="1" si="779"/>
        <v>#N/A</v>
      </c>
      <c r="KF261" s="218" t="e">
        <f t="shared" ca="1" si="780"/>
        <v>#N/A</v>
      </c>
      <c r="KG261" s="216" t="e">
        <f t="shared" ca="1" si="781"/>
        <v>#N/A</v>
      </c>
      <c r="KH261" s="221" t="e">
        <f ca="1">IF(Control!$B$24=0,1,MAX(0.001,MIN(1,IF(($IF261-$IE261)&lt;&gt;0,($KG261-$IE261)/($IF261-$IE261),1))))</f>
        <v>#N/A</v>
      </c>
      <c r="KI261" s="222" t="e">
        <f ca="1">IF(Control!$C$114=1, $KI260+ $KH260, 0)</f>
        <v>#N/A</v>
      </c>
      <c r="KJ261" s="217" t="e">
        <f t="shared" ca="1" si="782"/>
        <v>#N/A</v>
      </c>
      <c r="KK261" s="218" t="e">
        <f t="shared" ca="1" si="783"/>
        <v>#N/A</v>
      </c>
      <c r="KL261" s="274" t="e">
        <f ca="1">IF(Control!$B$26=3,4000000000*EXP(-8400/($G261+273)),IF(Control!$B$26=4,4000000000*EXP(-8400/($G261+273))*($KT261),0))</f>
        <v>#DIV/0!</v>
      </c>
      <c r="KM261" s="274" t="e">
        <f ca="1">IF(Control!$B$26=3,5600000000000*EXP(-9800/($G261+273)),IF(Control!$B$26=4,5600000000000*EXP(-9800/($G261+273))*$KT261,0))</f>
        <v>#DIV/0!</v>
      </c>
      <c r="KN261" s="454" t="e">
        <f t="shared" ca="1" si="881"/>
        <v>#DIV/0!</v>
      </c>
      <c r="KO261" s="274" t="e">
        <f t="shared" ca="1" si="882"/>
        <v>#DIV/0!</v>
      </c>
      <c r="KP261" s="454" t="e">
        <f t="shared" ca="1" si="784"/>
        <v>#DIV/0!</v>
      </c>
      <c r="KQ261" s="454" t="e">
        <f t="shared" ca="1" si="785"/>
        <v>#DIV/0!</v>
      </c>
      <c r="KR261" s="454" t="e">
        <f t="shared" ca="1" si="786"/>
        <v>#DIV/0!</v>
      </c>
      <c r="KS261" s="454" t="e">
        <f t="shared" ca="1" si="787"/>
        <v>#DIV/0!</v>
      </c>
      <c r="KT261" s="455" t="e">
        <f t="shared" ca="1" si="788"/>
        <v>#DIV/0!</v>
      </c>
      <c r="KU261" s="456" t="e">
        <f ca="1">IF($CP261-Control!$C$149&lt;0, IF($NT261-0.01&lt;0,0,1),0)</f>
        <v>#N/A</v>
      </c>
      <c r="KV261" s="456" t="e">
        <f ca="1">IF(Control!$C$114=1,MAX(0,MIN(Control!$C$125*$KW261*$GN261,$KW261)))</f>
        <v>#DIV/0!</v>
      </c>
      <c r="KW261" s="456" t="e">
        <f t="shared" ca="1" si="915"/>
        <v>#DIV/0!</v>
      </c>
      <c r="KX261" s="457" t="e">
        <f ca="1">IF($CP261-Control!$C$149&lt;0, IF($MR261-$OM261&lt;0,0,1),0)</f>
        <v>#N/A</v>
      </c>
      <c r="KY261" s="167">
        <f t="shared" ca="1" si="883"/>
        <v>257</v>
      </c>
      <c r="KZ261" s="168">
        <f ca="1">1370*(1+0.033*COS(2*Control!$C$138*$AH261/365))</f>
        <v>1357.1445695490113</v>
      </c>
      <c r="LA261" s="169">
        <f t="shared" ca="1" si="884"/>
        <v>0.99061614681972687</v>
      </c>
      <c r="LB261" s="169">
        <f t="shared" ca="1" si="885"/>
        <v>4.3899793651961491E-2</v>
      </c>
      <c r="LC261" s="169">
        <f ca="1">ACOS(-TAN((2*Control!$B$8/360))*TAN(Calculations!$LB261))</f>
        <v>1.5838522417681675</v>
      </c>
      <c r="LD261" s="169">
        <f ca="1">((24*60)/PI())*0.082*$LA261*(($LC261*SIN(Control!$B$8*2*PI()/360))*SIN($LB261)+COS(Control!$B$8*2*PI()/360)*COS($LB261)*SIN($LC261))</f>
        <v>24.938486173266778</v>
      </c>
      <c r="LE261" s="170">
        <f t="shared" ca="1" si="789"/>
        <v>25.125829838873212</v>
      </c>
      <c r="LF261" s="170">
        <f ca="1">SIN(Control!$C$139*Control!$B$8)*SIN($HD261)</f>
        <v>3.6352468928822691E-2</v>
      </c>
      <c r="LG261" s="170">
        <f ca="1">COS(Control!$C$139*Control!$B$8)*COS($HD261)</f>
        <v>0.61500434602519916</v>
      </c>
      <c r="LH261" s="170">
        <f ca="1">12*(1+2*ASIN(MAX(-1,MIN(1,$LF261/$LG261))/Control!$C$138))</f>
        <v>12.451587287413695</v>
      </c>
      <c r="LI261" s="170">
        <f ca="1">12*(1+2*ASIN(MAX(-1,MIN(1,(-SIN(-4*Control!$C$139)+$LF261)/$LG261))/Control!$C$138))</f>
        <v>13.318722382177709</v>
      </c>
      <c r="LJ261" s="168">
        <f ca="1">3600*($LH261*$LF261+24*$LG261*SQRT(1-$LK261*$LK261)/Control!$C$138)</f>
        <v>18513.745994815203</v>
      </c>
      <c r="LK261" s="170">
        <f t="shared" ca="1" si="790"/>
        <v>5.9109287867265228E-2</v>
      </c>
      <c r="LL261" s="170">
        <f t="shared" ca="1" si="791"/>
        <v>0</v>
      </c>
      <c r="LM261" s="171">
        <f ca="1">Control!$C$145*$AB261</f>
        <v>6.6660906138995932E-2</v>
      </c>
      <c r="LN261" s="170">
        <f t="shared" ca="1" si="886"/>
        <v>0.54</v>
      </c>
      <c r="LO261" s="170">
        <f t="shared" ca="1" si="792"/>
        <v>0</v>
      </c>
      <c r="LP261" s="170">
        <f ca="1">Control!$C$140*((($D261+273.16)^4+($E261+273.16)^4)/2)*(0.34-0.14*SQRT($Y261))*(1.35*$AQ261/(0.75*$LD261)-0.35)</f>
        <v>-3.2464704755046001</v>
      </c>
      <c r="LQ261" s="170">
        <f ca="1">Control!$C$140*($G261+273)^4*(0.56-0.079*SQRT($Y261*10))*(0.1+0.9*$LO261)</f>
        <v>1.5241745131704001</v>
      </c>
      <c r="LR261" s="170">
        <f ca="1">$AQ261*(1-Control!$C$142)-$LQ261</f>
        <v>-1.5241745131704001</v>
      </c>
      <c r="LS261" s="170">
        <f ca="1">$AQ261*(1-Control!$C$143)-$LQ261</f>
        <v>-1.5241745131704001</v>
      </c>
      <c r="LT261" s="170">
        <f ca="1">$AQ261*(1-Control!$C$144)-$LQ261</f>
        <v>-1.5241745131704001</v>
      </c>
      <c r="LU261" s="169">
        <f ca="1">(1-Control!$C$144)*AQ261-LP261</f>
        <v>3.2464704755046001</v>
      </c>
      <c r="LV261" s="172">
        <f t="shared" ca="1" si="793"/>
        <v>0.79430000000000012</v>
      </c>
      <c r="LW261" s="170">
        <f t="shared" ca="1" si="794"/>
        <v>1.5886000000000002</v>
      </c>
      <c r="LX261" s="170">
        <f ca="1">($AC261*($LR261/Control!$C$141)+$LM261*$LV261)/($AC261+$LM261)</f>
        <v>0.23530094218323697</v>
      </c>
      <c r="LY261" s="170">
        <f ca="1">($AC261*($LS261/Control!$C$141)+$LM261*$LV261)/($AC261+$LM261)</f>
        <v>0.23530094218323697</v>
      </c>
      <c r="LZ261" s="170">
        <f t="shared" ca="1" si="795"/>
        <v>0.23530094218323697</v>
      </c>
      <c r="MA261" s="170">
        <f t="shared" ca="1" si="796"/>
        <v>0.23530094218323697</v>
      </c>
      <c r="MB261" s="170" t="e">
        <f t="shared" ca="1" si="797"/>
        <v>#N/A</v>
      </c>
      <c r="MC261" s="170">
        <f t="shared" ca="1" si="887"/>
        <v>0.6018</v>
      </c>
      <c r="MD261" s="170">
        <f t="shared" ca="1" si="798"/>
        <v>0.52989392535414004</v>
      </c>
      <c r="ME261" s="170">
        <f ca="1">($AC261*($LT261/Control!$C$141)+$LM261*$LW261)/($AC261+$LM261)</f>
        <v>0.71612369323045078</v>
      </c>
      <c r="MF261" s="170" t="e">
        <f ca="1">IF(Control!$B$16&gt;=1000,0.92,IF(AND(720&lt;=Control!$B$16,1000&gt;Control!$B$16),(0.95+(Control!$B$16-720)*((0.92-0.95)/(1000-720))),IF(AND(360&lt;=Control!$B$16,720&gt;Control!$B$16),(1+(Control!$B$16-360)*((0.95-1)/(720-360))),IF(AND(40&lt;=Control!$B$16,360&gt;Control!$B$16),(1.05+(Control!$B$16-40)*((1.05-1)/(360-40)))))))</f>
        <v>#N/A</v>
      </c>
      <c r="MG261" s="170">
        <f t="shared" ca="1" si="799"/>
        <v>0.71612369323045078</v>
      </c>
      <c r="MH261" s="170" t="e">
        <f t="shared" ca="1" si="926"/>
        <v>#N/A</v>
      </c>
      <c r="MI261" s="170" t="e">
        <f t="shared" ca="1" si="926"/>
        <v>#N/A</v>
      </c>
      <c r="MJ261" s="170" t="e">
        <f ca="1">MAX(0.0001, Control!$C$132*$MI261*$DL261)</f>
        <v>#N/A</v>
      </c>
      <c r="MK261" s="170">
        <f ca="1">1/(0.76+1.5*($MG261/10))-(5-Control!$C$110)*0.1</f>
        <v>1.002845988140797</v>
      </c>
      <c r="ML261" s="173">
        <f ca="1">IF(Control!$C$110&lt;3,$MK261+($MG261-0.6)/(Control!$C$110*(Control!$C$110+3)), MAX(0.1, MIN(0.95,$MK261)))</f>
        <v>0.95</v>
      </c>
      <c r="MM261" s="173">
        <f ca="1">IF(Control!$C$110&lt;3,$MK261+(($MI261/10)-0.6)/(Control!$C$110*(Control!$C$110+3)), MAX(0.1, MIN(0.95,$MK261)))</f>
        <v>0.95</v>
      </c>
      <c r="MN261" s="173">
        <f ca="1">(1-$MM261)*(Control!$C$128-Control!$C$127)+Control!$C$127</f>
        <v>0.16</v>
      </c>
      <c r="MO261" s="170" t="e">
        <f ca="1">MAX(0,MIN(1,($MS261-Control!$C$127)/($MN261-Control!$C$127)))</f>
        <v>#DIV/0!</v>
      </c>
      <c r="MP261" s="173" t="e">
        <f ca="1">1/(0.76+1.5*$MI261)-(5-Control!$C$110)*0.1</f>
        <v>#N/A</v>
      </c>
      <c r="MQ261" s="172" t="e">
        <f t="shared" ca="1" si="916"/>
        <v>#DIV/0!</v>
      </c>
      <c r="MR261" s="168" t="e">
        <f t="shared" ca="1" si="888"/>
        <v>#DIV/0!</v>
      </c>
      <c r="MS261" s="173" t="e">
        <f ca="1">MAX(Control!$C$127, MIN(Control!$C$135, $MR261/MAX(0.0001,$CY261)))</f>
        <v>#DIV/0!</v>
      </c>
      <c r="MT261" s="168" t="e">
        <f ca="1">(Control!$C$128-$MS261)*Control!$C$74</f>
        <v>#DIV/0!</v>
      </c>
      <c r="MU261" s="168" t="e">
        <f ca="1">(Control!$C$135-$MS261)*Control!$C$74</f>
        <v>#DIV/0!</v>
      </c>
      <c r="MV261" s="168" t="e">
        <f t="shared" ca="1" si="889"/>
        <v>#DIV/0!</v>
      </c>
      <c r="MW261" s="168" t="e">
        <f t="shared" ca="1" si="890"/>
        <v>#DIV/0!</v>
      </c>
      <c r="MX261" s="171" t="e">
        <f ca="1">MAX(Control!$C$127, MIN(Control!$C$135, $MW261/MAX(0.0001,Control!$C$119-$CY261)))</f>
        <v>#DIV/0!</v>
      </c>
      <c r="MY261" s="54" t="e">
        <f ca="1">IF(Control!$C$114=1, $CX261*$MX261, 0)</f>
        <v>#DIV/0!</v>
      </c>
      <c r="MZ261" s="54" t="e">
        <f t="shared" ca="1" si="891"/>
        <v>#N/A</v>
      </c>
      <c r="NA261" s="168" t="e">
        <f ca="1">(Control!$C$128-$MX261)*(Control!$C$119-Control!$C$74)</f>
        <v>#DIV/0!</v>
      </c>
      <c r="NB261" s="168" t="e">
        <f ca="1">(Control!$C$135-$MX261)*(Control!$C$119-Control!$C$74)</f>
        <v>#DIV/0!</v>
      </c>
      <c r="NC261" s="174" t="e">
        <f t="shared" ca="1" si="892"/>
        <v>#DIV/0!</v>
      </c>
      <c r="ND261" s="54">
        <f ca="1">IF(Control!$C$58=2, IF(OR(Control!$B$218=$AH261,Control!$B$219=$AH261, Control!$B$220=$AH261, Control!$B$221=$AH261, Control!$B$222=$AH261, Control!$B$223=$AH261, Control!$B$224=$AH261, Control!$B$225=$AH261, Control!$B$226=$AH261, Control!$B$227=$AH261, Control!$B$228=$AH261), 1, 0), 0)</f>
        <v>0</v>
      </c>
      <c r="NE261" s="54">
        <f ca="1">IF($ND261=0,0, VLOOKUP($AH261,Control!$B$218:$C$228,2))</f>
        <v>0</v>
      </c>
      <c r="NF261" s="168" t="e">
        <f ca="1">$CY261*(Control!$C$128-Control!$C$127)</f>
        <v>#N/A</v>
      </c>
      <c r="NG261" s="54" t="e">
        <f ca="1">IF(Control!$C$58=2, $NI260-$NJ260, 0)</f>
        <v>#DIV/0!</v>
      </c>
      <c r="NH261" s="54" t="e">
        <f ca="1">IF(AND(Control!$C$58=1, $MS260&lt;= ($MN260+0.02), $I260&lt;10), 0, IF(Control!$C$58=2, $NG260, 0))</f>
        <v>#DIV/0!</v>
      </c>
      <c r="NI261" s="54" t="e">
        <f ca="1">IF(Control!$C$58=2, $NE261+$NH261,0)</f>
        <v>#DIV/0!</v>
      </c>
      <c r="NJ261" s="54" t="e">
        <f ca="1">IF(AND(Control!$C$58=1, $MS261&lt;= ($MN261+0.02), $I261&lt;10), MAX(0, MIN(10, 0.7*($NF261-$MV261))), IF(Control!$C$58=2, MIN(10,$NI261),0))</f>
        <v>#DIV/0!</v>
      </c>
      <c r="NK261" s="54" t="e">
        <f t="shared" ca="1" si="800"/>
        <v>#DIV/0!</v>
      </c>
      <c r="NL261" s="173" t="e">
        <f ca="1">(1-Control!$C$73)*$I261+$NJ261</f>
        <v>#DIV/0!</v>
      </c>
      <c r="NM261" s="172" t="e">
        <f ca="1">IF($NL261&lt;0.5, $MB261* MAX(0, MIN(1, (SQRT($NC261)-SQRT($NC261-1))*Control!$C$71)),0)</f>
        <v>#DIV/0!</v>
      </c>
      <c r="NN261" s="170" t="e">
        <f ca="1">IF($NL261&gt;=5, $MB261, MAX(0,MIN($MB261, $NM261+$NL261,($MS261-Control!$C$129))))</f>
        <v>#DIV/0!</v>
      </c>
      <c r="NO261" s="54">
        <f>IF(Control!$C$133&lt;&gt;1, Control!$C$135-Control!$C$131, 0)</f>
        <v>0.38</v>
      </c>
      <c r="NP261" s="54" t="e">
        <f t="shared" ca="1" si="801"/>
        <v>#DIV/0!</v>
      </c>
      <c r="NQ261" s="173" t="e">
        <f ca="1">MAX(0,MIN(1,(Control!$C$135-$MS261)/(Control!$C$135-$NO261)))</f>
        <v>#DIV/0!</v>
      </c>
      <c r="NR261" s="170" t="e">
        <f ca="1">IF(Control!$C$133&lt;&gt;1, $NQ261+((1-$NP261/4)*(1-$NQ261)),1)</f>
        <v>#DIV/0!</v>
      </c>
      <c r="NS261" s="170" t="e">
        <f ca="1">IF(Control!$B$31=0,$MJ261,MAX(0,MIN($MV261,$MO261*$NR261*$MJ261)))</f>
        <v>#DIV/0!</v>
      </c>
      <c r="NT261" s="170" t="e">
        <f t="shared" ca="1" si="917"/>
        <v>#DIV/0!</v>
      </c>
      <c r="NU261" s="170" t="e">
        <f t="shared" ca="1" si="893"/>
        <v>#N/A</v>
      </c>
      <c r="NV261" s="170" t="e">
        <f t="shared" ca="1" si="802"/>
        <v>#N/A</v>
      </c>
      <c r="NW261" s="175" t="e">
        <f t="shared" ca="1" si="803"/>
        <v>#DIV/0!</v>
      </c>
      <c r="NX261" s="170" t="e">
        <f ca="1">MIN(Control!$C$72+$MU261, $NW261)</f>
        <v>#DIV/0!</v>
      </c>
      <c r="NY261" s="170" t="e">
        <f ca="1">IF($MT261&lt;=$NX261,MIN(Control!$C$72+$NB261,$NX261-$MT261),0)</f>
        <v>#DIV/0!</v>
      </c>
      <c r="NZ261" s="54" t="e">
        <f ca="1">IF(Control!$C$114=1,  $CX261*($MX261-Control!$C$127), 0)</f>
        <v>#DIV/0!</v>
      </c>
      <c r="OA261" s="170" t="e">
        <f t="shared" ca="1" si="804"/>
        <v>#DIV/0!</v>
      </c>
      <c r="OB261" s="170" t="e">
        <f ca="1">IF($NA261 &lt;=$NY261, MIN(Control!$C$72, $NY261-$NA261), 0)</f>
        <v>#DIV/0!</v>
      </c>
      <c r="OC261" s="168" t="e">
        <f t="shared" ca="1" si="805"/>
        <v>#DIV/0!</v>
      </c>
      <c r="OD261" s="168" t="e">
        <f t="shared" ca="1" si="894"/>
        <v>#DIV/0!</v>
      </c>
      <c r="OE261" s="170">
        <f ca="1">Control!$C$73*$I261</f>
        <v>0</v>
      </c>
      <c r="OF261" s="176" t="e">
        <f t="shared" ca="1" si="806"/>
        <v>#DIV/0!</v>
      </c>
      <c r="OG261" s="168" t="e">
        <f t="shared" ca="1" si="807"/>
        <v>#DIV/0!</v>
      </c>
      <c r="OH261" s="168" t="e">
        <f t="shared" ca="1" si="808"/>
        <v>#DIV/0!</v>
      </c>
      <c r="OI261" s="168" t="e">
        <f t="shared" ca="1" si="809"/>
        <v>#DIV/0!</v>
      </c>
      <c r="OJ261" s="168" t="e">
        <f t="shared" ca="1" si="810"/>
        <v>#DIV/0!</v>
      </c>
      <c r="OK261" s="204" t="e">
        <f t="shared" ca="1" si="811"/>
        <v>#DIV/0!</v>
      </c>
      <c r="OL261" s="177">
        <f>Control!$C$127</f>
        <v>0.15</v>
      </c>
      <c r="OM261" s="182" t="e">
        <f t="shared" ca="1" si="812"/>
        <v>#N/A</v>
      </c>
      <c r="ON261" s="177">
        <f>Control!$C$128</f>
        <v>0.35</v>
      </c>
      <c r="OO261" s="182" t="e">
        <f t="shared" ca="1" si="813"/>
        <v>#N/A</v>
      </c>
      <c r="OP261" s="138">
        <f t="shared" ca="1" si="895"/>
        <v>0</v>
      </c>
      <c r="OQ261" s="138" t="e">
        <f t="shared" ca="1" si="918"/>
        <v>#DIV/0!</v>
      </c>
      <c r="OR261" s="138" t="e">
        <f t="shared" ca="1" si="896"/>
        <v>#DIV/0!</v>
      </c>
      <c r="OS261" s="137" t="e">
        <f t="shared" ca="1" si="919"/>
        <v>#DIV/0!</v>
      </c>
      <c r="OT261" s="139" t="e">
        <f t="shared" ca="1" si="920"/>
        <v>#DIV/0!</v>
      </c>
      <c r="OU261" s="138" t="e">
        <f t="shared" ca="1" si="921"/>
        <v>#N/A</v>
      </c>
      <c r="OV261" s="138" t="e">
        <f t="shared" ca="1" si="922"/>
        <v>#DIV/0!</v>
      </c>
      <c r="OW261" s="138" t="e">
        <f t="shared" ca="1" si="897"/>
        <v>#DIV/0!</v>
      </c>
      <c r="OX261" s="138" t="e">
        <f t="shared" ca="1" si="898"/>
        <v>#DIV/0!</v>
      </c>
      <c r="OY261" s="138" t="e">
        <f t="shared" ca="1" si="899"/>
        <v>#DIV/0!</v>
      </c>
      <c r="OZ261" s="138" t="e">
        <f t="shared" ca="1" si="814"/>
        <v>#DIV/0!</v>
      </c>
      <c r="PA261" s="138" t="e">
        <f t="shared" ca="1" si="815"/>
        <v>#DIV/0!</v>
      </c>
      <c r="PB261" s="55">
        <f>IF(Control!$C$61="T", IF(Control!$C$65="F", IF($AH$6-Control!$C$60&lt;0,0,1), IF(365+$AH$6-Control!$C$60&lt;0,0,1)),0)</f>
        <v>0</v>
      </c>
      <c r="PC261" s="55">
        <f ca="1">IF(Control!$C$65="F", IF($AH$6-$HF261&lt;0,0,1), IF(365+$AH$6-$HF261&lt;0,0,1))</f>
        <v>1</v>
      </c>
      <c r="PD261" s="444">
        <f>Control!$C$118</f>
        <v>1500</v>
      </c>
      <c r="PE261" s="180" t="e">
        <f t="shared" ca="1" si="816"/>
        <v>#N/A</v>
      </c>
      <c r="PF261" s="445">
        <f t="shared" ca="1" si="900"/>
        <v>0.71612369323045078</v>
      </c>
      <c r="PT261" s="186"/>
      <c r="PU261" s="186"/>
      <c r="PV261" s="94"/>
      <c r="PW261" s="94"/>
      <c r="PX261" s="94"/>
      <c r="PY261" s="94"/>
      <c r="PZ261" s="94"/>
      <c r="QA261" s="94"/>
      <c r="QB261" s="94"/>
      <c r="QC261" s="94"/>
      <c r="QD261" s="94"/>
      <c r="QE261" s="94"/>
      <c r="QF261" s="94"/>
      <c r="QG261" s="94"/>
      <c r="QH261" s="94"/>
      <c r="QI261" s="94"/>
      <c r="QJ261" s="94"/>
      <c r="QK261" s="94"/>
      <c r="QL261" s="94"/>
      <c r="QM261" s="94"/>
      <c r="QN261" s="94"/>
      <c r="QO261" s="94"/>
      <c r="QP261" s="94"/>
    </row>
    <row r="262" spans="1:458" s="2" customFormat="1" x14ac:dyDescent="0.2">
      <c r="A262" s="395">
        <v>14</v>
      </c>
      <c r="B262" s="396">
        <v>9</v>
      </c>
      <c r="C262" s="387">
        <f ca="1">Weather_data!$B261</f>
        <v>0</v>
      </c>
      <c r="D262" s="388">
        <f ca="1">Weather_data!$F261</f>
        <v>0</v>
      </c>
      <c r="E262" s="388">
        <f ca="1">Weather_data!$E261</f>
        <v>0</v>
      </c>
      <c r="F262" s="388">
        <f t="shared" ca="1" si="817"/>
        <v>0</v>
      </c>
      <c r="G262" s="388">
        <f ca="1">AVERAGE($D262:$E262)+Control!$B$9</f>
        <v>0</v>
      </c>
      <c r="H262" s="388">
        <f ca="1">Weather_data!$G261</f>
        <v>0</v>
      </c>
      <c r="I262" s="388">
        <f ca="1">Weather_data!$I261</f>
        <v>0</v>
      </c>
      <c r="J262" s="388">
        <f ca="1">Weather_data!$H261</f>
        <v>0</v>
      </c>
      <c r="K262" s="389">
        <f ca="1">Weather_data!$D261</f>
        <v>0</v>
      </c>
      <c r="L262" s="388" t="e">
        <f t="shared" ca="1" si="818"/>
        <v>#N/A</v>
      </c>
      <c r="M262" s="388" t="e">
        <f t="shared" ref="M262:M325" ca="1" si="927">($EX262/10)/IF($L262&lt;&gt;0, $L262, 1)</f>
        <v>#N/A</v>
      </c>
      <c r="N262" s="388">
        <f t="shared" ref="N262:N325" ca="1" si="928">($G262-$O262)/10</f>
        <v>-9.6616749161444531E-13</v>
      </c>
      <c r="O262" s="388">
        <f t="shared" ca="1" si="819"/>
        <v>9.6616749161444535E-12</v>
      </c>
      <c r="P262" s="390">
        <v>3</v>
      </c>
      <c r="Q262" s="388">
        <f ca="1">MAX($G262-Control!$C$107,0)</f>
        <v>0</v>
      </c>
      <c r="R262" s="388">
        <f t="shared" ca="1" si="820"/>
        <v>0</v>
      </c>
      <c r="S262" s="388">
        <f t="shared" ref="S262:S325" ca="1" si="929">MAX(0, $R262)</f>
        <v>0</v>
      </c>
      <c r="T262" s="388">
        <f t="shared" ref="T262:T325" ca="1" si="930">$S262*$PC262</f>
        <v>0</v>
      </c>
      <c r="U262" s="59">
        <f t="shared" ref="U262:U325" ca="1" si="931">$S262*$PC262*$GF262</f>
        <v>0</v>
      </c>
      <c r="V262" s="391">
        <f ca="1">MAX(0,MIN(Control!$C$100-Control!$C$99,$G262-Control!$C$99)*Control!$C$63)</f>
        <v>0</v>
      </c>
      <c r="W262" s="388">
        <f t="shared" ca="1" si="821"/>
        <v>0</v>
      </c>
      <c r="X262" s="388">
        <f t="shared" ca="1" si="822"/>
        <v>0.6110000000000001</v>
      </c>
      <c r="Y262" s="388">
        <f t="shared" ref="Y262:Y325" ca="1" si="932">MIN($H262,$X262)</f>
        <v>0</v>
      </c>
      <c r="Z262" s="388">
        <f t="shared" ca="1" si="823"/>
        <v>0.61058800000000002</v>
      </c>
      <c r="AA262" s="388">
        <f t="shared" ref="AA262:AA325" ca="1" si="933">(0.6018*EXP((17.27*D262)/(D262+237.3))+0.6018*EXP((17.27*E262)/(E262+237.3)))/2</f>
        <v>0.6018</v>
      </c>
      <c r="AB262" s="388">
        <f ca="1">101.3*EXP(-0.034*Control!$C$66/($G262+273))</f>
        <v>100.69623283836242</v>
      </c>
      <c r="AC262" s="392">
        <f t="shared" ref="AC262:AC325" ca="1" si="934">(239*17*$X262/($G262+239)^2)</f>
        <v>4.3460251046025113E-2</v>
      </c>
      <c r="AD262" s="392">
        <f t="shared" ref="AD262:AD325" ca="1" si="935">4098*(0.6108*EXP((17.27*G262)/(G262+237.3)))/(G262+237.3)^2</f>
        <v>4.4450382862832649E-2</v>
      </c>
      <c r="AE262" s="388">
        <f t="shared" ref="AE262:AE325" ca="1" si="936">$Y262/$Z262</f>
        <v>0</v>
      </c>
      <c r="AF262" s="388">
        <f ca="1">MAX(0,$G262-Control!$C$92)</f>
        <v>0</v>
      </c>
      <c r="AG262" s="393">
        <f t="shared" ref="AG262:AG325" ca="1" si="937">DATE($C262,$B262,$A262)</f>
        <v>258</v>
      </c>
      <c r="AH262" s="389">
        <f t="shared" ref="AH262:AH325" ca="1" si="938">$AG262+1-DATE($C262,1,1)</f>
        <v>258</v>
      </c>
      <c r="AI262" s="388">
        <f t="shared" ca="1" si="824"/>
        <v>3.9331293402788542E-2</v>
      </c>
      <c r="AJ262" s="388">
        <f ca="1">IF(Control!$C$60&lt;=0,$HH262,$HI262)</f>
        <v>1</v>
      </c>
      <c r="AK262" s="388">
        <f t="shared" ref="AK262:AK325" ca="1" si="939">(2*PI()*(AH262-80)/365)</f>
        <v>3.0641287251451135</v>
      </c>
      <c r="AL262" s="388">
        <f t="shared" ref="AL262:AL325" ca="1" si="940">0.03358*(SIN(2*PI()*AH262)-SIN(2*PI()*80))/365</f>
        <v>-7.9348021209124651E-18</v>
      </c>
      <c r="AM262" s="388">
        <f t="shared" ref="AM262:AM325" ca="1" si="941">AK262+AL262</f>
        <v>3.0641287251451135</v>
      </c>
      <c r="AN262" s="388">
        <f t="shared" ref="AN262:AN325" ca="1" si="942">ASIN(0.3978*SIN(AM262))</f>
        <v>3.078920577571333E-2</v>
      </c>
      <c r="AO262" s="388">
        <f ca="1">-0.10453/COS(Control!$B$8*PI()/180)*COS(AN262)</f>
        <v>-0.16970439466788251</v>
      </c>
      <c r="AP262" s="388">
        <f ca="1">ACOS(AO262-TAN(Control!$B$8*PI()/180)*TAN(AN262))</f>
        <v>1.7814766599507388</v>
      </c>
      <c r="AQ262" s="388">
        <f t="shared" ca="1" si="825"/>
        <v>0</v>
      </c>
      <c r="AR262" s="394">
        <f t="shared" ref="AR262:AR325" ca="1" si="943">$AQ262*0.5</f>
        <v>0</v>
      </c>
      <c r="AS262" s="436">
        <f ca="1">IF(Control!$B$18=2,(IF(OR($AH262=Control!$B$175,$AH262=Control!$B$176,$AH262=Control!$B$177,$AH262=Control!$B$178,$AH262=Control!$B$179,$AH262=Control!$B$180,$AH262=Control!$B$181,$AH262=Control!$B$182,$AH262=Control!$B$183,$AH262=Control!$B$184,$AH262=Control!$B$185),1,0)),0)</f>
        <v>0</v>
      </c>
      <c r="AT262" s="436">
        <f>IF(Control!$B$20=8,IF(AND($AH262&gt;=Control!$B$172,$AH262&lt;=Control!$B$173),1,0),0)</f>
        <v>0</v>
      </c>
      <c r="AU262" s="436">
        <f>IF(Control!$B$20=8,IF($AV261=1,1*$AT262,IF($AT262=1,$AU261+1,$AU261)),0)</f>
        <v>0</v>
      </c>
      <c r="AV262" s="436">
        <f>IF(Control!$B$20=8,IF($AU262&gt;=Control!$B$174,1,0),0)</f>
        <v>0</v>
      </c>
      <c r="AW262" s="436">
        <f ca="1">IF(AND(Control!$B$18=2,Control!$B$171=1), $AV262, $AS262)</f>
        <v>0</v>
      </c>
      <c r="AX262" s="436" t="e">
        <f ca="1">IF(AND(Control!$B$18=1,$EU262&gt;=Control!$B$19),-$AY262,IF(AND(Control!$B$18=2,$AW262=1,$EU262&gt;$DS262),-$AY262, IF(Control!$C$108=0,0, IF(Control!$C$108&lt;&gt;0,1))))</f>
        <v>#N/A</v>
      </c>
      <c r="AY262" s="436" t="e">
        <f t="shared" ca="1" si="826"/>
        <v>#N/A</v>
      </c>
      <c r="AZ262" s="436" t="e">
        <f ca="1">IF(AND(Control!$B$18=1,$EB262&gt;Control!$B$19),$AZ261+1, IF(AND(Control!$B$18=2, $AW262=1, $EB262&gt;$DS262), $AZ261+1,$AZ261))</f>
        <v>#N/A</v>
      </c>
      <c r="BA262" s="587">
        <f>IF(Control!$C$81=0,1,IF($AH262&gt;=Control!$C$82,1,0))</f>
        <v>1</v>
      </c>
      <c r="BB262" s="140" t="e">
        <f ca="1">IF($BA262&gt;$BA261,Control!$C$83,IF($AW262&gt;0,$AW262*Control!$C$84,IF(AND(Control!$B$18=1,EN261&lt;&gt;0),Control!$C$84,0)))</f>
        <v>#N/A</v>
      </c>
      <c r="BC262" s="140" t="e">
        <f t="shared" ca="1" si="827"/>
        <v>#N/A</v>
      </c>
      <c r="BD262" s="140" t="e">
        <f ca="1">BC262*IF(OR($G262&lt;Control!$C$92,$G262&gt;Control!$C$95),0,IF(AND($G262&gt;=Control!$C$92,$G262&lt;=Control!$C$93),$G262-Control!$C$92,IF(AND($G262&gt;Control!$C$93,$G262&lt;=Control!$C$94),Control!$C$93-Control!$C$92,IF(AND($G262&gt;Control!$C$94,$G262&lt;=Control!$C$95),(Control!$C$93-Control!$C$92)*(Control!$C$94-$G262)/(Control!$C$95-Control!$C$94)))))</f>
        <v>#N/A</v>
      </c>
      <c r="BE262" s="140" t="e">
        <f t="shared" ca="1" si="828"/>
        <v>#N/A</v>
      </c>
      <c r="BF262" s="140" t="e">
        <f ca="1">IF($BE262&lt;=Control!$C$86,$BE262,Control!$C$86-$BE262)</f>
        <v>#N/A</v>
      </c>
      <c r="BG262" s="140" t="e">
        <f ca="1">IF(AND($AW262=1,Control!$C$84&lt;9),1,IF($BE262&gt;=Control!$C$86,0,$BC262))</f>
        <v>#N/A</v>
      </c>
      <c r="BH262" s="404" t="e">
        <f ca="1">IF($BG262=0,0,IF($BE262&lt;=Control!$C$86,$BC262*9*($BF262/Control!$C$86),0))</f>
        <v>#N/A</v>
      </c>
      <c r="BI262" s="140" t="e">
        <f ca="1">IF($BG262=1,0,IF($BE262&gt;=Control!$C$86,1,IF(AND($BB262&lt;21,$BB262&gt;=9),1,$BM261)))</f>
        <v>#N/A</v>
      </c>
      <c r="BJ262" s="140" t="e">
        <f ca="1">IF($BF262&lt;0,-$BF262,$BI262*IF(OR($G262&lt;Control!$C$92,$G262&gt;Control!$C$95),0,IF(AND($G262&gt;=Control!$C$92,$G262&lt;=Control!$C$93),$G262-Control!$C$92,IF(AND($G262&gt;Control!$C$93,$G262&lt;=Control!$C$94),Control!$C$93-Control!$C$92,IF(AND($G262&gt;Control!$C$94,$G262&lt;=Control!$C$95),(Control!$C$93-Control!$C$92)*(Control!$C$94-$G262)/(Control!$C$95-Control!$C$94))))))</f>
        <v>#N/A</v>
      </c>
      <c r="BK262" s="140" t="e">
        <f t="shared" ca="1" si="829"/>
        <v>#N/A</v>
      </c>
      <c r="BL262" s="140" t="e">
        <f ca="1">IF($BK262&lt;=Control!$C$87,$BK262,Control!$C$87-$BK262)</f>
        <v>#N/A</v>
      </c>
      <c r="BM262" s="140" t="e">
        <f ca="1">IF(AND($BB262&gt;=9,$BB262&lt;21),1,IF($BK262&gt;=Control!$C$87,0,$BI262))</f>
        <v>#N/A</v>
      </c>
      <c r="BN262" s="404" t="e">
        <f ca="1">IF($BM262=0,0,IF($BK262&lt;=Control!$C$87,$BI262*(9+(21-9)*($BL262/Control!$C$87)),0))</f>
        <v>#N/A</v>
      </c>
      <c r="BO262" s="140" t="e">
        <f ca="1">IF($BM262=1,0,IF($BK262&gt;=Control!$C$87,1,IF(AND($BB262&lt;30,$BB262&gt;=21),1,$BS261)))</f>
        <v>#N/A</v>
      </c>
      <c r="BP262" s="140" t="e">
        <f ca="1">IF($BL262&lt;0,-$BL262,$BO262*IF(OR($G262&lt;Control!$C$92,$G262&gt;Control!$C$95),0,IF(AND($G262&gt;=Control!$C$92,$G262&lt;=Control!$C$93),$G262-Control!$C$92,IF(AND($G262&gt;Control!$C$93,$G262&lt;=Control!$C$94),Control!$C$93-Control!$C$92,IF(AND($G262&gt;Control!$C$94,$G262&lt;=Control!$C$95),(Control!$C$93-Control!$C$92)*(Control!$C$94-$G262)/(Control!$C$95-Control!$C$94))))))</f>
        <v>#N/A</v>
      </c>
      <c r="BQ262" s="140" t="e">
        <f t="shared" ref="BQ262:BQ325" ca="1" si="944">IF(AND($BO262*$BB262&gt;=21,$BO262*$BB262&lt;30),$BP262,IF($BO262=1,$BQ261+$BP262,0))</f>
        <v>#N/A</v>
      </c>
      <c r="BR262" s="140" t="e">
        <f ca="1">IF($BQ262&lt;=Control!$C$88,$BQ262,Control!$C$88-$BQ262)</f>
        <v>#N/A</v>
      </c>
      <c r="BS262" s="140" t="e">
        <f ca="1">IF(AND($BB262&gt;=21,$BB262&lt;30),1,IF($BQ262&gt;=Control!$C$88,0,$BO262))</f>
        <v>#N/A</v>
      </c>
      <c r="BT262" s="404" t="e">
        <f ca="1">IF($BS262=0,0,IF($BQ262&lt;=Control!$C$88,$BO262*(21+(30-21)*(BR262/Control!$C$88)),0))</f>
        <v>#N/A</v>
      </c>
      <c r="BU262" s="140" t="e">
        <f ca="1">IF(BG262+BM262+BS262=1,0,IF(OR(AND($BB262&lt;60,$BB262&gt;=30),$BQ262&gt;=Control!$C$88),1*$BA262,$BY261))</f>
        <v>#N/A</v>
      </c>
      <c r="BV262" s="140" t="e">
        <f ca="1">IF($BR262&lt;0,-$BR262,$BU262*IF(OR($G262&lt;Control!$C$92,$G262&gt;Control!$C$95),0,IF(AND($G262&gt;=Control!$C$92,$G262&lt;=Control!$C$93),$G262-Control!$C$92,IF(AND($G262&gt;Control!$C$93,$G262&lt;=Control!$C$94),Control!$C$93-Control!$C$92,IF(AND($G262&gt;Control!$C$94,$G262&lt;=Control!$C$95),(Control!$C$93-Control!$C$92)*(Control!$C$94-$G262)/(Control!$C$95-Control!$C$94))))))</f>
        <v>#N/A</v>
      </c>
      <c r="BW262" s="140" t="e">
        <f t="shared" ref="BW262:BW325" ca="1" si="945">IF(AND($BO262*$BB262&gt;=30,$BO262*$BB262&lt;60),$BV262,IF($BU262=1,$BW261+$BV262,0))</f>
        <v>#N/A</v>
      </c>
      <c r="BX262" s="140" t="e">
        <f ca="1">IF($BW262&lt;=Control!$C$89,$BW262,Control!$C$89-$BW262)</f>
        <v>#N/A</v>
      </c>
      <c r="BY262" s="140" t="e">
        <f ca="1">IF(AND($AJ262&gt;=30,$AJ262&lt;60),1,IF($BW262&gt;=Control!$C$89,0,$BU262))</f>
        <v>#N/A</v>
      </c>
      <c r="BZ262" s="404" t="e">
        <f ca="1">IF($BY262=0,0,IF($BW262&lt;=Control!$C$89,$BU262*(30+(60-30)*(BX262/Control!$C$89)),0))</f>
        <v>#N/A</v>
      </c>
      <c r="CA262" s="140" t="e">
        <f ca="1">IF($BG262+$BM262+$BS262+$BY262=1,0,IF(OR(AND($BB262&lt;65,$BB262&gt;=60),$BW262&gt;=Control!$C$89),1*$BA262,$CE261))</f>
        <v>#N/A</v>
      </c>
      <c r="CB262" s="140" t="e">
        <f ca="1">IF($BX262&lt;0,-$BX262,$CA262*IF(OR($G262&lt;Control!$C$92,$G262&gt;Control!$C$95),0,IF(AND($G262&gt;=Control!$C$92,$G262&lt;=Control!$C$93),$G262-Control!$C$92,IF(AND($G262&gt;Control!$C$93,$G262&lt;=Control!$C$94),Control!$C$93-Control!$C$92,IF(AND($G262&gt;Control!$C$94,$G262&lt;=Control!$C$95),(Control!$C$93-Control!$C$92)*(Control!$C$94-$G262)/(Control!$C$95-Control!$C$94))))))</f>
        <v>#N/A</v>
      </c>
      <c r="CC262" s="140" t="e">
        <f t="shared" ca="1" si="830"/>
        <v>#N/A</v>
      </c>
      <c r="CD262" s="140" t="e">
        <f ca="1">IF($CC262&lt;=Control!$C$90,$CC262,Control!$C$90-$CC262)</f>
        <v>#N/A</v>
      </c>
      <c r="CE262" s="140" t="e">
        <f ca="1">IF(AND($BB262&gt;=60,$BB262&lt;65),1,IF($CC262&gt;=Control!$C$90,0,$CA262))</f>
        <v>#N/A</v>
      </c>
      <c r="CF262" s="404" t="e">
        <f ca="1">IF($CE262=0,0,IF($CC262&lt;=Control!$C$90,$CA262*(60+(65-60)*(CD262/Control!$C$90)),0))</f>
        <v>#N/A</v>
      </c>
      <c r="CG262" s="140" t="e">
        <f ca="1">IF($BG262+$BM262+$BS262+$BY262+$CE262=1,0,IF(OR(AND($BB262&lt;90,$BB262&gt;=65),$CC262&gt;=Control!$C$90),$BA262,$CK261))</f>
        <v>#N/A</v>
      </c>
      <c r="CH262" s="140" t="e">
        <f ca="1">IF($CD262&lt;0,-$CD262,$CG262*IF(OR($G262&lt;Control!$C$92,$G262&gt;Control!$C$95),0,IF(AND($G262&gt;=Control!$C$92,$G262&lt;=Control!$C$93),$G262-Control!$C$92,IF(AND($G262&gt;Control!$C$93,$G262&lt;=Control!$C$94),Control!$C$93-Control!$C$92,IF(AND($G262&gt;Control!$C$94,$G262&lt;=Control!$C$95),(Control!$C$93-Control!$C$92)*(Control!$C$94-$G262)/(Control!$C$95-Control!$C$94))))))</f>
        <v>#N/A</v>
      </c>
      <c r="CI262" s="140" t="e">
        <f t="shared" ca="1" si="831"/>
        <v>#N/A</v>
      </c>
      <c r="CJ262" s="140" t="e">
        <f ca="1">IF($CI262&lt;=Control!$C$91,$CI262,Control!$C$91-$CI262)</f>
        <v>#N/A</v>
      </c>
      <c r="CK262" s="140" t="e">
        <f ca="1">IF(AND($BB262&gt;=65,$BB262&lt;90),1,IF($CI262&gt;=Control!$C$91,0,$CG262))</f>
        <v>#N/A</v>
      </c>
      <c r="CL262" s="404" t="e">
        <f ca="1">IF($CK262=0,0,IF($CI262&lt;=Control!$C$91,$CG262*(65+(90-65)*($CJ262/Control!$C$91)),0))</f>
        <v>#N/A</v>
      </c>
      <c r="CM262" s="140" t="e">
        <f ca="1">IF($BG262+$BM262+$BS262+$BY262+$CE262+$CK262=1,0,IF(OR($BB262&gt;=90,$CI262&gt;=Control!$C$91),$BA262,$CM261))</f>
        <v>#N/A</v>
      </c>
      <c r="CN262" s="140" t="e">
        <f t="shared" ca="1" si="832"/>
        <v>#N/A</v>
      </c>
      <c r="CO262" s="140" t="e">
        <f t="shared" ca="1" si="833"/>
        <v>#N/A</v>
      </c>
      <c r="CP262" s="140" t="e">
        <f t="shared" ca="1" si="834"/>
        <v>#N/A</v>
      </c>
      <c r="CQ262" s="141" t="e">
        <f ca="1">VLOOKUP($CP262,Control!$B$86:$G$91,6)</f>
        <v>#N/A</v>
      </c>
      <c r="CR262" s="141" t="e">
        <f ca="1">(1-$CQ262)*VLOOKUP($CP262,Control!$B$86:$D$91,3)</f>
        <v>#N/A</v>
      </c>
      <c r="CS262" s="141" t="e">
        <f ca="1">(1-$CQ262)*VLOOKUP($CP262,Control!$B$86:$E$91,4)</f>
        <v>#N/A</v>
      </c>
      <c r="CT262" s="141" t="e">
        <f ca="1">(1-$CQ262)*VLOOKUP($CP262,Control!$B$86:$F$91,5)</f>
        <v>#N/A</v>
      </c>
      <c r="CU262" s="141">
        <f t="shared" ca="1" si="835"/>
        <v>0</v>
      </c>
      <c r="CV262" s="583">
        <f t="shared" ca="1" si="836"/>
        <v>0</v>
      </c>
      <c r="CW262" s="142">
        <f t="shared" ca="1" si="837"/>
        <v>258</v>
      </c>
      <c r="CX262" s="612" t="e">
        <f ca="1">IF(Control!$C$114=1,(MIN(Control!$C$120*(IF($NT262-0.01&lt;0,0,1)),Control!$C$119-$CY262)))</f>
        <v>#DIV/0!</v>
      </c>
      <c r="CY262" s="143" t="e">
        <f t="shared" ca="1" si="838"/>
        <v>#N/A</v>
      </c>
      <c r="CZ262" s="144">
        <f t="shared" ref="CZ262:CZ325" ca="1" si="946">IF($O262&lt;=3,0,IF(AND($O262&gt;3,$O262&lt;=8),($O262-3)*((1-0)/(8-3)),IF(AND($O262&gt;8,$O262&lt;=30),1,IF(AND($O262&gt;30,$O262&lt;=35),(1+($O262-30)*((0-1)/(35-30))),IF(AND($O262&gt;35,$O262&lt;=40),0)))))</f>
        <v>0</v>
      </c>
      <c r="DA262" s="144">
        <f t="shared" ref="DA262:DA325" ca="1" si="947">IF($CZ262&lt;=0, 0, $O262*0.01)</f>
        <v>0</v>
      </c>
      <c r="DB262" s="144" t="e">
        <f t="shared" ref="DB262:DB325" ca="1" si="948">$KH262*0.693</f>
        <v>#N/A</v>
      </c>
      <c r="DC262" s="144" t="e">
        <f t="shared" ref="DC262:DC325" ca="1" si="949">IF($AY262&lt;8,MAX(0,0.335-0.067*$DK262)*$CZ262,MAX(0,MIN($DB262,0.867-0.183*$DK262))*$CZ262)</f>
        <v>#N/A</v>
      </c>
      <c r="DD262" s="144" t="e">
        <f t="shared" ca="1" si="923"/>
        <v>#N/A</v>
      </c>
      <c r="DE262" s="143" t="e">
        <f t="shared" ca="1" si="839"/>
        <v>#N/A</v>
      </c>
      <c r="DF262" s="145" t="e">
        <f ca="1">$DR262*EXP(-Control!$C$158*(1-$KH262))</f>
        <v>#N/A</v>
      </c>
      <c r="DG262" s="146" t="e">
        <f ca="1">IF(Control!$C$114=1, $DF262*$EY262, 0)</f>
        <v>#N/A</v>
      </c>
      <c r="DH262" s="147" t="e">
        <f t="shared" ca="1" si="840"/>
        <v>#N/A</v>
      </c>
      <c r="DI262" s="144" t="e">
        <f t="shared" ca="1" si="901"/>
        <v>#N/A</v>
      </c>
      <c r="DJ262" s="147" t="e">
        <f ca="1">$EF262*Control!$C$109</f>
        <v>#N/A</v>
      </c>
      <c r="DK262" s="144" t="e">
        <f t="shared" ca="1" si="841"/>
        <v>#N/A</v>
      </c>
      <c r="DL262" s="144" t="e">
        <f t="shared" ref="DL262:DL325" ca="1" si="950">$DM262/$AR262</f>
        <v>#N/A</v>
      </c>
      <c r="DM262" s="144" t="e">
        <f ca="1">IF(Control!$C$114=1, (1-EXP(-Control!$C$96*$DK262))*$AR262, 0)</f>
        <v>#N/A</v>
      </c>
      <c r="DN262" s="144">
        <f t="shared" ca="1" si="842"/>
        <v>0</v>
      </c>
      <c r="DO262" s="148">
        <f>Control!$C$97</f>
        <v>4</v>
      </c>
      <c r="DP262" s="145" t="e">
        <f t="shared" ca="1" si="843"/>
        <v>#N/A</v>
      </c>
      <c r="DQ262" s="145" t="e">
        <f ca="1">IF(AND($CP262&gt;=0,$CP262&lt;=90),Control!$C$111,Control!$C$111)</f>
        <v>#N/A</v>
      </c>
      <c r="DR262" s="145" t="e">
        <f t="shared" ref="DR262:DR325" ca="1" si="951">$DQ262</f>
        <v>#N/A</v>
      </c>
      <c r="DS262" s="143" t="e">
        <f ca="1">Control!$B$22/$DR262</f>
        <v>#N/A</v>
      </c>
      <c r="DT262" s="149" t="e">
        <f ca="1">IF(AND(Control!$C$114=1,$KH262&lt;1),$IM262*$DF262, 0)</f>
        <v>#N/A</v>
      </c>
      <c r="DU262" s="144" t="e">
        <f t="shared" ca="1" si="844"/>
        <v>#N/A</v>
      </c>
      <c r="DV262" s="144">
        <f ca="1">IF($G262-Control!$C$107&lt;=0, 0, 0.83*LN(MAX($G262, 3))-0.8924)</f>
        <v>0</v>
      </c>
      <c r="DW262" s="144" t="e">
        <f t="shared" ref="DW262:DW325" ca="1" si="952">IF(($EN262-0.1)&lt;0,$DV262,(-$DU262))</f>
        <v>#N/A</v>
      </c>
      <c r="DX262" s="150" t="e">
        <f ca="1">MAX(0.01*(1+$CU262/Control!$C$102),0.05*($DK262-Control!$C$97)/Control!$C$97)</f>
        <v>#N/A</v>
      </c>
      <c r="DY262" s="151" t="e">
        <f ca="1">IF(Control!$C$114=1, $DI262*$FS262, 0)</f>
        <v>#N/A</v>
      </c>
      <c r="DZ262" s="196" t="e">
        <f t="shared" ca="1" si="845"/>
        <v>#N/A</v>
      </c>
      <c r="EA262" s="152">
        <f t="shared" ca="1" si="846"/>
        <v>258</v>
      </c>
      <c r="EB262" s="153" t="e">
        <f t="shared" ca="1" si="847"/>
        <v>#N/A</v>
      </c>
      <c r="EC262" s="153" t="e">
        <f t="shared" ca="1" si="848"/>
        <v>#N/A</v>
      </c>
      <c r="ED262" s="154" t="e">
        <f ca="1">IF(Control!$C$114=1, $HM262*$FY262-$FD262, 0)</f>
        <v>#DIV/0!</v>
      </c>
      <c r="EE262" s="155" t="e">
        <f ca="1">IF(Control!$C$114=1, $HM262*$FZ262-$FF262, 0)</f>
        <v>#DIV/0!</v>
      </c>
      <c r="EF262" s="153" t="e">
        <f t="shared" ca="1" si="902"/>
        <v>#N/A</v>
      </c>
      <c r="EG262" s="155" t="e">
        <f ca="1">IF(Control!$C$114=1, $GX262*$FW262-$FI262, 0)</f>
        <v>#DIV/0!</v>
      </c>
      <c r="EH262" s="153" t="e">
        <f t="shared" ca="1" si="849"/>
        <v>#N/A</v>
      </c>
      <c r="EI262" s="156" t="e">
        <f t="shared" ca="1" si="850"/>
        <v>#N/A</v>
      </c>
      <c r="EJ262" s="155" t="e">
        <f ca="1">IF(Control!$C$114=1, $HM262*$GB262, 0)</f>
        <v>#DIV/0!</v>
      </c>
      <c r="EK262" s="153" t="e">
        <f t="shared" ca="1" si="903"/>
        <v>#N/A</v>
      </c>
      <c r="EL262" s="153" t="e">
        <f t="shared" ref="EL262:EL325" ca="1" si="953">$EB262+$EF262+$EK262</f>
        <v>#N/A</v>
      </c>
      <c r="EM262" s="153" t="e">
        <f t="shared" ref="EM262:EM325" ca="1" si="954">MAX(0,$EB262-$DS262)</f>
        <v>#N/A</v>
      </c>
      <c r="EN262" s="153" t="e">
        <f ca="1">IF(Control!$C$108=1,IF(AND(Control!$B$18=1,$EB262&gt;=Control!$B$19),$EB262-$DS262,IF(AND(Control!$B$18=2,$AW262=1,$EB262&gt;$DS262),$EB262-$DS262,0)))</f>
        <v>#N/A</v>
      </c>
      <c r="EO262" s="153" t="e">
        <f ca="1">IF(Control!$C$108=1,IF(AND(Control!$B$18=1,$EB262&gt;=Control!$B$19),$EF262,IF(AND(Control!$B$18=2,$AW262=1),$EF262,0)))</f>
        <v>#N/A</v>
      </c>
      <c r="EP262" s="153" t="e">
        <f ca="1">IF(Control!$C$108=1,IF(AND(Control!$B$18=1,$EB262&gt;=Control!$B$19),$EK262,IF(AND(Control!$B$18=2,$AW262=1),$EK262,0)))</f>
        <v>#N/A</v>
      </c>
      <c r="EQ262" s="153" t="e">
        <f t="shared" ca="1" si="851"/>
        <v>#N/A</v>
      </c>
      <c r="ER262" s="153" t="e">
        <f t="shared" ca="1" si="852"/>
        <v>#N/A</v>
      </c>
      <c r="ES262" s="153" t="e">
        <f t="shared" ca="1" si="904"/>
        <v>#N/A</v>
      </c>
      <c r="ET262" s="153" t="e">
        <f t="shared" ca="1" si="905"/>
        <v>#N/A</v>
      </c>
      <c r="EU262" s="153" t="e">
        <f t="shared" ca="1" si="853"/>
        <v>#N/A</v>
      </c>
      <c r="EV262" s="153" t="e">
        <f t="shared" ref="EV262:EV325" ca="1" si="955">ER262+EB262</f>
        <v>#N/A</v>
      </c>
      <c r="EW262" s="153" t="e">
        <f t="shared" ref="EW262:EW325" ca="1" si="956">$ER262+MAX(0,$EM262)</f>
        <v>#N/A</v>
      </c>
      <c r="EX262" s="153" t="e">
        <f t="shared" ref="EX262:EX325" ca="1" si="957">$ER262+$EC262</f>
        <v>#N/A</v>
      </c>
      <c r="EY262" s="157" t="e">
        <f t="shared" ref="EY262:EY325" ca="1" si="958">$GX262*$FY262*(1-$FW262)</f>
        <v>#DIV/0!</v>
      </c>
      <c r="EZ262" s="154" t="e">
        <f t="shared" ref="EZ262:EZ325" ca="1" si="959">$EY262-$FD262</f>
        <v>#DIV/0!</v>
      </c>
      <c r="FA262" s="153" t="e">
        <f t="shared" ca="1" si="854"/>
        <v>#N/A</v>
      </c>
      <c r="FB262" s="153" t="e">
        <f t="shared" ref="FB262:FB325" ca="1" si="960">$ER262+$EC262</f>
        <v>#N/A</v>
      </c>
      <c r="FC262" s="193" t="e">
        <f t="shared" ref="FC262:FC325" ca="1" si="961">$EB262+$FM262</f>
        <v>#N/A</v>
      </c>
      <c r="FD262" s="158" t="e">
        <f t="shared" ca="1" si="855"/>
        <v>#N/A</v>
      </c>
      <c r="FE262" s="158" t="e">
        <f t="shared" ca="1" si="856"/>
        <v>#N/A</v>
      </c>
      <c r="FF262" s="159" t="e">
        <f t="shared" ref="FF262:FF325" ca="1" si="962">$EF262*$FE262</f>
        <v>#N/A</v>
      </c>
      <c r="FG262" s="160" t="e">
        <f t="shared" ca="1" si="857"/>
        <v>#N/A</v>
      </c>
      <c r="FH262" s="158" t="e">
        <f t="shared" ca="1" si="858"/>
        <v>#N/A</v>
      </c>
      <c r="FI262" s="159" t="e">
        <f t="shared" ref="FI262:FI325" ca="1" si="963">$FH262*$EH262</f>
        <v>#N/A</v>
      </c>
      <c r="FJ262" s="160" t="e">
        <f t="shared" ca="1" si="859"/>
        <v>#N/A</v>
      </c>
      <c r="FK262" s="160" t="e">
        <f t="shared" ref="FK262:FK325" ca="1" si="964">$EI262-$FG262</f>
        <v>#N/A</v>
      </c>
      <c r="FL262" s="160" t="e">
        <f t="shared" ca="1" si="906"/>
        <v>#N/A</v>
      </c>
      <c r="FM262" s="160" t="e">
        <f t="shared" ref="FM262:FM325" ca="1" si="965">$FL262-$ER262</f>
        <v>#N/A</v>
      </c>
      <c r="FN262" s="158">
        <f t="shared" ca="1" si="860"/>
        <v>0.01</v>
      </c>
      <c r="FO262" s="160">
        <f>Control!$C$101</f>
        <v>50</v>
      </c>
      <c r="FP262" s="150" t="e">
        <f t="shared" ref="FP262:FP325" ca="1" si="966">IF($CP262&lt;$FO262, 0, $FN262)</f>
        <v>#N/A</v>
      </c>
      <c r="FQ262" s="150" t="e">
        <f ca="1">MAX(0,(Control!$C$112*(($DK262-Control!$C$97)/Control!$C$97)))</f>
        <v>#N/A</v>
      </c>
      <c r="FR262" s="150" t="e">
        <f ca="1">(1-$NT262)*Control!$C$113</f>
        <v>#DIV/0!</v>
      </c>
      <c r="FS262" s="198" t="e">
        <f t="shared" ref="FS262:FS325" ca="1" si="967">MAX($FP262,$FQ262,$FR262)</f>
        <v>#N/A</v>
      </c>
      <c r="FT262" s="161">
        <f t="shared" ca="1" si="861"/>
        <v>258</v>
      </c>
      <c r="FU262" s="162" t="e">
        <f ca="1">IF(Control!$B$34=1,VLOOKUP($CP262,Control!$B$86:$G$91,6),Control!$B$35)</f>
        <v>#N/A</v>
      </c>
      <c r="FV262" s="162" t="e">
        <f t="shared" ref="FV262:FV325" ca="1" si="968">IF(AND($NT262&lt;=0,$NT262&gt;=-1),1.6,IF(AND($NT262&lt;1,$NT262&gt;=1.2),1,(1.6+($NT262)*((1-1.6)/(1-0)))))</f>
        <v>#DIV/0!</v>
      </c>
      <c r="FW262" s="162" t="e">
        <f ca="1">IF(Control!$B$31=1,$FU262*$FV262,  $FU262)</f>
        <v>#N/A</v>
      </c>
      <c r="FX262" s="162" t="e">
        <f ca="1">IF(Control!$B$34=1,VLOOKUP($CP262,Control!$B$86:$G$91,3),Control!$B$36)</f>
        <v>#N/A</v>
      </c>
      <c r="FY262" s="162" t="e">
        <f t="shared" ref="FY262:FY325" ca="1" si="969">$FX262</f>
        <v>#N/A</v>
      </c>
      <c r="FZ262" s="162" t="e">
        <f ca="1">IF(Control!$B$34=1,VLOOKUP($CP262,Control!$B$86:$G$91,4),Control!$B$37)</f>
        <v>#N/A</v>
      </c>
      <c r="GA262" s="162" t="e">
        <f t="shared" ref="GA262:GA325" ca="1" si="970">$FZ262</f>
        <v>#N/A</v>
      </c>
      <c r="GB262" s="162" t="e">
        <f ca="1">IF(Control!$B$34=1,VLOOKUP($CP262,Control!$B$86:$G$91,5),Control!$B$38)</f>
        <v>#N/A</v>
      </c>
      <c r="GC262" s="162" t="e">
        <f t="shared" ca="1" si="862"/>
        <v>#N/A</v>
      </c>
      <c r="GD262" s="162">
        <f t="shared" ref="GD262:GD325" ca="1" si="971">IF(AND(0&lt;=$LI262, $LI262&lt;=18), 1, 0.5)</f>
        <v>1</v>
      </c>
      <c r="GE262" s="162">
        <f t="shared" ref="GE262:GE325" ca="1" si="972">$GD262</f>
        <v>1</v>
      </c>
      <c r="GF262" s="162">
        <f ca="1">IF(AND(Control!$C$104=1, Control!$C$62="F"),$GE262,1)</f>
        <v>1</v>
      </c>
      <c r="GG262" s="162" t="e">
        <f ca="1">IF(Control!$B$16=40,0,IF(AND(Control!$B$16&gt;40,Control!$B$16&lt;=360),(Control!$B$16-40)*((1-0)/(360-40)),IF(AND(Control!$B$16&gt;360,Control!$B$16&lt;=720),(1+(Control!$B$16-360)*((1.25-1)/(720-360))),IF(AND(Control!$B$16&gt;720,Control!$B$16&lt;=1000),(1.25+(Control!$B$16-720)*((1.35-1.25)/(1000-720))),IF(AND(Control!$B$16&gt;1000,Control!$B$16&lt;=2000),(1.35+(Control!$B$16-1000)*0))))))</f>
        <v>#N/A</v>
      </c>
      <c r="GH262" s="162" t="e">
        <f t="shared" ref="GH262:GH325" ca="1" si="973">$GG262</f>
        <v>#N/A</v>
      </c>
      <c r="GI262" s="162">
        <f t="shared" ca="1" si="863"/>
        <v>0</v>
      </c>
      <c r="GJ262" s="162">
        <f t="shared" ref="GJ262:GJ325" ca="1" si="974">$CZ262*$GI262</f>
        <v>0</v>
      </c>
      <c r="GK262" s="162">
        <f t="shared" ca="1" si="864"/>
        <v>1</v>
      </c>
      <c r="GL262" s="162">
        <f t="shared" ref="GL262:GL325" ca="1" si="975">$GK262</f>
        <v>1</v>
      </c>
      <c r="GM262" s="162" t="e">
        <f ca="1">MAX(0,MIN(1,1-Control!$C$156*(1.0001-$KH262)^2))</f>
        <v>#N/A</v>
      </c>
      <c r="GN262" s="162" t="e">
        <f ca="1">IF(Control!$B$26=1,$KU262,$KX262)</f>
        <v>#N/A</v>
      </c>
      <c r="GO262" s="162" t="e">
        <f ca="1">IF($CP262&lt;=60,Control!$C$105,IF($CP262&gt;=90,Control!$C$106,Control!$C$105+($CP262-60)*((Control!$C$106-Control!$C$105)/(90-60))))</f>
        <v>#N/A</v>
      </c>
      <c r="GP262" s="162" t="e">
        <f t="shared" ref="GP262:GP325" ca="1" si="976">$GJ262*$GH262*$GL262</f>
        <v>#N/A</v>
      </c>
      <c r="GQ262" s="162" t="e">
        <f t="shared" ca="1" si="865"/>
        <v>#N/A</v>
      </c>
      <c r="GR262" s="163" t="e">
        <f t="shared" ref="GR262:GR325" ca="1" si="977">IF(AND($NT262&lt;=$GM262,$EN262=0),10*$GP262*$GO262*$DM262*$NT262,IF(AND($NT262&gt;$GM262,$EN262=0),10*$GP262*$GO262*$DM262*$GM262,0))</f>
        <v>#DIV/0!</v>
      </c>
      <c r="GS262" s="162" t="e">
        <f t="shared" ref="GS262:GS325" ca="1" si="978">$GR262+$FA262</f>
        <v>#DIV/0!</v>
      </c>
      <c r="GT262" s="164" t="e">
        <f t="shared" ca="1" si="866"/>
        <v>#N/A</v>
      </c>
      <c r="GU262" s="162" t="e">
        <f t="shared" ca="1" si="867"/>
        <v>#N/A</v>
      </c>
      <c r="GV262" s="162" t="e">
        <f t="shared" ref="GV262:GV325" ca="1" si="979">IF($EN262&lt;=0,$GT262*(1/$DF262)*(1/$FY262)*(1/(1-$FW262)),0)</f>
        <v>#N/A</v>
      </c>
      <c r="GW262" s="162" t="e">
        <f t="shared" ref="GW262:GW325" ca="1" si="980">IF($GS262-$GV262&lt;=0,0,$GS262-$GV262)</f>
        <v>#DIV/0!</v>
      </c>
      <c r="GX262" s="162" t="e">
        <f t="shared" ca="1" si="868"/>
        <v>#DIV/0!</v>
      </c>
      <c r="GY262" s="162" t="e">
        <f t="shared" ca="1" si="869"/>
        <v>#DIV/0!</v>
      </c>
      <c r="GZ262" s="165" t="e">
        <f t="shared" ref="GZ262:GZ325" ca="1" si="981">$EF262+$EB262</f>
        <v>#N/A</v>
      </c>
      <c r="HA262" s="162" t="e">
        <f ca="1">IF(Control!$C$114=1, $DI262*$FS262, 0)</f>
        <v>#N/A</v>
      </c>
      <c r="HB262" s="162" t="e">
        <f ca="1">$FA262/Control!$C$64</f>
        <v>#N/A</v>
      </c>
      <c r="HC262" s="162" t="e">
        <f t="shared" ref="HC262:HC325" ca="1" si="982">$GW262-$HB262</f>
        <v>#DIV/0!</v>
      </c>
      <c r="HD262" s="162">
        <f ca="1">-ASIN(SIN(23.45*Control!$C$139)*COS(2*Control!$C$138*($AH262+10)/365))</f>
        <v>3.9331293402788542E-2</v>
      </c>
      <c r="HE262" s="165">
        <f t="shared" ca="1" si="870"/>
        <v>0</v>
      </c>
      <c r="HF262" s="166">
        <f ca="1">IF(AND(Control!$C$61="T",$HE262&gt;=Control!$C$103,Control!$C$114=0),$AH262,Control!$C$59)</f>
        <v>1</v>
      </c>
      <c r="HG262" s="166">
        <f ca="1">IF(AND(Control!$C$61="T",$HE262&gt;=Control!$C$103,Control!$C$114=0),$HF262,Control!$C$59)</f>
        <v>1</v>
      </c>
      <c r="HH262" s="165">
        <f ca="1">IF(AND(OR(Control!$C$60&lt;=0, $AH262= Control!$C$59, Control!$C$60 &gt;0, $AH262 = Control!$C$60)), Control!$C$59, IF(Control!$C$60&gt;0, 0))</f>
        <v>1</v>
      </c>
      <c r="HI262" s="165">
        <f ca="1">IF(AND(OR(Control!$C$60&lt;=0, $AH262= Control!$C$59, Control!$C$60 &gt;0, $AH262 = Control!$C$60)), Control!$C$60, IF(Control!$C$60&lt;=0, 0))</f>
        <v>0</v>
      </c>
      <c r="HJ262" s="166">
        <f ca="1">IF(AND(Control!$C$62="F",$CV262&gt;=Control!$C$102),$AH262,0)</f>
        <v>0</v>
      </c>
      <c r="HK262" s="165" t="e">
        <f t="shared" ca="1" si="907"/>
        <v>#N/A</v>
      </c>
      <c r="HL262" s="166">
        <f ca="1">IF(AND(Control!$C$61="T",$HE262&gt;=Control!$C$103,Control!$C$114=0),$HF262,0)</f>
        <v>0</v>
      </c>
      <c r="HM262" s="201" t="e">
        <f t="shared" ref="HM262:HM325" ca="1" si="983">$GX262*(1-$FW262)</f>
        <v>#DIV/0!</v>
      </c>
      <c r="HN262" s="215">
        <f t="shared" ca="1" si="871"/>
        <v>258</v>
      </c>
      <c r="HO262" s="216" t="e">
        <f ca="1">IF(AND($CP262&gt;=0, $CP262&lt;=90), Control!$C$152, Control!$C$152)</f>
        <v>#N/A</v>
      </c>
      <c r="HP262" s="216" t="e">
        <f t="shared" ref="HP262:HP325" ca="1" si="984">$HO262</f>
        <v>#N/A</v>
      </c>
      <c r="HQ262" s="217" t="e">
        <f ca="1">IF(OR(Control!$B$26=1,Control!$B$26=2),$KV262,$KS262)</f>
        <v>#DIV/0!</v>
      </c>
      <c r="HR262" s="218" t="e">
        <f t="shared" ca="1" si="908"/>
        <v>#DIV/0!</v>
      </c>
      <c r="HS262" s="216" t="e">
        <f ca="1">Control!$C$154*$HP262</f>
        <v>#N/A</v>
      </c>
      <c r="HT262" s="216" t="e">
        <f ca="1">Control!$C$155*$HP262</f>
        <v>#N/A</v>
      </c>
      <c r="HU262" s="217" t="e">
        <f ca="1">Control!$C$161*$FI262</f>
        <v>#N/A</v>
      </c>
      <c r="HV262" s="218" t="e">
        <f t="shared" ca="1" si="872"/>
        <v>#N/A</v>
      </c>
      <c r="HW262" s="218" t="e">
        <f ca="1">Control!$C$160*$FF262+$IP262*$EO262</f>
        <v>#N/A</v>
      </c>
      <c r="HX262" s="218" t="e">
        <f t="shared" ca="1" si="909"/>
        <v>#N/A</v>
      </c>
      <c r="HY262" s="219" t="e">
        <f ca="1">IF(Control!$C$114=1, $EB262*$FS262, 0)</f>
        <v>#N/A</v>
      </c>
      <c r="HZ262" s="91" t="e">
        <f t="shared" ref="HZ262:HZ325" ca="1" si="985">$KA262</f>
        <v>#N/A</v>
      </c>
      <c r="IA262" s="220" t="e">
        <f ca="1">Control!$C$153*$HO262</f>
        <v>#N/A</v>
      </c>
      <c r="IB262" s="218" t="e">
        <f t="shared" ref="IB262:IB325" ca="1" si="986">$IA262*$EB262</f>
        <v>#N/A</v>
      </c>
      <c r="IC262" s="220" t="e">
        <f ca="1">Control!$C$153*$HT262</f>
        <v>#N/A</v>
      </c>
      <c r="ID262" s="218" t="e">
        <f t="shared" ref="ID262:ID325" ca="1" si="987">$IC262*$EF262</f>
        <v>#N/A</v>
      </c>
      <c r="IE262" s="221" t="e">
        <f ca="1">($EB262*Control!$C$159+$EF262*Control!$C$160)/(IF($GZ262&lt;&gt;0,$GZ262,1))</f>
        <v>#N/A</v>
      </c>
      <c r="IF262" s="216" t="e">
        <f t="shared" ref="IF262:IF325" ca="1" si="988">($IB262+$ID262)/IF($GZ262&lt;&gt;0, $GZ262,1)</f>
        <v>#N/A</v>
      </c>
      <c r="IG262" s="91">
        <f ca="1">IF(OR(Control!$B$198=$AH262,Control!$B$199=$AH262, Control!$B$200=$AH262, Control!$B$201=$AH262, Control!$B$202=$AH262, Control!$B$203=$AH262, Control!$B$204=$AH262, Control!$B$205=$AH262, Control!$B$206=$AH262, Control!$B$207=$AH262), 1, 0)</f>
        <v>0</v>
      </c>
      <c r="IH262" s="91">
        <f ca="1">IF($IG262=0,0, VLOOKUP($AH262,Control!$B$198:$C$207,2))</f>
        <v>0</v>
      </c>
      <c r="II262" s="222">
        <f t="shared" ca="1" si="873"/>
        <v>0</v>
      </c>
      <c r="IJ262" s="91">
        <f>Control!$C$121</f>
        <v>0.7</v>
      </c>
      <c r="IK262" s="218">
        <f t="shared" ref="IK262:IK325" ca="1" si="989">$IH262*$IJ262</f>
        <v>0</v>
      </c>
      <c r="IL262" s="217" t="e">
        <f t="shared" ca="1" si="910"/>
        <v>#N/A</v>
      </c>
      <c r="IM262" s="223" t="e">
        <f ca="1">IF(AND(Control!$C$114=1,$KH262&lt;1),$EB262*Control!$C$148*(1-$KH262), 0)</f>
        <v>#N/A</v>
      </c>
      <c r="IN262" s="217" t="e">
        <f t="shared" ref="IN262:IN325" ca="1" si="990">MIN($NT262, $KH262)</f>
        <v>#DIV/0!</v>
      </c>
      <c r="IO262" s="91" t="e">
        <f ca="1">MAX(0,$IL262-$EF262*Control!$C$160)</f>
        <v>#N/A</v>
      </c>
      <c r="IP262" s="220" t="e">
        <f t="shared" ref="IP262:IP325" ca="1" si="991">$IL262/IF($EF262&lt;&gt;0, $EF262, 1)</f>
        <v>#N/A</v>
      </c>
      <c r="IQ262" s="217" t="e">
        <f t="shared" ca="1" si="874"/>
        <v>#N/A</v>
      </c>
      <c r="IR262" s="218" t="e">
        <f t="shared" ref="IR262:IR325" ca="1" si="992">$IQ262+$IL262</f>
        <v>#N/A</v>
      </c>
      <c r="IS262" s="217" t="e">
        <f ca="1">Control!$C$159*MAX(0,$FD262-$EN262)</f>
        <v>#N/A</v>
      </c>
      <c r="IT262" s="217" t="e">
        <f t="shared" ca="1" si="911"/>
        <v>#N/A</v>
      </c>
      <c r="IU262" s="217" t="e">
        <f t="shared" ca="1" si="875"/>
        <v>#N/A</v>
      </c>
      <c r="IV262" s="217" t="e">
        <f t="shared" ca="1" si="912"/>
        <v>#N/A</v>
      </c>
      <c r="IW262" s="217" t="e">
        <f ca="1">IF(OR($AW262=1,AND($AW262=0, Control!$B$18=1,$EN262&lt;&gt;0)), $IQ262-$IU262, $IQ262)</f>
        <v>#N/A</v>
      </c>
      <c r="IX262" s="218" t="e">
        <f t="shared" ref="IX262:IX325" ca="1" si="993">$HX262+$HV262+$IV262</f>
        <v>#N/A</v>
      </c>
      <c r="IY262" s="218" t="e">
        <f ca="1">MAX(0,$IQ262-$EB262*Control!$C$159)</f>
        <v>#N/A</v>
      </c>
      <c r="IZ262" s="218" t="e">
        <f t="shared" ref="IZ262:IZ325" ca="1" si="994">MAX($HO262*$EB262-$IQ262,0)</f>
        <v>#N/A</v>
      </c>
      <c r="JA262" s="216" t="e">
        <f t="shared" ref="JA262:JA325" ca="1" si="995">$IQ262/IF($EB262&lt;&gt;0, $EB262, 1)</f>
        <v>#N/A</v>
      </c>
      <c r="JB262" s="217" t="e">
        <f t="shared" ref="JB262:JB325" ca="1" si="996">MAX($HT262*$EF262-$IL262, 0)</f>
        <v>#N/A</v>
      </c>
      <c r="JC262" s="222" t="e">
        <f ca="1">MAX(Control!$C$157*$EK262-$JT262, 0)/Control!$C$162</f>
        <v>#N/A</v>
      </c>
      <c r="JD262" s="218" t="e">
        <f t="shared" ref="JD262:JD325" ca="1" si="997">$JT262/IF($EK262&lt;&gt;0, $EK262, 1)</f>
        <v>#N/A</v>
      </c>
      <c r="JE262" s="218" t="e">
        <f t="shared" ref="JE262:JE325" ca="1" si="998">$IQ262+$IL262+$JT262</f>
        <v>#N/A</v>
      </c>
      <c r="JF262" s="218" t="e">
        <f t="shared" ca="1" si="876"/>
        <v>#N/A</v>
      </c>
      <c r="JG262" s="218" t="e">
        <f t="shared" ref="JG262:JG325" ca="1" si="999">MAX($HS262*$EH262-$JF262, 0)</f>
        <v>#N/A</v>
      </c>
      <c r="JH262" s="217" t="e">
        <f t="shared" ca="1" si="877"/>
        <v>#N/A</v>
      </c>
      <c r="JI262" s="217" t="e">
        <f t="shared" ca="1" si="878"/>
        <v>#N/A</v>
      </c>
      <c r="JJ262" s="217" t="e">
        <f t="shared" ca="1" si="913"/>
        <v>#N/A</v>
      </c>
      <c r="JK262" s="217" t="e">
        <f ca="1">IF(Control!$C$114=1,IF(Control!$B$24=0,MAX(0,$JI262)*$GN262/Control!$C$64,(MAX(0,MIN($JI262,$JJ262*$GN262/Control!$C$64),0))))</f>
        <v>#N/A</v>
      </c>
      <c r="JL262" s="217" t="e">
        <f ca="1">$IK262/Control!$C$64-$JK262+$HQ262</f>
        <v>#N/A</v>
      </c>
      <c r="JM262" s="217" t="e">
        <f ca="1">IF(Control!$C$114=1,($JB262/(IF($JI262&lt;&gt;0,$JI262,1)))*$JK262,0)</f>
        <v>#N/A</v>
      </c>
      <c r="JN262" s="217" t="e">
        <f ca="1">IF(Control!$C$114=1,($JG262/(IF($JI262&lt;&gt;0,$JI262,1)))*$JK262, 0)</f>
        <v>#N/A</v>
      </c>
      <c r="JO262" s="218" t="e">
        <f t="shared" ref="JO262:JO325" ca="1" si="1000">$IQ262+$IL262+$JF262+$JT262</f>
        <v>#N/A</v>
      </c>
      <c r="JP262" s="218" t="e">
        <f ca="1">MIN(($IY262+$IO262)*Control!$C$151, $JF262-$EH262*Control!$C$161)</f>
        <v>#N/A</v>
      </c>
      <c r="JQ262" s="218" t="e">
        <f t="shared" ref="JQ262:JQ325" ca="1" si="1001">$JP262+$IO262+$IY262</f>
        <v>#N/A</v>
      </c>
      <c r="JR262" s="217" t="e">
        <f ca="1">IF($CP262-Control!$C$150&lt;0, 0, $JQ262/Control!$C$162)</f>
        <v>#N/A</v>
      </c>
      <c r="JS262" s="218" t="e">
        <f t="shared" ref="JS262:JS325" ca="1" si="1002">MIN($JC262,$JR262)</f>
        <v>#N/A</v>
      </c>
      <c r="JT262" s="218" t="e">
        <f t="shared" ca="1" si="879"/>
        <v>#N/A</v>
      </c>
      <c r="JU262" s="218" t="e">
        <f t="shared" ref="JU262:JU325" ca="1" si="1003">$JS262*$JP262/(IF($JQ262&lt;&gt;0,$JQ262,1))</f>
        <v>#N/A</v>
      </c>
      <c r="JV262" s="218" t="e">
        <f t="shared" ref="JV262:JV325" ca="1" si="1004">$JN262-$JU262-$HU262</f>
        <v>#N/A</v>
      </c>
      <c r="JW262" s="216" t="e">
        <f t="shared" ref="JW262:JW325" ca="1" si="1005">$JF262/IF($EH262&lt;&gt;0, $EH262, 1)</f>
        <v>#N/A</v>
      </c>
      <c r="JX262" s="91" t="e">
        <f t="shared" ref="JX262:JX325" ca="1" si="1006">$JE262/(IF($EL262&lt;&gt;0,$EL262,1))</f>
        <v>#N/A</v>
      </c>
      <c r="JY262" s="218" t="e">
        <f t="shared" ref="JY262:JY325" ca="1" si="1007">$JF262+$HV262</f>
        <v>#N/A</v>
      </c>
      <c r="JZ262" s="217" t="e">
        <f ca="1">IF(Control!$C$114=1,($IZ262/(IF($JI262&lt;&gt;0,$JI262,1)))*$JK262, 0)</f>
        <v>#N/A</v>
      </c>
      <c r="KA262" s="218" t="e">
        <f t="shared" ca="1" si="914"/>
        <v>#N/A</v>
      </c>
      <c r="KB262" s="218" t="e">
        <f t="shared" ca="1" si="880"/>
        <v>#N/A</v>
      </c>
      <c r="KC262" s="218" t="e">
        <f t="shared" ref="KC262:KC325" ca="1" si="1008">$JS262*$IO262/(IF($JQ262&lt;&gt;0,$JQ262,1))</f>
        <v>#N/A</v>
      </c>
      <c r="KD262" s="218" t="e">
        <f t="shared" ref="KD262:KD325" ca="1" si="1009">$JM262-$KC262-$HW262</f>
        <v>#N/A</v>
      </c>
      <c r="KE262" s="218" t="e">
        <f t="shared" ref="KE262:KE325" ca="1" si="1010">$JS262*$IY262/(IF($JQ262&lt;&gt;0,$JQ262,1))</f>
        <v>#N/A</v>
      </c>
      <c r="KF262" s="218" t="e">
        <f t="shared" ref="KF262:KF325" ca="1" si="1011">$JZ262-$KE262-$IU262</f>
        <v>#N/A</v>
      </c>
      <c r="KG262" s="216" t="e">
        <f t="shared" ref="KG262:KG325" ca="1" si="1012">$IR262/IF($GZ262&lt;&gt;0, $GZ262, 1)</f>
        <v>#N/A</v>
      </c>
      <c r="KH262" s="221" t="e">
        <f ca="1">IF(Control!$B$24=0,1,MAX(0.001,MIN(1,IF(($IF262-$IE262)&lt;&gt;0,($KG262-$IE262)/($IF262-$IE262),1))))</f>
        <v>#N/A</v>
      </c>
      <c r="KI262" s="222" t="e">
        <f ca="1">IF(Control!$C$114=1, $KI261+ $KH261, 0)</f>
        <v>#N/A</v>
      </c>
      <c r="KJ262" s="217" t="e">
        <f t="shared" ref="KJ262:KJ325" ca="1" si="1013">IF($AH262&gt;$HF262, $KI262/($AH262-$HF262), $KI262/($AH262+365-$HF262))</f>
        <v>#N/A</v>
      </c>
      <c r="KK262" s="218" t="e">
        <f t="shared" ref="KK262:KK325" ca="1" si="1014">$KA262+ ($IQ262+$IL262+$JF262+$JT262)-($IQ262+$IL262+$JF262+$JT262+$IV262+$HV262+$HX262)</f>
        <v>#N/A</v>
      </c>
      <c r="KL262" s="274" t="e">
        <f ca="1">IF(Control!$B$26=3,4000000000*EXP(-8400/($G262+273)),IF(Control!$B$26=4,4000000000*EXP(-8400/($G262+273))*($KT262),0))</f>
        <v>#DIV/0!</v>
      </c>
      <c r="KM262" s="274" t="e">
        <f ca="1">IF(Control!$B$26=3,5600000000000*EXP(-9800/($G262+273)),IF(Control!$B$26=4,5600000000000*EXP(-9800/($G262+273))*$KT262,0))</f>
        <v>#DIV/0!</v>
      </c>
      <c r="KN262" s="454" t="e">
        <f t="shared" ca="1" si="881"/>
        <v>#DIV/0!</v>
      </c>
      <c r="KO262" s="274" t="e">
        <f t="shared" ca="1" si="882"/>
        <v>#DIV/0!</v>
      </c>
      <c r="KP262" s="454" t="e">
        <f t="shared" ref="KP262:KP325" ca="1" si="1015">$KO262+$KN262</f>
        <v>#DIV/0!</v>
      </c>
      <c r="KQ262" s="454" t="e">
        <f t="shared" ref="KQ262:KQ325" ca="1" si="1016">$KN262-$KN263</f>
        <v>#DIV/0!</v>
      </c>
      <c r="KR262" s="454" t="e">
        <f t="shared" ref="KR262:KR325" ca="1" si="1017">$KO262-$KO263</f>
        <v>#DIV/0!</v>
      </c>
      <c r="KS262" s="454" t="e">
        <f t="shared" ref="KS262:KS325" ca="1" si="1018">$KQ262+$KR262</f>
        <v>#DIV/0!</v>
      </c>
      <c r="KT262" s="455" t="e">
        <f t="shared" ref="KT262:KT325" ca="1" si="1019">$MV262/$OO262</f>
        <v>#DIV/0!</v>
      </c>
      <c r="KU262" s="456" t="e">
        <f ca="1">IF($CP262-Control!$C$149&lt;0, IF($NT262-0.01&lt;0,0,1),0)</f>
        <v>#N/A</v>
      </c>
      <c r="KV262" s="456" t="e">
        <f ca="1">IF(Control!$C$114=1,MAX(0,MIN(Control!$C$125*$KW262*$GN262,$KW262)))</f>
        <v>#DIV/0!</v>
      </c>
      <c r="KW262" s="456" t="e">
        <f t="shared" ca="1" si="915"/>
        <v>#DIV/0!</v>
      </c>
      <c r="KX262" s="457" t="e">
        <f ca="1">IF($CP262-Control!$C$149&lt;0, IF($MR262-$OM262&lt;0,0,1),0)</f>
        <v>#N/A</v>
      </c>
      <c r="KY262" s="167">
        <f t="shared" ca="1" si="883"/>
        <v>258</v>
      </c>
      <c r="KZ262" s="168">
        <f ca="1">1370*(1+0.033*COS(2*Control!$C$138*$AH262/365))</f>
        <v>1357.8925676459025</v>
      </c>
      <c r="LA262" s="169">
        <f t="shared" ca="1" si="884"/>
        <v>0.9911621279296482</v>
      </c>
      <c r="LB262" s="169">
        <f t="shared" ca="1" si="885"/>
        <v>3.6893698565152948E-2</v>
      </c>
      <c r="LC262" s="169">
        <f ca="1">ACOS(-TAN((2*Control!$B$8/360))*TAN(Calculations!$LB262))</f>
        <v>1.5817664472262167</v>
      </c>
      <c r="LD262" s="169">
        <f ca="1">((24*60)/PI())*0.082*$LA262*(($LC262*SIN(Control!$B$8*2*PI()/360))*SIN($LB262)+COS(Control!$B$8*2*PI()/360)*COS($LB262)*SIN($LC262))</f>
        <v>24.631545111198466</v>
      </c>
      <c r="LE262" s="170">
        <f t="shared" ref="LE262:LE325" ca="1" si="1020">(MAX(0.0001,$KZ262*$LJ262))/1000000</f>
        <v>24.820579100207905</v>
      </c>
      <c r="LF262" s="170">
        <f ca="1">SIN(Control!$C$139*Control!$B$8)*SIN($HD262)</f>
        <v>3.0985543252446655E-2</v>
      </c>
      <c r="LG262" s="170">
        <f ca="1">COS(Control!$C$139*Control!$B$8)*COS($HD262)</f>
        <v>0.61518366665335988</v>
      </c>
      <c r="LH262" s="170">
        <f ca="1">12*(1+2*ASIN(MAX(-1,MIN(1,$LF262/$LG262))/Control!$C$138))</f>
        <v>12.384798419141813</v>
      </c>
      <c r="LI262" s="170">
        <f ca="1">12*(1+2*ASIN(MAX(-1,MIN(1,(-SIN(-4*Control!$C$139)+$LF262)/$LG262))/Control!$C$138))</f>
        <v>13.251594857612853</v>
      </c>
      <c r="LJ262" s="168">
        <f ca="1">3600*($LH262*$LF262+24*$LG262*SQRT(1-$LK262*$LK262)/Control!$C$138)</f>
        <v>18278.750242545229</v>
      </c>
      <c r="LK262" s="170">
        <f t="shared" ref="LK262:LK325" ca="1" si="1021">MAX(-1,MIN(1,$LF262/$LG262))</f>
        <v>5.0367955022294519E-2</v>
      </c>
      <c r="LL262" s="170">
        <f t="shared" ref="LL262:LL325" ca="1" si="1022">$AQ262/$LE262</f>
        <v>0</v>
      </c>
      <c r="LM262" s="171">
        <f ca="1">Control!$C$145*$AB262</f>
        <v>6.6660906138995932E-2</v>
      </c>
      <c r="LN262" s="170">
        <f t="shared" ca="1" si="886"/>
        <v>0.54</v>
      </c>
      <c r="LO262" s="170">
        <f t="shared" ref="LO262:LO325" ca="1" si="1023">MAX(0,MIN(1,($LL262-0.2)/0.56))</f>
        <v>0</v>
      </c>
      <c r="LP262" s="170">
        <f ca="1">Control!$C$140*((($D262+273.16)^4+($E262+273.16)^4)/2)*(0.34-0.14*SQRT($Y262))*(1.35*$AQ262/(0.75*$LD262)-0.35)</f>
        <v>-3.2464704755046001</v>
      </c>
      <c r="LQ262" s="170">
        <f ca="1">Control!$C$140*($G262+273)^4*(0.56-0.079*SQRT($Y262*10))*(0.1+0.9*$LO262)</f>
        <v>1.5241745131704001</v>
      </c>
      <c r="LR262" s="170">
        <f ca="1">$AQ262*(1-Control!$C$142)-$LQ262</f>
        <v>-1.5241745131704001</v>
      </c>
      <c r="LS262" s="170">
        <f ca="1">$AQ262*(1-Control!$C$143)-$LQ262</f>
        <v>-1.5241745131704001</v>
      </c>
      <c r="LT262" s="170">
        <f ca="1">$AQ262*(1-Control!$C$144)-$LQ262</f>
        <v>-1.5241745131704001</v>
      </c>
      <c r="LU262" s="169">
        <f ca="1">(1-Control!$C$144)*AQ262-LP262</f>
        <v>3.2464704755046001</v>
      </c>
      <c r="LV262" s="172">
        <f t="shared" ref="LV262:LV325" ca="1" si="1024">10*0.26*($X262-$Y262)*(0.5+$LN262*$J262)</f>
        <v>0.79430000000000012</v>
      </c>
      <c r="LW262" s="170">
        <f t="shared" ref="LW262:LW325" ca="1" si="1025">10*0.26*($X262-$Y262)*(1+$LN262*$J262)</f>
        <v>1.5886000000000002</v>
      </c>
      <c r="LX262" s="170">
        <f ca="1">($AC262*($LR262/Control!$C$141)+$LM262*$LV262)/($AC262+$LM262)</f>
        <v>0.23530094218323697</v>
      </c>
      <c r="LY262" s="170">
        <f ca="1">($AC262*($LS262/Control!$C$141)+$LM262*$LV262)/($AC262+$LM262)</f>
        <v>0.23530094218323697</v>
      </c>
      <c r="LZ262" s="170">
        <f t="shared" ref="LZ262:LZ325" ca="1" si="1026">MAX(0,$LX262)</f>
        <v>0.23530094218323697</v>
      </c>
      <c r="MA262" s="170">
        <f t="shared" ref="MA262:MA325" ca="1" si="1027">MAX(0,$LY262)</f>
        <v>0.23530094218323697</v>
      </c>
      <c r="MB262" s="170" t="e">
        <f t="shared" ref="MB262:MB325" ca="1" si="1028" xml:space="preserve"> $MA262*(1-$DL262)</f>
        <v>#N/A</v>
      </c>
      <c r="MC262" s="170">
        <f t="shared" ca="1" si="887"/>
        <v>0.6018</v>
      </c>
      <c r="MD262" s="170">
        <f t="shared" ref="MD262:MD325" ca="1" si="1029">(0.408*AD262*$LU262+$LM262*(900/($G262+273)*$J262*$MC262))/($AD262+$LM262*(1+0.34*$J262))</f>
        <v>0.52989392535414004</v>
      </c>
      <c r="ME262" s="170">
        <f ca="1">($AC262*($LT262/Control!$C$141)+$LM262*$LW262)/($AC262+$LM262)</f>
        <v>0.71612369323045078</v>
      </c>
      <c r="MF262" s="170" t="e">
        <f ca="1">IF(Control!$B$16&gt;=1000,0.92,IF(AND(720&lt;=Control!$B$16,1000&gt;Control!$B$16),(0.95+(Control!$B$16-720)*((0.92-0.95)/(1000-720))),IF(AND(360&lt;=Control!$B$16,720&gt;Control!$B$16),(1+(Control!$B$16-360)*((0.95-1)/(720-360))),IF(AND(40&lt;=Control!$B$16,360&gt;Control!$B$16),(1.05+(Control!$B$16-40)*((1.05-1)/(360-40)))))))</f>
        <v>#N/A</v>
      </c>
      <c r="MG262" s="170">
        <f t="shared" ref="MG262:MG325" ca="1" si="1030">MAX(0,$ME262)</f>
        <v>0.71612369323045078</v>
      </c>
      <c r="MH262" s="170" t="e">
        <f t="shared" ca="1" si="926"/>
        <v>#N/A</v>
      </c>
      <c r="MI262" s="170" t="e">
        <f t="shared" ca="1" si="926"/>
        <v>#N/A</v>
      </c>
      <c r="MJ262" s="170" t="e">
        <f ca="1">MAX(0.0001, Control!$C$132*$MI262*$DL262)</f>
        <v>#N/A</v>
      </c>
      <c r="MK262" s="170">
        <f ca="1">1/(0.76+1.5*($MG262/10))-(5-Control!$C$110)*0.1</f>
        <v>1.002845988140797</v>
      </c>
      <c r="ML262" s="173">
        <f ca="1">IF(Control!$C$110&lt;3,$MK262+($MG262-0.6)/(Control!$C$110*(Control!$C$110+3)), MAX(0.1, MIN(0.95,$MK262)))</f>
        <v>0.95</v>
      </c>
      <c r="MM262" s="173">
        <f ca="1">IF(Control!$C$110&lt;3,$MK262+(($MI262/10)-0.6)/(Control!$C$110*(Control!$C$110+3)), MAX(0.1, MIN(0.95,$MK262)))</f>
        <v>0.95</v>
      </c>
      <c r="MN262" s="173">
        <f ca="1">(1-$MM262)*(Control!$C$128-Control!$C$127)+Control!$C$127</f>
        <v>0.16</v>
      </c>
      <c r="MO262" s="170" t="e">
        <f ca="1">MAX(0,MIN(1,($MS262-Control!$C$127)/($MN262-Control!$C$127)))</f>
        <v>#DIV/0!</v>
      </c>
      <c r="MP262" s="173" t="e">
        <f ca="1">1/(0.76+1.5*$MI262)-(5-Control!$C$110)*0.1</f>
        <v>#N/A</v>
      </c>
      <c r="MQ262" s="172" t="e">
        <f t="shared" ca="1" si="916"/>
        <v>#DIV/0!</v>
      </c>
      <c r="MR262" s="168" t="e">
        <f t="shared" ca="1" si="888"/>
        <v>#DIV/0!</v>
      </c>
      <c r="MS262" s="173" t="e">
        <f ca="1">MAX(Control!$C$127, MIN(Control!$C$135, $MR262/MAX(0.0001,$CY262)))</f>
        <v>#DIV/0!</v>
      </c>
      <c r="MT262" s="168" t="e">
        <f ca="1">(Control!$C$128-$MS262)*Control!$C$74</f>
        <v>#DIV/0!</v>
      </c>
      <c r="MU262" s="168" t="e">
        <f ca="1">(Control!$C$135-$MS262)*Control!$C$74</f>
        <v>#DIV/0!</v>
      </c>
      <c r="MV262" s="168" t="e">
        <f t="shared" ca="1" si="889"/>
        <v>#DIV/0!</v>
      </c>
      <c r="MW262" s="168" t="e">
        <f t="shared" ca="1" si="890"/>
        <v>#DIV/0!</v>
      </c>
      <c r="MX262" s="171" t="e">
        <f ca="1">MAX(Control!$C$127, MIN(Control!$C$135, $MW262/MAX(0.0001,Control!$C$119-$CY262)))</f>
        <v>#DIV/0!</v>
      </c>
      <c r="MY262" s="54" t="e">
        <f ca="1">IF(Control!$C$114=1, $CX262*$MX262, 0)</f>
        <v>#DIV/0!</v>
      </c>
      <c r="MZ262" s="54" t="e">
        <f t="shared" ca="1" si="891"/>
        <v>#N/A</v>
      </c>
      <c r="NA262" s="168" t="e">
        <f ca="1">(Control!$C$128-$MX262)*(Control!$C$119-Control!$C$74)</f>
        <v>#DIV/0!</v>
      </c>
      <c r="NB262" s="168" t="e">
        <f ca="1">(Control!$C$135-$MX262)*(Control!$C$119-Control!$C$74)</f>
        <v>#DIV/0!</v>
      </c>
      <c r="NC262" s="174" t="e">
        <f t="shared" ca="1" si="892"/>
        <v>#DIV/0!</v>
      </c>
      <c r="ND262" s="54">
        <f ca="1">IF(Control!$C$58=2, IF(OR(Control!$B$218=$AH262,Control!$B$219=$AH262, Control!$B$220=$AH262, Control!$B$221=$AH262, Control!$B$222=$AH262, Control!$B$223=$AH262, Control!$B$224=$AH262, Control!$B$225=$AH262, Control!$B$226=$AH262, Control!$B$227=$AH262, Control!$B$228=$AH262), 1, 0), 0)</f>
        <v>0</v>
      </c>
      <c r="NE262" s="54">
        <f ca="1">IF($ND262=0,0, VLOOKUP($AH262,Control!$B$218:$C$228,2))</f>
        <v>0</v>
      </c>
      <c r="NF262" s="168" t="e">
        <f ca="1">$CY262*(Control!$C$128-Control!$C$127)</f>
        <v>#N/A</v>
      </c>
      <c r="NG262" s="54" t="e">
        <f ca="1">IF(Control!$C$58=2, $NI261-$NJ261, 0)</f>
        <v>#DIV/0!</v>
      </c>
      <c r="NH262" s="54" t="e">
        <f ca="1">IF(AND(Control!$C$58=1, $MS261&lt;= ($MN261+0.02), $I261&lt;10), 0, IF(Control!$C$58=2, $NG261, 0))</f>
        <v>#DIV/0!</v>
      </c>
      <c r="NI262" s="54" t="e">
        <f ca="1">IF(Control!$C$58=2, $NE262+$NH262,0)</f>
        <v>#DIV/0!</v>
      </c>
      <c r="NJ262" s="54" t="e">
        <f ca="1">IF(AND(Control!$C$58=1, $MS262&lt;= ($MN262+0.02), $I262&lt;10), MAX(0, MIN(10, 0.7*($NF262-$MV262))), IF(Control!$C$58=2, MIN(10,$NI262),0))</f>
        <v>#DIV/0!</v>
      </c>
      <c r="NK262" s="54" t="e">
        <f t="shared" ref="NK262:NK325" ca="1" si="1031">$NJ262+$NH262</f>
        <v>#DIV/0!</v>
      </c>
      <c r="NL262" s="173" t="e">
        <f ca="1">(1-Control!$C$73)*$I262+$NJ262</f>
        <v>#DIV/0!</v>
      </c>
      <c r="NM262" s="172" t="e">
        <f ca="1">IF($NL262&lt;0.5, $MB262* MAX(0, MIN(1, (SQRT($NC262)-SQRT($NC262-1))*Control!$C$71)),0)</f>
        <v>#DIV/0!</v>
      </c>
      <c r="NN262" s="170" t="e">
        <f ca="1">IF($NL262&gt;=5, $MB262, MAX(0,MIN($MB262, $NM262+$NL262,($MS262-Control!$C$129))))</f>
        <v>#DIV/0!</v>
      </c>
      <c r="NO262" s="54">
        <f>IF(Control!$C$133&lt;&gt;1, Control!$C$135-Control!$C$131, 0)</f>
        <v>0.38</v>
      </c>
      <c r="NP262" s="54" t="e">
        <f t="shared" ref="NP262:NP325" ca="1" si="1032">IF($MS262&gt;=$NO262,MIN($AH261+1,4),0)</f>
        <v>#DIV/0!</v>
      </c>
      <c r="NQ262" s="173" t="e">
        <f ca="1">MAX(0,MIN(1,(Control!$C$135-$MS262)/(Control!$C$135-$NO262)))</f>
        <v>#DIV/0!</v>
      </c>
      <c r="NR262" s="170" t="e">
        <f ca="1">IF(Control!$C$133&lt;&gt;1, $NQ262+((1-$NP262/4)*(1-$NQ262)),1)</f>
        <v>#DIV/0!</v>
      </c>
      <c r="NS262" s="170" t="e">
        <f ca="1">IF(Control!$B$31=0,$MJ262,MAX(0,MIN($MV262,$MO262*$NR262*$MJ262)))</f>
        <v>#DIV/0!</v>
      </c>
      <c r="NT262" s="170" t="e">
        <f t="shared" ca="1" si="917"/>
        <v>#DIV/0!</v>
      </c>
      <c r="NU262" s="170" t="e">
        <f t="shared" ca="1" si="893"/>
        <v>#N/A</v>
      </c>
      <c r="NV262" s="170" t="e">
        <f t="shared" ref="NV262:NV325" ca="1" si="1033">IF($AH262&gt;$HF262, $NU262/($AH262-$HF262), $NU262/($AH262+365-$HF262))</f>
        <v>#N/A</v>
      </c>
      <c r="NW262" s="175" t="e">
        <f t="shared" ref="NW262:NW325" ca="1" si="1034">$NL262-$NN262-$NS262</f>
        <v>#DIV/0!</v>
      </c>
      <c r="NX262" s="170" t="e">
        <f ca="1">MIN(Control!$C$72+$MU262, $NW262)</f>
        <v>#DIV/0!</v>
      </c>
      <c r="NY262" s="170" t="e">
        <f ca="1">IF($MT262&lt;=$NX262,MIN(Control!$C$72+$NB262,$NX262-$MT262),0)</f>
        <v>#DIV/0!</v>
      </c>
      <c r="NZ262" s="54" t="e">
        <f ca="1">IF(Control!$C$114=1,  $CX262*($MX262-Control!$C$127), 0)</f>
        <v>#DIV/0!</v>
      </c>
      <c r="OA262" s="170" t="e">
        <f t="shared" ref="OA262:OA325" ca="1" si="1035">$NX262-$NY262+$NZ262</f>
        <v>#DIV/0!</v>
      </c>
      <c r="OB262" s="170" t="e">
        <f ca="1">IF($NA262 &lt;=$NY262, MIN(Control!$C$72, $NY262-$NA262), 0)</f>
        <v>#DIV/0!</v>
      </c>
      <c r="OC262" s="168" t="e">
        <f t="shared" ref="OC262:OC325" ca="1" si="1036">$NY262-$OB262-$NZ262</f>
        <v>#DIV/0!</v>
      </c>
      <c r="OD262" s="168" t="e">
        <f t="shared" ca="1" si="894"/>
        <v>#DIV/0!</v>
      </c>
      <c r="OE262" s="170">
        <f ca="1">Control!$C$73*$I262</f>
        <v>0</v>
      </c>
      <c r="OF262" s="176" t="e">
        <f t="shared" ref="OF262:OF325" ca="1" si="1037">$OE262+MAX(0,$NW262-$NX262)</f>
        <v>#DIV/0!</v>
      </c>
      <c r="OG262" s="168" t="e">
        <f t="shared" ref="OG262:OG325" ca="1" si="1038">$MV$6-$MV262</f>
        <v>#DIV/0!</v>
      </c>
      <c r="OH262" s="168" t="e">
        <f t="shared" ref="OH262:OH325" ca="1" si="1039">$OD$6-$OD262</f>
        <v>#DIV/0!</v>
      </c>
      <c r="OI262" s="168" t="e">
        <f t="shared" ref="OI262:OI325" ca="1" si="1040">$NX262-$NY262+$MY262</f>
        <v>#DIV/0!</v>
      </c>
      <c r="OJ262" s="168" t="e">
        <f t="shared" ref="OJ262:OJ325" ca="1" si="1041">$NY262-$OB262-$MY262</f>
        <v>#DIV/0!</v>
      </c>
      <c r="OK262" s="204" t="e">
        <f t="shared" ref="OK262:OK325" ca="1" si="1042">$OG262+$OH262</f>
        <v>#DIV/0!</v>
      </c>
      <c r="OL262" s="177">
        <f>Control!$C$127</f>
        <v>0.15</v>
      </c>
      <c r="OM262" s="182" t="e">
        <f t="shared" ref="OM262:OM325" ca="1" si="1043">$OL262*$CY262</f>
        <v>#N/A</v>
      </c>
      <c r="ON262" s="177">
        <f>Control!$C$128</f>
        <v>0.35</v>
      </c>
      <c r="OO262" s="182" t="e">
        <f t="shared" ref="OO262:OO325" ca="1" si="1044">$ON262*$CY262</f>
        <v>#N/A</v>
      </c>
      <c r="OP262" s="138">
        <f t="shared" ca="1" si="895"/>
        <v>0</v>
      </c>
      <c r="OQ262" s="138" t="e">
        <f t="shared" ca="1" si="918"/>
        <v>#DIV/0!</v>
      </c>
      <c r="OR262" s="138" t="e">
        <f t="shared" ca="1" si="896"/>
        <v>#DIV/0!</v>
      </c>
      <c r="OS262" s="137" t="e">
        <f t="shared" ca="1" si="919"/>
        <v>#DIV/0!</v>
      </c>
      <c r="OT262" s="139" t="e">
        <f t="shared" ca="1" si="920"/>
        <v>#DIV/0!</v>
      </c>
      <c r="OU262" s="138" t="e">
        <f t="shared" ca="1" si="921"/>
        <v>#N/A</v>
      </c>
      <c r="OV262" s="138" t="e">
        <f t="shared" ca="1" si="922"/>
        <v>#DIV/0!</v>
      </c>
      <c r="OW262" s="138" t="e">
        <f t="shared" ca="1" si="897"/>
        <v>#DIV/0!</v>
      </c>
      <c r="OX262" s="138" t="e">
        <f t="shared" ca="1" si="898"/>
        <v>#DIV/0!</v>
      </c>
      <c r="OY262" s="138" t="e">
        <f t="shared" ca="1" si="899"/>
        <v>#DIV/0!</v>
      </c>
      <c r="OZ262" s="138" t="e">
        <f t="shared" ref="OZ262:OZ325" ca="1" si="1045">ABS($MR262-$NS262-$NN262+$I262+$MY262+$NK262-$OF262-$NY262-$OX262)</f>
        <v>#DIV/0!</v>
      </c>
      <c r="PA262" s="138" t="e">
        <f t="shared" ref="PA262:PA325" ca="1" si="1046">ABS($MW262+$NY262-$OB262-$MY262-$OY262)</f>
        <v>#DIV/0!</v>
      </c>
      <c r="PB262" s="55">
        <f>IF(Control!$C$61="T", IF(Control!$C$65="F", IF($AH$6-Control!$C$60&lt;0,0,1), IF(365+$AH$6-Control!$C$60&lt;0,0,1)),0)</f>
        <v>0</v>
      </c>
      <c r="PC262" s="55">
        <f ca="1">IF(Control!$C$65="F", IF($AH$6-$HF262&lt;0,0,1), IF(365+$AH$6-$HF262&lt;0,0,1))</f>
        <v>1</v>
      </c>
      <c r="PD262" s="444">
        <f>Control!$C$118</f>
        <v>1500</v>
      </c>
      <c r="PE262" s="180" t="e">
        <f t="shared" ref="PE262:PE325" ca="1" si="1047">$CY262*($ON262-$MS262)</f>
        <v>#N/A</v>
      </c>
      <c r="PF262" s="445">
        <f t="shared" ca="1" si="900"/>
        <v>0.71612369323045078</v>
      </c>
      <c r="PT262" s="186"/>
      <c r="PU262" s="186"/>
      <c r="PV262" s="94"/>
      <c r="PW262" s="94"/>
      <c r="PX262" s="94"/>
      <c r="PY262" s="94"/>
      <c r="PZ262" s="94"/>
      <c r="QA262" s="94"/>
      <c r="QB262" s="94"/>
      <c r="QC262" s="94"/>
      <c r="QD262" s="94"/>
      <c r="QE262" s="94"/>
      <c r="QF262" s="94"/>
      <c r="QG262" s="94"/>
      <c r="QH262" s="94"/>
      <c r="QI262" s="94"/>
      <c r="QJ262" s="94"/>
      <c r="QK262" s="94"/>
      <c r="QL262" s="94"/>
      <c r="QM262" s="94"/>
      <c r="QN262" s="94"/>
      <c r="QO262" s="94"/>
      <c r="QP262" s="94"/>
    </row>
    <row r="263" spans="1:458" s="2" customFormat="1" x14ac:dyDescent="0.2">
      <c r="A263" s="395">
        <v>15</v>
      </c>
      <c r="B263" s="396">
        <v>9</v>
      </c>
      <c r="C263" s="387">
        <f ca="1">Weather_data!$B262</f>
        <v>0</v>
      </c>
      <c r="D263" s="388">
        <f ca="1">Weather_data!$F262</f>
        <v>0</v>
      </c>
      <c r="E263" s="388">
        <f ca="1">Weather_data!$E262</f>
        <v>0</v>
      </c>
      <c r="F263" s="388">
        <f t="shared" ref="F263:F326" ca="1" si="1048">$D263-$E263</f>
        <v>0</v>
      </c>
      <c r="G263" s="388">
        <f ca="1">AVERAGE($D263:$E263)+Control!$B$9</f>
        <v>0</v>
      </c>
      <c r="H263" s="388">
        <f ca="1">Weather_data!$G262</f>
        <v>0</v>
      </c>
      <c r="I263" s="388">
        <f ca="1">Weather_data!$I262</f>
        <v>0</v>
      </c>
      <c r="J263" s="388">
        <f ca="1">Weather_data!$H262</f>
        <v>0</v>
      </c>
      <c r="K263" s="389">
        <f ca="1">Weather_data!$D262</f>
        <v>0</v>
      </c>
      <c r="L263" s="388" t="e">
        <f t="shared" ref="L263:L326" ca="1" si="1049">$L262+$DM262</f>
        <v>#N/A</v>
      </c>
      <c r="M263" s="388" t="e">
        <f t="shared" ca="1" si="927"/>
        <v>#N/A</v>
      </c>
      <c r="N263" s="388">
        <f t="shared" ca="1" si="928"/>
        <v>-8.6955074245300078E-13</v>
      </c>
      <c r="O263" s="388">
        <f t="shared" ref="O263:O326" ca="1" si="1050">$O262+$N262</f>
        <v>8.695507424530008E-12</v>
      </c>
      <c r="P263" s="390">
        <v>3</v>
      </c>
      <c r="Q263" s="388">
        <f ca="1">MAX($G263-Control!$C$107,0)</f>
        <v>0</v>
      </c>
      <c r="R263" s="388">
        <f t="shared" ref="R263:R326" ca="1" si="1051">IF($G263&lt;=3,0,IF(33&gt;=$G263&gt;3,0+($G263-3)*((30-0)/(33-3)),IF($G263&gt;33,30)))</f>
        <v>0</v>
      </c>
      <c r="S263" s="388">
        <f t="shared" ca="1" si="929"/>
        <v>0</v>
      </c>
      <c r="T263" s="388">
        <f t="shared" ca="1" si="930"/>
        <v>0</v>
      </c>
      <c r="U263" s="59">
        <f t="shared" ca="1" si="931"/>
        <v>0</v>
      </c>
      <c r="V263" s="391">
        <f ca="1">MAX(0,MIN(Control!$C$100-Control!$C$99,$G263-Control!$C$99)*Control!$C$63)</f>
        <v>0</v>
      </c>
      <c r="W263" s="388">
        <f t="shared" ref="W263:W326" ca="1" si="1052">$D263-0.25*($D263-$E263)</f>
        <v>0</v>
      </c>
      <c r="X263" s="388">
        <f t="shared" ref="X263:X326" ca="1" si="1053">6.11*0.1*EXP(17.4*$G263/($G263+239))</f>
        <v>0.6110000000000001</v>
      </c>
      <c r="Y263" s="388">
        <f t="shared" ca="1" si="932"/>
        <v>0</v>
      </c>
      <c r="Z263" s="388">
        <f t="shared" ref="Z263:Z326" ca="1" si="1054">6.10588*0.1*EXP((17.32491*$G263)/($G263+238.102))</f>
        <v>0.61058800000000002</v>
      </c>
      <c r="AA263" s="388">
        <f t="shared" ca="1" si="933"/>
        <v>0.6018</v>
      </c>
      <c r="AB263" s="388">
        <f ca="1">101.3*EXP(-0.034*Control!$C$66/($G263+273))</f>
        <v>100.69623283836242</v>
      </c>
      <c r="AC263" s="392">
        <f t="shared" ca="1" si="934"/>
        <v>4.3460251046025113E-2</v>
      </c>
      <c r="AD263" s="392">
        <f t="shared" ca="1" si="935"/>
        <v>4.4450382862832649E-2</v>
      </c>
      <c r="AE263" s="388">
        <f t="shared" ca="1" si="936"/>
        <v>0</v>
      </c>
      <c r="AF263" s="388">
        <f ca="1">MAX(0,$G263-Control!$C$92)</f>
        <v>0</v>
      </c>
      <c r="AG263" s="393">
        <f t="shared" ca="1" si="937"/>
        <v>259</v>
      </c>
      <c r="AH263" s="389">
        <f t="shared" ca="1" si="938"/>
        <v>259</v>
      </c>
      <c r="AI263" s="388">
        <f t="shared" ref="AI263:AI326" ca="1" si="1055">$HD263</f>
        <v>3.2504510116010327E-2</v>
      </c>
      <c r="AJ263" s="388">
        <f ca="1">IF(Control!$C$60&lt;=0,$HH263,$HI263)</f>
        <v>1</v>
      </c>
      <c r="AK263" s="388">
        <f t="shared" ca="1" si="939"/>
        <v>3.0813429314661533</v>
      </c>
      <c r="AL263" s="388">
        <f t="shared" ca="1" si="940"/>
        <v>-9.9184428031806603E-18</v>
      </c>
      <c r="AM263" s="388">
        <f t="shared" ca="1" si="941"/>
        <v>3.0813429314661533</v>
      </c>
      <c r="AN263" s="388">
        <f t="shared" ca="1" si="942"/>
        <v>2.3955132772756408E-2</v>
      </c>
      <c r="AO263" s="388">
        <f ca="1">-0.10453/COS(Control!$B$8*PI()/180)*COS(AN263)</f>
        <v>-0.16973615117470392</v>
      </c>
      <c r="AP263" s="388">
        <f ca="1">ACOS(AO263-TAN(Control!$B$8*PI()/180)*TAN(AN263))</f>
        <v>1.7725657681518521</v>
      </c>
      <c r="AQ263" s="388">
        <f t="shared" ref="AQ263:AQ326" ca="1" si="1056">$K263/1000</f>
        <v>0</v>
      </c>
      <c r="AR263" s="394">
        <f t="shared" ca="1" si="943"/>
        <v>0</v>
      </c>
      <c r="AS263" s="436">
        <f ca="1">IF(Control!$B$18=2,(IF(OR($AH263=Control!$B$175,$AH263=Control!$B$176,$AH263=Control!$B$177,$AH263=Control!$B$178,$AH263=Control!$B$179,$AH263=Control!$B$180,$AH263=Control!$B$181,$AH263=Control!$B$182,$AH263=Control!$B$183,$AH263=Control!$B$184,$AH263=Control!$B$185),1,0)),0)</f>
        <v>0</v>
      </c>
      <c r="AT263" s="436">
        <f>IF(Control!$B$20=8,IF(AND($AH263&gt;=Control!$B$172,$AH263&lt;=Control!$B$173),1,0),0)</f>
        <v>0</v>
      </c>
      <c r="AU263" s="436">
        <f>IF(Control!$B$20=8,IF($AV262=1,1*$AT263,IF($AT263=1,$AU262+1,$AU262)),0)</f>
        <v>0</v>
      </c>
      <c r="AV263" s="436">
        <f>IF(Control!$B$20=8,IF($AU263&gt;=Control!$B$174,1,0),0)</f>
        <v>0</v>
      </c>
      <c r="AW263" s="436">
        <f ca="1">IF(AND(Control!$B$18=2,Control!$B$171=1), $AV263, $AS263)</f>
        <v>0</v>
      </c>
      <c r="AX263" s="436" t="e">
        <f ca="1">IF(AND(Control!$B$18=1,$EU263&gt;=Control!$B$19),-$AY263,IF(AND(Control!$B$18=2,$AW263=1,$EU263&gt;$DS263),-$AY263, IF(Control!$C$108=0,0, IF(Control!$C$108&lt;&gt;0,1))))</f>
        <v>#N/A</v>
      </c>
      <c r="AY263" s="436" t="e">
        <f t="shared" ref="AY263:AY326" ca="1" si="1057">$AY262+$AX262</f>
        <v>#N/A</v>
      </c>
      <c r="AZ263" s="436" t="e">
        <f ca="1">IF(AND(Control!$B$18=1,$EB263&gt;Control!$B$19),$AZ262+1, IF(AND(Control!$B$18=2, $AW263=1, $EB263&gt;$DS263), $AZ262+1,$AZ262))</f>
        <v>#N/A</v>
      </c>
      <c r="BA263" s="587">
        <f>IF(Control!$C$81=0,1,IF($AH263&gt;=Control!$C$82,1,0))</f>
        <v>1</v>
      </c>
      <c r="BB263" s="140" t="e">
        <f ca="1">IF($BA263&gt;$BA262,Control!$C$83,IF($AW263&gt;0,$AW263*Control!$C$84,IF(AND(Control!$B$18=1,EN262&lt;&gt;0),Control!$C$84,0)))</f>
        <v>#N/A</v>
      </c>
      <c r="BC263" s="140" t="e">
        <f t="shared" ref="BC263:BC326" ca="1" si="1058">IF($BA263=0,0,IF(AND($BB263&gt;0,$BB263&lt;9),1,$BG262))</f>
        <v>#N/A</v>
      </c>
      <c r="BD263" s="140" t="e">
        <f ca="1">BC263*IF(OR($G263&lt;Control!$C$92,$G263&gt;Control!$C$95),0,IF(AND($G263&gt;=Control!$C$92,$G263&lt;=Control!$C$93),$G263-Control!$C$92,IF(AND($G263&gt;Control!$C$93,$G263&lt;=Control!$C$94),Control!$C$93-Control!$C$92,IF(AND($G263&gt;Control!$C$94,$G263&lt;=Control!$C$95),(Control!$C$93-Control!$C$92)*(Control!$C$94-$G263)/(Control!$C$95-Control!$C$94)))))</f>
        <v>#N/A</v>
      </c>
      <c r="BE263" s="140" t="e">
        <f t="shared" ref="BE263:BE326" ca="1" si="1059">IF($BC263=0,0,$BF262+$BD263)</f>
        <v>#N/A</v>
      </c>
      <c r="BF263" s="140" t="e">
        <f ca="1">IF($BE263&lt;=Control!$C$86,$BE263,Control!$C$86-$BE263)</f>
        <v>#N/A</v>
      </c>
      <c r="BG263" s="140" t="e">
        <f ca="1">IF(AND($AW263=1,Control!$C$84&lt;9),1,IF($BE263&gt;=Control!$C$86,0,$BC263))</f>
        <v>#N/A</v>
      </c>
      <c r="BH263" s="404" t="e">
        <f ca="1">IF($BG263=0,0,IF($BE263&lt;=Control!$C$86,$BC263*9*($BF263/Control!$C$86),0))</f>
        <v>#N/A</v>
      </c>
      <c r="BI263" s="140" t="e">
        <f ca="1">IF($BG263=1,0,IF($BE263&gt;=Control!$C$86,1,IF(AND($BB263&lt;21,$BB263&gt;=9),1,$BM262)))</f>
        <v>#N/A</v>
      </c>
      <c r="BJ263" s="140" t="e">
        <f ca="1">IF($BF263&lt;0,-$BF263,$BI263*IF(OR($G263&lt;Control!$C$92,$G263&gt;Control!$C$95),0,IF(AND($G263&gt;=Control!$C$92,$G263&lt;=Control!$C$93),$G263-Control!$C$92,IF(AND($G263&gt;Control!$C$93,$G263&lt;=Control!$C$94),Control!$C$93-Control!$C$92,IF(AND($G263&gt;Control!$C$94,$G263&lt;=Control!$C$95),(Control!$C$93-Control!$C$92)*(Control!$C$94-$G263)/(Control!$C$95-Control!$C$94))))))</f>
        <v>#N/A</v>
      </c>
      <c r="BK263" s="140" t="e">
        <f t="shared" ref="BK263:BK326" ca="1" si="1060">IF($BI263=0,0,IF($BF263&lt;0,$BL262+$BJ263-$BF263,$BL262+$BJ263))</f>
        <v>#N/A</v>
      </c>
      <c r="BL263" s="140" t="e">
        <f ca="1">IF($BK263&lt;=Control!$C$87,$BK263,Control!$C$87-$BK263)</f>
        <v>#N/A</v>
      </c>
      <c r="BM263" s="140" t="e">
        <f ca="1">IF(AND($BB263&gt;=9,$BB263&lt;21),1,IF($BK263&gt;=Control!$C$87,0,$BI263))</f>
        <v>#N/A</v>
      </c>
      <c r="BN263" s="404" t="e">
        <f ca="1">IF($BM263=0,0,IF($BK263&lt;=Control!$C$87,$BI263*(9+(21-9)*($BL263/Control!$C$87)),0))</f>
        <v>#N/A</v>
      </c>
      <c r="BO263" s="140" t="e">
        <f ca="1">IF($BM263=1,0,IF($BK263&gt;=Control!$C$87,1,IF(AND($BB263&lt;30,$BB263&gt;=21),1,$BS262)))</f>
        <v>#N/A</v>
      </c>
      <c r="BP263" s="140" t="e">
        <f ca="1">IF($BL263&lt;0,-$BL263,$BO263*IF(OR($G263&lt;Control!$C$92,$G263&gt;Control!$C$95),0,IF(AND($G263&gt;=Control!$C$92,$G263&lt;=Control!$C$93),$G263-Control!$C$92,IF(AND($G263&gt;Control!$C$93,$G263&lt;=Control!$C$94),Control!$C$93-Control!$C$92,IF(AND($G263&gt;Control!$C$94,$G263&lt;=Control!$C$95),(Control!$C$93-Control!$C$92)*(Control!$C$94-$G263)/(Control!$C$95-Control!$C$94))))))</f>
        <v>#N/A</v>
      </c>
      <c r="BQ263" s="140" t="e">
        <f t="shared" ca="1" si="944"/>
        <v>#N/A</v>
      </c>
      <c r="BR263" s="140" t="e">
        <f ca="1">IF($BQ263&lt;=Control!$C$88,$BQ263,Control!$C$88-$BQ263)</f>
        <v>#N/A</v>
      </c>
      <c r="BS263" s="140" t="e">
        <f ca="1">IF(AND($BB263&gt;=21,$BB263&lt;30),1,IF($BQ263&gt;=Control!$C$88,0,$BO263))</f>
        <v>#N/A</v>
      </c>
      <c r="BT263" s="404" t="e">
        <f ca="1">IF($BS263=0,0,IF($BQ263&lt;=Control!$C$88,$BO263*(21+(30-21)*(BR263/Control!$C$88)),0))</f>
        <v>#N/A</v>
      </c>
      <c r="BU263" s="140" t="e">
        <f ca="1">IF(BG263+BM263+BS263=1,0,IF(OR(AND($BB263&lt;60,$BB263&gt;=30),$BQ263&gt;=Control!$C$88),1*$BA263,$BY262))</f>
        <v>#N/A</v>
      </c>
      <c r="BV263" s="140" t="e">
        <f ca="1">IF($BR263&lt;0,-$BR263,$BU263*IF(OR($G263&lt;Control!$C$92,$G263&gt;Control!$C$95),0,IF(AND($G263&gt;=Control!$C$92,$G263&lt;=Control!$C$93),$G263-Control!$C$92,IF(AND($G263&gt;Control!$C$93,$G263&lt;=Control!$C$94),Control!$C$93-Control!$C$92,IF(AND($G263&gt;Control!$C$94,$G263&lt;=Control!$C$95),(Control!$C$93-Control!$C$92)*(Control!$C$94-$G263)/(Control!$C$95-Control!$C$94))))))</f>
        <v>#N/A</v>
      </c>
      <c r="BW263" s="140" t="e">
        <f t="shared" ca="1" si="945"/>
        <v>#N/A</v>
      </c>
      <c r="BX263" s="140" t="e">
        <f ca="1">IF($BW263&lt;=Control!$C$89,$BW263,Control!$C$89-$BW263)</f>
        <v>#N/A</v>
      </c>
      <c r="BY263" s="140" t="e">
        <f ca="1">IF(AND($AJ263&gt;=30,$AJ263&lt;60),1,IF($BW263&gt;=Control!$C$89,0,$BU263))</f>
        <v>#N/A</v>
      </c>
      <c r="BZ263" s="404" t="e">
        <f ca="1">IF($BY263=0,0,IF($BW263&lt;=Control!$C$89,$BU263*(30+(60-30)*(BX263/Control!$C$89)),0))</f>
        <v>#N/A</v>
      </c>
      <c r="CA263" s="140" t="e">
        <f ca="1">IF($BG263+$BM263+$BS263+$BY263=1,0,IF(OR(AND($BB263&lt;65,$BB263&gt;=60),$BW263&gt;=Control!$C$89),1*$BA263,$CE262))</f>
        <v>#N/A</v>
      </c>
      <c r="CB263" s="140" t="e">
        <f ca="1">IF($BX263&lt;0,-$BX263,$CA263*IF(OR($G263&lt;Control!$C$92,$G263&gt;Control!$C$95),0,IF(AND($G263&gt;=Control!$C$92,$G263&lt;=Control!$C$93),$G263-Control!$C$92,IF(AND($G263&gt;Control!$C$93,$G263&lt;=Control!$C$94),Control!$C$93-Control!$C$92,IF(AND($G263&gt;Control!$C$94,$G263&lt;=Control!$C$95),(Control!$C$93-Control!$C$92)*(Control!$C$94-$G263)/(Control!$C$95-Control!$C$94))))))</f>
        <v>#N/A</v>
      </c>
      <c r="CC263" s="140" t="e">
        <f t="shared" ref="CC263:CC326" ca="1" si="1061">IF($CA263=1,$CC262+$CB263,0)</f>
        <v>#N/A</v>
      </c>
      <c r="CD263" s="140" t="e">
        <f ca="1">IF($CC263&lt;=Control!$C$90,$CC263,Control!$C$90-$CC263)</f>
        <v>#N/A</v>
      </c>
      <c r="CE263" s="140" t="e">
        <f ca="1">IF(AND($BB263&gt;=60,$BB263&lt;65),1,IF($CC263&gt;=Control!$C$90,0,$CA263))</f>
        <v>#N/A</v>
      </c>
      <c r="CF263" s="404" t="e">
        <f ca="1">IF($CE263=0,0,IF($CC263&lt;=Control!$C$90,$CA263*(60+(65-60)*(CD263/Control!$C$90)),0))</f>
        <v>#N/A</v>
      </c>
      <c r="CG263" s="140" t="e">
        <f ca="1">IF($BG263+$BM263+$BS263+$BY263+$CE263=1,0,IF(OR(AND($BB263&lt;90,$BB263&gt;=65),$CC263&gt;=Control!$C$90),$BA263,$CK262))</f>
        <v>#N/A</v>
      </c>
      <c r="CH263" s="140" t="e">
        <f ca="1">IF($CD263&lt;0,-$CD263,$CG263*IF(OR($G263&lt;Control!$C$92,$G263&gt;Control!$C$95),0,IF(AND($G263&gt;=Control!$C$92,$G263&lt;=Control!$C$93),$G263-Control!$C$92,IF(AND($G263&gt;Control!$C$93,$G263&lt;=Control!$C$94),Control!$C$93-Control!$C$92,IF(AND($G263&gt;Control!$C$94,$G263&lt;=Control!$C$95),(Control!$C$93-Control!$C$92)*(Control!$C$94-$G263)/(Control!$C$95-Control!$C$94))))))</f>
        <v>#N/A</v>
      </c>
      <c r="CI263" s="140" t="e">
        <f t="shared" ref="CI263:CI326" ca="1" si="1062">IF($CG263=1,$CI262+$CH263,0)</f>
        <v>#N/A</v>
      </c>
      <c r="CJ263" s="140" t="e">
        <f ca="1">IF($CI263&lt;=Control!$C$91,$CI263,Control!$C$91-$CI263)</f>
        <v>#N/A</v>
      </c>
      <c r="CK263" s="140" t="e">
        <f ca="1">IF(AND($BB263&gt;=65,$BB263&lt;90),1,IF($CI263&gt;=Control!$C$91,0,$CG263))</f>
        <v>#N/A</v>
      </c>
      <c r="CL263" s="404" t="e">
        <f ca="1">IF($CK263=0,0,IF($CI263&lt;=Control!$C$91,$CG263*(65+(90-65)*($CJ263/Control!$C$91)),0))</f>
        <v>#N/A</v>
      </c>
      <c r="CM263" s="140" t="e">
        <f ca="1">IF($BG263+$BM263+$BS263+$BY263+$CE263+$CK263=1,0,IF(OR($BB263&gt;=90,$CI263&gt;=Control!$C$91),$BA263,$CM262))</f>
        <v>#N/A</v>
      </c>
      <c r="CN263" s="140" t="e">
        <f t="shared" ref="CN263:CN326" ca="1" si="1063">CM263*90</f>
        <v>#N/A</v>
      </c>
      <c r="CO263" s="140" t="e">
        <f t="shared" ref="CO263:CO326" ca="1" si="1064">MAX(0.0001,$BF263+$BL263+$BR263+$BX263+$CD263+$CJ263)</f>
        <v>#N/A</v>
      </c>
      <c r="CP263" s="140" t="e">
        <f t="shared" ref="CP263:CP326" ca="1" si="1065">BH263+BN263+BT263+BZ263+CF263+CL263+CN263</f>
        <v>#N/A</v>
      </c>
      <c r="CQ263" s="141" t="e">
        <f ca="1">VLOOKUP($CP263,Control!$B$86:$G$91,6)</f>
        <v>#N/A</v>
      </c>
      <c r="CR263" s="141" t="e">
        <f ca="1">(1-$CQ263)*VLOOKUP($CP263,Control!$B$86:$D$91,3)</f>
        <v>#N/A</v>
      </c>
      <c r="CS263" s="141" t="e">
        <f ca="1">(1-$CQ263)*VLOOKUP($CP263,Control!$B$86:$E$91,4)</f>
        <v>#N/A</v>
      </c>
      <c r="CT263" s="141" t="e">
        <f ca="1">(1-$CQ263)*VLOOKUP($CP263,Control!$B$86:$F$91,5)</f>
        <v>#N/A</v>
      </c>
      <c r="CU263" s="141">
        <f t="shared" ref="CU263:CU326" ca="1" si="1066">$CU262+$T262</f>
        <v>0</v>
      </c>
      <c r="CV263" s="583">
        <f t="shared" ref="CV263:CV326" ca="1" si="1067">$CV262+$U262</f>
        <v>0</v>
      </c>
      <c r="CW263" s="142">
        <f t="shared" ref="CW263:CW326" ca="1" si="1068">$AG263</f>
        <v>259</v>
      </c>
      <c r="CX263" s="612" t="e">
        <f ca="1">IF(Control!$C$114=1,(MIN(Control!$C$120*(IF($NT263-0.01&lt;0,0,1)),Control!$C$119-$CY263)))</f>
        <v>#DIV/0!</v>
      </c>
      <c r="CY263" s="143" t="e">
        <f t="shared" ref="CY263:CY326" ca="1" si="1069">$CY262+$CX262</f>
        <v>#N/A</v>
      </c>
      <c r="CZ263" s="144">
        <f t="shared" ca="1" si="946"/>
        <v>0</v>
      </c>
      <c r="DA263" s="144">
        <f t="shared" ca="1" si="947"/>
        <v>0</v>
      </c>
      <c r="DB263" s="144" t="e">
        <f t="shared" ca="1" si="948"/>
        <v>#N/A</v>
      </c>
      <c r="DC263" s="144" t="e">
        <f t="shared" ca="1" si="949"/>
        <v>#N/A</v>
      </c>
      <c r="DD263" s="144" t="e">
        <f t="shared" ca="1" si="923"/>
        <v>#N/A</v>
      </c>
      <c r="DE263" s="143" t="e">
        <f t="shared" ref="DE263:DE326" ca="1" si="1070">$DE262+$DD262</f>
        <v>#N/A</v>
      </c>
      <c r="DF263" s="145" t="e">
        <f ca="1">$DR263*EXP(-Control!$C$158*(1-$KH263))</f>
        <v>#N/A</v>
      </c>
      <c r="DG263" s="146" t="e">
        <f ca="1">IF(Control!$C$114=1, $DF263*$EY263, 0)</f>
        <v>#N/A</v>
      </c>
      <c r="DH263" s="147" t="e">
        <f t="shared" ref="DH263:DH326" ca="1" si="1071">$DG263-$DZ263</f>
        <v>#N/A</v>
      </c>
      <c r="DI263" s="144" t="e">
        <f t="shared" ca="1" si="901"/>
        <v>#N/A</v>
      </c>
      <c r="DJ263" s="147" t="e">
        <f ca="1">$EF263*Control!$C$109</f>
        <v>#N/A</v>
      </c>
      <c r="DK263" s="144" t="e">
        <f t="shared" ref="DK263:DK326" ca="1" si="1072">$DI263+$DJ263</f>
        <v>#N/A</v>
      </c>
      <c r="DL263" s="144" t="e">
        <f t="shared" ca="1" si="950"/>
        <v>#N/A</v>
      </c>
      <c r="DM263" s="144" t="e">
        <f ca="1">IF(Control!$C$114=1, (1-EXP(-Control!$C$96*$DK263))*$AR263, 0)</f>
        <v>#N/A</v>
      </c>
      <c r="DN263" s="144">
        <f t="shared" ref="DN263:DN326" ca="1" si="1073">$DN262+$AR262</f>
        <v>0</v>
      </c>
      <c r="DO263" s="148">
        <f>Control!$C$97</f>
        <v>4</v>
      </c>
      <c r="DP263" s="145" t="e">
        <f t="shared" ref="DP263:DP326" ca="1" si="1074">$DI263/MAX(0.1,$EB263)</f>
        <v>#N/A</v>
      </c>
      <c r="DQ263" s="145" t="e">
        <f ca="1">IF(AND($CP263&gt;=0,$CP263&lt;=90),Control!$C$111,Control!$C$111)</f>
        <v>#N/A</v>
      </c>
      <c r="DR263" s="145" t="e">
        <f t="shared" ca="1" si="951"/>
        <v>#N/A</v>
      </c>
      <c r="DS263" s="143" t="e">
        <f ca="1">Control!$B$22/$DR263</f>
        <v>#N/A</v>
      </c>
      <c r="DT263" s="149" t="e">
        <f ca="1">IF(AND(Control!$C$114=1,$KH263&lt;1),$IM263*$DF263, 0)</f>
        <v>#N/A</v>
      </c>
      <c r="DU263" s="144" t="e">
        <f t="shared" ref="DU263:DU326" ca="1" si="1075">$DU262+$DW262</f>
        <v>#N/A</v>
      </c>
      <c r="DV263" s="144">
        <f ca="1">IF($G263-Control!$C$107&lt;=0, 0, 0.83*LN(MAX($G263, 3))-0.8924)</f>
        <v>0</v>
      </c>
      <c r="DW263" s="144" t="e">
        <f t="shared" ca="1" si="952"/>
        <v>#N/A</v>
      </c>
      <c r="DX263" s="150" t="e">
        <f ca="1">MAX(0.01*(1+$CU263/Control!$C$102),0.05*($DK263-Control!$C$97)/Control!$C$97)</f>
        <v>#N/A</v>
      </c>
      <c r="DY263" s="151" t="e">
        <f ca="1">IF(Control!$C$114=1, $DI263*$FS263, 0)</f>
        <v>#N/A</v>
      </c>
      <c r="DZ263" s="196" t="e">
        <f t="shared" ref="DZ263:DZ326" ca="1" si="1076">IF($EN263&lt;=0, MIN(($DI263-0.08), $DY263+$DT263), $EN263*$DP263)</f>
        <v>#N/A</v>
      </c>
      <c r="EA263" s="152">
        <f t="shared" ref="EA263:EA326" ca="1" si="1077">$AG263</f>
        <v>259</v>
      </c>
      <c r="EB263" s="153" t="e">
        <f t="shared" ref="EB263:EB326" ca="1" si="1078">$EB262+$ED262</f>
        <v>#N/A</v>
      </c>
      <c r="EC263" s="153" t="e">
        <f t="shared" ref="EC263:EC326" ca="1" si="1079">$EL263+$FM263+$FG263</f>
        <v>#N/A</v>
      </c>
      <c r="ED263" s="154" t="e">
        <f ca="1">IF(Control!$C$114=1, $HM263*$FY263-$FD263, 0)</f>
        <v>#DIV/0!</v>
      </c>
      <c r="EE263" s="155" t="e">
        <f ca="1">IF(Control!$C$114=1, $HM263*$FZ263-$FF263, 0)</f>
        <v>#DIV/0!</v>
      </c>
      <c r="EF263" s="153" t="e">
        <f t="shared" ca="1" si="902"/>
        <v>#N/A</v>
      </c>
      <c r="EG263" s="155" t="e">
        <f ca="1">IF(Control!$C$114=1, $GX263*$FW263-$FI263, 0)</f>
        <v>#DIV/0!</v>
      </c>
      <c r="EH263" s="153" t="e">
        <f t="shared" ref="EH263:EH326" ca="1" si="1080">$EH262+$EG262</f>
        <v>#N/A</v>
      </c>
      <c r="EI263" s="156" t="e">
        <f t="shared" ref="EI263:EI326" ca="1" si="1081">-$EH263</f>
        <v>#N/A</v>
      </c>
      <c r="EJ263" s="155" t="e">
        <f ca="1">IF(Control!$C$114=1, $HM263*$GB263, 0)</f>
        <v>#DIV/0!</v>
      </c>
      <c r="EK263" s="153" t="e">
        <f t="shared" ca="1" si="903"/>
        <v>#N/A</v>
      </c>
      <c r="EL263" s="153" t="e">
        <f t="shared" ca="1" si="953"/>
        <v>#N/A</v>
      </c>
      <c r="EM263" s="153" t="e">
        <f t="shared" ca="1" si="954"/>
        <v>#N/A</v>
      </c>
      <c r="EN263" s="153" t="e">
        <f ca="1">IF(Control!$C$108=1,IF(AND(Control!$B$18=1,$EB263&gt;=Control!$B$19),$EB263-$DS263,IF(AND(Control!$B$18=2,$AW263=1,$EB263&gt;$DS263),$EB263-$DS263,0)))</f>
        <v>#N/A</v>
      </c>
      <c r="EO263" s="153" t="e">
        <f ca="1">IF(Control!$C$108=1,IF(AND(Control!$B$18=1,$EB263&gt;=Control!$B$19),$EF263,IF(AND(Control!$B$18=2,$AW263=1),$EF263,0)))</f>
        <v>#N/A</v>
      </c>
      <c r="EP263" s="153" t="e">
        <f ca="1">IF(Control!$C$108=1,IF(AND(Control!$B$18=1,$EB263&gt;=Control!$B$19),$EK263,IF(AND(Control!$B$18=2,$AW263=1),$EK263,0)))</f>
        <v>#N/A</v>
      </c>
      <c r="EQ263" s="153" t="e">
        <f t="shared" ref="EQ263:EQ326" ca="1" si="1082">$EN263+$EO263+$EP263</f>
        <v>#N/A</v>
      </c>
      <c r="ER263" s="153" t="e">
        <f t="shared" ref="ER263:ER326" ca="1" si="1083">$ER262+$EN262</f>
        <v>#N/A</v>
      </c>
      <c r="ES263" s="153" t="e">
        <f t="shared" ca="1" si="904"/>
        <v>#N/A</v>
      </c>
      <c r="ET263" s="153" t="e">
        <f t="shared" ca="1" si="905"/>
        <v>#N/A</v>
      </c>
      <c r="EU263" s="153" t="e">
        <f t="shared" ref="EU263:EU326" ca="1" si="1084">ER263+ES263+ET263</f>
        <v>#N/A</v>
      </c>
      <c r="EV263" s="153" t="e">
        <f t="shared" ca="1" si="955"/>
        <v>#N/A</v>
      </c>
      <c r="EW263" s="153" t="e">
        <f t="shared" ca="1" si="956"/>
        <v>#N/A</v>
      </c>
      <c r="EX263" s="153" t="e">
        <f t="shared" ca="1" si="957"/>
        <v>#N/A</v>
      </c>
      <c r="EY263" s="157" t="e">
        <f t="shared" ca="1" si="958"/>
        <v>#DIV/0!</v>
      </c>
      <c r="EZ263" s="154" t="e">
        <f t="shared" ca="1" si="959"/>
        <v>#DIV/0!</v>
      </c>
      <c r="FA263" s="153" t="e">
        <f t="shared" ref="FA263:FA326" ca="1" si="1085">$FA262+$HC262</f>
        <v>#N/A</v>
      </c>
      <c r="FB263" s="153" t="e">
        <f t="shared" ca="1" si="960"/>
        <v>#N/A</v>
      </c>
      <c r="FC263" s="193" t="e">
        <f t="shared" ca="1" si="961"/>
        <v>#N/A</v>
      </c>
      <c r="FD263" s="158" t="e">
        <f t="shared" ref="FD263:FD326" ca="1" si="1086">IF($EN263&lt;=0, MIN(($DI263-0.08)/$DF263, $HY263+$IM263), $EN263)</f>
        <v>#N/A</v>
      </c>
      <c r="FE263" s="158" t="e">
        <f t="shared" ref="FE263:FE326" ca="1" si="1087">IF(AND($CP263&gt;=0, $CP263&lt;=90),0,0)</f>
        <v>#N/A</v>
      </c>
      <c r="FF263" s="159" t="e">
        <f t="shared" ca="1" si="962"/>
        <v>#N/A</v>
      </c>
      <c r="FG263" s="160" t="e">
        <f t="shared" ref="FG263:FG326" ca="1" si="1088">$FG262+$FF262</f>
        <v>#N/A</v>
      </c>
      <c r="FH263" s="158" t="e">
        <f t="shared" ref="FH263:FH326" ca="1" si="1089">IF(AND($CP263&gt;=0, $CP263&lt;=90), 0,0)</f>
        <v>#N/A</v>
      </c>
      <c r="FI263" s="159" t="e">
        <f t="shared" ca="1" si="963"/>
        <v>#N/A</v>
      </c>
      <c r="FJ263" s="160" t="e">
        <f t="shared" ref="FJ263:FJ326" ca="1" si="1090">$FJ262+$FI262</f>
        <v>#N/A</v>
      </c>
      <c r="FK263" s="160" t="e">
        <f t="shared" ca="1" si="964"/>
        <v>#N/A</v>
      </c>
      <c r="FL263" s="160" t="e">
        <f t="shared" ca="1" si="906"/>
        <v>#N/A</v>
      </c>
      <c r="FM263" s="160" t="e">
        <f t="shared" ca="1" si="965"/>
        <v>#N/A</v>
      </c>
      <c r="FN263" s="158">
        <f t="shared" ref="FN263:FN326" ca="1" si="1091">IF(AND($G263&lt;=50,$G263&gt;=30),(0.05+($G263-30)*((0.09-0.05)/(50-30))),IF(AND($G263&lt;30,$G263&gt;=15),(0.02+($G263-15)*((0.05-0.02)/(30-15))),IF(AND($G263&lt;15,$G263&gt;=10),(0.01+($G263-10)*((0.02-0.01)/(15-10))),IF(AND($G263&lt;10,$G263&gt;=-10),($G263+10)*((0.02-0)/(10+10)),IF($G263=-10,0)))))</f>
        <v>0.01</v>
      </c>
      <c r="FO263" s="160">
        <f>Control!$C$101</f>
        <v>50</v>
      </c>
      <c r="FP263" s="150" t="e">
        <f t="shared" ca="1" si="966"/>
        <v>#N/A</v>
      </c>
      <c r="FQ263" s="150" t="e">
        <f ca="1">MAX(0,(Control!$C$112*(($DK263-Control!$C$97)/Control!$C$97)))</f>
        <v>#N/A</v>
      </c>
      <c r="FR263" s="150" t="e">
        <f ca="1">(1-$NT263)*Control!$C$113</f>
        <v>#DIV/0!</v>
      </c>
      <c r="FS263" s="198" t="e">
        <f t="shared" ca="1" si="967"/>
        <v>#N/A</v>
      </c>
      <c r="FT263" s="161">
        <f t="shared" ref="FT263:FT326" ca="1" si="1092">$AG263</f>
        <v>259</v>
      </c>
      <c r="FU263" s="162" t="e">
        <f ca="1">IF(Control!$B$34=1,VLOOKUP($CP263,Control!$B$86:$G$91,6),Control!$B$35)</f>
        <v>#N/A</v>
      </c>
      <c r="FV263" s="162" t="e">
        <f t="shared" ca="1" si="968"/>
        <v>#DIV/0!</v>
      </c>
      <c r="FW263" s="162" t="e">
        <f ca="1">IF(Control!$B$31=1,$FU263*$FV263,  $FU263)</f>
        <v>#N/A</v>
      </c>
      <c r="FX263" s="162" t="e">
        <f ca="1">IF(Control!$B$34=1,VLOOKUP($CP263,Control!$B$86:$G$91,3),Control!$B$36)</f>
        <v>#N/A</v>
      </c>
      <c r="FY263" s="162" t="e">
        <f t="shared" ca="1" si="969"/>
        <v>#N/A</v>
      </c>
      <c r="FZ263" s="162" t="e">
        <f ca="1">IF(Control!$B$34=1,VLOOKUP($CP263,Control!$B$86:$G$91,4),Control!$B$37)</f>
        <v>#N/A</v>
      </c>
      <c r="GA263" s="162" t="e">
        <f t="shared" ca="1" si="970"/>
        <v>#N/A</v>
      </c>
      <c r="GB263" s="162" t="e">
        <f ca="1">IF(Control!$B$34=1,VLOOKUP($CP263,Control!$B$86:$G$91,5),Control!$B$38)</f>
        <v>#N/A</v>
      </c>
      <c r="GC263" s="162" t="e">
        <f t="shared" ref="GC263:GC326" ca="1" si="1093">$GB263</f>
        <v>#N/A</v>
      </c>
      <c r="GD263" s="162">
        <f t="shared" ca="1" si="971"/>
        <v>1</v>
      </c>
      <c r="GE263" s="162">
        <f t="shared" ca="1" si="972"/>
        <v>1</v>
      </c>
      <c r="GF263" s="162">
        <f ca="1">IF(AND(Control!$C$104=1, Control!$C$62="F"),$GE263,1)</f>
        <v>1</v>
      </c>
      <c r="GG263" s="162" t="e">
        <f ca="1">IF(Control!$B$16=40,0,IF(AND(Control!$B$16&gt;40,Control!$B$16&lt;=360),(Control!$B$16-40)*((1-0)/(360-40)),IF(AND(Control!$B$16&gt;360,Control!$B$16&lt;=720),(1+(Control!$B$16-360)*((1.25-1)/(720-360))),IF(AND(Control!$B$16&gt;720,Control!$B$16&lt;=1000),(1.25+(Control!$B$16-720)*((1.35-1.25)/(1000-720))),IF(AND(Control!$B$16&gt;1000,Control!$B$16&lt;=2000),(1.35+(Control!$B$16-1000)*0))))))</f>
        <v>#N/A</v>
      </c>
      <c r="GH263" s="162" t="e">
        <f t="shared" ca="1" si="973"/>
        <v>#N/A</v>
      </c>
      <c r="GI263" s="162">
        <f t="shared" ref="GI263:GI326" ca="1" si="1094">IF($E263&lt;=0,0,IF(AND($E263&gt;=3,$E263&lt;=30),1,(($E263-0)*((1-0)/(3-0)))))</f>
        <v>0</v>
      </c>
      <c r="GJ263" s="162">
        <f t="shared" ca="1" si="974"/>
        <v>0</v>
      </c>
      <c r="GK263" s="162">
        <f t="shared" ref="GK263:GK326" ca="1" si="1095">IF(AND($AR263&gt;=0,$AR263&lt;=10),1,IF(AND($AR263&gt;=40,$AR263&lt;=42),0.33,((1+($AR263-10)*((0.33-1)/(40-10))))))</f>
        <v>1</v>
      </c>
      <c r="GL263" s="162">
        <f t="shared" ca="1" si="975"/>
        <v>1</v>
      </c>
      <c r="GM263" s="162" t="e">
        <f ca="1">MAX(0,MIN(1,1-Control!$C$156*(1.0001-$KH263)^2))</f>
        <v>#N/A</v>
      </c>
      <c r="GN263" s="162" t="e">
        <f ca="1">IF(Control!$B$26=1,$KU263,$KX263)</f>
        <v>#N/A</v>
      </c>
      <c r="GO263" s="162" t="e">
        <f ca="1">IF($CP263&lt;=60,Control!$C$105,IF($CP263&gt;=90,Control!$C$106,Control!$C$105+($CP263-60)*((Control!$C$106-Control!$C$105)/(90-60))))</f>
        <v>#N/A</v>
      </c>
      <c r="GP263" s="162" t="e">
        <f t="shared" ca="1" si="976"/>
        <v>#N/A</v>
      </c>
      <c r="GQ263" s="162" t="e">
        <f t="shared" ref="GQ263:GQ326" ca="1" si="1096">GN263*GO263*GP263</f>
        <v>#N/A</v>
      </c>
      <c r="GR263" s="163" t="e">
        <f t="shared" ca="1" si="977"/>
        <v>#DIV/0!</v>
      </c>
      <c r="GS263" s="162" t="e">
        <f t="shared" ca="1" si="978"/>
        <v>#DIV/0!</v>
      </c>
      <c r="GT263" s="164" t="e">
        <f t="shared" ref="GT263:GT326" ca="1" si="1097">($DE263*10000*($DV263*0.31))*0.00000001</f>
        <v>#N/A</v>
      </c>
      <c r="GU263" s="162" t="e">
        <f t="shared" ref="GU263:GU326" ca="1" si="1098">IF($EN263&lt;=0,$GT263*(1/$DF263),0)</f>
        <v>#N/A</v>
      </c>
      <c r="GV263" s="162" t="e">
        <f t="shared" ca="1" si="979"/>
        <v>#N/A</v>
      </c>
      <c r="GW263" s="162" t="e">
        <f t="shared" ca="1" si="980"/>
        <v>#DIV/0!</v>
      </c>
      <c r="GX263" s="162" t="e">
        <f t="shared" ref="GX263:GX326" ca="1" si="1099">IF($GS263-$GV263&lt;=0, $GS263, $GV263)</f>
        <v>#DIV/0!</v>
      </c>
      <c r="GY263" s="162" t="e">
        <f t="shared" ref="GY263:GY326" ca="1" si="1100">IF($GS263-$GU263&lt;=0, $GS263, $GU263)</f>
        <v>#DIV/0!</v>
      </c>
      <c r="GZ263" s="165" t="e">
        <f t="shared" ca="1" si="981"/>
        <v>#N/A</v>
      </c>
      <c r="HA263" s="162" t="e">
        <f ca="1">IF(Control!$C$114=1, $DI263*$FS263, 0)</f>
        <v>#N/A</v>
      </c>
      <c r="HB263" s="162" t="e">
        <f ca="1">$FA263/Control!$C$64</f>
        <v>#N/A</v>
      </c>
      <c r="HC263" s="162" t="e">
        <f t="shared" ca="1" si="982"/>
        <v>#DIV/0!</v>
      </c>
      <c r="HD263" s="162">
        <f ca="1">-ASIN(SIN(23.45*Control!$C$139)*COS(2*Control!$C$138*($AH263+10)/365))</f>
        <v>3.2504510116010327E-2</v>
      </c>
      <c r="HE263" s="165">
        <f t="shared" ref="HE263:HE326" ca="1" si="1101">$HE262+$V263</f>
        <v>0</v>
      </c>
      <c r="HF263" s="166">
        <f ca="1">IF(AND(Control!$C$61="T",$HE263&gt;=Control!$C$103,Control!$C$114=0),$AH263,Control!$C$59)</f>
        <v>1</v>
      </c>
      <c r="HG263" s="166">
        <f ca="1">IF(AND(Control!$C$61="T",$HE263&gt;=Control!$C$103,Control!$C$114=0),$HF263,Control!$C$59)</f>
        <v>1</v>
      </c>
      <c r="HH263" s="165">
        <f ca="1">IF(AND(OR(Control!$C$60&lt;=0, $AH263= Control!$C$59, Control!$C$60 &gt;0, $AH263 = Control!$C$60)), Control!$C$59, IF(Control!$C$60&gt;0, 0))</f>
        <v>1</v>
      </c>
      <c r="HI263" s="165">
        <f ca="1">IF(AND(OR(Control!$C$60&lt;=0, $AH263= Control!$C$59, Control!$C$60 &gt;0, $AH263 = Control!$C$60)), Control!$C$60, IF(Control!$C$60&lt;=0, 0))</f>
        <v>0</v>
      </c>
      <c r="HJ263" s="166">
        <f ca="1">IF(AND(Control!$C$62="F",$CV263&gt;=Control!$C$102),$AH263,0)</f>
        <v>0</v>
      </c>
      <c r="HK263" s="165" t="e">
        <f t="shared" ca="1" si="907"/>
        <v>#N/A</v>
      </c>
      <c r="HL263" s="166">
        <f ca="1">IF(AND(Control!$C$61="T",$HE263&gt;=Control!$C$103,Control!$C$114=0),$HF263,0)</f>
        <v>0</v>
      </c>
      <c r="HM263" s="201" t="e">
        <f t="shared" ca="1" si="983"/>
        <v>#DIV/0!</v>
      </c>
      <c r="HN263" s="215">
        <f t="shared" ref="HN263:HN326" ca="1" si="1102">$CW263</f>
        <v>259</v>
      </c>
      <c r="HO263" s="216" t="e">
        <f ca="1">IF(AND($CP263&gt;=0, $CP263&lt;=90), Control!$C$152, Control!$C$152)</f>
        <v>#N/A</v>
      </c>
      <c r="HP263" s="216" t="e">
        <f t="shared" ca="1" si="984"/>
        <v>#N/A</v>
      </c>
      <c r="HQ263" s="217" t="e">
        <f ca="1">IF(OR(Control!$B$26=1,Control!$B$26=2),$KV263,$KS263)</f>
        <v>#DIV/0!</v>
      </c>
      <c r="HR263" s="218" t="e">
        <f t="shared" ca="1" si="908"/>
        <v>#DIV/0!</v>
      </c>
      <c r="HS263" s="216" t="e">
        <f ca="1">Control!$C$154*$HP263</f>
        <v>#N/A</v>
      </c>
      <c r="HT263" s="216" t="e">
        <f ca="1">Control!$C$155*$HP263</f>
        <v>#N/A</v>
      </c>
      <c r="HU263" s="217" t="e">
        <f ca="1">Control!$C$161*$FI263</f>
        <v>#N/A</v>
      </c>
      <c r="HV263" s="218" t="e">
        <f t="shared" ref="HV263:HV326" ca="1" si="1103">$HV262+$HU262</f>
        <v>#N/A</v>
      </c>
      <c r="HW263" s="218" t="e">
        <f ca="1">Control!$C$160*$FF263+$IP263*$EO263</f>
        <v>#N/A</v>
      </c>
      <c r="HX263" s="218" t="e">
        <f t="shared" ca="1" si="909"/>
        <v>#N/A</v>
      </c>
      <c r="HY263" s="219" t="e">
        <f ca="1">IF(Control!$C$114=1, $EB263*$FS263, 0)</f>
        <v>#N/A</v>
      </c>
      <c r="HZ263" s="91" t="e">
        <f t="shared" ca="1" si="985"/>
        <v>#N/A</v>
      </c>
      <c r="IA263" s="220" t="e">
        <f ca="1">Control!$C$153*$HO263</f>
        <v>#N/A</v>
      </c>
      <c r="IB263" s="218" t="e">
        <f t="shared" ca="1" si="986"/>
        <v>#N/A</v>
      </c>
      <c r="IC263" s="220" t="e">
        <f ca="1">Control!$C$153*$HT263</f>
        <v>#N/A</v>
      </c>
      <c r="ID263" s="218" t="e">
        <f t="shared" ca="1" si="987"/>
        <v>#N/A</v>
      </c>
      <c r="IE263" s="221" t="e">
        <f ca="1">($EB263*Control!$C$159+$EF263*Control!$C$160)/(IF($GZ263&lt;&gt;0,$GZ263,1))</f>
        <v>#N/A</v>
      </c>
      <c r="IF263" s="216" t="e">
        <f t="shared" ca="1" si="988"/>
        <v>#N/A</v>
      </c>
      <c r="IG263" s="91">
        <f ca="1">IF(OR(Control!$B$198=$AH263,Control!$B$199=$AH263, Control!$B$200=$AH263, Control!$B$201=$AH263, Control!$B$202=$AH263, Control!$B$203=$AH263, Control!$B$204=$AH263, Control!$B$205=$AH263, Control!$B$206=$AH263, Control!$B$207=$AH263), 1, 0)</f>
        <v>0</v>
      </c>
      <c r="IH263" s="91">
        <f ca="1">IF($IG263=0,0, VLOOKUP($AH263,Control!$B$198:$C$207,2))</f>
        <v>0</v>
      </c>
      <c r="II263" s="222">
        <f t="shared" ref="II263:II326" ca="1" si="1104">$II262+$IH263</f>
        <v>0</v>
      </c>
      <c r="IJ263" s="91">
        <f>Control!$C$121</f>
        <v>0.7</v>
      </c>
      <c r="IK263" s="218">
        <f t="shared" ca="1" si="989"/>
        <v>0</v>
      </c>
      <c r="IL263" s="217" t="e">
        <f t="shared" ca="1" si="910"/>
        <v>#N/A</v>
      </c>
      <c r="IM263" s="223" t="e">
        <f ca="1">IF(AND(Control!$C$114=1,$KH263&lt;1),$EB263*Control!$C$148*(1-$KH263), 0)</f>
        <v>#N/A</v>
      </c>
      <c r="IN263" s="217" t="e">
        <f t="shared" ca="1" si="990"/>
        <v>#DIV/0!</v>
      </c>
      <c r="IO263" s="91" t="e">
        <f ca="1">MAX(0,$IL263-$EF263*Control!$C$160)</f>
        <v>#N/A</v>
      </c>
      <c r="IP263" s="220" t="e">
        <f t="shared" ca="1" si="991"/>
        <v>#N/A</v>
      </c>
      <c r="IQ263" s="217" t="e">
        <f t="shared" ref="IQ263:IQ326" ca="1" si="1105">$IQ262+$KF262</f>
        <v>#N/A</v>
      </c>
      <c r="IR263" s="218" t="e">
        <f t="shared" ca="1" si="992"/>
        <v>#N/A</v>
      </c>
      <c r="IS263" s="217" t="e">
        <f ca="1">Control!$C$159*MAX(0,$FD263-$EN263)</f>
        <v>#N/A</v>
      </c>
      <c r="IT263" s="217" t="e">
        <f t="shared" ca="1" si="911"/>
        <v>#N/A</v>
      </c>
      <c r="IU263" s="217" t="e">
        <f t="shared" ref="IU263:IU326" ca="1" si="1106">$KG263*$EN263</f>
        <v>#N/A</v>
      </c>
      <c r="IV263" s="217" t="e">
        <f t="shared" ca="1" si="912"/>
        <v>#N/A</v>
      </c>
      <c r="IW263" s="217" t="e">
        <f ca="1">IF(OR($AW263=1,AND($AW263=0, Control!$B$18=1,$EN263&lt;&gt;0)), $IQ263-$IU263, $IQ263)</f>
        <v>#N/A</v>
      </c>
      <c r="IX263" s="218" t="e">
        <f t="shared" ca="1" si="993"/>
        <v>#N/A</v>
      </c>
      <c r="IY263" s="218" t="e">
        <f ca="1">MAX(0,$IQ263-$EB263*Control!$C$159)</f>
        <v>#N/A</v>
      </c>
      <c r="IZ263" s="218" t="e">
        <f t="shared" ca="1" si="994"/>
        <v>#N/A</v>
      </c>
      <c r="JA263" s="216" t="e">
        <f t="shared" ca="1" si="995"/>
        <v>#N/A</v>
      </c>
      <c r="JB263" s="217" t="e">
        <f t="shared" ca="1" si="996"/>
        <v>#N/A</v>
      </c>
      <c r="JC263" s="222" t="e">
        <f ca="1">MAX(Control!$C$157*$EK263-$JT263, 0)/Control!$C$162</f>
        <v>#N/A</v>
      </c>
      <c r="JD263" s="218" t="e">
        <f t="shared" ca="1" si="997"/>
        <v>#N/A</v>
      </c>
      <c r="JE263" s="218" t="e">
        <f t="shared" ca="1" si="998"/>
        <v>#N/A</v>
      </c>
      <c r="JF263" s="218" t="e">
        <f t="shared" ref="JF263:JF326" ca="1" si="1107">$JF262+$JV262</f>
        <v>#N/A</v>
      </c>
      <c r="JG263" s="218" t="e">
        <f t="shared" ca="1" si="999"/>
        <v>#N/A</v>
      </c>
      <c r="JH263" s="217" t="e">
        <f t="shared" ref="JH263:JH326" ca="1" si="1108">$IS263</f>
        <v>#N/A</v>
      </c>
      <c r="JI263" s="217" t="e">
        <f t="shared" ref="JI263:JI326" ca="1" si="1109">MAX(0, $IZ263+$JB263+$JG263-JH263)</f>
        <v>#N/A</v>
      </c>
      <c r="JJ263" s="217" t="e">
        <f t="shared" ca="1" si="913"/>
        <v>#N/A</v>
      </c>
      <c r="JK263" s="217" t="e">
        <f ca="1">IF(Control!$C$114=1,IF(Control!$B$24=0,MAX(0,$JI263)*$GN263/Control!$C$64,(MAX(0,MIN($JI263,$JJ263*$GN263/Control!$C$64),0))))</f>
        <v>#N/A</v>
      </c>
      <c r="JL263" s="217" t="e">
        <f ca="1">$IK263/Control!$C$64-$JK263+$HQ263</f>
        <v>#N/A</v>
      </c>
      <c r="JM263" s="217" t="e">
        <f ca="1">IF(Control!$C$114=1,($JB263/(IF($JI263&lt;&gt;0,$JI263,1)))*$JK263,0)</f>
        <v>#N/A</v>
      </c>
      <c r="JN263" s="217" t="e">
        <f ca="1">IF(Control!$C$114=1,($JG263/(IF($JI263&lt;&gt;0,$JI263,1)))*$JK263, 0)</f>
        <v>#N/A</v>
      </c>
      <c r="JO263" s="218" t="e">
        <f t="shared" ca="1" si="1000"/>
        <v>#N/A</v>
      </c>
      <c r="JP263" s="218" t="e">
        <f ca="1">MIN(($IY263+$IO263)*Control!$C$151, $JF263-$EH263*Control!$C$161)</f>
        <v>#N/A</v>
      </c>
      <c r="JQ263" s="218" t="e">
        <f t="shared" ca="1" si="1001"/>
        <v>#N/A</v>
      </c>
      <c r="JR263" s="217" t="e">
        <f ca="1">IF($CP263-Control!$C$150&lt;0, 0, $JQ263/Control!$C$162)</f>
        <v>#N/A</v>
      </c>
      <c r="JS263" s="218" t="e">
        <f t="shared" ca="1" si="1002"/>
        <v>#N/A</v>
      </c>
      <c r="JT263" s="218" t="e">
        <f t="shared" ref="JT263:JT326" ca="1" si="1110">$JT262+$JS262</f>
        <v>#N/A</v>
      </c>
      <c r="JU263" s="218" t="e">
        <f t="shared" ca="1" si="1003"/>
        <v>#N/A</v>
      </c>
      <c r="JV263" s="218" t="e">
        <f t="shared" ca="1" si="1004"/>
        <v>#N/A</v>
      </c>
      <c r="JW263" s="216" t="e">
        <f t="shared" ca="1" si="1005"/>
        <v>#N/A</v>
      </c>
      <c r="JX263" s="91" t="e">
        <f t="shared" ca="1" si="1006"/>
        <v>#N/A</v>
      </c>
      <c r="JY263" s="218" t="e">
        <f t="shared" ca="1" si="1007"/>
        <v>#N/A</v>
      </c>
      <c r="JZ263" s="217" t="e">
        <f ca="1">IF(Control!$C$114=1,($IZ263/(IF($JI263&lt;&gt;0,$JI263,1)))*$JK263, 0)</f>
        <v>#N/A</v>
      </c>
      <c r="KA263" s="218" t="e">
        <f t="shared" ca="1" si="914"/>
        <v>#N/A</v>
      </c>
      <c r="KB263" s="218" t="e">
        <f t="shared" ref="KB263:KB326" ca="1" si="1111">$IV263+$IW263+$HX263+$IL263+$JF263</f>
        <v>#N/A</v>
      </c>
      <c r="KC263" s="218" t="e">
        <f t="shared" ca="1" si="1008"/>
        <v>#N/A</v>
      </c>
      <c r="KD263" s="218" t="e">
        <f t="shared" ca="1" si="1009"/>
        <v>#N/A</v>
      </c>
      <c r="KE263" s="218" t="e">
        <f t="shared" ca="1" si="1010"/>
        <v>#N/A</v>
      </c>
      <c r="KF263" s="218" t="e">
        <f t="shared" ca="1" si="1011"/>
        <v>#N/A</v>
      </c>
      <c r="KG263" s="216" t="e">
        <f t="shared" ca="1" si="1012"/>
        <v>#N/A</v>
      </c>
      <c r="KH263" s="221" t="e">
        <f ca="1">IF(Control!$B$24=0,1,MAX(0.001,MIN(1,IF(($IF263-$IE263)&lt;&gt;0,($KG263-$IE263)/($IF263-$IE263),1))))</f>
        <v>#N/A</v>
      </c>
      <c r="KI263" s="222" t="e">
        <f ca="1">IF(Control!$C$114=1, $KI262+ $KH262, 0)</f>
        <v>#N/A</v>
      </c>
      <c r="KJ263" s="217" t="e">
        <f t="shared" ca="1" si="1013"/>
        <v>#N/A</v>
      </c>
      <c r="KK263" s="218" t="e">
        <f t="shared" ca="1" si="1014"/>
        <v>#N/A</v>
      </c>
      <c r="KL263" s="274" t="e">
        <f ca="1">IF(Control!$B$26=3,4000000000*EXP(-8400/($G263+273)),IF(Control!$B$26=4,4000000000*EXP(-8400/($G263+273))*($KT263),0))</f>
        <v>#DIV/0!</v>
      </c>
      <c r="KM263" s="274" t="e">
        <f ca="1">IF(Control!$B$26=3,5600000000000*EXP(-9800/($G263+273)),IF(Control!$B$26=4,5600000000000*EXP(-9800/($G263+273))*$KT263,0))</f>
        <v>#DIV/0!</v>
      </c>
      <c r="KN263" s="454" t="e">
        <f t="shared" ref="KN263:KN326" ca="1" si="1112">$KN262-$KN262*(1-EXP(-$KL262))</f>
        <v>#DIV/0!</v>
      </c>
      <c r="KO263" s="274" t="e">
        <f t="shared" ref="KO263:KO326" ca="1" si="1113">$KO262-$KO262*(1-EXP(-$KM262))</f>
        <v>#DIV/0!</v>
      </c>
      <c r="KP263" s="454" t="e">
        <f t="shared" ca="1" si="1015"/>
        <v>#DIV/0!</v>
      </c>
      <c r="KQ263" s="454" t="e">
        <f t="shared" ca="1" si="1016"/>
        <v>#DIV/0!</v>
      </c>
      <c r="KR263" s="454" t="e">
        <f t="shared" ca="1" si="1017"/>
        <v>#DIV/0!</v>
      </c>
      <c r="KS263" s="454" t="e">
        <f t="shared" ca="1" si="1018"/>
        <v>#DIV/0!</v>
      </c>
      <c r="KT263" s="455" t="e">
        <f t="shared" ca="1" si="1019"/>
        <v>#DIV/0!</v>
      </c>
      <c r="KU263" s="456" t="e">
        <f ca="1">IF($CP263-Control!$C$149&lt;0, IF($NT263-0.01&lt;0,0,1),0)</f>
        <v>#N/A</v>
      </c>
      <c r="KV263" s="456" t="e">
        <f ca="1">IF(Control!$C$114=1,MAX(0,MIN(Control!$C$125*$KW263*$GN263,$KW263)))</f>
        <v>#DIV/0!</v>
      </c>
      <c r="KW263" s="456" t="e">
        <f t="shared" ca="1" si="915"/>
        <v>#DIV/0!</v>
      </c>
      <c r="KX263" s="457" t="e">
        <f ca="1">IF($CP263-Control!$C$149&lt;0, IF($MR263-$OM263&lt;0,0,1),0)</f>
        <v>#N/A</v>
      </c>
      <c r="KY263" s="167">
        <f t="shared" ref="KY263:KY326" ca="1" si="1114">$AG263</f>
        <v>259</v>
      </c>
      <c r="KZ263" s="168">
        <f ca="1">1370*(1+0.033*COS(2*Control!$C$138*$AH263/365))</f>
        <v>1358.6441534530791</v>
      </c>
      <c r="LA263" s="169">
        <f t="shared" ref="LA263:LA326" ca="1" si="1115">1+0.033*COS((2*PI()/365)*$AH263)</f>
        <v>0.99171072789180092</v>
      </c>
      <c r="LB263" s="169">
        <f t="shared" ref="LB263:LB326" ca="1" si="1116">0.409*SIN((2*PI()*$AH263/365)-1.39)</f>
        <v>2.9876671079227975E-2</v>
      </c>
      <c r="LC263" s="169">
        <f ca="1">ACOS(-TAN((2*Control!$B$8/360))*TAN(Calculations!$LB263))</f>
        <v>1.5796785267048146</v>
      </c>
      <c r="LD263" s="169">
        <f ca="1">((24*60)/PI())*0.082*$LA263*(($LC263*SIN(Control!$B$8*2*PI()/360))*SIN($LB263)+COS(Control!$B$8*2*PI()/360)*COS($LB263)*SIN($LC263))</f>
        <v>24.323362684243918</v>
      </c>
      <c r="LE263" s="170">
        <f t="shared" ca="1" si="1020"/>
        <v>24.515178004941621</v>
      </c>
      <c r="LF263" s="170">
        <f ca="1">SIN(Control!$C$139*Control!$B$8)*SIN($HD263)</f>
        <v>2.5609435847941595E-2</v>
      </c>
      <c r="LG263" s="170">
        <f ca="1">COS(Control!$C$139*Control!$B$8)*COS($HD263)</f>
        <v>0.6153345959840818</v>
      </c>
      <c r="LH263" s="170">
        <f ca="1">12*(1+2*ASIN(MAX(-1,MIN(1,$LF263/$LG263))/Control!$C$138))</f>
        <v>12.317952127768752</v>
      </c>
      <c r="LI263" s="170">
        <f ca="1">12*(1+2*ASIN(MAX(-1,MIN(1,(-SIN(-4*Control!$C$139)+$LF263)/$LG263))/Control!$C$138))</f>
        <v>13.184456812989534</v>
      </c>
      <c r="LJ263" s="168">
        <f ca="1">3600*($LH263*$LF263+24*$LG263*SQRT(1-$LK263*$LK263)/Control!$C$138)</f>
        <v>18043.854928926579</v>
      </c>
      <c r="LK263" s="170">
        <f t="shared" ca="1" si="1021"/>
        <v>4.1618716085653165E-2</v>
      </c>
      <c r="LL263" s="170">
        <f t="shared" ca="1" si="1022"/>
        <v>0</v>
      </c>
      <c r="LM263" s="171">
        <f ca="1">Control!$C$145*$AB263</f>
        <v>6.6660906138995932E-2</v>
      </c>
      <c r="LN263" s="170">
        <f t="shared" ref="LN263:LN326" ca="1" si="1117">0.54+0.35*MAX(0,MIN(1,$F263-12)/4)</f>
        <v>0.54</v>
      </c>
      <c r="LO263" s="170">
        <f t="shared" ca="1" si="1023"/>
        <v>0</v>
      </c>
      <c r="LP263" s="170">
        <f ca="1">Control!$C$140*((($D263+273.16)^4+($E263+273.16)^4)/2)*(0.34-0.14*SQRT($Y263))*(1.35*$AQ263/(0.75*$LD263)-0.35)</f>
        <v>-3.2464704755046001</v>
      </c>
      <c r="LQ263" s="170">
        <f ca="1">Control!$C$140*($G263+273)^4*(0.56-0.079*SQRT($Y263*10))*(0.1+0.9*$LO263)</f>
        <v>1.5241745131704001</v>
      </c>
      <c r="LR263" s="170">
        <f ca="1">$AQ263*(1-Control!$C$142)-$LQ263</f>
        <v>-1.5241745131704001</v>
      </c>
      <c r="LS263" s="170">
        <f ca="1">$AQ263*(1-Control!$C$143)-$LQ263</f>
        <v>-1.5241745131704001</v>
      </c>
      <c r="LT263" s="170">
        <f ca="1">$AQ263*(1-Control!$C$144)-$LQ263</f>
        <v>-1.5241745131704001</v>
      </c>
      <c r="LU263" s="169">
        <f ca="1">(1-Control!$C$144)*AQ263-LP263</f>
        <v>3.2464704755046001</v>
      </c>
      <c r="LV263" s="172">
        <f t="shared" ca="1" si="1024"/>
        <v>0.79430000000000012</v>
      </c>
      <c r="LW263" s="170">
        <f t="shared" ca="1" si="1025"/>
        <v>1.5886000000000002</v>
      </c>
      <c r="LX263" s="170">
        <f ca="1">($AC263*($LR263/Control!$C$141)+$LM263*$LV263)/($AC263+$LM263)</f>
        <v>0.23530094218323697</v>
      </c>
      <c r="LY263" s="170">
        <f ca="1">($AC263*($LS263/Control!$C$141)+$LM263*$LV263)/($AC263+$LM263)</f>
        <v>0.23530094218323697</v>
      </c>
      <c r="LZ263" s="170">
        <f t="shared" ca="1" si="1026"/>
        <v>0.23530094218323697</v>
      </c>
      <c r="MA263" s="170">
        <f t="shared" ca="1" si="1027"/>
        <v>0.23530094218323697</v>
      </c>
      <c r="MB263" s="170" t="e">
        <f t="shared" ca="1" si="1028"/>
        <v>#N/A</v>
      </c>
      <c r="MC263" s="170">
        <f t="shared" ref="MC263:MC326" ca="1" si="1118">$AA263-$Y263</f>
        <v>0.6018</v>
      </c>
      <c r="MD263" s="170">
        <f t="shared" ca="1" si="1029"/>
        <v>0.52989392535414004</v>
      </c>
      <c r="ME263" s="170">
        <f ca="1">($AC263*($LT263/Control!$C$141)+$LM263*$LW263)/($AC263+$LM263)</f>
        <v>0.71612369323045078</v>
      </c>
      <c r="MF263" s="170" t="e">
        <f ca="1">IF(Control!$B$16&gt;=1000,0.92,IF(AND(720&lt;=Control!$B$16,1000&gt;Control!$B$16),(0.95+(Control!$B$16-720)*((0.92-0.95)/(1000-720))),IF(AND(360&lt;=Control!$B$16,720&gt;Control!$B$16),(1+(Control!$B$16-360)*((0.95-1)/(720-360))),IF(AND(40&lt;=Control!$B$16,360&gt;Control!$B$16),(1.05+(Control!$B$16-40)*((1.05-1)/(360-40)))))))</f>
        <v>#N/A</v>
      </c>
      <c r="MG263" s="170">
        <f t="shared" ca="1" si="1030"/>
        <v>0.71612369323045078</v>
      </c>
      <c r="MH263" s="170" t="e">
        <f t="shared" ca="1" si="926"/>
        <v>#N/A</v>
      </c>
      <c r="MI263" s="170" t="e">
        <f t="shared" ca="1" si="926"/>
        <v>#N/A</v>
      </c>
      <c r="MJ263" s="170" t="e">
        <f ca="1">MAX(0.0001, Control!$C$132*$MI263*$DL263)</f>
        <v>#N/A</v>
      </c>
      <c r="MK263" s="170">
        <f ca="1">1/(0.76+1.5*($MG263/10))-(5-Control!$C$110)*0.1</f>
        <v>1.002845988140797</v>
      </c>
      <c r="ML263" s="173">
        <f ca="1">IF(Control!$C$110&lt;3,$MK263+($MG263-0.6)/(Control!$C$110*(Control!$C$110+3)), MAX(0.1, MIN(0.95,$MK263)))</f>
        <v>0.95</v>
      </c>
      <c r="MM263" s="173">
        <f ca="1">IF(Control!$C$110&lt;3,$MK263+(($MI263/10)-0.6)/(Control!$C$110*(Control!$C$110+3)), MAX(0.1, MIN(0.95,$MK263)))</f>
        <v>0.95</v>
      </c>
      <c r="MN263" s="173">
        <f ca="1">(1-$MM263)*(Control!$C$128-Control!$C$127)+Control!$C$127</f>
        <v>0.16</v>
      </c>
      <c r="MO263" s="170" t="e">
        <f ca="1">MAX(0,MIN(1,($MS263-Control!$C$127)/($MN263-Control!$C$127)))</f>
        <v>#DIV/0!</v>
      </c>
      <c r="MP263" s="173" t="e">
        <f ca="1">1/(0.76+1.5*$MI263)-(5-Control!$C$110)*0.1</f>
        <v>#N/A</v>
      </c>
      <c r="MQ263" s="172" t="e">
        <f t="shared" ca="1" si="916"/>
        <v>#DIV/0!</v>
      </c>
      <c r="MR263" s="168" t="e">
        <f t="shared" ref="MR263:MR326" ca="1" si="1119">$MR262+$OI262</f>
        <v>#DIV/0!</v>
      </c>
      <c r="MS263" s="173" t="e">
        <f ca="1">MAX(Control!$C$127, MIN(Control!$C$135, $MR263/MAX(0.0001,$CY263)))</f>
        <v>#DIV/0!</v>
      </c>
      <c r="MT263" s="168" t="e">
        <f ca="1">(Control!$C$128-$MS263)*Control!$C$74</f>
        <v>#DIV/0!</v>
      </c>
      <c r="MU263" s="168" t="e">
        <f ca="1">(Control!$C$135-$MS263)*Control!$C$74</f>
        <v>#DIV/0!</v>
      </c>
      <c r="MV263" s="168" t="e">
        <f t="shared" ref="MV263:MV326" ca="1" si="1120">$MV262+$OA262</f>
        <v>#DIV/0!</v>
      </c>
      <c r="MW263" s="168" t="e">
        <f t="shared" ref="MW263:MW326" ca="1" si="1121">$MW262+$OJ262</f>
        <v>#DIV/0!</v>
      </c>
      <c r="MX263" s="171" t="e">
        <f ca="1">MAX(Control!$C$127, MIN(Control!$C$135, $MW263/MAX(0.0001,Control!$C$119-$CY263)))</f>
        <v>#DIV/0!</v>
      </c>
      <c r="MY263" s="54" t="e">
        <f ca="1">IF(Control!$C$114=1, $CX263*$MX263, 0)</f>
        <v>#DIV/0!</v>
      </c>
      <c r="MZ263" s="54" t="e">
        <f t="shared" ref="MZ263:MZ326" ca="1" si="1122">$MZ262+$MY262</f>
        <v>#N/A</v>
      </c>
      <c r="NA263" s="168" t="e">
        <f ca="1">(Control!$C$128-$MX263)*(Control!$C$119-Control!$C$74)</f>
        <v>#DIV/0!</v>
      </c>
      <c r="NB263" s="168" t="e">
        <f ca="1">(Control!$C$135-$MX263)*(Control!$C$119-Control!$C$74)</f>
        <v>#DIV/0!</v>
      </c>
      <c r="NC263" s="174" t="e">
        <f t="shared" ref="NC263:NC326" ca="1" si="1123">IF($NL262&gt;=5, 1, $NC262+1)</f>
        <v>#DIV/0!</v>
      </c>
      <c r="ND263" s="54">
        <f ca="1">IF(Control!$C$58=2, IF(OR(Control!$B$218=$AH263,Control!$B$219=$AH263, Control!$B$220=$AH263, Control!$B$221=$AH263, Control!$B$222=$AH263, Control!$B$223=$AH263, Control!$B$224=$AH263, Control!$B$225=$AH263, Control!$B$226=$AH263, Control!$B$227=$AH263, Control!$B$228=$AH263), 1, 0), 0)</f>
        <v>1</v>
      </c>
      <c r="NE263" s="54">
        <f ca="1">IF($ND263=0,0, VLOOKUP($AH263,Control!$B$218:$C$228,2))</f>
        <v>0</v>
      </c>
      <c r="NF263" s="168" t="e">
        <f ca="1">$CY263*(Control!$C$128-Control!$C$127)</f>
        <v>#N/A</v>
      </c>
      <c r="NG263" s="54" t="e">
        <f ca="1">IF(Control!$C$58=2, $NI262-$NJ262, 0)</f>
        <v>#DIV/0!</v>
      </c>
      <c r="NH263" s="54" t="e">
        <f ca="1">IF(AND(Control!$C$58=1, $MS262&lt;= ($MN262+0.02), $I262&lt;10), 0, IF(Control!$C$58=2, $NG262, 0))</f>
        <v>#DIV/0!</v>
      </c>
      <c r="NI263" s="54" t="e">
        <f ca="1">IF(Control!$C$58=2, $NE263+$NH263,0)</f>
        <v>#DIV/0!</v>
      </c>
      <c r="NJ263" s="54" t="e">
        <f ca="1">IF(AND(Control!$C$58=1, $MS263&lt;= ($MN263+0.02), $I263&lt;10), MAX(0, MIN(10, 0.7*($NF263-$MV263))), IF(Control!$C$58=2, MIN(10,$NI263),0))</f>
        <v>#DIV/0!</v>
      </c>
      <c r="NK263" s="54" t="e">
        <f t="shared" ca="1" si="1031"/>
        <v>#DIV/0!</v>
      </c>
      <c r="NL263" s="173" t="e">
        <f ca="1">(1-Control!$C$73)*$I263+$NJ263</f>
        <v>#DIV/0!</v>
      </c>
      <c r="NM263" s="172" t="e">
        <f ca="1">IF($NL263&lt;0.5, $MB263* MAX(0, MIN(1, (SQRT($NC263)-SQRT($NC263-1))*Control!$C$71)),0)</f>
        <v>#DIV/0!</v>
      </c>
      <c r="NN263" s="170" t="e">
        <f ca="1">IF($NL263&gt;=5, $MB263, MAX(0,MIN($MB263, $NM263+$NL263,($MS263-Control!$C$129))))</f>
        <v>#DIV/0!</v>
      </c>
      <c r="NO263" s="54">
        <f>IF(Control!$C$133&lt;&gt;1, Control!$C$135-Control!$C$131, 0)</f>
        <v>0.38</v>
      </c>
      <c r="NP263" s="54" t="e">
        <f t="shared" ca="1" si="1032"/>
        <v>#DIV/0!</v>
      </c>
      <c r="NQ263" s="173" t="e">
        <f ca="1">MAX(0,MIN(1,(Control!$C$135-$MS263)/(Control!$C$135-$NO263)))</f>
        <v>#DIV/0!</v>
      </c>
      <c r="NR263" s="170" t="e">
        <f ca="1">IF(Control!$C$133&lt;&gt;1, $NQ263+((1-$NP263/4)*(1-$NQ263)),1)</f>
        <v>#DIV/0!</v>
      </c>
      <c r="NS263" s="170" t="e">
        <f ca="1">IF(Control!$B$31=0,$MJ263,MAX(0,MIN($MV263,$MO263*$NR263*$MJ263)))</f>
        <v>#DIV/0!</v>
      </c>
      <c r="NT263" s="170" t="e">
        <f t="shared" ca="1" si="917"/>
        <v>#DIV/0!</v>
      </c>
      <c r="NU263" s="170" t="e">
        <f t="shared" ref="NU263:NU326" ca="1" si="1124">$NU262+$NT263</f>
        <v>#N/A</v>
      </c>
      <c r="NV263" s="170" t="e">
        <f t="shared" ca="1" si="1033"/>
        <v>#N/A</v>
      </c>
      <c r="NW263" s="175" t="e">
        <f t="shared" ca="1" si="1034"/>
        <v>#DIV/0!</v>
      </c>
      <c r="NX263" s="170" t="e">
        <f ca="1">MIN(Control!$C$72+$MU263, $NW263)</f>
        <v>#DIV/0!</v>
      </c>
      <c r="NY263" s="170" t="e">
        <f ca="1">IF($MT263&lt;=$NX263,MIN(Control!$C$72+$NB263,$NX263-$MT263),0)</f>
        <v>#DIV/0!</v>
      </c>
      <c r="NZ263" s="54" t="e">
        <f ca="1">IF(Control!$C$114=1,  $CX263*($MX263-Control!$C$127), 0)</f>
        <v>#DIV/0!</v>
      </c>
      <c r="OA263" s="170" t="e">
        <f t="shared" ca="1" si="1035"/>
        <v>#DIV/0!</v>
      </c>
      <c r="OB263" s="170" t="e">
        <f ca="1">IF($NA263 &lt;=$NY263, MIN(Control!$C$72, $NY263-$NA263), 0)</f>
        <v>#DIV/0!</v>
      </c>
      <c r="OC263" s="168" t="e">
        <f t="shared" ca="1" si="1036"/>
        <v>#DIV/0!</v>
      </c>
      <c r="OD263" s="168" t="e">
        <f t="shared" ref="OD263:OD326" ca="1" si="1125">$OD262+$OC262</f>
        <v>#DIV/0!</v>
      </c>
      <c r="OE263" s="170">
        <f ca="1">Control!$C$73*$I263</f>
        <v>0</v>
      </c>
      <c r="OF263" s="176" t="e">
        <f t="shared" ca="1" si="1037"/>
        <v>#DIV/0!</v>
      </c>
      <c r="OG263" s="168" t="e">
        <f t="shared" ca="1" si="1038"/>
        <v>#DIV/0!</v>
      </c>
      <c r="OH263" s="168" t="e">
        <f t="shared" ca="1" si="1039"/>
        <v>#DIV/0!</v>
      </c>
      <c r="OI263" s="168" t="e">
        <f t="shared" ca="1" si="1040"/>
        <v>#DIV/0!</v>
      </c>
      <c r="OJ263" s="168" t="e">
        <f t="shared" ca="1" si="1041"/>
        <v>#DIV/0!</v>
      </c>
      <c r="OK263" s="204" t="e">
        <f t="shared" ca="1" si="1042"/>
        <v>#DIV/0!</v>
      </c>
      <c r="OL263" s="177">
        <f>Control!$C$127</f>
        <v>0.15</v>
      </c>
      <c r="OM263" s="182" t="e">
        <f t="shared" ca="1" si="1043"/>
        <v>#N/A</v>
      </c>
      <c r="ON263" s="177">
        <f>Control!$C$128</f>
        <v>0.35</v>
      </c>
      <c r="OO263" s="182" t="e">
        <f t="shared" ca="1" si="1044"/>
        <v>#N/A</v>
      </c>
      <c r="OP263" s="138">
        <f t="shared" ref="OP263:OP326" ca="1" si="1126">$OP262+$I262</f>
        <v>0</v>
      </c>
      <c r="OQ263" s="138" t="e">
        <f t="shared" ca="1" si="918"/>
        <v>#DIV/0!</v>
      </c>
      <c r="OR263" s="138" t="e">
        <f t="shared" ref="OR263:OR326" ca="1" si="1127">$OP263+$OQ263</f>
        <v>#DIV/0!</v>
      </c>
      <c r="OS263" s="137" t="e">
        <f t="shared" ca="1" si="919"/>
        <v>#DIV/0!</v>
      </c>
      <c r="OT263" s="139" t="e">
        <f t="shared" ca="1" si="920"/>
        <v>#DIV/0!</v>
      </c>
      <c r="OU263" s="138" t="e">
        <f t="shared" ca="1" si="921"/>
        <v>#N/A</v>
      </c>
      <c r="OV263" s="138" t="e">
        <f t="shared" ca="1" si="922"/>
        <v>#DIV/0!</v>
      </c>
      <c r="OW263" s="138" t="e">
        <f t="shared" ref="OW263:OW326" ca="1" si="1128">$OW262+$OI263</f>
        <v>#DIV/0!</v>
      </c>
      <c r="OX263" s="138" t="e">
        <f t="shared" ref="OX263:OX326" ca="1" si="1129">$OX262+$OI262</f>
        <v>#DIV/0!</v>
      </c>
      <c r="OY263" s="138" t="e">
        <f t="shared" ref="OY263:OY326" ca="1" si="1130">$OY262+$OJ262</f>
        <v>#DIV/0!</v>
      </c>
      <c r="OZ263" s="138" t="e">
        <f t="shared" ca="1" si="1045"/>
        <v>#DIV/0!</v>
      </c>
      <c r="PA263" s="138" t="e">
        <f t="shared" ca="1" si="1046"/>
        <v>#DIV/0!</v>
      </c>
      <c r="PB263" s="55">
        <f>IF(Control!$C$61="T", IF(Control!$C$65="F", IF($AH$6-Control!$C$60&lt;0,0,1), IF(365+$AH$6-Control!$C$60&lt;0,0,1)),0)</f>
        <v>0</v>
      </c>
      <c r="PC263" s="55">
        <f ca="1">IF(Control!$C$65="F", IF($AH$6-$HF263&lt;0,0,1), IF(365+$AH$6-$HF263&lt;0,0,1))</f>
        <v>1</v>
      </c>
      <c r="PD263" s="444">
        <f>Control!$C$118</f>
        <v>1500</v>
      </c>
      <c r="PE263" s="180" t="e">
        <f t="shared" ca="1" si="1047"/>
        <v>#N/A</v>
      </c>
      <c r="PF263" s="445">
        <f t="shared" ref="PF263:PF326" ca="1" si="1131">$ME263</f>
        <v>0.71612369323045078</v>
      </c>
      <c r="PT263" s="186"/>
      <c r="PU263" s="186"/>
      <c r="PV263" s="94"/>
      <c r="PW263" s="94"/>
      <c r="PX263" s="94"/>
      <c r="PY263" s="94"/>
      <c r="PZ263" s="94"/>
      <c r="QA263" s="94"/>
      <c r="QB263" s="94"/>
      <c r="QC263" s="94"/>
      <c r="QD263" s="94"/>
      <c r="QE263" s="94"/>
      <c r="QF263" s="94"/>
      <c r="QG263" s="94"/>
      <c r="QH263" s="94"/>
      <c r="QI263" s="94"/>
      <c r="QJ263" s="94"/>
      <c r="QK263" s="94"/>
      <c r="QL263" s="94"/>
      <c r="QM263" s="94"/>
      <c r="QN263" s="94"/>
      <c r="QO263" s="94"/>
      <c r="QP263" s="94"/>
    </row>
    <row r="264" spans="1:458" s="2" customFormat="1" x14ac:dyDescent="0.2">
      <c r="A264" s="395">
        <v>16</v>
      </c>
      <c r="B264" s="396">
        <v>9</v>
      </c>
      <c r="C264" s="387">
        <f ca="1">Weather_data!$B263</f>
        <v>0</v>
      </c>
      <c r="D264" s="388">
        <f ca="1">Weather_data!$F263</f>
        <v>0</v>
      </c>
      <c r="E264" s="388">
        <f ca="1">Weather_data!$E263</f>
        <v>0</v>
      </c>
      <c r="F264" s="388">
        <f t="shared" ca="1" si="1048"/>
        <v>0</v>
      </c>
      <c r="G264" s="388">
        <f ca="1">AVERAGE($D264:$E264)+Control!$B$9</f>
        <v>0</v>
      </c>
      <c r="H264" s="388">
        <f ca="1">Weather_data!$G263</f>
        <v>0</v>
      </c>
      <c r="I264" s="388">
        <f ca="1">Weather_data!$I263</f>
        <v>0</v>
      </c>
      <c r="J264" s="388">
        <f ca="1">Weather_data!$H263</f>
        <v>0</v>
      </c>
      <c r="K264" s="389">
        <f ca="1">Weather_data!$D263</f>
        <v>0</v>
      </c>
      <c r="L264" s="388" t="e">
        <f t="shared" ca="1" si="1049"/>
        <v>#N/A</v>
      </c>
      <c r="M264" s="388" t="e">
        <f t="shared" ca="1" si="927"/>
        <v>#N/A</v>
      </c>
      <c r="N264" s="388">
        <f t="shared" ca="1" si="928"/>
        <v>-7.8259566820770065E-13</v>
      </c>
      <c r="O264" s="388">
        <f t="shared" ca="1" si="1050"/>
        <v>7.8259566820770067E-12</v>
      </c>
      <c r="P264" s="390">
        <v>3</v>
      </c>
      <c r="Q264" s="388">
        <f ca="1">MAX($G264-Control!$C$107,0)</f>
        <v>0</v>
      </c>
      <c r="R264" s="388">
        <f t="shared" ca="1" si="1051"/>
        <v>0</v>
      </c>
      <c r="S264" s="388">
        <f t="shared" ca="1" si="929"/>
        <v>0</v>
      </c>
      <c r="T264" s="388">
        <f t="shared" ca="1" si="930"/>
        <v>0</v>
      </c>
      <c r="U264" s="59">
        <f t="shared" ca="1" si="931"/>
        <v>0</v>
      </c>
      <c r="V264" s="391">
        <f ca="1">MAX(0,MIN(Control!$C$100-Control!$C$99,$G264-Control!$C$99)*Control!$C$63)</f>
        <v>0</v>
      </c>
      <c r="W264" s="388">
        <f t="shared" ca="1" si="1052"/>
        <v>0</v>
      </c>
      <c r="X264" s="388">
        <f t="shared" ca="1" si="1053"/>
        <v>0.6110000000000001</v>
      </c>
      <c r="Y264" s="388">
        <f t="shared" ca="1" si="932"/>
        <v>0</v>
      </c>
      <c r="Z264" s="388">
        <f t="shared" ca="1" si="1054"/>
        <v>0.61058800000000002</v>
      </c>
      <c r="AA264" s="388">
        <f t="shared" ca="1" si="933"/>
        <v>0.6018</v>
      </c>
      <c r="AB264" s="388">
        <f ca="1">101.3*EXP(-0.034*Control!$C$66/($G264+273))</f>
        <v>100.69623283836242</v>
      </c>
      <c r="AC264" s="392">
        <f t="shared" ca="1" si="934"/>
        <v>4.3460251046025113E-2</v>
      </c>
      <c r="AD264" s="392">
        <f t="shared" ca="1" si="935"/>
        <v>4.4450382862832649E-2</v>
      </c>
      <c r="AE264" s="388">
        <f t="shared" ca="1" si="936"/>
        <v>0</v>
      </c>
      <c r="AF264" s="388">
        <f ca="1">MAX(0,$G264-Control!$C$92)</f>
        <v>0</v>
      </c>
      <c r="AG264" s="393">
        <f t="shared" ca="1" si="937"/>
        <v>260</v>
      </c>
      <c r="AH264" s="389">
        <f t="shared" ca="1" si="938"/>
        <v>260</v>
      </c>
      <c r="AI264" s="388">
        <f t="shared" ca="1" si="1055"/>
        <v>2.5669608616055533E-2</v>
      </c>
      <c r="AJ264" s="388">
        <f ca="1">IF(Control!$C$60&lt;=0,$HH264,$HI264)</f>
        <v>1</v>
      </c>
      <c r="AK264" s="388">
        <f t="shared" ca="1" si="939"/>
        <v>3.0985571377871932</v>
      </c>
      <c r="AL264" s="388">
        <f t="shared" ca="1" si="940"/>
        <v>-1.1902083485448854E-17</v>
      </c>
      <c r="AM264" s="388">
        <f t="shared" ca="1" si="941"/>
        <v>3.0985571377871932</v>
      </c>
      <c r="AN264" s="388">
        <f t="shared" ca="1" si="942"/>
        <v>1.7115079852158911E-2</v>
      </c>
      <c r="AO264" s="388">
        <f ca="1">-0.10453/COS(Control!$B$8*PI()/180)*COS(AN264)</f>
        <v>-0.16975999764029229</v>
      </c>
      <c r="AP264" s="388">
        <f ca="1">ACOS(AO264-TAN(Control!$B$8*PI()/180)*TAN(AN264))</f>
        <v>1.7636581498356523</v>
      </c>
      <c r="AQ264" s="388">
        <f t="shared" ca="1" si="1056"/>
        <v>0</v>
      </c>
      <c r="AR264" s="394">
        <f t="shared" ca="1" si="943"/>
        <v>0</v>
      </c>
      <c r="AS264" s="436">
        <f ca="1">IF(Control!$B$18=2,(IF(OR($AH264=Control!$B$175,$AH264=Control!$B$176,$AH264=Control!$B$177,$AH264=Control!$B$178,$AH264=Control!$B$179,$AH264=Control!$B$180,$AH264=Control!$B$181,$AH264=Control!$B$182,$AH264=Control!$B$183,$AH264=Control!$B$184,$AH264=Control!$B$185),1,0)),0)</f>
        <v>0</v>
      </c>
      <c r="AT264" s="436">
        <f>IF(Control!$B$20=8,IF(AND($AH264&gt;=Control!$B$172,$AH264&lt;=Control!$B$173),1,0),0)</f>
        <v>0</v>
      </c>
      <c r="AU264" s="436">
        <f>IF(Control!$B$20=8,IF($AV263=1,1*$AT264,IF($AT264=1,$AU263+1,$AU263)),0)</f>
        <v>0</v>
      </c>
      <c r="AV264" s="436">
        <f>IF(Control!$B$20=8,IF($AU264&gt;=Control!$B$174,1,0),0)</f>
        <v>0</v>
      </c>
      <c r="AW264" s="436">
        <f ca="1">IF(AND(Control!$B$18=2,Control!$B$171=1), $AV264, $AS264)</f>
        <v>0</v>
      </c>
      <c r="AX264" s="436" t="e">
        <f ca="1">IF(AND(Control!$B$18=1,$EU264&gt;=Control!$B$19),-$AY264,IF(AND(Control!$B$18=2,$AW264=1,$EU264&gt;$DS264),-$AY264, IF(Control!$C$108=0,0, IF(Control!$C$108&lt;&gt;0,1))))</f>
        <v>#N/A</v>
      </c>
      <c r="AY264" s="436" t="e">
        <f t="shared" ca="1" si="1057"/>
        <v>#N/A</v>
      </c>
      <c r="AZ264" s="436" t="e">
        <f ca="1">IF(AND(Control!$B$18=1,$EB264&gt;Control!$B$19),$AZ263+1, IF(AND(Control!$B$18=2, $AW264=1, $EB264&gt;$DS264), $AZ263+1,$AZ263))</f>
        <v>#N/A</v>
      </c>
      <c r="BA264" s="587">
        <f>IF(Control!$C$81=0,1,IF($AH264&gt;=Control!$C$82,1,0))</f>
        <v>1</v>
      </c>
      <c r="BB264" s="140" t="e">
        <f ca="1">IF($BA264&gt;$BA263,Control!$C$83,IF($AW264&gt;0,$AW264*Control!$C$84,IF(AND(Control!$B$18=1,EN263&lt;&gt;0),Control!$C$84,0)))</f>
        <v>#N/A</v>
      </c>
      <c r="BC264" s="140" t="e">
        <f t="shared" ca="1" si="1058"/>
        <v>#N/A</v>
      </c>
      <c r="BD264" s="140" t="e">
        <f ca="1">BC264*IF(OR($G264&lt;Control!$C$92,$G264&gt;Control!$C$95),0,IF(AND($G264&gt;=Control!$C$92,$G264&lt;=Control!$C$93),$G264-Control!$C$92,IF(AND($G264&gt;Control!$C$93,$G264&lt;=Control!$C$94),Control!$C$93-Control!$C$92,IF(AND($G264&gt;Control!$C$94,$G264&lt;=Control!$C$95),(Control!$C$93-Control!$C$92)*(Control!$C$94-$G264)/(Control!$C$95-Control!$C$94)))))</f>
        <v>#N/A</v>
      </c>
      <c r="BE264" s="140" t="e">
        <f t="shared" ca="1" si="1059"/>
        <v>#N/A</v>
      </c>
      <c r="BF264" s="140" t="e">
        <f ca="1">IF($BE264&lt;=Control!$C$86,$BE264,Control!$C$86-$BE264)</f>
        <v>#N/A</v>
      </c>
      <c r="BG264" s="140" t="e">
        <f ca="1">IF(AND($AW264=1,Control!$C$84&lt;9),1,IF($BE264&gt;=Control!$C$86,0,$BC264))</f>
        <v>#N/A</v>
      </c>
      <c r="BH264" s="404" t="e">
        <f ca="1">IF($BG264=0,0,IF($BE264&lt;=Control!$C$86,$BC264*9*($BF264/Control!$C$86),0))</f>
        <v>#N/A</v>
      </c>
      <c r="BI264" s="140" t="e">
        <f ca="1">IF($BG264=1,0,IF($BE264&gt;=Control!$C$86,1,IF(AND($BB264&lt;21,$BB264&gt;=9),1,$BM263)))</f>
        <v>#N/A</v>
      </c>
      <c r="BJ264" s="140" t="e">
        <f ca="1">IF($BF264&lt;0,-$BF264,$BI264*IF(OR($G264&lt;Control!$C$92,$G264&gt;Control!$C$95),0,IF(AND($G264&gt;=Control!$C$92,$G264&lt;=Control!$C$93),$G264-Control!$C$92,IF(AND($G264&gt;Control!$C$93,$G264&lt;=Control!$C$94),Control!$C$93-Control!$C$92,IF(AND($G264&gt;Control!$C$94,$G264&lt;=Control!$C$95),(Control!$C$93-Control!$C$92)*(Control!$C$94-$G264)/(Control!$C$95-Control!$C$94))))))</f>
        <v>#N/A</v>
      </c>
      <c r="BK264" s="140" t="e">
        <f t="shared" ca="1" si="1060"/>
        <v>#N/A</v>
      </c>
      <c r="BL264" s="140" t="e">
        <f ca="1">IF($BK264&lt;=Control!$C$87,$BK264,Control!$C$87-$BK264)</f>
        <v>#N/A</v>
      </c>
      <c r="BM264" s="140" t="e">
        <f ca="1">IF(AND($BB264&gt;=9,$BB264&lt;21),1,IF($BK264&gt;=Control!$C$87,0,$BI264))</f>
        <v>#N/A</v>
      </c>
      <c r="BN264" s="404" t="e">
        <f ca="1">IF($BM264=0,0,IF($BK264&lt;=Control!$C$87,$BI264*(9+(21-9)*($BL264/Control!$C$87)),0))</f>
        <v>#N/A</v>
      </c>
      <c r="BO264" s="140" t="e">
        <f ca="1">IF($BM264=1,0,IF($BK264&gt;=Control!$C$87,1,IF(AND($BB264&lt;30,$BB264&gt;=21),1,$BS263)))</f>
        <v>#N/A</v>
      </c>
      <c r="BP264" s="140" t="e">
        <f ca="1">IF($BL264&lt;0,-$BL264,$BO264*IF(OR($G264&lt;Control!$C$92,$G264&gt;Control!$C$95),0,IF(AND($G264&gt;=Control!$C$92,$G264&lt;=Control!$C$93),$G264-Control!$C$92,IF(AND($G264&gt;Control!$C$93,$G264&lt;=Control!$C$94),Control!$C$93-Control!$C$92,IF(AND($G264&gt;Control!$C$94,$G264&lt;=Control!$C$95),(Control!$C$93-Control!$C$92)*(Control!$C$94-$G264)/(Control!$C$95-Control!$C$94))))))</f>
        <v>#N/A</v>
      </c>
      <c r="BQ264" s="140" t="e">
        <f t="shared" ca="1" si="944"/>
        <v>#N/A</v>
      </c>
      <c r="BR264" s="140" t="e">
        <f ca="1">IF($BQ264&lt;=Control!$C$88,$BQ264,Control!$C$88-$BQ264)</f>
        <v>#N/A</v>
      </c>
      <c r="BS264" s="140" t="e">
        <f ca="1">IF(AND($BB264&gt;=21,$BB264&lt;30),1,IF($BQ264&gt;=Control!$C$88,0,$BO264))</f>
        <v>#N/A</v>
      </c>
      <c r="BT264" s="404" t="e">
        <f ca="1">IF($BS264=0,0,IF($BQ264&lt;=Control!$C$88,$BO264*(21+(30-21)*(BR264/Control!$C$88)),0))</f>
        <v>#N/A</v>
      </c>
      <c r="BU264" s="140" t="e">
        <f ca="1">IF(BG264+BM264+BS264=1,0,IF(OR(AND($BB264&lt;60,$BB264&gt;=30),$BQ264&gt;=Control!$C$88),1*$BA264,$BY263))</f>
        <v>#N/A</v>
      </c>
      <c r="BV264" s="140" t="e">
        <f ca="1">IF($BR264&lt;0,-$BR264,$BU264*IF(OR($G264&lt;Control!$C$92,$G264&gt;Control!$C$95),0,IF(AND($G264&gt;=Control!$C$92,$G264&lt;=Control!$C$93),$G264-Control!$C$92,IF(AND($G264&gt;Control!$C$93,$G264&lt;=Control!$C$94),Control!$C$93-Control!$C$92,IF(AND($G264&gt;Control!$C$94,$G264&lt;=Control!$C$95),(Control!$C$93-Control!$C$92)*(Control!$C$94-$G264)/(Control!$C$95-Control!$C$94))))))</f>
        <v>#N/A</v>
      </c>
      <c r="BW264" s="140" t="e">
        <f t="shared" ca="1" si="945"/>
        <v>#N/A</v>
      </c>
      <c r="BX264" s="140" t="e">
        <f ca="1">IF($BW264&lt;=Control!$C$89,$BW264,Control!$C$89-$BW264)</f>
        <v>#N/A</v>
      </c>
      <c r="BY264" s="140" t="e">
        <f ca="1">IF(AND($AJ264&gt;=30,$AJ264&lt;60),1,IF($BW264&gt;=Control!$C$89,0,$BU264))</f>
        <v>#N/A</v>
      </c>
      <c r="BZ264" s="404" t="e">
        <f ca="1">IF($BY264=0,0,IF($BW264&lt;=Control!$C$89,$BU264*(30+(60-30)*(BX264/Control!$C$89)),0))</f>
        <v>#N/A</v>
      </c>
      <c r="CA264" s="140" t="e">
        <f ca="1">IF($BG264+$BM264+$BS264+$BY264=1,0,IF(OR(AND($BB264&lt;65,$BB264&gt;=60),$BW264&gt;=Control!$C$89),1*$BA264,$CE263))</f>
        <v>#N/A</v>
      </c>
      <c r="CB264" s="140" t="e">
        <f ca="1">IF($BX264&lt;0,-$BX264,$CA264*IF(OR($G264&lt;Control!$C$92,$G264&gt;Control!$C$95),0,IF(AND($G264&gt;=Control!$C$92,$G264&lt;=Control!$C$93),$G264-Control!$C$92,IF(AND($G264&gt;Control!$C$93,$G264&lt;=Control!$C$94),Control!$C$93-Control!$C$92,IF(AND($G264&gt;Control!$C$94,$G264&lt;=Control!$C$95),(Control!$C$93-Control!$C$92)*(Control!$C$94-$G264)/(Control!$C$95-Control!$C$94))))))</f>
        <v>#N/A</v>
      </c>
      <c r="CC264" s="140" t="e">
        <f t="shared" ca="1" si="1061"/>
        <v>#N/A</v>
      </c>
      <c r="CD264" s="140" t="e">
        <f ca="1">IF($CC264&lt;=Control!$C$90,$CC264,Control!$C$90-$CC264)</f>
        <v>#N/A</v>
      </c>
      <c r="CE264" s="140" t="e">
        <f ca="1">IF(AND($BB264&gt;=60,$BB264&lt;65),1,IF($CC264&gt;=Control!$C$90,0,$CA264))</f>
        <v>#N/A</v>
      </c>
      <c r="CF264" s="404" t="e">
        <f ca="1">IF($CE264=0,0,IF($CC264&lt;=Control!$C$90,$CA264*(60+(65-60)*(CD264/Control!$C$90)),0))</f>
        <v>#N/A</v>
      </c>
      <c r="CG264" s="140" t="e">
        <f ca="1">IF($BG264+$BM264+$BS264+$BY264+$CE264=1,0,IF(OR(AND($BB264&lt;90,$BB264&gt;=65),$CC264&gt;=Control!$C$90),$BA264,$CK263))</f>
        <v>#N/A</v>
      </c>
      <c r="CH264" s="140" t="e">
        <f ca="1">IF($CD264&lt;0,-$CD264,$CG264*IF(OR($G264&lt;Control!$C$92,$G264&gt;Control!$C$95),0,IF(AND($G264&gt;=Control!$C$92,$G264&lt;=Control!$C$93),$G264-Control!$C$92,IF(AND($G264&gt;Control!$C$93,$G264&lt;=Control!$C$94),Control!$C$93-Control!$C$92,IF(AND($G264&gt;Control!$C$94,$G264&lt;=Control!$C$95),(Control!$C$93-Control!$C$92)*(Control!$C$94-$G264)/(Control!$C$95-Control!$C$94))))))</f>
        <v>#N/A</v>
      </c>
      <c r="CI264" s="140" t="e">
        <f t="shared" ca="1" si="1062"/>
        <v>#N/A</v>
      </c>
      <c r="CJ264" s="140" t="e">
        <f ca="1">IF($CI264&lt;=Control!$C$91,$CI264,Control!$C$91-$CI264)</f>
        <v>#N/A</v>
      </c>
      <c r="CK264" s="140" t="e">
        <f ca="1">IF(AND($BB264&gt;=65,$BB264&lt;90),1,IF($CI264&gt;=Control!$C$91,0,$CG264))</f>
        <v>#N/A</v>
      </c>
      <c r="CL264" s="404" t="e">
        <f ca="1">IF($CK264=0,0,IF($CI264&lt;=Control!$C$91,$CG264*(65+(90-65)*($CJ264/Control!$C$91)),0))</f>
        <v>#N/A</v>
      </c>
      <c r="CM264" s="140" t="e">
        <f ca="1">IF($BG264+$BM264+$BS264+$BY264+$CE264+$CK264=1,0,IF(OR($BB264&gt;=90,$CI264&gt;=Control!$C$91),$BA264,$CM263))</f>
        <v>#N/A</v>
      </c>
      <c r="CN264" s="140" t="e">
        <f t="shared" ca="1" si="1063"/>
        <v>#N/A</v>
      </c>
      <c r="CO264" s="140" t="e">
        <f t="shared" ca="1" si="1064"/>
        <v>#N/A</v>
      </c>
      <c r="CP264" s="140" t="e">
        <f t="shared" ca="1" si="1065"/>
        <v>#N/A</v>
      </c>
      <c r="CQ264" s="141" t="e">
        <f ca="1">VLOOKUP($CP264,Control!$B$86:$G$91,6)</f>
        <v>#N/A</v>
      </c>
      <c r="CR264" s="141" t="e">
        <f ca="1">(1-$CQ264)*VLOOKUP($CP264,Control!$B$86:$D$91,3)</f>
        <v>#N/A</v>
      </c>
      <c r="CS264" s="141" t="e">
        <f ca="1">(1-$CQ264)*VLOOKUP($CP264,Control!$B$86:$E$91,4)</f>
        <v>#N/A</v>
      </c>
      <c r="CT264" s="141" t="e">
        <f ca="1">(1-$CQ264)*VLOOKUP($CP264,Control!$B$86:$F$91,5)</f>
        <v>#N/A</v>
      </c>
      <c r="CU264" s="141">
        <f t="shared" ca="1" si="1066"/>
        <v>0</v>
      </c>
      <c r="CV264" s="583">
        <f t="shared" ca="1" si="1067"/>
        <v>0</v>
      </c>
      <c r="CW264" s="142">
        <f t="shared" ca="1" si="1068"/>
        <v>260</v>
      </c>
      <c r="CX264" s="612" t="e">
        <f ca="1">IF(Control!$C$114=1,(MIN(Control!$C$120*(IF($NT264-0.01&lt;0,0,1)),Control!$C$119-$CY264)))</f>
        <v>#DIV/0!</v>
      </c>
      <c r="CY264" s="143" t="e">
        <f t="shared" ca="1" si="1069"/>
        <v>#N/A</v>
      </c>
      <c r="CZ264" s="144">
        <f t="shared" ca="1" si="946"/>
        <v>0</v>
      </c>
      <c r="DA264" s="144">
        <f t="shared" ca="1" si="947"/>
        <v>0</v>
      </c>
      <c r="DB264" s="144" t="e">
        <f t="shared" ca="1" si="948"/>
        <v>#N/A</v>
      </c>
      <c r="DC264" s="144" t="e">
        <f t="shared" ca="1" si="949"/>
        <v>#N/A</v>
      </c>
      <c r="DD264" s="144" t="e">
        <f t="shared" ca="1" si="923"/>
        <v>#N/A</v>
      </c>
      <c r="DE264" s="143" t="e">
        <f t="shared" ca="1" si="1070"/>
        <v>#N/A</v>
      </c>
      <c r="DF264" s="145" t="e">
        <f ca="1">$DR264*EXP(-Control!$C$158*(1-$KH264))</f>
        <v>#N/A</v>
      </c>
      <c r="DG264" s="146" t="e">
        <f ca="1">IF(Control!$C$114=1, $DF264*$EY264, 0)</f>
        <v>#N/A</v>
      </c>
      <c r="DH264" s="147" t="e">
        <f t="shared" ca="1" si="1071"/>
        <v>#N/A</v>
      </c>
      <c r="DI264" s="144" t="e">
        <f t="shared" ref="DI264:DI327" ca="1" si="1132">IF($DI263+$DH263&lt;0,0,$DI263+$DH263)</f>
        <v>#N/A</v>
      </c>
      <c r="DJ264" s="147" t="e">
        <f ca="1">$EF264*Control!$C$109</f>
        <v>#N/A</v>
      </c>
      <c r="DK264" s="144" t="e">
        <f t="shared" ca="1" si="1072"/>
        <v>#N/A</v>
      </c>
      <c r="DL264" s="144" t="e">
        <f t="shared" ca="1" si="950"/>
        <v>#N/A</v>
      </c>
      <c r="DM264" s="144" t="e">
        <f ca="1">IF(Control!$C$114=1, (1-EXP(-Control!$C$96*$DK264))*$AR264, 0)</f>
        <v>#N/A</v>
      </c>
      <c r="DN264" s="144">
        <f t="shared" ca="1" si="1073"/>
        <v>0</v>
      </c>
      <c r="DO264" s="148">
        <f>Control!$C$97</f>
        <v>4</v>
      </c>
      <c r="DP264" s="145" t="e">
        <f t="shared" ca="1" si="1074"/>
        <v>#N/A</v>
      </c>
      <c r="DQ264" s="145" t="e">
        <f ca="1">IF(AND($CP264&gt;=0,$CP264&lt;=90),Control!$C$111,Control!$C$111)</f>
        <v>#N/A</v>
      </c>
      <c r="DR264" s="145" t="e">
        <f t="shared" ca="1" si="951"/>
        <v>#N/A</v>
      </c>
      <c r="DS264" s="143" t="e">
        <f ca="1">Control!$B$22/$DR264</f>
        <v>#N/A</v>
      </c>
      <c r="DT264" s="149" t="e">
        <f ca="1">IF(AND(Control!$C$114=1,$KH264&lt;1),$IM264*$DF264, 0)</f>
        <v>#N/A</v>
      </c>
      <c r="DU264" s="144" t="e">
        <f t="shared" ca="1" si="1075"/>
        <v>#N/A</v>
      </c>
      <c r="DV264" s="144">
        <f ca="1">IF($G264-Control!$C$107&lt;=0, 0, 0.83*LN(MAX($G264, 3))-0.8924)</f>
        <v>0</v>
      </c>
      <c r="DW264" s="144" t="e">
        <f t="shared" ca="1" si="952"/>
        <v>#N/A</v>
      </c>
      <c r="DX264" s="150" t="e">
        <f ca="1">MAX(0.01*(1+$CU264/Control!$C$102),0.05*($DK264-Control!$C$97)/Control!$C$97)</f>
        <v>#N/A</v>
      </c>
      <c r="DY264" s="151" t="e">
        <f ca="1">IF(Control!$C$114=1, $DI264*$FS264, 0)</f>
        <v>#N/A</v>
      </c>
      <c r="DZ264" s="196" t="e">
        <f t="shared" ca="1" si="1076"/>
        <v>#N/A</v>
      </c>
      <c r="EA264" s="152">
        <f t="shared" ca="1" si="1077"/>
        <v>260</v>
      </c>
      <c r="EB264" s="153" t="e">
        <f t="shared" ca="1" si="1078"/>
        <v>#N/A</v>
      </c>
      <c r="EC264" s="153" t="e">
        <f t="shared" ca="1" si="1079"/>
        <v>#N/A</v>
      </c>
      <c r="ED264" s="154" t="e">
        <f ca="1">IF(Control!$C$114=1, $HM264*$FY264-$FD264, 0)</f>
        <v>#DIV/0!</v>
      </c>
      <c r="EE264" s="155" t="e">
        <f ca="1">IF(Control!$C$114=1, $HM264*$FZ264-$FF264, 0)</f>
        <v>#DIV/0!</v>
      </c>
      <c r="EF264" s="153" t="e">
        <f t="shared" ref="EF264:EF327" ca="1" si="1133">$EF263+$EE263-$EO263</f>
        <v>#N/A</v>
      </c>
      <c r="EG264" s="155" t="e">
        <f ca="1">IF(Control!$C$114=1, $GX264*$FW264-$FI264, 0)</f>
        <v>#DIV/0!</v>
      </c>
      <c r="EH264" s="153" t="e">
        <f t="shared" ca="1" si="1080"/>
        <v>#N/A</v>
      </c>
      <c r="EI264" s="156" t="e">
        <f t="shared" ca="1" si="1081"/>
        <v>#N/A</v>
      </c>
      <c r="EJ264" s="155" t="e">
        <f ca="1">IF(Control!$C$114=1, $HM264*$GB264, 0)</f>
        <v>#DIV/0!</v>
      </c>
      <c r="EK264" s="153" t="e">
        <f t="shared" ref="EK264:EK327" ca="1" si="1134">$EK263+$EJ263-$EP263</f>
        <v>#N/A</v>
      </c>
      <c r="EL264" s="153" t="e">
        <f t="shared" ca="1" si="953"/>
        <v>#N/A</v>
      </c>
      <c r="EM264" s="153" t="e">
        <f t="shared" ca="1" si="954"/>
        <v>#N/A</v>
      </c>
      <c r="EN264" s="153" t="e">
        <f ca="1">IF(Control!$C$108=1,IF(AND(Control!$B$18=1,$EB264&gt;=Control!$B$19),$EB264-$DS264,IF(AND(Control!$B$18=2,$AW264=1,$EB264&gt;$DS264),$EB264-$DS264,0)))</f>
        <v>#N/A</v>
      </c>
      <c r="EO264" s="153" t="e">
        <f ca="1">IF(Control!$C$108=1,IF(AND(Control!$B$18=1,$EB264&gt;=Control!$B$19),$EF264,IF(AND(Control!$B$18=2,$AW264=1),$EF264,0)))</f>
        <v>#N/A</v>
      </c>
      <c r="EP264" s="153" t="e">
        <f ca="1">IF(Control!$C$108=1,IF(AND(Control!$B$18=1,$EB264&gt;=Control!$B$19),$EK264,IF(AND(Control!$B$18=2,$AW264=1),$EK264,0)))</f>
        <v>#N/A</v>
      </c>
      <c r="EQ264" s="153" t="e">
        <f t="shared" ca="1" si="1082"/>
        <v>#N/A</v>
      </c>
      <c r="ER264" s="153" t="e">
        <f t="shared" ca="1" si="1083"/>
        <v>#N/A</v>
      </c>
      <c r="ES264" s="153" t="e">
        <f t="shared" ref="ES264:ES327" ca="1" si="1135">$ES263+$EO263</f>
        <v>#N/A</v>
      </c>
      <c r="ET264" s="153" t="e">
        <f t="shared" ref="ET264:ET327" ca="1" si="1136">$ET263+$EP263</f>
        <v>#N/A</v>
      </c>
      <c r="EU264" s="153" t="e">
        <f t="shared" ca="1" si="1084"/>
        <v>#N/A</v>
      </c>
      <c r="EV264" s="153" t="e">
        <f t="shared" ca="1" si="955"/>
        <v>#N/A</v>
      </c>
      <c r="EW264" s="153" t="e">
        <f t="shared" ca="1" si="956"/>
        <v>#N/A</v>
      </c>
      <c r="EX264" s="153" t="e">
        <f t="shared" ca="1" si="957"/>
        <v>#N/A</v>
      </c>
      <c r="EY264" s="157" t="e">
        <f t="shared" ca="1" si="958"/>
        <v>#DIV/0!</v>
      </c>
      <c r="EZ264" s="154" t="e">
        <f t="shared" ca="1" si="959"/>
        <v>#DIV/0!</v>
      </c>
      <c r="FA264" s="153" t="e">
        <f t="shared" ca="1" si="1085"/>
        <v>#N/A</v>
      </c>
      <c r="FB264" s="153" t="e">
        <f t="shared" ca="1" si="960"/>
        <v>#N/A</v>
      </c>
      <c r="FC264" s="193" t="e">
        <f t="shared" ca="1" si="961"/>
        <v>#N/A</v>
      </c>
      <c r="FD264" s="158" t="e">
        <f t="shared" ca="1" si="1086"/>
        <v>#N/A</v>
      </c>
      <c r="FE264" s="158" t="e">
        <f t="shared" ca="1" si="1087"/>
        <v>#N/A</v>
      </c>
      <c r="FF264" s="159" t="e">
        <f t="shared" ca="1" si="962"/>
        <v>#N/A</v>
      </c>
      <c r="FG264" s="160" t="e">
        <f t="shared" ca="1" si="1088"/>
        <v>#N/A</v>
      </c>
      <c r="FH264" s="158" t="e">
        <f t="shared" ca="1" si="1089"/>
        <v>#N/A</v>
      </c>
      <c r="FI264" s="159" t="e">
        <f t="shared" ca="1" si="963"/>
        <v>#N/A</v>
      </c>
      <c r="FJ264" s="160" t="e">
        <f t="shared" ca="1" si="1090"/>
        <v>#N/A</v>
      </c>
      <c r="FK264" s="160" t="e">
        <f t="shared" ca="1" si="964"/>
        <v>#N/A</v>
      </c>
      <c r="FL264" s="160" t="e">
        <f t="shared" ref="FL264:FL327" ca="1" si="1137">$FL263+$FD263</f>
        <v>#N/A</v>
      </c>
      <c r="FM264" s="160" t="e">
        <f t="shared" ca="1" si="965"/>
        <v>#N/A</v>
      </c>
      <c r="FN264" s="158">
        <f t="shared" ca="1" si="1091"/>
        <v>0.01</v>
      </c>
      <c r="FO264" s="160">
        <f>Control!$C$101</f>
        <v>50</v>
      </c>
      <c r="FP264" s="150" t="e">
        <f t="shared" ca="1" si="966"/>
        <v>#N/A</v>
      </c>
      <c r="FQ264" s="150" t="e">
        <f ca="1">MAX(0,(Control!$C$112*(($DK264-Control!$C$97)/Control!$C$97)))</f>
        <v>#N/A</v>
      </c>
      <c r="FR264" s="150" t="e">
        <f ca="1">(1-$NT264)*Control!$C$113</f>
        <v>#DIV/0!</v>
      </c>
      <c r="FS264" s="198" t="e">
        <f t="shared" ca="1" si="967"/>
        <v>#N/A</v>
      </c>
      <c r="FT264" s="161">
        <f t="shared" ca="1" si="1092"/>
        <v>260</v>
      </c>
      <c r="FU264" s="162" t="e">
        <f ca="1">IF(Control!$B$34=1,VLOOKUP($CP264,Control!$B$86:$G$91,6),Control!$B$35)</f>
        <v>#N/A</v>
      </c>
      <c r="FV264" s="162" t="e">
        <f t="shared" ca="1" si="968"/>
        <v>#DIV/0!</v>
      </c>
      <c r="FW264" s="162" t="e">
        <f ca="1">IF(Control!$B$31=1,$FU264*$FV264,  $FU264)</f>
        <v>#N/A</v>
      </c>
      <c r="FX264" s="162" t="e">
        <f ca="1">IF(Control!$B$34=1,VLOOKUP($CP264,Control!$B$86:$G$91,3),Control!$B$36)</f>
        <v>#N/A</v>
      </c>
      <c r="FY264" s="162" t="e">
        <f t="shared" ca="1" si="969"/>
        <v>#N/A</v>
      </c>
      <c r="FZ264" s="162" t="e">
        <f ca="1">IF(Control!$B$34=1,VLOOKUP($CP264,Control!$B$86:$G$91,4),Control!$B$37)</f>
        <v>#N/A</v>
      </c>
      <c r="GA264" s="162" t="e">
        <f t="shared" ca="1" si="970"/>
        <v>#N/A</v>
      </c>
      <c r="GB264" s="162" t="e">
        <f ca="1">IF(Control!$B$34=1,VLOOKUP($CP264,Control!$B$86:$G$91,5),Control!$B$38)</f>
        <v>#N/A</v>
      </c>
      <c r="GC264" s="162" t="e">
        <f t="shared" ca="1" si="1093"/>
        <v>#N/A</v>
      </c>
      <c r="GD264" s="162">
        <f t="shared" ca="1" si="971"/>
        <v>1</v>
      </c>
      <c r="GE264" s="162">
        <f t="shared" ca="1" si="972"/>
        <v>1</v>
      </c>
      <c r="GF264" s="162">
        <f ca="1">IF(AND(Control!$C$104=1, Control!$C$62="F"),$GE264,1)</f>
        <v>1</v>
      </c>
      <c r="GG264" s="162" t="e">
        <f ca="1">IF(Control!$B$16=40,0,IF(AND(Control!$B$16&gt;40,Control!$B$16&lt;=360),(Control!$B$16-40)*((1-0)/(360-40)),IF(AND(Control!$B$16&gt;360,Control!$B$16&lt;=720),(1+(Control!$B$16-360)*((1.25-1)/(720-360))),IF(AND(Control!$B$16&gt;720,Control!$B$16&lt;=1000),(1.25+(Control!$B$16-720)*((1.35-1.25)/(1000-720))),IF(AND(Control!$B$16&gt;1000,Control!$B$16&lt;=2000),(1.35+(Control!$B$16-1000)*0))))))</f>
        <v>#N/A</v>
      </c>
      <c r="GH264" s="162" t="e">
        <f t="shared" ca="1" si="973"/>
        <v>#N/A</v>
      </c>
      <c r="GI264" s="162">
        <f t="shared" ca="1" si="1094"/>
        <v>0</v>
      </c>
      <c r="GJ264" s="162">
        <f t="shared" ca="1" si="974"/>
        <v>0</v>
      </c>
      <c r="GK264" s="162">
        <f t="shared" ca="1" si="1095"/>
        <v>1</v>
      </c>
      <c r="GL264" s="162">
        <f t="shared" ca="1" si="975"/>
        <v>1</v>
      </c>
      <c r="GM264" s="162" t="e">
        <f ca="1">MAX(0,MIN(1,1-Control!$C$156*(1.0001-$KH264)^2))</f>
        <v>#N/A</v>
      </c>
      <c r="GN264" s="162" t="e">
        <f ca="1">IF(Control!$B$26=1,$KU264,$KX264)</f>
        <v>#N/A</v>
      </c>
      <c r="GO264" s="162" t="e">
        <f ca="1">IF($CP264&lt;=60,Control!$C$105,IF($CP264&gt;=90,Control!$C$106,Control!$C$105+($CP264-60)*((Control!$C$106-Control!$C$105)/(90-60))))</f>
        <v>#N/A</v>
      </c>
      <c r="GP264" s="162" t="e">
        <f t="shared" ca="1" si="976"/>
        <v>#N/A</v>
      </c>
      <c r="GQ264" s="162" t="e">
        <f t="shared" ca="1" si="1096"/>
        <v>#N/A</v>
      </c>
      <c r="GR264" s="163" t="e">
        <f t="shared" ca="1" si="977"/>
        <v>#DIV/0!</v>
      </c>
      <c r="GS264" s="162" t="e">
        <f t="shared" ca="1" si="978"/>
        <v>#DIV/0!</v>
      </c>
      <c r="GT264" s="164" t="e">
        <f t="shared" ca="1" si="1097"/>
        <v>#N/A</v>
      </c>
      <c r="GU264" s="162" t="e">
        <f t="shared" ca="1" si="1098"/>
        <v>#N/A</v>
      </c>
      <c r="GV264" s="162" t="e">
        <f t="shared" ca="1" si="979"/>
        <v>#N/A</v>
      </c>
      <c r="GW264" s="162" t="e">
        <f t="shared" ca="1" si="980"/>
        <v>#DIV/0!</v>
      </c>
      <c r="GX264" s="162" t="e">
        <f t="shared" ca="1" si="1099"/>
        <v>#DIV/0!</v>
      </c>
      <c r="GY264" s="162" t="e">
        <f t="shared" ca="1" si="1100"/>
        <v>#DIV/0!</v>
      </c>
      <c r="GZ264" s="165" t="e">
        <f t="shared" ca="1" si="981"/>
        <v>#N/A</v>
      </c>
      <c r="HA264" s="162" t="e">
        <f ca="1">IF(Control!$C$114=1, $DI264*$FS264, 0)</f>
        <v>#N/A</v>
      </c>
      <c r="HB264" s="162" t="e">
        <f ca="1">$FA264/Control!$C$64</f>
        <v>#N/A</v>
      </c>
      <c r="HC264" s="162" t="e">
        <f t="shared" ca="1" si="982"/>
        <v>#DIV/0!</v>
      </c>
      <c r="HD264" s="162">
        <f ca="1">-ASIN(SIN(23.45*Control!$C$139)*COS(2*Control!$C$138*($AH264+10)/365))</f>
        <v>2.5669608616055533E-2</v>
      </c>
      <c r="HE264" s="165">
        <f t="shared" ca="1" si="1101"/>
        <v>0</v>
      </c>
      <c r="HF264" s="166">
        <f ca="1">IF(AND(Control!$C$61="T",$HE264&gt;=Control!$C$103,Control!$C$114=0),$AH264,Control!$C$59)</f>
        <v>1</v>
      </c>
      <c r="HG264" s="166">
        <f ca="1">IF(AND(Control!$C$61="T",$HE264&gt;=Control!$C$103,Control!$C$114=0),$HF264,Control!$C$59)</f>
        <v>1</v>
      </c>
      <c r="HH264" s="165">
        <f ca="1">IF(AND(OR(Control!$C$60&lt;=0, $AH264= Control!$C$59, Control!$C$60 &gt;0, $AH264 = Control!$C$60)), Control!$C$59, IF(Control!$C$60&gt;0, 0))</f>
        <v>1</v>
      </c>
      <c r="HI264" s="165">
        <f ca="1">IF(AND(OR(Control!$C$60&lt;=0, $AH264= Control!$C$59, Control!$C$60 &gt;0, $AH264 = Control!$C$60)), Control!$C$60, IF(Control!$C$60&lt;=0, 0))</f>
        <v>0</v>
      </c>
      <c r="HJ264" s="166">
        <f ca="1">IF(AND(Control!$C$62="F",$CV264&gt;=Control!$C$102),$AH264,0)</f>
        <v>0</v>
      </c>
      <c r="HK264" s="165" t="e">
        <f t="shared" ref="HK264:HK327" ca="1" si="1138">$HK263+$GX263</f>
        <v>#N/A</v>
      </c>
      <c r="HL264" s="166">
        <f ca="1">IF(AND(Control!$C$61="T",$HE264&gt;=Control!$C$103,Control!$C$114=0),$HF264,0)</f>
        <v>0</v>
      </c>
      <c r="HM264" s="201" t="e">
        <f t="shared" ca="1" si="983"/>
        <v>#DIV/0!</v>
      </c>
      <c r="HN264" s="215">
        <f t="shared" ca="1" si="1102"/>
        <v>260</v>
      </c>
      <c r="HO264" s="216" t="e">
        <f ca="1">IF(AND($CP264&gt;=0, $CP264&lt;=90), Control!$C$152, Control!$C$152)</f>
        <v>#N/A</v>
      </c>
      <c r="HP264" s="216" t="e">
        <f t="shared" ca="1" si="984"/>
        <v>#N/A</v>
      </c>
      <c r="HQ264" s="217" t="e">
        <f ca="1">IF(OR(Control!$B$26=1,Control!$B$26=2),$KV264,$KS264)</f>
        <v>#DIV/0!</v>
      </c>
      <c r="HR264" s="218" t="e">
        <f t="shared" ref="HR264:HR327" ca="1" si="1139">$HR263-$HQ263</f>
        <v>#DIV/0!</v>
      </c>
      <c r="HS264" s="216" t="e">
        <f ca="1">Control!$C$154*$HP264</f>
        <v>#N/A</v>
      </c>
      <c r="HT264" s="216" t="e">
        <f ca="1">Control!$C$155*$HP264</f>
        <v>#N/A</v>
      </c>
      <c r="HU264" s="217" t="e">
        <f ca="1">Control!$C$161*$FI264</f>
        <v>#N/A</v>
      </c>
      <c r="HV264" s="218" t="e">
        <f t="shared" ca="1" si="1103"/>
        <v>#N/A</v>
      </c>
      <c r="HW264" s="218" t="e">
        <f ca="1">Control!$C$160*$FF264+$IP264*$EO264</f>
        <v>#N/A</v>
      </c>
      <c r="HX264" s="218" t="e">
        <f t="shared" ref="HX264:HX327" ca="1" si="1140">$HX263+$HW263</f>
        <v>#N/A</v>
      </c>
      <c r="HY264" s="219" t="e">
        <f ca="1">IF(Control!$C$114=1, $EB264*$FS264, 0)</f>
        <v>#N/A</v>
      </c>
      <c r="HZ264" s="91" t="e">
        <f t="shared" ca="1" si="985"/>
        <v>#N/A</v>
      </c>
      <c r="IA264" s="220" t="e">
        <f ca="1">Control!$C$153*$HO264</f>
        <v>#N/A</v>
      </c>
      <c r="IB264" s="218" t="e">
        <f t="shared" ca="1" si="986"/>
        <v>#N/A</v>
      </c>
      <c r="IC264" s="220" t="e">
        <f ca="1">Control!$C$153*$HT264</f>
        <v>#N/A</v>
      </c>
      <c r="ID264" s="218" t="e">
        <f t="shared" ca="1" si="987"/>
        <v>#N/A</v>
      </c>
      <c r="IE264" s="221" t="e">
        <f ca="1">($EB264*Control!$C$159+$EF264*Control!$C$160)/(IF($GZ264&lt;&gt;0,$GZ264,1))</f>
        <v>#N/A</v>
      </c>
      <c r="IF264" s="216" t="e">
        <f t="shared" ca="1" si="988"/>
        <v>#N/A</v>
      </c>
      <c r="IG264" s="91">
        <f ca="1">IF(OR(Control!$B$198=$AH264,Control!$B$199=$AH264, Control!$B$200=$AH264, Control!$B$201=$AH264, Control!$B$202=$AH264, Control!$B$203=$AH264, Control!$B$204=$AH264, Control!$B$205=$AH264, Control!$B$206=$AH264, Control!$B$207=$AH264), 1, 0)</f>
        <v>0</v>
      </c>
      <c r="IH264" s="91">
        <f ca="1">IF($IG264=0,0, VLOOKUP($AH264,Control!$B$198:$C$207,2))</f>
        <v>0</v>
      </c>
      <c r="II264" s="222">
        <f t="shared" ca="1" si="1104"/>
        <v>0</v>
      </c>
      <c r="IJ264" s="91">
        <f>Control!$C$121</f>
        <v>0.7</v>
      </c>
      <c r="IK264" s="218">
        <f t="shared" ca="1" si="989"/>
        <v>0</v>
      </c>
      <c r="IL264" s="217" t="e">
        <f t="shared" ref="IL264:IL327" ca="1" si="1141">$IL263+$KD263</f>
        <v>#N/A</v>
      </c>
      <c r="IM264" s="223" t="e">
        <f ca="1">IF(AND(Control!$C$114=1,$KH264&lt;1),$EB264*Control!$C$148*(1-$KH264), 0)</f>
        <v>#N/A</v>
      </c>
      <c r="IN264" s="217" t="e">
        <f t="shared" ca="1" si="990"/>
        <v>#DIV/0!</v>
      </c>
      <c r="IO264" s="91" t="e">
        <f ca="1">MAX(0,$IL264-$EF264*Control!$C$160)</f>
        <v>#N/A</v>
      </c>
      <c r="IP264" s="220" t="e">
        <f t="shared" ca="1" si="991"/>
        <v>#N/A</v>
      </c>
      <c r="IQ264" s="217" t="e">
        <f t="shared" ca="1" si="1105"/>
        <v>#N/A</v>
      </c>
      <c r="IR264" s="218" t="e">
        <f t="shared" ca="1" si="992"/>
        <v>#N/A</v>
      </c>
      <c r="IS264" s="217" t="e">
        <f ca="1">Control!$C$159*MAX(0,$FD264-$EN264)</f>
        <v>#N/A</v>
      </c>
      <c r="IT264" s="217" t="e">
        <f t="shared" ref="IT264:IT327" ca="1" si="1142">$IT263+$IS264</f>
        <v>#N/A</v>
      </c>
      <c r="IU264" s="217" t="e">
        <f t="shared" ca="1" si="1106"/>
        <v>#N/A</v>
      </c>
      <c r="IV264" s="217" t="e">
        <f t="shared" ref="IV264:IV327" ca="1" si="1143">$IV263+$IU264</f>
        <v>#N/A</v>
      </c>
      <c r="IW264" s="217" t="e">
        <f ca="1">IF(OR($AW264=1,AND($AW264=0, Control!$B$18=1,$EN264&lt;&gt;0)), $IQ264-$IU264, $IQ264)</f>
        <v>#N/A</v>
      </c>
      <c r="IX264" s="218" t="e">
        <f t="shared" ca="1" si="993"/>
        <v>#N/A</v>
      </c>
      <c r="IY264" s="218" t="e">
        <f ca="1">MAX(0,$IQ264-$EB264*Control!$C$159)</f>
        <v>#N/A</v>
      </c>
      <c r="IZ264" s="218" t="e">
        <f t="shared" ca="1" si="994"/>
        <v>#N/A</v>
      </c>
      <c r="JA264" s="216" t="e">
        <f t="shared" ca="1" si="995"/>
        <v>#N/A</v>
      </c>
      <c r="JB264" s="217" t="e">
        <f t="shared" ca="1" si="996"/>
        <v>#N/A</v>
      </c>
      <c r="JC264" s="222" t="e">
        <f ca="1">MAX(Control!$C$157*$EK264-$JT264, 0)/Control!$C$162</f>
        <v>#N/A</v>
      </c>
      <c r="JD264" s="218" t="e">
        <f t="shared" ca="1" si="997"/>
        <v>#N/A</v>
      </c>
      <c r="JE264" s="218" t="e">
        <f t="shared" ca="1" si="998"/>
        <v>#N/A</v>
      </c>
      <c r="JF264" s="218" t="e">
        <f t="shared" ca="1" si="1107"/>
        <v>#N/A</v>
      </c>
      <c r="JG264" s="218" t="e">
        <f t="shared" ca="1" si="999"/>
        <v>#N/A</v>
      </c>
      <c r="JH264" s="217" t="e">
        <f t="shared" ca="1" si="1108"/>
        <v>#N/A</v>
      </c>
      <c r="JI264" s="217" t="e">
        <f t="shared" ca="1" si="1109"/>
        <v>#N/A</v>
      </c>
      <c r="JJ264" s="217" t="e">
        <f t="shared" ref="JJ264:JJ327" ca="1" si="1144">$JJ263+$JL263</f>
        <v>#N/A</v>
      </c>
      <c r="JK264" s="217" t="e">
        <f ca="1">IF(Control!$C$114=1,IF(Control!$B$24=0,MAX(0,$JI264)*$GN264/Control!$C$64,(MAX(0,MIN($JI264,$JJ264*$GN264/Control!$C$64),0))))</f>
        <v>#N/A</v>
      </c>
      <c r="JL264" s="217" t="e">
        <f ca="1">$IK264/Control!$C$64-$JK264+$HQ264</f>
        <v>#N/A</v>
      </c>
      <c r="JM264" s="217" t="e">
        <f ca="1">IF(Control!$C$114=1,($JB264/(IF($JI264&lt;&gt;0,$JI264,1)))*$JK264,0)</f>
        <v>#N/A</v>
      </c>
      <c r="JN264" s="217" t="e">
        <f ca="1">IF(Control!$C$114=1,($JG264/(IF($JI264&lt;&gt;0,$JI264,1)))*$JK264, 0)</f>
        <v>#N/A</v>
      </c>
      <c r="JO264" s="218" t="e">
        <f t="shared" ca="1" si="1000"/>
        <v>#N/A</v>
      </c>
      <c r="JP264" s="218" t="e">
        <f ca="1">MIN(($IY264+$IO264)*Control!$C$151, $JF264-$EH264*Control!$C$161)</f>
        <v>#N/A</v>
      </c>
      <c r="JQ264" s="218" t="e">
        <f t="shared" ca="1" si="1001"/>
        <v>#N/A</v>
      </c>
      <c r="JR264" s="217" t="e">
        <f ca="1">IF($CP264-Control!$C$150&lt;0, 0, $JQ264/Control!$C$162)</f>
        <v>#N/A</v>
      </c>
      <c r="JS264" s="218" t="e">
        <f t="shared" ca="1" si="1002"/>
        <v>#N/A</v>
      </c>
      <c r="JT264" s="218" t="e">
        <f t="shared" ca="1" si="1110"/>
        <v>#N/A</v>
      </c>
      <c r="JU264" s="218" t="e">
        <f t="shared" ca="1" si="1003"/>
        <v>#N/A</v>
      </c>
      <c r="JV264" s="218" t="e">
        <f t="shared" ca="1" si="1004"/>
        <v>#N/A</v>
      </c>
      <c r="JW264" s="216" t="e">
        <f t="shared" ca="1" si="1005"/>
        <v>#N/A</v>
      </c>
      <c r="JX264" s="91" t="e">
        <f t="shared" ca="1" si="1006"/>
        <v>#N/A</v>
      </c>
      <c r="JY264" s="218" t="e">
        <f t="shared" ca="1" si="1007"/>
        <v>#N/A</v>
      </c>
      <c r="JZ264" s="217" t="e">
        <f ca="1">IF(Control!$C$114=1,($IZ264/(IF($JI264&lt;&gt;0,$JI264,1)))*$JK264, 0)</f>
        <v>#N/A</v>
      </c>
      <c r="KA264" s="218" t="e">
        <f t="shared" ref="KA264:KA327" ca="1" si="1145">KA263+JK263</f>
        <v>#N/A</v>
      </c>
      <c r="KB264" s="218" t="e">
        <f t="shared" ca="1" si="1111"/>
        <v>#N/A</v>
      </c>
      <c r="KC264" s="218" t="e">
        <f t="shared" ca="1" si="1008"/>
        <v>#N/A</v>
      </c>
      <c r="KD264" s="218" t="e">
        <f t="shared" ca="1" si="1009"/>
        <v>#N/A</v>
      </c>
      <c r="KE264" s="218" t="e">
        <f t="shared" ca="1" si="1010"/>
        <v>#N/A</v>
      </c>
      <c r="KF264" s="218" t="e">
        <f t="shared" ca="1" si="1011"/>
        <v>#N/A</v>
      </c>
      <c r="KG264" s="216" t="e">
        <f t="shared" ca="1" si="1012"/>
        <v>#N/A</v>
      </c>
      <c r="KH264" s="221" t="e">
        <f ca="1">IF(Control!$B$24=0,1,MAX(0.001,MIN(1,IF(($IF264-$IE264)&lt;&gt;0,($KG264-$IE264)/($IF264-$IE264),1))))</f>
        <v>#N/A</v>
      </c>
      <c r="KI264" s="222" t="e">
        <f ca="1">IF(Control!$C$114=1, $KI263+ $KH263, 0)</f>
        <v>#N/A</v>
      </c>
      <c r="KJ264" s="217" t="e">
        <f t="shared" ca="1" si="1013"/>
        <v>#N/A</v>
      </c>
      <c r="KK264" s="218" t="e">
        <f t="shared" ca="1" si="1014"/>
        <v>#N/A</v>
      </c>
      <c r="KL264" s="274" t="e">
        <f ca="1">IF(Control!$B$26=3,4000000000*EXP(-8400/($G264+273)),IF(Control!$B$26=4,4000000000*EXP(-8400/($G264+273))*($KT264),0))</f>
        <v>#DIV/0!</v>
      </c>
      <c r="KM264" s="274" t="e">
        <f ca="1">IF(Control!$B$26=3,5600000000000*EXP(-9800/($G264+273)),IF(Control!$B$26=4,5600000000000*EXP(-9800/($G264+273))*$KT264,0))</f>
        <v>#DIV/0!</v>
      </c>
      <c r="KN264" s="454" t="e">
        <f t="shared" ca="1" si="1112"/>
        <v>#DIV/0!</v>
      </c>
      <c r="KO264" s="274" t="e">
        <f t="shared" ca="1" si="1113"/>
        <v>#DIV/0!</v>
      </c>
      <c r="KP264" s="454" t="e">
        <f t="shared" ca="1" si="1015"/>
        <v>#DIV/0!</v>
      </c>
      <c r="KQ264" s="454" t="e">
        <f t="shared" ca="1" si="1016"/>
        <v>#DIV/0!</v>
      </c>
      <c r="KR264" s="454" t="e">
        <f t="shared" ca="1" si="1017"/>
        <v>#DIV/0!</v>
      </c>
      <c r="KS264" s="454" t="e">
        <f t="shared" ca="1" si="1018"/>
        <v>#DIV/0!</v>
      </c>
      <c r="KT264" s="455" t="e">
        <f t="shared" ca="1" si="1019"/>
        <v>#DIV/0!</v>
      </c>
      <c r="KU264" s="456" t="e">
        <f ca="1">IF($CP264-Control!$C$149&lt;0, IF($NT264-0.01&lt;0,0,1),0)</f>
        <v>#N/A</v>
      </c>
      <c r="KV264" s="456" t="e">
        <f ca="1">IF(Control!$C$114=1,MAX(0,MIN(Control!$C$125*$KW264*$GN264,$KW264)))</f>
        <v>#DIV/0!</v>
      </c>
      <c r="KW264" s="456" t="e">
        <f t="shared" ref="KW264:KW327" ca="1" si="1146">KW263-KV263</f>
        <v>#DIV/0!</v>
      </c>
      <c r="KX264" s="457" t="e">
        <f ca="1">IF($CP264-Control!$C$149&lt;0, IF($MR264-$OM264&lt;0,0,1),0)</f>
        <v>#N/A</v>
      </c>
      <c r="KY264" s="167">
        <f t="shared" ca="1" si="1114"/>
        <v>260</v>
      </c>
      <c r="KZ264" s="168">
        <f ca="1">1370*(1+0.033*COS(2*Control!$C$138*$AH264/365))</f>
        <v>1359.3991042584039</v>
      </c>
      <c r="LA264" s="169">
        <f t="shared" ca="1" si="1115"/>
        <v>0.99226178414417643</v>
      </c>
      <c r="LB264" s="169">
        <f t="shared" ca="1" si="1116"/>
        <v>2.2850790490871208E-2</v>
      </c>
      <c r="LC264" s="169">
        <f ca="1">ACOS(-TAN((2*Control!$B$8/360))*TAN(Calculations!$LB264))</f>
        <v>1.577588887813745</v>
      </c>
      <c r="LD264" s="169">
        <f ca="1">((24*60)/PI())*0.082*$LA264*(($LC264*SIN(Control!$B$8*2*PI()/360))*SIN($LB264)+COS(Control!$B$8*2*PI()/360)*COS($LB264)*SIN($LC264))</f>
        <v>24.014039646842814</v>
      </c>
      <c r="LE264" s="170">
        <f t="shared" ca="1" si="1020"/>
        <v>24.209718159228508</v>
      </c>
      <c r="LF264" s="170">
        <f ca="1">SIN(Control!$C$139*Control!$B$8)*SIN($HD264)</f>
        <v>2.0225739779407687E-2</v>
      </c>
      <c r="LG264" s="170">
        <f ca="1">COS(Control!$C$139*Control!$B$8)*COS($HD264)</f>
        <v>0.61545697608013894</v>
      </c>
      <c r="LH264" s="170">
        <f ca="1">12*(1+2*ASIN(MAX(-1,MIN(1,$LF264/$LG264))/Control!$C$138))</f>
        <v>12.251058535324219</v>
      </c>
      <c r="LI264" s="170">
        <f ca="1">12*(1+2*ASIN(MAX(-1,MIN(1,(-SIN(-4*Control!$C$139)+$LF264)/$LG264))/Control!$C$138))</f>
        <v>13.117318535472357</v>
      </c>
      <c r="LJ264" s="168">
        <f ca="1">3600*($LH264*$LF264+24*$LG264*SQRT(1-$LK264*$LK264)/Control!$C$138)</f>
        <v>17809.132052088331</v>
      </c>
      <c r="LK264" s="170">
        <f t="shared" ca="1" si="1021"/>
        <v>3.2862962912900813E-2</v>
      </c>
      <c r="LL264" s="170">
        <f t="shared" ca="1" si="1022"/>
        <v>0</v>
      </c>
      <c r="LM264" s="171">
        <f ca="1">Control!$C$145*$AB264</f>
        <v>6.6660906138995932E-2</v>
      </c>
      <c r="LN264" s="170">
        <f t="shared" ca="1" si="1117"/>
        <v>0.54</v>
      </c>
      <c r="LO264" s="170">
        <f t="shared" ca="1" si="1023"/>
        <v>0</v>
      </c>
      <c r="LP264" s="170">
        <f ca="1">Control!$C$140*((($D264+273.16)^4+($E264+273.16)^4)/2)*(0.34-0.14*SQRT($Y264))*(1.35*$AQ264/(0.75*$LD264)-0.35)</f>
        <v>-3.2464704755046001</v>
      </c>
      <c r="LQ264" s="170">
        <f ca="1">Control!$C$140*($G264+273)^4*(0.56-0.079*SQRT($Y264*10))*(0.1+0.9*$LO264)</f>
        <v>1.5241745131704001</v>
      </c>
      <c r="LR264" s="170">
        <f ca="1">$AQ264*(1-Control!$C$142)-$LQ264</f>
        <v>-1.5241745131704001</v>
      </c>
      <c r="LS264" s="170">
        <f ca="1">$AQ264*(1-Control!$C$143)-$LQ264</f>
        <v>-1.5241745131704001</v>
      </c>
      <c r="LT264" s="170">
        <f ca="1">$AQ264*(1-Control!$C$144)-$LQ264</f>
        <v>-1.5241745131704001</v>
      </c>
      <c r="LU264" s="169">
        <f ca="1">(1-Control!$C$144)*AQ264-LP264</f>
        <v>3.2464704755046001</v>
      </c>
      <c r="LV264" s="172">
        <f t="shared" ca="1" si="1024"/>
        <v>0.79430000000000012</v>
      </c>
      <c r="LW264" s="170">
        <f t="shared" ca="1" si="1025"/>
        <v>1.5886000000000002</v>
      </c>
      <c r="LX264" s="170">
        <f ca="1">($AC264*($LR264/Control!$C$141)+$LM264*$LV264)/($AC264+$LM264)</f>
        <v>0.23530094218323697</v>
      </c>
      <c r="LY264" s="170">
        <f ca="1">($AC264*($LS264/Control!$C$141)+$LM264*$LV264)/($AC264+$LM264)</f>
        <v>0.23530094218323697</v>
      </c>
      <c r="LZ264" s="170">
        <f t="shared" ca="1" si="1026"/>
        <v>0.23530094218323697</v>
      </c>
      <c r="MA264" s="170">
        <f t="shared" ca="1" si="1027"/>
        <v>0.23530094218323697</v>
      </c>
      <c r="MB264" s="170" t="e">
        <f t="shared" ca="1" si="1028"/>
        <v>#N/A</v>
      </c>
      <c r="MC264" s="170">
        <f t="shared" ca="1" si="1118"/>
        <v>0.6018</v>
      </c>
      <c r="MD264" s="170">
        <f t="shared" ca="1" si="1029"/>
        <v>0.52989392535414004</v>
      </c>
      <c r="ME264" s="170">
        <f ca="1">($AC264*($LT264/Control!$C$141)+$LM264*$LW264)/($AC264+$LM264)</f>
        <v>0.71612369323045078</v>
      </c>
      <c r="MF264" s="170" t="e">
        <f ca="1">IF(Control!$B$16&gt;=1000,0.92,IF(AND(720&lt;=Control!$B$16,1000&gt;Control!$B$16),(0.95+(Control!$B$16-720)*((0.92-0.95)/(1000-720))),IF(AND(360&lt;=Control!$B$16,720&gt;Control!$B$16),(1+(Control!$B$16-360)*((0.95-1)/(720-360))),IF(AND(40&lt;=Control!$B$16,360&gt;Control!$B$16),(1.05+(Control!$B$16-40)*((1.05-1)/(360-40)))))))</f>
        <v>#N/A</v>
      </c>
      <c r="MG264" s="170">
        <f t="shared" ca="1" si="1030"/>
        <v>0.71612369323045078</v>
      </c>
      <c r="MH264" s="170" t="e">
        <f t="shared" ca="1" si="926"/>
        <v>#N/A</v>
      </c>
      <c r="MI264" s="170" t="e">
        <f t="shared" ca="1" si="926"/>
        <v>#N/A</v>
      </c>
      <c r="MJ264" s="170" t="e">
        <f ca="1">MAX(0.0001, Control!$C$132*$MI264*$DL264)</f>
        <v>#N/A</v>
      </c>
      <c r="MK264" s="170">
        <f ca="1">1/(0.76+1.5*($MG264/10))-(5-Control!$C$110)*0.1</f>
        <v>1.002845988140797</v>
      </c>
      <c r="ML264" s="173">
        <f ca="1">IF(Control!$C$110&lt;3,$MK264+($MG264-0.6)/(Control!$C$110*(Control!$C$110+3)), MAX(0.1, MIN(0.95,$MK264)))</f>
        <v>0.95</v>
      </c>
      <c r="MM264" s="173">
        <f ca="1">IF(Control!$C$110&lt;3,$MK264+(($MI264/10)-0.6)/(Control!$C$110*(Control!$C$110+3)), MAX(0.1, MIN(0.95,$MK264)))</f>
        <v>0.95</v>
      </c>
      <c r="MN264" s="173">
        <f ca="1">(1-$MM264)*(Control!$C$128-Control!$C$127)+Control!$C$127</f>
        <v>0.16</v>
      </c>
      <c r="MO264" s="170" t="e">
        <f ca="1">MAX(0,MIN(1,($MS264-Control!$C$127)/($MN264-Control!$C$127)))</f>
        <v>#DIV/0!</v>
      </c>
      <c r="MP264" s="173" t="e">
        <f ca="1">1/(0.76+1.5*$MI264)-(5-Control!$C$110)*0.1</f>
        <v>#N/A</v>
      </c>
      <c r="MQ264" s="172" t="e">
        <f t="shared" ref="MQ264:MQ327" ca="1" si="1147">$MQ263+$NL263</f>
        <v>#DIV/0!</v>
      </c>
      <c r="MR264" s="168" t="e">
        <f t="shared" ca="1" si="1119"/>
        <v>#DIV/0!</v>
      </c>
      <c r="MS264" s="173" t="e">
        <f ca="1">MAX(Control!$C$127, MIN(Control!$C$135, $MR264/MAX(0.0001,$CY264)))</f>
        <v>#DIV/0!</v>
      </c>
      <c r="MT264" s="168" t="e">
        <f ca="1">(Control!$C$128-$MS264)*Control!$C$74</f>
        <v>#DIV/0!</v>
      </c>
      <c r="MU264" s="168" t="e">
        <f ca="1">(Control!$C$135-$MS264)*Control!$C$74</f>
        <v>#DIV/0!</v>
      </c>
      <c r="MV264" s="168" t="e">
        <f t="shared" ca="1" si="1120"/>
        <v>#DIV/0!</v>
      </c>
      <c r="MW264" s="168" t="e">
        <f t="shared" ca="1" si="1121"/>
        <v>#DIV/0!</v>
      </c>
      <c r="MX264" s="171" t="e">
        <f ca="1">MAX(Control!$C$127, MIN(Control!$C$135, $MW264/MAX(0.0001,Control!$C$119-$CY264)))</f>
        <v>#DIV/0!</v>
      </c>
      <c r="MY264" s="54" t="e">
        <f ca="1">IF(Control!$C$114=1, $CX264*$MX264, 0)</f>
        <v>#DIV/0!</v>
      </c>
      <c r="MZ264" s="54" t="e">
        <f t="shared" ca="1" si="1122"/>
        <v>#N/A</v>
      </c>
      <c r="NA264" s="168" t="e">
        <f ca="1">(Control!$C$128-$MX264)*(Control!$C$119-Control!$C$74)</f>
        <v>#DIV/0!</v>
      </c>
      <c r="NB264" s="168" t="e">
        <f ca="1">(Control!$C$135-$MX264)*(Control!$C$119-Control!$C$74)</f>
        <v>#DIV/0!</v>
      </c>
      <c r="NC264" s="174" t="e">
        <f t="shared" ca="1" si="1123"/>
        <v>#DIV/0!</v>
      </c>
      <c r="ND264" s="54">
        <f ca="1">IF(Control!$C$58=2, IF(OR(Control!$B$218=$AH264,Control!$B$219=$AH264, Control!$B$220=$AH264, Control!$B$221=$AH264, Control!$B$222=$AH264, Control!$B$223=$AH264, Control!$B$224=$AH264, Control!$B$225=$AH264, Control!$B$226=$AH264, Control!$B$227=$AH264, Control!$B$228=$AH264), 1, 0), 0)</f>
        <v>0</v>
      </c>
      <c r="NE264" s="54">
        <f ca="1">IF($ND264=0,0, VLOOKUP($AH264,Control!$B$218:$C$228,2))</f>
        <v>0</v>
      </c>
      <c r="NF264" s="168" t="e">
        <f ca="1">$CY264*(Control!$C$128-Control!$C$127)</f>
        <v>#N/A</v>
      </c>
      <c r="NG264" s="54" t="e">
        <f ca="1">IF(Control!$C$58=2, $NI263-$NJ263, 0)</f>
        <v>#DIV/0!</v>
      </c>
      <c r="NH264" s="54" t="e">
        <f ca="1">IF(AND(Control!$C$58=1, $MS263&lt;= ($MN263+0.02), $I263&lt;10), 0, IF(Control!$C$58=2, $NG263, 0))</f>
        <v>#DIV/0!</v>
      </c>
      <c r="NI264" s="54" t="e">
        <f ca="1">IF(Control!$C$58=2, $NE264+$NH264,0)</f>
        <v>#DIV/0!</v>
      </c>
      <c r="NJ264" s="54" t="e">
        <f ca="1">IF(AND(Control!$C$58=1, $MS264&lt;= ($MN264+0.02), $I264&lt;10), MAX(0, MIN(10, 0.7*($NF264-$MV264))), IF(Control!$C$58=2, MIN(10,$NI264),0))</f>
        <v>#DIV/0!</v>
      </c>
      <c r="NK264" s="54" t="e">
        <f t="shared" ca="1" si="1031"/>
        <v>#DIV/0!</v>
      </c>
      <c r="NL264" s="173" t="e">
        <f ca="1">(1-Control!$C$73)*$I264+$NJ264</f>
        <v>#DIV/0!</v>
      </c>
      <c r="NM264" s="172" t="e">
        <f ca="1">IF($NL264&lt;0.5, $MB264* MAX(0, MIN(1, (SQRT($NC264)-SQRT($NC264-1))*Control!$C$71)),0)</f>
        <v>#DIV/0!</v>
      </c>
      <c r="NN264" s="170" t="e">
        <f ca="1">IF($NL264&gt;=5, $MB264, MAX(0,MIN($MB264, $NM264+$NL264,($MS264-Control!$C$129))))</f>
        <v>#DIV/0!</v>
      </c>
      <c r="NO264" s="54">
        <f>IF(Control!$C$133&lt;&gt;1, Control!$C$135-Control!$C$131, 0)</f>
        <v>0.38</v>
      </c>
      <c r="NP264" s="54" t="e">
        <f t="shared" ca="1" si="1032"/>
        <v>#DIV/0!</v>
      </c>
      <c r="NQ264" s="173" t="e">
        <f ca="1">MAX(0,MIN(1,(Control!$C$135-$MS264)/(Control!$C$135-$NO264)))</f>
        <v>#DIV/0!</v>
      </c>
      <c r="NR264" s="170" t="e">
        <f ca="1">IF(Control!$C$133&lt;&gt;1, $NQ264+((1-$NP264/4)*(1-$NQ264)),1)</f>
        <v>#DIV/0!</v>
      </c>
      <c r="NS264" s="170" t="e">
        <f ca="1">IF(Control!$B$31=0,$MJ264,MAX(0,MIN($MV264,$MO264*$NR264*$MJ264)))</f>
        <v>#DIV/0!</v>
      </c>
      <c r="NT264" s="170" t="e">
        <f t="shared" ref="NT264:NT327" ca="1" si="1148">$NS264/$MJ264</f>
        <v>#DIV/0!</v>
      </c>
      <c r="NU264" s="170" t="e">
        <f t="shared" ca="1" si="1124"/>
        <v>#N/A</v>
      </c>
      <c r="NV264" s="170" t="e">
        <f t="shared" ca="1" si="1033"/>
        <v>#N/A</v>
      </c>
      <c r="NW264" s="175" t="e">
        <f t="shared" ca="1" si="1034"/>
        <v>#DIV/0!</v>
      </c>
      <c r="NX264" s="170" t="e">
        <f ca="1">MIN(Control!$C$72+$MU264, $NW264)</f>
        <v>#DIV/0!</v>
      </c>
      <c r="NY264" s="170" t="e">
        <f ca="1">IF($MT264&lt;=$NX264,MIN(Control!$C$72+$NB264,$NX264-$MT264),0)</f>
        <v>#DIV/0!</v>
      </c>
      <c r="NZ264" s="54" t="e">
        <f ca="1">IF(Control!$C$114=1,  $CX264*($MX264-Control!$C$127), 0)</f>
        <v>#DIV/0!</v>
      </c>
      <c r="OA264" s="170" t="e">
        <f t="shared" ca="1" si="1035"/>
        <v>#DIV/0!</v>
      </c>
      <c r="OB264" s="170" t="e">
        <f ca="1">IF($NA264 &lt;=$NY264, MIN(Control!$C$72, $NY264-$NA264), 0)</f>
        <v>#DIV/0!</v>
      </c>
      <c r="OC264" s="168" t="e">
        <f t="shared" ca="1" si="1036"/>
        <v>#DIV/0!</v>
      </c>
      <c r="OD264" s="168" t="e">
        <f t="shared" ca="1" si="1125"/>
        <v>#DIV/0!</v>
      </c>
      <c r="OE264" s="170">
        <f ca="1">Control!$C$73*$I264</f>
        <v>0</v>
      </c>
      <c r="OF264" s="176" t="e">
        <f t="shared" ca="1" si="1037"/>
        <v>#DIV/0!</v>
      </c>
      <c r="OG264" s="168" t="e">
        <f t="shared" ca="1" si="1038"/>
        <v>#DIV/0!</v>
      </c>
      <c r="OH264" s="168" t="e">
        <f t="shared" ca="1" si="1039"/>
        <v>#DIV/0!</v>
      </c>
      <c r="OI264" s="168" t="e">
        <f t="shared" ca="1" si="1040"/>
        <v>#DIV/0!</v>
      </c>
      <c r="OJ264" s="168" t="e">
        <f t="shared" ca="1" si="1041"/>
        <v>#DIV/0!</v>
      </c>
      <c r="OK264" s="204" t="e">
        <f t="shared" ca="1" si="1042"/>
        <v>#DIV/0!</v>
      </c>
      <c r="OL264" s="177">
        <f>Control!$C$127</f>
        <v>0.15</v>
      </c>
      <c r="OM264" s="182" t="e">
        <f t="shared" ca="1" si="1043"/>
        <v>#N/A</v>
      </c>
      <c r="ON264" s="177">
        <f>Control!$C$128</f>
        <v>0.35</v>
      </c>
      <c r="OO264" s="182" t="e">
        <f t="shared" ca="1" si="1044"/>
        <v>#N/A</v>
      </c>
      <c r="OP264" s="138">
        <f t="shared" ca="1" si="1126"/>
        <v>0</v>
      </c>
      <c r="OQ264" s="138" t="e">
        <f t="shared" ref="OQ264:OQ327" ca="1" si="1149">$OQ263+$NJ263</f>
        <v>#DIV/0!</v>
      </c>
      <c r="OR264" s="138" t="e">
        <f t="shared" ca="1" si="1127"/>
        <v>#DIV/0!</v>
      </c>
      <c r="OS264" s="137" t="e">
        <f t="shared" ref="OS264:OS327" ca="1" si="1150">$OS263+$OF263</f>
        <v>#DIV/0!</v>
      </c>
      <c r="OT264" s="139" t="e">
        <f t="shared" ref="OT264:OT327" ca="1" si="1151">$OT263+$OB263</f>
        <v>#DIV/0!</v>
      </c>
      <c r="OU264" s="138" t="e">
        <f t="shared" ref="OU264:OU327" ca="1" si="1152">$OU263+$NS263</f>
        <v>#N/A</v>
      </c>
      <c r="OV264" s="138" t="e">
        <f t="shared" ref="OV264:OV327" ca="1" si="1153">$OV263+$NN263</f>
        <v>#DIV/0!</v>
      </c>
      <c r="OW264" s="138" t="e">
        <f t="shared" ca="1" si="1128"/>
        <v>#DIV/0!</v>
      </c>
      <c r="OX264" s="138" t="e">
        <f t="shared" ca="1" si="1129"/>
        <v>#DIV/0!</v>
      </c>
      <c r="OY264" s="138" t="e">
        <f t="shared" ca="1" si="1130"/>
        <v>#DIV/0!</v>
      </c>
      <c r="OZ264" s="138" t="e">
        <f t="shared" ca="1" si="1045"/>
        <v>#DIV/0!</v>
      </c>
      <c r="PA264" s="138" t="e">
        <f t="shared" ca="1" si="1046"/>
        <v>#DIV/0!</v>
      </c>
      <c r="PB264" s="55">
        <f>IF(Control!$C$61="T", IF(Control!$C$65="F", IF($AH$6-Control!$C$60&lt;0,0,1), IF(365+$AH$6-Control!$C$60&lt;0,0,1)),0)</f>
        <v>0</v>
      </c>
      <c r="PC264" s="55">
        <f ca="1">IF(Control!$C$65="F", IF($AH$6-$HF264&lt;0,0,1), IF(365+$AH$6-$HF264&lt;0,0,1))</f>
        <v>1</v>
      </c>
      <c r="PD264" s="444">
        <f>Control!$C$118</f>
        <v>1500</v>
      </c>
      <c r="PE264" s="180" t="e">
        <f t="shared" ca="1" si="1047"/>
        <v>#N/A</v>
      </c>
      <c r="PF264" s="445">
        <f t="shared" ca="1" si="1131"/>
        <v>0.71612369323045078</v>
      </c>
      <c r="PT264" s="186"/>
      <c r="PU264" s="186"/>
      <c r="PV264" s="94"/>
      <c r="PW264" s="94"/>
      <c r="PX264" s="94"/>
      <c r="PY264" s="94"/>
      <c r="PZ264" s="94"/>
      <c r="QA264" s="94"/>
      <c r="QB264" s="94"/>
      <c r="QC264" s="94"/>
      <c r="QD264" s="94"/>
      <c r="QE264" s="94"/>
      <c r="QF264" s="94"/>
      <c r="QG264" s="94"/>
      <c r="QH264" s="94"/>
      <c r="QI264" s="94"/>
      <c r="QJ264" s="94"/>
      <c r="QK264" s="94"/>
      <c r="QL264" s="94"/>
      <c r="QM264" s="94"/>
      <c r="QN264" s="94"/>
      <c r="QO264" s="94"/>
      <c r="QP264" s="94"/>
    </row>
    <row r="265" spans="1:458" s="2" customFormat="1" x14ac:dyDescent="0.2">
      <c r="A265" s="395">
        <v>17</v>
      </c>
      <c r="B265" s="396">
        <v>9</v>
      </c>
      <c r="C265" s="387">
        <f ca="1">Weather_data!$B264</f>
        <v>0</v>
      </c>
      <c r="D265" s="388">
        <f ca="1">Weather_data!$F264</f>
        <v>0</v>
      </c>
      <c r="E265" s="388">
        <f ca="1">Weather_data!$E264</f>
        <v>0</v>
      </c>
      <c r="F265" s="388">
        <f t="shared" ca="1" si="1048"/>
        <v>0</v>
      </c>
      <c r="G265" s="388">
        <f ca="1">AVERAGE($D265:$E265)+Control!$B$9</f>
        <v>0</v>
      </c>
      <c r="H265" s="388">
        <f ca="1">Weather_data!$G264</f>
        <v>0</v>
      </c>
      <c r="I265" s="388">
        <f ca="1">Weather_data!$I264</f>
        <v>0</v>
      </c>
      <c r="J265" s="388">
        <f ca="1">Weather_data!$H264</f>
        <v>0</v>
      </c>
      <c r="K265" s="389">
        <f ca="1">Weather_data!$D264</f>
        <v>0</v>
      </c>
      <c r="L265" s="388" t="e">
        <f t="shared" ca="1" si="1049"/>
        <v>#N/A</v>
      </c>
      <c r="M265" s="388" t="e">
        <f t="shared" ca="1" si="927"/>
        <v>#N/A</v>
      </c>
      <c r="N265" s="388">
        <f t="shared" ca="1" si="928"/>
        <v>-7.0433610138693064E-13</v>
      </c>
      <c r="O265" s="388">
        <f t="shared" ca="1" si="1050"/>
        <v>7.0433610138693064E-12</v>
      </c>
      <c r="P265" s="390">
        <v>3</v>
      </c>
      <c r="Q265" s="388">
        <f ca="1">MAX($G265-Control!$C$107,0)</f>
        <v>0</v>
      </c>
      <c r="R265" s="388">
        <f t="shared" ca="1" si="1051"/>
        <v>0</v>
      </c>
      <c r="S265" s="388">
        <f t="shared" ca="1" si="929"/>
        <v>0</v>
      </c>
      <c r="T265" s="388">
        <f t="shared" ca="1" si="930"/>
        <v>0</v>
      </c>
      <c r="U265" s="59">
        <f t="shared" ca="1" si="931"/>
        <v>0</v>
      </c>
      <c r="V265" s="391">
        <f ca="1">MAX(0,MIN(Control!$C$100-Control!$C$99,$G265-Control!$C$99)*Control!$C$63)</f>
        <v>0</v>
      </c>
      <c r="W265" s="388">
        <f t="shared" ca="1" si="1052"/>
        <v>0</v>
      </c>
      <c r="X265" s="388">
        <f t="shared" ca="1" si="1053"/>
        <v>0.6110000000000001</v>
      </c>
      <c r="Y265" s="388">
        <f t="shared" ca="1" si="932"/>
        <v>0</v>
      </c>
      <c r="Z265" s="388">
        <f t="shared" ca="1" si="1054"/>
        <v>0.61058800000000002</v>
      </c>
      <c r="AA265" s="388">
        <f t="shared" ca="1" si="933"/>
        <v>0.6018</v>
      </c>
      <c r="AB265" s="388">
        <f ca="1">101.3*EXP(-0.034*Control!$C$66/($G265+273))</f>
        <v>100.69623283836242</v>
      </c>
      <c r="AC265" s="392">
        <f t="shared" ca="1" si="934"/>
        <v>4.3460251046025113E-2</v>
      </c>
      <c r="AD265" s="392">
        <f t="shared" ca="1" si="935"/>
        <v>4.4450382862832649E-2</v>
      </c>
      <c r="AE265" s="388">
        <f t="shared" ca="1" si="936"/>
        <v>0</v>
      </c>
      <c r="AF265" s="388">
        <f ca="1">MAX(0,$G265-Control!$C$92)</f>
        <v>0</v>
      </c>
      <c r="AG265" s="393">
        <f t="shared" ca="1" si="937"/>
        <v>261</v>
      </c>
      <c r="AH265" s="389">
        <f t="shared" ca="1" si="938"/>
        <v>261</v>
      </c>
      <c r="AI265" s="388">
        <f t="shared" ca="1" si="1055"/>
        <v>1.8828299362643276E-2</v>
      </c>
      <c r="AJ265" s="388">
        <f ca="1">IF(Control!$C$60&lt;=0,$HH265,$HI265)</f>
        <v>1</v>
      </c>
      <c r="AK265" s="388">
        <f t="shared" ca="1" si="939"/>
        <v>3.1157713441082331</v>
      </c>
      <c r="AL265" s="388">
        <f t="shared" ca="1" si="940"/>
        <v>-1.3885724167717052E-17</v>
      </c>
      <c r="AM265" s="388">
        <f t="shared" ca="1" si="941"/>
        <v>3.1157713441082331</v>
      </c>
      <c r="AN265" s="388">
        <f t="shared" ca="1" si="942"/>
        <v>1.0270756095725022E-2</v>
      </c>
      <c r="AO265" s="388">
        <f ca="1">-0.10453/COS(Control!$B$8*PI()/180)*COS(AN265)</f>
        <v>-0.16977590913958443</v>
      </c>
      <c r="AP265" s="388">
        <f ca="1">ACOS(AO265-TAN(Control!$B$8*PI()/180)*TAN(AN265))</f>
        <v>1.7547544543982234</v>
      </c>
      <c r="AQ265" s="388">
        <f t="shared" ca="1" si="1056"/>
        <v>0</v>
      </c>
      <c r="AR265" s="394">
        <f t="shared" ca="1" si="943"/>
        <v>0</v>
      </c>
      <c r="AS265" s="436">
        <f ca="1">IF(Control!$B$18=2,(IF(OR($AH265=Control!$B$175,$AH265=Control!$B$176,$AH265=Control!$B$177,$AH265=Control!$B$178,$AH265=Control!$B$179,$AH265=Control!$B$180,$AH265=Control!$B$181,$AH265=Control!$B$182,$AH265=Control!$B$183,$AH265=Control!$B$184,$AH265=Control!$B$185),1,0)),0)</f>
        <v>0</v>
      </c>
      <c r="AT265" s="436">
        <f>IF(Control!$B$20=8,IF(AND($AH265&gt;=Control!$B$172,$AH265&lt;=Control!$B$173),1,0),0)</f>
        <v>0</v>
      </c>
      <c r="AU265" s="436">
        <f>IF(Control!$B$20=8,IF($AV264=1,1*$AT265,IF($AT265=1,$AU264+1,$AU264)),0)</f>
        <v>0</v>
      </c>
      <c r="AV265" s="436">
        <f>IF(Control!$B$20=8,IF($AU265&gt;=Control!$B$174,1,0),0)</f>
        <v>0</v>
      </c>
      <c r="AW265" s="436">
        <f ca="1">IF(AND(Control!$B$18=2,Control!$B$171=1), $AV265, $AS265)</f>
        <v>0</v>
      </c>
      <c r="AX265" s="436" t="e">
        <f ca="1">IF(AND(Control!$B$18=1,$EU265&gt;=Control!$B$19),-$AY265,IF(AND(Control!$B$18=2,$AW265=1,$EU265&gt;$DS265),-$AY265, IF(Control!$C$108=0,0, IF(Control!$C$108&lt;&gt;0,1))))</f>
        <v>#N/A</v>
      </c>
      <c r="AY265" s="436" t="e">
        <f t="shared" ca="1" si="1057"/>
        <v>#N/A</v>
      </c>
      <c r="AZ265" s="436" t="e">
        <f ca="1">IF(AND(Control!$B$18=1,$EB265&gt;Control!$B$19),$AZ264+1, IF(AND(Control!$B$18=2, $AW265=1, $EB265&gt;$DS265), $AZ264+1,$AZ264))</f>
        <v>#N/A</v>
      </c>
      <c r="BA265" s="587">
        <f>IF(Control!$C$81=0,1,IF($AH265&gt;=Control!$C$82,1,0))</f>
        <v>1</v>
      </c>
      <c r="BB265" s="140" t="e">
        <f ca="1">IF($BA265&gt;$BA264,Control!$C$83,IF($AW265&gt;0,$AW265*Control!$C$84,IF(AND(Control!$B$18=1,EN264&lt;&gt;0),Control!$C$84,0)))</f>
        <v>#N/A</v>
      </c>
      <c r="BC265" s="140" t="e">
        <f t="shared" ca="1" si="1058"/>
        <v>#N/A</v>
      </c>
      <c r="BD265" s="140" t="e">
        <f ca="1">BC265*IF(OR($G265&lt;Control!$C$92,$G265&gt;Control!$C$95),0,IF(AND($G265&gt;=Control!$C$92,$G265&lt;=Control!$C$93),$G265-Control!$C$92,IF(AND($G265&gt;Control!$C$93,$G265&lt;=Control!$C$94),Control!$C$93-Control!$C$92,IF(AND($G265&gt;Control!$C$94,$G265&lt;=Control!$C$95),(Control!$C$93-Control!$C$92)*(Control!$C$94-$G265)/(Control!$C$95-Control!$C$94)))))</f>
        <v>#N/A</v>
      </c>
      <c r="BE265" s="140" t="e">
        <f t="shared" ca="1" si="1059"/>
        <v>#N/A</v>
      </c>
      <c r="BF265" s="140" t="e">
        <f ca="1">IF($BE265&lt;=Control!$C$86,$BE265,Control!$C$86-$BE265)</f>
        <v>#N/A</v>
      </c>
      <c r="BG265" s="140" t="e">
        <f ca="1">IF(AND($AW265=1,Control!$C$84&lt;9),1,IF($BE265&gt;=Control!$C$86,0,$BC265))</f>
        <v>#N/A</v>
      </c>
      <c r="BH265" s="404" t="e">
        <f ca="1">IF($BG265=0,0,IF($BE265&lt;=Control!$C$86,$BC265*9*($BF265/Control!$C$86),0))</f>
        <v>#N/A</v>
      </c>
      <c r="BI265" s="140" t="e">
        <f ca="1">IF($BG265=1,0,IF($BE265&gt;=Control!$C$86,1,IF(AND($BB265&lt;21,$BB265&gt;=9),1,$BM264)))</f>
        <v>#N/A</v>
      </c>
      <c r="BJ265" s="140" t="e">
        <f ca="1">IF($BF265&lt;0,-$BF265,$BI265*IF(OR($G265&lt;Control!$C$92,$G265&gt;Control!$C$95),0,IF(AND($G265&gt;=Control!$C$92,$G265&lt;=Control!$C$93),$G265-Control!$C$92,IF(AND($G265&gt;Control!$C$93,$G265&lt;=Control!$C$94),Control!$C$93-Control!$C$92,IF(AND($G265&gt;Control!$C$94,$G265&lt;=Control!$C$95),(Control!$C$93-Control!$C$92)*(Control!$C$94-$G265)/(Control!$C$95-Control!$C$94))))))</f>
        <v>#N/A</v>
      </c>
      <c r="BK265" s="140" t="e">
        <f t="shared" ca="1" si="1060"/>
        <v>#N/A</v>
      </c>
      <c r="BL265" s="140" t="e">
        <f ca="1">IF($BK265&lt;=Control!$C$87,$BK265,Control!$C$87-$BK265)</f>
        <v>#N/A</v>
      </c>
      <c r="BM265" s="140" t="e">
        <f ca="1">IF(AND($BB265&gt;=9,$BB265&lt;21),1,IF($BK265&gt;=Control!$C$87,0,$BI265))</f>
        <v>#N/A</v>
      </c>
      <c r="BN265" s="404" t="e">
        <f ca="1">IF($BM265=0,0,IF($BK265&lt;=Control!$C$87,$BI265*(9+(21-9)*($BL265/Control!$C$87)),0))</f>
        <v>#N/A</v>
      </c>
      <c r="BO265" s="140" t="e">
        <f ca="1">IF($BM265=1,0,IF($BK265&gt;=Control!$C$87,1,IF(AND($BB265&lt;30,$BB265&gt;=21),1,$BS264)))</f>
        <v>#N/A</v>
      </c>
      <c r="BP265" s="140" t="e">
        <f ca="1">IF($BL265&lt;0,-$BL265,$BO265*IF(OR($G265&lt;Control!$C$92,$G265&gt;Control!$C$95),0,IF(AND($G265&gt;=Control!$C$92,$G265&lt;=Control!$C$93),$G265-Control!$C$92,IF(AND($G265&gt;Control!$C$93,$G265&lt;=Control!$C$94),Control!$C$93-Control!$C$92,IF(AND($G265&gt;Control!$C$94,$G265&lt;=Control!$C$95),(Control!$C$93-Control!$C$92)*(Control!$C$94-$G265)/(Control!$C$95-Control!$C$94))))))</f>
        <v>#N/A</v>
      </c>
      <c r="BQ265" s="140" t="e">
        <f t="shared" ca="1" si="944"/>
        <v>#N/A</v>
      </c>
      <c r="BR265" s="140" t="e">
        <f ca="1">IF($BQ265&lt;=Control!$C$88,$BQ265,Control!$C$88-$BQ265)</f>
        <v>#N/A</v>
      </c>
      <c r="BS265" s="140" t="e">
        <f ca="1">IF(AND($BB265&gt;=21,$BB265&lt;30),1,IF($BQ265&gt;=Control!$C$88,0,$BO265))</f>
        <v>#N/A</v>
      </c>
      <c r="BT265" s="404" t="e">
        <f ca="1">IF($BS265=0,0,IF($BQ265&lt;=Control!$C$88,$BO265*(21+(30-21)*(BR265/Control!$C$88)),0))</f>
        <v>#N/A</v>
      </c>
      <c r="BU265" s="140" t="e">
        <f ca="1">IF(BG265+BM265+BS265=1,0,IF(OR(AND($BB265&lt;60,$BB265&gt;=30),$BQ265&gt;=Control!$C$88),1*$BA265,$BY264))</f>
        <v>#N/A</v>
      </c>
      <c r="BV265" s="140" t="e">
        <f ca="1">IF($BR265&lt;0,-$BR265,$BU265*IF(OR($G265&lt;Control!$C$92,$G265&gt;Control!$C$95),0,IF(AND($G265&gt;=Control!$C$92,$G265&lt;=Control!$C$93),$G265-Control!$C$92,IF(AND($G265&gt;Control!$C$93,$G265&lt;=Control!$C$94),Control!$C$93-Control!$C$92,IF(AND($G265&gt;Control!$C$94,$G265&lt;=Control!$C$95),(Control!$C$93-Control!$C$92)*(Control!$C$94-$G265)/(Control!$C$95-Control!$C$94))))))</f>
        <v>#N/A</v>
      </c>
      <c r="BW265" s="140" t="e">
        <f t="shared" ca="1" si="945"/>
        <v>#N/A</v>
      </c>
      <c r="BX265" s="140" t="e">
        <f ca="1">IF($BW265&lt;=Control!$C$89,$BW265,Control!$C$89-$BW265)</f>
        <v>#N/A</v>
      </c>
      <c r="BY265" s="140" t="e">
        <f ca="1">IF(AND($AJ265&gt;=30,$AJ265&lt;60),1,IF($BW265&gt;=Control!$C$89,0,$BU265))</f>
        <v>#N/A</v>
      </c>
      <c r="BZ265" s="404" t="e">
        <f ca="1">IF($BY265=0,0,IF($BW265&lt;=Control!$C$89,$BU265*(30+(60-30)*(BX265/Control!$C$89)),0))</f>
        <v>#N/A</v>
      </c>
      <c r="CA265" s="140" t="e">
        <f ca="1">IF($BG265+$BM265+$BS265+$BY265=1,0,IF(OR(AND($BB265&lt;65,$BB265&gt;=60),$BW265&gt;=Control!$C$89),1*$BA265,$CE264))</f>
        <v>#N/A</v>
      </c>
      <c r="CB265" s="140" t="e">
        <f ca="1">IF($BX265&lt;0,-$BX265,$CA265*IF(OR($G265&lt;Control!$C$92,$G265&gt;Control!$C$95),0,IF(AND($G265&gt;=Control!$C$92,$G265&lt;=Control!$C$93),$G265-Control!$C$92,IF(AND($G265&gt;Control!$C$93,$G265&lt;=Control!$C$94),Control!$C$93-Control!$C$92,IF(AND($G265&gt;Control!$C$94,$G265&lt;=Control!$C$95),(Control!$C$93-Control!$C$92)*(Control!$C$94-$G265)/(Control!$C$95-Control!$C$94))))))</f>
        <v>#N/A</v>
      </c>
      <c r="CC265" s="140" t="e">
        <f t="shared" ca="1" si="1061"/>
        <v>#N/A</v>
      </c>
      <c r="CD265" s="140" t="e">
        <f ca="1">IF($CC265&lt;=Control!$C$90,$CC265,Control!$C$90-$CC265)</f>
        <v>#N/A</v>
      </c>
      <c r="CE265" s="140" t="e">
        <f ca="1">IF(AND($BB265&gt;=60,$BB265&lt;65),1,IF($CC265&gt;=Control!$C$90,0,$CA265))</f>
        <v>#N/A</v>
      </c>
      <c r="CF265" s="404" t="e">
        <f ca="1">IF($CE265=0,0,IF($CC265&lt;=Control!$C$90,$CA265*(60+(65-60)*(CD265/Control!$C$90)),0))</f>
        <v>#N/A</v>
      </c>
      <c r="CG265" s="140" t="e">
        <f ca="1">IF($BG265+$BM265+$BS265+$BY265+$CE265=1,0,IF(OR(AND($BB265&lt;90,$BB265&gt;=65),$CC265&gt;=Control!$C$90),$BA265,$CK264))</f>
        <v>#N/A</v>
      </c>
      <c r="CH265" s="140" t="e">
        <f ca="1">IF($CD265&lt;0,-$CD265,$CG265*IF(OR($G265&lt;Control!$C$92,$G265&gt;Control!$C$95),0,IF(AND($G265&gt;=Control!$C$92,$G265&lt;=Control!$C$93),$G265-Control!$C$92,IF(AND($G265&gt;Control!$C$93,$G265&lt;=Control!$C$94),Control!$C$93-Control!$C$92,IF(AND($G265&gt;Control!$C$94,$G265&lt;=Control!$C$95),(Control!$C$93-Control!$C$92)*(Control!$C$94-$G265)/(Control!$C$95-Control!$C$94))))))</f>
        <v>#N/A</v>
      </c>
      <c r="CI265" s="140" t="e">
        <f t="shared" ca="1" si="1062"/>
        <v>#N/A</v>
      </c>
      <c r="CJ265" s="140" t="e">
        <f ca="1">IF($CI265&lt;=Control!$C$91,$CI265,Control!$C$91-$CI265)</f>
        <v>#N/A</v>
      </c>
      <c r="CK265" s="140" t="e">
        <f ca="1">IF(AND($BB265&gt;=65,$BB265&lt;90),1,IF($CI265&gt;=Control!$C$91,0,$CG265))</f>
        <v>#N/A</v>
      </c>
      <c r="CL265" s="404" t="e">
        <f ca="1">IF($CK265=0,0,IF($CI265&lt;=Control!$C$91,$CG265*(65+(90-65)*($CJ265/Control!$C$91)),0))</f>
        <v>#N/A</v>
      </c>
      <c r="CM265" s="140" t="e">
        <f ca="1">IF($BG265+$BM265+$BS265+$BY265+$CE265+$CK265=1,0,IF(OR($BB265&gt;=90,$CI265&gt;=Control!$C$91),$BA265,$CM264))</f>
        <v>#N/A</v>
      </c>
      <c r="CN265" s="140" t="e">
        <f t="shared" ca="1" si="1063"/>
        <v>#N/A</v>
      </c>
      <c r="CO265" s="140" t="e">
        <f t="shared" ca="1" si="1064"/>
        <v>#N/A</v>
      </c>
      <c r="CP265" s="140" t="e">
        <f t="shared" ca="1" si="1065"/>
        <v>#N/A</v>
      </c>
      <c r="CQ265" s="141" t="e">
        <f ca="1">VLOOKUP($CP265,Control!$B$86:$G$91,6)</f>
        <v>#N/A</v>
      </c>
      <c r="CR265" s="141" t="e">
        <f ca="1">(1-$CQ265)*VLOOKUP($CP265,Control!$B$86:$D$91,3)</f>
        <v>#N/A</v>
      </c>
      <c r="CS265" s="141" t="e">
        <f ca="1">(1-$CQ265)*VLOOKUP($CP265,Control!$B$86:$E$91,4)</f>
        <v>#N/A</v>
      </c>
      <c r="CT265" s="141" t="e">
        <f ca="1">(1-$CQ265)*VLOOKUP($CP265,Control!$B$86:$F$91,5)</f>
        <v>#N/A</v>
      </c>
      <c r="CU265" s="141">
        <f t="shared" ca="1" si="1066"/>
        <v>0</v>
      </c>
      <c r="CV265" s="583">
        <f t="shared" ca="1" si="1067"/>
        <v>0</v>
      </c>
      <c r="CW265" s="142">
        <f t="shared" ca="1" si="1068"/>
        <v>261</v>
      </c>
      <c r="CX265" s="612" t="e">
        <f ca="1">IF(Control!$C$114=1,(MIN(Control!$C$120*(IF($NT265-0.01&lt;0,0,1)),Control!$C$119-$CY265)))</f>
        <v>#DIV/0!</v>
      </c>
      <c r="CY265" s="143" t="e">
        <f t="shared" ca="1" si="1069"/>
        <v>#N/A</v>
      </c>
      <c r="CZ265" s="144">
        <f t="shared" ca="1" si="946"/>
        <v>0</v>
      </c>
      <c r="DA265" s="144">
        <f t="shared" ca="1" si="947"/>
        <v>0</v>
      </c>
      <c r="DB265" s="144" t="e">
        <f t="shared" ca="1" si="948"/>
        <v>#N/A</v>
      </c>
      <c r="DC265" s="144" t="e">
        <f t="shared" ca="1" si="949"/>
        <v>#N/A</v>
      </c>
      <c r="DD265" s="144" t="e">
        <f t="shared" ref="DD265:DD328" ca="1" si="1154">IF($DE264&lt;14000,(($DC264-$DX264)*$DA264*$DE264),(-$DX264*$DA264*$DE264))</f>
        <v>#N/A</v>
      </c>
      <c r="DE265" s="143" t="e">
        <f t="shared" ca="1" si="1070"/>
        <v>#N/A</v>
      </c>
      <c r="DF265" s="145" t="e">
        <f ca="1">$DR265*EXP(-Control!$C$158*(1-$KH265))</f>
        <v>#N/A</v>
      </c>
      <c r="DG265" s="146" t="e">
        <f ca="1">IF(Control!$C$114=1, $DF265*$EY265, 0)</f>
        <v>#N/A</v>
      </c>
      <c r="DH265" s="147" t="e">
        <f t="shared" ca="1" si="1071"/>
        <v>#N/A</v>
      </c>
      <c r="DI265" s="144" t="e">
        <f t="shared" ca="1" si="1132"/>
        <v>#N/A</v>
      </c>
      <c r="DJ265" s="147" t="e">
        <f ca="1">$EF265*Control!$C$109</f>
        <v>#N/A</v>
      </c>
      <c r="DK265" s="144" t="e">
        <f t="shared" ca="1" si="1072"/>
        <v>#N/A</v>
      </c>
      <c r="DL265" s="144" t="e">
        <f t="shared" ca="1" si="950"/>
        <v>#N/A</v>
      </c>
      <c r="DM265" s="144" t="e">
        <f ca="1">IF(Control!$C$114=1, (1-EXP(-Control!$C$96*$DK265))*$AR265, 0)</f>
        <v>#N/A</v>
      </c>
      <c r="DN265" s="144">
        <f t="shared" ca="1" si="1073"/>
        <v>0</v>
      </c>
      <c r="DO265" s="148">
        <f>Control!$C$97</f>
        <v>4</v>
      </c>
      <c r="DP265" s="145" t="e">
        <f t="shared" ca="1" si="1074"/>
        <v>#N/A</v>
      </c>
      <c r="DQ265" s="145" t="e">
        <f ca="1">IF(AND($CP265&gt;=0,$CP265&lt;=90),Control!$C$111,Control!$C$111)</f>
        <v>#N/A</v>
      </c>
      <c r="DR265" s="145" t="e">
        <f t="shared" ca="1" si="951"/>
        <v>#N/A</v>
      </c>
      <c r="DS265" s="143" t="e">
        <f ca="1">Control!$B$22/$DR265</f>
        <v>#N/A</v>
      </c>
      <c r="DT265" s="149" t="e">
        <f ca="1">IF(AND(Control!$C$114=1,$KH265&lt;1),$IM265*$DF265, 0)</f>
        <v>#N/A</v>
      </c>
      <c r="DU265" s="144" t="e">
        <f t="shared" ca="1" si="1075"/>
        <v>#N/A</v>
      </c>
      <c r="DV265" s="144">
        <f ca="1">IF($G265-Control!$C$107&lt;=0, 0, 0.83*LN(MAX($G265, 3))-0.8924)</f>
        <v>0</v>
      </c>
      <c r="DW265" s="144" t="e">
        <f t="shared" ca="1" si="952"/>
        <v>#N/A</v>
      </c>
      <c r="DX265" s="150" t="e">
        <f ca="1">MAX(0.01*(1+$CU265/Control!$C$102),0.05*($DK265-Control!$C$97)/Control!$C$97)</f>
        <v>#N/A</v>
      </c>
      <c r="DY265" s="151" t="e">
        <f ca="1">IF(Control!$C$114=1, $DI265*$FS265, 0)</f>
        <v>#N/A</v>
      </c>
      <c r="DZ265" s="196" t="e">
        <f t="shared" ca="1" si="1076"/>
        <v>#N/A</v>
      </c>
      <c r="EA265" s="152">
        <f t="shared" ca="1" si="1077"/>
        <v>261</v>
      </c>
      <c r="EB265" s="153" t="e">
        <f t="shared" ca="1" si="1078"/>
        <v>#N/A</v>
      </c>
      <c r="EC265" s="153" t="e">
        <f t="shared" ca="1" si="1079"/>
        <v>#N/A</v>
      </c>
      <c r="ED265" s="154" t="e">
        <f ca="1">IF(Control!$C$114=1, $HM265*$FY265-$FD265, 0)</f>
        <v>#DIV/0!</v>
      </c>
      <c r="EE265" s="155" t="e">
        <f ca="1">IF(Control!$C$114=1, $HM265*$FZ265-$FF265, 0)</f>
        <v>#DIV/0!</v>
      </c>
      <c r="EF265" s="153" t="e">
        <f t="shared" ca="1" si="1133"/>
        <v>#N/A</v>
      </c>
      <c r="EG265" s="155" t="e">
        <f ca="1">IF(Control!$C$114=1, $GX265*$FW265-$FI265, 0)</f>
        <v>#DIV/0!</v>
      </c>
      <c r="EH265" s="153" t="e">
        <f t="shared" ca="1" si="1080"/>
        <v>#N/A</v>
      </c>
      <c r="EI265" s="156" t="e">
        <f t="shared" ca="1" si="1081"/>
        <v>#N/A</v>
      </c>
      <c r="EJ265" s="155" t="e">
        <f ca="1">IF(Control!$C$114=1, $HM265*$GB265, 0)</f>
        <v>#DIV/0!</v>
      </c>
      <c r="EK265" s="153" t="e">
        <f t="shared" ca="1" si="1134"/>
        <v>#N/A</v>
      </c>
      <c r="EL265" s="153" t="e">
        <f t="shared" ca="1" si="953"/>
        <v>#N/A</v>
      </c>
      <c r="EM265" s="153" t="e">
        <f t="shared" ca="1" si="954"/>
        <v>#N/A</v>
      </c>
      <c r="EN265" s="153" t="e">
        <f ca="1">IF(Control!$C$108=1,IF(AND(Control!$B$18=1,$EB265&gt;=Control!$B$19),$EB265-$DS265,IF(AND(Control!$B$18=2,$AW265=1,$EB265&gt;$DS265),$EB265-$DS265,0)))</f>
        <v>#N/A</v>
      </c>
      <c r="EO265" s="153" t="e">
        <f ca="1">IF(Control!$C$108=1,IF(AND(Control!$B$18=1,$EB265&gt;=Control!$B$19),$EF265,IF(AND(Control!$B$18=2,$AW265=1),$EF265,0)))</f>
        <v>#N/A</v>
      </c>
      <c r="EP265" s="153" t="e">
        <f ca="1">IF(Control!$C$108=1,IF(AND(Control!$B$18=1,$EB265&gt;=Control!$B$19),$EK265,IF(AND(Control!$B$18=2,$AW265=1),$EK265,0)))</f>
        <v>#N/A</v>
      </c>
      <c r="EQ265" s="153" t="e">
        <f t="shared" ca="1" si="1082"/>
        <v>#N/A</v>
      </c>
      <c r="ER265" s="153" t="e">
        <f t="shared" ca="1" si="1083"/>
        <v>#N/A</v>
      </c>
      <c r="ES265" s="153" t="e">
        <f t="shared" ca="1" si="1135"/>
        <v>#N/A</v>
      </c>
      <c r="ET265" s="153" t="e">
        <f t="shared" ca="1" si="1136"/>
        <v>#N/A</v>
      </c>
      <c r="EU265" s="153" t="e">
        <f t="shared" ca="1" si="1084"/>
        <v>#N/A</v>
      </c>
      <c r="EV265" s="153" t="e">
        <f t="shared" ca="1" si="955"/>
        <v>#N/A</v>
      </c>
      <c r="EW265" s="153" t="e">
        <f t="shared" ca="1" si="956"/>
        <v>#N/A</v>
      </c>
      <c r="EX265" s="153" t="e">
        <f t="shared" ca="1" si="957"/>
        <v>#N/A</v>
      </c>
      <c r="EY265" s="157" t="e">
        <f t="shared" ca="1" si="958"/>
        <v>#DIV/0!</v>
      </c>
      <c r="EZ265" s="154" t="e">
        <f t="shared" ca="1" si="959"/>
        <v>#DIV/0!</v>
      </c>
      <c r="FA265" s="153" t="e">
        <f t="shared" ca="1" si="1085"/>
        <v>#N/A</v>
      </c>
      <c r="FB265" s="153" t="e">
        <f t="shared" ca="1" si="960"/>
        <v>#N/A</v>
      </c>
      <c r="FC265" s="193" t="e">
        <f t="shared" ca="1" si="961"/>
        <v>#N/A</v>
      </c>
      <c r="FD265" s="158" t="e">
        <f t="shared" ca="1" si="1086"/>
        <v>#N/A</v>
      </c>
      <c r="FE265" s="158" t="e">
        <f t="shared" ca="1" si="1087"/>
        <v>#N/A</v>
      </c>
      <c r="FF265" s="159" t="e">
        <f t="shared" ca="1" si="962"/>
        <v>#N/A</v>
      </c>
      <c r="FG265" s="160" t="e">
        <f t="shared" ca="1" si="1088"/>
        <v>#N/A</v>
      </c>
      <c r="FH265" s="158" t="e">
        <f t="shared" ca="1" si="1089"/>
        <v>#N/A</v>
      </c>
      <c r="FI265" s="159" t="e">
        <f t="shared" ca="1" si="963"/>
        <v>#N/A</v>
      </c>
      <c r="FJ265" s="160" t="e">
        <f t="shared" ca="1" si="1090"/>
        <v>#N/A</v>
      </c>
      <c r="FK265" s="160" t="e">
        <f t="shared" ca="1" si="964"/>
        <v>#N/A</v>
      </c>
      <c r="FL265" s="160" t="e">
        <f t="shared" ca="1" si="1137"/>
        <v>#N/A</v>
      </c>
      <c r="FM265" s="160" t="e">
        <f t="shared" ca="1" si="965"/>
        <v>#N/A</v>
      </c>
      <c r="FN265" s="158">
        <f t="shared" ca="1" si="1091"/>
        <v>0.01</v>
      </c>
      <c r="FO265" s="160">
        <f>Control!$C$101</f>
        <v>50</v>
      </c>
      <c r="FP265" s="150" t="e">
        <f t="shared" ca="1" si="966"/>
        <v>#N/A</v>
      </c>
      <c r="FQ265" s="150" t="e">
        <f ca="1">MAX(0,(Control!$C$112*(($DK265-Control!$C$97)/Control!$C$97)))</f>
        <v>#N/A</v>
      </c>
      <c r="FR265" s="150" t="e">
        <f ca="1">(1-$NT265)*Control!$C$113</f>
        <v>#DIV/0!</v>
      </c>
      <c r="FS265" s="198" t="e">
        <f t="shared" ca="1" si="967"/>
        <v>#N/A</v>
      </c>
      <c r="FT265" s="161">
        <f t="shared" ca="1" si="1092"/>
        <v>261</v>
      </c>
      <c r="FU265" s="162" t="e">
        <f ca="1">IF(Control!$B$34=1,VLOOKUP($CP265,Control!$B$86:$G$91,6),Control!$B$35)</f>
        <v>#N/A</v>
      </c>
      <c r="FV265" s="162" t="e">
        <f t="shared" ca="1" si="968"/>
        <v>#DIV/0!</v>
      </c>
      <c r="FW265" s="162" t="e">
        <f ca="1">IF(Control!$B$31=1,$FU265*$FV265,  $FU265)</f>
        <v>#N/A</v>
      </c>
      <c r="FX265" s="162" t="e">
        <f ca="1">IF(Control!$B$34=1,VLOOKUP($CP265,Control!$B$86:$G$91,3),Control!$B$36)</f>
        <v>#N/A</v>
      </c>
      <c r="FY265" s="162" t="e">
        <f t="shared" ca="1" si="969"/>
        <v>#N/A</v>
      </c>
      <c r="FZ265" s="162" t="e">
        <f ca="1">IF(Control!$B$34=1,VLOOKUP($CP265,Control!$B$86:$G$91,4),Control!$B$37)</f>
        <v>#N/A</v>
      </c>
      <c r="GA265" s="162" t="e">
        <f t="shared" ca="1" si="970"/>
        <v>#N/A</v>
      </c>
      <c r="GB265" s="162" t="e">
        <f ca="1">IF(Control!$B$34=1,VLOOKUP($CP265,Control!$B$86:$G$91,5),Control!$B$38)</f>
        <v>#N/A</v>
      </c>
      <c r="GC265" s="162" t="e">
        <f t="shared" ca="1" si="1093"/>
        <v>#N/A</v>
      </c>
      <c r="GD265" s="162">
        <f t="shared" ca="1" si="971"/>
        <v>1</v>
      </c>
      <c r="GE265" s="162">
        <f t="shared" ca="1" si="972"/>
        <v>1</v>
      </c>
      <c r="GF265" s="162">
        <f ca="1">IF(AND(Control!$C$104=1, Control!$C$62="F"),$GE265,1)</f>
        <v>1</v>
      </c>
      <c r="GG265" s="162" t="e">
        <f ca="1">IF(Control!$B$16=40,0,IF(AND(Control!$B$16&gt;40,Control!$B$16&lt;=360),(Control!$B$16-40)*((1-0)/(360-40)),IF(AND(Control!$B$16&gt;360,Control!$B$16&lt;=720),(1+(Control!$B$16-360)*((1.25-1)/(720-360))),IF(AND(Control!$B$16&gt;720,Control!$B$16&lt;=1000),(1.25+(Control!$B$16-720)*((1.35-1.25)/(1000-720))),IF(AND(Control!$B$16&gt;1000,Control!$B$16&lt;=2000),(1.35+(Control!$B$16-1000)*0))))))</f>
        <v>#N/A</v>
      </c>
      <c r="GH265" s="162" t="e">
        <f t="shared" ca="1" si="973"/>
        <v>#N/A</v>
      </c>
      <c r="GI265" s="162">
        <f t="shared" ca="1" si="1094"/>
        <v>0</v>
      </c>
      <c r="GJ265" s="162">
        <f t="shared" ca="1" si="974"/>
        <v>0</v>
      </c>
      <c r="GK265" s="162">
        <f t="shared" ca="1" si="1095"/>
        <v>1</v>
      </c>
      <c r="GL265" s="162">
        <f t="shared" ca="1" si="975"/>
        <v>1</v>
      </c>
      <c r="GM265" s="162" t="e">
        <f ca="1">MAX(0,MIN(1,1-Control!$C$156*(1.0001-$KH265)^2))</f>
        <v>#N/A</v>
      </c>
      <c r="GN265" s="162" t="e">
        <f ca="1">IF(Control!$B$26=1,$KU265,$KX265)</f>
        <v>#N/A</v>
      </c>
      <c r="GO265" s="162" t="e">
        <f ca="1">IF($CP265&lt;=60,Control!$C$105,IF($CP265&gt;=90,Control!$C$106,Control!$C$105+($CP265-60)*((Control!$C$106-Control!$C$105)/(90-60))))</f>
        <v>#N/A</v>
      </c>
      <c r="GP265" s="162" t="e">
        <f t="shared" ca="1" si="976"/>
        <v>#N/A</v>
      </c>
      <c r="GQ265" s="162" t="e">
        <f t="shared" ca="1" si="1096"/>
        <v>#N/A</v>
      </c>
      <c r="GR265" s="163" t="e">
        <f t="shared" ca="1" si="977"/>
        <v>#DIV/0!</v>
      </c>
      <c r="GS265" s="162" t="e">
        <f t="shared" ca="1" si="978"/>
        <v>#DIV/0!</v>
      </c>
      <c r="GT265" s="164" t="e">
        <f t="shared" ca="1" si="1097"/>
        <v>#N/A</v>
      </c>
      <c r="GU265" s="162" t="e">
        <f t="shared" ca="1" si="1098"/>
        <v>#N/A</v>
      </c>
      <c r="GV265" s="162" t="e">
        <f t="shared" ca="1" si="979"/>
        <v>#N/A</v>
      </c>
      <c r="GW265" s="162" t="e">
        <f t="shared" ca="1" si="980"/>
        <v>#DIV/0!</v>
      </c>
      <c r="GX265" s="162" t="e">
        <f t="shared" ca="1" si="1099"/>
        <v>#DIV/0!</v>
      </c>
      <c r="GY265" s="162" t="e">
        <f t="shared" ca="1" si="1100"/>
        <v>#DIV/0!</v>
      </c>
      <c r="GZ265" s="165" t="e">
        <f t="shared" ca="1" si="981"/>
        <v>#N/A</v>
      </c>
      <c r="HA265" s="162" t="e">
        <f ca="1">IF(Control!$C$114=1, $DI265*$FS265, 0)</f>
        <v>#N/A</v>
      </c>
      <c r="HB265" s="162" t="e">
        <f ca="1">$FA265/Control!$C$64</f>
        <v>#N/A</v>
      </c>
      <c r="HC265" s="162" t="e">
        <f t="shared" ca="1" si="982"/>
        <v>#DIV/0!</v>
      </c>
      <c r="HD265" s="162">
        <f ca="1">-ASIN(SIN(23.45*Control!$C$139)*COS(2*Control!$C$138*($AH265+10)/365))</f>
        <v>1.8828299362643276E-2</v>
      </c>
      <c r="HE265" s="165">
        <f t="shared" ca="1" si="1101"/>
        <v>0</v>
      </c>
      <c r="HF265" s="166">
        <f ca="1">IF(AND(Control!$C$61="T",$HE265&gt;=Control!$C$103,Control!$C$114=0),$AH265,Control!$C$59)</f>
        <v>1</v>
      </c>
      <c r="HG265" s="166">
        <f ca="1">IF(AND(Control!$C$61="T",$HE265&gt;=Control!$C$103,Control!$C$114=0),$HF265,Control!$C$59)</f>
        <v>1</v>
      </c>
      <c r="HH265" s="165">
        <f ca="1">IF(AND(OR(Control!$C$60&lt;=0, $AH265= Control!$C$59, Control!$C$60 &gt;0, $AH265 = Control!$C$60)), Control!$C$59, IF(Control!$C$60&gt;0, 0))</f>
        <v>1</v>
      </c>
      <c r="HI265" s="165">
        <f ca="1">IF(AND(OR(Control!$C$60&lt;=0, $AH265= Control!$C$59, Control!$C$60 &gt;0, $AH265 = Control!$C$60)), Control!$C$60, IF(Control!$C$60&lt;=0, 0))</f>
        <v>0</v>
      </c>
      <c r="HJ265" s="166">
        <f ca="1">IF(AND(Control!$C$62="F",$CV265&gt;=Control!$C$102),$AH265,0)</f>
        <v>0</v>
      </c>
      <c r="HK265" s="165" t="e">
        <f t="shared" ca="1" si="1138"/>
        <v>#N/A</v>
      </c>
      <c r="HL265" s="166">
        <f ca="1">IF(AND(Control!$C$61="T",$HE265&gt;=Control!$C$103,Control!$C$114=0),$HF265,0)</f>
        <v>0</v>
      </c>
      <c r="HM265" s="201" t="e">
        <f t="shared" ca="1" si="983"/>
        <v>#DIV/0!</v>
      </c>
      <c r="HN265" s="215">
        <f t="shared" ca="1" si="1102"/>
        <v>261</v>
      </c>
      <c r="HO265" s="216" t="e">
        <f ca="1">IF(AND($CP265&gt;=0, $CP265&lt;=90), Control!$C$152, Control!$C$152)</f>
        <v>#N/A</v>
      </c>
      <c r="HP265" s="216" t="e">
        <f t="shared" ca="1" si="984"/>
        <v>#N/A</v>
      </c>
      <c r="HQ265" s="217" t="e">
        <f ca="1">IF(OR(Control!$B$26=1,Control!$B$26=2),$KV265,$KS265)</f>
        <v>#DIV/0!</v>
      </c>
      <c r="HR265" s="218" t="e">
        <f t="shared" ca="1" si="1139"/>
        <v>#DIV/0!</v>
      </c>
      <c r="HS265" s="216" t="e">
        <f ca="1">Control!$C$154*$HP265</f>
        <v>#N/A</v>
      </c>
      <c r="HT265" s="216" t="e">
        <f ca="1">Control!$C$155*$HP265</f>
        <v>#N/A</v>
      </c>
      <c r="HU265" s="217" t="e">
        <f ca="1">Control!$C$161*$FI265</f>
        <v>#N/A</v>
      </c>
      <c r="HV265" s="218" t="e">
        <f t="shared" ca="1" si="1103"/>
        <v>#N/A</v>
      </c>
      <c r="HW265" s="218" t="e">
        <f ca="1">Control!$C$160*$FF265+$IP265*$EO265</f>
        <v>#N/A</v>
      </c>
      <c r="HX265" s="218" t="e">
        <f t="shared" ca="1" si="1140"/>
        <v>#N/A</v>
      </c>
      <c r="HY265" s="219" t="e">
        <f ca="1">IF(Control!$C$114=1, $EB265*$FS265, 0)</f>
        <v>#N/A</v>
      </c>
      <c r="HZ265" s="91" t="e">
        <f t="shared" ca="1" si="985"/>
        <v>#N/A</v>
      </c>
      <c r="IA265" s="220" t="e">
        <f ca="1">Control!$C$153*$HO265</f>
        <v>#N/A</v>
      </c>
      <c r="IB265" s="218" t="e">
        <f t="shared" ca="1" si="986"/>
        <v>#N/A</v>
      </c>
      <c r="IC265" s="220" t="e">
        <f ca="1">Control!$C$153*$HT265</f>
        <v>#N/A</v>
      </c>
      <c r="ID265" s="218" t="e">
        <f t="shared" ca="1" si="987"/>
        <v>#N/A</v>
      </c>
      <c r="IE265" s="221" t="e">
        <f ca="1">($EB265*Control!$C$159+$EF265*Control!$C$160)/(IF($GZ265&lt;&gt;0,$GZ265,1))</f>
        <v>#N/A</v>
      </c>
      <c r="IF265" s="216" t="e">
        <f t="shared" ca="1" si="988"/>
        <v>#N/A</v>
      </c>
      <c r="IG265" s="91">
        <f ca="1">IF(OR(Control!$B$198=$AH265,Control!$B$199=$AH265, Control!$B$200=$AH265, Control!$B$201=$AH265, Control!$B$202=$AH265, Control!$B$203=$AH265, Control!$B$204=$AH265, Control!$B$205=$AH265, Control!$B$206=$AH265, Control!$B$207=$AH265), 1, 0)</f>
        <v>0</v>
      </c>
      <c r="IH265" s="91">
        <f ca="1">IF($IG265=0,0, VLOOKUP($AH265,Control!$B$198:$C$207,2))</f>
        <v>0</v>
      </c>
      <c r="II265" s="222">
        <f t="shared" ca="1" si="1104"/>
        <v>0</v>
      </c>
      <c r="IJ265" s="91">
        <f>Control!$C$121</f>
        <v>0.7</v>
      </c>
      <c r="IK265" s="218">
        <f t="shared" ca="1" si="989"/>
        <v>0</v>
      </c>
      <c r="IL265" s="217" t="e">
        <f t="shared" ca="1" si="1141"/>
        <v>#N/A</v>
      </c>
      <c r="IM265" s="223" t="e">
        <f ca="1">IF(AND(Control!$C$114=1,$KH265&lt;1),$EB265*Control!$C$148*(1-$KH265), 0)</f>
        <v>#N/A</v>
      </c>
      <c r="IN265" s="217" t="e">
        <f t="shared" ca="1" si="990"/>
        <v>#DIV/0!</v>
      </c>
      <c r="IO265" s="91" t="e">
        <f ca="1">MAX(0,$IL265-$EF265*Control!$C$160)</f>
        <v>#N/A</v>
      </c>
      <c r="IP265" s="220" t="e">
        <f t="shared" ca="1" si="991"/>
        <v>#N/A</v>
      </c>
      <c r="IQ265" s="217" t="e">
        <f t="shared" ca="1" si="1105"/>
        <v>#N/A</v>
      </c>
      <c r="IR265" s="218" t="e">
        <f t="shared" ca="1" si="992"/>
        <v>#N/A</v>
      </c>
      <c r="IS265" s="217" t="e">
        <f ca="1">Control!$C$159*MAX(0,$FD265-$EN265)</f>
        <v>#N/A</v>
      </c>
      <c r="IT265" s="217" t="e">
        <f t="shared" ca="1" si="1142"/>
        <v>#N/A</v>
      </c>
      <c r="IU265" s="217" t="e">
        <f t="shared" ca="1" si="1106"/>
        <v>#N/A</v>
      </c>
      <c r="IV265" s="217" t="e">
        <f t="shared" ca="1" si="1143"/>
        <v>#N/A</v>
      </c>
      <c r="IW265" s="217" t="e">
        <f ca="1">IF(OR($AW265=1,AND($AW265=0, Control!$B$18=1,$EN265&lt;&gt;0)), $IQ265-$IU265, $IQ265)</f>
        <v>#N/A</v>
      </c>
      <c r="IX265" s="218" t="e">
        <f t="shared" ca="1" si="993"/>
        <v>#N/A</v>
      </c>
      <c r="IY265" s="218" t="e">
        <f ca="1">MAX(0,$IQ265-$EB265*Control!$C$159)</f>
        <v>#N/A</v>
      </c>
      <c r="IZ265" s="218" t="e">
        <f t="shared" ca="1" si="994"/>
        <v>#N/A</v>
      </c>
      <c r="JA265" s="216" t="e">
        <f t="shared" ca="1" si="995"/>
        <v>#N/A</v>
      </c>
      <c r="JB265" s="217" t="e">
        <f t="shared" ca="1" si="996"/>
        <v>#N/A</v>
      </c>
      <c r="JC265" s="222" t="e">
        <f ca="1">MAX(Control!$C$157*$EK265-$JT265, 0)/Control!$C$162</f>
        <v>#N/A</v>
      </c>
      <c r="JD265" s="218" t="e">
        <f t="shared" ca="1" si="997"/>
        <v>#N/A</v>
      </c>
      <c r="JE265" s="218" t="e">
        <f t="shared" ca="1" si="998"/>
        <v>#N/A</v>
      </c>
      <c r="JF265" s="218" t="e">
        <f t="shared" ca="1" si="1107"/>
        <v>#N/A</v>
      </c>
      <c r="JG265" s="218" t="e">
        <f t="shared" ca="1" si="999"/>
        <v>#N/A</v>
      </c>
      <c r="JH265" s="217" t="e">
        <f t="shared" ca="1" si="1108"/>
        <v>#N/A</v>
      </c>
      <c r="JI265" s="217" t="e">
        <f t="shared" ca="1" si="1109"/>
        <v>#N/A</v>
      </c>
      <c r="JJ265" s="217" t="e">
        <f t="shared" ca="1" si="1144"/>
        <v>#N/A</v>
      </c>
      <c r="JK265" s="217" t="e">
        <f ca="1">IF(Control!$C$114=1,IF(Control!$B$24=0,MAX(0,$JI265)*$GN265/Control!$C$64,(MAX(0,MIN($JI265,$JJ265*$GN265/Control!$C$64),0))))</f>
        <v>#N/A</v>
      </c>
      <c r="JL265" s="217" t="e">
        <f ca="1">$IK265/Control!$C$64-$JK265+$HQ265</f>
        <v>#N/A</v>
      </c>
      <c r="JM265" s="217" t="e">
        <f ca="1">IF(Control!$C$114=1,($JB265/(IF($JI265&lt;&gt;0,$JI265,1)))*$JK265,0)</f>
        <v>#N/A</v>
      </c>
      <c r="JN265" s="217" t="e">
        <f ca="1">IF(Control!$C$114=1,($JG265/(IF($JI265&lt;&gt;0,$JI265,1)))*$JK265, 0)</f>
        <v>#N/A</v>
      </c>
      <c r="JO265" s="218" t="e">
        <f t="shared" ca="1" si="1000"/>
        <v>#N/A</v>
      </c>
      <c r="JP265" s="218" t="e">
        <f ca="1">MIN(($IY265+$IO265)*Control!$C$151, $JF265-$EH265*Control!$C$161)</f>
        <v>#N/A</v>
      </c>
      <c r="JQ265" s="218" t="e">
        <f t="shared" ca="1" si="1001"/>
        <v>#N/A</v>
      </c>
      <c r="JR265" s="217" t="e">
        <f ca="1">IF($CP265-Control!$C$150&lt;0, 0, $JQ265/Control!$C$162)</f>
        <v>#N/A</v>
      </c>
      <c r="JS265" s="218" t="e">
        <f t="shared" ca="1" si="1002"/>
        <v>#N/A</v>
      </c>
      <c r="JT265" s="218" t="e">
        <f t="shared" ca="1" si="1110"/>
        <v>#N/A</v>
      </c>
      <c r="JU265" s="218" t="e">
        <f t="shared" ca="1" si="1003"/>
        <v>#N/A</v>
      </c>
      <c r="JV265" s="218" t="e">
        <f t="shared" ca="1" si="1004"/>
        <v>#N/A</v>
      </c>
      <c r="JW265" s="216" t="e">
        <f t="shared" ca="1" si="1005"/>
        <v>#N/A</v>
      </c>
      <c r="JX265" s="91" t="e">
        <f t="shared" ca="1" si="1006"/>
        <v>#N/A</v>
      </c>
      <c r="JY265" s="218" t="e">
        <f t="shared" ca="1" si="1007"/>
        <v>#N/A</v>
      </c>
      <c r="JZ265" s="217" t="e">
        <f ca="1">IF(Control!$C$114=1,($IZ265/(IF($JI265&lt;&gt;0,$JI265,1)))*$JK265, 0)</f>
        <v>#N/A</v>
      </c>
      <c r="KA265" s="218" t="e">
        <f t="shared" ca="1" si="1145"/>
        <v>#N/A</v>
      </c>
      <c r="KB265" s="218" t="e">
        <f t="shared" ca="1" si="1111"/>
        <v>#N/A</v>
      </c>
      <c r="KC265" s="218" t="e">
        <f t="shared" ca="1" si="1008"/>
        <v>#N/A</v>
      </c>
      <c r="KD265" s="218" t="e">
        <f t="shared" ca="1" si="1009"/>
        <v>#N/A</v>
      </c>
      <c r="KE265" s="218" t="e">
        <f t="shared" ca="1" si="1010"/>
        <v>#N/A</v>
      </c>
      <c r="KF265" s="218" t="e">
        <f t="shared" ca="1" si="1011"/>
        <v>#N/A</v>
      </c>
      <c r="KG265" s="216" t="e">
        <f t="shared" ca="1" si="1012"/>
        <v>#N/A</v>
      </c>
      <c r="KH265" s="221" t="e">
        <f ca="1">IF(Control!$B$24=0,1,MAX(0.001,MIN(1,IF(($IF265-$IE265)&lt;&gt;0,($KG265-$IE265)/($IF265-$IE265),1))))</f>
        <v>#N/A</v>
      </c>
      <c r="KI265" s="222" t="e">
        <f ca="1">IF(Control!$C$114=1, $KI264+ $KH264, 0)</f>
        <v>#N/A</v>
      </c>
      <c r="KJ265" s="217" t="e">
        <f t="shared" ca="1" si="1013"/>
        <v>#N/A</v>
      </c>
      <c r="KK265" s="218" t="e">
        <f t="shared" ca="1" si="1014"/>
        <v>#N/A</v>
      </c>
      <c r="KL265" s="274" t="e">
        <f ca="1">IF(Control!$B$26=3,4000000000*EXP(-8400/($G265+273)),IF(Control!$B$26=4,4000000000*EXP(-8400/($G265+273))*($KT265),0))</f>
        <v>#DIV/0!</v>
      </c>
      <c r="KM265" s="274" t="e">
        <f ca="1">IF(Control!$B$26=3,5600000000000*EXP(-9800/($G265+273)),IF(Control!$B$26=4,5600000000000*EXP(-9800/($G265+273))*$KT265,0))</f>
        <v>#DIV/0!</v>
      </c>
      <c r="KN265" s="454" t="e">
        <f t="shared" ca="1" si="1112"/>
        <v>#DIV/0!</v>
      </c>
      <c r="KO265" s="274" t="e">
        <f t="shared" ca="1" si="1113"/>
        <v>#DIV/0!</v>
      </c>
      <c r="KP265" s="454" t="e">
        <f t="shared" ca="1" si="1015"/>
        <v>#DIV/0!</v>
      </c>
      <c r="KQ265" s="454" t="e">
        <f t="shared" ca="1" si="1016"/>
        <v>#DIV/0!</v>
      </c>
      <c r="KR265" s="454" t="e">
        <f t="shared" ca="1" si="1017"/>
        <v>#DIV/0!</v>
      </c>
      <c r="KS265" s="454" t="e">
        <f t="shared" ca="1" si="1018"/>
        <v>#DIV/0!</v>
      </c>
      <c r="KT265" s="455" t="e">
        <f t="shared" ca="1" si="1019"/>
        <v>#DIV/0!</v>
      </c>
      <c r="KU265" s="456" t="e">
        <f ca="1">IF($CP265-Control!$C$149&lt;0, IF($NT265-0.01&lt;0,0,1),0)</f>
        <v>#N/A</v>
      </c>
      <c r="KV265" s="456" t="e">
        <f ca="1">IF(Control!$C$114=1,MAX(0,MIN(Control!$C$125*$KW265*$GN265,$KW265)))</f>
        <v>#DIV/0!</v>
      </c>
      <c r="KW265" s="456" t="e">
        <f t="shared" ca="1" si="1146"/>
        <v>#DIV/0!</v>
      </c>
      <c r="KX265" s="457" t="e">
        <f ca="1">IF($CP265-Control!$C$149&lt;0, IF($MR265-$OM265&lt;0,0,1),0)</f>
        <v>#N/A</v>
      </c>
      <c r="KY265" s="167">
        <f t="shared" ca="1" si="1114"/>
        <v>261</v>
      </c>
      <c r="KZ265" s="168">
        <f ca="1">1370*(1+0.033*COS(2*Control!$C$138*$AH265/365))</f>
        <v>1360.1571963526139</v>
      </c>
      <c r="LA265" s="169">
        <f t="shared" ca="1" si="1115"/>
        <v>0.99281513339691441</v>
      </c>
      <c r="LB265" s="169">
        <f t="shared" ca="1" si="1116"/>
        <v>1.5818138720131186E-2</v>
      </c>
      <c r="LC265" s="169">
        <f ca="1">ACOS(-TAN((2*Control!$B$8/360))*TAN(Calculations!$LB265))</f>
        <v>1.5754979366173942</v>
      </c>
      <c r="LD265" s="169">
        <f ca="1">((24*60)/PI())*0.082*$LA265*(($LC265*SIN(Control!$B$8*2*PI()/360))*SIN($LB265)+COS(Control!$B$8*2*PI()/360)*COS($LB265)*SIN($LC265))</f>
        <v>23.703678070614547</v>
      </c>
      <c r="LE265" s="170">
        <f t="shared" ca="1" si="1020"/>
        <v>23.904290891569396</v>
      </c>
      <c r="LF265" s="170">
        <f ca="1">SIN(Control!$C$139*Control!$B$8)*SIN($HD265)</f>
        <v>1.4836050359640604E-2</v>
      </c>
      <c r="LG265" s="170">
        <f ca="1">COS(Control!$C$139*Control!$B$8)*COS($HD265)</f>
        <v>0.61555067896061899</v>
      </c>
      <c r="LH265" s="170">
        <f ca="1">12*(1+2*ASIN(MAX(-1,MIN(1,$LF265/$LG265))/Control!$C$138))</f>
        <v>12.18412768716157</v>
      </c>
      <c r="LI265" s="170">
        <f ca="1">12*(1+2*ASIN(MAX(-1,MIN(1,(-SIN(-4*Control!$C$139)+$LF265)/$LG265))/Control!$C$138))</f>
        <v>13.050190202128798</v>
      </c>
      <c r="LJ265" s="168">
        <f ca="1">3600*($LH265*$LF265+24*$LG265*SQRT(1-$LK265*$LK265)/Control!$C$138)</f>
        <v>17574.653103090539</v>
      </c>
      <c r="LK265" s="170">
        <f t="shared" ca="1" si="1021"/>
        <v>2.4102077808917124E-2</v>
      </c>
      <c r="LL265" s="170">
        <f t="shared" ca="1" si="1022"/>
        <v>0</v>
      </c>
      <c r="LM265" s="171">
        <f ca="1">Control!$C$145*$AB265</f>
        <v>6.6660906138995932E-2</v>
      </c>
      <c r="LN265" s="170">
        <f t="shared" ca="1" si="1117"/>
        <v>0.54</v>
      </c>
      <c r="LO265" s="170">
        <f t="shared" ca="1" si="1023"/>
        <v>0</v>
      </c>
      <c r="LP265" s="170">
        <f ca="1">Control!$C$140*((($D265+273.16)^4+($E265+273.16)^4)/2)*(0.34-0.14*SQRT($Y265))*(1.35*$AQ265/(0.75*$LD265)-0.35)</f>
        <v>-3.2464704755046001</v>
      </c>
      <c r="LQ265" s="170">
        <f ca="1">Control!$C$140*($G265+273)^4*(0.56-0.079*SQRT($Y265*10))*(0.1+0.9*$LO265)</f>
        <v>1.5241745131704001</v>
      </c>
      <c r="LR265" s="170">
        <f ca="1">$AQ265*(1-Control!$C$142)-$LQ265</f>
        <v>-1.5241745131704001</v>
      </c>
      <c r="LS265" s="170">
        <f ca="1">$AQ265*(1-Control!$C$143)-$LQ265</f>
        <v>-1.5241745131704001</v>
      </c>
      <c r="LT265" s="170">
        <f ca="1">$AQ265*(1-Control!$C$144)-$LQ265</f>
        <v>-1.5241745131704001</v>
      </c>
      <c r="LU265" s="169">
        <f ca="1">(1-Control!$C$144)*AQ265-LP265</f>
        <v>3.2464704755046001</v>
      </c>
      <c r="LV265" s="172">
        <f t="shared" ca="1" si="1024"/>
        <v>0.79430000000000012</v>
      </c>
      <c r="LW265" s="170">
        <f t="shared" ca="1" si="1025"/>
        <v>1.5886000000000002</v>
      </c>
      <c r="LX265" s="170">
        <f ca="1">($AC265*($LR265/Control!$C$141)+$LM265*$LV265)/($AC265+$LM265)</f>
        <v>0.23530094218323697</v>
      </c>
      <c r="LY265" s="170">
        <f ca="1">($AC265*($LS265/Control!$C$141)+$LM265*$LV265)/($AC265+$LM265)</f>
        <v>0.23530094218323697</v>
      </c>
      <c r="LZ265" s="170">
        <f t="shared" ca="1" si="1026"/>
        <v>0.23530094218323697</v>
      </c>
      <c r="MA265" s="170">
        <f t="shared" ca="1" si="1027"/>
        <v>0.23530094218323697</v>
      </c>
      <c r="MB265" s="170" t="e">
        <f t="shared" ca="1" si="1028"/>
        <v>#N/A</v>
      </c>
      <c r="MC265" s="170">
        <f t="shared" ca="1" si="1118"/>
        <v>0.6018</v>
      </c>
      <c r="MD265" s="170">
        <f t="shared" ca="1" si="1029"/>
        <v>0.52989392535414004</v>
      </c>
      <c r="ME265" s="170">
        <f ca="1">($AC265*($LT265/Control!$C$141)+$LM265*$LW265)/($AC265+$LM265)</f>
        <v>0.71612369323045078</v>
      </c>
      <c r="MF265" s="170" t="e">
        <f ca="1">IF(Control!$B$16&gt;=1000,0.92,IF(AND(720&lt;=Control!$B$16,1000&gt;Control!$B$16),(0.95+(Control!$B$16-720)*((0.92-0.95)/(1000-720))),IF(AND(360&lt;=Control!$B$16,720&gt;Control!$B$16),(1+(Control!$B$16-360)*((0.95-1)/(720-360))),IF(AND(40&lt;=Control!$B$16,360&gt;Control!$B$16),(1.05+(Control!$B$16-40)*((1.05-1)/(360-40)))))))</f>
        <v>#N/A</v>
      </c>
      <c r="MG265" s="170">
        <f t="shared" ca="1" si="1030"/>
        <v>0.71612369323045078</v>
      </c>
      <c r="MH265" s="170" t="e">
        <f t="shared" ca="1" si="926"/>
        <v>#N/A</v>
      </c>
      <c r="MI265" s="170" t="e">
        <f t="shared" ca="1" si="926"/>
        <v>#N/A</v>
      </c>
      <c r="MJ265" s="170" t="e">
        <f ca="1">MAX(0.0001, Control!$C$132*$MI265*$DL265)</f>
        <v>#N/A</v>
      </c>
      <c r="MK265" s="170">
        <f ca="1">1/(0.76+1.5*($MG265/10))-(5-Control!$C$110)*0.1</f>
        <v>1.002845988140797</v>
      </c>
      <c r="ML265" s="173">
        <f ca="1">IF(Control!$C$110&lt;3,$MK265+($MG265-0.6)/(Control!$C$110*(Control!$C$110+3)), MAX(0.1, MIN(0.95,$MK265)))</f>
        <v>0.95</v>
      </c>
      <c r="MM265" s="173">
        <f ca="1">IF(Control!$C$110&lt;3,$MK265+(($MI265/10)-0.6)/(Control!$C$110*(Control!$C$110+3)), MAX(0.1, MIN(0.95,$MK265)))</f>
        <v>0.95</v>
      </c>
      <c r="MN265" s="173">
        <f ca="1">(1-$MM265)*(Control!$C$128-Control!$C$127)+Control!$C$127</f>
        <v>0.16</v>
      </c>
      <c r="MO265" s="170" t="e">
        <f ca="1">MAX(0,MIN(1,($MS265-Control!$C$127)/($MN265-Control!$C$127)))</f>
        <v>#DIV/0!</v>
      </c>
      <c r="MP265" s="173" t="e">
        <f ca="1">1/(0.76+1.5*$MI265)-(5-Control!$C$110)*0.1</f>
        <v>#N/A</v>
      </c>
      <c r="MQ265" s="172" t="e">
        <f t="shared" ca="1" si="1147"/>
        <v>#DIV/0!</v>
      </c>
      <c r="MR265" s="168" t="e">
        <f t="shared" ca="1" si="1119"/>
        <v>#DIV/0!</v>
      </c>
      <c r="MS265" s="173" t="e">
        <f ca="1">MAX(Control!$C$127, MIN(Control!$C$135, $MR265/MAX(0.0001,$CY265)))</f>
        <v>#DIV/0!</v>
      </c>
      <c r="MT265" s="168" t="e">
        <f ca="1">(Control!$C$128-$MS265)*Control!$C$74</f>
        <v>#DIV/0!</v>
      </c>
      <c r="MU265" s="168" t="e">
        <f ca="1">(Control!$C$135-$MS265)*Control!$C$74</f>
        <v>#DIV/0!</v>
      </c>
      <c r="MV265" s="168" t="e">
        <f t="shared" ca="1" si="1120"/>
        <v>#DIV/0!</v>
      </c>
      <c r="MW265" s="168" t="e">
        <f t="shared" ca="1" si="1121"/>
        <v>#DIV/0!</v>
      </c>
      <c r="MX265" s="171" t="e">
        <f ca="1">MAX(Control!$C$127, MIN(Control!$C$135, $MW265/MAX(0.0001,Control!$C$119-$CY265)))</f>
        <v>#DIV/0!</v>
      </c>
      <c r="MY265" s="54" t="e">
        <f ca="1">IF(Control!$C$114=1, $CX265*$MX265, 0)</f>
        <v>#DIV/0!</v>
      </c>
      <c r="MZ265" s="54" t="e">
        <f t="shared" ca="1" si="1122"/>
        <v>#N/A</v>
      </c>
      <c r="NA265" s="168" t="e">
        <f ca="1">(Control!$C$128-$MX265)*(Control!$C$119-Control!$C$74)</f>
        <v>#DIV/0!</v>
      </c>
      <c r="NB265" s="168" t="e">
        <f ca="1">(Control!$C$135-$MX265)*(Control!$C$119-Control!$C$74)</f>
        <v>#DIV/0!</v>
      </c>
      <c r="NC265" s="174" t="e">
        <f t="shared" ca="1" si="1123"/>
        <v>#DIV/0!</v>
      </c>
      <c r="ND265" s="54">
        <f ca="1">IF(Control!$C$58=2, IF(OR(Control!$B$218=$AH265,Control!$B$219=$AH265, Control!$B$220=$AH265, Control!$B$221=$AH265, Control!$B$222=$AH265, Control!$B$223=$AH265, Control!$B$224=$AH265, Control!$B$225=$AH265, Control!$B$226=$AH265, Control!$B$227=$AH265, Control!$B$228=$AH265), 1, 0), 0)</f>
        <v>0</v>
      </c>
      <c r="NE265" s="54">
        <f ca="1">IF($ND265=0,0, VLOOKUP($AH265,Control!$B$218:$C$228,2))</f>
        <v>0</v>
      </c>
      <c r="NF265" s="168" t="e">
        <f ca="1">$CY265*(Control!$C$128-Control!$C$127)</f>
        <v>#N/A</v>
      </c>
      <c r="NG265" s="54" t="e">
        <f ca="1">IF(Control!$C$58=2, $NI264-$NJ264, 0)</f>
        <v>#DIV/0!</v>
      </c>
      <c r="NH265" s="54" t="e">
        <f ca="1">IF(AND(Control!$C$58=1, $MS264&lt;= ($MN264+0.02), $I264&lt;10), 0, IF(Control!$C$58=2, $NG264, 0))</f>
        <v>#DIV/0!</v>
      </c>
      <c r="NI265" s="54" t="e">
        <f ca="1">IF(Control!$C$58=2, $NE265+$NH265,0)</f>
        <v>#DIV/0!</v>
      </c>
      <c r="NJ265" s="54" t="e">
        <f ca="1">IF(AND(Control!$C$58=1, $MS265&lt;= ($MN265+0.02), $I265&lt;10), MAX(0, MIN(10, 0.7*($NF265-$MV265))), IF(Control!$C$58=2, MIN(10,$NI265),0))</f>
        <v>#DIV/0!</v>
      </c>
      <c r="NK265" s="54" t="e">
        <f t="shared" ca="1" si="1031"/>
        <v>#DIV/0!</v>
      </c>
      <c r="NL265" s="173" t="e">
        <f ca="1">(1-Control!$C$73)*$I265+$NJ265</f>
        <v>#DIV/0!</v>
      </c>
      <c r="NM265" s="172" t="e">
        <f ca="1">IF($NL265&lt;0.5, $MB265* MAX(0, MIN(1, (SQRT($NC265)-SQRT($NC265-1))*Control!$C$71)),0)</f>
        <v>#DIV/0!</v>
      </c>
      <c r="NN265" s="170" t="e">
        <f ca="1">IF($NL265&gt;=5, $MB265, MAX(0,MIN($MB265, $NM265+$NL265,($MS265-Control!$C$129))))</f>
        <v>#DIV/0!</v>
      </c>
      <c r="NO265" s="54">
        <f>IF(Control!$C$133&lt;&gt;1, Control!$C$135-Control!$C$131, 0)</f>
        <v>0.38</v>
      </c>
      <c r="NP265" s="54" t="e">
        <f t="shared" ca="1" si="1032"/>
        <v>#DIV/0!</v>
      </c>
      <c r="NQ265" s="173" t="e">
        <f ca="1">MAX(0,MIN(1,(Control!$C$135-$MS265)/(Control!$C$135-$NO265)))</f>
        <v>#DIV/0!</v>
      </c>
      <c r="NR265" s="170" t="e">
        <f ca="1">IF(Control!$C$133&lt;&gt;1, $NQ265+((1-$NP265/4)*(1-$NQ265)),1)</f>
        <v>#DIV/0!</v>
      </c>
      <c r="NS265" s="170" t="e">
        <f ca="1">IF(Control!$B$31=0,$MJ265,MAX(0,MIN($MV265,$MO265*$NR265*$MJ265)))</f>
        <v>#DIV/0!</v>
      </c>
      <c r="NT265" s="170" t="e">
        <f t="shared" ca="1" si="1148"/>
        <v>#DIV/0!</v>
      </c>
      <c r="NU265" s="170" t="e">
        <f t="shared" ca="1" si="1124"/>
        <v>#N/A</v>
      </c>
      <c r="NV265" s="170" t="e">
        <f t="shared" ca="1" si="1033"/>
        <v>#N/A</v>
      </c>
      <c r="NW265" s="175" t="e">
        <f t="shared" ca="1" si="1034"/>
        <v>#DIV/0!</v>
      </c>
      <c r="NX265" s="170" t="e">
        <f ca="1">MIN(Control!$C$72+$MU265, $NW265)</f>
        <v>#DIV/0!</v>
      </c>
      <c r="NY265" s="170" t="e">
        <f ca="1">IF($MT265&lt;=$NX265,MIN(Control!$C$72+$NB265,$NX265-$MT265),0)</f>
        <v>#DIV/0!</v>
      </c>
      <c r="NZ265" s="54" t="e">
        <f ca="1">IF(Control!$C$114=1,  $CX265*($MX265-Control!$C$127), 0)</f>
        <v>#DIV/0!</v>
      </c>
      <c r="OA265" s="170" t="e">
        <f t="shared" ca="1" si="1035"/>
        <v>#DIV/0!</v>
      </c>
      <c r="OB265" s="170" t="e">
        <f ca="1">IF($NA265 &lt;=$NY265, MIN(Control!$C$72, $NY265-$NA265), 0)</f>
        <v>#DIV/0!</v>
      </c>
      <c r="OC265" s="168" t="e">
        <f t="shared" ca="1" si="1036"/>
        <v>#DIV/0!</v>
      </c>
      <c r="OD265" s="168" t="e">
        <f t="shared" ca="1" si="1125"/>
        <v>#DIV/0!</v>
      </c>
      <c r="OE265" s="170">
        <f ca="1">Control!$C$73*$I265</f>
        <v>0</v>
      </c>
      <c r="OF265" s="176" t="e">
        <f t="shared" ca="1" si="1037"/>
        <v>#DIV/0!</v>
      </c>
      <c r="OG265" s="168" t="e">
        <f t="shared" ca="1" si="1038"/>
        <v>#DIV/0!</v>
      </c>
      <c r="OH265" s="168" t="e">
        <f t="shared" ca="1" si="1039"/>
        <v>#DIV/0!</v>
      </c>
      <c r="OI265" s="168" t="e">
        <f t="shared" ca="1" si="1040"/>
        <v>#DIV/0!</v>
      </c>
      <c r="OJ265" s="168" t="e">
        <f t="shared" ca="1" si="1041"/>
        <v>#DIV/0!</v>
      </c>
      <c r="OK265" s="204" t="e">
        <f t="shared" ca="1" si="1042"/>
        <v>#DIV/0!</v>
      </c>
      <c r="OL265" s="177">
        <f>Control!$C$127</f>
        <v>0.15</v>
      </c>
      <c r="OM265" s="182" t="e">
        <f t="shared" ca="1" si="1043"/>
        <v>#N/A</v>
      </c>
      <c r="ON265" s="177">
        <f>Control!$C$128</f>
        <v>0.35</v>
      </c>
      <c r="OO265" s="182" t="e">
        <f t="shared" ca="1" si="1044"/>
        <v>#N/A</v>
      </c>
      <c r="OP265" s="138">
        <f t="shared" ca="1" si="1126"/>
        <v>0</v>
      </c>
      <c r="OQ265" s="138" t="e">
        <f t="shared" ca="1" si="1149"/>
        <v>#DIV/0!</v>
      </c>
      <c r="OR265" s="138" t="e">
        <f t="shared" ca="1" si="1127"/>
        <v>#DIV/0!</v>
      </c>
      <c r="OS265" s="137" t="e">
        <f t="shared" ca="1" si="1150"/>
        <v>#DIV/0!</v>
      </c>
      <c r="OT265" s="139" t="e">
        <f t="shared" ca="1" si="1151"/>
        <v>#DIV/0!</v>
      </c>
      <c r="OU265" s="138" t="e">
        <f t="shared" ca="1" si="1152"/>
        <v>#N/A</v>
      </c>
      <c r="OV265" s="138" t="e">
        <f t="shared" ca="1" si="1153"/>
        <v>#DIV/0!</v>
      </c>
      <c r="OW265" s="138" t="e">
        <f t="shared" ca="1" si="1128"/>
        <v>#DIV/0!</v>
      </c>
      <c r="OX265" s="138" t="e">
        <f t="shared" ca="1" si="1129"/>
        <v>#DIV/0!</v>
      </c>
      <c r="OY265" s="138" t="e">
        <f t="shared" ca="1" si="1130"/>
        <v>#DIV/0!</v>
      </c>
      <c r="OZ265" s="138" t="e">
        <f t="shared" ca="1" si="1045"/>
        <v>#DIV/0!</v>
      </c>
      <c r="PA265" s="138" t="e">
        <f t="shared" ca="1" si="1046"/>
        <v>#DIV/0!</v>
      </c>
      <c r="PB265" s="55">
        <f>IF(Control!$C$61="T", IF(Control!$C$65="F", IF($AH$6-Control!$C$60&lt;0,0,1), IF(365+$AH$6-Control!$C$60&lt;0,0,1)),0)</f>
        <v>0</v>
      </c>
      <c r="PC265" s="55">
        <f ca="1">IF(Control!$C$65="F", IF($AH$6-$HF265&lt;0,0,1), IF(365+$AH$6-$HF265&lt;0,0,1))</f>
        <v>1</v>
      </c>
      <c r="PD265" s="444">
        <f>Control!$C$118</f>
        <v>1500</v>
      </c>
      <c r="PE265" s="180" t="e">
        <f t="shared" ca="1" si="1047"/>
        <v>#N/A</v>
      </c>
      <c r="PF265" s="445">
        <f t="shared" ca="1" si="1131"/>
        <v>0.71612369323045078</v>
      </c>
      <c r="PT265" s="186"/>
      <c r="PU265" s="186"/>
      <c r="PV265" s="94"/>
      <c r="PW265" s="94"/>
      <c r="PX265" s="94"/>
      <c r="PY265" s="94"/>
      <c r="PZ265" s="94"/>
      <c r="QA265" s="94"/>
      <c r="QB265" s="94"/>
      <c r="QC265" s="94"/>
      <c r="QD265" s="94"/>
      <c r="QE265" s="94"/>
      <c r="QF265" s="94"/>
      <c r="QG265" s="94"/>
      <c r="QH265" s="94"/>
      <c r="QI265" s="94"/>
      <c r="QJ265" s="94"/>
      <c r="QK265" s="94"/>
      <c r="QL265" s="94"/>
      <c r="QM265" s="94"/>
      <c r="QN265" s="94"/>
      <c r="QO265" s="94"/>
      <c r="QP265" s="94"/>
    </row>
    <row r="266" spans="1:458" s="2" customFormat="1" x14ac:dyDescent="0.2">
      <c r="A266" s="395">
        <v>18</v>
      </c>
      <c r="B266" s="396">
        <v>9</v>
      </c>
      <c r="C266" s="387">
        <f ca="1">Weather_data!$B265</f>
        <v>0</v>
      </c>
      <c r="D266" s="388">
        <f ca="1">Weather_data!$F265</f>
        <v>0</v>
      </c>
      <c r="E266" s="388">
        <f ca="1">Weather_data!$E265</f>
        <v>0</v>
      </c>
      <c r="F266" s="388">
        <f t="shared" ca="1" si="1048"/>
        <v>0</v>
      </c>
      <c r="G266" s="388">
        <f ca="1">AVERAGE($D266:$E266)+Control!$B$9</f>
        <v>0</v>
      </c>
      <c r="H266" s="388">
        <f ca="1">Weather_data!$G265</f>
        <v>0</v>
      </c>
      <c r="I266" s="388">
        <f ca="1">Weather_data!$I265</f>
        <v>0</v>
      </c>
      <c r="J266" s="388">
        <f ca="1">Weather_data!$H265</f>
        <v>0</v>
      </c>
      <c r="K266" s="389">
        <f ca="1">Weather_data!$D265</f>
        <v>0</v>
      </c>
      <c r="L266" s="388" t="e">
        <f t="shared" ca="1" si="1049"/>
        <v>#N/A</v>
      </c>
      <c r="M266" s="388" t="e">
        <f t="shared" ca="1" si="927"/>
        <v>#N/A</v>
      </c>
      <c r="N266" s="388">
        <f t="shared" ca="1" si="928"/>
        <v>-6.3390249124823756E-13</v>
      </c>
      <c r="O266" s="388">
        <f t="shared" ca="1" si="1050"/>
        <v>6.3390249124823754E-12</v>
      </c>
      <c r="P266" s="390">
        <v>3</v>
      </c>
      <c r="Q266" s="388">
        <f ca="1">MAX($G266-Control!$C$107,0)</f>
        <v>0</v>
      </c>
      <c r="R266" s="388">
        <f t="shared" ca="1" si="1051"/>
        <v>0</v>
      </c>
      <c r="S266" s="388">
        <f t="shared" ca="1" si="929"/>
        <v>0</v>
      </c>
      <c r="T266" s="388">
        <f t="shared" ca="1" si="930"/>
        <v>0</v>
      </c>
      <c r="U266" s="59">
        <f t="shared" ca="1" si="931"/>
        <v>0</v>
      </c>
      <c r="V266" s="391">
        <f ca="1">MAX(0,MIN(Control!$C$100-Control!$C$99,$G266-Control!$C$99)*Control!$C$63)</f>
        <v>0</v>
      </c>
      <c r="W266" s="388">
        <f t="shared" ca="1" si="1052"/>
        <v>0</v>
      </c>
      <c r="X266" s="388">
        <f t="shared" ca="1" si="1053"/>
        <v>0.6110000000000001</v>
      </c>
      <c r="Y266" s="388">
        <f t="shared" ca="1" si="932"/>
        <v>0</v>
      </c>
      <c r="Z266" s="388">
        <f t="shared" ca="1" si="1054"/>
        <v>0.61058800000000002</v>
      </c>
      <c r="AA266" s="388">
        <f t="shared" ca="1" si="933"/>
        <v>0.6018</v>
      </c>
      <c r="AB266" s="388">
        <f ca="1">101.3*EXP(-0.034*Control!$C$66/($G266+273))</f>
        <v>100.69623283836242</v>
      </c>
      <c r="AC266" s="392">
        <f t="shared" ca="1" si="934"/>
        <v>4.3460251046025113E-2</v>
      </c>
      <c r="AD266" s="392">
        <f t="shared" ca="1" si="935"/>
        <v>4.4450382862832649E-2</v>
      </c>
      <c r="AE266" s="388">
        <f t="shared" ca="1" si="936"/>
        <v>0</v>
      </c>
      <c r="AF266" s="388">
        <f ca="1">MAX(0,$G266-Control!$C$92)</f>
        <v>0</v>
      </c>
      <c r="AG266" s="393">
        <f t="shared" ca="1" si="937"/>
        <v>262</v>
      </c>
      <c r="AH266" s="389">
        <f t="shared" ca="1" si="938"/>
        <v>262</v>
      </c>
      <c r="AI266" s="388">
        <f t="shared" ca="1" si="1055"/>
        <v>1.1982292018973982E-2</v>
      </c>
      <c r="AJ266" s="388">
        <f ca="1">IF(Control!$C$60&lt;=0,$HH266,$HI266)</f>
        <v>1</v>
      </c>
      <c r="AK266" s="388">
        <f t="shared" ca="1" si="939"/>
        <v>3.132985550429273</v>
      </c>
      <c r="AL266" s="388">
        <f t="shared" ca="1" si="940"/>
        <v>5.0490132907921037E-18</v>
      </c>
      <c r="AM266" s="388">
        <f t="shared" ca="1" si="941"/>
        <v>3.132985550429273</v>
      </c>
      <c r="AN266" s="388">
        <f t="shared" ca="1" si="942"/>
        <v>3.4238700519229012E-3</v>
      </c>
      <c r="AO266" s="388">
        <f ca="1">-0.10453/COS(Control!$B$8*PI()/180)*COS(AN266)</f>
        <v>-0.16978386904696824</v>
      </c>
      <c r="AP266" s="388">
        <f ca="1">ACOS(AO266-TAN(Control!$B$8*PI()/180)*TAN(AN266))</f>
        <v>1.7458553306924791</v>
      </c>
      <c r="AQ266" s="388">
        <f t="shared" ca="1" si="1056"/>
        <v>0</v>
      </c>
      <c r="AR266" s="394">
        <f t="shared" ca="1" si="943"/>
        <v>0</v>
      </c>
      <c r="AS266" s="436">
        <f ca="1">IF(Control!$B$18=2,(IF(OR($AH266=Control!$B$175,$AH266=Control!$B$176,$AH266=Control!$B$177,$AH266=Control!$B$178,$AH266=Control!$B$179,$AH266=Control!$B$180,$AH266=Control!$B$181,$AH266=Control!$B$182,$AH266=Control!$B$183,$AH266=Control!$B$184,$AH266=Control!$B$185),1,0)),0)</f>
        <v>0</v>
      </c>
      <c r="AT266" s="436">
        <f>IF(Control!$B$20=8,IF(AND($AH266&gt;=Control!$B$172,$AH266&lt;=Control!$B$173),1,0),0)</f>
        <v>0</v>
      </c>
      <c r="AU266" s="436">
        <f>IF(Control!$B$20=8,IF($AV265=1,1*$AT266,IF($AT266=1,$AU265+1,$AU265)),0)</f>
        <v>0</v>
      </c>
      <c r="AV266" s="436">
        <f>IF(Control!$B$20=8,IF($AU266&gt;=Control!$B$174,1,0),0)</f>
        <v>0</v>
      </c>
      <c r="AW266" s="436">
        <f ca="1">IF(AND(Control!$B$18=2,Control!$B$171=1), $AV266, $AS266)</f>
        <v>0</v>
      </c>
      <c r="AX266" s="436" t="e">
        <f ca="1">IF(AND(Control!$B$18=1,$EU266&gt;=Control!$B$19),-$AY266,IF(AND(Control!$B$18=2,$AW266=1,$EU266&gt;$DS266),-$AY266, IF(Control!$C$108=0,0, IF(Control!$C$108&lt;&gt;0,1))))</f>
        <v>#N/A</v>
      </c>
      <c r="AY266" s="436" t="e">
        <f t="shared" ca="1" si="1057"/>
        <v>#N/A</v>
      </c>
      <c r="AZ266" s="436" t="e">
        <f ca="1">IF(AND(Control!$B$18=1,$EB266&gt;Control!$B$19),$AZ265+1, IF(AND(Control!$B$18=2, $AW266=1, $EB266&gt;$DS266), $AZ265+1,$AZ265))</f>
        <v>#N/A</v>
      </c>
      <c r="BA266" s="587">
        <f>IF(Control!$C$81=0,1,IF($AH266&gt;=Control!$C$82,1,0))</f>
        <v>1</v>
      </c>
      <c r="BB266" s="140" t="e">
        <f ca="1">IF($BA266&gt;$BA265,Control!$C$83,IF($AW266&gt;0,$AW266*Control!$C$84,IF(AND(Control!$B$18=1,EN265&lt;&gt;0),Control!$C$84,0)))</f>
        <v>#N/A</v>
      </c>
      <c r="BC266" s="140" t="e">
        <f t="shared" ca="1" si="1058"/>
        <v>#N/A</v>
      </c>
      <c r="BD266" s="140" t="e">
        <f ca="1">BC266*IF(OR($G266&lt;Control!$C$92,$G266&gt;Control!$C$95),0,IF(AND($G266&gt;=Control!$C$92,$G266&lt;=Control!$C$93),$G266-Control!$C$92,IF(AND($G266&gt;Control!$C$93,$G266&lt;=Control!$C$94),Control!$C$93-Control!$C$92,IF(AND($G266&gt;Control!$C$94,$G266&lt;=Control!$C$95),(Control!$C$93-Control!$C$92)*(Control!$C$94-$G266)/(Control!$C$95-Control!$C$94)))))</f>
        <v>#N/A</v>
      </c>
      <c r="BE266" s="140" t="e">
        <f t="shared" ca="1" si="1059"/>
        <v>#N/A</v>
      </c>
      <c r="BF266" s="140" t="e">
        <f ca="1">IF($BE266&lt;=Control!$C$86,$BE266,Control!$C$86-$BE266)</f>
        <v>#N/A</v>
      </c>
      <c r="BG266" s="140" t="e">
        <f ca="1">IF(AND($AW266=1,Control!$C$84&lt;9),1,IF($BE266&gt;=Control!$C$86,0,$BC266))</f>
        <v>#N/A</v>
      </c>
      <c r="BH266" s="404" t="e">
        <f ca="1">IF($BG266=0,0,IF($BE266&lt;=Control!$C$86,$BC266*9*($BF266/Control!$C$86),0))</f>
        <v>#N/A</v>
      </c>
      <c r="BI266" s="140" t="e">
        <f ca="1">IF($BG266=1,0,IF($BE266&gt;=Control!$C$86,1,IF(AND($BB266&lt;21,$BB266&gt;=9),1,$BM265)))</f>
        <v>#N/A</v>
      </c>
      <c r="BJ266" s="140" t="e">
        <f ca="1">IF($BF266&lt;0,-$BF266,$BI266*IF(OR($G266&lt;Control!$C$92,$G266&gt;Control!$C$95),0,IF(AND($G266&gt;=Control!$C$92,$G266&lt;=Control!$C$93),$G266-Control!$C$92,IF(AND($G266&gt;Control!$C$93,$G266&lt;=Control!$C$94),Control!$C$93-Control!$C$92,IF(AND($G266&gt;Control!$C$94,$G266&lt;=Control!$C$95),(Control!$C$93-Control!$C$92)*(Control!$C$94-$G266)/(Control!$C$95-Control!$C$94))))))</f>
        <v>#N/A</v>
      </c>
      <c r="BK266" s="140" t="e">
        <f t="shared" ca="1" si="1060"/>
        <v>#N/A</v>
      </c>
      <c r="BL266" s="140" t="e">
        <f ca="1">IF($BK266&lt;=Control!$C$87,$BK266,Control!$C$87-$BK266)</f>
        <v>#N/A</v>
      </c>
      <c r="BM266" s="140" t="e">
        <f ca="1">IF(AND($BB266&gt;=9,$BB266&lt;21),1,IF($BK266&gt;=Control!$C$87,0,$BI266))</f>
        <v>#N/A</v>
      </c>
      <c r="BN266" s="404" t="e">
        <f ca="1">IF($BM266=0,0,IF($BK266&lt;=Control!$C$87,$BI266*(9+(21-9)*($BL266/Control!$C$87)),0))</f>
        <v>#N/A</v>
      </c>
      <c r="BO266" s="140" t="e">
        <f ca="1">IF($BM266=1,0,IF($BK266&gt;=Control!$C$87,1,IF(AND($BB266&lt;30,$BB266&gt;=21),1,$BS265)))</f>
        <v>#N/A</v>
      </c>
      <c r="BP266" s="140" t="e">
        <f ca="1">IF($BL266&lt;0,-$BL266,$BO266*IF(OR($G266&lt;Control!$C$92,$G266&gt;Control!$C$95),0,IF(AND($G266&gt;=Control!$C$92,$G266&lt;=Control!$C$93),$G266-Control!$C$92,IF(AND($G266&gt;Control!$C$93,$G266&lt;=Control!$C$94),Control!$C$93-Control!$C$92,IF(AND($G266&gt;Control!$C$94,$G266&lt;=Control!$C$95),(Control!$C$93-Control!$C$92)*(Control!$C$94-$G266)/(Control!$C$95-Control!$C$94))))))</f>
        <v>#N/A</v>
      </c>
      <c r="BQ266" s="140" t="e">
        <f t="shared" ca="1" si="944"/>
        <v>#N/A</v>
      </c>
      <c r="BR266" s="140" t="e">
        <f ca="1">IF($BQ266&lt;=Control!$C$88,$BQ266,Control!$C$88-$BQ266)</f>
        <v>#N/A</v>
      </c>
      <c r="BS266" s="140" t="e">
        <f ca="1">IF(AND($BB266&gt;=21,$BB266&lt;30),1,IF($BQ266&gt;=Control!$C$88,0,$BO266))</f>
        <v>#N/A</v>
      </c>
      <c r="BT266" s="404" t="e">
        <f ca="1">IF($BS266=0,0,IF($BQ266&lt;=Control!$C$88,$BO266*(21+(30-21)*(BR266/Control!$C$88)),0))</f>
        <v>#N/A</v>
      </c>
      <c r="BU266" s="140" t="e">
        <f ca="1">IF(BG266+BM266+BS266=1,0,IF(OR(AND($BB266&lt;60,$BB266&gt;=30),$BQ266&gt;=Control!$C$88),1*$BA266,$BY265))</f>
        <v>#N/A</v>
      </c>
      <c r="BV266" s="140" t="e">
        <f ca="1">IF($BR266&lt;0,-$BR266,$BU266*IF(OR($G266&lt;Control!$C$92,$G266&gt;Control!$C$95),0,IF(AND($G266&gt;=Control!$C$92,$G266&lt;=Control!$C$93),$G266-Control!$C$92,IF(AND($G266&gt;Control!$C$93,$G266&lt;=Control!$C$94),Control!$C$93-Control!$C$92,IF(AND($G266&gt;Control!$C$94,$G266&lt;=Control!$C$95),(Control!$C$93-Control!$C$92)*(Control!$C$94-$G266)/(Control!$C$95-Control!$C$94))))))</f>
        <v>#N/A</v>
      </c>
      <c r="BW266" s="140" t="e">
        <f t="shared" ca="1" si="945"/>
        <v>#N/A</v>
      </c>
      <c r="BX266" s="140" t="e">
        <f ca="1">IF($BW266&lt;=Control!$C$89,$BW266,Control!$C$89-$BW266)</f>
        <v>#N/A</v>
      </c>
      <c r="BY266" s="140" t="e">
        <f ca="1">IF(AND($AJ266&gt;=30,$AJ266&lt;60),1,IF($BW266&gt;=Control!$C$89,0,$BU266))</f>
        <v>#N/A</v>
      </c>
      <c r="BZ266" s="404" t="e">
        <f ca="1">IF($BY266=0,0,IF($BW266&lt;=Control!$C$89,$BU266*(30+(60-30)*(BX266/Control!$C$89)),0))</f>
        <v>#N/A</v>
      </c>
      <c r="CA266" s="140" t="e">
        <f ca="1">IF($BG266+$BM266+$BS266+$BY266=1,0,IF(OR(AND($BB266&lt;65,$BB266&gt;=60),$BW266&gt;=Control!$C$89),1*$BA266,$CE265))</f>
        <v>#N/A</v>
      </c>
      <c r="CB266" s="140" t="e">
        <f ca="1">IF($BX266&lt;0,-$BX266,$CA266*IF(OR($G266&lt;Control!$C$92,$G266&gt;Control!$C$95),0,IF(AND($G266&gt;=Control!$C$92,$G266&lt;=Control!$C$93),$G266-Control!$C$92,IF(AND($G266&gt;Control!$C$93,$G266&lt;=Control!$C$94),Control!$C$93-Control!$C$92,IF(AND($G266&gt;Control!$C$94,$G266&lt;=Control!$C$95),(Control!$C$93-Control!$C$92)*(Control!$C$94-$G266)/(Control!$C$95-Control!$C$94))))))</f>
        <v>#N/A</v>
      </c>
      <c r="CC266" s="140" t="e">
        <f t="shared" ca="1" si="1061"/>
        <v>#N/A</v>
      </c>
      <c r="CD266" s="140" t="e">
        <f ca="1">IF($CC266&lt;=Control!$C$90,$CC266,Control!$C$90-$CC266)</f>
        <v>#N/A</v>
      </c>
      <c r="CE266" s="140" t="e">
        <f ca="1">IF(AND($BB266&gt;=60,$BB266&lt;65),1,IF($CC266&gt;=Control!$C$90,0,$CA266))</f>
        <v>#N/A</v>
      </c>
      <c r="CF266" s="404" t="e">
        <f ca="1">IF($CE266=0,0,IF($CC266&lt;=Control!$C$90,$CA266*(60+(65-60)*(CD266/Control!$C$90)),0))</f>
        <v>#N/A</v>
      </c>
      <c r="CG266" s="140" t="e">
        <f ca="1">IF($BG266+$BM266+$BS266+$BY266+$CE266=1,0,IF(OR(AND($BB266&lt;90,$BB266&gt;=65),$CC266&gt;=Control!$C$90),$BA266,$CK265))</f>
        <v>#N/A</v>
      </c>
      <c r="CH266" s="140" t="e">
        <f ca="1">IF($CD266&lt;0,-$CD266,$CG266*IF(OR($G266&lt;Control!$C$92,$G266&gt;Control!$C$95),0,IF(AND($G266&gt;=Control!$C$92,$G266&lt;=Control!$C$93),$G266-Control!$C$92,IF(AND($G266&gt;Control!$C$93,$G266&lt;=Control!$C$94),Control!$C$93-Control!$C$92,IF(AND($G266&gt;Control!$C$94,$G266&lt;=Control!$C$95),(Control!$C$93-Control!$C$92)*(Control!$C$94-$G266)/(Control!$C$95-Control!$C$94))))))</f>
        <v>#N/A</v>
      </c>
      <c r="CI266" s="140" t="e">
        <f t="shared" ca="1" si="1062"/>
        <v>#N/A</v>
      </c>
      <c r="CJ266" s="140" t="e">
        <f ca="1">IF($CI266&lt;=Control!$C$91,$CI266,Control!$C$91-$CI266)</f>
        <v>#N/A</v>
      </c>
      <c r="CK266" s="140" t="e">
        <f ca="1">IF(AND($BB266&gt;=65,$BB266&lt;90),1,IF($CI266&gt;=Control!$C$91,0,$CG266))</f>
        <v>#N/A</v>
      </c>
      <c r="CL266" s="404" t="e">
        <f ca="1">IF($CK266=0,0,IF($CI266&lt;=Control!$C$91,$CG266*(65+(90-65)*($CJ266/Control!$C$91)),0))</f>
        <v>#N/A</v>
      </c>
      <c r="CM266" s="140" t="e">
        <f ca="1">IF($BG266+$BM266+$BS266+$BY266+$CE266+$CK266=1,0,IF(OR($BB266&gt;=90,$CI266&gt;=Control!$C$91),$BA266,$CM265))</f>
        <v>#N/A</v>
      </c>
      <c r="CN266" s="140" t="e">
        <f t="shared" ca="1" si="1063"/>
        <v>#N/A</v>
      </c>
      <c r="CO266" s="140" t="e">
        <f t="shared" ca="1" si="1064"/>
        <v>#N/A</v>
      </c>
      <c r="CP266" s="140" t="e">
        <f t="shared" ca="1" si="1065"/>
        <v>#N/A</v>
      </c>
      <c r="CQ266" s="141" t="e">
        <f ca="1">VLOOKUP($CP266,Control!$B$86:$G$91,6)</f>
        <v>#N/A</v>
      </c>
      <c r="CR266" s="141" t="e">
        <f ca="1">(1-$CQ266)*VLOOKUP($CP266,Control!$B$86:$D$91,3)</f>
        <v>#N/A</v>
      </c>
      <c r="CS266" s="141" t="e">
        <f ca="1">(1-$CQ266)*VLOOKUP($CP266,Control!$B$86:$E$91,4)</f>
        <v>#N/A</v>
      </c>
      <c r="CT266" s="141" t="e">
        <f ca="1">(1-$CQ266)*VLOOKUP($CP266,Control!$B$86:$F$91,5)</f>
        <v>#N/A</v>
      </c>
      <c r="CU266" s="141">
        <f t="shared" ca="1" si="1066"/>
        <v>0</v>
      </c>
      <c r="CV266" s="583">
        <f t="shared" ca="1" si="1067"/>
        <v>0</v>
      </c>
      <c r="CW266" s="142">
        <f t="shared" ca="1" si="1068"/>
        <v>262</v>
      </c>
      <c r="CX266" s="612" t="e">
        <f ca="1">IF(Control!$C$114=1,(MIN(Control!$C$120*(IF($NT266-0.01&lt;0,0,1)),Control!$C$119-$CY266)))</f>
        <v>#DIV/0!</v>
      </c>
      <c r="CY266" s="143" t="e">
        <f t="shared" ca="1" si="1069"/>
        <v>#N/A</v>
      </c>
      <c r="CZ266" s="144">
        <f t="shared" ca="1" si="946"/>
        <v>0</v>
      </c>
      <c r="DA266" s="144">
        <f t="shared" ca="1" si="947"/>
        <v>0</v>
      </c>
      <c r="DB266" s="144" t="e">
        <f t="shared" ca="1" si="948"/>
        <v>#N/A</v>
      </c>
      <c r="DC266" s="144" t="e">
        <f t="shared" ca="1" si="949"/>
        <v>#N/A</v>
      </c>
      <c r="DD266" s="144" t="e">
        <f t="shared" ca="1" si="1154"/>
        <v>#N/A</v>
      </c>
      <c r="DE266" s="143" t="e">
        <f t="shared" ca="1" si="1070"/>
        <v>#N/A</v>
      </c>
      <c r="DF266" s="145" t="e">
        <f ca="1">$DR266*EXP(-Control!$C$158*(1-$KH266))</f>
        <v>#N/A</v>
      </c>
      <c r="DG266" s="146" t="e">
        <f ca="1">IF(Control!$C$114=1, $DF266*$EY266, 0)</f>
        <v>#N/A</v>
      </c>
      <c r="DH266" s="147" t="e">
        <f t="shared" ca="1" si="1071"/>
        <v>#N/A</v>
      </c>
      <c r="DI266" s="144" t="e">
        <f t="shared" ca="1" si="1132"/>
        <v>#N/A</v>
      </c>
      <c r="DJ266" s="147" t="e">
        <f ca="1">$EF266*Control!$C$109</f>
        <v>#N/A</v>
      </c>
      <c r="DK266" s="144" t="e">
        <f t="shared" ca="1" si="1072"/>
        <v>#N/A</v>
      </c>
      <c r="DL266" s="144" t="e">
        <f t="shared" ca="1" si="950"/>
        <v>#N/A</v>
      </c>
      <c r="DM266" s="144" t="e">
        <f ca="1">IF(Control!$C$114=1, (1-EXP(-Control!$C$96*$DK266))*$AR266, 0)</f>
        <v>#N/A</v>
      </c>
      <c r="DN266" s="144">
        <f t="shared" ca="1" si="1073"/>
        <v>0</v>
      </c>
      <c r="DO266" s="148">
        <f>Control!$C$97</f>
        <v>4</v>
      </c>
      <c r="DP266" s="145" t="e">
        <f t="shared" ca="1" si="1074"/>
        <v>#N/A</v>
      </c>
      <c r="DQ266" s="145" t="e">
        <f ca="1">IF(AND($CP266&gt;=0,$CP266&lt;=90),Control!$C$111,Control!$C$111)</f>
        <v>#N/A</v>
      </c>
      <c r="DR266" s="145" t="e">
        <f t="shared" ca="1" si="951"/>
        <v>#N/A</v>
      </c>
      <c r="DS266" s="143" t="e">
        <f ca="1">Control!$B$22/$DR266</f>
        <v>#N/A</v>
      </c>
      <c r="DT266" s="149" t="e">
        <f ca="1">IF(AND(Control!$C$114=1,$KH266&lt;1),$IM266*$DF266, 0)</f>
        <v>#N/A</v>
      </c>
      <c r="DU266" s="144" t="e">
        <f t="shared" ca="1" si="1075"/>
        <v>#N/A</v>
      </c>
      <c r="DV266" s="144">
        <f ca="1">IF($G266-Control!$C$107&lt;=0, 0, 0.83*LN(MAX($G266, 3))-0.8924)</f>
        <v>0</v>
      </c>
      <c r="DW266" s="144" t="e">
        <f t="shared" ca="1" si="952"/>
        <v>#N/A</v>
      </c>
      <c r="DX266" s="150" t="e">
        <f ca="1">MAX(0.01*(1+$CU266/Control!$C$102),0.05*($DK266-Control!$C$97)/Control!$C$97)</f>
        <v>#N/A</v>
      </c>
      <c r="DY266" s="151" t="e">
        <f ca="1">IF(Control!$C$114=1, $DI266*$FS266, 0)</f>
        <v>#N/A</v>
      </c>
      <c r="DZ266" s="196" t="e">
        <f t="shared" ca="1" si="1076"/>
        <v>#N/A</v>
      </c>
      <c r="EA266" s="152">
        <f t="shared" ca="1" si="1077"/>
        <v>262</v>
      </c>
      <c r="EB266" s="153" t="e">
        <f t="shared" ca="1" si="1078"/>
        <v>#N/A</v>
      </c>
      <c r="EC266" s="153" t="e">
        <f t="shared" ca="1" si="1079"/>
        <v>#N/A</v>
      </c>
      <c r="ED266" s="154" t="e">
        <f ca="1">IF(Control!$C$114=1, $HM266*$FY266-$FD266, 0)</f>
        <v>#DIV/0!</v>
      </c>
      <c r="EE266" s="155" t="e">
        <f ca="1">IF(Control!$C$114=1, $HM266*$FZ266-$FF266, 0)</f>
        <v>#DIV/0!</v>
      </c>
      <c r="EF266" s="153" t="e">
        <f t="shared" ca="1" si="1133"/>
        <v>#N/A</v>
      </c>
      <c r="EG266" s="155" t="e">
        <f ca="1">IF(Control!$C$114=1, $GX266*$FW266-$FI266, 0)</f>
        <v>#DIV/0!</v>
      </c>
      <c r="EH266" s="153" t="e">
        <f t="shared" ca="1" si="1080"/>
        <v>#N/A</v>
      </c>
      <c r="EI266" s="156" t="e">
        <f t="shared" ca="1" si="1081"/>
        <v>#N/A</v>
      </c>
      <c r="EJ266" s="155" t="e">
        <f ca="1">IF(Control!$C$114=1, $HM266*$GB266, 0)</f>
        <v>#DIV/0!</v>
      </c>
      <c r="EK266" s="153" t="e">
        <f t="shared" ca="1" si="1134"/>
        <v>#N/A</v>
      </c>
      <c r="EL266" s="153" t="e">
        <f t="shared" ca="1" si="953"/>
        <v>#N/A</v>
      </c>
      <c r="EM266" s="153" t="e">
        <f t="shared" ca="1" si="954"/>
        <v>#N/A</v>
      </c>
      <c r="EN266" s="153" t="e">
        <f ca="1">IF(Control!$C$108=1,IF(AND(Control!$B$18=1,$EB266&gt;=Control!$B$19),$EB266-$DS266,IF(AND(Control!$B$18=2,$AW266=1,$EB266&gt;$DS266),$EB266-$DS266,0)))</f>
        <v>#N/A</v>
      </c>
      <c r="EO266" s="153" t="e">
        <f ca="1">IF(Control!$C$108=1,IF(AND(Control!$B$18=1,$EB266&gt;=Control!$B$19),$EF266,IF(AND(Control!$B$18=2,$AW266=1),$EF266,0)))</f>
        <v>#N/A</v>
      </c>
      <c r="EP266" s="153" t="e">
        <f ca="1">IF(Control!$C$108=1,IF(AND(Control!$B$18=1,$EB266&gt;=Control!$B$19),$EK266,IF(AND(Control!$B$18=2,$AW266=1),$EK266,0)))</f>
        <v>#N/A</v>
      </c>
      <c r="EQ266" s="153" t="e">
        <f t="shared" ca="1" si="1082"/>
        <v>#N/A</v>
      </c>
      <c r="ER266" s="153" t="e">
        <f t="shared" ca="1" si="1083"/>
        <v>#N/A</v>
      </c>
      <c r="ES266" s="153" t="e">
        <f t="shared" ca="1" si="1135"/>
        <v>#N/A</v>
      </c>
      <c r="ET266" s="153" t="e">
        <f t="shared" ca="1" si="1136"/>
        <v>#N/A</v>
      </c>
      <c r="EU266" s="153" t="e">
        <f t="shared" ca="1" si="1084"/>
        <v>#N/A</v>
      </c>
      <c r="EV266" s="153" t="e">
        <f t="shared" ca="1" si="955"/>
        <v>#N/A</v>
      </c>
      <c r="EW266" s="153" t="e">
        <f t="shared" ca="1" si="956"/>
        <v>#N/A</v>
      </c>
      <c r="EX266" s="153" t="e">
        <f t="shared" ca="1" si="957"/>
        <v>#N/A</v>
      </c>
      <c r="EY266" s="157" t="e">
        <f t="shared" ca="1" si="958"/>
        <v>#DIV/0!</v>
      </c>
      <c r="EZ266" s="154" t="e">
        <f t="shared" ca="1" si="959"/>
        <v>#DIV/0!</v>
      </c>
      <c r="FA266" s="153" t="e">
        <f t="shared" ca="1" si="1085"/>
        <v>#N/A</v>
      </c>
      <c r="FB266" s="153" t="e">
        <f t="shared" ca="1" si="960"/>
        <v>#N/A</v>
      </c>
      <c r="FC266" s="193" t="e">
        <f t="shared" ca="1" si="961"/>
        <v>#N/A</v>
      </c>
      <c r="FD266" s="158" t="e">
        <f t="shared" ca="1" si="1086"/>
        <v>#N/A</v>
      </c>
      <c r="FE266" s="158" t="e">
        <f t="shared" ca="1" si="1087"/>
        <v>#N/A</v>
      </c>
      <c r="FF266" s="159" t="e">
        <f t="shared" ca="1" si="962"/>
        <v>#N/A</v>
      </c>
      <c r="FG266" s="160" t="e">
        <f t="shared" ca="1" si="1088"/>
        <v>#N/A</v>
      </c>
      <c r="FH266" s="158" t="e">
        <f t="shared" ca="1" si="1089"/>
        <v>#N/A</v>
      </c>
      <c r="FI266" s="159" t="e">
        <f t="shared" ca="1" si="963"/>
        <v>#N/A</v>
      </c>
      <c r="FJ266" s="160" t="e">
        <f t="shared" ca="1" si="1090"/>
        <v>#N/A</v>
      </c>
      <c r="FK266" s="160" t="e">
        <f t="shared" ca="1" si="964"/>
        <v>#N/A</v>
      </c>
      <c r="FL266" s="160" t="e">
        <f t="shared" ca="1" si="1137"/>
        <v>#N/A</v>
      </c>
      <c r="FM266" s="160" t="e">
        <f t="shared" ca="1" si="965"/>
        <v>#N/A</v>
      </c>
      <c r="FN266" s="158">
        <f t="shared" ca="1" si="1091"/>
        <v>0.01</v>
      </c>
      <c r="FO266" s="160">
        <f>Control!$C$101</f>
        <v>50</v>
      </c>
      <c r="FP266" s="150" t="e">
        <f t="shared" ca="1" si="966"/>
        <v>#N/A</v>
      </c>
      <c r="FQ266" s="150" t="e">
        <f ca="1">MAX(0,(Control!$C$112*(($DK266-Control!$C$97)/Control!$C$97)))</f>
        <v>#N/A</v>
      </c>
      <c r="FR266" s="150" t="e">
        <f ca="1">(1-$NT266)*Control!$C$113</f>
        <v>#DIV/0!</v>
      </c>
      <c r="FS266" s="198" t="e">
        <f t="shared" ca="1" si="967"/>
        <v>#N/A</v>
      </c>
      <c r="FT266" s="161">
        <f t="shared" ca="1" si="1092"/>
        <v>262</v>
      </c>
      <c r="FU266" s="162" t="e">
        <f ca="1">IF(Control!$B$34=1,VLOOKUP($CP266,Control!$B$86:$G$91,6),Control!$B$35)</f>
        <v>#N/A</v>
      </c>
      <c r="FV266" s="162" t="e">
        <f t="shared" ca="1" si="968"/>
        <v>#DIV/0!</v>
      </c>
      <c r="FW266" s="162" t="e">
        <f ca="1">IF(Control!$B$31=1,$FU266*$FV266,  $FU266)</f>
        <v>#N/A</v>
      </c>
      <c r="FX266" s="162" t="e">
        <f ca="1">IF(Control!$B$34=1,VLOOKUP($CP266,Control!$B$86:$G$91,3),Control!$B$36)</f>
        <v>#N/A</v>
      </c>
      <c r="FY266" s="162" t="e">
        <f t="shared" ca="1" si="969"/>
        <v>#N/A</v>
      </c>
      <c r="FZ266" s="162" t="e">
        <f ca="1">IF(Control!$B$34=1,VLOOKUP($CP266,Control!$B$86:$G$91,4),Control!$B$37)</f>
        <v>#N/A</v>
      </c>
      <c r="GA266" s="162" t="e">
        <f t="shared" ca="1" si="970"/>
        <v>#N/A</v>
      </c>
      <c r="GB266" s="162" t="e">
        <f ca="1">IF(Control!$B$34=1,VLOOKUP($CP266,Control!$B$86:$G$91,5),Control!$B$38)</f>
        <v>#N/A</v>
      </c>
      <c r="GC266" s="162" t="e">
        <f t="shared" ca="1" si="1093"/>
        <v>#N/A</v>
      </c>
      <c r="GD266" s="162">
        <f t="shared" ca="1" si="971"/>
        <v>1</v>
      </c>
      <c r="GE266" s="162">
        <f t="shared" ca="1" si="972"/>
        <v>1</v>
      </c>
      <c r="GF266" s="162">
        <f ca="1">IF(AND(Control!$C$104=1, Control!$C$62="F"),$GE266,1)</f>
        <v>1</v>
      </c>
      <c r="GG266" s="162" t="e">
        <f ca="1">IF(Control!$B$16=40,0,IF(AND(Control!$B$16&gt;40,Control!$B$16&lt;=360),(Control!$B$16-40)*((1-0)/(360-40)),IF(AND(Control!$B$16&gt;360,Control!$B$16&lt;=720),(1+(Control!$B$16-360)*((1.25-1)/(720-360))),IF(AND(Control!$B$16&gt;720,Control!$B$16&lt;=1000),(1.25+(Control!$B$16-720)*((1.35-1.25)/(1000-720))),IF(AND(Control!$B$16&gt;1000,Control!$B$16&lt;=2000),(1.35+(Control!$B$16-1000)*0))))))</f>
        <v>#N/A</v>
      </c>
      <c r="GH266" s="162" t="e">
        <f t="shared" ca="1" si="973"/>
        <v>#N/A</v>
      </c>
      <c r="GI266" s="162">
        <f t="shared" ca="1" si="1094"/>
        <v>0</v>
      </c>
      <c r="GJ266" s="162">
        <f t="shared" ca="1" si="974"/>
        <v>0</v>
      </c>
      <c r="GK266" s="162">
        <f t="shared" ca="1" si="1095"/>
        <v>1</v>
      </c>
      <c r="GL266" s="162">
        <f t="shared" ca="1" si="975"/>
        <v>1</v>
      </c>
      <c r="GM266" s="162" t="e">
        <f ca="1">MAX(0,MIN(1,1-Control!$C$156*(1.0001-$KH266)^2))</f>
        <v>#N/A</v>
      </c>
      <c r="GN266" s="162" t="e">
        <f ca="1">IF(Control!$B$26=1,$KU266,$KX266)</f>
        <v>#N/A</v>
      </c>
      <c r="GO266" s="162" t="e">
        <f ca="1">IF($CP266&lt;=60,Control!$C$105,IF($CP266&gt;=90,Control!$C$106,Control!$C$105+($CP266-60)*((Control!$C$106-Control!$C$105)/(90-60))))</f>
        <v>#N/A</v>
      </c>
      <c r="GP266" s="162" t="e">
        <f t="shared" ca="1" si="976"/>
        <v>#N/A</v>
      </c>
      <c r="GQ266" s="162" t="e">
        <f t="shared" ca="1" si="1096"/>
        <v>#N/A</v>
      </c>
      <c r="GR266" s="163" t="e">
        <f t="shared" ca="1" si="977"/>
        <v>#DIV/0!</v>
      </c>
      <c r="GS266" s="162" t="e">
        <f t="shared" ca="1" si="978"/>
        <v>#DIV/0!</v>
      </c>
      <c r="GT266" s="164" t="e">
        <f t="shared" ca="1" si="1097"/>
        <v>#N/A</v>
      </c>
      <c r="GU266" s="162" t="e">
        <f t="shared" ca="1" si="1098"/>
        <v>#N/A</v>
      </c>
      <c r="GV266" s="162" t="e">
        <f t="shared" ca="1" si="979"/>
        <v>#N/A</v>
      </c>
      <c r="GW266" s="162" t="e">
        <f t="shared" ca="1" si="980"/>
        <v>#DIV/0!</v>
      </c>
      <c r="GX266" s="162" t="e">
        <f t="shared" ca="1" si="1099"/>
        <v>#DIV/0!</v>
      </c>
      <c r="GY266" s="162" t="e">
        <f t="shared" ca="1" si="1100"/>
        <v>#DIV/0!</v>
      </c>
      <c r="GZ266" s="165" t="e">
        <f t="shared" ca="1" si="981"/>
        <v>#N/A</v>
      </c>
      <c r="HA266" s="162" t="e">
        <f ca="1">IF(Control!$C$114=1, $DI266*$FS266, 0)</f>
        <v>#N/A</v>
      </c>
      <c r="HB266" s="162" t="e">
        <f ca="1">$FA266/Control!$C$64</f>
        <v>#N/A</v>
      </c>
      <c r="HC266" s="162" t="e">
        <f t="shared" ca="1" si="982"/>
        <v>#DIV/0!</v>
      </c>
      <c r="HD266" s="162">
        <f ca="1">-ASIN(SIN(23.45*Control!$C$139)*COS(2*Control!$C$138*($AH266+10)/365))</f>
        <v>1.1982292018973982E-2</v>
      </c>
      <c r="HE266" s="165">
        <f t="shared" ca="1" si="1101"/>
        <v>0</v>
      </c>
      <c r="HF266" s="166">
        <f ca="1">IF(AND(Control!$C$61="T",$HE266&gt;=Control!$C$103,Control!$C$114=0),$AH266,Control!$C$59)</f>
        <v>1</v>
      </c>
      <c r="HG266" s="166">
        <f ca="1">IF(AND(Control!$C$61="T",$HE266&gt;=Control!$C$103,Control!$C$114=0),$HF266,Control!$C$59)</f>
        <v>1</v>
      </c>
      <c r="HH266" s="165">
        <f ca="1">IF(AND(OR(Control!$C$60&lt;=0, $AH266= Control!$C$59, Control!$C$60 &gt;0, $AH266 = Control!$C$60)), Control!$C$59, IF(Control!$C$60&gt;0, 0))</f>
        <v>1</v>
      </c>
      <c r="HI266" s="165">
        <f ca="1">IF(AND(OR(Control!$C$60&lt;=0, $AH266= Control!$C$59, Control!$C$60 &gt;0, $AH266 = Control!$C$60)), Control!$C$60, IF(Control!$C$60&lt;=0, 0))</f>
        <v>0</v>
      </c>
      <c r="HJ266" s="166">
        <f ca="1">IF(AND(Control!$C$62="F",$CV266&gt;=Control!$C$102),$AH266,0)</f>
        <v>0</v>
      </c>
      <c r="HK266" s="165" t="e">
        <f t="shared" ca="1" si="1138"/>
        <v>#N/A</v>
      </c>
      <c r="HL266" s="166">
        <f ca="1">IF(AND(Control!$C$61="T",$HE266&gt;=Control!$C$103,Control!$C$114=0),$HF266,0)</f>
        <v>0</v>
      </c>
      <c r="HM266" s="201" t="e">
        <f t="shared" ca="1" si="983"/>
        <v>#DIV/0!</v>
      </c>
      <c r="HN266" s="215">
        <f t="shared" ca="1" si="1102"/>
        <v>262</v>
      </c>
      <c r="HO266" s="216" t="e">
        <f ca="1">IF(AND($CP266&gt;=0, $CP266&lt;=90), Control!$C$152, Control!$C$152)</f>
        <v>#N/A</v>
      </c>
      <c r="HP266" s="216" t="e">
        <f t="shared" ca="1" si="984"/>
        <v>#N/A</v>
      </c>
      <c r="HQ266" s="217" t="e">
        <f ca="1">IF(OR(Control!$B$26=1,Control!$B$26=2),$KV266,$KS266)</f>
        <v>#DIV/0!</v>
      </c>
      <c r="HR266" s="218" t="e">
        <f t="shared" ca="1" si="1139"/>
        <v>#DIV/0!</v>
      </c>
      <c r="HS266" s="216" t="e">
        <f ca="1">Control!$C$154*$HP266</f>
        <v>#N/A</v>
      </c>
      <c r="HT266" s="216" t="e">
        <f ca="1">Control!$C$155*$HP266</f>
        <v>#N/A</v>
      </c>
      <c r="HU266" s="217" t="e">
        <f ca="1">Control!$C$161*$FI266</f>
        <v>#N/A</v>
      </c>
      <c r="HV266" s="218" t="e">
        <f t="shared" ca="1" si="1103"/>
        <v>#N/A</v>
      </c>
      <c r="HW266" s="218" t="e">
        <f ca="1">Control!$C$160*$FF266+$IP266*$EO266</f>
        <v>#N/A</v>
      </c>
      <c r="HX266" s="218" t="e">
        <f t="shared" ca="1" si="1140"/>
        <v>#N/A</v>
      </c>
      <c r="HY266" s="219" t="e">
        <f ca="1">IF(Control!$C$114=1, $EB266*$FS266, 0)</f>
        <v>#N/A</v>
      </c>
      <c r="HZ266" s="91" t="e">
        <f t="shared" ca="1" si="985"/>
        <v>#N/A</v>
      </c>
      <c r="IA266" s="220" t="e">
        <f ca="1">Control!$C$153*$HO266</f>
        <v>#N/A</v>
      </c>
      <c r="IB266" s="218" t="e">
        <f t="shared" ca="1" si="986"/>
        <v>#N/A</v>
      </c>
      <c r="IC266" s="220" t="e">
        <f ca="1">Control!$C$153*$HT266</f>
        <v>#N/A</v>
      </c>
      <c r="ID266" s="218" t="e">
        <f t="shared" ca="1" si="987"/>
        <v>#N/A</v>
      </c>
      <c r="IE266" s="221" t="e">
        <f ca="1">($EB266*Control!$C$159+$EF266*Control!$C$160)/(IF($GZ266&lt;&gt;0,$GZ266,1))</f>
        <v>#N/A</v>
      </c>
      <c r="IF266" s="216" t="e">
        <f t="shared" ca="1" si="988"/>
        <v>#N/A</v>
      </c>
      <c r="IG266" s="91">
        <f ca="1">IF(OR(Control!$B$198=$AH266,Control!$B$199=$AH266, Control!$B$200=$AH266, Control!$B$201=$AH266, Control!$B$202=$AH266, Control!$B$203=$AH266, Control!$B$204=$AH266, Control!$B$205=$AH266, Control!$B$206=$AH266, Control!$B$207=$AH266), 1, 0)</f>
        <v>0</v>
      </c>
      <c r="IH266" s="91">
        <f ca="1">IF($IG266=0,0, VLOOKUP($AH266,Control!$B$198:$C$207,2))</f>
        <v>0</v>
      </c>
      <c r="II266" s="222">
        <f t="shared" ca="1" si="1104"/>
        <v>0</v>
      </c>
      <c r="IJ266" s="91">
        <f>Control!$C$121</f>
        <v>0.7</v>
      </c>
      <c r="IK266" s="218">
        <f t="shared" ca="1" si="989"/>
        <v>0</v>
      </c>
      <c r="IL266" s="217" t="e">
        <f t="shared" ca="1" si="1141"/>
        <v>#N/A</v>
      </c>
      <c r="IM266" s="223" t="e">
        <f ca="1">IF(AND(Control!$C$114=1,$KH266&lt;1),$EB266*Control!$C$148*(1-$KH266), 0)</f>
        <v>#N/A</v>
      </c>
      <c r="IN266" s="217" t="e">
        <f t="shared" ca="1" si="990"/>
        <v>#DIV/0!</v>
      </c>
      <c r="IO266" s="91" t="e">
        <f ca="1">MAX(0,$IL266-$EF266*Control!$C$160)</f>
        <v>#N/A</v>
      </c>
      <c r="IP266" s="220" t="e">
        <f t="shared" ca="1" si="991"/>
        <v>#N/A</v>
      </c>
      <c r="IQ266" s="217" t="e">
        <f t="shared" ca="1" si="1105"/>
        <v>#N/A</v>
      </c>
      <c r="IR266" s="218" t="e">
        <f t="shared" ca="1" si="992"/>
        <v>#N/A</v>
      </c>
      <c r="IS266" s="217" t="e">
        <f ca="1">Control!$C$159*MAX(0,$FD266-$EN266)</f>
        <v>#N/A</v>
      </c>
      <c r="IT266" s="217" t="e">
        <f t="shared" ca="1" si="1142"/>
        <v>#N/A</v>
      </c>
      <c r="IU266" s="217" t="e">
        <f t="shared" ca="1" si="1106"/>
        <v>#N/A</v>
      </c>
      <c r="IV266" s="217" t="e">
        <f t="shared" ca="1" si="1143"/>
        <v>#N/A</v>
      </c>
      <c r="IW266" s="217" t="e">
        <f ca="1">IF(OR($AW266=1,AND($AW266=0, Control!$B$18=1,$EN266&lt;&gt;0)), $IQ266-$IU266, $IQ266)</f>
        <v>#N/A</v>
      </c>
      <c r="IX266" s="218" t="e">
        <f t="shared" ca="1" si="993"/>
        <v>#N/A</v>
      </c>
      <c r="IY266" s="218" t="e">
        <f ca="1">MAX(0,$IQ266-$EB266*Control!$C$159)</f>
        <v>#N/A</v>
      </c>
      <c r="IZ266" s="218" t="e">
        <f t="shared" ca="1" si="994"/>
        <v>#N/A</v>
      </c>
      <c r="JA266" s="216" t="e">
        <f t="shared" ca="1" si="995"/>
        <v>#N/A</v>
      </c>
      <c r="JB266" s="217" t="e">
        <f t="shared" ca="1" si="996"/>
        <v>#N/A</v>
      </c>
      <c r="JC266" s="222" t="e">
        <f ca="1">MAX(Control!$C$157*$EK266-$JT266, 0)/Control!$C$162</f>
        <v>#N/A</v>
      </c>
      <c r="JD266" s="218" t="e">
        <f t="shared" ca="1" si="997"/>
        <v>#N/A</v>
      </c>
      <c r="JE266" s="218" t="e">
        <f t="shared" ca="1" si="998"/>
        <v>#N/A</v>
      </c>
      <c r="JF266" s="218" t="e">
        <f t="shared" ca="1" si="1107"/>
        <v>#N/A</v>
      </c>
      <c r="JG266" s="218" t="e">
        <f t="shared" ca="1" si="999"/>
        <v>#N/A</v>
      </c>
      <c r="JH266" s="217" t="e">
        <f t="shared" ca="1" si="1108"/>
        <v>#N/A</v>
      </c>
      <c r="JI266" s="217" t="e">
        <f t="shared" ca="1" si="1109"/>
        <v>#N/A</v>
      </c>
      <c r="JJ266" s="217" t="e">
        <f t="shared" ca="1" si="1144"/>
        <v>#N/A</v>
      </c>
      <c r="JK266" s="217" t="e">
        <f ca="1">IF(Control!$C$114=1,IF(Control!$B$24=0,MAX(0,$JI266)*$GN266/Control!$C$64,(MAX(0,MIN($JI266,$JJ266*$GN266/Control!$C$64),0))))</f>
        <v>#N/A</v>
      </c>
      <c r="JL266" s="217" t="e">
        <f ca="1">$IK266/Control!$C$64-$JK266+$HQ266</f>
        <v>#N/A</v>
      </c>
      <c r="JM266" s="217" t="e">
        <f ca="1">IF(Control!$C$114=1,($JB266/(IF($JI266&lt;&gt;0,$JI266,1)))*$JK266,0)</f>
        <v>#N/A</v>
      </c>
      <c r="JN266" s="217" t="e">
        <f ca="1">IF(Control!$C$114=1,($JG266/(IF($JI266&lt;&gt;0,$JI266,1)))*$JK266, 0)</f>
        <v>#N/A</v>
      </c>
      <c r="JO266" s="218" t="e">
        <f t="shared" ca="1" si="1000"/>
        <v>#N/A</v>
      </c>
      <c r="JP266" s="218" t="e">
        <f ca="1">MIN(($IY266+$IO266)*Control!$C$151, $JF266-$EH266*Control!$C$161)</f>
        <v>#N/A</v>
      </c>
      <c r="JQ266" s="218" t="e">
        <f t="shared" ca="1" si="1001"/>
        <v>#N/A</v>
      </c>
      <c r="JR266" s="217" t="e">
        <f ca="1">IF($CP266-Control!$C$150&lt;0, 0, $JQ266/Control!$C$162)</f>
        <v>#N/A</v>
      </c>
      <c r="JS266" s="218" t="e">
        <f t="shared" ca="1" si="1002"/>
        <v>#N/A</v>
      </c>
      <c r="JT266" s="218" t="e">
        <f t="shared" ca="1" si="1110"/>
        <v>#N/A</v>
      </c>
      <c r="JU266" s="218" t="e">
        <f t="shared" ca="1" si="1003"/>
        <v>#N/A</v>
      </c>
      <c r="JV266" s="218" t="e">
        <f t="shared" ca="1" si="1004"/>
        <v>#N/A</v>
      </c>
      <c r="JW266" s="216" t="e">
        <f t="shared" ca="1" si="1005"/>
        <v>#N/A</v>
      </c>
      <c r="JX266" s="91" t="e">
        <f t="shared" ca="1" si="1006"/>
        <v>#N/A</v>
      </c>
      <c r="JY266" s="218" t="e">
        <f t="shared" ca="1" si="1007"/>
        <v>#N/A</v>
      </c>
      <c r="JZ266" s="217" t="e">
        <f ca="1">IF(Control!$C$114=1,($IZ266/(IF($JI266&lt;&gt;0,$JI266,1)))*$JK266, 0)</f>
        <v>#N/A</v>
      </c>
      <c r="KA266" s="218" t="e">
        <f t="shared" ca="1" si="1145"/>
        <v>#N/A</v>
      </c>
      <c r="KB266" s="218" t="e">
        <f t="shared" ca="1" si="1111"/>
        <v>#N/A</v>
      </c>
      <c r="KC266" s="218" t="e">
        <f t="shared" ca="1" si="1008"/>
        <v>#N/A</v>
      </c>
      <c r="KD266" s="218" t="e">
        <f t="shared" ca="1" si="1009"/>
        <v>#N/A</v>
      </c>
      <c r="KE266" s="218" t="e">
        <f t="shared" ca="1" si="1010"/>
        <v>#N/A</v>
      </c>
      <c r="KF266" s="218" t="e">
        <f t="shared" ca="1" si="1011"/>
        <v>#N/A</v>
      </c>
      <c r="KG266" s="216" t="e">
        <f t="shared" ca="1" si="1012"/>
        <v>#N/A</v>
      </c>
      <c r="KH266" s="221" t="e">
        <f ca="1">IF(Control!$B$24=0,1,MAX(0.001,MIN(1,IF(($IF266-$IE266)&lt;&gt;0,($KG266-$IE266)/($IF266-$IE266),1))))</f>
        <v>#N/A</v>
      </c>
      <c r="KI266" s="222" t="e">
        <f ca="1">IF(Control!$C$114=1, $KI265+ $KH265, 0)</f>
        <v>#N/A</v>
      </c>
      <c r="KJ266" s="217" t="e">
        <f t="shared" ca="1" si="1013"/>
        <v>#N/A</v>
      </c>
      <c r="KK266" s="218" t="e">
        <f t="shared" ca="1" si="1014"/>
        <v>#N/A</v>
      </c>
      <c r="KL266" s="274" t="e">
        <f ca="1">IF(Control!$B$26=3,4000000000*EXP(-8400/($G266+273)),IF(Control!$B$26=4,4000000000*EXP(-8400/($G266+273))*($KT266),0))</f>
        <v>#DIV/0!</v>
      </c>
      <c r="KM266" s="274" t="e">
        <f ca="1">IF(Control!$B$26=3,5600000000000*EXP(-9800/($G266+273)),IF(Control!$B$26=4,5600000000000*EXP(-9800/($G266+273))*$KT266,0))</f>
        <v>#DIV/0!</v>
      </c>
      <c r="KN266" s="454" t="e">
        <f t="shared" ca="1" si="1112"/>
        <v>#DIV/0!</v>
      </c>
      <c r="KO266" s="274" t="e">
        <f t="shared" ca="1" si="1113"/>
        <v>#DIV/0!</v>
      </c>
      <c r="KP266" s="454" t="e">
        <f t="shared" ca="1" si="1015"/>
        <v>#DIV/0!</v>
      </c>
      <c r="KQ266" s="454" t="e">
        <f t="shared" ca="1" si="1016"/>
        <v>#DIV/0!</v>
      </c>
      <c r="KR266" s="454" t="e">
        <f t="shared" ca="1" si="1017"/>
        <v>#DIV/0!</v>
      </c>
      <c r="KS266" s="454" t="e">
        <f t="shared" ca="1" si="1018"/>
        <v>#DIV/0!</v>
      </c>
      <c r="KT266" s="455" t="e">
        <f t="shared" ca="1" si="1019"/>
        <v>#DIV/0!</v>
      </c>
      <c r="KU266" s="456" t="e">
        <f ca="1">IF($CP266-Control!$C$149&lt;0, IF($NT266-0.01&lt;0,0,1),0)</f>
        <v>#N/A</v>
      </c>
      <c r="KV266" s="456" t="e">
        <f ca="1">IF(Control!$C$114=1,MAX(0,MIN(Control!$C$125*$KW266*$GN266,$KW266)))</f>
        <v>#DIV/0!</v>
      </c>
      <c r="KW266" s="456" t="e">
        <f t="shared" ca="1" si="1146"/>
        <v>#DIV/0!</v>
      </c>
      <c r="KX266" s="457" t="e">
        <f ca="1">IF($CP266-Control!$C$149&lt;0, IF($MR266-$OM266&lt;0,0,1),0)</f>
        <v>#N/A</v>
      </c>
      <c r="KY266" s="167">
        <f t="shared" ca="1" si="1114"/>
        <v>262</v>
      </c>
      <c r="KZ266" s="168">
        <f ca="1">1370*(1+0.033*COS(2*Control!$C$138*$AH266/365))</f>
        <v>1360.9182050956101</v>
      </c>
      <c r="LA266" s="169">
        <f t="shared" ca="1" si="1115"/>
        <v>0.99337061168068908</v>
      </c>
      <c r="LB266" s="169">
        <f t="shared" ca="1" si="1116"/>
        <v>8.7807996935049988E-3</v>
      </c>
      <c r="LC266" s="169">
        <f ca="1">ACOS(-TAN((2*Control!$B$8/360))*TAN(Calculations!$LB266))</f>
        <v>1.5734060779953185</v>
      </c>
      <c r="LD266" s="169">
        <f ca="1">((24*60)/PI())*0.082*$LA266*(($LC266*SIN(Control!$B$8*2*PI()/360))*SIN($LB266)+COS(Control!$B$8*2*PI()/360)*COS($LB266)*SIN($LC266))</f>
        <v>23.392381281739858</v>
      </c>
      <c r="LE266" s="170">
        <f t="shared" ca="1" si="1020"/>
        <v>23.598987226276957</v>
      </c>
      <c r="LF266" s="170">
        <f ca="1">SIN(Control!$C$139*Control!$B$8)*SIN($HD266)</f>
        <v>9.4419646774035956E-3</v>
      </c>
      <c r="LG266" s="170">
        <f ca="1">COS(Control!$C$139*Control!$B$8)*COS($HD266)</f>
        <v>0.61561560668354109</v>
      </c>
      <c r="LH266" s="170">
        <f ca="1">12*(1+2*ASIN(MAX(-1,MIN(1,$LF266/$LG266))/Control!$C$138))</f>
        <v>12.117169568027437</v>
      </c>
      <c r="LI266" s="170">
        <f ca="1">12*(1+2*ASIN(MAX(-1,MIN(1,(-SIN(-4*Control!$C$139)+$LF266)/$LG266))/Control!$C$138))</f>
        <v>12.98308189619692</v>
      </c>
      <c r="LJ266" s="168">
        <f ca="1">3600*($LH266*$LF266+24*$LG266*SQRT(1-$LK266*$LK266)/Control!$C$138)</f>
        <v>17340.489044761533</v>
      </c>
      <c r="LK266" s="170">
        <f t="shared" ca="1" si="1021"/>
        <v>1.5337435527779372E-2</v>
      </c>
      <c r="LL266" s="170">
        <f t="shared" ca="1" si="1022"/>
        <v>0</v>
      </c>
      <c r="LM266" s="171">
        <f ca="1">Control!$C$145*$AB266</f>
        <v>6.6660906138995932E-2</v>
      </c>
      <c r="LN266" s="170">
        <f t="shared" ca="1" si="1117"/>
        <v>0.54</v>
      </c>
      <c r="LO266" s="170">
        <f t="shared" ca="1" si="1023"/>
        <v>0</v>
      </c>
      <c r="LP266" s="170">
        <f ca="1">Control!$C$140*((($D266+273.16)^4+($E266+273.16)^4)/2)*(0.34-0.14*SQRT($Y266))*(1.35*$AQ266/(0.75*$LD266)-0.35)</f>
        <v>-3.2464704755046001</v>
      </c>
      <c r="LQ266" s="170">
        <f ca="1">Control!$C$140*($G266+273)^4*(0.56-0.079*SQRT($Y266*10))*(0.1+0.9*$LO266)</f>
        <v>1.5241745131704001</v>
      </c>
      <c r="LR266" s="170">
        <f ca="1">$AQ266*(1-Control!$C$142)-$LQ266</f>
        <v>-1.5241745131704001</v>
      </c>
      <c r="LS266" s="170">
        <f ca="1">$AQ266*(1-Control!$C$143)-$LQ266</f>
        <v>-1.5241745131704001</v>
      </c>
      <c r="LT266" s="170">
        <f ca="1">$AQ266*(1-Control!$C$144)-$LQ266</f>
        <v>-1.5241745131704001</v>
      </c>
      <c r="LU266" s="169">
        <f ca="1">(1-Control!$C$144)*AQ266-LP266</f>
        <v>3.2464704755046001</v>
      </c>
      <c r="LV266" s="172">
        <f t="shared" ca="1" si="1024"/>
        <v>0.79430000000000012</v>
      </c>
      <c r="LW266" s="170">
        <f t="shared" ca="1" si="1025"/>
        <v>1.5886000000000002</v>
      </c>
      <c r="LX266" s="170">
        <f ca="1">($AC266*($LR266/Control!$C$141)+$LM266*$LV266)/($AC266+$LM266)</f>
        <v>0.23530094218323697</v>
      </c>
      <c r="LY266" s="170">
        <f ca="1">($AC266*($LS266/Control!$C$141)+$LM266*$LV266)/($AC266+$LM266)</f>
        <v>0.23530094218323697</v>
      </c>
      <c r="LZ266" s="170">
        <f t="shared" ca="1" si="1026"/>
        <v>0.23530094218323697</v>
      </c>
      <c r="MA266" s="170">
        <f t="shared" ca="1" si="1027"/>
        <v>0.23530094218323697</v>
      </c>
      <c r="MB266" s="170" t="e">
        <f t="shared" ca="1" si="1028"/>
        <v>#N/A</v>
      </c>
      <c r="MC266" s="170">
        <f t="shared" ca="1" si="1118"/>
        <v>0.6018</v>
      </c>
      <c r="MD266" s="170">
        <f t="shared" ca="1" si="1029"/>
        <v>0.52989392535414004</v>
      </c>
      <c r="ME266" s="170">
        <f ca="1">($AC266*($LT266/Control!$C$141)+$LM266*$LW266)/($AC266+$LM266)</f>
        <v>0.71612369323045078</v>
      </c>
      <c r="MF266" s="170" t="e">
        <f ca="1">IF(Control!$B$16&gt;=1000,0.92,IF(AND(720&lt;=Control!$B$16,1000&gt;Control!$B$16),(0.95+(Control!$B$16-720)*((0.92-0.95)/(1000-720))),IF(AND(360&lt;=Control!$B$16,720&gt;Control!$B$16),(1+(Control!$B$16-360)*((0.95-1)/(720-360))),IF(AND(40&lt;=Control!$B$16,360&gt;Control!$B$16),(1.05+(Control!$B$16-40)*((1.05-1)/(360-40)))))))</f>
        <v>#N/A</v>
      </c>
      <c r="MG266" s="170">
        <f t="shared" ca="1" si="1030"/>
        <v>0.71612369323045078</v>
      </c>
      <c r="MH266" s="170" t="e">
        <f t="shared" ref="MH266:MI285" ca="1" si="1155">$MG266*$MF266</f>
        <v>#N/A</v>
      </c>
      <c r="MI266" s="170" t="e">
        <f t="shared" ca="1" si="1155"/>
        <v>#N/A</v>
      </c>
      <c r="MJ266" s="170" t="e">
        <f ca="1">MAX(0.0001, Control!$C$132*$MI266*$DL266)</f>
        <v>#N/A</v>
      </c>
      <c r="MK266" s="170">
        <f ca="1">1/(0.76+1.5*($MG266/10))-(5-Control!$C$110)*0.1</f>
        <v>1.002845988140797</v>
      </c>
      <c r="ML266" s="173">
        <f ca="1">IF(Control!$C$110&lt;3,$MK266+($MG266-0.6)/(Control!$C$110*(Control!$C$110+3)), MAX(0.1, MIN(0.95,$MK266)))</f>
        <v>0.95</v>
      </c>
      <c r="MM266" s="173">
        <f ca="1">IF(Control!$C$110&lt;3,$MK266+(($MI266/10)-0.6)/(Control!$C$110*(Control!$C$110+3)), MAX(0.1, MIN(0.95,$MK266)))</f>
        <v>0.95</v>
      </c>
      <c r="MN266" s="173">
        <f ca="1">(1-$MM266)*(Control!$C$128-Control!$C$127)+Control!$C$127</f>
        <v>0.16</v>
      </c>
      <c r="MO266" s="170" t="e">
        <f ca="1">MAX(0,MIN(1,($MS266-Control!$C$127)/($MN266-Control!$C$127)))</f>
        <v>#DIV/0!</v>
      </c>
      <c r="MP266" s="173" t="e">
        <f ca="1">1/(0.76+1.5*$MI266)-(5-Control!$C$110)*0.1</f>
        <v>#N/A</v>
      </c>
      <c r="MQ266" s="172" t="e">
        <f t="shared" ca="1" si="1147"/>
        <v>#DIV/0!</v>
      </c>
      <c r="MR266" s="168" t="e">
        <f t="shared" ca="1" si="1119"/>
        <v>#DIV/0!</v>
      </c>
      <c r="MS266" s="173" t="e">
        <f ca="1">MAX(Control!$C$127, MIN(Control!$C$135, $MR266/MAX(0.0001,$CY266)))</f>
        <v>#DIV/0!</v>
      </c>
      <c r="MT266" s="168" t="e">
        <f ca="1">(Control!$C$128-$MS266)*Control!$C$74</f>
        <v>#DIV/0!</v>
      </c>
      <c r="MU266" s="168" t="e">
        <f ca="1">(Control!$C$135-$MS266)*Control!$C$74</f>
        <v>#DIV/0!</v>
      </c>
      <c r="MV266" s="168" t="e">
        <f t="shared" ca="1" si="1120"/>
        <v>#DIV/0!</v>
      </c>
      <c r="MW266" s="168" t="e">
        <f t="shared" ca="1" si="1121"/>
        <v>#DIV/0!</v>
      </c>
      <c r="MX266" s="171" t="e">
        <f ca="1">MAX(Control!$C$127, MIN(Control!$C$135, $MW266/MAX(0.0001,Control!$C$119-$CY266)))</f>
        <v>#DIV/0!</v>
      </c>
      <c r="MY266" s="54" t="e">
        <f ca="1">IF(Control!$C$114=1, $CX266*$MX266, 0)</f>
        <v>#DIV/0!</v>
      </c>
      <c r="MZ266" s="54" t="e">
        <f t="shared" ca="1" si="1122"/>
        <v>#N/A</v>
      </c>
      <c r="NA266" s="168" t="e">
        <f ca="1">(Control!$C$128-$MX266)*(Control!$C$119-Control!$C$74)</f>
        <v>#DIV/0!</v>
      </c>
      <c r="NB266" s="168" t="e">
        <f ca="1">(Control!$C$135-$MX266)*(Control!$C$119-Control!$C$74)</f>
        <v>#DIV/0!</v>
      </c>
      <c r="NC266" s="174" t="e">
        <f t="shared" ca="1" si="1123"/>
        <v>#DIV/0!</v>
      </c>
      <c r="ND266" s="54">
        <f ca="1">IF(Control!$C$58=2, IF(OR(Control!$B$218=$AH266,Control!$B$219=$AH266, Control!$B$220=$AH266, Control!$B$221=$AH266, Control!$B$222=$AH266, Control!$B$223=$AH266, Control!$B$224=$AH266, Control!$B$225=$AH266, Control!$B$226=$AH266, Control!$B$227=$AH266, Control!$B$228=$AH266), 1, 0), 0)</f>
        <v>0</v>
      </c>
      <c r="NE266" s="54">
        <f ca="1">IF($ND266=0,0, VLOOKUP($AH266,Control!$B$218:$C$228,2))</f>
        <v>0</v>
      </c>
      <c r="NF266" s="168" t="e">
        <f ca="1">$CY266*(Control!$C$128-Control!$C$127)</f>
        <v>#N/A</v>
      </c>
      <c r="NG266" s="54" t="e">
        <f ca="1">IF(Control!$C$58=2, $NI265-$NJ265, 0)</f>
        <v>#DIV/0!</v>
      </c>
      <c r="NH266" s="54" t="e">
        <f ca="1">IF(AND(Control!$C$58=1, $MS265&lt;= ($MN265+0.02), $I265&lt;10), 0, IF(Control!$C$58=2, $NG265, 0))</f>
        <v>#DIV/0!</v>
      </c>
      <c r="NI266" s="54" t="e">
        <f ca="1">IF(Control!$C$58=2, $NE266+$NH266,0)</f>
        <v>#DIV/0!</v>
      </c>
      <c r="NJ266" s="54" t="e">
        <f ca="1">IF(AND(Control!$C$58=1, $MS266&lt;= ($MN266+0.02), $I266&lt;10), MAX(0, MIN(10, 0.7*($NF266-$MV266))), IF(Control!$C$58=2, MIN(10,$NI266),0))</f>
        <v>#DIV/0!</v>
      </c>
      <c r="NK266" s="54" t="e">
        <f t="shared" ca="1" si="1031"/>
        <v>#DIV/0!</v>
      </c>
      <c r="NL266" s="173" t="e">
        <f ca="1">(1-Control!$C$73)*$I266+$NJ266</f>
        <v>#DIV/0!</v>
      </c>
      <c r="NM266" s="172" t="e">
        <f ca="1">IF($NL266&lt;0.5, $MB266* MAX(0, MIN(1, (SQRT($NC266)-SQRT($NC266-1))*Control!$C$71)),0)</f>
        <v>#DIV/0!</v>
      </c>
      <c r="NN266" s="170" t="e">
        <f ca="1">IF($NL266&gt;=5, $MB266, MAX(0,MIN($MB266, $NM266+$NL266,($MS266-Control!$C$129))))</f>
        <v>#DIV/0!</v>
      </c>
      <c r="NO266" s="54">
        <f>IF(Control!$C$133&lt;&gt;1, Control!$C$135-Control!$C$131, 0)</f>
        <v>0.38</v>
      </c>
      <c r="NP266" s="54" t="e">
        <f t="shared" ca="1" si="1032"/>
        <v>#DIV/0!</v>
      </c>
      <c r="NQ266" s="173" t="e">
        <f ca="1">MAX(0,MIN(1,(Control!$C$135-$MS266)/(Control!$C$135-$NO266)))</f>
        <v>#DIV/0!</v>
      </c>
      <c r="NR266" s="170" t="e">
        <f ca="1">IF(Control!$C$133&lt;&gt;1, $NQ266+((1-$NP266/4)*(1-$NQ266)),1)</f>
        <v>#DIV/0!</v>
      </c>
      <c r="NS266" s="170" t="e">
        <f ca="1">IF(Control!$B$31=0,$MJ266,MAX(0,MIN($MV266,$MO266*$NR266*$MJ266)))</f>
        <v>#DIV/0!</v>
      </c>
      <c r="NT266" s="170" t="e">
        <f t="shared" ca="1" si="1148"/>
        <v>#DIV/0!</v>
      </c>
      <c r="NU266" s="170" t="e">
        <f t="shared" ca="1" si="1124"/>
        <v>#N/A</v>
      </c>
      <c r="NV266" s="170" t="e">
        <f t="shared" ca="1" si="1033"/>
        <v>#N/A</v>
      </c>
      <c r="NW266" s="175" t="e">
        <f t="shared" ca="1" si="1034"/>
        <v>#DIV/0!</v>
      </c>
      <c r="NX266" s="170" t="e">
        <f ca="1">MIN(Control!$C$72+$MU266, $NW266)</f>
        <v>#DIV/0!</v>
      </c>
      <c r="NY266" s="170" t="e">
        <f ca="1">IF($MT266&lt;=$NX266,MIN(Control!$C$72+$NB266,$NX266-$MT266),0)</f>
        <v>#DIV/0!</v>
      </c>
      <c r="NZ266" s="54" t="e">
        <f ca="1">IF(Control!$C$114=1,  $CX266*($MX266-Control!$C$127), 0)</f>
        <v>#DIV/0!</v>
      </c>
      <c r="OA266" s="170" t="e">
        <f t="shared" ca="1" si="1035"/>
        <v>#DIV/0!</v>
      </c>
      <c r="OB266" s="170" t="e">
        <f ca="1">IF($NA266 &lt;=$NY266, MIN(Control!$C$72, $NY266-$NA266), 0)</f>
        <v>#DIV/0!</v>
      </c>
      <c r="OC266" s="168" t="e">
        <f t="shared" ca="1" si="1036"/>
        <v>#DIV/0!</v>
      </c>
      <c r="OD266" s="168" t="e">
        <f t="shared" ca="1" si="1125"/>
        <v>#DIV/0!</v>
      </c>
      <c r="OE266" s="170">
        <f ca="1">Control!$C$73*$I266</f>
        <v>0</v>
      </c>
      <c r="OF266" s="176" t="e">
        <f t="shared" ca="1" si="1037"/>
        <v>#DIV/0!</v>
      </c>
      <c r="OG266" s="168" t="e">
        <f t="shared" ca="1" si="1038"/>
        <v>#DIV/0!</v>
      </c>
      <c r="OH266" s="168" t="e">
        <f t="shared" ca="1" si="1039"/>
        <v>#DIV/0!</v>
      </c>
      <c r="OI266" s="168" t="e">
        <f t="shared" ca="1" si="1040"/>
        <v>#DIV/0!</v>
      </c>
      <c r="OJ266" s="168" t="e">
        <f t="shared" ca="1" si="1041"/>
        <v>#DIV/0!</v>
      </c>
      <c r="OK266" s="204" t="e">
        <f t="shared" ca="1" si="1042"/>
        <v>#DIV/0!</v>
      </c>
      <c r="OL266" s="177">
        <f>Control!$C$127</f>
        <v>0.15</v>
      </c>
      <c r="OM266" s="182" t="e">
        <f t="shared" ca="1" si="1043"/>
        <v>#N/A</v>
      </c>
      <c r="ON266" s="177">
        <f>Control!$C$128</f>
        <v>0.35</v>
      </c>
      <c r="OO266" s="182" t="e">
        <f t="shared" ca="1" si="1044"/>
        <v>#N/A</v>
      </c>
      <c r="OP266" s="138">
        <f t="shared" ca="1" si="1126"/>
        <v>0</v>
      </c>
      <c r="OQ266" s="138" t="e">
        <f t="shared" ca="1" si="1149"/>
        <v>#DIV/0!</v>
      </c>
      <c r="OR266" s="138" t="e">
        <f t="shared" ca="1" si="1127"/>
        <v>#DIV/0!</v>
      </c>
      <c r="OS266" s="137" t="e">
        <f t="shared" ca="1" si="1150"/>
        <v>#DIV/0!</v>
      </c>
      <c r="OT266" s="139" t="e">
        <f t="shared" ca="1" si="1151"/>
        <v>#DIV/0!</v>
      </c>
      <c r="OU266" s="138" t="e">
        <f t="shared" ca="1" si="1152"/>
        <v>#N/A</v>
      </c>
      <c r="OV266" s="138" t="e">
        <f t="shared" ca="1" si="1153"/>
        <v>#DIV/0!</v>
      </c>
      <c r="OW266" s="138" t="e">
        <f t="shared" ca="1" si="1128"/>
        <v>#DIV/0!</v>
      </c>
      <c r="OX266" s="138" t="e">
        <f t="shared" ca="1" si="1129"/>
        <v>#DIV/0!</v>
      </c>
      <c r="OY266" s="138" t="e">
        <f t="shared" ca="1" si="1130"/>
        <v>#DIV/0!</v>
      </c>
      <c r="OZ266" s="138" t="e">
        <f t="shared" ca="1" si="1045"/>
        <v>#DIV/0!</v>
      </c>
      <c r="PA266" s="138" t="e">
        <f t="shared" ca="1" si="1046"/>
        <v>#DIV/0!</v>
      </c>
      <c r="PB266" s="55">
        <f>IF(Control!$C$61="T", IF(Control!$C$65="F", IF($AH$6-Control!$C$60&lt;0,0,1), IF(365+$AH$6-Control!$C$60&lt;0,0,1)),0)</f>
        <v>0</v>
      </c>
      <c r="PC266" s="55">
        <f ca="1">IF(Control!$C$65="F", IF($AH$6-$HF266&lt;0,0,1), IF(365+$AH$6-$HF266&lt;0,0,1))</f>
        <v>1</v>
      </c>
      <c r="PD266" s="444">
        <f>Control!$C$118</f>
        <v>1500</v>
      </c>
      <c r="PE266" s="180" t="e">
        <f t="shared" ca="1" si="1047"/>
        <v>#N/A</v>
      </c>
      <c r="PF266" s="445">
        <f t="shared" ca="1" si="1131"/>
        <v>0.71612369323045078</v>
      </c>
      <c r="PT266" s="186"/>
      <c r="PU266" s="186"/>
      <c r="PV266" s="94"/>
      <c r="PW266" s="94"/>
      <c r="PX266" s="94"/>
      <c r="PY266" s="94"/>
      <c r="PZ266" s="94"/>
      <c r="QA266" s="94"/>
      <c r="QB266" s="94"/>
      <c r="QC266" s="94"/>
      <c r="QD266" s="94"/>
      <c r="QE266" s="94"/>
      <c r="QF266" s="94"/>
      <c r="QG266" s="94"/>
      <c r="QH266" s="94"/>
      <c r="QI266" s="94"/>
      <c r="QJ266" s="94"/>
      <c r="QK266" s="94"/>
      <c r="QL266" s="94"/>
      <c r="QM266" s="94"/>
      <c r="QN266" s="94"/>
      <c r="QO266" s="94"/>
      <c r="QP266" s="94"/>
    </row>
    <row r="267" spans="1:458" s="2" customFormat="1" x14ac:dyDescent="0.2">
      <c r="A267" s="395">
        <v>19</v>
      </c>
      <c r="B267" s="396">
        <v>9</v>
      </c>
      <c r="C267" s="387">
        <f ca="1">Weather_data!$B266</f>
        <v>0</v>
      </c>
      <c r="D267" s="388">
        <f ca="1">Weather_data!$F266</f>
        <v>0</v>
      </c>
      <c r="E267" s="388">
        <f ca="1">Weather_data!$E266</f>
        <v>0</v>
      </c>
      <c r="F267" s="388">
        <f t="shared" ca="1" si="1048"/>
        <v>0</v>
      </c>
      <c r="G267" s="388">
        <f ca="1">AVERAGE($D267:$E267)+Control!$B$9</f>
        <v>0</v>
      </c>
      <c r="H267" s="388">
        <f ca="1">Weather_data!$G266</f>
        <v>0</v>
      </c>
      <c r="I267" s="388">
        <f ca="1">Weather_data!$I266</f>
        <v>0</v>
      </c>
      <c r="J267" s="388">
        <f ca="1">Weather_data!$H266</f>
        <v>0</v>
      </c>
      <c r="K267" s="389">
        <f ca="1">Weather_data!$D266</f>
        <v>0</v>
      </c>
      <c r="L267" s="388" t="e">
        <f t="shared" ca="1" si="1049"/>
        <v>#N/A</v>
      </c>
      <c r="M267" s="388" t="e">
        <f t="shared" ca="1" si="927"/>
        <v>#N/A</v>
      </c>
      <c r="N267" s="388">
        <f t="shared" ca="1" si="928"/>
        <v>-5.7051224212341379E-13</v>
      </c>
      <c r="O267" s="388">
        <f t="shared" ca="1" si="1050"/>
        <v>5.7051224212341375E-12</v>
      </c>
      <c r="P267" s="390">
        <v>3</v>
      </c>
      <c r="Q267" s="388">
        <f ca="1">MAX($G267-Control!$C$107,0)</f>
        <v>0</v>
      </c>
      <c r="R267" s="388">
        <f t="shared" ca="1" si="1051"/>
        <v>0</v>
      </c>
      <c r="S267" s="388">
        <f t="shared" ca="1" si="929"/>
        <v>0</v>
      </c>
      <c r="T267" s="388">
        <f t="shared" ca="1" si="930"/>
        <v>0</v>
      </c>
      <c r="U267" s="59">
        <f t="shared" ca="1" si="931"/>
        <v>0</v>
      </c>
      <c r="V267" s="391">
        <f ca="1">MAX(0,MIN(Control!$C$100-Control!$C$99,$G267-Control!$C$99)*Control!$C$63)</f>
        <v>0</v>
      </c>
      <c r="W267" s="388">
        <f t="shared" ca="1" si="1052"/>
        <v>0</v>
      </c>
      <c r="X267" s="388">
        <f t="shared" ca="1" si="1053"/>
        <v>0.6110000000000001</v>
      </c>
      <c r="Y267" s="388">
        <f t="shared" ca="1" si="932"/>
        <v>0</v>
      </c>
      <c r="Z267" s="388">
        <f t="shared" ca="1" si="1054"/>
        <v>0.61058800000000002</v>
      </c>
      <c r="AA267" s="388">
        <f t="shared" ca="1" si="933"/>
        <v>0.6018</v>
      </c>
      <c r="AB267" s="388">
        <f ca="1">101.3*EXP(-0.034*Control!$C$66/($G267+273))</f>
        <v>100.69623283836242</v>
      </c>
      <c r="AC267" s="392">
        <f t="shared" ca="1" si="934"/>
        <v>4.3460251046025113E-2</v>
      </c>
      <c r="AD267" s="392">
        <f t="shared" ca="1" si="935"/>
        <v>4.4450382862832649E-2</v>
      </c>
      <c r="AE267" s="388">
        <f t="shared" ca="1" si="936"/>
        <v>0</v>
      </c>
      <c r="AF267" s="388">
        <f ca="1">MAX(0,$G267-Control!$C$92)</f>
        <v>0</v>
      </c>
      <c r="AG267" s="393">
        <f t="shared" ca="1" si="937"/>
        <v>263</v>
      </c>
      <c r="AH267" s="389">
        <f t="shared" ca="1" si="938"/>
        <v>263</v>
      </c>
      <c r="AI267" s="388">
        <f t="shared" ca="1" si="1055"/>
        <v>5.1332956607667525E-3</v>
      </c>
      <c r="AJ267" s="388">
        <f ca="1">IF(Control!$C$60&lt;=0,$HH267,$HI267)</f>
        <v>1</v>
      </c>
      <c r="AK267" s="388">
        <f t="shared" ca="1" si="939"/>
        <v>3.1501997567503128</v>
      </c>
      <c r="AL267" s="388">
        <f t="shared" ca="1" si="940"/>
        <v>3.0653726085239089E-18</v>
      </c>
      <c r="AM267" s="388">
        <f t="shared" ca="1" si="941"/>
        <v>3.1501997567503128</v>
      </c>
      <c r="AN267" s="388">
        <f t="shared" ca="1" si="942"/>
        <v>-3.4238700519226275E-3</v>
      </c>
      <c r="AO267" s="388">
        <f ca="1">-0.10453/COS(Control!$B$8*PI()/180)*COS(AN267)</f>
        <v>-0.16978386904696824</v>
      </c>
      <c r="AP267" s="388">
        <f ca="1">ACOS(AO267-TAN(Control!$B$8*PI()/180)*TAN(AN267))</f>
        <v>1.7369614296604972</v>
      </c>
      <c r="AQ267" s="388">
        <f t="shared" ca="1" si="1056"/>
        <v>0</v>
      </c>
      <c r="AR267" s="394">
        <f t="shared" ca="1" si="943"/>
        <v>0</v>
      </c>
      <c r="AS267" s="436">
        <f ca="1">IF(Control!$B$18=2,(IF(OR($AH267=Control!$B$175,$AH267=Control!$B$176,$AH267=Control!$B$177,$AH267=Control!$B$178,$AH267=Control!$B$179,$AH267=Control!$B$180,$AH267=Control!$B$181,$AH267=Control!$B$182,$AH267=Control!$B$183,$AH267=Control!$B$184,$AH267=Control!$B$185),1,0)),0)</f>
        <v>0</v>
      </c>
      <c r="AT267" s="436">
        <f>IF(Control!$B$20=8,IF(AND($AH267&gt;=Control!$B$172,$AH267&lt;=Control!$B$173),1,0),0)</f>
        <v>0</v>
      </c>
      <c r="AU267" s="436">
        <f>IF(Control!$B$20=8,IF($AV266=1,1*$AT267,IF($AT267=1,$AU266+1,$AU266)),0)</f>
        <v>0</v>
      </c>
      <c r="AV267" s="436">
        <f>IF(Control!$B$20=8,IF($AU267&gt;=Control!$B$174,1,0),0)</f>
        <v>0</v>
      </c>
      <c r="AW267" s="436">
        <f ca="1">IF(AND(Control!$B$18=2,Control!$B$171=1), $AV267, $AS267)</f>
        <v>0</v>
      </c>
      <c r="AX267" s="436" t="e">
        <f ca="1">IF(AND(Control!$B$18=1,$EU267&gt;=Control!$B$19),-$AY267,IF(AND(Control!$B$18=2,$AW267=1,$EU267&gt;$DS267),-$AY267, IF(Control!$C$108=0,0, IF(Control!$C$108&lt;&gt;0,1))))</f>
        <v>#N/A</v>
      </c>
      <c r="AY267" s="436" t="e">
        <f t="shared" ca="1" si="1057"/>
        <v>#N/A</v>
      </c>
      <c r="AZ267" s="436" t="e">
        <f ca="1">IF(AND(Control!$B$18=1,$EB267&gt;Control!$B$19),$AZ266+1, IF(AND(Control!$B$18=2, $AW267=1, $EB267&gt;$DS267), $AZ266+1,$AZ266))</f>
        <v>#N/A</v>
      </c>
      <c r="BA267" s="587">
        <f>IF(Control!$C$81=0,1,IF($AH267&gt;=Control!$C$82,1,0))</f>
        <v>1</v>
      </c>
      <c r="BB267" s="140" t="e">
        <f ca="1">IF($BA267&gt;$BA266,Control!$C$83,IF($AW267&gt;0,$AW267*Control!$C$84,IF(AND(Control!$B$18=1,EN266&lt;&gt;0),Control!$C$84,0)))</f>
        <v>#N/A</v>
      </c>
      <c r="BC267" s="140" t="e">
        <f t="shared" ca="1" si="1058"/>
        <v>#N/A</v>
      </c>
      <c r="BD267" s="140" t="e">
        <f ca="1">BC267*IF(OR($G267&lt;Control!$C$92,$G267&gt;Control!$C$95),0,IF(AND($G267&gt;=Control!$C$92,$G267&lt;=Control!$C$93),$G267-Control!$C$92,IF(AND($G267&gt;Control!$C$93,$G267&lt;=Control!$C$94),Control!$C$93-Control!$C$92,IF(AND($G267&gt;Control!$C$94,$G267&lt;=Control!$C$95),(Control!$C$93-Control!$C$92)*(Control!$C$94-$G267)/(Control!$C$95-Control!$C$94)))))</f>
        <v>#N/A</v>
      </c>
      <c r="BE267" s="140" t="e">
        <f t="shared" ca="1" si="1059"/>
        <v>#N/A</v>
      </c>
      <c r="BF267" s="140" t="e">
        <f ca="1">IF($BE267&lt;=Control!$C$86,$BE267,Control!$C$86-$BE267)</f>
        <v>#N/A</v>
      </c>
      <c r="BG267" s="140" t="e">
        <f ca="1">IF(AND($AW267=1,Control!$C$84&lt;9),1,IF($BE267&gt;=Control!$C$86,0,$BC267))</f>
        <v>#N/A</v>
      </c>
      <c r="BH267" s="404" t="e">
        <f ca="1">IF($BG267=0,0,IF($BE267&lt;=Control!$C$86,$BC267*9*($BF267/Control!$C$86),0))</f>
        <v>#N/A</v>
      </c>
      <c r="BI267" s="140" t="e">
        <f ca="1">IF($BG267=1,0,IF($BE267&gt;=Control!$C$86,1,IF(AND($BB267&lt;21,$BB267&gt;=9),1,$BM266)))</f>
        <v>#N/A</v>
      </c>
      <c r="BJ267" s="140" t="e">
        <f ca="1">IF($BF267&lt;0,-$BF267,$BI267*IF(OR($G267&lt;Control!$C$92,$G267&gt;Control!$C$95),0,IF(AND($G267&gt;=Control!$C$92,$G267&lt;=Control!$C$93),$G267-Control!$C$92,IF(AND($G267&gt;Control!$C$93,$G267&lt;=Control!$C$94),Control!$C$93-Control!$C$92,IF(AND($G267&gt;Control!$C$94,$G267&lt;=Control!$C$95),(Control!$C$93-Control!$C$92)*(Control!$C$94-$G267)/(Control!$C$95-Control!$C$94))))))</f>
        <v>#N/A</v>
      </c>
      <c r="BK267" s="140" t="e">
        <f t="shared" ca="1" si="1060"/>
        <v>#N/A</v>
      </c>
      <c r="BL267" s="140" t="e">
        <f ca="1">IF($BK267&lt;=Control!$C$87,$BK267,Control!$C$87-$BK267)</f>
        <v>#N/A</v>
      </c>
      <c r="BM267" s="140" t="e">
        <f ca="1">IF(AND($BB267&gt;=9,$BB267&lt;21),1,IF($BK267&gt;=Control!$C$87,0,$BI267))</f>
        <v>#N/A</v>
      </c>
      <c r="BN267" s="404" t="e">
        <f ca="1">IF($BM267=0,0,IF($BK267&lt;=Control!$C$87,$BI267*(9+(21-9)*($BL267/Control!$C$87)),0))</f>
        <v>#N/A</v>
      </c>
      <c r="BO267" s="140" t="e">
        <f ca="1">IF($BM267=1,0,IF($BK267&gt;=Control!$C$87,1,IF(AND($BB267&lt;30,$BB267&gt;=21),1,$BS266)))</f>
        <v>#N/A</v>
      </c>
      <c r="BP267" s="140" t="e">
        <f ca="1">IF($BL267&lt;0,-$BL267,$BO267*IF(OR($G267&lt;Control!$C$92,$G267&gt;Control!$C$95),0,IF(AND($G267&gt;=Control!$C$92,$G267&lt;=Control!$C$93),$G267-Control!$C$92,IF(AND($G267&gt;Control!$C$93,$G267&lt;=Control!$C$94),Control!$C$93-Control!$C$92,IF(AND($G267&gt;Control!$C$94,$G267&lt;=Control!$C$95),(Control!$C$93-Control!$C$92)*(Control!$C$94-$G267)/(Control!$C$95-Control!$C$94))))))</f>
        <v>#N/A</v>
      </c>
      <c r="BQ267" s="140" t="e">
        <f t="shared" ca="1" si="944"/>
        <v>#N/A</v>
      </c>
      <c r="BR267" s="140" t="e">
        <f ca="1">IF($BQ267&lt;=Control!$C$88,$BQ267,Control!$C$88-$BQ267)</f>
        <v>#N/A</v>
      </c>
      <c r="BS267" s="140" t="e">
        <f ca="1">IF(AND($BB267&gt;=21,$BB267&lt;30),1,IF($BQ267&gt;=Control!$C$88,0,$BO267))</f>
        <v>#N/A</v>
      </c>
      <c r="BT267" s="404" t="e">
        <f ca="1">IF($BS267=0,0,IF($BQ267&lt;=Control!$C$88,$BO267*(21+(30-21)*(BR267/Control!$C$88)),0))</f>
        <v>#N/A</v>
      </c>
      <c r="BU267" s="140" t="e">
        <f ca="1">IF(BG267+BM267+BS267=1,0,IF(OR(AND($BB267&lt;60,$BB267&gt;=30),$BQ267&gt;=Control!$C$88),1*$BA267,$BY266))</f>
        <v>#N/A</v>
      </c>
      <c r="BV267" s="140" t="e">
        <f ca="1">IF($BR267&lt;0,-$BR267,$BU267*IF(OR($G267&lt;Control!$C$92,$G267&gt;Control!$C$95),0,IF(AND($G267&gt;=Control!$C$92,$G267&lt;=Control!$C$93),$G267-Control!$C$92,IF(AND($G267&gt;Control!$C$93,$G267&lt;=Control!$C$94),Control!$C$93-Control!$C$92,IF(AND($G267&gt;Control!$C$94,$G267&lt;=Control!$C$95),(Control!$C$93-Control!$C$92)*(Control!$C$94-$G267)/(Control!$C$95-Control!$C$94))))))</f>
        <v>#N/A</v>
      </c>
      <c r="BW267" s="140" t="e">
        <f t="shared" ca="1" si="945"/>
        <v>#N/A</v>
      </c>
      <c r="BX267" s="140" t="e">
        <f ca="1">IF($BW267&lt;=Control!$C$89,$BW267,Control!$C$89-$BW267)</f>
        <v>#N/A</v>
      </c>
      <c r="BY267" s="140" t="e">
        <f ca="1">IF(AND($AJ267&gt;=30,$AJ267&lt;60),1,IF($BW267&gt;=Control!$C$89,0,$BU267))</f>
        <v>#N/A</v>
      </c>
      <c r="BZ267" s="404" t="e">
        <f ca="1">IF($BY267=0,0,IF($BW267&lt;=Control!$C$89,$BU267*(30+(60-30)*(BX267/Control!$C$89)),0))</f>
        <v>#N/A</v>
      </c>
      <c r="CA267" s="140" t="e">
        <f ca="1">IF($BG267+$BM267+$BS267+$BY267=1,0,IF(OR(AND($BB267&lt;65,$BB267&gt;=60),$BW267&gt;=Control!$C$89),1*$BA267,$CE266))</f>
        <v>#N/A</v>
      </c>
      <c r="CB267" s="140" t="e">
        <f ca="1">IF($BX267&lt;0,-$BX267,$CA267*IF(OR($G267&lt;Control!$C$92,$G267&gt;Control!$C$95),0,IF(AND($G267&gt;=Control!$C$92,$G267&lt;=Control!$C$93),$G267-Control!$C$92,IF(AND($G267&gt;Control!$C$93,$G267&lt;=Control!$C$94),Control!$C$93-Control!$C$92,IF(AND($G267&gt;Control!$C$94,$G267&lt;=Control!$C$95),(Control!$C$93-Control!$C$92)*(Control!$C$94-$G267)/(Control!$C$95-Control!$C$94))))))</f>
        <v>#N/A</v>
      </c>
      <c r="CC267" s="140" t="e">
        <f t="shared" ca="1" si="1061"/>
        <v>#N/A</v>
      </c>
      <c r="CD267" s="140" t="e">
        <f ca="1">IF($CC267&lt;=Control!$C$90,$CC267,Control!$C$90-$CC267)</f>
        <v>#N/A</v>
      </c>
      <c r="CE267" s="140" t="e">
        <f ca="1">IF(AND($BB267&gt;=60,$BB267&lt;65),1,IF($CC267&gt;=Control!$C$90,0,$CA267))</f>
        <v>#N/A</v>
      </c>
      <c r="CF267" s="404" t="e">
        <f ca="1">IF($CE267=0,0,IF($CC267&lt;=Control!$C$90,$CA267*(60+(65-60)*(CD267/Control!$C$90)),0))</f>
        <v>#N/A</v>
      </c>
      <c r="CG267" s="140" t="e">
        <f ca="1">IF($BG267+$BM267+$BS267+$BY267+$CE267=1,0,IF(OR(AND($BB267&lt;90,$BB267&gt;=65),$CC267&gt;=Control!$C$90),$BA267,$CK266))</f>
        <v>#N/A</v>
      </c>
      <c r="CH267" s="140" t="e">
        <f ca="1">IF($CD267&lt;0,-$CD267,$CG267*IF(OR($G267&lt;Control!$C$92,$G267&gt;Control!$C$95),0,IF(AND($G267&gt;=Control!$C$92,$G267&lt;=Control!$C$93),$G267-Control!$C$92,IF(AND($G267&gt;Control!$C$93,$G267&lt;=Control!$C$94),Control!$C$93-Control!$C$92,IF(AND($G267&gt;Control!$C$94,$G267&lt;=Control!$C$95),(Control!$C$93-Control!$C$92)*(Control!$C$94-$G267)/(Control!$C$95-Control!$C$94))))))</f>
        <v>#N/A</v>
      </c>
      <c r="CI267" s="140" t="e">
        <f t="shared" ca="1" si="1062"/>
        <v>#N/A</v>
      </c>
      <c r="CJ267" s="140" t="e">
        <f ca="1">IF($CI267&lt;=Control!$C$91,$CI267,Control!$C$91-$CI267)</f>
        <v>#N/A</v>
      </c>
      <c r="CK267" s="140" t="e">
        <f ca="1">IF(AND($BB267&gt;=65,$BB267&lt;90),1,IF($CI267&gt;=Control!$C$91,0,$CG267))</f>
        <v>#N/A</v>
      </c>
      <c r="CL267" s="404" t="e">
        <f ca="1">IF($CK267=0,0,IF($CI267&lt;=Control!$C$91,$CG267*(65+(90-65)*($CJ267/Control!$C$91)),0))</f>
        <v>#N/A</v>
      </c>
      <c r="CM267" s="140" t="e">
        <f ca="1">IF($BG267+$BM267+$BS267+$BY267+$CE267+$CK267=1,0,IF(OR($BB267&gt;=90,$CI267&gt;=Control!$C$91),$BA267,$CM266))</f>
        <v>#N/A</v>
      </c>
      <c r="CN267" s="140" t="e">
        <f t="shared" ca="1" si="1063"/>
        <v>#N/A</v>
      </c>
      <c r="CO267" s="140" t="e">
        <f t="shared" ca="1" si="1064"/>
        <v>#N/A</v>
      </c>
      <c r="CP267" s="140" t="e">
        <f t="shared" ca="1" si="1065"/>
        <v>#N/A</v>
      </c>
      <c r="CQ267" s="141" t="e">
        <f ca="1">VLOOKUP($CP267,Control!$B$86:$G$91,6)</f>
        <v>#N/A</v>
      </c>
      <c r="CR267" s="141" t="e">
        <f ca="1">(1-$CQ267)*VLOOKUP($CP267,Control!$B$86:$D$91,3)</f>
        <v>#N/A</v>
      </c>
      <c r="CS267" s="141" t="e">
        <f ca="1">(1-$CQ267)*VLOOKUP($CP267,Control!$B$86:$E$91,4)</f>
        <v>#N/A</v>
      </c>
      <c r="CT267" s="141" t="e">
        <f ca="1">(1-$CQ267)*VLOOKUP($CP267,Control!$B$86:$F$91,5)</f>
        <v>#N/A</v>
      </c>
      <c r="CU267" s="141">
        <f t="shared" ca="1" si="1066"/>
        <v>0</v>
      </c>
      <c r="CV267" s="583">
        <f t="shared" ca="1" si="1067"/>
        <v>0</v>
      </c>
      <c r="CW267" s="142">
        <f t="shared" ca="1" si="1068"/>
        <v>263</v>
      </c>
      <c r="CX267" s="612" t="e">
        <f ca="1">IF(Control!$C$114=1,(MIN(Control!$C$120*(IF($NT267-0.01&lt;0,0,1)),Control!$C$119-$CY267)))</f>
        <v>#DIV/0!</v>
      </c>
      <c r="CY267" s="143" t="e">
        <f t="shared" ca="1" si="1069"/>
        <v>#N/A</v>
      </c>
      <c r="CZ267" s="144">
        <f t="shared" ca="1" si="946"/>
        <v>0</v>
      </c>
      <c r="DA267" s="144">
        <f t="shared" ca="1" si="947"/>
        <v>0</v>
      </c>
      <c r="DB267" s="144" t="e">
        <f t="shared" ca="1" si="948"/>
        <v>#N/A</v>
      </c>
      <c r="DC267" s="144" t="e">
        <f t="shared" ca="1" si="949"/>
        <v>#N/A</v>
      </c>
      <c r="DD267" s="144" t="e">
        <f t="shared" ca="1" si="1154"/>
        <v>#N/A</v>
      </c>
      <c r="DE267" s="143" t="e">
        <f t="shared" ca="1" si="1070"/>
        <v>#N/A</v>
      </c>
      <c r="DF267" s="145" t="e">
        <f ca="1">$DR267*EXP(-Control!$C$158*(1-$KH267))</f>
        <v>#N/A</v>
      </c>
      <c r="DG267" s="146" t="e">
        <f ca="1">IF(Control!$C$114=1, $DF267*$EY267, 0)</f>
        <v>#N/A</v>
      </c>
      <c r="DH267" s="147" t="e">
        <f t="shared" ca="1" si="1071"/>
        <v>#N/A</v>
      </c>
      <c r="DI267" s="144" t="e">
        <f t="shared" ca="1" si="1132"/>
        <v>#N/A</v>
      </c>
      <c r="DJ267" s="147" t="e">
        <f ca="1">$EF267*Control!$C$109</f>
        <v>#N/A</v>
      </c>
      <c r="DK267" s="144" t="e">
        <f t="shared" ca="1" si="1072"/>
        <v>#N/A</v>
      </c>
      <c r="DL267" s="144" t="e">
        <f t="shared" ca="1" si="950"/>
        <v>#N/A</v>
      </c>
      <c r="DM267" s="144" t="e">
        <f ca="1">IF(Control!$C$114=1, (1-EXP(-Control!$C$96*$DK267))*$AR267, 0)</f>
        <v>#N/A</v>
      </c>
      <c r="DN267" s="144">
        <f t="shared" ca="1" si="1073"/>
        <v>0</v>
      </c>
      <c r="DO267" s="148">
        <f>Control!$C$97</f>
        <v>4</v>
      </c>
      <c r="DP267" s="145" t="e">
        <f t="shared" ca="1" si="1074"/>
        <v>#N/A</v>
      </c>
      <c r="DQ267" s="145" t="e">
        <f ca="1">IF(AND($CP267&gt;=0,$CP267&lt;=90),Control!$C$111,Control!$C$111)</f>
        <v>#N/A</v>
      </c>
      <c r="DR267" s="145" t="e">
        <f t="shared" ca="1" si="951"/>
        <v>#N/A</v>
      </c>
      <c r="DS267" s="143" t="e">
        <f ca="1">Control!$B$22/$DR267</f>
        <v>#N/A</v>
      </c>
      <c r="DT267" s="149" t="e">
        <f ca="1">IF(AND(Control!$C$114=1,$KH267&lt;1),$IM267*$DF267, 0)</f>
        <v>#N/A</v>
      </c>
      <c r="DU267" s="144" t="e">
        <f t="shared" ca="1" si="1075"/>
        <v>#N/A</v>
      </c>
      <c r="DV267" s="144">
        <f ca="1">IF($G267-Control!$C$107&lt;=0, 0, 0.83*LN(MAX($G267, 3))-0.8924)</f>
        <v>0</v>
      </c>
      <c r="DW267" s="144" t="e">
        <f t="shared" ca="1" si="952"/>
        <v>#N/A</v>
      </c>
      <c r="DX267" s="150" t="e">
        <f ca="1">MAX(0.01*(1+$CU267/Control!$C$102),0.05*($DK267-Control!$C$97)/Control!$C$97)</f>
        <v>#N/A</v>
      </c>
      <c r="DY267" s="151" t="e">
        <f ca="1">IF(Control!$C$114=1, $DI267*$FS267, 0)</f>
        <v>#N/A</v>
      </c>
      <c r="DZ267" s="196" t="e">
        <f t="shared" ca="1" si="1076"/>
        <v>#N/A</v>
      </c>
      <c r="EA267" s="152">
        <f t="shared" ca="1" si="1077"/>
        <v>263</v>
      </c>
      <c r="EB267" s="153" t="e">
        <f t="shared" ca="1" si="1078"/>
        <v>#N/A</v>
      </c>
      <c r="EC267" s="153" t="e">
        <f t="shared" ca="1" si="1079"/>
        <v>#N/A</v>
      </c>
      <c r="ED267" s="154" t="e">
        <f ca="1">IF(Control!$C$114=1, $HM267*$FY267-$FD267, 0)</f>
        <v>#DIV/0!</v>
      </c>
      <c r="EE267" s="155" t="e">
        <f ca="1">IF(Control!$C$114=1, $HM267*$FZ267-$FF267, 0)</f>
        <v>#DIV/0!</v>
      </c>
      <c r="EF267" s="153" t="e">
        <f t="shared" ca="1" si="1133"/>
        <v>#N/A</v>
      </c>
      <c r="EG267" s="155" t="e">
        <f ca="1">IF(Control!$C$114=1, $GX267*$FW267-$FI267, 0)</f>
        <v>#DIV/0!</v>
      </c>
      <c r="EH267" s="153" t="e">
        <f t="shared" ca="1" si="1080"/>
        <v>#N/A</v>
      </c>
      <c r="EI267" s="156" t="e">
        <f t="shared" ca="1" si="1081"/>
        <v>#N/A</v>
      </c>
      <c r="EJ267" s="155" t="e">
        <f ca="1">IF(Control!$C$114=1, $HM267*$GB267, 0)</f>
        <v>#DIV/0!</v>
      </c>
      <c r="EK267" s="153" t="e">
        <f t="shared" ca="1" si="1134"/>
        <v>#N/A</v>
      </c>
      <c r="EL267" s="153" t="e">
        <f t="shared" ca="1" si="953"/>
        <v>#N/A</v>
      </c>
      <c r="EM267" s="153" t="e">
        <f t="shared" ca="1" si="954"/>
        <v>#N/A</v>
      </c>
      <c r="EN267" s="153" t="e">
        <f ca="1">IF(Control!$C$108=1,IF(AND(Control!$B$18=1,$EB267&gt;=Control!$B$19),$EB267-$DS267,IF(AND(Control!$B$18=2,$AW267=1,$EB267&gt;$DS267),$EB267-$DS267,0)))</f>
        <v>#N/A</v>
      </c>
      <c r="EO267" s="153" t="e">
        <f ca="1">IF(Control!$C$108=1,IF(AND(Control!$B$18=1,$EB267&gt;=Control!$B$19),$EF267,IF(AND(Control!$B$18=2,$AW267=1),$EF267,0)))</f>
        <v>#N/A</v>
      </c>
      <c r="EP267" s="153" t="e">
        <f ca="1">IF(Control!$C$108=1,IF(AND(Control!$B$18=1,$EB267&gt;=Control!$B$19),$EK267,IF(AND(Control!$B$18=2,$AW267=1),$EK267,0)))</f>
        <v>#N/A</v>
      </c>
      <c r="EQ267" s="153" t="e">
        <f t="shared" ca="1" si="1082"/>
        <v>#N/A</v>
      </c>
      <c r="ER267" s="153" t="e">
        <f t="shared" ca="1" si="1083"/>
        <v>#N/A</v>
      </c>
      <c r="ES267" s="153" t="e">
        <f t="shared" ca="1" si="1135"/>
        <v>#N/A</v>
      </c>
      <c r="ET267" s="153" t="e">
        <f t="shared" ca="1" si="1136"/>
        <v>#N/A</v>
      </c>
      <c r="EU267" s="153" t="e">
        <f t="shared" ca="1" si="1084"/>
        <v>#N/A</v>
      </c>
      <c r="EV267" s="153" t="e">
        <f t="shared" ca="1" si="955"/>
        <v>#N/A</v>
      </c>
      <c r="EW267" s="153" t="e">
        <f t="shared" ca="1" si="956"/>
        <v>#N/A</v>
      </c>
      <c r="EX267" s="153" t="e">
        <f t="shared" ca="1" si="957"/>
        <v>#N/A</v>
      </c>
      <c r="EY267" s="157" t="e">
        <f t="shared" ca="1" si="958"/>
        <v>#DIV/0!</v>
      </c>
      <c r="EZ267" s="154" t="e">
        <f t="shared" ca="1" si="959"/>
        <v>#DIV/0!</v>
      </c>
      <c r="FA267" s="153" t="e">
        <f t="shared" ca="1" si="1085"/>
        <v>#N/A</v>
      </c>
      <c r="FB267" s="153" t="e">
        <f t="shared" ca="1" si="960"/>
        <v>#N/A</v>
      </c>
      <c r="FC267" s="193" t="e">
        <f t="shared" ca="1" si="961"/>
        <v>#N/A</v>
      </c>
      <c r="FD267" s="158" t="e">
        <f t="shared" ca="1" si="1086"/>
        <v>#N/A</v>
      </c>
      <c r="FE267" s="158" t="e">
        <f t="shared" ca="1" si="1087"/>
        <v>#N/A</v>
      </c>
      <c r="FF267" s="159" t="e">
        <f t="shared" ca="1" si="962"/>
        <v>#N/A</v>
      </c>
      <c r="FG267" s="160" t="e">
        <f t="shared" ca="1" si="1088"/>
        <v>#N/A</v>
      </c>
      <c r="FH267" s="158" t="e">
        <f t="shared" ca="1" si="1089"/>
        <v>#N/A</v>
      </c>
      <c r="FI267" s="159" t="e">
        <f t="shared" ca="1" si="963"/>
        <v>#N/A</v>
      </c>
      <c r="FJ267" s="160" t="e">
        <f t="shared" ca="1" si="1090"/>
        <v>#N/A</v>
      </c>
      <c r="FK267" s="160" t="e">
        <f t="shared" ca="1" si="964"/>
        <v>#N/A</v>
      </c>
      <c r="FL267" s="160" t="e">
        <f t="shared" ca="1" si="1137"/>
        <v>#N/A</v>
      </c>
      <c r="FM267" s="160" t="e">
        <f t="shared" ca="1" si="965"/>
        <v>#N/A</v>
      </c>
      <c r="FN267" s="158">
        <f t="shared" ca="1" si="1091"/>
        <v>0.01</v>
      </c>
      <c r="FO267" s="160">
        <f>Control!$C$101</f>
        <v>50</v>
      </c>
      <c r="FP267" s="150" t="e">
        <f t="shared" ca="1" si="966"/>
        <v>#N/A</v>
      </c>
      <c r="FQ267" s="150" t="e">
        <f ca="1">MAX(0,(Control!$C$112*(($DK267-Control!$C$97)/Control!$C$97)))</f>
        <v>#N/A</v>
      </c>
      <c r="FR267" s="150" t="e">
        <f ca="1">(1-$NT267)*Control!$C$113</f>
        <v>#DIV/0!</v>
      </c>
      <c r="FS267" s="198" t="e">
        <f t="shared" ca="1" si="967"/>
        <v>#N/A</v>
      </c>
      <c r="FT267" s="161">
        <f t="shared" ca="1" si="1092"/>
        <v>263</v>
      </c>
      <c r="FU267" s="162" t="e">
        <f ca="1">IF(Control!$B$34=1,VLOOKUP($CP267,Control!$B$86:$G$91,6),Control!$B$35)</f>
        <v>#N/A</v>
      </c>
      <c r="FV267" s="162" t="e">
        <f t="shared" ca="1" si="968"/>
        <v>#DIV/0!</v>
      </c>
      <c r="FW267" s="162" t="e">
        <f ca="1">IF(Control!$B$31=1,$FU267*$FV267,  $FU267)</f>
        <v>#N/A</v>
      </c>
      <c r="FX267" s="162" t="e">
        <f ca="1">IF(Control!$B$34=1,VLOOKUP($CP267,Control!$B$86:$G$91,3),Control!$B$36)</f>
        <v>#N/A</v>
      </c>
      <c r="FY267" s="162" t="e">
        <f t="shared" ca="1" si="969"/>
        <v>#N/A</v>
      </c>
      <c r="FZ267" s="162" t="e">
        <f ca="1">IF(Control!$B$34=1,VLOOKUP($CP267,Control!$B$86:$G$91,4),Control!$B$37)</f>
        <v>#N/A</v>
      </c>
      <c r="GA267" s="162" t="e">
        <f t="shared" ca="1" si="970"/>
        <v>#N/A</v>
      </c>
      <c r="GB267" s="162" t="e">
        <f ca="1">IF(Control!$B$34=1,VLOOKUP($CP267,Control!$B$86:$G$91,5),Control!$B$38)</f>
        <v>#N/A</v>
      </c>
      <c r="GC267" s="162" t="e">
        <f t="shared" ca="1" si="1093"/>
        <v>#N/A</v>
      </c>
      <c r="GD267" s="162">
        <f t="shared" ca="1" si="971"/>
        <v>1</v>
      </c>
      <c r="GE267" s="162">
        <f t="shared" ca="1" si="972"/>
        <v>1</v>
      </c>
      <c r="GF267" s="162">
        <f ca="1">IF(AND(Control!$C$104=1, Control!$C$62="F"),$GE267,1)</f>
        <v>1</v>
      </c>
      <c r="GG267" s="162" t="e">
        <f ca="1">IF(Control!$B$16=40,0,IF(AND(Control!$B$16&gt;40,Control!$B$16&lt;=360),(Control!$B$16-40)*((1-0)/(360-40)),IF(AND(Control!$B$16&gt;360,Control!$B$16&lt;=720),(1+(Control!$B$16-360)*((1.25-1)/(720-360))),IF(AND(Control!$B$16&gt;720,Control!$B$16&lt;=1000),(1.25+(Control!$B$16-720)*((1.35-1.25)/(1000-720))),IF(AND(Control!$B$16&gt;1000,Control!$B$16&lt;=2000),(1.35+(Control!$B$16-1000)*0))))))</f>
        <v>#N/A</v>
      </c>
      <c r="GH267" s="162" t="e">
        <f t="shared" ca="1" si="973"/>
        <v>#N/A</v>
      </c>
      <c r="GI267" s="162">
        <f t="shared" ca="1" si="1094"/>
        <v>0</v>
      </c>
      <c r="GJ267" s="162">
        <f t="shared" ca="1" si="974"/>
        <v>0</v>
      </c>
      <c r="GK267" s="162">
        <f t="shared" ca="1" si="1095"/>
        <v>1</v>
      </c>
      <c r="GL267" s="162">
        <f t="shared" ca="1" si="975"/>
        <v>1</v>
      </c>
      <c r="GM267" s="162" t="e">
        <f ca="1">MAX(0,MIN(1,1-Control!$C$156*(1.0001-$KH267)^2))</f>
        <v>#N/A</v>
      </c>
      <c r="GN267" s="162" t="e">
        <f ca="1">IF(Control!$B$26=1,$KU267,$KX267)</f>
        <v>#N/A</v>
      </c>
      <c r="GO267" s="162" t="e">
        <f ca="1">IF($CP267&lt;=60,Control!$C$105,IF($CP267&gt;=90,Control!$C$106,Control!$C$105+($CP267-60)*((Control!$C$106-Control!$C$105)/(90-60))))</f>
        <v>#N/A</v>
      </c>
      <c r="GP267" s="162" t="e">
        <f t="shared" ca="1" si="976"/>
        <v>#N/A</v>
      </c>
      <c r="GQ267" s="162" t="e">
        <f t="shared" ca="1" si="1096"/>
        <v>#N/A</v>
      </c>
      <c r="GR267" s="163" t="e">
        <f t="shared" ca="1" si="977"/>
        <v>#DIV/0!</v>
      </c>
      <c r="GS267" s="162" t="e">
        <f t="shared" ca="1" si="978"/>
        <v>#DIV/0!</v>
      </c>
      <c r="GT267" s="164" t="e">
        <f t="shared" ca="1" si="1097"/>
        <v>#N/A</v>
      </c>
      <c r="GU267" s="162" t="e">
        <f t="shared" ca="1" si="1098"/>
        <v>#N/A</v>
      </c>
      <c r="GV267" s="162" t="e">
        <f t="shared" ca="1" si="979"/>
        <v>#N/A</v>
      </c>
      <c r="GW267" s="162" t="e">
        <f t="shared" ca="1" si="980"/>
        <v>#DIV/0!</v>
      </c>
      <c r="GX267" s="162" t="e">
        <f t="shared" ca="1" si="1099"/>
        <v>#DIV/0!</v>
      </c>
      <c r="GY267" s="162" t="e">
        <f t="shared" ca="1" si="1100"/>
        <v>#DIV/0!</v>
      </c>
      <c r="GZ267" s="165" t="e">
        <f t="shared" ca="1" si="981"/>
        <v>#N/A</v>
      </c>
      <c r="HA267" s="162" t="e">
        <f ca="1">IF(Control!$C$114=1, $DI267*$FS267, 0)</f>
        <v>#N/A</v>
      </c>
      <c r="HB267" s="162" t="e">
        <f ca="1">$FA267/Control!$C$64</f>
        <v>#N/A</v>
      </c>
      <c r="HC267" s="162" t="e">
        <f t="shared" ca="1" si="982"/>
        <v>#DIV/0!</v>
      </c>
      <c r="HD267" s="162">
        <f ca="1">-ASIN(SIN(23.45*Control!$C$139)*COS(2*Control!$C$138*($AH267+10)/365))</f>
        <v>5.1332956607667525E-3</v>
      </c>
      <c r="HE267" s="165">
        <f t="shared" ca="1" si="1101"/>
        <v>0</v>
      </c>
      <c r="HF267" s="166">
        <f ca="1">IF(AND(Control!$C$61="T",$HE267&gt;=Control!$C$103,Control!$C$114=0),$AH267,Control!$C$59)</f>
        <v>1</v>
      </c>
      <c r="HG267" s="166">
        <f ca="1">IF(AND(Control!$C$61="T",$HE267&gt;=Control!$C$103,Control!$C$114=0),$HF267,Control!$C$59)</f>
        <v>1</v>
      </c>
      <c r="HH267" s="165">
        <f ca="1">IF(AND(OR(Control!$C$60&lt;=0, $AH267= Control!$C$59, Control!$C$60 &gt;0, $AH267 = Control!$C$60)), Control!$C$59, IF(Control!$C$60&gt;0, 0))</f>
        <v>1</v>
      </c>
      <c r="HI267" s="165">
        <f ca="1">IF(AND(OR(Control!$C$60&lt;=0, $AH267= Control!$C$59, Control!$C$60 &gt;0, $AH267 = Control!$C$60)), Control!$C$60, IF(Control!$C$60&lt;=0, 0))</f>
        <v>0</v>
      </c>
      <c r="HJ267" s="166">
        <f ca="1">IF(AND(Control!$C$62="F",$CV267&gt;=Control!$C$102),$AH267,0)</f>
        <v>0</v>
      </c>
      <c r="HK267" s="165" t="e">
        <f t="shared" ca="1" si="1138"/>
        <v>#N/A</v>
      </c>
      <c r="HL267" s="166">
        <f ca="1">IF(AND(Control!$C$61="T",$HE267&gt;=Control!$C$103,Control!$C$114=0),$HF267,0)</f>
        <v>0</v>
      </c>
      <c r="HM267" s="201" t="e">
        <f t="shared" ca="1" si="983"/>
        <v>#DIV/0!</v>
      </c>
      <c r="HN267" s="215">
        <f t="shared" ca="1" si="1102"/>
        <v>263</v>
      </c>
      <c r="HO267" s="216" t="e">
        <f ca="1">IF(AND($CP267&gt;=0, $CP267&lt;=90), Control!$C$152, Control!$C$152)</f>
        <v>#N/A</v>
      </c>
      <c r="HP267" s="216" t="e">
        <f t="shared" ca="1" si="984"/>
        <v>#N/A</v>
      </c>
      <c r="HQ267" s="217" t="e">
        <f ca="1">IF(OR(Control!$B$26=1,Control!$B$26=2),$KV267,$KS267)</f>
        <v>#DIV/0!</v>
      </c>
      <c r="HR267" s="218" t="e">
        <f t="shared" ca="1" si="1139"/>
        <v>#DIV/0!</v>
      </c>
      <c r="HS267" s="216" t="e">
        <f ca="1">Control!$C$154*$HP267</f>
        <v>#N/A</v>
      </c>
      <c r="HT267" s="216" t="e">
        <f ca="1">Control!$C$155*$HP267</f>
        <v>#N/A</v>
      </c>
      <c r="HU267" s="217" t="e">
        <f ca="1">Control!$C$161*$FI267</f>
        <v>#N/A</v>
      </c>
      <c r="HV267" s="218" t="e">
        <f t="shared" ca="1" si="1103"/>
        <v>#N/A</v>
      </c>
      <c r="HW267" s="218" t="e">
        <f ca="1">Control!$C$160*$FF267+$IP267*$EO267</f>
        <v>#N/A</v>
      </c>
      <c r="HX267" s="218" t="e">
        <f t="shared" ca="1" si="1140"/>
        <v>#N/A</v>
      </c>
      <c r="HY267" s="219" t="e">
        <f ca="1">IF(Control!$C$114=1, $EB267*$FS267, 0)</f>
        <v>#N/A</v>
      </c>
      <c r="HZ267" s="91" t="e">
        <f t="shared" ca="1" si="985"/>
        <v>#N/A</v>
      </c>
      <c r="IA267" s="220" t="e">
        <f ca="1">Control!$C$153*$HO267</f>
        <v>#N/A</v>
      </c>
      <c r="IB267" s="218" t="e">
        <f t="shared" ca="1" si="986"/>
        <v>#N/A</v>
      </c>
      <c r="IC267" s="220" t="e">
        <f ca="1">Control!$C$153*$HT267</f>
        <v>#N/A</v>
      </c>
      <c r="ID267" s="218" t="e">
        <f t="shared" ca="1" si="987"/>
        <v>#N/A</v>
      </c>
      <c r="IE267" s="221" t="e">
        <f ca="1">($EB267*Control!$C$159+$EF267*Control!$C$160)/(IF($GZ267&lt;&gt;0,$GZ267,1))</f>
        <v>#N/A</v>
      </c>
      <c r="IF267" s="216" t="e">
        <f t="shared" ca="1" si="988"/>
        <v>#N/A</v>
      </c>
      <c r="IG267" s="91">
        <f ca="1">IF(OR(Control!$B$198=$AH267,Control!$B$199=$AH267, Control!$B$200=$AH267, Control!$B$201=$AH267, Control!$B$202=$AH267, Control!$B$203=$AH267, Control!$B$204=$AH267, Control!$B$205=$AH267, Control!$B$206=$AH267, Control!$B$207=$AH267), 1, 0)</f>
        <v>0</v>
      </c>
      <c r="IH267" s="91">
        <f ca="1">IF($IG267=0,0, VLOOKUP($AH267,Control!$B$198:$C$207,2))</f>
        <v>0</v>
      </c>
      <c r="II267" s="222">
        <f t="shared" ca="1" si="1104"/>
        <v>0</v>
      </c>
      <c r="IJ267" s="91">
        <f>Control!$C$121</f>
        <v>0.7</v>
      </c>
      <c r="IK267" s="218">
        <f t="shared" ca="1" si="989"/>
        <v>0</v>
      </c>
      <c r="IL267" s="217" t="e">
        <f t="shared" ca="1" si="1141"/>
        <v>#N/A</v>
      </c>
      <c r="IM267" s="223" t="e">
        <f ca="1">IF(AND(Control!$C$114=1,$KH267&lt;1),$EB267*Control!$C$148*(1-$KH267), 0)</f>
        <v>#N/A</v>
      </c>
      <c r="IN267" s="217" t="e">
        <f t="shared" ca="1" si="990"/>
        <v>#DIV/0!</v>
      </c>
      <c r="IO267" s="91" t="e">
        <f ca="1">MAX(0,$IL267-$EF267*Control!$C$160)</f>
        <v>#N/A</v>
      </c>
      <c r="IP267" s="220" t="e">
        <f t="shared" ca="1" si="991"/>
        <v>#N/A</v>
      </c>
      <c r="IQ267" s="217" t="e">
        <f t="shared" ca="1" si="1105"/>
        <v>#N/A</v>
      </c>
      <c r="IR267" s="218" t="e">
        <f t="shared" ca="1" si="992"/>
        <v>#N/A</v>
      </c>
      <c r="IS267" s="217" t="e">
        <f ca="1">Control!$C$159*MAX(0,$FD267-$EN267)</f>
        <v>#N/A</v>
      </c>
      <c r="IT267" s="217" t="e">
        <f t="shared" ca="1" si="1142"/>
        <v>#N/A</v>
      </c>
      <c r="IU267" s="217" t="e">
        <f t="shared" ca="1" si="1106"/>
        <v>#N/A</v>
      </c>
      <c r="IV267" s="217" t="e">
        <f t="shared" ca="1" si="1143"/>
        <v>#N/A</v>
      </c>
      <c r="IW267" s="217" t="e">
        <f ca="1">IF(OR($AW267=1,AND($AW267=0, Control!$B$18=1,$EN267&lt;&gt;0)), $IQ267-$IU267, $IQ267)</f>
        <v>#N/A</v>
      </c>
      <c r="IX267" s="218" t="e">
        <f t="shared" ca="1" si="993"/>
        <v>#N/A</v>
      </c>
      <c r="IY267" s="218" t="e">
        <f ca="1">MAX(0,$IQ267-$EB267*Control!$C$159)</f>
        <v>#N/A</v>
      </c>
      <c r="IZ267" s="218" t="e">
        <f t="shared" ca="1" si="994"/>
        <v>#N/A</v>
      </c>
      <c r="JA267" s="216" t="e">
        <f t="shared" ca="1" si="995"/>
        <v>#N/A</v>
      </c>
      <c r="JB267" s="217" t="e">
        <f t="shared" ca="1" si="996"/>
        <v>#N/A</v>
      </c>
      <c r="JC267" s="222" t="e">
        <f ca="1">MAX(Control!$C$157*$EK267-$JT267, 0)/Control!$C$162</f>
        <v>#N/A</v>
      </c>
      <c r="JD267" s="218" t="e">
        <f t="shared" ca="1" si="997"/>
        <v>#N/A</v>
      </c>
      <c r="JE267" s="218" t="e">
        <f t="shared" ca="1" si="998"/>
        <v>#N/A</v>
      </c>
      <c r="JF267" s="218" t="e">
        <f t="shared" ca="1" si="1107"/>
        <v>#N/A</v>
      </c>
      <c r="JG267" s="218" t="e">
        <f t="shared" ca="1" si="999"/>
        <v>#N/A</v>
      </c>
      <c r="JH267" s="217" t="e">
        <f t="shared" ca="1" si="1108"/>
        <v>#N/A</v>
      </c>
      <c r="JI267" s="217" t="e">
        <f t="shared" ca="1" si="1109"/>
        <v>#N/A</v>
      </c>
      <c r="JJ267" s="217" t="e">
        <f t="shared" ca="1" si="1144"/>
        <v>#N/A</v>
      </c>
      <c r="JK267" s="217" t="e">
        <f ca="1">IF(Control!$C$114=1,IF(Control!$B$24=0,MAX(0,$JI267)*$GN267/Control!$C$64,(MAX(0,MIN($JI267,$JJ267*$GN267/Control!$C$64),0))))</f>
        <v>#N/A</v>
      </c>
      <c r="JL267" s="217" t="e">
        <f ca="1">$IK267/Control!$C$64-$JK267+$HQ267</f>
        <v>#N/A</v>
      </c>
      <c r="JM267" s="217" t="e">
        <f ca="1">IF(Control!$C$114=1,($JB267/(IF($JI267&lt;&gt;0,$JI267,1)))*$JK267,0)</f>
        <v>#N/A</v>
      </c>
      <c r="JN267" s="217" t="e">
        <f ca="1">IF(Control!$C$114=1,($JG267/(IF($JI267&lt;&gt;0,$JI267,1)))*$JK267, 0)</f>
        <v>#N/A</v>
      </c>
      <c r="JO267" s="218" t="e">
        <f t="shared" ca="1" si="1000"/>
        <v>#N/A</v>
      </c>
      <c r="JP267" s="218" t="e">
        <f ca="1">MIN(($IY267+$IO267)*Control!$C$151, $JF267-$EH267*Control!$C$161)</f>
        <v>#N/A</v>
      </c>
      <c r="JQ267" s="218" t="e">
        <f t="shared" ca="1" si="1001"/>
        <v>#N/A</v>
      </c>
      <c r="JR267" s="217" t="e">
        <f ca="1">IF($CP267-Control!$C$150&lt;0, 0, $JQ267/Control!$C$162)</f>
        <v>#N/A</v>
      </c>
      <c r="JS267" s="218" t="e">
        <f t="shared" ca="1" si="1002"/>
        <v>#N/A</v>
      </c>
      <c r="JT267" s="218" t="e">
        <f t="shared" ca="1" si="1110"/>
        <v>#N/A</v>
      </c>
      <c r="JU267" s="218" t="e">
        <f t="shared" ca="1" si="1003"/>
        <v>#N/A</v>
      </c>
      <c r="JV267" s="218" t="e">
        <f t="shared" ca="1" si="1004"/>
        <v>#N/A</v>
      </c>
      <c r="JW267" s="216" t="e">
        <f t="shared" ca="1" si="1005"/>
        <v>#N/A</v>
      </c>
      <c r="JX267" s="91" t="e">
        <f t="shared" ca="1" si="1006"/>
        <v>#N/A</v>
      </c>
      <c r="JY267" s="218" t="e">
        <f t="shared" ca="1" si="1007"/>
        <v>#N/A</v>
      </c>
      <c r="JZ267" s="217" t="e">
        <f ca="1">IF(Control!$C$114=1,($IZ267/(IF($JI267&lt;&gt;0,$JI267,1)))*$JK267, 0)</f>
        <v>#N/A</v>
      </c>
      <c r="KA267" s="218" t="e">
        <f t="shared" ca="1" si="1145"/>
        <v>#N/A</v>
      </c>
      <c r="KB267" s="218" t="e">
        <f t="shared" ca="1" si="1111"/>
        <v>#N/A</v>
      </c>
      <c r="KC267" s="218" t="e">
        <f t="shared" ca="1" si="1008"/>
        <v>#N/A</v>
      </c>
      <c r="KD267" s="218" t="e">
        <f t="shared" ca="1" si="1009"/>
        <v>#N/A</v>
      </c>
      <c r="KE267" s="218" t="e">
        <f t="shared" ca="1" si="1010"/>
        <v>#N/A</v>
      </c>
      <c r="KF267" s="218" t="e">
        <f t="shared" ca="1" si="1011"/>
        <v>#N/A</v>
      </c>
      <c r="KG267" s="216" t="e">
        <f t="shared" ca="1" si="1012"/>
        <v>#N/A</v>
      </c>
      <c r="KH267" s="221" t="e">
        <f ca="1">IF(Control!$B$24=0,1,MAX(0.001,MIN(1,IF(($IF267-$IE267)&lt;&gt;0,($KG267-$IE267)/($IF267-$IE267),1))))</f>
        <v>#N/A</v>
      </c>
      <c r="KI267" s="222" t="e">
        <f ca="1">IF(Control!$C$114=1, $KI266+ $KH266, 0)</f>
        <v>#N/A</v>
      </c>
      <c r="KJ267" s="217" t="e">
        <f t="shared" ca="1" si="1013"/>
        <v>#N/A</v>
      </c>
      <c r="KK267" s="218" t="e">
        <f t="shared" ca="1" si="1014"/>
        <v>#N/A</v>
      </c>
      <c r="KL267" s="274" t="e">
        <f ca="1">IF(Control!$B$26=3,4000000000*EXP(-8400/($G267+273)),IF(Control!$B$26=4,4000000000*EXP(-8400/($G267+273))*($KT267),0))</f>
        <v>#DIV/0!</v>
      </c>
      <c r="KM267" s="274" t="e">
        <f ca="1">IF(Control!$B$26=3,5600000000000*EXP(-9800/($G267+273)),IF(Control!$B$26=4,5600000000000*EXP(-9800/($G267+273))*$KT267,0))</f>
        <v>#DIV/0!</v>
      </c>
      <c r="KN267" s="454" t="e">
        <f t="shared" ca="1" si="1112"/>
        <v>#DIV/0!</v>
      </c>
      <c r="KO267" s="274" t="e">
        <f t="shared" ca="1" si="1113"/>
        <v>#DIV/0!</v>
      </c>
      <c r="KP267" s="454" t="e">
        <f t="shared" ca="1" si="1015"/>
        <v>#DIV/0!</v>
      </c>
      <c r="KQ267" s="454" t="e">
        <f t="shared" ca="1" si="1016"/>
        <v>#DIV/0!</v>
      </c>
      <c r="KR267" s="454" t="e">
        <f t="shared" ca="1" si="1017"/>
        <v>#DIV/0!</v>
      </c>
      <c r="KS267" s="454" t="e">
        <f t="shared" ca="1" si="1018"/>
        <v>#DIV/0!</v>
      </c>
      <c r="KT267" s="455" t="e">
        <f t="shared" ca="1" si="1019"/>
        <v>#DIV/0!</v>
      </c>
      <c r="KU267" s="456" t="e">
        <f ca="1">IF($CP267-Control!$C$149&lt;0, IF($NT267-0.01&lt;0,0,1),0)</f>
        <v>#N/A</v>
      </c>
      <c r="KV267" s="456" t="e">
        <f ca="1">IF(Control!$C$114=1,MAX(0,MIN(Control!$C$125*$KW267*$GN267,$KW267)))</f>
        <v>#DIV/0!</v>
      </c>
      <c r="KW267" s="456" t="e">
        <f t="shared" ca="1" si="1146"/>
        <v>#DIV/0!</v>
      </c>
      <c r="KX267" s="457" t="e">
        <f ca="1">IF($CP267-Control!$C$149&lt;0, IF($MR267-$OM267&lt;0,0,1),0)</f>
        <v>#N/A</v>
      </c>
      <c r="KY267" s="167">
        <f t="shared" ca="1" si="1114"/>
        <v>263</v>
      </c>
      <c r="KZ267" s="168">
        <f ca="1">1370*(1+0.033*COS(2*Control!$C$138*$AH267/365))</f>
        <v>1361.6819049830235</v>
      </c>
      <c r="LA267" s="169">
        <f t="shared" ca="1" si="1115"/>
        <v>0.99392805439529652</v>
      </c>
      <c r="LB267" s="169">
        <f t="shared" ca="1" si="1116"/>
        <v>1.7408587264244454E-3</v>
      </c>
      <c r="LC267" s="169">
        <f ca="1">ACOS(-TAN((2*Control!$B$8/360))*TAN(Calculations!$LB267))</f>
        <v>1.5713137160054436</v>
      </c>
      <c r="LD267" s="169">
        <f ca="1">((24*60)/PI())*0.082*$LA267*(($LC267*SIN(Control!$B$8*2*PI()/360))*SIN($LB267)+COS(Control!$B$8*2*PI()/360)*COS($LB267)*SIN($LC267))</f>
        <v>23.080253795953865</v>
      </c>
      <c r="LE267" s="170">
        <f t="shared" ca="1" si="1020"/>
        <v>23.293897856639628</v>
      </c>
      <c r="LF267" s="170">
        <f ca="1">SIN(Control!$C$139*Control!$B$8)*SIN($HD267)</f>
        <v>4.0450811241734778E-3</v>
      </c>
      <c r="LG267" s="170">
        <f ca="1">COS(Control!$C$139*Control!$B$8)*COS($HD267)</f>
        <v>0.61565169140891385</v>
      </c>
      <c r="LH267" s="170">
        <f ca="1">12*(1+2*ASIN(MAX(-1,MIN(1,$LF267/$LG267))/Control!$C$138))</f>
        <v>12.05019411818459</v>
      </c>
      <c r="LI267" s="170">
        <f ca="1">12*(1+2*ASIN(MAX(-1,MIN(1,(-SIN(-4*Control!$C$139)+$LF267)/$LG267))/Control!$C$138))</f>
        <v>12.916003623367473</v>
      </c>
      <c r="LJ267" s="168">
        <f ca="1">3600*($LH267*$LF267+24*$LG267*SQRT(1-$LK267*$LK267)/Control!$C$138)</f>
        <v>17106.710290704817</v>
      </c>
      <c r="LK267" s="170">
        <f t="shared" ca="1" si="1021"/>
        <v>6.5704052804863456E-3</v>
      </c>
      <c r="LL267" s="170">
        <f t="shared" ca="1" si="1022"/>
        <v>0</v>
      </c>
      <c r="LM267" s="171">
        <f ca="1">Control!$C$145*$AB267</f>
        <v>6.6660906138995932E-2</v>
      </c>
      <c r="LN267" s="170">
        <f t="shared" ca="1" si="1117"/>
        <v>0.54</v>
      </c>
      <c r="LO267" s="170">
        <f t="shared" ca="1" si="1023"/>
        <v>0</v>
      </c>
      <c r="LP267" s="170">
        <f ca="1">Control!$C$140*((($D267+273.16)^4+($E267+273.16)^4)/2)*(0.34-0.14*SQRT($Y267))*(1.35*$AQ267/(0.75*$LD267)-0.35)</f>
        <v>-3.2464704755046001</v>
      </c>
      <c r="LQ267" s="170">
        <f ca="1">Control!$C$140*($G267+273)^4*(0.56-0.079*SQRT($Y267*10))*(0.1+0.9*$LO267)</f>
        <v>1.5241745131704001</v>
      </c>
      <c r="LR267" s="170">
        <f ca="1">$AQ267*(1-Control!$C$142)-$LQ267</f>
        <v>-1.5241745131704001</v>
      </c>
      <c r="LS267" s="170">
        <f ca="1">$AQ267*(1-Control!$C$143)-$LQ267</f>
        <v>-1.5241745131704001</v>
      </c>
      <c r="LT267" s="170">
        <f ca="1">$AQ267*(1-Control!$C$144)-$LQ267</f>
        <v>-1.5241745131704001</v>
      </c>
      <c r="LU267" s="169">
        <f ca="1">(1-Control!$C$144)*AQ267-LP267</f>
        <v>3.2464704755046001</v>
      </c>
      <c r="LV267" s="172">
        <f t="shared" ca="1" si="1024"/>
        <v>0.79430000000000012</v>
      </c>
      <c r="LW267" s="170">
        <f t="shared" ca="1" si="1025"/>
        <v>1.5886000000000002</v>
      </c>
      <c r="LX267" s="170">
        <f ca="1">($AC267*($LR267/Control!$C$141)+$LM267*$LV267)/($AC267+$LM267)</f>
        <v>0.23530094218323697</v>
      </c>
      <c r="LY267" s="170">
        <f ca="1">($AC267*($LS267/Control!$C$141)+$LM267*$LV267)/($AC267+$LM267)</f>
        <v>0.23530094218323697</v>
      </c>
      <c r="LZ267" s="170">
        <f t="shared" ca="1" si="1026"/>
        <v>0.23530094218323697</v>
      </c>
      <c r="MA267" s="170">
        <f t="shared" ca="1" si="1027"/>
        <v>0.23530094218323697</v>
      </c>
      <c r="MB267" s="170" t="e">
        <f t="shared" ca="1" si="1028"/>
        <v>#N/A</v>
      </c>
      <c r="MC267" s="170">
        <f t="shared" ca="1" si="1118"/>
        <v>0.6018</v>
      </c>
      <c r="MD267" s="170">
        <f t="shared" ca="1" si="1029"/>
        <v>0.52989392535414004</v>
      </c>
      <c r="ME267" s="170">
        <f ca="1">($AC267*($LT267/Control!$C$141)+$LM267*$LW267)/($AC267+$LM267)</f>
        <v>0.71612369323045078</v>
      </c>
      <c r="MF267" s="170" t="e">
        <f ca="1">IF(Control!$B$16&gt;=1000,0.92,IF(AND(720&lt;=Control!$B$16,1000&gt;Control!$B$16),(0.95+(Control!$B$16-720)*((0.92-0.95)/(1000-720))),IF(AND(360&lt;=Control!$B$16,720&gt;Control!$B$16),(1+(Control!$B$16-360)*((0.95-1)/(720-360))),IF(AND(40&lt;=Control!$B$16,360&gt;Control!$B$16),(1.05+(Control!$B$16-40)*((1.05-1)/(360-40)))))))</f>
        <v>#N/A</v>
      </c>
      <c r="MG267" s="170">
        <f t="shared" ca="1" si="1030"/>
        <v>0.71612369323045078</v>
      </c>
      <c r="MH267" s="170" t="e">
        <f t="shared" ca="1" si="1155"/>
        <v>#N/A</v>
      </c>
      <c r="MI267" s="170" t="e">
        <f t="shared" ca="1" si="1155"/>
        <v>#N/A</v>
      </c>
      <c r="MJ267" s="170" t="e">
        <f ca="1">MAX(0.0001, Control!$C$132*$MI267*$DL267)</f>
        <v>#N/A</v>
      </c>
      <c r="MK267" s="170">
        <f ca="1">1/(0.76+1.5*($MG267/10))-(5-Control!$C$110)*0.1</f>
        <v>1.002845988140797</v>
      </c>
      <c r="ML267" s="173">
        <f ca="1">IF(Control!$C$110&lt;3,$MK267+($MG267-0.6)/(Control!$C$110*(Control!$C$110+3)), MAX(0.1, MIN(0.95,$MK267)))</f>
        <v>0.95</v>
      </c>
      <c r="MM267" s="173">
        <f ca="1">IF(Control!$C$110&lt;3,$MK267+(($MI267/10)-0.6)/(Control!$C$110*(Control!$C$110+3)), MAX(0.1, MIN(0.95,$MK267)))</f>
        <v>0.95</v>
      </c>
      <c r="MN267" s="173">
        <f ca="1">(1-$MM267)*(Control!$C$128-Control!$C$127)+Control!$C$127</f>
        <v>0.16</v>
      </c>
      <c r="MO267" s="170" t="e">
        <f ca="1">MAX(0,MIN(1,($MS267-Control!$C$127)/($MN267-Control!$C$127)))</f>
        <v>#DIV/0!</v>
      </c>
      <c r="MP267" s="173" t="e">
        <f ca="1">1/(0.76+1.5*$MI267)-(5-Control!$C$110)*0.1</f>
        <v>#N/A</v>
      </c>
      <c r="MQ267" s="172" t="e">
        <f t="shared" ca="1" si="1147"/>
        <v>#DIV/0!</v>
      </c>
      <c r="MR267" s="168" t="e">
        <f t="shared" ca="1" si="1119"/>
        <v>#DIV/0!</v>
      </c>
      <c r="MS267" s="173" t="e">
        <f ca="1">MAX(Control!$C$127, MIN(Control!$C$135, $MR267/MAX(0.0001,$CY267)))</f>
        <v>#DIV/0!</v>
      </c>
      <c r="MT267" s="168" t="e">
        <f ca="1">(Control!$C$128-$MS267)*Control!$C$74</f>
        <v>#DIV/0!</v>
      </c>
      <c r="MU267" s="168" t="e">
        <f ca="1">(Control!$C$135-$MS267)*Control!$C$74</f>
        <v>#DIV/0!</v>
      </c>
      <c r="MV267" s="168" t="e">
        <f t="shared" ca="1" si="1120"/>
        <v>#DIV/0!</v>
      </c>
      <c r="MW267" s="168" t="e">
        <f t="shared" ca="1" si="1121"/>
        <v>#DIV/0!</v>
      </c>
      <c r="MX267" s="171" t="e">
        <f ca="1">MAX(Control!$C$127, MIN(Control!$C$135, $MW267/MAX(0.0001,Control!$C$119-$CY267)))</f>
        <v>#DIV/0!</v>
      </c>
      <c r="MY267" s="54" t="e">
        <f ca="1">IF(Control!$C$114=1, $CX267*$MX267, 0)</f>
        <v>#DIV/0!</v>
      </c>
      <c r="MZ267" s="54" t="e">
        <f t="shared" ca="1" si="1122"/>
        <v>#N/A</v>
      </c>
      <c r="NA267" s="168" t="e">
        <f ca="1">(Control!$C$128-$MX267)*(Control!$C$119-Control!$C$74)</f>
        <v>#DIV/0!</v>
      </c>
      <c r="NB267" s="168" t="e">
        <f ca="1">(Control!$C$135-$MX267)*(Control!$C$119-Control!$C$74)</f>
        <v>#DIV/0!</v>
      </c>
      <c r="NC267" s="174" t="e">
        <f t="shared" ca="1" si="1123"/>
        <v>#DIV/0!</v>
      </c>
      <c r="ND267" s="54">
        <f ca="1">IF(Control!$C$58=2, IF(OR(Control!$B$218=$AH267,Control!$B$219=$AH267, Control!$B$220=$AH267, Control!$B$221=$AH267, Control!$B$222=$AH267, Control!$B$223=$AH267, Control!$B$224=$AH267, Control!$B$225=$AH267, Control!$B$226=$AH267, Control!$B$227=$AH267, Control!$B$228=$AH267), 1, 0), 0)</f>
        <v>0</v>
      </c>
      <c r="NE267" s="54">
        <f ca="1">IF($ND267=0,0, VLOOKUP($AH267,Control!$B$218:$C$228,2))</f>
        <v>0</v>
      </c>
      <c r="NF267" s="168" t="e">
        <f ca="1">$CY267*(Control!$C$128-Control!$C$127)</f>
        <v>#N/A</v>
      </c>
      <c r="NG267" s="54" t="e">
        <f ca="1">IF(Control!$C$58=2, $NI266-$NJ266, 0)</f>
        <v>#DIV/0!</v>
      </c>
      <c r="NH267" s="54" t="e">
        <f ca="1">IF(AND(Control!$C$58=1, $MS266&lt;= ($MN266+0.02), $I266&lt;10), 0, IF(Control!$C$58=2, $NG266, 0))</f>
        <v>#DIV/0!</v>
      </c>
      <c r="NI267" s="54" t="e">
        <f ca="1">IF(Control!$C$58=2, $NE267+$NH267,0)</f>
        <v>#DIV/0!</v>
      </c>
      <c r="NJ267" s="54" t="e">
        <f ca="1">IF(AND(Control!$C$58=1, $MS267&lt;= ($MN267+0.02), $I267&lt;10), MAX(0, MIN(10, 0.7*($NF267-$MV267))), IF(Control!$C$58=2, MIN(10,$NI267),0))</f>
        <v>#DIV/0!</v>
      </c>
      <c r="NK267" s="54" t="e">
        <f t="shared" ca="1" si="1031"/>
        <v>#DIV/0!</v>
      </c>
      <c r="NL267" s="173" t="e">
        <f ca="1">(1-Control!$C$73)*$I267+$NJ267</f>
        <v>#DIV/0!</v>
      </c>
      <c r="NM267" s="172" t="e">
        <f ca="1">IF($NL267&lt;0.5, $MB267* MAX(0, MIN(1, (SQRT($NC267)-SQRT($NC267-1))*Control!$C$71)),0)</f>
        <v>#DIV/0!</v>
      </c>
      <c r="NN267" s="170" t="e">
        <f ca="1">IF($NL267&gt;=5, $MB267, MAX(0,MIN($MB267, $NM267+$NL267,($MS267-Control!$C$129))))</f>
        <v>#DIV/0!</v>
      </c>
      <c r="NO267" s="54">
        <f>IF(Control!$C$133&lt;&gt;1, Control!$C$135-Control!$C$131, 0)</f>
        <v>0.38</v>
      </c>
      <c r="NP267" s="54" t="e">
        <f t="shared" ca="1" si="1032"/>
        <v>#DIV/0!</v>
      </c>
      <c r="NQ267" s="173" t="e">
        <f ca="1">MAX(0,MIN(1,(Control!$C$135-$MS267)/(Control!$C$135-$NO267)))</f>
        <v>#DIV/0!</v>
      </c>
      <c r="NR267" s="170" t="e">
        <f ca="1">IF(Control!$C$133&lt;&gt;1, $NQ267+((1-$NP267/4)*(1-$NQ267)),1)</f>
        <v>#DIV/0!</v>
      </c>
      <c r="NS267" s="170" t="e">
        <f ca="1">IF(Control!$B$31=0,$MJ267,MAX(0,MIN($MV267,$MO267*$NR267*$MJ267)))</f>
        <v>#DIV/0!</v>
      </c>
      <c r="NT267" s="170" t="e">
        <f t="shared" ca="1" si="1148"/>
        <v>#DIV/0!</v>
      </c>
      <c r="NU267" s="170" t="e">
        <f t="shared" ca="1" si="1124"/>
        <v>#N/A</v>
      </c>
      <c r="NV267" s="170" t="e">
        <f t="shared" ca="1" si="1033"/>
        <v>#N/A</v>
      </c>
      <c r="NW267" s="175" t="e">
        <f t="shared" ca="1" si="1034"/>
        <v>#DIV/0!</v>
      </c>
      <c r="NX267" s="170" t="e">
        <f ca="1">MIN(Control!$C$72+$MU267, $NW267)</f>
        <v>#DIV/0!</v>
      </c>
      <c r="NY267" s="170" t="e">
        <f ca="1">IF($MT267&lt;=$NX267,MIN(Control!$C$72+$NB267,$NX267-$MT267),0)</f>
        <v>#DIV/0!</v>
      </c>
      <c r="NZ267" s="54" t="e">
        <f ca="1">IF(Control!$C$114=1,  $CX267*($MX267-Control!$C$127), 0)</f>
        <v>#DIV/0!</v>
      </c>
      <c r="OA267" s="170" t="e">
        <f t="shared" ca="1" si="1035"/>
        <v>#DIV/0!</v>
      </c>
      <c r="OB267" s="170" t="e">
        <f ca="1">IF($NA267 &lt;=$NY267, MIN(Control!$C$72, $NY267-$NA267), 0)</f>
        <v>#DIV/0!</v>
      </c>
      <c r="OC267" s="168" t="e">
        <f t="shared" ca="1" si="1036"/>
        <v>#DIV/0!</v>
      </c>
      <c r="OD267" s="168" t="e">
        <f t="shared" ca="1" si="1125"/>
        <v>#DIV/0!</v>
      </c>
      <c r="OE267" s="170">
        <f ca="1">Control!$C$73*$I267</f>
        <v>0</v>
      </c>
      <c r="OF267" s="176" t="e">
        <f t="shared" ca="1" si="1037"/>
        <v>#DIV/0!</v>
      </c>
      <c r="OG267" s="168" t="e">
        <f t="shared" ca="1" si="1038"/>
        <v>#DIV/0!</v>
      </c>
      <c r="OH267" s="168" t="e">
        <f t="shared" ca="1" si="1039"/>
        <v>#DIV/0!</v>
      </c>
      <c r="OI267" s="168" t="e">
        <f t="shared" ca="1" si="1040"/>
        <v>#DIV/0!</v>
      </c>
      <c r="OJ267" s="168" t="e">
        <f t="shared" ca="1" si="1041"/>
        <v>#DIV/0!</v>
      </c>
      <c r="OK267" s="204" t="e">
        <f t="shared" ca="1" si="1042"/>
        <v>#DIV/0!</v>
      </c>
      <c r="OL267" s="177">
        <f>Control!$C$127</f>
        <v>0.15</v>
      </c>
      <c r="OM267" s="182" t="e">
        <f t="shared" ca="1" si="1043"/>
        <v>#N/A</v>
      </c>
      <c r="ON267" s="177">
        <f>Control!$C$128</f>
        <v>0.35</v>
      </c>
      <c r="OO267" s="182" t="e">
        <f t="shared" ca="1" si="1044"/>
        <v>#N/A</v>
      </c>
      <c r="OP267" s="138">
        <f t="shared" ca="1" si="1126"/>
        <v>0</v>
      </c>
      <c r="OQ267" s="138" t="e">
        <f t="shared" ca="1" si="1149"/>
        <v>#DIV/0!</v>
      </c>
      <c r="OR267" s="138" t="e">
        <f t="shared" ca="1" si="1127"/>
        <v>#DIV/0!</v>
      </c>
      <c r="OS267" s="137" t="e">
        <f t="shared" ca="1" si="1150"/>
        <v>#DIV/0!</v>
      </c>
      <c r="OT267" s="139" t="e">
        <f t="shared" ca="1" si="1151"/>
        <v>#DIV/0!</v>
      </c>
      <c r="OU267" s="138" t="e">
        <f t="shared" ca="1" si="1152"/>
        <v>#N/A</v>
      </c>
      <c r="OV267" s="138" t="e">
        <f t="shared" ca="1" si="1153"/>
        <v>#DIV/0!</v>
      </c>
      <c r="OW267" s="138" t="e">
        <f t="shared" ca="1" si="1128"/>
        <v>#DIV/0!</v>
      </c>
      <c r="OX267" s="138" t="e">
        <f t="shared" ca="1" si="1129"/>
        <v>#DIV/0!</v>
      </c>
      <c r="OY267" s="138" t="e">
        <f t="shared" ca="1" si="1130"/>
        <v>#DIV/0!</v>
      </c>
      <c r="OZ267" s="138" t="e">
        <f t="shared" ca="1" si="1045"/>
        <v>#DIV/0!</v>
      </c>
      <c r="PA267" s="138" t="e">
        <f t="shared" ca="1" si="1046"/>
        <v>#DIV/0!</v>
      </c>
      <c r="PB267" s="55">
        <f>IF(Control!$C$61="T", IF(Control!$C$65="F", IF($AH$6-Control!$C$60&lt;0,0,1), IF(365+$AH$6-Control!$C$60&lt;0,0,1)),0)</f>
        <v>0</v>
      </c>
      <c r="PC267" s="55">
        <f ca="1">IF(Control!$C$65="F", IF($AH$6-$HF267&lt;0,0,1), IF(365+$AH$6-$HF267&lt;0,0,1))</f>
        <v>1</v>
      </c>
      <c r="PD267" s="444">
        <f>Control!$C$118</f>
        <v>1500</v>
      </c>
      <c r="PE267" s="180" t="e">
        <f t="shared" ca="1" si="1047"/>
        <v>#N/A</v>
      </c>
      <c r="PF267" s="445">
        <f t="shared" ca="1" si="1131"/>
        <v>0.71612369323045078</v>
      </c>
      <c r="PT267" s="186"/>
      <c r="PU267" s="186"/>
      <c r="PV267" s="94"/>
      <c r="PW267" s="94"/>
      <c r="PX267" s="94"/>
      <c r="PY267" s="94"/>
      <c r="PZ267" s="94"/>
      <c r="QA267" s="94"/>
      <c r="QB267" s="94"/>
      <c r="QC267" s="94"/>
      <c r="QD267" s="94"/>
      <c r="QE267" s="94"/>
      <c r="QF267" s="94"/>
      <c r="QG267" s="94"/>
      <c r="QH267" s="94"/>
      <c r="QI267" s="94"/>
      <c r="QJ267" s="94"/>
      <c r="QK267" s="94"/>
      <c r="QL267" s="94"/>
      <c r="QM267" s="94"/>
      <c r="QN267" s="94"/>
      <c r="QO267" s="94"/>
      <c r="QP267" s="94"/>
    </row>
    <row r="268" spans="1:458" s="2" customFormat="1" x14ac:dyDescent="0.2">
      <c r="A268" s="395">
        <v>20</v>
      </c>
      <c r="B268" s="396">
        <v>9</v>
      </c>
      <c r="C268" s="387">
        <f ca="1">Weather_data!$B267</f>
        <v>0</v>
      </c>
      <c r="D268" s="388">
        <f ca="1">Weather_data!$F267</f>
        <v>0</v>
      </c>
      <c r="E268" s="388">
        <f ca="1">Weather_data!$E267</f>
        <v>0</v>
      </c>
      <c r="F268" s="388">
        <f t="shared" ca="1" si="1048"/>
        <v>0</v>
      </c>
      <c r="G268" s="388">
        <f ca="1">AVERAGE($D268:$E268)+Control!$B$9</f>
        <v>0</v>
      </c>
      <c r="H268" s="388">
        <f ca="1">Weather_data!$G267</f>
        <v>0</v>
      </c>
      <c r="I268" s="388">
        <f ca="1">Weather_data!$I267</f>
        <v>0</v>
      </c>
      <c r="J268" s="388">
        <f ca="1">Weather_data!$H267</f>
        <v>0</v>
      </c>
      <c r="K268" s="389">
        <f ca="1">Weather_data!$D267</f>
        <v>0</v>
      </c>
      <c r="L268" s="388" t="e">
        <f t="shared" ca="1" si="1049"/>
        <v>#N/A</v>
      </c>
      <c r="M268" s="388" t="e">
        <f t="shared" ca="1" si="927"/>
        <v>#N/A</v>
      </c>
      <c r="N268" s="388">
        <f t="shared" ca="1" si="928"/>
        <v>-5.1346101791107235E-13</v>
      </c>
      <c r="O268" s="388">
        <f t="shared" ca="1" si="1050"/>
        <v>5.1346101791107239E-12</v>
      </c>
      <c r="P268" s="390">
        <v>3</v>
      </c>
      <c r="Q268" s="388">
        <f ca="1">MAX($G268-Control!$C$107,0)</f>
        <v>0</v>
      </c>
      <c r="R268" s="388">
        <f t="shared" ca="1" si="1051"/>
        <v>0</v>
      </c>
      <c r="S268" s="388">
        <f t="shared" ca="1" si="929"/>
        <v>0</v>
      </c>
      <c r="T268" s="388">
        <f t="shared" ca="1" si="930"/>
        <v>0</v>
      </c>
      <c r="U268" s="59">
        <f t="shared" ca="1" si="931"/>
        <v>0</v>
      </c>
      <c r="V268" s="391">
        <f ca="1">MAX(0,MIN(Control!$C$100-Control!$C$99,$G268-Control!$C$99)*Control!$C$63)</f>
        <v>0</v>
      </c>
      <c r="W268" s="388">
        <f t="shared" ca="1" si="1052"/>
        <v>0</v>
      </c>
      <c r="X268" s="388">
        <f t="shared" ca="1" si="1053"/>
        <v>0.6110000000000001</v>
      </c>
      <c r="Y268" s="388">
        <f t="shared" ca="1" si="932"/>
        <v>0</v>
      </c>
      <c r="Z268" s="388">
        <f t="shared" ca="1" si="1054"/>
        <v>0.61058800000000002</v>
      </c>
      <c r="AA268" s="388">
        <f t="shared" ca="1" si="933"/>
        <v>0.6018</v>
      </c>
      <c r="AB268" s="388">
        <f ca="1">101.3*EXP(-0.034*Control!$C$66/($G268+273))</f>
        <v>100.69623283836242</v>
      </c>
      <c r="AC268" s="392">
        <f t="shared" ca="1" si="934"/>
        <v>4.3460251046025113E-2</v>
      </c>
      <c r="AD268" s="392">
        <f t="shared" ca="1" si="935"/>
        <v>4.4450382862832649E-2</v>
      </c>
      <c r="AE268" s="388">
        <f t="shared" ca="1" si="936"/>
        <v>0</v>
      </c>
      <c r="AF268" s="388">
        <f ca="1">MAX(0,$G268-Control!$C$92)</f>
        <v>0</v>
      </c>
      <c r="AG268" s="393">
        <f t="shared" ca="1" si="937"/>
        <v>264</v>
      </c>
      <c r="AH268" s="389">
        <f t="shared" ca="1" si="938"/>
        <v>264</v>
      </c>
      <c r="AI268" s="388">
        <f t="shared" ca="1" si="1055"/>
        <v>-1.7169810115598553E-3</v>
      </c>
      <c r="AJ268" s="388">
        <f ca="1">IF(Control!$C$60&lt;=0,$HH268,$HI268)</f>
        <v>1</v>
      </c>
      <c r="AK268" s="388">
        <f t="shared" ca="1" si="939"/>
        <v>3.1674139630713527</v>
      </c>
      <c r="AL268" s="388">
        <f t="shared" ca="1" si="940"/>
        <v>1.0817319262557133E-18</v>
      </c>
      <c r="AM268" s="388">
        <f t="shared" ca="1" si="941"/>
        <v>3.1674139630713527</v>
      </c>
      <c r="AN268" s="388">
        <f t="shared" ca="1" si="942"/>
        <v>-1.0270756095724748E-2</v>
      </c>
      <c r="AO268" s="388">
        <f ca="1">-0.10453/COS(Control!$B$8*PI()/180)*COS(AN268)</f>
        <v>-0.16977590913958443</v>
      </c>
      <c r="AP268" s="388">
        <f ca="1">ACOS(AO268-TAN(Control!$B$8*PI()/180)*TAN(AN268))</f>
        <v>1.728073406940585</v>
      </c>
      <c r="AQ268" s="388">
        <f t="shared" ca="1" si="1056"/>
        <v>0</v>
      </c>
      <c r="AR268" s="394">
        <f t="shared" ca="1" si="943"/>
        <v>0</v>
      </c>
      <c r="AS268" s="436">
        <f ca="1">IF(Control!$B$18=2,(IF(OR($AH268=Control!$B$175,$AH268=Control!$B$176,$AH268=Control!$B$177,$AH268=Control!$B$178,$AH268=Control!$B$179,$AH268=Control!$B$180,$AH268=Control!$B$181,$AH268=Control!$B$182,$AH268=Control!$B$183,$AH268=Control!$B$184,$AH268=Control!$B$185),1,0)),0)</f>
        <v>0</v>
      </c>
      <c r="AT268" s="436">
        <f>IF(Control!$B$20=8,IF(AND($AH268&gt;=Control!$B$172,$AH268&lt;=Control!$B$173),1,0),0)</f>
        <v>0</v>
      </c>
      <c r="AU268" s="436">
        <f>IF(Control!$B$20=8,IF($AV267=1,1*$AT268,IF($AT268=1,$AU267+1,$AU267)),0)</f>
        <v>0</v>
      </c>
      <c r="AV268" s="436">
        <f>IF(Control!$B$20=8,IF($AU268&gt;=Control!$B$174,1,0),0)</f>
        <v>0</v>
      </c>
      <c r="AW268" s="436">
        <f ca="1">IF(AND(Control!$B$18=2,Control!$B$171=1), $AV268, $AS268)</f>
        <v>0</v>
      </c>
      <c r="AX268" s="436" t="e">
        <f ca="1">IF(AND(Control!$B$18=1,$EU268&gt;=Control!$B$19),-$AY268,IF(AND(Control!$B$18=2,$AW268=1,$EU268&gt;$DS268),-$AY268, IF(Control!$C$108=0,0, IF(Control!$C$108&lt;&gt;0,1))))</f>
        <v>#N/A</v>
      </c>
      <c r="AY268" s="436" t="e">
        <f t="shared" ca="1" si="1057"/>
        <v>#N/A</v>
      </c>
      <c r="AZ268" s="436" t="e">
        <f ca="1">IF(AND(Control!$B$18=1,$EB268&gt;Control!$B$19),$AZ267+1, IF(AND(Control!$B$18=2, $AW268=1, $EB268&gt;$DS268), $AZ267+1,$AZ267))</f>
        <v>#N/A</v>
      </c>
      <c r="BA268" s="587">
        <f>IF(Control!$C$81=0,1,IF($AH268&gt;=Control!$C$82,1,0))</f>
        <v>1</v>
      </c>
      <c r="BB268" s="140" t="e">
        <f ca="1">IF($BA268&gt;$BA267,Control!$C$83,IF($AW268&gt;0,$AW268*Control!$C$84,IF(AND(Control!$B$18=1,EN267&lt;&gt;0),Control!$C$84,0)))</f>
        <v>#N/A</v>
      </c>
      <c r="BC268" s="140" t="e">
        <f t="shared" ca="1" si="1058"/>
        <v>#N/A</v>
      </c>
      <c r="BD268" s="140" t="e">
        <f ca="1">BC268*IF(OR($G268&lt;Control!$C$92,$G268&gt;Control!$C$95),0,IF(AND($G268&gt;=Control!$C$92,$G268&lt;=Control!$C$93),$G268-Control!$C$92,IF(AND($G268&gt;Control!$C$93,$G268&lt;=Control!$C$94),Control!$C$93-Control!$C$92,IF(AND($G268&gt;Control!$C$94,$G268&lt;=Control!$C$95),(Control!$C$93-Control!$C$92)*(Control!$C$94-$G268)/(Control!$C$95-Control!$C$94)))))</f>
        <v>#N/A</v>
      </c>
      <c r="BE268" s="140" t="e">
        <f t="shared" ca="1" si="1059"/>
        <v>#N/A</v>
      </c>
      <c r="BF268" s="140" t="e">
        <f ca="1">IF($BE268&lt;=Control!$C$86,$BE268,Control!$C$86-$BE268)</f>
        <v>#N/A</v>
      </c>
      <c r="BG268" s="140" t="e">
        <f ca="1">IF(AND($AW268=1,Control!$C$84&lt;9),1,IF($BE268&gt;=Control!$C$86,0,$BC268))</f>
        <v>#N/A</v>
      </c>
      <c r="BH268" s="404" t="e">
        <f ca="1">IF($BG268=0,0,IF($BE268&lt;=Control!$C$86,$BC268*9*($BF268/Control!$C$86),0))</f>
        <v>#N/A</v>
      </c>
      <c r="BI268" s="140" t="e">
        <f ca="1">IF($BG268=1,0,IF($BE268&gt;=Control!$C$86,1,IF(AND($BB268&lt;21,$BB268&gt;=9),1,$BM267)))</f>
        <v>#N/A</v>
      </c>
      <c r="BJ268" s="140" t="e">
        <f ca="1">IF($BF268&lt;0,-$BF268,$BI268*IF(OR($G268&lt;Control!$C$92,$G268&gt;Control!$C$95),0,IF(AND($G268&gt;=Control!$C$92,$G268&lt;=Control!$C$93),$G268-Control!$C$92,IF(AND($G268&gt;Control!$C$93,$G268&lt;=Control!$C$94),Control!$C$93-Control!$C$92,IF(AND($G268&gt;Control!$C$94,$G268&lt;=Control!$C$95),(Control!$C$93-Control!$C$92)*(Control!$C$94-$G268)/(Control!$C$95-Control!$C$94))))))</f>
        <v>#N/A</v>
      </c>
      <c r="BK268" s="140" t="e">
        <f t="shared" ca="1" si="1060"/>
        <v>#N/A</v>
      </c>
      <c r="BL268" s="140" t="e">
        <f ca="1">IF($BK268&lt;=Control!$C$87,$BK268,Control!$C$87-$BK268)</f>
        <v>#N/A</v>
      </c>
      <c r="BM268" s="140" t="e">
        <f ca="1">IF(AND($BB268&gt;=9,$BB268&lt;21),1,IF($BK268&gt;=Control!$C$87,0,$BI268))</f>
        <v>#N/A</v>
      </c>
      <c r="BN268" s="404" t="e">
        <f ca="1">IF($BM268=0,0,IF($BK268&lt;=Control!$C$87,$BI268*(9+(21-9)*($BL268/Control!$C$87)),0))</f>
        <v>#N/A</v>
      </c>
      <c r="BO268" s="140" t="e">
        <f ca="1">IF($BM268=1,0,IF($BK268&gt;=Control!$C$87,1,IF(AND($BB268&lt;30,$BB268&gt;=21),1,$BS267)))</f>
        <v>#N/A</v>
      </c>
      <c r="BP268" s="140" t="e">
        <f ca="1">IF($BL268&lt;0,-$BL268,$BO268*IF(OR($G268&lt;Control!$C$92,$G268&gt;Control!$C$95),0,IF(AND($G268&gt;=Control!$C$92,$G268&lt;=Control!$C$93),$G268-Control!$C$92,IF(AND($G268&gt;Control!$C$93,$G268&lt;=Control!$C$94),Control!$C$93-Control!$C$92,IF(AND($G268&gt;Control!$C$94,$G268&lt;=Control!$C$95),(Control!$C$93-Control!$C$92)*(Control!$C$94-$G268)/(Control!$C$95-Control!$C$94))))))</f>
        <v>#N/A</v>
      </c>
      <c r="BQ268" s="140" t="e">
        <f t="shared" ca="1" si="944"/>
        <v>#N/A</v>
      </c>
      <c r="BR268" s="140" t="e">
        <f ca="1">IF($BQ268&lt;=Control!$C$88,$BQ268,Control!$C$88-$BQ268)</f>
        <v>#N/A</v>
      </c>
      <c r="BS268" s="140" t="e">
        <f ca="1">IF(AND($BB268&gt;=21,$BB268&lt;30),1,IF($BQ268&gt;=Control!$C$88,0,$BO268))</f>
        <v>#N/A</v>
      </c>
      <c r="BT268" s="404" t="e">
        <f ca="1">IF($BS268=0,0,IF($BQ268&lt;=Control!$C$88,$BO268*(21+(30-21)*(BR268/Control!$C$88)),0))</f>
        <v>#N/A</v>
      </c>
      <c r="BU268" s="140" t="e">
        <f ca="1">IF(BG268+BM268+BS268=1,0,IF(OR(AND($BB268&lt;60,$BB268&gt;=30),$BQ268&gt;=Control!$C$88),1*$BA268,$BY267))</f>
        <v>#N/A</v>
      </c>
      <c r="BV268" s="140" t="e">
        <f ca="1">IF($BR268&lt;0,-$BR268,$BU268*IF(OR($G268&lt;Control!$C$92,$G268&gt;Control!$C$95),0,IF(AND($G268&gt;=Control!$C$92,$G268&lt;=Control!$C$93),$G268-Control!$C$92,IF(AND($G268&gt;Control!$C$93,$G268&lt;=Control!$C$94),Control!$C$93-Control!$C$92,IF(AND($G268&gt;Control!$C$94,$G268&lt;=Control!$C$95),(Control!$C$93-Control!$C$92)*(Control!$C$94-$G268)/(Control!$C$95-Control!$C$94))))))</f>
        <v>#N/A</v>
      </c>
      <c r="BW268" s="140" t="e">
        <f t="shared" ca="1" si="945"/>
        <v>#N/A</v>
      </c>
      <c r="BX268" s="140" t="e">
        <f ca="1">IF($BW268&lt;=Control!$C$89,$BW268,Control!$C$89-$BW268)</f>
        <v>#N/A</v>
      </c>
      <c r="BY268" s="140" t="e">
        <f ca="1">IF(AND($AJ268&gt;=30,$AJ268&lt;60),1,IF($BW268&gt;=Control!$C$89,0,$BU268))</f>
        <v>#N/A</v>
      </c>
      <c r="BZ268" s="404" t="e">
        <f ca="1">IF($BY268=0,0,IF($BW268&lt;=Control!$C$89,$BU268*(30+(60-30)*(BX268/Control!$C$89)),0))</f>
        <v>#N/A</v>
      </c>
      <c r="CA268" s="140" t="e">
        <f ca="1">IF($BG268+$BM268+$BS268+$BY268=1,0,IF(OR(AND($BB268&lt;65,$BB268&gt;=60),$BW268&gt;=Control!$C$89),1*$BA268,$CE267))</f>
        <v>#N/A</v>
      </c>
      <c r="CB268" s="140" t="e">
        <f ca="1">IF($BX268&lt;0,-$BX268,$CA268*IF(OR($G268&lt;Control!$C$92,$G268&gt;Control!$C$95),0,IF(AND($G268&gt;=Control!$C$92,$G268&lt;=Control!$C$93),$G268-Control!$C$92,IF(AND($G268&gt;Control!$C$93,$G268&lt;=Control!$C$94),Control!$C$93-Control!$C$92,IF(AND($G268&gt;Control!$C$94,$G268&lt;=Control!$C$95),(Control!$C$93-Control!$C$92)*(Control!$C$94-$G268)/(Control!$C$95-Control!$C$94))))))</f>
        <v>#N/A</v>
      </c>
      <c r="CC268" s="140" t="e">
        <f t="shared" ca="1" si="1061"/>
        <v>#N/A</v>
      </c>
      <c r="CD268" s="140" t="e">
        <f ca="1">IF($CC268&lt;=Control!$C$90,$CC268,Control!$C$90-$CC268)</f>
        <v>#N/A</v>
      </c>
      <c r="CE268" s="140" t="e">
        <f ca="1">IF(AND($BB268&gt;=60,$BB268&lt;65),1,IF($CC268&gt;=Control!$C$90,0,$CA268))</f>
        <v>#N/A</v>
      </c>
      <c r="CF268" s="404" t="e">
        <f ca="1">IF($CE268=0,0,IF($CC268&lt;=Control!$C$90,$CA268*(60+(65-60)*(CD268/Control!$C$90)),0))</f>
        <v>#N/A</v>
      </c>
      <c r="CG268" s="140" t="e">
        <f ca="1">IF($BG268+$BM268+$BS268+$BY268+$CE268=1,0,IF(OR(AND($BB268&lt;90,$BB268&gt;=65),$CC268&gt;=Control!$C$90),$BA268,$CK267))</f>
        <v>#N/A</v>
      </c>
      <c r="CH268" s="140" t="e">
        <f ca="1">IF($CD268&lt;0,-$CD268,$CG268*IF(OR($G268&lt;Control!$C$92,$G268&gt;Control!$C$95),0,IF(AND($G268&gt;=Control!$C$92,$G268&lt;=Control!$C$93),$G268-Control!$C$92,IF(AND($G268&gt;Control!$C$93,$G268&lt;=Control!$C$94),Control!$C$93-Control!$C$92,IF(AND($G268&gt;Control!$C$94,$G268&lt;=Control!$C$95),(Control!$C$93-Control!$C$92)*(Control!$C$94-$G268)/(Control!$C$95-Control!$C$94))))))</f>
        <v>#N/A</v>
      </c>
      <c r="CI268" s="140" t="e">
        <f t="shared" ca="1" si="1062"/>
        <v>#N/A</v>
      </c>
      <c r="CJ268" s="140" t="e">
        <f ca="1">IF($CI268&lt;=Control!$C$91,$CI268,Control!$C$91-$CI268)</f>
        <v>#N/A</v>
      </c>
      <c r="CK268" s="140" t="e">
        <f ca="1">IF(AND($BB268&gt;=65,$BB268&lt;90),1,IF($CI268&gt;=Control!$C$91,0,$CG268))</f>
        <v>#N/A</v>
      </c>
      <c r="CL268" s="404" t="e">
        <f ca="1">IF($CK268=0,0,IF($CI268&lt;=Control!$C$91,$CG268*(65+(90-65)*($CJ268/Control!$C$91)),0))</f>
        <v>#N/A</v>
      </c>
      <c r="CM268" s="140" t="e">
        <f ca="1">IF($BG268+$BM268+$BS268+$BY268+$CE268+$CK268=1,0,IF(OR($BB268&gt;=90,$CI268&gt;=Control!$C$91),$BA268,$CM267))</f>
        <v>#N/A</v>
      </c>
      <c r="CN268" s="140" t="e">
        <f t="shared" ca="1" si="1063"/>
        <v>#N/A</v>
      </c>
      <c r="CO268" s="140" t="e">
        <f t="shared" ca="1" si="1064"/>
        <v>#N/A</v>
      </c>
      <c r="CP268" s="140" t="e">
        <f t="shared" ca="1" si="1065"/>
        <v>#N/A</v>
      </c>
      <c r="CQ268" s="141" t="e">
        <f ca="1">VLOOKUP($CP268,Control!$B$86:$G$91,6)</f>
        <v>#N/A</v>
      </c>
      <c r="CR268" s="141" t="e">
        <f ca="1">(1-$CQ268)*VLOOKUP($CP268,Control!$B$86:$D$91,3)</f>
        <v>#N/A</v>
      </c>
      <c r="CS268" s="141" t="e">
        <f ca="1">(1-$CQ268)*VLOOKUP($CP268,Control!$B$86:$E$91,4)</f>
        <v>#N/A</v>
      </c>
      <c r="CT268" s="141" t="e">
        <f ca="1">(1-$CQ268)*VLOOKUP($CP268,Control!$B$86:$F$91,5)</f>
        <v>#N/A</v>
      </c>
      <c r="CU268" s="141">
        <f t="shared" ca="1" si="1066"/>
        <v>0</v>
      </c>
      <c r="CV268" s="583">
        <f t="shared" ca="1" si="1067"/>
        <v>0</v>
      </c>
      <c r="CW268" s="142">
        <f t="shared" ca="1" si="1068"/>
        <v>264</v>
      </c>
      <c r="CX268" s="612" t="e">
        <f ca="1">IF(Control!$C$114=1,(MIN(Control!$C$120*(IF($NT268-0.01&lt;0,0,1)),Control!$C$119-$CY268)))</f>
        <v>#DIV/0!</v>
      </c>
      <c r="CY268" s="143" t="e">
        <f t="shared" ca="1" si="1069"/>
        <v>#N/A</v>
      </c>
      <c r="CZ268" s="144">
        <f t="shared" ca="1" si="946"/>
        <v>0</v>
      </c>
      <c r="DA268" s="144">
        <f t="shared" ca="1" si="947"/>
        <v>0</v>
      </c>
      <c r="DB268" s="144" t="e">
        <f t="shared" ca="1" si="948"/>
        <v>#N/A</v>
      </c>
      <c r="DC268" s="144" t="e">
        <f t="shared" ca="1" si="949"/>
        <v>#N/A</v>
      </c>
      <c r="DD268" s="144" t="e">
        <f t="shared" ca="1" si="1154"/>
        <v>#N/A</v>
      </c>
      <c r="DE268" s="143" t="e">
        <f t="shared" ca="1" si="1070"/>
        <v>#N/A</v>
      </c>
      <c r="DF268" s="145" t="e">
        <f ca="1">$DR268*EXP(-Control!$C$158*(1-$KH268))</f>
        <v>#N/A</v>
      </c>
      <c r="DG268" s="146" t="e">
        <f ca="1">IF(Control!$C$114=1, $DF268*$EY268, 0)</f>
        <v>#N/A</v>
      </c>
      <c r="DH268" s="147" t="e">
        <f t="shared" ca="1" si="1071"/>
        <v>#N/A</v>
      </c>
      <c r="DI268" s="144" t="e">
        <f t="shared" ca="1" si="1132"/>
        <v>#N/A</v>
      </c>
      <c r="DJ268" s="147" t="e">
        <f ca="1">$EF268*Control!$C$109</f>
        <v>#N/A</v>
      </c>
      <c r="DK268" s="144" t="e">
        <f t="shared" ca="1" si="1072"/>
        <v>#N/A</v>
      </c>
      <c r="DL268" s="144" t="e">
        <f t="shared" ca="1" si="950"/>
        <v>#N/A</v>
      </c>
      <c r="DM268" s="144" t="e">
        <f ca="1">IF(Control!$C$114=1, (1-EXP(-Control!$C$96*$DK268))*$AR268, 0)</f>
        <v>#N/A</v>
      </c>
      <c r="DN268" s="144">
        <f t="shared" ca="1" si="1073"/>
        <v>0</v>
      </c>
      <c r="DO268" s="148">
        <f>Control!$C$97</f>
        <v>4</v>
      </c>
      <c r="DP268" s="145" t="e">
        <f t="shared" ca="1" si="1074"/>
        <v>#N/A</v>
      </c>
      <c r="DQ268" s="145" t="e">
        <f ca="1">IF(AND($CP268&gt;=0,$CP268&lt;=90),Control!$C$111,Control!$C$111)</f>
        <v>#N/A</v>
      </c>
      <c r="DR268" s="145" t="e">
        <f t="shared" ca="1" si="951"/>
        <v>#N/A</v>
      </c>
      <c r="DS268" s="143" t="e">
        <f ca="1">Control!$B$22/$DR268</f>
        <v>#N/A</v>
      </c>
      <c r="DT268" s="149" t="e">
        <f ca="1">IF(AND(Control!$C$114=1,$KH268&lt;1),$IM268*$DF268, 0)</f>
        <v>#N/A</v>
      </c>
      <c r="DU268" s="144" t="e">
        <f t="shared" ca="1" si="1075"/>
        <v>#N/A</v>
      </c>
      <c r="DV268" s="144">
        <f ca="1">IF($G268-Control!$C$107&lt;=0, 0, 0.83*LN(MAX($G268, 3))-0.8924)</f>
        <v>0</v>
      </c>
      <c r="DW268" s="144" t="e">
        <f t="shared" ca="1" si="952"/>
        <v>#N/A</v>
      </c>
      <c r="DX268" s="150" t="e">
        <f ca="1">MAX(0.01*(1+$CU268/Control!$C$102),0.05*($DK268-Control!$C$97)/Control!$C$97)</f>
        <v>#N/A</v>
      </c>
      <c r="DY268" s="151" t="e">
        <f ca="1">IF(Control!$C$114=1, $DI268*$FS268, 0)</f>
        <v>#N/A</v>
      </c>
      <c r="DZ268" s="196" t="e">
        <f t="shared" ca="1" si="1076"/>
        <v>#N/A</v>
      </c>
      <c r="EA268" s="152">
        <f t="shared" ca="1" si="1077"/>
        <v>264</v>
      </c>
      <c r="EB268" s="153" t="e">
        <f t="shared" ca="1" si="1078"/>
        <v>#N/A</v>
      </c>
      <c r="EC268" s="153" t="e">
        <f t="shared" ca="1" si="1079"/>
        <v>#N/A</v>
      </c>
      <c r="ED268" s="154" t="e">
        <f ca="1">IF(Control!$C$114=1, $HM268*$FY268-$FD268, 0)</f>
        <v>#DIV/0!</v>
      </c>
      <c r="EE268" s="155" t="e">
        <f ca="1">IF(Control!$C$114=1, $HM268*$FZ268-$FF268, 0)</f>
        <v>#DIV/0!</v>
      </c>
      <c r="EF268" s="153" t="e">
        <f t="shared" ca="1" si="1133"/>
        <v>#N/A</v>
      </c>
      <c r="EG268" s="155" t="e">
        <f ca="1">IF(Control!$C$114=1, $GX268*$FW268-$FI268, 0)</f>
        <v>#DIV/0!</v>
      </c>
      <c r="EH268" s="153" t="e">
        <f t="shared" ca="1" si="1080"/>
        <v>#N/A</v>
      </c>
      <c r="EI268" s="156" t="e">
        <f t="shared" ca="1" si="1081"/>
        <v>#N/A</v>
      </c>
      <c r="EJ268" s="155" t="e">
        <f ca="1">IF(Control!$C$114=1, $HM268*$GB268, 0)</f>
        <v>#DIV/0!</v>
      </c>
      <c r="EK268" s="153" t="e">
        <f t="shared" ca="1" si="1134"/>
        <v>#N/A</v>
      </c>
      <c r="EL268" s="153" t="e">
        <f t="shared" ca="1" si="953"/>
        <v>#N/A</v>
      </c>
      <c r="EM268" s="153" t="e">
        <f t="shared" ca="1" si="954"/>
        <v>#N/A</v>
      </c>
      <c r="EN268" s="153" t="e">
        <f ca="1">IF(Control!$C$108=1,IF(AND(Control!$B$18=1,$EB268&gt;=Control!$B$19),$EB268-$DS268,IF(AND(Control!$B$18=2,$AW268=1,$EB268&gt;$DS268),$EB268-$DS268,0)))</f>
        <v>#N/A</v>
      </c>
      <c r="EO268" s="153" t="e">
        <f ca="1">IF(Control!$C$108=1,IF(AND(Control!$B$18=1,$EB268&gt;=Control!$B$19),$EF268,IF(AND(Control!$B$18=2,$AW268=1),$EF268,0)))</f>
        <v>#N/A</v>
      </c>
      <c r="EP268" s="153" t="e">
        <f ca="1">IF(Control!$C$108=1,IF(AND(Control!$B$18=1,$EB268&gt;=Control!$B$19),$EK268,IF(AND(Control!$B$18=2,$AW268=1),$EK268,0)))</f>
        <v>#N/A</v>
      </c>
      <c r="EQ268" s="153" t="e">
        <f t="shared" ca="1" si="1082"/>
        <v>#N/A</v>
      </c>
      <c r="ER268" s="153" t="e">
        <f t="shared" ca="1" si="1083"/>
        <v>#N/A</v>
      </c>
      <c r="ES268" s="153" t="e">
        <f t="shared" ca="1" si="1135"/>
        <v>#N/A</v>
      </c>
      <c r="ET268" s="153" t="e">
        <f t="shared" ca="1" si="1136"/>
        <v>#N/A</v>
      </c>
      <c r="EU268" s="153" t="e">
        <f t="shared" ca="1" si="1084"/>
        <v>#N/A</v>
      </c>
      <c r="EV268" s="153" t="e">
        <f t="shared" ca="1" si="955"/>
        <v>#N/A</v>
      </c>
      <c r="EW268" s="153" t="e">
        <f t="shared" ca="1" si="956"/>
        <v>#N/A</v>
      </c>
      <c r="EX268" s="153" t="e">
        <f t="shared" ca="1" si="957"/>
        <v>#N/A</v>
      </c>
      <c r="EY268" s="157" t="e">
        <f t="shared" ca="1" si="958"/>
        <v>#DIV/0!</v>
      </c>
      <c r="EZ268" s="154" t="e">
        <f t="shared" ca="1" si="959"/>
        <v>#DIV/0!</v>
      </c>
      <c r="FA268" s="153" t="e">
        <f t="shared" ca="1" si="1085"/>
        <v>#N/A</v>
      </c>
      <c r="FB268" s="153" t="e">
        <f t="shared" ca="1" si="960"/>
        <v>#N/A</v>
      </c>
      <c r="FC268" s="193" t="e">
        <f t="shared" ca="1" si="961"/>
        <v>#N/A</v>
      </c>
      <c r="FD268" s="158" t="e">
        <f t="shared" ca="1" si="1086"/>
        <v>#N/A</v>
      </c>
      <c r="FE268" s="158" t="e">
        <f t="shared" ca="1" si="1087"/>
        <v>#N/A</v>
      </c>
      <c r="FF268" s="159" t="e">
        <f t="shared" ca="1" si="962"/>
        <v>#N/A</v>
      </c>
      <c r="FG268" s="160" t="e">
        <f t="shared" ca="1" si="1088"/>
        <v>#N/A</v>
      </c>
      <c r="FH268" s="158" t="e">
        <f t="shared" ca="1" si="1089"/>
        <v>#N/A</v>
      </c>
      <c r="FI268" s="159" t="e">
        <f t="shared" ca="1" si="963"/>
        <v>#N/A</v>
      </c>
      <c r="FJ268" s="160" t="e">
        <f t="shared" ca="1" si="1090"/>
        <v>#N/A</v>
      </c>
      <c r="FK268" s="160" t="e">
        <f t="shared" ca="1" si="964"/>
        <v>#N/A</v>
      </c>
      <c r="FL268" s="160" t="e">
        <f t="shared" ca="1" si="1137"/>
        <v>#N/A</v>
      </c>
      <c r="FM268" s="160" t="e">
        <f t="shared" ca="1" si="965"/>
        <v>#N/A</v>
      </c>
      <c r="FN268" s="158">
        <f t="shared" ca="1" si="1091"/>
        <v>0.01</v>
      </c>
      <c r="FO268" s="160">
        <f>Control!$C$101</f>
        <v>50</v>
      </c>
      <c r="FP268" s="150" t="e">
        <f t="shared" ca="1" si="966"/>
        <v>#N/A</v>
      </c>
      <c r="FQ268" s="150" t="e">
        <f ca="1">MAX(0,(Control!$C$112*(($DK268-Control!$C$97)/Control!$C$97)))</f>
        <v>#N/A</v>
      </c>
      <c r="FR268" s="150" t="e">
        <f ca="1">(1-$NT268)*Control!$C$113</f>
        <v>#DIV/0!</v>
      </c>
      <c r="FS268" s="198" t="e">
        <f t="shared" ca="1" si="967"/>
        <v>#N/A</v>
      </c>
      <c r="FT268" s="161">
        <f t="shared" ca="1" si="1092"/>
        <v>264</v>
      </c>
      <c r="FU268" s="162" t="e">
        <f ca="1">IF(Control!$B$34=1,VLOOKUP($CP268,Control!$B$86:$G$91,6),Control!$B$35)</f>
        <v>#N/A</v>
      </c>
      <c r="FV268" s="162" t="e">
        <f t="shared" ca="1" si="968"/>
        <v>#DIV/0!</v>
      </c>
      <c r="FW268" s="162" t="e">
        <f ca="1">IF(Control!$B$31=1,$FU268*$FV268,  $FU268)</f>
        <v>#N/A</v>
      </c>
      <c r="FX268" s="162" t="e">
        <f ca="1">IF(Control!$B$34=1,VLOOKUP($CP268,Control!$B$86:$G$91,3),Control!$B$36)</f>
        <v>#N/A</v>
      </c>
      <c r="FY268" s="162" t="e">
        <f t="shared" ca="1" si="969"/>
        <v>#N/A</v>
      </c>
      <c r="FZ268" s="162" t="e">
        <f ca="1">IF(Control!$B$34=1,VLOOKUP($CP268,Control!$B$86:$G$91,4),Control!$B$37)</f>
        <v>#N/A</v>
      </c>
      <c r="GA268" s="162" t="e">
        <f t="shared" ca="1" si="970"/>
        <v>#N/A</v>
      </c>
      <c r="GB268" s="162" t="e">
        <f ca="1">IF(Control!$B$34=1,VLOOKUP($CP268,Control!$B$86:$G$91,5),Control!$B$38)</f>
        <v>#N/A</v>
      </c>
      <c r="GC268" s="162" t="e">
        <f t="shared" ca="1" si="1093"/>
        <v>#N/A</v>
      </c>
      <c r="GD268" s="162">
        <f t="shared" ca="1" si="971"/>
        <v>1</v>
      </c>
      <c r="GE268" s="162">
        <f t="shared" ca="1" si="972"/>
        <v>1</v>
      </c>
      <c r="GF268" s="162">
        <f ca="1">IF(AND(Control!$C$104=1, Control!$C$62="F"),$GE268,1)</f>
        <v>1</v>
      </c>
      <c r="GG268" s="162" t="e">
        <f ca="1">IF(Control!$B$16=40,0,IF(AND(Control!$B$16&gt;40,Control!$B$16&lt;=360),(Control!$B$16-40)*((1-0)/(360-40)),IF(AND(Control!$B$16&gt;360,Control!$B$16&lt;=720),(1+(Control!$B$16-360)*((1.25-1)/(720-360))),IF(AND(Control!$B$16&gt;720,Control!$B$16&lt;=1000),(1.25+(Control!$B$16-720)*((1.35-1.25)/(1000-720))),IF(AND(Control!$B$16&gt;1000,Control!$B$16&lt;=2000),(1.35+(Control!$B$16-1000)*0))))))</f>
        <v>#N/A</v>
      </c>
      <c r="GH268" s="162" t="e">
        <f t="shared" ca="1" si="973"/>
        <v>#N/A</v>
      </c>
      <c r="GI268" s="162">
        <f t="shared" ca="1" si="1094"/>
        <v>0</v>
      </c>
      <c r="GJ268" s="162">
        <f t="shared" ca="1" si="974"/>
        <v>0</v>
      </c>
      <c r="GK268" s="162">
        <f t="shared" ca="1" si="1095"/>
        <v>1</v>
      </c>
      <c r="GL268" s="162">
        <f t="shared" ca="1" si="975"/>
        <v>1</v>
      </c>
      <c r="GM268" s="162" t="e">
        <f ca="1">MAX(0,MIN(1,1-Control!$C$156*(1.0001-$KH268)^2))</f>
        <v>#N/A</v>
      </c>
      <c r="GN268" s="162" t="e">
        <f ca="1">IF(Control!$B$26=1,$KU268,$KX268)</f>
        <v>#N/A</v>
      </c>
      <c r="GO268" s="162" t="e">
        <f ca="1">IF($CP268&lt;=60,Control!$C$105,IF($CP268&gt;=90,Control!$C$106,Control!$C$105+($CP268-60)*((Control!$C$106-Control!$C$105)/(90-60))))</f>
        <v>#N/A</v>
      </c>
      <c r="GP268" s="162" t="e">
        <f t="shared" ca="1" si="976"/>
        <v>#N/A</v>
      </c>
      <c r="GQ268" s="162" t="e">
        <f t="shared" ca="1" si="1096"/>
        <v>#N/A</v>
      </c>
      <c r="GR268" s="163" t="e">
        <f t="shared" ca="1" si="977"/>
        <v>#DIV/0!</v>
      </c>
      <c r="GS268" s="162" t="e">
        <f t="shared" ca="1" si="978"/>
        <v>#DIV/0!</v>
      </c>
      <c r="GT268" s="164" t="e">
        <f t="shared" ca="1" si="1097"/>
        <v>#N/A</v>
      </c>
      <c r="GU268" s="162" t="e">
        <f t="shared" ca="1" si="1098"/>
        <v>#N/A</v>
      </c>
      <c r="GV268" s="162" t="e">
        <f t="shared" ca="1" si="979"/>
        <v>#N/A</v>
      </c>
      <c r="GW268" s="162" t="e">
        <f t="shared" ca="1" si="980"/>
        <v>#DIV/0!</v>
      </c>
      <c r="GX268" s="162" t="e">
        <f t="shared" ca="1" si="1099"/>
        <v>#DIV/0!</v>
      </c>
      <c r="GY268" s="162" t="e">
        <f t="shared" ca="1" si="1100"/>
        <v>#DIV/0!</v>
      </c>
      <c r="GZ268" s="165" t="e">
        <f t="shared" ca="1" si="981"/>
        <v>#N/A</v>
      </c>
      <c r="HA268" s="162" t="e">
        <f ca="1">IF(Control!$C$114=1, $DI268*$FS268, 0)</f>
        <v>#N/A</v>
      </c>
      <c r="HB268" s="162" t="e">
        <f ca="1">$FA268/Control!$C$64</f>
        <v>#N/A</v>
      </c>
      <c r="HC268" s="162" t="e">
        <f t="shared" ca="1" si="982"/>
        <v>#DIV/0!</v>
      </c>
      <c r="HD268" s="162">
        <f ca="1">-ASIN(SIN(23.45*Control!$C$139)*COS(2*Control!$C$138*($AH268+10)/365))</f>
        <v>-1.7169810115598553E-3</v>
      </c>
      <c r="HE268" s="165">
        <f t="shared" ca="1" si="1101"/>
        <v>0</v>
      </c>
      <c r="HF268" s="166">
        <f ca="1">IF(AND(Control!$C$61="T",$HE268&gt;=Control!$C$103,Control!$C$114=0),$AH268,Control!$C$59)</f>
        <v>1</v>
      </c>
      <c r="HG268" s="166">
        <f ca="1">IF(AND(Control!$C$61="T",$HE268&gt;=Control!$C$103,Control!$C$114=0),$HF268,Control!$C$59)</f>
        <v>1</v>
      </c>
      <c r="HH268" s="165">
        <f ca="1">IF(AND(OR(Control!$C$60&lt;=0, $AH268= Control!$C$59, Control!$C$60 &gt;0, $AH268 = Control!$C$60)), Control!$C$59, IF(Control!$C$60&gt;0, 0))</f>
        <v>1</v>
      </c>
      <c r="HI268" s="165">
        <f ca="1">IF(AND(OR(Control!$C$60&lt;=0, $AH268= Control!$C$59, Control!$C$60 &gt;0, $AH268 = Control!$C$60)), Control!$C$60, IF(Control!$C$60&lt;=0, 0))</f>
        <v>0</v>
      </c>
      <c r="HJ268" s="166">
        <f ca="1">IF(AND(Control!$C$62="F",$CV268&gt;=Control!$C$102),$AH268,0)</f>
        <v>0</v>
      </c>
      <c r="HK268" s="165" t="e">
        <f t="shared" ca="1" si="1138"/>
        <v>#N/A</v>
      </c>
      <c r="HL268" s="166">
        <f ca="1">IF(AND(Control!$C$61="T",$HE268&gt;=Control!$C$103,Control!$C$114=0),$HF268,0)</f>
        <v>0</v>
      </c>
      <c r="HM268" s="201" t="e">
        <f t="shared" ca="1" si="983"/>
        <v>#DIV/0!</v>
      </c>
      <c r="HN268" s="215">
        <f t="shared" ca="1" si="1102"/>
        <v>264</v>
      </c>
      <c r="HO268" s="216" t="e">
        <f ca="1">IF(AND($CP268&gt;=0, $CP268&lt;=90), Control!$C$152, Control!$C$152)</f>
        <v>#N/A</v>
      </c>
      <c r="HP268" s="216" t="e">
        <f t="shared" ca="1" si="984"/>
        <v>#N/A</v>
      </c>
      <c r="HQ268" s="217" t="e">
        <f ca="1">IF(OR(Control!$B$26=1,Control!$B$26=2),$KV268,$KS268)</f>
        <v>#DIV/0!</v>
      </c>
      <c r="HR268" s="218" t="e">
        <f t="shared" ca="1" si="1139"/>
        <v>#DIV/0!</v>
      </c>
      <c r="HS268" s="216" t="e">
        <f ca="1">Control!$C$154*$HP268</f>
        <v>#N/A</v>
      </c>
      <c r="HT268" s="216" t="e">
        <f ca="1">Control!$C$155*$HP268</f>
        <v>#N/A</v>
      </c>
      <c r="HU268" s="217" t="e">
        <f ca="1">Control!$C$161*$FI268</f>
        <v>#N/A</v>
      </c>
      <c r="HV268" s="218" t="e">
        <f t="shared" ca="1" si="1103"/>
        <v>#N/A</v>
      </c>
      <c r="HW268" s="218" t="e">
        <f ca="1">Control!$C$160*$FF268+$IP268*$EO268</f>
        <v>#N/A</v>
      </c>
      <c r="HX268" s="218" t="e">
        <f t="shared" ca="1" si="1140"/>
        <v>#N/A</v>
      </c>
      <c r="HY268" s="219" t="e">
        <f ca="1">IF(Control!$C$114=1, $EB268*$FS268, 0)</f>
        <v>#N/A</v>
      </c>
      <c r="HZ268" s="91" t="e">
        <f t="shared" ca="1" si="985"/>
        <v>#N/A</v>
      </c>
      <c r="IA268" s="220" t="e">
        <f ca="1">Control!$C$153*$HO268</f>
        <v>#N/A</v>
      </c>
      <c r="IB268" s="218" t="e">
        <f t="shared" ca="1" si="986"/>
        <v>#N/A</v>
      </c>
      <c r="IC268" s="220" t="e">
        <f ca="1">Control!$C$153*$HT268</f>
        <v>#N/A</v>
      </c>
      <c r="ID268" s="218" t="e">
        <f t="shared" ca="1" si="987"/>
        <v>#N/A</v>
      </c>
      <c r="IE268" s="221" t="e">
        <f ca="1">($EB268*Control!$C$159+$EF268*Control!$C$160)/(IF($GZ268&lt;&gt;0,$GZ268,1))</f>
        <v>#N/A</v>
      </c>
      <c r="IF268" s="216" t="e">
        <f t="shared" ca="1" si="988"/>
        <v>#N/A</v>
      </c>
      <c r="IG268" s="91">
        <f ca="1">IF(OR(Control!$B$198=$AH268,Control!$B$199=$AH268, Control!$B$200=$AH268, Control!$B$201=$AH268, Control!$B$202=$AH268, Control!$B$203=$AH268, Control!$B$204=$AH268, Control!$B$205=$AH268, Control!$B$206=$AH268, Control!$B$207=$AH268), 1, 0)</f>
        <v>0</v>
      </c>
      <c r="IH268" s="91">
        <f ca="1">IF($IG268=0,0, VLOOKUP($AH268,Control!$B$198:$C$207,2))</f>
        <v>0</v>
      </c>
      <c r="II268" s="222">
        <f t="shared" ca="1" si="1104"/>
        <v>0</v>
      </c>
      <c r="IJ268" s="91">
        <f>Control!$C$121</f>
        <v>0.7</v>
      </c>
      <c r="IK268" s="218">
        <f t="shared" ca="1" si="989"/>
        <v>0</v>
      </c>
      <c r="IL268" s="217" t="e">
        <f t="shared" ca="1" si="1141"/>
        <v>#N/A</v>
      </c>
      <c r="IM268" s="223" t="e">
        <f ca="1">IF(AND(Control!$C$114=1,$KH268&lt;1),$EB268*Control!$C$148*(1-$KH268), 0)</f>
        <v>#N/A</v>
      </c>
      <c r="IN268" s="217" t="e">
        <f t="shared" ca="1" si="990"/>
        <v>#DIV/0!</v>
      </c>
      <c r="IO268" s="91" t="e">
        <f ca="1">MAX(0,$IL268-$EF268*Control!$C$160)</f>
        <v>#N/A</v>
      </c>
      <c r="IP268" s="220" t="e">
        <f t="shared" ca="1" si="991"/>
        <v>#N/A</v>
      </c>
      <c r="IQ268" s="217" t="e">
        <f t="shared" ca="1" si="1105"/>
        <v>#N/A</v>
      </c>
      <c r="IR268" s="218" t="e">
        <f t="shared" ca="1" si="992"/>
        <v>#N/A</v>
      </c>
      <c r="IS268" s="217" t="e">
        <f ca="1">Control!$C$159*MAX(0,$FD268-$EN268)</f>
        <v>#N/A</v>
      </c>
      <c r="IT268" s="217" t="e">
        <f t="shared" ca="1" si="1142"/>
        <v>#N/A</v>
      </c>
      <c r="IU268" s="217" t="e">
        <f t="shared" ca="1" si="1106"/>
        <v>#N/A</v>
      </c>
      <c r="IV268" s="217" t="e">
        <f t="shared" ca="1" si="1143"/>
        <v>#N/A</v>
      </c>
      <c r="IW268" s="217" t="e">
        <f ca="1">IF(OR($AW268=1,AND($AW268=0, Control!$B$18=1,$EN268&lt;&gt;0)), $IQ268-$IU268, $IQ268)</f>
        <v>#N/A</v>
      </c>
      <c r="IX268" s="218" t="e">
        <f t="shared" ca="1" si="993"/>
        <v>#N/A</v>
      </c>
      <c r="IY268" s="218" t="e">
        <f ca="1">MAX(0,$IQ268-$EB268*Control!$C$159)</f>
        <v>#N/A</v>
      </c>
      <c r="IZ268" s="218" t="e">
        <f t="shared" ca="1" si="994"/>
        <v>#N/A</v>
      </c>
      <c r="JA268" s="216" t="e">
        <f t="shared" ca="1" si="995"/>
        <v>#N/A</v>
      </c>
      <c r="JB268" s="217" t="e">
        <f t="shared" ca="1" si="996"/>
        <v>#N/A</v>
      </c>
      <c r="JC268" s="222" t="e">
        <f ca="1">MAX(Control!$C$157*$EK268-$JT268, 0)/Control!$C$162</f>
        <v>#N/A</v>
      </c>
      <c r="JD268" s="218" t="e">
        <f t="shared" ca="1" si="997"/>
        <v>#N/A</v>
      </c>
      <c r="JE268" s="218" t="e">
        <f t="shared" ca="1" si="998"/>
        <v>#N/A</v>
      </c>
      <c r="JF268" s="218" t="e">
        <f t="shared" ca="1" si="1107"/>
        <v>#N/A</v>
      </c>
      <c r="JG268" s="218" t="e">
        <f t="shared" ca="1" si="999"/>
        <v>#N/A</v>
      </c>
      <c r="JH268" s="217" t="e">
        <f t="shared" ca="1" si="1108"/>
        <v>#N/A</v>
      </c>
      <c r="JI268" s="217" t="e">
        <f t="shared" ca="1" si="1109"/>
        <v>#N/A</v>
      </c>
      <c r="JJ268" s="217" t="e">
        <f t="shared" ca="1" si="1144"/>
        <v>#N/A</v>
      </c>
      <c r="JK268" s="217" t="e">
        <f ca="1">IF(Control!$C$114=1,IF(Control!$B$24=0,MAX(0,$JI268)*$GN268/Control!$C$64,(MAX(0,MIN($JI268,$JJ268*$GN268/Control!$C$64),0))))</f>
        <v>#N/A</v>
      </c>
      <c r="JL268" s="217" t="e">
        <f ca="1">$IK268/Control!$C$64-$JK268+$HQ268</f>
        <v>#N/A</v>
      </c>
      <c r="JM268" s="217" t="e">
        <f ca="1">IF(Control!$C$114=1,($JB268/(IF($JI268&lt;&gt;0,$JI268,1)))*$JK268,0)</f>
        <v>#N/A</v>
      </c>
      <c r="JN268" s="217" t="e">
        <f ca="1">IF(Control!$C$114=1,($JG268/(IF($JI268&lt;&gt;0,$JI268,1)))*$JK268, 0)</f>
        <v>#N/A</v>
      </c>
      <c r="JO268" s="218" t="e">
        <f t="shared" ca="1" si="1000"/>
        <v>#N/A</v>
      </c>
      <c r="JP268" s="218" t="e">
        <f ca="1">MIN(($IY268+$IO268)*Control!$C$151, $JF268-$EH268*Control!$C$161)</f>
        <v>#N/A</v>
      </c>
      <c r="JQ268" s="218" t="e">
        <f t="shared" ca="1" si="1001"/>
        <v>#N/A</v>
      </c>
      <c r="JR268" s="217" t="e">
        <f ca="1">IF($CP268-Control!$C$150&lt;0, 0, $JQ268/Control!$C$162)</f>
        <v>#N/A</v>
      </c>
      <c r="JS268" s="218" t="e">
        <f t="shared" ca="1" si="1002"/>
        <v>#N/A</v>
      </c>
      <c r="JT268" s="218" t="e">
        <f t="shared" ca="1" si="1110"/>
        <v>#N/A</v>
      </c>
      <c r="JU268" s="218" t="e">
        <f t="shared" ca="1" si="1003"/>
        <v>#N/A</v>
      </c>
      <c r="JV268" s="218" t="e">
        <f t="shared" ca="1" si="1004"/>
        <v>#N/A</v>
      </c>
      <c r="JW268" s="216" t="e">
        <f t="shared" ca="1" si="1005"/>
        <v>#N/A</v>
      </c>
      <c r="JX268" s="91" t="e">
        <f t="shared" ca="1" si="1006"/>
        <v>#N/A</v>
      </c>
      <c r="JY268" s="218" t="e">
        <f t="shared" ca="1" si="1007"/>
        <v>#N/A</v>
      </c>
      <c r="JZ268" s="217" t="e">
        <f ca="1">IF(Control!$C$114=1,($IZ268/(IF($JI268&lt;&gt;0,$JI268,1)))*$JK268, 0)</f>
        <v>#N/A</v>
      </c>
      <c r="KA268" s="218" t="e">
        <f t="shared" ca="1" si="1145"/>
        <v>#N/A</v>
      </c>
      <c r="KB268" s="218" t="e">
        <f t="shared" ca="1" si="1111"/>
        <v>#N/A</v>
      </c>
      <c r="KC268" s="218" t="e">
        <f t="shared" ca="1" si="1008"/>
        <v>#N/A</v>
      </c>
      <c r="KD268" s="218" t="e">
        <f t="shared" ca="1" si="1009"/>
        <v>#N/A</v>
      </c>
      <c r="KE268" s="218" t="e">
        <f t="shared" ca="1" si="1010"/>
        <v>#N/A</v>
      </c>
      <c r="KF268" s="218" t="e">
        <f t="shared" ca="1" si="1011"/>
        <v>#N/A</v>
      </c>
      <c r="KG268" s="216" t="e">
        <f t="shared" ca="1" si="1012"/>
        <v>#N/A</v>
      </c>
      <c r="KH268" s="221" t="e">
        <f ca="1">IF(Control!$B$24=0,1,MAX(0.001,MIN(1,IF(($IF268-$IE268)&lt;&gt;0,($KG268-$IE268)/($IF268-$IE268),1))))</f>
        <v>#N/A</v>
      </c>
      <c r="KI268" s="222" t="e">
        <f ca="1">IF(Control!$C$114=1, $KI267+ $KH267, 0)</f>
        <v>#N/A</v>
      </c>
      <c r="KJ268" s="217" t="e">
        <f t="shared" ca="1" si="1013"/>
        <v>#N/A</v>
      </c>
      <c r="KK268" s="218" t="e">
        <f t="shared" ca="1" si="1014"/>
        <v>#N/A</v>
      </c>
      <c r="KL268" s="274" t="e">
        <f ca="1">IF(Control!$B$26=3,4000000000*EXP(-8400/($G268+273)),IF(Control!$B$26=4,4000000000*EXP(-8400/($G268+273))*($KT268),0))</f>
        <v>#DIV/0!</v>
      </c>
      <c r="KM268" s="274" t="e">
        <f ca="1">IF(Control!$B$26=3,5600000000000*EXP(-9800/($G268+273)),IF(Control!$B$26=4,5600000000000*EXP(-9800/($G268+273))*$KT268,0))</f>
        <v>#DIV/0!</v>
      </c>
      <c r="KN268" s="454" t="e">
        <f t="shared" ca="1" si="1112"/>
        <v>#DIV/0!</v>
      </c>
      <c r="KO268" s="274" t="e">
        <f t="shared" ca="1" si="1113"/>
        <v>#DIV/0!</v>
      </c>
      <c r="KP268" s="454" t="e">
        <f t="shared" ca="1" si="1015"/>
        <v>#DIV/0!</v>
      </c>
      <c r="KQ268" s="454" t="e">
        <f t="shared" ca="1" si="1016"/>
        <v>#DIV/0!</v>
      </c>
      <c r="KR268" s="454" t="e">
        <f t="shared" ca="1" si="1017"/>
        <v>#DIV/0!</v>
      </c>
      <c r="KS268" s="454" t="e">
        <f t="shared" ca="1" si="1018"/>
        <v>#DIV/0!</v>
      </c>
      <c r="KT268" s="455" t="e">
        <f t="shared" ca="1" si="1019"/>
        <v>#DIV/0!</v>
      </c>
      <c r="KU268" s="456" t="e">
        <f ca="1">IF($CP268-Control!$C$149&lt;0, IF($NT268-0.01&lt;0,0,1),0)</f>
        <v>#N/A</v>
      </c>
      <c r="KV268" s="456" t="e">
        <f ca="1">IF(Control!$C$114=1,MAX(0,MIN(Control!$C$125*$KW268*$GN268,$KW268)))</f>
        <v>#DIV/0!</v>
      </c>
      <c r="KW268" s="456" t="e">
        <f t="shared" ca="1" si="1146"/>
        <v>#DIV/0!</v>
      </c>
      <c r="KX268" s="457" t="e">
        <f ca="1">IF($CP268-Control!$C$149&lt;0, IF($MR268-$OM268&lt;0,0,1),0)</f>
        <v>#N/A</v>
      </c>
      <c r="KY268" s="167">
        <f t="shared" ca="1" si="1114"/>
        <v>264</v>
      </c>
      <c r="KZ268" s="168">
        <f ca="1">1370*(1+0.033*COS(2*Control!$C$138*$AH268/365))</f>
        <v>1362.4480697130371</v>
      </c>
      <c r="LA268" s="169">
        <f t="shared" ca="1" si="1115"/>
        <v>0.99448729635843003</v>
      </c>
      <c r="LB268" s="169">
        <f t="shared" ca="1" si="1116"/>
        <v>-5.2995980946671916E-3</v>
      </c>
      <c r="LC268" s="169">
        <f ca="1">ACOS(-TAN((2*Control!$B$8/360))*TAN(Calculations!$LB268))</f>
        <v>1.5692212542490915</v>
      </c>
      <c r="LD268" s="169">
        <f ca="1">((24*60)/PI())*0.082*$LA268*(($LC268*SIN(Control!$B$8*2*PI()/360))*SIN($LB268)+COS(Control!$B$8*2*PI()/360)*COS($LB268)*SIN($LC268))</f>
        <v>22.767401251266033</v>
      </c>
      <c r="LE268" s="170">
        <f t="shared" ca="1" si="1020"/>
        <v>22.989113117773812</v>
      </c>
      <c r="LF268" s="170">
        <f ca="1">SIN(Control!$C$139*Control!$B$8)*SIN($HD268)</f>
        <v>-1.3530010794995063E-3</v>
      </c>
      <c r="LG268" s="170">
        <f ca="1">COS(Control!$C$139*Control!$B$8)*COS($HD268)</f>
        <v>0.6156588954423281</v>
      </c>
      <c r="LH268" s="170">
        <f ca="1">12*(1+2*ASIN(MAX(-1,MIN(1,$LF268/$LG268))/Control!$C$138))</f>
        <v>11.983211249573364</v>
      </c>
      <c r="LI268" s="170">
        <f ca="1">12*(1+2*ASIN(MAX(-1,MIN(1,(-SIN(-4*Control!$C$139)+$LF268)/$LG268))/Control!$C$138))</f>
        <v>12.848965328065201</v>
      </c>
      <c r="LJ268" s="168">
        <f ca="1">3600*($LH268*$LF268+24*$LG268*SQRT(1-$LK268*$LK268)/Control!$C$138)</f>
        <v>16873.386684467063</v>
      </c>
      <c r="LK268" s="170">
        <f t="shared" ca="1" si="1021"/>
        <v>-2.1976472516123157E-3</v>
      </c>
      <c r="LL268" s="170">
        <f t="shared" ca="1" si="1022"/>
        <v>0</v>
      </c>
      <c r="LM268" s="171">
        <f ca="1">Control!$C$145*$AB268</f>
        <v>6.6660906138995932E-2</v>
      </c>
      <c r="LN268" s="170">
        <f t="shared" ca="1" si="1117"/>
        <v>0.54</v>
      </c>
      <c r="LO268" s="170">
        <f t="shared" ca="1" si="1023"/>
        <v>0</v>
      </c>
      <c r="LP268" s="170">
        <f ca="1">Control!$C$140*((($D268+273.16)^4+($E268+273.16)^4)/2)*(0.34-0.14*SQRT($Y268))*(1.35*$AQ268/(0.75*$LD268)-0.35)</f>
        <v>-3.2464704755046001</v>
      </c>
      <c r="LQ268" s="170">
        <f ca="1">Control!$C$140*($G268+273)^4*(0.56-0.079*SQRT($Y268*10))*(0.1+0.9*$LO268)</f>
        <v>1.5241745131704001</v>
      </c>
      <c r="LR268" s="170">
        <f ca="1">$AQ268*(1-Control!$C$142)-$LQ268</f>
        <v>-1.5241745131704001</v>
      </c>
      <c r="LS268" s="170">
        <f ca="1">$AQ268*(1-Control!$C$143)-$LQ268</f>
        <v>-1.5241745131704001</v>
      </c>
      <c r="LT268" s="170">
        <f ca="1">$AQ268*(1-Control!$C$144)-$LQ268</f>
        <v>-1.5241745131704001</v>
      </c>
      <c r="LU268" s="169">
        <f ca="1">(1-Control!$C$144)*AQ268-LP268</f>
        <v>3.2464704755046001</v>
      </c>
      <c r="LV268" s="172">
        <f t="shared" ca="1" si="1024"/>
        <v>0.79430000000000012</v>
      </c>
      <c r="LW268" s="170">
        <f t="shared" ca="1" si="1025"/>
        <v>1.5886000000000002</v>
      </c>
      <c r="LX268" s="170">
        <f ca="1">($AC268*($LR268/Control!$C$141)+$LM268*$LV268)/($AC268+$LM268)</f>
        <v>0.23530094218323697</v>
      </c>
      <c r="LY268" s="170">
        <f ca="1">($AC268*($LS268/Control!$C$141)+$LM268*$LV268)/($AC268+$LM268)</f>
        <v>0.23530094218323697</v>
      </c>
      <c r="LZ268" s="170">
        <f t="shared" ca="1" si="1026"/>
        <v>0.23530094218323697</v>
      </c>
      <c r="MA268" s="170">
        <f t="shared" ca="1" si="1027"/>
        <v>0.23530094218323697</v>
      </c>
      <c r="MB268" s="170" t="e">
        <f t="shared" ca="1" si="1028"/>
        <v>#N/A</v>
      </c>
      <c r="MC268" s="170">
        <f t="shared" ca="1" si="1118"/>
        <v>0.6018</v>
      </c>
      <c r="MD268" s="170">
        <f t="shared" ca="1" si="1029"/>
        <v>0.52989392535414004</v>
      </c>
      <c r="ME268" s="170">
        <f ca="1">($AC268*($LT268/Control!$C$141)+$LM268*$LW268)/($AC268+$LM268)</f>
        <v>0.71612369323045078</v>
      </c>
      <c r="MF268" s="170" t="e">
        <f ca="1">IF(Control!$B$16&gt;=1000,0.92,IF(AND(720&lt;=Control!$B$16,1000&gt;Control!$B$16),(0.95+(Control!$B$16-720)*((0.92-0.95)/(1000-720))),IF(AND(360&lt;=Control!$B$16,720&gt;Control!$B$16),(1+(Control!$B$16-360)*((0.95-1)/(720-360))),IF(AND(40&lt;=Control!$B$16,360&gt;Control!$B$16),(1.05+(Control!$B$16-40)*((1.05-1)/(360-40)))))))</f>
        <v>#N/A</v>
      </c>
      <c r="MG268" s="170">
        <f t="shared" ca="1" si="1030"/>
        <v>0.71612369323045078</v>
      </c>
      <c r="MH268" s="170" t="e">
        <f t="shared" ca="1" si="1155"/>
        <v>#N/A</v>
      </c>
      <c r="MI268" s="170" t="e">
        <f t="shared" ca="1" si="1155"/>
        <v>#N/A</v>
      </c>
      <c r="MJ268" s="170" t="e">
        <f ca="1">MAX(0.0001, Control!$C$132*$MI268*$DL268)</f>
        <v>#N/A</v>
      </c>
      <c r="MK268" s="170">
        <f ca="1">1/(0.76+1.5*($MG268/10))-(5-Control!$C$110)*0.1</f>
        <v>1.002845988140797</v>
      </c>
      <c r="ML268" s="173">
        <f ca="1">IF(Control!$C$110&lt;3,$MK268+($MG268-0.6)/(Control!$C$110*(Control!$C$110+3)), MAX(0.1, MIN(0.95,$MK268)))</f>
        <v>0.95</v>
      </c>
      <c r="MM268" s="173">
        <f ca="1">IF(Control!$C$110&lt;3,$MK268+(($MI268/10)-0.6)/(Control!$C$110*(Control!$C$110+3)), MAX(0.1, MIN(0.95,$MK268)))</f>
        <v>0.95</v>
      </c>
      <c r="MN268" s="173">
        <f ca="1">(1-$MM268)*(Control!$C$128-Control!$C$127)+Control!$C$127</f>
        <v>0.16</v>
      </c>
      <c r="MO268" s="170" t="e">
        <f ca="1">MAX(0,MIN(1,($MS268-Control!$C$127)/($MN268-Control!$C$127)))</f>
        <v>#DIV/0!</v>
      </c>
      <c r="MP268" s="173" t="e">
        <f ca="1">1/(0.76+1.5*$MI268)-(5-Control!$C$110)*0.1</f>
        <v>#N/A</v>
      </c>
      <c r="MQ268" s="172" t="e">
        <f t="shared" ca="1" si="1147"/>
        <v>#DIV/0!</v>
      </c>
      <c r="MR268" s="168" t="e">
        <f t="shared" ca="1" si="1119"/>
        <v>#DIV/0!</v>
      </c>
      <c r="MS268" s="173" t="e">
        <f ca="1">MAX(Control!$C$127, MIN(Control!$C$135, $MR268/MAX(0.0001,$CY268)))</f>
        <v>#DIV/0!</v>
      </c>
      <c r="MT268" s="168" t="e">
        <f ca="1">(Control!$C$128-$MS268)*Control!$C$74</f>
        <v>#DIV/0!</v>
      </c>
      <c r="MU268" s="168" t="e">
        <f ca="1">(Control!$C$135-$MS268)*Control!$C$74</f>
        <v>#DIV/0!</v>
      </c>
      <c r="MV268" s="168" t="e">
        <f t="shared" ca="1" si="1120"/>
        <v>#DIV/0!</v>
      </c>
      <c r="MW268" s="168" t="e">
        <f t="shared" ca="1" si="1121"/>
        <v>#DIV/0!</v>
      </c>
      <c r="MX268" s="171" t="e">
        <f ca="1">MAX(Control!$C$127, MIN(Control!$C$135, $MW268/MAX(0.0001,Control!$C$119-$CY268)))</f>
        <v>#DIV/0!</v>
      </c>
      <c r="MY268" s="54" t="e">
        <f ca="1">IF(Control!$C$114=1, $CX268*$MX268, 0)</f>
        <v>#DIV/0!</v>
      </c>
      <c r="MZ268" s="54" t="e">
        <f t="shared" ca="1" si="1122"/>
        <v>#N/A</v>
      </c>
      <c r="NA268" s="168" t="e">
        <f ca="1">(Control!$C$128-$MX268)*(Control!$C$119-Control!$C$74)</f>
        <v>#DIV/0!</v>
      </c>
      <c r="NB268" s="168" t="e">
        <f ca="1">(Control!$C$135-$MX268)*(Control!$C$119-Control!$C$74)</f>
        <v>#DIV/0!</v>
      </c>
      <c r="NC268" s="174" t="e">
        <f t="shared" ca="1" si="1123"/>
        <v>#DIV/0!</v>
      </c>
      <c r="ND268" s="54">
        <f ca="1">IF(Control!$C$58=2, IF(OR(Control!$B$218=$AH268,Control!$B$219=$AH268, Control!$B$220=$AH268, Control!$B$221=$AH268, Control!$B$222=$AH268, Control!$B$223=$AH268, Control!$B$224=$AH268, Control!$B$225=$AH268, Control!$B$226=$AH268, Control!$B$227=$AH268, Control!$B$228=$AH268), 1, 0), 0)</f>
        <v>0</v>
      </c>
      <c r="NE268" s="54">
        <f ca="1">IF($ND268=0,0, VLOOKUP($AH268,Control!$B$218:$C$228,2))</f>
        <v>0</v>
      </c>
      <c r="NF268" s="168" t="e">
        <f ca="1">$CY268*(Control!$C$128-Control!$C$127)</f>
        <v>#N/A</v>
      </c>
      <c r="NG268" s="54" t="e">
        <f ca="1">IF(Control!$C$58=2, $NI267-$NJ267, 0)</f>
        <v>#DIV/0!</v>
      </c>
      <c r="NH268" s="54" t="e">
        <f ca="1">IF(AND(Control!$C$58=1, $MS267&lt;= ($MN267+0.02), $I267&lt;10), 0, IF(Control!$C$58=2, $NG267, 0))</f>
        <v>#DIV/0!</v>
      </c>
      <c r="NI268" s="54" t="e">
        <f ca="1">IF(Control!$C$58=2, $NE268+$NH268,0)</f>
        <v>#DIV/0!</v>
      </c>
      <c r="NJ268" s="54" t="e">
        <f ca="1">IF(AND(Control!$C$58=1, $MS268&lt;= ($MN268+0.02), $I268&lt;10), MAX(0, MIN(10, 0.7*($NF268-$MV268))), IF(Control!$C$58=2, MIN(10,$NI268),0))</f>
        <v>#DIV/0!</v>
      </c>
      <c r="NK268" s="54" t="e">
        <f t="shared" ca="1" si="1031"/>
        <v>#DIV/0!</v>
      </c>
      <c r="NL268" s="173" t="e">
        <f ca="1">(1-Control!$C$73)*$I268+$NJ268</f>
        <v>#DIV/0!</v>
      </c>
      <c r="NM268" s="172" t="e">
        <f ca="1">IF($NL268&lt;0.5, $MB268* MAX(0, MIN(1, (SQRT($NC268)-SQRT($NC268-1))*Control!$C$71)),0)</f>
        <v>#DIV/0!</v>
      </c>
      <c r="NN268" s="170" t="e">
        <f ca="1">IF($NL268&gt;=5, $MB268, MAX(0,MIN($MB268, $NM268+$NL268,($MS268-Control!$C$129))))</f>
        <v>#DIV/0!</v>
      </c>
      <c r="NO268" s="54">
        <f>IF(Control!$C$133&lt;&gt;1, Control!$C$135-Control!$C$131, 0)</f>
        <v>0.38</v>
      </c>
      <c r="NP268" s="54" t="e">
        <f t="shared" ca="1" si="1032"/>
        <v>#DIV/0!</v>
      </c>
      <c r="NQ268" s="173" t="e">
        <f ca="1">MAX(0,MIN(1,(Control!$C$135-$MS268)/(Control!$C$135-$NO268)))</f>
        <v>#DIV/0!</v>
      </c>
      <c r="NR268" s="170" t="e">
        <f ca="1">IF(Control!$C$133&lt;&gt;1, $NQ268+((1-$NP268/4)*(1-$NQ268)),1)</f>
        <v>#DIV/0!</v>
      </c>
      <c r="NS268" s="170" t="e">
        <f ca="1">IF(Control!$B$31=0,$MJ268,MAX(0,MIN($MV268,$MO268*$NR268*$MJ268)))</f>
        <v>#DIV/0!</v>
      </c>
      <c r="NT268" s="170" t="e">
        <f t="shared" ca="1" si="1148"/>
        <v>#DIV/0!</v>
      </c>
      <c r="NU268" s="170" t="e">
        <f t="shared" ca="1" si="1124"/>
        <v>#N/A</v>
      </c>
      <c r="NV268" s="170" t="e">
        <f t="shared" ca="1" si="1033"/>
        <v>#N/A</v>
      </c>
      <c r="NW268" s="175" t="e">
        <f t="shared" ca="1" si="1034"/>
        <v>#DIV/0!</v>
      </c>
      <c r="NX268" s="170" t="e">
        <f ca="1">MIN(Control!$C$72+$MU268, $NW268)</f>
        <v>#DIV/0!</v>
      </c>
      <c r="NY268" s="170" t="e">
        <f ca="1">IF($MT268&lt;=$NX268,MIN(Control!$C$72+$NB268,$NX268-$MT268),0)</f>
        <v>#DIV/0!</v>
      </c>
      <c r="NZ268" s="54" t="e">
        <f ca="1">IF(Control!$C$114=1,  $CX268*($MX268-Control!$C$127), 0)</f>
        <v>#DIV/0!</v>
      </c>
      <c r="OA268" s="170" t="e">
        <f t="shared" ca="1" si="1035"/>
        <v>#DIV/0!</v>
      </c>
      <c r="OB268" s="170" t="e">
        <f ca="1">IF($NA268 &lt;=$NY268, MIN(Control!$C$72, $NY268-$NA268), 0)</f>
        <v>#DIV/0!</v>
      </c>
      <c r="OC268" s="168" t="e">
        <f t="shared" ca="1" si="1036"/>
        <v>#DIV/0!</v>
      </c>
      <c r="OD268" s="168" t="e">
        <f t="shared" ca="1" si="1125"/>
        <v>#DIV/0!</v>
      </c>
      <c r="OE268" s="170">
        <f ca="1">Control!$C$73*$I268</f>
        <v>0</v>
      </c>
      <c r="OF268" s="176" t="e">
        <f t="shared" ca="1" si="1037"/>
        <v>#DIV/0!</v>
      </c>
      <c r="OG268" s="168" t="e">
        <f t="shared" ca="1" si="1038"/>
        <v>#DIV/0!</v>
      </c>
      <c r="OH268" s="168" t="e">
        <f t="shared" ca="1" si="1039"/>
        <v>#DIV/0!</v>
      </c>
      <c r="OI268" s="168" t="e">
        <f t="shared" ca="1" si="1040"/>
        <v>#DIV/0!</v>
      </c>
      <c r="OJ268" s="168" t="e">
        <f t="shared" ca="1" si="1041"/>
        <v>#DIV/0!</v>
      </c>
      <c r="OK268" s="204" t="e">
        <f t="shared" ca="1" si="1042"/>
        <v>#DIV/0!</v>
      </c>
      <c r="OL268" s="177">
        <f>Control!$C$127</f>
        <v>0.15</v>
      </c>
      <c r="OM268" s="182" t="e">
        <f t="shared" ca="1" si="1043"/>
        <v>#N/A</v>
      </c>
      <c r="ON268" s="177">
        <f>Control!$C$128</f>
        <v>0.35</v>
      </c>
      <c r="OO268" s="182" t="e">
        <f t="shared" ca="1" si="1044"/>
        <v>#N/A</v>
      </c>
      <c r="OP268" s="138">
        <f t="shared" ca="1" si="1126"/>
        <v>0</v>
      </c>
      <c r="OQ268" s="138" t="e">
        <f t="shared" ca="1" si="1149"/>
        <v>#DIV/0!</v>
      </c>
      <c r="OR268" s="138" t="e">
        <f t="shared" ca="1" si="1127"/>
        <v>#DIV/0!</v>
      </c>
      <c r="OS268" s="137" t="e">
        <f t="shared" ca="1" si="1150"/>
        <v>#DIV/0!</v>
      </c>
      <c r="OT268" s="139" t="e">
        <f t="shared" ca="1" si="1151"/>
        <v>#DIV/0!</v>
      </c>
      <c r="OU268" s="138" t="e">
        <f t="shared" ca="1" si="1152"/>
        <v>#N/A</v>
      </c>
      <c r="OV268" s="138" t="e">
        <f t="shared" ca="1" si="1153"/>
        <v>#DIV/0!</v>
      </c>
      <c r="OW268" s="138" t="e">
        <f t="shared" ca="1" si="1128"/>
        <v>#DIV/0!</v>
      </c>
      <c r="OX268" s="138" t="e">
        <f t="shared" ca="1" si="1129"/>
        <v>#DIV/0!</v>
      </c>
      <c r="OY268" s="138" t="e">
        <f t="shared" ca="1" si="1130"/>
        <v>#DIV/0!</v>
      </c>
      <c r="OZ268" s="138" t="e">
        <f t="shared" ca="1" si="1045"/>
        <v>#DIV/0!</v>
      </c>
      <c r="PA268" s="138" t="e">
        <f t="shared" ca="1" si="1046"/>
        <v>#DIV/0!</v>
      </c>
      <c r="PB268" s="55">
        <f>IF(Control!$C$61="T", IF(Control!$C$65="F", IF($AH$6-Control!$C$60&lt;0,0,1), IF(365+$AH$6-Control!$C$60&lt;0,0,1)),0)</f>
        <v>0</v>
      </c>
      <c r="PC268" s="55">
        <f ca="1">IF(Control!$C$65="F", IF($AH$6-$HF268&lt;0,0,1), IF(365+$AH$6-$HF268&lt;0,0,1))</f>
        <v>1</v>
      </c>
      <c r="PD268" s="444">
        <f>Control!$C$118</f>
        <v>1500</v>
      </c>
      <c r="PE268" s="180" t="e">
        <f t="shared" ca="1" si="1047"/>
        <v>#N/A</v>
      </c>
      <c r="PF268" s="445">
        <f t="shared" ca="1" si="1131"/>
        <v>0.71612369323045078</v>
      </c>
      <c r="PT268" s="186"/>
      <c r="PU268" s="186"/>
      <c r="PV268" s="94"/>
      <c r="PW268" s="94"/>
      <c r="PX268" s="94"/>
      <c r="PY268" s="94"/>
      <c r="PZ268" s="94"/>
      <c r="QA268" s="94"/>
      <c r="QB268" s="94"/>
      <c r="QC268" s="94"/>
      <c r="QD268" s="94"/>
      <c r="QE268" s="94"/>
      <c r="QF268" s="94"/>
      <c r="QG268" s="94"/>
      <c r="QH268" s="94"/>
      <c r="QI268" s="94"/>
      <c r="QJ268" s="94"/>
      <c r="QK268" s="94"/>
      <c r="QL268" s="94"/>
      <c r="QM268" s="94"/>
      <c r="QN268" s="94"/>
      <c r="QO268" s="94"/>
      <c r="QP268" s="94"/>
    </row>
    <row r="269" spans="1:458" s="2" customFormat="1" x14ac:dyDescent="0.2">
      <c r="A269" s="395">
        <v>21</v>
      </c>
      <c r="B269" s="396">
        <v>9</v>
      </c>
      <c r="C269" s="387">
        <f ca="1">Weather_data!$B268</f>
        <v>0</v>
      </c>
      <c r="D269" s="388">
        <f ca="1">Weather_data!$F268</f>
        <v>0</v>
      </c>
      <c r="E269" s="388">
        <f ca="1">Weather_data!$E268</f>
        <v>0</v>
      </c>
      <c r="F269" s="388">
        <f t="shared" ca="1" si="1048"/>
        <v>0</v>
      </c>
      <c r="G269" s="388">
        <f ca="1">AVERAGE($D269:$E269)+Control!$B$9</f>
        <v>0</v>
      </c>
      <c r="H269" s="388">
        <f ca="1">Weather_data!$G268</f>
        <v>0</v>
      </c>
      <c r="I269" s="388">
        <f ca="1">Weather_data!$I268</f>
        <v>0</v>
      </c>
      <c r="J269" s="388">
        <f ca="1">Weather_data!$H268</f>
        <v>0</v>
      </c>
      <c r="K269" s="389">
        <f ca="1">Weather_data!$D268</f>
        <v>0</v>
      </c>
      <c r="L269" s="388" t="e">
        <f t="shared" ca="1" si="1049"/>
        <v>#N/A</v>
      </c>
      <c r="M269" s="388" t="e">
        <f t="shared" ca="1" si="927"/>
        <v>#N/A</v>
      </c>
      <c r="N269" s="388">
        <f t="shared" ca="1" si="928"/>
        <v>-4.6211491611996516E-13</v>
      </c>
      <c r="O269" s="388">
        <f t="shared" ca="1" si="1050"/>
        <v>4.6211491611996518E-12</v>
      </c>
      <c r="P269" s="390">
        <v>3</v>
      </c>
      <c r="Q269" s="388">
        <f ca="1">MAX($G269-Control!$C$107,0)</f>
        <v>0</v>
      </c>
      <c r="R269" s="388">
        <f t="shared" ca="1" si="1051"/>
        <v>0</v>
      </c>
      <c r="S269" s="388">
        <f t="shared" ca="1" si="929"/>
        <v>0</v>
      </c>
      <c r="T269" s="388">
        <f t="shared" ca="1" si="930"/>
        <v>0</v>
      </c>
      <c r="U269" s="59">
        <f t="shared" ca="1" si="931"/>
        <v>0</v>
      </c>
      <c r="V269" s="391">
        <f ca="1">MAX(0,MIN(Control!$C$100-Control!$C$99,$G269-Control!$C$99)*Control!$C$63)</f>
        <v>0</v>
      </c>
      <c r="W269" s="388">
        <f t="shared" ca="1" si="1052"/>
        <v>0</v>
      </c>
      <c r="X269" s="388">
        <f t="shared" ca="1" si="1053"/>
        <v>0.6110000000000001</v>
      </c>
      <c r="Y269" s="388">
        <f t="shared" ca="1" si="932"/>
        <v>0</v>
      </c>
      <c r="Z269" s="388">
        <f t="shared" ca="1" si="1054"/>
        <v>0.61058800000000002</v>
      </c>
      <c r="AA269" s="388">
        <f t="shared" ca="1" si="933"/>
        <v>0.6018</v>
      </c>
      <c r="AB269" s="388">
        <f ca="1">101.3*EXP(-0.034*Control!$C$66/($G269+273))</f>
        <v>100.69623283836242</v>
      </c>
      <c r="AC269" s="392">
        <f t="shared" ca="1" si="934"/>
        <v>4.3460251046025113E-2</v>
      </c>
      <c r="AD269" s="392">
        <f t="shared" ca="1" si="935"/>
        <v>4.4450382862832649E-2</v>
      </c>
      <c r="AE269" s="388">
        <f t="shared" ca="1" si="936"/>
        <v>0</v>
      </c>
      <c r="AF269" s="388">
        <f ca="1">MAX(0,$G269-Control!$C$92)</f>
        <v>0</v>
      </c>
      <c r="AG269" s="393">
        <f t="shared" ca="1" si="937"/>
        <v>265</v>
      </c>
      <c r="AH269" s="389">
        <f t="shared" ca="1" si="938"/>
        <v>265</v>
      </c>
      <c r="AI269" s="388">
        <f t="shared" ca="1" si="1055"/>
        <v>-8.5668294587083159E-3</v>
      </c>
      <c r="AJ269" s="388">
        <f ca="1">IF(Control!$C$60&lt;=0,$HH269,$HI269)</f>
        <v>1</v>
      </c>
      <c r="AK269" s="388">
        <f t="shared" ca="1" si="939"/>
        <v>3.184628169392393</v>
      </c>
      <c r="AL269" s="388">
        <f t="shared" ca="1" si="940"/>
        <v>-9.019087560124815E-19</v>
      </c>
      <c r="AM269" s="388">
        <f t="shared" ca="1" si="941"/>
        <v>3.184628169392393</v>
      </c>
      <c r="AN269" s="388">
        <f t="shared" ca="1" si="942"/>
        <v>-1.7115079852158814E-2</v>
      </c>
      <c r="AO269" s="388">
        <f ca="1">-0.10453/COS(Control!$B$8*PI()/180)*COS(AN269)</f>
        <v>-0.16975999764029229</v>
      </c>
      <c r="AP269" s="388">
        <f ca="1">ACOS(AO269-TAN(Control!$B$8*PI()/180)*TAN(AN269))</f>
        <v>1.7191919254512389</v>
      </c>
      <c r="AQ269" s="388">
        <f t="shared" ca="1" si="1056"/>
        <v>0</v>
      </c>
      <c r="AR269" s="394">
        <f t="shared" ca="1" si="943"/>
        <v>0</v>
      </c>
      <c r="AS269" s="436">
        <f ca="1">IF(Control!$B$18=2,(IF(OR($AH269=Control!$B$175,$AH269=Control!$B$176,$AH269=Control!$B$177,$AH269=Control!$B$178,$AH269=Control!$B$179,$AH269=Control!$B$180,$AH269=Control!$B$181,$AH269=Control!$B$182,$AH269=Control!$B$183,$AH269=Control!$B$184,$AH269=Control!$B$185),1,0)),0)</f>
        <v>0</v>
      </c>
      <c r="AT269" s="436">
        <f>IF(Control!$B$20=8,IF(AND($AH269&gt;=Control!$B$172,$AH269&lt;=Control!$B$173),1,0),0)</f>
        <v>0</v>
      </c>
      <c r="AU269" s="436">
        <f>IF(Control!$B$20=8,IF($AV268=1,1*$AT269,IF($AT269=1,$AU268+1,$AU268)),0)</f>
        <v>0</v>
      </c>
      <c r="AV269" s="436">
        <f>IF(Control!$B$20=8,IF($AU269&gt;=Control!$B$174,1,0),0)</f>
        <v>0</v>
      </c>
      <c r="AW269" s="436">
        <f ca="1">IF(AND(Control!$B$18=2,Control!$B$171=1), $AV269, $AS269)</f>
        <v>0</v>
      </c>
      <c r="AX269" s="436" t="e">
        <f ca="1">IF(AND(Control!$B$18=1,$EU269&gt;=Control!$B$19),-$AY269,IF(AND(Control!$B$18=2,$AW269=1,$EU269&gt;$DS269),-$AY269, IF(Control!$C$108=0,0, IF(Control!$C$108&lt;&gt;0,1))))</f>
        <v>#N/A</v>
      </c>
      <c r="AY269" s="436" t="e">
        <f t="shared" ca="1" si="1057"/>
        <v>#N/A</v>
      </c>
      <c r="AZ269" s="436" t="e">
        <f ca="1">IF(AND(Control!$B$18=1,$EB269&gt;Control!$B$19),$AZ268+1, IF(AND(Control!$B$18=2, $AW269=1, $EB269&gt;$DS269), $AZ268+1,$AZ268))</f>
        <v>#N/A</v>
      </c>
      <c r="BA269" s="587">
        <f>IF(Control!$C$81=0,1,IF($AH269&gt;=Control!$C$82,1,0))</f>
        <v>1</v>
      </c>
      <c r="BB269" s="140" t="e">
        <f ca="1">IF($BA269&gt;$BA268,Control!$C$83,IF($AW269&gt;0,$AW269*Control!$C$84,IF(AND(Control!$B$18=1,EN268&lt;&gt;0),Control!$C$84,0)))</f>
        <v>#N/A</v>
      </c>
      <c r="BC269" s="140" t="e">
        <f t="shared" ca="1" si="1058"/>
        <v>#N/A</v>
      </c>
      <c r="BD269" s="140" t="e">
        <f ca="1">BC269*IF(OR($G269&lt;Control!$C$92,$G269&gt;Control!$C$95),0,IF(AND($G269&gt;=Control!$C$92,$G269&lt;=Control!$C$93),$G269-Control!$C$92,IF(AND($G269&gt;Control!$C$93,$G269&lt;=Control!$C$94),Control!$C$93-Control!$C$92,IF(AND($G269&gt;Control!$C$94,$G269&lt;=Control!$C$95),(Control!$C$93-Control!$C$92)*(Control!$C$94-$G269)/(Control!$C$95-Control!$C$94)))))</f>
        <v>#N/A</v>
      </c>
      <c r="BE269" s="140" t="e">
        <f t="shared" ca="1" si="1059"/>
        <v>#N/A</v>
      </c>
      <c r="BF269" s="140" t="e">
        <f ca="1">IF($BE269&lt;=Control!$C$86,$BE269,Control!$C$86-$BE269)</f>
        <v>#N/A</v>
      </c>
      <c r="BG269" s="140" t="e">
        <f ca="1">IF(AND($AW269=1,Control!$C$84&lt;9),1,IF($BE269&gt;=Control!$C$86,0,$BC269))</f>
        <v>#N/A</v>
      </c>
      <c r="BH269" s="404" t="e">
        <f ca="1">IF($BG269=0,0,IF($BE269&lt;=Control!$C$86,$BC269*9*($BF269/Control!$C$86),0))</f>
        <v>#N/A</v>
      </c>
      <c r="BI269" s="140" t="e">
        <f ca="1">IF($BG269=1,0,IF($BE269&gt;=Control!$C$86,1,IF(AND($BB269&lt;21,$BB269&gt;=9),1,$BM268)))</f>
        <v>#N/A</v>
      </c>
      <c r="BJ269" s="140" t="e">
        <f ca="1">IF($BF269&lt;0,-$BF269,$BI269*IF(OR($G269&lt;Control!$C$92,$G269&gt;Control!$C$95),0,IF(AND($G269&gt;=Control!$C$92,$G269&lt;=Control!$C$93),$G269-Control!$C$92,IF(AND($G269&gt;Control!$C$93,$G269&lt;=Control!$C$94),Control!$C$93-Control!$C$92,IF(AND($G269&gt;Control!$C$94,$G269&lt;=Control!$C$95),(Control!$C$93-Control!$C$92)*(Control!$C$94-$G269)/(Control!$C$95-Control!$C$94))))))</f>
        <v>#N/A</v>
      </c>
      <c r="BK269" s="140" t="e">
        <f t="shared" ca="1" si="1060"/>
        <v>#N/A</v>
      </c>
      <c r="BL269" s="140" t="e">
        <f ca="1">IF($BK269&lt;=Control!$C$87,$BK269,Control!$C$87-$BK269)</f>
        <v>#N/A</v>
      </c>
      <c r="BM269" s="140" t="e">
        <f ca="1">IF(AND($BB269&gt;=9,$BB269&lt;21),1,IF($BK269&gt;=Control!$C$87,0,$BI269))</f>
        <v>#N/A</v>
      </c>
      <c r="BN269" s="404" t="e">
        <f ca="1">IF($BM269=0,0,IF($BK269&lt;=Control!$C$87,$BI269*(9+(21-9)*($BL269/Control!$C$87)),0))</f>
        <v>#N/A</v>
      </c>
      <c r="BO269" s="140" t="e">
        <f ca="1">IF($BM269=1,0,IF($BK269&gt;=Control!$C$87,1,IF(AND($BB269&lt;30,$BB269&gt;=21),1,$BS268)))</f>
        <v>#N/A</v>
      </c>
      <c r="BP269" s="140" t="e">
        <f ca="1">IF($BL269&lt;0,-$BL269,$BO269*IF(OR($G269&lt;Control!$C$92,$G269&gt;Control!$C$95),0,IF(AND($G269&gt;=Control!$C$92,$G269&lt;=Control!$C$93),$G269-Control!$C$92,IF(AND($G269&gt;Control!$C$93,$G269&lt;=Control!$C$94),Control!$C$93-Control!$C$92,IF(AND($G269&gt;Control!$C$94,$G269&lt;=Control!$C$95),(Control!$C$93-Control!$C$92)*(Control!$C$94-$G269)/(Control!$C$95-Control!$C$94))))))</f>
        <v>#N/A</v>
      </c>
      <c r="BQ269" s="140" t="e">
        <f t="shared" ca="1" si="944"/>
        <v>#N/A</v>
      </c>
      <c r="BR269" s="140" t="e">
        <f ca="1">IF($BQ269&lt;=Control!$C$88,$BQ269,Control!$C$88-$BQ269)</f>
        <v>#N/A</v>
      </c>
      <c r="BS269" s="140" t="e">
        <f ca="1">IF(AND($BB269&gt;=21,$BB269&lt;30),1,IF($BQ269&gt;=Control!$C$88,0,$BO269))</f>
        <v>#N/A</v>
      </c>
      <c r="BT269" s="404" t="e">
        <f ca="1">IF($BS269=0,0,IF($BQ269&lt;=Control!$C$88,$BO269*(21+(30-21)*(BR269/Control!$C$88)),0))</f>
        <v>#N/A</v>
      </c>
      <c r="BU269" s="140" t="e">
        <f ca="1">IF(BG269+BM269+BS269=1,0,IF(OR(AND($BB269&lt;60,$BB269&gt;=30),$BQ269&gt;=Control!$C$88),1*$BA269,$BY268))</f>
        <v>#N/A</v>
      </c>
      <c r="BV269" s="140" t="e">
        <f ca="1">IF($BR269&lt;0,-$BR269,$BU269*IF(OR($G269&lt;Control!$C$92,$G269&gt;Control!$C$95),0,IF(AND($G269&gt;=Control!$C$92,$G269&lt;=Control!$C$93),$G269-Control!$C$92,IF(AND($G269&gt;Control!$C$93,$G269&lt;=Control!$C$94),Control!$C$93-Control!$C$92,IF(AND($G269&gt;Control!$C$94,$G269&lt;=Control!$C$95),(Control!$C$93-Control!$C$92)*(Control!$C$94-$G269)/(Control!$C$95-Control!$C$94))))))</f>
        <v>#N/A</v>
      </c>
      <c r="BW269" s="140" t="e">
        <f t="shared" ca="1" si="945"/>
        <v>#N/A</v>
      </c>
      <c r="BX269" s="140" t="e">
        <f ca="1">IF($BW269&lt;=Control!$C$89,$BW269,Control!$C$89-$BW269)</f>
        <v>#N/A</v>
      </c>
      <c r="BY269" s="140" t="e">
        <f ca="1">IF(AND($AJ269&gt;=30,$AJ269&lt;60),1,IF($BW269&gt;=Control!$C$89,0,$BU269))</f>
        <v>#N/A</v>
      </c>
      <c r="BZ269" s="404" t="e">
        <f ca="1">IF($BY269=0,0,IF($BW269&lt;=Control!$C$89,$BU269*(30+(60-30)*(BX269/Control!$C$89)),0))</f>
        <v>#N/A</v>
      </c>
      <c r="CA269" s="140" t="e">
        <f ca="1">IF($BG269+$BM269+$BS269+$BY269=1,0,IF(OR(AND($BB269&lt;65,$BB269&gt;=60),$BW269&gt;=Control!$C$89),1*$BA269,$CE268))</f>
        <v>#N/A</v>
      </c>
      <c r="CB269" s="140" t="e">
        <f ca="1">IF($BX269&lt;0,-$BX269,$CA269*IF(OR($G269&lt;Control!$C$92,$G269&gt;Control!$C$95),0,IF(AND($G269&gt;=Control!$C$92,$G269&lt;=Control!$C$93),$G269-Control!$C$92,IF(AND($G269&gt;Control!$C$93,$G269&lt;=Control!$C$94),Control!$C$93-Control!$C$92,IF(AND($G269&gt;Control!$C$94,$G269&lt;=Control!$C$95),(Control!$C$93-Control!$C$92)*(Control!$C$94-$G269)/(Control!$C$95-Control!$C$94))))))</f>
        <v>#N/A</v>
      </c>
      <c r="CC269" s="140" t="e">
        <f t="shared" ca="1" si="1061"/>
        <v>#N/A</v>
      </c>
      <c r="CD269" s="140" t="e">
        <f ca="1">IF($CC269&lt;=Control!$C$90,$CC269,Control!$C$90-$CC269)</f>
        <v>#N/A</v>
      </c>
      <c r="CE269" s="140" t="e">
        <f ca="1">IF(AND($BB269&gt;=60,$BB269&lt;65),1,IF($CC269&gt;=Control!$C$90,0,$CA269))</f>
        <v>#N/A</v>
      </c>
      <c r="CF269" s="404" t="e">
        <f ca="1">IF($CE269=0,0,IF($CC269&lt;=Control!$C$90,$CA269*(60+(65-60)*(CD269/Control!$C$90)),0))</f>
        <v>#N/A</v>
      </c>
      <c r="CG269" s="140" t="e">
        <f ca="1">IF($BG269+$BM269+$BS269+$BY269+$CE269=1,0,IF(OR(AND($BB269&lt;90,$BB269&gt;=65),$CC269&gt;=Control!$C$90),$BA269,$CK268))</f>
        <v>#N/A</v>
      </c>
      <c r="CH269" s="140" t="e">
        <f ca="1">IF($CD269&lt;0,-$CD269,$CG269*IF(OR($G269&lt;Control!$C$92,$G269&gt;Control!$C$95),0,IF(AND($G269&gt;=Control!$C$92,$G269&lt;=Control!$C$93),$G269-Control!$C$92,IF(AND($G269&gt;Control!$C$93,$G269&lt;=Control!$C$94),Control!$C$93-Control!$C$92,IF(AND($G269&gt;Control!$C$94,$G269&lt;=Control!$C$95),(Control!$C$93-Control!$C$92)*(Control!$C$94-$G269)/(Control!$C$95-Control!$C$94))))))</f>
        <v>#N/A</v>
      </c>
      <c r="CI269" s="140" t="e">
        <f t="shared" ca="1" si="1062"/>
        <v>#N/A</v>
      </c>
      <c r="CJ269" s="140" t="e">
        <f ca="1">IF($CI269&lt;=Control!$C$91,$CI269,Control!$C$91-$CI269)</f>
        <v>#N/A</v>
      </c>
      <c r="CK269" s="140" t="e">
        <f ca="1">IF(AND($BB269&gt;=65,$BB269&lt;90),1,IF($CI269&gt;=Control!$C$91,0,$CG269))</f>
        <v>#N/A</v>
      </c>
      <c r="CL269" s="404" t="e">
        <f ca="1">IF($CK269=0,0,IF($CI269&lt;=Control!$C$91,$CG269*(65+(90-65)*($CJ269/Control!$C$91)),0))</f>
        <v>#N/A</v>
      </c>
      <c r="CM269" s="140" t="e">
        <f ca="1">IF($BG269+$BM269+$BS269+$BY269+$CE269+$CK269=1,0,IF(OR($BB269&gt;=90,$CI269&gt;=Control!$C$91),$BA269,$CM268))</f>
        <v>#N/A</v>
      </c>
      <c r="CN269" s="140" t="e">
        <f t="shared" ca="1" si="1063"/>
        <v>#N/A</v>
      </c>
      <c r="CO269" s="140" t="e">
        <f t="shared" ca="1" si="1064"/>
        <v>#N/A</v>
      </c>
      <c r="CP269" s="140" t="e">
        <f t="shared" ca="1" si="1065"/>
        <v>#N/A</v>
      </c>
      <c r="CQ269" s="141" t="e">
        <f ca="1">VLOOKUP($CP269,Control!$B$86:$G$91,6)</f>
        <v>#N/A</v>
      </c>
      <c r="CR269" s="141" t="e">
        <f ca="1">(1-$CQ269)*VLOOKUP($CP269,Control!$B$86:$D$91,3)</f>
        <v>#N/A</v>
      </c>
      <c r="CS269" s="141" t="e">
        <f ca="1">(1-$CQ269)*VLOOKUP($CP269,Control!$B$86:$E$91,4)</f>
        <v>#N/A</v>
      </c>
      <c r="CT269" s="141" t="e">
        <f ca="1">(1-$CQ269)*VLOOKUP($CP269,Control!$B$86:$F$91,5)</f>
        <v>#N/A</v>
      </c>
      <c r="CU269" s="141">
        <f t="shared" ca="1" si="1066"/>
        <v>0</v>
      </c>
      <c r="CV269" s="583">
        <f t="shared" ca="1" si="1067"/>
        <v>0</v>
      </c>
      <c r="CW269" s="142">
        <f t="shared" ca="1" si="1068"/>
        <v>265</v>
      </c>
      <c r="CX269" s="612" t="e">
        <f ca="1">IF(Control!$C$114=1,(MIN(Control!$C$120*(IF($NT269-0.01&lt;0,0,1)),Control!$C$119-$CY269)))</f>
        <v>#DIV/0!</v>
      </c>
      <c r="CY269" s="143" t="e">
        <f t="shared" ca="1" si="1069"/>
        <v>#N/A</v>
      </c>
      <c r="CZ269" s="144">
        <f t="shared" ca="1" si="946"/>
        <v>0</v>
      </c>
      <c r="DA269" s="144">
        <f t="shared" ca="1" si="947"/>
        <v>0</v>
      </c>
      <c r="DB269" s="144" t="e">
        <f t="shared" ca="1" si="948"/>
        <v>#N/A</v>
      </c>
      <c r="DC269" s="144" t="e">
        <f t="shared" ca="1" si="949"/>
        <v>#N/A</v>
      </c>
      <c r="DD269" s="144" t="e">
        <f t="shared" ca="1" si="1154"/>
        <v>#N/A</v>
      </c>
      <c r="DE269" s="143" t="e">
        <f t="shared" ca="1" si="1070"/>
        <v>#N/A</v>
      </c>
      <c r="DF269" s="145" t="e">
        <f ca="1">$DR269*EXP(-Control!$C$158*(1-$KH269))</f>
        <v>#N/A</v>
      </c>
      <c r="DG269" s="146" t="e">
        <f ca="1">IF(Control!$C$114=1, $DF269*$EY269, 0)</f>
        <v>#N/A</v>
      </c>
      <c r="DH269" s="147" t="e">
        <f t="shared" ca="1" si="1071"/>
        <v>#N/A</v>
      </c>
      <c r="DI269" s="144" t="e">
        <f t="shared" ca="1" si="1132"/>
        <v>#N/A</v>
      </c>
      <c r="DJ269" s="147" t="e">
        <f ca="1">$EF269*Control!$C$109</f>
        <v>#N/A</v>
      </c>
      <c r="DK269" s="144" t="e">
        <f t="shared" ca="1" si="1072"/>
        <v>#N/A</v>
      </c>
      <c r="DL269" s="144" t="e">
        <f t="shared" ca="1" si="950"/>
        <v>#N/A</v>
      </c>
      <c r="DM269" s="144" t="e">
        <f ca="1">IF(Control!$C$114=1, (1-EXP(-Control!$C$96*$DK269))*$AR269, 0)</f>
        <v>#N/A</v>
      </c>
      <c r="DN269" s="144">
        <f t="shared" ca="1" si="1073"/>
        <v>0</v>
      </c>
      <c r="DO269" s="148">
        <f>Control!$C$97</f>
        <v>4</v>
      </c>
      <c r="DP269" s="145" t="e">
        <f t="shared" ca="1" si="1074"/>
        <v>#N/A</v>
      </c>
      <c r="DQ269" s="145" t="e">
        <f ca="1">IF(AND($CP269&gt;=0,$CP269&lt;=90),Control!$C$111,Control!$C$111)</f>
        <v>#N/A</v>
      </c>
      <c r="DR269" s="145" t="e">
        <f t="shared" ca="1" si="951"/>
        <v>#N/A</v>
      </c>
      <c r="DS269" s="143" t="e">
        <f ca="1">Control!$B$22/$DR269</f>
        <v>#N/A</v>
      </c>
      <c r="DT269" s="149" t="e">
        <f ca="1">IF(AND(Control!$C$114=1,$KH269&lt;1),$IM269*$DF269, 0)</f>
        <v>#N/A</v>
      </c>
      <c r="DU269" s="144" t="e">
        <f t="shared" ca="1" si="1075"/>
        <v>#N/A</v>
      </c>
      <c r="DV269" s="144">
        <f ca="1">IF($G269-Control!$C$107&lt;=0, 0, 0.83*LN(MAX($G269, 3))-0.8924)</f>
        <v>0</v>
      </c>
      <c r="DW269" s="144" t="e">
        <f t="shared" ca="1" si="952"/>
        <v>#N/A</v>
      </c>
      <c r="DX269" s="150" t="e">
        <f ca="1">MAX(0.01*(1+$CU269/Control!$C$102),0.05*($DK269-Control!$C$97)/Control!$C$97)</f>
        <v>#N/A</v>
      </c>
      <c r="DY269" s="151" t="e">
        <f ca="1">IF(Control!$C$114=1, $DI269*$FS269, 0)</f>
        <v>#N/A</v>
      </c>
      <c r="DZ269" s="196" t="e">
        <f t="shared" ca="1" si="1076"/>
        <v>#N/A</v>
      </c>
      <c r="EA269" s="152">
        <f t="shared" ca="1" si="1077"/>
        <v>265</v>
      </c>
      <c r="EB269" s="153" t="e">
        <f t="shared" ca="1" si="1078"/>
        <v>#N/A</v>
      </c>
      <c r="EC269" s="153" t="e">
        <f t="shared" ca="1" si="1079"/>
        <v>#N/A</v>
      </c>
      <c r="ED269" s="154" t="e">
        <f ca="1">IF(Control!$C$114=1, $HM269*$FY269-$FD269, 0)</f>
        <v>#DIV/0!</v>
      </c>
      <c r="EE269" s="155" t="e">
        <f ca="1">IF(Control!$C$114=1, $HM269*$FZ269-$FF269, 0)</f>
        <v>#DIV/0!</v>
      </c>
      <c r="EF269" s="153" t="e">
        <f t="shared" ca="1" si="1133"/>
        <v>#N/A</v>
      </c>
      <c r="EG269" s="155" t="e">
        <f ca="1">IF(Control!$C$114=1, $GX269*$FW269-$FI269, 0)</f>
        <v>#DIV/0!</v>
      </c>
      <c r="EH269" s="153" t="e">
        <f t="shared" ca="1" si="1080"/>
        <v>#N/A</v>
      </c>
      <c r="EI269" s="156" t="e">
        <f t="shared" ca="1" si="1081"/>
        <v>#N/A</v>
      </c>
      <c r="EJ269" s="155" t="e">
        <f ca="1">IF(Control!$C$114=1, $HM269*$GB269, 0)</f>
        <v>#DIV/0!</v>
      </c>
      <c r="EK269" s="153" t="e">
        <f t="shared" ca="1" si="1134"/>
        <v>#N/A</v>
      </c>
      <c r="EL269" s="153" t="e">
        <f t="shared" ca="1" si="953"/>
        <v>#N/A</v>
      </c>
      <c r="EM269" s="153" t="e">
        <f t="shared" ca="1" si="954"/>
        <v>#N/A</v>
      </c>
      <c r="EN269" s="153" t="e">
        <f ca="1">IF(Control!$C$108=1,IF(AND(Control!$B$18=1,$EB269&gt;=Control!$B$19),$EB269-$DS269,IF(AND(Control!$B$18=2,$AW269=1,$EB269&gt;$DS269),$EB269-$DS269,0)))</f>
        <v>#N/A</v>
      </c>
      <c r="EO269" s="153" t="e">
        <f ca="1">IF(Control!$C$108=1,IF(AND(Control!$B$18=1,$EB269&gt;=Control!$B$19),$EF269,IF(AND(Control!$B$18=2,$AW269=1),$EF269,0)))</f>
        <v>#N/A</v>
      </c>
      <c r="EP269" s="153" t="e">
        <f ca="1">IF(Control!$C$108=1,IF(AND(Control!$B$18=1,$EB269&gt;=Control!$B$19),$EK269,IF(AND(Control!$B$18=2,$AW269=1),$EK269,0)))</f>
        <v>#N/A</v>
      </c>
      <c r="EQ269" s="153" t="e">
        <f t="shared" ca="1" si="1082"/>
        <v>#N/A</v>
      </c>
      <c r="ER269" s="153" t="e">
        <f t="shared" ca="1" si="1083"/>
        <v>#N/A</v>
      </c>
      <c r="ES269" s="153" t="e">
        <f t="shared" ca="1" si="1135"/>
        <v>#N/A</v>
      </c>
      <c r="ET269" s="153" t="e">
        <f t="shared" ca="1" si="1136"/>
        <v>#N/A</v>
      </c>
      <c r="EU269" s="153" t="e">
        <f t="shared" ca="1" si="1084"/>
        <v>#N/A</v>
      </c>
      <c r="EV269" s="153" t="e">
        <f t="shared" ca="1" si="955"/>
        <v>#N/A</v>
      </c>
      <c r="EW269" s="153" t="e">
        <f t="shared" ca="1" si="956"/>
        <v>#N/A</v>
      </c>
      <c r="EX269" s="153" t="e">
        <f t="shared" ca="1" si="957"/>
        <v>#N/A</v>
      </c>
      <c r="EY269" s="157" t="e">
        <f t="shared" ca="1" si="958"/>
        <v>#DIV/0!</v>
      </c>
      <c r="EZ269" s="154" t="e">
        <f t="shared" ca="1" si="959"/>
        <v>#DIV/0!</v>
      </c>
      <c r="FA269" s="153" t="e">
        <f t="shared" ca="1" si="1085"/>
        <v>#N/A</v>
      </c>
      <c r="FB269" s="153" t="e">
        <f t="shared" ca="1" si="960"/>
        <v>#N/A</v>
      </c>
      <c r="FC269" s="193" t="e">
        <f t="shared" ca="1" si="961"/>
        <v>#N/A</v>
      </c>
      <c r="FD269" s="158" t="e">
        <f t="shared" ca="1" si="1086"/>
        <v>#N/A</v>
      </c>
      <c r="FE269" s="158" t="e">
        <f t="shared" ca="1" si="1087"/>
        <v>#N/A</v>
      </c>
      <c r="FF269" s="159" t="e">
        <f t="shared" ca="1" si="962"/>
        <v>#N/A</v>
      </c>
      <c r="FG269" s="160" t="e">
        <f t="shared" ca="1" si="1088"/>
        <v>#N/A</v>
      </c>
      <c r="FH269" s="158" t="e">
        <f t="shared" ca="1" si="1089"/>
        <v>#N/A</v>
      </c>
      <c r="FI269" s="159" t="e">
        <f t="shared" ca="1" si="963"/>
        <v>#N/A</v>
      </c>
      <c r="FJ269" s="160" t="e">
        <f t="shared" ca="1" si="1090"/>
        <v>#N/A</v>
      </c>
      <c r="FK269" s="160" t="e">
        <f t="shared" ca="1" si="964"/>
        <v>#N/A</v>
      </c>
      <c r="FL269" s="160" t="e">
        <f t="shared" ca="1" si="1137"/>
        <v>#N/A</v>
      </c>
      <c r="FM269" s="160" t="e">
        <f t="shared" ca="1" si="965"/>
        <v>#N/A</v>
      </c>
      <c r="FN269" s="158">
        <f t="shared" ca="1" si="1091"/>
        <v>0.01</v>
      </c>
      <c r="FO269" s="160">
        <f>Control!$C$101</f>
        <v>50</v>
      </c>
      <c r="FP269" s="150" t="e">
        <f t="shared" ca="1" si="966"/>
        <v>#N/A</v>
      </c>
      <c r="FQ269" s="150" t="e">
        <f ca="1">MAX(0,(Control!$C$112*(($DK269-Control!$C$97)/Control!$C$97)))</f>
        <v>#N/A</v>
      </c>
      <c r="FR269" s="150" t="e">
        <f ca="1">(1-$NT269)*Control!$C$113</f>
        <v>#DIV/0!</v>
      </c>
      <c r="FS269" s="198" t="e">
        <f t="shared" ca="1" si="967"/>
        <v>#N/A</v>
      </c>
      <c r="FT269" s="161">
        <f t="shared" ca="1" si="1092"/>
        <v>265</v>
      </c>
      <c r="FU269" s="162" t="e">
        <f ca="1">IF(Control!$B$34=1,VLOOKUP($CP269,Control!$B$86:$G$91,6),Control!$B$35)</f>
        <v>#N/A</v>
      </c>
      <c r="FV269" s="162" t="e">
        <f t="shared" ca="1" si="968"/>
        <v>#DIV/0!</v>
      </c>
      <c r="FW269" s="162" t="e">
        <f ca="1">IF(Control!$B$31=1,$FU269*$FV269,  $FU269)</f>
        <v>#N/A</v>
      </c>
      <c r="FX269" s="162" t="e">
        <f ca="1">IF(Control!$B$34=1,VLOOKUP($CP269,Control!$B$86:$G$91,3),Control!$B$36)</f>
        <v>#N/A</v>
      </c>
      <c r="FY269" s="162" t="e">
        <f t="shared" ca="1" si="969"/>
        <v>#N/A</v>
      </c>
      <c r="FZ269" s="162" t="e">
        <f ca="1">IF(Control!$B$34=1,VLOOKUP($CP269,Control!$B$86:$G$91,4),Control!$B$37)</f>
        <v>#N/A</v>
      </c>
      <c r="GA269" s="162" t="e">
        <f t="shared" ca="1" si="970"/>
        <v>#N/A</v>
      </c>
      <c r="GB269" s="162" t="e">
        <f ca="1">IF(Control!$B$34=1,VLOOKUP($CP269,Control!$B$86:$G$91,5),Control!$B$38)</f>
        <v>#N/A</v>
      </c>
      <c r="GC269" s="162" t="e">
        <f t="shared" ca="1" si="1093"/>
        <v>#N/A</v>
      </c>
      <c r="GD269" s="162">
        <f t="shared" ca="1" si="971"/>
        <v>1</v>
      </c>
      <c r="GE269" s="162">
        <f t="shared" ca="1" si="972"/>
        <v>1</v>
      </c>
      <c r="GF269" s="162">
        <f ca="1">IF(AND(Control!$C$104=1, Control!$C$62="F"),$GE269,1)</f>
        <v>1</v>
      </c>
      <c r="GG269" s="162" t="e">
        <f ca="1">IF(Control!$B$16=40,0,IF(AND(Control!$B$16&gt;40,Control!$B$16&lt;=360),(Control!$B$16-40)*((1-0)/(360-40)),IF(AND(Control!$B$16&gt;360,Control!$B$16&lt;=720),(1+(Control!$B$16-360)*((1.25-1)/(720-360))),IF(AND(Control!$B$16&gt;720,Control!$B$16&lt;=1000),(1.25+(Control!$B$16-720)*((1.35-1.25)/(1000-720))),IF(AND(Control!$B$16&gt;1000,Control!$B$16&lt;=2000),(1.35+(Control!$B$16-1000)*0))))))</f>
        <v>#N/A</v>
      </c>
      <c r="GH269" s="162" t="e">
        <f t="shared" ca="1" si="973"/>
        <v>#N/A</v>
      </c>
      <c r="GI269" s="162">
        <f t="shared" ca="1" si="1094"/>
        <v>0</v>
      </c>
      <c r="GJ269" s="162">
        <f t="shared" ca="1" si="974"/>
        <v>0</v>
      </c>
      <c r="GK269" s="162">
        <f t="shared" ca="1" si="1095"/>
        <v>1</v>
      </c>
      <c r="GL269" s="162">
        <f t="shared" ca="1" si="975"/>
        <v>1</v>
      </c>
      <c r="GM269" s="162" t="e">
        <f ca="1">MAX(0,MIN(1,1-Control!$C$156*(1.0001-$KH269)^2))</f>
        <v>#N/A</v>
      </c>
      <c r="GN269" s="162" t="e">
        <f ca="1">IF(Control!$B$26=1,$KU269,$KX269)</f>
        <v>#N/A</v>
      </c>
      <c r="GO269" s="162" t="e">
        <f ca="1">IF($CP269&lt;=60,Control!$C$105,IF($CP269&gt;=90,Control!$C$106,Control!$C$105+($CP269-60)*((Control!$C$106-Control!$C$105)/(90-60))))</f>
        <v>#N/A</v>
      </c>
      <c r="GP269" s="162" t="e">
        <f t="shared" ca="1" si="976"/>
        <v>#N/A</v>
      </c>
      <c r="GQ269" s="162" t="e">
        <f t="shared" ca="1" si="1096"/>
        <v>#N/A</v>
      </c>
      <c r="GR269" s="163" t="e">
        <f t="shared" ca="1" si="977"/>
        <v>#DIV/0!</v>
      </c>
      <c r="GS269" s="162" t="e">
        <f t="shared" ca="1" si="978"/>
        <v>#DIV/0!</v>
      </c>
      <c r="GT269" s="164" t="e">
        <f t="shared" ca="1" si="1097"/>
        <v>#N/A</v>
      </c>
      <c r="GU269" s="162" t="e">
        <f t="shared" ca="1" si="1098"/>
        <v>#N/A</v>
      </c>
      <c r="GV269" s="162" t="e">
        <f t="shared" ca="1" si="979"/>
        <v>#N/A</v>
      </c>
      <c r="GW269" s="162" t="e">
        <f t="shared" ca="1" si="980"/>
        <v>#DIV/0!</v>
      </c>
      <c r="GX269" s="162" t="e">
        <f t="shared" ca="1" si="1099"/>
        <v>#DIV/0!</v>
      </c>
      <c r="GY269" s="162" t="e">
        <f t="shared" ca="1" si="1100"/>
        <v>#DIV/0!</v>
      </c>
      <c r="GZ269" s="165" t="e">
        <f t="shared" ca="1" si="981"/>
        <v>#N/A</v>
      </c>
      <c r="HA269" s="162" t="e">
        <f ca="1">IF(Control!$C$114=1, $DI269*$FS269, 0)</f>
        <v>#N/A</v>
      </c>
      <c r="HB269" s="162" t="e">
        <f ca="1">$FA269/Control!$C$64</f>
        <v>#N/A</v>
      </c>
      <c r="HC269" s="162" t="e">
        <f t="shared" ca="1" si="982"/>
        <v>#DIV/0!</v>
      </c>
      <c r="HD269" s="162">
        <f ca="1">-ASIN(SIN(23.45*Control!$C$139)*COS(2*Control!$C$138*($AH269+10)/365))</f>
        <v>-8.5668294587083159E-3</v>
      </c>
      <c r="HE269" s="165">
        <f t="shared" ca="1" si="1101"/>
        <v>0</v>
      </c>
      <c r="HF269" s="166">
        <f ca="1">IF(AND(Control!$C$61="T",$HE269&gt;=Control!$C$103,Control!$C$114=0),$AH269,Control!$C$59)</f>
        <v>1</v>
      </c>
      <c r="HG269" s="166">
        <f ca="1">IF(AND(Control!$C$61="T",$HE269&gt;=Control!$C$103,Control!$C$114=0),$HF269,Control!$C$59)</f>
        <v>1</v>
      </c>
      <c r="HH269" s="165">
        <f ca="1">IF(AND(OR(Control!$C$60&lt;=0, $AH269= Control!$C$59, Control!$C$60 &gt;0, $AH269 = Control!$C$60)), Control!$C$59, IF(Control!$C$60&gt;0, 0))</f>
        <v>1</v>
      </c>
      <c r="HI269" s="165">
        <f ca="1">IF(AND(OR(Control!$C$60&lt;=0, $AH269= Control!$C$59, Control!$C$60 &gt;0, $AH269 = Control!$C$60)), Control!$C$60, IF(Control!$C$60&lt;=0, 0))</f>
        <v>0</v>
      </c>
      <c r="HJ269" s="166">
        <f ca="1">IF(AND(Control!$C$62="F",$CV269&gt;=Control!$C$102),$AH269,0)</f>
        <v>0</v>
      </c>
      <c r="HK269" s="165" t="e">
        <f t="shared" ca="1" si="1138"/>
        <v>#N/A</v>
      </c>
      <c r="HL269" s="166">
        <f ca="1">IF(AND(Control!$C$61="T",$HE269&gt;=Control!$C$103,Control!$C$114=0),$HF269,0)</f>
        <v>0</v>
      </c>
      <c r="HM269" s="201" t="e">
        <f t="shared" ca="1" si="983"/>
        <v>#DIV/0!</v>
      </c>
      <c r="HN269" s="215">
        <f t="shared" ca="1" si="1102"/>
        <v>265</v>
      </c>
      <c r="HO269" s="216" t="e">
        <f ca="1">IF(AND($CP269&gt;=0, $CP269&lt;=90), Control!$C$152, Control!$C$152)</f>
        <v>#N/A</v>
      </c>
      <c r="HP269" s="216" t="e">
        <f t="shared" ca="1" si="984"/>
        <v>#N/A</v>
      </c>
      <c r="HQ269" s="217" t="e">
        <f ca="1">IF(OR(Control!$B$26=1,Control!$B$26=2),$KV269,$KS269)</f>
        <v>#DIV/0!</v>
      </c>
      <c r="HR269" s="218" t="e">
        <f t="shared" ca="1" si="1139"/>
        <v>#DIV/0!</v>
      </c>
      <c r="HS269" s="216" t="e">
        <f ca="1">Control!$C$154*$HP269</f>
        <v>#N/A</v>
      </c>
      <c r="HT269" s="216" t="e">
        <f ca="1">Control!$C$155*$HP269</f>
        <v>#N/A</v>
      </c>
      <c r="HU269" s="217" t="e">
        <f ca="1">Control!$C$161*$FI269</f>
        <v>#N/A</v>
      </c>
      <c r="HV269" s="218" t="e">
        <f t="shared" ca="1" si="1103"/>
        <v>#N/A</v>
      </c>
      <c r="HW269" s="218" t="e">
        <f ca="1">Control!$C$160*$FF269+$IP269*$EO269</f>
        <v>#N/A</v>
      </c>
      <c r="HX269" s="218" t="e">
        <f t="shared" ca="1" si="1140"/>
        <v>#N/A</v>
      </c>
      <c r="HY269" s="219" t="e">
        <f ca="1">IF(Control!$C$114=1, $EB269*$FS269, 0)</f>
        <v>#N/A</v>
      </c>
      <c r="HZ269" s="91" t="e">
        <f t="shared" ca="1" si="985"/>
        <v>#N/A</v>
      </c>
      <c r="IA269" s="220" t="e">
        <f ca="1">Control!$C$153*$HO269</f>
        <v>#N/A</v>
      </c>
      <c r="IB269" s="218" t="e">
        <f t="shared" ca="1" si="986"/>
        <v>#N/A</v>
      </c>
      <c r="IC269" s="220" t="e">
        <f ca="1">Control!$C$153*$HT269</f>
        <v>#N/A</v>
      </c>
      <c r="ID269" s="218" t="e">
        <f t="shared" ca="1" si="987"/>
        <v>#N/A</v>
      </c>
      <c r="IE269" s="221" t="e">
        <f ca="1">($EB269*Control!$C$159+$EF269*Control!$C$160)/(IF($GZ269&lt;&gt;0,$GZ269,1))</f>
        <v>#N/A</v>
      </c>
      <c r="IF269" s="216" t="e">
        <f t="shared" ca="1" si="988"/>
        <v>#N/A</v>
      </c>
      <c r="IG269" s="91">
        <f ca="1">IF(OR(Control!$B$198=$AH269,Control!$B$199=$AH269, Control!$B$200=$AH269, Control!$B$201=$AH269, Control!$B$202=$AH269, Control!$B$203=$AH269, Control!$B$204=$AH269, Control!$B$205=$AH269, Control!$B$206=$AH269, Control!$B$207=$AH269), 1, 0)</f>
        <v>0</v>
      </c>
      <c r="IH269" s="91">
        <f ca="1">IF($IG269=0,0, VLOOKUP($AH269,Control!$B$198:$C$207,2))</f>
        <v>0</v>
      </c>
      <c r="II269" s="222">
        <f t="shared" ca="1" si="1104"/>
        <v>0</v>
      </c>
      <c r="IJ269" s="91">
        <f>Control!$C$121</f>
        <v>0.7</v>
      </c>
      <c r="IK269" s="218">
        <f t="shared" ca="1" si="989"/>
        <v>0</v>
      </c>
      <c r="IL269" s="217" t="e">
        <f t="shared" ca="1" si="1141"/>
        <v>#N/A</v>
      </c>
      <c r="IM269" s="223" t="e">
        <f ca="1">IF(AND(Control!$C$114=1,$KH269&lt;1),$EB269*Control!$C$148*(1-$KH269), 0)</f>
        <v>#N/A</v>
      </c>
      <c r="IN269" s="217" t="e">
        <f t="shared" ca="1" si="990"/>
        <v>#DIV/0!</v>
      </c>
      <c r="IO269" s="91" t="e">
        <f ca="1">MAX(0,$IL269-$EF269*Control!$C$160)</f>
        <v>#N/A</v>
      </c>
      <c r="IP269" s="220" t="e">
        <f t="shared" ca="1" si="991"/>
        <v>#N/A</v>
      </c>
      <c r="IQ269" s="217" t="e">
        <f t="shared" ca="1" si="1105"/>
        <v>#N/A</v>
      </c>
      <c r="IR269" s="218" t="e">
        <f t="shared" ca="1" si="992"/>
        <v>#N/A</v>
      </c>
      <c r="IS269" s="217" t="e">
        <f ca="1">Control!$C$159*MAX(0,$FD269-$EN269)</f>
        <v>#N/A</v>
      </c>
      <c r="IT269" s="217" t="e">
        <f t="shared" ca="1" si="1142"/>
        <v>#N/A</v>
      </c>
      <c r="IU269" s="217" t="e">
        <f t="shared" ca="1" si="1106"/>
        <v>#N/A</v>
      </c>
      <c r="IV269" s="217" t="e">
        <f t="shared" ca="1" si="1143"/>
        <v>#N/A</v>
      </c>
      <c r="IW269" s="217" t="e">
        <f ca="1">IF(OR($AW269=1,AND($AW269=0, Control!$B$18=1,$EN269&lt;&gt;0)), $IQ269-$IU269, $IQ269)</f>
        <v>#N/A</v>
      </c>
      <c r="IX269" s="218" t="e">
        <f t="shared" ca="1" si="993"/>
        <v>#N/A</v>
      </c>
      <c r="IY269" s="218" t="e">
        <f ca="1">MAX(0,$IQ269-$EB269*Control!$C$159)</f>
        <v>#N/A</v>
      </c>
      <c r="IZ269" s="218" t="e">
        <f t="shared" ca="1" si="994"/>
        <v>#N/A</v>
      </c>
      <c r="JA269" s="216" t="e">
        <f t="shared" ca="1" si="995"/>
        <v>#N/A</v>
      </c>
      <c r="JB269" s="217" t="e">
        <f t="shared" ca="1" si="996"/>
        <v>#N/A</v>
      </c>
      <c r="JC269" s="222" t="e">
        <f ca="1">MAX(Control!$C$157*$EK269-$JT269, 0)/Control!$C$162</f>
        <v>#N/A</v>
      </c>
      <c r="JD269" s="218" t="e">
        <f t="shared" ca="1" si="997"/>
        <v>#N/A</v>
      </c>
      <c r="JE269" s="218" t="e">
        <f t="shared" ca="1" si="998"/>
        <v>#N/A</v>
      </c>
      <c r="JF269" s="218" t="e">
        <f t="shared" ca="1" si="1107"/>
        <v>#N/A</v>
      </c>
      <c r="JG269" s="218" t="e">
        <f t="shared" ca="1" si="999"/>
        <v>#N/A</v>
      </c>
      <c r="JH269" s="217" t="e">
        <f t="shared" ca="1" si="1108"/>
        <v>#N/A</v>
      </c>
      <c r="JI269" s="217" t="e">
        <f t="shared" ca="1" si="1109"/>
        <v>#N/A</v>
      </c>
      <c r="JJ269" s="217" t="e">
        <f t="shared" ca="1" si="1144"/>
        <v>#N/A</v>
      </c>
      <c r="JK269" s="217" t="e">
        <f ca="1">IF(Control!$C$114=1,IF(Control!$B$24=0,MAX(0,$JI269)*$GN269/Control!$C$64,(MAX(0,MIN($JI269,$JJ269*$GN269/Control!$C$64),0))))</f>
        <v>#N/A</v>
      </c>
      <c r="JL269" s="217" t="e">
        <f ca="1">$IK269/Control!$C$64-$JK269+$HQ269</f>
        <v>#N/A</v>
      </c>
      <c r="JM269" s="217" t="e">
        <f ca="1">IF(Control!$C$114=1,($JB269/(IF($JI269&lt;&gt;0,$JI269,1)))*$JK269,0)</f>
        <v>#N/A</v>
      </c>
      <c r="JN269" s="217" t="e">
        <f ca="1">IF(Control!$C$114=1,($JG269/(IF($JI269&lt;&gt;0,$JI269,1)))*$JK269, 0)</f>
        <v>#N/A</v>
      </c>
      <c r="JO269" s="218" t="e">
        <f t="shared" ca="1" si="1000"/>
        <v>#N/A</v>
      </c>
      <c r="JP269" s="218" t="e">
        <f ca="1">MIN(($IY269+$IO269)*Control!$C$151, $JF269-$EH269*Control!$C$161)</f>
        <v>#N/A</v>
      </c>
      <c r="JQ269" s="218" t="e">
        <f t="shared" ca="1" si="1001"/>
        <v>#N/A</v>
      </c>
      <c r="JR269" s="217" t="e">
        <f ca="1">IF($CP269-Control!$C$150&lt;0, 0, $JQ269/Control!$C$162)</f>
        <v>#N/A</v>
      </c>
      <c r="JS269" s="218" t="e">
        <f t="shared" ca="1" si="1002"/>
        <v>#N/A</v>
      </c>
      <c r="JT269" s="218" t="e">
        <f t="shared" ca="1" si="1110"/>
        <v>#N/A</v>
      </c>
      <c r="JU269" s="218" t="e">
        <f t="shared" ca="1" si="1003"/>
        <v>#N/A</v>
      </c>
      <c r="JV269" s="218" t="e">
        <f t="shared" ca="1" si="1004"/>
        <v>#N/A</v>
      </c>
      <c r="JW269" s="216" t="e">
        <f t="shared" ca="1" si="1005"/>
        <v>#N/A</v>
      </c>
      <c r="JX269" s="91" t="e">
        <f t="shared" ca="1" si="1006"/>
        <v>#N/A</v>
      </c>
      <c r="JY269" s="218" t="e">
        <f t="shared" ca="1" si="1007"/>
        <v>#N/A</v>
      </c>
      <c r="JZ269" s="217" t="e">
        <f ca="1">IF(Control!$C$114=1,($IZ269/(IF($JI269&lt;&gt;0,$JI269,1)))*$JK269, 0)</f>
        <v>#N/A</v>
      </c>
      <c r="KA269" s="218" t="e">
        <f t="shared" ca="1" si="1145"/>
        <v>#N/A</v>
      </c>
      <c r="KB269" s="218" t="e">
        <f t="shared" ca="1" si="1111"/>
        <v>#N/A</v>
      </c>
      <c r="KC269" s="218" t="e">
        <f t="shared" ca="1" si="1008"/>
        <v>#N/A</v>
      </c>
      <c r="KD269" s="218" t="e">
        <f t="shared" ca="1" si="1009"/>
        <v>#N/A</v>
      </c>
      <c r="KE269" s="218" t="e">
        <f t="shared" ca="1" si="1010"/>
        <v>#N/A</v>
      </c>
      <c r="KF269" s="218" t="e">
        <f t="shared" ca="1" si="1011"/>
        <v>#N/A</v>
      </c>
      <c r="KG269" s="216" t="e">
        <f t="shared" ca="1" si="1012"/>
        <v>#N/A</v>
      </c>
      <c r="KH269" s="221" t="e">
        <f ca="1">IF(Control!$B$24=0,1,MAX(0.001,MIN(1,IF(($IF269-$IE269)&lt;&gt;0,($KG269-$IE269)/($IF269-$IE269),1))))</f>
        <v>#N/A</v>
      </c>
      <c r="KI269" s="222" t="e">
        <f ca="1">IF(Control!$C$114=1, $KI268+ $KH268, 0)</f>
        <v>#N/A</v>
      </c>
      <c r="KJ269" s="217" t="e">
        <f t="shared" ca="1" si="1013"/>
        <v>#N/A</v>
      </c>
      <c r="KK269" s="218" t="e">
        <f t="shared" ca="1" si="1014"/>
        <v>#N/A</v>
      </c>
      <c r="KL269" s="274" t="e">
        <f ca="1">IF(Control!$B$26=3,4000000000*EXP(-8400/($G269+273)),IF(Control!$B$26=4,4000000000*EXP(-8400/($G269+273))*($KT269),0))</f>
        <v>#DIV/0!</v>
      </c>
      <c r="KM269" s="274" t="e">
        <f ca="1">IF(Control!$B$26=3,5600000000000*EXP(-9800/($G269+273)),IF(Control!$B$26=4,5600000000000*EXP(-9800/($G269+273))*$KT269,0))</f>
        <v>#DIV/0!</v>
      </c>
      <c r="KN269" s="454" t="e">
        <f t="shared" ca="1" si="1112"/>
        <v>#DIV/0!</v>
      </c>
      <c r="KO269" s="274" t="e">
        <f t="shared" ca="1" si="1113"/>
        <v>#DIV/0!</v>
      </c>
      <c r="KP269" s="454" t="e">
        <f t="shared" ca="1" si="1015"/>
        <v>#DIV/0!</v>
      </c>
      <c r="KQ269" s="454" t="e">
        <f t="shared" ca="1" si="1016"/>
        <v>#DIV/0!</v>
      </c>
      <c r="KR269" s="454" t="e">
        <f t="shared" ca="1" si="1017"/>
        <v>#DIV/0!</v>
      </c>
      <c r="KS269" s="454" t="e">
        <f t="shared" ca="1" si="1018"/>
        <v>#DIV/0!</v>
      </c>
      <c r="KT269" s="455" t="e">
        <f t="shared" ca="1" si="1019"/>
        <v>#DIV/0!</v>
      </c>
      <c r="KU269" s="456" t="e">
        <f ca="1">IF($CP269-Control!$C$149&lt;0, IF($NT269-0.01&lt;0,0,1),0)</f>
        <v>#N/A</v>
      </c>
      <c r="KV269" s="456" t="e">
        <f ca="1">IF(Control!$C$114=1,MAX(0,MIN(Control!$C$125*$KW269*$GN269,$KW269)))</f>
        <v>#DIV/0!</v>
      </c>
      <c r="KW269" s="456" t="e">
        <f t="shared" ca="1" si="1146"/>
        <v>#DIV/0!</v>
      </c>
      <c r="KX269" s="457" t="e">
        <f ca="1">IF($CP269-Control!$C$149&lt;0, IF($MR269-$OM269&lt;0,0,1),0)</f>
        <v>#N/A</v>
      </c>
      <c r="KY269" s="167">
        <f t="shared" ca="1" si="1114"/>
        <v>265</v>
      </c>
      <c r="KZ269" s="168">
        <f ca="1">1370*(1+0.033*COS(2*Control!$C$138*$AH269/365))</f>
        <v>1363.2164722534442</v>
      </c>
      <c r="LA269" s="169">
        <f t="shared" ca="1" si="1115"/>
        <v>0.99504817185462646</v>
      </c>
      <c r="LB269" s="169">
        <f t="shared" ca="1" si="1116"/>
        <v>-1.2338484530469047E-2</v>
      </c>
      <c r="LC269" s="169">
        <f ca="1">ACOS(-TAN((2*Control!$B$8/360))*TAN(Calculations!$LB269))</f>
        <v>1.5671290962370161</v>
      </c>
      <c r="LD269" s="169">
        <f ca="1">((24*60)/PI())*0.082*$LA269*(($LC269*SIN(Control!$B$8*2*PI()/360))*SIN($LB269)+COS(Control!$B$8*2*PI()/360)*COS($LB269)*SIN($LC269))</f>
        <v>22.453930338528043</v>
      </c>
      <c r="LE269" s="170">
        <f t="shared" ca="1" si="1020"/>
        <v>22.684722959161242</v>
      </c>
      <c r="LF269" s="170">
        <f ca="1">SIN(Control!$C$139*Control!$B$8)*SIN($HD269)</f>
        <v>-6.7506823578774603E-3</v>
      </c>
      <c r="LG269" s="170">
        <f ca="1">COS(Control!$C$139*Control!$B$8)*COS($HD269)</f>
        <v>0.61563721125914739</v>
      </c>
      <c r="LH269" s="170">
        <f ca="1">12*(1+2*ASIN(MAX(-1,MIN(1,$LF269/$LG269))/Control!$C$138))</f>
        <v>11.916230861997512</v>
      </c>
      <c r="LI269" s="170">
        <f ca="1">12*(1+2*ASIN(MAX(-1,MIN(1,(-SIN(-4*Control!$C$139)+$LF269)/$LG269))/Control!$C$138))</f>
        <v>12.781976909714889</v>
      </c>
      <c r="LJ269" s="168">
        <f ca="1">3600*($LH269*$LF269+24*$LG269*SQRT(1-$LK269*$LK269)/Control!$C$138)</f>
        <v>16640.587478863577</v>
      </c>
      <c r="LK269" s="170">
        <f t="shared" ca="1" si="1021"/>
        <v>-1.0965357899777466E-2</v>
      </c>
      <c r="LL269" s="170">
        <f t="shared" ca="1" si="1022"/>
        <v>0</v>
      </c>
      <c r="LM269" s="171">
        <f ca="1">Control!$C$145*$AB269</f>
        <v>6.6660906138995932E-2</v>
      </c>
      <c r="LN269" s="170">
        <f t="shared" ca="1" si="1117"/>
        <v>0.54</v>
      </c>
      <c r="LO269" s="170">
        <f t="shared" ca="1" si="1023"/>
        <v>0</v>
      </c>
      <c r="LP269" s="170">
        <f ca="1">Control!$C$140*((($D269+273.16)^4+($E269+273.16)^4)/2)*(0.34-0.14*SQRT($Y269))*(1.35*$AQ269/(0.75*$LD269)-0.35)</f>
        <v>-3.2464704755046001</v>
      </c>
      <c r="LQ269" s="170">
        <f ca="1">Control!$C$140*($G269+273)^4*(0.56-0.079*SQRT($Y269*10))*(0.1+0.9*$LO269)</f>
        <v>1.5241745131704001</v>
      </c>
      <c r="LR269" s="170">
        <f ca="1">$AQ269*(1-Control!$C$142)-$LQ269</f>
        <v>-1.5241745131704001</v>
      </c>
      <c r="LS269" s="170">
        <f ca="1">$AQ269*(1-Control!$C$143)-$LQ269</f>
        <v>-1.5241745131704001</v>
      </c>
      <c r="LT269" s="170">
        <f ca="1">$AQ269*(1-Control!$C$144)-$LQ269</f>
        <v>-1.5241745131704001</v>
      </c>
      <c r="LU269" s="169">
        <f ca="1">(1-Control!$C$144)*AQ269-LP269</f>
        <v>3.2464704755046001</v>
      </c>
      <c r="LV269" s="172">
        <f t="shared" ca="1" si="1024"/>
        <v>0.79430000000000012</v>
      </c>
      <c r="LW269" s="170">
        <f t="shared" ca="1" si="1025"/>
        <v>1.5886000000000002</v>
      </c>
      <c r="LX269" s="170">
        <f ca="1">($AC269*($LR269/Control!$C$141)+$LM269*$LV269)/($AC269+$LM269)</f>
        <v>0.23530094218323697</v>
      </c>
      <c r="LY269" s="170">
        <f ca="1">($AC269*($LS269/Control!$C$141)+$LM269*$LV269)/($AC269+$LM269)</f>
        <v>0.23530094218323697</v>
      </c>
      <c r="LZ269" s="170">
        <f t="shared" ca="1" si="1026"/>
        <v>0.23530094218323697</v>
      </c>
      <c r="MA269" s="170">
        <f t="shared" ca="1" si="1027"/>
        <v>0.23530094218323697</v>
      </c>
      <c r="MB269" s="170" t="e">
        <f t="shared" ca="1" si="1028"/>
        <v>#N/A</v>
      </c>
      <c r="MC269" s="170">
        <f t="shared" ca="1" si="1118"/>
        <v>0.6018</v>
      </c>
      <c r="MD269" s="170">
        <f t="shared" ca="1" si="1029"/>
        <v>0.52989392535414004</v>
      </c>
      <c r="ME269" s="170">
        <f ca="1">($AC269*($LT269/Control!$C$141)+$LM269*$LW269)/($AC269+$LM269)</f>
        <v>0.71612369323045078</v>
      </c>
      <c r="MF269" s="170" t="e">
        <f ca="1">IF(Control!$B$16&gt;=1000,0.92,IF(AND(720&lt;=Control!$B$16,1000&gt;Control!$B$16),(0.95+(Control!$B$16-720)*((0.92-0.95)/(1000-720))),IF(AND(360&lt;=Control!$B$16,720&gt;Control!$B$16),(1+(Control!$B$16-360)*((0.95-1)/(720-360))),IF(AND(40&lt;=Control!$B$16,360&gt;Control!$B$16),(1.05+(Control!$B$16-40)*((1.05-1)/(360-40)))))))</f>
        <v>#N/A</v>
      </c>
      <c r="MG269" s="170">
        <f t="shared" ca="1" si="1030"/>
        <v>0.71612369323045078</v>
      </c>
      <c r="MH269" s="170" t="e">
        <f t="shared" ca="1" si="1155"/>
        <v>#N/A</v>
      </c>
      <c r="MI269" s="170" t="e">
        <f t="shared" ca="1" si="1155"/>
        <v>#N/A</v>
      </c>
      <c r="MJ269" s="170" t="e">
        <f ca="1">MAX(0.0001, Control!$C$132*$MI269*$DL269)</f>
        <v>#N/A</v>
      </c>
      <c r="MK269" s="170">
        <f ca="1">1/(0.76+1.5*($MG269/10))-(5-Control!$C$110)*0.1</f>
        <v>1.002845988140797</v>
      </c>
      <c r="ML269" s="173">
        <f ca="1">IF(Control!$C$110&lt;3,$MK269+($MG269-0.6)/(Control!$C$110*(Control!$C$110+3)), MAX(0.1, MIN(0.95,$MK269)))</f>
        <v>0.95</v>
      </c>
      <c r="MM269" s="173">
        <f ca="1">IF(Control!$C$110&lt;3,$MK269+(($MI269/10)-0.6)/(Control!$C$110*(Control!$C$110+3)), MAX(0.1, MIN(0.95,$MK269)))</f>
        <v>0.95</v>
      </c>
      <c r="MN269" s="173">
        <f ca="1">(1-$MM269)*(Control!$C$128-Control!$C$127)+Control!$C$127</f>
        <v>0.16</v>
      </c>
      <c r="MO269" s="170" t="e">
        <f ca="1">MAX(0,MIN(1,($MS269-Control!$C$127)/($MN269-Control!$C$127)))</f>
        <v>#DIV/0!</v>
      </c>
      <c r="MP269" s="173" t="e">
        <f ca="1">1/(0.76+1.5*$MI269)-(5-Control!$C$110)*0.1</f>
        <v>#N/A</v>
      </c>
      <c r="MQ269" s="172" t="e">
        <f t="shared" ca="1" si="1147"/>
        <v>#DIV/0!</v>
      </c>
      <c r="MR269" s="168" t="e">
        <f t="shared" ca="1" si="1119"/>
        <v>#DIV/0!</v>
      </c>
      <c r="MS269" s="173" t="e">
        <f ca="1">MAX(Control!$C$127, MIN(Control!$C$135, $MR269/MAX(0.0001,$CY269)))</f>
        <v>#DIV/0!</v>
      </c>
      <c r="MT269" s="168" t="e">
        <f ca="1">(Control!$C$128-$MS269)*Control!$C$74</f>
        <v>#DIV/0!</v>
      </c>
      <c r="MU269" s="168" t="e">
        <f ca="1">(Control!$C$135-$MS269)*Control!$C$74</f>
        <v>#DIV/0!</v>
      </c>
      <c r="MV269" s="168" t="e">
        <f t="shared" ca="1" si="1120"/>
        <v>#DIV/0!</v>
      </c>
      <c r="MW269" s="168" t="e">
        <f t="shared" ca="1" si="1121"/>
        <v>#DIV/0!</v>
      </c>
      <c r="MX269" s="171" t="e">
        <f ca="1">MAX(Control!$C$127, MIN(Control!$C$135, $MW269/MAX(0.0001,Control!$C$119-$CY269)))</f>
        <v>#DIV/0!</v>
      </c>
      <c r="MY269" s="54" t="e">
        <f ca="1">IF(Control!$C$114=1, $CX269*$MX269, 0)</f>
        <v>#DIV/0!</v>
      </c>
      <c r="MZ269" s="54" t="e">
        <f t="shared" ca="1" si="1122"/>
        <v>#N/A</v>
      </c>
      <c r="NA269" s="168" t="e">
        <f ca="1">(Control!$C$128-$MX269)*(Control!$C$119-Control!$C$74)</f>
        <v>#DIV/0!</v>
      </c>
      <c r="NB269" s="168" t="e">
        <f ca="1">(Control!$C$135-$MX269)*(Control!$C$119-Control!$C$74)</f>
        <v>#DIV/0!</v>
      </c>
      <c r="NC269" s="174" t="e">
        <f t="shared" ca="1" si="1123"/>
        <v>#DIV/0!</v>
      </c>
      <c r="ND269" s="54">
        <f ca="1">IF(Control!$C$58=2, IF(OR(Control!$B$218=$AH269,Control!$B$219=$AH269, Control!$B$220=$AH269, Control!$B$221=$AH269, Control!$B$222=$AH269, Control!$B$223=$AH269, Control!$B$224=$AH269, Control!$B$225=$AH269, Control!$B$226=$AH269, Control!$B$227=$AH269, Control!$B$228=$AH269), 1, 0), 0)</f>
        <v>0</v>
      </c>
      <c r="NE269" s="54">
        <f ca="1">IF($ND269=0,0, VLOOKUP($AH269,Control!$B$218:$C$228,2))</f>
        <v>0</v>
      </c>
      <c r="NF269" s="168" t="e">
        <f ca="1">$CY269*(Control!$C$128-Control!$C$127)</f>
        <v>#N/A</v>
      </c>
      <c r="NG269" s="54" t="e">
        <f ca="1">IF(Control!$C$58=2, $NI268-$NJ268, 0)</f>
        <v>#DIV/0!</v>
      </c>
      <c r="NH269" s="54" t="e">
        <f ca="1">IF(AND(Control!$C$58=1, $MS268&lt;= ($MN268+0.02), $I268&lt;10), 0, IF(Control!$C$58=2, $NG268, 0))</f>
        <v>#DIV/0!</v>
      </c>
      <c r="NI269" s="54" t="e">
        <f ca="1">IF(Control!$C$58=2, $NE269+$NH269,0)</f>
        <v>#DIV/0!</v>
      </c>
      <c r="NJ269" s="54" t="e">
        <f ca="1">IF(AND(Control!$C$58=1, $MS269&lt;= ($MN269+0.02), $I269&lt;10), MAX(0, MIN(10, 0.7*($NF269-$MV269))), IF(Control!$C$58=2, MIN(10,$NI269),0))</f>
        <v>#DIV/0!</v>
      </c>
      <c r="NK269" s="54" t="e">
        <f t="shared" ca="1" si="1031"/>
        <v>#DIV/0!</v>
      </c>
      <c r="NL269" s="173" t="e">
        <f ca="1">(1-Control!$C$73)*$I269+$NJ269</f>
        <v>#DIV/0!</v>
      </c>
      <c r="NM269" s="172" t="e">
        <f ca="1">IF($NL269&lt;0.5, $MB269* MAX(0, MIN(1, (SQRT($NC269)-SQRT($NC269-1))*Control!$C$71)),0)</f>
        <v>#DIV/0!</v>
      </c>
      <c r="NN269" s="170" t="e">
        <f ca="1">IF($NL269&gt;=5, $MB269, MAX(0,MIN($MB269, $NM269+$NL269,($MS269-Control!$C$129))))</f>
        <v>#DIV/0!</v>
      </c>
      <c r="NO269" s="54">
        <f>IF(Control!$C$133&lt;&gt;1, Control!$C$135-Control!$C$131, 0)</f>
        <v>0.38</v>
      </c>
      <c r="NP269" s="54" t="e">
        <f t="shared" ca="1" si="1032"/>
        <v>#DIV/0!</v>
      </c>
      <c r="NQ269" s="173" t="e">
        <f ca="1">MAX(0,MIN(1,(Control!$C$135-$MS269)/(Control!$C$135-$NO269)))</f>
        <v>#DIV/0!</v>
      </c>
      <c r="NR269" s="170" t="e">
        <f ca="1">IF(Control!$C$133&lt;&gt;1, $NQ269+((1-$NP269/4)*(1-$NQ269)),1)</f>
        <v>#DIV/0!</v>
      </c>
      <c r="NS269" s="170" t="e">
        <f ca="1">IF(Control!$B$31=0,$MJ269,MAX(0,MIN($MV269,$MO269*$NR269*$MJ269)))</f>
        <v>#DIV/0!</v>
      </c>
      <c r="NT269" s="170" t="e">
        <f t="shared" ca="1" si="1148"/>
        <v>#DIV/0!</v>
      </c>
      <c r="NU269" s="170" t="e">
        <f t="shared" ca="1" si="1124"/>
        <v>#N/A</v>
      </c>
      <c r="NV269" s="170" t="e">
        <f t="shared" ca="1" si="1033"/>
        <v>#N/A</v>
      </c>
      <c r="NW269" s="175" t="e">
        <f t="shared" ca="1" si="1034"/>
        <v>#DIV/0!</v>
      </c>
      <c r="NX269" s="170" t="e">
        <f ca="1">MIN(Control!$C$72+$MU269, $NW269)</f>
        <v>#DIV/0!</v>
      </c>
      <c r="NY269" s="170" t="e">
        <f ca="1">IF($MT269&lt;=$NX269,MIN(Control!$C$72+$NB269,$NX269-$MT269),0)</f>
        <v>#DIV/0!</v>
      </c>
      <c r="NZ269" s="54" t="e">
        <f ca="1">IF(Control!$C$114=1,  $CX269*($MX269-Control!$C$127), 0)</f>
        <v>#DIV/0!</v>
      </c>
      <c r="OA269" s="170" t="e">
        <f t="shared" ca="1" si="1035"/>
        <v>#DIV/0!</v>
      </c>
      <c r="OB269" s="170" t="e">
        <f ca="1">IF($NA269 &lt;=$NY269, MIN(Control!$C$72, $NY269-$NA269), 0)</f>
        <v>#DIV/0!</v>
      </c>
      <c r="OC269" s="168" t="e">
        <f t="shared" ca="1" si="1036"/>
        <v>#DIV/0!</v>
      </c>
      <c r="OD269" s="168" t="e">
        <f t="shared" ca="1" si="1125"/>
        <v>#DIV/0!</v>
      </c>
      <c r="OE269" s="170">
        <f ca="1">Control!$C$73*$I269</f>
        <v>0</v>
      </c>
      <c r="OF269" s="176" t="e">
        <f t="shared" ca="1" si="1037"/>
        <v>#DIV/0!</v>
      </c>
      <c r="OG269" s="168" t="e">
        <f t="shared" ca="1" si="1038"/>
        <v>#DIV/0!</v>
      </c>
      <c r="OH269" s="168" t="e">
        <f t="shared" ca="1" si="1039"/>
        <v>#DIV/0!</v>
      </c>
      <c r="OI269" s="168" t="e">
        <f t="shared" ca="1" si="1040"/>
        <v>#DIV/0!</v>
      </c>
      <c r="OJ269" s="168" t="e">
        <f t="shared" ca="1" si="1041"/>
        <v>#DIV/0!</v>
      </c>
      <c r="OK269" s="204" t="e">
        <f t="shared" ca="1" si="1042"/>
        <v>#DIV/0!</v>
      </c>
      <c r="OL269" s="177">
        <f>Control!$C$127</f>
        <v>0.15</v>
      </c>
      <c r="OM269" s="182" t="e">
        <f t="shared" ca="1" si="1043"/>
        <v>#N/A</v>
      </c>
      <c r="ON269" s="177">
        <f>Control!$C$128</f>
        <v>0.35</v>
      </c>
      <c r="OO269" s="182" t="e">
        <f t="shared" ca="1" si="1044"/>
        <v>#N/A</v>
      </c>
      <c r="OP269" s="138">
        <f t="shared" ca="1" si="1126"/>
        <v>0</v>
      </c>
      <c r="OQ269" s="138" t="e">
        <f t="shared" ca="1" si="1149"/>
        <v>#DIV/0!</v>
      </c>
      <c r="OR269" s="138" t="e">
        <f t="shared" ca="1" si="1127"/>
        <v>#DIV/0!</v>
      </c>
      <c r="OS269" s="137" t="e">
        <f t="shared" ca="1" si="1150"/>
        <v>#DIV/0!</v>
      </c>
      <c r="OT269" s="139" t="e">
        <f t="shared" ca="1" si="1151"/>
        <v>#DIV/0!</v>
      </c>
      <c r="OU269" s="138" t="e">
        <f t="shared" ca="1" si="1152"/>
        <v>#N/A</v>
      </c>
      <c r="OV269" s="138" t="e">
        <f t="shared" ca="1" si="1153"/>
        <v>#DIV/0!</v>
      </c>
      <c r="OW269" s="138" t="e">
        <f t="shared" ca="1" si="1128"/>
        <v>#DIV/0!</v>
      </c>
      <c r="OX269" s="138" t="e">
        <f t="shared" ca="1" si="1129"/>
        <v>#DIV/0!</v>
      </c>
      <c r="OY269" s="138" t="e">
        <f t="shared" ca="1" si="1130"/>
        <v>#DIV/0!</v>
      </c>
      <c r="OZ269" s="138" t="e">
        <f t="shared" ca="1" si="1045"/>
        <v>#DIV/0!</v>
      </c>
      <c r="PA269" s="138" t="e">
        <f t="shared" ca="1" si="1046"/>
        <v>#DIV/0!</v>
      </c>
      <c r="PB269" s="55">
        <f>IF(Control!$C$61="T", IF(Control!$C$65="F", IF($AH$6-Control!$C$60&lt;0,0,1), IF(365+$AH$6-Control!$C$60&lt;0,0,1)),0)</f>
        <v>0</v>
      </c>
      <c r="PC269" s="55">
        <f ca="1">IF(Control!$C$65="F", IF($AH$6-$HF269&lt;0,0,1), IF(365+$AH$6-$HF269&lt;0,0,1))</f>
        <v>1</v>
      </c>
      <c r="PD269" s="444">
        <f>Control!$C$118</f>
        <v>1500</v>
      </c>
      <c r="PE269" s="180" t="e">
        <f t="shared" ca="1" si="1047"/>
        <v>#N/A</v>
      </c>
      <c r="PF269" s="445">
        <f t="shared" ca="1" si="1131"/>
        <v>0.71612369323045078</v>
      </c>
      <c r="PT269" s="186"/>
      <c r="PU269" s="186"/>
      <c r="PV269" s="94"/>
      <c r="PW269" s="94"/>
      <c r="PX269" s="94"/>
      <c r="PY269" s="94"/>
      <c r="PZ269" s="94"/>
      <c r="QA269" s="94"/>
      <c r="QB269" s="94"/>
      <c r="QC269" s="94"/>
      <c r="QD269" s="94"/>
      <c r="QE269" s="94"/>
      <c r="QF269" s="94"/>
      <c r="QG269" s="94"/>
      <c r="QH269" s="94"/>
      <c r="QI269" s="94"/>
      <c r="QJ269" s="94"/>
      <c r="QK269" s="94"/>
      <c r="QL269" s="94"/>
      <c r="QM269" s="94"/>
      <c r="QN269" s="94"/>
      <c r="QO269" s="94"/>
      <c r="QP269" s="94"/>
    </row>
    <row r="270" spans="1:458" s="2" customFormat="1" x14ac:dyDescent="0.2">
      <c r="A270" s="395">
        <v>22</v>
      </c>
      <c r="B270" s="396">
        <v>9</v>
      </c>
      <c r="C270" s="387">
        <f ca="1">Weather_data!$B269</f>
        <v>0</v>
      </c>
      <c r="D270" s="388">
        <f ca="1">Weather_data!$F269</f>
        <v>0</v>
      </c>
      <c r="E270" s="388">
        <f ca="1">Weather_data!$E269</f>
        <v>0</v>
      </c>
      <c r="F270" s="388">
        <f t="shared" ca="1" si="1048"/>
        <v>0</v>
      </c>
      <c r="G270" s="388">
        <f ca="1">AVERAGE($D270:$E270)+Control!$B$9</f>
        <v>0</v>
      </c>
      <c r="H270" s="388">
        <f ca="1">Weather_data!$G269</f>
        <v>0</v>
      </c>
      <c r="I270" s="388">
        <f ca="1">Weather_data!$I269</f>
        <v>0</v>
      </c>
      <c r="J270" s="388">
        <f ca="1">Weather_data!$H269</f>
        <v>0</v>
      </c>
      <c r="K270" s="389">
        <f ca="1">Weather_data!$D269</f>
        <v>0</v>
      </c>
      <c r="L270" s="388" t="e">
        <f t="shared" ca="1" si="1049"/>
        <v>#N/A</v>
      </c>
      <c r="M270" s="388" t="e">
        <f t="shared" ca="1" si="927"/>
        <v>#N/A</v>
      </c>
      <c r="N270" s="388">
        <f t="shared" ca="1" si="928"/>
        <v>-4.1590342450796863E-13</v>
      </c>
      <c r="O270" s="388">
        <f t="shared" ca="1" si="1050"/>
        <v>4.1590342450796865E-12</v>
      </c>
      <c r="P270" s="390">
        <v>3</v>
      </c>
      <c r="Q270" s="388">
        <f ca="1">MAX($G270-Control!$C$107,0)</f>
        <v>0</v>
      </c>
      <c r="R270" s="388">
        <f t="shared" ca="1" si="1051"/>
        <v>0</v>
      </c>
      <c r="S270" s="388">
        <f t="shared" ca="1" si="929"/>
        <v>0</v>
      </c>
      <c r="T270" s="388">
        <f t="shared" ca="1" si="930"/>
        <v>0</v>
      </c>
      <c r="U270" s="59">
        <f t="shared" ca="1" si="931"/>
        <v>0</v>
      </c>
      <c r="V270" s="391">
        <f ca="1">MAX(0,MIN(Control!$C$100-Control!$C$99,$G270-Control!$C$99)*Control!$C$63)</f>
        <v>0</v>
      </c>
      <c r="W270" s="388">
        <f t="shared" ca="1" si="1052"/>
        <v>0</v>
      </c>
      <c r="X270" s="388">
        <f t="shared" ca="1" si="1053"/>
        <v>0.6110000000000001</v>
      </c>
      <c r="Y270" s="388">
        <f t="shared" ca="1" si="932"/>
        <v>0</v>
      </c>
      <c r="Z270" s="388">
        <f t="shared" ca="1" si="1054"/>
        <v>0.61058800000000002</v>
      </c>
      <c r="AA270" s="388">
        <f t="shared" ca="1" si="933"/>
        <v>0.6018</v>
      </c>
      <c r="AB270" s="388">
        <f ca="1">101.3*EXP(-0.034*Control!$C$66/($G270+273))</f>
        <v>100.69623283836242</v>
      </c>
      <c r="AC270" s="392">
        <f t="shared" ca="1" si="934"/>
        <v>4.3460251046025113E-2</v>
      </c>
      <c r="AD270" s="392">
        <f t="shared" ca="1" si="935"/>
        <v>4.4450382862832649E-2</v>
      </c>
      <c r="AE270" s="388">
        <f t="shared" ca="1" si="936"/>
        <v>0</v>
      </c>
      <c r="AF270" s="388">
        <f ca="1">MAX(0,$G270-Control!$C$92)</f>
        <v>0</v>
      </c>
      <c r="AG270" s="393">
        <f t="shared" ca="1" si="937"/>
        <v>266</v>
      </c>
      <c r="AH270" s="389">
        <f t="shared" ca="1" si="938"/>
        <v>266</v>
      </c>
      <c r="AI270" s="388">
        <f t="shared" ca="1" si="1055"/>
        <v>-1.5414541087466774E-2</v>
      </c>
      <c r="AJ270" s="388">
        <f ca="1">IF(Control!$C$60&lt;=0,$HH270,$HI270)</f>
        <v>1</v>
      </c>
      <c r="AK270" s="388">
        <f t="shared" ca="1" si="939"/>
        <v>3.2018423757134329</v>
      </c>
      <c r="AL270" s="388">
        <f t="shared" ca="1" si="940"/>
        <v>-2.8855494382806767E-18</v>
      </c>
      <c r="AM270" s="388">
        <f t="shared" ca="1" si="941"/>
        <v>3.2018423757134329</v>
      </c>
      <c r="AN270" s="388">
        <f t="shared" ca="1" si="942"/>
        <v>-2.3955132772756307E-2</v>
      </c>
      <c r="AO270" s="388">
        <f ca="1">-0.10453/COS(Control!$B$8*PI()/180)*COS(AN270)</f>
        <v>-0.16973615117470392</v>
      </c>
      <c r="AP270" s="388">
        <f ca="1">ACOS(AO270-TAN(Control!$B$8*PI()/180)*TAN(AN270))</f>
        <v>1.710317657954086</v>
      </c>
      <c r="AQ270" s="388">
        <f t="shared" ca="1" si="1056"/>
        <v>0</v>
      </c>
      <c r="AR270" s="394">
        <f t="shared" ca="1" si="943"/>
        <v>0</v>
      </c>
      <c r="AS270" s="436">
        <f ca="1">IF(Control!$B$18=2,(IF(OR($AH270=Control!$B$175,$AH270=Control!$B$176,$AH270=Control!$B$177,$AH270=Control!$B$178,$AH270=Control!$B$179,$AH270=Control!$B$180,$AH270=Control!$B$181,$AH270=Control!$B$182,$AH270=Control!$B$183,$AH270=Control!$B$184,$AH270=Control!$B$185),1,0)),0)</f>
        <v>0</v>
      </c>
      <c r="AT270" s="436">
        <f>IF(Control!$B$20=8,IF(AND($AH270&gt;=Control!$B$172,$AH270&lt;=Control!$B$173),1,0),0)</f>
        <v>0</v>
      </c>
      <c r="AU270" s="436">
        <f>IF(Control!$B$20=8,IF($AV269=1,1*$AT270,IF($AT270=1,$AU269+1,$AU269)),0)</f>
        <v>0</v>
      </c>
      <c r="AV270" s="436">
        <f>IF(Control!$B$20=8,IF($AU270&gt;=Control!$B$174,1,0),0)</f>
        <v>0</v>
      </c>
      <c r="AW270" s="436">
        <f ca="1">IF(AND(Control!$B$18=2,Control!$B$171=1), $AV270, $AS270)</f>
        <v>0</v>
      </c>
      <c r="AX270" s="436" t="e">
        <f ca="1">IF(AND(Control!$B$18=1,$EU270&gt;=Control!$B$19),-$AY270,IF(AND(Control!$B$18=2,$AW270=1,$EU270&gt;$DS270),-$AY270, IF(Control!$C$108=0,0, IF(Control!$C$108&lt;&gt;0,1))))</f>
        <v>#N/A</v>
      </c>
      <c r="AY270" s="436" t="e">
        <f t="shared" ca="1" si="1057"/>
        <v>#N/A</v>
      </c>
      <c r="AZ270" s="436" t="e">
        <f ca="1">IF(AND(Control!$B$18=1,$EB270&gt;Control!$B$19),$AZ269+1, IF(AND(Control!$B$18=2, $AW270=1, $EB270&gt;$DS270), $AZ269+1,$AZ269))</f>
        <v>#N/A</v>
      </c>
      <c r="BA270" s="587">
        <f>IF(Control!$C$81=0,1,IF($AH270&gt;=Control!$C$82,1,0))</f>
        <v>1</v>
      </c>
      <c r="BB270" s="140" t="e">
        <f ca="1">IF($BA270&gt;$BA269,Control!$C$83,IF($AW270&gt;0,$AW270*Control!$C$84,IF(AND(Control!$B$18=1,EN269&lt;&gt;0),Control!$C$84,0)))</f>
        <v>#N/A</v>
      </c>
      <c r="BC270" s="140" t="e">
        <f t="shared" ca="1" si="1058"/>
        <v>#N/A</v>
      </c>
      <c r="BD270" s="140" t="e">
        <f ca="1">BC270*IF(OR($G270&lt;Control!$C$92,$G270&gt;Control!$C$95),0,IF(AND($G270&gt;=Control!$C$92,$G270&lt;=Control!$C$93),$G270-Control!$C$92,IF(AND($G270&gt;Control!$C$93,$G270&lt;=Control!$C$94),Control!$C$93-Control!$C$92,IF(AND($G270&gt;Control!$C$94,$G270&lt;=Control!$C$95),(Control!$C$93-Control!$C$92)*(Control!$C$94-$G270)/(Control!$C$95-Control!$C$94)))))</f>
        <v>#N/A</v>
      </c>
      <c r="BE270" s="140" t="e">
        <f t="shared" ca="1" si="1059"/>
        <v>#N/A</v>
      </c>
      <c r="BF270" s="140" t="e">
        <f ca="1">IF($BE270&lt;=Control!$C$86,$BE270,Control!$C$86-$BE270)</f>
        <v>#N/A</v>
      </c>
      <c r="BG270" s="140" t="e">
        <f ca="1">IF(AND($AW270=1,Control!$C$84&lt;9),1,IF($BE270&gt;=Control!$C$86,0,$BC270))</f>
        <v>#N/A</v>
      </c>
      <c r="BH270" s="404" t="e">
        <f ca="1">IF($BG270=0,0,IF($BE270&lt;=Control!$C$86,$BC270*9*($BF270/Control!$C$86),0))</f>
        <v>#N/A</v>
      </c>
      <c r="BI270" s="140" t="e">
        <f ca="1">IF($BG270=1,0,IF($BE270&gt;=Control!$C$86,1,IF(AND($BB270&lt;21,$BB270&gt;=9),1,$BM269)))</f>
        <v>#N/A</v>
      </c>
      <c r="BJ270" s="140" t="e">
        <f ca="1">IF($BF270&lt;0,-$BF270,$BI270*IF(OR($G270&lt;Control!$C$92,$G270&gt;Control!$C$95),0,IF(AND($G270&gt;=Control!$C$92,$G270&lt;=Control!$C$93),$G270-Control!$C$92,IF(AND($G270&gt;Control!$C$93,$G270&lt;=Control!$C$94),Control!$C$93-Control!$C$92,IF(AND($G270&gt;Control!$C$94,$G270&lt;=Control!$C$95),(Control!$C$93-Control!$C$92)*(Control!$C$94-$G270)/(Control!$C$95-Control!$C$94))))))</f>
        <v>#N/A</v>
      </c>
      <c r="BK270" s="140" t="e">
        <f t="shared" ca="1" si="1060"/>
        <v>#N/A</v>
      </c>
      <c r="BL270" s="140" t="e">
        <f ca="1">IF($BK270&lt;=Control!$C$87,$BK270,Control!$C$87-$BK270)</f>
        <v>#N/A</v>
      </c>
      <c r="BM270" s="140" t="e">
        <f ca="1">IF(AND($BB270&gt;=9,$BB270&lt;21),1,IF($BK270&gt;=Control!$C$87,0,$BI270))</f>
        <v>#N/A</v>
      </c>
      <c r="BN270" s="404" t="e">
        <f ca="1">IF($BM270=0,0,IF($BK270&lt;=Control!$C$87,$BI270*(9+(21-9)*($BL270/Control!$C$87)),0))</f>
        <v>#N/A</v>
      </c>
      <c r="BO270" s="140" t="e">
        <f ca="1">IF($BM270=1,0,IF($BK270&gt;=Control!$C$87,1,IF(AND($BB270&lt;30,$BB270&gt;=21),1,$BS269)))</f>
        <v>#N/A</v>
      </c>
      <c r="BP270" s="140" t="e">
        <f ca="1">IF($BL270&lt;0,-$BL270,$BO270*IF(OR($G270&lt;Control!$C$92,$G270&gt;Control!$C$95),0,IF(AND($G270&gt;=Control!$C$92,$G270&lt;=Control!$C$93),$G270-Control!$C$92,IF(AND($G270&gt;Control!$C$93,$G270&lt;=Control!$C$94),Control!$C$93-Control!$C$92,IF(AND($G270&gt;Control!$C$94,$G270&lt;=Control!$C$95),(Control!$C$93-Control!$C$92)*(Control!$C$94-$G270)/(Control!$C$95-Control!$C$94))))))</f>
        <v>#N/A</v>
      </c>
      <c r="BQ270" s="140" t="e">
        <f t="shared" ca="1" si="944"/>
        <v>#N/A</v>
      </c>
      <c r="BR270" s="140" t="e">
        <f ca="1">IF($BQ270&lt;=Control!$C$88,$BQ270,Control!$C$88-$BQ270)</f>
        <v>#N/A</v>
      </c>
      <c r="BS270" s="140" t="e">
        <f ca="1">IF(AND($BB270&gt;=21,$BB270&lt;30),1,IF($BQ270&gt;=Control!$C$88,0,$BO270))</f>
        <v>#N/A</v>
      </c>
      <c r="BT270" s="404" t="e">
        <f ca="1">IF($BS270=0,0,IF($BQ270&lt;=Control!$C$88,$BO270*(21+(30-21)*(BR270/Control!$C$88)),0))</f>
        <v>#N/A</v>
      </c>
      <c r="BU270" s="140" t="e">
        <f ca="1">IF(BG270+BM270+BS270=1,0,IF(OR(AND($BB270&lt;60,$BB270&gt;=30),$BQ270&gt;=Control!$C$88),1*$BA270,$BY269))</f>
        <v>#N/A</v>
      </c>
      <c r="BV270" s="140" t="e">
        <f ca="1">IF($BR270&lt;0,-$BR270,$BU270*IF(OR($G270&lt;Control!$C$92,$G270&gt;Control!$C$95),0,IF(AND($G270&gt;=Control!$C$92,$G270&lt;=Control!$C$93),$G270-Control!$C$92,IF(AND($G270&gt;Control!$C$93,$G270&lt;=Control!$C$94),Control!$C$93-Control!$C$92,IF(AND($G270&gt;Control!$C$94,$G270&lt;=Control!$C$95),(Control!$C$93-Control!$C$92)*(Control!$C$94-$G270)/(Control!$C$95-Control!$C$94))))))</f>
        <v>#N/A</v>
      </c>
      <c r="BW270" s="140" t="e">
        <f t="shared" ca="1" si="945"/>
        <v>#N/A</v>
      </c>
      <c r="BX270" s="140" t="e">
        <f ca="1">IF($BW270&lt;=Control!$C$89,$BW270,Control!$C$89-$BW270)</f>
        <v>#N/A</v>
      </c>
      <c r="BY270" s="140" t="e">
        <f ca="1">IF(AND($AJ270&gt;=30,$AJ270&lt;60),1,IF($BW270&gt;=Control!$C$89,0,$BU270))</f>
        <v>#N/A</v>
      </c>
      <c r="BZ270" s="404" t="e">
        <f ca="1">IF($BY270=0,0,IF($BW270&lt;=Control!$C$89,$BU270*(30+(60-30)*(BX270/Control!$C$89)),0))</f>
        <v>#N/A</v>
      </c>
      <c r="CA270" s="140" t="e">
        <f ca="1">IF($BG270+$BM270+$BS270+$BY270=1,0,IF(OR(AND($BB270&lt;65,$BB270&gt;=60),$BW270&gt;=Control!$C$89),1*$BA270,$CE269))</f>
        <v>#N/A</v>
      </c>
      <c r="CB270" s="140" t="e">
        <f ca="1">IF($BX270&lt;0,-$BX270,$CA270*IF(OR($G270&lt;Control!$C$92,$G270&gt;Control!$C$95),0,IF(AND($G270&gt;=Control!$C$92,$G270&lt;=Control!$C$93),$G270-Control!$C$92,IF(AND($G270&gt;Control!$C$93,$G270&lt;=Control!$C$94),Control!$C$93-Control!$C$92,IF(AND($G270&gt;Control!$C$94,$G270&lt;=Control!$C$95),(Control!$C$93-Control!$C$92)*(Control!$C$94-$G270)/(Control!$C$95-Control!$C$94))))))</f>
        <v>#N/A</v>
      </c>
      <c r="CC270" s="140" t="e">
        <f t="shared" ca="1" si="1061"/>
        <v>#N/A</v>
      </c>
      <c r="CD270" s="140" t="e">
        <f ca="1">IF($CC270&lt;=Control!$C$90,$CC270,Control!$C$90-$CC270)</f>
        <v>#N/A</v>
      </c>
      <c r="CE270" s="140" t="e">
        <f ca="1">IF(AND($BB270&gt;=60,$BB270&lt;65),1,IF($CC270&gt;=Control!$C$90,0,$CA270))</f>
        <v>#N/A</v>
      </c>
      <c r="CF270" s="404" t="e">
        <f ca="1">IF($CE270=0,0,IF($CC270&lt;=Control!$C$90,$CA270*(60+(65-60)*(CD270/Control!$C$90)),0))</f>
        <v>#N/A</v>
      </c>
      <c r="CG270" s="140" t="e">
        <f ca="1">IF($BG270+$BM270+$BS270+$BY270+$CE270=1,0,IF(OR(AND($BB270&lt;90,$BB270&gt;=65),$CC270&gt;=Control!$C$90),$BA270,$CK269))</f>
        <v>#N/A</v>
      </c>
      <c r="CH270" s="140" t="e">
        <f ca="1">IF($CD270&lt;0,-$CD270,$CG270*IF(OR($G270&lt;Control!$C$92,$G270&gt;Control!$C$95),0,IF(AND($G270&gt;=Control!$C$92,$G270&lt;=Control!$C$93),$G270-Control!$C$92,IF(AND($G270&gt;Control!$C$93,$G270&lt;=Control!$C$94),Control!$C$93-Control!$C$92,IF(AND($G270&gt;Control!$C$94,$G270&lt;=Control!$C$95),(Control!$C$93-Control!$C$92)*(Control!$C$94-$G270)/(Control!$C$95-Control!$C$94))))))</f>
        <v>#N/A</v>
      </c>
      <c r="CI270" s="140" t="e">
        <f t="shared" ca="1" si="1062"/>
        <v>#N/A</v>
      </c>
      <c r="CJ270" s="140" t="e">
        <f ca="1">IF($CI270&lt;=Control!$C$91,$CI270,Control!$C$91-$CI270)</f>
        <v>#N/A</v>
      </c>
      <c r="CK270" s="140" t="e">
        <f ca="1">IF(AND($BB270&gt;=65,$BB270&lt;90),1,IF($CI270&gt;=Control!$C$91,0,$CG270))</f>
        <v>#N/A</v>
      </c>
      <c r="CL270" s="404" t="e">
        <f ca="1">IF($CK270=0,0,IF($CI270&lt;=Control!$C$91,$CG270*(65+(90-65)*($CJ270/Control!$C$91)),0))</f>
        <v>#N/A</v>
      </c>
      <c r="CM270" s="140" t="e">
        <f ca="1">IF($BG270+$BM270+$BS270+$BY270+$CE270+$CK270=1,0,IF(OR($BB270&gt;=90,$CI270&gt;=Control!$C$91),$BA270,$CM269))</f>
        <v>#N/A</v>
      </c>
      <c r="CN270" s="140" t="e">
        <f t="shared" ca="1" si="1063"/>
        <v>#N/A</v>
      </c>
      <c r="CO270" s="140" t="e">
        <f t="shared" ca="1" si="1064"/>
        <v>#N/A</v>
      </c>
      <c r="CP270" s="140" t="e">
        <f t="shared" ca="1" si="1065"/>
        <v>#N/A</v>
      </c>
      <c r="CQ270" s="141" t="e">
        <f ca="1">VLOOKUP($CP270,Control!$B$86:$G$91,6)</f>
        <v>#N/A</v>
      </c>
      <c r="CR270" s="141" t="e">
        <f ca="1">(1-$CQ270)*VLOOKUP($CP270,Control!$B$86:$D$91,3)</f>
        <v>#N/A</v>
      </c>
      <c r="CS270" s="141" t="e">
        <f ca="1">(1-$CQ270)*VLOOKUP($CP270,Control!$B$86:$E$91,4)</f>
        <v>#N/A</v>
      </c>
      <c r="CT270" s="141" t="e">
        <f ca="1">(1-$CQ270)*VLOOKUP($CP270,Control!$B$86:$F$91,5)</f>
        <v>#N/A</v>
      </c>
      <c r="CU270" s="141">
        <f t="shared" ca="1" si="1066"/>
        <v>0</v>
      </c>
      <c r="CV270" s="583">
        <f t="shared" ca="1" si="1067"/>
        <v>0</v>
      </c>
      <c r="CW270" s="142">
        <f t="shared" ca="1" si="1068"/>
        <v>266</v>
      </c>
      <c r="CX270" s="612" t="e">
        <f ca="1">IF(Control!$C$114=1,(MIN(Control!$C$120*(IF($NT270-0.01&lt;0,0,1)),Control!$C$119-$CY270)))</f>
        <v>#DIV/0!</v>
      </c>
      <c r="CY270" s="143" t="e">
        <f t="shared" ca="1" si="1069"/>
        <v>#N/A</v>
      </c>
      <c r="CZ270" s="144">
        <f t="shared" ca="1" si="946"/>
        <v>0</v>
      </c>
      <c r="DA270" s="144">
        <f t="shared" ca="1" si="947"/>
        <v>0</v>
      </c>
      <c r="DB270" s="144" t="e">
        <f t="shared" ca="1" si="948"/>
        <v>#N/A</v>
      </c>
      <c r="DC270" s="144" t="e">
        <f t="shared" ca="1" si="949"/>
        <v>#N/A</v>
      </c>
      <c r="DD270" s="144" t="e">
        <f t="shared" ca="1" si="1154"/>
        <v>#N/A</v>
      </c>
      <c r="DE270" s="143" t="e">
        <f t="shared" ca="1" si="1070"/>
        <v>#N/A</v>
      </c>
      <c r="DF270" s="145" t="e">
        <f ca="1">$DR270*EXP(-Control!$C$158*(1-$KH270))</f>
        <v>#N/A</v>
      </c>
      <c r="DG270" s="146" t="e">
        <f ca="1">IF(Control!$C$114=1, $DF270*$EY270, 0)</f>
        <v>#N/A</v>
      </c>
      <c r="DH270" s="147" t="e">
        <f t="shared" ca="1" si="1071"/>
        <v>#N/A</v>
      </c>
      <c r="DI270" s="144" t="e">
        <f t="shared" ca="1" si="1132"/>
        <v>#N/A</v>
      </c>
      <c r="DJ270" s="147" t="e">
        <f ca="1">$EF270*Control!$C$109</f>
        <v>#N/A</v>
      </c>
      <c r="DK270" s="144" t="e">
        <f t="shared" ca="1" si="1072"/>
        <v>#N/A</v>
      </c>
      <c r="DL270" s="144" t="e">
        <f t="shared" ca="1" si="950"/>
        <v>#N/A</v>
      </c>
      <c r="DM270" s="144" t="e">
        <f ca="1">IF(Control!$C$114=1, (1-EXP(-Control!$C$96*$DK270))*$AR270, 0)</f>
        <v>#N/A</v>
      </c>
      <c r="DN270" s="144">
        <f t="shared" ca="1" si="1073"/>
        <v>0</v>
      </c>
      <c r="DO270" s="148">
        <f>Control!$C$97</f>
        <v>4</v>
      </c>
      <c r="DP270" s="145" t="e">
        <f t="shared" ca="1" si="1074"/>
        <v>#N/A</v>
      </c>
      <c r="DQ270" s="145" t="e">
        <f ca="1">IF(AND($CP270&gt;=0,$CP270&lt;=90),Control!$C$111,Control!$C$111)</f>
        <v>#N/A</v>
      </c>
      <c r="DR270" s="145" t="e">
        <f t="shared" ca="1" si="951"/>
        <v>#N/A</v>
      </c>
      <c r="DS270" s="143" t="e">
        <f ca="1">Control!$B$22/$DR270</f>
        <v>#N/A</v>
      </c>
      <c r="DT270" s="149" t="e">
        <f ca="1">IF(AND(Control!$C$114=1,$KH270&lt;1),$IM270*$DF270, 0)</f>
        <v>#N/A</v>
      </c>
      <c r="DU270" s="144" t="e">
        <f t="shared" ca="1" si="1075"/>
        <v>#N/A</v>
      </c>
      <c r="DV270" s="144">
        <f ca="1">IF($G270-Control!$C$107&lt;=0, 0, 0.83*LN(MAX($G270, 3))-0.8924)</f>
        <v>0</v>
      </c>
      <c r="DW270" s="144" t="e">
        <f t="shared" ca="1" si="952"/>
        <v>#N/A</v>
      </c>
      <c r="DX270" s="150" t="e">
        <f ca="1">MAX(0.01*(1+$CU270/Control!$C$102),0.05*($DK270-Control!$C$97)/Control!$C$97)</f>
        <v>#N/A</v>
      </c>
      <c r="DY270" s="151" t="e">
        <f ca="1">IF(Control!$C$114=1, $DI270*$FS270, 0)</f>
        <v>#N/A</v>
      </c>
      <c r="DZ270" s="196" t="e">
        <f t="shared" ca="1" si="1076"/>
        <v>#N/A</v>
      </c>
      <c r="EA270" s="152">
        <f t="shared" ca="1" si="1077"/>
        <v>266</v>
      </c>
      <c r="EB270" s="153" t="e">
        <f t="shared" ca="1" si="1078"/>
        <v>#N/A</v>
      </c>
      <c r="EC270" s="153" t="e">
        <f t="shared" ca="1" si="1079"/>
        <v>#N/A</v>
      </c>
      <c r="ED270" s="154" t="e">
        <f ca="1">IF(Control!$C$114=1, $HM270*$FY270-$FD270, 0)</f>
        <v>#DIV/0!</v>
      </c>
      <c r="EE270" s="155" t="e">
        <f ca="1">IF(Control!$C$114=1, $HM270*$FZ270-$FF270, 0)</f>
        <v>#DIV/0!</v>
      </c>
      <c r="EF270" s="153" t="e">
        <f t="shared" ca="1" si="1133"/>
        <v>#N/A</v>
      </c>
      <c r="EG270" s="155" t="e">
        <f ca="1">IF(Control!$C$114=1, $GX270*$FW270-$FI270, 0)</f>
        <v>#DIV/0!</v>
      </c>
      <c r="EH270" s="153" t="e">
        <f t="shared" ca="1" si="1080"/>
        <v>#N/A</v>
      </c>
      <c r="EI270" s="156" t="e">
        <f t="shared" ca="1" si="1081"/>
        <v>#N/A</v>
      </c>
      <c r="EJ270" s="155" t="e">
        <f ca="1">IF(Control!$C$114=1, $HM270*$GB270, 0)</f>
        <v>#DIV/0!</v>
      </c>
      <c r="EK270" s="153" t="e">
        <f t="shared" ca="1" si="1134"/>
        <v>#N/A</v>
      </c>
      <c r="EL270" s="153" t="e">
        <f t="shared" ca="1" si="953"/>
        <v>#N/A</v>
      </c>
      <c r="EM270" s="153" t="e">
        <f t="shared" ca="1" si="954"/>
        <v>#N/A</v>
      </c>
      <c r="EN270" s="153" t="e">
        <f ca="1">IF(Control!$C$108=1,IF(AND(Control!$B$18=1,$EB270&gt;=Control!$B$19),$EB270-$DS270,IF(AND(Control!$B$18=2,$AW270=1,$EB270&gt;$DS270),$EB270-$DS270,0)))</f>
        <v>#N/A</v>
      </c>
      <c r="EO270" s="153" t="e">
        <f ca="1">IF(Control!$C$108=1,IF(AND(Control!$B$18=1,$EB270&gt;=Control!$B$19),$EF270,IF(AND(Control!$B$18=2,$AW270=1),$EF270,0)))</f>
        <v>#N/A</v>
      </c>
      <c r="EP270" s="153" t="e">
        <f ca="1">IF(Control!$C$108=1,IF(AND(Control!$B$18=1,$EB270&gt;=Control!$B$19),$EK270,IF(AND(Control!$B$18=2,$AW270=1),$EK270,0)))</f>
        <v>#N/A</v>
      </c>
      <c r="EQ270" s="153" t="e">
        <f t="shared" ca="1" si="1082"/>
        <v>#N/A</v>
      </c>
      <c r="ER270" s="153" t="e">
        <f t="shared" ca="1" si="1083"/>
        <v>#N/A</v>
      </c>
      <c r="ES270" s="153" t="e">
        <f t="shared" ca="1" si="1135"/>
        <v>#N/A</v>
      </c>
      <c r="ET270" s="153" t="e">
        <f t="shared" ca="1" si="1136"/>
        <v>#N/A</v>
      </c>
      <c r="EU270" s="153" t="e">
        <f t="shared" ca="1" si="1084"/>
        <v>#N/A</v>
      </c>
      <c r="EV270" s="153" t="e">
        <f t="shared" ca="1" si="955"/>
        <v>#N/A</v>
      </c>
      <c r="EW270" s="153" t="e">
        <f t="shared" ca="1" si="956"/>
        <v>#N/A</v>
      </c>
      <c r="EX270" s="153" t="e">
        <f t="shared" ca="1" si="957"/>
        <v>#N/A</v>
      </c>
      <c r="EY270" s="157" t="e">
        <f t="shared" ca="1" si="958"/>
        <v>#DIV/0!</v>
      </c>
      <c r="EZ270" s="154" t="e">
        <f t="shared" ca="1" si="959"/>
        <v>#DIV/0!</v>
      </c>
      <c r="FA270" s="153" t="e">
        <f t="shared" ca="1" si="1085"/>
        <v>#N/A</v>
      </c>
      <c r="FB270" s="153" t="e">
        <f t="shared" ca="1" si="960"/>
        <v>#N/A</v>
      </c>
      <c r="FC270" s="193" t="e">
        <f t="shared" ca="1" si="961"/>
        <v>#N/A</v>
      </c>
      <c r="FD270" s="158" t="e">
        <f t="shared" ca="1" si="1086"/>
        <v>#N/A</v>
      </c>
      <c r="FE270" s="158" t="e">
        <f t="shared" ca="1" si="1087"/>
        <v>#N/A</v>
      </c>
      <c r="FF270" s="159" t="e">
        <f t="shared" ca="1" si="962"/>
        <v>#N/A</v>
      </c>
      <c r="FG270" s="160" t="e">
        <f t="shared" ca="1" si="1088"/>
        <v>#N/A</v>
      </c>
      <c r="FH270" s="158" t="e">
        <f t="shared" ca="1" si="1089"/>
        <v>#N/A</v>
      </c>
      <c r="FI270" s="159" t="e">
        <f t="shared" ca="1" si="963"/>
        <v>#N/A</v>
      </c>
      <c r="FJ270" s="160" t="e">
        <f t="shared" ca="1" si="1090"/>
        <v>#N/A</v>
      </c>
      <c r="FK270" s="160" t="e">
        <f t="shared" ca="1" si="964"/>
        <v>#N/A</v>
      </c>
      <c r="FL270" s="160" t="e">
        <f t="shared" ca="1" si="1137"/>
        <v>#N/A</v>
      </c>
      <c r="FM270" s="160" t="e">
        <f t="shared" ca="1" si="965"/>
        <v>#N/A</v>
      </c>
      <c r="FN270" s="158">
        <f t="shared" ca="1" si="1091"/>
        <v>0.01</v>
      </c>
      <c r="FO270" s="160">
        <f>Control!$C$101</f>
        <v>50</v>
      </c>
      <c r="FP270" s="150" t="e">
        <f t="shared" ca="1" si="966"/>
        <v>#N/A</v>
      </c>
      <c r="FQ270" s="150" t="e">
        <f ca="1">MAX(0,(Control!$C$112*(($DK270-Control!$C$97)/Control!$C$97)))</f>
        <v>#N/A</v>
      </c>
      <c r="FR270" s="150" t="e">
        <f ca="1">(1-$NT270)*Control!$C$113</f>
        <v>#DIV/0!</v>
      </c>
      <c r="FS270" s="198" t="e">
        <f t="shared" ca="1" si="967"/>
        <v>#N/A</v>
      </c>
      <c r="FT270" s="161">
        <f t="shared" ca="1" si="1092"/>
        <v>266</v>
      </c>
      <c r="FU270" s="162" t="e">
        <f ca="1">IF(Control!$B$34=1,VLOOKUP($CP270,Control!$B$86:$G$91,6),Control!$B$35)</f>
        <v>#N/A</v>
      </c>
      <c r="FV270" s="162" t="e">
        <f t="shared" ca="1" si="968"/>
        <v>#DIV/0!</v>
      </c>
      <c r="FW270" s="162" t="e">
        <f ca="1">IF(Control!$B$31=1,$FU270*$FV270,  $FU270)</f>
        <v>#N/A</v>
      </c>
      <c r="FX270" s="162" t="e">
        <f ca="1">IF(Control!$B$34=1,VLOOKUP($CP270,Control!$B$86:$G$91,3),Control!$B$36)</f>
        <v>#N/A</v>
      </c>
      <c r="FY270" s="162" t="e">
        <f t="shared" ca="1" si="969"/>
        <v>#N/A</v>
      </c>
      <c r="FZ270" s="162" t="e">
        <f ca="1">IF(Control!$B$34=1,VLOOKUP($CP270,Control!$B$86:$G$91,4),Control!$B$37)</f>
        <v>#N/A</v>
      </c>
      <c r="GA270" s="162" t="e">
        <f t="shared" ca="1" si="970"/>
        <v>#N/A</v>
      </c>
      <c r="GB270" s="162" t="e">
        <f ca="1">IF(Control!$B$34=1,VLOOKUP($CP270,Control!$B$86:$G$91,5),Control!$B$38)</f>
        <v>#N/A</v>
      </c>
      <c r="GC270" s="162" t="e">
        <f t="shared" ca="1" si="1093"/>
        <v>#N/A</v>
      </c>
      <c r="GD270" s="162">
        <f t="shared" ca="1" si="971"/>
        <v>1</v>
      </c>
      <c r="GE270" s="162">
        <f t="shared" ca="1" si="972"/>
        <v>1</v>
      </c>
      <c r="GF270" s="162">
        <f ca="1">IF(AND(Control!$C$104=1, Control!$C$62="F"),$GE270,1)</f>
        <v>1</v>
      </c>
      <c r="GG270" s="162" t="e">
        <f ca="1">IF(Control!$B$16=40,0,IF(AND(Control!$B$16&gt;40,Control!$B$16&lt;=360),(Control!$B$16-40)*((1-0)/(360-40)),IF(AND(Control!$B$16&gt;360,Control!$B$16&lt;=720),(1+(Control!$B$16-360)*((1.25-1)/(720-360))),IF(AND(Control!$B$16&gt;720,Control!$B$16&lt;=1000),(1.25+(Control!$B$16-720)*((1.35-1.25)/(1000-720))),IF(AND(Control!$B$16&gt;1000,Control!$B$16&lt;=2000),(1.35+(Control!$B$16-1000)*0))))))</f>
        <v>#N/A</v>
      </c>
      <c r="GH270" s="162" t="e">
        <f t="shared" ca="1" si="973"/>
        <v>#N/A</v>
      </c>
      <c r="GI270" s="162">
        <f t="shared" ca="1" si="1094"/>
        <v>0</v>
      </c>
      <c r="GJ270" s="162">
        <f t="shared" ca="1" si="974"/>
        <v>0</v>
      </c>
      <c r="GK270" s="162">
        <f t="shared" ca="1" si="1095"/>
        <v>1</v>
      </c>
      <c r="GL270" s="162">
        <f t="shared" ca="1" si="975"/>
        <v>1</v>
      </c>
      <c r="GM270" s="162" t="e">
        <f ca="1">MAX(0,MIN(1,1-Control!$C$156*(1.0001-$KH270)^2))</f>
        <v>#N/A</v>
      </c>
      <c r="GN270" s="162" t="e">
        <f ca="1">IF(Control!$B$26=1,$KU270,$KX270)</f>
        <v>#N/A</v>
      </c>
      <c r="GO270" s="162" t="e">
        <f ca="1">IF($CP270&lt;=60,Control!$C$105,IF($CP270&gt;=90,Control!$C$106,Control!$C$105+($CP270-60)*((Control!$C$106-Control!$C$105)/(90-60))))</f>
        <v>#N/A</v>
      </c>
      <c r="GP270" s="162" t="e">
        <f t="shared" ca="1" si="976"/>
        <v>#N/A</v>
      </c>
      <c r="GQ270" s="162" t="e">
        <f t="shared" ca="1" si="1096"/>
        <v>#N/A</v>
      </c>
      <c r="GR270" s="163" t="e">
        <f t="shared" ca="1" si="977"/>
        <v>#DIV/0!</v>
      </c>
      <c r="GS270" s="162" t="e">
        <f t="shared" ca="1" si="978"/>
        <v>#DIV/0!</v>
      </c>
      <c r="GT270" s="164" t="e">
        <f t="shared" ca="1" si="1097"/>
        <v>#N/A</v>
      </c>
      <c r="GU270" s="162" t="e">
        <f t="shared" ca="1" si="1098"/>
        <v>#N/A</v>
      </c>
      <c r="GV270" s="162" t="e">
        <f t="shared" ca="1" si="979"/>
        <v>#N/A</v>
      </c>
      <c r="GW270" s="162" t="e">
        <f t="shared" ca="1" si="980"/>
        <v>#DIV/0!</v>
      </c>
      <c r="GX270" s="162" t="e">
        <f t="shared" ca="1" si="1099"/>
        <v>#DIV/0!</v>
      </c>
      <c r="GY270" s="162" t="e">
        <f t="shared" ca="1" si="1100"/>
        <v>#DIV/0!</v>
      </c>
      <c r="GZ270" s="165" t="e">
        <f t="shared" ca="1" si="981"/>
        <v>#N/A</v>
      </c>
      <c r="HA270" s="162" t="e">
        <f ca="1">IF(Control!$C$114=1, $DI270*$FS270, 0)</f>
        <v>#N/A</v>
      </c>
      <c r="HB270" s="162" t="e">
        <f ca="1">$FA270/Control!$C$64</f>
        <v>#N/A</v>
      </c>
      <c r="HC270" s="162" t="e">
        <f t="shared" ca="1" si="982"/>
        <v>#DIV/0!</v>
      </c>
      <c r="HD270" s="162">
        <f ca="1">-ASIN(SIN(23.45*Control!$C$139)*COS(2*Control!$C$138*($AH270+10)/365))</f>
        <v>-1.5414541087466774E-2</v>
      </c>
      <c r="HE270" s="165">
        <f t="shared" ca="1" si="1101"/>
        <v>0</v>
      </c>
      <c r="HF270" s="166">
        <f ca="1">IF(AND(Control!$C$61="T",$HE270&gt;=Control!$C$103,Control!$C$114=0),$AH270,Control!$C$59)</f>
        <v>1</v>
      </c>
      <c r="HG270" s="166">
        <f ca="1">IF(AND(Control!$C$61="T",$HE270&gt;=Control!$C$103,Control!$C$114=0),$HF270,Control!$C$59)</f>
        <v>1</v>
      </c>
      <c r="HH270" s="165">
        <f ca="1">IF(AND(OR(Control!$C$60&lt;=0, $AH270= Control!$C$59, Control!$C$60 &gt;0, $AH270 = Control!$C$60)), Control!$C$59, IF(Control!$C$60&gt;0, 0))</f>
        <v>1</v>
      </c>
      <c r="HI270" s="165">
        <f ca="1">IF(AND(OR(Control!$C$60&lt;=0, $AH270= Control!$C$59, Control!$C$60 &gt;0, $AH270 = Control!$C$60)), Control!$C$60, IF(Control!$C$60&lt;=0, 0))</f>
        <v>0</v>
      </c>
      <c r="HJ270" s="166">
        <f ca="1">IF(AND(Control!$C$62="F",$CV270&gt;=Control!$C$102),$AH270,0)</f>
        <v>0</v>
      </c>
      <c r="HK270" s="165" t="e">
        <f t="shared" ca="1" si="1138"/>
        <v>#N/A</v>
      </c>
      <c r="HL270" s="166">
        <f ca="1">IF(AND(Control!$C$61="T",$HE270&gt;=Control!$C$103,Control!$C$114=0),$HF270,0)</f>
        <v>0</v>
      </c>
      <c r="HM270" s="201" t="e">
        <f t="shared" ca="1" si="983"/>
        <v>#DIV/0!</v>
      </c>
      <c r="HN270" s="215">
        <f t="shared" ca="1" si="1102"/>
        <v>266</v>
      </c>
      <c r="HO270" s="216" t="e">
        <f ca="1">IF(AND($CP270&gt;=0, $CP270&lt;=90), Control!$C$152, Control!$C$152)</f>
        <v>#N/A</v>
      </c>
      <c r="HP270" s="216" t="e">
        <f t="shared" ca="1" si="984"/>
        <v>#N/A</v>
      </c>
      <c r="HQ270" s="217" t="e">
        <f ca="1">IF(OR(Control!$B$26=1,Control!$B$26=2),$KV270,$KS270)</f>
        <v>#DIV/0!</v>
      </c>
      <c r="HR270" s="218" t="e">
        <f t="shared" ca="1" si="1139"/>
        <v>#DIV/0!</v>
      </c>
      <c r="HS270" s="216" t="e">
        <f ca="1">Control!$C$154*$HP270</f>
        <v>#N/A</v>
      </c>
      <c r="HT270" s="216" t="e">
        <f ca="1">Control!$C$155*$HP270</f>
        <v>#N/A</v>
      </c>
      <c r="HU270" s="217" t="e">
        <f ca="1">Control!$C$161*$FI270</f>
        <v>#N/A</v>
      </c>
      <c r="HV270" s="218" t="e">
        <f t="shared" ca="1" si="1103"/>
        <v>#N/A</v>
      </c>
      <c r="HW270" s="218" t="e">
        <f ca="1">Control!$C$160*$FF270+$IP270*$EO270</f>
        <v>#N/A</v>
      </c>
      <c r="HX270" s="218" t="e">
        <f t="shared" ca="1" si="1140"/>
        <v>#N/A</v>
      </c>
      <c r="HY270" s="219" t="e">
        <f ca="1">IF(Control!$C$114=1, $EB270*$FS270, 0)</f>
        <v>#N/A</v>
      </c>
      <c r="HZ270" s="91" t="e">
        <f t="shared" ca="1" si="985"/>
        <v>#N/A</v>
      </c>
      <c r="IA270" s="220" t="e">
        <f ca="1">Control!$C$153*$HO270</f>
        <v>#N/A</v>
      </c>
      <c r="IB270" s="218" t="e">
        <f t="shared" ca="1" si="986"/>
        <v>#N/A</v>
      </c>
      <c r="IC270" s="220" t="e">
        <f ca="1">Control!$C$153*$HT270</f>
        <v>#N/A</v>
      </c>
      <c r="ID270" s="218" t="e">
        <f t="shared" ca="1" si="987"/>
        <v>#N/A</v>
      </c>
      <c r="IE270" s="221" t="e">
        <f ca="1">($EB270*Control!$C$159+$EF270*Control!$C$160)/(IF($GZ270&lt;&gt;0,$GZ270,1))</f>
        <v>#N/A</v>
      </c>
      <c r="IF270" s="216" t="e">
        <f t="shared" ca="1" si="988"/>
        <v>#N/A</v>
      </c>
      <c r="IG270" s="91">
        <f ca="1">IF(OR(Control!$B$198=$AH270,Control!$B$199=$AH270, Control!$B$200=$AH270, Control!$B$201=$AH270, Control!$B$202=$AH270, Control!$B$203=$AH270, Control!$B$204=$AH270, Control!$B$205=$AH270, Control!$B$206=$AH270, Control!$B$207=$AH270), 1, 0)</f>
        <v>0</v>
      </c>
      <c r="IH270" s="91">
        <f ca="1">IF($IG270=0,0, VLOOKUP($AH270,Control!$B$198:$C$207,2))</f>
        <v>0</v>
      </c>
      <c r="II270" s="222">
        <f t="shared" ca="1" si="1104"/>
        <v>0</v>
      </c>
      <c r="IJ270" s="91">
        <f>Control!$C$121</f>
        <v>0.7</v>
      </c>
      <c r="IK270" s="218">
        <f t="shared" ca="1" si="989"/>
        <v>0</v>
      </c>
      <c r="IL270" s="217" t="e">
        <f t="shared" ca="1" si="1141"/>
        <v>#N/A</v>
      </c>
      <c r="IM270" s="223" t="e">
        <f ca="1">IF(AND(Control!$C$114=1,$KH270&lt;1),$EB270*Control!$C$148*(1-$KH270), 0)</f>
        <v>#N/A</v>
      </c>
      <c r="IN270" s="217" t="e">
        <f t="shared" ca="1" si="990"/>
        <v>#DIV/0!</v>
      </c>
      <c r="IO270" s="91" t="e">
        <f ca="1">MAX(0,$IL270-$EF270*Control!$C$160)</f>
        <v>#N/A</v>
      </c>
      <c r="IP270" s="220" t="e">
        <f t="shared" ca="1" si="991"/>
        <v>#N/A</v>
      </c>
      <c r="IQ270" s="217" t="e">
        <f t="shared" ca="1" si="1105"/>
        <v>#N/A</v>
      </c>
      <c r="IR270" s="218" t="e">
        <f t="shared" ca="1" si="992"/>
        <v>#N/A</v>
      </c>
      <c r="IS270" s="217" t="e">
        <f ca="1">Control!$C$159*MAX(0,$FD270-$EN270)</f>
        <v>#N/A</v>
      </c>
      <c r="IT270" s="217" t="e">
        <f t="shared" ca="1" si="1142"/>
        <v>#N/A</v>
      </c>
      <c r="IU270" s="217" t="e">
        <f t="shared" ca="1" si="1106"/>
        <v>#N/A</v>
      </c>
      <c r="IV270" s="217" t="e">
        <f t="shared" ca="1" si="1143"/>
        <v>#N/A</v>
      </c>
      <c r="IW270" s="217" t="e">
        <f ca="1">IF(OR($AW270=1,AND($AW270=0, Control!$B$18=1,$EN270&lt;&gt;0)), $IQ270-$IU270, $IQ270)</f>
        <v>#N/A</v>
      </c>
      <c r="IX270" s="218" t="e">
        <f t="shared" ca="1" si="993"/>
        <v>#N/A</v>
      </c>
      <c r="IY270" s="218" t="e">
        <f ca="1">MAX(0,$IQ270-$EB270*Control!$C$159)</f>
        <v>#N/A</v>
      </c>
      <c r="IZ270" s="218" t="e">
        <f t="shared" ca="1" si="994"/>
        <v>#N/A</v>
      </c>
      <c r="JA270" s="216" t="e">
        <f t="shared" ca="1" si="995"/>
        <v>#N/A</v>
      </c>
      <c r="JB270" s="217" t="e">
        <f t="shared" ca="1" si="996"/>
        <v>#N/A</v>
      </c>
      <c r="JC270" s="222" t="e">
        <f ca="1">MAX(Control!$C$157*$EK270-$JT270, 0)/Control!$C$162</f>
        <v>#N/A</v>
      </c>
      <c r="JD270" s="218" t="e">
        <f t="shared" ca="1" si="997"/>
        <v>#N/A</v>
      </c>
      <c r="JE270" s="218" t="e">
        <f t="shared" ca="1" si="998"/>
        <v>#N/A</v>
      </c>
      <c r="JF270" s="218" t="e">
        <f t="shared" ca="1" si="1107"/>
        <v>#N/A</v>
      </c>
      <c r="JG270" s="218" t="e">
        <f t="shared" ca="1" si="999"/>
        <v>#N/A</v>
      </c>
      <c r="JH270" s="217" t="e">
        <f t="shared" ca="1" si="1108"/>
        <v>#N/A</v>
      </c>
      <c r="JI270" s="217" t="e">
        <f t="shared" ca="1" si="1109"/>
        <v>#N/A</v>
      </c>
      <c r="JJ270" s="217" t="e">
        <f t="shared" ca="1" si="1144"/>
        <v>#N/A</v>
      </c>
      <c r="JK270" s="217" t="e">
        <f ca="1">IF(Control!$C$114=1,IF(Control!$B$24=0,MAX(0,$JI270)*$GN270/Control!$C$64,(MAX(0,MIN($JI270,$JJ270*$GN270/Control!$C$64),0))))</f>
        <v>#N/A</v>
      </c>
      <c r="JL270" s="217" t="e">
        <f ca="1">$IK270/Control!$C$64-$JK270+$HQ270</f>
        <v>#N/A</v>
      </c>
      <c r="JM270" s="217" t="e">
        <f ca="1">IF(Control!$C$114=1,($JB270/(IF($JI270&lt;&gt;0,$JI270,1)))*$JK270,0)</f>
        <v>#N/A</v>
      </c>
      <c r="JN270" s="217" t="e">
        <f ca="1">IF(Control!$C$114=1,($JG270/(IF($JI270&lt;&gt;0,$JI270,1)))*$JK270, 0)</f>
        <v>#N/A</v>
      </c>
      <c r="JO270" s="218" t="e">
        <f t="shared" ca="1" si="1000"/>
        <v>#N/A</v>
      </c>
      <c r="JP270" s="218" t="e">
        <f ca="1">MIN(($IY270+$IO270)*Control!$C$151, $JF270-$EH270*Control!$C$161)</f>
        <v>#N/A</v>
      </c>
      <c r="JQ270" s="218" t="e">
        <f t="shared" ca="1" si="1001"/>
        <v>#N/A</v>
      </c>
      <c r="JR270" s="217" t="e">
        <f ca="1">IF($CP270-Control!$C$150&lt;0, 0, $JQ270/Control!$C$162)</f>
        <v>#N/A</v>
      </c>
      <c r="JS270" s="218" t="e">
        <f t="shared" ca="1" si="1002"/>
        <v>#N/A</v>
      </c>
      <c r="JT270" s="218" t="e">
        <f t="shared" ca="1" si="1110"/>
        <v>#N/A</v>
      </c>
      <c r="JU270" s="218" t="e">
        <f t="shared" ca="1" si="1003"/>
        <v>#N/A</v>
      </c>
      <c r="JV270" s="218" t="e">
        <f t="shared" ca="1" si="1004"/>
        <v>#N/A</v>
      </c>
      <c r="JW270" s="216" t="e">
        <f t="shared" ca="1" si="1005"/>
        <v>#N/A</v>
      </c>
      <c r="JX270" s="91" t="e">
        <f t="shared" ca="1" si="1006"/>
        <v>#N/A</v>
      </c>
      <c r="JY270" s="218" t="e">
        <f t="shared" ca="1" si="1007"/>
        <v>#N/A</v>
      </c>
      <c r="JZ270" s="217" t="e">
        <f ca="1">IF(Control!$C$114=1,($IZ270/(IF($JI270&lt;&gt;0,$JI270,1)))*$JK270, 0)</f>
        <v>#N/A</v>
      </c>
      <c r="KA270" s="218" t="e">
        <f t="shared" ca="1" si="1145"/>
        <v>#N/A</v>
      </c>
      <c r="KB270" s="218" t="e">
        <f t="shared" ca="1" si="1111"/>
        <v>#N/A</v>
      </c>
      <c r="KC270" s="218" t="e">
        <f t="shared" ca="1" si="1008"/>
        <v>#N/A</v>
      </c>
      <c r="KD270" s="218" t="e">
        <f t="shared" ca="1" si="1009"/>
        <v>#N/A</v>
      </c>
      <c r="KE270" s="218" t="e">
        <f t="shared" ca="1" si="1010"/>
        <v>#N/A</v>
      </c>
      <c r="KF270" s="218" t="e">
        <f t="shared" ca="1" si="1011"/>
        <v>#N/A</v>
      </c>
      <c r="KG270" s="216" t="e">
        <f t="shared" ca="1" si="1012"/>
        <v>#N/A</v>
      </c>
      <c r="KH270" s="221" t="e">
        <f ca="1">IF(Control!$B$24=0,1,MAX(0.001,MIN(1,IF(($IF270-$IE270)&lt;&gt;0,($KG270-$IE270)/($IF270-$IE270),1))))</f>
        <v>#N/A</v>
      </c>
      <c r="KI270" s="222" t="e">
        <f ca="1">IF(Control!$C$114=1, $KI269+ $KH269, 0)</f>
        <v>#N/A</v>
      </c>
      <c r="KJ270" s="217" t="e">
        <f t="shared" ca="1" si="1013"/>
        <v>#N/A</v>
      </c>
      <c r="KK270" s="218" t="e">
        <f t="shared" ca="1" si="1014"/>
        <v>#N/A</v>
      </c>
      <c r="KL270" s="274" t="e">
        <f ca="1">IF(Control!$B$26=3,4000000000*EXP(-8400/($G270+273)),IF(Control!$B$26=4,4000000000*EXP(-8400/($G270+273))*($KT270),0))</f>
        <v>#DIV/0!</v>
      </c>
      <c r="KM270" s="274" t="e">
        <f ca="1">IF(Control!$B$26=3,5600000000000*EXP(-9800/($G270+273)),IF(Control!$B$26=4,5600000000000*EXP(-9800/($G270+273))*$KT270,0))</f>
        <v>#DIV/0!</v>
      </c>
      <c r="KN270" s="454" t="e">
        <f t="shared" ca="1" si="1112"/>
        <v>#DIV/0!</v>
      </c>
      <c r="KO270" s="274" t="e">
        <f t="shared" ca="1" si="1113"/>
        <v>#DIV/0!</v>
      </c>
      <c r="KP270" s="454" t="e">
        <f t="shared" ca="1" si="1015"/>
        <v>#DIV/0!</v>
      </c>
      <c r="KQ270" s="454" t="e">
        <f t="shared" ca="1" si="1016"/>
        <v>#DIV/0!</v>
      </c>
      <c r="KR270" s="454" t="e">
        <f t="shared" ca="1" si="1017"/>
        <v>#DIV/0!</v>
      </c>
      <c r="KS270" s="454" t="e">
        <f t="shared" ca="1" si="1018"/>
        <v>#DIV/0!</v>
      </c>
      <c r="KT270" s="455" t="e">
        <f t="shared" ca="1" si="1019"/>
        <v>#DIV/0!</v>
      </c>
      <c r="KU270" s="456" t="e">
        <f ca="1">IF($CP270-Control!$C$149&lt;0, IF($NT270-0.01&lt;0,0,1),0)</f>
        <v>#N/A</v>
      </c>
      <c r="KV270" s="456" t="e">
        <f ca="1">IF(Control!$C$114=1,MAX(0,MIN(Control!$C$125*$KW270*$GN270,$KW270)))</f>
        <v>#DIV/0!</v>
      </c>
      <c r="KW270" s="456" t="e">
        <f t="shared" ca="1" si="1146"/>
        <v>#DIV/0!</v>
      </c>
      <c r="KX270" s="457" t="e">
        <f ca="1">IF($CP270-Control!$C$149&lt;0, IF($MR270-$OM270&lt;0,0,1),0)</f>
        <v>#N/A</v>
      </c>
      <c r="KY270" s="167">
        <f t="shared" ca="1" si="1114"/>
        <v>266</v>
      </c>
      <c r="KZ270" s="168">
        <f ca="1">1370*(1+0.033*COS(2*Control!$C$138*$AH270/365))</f>
        <v>1363.9868849089241</v>
      </c>
      <c r="LA270" s="169">
        <f t="shared" ca="1" si="1115"/>
        <v>0.99561051468437156</v>
      </c>
      <c r="LB270" s="169">
        <f t="shared" ca="1" si="1116"/>
        <v>-1.9373714807017859E-2</v>
      </c>
      <c r="LC270" s="169">
        <f ca="1">ACOS(-TAN((2*Control!$B$8/360))*TAN(Calculations!$LB270))</f>
        <v>1.5650376457556385</v>
      </c>
      <c r="LD270" s="169">
        <f ca="1">((24*60)/PI())*0.082*$LA270*(($LC270*SIN(Control!$B$8*2*PI()/360))*SIN($LB270)+COS(Control!$B$8*2*PI()/360)*COS($LB270)*SIN($LC270))</f>
        <v>22.139948729977032</v>
      </c>
      <c r="LE270" s="170">
        <f t="shared" ca="1" si="1020"/>
        <v>22.380816916874398</v>
      </c>
      <c r="LF270" s="170">
        <f ca="1">SIN(Control!$C$139*Control!$B$8)*SIN($HD270)</f>
        <v>-1.2146363254025848E-2</v>
      </c>
      <c r="LG270" s="170">
        <f ca="1">COS(Control!$C$139*Control!$B$8)*COS($HD270)</f>
        <v>0.61558666150933472</v>
      </c>
      <c r="LH270" s="170">
        <f ca="1">12*(1+2*ASIN(MAX(-1,MIN(1,$LF270/$LG270))/Control!$C$138))</f>
        <v>11.849262859320422</v>
      </c>
      <c r="LI270" s="170">
        <f ca="1">12*(1+2*ASIN(MAX(-1,MIN(1,(-SIN(-4*Control!$C$139)+$LF270)/$LG270))/Control!$C$138))</f>
        <v>12.715048238977964</v>
      </c>
      <c r="LJ270" s="168">
        <f ca="1">3600*($LH270*$LF270+24*$LG270*SQRT(1-$LK270*$LK270)/Control!$C$138)</f>
        <v>16408.381315461698</v>
      </c>
      <c r="LK270" s="170">
        <f t="shared" ca="1" si="1021"/>
        <v>-1.9731361989300773E-2</v>
      </c>
      <c r="LL270" s="170">
        <f t="shared" ca="1" si="1022"/>
        <v>0</v>
      </c>
      <c r="LM270" s="171">
        <f ca="1">Control!$C$145*$AB270</f>
        <v>6.6660906138995932E-2</v>
      </c>
      <c r="LN270" s="170">
        <f t="shared" ca="1" si="1117"/>
        <v>0.54</v>
      </c>
      <c r="LO270" s="170">
        <f t="shared" ca="1" si="1023"/>
        <v>0</v>
      </c>
      <c r="LP270" s="170">
        <f ca="1">Control!$C$140*((($D270+273.16)^4+($E270+273.16)^4)/2)*(0.34-0.14*SQRT($Y270))*(1.35*$AQ270/(0.75*$LD270)-0.35)</f>
        <v>-3.2464704755046001</v>
      </c>
      <c r="LQ270" s="170">
        <f ca="1">Control!$C$140*($G270+273)^4*(0.56-0.079*SQRT($Y270*10))*(0.1+0.9*$LO270)</f>
        <v>1.5241745131704001</v>
      </c>
      <c r="LR270" s="170">
        <f ca="1">$AQ270*(1-Control!$C$142)-$LQ270</f>
        <v>-1.5241745131704001</v>
      </c>
      <c r="LS270" s="170">
        <f ca="1">$AQ270*(1-Control!$C$143)-$LQ270</f>
        <v>-1.5241745131704001</v>
      </c>
      <c r="LT270" s="170">
        <f ca="1">$AQ270*(1-Control!$C$144)-$LQ270</f>
        <v>-1.5241745131704001</v>
      </c>
      <c r="LU270" s="169">
        <f ca="1">(1-Control!$C$144)*AQ270-LP270</f>
        <v>3.2464704755046001</v>
      </c>
      <c r="LV270" s="172">
        <f t="shared" ca="1" si="1024"/>
        <v>0.79430000000000012</v>
      </c>
      <c r="LW270" s="170">
        <f t="shared" ca="1" si="1025"/>
        <v>1.5886000000000002</v>
      </c>
      <c r="LX270" s="170">
        <f ca="1">($AC270*($LR270/Control!$C$141)+$LM270*$LV270)/($AC270+$LM270)</f>
        <v>0.23530094218323697</v>
      </c>
      <c r="LY270" s="170">
        <f ca="1">($AC270*($LS270/Control!$C$141)+$LM270*$LV270)/($AC270+$LM270)</f>
        <v>0.23530094218323697</v>
      </c>
      <c r="LZ270" s="170">
        <f t="shared" ca="1" si="1026"/>
        <v>0.23530094218323697</v>
      </c>
      <c r="MA270" s="170">
        <f t="shared" ca="1" si="1027"/>
        <v>0.23530094218323697</v>
      </c>
      <c r="MB270" s="170" t="e">
        <f t="shared" ca="1" si="1028"/>
        <v>#N/A</v>
      </c>
      <c r="MC270" s="170">
        <f t="shared" ca="1" si="1118"/>
        <v>0.6018</v>
      </c>
      <c r="MD270" s="170">
        <f t="shared" ca="1" si="1029"/>
        <v>0.52989392535414004</v>
      </c>
      <c r="ME270" s="170">
        <f ca="1">($AC270*($LT270/Control!$C$141)+$LM270*$LW270)/($AC270+$LM270)</f>
        <v>0.71612369323045078</v>
      </c>
      <c r="MF270" s="170" t="e">
        <f ca="1">IF(Control!$B$16&gt;=1000,0.92,IF(AND(720&lt;=Control!$B$16,1000&gt;Control!$B$16),(0.95+(Control!$B$16-720)*((0.92-0.95)/(1000-720))),IF(AND(360&lt;=Control!$B$16,720&gt;Control!$B$16),(1+(Control!$B$16-360)*((0.95-1)/(720-360))),IF(AND(40&lt;=Control!$B$16,360&gt;Control!$B$16),(1.05+(Control!$B$16-40)*((1.05-1)/(360-40)))))))</f>
        <v>#N/A</v>
      </c>
      <c r="MG270" s="170">
        <f t="shared" ca="1" si="1030"/>
        <v>0.71612369323045078</v>
      </c>
      <c r="MH270" s="170" t="e">
        <f t="shared" ca="1" si="1155"/>
        <v>#N/A</v>
      </c>
      <c r="MI270" s="170" t="e">
        <f t="shared" ca="1" si="1155"/>
        <v>#N/A</v>
      </c>
      <c r="MJ270" s="170" t="e">
        <f ca="1">MAX(0.0001, Control!$C$132*$MI270*$DL270)</f>
        <v>#N/A</v>
      </c>
      <c r="MK270" s="170">
        <f ca="1">1/(0.76+1.5*($MG270/10))-(5-Control!$C$110)*0.1</f>
        <v>1.002845988140797</v>
      </c>
      <c r="ML270" s="173">
        <f ca="1">IF(Control!$C$110&lt;3,$MK270+($MG270-0.6)/(Control!$C$110*(Control!$C$110+3)), MAX(0.1, MIN(0.95,$MK270)))</f>
        <v>0.95</v>
      </c>
      <c r="MM270" s="173">
        <f ca="1">IF(Control!$C$110&lt;3,$MK270+(($MI270/10)-0.6)/(Control!$C$110*(Control!$C$110+3)), MAX(0.1, MIN(0.95,$MK270)))</f>
        <v>0.95</v>
      </c>
      <c r="MN270" s="173">
        <f ca="1">(1-$MM270)*(Control!$C$128-Control!$C$127)+Control!$C$127</f>
        <v>0.16</v>
      </c>
      <c r="MO270" s="170" t="e">
        <f ca="1">MAX(0,MIN(1,($MS270-Control!$C$127)/($MN270-Control!$C$127)))</f>
        <v>#DIV/0!</v>
      </c>
      <c r="MP270" s="173" t="e">
        <f ca="1">1/(0.76+1.5*$MI270)-(5-Control!$C$110)*0.1</f>
        <v>#N/A</v>
      </c>
      <c r="MQ270" s="172" t="e">
        <f t="shared" ca="1" si="1147"/>
        <v>#DIV/0!</v>
      </c>
      <c r="MR270" s="168" t="e">
        <f t="shared" ca="1" si="1119"/>
        <v>#DIV/0!</v>
      </c>
      <c r="MS270" s="173" t="e">
        <f ca="1">MAX(Control!$C$127, MIN(Control!$C$135, $MR270/MAX(0.0001,$CY270)))</f>
        <v>#DIV/0!</v>
      </c>
      <c r="MT270" s="168" t="e">
        <f ca="1">(Control!$C$128-$MS270)*Control!$C$74</f>
        <v>#DIV/0!</v>
      </c>
      <c r="MU270" s="168" t="e">
        <f ca="1">(Control!$C$135-$MS270)*Control!$C$74</f>
        <v>#DIV/0!</v>
      </c>
      <c r="MV270" s="168" t="e">
        <f t="shared" ca="1" si="1120"/>
        <v>#DIV/0!</v>
      </c>
      <c r="MW270" s="168" t="e">
        <f t="shared" ca="1" si="1121"/>
        <v>#DIV/0!</v>
      </c>
      <c r="MX270" s="171" t="e">
        <f ca="1">MAX(Control!$C$127, MIN(Control!$C$135, $MW270/MAX(0.0001,Control!$C$119-$CY270)))</f>
        <v>#DIV/0!</v>
      </c>
      <c r="MY270" s="54" t="e">
        <f ca="1">IF(Control!$C$114=1, $CX270*$MX270, 0)</f>
        <v>#DIV/0!</v>
      </c>
      <c r="MZ270" s="54" t="e">
        <f t="shared" ca="1" si="1122"/>
        <v>#N/A</v>
      </c>
      <c r="NA270" s="168" t="e">
        <f ca="1">(Control!$C$128-$MX270)*(Control!$C$119-Control!$C$74)</f>
        <v>#DIV/0!</v>
      </c>
      <c r="NB270" s="168" t="e">
        <f ca="1">(Control!$C$135-$MX270)*(Control!$C$119-Control!$C$74)</f>
        <v>#DIV/0!</v>
      </c>
      <c r="NC270" s="174" t="e">
        <f t="shared" ca="1" si="1123"/>
        <v>#DIV/0!</v>
      </c>
      <c r="ND270" s="54">
        <f ca="1">IF(Control!$C$58=2, IF(OR(Control!$B$218=$AH270,Control!$B$219=$AH270, Control!$B$220=$AH270, Control!$B$221=$AH270, Control!$B$222=$AH270, Control!$B$223=$AH270, Control!$B$224=$AH270, Control!$B$225=$AH270, Control!$B$226=$AH270, Control!$B$227=$AH270, Control!$B$228=$AH270), 1, 0), 0)</f>
        <v>0</v>
      </c>
      <c r="NE270" s="54">
        <f ca="1">IF($ND270=0,0, VLOOKUP($AH270,Control!$B$218:$C$228,2))</f>
        <v>0</v>
      </c>
      <c r="NF270" s="168" t="e">
        <f ca="1">$CY270*(Control!$C$128-Control!$C$127)</f>
        <v>#N/A</v>
      </c>
      <c r="NG270" s="54" t="e">
        <f ca="1">IF(Control!$C$58=2, $NI269-$NJ269, 0)</f>
        <v>#DIV/0!</v>
      </c>
      <c r="NH270" s="54" t="e">
        <f ca="1">IF(AND(Control!$C$58=1, $MS269&lt;= ($MN269+0.02), $I269&lt;10), 0, IF(Control!$C$58=2, $NG269, 0))</f>
        <v>#DIV/0!</v>
      </c>
      <c r="NI270" s="54" t="e">
        <f ca="1">IF(Control!$C$58=2, $NE270+$NH270,0)</f>
        <v>#DIV/0!</v>
      </c>
      <c r="NJ270" s="54" t="e">
        <f ca="1">IF(AND(Control!$C$58=1, $MS270&lt;= ($MN270+0.02), $I270&lt;10), MAX(0, MIN(10, 0.7*($NF270-$MV270))), IF(Control!$C$58=2, MIN(10,$NI270),0))</f>
        <v>#DIV/0!</v>
      </c>
      <c r="NK270" s="54" t="e">
        <f t="shared" ca="1" si="1031"/>
        <v>#DIV/0!</v>
      </c>
      <c r="NL270" s="173" t="e">
        <f ca="1">(1-Control!$C$73)*$I270+$NJ270</f>
        <v>#DIV/0!</v>
      </c>
      <c r="NM270" s="172" t="e">
        <f ca="1">IF($NL270&lt;0.5, $MB270* MAX(0, MIN(1, (SQRT($NC270)-SQRT($NC270-1))*Control!$C$71)),0)</f>
        <v>#DIV/0!</v>
      </c>
      <c r="NN270" s="170" t="e">
        <f ca="1">IF($NL270&gt;=5, $MB270, MAX(0,MIN($MB270, $NM270+$NL270,($MS270-Control!$C$129))))</f>
        <v>#DIV/0!</v>
      </c>
      <c r="NO270" s="54">
        <f>IF(Control!$C$133&lt;&gt;1, Control!$C$135-Control!$C$131, 0)</f>
        <v>0.38</v>
      </c>
      <c r="NP270" s="54" t="e">
        <f t="shared" ca="1" si="1032"/>
        <v>#DIV/0!</v>
      </c>
      <c r="NQ270" s="173" t="e">
        <f ca="1">MAX(0,MIN(1,(Control!$C$135-$MS270)/(Control!$C$135-$NO270)))</f>
        <v>#DIV/0!</v>
      </c>
      <c r="NR270" s="170" t="e">
        <f ca="1">IF(Control!$C$133&lt;&gt;1, $NQ270+((1-$NP270/4)*(1-$NQ270)),1)</f>
        <v>#DIV/0!</v>
      </c>
      <c r="NS270" s="170" t="e">
        <f ca="1">IF(Control!$B$31=0,$MJ270,MAX(0,MIN($MV270,$MO270*$NR270*$MJ270)))</f>
        <v>#DIV/0!</v>
      </c>
      <c r="NT270" s="170" t="e">
        <f t="shared" ca="1" si="1148"/>
        <v>#DIV/0!</v>
      </c>
      <c r="NU270" s="170" t="e">
        <f t="shared" ca="1" si="1124"/>
        <v>#N/A</v>
      </c>
      <c r="NV270" s="170" t="e">
        <f t="shared" ca="1" si="1033"/>
        <v>#N/A</v>
      </c>
      <c r="NW270" s="175" t="e">
        <f t="shared" ca="1" si="1034"/>
        <v>#DIV/0!</v>
      </c>
      <c r="NX270" s="170" t="e">
        <f ca="1">MIN(Control!$C$72+$MU270, $NW270)</f>
        <v>#DIV/0!</v>
      </c>
      <c r="NY270" s="170" t="e">
        <f ca="1">IF($MT270&lt;=$NX270,MIN(Control!$C$72+$NB270,$NX270-$MT270),0)</f>
        <v>#DIV/0!</v>
      </c>
      <c r="NZ270" s="54" t="e">
        <f ca="1">IF(Control!$C$114=1,  $CX270*($MX270-Control!$C$127), 0)</f>
        <v>#DIV/0!</v>
      </c>
      <c r="OA270" s="170" t="e">
        <f t="shared" ca="1" si="1035"/>
        <v>#DIV/0!</v>
      </c>
      <c r="OB270" s="170" t="e">
        <f ca="1">IF($NA270 &lt;=$NY270, MIN(Control!$C$72, $NY270-$NA270), 0)</f>
        <v>#DIV/0!</v>
      </c>
      <c r="OC270" s="168" t="e">
        <f t="shared" ca="1" si="1036"/>
        <v>#DIV/0!</v>
      </c>
      <c r="OD270" s="168" t="e">
        <f t="shared" ca="1" si="1125"/>
        <v>#DIV/0!</v>
      </c>
      <c r="OE270" s="170">
        <f ca="1">Control!$C$73*$I270</f>
        <v>0</v>
      </c>
      <c r="OF270" s="176" t="e">
        <f t="shared" ca="1" si="1037"/>
        <v>#DIV/0!</v>
      </c>
      <c r="OG270" s="168" t="e">
        <f t="shared" ca="1" si="1038"/>
        <v>#DIV/0!</v>
      </c>
      <c r="OH270" s="168" t="e">
        <f t="shared" ca="1" si="1039"/>
        <v>#DIV/0!</v>
      </c>
      <c r="OI270" s="168" t="e">
        <f t="shared" ca="1" si="1040"/>
        <v>#DIV/0!</v>
      </c>
      <c r="OJ270" s="168" t="e">
        <f t="shared" ca="1" si="1041"/>
        <v>#DIV/0!</v>
      </c>
      <c r="OK270" s="204" t="e">
        <f t="shared" ca="1" si="1042"/>
        <v>#DIV/0!</v>
      </c>
      <c r="OL270" s="177">
        <f>Control!$C$127</f>
        <v>0.15</v>
      </c>
      <c r="OM270" s="182" t="e">
        <f t="shared" ca="1" si="1043"/>
        <v>#N/A</v>
      </c>
      <c r="ON270" s="177">
        <f>Control!$C$128</f>
        <v>0.35</v>
      </c>
      <c r="OO270" s="182" t="e">
        <f t="shared" ca="1" si="1044"/>
        <v>#N/A</v>
      </c>
      <c r="OP270" s="138">
        <f t="shared" ca="1" si="1126"/>
        <v>0</v>
      </c>
      <c r="OQ270" s="138" t="e">
        <f t="shared" ca="1" si="1149"/>
        <v>#DIV/0!</v>
      </c>
      <c r="OR270" s="138" t="e">
        <f t="shared" ca="1" si="1127"/>
        <v>#DIV/0!</v>
      </c>
      <c r="OS270" s="137" t="e">
        <f t="shared" ca="1" si="1150"/>
        <v>#DIV/0!</v>
      </c>
      <c r="OT270" s="139" t="e">
        <f t="shared" ca="1" si="1151"/>
        <v>#DIV/0!</v>
      </c>
      <c r="OU270" s="138" t="e">
        <f t="shared" ca="1" si="1152"/>
        <v>#N/A</v>
      </c>
      <c r="OV270" s="138" t="e">
        <f t="shared" ca="1" si="1153"/>
        <v>#DIV/0!</v>
      </c>
      <c r="OW270" s="138" t="e">
        <f t="shared" ca="1" si="1128"/>
        <v>#DIV/0!</v>
      </c>
      <c r="OX270" s="138" t="e">
        <f t="shared" ca="1" si="1129"/>
        <v>#DIV/0!</v>
      </c>
      <c r="OY270" s="138" t="e">
        <f t="shared" ca="1" si="1130"/>
        <v>#DIV/0!</v>
      </c>
      <c r="OZ270" s="138" t="e">
        <f t="shared" ca="1" si="1045"/>
        <v>#DIV/0!</v>
      </c>
      <c r="PA270" s="138" t="e">
        <f t="shared" ca="1" si="1046"/>
        <v>#DIV/0!</v>
      </c>
      <c r="PB270" s="55">
        <f>IF(Control!$C$61="T", IF(Control!$C$65="F", IF($AH$6-Control!$C$60&lt;0,0,1), IF(365+$AH$6-Control!$C$60&lt;0,0,1)),0)</f>
        <v>0</v>
      </c>
      <c r="PC270" s="55">
        <f ca="1">IF(Control!$C$65="F", IF($AH$6-$HF270&lt;0,0,1), IF(365+$AH$6-$HF270&lt;0,0,1))</f>
        <v>1</v>
      </c>
      <c r="PD270" s="444">
        <f>Control!$C$118</f>
        <v>1500</v>
      </c>
      <c r="PE270" s="180" t="e">
        <f t="shared" ca="1" si="1047"/>
        <v>#N/A</v>
      </c>
      <c r="PF270" s="445">
        <f t="shared" ca="1" si="1131"/>
        <v>0.71612369323045078</v>
      </c>
      <c r="PT270" s="186"/>
      <c r="PU270" s="186"/>
      <c r="PV270" s="94"/>
      <c r="PW270" s="94"/>
      <c r="PX270" s="94"/>
      <c r="PY270" s="94"/>
      <c r="PZ270" s="94"/>
      <c r="QA270" s="94"/>
      <c r="QB270" s="94"/>
      <c r="QC270" s="94"/>
      <c r="QD270" s="94"/>
      <c r="QE270" s="94"/>
      <c r="QF270" s="94"/>
      <c r="QG270" s="94"/>
      <c r="QH270" s="94"/>
      <c r="QI270" s="94"/>
      <c r="QJ270" s="94"/>
      <c r="QK270" s="94"/>
      <c r="QL270" s="94"/>
      <c r="QM270" s="94"/>
      <c r="QN270" s="94"/>
      <c r="QO270" s="94"/>
      <c r="QP270" s="94"/>
    </row>
    <row r="271" spans="1:458" s="2" customFormat="1" x14ac:dyDescent="0.2">
      <c r="A271" s="395">
        <v>23</v>
      </c>
      <c r="B271" s="396">
        <v>9</v>
      </c>
      <c r="C271" s="387">
        <f ca="1">Weather_data!$B270</f>
        <v>0</v>
      </c>
      <c r="D271" s="388">
        <f ca="1">Weather_data!$F270</f>
        <v>0</v>
      </c>
      <c r="E271" s="388">
        <f ca="1">Weather_data!$E270</f>
        <v>0</v>
      </c>
      <c r="F271" s="388">
        <f t="shared" ca="1" si="1048"/>
        <v>0</v>
      </c>
      <c r="G271" s="388">
        <f ca="1">AVERAGE($D271:$E271)+Control!$B$9</f>
        <v>0</v>
      </c>
      <c r="H271" s="388">
        <f ca="1">Weather_data!$G270</f>
        <v>0</v>
      </c>
      <c r="I271" s="388">
        <f ca="1">Weather_data!$I270</f>
        <v>0</v>
      </c>
      <c r="J271" s="388">
        <f ca="1">Weather_data!$H270</f>
        <v>0</v>
      </c>
      <c r="K271" s="389">
        <f ca="1">Weather_data!$D270</f>
        <v>0</v>
      </c>
      <c r="L271" s="388" t="e">
        <f t="shared" ca="1" si="1049"/>
        <v>#N/A</v>
      </c>
      <c r="M271" s="388" t="e">
        <f t="shared" ca="1" si="927"/>
        <v>#N/A</v>
      </c>
      <c r="N271" s="388">
        <f t="shared" ca="1" si="928"/>
        <v>-3.7431308205717178E-13</v>
      </c>
      <c r="O271" s="388">
        <f t="shared" ca="1" si="1050"/>
        <v>3.7431308205717178E-12</v>
      </c>
      <c r="P271" s="390">
        <v>3</v>
      </c>
      <c r="Q271" s="388">
        <f ca="1">MAX($G271-Control!$C$107,0)</f>
        <v>0</v>
      </c>
      <c r="R271" s="388">
        <f t="shared" ca="1" si="1051"/>
        <v>0</v>
      </c>
      <c r="S271" s="388">
        <f t="shared" ca="1" si="929"/>
        <v>0</v>
      </c>
      <c r="T271" s="388">
        <f t="shared" ca="1" si="930"/>
        <v>0</v>
      </c>
      <c r="U271" s="59">
        <f t="shared" ca="1" si="931"/>
        <v>0</v>
      </c>
      <c r="V271" s="391">
        <f ca="1">MAX(0,MIN(Control!$C$100-Control!$C$99,$G271-Control!$C$99)*Control!$C$63)</f>
        <v>0</v>
      </c>
      <c r="W271" s="388">
        <f t="shared" ca="1" si="1052"/>
        <v>0</v>
      </c>
      <c r="X271" s="388">
        <f t="shared" ca="1" si="1053"/>
        <v>0.6110000000000001</v>
      </c>
      <c r="Y271" s="388">
        <f t="shared" ca="1" si="932"/>
        <v>0</v>
      </c>
      <c r="Z271" s="388">
        <f t="shared" ca="1" si="1054"/>
        <v>0.61058800000000002</v>
      </c>
      <c r="AA271" s="388">
        <f t="shared" ca="1" si="933"/>
        <v>0.6018</v>
      </c>
      <c r="AB271" s="388">
        <f ca="1">101.3*EXP(-0.034*Control!$C$66/($G271+273))</f>
        <v>100.69623283836242</v>
      </c>
      <c r="AC271" s="392">
        <f t="shared" ca="1" si="934"/>
        <v>4.3460251046025113E-2</v>
      </c>
      <c r="AD271" s="392">
        <f t="shared" ca="1" si="935"/>
        <v>4.4450382862832649E-2</v>
      </c>
      <c r="AE271" s="388">
        <f t="shared" ca="1" si="936"/>
        <v>0</v>
      </c>
      <c r="AF271" s="388">
        <f ca="1">MAX(0,$G271-Control!$C$92)</f>
        <v>0</v>
      </c>
      <c r="AG271" s="393">
        <f t="shared" ca="1" si="937"/>
        <v>267</v>
      </c>
      <c r="AH271" s="389">
        <f t="shared" ca="1" si="938"/>
        <v>267</v>
      </c>
      <c r="AI271" s="388">
        <f t="shared" ca="1" si="1055"/>
        <v>-2.2258407035960315E-2</v>
      </c>
      <c r="AJ271" s="388">
        <f ca="1">IF(Control!$C$60&lt;=0,$HH271,$HI271)</f>
        <v>1</v>
      </c>
      <c r="AK271" s="388">
        <f t="shared" ca="1" si="939"/>
        <v>3.2190565820344732</v>
      </c>
      <c r="AL271" s="388">
        <f t="shared" ca="1" si="940"/>
        <v>-4.8691901205488722E-18</v>
      </c>
      <c r="AM271" s="388">
        <f t="shared" ca="1" si="941"/>
        <v>3.2190565820344732</v>
      </c>
      <c r="AN271" s="388">
        <f t="shared" ca="1" si="942"/>
        <v>-3.078920577571341E-2</v>
      </c>
      <c r="AO271" s="388">
        <f ca="1">-0.10453/COS(Control!$B$8*PI()/180)*COS(AN271)</f>
        <v>-0.16970439466788251</v>
      </c>
      <c r="AP271" s="388">
        <f ca="1">ACOS(AO271-TAN(Control!$B$8*PI()/180)*TAN(AN271))</f>
        <v>1.7014512895977956</v>
      </c>
      <c r="AQ271" s="388">
        <f t="shared" ca="1" si="1056"/>
        <v>0</v>
      </c>
      <c r="AR271" s="394">
        <f t="shared" ca="1" si="943"/>
        <v>0</v>
      </c>
      <c r="AS271" s="436">
        <f ca="1">IF(Control!$B$18=2,(IF(OR($AH271=Control!$B$175,$AH271=Control!$B$176,$AH271=Control!$B$177,$AH271=Control!$B$178,$AH271=Control!$B$179,$AH271=Control!$B$180,$AH271=Control!$B$181,$AH271=Control!$B$182,$AH271=Control!$B$183,$AH271=Control!$B$184,$AH271=Control!$B$185),1,0)),0)</f>
        <v>0</v>
      </c>
      <c r="AT271" s="436">
        <f>IF(Control!$B$20=8,IF(AND($AH271&gt;=Control!$B$172,$AH271&lt;=Control!$B$173),1,0),0)</f>
        <v>0</v>
      </c>
      <c r="AU271" s="436">
        <f>IF(Control!$B$20=8,IF($AV270=1,1*$AT271,IF($AT271=1,$AU270+1,$AU270)),0)</f>
        <v>0</v>
      </c>
      <c r="AV271" s="436">
        <f>IF(Control!$B$20=8,IF($AU271&gt;=Control!$B$174,1,0),0)</f>
        <v>0</v>
      </c>
      <c r="AW271" s="436">
        <f ca="1">IF(AND(Control!$B$18=2,Control!$B$171=1), $AV271, $AS271)</f>
        <v>0</v>
      </c>
      <c r="AX271" s="436" t="e">
        <f ca="1">IF(AND(Control!$B$18=1,$EU271&gt;=Control!$B$19),-$AY271,IF(AND(Control!$B$18=2,$AW271=1,$EU271&gt;$DS271),-$AY271, IF(Control!$C$108=0,0, IF(Control!$C$108&lt;&gt;0,1))))</f>
        <v>#N/A</v>
      </c>
      <c r="AY271" s="436" t="e">
        <f t="shared" ca="1" si="1057"/>
        <v>#N/A</v>
      </c>
      <c r="AZ271" s="436" t="e">
        <f ca="1">IF(AND(Control!$B$18=1,$EB271&gt;Control!$B$19),$AZ270+1, IF(AND(Control!$B$18=2, $AW271=1, $EB271&gt;$DS271), $AZ270+1,$AZ270))</f>
        <v>#N/A</v>
      </c>
      <c r="BA271" s="587">
        <f>IF(Control!$C$81=0,1,IF($AH271&gt;=Control!$C$82,1,0))</f>
        <v>1</v>
      </c>
      <c r="BB271" s="140" t="e">
        <f ca="1">IF($BA271&gt;$BA270,Control!$C$83,IF($AW271&gt;0,$AW271*Control!$C$84,IF(AND(Control!$B$18=1,EN270&lt;&gt;0),Control!$C$84,0)))</f>
        <v>#N/A</v>
      </c>
      <c r="BC271" s="140" t="e">
        <f t="shared" ca="1" si="1058"/>
        <v>#N/A</v>
      </c>
      <c r="BD271" s="140" t="e">
        <f ca="1">BC271*IF(OR($G271&lt;Control!$C$92,$G271&gt;Control!$C$95),0,IF(AND($G271&gt;=Control!$C$92,$G271&lt;=Control!$C$93),$G271-Control!$C$92,IF(AND($G271&gt;Control!$C$93,$G271&lt;=Control!$C$94),Control!$C$93-Control!$C$92,IF(AND($G271&gt;Control!$C$94,$G271&lt;=Control!$C$95),(Control!$C$93-Control!$C$92)*(Control!$C$94-$G271)/(Control!$C$95-Control!$C$94)))))</f>
        <v>#N/A</v>
      </c>
      <c r="BE271" s="140" t="e">
        <f t="shared" ca="1" si="1059"/>
        <v>#N/A</v>
      </c>
      <c r="BF271" s="140" t="e">
        <f ca="1">IF($BE271&lt;=Control!$C$86,$BE271,Control!$C$86-$BE271)</f>
        <v>#N/A</v>
      </c>
      <c r="BG271" s="140" t="e">
        <f ca="1">IF(AND($AW271=1,Control!$C$84&lt;9),1,IF($BE271&gt;=Control!$C$86,0,$BC271))</f>
        <v>#N/A</v>
      </c>
      <c r="BH271" s="404" t="e">
        <f ca="1">IF($BG271=0,0,IF($BE271&lt;=Control!$C$86,$BC271*9*($BF271/Control!$C$86),0))</f>
        <v>#N/A</v>
      </c>
      <c r="BI271" s="140" t="e">
        <f ca="1">IF($BG271=1,0,IF($BE271&gt;=Control!$C$86,1,IF(AND($BB271&lt;21,$BB271&gt;=9),1,$BM270)))</f>
        <v>#N/A</v>
      </c>
      <c r="BJ271" s="140" t="e">
        <f ca="1">IF($BF271&lt;0,-$BF271,$BI271*IF(OR($G271&lt;Control!$C$92,$G271&gt;Control!$C$95),0,IF(AND($G271&gt;=Control!$C$92,$G271&lt;=Control!$C$93),$G271-Control!$C$92,IF(AND($G271&gt;Control!$C$93,$G271&lt;=Control!$C$94),Control!$C$93-Control!$C$92,IF(AND($G271&gt;Control!$C$94,$G271&lt;=Control!$C$95),(Control!$C$93-Control!$C$92)*(Control!$C$94-$G271)/(Control!$C$95-Control!$C$94))))))</f>
        <v>#N/A</v>
      </c>
      <c r="BK271" s="140" t="e">
        <f t="shared" ca="1" si="1060"/>
        <v>#N/A</v>
      </c>
      <c r="BL271" s="140" t="e">
        <f ca="1">IF($BK271&lt;=Control!$C$87,$BK271,Control!$C$87-$BK271)</f>
        <v>#N/A</v>
      </c>
      <c r="BM271" s="140" t="e">
        <f ca="1">IF(AND($BB271&gt;=9,$BB271&lt;21),1,IF($BK271&gt;=Control!$C$87,0,$BI271))</f>
        <v>#N/A</v>
      </c>
      <c r="BN271" s="404" t="e">
        <f ca="1">IF($BM271=0,0,IF($BK271&lt;=Control!$C$87,$BI271*(9+(21-9)*($BL271/Control!$C$87)),0))</f>
        <v>#N/A</v>
      </c>
      <c r="BO271" s="140" t="e">
        <f ca="1">IF($BM271=1,0,IF($BK271&gt;=Control!$C$87,1,IF(AND($BB271&lt;30,$BB271&gt;=21),1,$BS270)))</f>
        <v>#N/A</v>
      </c>
      <c r="BP271" s="140" t="e">
        <f ca="1">IF($BL271&lt;0,-$BL271,$BO271*IF(OR($G271&lt;Control!$C$92,$G271&gt;Control!$C$95),0,IF(AND($G271&gt;=Control!$C$92,$G271&lt;=Control!$C$93),$G271-Control!$C$92,IF(AND($G271&gt;Control!$C$93,$G271&lt;=Control!$C$94),Control!$C$93-Control!$C$92,IF(AND($G271&gt;Control!$C$94,$G271&lt;=Control!$C$95),(Control!$C$93-Control!$C$92)*(Control!$C$94-$G271)/(Control!$C$95-Control!$C$94))))))</f>
        <v>#N/A</v>
      </c>
      <c r="BQ271" s="140" t="e">
        <f t="shared" ca="1" si="944"/>
        <v>#N/A</v>
      </c>
      <c r="BR271" s="140" t="e">
        <f ca="1">IF($BQ271&lt;=Control!$C$88,$BQ271,Control!$C$88-$BQ271)</f>
        <v>#N/A</v>
      </c>
      <c r="BS271" s="140" t="e">
        <f ca="1">IF(AND($BB271&gt;=21,$BB271&lt;30),1,IF($BQ271&gt;=Control!$C$88,0,$BO271))</f>
        <v>#N/A</v>
      </c>
      <c r="BT271" s="404" t="e">
        <f ca="1">IF($BS271=0,0,IF($BQ271&lt;=Control!$C$88,$BO271*(21+(30-21)*(BR271/Control!$C$88)),0))</f>
        <v>#N/A</v>
      </c>
      <c r="BU271" s="140" t="e">
        <f ca="1">IF(BG271+BM271+BS271=1,0,IF(OR(AND($BB271&lt;60,$BB271&gt;=30),$BQ271&gt;=Control!$C$88),1*$BA271,$BY270))</f>
        <v>#N/A</v>
      </c>
      <c r="BV271" s="140" t="e">
        <f ca="1">IF($BR271&lt;0,-$BR271,$BU271*IF(OR($G271&lt;Control!$C$92,$G271&gt;Control!$C$95),0,IF(AND($G271&gt;=Control!$C$92,$G271&lt;=Control!$C$93),$G271-Control!$C$92,IF(AND($G271&gt;Control!$C$93,$G271&lt;=Control!$C$94),Control!$C$93-Control!$C$92,IF(AND($G271&gt;Control!$C$94,$G271&lt;=Control!$C$95),(Control!$C$93-Control!$C$92)*(Control!$C$94-$G271)/(Control!$C$95-Control!$C$94))))))</f>
        <v>#N/A</v>
      </c>
      <c r="BW271" s="140" t="e">
        <f t="shared" ca="1" si="945"/>
        <v>#N/A</v>
      </c>
      <c r="BX271" s="140" t="e">
        <f ca="1">IF($BW271&lt;=Control!$C$89,$BW271,Control!$C$89-$BW271)</f>
        <v>#N/A</v>
      </c>
      <c r="BY271" s="140" t="e">
        <f ca="1">IF(AND($AJ271&gt;=30,$AJ271&lt;60),1,IF($BW271&gt;=Control!$C$89,0,$BU271))</f>
        <v>#N/A</v>
      </c>
      <c r="BZ271" s="404" t="e">
        <f ca="1">IF($BY271=0,0,IF($BW271&lt;=Control!$C$89,$BU271*(30+(60-30)*(BX271/Control!$C$89)),0))</f>
        <v>#N/A</v>
      </c>
      <c r="CA271" s="140" t="e">
        <f ca="1">IF($BG271+$BM271+$BS271+$BY271=1,0,IF(OR(AND($BB271&lt;65,$BB271&gt;=60),$BW271&gt;=Control!$C$89),1*$BA271,$CE270))</f>
        <v>#N/A</v>
      </c>
      <c r="CB271" s="140" t="e">
        <f ca="1">IF($BX271&lt;0,-$BX271,$CA271*IF(OR($G271&lt;Control!$C$92,$G271&gt;Control!$C$95),0,IF(AND($G271&gt;=Control!$C$92,$G271&lt;=Control!$C$93),$G271-Control!$C$92,IF(AND($G271&gt;Control!$C$93,$G271&lt;=Control!$C$94),Control!$C$93-Control!$C$92,IF(AND($G271&gt;Control!$C$94,$G271&lt;=Control!$C$95),(Control!$C$93-Control!$C$92)*(Control!$C$94-$G271)/(Control!$C$95-Control!$C$94))))))</f>
        <v>#N/A</v>
      </c>
      <c r="CC271" s="140" t="e">
        <f t="shared" ca="1" si="1061"/>
        <v>#N/A</v>
      </c>
      <c r="CD271" s="140" t="e">
        <f ca="1">IF($CC271&lt;=Control!$C$90,$CC271,Control!$C$90-$CC271)</f>
        <v>#N/A</v>
      </c>
      <c r="CE271" s="140" t="e">
        <f ca="1">IF(AND($BB271&gt;=60,$BB271&lt;65),1,IF($CC271&gt;=Control!$C$90,0,$CA271))</f>
        <v>#N/A</v>
      </c>
      <c r="CF271" s="404" t="e">
        <f ca="1">IF($CE271=0,0,IF($CC271&lt;=Control!$C$90,$CA271*(60+(65-60)*(CD271/Control!$C$90)),0))</f>
        <v>#N/A</v>
      </c>
      <c r="CG271" s="140" t="e">
        <f ca="1">IF($BG271+$BM271+$BS271+$BY271+$CE271=1,0,IF(OR(AND($BB271&lt;90,$BB271&gt;=65),$CC271&gt;=Control!$C$90),$BA271,$CK270))</f>
        <v>#N/A</v>
      </c>
      <c r="CH271" s="140" t="e">
        <f ca="1">IF($CD271&lt;0,-$CD271,$CG271*IF(OR($G271&lt;Control!$C$92,$G271&gt;Control!$C$95),0,IF(AND($G271&gt;=Control!$C$92,$G271&lt;=Control!$C$93),$G271-Control!$C$92,IF(AND($G271&gt;Control!$C$93,$G271&lt;=Control!$C$94),Control!$C$93-Control!$C$92,IF(AND($G271&gt;Control!$C$94,$G271&lt;=Control!$C$95),(Control!$C$93-Control!$C$92)*(Control!$C$94-$G271)/(Control!$C$95-Control!$C$94))))))</f>
        <v>#N/A</v>
      </c>
      <c r="CI271" s="140" t="e">
        <f t="shared" ca="1" si="1062"/>
        <v>#N/A</v>
      </c>
      <c r="CJ271" s="140" t="e">
        <f ca="1">IF($CI271&lt;=Control!$C$91,$CI271,Control!$C$91-$CI271)</f>
        <v>#N/A</v>
      </c>
      <c r="CK271" s="140" t="e">
        <f ca="1">IF(AND($BB271&gt;=65,$BB271&lt;90),1,IF($CI271&gt;=Control!$C$91,0,$CG271))</f>
        <v>#N/A</v>
      </c>
      <c r="CL271" s="404" t="e">
        <f ca="1">IF($CK271=0,0,IF($CI271&lt;=Control!$C$91,$CG271*(65+(90-65)*($CJ271/Control!$C$91)),0))</f>
        <v>#N/A</v>
      </c>
      <c r="CM271" s="140" t="e">
        <f ca="1">IF($BG271+$BM271+$BS271+$BY271+$CE271+$CK271=1,0,IF(OR($BB271&gt;=90,$CI271&gt;=Control!$C$91),$BA271,$CM270))</f>
        <v>#N/A</v>
      </c>
      <c r="CN271" s="140" t="e">
        <f t="shared" ca="1" si="1063"/>
        <v>#N/A</v>
      </c>
      <c r="CO271" s="140" t="e">
        <f t="shared" ca="1" si="1064"/>
        <v>#N/A</v>
      </c>
      <c r="CP271" s="140" t="e">
        <f t="shared" ca="1" si="1065"/>
        <v>#N/A</v>
      </c>
      <c r="CQ271" s="141" t="e">
        <f ca="1">VLOOKUP($CP271,Control!$B$86:$G$91,6)</f>
        <v>#N/A</v>
      </c>
      <c r="CR271" s="141" t="e">
        <f ca="1">(1-$CQ271)*VLOOKUP($CP271,Control!$B$86:$D$91,3)</f>
        <v>#N/A</v>
      </c>
      <c r="CS271" s="141" t="e">
        <f ca="1">(1-$CQ271)*VLOOKUP($CP271,Control!$B$86:$E$91,4)</f>
        <v>#N/A</v>
      </c>
      <c r="CT271" s="141" t="e">
        <f ca="1">(1-$CQ271)*VLOOKUP($CP271,Control!$B$86:$F$91,5)</f>
        <v>#N/A</v>
      </c>
      <c r="CU271" s="141">
        <f t="shared" ca="1" si="1066"/>
        <v>0</v>
      </c>
      <c r="CV271" s="583">
        <f t="shared" ca="1" si="1067"/>
        <v>0</v>
      </c>
      <c r="CW271" s="142">
        <f t="shared" ca="1" si="1068"/>
        <v>267</v>
      </c>
      <c r="CX271" s="612" t="e">
        <f ca="1">IF(Control!$C$114=1,(MIN(Control!$C$120*(IF($NT271-0.01&lt;0,0,1)),Control!$C$119-$CY271)))</f>
        <v>#DIV/0!</v>
      </c>
      <c r="CY271" s="143" t="e">
        <f t="shared" ca="1" si="1069"/>
        <v>#N/A</v>
      </c>
      <c r="CZ271" s="144">
        <f t="shared" ca="1" si="946"/>
        <v>0</v>
      </c>
      <c r="DA271" s="144">
        <f t="shared" ca="1" si="947"/>
        <v>0</v>
      </c>
      <c r="DB271" s="144" t="e">
        <f t="shared" ca="1" si="948"/>
        <v>#N/A</v>
      </c>
      <c r="DC271" s="144" t="e">
        <f t="shared" ca="1" si="949"/>
        <v>#N/A</v>
      </c>
      <c r="DD271" s="144" t="e">
        <f t="shared" ca="1" si="1154"/>
        <v>#N/A</v>
      </c>
      <c r="DE271" s="143" t="e">
        <f t="shared" ca="1" si="1070"/>
        <v>#N/A</v>
      </c>
      <c r="DF271" s="145" t="e">
        <f ca="1">$DR271*EXP(-Control!$C$158*(1-$KH271))</f>
        <v>#N/A</v>
      </c>
      <c r="DG271" s="146" t="e">
        <f ca="1">IF(Control!$C$114=1, $DF271*$EY271, 0)</f>
        <v>#N/A</v>
      </c>
      <c r="DH271" s="147" t="e">
        <f t="shared" ca="1" si="1071"/>
        <v>#N/A</v>
      </c>
      <c r="DI271" s="144" t="e">
        <f t="shared" ca="1" si="1132"/>
        <v>#N/A</v>
      </c>
      <c r="DJ271" s="147" t="e">
        <f ca="1">$EF271*Control!$C$109</f>
        <v>#N/A</v>
      </c>
      <c r="DK271" s="144" t="e">
        <f t="shared" ca="1" si="1072"/>
        <v>#N/A</v>
      </c>
      <c r="DL271" s="144" t="e">
        <f t="shared" ca="1" si="950"/>
        <v>#N/A</v>
      </c>
      <c r="DM271" s="144" t="e">
        <f ca="1">IF(Control!$C$114=1, (1-EXP(-Control!$C$96*$DK271))*$AR271, 0)</f>
        <v>#N/A</v>
      </c>
      <c r="DN271" s="144">
        <f t="shared" ca="1" si="1073"/>
        <v>0</v>
      </c>
      <c r="DO271" s="148">
        <f>Control!$C$97</f>
        <v>4</v>
      </c>
      <c r="DP271" s="145" t="e">
        <f t="shared" ca="1" si="1074"/>
        <v>#N/A</v>
      </c>
      <c r="DQ271" s="145" t="e">
        <f ca="1">IF(AND($CP271&gt;=0,$CP271&lt;=90),Control!$C$111,Control!$C$111)</f>
        <v>#N/A</v>
      </c>
      <c r="DR271" s="145" t="e">
        <f t="shared" ca="1" si="951"/>
        <v>#N/A</v>
      </c>
      <c r="DS271" s="143" t="e">
        <f ca="1">Control!$B$22/$DR271</f>
        <v>#N/A</v>
      </c>
      <c r="DT271" s="149" t="e">
        <f ca="1">IF(AND(Control!$C$114=1,$KH271&lt;1),$IM271*$DF271, 0)</f>
        <v>#N/A</v>
      </c>
      <c r="DU271" s="144" t="e">
        <f t="shared" ca="1" si="1075"/>
        <v>#N/A</v>
      </c>
      <c r="DV271" s="144">
        <f ca="1">IF($G271-Control!$C$107&lt;=0, 0, 0.83*LN(MAX($G271, 3))-0.8924)</f>
        <v>0</v>
      </c>
      <c r="DW271" s="144" t="e">
        <f t="shared" ca="1" si="952"/>
        <v>#N/A</v>
      </c>
      <c r="DX271" s="150" t="e">
        <f ca="1">MAX(0.01*(1+$CU271/Control!$C$102),0.05*($DK271-Control!$C$97)/Control!$C$97)</f>
        <v>#N/A</v>
      </c>
      <c r="DY271" s="151" t="e">
        <f ca="1">IF(Control!$C$114=1, $DI271*$FS271, 0)</f>
        <v>#N/A</v>
      </c>
      <c r="DZ271" s="196" t="e">
        <f t="shared" ca="1" si="1076"/>
        <v>#N/A</v>
      </c>
      <c r="EA271" s="152">
        <f t="shared" ca="1" si="1077"/>
        <v>267</v>
      </c>
      <c r="EB271" s="153" t="e">
        <f t="shared" ca="1" si="1078"/>
        <v>#N/A</v>
      </c>
      <c r="EC271" s="153" t="e">
        <f t="shared" ca="1" si="1079"/>
        <v>#N/A</v>
      </c>
      <c r="ED271" s="154" t="e">
        <f ca="1">IF(Control!$C$114=1, $HM271*$FY271-$FD271, 0)</f>
        <v>#DIV/0!</v>
      </c>
      <c r="EE271" s="155" t="e">
        <f ca="1">IF(Control!$C$114=1, $HM271*$FZ271-$FF271, 0)</f>
        <v>#DIV/0!</v>
      </c>
      <c r="EF271" s="153" t="e">
        <f t="shared" ca="1" si="1133"/>
        <v>#N/A</v>
      </c>
      <c r="EG271" s="155" t="e">
        <f ca="1">IF(Control!$C$114=1, $GX271*$FW271-$FI271, 0)</f>
        <v>#DIV/0!</v>
      </c>
      <c r="EH271" s="153" t="e">
        <f t="shared" ca="1" si="1080"/>
        <v>#N/A</v>
      </c>
      <c r="EI271" s="156" t="e">
        <f t="shared" ca="1" si="1081"/>
        <v>#N/A</v>
      </c>
      <c r="EJ271" s="155" t="e">
        <f ca="1">IF(Control!$C$114=1, $HM271*$GB271, 0)</f>
        <v>#DIV/0!</v>
      </c>
      <c r="EK271" s="153" t="e">
        <f t="shared" ca="1" si="1134"/>
        <v>#N/A</v>
      </c>
      <c r="EL271" s="153" t="e">
        <f t="shared" ca="1" si="953"/>
        <v>#N/A</v>
      </c>
      <c r="EM271" s="153" t="e">
        <f t="shared" ca="1" si="954"/>
        <v>#N/A</v>
      </c>
      <c r="EN271" s="153" t="e">
        <f ca="1">IF(Control!$C$108=1,IF(AND(Control!$B$18=1,$EB271&gt;=Control!$B$19),$EB271-$DS271,IF(AND(Control!$B$18=2,$AW271=1,$EB271&gt;$DS271),$EB271-$DS271,0)))</f>
        <v>#N/A</v>
      </c>
      <c r="EO271" s="153" t="e">
        <f ca="1">IF(Control!$C$108=1,IF(AND(Control!$B$18=1,$EB271&gt;=Control!$B$19),$EF271,IF(AND(Control!$B$18=2,$AW271=1),$EF271,0)))</f>
        <v>#N/A</v>
      </c>
      <c r="EP271" s="153" t="e">
        <f ca="1">IF(Control!$C$108=1,IF(AND(Control!$B$18=1,$EB271&gt;=Control!$B$19),$EK271,IF(AND(Control!$B$18=2,$AW271=1),$EK271,0)))</f>
        <v>#N/A</v>
      </c>
      <c r="EQ271" s="153" t="e">
        <f t="shared" ca="1" si="1082"/>
        <v>#N/A</v>
      </c>
      <c r="ER271" s="153" t="e">
        <f t="shared" ca="1" si="1083"/>
        <v>#N/A</v>
      </c>
      <c r="ES271" s="153" t="e">
        <f t="shared" ca="1" si="1135"/>
        <v>#N/A</v>
      </c>
      <c r="ET271" s="153" t="e">
        <f t="shared" ca="1" si="1136"/>
        <v>#N/A</v>
      </c>
      <c r="EU271" s="153" t="e">
        <f t="shared" ca="1" si="1084"/>
        <v>#N/A</v>
      </c>
      <c r="EV271" s="153" t="e">
        <f t="shared" ca="1" si="955"/>
        <v>#N/A</v>
      </c>
      <c r="EW271" s="153" t="e">
        <f t="shared" ca="1" si="956"/>
        <v>#N/A</v>
      </c>
      <c r="EX271" s="153" t="e">
        <f t="shared" ca="1" si="957"/>
        <v>#N/A</v>
      </c>
      <c r="EY271" s="157" t="e">
        <f t="shared" ca="1" si="958"/>
        <v>#DIV/0!</v>
      </c>
      <c r="EZ271" s="154" t="e">
        <f t="shared" ca="1" si="959"/>
        <v>#DIV/0!</v>
      </c>
      <c r="FA271" s="153" t="e">
        <f t="shared" ca="1" si="1085"/>
        <v>#N/A</v>
      </c>
      <c r="FB271" s="153" t="e">
        <f t="shared" ca="1" si="960"/>
        <v>#N/A</v>
      </c>
      <c r="FC271" s="193" t="e">
        <f t="shared" ca="1" si="961"/>
        <v>#N/A</v>
      </c>
      <c r="FD271" s="158" t="e">
        <f t="shared" ca="1" si="1086"/>
        <v>#N/A</v>
      </c>
      <c r="FE271" s="158" t="e">
        <f t="shared" ca="1" si="1087"/>
        <v>#N/A</v>
      </c>
      <c r="FF271" s="159" t="e">
        <f t="shared" ca="1" si="962"/>
        <v>#N/A</v>
      </c>
      <c r="FG271" s="160" t="e">
        <f t="shared" ca="1" si="1088"/>
        <v>#N/A</v>
      </c>
      <c r="FH271" s="158" t="e">
        <f t="shared" ca="1" si="1089"/>
        <v>#N/A</v>
      </c>
      <c r="FI271" s="159" t="e">
        <f t="shared" ca="1" si="963"/>
        <v>#N/A</v>
      </c>
      <c r="FJ271" s="160" t="e">
        <f t="shared" ca="1" si="1090"/>
        <v>#N/A</v>
      </c>
      <c r="FK271" s="160" t="e">
        <f t="shared" ca="1" si="964"/>
        <v>#N/A</v>
      </c>
      <c r="FL271" s="160" t="e">
        <f t="shared" ca="1" si="1137"/>
        <v>#N/A</v>
      </c>
      <c r="FM271" s="160" t="e">
        <f t="shared" ca="1" si="965"/>
        <v>#N/A</v>
      </c>
      <c r="FN271" s="158">
        <f t="shared" ca="1" si="1091"/>
        <v>0.01</v>
      </c>
      <c r="FO271" s="160">
        <f>Control!$C$101</f>
        <v>50</v>
      </c>
      <c r="FP271" s="150" t="e">
        <f t="shared" ca="1" si="966"/>
        <v>#N/A</v>
      </c>
      <c r="FQ271" s="150" t="e">
        <f ca="1">MAX(0,(Control!$C$112*(($DK271-Control!$C$97)/Control!$C$97)))</f>
        <v>#N/A</v>
      </c>
      <c r="FR271" s="150" t="e">
        <f ca="1">(1-$NT271)*Control!$C$113</f>
        <v>#DIV/0!</v>
      </c>
      <c r="FS271" s="198" t="e">
        <f t="shared" ca="1" si="967"/>
        <v>#N/A</v>
      </c>
      <c r="FT271" s="161">
        <f t="shared" ca="1" si="1092"/>
        <v>267</v>
      </c>
      <c r="FU271" s="162" t="e">
        <f ca="1">IF(Control!$B$34=1,VLOOKUP($CP271,Control!$B$86:$G$91,6),Control!$B$35)</f>
        <v>#N/A</v>
      </c>
      <c r="FV271" s="162" t="e">
        <f t="shared" ca="1" si="968"/>
        <v>#DIV/0!</v>
      </c>
      <c r="FW271" s="162" t="e">
        <f ca="1">IF(Control!$B$31=1,$FU271*$FV271,  $FU271)</f>
        <v>#N/A</v>
      </c>
      <c r="FX271" s="162" t="e">
        <f ca="1">IF(Control!$B$34=1,VLOOKUP($CP271,Control!$B$86:$G$91,3),Control!$B$36)</f>
        <v>#N/A</v>
      </c>
      <c r="FY271" s="162" t="e">
        <f t="shared" ca="1" si="969"/>
        <v>#N/A</v>
      </c>
      <c r="FZ271" s="162" t="e">
        <f ca="1">IF(Control!$B$34=1,VLOOKUP($CP271,Control!$B$86:$G$91,4),Control!$B$37)</f>
        <v>#N/A</v>
      </c>
      <c r="GA271" s="162" t="e">
        <f t="shared" ca="1" si="970"/>
        <v>#N/A</v>
      </c>
      <c r="GB271" s="162" t="e">
        <f ca="1">IF(Control!$B$34=1,VLOOKUP($CP271,Control!$B$86:$G$91,5),Control!$B$38)</f>
        <v>#N/A</v>
      </c>
      <c r="GC271" s="162" t="e">
        <f t="shared" ca="1" si="1093"/>
        <v>#N/A</v>
      </c>
      <c r="GD271" s="162">
        <f t="shared" ca="1" si="971"/>
        <v>1</v>
      </c>
      <c r="GE271" s="162">
        <f t="shared" ca="1" si="972"/>
        <v>1</v>
      </c>
      <c r="GF271" s="162">
        <f ca="1">IF(AND(Control!$C$104=1, Control!$C$62="F"),$GE271,1)</f>
        <v>1</v>
      </c>
      <c r="GG271" s="162" t="e">
        <f ca="1">IF(Control!$B$16=40,0,IF(AND(Control!$B$16&gt;40,Control!$B$16&lt;=360),(Control!$B$16-40)*((1-0)/(360-40)),IF(AND(Control!$B$16&gt;360,Control!$B$16&lt;=720),(1+(Control!$B$16-360)*((1.25-1)/(720-360))),IF(AND(Control!$B$16&gt;720,Control!$B$16&lt;=1000),(1.25+(Control!$B$16-720)*((1.35-1.25)/(1000-720))),IF(AND(Control!$B$16&gt;1000,Control!$B$16&lt;=2000),(1.35+(Control!$B$16-1000)*0))))))</f>
        <v>#N/A</v>
      </c>
      <c r="GH271" s="162" t="e">
        <f t="shared" ca="1" si="973"/>
        <v>#N/A</v>
      </c>
      <c r="GI271" s="162">
        <f t="shared" ca="1" si="1094"/>
        <v>0</v>
      </c>
      <c r="GJ271" s="162">
        <f t="shared" ca="1" si="974"/>
        <v>0</v>
      </c>
      <c r="GK271" s="162">
        <f t="shared" ca="1" si="1095"/>
        <v>1</v>
      </c>
      <c r="GL271" s="162">
        <f t="shared" ca="1" si="975"/>
        <v>1</v>
      </c>
      <c r="GM271" s="162" t="e">
        <f ca="1">MAX(0,MIN(1,1-Control!$C$156*(1.0001-$KH271)^2))</f>
        <v>#N/A</v>
      </c>
      <c r="GN271" s="162" t="e">
        <f ca="1">IF(Control!$B$26=1,$KU271,$KX271)</f>
        <v>#N/A</v>
      </c>
      <c r="GO271" s="162" t="e">
        <f ca="1">IF($CP271&lt;=60,Control!$C$105,IF($CP271&gt;=90,Control!$C$106,Control!$C$105+($CP271-60)*((Control!$C$106-Control!$C$105)/(90-60))))</f>
        <v>#N/A</v>
      </c>
      <c r="GP271" s="162" t="e">
        <f t="shared" ca="1" si="976"/>
        <v>#N/A</v>
      </c>
      <c r="GQ271" s="162" t="e">
        <f t="shared" ca="1" si="1096"/>
        <v>#N/A</v>
      </c>
      <c r="GR271" s="163" t="e">
        <f t="shared" ca="1" si="977"/>
        <v>#DIV/0!</v>
      </c>
      <c r="GS271" s="162" t="e">
        <f t="shared" ca="1" si="978"/>
        <v>#DIV/0!</v>
      </c>
      <c r="GT271" s="164" t="e">
        <f t="shared" ca="1" si="1097"/>
        <v>#N/A</v>
      </c>
      <c r="GU271" s="162" t="e">
        <f t="shared" ca="1" si="1098"/>
        <v>#N/A</v>
      </c>
      <c r="GV271" s="162" t="e">
        <f t="shared" ca="1" si="979"/>
        <v>#N/A</v>
      </c>
      <c r="GW271" s="162" t="e">
        <f t="shared" ca="1" si="980"/>
        <v>#DIV/0!</v>
      </c>
      <c r="GX271" s="162" t="e">
        <f t="shared" ca="1" si="1099"/>
        <v>#DIV/0!</v>
      </c>
      <c r="GY271" s="162" t="e">
        <f t="shared" ca="1" si="1100"/>
        <v>#DIV/0!</v>
      </c>
      <c r="GZ271" s="165" t="e">
        <f t="shared" ca="1" si="981"/>
        <v>#N/A</v>
      </c>
      <c r="HA271" s="162" t="e">
        <f ca="1">IF(Control!$C$114=1, $DI271*$FS271, 0)</f>
        <v>#N/A</v>
      </c>
      <c r="HB271" s="162" t="e">
        <f ca="1">$FA271/Control!$C$64</f>
        <v>#N/A</v>
      </c>
      <c r="HC271" s="162" t="e">
        <f t="shared" ca="1" si="982"/>
        <v>#DIV/0!</v>
      </c>
      <c r="HD271" s="162">
        <f ca="1">-ASIN(SIN(23.45*Control!$C$139)*COS(2*Control!$C$138*($AH271+10)/365))</f>
        <v>-2.2258407035960315E-2</v>
      </c>
      <c r="HE271" s="165">
        <f t="shared" ca="1" si="1101"/>
        <v>0</v>
      </c>
      <c r="HF271" s="166">
        <f ca="1">IF(AND(Control!$C$61="T",$HE271&gt;=Control!$C$103,Control!$C$114=0),$AH271,Control!$C$59)</f>
        <v>1</v>
      </c>
      <c r="HG271" s="166">
        <f ca="1">IF(AND(Control!$C$61="T",$HE271&gt;=Control!$C$103,Control!$C$114=0),$HF271,Control!$C$59)</f>
        <v>1</v>
      </c>
      <c r="HH271" s="165">
        <f ca="1">IF(AND(OR(Control!$C$60&lt;=0, $AH271= Control!$C$59, Control!$C$60 &gt;0, $AH271 = Control!$C$60)), Control!$C$59, IF(Control!$C$60&gt;0, 0))</f>
        <v>1</v>
      </c>
      <c r="HI271" s="165">
        <f ca="1">IF(AND(OR(Control!$C$60&lt;=0, $AH271= Control!$C$59, Control!$C$60 &gt;0, $AH271 = Control!$C$60)), Control!$C$60, IF(Control!$C$60&lt;=0, 0))</f>
        <v>0</v>
      </c>
      <c r="HJ271" s="166">
        <f ca="1">IF(AND(Control!$C$62="F",$CV271&gt;=Control!$C$102),$AH271,0)</f>
        <v>0</v>
      </c>
      <c r="HK271" s="165" t="e">
        <f t="shared" ca="1" si="1138"/>
        <v>#N/A</v>
      </c>
      <c r="HL271" s="166">
        <f ca="1">IF(AND(Control!$C$61="T",$HE271&gt;=Control!$C$103,Control!$C$114=0),$HF271,0)</f>
        <v>0</v>
      </c>
      <c r="HM271" s="201" t="e">
        <f t="shared" ca="1" si="983"/>
        <v>#DIV/0!</v>
      </c>
      <c r="HN271" s="215">
        <f t="shared" ca="1" si="1102"/>
        <v>267</v>
      </c>
      <c r="HO271" s="216" t="e">
        <f ca="1">IF(AND($CP271&gt;=0, $CP271&lt;=90), Control!$C$152, Control!$C$152)</f>
        <v>#N/A</v>
      </c>
      <c r="HP271" s="216" t="e">
        <f t="shared" ca="1" si="984"/>
        <v>#N/A</v>
      </c>
      <c r="HQ271" s="217" t="e">
        <f ca="1">IF(OR(Control!$B$26=1,Control!$B$26=2),$KV271,$KS271)</f>
        <v>#DIV/0!</v>
      </c>
      <c r="HR271" s="218" t="e">
        <f t="shared" ca="1" si="1139"/>
        <v>#DIV/0!</v>
      </c>
      <c r="HS271" s="216" t="e">
        <f ca="1">Control!$C$154*$HP271</f>
        <v>#N/A</v>
      </c>
      <c r="HT271" s="216" t="e">
        <f ca="1">Control!$C$155*$HP271</f>
        <v>#N/A</v>
      </c>
      <c r="HU271" s="217" t="e">
        <f ca="1">Control!$C$161*$FI271</f>
        <v>#N/A</v>
      </c>
      <c r="HV271" s="218" t="e">
        <f t="shared" ca="1" si="1103"/>
        <v>#N/A</v>
      </c>
      <c r="HW271" s="218" t="e">
        <f ca="1">Control!$C$160*$FF271+$IP271*$EO271</f>
        <v>#N/A</v>
      </c>
      <c r="HX271" s="218" t="e">
        <f t="shared" ca="1" si="1140"/>
        <v>#N/A</v>
      </c>
      <c r="HY271" s="219" t="e">
        <f ca="1">IF(Control!$C$114=1, $EB271*$FS271, 0)</f>
        <v>#N/A</v>
      </c>
      <c r="HZ271" s="91" t="e">
        <f t="shared" ca="1" si="985"/>
        <v>#N/A</v>
      </c>
      <c r="IA271" s="220" t="e">
        <f ca="1">Control!$C$153*$HO271</f>
        <v>#N/A</v>
      </c>
      <c r="IB271" s="218" t="e">
        <f t="shared" ca="1" si="986"/>
        <v>#N/A</v>
      </c>
      <c r="IC271" s="220" t="e">
        <f ca="1">Control!$C$153*$HT271</f>
        <v>#N/A</v>
      </c>
      <c r="ID271" s="218" t="e">
        <f t="shared" ca="1" si="987"/>
        <v>#N/A</v>
      </c>
      <c r="IE271" s="221" t="e">
        <f ca="1">($EB271*Control!$C$159+$EF271*Control!$C$160)/(IF($GZ271&lt;&gt;0,$GZ271,1))</f>
        <v>#N/A</v>
      </c>
      <c r="IF271" s="216" t="e">
        <f t="shared" ca="1" si="988"/>
        <v>#N/A</v>
      </c>
      <c r="IG271" s="91">
        <f ca="1">IF(OR(Control!$B$198=$AH271,Control!$B$199=$AH271, Control!$B$200=$AH271, Control!$B$201=$AH271, Control!$B$202=$AH271, Control!$B$203=$AH271, Control!$B$204=$AH271, Control!$B$205=$AH271, Control!$B$206=$AH271, Control!$B$207=$AH271), 1, 0)</f>
        <v>0</v>
      </c>
      <c r="IH271" s="91">
        <f ca="1">IF($IG271=0,0, VLOOKUP($AH271,Control!$B$198:$C$207,2))</f>
        <v>0</v>
      </c>
      <c r="II271" s="222">
        <f t="shared" ca="1" si="1104"/>
        <v>0</v>
      </c>
      <c r="IJ271" s="91">
        <f>Control!$C$121</f>
        <v>0.7</v>
      </c>
      <c r="IK271" s="218">
        <f t="shared" ca="1" si="989"/>
        <v>0</v>
      </c>
      <c r="IL271" s="217" t="e">
        <f t="shared" ca="1" si="1141"/>
        <v>#N/A</v>
      </c>
      <c r="IM271" s="223" t="e">
        <f ca="1">IF(AND(Control!$C$114=1,$KH271&lt;1),$EB271*Control!$C$148*(1-$KH271), 0)</f>
        <v>#N/A</v>
      </c>
      <c r="IN271" s="217" t="e">
        <f t="shared" ca="1" si="990"/>
        <v>#DIV/0!</v>
      </c>
      <c r="IO271" s="91" t="e">
        <f ca="1">MAX(0,$IL271-$EF271*Control!$C$160)</f>
        <v>#N/A</v>
      </c>
      <c r="IP271" s="220" t="e">
        <f t="shared" ca="1" si="991"/>
        <v>#N/A</v>
      </c>
      <c r="IQ271" s="217" t="e">
        <f t="shared" ca="1" si="1105"/>
        <v>#N/A</v>
      </c>
      <c r="IR271" s="218" t="e">
        <f t="shared" ca="1" si="992"/>
        <v>#N/A</v>
      </c>
      <c r="IS271" s="217" t="e">
        <f ca="1">Control!$C$159*MAX(0,$FD271-$EN271)</f>
        <v>#N/A</v>
      </c>
      <c r="IT271" s="217" t="e">
        <f t="shared" ca="1" si="1142"/>
        <v>#N/A</v>
      </c>
      <c r="IU271" s="217" t="e">
        <f t="shared" ca="1" si="1106"/>
        <v>#N/A</v>
      </c>
      <c r="IV271" s="217" t="e">
        <f t="shared" ca="1" si="1143"/>
        <v>#N/A</v>
      </c>
      <c r="IW271" s="217" t="e">
        <f ca="1">IF(OR($AW271=1,AND($AW271=0, Control!$B$18=1,$EN271&lt;&gt;0)), $IQ271-$IU271, $IQ271)</f>
        <v>#N/A</v>
      </c>
      <c r="IX271" s="218" t="e">
        <f t="shared" ca="1" si="993"/>
        <v>#N/A</v>
      </c>
      <c r="IY271" s="218" t="e">
        <f ca="1">MAX(0,$IQ271-$EB271*Control!$C$159)</f>
        <v>#N/A</v>
      </c>
      <c r="IZ271" s="218" t="e">
        <f t="shared" ca="1" si="994"/>
        <v>#N/A</v>
      </c>
      <c r="JA271" s="216" t="e">
        <f t="shared" ca="1" si="995"/>
        <v>#N/A</v>
      </c>
      <c r="JB271" s="217" t="e">
        <f t="shared" ca="1" si="996"/>
        <v>#N/A</v>
      </c>
      <c r="JC271" s="222" t="e">
        <f ca="1">MAX(Control!$C$157*$EK271-$JT271, 0)/Control!$C$162</f>
        <v>#N/A</v>
      </c>
      <c r="JD271" s="218" t="e">
        <f t="shared" ca="1" si="997"/>
        <v>#N/A</v>
      </c>
      <c r="JE271" s="218" t="e">
        <f t="shared" ca="1" si="998"/>
        <v>#N/A</v>
      </c>
      <c r="JF271" s="218" t="e">
        <f t="shared" ca="1" si="1107"/>
        <v>#N/A</v>
      </c>
      <c r="JG271" s="218" t="e">
        <f t="shared" ca="1" si="999"/>
        <v>#N/A</v>
      </c>
      <c r="JH271" s="217" t="e">
        <f t="shared" ca="1" si="1108"/>
        <v>#N/A</v>
      </c>
      <c r="JI271" s="217" t="e">
        <f t="shared" ca="1" si="1109"/>
        <v>#N/A</v>
      </c>
      <c r="JJ271" s="217" t="e">
        <f t="shared" ca="1" si="1144"/>
        <v>#N/A</v>
      </c>
      <c r="JK271" s="217" t="e">
        <f ca="1">IF(Control!$C$114=1,IF(Control!$B$24=0,MAX(0,$JI271)*$GN271/Control!$C$64,(MAX(0,MIN($JI271,$JJ271*$GN271/Control!$C$64),0))))</f>
        <v>#N/A</v>
      </c>
      <c r="JL271" s="217" t="e">
        <f ca="1">$IK271/Control!$C$64-$JK271+$HQ271</f>
        <v>#N/A</v>
      </c>
      <c r="JM271" s="217" t="e">
        <f ca="1">IF(Control!$C$114=1,($JB271/(IF($JI271&lt;&gt;0,$JI271,1)))*$JK271,0)</f>
        <v>#N/A</v>
      </c>
      <c r="JN271" s="217" t="e">
        <f ca="1">IF(Control!$C$114=1,($JG271/(IF($JI271&lt;&gt;0,$JI271,1)))*$JK271, 0)</f>
        <v>#N/A</v>
      </c>
      <c r="JO271" s="218" t="e">
        <f t="shared" ca="1" si="1000"/>
        <v>#N/A</v>
      </c>
      <c r="JP271" s="218" t="e">
        <f ca="1">MIN(($IY271+$IO271)*Control!$C$151, $JF271-$EH271*Control!$C$161)</f>
        <v>#N/A</v>
      </c>
      <c r="JQ271" s="218" t="e">
        <f t="shared" ca="1" si="1001"/>
        <v>#N/A</v>
      </c>
      <c r="JR271" s="217" t="e">
        <f ca="1">IF($CP271-Control!$C$150&lt;0, 0, $JQ271/Control!$C$162)</f>
        <v>#N/A</v>
      </c>
      <c r="JS271" s="218" t="e">
        <f t="shared" ca="1" si="1002"/>
        <v>#N/A</v>
      </c>
      <c r="JT271" s="218" t="e">
        <f t="shared" ca="1" si="1110"/>
        <v>#N/A</v>
      </c>
      <c r="JU271" s="218" t="e">
        <f t="shared" ca="1" si="1003"/>
        <v>#N/A</v>
      </c>
      <c r="JV271" s="218" t="e">
        <f t="shared" ca="1" si="1004"/>
        <v>#N/A</v>
      </c>
      <c r="JW271" s="216" t="e">
        <f t="shared" ca="1" si="1005"/>
        <v>#N/A</v>
      </c>
      <c r="JX271" s="91" t="e">
        <f t="shared" ca="1" si="1006"/>
        <v>#N/A</v>
      </c>
      <c r="JY271" s="218" t="e">
        <f t="shared" ca="1" si="1007"/>
        <v>#N/A</v>
      </c>
      <c r="JZ271" s="217" t="e">
        <f ca="1">IF(Control!$C$114=1,($IZ271/(IF($JI271&lt;&gt;0,$JI271,1)))*$JK271, 0)</f>
        <v>#N/A</v>
      </c>
      <c r="KA271" s="218" t="e">
        <f t="shared" ca="1" si="1145"/>
        <v>#N/A</v>
      </c>
      <c r="KB271" s="218" t="e">
        <f t="shared" ca="1" si="1111"/>
        <v>#N/A</v>
      </c>
      <c r="KC271" s="218" t="e">
        <f t="shared" ca="1" si="1008"/>
        <v>#N/A</v>
      </c>
      <c r="KD271" s="218" t="e">
        <f t="shared" ca="1" si="1009"/>
        <v>#N/A</v>
      </c>
      <c r="KE271" s="218" t="e">
        <f t="shared" ca="1" si="1010"/>
        <v>#N/A</v>
      </c>
      <c r="KF271" s="218" t="e">
        <f t="shared" ca="1" si="1011"/>
        <v>#N/A</v>
      </c>
      <c r="KG271" s="216" t="e">
        <f t="shared" ca="1" si="1012"/>
        <v>#N/A</v>
      </c>
      <c r="KH271" s="221" t="e">
        <f ca="1">IF(Control!$B$24=0,1,MAX(0.001,MIN(1,IF(($IF271-$IE271)&lt;&gt;0,($KG271-$IE271)/($IF271-$IE271),1))))</f>
        <v>#N/A</v>
      </c>
      <c r="KI271" s="222" t="e">
        <f ca="1">IF(Control!$C$114=1, $KI270+ $KH270, 0)</f>
        <v>#N/A</v>
      </c>
      <c r="KJ271" s="217" t="e">
        <f t="shared" ca="1" si="1013"/>
        <v>#N/A</v>
      </c>
      <c r="KK271" s="218" t="e">
        <f t="shared" ca="1" si="1014"/>
        <v>#N/A</v>
      </c>
      <c r="KL271" s="274" t="e">
        <f ca="1">IF(Control!$B$26=3,4000000000*EXP(-8400/($G271+273)),IF(Control!$B$26=4,4000000000*EXP(-8400/($G271+273))*($KT271),0))</f>
        <v>#DIV/0!</v>
      </c>
      <c r="KM271" s="274" t="e">
        <f ca="1">IF(Control!$B$26=3,5600000000000*EXP(-9800/($G271+273)),IF(Control!$B$26=4,5600000000000*EXP(-9800/($G271+273))*$KT271,0))</f>
        <v>#DIV/0!</v>
      </c>
      <c r="KN271" s="454" t="e">
        <f t="shared" ca="1" si="1112"/>
        <v>#DIV/0!</v>
      </c>
      <c r="KO271" s="274" t="e">
        <f t="shared" ca="1" si="1113"/>
        <v>#DIV/0!</v>
      </c>
      <c r="KP271" s="454" t="e">
        <f t="shared" ca="1" si="1015"/>
        <v>#DIV/0!</v>
      </c>
      <c r="KQ271" s="454" t="e">
        <f t="shared" ca="1" si="1016"/>
        <v>#DIV/0!</v>
      </c>
      <c r="KR271" s="454" t="e">
        <f t="shared" ca="1" si="1017"/>
        <v>#DIV/0!</v>
      </c>
      <c r="KS271" s="454" t="e">
        <f t="shared" ca="1" si="1018"/>
        <v>#DIV/0!</v>
      </c>
      <c r="KT271" s="455" t="e">
        <f t="shared" ca="1" si="1019"/>
        <v>#DIV/0!</v>
      </c>
      <c r="KU271" s="456" t="e">
        <f ca="1">IF($CP271-Control!$C$149&lt;0, IF($NT271-0.01&lt;0,0,1),0)</f>
        <v>#N/A</v>
      </c>
      <c r="KV271" s="456" t="e">
        <f ca="1">IF(Control!$C$114=1,MAX(0,MIN(Control!$C$125*$KW271*$GN271,$KW271)))</f>
        <v>#DIV/0!</v>
      </c>
      <c r="KW271" s="456" t="e">
        <f t="shared" ca="1" si="1146"/>
        <v>#DIV/0!</v>
      </c>
      <c r="KX271" s="457" t="e">
        <f ca="1">IF($CP271-Control!$C$149&lt;0, IF($MR271-$OM271&lt;0,0,1),0)</f>
        <v>#N/A</v>
      </c>
      <c r="KY271" s="167">
        <f t="shared" ca="1" si="1114"/>
        <v>267</v>
      </c>
      <c r="KZ271" s="168">
        <f ca="1">1370*(1+0.033*COS(2*Control!$C$138*$AH271/365))</f>
        <v>1364.7590793885122</v>
      </c>
      <c r="LA271" s="169">
        <f t="shared" ca="1" si="1115"/>
        <v>0.99617415821334843</v>
      </c>
      <c r="LB271" s="169">
        <f t="shared" ca="1" si="1116"/>
        <v>-2.6403204233750699E-2</v>
      </c>
      <c r="LC271" s="169">
        <f ca="1">ACOS(-TAN((2*Control!$B$8/360))*TAN(Calculations!$LB271))</f>
        <v>1.5629473072326743</v>
      </c>
      <c r="LD271" s="169">
        <f ca="1">((24*60)/PI())*0.082*$LA271*(($LC271*SIN(Control!$B$8*2*PI()/360))*SIN($LB271)+COS(Control!$B$8*2*PI()/360)*COS($LB271)*SIN($LC271))</f>
        <v>21.825565005886414</v>
      </c>
      <c r="LE271" s="170">
        <f t="shared" ca="1" si="1020"/>
        <v>22.077484085499783</v>
      </c>
      <c r="LF271" s="170">
        <f ca="1">SIN(Control!$C$139*Control!$B$8)*SIN($HD271)</f>
        <v>-1.7538444903769629E-2</v>
      </c>
      <c r="LG271" s="170">
        <f ca="1">COS(Control!$C$139*Control!$B$8)*COS($HD271)</f>
        <v>0.61550729900292167</v>
      </c>
      <c r="LH271" s="170">
        <f ca="1">12*(1+2*ASIN(MAX(-1,MIN(1,$LF271/$LG271))/Control!$C$138))</f>
        <v>11.782317165657888</v>
      </c>
      <c r="LI271" s="170">
        <f ca="1">12*(1+2*ASIN(MAX(-1,MIN(1,(-SIN(-4*Control!$C$139)+$LF271)/$LG271))/Control!$C$138))</f>
        <v>12.648189173945838</v>
      </c>
      <c r="LJ271" s="168">
        <f ca="1">3600*($LH271*$LF271+24*$LG271*SQRT(1-$LK271*$LK271)/Control!$C$138)</f>
        <v>16176.836204227138</v>
      </c>
      <c r="LK271" s="170">
        <f t="shared" ca="1" si="1021"/>
        <v>-2.8494292321440656E-2</v>
      </c>
      <c r="LL271" s="170">
        <f t="shared" ca="1" si="1022"/>
        <v>0</v>
      </c>
      <c r="LM271" s="171">
        <f ca="1">Control!$C$145*$AB271</f>
        <v>6.6660906138995932E-2</v>
      </c>
      <c r="LN271" s="170">
        <f t="shared" ca="1" si="1117"/>
        <v>0.54</v>
      </c>
      <c r="LO271" s="170">
        <f t="shared" ca="1" si="1023"/>
        <v>0</v>
      </c>
      <c r="LP271" s="170">
        <f ca="1">Control!$C$140*((($D271+273.16)^4+($E271+273.16)^4)/2)*(0.34-0.14*SQRT($Y271))*(1.35*$AQ271/(0.75*$LD271)-0.35)</f>
        <v>-3.2464704755046001</v>
      </c>
      <c r="LQ271" s="170">
        <f ca="1">Control!$C$140*($G271+273)^4*(0.56-0.079*SQRT($Y271*10))*(0.1+0.9*$LO271)</f>
        <v>1.5241745131704001</v>
      </c>
      <c r="LR271" s="170">
        <f ca="1">$AQ271*(1-Control!$C$142)-$LQ271</f>
        <v>-1.5241745131704001</v>
      </c>
      <c r="LS271" s="170">
        <f ca="1">$AQ271*(1-Control!$C$143)-$LQ271</f>
        <v>-1.5241745131704001</v>
      </c>
      <c r="LT271" s="170">
        <f ca="1">$AQ271*(1-Control!$C$144)-$LQ271</f>
        <v>-1.5241745131704001</v>
      </c>
      <c r="LU271" s="169">
        <f ca="1">(1-Control!$C$144)*AQ271-LP271</f>
        <v>3.2464704755046001</v>
      </c>
      <c r="LV271" s="172">
        <f t="shared" ca="1" si="1024"/>
        <v>0.79430000000000012</v>
      </c>
      <c r="LW271" s="170">
        <f t="shared" ca="1" si="1025"/>
        <v>1.5886000000000002</v>
      </c>
      <c r="LX271" s="170">
        <f ca="1">($AC271*($LR271/Control!$C$141)+$LM271*$LV271)/($AC271+$LM271)</f>
        <v>0.23530094218323697</v>
      </c>
      <c r="LY271" s="170">
        <f ca="1">($AC271*($LS271/Control!$C$141)+$LM271*$LV271)/($AC271+$LM271)</f>
        <v>0.23530094218323697</v>
      </c>
      <c r="LZ271" s="170">
        <f t="shared" ca="1" si="1026"/>
        <v>0.23530094218323697</v>
      </c>
      <c r="MA271" s="170">
        <f t="shared" ca="1" si="1027"/>
        <v>0.23530094218323697</v>
      </c>
      <c r="MB271" s="170" t="e">
        <f t="shared" ca="1" si="1028"/>
        <v>#N/A</v>
      </c>
      <c r="MC271" s="170">
        <f t="shared" ca="1" si="1118"/>
        <v>0.6018</v>
      </c>
      <c r="MD271" s="170">
        <f t="shared" ca="1" si="1029"/>
        <v>0.52989392535414004</v>
      </c>
      <c r="ME271" s="170">
        <f ca="1">($AC271*($LT271/Control!$C$141)+$LM271*$LW271)/($AC271+$LM271)</f>
        <v>0.71612369323045078</v>
      </c>
      <c r="MF271" s="170" t="e">
        <f ca="1">IF(Control!$B$16&gt;=1000,0.92,IF(AND(720&lt;=Control!$B$16,1000&gt;Control!$B$16),(0.95+(Control!$B$16-720)*((0.92-0.95)/(1000-720))),IF(AND(360&lt;=Control!$B$16,720&gt;Control!$B$16),(1+(Control!$B$16-360)*((0.95-1)/(720-360))),IF(AND(40&lt;=Control!$B$16,360&gt;Control!$B$16),(1.05+(Control!$B$16-40)*((1.05-1)/(360-40)))))))</f>
        <v>#N/A</v>
      </c>
      <c r="MG271" s="170">
        <f t="shared" ca="1" si="1030"/>
        <v>0.71612369323045078</v>
      </c>
      <c r="MH271" s="170" t="e">
        <f t="shared" ca="1" si="1155"/>
        <v>#N/A</v>
      </c>
      <c r="MI271" s="170" t="e">
        <f t="shared" ca="1" si="1155"/>
        <v>#N/A</v>
      </c>
      <c r="MJ271" s="170" t="e">
        <f ca="1">MAX(0.0001, Control!$C$132*$MI271*$DL271)</f>
        <v>#N/A</v>
      </c>
      <c r="MK271" s="170">
        <f ca="1">1/(0.76+1.5*($MG271/10))-(5-Control!$C$110)*0.1</f>
        <v>1.002845988140797</v>
      </c>
      <c r="ML271" s="173">
        <f ca="1">IF(Control!$C$110&lt;3,$MK271+($MG271-0.6)/(Control!$C$110*(Control!$C$110+3)), MAX(0.1, MIN(0.95,$MK271)))</f>
        <v>0.95</v>
      </c>
      <c r="MM271" s="173">
        <f ca="1">IF(Control!$C$110&lt;3,$MK271+(($MI271/10)-0.6)/(Control!$C$110*(Control!$C$110+3)), MAX(0.1, MIN(0.95,$MK271)))</f>
        <v>0.95</v>
      </c>
      <c r="MN271" s="173">
        <f ca="1">(1-$MM271)*(Control!$C$128-Control!$C$127)+Control!$C$127</f>
        <v>0.16</v>
      </c>
      <c r="MO271" s="170" t="e">
        <f ca="1">MAX(0,MIN(1,($MS271-Control!$C$127)/($MN271-Control!$C$127)))</f>
        <v>#DIV/0!</v>
      </c>
      <c r="MP271" s="173" t="e">
        <f ca="1">1/(0.76+1.5*$MI271)-(5-Control!$C$110)*0.1</f>
        <v>#N/A</v>
      </c>
      <c r="MQ271" s="172" t="e">
        <f t="shared" ca="1" si="1147"/>
        <v>#DIV/0!</v>
      </c>
      <c r="MR271" s="168" t="e">
        <f t="shared" ca="1" si="1119"/>
        <v>#DIV/0!</v>
      </c>
      <c r="MS271" s="173" t="e">
        <f ca="1">MAX(Control!$C$127, MIN(Control!$C$135, $MR271/MAX(0.0001,$CY271)))</f>
        <v>#DIV/0!</v>
      </c>
      <c r="MT271" s="168" t="e">
        <f ca="1">(Control!$C$128-$MS271)*Control!$C$74</f>
        <v>#DIV/0!</v>
      </c>
      <c r="MU271" s="168" t="e">
        <f ca="1">(Control!$C$135-$MS271)*Control!$C$74</f>
        <v>#DIV/0!</v>
      </c>
      <c r="MV271" s="168" t="e">
        <f t="shared" ca="1" si="1120"/>
        <v>#DIV/0!</v>
      </c>
      <c r="MW271" s="168" t="e">
        <f t="shared" ca="1" si="1121"/>
        <v>#DIV/0!</v>
      </c>
      <c r="MX271" s="171" t="e">
        <f ca="1">MAX(Control!$C$127, MIN(Control!$C$135, $MW271/MAX(0.0001,Control!$C$119-$CY271)))</f>
        <v>#DIV/0!</v>
      </c>
      <c r="MY271" s="54" t="e">
        <f ca="1">IF(Control!$C$114=1, $CX271*$MX271, 0)</f>
        <v>#DIV/0!</v>
      </c>
      <c r="MZ271" s="54" t="e">
        <f t="shared" ca="1" si="1122"/>
        <v>#N/A</v>
      </c>
      <c r="NA271" s="168" t="e">
        <f ca="1">(Control!$C$128-$MX271)*(Control!$C$119-Control!$C$74)</f>
        <v>#DIV/0!</v>
      </c>
      <c r="NB271" s="168" t="e">
        <f ca="1">(Control!$C$135-$MX271)*(Control!$C$119-Control!$C$74)</f>
        <v>#DIV/0!</v>
      </c>
      <c r="NC271" s="174" t="e">
        <f t="shared" ca="1" si="1123"/>
        <v>#DIV/0!</v>
      </c>
      <c r="ND271" s="54">
        <f ca="1">IF(Control!$C$58=2, IF(OR(Control!$B$218=$AH271,Control!$B$219=$AH271, Control!$B$220=$AH271, Control!$B$221=$AH271, Control!$B$222=$AH271, Control!$B$223=$AH271, Control!$B$224=$AH271, Control!$B$225=$AH271, Control!$B$226=$AH271, Control!$B$227=$AH271, Control!$B$228=$AH271), 1, 0), 0)</f>
        <v>0</v>
      </c>
      <c r="NE271" s="54">
        <f ca="1">IF($ND271=0,0, VLOOKUP($AH271,Control!$B$218:$C$228,2))</f>
        <v>0</v>
      </c>
      <c r="NF271" s="168" t="e">
        <f ca="1">$CY271*(Control!$C$128-Control!$C$127)</f>
        <v>#N/A</v>
      </c>
      <c r="NG271" s="54" t="e">
        <f ca="1">IF(Control!$C$58=2, $NI270-$NJ270, 0)</f>
        <v>#DIV/0!</v>
      </c>
      <c r="NH271" s="54" t="e">
        <f ca="1">IF(AND(Control!$C$58=1, $MS270&lt;= ($MN270+0.02), $I270&lt;10), 0, IF(Control!$C$58=2, $NG270, 0))</f>
        <v>#DIV/0!</v>
      </c>
      <c r="NI271" s="54" t="e">
        <f ca="1">IF(Control!$C$58=2, $NE271+$NH271,0)</f>
        <v>#DIV/0!</v>
      </c>
      <c r="NJ271" s="54" t="e">
        <f ca="1">IF(AND(Control!$C$58=1, $MS271&lt;= ($MN271+0.02), $I271&lt;10), MAX(0, MIN(10, 0.7*($NF271-$MV271))), IF(Control!$C$58=2, MIN(10,$NI271),0))</f>
        <v>#DIV/0!</v>
      </c>
      <c r="NK271" s="54" t="e">
        <f t="shared" ca="1" si="1031"/>
        <v>#DIV/0!</v>
      </c>
      <c r="NL271" s="173" t="e">
        <f ca="1">(1-Control!$C$73)*$I271+$NJ271</f>
        <v>#DIV/0!</v>
      </c>
      <c r="NM271" s="172" t="e">
        <f ca="1">IF($NL271&lt;0.5, $MB271* MAX(0, MIN(1, (SQRT($NC271)-SQRT($NC271-1))*Control!$C$71)),0)</f>
        <v>#DIV/0!</v>
      </c>
      <c r="NN271" s="170" t="e">
        <f ca="1">IF($NL271&gt;=5, $MB271, MAX(0,MIN($MB271, $NM271+$NL271,($MS271-Control!$C$129))))</f>
        <v>#DIV/0!</v>
      </c>
      <c r="NO271" s="54">
        <f>IF(Control!$C$133&lt;&gt;1, Control!$C$135-Control!$C$131, 0)</f>
        <v>0.38</v>
      </c>
      <c r="NP271" s="54" t="e">
        <f t="shared" ca="1" si="1032"/>
        <v>#DIV/0!</v>
      </c>
      <c r="NQ271" s="173" t="e">
        <f ca="1">MAX(0,MIN(1,(Control!$C$135-$MS271)/(Control!$C$135-$NO271)))</f>
        <v>#DIV/0!</v>
      </c>
      <c r="NR271" s="170" t="e">
        <f ca="1">IF(Control!$C$133&lt;&gt;1, $NQ271+((1-$NP271/4)*(1-$NQ271)),1)</f>
        <v>#DIV/0!</v>
      </c>
      <c r="NS271" s="170" t="e">
        <f ca="1">IF(Control!$B$31=0,$MJ271,MAX(0,MIN($MV271,$MO271*$NR271*$MJ271)))</f>
        <v>#DIV/0!</v>
      </c>
      <c r="NT271" s="170" t="e">
        <f t="shared" ca="1" si="1148"/>
        <v>#DIV/0!</v>
      </c>
      <c r="NU271" s="170" t="e">
        <f t="shared" ca="1" si="1124"/>
        <v>#N/A</v>
      </c>
      <c r="NV271" s="170" t="e">
        <f t="shared" ca="1" si="1033"/>
        <v>#N/A</v>
      </c>
      <c r="NW271" s="175" t="e">
        <f t="shared" ca="1" si="1034"/>
        <v>#DIV/0!</v>
      </c>
      <c r="NX271" s="170" t="e">
        <f ca="1">MIN(Control!$C$72+$MU271, $NW271)</f>
        <v>#DIV/0!</v>
      </c>
      <c r="NY271" s="170" t="e">
        <f ca="1">IF($MT271&lt;=$NX271,MIN(Control!$C$72+$NB271,$NX271-$MT271),0)</f>
        <v>#DIV/0!</v>
      </c>
      <c r="NZ271" s="54" t="e">
        <f ca="1">IF(Control!$C$114=1,  $CX271*($MX271-Control!$C$127), 0)</f>
        <v>#DIV/0!</v>
      </c>
      <c r="OA271" s="170" t="e">
        <f t="shared" ca="1" si="1035"/>
        <v>#DIV/0!</v>
      </c>
      <c r="OB271" s="170" t="e">
        <f ca="1">IF($NA271 &lt;=$NY271, MIN(Control!$C$72, $NY271-$NA271), 0)</f>
        <v>#DIV/0!</v>
      </c>
      <c r="OC271" s="168" t="e">
        <f t="shared" ca="1" si="1036"/>
        <v>#DIV/0!</v>
      </c>
      <c r="OD271" s="168" t="e">
        <f t="shared" ca="1" si="1125"/>
        <v>#DIV/0!</v>
      </c>
      <c r="OE271" s="170">
        <f ca="1">Control!$C$73*$I271</f>
        <v>0</v>
      </c>
      <c r="OF271" s="176" t="e">
        <f t="shared" ca="1" si="1037"/>
        <v>#DIV/0!</v>
      </c>
      <c r="OG271" s="168" t="e">
        <f t="shared" ca="1" si="1038"/>
        <v>#DIV/0!</v>
      </c>
      <c r="OH271" s="168" t="e">
        <f t="shared" ca="1" si="1039"/>
        <v>#DIV/0!</v>
      </c>
      <c r="OI271" s="168" t="e">
        <f t="shared" ca="1" si="1040"/>
        <v>#DIV/0!</v>
      </c>
      <c r="OJ271" s="168" t="e">
        <f t="shared" ca="1" si="1041"/>
        <v>#DIV/0!</v>
      </c>
      <c r="OK271" s="204" t="e">
        <f t="shared" ca="1" si="1042"/>
        <v>#DIV/0!</v>
      </c>
      <c r="OL271" s="177">
        <f>Control!$C$127</f>
        <v>0.15</v>
      </c>
      <c r="OM271" s="182" t="e">
        <f t="shared" ca="1" si="1043"/>
        <v>#N/A</v>
      </c>
      <c r="ON271" s="177">
        <f>Control!$C$128</f>
        <v>0.35</v>
      </c>
      <c r="OO271" s="182" t="e">
        <f t="shared" ca="1" si="1044"/>
        <v>#N/A</v>
      </c>
      <c r="OP271" s="138">
        <f t="shared" ca="1" si="1126"/>
        <v>0</v>
      </c>
      <c r="OQ271" s="138" t="e">
        <f t="shared" ca="1" si="1149"/>
        <v>#DIV/0!</v>
      </c>
      <c r="OR271" s="138" t="e">
        <f t="shared" ca="1" si="1127"/>
        <v>#DIV/0!</v>
      </c>
      <c r="OS271" s="137" t="e">
        <f t="shared" ca="1" si="1150"/>
        <v>#DIV/0!</v>
      </c>
      <c r="OT271" s="139" t="e">
        <f t="shared" ca="1" si="1151"/>
        <v>#DIV/0!</v>
      </c>
      <c r="OU271" s="138" t="e">
        <f t="shared" ca="1" si="1152"/>
        <v>#N/A</v>
      </c>
      <c r="OV271" s="138" t="e">
        <f t="shared" ca="1" si="1153"/>
        <v>#DIV/0!</v>
      </c>
      <c r="OW271" s="138" t="e">
        <f t="shared" ca="1" si="1128"/>
        <v>#DIV/0!</v>
      </c>
      <c r="OX271" s="138" t="e">
        <f t="shared" ca="1" si="1129"/>
        <v>#DIV/0!</v>
      </c>
      <c r="OY271" s="138" t="e">
        <f t="shared" ca="1" si="1130"/>
        <v>#DIV/0!</v>
      </c>
      <c r="OZ271" s="138" t="e">
        <f t="shared" ca="1" si="1045"/>
        <v>#DIV/0!</v>
      </c>
      <c r="PA271" s="138" t="e">
        <f t="shared" ca="1" si="1046"/>
        <v>#DIV/0!</v>
      </c>
      <c r="PB271" s="55">
        <f>IF(Control!$C$61="T", IF(Control!$C$65="F", IF($AH$6-Control!$C$60&lt;0,0,1), IF(365+$AH$6-Control!$C$60&lt;0,0,1)),0)</f>
        <v>0</v>
      </c>
      <c r="PC271" s="55">
        <f ca="1">IF(Control!$C$65="F", IF($AH$6-$HF271&lt;0,0,1), IF(365+$AH$6-$HF271&lt;0,0,1))</f>
        <v>1</v>
      </c>
      <c r="PD271" s="444">
        <f>Control!$C$118</f>
        <v>1500</v>
      </c>
      <c r="PE271" s="180" t="e">
        <f t="shared" ca="1" si="1047"/>
        <v>#N/A</v>
      </c>
      <c r="PF271" s="445">
        <f t="shared" ca="1" si="1131"/>
        <v>0.71612369323045078</v>
      </c>
      <c r="PT271" s="186"/>
      <c r="PU271" s="186"/>
      <c r="PV271" s="94"/>
      <c r="PW271" s="94"/>
      <c r="PX271" s="94"/>
      <c r="PY271" s="94"/>
      <c r="PZ271" s="94"/>
      <c r="QA271" s="94"/>
      <c r="QB271" s="94"/>
      <c r="QC271" s="94"/>
      <c r="QD271" s="94"/>
      <c r="QE271" s="94"/>
      <c r="QF271" s="94"/>
      <c r="QG271" s="94"/>
      <c r="QH271" s="94"/>
      <c r="QI271" s="94"/>
      <c r="QJ271" s="94"/>
      <c r="QK271" s="94"/>
      <c r="QL271" s="94"/>
      <c r="QM271" s="94"/>
      <c r="QN271" s="94"/>
      <c r="QO271" s="94"/>
      <c r="QP271" s="94"/>
    </row>
    <row r="272" spans="1:458" s="2" customFormat="1" x14ac:dyDescent="0.2">
      <c r="A272" s="395">
        <v>24</v>
      </c>
      <c r="B272" s="396">
        <v>9</v>
      </c>
      <c r="C272" s="387">
        <f ca="1">Weather_data!$B271</f>
        <v>0</v>
      </c>
      <c r="D272" s="388">
        <f ca="1">Weather_data!$F271</f>
        <v>0</v>
      </c>
      <c r="E272" s="388">
        <f ca="1">Weather_data!$E271</f>
        <v>0</v>
      </c>
      <c r="F272" s="388">
        <f t="shared" ca="1" si="1048"/>
        <v>0</v>
      </c>
      <c r="G272" s="388">
        <f ca="1">AVERAGE($D272:$E272)+Control!$B$9</f>
        <v>0</v>
      </c>
      <c r="H272" s="388">
        <f ca="1">Weather_data!$G271</f>
        <v>0</v>
      </c>
      <c r="I272" s="388">
        <f ca="1">Weather_data!$I271</f>
        <v>0</v>
      </c>
      <c r="J272" s="388">
        <f ca="1">Weather_data!$H271</f>
        <v>0</v>
      </c>
      <c r="K272" s="389">
        <f ca="1">Weather_data!$D271</f>
        <v>0</v>
      </c>
      <c r="L272" s="388" t="e">
        <f t="shared" ca="1" si="1049"/>
        <v>#N/A</v>
      </c>
      <c r="M272" s="388" t="e">
        <f t="shared" ca="1" si="927"/>
        <v>#N/A</v>
      </c>
      <c r="N272" s="388">
        <f t="shared" ca="1" si="928"/>
        <v>-3.3688177385145461E-13</v>
      </c>
      <c r="O272" s="388">
        <f t="shared" ca="1" si="1050"/>
        <v>3.368817738514546E-12</v>
      </c>
      <c r="P272" s="390">
        <v>3</v>
      </c>
      <c r="Q272" s="388">
        <f ca="1">MAX($G272-Control!$C$107,0)</f>
        <v>0</v>
      </c>
      <c r="R272" s="388">
        <f t="shared" ca="1" si="1051"/>
        <v>0</v>
      </c>
      <c r="S272" s="388">
        <f t="shared" ca="1" si="929"/>
        <v>0</v>
      </c>
      <c r="T272" s="388">
        <f t="shared" ca="1" si="930"/>
        <v>0</v>
      </c>
      <c r="U272" s="59">
        <f t="shared" ca="1" si="931"/>
        <v>0</v>
      </c>
      <c r="V272" s="391">
        <f ca="1">MAX(0,MIN(Control!$C$100-Control!$C$99,$G272-Control!$C$99)*Control!$C$63)</f>
        <v>0</v>
      </c>
      <c r="W272" s="388">
        <f t="shared" ca="1" si="1052"/>
        <v>0</v>
      </c>
      <c r="X272" s="388">
        <f t="shared" ca="1" si="1053"/>
        <v>0.6110000000000001</v>
      </c>
      <c r="Y272" s="388">
        <f t="shared" ca="1" si="932"/>
        <v>0</v>
      </c>
      <c r="Z272" s="388">
        <f t="shared" ca="1" si="1054"/>
        <v>0.61058800000000002</v>
      </c>
      <c r="AA272" s="388">
        <f t="shared" ca="1" si="933"/>
        <v>0.6018</v>
      </c>
      <c r="AB272" s="388">
        <f ca="1">101.3*EXP(-0.034*Control!$C$66/($G272+273))</f>
        <v>100.69623283836242</v>
      </c>
      <c r="AC272" s="392">
        <f t="shared" ca="1" si="934"/>
        <v>4.3460251046025113E-2</v>
      </c>
      <c r="AD272" s="392">
        <f t="shared" ca="1" si="935"/>
        <v>4.4450382862832649E-2</v>
      </c>
      <c r="AE272" s="388">
        <f t="shared" ca="1" si="936"/>
        <v>0</v>
      </c>
      <c r="AF272" s="388">
        <f ca="1">MAX(0,$G272-Control!$C$92)</f>
        <v>0</v>
      </c>
      <c r="AG272" s="393">
        <f t="shared" ca="1" si="937"/>
        <v>268</v>
      </c>
      <c r="AH272" s="389">
        <f t="shared" ca="1" si="938"/>
        <v>268</v>
      </c>
      <c r="AI272" s="388">
        <f t="shared" ca="1" si="1055"/>
        <v>-2.9096717960328616E-2</v>
      </c>
      <c r="AJ272" s="388">
        <f ca="1">IF(Control!$C$60&lt;=0,$HH272,$HI272)</f>
        <v>1</v>
      </c>
      <c r="AK272" s="388">
        <f t="shared" ca="1" si="939"/>
        <v>3.2362707883555131</v>
      </c>
      <c r="AL272" s="388">
        <f t="shared" ca="1" si="940"/>
        <v>-6.8528308028170667E-18</v>
      </c>
      <c r="AM272" s="388">
        <f t="shared" ca="1" si="941"/>
        <v>3.2362707883555131</v>
      </c>
      <c r="AN272" s="388">
        <f t="shared" ca="1" si="942"/>
        <v>-3.7615589036553133E-2</v>
      </c>
      <c r="AO272" s="388">
        <f ca="1">-0.10453/COS(Control!$B$8*PI()/180)*COS(AN272)</f>
        <v>-0.16966476132829403</v>
      </c>
      <c r="AP272" s="388">
        <f ca="1">ACOS(AO272-TAN(Control!$B$8*PI()/180)*TAN(AN272))</f>
        <v>1.6925935204448577</v>
      </c>
      <c r="AQ272" s="388">
        <f t="shared" ca="1" si="1056"/>
        <v>0</v>
      </c>
      <c r="AR272" s="394">
        <f t="shared" ca="1" si="943"/>
        <v>0</v>
      </c>
      <c r="AS272" s="436">
        <f ca="1">IF(Control!$B$18=2,(IF(OR($AH272=Control!$B$175,$AH272=Control!$B$176,$AH272=Control!$B$177,$AH272=Control!$B$178,$AH272=Control!$B$179,$AH272=Control!$B$180,$AH272=Control!$B$181,$AH272=Control!$B$182,$AH272=Control!$B$183,$AH272=Control!$B$184,$AH272=Control!$B$185),1,0)),0)</f>
        <v>0</v>
      </c>
      <c r="AT272" s="436">
        <f>IF(Control!$B$20=8,IF(AND($AH272&gt;=Control!$B$172,$AH272&lt;=Control!$B$173),1,0),0)</f>
        <v>0</v>
      </c>
      <c r="AU272" s="436">
        <f>IF(Control!$B$20=8,IF($AV271=1,1*$AT272,IF($AT272=1,$AU271+1,$AU271)),0)</f>
        <v>0</v>
      </c>
      <c r="AV272" s="436">
        <f>IF(Control!$B$20=8,IF($AU272&gt;=Control!$B$174,1,0),0)</f>
        <v>0</v>
      </c>
      <c r="AW272" s="436">
        <f ca="1">IF(AND(Control!$B$18=2,Control!$B$171=1), $AV272, $AS272)</f>
        <v>0</v>
      </c>
      <c r="AX272" s="436" t="e">
        <f ca="1">IF(AND(Control!$B$18=1,$EU272&gt;=Control!$B$19),-$AY272,IF(AND(Control!$B$18=2,$AW272=1,$EU272&gt;$DS272),-$AY272, IF(Control!$C$108=0,0, IF(Control!$C$108&lt;&gt;0,1))))</f>
        <v>#N/A</v>
      </c>
      <c r="AY272" s="436" t="e">
        <f t="shared" ca="1" si="1057"/>
        <v>#N/A</v>
      </c>
      <c r="AZ272" s="436" t="e">
        <f ca="1">IF(AND(Control!$B$18=1,$EB272&gt;Control!$B$19),$AZ271+1, IF(AND(Control!$B$18=2, $AW272=1, $EB272&gt;$DS272), $AZ271+1,$AZ271))</f>
        <v>#N/A</v>
      </c>
      <c r="BA272" s="587">
        <f>IF(Control!$C$81=0,1,IF($AH272&gt;=Control!$C$82,1,0))</f>
        <v>1</v>
      </c>
      <c r="BB272" s="140" t="e">
        <f ca="1">IF($BA272&gt;$BA271,Control!$C$83,IF($AW272&gt;0,$AW272*Control!$C$84,IF(AND(Control!$B$18=1,EN271&lt;&gt;0),Control!$C$84,0)))</f>
        <v>#N/A</v>
      </c>
      <c r="BC272" s="140" t="e">
        <f t="shared" ca="1" si="1058"/>
        <v>#N/A</v>
      </c>
      <c r="BD272" s="140" t="e">
        <f ca="1">BC272*IF(OR($G272&lt;Control!$C$92,$G272&gt;Control!$C$95),0,IF(AND($G272&gt;=Control!$C$92,$G272&lt;=Control!$C$93),$G272-Control!$C$92,IF(AND($G272&gt;Control!$C$93,$G272&lt;=Control!$C$94),Control!$C$93-Control!$C$92,IF(AND($G272&gt;Control!$C$94,$G272&lt;=Control!$C$95),(Control!$C$93-Control!$C$92)*(Control!$C$94-$G272)/(Control!$C$95-Control!$C$94)))))</f>
        <v>#N/A</v>
      </c>
      <c r="BE272" s="140" t="e">
        <f t="shared" ca="1" si="1059"/>
        <v>#N/A</v>
      </c>
      <c r="BF272" s="140" t="e">
        <f ca="1">IF($BE272&lt;=Control!$C$86,$BE272,Control!$C$86-$BE272)</f>
        <v>#N/A</v>
      </c>
      <c r="BG272" s="140" t="e">
        <f ca="1">IF(AND($AW272=1,Control!$C$84&lt;9),1,IF($BE272&gt;=Control!$C$86,0,$BC272))</f>
        <v>#N/A</v>
      </c>
      <c r="BH272" s="404" t="e">
        <f ca="1">IF($BG272=0,0,IF($BE272&lt;=Control!$C$86,$BC272*9*($BF272/Control!$C$86),0))</f>
        <v>#N/A</v>
      </c>
      <c r="BI272" s="140" t="e">
        <f ca="1">IF($BG272=1,0,IF($BE272&gt;=Control!$C$86,1,IF(AND($BB272&lt;21,$BB272&gt;=9),1,$BM271)))</f>
        <v>#N/A</v>
      </c>
      <c r="BJ272" s="140" t="e">
        <f ca="1">IF($BF272&lt;0,-$BF272,$BI272*IF(OR($G272&lt;Control!$C$92,$G272&gt;Control!$C$95),0,IF(AND($G272&gt;=Control!$C$92,$G272&lt;=Control!$C$93),$G272-Control!$C$92,IF(AND($G272&gt;Control!$C$93,$G272&lt;=Control!$C$94),Control!$C$93-Control!$C$92,IF(AND($G272&gt;Control!$C$94,$G272&lt;=Control!$C$95),(Control!$C$93-Control!$C$92)*(Control!$C$94-$G272)/(Control!$C$95-Control!$C$94))))))</f>
        <v>#N/A</v>
      </c>
      <c r="BK272" s="140" t="e">
        <f t="shared" ca="1" si="1060"/>
        <v>#N/A</v>
      </c>
      <c r="BL272" s="140" t="e">
        <f ca="1">IF($BK272&lt;=Control!$C$87,$BK272,Control!$C$87-$BK272)</f>
        <v>#N/A</v>
      </c>
      <c r="BM272" s="140" t="e">
        <f ca="1">IF(AND($BB272&gt;=9,$BB272&lt;21),1,IF($BK272&gt;=Control!$C$87,0,$BI272))</f>
        <v>#N/A</v>
      </c>
      <c r="BN272" s="404" t="e">
        <f ca="1">IF($BM272=0,0,IF($BK272&lt;=Control!$C$87,$BI272*(9+(21-9)*($BL272/Control!$C$87)),0))</f>
        <v>#N/A</v>
      </c>
      <c r="BO272" s="140" t="e">
        <f ca="1">IF($BM272=1,0,IF($BK272&gt;=Control!$C$87,1,IF(AND($BB272&lt;30,$BB272&gt;=21),1,$BS271)))</f>
        <v>#N/A</v>
      </c>
      <c r="BP272" s="140" t="e">
        <f ca="1">IF($BL272&lt;0,-$BL272,$BO272*IF(OR($G272&lt;Control!$C$92,$G272&gt;Control!$C$95),0,IF(AND($G272&gt;=Control!$C$92,$G272&lt;=Control!$C$93),$G272-Control!$C$92,IF(AND($G272&gt;Control!$C$93,$G272&lt;=Control!$C$94),Control!$C$93-Control!$C$92,IF(AND($G272&gt;Control!$C$94,$G272&lt;=Control!$C$95),(Control!$C$93-Control!$C$92)*(Control!$C$94-$G272)/(Control!$C$95-Control!$C$94))))))</f>
        <v>#N/A</v>
      </c>
      <c r="BQ272" s="140" t="e">
        <f t="shared" ca="1" si="944"/>
        <v>#N/A</v>
      </c>
      <c r="BR272" s="140" t="e">
        <f ca="1">IF($BQ272&lt;=Control!$C$88,$BQ272,Control!$C$88-$BQ272)</f>
        <v>#N/A</v>
      </c>
      <c r="BS272" s="140" t="e">
        <f ca="1">IF(AND($BB272&gt;=21,$BB272&lt;30),1,IF($BQ272&gt;=Control!$C$88,0,$BO272))</f>
        <v>#N/A</v>
      </c>
      <c r="BT272" s="404" t="e">
        <f ca="1">IF($BS272=0,0,IF($BQ272&lt;=Control!$C$88,$BO272*(21+(30-21)*(BR272/Control!$C$88)),0))</f>
        <v>#N/A</v>
      </c>
      <c r="BU272" s="140" t="e">
        <f ca="1">IF(BG272+BM272+BS272=1,0,IF(OR(AND($BB272&lt;60,$BB272&gt;=30),$BQ272&gt;=Control!$C$88),1*$BA272,$BY271))</f>
        <v>#N/A</v>
      </c>
      <c r="BV272" s="140" t="e">
        <f ca="1">IF($BR272&lt;0,-$BR272,$BU272*IF(OR($G272&lt;Control!$C$92,$G272&gt;Control!$C$95),0,IF(AND($G272&gt;=Control!$C$92,$G272&lt;=Control!$C$93),$G272-Control!$C$92,IF(AND($G272&gt;Control!$C$93,$G272&lt;=Control!$C$94),Control!$C$93-Control!$C$92,IF(AND($G272&gt;Control!$C$94,$G272&lt;=Control!$C$95),(Control!$C$93-Control!$C$92)*(Control!$C$94-$G272)/(Control!$C$95-Control!$C$94))))))</f>
        <v>#N/A</v>
      </c>
      <c r="BW272" s="140" t="e">
        <f t="shared" ca="1" si="945"/>
        <v>#N/A</v>
      </c>
      <c r="BX272" s="140" t="e">
        <f ca="1">IF($BW272&lt;=Control!$C$89,$BW272,Control!$C$89-$BW272)</f>
        <v>#N/A</v>
      </c>
      <c r="BY272" s="140" t="e">
        <f ca="1">IF(AND($AJ272&gt;=30,$AJ272&lt;60),1,IF($BW272&gt;=Control!$C$89,0,$BU272))</f>
        <v>#N/A</v>
      </c>
      <c r="BZ272" s="404" t="e">
        <f ca="1">IF($BY272=0,0,IF($BW272&lt;=Control!$C$89,$BU272*(30+(60-30)*(BX272/Control!$C$89)),0))</f>
        <v>#N/A</v>
      </c>
      <c r="CA272" s="140" t="e">
        <f ca="1">IF($BG272+$BM272+$BS272+$BY272=1,0,IF(OR(AND($BB272&lt;65,$BB272&gt;=60),$BW272&gt;=Control!$C$89),1*$BA272,$CE271))</f>
        <v>#N/A</v>
      </c>
      <c r="CB272" s="140" t="e">
        <f ca="1">IF($BX272&lt;0,-$BX272,$CA272*IF(OR($G272&lt;Control!$C$92,$G272&gt;Control!$C$95),0,IF(AND($G272&gt;=Control!$C$92,$G272&lt;=Control!$C$93),$G272-Control!$C$92,IF(AND($G272&gt;Control!$C$93,$G272&lt;=Control!$C$94),Control!$C$93-Control!$C$92,IF(AND($G272&gt;Control!$C$94,$G272&lt;=Control!$C$95),(Control!$C$93-Control!$C$92)*(Control!$C$94-$G272)/(Control!$C$95-Control!$C$94))))))</f>
        <v>#N/A</v>
      </c>
      <c r="CC272" s="140" t="e">
        <f t="shared" ca="1" si="1061"/>
        <v>#N/A</v>
      </c>
      <c r="CD272" s="140" t="e">
        <f ca="1">IF($CC272&lt;=Control!$C$90,$CC272,Control!$C$90-$CC272)</f>
        <v>#N/A</v>
      </c>
      <c r="CE272" s="140" t="e">
        <f ca="1">IF(AND($BB272&gt;=60,$BB272&lt;65),1,IF($CC272&gt;=Control!$C$90,0,$CA272))</f>
        <v>#N/A</v>
      </c>
      <c r="CF272" s="404" t="e">
        <f ca="1">IF($CE272=0,0,IF($CC272&lt;=Control!$C$90,$CA272*(60+(65-60)*(CD272/Control!$C$90)),0))</f>
        <v>#N/A</v>
      </c>
      <c r="CG272" s="140" t="e">
        <f ca="1">IF($BG272+$BM272+$BS272+$BY272+$CE272=1,0,IF(OR(AND($BB272&lt;90,$BB272&gt;=65),$CC272&gt;=Control!$C$90),$BA272,$CK271))</f>
        <v>#N/A</v>
      </c>
      <c r="CH272" s="140" t="e">
        <f ca="1">IF($CD272&lt;0,-$CD272,$CG272*IF(OR($G272&lt;Control!$C$92,$G272&gt;Control!$C$95),0,IF(AND($G272&gt;=Control!$C$92,$G272&lt;=Control!$C$93),$G272-Control!$C$92,IF(AND($G272&gt;Control!$C$93,$G272&lt;=Control!$C$94),Control!$C$93-Control!$C$92,IF(AND($G272&gt;Control!$C$94,$G272&lt;=Control!$C$95),(Control!$C$93-Control!$C$92)*(Control!$C$94-$G272)/(Control!$C$95-Control!$C$94))))))</f>
        <v>#N/A</v>
      </c>
      <c r="CI272" s="140" t="e">
        <f t="shared" ca="1" si="1062"/>
        <v>#N/A</v>
      </c>
      <c r="CJ272" s="140" t="e">
        <f ca="1">IF($CI272&lt;=Control!$C$91,$CI272,Control!$C$91-$CI272)</f>
        <v>#N/A</v>
      </c>
      <c r="CK272" s="140" t="e">
        <f ca="1">IF(AND($BB272&gt;=65,$BB272&lt;90),1,IF($CI272&gt;=Control!$C$91,0,$CG272))</f>
        <v>#N/A</v>
      </c>
      <c r="CL272" s="404" t="e">
        <f ca="1">IF($CK272=0,0,IF($CI272&lt;=Control!$C$91,$CG272*(65+(90-65)*($CJ272/Control!$C$91)),0))</f>
        <v>#N/A</v>
      </c>
      <c r="CM272" s="140" t="e">
        <f ca="1">IF($BG272+$BM272+$BS272+$BY272+$CE272+$CK272=1,0,IF(OR($BB272&gt;=90,$CI272&gt;=Control!$C$91),$BA272,$CM271))</f>
        <v>#N/A</v>
      </c>
      <c r="CN272" s="140" t="e">
        <f t="shared" ca="1" si="1063"/>
        <v>#N/A</v>
      </c>
      <c r="CO272" s="140" t="e">
        <f t="shared" ca="1" si="1064"/>
        <v>#N/A</v>
      </c>
      <c r="CP272" s="140" t="e">
        <f t="shared" ca="1" si="1065"/>
        <v>#N/A</v>
      </c>
      <c r="CQ272" s="141" t="e">
        <f ca="1">VLOOKUP($CP272,Control!$B$86:$G$91,6)</f>
        <v>#N/A</v>
      </c>
      <c r="CR272" s="141" t="e">
        <f ca="1">(1-$CQ272)*VLOOKUP($CP272,Control!$B$86:$D$91,3)</f>
        <v>#N/A</v>
      </c>
      <c r="CS272" s="141" t="e">
        <f ca="1">(1-$CQ272)*VLOOKUP($CP272,Control!$B$86:$E$91,4)</f>
        <v>#N/A</v>
      </c>
      <c r="CT272" s="141" t="e">
        <f ca="1">(1-$CQ272)*VLOOKUP($CP272,Control!$B$86:$F$91,5)</f>
        <v>#N/A</v>
      </c>
      <c r="CU272" s="141">
        <f t="shared" ca="1" si="1066"/>
        <v>0</v>
      </c>
      <c r="CV272" s="583">
        <f t="shared" ca="1" si="1067"/>
        <v>0</v>
      </c>
      <c r="CW272" s="142">
        <f t="shared" ca="1" si="1068"/>
        <v>268</v>
      </c>
      <c r="CX272" s="612" t="e">
        <f ca="1">IF(Control!$C$114=1,(MIN(Control!$C$120*(IF($NT272-0.01&lt;0,0,1)),Control!$C$119-$CY272)))</f>
        <v>#DIV/0!</v>
      </c>
      <c r="CY272" s="143" t="e">
        <f t="shared" ca="1" si="1069"/>
        <v>#N/A</v>
      </c>
      <c r="CZ272" s="144">
        <f t="shared" ca="1" si="946"/>
        <v>0</v>
      </c>
      <c r="DA272" s="144">
        <f t="shared" ca="1" si="947"/>
        <v>0</v>
      </c>
      <c r="DB272" s="144" t="e">
        <f t="shared" ca="1" si="948"/>
        <v>#N/A</v>
      </c>
      <c r="DC272" s="144" t="e">
        <f t="shared" ca="1" si="949"/>
        <v>#N/A</v>
      </c>
      <c r="DD272" s="144" t="e">
        <f t="shared" ca="1" si="1154"/>
        <v>#N/A</v>
      </c>
      <c r="DE272" s="143" t="e">
        <f t="shared" ca="1" si="1070"/>
        <v>#N/A</v>
      </c>
      <c r="DF272" s="145" t="e">
        <f ca="1">$DR272*EXP(-Control!$C$158*(1-$KH272))</f>
        <v>#N/A</v>
      </c>
      <c r="DG272" s="146" t="e">
        <f ca="1">IF(Control!$C$114=1, $DF272*$EY272, 0)</f>
        <v>#N/A</v>
      </c>
      <c r="DH272" s="147" t="e">
        <f t="shared" ca="1" si="1071"/>
        <v>#N/A</v>
      </c>
      <c r="DI272" s="144" t="e">
        <f t="shared" ca="1" si="1132"/>
        <v>#N/A</v>
      </c>
      <c r="DJ272" s="147" t="e">
        <f ca="1">$EF272*Control!$C$109</f>
        <v>#N/A</v>
      </c>
      <c r="DK272" s="144" t="e">
        <f t="shared" ca="1" si="1072"/>
        <v>#N/A</v>
      </c>
      <c r="DL272" s="144" t="e">
        <f t="shared" ca="1" si="950"/>
        <v>#N/A</v>
      </c>
      <c r="DM272" s="144" t="e">
        <f ca="1">IF(Control!$C$114=1, (1-EXP(-Control!$C$96*$DK272))*$AR272, 0)</f>
        <v>#N/A</v>
      </c>
      <c r="DN272" s="144">
        <f t="shared" ca="1" si="1073"/>
        <v>0</v>
      </c>
      <c r="DO272" s="148">
        <f>Control!$C$97</f>
        <v>4</v>
      </c>
      <c r="DP272" s="145" t="e">
        <f t="shared" ca="1" si="1074"/>
        <v>#N/A</v>
      </c>
      <c r="DQ272" s="145" t="e">
        <f ca="1">IF(AND($CP272&gt;=0,$CP272&lt;=90),Control!$C$111,Control!$C$111)</f>
        <v>#N/A</v>
      </c>
      <c r="DR272" s="145" t="e">
        <f t="shared" ca="1" si="951"/>
        <v>#N/A</v>
      </c>
      <c r="DS272" s="143" t="e">
        <f ca="1">Control!$B$22/$DR272</f>
        <v>#N/A</v>
      </c>
      <c r="DT272" s="149" t="e">
        <f ca="1">IF(AND(Control!$C$114=1,$KH272&lt;1),$IM272*$DF272, 0)</f>
        <v>#N/A</v>
      </c>
      <c r="DU272" s="144" t="e">
        <f t="shared" ca="1" si="1075"/>
        <v>#N/A</v>
      </c>
      <c r="DV272" s="144">
        <f ca="1">IF($G272-Control!$C$107&lt;=0, 0, 0.83*LN(MAX($G272, 3))-0.8924)</f>
        <v>0</v>
      </c>
      <c r="DW272" s="144" t="e">
        <f t="shared" ca="1" si="952"/>
        <v>#N/A</v>
      </c>
      <c r="DX272" s="150" t="e">
        <f ca="1">MAX(0.01*(1+$CU272/Control!$C$102),0.05*($DK272-Control!$C$97)/Control!$C$97)</f>
        <v>#N/A</v>
      </c>
      <c r="DY272" s="151" t="e">
        <f ca="1">IF(Control!$C$114=1, $DI272*$FS272, 0)</f>
        <v>#N/A</v>
      </c>
      <c r="DZ272" s="196" t="e">
        <f t="shared" ca="1" si="1076"/>
        <v>#N/A</v>
      </c>
      <c r="EA272" s="152">
        <f t="shared" ca="1" si="1077"/>
        <v>268</v>
      </c>
      <c r="EB272" s="153" t="e">
        <f t="shared" ca="1" si="1078"/>
        <v>#N/A</v>
      </c>
      <c r="EC272" s="153" t="e">
        <f t="shared" ca="1" si="1079"/>
        <v>#N/A</v>
      </c>
      <c r="ED272" s="154" t="e">
        <f ca="1">IF(Control!$C$114=1, $HM272*$FY272-$FD272, 0)</f>
        <v>#DIV/0!</v>
      </c>
      <c r="EE272" s="155" t="e">
        <f ca="1">IF(Control!$C$114=1, $HM272*$FZ272-$FF272, 0)</f>
        <v>#DIV/0!</v>
      </c>
      <c r="EF272" s="153" t="e">
        <f t="shared" ca="1" si="1133"/>
        <v>#N/A</v>
      </c>
      <c r="EG272" s="155" t="e">
        <f ca="1">IF(Control!$C$114=1, $GX272*$FW272-$FI272, 0)</f>
        <v>#DIV/0!</v>
      </c>
      <c r="EH272" s="153" t="e">
        <f t="shared" ca="1" si="1080"/>
        <v>#N/A</v>
      </c>
      <c r="EI272" s="156" t="e">
        <f t="shared" ca="1" si="1081"/>
        <v>#N/A</v>
      </c>
      <c r="EJ272" s="155" t="e">
        <f ca="1">IF(Control!$C$114=1, $HM272*$GB272, 0)</f>
        <v>#DIV/0!</v>
      </c>
      <c r="EK272" s="153" t="e">
        <f t="shared" ca="1" si="1134"/>
        <v>#N/A</v>
      </c>
      <c r="EL272" s="153" t="e">
        <f t="shared" ca="1" si="953"/>
        <v>#N/A</v>
      </c>
      <c r="EM272" s="153" t="e">
        <f t="shared" ca="1" si="954"/>
        <v>#N/A</v>
      </c>
      <c r="EN272" s="153" t="e">
        <f ca="1">IF(Control!$C$108=1,IF(AND(Control!$B$18=1,$EB272&gt;=Control!$B$19),$EB272-$DS272,IF(AND(Control!$B$18=2,$AW272=1,$EB272&gt;$DS272),$EB272-$DS272,0)))</f>
        <v>#N/A</v>
      </c>
      <c r="EO272" s="153" t="e">
        <f ca="1">IF(Control!$C$108=1,IF(AND(Control!$B$18=1,$EB272&gt;=Control!$B$19),$EF272,IF(AND(Control!$B$18=2,$AW272=1),$EF272,0)))</f>
        <v>#N/A</v>
      </c>
      <c r="EP272" s="153" t="e">
        <f ca="1">IF(Control!$C$108=1,IF(AND(Control!$B$18=1,$EB272&gt;=Control!$B$19),$EK272,IF(AND(Control!$B$18=2,$AW272=1),$EK272,0)))</f>
        <v>#N/A</v>
      </c>
      <c r="EQ272" s="153" t="e">
        <f t="shared" ca="1" si="1082"/>
        <v>#N/A</v>
      </c>
      <c r="ER272" s="153" t="e">
        <f t="shared" ca="1" si="1083"/>
        <v>#N/A</v>
      </c>
      <c r="ES272" s="153" t="e">
        <f t="shared" ca="1" si="1135"/>
        <v>#N/A</v>
      </c>
      <c r="ET272" s="153" t="e">
        <f t="shared" ca="1" si="1136"/>
        <v>#N/A</v>
      </c>
      <c r="EU272" s="153" t="e">
        <f t="shared" ca="1" si="1084"/>
        <v>#N/A</v>
      </c>
      <c r="EV272" s="153" t="e">
        <f t="shared" ca="1" si="955"/>
        <v>#N/A</v>
      </c>
      <c r="EW272" s="153" t="e">
        <f t="shared" ca="1" si="956"/>
        <v>#N/A</v>
      </c>
      <c r="EX272" s="153" t="e">
        <f t="shared" ca="1" si="957"/>
        <v>#N/A</v>
      </c>
      <c r="EY272" s="157" t="e">
        <f t="shared" ca="1" si="958"/>
        <v>#DIV/0!</v>
      </c>
      <c r="EZ272" s="154" t="e">
        <f t="shared" ca="1" si="959"/>
        <v>#DIV/0!</v>
      </c>
      <c r="FA272" s="153" t="e">
        <f t="shared" ca="1" si="1085"/>
        <v>#N/A</v>
      </c>
      <c r="FB272" s="153" t="e">
        <f t="shared" ca="1" si="960"/>
        <v>#N/A</v>
      </c>
      <c r="FC272" s="193" t="e">
        <f t="shared" ca="1" si="961"/>
        <v>#N/A</v>
      </c>
      <c r="FD272" s="158" t="e">
        <f t="shared" ca="1" si="1086"/>
        <v>#N/A</v>
      </c>
      <c r="FE272" s="158" t="e">
        <f t="shared" ca="1" si="1087"/>
        <v>#N/A</v>
      </c>
      <c r="FF272" s="159" t="e">
        <f t="shared" ca="1" si="962"/>
        <v>#N/A</v>
      </c>
      <c r="FG272" s="160" t="e">
        <f t="shared" ca="1" si="1088"/>
        <v>#N/A</v>
      </c>
      <c r="FH272" s="158" t="e">
        <f t="shared" ca="1" si="1089"/>
        <v>#N/A</v>
      </c>
      <c r="FI272" s="159" t="e">
        <f t="shared" ca="1" si="963"/>
        <v>#N/A</v>
      </c>
      <c r="FJ272" s="160" t="e">
        <f t="shared" ca="1" si="1090"/>
        <v>#N/A</v>
      </c>
      <c r="FK272" s="160" t="e">
        <f t="shared" ca="1" si="964"/>
        <v>#N/A</v>
      </c>
      <c r="FL272" s="160" t="e">
        <f t="shared" ca="1" si="1137"/>
        <v>#N/A</v>
      </c>
      <c r="FM272" s="160" t="e">
        <f t="shared" ca="1" si="965"/>
        <v>#N/A</v>
      </c>
      <c r="FN272" s="158">
        <f t="shared" ca="1" si="1091"/>
        <v>0.01</v>
      </c>
      <c r="FO272" s="160">
        <f>Control!$C$101</f>
        <v>50</v>
      </c>
      <c r="FP272" s="150" t="e">
        <f t="shared" ca="1" si="966"/>
        <v>#N/A</v>
      </c>
      <c r="FQ272" s="150" t="e">
        <f ca="1">MAX(0,(Control!$C$112*(($DK272-Control!$C$97)/Control!$C$97)))</f>
        <v>#N/A</v>
      </c>
      <c r="FR272" s="150" t="e">
        <f ca="1">(1-$NT272)*Control!$C$113</f>
        <v>#DIV/0!</v>
      </c>
      <c r="FS272" s="198" t="e">
        <f t="shared" ca="1" si="967"/>
        <v>#N/A</v>
      </c>
      <c r="FT272" s="161">
        <f t="shared" ca="1" si="1092"/>
        <v>268</v>
      </c>
      <c r="FU272" s="162" t="e">
        <f ca="1">IF(Control!$B$34=1,VLOOKUP($CP272,Control!$B$86:$G$91,6),Control!$B$35)</f>
        <v>#N/A</v>
      </c>
      <c r="FV272" s="162" t="e">
        <f t="shared" ca="1" si="968"/>
        <v>#DIV/0!</v>
      </c>
      <c r="FW272" s="162" t="e">
        <f ca="1">IF(Control!$B$31=1,$FU272*$FV272,  $FU272)</f>
        <v>#N/A</v>
      </c>
      <c r="FX272" s="162" t="e">
        <f ca="1">IF(Control!$B$34=1,VLOOKUP($CP272,Control!$B$86:$G$91,3),Control!$B$36)</f>
        <v>#N/A</v>
      </c>
      <c r="FY272" s="162" t="e">
        <f t="shared" ca="1" si="969"/>
        <v>#N/A</v>
      </c>
      <c r="FZ272" s="162" t="e">
        <f ca="1">IF(Control!$B$34=1,VLOOKUP($CP272,Control!$B$86:$G$91,4),Control!$B$37)</f>
        <v>#N/A</v>
      </c>
      <c r="GA272" s="162" t="e">
        <f t="shared" ca="1" si="970"/>
        <v>#N/A</v>
      </c>
      <c r="GB272" s="162" t="e">
        <f ca="1">IF(Control!$B$34=1,VLOOKUP($CP272,Control!$B$86:$G$91,5),Control!$B$38)</f>
        <v>#N/A</v>
      </c>
      <c r="GC272" s="162" t="e">
        <f t="shared" ca="1" si="1093"/>
        <v>#N/A</v>
      </c>
      <c r="GD272" s="162">
        <f t="shared" ca="1" si="971"/>
        <v>1</v>
      </c>
      <c r="GE272" s="162">
        <f t="shared" ca="1" si="972"/>
        <v>1</v>
      </c>
      <c r="GF272" s="162">
        <f ca="1">IF(AND(Control!$C$104=1, Control!$C$62="F"),$GE272,1)</f>
        <v>1</v>
      </c>
      <c r="GG272" s="162" t="e">
        <f ca="1">IF(Control!$B$16=40,0,IF(AND(Control!$B$16&gt;40,Control!$B$16&lt;=360),(Control!$B$16-40)*((1-0)/(360-40)),IF(AND(Control!$B$16&gt;360,Control!$B$16&lt;=720),(1+(Control!$B$16-360)*((1.25-1)/(720-360))),IF(AND(Control!$B$16&gt;720,Control!$B$16&lt;=1000),(1.25+(Control!$B$16-720)*((1.35-1.25)/(1000-720))),IF(AND(Control!$B$16&gt;1000,Control!$B$16&lt;=2000),(1.35+(Control!$B$16-1000)*0))))))</f>
        <v>#N/A</v>
      </c>
      <c r="GH272" s="162" t="e">
        <f t="shared" ca="1" si="973"/>
        <v>#N/A</v>
      </c>
      <c r="GI272" s="162">
        <f t="shared" ca="1" si="1094"/>
        <v>0</v>
      </c>
      <c r="GJ272" s="162">
        <f t="shared" ca="1" si="974"/>
        <v>0</v>
      </c>
      <c r="GK272" s="162">
        <f t="shared" ca="1" si="1095"/>
        <v>1</v>
      </c>
      <c r="GL272" s="162">
        <f t="shared" ca="1" si="975"/>
        <v>1</v>
      </c>
      <c r="GM272" s="162" t="e">
        <f ca="1">MAX(0,MIN(1,1-Control!$C$156*(1.0001-$KH272)^2))</f>
        <v>#N/A</v>
      </c>
      <c r="GN272" s="162" t="e">
        <f ca="1">IF(Control!$B$26=1,$KU272,$KX272)</f>
        <v>#N/A</v>
      </c>
      <c r="GO272" s="162" t="e">
        <f ca="1">IF($CP272&lt;=60,Control!$C$105,IF($CP272&gt;=90,Control!$C$106,Control!$C$105+($CP272-60)*((Control!$C$106-Control!$C$105)/(90-60))))</f>
        <v>#N/A</v>
      </c>
      <c r="GP272" s="162" t="e">
        <f t="shared" ca="1" si="976"/>
        <v>#N/A</v>
      </c>
      <c r="GQ272" s="162" t="e">
        <f t="shared" ca="1" si="1096"/>
        <v>#N/A</v>
      </c>
      <c r="GR272" s="163" t="e">
        <f t="shared" ca="1" si="977"/>
        <v>#DIV/0!</v>
      </c>
      <c r="GS272" s="162" t="e">
        <f t="shared" ca="1" si="978"/>
        <v>#DIV/0!</v>
      </c>
      <c r="GT272" s="164" t="e">
        <f t="shared" ca="1" si="1097"/>
        <v>#N/A</v>
      </c>
      <c r="GU272" s="162" t="e">
        <f t="shared" ca="1" si="1098"/>
        <v>#N/A</v>
      </c>
      <c r="GV272" s="162" t="e">
        <f t="shared" ca="1" si="979"/>
        <v>#N/A</v>
      </c>
      <c r="GW272" s="162" t="e">
        <f t="shared" ca="1" si="980"/>
        <v>#DIV/0!</v>
      </c>
      <c r="GX272" s="162" t="e">
        <f t="shared" ca="1" si="1099"/>
        <v>#DIV/0!</v>
      </c>
      <c r="GY272" s="162" t="e">
        <f t="shared" ca="1" si="1100"/>
        <v>#DIV/0!</v>
      </c>
      <c r="GZ272" s="165" t="e">
        <f t="shared" ca="1" si="981"/>
        <v>#N/A</v>
      </c>
      <c r="HA272" s="162" t="e">
        <f ca="1">IF(Control!$C$114=1, $DI272*$FS272, 0)</f>
        <v>#N/A</v>
      </c>
      <c r="HB272" s="162" t="e">
        <f ca="1">$FA272/Control!$C$64</f>
        <v>#N/A</v>
      </c>
      <c r="HC272" s="162" t="e">
        <f t="shared" ca="1" si="982"/>
        <v>#DIV/0!</v>
      </c>
      <c r="HD272" s="162">
        <f ca="1">-ASIN(SIN(23.45*Control!$C$139)*COS(2*Control!$C$138*($AH272+10)/365))</f>
        <v>-2.9096717960328616E-2</v>
      </c>
      <c r="HE272" s="165">
        <f t="shared" ca="1" si="1101"/>
        <v>0</v>
      </c>
      <c r="HF272" s="166">
        <f ca="1">IF(AND(Control!$C$61="T",$HE272&gt;=Control!$C$103,Control!$C$114=0),$AH272,Control!$C$59)</f>
        <v>1</v>
      </c>
      <c r="HG272" s="166">
        <f ca="1">IF(AND(Control!$C$61="T",$HE272&gt;=Control!$C$103,Control!$C$114=0),$HF272,Control!$C$59)</f>
        <v>1</v>
      </c>
      <c r="HH272" s="165">
        <f ca="1">IF(AND(OR(Control!$C$60&lt;=0, $AH272= Control!$C$59, Control!$C$60 &gt;0, $AH272 = Control!$C$60)), Control!$C$59, IF(Control!$C$60&gt;0, 0))</f>
        <v>1</v>
      </c>
      <c r="HI272" s="165">
        <f ca="1">IF(AND(OR(Control!$C$60&lt;=0, $AH272= Control!$C$59, Control!$C$60 &gt;0, $AH272 = Control!$C$60)), Control!$C$60, IF(Control!$C$60&lt;=0, 0))</f>
        <v>0</v>
      </c>
      <c r="HJ272" s="166">
        <f ca="1">IF(AND(Control!$C$62="F",$CV272&gt;=Control!$C$102),$AH272,0)</f>
        <v>0</v>
      </c>
      <c r="HK272" s="165" t="e">
        <f t="shared" ca="1" si="1138"/>
        <v>#N/A</v>
      </c>
      <c r="HL272" s="166">
        <f ca="1">IF(AND(Control!$C$61="T",$HE272&gt;=Control!$C$103,Control!$C$114=0),$HF272,0)</f>
        <v>0</v>
      </c>
      <c r="HM272" s="201" t="e">
        <f t="shared" ca="1" si="983"/>
        <v>#DIV/0!</v>
      </c>
      <c r="HN272" s="215">
        <f t="shared" ca="1" si="1102"/>
        <v>268</v>
      </c>
      <c r="HO272" s="216" t="e">
        <f ca="1">IF(AND($CP272&gt;=0, $CP272&lt;=90), Control!$C$152, Control!$C$152)</f>
        <v>#N/A</v>
      </c>
      <c r="HP272" s="216" t="e">
        <f t="shared" ca="1" si="984"/>
        <v>#N/A</v>
      </c>
      <c r="HQ272" s="217" t="e">
        <f ca="1">IF(OR(Control!$B$26=1,Control!$B$26=2),$KV272,$KS272)</f>
        <v>#DIV/0!</v>
      </c>
      <c r="HR272" s="218" t="e">
        <f t="shared" ca="1" si="1139"/>
        <v>#DIV/0!</v>
      </c>
      <c r="HS272" s="216" t="e">
        <f ca="1">Control!$C$154*$HP272</f>
        <v>#N/A</v>
      </c>
      <c r="HT272" s="216" t="e">
        <f ca="1">Control!$C$155*$HP272</f>
        <v>#N/A</v>
      </c>
      <c r="HU272" s="217" t="e">
        <f ca="1">Control!$C$161*$FI272</f>
        <v>#N/A</v>
      </c>
      <c r="HV272" s="218" t="e">
        <f t="shared" ca="1" si="1103"/>
        <v>#N/A</v>
      </c>
      <c r="HW272" s="218" t="e">
        <f ca="1">Control!$C$160*$FF272+$IP272*$EO272</f>
        <v>#N/A</v>
      </c>
      <c r="HX272" s="218" t="e">
        <f t="shared" ca="1" si="1140"/>
        <v>#N/A</v>
      </c>
      <c r="HY272" s="219" t="e">
        <f ca="1">IF(Control!$C$114=1, $EB272*$FS272, 0)</f>
        <v>#N/A</v>
      </c>
      <c r="HZ272" s="91" t="e">
        <f t="shared" ca="1" si="985"/>
        <v>#N/A</v>
      </c>
      <c r="IA272" s="220" t="e">
        <f ca="1">Control!$C$153*$HO272</f>
        <v>#N/A</v>
      </c>
      <c r="IB272" s="218" t="e">
        <f t="shared" ca="1" si="986"/>
        <v>#N/A</v>
      </c>
      <c r="IC272" s="220" t="e">
        <f ca="1">Control!$C$153*$HT272</f>
        <v>#N/A</v>
      </c>
      <c r="ID272" s="218" t="e">
        <f t="shared" ca="1" si="987"/>
        <v>#N/A</v>
      </c>
      <c r="IE272" s="221" t="e">
        <f ca="1">($EB272*Control!$C$159+$EF272*Control!$C$160)/(IF($GZ272&lt;&gt;0,$GZ272,1))</f>
        <v>#N/A</v>
      </c>
      <c r="IF272" s="216" t="e">
        <f t="shared" ca="1" si="988"/>
        <v>#N/A</v>
      </c>
      <c r="IG272" s="91">
        <f ca="1">IF(OR(Control!$B$198=$AH272,Control!$B$199=$AH272, Control!$B$200=$AH272, Control!$B$201=$AH272, Control!$B$202=$AH272, Control!$B$203=$AH272, Control!$B$204=$AH272, Control!$B$205=$AH272, Control!$B$206=$AH272, Control!$B$207=$AH272), 1, 0)</f>
        <v>0</v>
      </c>
      <c r="IH272" s="91">
        <f ca="1">IF($IG272=0,0, VLOOKUP($AH272,Control!$B$198:$C$207,2))</f>
        <v>0</v>
      </c>
      <c r="II272" s="222">
        <f t="shared" ca="1" si="1104"/>
        <v>0</v>
      </c>
      <c r="IJ272" s="91">
        <f>Control!$C$121</f>
        <v>0.7</v>
      </c>
      <c r="IK272" s="218">
        <f t="shared" ca="1" si="989"/>
        <v>0</v>
      </c>
      <c r="IL272" s="217" t="e">
        <f t="shared" ca="1" si="1141"/>
        <v>#N/A</v>
      </c>
      <c r="IM272" s="223" t="e">
        <f ca="1">IF(AND(Control!$C$114=1,$KH272&lt;1),$EB272*Control!$C$148*(1-$KH272), 0)</f>
        <v>#N/A</v>
      </c>
      <c r="IN272" s="217" t="e">
        <f t="shared" ca="1" si="990"/>
        <v>#DIV/0!</v>
      </c>
      <c r="IO272" s="91" t="e">
        <f ca="1">MAX(0,$IL272-$EF272*Control!$C$160)</f>
        <v>#N/A</v>
      </c>
      <c r="IP272" s="220" t="e">
        <f t="shared" ca="1" si="991"/>
        <v>#N/A</v>
      </c>
      <c r="IQ272" s="217" t="e">
        <f t="shared" ca="1" si="1105"/>
        <v>#N/A</v>
      </c>
      <c r="IR272" s="218" t="e">
        <f t="shared" ca="1" si="992"/>
        <v>#N/A</v>
      </c>
      <c r="IS272" s="217" t="e">
        <f ca="1">Control!$C$159*MAX(0,$FD272-$EN272)</f>
        <v>#N/A</v>
      </c>
      <c r="IT272" s="217" t="e">
        <f t="shared" ca="1" si="1142"/>
        <v>#N/A</v>
      </c>
      <c r="IU272" s="217" t="e">
        <f t="shared" ca="1" si="1106"/>
        <v>#N/A</v>
      </c>
      <c r="IV272" s="217" t="e">
        <f t="shared" ca="1" si="1143"/>
        <v>#N/A</v>
      </c>
      <c r="IW272" s="217" t="e">
        <f ca="1">IF(OR($AW272=1,AND($AW272=0, Control!$B$18=1,$EN272&lt;&gt;0)), $IQ272-$IU272, $IQ272)</f>
        <v>#N/A</v>
      </c>
      <c r="IX272" s="218" t="e">
        <f t="shared" ca="1" si="993"/>
        <v>#N/A</v>
      </c>
      <c r="IY272" s="218" t="e">
        <f ca="1">MAX(0,$IQ272-$EB272*Control!$C$159)</f>
        <v>#N/A</v>
      </c>
      <c r="IZ272" s="218" t="e">
        <f t="shared" ca="1" si="994"/>
        <v>#N/A</v>
      </c>
      <c r="JA272" s="216" t="e">
        <f t="shared" ca="1" si="995"/>
        <v>#N/A</v>
      </c>
      <c r="JB272" s="217" t="e">
        <f t="shared" ca="1" si="996"/>
        <v>#N/A</v>
      </c>
      <c r="JC272" s="222" t="e">
        <f ca="1">MAX(Control!$C$157*$EK272-$JT272, 0)/Control!$C$162</f>
        <v>#N/A</v>
      </c>
      <c r="JD272" s="218" t="e">
        <f t="shared" ca="1" si="997"/>
        <v>#N/A</v>
      </c>
      <c r="JE272" s="218" t="e">
        <f t="shared" ca="1" si="998"/>
        <v>#N/A</v>
      </c>
      <c r="JF272" s="218" t="e">
        <f t="shared" ca="1" si="1107"/>
        <v>#N/A</v>
      </c>
      <c r="JG272" s="218" t="e">
        <f t="shared" ca="1" si="999"/>
        <v>#N/A</v>
      </c>
      <c r="JH272" s="217" t="e">
        <f t="shared" ca="1" si="1108"/>
        <v>#N/A</v>
      </c>
      <c r="JI272" s="217" t="e">
        <f t="shared" ca="1" si="1109"/>
        <v>#N/A</v>
      </c>
      <c r="JJ272" s="217" t="e">
        <f t="shared" ca="1" si="1144"/>
        <v>#N/A</v>
      </c>
      <c r="JK272" s="217" t="e">
        <f ca="1">IF(Control!$C$114=1,IF(Control!$B$24=0,MAX(0,$JI272)*$GN272/Control!$C$64,(MAX(0,MIN($JI272,$JJ272*$GN272/Control!$C$64),0))))</f>
        <v>#N/A</v>
      </c>
      <c r="JL272" s="217" t="e">
        <f ca="1">$IK272/Control!$C$64-$JK272+$HQ272</f>
        <v>#N/A</v>
      </c>
      <c r="JM272" s="217" t="e">
        <f ca="1">IF(Control!$C$114=1,($JB272/(IF($JI272&lt;&gt;0,$JI272,1)))*$JK272,0)</f>
        <v>#N/A</v>
      </c>
      <c r="JN272" s="217" t="e">
        <f ca="1">IF(Control!$C$114=1,($JG272/(IF($JI272&lt;&gt;0,$JI272,1)))*$JK272, 0)</f>
        <v>#N/A</v>
      </c>
      <c r="JO272" s="218" t="e">
        <f t="shared" ca="1" si="1000"/>
        <v>#N/A</v>
      </c>
      <c r="JP272" s="218" t="e">
        <f ca="1">MIN(($IY272+$IO272)*Control!$C$151, $JF272-$EH272*Control!$C$161)</f>
        <v>#N/A</v>
      </c>
      <c r="JQ272" s="218" t="e">
        <f t="shared" ca="1" si="1001"/>
        <v>#N/A</v>
      </c>
      <c r="JR272" s="217" t="e">
        <f ca="1">IF($CP272-Control!$C$150&lt;0, 0, $JQ272/Control!$C$162)</f>
        <v>#N/A</v>
      </c>
      <c r="JS272" s="218" t="e">
        <f t="shared" ca="1" si="1002"/>
        <v>#N/A</v>
      </c>
      <c r="JT272" s="218" t="e">
        <f t="shared" ca="1" si="1110"/>
        <v>#N/A</v>
      </c>
      <c r="JU272" s="218" t="e">
        <f t="shared" ca="1" si="1003"/>
        <v>#N/A</v>
      </c>
      <c r="JV272" s="218" t="e">
        <f t="shared" ca="1" si="1004"/>
        <v>#N/A</v>
      </c>
      <c r="JW272" s="216" t="e">
        <f t="shared" ca="1" si="1005"/>
        <v>#N/A</v>
      </c>
      <c r="JX272" s="91" t="e">
        <f t="shared" ca="1" si="1006"/>
        <v>#N/A</v>
      </c>
      <c r="JY272" s="218" t="e">
        <f t="shared" ca="1" si="1007"/>
        <v>#N/A</v>
      </c>
      <c r="JZ272" s="217" t="e">
        <f ca="1">IF(Control!$C$114=1,($IZ272/(IF($JI272&lt;&gt;0,$JI272,1)))*$JK272, 0)</f>
        <v>#N/A</v>
      </c>
      <c r="KA272" s="218" t="e">
        <f t="shared" ca="1" si="1145"/>
        <v>#N/A</v>
      </c>
      <c r="KB272" s="218" t="e">
        <f t="shared" ca="1" si="1111"/>
        <v>#N/A</v>
      </c>
      <c r="KC272" s="218" t="e">
        <f t="shared" ca="1" si="1008"/>
        <v>#N/A</v>
      </c>
      <c r="KD272" s="218" t="e">
        <f t="shared" ca="1" si="1009"/>
        <v>#N/A</v>
      </c>
      <c r="KE272" s="218" t="e">
        <f t="shared" ca="1" si="1010"/>
        <v>#N/A</v>
      </c>
      <c r="KF272" s="218" t="e">
        <f t="shared" ca="1" si="1011"/>
        <v>#N/A</v>
      </c>
      <c r="KG272" s="216" t="e">
        <f t="shared" ca="1" si="1012"/>
        <v>#N/A</v>
      </c>
      <c r="KH272" s="221" t="e">
        <f ca="1">IF(Control!$B$24=0,1,MAX(0.001,MIN(1,IF(($IF272-$IE272)&lt;&gt;0,($KG272-$IE272)/($IF272-$IE272),1))))</f>
        <v>#N/A</v>
      </c>
      <c r="KI272" s="222" t="e">
        <f ca="1">IF(Control!$C$114=1, $KI271+ $KH271, 0)</f>
        <v>#N/A</v>
      </c>
      <c r="KJ272" s="217" t="e">
        <f t="shared" ca="1" si="1013"/>
        <v>#N/A</v>
      </c>
      <c r="KK272" s="218" t="e">
        <f t="shared" ca="1" si="1014"/>
        <v>#N/A</v>
      </c>
      <c r="KL272" s="274" t="e">
        <f ca="1">IF(Control!$B$26=3,4000000000*EXP(-8400/($G272+273)),IF(Control!$B$26=4,4000000000*EXP(-8400/($G272+273))*($KT272),0))</f>
        <v>#DIV/0!</v>
      </c>
      <c r="KM272" s="274" t="e">
        <f ca="1">IF(Control!$B$26=3,5600000000000*EXP(-9800/($G272+273)),IF(Control!$B$26=4,5600000000000*EXP(-9800/($G272+273))*$KT272,0))</f>
        <v>#DIV/0!</v>
      </c>
      <c r="KN272" s="454" t="e">
        <f t="shared" ca="1" si="1112"/>
        <v>#DIV/0!</v>
      </c>
      <c r="KO272" s="274" t="e">
        <f t="shared" ca="1" si="1113"/>
        <v>#DIV/0!</v>
      </c>
      <c r="KP272" s="454" t="e">
        <f t="shared" ca="1" si="1015"/>
        <v>#DIV/0!</v>
      </c>
      <c r="KQ272" s="454" t="e">
        <f t="shared" ca="1" si="1016"/>
        <v>#DIV/0!</v>
      </c>
      <c r="KR272" s="454" t="e">
        <f t="shared" ca="1" si="1017"/>
        <v>#DIV/0!</v>
      </c>
      <c r="KS272" s="454" t="e">
        <f t="shared" ca="1" si="1018"/>
        <v>#DIV/0!</v>
      </c>
      <c r="KT272" s="455" t="e">
        <f t="shared" ca="1" si="1019"/>
        <v>#DIV/0!</v>
      </c>
      <c r="KU272" s="456" t="e">
        <f ca="1">IF($CP272-Control!$C$149&lt;0, IF($NT272-0.01&lt;0,0,1),0)</f>
        <v>#N/A</v>
      </c>
      <c r="KV272" s="456" t="e">
        <f ca="1">IF(Control!$C$114=1,MAX(0,MIN(Control!$C$125*$KW272*$GN272,$KW272)))</f>
        <v>#DIV/0!</v>
      </c>
      <c r="KW272" s="456" t="e">
        <f t="shared" ca="1" si="1146"/>
        <v>#DIV/0!</v>
      </c>
      <c r="KX272" s="457" t="e">
        <f ca="1">IF($CP272-Control!$C$149&lt;0, IF($MR272-$OM272&lt;0,0,1),0)</f>
        <v>#N/A</v>
      </c>
      <c r="KY272" s="167">
        <f t="shared" ca="1" si="1114"/>
        <v>268</v>
      </c>
      <c r="KZ272" s="168">
        <f ca="1">1370*(1+0.033*COS(2*Control!$C$138*$AH272/365))</f>
        <v>1365.5328268732487</v>
      </c>
      <c r="LA272" s="169">
        <f t="shared" ca="1" si="1115"/>
        <v>0.99673893542181524</v>
      </c>
      <c r="LB272" s="169">
        <f t="shared" ca="1" si="1116"/>
        <v>-3.3424869821240911E-2</v>
      </c>
      <c r="LC272" s="169">
        <f ca="1">ACOS(-TAN((2*Control!$B$8/360))*TAN(Calculations!$LB272))</f>
        <v>1.5608584861013377</v>
      </c>
      <c r="LD272" s="169">
        <f ca="1">((24*60)/PI())*0.082*$LA272*(($LC272*SIN(Control!$B$8*2*PI()/360))*SIN($LB272)+COS(Control!$B$8*2*PI()/360)*COS($LB272)*SIN($LC272))</f>
        <v>21.510888579462303</v>
      </c>
      <c r="LE272" s="170">
        <f t="shared" ca="1" si="1020"/>
        <v>21.77481308977546</v>
      </c>
      <c r="LF272" s="170">
        <f ca="1">SIN(Control!$C$139*Control!$B$8)*SIN($HD272)</f>
        <v>-2.2925329509472018E-2</v>
      </c>
      <c r="LG272" s="170">
        <f ca="1">COS(Control!$C$139*Control!$B$8)*COS($HD272)</f>
        <v>0.6153992066760986</v>
      </c>
      <c r="LH272" s="170">
        <f ca="1">12*(1+2*ASIN(MAX(-1,MIN(1,$LF272/$LG272))/Control!$C$138))</f>
        <v>11.71540374155348</v>
      </c>
      <c r="LI272" s="170">
        <f ca="1">12*(1+2*ASIN(MAX(-1,MIN(1,(-SIN(-4*Control!$C$139)+$LF272)/$LG272))/Control!$C$138))</f>
        <v>12.581409576276194</v>
      </c>
      <c r="LJ272" s="168">
        <f ca="1">3600*($LH272*$LF272+24*$LG272*SQRT(1-$LK272*$LK272)/Control!$C$138)</f>
        <v>15946.019503342661</v>
      </c>
      <c r="LK272" s="170">
        <f t="shared" ca="1" si="1021"/>
        <v>-3.7252777157930662E-2</v>
      </c>
      <c r="LL272" s="170">
        <f t="shared" ca="1" si="1022"/>
        <v>0</v>
      </c>
      <c r="LM272" s="171">
        <f ca="1">Control!$C$145*$AB272</f>
        <v>6.6660906138995932E-2</v>
      </c>
      <c r="LN272" s="170">
        <f t="shared" ca="1" si="1117"/>
        <v>0.54</v>
      </c>
      <c r="LO272" s="170">
        <f t="shared" ca="1" si="1023"/>
        <v>0</v>
      </c>
      <c r="LP272" s="170">
        <f ca="1">Control!$C$140*((($D272+273.16)^4+($E272+273.16)^4)/2)*(0.34-0.14*SQRT($Y272))*(1.35*$AQ272/(0.75*$LD272)-0.35)</f>
        <v>-3.2464704755046001</v>
      </c>
      <c r="LQ272" s="170">
        <f ca="1">Control!$C$140*($G272+273)^4*(0.56-0.079*SQRT($Y272*10))*(0.1+0.9*$LO272)</f>
        <v>1.5241745131704001</v>
      </c>
      <c r="LR272" s="170">
        <f ca="1">$AQ272*(1-Control!$C$142)-$LQ272</f>
        <v>-1.5241745131704001</v>
      </c>
      <c r="LS272" s="170">
        <f ca="1">$AQ272*(1-Control!$C$143)-$LQ272</f>
        <v>-1.5241745131704001</v>
      </c>
      <c r="LT272" s="170">
        <f ca="1">$AQ272*(1-Control!$C$144)-$LQ272</f>
        <v>-1.5241745131704001</v>
      </c>
      <c r="LU272" s="169">
        <f ca="1">(1-Control!$C$144)*AQ272-LP272</f>
        <v>3.2464704755046001</v>
      </c>
      <c r="LV272" s="172">
        <f t="shared" ca="1" si="1024"/>
        <v>0.79430000000000012</v>
      </c>
      <c r="LW272" s="170">
        <f t="shared" ca="1" si="1025"/>
        <v>1.5886000000000002</v>
      </c>
      <c r="LX272" s="170">
        <f ca="1">($AC272*($LR272/Control!$C$141)+$LM272*$LV272)/($AC272+$LM272)</f>
        <v>0.23530094218323697</v>
      </c>
      <c r="LY272" s="170">
        <f ca="1">($AC272*($LS272/Control!$C$141)+$LM272*$LV272)/($AC272+$LM272)</f>
        <v>0.23530094218323697</v>
      </c>
      <c r="LZ272" s="170">
        <f t="shared" ca="1" si="1026"/>
        <v>0.23530094218323697</v>
      </c>
      <c r="MA272" s="170">
        <f t="shared" ca="1" si="1027"/>
        <v>0.23530094218323697</v>
      </c>
      <c r="MB272" s="170" t="e">
        <f t="shared" ca="1" si="1028"/>
        <v>#N/A</v>
      </c>
      <c r="MC272" s="170">
        <f t="shared" ca="1" si="1118"/>
        <v>0.6018</v>
      </c>
      <c r="MD272" s="170">
        <f t="shared" ca="1" si="1029"/>
        <v>0.52989392535414004</v>
      </c>
      <c r="ME272" s="170">
        <f ca="1">($AC272*($LT272/Control!$C$141)+$LM272*$LW272)/($AC272+$LM272)</f>
        <v>0.71612369323045078</v>
      </c>
      <c r="MF272" s="170" t="e">
        <f ca="1">IF(Control!$B$16&gt;=1000,0.92,IF(AND(720&lt;=Control!$B$16,1000&gt;Control!$B$16),(0.95+(Control!$B$16-720)*((0.92-0.95)/(1000-720))),IF(AND(360&lt;=Control!$B$16,720&gt;Control!$B$16),(1+(Control!$B$16-360)*((0.95-1)/(720-360))),IF(AND(40&lt;=Control!$B$16,360&gt;Control!$B$16),(1.05+(Control!$B$16-40)*((1.05-1)/(360-40)))))))</f>
        <v>#N/A</v>
      </c>
      <c r="MG272" s="170">
        <f t="shared" ca="1" si="1030"/>
        <v>0.71612369323045078</v>
      </c>
      <c r="MH272" s="170" t="e">
        <f t="shared" ca="1" si="1155"/>
        <v>#N/A</v>
      </c>
      <c r="MI272" s="170" t="e">
        <f t="shared" ca="1" si="1155"/>
        <v>#N/A</v>
      </c>
      <c r="MJ272" s="170" t="e">
        <f ca="1">MAX(0.0001, Control!$C$132*$MI272*$DL272)</f>
        <v>#N/A</v>
      </c>
      <c r="MK272" s="170">
        <f ca="1">1/(0.76+1.5*($MG272/10))-(5-Control!$C$110)*0.1</f>
        <v>1.002845988140797</v>
      </c>
      <c r="ML272" s="173">
        <f ca="1">IF(Control!$C$110&lt;3,$MK272+($MG272-0.6)/(Control!$C$110*(Control!$C$110+3)), MAX(0.1, MIN(0.95,$MK272)))</f>
        <v>0.95</v>
      </c>
      <c r="MM272" s="173">
        <f ca="1">IF(Control!$C$110&lt;3,$MK272+(($MI272/10)-0.6)/(Control!$C$110*(Control!$C$110+3)), MAX(0.1, MIN(0.95,$MK272)))</f>
        <v>0.95</v>
      </c>
      <c r="MN272" s="173">
        <f ca="1">(1-$MM272)*(Control!$C$128-Control!$C$127)+Control!$C$127</f>
        <v>0.16</v>
      </c>
      <c r="MO272" s="170" t="e">
        <f ca="1">MAX(0,MIN(1,($MS272-Control!$C$127)/($MN272-Control!$C$127)))</f>
        <v>#DIV/0!</v>
      </c>
      <c r="MP272" s="173" t="e">
        <f ca="1">1/(0.76+1.5*$MI272)-(5-Control!$C$110)*0.1</f>
        <v>#N/A</v>
      </c>
      <c r="MQ272" s="172" t="e">
        <f t="shared" ca="1" si="1147"/>
        <v>#DIV/0!</v>
      </c>
      <c r="MR272" s="168" t="e">
        <f t="shared" ca="1" si="1119"/>
        <v>#DIV/0!</v>
      </c>
      <c r="MS272" s="173" t="e">
        <f ca="1">MAX(Control!$C$127, MIN(Control!$C$135, $MR272/MAX(0.0001,$CY272)))</f>
        <v>#DIV/0!</v>
      </c>
      <c r="MT272" s="168" t="e">
        <f ca="1">(Control!$C$128-$MS272)*Control!$C$74</f>
        <v>#DIV/0!</v>
      </c>
      <c r="MU272" s="168" t="e">
        <f ca="1">(Control!$C$135-$MS272)*Control!$C$74</f>
        <v>#DIV/0!</v>
      </c>
      <c r="MV272" s="168" t="e">
        <f t="shared" ca="1" si="1120"/>
        <v>#DIV/0!</v>
      </c>
      <c r="MW272" s="168" t="e">
        <f t="shared" ca="1" si="1121"/>
        <v>#DIV/0!</v>
      </c>
      <c r="MX272" s="171" t="e">
        <f ca="1">MAX(Control!$C$127, MIN(Control!$C$135, $MW272/MAX(0.0001,Control!$C$119-$CY272)))</f>
        <v>#DIV/0!</v>
      </c>
      <c r="MY272" s="54" t="e">
        <f ca="1">IF(Control!$C$114=1, $CX272*$MX272, 0)</f>
        <v>#DIV/0!</v>
      </c>
      <c r="MZ272" s="54" t="e">
        <f t="shared" ca="1" si="1122"/>
        <v>#N/A</v>
      </c>
      <c r="NA272" s="168" t="e">
        <f ca="1">(Control!$C$128-$MX272)*(Control!$C$119-Control!$C$74)</f>
        <v>#DIV/0!</v>
      </c>
      <c r="NB272" s="168" t="e">
        <f ca="1">(Control!$C$135-$MX272)*(Control!$C$119-Control!$C$74)</f>
        <v>#DIV/0!</v>
      </c>
      <c r="NC272" s="174" t="e">
        <f t="shared" ca="1" si="1123"/>
        <v>#DIV/0!</v>
      </c>
      <c r="ND272" s="54">
        <f ca="1">IF(Control!$C$58=2, IF(OR(Control!$B$218=$AH272,Control!$B$219=$AH272, Control!$B$220=$AH272, Control!$B$221=$AH272, Control!$B$222=$AH272, Control!$B$223=$AH272, Control!$B$224=$AH272, Control!$B$225=$AH272, Control!$B$226=$AH272, Control!$B$227=$AH272, Control!$B$228=$AH272), 1, 0), 0)</f>
        <v>0</v>
      </c>
      <c r="NE272" s="54">
        <f ca="1">IF($ND272=0,0, VLOOKUP($AH272,Control!$B$218:$C$228,2))</f>
        <v>0</v>
      </c>
      <c r="NF272" s="168" t="e">
        <f ca="1">$CY272*(Control!$C$128-Control!$C$127)</f>
        <v>#N/A</v>
      </c>
      <c r="NG272" s="54" t="e">
        <f ca="1">IF(Control!$C$58=2, $NI271-$NJ271, 0)</f>
        <v>#DIV/0!</v>
      </c>
      <c r="NH272" s="54" t="e">
        <f ca="1">IF(AND(Control!$C$58=1, $MS271&lt;= ($MN271+0.02), $I271&lt;10), 0, IF(Control!$C$58=2, $NG271, 0))</f>
        <v>#DIV/0!</v>
      </c>
      <c r="NI272" s="54" t="e">
        <f ca="1">IF(Control!$C$58=2, $NE272+$NH272,0)</f>
        <v>#DIV/0!</v>
      </c>
      <c r="NJ272" s="54" t="e">
        <f ca="1">IF(AND(Control!$C$58=1, $MS272&lt;= ($MN272+0.02), $I272&lt;10), MAX(0, MIN(10, 0.7*($NF272-$MV272))), IF(Control!$C$58=2, MIN(10,$NI272),0))</f>
        <v>#DIV/0!</v>
      </c>
      <c r="NK272" s="54" t="e">
        <f t="shared" ca="1" si="1031"/>
        <v>#DIV/0!</v>
      </c>
      <c r="NL272" s="173" t="e">
        <f ca="1">(1-Control!$C$73)*$I272+$NJ272</f>
        <v>#DIV/0!</v>
      </c>
      <c r="NM272" s="172" t="e">
        <f ca="1">IF($NL272&lt;0.5, $MB272* MAX(0, MIN(1, (SQRT($NC272)-SQRT($NC272-1))*Control!$C$71)),0)</f>
        <v>#DIV/0!</v>
      </c>
      <c r="NN272" s="170" t="e">
        <f ca="1">IF($NL272&gt;=5, $MB272, MAX(0,MIN($MB272, $NM272+$NL272,($MS272-Control!$C$129))))</f>
        <v>#DIV/0!</v>
      </c>
      <c r="NO272" s="54">
        <f>IF(Control!$C$133&lt;&gt;1, Control!$C$135-Control!$C$131, 0)</f>
        <v>0.38</v>
      </c>
      <c r="NP272" s="54" t="e">
        <f t="shared" ca="1" si="1032"/>
        <v>#DIV/0!</v>
      </c>
      <c r="NQ272" s="173" t="e">
        <f ca="1">MAX(0,MIN(1,(Control!$C$135-$MS272)/(Control!$C$135-$NO272)))</f>
        <v>#DIV/0!</v>
      </c>
      <c r="NR272" s="170" t="e">
        <f ca="1">IF(Control!$C$133&lt;&gt;1, $NQ272+((1-$NP272/4)*(1-$NQ272)),1)</f>
        <v>#DIV/0!</v>
      </c>
      <c r="NS272" s="170" t="e">
        <f ca="1">IF(Control!$B$31=0,$MJ272,MAX(0,MIN($MV272,$MO272*$NR272*$MJ272)))</f>
        <v>#DIV/0!</v>
      </c>
      <c r="NT272" s="170" t="e">
        <f t="shared" ca="1" si="1148"/>
        <v>#DIV/0!</v>
      </c>
      <c r="NU272" s="170" t="e">
        <f t="shared" ca="1" si="1124"/>
        <v>#N/A</v>
      </c>
      <c r="NV272" s="170" t="e">
        <f t="shared" ca="1" si="1033"/>
        <v>#N/A</v>
      </c>
      <c r="NW272" s="175" t="e">
        <f t="shared" ca="1" si="1034"/>
        <v>#DIV/0!</v>
      </c>
      <c r="NX272" s="170" t="e">
        <f ca="1">MIN(Control!$C$72+$MU272, $NW272)</f>
        <v>#DIV/0!</v>
      </c>
      <c r="NY272" s="170" t="e">
        <f ca="1">IF($MT272&lt;=$NX272,MIN(Control!$C$72+$NB272,$NX272-$MT272),0)</f>
        <v>#DIV/0!</v>
      </c>
      <c r="NZ272" s="54" t="e">
        <f ca="1">IF(Control!$C$114=1,  $CX272*($MX272-Control!$C$127), 0)</f>
        <v>#DIV/0!</v>
      </c>
      <c r="OA272" s="170" t="e">
        <f t="shared" ca="1" si="1035"/>
        <v>#DIV/0!</v>
      </c>
      <c r="OB272" s="170" t="e">
        <f ca="1">IF($NA272 &lt;=$NY272, MIN(Control!$C$72, $NY272-$NA272), 0)</f>
        <v>#DIV/0!</v>
      </c>
      <c r="OC272" s="168" t="e">
        <f t="shared" ca="1" si="1036"/>
        <v>#DIV/0!</v>
      </c>
      <c r="OD272" s="168" t="e">
        <f t="shared" ca="1" si="1125"/>
        <v>#DIV/0!</v>
      </c>
      <c r="OE272" s="170">
        <f ca="1">Control!$C$73*$I272</f>
        <v>0</v>
      </c>
      <c r="OF272" s="176" t="e">
        <f t="shared" ca="1" si="1037"/>
        <v>#DIV/0!</v>
      </c>
      <c r="OG272" s="168" t="e">
        <f t="shared" ca="1" si="1038"/>
        <v>#DIV/0!</v>
      </c>
      <c r="OH272" s="168" t="e">
        <f t="shared" ca="1" si="1039"/>
        <v>#DIV/0!</v>
      </c>
      <c r="OI272" s="168" t="e">
        <f t="shared" ca="1" si="1040"/>
        <v>#DIV/0!</v>
      </c>
      <c r="OJ272" s="168" t="e">
        <f t="shared" ca="1" si="1041"/>
        <v>#DIV/0!</v>
      </c>
      <c r="OK272" s="204" t="e">
        <f t="shared" ca="1" si="1042"/>
        <v>#DIV/0!</v>
      </c>
      <c r="OL272" s="177">
        <f>Control!$C$127</f>
        <v>0.15</v>
      </c>
      <c r="OM272" s="182" t="e">
        <f t="shared" ca="1" si="1043"/>
        <v>#N/A</v>
      </c>
      <c r="ON272" s="177">
        <f>Control!$C$128</f>
        <v>0.35</v>
      </c>
      <c r="OO272" s="182" t="e">
        <f t="shared" ca="1" si="1044"/>
        <v>#N/A</v>
      </c>
      <c r="OP272" s="138">
        <f t="shared" ca="1" si="1126"/>
        <v>0</v>
      </c>
      <c r="OQ272" s="138" t="e">
        <f t="shared" ca="1" si="1149"/>
        <v>#DIV/0!</v>
      </c>
      <c r="OR272" s="138" t="e">
        <f t="shared" ca="1" si="1127"/>
        <v>#DIV/0!</v>
      </c>
      <c r="OS272" s="137" t="e">
        <f t="shared" ca="1" si="1150"/>
        <v>#DIV/0!</v>
      </c>
      <c r="OT272" s="139" t="e">
        <f t="shared" ca="1" si="1151"/>
        <v>#DIV/0!</v>
      </c>
      <c r="OU272" s="138" t="e">
        <f t="shared" ca="1" si="1152"/>
        <v>#N/A</v>
      </c>
      <c r="OV272" s="138" t="e">
        <f t="shared" ca="1" si="1153"/>
        <v>#DIV/0!</v>
      </c>
      <c r="OW272" s="138" t="e">
        <f t="shared" ca="1" si="1128"/>
        <v>#DIV/0!</v>
      </c>
      <c r="OX272" s="138" t="e">
        <f t="shared" ca="1" si="1129"/>
        <v>#DIV/0!</v>
      </c>
      <c r="OY272" s="138" t="e">
        <f t="shared" ca="1" si="1130"/>
        <v>#DIV/0!</v>
      </c>
      <c r="OZ272" s="138" t="e">
        <f t="shared" ca="1" si="1045"/>
        <v>#DIV/0!</v>
      </c>
      <c r="PA272" s="138" t="e">
        <f t="shared" ca="1" si="1046"/>
        <v>#DIV/0!</v>
      </c>
      <c r="PB272" s="55">
        <f>IF(Control!$C$61="T", IF(Control!$C$65="F", IF($AH$6-Control!$C$60&lt;0,0,1), IF(365+$AH$6-Control!$C$60&lt;0,0,1)),0)</f>
        <v>0</v>
      </c>
      <c r="PC272" s="55">
        <f ca="1">IF(Control!$C$65="F", IF($AH$6-$HF272&lt;0,0,1), IF(365+$AH$6-$HF272&lt;0,0,1))</f>
        <v>1</v>
      </c>
      <c r="PD272" s="444">
        <f>Control!$C$118</f>
        <v>1500</v>
      </c>
      <c r="PE272" s="180" t="e">
        <f t="shared" ca="1" si="1047"/>
        <v>#N/A</v>
      </c>
      <c r="PF272" s="445">
        <f t="shared" ca="1" si="1131"/>
        <v>0.71612369323045078</v>
      </c>
      <c r="PT272" s="186"/>
      <c r="PU272" s="186"/>
      <c r="PV272" s="94"/>
      <c r="PW272" s="94"/>
      <c r="PX272" s="94"/>
      <c r="PY272" s="94"/>
      <c r="PZ272" s="94"/>
      <c r="QA272" s="94"/>
      <c r="QB272" s="94"/>
      <c r="QC272" s="94"/>
      <c r="QD272" s="94"/>
      <c r="QE272" s="94"/>
      <c r="QF272" s="94"/>
      <c r="QG272" s="94"/>
      <c r="QH272" s="94"/>
      <c r="QI272" s="94"/>
      <c r="QJ272" s="94"/>
      <c r="QK272" s="94"/>
      <c r="QL272" s="94"/>
      <c r="QM272" s="94"/>
      <c r="QN272" s="94"/>
      <c r="QO272" s="94"/>
      <c r="QP272" s="94"/>
    </row>
    <row r="273" spans="1:458" s="2" customFormat="1" x14ac:dyDescent="0.2">
      <c r="A273" s="395">
        <v>25</v>
      </c>
      <c r="B273" s="396">
        <v>9</v>
      </c>
      <c r="C273" s="387">
        <f ca="1">Weather_data!$B272</f>
        <v>0</v>
      </c>
      <c r="D273" s="388">
        <f ca="1">Weather_data!$F272</f>
        <v>0</v>
      </c>
      <c r="E273" s="388">
        <f ca="1">Weather_data!$E272</f>
        <v>0</v>
      </c>
      <c r="F273" s="388">
        <f t="shared" ca="1" si="1048"/>
        <v>0</v>
      </c>
      <c r="G273" s="388">
        <f ca="1">AVERAGE($D273:$E273)+Control!$B$9</f>
        <v>0</v>
      </c>
      <c r="H273" s="388">
        <f ca="1">Weather_data!$G272</f>
        <v>0</v>
      </c>
      <c r="I273" s="388">
        <f ca="1">Weather_data!$I272</f>
        <v>0</v>
      </c>
      <c r="J273" s="388">
        <f ca="1">Weather_data!$H272</f>
        <v>0</v>
      </c>
      <c r="K273" s="389">
        <f ca="1">Weather_data!$D272</f>
        <v>0</v>
      </c>
      <c r="L273" s="388" t="e">
        <f t="shared" ca="1" si="1049"/>
        <v>#N/A</v>
      </c>
      <c r="M273" s="388" t="e">
        <f t="shared" ca="1" si="927"/>
        <v>#N/A</v>
      </c>
      <c r="N273" s="388">
        <f t="shared" ca="1" si="928"/>
        <v>-3.0319359646630911E-13</v>
      </c>
      <c r="O273" s="388">
        <f t="shared" ca="1" si="1050"/>
        <v>3.0319359646630912E-12</v>
      </c>
      <c r="P273" s="390">
        <v>3</v>
      </c>
      <c r="Q273" s="388">
        <f ca="1">MAX($G273-Control!$C$107,0)</f>
        <v>0</v>
      </c>
      <c r="R273" s="388">
        <f t="shared" ca="1" si="1051"/>
        <v>0</v>
      </c>
      <c r="S273" s="388">
        <f t="shared" ca="1" si="929"/>
        <v>0</v>
      </c>
      <c r="T273" s="388">
        <f t="shared" ca="1" si="930"/>
        <v>0</v>
      </c>
      <c r="U273" s="59">
        <f t="shared" ca="1" si="931"/>
        <v>0</v>
      </c>
      <c r="V273" s="391">
        <f ca="1">MAX(0,MIN(Control!$C$100-Control!$C$99,$G273-Control!$C$99)*Control!$C$63)</f>
        <v>0</v>
      </c>
      <c r="W273" s="388">
        <f t="shared" ca="1" si="1052"/>
        <v>0</v>
      </c>
      <c r="X273" s="388">
        <f t="shared" ca="1" si="1053"/>
        <v>0.6110000000000001</v>
      </c>
      <c r="Y273" s="388">
        <f t="shared" ca="1" si="932"/>
        <v>0</v>
      </c>
      <c r="Z273" s="388">
        <f t="shared" ca="1" si="1054"/>
        <v>0.61058800000000002</v>
      </c>
      <c r="AA273" s="388">
        <f t="shared" ca="1" si="933"/>
        <v>0.6018</v>
      </c>
      <c r="AB273" s="388">
        <f ca="1">101.3*EXP(-0.034*Control!$C$66/($G273+273))</f>
        <v>100.69623283836242</v>
      </c>
      <c r="AC273" s="392">
        <f t="shared" ca="1" si="934"/>
        <v>4.3460251046025113E-2</v>
      </c>
      <c r="AD273" s="392">
        <f t="shared" ca="1" si="935"/>
        <v>4.4450382862832649E-2</v>
      </c>
      <c r="AE273" s="388">
        <f t="shared" ca="1" si="936"/>
        <v>0</v>
      </c>
      <c r="AF273" s="388">
        <f ca="1">MAX(0,$G273-Control!$C$92)</f>
        <v>0</v>
      </c>
      <c r="AG273" s="393">
        <f t="shared" ca="1" si="937"/>
        <v>269</v>
      </c>
      <c r="AH273" s="389">
        <f t="shared" ca="1" si="938"/>
        <v>269</v>
      </c>
      <c r="AI273" s="388">
        <f t="shared" ca="1" si="1055"/>
        <v>-3.592776382398119E-2</v>
      </c>
      <c r="AJ273" s="388">
        <f ca="1">IF(Control!$C$60&lt;=0,$HH273,$HI273)</f>
        <v>1</v>
      </c>
      <c r="AK273" s="388">
        <f t="shared" ca="1" si="939"/>
        <v>3.2534849946765529</v>
      </c>
      <c r="AL273" s="388">
        <f t="shared" ca="1" si="940"/>
        <v>-8.8364714850852611E-18</v>
      </c>
      <c r="AM273" s="388">
        <f t="shared" ca="1" si="941"/>
        <v>3.2534849946765529</v>
      </c>
      <c r="AN273" s="388">
        <f t="shared" ca="1" si="942"/>
        <v>-4.4432571782792647E-2</v>
      </c>
      <c r="AO273" s="388">
        <f ca="1">-0.10453/COS(Control!$B$8*PI()/180)*COS(AN273)</f>
        <v>-0.1696172926263721</v>
      </c>
      <c r="AP273" s="388">
        <f ca="1">ACOS(AO273-TAN(Control!$B$8*PI()/180)*TAN(AN273))</f>
        <v>1.683745067982968</v>
      </c>
      <c r="AQ273" s="388">
        <f t="shared" ca="1" si="1056"/>
        <v>0</v>
      </c>
      <c r="AR273" s="394">
        <f t="shared" ca="1" si="943"/>
        <v>0</v>
      </c>
      <c r="AS273" s="436">
        <f ca="1">IF(Control!$B$18=2,(IF(OR($AH273=Control!$B$175,$AH273=Control!$B$176,$AH273=Control!$B$177,$AH273=Control!$B$178,$AH273=Control!$B$179,$AH273=Control!$B$180,$AH273=Control!$B$181,$AH273=Control!$B$182,$AH273=Control!$B$183,$AH273=Control!$B$184,$AH273=Control!$B$185),1,0)),0)</f>
        <v>0</v>
      </c>
      <c r="AT273" s="436">
        <f>IF(Control!$B$20=8,IF(AND($AH273&gt;=Control!$B$172,$AH273&lt;=Control!$B$173),1,0),0)</f>
        <v>0</v>
      </c>
      <c r="AU273" s="436">
        <f>IF(Control!$B$20=8,IF($AV272=1,1*$AT273,IF($AT273=1,$AU272+1,$AU272)),0)</f>
        <v>0</v>
      </c>
      <c r="AV273" s="436">
        <f>IF(Control!$B$20=8,IF($AU273&gt;=Control!$B$174,1,0),0)</f>
        <v>0</v>
      </c>
      <c r="AW273" s="436">
        <f ca="1">IF(AND(Control!$B$18=2,Control!$B$171=1), $AV273, $AS273)</f>
        <v>0</v>
      </c>
      <c r="AX273" s="436" t="e">
        <f ca="1">IF(AND(Control!$B$18=1,$EU273&gt;=Control!$B$19),-$AY273,IF(AND(Control!$B$18=2,$AW273=1,$EU273&gt;$DS273),-$AY273, IF(Control!$C$108=0,0, IF(Control!$C$108&lt;&gt;0,1))))</f>
        <v>#N/A</v>
      </c>
      <c r="AY273" s="436" t="e">
        <f t="shared" ca="1" si="1057"/>
        <v>#N/A</v>
      </c>
      <c r="AZ273" s="436" t="e">
        <f ca="1">IF(AND(Control!$B$18=1,$EB273&gt;Control!$B$19),$AZ272+1, IF(AND(Control!$B$18=2, $AW273=1, $EB273&gt;$DS273), $AZ272+1,$AZ272))</f>
        <v>#N/A</v>
      </c>
      <c r="BA273" s="587">
        <f>IF(Control!$C$81=0,1,IF($AH273&gt;=Control!$C$82,1,0))</f>
        <v>1</v>
      </c>
      <c r="BB273" s="140" t="e">
        <f ca="1">IF($BA273&gt;$BA272,Control!$C$83,IF($AW273&gt;0,$AW273*Control!$C$84,IF(AND(Control!$B$18=1,EN272&lt;&gt;0),Control!$C$84,0)))</f>
        <v>#N/A</v>
      </c>
      <c r="BC273" s="140" t="e">
        <f t="shared" ca="1" si="1058"/>
        <v>#N/A</v>
      </c>
      <c r="BD273" s="140" t="e">
        <f ca="1">BC273*IF(OR($G273&lt;Control!$C$92,$G273&gt;Control!$C$95),0,IF(AND($G273&gt;=Control!$C$92,$G273&lt;=Control!$C$93),$G273-Control!$C$92,IF(AND($G273&gt;Control!$C$93,$G273&lt;=Control!$C$94),Control!$C$93-Control!$C$92,IF(AND($G273&gt;Control!$C$94,$G273&lt;=Control!$C$95),(Control!$C$93-Control!$C$92)*(Control!$C$94-$G273)/(Control!$C$95-Control!$C$94)))))</f>
        <v>#N/A</v>
      </c>
      <c r="BE273" s="140" t="e">
        <f t="shared" ca="1" si="1059"/>
        <v>#N/A</v>
      </c>
      <c r="BF273" s="140" t="e">
        <f ca="1">IF($BE273&lt;=Control!$C$86,$BE273,Control!$C$86-$BE273)</f>
        <v>#N/A</v>
      </c>
      <c r="BG273" s="140" t="e">
        <f ca="1">IF(AND($AW273=1,Control!$C$84&lt;9),1,IF($BE273&gt;=Control!$C$86,0,$BC273))</f>
        <v>#N/A</v>
      </c>
      <c r="BH273" s="404" t="e">
        <f ca="1">IF($BG273=0,0,IF($BE273&lt;=Control!$C$86,$BC273*9*($BF273/Control!$C$86),0))</f>
        <v>#N/A</v>
      </c>
      <c r="BI273" s="140" t="e">
        <f ca="1">IF($BG273=1,0,IF($BE273&gt;=Control!$C$86,1,IF(AND($BB273&lt;21,$BB273&gt;=9),1,$BM272)))</f>
        <v>#N/A</v>
      </c>
      <c r="BJ273" s="140" t="e">
        <f ca="1">IF($BF273&lt;0,-$BF273,$BI273*IF(OR($G273&lt;Control!$C$92,$G273&gt;Control!$C$95),0,IF(AND($G273&gt;=Control!$C$92,$G273&lt;=Control!$C$93),$G273-Control!$C$92,IF(AND($G273&gt;Control!$C$93,$G273&lt;=Control!$C$94),Control!$C$93-Control!$C$92,IF(AND($G273&gt;Control!$C$94,$G273&lt;=Control!$C$95),(Control!$C$93-Control!$C$92)*(Control!$C$94-$G273)/(Control!$C$95-Control!$C$94))))))</f>
        <v>#N/A</v>
      </c>
      <c r="BK273" s="140" t="e">
        <f t="shared" ca="1" si="1060"/>
        <v>#N/A</v>
      </c>
      <c r="BL273" s="140" t="e">
        <f ca="1">IF($BK273&lt;=Control!$C$87,$BK273,Control!$C$87-$BK273)</f>
        <v>#N/A</v>
      </c>
      <c r="BM273" s="140" t="e">
        <f ca="1">IF(AND($BB273&gt;=9,$BB273&lt;21),1,IF($BK273&gt;=Control!$C$87,0,$BI273))</f>
        <v>#N/A</v>
      </c>
      <c r="BN273" s="404" t="e">
        <f ca="1">IF($BM273=0,0,IF($BK273&lt;=Control!$C$87,$BI273*(9+(21-9)*($BL273/Control!$C$87)),0))</f>
        <v>#N/A</v>
      </c>
      <c r="BO273" s="140" t="e">
        <f ca="1">IF($BM273=1,0,IF($BK273&gt;=Control!$C$87,1,IF(AND($BB273&lt;30,$BB273&gt;=21),1,$BS272)))</f>
        <v>#N/A</v>
      </c>
      <c r="BP273" s="140" t="e">
        <f ca="1">IF($BL273&lt;0,-$BL273,$BO273*IF(OR($G273&lt;Control!$C$92,$G273&gt;Control!$C$95),0,IF(AND($G273&gt;=Control!$C$92,$G273&lt;=Control!$C$93),$G273-Control!$C$92,IF(AND($G273&gt;Control!$C$93,$G273&lt;=Control!$C$94),Control!$C$93-Control!$C$92,IF(AND($G273&gt;Control!$C$94,$G273&lt;=Control!$C$95),(Control!$C$93-Control!$C$92)*(Control!$C$94-$G273)/(Control!$C$95-Control!$C$94))))))</f>
        <v>#N/A</v>
      </c>
      <c r="BQ273" s="140" t="e">
        <f t="shared" ca="1" si="944"/>
        <v>#N/A</v>
      </c>
      <c r="BR273" s="140" t="e">
        <f ca="1">IF($BQ273&lt;=Control!$C$88,$BQ273,Control!$C$88-$BQ273)</f>
        <v>#N/A</v>
      </c>
      <c r="BS273" s="140" t="e">
        <f ca="1">IF(AND($BB273&gt;=21,$BB273&lt;30),1,IF($BQ273&gt;=Control!$C$88,0,$BO273))</f>
        <v>#N/A</v>
      </c>
      <c r="BT273" s="404" t="e">
        <f ca="1">IF($BS273=0,0,IF($BQ273&lt;=Control!$C$88,$BO273*(21+(30-21)*(BR273/Control!$C$88)),0))</f>
        <v>#N/A</v>
      </c>
      <c r="BU273" s="140" t="e">
        <f ca="1">IF(BG273+BM273+BS273=1,0,IF(OR(AND($BB273&lt;60,$BB273&gt;=30),$BQ273&gt;=Control!$C$88),1*$BA273,$BY272))</f>
        <v>#N/A</v>
      </c>
      <c r="BV273" s="140" t="e">
        <f ca="1">IF($BR273&lt;0,-$BR273,$BU273*IF(OR($G273&lt;Control!$C$92,$G273&gt;Control!$C$95),0,IF(AND($G273&gt;=Control!$C$92,$G273&lt;=Control!$C$93),$G273-Control!$C$92,IF(AND($G273&gt;Control!$C$93,$G273&lt;=Control!$C$94),Control!$C$93-Control!$C$92,IF(AND($G273&gt;Control!$C$94,$G273&lt;=Control!$C$95),(Control!$C$93-Control!$C$92)*(Control!$C$94-$G273)/(Control!$C$95-Control!$C$94))))))</f>
        <v>#N/A</v>
      </c>
      <c r="BW273" s="140" t="e">
        <f t="shared" ca="1" si="945"/>
        <v>#N/A</v>
      </c>
      <c r="BX273" s="140" t="e">
        <f ca="1">IF($BW273&lt;=Control!$C$89,$BW273,Control!$C$89-$BW273)</f>
        <v>#N/A</v>
      </c>
      <c r="BY273" s="140" t="e">
        <f ca="1">IF(AND($AJ273&gt;=30,$AJ273&lt;60),1,IF($BW273&gt;=Control!$C$89,0,$BU273))</f>
        <v>#N/A</v>
      </c>
      <c r="BZ273" s="404" t="e">
        <f ca="1">IF($BY273=0,0,IF($BW273&lt;=Control!$C$89,$BU273*(30+(60-30)*(BX273/Control!$C$89)),0))</f>
        <v>#N/A</v>
      </c>
      <c r="CA273" s="140" t="e">
        <f ca="1">IF($BG273+$BM273+$BS273+$BY273=1,0,IF(OR(AND($BB273&lt;65,$BB273&gt;=60),$BW273&gt;=Control!$C$89),1*$BA273,$CE272))</f>
        <v>#N/A</v>
      </c>
      <c r="CB273" s="140" t="e">
        <f ca="1">IF($BX273&lt;0,-$BX273,$CA273*IF(OR($G273&lt;Control!$C$92,$G273&gt;Control!$C$95),0,IF(AND($G273&gt;=Control!$C$92,$G273&lt;=Control!$C$93),$G273-Control!$C$92,IF(AND($G273&gt;Control!$C$93,$G273&lt;=Control!$C$94),Control!$C$93-Control!$C$92,IF(AND($G273&gt;Control!$C$94,$G273&lt;=Control!$C$95),(Control!$C$93-Control!$C$92)*(Control!$C$94-$G273)/(Control!$C$95-Control!$C$94))))))</f>
        <v>#N/A</v>
      </c>
      <c r="CC273" s="140" t="e">
        <f t="shared" ca="1" si="1061"/>
        <v>#N/A</v>
      </c>
      <c r="CD273" s="140" t="e">
        <f ca="1">IF($CC273&lt;=Control!$C$90,$CC273,Control!$C$90-$CC273)</f>
        <v>#N/A</v>
      </c>
      <c r="CE273" s="140" t="e">
        <f ca="1">IF(AND($BB273&gt;=60,$BB273&lt;65),1,IF($CC273&gt;=Control!$C$90,0,$CA273))</f>
        <v>#N/A</v>
      </c>
      <c r="CF273" s="404" t="e">
        <f ca="1">IF($CE273=0,0,IF($CC273&lt;=Control!$C$90,$CA273*(60+(65-60)*(CD273/Control!$C$90)),0))</f>
        <v>#N/A</v>
      </c>
      <c r="CG273" s="140" t="e">
        <f ca="1">IF($BG273+$BM273+$BS273+$BY273+$CE273=1,0,IF(OR(AND($BB273&lt;90,$BB273&gt;=65),$CC273&gt;=Control!$C$90),$BA273,$CK272))</f>
        <v>#N/A</v>
      </c>
      <c r="CH273" s="140" t="e">
        <f ca="1">IF($CD273&lt;0,-$CD273,$CG273*IF(OR($G273&lt;Control!$C$92,$G273&gt;Control!$C$95),0,IF(AND($G273&gt;=Control!$C$92,$G273&lt;=Control!$C$93),$G273-Control!$C$92,IF(AND($G273&gt;Control!$C$93,$G273&lt;=Control!$C$94),Control!$C$93-Control!$C$92,IF(AND($G273&gt;Control!$C$94,$G273&lt;=Control!$C$95),(Control!$C$93-Control!$C$92)*(Control!$C$94-$G273)/(Control!$C$95-Control!$C$94))))))</f>
        <v>#N/A</v>
      </c>
      <c r="CI273" s="140" t="e">
        <f t="shared" ca="1" si="1062"/>
        <v>#N/A</v>
      </c>
      <c r="CJ273" s="140" t="e">
        <f ca="1">IF($CI273&lt;=Control!$C$91,$CI273,Control!$C$91-$CI273)</f>
        <v>#N/A</v>
      </c>
      <c r="CK273" s="140" t="e">
        <f ca="1">IF(AND($BB273&gt;=65,$BB273&lt;90),1,IF($CI273&gt;=Control!$C$91,0,$CG273))</f>
        <v>#N/A</v>
      </c>
      <c r="CL273" s="404" t="e">
        <f ca="1">IF($CK273=0,0,IF($CI273&lt;=Control!$C$91,$CG273*(65+(90-65)*($CJ273/Control!$C$91)),0))</f>
        <v>#N/A</v>
      </c>
      <c r="CM273" s="140" t="e">
        <f ca="1">IF($BG273+$BM273+$BS273+$BY273+$CE273+$CK273=1,0,IF(OR($BB273&gt;=90,$CI273&gt;=Control!$C$91),$BA273,$CM272))</f>
        <v>#N/A</v>
      </c>
      <c r="CN273" s="140" t="e">
        <f t="shared" ca="1" si="1063"/>
        <v>#N/A</v>
      </c>
      <c r="CO273" s="140" t="e">
        <f t="shared" ca="1" si="1064"/>
        <v>#N/A</v>
      </c>
      <c r="CP273" s="140" t="e">
        <f t="shared" ca="1" si="1065"/>
        <v>#N/A</v>
      </c>
      <c r="CQ273" s="141" t="e">
        <f ca="1">VLOOKUP($CP273,Control!$B$86:$G$91,6)</f>
        <v>#N/A</v>
      </c>
      <c r="CR273" s="141" t="e">
        <f ca="1">(1-$CQ273)*VLOOKUP($CP273,Control!$B$86:$D$91,3)</f>
        <v>#N/A</v>
      </c>
      <c r="CS273" s="141" t="e">
        <f ca="1">(1-$CQ273)*VLOOKUP($CP273,Control!$B$86:$E$91,4)</f>
        <v>#N/A</v>
      </c>
      <c r="CT273" s="141" t="e">
        <f ca="1">(1-$CQ273)*VLOOKUP($CP273,Control!$B$86:$F$91,5)</f>
        <v>#N/A</v>
      </c>
      <c r="CU273" s="141">
        <f t="shared" ca="1" si="1066"/>
        <v>0</v>
      </c>
      <c r="CV273" s="583">
        <f t="shared" ca="1" si="1067"/>
        <v>0</v>
      </c>
      <c r="CW273" s="142">
        <f t="shared" ca="1" si="1068"/>
        <v>269</v>
      </c>
      <c r="CX273" s="612" t="e">
        <f ca="1">IF(Control!$C$114=1,(MIN(Control!$C$120*(IF($NT273-0.01&lt;0,0,1)),Control!$C$119-$CY273)))</f>
        <v>#DIV/0!</v>
      </c>
      <c r="CY273" s="143" t="e">
        <f t="shared" ca="1" si="1069"/>
        <v>#N/A</v>
      </c>
      <c r="CZ273" s="144">
        <f t="shared" ca="1" si="946"/>
        <v>0</v>
      </c>
      <c r="DA273" s="144">
        <f t="shared" ca="1" si="947"/>
        <v>0</v>
      </c>
      <c r="DB273" s="144" t="e">
        <f t="shared" ca="1" si="948"/>
        <v>#N/A</v>
      </c>
      <c r="DC273" s="144" t="e">
        <f t="shared" ca="1" si="949"/>
        <v>#N/A</v>
      </c>
      <c r="DD273" s="144" t="e">
        <f t="shared" ca="1" si="1154"/>
        <v>#N/A</v>
      </c>
      <c r="DE273" s="143" t="e">
        <f t="shared" ca="1" si="1070"/>
        <v>#N/A</v>
      </c>
      <c r="DF273" s="145" t="e">
        <f ca="1">$DR273*EXP(-Control!$C$158*(1-$KH273))</f>
        <v>#N/A</v>
      </c>
      <c r="DG273" s="146" t="e">
        <f ca="1">IF(Control!$C$114=1, $DF273*$EY273, 0)</f>
        <v>#N/A</v>
      </c>
      <c r="DH273" s="147" t="e">
        <f t="shared" ca="1" si="1071"/>
        <v>#N/A</v>
      </c>
      <c r="DI273" s="144" t="e">
        <f t="shared" ca="1" si="1132"/>
        <v>#N/A</v>
      </c>
      <c r="DJ273" s="147" t="e">
        <f ca="1">$EF273*Control!$C$109</f>
        <v>#N/A</v>
      </c>
      <c r="DK273" s="144" t="e">
        <f t="shared" ca="1" si="1072"/>
        <v>#N/A</v>
      </c>
      <c r="DL273" s="144" t="e">
        <f t="shared" ca="1" si="950"/>
        <v>#N/A</v>
      </c>
      <c r="DM273" s="144" t="e">
        <f ca="1">IF(Control!$C$114=1, (1-EXP(-Control!$C$96*$DK273))*$AR273, 0)</f>
        <v>#N/A</v>
      </c>
      <c r="DN273" s="144">
        <f t="shared" ca="1" si="1073"/>
        <v>0</v>
      </c>
      <c r="DO273" s="148">
        <f>Control!$C$97</f>
        <v>4</v>
      </c>
      <c r="DP273" s="145" t="e">
        <f t="shared" ca="1" si="1074"/>
        <v>#N/A</v>
      </c>
      <c r="DQ273" s="145" t="e">
        <f ca="1">IF(AND($CP273&gt;=0,$CP273&lt;=90),Control!$C$111,Control!$C$111)</f>
        <v>#N/A</v>
      </c>
      <c r="DR273" s="145" t="e">
        <f t="shared" ca="1" si="951"/>
        <v>#N/A</v>
      </c>
      <c r="DS273" s="143" t="e">
        <f ca="1">Control!$B$22/$DR273</f>
        <v>#N/A</v>
      </c>
      <c r="DT273" s="149" t="e">
        <f ca="1">IF(AND(Control!$C$114=1,$KH273&lt;1),$IM273*$DF273, 0)</f>
        <v>#N/A</v>
      </c>
      <c r="DU273" s="144" t="e">
        <f t="shared" ca="1" si="1075"/>
        <v>#N/A</v>
      </c>
      <c r="DV273" s="144">
        <f ca="1">IF($G273-Control!$C$107&lt;=0, 0, 0.83*LN(MAX($G273, 3))-0.8924)</f>
        <v>0</v>
      </c>
      <c r="DW273" s="144" t="e">
        <f t="shared" ca="1" si="952"/>
        <v>#N/A</v>
      </c>
      <c r="DX273" s="150" t="e">
        <f ca="1">MAX(0.01*(1+$CU273/Control!$C$102),0.05*($DK273-Control!$C$97)/Control!$C$97)</f>
        <v>#N/A</v>
      </c>
      <c r="DY273" s="151" t="e">
        <f ca="1">IF(Control!$C$114=1, $DI273*$FS273, 0)</f>
        <v>#N/A</v>
      </c>
      <c r="DZ273" s="196" t="e">
        <f t="shared" ca="1" si="1076"/>
        <v>#N/A</v>
      </c>
      <c r="EA273" s="152">
        <f t="shared" ca="1" si="1077"/>
        <v>269</v>
      </c>
      <c r="EB273" s="153" t="e">
        <f t="shared" ca="1" si="1078"/>
        <v>#N/A</v>
      </c>
      <c r="EC273" s="153" t="e">
        <f t="shared" ca="1" si="1079"/>
        <v>#N/A</v>
      </c>
      <c r="ED273" s="154" t="e">
        <f ca="1">IF(Control!$C$114=1, $HM273*$FY273-$FD273, 0)</f>
        <v>#DIV/0!</v>
      </c>
      <c r="EE273" s="155" t="e">
        <f ca="1">IF(Control!$C$114=1, $HM273*$FZ273-$FF273, 0)</f>
        <v>#DIV/0!</v>
      </c>
      <c r="EF273" s="153" t="e">
        <f t="shared" ca="1" si="1133"/>
        <v>#N/A</v>
      </c>
      <c r="EG273" s="155" t="e">
        <f ca="1">IF(Control!$C$114=1, $GX273*$FW273-$FI273, 0)</f>
        <v>#DIV/0!</v>
      </c>
      <c r="EH273" s="153" t="e">
        <f t="shared" ca="1" si="1080"/>
        <v>#N/A</v>
      </c>
      <c r="EI273" s="156" t="e">
        <f t="shared" ca="1" si="1081"/>
        <v>#N/A</v>
      </c>
      <c r="EJ273" s="155" t="e">
        <f ca="1">IF(Control!$C$114=1, $HM273*$GB273, 0)</f>
        <v>#DIV/0!</v>
      </c>
      <c r="EK273" s="153" t="e">
        <f t="shared" ca="1" si="1134"/>
        <v>#N/A</v>
      </c>
      <c r="EL273" s="153" t="e">
        <f t="shared" ca="1" si="953"/>
        <v>#N/A</v>
      </c>
      <c r="EM273" s="153" t="e">
        <f t="shared" ca="1" si="954"/>
        <v>#N/A</v>
      </c>
      <c r="EN273" s="153" t="e">
        <f ca="1">IF(Control!$C$108=1,IF(AND(Control!$B$18=1,$EB273&gt;=Control!$B$19),$EB273-$DS273,IF(AND(Control!$B$18=2,$AW273=1,$EB273&gt;$DS273),$EB273-$DS273,0)))</f>
        <v>#N/A</v>
      </c>
      <c r="EO273" s="153" t="e">
        <f ca="1">IF(Control!$C$108=1,IF(AND(Control!$B$18=1,$EB273&gt;=Control!$B$19),$EF273,IF(AND(Control!$B$18=2,$AW273=1),$EF273,0)))</f>
        <v>#N/A</v>
      </c>
      <c r="EP273" s="153" t="e">
        <f ca="1">IF(Control!$C$108=1,IF(AND(Control!$B$18=1,$EB273&gt;=Control!$B$19),$EK273,IF(AND(Control!$B$18=2,$AW273=1),$EK273,0)))</f>
        <v>#N/A</v>
      </c>
      <c r="EQ273" s="153" t="e">
        <f t="shared" ca="1" si="1082"/>
        <v>#N/A</v>
      </c>
      <c r="ER273" s="153" t="e">
        <f t="shared" ca="1" si="1083"/>
        <v>#N/A</v>
      </c>
      <c r="ES273" s="153" t="e">
        <f t="shared" ca="1" si="1135"/>
        <v>#N/A</v>
      </c>
      <c r="ET273" s="153" t="e">
        <f t="shared" ca="1" si="1136"/>
        <v>#N/A</v>
      </c>
      <c r="EU273" s="153" t="e">
        <f t="shared" ca="1" si="1084"/>
        <v>#N/A</v>
      </c>
      <c r="EV273" s="153" t="e">
        <f t="shared" ca="1" si="955"/>
        <v>#N/A</v>
      </c>
      <c r="EW273" s="153" t="e">
        <f t="shared" ca="1" si="956"/>
        <v>#N/A</v>
      </c>
      <c r="EX273" s="153" t="e">
        <f t="shared" ca="1" si="957"/>
        <v>#N/A</v>
      </c>
      <c r="EY273" s="157" t="e">
        <f t="shared" ca="1" si="958"/>
        <v>#DIV/0!</v>
      </c>
      <c r="EZ273" s="154" t="e">
        <f t="shared" ca="1" si="959"/>
        <v>#DIV/0!</v>
      </c>
      <c r="FA273" s="153" t="e">
        <f t="shared" ca="1" si="1085"/>
        <v>#N/A</v>
      </c>
      <c r="FB273" s="153" t="e">
        <f t="shared" ca="1" si="960"/>
        <v>#N/A</v>
      </c>
      <c r="FC273" s="193" t="e">
        <f t="shared" ca="1" si="961"/>
        <v>#N/A</v>
      </c>
      <c r="FD273" s="158" t="e">
        <f t="shared" ca="1" si="1086"/>
        <v>#N/A</v>
      </c>
      <c r="FE273" s="158" t="e">
        <f t="shared" ca="1" si="1087"/>
        <v>#N/A</v>
      </c>
      <c r="FF273" s="159" t="e">
        <f t="shared" ca="1" si="962"/>
        <v>#N/A</v>
      </c>
      <c r="FG273" s="160" t="e">
        <f t="shared" ca="1" si="1088"/>
        <v>#N/A</v>
      </c>
      <c r="FH273" s="158" t="e">
        <f t="shared" ca="1" si="1089"/>
        <v>#N/A</v>
      </c>
      <c r="FI273" s="159" t="e">
        <f t="shared" ca="1" si="963"/>
        <v>#N/A</v>
      </c>
      <c r="FJ273" s="160" t="e">
        <f t="shared" ca="1" si="1090"/>
        <v>#N/A</v>
      </c>
      <c r="FK273" s="160" t="e">
        <f t="shared" ca="1" si="964"/>
        <v>#N/A</v>
      </c>
      <c r="FL273" s="160" t="e">
        <f t="shared" ca="1" si="1137"/>
        <v>#N/A</v>
      </c>
      <c r="FM273" s="160" t="e">
        <f t="shared" ca="1" si="965"/>
        <v>#N/A</v>
      </c>
      <c r="FN273" s="158">
        <f t="shared" ca="1" si="1091"/>
        <v>0.01</v>
      </c>
      <c r="FO273" s="160">
        <f>Control!$C$101</f>
        <v>50</v>
      </c>
      <c r="FP273" s="150" t="e">
        <f t="shared" ca="1" si="966"/>
        <v>#N/A</v>
      </c>
      <c r="FQ273" s="150" t="e">
        <f ca="1">MAX(0,(Control!$C$112*(($DK273-Control!$C$97)/Control!$C$97)))</f>
        <v>#N/A</v>
      </c>
      <c r="FR273" s="150" t="e">
        <f ca="1">(1-$NT273)*Control!$C$113</f>
        <v>#DIV/0!</v>
      </c>
      <c r="FS273" s="198" t="e">
        <f t="shared" ca="1" si="967"/>
        <v>#N/A</v>
      </c>
      <c r="FT273" s="161">
        <f t="shared" ca="1" si="1092"/>
        <v>269</v>
      </c>
      <c r="FU273" s="162" t="e">
        <f ca="1">IF(Control!$B$34=1,VLOOKUP($CP273,Control!$B$86:$G$91,6),Control!$B$35)</f>
        <v>#N/A</v>
      </c>
      <c r="FV273" s="162" t="e">
        <f t="shared" ca="1" si="968"/>
        <v>#DIV/0!</v>
      </c>
      <c r="FW273" s="162" t="e">
        <f ca="1">IF(Control!$B$31=1,$FU273*$FV273,  $FU273)</f>
        <v>#N/A</v>
      </c>
      <c r="FX273" s="162" t="e">
        <f ca="1">IF(Control!$B$34=1,VLOOKUP($CP273,Control!$B$86:$G$91,3),Control!$B$36)</f>
        <v>#N/A</v>
      </c>
      <c r="FY273" s="162" t="e">
        <f t="shared" ca="1" si="969"/>
        <v>#N/A</v>
      </c>
      <c r="FZ273" s="162" t="e">
        <f ca="1">IF(Control!$B$34=1,VLOOKUP($CP273,Control!$B$86:$G$91,4),Control!$B$37)</f>
        <v>#N/A</v>
      </c>
      <c r="GA273" s="162" t="e">
        <f t="shared" ca="1" si="970"/>
        <v>#N/A</v>
      </c>
      <c r="GB273" s="162" t="e">
        <f ca="1">IF(Control!$B$34=1,VLOOKUP($CP273,Control!$B$86:$G$91,5),Control!$B$38)</f>
        <v>#N/A</v>
      </c>
      <c r="GC273" s="162" t="e">
        <f t="shared" ca="1" si="1093"/>
        <v>#N/A</v>
      </c>
      <c r="GD273" s="162">
        <f t="shared" ca="1" si="971"/>
        <v>1</v>
      </c>
      <c r="GE273" s="162">
        <f t="shared" ca="1" si="972"/>
        <v>1</v>
      </c>
      <c r="GF273" s="162">
        <f ca="1">IF(AND(Control!$C$104=1, Control!$C$62="F"),$GE273,1)</f>
        <v>1</v>
      </c>
      <c r="GG273" s="162" t="e">
        <f ca="1">IF(Control!$B$16=40,0,IF(AND(Control!$B$16&gt;40,Control!$B$16&lt;=360),(Control!$B$16-40)*((1-0)/(360-40)),IF(AND(Control!$B$16&gt;360,Control!$B$16&lt;=720),(1+(Control!$B$16-360)*((1.25-1)/(720-360))),IF(AND(Control!$B$16&gt;720,Control!$B$16&lt;=1000),(1.25+(Control!$B$16-720)*((1.35-1.25)/(1000-720))),IF(AND(Control!$B$16&gt;1000,Control!$B$16&lt;=2000),(1.35+(Control!$B$16-1000)*0))))))</f>
        <v>#N/A</v>
      </c>
      <c r="GH273" s="162" t="e">
        <f t="shared" ca="1" si="973"/>
        <v>#N/A</v>
      </c>
      <c r="GI273" s="162">
        <f t="shared" ca="1" si="1094"/>
        <v>0</v>
      </c>
      <c r="GJ273" s="162">
        <f t="shared" ca="1" si="974"/>
        <v>0</v>
      </c>
      <c r="GK273" s="162">
        <f t="shared" ca="1" si="1095"/>
        <v>1</v>
      </c>
      <c r="GL273" s="162">
        <f t="shared" ca="1" si="975"/>
        <v>1</v>
      </c>
      <c r="GM273" s="162" t="e">
        <f ca="1">MAX(0,MIN(1,1-Control!$C$156*(1.0001-$KH273)^2))</f>
        <v>#N/A</v>
      </c>
      <c r="GN273" s="162" t="e">
        <f ca="1">IF(Control!$B$26=1,$KU273,$KX273)</f>
        <v>#N/A</v>
      </c>
      <c r="GO273" s="162" t="e">
        <f ca="1">IF($CP273&lt;=60,Control!$C$105,IF($CP273&gt;=90,Control!$C$106,Control!$C$105+($CP273-60)*((Control!$C$106-Control!$C$105)/(90-60))))</f>
        <v>#N/A</v>
      </c>
      <c r="GP273" s="162" t="e">
        <f t="shared" ca="1" si="976"/>
        <v>#N/A</v>
      </c>
      <c r="GQ273" s="162" t="e">
        <f t="shared" ca="1" si="1096"/>
        <v>#N/A</v>
      </c>
      <c r="GR273" s="163" t="e">
        <f t="shared" ca="1" si="977"/>
        <v>#DIV/0!</v>
      </c>
      <c r="GS273" s="162" t="e">
        <f t="shared" ca="1" si="978"/>
        <v>#DIV/0!</v>
      </c>
      <c r="GT273" s="164" t="e">
        <f t="shared" ca="1" si="1097"/>
        <v>#N/A</v>
      </c>
      <c r="GU273" s="162" t="e">
        <f t="shared" ca="1" si="1098"/>
        <v>#N/A</v>
      </c>
      <c r="GV273" s="162" t="e">
        <f t="shared" ca="1" si="979"/>
        <v>#N/A</v>
      </c>
      <c r="GW273" s="162" t="e">
        <f t="shared" ca="1" si="980"/>
        <v>#DIV/0!</v>
      </c>
      <c r="GX273" s="162" t="e">
        <f t="shared" ca="1" si="1099"/>
        <v>#DIV/0!</v>
      </c>
      <c r="GY273" s="162" t="e">
        <f t="shared" ca="1" si="1100"/>
        <v>#DIV/0!</v>
      </c>
      <c r="GZ273" s="165" t="e">
        <f t="shared" ca="1" si="981"/>
        <v>#N/A</v>
      </c>
      <c r="HA273" s="162" t="e">
        <f ca="1">IF(Control!$C$114=1, $DI273*$FS273, 0)</f>
        <v>#N/A</v>
      </c>
      <c r="HB273" s="162" t="e">
        <f ca="1">$FA273/Control!$C$64</f>
        <v>#N/A</v>
      </c>
      <c r="HC273" s="162" t="e">
        <f t="shared" ca="1" si="982"/>
        <v>#DIV/0!</v>
      </c>
      <c r="HD273" s="162">
        <f ca="1">-ASIN(SIN(23.45*Control!$C$139)*COS(2*Control!$C$138*($AH273+10)/365))</f>
        <v>-3.592776382398119E-2</v>
      </c>
      <c r="HE273" s="165">
        <f t="shared" ca="1" si="1101"/>
        <v>0</v>
      </c>
      <c r="HF273" s="166">
        <f ca="1">IF(AND(Control!$C$61="T",$HE273&gt;=Control!$C$103,Control!$C$114=0),$AH273,Control!$C$59)</f>
        <v>1</v>
      </c>
      <c r="HG273" s="166">
        <f ca="1">IF(AND(Control!$C$61="T",$HE273&gt;=Control!$C$103,Control!$C$114=0),$HF273,Control!$C$59)</f>
        <v>1</v>
      </c>
      <c r="HH273" s="165">
        <f ca="1">IF(AND(OR(Control!$C$60&lt;=0, $AH273= Control!$C$59, Control!$C$60 &gt;0, $AH273 = Control!$C$60)), Control!$C$59, IF(Control!$C$60&gt;0, 0))</f>
        <v>1</v>
      </c>
      <c r="HI273" s="165">
        <f ca="1">IF(AND(OR(Control!$C$60&lt;=0, $AH273= Control!$C$59, Control!$C$60 &gt;0, $AH273 = Control!$C$60)), Control!$C$60, IF(Control!$C$60&lt;=0, 0))</f>
        <v>0</v>
      </c>
      <c r="HJ273" s="166">
        <f ca="1">IF(AND(Control!$C$62="F",$CV273&gt;=Control!$C$102),$AH273,0)</f>
        <v>0</v>
      </c>
      <c r="HK273" s="165" t="e">
        <f t="shared" ca="1" si="1138"/>
        <v>#N/A</v>
      </c>
      <c r="HL273" s="166">
        <f ca="1">IF(AND(Control!$C$61="T",$HE273&gt;=Control!$C$103,Control!$C$114=0),$HF273,0)</f>
        <v>0</v>
      </c>
      <c r="HM273" s="201" t="e">
        <f t="shared" ca="1" si="983"/>
        <v>#DIV/0!</v>
      </c>
      <c r="HN273" s="215">
        <f t="shared" ca="1" si="1102"/>
        <v>269</v>
      </c>
      <c r="HO273" s="216" t="e">
        <f ca="1">IF(AND($CP273&gt;=0, $CP273&lt;=90), Control!$C$152, Control!$C$152)</f>
        <v>#N/A</v>
      </c>
      <c r="HP273" s="216" t="e">
        <f t="shared" ca="1" si="984"/>
        <v>#N/A</v>
      </c>
      <c r="HQ273" s="217" t="e">
        <f ca="1">IF(OR(Control!$B$26=1,Control!$B$26=2),$KV273,$KS273)</f>
        <v>#DIV/0!</v>
      </c>
      <c r="HR273" s="218" t="e">
        <f t="shared" ca="1" si="1139"/>
        <v>#DIV/0!</v>
      </c>
      <c r="HS273" s="216" t="e">
        <f ca="1">Control!$C$154*$HP273</f>
        <v>#N/A</v>
      </c>
      <c r="HT273" s="216" t="e">
        <f ca="1">Control!$C$155*$HP273</f>
        <v>#N/A</v>
      </c>
      <c r="HU273" s="217" t="e">
        <f ca="1">Control!$C$161*$FI273</f>
        <v>#N/A</v>
      </c>
      <c r="HV273" s="218" t="e">
        <f t="shared" ca="1" si="1103"/>
        <v>#N/A</v>
      </c>
      <c r="HW273" s="218" t="e">
        <f ca="1">Control!$C$160*$FF273+$IP273*$EO273</f>
        <v>#N/A</v>
      </c>
      <c r="HX273" s="218" t="e">
        <f t="shared" ca="1" si="1140"/>
        <v>#N/A</v>
      </c>
      <c r="HY273" s="219" t="e">
        <f ca="1">IF(Control!$C$114=1, $EB273*$FS273, 0)</f>
        <v>#N/A</v>
      </c>
      <c r="HZ273" s="91" t="e">
        <f t="shared" ca="1" si="985"/>
        <v>#N/A</v>
      </c>
      <c r="IA273" s="220" t="e">
        <f ca="1">Control!$C$153*$HO273</f>
        <v>#N/A</v>
      </c>
      <c r="IB273" s="218" t="e">
        <f t="shared" ca="1" si="986"/>
        <v>#N/A</v>
      </c>
      <c r="IC273" s="220" t="e">
        <f ca="1">Control!$C$153*$HT273</f>
        <v>#N/A</v>
      </c>
      <c r="ID273" s="218" t="e">
        <f t="shared" ca="1" si="987"/>
        <v>#N/A</v>
      </c>
      <c r="IE273" s="221" t="e">
        <f ca="1">($EB273*Control!$C$159+$EF273*Control!$C$160)/(IF($GZ273&lt;&gt;0,$GZ273,1))</f>
        <v>#N/A</v>
      </c>
      <c r="IF273" s="216" t="e">
        <f t="shared" ca="1" si="988"/>
        <v>#N/A</v>
      </c>
      <c r="IG273" s="91">
        <f ca="1">IF(OR(Control!$B$198=$AH273,Control!$B$199=$AH273, Control!$B$200=$AH273, Control!$B$201=$AH273, Control!$B$202=$AH273, Control!$B$203=$AH273, Control!$B$204=$AH273, Control!$B$205=$AH273, Control!$B$206=$AH273, Control!$B$207=$AH273), 1, 0)</f>
        <v>0</v>
      </c>
      <c r="IH273" s="91">
        <f ca="1">IF($IG273=0,0, VLOOKUP($AH273,Control!$B$198:$C$207,2))</f>
        <v>0</v>
      </c>
      <c r="II273" s="222">
        <f t="shared" ca="1" si="1104"/>
        <v>0</v>
      </c>
      <c r="IJ273" s="91">
        <f>Control!$C$121</f>
        <v>0.7</v>
      </c>
      <c r="IK273" s="218">
        <f t="shared" ca="1" si="989"/>
        <v>0</v>
      </c>
      <c r="IL273" s="217" t="e">
        <f t="shared" ca="1" si="1141"/>
        <v>#N/A</v>
      </c>
      <c r="IM273" s="223" t="e">
        <f ca="1">IF(AND(Control!$C$114=1,$KH273&lt;1),$EB273*Control!$C$148*(1-$KH273), 0)</f>
        <v>#N/A</v>
      </c>
      <c r="IN273" s="217" t="e">
        <f t="shared" ca="1" si="990"/>
        <v>#DIV/0!</v>
      </c>
      <c r="IO273" s="91" t="e">
        <f ca="1">MAX(0,$IL273-$EF273*Control!$C$160)</f>
        <v>#N/A</v>
      </c>
      <c r="IP273" s="220" t="e">
        <f t="shared" ca="1" si="991"/>
        <v>#N/A</v>
      </c>
      <c r="IQ273" s="217" t="e">
        <f t="shared" ca="1" si="1105"/>
        <v>#N/A</v>
      </c>
      <c r="IR273" s="218" t="e">
        <f t="shared" ca="1" si="992"/>
        <v>#N/A</v>
      </c>
      <c r="IS273" s="217" t="e">
        <f ca="1">Control!$C$159*MAX(0,$FD273-$EN273)</f>
        <v>#N/A</v>
      </c>
      <c r="IT273" s="217" t="e">
        <f t="shared" ca="1" si="1142"/>
        <v>#N/A</v>
      </c>
      <c r="IU273" s="217" t="e">
        <f t="shared" ca="1" si="1106"/>
        <v>#N/A</v>
      </c>
      <c r="IV273" s="217" t="e">
        <f t="shared" ca="1" si="1143"/>
        <v>#N/A</v>
      </c>
      <c r="IW273" s="217" t="e">
        <f ca="1">IF(OR($AW273=1,AND($AW273=0, Control!$B$18=1,$EN273&lt;&gt;0)), $IQ273-$IU273, $IQ273)</f>
        <v>#N/A</v>
      </c>
      <c r="IX273" s="218" t="e">
        <f t="shared" ca="1" si="993"/>
        <v>#N/A</v>
      </c>
      <c r="IY273" s="218" t="e">
        <f ca="1">MAX(0,$IQ273-$EB273*Control!$C$159)</f>
        <v>#N/A</v>
      </c>
      <c r="IZ273" s="218" t="e">
        <f t="shared" ca="1" si="994"/>
        <v>#N/A</v>
      </c>
      <c r="JA273" s="216" t="e">
        <f t="shared" ca="1" si="995"/>
        <v>#N/A</v>
      </c>
      <c r="JB273" s="217" t="e">
        <f t="shared" ca="1" si="996"/>
        <v>#N/A</v>
      </c>
      <c r="JC273" s="222" t="e">
        <f ca="1">MAX(Control!$C$157*$EK273-$JT273, 0)/Control!$C$162</f>
        <v>#N/A</v>
      </c>
      <c r="JD273" s="218" t="e">
        <f t="shared" ca="1" si="997"/>
        <v>#N/A</v>
      </c>
      <c r="JE273" s="218" t="e">
        <f t="shared" ca="1" si="998"/>
        <v>#N/A</v>
      </c>
      <c r="JF273" s="218" t="e">
        <f t="shared" ca="1" si="1107"/>
        <v>#N/A</v>
      </c>
      <c r="JG273" s="218" t="e">
        <f t="shared" ca="1" si="999"/>
        <v>#N/A</v>
      </c>
      <c r="JH273" s="217" t="e">
        <f t="shared" ca="1" si="1108"/>
        <v>#N/A</v>
      </c>
      <c r="JI273" s="217" t="e">
        <f t="shared" ca="1" si="1109"/>
        <v>#N/A</v>
      </c>
      <c r="JJ273" s="217" t="e">
        <f t="shared" ca="1" si="1144"/>
        <v>#N/A</v>
      </c>
      <c r="JK273" s="217" t="e">
        <f ca="1">IF(Control!$C$114=1,IF(Control!$B$24=0,MAX(0,$JI273)*$GN273/Control!$C$64,(MAX(0,MIN($JI273,$JJ273*$GN273/Control!$C$64),0))))</f>
        <v>#N/A</v>
      </c>
      <c r="JL273" s="217" t="e">
        <f ca="1">$IK273/Control!$C$64-$JK273+$HQ273</f>
        <v>#N/A</v>
      </c>
      <c r="JM273" s="217" t="e">
        <f ca="1">IF(Control!$C$114=1,($JB273/(IF($JI273&lt;&gt;0,$JI273,1)))*$JK273,0)</f>
        <v>#N/A</v>
      </c>
      <c r="JN273" s="217" t="e">
        <f ca="1">IF(Control!$C$114=1,($JG273/(IF($JI273&lt;&gt;0,$JI273,1)))*$JK273, 0)</f>
        <v>#N/A</v>
      </c>
      <c r="JO273" s="218" t="e">
        <f t="shared" ca="1" si="1000"/>
        <v>#N/A</v>
      </c>
      <c r="JP273" s="218" t="e">
        <f ca="1">MIN(($IY273+$IO273)*Control!$C$151, $JF273-$EH273*Control!$C$161)</f>
        <v>#N/A</v>
      </c>
      <c r="JQ273" s="218" t="e">
        <f t="shared" ca="1" si="1001"/>
        <v>#N/A</v>
      </c>
      <c r="JR273" s="217" t="e">
        <f ca="1">IF($CP273-Control!$C$150&lt;0, 0, $JQ273/Control!$C$162)</f>
        <v>#N/A</v>
      </c>
      <c r="JS273" s="218" t="e">
        <f t="shared" ca="1" si="1002"/>
        <v>#N/A</v>
      </c>
      <c r="JT273" s="218" t="e">
        <f t="shared" ca="1" si="1110"/>
        <v>#N/A</v>
      </c>
      <c r="JU273" s="218" t="e">
        <f t="shared" ca="1" si="1003"/>
        <v>#N/A</v>
      </c>
      <c r="JV273" s="218" t="e">
        <f t="shared" ca="1" si="1004"/>
        <v>#N/A</v>
      </c>
      <c r="JW273" s="216" t="e">
        <f t="shared" ca="1" si="1005"/>
        <v>#N/A</v>
      </c>
      <c r="JX273" s="91" t="e">
        <f t="shared" ca="1" si="1006"/>
        <v>#N/A</v>
      </c>
      <c r="JY273" s="218" t="e">
        <f t="shared" ca="1" si="1007"/>
        <v>#N/A</v>
      </c>
      <c r="JZ273" s="217" t="e">
        <f ca="1">IF(Control!$C$114=1,($IZ273/(IF($JI273&lt;&gt;0,$JI273,1)))*$JK273, 0)</f>
        <v>#N/A</v>
      </c>
      <c r="KA273" s="218" t="e">
        <f t="shared" ca="1" si="1145"/>
        <v>#N/A</v>
      </c>
      <c r="KB273" s="218" t="e">
        <f t="shared" ca="1" si="1111"/>
        <v>#N/A</v>
      </c>
      <c r="KC273" s="218" t="e">
        <f t="shared" ca="1" si="1008"/>
        <v>#N/A</v>
      </c>
      <c r="KD273" s="218" t="e">
        <f t="shared" ca="1" si="1009"/>
        <v>#N/A</v>
      </c>
      <c r="KE273" s="218" t="e">
        <f t="shared" ca="1" si="1010"/>
        <v>#N/A</v>
      </c>
      <c r="KF273" s="218" t="e">
        <f t="shared" ca="1" si="1011"/>
        <v>#N/A</v>
      </c>
      <c r="KG273" s="216" t="e">
        <f t="shared" ca="1" si="1012"/>
        <v>#N/A</v>
      </c>
      <c r="KH273" s="221" t="e">
        <f ca="1">IF(Control!$B$24=0,1,MAX(0.001,MIN(1,IF(($IF273-$IE273)&lt;&gt;0,($KG273-$IE273)/($IF273-$IE273),1))))</f>
        <v>#N/A</v>
      </c>
      <c r="KI273" s="222" t="e">
        <f ca="1">IF(Control!$C$114=1, $KI272+ $KH272, 0)</f>
        <v>#N/A</v>
      </c>
      <c r="KJ273" s="217" t="e">
        <f t="shared" ca="1" si="1013"/>
        <v>#N/A</v>
      </c>
      <c r="KK273" s="218" t="e">
        <f t="shared" ca="1" si="1014"/>
        <v>#N/A</v>
      </c>
      <c r="KL273" s="274" t="e">
        <f ca="1">IF(Control!$B$26=3,4000000000*EXP(-8400/($G273+273)),IF(Control!$B$26=4,4000000000*EXP(-8400/($G273+273))*($KT273),0))</f>
        <v>#DIV/0!</v>
      </c>
      <c r="KM273" s="274" t="e">
        <f ca="1">IF(Control!$B$26=3,5600000000000*EXP(-9800/($G273+273)),IF(Control!$B$26=4,5600000000000*EXP(-9800/($G273+273))*$KT273,0))</f>
        <v>#DIV/0!</v>
      </c>
      <c r="KN273" s="454" t="e">
        <f t="shared" ca="1" si="1112"/>
        <v>#DIV/0!</v>
      </c>
      <c r="KO273" s="274" t="e">
        <f t="shared" ca="1" si="1113"/>
        <v>#DIV/0!</v>
      </c>
      <c r="KP273" s="454" t="e">
        <f t="shared" ca="1" si="1015"/>
        <v>#DIV/0!</v>
      </c>
      <c r="KQ273" s="454" t="e">
        <f t="shared" ca="1" si="1016"/>
        <v>#DIV/0!</v>
      </c>
      <c r="KR273" s="454" t="e">
        <f t="shared" ca="1" si="1017"/>
        <v>#DIV/0!</v>
      </c>
      <c r="KS273" s="454" t="e">
        <f t="shared" ca="1" si="1018"/>
        <v>#DIV/0!</v>
      </c>
      <c r="KT273" s="455" t="e">
        <f t="shared" ca="1" si="1019"/>
        <v>#DIV/0!</v>
      </c>
      <c r="KU273" s="456" t="e">
        <f ca="1">IF($CP273-Control!$C$149&lt;0, IF($NT273-0.01&lt;0,0,1),0)</f>
        <v>#N/A</v>
      </c>
      <c r="KV273" s="456" t="e">
        <f ca="1">IF(Control!$C$114=1,MAX(0,MIN(Control!$C$125*$KW273*$GN273,$KW273)))</f>
        <v>#DIV/0!</v>
      </c>
      <c r="KW273" s="456" t="e">
        <f t="shared" ca="1" si="1146"/>
        <v>#DIV/0!</v>
      </c>
      <c r="KX273" s="457" t="e">
        <f ca="1">IF($CP273-Control!$C$149&lt;0, IF($MR273-$OM273&lt;0,0,1),0)</f>
        <v>#N/A</v>
      </c>
      <c r="KY273" s="167">
        <f t="shared" ca="1" si="1114"/>
        <v>269</v>
      </c>
      <c r="KZ273" s="168">
        <f ca="1">1370*(1+0.033*COS(2*Control!$C$138*$AH273/365))</f>
        <v>1366.3078980839832</v>
      </c>
      <c r="LA273" s="169">
        <f t="shared" ca="1" si="1115"/>
        <v>0.99730467895409602</v>
      </c>
      <c r="LB273" s="169">
        <f t="shared" ca="1" si="1116"/>
        <v>-4.0436630898435667E-2</v>
      </c>
      <c r="LC273" s="169">
        <f ca="1">ACOS(-TAN((2*Control!$B$8/360))*TAN(Calculations!$LB273))</f>
        <v>1.5587715891623144</v>
      </c>
      <c r="LD273" s="169">
        <f ca="1">((24*60)/PI())*0.082*$LA273*(($LC273*SIN(Control!$B$8*2*PI()/360))*SIN($LB273)+COS(Control!$B$8*2*PI()/360)*COS($LB273)*SIN($LC273))</f>
        <v>21.196029620127593</v>
      </c>
      <c r="LE273" s="170">
        <f t="shared" ca="1" si="1020"/>
        <v>21.47289205596562</v>
      </c>
      <c r="LF273" s="170">
        <f ca="1">SIN(Control!$C$139*Control!$B$8)*SIN($HD273)</f>
        <v>-2.8305420813501399E-2</v>
      </c>
      <c r="LG273" s="170">
        <f ca="1">COS(Control!$C$139*Control!$B$8)*COS($HD273)</f>
        <v>0.61526249753787376</v>
      </c>
      <c r="LH273" s="170">
        <f ca="1">12*(1+2*ASIN(MAX(-1,MIN(1,$LF273/$LG273))/Control!$C$138))</f>
        <v>11.648532600122419</v>
      </c>
      <c r="LI273" s="170">
        <f ca="1">12*(1+2*ASIN(MAX(-1,MIN(1,(-SIN(-4*Control!$C$139)+$LF273)/$LG273))/Control!$C$138))</f>
        <v>12.51471932725852</v>
      </c>
      <c r="LJ273" s="168">
        <f ca="1">3600*($LH273*$LF273+24*$LG273*SQRT(1-$LK273*$LK273)/Control!$C$138)</f>
        <v>15715.997899212716</v>
      </c>
      <c r="LK273" s="170">
        <f t="shared" ca="1" si="1021"/>
        <v>-4.6005438210150296E-2</v>
      </c>
      <c r="LL273" s="170">
        <f t="shared" ca="1" si="1022"/>
        <v>0</v>
      </c>
      <c r="LM273" s="171">
        <f ca="1">Control!$C$145*$AB273</f>
        <v>6.6660906138995932E-2</v>
      </c>
      <c r="LN273" s="170">
        <f t="shared" ca="1" si="1117"/>
        <v>0.54</v>
      </c>
      <c r="LO273" s="170">
        <f t="shared" ca="1" si="1023"/>
        <v>0</v>
      </c>
      <c r="LP273" s="170">
        <f ca="1">Control!$C$140*((($D273+273.16)^4+($E273+273.16)^4)/2)*(0.34-0.14*SQRT($Y273))*(1.35*$AQ273/(0.75*$LD273)-0.35)</f>
        <v>-3.2464704755046001</v>
      </c>
      <c r="LQ273" s="170">
        <f ca="1">Control!$C$140*($G273+273)^4*(0.56-0.079*SQRT($Y273*10))*(0.1+0.9*$LO273)</f>
        <v>1.5241745131704001</v>
      </c>
      <c r="LR273" s="170">
        <f ca="1">$AQ273*(1-Control!$C$142)-$LQ273</f>
        <v>-1.5241745131704001</v>
      </c>
      <c r="LS273" s="170">
        <f ca="1">$AQ273*(1-Control!$C$143)-$LQ273</f>
        <v>-1.5241745131704001</v>
      </c>
      <c r="LT273" s="170">
        <f ca="1">$AQ273*(1-Control!$C$144)-$LQ273</f>
        <v>-1.5241745131704001</v>
      </c>
      <c r="LU273" s="169">
        <f ca="1">(1-Control!$C$144)*AQ273-LP273</f>
        <v>3.2464704755046001</v>
      </c>
      <c r="LV273" s="172">
        <f t="shared" ca="1" si="1024"/>
        <v>0.79430000000000012</v>
      </c>
      <c r="LW273" s="170">
        <f t="shared" ca="1" si="1025"/>
        <v>1.5886000000000002</v>
      </c>
      <c r="LX273" s="170">
        <f ca="1">($AC273*($LR273/Control!$C$141)+$LM273*$LV273)/($AC273+$LM273)</f>
        <v>0.23530094218323697</v>
      </c>
      <c r="LY273" s="170">
        <f ca="1">($AC273*($LS273/Control!$C$141)+$LM273*$LV273)/($AC273+$LM273)</f>
        <v>0.23530094218323697</v>
      </c>
      <c r="LZ273" s="170">
        <f t="shared" ca="1" si="1026"/>
        <v>0.23530094218323697</v>
      </c>
      <c r="MA273" s="170">
        <f t="shared" ca="1" si="1027"/>
        <v>0.23530094218323697</v>
      </c>
      <c r="MB273" s="170" t="e">
        <f t="shared" ca="1" si="1028"/>
        <v>#N/A</v>
      </c>
      <c r="MC273" s="170">
        <f t="shared" ca="1" si="1118"/>
        <v>0.6018</v>
      </c>
      <c r="MD273" s="170">
        <f t="shared" ca="1" si="1029"/>
        <v>0.52989392535414004</v>
      </c>
      <c r="ME273" s="170">
        <f ca="1">($AC273*($LT273/Control!$C$141)+$LM273*$LW273)/($AC273+$LM273)</f>
        <v>0.71612369323045078</v>
      </c>
      <c r="MF273" s="170" t="e">
        <f ca="1">IF(Control!$B$16&gt;=1000,0.92,IF(AND(720&lt;=Control!$B$16,1000&gt;Control!$B$16),(0.95+(Control!$B$16-720)*((0.92-0.95)/(1000-720))),IF(AND(360&lt;=Control!$B$16,720&gt;Control!$B$16),(1+(Control!$B$16-360)*((0.95-1)/(720-360))),IF(AND(40&lt;=Control!$B$16,360&gt;Control!$B$16),(1.05+(Control!$B$16-40)*((1.05-1)/(360-40)))))))</f>
        <v>#N/A</v>
      </c>
      <c r="MG273" s="170">
        <f t="shared" ca="1" si="1030"/>
        <v>0.71612369323045078</v>
      </c>
      <c r="MH273" s="170" t="e">
        <f t="shared" ca="1" si="1155"/>
        <v>#N/A</v>
      </c>
      <c r="MI273" s="170" t="e">
        <f t="shared" ca="1" si="1155"/>
        <v>#N/A</v>
      </c>
      <c r="MJ273" s="170" t="e">
        <f ca="1">MAX(0.0001, Control!$C$132*$MI273*$DL273)</f>
        <v>#N/A</v>
      </c>
      <c r="MK273" s="170">
        <f ca="1">1/(0.76+1.5*($MG273/10))-(5-Control!$C$110)*0.1</f>
        <v>1.002845988140797</v>
      </c>
      <c r="ML273" s="173">
        <f ca="1">IF(Control!$C$110&lt;3,$MK273+($MG273-0.6)/(Control!$C$110*(Control!$C$110+3)), MAX(0.1, MIN(0.95,$MK273)))</f>
        <v>0.95</v>
      </c>
      <c r="MM273" s="173">
        <f ca="1">IF(Control!$C$110&lt;3,$MK273+(($MI273/10)-0.6)/(Control!$C$110*(Control!$C$110+3)), MAX(0.1, MIN(0.95,$MK273)))</f>
        <v>0.95</v>
      </c>
      <c r="MN273" s="173">
        <f ca="1">(1-$MM273)*(Control!$C$128-Control!$C$127)+Control!$C$127</f>
        <v>0.16</v>
      </c>
      <c r="MO273" s="170" t="e">
        <f ca="1">MAX(0,MIN(1,($MS273-Control!$C$127)/($MN273-Control!$C$127)))</f>
        <v>#DIV/0!</v>
      </c>
      <c r="MP273" s="173" t="e">
        <f ca="1">1/(0.76+1.5*$MI273)-(5-Control!$C$110)*0.1</f>
        <v>#N/A</v>
      </c>
      <c r="MQ273" s="172" t="e">
        <f t="shared" ca="1" si="1147"/>
        <v>#DIV/0!</v>
      </c>
      <c r="MR273" s="168" t="e">
        <f t="shared" ca="1" si="1119"/>
        <v>#DIV/0!</v>
      </c>
      <c r="MS273" s="173" t="e">
        <f ca="1">MAX(Control!$C$127, MIN(Control!$C$135, $MR273/MAX(0.0001,$CY273)))</f>
        <v>#DIV/0!</v>
      </c>
      <c r="MT273" s="168" t="e">
        <f ca="1">(Control!$C$128-$MS273)*Control!$C$74</f>
        <v>#DIV/0!</v>
      </c>
      <c r="MU273" s="168" t="e">
        <f ca="1">(Control!$C$135-$MS273)*Control!$C$74</f>
        <v>#DIV/0!</v>
      </c>
      <c r="MV273" s="168" t="e">
        <f t="shared" ca="1" si="1120"/>
        <v>#DIV/0!</v>
      </c>
      <c r="MW273" s="168" t="e">
        <f t="shared" ca="1" si="1121"/>
        <v>#DIV/0!</v>
      </c>
      <c r="MX273" s="171" t="e">
        <f ca="1">MAX(Control!$C$127, MIN(Control!$C$135, $MW273/MAX(0.0001,Control!$C$119-$CY273)))</f>
        <v>#DIV/0!</v>
      </c>
      <c r="MY273" s="54" t="e">
        <f ca="1">IF(Control!$C$114=1, $CX273*$MX273, 0)</f>
        <v>#DIV/0!</v>
      </c>
      <c r="MZ273" s="54" t="e">
        <f t="shared" ca="1" si="1122"/>
        <v>#N/A</v>
      </c>
      <c r="NA273" s="168" t="e">
        <f ca="1">(Control!$C$128-$MX273)*(Control!$C$119-Control!$C$74)</f>
        <v>#DIV/0!</v>
      </c>
      <c r="NB273" s="168" t="e">
        <f ca="1">(Control!$C$135-$MX273)*(Control!$C$119-Control!$C$74)</f>
        <v>#DIV/0!</v>
      </c>
      <c r="NC273" s="174" t="e">
        <f t="shared" ca="1" si="1123"/>
        <v>#DIV/0!</v>
      </c>
      <c r="ND273" s="54">
        <f ca="1">IF(Control!$C$58=2, IF(OR(Control!$B$218=$AH273,Control!$B$219=$AH273, Control!$B$220=$AH273, Control!$B$221=$AH273, Control!$B$222=$AH273, Control!$B$223=$AH273, Control!$B$224=$AH273, Control!$B$225=$AH273, Control!$B$226=$AH273, Control!$B$227=$AH273, Control!$B$228=$AH273), 1, 0), 0)</f>
        <v>0</v>
      </c>
      <c r="NE273" s="54">
        <f ca="1">IF($ND273=0,0, VLOOKUP($AH273,Control!$B$218:$C$228,2))</f>
        <v>0</v>
      </c>
      <c r="NF273" s="168" t="e">
        <f ca="1">$CY273*(Control!$C$128-Control!$C$127)</f>
        <v>#N/A</v>
      </c>
      <c r="NG273" s="54" t="e">
        <f ca="1">IF(Control!$C$58=2, $NI272-$NJ272, 0)</f>
        <v>#DIV/0!</v>
      </c>
      <c r="NH273" s="54" t="e">
        <f ca="1">IF(AND(Control!$C$58=1, $MS272&lt;= ($MN272+0.02), $I272&lt;10), 0, IF(Control!$C$58=2, $NG272, 0))</f>
        <v>#DIV/0!</v>
      </c>
      <c r="NI273" s="54" t="e">
        <f ca="1">IF(Control!$C$58=2, $NE273+$NH273,0)</f>
        <v>#DIV/0!</v>
      </c>
      <c r="NJ273" s="54" t="e">
        <f ca="1">IF(AND(Control!$C$58=1, $MS273&lt;= ($MN273+0.02), $I273&lt;10), MAX(0, MIN(10, 0.7*($NF273-$MV273))), IF(Control!$C$58=2, MIN(10,$NI273),0))</f>
        <v>#DIV/0!</v>
      </c>
      <c r="NK273" s="54" t="e">
        <f t="shared" ca="1" si="1031"/>
        <v>#DIV/0!</v>
      </c>
      <c r="NL273" s="173" t="e">
        <f ca="1">(1-Control!$C$73)*$I273+$NJ273</f>
        <v>#DIV/0!</v>
      </c>
      <c r="NM273" s="172" t="e">
        <f ca="1">IF($NL273&lt;0.5, $MB273* MAX(0, MIN(1, (SQRT($NC273)-SQRT($NC273-1))*Control!$C$71)),0)</f>
        <v>#DIV/0!</v>
      </c>
      <c r="NN273" s="170" t="e">
        <f ca="1">IF($NL273&gt;=5, $MB273, MAX(0,MIN($MB273, $NM273+$NL273,($MS273-Control!$C$129))))</f>
        <v>#DIV/0!</v>
      </c>
      <c r="NO273" s="54">
        <f>IF(Control!$C$133&lt;&gt;1, Control!$C$135-Control!$C$131, 0)</f>
        <v>0.38</v>
      </c>
      <c r="NP273" s="54" t="e">
        <f t="shared" ca="1" si="1032"/>
        <v>#DIV/0!</v>
      </c>
      <c r="NQ273" s="173" t="e">
        <f ca="1">MAX(0,MIN(1,(Control!$C$135-$MS273)/(Control!$C$135-$NO273)))</f>
        <v>#DIV/0!</v>
      </c>
      <c r="NR273" s="170" t="e">
        <f ca="1">IF(Control!$C$133&lt;&gt;1, $NQ273+((1-$NP273/4)*(1-$NQ273)),1)</f>
        <v>#DIV/0!</v>
      </c>
      <c r="NS273" s="170" t="e">
        <f ca="1">IF(Control!$B$31=0,$MJ273,MAX(0,MIN($MV273,$MO273*$NR273*$MJ273)))</f>
        <v>#DIV/0!</v>
      </c>
      <c r="NT273" s="170" t="e">
        <f t="shared" ca="1" si="1148"/>
        <v>#DIV/0!</v>
      </c>
      <c r="NU273" s="170" t="e">
        <f t="shared" ca="1" si="1124"/>
        <v>#N/A</v>
      </c>
      <c r="NV273" s="170" t="e">
        <f t="shared" ca="1" si="1033"/>
        <v>#N/A</v>
      </c>
      <c r="NW273" s="175" t="e">
        <f t="shared" ca="1" si="1034"/>
        <v>#DIV/0!</v>
      </c>
      <c r="NX273" s="170" t="e">
        <f ca="1">MIN(Control!$C$72+$MU273, $NW273)</f>
        <v>#DIV/0!</v>
      </c>
      <c r="NY273" s="170" t="e">
        <f ca="1">IF($MT273&lt;=$NX273,MIN(Control!$C$72+$NB273,$NX273-$MT273),0)</f>
        <v>#DIV/0!</v>
      </c>
      <c r="NZ273" s="54" t="e">
        <f ca="1">IF(Control!$C$114=1,  $CX273*($MX273-Control!$C$127), 0)</f>
        <v>#DIV/0!</v>
      </c>
      <c r="OA273" s="170" t="e">
        <f t="shared" ca="1" si="1035"/>
        <v>#DIV/0!</v>
      </c>
      <c r="OB273" s="170" t="e">
        <f ca="1">IF($NA273 &lt;=$NY273, MIN(Control!$C$72, $NY273-$NA273), 0)</f>
        <v>#DIV/0!</v>
      </c>
      <c r="OC273" s="168" t="e">
        <f t="shared" ca="1" si="1036"/>
        <v>#DIV/0!</v>
      </c>
      <c r="OD273" s="168" t="e">
        <f t="shared" ca="1" si="1125"/>
        <v>#DIV/0!</v>
      </c>
      <c r="OE273" s="170">
        <f ca="1">Control!$C$73*$I273</f>
        <v>0</v>
      </c>
      <c r="OF273" s="176" t="e">
        <f t="shared" ca="1" si="1037"/>
        <v>#DIV/0!</v>
      </c>
      <c r="OG273" s="168" t="e">
        <f t="shared" ca="1" si="1038"/>
        <v>#DIV/0!</v>
      </c>
      <c r="OH273" s="168" t="e">
        <f t="shared" ca="1" si="1039"/>
        <v>#DIV/0!</v>
      </c>
      <c r="OI273" s="168" t="e">
        <f t="shared" ca="1" si="1040"/>
        <v>#DIV/0!</v>
      </c>
      <c r="OJ273" s="168" t="e">
        <f t="shared" ca="1" si="1041"/>
        <v>#DIV/0!</v>
      </c>
      <c r="OK273" s="204" t="e">
        <f t="shared" ca="1" si="1042"/>
        <v>#DIV/0!</v>
      </c>
      <c r="OL273" s="177">
        <f>Control!$C$127</f>
        <v>0.15</v>
      </c>
      <c r="OM273" s="182" t="e">
        <f t="shared" ca="1" si="1043"/>
        <v>#N/A</v>
      </c>
      <c r="ON273" s="177">
        <f>Control!$C$128</f>
        <v>0.35</v>
      </c>
      <c r="OO273" s="182" t="e">
        <f t="shared" ca="1" si="1044"/>
        <v>#N/A</v>
      </c>
      <c r="OP273" s="138">
        <f t="shared" ca="1" si="1126"/>
        <v>0</v>
      </c>
      <c r="OQ273" s="138" t="e">
        <f t="shared" ca="1" si="1149"/>
        <v>#DIV/0!</v>
      </c>
      <c r="OR273" s="138" t="e">
        <f t="shared" ca="1" si="1127"/>
        <v>#DIV/0!</v>
      </c>
      <c r="OS273" s="137" t="e">
        <f t="shared" ca="1" si="1150"/>
        <v>#DIV/0!</v>
      </c>
      <c r="OT273" s="139" t="e">
        <f t="shared" ca="1" si="1151"/>
        <v>#DIV/0!</v>
      </c>
      <c r="OU273" s="138" t="e">
        <f t="shared" ca="1" si="1152"/>
        <v>#N/A</v>
      </c>
      <c r="OV273" s="138" t="e">
        <f t="shared" ca="1" si="1153"/>
        <v>#DIV/0!</v>
      </c>
      <c r="OW273" s="138" t="e">
        <f t="shared" ca="1" si="1128"/>
        <v>#DIV/0!</v>
      </c>
      <c r="OX273" s="138" t="e">
        <f t="shared" ca="1" si="1129"/>
        <v>#DIV/0!</v>
      </c>
      <c r="OY273" s="138" t="e">
        <f t="shared" ca="1" si="1130"/>
        <v>#DIV/0!</v>
      </c>
      <c r="OZ273" s="138" t="e">
        <f t="shared" ca="1" si="1045"/>
        <v>#DIV/0!</v>
      </c>
      <c r="PA273" s="138" t="e">
        <f t="shared" ca="1" si="1046"/>
        <v>#DIV/0!</v>
      </c>
      <c r="PB273" s="55">
        <f>IF(Control!$C$61="T", IF(Control!$C$65="F", IF($AH$6-Control!$C$60&lt;0,0,1), IF(365+$AH$6-Control!$C$60&lt;0,0,1)),0)</f>
        <v>0</v>
      </c>
      <c r="PC273" s="55">
        <f ca="1">IF(Control!$C$65="F", IF($AH$6-$HF273&lt;0,0,1), IF(365+$AH$6-$HF273&lt;0,0,1))</f>
        <v>1</v>
      </c>
      <c r="PD273" s="444">
        <f>Control!$C$118</f>
        <v>1500</v>
      </c>
      <c r="PE273" s="180" t="e">
        <f t="shared" ca="1" si="1047"/>
        <v>#N/A</v>
      </c>
      <c r="PF273" s="445">
        <f t="shared" ca="1" si="1131"/>
        <v>0.71612369323045078</v>
      </c>
      <c r="PT273" s="186"/>
      <c r="PU273" s="186"/>
      <c r="PV273" s="94"/>
      <c r="PW273" s="94"/>
      <c r="PX273" s="94"/>
      <c r="PY273" s="94"/>
      <c r="PZ273" s="94"/>
      <c r="QA273" s="94"/>
      <c r="QB273" s="94"/>
      <c r="QC273" s="94"/>
      <c r="QD273" s="94"/>
      <c r="QE273" s="94"/>
      <c r="QF273" s="94"/>
      <c r="QG273" s="94"/>
      <c r="QH273" s="94"/>
      <c r="QI273" s="94"/>
      <c r="QJ273" s="94"/>
      <c r="QK273" s="94"/>
      <c r="QL273" s="94"/>
      <c r="QM273" s="94"/>
      <c r="QN273" s="94"/>
      <c r="QO273" s="94"/>
      <c r="QP273" s="94"/>
    </row>
    <row r="274" spans="1:458" s="2" customFormat="1" x14ac:dyDescent="0.2">
      <c r="A274" s="395">
        <v>26</v>
      </c>
      <c r="B274" s="396">
        <v>9</v>
      </c>
      <c r="C274" s="387">
        <f ca="1">Weather_data!$B273</f>
        <v>0</v>
      </c>
      <c r="D274" s="388">
        <f ca="1">Weather_data!$F273</f>
        <v>0</v>
      </c>
      <c r="E274" s="388">
        <f ca="1">Weather_data!$E273</f>
        <v>0</v>
      </c>
      <c r="F274" s="388">
        <f t="shared" ca="1" si="1048"/>
        <v>0</v>
      </c>
      <c r="G274" s="388">
        <f ca="1">AVERAGE($D274:$E274)+Control!$B$9</f>
        <v>0</v>
      </c>
      <c r="H274" s="388">
        <f ca="1">Weather_data!$G273</f>
        <v>0</v>
      </c>
      <c r="I274" s="388">
        <f ca="1">Weather_data!$I273</f>
        <v>0</v>
      </c>
      <c r="J274" s="388">
        <f ca="1">Weather_data!$H273</f>
        <v>0</v>
      </c>
      <c r="K274" s="389">
        <f ca="1">Weather_data!$D273</f>
        <v>0</v>
      </c>
      <c r="L274" s="388" t="e">
        <f t="shared" ca="1" si="1049"/>
        <v>#N/A</v>
      </c>
      <c r="M274" s="388" t="e">
        <f t="shared" ca="1" si="927"/>
        <v>#N/A</v>
      </c>
      <c r="N274" s="388">
        <f t="shared" ca="1" si="928"/>
        <v>-2.7287423681967823E-13</v>
      </c>
      <c r="O274" s="388">
        <f t="shared" ca="1" si="1050"/>
        <v>2.7287423681967821E-12</v>
      </c>
      <c r="P274" s="390">
        <v>3</v>
      </c>
      <c r="Q274" s="388">
        <f ca="1">MAX($G274-Control!$C$107,0)</f>
        <v>0</v>
      </c>
      <c r="R274" s="388">
        <f t="shared" ca="1" si="1051"/>
        <v>0</v>
      </c>
      <c r="S274" s="388">
        <f t="shared" ca="1" si="929"/>
        <v>0</v>
      </c>
      <c r="T274" s="388">
        <f t="shared" ca="1" si="930"/>
        <v>0</v>
      </c>
      <c r="U274" s="59">
        <f t="shared" ca="1" si="931"/>
        <v>0</v>
      </c>
      <c r="V274" s="391">
        <f ca="1">MAX(0,MIN(Control!$C$100-Control!$C$99,$G274-Control!$C$99)*Control!$C$63)</f>
        <v>0</v>
      </c>
      <c r="W274" s="388">
        <f t="shared" ca="1" si="1052"/>
        <v>0</v>
      </c>
      <c r="X274" s="388">
        <f t="shared" ca="1" si="1053"/>
        <v>0.6110000000000001</v>
      </c>
      <c r="Y274" s="388">
        <f t="shared" ca="1" si="932"/>
        <v>0</v>
      </c>
      <c r="Z274" s="388">
        <f t="shared" ca="1" si="1054"/>
        <v>0.61058800000000002</v>
      </c>
      <c r="AA274" s="388">
        <f t="shared" ca="1" si="933"/>
        <v>0.6018</v>
      </c>
      <c r="AB274" s="388">
        <f ca="1">101.3*EXP(-0.034*Control!$C$66/($G274+273))</f>
        <v>100.69623283836242</v>
      </c>
      <c r="AC274" s="392">
        <f t="shared" ca="1" si="934"/>
        <v>4.3460251046025113E-2</v>
      </c>
      <c r="AD274" s="392">
        <f t="shared" ca="1" si="935"/>
        <v>4.4450382862832649E-2</v>
      </c>
      <c r="AE274" s="388">
        <f t="shared" ca="1" si="936"/>
        <v>0</v>
      </c>
      <c r="AF274" s="388">
        <f ca="1">MAX(0,$G274-Control!$C$92)</f>
        <v>0</v>
      </c>
      <c r="AG274" s="393">
        <f t="shared" ca="1" si="937"/>
        <v>270</v>
      </c>
      <c r="AH274" s="389">
        <f t="shared" ca="1" si="938"/>
        <v>270</v>
      </c>
      <c r="AI274" s="388">
        <f t="shared" ca="1" si="1055"/>
        <v>-4.274983369056435E-2</v>
      </c>
      <c r="AJ274" s="388">
        <f ca="1">IF(Control!$C$60&lt;=0,$HH274,$HI274)</f>
        <v>1</v>
      </c>
      <c r="AK274" s="388">
        <f t="shared" ca="1" si="939"/>
        <v>3.2706992009975928</v>
      </c>
      <c r="AL274" s="388">
        <f t="shared" ca="1" si="940"/>
        <v>-1.0820112167353458E-17</v>
      </c>
      <c r="AM274" s="388">
        <f t="shared" ca="1" si="941"/>
        <v>3.2706992009975928</v>
      </c>
      <c r="AN274" s="388">
        <f t="shared" ca="1" si="942"/>
        <v>-5.1238442093761306E-2</v>
      </c>
      <c r="AO274" s="388">
        <f ca="1">-0.10453/COS(Control!$B$8*PI()/180)*COS(AN274)</f>
        <v>-0.16956203826766483</v>
      </c>
      <c r="AP274" s="388">
        <f ca="1">ACOS(AO274-TAN(Control!$B$8*PI()/180)*TAN(AN274))</f>
        <v>1.6749066696226413</v>
      </c>
      <c r="AQ274" s="388">
        <f t="shared" ca="1" si="1056"/>
        <v>0</v>
      </c>
      <c r="AR274" s="394">
        <f t="shared" ca="1" si="943"/>
        <v>0</v>
      </c>
      <c r="AS274" s="436">
        <f ca="1">IF(Control!$B$18=2,(IF(OR($AH274=Control!$B$175,$AH274=Control!$B$176,$AH274=Control!$B$177,$AH274=Control!$B$178,$AH274=Control!$B$179,$AH274=Control!$B$180,$AH274=Control!$B$181,$AH274=Control!$B$182,$AH274=Control!$B$183,$AH274=Control!$B$184,$AH274=Control!$B$185),1,0)),0)</f>
        <v>0</v>
      </c>
      <c r="AT274" s="436">
        <f>IF(Control!$B$20=8,IF(AND($AH274&gt;=Control!$B$172,$AH274&lt;=Control!$B$173),1,0),0)</f>
        <v>0</v>
      </c>
      <c r="AU274" s="436">
        <f>IF(Control!$B$20=8,IF($AV273=1,1*$AT274,IF($AT274=1,$AU273+1,$AU273)),0)</f>
        <v>0</v>
      </c>
      <c r="AV274" s="436">
        <f>IF(Control!$B$20=8,IF($AU274&gt;=Control!$B$174,1,0),0)</f>
        <v>0</v>
      </c>
      <c r="AW274" s="436">
        <f ca="1">IF(AND(Control!$B$18=2,Control!$B$171=1), $AV274, $AS274)</f>
        <v>0</v>
      </c>
      <c r="AX274" s="436" t="e">
        <f ca="1">IF(AND(Control!$B$18=1,$EU274&gt;=Control!$B$19),-$AY274,IF(AND(Control!$B$18=2,$AW274=1,$EU274&gt;$DS274),-$AY274, IF(Control!$C$108=0,0, IF(Control!$C$108&lt;&gt;0,1))))</f>
        <v>#N/A</v>
      </c>
      <c r="AY274" s="436" t="e">
        <f t="shared" ca="1" si="1057"/>
        <v>#N/A</v>
      </c>
      <c r="AZ274" s="436" t="e">
        <f ca="1">IF(AND(Control!$B$18=1,$EB274&gt;Control!$B$19),$AZ273+1, IF(AND(Control!$B$18=2, $AW274=1, $EB274&gt;$DS274), $AZ273+1,$AZ273))</f>
        <v>#N/A</v>
      </c>
      <c r="BA274" s="587">
        <f>IF(Control!$C$81=0,1,IF($AH274&gt;=Control!$C$82,1,0))</f>
        <v>1</v>
      </c>
      <c r="BB274" s="140" t="e">
        <f ca="1">IF($BA274&gt;$BA273,Control!$C$83,IF($AW274&gt;0,$AW274*Control!$C$84,IF(AND(Control!$B$18=1,EN273&lt;&gt;0),Control!$C$84,0)))</f>
        <v>#N/A</v>
      </c>
      <c r="BC274" s="140" t="e">
        <f t="shared" ca="1" si="1058"/>
        <v>#N/A</v>
      </c>
      <c r="BD274" s="140" t="e">
        <f ca="1">BC274*IF(OR($G274&lt;Control!$C$92,$G274&gt;Control!$C$95),0,IF(AND($G274&gt;=Control!$C$92,$G274&lt;=Control!$C$93),$G274-Control!$C$92,IF(AND($G274&gt;Control!$C$93,$G274&lt;=Control!$C$94),Control!$C$93-Control!$C$92,IF(AND($G274&gt;Control!$C$94,$G274&lt;=Control!$C$95),(Control!$C$93-Control!$C$92)*(Control!$C$94-$G274)/(Control!$C$95-Control!$C$94)))))</f>
        <v>#N/A</v>
      </c>
      <c r="BE274" s="140" t="e">
        <f t="shared" ca="1" si="1059"/>
        <v>#N/A</v>
      </c>
      <c r="BF274" s="140" t="e">
        <f ca="1">IF($BE274&lt;=Control!$C$86,$BE274,Control!$C$86-$BE274)</f>
        <v>#N/A</v>
      </c>
      <c r="BG274" s="140" t="e">
        <f ca="1">IF(AND($AW274=1,Control!$C$84&lt;9),1,IF($BE274&gt;=Control!$C$86,0,$BC274))</f>
        <v>#N/A</v>
      </c>
      <c r="BH274" s="404" t="e">
        <f ca="1">IF($BG274=0,0,IF($BE274&lt;=Control!$C$86,$BC274*9*($BF274/Control!$C$86),0))</f>
        <v>#N/A</v>
      </c>
      <c r="BI274" s="140" t="e">
        <f ca="1">IF($BG274=1,0,IF($BE274&gt;=Control!$C$86,1,IF(AND($BB274&lt;21,$BB274&gt;=9),1,$BM273)))</f>
        <v>#N/A</v>
      </c>
      <c r="BJ274" s="140" t="e">
        <f ca="1">IF($BF274&lt;0,-$BF274,$BI274*IF(OR($G274&lt;Control!$C$92,$G274&gt;Control!$C$95),0,IF(AND($G274&gt;=Control!$C$92,$G274&lt;=Control!$C$93),$G274-Control!$C$92,IF(AND($G274&gt;Control!$C$93,$G274&lt;=Control!$C$94),Control!$C$93-Control!$C$92,IF(AND($G274&gt;Control!$C$94,$G274&lt;=Control!$C$95),(Control!$C$93-Control!$C$92)*(Control!$C$94-$G274)/(Control!$C$95-Control!$C$94))))))</f>
        <v>#N/A</v>
      </c>
      <c r="BK274" s="140" t="e">
        <f t="shared" ca="1" si="1060"/>
        <v>#N/A</v>
      </c>
      <c r="BL274" s="140" t="e">
        <f ca="1">IF($BK274&lt;=Control!$C$87,$BK274,Control!$C$87-$BK274)</f>
        <v>#N/A</v>
      </c>
      <c r="BM274" s="140" t="e">
        <f ca="1">IF(AND($BB274&gt;=9,$BB274&lt;21),1,IF($BK274&gt;=Control!$C$87,0,$BI274))</f>
        <v>#N/A</v>
      </c>
      <c r="BN274" s="404" t="e">
        <f ca="1">IF($BM274=0,0,IF($BK274&lt;=Control!$C$87,$BI274*(9+(21-9)*($BL274/Control!$C$87)),0))</f>
        <v>#N/A</v>
      </c>
      <c r="BO274" s="140" t="e">
        <f ca="1">IF($BM274=1,0,IF($BK274&gt;=Control!$C$87,1,IF(AND($BB274&lt;30,$BB274&gt;=21),1,$BS273)))</f>
        <v>#N/A</v>
      </c>
      <c r="BP274" s="140" t="e">
        <f ca="1">IF($BL274&lt;0,-$BL274,$BO274*IF(OR($G274&lt;Control!$C$92,$G274&gt;Control!$C$95),0,IF(AND($G274&gt;=Control!$C$92,$G274&lt;=Control!$C$93),$G274-Control!$C$92,IF(AND($G274&gt;Control!$C$93,$G274&lt;=Control!$C$94),Control!$C$93-Control!$C$92,IF(AND($G274&gt;Control!$C$94,$G274&lt;=Control!$C$95),(Control!$C$93-Control!$C$92)*(Control!$C$94-$G274)/(Control!$C$95-Control!$C$94))))))</f>
        <v>#N/A</v>
      </c>
      <c r="BQ274" s="140" t="e">
        <f t="shared" ca="1" si="944"/>
        <v>#N/A</v>
      </c>
      <c r="BR274" s="140" t="e">
        <f ca="1">IF($BQ274&lt;=Control!$C$88,$BQ274,Control!$C$88-$BQ274)</f>
        <v>#N/A</v>
      </c>
      <c r="BS274" s="140" t="e">
        <f ca="1">IF(AND($BB274&gt;=21,$BB274&lt;30),1,IF($BQ274&gt;=Control!$C$88,0,$BO274))</f>
        <v>#N/A</v>
      </c>
      <c r="BT274" s="404" t="e">
        <f ca="1">IF($BS274=0,0,IF($BQ274&lt;=Control!$C$88,$BO274*(21+(30-21)*(BR274/Control!$C$88)),0))</f>
        <v>#N/A</v>
      </c>
      <c r="BU274" s="140" t="e">
        <f ca="1">IF(BG274+BM274+BS274=1,0,IF(OR(AND($BB274&lt;60,$BB274&gt;=30),$BQ274&gt;=Control!$C$88),1*$BA274,$BY273))</f>
        <v>#N/A</v>
      </c>
      <c r="BV274" s="140" t="e">
        <f ca="1">IF($BR274&lt;0,-$BR274,$BU274*IF(OR($G274&lt;Control!$C$92,$G274&gt;Control!$C$95),0,IF(AND($G274&gt;=Control!$C$92,$G274&lt;=Control!$C$93),$G274-Control!$C$92,IF(AND($G274&gt;Control!$C$93,$G274&lt;=Control!$C$94),Control!$C$93-Control!$C$92,IF(AND($G274&gt;Control!$C$94,$G274&lt;=Control!$C$95),(Control!$C$93-Control!$C$92)*(Control!$C$94-$G274)/(Control!$C$95-Control!$C$94))))))</f>
        <v>#N/A</v>
      </c>
      <c r="BW274" s="140" t="e">
        <f t="shared" ca="1" si="945"/>
        <v>#N/A</v>
      </c>
      <c r="BX274" s="140" t="e">
        <f ca="1">IF($BW274&lt;=Control!$C$89,$BW274,Control!$C$89-$BW274)</f>
        <v>#N/A</v>
      </c>
      <c r="BY274" s="140" t="e">
        <f ca="1">IF(AND($AJ274&gt;=30,$AJ274&lt;60),1,IF($BW274&gt;=Control!$C$89,0,$BU274))</f>
        <v>#N/A</v>
      </c>
      <c r="BZ274" s="404" t="e">
        <f ca="1">IF($BY274=0,0,IF($BW274&lt;=Control!$C$89,$BU274*(30+(60-30)*(BX274/Control!$C$89)),0))</f>
        <v>#N/A</v>
      </c>
      <c r="CA274" s="140" t="e">
        <f ca="1">IF($BG274+$BM274+$BS274+$BY274=1,0,IF(OR(AND($BB274&lt;65,$BB274&gt;=60),$BW274&gt;=Control!$C$89),1*$BA274,$CE273))</f>
        <v>#N/A</v>
      </c>
      <c r="CB274" s="140" t="e">
        <f ca="1">IF($BX274&lt;0,-$BX274,$CA274*IF(OR($G274&lt;Control!$C$92,$G274&gt;Control!$C$95),0,IF(AND($G274&gt;=Control!$C$92,$G274&lt;=Control!$C$93),$G274-Control!$C$92,IF(AND($G274&gt;Control!$C$93,$G274&lt;=Control!$C$94),Control!$C$93-Control!$C$92,IF(AND($G274&gt;Control!$C$94,$G274&lt;=Control!$C$95),(Control!$C$93-Control!$C$92)*(Control!$C$94-$G274)/(Control!$C$95-Control!$C$94))))))</f>
        <v>#N/A</v>
      </c>
      <c r="CC274" s="140" t="e">
        <f t="shared" ca="1" si="1061"/>
        <v>#N/A</v>
      </c>
      <c r="CD274" s="140" t="e">
        <f ca="1">IF($CC274&lt;=Control!$C$90,$CC274,Control!$C$90-$CC274)</f>
        <v>#N/A</v>
      </c>
      <c r="CE274" s="140" t="e">
        <f ca="1">IF(AND($BB274&gt;=60,$BB274&lt;65),1,IF($CC274&gt;=Control!$C$90,0,$CA274))</f>
        <v>#N/A</v>
      </c>
      <c r="CF274" s="404" t="e">
        <f ca="1">IF($CE274=0,0,IF($CC274&lt;=Control!$C$90,$CA274*(60+(65-60)*(CD274/Control!$C$90)),0))</f>
        <v>#N/A</v>
      </c>
      <c r="CG274" s="140" t="e">
        <f ca="1">IF($BG274+$BM274+$BS274+$BY274+$CE274=1,0,IF(OR(AND($BB274&lt;90,$BB274&gt;=65),$CC274&gt;=Control!$C$90),$BA274,$CK273))</f>
        <v>#N/A</v>
      </c>
      <c r="CH274" s="140" t="e">
        <f ca="1">IF($CD274&lt;0,-$CD274,$CG274*IF(OR($G274&lt;Control!$C$92,$G274&gt;Control!$C$95),0,IF(AND($G274&gt;=Control!$C$92,$G274&lt;=Control!$C$93),$G274-Control!$C$92,IF(AND($G274&gt;Control!$C$93,$G274&lt;=Control!$C$94),Control!$C$93-Control!$C$92,IF(AND($G274&gt;Control!$C$94,$G274&lt;=Control!$C$95),(Control!$C$93-Control!$C$92)*(Control!$C$94-$G274)/(Control!$C$95-Control!$C$94))))))</f>
        <v>#N/A</v>
      </c>
      <c r="CI274" s="140" t="e">
        <f t="shared" ca="1" si="1062"/>
        <v>#N/A</v>
      </c>
      <c r="CJ274" s="140" t="e">
        <f ca="1">IF($CI274&lt;=Control!$C$91,$CI274,Control!$C$91-$CI274)</f>
        <v>#N/A</v>
      </c>
      <c r="CK274" s="140" t="e">
        <f ca="1">IF(AND($BB274&gt;=65,$BB274&lt;90),1,IF($CI274&gt;=Control!$C$91,0,$CG274))</f>
        <v>#N/A</v>
      </c>
      <c r="CL274" s="404" t="e">
        <f ca="1">IF($CK274=0,0,IF($CI274&lt;=Control!$C$91,$CG274*(65+(90-65)*($CJ274/Control!$C$91)),0))</f>
        <v>#N/A</v>
      </c>
      <c r="CM274" s="140" t="e">
        <f ca="1">IF($BG274+$BM274+$BS274+$BY274+$CE274+$CK274=1,0,IF(OR($BB274&gt;=90,$CI274&gt;=Control!$C$91),$BA274,$CM273))</f>
        <v>#N/A</v>
      </c>
      <c r="CN274" s="140" t="e">
        <f t="shared" ca="1" si="1063"/>
        <v>#N/A</v>
      </c>
      <c r="CO274" s="140" t="e">
        <f t="shared" ca="1" si="1064"/>
        <v>#N/A</v>
      </c>
      <c r="CP274" s="140" t="e">
        <f t="shared" ca="1" si="1065"/>
        <v>#N/A</v>
      </c>
      <c r="CQ274" s="141" t="e">
        <f ca="1">VLOOKUP($CP274,Control!$B$86:$G$91,6)</f>
        <v>#N/A</v>
      </c>
      <c r="CR274" s="141" t="e">
        <f ca="1">(1-$CQ274)*VLOOKUP($CP274,Control!$B$86:$D$91,3)</f>
        <v>#N/A</v>
      </c>
      <c r="CS274" s="141" t="e">
        <f ca="1">(1-$CQ274)*VLOOKUP($CP274,Control!$B$86:$E$91,4)</f>
        <v>#N/A</v>
      </c>
      <c r="CT274" s="141" t="e">
        <f ca="1">(1-$CQ274)*VLOOKUP($CP274,Control!$B$86:$F$91,5)</f>
        <v>#N/A</v>
      </c>
      <c r="CU274" s="141">
        <f t="shared" ca="1" si="1066"/>
        <v>0</v>
      </c>
      <c r="CV274" s="583">
        <f t="shared" ca="1" si="1067"/>
        <v>0</v>
      </c>
      <c r="CW274" s="142">
        <f t="shared" ca="1" si="1068"/>
        <v>270</v>
      </c>
      <c r="CX274" s="612" t="e">
        <f ca="1">IF(Control!$C$114=1,(MIN(Control!$C$120*(IF($NT274-0.01&lt;0,0,1)),Control!$C$119-$CY274)))</f>
        <v>#DIV/0!</v>
      </c>
      <c r="CY274" s="143" t="e">
        <f t="shared" ca="1" si="1069"/>
        <v>#N/A</v>
      </c>
      <c r="CZ274" s="144">
        <f t="shared" ca="1" si="946"/>
        <v>0</v>
      </c>
      <c r="DA274" s="144">
        <f t="shared" ca="1" si="947"/>
        <v>0</v>
      </c>
      <c r="DB274" s="144" t="e">
        <f t="shared" ca="1" si="948"/>
        <v>#N/A</v>
      </c>
      <c r="DC274" s="144" t="e">
        <f t="shared" ca="1" si="949"/>
        <v>#N/A</v>
      </c>
      <c r="DD274" s="144" t="e">
        <f t="shared" ca="1" si="1154"/>
        <v>#N/A</v>
      </c>
      <c r="DE274" s="143" t="e">
        <f t="shared" ca="1" si="1070"/>
        <v>#N/A</v>
      </c>
      <c r="DF274" s="145" t="e">
        <f ca="1">$DR274*EXP(-Control!$C$158*(1-$KH274))</f>
        <v>#N/A</v>
      </c>
      <c r="DG274" s="146" t="e">
        <f ca="1">IF(Control!$C$114=1, $DF274*$EY274, 0)</f>
        <v>#N/A</v>
      </c>
      <c r="DH274" s="147" t="e">
        <f t="shared" ca="1" si="1071"/>
        <v>#N/A</v>
      </c>
      <c r="DI274" s="144" t="e">
        <f t="shared" ca="1" si="1132"/>
        <v>#N/A</v>
      </c>
      <c r="DJ274" s="147" t="e">
        <f ca="1">$EF274*Control!$C$109</f>
        <v>#N/A</v>
      </c>
      <c r="DK274" s="144" t="e">
        <f t="shared" ca="1" si="1072"/>
        <v>#N/A</v>
      </c>
      <c r="DL274" s="144" t="e">
        <f t="shared" ca="1" si="950"/>
        <v>#N/A</v>
      </c>
      <c r="DM274" s="144" t="e">
        <f ca="1">IF(Control!$C$114=1, (1-EXP(-Control!$C$96*$DK274))*$AR274, 0)</f>
        <v>#N/A</v>
      </c>
      <c r="DN274" s="144">
        <f t="shared" ca="1" si="1073"/>
        <v>0</v>
      </c>
      <c r="DO274" s="148">
        <f>Control!$C$97</f>
        <v>4</v>
      </c>
      <c r="DP274" s="145" t="e">
        <f t="shared" ca="1" si="1074"/>
        <v>#N/A</v>
      </c>
      <c r="DQ274" s="145" t="e">
        <f ca="1">IF(AND($CP274&gt;=0,$CP274&lt;=90),Control!$C$111,Control!$C$111)</f>
        <v>#N/A</v>
      </c>
      <c r="DR274" s="145" t="e">
        <f t="shared" ca="1" si="951"/>
        <v>#N/A</v>
      </c>
      <c r="DS274" s="143" t="e">
        <f ca="1">Control!$B$22/$DR274</f>
        <v>#N/A</v>
      </c>
      <c r="DT274" s="149" t="e">
        <f ca="1">IF(AND(Control!$C$114=1,$KH274&lt;1),$IM274*$DF274, 0)</f>
        <v>#N/A</v>
      </c>
      <c r="DU274" s="144" t="e">
        <f t="shared" ca="1" si="1075"/>
        <v>#N/A</v>
      </c>
      <c r="DV274" s="144">
        <f ca="1">IF($G274-Control!$C$107&lt;=0, 0, 0.83*LN(MAX($G274, 3))-0.8924)</f>
        <v>0</v>
      </c>
      <c r="DW274" s="144" t="e">
        <f t="shared" ca="1" si="952"/>
        <v>#N/A</v>
      </c>
      <c r="DX274" s="150" t="e">
        <f ca="1">MAX(0.01*(1+$CU274/Control!$C$102),0.05*($DK274-Control!$C$97)/Control!$C$97)</f>
        <v>#N/A</v>
      </c>
      <c r="DY274" s="151" t="e">
        <f ca="1">IF(Control!$C$114=1, $DI274*$FS274, 0)</f>
        <v>#N/A</v>
      </c>
      <c r="DZ274" s="196" t="e">
        <f t="shared" ca="1" si="1076"/>
        <v>#N/A</v>
      </c>
      <c r="EA274" s="152">
        <f t="shared" ca="1" si="1077"/>
        <v>270</v>
      </c>
      <c r="EB274" s="153" t="e">
        <f t="shared" ca="1" si="1078"/>
        <v>#N/A</v>
      </c>
      <c r="EC274" s="153" t="e">
        <f t="shared" ca="1" si="1079"/>
        <v>#N/A</v>
      </c>
      <c r="ED274" s="154" t="e">
        <f ca="1">IF(Control!$C$114=1, $HM274*$FY274-$FD274, 0)</f>
        <v>#DIV/0!</v>
      </c>
      <c r="EE274" s="155" t="e">
        <f ca="1">IF(Control!$C$114=1, $HM274*$FZ274-$FF274, 0)</f>
        <v>#DIV/0!</v>
      </c>
      <c r="EF274" s="153" t="e">
        <f t="shared" ca="1" si="1133"/>
        <v>#N/A</v>
      </c>
      <c r="EG274" s="155" t="e">
        <f ca="1">IF(Control!$C$114=1, $GX274*$FW274-$FI274, 0)</f>
        <v>#DIV/0!</v>
      </c>
      <c r="EH274" s="153" t="e">
        <f t="shared" ca="1" si="1080"/>
        <v>#N/A</v>
      </c>
      <c r="EI274" s="156" t="e">
        <f t="shared" ca="1" si="1081"/>
        <v>#N/A</v>
      </c>
      <c r="EJ274" s="155" t="e">
        <f ca="1">IF(Control!$C$114=1, $HM274*$GB274, 0)</f>
        <v>#DIV/0!</v>
      </c>
      <c r="EK274" s="153" t="e">
        <f t="shared" ca="1" si="1134"/>
        <v>#N/A</v>
      </c>
      <c r="EL274" s="153" t="e">
        <f t="shared" ca="1" si="953"/>
        <v>#N/A</v>
      </c>
      <c r="EM274" s="153" t="e">
        <f t="shared" ca="1" si="954"/>
        <v>#N/A</v>
      </c>
      <c r="EN274" s="153" t="e">
        <f ca="1">IF(Control!$C$108=1,IF(AND(Control!$B$18=1,$EB274&gt;=Control!$B$19),$EB274-$DS274,IF(AND(Control!$B$18=2,$AW274=1,$EB274&gt;$DS274),$EB274-$DS274,0)))</f>
        <v>#N/A</v>
      </c>
      <c r="EO274" s="153" t="e">
        <f ca="1">IF(Control!$C$108=1,IF(AND(Control!$B$18=1,$EB274&gt;=Control!$B$19),$EF274,IF(AND(Control!$B$18=2,$AW274=1),$EF274,0)))</f>
        <v>#N/A</v>
      </c>
      <c r="EP274" s="153" t="e">
        <f ca="1">IF(Control!$C$108=1,IF(AND(Control!$B$18=1,$EB274&gt;=Control!$B$19),$EK274,IF(AND(Control!$B$18=2,$AW274=1),$EK274,0)))</f>
        <v>#N/A</v>
      </c>
      <c r="EQ274" s="153" t="e">
        <f t="shared" ca="1" si="1082"/>
        <v>#N/A</v>
      </c>
      <c r="ER274" s="153" t="e">
        <f t="shared" ca="1" si="1083"/>
        <v>#N/A</v>
      </c>
      <c r="ES274" s="153" t="e">
        <f t="shared" ca="1" si="1135"/>
        <v>#N/A</v>
      </c>
      <c r="ET274" s="153" t="e">
        <f t="shared" ca="1" si="1136"/>
        <v>#N/A</v>
      </c>
      <c r="EU274" s="153" t="e">
        <f t="shared" ca="1" si="1084"/>
        <v>#N/A</v>
      </c>
      <c r="EV274" s="153" t="e">
        <f t="shared" ca="1" si="955"/>
        <v>#N/A</v>
      </c>
      <c r="EW274" s="153" t="e">
        <f t="shared" ca="1" si="956"/>
        <v>#N/A</v>
      </c>
      <c r="EX274" s="153" t="e">
        <f t="shared" ca="1" si="957"/>
        <v>#N/A</v>
      </c>
      <c r="EY274" s="157" t="e">
        <f t="shared" ca="1" si="958"/>
        <v>#DIV/0!</v>
      </c>
      <c r="EZ274" s="154" t="e">
        <f t="shared" ca="1" si="959"/>
        <v>#DIV/0!</v>
      </c>
      <c r="FA274" s="153" t="e">
        <f t="shared" ca="1" si="1085"/>
        <v>#N/A</v>
      </c>
      <c r="FB274" s="153" t="e">
        <f t="shared" ca="1" si="960"/>
        <v>#N/A</v>
      </c>
      <c r="FC274" s="193" t="e">
        <f t="shared" ca="1" si="961"/>
        <v>#N/A</v>
      </c>
      <c r="FD274" s="158" t="e">
        <f t="shared" ca="1" si="1086"/>
        <v>#N/A</v>
      </c>
      <c r="FE274" s="158" t="e">
        <f t="shared" ca="1" si="1087"/>
        <v>#N/A</v>
      </c>
      <c r="FF274" s="159" t="e">
        <f t="shared" ca="1" si="962"/>
        <v>#N/A</v>
      </c>
      <c r="FG274" s="160" t="e">
        <f t="shared" ca="1" si="1088"/>
        <v>#N/A</v>
      </c>
      <c r="FH274" s="158" t="e">
        <f t="shared" ca="1" si="1089"/>
        <v>#N/A</v>
      </c>
      <c r="FI274" s="159" t="e">
        <f t="shared" ca="1" si="963"/>
        <v>#N/A</v>
      </c>
      <c r="FJ274" s="160" t="e">
        <f t="shared" ca="1" si="1090"/>
        <v>#N/A</v>
      </c>
      <c r="FK274" s="160" t="e">
        <f t="shared" ca="1" si="964"/>
        <v>#N/A</v>
      </c>
      <c r="FL274" s="160" t="e">
        <f t="shared" ca="1" si="1137"/>
        <v>#N/A</v>
      </c>
      <c r="FM274" s="160" t="e">
        <f t="shared" ca="1" si="965"/>
        <v>#N/A</v>
      </c>
      <c r="FN274" s="158">
        <f t="shared" ca="1" si="1091"/>
        <v>0.01</v>
      </c>
      <c r="FO274" s="160">
        <f>Control!$C$101</f>
        <v>50</v>
      </c>
      <c r="FP274" s="150" t="e">
        <f t="shared" ca="1" si="966"/>
        <v>#N/A</v>
      </c>
      <c r="FQ274" s="150" t="e">
        <f ca="1">MAX(0,(Control!$C$112*(($DK274-Control!$C$97)/Control!$C$97)))</f>
        <v>#N/A</v>
      </c>
      <c r="FR274" s="150" t="e">
        <f ca="1">(1-$NT274)*Control!$C$113</f>
        <v>#DIV/0!</v>
      </c>
      <c r="FS274" s="198" t="e">
        <f t="shared" ca="1" si="967"/>
        <v>#N/A</v>
      </c>
      <c r="FT274" s="161">
        <f t="shared" ca="1" si="1092"/>
        <v>270</v>
      </c>
      <c r="FU274" s="162" t="e">
        <f ca="1">IF(Control!$B$34=1,VLOOKUP($CP274,Control!$B$86:$G$91,6),Control!$B$35)</f>
        <v>#N/A</v>
      </c>
      <c r="FV274" s="162" t="e">
        <f t="shared" ca="1" si="968"/>
        <v>#DIV/0!</v>
      </c>
      <c r="FW274" s="162" t="e">
        <f ca="1">IF(Control!$B$31=1,$FU274*$FV274,  $FU274)</f>
        <v>#N/A</v>
      </c>
      <c r="FX274" s="162" t="e">
        <f ca="1">IF(Control!$B$34=1,VLOOKUP($CP274,Control!$B$86:$G$91,3),Control!$B$36)</f>
        <v>#N/A</v>
      </c>
      <c r="FY274" s="162" t="e">
        <f t="shared" ca="1" si="969"/>
        <v>#N/A</v>
      </c>
      <c r="FZ274" s="162" t="e">
        <f ca="1">IF(Control!$B$34=1,VLOOKUP($CP274,Control!$B$86:$G$91,4),Control!$B$37)</f>
        <v>#N/A</v>
      </c>
      <c r="GA274" s="162" t="e">
        <f t="shared" ca="1" si="970"/>
        <v>#N/A</v>
      </c>
      <c r="GB274" s="162" t="e">
        <f ca="1">IF(Control!$B$34=1,VLOOKUP($CP274,Control!$B$86:$G$91,5),Control!$B$38)</f>
        <v>#N/A</v>
      </c>
      <c r="GC274" s="162" t="e">
        <f t="shared" ca="1" si="1093"/>
        <v>#N/A</v>
      </c>
      <c r="GD274" s="162">
        <f t="shared" ca="1" si="971"/>
        <v>1</v>
      </c>
      <c r="GE274" s="162">
        <f t="shared" ca="1" si="972"/>
        <v>1</v>
      </c>
      <c r="GF274" s="162">
        <f ca="1">IF(AND(Control!$C$104=1, Control!$C$62="F"),$GE274,1)</f>
        <v>1</v>
      </c>
      <c r="GG274" s="162" t="e">
        <f ca="1">IF(Control!$B$16=40,0,IF(AND(Control!$B$16&gt;40,Control!$B$16&lt;=360),(Control!$B$16-40)*((1-0)/(360-40)),IF(AND(Control!$B$16&gt;360,Control!$B$16&lt;=720),(1+(Control!$B$16-360)*((1.25-1)/(720-360))),IF(AND(Control!$B$16&gt;720,Control!$B$16&lt;=1000),(1.25+(Control!$B$16-720)*((1.35-1.25)/(1000-720))),IF(AND(Control!$B$16&gt;1000,Control!$B$16&lt;=2000),(1.35+(Control!$B$16-1000)*0))))))</f>
        <v>#N/A</v>
      </c>
      <c r="GH274" s="162" t="e">
        <f t="shared" ca="1" si="973"/>
        <v>#N/A</v>
      </c>
      <c r="GI274" s="162">
        <f t="shared" ca="1" si="1094"/>
        <v>0</v>
      </c>
      <c r="GJ274" s="162">
        <f t="shared" ca="1" si="974"/>
        <v>0</v>
      </c>
      <c r="GK274" s="162">
        <f t="shared" ca="1" si="1095"/>
        <v>1</v>
      </c>
      <c r="GL274" s="162">
        <f t="shared" ca="1" si="975"/>
        <v>1</v>
      </c>
      <c r="GM274" s="162" t="e">
        <f ca="1">MAX(0,MIN(1,1-Control!$C$156*(1.0001-$KH274)^2))</f>
        <v>#N/A</v>
      </c>
      <c r="GN274" s="162" t="e">
        <f ca="1">IF(Control!$B$26=1,$KU274,$KX274)</f>
        <v>#N/A</v>
      </c>
      <c r="GO274" s="162" t="e">
        <f ca="1">IF($CP274&lt;=60,Control!$C$105,IF($CP274&gt;=90,Control!$C$106,Control!$C$105+($CP274-60)*((Control!$C$106-Control!$C$105)/(90-60))))</f>
        <v>#N/A</v>
      </c>
      <c r="GP274" s="162" t="e">
        <f t="shared" ca="1" si="976"/>
        <v>#N/A</v>
      </c>
      <c r="GQ274" s="162" t="e">
        <f t="shared" ca="1" si="1096"/>
        <v>#N/A</v>
      </c>
      <c r="GR274" s="163" t="e">
        <f t="shared" ca="1" si="977"/>
        <v>#DIV/0!</v>
      </c>
      <c r="GS274" s="162" t="e">
        <f t="shared" ca="1" si="978"/>
        <v>#DIV/0!</v>
      </c>
      <c r="GT274" s="164" t="e">
        <f t="shared" ca="1" si="1097"/>
        <v>#N/A</v>
      </c>
      <c r="GU274" s="162" t="e">
        <f t="shared" ca="1" si="1098"/>
        <v>#N/A</v>
      </c>
      <c r="GV274" s="162" t="e">
        <f t="shared" ca="1" si="979"/>
        <v>#N/A</v>
      </c>
      <c r="GW274" s="162" t="e">
        <f t="shared" ca="1" si="980"/>
        <v>#DIV/0!</v>
      </c>
      <c r="GX274" s="162" t="e">
        <f t="shared" ca="1" si="1099"/>
        <v>#DIV/0!</v>
      </c>
      <c r="GY274" s="162" t="e">
        <f t="shared" ca="1" si="1100"/>
        <v>#DIV/0!</v>
      </c>
      <c r="GZ274" s="165" t="e">
        <f t="shared" ca="1" si="981"/>
        <v>#N/A</v>
      </c>
      <c r="HA274" s="162" t="e">
        <f ca="1">IF(Control!$C$114=1, $DI274*$FS274, 0)</f>
        <v>#N/A</v>
      </c>
      <c r="HB274" s="162" t="e">
        <f ca="1">$FA274/Control!$C$64</f>
        <v>#N/A</v>
      </c>
      <c r="HC274" s="162" t="e">
        <f t="shared" ca="1" si="982"/>
        <v>#DIV/0!</v>
      </c>
      <c r="HD274" s="162">
        <f ca="1">-ASIN(SIN(23.45*Control!$C$139)*COS(2*Control!$C$138*($AH274+10)/365))</f>
        <v>-4.274983369056435E-2</v>
      </c>
      <c r="HE274" s="165">
        <f t="shared" ca="1" si="1101"/>
        <v>0</v>
      </c>
      <c r="HF274" s="166">
        <f ca="1">IF(AND(Control!$C$61="T",$HE274&gt;=Control!$C$103,Control!$C$114=0),$AH274,Control!$C$59)</f>
        <v>1</v>
      </c>
      <c r="HG274" s="166">
        <f ca="1">IF(AND(Control!$C$61="T",$HE274&gt;=Control!$C$103,Control!$C$114=0),$HF274,Control!$C$59)</f>
        <v>1</v>
      </c>
      <c r="HH274" s="165">
        <f ca="1">IF(AND(OR(Control!$C$60&lt;=0, $AH274= Control!$C$59, Control!$C$60 &gt;0, $AH274 = Control!$C$60)), Control!$C$59, IF(Control!$C$60&gt;0, 0))</f>
        <v>1</v>
      </c>
      <c r="HI274" s="165">
        <f ca="1">IF(AND(OR(Control!$C$60&lt;=0, $AH274= Control!$C$59, Control!$C$60 &gt;0, $AH274 = Control!$C$60)), Control!$C$60, IF(Control!$C$60&lt;=0, 0))</f>
        <v>0</v>
      </c>
      <c r="HJ274" s="166">
        <f ca="1">IF(AND(Control!$C$62="F",$CV274&gt;=Control!$C$102),$AH274,0)</f>
        <v>0</v>
      </c>
      <c r="HK274" s="165" t="e">
        <f t="shared" ca="1" si="1138"/>
        <v>#N/A</v>
      </c>
      <c r="HL274" s="166">
        <f ca="1">IF(AND(Control!$C$61="T",$HE274&gt;=Control!$C$103,Control!$C$114=0),$HF274,0)</f>
        <v>0</v>
      </c>
      <c r="HM274" s="201" t="e">
        <f t="shared" ca="1" si="983"/>
        <v>#DIV/0!</v>
      </c>
      <c r="HN274" s="215">
        <f t="shared" ca="1" si="1102"/>
        <v>270</v>
      </c>
      <c r="HO274" s="216" t="e">
        <f ca="1">IF(AND($CP274&gt;=0, $CP274&lt;=90), Control!$C$152, Control!$C$152)</f>
        <v>#N/A</v>
      </c>
      <c r="HP274" s="216" t="e">
        <f t="shared" ca="1" si="984"/>
        <v>#N/A</v>
      </c>
      <c r="HQ274" s="217" t="e">
        <f ca="1">IF(OR(Control!$B$26=1,Control!$B$26=2),$KV274,$KS274)</f>
        <v>#DIV/0!</v>
      </c>
      <c r="HR274" s="218" t="e">
        <f t="shared" ca="1" si="1139"/>
        <v>#DIV/0!</v>
      </c>
      <c r="HS274" s="216" t="e">
        <f ca="1">Control!$C$154*$HP274</f>
        <v>#N/A</v>
      </c>
      <c r="HT274" s="216" t="e">
        <f ca="1">Control!$C$155*$HP274</f>
        <v>#N/A</v>
      </c>
      <c r="HU274" s="217" t="e">
        <f ca="1">Control!$C$161*$FI274</f>
        <v>#N/A</v>
      </c>
      <c r="HV274" s="218" t="e">
        <f t="shared" ca="1" si="1103"/>
        <v>#N/A</v>
      </c>
      <c r="HW274" s="218" t="e">
        <f ca="1">Control!$C$160*$FF274+$IP274*$EO274</f>
        <v>#N/A</v>
      </c>
      <c r="HX274" s="218" t="e">
        <f t="shared" ca="1" si="1140"/>
        <v>#N/A</v>
      </c>
      <c r="HY274" s="219" t="e">
        <f ca="1">IF(Control!$C$114=1, $EB274*$FS274, 0)</f>
        <v>#N/A</v>
      </c>
      <c r="HZ274" s="91" t="e">
        <f t="shared" ca="1" si="985"/>
        <v>#N/A</v>
      </c>
      <c r="IA274" s="220" t="e">
        <f ca="1">Control!$C$153*$HO274</f>
        <v>#N/A</v>
      </c>
      <c r="IB274" s="218" t="e">
        <f t="shared" ca="1" si="986"/>
        <v>#N/A</v>
      </c>
      <c r="IC274" s="220" t="e">
        <f ca="1">Control!$C$153*$HT274</f>
        <v>#N/A</v>
      </c>
      <c r="ID274" s="218" t="e">
        <f t="shared" ca="1" si="987"/>
        <v>#N/A</v>
      </c>
      <c r="IE274" s="221" t="e">
        <f ca="1">($EB274*Control!$C$159+$EF274*Control!$C$160)/(IF($GZ274&lt;&gt;0,$GZ274,1))</f>
        <v>#N/A</v>
      </c>
      <c r="IF274" s="216" t="e">
        <f t="shared" ca="1" si="988"/>
        <v>#N/A</v>
      </c>
      <c r="IG274" s="91">
        <f ca="1">IF(OR(Control!$B$198=$AH274,Control!$B$199=$AH274, Control!$B$200=$AH274, Control!$B$201=$AH274, Control!$B$202=$AH274, Control!$B$203=$AH274, Control!$B$204=$AH274, Control!$B$205=$AH274, Control!$B$206=$AH274, Control!$B$207=$AH274), 1, 0)</f>
        <v>0</v>
      </c>
      <c r="IH274" s="91">
        <f ca="1">IF($IG274=0,0, VLOOKUP($AH274,Control!$B$198:$C$207,2))</f>
        <v>0</v>
      </c>
      <c r="II274" s="222">
        <f t="shared" ca="1" si="1104"/>
        <v>0</v>
      </c>
      <c r="IJ274" s="91">
        <f>Control!$C$121</f>
        <v>0.7</v>
      </c>
      <c r="IK274" s="218">
        <f t="shared" ca="1" si="989"/>
        <v>0</v>
      </c>
      <c r="IL274" s="217" t="e">
        <f t="shared" ca="1" si="1141"/>
        <v>#N/A</v>
      </c>
      <c r="IM274" s="223" t="e">
        <f ca="1">IF(AND(Control!$C$114=1,$KH274&lt;1),$EB274*Control!$C$148*(1-$KH274), 0)</f>
        <v>#N/A</v>
      </c>
      <c r="IN274" s="217" t="e">
        <f t="shared" ca="1" si="990"/>
        <v>#DIV/0!</v>
      </c>
      <c r="IO274" s="91" t="e">
        <f ca="1">MAX(0,$IL274-$EF274*Control!$C$160)</f>
        <v>#N/A</v>
      </c>
      <c r="IP274" s="220" t="e">
        <f t="shared" ca="1" si="991"/>
        <v>#N/A</v>
      </c>
      <c r="IQ274" s="217" t="e">
        <f t="shared" ca="1" si="1105"/>
        <v>#N/A</v>
      </c>
      <c r="IR274" s="218" t="e">
        <f t="shared" ca="1" si="992"/>
        <v>#N/A</v>
      </c>
      <c r="IS274" s="217" t="e">
        <f ca="1">Control!$C$159*MAX(0,$FD274-$EN274)</f>
        <v>#N/A</v>
      </c>
      <c r="IT274" s="217" t="e">
        <f t="shared" ca="1" si="1142"/>
        <v>#N/A</v>
      </c>
      <c r="IU274" s="217" t="e">
        <f t="shared" ca="1" si="1106"/>
        <v>#N/A</v>
      </c>
      <c r="IV274" s="217" t="e">
        <f t="shared" ca="1" si="1143"/>
        <v>#N/A</v>
      </c>
      <c r="IW274" s="217" t="e">
        <f ca="1">IF(OR($AW274=1,AND($AW274=0, Control!$B$18=1,$EN274&lt;&gt;0)), $IQ274-$IU274, $IQ274)</f>
        <v>#N/A</v>
      </c>
      <c r="IX274" s="218" t="e">
        <f t="shared" ca="1" si="993"/>
        <v>#N/A</v>
      </c>
      <c r="IY274" s="218" t="e">
        <f ca="1">MAX(0,$IQ274-$EB274*Control!$C$159)</f>
        <v>#N/A</v>
      </c>
      <c r="IZ274" s="218" t="e">
        <f t="shared" ca="1" si="994"/>
        <v>#N/A</v>
      </c>
      <c r="JA274" s="216" t="e">
        <f t="shared" ca="1" si="995"/>
        <v>#N/A</v>
      </c>
      <c r="JB274" s="217" t="e">
        <f t="shared" ca="1" si="996"/>
        <v>#N/A</v>
      </c>
      <c r="JC274" s="222" t="e">
        <f ca="1">MAX(Control!$C$157*$EK274-$JT274, 0)/Control!$C$162</f>
        <v>#N/A</v>
      </c>
      <c r="JD274" s="218" t="e">
        <f t="shared" ca="1" si="997"/>
        <v>#N/A</v>
      </c>
      <c r="JE274" s="218" t="e">
        <f t="shared" ca="1" si="998"/>
        <v>#N/A</v>
      </c>
      <c r="JF274" s="218" t="e">
        <f t="shared" ca="1" si="1107"/>
        <v>#N/A</v>
      </c>
      <c r="JG274" s="218" t="e">
        <f t="shared" ca="1" si="999"/>
        <v>#N/A</v>
      </c>
      <c r="JH274" s="217" t="e">
        <f t="shared" ca="1" si="1108"/>
        <v>#N/A</v>
      </c>
      <c r="JI274" s="217" t="e">
        <f t="shared" ca="1" si="1109"/>
        <v>#N/A</v>
      </c>
      <c r="JJ274" s="217" t="e">
        <f t="shared" ca="1" si="1144"/>
        <v>#N/A</v>
      </c>
      <c r="JK274" s="217" t="e">
        <f ca="1">IF(Control!$C$114=1,IF(Control!$B$24=0,MAX(0,$JI274)*$GN274/Control!$C$64,(MAX(0,MIN($JI274,$JJ274*$GN274/Control!$C$64),0))))</f>
        <v>#N/A</v>
      </c>
      <c r="JL274" s="217" t="e">
        <f ca="1">$IK274/Control!$C$64-$JK274+$HQ274</f>
        <v>#N/A</v>
      </c>
      <c r="JM274" s="217" t="e">
        <f ca="1">IF(Control!$C$114=1,($JB274/(IF($JI274&lt;&gt;0,$JI274,1)))*$JK274,0)</f>
        <v>#N/A</v>
      </c>
      <c r="JN274" s="217" t="e">
        <f ca="1">IF(Control!$C$114=1,($JG274/(IF($JI274&lt;&gt;0,$JI274,1)))*$JK274, 0)</f>
        <v>#N/A</v>
      </c>
      <c r="JO274" s="218" t="e">
        <f t="shared" ca="1" si="1000"/>
        <v>#N/A</v>
      </c>
      <c r="JP274" s="218" t="e">
        <f ca="1">MIN(($IY274+$IO274)*Control!$C$151, $JF274-$EH274*Control!$C$161)</f>
        <v>#N/A</v>
      </c>
      <c r="JQ274" s="218" t="e">
        <f t="shared" ca="1" si="1001"/>
        <v>#N/A</v>
      </c>
      <c r="JR274" s="217" t="e">
        <f ca="1">IF($CP274-Control!$C$150&lt;0, 0, $JQ274/Control!$C$162)</f>
        <v>#N/A</v>
      </c>
      <c r="JS274" s="218" t="e">
        <f t="shared" ca="1" si="1002"/>
        <v>#N/A</v>
      </c>
      <c r="JT274" s="218" t="e">
        <f t="shared" ca="1" si="1110"/>
        <v>#N/A</v>
      </c>
      <c r="JU274" s="218" t="e">
        <f t="shared" ca="1" si="1003"/>
        <v>#N/A</v>
      </c>
      <c r="JV274" s="218" t="e">
        <f t="shared" ca="1" si="1004"/>
        <v>#N/A</v>
      </c>
      <c r="JW274" s="216" t="e">
        <f t="shared" ca="1" si="1005"/>
        <v>#N/A</v>
      </c>
      <c r="JX274" s="91" t="e">
        <f t="shared" ca="1" si="1006"/>
        <v>#N/A</v>
      </c>
      <c r="JY274" s="218" t="e">
        <f t="shared" ca="1" si="1007"/>
        <v>#N/A</v>
      </c>
      <c r="JZ274" s="217" t="e">
        <f ca="1">IF(Control!$C$114=1,($IZ274/(IF($JI274&lt;&gt;0,$JI274,1)))*$JK274, 0)</f>
        <v>#N/A</v>
      </c>
      <c r="KA274" s="218" t="e">
        <f t="shared" ca="1" si="1145"/>
        <v>#N/A</v>
      </c>
      <c r="KB274" s="218" t="e">
        <f t="shared" ca="1" si="1111"/>
        <v>#N/A</v>
      </c>
      <c r="KC274" s="218" t="e">
        <f t="shared" ca="1" si="1008"/>
        <v>#N/A</v>
      </c>
      <c r="KD274" s="218" t="e">
        <f t="shared" ca="1" si="1009"/>
        <v>#N/A</v>
      </c>
      <c r="KE274" s="218" t="e">
        <f t="shared" ca="1" si="1010"/>
        <v>#N/A</v>
      </c>
      <c r="KF274" s="218" t="e">
        <f t="shared" ca="1" si="1011"/>
        <v>#N/A</v>
      </c>
      <c r="KG274" s="216" t="e">
        <f t="shared" ca="1" si="1012"/>
        <v>#N/A</v>
      </c>
      <c r="KH274" s="221" t="e">
        <f ca="1">IF(Control!$B$24=0,1,MAX(0.001,MIN(1,IF(($IF274-$IE274)&lt;&gt;0,($KG274-$IE274)/($IF274-$IE274),1))))</f>
        <v>#N/A</v>
      </c>
      <c r="KI274" s="222" t="e">
        <f ca="1">IF(Control!$C$114=1, $KI273+ $KH273, 0)</f>
        <v>#N/A</v>
      </c>
      <c r="KJ274" s="217" t="e">
        <f t="shared" ca="1" si="1013"/>
        <v>#N/A</v>
      </c>
      <c r="KK274" s="218" t="e">
        <f t="shared" ca="1" si="1014"/>
        <v>#N/A</v>
      </c>
      <c r="KL274" s="274" t="e">
        <f ca="1">IF(Control!$B$26=3,4000000000*EXP(-8400/($G274+273)),IF(Control!$B$26=4,4000000000*EXP(-8400/($G274+273))*($KT274),0))</f>
        <v>#DIV/0!</v>
      </c>
      <c r="KM274" s="274" t="e">
        <f ca="1">IF(Control!$B$26=3,5600000000000*EXP(-9800/($G274+273)),IF(Control!$B$26=4,5600000000000*EXP(-9800/($G274+273))*$KT274,0))</f>
        <v>#DIV/0!</v>
      </c>
      <c r="KN274" s="454" t="e">
        <f t="shared" ca="1" si="1112"/>
        <v>#DIV/0!</v>
      </c>
      <c r="KO274" s="274" t="e">
        <f t="shared" ca="1" si="1113"/>
        <v>#DIV/0!</v>
      </c>
      <c r="KP274" s="454" t="e">
        <f t="shared" ca="1" si="1015"/>
        <v>#DIV/0!</v>
      </c>
      <c r="KQ274" s="454" t="e">
        <f t="shared" ca="1" si="1016"/>
        <v>#DIV/0!</v>
      </c>
      <c r="KR274" s="454" t="e">
        <f t="shared" ca="1" si="1017"/>
        <v>#DIV/0!</v>
      </c>
      <c r="KS274" s="454" t="e">
        <f t="shared" ca="1" si="1018"/>
        <v>#DIV/0!</v>
      </c>
      <c r="KT274" s="455" t="e">
        <f t="shared" ca="1" si="1019"/>
        <v>#DIV/0!</v>
      </c>
      <c r="KU274" s="456" t="e">
        <f ca="1">IF($CP274-Control!$C$149&lt;0, IF($NT274-0.01&lt;0,0,1),0)</f>
        <v>#N/A</v>
      </c>
      <c r="KV274" s="456" t="e">
        <f ca="1">IF(Control!$C$114=1,MAX(0,MIN(Control!$C$125*$KW274*$GN274,$KW274)))</f>
        <v>#DIV/0!</v>
      </c>
      <c r="KW274" s="456" t="e">
        <f t="shared" ca="1" si="1146"/>
        <v>#DIV/0!</v>
      </c>
      <c r="KX274" s="457" t="e">
        <f ca="1">IF($CP274-Control!$C$149&lt;0, IF($MR274-$OM274&lt;0,0,1),0)</f>
        <v>#N/A</v>
      </c>
      <c r="KY274" s="167">
        <f t="shared" ca="1" si="1114"/>
        <v>270</v>
      </c>
      <c r="KZ274" s="168">
        <f ca="1">1370*(1+0.033*COS(2*Control!$C$138*$AH274/365))</f>
        <v>1367.0840633493137</v>
      </c>
      <c r="LA274" s="169">
        <f t="shared" ca="1" si="1115"/>
        <v>0.99787122116817251</v>
      </c>
      <c r="LB274" s="169">
        <f t="shared" ca="1" si="1116"/>
        <v>-4.7436409729201254E-2</v>
      </c>
      <c r="LC274" s="169">
        <f ca="1">ACOS(-TAN((2*Control!$B$8/360))*TAN(Calculations!$LB274))</f>
        <v>1.5566870249426807</v>
      </c>
      <c r="LD274" s="169">
        <f ca="1">((24*60)/PI())*0.082*$LA274*(($LC274*SIN(Control!$B$8*2*PI()/360))*SIN($LB274)+COS(Control!$B$8*2*PI()/360)*COS($LB274)*SIN($LC274))</f>
        <v>20.88109897534078</v>
      </c>
      <c r="LE274" s="170">
        <f t="shared" ca="1" si="1020"/>
        <v>21.171808583002232</v>
      </c>
      <c r="LF274" s="170">
        <f ca="1">SIN(Control!$C$139*Control!$B$8)*SIN($HD274)</f>
        <v>-3.3677124571236637E-2</v>
      </c>
      <c r="LG274" s="170">
        <f ca="1">COS(Control!$C$139*Control!$B$8)*COS($HD274)</f>
        <v>0.61509731459722417</v>
      </c>
      <c r="LH274" s="170">
        <f ca="1">12*(1+2*ASIN(MAX(-1,MIN(1,$LF274/$LG274))/Control!$C$138))</f>
        <v>11.581713823149618</v>
      </c>
      <c r="LI274" s="170">
        <f ca="1">12*(1+2*ASIN(MAX(-1,MIN(1,(-SIN(-4*Control!$C$139)+$LF274)/$LG274))/Control!$C$138))</f>
        <v>12.448128343795025</v>
      </c>
      <c r="LJ274" s="168">
        <f ca="1">3600*($LH274*$LF274+24*$LG274*SQRT(1-$LK274*$LK274)/Control!$C$138)</f>
        <v>15486.837386672445</v>
      </c>
      <c r="LK274" s="170">
        <f t="shared" ca="1" si="1021"/>
        <v>-5.4750888635059274E-2</v>
      </c>
      <c r="LL274" s="170">
        <f t="shared" ca="1" si="1022"/>
        <v>0</v>
      </c>
      <c r="LM274" s="171">
        <f ca="1">Control!$C$145*$AB274</f>
        <v>6.6660906138995932E-2</v>
      </c>
      <c r="LN274" s="170">
        <f t="shared" ca="1" si="1117"/>
        <v>0.54</v>
      </c>
      <c r="LO274" s="170">
        <f t="shared" ca="1" si="1023"/>
        <v>0</v>
      </c>
      <c r="LP274" s="170">
        <f ca="1">Control!$C$140*((($D274+273.16)^4+($E274+273.16)^4)/2)*(0.34-0.14*SQRT($Y274))*(1.35*$AQ274/(0.75*$LD274)-0.35)</f>
        <v>-3.2464704755046001</v>
      </c>
      <c r="LQ274" s="170">
        <f ca="1">Control!$C$140*($G274+273)^4*(0.56-0.079*SQRT($Y274*10))*(0.1+0.9*$LO274)</f>
        <v>1.5241745131704001</v>
      </c>
      <c r="LR274" s="170">
        <f ca="1">$AQ274*(1-Control!$C$142)-$LQ274</f>
        <v>-1.5241745131704001</v>
      </c>
      <c r="LS274" s="170">
        <f ca="1">$AQ274*(1-Control!$C$143)-$LQ274</f>
        <v>-1.5241745131704001</v>
      </c>
      <c r="LT274" s="170">
        <f ca="1">$AQ274*(1-Control!$C$144)-$LQ274</f>
        <v>-1.5241745131704001</v>
      </c>
      <c r="LU274" s="169">
        <f ca="1">(1-Control!$C$144)*AQ274-LP274</f>
        <v>3.2464704755046001</v>
      </c>
      <c r="LV274" s="172">
        <f t="shared" ca="1" si="1024"/>
        <v>0.79430000000000012</v>
      </c>
      <c r="LW274" s="170">
        <f t="shared" ca="1" si="1025"/>
        <v>1.5886000000000002</v>
      </c>
      <c r="LX274" s="170">
        <f ca="1">($AC274*($LR274/Control!$C$141)+$LM274*$LV274)/($AC274+$LM274)</f>
        <v>0.23530094218323697</v>
      </c>
      <c r="LY274" s="170">
        <f ca="1">($AC274*($LS274/Control!$C$141)+$LM274*$LV274)/($AC274+$LM274)</f>
        <v>0.23530094218323697</v>
      </c>
      <c r="LZ274" s="170">
        <f t="shared" ca="1" si="1026"/>
        <v>0.23530094218323697</v>
      </c>
      <c r="MA274" s="170">
        <f t="shared" ca="1" si="1027"/>
        <v>0.23530094218323697</v>
      </c>
      <c r="MB274" s="170" t="e">
        <f t="shared" ca="1" si="1028"/>
        <v>#N/A</v>
      </c>
      <c r="MC274" s="170">
        <f t="shared" ca="1" si="1118"/>
        <v>0.6018</v>
      </c>
      <c r="MD274" s="170">
        <f t="shared" ca="1" si="1029"/>
        <v>0.52989392535414004</v>
      </c>
      <c r="ME274" s="170">
        <f ca="1">($AC274*($LT274/Control!$C$141)+$LM274*$LW274)/($AC274+$LM274)</f>
        <v>0.71612369323045078</v>
      </c>
      <c r="MF274" s="170" t="e">
        <f ca="1">IF(Control!$B$16&gt;=1000,0.92,IF(AND(720&lt;=Control!$B$16,1000&gt;Control!$B$16),(0.95+(Control!$B$16-720)*((0.92-0.95)/(1000-720))),IF(AND(360&lt;=Control!$B$16,720&gt;Control!$B$16),(1+(Control!$B$16-360)*((0.95-1)/(720-360))),IF(AND(40&lt;=Control!$B$16,360&gt;Control!$B$16),(1.05+(Control!$B$16-40)*((1.05-1)/(360-40)))))))</f>
        <v>#N/A</v>
      </c>
      <c r="MG274" s="170">
        <f t="shared" ca="1" si="1030"/>
        <v>0.71612369323045078</v>
      </c>
      <c r="MH274" s="170" t="e">
        <f t="shared" ca="1" si="1155"/>
        <v>#N/A</v>
      </c>
      <c r="MI274" s="170" t="e">
        <f t="shared" ca="1" si="1155"/>
        <v>#N/A</v>
      </c>
      <c r="MJ274" s="170" t="e">
        <f ca="1">MAX(0.0001, Control!$C$132*$MI274*$DL274)</f>
        <v>#N/A</v>
      </c>
      <c r="MK274" s="170">
        <f ca="1">1/(0.76+1.5*($MG274/10))-(5-Control!$C$110)*0.1</f>
        <v>1.002845988140797</v>
      </c>
      <c r="ML274" s="173">
        <f ca="1">IF(Control!$C$110&lt;3,$MK274+($MG274-0.6)/(Control!$C$110*(Control!$C$110+3)), MAX(0.1, MIN(0.95,$MK274)))</f>
        <v>0.95</v>
      </c>
      <c r="MM274" s="173">
        <f ca="1">IF(Control!$C$110&lt;3,$MK274+(($MI274/10)-0.6)/(Control!$C$110*(Control!$C$110+3)), MAX(0.1, MIN(0.95,$MK274)))</f>
        <v>0.95</v>
      </c>
      <c r="MN274" s="173">
        <f ca="1">(1-$MM274)*(Control!$C$128-Control!$C$127)+Control!$C$127</f>
        <v>0.16</v>
      </c>
      <c r="MO274" s="170" t="e">
        <f ca="1">MAX(0,MIN(1,($MS274-Control!$C$127)/($MN274-Control!$C$127)))</f>
        <v>#DIV/0!</v>
      </c>
      <c r="MP274" s="173" t="e">
        <f ca="1">1/(0.76+1.5*$MI274)-(5-Control!$C$110)*0.1</f>
        <v>#N/A</v>
      </c>
      <c r="MQ274" s="172" t="e">
        <f t="shared" ca="1" si="1147"/>
        <v>#DIV/0!</v>
      </c>
      <c r="MR274" s="168" t="e">
        <f t="shared" ca="1" si="1119"/>
        <v>#DIV/0!</v>
      </c>
      <c r="MS274" s="173" t="e">
        <f ca="1">MAX(Control!$C$127, MIN(Control!$C$135, $MR274/MAX(0.0001,$CY274)))</f>
        <v>#DIV/0!</v>
      </c>
      <c r="MT274" s="168" t="e">
        <f ca="1">(Control!$C$128-$MS274)*Control!$C$74</f>
        <v>#DIV/0!</v>
      </c>
      <c r="MU274" s="168" t="e">
        <f ca="1">(Control!$C$135-$MS274)*Control!$C$74</f>
        <v>#DIV/0!</v>
      </c>
      <c r="MV274" s="168" t="e">
        <f t="shared" ca="1" si="1120"/>
        <v>#DIV/0!</v>
      </c>
      <c r="MW274" s="168" t="e">
        <f t="shared" ca="1" si="1121"/>
        <v>#DIV/0!</v>
      </c>
      <c r="MX274" s="171" t="e">
        <f ca="1">MAX(Control!$C$127, MIN(Control!$C$135, $MW274/MAX(0.0001,Control!$C$119-$CY274)))</f>
        <v>#DIV/0!</v>
      </c>
      <c r="MY274" s="54" t="e">
        <f ca="1">IF(Control!$C$114=1, $CX274*$MX274, 0)</f>
        <v>#DIV/0!</v>
      </c>
      <c r="MZ274" s="54" t="e">
        <f t="shared" ca="1" si="1122"/>
        <v>#N/A</v>
      </c>
      <c r="NA274" s="168" t="e">
        <f ca="1">(Control!$C$128-$MX274)*(Control!$C$119-Control!$C$74)</f>
        <v>#DIV/0!</v>
      </c>
      <c r="NB274" s="168" t="e">
        <f ca="1">(Control!$C$135-$MX274)*(Control!$C$119-Control!$C$74)</f>
        <v>#DIV/0!</v>
      </c>
      <c r="NC274" s="174" t="e">
        <f t="shared" ca="1" si="1123"/>
        <v>#DIV/0!</v>
      </c>
      <c r="ND274" s="54">
        <f ca="1">IF(Control!$C$58=2, IF(OR(Control!$B$218=$AH274,Control!$B$219=$AH274, Control!$B$220=$AH274, Control!$B$221=$AH274, Control!$B$222=$AH274, Control!$B$223=$AH274, Control!$B$224=$AH274, Control!$B$225=$AH274, Control!$B$226=$AH274, Control!$B$227=$AH274, Control!$B$228=$AH274), 1, 0), 0)</f>
        <v>0</v>
      </c>
      <c r="NE274" s="54">
        <f ca="1">IF($ND274=0,0, VLOOKUP($AH274,Control!$B$218:$C$228,2))</f>
        <v>0</v>
      </c>
      <c r="NF274" s="168" t="e">
        <f ca="1">$CY274*(Control!$C$128-Control!$C$127)</f>
        <v>#N/A</v>
      </c>
      <c r="NG274" s="54" t="e">
        <f ca="1">IF(Control!$C$58=2, $NI273-$NJ273, 0)</f>
        <v>#DIV/0!</v>
      </c>
      <c r="NH274" s="54" t="e">
        <f ca="1">IF(AND(Control!$C$58=1, $MS273&lt;= ($MN273+0.02), $I273&lt;10), 0, IF(Control!$C$58=2, $NG273, 0))</f>
        <v>#DIV/0!</v>
      </c>
      <c r="NI274" s="54" t="e">
        <f ca="1">IF(Control!$C$58=2, $NE274+$NH274,0)</f>
        <v>#DIV/0!</v>
      </c>
      <c r="NJ274" s="54" t="e">
        <f ca="1">IF(AND(Control!$C$58=1, $MS274&lt;= ($MN274+0.02), $I274&lt;10), MAX(0, MIN(10, 0.7*($NF274-$MV274))), IF(Control!$C$58=2, MIN(10,$NI274),0))</f>
        <v>#DIV/0!</v>
      </c>
      <c r="NK274" s="54" t="e">
        <f t="shared" ca="1" si="1031"/>
        <v>#DIV/0!</v>
      </c>
      <c r="NL274" s="173" t="e">
        <f ca="1">(1-Control!$C$73)*$I274+$NJ274</f>
        <v>#DIV/0!</v>
      </c>
      <c r="NM274" s="172" t="e">
        <f ca="1">IF($NL274&lt;0.5, $MB274* MAX(0, MIN(1, (SQRT($NC274)-SQRT($NC274-1))*Control!$C$71)),0)</f>
        <v>#DIV/0!</v>
      </c>
      <c r="NN274" s="170" t="e">
        <f ca="1">IF($NL274&gt;=5, $MB274, MAX(0,MIN($MB274, $NM274+$NL274,($MS274-Control!$C$129))))</f>
        <v>#DIV/0!</v>
      </c>
      <c r="NO274" s="54">
        <f>IF(Control!$C$133&lt;&gt;1, Control!$C$135-Control!$C$131, 0)</f>
        <v>0.38</v>
      </c>
      <c r="NP274" s="54" t="e">
        <f t="shared" ca="1" si="1032"/>
        <v>#DIV/0!</v>
      </c>
      <c r="NQ274" s="173" t="e">
        <f ca="1">MAX(0,MIN(1,(Control!$C$135-$MS274)/(Control!$C$135-$NO274)))</f>
        <v>#DIV/0!</v>
      </c>
      <c r="NR274" s="170" t="e">
        <f ca="1">IF(Control!$C$133&lt;&gt;1, $NQ274+((1-$NP274/4)*(1-$NQ274)),1)</f>
        <v>#DIV/0!</v>
      </c>
      <c r="NS274" s="170" t="e">
        <f ca="1">IF(Control!$B$31=0,$MJ274,MAX(0,MIN($MV274,$MO274*$NR274*$MJ274)))</f>
        <v>#DIV/0!</v>
      </c>
      <c r="NT274" s="170" t="e">
        <f t="shared" ca="1" si="1148"/>
        <v>#DIV/0!</v>
      </c>
      <c r="NU274" s="170" t="e">
        <f t="shared" ca="1" si="1124"/>
        <v>#N/A</v>
      </c>
      <c r="NV274" s="170" t="e">
        <f t="shared" ca="1" si="1033"/>
        <v>#N/A</v>
      </c>
      <c r="NW274" s="175" t="e">
        <f t="shared" ca="1" si="1034"/>
        <v>#DIV/0!</v>
      </c>
      <c r="NX274" s="170" t="e">
        <f ca="1">MIN(Control!$C$72+$MU274, $NW274)</f>
        <v>#DIV/0!</v>
      </c>
      <c r="NY274" s="170" t="e">
        <f ca="1">IF($MT274&lt;=$NX274,MIN(Control!$C$72+$NB274,$NX274-$MT274),0)</f>
        <v>#DIV/0!</v>
      </c>
      <c r="NZ274" s="54" t="e">
        <f ca="1">IF(Control!$C$114=1,  $CX274*($MX274-Control!$C$127), 0)</f>
        <v>#DIV/0!</v>
      </c>
      <c r="OA274" s="170" t="e">
        <f t="shared" ca="1" si="1035"/>
        <v>#DIV/0!</v>
      </c>
      <c r="OB274" s="170" t="e">
        <f ca="1">IF($NA274 &lt;=$NY274, MIN(Control!$C$72, $NY274-$NA274), 0)</f>
        <v>#DIV/0!</v>
      </c>
      <c r="OC274" s="168" t="e">
        <f t="shared" ca="1" si="1036"/>
        <v>#DIV/0!</v>
      </c>
      <c r="OD274" s="168" t="e">
        <f t="shared" ca="1" si="1125"/>
        <v>#DIV/0!</v>
      </c>
      <c r="OE274" s="170">
        <f ca="1">Control!$C$73*$I274</f>
        <v>0</v>
      </c>
      <c r="OF274" s="176" t="e">
        <f t="shared" ca="1" si="1037"/>
        <v>#DIV/0!</v>
      </c>
      <c r="OG274" s="168" t="e">
        <f t="shared" ca="1" si="1038"/>
        <v>#DIV/0!</v>
      </c>
      <c r="OH274" s="168" t="e">
        <f t="shared" ca="1" si="1039"/>
        <v>#DIV/0!</v>
      </c>
      <c r="OI274" s="168" t="e">
        <f t="shared" ca="1" si="1040"/>
        <v>#DIV/0!</v>
      </c>
      <c r="OJ274" s="168" t="e">
        <f t="shared" ca="1" si="1041"/>
        <v>#DIV/0!</v>
      </c>
      <c r="OK274" s="204" t="e">
        <f t="shared" ca="1" si="1042"/>
        <v>#DIV/0!</v>
      </c>
      <c r="OL274" s="177">
        <f>Control!$C$127</f>
        <v>0.15</v>
      </c>
      <c r="OM274" s="182" t="e">
        <f t="shared" ca="1" si="1043"/>
        <v>#N/A</v>
      </c>
      <c r="ON274" s="177">
        <f>Control!$C$128</f>
        <v>0.35</v>
      </c>
      <c r="OO274" s="182" t="e">
        <f t="shared" ca="1" si="1044"/>
        <v>#N/A</v>
      </c>
      <c r="OP274" s="138">
        <f t="shared" ca="1" si="1126"/>
        <v>0</v>
      </c>
      <c r="OQ274" s="138" t="e">
        <f t="shared" ca="1" si="1149"/>
        <v>#DIV/0!</v>
      </c>
      <c r="OR274" s="138" t="e">
        <f t="shared" ca="1" si="1127"/>
        <v>#DIV/0!</v>
      </c>
      <c r="OS274" s="137" t="e">
        <f t="shared" ca="1" si="1150"/>
        <v>#DIV/0!</v>
      </c>
      <c r="OT274" s="139" t="e">
        <f t="shared" ca="1" si="1151"/>
        <v>#DIV/0!</v>
      </c>
      <c r="OU274" s="138" t="e">
        <f t="shared" ca="1" si="1152"/>
        <v>#N/A</v>
      </c>
      <c r="OV274" s="138" t="e">
        <f t="shared" ca="1" si="1153"/>
        <v>#DIV/0!</v>
      </c>
      <c r="OW274" s="138" t="e">
        <f t="shared" ca="1" si="1128"/>
        <v>#DIV/0!</v>
      </c>
      <c r="OX274" s="138" t="e">
        <f t="shared" ca="1" si="1129"/>
        <v>#DIV/0!</v>
      </c>
      <c r="OY274" s="138" t="e">
        <f t="shared" ca="1" si="1130"/>
        <v>#DIV/0!</v>
      </c>
      <c r="OZ274" s="138" t="e">
        <f t="shared" ca="1" si="1045"/>
        <v>#DIV/0!</v>
      </c>
      <c r="PA274" s="138" t="e">
        <f t="shared" ca="1" si="1046"/>
        <v>#DIV/0!</v>
      </c>
      <c r="PB274" s="55">
        <f>IF(Control!$C$61="T", IF(Control!$C$65="F", IF($AH$6-Control!$C$60&lt;0,0,1), IF(365+$AH$6-Control!$C$60&lt;0,0,1)),0)</f>
        <v>0</v>
      </c>
      <c r="PC274" s="55">
        <f ca="1">IF(Control!$C$65="F", IF($AH$6-$HF274&lt;0,0,1), IF(365+$AH$6-$HF274&lt;0,0,1))</f>
        <v>1</v>
      </c>
      <c r="PD274" s="444">
        <f>Control!$C$118</f>
        <v>1500</v>
      </c>
      <c r="PE274" s="180" t="e">
        <f t="shared" ca="1" si="1047"/>
        <v>#N/A</v>
      </c>
      <c r="PF274" s="445">
        <f t="shared" ca="1" si="1131"/>
        <v>0.71612369323045078</v>
      </c>
      <c r="PT274" s="186"/>
      <c r="PU274" s="186"/>
      <c r="PV274" s="94"/>
      <c r="PW274" s="94"/>
      <c r="PX274" s="94"/>
      <c r="PY274" s="94"/>
      <c r="PZ274" s="94"/>
      <c r="QA274" s="94"/>
      <c r="QB274" s="94"/>
      <c r="QC274" s="94"/>
      <c r="QD274" s="94"/>
      <c r="QE274" s="94"/>
      <c r="QF274" s="94"/>
      <c r="QG274" s="94"/>
      <c r="QH274" s="94"/>
      <c r="QI274" s="94"/>
      <c r="QJ274" s="94"/>
      <c r="QK274" s="94"/>
      <c r="QL274" s="94"/>
      <c r="QM274" s="94"/>
      <c r="QN274" s="94"/>
      <c r="QO274" s="94"/>
      <c r="QP274" s="94"/>
    </row>
    <row r="275" spans="1:458" s="2" customFormat="1" x14ac:dyDescent="0.2">
      <c r="A275" s="395">
        <v>27</v>
      </c>
      <c r="B275" s="396">
        <v>9</v>
      </c>
      <c r="C275" s="387">
        <f ca="1">Weather_data!$B274</f>
        <v>0</v>
      </c>
      <c r="D275" s="388">
        <f ca="1">Weather_data!$F274</f>
        <v>0</v>
      </c>
      <c r="E275" s="388">
        <f ca="1">Weather_data!$E274</f>
        <v>0</v>
      </c>
      <c r="F275" s="388">
        <f t="shared" ca="1" si="1048"/>
        <v>0</v>
      </c>
      <c r="G275" s="388">
        <f ca="1">AVERAGE($D275:$E275)+Control!$B$9</f>
        <v>0</v>
      </c>
      <c r="H275" s="388">
        <f ca="1">Weather_data!$G274</f>
        <v>0</v>
      </c>
      <c r="I275" s="388">
        <f ca="1">Weather_data!$I274</f>
        <v>0</v>
      </c>
      <c r="J275" s="388">
        <f ca="1">Weather_data!$H274</f>
        <v>0</v>
      </c>
      <c r="K275" s="389">
        <f ca="1">Weather_data!$D274</f>
        <v>0</v>
      </c>
      <c r="L275" s="388" t="e">
        <f t="shared" ca="1" si="1049"/>
        <v>#N/A</v>
      </c>
      <c r="M275" s="388" t="e">
        <f t="shared" ca="1" si="927"/>
        <v>#N/A</v>
      </c>
      <c r="N275" s="388">
        <f t="shared" ca="1" si="928"/>
        <v>-2.455868131377104E-13</v>
      </c>
      <c r="O275" s="388">
        <f t="shared" ca="1" si="1050"/>
        <v>2.4558681313771039E-12</v>
      </c>
      <c r="P275" s="390">
        <v>3</v>
      </c>
      <c r="Q275" s="388">
        <f ca="1">MAX($G275-Control!$C$107,0)</f>
        <v>0</v>
      </c>
      <c r="R275" s="388">
        <f t="shared" ca="1" si="1051"/>
        <v>0</v>
      </c>
      <c r="S275" s="388">
        <f t="shared" ca="1" si="929"/>
        <v>0</v>
      </c>
      <c r="T275" s="388">
        <f t="shared" ca="1" si="930"/>
        <v>0</v>
      </c>
      <c r="U275" s="59">
        <f t="shared" ca="1" si="931"/>
        <v>0</v>
      </c>
      <c r="V275" s="391">
        <f ca="1">MAX(0,MIN(Control!$C$100-Control!$C$99,$G275-Control!$C$99)*Control!$C$63)</f>
        <v>0</v>
      </c>
      <c r="W275" s="388">
        <f t="shared" ca="1" si="1052"/>
        <v>0</v>
      </c>
      <c r="X275" s="388">
        <f t="shared" ca="1" si="1053"/>
        <v>0.6110000000000001</v>
      </c>
      <c r="Y275" s="388">
        <f t="shared" ca="1" si="932"/>
        <v>0</v>
      </c>
      <c r="Z275" s="388">
        <f t="shared" ca="1" si="1054"/>
        <v>0.61058800000000002</v>
      </c>
      <c r="AA275" s="388">
        <f t="shared" ca="1" si="933"/>
        <v>0.6018</v>
      </c>
      <c r="AB275" s="388">
        <f ca="1">101.3*EXP(-0.034*Control!$C$66/($G275+273))</f>
        <v>100.69623283836242</v>
      </c>
      <c r="AC275" s="392">
        <f t="shared" ca="1" si="934"/>
        <v>4.3460251046025113E-2</v>
      </c>
      <c r="AD275" s="392">
        <f t="shared" ca="1" si="935"/>
        <v>4.4450382862832649E-2</v>
      </c>
      <c r="AE275" s="388">
        <f t="shared" ca="1" si="936"/>
        <v>0</v>
      </c>
      <c r="AF275" s="388">
        <f ca="1">MAX(0,$G275-Control!$C$92)</f>
        <v>0</v>
      </c>
      <c r="AG275" s="393">
        <f t="shared" ca="1" si="937"/>
        <v>271</v>
      </c>
      <c r="AH275" s="389">
        <f t="shared" ca="1" si="938"/>
        <v>271</v>
      </c>
      <c r="AI275" s="388">
        <f t="shared" ca="1" si="1055"/>
        <v>-4.9561215521799554E-2</v>
      </c>
      <c r="AJ275" s="388">
        <f ca="1">IF(Control!$C$60&lt;=0,$HH275,$HI275)</f>
        <v>1</v>
      </c>
      <c r="AK275" s="388">
        <f t="shared" ca="1" si="939"/>
        <v>3.2879134073186327</v>
      </c>
      <c r="AL275" s="388">
        <f t="shared" ca="1" si="940"/>
        <v>-1.2803752849621651E-17</v>
      </c>
      <c r="AM275" s="388">
        <f t="shared" ca="1" si="941"/>
        <v>3.2879134073186327</v>
      </c>
      <c r="AN275" s="388">
        <f t="shared" ca="1" si="942"/>
        <v>-5.8031486706726837E-2</v>
      </c>
      <c r="AO275" s="388">
        <f ca="1">-0.10453/COS(Control!$B$8*PI()/180)*COS(AN275)</f>
        <v>-0.16949905616052313</v>
      </c>
      <c r="AP275" s="388">
        <f ca="1">ACOS(AO275-TAN(Control!$B$8*PI()/180)*TAN(AN275))</f>
        <v>1.6660790851824845</v>
      </c>
      <c r="AQ275" s="388">
        <f t="shared" ca="1" si="1056"/>
        <v>0</v>
      </c>
      <c r="AR275" s="394">
        <f t="shared" ca="1" si="943"/>
        <v>0</v>
      </c>
      <c r="AS275" s="436">
        <f ca="1">IF(Control!$B$18=2,(IF(OR($AH275=Control!$B$175,$AH275=Control!$B$176,$AH275=Control!$B$177,$AH275=Control!$B$178,$AH275=Control!$B$179,$AH275=Control!$B$180,$AH275=Control!$B$181,$AH275=Control!$B$182,$AH275=Control!$B$183,$AH275=Control!$B$184,$AH275=Control!$B$185),1,0)),0)</f>
        <v>0</v>
      </c>
      <c r="AT275" s="436">
        <f>IF(Control!$B$20=8,IF(AND($AH275&gt;=Control!$B$172,$AH275&lt;=Control!$B$173),1,0),0)</f>
        <v>0</v>
      </c>
      <c r="AU275" s="436">
        <f>IF(Control!$B$20=8,IF($AV274=1,1*$AT275,IF($AT275=1,$AU274+1,$AU274)),0)</f>
        <v>0</v>
      </c>
      <c r="AV275" s="436">
        <f>IF(Control!$B$20=8,IF($AU275&gt;=Control!$B$174,1,0),0)</f>
        <v>0</v>
      </c>
      <c r="AW275" s="436">
        <f ca="1">IF(AND(Control!$B$18=2,Control!$B$171=1), $AV275, $AS275)</f>
        <v>0</v>
      </c>
      <c r="AX275" s="436" t="e">
        <f ca="1">IF(AND(Control!$B$18=1,$EU275&gt;=Control!$B$19),-$AY275,IF(AND(Control!$B$18=2,$AW275=1,$EU275&gt;$DS275),-$AY275, IF(Control!$C$108=0,0, IF(Control!$C$108&lt;&gt;0,1))))</f>
        <v>#N/A</v>
      </c>
      <c r="AY275" s="436" t="e">
        <f t="shared" ca="1" si="1057"/>
        <v>#N/A</v>
      </c>
      <c r="AZ275" s="436" t="e">
        <f ca="1">IF(AND(Control!$B$18=1,$EB275&gt;Control!$B$19),$AZ274+1, IF(AND(Control!$B$18=2, $AW275=1, $EB275&gt;$DS275), $AZ274+1,$AZ274))</f>
        <v>#N/A</v>
      </c>
      <c r="BA275" s="587">
        <f>IF(Control!$C$81=0,1,IF($AH275&gt;=Control!$C$82,1,0))</f>
        <v>1</v>
      </c>
      <c r="BB275" s="140" t="e">
        <f ca="1">IF($BA275&gt;$BA274,Control!$C$83,IF($AW275&gt;0,$AW275*Control!$C$84,IF(AND(Control!$B$18=1,EN274&lt;&gt;0),Control!$C$84,0)))</f>
        <v>#N/A</v>
      </c>
      <c r="BC275" s="140" t="e">
        <f t="shared" ca="1" si="1058"/>
        <v>#N/A</v>
      </c>
      <c r="BD275" s="140" t="e">
        <f ca="1">BC275*IF(OR($G275&lt;Control!$C$92,$G275&gt;Control!$C$95),0,IF(AND($G275&gt;=Control!$C$92,$G275&lt;=Control!$C$93),$G275-Control!$C$92,IF(AND($G275&gt;Control!$C$93,$G275&lt;=Control!$C$94),Control!$C$93-Control!$C$92,IF(AND($G275&gt;Control!$C$94,$G275&lt;=Control!$C$95),(Control!$C$93-Control!$C$92)*(Control!$C$94-$G275)/(Control!$C$95-Control!$C$94)))))</f>
        <v>#N/A</v>
      </c>
      <c r="BE275" s="140" t="e">
        <f t="shared" ca="1" si="1059"/>
        <v>#N/A</v>
      </c>
      <c r="BF275" s="140" t="e">
        <f ca="1">IF($BE275&lt;=Control!$C$86,$BE275,Control!$C$86-$BE275)</f>
        <v>#N/A</v>
      </c>
      <c r="BG275" s="140" t="e">
        <f ca="1">IF(AND($AW275=1,Control!$C$84&lt;9),1,IF($BE275&gt;=Control!$C$86,0,$BC275))</f>
        <v>#N/A</v>
      </c>
      <c r="BH275" s="404" t="e">
        <f ca="1">IF($BG275=0,0,IF($BE275&lt;=Control!$C$86,$BC275*9*($BF275/Control!$C$86),0))</f>
        <v>#N/A</v>
      </c>
      <c r="BI275" s="140" t="e">
        <f ca="1">IF($BG275=1,0,IF($BE275&gt;=Control!$C$86,1,IF(AND($BB275&lt;21,$BB275&gt;=9),1,$BM274)))</f>
        <v>#N/A</v>
      </c>
      <c r="BJ275" s="140" t="e">
        <f ca="1">IF($BF275&lt;0,-$BF275,$BI275*IF(OR($G275&lt;Control!$C$92,$G275&gt;Control!$C$95),0,IF(AND($G275&gt;=Control!$C$92,$G275&lt;=Control!$C$93),$G275-Control!$C$92,IF(AND($G275&gt;Control!$C$93,$G275&lt;=Control!$C$94),Control!$C$93-Control!$C$92,IF(AND($G275&gt;Control!$C$94,$G275&lt;=Control!$C$95),(Control!$C$93-Control!$C$92)*(Control!$C$94-$G275)/(Control!$C$95-Control!$C$94))))))</f>
        <v>#N/A</v>
      </c>
      <c r="BK275" s="140" t="e">
        <f t="shared" ca="1" si="1060"/>
        <v>#N/A</v>
      </c>
      <c r="BL275" s="140" t="e">
        <f ca="1">IF($BK275&lt;=Control!$C$87,$BK275,Control!$C$87-$BK275)</f>
        <v>#N/A</v>
      </c>
      <c r="BM275" s="140" t="e">
        <f ca="1">IF(AND($BB275&gt;=9,$BB275&lt;21),1,IF($BK275&gt;=Control!$C$87,0,$BI275))</f>
        <v>#N/A</v>
      </c>
      <c r="BN275" s="404" t="e">
        <f ca="1">IF($BM275=0,0,IF($BK275&lt;=Control!$C$87,$BI275*(9+(21-9)*($BL275/Control!$C$87)),0))</f>
        <v>#N/A</v>
      </c>
      <c r="BO275" s="140" t="e">
        <f ca="1">IF($BM275=1,0,IF($BK275&gt;=Control!$C$87,1,IF(AND($BB275&lt;30,$BB275&gt;=21),1,$BS274)))</f>
        <v>#N/A</v>
      </c>
      <c r="BP275" s="140" t="e">
        <f ca="1">IF($BL275&lt;0,-$BL275,$BO275*IF(OR($G275&lt;Control!$C$92,$G275&gt;Control!$C$95),0,IF(AND($G275&gt;=Control!$C$92,$G275&lt;=Control!$C$93),$G275-Control!$C$92,IF(AND($G275&gt;Control!$C$93,$G275&lt;=Control!$C$94),Control!$C$93-Control!$C$92,IF(AND($G275&gt;Control!$C$94,$G275&lt;=Control!$C$95),(Control!$C$93-Control!$C$92)*(Control!$C$94-$G275)/(Control!$C$95-Control!$C$94))))))</f>
        <v>#N/A</v>
      </c>
      <c r="BQ275" s="140" t="e">
        <f t="shared" ca="1" si="944"/>
        <v>#N/A</v>
      </c>
      <c r="BR275" s="140" t="e">
        <f ca="1">IF($BQ275&lt;=Control!$C$88,$BQ275,Control!$C$88-$BQ275)</f>
        <v>#N/A</v>
      </c>
      <c r="BS275" s="140" t="e">
        <f ca="1">IF(AND($BB275&gt;=21,$BB275&lt;30),1,IF($BQ275&gt;=Control!$C$88,0,$BO275))</f>
        <v>#N/A</v>
      </c>
      <c r="BT275" s="404" t="e">
        <f ca="1">IF($BS275=0,0,IF($BQ275&lt;=Control!$C$88,$BO275*(21+(30-21)*(BR275/Control!$C$88)),0))</f>
        <v>#N/A</v>
      </c>
      <c r="BU275" s="140" t="e">
        <f ca="1">IF(BG275+BM275+BS275=1,0,IF(OR(AND($BB275&lt;60,$BB275&gt;=30),$BQ275&gt;=Control!$C$88),1*$BA275,$BY274))</f>
        <v>#N/A</v>
      </c>
      <c r="BV275" s="140" t="e">
        <f ca="1">IF($BR275&lt;0,-$BR275,$BU275*IF(OR($G275&lt;Control!$C$92,$G275&gt;Control!$C$95),0,IF(AND($G275&gt;=Control!$C$92,$G275&lt;=Control!$C$93),$G275-Control!$C$92,IF(AND($G275&gt;Control!$C$93,$G275&lt;=Control!$C$94),Control!$C$93-Control!$C$92,IF(AND($G275&gt;Control!$C$94,$G275&lt;=Control!$C$95),(Control!$C$93-Control!$C$92)*(Control!$C$94-$G275)/(Control!$C$95-Control!$C$94))))))</f>
        <v>#N/A</v>
      </c>
      <c r="BW275" s="140" t="e">
        <f t="shared" ca="1" si="945"/>
        <v>#N/A</v>
      </c>
      <c r="BX275" s="140" t="e">
        <f ca="1">IF($BW275&lt;=Control!$C$89,$BW275,Control!$C$89-$BW275)</f>
        <v>#N/A</v>
      </c>
      <c r="BY275" s="140" t="e">
        <f ca="1">IF(AND($AJ275&gt;=30,$AJ275&lt;60),1,IF($BW275&gt;=Control!$C$89,0,$BU275))</f>
        <v>#N/A</v>
      </c>
      <c r="BZ275" s="404" t="e">
        <f ca="1">IF($BY275=0,0,IF($BW275&lt;=Control!$C$89,$BU275*(30+(60-30)*(BX275/Control!$C$89)),0))</f>
        <v>#N/A</v>
      </c>
      <c r="CA275" s="140" t="e">
        <f ca="1">IF($BG275+$BM275+$BS275+$BY275=1,0,IF(OR(AND($BB275&lt;65,$BB275&gt;=60),$BW275&gt;=Control!$C$89),1*$BA275,$CE274))</f>
        <v>#N/A</v>
      </c>
      <c r="CB275" s="140" t="e">
        <f ca="1">IF($BX275&lt;0,-$BX275,$CA275*IF(OR($G275&lt;Control!$C$92,$G275&gt;Control!$C$95),0,IF(AND($G275&gt;=Control!$C$92,$G275&lt;=Control!$C$93),$G275-Control!$C$92,IF(AND($G275&gt;Control!$C$93,$G275&lt;=Control!$C$94),Control!$C$93-Control!$C$92,IF(AND($G275&gt;Control!$C$94,$G275&lt;=Control!$C$95),(Control!$C$93-Control!$C$92)*(Control!$C$94-$G275)/(Control!$C$95-Control!$C$94))))))</f>
        <v>#N/A</v>
      </c>
      <c r="CC275" s="140" t="e">
        <f t="shared" ca="1" si="1061"/>
        <v>#N/A</v>
      </c>
      <c r="CD275" s="140" t="e">
        <f ca="1">IF($CC275&lt;=Control!$C$90,$CC275,Control!$C$90-$CC275)</f>
        <v>#N/A</v>
      </c>
      <c r="CE275" s="140" t="e">
        <f ca="1">IF(AND($BB275&gt;=60,$BB275&lt;65),1,IF($CC275&gt;=Control!$C$90,0,$CA275))</f>
        <v>#N/A</v>
      </c>
      <c r="CF275" s="404" t="e">
        <f ca="1">IF($CE275=0,0,IF($CC275&lt;=Control!$C$90,$CA275*(60+(65-60)*(CD275/Control!$C$90)),0))</f>
        <v>#N/A</v>
      </c>
      <c r="CG275" s="140" t="e">
        <f ca="1">IF($BG275+$BM275+$BS275+$BY275+$CE275=1,0,IF(OR(AND($BB275&lt;90,$BB275&gt;=65),$CC275&gt;=Control!$C$90),$BA275,$CK274))</f>
        <v>#N/A</v>
      </c>
      <c r="CH275" s="140" t="e">
        <f ca="1">IF($CD275&lt;0,-$CD275,$CG275*IF(OR($G275&lt;Control!$C$92,$G275&gt;Control!$C$95),0,IF(AND($G275&gt;=Control!$C$92,$G275&lt;=Control!$C$93),$G275-Control!$C$92,IF(AND($G275&gt;Control!$C$93,$G275&lt;=Control!$C$94),Control!$C$93-Control!$C$92,IF(AND($G275&gt;Control!$C$94,$G275&lt;=Control!$C$95),(Control!$C$93-Control!$C$92)*(Control!$C$94-$G275)/(Control!$C$95-Control!$C$94))))))</f>
        <v>#N/A</v>
      </c>
      <c r="CI275" s="140" t="e">
        <f t="shared" ca="1" si="1062"/>
        <v>#N/A</v>
      </c>
      <c r="CJ275" s="140" t="e">
        <f ca="1">IF($CI275&lt;=Control!$C$91,$CI275,Control!$C$91-$CI275)</f>
        <v>#N/A</v>
      </c>
      <c r="CK275" s="140" t="e">
        <f ca="1">IF(AND($BB275&gt;=65,$BB275&lt;90),1,IF($CI275&gt;=Control!$C$91,0,$CG275))</f>
        <v>#N/A</v>
      </c>
      <c r="CL275" s="404" t="e">
        <f ca="1">IF($CK275=0,0,IF($CI275&lt;=Control!$C$91,$CG275*(65+(90-65)*($CJ275/Control!$C$91)),0))</f>
        <v>#N/A</v>
      </c>
      <c r="CM275" s="140" t="e">
        <f ca="1">IF($BG275+$BM275+$BS275+$BY275+$CE275+$CK275=1,0,IF(OR($BB275&gt;=90,$CI275&gt;=Control!$C$91),$BA275,$CM274))</f>
        <v>#N/A</v>
      </c>
      <c r="CN275" s="140" t="e">
        <f t="shared" ca="1" si="1063"/>
        <v>#N/A</v>
      </c>
      <c r="CO275" s="140" t="e">
        <f t="shared" ca="1" si="1064"/>
        <v>#N/A</v>
      </c>
      <c r="CP275" s="140" t="e">
        <f t="shared" ca="1" si="1065"/>
        <v>#N/A</v>
      </c>
      <c r="CQ275" s="141" t="e">
        <f ca="1">VLOOKUP($CP275,Control!$B$86:$G$91,6)</f>
        <v>#N/A</v>
      </c>
      <c r="CR275" s="141" t="e">
        <f ca="1">(1-$CQ275)*VLOOKUP($CP275,Control!$B$86:$D$91,3)</f>
        <v>#N/A</v>
      </c>
      <c r="CS275" s="141" t="e">
        <f ca="1">(1-$CQ275)*VLOOKUP($CP275,Control!$B$86:$E$91,4)</f>
        <v>#N/A</v>
      </c>
      <c r="CT275" s="141" t="e">
        <f ca="1">(1-$CQ275)*VLOOKUP($CP275,Control!$B$86:$F$91,5)</f>
        <v>#N/A</v>
      </c>
      <c r="CU275" s="141">
        <f t="shared" ca="1" si="1066"/>
        <v>0</v>
      </c>
      <c r="CV275" s="583">
        <f t="shared" ca="1" si="1067"/>
        <v>0</v>
      </c>
      <c r="CW275" s="142">
        <f t="shared" ca="1" si="1068"/>
        <v>271</v>
      </c>
      <c r="CX275" s="612" t="e">
        <f ca="1">IF(Control!$C$114=1,(MIN(Control!$C$120*(IF($NT275-0.01&lt;0,0,1)),Control!$C$119-$CY275)))</f>
        <v>#DIV/0!</v>
      </c>
      <c r="CY275" s="143" t="e">
        <f t="shared" ca="1" si="1069"/>
        <v>#N/A</v>
      </c>
      <c r="CZ275" s="144">
        <f t="shared" ca="1" si="946"/>
        <v>0</v>
      </c>
      <c r="DA275" s="144">
        <f t="shared" ca="1" si="947"/>
        <v>0</v>
      </c>
      <c r="DB275" s="144" t="e">
        <f t="shared" ca="1" si="948"/>
        <v>#N/A</v>
      </c>
      <c r="DC275" s="144" t="e">
        <f t="shared" ca="1" si="949"/>
        <v>#N/A</v>
      </c>
      <c r="DD275" s="144" t="e">
        <f t="shared" ca="1" si="1154"/>
        <v>#N/A</v>
      </c>
      <c r="DE275" s="143" t="e">
        <f t="shared" ca="1" si="1070"/>
        <v>#N/A</v>
      </c>
      <c r="DF275" s="145" t="e">
        <f ca="1">$DR275*EXP(-Control!$C$158*(1-$KH275))</f>
        <v>#N/A</v>
      </c>
      <c r="DG275" s="146" t="e">
        <f ca="1">IF(Control!$C$114=1, $DF275*$EY275, 0)</f>
        <v>#N/A</v>
      </c>
      <c r="DH275" s="147" t="e">
        <f t="shared" ca="1" si="1071"/>
        <v>#N/A</v>
      </c>
      <c r="DI275" s="144" t="e">
        <f t="shared" ca="1" si="1132"/>
        <v>#N/A</v>
      </c>
      <c r="DJ275" s="147" t="e">
        <f ca="1">$EF275*Control!$C$109</f>
        <v>#N/A</v>
      </c>
      <c r="DK275" s="144" t="e">
        <f t="shared" ca="1" si="1072"/>
        <v>#N/A</v>
      </c>
      <c r="DL275" s="144" t="e">
        <f t="shared" ca="1" si="950"/>
        <v>#N/A</v>
      </c>
      <c r="DM275" s="144" t="e">
        <f ca="1">IF(Control!$C$114=1, (1-EXP(-Control!$C$96*$DK275))*$AR275, 0)</f>
        <v>#N/A</v>
      </c>
      <c r="DN275" s="144">
        <f t="shared" ca="1" si="1073"/>
        <v>0</v>
      </c>
      <c r="DO275" s="148">
        <f>Control!$C$97</f>
        <v>4</v>
      </c>
      <c r="DP275" s="145" t="e">
        <f t="shared" ca="1" si="1074"/>
        <v>#N/A</v>
      </c>
      <c r="DQ275" s="145" t="e">
        <f ca="1">IF(AND($CP275&gt;=0,$CP275&lt;=90),Control!$C$111,Control!$C$111)</f>
        <v>#N/A</v>
      </c>
      <c r="DR275" s="145" t="e">
        <f t="shared" ca="1" si="951"/>
        <v>#N/A</v>
      </c>
      <c r="DS275" s="143" t="e">
        <f ca="1">Control!$B$22/$DR275</f>
        <v>#N/A</v>
      </c>
      <c r="DT275" s="149" t="e">
        <f ca="1">IF(AND(Control!$C$114=1,$KH275&lt;1),$IM275*$DF275, 0)</f>
        <v>#N/A</v>
      </c>
      <c r="DU275" s="144" t="e">
        <f t="shared" ca="1" si="1075"/>
        <v>#N/A</v>
      </c>
      <c r="DV275" s="144">
        <f ca="1">IF($G275-Control!$C$107&lt;=0, 0, 0.83*LN(MAX($G275, 3))-0.8924)</f>
        <v>0</v>
      </c>
      <c r="DW275" s="144" t="e">
        <f t="shared" ca="1" si="952"/>
        <v>#N/A</v>
      </c>
      <c r="DX275" s="150" t="e">
        <f ca="1">MAX(0.01*(1+$CU275/Control!$C$102),0.05*($DK275-Control!$C$97)/Control!$C$97)</f>
        <v>#N/A</v>
      </c>
      <c r="DY275" s="151" t="e">
        <f ca="1">IF(Control!$C$114=1, $DI275*$FS275, 0)</f>
        <v>#N/A</v>
      </c>
      <c r="DZ275" s="196" t="e">
        <f t="shared" ca="1" si="1076"/>
        <v>#N/A</v>
      </c>
      <c r="EA275" s="152">
        <f t="shared" ca="1" si="1077"/>
        <v>271</v>
      </c>
      <c r="EB275" s="153" t="e">
        <f t="shared" ca="1" si="1078"/>
        <v>#N/A</v>
      </c>
      <c r="EC275" s="153" t="e">
        <f t="shared" ca="1" si="1079"/>
        <v>#N/A</v>
      </c>
      <c r="ED275" s="154" t="e">
        <f ca="1">IF(Control!$C$114=1, $HM275*$FY275-$FD275, 0)</f>
        <v>#DIV/0!</v>
      </c>
      <c r="EE275" s="155" t="e">
        <f ca="1">IF(Control!$C$114=1, $HM275*$FZ275-$FF275, 0)</f>
        <v>#DIV/0!</v>
      </c>
      <c r="EF275" s="153" t="e">
        <f t="shared" ca="1" si="1133"/>
        <v>#N/A</v>
      </c>
      <c r="EG275" s="155" t="e">
        <f ca="1">IF(Control!$C$114=1, $GX275*$FW275-$FI275, 0)</f>
        <v>#DIV/0!</v>
      </c>
      <c r="EH275" s="153" t="e">
        <f t="shared" ca="1" si="1080"/>
        <v>#N/A</v>
      </c>
      <c r="EI275" s="156" t="e">
        <f t="shared" ca="1" si="1081"/>
        <v>#N/A</v>
      </c>
      <c r="EJ275" s="155" t="e">
        <f ca="1">IF(Control!$C$114=1, $HM275*$GB275, 0)</f>
        <v>#DIV/0!</v>
      </c>
      <c r="EK275" s="153" t="e">
        <f t="shared" ca="1" si="1134"/>
        <v>#N/A</v>
      </c>
      <c r="EL275" s="153" t="e">
        <f t="shared" ca="1" si="953"/>
        <v>#N/A</v>
      </c>
      <c r="EM275" s="153" t="e">
        <f t="shared" ca="1" si="954"/>
        <v>#N/A</v>
      </c>
      <c r="EN275" s="153" t="e">
        <f ca="1">IF(Control!$C$108=1,IF(AND(Control!$B$18=1,$EB275&gt;=Control!$B$19),$EB275-$DS275,IF(AND(Control!$B$18=2,$AW275=1,$EB275&gt;$DS275),$EB275-$DS275,0)))</f>
        <v>#N/A</v>
      </c>
      <c r="EO275" s="153" t="e">
        <f ca="1">IF(Control!$C$108=1,IF(AND(Control!$B$18=1,$EB275&gt;=Control!$B$19),$EF275,IF(AND(Control!$B$18=2,$AW275=1),$EF275,0)))</f>
        <v>#N/A</v>
      </c>
      <c r="EP275" s="153" t="e">
        <f ca="1">IF(Control!$C$108=1,IF(AND(Control!$B$18=1,$EB275&gt;=Control!$B$19),$EK275,IF(AND(Control!$B$18=2,$AW275=1),$EK275,0)))</f>
        <v>#N/A</v>
      </c>
      <c r="EQ275" s="153" t="e">
        <f t="shared" ca="1" si="1082"/>
        <v>#N/A</v>
      </c>
      <c r="ER275" s="153" t="e">
        <f t="shared" ca="1" si="1083"/>
        <v>#N/A</v>
      </c>
      <c r="ES275" s="153" t="e">
        <f t="shared" ca="1" si="1135"/>
        <v>#N/A</v>
      </c>
      <c r="ET275" s="153" t="e">
        <f t="shared" ca="1" si="1136"/>
        <v>#N/A</v>
      </c>
      <c r="EU275" s="153" t="e">
        <f t="shared" ca="1" si="1084"/>
        <v>#N/A</v>
      </c>
      <c r="EV275" s="153" t="e">
        <f t="shared" ca="1" si="955"/>
        <v>#N/A</v>
      </c>
      <c r="EW275" s="153" t="e">
        <f t="shared" ca="1" si="956"/>
        <v>#N/A</v>
      </c>
      <c r="EX275" s="153" t="e">
        <f t="shared" ca="1" si="957"/>
        <v>#N/A</v>
      </c>
      <c r="EY275" s="157" t="e">
        <f t="shared" ca="1" si="958"/>
        <v>#DIV/0!</v>
      </c>
      <c r="EZ275" s="154" t="e">
        <f t="shared" ca="1" si="959"/>
        <v>#DIV/0!</v>
      </c>
      <c r="FA275" s="153" t="e">
        <f t="shared" ca="1" si="1085"/>
        <v>#N/A</v>
      </c>
      <c r="FB275" s="153" t="e">
        <f t="shared" ca="1" si="960"/>
        <v>#N/A</v>
      </c>
      <c r="FC275" s="193" t="e">
        <f t="shared" ca="1" si="961"/>
        <v>#N/A</v>
      </c>
      <c r="FD275" s="158" t="e">
        <f t="shared" ca="1" si="1086"/>
        <v>#N/A</v>
      </c>
      <c r="FE275" s="158" t="e">
        <f t="shared" ca="1" si="1087"/>
        <v>#N/A</v>
      </c>
      <c r="FF275" s="159" t="e">
        <f t="shared" ca="1" si="962"/>
        <v>#N/A</v>
      </c>
      <c r="FG275" s="160" t="e">
        <f t="shared" ca="1" si="1088"/>
        <v>#N/A</v>
      </c>
      <c r="FH275" s="158" t="e">
        <f t="shared" ca="1" si="1089"/>
        <v>#N/A</v>
      </c>
      <c r="FI275" s="159" t="e">
        <f t="shared" ca="1" si="963"/>
        <v>#N/A</v>
      </c>
      <c r="FJ275" s="160" t="e">
        <f t="shared" ca="1" si="1090"/>
        <v>#N/A</v>
      </c>
      <c r="FK275" s="160" t="e">
        <f t="shared" ca="1" si="964"/>
        <v>#N/A</v>
      </c>
      <c r="FL275" s="160" t="e">
        <f t="shared" ca="1" si="1137"/>
        <v>#N/A</v>
      </c>
      <c r="FM275" s="160" t="e">
        <f t="shared" ca="1" si="965"/>
        <v>#N/A</v>
      </c>
      <c r="FN275" s="158">
        <f t="shared" ca="1" si="1091"/>
        <v>0.01</v>
      </c>
      <c r="FO275" s="160">
        <f>Control!$C$101</f>
        <v>50</v>
      </c>
      <c r="FP275" s="150" t="e">
        <f t="shared" ca="1" si="966"/>
        <v>#N/A</v>
      </c>
      <c r="FQ275" s="150" t="e">
        <f ca="1">MAX(0,(Control!$C$112*(($DK275-Control!$C$97)/Control!$C$97)))</f>
        <v>#N/A</v>
      </c>
      <c r="FR275" s="150" t="e">
        <f ca="1">(1-$NT275)*Control!$C$113</f>
        <v>#DIV/0!</v>
      </c>
      <c r="FS275" s="198" t="e">
        <f t="shared" ca="1" si="967"/>
        <v>#N/A</v>
      </c>
      <c r="FT275" s="161">
        <f t="shared" ca="1" si="1092"/>
        <v>271</v>
      </c>
      <c r="FU275" s="162" t="e">
        <f ca="1">IF(Control!$B$34=1,VLOOKUP($CP275,Control!$B$86:$G$91,6),Control!$B$35)</f>
        <v>#N/A</v>
      </c>
      <c r="FV275" s="162" t="e">
        <f t="shared" ca="1" si="968"/>
        <v>#DIV/0!</v>
      </c>
      <c r="FW275" s="162" t="e">
        <f ca="1">IF(Control!$B$31=1,$FU275*$FV275,  $FU275)</f>
        <v>#N/A</v>
      </c>
      <c r="FX275" s="162" t="e">
        <f ca="1">IF(Control!$B$34=1,VLOOKUP($CP275,Control!$B$86:$G$91,3),Control!$B$36)</f>
        <v>#N/A</v>
      </c>
      <c r="FY275" s="162" t="e">
        <f t="shared" ca="1" si="969"/>
        <v>#N/A</v>
      </c>
      <c r="FZ275" s="162" t="e">
        <f ca="1">IF(Control!$B$34=1,VLOOKUP($CP275,Control!$B$86:$G$91,4),Control!$B$37)</f>
        <v>#N/A</v>
      </c>
      <c r="GA275" s="162" t="e">
        <f t="shared" ca="1" si="970"/>
        <v>#N/A</v>
      </c>
      <c r="GB275" s="162" t="e">
        <f ca="1">IF(Control!$B$34=1,VLOOKUP($CP275,Control!$B$86:$G$91,5),Control!$B$38)</f>
        <v>#N/A</v>
      </c>
      <c r="GC275" s="162" t="e">
        <f t="shared" ca="1" si="1093"/>
        <v>#N/A</v>
      </c>
      <c r="GD275" s="162">
        <f t="shared" ca="1" si="971"/>
        <v>1</v>
      </c>
      <c r="GE275" s="162">
        <f t="shared" ca="1" si="972"/>
        <v>1</v>
      </c>
      <c r="GF275" s="162">
        <f ca="1">IF(AND(Control!$C$104=1, Control!$C$62="F"),$GE275,1)</f>
        <v>1</v>
      </c>
      <c r="GG275" s="162" t="e">
        <f ca="1">IF(Control!$B$16=40,0,IF(AND(Control!$B$16&gt;40,Control!$B$16&lt;=360),(Control!$B$16-40)*((1-0)/(360-40)),IF(AND(Control!$B$16&gt;360,Control!$B$16&lt;=720),(1+(Control!$B$16-360)*((1.25-1)/(720-360))),IF(AND(Control!$B$16&gt;720,Control!$B$16&lt;=1000),(1.25+(Control!$B$16-720)*((1.35-1.25)/(1000-720))),IF(AND(Control!$B$16&gt;1000,Control!$B$16&lt;=2000),(1.35+(Control!$B$16-1000)*0))))))</f>
        <v>#N/A</v>
      </c>
      <c r="GH275" s="162" t="e">
        <f t="shared" ca="1" si="973"/>
        <v>#N/A</v>
      </c>
      <c r="GI275" s="162">
        <f t="shared" ca="1" si="1094"/>
        <v>0</v>
      </c>
      <c r="GJ275" s="162">
        <f t="shared" ca="1" si="974"/>
        <v>0</v>
      </c>
      <c r="GK275" s="162">
        <f t="shared" ca="1" si="1095"/>
        <v>1</v>
      </c>
      <c r="GL275" s="162">
        <f t="shared" ca="1" si="975"/>
        <v>1</v>
      </c>
      <c r="GM275" s="162" t="e">
        <f ca="1">MAX(0,MIN(1,1-Control!$C$156*(1.0001-$KH275)^2))</f>
        <v>#N/A</v>
      </c>
      <c r="GN275" s="162" t="e">
        <f ca="1">IF(Control!$B$26=1,$KU275,$KX275)</f>
        <v>#N/A</v>
      </c>
      <c r="GO275" s="162" t="e">
        <f ca="1">IF($CP275&lt;=60,Control!$C$105,IF($CP275&gt;=90,Control!$C$106,Control!$C$105+($CP275-60)*((Control!$C$106-Control!$C$105)/(90-60))))</f>
        <v>#N/A</v>
      </c>
      <c r="GP275" s="162" t="e">
        <f t="shared" ca="1" si="976"/>
        <v>#N/A</v>
      </c>
      <c r="GQ275" s="162" t="e">
        <f t="shared" ca="1" si="1096"/>
        <v>#N/A</v>
      </c>
      <c r="GR275" s="163" t="e">
        <f t="shared" ca="1" si="977"/>
        <v>#DIV/0!</v>
      </c>
      <c r="GS275" s="162" t="e">
        <f t="shared" ca="1" si="978"/>
        <v>#DIV/0!</v>
      </c>
      <c r="GT275" s="164" t="e">
        <f t="shared" ca="1" si="1097"/>
        <v>#N/A</v>
      </c>
      <c r="GU275" s="162" t="e">
        <f t="shared" ca="1" si="1098"/>
        <v>#N/A</v>
      </c>
      <c r="GV275" s="162" t="e">
        <f t="shared" ca="1" si="979"/>
        <v>#N/A</v>
      </c>
      <c r="GW275" s="162" t="e">
        <f t="shared" ca="1" si="980"/>
        <v>#DIV/0!</v>
      </c>
      <c r="GX275" s="162" t="e">
        <f t="shared" ca="1" si="1099"/>
        <v>#DIV/0!</v>
      </c>
      <c r="GY275" s="162" t="e">
        <f t="shared" ca="1" si="1100"/>
        <v>#DIV/0!</v>
      </c>
      <c r="GZ275" s="165" t="e">
        <f t="shared" ca="1" si="981"/>
        <v>#N/A</v>
      </c>
      <c r="HA275" s="162" t="e">
        <f ca="1">IF(Control!$C$114=1, $DI275*$FS275, 0)</f>
        <v>#N/A</v>
      </c>
      <c r="HB275" s="162" t="e">
        <f ca="1">$FA275/Control!$C$64</f>
        <v>#N/A</v>
      </c>
      <c r="HC275" s="162" t="e">
        <f t="shared" ca="1" si="982"/>
        <v>#DIV/0!</v>
      </c>
      <c r="HD275" s="162">
        <f ca="1">-ASIN(SIN(23.45*Control!$C$139)*COS(2*Control!$C$138*($AH275+10)/365))</f>
        <v>-4.9561215521799554E-2</v>
      </c>
      <c r="HE275" s="165">
        <f t="shared" ca="1" si="1101"/>
        <v>0</v>
      </c>
      <c r="HF275" s="166">
        <f ca="1">IF(AND(Control!$C$61="T",$HE275&gt;=Control!$C$103,Control!$C$114=0),$AH275,Control!$C$59)</f>
        <v>1</v>
      </c>
      <c r="HG275" s="166">
        <f ca="1">IF(AND(Control!$C$61="T",$HE275&gt;=Control!$C$103,Control!$C$114=0),$HF275,Control!$C$59)</f>
        <v>1</v>
      </c>
      <c r="HH275" s="165">
        <f ca="1">IF(AND(OR(Control!$C$60&lt;=0, $AH275= Control!$C$59, Control!$C$60 &gt;0, $AH275 = Control!$C$60)), Control!$C$59, IF(Control!$C$60&gt;0, 0))</f>
        <v>1</v>
      </c>
      <c r="HI275" s="165">
        <f ca="1">IF(AND(OR(Control!$C$60&lt;=0, $AH275= Control!$C$59, Control!$C$60 &gt;0, $AH275 = Control!$C$60)), Control!$C$60, IF(Control!$C$60&lt;=0, 0))</f>
        <v>0</v>
      </c>
      <c r="HJ275" s="166">
        <f ca="1">IF(AND(Control!$C$62="F",$CV275&gt;=Control!$C$102),$AH275,0)</f>
        <v>0</v>
      </c>
      <c r="HK275" s="165" t="e">
        <f t="shared" ca="1" si="1138"/>
        <v>#N/A</v>
      </c>
      <c r="HL275" s="166">
        <f ca="1">IF(AND(Control!$C$61="T",$HE275&gt;=Control!$C$103,Control!$C$114=0),$HF275,0)</f>
        <v>0</v>
      </c>
      <c r="HM275" s="201" t="e">
        <f t="shared" ca="1" si="983"/>
        <v>#DIV/0!</v>
      </c>
      <c r="HN275" s="215">
        <f t="shared" ca="1" si="1102"/>
        <v>271</v>
      </c>
      <c r="HO275" s="216" t="e">
        <f ca="1">IF(AND($CP275&gt;=0, $CP275&lt;=90), Control!$C$152, Control!$C$152)</f>
        <v>#N/A</v>
      </c>
      <c r="HP275" s="216" t="e">
        <f t="shared" ca="1" si="984"/>
        <v>#N/A</v>
      </c>
      <c r="HQ275" s="217" t="e">
        <f ca="1">IF(OR(Control!$B$26=1,Control!$B$26=2),$KV275,$KS275)</f>
        <v>#DIV/0!</v>
      </c>
      <c r="HR275" s="218" t="e">
        <f t="shared" ca="1" si="1139"/>
        <v>#DIV/0!</v>
      </c>
      <c r="HS275" s="216" t="e">
        <f ca="1">Control!$C$154*$HP275</f>
        <v>#N/A</v>
      </c>
      <c r="HT275" s="216" t="e">
        <f ca="1">Control!$C$155*$HP275</f>
        <v>#N/A</v>
      </c>
      <c r="HU275" s="217" t="e">
        <f ca="1">Control!$C$161*$FI275</f>
        <v>#N/A</v>
      </c>
      <c r="HV275" s="218" t="e">
        <f t="shared" ca="1" si="1103"/>
        <v>#N/A</v>
      </c>
      <c r="HW275" s="218" t="e">
        <f ca="1">Control!$C$160*$FF275+$IP275*$EO275</f>
        <v>#N/A</v>
      </c>
      <c r="HX275" s="218" t="e">
        <f t="shared" ca="1" si="1140"/>
        <v>#N/A</v>
      </c>
      <c r="HY275" s="219" t="e">
        <f ca="1">IF(Control!$C$114=1, $EB275*$FS275, 0)</f>
        <v>#N/A</v>
      </c>
      <c r="HZ275" s="91" t="e">
        <f t="shared" ca="1" si="985"/>
        <v>#N/A</v>
      </c>
      <c r="IA275" s="220" t="e">
        <f ca="1">Control!$C$153*$HO275</f>
        <v>#N/A</v>
      </c>
      <c r="IB275" s="218" t="e">
        <f t="shared" ca="1" si="986"/>
        <v>#N/A</v>
      </c>
      <c r="IC275" s="220" t="e">
        <f ca="1">Control!$C$153*$HT275</f>
        <v>#N/A</v>
      </c>
      <c r="ID275" s="218" t="e">
        <f t="shared" ca="1" si="987"/>
        <v>#N/A</v>
      </c>
      <c r="IE275" s="221" t="e">
        <f ca="1">($EB275*Control!$C$159+$EF275*Control!$C$160)/(IF($GZ275&lt;&gt;0,$GZ275,1))</f>
        <v>#N/A</v>
      </c>
      <c r="IF275" s="216" t="e">
        <f t="shared" ca="1" si="988"/>
        <v>#N/A</v>
      </c>
      <c r="IG275" s="91">
        <f ca="1">IF(OR(Control!$B$198=$AH275,Control!$B$199=$AH275, Control!$B$200=$AH275, Control!$B$201=$AH275, Control!$B$202=$AH275, Control!$B$203=$AH275, Control!$B$204=$AH275, Control!$B$205=$AH275, Control!$B$206=$AH275, Control!$B$207=$AH275), 1, 0)</f>
        <v>0</v>
      </c>
      <c r="IH275" s="91">
        <f ca="1">IF($IG275=0,0, VLOOKUP($AH275,Control!$B$198:$C$207,2))</f>
        <v>0</v>
      </c>
      <c r="II275" s="222">
        <f t="shared" ca="1" si="1104"/>
        <v>0</v>
      </c>
      <c r="IJ275" s="91">
        <f>Control!$C$121</f>
        <v>0.7</v>
      </c>
      <c r="IK275" s="218">
        <f t="shared" ca="1" si="989"/>
        <v>0</v>
      </c>
      <c r="IL275" s="217" t="e">
        <f t="shared" ca="1" si="1141"/>
        <v>#N/A</v>
      </c>
      <c r="IM275" s="223" t="e">
        <f ca="1">IF(AND(Control!$C$114=1,$KH275&lt;1),$EB275*Control!$C$148*(1-$KH275), 0)</f>
        <v>#N/A</v>
      </c>
      <c r="IN275" s="217" t="e">
        <f t="shared" ca="1" si="990"/>
        <v>#DIV/0!</v>
      </c>
      <c r="IO275" s="91" t="e">
        <f ca="1">MAX(0,$IL275-$EF275*Control!$C$160)</f>
        <v>#N/A</v>
      </c>
      <c r="IP275" s="220" t="e">
        <f t="shared" ca="1" si="991"/>
        <v>#N/A</v>
      </c>
      <c r="IQ275" s="217" t="e">
        <f t="shared" ca="1" si="1105"/>
        <v>#N/A</v>
      </c>
      <c r="IR275" s="218" t="e">
        <f t="shared" ca="1" si="992"/>
        <v>#N/A</v>
      </c>
      <c r="IS275" s="217" t="e">
        <f ca="1">Control!$C$159*MAX(0,$FD275-$EN275)</f>
        <v>#N/A</v>
      </c>
      <c r="IT275" s="217" t="e">
        <f t="shared" ca="1" si="1142"/>
        <v>#N/A</v>
      </c>
      <c r="IU275" s="217" t="e">
        <f t="shared" ca="1" si="1106"/>
        <v>#N/A</v>
      </c>
      <c r="IV275" s="217" t="e">
        <f t="shared" ca="1" si="1143"/>
        <v>#N/A</v>
      </c>
      <c r="IW275" s="217" t="e">
        <f ca="1">IF(OR($AW275=1,AND($AW275=0, Control!$B$18=1,$EN275&lt;&gt;0)), $IQ275-$IU275, $IQ275)</f>
        <v>#N/A</v>
      </c>
      <c r="IX275" s="218" t="e">
        <f t="shared" ca="1" si="993"/>
        <v>#N/A</v>
      </c>
      <c r="IY275" s="218" t="e">
        <f ca="1">MAX(0,$IQ275-$EB275*Control!$C$159)</f>
        <v>#N/A</v>
      </c>
      <c r="IZ275" s="218" t="e">
        <f t="shared" ca="1" si="994"/>
        <v>#N/A</v>
      </c>
      <c r="JA275" s="216" t="e">
        <f t="shared" ca="1" si="995"/>
        <v>#N/A</v>
      </c>
      <c r="JB275" s="217" t="e">
        <f t="shared" ca="1" si="996"/>
        <v>#N/A</v>
      </c>
      <c r="JC275" s="222" t="e">
        <f ca="1">MAX(Control!$C$157*$EK275-$JT275, 0)/Control!$C$162</f>
        <v>#N/A</v>
      </c>
      <c r="JD275" s="218" t="e">
        <f t="shared" ca="1" si="997"/>
        <v>#N/A</v>
      </c>
      <c r="JE275" s="218" t="e">
        <f t="shared" ca="1" si="998"/>
        <v>#N/A</v>
      </c>
      <c r="JF275" s="218" t="e">
        <f t="shared" ca="1" si="1107"/>
        <v>#N/A</v>
      </c>
      <c r="JG275" s="218" t="e">
        <f t="shared" ca="1" si="999"/>
        <v>#N/A</v>
      </c>
      <c r="JH275" s="217" t="e">
        <f t="shared" ca="1" si="1108"/>
        <v>#N/A</v>
      </c>
      <c r="JI275" s="217" t="e">
        <f t="shared" ca="1" si="1109"/>
        <v>#N/A</v>
      </c>
      <c r="JJ275" s="217" t="e">
        <f t="shared" ca="1" si="1144"/>
        <v>#N/A</v>
      </c>
      <c r="JK275" s="217" t="e">
        <f ca="1">IF(Control!$C$114=1,IF(Control!$B$24=0,MAX(0,$JI275)*$GN275/Control!$C$64,(MAX(0,MIN($JI275,$JJ275*$GN275/Control!$C$64),0))))</f>
        <v>#N/A</v>
      </c>
      <c r="JL275" s="217" t="e">
        <f ca="1">$IK275/Control!$C$64-$JK275+$HQ275</f>
        <v>#N/A</v>
      </c>
      <c r="JM275" s="217" t="e">
        <f ca="1">IF(Control!$C$114=1,($JB275/(IF($JI275&lt;&gt;0,$JI275,1)))*$JK275,0)</f>
        <v>#N/A</v>
      </c>
      <c r="JN275" s="217" t="e">
        <f ca="1">IF(Control!$C$114=1,($JG275/(IF($JI275&lt;&gt;0,$JI275,1)))*$JK275, 0)</f>
        <v>#N/A</v>
      </c>
      <c r="JO275" s="218" t="e">
        <f t="shared" ca="1" si="1000"/>
        <v>#N/A</v>
      </c>
      <c r="JP275" s="218" t="e">
        <f ca="1">MIN(($IY275+$IO275)*Control!$C$151, $JF275-$EH275*Control!$C$161)</f>
        <v>#N/A</v>
      </c>
      <c r="JQ275" s="218" t="e">
        <f t="shared" ca="1" si="1001"/>
        <v>#N/A</v>
      </c>
      <c r="JR275" s="217" t="e">
        <f ca="1">IF($CP275-Control!$C$150&lt;0, 0, $JQ275/Control!$C$162)</f>
        <v>#N/A</v>
      </c>
      <c r="JS275" s="218" t="e">
        <f t="shared" ca="1" si="1002"/>
        <v>#N/A</v>
      </c>
      <c r="JT275" s="218" t="e">
        <f t="shared" ca="1" si="1110"/>
        <v>#N/A</v>
      </c>
      <c r="JU275" s="218" t="e">
        <f t="shared" ca="1" si="1003"/>
        <v>#N/A</v>
      </c>
      <c r="JV275" s="218" t="e">
        <f t="shared" ca="1" si="1004"/>
        <v>#N/A</v>
      </c>
      <c r="JW275" s="216" t="e">
        <f t="shared" ca="1" si="1005"/>
        <v>#N/A</v>
      </c>
      <c r="JX275" s="91" t="e">
        <f t="shared" ca="1" si="1006"/>
        <v>#N/A</v>
      </c>
      <c r="JY275" s="218" t="e">
        <f t="shared" ca="1" si="1007"/>
        <v>#N/A</v>
      </c>
      <c r="JZ275" s="217" t="e">
        <f ca="1">IF(Control!$C$114=1,($IZ275/(IF($JI275&lt;&gt;0,$JI275,1)))*$JK275, 0)</f>
        <v>#N/A</v>
      </c>
      <c r="KA275" s="218" t="e">
        <f t="shared" ca="1" si="1145"/>
        <v>#N/A</v>
      </c>
      <c r="KB275" s="218" t="e">
        <f t="shared" ca="1" si="1111"/>
        <v>#N/A</v>
      </c>
      <c r="KC275" s="218" t="e">
        <f t="shared" ca="1" si="1008"/>
        <v>#N/A</v>
      </c>
      <c r="KD275" s="218" t="e">
        <f t="shared" ca="1" si="1009"/>
        <v>#N/A</v>
      </c>
      <c r="KE275" s="218" t="e">
        <f t="shared" ca="1" si="1010"/>
        <v>#N/A</v>
      </c>
      <c r="KF275" s="218" t="e">
        <f t="shared" ca="1" si="1011"/>
        <v>#N/A</v>
      </c>
      <c r="KG275" s="216" t="e">
        <f t="shared" ca="1" si="1012"/>
        <v>#N/A</v>
      </c>
      <c r="KH275" s="221" t="e">
        <f ca="1">IF(Control!$B$24=0,1,MAX(0.001,MIN(1,IF(($IF275-$IE275)&lt;&gt;0,($KG275-$IE275)/($IF275-$IE275),1))))</f>
        <v>#N/A</v>
      </c>
      <c r="KI275" s="222" t="e">
        <f ca="1">IF(Control!$C$114=1, $KI274+ $KH274, 0)</f>
        <v>#N/A</v>
      </c>
      <c r="KJ275" s="217" t="e">
        <f t="shared" ca="1" si="1013"/>
        <v>#N/A</v>
      </c>
      <c r="KK275" s="218" t="e">
        <f t="shared" ca="1" si="1014"/>
        <v>#N/A</v>
      </c>
      <c r="KL275" s="274" t="e">
        <f ca="1">IF(Control!$B$26=3,4000000000*EXP(-8400/($G275+273)),IF(Control!$B$26=4,4000000000*EXP(-8400/($G275+273))*($KT275),0))</f>
        <v>#DIV/0!</v>
      </c>
      <c r="KM275" s="274" t="e">
        <f ca="1">IF(Control!$B$26=3,5600000000000*EXP(-9800/($G275+273)),IF(Control!$B$26=4,5600000000000*EXP(-9800/($G275+273))*$KT275,0))</f>
        <v>#DIV/0!</v>
      </c>
      <c r="KN275" s="454" t="e">
        <f t="shared" ca="1" si="1112"/>
        <v>#DIV/0!</v>
      </c>
      <c r="KO275" s="274" t="e">
        <f t="shared" ca="1" si="1113"/>
        <v>#DIV/0!</v>
      </c>
      <c r="KP275" s="454" t="e">
        <f t="shared" ca="1" si="1015"/>
        <v>#DIV/0!</v>
      </c>
      <c r="KQ275" s="454" t="e">
        <f t="shared" ca="1" si="1016"/>
        <v>#DIV/0!</v>
      </c>
      <c r="KR275" s="454" t="e">
        <f t="shared" ca="1" si="1017"/>
        <v>#DIV/0!</v>
      </c>
      <c r="KS275" s="454" t="e">
        <f t="shared" ca="1" si="1018"/>
        <v>#DIV/0!</v>
      </c>
      <c r="KT275" s="455" t="e">
        <f t="shared" ca="1" si="1019"/>
        <v>#DIV/0!</v>
      </c>
      <c r="KU275" s="456" t="e">
        <f ca="1">IF($CP275-Control!$C$149&lt;0, IF($NT275-0.01&lt;0,0,1),0)</f>
        <v>#N/A</v>
      </c>
      <c r="KV275" s="456" t="e">
        <f ca="1">IF(Control!$C$114=1,MAX(0,MIN(Control!$C$125*$KW275*$GN275,$KW275)))</f>
        <v>#DIV/0!</v>
      </c>
      <c r="KW275" s="456" t="e">
        <f t="shared" ca="1" si="1146"/>
        <v>#DIV/0!</v>
      </c>
      <c r="KX275" s="457" t="e">
        <f ca="1">IF($CP275-Control!$C$149&lt;0, IF($MR275-$OM275&lt;0,0,1),0)</f>
        <v>#N/A</v>
      </c>
      <c r="KY275" s="167">
        <f t="shared" ca="1" si="1114"/>
        <v>271</v>
      </c>
      <c r="KZ275" s="168">
        <f ca="1">1370*(1+0.033*COS(2*Control!$C$138*$AH275/365))</f>
        <v>1367.8610926736462</v>
      </c>
      <c r="LA275" s="169">
        <f t="shared" ca="1" si="1115"/>
        <v>0.99843839418535973</v>
      </c>
      <c r="LB275" s="169">
        <f t="shared" ca="1" si="1116"/>
        <v>-5.4422132128002149E-2</v>
      </c>
      <c r="LC275" s="169">
        <f ca="1">ACOS(-TAN((2*Control!$B$8/360))*TAN(Calculations!$LB275))</f>
        <v>1.554605204050955</v>
      </c>
      <c r="LD275" s="169">
        <f ca="1">((24*60)/PI())*0.082*$LA275*(($LC275*SIN(Control!$B$8*2*PI()/360))*SIN($LB275)+COS(Control!$B$8*2*PI()/360)*COS($LB275)*SIN($LC275))</f>
        <v>20.566208091099892</v>
      </c>
      <c r="LE275" s="170">
        <f t="shared" ca="1" si="1020"/>
        <v>20.871649713429949</v>
      </c>
      <c r="LF275" s="170">
        <f ca="1">SIN(Control!$C$139*Control!$B$8)*SIN($HD275)</f>
        <v>-3.90388490234784E-2</v>
      </c>
      <c r="LG275" s="170">
        <f ca="1">COS(Control!$C$139*Control!$B$8)*COS($HD275)</f>
        <v>0.61490383077062805</v>
      </c>
      <c r="LH275" s="170">
        <f ca="1">12*(1+2*ASIN(MAX(-1,MIN(1,$LF275/$LG275))/Control!$C$138))</f>
        <v>11.514957577127024</v>
      </c>
      <c r="LI275" s="170">
        <f ca="1">12*(1+2*ASIN(MAX(-1,MIN(1,(-SIN(-4*Control!$C$139)+$LF275)/$LG275))/Control!$C$138))</f>
        <v>12.381646594282731</v>
      </c>
      <c r="LJ275" s="168">
        <f ca="1">3600*($LH275*$LF275+24*$LG275*SQRT(1-$LK275*$LK275)/Control!$C$138)</f>
        <v>15258.603249423406</v>
      </c>
      <c r="LK275" s="170">
        <f t="shared" ca="1" si="1021"/>
        <v>-6.3487731040076587E-2</v>
      </c>
      <c r="LL275" s="170">
        <f t="shared" ca="1" si="1022"/>
        <v>0</v>
      </c>
      <c r="LM275" s="171">
        <f ca="1">Control!$C$145*$AB275</f>
        <v>6.6660906138995932E-2</v>
      </c>
      <c r="LN275" s="170">
        <f t="shared" ca="1" si="1117"/>
        <v>0.54</v>
      </c>
      <c r="LO275" s="170">
        <f t="shared" ca="1" si="1023"/>
        <v>0</v>
      </c>
      <c r="LP275" s="170">
        <f ca="1">Control!$C$140*((($D275+273.16)^4+($E275+273.16)^4)/2)*(0.34-0.14*SQRT($Y275))*(1.35*$AQ275/(0.75*$LD275)-0.35)</f>
        <v>-3.2464704755046001</v>
      </c>
      <c r="LQ275" s="170">
        <f ca="1">Control!$C$140*($G275+273)^4*(0.56-0.079*SQRT($Y275*10))*(0.1+0.9*$LO275)</f>
        <v>1.5241745131704001</v>
      </c>
      <c r="LR275" s="170">
        <f ca="1">$AQ275*(1-Control!$C$142)-$LQ275</f>
        <v>-1.5241745131704001</v>
      </c>
      <c r="LS275" s="170">
        <f ca="1">$AQ275*(1-Control!$C$143)-$LQ275</f>
        <v>-1.5241745131704001</v>
      </c>
      <c r="LT275" s="170">
        <f ca="1">$AQ275*(1-Control!$C$144)-$LQ275</f>
        <v>-1.5241745131704001</v>
      </c>
      <c r="LU275" s="169">
        <f ca="1">(1-Control!$C$144)*AQ275-LP275</f>
        <v>3.2464704755046001</v>
      </c>
      <c r="LV275" s="172">
        <f t="shared" ca="1" si="1024"/>
        <v>0.79430000000000012</v>
      </c>
      <c r="LW275" s="170">
        <f t="shared" ca="1" si="1025"/>
        <v>1.5886000000000002</v>
      </c>
      <c r="LX275" s="170">
        <f ca="1">($AC275*($LR275/Control!$C$141)+$LM275*$LV275)/($AC275+$LM275)</f>
        <v>0.23530094218323697</v>
      </c>
      <c r="LY275" s="170">
        <f ca="1">($AC275*($LS275/Control!$C$141)+$LM275*$LV275)/($AC275+$LM275)</f>
        <v>0.23530094218323697</v>
      </c>
      <c r="LZ275" s="170">
        <f t="shared" ca="1" si="1026"/>
        <v>0.23530094218323697</v>
      </c>
      <c r="MA275" s="170">
        <f t="shared" ca="1" si="1027"/>
        <v>0.23530094218323697</v>
      </c>
      <c r="MB275" s="170" t="e">
        <f t="shared" ca="1" si="1028"/>
        <v>#N/A</v>
      </c>
      <c r="MC275" s="170">
        <f t="shared" ca="1" si="1118"/>
        <v>0.6018</v>
      </c>
      <c r="MD275" s="170">
        <f t="shared" ca="1" si="1029"/>
        <v>0.52989392535414004</v>
      </c>
      <c r="ME275" s="170">
        <f ca="1">($AC275*($LT275/Control!$C$141)+$LM275*$LW275)/($AC275+$LM275)</f>
        <v>0.71612369323045078</v>
      </c>
      <c r="MF275" s="170" t="e">
        <f ca="1">IF(Control!$B$16&gt;=1000,0.92,IF(AND(720&lt;=Control!$B$16,1000&gt;Control!$B$16),(0.95+(Control!$B$16-720)*((0.92-0.95)/(1000-720))),IF(AND(360&lt;=Control!$B$16,720&gt;Control!$B$16),(1+(Control!$B$16-360)*((0.95-1)/(720-360))),IF(AND(40&lt;=Control!$B$16,360&gt;Control!$B$16),(1.05+(Control!$B$16-40)*((1.05-1)/(360-40)))))))</f>
        <v>#N/A</v>
      </c>
      <c r="MG275" s="170">
        <f t="shared" ca="1" si="1030"/>
        <v>0.71612369323045078</v>
      </c>
      <c r="MH275" s="170" t="e">
        <f t="shared" ca="1" si="1155"/>
        <v>#N/A</v>
      </c>
      <c r="MI275" s="170" t="e">
        <f t="shared" ca="1" si="1155"/>
        <v>#N/A</v>
      </c>
      <c r="MJ275" s="170" t="e">
        <f ca="1">MAX(0.0001, Control!$C$132*$MI275*$DL275)</f>
        <v>#N/A</v>
      </c>
      <c r="MK275" s="170">
        <f ca="1">1/(0.76+1.5*($MG275/10))-(5-Control!$C$110)*0.1</f>
        <v>1.002845988140797</v>
      </c>
      <c r="ML275" s="173">
        <f ca="1">IF(Control!$C$110&lt;3,$MK275+($MG275-0.6)/(Control!$C$110*(Control!$C$110+3)), MAX(0.1, MIN(0.95,$MK275)))</f>
        <v>0.95</v>
      </c>
      <c r="MM275" s="173">
        <f ca="1">IF(Control!$C$110&lt;3,$MK275+(($MI275/10)-0.6)/(Control!$C$110*(Control!$C$110+3)), MAX(0.1, MIN(0.95,$MK275)))</f>
        <v>0.95</v>
      </c>
      <c r="MN275" s="173">
        <f ca="1">(1-$MM275)*(Control!$C$128-Control!$C$127)+Control!$C$127</f>
        <v>0.16</v>
      </c>
      <c r="MO275" s="170" t="e">
        <f ca="1">MAX(0,MIN(1,($MS275-Control!$C$127)/($MN275-Control!$C$127)))</f>
        <v>#DIV/0!</v>
      </c>
      <c r="MP275" s="173" t="e">
        <f ca="1">1/(0.76+1.5*$MI275)-(5-Control!$C$110)*0.1</f>
        <v>#N/A</v>
      </c>
      <c r="MQ275" s="172" t="e">
        <f t="shared" ca="1" si="1147"/>
        <v>#DIV/0!</v>
      </c>
      <c r="MR275" s="168" t="e">
        <f t="shared" ca="1" si="1119"/>
        <v>#DIV/0!</v>
      </c>
      <c r="MS275" s="173" t="e">
        <f ca="1">MAX(Control!$C$127, MIN(Control!$C$135, $MR275/MAX(0.0001,$CY275)))</f>
        <v>#DIV/0!</v>
      </c>
      <c r="MT275" s="168" t="e">
        <f ca="1">(Control!$C$128-$MS275)*Control!$C$74</f>
        <v>#DIV/0!</v>
      </c>
      <c r="MU275" s="168" t="e">
        <f ca="1">(Control!$C$135-$MS275)*Control!$C$74</f>
        <v>#DIV/0!</v>
      </c>
      <c r="MV275" s="168" t="e">
        <f t="shared" ca="1" si="1120"/>
        <v>#DIV/0!</v>
      </c>
      <c r="MW275" s="168" t="e">
        <f t="shared" ca="1" si="1121"/>
        <v>#DIV/0!</v>
      </c>
      <c r="MX275" s="171" t="e">
        <f ca="1">MAX(Control!$C$127, MIN(Control!$C$135, $MW275/MAX(0.0001,Control!$C$119-$CY275)))</f>
        <v>#DIV/0!</v>
      </c>
      <c r="MY275" s="54" t="e">
        <f ca="1">IF(Control!$C$114=1, $CX275*$MX275, 0)</f>
        <v>#DIV/0!</v>
      </c>
      <c r="MZ275" s="54" t="e">
        <f t="shared" ca="1" si="1122"/>
        <v>#N/A</v>
      </c>
      <c r="NA275" s="168" t="e">
        <f ca="1">(Control!$C$128-$MX275)*(Control!$C$119-Control!$C$74)</f>
        <v>#DIV/0!</v>
      </c>
      <c r="NB275" s="168" t="e">
        <f ca="1">(Control!$C$135-$MX275)*(Control!$C$119-Control!$C$74)</f>
        <v>#DIV/0!</v>
      </c>
      <c r="NC275" s="174" t="e">
        <f t="shared" ca="1" si="1123"/>
        <v>#DIV/0!</v>
      </c>
      <c r="ND275" s="54">
        <f ca="1">IF(Control!$C$58=2, IF(OR(Control!$B$218=$AH275,Control!$B$219=$AH275, Control!$B$220=$AH275, Control!$B$221=$AH275, Control!$B$222=$AH275, Control!$B$223=$AH275, Control!$B$224=$AH275, Control!$B$225=$AH275, Control!$B$226=$AH275, Control!$B$227=$AH275, Control!$B$228=$AH275), 1, 0), 0)</f>
        <v>0</v>
      </c>
      <c r="NE275" s="54">
        <f ca="1">IF($ND275=0,0, VLOOKUP($AH275,Control!$B$218:$C$228,2))</f>
        <v>0</v>
      </c>
      <c r="NF275" s="168" t="e">
        <f ca="1">$CY275*(Control!$C$128-Control!$C$127)</f>
        <v>#N/A</v>
      </c>
      <c r="NG275" s="54" t="e">
        <f ca="1">IF(Control!$C$58=2, $NI274-$NJ274, 0)</f>
        <v>#DIV/0!</v>
      </c>
      <c r="NH275" s="54" t="e">
        <f ca="1">IF(AND(Control!$C$58=1, $MS274&lt;= ($MN274+0.02), $I274&lt;10), 0, IF(Control!$C$58=2, $NG274, 0))</f>
        <v>#DIV/0!</v>
      </c>
      <c r="NI275" s="54" t="e">
        <f ca="1">IF(Control!$C$58=2, $NE275+$NH275,0)</f>
        <v>#DIV/0!</v>
      </c>
      <c r="NJ275" s="54" t="e">
        <f ca="1">IF(AND(Control!$C$58=1, $MS275&lt;= ($MN275+0.02), $I275&lt;10), MAX(0, MIN(10, 0.7*($NF275-$MV275))), IF(Control!$C$58=2, MIN(10,$NI275),0))</f>
        <v>#DIV/0!</v>
      </c>
      <c r="NK275" s="54" t="e">
        <f t="shared" ca="1" si="1031"/>
        <v>#DIV/0!</v>
      </c>
      <c r="NL275" s="173" t="e">
        <f ca="1">(1-Control!$C$73)*$I275+$NJ275</f>
        <v>#DIV/0!</v>
      </c>
      <c r="NM275" s="172" t="e">
        <f ca="1">IF($NL275&lt;0.5, $MB275* MAX(0, MIN(1, (SQRT($NC275)-SQRT($NC275-1))*Control!$C$71)),0)</f>
        <v>#DIV/0!</v>
      </c>
      <c r="NN275" s="170" t="e">
        <f ca="1">IF($NL275&gt;=5, $MB275, MAX(0,MIN($MB275, $NM275+$NL275,($MS275-Control!$C$129))))</f>
        <v>#DIV/0!</v>
      </c>
      <c r="NO275" s="54">
        <f>IF(Control!$C$133&lt;&gt;1, Control!$C$135-Control!$C$131, 0)</f>
        <v>0.38</v>
      </c>
      <c r="NP275" s="54" t="e">
        <f t="shared" ca="1" si="1032"/>
        <v>#DIV/0!</v>
      </c>
      <c r="NQ275" s="173" t="e">
        <f ca="1">MAX(0,MIN(1,(Control!$C$135-$MS275)/(Control!$C$135-$NO275)))</f>
        <v>#DIV/0!</v>
      </c>
      <c r="NR275" s="170" t="e">
        <f ca="1">IF(Control!$C$133&lt;&gt;1, $NQ275+((1-$NP275/4)*(1-$NQ275)),1)</f>
        <v>#DIV/0!</v>
      </c>
      <c r="NS275" s="170" t="e">
        <f ca="1">IF(Control!$B$31=0,$MJ275,MAX(0,MIN($MV275,$MO275*$NR275*$MJ275)))</f>
        <v>#DIV/0!</v>
      </c>
      <c r="NT275" s="170" t="e">
        <f t="shared" ca="1" si="1148"/>
        <v>#DIV/0!</v>
      </c>
      <c r="NU275" s="170" t="e">
        <f t="shared" ca="1" si="1124"/>
        <v>#N/A</v>
      </c>
      <c r="NV275" s="170" t="e">
        <f t="shared" ca="1" si="1033"/>
        <v>#N/A</v>
      </c>
      <c r="NW275" s="175" t="e">
        <f t="shared" ca="1" si="1034"/>
        <v>#DIV/0!</v>
      </c>
      <c r="NX275" s="170" t="e">
        <f ca="1">MIN(Control!$C$72+$MU275, $NW275)</f>
        <v>#DIV/0!</v>
      </c>
      <c r="NY275" s="170" t="e">
        <f ca="1">IF($MT275&lt;=$NX275,MIN(Control!$C$72+$NB275,$NX275-$MT275),0)</f>
        <v>#DIV/0!</v>
      </c>
      <c r="NZ275" s="54" t="e">
        <f ca="1">IF(Control!$C$114=1,  $CX275*($MX275-Control!$C$127), 0)</f>
        <v>#DIV/0!</v>
      </c>
      <c r="OA275" s="170" t="e">
        <f t="shared" ca="1" si="1035"/>
        <v>#DIV/0!</v>
      </c>
      <c r="OB275" s="170" t="e">
        <f ca="1">IF($NA275 &lt;=$NY275, MIN(Control!$C$72, $NY275-$NA275), 0)</f>
        <v>#DIV/0!</v>
      </c>
      <c r="OC275" s="168" t="e">
        <f t="shared" ca="1" si="1036"/>
        <v>#DIV/0!</v>
      </c>
      <c r="OD275" s="168" t="e">
        <f t="shared" ca="1" si="1125"/>
        <v>#DIV/0!</v>
      </c>
      <c r="OE275" s="170">
        <f ca="1">Control!$C$73*$I275</f>
        <v>0</v>
      </c>
      <c r="OF275" s="176" t="e">
        <f t="shared" ca="1" si="1037"/>
        <v>#DIV/0!</v>
      </c>
      <c r="OG275" s="168" t="e">
        <f t="shared" ca="1" si="1038"/>
        <v>#DIV/0!</v>
      </c>
      <c r="OH275" s="168" t="e">
        <f t="shared" ca="1" si="1039"/>
        <v>#DIV/0!</v>
      </c>
      <c r="OI275" s="168" t="e">
        <f t="shared" ca="1" si="1040"/>
        <v>#DIV/0!</v>
      </c>
      <c r="OJ275" s="168" t="e">
        <f t="shared" ca="1" si="1041"/>
        <v>#DIV/0!</v>
      </c>
      <c r="OK275" s="204" t="e">
        <f t="shared" ca="1" si="1042"/>
        <v>#DIV/0!</v>
      </c>
      <c r="OL275" s="177">
        <f>Control!$C$127</f>
        <v>0.15</v>
      </c>
      <c r="OM275" s="182" t="e">
        <f t="shared" ca="1" si="1043"/>
        <v>#N/A</v>
      </c>
      <c r="ON275" s="177">
        <f>Control!$C$128</f>
        <v>0.35</v>
      </c>
      <c r="OO275" s="182" t="e">
        <f t="shared" ca="1" si="1044"/>
        <v>#N/A</v>
      </c>
      <c r="OP275" s="138">
        <f t="shared" ca="1" si="1126"/>
        <v>0</v>
      </c>
      <c r="OQ275" s="138" t="e">
        <f t="shared" ca="1" si="1149"/>
        <v>#DIV/0!</v>
      </c>
      <c r="OR275" s="138" t="e">
        <f t="shared" ca="1" si="1127"/>
        <v>#DIV/0!</v>
      </c>
      <c r="OS275" s="137" t="e">
        <f t="shared" ca="1" si="1150"/>
        <v>#DIV/0!</v>
      </c>
      <c r="OT275" s="139" t="e">
        <f t="shared" ca="1" si="1151"/>
        <v>#DIV/0!</v>
      </c>
      <c r="OU275" s="138" t="e">
        <f t="shared" ca="1" si="1152"/>
        <v>#N/A</v>
      </c>
      <c r="OV275" s="138" t="e">
        <f t="shared" ca="1" si="1153"/>
        <v>#DIV/0!</v>
      </c>
      <c r="OW275" s="138" t="e">
        <f t="shared" ca="1" si="1128"/>
        <v>#DIV/0!</v>
      </c>
      <c r="OX275" s="138" t="e">
        <f t="shared" ca="1" si="1129"/>
        <v>#DIV/0!</v>
      </c>
      <c r="OY275" s="138" t="e">
        <f t="shared" ca="1" si="1130"/>
        <v>#DIV/0!</v>
      </c>
      <c r="OZ275" s="138" t="e">
        <f t="shared" ca="1" si="1045"/>
        <v>#DIV/0!</v>
      </c>
      <c r="PA275" s="138" t="e">
        <f t="shared" ca="1" si="1046"/>
        <v>#DIV/0!</v>
      </c>
      <c r="PB275" s="55">
        <f>IF(Control!$C$61="T", IF(Control!$C$65="F", IF($AH$6-Control!$C$60&lt;0,0,1), IF(365+$AH$6-Control!$C$60&lt;0,0,1)),0)</f>
        <v>0</v>
      </c>
      <c r="PC275" s="55">
        <f ca="1">IF(Control!$C$65="F", IF($AH$6-$HF275&lt;0,0,1), IF(365+$AH$6-$HF275&lt;0,0,1))</f>
        <v>1</v>
      </c>
      <c r="PD275" s="444">
        <f>Control!$C$118</f>
        <v>1500</v>
      </c>
      <c r="PE275" s="180" t="e">
        <f t="shared" ca="1" si="1047"/>
        <v>#N/A</v>
      </c>
      <c r="PF275" s="445">
        <f t="shared" ca="1" si="1131"/>
        <v>0.71612369323045078</v>
      </c>
      <c r="PT275" s="186"/>
      <c r="PU275" s="186"/>
      <c r="PV275" s="94"/>
      <c r="PW275" s="94"/>
      <c r="PX275" s="94"/>
      <c r="PY275" s="94"/>
      <c r="PZ275" s="94"/>
      <c r="QA275" s="94"/>
      <c r="QB275" s="94"/>
      <c r="QC275" s="94"/>
      <c r="QD275" s="94"/>
      <c r="QE275" s="94"/>
      <c r="QF275" s="94"/>
      <c r="QG275" s="94"/>
      <c r="QH275" s="94"/>
      <c r="QI275" s="94"/>
      <c r="QJ275" s="94"/>
      <c r="QK275" s="94"/>
      <c r="QL275" s="94"/>
      <c r="QM275" s="94"/>
      <c r="QN275" s="94"/>
      <c r="QO275" s="94"/>
      <c r="QP275" s="94"/>
    </row>
    <row r="276" spans="1:458" s="2" customFormat="1" x14ac:dyDescent="0.2">
      <c r="A276" s="395">
        <v>28</v>
      </c>
      <c r="B276" s="396">
        <v>9</v>
      </c>
      <c r="C276" s="387">
        <f ca="1">Weather_data!$B275</f>
        <v>0</v>
      </c>
      <c r="D276" s="388">
        <f ca="1">Weather_data!$F275</f>
        <v>0</v>
      </c>
      <c r="E276" s="388">
        <f ca="1">Weather_data!$E275</f>
        <v>0</v>
      </c>
      <c r="F276" s="388">
        <f t="shared" ca="1" si="1048"/>
        <v>0</v>
      </c>
      <c r="G276" s="388">
        <f ca="1">AVERAGE($D276:$E276)+Control!$B$9</f>
        <v>0</v>
      </c>
      <c r="H276" s="388">
        <f ca="1">Weather_data!$G275</f>
        <v>0</v>
      </c>
      <c r="I276" s="388">
        <f ca="1">Weather_data!$I275</f>
        <v>0</v>
      </c>
      <c r="J276" s="388">
        <f ca="1">Weather_data!$H275</f>
        <v>0</v>
      </c>
      <c r="K276" s="389">
        <f ca="1">Weather_data!$D275</f>
        <v>0</v>
      </c>
      <c r="L276" s="388" t="e">
        <f t="shared" ca="1" si="1049"/>
        <v>#N/A</v>
      </c>
      <c r="M276" s="388" t="e">
        <f t="shared" ca="1" si="927"/>
        <v>#N/A</v>
      </c>
      <c r="N276" s="388">
        <f t="shared" ca="1" si="928"/>
        <v>-2.2102813182393935E-13</v>
      </c>
      <c r="O276" s="388">
        <f t="shared" ca="1" si="1050"/>
        <v>2.2102813182393936E-12</v>
      </c>
      <c r="P276" s="390">
        <v>3</v>
      </c>
      <c r="Q276" s="388">
        <f ca="1">MAX($G276-Control!$C$107,0)</f>
        <v>0</v>
      </c>
      <c r="R276" s="388">
        <f t="shared" ca="1" si="1051"/>
        <v>0</v>
      </c>
      <c r="S276" s="388">
        <f t="shared" ca="1" si="929"/>
        <v>0</v>
      </c>
      <c r="T276" s="388">
        <f t="shared" ca="1" si="930"/>
        <v>0</v>
      </c>
      <c r="U276" s="59">
        <f t="shared" ca="1" si="931"/>
        <v>0</v>
      </c>
      <c r="V276" s="391">
        <f ca="1">MAX(0,MIN(Control!$C$100-Control!$C$99,$G276-Control!$C$99)*Control!$C$63)</f>
        <v>0</v>
      </c>
      <c r="W276" s="388">
        <f t="shared" ca="1" si="1052"/>
        <v>0</v>
      </c>
      <c r="X276" s="388">
        <f t="shared" ca="1" si="1053"/>
        <v>0.6110000000000001</v>
      </c>
      <c r="Y276" s="388">
        <f t="shared" ca="1" si="932"/>
        <v>0</v>
      </c>
      <c r="Z276" s="388">
        <f t="shared" ca="1" si="1054"/>
        <v>0.61058800000000002</v>
      </c>
      <c r="AA276" s="388">
        <f t="shared" ca="1" si="933"/>
        <v>0.6018</v>
      </c>
      <c r="AB276" s="388">
        <f ca="1">101.3*EXP(-0.034*Control!$C$66/($G276+273))</f>
        <v>100.69623283836242</v>
      </c>
      <c r="AC276" s="392">
        <f t="shared" ca="1" si="934"/>
        <v>4.3460251046025113E-2</v>
      </c>
      <c r="AD276" s="392">
        <f t="shared" ca="1" si="935"/>
        <v>4.4450382862832649E-2</v>
      </c>
      <c r="AE276" s="388">
        <f t="shared" ca="1" si="936"/>
        <v>0</v>
      </c>
      <c r="AF276" s="388">
        <f ca="1">MAX(0,$G276-Control!$C$92)</f>
        <v>0</v>
      </c>
      <c r="AG276" s="393">
        <f t="shared" ca="1" si="937"/>
        <v>272</v>
      </c>
      <c r="AH276" s="389">
        <f t="shared" ca="1" si="938"/>
        <v>272</v>
      </c>
      <c r="AI276" s="388">
        <f t="shared" ca="1" si="1055"/>
        <v>-5.6360195981347366E-2</v>
      </c>
      <c r="AJ276" s="388">
        <f ca="1">IF(Control!$C$60&lt;=0,$HH276,$HI276)</f>
        <v>1</v>
      </c>
      <c r="AK276" s="388">
        <f t="shared" ca="1" si="939"/>
        <v>3.3051276136396726</v>
      </c>
      <c r="AL276" s="388">
        <f t="shared" ca="1" si="940"/>
        <v>6.1309846088875021E-18</v>
      </c>
      <c r="AM276" s="388">
        <f t="shared" ca="1" si="941"/>
        <v>3.3051276136396726</v>
      </c>
      <c r="AN276" s="388">
        <f t="shared" ca="1" si="942"/>
        <v>-6.4809990830489272E-2</v>
      </c>
      <c r="AO276" s="388">
        <f ca="1">-0.10453/COS(Control!$B$8*PI()/180)*COS(AN276)</f>
        <v>-0.16942841237828449</v>
      </c>
      <c r="AP276" s="388">
        <f ca="1">ACOS(AO276-TAN(Control!$B$8*PI()/180)*TAN(AN276))</f>
        <v>1.6572630993633892</v>
      </c>
      <c r="AQ276" s="388">
        <f t="shared" ca="1" si="1056"/>
        <v>0</v>
      </c>
      <c r="AR276" s="394">
        <f t="shared" ca="1" si="943"/>
        <v>0</v>
      </c>
      <c r="AS276" s="436">
        <f ca="1">IF(Control!$B$18=2,(IF(OR($AH276=Control!$B$175,$AH276=Control!$B$176,$AH276=Control!$B$177,$AH276=Control!$B$178,$AH276=Control!$B$179,$AH276=Control!$B$180,$AH276=Control!$B$181,$AH276=Control!$B$182,$AH276=Control!$B$183,$AH276=Control!$B$184,$AH276=Control!$B$185),1,0)),0)</f>
        <v>0</v>
      </c>
      <c r="AT276" s="436">
        <f>IF(Control!$B$20=8,IF(AND($AH276&gt;=Control!$B$172,$AH276&lt;=Control!$B$173),1,0),0)</f>
        <v>0</v>
      </c>
      <c r="AU276" s="436">
        <f>IF(Control!$B$20=8,IF($AV275=1,1*$AT276,IF($AT276=1,$AU275+1,$AU275)),0)</f>
        <v>0</v>
      </c>
      <c r="AV276" s="436">
        <f>IF(Control!$B$20=8,IF($AU276&gt;=Control!$B$174,1,0),0)</f>
        <v>0</v>
      </c>
      <c r="AW276" s="436">
        <f ca="1">IF(AND(Control!$B$18=2,Control!$B$171=1), $AV276, $AS276)</f>
        <v>0</v>
      </c>
      <c r="AX276" s="436" t="e">
        <f ca="1">IF(AND(Control!$B$18=1,$EU276&gt;=Control!$B$19),-$AY276,IF(AND(Control!$B$18=2,$AW276=1,$EU276&gt;$DS276),-$AY276, IF(Control!$C$108=0,0, IF(Control!$C$108&lt;&gt;0,1))))</f>
        <v>#N/A</v>
      </c>
      <c r="AY276" s="436" t="e">
        <f t="shared" ca="1" si="1057"/>
        <v>#N/A</v>
      </c>
      <c r="AZ276" s="436" t="e">
        <f ca="1">IF(AND(Control!$B$18=1,$EB276&gt;Control!$B$19),$AZ275+1, IF(AND(Control!$B$18=2, $AW276=1, $EB276&gt;$DS276), $AZ275+1,$AZ275))</f>
        <v>#N/A</v>
      </c>
      <c r="BA276" s="587">
        <f>IF(Control!$C$81=0,1,IF($AH276&gt;=Control!$C$82,1,0))</f>
        <v>1</v>
      </c>
      <c r="BB276" s="140" t="e">
        <f ca="1">IF($BA276&gt;$BA275,Control!$C$83,IF($AW276&gt;0,$AW276*Control!$C$84,IF(AND(Control!$B$18=1,EN275&lt;&gt;0),Control!$C$84,0)))</f>
        <v>#N/A</v>
      </c>
      <c r="BC276" s="140" t="e">
        <f t="shared" ca="1" si="1058"/>
        <v>#N/A</v>
      </c>
      <c r="BD276" s="140" t="e">
        <f ca="1">BC276*IF(OR($G276&lt;Control!$C$92,$G276&gt;Control!$C$95),0,IF(AND($G276&gt;=Control!$C$92,$G276&lt;=Control!$C$93),$G276-Control!$C$92,IF(AND($G276&gt;Control!$C$93,$G276&lt;=Control!$C$94),Control!$C$93-Control!$C$92,IF(AND($G276&gt;Control!$C$94,$G276&lt;=Control!$C$95),(Control!$C$93-Control!$C$92)*(Control!$C$94-$G276)/(Control!$C$95-Control!$C$94)))))</f>
        <v>#N/A</v>
      </c>
      <c r="BE276" s="140" t="e">
        <f t="shared" ca="1" si="1059"/>
        <v>#N/A</v>
      </c>
      <c r="BF276" s="140" t="e">
        <f ca="1">IF($BE276&lt;=Control!$C$86,$BE276,Control!$C$86-$BE276)</f>
        <v>#N/A</v>
      </c>
      <c r="BG276" s="140" t="e">
        <f ca="1">IF(AND($AW276=1,Control!$C$84&lt;9),1,IF($BE276&gt;=Control!$C$86,0,$BC276))</f>
        <v>#N/A</v>
      </c>
      <c r="BH276" s="404" t="e">
        <f ca="1">IF($BG276=0,0,IF($BE276&lt;=Control!$C$86,$BC276*9*($BF276/Control!$C$86),0))</f>
        <v>#N/A</v>
      </c>
      <c r="BI276" s="140" t="e">
        <f ca="1">IF($BG276=1,0,IF($BE276&gt;=Control!$C$86,1,IF(AND($BB276&lt;21,$BB276&gt;=9),1,$BM275)))</f>
        <v>#N/A</v>
      </c>
      <c r="BJ276" s="140" t="e">
        <f ca="1">IF($BF276&lt;0,-$BF276,$BI276*IF(OR($G276&lt;Control!$C$92,$G276&gt;Control!$C$95),0,IF(AND($G276&gt;=Control!$C$92,$G276&lt;=Control!$C$93),$G276-Control!$C$92,IF(AND($G276&gt;Control!$C$93,$G276&lt;=Control!$C$94),Control!$C$93-Control!$C$92,IF(AND($G276&gt;Control!$C$94,$G276&lt;=Control!$C$95),(Control!$C$93-Control!$C$92)*(Control!$C$94-$G276)/(Control!$C$95-Control!$C$94))))))</f>
        <v>#N/A</v>
      </c>
      <c r="BK276" s="140" t="e">
        <f t="shared" ca="1" si="1060"/>
        <v>#N/A</v>
      </c>
      <c r="BL276" s="140" t="e">
        <f ca="1">IF($BK276&lt;=Control!$C$87,$BK276,Control!$C$87-$BK276)</f>
        <v>#N/A</v>
      </c>
      <c r="BM276" s="140" t="e">
        <f ca="1">IF(AND($BB276&gt;=9,$BB276&lt;21),1,IF($BK276&gt;=Control!$C$87,0,$BI276))</f>
        <v>#N/A</v>
      </c>
      <c r="BN276" s="404" t="e">
        <f ca="1">IF($BM276=0,0,IF($BK276&lt;=Control!$C$87,$BI276*(9+(21-9)*($BL276/Control!$C$87)),0))</f>
        <v>#N/A</v>
      </c>
      <c r="BO276" s="140" t="e">
        <f ca="1">IF($BM276=1,0,IF($BK276&gt;=Control!$C$87,1,IF(AND($BB276&lt;30,$BB276&gt;=21),1,$BS275)))</f>
        <v>#N/A</v>
      </c>
      <c r="BP276" s="140" t="e">
        <f ca="1">IF($BL276&lt;0,-$BL276,$BO276*IF(OR($G276&lt;Control!$C$92,$G276&gt;Control!$C$95),0,IF(AND($G276&gt;=Control!$C$92,$G276&lt;=Control!$C$93),$G276-Control!$C$92,IF(AND($G276&gt;Control!$C$93,$G276&lt;=Control!$C$94),Control!$C$93-Control!$C$92,IF(AND($G276&gt;Control!$C$94,$G276&lt;=Control!$C$95),(Control!$C$93-Control!$C$92)*(Control!$C$94-$G276)/(Control!$C$95-Control!$C$94))))))</f>
        <v>#N/A</v>
      </c>
      <c r="BQ276" s="140" t="e">
        <f t="shared" ca="1" si="944"/>
        <v>#N/A</v>
      </c>
      <c r="BR276" s="140" t="e">
        <f ca="1">IF($BQ276&lt;=Control!$C$88,$BQ276,Control!$C$88-$BQ276)</f>
        <v>#N/A</v>
      </c>
      <c r="BS276" s="140" t="e">
        <f ca="1">IF(AND($BB276&gt;=21,$BB276&lt;30),1,IF($BQ276&gt;=Control!$C$88,0,$BO276))</f>
        <v>#N/A</v>
      </c>
      <c r="BT276" s="404" t="e">
        <f ca="1">IF($BS276=0,0,IF($BQ276&lt;=Control!$C$88,$BO276*(21+(30-21)*(BR276/Control!$C$88)),0))</f>
        <v>#N/A</v>
      </c>
      <c r="BU276" s="140" t="e">
        <f ca="1">IF(BG276+BM276+BS276=1,0,IF(OR(AND($BB276&lt;60,$BB276&gt;=30),$BQ276&gt;=Control!$C$88),1*$BA276,$BY275))</f>
        <v>#N/A</v>
      </c>
      <c r="BV276" s="140" t="e">
        <f ca="1">IF($BR276&lt;0,-$BR276,$BU276*IF(OR($G276&lt;Control!$C$92,$G276&gt;Control!$C$95),0,IF(AND($G276&gt;=Control!$C$92,$G276&lt;=Control!$C$93),$G276-Control!$C$92,IF(AND($G276&gt;Control!$C$93,$G276&lt;=Control!$C$94),Control!$C$93-Control!$C$92,IF(AND($G276&gt;Control!$C$94,$G276&lt;=Control!$C$95),(Control!$C$93-Control!$C$92)*(Control!$C$94-$G276)/(Control!$C$95-Control!$C$94))))))</f>
        <v>#N/A</v>
      </c>
      <c r="BW276" s="140" t="e">
        <f t="shared" ca="1" si="945"/>
        <v>#N/A</v>
      </c>
      <c r="BX276" s="140" t="e">
        <f ca="1">IF($BW276&lt;=Control!$C$89,$BW276,Control!$C$89-$BW276)</f>
        <v>#N/A</v>
      </c>
      <c r="BY276" s="140" t="e">
        <f ca="1">IF(AND($AJ276&gt;=30,$AJ276&lt;60),1,IF($BW276&gt;=Control!$C$89,0,$BU276))</f>
        <v>#N/A</v>
      </c>
      <c r="BZ276" s="404" t="e">
        <f ca="1">IF($BY276=0,0,IF($BW276&lt;=Control!$C$89,$BU276*(30+(60-30)*(BX276/Control!$C$89)),0))</f>
        <v>#N/A</v>
      </c>
      <c r="CA276" s="140" t="e">
        <f ca="1">IF($BG276+$BM276+$BS276+$BY276=1,0,IF(OR(AND($BB276&lt;65,$BB276&gt;=60),$BW276&gt;=Control!$C$89),1*$BA276,$CE275))</f>
        <v>#N/A</v>
      </c>
      <c r="CB276" s="140" t="e">
        <f ca="1">IF($BX276&lt;0,-$BX276,$CA276*IF(OR($G276&lt;Control!$C$92,$G276&gt;Control!$C$95),0,IF(AND($G276&gt;=Control!$C$92,$G276&lt;=Control!$C$93),$G276-Control!$C$92,IF(AND($G276&gt;Control!$C$93,$G276&lt;=Control!$C$94),Control!$C$93-Control!$C$92,IF(AND($G276&gt;Control!$C$94,$G276&lt;=Control!$C$95),(Control!$C$93-Control!$C$92)*(Control!$C$94-$G276)/(Control!$C$95-Control!$C$94))))))</f>
        <v>#N/A</v>
      </c>
      <c r="CC276" s="140" t="e">
        <f t="shared" ca="1" si="1061"/>
        <v>#N/A</v>
      </c>
      <c r="CD276" s="140" t="e">
        <f ca="1">IF($CC276&lt;=Control!$C$90,$CC276,Control!$C$90-$CC276)</f>
        <v>#N/A</v>
      </c>
      <c r="CE276" s="140" t="e">
        <f ca="1">IF(AND($BB276&gt;=60,$BB276&lt;65),1,IF($CC276&gt;=Control!$C$90,0,$CA276))</f>
        <v>#N/A</v>
      </c>
      <c r="CF276" s="404" t="e">
        <f ca="1">IF($CE276=0,0,IF($CC276&lt;=Control!$C$90,$CA276*(60+(65-60)*(CD276/Control!$C$90)),0))</f>
        <v>#N/A</v>
      </c>
      <c r="CG276" s="140" t="e">
        <f ca="1">IF($BG276+$BM276+$BS276+$BY276+$CE276=1,0,IF(OR(AND($BB276&lt;90,$BB276&gt;=65),$CC276&gt;=Control!$C$90),$BA276,$CK275))</f>
        <v>#N/A</v>
      </c>
      <c r="CH276" s="140" t="e">
        <f ca="1">IF($CD276&lt;0,-$CD276,$CG276*IF(OR($G276&lt;Control!$C$92,$G276&gt;Control!$C$95),0,IF(AND($G276&gt;=Control!$C$92,$G276&lt;=Control!$C$93),$G276-Control!$C$92,IF(AND($G276&gt;Control!$C$93,$G276&lt;=Control!$C$94),Control!$C$93-Control!$C$92,IF(AND($G276&gt;Control!$C$94,$G276&lt;=Control!$C$95),(Control!$C$93-Control!$C$92)*(Control!$C$94-$G276)/(Control!$C$95-Control!$C$94))))))</f>
        <v>#N/A</v>
      </c>
      <c r="CI276" s="140" t="e">
        <f t="shared" ca="1" si="1062"/>
        <v>#N/A</v>
      </c>
      <c r="CJ276" s="140" t="e">
        <f ca="1">IF($CI276&lt;=Control!$C$91,$CI276,Control!$C$91-$CI276)</f>
        <v>#N/A</v>
      </c>
      <c r="CK276" s="140" t="e">
        <f ca="1">IF(AND($BB276&gt;=65,$BB276&lt;90),1,IF($CI276&gt;=Control!$C$91,0,$CG276))</f>
        <v>#N/A</v>
      </c>
      <c r="CL276" s="404" t="e">
        <f ca="1">IF($CK276=0,0,IF($CI276&lt;=Control!$C$91,$CG276*(65+(90-65)*($CJ276/Control!$C$91)),0))</f>
        <v>#N/A</v>
      </c>
      <c r="CM276" s="140" t="e">
        <f ca="1">IF($BG276+$BM276+$BS276+$BY276+$CE276+$CK276=1,0,IF(OR($BB276&gt;=90,$CI276&gt;=Control!$C$91),$BA276,$CM275))</f>
        <v>#N/A</v>
      </c>
      <c r="CN276" s="140" t="e">
        <f t="shared" ca="1" si="1063"/>
        <v>#N/A</v>
      </c>
      <c r="CO276" s="140" t="e">
        <f t="shared" ca="1" si="1064"/>
        <v>#N/A</v>
      </c>
      <c r="CP276" s="140" t="e">
        <f t="shared" ca="1" si="1065"/>
        <v>#N/A</v>
      </c>
      <c r="CQ276" s="141" t="e">
        <f ca="1">VLOOKUP($CP276,Control!$B$86:$G$91,6)</f>
        <v>#N/A</v>
      </c>
      <c r="CR276" s="141" t="e">
        <f ca="1">(1-$CQ276)*VLOOKUP($CP276,Control!$B$86:$D$91,3)</f>
        <v>#N/A</v>
      </c>
      <c r="CS276" s="141" t="e">
        <f ca="1">(1-$CQ276)*VLOOKUP($CP276,Control!$B$86:$E$91,4)</f>
        <v>#N/A</v>
      </c>
      <c r="CT276" s="141" t="e">
        <f ca="1">(1-$CQ276)*VLOOKUP($CP276,Control!$B$86:$F$91,5)</f>
        <v>#N/A</v>
      </c>
      <c r="CU276" s="141">
        <f t="shared" ca="1" si="1066"/>
        <v>0</v>
      </c>
      <c r="CV276" s="583">
        <f t="shared" ca="1" si="1067"/>
        <v>0</v>
      </c>
      <c r="CW276" s="142">
        <f t="shared" ca="1" si="1068"/>
        <v>272</v>
      </c>
      <c r="CX276" s="612" t="e">
        <f ca="1">IF(Control!$C$114=1,(MIN(Control!$C$120*(IF($NT276-0.01&lt;0,0,1)),Control!$C$119-$CY276)))</f>
        <v>#DIV/0!</v>
      </c>
      <c r="CY276" s="143" t="e">
        <f t="shared" ca="1" si="1069"/>
        <v>#N/A</v>
      </c>
      <c r="CZ276" s="144">
        <f t="shared" ca="1" si="946"/>
        <v>0</v>
      </c>
      <c r="DA276" s="144">
        <f t="shared" ca="1" si="947"/>
        <v>0</v>
      </c>
      <c r="DB276" s="144" t="e">
        <f t="shared" ca="1" si="948"/>
        <v>#N/A</v>
      </c>
      <c r="DC276" s="144" t="e">
        <f t="shared" ca="1" si="949"/>
        <v>#N/A</v>
      </c>
      <c r="DD276" s="144" t="e">
        <f t="shared" ca="1" si="1154"/>
        <v>#N/A</v>
      </c>
      <c r="DE276" s="143" t="e">
        <f t="shared" ca="1" si="1070"/>
        <v>#N/A</v>
      </c>
      <c r="DF276" s="145" t="e">
        <f ca="1">$DR276*EXP(-Control!$C$158*(1-$KH276))</f>
        <v>#N/A</v>
      </c>
      <c r="DG276" s="146" t="e">
        <f ca="1">IF(Control!$C$114=1, $DF276*$EY276, 0)</f>
        <v>#N/A</v>
      </c>
      <c r="DH276" s="147" t="e">
        <f t="shared" ca="1" si="1071"/>
        <v>#N/A</v>
      </c>
      <c r="DI276" s="144" t="e">
        <f t="shared" ca="1" si="1132"/>
        <v>#N/A</v>
      </c>
      <c r="DJ276" s="147" t="e">
        <f ca="1">$EF276*Control!$C$109</f>
        <v>#N/A</v>
      </c>
      <c r="DK276" s="144" t="e">
        <f t="shared" ca="1" si="1072"/>
        <v>#N/A</v>
      </c>
      <c r="DL276" s="144" t="e">
        <f t="shared" ca="1" si="950"/>
        <v>#N/A</v>
      </c>
      <c r="DM276" s="144" t="e">
        <f ca="1">IF(Control!$C$114=1, (1-EXP(-Control!$C$96*$DK276))*$AR276, 0)</f>
        <v>#N/A</v>
      </c>
      <c r="DN276" s="144">
        <f t="shared" ca="1" si="1073"/>
        <v>0</v>
      </c>
      <c r="DO276" s="148">
        <f>Control!$C$97</f>
        <v>4</v>
      </c>
      <c r="DP276" s="145" t="e">
        <f t="shared" ca="1" si="1074"/>
        <v>#N/A</v>
      </c>
      <c r="DQ276" s="145" t="e">
        <f ca="1">IF(AND($CP276&gt;=0,$CP276&lt;=90),Control!$C$111,Control!$C$111)</f>
        <v>#N/A</v>
      </c>
      <c r="DR276" s="145" t="e">
        <f t="shared" ca="1" si="951"/>
        <v>#N/A</v>
      </c>
      <c r="DS276" s="143" t="e">
        <f ca="1">Control!$B$22/$DR276</f>
        <v>#N/A</v>
      </c>
      <c r="DT276" s="149" t="e">
        <f ca="1">IF(AND(Control!$C$114=1,$KH276&lt;1),$IM276*$DF276, 0)</f>
        <v>#N/A</v>
      </c>
      <c r="DU276" s="144" t="e">
        <f t="shared" ca="1" si="1075"/>
        <v>#N/A</v>
      </c>
      <c r="DV276" s="144">
        <f ca="1">IF($G276-Control!$C$107&lt;=0, 0, 0.83*LN(MAX($G276, 3))-0.8924)</f>
        <v>0</v>
      </c>
      <c r="DW276" s="144" t="e">
        <f t="shared" ca="1" si="952"/>
        <v>#N/A</v>
      </c>
      <c r="DX276" s="150" t="e">
        <f ca="1">MAX(0.01*(1+$CU276/Control!$C$102),0.05*($DK276-Control!$C$97)/Control!$C$97)</f>
        <v>#N/A</v>
      </c>
      <c r="DY276" s="151" t="e">
        <f ca="1">IF(Control!$C$114=1, $DI276*$FS276, 0)</f>
        <v>#N/A</v>
      </c>
      <c r="DZ276" s="196" t="e">
        <f t="shared" ca="1" si="1076"/>
        <v>#N/A</v>
      </c>
      <c r="EA276" s="152">
        <f t="shared" ca="1" si="1077"/>
        <v>272</v>
      </c>
      <c r="EB276" s="153" t="e">
        <f t="shared" ca="1" si="1078"/>
        <v>#N/A</v>
      </c>
      <c r="EC276" s="153" t="e">
        <f t="shared" ca="1" si="1079"/>
        <v>#N/A</v>
      </c>
      <c r="ED276" s="154" t="e">
        <f ca="1">IF(Control!$C$114=1, $HM276*$FY276-$FD276, 0)</f>
        <v>#DIV/0!</v>
      </c>
      <c r="EE276" s="155" t="e">
        <f ca="1">IF(Control!$C$114=1, $HM276*$FZ276-$FF276, 0)</f>
        <v>#DIV/0!</v>
      </c>
      <c r="EF276" s="153" t="e">
        <f t="shared" ca="1" si="1133"/>
        <v>#N/A</v>
      </c>
      <c r="EG276" s="155" t="e">
        <f ca="1">IF(Control!$C$114=1, $GX276*$FW276-$FI276, 0)</f>
        <v>#DIV/0!</v>
      </c>
      <c r="EH276" s="153" t="e">
        <f t="shared" ca="1" si="1080"/>
        <v>#N/A</v>
      </c>
      <c r="EI276" s="156" t="e">
        <f t="shared" ca="1" si="1081"/>
        <v>#N/A</v>
      </c>
      <c r="EJ276" s="155" t="e">
        <f ca="1">IF(Control!$C$114=1, $HM276*$GB276, 0)</f>
        <v>#DIV/0!</v>
      </c>
      <c r="EK276" s="153" t="e">
        <f t="shared" ca="1" si="1134"/>
        <v>#N/A</v>
      </c>
      <c r="EL276" s="153" t="e">
        <f t="shared" ca="1" si="953"/>
        <v>#N/A</v>
      </c>
      <c r="EM276" s="153" t="e">
        <f t="shared" ca="1" si="954"/>
        <v>#N/A</v>
      </c>
      <c r="EN276" s="153" t="e">
        <f ca="1">IF(Control!$C$108=1,IF(AND(Control!$B$18=1,$EB276&gt;=Control!$B$19),$EB276-$DS276,IF(AND(Control!$B$18=2,$AW276=1,$EB276&gt;$DS276),$EB276-$DS276,0)))</f>
        <v>#N/A</v>
      </c>
      <c r="EO276" s="153" t="e">
        <f ca="1">IF(Control!$C$108=1,IF(AND(Control!$B$18=1,$EB276&gt;=Control!$B$19),$EF276,IF(AND(Control!$B$18=2,$AW276=1),$EF276,0)))</f>
        <v>#N/A</v>
      </c>
      <c r="EP276" s="153" t="e">
        <f ca="1">IF(Control!$C$108=1,IF(AND(Control!$B$18=1,$EB276&gt;=Control!$B$19),$EK276,IF(AND(Control!$B$18=2,$AW276=1),$EK276,0)))</f>
        <v>#N/A</v>
      </c>
      <c r="EQ276" s="153" t="e">
        <f t="shared" ca="1" si="1082"/>
        <v>#N/A</v>
      </c>
      <c r="ER276" s="153" t="e">
        <f t="shared" ca="1" si="1083"/>
        <v>#N/A</v>
      </c>
      <c r="ES276" s="153" t="e">
        <f t="shared" ca="1" si="1135"/>
        <v>#N/A</v>
      </c>
      <c r="ET276" s="153" t="e">
        <f t="shared" ca="1" si="1136"/>
        <v>#N/A</v>
      </c>
      <c r="EU276" s="153" t="e">
        <f t="shared" ca="1" si="1084"/>
        <v>#N/A</v>
      </c>
      <c r="EV276" s="153" t="e">
        <f t="shared" ca="1" si="955"/>
        <v>#N/A</v>
      </c>
      <c r="EW276" s="153" t="e">
        <f t="shared" ca="1" si="956"/>
        <v>#N/A</v>
      </c>
      <c r="EX276" s="153" t="e">
        <f t="shared" ca="1" si="957"/>
        <v>#N/A</v>
      </c>
      <c r="EY276" s="157" t="e">
        <f t="shared" ca="1" si="958"/>
        <v>#DIV/0!</v>
      </c>
      <c r="EZ276" s="154" t="e">
        <f t="shared" ca="1" si="959"/>
        <v>#DIV/0!</v>
      </c>
      <c r="FA276" s="153" t="e">
        <f t="shared" ca="1" si="1085"/>
        <v>#N/A</v>
      </c>
      <c r="FB276" s="153" t="e">
        <f t="shared" ca="1" si="960"/>
        <v>#N/A</v>
      </c>
      <c r="FC276" s="193" t="e">
        <f t="shared" ca="1" si="961"/>
        <v>#N/A</v>
      </c>
      <c r="FD276" s="158" t="e">
        <f t="shared" ca="1" si="1086"/>
        <v>#N/A</v>
      </c>
      <c r="FE276" s="158" t="e">
        <f t="shared" ca="1" si="1087"/>
        <v>#N/A</v>
      </c>
      <c r="FF276" s="159" t="e">
        <f t="shared" ca="1" si="962"/>
        <v>#N/A</v>
      </c>
      <c r="FG276" s="160" t="e">
        <f t="shared" ca="1" si="1088"/>
        <v>#N/A</v>
      </c>
      <c r="FH276" s="158" t="e">
        <f t="shared" ca="1" si="1089"/>
        <v>#N/A</v>
      </c>
      <c r="FI276" s="159" t="e">
        <f t="shared" ca="1" si="963"/>
        <v>#N/A</v>
      </c>
      <c r="FJ276" s="160" t="e">
        <f t="shared" ca="1" si="1090"/>
        <v>#N/A</v>
      </c>
      <c r="FK276" s="160" t="e">
        <f t="shared" ca="1" si="964"/>
        <v>#N/A</v>
      </c>
      <c r="FL276" s="160" t="e">
        <f t="shared" ca="1" si="1137"/>
        <v>#N/A</v>
      </c>
      <c r="FM276" s="160" t="e">
        <f t="shared" ca="1" si="965"/>
        <v>#N/A</v>
      </c>
      <c r="FN276" s="158">
        <f t="shared" ca="1" si="1091"/>
        <v>0.01</v>
      </c>
      <c r="FO276" s="160">
        <f>Control!$C$101</f>
        <v>50</v>
      </c>
      <c r="FP276" s="150" t="e">
        <f t="shared" ca="1" si="966"/>
        <v>#N/A</v>
      </c>
      <c r="FQ276" s="150" t="e">
        <f ca="1">MAX(0,(Control!$C$112*(($DK276-Control!$C$97)/Control!$C$97)))</f>
        <v>#N/A</v>
      </c>
      <c r="FR276" s="150" t="e">
        <f ca="1">(1-$NT276)*Control!$C$113</f>
        <v>#DIV/0!</v>
      </c>
      <c r="FS276" s="198" t="e">
        <f t="shared" ca="1" si="967"/>
        <v>#N/A</v>
      </c>
      <c r="FT276" s="161">
        <f t="shared" ca="1" si="1092"/>
        <v>272</v>
      </c>
      <c r="FU276" s="162" t="e">
        <f ca="1">IF(Control!$B$34=1,VLOOKUP($CP276,Control!$B$86:$G$91,6),Control!$B$35)</f>
        <v>#N/A</v>
      </c>
      <c r="FV276" s="162" t="e">
        <f t="shared" ca="1" si="968"/>
        <v>#DIV/0!</v>
      </c>
      <c r="FW276" s="162" t="e">
        <f ca="1">IF(Control!$B$31=1,$FU276*$FV276,  $FU276)</f>
        <v>#N/A</v>
      </c>
      <c r="FX276" s="162" t="e">
        <f ca="1">IF(Control!$B$34=1,VLOOKUP($CP276,Control!$B$86:$G$91,3),Control!$B$36)</f>
        <v>#N/A</v>
      </c>
      <c r="FY276" s="162" t="e">
        <f t="shared" ca="1" si="969"/>
        <v>#N/A</v>
      </c>
      <c r="FZ276" s="162" t="e">
        <f ca="1">IF(Control!$B$34=1,VLOOKUP($CP276,Control!$B$86:$G$91,4),Control!$B$37)</f>
        <v>#N/A</v>
      </c>
      <c r="GA276" s="162" t="e">
        <f t="shared" ca="1" si="970"/>
        <v>#N/A</v>
      </c>
      <c r="GB276" s="162" t="e">
        <f ca="1">IF(Control!$B$34=1,VLOOKUP($CP276,Control!$B$86:$G$91,5),Control!$B$38)</f>
        <v>#N/A</v>
      </c>
      <c r="GC276" s="162" t="e">
        <f t="shared" ca="1" si="1093"/>
        <v>#N/A</v>
      </c>
      <c r="GD276" s="162">
        <f t="shared" ca="1" si="971"/>
        <v>1</v>
      </c>
      <c r="GE276" s="162">
        <f t="shared" ca="1" si="972"/>
        <v>1</v>
      </c>
      <c r="GF276" s="162">
        <f ca="1">IF(AND(Control!$C$104=1, Control!$C$62="F"),$GE276,1)</f>
        <v>1</v>
      </c>
      <c r="GG276" s="162" t="e">
        <f ca="1">IF(Control!$B$16=40,0,IF(AND(Control!$B$16&gt;40,Control!$B$16&lt;=360),(Control!$B$16-40)*((1-0)/(360-40)),IF(AND(Control!$B$16&gt;360,Control!$B$16&lt;=720),(1+(Control!$B$16-360)*((1.25-1)/(720-360))),IF(AND(Control!$B$16&gt;720,Control!$B$16&lt;=1000),(1.25+(Control!$B$16-720)*((1.35-1.25)/(1000-720))),IF(AND(Control!$B$16&gt;1000,Control!$B$16&lt;=2000),(1.35+(Control!$B$16-1000)*0))))))</f>
        <v>#N/A</v>
      </c>
      <c r="GH276" s="162" t="e">
        <f t="shared" ca="1" si="973"/>
        <v>#N/A</v>
      </c>
      <c r="GI276" s="162">
        <f t="shared" ca="1" si="1094"/>
        <v>0</v>
      </c>
      <c r="GJ276" s="162">
        <f t="shared" ca="1" si="974"/>
        <v>0</v>
      </c>
      <c r="GK276" s="162">
        <f t="shared" ca="1" si="1095"/>
        <v>1</v>
      </c>
      <c r="GL276" s="162">
        <f t="shared" ca="1" si="975"/>
        <v>1</v>
      </c>
      <c r="GM276" s="162" t="e">
        <f ca="1">MAX(0,MIN(1,1-Control!$C$156*(1.0001-$KH276)^2))</f>
        <v>#N/A</v>
      </c>
      <c r="GN276" s="162" t="e">
        <f ca="1">IF(Control!$B$26=1,$KU276,$KX276)</f>
        <v>#N/A</v>
      </c>
      <c r="GO276" s="162" t="e">
        <f ca="1">IF($CP276&lt;=60,Control!$C$105,IF($CP276&gt;=90,Control!$C$106,Control!$C$105+($CP276-60)*((Control!$C$106-Control!$C$105)/(90-60))))</f>
        <v>#N/A</v>
      </c>
      <c r="GP276" s="162" t="e">
        <f t="shared" ca="1" si="976"/>
        <v>#N/A</v>
      </c>
      <c r="GQ276" s="162" t="e">
        <f t="shared" ca="1" si="1096"/>
        <v>#N/A</v>
      </c>
      <c r="GR276" s="163" t="e">
        <f t="shared" ca="1" si="977"/>
        <v>#DIV/0!</v>
      </c>
      <c r="GS276" s="162" t="e">
        <f t="shared" ca="1" si="978"/>
        <v>#DIV/0!</v>
      </c>
      <c r="GT276" s="164" t="e">
        <f t="shared" ca="1" si="1097"/>
        <v>#N/A</v>
      </c>
      <c r="GU276" s="162" t="e">
        <f t="shared" ca="1" si="1098"/>
        <v>#N/A</v>
      </c>
      <c r="GV276" s="162" t="e">
        <f t="shared" ca="1" si="979"/>
        <v>#N/A</v>
      </c>
      <c r="GW276" s="162" t="e">
        <f t="shared" ca="1" si="980"/>
        <v>#DIV/0!</v>
      </c>
      <c r="GX276" s="162" t="e">
        <f t="shared" ca="1" si="1099"/>
        <v>#DIV/0!</v>
      </c>
      <c r="GY276" s="162" t="e">
        <f t="shared" ca="1" si="1100"/>
        <v>#DIV/0!</v>
      </c>
      <c r="GZ276" s="165" t="e">
        <f t="shared" ca="1" si="981"/>
        <v>#N/A</v>
      </c>
      <c r="HA276" s="162" t="e">
        <f ca="1">IF(Control!$C$114=1, $DI276*$FS276, 0)</f>
        <v>#N/A</v>
      </c>
      <c r="HB276" s="162" t="e">
        <f ca="1">$FA276/Control!$C$64</f>
        <v>#N/A</v>
      </c>
      <c r="HC276" s="162" t="e">
        <f t="shared" ca="1" si="982"/>
        <v>#DIV/0!</v>
      </c>
      <c r="HD276" s="162">
        <f ca="1">-ASIN(SIN(23.45*Control!$C$139)*COS(2*Control!$C$138*($AH276+10)/365))</f>
        <v>-5.6360195981347366E-2</v>
      </c>
      <c r="HE276" s="165">
        <f t="shared" ca="1" si="1101"/>
        <v>0</v>
      </c>
      <c r="HF276" s="166">
        <f ca="1">IF(AND(Control!$C$61="T",$HE276&gt;=Control!$C$103,Control!$C$114=0),$AH276,Control!$C$59)</f>
        <v>1</v>
      </c>
      <c r="HG276" s="166">
        <f ca="1">IF(AND(Control!$C$61="T",$HE276&gt;=Control!$C$103,Control!$C$114=0),$HF276,Control!$C$59)</f>
        <v>1</v>
      </c>
      <c r="HH276" s="165">
        <f ca="1">IF(AND(OR(Control!$C$60&lt;=0, $AH276= Control!$C$59, Control!$C$60 &gt;0, $AH276 = Control!$C$60)), Control!$C$59, IF(Control!$C$60&gt;0, 0))</f>
        <v>1</v>
      </c>
      <c r="HI276" s="165">
        <f ca="1">IF(AND(OR(Control!$C$60&lt;=0, $AH276= Control!$C$59, Control!$C$60 &gt;0, $AH276 = Control!$C$60)), Control!$C$60, IF(Control!$C$60&lt;=0, 0))</f>
        <v>0</v>
      </c>
      <c r="HJ276" s="166">
        <f ca="1">IF(AND(Control!$C$62="F",$CV276&gt;=Control!$C$102),$AH276,0)</f>
        <v>0</v>
      </c>
      <c r="HK276" s="165" t="e">
        <f t="shared" ca="1" si="1138"/>
        <v>#N/A</v>
      </c>
      <c r="HL276" s="166">
        <f ca="1">IF(AND(Control!$C$61="T",$HE276&gt;=Control!$C$103,Control!$C$114=0),$HF276,0)</f>
        <v>0</v>
      </c>
      <c r="HM276" s="201" t="e">
        <f t="shared" ca="1" si="983"/>
        <v>#DIV/0!</v>
      </c>
      <c r="HN276" s="215">
        <f t="shared" ca="1" si="1102"/>
        <v>272</v>
      </c>
      <c r="HO276" s="216" t="e">
        <f ca="1">IF(AND($CP276&gt;=0, $CP276&lt;=90), Control!$C$152, Control!$C$152)</f>
        <v>#N/A</v>
      </c>
      <c r="HP276" s="216" t="e">
        <f t="shared" ca="1" si="984"/>
        <v>#N/A</v>
      </c>
      <c r="HQ276" s="217" t="e">
        <f ca="1">IF(OR(Control!$B$26=1,Control!$B$26=2),$KV276,$KS276)</f>
        <v>#DIV/0!</v>
      </c>
      <c r="HR276" s="218" t="e">
        <f t="shared" ca="1" si="1139"/>
        <v>#DIV/0!</v>
      </c>
      <c r="HS276" s="216" t="e">
        <f ca="1">Control!$C$154*$HP276</f>
        <v>#N/A</v>
      </c>
      <c r="HT276" s="216" t="e">
        <f ca="1">Control!$C$155*$HP276</f>
        <v>#N/A</v>
      </c>
      <c r="HU276" s="217" t="e">
        <f ca="1">Control!$C$161*$FI276</f>
        <v>#N/A</v>
      </c>
      <c r="HV276" s="218" t="e">
        <f t="shared" ca="1" si="1103"/>
        <v>#N/A</v>
      </c>
      <c r="HW276" s="218" t="e">
        <f ca="1">Control!$C$160*$FF276+$IP276*$EO276</f>
        <v>#N/A</v>
      </c>
      <c r="HX276" s="218" t="e">
        <f t="shared" ca="1" si="1140"/>
        <v>#N/A</v>
      </c>
      <c r="HY276" s="219" t="e">
        <f ca="1">IF(Control!$C$114=1, $EB276*$FS276, 0)</f>
        <v>#N/A</v>
      </c>
      <c r="HZ276" s="91" t="e">
        <f t="shared" ca="1" si="985"/>
        <v>#N/A</v>
      </c>
      <c r="IA276" s="220" t="e">
        <f ca="1">Control!$C$153*$HO276</f>
        <v>#N/A</v>
      </c>
      <c r="IB276" s="218" t="e">
        <f t="shared" ca="1" si="986"/>
        <v>#N/A</v>
      </c>
      <c r="IC276" s="220" t="e">
        <f ca="1">Control!$C$153*$HT276</f>
        <v>#N/A</v>
      </c>
      <c r="ID276" s="218" t="e">
        <f t="shared" ca="1" si="987"/>
        <v>#N/A</v>
      </c>
      <c r="IE276" s="221" t="e">
        <f ca="1">($EB276*Control!$C$159+$EF276*Control!$C$160)/(IF($GZ276&lt;&gt;0,$GZ276,1))</f>
        <v>#N/A</v>
      </c>
      <c r="IF276" s="216" t="e">
        <f t="shared" ca="1" si="988"/>
        <v>#N/A</v>
      </c>
      <c r="IG276" s="91">
        <f ca="1">IF(OR(Control!$B$198=$AH276,Control!$B$199=$AH276, Control!$B$200=$AH276, Control!$B$201=$AH276, Control!$B$202=$AH276, Control!$B$203=$AH276, Control!$B$204=$AH276, Control!$B$205=$AH276, Control!$B$206=$AH276, Control!$B$207=$AH276), 1, 0)</f>
        <v>0</v>
      </c>
      <c r="IH276" s="91">
        <f ca="1">IF($IG276=0,0, VLOOKUP($AH276,Control!$B$198:$C$207,2))</f>
        <v>0</v>
      </c>
      <c r="II276" s="222">
        <f t="shared" ca="1" si="1104"/>
        <v>0</v>
      </c>
      <c r="IJ276" s="91">
        <f>Control!$C$121</f>
        <v>0.7</v>
      </c>
      <c r="IK276" s="218">
        <f t="shared" ca="1" si="989"/>
        <v>0</v>
      </c>
      <c r="IL276" s="217" t="e">
        <f t="shared" ca="1" si="1141"/>
        <v>#N/A</v>
      </c>
      <c r="IM276" s="223" t="e">
        <f ca="1">IF(AND(Control!$C$114=1,$KH276&lt;1),$EB276*Control!$C$148*(1-$KH276), 0)</f>
        <v>#N/A</v>
      </c>
      <c r="IN276" s="217" t="e">
        <f t="shared" ca="1" si="990"/>
        <v>#DIV/0!</v>
      </c>
      <c r="IO276" s="91" t="e">
        <f ca="1">MAX(0,$IL276-$EF276*Control!$C$160)</f>
        <v>#N/A</v>
      </c>
      <c r="IP276" s="220" t="e">
        <f t="shared" ca="1" si="991"/>
        <v>#N/A</v>
      </c>
      <c r="IQ276" s="217" t="e">
        <f t="shared" ca="1" si="1105"/>
        <v>#N/A</v>
      </c>
      <c r="IR276" s="218" t="e">
        <f t="shared" ca="1" si="992"/>
        <v>#N/A</v>
      </c>
      <c r="IS276" s="217" t="e">
        <f ca="1">Control!$C$159*MAX(0,$FD276-$EN276)</f>
        <v>#N/A</v>
      </c>
      <c r="IT276" s="217" t="e">
        <f t="shared" ca="1" si="1142"/>
        <v>#N/A</v>
      </c>
      <c r="IU276" s="217" t="e">
        <f t="shared" ca="1" si="1106"/>
        <v>#N/A</v>
      </c>
      <c r="IV276" s="217" t="e">
        <f t="shared" ca="1" si="1143"/>
        <v>#N/A</v>
      </c>
      <c r="IW276" s="217" t="e">
        <f ca="1">IF(OR($AW276=1,AND($AW276=0, Control!$B$18=1,$EN276&lt;&gt;0)), $IQ276-$IU276, $IQ276)</f>
        <v>#N/A</v>
      </c>
      <c r="IX276" s="218" t="e">
        <f t="shared" ca="1" si="993"/>
        <v>#N/A</v>
      </c>
      <c r="IY276" s="218" t="e">
        <f ca="1">MAX(0,$IQ276-$EB276*Control!$C$159)</f>
        <v>#N/A</v>
      </c>
      <c r="IZ276" s="218" t="e">
        <f t="shared" ca="1" si="994"/>
        <v>#N/A</v>
      </c>
      <c r="JA276" s="216" t="e">
        <f t="shared" ca="1" si="995"/>
        <v>#N/A</v>
      </c>
      <c r="JB276" s="217" t="e">
        <f t="shared" ca="1" si="996"/>
        <v>#N/A</v>
      </c>
      <c r="JC276" s="222" t="e">
        <f ca="1">MAX(Control!$C$157*$EK276-$JT276, 0)/Control!$C$162</f>
        <v>#N/A</v>
      </c>
      <c r="JD276" s="218" t="e">
        <f t="shared" ca="1" si="997"/>
        <v>#N/A</v>
      </c>
      <c r="JE276" s="218" t="e">
        <f t="shared" ca="1" si="998"/>
        <v>#N/A</v>
      </c>
      <c r="JF276" s="218" t="e">
        <f t="shared" ca="1" si="1107"/>
        <v>#N/A</v>
      </c>
      <c r="JG276" s="218" t="e">
        <f t="shared" ca="1" si="999"/>
        <v>#N/A</v>
      </c>
      <c r="JH276" s="217" t="e">
        <f t="shared" ca="1" si="1108"/>
        <v>#N/A</v>
      </c>
      <c r="JI276" s="217" t="e">
        <f t="shared" ca="1" si="1109"/>
        <v>#N/A</v>
      </c>
      <c r="JJ276" s="217" t="e">
        <f t="shared" ca="1" si="1144"/>
        <v>#N/A</v>
      </c>
      <c r="JK276" s="217" t="e">
        <f ca="1">IF(Control!$C$114=1,IF(Control!$B$24=0,MAX(0,$JI276)*$GN276/Control!$C$64,(MAX(0,MIN($JI276,$JJ276*$GN276/Control!$C$64),0))))</f>
        <v>#N/A</v>
      </c>
      <c r="JL276" s="217" t="e">
        <f ca="1">$IK276/Control!$C$64-$JK276+$HQ276</f>
        <v>#N/A</v>
      </c>
      <c r="JM276" s="217" t="e">
        <f ca="1">IF(Control!$C$114=1,($JB276/(IF($JI276&lt;&gt;0,$JI276,1)))*$JK276,0)</f>
        <v>#N/A</v>
      </c>
      <c r="JN276" s="217" t="e">
        <f ca="1">IF(Control!$C$114=1,($JG276/(IF($JI276&lt;&gt;0,$JI276,1)))*$JK276, 0)</f>
        <v>#N/A</v>
      </c>
      <c r="JO276" s="218" t="e">
        <f t="shared" ca="1" si="1000"/>
        <v>#N/A</v>
      </c>
      <c r="JP276" s="218" t="e">
        <f ca="1">MIN(($IY276+$IO276)*Control!$C$151, $JF276-$EH276*Control!$C$161)</f>
        <v>#N/A</v>
      </c>
      <c r="JQ276" s="218" t="e">
        <f t="shared" ca="1" si="1001"/>
        <v>#N/A</v>
      </c>
      <c r="JR276" s="217" t="e">
        <f ca="1">IF($CP276-Control!$C$150&lt;0, 0, $JQ276/Control!$C$162)</f>
        <v>#N/A</v>
      </c>
      <c r="JS276" s="218" t="e">
        <f t="shared" ca="1" si="1002"/>
        <v>#N/A</v>
      </c>
      <c r="JT276" s="218" t="e">
        <f t="shared" ca="1" si="1110"/>
        <v>#N/A</v>
      </c>
      <c r="JU276" s="218" t="e">
        <f t="shared" ca="1" si="1003"/>
        <v>#N/A</v>
      </c>
      <c r="JV276" s="218" t="e">
        <f t="shared" ca="1" si="1004"/>
        <v>#N/A</v>
      </c>
      <c r="JW276" s="216" t="e">
        <f t="shared" ca="1" si="1005"/>
        <v>#N/A</v>
      </c>
      <c r="JX276" s="91" t="e">
        <f t="shared" ca="1" si="1006"/>
        <v>#N/A</v>
      </c>
      <c r="JY276" s="218" t="e">
        <f t="shared" ca="1" si="1007"/>
        <v>#N/A</v>
      </c>
      <c r="JZ276" s="217" t="e">
        <f ca="1">IF(Control!$C$114=1,($IZ276/(IF($JI276&lt;&gt;0,$JI276,1)))*$JK276, 0)</f>
        <v>#N/A</v>
      </c>
      <c r="KA276" s="218" t="e">
        <f t="shared" ca="1" si="1145"/>
        <v>#N/A</v>
      </c>
      <c r="KB276" s="218" t="e">
        <f t="shared" ca="1" si="1111"/>
        <v>#N/A</v>
      </c>
      <c r="KC276" s="218" t="e">
        <f t="shared" ca="1" si="1008"/>
        <v>#N/A</v>
      </c>
      <c r="KD276" s="218" t="e">
        <f t="shared" ca="1" si="1009"/>
        <v>#N/A</v>
      </c>
      <c r="KE276" s="218" t="e">
        <f t="shared" ca="1" si="1010"/>
        <v>#N/A</v>
      </c>
      <c r="KF276" s="218" t="e">
        <f t="shared" ca="1" si="1011"/>
        <v>#N/A</v>
      </c>
      <c r="KG276" s="216" t="e">
        <f t="shared" ca="1" si="1012"/>
        <v>#N/A</v>
      </c>
      <c r="KH276" s="221" t="e">
        <f ca="1">IF(Control!$B$24=0,1,MAX(0.001,MIN(1,IF(($IF276-$IE276)&lt;&gt;0,($KG276-$IE276)/($IF276-$IE276),1))))</f>
        <v>#N/A</v>
      </c>
      <c r="KI276" s="222" t="e">
        <f ca="1">IF(Control!$C$114=1, $KI275+ $KH275, 0)</f>
        <v>#N/A</v>
      </c>
      <c r="KJ276" s="217" t="e">
        <f t="shared" ca="1" si="1013"/>
        <v>#N/A</v>
      </c>
      <c r="KK276" s="218" t="e">
        <f t="shared" ca="1" si="1014"/>
        <v>#N/A</v>
      </c>
      <c r="KL276" s="274" t="e">
        <f ca="1">IF(Control!$B$26=3,4000000000*EXP(-8400/($G276+273)),IF(Control!$B$26=4,4000000000*EXP(-8400/($G276+273))*($KT276),0))</f>
        <v>#DIV/0!</v>
      </c>
      <c r="KM276" s="274" t="e">
        <f ca="1">IF(Control!$B$26=3,5600000000000*EXP(-9800/($G276+273)),IF(Control!$B$26=4,5600000000000*EXP(-9800/($G276+273))*$KT276,0))</f>
        <v>#DIV/0!</v>
      </c>
      <c r="KN276" s="454" t="e">
        <f t="shared" ca="1" si="1112"/>
        <v>#DIV/0!</v>
      </c>
      <c r="KO276" s="274" t="e">
        <f t="shared" ca="1" si="1113"/>
        <v>#DIV/0!</v>
      </c>
      <c r="KP276" s="454" t="e">
        <f t="shared" ca="1" si="1015"/>
        <v>#DIV/0!</v>
      </c>
      <c r="KQ276" s="454" t="e">
        <f t="shared" ca="1" si="1016"/>
        <v>#DIV/0!</v>
      </c>
      <c r="KR276" s="454" t="e">
        <f t="shared" ca="1" si="1017"/>
        <v>#DIV/0!</v>
      </c>
      <c r="KS276" s="454" t="e">
        <f t="shared" ca="1" si="1018"/>
        <v>#DIV/0!</v>
      </c>
      <c r="KT276" s="455" t="e">
        <f t="shared" ca="1" si="1019"/>
        <v>#DIV/0!</v>
      </c>
      <c r="KU276" s="456" t="e">
        <f ca="1">IF($CP276-Control!$C$149&lt;0, IF($NT276-0.01&lt;0,0,1),0)</f>
        <v>#N/A</v>
      </c>
      <c r="KV276" s="456" t="e">
        <f ca="1">IF(Control!$C$114=1,MAX(0,MIN(Control!$C$125*$KW276*$GN276,$KW276)))</f>
        <v>#DIV/0!</v>
      </c>
      <c r="KW276" s="456" t="e">
        <f t="shared" ca="1" si="1146"/>
        <v>#DIV/0!</v>
      </c>
      <c r="KX276" s="457" t="e">
        <f ca="1">IF($CP276-Control!$C$149&lt;0, IF($MR276-$OM276&lt;0,0,1),0)</f>
        <v>#N/A</v>
      </c>
      <c r="KY276" s="167">
        <f t="shared" ca="1" si="1114"/>
        <v>272</v>
      </c>
      <c r="KZ276" s="168">
        <f ca="1">1370*(1+0.033*COS(2*Control!$C$138*$AH276/365))</f>
        <v>1368.6387558053448</v>
      </c>
      <c r="LA276" s="169">
        <f t="shared" ca="1" si="1115"/>
        <v>0.99900602994005205</v>
      </c>
      <c r="LB276" s="169">
        <f t="shared" ca="1" si="1116"/>
        <v>-6.1391728074528064E-2</v>
      </c>
      <c r="LC276" s="169">
        <f ca="1">ACOS(-TAN((2*Control!$B$8/360))*TAN(Calculations!$LB276))</f>
        <v>1.5525265395274483</v>
      </c>
      <c r="LD276" s="169">
        <f ca="1">((24*60)/PI())*0.082*$LA276*(($LC276*SIN(Control!$B$8*2*PI()/360))*SIN($LB276)+COS(Control!$B$8*2*PI()/360)*COS($LB276)*SIN($LC276))</f>
        <v>20.251468931285761</v>
      </c>
      <c r="LE276" s="170">
        <f t="shared" ca="1" si="1020"/>
        <v>20.572501904196702</v>
      </c>
      <c r="LF276" s="170">
        <f ca="1">SIN(Control!$C$139*Control!$B$8)*SIN($HD276)</f>
        <v>-4.4389005368126677E-2</v>
      </c>
      <c r="LG276" s="170">
        <f ca="1">COS(Control!$C$139*Control!$B$8)*COS($HD276)</f>
        <v>0.6146822487698419</v>
      </c>
      <c r="LH276" s="170">
        <f ca="1">12*(1+2*ASIN(MAX(-1,MIN(1,$LF276/$LG276))/Control!$C$138))</f>
        <v>11.448274129214813</v>
      </c>
      <c r="LI276" s="170">
        <f ca="1">12*(1+2*ASIN(MAX(-1,MIN(1,(-SIN(-4*Control!$C$139)+$LF276)/$LG276))/Control!$C$138))</f>
        <v>12.31528411438223</v>
      </c>
      <c r="LJ276" s="168">
        <f ca="1">3600*($LH276*$LF276+24*$LG276*SQRT(1-$LK276*$LK276)/Control!$C$138)</f>
        <v>15031.36004072256</v>
      </c>
      <c r="LK276" s="170">
        <f t="shared" ca="1" si="1021"/>
        <v>-7.2214555499141214E-2</v>
      </c>
      <c r="LL276" s="170">
        <f t="shared" ca="1" si="1022"/>
        <v>0</v>
      </c>
      <c r="LM276" s="171">
        <f ca="1">Control!$C$145*$AB276</f>
        <v>6.6660906138995932E-2</v>
      </c>
      <c r="LN276" s="170">
        <f t="shared" ca="1" si="1117"/>
        <v>0.54</v>
      </c>
      <c r="LO276" s="170">
        <f t="shared" ca="1" si="1023"/>
        <v>0</v>
      </c>
      <c r="LP276" s="170">
        <f ca="1">Control!$C$140*((($D276+273.16)^4+($E276+273.16)^4)/2)*(0.34-0.14*SQRT($Y276))*(1.35*$AQ276/(0.75*$LD276)-0.35)</f>
        <v>-3.2464704755046001</v>
      </c>
      <c r="LQ276" s="170">
        <f ca="1">Control!$C$140*($G276+273)^4*(0.56-0.079*SQRT($Y276*10))*(0.1+0.9*$LO276)</f>
        <v>1.5241745131704001</v>
      </c>
      <c r="LR276" s="170">
        <f ca="1">$AQ276*(1-Control!$C$142)-$LQ276</f>
        <v>-1.5241745131704001</v>
      </c>
      <c r="LS276" s="170">
        <f ca="1">$AQ276*(1-Control!$C$143)-$LQ276</f>
        <v>-1.5241745131704001</v>
      </c>
      <c r="LT276" s="170">
        <f ca="1">$AQ276*(1-Control!$C$144)-$LQ276</f>
        <v>-1.5241745131704001</v>
      </c>
      <c r="LU276" s="169">
        <f ca="1">(1-Control!$C$144)*AQ276-LP276</f>
        <v>3.2464704755046001</v>
      </c>
      <c r="LV276" s="172">
        <f t="shared" ca="1" si="1024"/>
        <v>0.79430000000000012</v>
      </c>
      <c r="LW276" s="170">
        <f t="shared" ca="1" si="1025"/>
        <v>1.5886000000000002</v>
      </c>
      <c r="LX276" s="170">
        <f ca="1">($AC276*($LR276/Control!$C$141)+$LM276*$LV276)/($AC276+$LM276)</f>
        <v>0.23530094218323697</v>
      </c>
      <c r="LY276" s="170">
        <f ca="1">($AC276*($LS276/Control!$C$141)+$LM276*$LV276)/($AC276+$LM276)</f>
        <v>0.23530094218323697</v>
      </c>
      <c r="LZ276" s="170">
        <f t="shared" ca="1" si="1026"/>
        <v>0.23530094218323697</v>
      </c>
      <c r="MA276" s="170">
        <f t="shared" ca="1" si="1027"/>
        <v>0.23530094218323697</v>
      </c>
      <c r="MB276" s="170" t="e">
        <f t="shared" ca="1" si="1028"/>
        <v>#N/A</v>
      </c>
      <c r="MC276" s="170">
        <f t="shared" ca="1" si="1118"/>
        <v>0.6018</v>
      </c>
      <c r="MD276" s="170">
        <f t="shared" ca="1" si="1029"/>
        <v>0.52989392535414004</v>
      </c>
      <c r="ME276" s="170">
        <f ca="1">($AC276*($LT276/Control!$C$141)+$LM276*$LW276)/($AC276+$LM276)</f>
        <v>0.71612369323045078</v>
      </c>
      <c r="MF276" s="170" t="e">
        <f ca="1">IF(Control!$B$16&gt;=1000,0.92,IF(AND(720&lt;=Control!$B$16,1000&gt;Control!$B$16),(0.95+(Control!$B$16-720)*((0.92-0.95)/(1000-720))),IF(AND(360&lt;=Control!$B$16,720&gt;Control!$B$16),(1+(Control!$B$16-360)*((0.95-1)/(720-360))),IF(AND(40&lt;=Control!$B$16,360&gt;Control!$B$16),(1.05+(Control!$B$16-40)*((1.05-1)/(360-40)))))))</f>
        <v>#N/A</v>
      </c>
      <c r="MG276" s="170">
        <f t="shared" ca="1" si="1030"/>
        <v>0.71612369323045078</v>
      </c>
      <c r="MH276" s="170" t="e">
        <f t="shared" ca="1" si="1155"/>
        <v>#N/A</v>
      </c>
      <c r="MI276" s="170" t="e">
        <f t="shared" ca="1" si="1155"/>
        <v>#N/A</v>
      </c>
      <c r="MJ276" s="170" t="e">
        <f ca="1">MAX(0.0001, Control!$C$132*$MI276*$DL276)</f>
        <v>#N/A</v>
      </c>
      <c r="MK276" s="170">
        <f ca="1">1/(0.76+1.5*($MG276/10))-(5-Control!$C$110)*0.1</f>
        <v>1.002845988140797</v>
      </c>
      <c r="ML276" s="173">
        <f ca="1">IF(Control!$C$110&lt;3,$MK276+($MG276-0.6)/(Control!$C$110*(Control!$C$110+3)), MAX(0.1, MIN(0.95,$MK276)))</f>
        <v>0.95</v>
      </c>
      <c r="MM276" s="173">
        <f ca="1">IF(Control!$C$110&lt;3,$MK276+(($MI276/10)-0.6)/(Control!$C$110*(Control!$C$110+3)), MAX(0.1, MIN(0.95,$MK276)))</f>
        <v>0.95</v>
      </c>
      <c r="MN276" s="173">
        <f ca="1">(1-$MM276)*(Control!$C$128-Control!$C$127)+Control!$C$127</f>
        <v>0.16</v>
      </c>
      <c r="MO276" s="170" t="e">
        <f ca="1">MAX(0,MIN(1,($MS276-Control!$C$127)/($MN276-Control!$C$127)))</f>
        <v>#DIV/0!</v>
      </c>
      <c r="MP276" s="173" t="e">
        <f ca="1">1/(0.76+1.5*$MI276)-(5-Control!$C$110)*0.1</f>
        <v>#N/A</v>
      </c>
      <c r="MQ276" s="172" t="e">
        <f t="shared" ca="1" si="1147"/>
        <v>#DIV/0!</v>
      </c>
      <c r="MR276" s="168" t="e">
        <f t="shared" ca="1" si="1119"/>
        <v>#DIV/0!</v>
      </c>
      <c r="MS276" s="173" t="e">
        <f ca="1">MAX(Control!$C$127, MIN(Control!$C$135, $MR276/MAX(0.0001,$CY276)))</f>
        <v>#DIV/0!</v>
      </c>
      <c r="MT276" s="168" t="e">
        <f ca="1">(Control!$C$128-$MS276)*Control!$C$74</f>
        <v>#DIV/0!</v>
      </c>
      <c r="MU276" s="168" t="e">
        <f ca="1">(Control!$C$135-$MS276)*Control!$C$74</f>
        <v>#DIV/0!</v>
      </c>
      <c r="MV276" s="168" t="e">
        <f t="shared" ca="1" si="1120"/>
        <v>#DIV/0!</v>
      </c>
      <c r="MW276" s="168" t="e">
        <f t="shared" ca="1" si="1121"/>
        <v>#DIV/0!</v>
      </c>
      <c r="MX276" s="171" t="e">
        <f ca="1">MAX(Control!$C$127, MIN(Control!$C$135, $MW276/MAX(0.0001,Control!$C$119-$CY276)))</f>
        <v>#DIV/0!</v>
      </c>
      <c r="MY276" s="54" t="e">
        <f ca="1">IF(Control!$C$114=1, $CX276*$MX276, 0)</f>
        <v>#DIV/0!</v>
      </c>
      <c r="MZ276" s="54" t="e">
        <f t="shared" ca="1" si="1122"/>
        <v>#N/A</v>
      </c>
      <c r="NA276" s="168" t="e">
        <f ca="1">(Control!$C$128-$MX276)*(Control!$C$119-Control!$C$74)</f>
        <v>#DIV/0!</v>
      </c>
      <c r="NB276" s="168" t="e">
        <f ca="1">(Control!$C$135-$MX276)*(Control!$C$119-Control!$C$74)</f>
        <v>#DIV/0!</v>
      </c>
      <c r="NC276" s="174" t="e">
        <f t="shared" ca="1" si="1123"/>
        <v>#DIV/0!</v>
      </c>
      <c r="ND276" s="54">
        <f ca="1">IF(Control!$C$58=2, IF(OR(Control!$B$218=$AH276,Control!$B$219=$AH276, Control!$B$220=$AH276, Control!$B$221=$AH276, Control!$B$222=$AH276, Control!$B$223=$AH276, Control!$B$224=$AH276, Control!$B$225=$AH276, Control!$B$226=$AH276, Control!$B$227=$AH276, Control!$B$228=$AH276), 1, 0), 0)</f>
        <v>0</v>
      </c>
      <c r="NE276" s="54">
        <f ca="1">IF($ND276=0,0, VLOOKUP($AH276,Control!$B$218:$C$228,2))</f>
        <v>0</v>
      </c>
      <c r="NF276" s="168" t="e">
        <f ca="1">$CY276*(Control!$C$128-Control!$C$127)</f>
        <v>#N/A</v>
      </c>
      <c r="NG276" s="54" t="e">
        <f ca="1">IF(Control!$C$58=2, $NI275-$NJ275, 0)</f>
        <v>#DIV/0!</v>
      </c>
      <c r="NH276" s="54" t="e">
        <f ca="1">IF(AND(Control!$C$58=1, $MS275&lt;= ($MN275+0.02), $I275&lt;10), 0, IF(Control!$C$58=2, $NG275, 0))</f>
        <v>#DIV/0!</v>
      </c>
      <c r="NI276" s="54" t="e">
        <f ca="1">IF(Control!$C$58=2, $NE276+$NH276,0)</f>
        <v>#DIV/0!</v>
      </c>
      <c r="NJ276" s="54" t="e">
        <f ca="1">IF(AND(Control!$C$58=1, $MS276&lt;= ($MN276+0.02), $I276&lt;10), MAX(0, MIN(10, 0.7*($NF276-$MV276))), IF(Control!$C$58=2, MIN(10,$NI276),0))</f>
        <v>#DIV/0!</v>
      </c>
      <c r="NK276" s="54" t="e">
        <f t="shared" ca="1" si="1031"/>
        <v>#DIV/0!</v>
      </c>
      <c r="NL276" s="173" t="e">
        <f ca="1">(1-Control!$C$73)*$I276+$NJ276</f>
        <v>#DIV/0!</v>
      </c>
      <c r="NM276" s="172" t="e">
        <f ca="1">IF($NL276&lt;0.5, $MB276* MAX(0, MIN(1, (SQRT($NC276)-SQRT($NC276-1))*Control!$C$71)),0)</f>
        <v>#DIV/0!</v>
      </c>
      <c r="NN276" s="170" t="e">
        <f ca="1">IF($NL276&gt;=5, $MB276, MAX(0,MIN($MB276, $NM276+$NL276,($MS276-Control!$C$129))))</f>
        <v>#DIV/0!</v>
      </c>
      <c r="NO276" s="54">
        <f>IF(Control!$C$133&lt;&gt;1, Control!$C$135-Control!$C$131, 0)</f>
        <v>0.38</v>
      </c>
      <c r="NP276" s="54" t="e">
        <f t="shared" ca="1" si="1032"/>
        <v>#DIV/0!</v>
      </c>
      <c r="NQ276" s="173" t="e">
        <f ca="1">MAX(0,MIN(1,(Control!$C$135-$MS276)/(Control!$C$135-$NO276)))</f>
        <v>#DIV/0!</v>
      </c>
      <c r="NR276" s="170" t="e">
        <f ca="1">IF(Control!$C$133&lt;&gt;1, $NQ276+((1-$NP276/4)*(1-$NQ276)),1)</f>
        <v>#DIV/0!</v>
      </c>
      <c r="NS276" s="170" t="e">
        <f ca="1">IF(Control!$B$31=0,$MJ276,MAX(0,MIN($MV276,$MO276*$NR276*$MJ276)))</f>
        <v>#DIV/0!</v>
      </c>
      <c r="NT276" s="170" t="e">
        <f t="shared" ca="1" si="1148"/>
        <v>#DIV/0!</v>
      </c>
      <c r="NU276" s="170" t="e">
        <f t="shared" ca="1" si="1124"/>
        <v>#N/A</v>
      </c>
      <c r="NV276" s="170" t="e">
        <f t="shared" ca="1" si="1033"/>
        <v>#N/A</v>
      </c>
      <c r="NW276" s="175" t="e">
        <f t="shared" ca="1" si="1034"/>
        <v>#DIV/0!</v>
      </c>
      <c r="NX276" s="170" t="e">
        <f ca="1">MIN(Control!$C$72+$MU276, $NW276)</f>
        <v>#DIV/0!</v>
      </c>
      <c r="NY276" s="170" t="e">
        <f ca="1">IF($MT276&lt;=$NX276,MIN(Control!$C$72+$NB276,$NX276-$MT276),0)</f>
        <v>#DIV/0!</v>
      </c>
      <c r="NZ276" s="54" t="e">
        <f ca="1">IF(Control!$C$114=1,  $CX276*($MX276-Control!$C$127), 0)</f>
        <v>#DIV/0!</v>
      </c>
      <c r="OA276" s="170" t="e">
        <f t="shared" ca="1" si="1035"/>
        <v>#DIV/0!</v>
      </c>
      <c r="OB276" s="170" t="e">
        <f ca="1">IF($NA276 &lt;=$NY276, MIN(Control!$C$72, $NY276-$NA276), 0)</f>
        <v>#DIV/0!</v>
      </c>
      <c r="OC276" s="168" t="e">
        <f t="shared" ca="1" si="1036"/>
        <v>#DIV/0!</v>
      </c>
      <c r="OD276" s="168" t="e">
        <f t="shared" ca="1" si="1125"/>
        <v>#DIV/0!</v>
      </c>
      <c r="OE276" s="170">
        <f ca="1">Control!$C$73*$I276</f>
        <v>0</v>
      </c>
      <c r="OF276" s="176" t="e">
        <f t="shared" ca="1" si="1037"/>
        <v>#DIV/0!</v>
      </c>
      <c r="OG276" s="168" t="e">
        <f t="shared" ca="1" si="1038"/>
        <v>#DIV/0!</v>
      </c>
      <c r="OH276" s="168" t="e">
        <f t="shared" ca="1" si="1039"/>
        <v>#DIV/0!</v>
      </c>
      <c r="OI276" s="168" t="e">
        <f t="shared" ca="1" si="1040"/>
        <v>#DIV/0!</v>
      </c>
      <c r="OJ276" s="168" t="e">
        <f t="shared" ca="1" si="1041"/>
        <v>#DIV/0!</v>
      </c>
      <c r="OK276" s="204" t="e">
        <f t="shared" ca="1" si="1042"/>
        <v>#DIV/0!</v>
      </c>
      <c r="OL276" s="177">
        <f>Control!$C$127</f>
        <v>0.15</v>
      </c>
      <c r="OM276" s="182" t="e">
        <f t="shared" ca="1" si="1043"/>
        <v>#N/A</v>
      </c>
      <c r="ON276" s="177">
        <f>Control!$C$128</f>
        <v>0.35</v>
      </c>
      <c r="OO276" s="182" t="e">
        <f t="shared" ca="1" si="1044"/>
        <v>#N/A</v>
      </c>
      <c r="OP276" s="138">
        <f t="shared" ca="1" si="1126"/>
        <v>0</v>
      </c>
      <c r="OQ276" s="138" t="e">
        <f t="shared" ca="1" si="1149"/>
        <v>#DIV/0!</v>
      </c>
      <c r="OR276" s="138" t="e">
        <f t="shared" ca="1" si="1127"/>
        <v>#DIV/0!</v>
      </c>
      <c r="OS276" s="137" t="e">
        <f t="shared" ca="1" si="1150"/>
        <v>#DIV/0!</v>
      </c>
      <c r="OT276" s="139" t="e">
        <f t="shared" ca="1" si="1151"/>
        <v>#DIV/0!</v>
      </c>
      <c r="OU276" s="138" t="e">
        <f t="shared" ca="1" si="1152"/>
        <v>#N/A</v>
      </c>
      <c r="OV276" s="138" t="e">
        <f t="shared" ca="1" si="1153"/>
        <v>#DIV/0!</v>
      </c>
      <c r="OW276" s="138" t="e">
        <f t="shared" ca="1" si="1128"/>
        <v>#DIV/0!</v>
      </c>
      <c r="OX276" s="138" t="e">
        <f t="shared" ca="1" si="1129"/>
        <v>#DIV/0!</v>
      </c>
      <c r="OY276" s="138" t="e">
        <f t="shared" ca="1" si="1130"/>
        <v>#DIV/0!</v>
      </c>
      <c r="OZ276" s="138" t="e">
        <f t="shared" ca="1" si="1045"/>
        <v>#DIV/0!</v>
      </c>
      <c r="PA276" s="138" t="e">
        <f t="shared" ca="1" si="1046"/>
        <v>#DIV/0!</v>
      </c>
      <c r="PB276" s="55">
        <f>IF(Control!$C$61="T", IF(Control!$C$65="F", IF($AH$6-Control!$C$60&lt;0,0,1), IF(365+$AH$6-Control!$C$60&lt;0,0,1)),0)</f>
        <v>0</v>
      </c>
      <c r="PC276" s="55">
        <f ca="1">IF(Control!$C$65="F", IF($AH$6-$HF276&lt;0,0,1), IF(365+$AH$6-$HF276&lt;0,0,1))</f>
        <v>1</v>
      </c>
      <c r="PD276" s="444">
        <f>Control!$C$118</f>
        <v>1500</v>
      </c>
      <c r="PE276" s="180" t="e">
        <f t="shared" ca="1" si="1047"/>
        <v>#N/A</v>
      </c>
      <c r="PF276" s="445">
        <f t="shared" ca="1" si="1131"/>
        <v>0.71612369323045078</v>
      </c>
      <c r="PT276" s="186"/>
      <c r="PU276" s="186"/>
      <c r="PV276" s="94"/>
      <c r="PW276" s="94"/>
      <c r="PX276" s="94"/>
      <c r="PY276" s="94"/>
      <c r="PZ276" s="94"/>
      <c r="QA276" s="94"/>
      <c r="QB276" s="94"/>
      <c r="QC276" s="94"/>
      <c r="QD276" s="94"/>
      <c r="QE276" s="94"/>
      <c r="QF276" s="94"/>
      <c r="QG276" s="94"/>
      <c r="QH276" s="94"/>
      <c r="QI276" s="94"/>
      <c r="QJ276" s="94"/>
      <c r="QK276" s="94"/>
      <c r="QL276" s="94"/>
      <c r="QM276" s="94"/>
      <c r="QN276" s="94"/>
      <c r="QO276" s="94"/>
      <c r="QP276" s="94"/>
    </row>
    <row r="277" spans="1:458" s="2" customFormat="1" x14ac:dyDescent="0.2">
      <c r="A277" s="395">
        <v>29</v>
      </c>
      <c r="B277" s="396">
        <v>9</v>
      </c>
      <c r="C277" s="387">
        <f ca="1">Weather_data!$B276</f>
        <v>0</v>
      </c>
      <c r="D277" s="388">
        <f ca="1">Weather_data!$F276</f>
        <v>0</v>
      </c>
      <c r="E277" s="388">
        <f ca="1">Weather_data!$E276</f>
        <v>0</v>
      </c>
      <c r="F277" s="388">
        <f t="shared" ca="1" si="1048"/>
        <v>0</v>
      </c>
      <c r="G277" s="388">
        <f ca="1">AVERAGE($D277:$E277)+Control!$B$9</f>
        <v>0</v>
      </c>
      <c r="H277" s="388">
        <f ca="1">Weather_data!$G276</f>
        <v>0</v>
      </c>
      <c r="I277" s="388">
        <f ca="1">Weather_data!$I276</f>
        <v>0</v>
      </c>
      <c r="J277" s="388">
        <f ca="1">Weather_data!$H276</f>
        <v>0</v>
      </c>
      <c r="K277" s="389">
        <f ca="1">Weather_data!$D276</f>
        <v>0</v>
      </c>
      <c r="L277" s="388" t="e">
        <f t="shared" ca="1" si="1049"/>
        <v>#N/A</v>
      </c>
      <c r="M277" s="388" t="e">
        <f t="shared" ca="1" si="927"/>
        <v>#N/A</v>
      </c>
      <c r="N277" s="388">
        <f t="shared" ca="1" si="928"/>
        <v>-1.9892531864154545E-13</v>
      </c>
      <c r="O277" s="388">
        <f t="shared" ca="1" si="1050"/>
        <v>1.9892531864154544E-12</v>
      </c>
      <c r="P277" s="390">
        <v>3</v>
      </c>
      <c r="Q277" s="388">
        <f ca="1">MAX($G277-Control!$C$107,0)</f>
        <v>0</v>
      </c>
      <c r="R277" s="388">
        <f t="shared" ca="1" si="1051"/>
        <v>0</v>
      </c>
      <c r="S277" s="388">
        <f t="shared" ca="1" si="929"/>
        <v>0</v>
      </c>
      <c r="T277" s="388">
        <f t="shared" ca="1" si="930"/>
        <v>0</v>
      </c>
      <c r="U277" s="59">
        <f t="shared" ca="1" si="931"/>
        <v>0</v>
      </c>
      <c r="V277" s="391">
        <f ca="1">MAX(0,MIN(Control!$C$100-Control!$C$99,$G277-Control!$C$99)*Control!$C$63)</f>
        <v>0</v>
      </c>
      <c r="W277" s="388">
        <f t="shared" ca="1" si="1052"/>
        <v>0</v>
      </c>
      <c r="X277" s="388">
        <f t="shared" ca="1" si="1053"/>
        <v>0.6110000000000001</v>
      </c>
      <c r="Y277" s="388">
        <f t="shared" ca="1" si="932"/>
        <v>0</v>
      </c>
      <c r="Z277" s="388">
        <f t="shared" ca="1" si="1054"/>
        <v>0.61058800000000002</v>
      </c>
      <c r="AA277" s="388">
        <f t="shared" ca="1" si="933"/>
        <v>0.6018</v>
      </c>
      <c r="AB277" s="388">
        <f ca="1">101.3*EXP(-0.034*Control!$C$66/($G277+273))</f>
        <v>100.69623283836242</v>
      </c>
      <c r="AC277" s="392">
        <f t="shared" ca="1" si="934"/>
        <v>4.3460251046025113E-2</v>
      </c>
      <c r="AD277" s="392">
        <f t="shared" ca="1" si="935"/>
        <v>4.4450382862832649E-2</v>
      </c>
      <c r="AE277" s="388">
        <f t="shared" ca="1" si="936"/>
        <v>0</v>
      </c>
      <c r="AF277" s="388">
        <f ca="1">MAX(0,$G277-Control!$C$92)</f>
        <v>0</v>
      </c>
      <c r="AG277" s="393">
        <f t="shared" ca="1" si="937"/>
        <v>273</v>
      </c>
      <c r="AH277" s="389">
        <f t="shared" ca="1" si="938"/>
        <v>273</v>
      </c>
      <c r="AI277" s="388">
        <f t="shared" ca="1" si="1055"/>
        <v>-6.314506024584518E-2</v>
      </c>
      <c r="AJ277" s="388">
        <f ca="1">IF(Control!$C$60&lt;=0,$HH277,$HI277)</f>
        <v>1</v>
      </c>
      <c r="AK277" s="388">
        <f t="shared" ca="1" si="939"/>
        <v>3.3223418199607129</v>
      </c>
      <c r="AL277" s="388">
        <f t="shared" ca="1" si="940"/>
        <v>4.1473439266193069E-18</v>
      </c>
      <c r="AM277" s="388">
        <f t="shared" ca="1" si="941"/>
        <v>3.3223418199607129</v>
      </c>
      <c r="AN277" s="388">
        <f t="shared" ca="1" si="942"/>
        <v>-7.1572237967609573E-2</v>
      </c>
      <c r="AO277" s="388">
        <f ca="1">-0.10453/COS(Control!$B$8*PI()/180)*COS(AN277)</f>
        <v>-0.16935018111589648</v>
      </c>
      <c r="AP277" s="388">
        <f ca="1">ACOS(AO277-TAN(Control!$B$8*PI()/180)*TAN(AN277))</f>
        <v>1.648459524212692</v>
      </c>
      <c r="AQ277" s="388">
        <f t="shared" ca="1" si="1056"/>
        <v>0</v>
      </c>
      <c r="AR277" s="394">
        <f t="shared" ca="1" si="943"/>
        <v>0</v>
      </c>
      <c r="AS277" s="436">
        <f ca="1">IF(Control!$B$18=2,(IF(OR($AH277=Control!$B$175,$AH277=Control!$B$176,$AH277=Control!$B$177,$AH277=Control!$B$178,$AH277=Control!$B$179,$AH277=Control!$B$180,$AH277=Control!$B$181,$AH277=Control!$B$182,$AH277=Control!$B$183,$AH277=Control!$B$184,$AH277=Control!$B$185),1,0)),0)</f>
        <v>0</v>
      </c>
      <c r="AT277" s="436">
        <f>IF(Control!$B$20=8,IF(AND($AH277&gt;=Control!$B$172,$AH277&lt;=Control!$B$173),1,0),0)</f>
        <v>0</v>
      </c>
      <c r="AU277" s="436">
        <f>IF(Control!$B$20=8,IF($AV276=1,1*$AT277,IF($AT277=1,$AU276+1,$AU276)),0)</f>
        <v>0</v>
      </c>
      <c r="AV277" s="436">
        <f>IF(Control!$B$20=8,IF($AU277&gt;=Control!$B$174,1,0),0)</f>
        <v>0</v>
      </c>
      <c r="AW277" s="436">
        <f ca="1">IF(AND(Control!$B$18=2,Control!$B$171=1), $AV277, $AS277)</f>
        <v>0</v>
      </c>
      <c r="AX277" s="436" t="e">
        <f ca="1">IF(AND(Control!$B$18=1,$EU277&gt;=Control!$B$19),-$AY277,IF(AND(Control!$B$18=2,$AW277=1,$EU277&gt;$DS277),-$AY277, IF(Control!$C$108=0,0, IF(Control!$C$108&lt;&gt;0,1))))</f>
        <v>#N/A</v>
      </c>
      <c r="AY277" s="436" t="e">
        <f t="shared" ca="1" si="1057"/>
        <v>#N/A</v>
      </c>
      <c r="AZ277" s="436" t="e">
        <f ca="1">IF(AND(Control!$B$18=1,$EB277&gt;Control!$B$19),$AZ276+1, IF(AND(Control!$B$18=2, $AW277=1, $EB277&gt;$DS277), $AZ276+1,$AZ276))</f>
        <v>#N/A</v>
      </c>
      <c r="BA277" s="587">
        <f>IF(Control!$C$81=0,1,IF($AH277&gt;=Control!$C$82,1,0))</f>
        <v>1</v>
      </c>
      <c r="BB277" s="140" t="e">
        <f ca="1">IF($BA277&gt;$BA276,Control!$C$83,IF($AW277&gt;0,$AW277*Control!$C$84,IF(AND(Control!$B$18=1,EN276&lt;&gt;0),Control!$C$84,0)))</f>
        <v>#N/A</v>
      </c>
      <c r="BC277" s="140" t="e">
        <f t="shared" ca="1" si="1058"/>
        <v>#N/A</v>
      </c>
      <c r="BD277" s="140" t="e">
        <f ca="1">BC277*IF(OR($G277&lt;Control!$C$92,$G277&gt;Control!$C$95),0,IF(AND($G277&gt;=Control!$C$92,$G277&lt;=Control!$C$93),$G277-Control!$C$92,IF(AND($G277&gt;Control!$C$93,$G277&lt;=Control!$C$94),Control!$C$93-Control!$C$92,IF(AND($G277&gt;Control!$C$94,$G277&lt;=Control!$C$95),(Control!$C$93-Control!$C$92)*(Control!$C$94-$G277)/(Control!$C$95-Control!$C$94)))))</f>
        <v>#N/A</v>
      </c>
      <c r="BE277" s="140" t="e">
        <f t="shared" ca="1" si="1059"/>
        <v>#N/A</v>
      </c>
      <c r="BF277" s="140" t="e">
        <f ca="1">IF($BE277&lt;=Control!$C$86,$BE277,Control!$C$86-$BE277)</f>
        <v>#N/A</v>
      </c>
      <c r="BG277" s="140" t="e">
        <f ca="1">IF(AND($AW277=1,Control!$C$84&lt;9),1,IF($BE277&gt;=Control!$C$86,0,$BC277))</f>
        <v>#N/A</v>
      </c>
      <c r="BH277" s="404" t="e">
        <f ca="1">IF($BG277=0,0,IF($BE277&lt;=Control!$C$86,$BC277*9*($BF277/Control!$C$86),0))</f>
        <v>#N/A</v>
      </c>
      <c r="BI277" s="140" t="e">
        <f ca="1">IF($BG277=1,0,IF($BE277&gt;=Control!$C$86,1,IF(AND($BB277&lt;21,$BB277&gt;=9),1,$BM276)))</f>
        <v>#N/A</v>
      </c>
      <c r="BJ277" s="140" t="e">
        <f ca="1">IF($BF277&lt;0,-$BF277,$BI277*IF(OR($G277&lt;Control!$C$92,$G277&gt;Control!$C$95),0,IF(AND($G277&gt;=Control!$C$92,$G277&lt;=Control!$C$93),$G277-Control!$C$92,IF(AND($G277&gt;Control!$C$93,$G277&lt;=Control!$C$94),Control!$C$93-Control!$C$92,IF(AND($G277&gt;Control!$C$94,$G277&lt;=Control!$C$95),(Control!$C$93-Control!$C$92)*(Control!$C$94-$G277)/(Control!$C$95-Control!$C$94))))))</f>
        <v>#N/A</v>
      </c>
      <c r="BK277" s="140" t="e">
        <f t="shared" ca="1" si="1060"/>
        <v>#N/A</v>
      </c>
      <c r="BL277" s="140" t="e">
        <f ca="1">IF($BK277&lt;=Control!$C$87,$BK277,Control!$C$87-$BK277)</f>
        <v>#N/A</v>
      </c>
      <c r="BM277" s="140" t="e">
        <f ca="1">IF(AND($BB277&gt;=9,$BB277&lt;21),1,IF($BK277&gt;=Control!$C$87,0,$BI277))</f>
        <v>#N/A</v>
      </c>
      <c r="BN277" s="404" t="e">
        <f ca="1">IF($BM277=0,0,IF($BK277&lt;=Control!$C$87,$BI277*(9+(21-9)*($BL277/Control!$C$87)),0))</f>
        <v>#N/A</v>
      </c>
      <c r="BO277" s="140" t="e">
        <f ca="1">IF($BM277=1,0,IF($BK277&gt;=Control!$C$87,1,IF(AND($BB277&lt;30,$BB277&gt;=21),1,$BS276)))</f>
        <v>#N/A</v>
      </c>
      <c r="BP277" s="140" t="e">
        <f ca="1">IF($BL277&lt;0,-$BL277,$BO277*IF(OR($G277&lt;Control!$C$92,$G277&gt;Control!$C$95),0,IF(AND($G277&gt;=Control!$C$92,$G277&lt;=Control!$C$93),$G277-Control!$C$92,IF(AND($G277&gt;Control!$C$93,$G277&lt;=Control!$C$94),Control!$C$93-Control!$C$92,IF(AND($G277&gt;Control!$C$94,$G277&lt;=Control!$C$95),(Control!$C$93-Control!$C$92)*(Control!$C$94-$G277)/(Control!$C$95-Control!$C$94))))))</f>
        <v>#N/A</v>
      </c>
      <c r="BQ277" s="140" t="e">
        <f t="shared" ca="1" si="944"/>
        <v>#N/A</v>
      </c>
      <c r="BR277" s="140" t="e">
        <f ca="1">IF($BQ277&lt;=Control!$C$88,$BQ277,Control!$C$88-$BQ277)</f>
        <v>#N/A</v>
      </c>
      <c r="BS277" s="140" t="e">
        <f ca="1">IF(AND($BB277&gt;=21,$BB277&lt;30),1,IF($BQ277&gt;=Control!$C$88,0,$BO277))</f>
        <v>#N/A</v>
      </c>
      <c r="BT277" s="404" t="e">
        <f ca="1">IF($BS277=0,0,IF($BQ277&lt;=Control!$C$88,$BO277*(21+(30-21)*(BR277/Control!$C$88)),0))</f>
        <v>#N/A</v>
      </c>
      <c r="BU277" s="140" t="e">
        <f ca="1">IF(BG277+BM277+BS277=1,0,IF(OR(AND($BB277&lt;60,$BB277&gt;=30),$BQ277&gt;=Control!$C$88),1*$BA277,$BY276))</f>
        <v>#N/A</v>
      </c>
      <c r="BV277" s="140" t="e">
        <f ca="1">IF($BR277&lt;0,-$BR277,$BU277*IF(OR($G277&lt;Control!$C$92,$G277&gt;Control!$C$95),0,IF(AND($G277&gt;=Control!$C$92,$G277&lt;=Control!$C$93),$G277-Control!$C$92,IF(AND($G277&gt;Control!$C$93,$G277&lt;=Control!$C$94),Control!$C$93-Control!$C$92,IF(AND($G277&gt;Control!$C$94,$G277&lt;=Control!$C$95),(Control!$C$93-Control!$C$92)*(Control!$C$94-$G277)/(Control!$C$95-Control!$C$94))))))</f>
        <v>#N/A</v>
      </c>
      <c r="BW277" s="140" t="e">
        <f t="shared" ca="1" si="945"/>
        <v>#N/A</v>
      </c>
      <c r="BX277" s="140" t="e">
        <f ca="1">IF($BW277&lt;=Control!$C$89,$BW277,Control!$C$89-$BW277)</f>
        <v>#N/A</v>
      </c>
      <c r="BY277" s="140" t="e">
        <f ca="1">IF(AND($AJ277&gt;=30,$AJ277&lt;60),1,IF($BW277&gt;=Control!$C$89,0,$BU277))</f>
        <v>#N/A</v>
      </c>
      <c r="BZ277" s="404" t="e">
        <f ca="1">IF($BY277=0,0,IF($BW277&lt;=Control!$C$89,$BU277*(30+(60-30)*(BX277/Control!$C$89)),0))</f>
        <v>#N/A</v>
      </c>
      <c r="CA277" s="140" t="e">
        <f ca="1">IF($BG277+$BM277+$BS277+$BY277=1,0,IF(OR(AND($BB277&lt;65,$BB277&gt;=60),$BW277&gt;=Control!$C$89),1*$BA277,$CE276))</f>
        <v>#N/A</v>
      </c>
      <c r="CB277" s="140" t="e">
        <f ca="1">IF($BX277&lt;0,-$BX277,$CA277*IF(OR($G277&lt;Control!$C$92,$G277&gt;Control!$C$95),0,IF(AND($G277&gt;=Control!$C$92,$G277&lt;=Control!$C$93),$G277-Control!$C$92,IF(AND($G277&gt;Control!$C$93,$G277&lt;=Control!$C$94),Control!$C$93-Control!$C$92,IF(AND($G277&gt;Control!$C$94,$G277&lt;=Control!$C$95),(Control!$C$93-Control!$C$92)*(Control!$C$94-$G277)/(Control!$C$95-Control!$C$94))))))</f>
        <v>#N/A</v>
      </c>
      <c r="CC277" s="140" t="e">
        <f t="shared" ca="1" si="1061"/>
        <v>#N/A</v>
      </c>
      <c r="CD277" s="140" t="e">
        <f ca="1">IF($CC277&lt;=Control!$C$90,$CC277,Control!$C$90-$CC277)</f>
        <v>#N/A</v>
      </c>
      <c r="CE277" s="140" t="e">
        <f ca="1">IF(AND($BB277&gt;=60,$BB277&lt;65),1,IF($CC277&gt;=Control!$C$90,0,$CA277))</f>
        <v>#N/A</v>
      </c>
      <c r="CF277" s="404" t="e">
        <f ca="1">IF($CE277=0,0,IF($CC277&lt;=Control!$C$90,$CA277*(60+(65-60)*(CD277/Control!$C$90)),0))</f>
        <v>#N/A</v>
      </c>
      <c r="CG277" s="140" t="e">
        <f ca="1">IF($BG277+$BM277+$BS277+$BY277+$CE277=1,0,IF(OR(AND($BB277&lt;90,$BB277&gt;=65),$CC277&gt;=Control!$C$90),$BA277,$CK276))</f>
        <v>#N/A</v>
      </c>
      <c r="CH277" s="140" t="e">
        <f ca="1">IF($CD277&lt;0,-$CD277,$CG277*IF(OR($G277&lt;Control!$C$92,$G277&gt;Control!$C$95),0,IF(AND($G277&gt;=Control!$C$92,$G277&lt;=Control!$C$93),$G277-Control!$C$92,IF(AND($G277&gt;Control!$C$93,$G277&lt;=Control!$C$94),Control!$C$93-Control!$C$92,IF(AND($G277&gt;Control!$C$94,$G277&lt;=Control!$C$95),(Control!$C$93-Control!$C$92)*(Control!$C$94-$G277)/(Control!$C$95-Control!$C$94))))))</f>
        <v>#N/A</v>
      </c>
      <c r="CI277" s="140" t="e">
        <f t="shared" ca="1" si="1062"/>
        <v>#N/A</v>
      </c>
      <c r="CJ277" s="140" t="e">
        <f ca="1">IF($CI277&lt;=Control!$C$91,$CI277,Control!$C$91-$CI277)</f>
        <v>#N/A</v>
      </c>
      <c r="CK277" s="140" t="e">
        <f ca="1">IF(AND($BB277&gt;=65,$BB277&lt;90),1,IF($CI277&gt;=Control!$C$91,0,$CG277))</f>
        <v>#N/A</v>
      </c>
      <c r="CL277" s="404" t="e">
        <f ca="1">IF($CK277=0,0,IF($CI277&lt;=Control!$C$91,$CG277*(65+(90-65)*($CJ277/Control!$C$91)),0))</f>
        <v>#N/A</v>
      </c>
      <c r="CM277" s="140" t="e">
        <f ca="1">IF($BG277+$BM277+$BS277+$BY277+$CE277+$CK277=1,0,IF(OR($BB277&gt;=90,$CI277&gt;=Control!$C$91),$BA277,$CM276))</f>
        <v>#N/A</v>
      </c>
      <c r="CN277" s="140" t="e">
        <f t="shared" ca="1" si="1063"/>
        <v>#N/A</v>
      </c>
      <c r="CO277" s="140" t="e">
        <f t="shared" ca="1" si="1064"/>
        <v>#N/A</v>
      </c>
      <c r="CP277" s="140" t="e">
        <f t="shared" ca="1" si="1065"/>
        <v>#N/A</v>
      </c>
      <c r="CQ277" s="141" t="e">
        <f ca="1">VLOOKUP($CP277,Control!$B$86:$G$91,6)</f>
        <v>#N/A</v>
      </c>
      <c r="CR277" s="141" t="e">
        <f ca="1">(1-$CQ277)*VLOOKUP($CP277,Control!$B$86:$D$91,3)</f>
        <v>#N/A</v>
      </c>
      <c r="CS277" s="141" t="e">
        <f ca="1">(1-$CQ277)*VLOOKUP($CP277,Control!$B$86:$E$91,4)</f>
        <v>#N/A</v>
      </c>
      <c r="CT277" s="141" t="e">
        <f ca="1">(1-$CQ277)*VLOOKUP($CP277,Control!$B$86:$F$91,5)</f>
        <v>#N/A</v>
      </c>
      <c r="CU277" s="141">
        <f t="shared" ca="1" si="1066"/>
        <v>0</v>
      </c>
      <c r="CV277" s="583">
        <f t="shared" ca="1" si="1067"/>
        <v>0</v>
      </c>
      <c r="CW277" s="142">
        <f t="shared" ca="1" si="1068"/>
        <v>273</v>
      </c>
      <c r="CX277" s="612" t="e">
        <f ca="1">IF(Control!$C$114=1,(MIN(Control!$C$120*(IF($NT277-0.01&lt;0,0,1)),Control!$C$119-$CY277)))</f>
        <v>#DIV/0!</v>
      </c>
      <c r="CY277" s="143" t="e">
        <f t="shared" ca="1" si="1069"/>
        <v>#N/A</v>
      </c>
      <c r="CZ277" s="144">
        <f t="shared" ca="1" si="946"/>
        <v>0</v>
      </c>
      <c r="DA277" s="144">
        <f t="shared" ca="1" si="947"/>
        <v>0</v>
      </c>
      <c r="DB277" s="144" t="e">
        <f t="shared" ca="1" si="948"/>
        <v>#N/A</v>
      </c>
      <c r="DC277" s="144" t="e">
        <f t="shared" ca="1" si="949"/>
        <v>#N/A</v>
      </c>
      <c r="DD277" s="144" t="e">
        <f t="shared" ca="1" si="1154"/>
        <v>#N/A</v>
      </c>
      <c r="DE277" s="143" t="e">
        <f t="shared" ca="1" si="1070"/>
        <v>#N/A</v>
      </c>
      <c r="DF277" s="145" t="e">
        <f ca="1">$DR277*EXP(-Control!$C$158*(1-$KH277))</f>
        <v>#N/A</v>
      </c>
      <c r="DG277" s="146" t="e">
        <f ca="1">IF(Control!$C$114=1, $DF277*$EY277, 0)</f>
        <v>#N/A</v>
      </c>
      <c r="DH277" s="147" t="e">
        <f t="shared" ca="1" si="1071"/>
        <v>#N/A</v>
      </c>
      <c r="DI277" s="144" t="e">
        <f t="shared" ca="1" si="1132"/>
        <v>#N/A</v>
      </c>
      <c r="DJ277" s="147" t="e">
        <f ca="1">$EF277*Control!$C$109</f>
        <v>#N/A</v>
      </c>
      <c r="DK277" s="144" t="e">
        <f t="shared" ca="1" si="1072"/>
        <v>#N/A</v>
      </c>
      <c r="DL277" s="144" t="e">
        <f t="shared" ca="1" si="950"/>
        <v>#N/A</v>
      </c>
      <c r="DM277" s="144" t="e">
        <f ca="1">IF(Control!$C$114=1, (1-EXP(-Control!$C$96*$DK277))*$AR277, 0)</f>
        <v>#N/A</v>
      </c>
      <c r="DN277" s="144">
        <f t="shared" ca="1" si="1073"/>
        <v>0</v>
      </c>
      <c r="DO277" s="148">
        <f>Control!$C$97</f>
        <v>4</v>
      </c>
      <c r="DP277" s="145" t="e">
        <f t="shared" ca="1" si="1074"/>
        <v>#N/A</v>
      </c>
      <c r="DQ277" s="145" t="e">
        <f ca="1">IF(AND($CP277&gt;=0,$CP277&lt;=90),Control!$C$111,Control!$C$111)</f>
        <v>#N/A</v>
      </c>
      <c r="DR277" s="145" t="e">
        <f t="shared" ca="1" si="951"/>
        <v>#N/A</v>
      </c>
      <c r="DS277" s="143" t="e">
        <f ca="1">Control!$B$22/$DR277</f>
        <v>#N/A</v>
      </c>
      <c r="DT277" s="149" t="e">
        <f ca="1">IF(AND(Control!$C$114=1,$KH277&lt;1),$IM277*$DF277, 0)</f>
        <v>#N/A</v>
      </c>
      <c r="DU277" s="144" t="e">
        <f t="shared" ca="1" si="1075"/>
        <v>#N/A</v>
      </c>
      <c r="DV277" s="144">
        <f ca="1">IF($G277-Control!$C$107&lt;=0, 0, 0.83*LN(MAX($G277, 3))-0.8924)</f>
        <v>0</v>
      </c>
      <c r="DW277" s="144" t="e">
        <f t="shared" ca="1" si="952"/>
        <v>#N/A</v>
      </c>
      <c r="DX277" s="150" t="e">
        <f ca="1">MAX(0.01*(1+$CU277/Control!$C$102),0.05*($DK277-Control!$C$97)/Control!$C$97)</f>
        <v>#N/A</v>
      </c>
      <c r="DY277" s="151" t="e">
        <f ca="1">IF(Control!$C$114=1, $DI277*$FS277, 0)</f>
        <v>#N/A</v>
      </c>
      <c r="DZ277" s="196" t="e">
        <f t="shared" ca="1" si="1076"/>
        <v>#N/A</v>
      </c>
      <c r="EA277" s="152">
        <f t="shared" ca="1" si="1077"/>
        <v>273</v>
      </c>
      <c r="EB277" s="153" t="e">
        <f t="shared" ca="1" si="1078"/>
        <v>#N/A</v>
      </c>
      <c r="EC277" s="153" t="e">
        <f t="shared" ca="1" si="1079"/>
        <v>#N/A</v>
      </c>
      <c r="ED277" s="154" t="e">
        <f ca="1">IF(Control!$C$114=1, $HM277*$FY277-$FD277, 0)</f>
        <v>#DIV/0!</v>
      </c>
      <c r="EE277" s="155" t="e">
        <f ca="1">IF(Control!$C$114=1, $HM277*$FZ277-$FF277, 0)</f>
        <v>#DIV/0!</v>
      </c>
      <c r="EF277" s="153" t="e">
        <f t="shared" ca="1" si="1133"/>
        <v>#N/A</v>
      </c>
      <c r="EG277" s="155" t="e">
        <f ca="1">IF(Control!$C$114=1, $GX277*$FW277-$FI277, 0)</f>
        <v>#DIV/0!</v>
      </c>
      <c r="EH277" s="153" t="e">
        <f t="shared" ca="1" si="1080"/>
        <v>#N/A</v>
      </c>
      <c r="EI277" s="156" t="e">
        <f t="shared" ca="1" si="1081"/>
        <v>#N/A</v>
      </c>
      <c r="EJ277" s="155" t="e">
        <f ca="1">IF(Control!$C$114=1, $HM277*$GB277, 0)</f>
        <v>#DIV/0!</v>
      </c>
      <c r="EK277" s="153" t="e">
        <f t="shared" ca="1" si="1134"/>
        <v>#N/A</v>
      </c>
      <c r="EL277" s="153" t="e">
        <f t="shared" ca="1" si="953"/>
        <v>#N/A</v>
      </c>
      <c r="EM277" s="153" t="e">
        <f t="shared" ca="1" si="954"/>
        <v>#N/A</v>
      </c>
      <c r="EN277" s="153" t="e">
        <f ca="1">IF(Control!$C$108=1,IF(AND(Control!$B$18=1,$EB277&gt;=Control!$B$19),$EB277-$DS277,IF(AND(Control!$B$18=2,$AW277=1,$EB277&gt;$DS277),$EB277-$DS277,0)))</f>
        <v>#N/A</v>
      </c>
      <c r="EO277" s="153" t="e">
        <f ca="1">IF(Control!$C$108=1,IF(AND(Control!$B$18=1,$EB277&gt;=Control!$B$19),$EF277,IF(AND(Control!$B$18=2,$AW277=1),$EF277,0)))</f>
        <v>#N/A</v>
      </c>
      <c r="EP277" s="153" t="e">
        <f ca="1">IF(Control!$C$108=1,IF(AND(Control!$B$18=1,$EB277&gt;=Control!$B$19),$EK277,IF(AND(Control!$B$18=2,$AW277=1),$EK277,0)))</f>
        <v>#N/A</v>
      </c>
      <c r="EQ277" s="153" t="e">
        <f t="shared" ca="1" si="1082"/>
        <v>#N/A</v>
      </c>
      <c r="ER277" s="153" t="e">
        <f t="shared" ca="1" si="1083"/>
        <v>#N/A</v>
      </c>
      <c r="ES277" s="153" t="e">
        <f t="shared" ca="1" si="1135"/>
        <v>#N/A</v>
      </c>
      <c r="ET277" s="153" t="e">
        <f t="shared" ca="1" si="1136"/>
        <v>#N/A</v>
      </c>
      <c r="EU277" s="153" t="e">
        <f t="shared" ca="1" si="1084"/>
        <v>#N/A</v>
      </c>
      <c r="EV277" s="153" t="e">
        <f t="shared" ca="1" si="955"/>
        <v>#N/A</v>
      </c>
      <c r="EW277" s="153" t="e">
        <f t="shared" ca="1" si="956"/>
        <v>#N/A</v>
      </c>
      <c r="EX277" s="153" t="e">
        <f t="shared" ca="1" si="957"/>
        <v>#N/A</v>
      </c>
      <c r="EY277" s="157" t="e">
        <f t="shared" ca="1" si="958"/>
        <v>#DIV/0!</v>
      </c>
      <c r="EZ277" s="154" t="e">
        <f t="shared" ca="1" si="959"/>
        <v>#DIV/0!</v>
      </c>
      <c r="FA277" s="153" t="e">
        <f t="shared" ca="1" si="1085"/>
        <v>#N/A</v>
      </c>
      <c r="FB277" s="153" t="e">
        <f t="shared" ca="1" si="960"/>
        <v>#N/A</v>
      </c>
      <c r="FC277" s="193" t="e">
        <f t="shared" ca="1" si="961"/>
        <v>#N/A</v>
      </c>
      <c r="FD277" s="158" t="e">
        <f t="shared" ca="1" si="1086"/>
        <v>#N/A</v>
      </c>
      <c r="FE277" s="158" t="e">
        <f t="shared" ca="1" si="1087"/>
        <v>#N/A</v>
      </c>
      <c r="FF277" s="159" t="e">
        <f t="shared" ca="1" si="962"/>
        <v>#N/A</v>
      </c>
      <c r="FG277" s="160" t="e">
        <f t="shared" ca="1" si="1088"/>
        <v>#N/A</v>
      </c>
      <c r="FH277" s="158" t="e">
        <f t="shared" ca="1" si="1089"/>
        <v>#N/A</v>
      </c>
      <c r="FI277" s="159" t="e">
        <f t="shared" ca="1" si="963"/>
        <v>#N/A</v>
      </c>
      <c r="FJ277" s="160" t="e">
        <f t="shared" ca="1" si="1090"/>
        <v>#N/A</v>
      </c>
      <c r="FK277" s="160" t="e">
        <f t="shared" ca="1" si="964"/>
        <v>#N/A</v>
      </c>
      <c r="FL277" s="160" t="e">
        <f t="shared" ca="1" si="1137"/>
        <v>#N/A</v>
      </c>
      <c r="FM277" s="160" t="e">
        <f t="shared" ca="1" si="965"/>
        <v>#N/A</v>
      </c>
      <c r="FN277" s="158">
        <f t="shared" ca="1" si="1091"/>
        <v>0.01</v>
      </c>
      <c r="FO277" s="160">
        <f>Control!$C$101</f>
        <v>50</v>
      </c>
      <c r="FP277" s="150" t="e">
        <f t="shared" ca="1" si="966"/>
        <v>#N/A</v>
      </c>
      <c r="FQ277" s="150" t="e">
        <f ca="1">MAX(0,(Control!$C$112*(($DK277-Control!$C$97)/Control!$C$97)))</f>
        <v>#N/A</v>
      </c>
      <c r="FR277" s="150" t="e">
        <f ca="1">(1-$NT277)*Control!$C$113</f>
        <v>#DIV/0!</v>
      </c>
      <c r="FS277" s="198" t="e">
        <f t="shared" ca="1" si="967"/>
        <v>#N/A</v>
      </c>
      <c r="FT277" s="161">
        <f t="shared" ca="1" si="1092"/>
        <v>273</v>
      </c>
      <c r="FU277" s="162" t="e">
        <f ca="1">IF(Control!$B$34=1,VLOOKUP($CP277,Control!$B$86:$G$91,6),Control!$B$35)</f>
        <v>#N/A</v>
      </c>
      <c r="FV277" s="162" t="e">
        <f t="shared" ca="1" si="968"/>
        <v>#DIV/0!</v>
      </c>
      <c r="FW277" s="162" t="e">
        <f ca="1">IF(Control!$B$31=1,$FU277*$FV277,  $FU277)</f>
        <v>#N/A</v>
      </c>
      <c r="FX277" s="162" t="e">
        <f ca="1">IF(Control!$B$34=1,VLOOKUP($CP277,Control!$B$86:$G$91,3),Control!$B$36)</f>
        <v>#N/A</v>
      </c>
      <c r="FY277" s="162" t="e">
        <f t="shared" ca="1" si="969"/>
        <v>#N/A</v>
      </c>
      <c r="FZ277" s="162" t="e">
        <f ca="1">IF(Control!$B$34=1,VLOOKUP($CP277,Control!$B$86:$G$91,4),Control!$B$37)</f>
        <v>#N/A</v>
      </c>
      <c r="GA277" s="162" t="e">
        <f t="shared" ca="1" si="970"/>
        <v>#N/A</v>
      </c>
      <c r="GB277" s="162" t="e">
        <f ca="1">IF(Control!$B$34=1,VLOOKUP($CP277,Control!$B$86:$G$91,5),Control!$B$38)</f>
        <v>#N/A</v>
      </c>
      <c r="GC277" s="162" t="e">
        <f t="shared" ca="1" si="1093"/>
        <v>#N/A</v>
      </c>
      <c r="GD277" s="162">
        <f t="shared" ca="1" si="971"/>
        <v>1</v>
      </c>
      <c r="GE277" s="162">
        <f t="shared" ca="1" si="972"/>
        <v>1</v>
      </c>
      <c r="GF277" s="162">
        <f ca="1">IF(AND(Control!$C$104=1, Control!$C$62="F"),$GE277,1)</f>
        <v>1</v>
      </c>
      <c r="GG277" s="162" t="e">
        <f ca="1">IF(Control!$B$16=40,0,IF(AND(Control!$B$16&gt;40,Control!$B$16&lt;=360),(Control!$B$16-40)*((1-0)/(360-40)),IF(AND(Control!$B$16&gt;360,Control!$B$16&lt;=720),(1+(Control!$B$16-360)*((1.25-1)/(720-360))),IF(AND(Control!$B$16&gt;720,Control!$B$16&lt;=1000),(1.25+(Control!$B$16-720)*((1.35-1.25)/(1000-720))),IF(AND(Control!$B$16&gt;1000,Control!$B$16&lt;=2000),(1.35+(Control!$B$16-1000)*0))))))</f>
        <v>#N/A</v>
      </c>
      <c r="GH277" s="162" t="e">
        <f t="shared" ca="1" si="973"/>
        <v>#N/A</v>
      </c>
      <c r="GI277" s="162">
        <f t="shared" ca="1" si="1094"/>
        <v>0</v>
      </c>
      <c r="GJ277" s="162">
        <f t="shared" ca="1" si="974"/>
        <v>0</v>
      </c>
      <c r="GK277" s="162">
        <f t="shared" ca="1" si="1095"/>
        <v>1</v>
      </c>
      <c r="GL277" s="162">
        <f t="shared" ca="1" si="975"/>
        <v>1</v>
      </c>
      <c r="GM277" s="162" t="e">
        <f ca="1">MAX(0,MIN(1,1-Control!$C$156*(1.0001-$KH277)^2))</f>
        <v>#N/A</v>
      </c>
      <c r="GN277" s="162" t="e">
        <f ca="1">IF(Control!$B$26=1,$KU277,$KX277)</f>
        <v>#N/A</v>
      </c>
      <c r="GO277" s="162" t="e">
        <f ca="1">IF($CP277&lt;=60,Control!$C$105,IF($CP277&gt;=90,Control!$C$106,Control!$C$105+($CP277-60)*((Control!$C$106-Control!$C$105)/(90-60))))</f>
        <v>#N/A</v>
      </c>
      <c r="GP277" s="162" t="e">
        <f t="shared" ca="1" si="976"/>
        <v>#N/A</v>
      </c>
      <c r="GQ277" s="162" t="e">
        <f t="shared" ca="1" si="1096"/>
        <v>#N/A</v>
      </c>
      <c r="GR277" s="163" t="e">
        <f t="shared" ca="1" si="977"/>
        <v>#DIV/0!</v>
      </c>
      <c r="GS277" s="162" t="e">
        <f t="shared" ca="1" si="978"/>
        <v>#DIV/0!</v>
      </c>
      <c r="GT277" s="164" t="e">
        <f t="shared" ca="1" si="1097"/>
        <v>#N/A</v>
      </c>
      <c r="GU277" s="162" t="e">
        <f t="shared" ca="1" si="1098"/>
        <v>#N/A</v>
      </c>
      <c r="GV277" s="162" t="e">
        <f t="shared" ca="1" si="979"/>
        <v>#N/A</v>
      </c>
      <c r="GW277" s="162" t="e">
        <f t="shared" ca="1" si="980"/>
        <v>#DIV/0!</v>
      </c>
      <c r="GX277" s="162" t="e">
        <f t="shared" ca="1" si="1099"/>
        <v>#DIV/0!</v>
      </c>
      <c r="GY277" s="162" t="e">
        <f t="shared" ca="1" si="1100"/>
        <v>#DIV/0!</v>
      </c>
      <c r="GZ277" s="165" t="e">
        <f t="shared" ca="1" si="981"/>
        <v>#N/A</v>
      </c>
      <c r="HA277" s="162" t="e">
        <f ca="1">IF(Control!$C$114=1, $DI277*$FS277, 0)</f>
        <v>#N/A</v>
      </c>
      <c r="HB277" s="162" t="e">
        <f ca="1">$FA277/Control!$C$64</f>
        <v>#N/A</v>
      </c>
      <c r="HC277" s="162" t="e">
        <f t="shared" ca="1" si="982"/>
        <v>#DIV/0!</v>
      </c>
      <c r="HD277" s="162">
        <f ca="1">-ASIN(SIN(23.45*Control!$C$139)*COS(2*Control!$C$138*($AH277+10)/365))</f>
        <v>-6.314506024584518E-2</v>
      </c>
      <c r="HE277" s="165">
        <f t="shared" ca="1" si="1101"/>
        <v>0</v>
      </c>
      <c r="HF277" s="166">
        <f ca="1">IF(AND(Control!$C$61="T",$HE277&gt;=Control!$C$103,Control!$C$114=0),$AH277,Control!$C$59)</f>
        <v>1</v>
      </c>
      <c r="HG277" s="166">
        <f ca="1">IF(AND(Control!$C$61="T",$HE277&gt;=Control!$C$103,Control!$C$114=0),$HF277,Control!$C$59)</f>
        <v>1</v>
      </c>
      <c r="HH277" s="165">
        <f ca="1">IF(AND(OR(Control!$C$60&lt;=0, $AH277= Control!$C$59, Control!$C$60 &gt;0, $AH277 = Control!$C$60)), Control!$C$59, IF(Control!$C$60&gt;0, 0))</f>
        <v>1</v>
      </c>
      <c r="HI277" s="165">
        <f ca="1">IF(AND(OR(Control!$C$60&lt;=0, $AH277= Control!$C$59, Control!$C$60 &gt;0, $AH277 = Control!$C$60)), Control!$C$60, IF(Control!$C$60&lt;=0, 0))</f>
        <v>0</v>
      </c>
      <c r="HJ277" s="166">
        <f ca="1">IF(AND(Control!$C$62="F",$CV277&gt;=Control!$C$102),$AH277,0)</f>
        <v>0</v>
      </c>
      <c r="HK277" s="165" t="e">
        <f t="shared" ca="1" si="1138"/>
        <v>#N/A</v>
      </c>
      <c r="HL277" s="166">
        <f ca="1">IF(AND(Control!$C$61="T",$HE277&gt;=Control!$C$103,Control!$C$114=0),$HF277,0)</f>
        <v>0</v>
      </c>
      <c r="HM277" s="201" t="e">
        <f t="shared" ca="1" si="983"/>
        <v>#DIV/0!</v>
      </c>
      <c r="HN277" s="215">
        <f t="shared" ca="1" si="1102"/>
        <v>273</v>
      </c>
      <c r="HO277" s="216" t="e">
        <f ca="1">IF(AND($CP277&gt;=0, $CP277&lt;=90), Control!$C$152, Control!$C$152)</f>
        <v>#N/A</v>
      </c>
      <c r="HP277" s="216" t="e">
        <f t="shared" ca="1" si="984"/>
        <v>#N/A</v>
      </c>
      <c r="HQ277" s="217" t="e">
        <f ca="1">IF(OR(Control!$B$26=1,Control!$B$26=2),$KV277,$KS277)</f>
        <v>#DIV/0!</v>
      </c>
      <c r="HR277" s="218" t="e">
        <f t="shared" ca="1" si="1139"/>
        <v>#DIV/0!</v>
      </c>
      <c r="HS277" s="216" t="e">
        <f ca="1">Control!$C$154*$HP277</f>
        <v>#N/A</v>
      </c>
      <c r="HT277" s="216" t="e">
        <f ca="1">Control!$C$155*$HP277</f>
        <v>#N/A</v>
      </c>
      <c r="HU277" s="217" t="e">
        <f ca="1">Control!$C$161*$FI277</f>
        <v>#N/A</v>
      </c>
      <c r="HV277" s="218" t="e">
        <f t="shared" ca="1" si="1103"/>
        <v>#N/A</v>
      </c>
      <c r="HW277" s="218" t="e">
        <f ca="1">Control!$C$160*$FF277+$IP277*$EO277</f>
        <v>#N/A</v>
      </c>
      <c r="HX277" s="218" t="e">
        <f t="shared" ca="1" si="1140"/>
        <v>#N/A</v>
      </c>
      <c r="HY277" s="219" t="e">
        <f ca="1">IF(Control!$C$114=1, $EB277*$FS277, 0)</f>
        <v>#N/A</v>
      </c>
      <c r="HZ277" s="91" t="e">
        <f t="shared" ca="1" si="985"/>
        <v>#N/A</v>
      </c>
      <c r="IA277" s="220" t="e">
        <f ca="1">Control!$C$153*$HO277</f>
        <v>#N/A</v>
      </c>
      <c r="IB277" s="218" t="e">
        <f t="shared" ca="1" si="986"/>
        <v>#N/A</v>
      </c>
      <c r="IC277" s="220" t="e">
        <f ca="1">Control!$C$153*$HT277</f>
        <v>#N/A</v>
      </c>
      <c r="ID277" s="218" t="e">
        <f t="shared" ca="1" si="987"/>
        <v>#N/A</v>
      </c>
      <c r="IE277" s="221" t="e">
        <f ca="1">($EB277*Control!$C$159+$EF277*Control!$C$160)/(IF($GZ277&lt;&gt;0,$GZ277,1))</f>
        <v>#N/A</v>
      </c>
      <c r="IF277" s="216" t="e">
        <f t="shared" ca="1" si="988"/>
        <v>#N/A</v>
      </c>
      <c r="IG277" s="91">
        <f ca="1">IF(OR(Control!$B$198=$AH277,Control!$B$199=$AH277, Control!$B$200=$AH277, Control!$B$201=$AH277, Control!$B$202=$AH277, Control!$B$203=$AH277, Control!$B$204=$AH277, Control!$B$205=$AH277, Control!$B$206=$AH277, Control!$B$207=$AH277), 1, 0)</f>
        <v>0</v>
      </c>
      <c r="IH277" s="91">
        <f ca="1">IF($IG277=0,0, VLOOKUP($AH277,Control!$B$198:$C$207,2))</f>
        <v>0</v>
      </c>
      <c r="II277" s="222">
        <f t="shared" ca="1" si="1104"/>
        <v>0</v>
      </c>
      <c r="IJ277" s="91">
        <f>Control!$C$121</f>
        <v>0.7</v>
      </c>
      <c r="IK277" s="218">
        <f t="shared" ca="1" si="989"/>
        <v>0</v>
      </c>
      <c r="IL277" s="217" t="e">
        <f t="shared" ca="1" si="1141"/>
        <v>#N/A</v>
      </c>
      <c r="IM277" s="223" t="e">
        <f ca="1">IF(AND(Control!$C$114=1,$KH277&lt;1),$EB277*Control!$C$148*(1-$KH277), 0)</f>
        <v>#N/A</v>
      </c>
      <c r="IN277" s="217" t="e">
        <f t="shared" ca="1" si="990"/>
        <v>#DIV/0!</v>
      </c>
      <c r="IO277" s="91" t="e">
        <f ca="1">MAX(0,$IL277-$EF277*Control!$C$160)</f>
        <v>#N/A</v>
      </c>
      <c r="IP277" s="220" t="e">
        <f t="shared" ca="1" si="991"/>
        <v>#N/A</v>
      </c>
      <c r="IQ277" s="217" t="e">
        <f t="shared" ca="1" si="1105"/>
        <v>#N/A</v>
      </c>
      <c r="IR277" s="218" t="e">
        <f t="shared" ca="1" si="992"/>
        <v>#N/A</v>
      </c>
      <c r="IS277" s="217" t="e">
        <f ca="1">Control!$C$159*MAX(0,$FD277-$EN277)</f>
        <v>#N/A</v>
      </c>
      <c r="IT277" s="217" t="e">
        <f t="shared" ca="1" si="1142"/>
        <v>#N/A</v>
      </c>
      <c r="IU277" s="217" t="e">
        <f t="shared" ca="1" si="1106"/>
        <v>#N/A</v>
      </c>
      <c r="IV277" s="217" t="e">
        <f t="shared" ca="1" si="1143"/>
        <v>#N/A</v>
      </c>
      <c r="IW277" s="217" t="e">
        <f ca="1">IF(OR($AW277=1,AND($AW277=0, Control!$B$18=1,$EN277&lt;&gt;0)), $IQ277-$IU277, $IQ277)</f>
        <v>#N/A</v>
      </c>
      <c r="IX277" s="218" t="e">
        <f t="shared" ca="1" si="993"/>
        <v>#N/A</v>
      </c>
      <c r="IY277" s="218" t="e">
        <f ca="1">MAX(0,$IQ277-$EB277*Control!$C$159)</f>
        <v>#N/A</v>
      </c>
      <c r="IZ277" s="218" t="e">
        <f t="shared" ca="1" si="994"/>
        <v>#N/A</v>
      </c>
      <c r="JA277" s="216" t="e">
        <f t="shared" ca="1" si="995"/>
        <v>#N/A</v>
      </c>
      <c r="JB277" s="217" t="e">
        <f t="shared" ca="1" si="996"/>
        <v>#N/A</v>
      </c>
      <c r="JC277" s="222" t="e">
        <f ca="1">MAX(Control!$C$157*$EK277-$JT277, 0)/Control!$C$162</f>
        <v>#N/A</v>
      </c>
      <c r="JD277" s="218" t="e">
        <f t="shared" ca="1" si="997"/>
        <v>#N/A</v>
      </c>
      <c r="JE277" s="218" t="e">
        <f t="shared" ca="1" si="998"/>
        <v>#N/A</v>
      </c>
      <c r="JF277" s="218" t="e">
        <f t="shared" ca="1" si="1107"/>
        <v>#N/A</v>
      </c>
      <c r="JG277" s="218" t="e">
        <f t="shared" ca="1" si="999"/>
        <v>#N/A</v>
      </c>
      <c r="JH277" s="217" t="e">
        <f t="shared" ca="1" si="1108"/>
        <v>#N/A</v>
      </c>
      <c r="JI277" s="217" t="e">
        <f t="shared" ca="1" si="1109"/>
        <v>#N/A</v>
      </c>
      <c r="JJ277" s="217" t="e">
        <f t="shared" ca="1" si="1144"/>
        <v>#N/A</v>
      </c>
      <c r="JK277" s="217" t="e">
        <f ca="1">IF(Control!$C$114=1,IF(Control!$B$24=0,MAX(0,$JI277)*$GN277/Control!$C$64,(MAX(0,MIN($JI277,$JJ277*$GN277/Control!$C$64),0))))</f>
        <v>#N/A</v>
      </c>
      <c r="JL277" s="217" t="e">
        <f ca="1">$IK277/Control!$C$64-$JK277+$HQ277</f>
        <v>#N/A</v>
      </c>
      <c r="JM277" s="217" t="e">
        <f ca="1">IF(Control!$C$114=1,($JB277/(IF($JI277&lt;&gt;0,$JI277,1)))*$JK277,0)</f>
        <v>#N/A</v>
      </c>
      <c r="JN277" s="217" t="e">
        <f ca="1">IF(Control!$C$114=1,($JG277/(IF($JI277&lt;&gt;0,$JI277,1)))*$JK277, 0)</f>
        <v>#N/A</v>
      </c>
      <c r="JO277" s="218" t="e">
        <f t="shared" ca="1" si="1000"/>
        <v>#N/A</v>
      </c>
      <c r="JP277" s="218" t="e">
        <f ca="1">MIN(($IY277+$IO277)*Control!$C$151, $JF277-$EH277*Control!$C$161)</f>
        <v>#N/A</v>
      </c>
      <c r="JQ277" s="218" t="e">
        <f t="shared" ca="1" si="1001"/>
        <v>#N/A</v>
      </c>
      <c r="JR277" s="217" t="e">
        <f ca="1">IF($CP277-Control!$C$150&lt;0, 0, $JQ277/Control!$C$162)</f>
        <v>#N/A</v>
      </c>
      <c r="JS277" s="218" t="e">
        <f t="shared" ca="1" si="1002"/>
        <v>#N/A</v>
      </c>
      <c r="JT277" s="218" t="e">
        <f t="shared" ca="1" si="1110"/>
        <v>#N/A</v>
      </c>
      <c r="JU277" s="218" t="e">
        <f t="shared" ca="1" si="1003"/>
        <v>#N/A</v>
      </c>
      <c r="JV277" s="218" t="e">
        <f t="shared" ca="1" si="1004"/>
        <v>#N/A</v>
      </c>
      <c r="JW277" s="216" t="e">
        <f t="shared" ca="1" si="1005"/>
        <v>#N/A</v>
      </c>
      <c r="JX277" s="91" t="e">
        <f t="shared" ca="1" si="1006"/>
        <v>#N/A</v>
      </c>
      <c r="JY277" s="218" t="e">
        <f t="shared" ca="1" si="1007"/>
        <v>#N/A</v>
      </c>
      <c r="JZ277" s="217" t="e">
        <f ca="1">IF(Control!$C$114=1,($IZ277/(IF($JI277&lt;&gt;0,$JI277,1)))*$JK277, 0)</f>
        <v>#N/A</v>
      </c>
      <c r="KA277" s="218" t="e">
        <f t="shared" ca="1" si="1145"/>
        <v>#N/A</v>
      </c>
      <c r="KB277" s="218" t="e">
        <f t="shared" ca="1" si="1111"/>
        <v>#N/A</v>
      </c>
      <c r="KC277" s="218" t="e">
        <f t="shared" ca="1" si="1008"/>
        <v>#N/A</v>
      </c>
      <c r="KD277" s="218" t="e">
        <f t="shared" ca="1" si="1009"/>
        <v>#N/A</v>
      </c>
      <c r="KE277" s="218" t="e">
        <f t="shared" ca="1" si="1010"/>
        <v>#N/A</v>
      </c>
      <c r="KF277" s="218" t="e">
        <f t="shared" ca="1" si="1011"/>
        <v>#N/A</v>
      </c>
      <c r="KG277" s="216" t="e">
        <f t="shared" ca="1" si="1012"/>
        <v>#N/A</v>
      </c>
      <c r="KH277" s="221" t="e">
        <f ca="1">IF(Control!$B$24=0,1,MAX(0.001,MIN(1,IF(($IF277-$IE277)&lt;&gt;0,($KG277-$IE277)/($IF277-$IE277),1))))</f>
        <v>#N/A</v>
      </c>
      <c r="KI277" s="222" t="e">
        <f ca="1">IF(Control!$C$114=1, $KI276+ $KH276, 0)</f>
        <v>#N/A</v>
      </c>
      <c r="KJ277" s="217" t="e">
        <f t="shared" ca="1" si="1013"/>
        <v>#N/A</v>
      </c>
      <c r="KK277" s="218" t="e">
        <f t="shared" ca="1" si="1014"/>
        <v>#N/A</v>
      </c>
      <c r="KL277" s="274" t="e">
        <f ca="1">IF(Control!$B$26=3,4000000000*EXP(-8400/($G277+273)),IF(Control!$B$26=4,4000000000*EXP(-8400/($G277+273))*($KT277),0))</f>
        <v>#DIV/0!</v>
      </c>
      <c r="KM277" s="274" t="e">
        <f ca="1">IF(Control!$B$26=3,5600000000000*EXP(-9800/($G277+273)),IF(Control!$B$26=4,5600000000000*EXP(-9800/($G277+273))*$KT277,0))</f>
        <v>#DIV/0!</v>
      </c>
      <c r="KN277" s="454" t="e">
        <f t="shared" ca="1" si="1112"/>
        <v>#DIV/0!</v>
      </c>
      <c r="KO277" s="274" t="e">
        <f t="shared" ca="1" si="1113"/>
        <v>#DIV/0!</v>
      </c>
      <c r="KP277" s="454" t="e">
        <f t="shared" ca="1" si="1015"/>
        <v>#DIV/0!</v>
      </c>
      <c r="KQ277" s="454" t="e">
        <f t="shared" ca="1" si="1016"/>
        <v>#DIV/0!</v>
      </c>
      <c r="KR277" s="454" t="e">
        <f t="shared" ca="1" si="1017"/>
        <v>#DIV/0!</v>
      </c>
      <c r="KS277" s="454" t="e">
        <f t="shared" ca="1" si="1018"/>
        <v>#DIV/0!</v>
      </c>
      <c r="KT277" s="455" t="e">
        <f t="shared" ca="1" si="1019"/>
        <v>#DIV/0!</v>
      </c>
      <c r="KU277" s="456" t="e">
        <f ca="1">IF($CP277-Control!$C$149&lt;0, IF($NT277-0.01&lt;0,0,1),0)</f>
        <v>#N/A</v>
      </c>
      <c r="KV277" s="456" t="e">
        <f ca="1">IF(Control!$C$114=1,MAX(0,MIN(Control!$C$125*$KW277*$GN277,$KW277)))</f>
        <v>#DIV/0!</v>
      </c>
      <c r="KW277" s="456" t="e">
        <f t="shared" ca="1" si="1146"/>
        <v>#DIV/0!</v>
      </c>
      <c r="KX277" s="457" t="e">
        <f ca="1">IF($CP277-Control!$C$149&lt;0, IF($MR277-$OM277&lt;0,0,1),0)</f>
        <v>#N/A</v>
      </c>
      <c r="KY277" s="167">
        <f t="shared" ca="1" si="1114"/>
        <v>273</v>
      </c>
      <c r="KZ277" s="168">
        <f ca="1">1370*(1+0.033*COS(2*Control!$C$138*$AH277/365))</f>
        <v>1369.4168223049628</v>
      </c>
      <c r="LA277" s="169">
        <f t="shared" ca="1" si="1115"/>
        <v>0.99957396022952472</v>
      </c>
      <c r="LB277" s="169">
        <f t="shared" ca="1" si="1116"/>
        <v>-6.8343132327083486E-2</v>
      </c>
      <c r="LC277" s="169">
        <f ca="1">ACOS(-TAN((2*Control!$B$8/360))*TAN(Calculations!$LB277))</f>
        <v>1.5504514471890878</v>
      </c>
      <c r="LD277" s="169">
        <f ca="1">((24*60)/PI())*0.082*$LA277*(($LC277*SIN(Control!$B$8*2*PI()/360))*SIN($LB277)+COS(Control!$B$8*2*PI()/360)*COS($LB277)*SIN($LC277))</f>
        <v>19.936993896002086</v>
      </c>
      <c r="LE277" s="170">
        <f t="shared" ca="1" si="1020"/>
        <v>20.274450997340669</v>
      </c>
      <c r="LF277" s="170">
        <f ca="1">SIN(Control!$C$139*Control!$B$8)*SIN($HD277)</f>
        <v>-4.9726008230975519E-2</v>
      </c>
      <c r="LG277" s="170">
        <f ca="1">COS(Control!$C$139*Control!$B$8)*COS($HD277)</f>
        <v>0.61443280096975994</v>
      </c>
      <c r="LH277" s="170">
        <f ca="1">12*(1+2*ASIN(MAX(-1,MIN(1,$LF277/$LG277))/Control!$C$138))</f>
        <v>11.38167386311045</v>
      </c>
      <c r="LI277" s="170">
        <f ca="1">12*(1+2*ASIN(MAX(-1,MIN(1,(-SIN(-4*Control!$C$139)+$LF277)/$LG277))/Control!$C$138))</f>
        <v>12.249051022658023</v>
      </c>
      <c r="LJ277" s="168">
        <f ca="1">3600*($LH277*$LF277+24*$LG277*SQRT(1-$LK277*$LK277)/Control!$C$138)</f>
        <v>14805.171564356349</v>
      </c>
      <c r="LK277" s="170">
        <f t="shared" ca="1" si="1021"/>
        <v>-8.0929937582259456E-2</v>
      </c>
      <c r="LL277" s="170">
        <f t="shared" ca="1" si="1022"/>
        <v>0</v>
      </c>
      <c r="LM277" s="171">
        <f ca="1">Control!$C$145*$AB277</f>
        <v>6.6660906138995932E-2</v>
      </c>
      <c r="LN277" s="170">
        <f t="shared" ca="1" si="1117"/>
        <v>0.54</v>
      </c>
      <c r="LO277" s="170">
        <f t="shared" ca="1" si="1023"/>
        <v>0</v>
      </c>
      <c r="LP277" s="170">
        <f ca="1">Control!$C$140*((($D277+273.16)^4+($E277+273.16)^4)/2)*(0.34-0.14*SQRT($Y277))*(1.35*$AQ277/(0.75*$LD277)-0.35)</f>
        <v>-3.2464704755046001</v>
      </c>
      <c r="LQ277" s="170">
        <f ca="1">Control!$C$140*($G277+273)^4*(0.56-0.079*SQRT($Y277*10))*(0.1+0.9*$LO277)</f>
        <v>1.5241745131704001</v>
      </c>
      <c r="LR277" s="170">
        <f ca="1">$AQ277*(1-Control!$C$142)-$LQ277</f>
        <v>-1.5241745131704001</v>
      </c>
      <c r="LS277" s="170">
        <f ca="1">$AQ277*(1-Control!$C$143)-$LQ277</f>
        <v>-1.5241745131704001</v>
      </c>
      <c r="LT277" s="170">
        <f ca="1">$AQ277*(1-Control!$C$144)-$LQ277</f>
        <v>-1.5241745131704001</v>
      </c>
      <c r="LU277" s="169">
        <f ca="1">(1-Control!$C$144)*AQ277-LP277</f>
        <v>3.2464704755046001</v>
      </c>
      <c r="LV277" s="172">
        <f t="shared" ca="1" si="1024"/>
        <v>0.79430000000000012</v>
      </c>
      <c r="LW277" s="170">
        <f t="shared" ca="1" si="1025"/>
        <v>1.5886000000000002</v>
      </c>
      <c r="LX277" s="170">
        <f ca="1">($AC277*($LR277/Control!$C$141)+$LM277*$LV277)/($AC277+$LM277)</f>
        <v>0.23530094218323697</v>
      </c>
      <c r="LY277" s="170">
        <f ca="1">($AC277*($LS277/Control!$C$141)+$LM277*$LV277)/($AC277+$LM277)</f>
        <v>0.23530094218323697</v>
      </c>
      <c r="LZ277" s="170">
        <f t="shared" ca="1" si="1026"/>
        <v>0.23530094218323697</v>
      </c>
      <c r="MA277" s="170">
        <f t="shared" ca="1" si="1027"/>
        <v>0.23530094218323697</v>
      </c>
      <c r="MB277" s="170" t="e">
        <f t="shared" ca="1" si="1028"/>
        <v>#N/A</v>
      </c>
      <c r="MC277" s="170">
        <f t="shared" ca="1" si="1118"/>
        <v>0.6018</v>
      </c>
      <c r="MD277" s="170">
        <f t="shared" ca="1" si="1029"/>
        <v>0.52989392535414004</v>
      </c>
      <c r="ME277" s="170">
        <f ca="1">($AC277*($LT277/Control!$C$141)+$LM277*$LW277)/($AC277+$LM277)</f>
        <v>0.71612369323045078</v>
      </c>
      <c r="MF277" s="170" t="e">
        <f ca="1">IF(Control!$B$16&gt;=1000,0.92,IF(AND(720&lt;=Control!$B$16,1000&gt;Control!$B$16),(0.95+(Control!$B$16-720)*((0.92-0.95)/(1000-720))),IF(AND(360&lt;=Control!$B$16,720&gt;Control!$B$16),(1+(Control!$B$16-360)*((0.95-1)/(720-360))),IF(AND(40&lt;=Control!$B$16,360&gt;Control!$B$16),(1.05+(Control!$B$16-40)*((1.05-1)/(360-40)))))))</f>
        <v>#N/A</v>
      </c>
      <c r="MG277" s="170">
        <f t="shared" ca="1" si="1030"/>
        <v>0.71612369323045078</v>
      </c>
      <c r="MH277" s="170" t="e">
        <f t="shared" ca="1" si="1155"/>
        <v>#N/A</v>
      </c>
      <c r="MI277" s="170" t="e">
        <f t="shared" ca="1" si="1155"/>
        <v>#N/A</v>
      </c>
      <c r="MJ277" s="170" t="e">
        <f ca="1">MAX(0.0001, Control!$C$132*$MI277*$DL277)</f>
        <v>#N/A</v>
      </c>
      <c r="MK277" s="170">
        <f ca="1">1/(0.76+1.5*($MG277/10))-(5-Control!$C$110)*0.1</f>
        <v>1.002845988140797</v>
      </c>
      <c r="ML277" s="173">
        <f ca="1">IF(Control!$C$110&lt;3,$MK277+($MG277-0.6)/(Control!$C$110*(Control!$C$110+3)), MAX(0.1, MIN(0.95,$MK277)))</f>
        <v>0.95</v>
      </c>
      <c r="MM277" s="173">
        <f ca="1">IF(Control!$C$110&lt;3,$MK277+(($MI277/10)-0.6)/(Control!$C$110*(Control!$C$110+3)), MAX(0.1, MIN(0.95,$MK277)))</f>
        <v>0.95</v>
      </c>
      <c r="MN277" s="173">
        <f ca="1">(1-$MM277)*(Control!$C$128-Control!$C$127)+Control!$C$127</f>
        <v>0.16</v>
      </c>
      <c r="MO277" s="170" t="e">
        <f ca="1">MAX(0,MIN(1,($MS277-Control!$C$127)/($MN277-Control!$C$127)))</f>
        <v>#DIV/0!</v>
      </c>
      <c r="MP277" s="173" t="e">
        <f ca="1">1/(0.76+1.5*$MI277)-(5-Control!$C$110)*0.1</f>
        <v>#N/A</v>
      </c>
      <c r="MQ277" s="172" t="e">
        <f t="shared" ca="1" si="1147"/>
        <v>#DIV/0!</v>
      </c>
      <c r="MR277" s="168" t="e">
        <f t="shared" ca="1" si="1119"/>
        <v>#DIV/0!</v>
      </c>
      <c r="MS277" s="173" t="e">
        <f ca="1">MAX(Control!$C$127, MIN(Control!$C$135, $MR277/MAX(0.0001,$CY277)))</f>
        <v>#DIV/0!</v>
      </c>
      <c r="MT277" s="168" t="e">
        <f ca="1">(Control!$C$128-$MS277)*Control!$C$74</f>
        <v>#DIV/0!</v>
      </c>
      <c r="MU277" s="168" t="e">
        <f ca="1">(Control!$C$135-$MS277)*Control!$C$74</f>
        <v>#DIV/0!</v>
      </c>
      <c r="MV277" s="168" t="e">
        <f t="shared" ca="1" si="1120"/>
        <v>#DIV/0!</v>
      </c>
      <c r="MW277" s="168" t="e">
        <f t="shared" ca="1" si="1121"/>
        <v>#DIV/0!</v>
      </c>
      <c r="MX277" s="171" t="e">
        <f ca="1">MAX(Control!$C$127, MIN(Control!$C$135, $MW277/MAX(0.0001,Control!$C$119-$CY277)))</f>
        <v>#DIV/0!</v>
      </c>
      <c r="MY277" s="54" t="e">
        <f ca="1">IF(Control!$C$114=1, $CX277*$MX277, 0)</f>
        <v>#DIV/0!</v>
      </c>
      <c r="MZ277" s="54" t="e">
        <f t="shared" ca="1" si="1122"/>
        <v>#N/A</v>
      </c>
      <c r="NA277" s="168" t="e">
        <f ca="1">(Control!$C$128-$MX277)*(Control!$C$119-Control!$C$74)</f>
        <v>#DIV/0!</v>
      </c>
      <c r="NB277" s="168" t="e">
        <f ca="1">(Control!$C$135-$MX277)*(Control!$C$119-Control!$C$74)</f>
        <v>#DIV/0!</v>
      </c>
      <c r="NC277" s="174" t="e">
        <f t="shared" ca="1" si="1123"/>
        <v>#DIV/0!</v>
      </c>
      <c r="ND277" s="54">
        <f ca="1">IF(Control!$C$58=2, IF(OR(Control!$B$218=$AH277,Control!$B$219=$AH277, Control!$B$220=$AH277, Control!$B$221=$AH277, Control!$B$222=$AH277, Control!$B$223=$AH277, Control!$B$224=$AH277, Control!$B$225=$AH277, Control!$B$226=$AH277, Control!$B$227=$AH277, Control!$B$228=$AH277), 1, 0), 0)</f>
        <v>0</v>
      </c>
      <c r="NE277" s="54">
        <f ca="1">IF($ND277=0,0, VLOOKUP($AH277,Control!$B$218:$C$228,2))</f>
        <v>0</v>
      </c>
      <c r="NF277" s="168" t="e">
        <f ca="1">$CY277*(Control!$C$128-Control!$C$127)</f>
        <v>#N/A</v>
      </c>
      <c r="NG277" s="54" t="e">
        <f ca="1">IF(Control!$C$58=2, $NI276-$NJ276, 0)</f>
        <v>#DIV/0!</v>
      </c>
      <c r="NH277" s="54" t="e">
        <f ca="1">IF(AND(Control!$C$58=1, $MS276&lt;= ($MN276+0.02), $I276&lt;10), 0, IF(Control!$C$58=2, $NG276, 0))</f>
        <v>#DIV/0!</v>
      </c>
      <c r="NI277" s="54" t="e">
        <f ca="1">IF(Control!$C$58=2, $NE277+$NH277,0)</f>
        <v>#DIV/0!</v>
      </c>
      <c r="NJ277" s="54" t="e">
        <f ca="1">IF(AND(Control!$C$58=1, $MS277&lt;= ($MN277+0.02), $I277&lt;10), MAX(0, MIN(10, 0.7*($NF277-$MV277))), IF(Control!$C$58=2, MIN(10,$NI277),0))</f>
        <v>#DIV/0!</v>
      </c>
      <c r="NK277" s="54" t="e">
        <f t="shared" ca="1" si="1031"/>
        <v>#DIV/0!</v>
      </c>
      <c r="NL277" s="173" t="e">
        <f ca="1">(1-Control!$C$73)*$I277+$NJ277</f>
        <v>#DIV/0!</v>
      </c>
      <c r="NM277" s="172" t="e">
        <f ca="1">IF($NL277&lt;0.5, $MB277* MAX(0, MIN(1, (SQRT($NC277)-SQRT($NC277-1))*Control!$C$71)),0)</f>
        <v>#DIV/0!</v>
      </c>
      <c r="NN277" s="170" t="e">
        <f ca="1">IF($NL277&gt;=5, $MB277, MAX(0,MIN($MB277, $NM277+$NL277,($MS277-Control!$C$129))))</f>
        <v>#DIV/0!</v>
      </c>
      <c r="NO277" s="54">
        <f>IF(Control!$C$133&lt;&gt;1, Control!$C$135-Control!$C$131, 0)</f>
        <v>0.38</v>
      </c>
      <c r="NP277" s="54" t="e">
        <f t="shared" ca="1" si="1032"/>
        <v>#DIV/0!</v>
      </c>
      <c r="NQ277" s="173" t="e">
        <f ca="1">MAX(0,MIN(1,(Control!$C$135-$MS277)/(Control!$C$135-$NO277)))</f>
        <v>#DIV/0!</v>
      </c>
      <c r="NR277" s="170" t="e">
        <f ca="1">IF(Control!$C$133&lt;&gt;1, $NQ277+((1-$NP277/4)*(1-$NQ277)),1)</f>
        <v>#DIV/0!</v>
      </c>
      <c r="NS277" s="170" t="e">
        <f ca="1">IF(Control!$B$31=0,$MJ277,MAX(0,MIN($MV277,$MO277*$NR277*$MJ277)))</f>
        <v>#DIV/0!</v>
      </c>
      <c r="NT277" s="170" t="e">
        <f t="shared" ca="1" si="1148"/>
        <v>#DIV/0!</v>
      </c>
      <c r="NU277" s="170" t="e">
        <f t="shared" ca="1" si="1124"/>
        <v>#N/A</v>
      </c>
      <c r="NV277" s="170" t="e">
        <f t="shared" ca="1" si="1033"/>
        <v>#N/A</v>
      </c>
      <c r="NW277" s="175" t="e">
        <f t="shared" ca="1" si="1034"/>
        <v>#DIV/0!</v>
      </c>
      <c r="NX277" s="170" t="e">
        <f ca="1">MIN(Control!$C$72+$MU277, $NW277)</f>
        <v>#DIV/0!</v>
      </c>
      <c r="NY277" s="170" t="e">
        <f ca="1">IF($MT277&lt;=$NX277,MIN(Control!$C$72+$NB277,$NX277-$MT277),0)</f>
        <v>#DIV/0!</v>
      </c>
      <c r="NZ277" s="54" t="e">
        <f ca="1">IF(Control!$C$114=1,  $CX277*($MX277-Control!$C$127), 0)</f>
        <v>#DIV/0!</v>
      </c>
      <c r="OA277" s="170" t="e">
        <f t="shared" ca="1" si="1035"/>
        <v>#DIV/0!</v>
      </c>
      <c r="OB277" s="170" t="e">
        <f ca="1">IF($NA277 &lt;=$NY277, MIN(Control!$C$72, $NY277-$NA277), 0)</f>
        <v>#DIV/0!</v>
      </c>
      <c r="OC277" s="168" t="e">
        <f t="shared" ca="1" si="1036"/>
        <v>#DIV/0!</v>
      </c>
      <c r="OD277" s="168" t="e">
        <f t="shared" ca="1" si="1125"/>
        <v>#DIV/0!</v>
      </c>
      <c r="OE277" s="170">
        <f ca="1">Control!$C$73*$I277</f>
        <v>0</v>
      </c>
      <c r="OF277" s="176" t="e">
        <f t="shared" ca="1" si="1037"/>
        <v>#DIV/0!</v>
      </c>
      <c r="OG277" s="168" t="e">
        <f t="shared" ca="1" si="1038"/>
        <v>#DIV/0!</v>
      </c>
      <c r="OH277" s="168" t="e">
        <f t="shared" ca="1" si="1039"/>
        <v>#DIV/0!</v>
      </c>
      <c r="OI277" s="168" t="e">
        <f t="shared" ca="1" si="1040"/>
        <v>#DIV/0!</v>
      </c>
      <c r="OJ277" s="168" t="e">
        <f t="shared" ca="1" si="1041"/>
        <v>#DIV/0!</v>
      </c>
      <c r="OK277" s="204" t="e">
        <f t="shared" ca="1" si="1042"/>
        <v>#DIV/0!</v>
      </c>
      <c r="OL277" s="177">
        <f>Control!$C$127</f>
        <v>0.15</v>
      </c>
      <c r="OM277" s="182" t="e">
        <f t="shared" ca="1" si="1043"/>
        <v>#N/A</v>
      </c>
      <c r="ON277" s="177">
        <f>Control!$C$128</f>
        <v>0.35</v>
      </c>
      <c r="OO277" s="182" t="e">
        <f t="shared" ca="1" si="1044"/>
        <v>#N/A</v>
      </c>
      <c r="OP277" s="138">
        <f t="shared" ca="1" si="1126"/>
        <v>0</v>
      </c>
      <c r="OQ277" s="138" t="e">
        <f t="shared" ca="1" si="1149"/>
        <v>#DIV/0!</v>
      </c>
      <c r="OR277" s="138" t="e">
        <f t="shared" ca="1" si="1127"/>
        <v>#DIV/0!</v>
      </c>
      <c r="OS277" s="137" t="e">
        <f t="shared" ca="1" si="1150"/>
        <v>#DIV/0!</v>
      </c>
      <c r="OT277" s="139" t="e">
        <f t="shared" ca="1" si="1151"/>
        <v>#DIV/0!</v>
      </c>
      <c r="OU277" s="138" t="e">
        <f t="shared" ca="1" si="1152"/>
        <v>#N/A</v>
      </c>
      <c r="OV277" s="138" t="e">
        <f t="shared" ca="1" si="1153"/>
        <v>#DIV/0!</v>
      </c>
      <c r="OW277" s="138" t="e">
        <f t="shared" ca="1" si="1128"/>
        <v>#DIV/0!</v>
      </c>
      <c r="OX277" s="138" t="e">
        <f t="shared" ca="1" si="1129"/>
        <v>#DIV/0!</v>
      </c>
      <c r="OY277" s="138" t="e">
        <f t="shared" ca="1" si="1130"/>
        <v>#DIV/0!</v>
      </c>
      <c r="OZ277" s="138" t="e">
        <f t="shared" ca="1" si="1045"/>
        <v>#DIV/0!</v>
      </c>
      <c r="PA277" s="138" t="e">
        <f t="shared" ca="1" si="1046"/>
        <v>#DIV/0!</v>
      </c>
      <c r="PB277" s="55">
        <f>IF(Control!$C$61="T", IF(Control!$C$65="F", IF($AH$6-Control!$C$60&lt;0,0,1), IF(365+$AH$6-Control!$C$60&lt;0,0,1)),0)</f>
        <v>0</v>
      </c>
      <c r="PC277" s="55">
        <f ca="1">IF(Control!$C$65="F", IF($AH$6-$HF277&lt;0,0,1), IF(365+$AH$6-$HF277&lt;0,0,1))</f>
        <v>1</v>
      </c>
      <c r="PD277" s="444">
        <f>Control!$C$118</f>
        <v>1500</v>
      </c>
      <c r="PE277" s="180" t="e">
        <f t="shared" ca="1" si="1047"/>
        <v>#N/A</v>
      </c>
      <c r="PF277" s="445">
        <f t="shared" ca="1" si="1131"/>
        <v>0.71612369323045078</v>
      </c>
      <c r="PT277" s="186"/>
      <c r="PU277" s="186"/>
      <c r="PV277" s="94"/>
      <c r="PW277" s="94"/>
      <c r="PX277" s="94"/>
      <c r="PY277" s="94"/>
      <c r="PZ277" s="94"/>
      <c r="QA277" s="94"/>
      <c r="QB277" s="94"/>
      <c r="QC277" s="94"/>
      <c r="QD277" s="94"/>
      <c r="QE277" s="94"/>
      <c r="QF277" s="94"/>
      <c r="QG277" s="94"/>
      <c r="QH277" s="94"/>
      <c r="QI277" s="94"/>
      <c r="QJ277" s="94"/>
      <c r="QK277" s="94"/>
      <c r="QL277" s="94"/>
      <c r="QM277" s="94"/>
      <c r="QN277" s="94"/>
      <c r="QO277" s="94"/>
      <c r="QP277" s="94"/>
    </row>
    <row r="278" spans="1:458" s="2" customFormat="1" x14ac:dyDescent="0.2">
      <c r="A278" s="395">
        <v>30</v>
      </c>
      <c r="B278" s="396">
        <v>9</v>
      </c>
      <c r="C278" s="387">
        <f ca="1">Weather_data!$B277</f>
        <v>0</v>
      </c>
      <c r="D278" s="388">
        <f ca="1">Weather_data!$F277</f>
        <v>0</v>
      </c>
      <c r="E278" s="388">
        <f ca="1">Weather_data!$E277</f>
        <v>0</v>
      </c>
      <c r="F278" s="388">
        <f t="shared" ca="1" si="1048"/>
        <v>0</v>
      </c>
      <c r="G278" s="388">
        <f ca="1">AVERAGE($D278:$E278)+Control!$B$9</f>
        <v>0</v>
      </c>
      <c r="H278" s="388">
        <f ca="1">Weather_data!$G277</f>
        <v>0</v>
      </c>
      <c r="I278" s="388">
        <f ca="1">Weather_data!$I277</f>
        <v>0</v>
      </c>
      <c r="J278" s="388">
        <f ca="1">Weather_data!$H277</f>
        <v>0</v>
      </c>
      <c r="K278" s="389">
        <f ca="1">Weather_data!$D277</f>
        <v>0</v>
      </c>
      <c r="L278" s="388" t="e">
        <f t="shared" ca="1" si="1049"/>
        <v>#N/A</v>
      </c>
      <c r="M278" s="388" t="e">
        <f t="shared" ca="1" si="927"/>
        <v>#N/A</v>
      </c>
      <c r="N278" s="388">
        <f t="shared" ca="1" si="928"/>
        <v>-1.790327867773909E-13</v>
      </c>
      <c r="O278" s="388">
        <f t="shared" ca="1" si="1050"/>
        <v>1.790327867773909E-12</v>
      </c>
      <c r="P278" s="390">
        <v>3</v>
      </c>
      <c r="Q278" s="388">
        <f ca="1">MAX($G278-Control!$C$107,0)</f>
        <v>0</v>
      </c>
      <c r="R278" s="388">
        <f t="shared" ca="1" si="1051"/>
        <v>0</v>
      </c>
      <c r="S278" s="388">
        <f t="shared" ca="1" si="929"/>
        <v>0</v>
      </c>
      <c r="T278" s="388">
        <f t="shared" ca="1" si="930"/>
        <v>0</v>
      </c>
      <c r="U278" s="59">
        <f t="shared" ca="1" si="931"/>
        <v>0</v>
      </c>
      <c r="V278" s="391">
        <f ca="1">MAX(0,MIN(Control!$C$100-Control!$C$99,$G278-Control!$C$99)*Control!$C$63)</f>
        <v>0</v>
      </c>
      <c r="W278" s="388">
        <f t="shared" ca="1" si="1052"/>
        <v>0</v>
      </c>
      <c r="X278" s="388">
        <f t="shared" ca="1" si="1053"/>
        <v>0.6110000000000001</v>
      </c>
      <c r="Y278" s="388">
        <f t="shared" ca="1" si="932"/>
        <v>0</v>
      </c>
      <c r="Z278" s="388">
        <f t="shared" ca="1" si="1054"/>
        <v>0.61058800000000002</v>
      </c>
      <c r="AA278" s="388">
        <f t="shared" ca="1" si="933"/>
        <v>0.6018</v>
      </c>
      <c r="AB278" s="388">
        <f ca="1">101.3*EXP(-0.034*Control!$C$66/($G278+273))</f>
        <v>100.69623283836242</v>
      </c>
      <c r="AC278" s="392">
        <f t="shared" ca="1" si="934"/>
        <v>4.3460251046025113E-2</v>
      </c>
      <c r="AD278" s="392">
        <f t="shared" ca="1" si="935"/>
        <v>4.4450382862832649E-2</v>
      </c>
      <c r="AE278" s="388">
        <f t="shared" ca="1" si="936"/>
        <v>0</v>
      </c>
      <c r="AF278" s="388">
        <f ca="1">MAX(0,$G278-Control!$C$92)</f>
        <v>0</v>
      </c>
      <c r="AG278" s="393">
        <f t="shared" ca="1" si="937"/>
        <v>274</v>
      </c>
      <c r="AH278" s="389">
        <f t="shared" ca="1" si="938"/>
        <v>274</v>
      </c>
      <c r="AI278" s="388">
        <f t="shared" ca="1" si="1055"/>
        <v>-6.9914091824300972E-2</v>
      </c>
      <c r="AJ278" s="388">
        <f ca="1">IF(Control!$C$60&lt;=0,$HH278,$HI278)</f>
        <v>1</v>
      </c>
      <c r="AK278" s="388">
        <f t="shared" ca="1" si="939"/>
        <v>3.3395560262817527</v>
      </c>
      <c r="AL278" s="388">
        <f t="shared" ca="1" si="940"/>
        <v>2.1637032443511117E-18</v>
      </c>
      <c r="AM278" s="388">
        <f t="shared" ca="1" si="941"/>
        <v>3.3395560262817527</v>
      </c>
      <c r="AN278" s="388">
        <f t="shared" ca="1" si="942"/>
        <v>-7.8316509746446147E-2</v>
      </c>
      <c r="AO278" s="388">
        <f ca="1">-0.10453/COS(Control!$B$8*PI()/180)*COS(AN278)</f>
        <v>-0.16926444464091867</v>
      </c>
      <c r="AP278" s="388">
        <f ca="1">ACOS(AO278-TAN(Control!$B$8*PI()/180)*TAN(AN278))</f>
        <v>1.6396692015791274</v>
      </c>
      <c r="AQ278" s="388">
        <f t="shared" ca="1" si="1056"/>
        <v>0</v>
      </c>
      <c r="AR278" s="394">
        <f t="shared" ca="1" si="943"/>
        <v>0</v>
      </c>
      <c r="AS278" s="436">
        <f ca="1">IF(Control!$B$18=2,(IF(OR($AH278=Control!$B$175,$AH278=Control!$B$176,$AH278=Control!$B$177,$AH278=Control!$B$178,$AH278=Control!$B$179,$AH278=Control!$B$180,$AH278=Control!$B$181,$AH278=Control!$B$182,$AH278=Control!$B$183,$AH278=Control!$B$184,$AH278=Control!$B$185),1,0)),0)</f>
        <v>0</v>
      </c>
      <c r="AT278" s="436">
        <f>IF(Control!$B$20=8,IF(AND($AH278&gt;=Control!$B$172,$AH278&lt;=Control!$B$173),1,0),0)</f>
        <v>0</v>
      </c>
      <c r="AU278" s="436">
        <f>IF(Control!$B$20=8,IF($AV277=1,1*$AT278,IF($AT278=1,$AU277+1,$AU277)),0)</f>
        <v>0</v>
      </c>
      <c r="AV278" s="436">
        <f>IF(Control!$B$20=8,IF($AU278&gt;=Control!$B$174,1,0),0)</f>
        <v>0</v>
      </c>
      <c r="AW278" s="436">
        <f ca="1">IF(AND(Control!$B$18=2,Control!$B$171=1), $AV278, $AS278)</f>
        <v>0</v>
      </c>
      <c r="AX278" s="436" t="e">
        <f ca="1">IF(AND(Control!$B$18=1,$EU278&gt;=Control!$B$19),-$AY278,IF(AND(Control!$B$18=2,$AW278=1,$EU278&gt;$DS278),-$AY278, IF(Control!$C$108=0,0, IF(Control!$C$108&lt;&gt;0,1))))</f>
        <v>#N/A</v>
      </c>
      <c r="AY278" s="436" t="e">
        <f t="shared" ca="1" si="1057"/>
        <v>#N/A</v>
      </c>
      <c r="AZ278" s="436" t="e">
        <f ca="1">IF(AND(Control!$B$18=1,$EB278&gt;Control!$B$19),$AZ277+1, IF(AND(Control!$B$18=2, $AW278=1, $EB278&gt;$DS278), $AZ277+1,$AZ277))</f>
        <v>#N/A</v>
      </c>
      <c r="BA278" s="587">
        <f>IF(Control!$C$81=0,1,IF($AH278&gt;=Control!$C$82,1,0))</f>
        <v>1</v>
      </c>
      <c r="BB278" s="140" t="e">
        <f ca="1">IF($BA278&gt;$BA277,Control!$C$83,IF($AW278&gt;0,$AW278*Control!$C$84,IF(AND(Control!$B$18=1,EN277&lt;&gt;0),Control!$C$84,0)))</f>
        <v>#N/A</v>
      </c>
      <c r="BC278" s="140" t="e">
        <f t="shared" ca="1" si="1058"/>
        <v>#N/A</v>
      </c>
      <c r="BD278" s="140" t="e">
        <f ca="1">BC278*IF(OR($G278&lt;Control!$C$92,$G278&gt;Control!$C$95),0,IF(AND($G278&gt;=Control!$C$92,$G278&lt;=Control!$C$93),$G278-Control!$C$92,IF(AND($G278&gt;Control!$C$93,$G278&lt;=Control!$C$94),Control!$C$93-Control!$C$92,IF(AND($G278&gt;Control!$C$94,$G278&lt;=Control!$C$95),(Control!$C$93-Control!$C$92)*(Control!$C$94-$G278)/(Control!$C$95-Control!$C$94)))))</f>
        <v>#N/A</v>
      </c>
      <c r="BE278" s="140" t="e">
        <f t="shared" ca="1" si="1059"/>
        <v>#N/A</v>
      </c>
      <c r="BF278" s="140" t="e">
        <f ca="1">IF($BE278&lt;=Control!$C$86,$BE278,Control!$C$86-$BE278)</f>
        <v>#N/A</v>
      </c>
      <c r="BG278" s="140" t="e">
        <f ca="1">IF(AND($AW278=1,Control!$C$84&lt;9),1,IF($BE278&gt;=Control!$C$86,0,$BC278))</f>
        <v>#N/A</v>
      </c>
      <c r="BH278" s="404" t="e">
        <f ca="1">IF($BG278=0,0,IF($BE278&lt;=Control!$C$86,$BC278*9*($BF278/Control!$C$86),0))</f>
        <v>#N/A</v>
      </c>
      <c r="BI278" s="140" t="e">
        <f ca="1">IF($BG278=1,0,IF($BE278&gt;=Control!$C$86,1,IF(AND($BB278&lt;21,$BB278&gt;=9),1,$BM277)))</f>
        <v>#N/A</v>
      </c>
      <c r="BJ278" s="140" t="e">
        <f ca="1">IF($BF278&lt;0,-$BF278,$BI278*IF(OR($G278&lt;Control!$C$92,$G278&gt;Control!$C$95),0,IF(AND($G278&gt;=Control!$C$92,$G278&lt;=Control!$C$93),$G278-Control!$C$92,IF(AND($G278&gt;Control!$C$93,$G278&lt;=Control!$C$94),Control!$C$93-Control!$C$92,IF(AND($G278&gt;Control!$C$94,$G278&lt;=Control!$C$95),(Control!$C$93-Control!$C$92)*(Control!$C$94-$G278)/(Control!$C$95-Control!$C$94))))))</f>
        <v>#N/A</v>
      </c>
      <c r="BK278" s="140" t="e">
        <f t="shared" ca="1" si="1060"/>
        <v>#N/A</v>
      </c>
      <c r="BL278" s="140" t="e">
        <f ca="1">IF($BK278&lt;=Control!$C$87,$BK278,Control!$C$87-$BK278)</f>
        <v>#N/A</v>
      </c>
      <c r="BM278" s="140" t="e">
        <f ca="1">IF(AND($BB278&gt;=9,$BB278&lt;21),1,IF($BK278&gt;=Control!$C$87,0,$BI278))</f>
        <v>#N/A</v>
      </c>
      <c r="BN278" s="404" t="e">
        <f ca="1">IF($BM278=0,0,IF($BK278&lt;=Control!$C$87,$BI278*(9+(21-9)*($BL278/Control!$C$87)),0))</f>
        <v>#N/A</v>
      </c>
      <c r="BO278" s="140" t="e">
        <f ca="1">IF($BM278=1,0,IF($BK278&gt;=Control!$C$87,1,IF(AND($BB278&lt;30,$BB278&gt;=21),1,$BS277)))</f>
        <v>#N/A</v>
      </c>
      <c r="BP278" s="140" t="e">
        <f ca="1">IF($BL278&lt;0,-$BL278,$BO278*IF(OR($G278&lt;Control!$C$92,$G278&gt;Control!$C$95),0,IF(AND($G278&gt;=Control!$C$92,$G278&lt;=Control!$C$93),$G278-Control!$C$92,IF(AND($G278&gt;Control!$C$93,$G278&lt;=Control!$C$94),Control!$C$93-Control!$C$92,IF(AND($G278&gt;Control!$C$94,$G278&lt;=Control!$C$95),(Control!$C$93-Control!$C$92)*(Control!$C$94-$G278)/(Control!$C$95-Control!$C$94))))))</f>
        <v>#N/A</v>
      </c>
      <c r="BQ278" s="140" t="e">
        <f t="shared" ca="1" si="944"/>
        <v>#N/A</v>
      </c>
      <c r="BR278" s="140" t="e">
        <f ca="1">IF($BQ278&lt;=Control!$C$88,$BQ278,Control!$C$88-$BQ278)</f>
        <v>#N/A</v>
      </c>
      <c r="BS278" s="140" t="e">
        <f ca="1">IF(AND($BB278&gt;=21,$BB278&lt;30),1,IF($BQ278&gt;=Control!$C$88,0,$BO278))</f>
        <v>#N/A</v>
      </c>
      <c r="BT278" s="404" t="e">
        <f ca="1">IF($BS278=0,0,IF($BQ278&lt;=Control!$C$88,$BO278*(21+(30-21)*(BR278/Control!$C$88)),0))</f>
        <v>#N/A</v>
      </c>
      <c r="BU278" s="140" t="e">
        <f ca="1">IF(BG278+BM278+BS278=1,0,IF(OR(AND($BB278&lt;60,$BB278&gt;=30),$BQ278&gt;=Control!$C$88),1*$BA278,$BY277))</f>
        <v>#N/A</v>
      </c>
      <c r="BV278" s="140" t="e">
        <f ca="1">IF($BR278&lt;0,-$BR278,$BU278*IF(OR($G278&lt;Control!$C$92,$G278&gt;Control!$C$95),0,IF(AND($G278&gt;=Control!$C$92,$G278&lt;=Control!$C$93),$G278-Control!$C$92,IF(AND($G278&gt;Control!$C$93,$G278&lt;=Control!$C$94),Control!$C$93-Control!$C$92,IF(AND($G278&gt;Control!$C$94,$G278&lt;=Control!$C$95),(Control!$C$93-Control!$C$92)*(Control!$C$94-$G278)/(Control!$C$95-Control!$C$94))))))</f>
        <v>#N/A</v>
      </c>
      <c r="BW278" s="140" t="e">
        <f t="shared" ca="1" si="945"/>
        <v>#N/A</v>
      </c>
      <c r="BX278" s="140" t="e">
        <f ca="1">IF($BW278&lt;=Control!$C$89,$BW278,Control!$C$89-$BW278)</f>
        <v>#N/A</v>
      </c>
      <c r="BY278" s="140" t="e">
        <f ca="1">IF(AND($AJ278&gt;=30,$AJ278&lt;60),1,IF($BW278&gt;=Control!$C$89,0,$BU278))</f>
        <v>#N/A</v>
      </c>
      <c r="BZ278" s="404" t="e">
        <f ca="1">IF($BY278=0,0,IF($BW278&lt;=Control!$C$89,$BU278*(30+(60-30)*(BX278/Control!$C$89)),0))</f>
        <v>#N/A</v>
      </c>
      <c r="CA278" s="140" t="e">
        <f ca="1">IF($BG278+$BM278+$BS278+$BY278=1,0,IF(OR(AND($BB278&lt;65,$BB278&gt;=60),$BW278&gt;=Control!$C$89),1*$BA278,$CE277))</f>
        <v>#N/A</v>
      </c>
      <c r="CB278" s="140" t="e">
        <f ca="1">IF($BX278&lt;0,-$BX278,$CA278*IF(OR($G278&lt;Control!$C$92,$G278&gt;Control!$C$95),0,IF(AND($G278&gt;=Control!$C$92,$G278&lt;=Control!$C$93),$G278-Control!$C$92,IF(AND($G278&gt;Control!$C$93,$G278&lt;=Control!$C$94),Control!$C$93-Control!$C$92,IF(AND($G278&gt;Control!$C$94,$G278&lt;=Control!$C$95),(Control!$C$93-Control!$C$92)*(Control!$C$94-$G278)/(Control!$C$95-Control!$C$94))))))</f>
        <v>#N/A</v>
      </c>
      <c r="CC278" s="140" t="e">
        <f t="shared" ca="1" si="1061"/>
        <v>#N/A</v>
      </c>
      <c r="CD278" s="140" t="e">
        <f ca="1">IF($CC278&lt;=Control!$C$90,$CC278,Control!$C$90-$CC278)</f>
        <v>#N/A</v>
      </c>
      <c r="CE278" s="140" t="e">
        <f ca="1">IF(AND($BB278&gt;=60,$BB278&lt;65),1,IF($CC278&gt;=Control!$C$90,0,$CA278))</f>
        <v>#N/A</v>
      </c>
      <c r="CF278" s="404" t="e">
        <f ca="1">IF($CE278=0,0,IF($CC278&lt;=Control!$C$90,$CA278*(60+(65-60)*(CD278/Control!$C$90)),0))</f>
        <v>#N/A</v>
      </c>
      <c r="CG278" s="140" t="e">
        <f ca="1">IF($BG278+$BM278+$BS278+$BY278+$CE278=1,0,IF(OR(AND($BB278&lt;90,$BB278&gt;=65),$CC278&gt;=Control!$C$90),$BA278,$CK277))</f>
        <v>#N/A</v>
      </c>
      <c r="CH278" s="140" t="e">
        <f ca="1">IF($CD278&lt;0,-$CD278,$CG278*IF(OR($G278&lt;Control!$C$92,$G278&gt;Control!$C$95),0,IF(AND($G278&gt;=Control!$C$92,$G278&lt;=Control!$C$93),$G278-Control!$C$92,IF(AND($G278&gt;Control!$C$93,$G278&lt;=Control!$C$94),Control!$C$93-Control!$C$92,IF(AND($G278&gt;Control!$C$94,$G278&lt;=Control!$C$95),(Control!$C$93-Control!$C$92)*(Control!$C$94-$G278)/(Control!$C$95-Control!$C$94))))))</f>
        <v>#N/A</v>
      </c>
      <c r="CI278" s="140" t="e">
        <f t="shared" ca="1" si="1062"/>
        <v>#N/A</v>
      </c>
      <c r="CJ278" s="140" t="e">
        <f ca="1">IF($CI278&lt;=Control!$C$91,$CI278,Control!$C$91-$CI278)</f>
        <v>#N/A</v>
      </c>
      <c r="CK278" s="140" t="e">
        <f ca="1">IF(AND($BB278&gt;=65,$BB278&lt;90),1,IF($CI278&gt;=Control!$C$91,0,$CG278))</f>
        <v>#N/A</v>
      </c>
      <c r="CL278" s="404" t="e">
        <f ca="1">IF($CK278=0,0,IF($CI278&lt;=Control!$C$91,$CG278*(65+(90-65)*($CJ278/Control!$C$91)),0))</f>
        <v>#N/A</v>
      </c>
      <c r="CM278" s="140" t="e">
        <f ca="1">IF($BG278+$BM278+$BS278+$BY278+$CE278+$CK278=1,0,IF(OR($BB278&gt;=90,$CI278&gt;=Control!$C$91),$BA278,$CM277))</f>
        <v>#N/A</v>
      </c>
      <c r="CN278" s="140" t="e">
        <f t="shared" ca="1" si="1063"/>
        <v>#N/A</v>
      </c>
      <c r="CO278" s="140" t="e">
        <f t="shared" ca="1" si="1064"/>
        <v>#N/A</v>
      </c>
      <c r="CP278" s="140" t="e">
        <f t="shared" ca="1" si="1065"/>
        <v>#N/A</v>
      </c>
      <c r="CQ278" s="141" t="e">
        <f ca="1">VLOOKUP($CP278,Control!$B$86:$G$91,6)</f>
        <v>#N/A</v>
      </c>
      <c r="CR278" s="141" t="e">
        <f ca="1">(1-$CQ278)*VLOOKUP($CP278,Control!$B$86:$D$91,3)</f>
        <v>#N/A</v>
      </c>
      <c r="CS278" s="141" t="e">
        <f ca="1">(1-$CQ278)*VLOOKUP($CP278,Control!$B$86:$E$91,4)</f>
        <v>#N/A</v>
      </c>
      <c r="CT278" s="141" t="e">
        <f ca="1">(1-$CQ278)*VLOOKUP($CP278,Control!$B$86:$F$91,5)</f>
        <v>#N/A</v>
      </c>
      <c r="CU278" s="141">
        <f t="shared" ca="1" si="1066"/>
        <v>0</v>
      </c>
      <c r="CV278" s="583">
        <f t="shared" ca="1" si="1067"/>
        <v>0</v>
      </c>
      <c r="CW278" s="142">
        <f t="shared" ca="1" si="1068"/>
        <v>274</v>
      </c>
      <c r="CX278" s="612" t="e">
        <f ca="1">IF(Control!$C$114=1,(MIN(Control!$C$120*(IF($NT278-0.01&lt;0,0,1)),Control!$C$119-$CY278)))</f>
        <v>#DIV/0!</v>
      </c>
      <c r="CY278" s="143" t="e">
        <f t="shared" ca="1" si="1069"/>
        <v>#N/A</v>
      </c>
      <c r="CZ278" s="144">
        <f t="shared" ca="1" si="946"/>
        <v>0</v>
      </c>
      <c r="DA278" s="144">
        <f t="shared" ca="1" si="947"/>
        <v>0</v>
      </c>
      <c r="DB278" s="144" t="e">
        <f t="shared" ca="1" si="948"/>
        <v>#N/A</v>
      </c>
      <c r="DC278" s="144" t="e">
        <f t="shared" ca="1" si="949"/>
        <v>#N/A</v>
      </c>
      <c r="DD278" s="144" t="e">
        <f t="shared" ca="1" si="1154"/>
        <v>#N/A</v>
      </c>
      <c r="DE278" s="143" t="e">
        <f t="shared" ca="1" si="1070"/>
        <v>#N/A</v>
      </c>
      <c r="DF278" s="145" t="e">
        <f ca="1">$DR278*EXP(-Control!$C$158*(1-$KH278))</f>
        <v>#N/A</v>
      </c>
      <c r="DG278" s="146" t="e">
        <f ca="1">IF(Control!$C$114=1, $DF278*$EY278, 0)</f>
        <v>#N/A</v>
      </c>
      <c r="DH278" s="147" t="e">
        <f t="shared" ca="1" si="1071"/>
        <v>#N/A</v>
      </c>
      <c r="DI278" s="144" t="e">
        <f t="shared" ca="1" si="1132"/>
        <v>#N/A</v>
      </c>
      <c r="DJ278" s="147" t="e">
        <f ca="1">$EF278*Control!$C$109</f>
        <v>#N/A</v>
      </c>
      <c r="DK278" s="144" t="e">
        <f t="shared" ca="1" si="1072"/>
        <v>#N/A</v>
      </c>
      <c r="DL278" s="144" t="e">
        <f t="shared" ca="1" si="950"/>
        <v>#N/A</v>
      </c>
      <c r="DM278" s="144" t="e">
        <f ca="1">IF(Control!$C$114=1, (1-EXP(-Control!$C$96*$DK278))*$AR278, 0)</f>
        <v>#N/A</v>
      </c>
      <c r="DN278" s="144">
        <f t="shared" ca="1" si="1073"/>
        <v>0</v>
      </c>
      <c r="DO278" s="148">
        <f>Control!$C$97</f>
        <v>4</v>
      </c>
      <c r="DP278" s="145" t="e">
        <f t="shared" ca="1" si="1074"/>
        <v>#N/A</v>
      </c>
      <c r="DQ278" s="145" t="e">
        <f ca="1">IF(AND($CP278&gt;=0,$CP278&lt;=90),Control!$C$111,Control!$C$111)</f>
        <v>#N/A</v>
      </c>
      <c r="DR278" s="145" t="e">
        <f t="shared" ca="1" si="951"/>
        <v>#N/A</v>
      </c>
      <c r="DS278" s="143" t="e">
        <f ca="1">Control!$B$22/$DR278</f>
        <v>#N/A</v>
      </c>
      <c r="DT278" s="149" t="e">
        <f ca="1">IF(AND(Control!$C$114=1,$KH278&lt;1),$IM278*$DF278, 0)</f>
        <v>#N/A</v>
      </c>
      <c r="DU278" s="144" t="e">
        <f t="shared" ca="1" si="1075"/>
        <v>#N/A</v>
      </c>
      <c r="DV278" s="144">
        <f ca="1">IF($G278-Control!$C$107&lt;=0, 0, 0.83*LN(MAX($G278, 3))-0.8924)</f>
        <v>0</v>
      </c>
      <c r="DW278" s="144" t="e">
        <f t="shared" ca="1" si="952"/>
        <v>#N/A</v>
      </c>
      <c r="DX278" s="150" t="e">
        <f ca="1">MAX(0.01*(1+$CU278/Control!$C$102),0.05*($DK278-Control!$C$97)/Control!$C$97)</f>
        <v>#N/A</v>
      </c>
      <c r="DY278" s="151" t="e">
        <f ca="1">IF(Control!$C$114=1, $DI278*$FS278, 0)</f>
        <v>#N/A</v>
      </c>
      <c r="DZ278" s="196" t="e">
        <f t="shared" ca="1" si="1076"/>
        <v>#N/A</v>
      </c>
      <c r="EA278" s="152">
        <f t="shared" ca="1" si="1077"/>
        <v>274</v>
      </c>
      <c r="EB278" s="153" t="e">
        <f t="shared" ca="1" si="1078"/>
        <v>#N/A</v>
      </c>
      <c r="EC278" s="153" t="e">
        <f t="shared" ca="1" si="1079"/>
        <v>#N/A</v>
      </c>
      <c r="ED278" s="154" t="e">
        <f ca="1">IF(Control!$C$114=1, $HM278*$FY278-$FD278, 0)</f>
        <v>#DIV/0!</v>
      </c>
      <c r="EE278" s="155" t="e">
        <f ca="1">IF(Control!$C$114=1, $HM278*$FZ278-$FF278, 0)</f>
        <v>#DIV/0!</v>
      </c>
      <c r="EF278" s="153" t="e">
        <f t="shared" ca="1" si="1133"/>
        <v>#N/A</v>
      </c>
      <c r="EG278" s="155" t="e">
        <f ca="1">IF(Control!$C$114=1, $GX278*$FW278-$FI278, 0)</f>
        <v>#DIV/0!</v>
      </c>
      <c r="EH278" s="153" t="e">
        <f t="shared" ca="1" si="1080"/>
        <v>#N/A</v>
      </c>
      <c r="EI278" s="156" t="e">
        <f t="shared" ca="1" si="1081"/>
        <v>#N/A</v>
      </c>
      <c r="EJ278" s="155" t="e">
        <f ca="1">IF(Control!$C$114=1, $HM278*$GB278, 0)</f>
        <v>#DIV/0!</v>
      </c>
      <c r="EK278" s="153" t="e">
        <f t="shared" ca="1" si="1134"/>
        <v>#N/A</v>
      </c>
      <c r="EL278" s="153" t="e">
        <f t="shared" ca="1" si="953"/>
        <v>#N/A</v>
      </c>
      <c r="EM278" s="153" t="e">
        <f t="shared" ca="1" si="954"/>
        <v>#N/A</v>
      </c>
      <c r="EN278" s="153" t="e">
        <f ca="1">IF(Control!$C$108=1,IF(AND(Control!$B$18=1,$EB278&gt;=Control!$B$19),$EB278-$DS278,IF(AND(Control!$B$18=2,$AW278=1,$EB278&gt;$DS278),$EB278-$DS278,0)))</f>
        <v>#N/A</v>
      </c>
      <c r="EO278" s="153" t="e">
        <f ca="1">IF(Control!$C$108=1,IF(AND(Control!$B$18=1,$EB278&gt;=Control!$B$19),$EF278,IF(AND(Control!$B$18=2,$AW278=1),$EF278,0)))</f>
        <v>#N/A</v>
      </c>
      <c r="EP278" s="153" t="e">
        <f ca="1">IF(Control!$C$108=1,IF(AND(Control!$B$18=1,$EB278&gt;=Control!$B$19),$EK278,IF(AND(Control!$B$18=2,$AW278=1),$EK278,0)))</f>
        <v>#N/A</v>
      </c>
      <c r="EQ278" s="153" t="e">
        <f t="shared" ca="1" si="1082"/>
        <v>#N/A</v>
      </c>
      <c r="ER278" s="153" t="e">
        <f t="shared" ca="1" si="1083"/>
        <v>#N/A</v>
      </c>
      <c r="ES278" s="153" t="e">
        <f t="shared" ca="1" si="1135"/>
        <v>#N/A</v>
      </c>
      <c r="ET278" s="153" t="e">
        <f t="shared" ca="1" si="1136"/>
        <v>#N/A</v>
      </c>
      <c r="EU278" s="153" t="e">
        <f t="shared" ca="1" si="1084"/>
        <v>#N/A</v>
      </c>
      <c r="EV278" s="153" t="e">
        <f t="shared" ca="1" si="955"/>
        <v>#N/A</v>
      </c>
      <c r="EW278" s="153" t="e">
        <f t="shared" ca="1" si="956"/>
        <v>#N/A</v>
      </c>
      <c r="EX278" s="153" t="e">
        <f t="shared" ca="1" si="957"/>
        <v>#N/A</v>
      </c>
      <c r="EY278" s="157" t="e">
        <f t="shared" ca="1" si="958"/>
        <v>#DIV/0!</v>
      </c>
      <c r="EZ278" s="154" t="e">
        <f t="shared" ca="1" si="959"/>
        <v>#DIV/0!</v>
      </c>
      <c r="FA278" s="153" t="e">
        <f t="shared" ca="1" si="1085"/>
        <v>#N/A</v>
      </c>
      <c r="FB278" s="153" t="e">
        <f t="shared" ca="1" si="960"/>
        <v>#N/A</v>
      </c>
      <c r="FC278" s="193" t="e">
        <f t="shared" ca="1" si="961"/>
        <v>#N/A</v>
      </c>
      <c r="FD278" s="158" t="e">
        <f t="shared" ca="1" si="1086"/>
        <v>#N/A</v>
      </c>
      <c r="FE278" s="158" t="e">
        <f t="shared" ca="1" si="1087"/>
        <v>#N/A</v>
      </c>
      <c r="FF278" s="159" t="e">
        <f t="shared" ca="1" si="962"/>
        <v>#N/A</v>
      </c>
      <c r="FG278" s="160" t="e">
        <f t="shared" ca="1" si="1088"/>
        <v>#N/A</v>
      </c>
      <c r="FH278" s="158" t="e">
        <f t="shared" ca="1" si="1089"/>
        <v>#N/A</v>
      </c>
      <c r="FI278" s="159" t="e">
        <f t="shared" ca="1" si="963"/>
        <v>#N/A</v>
      </c>
      <c r="FJ278" s="160" t="e">
        <f t="shared" ca="1" si="1090"/>
        <v>#N/A</v>
      </c>
      <c r="FK278" s="160" t="e">
        <f t="shared" ca="1" si="964"/>
        <v>#N/A</v>
      </c>
      <c r="FL278" s="160" t="e">
        <f t="shared" ca="1" si="1137"/>
        <v>#N/A</v>
      </c>
      <c r="FM278" s="160" t="e">
        <f t="shared" ca="1" si="965"/>
        <v>#N/A</v>
      </c>
      <c r="FN278" s="158">
        <f t="shared" ca="1" si="1091"/>
        <v>0.01</v>
      </c>
      <c r="FO278" s="160">
        <f>Control!$C$101</f>
        <v>50</v>
      </c>
      <c r="FP278" s="150" t="e">
        <f t="shared" ca="1" si="966"/>
        <v>#N/A</v>
      </c>
      <c r="FQ278" s="150" t="e">
        <f ca="1">MAX(0,(Control!$C$112*(($DK278-Control!$C$97)/Control!$C$97)))</f>
        <v>#N/A</v>
      </c>
      <c r="FR278" s="150" t="e">
        <f ca="1">(1-$NT278)*Control!$C$113</f>
        <v>#DIV/0!</v>
      </c>
      <c r="FS278" s="198" t="e">
        <f t="shared" ca="1" si="967"/>
        <v>#N/A</v>
      </c>
      <c r="FT278" s="161">
        <f t="shared" ca="1" si="1092"/>
        <v>274</v>
      </c>
      <c r="FU278" s="162" t="e">
        <f ca="1">IF(Control!$B$34=1,VLOOKUP($CP278,Control!$B$86:$G$91,6),Control!$B$35)</f>
        <v>#N/A</v>
      </c>
      <c r="FV278" s="162" t="e">
        <f t="shared" ca="1" si="968"/>
        <v>#DIV/0!</v>
      </c>
      <c r="FW278" s="162" t="e">
        <f ca="1">IF(Control!$B$31=1,$FU278*$FV278,  $FU278)</f>
        <v>#N/A</v>
      </c>
      <c r="FX278" s="162" t="e">
        <f ca="1">IF(Control!$B$34=1,VLOOKUP($CP278,Control!$B$86:$G$91,3),Control!$B$36)</f>
        <v>#N/A</v>
      </c>
      <c r="FY278" s="162" t="e">
        <f t="shared" ca="1" si="969"/>
        <v>#N/A</v>
      </c>
      <c r="FZ278" s="162" t="e">
        <f ca="1">IF(Control!$B$34=1,VLOOKUP($CP278,Control!$B$86:$G$91,4),Control!$B$37)</f>
        <v>#N/A</v>
      </c>
      <c r="GA278" s="162" t="e">
        <f t="shared" ca="1" si="970"/>
        <v>#N/A</v>
      </c>
      <c r="GB278" s="162" t="e">
        <f ca="1">IF(Control!$B$34=1,VLOOKUP($CP278,Control!$B$86:$G$91,5),Control!$B$38)</f>
        <v>#N/A</v>
      </c>
      <c r="GC278" s="162" t="e">
        <f t="shared" ca="1" si="1093"/>
        <v>#N/A</v>
      </c>
      <c r="GD278" s="162">
        <f t="shared" ca="1" si="971"/>
        <v>1</v>
      </c>
      <c r="GE278" s="162">
        <f t="shared" ca="1" si="972"/>
        <v>1</v>
      </c>
      <c r="GF278" s="162">
        <f ca="1">IF(AND(Control!$C$104=1, Control!$C$62="F"),$GE278,1)</f>
        <v>1</v>
      </c>
      <c r="GG278" s="162" t="e">
        <f ca="1">IF(Control!$B$16=40,0,IF(AND(Control!$B$16&gt;40,Control!$B$16&lt;=360),(Control!$B$16-40)*((1-0)/(360-40)),IF(AND(Control!$B$16&gt;360,Control!$B$16&lt;=720),(1+(Control!$B$16-360)*((1.25-1)/(720-360))),IF(AND(Control!$B$16&gt;720,Control!$B$16&lt;=1000),(1.25+(Control!$B$16-720)*((1.35-1.25)/(1000-720))),IF(AND(Control!$B$16&gt;1000,Control!$B$16&lt;=2000),(1.35+(Control!$B$16-1000)*0))))))</f>
        <v>#N/A</v>
      </c>
      <c r="GH278" s="162" t="e">
        <f t="shared" ca="1" si="973"/>
        <v>#N/A</v>
      </c>
      <c r="GI278" s="162">
        <f t="shared" ca="1" si="1094"/>
        <v>0</v>
      </c>
      <c r="GJ278" s="162">
        <f t="shared" ca="1" si="974"/>
        <v>0</v>
      </c>
      <c r="GK278" s="162">
        <f t="shared" ca="1" si="1095"/>
        <v>1</v>
      </c>
      <c r="GL278" s="162">
        <f t="shared" ca="1" si="975"/>
        <v>1</v>
      </c>
      <c r="GM278" s="162" t="e">
        <f ca="1">MAX(0,MIN(1,1-Control!$C$156*(1.0001-$KH278)^2))</f>
        <v>#N/A</v>
      </c>
      <c r="GN278" s="162" t="e">
        <f ca="1">IF(Control!$B$26=1,$KU278,$KX278)</f>
        <v>#N/A</v>
      </c>
      <c r="GO278" s="162" t="e">
        <f ca="1">IF($CP278&lt;=60,Control!$C$105,IF($CP278&gt;=90,Control!$C$106,Control!$C$105+($CP278-60)*((Control!$C$106-Control!$C$105)/(90-60))))</f>
        <v>#N/A</v>
      </c>
      <c r="GP278" s="162" t="e">
        <f t="shared" ca="1" si="976"/>
        <v>#N/A</v>
      </c>
      <c r="GQ278" s="162" t="e">
        <f t="shared" ca="1" si="1096"/>
        <v>#N/A</v>
      </c>
      <c r="GR278" s="163" t="e">
        <f t="shared" ca="1" si="977"/>
        <v>#DIV/0!</v>
      </c>
      <c r="GS278" s="162" t="e">
        <f t="shared" ca="1" si="978"/>
        <v>#DIV/0!</v>
      </c>
      <c r="GT278" s="164" t="e">
        <f t="shared" ca="1" si="1097"/>
        <v>#N/A</v>
      </c>
      <c r="GU278" s="162" t="e">
        <f t="shared" ca="1" si="1098"/>
        <v>#N/A</v>
      </c>
      <c r="GV278" s="162" t="e">
        <f t="shared" ca="1" si="979"/>
        <v>#N/A</v>
      </c>
      <c r="GW278" s="162" t="e">
        <f t="shared" ca="1" si="980"/>
        <v>#DIV/0!</v>
      </c>
      <c r="GX278" s="162" t="e">
        <f t="shared" ca="1" si="1099"/>
        <v>#DIV/0!</v>
      </c>
      <c r="GY278" s="162" t="e">
        <f t="shared" ca="1" si="1100"/>
        <v>#DIV/0!</v>
      </c>
      <c r="GZ278" s="165" t="e">
        <f t="shared" ca="1" si="981"/>
        <v>#N/A</v>
      </c>
      <c r="HA278" s="162" t="e">
        <f ca="1">IF(Control!$C$114=1, $DI278*$FS278, 0)</f>
        <v>#N/A</v>
      </c>
      <c r="HB278" s="162" t="e">
        <f ca="1">$FA278/Control!$C$64</f>
        <v>#N/A</v>
      </c>
      <c r="HC278" s="162" t="e">
        <f t="shared" ca="1" si="982"/>
        <v>#DIV/0!</v>
      </c>
      <c r="HD278" s="162">
        <f ca="1">-ASIN(SIN(23.45*Control!$C$139)*COS(2*Control!$C$138*($AH278+10)/365))</f>
        <v>-6.9914091824300972E-2</v>
      </c>
      <c r="HE278" s="165">
        <f t="shared" ca="1" si="1101"/>
        <v>0</v>
      </c>
      <c r="HF278" s="166">
        <f ca="1">IF(AND(Control!$C$61="T",$HE278&gt;=Control!$C$103,Control!$C$114=0),$AH278,Control!$C$59)</f>
        <v>1</v>
      </c>
      <c r="HG278" s="166">
        <f ca="1">IF(AND(Control!$C$61="T",$HE278&gt;=Control!$C$103,Control!$C$114=0),$HF278,Control!$C$59)</f>
        <v>1</v>
      </c>
      <c r="HH278" s="165">
        <f ca="1">IF(AND(OR(Control!$C$60&lt;=0, $AH278= Control!$C$59, Control!$C$60 &gt;0, $AH278 = Control!$C$60)), Control!$C$59, IF(Control!$C$60&gt;0, 0))</f>
        <v>1</v>
      </c>
      <c r="HI278" s="165">
        <f ca="1">IF(AND(OR(Control!$C$60&lt;=0, $AH278= Control!$C$59, Control!$C$60 &gt;0, $AH278 = Control!$C$60)), Control!$C$60, IF(Control!$C$60&lt;=0, 0))</f>
        <v>0</v>
      </c>
      <c r="HJ278" s="166">
        <f ca="1">IF(AND(Control!$C$62="F",$CV278&gt;=Control!$C$102),$AH278,0)</f>
        <v>0</v>
      </c>
      <c r="HK278" s="165" t="e">
        <f t="shared" ca="1" si="1138"/>
        <v>#N/A</v>
      </c>
      <c r="HL278" s="166">
        <f ca="1">IF(AND(Control!$C$61="T",$HE278&gt;=Control!$C$103,Control!$C$114=0),$HF278,0)</f>
        <v>0</v>
      </c>
      <c r="HM278" s="201" t="e">
        <f t="shared" ca="1" si="983"/>
        <v>#DIV/0!</v>
      </c>
      <c r="HN278" s="215">
        <f t="shared" ca="1" si="1102"/>
        <v>274</v>
      </c>
      <c r="HO278" s="216" t="e">
        <f ca="1">IF(AND($CP278&gt;=0, $CP278&lt;=90), Control!$C$152, Control!$C$152)</f>
        <v>#N/A</v>
      </c>
      <c r="HP278" s="216" t="e">
        <f t="shared" ca="1" si="984"/>
        <v>#N/A</v>
      </c>
      <c r="HQ278" s="217" t="e">
        <f ca="1">IF(OR(Control!$B$26=1,Control!$B$26=2),$KV278,$KS278)</f>
        <v>#DIV/0!</v>
      </c>
      <c r="HR278" s="218" t="e">
        <f t="shared" ca="1" si="1139"/>
        <v>#DIV/0!</v>
      </c>
      <c r="HS278" s="216" t="e">
        <f ca="1">Control!$C$154*$HP278</f>
        <v>#N/A</v>
      </c>
      <c r="HT278" s="216" t="e">
        <f ca="1">Control!$C$155*$HP278</f>
        <v>#N/A</v>
      </c>
      <c r="HU278" s="217" t="e">
        <f ca="1">Control!$C$161*$FI278</f>
        <v>#N/A</v>
      </c>
      <c r="HV278" s="218" t="e">
        <f t="shared" ca="1" si="1103"/>
        <v>#N/A</v>
      </c>
      <c r="HW278" s="218" t="e">
        <f ca="1">Control!$C$160*$FF278+$IP278*$EO278</f>
        <v>#N/A</v>
      </c>
      <c r="HX278" s="218" t="e">
        <f t="shared" ca="1" si="1140"/>
        <v>#N/A</v>
      </c>
      <c r="HY278" s="219" t="e">
        <f ca="1">IF(Control!$C$114=1, $EB278*$FS278, 0)</f>
        <v>#N/A</v>
      </c>
      <c r="HZ278" s="91" t="e">
        <f t="shared" ca="1" si="985"/>
        <v>#N/A</v>
      </c>
      <c r="IA278" s="220" t="e">
        <f ca="1">Control!$C$153*$HO278</f>
        <v>#N/A</v>
      </c>
      <c r="IB278" s="218" t="e">
        <f t="shared" ca="1" si="986"/>
        <v>#N/A</v>
      </c>
      <c r="IC278" s="220" t="e">
        <f ca="1">Control!$C$153*$HT278</f>
        <v>#N/A</v>
      </c>
      <c r="ID278" s="218" t="e">
        <f t="shared" ca="1" si="987"/>
        <v>#N/A</v>
      </c>
      <c r="IE278" s="221" t="e">
        <f ca="1">($EB278*Control!$C$159+$EF278*Control!$C$160)/(IF($GZ278&lt;&gt;0,$GZ278,1))</f>
        <v>#N/A</v>
      </c>
      <c r="IF278" s="216" t="e">
        <f t="shared" ca="1" si="988"/>
        <v>#N/A</v>
      </c>
      <c r="IG278" s="91">
        <f ca="1">IF(OR(Control!$B$198=$AH278,Control!$B$199=$AH278, Control!$B$200=$AH278, Control!$B$201=$AH278, Control!$B$202=$AH278, Control!$B$203=$AH278, Control!$B$204=$AH278, Control!$B$205=$AH278, Control!$B$206=$AH278, Control!$B$207=$AH278), 1, 0)</f>
        <v>0</v>
      </c>
      <c r="IH278" s="91">
        <f ca="1">IF($IG278=0,0, VLOOKUP($AH278,Control!$B$198:$C$207,2))</f>
        <v>0</v>
      </c>
      <c r="II278" s="222">
        <f t="shared" ca="1" si="1104"/>
        <v>0</v>
      </c>
      <c r="IJ278" s="91">
        <f>Control!$C$121</f>
        <v>0.7</v>
      </c>
      <c r="IK278" s="218">
        <f t="shared" ca="1" si="989"/>
        <v>0</v>
      </c>
      <c r="IL278" s="217" t="e">
        <f t="shared" ca="1" si="1141"/>
        <v>#N/A</v>
      </c>
      <c r="IM278" s="223" t="e">
        <f ca="1">IF(AND(Control!$C$114=1,$KH278&lt;1),$EB278*Control!$C$148*(1-$KH278), 0)</f>
        <v>#N/A</v>
      </c>
      <c r="IN278" s="217" t="e">
        <f t="shared" ca="1" si="990"/>
        <v>#DIV/0!</v>
      </c>
      <c r="IO278" s="91" t="e">
        <f ca="1">MAX(0,$IL278-$EF278*Control!$C$160)</f>
        <v>#N/A</v>
      </c>
      <c r="IP278" s="220" t="e">
        <f t="shared" ca="1" si="991"/>
        <v>#N/A</v>
      </c>
      <c r="IQ278" s="217" t="e">
        <f t="shared" ca="1" si="1105"/>
        <v>#N/A</v>
      </c>
      <c r="IR278" s="218" t="e">
        <f t="shared" ca="1" si="992"/>
        <v>#N/A</v>
      </c>
      <c r="IS278" s="217" t="e">
        <f ca="1">Control!$C$159*MAX(0,$FD278-$EN278)</f>
        <v>#N/A</v>
      </c>
      <c r="IT278" s="217" t="e">
        <f t="shared" ca="1" si="1142"/>
        <v>#N/A</v>
      </c>
      <c r="IU278" s="217" t="e">
        <f t="shared" ca="1" si="1106"/>
        <v>#N/A</v>
      </c>
      <c r="IV278" s="217" t="e">
        <f t="shared" ca="1" si="1143"/>
        <v>#N/A</v>
      </c>
      <c r="IW278" s="217" t="e">
        <f ca="1">IF(OR($AW278=1,AND($AW278=0, Control!$B$18=1,$EN278&lt;&gt;0)), $IQ278-$IU278, $IQ278)</f>
        <v>#N/A</v>
      </c>
      <c r="IX278" s="218" t="e">
        <f t="shared" ca="1" si="993"/>
        <v>#N/A</v>
      </c>
      <c r="IY278" s="218" t="e">
        <f ca="1">MAX(0,$IQ278-$EB278*Control!$C$159)</f>
        <v>#N/A</v>
      </c>
      <c r="IZ278" s="218" t="e">
        <f t="shared" ca="1" si="994"/>
        <v>#N/A</v>
      </c>
      <c r="JA278" s="216" t="e">
        <f t="shared" ca="1" si="995"/>
        <v>#N/A</v>
      </c>
      <c r="JB278" s="217" t="e">
        <f t="shared" ca="1" si="996"/>
        <v>#N/A</v>
      </c>
      <c r="JC278" s="222" t="e">
        <f ca="1">MAX(Control!$C$157*$EK278-$JT278, 0)/Control!$C$162</f>
        <v>#N/A</v>
      </c>
      <c r="JD278" s="218" t="e">
        <f t="shared" ca="1" si="997"/>
        <v>#N/A</v>
      </c>
      <c r="JE278" s="218" t="e">
        <f t="shared" ca="1" si="998"/>
        <v>#N/A</v>
      </c>
      <c r="JF278" s="218" t="e">
        <f t="shared" ca="1" si="1107"/>
        <v>#N/A</v>
      </c>
      <c r="JG278" s="218" t="e">
        <f t="shared" ca="1" si="999"/>
        <v>#N/A</v>
      </c>
      <c r="JH278" s="217" t="e">
        <f t="shared" ca="1" si="1108"/>
        <v>#N/A</v>
      </c>
      <c r="JI278" s="217" t="e">
        <f t="shared" ca="1" si="1109"/>
        <v>#N/A</v>
      </c>
      <c r="JJ278" s="217" t="e">
        <f t="shared" ca="1" si="1144"/>
        <v>#N/A</v>
      </c>
      <c r="JK278" s="217" t="e">
        <f ca="1">IF(Control!$C$114=1,IF(Control!$B$24=0,MAX(0,$JI278)*$GN278/Control!$C$64,(MAX(0,MIN($JI278,$JJ278*$GN278/Control!$C$64),0))))</f>
        <v>#N/A</v>
      </c>
      <c r="JL278" s="217" t="e">
        <f ca="1">$IK278/Control!$C$64-$JK278+$HQ278</f>
        <v>#N/A</v>
      </c>
      <c r="JM278" s="217" t="e">
        <f ca="1">IF(Control!$C$114=1,($JB278/(IF($JI278&lt;&gt;0,$JI278,1)))*$JK278,0)</f>
        <v>#N/A</v>
      </c>
      <c r="JN278" s="217" t="e">
        <f ca="1">IF(Control!$C$114=1,($JG278/(IF($JI278&lt;&gt;0,$JI278,1)))*$JK278, 0)</f>
        <v>#N/A</v>
      </c>
      <c r="JO278" s="218" t="e">
        <f t="shared" ca="1" si="1000"/>
        <v>#N/A</v>
      </c>
      <c r="JP278" s="218" t="e">
        <f ca="1">MIN(($IY278+$IO278)*Control!$C$151, $JF278-$EH278*Control!$C$161)</f>
        <v>#N/A</v>
      </c>
      <c r="JQ278" s="218" t="e">
        <f t="shared" ca="1" si="1001"/>
        <v>#N/A</v>
      </c>
      <c r="JR278" s="217" t="e">
        <f ca="1">IF($CP278-Control!$C$150&lt;0, 0, $JQ278/Control!$C$162)</f>
        <v>#N/A</v>
      </c>
      <c r="JS278" s="218" t="e">
        <f t="shared" ca="1" si="1002"/>
        <v>#N/A</v>
      </c>
      <c r="JT278" s="218" t="e">
        <f t="shared" ca="1" si="1110"/>
        <v>#N/A</v>
      </c>
      <c r="JU278" s="218" t="e">
        <f t="shared" ca="1" si="1003"/>
        <v>#N/A</v>
      </c>
      <c r="JV278" s="218" t="e">
        <f t="shared" ca="1" si="1004"/>
        <v>#N/A</v>
      </c>
      <c r="JW278" s="216" t="e">
        <f t="shared" ca="1" si="1005"/>
        <v>#N/A</v>
      </c>
      <c r="JX278" s="91" t="e">
        <f t="shared" ca="1" si="1006"/>
        <v>#N/A</v>
      </c>
      <c r="JY278" s="218" t="e">
        <f t="shared" ca="1" si="1007"/>
        <v>#N/A</v>
      </c>
      <c r="JZ278" s="217" t="e">
        <f ca="1">IF(Control!$C$114=1,($IZ278/(IF($JI278&lt;&gt;0,$JI278,1)))*$JK278, 0)</f>
        <v>#N/A</v>
      </c>
      <c r="KA278" s="218" t="e">
        <f t="shared" ca="1" si="1145"/>
        <v>#N/A</v>
      </c>
      <c r="KB278" s="218" t="e">
        <f t="shared" ca="1" si="1111"/>
        <v>#N/A</v>
      </c>
      <c r="KC278" s="218" t="e">
        <f t="shared" ca="1" si="1008"/>
        <v>#N/A</v>
      </c>
      <c r="KD278" s="218" t="e">
        <f t="shared" ca="1" si="1009"/>
        <v>#N/A</v>
      </c>
      <c r="KE278" s="218" t="e">
        <f t="shared" ca="1" si="1010"/>
        <v>#N/A</v>
      </c>
      <c r="KF278" s="218" t="e">
        <f t="shared" ca="1" si="1011"/>
        <v>#N/A</v>
      </c>
      <c r="KG278" s="216" t="e">
        <f t="shared" ca="1" si="1012"/>
        <v>#N/A</v>
      </c>
      <c r="KH278" s="221" t="e">
        <f ca="1">IF(Control!$B$24=0,1,MAX(0.001,MIN(1,IF(($IF278-$IE278)&lt;&gt;0,($KG278-$IE278)/($IF278-$IE278),1))))</f>
        <v>#N/A</v>
      </c>
      <c r="KI278" s="222" t="e">
        <f ca="1">IF(Control!$C$114=1, $KI277+ $KH277, 0)</f>
        <v>#N/A</v>
      </c>
      <c r="KJ278" s="217" t="e">
        <f t="shared" ca="1" si="1013"/>
        <v>#N/A</v>
      </c>
      <c r="KK278" s="218" t="e">
        <f t="shared" ca="1" si="1014"/>
        <v>#N/A</v>
      </c>
      <c r="KL278" s="274" t="e">
        <f ca="1">IF(Control!$B$26=3,4000000000*EXP(-8400/($G278+273)),IF(Control!$B$26=4,4000000000*EXP(-8400/($G278+273))*($KT278),0))</f>
        <v>#DIV/0!</v>
      </c>
      <c r="KM278" s="274" t="e">
        <f ca="1">IF(Control!$B$26=3,5600000000000*EXP(-9800/($G278+273)),IF(Control!$B$26=4,5600000000000*EXP(-9800/($G278+273))*$KT278,0))</f>
        <v>#DIV/0!</v>
      </c>
      <c r="KN278" s="454" t="e">
        <f t="shared" ca="1" si="1112"/>
        <v>#DIV/0!</v>
      </c>
      <c r="KO278" s="274" t="e">
        <f t="shared" ca="1" si="1113"/>
        <v>#DIV/0!</v>
      </c>
      <c r="KP278" s="454" t="e">
        <f t="shared" ca="1" si="1015"/>
        <v>#DIV/0!</v>
      </c>
      <c r="KQ278" s="454" t="e">
        <f t="shared" ca="1" si="1016"/>
        <v>#DIV/0!</v>
      </c>
      <c r="KR278" s="454" t="e">
        <f t="shared" ca="1" si="1017"/>
        <v>#DIV/0!</v>
      </c>
      <c r="KS278" s="454" t="e">
        <f t="shared" ca="1" si="1018"/>
        <v>#DIV/0!</v>
      </c>
      <c r="KT278" s="455" t="e">
        <f t="shared" ca="1" si="1019"/>
        <v>#DIV/0!</v>
      </c>
      <c r="KU278" s="456" t="e">
        <f ca="1">IF($CP278-Control!$C$149&lt;0, IF($NT278-0.01&lt;0,0,1),0)</f>
        <v>#N/A</v>
      </c>
      <c r="KV278" s="456" t="e">
        <f ca="1">IF(Control!$C$114=1,MAX(0,MIN(Control!$C$125*$KW278*$GN278,$KW278)))</f>
        <v>#DIV/0!</v>
      </c>
      <c r="KW278" s="456" t="e">
        <f t="shared" ca="1" si="1146"/>
        <v>#DIV/0!</v>
      </c>
      <c r="KX278" s="457" t="e">
        <f ca="1">IF($CP278-Control!$C$149&lt;0, IF($MR278-$OM278&lt;0,0,1),0)</f>
        <v>#N/A</v>
      </c>
      <c r="KY278" s="167">
        <f t="shared" ca="1" si="1114"/>
        <v>274</v>
      </c>
      <c r="KZ278" s="168">
        <f ca="1">1370*(1+0.033*COS(2*Control!$C$138*$AH278/365))</f>
        <v>1370.1950616135259</v>
      </c>
      <c r="LA278" s="169">
        <f t="shared" ca="1" si="1115"/>
        <v>1.000142016763776</v>
      </c>
      <c r="LB278" s="169">
        <f t="shared" ca="1" si="1116"/>
        <v>-7.5274285034564459E-2</v>
      </c>
      <c r="LC278" s="169">
        <f ca="1">ACOS(-TAN((2*Control!$B$8/360))*TAN(Calculations!$LB278))</f>
        <v>1.548380345967868</v>
      </c>
      <c r="LD278" s="169">
        <f ca="1">((24*60)/PI())*0.082*$LA278*(($LC278*SIN(Control!$B$8*2*PI()/360))*SIN($LB278)+COS(Control!$B$8*2*PI()/360)*COS($LB278)*SIN($LC278))</f>
        <v>19.622895739071918</v>
      </c>
      <c r="LE278" s="170">
        <f t="shared" ca="1" si="1020"/>
        <v>19.977582190628315</v>
      </c>
      <c r="LF278" s="170">
        <f ca="1">SIN(Control!$C$139*Control!$B$8)*SIN($HD278)</f>
        <v>-5.504827613549855E-2</v>
      </c>
      <c r="LG278" s="170">
        <f ca="1">COS(Control!$C$139*Control!$B$8)*COS($HD278)</f>
        <v>0.61415574925616145</v>
      </c>
      <c r="LH278" s="170">
        <f ca="1">12*(1+2*ASIN(MAX(-1,MIN(1,$LF278/$LG278))/Control!$C$138))</f>
        <v>11.315167294808514</v>
      </c>
      <c r="LI278" s="170">
        <f ca="1">12*(1+2*ASIN(MAX(-1,MIN(1,(-SIN(-4*Control!$C$139)+$LF278)/$LG278))/Control!$C$138))</f>
        <v>12.182957536074642</v>
      </c>
      <c r="LJ278" s="168">
        <f ca="1">3600*($LH278*$LF278+24*$LG278*SQRT(1-$LK278*$LK278)/Control!$C$138)</f>
        <v>14580.100855934297</v>
      </c>
      <c r="LK278" s="170">
        <f t="shared" ca="1" si="1021"/>
        <v>-8.9632436400979079E-2</v>
      </c>
      <c r="LL278" s="170">
        <f t="shared" ca="1" si="1022"/>
        <v>0</v>
      </c>
      <c r="LM278" s="171">
        <f ca="1">Control!$C$145*$AB278</f>
        <v>6.6660906138995932E-2</v>
      </c>
      <c r="LN278" s="170">
        <f t="shared" ca="1" si="1117"/>
        <v>0.54</v>
      </c>
      <c r="LO278" s="170">
        <f t="shared" ca="1" si="1023"/>
        <v>0</v>
      </c>
      <c r="LP278" s="170">
        <f ca="1">Control!$C$140*((($D278+273.16)^4+($E278+273.16)^4)/2)*(0.34-0.14*SQRT($Y278))*(1.35*$AQ278/(0.75*$LD278)-0.35)</f>
        <v>-3.2464704755046001</v>
      </c>
      <c r="LQ278" s="170">
        <f ca="1">Control!$C$140*($G278+273)^4*(0.56-0.079*SQRT($Y278*10))*(0.1+0.9*$LO278)</f>
        <v>1.5241745131704001</v>
      </c>
      <c r="LR278" s="170">
        <f ca="1">$AQ278*(1-Control!$C$142)-$LQ278</f>
        <v>-1.5241745131704001</v>
      </c>
      <c r="LS278" s="170">
        <f ca="1">$AQ278*(1-Control!$C$143)-$LQ278</f>
        <v>-1.5241745131704001</v>
      </c>
      <c r="LT278" s="170">
        <f ca="1">$AQ278*(1-Control!$C$144)-$LQ278</f>
        <v>-1.5241745131704001</v>
      </c>
      <c r="LU278" s="169">
        <f ca="1">(1-Control!$C$144)*AQ278-LP278</f>
        <v>3.2464704755046001</v>
      </c>
      <c r="LV278" s="172">
        <f t="shared" ca="1" si="1024"/>
        <v>0.79430000000000012</v>
      </c>
      <c r="LW278" s="170">
        <f t="shared" ca="1" si="1025"/>
        <v>1.5886000000000002</v>
      </c>
      <c r="LX278" s="170">
        <f ca="1">($AC278*($LR278/Control!$C$141)+$LM278*$LV278)/($AC278+$LM278)</f>
        <v>0.23530094218323697</v>
      </c>
      <c r="LY278" s="170">
        <f ca="1">($AC278*($LS278/Control!$C$141)+$LM278*$LV278)/($AC278+$LM278)</f>
        <v>0.23530094218323697</v>
      </c>
      <c r="LZ278" s="170">
        <f t="shared" ca="1" si="1026"/>
        <v>0.23530094218323697</v>
      </c>
      <c r="MA278" s="170">
        <f t="shared" ca="1" si="1027"/>
        <v>0.23530094218323697</v>
      </c>
      <c r="MB278" s="170" t="e">
        <f t="shared" ca="1" si="1028"/>
        <v>#N/A</v>
      </c>
      <c r="MC278" s="170">
        <f t="shared" ca="1" si="1118"/>
        <v>0.6018</v>
      </c>
      <c r="MD278" s="170">
        <f t="shared" ca="1" si="1029"/>
        <v>0.52989392535414004</v>
      </c>
      <c r="ME278" s="170">
        <f ca="1">($AC278*($LT278/Control!$C$141)+$LM278*$LW278)/($AC278+$LM278)</f>
        <v>0.71612369323045078</v>
      </c>
      <c r="MF278" s="170" t="e">
        <f ca="1">IF(Control!$B$16&gt;=1000,0.92,IF(AND(720&lt;=Control!$B$16,1000&gt;Control!$B$16),(0.95+(Control!$B$16-720)*((0.92-0.95)/(1000-720))),IF(AND(360&lt;=Control!$B$16,720&gt;Control!$B$16),(1+(Control!$B$16-360)*((0.95-1)/(720-360))),IF(AND(40&lt;=Control!$B$16,360&gt;Control!$B$16),(1.05+(Control!$B$16-40)*((1.05-1)/(360-40)))))))</f>
        <v>#N/A</v>
      </c>
      <c r="MG278" s="170">
        <f t="shared" ca="1" si="1030"/>
        <v>0.71612369323045078</v>
      </c>
      <c r="MH278" s="170" t="e">
        <f t="shared" ca="1" si="1155"/>
        <v>#N/A</v>
      </c>
      <c r="MI278" s="170" t="e">
        <f t="shared" ca="1" si="1155"/>
        <v>#N/A</v>
      </c>
      <c r="MJ278" s="170" t="e">
        <f ca="1">MAX(0.0001, Control!$C$132*$MI278*$DL278)</f>
        <v>#N/A</v>
      </c>
      <c r="MK278" s="170">
        <f ca="1">1/(0.76+1.5*($MG278/10))-(5-Control!$C$110)*0.1</f>
        <v>1.002845988140797</v>
      </c>
      <c r="ML278" s="173">
        <f ca="1">IF(Control!$C$110&lt;3,$MK278+($MG278-0.6)/(Control!$C$110*(Control!$C$110+3)), MAX(0.1, MIN(0.95,$MK278)))</f>
        <v>0.95</v>
      </c>
      <c r="MM278" s="173">
        <f ca="1">IF(Control!$C$110&lt;3,$MK278+(($MI278/10)-0.6)/(Control!$C$110*(Control!$C$110+3)), MAX(0.1, MIN(0.95,$MK278)))</f>
        <v>0.95</v>
      </c>
      <c r="MN278" s="173">
        <f ca="1">(1-$MM278)*(Control!$C$128-Control!$C$127)+Control!$C$127</f>
        <v>0.16</v>
      </c>
      <c r="MO278" s="170" t="e">
        <f ca="1">MAX(0,MIN(1,($MS278-Control!$C$127)/($MN278-Control!$C$127)))</f>
        <v>#DIV/0!</v>
      </c>
      <c r="MP278" s="173" t="e">
        <f ca="1">1/(0.76+1.5*$MI278)-(5-Control!$C$110)*0.1</f>
        <v>#N/A</v>
      </c>
      <c r="MQ278" s="172" t="e">
        <f t="shared" ca="1" si="1147"/>
        <v>#DIV/0!</v>
      </c>
      <c r="MR278" s="168" t="e">
        <f t="shared" ca="1" si="1119"/>
        <v>#DIV/0!</v>
      </c>
      <c r="MS278" s="173" t="e">
        <f ca="1">MAX(Control!$C$127, MIN(Control!$C$135, $MR278/MAX(0.0001,$CY278)))</f>
        <v>#DIV/0!</v>
      </c>
      <c r="MT278" s="168" t="e">
        <f ca="1">(Control!$C$128-$MS278)*Control!$C$74</f>
        <v>#DIV/0!</v>
      </c>
      <c r="MU278" s="168" t="e">
        <f ca="1">(Control!$C$135-$MS278)*Control!$C$74</f>
        <v>#DIV/0!</v>
      </c>
      <c r="MV278" s="168" t="e">
        <f t="shared" ca="1" si="1120"/>
        <v>#DIV/0!</v>
      </c>
      <c r="MW278" s="168" t="e">
        <f t="shared" ca="1" si="1121"/>
        <v>#DIV/0!</v>
      </c>
      <c r="MX278" s="171" t="e">
        <f ca="1">MAX(Control!$C$127, MIN(Control!$C$135, $MW278/MAX(0.0001,Control!$C$119-$CY278)))</f>
        <v>#DIV/0!</v>
      </c>
      <c r="MY278" s="54" t="e">
        <f ca="1">IF(Control!$C$114=1, $CX278*$MX278, 0)</f>
        <v>#DIV/0!</v>
      </c>
      <c r="MZ278" s="54" t="e">
        <f t="shared" ca="1" si="1122"/>
        <v>#N/A</v>
      </c>
      <c r="NA278" s="168" t="e">
        <f ca="1">(Control!$C$128-$MX278)*(Control!$C$119-Control!$C$74)</f>
        <v>#DIV/0!</v>
      </c>
      <c r="NB278" s="168" t="e">
        <f ca="1">(Control!$C$135-$MX278)*(Control!$C$119-Control!$C$74)</f>
        <v>#DIV/0!</v>
      </c>
      <c r="NC278" s="174" t="e">
        <f t="shared" ca="1" si="1123"/>
        <v>#DIV/0!</v>
      </c>
      <c r="ND278" s="54">
        <f ca="1">IF(Control!$C$58=2, IF(OR(Control!$B$218=$AH278,Control!$B$219=$AH278, Control!$B$220=$AH278, Control!$B$221=$AH278, Control!$B$222=$AH278, Control!$B$223=$AH278, Control!$B$224=$AH278, Control!$B$225=$AH278, Control!$B$226=$AH278, Control!$B$227=$AH278, Control!$B$228=$AH278), 1, 0), 0)</f>
        <v>0</v>
      </c>
      <c r="NE278" s="54">
        <f ca="1">IF($ND278=0,0, VLOOKUP($AH278,Control!$B$218:$C$228,2))</f>
        <v>0</v>
      </c>
      <c r="NF278" s="168" t="e">
        <f ca="1">$CY278*(Control!$C$128-Control!$C$127)</f>
        <v>#N/A</v>
      </c>
      <c r="NG278" s="54" t="e">
        <f ca="1">IF(Control!$C$58=2, $NI277-$NJ277, 0)</f>
        <v>#DIV/0!</v>
      </c>
      <c r="NH278" s="54" t="e">
        <f ca="1">IF(AND(Control!$C$58=1, $MS277&lt;= ($MN277+0.02), $I277&lt;10), 0, IF(Control!$C$58=2, $NG277, 0))</f>
        <v>#DIV/0!</v>
      </c>
      <c r="NI278" s="54" t="e">
        <f ca="1">IF(Control!$C$58=2, $NE278+$NH278,0)</f>
        <v>#DIV/0!</v>
      </c>
      <c r="NJ278" s="54" t="e">
        <f ca="1">IF(AND(Control!$C$58=1, $MS278&lt;= ($MN278+0.02), $I278&lt;10), MAX(0, MIN(10, 0.7*($NF278-$MV278))), IF(Control!$C$58=2, MIN(10,$NI278),0))</f>
        <v>#DIV/0!</v>
      </c>
      <c r="NK278" s="54" t="e">
        <f t="shared" ca="1" si="1031"/>
        <v>#DIV/0!</v>
      </c>
      <c r="NL278" s="173" t="e">
        <f ca="1">(1-Control!$C$73)*$I278+$NJ278</f>
        <v>#DIV/0!</v>
      </c>
      <c r="NM278" s="172" t="e">
        <f ca="1">IF($NL278&lt;0.5, $MB278* MAX(0, MIN(1, (SQRT($NC278)-SQRT($NC278-1))*Control!$C$71)),0)</f>
        <v>#DIV/0!</v>
      </c>
      <c r="NN278" s="170" t="e">
        <f ca="1">IF($NL278&gt;=5, $MB278, MAX(0,MIN($MB278, $NM278+$NL278,($MS278-Control!$C$129))))</f>
        <v>#DIV/0!</v>
      </c>
      <c r="NO278" s="54">
        <f>IF(Control!$C$133&lt;&gt;1, Control!$C$135-Control!$C$131, 0)</f>
        <v>0.38</v>
      </c>
      <c r="NP278" s="54" t="e">
        <f t="shared" ca="1" si="1032"/>
        <v>#DIV/0!</v>
      </c>
      <c r="NQ278" s="173" t="e">
        <f ca="1">MAX(0,MIN(1,(Control!$C$135-$MS278)/(Control!$C$135-$NO278)))</f>
        <v>#DIV/0!</v>
      </c>
      <c r="NR278" s="170" t="e">
        <f ca="1">IF(Control!$C$133&lt;&gt;1, $NQ278+((1-$NP278/4)*(1-$NQ278)),1)</f>
        <v>#DIV/0!</v>
      </c>
      <c r="NS278" s="170" t="e">
        <f ca="1">IF(Control!$B$31=0,$MJ278,MAX(0,MIN($MV278,$MO278*$NR278*$MJ278)))</f>
        <v>#DIV/0!</v>
      </c>
      <c r="NT278" s="170" t="e">
        <f t="shared" ca="1" si="1148"/>
        <v>#DIV/0!</v>
      </c>
      <c r="NU278" s="170" t="e">
        <f t="shared" ca="1" si="1124"/>
        <v>#N/A</v>
      </c>
      <c r="NV278" s="170" t="e">
        <f t="shared" ca="1" si="1033"/>
        <v>#N/A</v>
      </c>
      <c r="NW278" s="175" t="e">
        <f t="shared" ca="1" si="1034"/>
        <v>#DIV/0!</v>
      </c>
      <c r="NX278" s="170" t="e">
        <f ca="1">MIN(Control!$C$72+$MU278, $NW278)</f>
        <v>#DIV/0!</v>
      </c>
      <c r="NY278" s="170" t="e">
        <f ca="1">IF($MT278&lt;=$NX278,MIN(Control!$C$72+$NB278,$NX278-$MT278),0)</f>
        <v>#DIV/0!</v>
      </c>
      <c r="NZ278" s="54" t="e">
        <f ca="1">IF(Control!$C$114=1,  $CX278*($MX278-Control!$C$127), 0)</f>
        <v>#DIV/0!</v>
      </c>
      <c r="OA278" s="170" t="e">
        <f t="shared" ca="1" si="1035"/>
        <v>#DIV/0!</v>
      </c>
      <c r="OB278" s="170" t="e">
        <f ca="1">IF($NA278 &lt;=$NY278, MIN(Control!$C$72, $NY278-$NA278), 0)</f>
        <v>#DIV/0!</v>
      </c>
      <c r="OC278" s="168" t="e">
        <f t="shared" ca="1" si="1036"/>
        <v>#DIV/0!</v>
      </c>
      <c r="OD278" s="168" t="e">
        <f t="shared" ca="1" si="1125"/>
        <v>#DIV/0!</v>
      </c>
      <c r="OE278" s="170">
        <f ca="1">Control!$C$73*$I278</f>
        <v>0</v>
      </c>
      <c r="OF278" s="176" t="e">
        <f t="shared" ca="1" si="1037"/>
        <v>#DIV/0!</v>
      </c>
      <c r="OG278" s="168" t="e">
        <f t="shared" ca="1" si="1038"/>
        <v>#DIV/0!</v>
      </c>
      <c r="OH278" s="168" t="e">
        <f t="shared" ca="1" si="1039"/>
        <v>#DIV/0!</v>
      </c>
      <c r="OI278" s="168" t="e">
        <f t="shared" ca="1" si="1040"/>
        <v>#DIV/0!</v>
      </c>
      <c r="OJ278" s="168" t="e">
        <f t="shared" ca="1" si="1041"/>
        <v>#DIV/0!</v>
      </c>
      <c r="OK278" s="204" t="e">
        <f t="shared" ca="1" si="1042"/>
        <v>#DIV/0!</v>
      </c>
      <c r="OL278" s="177">
        <f>Control!$C$127</f>
        <v>0.15</v>
      </c>
      <c r="OM278" s="182" t="e">
        <f t="shared" ca="1" si="1043"/>
        <v>#N/A</v>
      </c>
      <c r="ON278" s="177">
        <f>Control!$C$128</f>
        <v>0.35</v>
      </c>
      <c r="OO278" s="182" t="e">
        <f t="shared" ca="1" si="1044"/>
        <v>#N/A</v>
      </c>
      <c r="OP278" s="138">
        <f t="shared" ca="1" si="1126"/>
        <v>0</v>
      </c>
      <c r="OQ278" s="138" t="e">
        <f t="shared" ca="1" si="1149"/>
        <v>#DIV/0!</v>
      </c>
      <c r="OR278" s="138" t="e">
        <f t="shared" ca="1" si="1127"/>
        <v>#DIV/0!</v>
      </c>
      <c r="OS278" s="137" t="e">
        <f t="shared" ca="1" si="1150"/>
        <v>#DIV/0!</v>
      </c>
      <c r="OT278" s="139" t="e">
        <f t="shared" ca="1" si="1151"/>
        <v>#DIV/0!</v>
      </c>
      <c r="OU278" s="138" t="e">
        <f t="shared" ca="1" si="1152"/>
        <v>#N/A</v>
      </c>
      <c r="OV278" s="138" t="e">
        <f t="shared" ca="1" si="1153"/>
        <v>#DIV/0!</v>
      </c>
      <c r="OW278" s="138" t="e">
        <f t="shared" ca="1" si="1128"/>
        <v>#DIV/0!</v>
      </c>
      <c r="OX278" s="138" t="e">
        <f t="shared" ca="1" si="1129"/>
        <v>#DIV/0!</v>
      </c>
      <c r="OY278" s="138" t="e">
        <f t="shared" ca="1" si="1130"/>
        <v>#DIV/0!</v>
      </c>
      <c r="OZ278" s="138" t="e">
        <f t="shared" ca="1" si="1045"/>
        <v>#DIV/0!</v>
      </c>
      <c r="PA278" s="138" t="e">
        <f t="shared" ca="1" si="1046"/>
        <v>#DIV/0!</v>
      </c>
      <c r="PB278" s="55">
        <f>IF(Control!$C$61="T", IF(Control!$C$65="F", IF($AH$6-Control!$C$60&lt;0,0,1), IF(365+$AH$6-Control!$C$60&lt;0,0,1)),0)</f>
        <v>0</v>
      </c>
      <c r="PC278" s="55">
        <f ca="1">IF(Control!$C$65="F", IF($AH$6-$HF278&lt;0,0,1), IF(365+$AH$6-$HF278&lt;0,0,1))</f>
        <v>1</v>
      </c>
      <c r="PD278" s="444">
        <f>Control!$C$118</f>
        <v>1500</v>
      </c>
      <c r="PE278" s="180" t="e">
        <f t="shared" ca="1" si="1047"/>
        <v>#N/A</v>
      </c>
      <c r="PF278" s="445">
        <f t="shared" ca="1" si="1131"/>
        <v>0.71612369323045078</v>
      </c>
      <c r="PT278" s="186"/>
      <c r="PU278" s="186"/>
      <c r="PV278" s="94"/>
      <c r="PW278" s="94"/>
      <c r="PX278" s="94"/>
      <c r="PY278" s="94"/>
      <c r="PZ278" s="94"/>
      <c r="QA278" s="94"/>
      <c r="QB278" s="94"/>
      <c r="QC278" s="94"/>
      <c r="QD278" s="94"/>
      <c r="QE278" s="94"/>
      <c r="QF278" s="94"/>
      <c r="QG278" s="94"/>
      <c r="QH278" s="94"/>
      <c r="QI278" s="94"/>
      <c r="QJ278" s="94"/>
      <c r="QK278" s="94"/>
      <c r="QL278" s="94"/>
      <c r="QM278" s="94"/>
      <c r="QN278" s="94"/>
      <c r="QO278" s="94"/>
      <c r="QP278" s="94"/>
    </row>
    <row r="279" spans="1:458" s="2" customFormat="1" x14ac:dyDescent="0.2">
      <c r="A279" s="395">
        <v>1</v>
      </c>
      <c r="B279" s="396">
        <v>10</v>
      </c>
      <c r="C279" s="387">
        <f ca="1">Weather_data!$B278</f>
        <v>0</v>
      </c>
      <c r="D279" s="388">
        <f ca="1">Weather_data!$F278</f>
        <v>0</v>
      </c>
      <c r="E279" s="388">
        <f ca="1">Weather_data!$E278</f>
        <v>0</v>
      </c>
      <c r="F279" s="388">
        <f t="shared" ca="1" si="1048"/>
        <v>0</v>
      </c>
      <c r="G279" s="388">
        <f ca="1">AVERAGE($D279:$E279)+Control!$B$9</f>
        <v>0</v>
      </c>
      <c r="H279" s="388">
        <f ca="1">Weather_data!$G278</f>
        <v>0</v>
      </c>
      <c r="I279" s="388">
        <f ca="1">Weather_data!$I278</f>
        <v>0</v>
      </c>
      <c r="J279" s="388">
        <f ca="1">Weather_data!$H278</f>
        <v>0</v>
      </c>
      <c r="K279" s="389">
        <f ca="1">Weather_data!$D278</f>
        <v>0</v>
      </c>
      <c r="L279" s="388" t="e">
        <f t="shared" ca="1" si="1049"/>
        <v>#N/A</v>
      </c>
      <c r="M279" s="388" t="e">
        <f t="shared" ca="1" si="927"/>
        <v>#N/A</v>
      </c>
      <c r="N279" s="388">
        <f t="shared" ca="1" si="928"/>
        <v>-1.6112950809965179E-13</v>
      </c>
      <c r="O279" s="388">
        <f t="shared" ca="1" si="1050"/>
        <v>1.611295080996518E-12</v>
      </c>
      <c r="P279" s="390">
        <v>3</v>
      </c>
      <c r="Q279" s="388">
        <f ca="1">MAX($G279-Control!$C$107,0)</f>
        <v>0</v>
      </c>
      <c r="R279" s="388">
        <f t="shared" ca="1" si="1051"/>
        <v>0</v>
      </c>
      <c r="S279" s="388">
        <f t="shared" ca="1" si="929"/>
        <v>0</v>
      </c>
      <c r="T279" s="388">
        <f t="shared" ca="1" si="930"/>
        <v>0</v>
      </c>
      <c r="U279" s="59">
        <f t="shared" ca="1" si="931"/>
        <v>0</v>
      </c>
      <c r="V279" s="391">
        <f ca="1">MAX(0,MIN(Control!$C$100-Control!$C$99,$G279-Control!$C$99)*Control!$C$63)</f>
        <v>0</v>
      </c>
      <c r="W279" s="388">
        <f t="shared" ca="1" si="1052"/>
        <v>0</v>
      </c>
      <c r="X279" s="388">
        <f t="shared" ca="1" si="1053"/>
        <v>0.6110000000000001</v>
      </c>
      <c r="Y279" s="388">
        <f t="shared" ca="1" si="932"/>
        <v>0</v>
      </c>
      <c r="Z279" s="388">
        <f t="shared" ca="1" si="1054"/>
        <v>0.61058800000000002</v>
      </c>
      <c r="AA279" s="388">
        <f t="shared" ca="1" si="933"/>
        <v>0.6018</v>
      </c>
      <c r="AB279" s="388">
        <f ca="1">101.3*EXP(-0.034*Control!$C$66/($G279+273))</f>
        <v>100.69623283836242</v>
      </c>
      <c r="AC279" s="392">
        <f t="shared" ca="1" si="934"/>
        <v>4.3460251046025113E-2</v>
      </c>
      <c r="AD279" s="392">
        <f t="shared" ca="1" si="935"/>
        <v>4.4450382862832649E-2</v>
      </c>
      <c r="AE279" s="388">
        <f t="shared" ca="1" si="936"/>
        <v>0</v>
      </c>
      <c r="AF279" s="388">
        <f ca="1">MAX(0,$G279-Control!$C$92)</f>
        <v>0</v>
      </c>
      <c r="AG279" s="393">
        <f t="shared" ca="1" si="937"/>
        <v>275</v>
      </c>
      <c r="AH279" s="389">
        <f t="shared" ca="1" si="938"/>
        <v>275</v>
      </c>
      <c r="AI279" s="388">
        <f t="shared" ca="1" si="1055"/>
        <v>-7.6665572387004624E-2</v>
      </c>
      <c r="AJ279" s="388">
        <f ca="1">IF(Control!$C$60&lt;=0,$HH279,$HI279)</f>
        <v>1</v>
      </c>
      <c r="AK279" s="388">
        <f t="shared" ca="1" si="939"/>
        <v>3.3567702326027926</v>
      </c>
      <c r="AL279" s="388">
        <f t="shared" ca="1" si="940"/>
        <v>1.8006256208291658E-19</v>
      </c>
      <c r="AM279" s="388">
        <f t="shared" ca="1" si="941"/>
        <v>3.3567702326027926</v>
      </c>
      <c r="AN279" s="388">
        <f t="shared" ca="1" si="942"/>
        <v>-8.5041085764183663E-2</v>
      </c>
      <c r="AO279" s="388">
        <f ca="1">-0.10453/COS(Control!$B$8*PI()/180)*COS(AN279)</f>
        <v>-0.16917129323883337</v>
      </c>
      <c r="AP279" s="388">
        <f ca="1">ACOS(AO279-TAN(Control!$B$8*PI()/180)*TAN(AN279))</f>
        <v>1.6308930055591464</v>
      </c>
      <c r="AQ279" s="388">
        <f t="shared" ca="1" si="1056"/>
        <v>0</v>
      </c>
      <c r="AR279" s="394">
        <f t="shared" ca="1" si="943"/>
        <v>0</v>
      </c>
      <c r="AS279" s="436">
        <f ca="1">IF(Control!$B$18=2,(IF(OR($AH279=Control!$B$175,$AH279=Control!$B$176,$AH279=Control!$B$177,$AH279=Control!$B$178,$AH279=Control!$B$179,$AH279=Control!$B$180,$AH279=Control!$B$181,$AH279=Control!$B$182,$AH279=Control!$B$183,$AH279=Control!$B$184,$AH279=Control!$B$185),1,0)),0)</f>
        <v>0</v>
      </c>
      <c r="AT279" s="436">
        <f>IF(Control!$B$20=8,IF(AND($AH279&gt;=Control!$B$172,$AH279&lt;=Control!$B$173),1,0),0)</f>
        <v>0</v>
      </c>
      <c r="AU279" s="436">
        <f>IF(Control!$B$20=8,IF($AV278=1,1*$AT279,IF($AT279=1,$AU278+1,$AU278)),0)</f>
        <v>0</v>
      </c>
      <c r="AV279" s="436">
        <f>IF(Control!$B$20=8,IF($AU279&gt;=Control!$B$174,1,0),0)</f>
        <v>0</v>
      </c>
      <c r="AW279" s="436">
        <f ca="1">IF(AND(Control!$B$18=2,Control!$B$171=1), $AV279, $AS279)</f>
        <v>0</v>
      </c>
      <c r="AX279" s="436" t="e">
        <f ca="1">IF(AND(Control!$B$18=1,$EU279&gt;=Control!$B$19),-$AY279,IF(AND(Control!$B$18=2,$AW279=1,$EU279&gt;$DS279),-$AY279, IF(Control!$C$108=0,0, IF(Control!$C$108&lt;&gt;0,1))))</f>
        <v>#N/A</v>
      </c>
      <c r="AY279" s="436" t="e">
        <f t="shared" ca="1" si="1057"/>
        <v>#N/A</v>
      </c>
      <c r="AZ279" s="436" t="e">
        <f ca="1">IF(AND(Control!$B$18=1,$EB279&gt;Control!$B$19),$AZ278+1, IF(AND(Control!$B$18=2, $AW279=1, $EB279&gt;$DS279), $AZ278+1,$AZ278))</f>
        <v>#N/A</v>
      </c>
      <c r="BA279" s="587">
        <f>IF(Control!$C$81=0,1,IF($AH279&gt;=Control!$C$82,1,0))</f>
        <v>1</v>
      </c>
      <c r="BB279" s="140" t="e">
        <f ca="1">IF($BA279&gt;$BA278,Control!$C$83,IF($AW279&gt;0,$AW279*Control!$C$84,IF(AND(Control!$B$18=1,EN278&lt;&gt;0),Control!$C$84,0)))</f>
        <v>#N/A</v>
      </c>
      <c r="BC279" s="140" t="e">
        <f t="shared" ca="1" si="1058"/>
        <v>#N/A</v>
      </c>
      <c r="BD279" s="140" t="e">
        <f ca="1">BC279*IF(OR($G279&lt;Control!$C$92,$G279&gt;Control!$C$95),0,IF(AND($G279&gt;=Control!$C$92,$G279&lt;=Control!$C$93),$G279-Control!$C$92,IF(AND($G279&gt;Control!$C$93,$G279&lt;=Control!$C$94),Control!$C$93-Control!$C$92,IF(AND($G279&gt;Control!$C$94,$G279&lt;=Control!$C$95),(Control!$C$93-Control!$C$92)*(Control!$C$94-$G279)/(Control!$C$95-Control!$C$94)))))</f>
        <v>#N/A</v>
      </c>
      <c r="BE279" s="140" t="e">
        <f t="shared" ca="1" si="1059"/>
        <v>#N/A</v>
      </c>
      <c r="BF279" s="140" t="e">
        <f ca="1">IF($BE279&lt;=Control!$C$86,$BE279,Control!$C$86-$BE279)</f>
        <v>#N/A</v>
      </c>
      <c r="BG279" s="140" t="e">
        <f ca="1">IF(AND($AW279=1,Control!$C$84&lt;9),1,IF($BE279&gt;=Control!$C$86,0,$BC279))</f>
        <v>#N/A</v>
      </c>
      <c r="BH279" s="404" t="e">
        <f ca="1">IF($BG279=0,0,IF($BE279&lt;=Control!$C$86,$BC279*9*($BF279/Control!$C$86),0))</f>
        <v>#N/A</v>
      </c>
      <c r="BI279" s="140" t="e">
        <f ca="1">IF($BG279=1,0,IF($BE279&gt;=Control!$C$86,1,IF(AND($BB279&lt;21,$BB279&gt;=9),1,$BM278)))</f>
        <v>#N/A</v>
      </c>
      <c r="BJ279" s="140" t="e">
        <f ca="1">IF($BF279&lt;0,-$BF279,$BI279*IF(OR($G279&lt;Control!$C$92,$G279&gt;Control!$C$95),0,IF(AND($G279&gt;=Control!$C$92,$G279&lt;=Control!$C$93),$G279-Control!$C$92,IF(AND($G279&gt;Control!$C$93,$G279&lt;=Control!$C$94),Control!$C$93-Control!$C$92,IF(AND($G279&gt;Control!$C$94,$G279&lt;=Control!$C$95),(Control!$C$93-Control!$C$92)*(Control!$C$94-$G279)/(Control!$C$95-Control!$C$94))))))</f>
        <v>#N/A</v>
      </c>
      <c r="BK279" s="140" t="e">
        <f t="shared" ca="1" si="1060"/>
        <v>#N/A</v>
      </c>
      <c r="BL279" s="140" t="e">
        <f ca="1">IF($BK279&lt;=Control!$C$87,$BK279,Control!$C$87-$BK279)</f>
        <v>#N/A</v>
      </c>
      <c r="BM279" s="140" t="e">
        <f ca="1">IF(AND($BB279&gt;=9,$BB279&lt;21),1,IF($BK279&gt;=Control!$C$87,0,$BI279))</f>
        <v>#N/A</v>
      </c>
      <c r="BN279" s="404" t="e">
        <f ca="1">IF($BM279=0,0,IF($BK279&lt;=Control!$C$87,$BI279*(9+(21-9)*($BL279/Control!$C$87)),0))</f>
        <v>#N/A</v>
      </c>
      <c r="BO279" s="140" t="e">
        <f ca="1">IF($BM279=1,0,IF($BK279&gt;=Control!$C$87,1,IF(AND($BB279&lt;30,$BB279&gt;=21),1,$BS278)))</f>
        <v>#N/A</v>
      </c>
      <c r="BP279" s="140" t="e">
        <f ca="1">IF($BL279&lt;0,-$BL279,$BO279*IF(OR($G279&lt;Control!$C$92,$G279&gt;Control!$C$95),0,IF(AND($G279&gt;=Control!$C$92,$G279&lt;=Control!$C$93),$G279-Control!$C$92,IF(AND($G279&gt;Control!$C$93,$G279&lt;=Control!$C$94),Control!$C$93-Control!$C$92,IF(AND($G279&gt;Control!$C$94,$G279&lt;=Control!$C$95),(Control!$C$93-Control!$C$92)*(Control!$C$94-$G279)/(Control!$C$95-Control!$C$94))))))</f>
        <v>#N/A</v>
      </c>
      <c r="BQ279" s="140" t="e">
        <f t="shared" ca="1" si="944"/>
        <v>#N/A</v>
      </c>
      <c r="BR279" s="140" t="e">
        <f ca="1">IF($BQ279&lt;=Control!$C$88,$BQ279,Control!$C$88-$BQ279)</f>
        <v>#N/A</v>
      </c>
      <c r="BS279" s="140" t="e">
        <f ca="1">IF(AND($BB279&gt;=21,$BB279&lt;30),1,IF($BQ279&gt;=Control!$C$88,0,$BO279))</f>
        <v>#N/A</v>
      </c>
      <c r="BT279" s="404" t="e">
        <f ca="1">IF($BS279=0,0,IF($BQ279&lt;=Control!$C$88,$BO279*(21+(30-21)*(BR279/Control!$C$88)),0))</f>
        <v>#N/A</v>
      </c>
      <c r="BU279" s="140" t="e">
        <f ca="1">IF(BG279+BM279+BS279=1,0,IF(OR(AND($BB279&lt;60,$BB279&gt;=30),$BQ279&gt;=Control!$C$88),1*$BA279,$BY278))</f>
        <v>#N/A</v>
      </c>
      <c r="BV279" s="140" t="e">
        <f ca="1">IF($BR279&lt;0,-$BR279,$BU279*IF(OR($G279&lt;Control!$C$92,$G279&gt;Control!$C$95),0,IF(AND($G279&gt;=Control!$C$92,$G279&lt;=Control!$C$93),$G279-Control!$C$92,IF(AND($G279&gt;Control!$C$93,$G279&lt;=Control!$C$94),Control!$C$93-Control!$C$92,IF(AND($G279&gt;Control!$C$94,$G279&lt;=Control!$C$95),(Control!$C$93-Control!$C$92)*(Control!$C$94-$G279)/(Control!$C$95-Control!$C$94))))))</f>
        <v>#N/A</v>
      </c>
      <c r="BW279" s="140" t="e">
        <f t="shared" ca="1" si="945"/>
        <v>#N/A</v>
      </c>
      <c r="BX279" s="140" t="e">
        <f ca="1">IF($BW279&lt;=Control!$C$89,$BW279,Control!$C$89-$BW279)</f>
        <v>#N/A</v>
      </c>
      <c r="BY279" s="140" t="e">
        <f ca="1">IF(AND($AJ279&gt;=30,$AJ279&lt;60),1,IF($BW279&gt;=Control!$C$89,0,$BU279))</f>
        <v>#N/A</v>
      </c>
      <c r="BZ279" s="404" t="e">
        <f ca="1">IF($BY279=0,0,IF($BW279&lt;=Control!$C$89,$BU279*(30+(60-30)*(BX279/Control!$C$89)),0))</f>
        <v>#N/A</v>
      </c>
      <c r="CA279" s="140" t="e">
        <f ca="1">IF($BG279+$BM279+$BS279+$BY279=1,0,IF(OR(AND($BB279&lt;65,$BB279&gt;=60),$BW279&gt;=Control!$C$89),1*$BA279,$CE278))</f>
        <v>#N/A</v>
      </c>
      <c r="CB279" s="140" t="e">
        <f ca="1">IF($BX279&lt;0,-$BX279,$CA279*IF(OR($G279&lt;Control!$C$92,$G279&gt;Control!$C$95),0,IF(AND($G279&gt;=Control!$C$92,$G279&lt;=Control!$C$93),$G279-Control!$C$92,IF(AND($G279&gt;Control!$C$93,$G279&lt;=Control!$C$94),Control!$C$93-Control!$C$92,IF(AND($G279&gt;Control!$C$94,$G279&lt;=Control!$C$95),(Control!$C$93-Control!$C$92)*(Control!$C$94-$G279)/(Control!$C$95-Control!$C$94))))))</f>
        <v>#N/A</v>
      </c>
      <c r="CC279" s="140" t="e">
        <f t="shared" ca="1" si="1061"/>
        <v>#N/A</v>
      </c>
      <c r="CD279" s="140" t="e">
        <f ca="1">IF($CC279&lt;=Control!$C$90,$CC279,Control!$C$90-$CC279)</f>
        <v>#N/A</v>
      </c>
      <c r="CE279" s="140" t="e">
        <f ca="1">IF(AND($BB279&gt;=60,$BB279&lt;65),1,IF($CC279&gt;=Control!$C$90,0,$CA279))</f>
        <v>#N/A</v>
      </c>
      <c r="CF279" s="404" t="e">
        <f ca="1">IF($CE279=0,0,IF($CC279&lt;=Control!$C$90,$CA279*(60+(65-60)*(CD279/Control!$C$90)),0))</f>
        <v>#N/A</v>
      </c>
      <c r="CG279" s="140" t="e">
        <f ca="1">IF($BG279+$BM279+$BS279+$BY279+$CE279=1,0,IF(OR(AND($BB279&lt;90,$BB279&gt;=65),$CC279&gt;=Control!$C$90),$BA279,$CK278))</f>
        <v>#N/A</v>
      </c>
      <c r="CH279" s="140" t="e">
        <f ca="1">IF($CD279&lt;0,-$CD279,$CG279*IF(OR($G279&lt;Control!$C$92,$G279&gt;Control!$C$95),0,IF(AND($G279&gt;=Control!$C$92,$G279&lt;=Control!$C$93),$G279-Control!$C$92,IF(AND($G279&gt;Control!$C$93,$G279&lt;=Control!$C$94),Control!$C$93-Control!$C$92,IF(AND($G279&gt;Control!$C$94,$G279&lt;=Control!$C$95),(Control!$C$93-Control!$C$92)*(Control!$C$94-$G279)/(Control!$C$95-Control!$C$94))))))</f>
        <v>#N/A</v>
      </c>
      <c r="CI279" s="140" t="e">
        <f t="shared" ca="1" si="1062"/>
        <v>#N/A</v>
      </c>
      <c r="CJ279" s="140" t="e">
        <f ca="1">IF($CI279&lt;=Control!$C$91,$CI279,Control!$C$91-$CI279)</f>
        <v>#N/A</v>
      </c>
      <c r="CK279" s="140" t="e">
        <f ca="1">IF(AND($BB279&gt;=65,$BB279&lt;90),1,IF($CI279&gt;=Control!$C$91,0,$CG279))</f>
        <v>#N/A</v>
      </c>
      <c r="CL279" s="404" t="e">
        <f ca="1">IF($CK279=0,0,IF($CI279&lt;=Control!$C$91,$CG279*(65+(90-65)*($CJ279/Control!$C$91)),0))</f>
        <v>#N/A</v>
      </c>
      <c r="CM279" s="140" t="e">
        <f ca="1">IF($BG279+$BM279+$BS279+$BY279+$CE279+$CK279=1,0,IF(OR($BB279&gt;=90,$CI279&gt;=Control!$C$91),$BA279,$CM278))</f>
        <v>#N/A</v>
      </c>
      <c r="CN279" s="140" t="e">
        <f t="shared" ca="1" si="1063"/>
        <v>#N/A</v>
      </c>
      <c r="CO279" s="140" t="e">
        <f t="shared" ca="1" si="1064"/>
        <v>#N/A</v>
      </c>
      <c r="CP279" s="140" t="e">
        <f t="shared" ca="1" si="1065"/>
        <v>#N/A</v>
      </c>
      <c r="CQ279" s="141" t="e">
        <f ca="1">VLOOKUP($CP279,Control!$B$86:$G$91,6)</f>
        <v>#N/A</v>
      </c>
      <c r="CR279" s="141" t="e">
        <f ca="1">(1-$CQ279)*VLOOKUP($CP279,Control!$B$86:$D$91,3)</f>
        <v>#N/A</v>
      </c>
      <c r="CS279" s="141" t="e">
        <f ca="1">(1-$CQ279)*VLOOKUP($CP279,Control!$B$86:$E$91,4)</f>
        <v>#N/A</v>
      </c>
      <c r="CT279" s="141" t="e">
        <f ca="1">(1-$CQ279)*VLOOKUP($CP279,Control!$B$86:$F$91,5)</f>
        <v>#N/A</v>
      </c>
      <c r="CU279" s="141">
        <f t="shared" ca="1" si="1066"/>
        <v>0</v>
      </c>
      <c r="CV279" s="583">
        <f t="shared" ca="1" si="1067"/>
        <v>0</v>
      </c>
      <c r="CW279" s="142">
        <f t="shared" ca="1" si="1068"/>
        <v>275</v>
      </c>
      <c r="CX279" s="612" t="e">
        <f ca="1">IF(Control!$C$114=1,(MIN(Control!$C$120*(IF($NT279-0.01&lt;0,0,1)),Control!$C$119-$CY279)))</f>
        <v>#DIV/0!</v>
      </c>
      <c r="CY279" s="143" t="e">
        <f t="shared" ca="1" si="1069"/>
        <v>#N/A</v>
      </c>
      <c r="CZ279" s="144">
        <f t="shared" ca="1" si="946"/>
        <v>0</v>
      </c>
      <c r="DA279" s="144">
        <f t="shared" ca="1" si="947"/>
        <v>0</v>
      </c>
      <c r="DB279" s="144" t="e">
        <f t="shared" ca="1" si="948"/>
        <v>#N/A</v>
      </c>
      <c r="DC279" s="144" t="e">
        <f t="shared" ca="1" si="949"/>
        <v>#N/A</v>
      </c>
      <c r="DD279" s="144" t="e">
        <f t="shared" ca="1" si="1154"/>
        <v>#N/A</v>
      </c>
      <c r="DE279" s="143" t="e">
        <f t="shared" ca="1" si="1070"/>
        <v>#N/A</v>
      </c>
      <c r="DF279" s="145" t="e">
        <f ca="1">$DR279*EXP(-Control!$C$158*(1-$KH279))</f>
        <v>#N/A</v>
      </c>
      <c r="DG279" s="146" t="e">
        <f ca="1">IF(Control!$C$114=1, $DF279*$EY279, 0)</f>
        <v>#N/A</v>
      </c>
      <c r="DH279" s="147" t="e">
        <f t="shared" ca="1" si="1071"/>
        <v>#N/A</v>
      </c>
      <c r="DI279" s="144" t="e">
        <f t="shared" ca="1" si="1132"/>
        <v>#N/A</v>
      </c>
      <c r="DJ279" s="147" t="e">
        <f ca="1">$EF279*Control!$C$109</f>
        <v>#N/A</v>
      </c>
      <c r="DK279" s="144" t="e">
        <f t="shared" ca="1" si="1072"/>
        <v>#N/A</v>
      </c>
      <c r="DL279" s="144" t="e">
        <f t="shared" ca="1" si="950"/>
        <v>#N/A</v>
      </c>
      <c r="DM279" s="144" t="e">
        <f ca="1">IF(Control!$C$114=1, (1-EXP(-Control!$C$96*$DK279))*$AR279, 0)</f>
        <v>#N/A</v>
      </c>
      <c r="DN279" s="144">
        <f t="shared" ca="1" si="1073"/>
        <v>0</v>
      </c>
      <c r="DO279" s="148">
        <f>Control!$C$97</f>
        <v>4</v>
      </c>
      <c r="DP279" s="145" t="e">
        <f t="shared" ca="1" si="1074"/>
        <v>#N/A</v>
      </c>
      <c r="DQ279" s="145" t="e">
        <f ca="1">IF(AND($CP279&gt;=0,$CP279&lt;=90),Control!$C$111,Control!$C$111)</f>
        <v>#N/A</v>
      </c>
      <c r="DR279" s="145" t="e">
        <f t="shared" ca="1" si="951"/>
        <v>#N/A</v>
      </c>
      <c r="DS279" s="143" t="e">
        <f ca="1">Control!$B$22/$DR279</f>
        <v>#N/A</v>
      </c>
      <c r="DT279" s="149" t="e">
        <f ca="1">IF(AND(Control!$C$114=1,$KH279&lt;1),$IM279*$DF279, 0)</f>
        <v>#N/A</v>
      </c>
      <c r="DU279" s="144" t="e">
        <f t="shared" ca="1" si="1075"/>
        <v>#N/A</v>
      </c>
      <c r="DV279" s="144">
        <f ca="1">IF($G279-Control!$C$107&lt;=0, 0, 0.83*LN(MAX($G279, 3))-0.8924)</f>
        <v>0</v>
      </c>
      <c r="DW279" s="144" t="e">
        <f t="shared" ca="1" si="952"/>
        <v>#N/A</v>
      </c>
      <c r="DX279" s="150" t="e">
        <f ca="1">MAX(0.01*(1+$CU279/Control!$C$102),0.05*($DK279-Control!$C$97)/Control!$C$97)</f>
        <v>#N/A</v>
      </c>
      <c r="DY279" s="151" t="e">
        <f ca="1">IF(Control!$C$114=1, $DI279*$FS279, 0)</f>
        <v>#N/A</v>
      </c>
      <c r="DZ279" s="196" t="e">
        <f t="shared" ca="1" si="1076"/>
        <v>#N/A</v>
      </c>
      <c r="EA279" s="152">
        <f t="shared" ca="1" si="1077"/>
        <v>275</v>
      </c>
      <c r="EB279" s="153" t="e">
        <f t="shared" ca="1" si="1078"/>
        <v>#N/A</v>
      </c>
      <c r="EC279" s="153" t="e">
        <f t="shared" ca="1" si="1079"/>
        <v>#N/A</v>
      </c>
      <c r="ED279" s="154" t="e">
        <f ca="1">IF(Control!$C$114=1, $HM279*$FY279-$FD279, 0)</f>
        <v>#DIV/0!</v>
      </c>
      <c r="EE279" s="155" t="e">
        <f ca="1">IF(Control!$C$114=1, $HM279*$FZ279-$FF279, 0)</f>
        <v>#DIV/0!</v>
      </c>
      <c r="EF279" s="153" t="e">
        <f t="shared" ca="1" si="1133"/>
        <v>#N/A</v>
      </c>
      <c r="EG279" s="155" t="e">
        <f ca="1">IF(Control!$C$114=1, $GX279*$FW279-$FI279, 0)</f>
        <v>#DIV/0!</v>
      </c>
      <c r="EH279" s="153" t="e">
        <f t="shared" ca="1" si="1080"/>
        <v>#N/A</v>
      </c>
      <c r="EI279" s="156" t="e">
        <f t="shared" ca="1" si="1081"/>
        <v>#N/A</v>
      </c>
      <c r="EJ279" s="155" t="e">
        <f ca="1">IF(Control!$C$114=1, $HM279*$GB279, 0)</f>
        <v>#DIV/0!</v>
      </c>
      <c r="EK279" s="153" t="e">
        <f t="shared" ca="1" si="1134"/>
        <v>#N/A</v>
      </c>
      <c r="EL279" s="153" t="e">
        <f t="shared" ca="1" si="953"/>
        <v>#N/A</v>
      </c>
      <c r="EM279" s="153" t="e">
        <f t="shared" ca="1" si="954"/>
        <v>#N/A</v>
      </c>
      <c r="EN279" s="153" t="e">
        <f ca="1">IF(Control!$C$108=1,IF(AND(Control!$B$18=1,$EB279&gt;=Control!$B$19),$EB279-$DS279,IF(AND(Control!$B$18=2,$AW279=1,$EB279&gt;$DS279),$EB279-$DS279,0)))</f>
        <v>#N/A</v>
      </c>
      <c r="EO279" s="153" t="e">
        <f ca="1">IF(Control!$C$108=1,IF(AND(Control!$B$18=1,$EB279&gt;=Control!$B$19),$EF279,IF(AND(Control!$B$18=2,$AW279=1),$EF279,0)))</f>
        <v>#N/A</v>
      </c>
      <c r="EP279" s="153" t="e">
        <f ca="1">IF(Control!$C$108=1,IF(AND(Control!$B$18=1,$EB279&gt;=Control!$B$19),$EK279,IF(AND(Control!$B$18=2,$AW279=1),$EK279,0)))</f>
        <v>#N/A</v>
      </c>
      <c r="EQ279" s="153" t="e">
        <f t="shared" ca="1" si="1082"/>
        <v>#N/A</v>
      </c>
      <c r="ER279" s="153" t="e">
        <f t="shared" ca="1" si="1083"/>
        <v>#N/A</v>
      </c>
      <c r="ES279" s="153" t="e">
        <f t="shared" ca="1" si="1135"/>
        <v>#N/A</v>
      </c>
      <c r="ET279" s="153" t="e">
        <f t="shared" ca="1" si="1136"/>
        <v>#N/A</v>
      </c>
      <c r="EU279" s="153" t="e">
        <f t="shared" ca="1" si="1084"/>
        <v>#N/A</v>
      </c>
      <c r="EV279" s="153" t="e">
        <f t="shared" ca="1" si="955"/>
        <v>#N/A</v>
      </c>
      <c r="EW279" s="153" t="e">
        <f t="shared" ca="1" si="956"/>
        <v>#N/A</v>
      </c>
      <c r="EX279" s="153" t="e">
        <f t="shared" ca="1" si="957"/>
        <v>#N/A</v>
      </c>
      <c r="EY279" s="157" t="e">
        <f t="shared" ca="1" si="958"/>
        <v>#DIV/0!</v>
      </c>
      <c r="EZ279" s="154" t="e">
        <f t="shared" ca="1" si="959"/>
        <v>#DIV/0!</v>
      </c>
      <c r="FA279" s="153" t="e">
        <f t="shared" ca="1" si="1085"/>
        <v>#N/A</v>
      </c>
      <c r="FB279" s="153" t="e">
        <f t="shared" ca="1" si="960"/>
        <v>#N/A</v>
      </c>
      <c r="FC279" s="193" t="e">
        <f t="shared" ca="1" si="961"/>
        <v>#N/A</v>
      </c>
      <c r="FD279" s="158" t="e">
        <f t="shared" ca="1" si="1086"/>
        <v>#N/A</v>
      </c>
      <c r="FE279" s="158" t="e">
        <f t="shared" ca="1" si="1087"/>
        <v>#N/A</v>
      </c>
      <c r="FF279" s="159" t="e">
        <f t="shared" ca="1" si="962"/>
        <v>#N/A</v>
      </c>
      <c r="FG279" s="160" t="e">
        <f t="shared" ca="1" si="1088"/>
        <v>#N/A</v>
      </c>
      <c r="FH279" s="158" t="e">
        <f t="shared" ca="1" si="1089"/>
        <v>#N/A</v>
      </c>
      <c r="FI279" s="159" t="e">
        <f t="shared" ca="1" si="963"/>
        <v>#N/A</v>
      </c>
      <c r="FJ279" s="160" t="e">
        <f t="shared" ca="1" si="1090"/>
        <v>#N/A</v>
      </c>
      <c r="FK279" s="160" t="e">
        <f t="shared" ca="1" si="964"/>
        <v>#N/A</v>
      </c>
      <c r="FL279" s="160" t="e">
        <f t="shared" ca="1" si="1137"/>
        <v>#N/A</v>
      </c>
      <c r="FM279" s="160" t="e">
        <f t="shared" ca="1" si="965"/>
        <v>#N/A</v>
      </c>
      <c r="FN279" s="158">
        <f t="shared" ca="1" si="1091"/>
        <v>0.01</v>
      </c>
      <c r="FO279" s="160">
        <f>Control!$C$101</f>
        <v>50</v>
      </c>
      <c r="FP279" s="150" t="e">
        <f t="shared" ca="1" si="966"/>
        <v>#N/A</v>
      </c>
      <c r="FQ279" s="150" t="e">
        <f ca="1">MAX(0,(Control!$C$112*(($DK279-Control!$C$97)/Control!$C$97)))</f>
        <v>#N/A</v>
      </c>
      <c r="FR279" s="150" t="e">
        <f ca="1">(1-$NT279)*Control!$C$113</f>
        <v>#DIV/0!</v>
      </c>
      <c r="FS279" s="198" t="e">
        <f t="shared" ca="1" si="967"/>
        <v>#N/A</v>
      </c>
      <c r="FT279" s="161">
        <f t="shared" ca="1" si="1092"/>
        <v>275</v>
      </c>
      <c r="FU279" s="162" t="e">
        <f ca="1">IF(Control!$B$34=1,VLOOKUP($CP279,Control!$B$86:$G$91,6),Control!$B$35)</f>
        <v>#N/A</v>
      </c>
      <c r="FV279" s="162" t="e">
        <f t="shared" ca="1" si="968"/>
        <v>#DIV/0!</v>
      </c>
      <c r="FW279" s="162" t="e">
        <f ca="1">IF(Control!$B$31=1,$FU279*$FV279,  $FU279)</f>
        <v>#N/A</v>
      </c>
      <c r="FX279" s="162" t="e">
        <f ca="1">IF(Control!$B$34=1,VLOOKUP($CP279,Control!$B$86:$G$91,3),Control!$B$36)</f>
        <v>#N/A</v>
      </c>
      <c r="FY279" s="162" t="e">
        <f t="shared" ca="1" si="969"/>
        <v>#N/A</v>
      </c>
      <c r="FZ279" s="162" t="e">
        <f ca="1">IF(Control!$B$34=1,VLOOKUP($CP279,Control!$B$86:$G$91,4),Control!$B$37)</f>
        <v>#N/A</v>
      </c>
      <c r="GA279" s="162" t="e">
        <f t="shared" ca="1" si="970"/>
        <v>#N/A</v>
      </c>
      <c r="GB279" s="162" t="e">
        <f ca="1">IF(Control!$B$34=1,VLOOKUP($CP279,Control!$B$86:$G$91,5),Control!$B$38)</f>
        <v>#N/A</v>
      </c>
      <c r="GC279" s="162" t="e">
        <f t="shared" ca="1" si="1093"/>
        <v>#N/A</v>
      </c>
      <c r="GD279" s="162">
        <f t="shared" ca="1" si="971"/>
        <v>1</v>
      </c>
      <c r="GE279" s="162">
        <f t="shared" ca="1" si="972"/>
        <v>1</v>
      </c>
      <c r="GF279" s="162">
        <f ca="1">IF(AND(Control!$C$104=1, Control!$C$62="F"),$GE279,1)</f>
        <v>1</v>
      </c>
      <c r="GG279" s="162" t="e">
        <f ca="1">IF(Control!$B$16=40,0,IF(AND(Control!$B$16&gt;40,Control!$B$16&lt;=360),(Control!$B$16-40)*((1-0)/(360-40)),IF(AND(Control!$B$16&gt;360,Control!$B$16&lt;=720),(1+(Control!$B$16-360)*((1.25-1)/(720-360))),IF(AND(Control!$B$16&gt;720,Control!$B$16&lt;=1000),(1.25+(Control!$B$16-720)*((1.35-1.25)/(1000-720))),IF(AND(Control!$B$16&gt;1000,Control!$B$16&lt;=2000),(1.35+(Control!$B$16-1000)*0))))))</f>
        <v>#N/A</v>
      </c>
      <c r="GH279" s="162" t="e">
        <f t="shared" ca="1" si="973"/>
        <v>#N/A</v>
      </c>
      <c r="GI279" s="162">
        <f t="shared" ca="1" si="1094"/>
        <v>0</v>
      </c>
      <c r="GJ279" s="162">
        <f t="shared" ca="1" si="974"/>
        <v>0</v>
      </c>
      <c r="GK279" s="162">
        <f t="shared" ca="1" si="1095"/>
        <v>1</v>
      </c>
      <c r="GL279" s="162">
        <f t="shared" ca="1" si="975"/>
        <v>1</v>
      </c>
      <c r="GM279" s="162" t="e">
        <f ca="1">MAX(0,MIN(1,1-Control!$C$156*(1.0001-$KH279)^2))</f>
        <v>#N/A</v>
      </c>
      <c r="GN279" s="162" t="e">
        <f ca="1">IF(Control!$B$26=1,$KU279,$KX279)</f>
        <v>#N/A</v>
      </c>
      <c r="GO279" s="162" t="e">
        <f ca="1">IF($CP279&lt;=60,Control!$C$105,IF($CP279&gt;=90,Control!$C$106,Control!$C$105+($CP279-60)*((Control!$C$106-Control!$C$105)/(90-60))))</f>
        <v>#N/A</v>
      </c>
      <c r="GP279" s="162" t="e">
        <f t="shared" ca="1" si="976"/>
        <v>#N/A</v>
      </c>
      <c r="GQ279" s="162" t="e">
        <f t="shared" ca="1" si="1096"/>
        <v>#N/A</v>
      </c>
      <c r="GR279" s="163" t="e">
        <f t="shared" ca="1" si="977"/>
        <v>#DIV/0!</v>
      </c>
      <c r="GS279" s="162" t="e">
        <f t="shared" ca="1" si="978"/>
        <v>#DIV/0!</v>
      </c>
      <c r="GT279" s="164" t="e">
        <f t="shared" ca="1" si="1097"/>
        <v>#N/A</v>
      </c>
      <c r="GU279" s="162" t="e">
        <f t="shared" ca="1" si="1098"/>
        <v>#N/A</v>
      </c>
      <c r="GV279" s="162" t="e">
        <f t="shared" ca="1" si="979"/>
        <v>#N/A</v>
      </c>
      <c r="GW279" s="162" t="e">
        <f t="shared" ca="1" si="980"/>
        <v>#DIV/0!</v>
      </c>
      <c r="GX279" s="162" t="e">
        <f t="shared" ca="1" si="1099"/>
        <v>#DIV/0!</v>
      </c>
      <c r="GY279" s="162" t="e">
        <f t="shared" ca="1" si="1100"/>
        <v>#DIV/0!</v>
      </c>
      <c r="GZ279" s="165" t="e">
        <f t="shared" ca="1" si="981"/>
        <v>#N/A</v>
      </c>
      <c r="HA279" s="162" t="e">
        <f ca="1">IF(Control!$C$114=1, $DI279*$FS279, 0)</f>
        <v>#N/A</v>
      </c>
      <c r="HB279" s="162" t="e">
        <f ca="1">$FA279/Control!$C$64</f>
        <v>#N/A</v>
      </c>
      <c r="HC279" s="162" t="e">
        <f t="shared" ca="1" si="982"/>
        <v>#DIV/0!</v>
      </c>
      <c r="HD279" s="162">
        <f ca="1">-ASIN(SIN(23.45*Control!$C$139)*COS(2*Control!$C$138*($AH279+10)/365))</f>
        <v>-7.6665572387004624E-2</v>
      </c>
      <c r="HE279" s="165">
        <f t="shared" ca="1" si="1101"/>
        <v>0</v>
      </c>
      <c r="HF279" s="166">
        <f ca="1">IF(AND(Control!$C$61="T",$HE279&gt;=Control!$C$103,Control!$C$114=0),$AH279,Control!$C$59)</f>
        <v>1</v>
      </c>
      <c r="HG279" s="166">
        <f ca="1">IF(AND(Control!$C$61="T",$HE279&gt;=Control!$C$103,Control!$C$114=0),$HF279,Control!$C$59)</f>
        <v>1</v>
      </c>
      <c r="HH279" s="165">
        <f ca="1">IF(AND(OR(Control!$C$60&lt;=0, $AH279= Control!$C$59, Control!$C$60 &gt;0, $AH279 = Control!$C$60)), Control!$C$59, IF(Control!$C$60&gt;0, 0))</f>
        <v>1</v>
      </c>
      <c r="HI279" s="165">
        <f ca="1">IF(AND(OR(Control!$C$60&lt;=0, $AH279= Control!$C$59, Control!$C$60 &gt;0, $AH279 = Control!$C$60)), Control!$C$60, IF(Control!$C$60&lt;=0, 0))</f>
        <v>0</v>
      </c>
      <c r="HJ279" s="166">
        <f ca="1">IF(AND(Control!$C$62="F",$CV279&gt;=Control!$C$102),$AH279,0)</f>
        <v>0</v>
      </c>
      <c r="HK279" s="165" t="e">
        <f t="shared" ca="1" si="1138"/>
        <v>#N/A</v>
      </c>
      <c r="HL279" s="166">
        <f ca="1">IF(AND(Control!$C$61="T",$HE279&gt;=Control!$C$103,Control!$C$114=0),$HF279,0)</f>
        <v>0</v>
      </c>
      <c r="HM279" s="201" t="e">
        <f t="shared" ca="1" si="983"/>
        <v>#DIV/0!</v>
      </c>
      <c r="HN279" s="215">
        <f t="shared" ca="1" si="1102"/>
        <v>275</v>
      </c>
      <c r="HO279" s="216" t="e">
        <f ca="1">IF(AND($CP279&gt;=0, $CP279&lt;=90), Control!$C$152, Control!$C$152)</f>
        <v>#N/A</v>
      </c>
      <c r="HP279" s="216" t="e">
        <f t="shared" ca="1" si="984"/>
        <v>#N/A</v>
      </c>
      <c r="HQ279" s="217" t="e">
        <f ca="1">IF(OR(Control!$B$26=1,Control!$B$26=2),$KV279,$KS279)</f>
        <v>#DIV/0!</v>
      </c>
      <c r="HR279" s="218" t="e">
        <f t="shared" ca="1" si="1139"/>
        <v>#DIV/0!</v>
      </c>
      <c r="HS279" s="216" t="e">
        <f ca="1">Control!$C$154*$HP279</f>
        <v>#N/A</v>
      </c>
      <c r="HT279" s="216" t="e">
        <f ca="1">Control!$C$155*$HP279</f>
        <v>#N/A</v>
      </c>
      <c r="HU279" s="217" t="e">
        <f ca="1">Control!$C$161*$FI279</f>
        <v>#N/A</v>
      </c>
      <c r="HV279" s="218" t="e">
        <f t="shared" ca="1" si="1103"/>
        <v>#N/A</v>
      </c>
      <c r="HW279" s="218" t="e">
        <f ca="1">Control!$C$160*$FF279+$IP279*$EO279</f>
        <v>#N/A</v>
      </c>
      <c r="HX279" s="218" t="e">
        <f t="shared" ca="1" si="1140"/>
        <v>#N/A</v>
      </c>
      <c r="HY279" s="219" t="e">
        <f ca="1">IF(Control!$C$114=1, $EB279*$FS279, 0)</f>
        <v>#N/A</v>
      </c>
      <c r="HZ279" s="91" t="e">
        <f t="shared" ca="1" si="985"/>
        <v>#N/A</v>
      </c>
      <c r="IA279" s="220" t="e">
        <f ca="1">Control!$C$153*$HO279</f>
        <v>#N/A</v>
      </c>
      <c r="IB279" s="218" t="e">
        <f t="shared" ca="1" si="986"/>
        <v>#N/A</v>
      </c>
      <c r="IC279" s="220" t="e">
        <f ca="1">Control!$C$153*$HT279</f>
        <v>#N/A</v>
      </c>
      <c r="ID279" s="218" t="e">
        <f t="shared" ca="1" si="987"/>
        <v>#N/A</v>
      </c>
      <c r="IE279" s="221" t="e">
        <f ca="1">($EB279*Control!$C$159+$EF279*Control!$C$160)/(IF($GZ279&lt;&gt;0,$GZ279,1))</f>
        <v>#N/A</v>
      </c>
      <c r="IF279" s="216" t="e">
        <f t="shared" ca="1" si="988"/>
        <v>#N/A</v>
      </c>
      <c r="IG279" s="91">
        <f ca="1">IF(OR(Control!$B$198=$AH279,Control!$B$199=$AH279, Control!$B$200=$AH279, Control!$B$201=$AH279, Control!$B$202=$AH279, Control!$B$203=$AH279, Control!$B$204=$AH279, Control!$B$205=$AH279, Control!$B$206=$AH279, Control!$B$207=$AH279), 1, 0)</f>
        <v>0</v>
      </c>
      <c r="IH279" s="91">
        <f ca="1">IF($IG279=0,0, VLOOKUP($AH279,Control!$B$198:$C$207,2))</f>
        <v>0</v>
      </c>
      <c r="II279" s="222">
        <f t="shared" ca="1" si="1104"/>
        <v>0</v>
      </c>
      <c r="IJ279" s="91">
        <f>Control!$C$121</f>
        <v>0.7</v>
      </c>
      <c r="IK279" s="218">
        <f t="shared" ca="1" si="989"/>
        <v>0</v>
      </c>
      <c r="IL279" s="217" t="e">
        <f t="shared" ca="1" si="1141"/>
        <v>#N/A</v>
      </c>
      <c r="IM279" s="223" t="e">
        <f ca="1">IF(AND(Control!$C$114=1,$KH279&lt;1),$EB279*Control!$C$148*(1-$KH279), 0)</f>
        <v>#N/A</v>
      </c>
      <c r="IN279" s="217" t="e">
        <f t="shared" ca="1" si="990"/>
        <v>#DIV/0!</v>
      </c>
      <c r="IO279" s="91" t="e">
        <f ca="1">MAX(0,$IL279-$EF279*Control!$C$160)</f>
        <v>#N/A</v>
      </c>
      <c r="IP279" s="220" t="e">
        <f t="shared" ca="1" si="991"/>
        <v>#N/A</v>
      </c>
      <c r="IQ279" s="217" t="e">
        <f t="shared" ca="1" si="1105"/>
        <v>#N/A</v>
      </c>
      <c r="IR279" s="218" t="e">
        <f t="shared" ca="1" si="992"/>
        <v>#N/A</v>
      </c>
      <c r="IS279" s="217" t="e">
        <f ca="1">Control!$C$159*MAX(0,$FD279-$EN279)</f>
        <v>#N/A</v>
      </c>
      <c r="IT279" s="217" t="e">
        <f t="shared" ca="1" si="1142"/>
        <v>#N/A</v>
      </c>
      <c r="IU279" s="217" t="e">
        <f t="shared" ca="1" si="1106"/>
        <v>#N/A</v>
      </c>
      <c r="IV279" s="217" t="e">
        <f t="shared" ca="1" si="1143"/>
        <v>#N/A</v>
      </c>
      <c r="IW279" s="217" t="e">
        <f ca="1">IF(OR($AW279=1,AND($AW279=0, Control!$B$18=1,$EN279&lt;&gt;0)), $IQ279-$IU279, $IQ279)</f>
        <v>#N/A</v>
      </c>
      <c r="IX279" s="218" t="e">
        <f t="shared" ca="1" si="993"/>
        <v>#N/A</v>
      </c>
      <c r="IY279" s="218" t="e">
        <f ca="1">MAX(0,$IQ279-$EB279*Control!$C$159)</f>
        <v>#N/A</v>
      </c>
      <c r="IZ279" s="218" t="e">
        <f t="shared" ca="1" si="994"/>
        <v>#N/A</v>
      </c>
      <c r="JA279" s="216" t="e">
        <f t="shared" ca="1" si="995"/>
        <v>#N/A</v>
      </c>
      <c r="JB279" s="217" t="e">
        <f t="shared" ca="1" si="996"/>
        <v>#N/A</v>
      </c>
      <c r="JC279" s="222" t="e">
        <f ca="1">MAX(Control!$C$157*$EK279-$JT279, 0)/Control!$C$162</f>
        <v>#N/A</v>
      </c>
      <c r="JD279" s="218" t="e">
        <f t="shared" ca="1" si="997"/>
        <v>#N/A</v>
      </c>
      <c r="JE279" s="218" t="e">
        <f t="shared" ca="1" si="998"/>
        <v>#N/A</v>
      </c>
      <c r="JF279" s="218" t="e">
        <f t="shared" ca="1" si="1107"/>
        <v>#N/A</v>
      </c>
      <c r="JG279" s="218" t="e">
        <f t="shared" ca="1" si="999"/>
        <v>#N/A</v>
      </c>
      <c r="JH279" s="217" t="e">
        <f t="shared" ca="1" si="1108"/>
        <v>#N/A</v>
      </c>
      <c r="JI279" s="217" t="e">
        <f t="shared" ca="1" si="1109"/>
        <v>#N/A</v>
      </c>
      <c r="JJ279" s="217" t="e">
        <f t="shared" ca="1" si="1144"/>
        <v>#N/A</v>
      </c>
      <c r="JK279" s="217" t="e">
        <f ca="1">IF(Control!$C$114=1,IF(Control!$B$24=0,MAX(0,$JI279)*$GN279/Control!$C$64,(MAX(0,MIN($JI279,$JJ279*$GN279/Control!$C$64),0))))</f>
        <v>#N/A</v>
      </c>
      <c r="JL279" s="217" t="e">
        <f ca="1">$IK279/Control!$C$64-$JK279+$HQ279</f>
        <v>#N/A</v>
      </c>
      <c r="JM279" s="217" t="e">
        <f ca="1">IF(Control!$C$114=1,($JB279/(IF($JI279&lt;&gt;0,$JI279,1)))*$JK279,0)</f>
        <v>#N/A</v>
      </c>
      <c r="JN279" s="217" t="e">
        <f ca="1">IF(Control!$C$114=1,($JG279/(IF($JI279&lt;&gt;0,$JI279,1)))*$JK279, 0)</f>
        <v>#N/A</v>
      </c>
      <c r="JO279" s="218" t="e">
        <f t="shared" ca="1" si="1000"/>
        <v>#N/A</v>
      </c>
      <c r="JP279" s="218" t="e">
        <f ca="1">MIN(($IY279+$IO279)*Control!$C$151, $JF279-$EH279*Control!$C$161)</f>
        <v>#N/A</v>
      </c>
      <c r="JQ279" s="218" t="e">
        <f t="shared" ca="1" si="1001"/>
        <v>#N/A</v>
      </c>
      <c r="JR279" s="217" t="e">
        <f ca="1">IF($CP279-Control!$C$150&lt;0, 0, $JQ279/Control!$C$162)</f>
        <v>#N/A</v>
      </c>
      <c r="JS279" s="218" t="e">
        <f t="shared" ca="1" si="1002"/>
        <v>#N/A</v>
      </c>
      <c r="JT279" s="218" t="e">
        <f t="shared" ca="1" si="1110"/>
        <v>#N/A</v>
      </c>
      <c r="JU279" s="218" t="e">
        <f t="shared" ca="1" si="1003"/>
        <v>#N/A</v>
      </c>
      <c r="JV279" s="218" t="e">
        <f t="shared" ca="1" si="1004"/>
        <v>#N/A</v>
      </c>
      <c r="JW279" s="216" t="e">
        <f t="shared" ca="1" si="1005"/>
        <v>#N/A</v>
      </c>
      <c r="JX279" s="91" t="e">
        <f t="shared" ca="1" si="1006"/>
        <v>#N/A</v>
      </c>
      <c r="JY279" s="218" t="e">
        <f t="shared" ca="1" si="1007"/>
        <v>#N/A</v>
      </c>
      <c r="JZ279" s="217" t="e">
        <f ca="1">IF(Control!$C$114=1,($IZ279/(IF($JI279&lt;&gt;0,$JI279,1)))*$JK279, 0)</f>
        <v>#N/A</v>
      </c>
      <c r="KA279" s="218" t="e">
        <f t="shared" ca="1" si="1145"/>
        <v>#N/A</v>
      </c>
      <c r="KB279" s="218" t="e">
        <f t="shared" ca="1" si="1111"/>
        <v>#N/A</v>
      </c>
      <c r="KC279" s="218" t="e">
        <f t="shared" ca="1" si="1008"/>
        <v>#N/A</v>
      </c>
      <c r="KD279" s="218" t="e">
        <f t="shared" ca="1" si="1009"/>
        <v>#N/A</v>
      </c>
      <c r="KE279" s="218" t="e">
        <f t="shared" ca="1" si="1010"/>
        <v>#N/A</v>
      </c>
      <c r="KF279" s="218" t="e">
        <f t="shared" ca="1" si="1011"/>
        <v>#N/A</v>
      </c>
      <c r="KG279" s="216" t="e">
        <f t="shared" ca="1" si="1012"/>
        <v>#N/A</v>
      </c>
      <c r="KH279" s="221" t="e">
        <f ca="1">IF(Control!$B$24=0,1,MAX(0.001,MIN(1,IF(($IF279-$IE279)&lt;&gt;0,($KG279-$IE279)/($IF279-$IE279),1))))</f>
        <v>#N/A</v>
      </c>
      <c r="KI279" s="222" t="e">
        <f ca="1">IF(Control!$C$114=1, $KI278+ $KH278, 0)</f>
        <v>#N/A</v>
      </c>
      <c r="KJ279" s="217" t="e">
        <f t="shared" ca="1" si="1013"/>
        <v>#N/A</v>
      </c>
      <c r="KK279" s="218" t="e">
        <f t="shared" ca="1" si="1014"/>
        <v>#N/A</v>
      </c>
      <c r="KL279" s="274" t="e">
        <f ca="1">IF(Control!$B$26=3,4000000000*EXP(-8400/($G279+273)),IF(Control!$B$26=4,4000000000*EXP(-8400/($G279+273))*($KT279),0))</f>
        <v>#DIV/0!</v>
      </c>
      <c r="KM279" s="274" t="e">
        <f ca="1">IF(Control!$B$26=3,5600000000000*EXP(-9800/($G279+273)),IF(Control!$B$26=4,5600000000000*EXP(-9800/($G279+273))*$KT279,0))</f>
        <v>#DIV/0!</v>
      </c>
      <c r="KN279" s="454" t="e">
        <f t="shared" ca="1" si="1112"/>
        <v>#DIV/0!</v>
      </c>
      <c r="KO279" s="274" t="e">
        <f t="shared" ca="1" si="1113"/>
        <v>#DIV/0!</v>
      </c>
      <c r="KP279" s="454" t="e">
        <f t="shared" ca="1" si="1015"/>
        <v>#DIV/0!</v>
      </c>
      <c r="KQ279" s="454" t="e">
        <f t="shared" ca="1" si="1016"/>
        <v>#DIV/0!</v>
      </c>
      <c r="KR279" s="454" t="e">
        <f t="shared" ca="1" si="1017"/>
        <v>#DIV/0!</v>
      </c>
      <c r="KS279" s="454" t="e">
        <f t="shared" ca="1" si="1018"/>
        <v>#DIV/0!</v>
      </c>
      <c r="KT279" s="455" t="e">
        <f t="shared" ca="1" si="1019"/>
        <v>#DIV/0!</v>
      </c>
      <c r="KU279" s="456" t="e">
        <f ca="1">IF($CP279-Control!$C$149&lt;0, IF($NT279-0.01&lt;0,0,1),0)</f>
        <v>#N/A</v>
      </c>
      <c r="KV279" s="456" t="e">
        <f ca="1">IF(Control!$C$114=1,MAX(0,MIN(Control!$C$125*$KW279*$GN279,$KW279)))</f>
        <v>#DIV/0!</v>
      </c>
      <c r="KW279" s="456" t="e">
        <f t="shared" ca="1" si="1146"/>
        <v>#DIV/0!</v>
      </c>
      <c r="KX279" s="457" t="e">
        <f ca="1">IF($CP279-Control!$C$149&lt;0, IF($MR279-$OM279&lt;0,0,1),0)</f>
        <v>#N/A</v>
      </c>
      <c r="KY279" s="167">
        <f t="shared" ca="1" si="1114"/>
        <v>275</v>
      </c>
      <c r="KZ279" s="168">
        <f ca="1">1370*(1+0.033*COS(2*Control!$C$138*$AH279/365))</f>
        <v>1370.9732431208533</v>
      </c>
      <c r="LA279" s="169">
        <f t="shared" ca="1" si="1115"/>
        <v>1.0007100312153954</v>
      </c>
      <c r="LB279" s="169">
        <f t="shared" ca="1" si="1116"/>
        <v>-8.2183132346837912E-2</v>
      </c>
      <c r="LC279" s="169">
        <f ca="1">ACOS(-TAN((2*Control!$B$8/360))*TAN(Calculations!$LB279))</f>
        <v>1.546313658242086</v>
      </c>
      <c r="LD279" s="169">
        <f ca="1">((24*60)/PI())*0.082*$LA279*(($LC279*SIN(Control!$B$8*2*PI()/360))*SIN($LB279)+COS(Control!$B$8*2*PI()/360)*COS($LB279)*SIN($LC279))</f>
        <v>19.309287484852792</v>
      </c>
      <c r="LE279" s="170">
        <f t="shared" ca="1" si="1020"/>
        <v>19.681980008206974</v>
      </c>
      <c r="LF279" s="170">
        <f ca="1">SIN(Control!$C$139*Control!$B$8)*SIN($HD279)</f>
        <v>-6.0354231971476824E-2</v>
      </c>
      <c r="LG279" s="170">
        <f ca="1">COS(Control!$C$139*Control!$B$8)*COS($HD279)</f>
        <v>0.61385138485312851</v>
      </c>
      <c r="LH279" s="170">
        <f ca="1">12*(1+2*ASIN(MAX(-1,MIN(1,$LF279/$LG279))/Control!$C$138))</f>
        <v>11.248765088233476</v>
      </c>
      <c r="LI279" s="170">
        <f ca="1">12*(1+2*ASIN(MAX(-1,MIN(1,(-SIN(-4*Control!$C$139)+$LF279)/$LG279))/Control!$C$138))</f>
        <v>12.117013985332068</v>
      </c>
      <c r="LJ279" s="168">
        <f ca="1">3600*($LH279*$LF279+24*$LG279*SQRT(1-$LK279*$LK279)/Control!$C$138)</f>
        <v>14356.210164542197</v>
      </c>
      <c r="LK279" s="170">
        <f t="shared" ca="1" si="1021"/>
        <v>-9.8320592672308318E-2</v>
      </c>
      <c r="LL279" s="170">
        <f t="shared" ca="1" si="1022"/>
        <v>0</v>
      </c>
      <c r="LM279" s="171">
        <f ca="1">Control!$C$145*$AB279</f>
        <v>6.6660906138995932E-2</v>
      </c>
      <c r="LN279" s="170">
        <f t="shared" ca="1" si="1117"/>
        <v>0.54</v>
      </c>
      <c r="LO279" s="170">
        <f t="shared" ca="1" si="1023"/>
        <v>0</v>
      </c>
      <c r="LP279" s="170">
        <f ca="1">Control!$C$140*((($D279+273.16)^4+($E279+273.16)^4)/2)*(0.34-0.14*SQRT($Y279))*(1.35*$AQ279/(0.75*$LD279)-0.35)</f>
        <v>-3.2464704755046001</v>
      </c>
      <c r="LQ279" s="170">
        <f ca="1">Control!$C$140*($G279+273)^4*(0.56-0.079*SQRT($Y279*10))*(0.1+0.9*$LO279)</f>
        <v>1.5241745131704001</v>
      </c>
      <c r="LR279" s="170">
        <f ca="1">$AQ279*(1-Control!$C$142)-$LQ279</f>
        <v>-1.5241745131704001</v>
      </c>
      <c r="LS279" s="170">
        <f ca="1">$AQ279*(1-Control!$C$143)-$LQ279</f>
        <v>-1.5241745131704001</v>
      </c>
      <c r="LT279" s="170">
        <f ca="1">$AQ279*(1-Control!$C$144)-$LQ279</f>
        <v>-1.5241745131704001</v>
      </c>
      <c r="LU279" s="169">
        <f ca="1">(1-Control!$C$144)*AQ279-LP279</f>
        <v>3.2464704755046001</v>
      </c>
      <c r="LV279" s="172">
        <f t="shared" ca="1" si="1024"/>
        <v>0.79430000000000012</v>
      </c>
      <c r="LW279" s="170">
        <f t="shared" ca="1" si="1025"/>
        <v>1.5886000000000002</v>
      </c>
      <c r="LX279" s="170">
        <f ca="1">($AC279*($LR279/Control!$C$141)+$LM279*$LV279)/($AC279+$LM279)</f>
        <v>0.23530094218323697</v>
      </c>
      <c r="LY279" s="170">
        <f ca="1">($AC279*($LS279/Control!$C$141)+$LM279*$LV279)/($AC279+$LM279)</f>
        <v>0.23530094218323697</v>
      </c>
      <c r="LZ279" s="170">
        <f t="shared" ca="1" si="1026"/>
        <v>0.23530094218323697</v>
      </c>
      <c r="MA279" s="170">
        <f t="shared" ca="1" si="1027"/>
        <v>0.23530094218323697</v>
      </c>
      <c r="MB279" s="170" t="e">
        <f t="shared" ca="1" si="1028"/>
        <v>#N/A</v>
      </c>
      <c r="MC279" s="170">
        <f t="shared" ca="1" si="1118"/>
        <v>0.6018</v>
      </c>
      <c r="MD279" s="170">
        <f t="shared" ca="1" si="1029"/>
        <v>0.52989392535414004</v>
      </c>
      <c r="ME279" s="170">
        <f ca="1">($AC279*($LT279/Control!$C$141)+$LM279*$LW279)/($AC279+$LM279)</f>
        <v>0.71612369323045078</v>
      </c>
      <c r="MF279" s="170" t="e">
        <f ca="1">IF(Control!$B$16&gt;=1000,0.92,IF(AND(720&lt;=Control!$B$16,1000&gt;Control!$B$16),(0.95+(Control!$B$16-720)*((0.92-0.95)/(1000-720))),IF(AND(360&lt;=Control!$B$16,720&gt;Control!$B$16),(1+(Control!$B$16-360)*((0.95-1)/(720-360))),IF(AND(40&lt;=Control!$B$16,360&gt;Control!$B$16),(1.05+(Control!$B$16-40)*((1.05-1)/(360-40)))))))</f>
        <v>#N/A</v>
      </c>
      <c r="MG279" s="170">
        <f t="shared" ca="1" si="1030"/>
        <v>0.71612369323045078</v>
      </c>
      <c r="MH279" s="170" t="e">
        <f t="shared" ca="1" si="1155"/>
        <v>#N/A</v>
      </c>
      <c r="MI279" s="170" t="e">
        <f t="shared" ca="1" si="1155"/>
        <v>#N/A</v>
      </c>
      <c r="MJ279" s="170" t="e">
        <f ca="1">MAX(0.0001, Control!$C$132*$MI279*$DL279)</f>
        <v>#N/A</v>
      </c>
      <c r="MK279" s="170">
        <f ca="1">1/(0.76+1.5*($MG279/10))-(5-Control!$C$110)*0.1</f>
        <v>1.002845988140797</v>
      </c>
      <c r="ML279" s="173">
        <f ca="1">IF(Control!$C$110&lt;3,$MK279+($MG279-0.6)/(Control!$C$110*(Control!$C$110+3)), MAX(0.1, MIN(0.95,$MK279)))</f>
        <v>0.95</v>
      </c>
      <c r="MM279" s="173">
        <f ca="1">IF(Control!$C$110&lt;3,$MK279+(($MI279/10)-0.6)/(Control!$C$110*(Control!$C$110+3)), MAX(0.1, MIN(0.95,$MK279)))</f>
        <v>0.95</v>
      </c>
      <c r="MN279" s="173">
        <f ca="1">(1-$MM279)*(Control!$C$128-Control!$C$127)+Control!$C$127</f>
        <v>0.16</v>
      </c>
      <c r="MO279" s="170" t="e">
        <f ca="1">MAX(0,MIN(1,($MS279-Control!$C$127)/($MN279-Control!$C$127)))</f>
        <v>#DIV/0!</v>
      </c>
      <c r="MP279" s="173" t="e">
        <f ca="1">1/(0.76+1.5*$MI279)-(5-Control!$C$110)*0.1</f>
        <v>#N/A</v>
      </c>
      <c r="MQ279" s="172" t="e">
        <f t="shared" ca="1" si="1147"/>
        <v>#DIV/0!</v>
      </c>
      <c r="MR279" s="168" t="e">
        <f t="shared" ca="1" si="1119"/>
        <v>#DIV/0!</v>
      </c>
      <c r="MS279" s="173" t="e">
        <f ca="1">MAX(Control!$C$127, MIN(Control!$C$135, $MR279/MAX(0.0001,$CY279)))</f>
        <v>#DIV/0!</v>
      </c>
      <c r="MT279" s="168" t="e">
        <f ca="1">(Control!$C$128-$MS279)*Control!$C$74</f>
        <v>#DIV/0!</v>
      </c>
      <c r="MU279" s="168" t="e">
        <f ca="1">(Control!$C$135-$MS279)*Control!$C$74</f>
        <v>#DIV/0!</v>
      </c>
      <c r="MV279" s="168" t="e">
        <f t="shared" ca="1" si="1120"/>
        <v>#DIV/0!</v>
      </c>
      <c r="MW279" s="168" t="e">
        <f t="shared" ca="1" si="1121"/>
        <v>#DIV/0!</v>
      </c>
      <c r="MX279" s="171" t="e">
        <f ca="1">MAX(Control!$C$127, MIN(Control!$C$135, $MW279/MAX(0.0001,Control!$C$119-$CY279)))</f>
        <v>#DIV/0!</v>
      </c>
      <c r="MY279" s="54" t="e">
        <f ca="1">IF(Control!$C$114=1, $CX279*$MX279, 0)</f>
        <v>#DIV/0!</v>
      </c>
      <c r="MZ279" s="54" t="e">
        <f t="shared" ca="1" si="1122"/>
        <v>#N/A</v>
      </c>
      <c r="NA279" s="168" t="e">
        <f ca="1">(Control!$C$128-$MX279)*(Control!$C$119-Control!$C$74)</f>
        <v>#DIV/0!</v>
      </c>
      <c r="NB279" s="168" t="e">
        <f ca="1">(Control!$C$135-$MX279)*(Control!$C$119-Control!$C$74)</f>
        <v>#DIV/0!</v>
      </c>
      <c r="NC279" s="174" t="e">
        <f t="shared" ca="1" si="1123"/>
        <v>#DIV/0!</v>
      </c>
      <c r="ND279" s="54">
        <f ca="1">IF(Control!$C$58=2, IF(OR(Control!$B$218=$AH279,Control!$B$219=$AH279, Control!$B$220=$AH279, Control!$B$221=$AH279, Control!$B$222=$AH279, Control!$B$223=$AH279, Control!$B$224=$AH279, Control!$B$225=$AH279, Control!$B$226=$AH279, Control!$B$227=$AH279, Control!$B$228=$AH279), 1, 0), 0)</f>
        <v>0</v>
      </c>
      <c r="NE279" s="54">
        <f ca="1">IF($ND279=0,0, VLOOKUP($AH279,Control!$B$218:$C$228,2))</f>
        <v>0</v>
      </c>
      <c r="NF279" s="168" t="e">
        <f ca="1">$CY279*(Control!$C$128-Control!$C$127)</f>
        <v>#N/A</v>
      </c>
      <c r="NG279" s="54" t="e">
        <f ca="1">IF(Control!$C$58=2, $NI278-$NJ278, 0)</f>
        <v>#DIV/0!</v>
      </c>
      <c r="NH279" s="54" t="e">
        <f ca="1">IF(AND(Control!$C$58=1, $MS278&lt;= ($MN278+0.02), $I278&lt;10), 0, IF(Control!$C$58=2, $NG278, 0))</f>
        <v>#DIV/0!</v>
      </c>
      <c r="NI279" s="54" t="e">
        <f ca="1">IF(Control!$C$58=2, $NE279+$NH279,0)</f>
        <v>#DIV/0!</v>
      </c>
      <c r="NJ279" s="54" t="e">
        <f ca="1">IF(AND(Control!$C$58=1, $MS279&lt;= ($MN279+0.02), $I279&lt;10), MAX(0, MIN(10, 0.7*($NF279-$MV279))), IF(Control!$C$58=2, MIN(10,$NI279),0))</f>
        <v>#DIV/0!</v>
      </c>
      <c r="NK279" s="54" t="e">
        <f t="shared" ca="1" si="1031"/>
        <v>#DIV/0!</v>
      </c>
      <c r="NL279" s="173" t="e">
        <f ca="1">(1-Control!$C$73)*$I279+$NJ279</f>
        <v>#DIV/0!</v>
      </c>
      <c r="NM279" s="172" t="e">
        <f ca="1">IF($NL279&lt;0.5, $MB279* MAX(0, MIN(1, (SQRT($NC279)-SQRT($NC279-1))*Control!$C$71)),0)</f>
        <v>#DIV/0!</v>
      </c>
      <c r="NN279" s="170" t="e">
        <f ca="1">IF($NL279&gt;=5, $MB279, MAX(0,MIN($MB279, $NM279+$NL279,($MS279-Control!$C$129))))</f>
        <v>#DIV/0!</v>
      </c>
      <c r="NO279" s="54">
        <f>IF(Control!$C$133&lt;&gt;1, Control!$C$135-Control!$C$131, 0)</f>
        <v>0.38</v>
      </c>
      <c r="NP279" s="54" t="e">
        <f t="shared" ca="1" si="1032"/>
        <v>#DIV/0!</v>
      </c>
      <c r="NQ279" s="173" t="e">
        <f ca="1">MAX(0,MIN(1,(Control!$C$135-$MS279)/(Control!$C$135-$NO279)))</f>
        <v>#DIV/0!</v>
      </c>
      <c r="NR279" s="170" t="e">
        <f ca="1">IF(Control!$C$133&lt;&gt;1, $NQ279+((1-$NP279/4)*(1-$NQ279)),1)</f>
        <v>#DIV/0!</v>
      </c>
      <c r="NS279" s="170" t="e">
        <f ca="1">IF(Control!$B$31=0,$MJ279,MAX(0,MIN($MV279,$MO279*$NR279*$MJ279)))</f>
        <v>#DIV/0!</v>
      </c>
      <c r="NT279" s="170" t="e">
        <f t="shared" ca="1" si="1148"/>
        <v>#DIV/0!</v>
      </c>
      <c r="NU279" s="170" t="e">
        <f t="shared" ca="1" si="1124"/>
        <v>#N/A</v>
      </c>
      <c r="NV279" s="170" t="e">
        <f t="shared" ca="1" si="1033"/>
        <v>#N/A</v>
      </c>
      <c r="NW279" s="175" t="e">
        <f t="shared" ca="1" si="1034"/>
        <v>#DIV/0!</v>
      </c>
      <c r="NX279" s="170" t="e">
        <f ca="1">MIN(Control!$C$72+$MU279, $NW279)</f>
        <v>#DIV/0!</v>
      </c>
      <c r="NY279" s="170" t="e">
        <f ca="1">IF($MT279&lt;=$NX279,MIN(Control!$C$72+$NB279,$NX279-$MT279),0)</f>
        <v>#DIV/0!</v>
      </c>
      <c r="NZ279" s="54" t="e">
        <f ca="1">IF(Control!$C$114=1,  $CX279*($MX279-Control!$C$127), 0)</f>
        <v>#DIV/0!</v>
      </c>
      <c r="OA279" s="170" t="e">
        <f t="shared" ca="1" si="1035"/>
        <v>#DIV/0!</v>
      </c>
      <c r="OB279" s="170" t="e">
        <f ca="1">IF($NA279 &lt;=$NY279, MIN(Control!$C$72, $NY279-$NA279), 0)</f>
        <v>#DIV/0!</v>
      </c>
      <c r="OC279" s="168" t="e">
        <f t="shared" ca="1" si="1036"/>
        <v>#DIV/0!</v>
      </c>
      <c r="OD279" s="168" t="e">
        <f t="shared" ca="1" si="1125"/>
        <v>#DIV/0!</v>
      </c>
      <c r="OE279" s="170">
        <f ca="1">Control!$C$73*$I279</f>
        <v>0</v>
      </c>
      <c r="OF279" s="176" t="e">
        <f t="shared" ca="1" si="1037"/>
        <v>#DIV/0!</v>
      </c>
      <c r="OG279" s="168" t="e">
        <f t="shared" ca="1" si="1038"/>
        <v>#DIV/0!</v>
      </c>
      <c r="OH279" s="168" t="e">
        <f t="shared" ca="1" si="1039"/>
        <v>#DIV/0!</v>
      </c>
      <c r="OI279" s="168" t="e">
        <f t="shared" ca="1" si="1040"/>
        <v>#DIV/0!</v>
      </c>
      <c r="OJ279" s="168" t="e">
        <f t="shared" ca="1" si="1041"/>
        <v>#DIV/0!</v>
      </c>
      <c r="OK279" s="204" t="e">
        <f t="shared" ca="1" si="1042"/>
        <v>#DIV/0!</v>
      </c>
      <c r="OL279" s="177">
        <f>Control!$C$127</f>
        <v>0.15</v>
      </c>
      <c r="OM279" s="182" t="e">
        <f t="shared" ca="1" si="1043"/>
        <v>#N/A</v>
      </c>
      <c r="ON279" s="177">
        <f>Control!$C$128</f>
        <v>0.35</v>
      </c>
      <c r="OO279" s="182" t="e">
        <f t="shared" ca="1" si="1044"/>
        <v>#N/A</v>
      </c>
      <c r="OP279" s="138">
        <f t="shared" ca="1" si="1126"/>
        <v>0</v>
      </c>
      <c r="OQ279" s="138" t="e">
        <f t="shared" ca="1" si="1149"/>
        <v>#DIV/0!</v>
      </c>
      <c r="OR279" s="138" t="e">
        <f t="shared" ca="1" si="1127"/>
        <v>#DIV/0!</v>
      </c>
      <c r="OS279" s="137" t="e">
        <f t="shared" ca="1" si="1150"/>
        <v>#DIV/0!</v>
      </c>
      <c r="OT279" s="139" t="e">
        <f t="shared" ca="1" si="1151"/>
        <v>#DIV/0!</v>
      </c>
      <c r="OU279" s="138" t="e">
        <f t="shared" ca="1" si="1152"/>
        <v>#N/A</v>
      </c>
      <c r="OV279" s="138" t="e">
        <f t="shared" ca="1" si="1153"/>
        <v>#DIV/0!</v>
      </c>
      <c r="OW279" s="138" t="e">
        <f t="shared" ca="1" si="1128"/>
        <v>#DIV/0!</v>
      </c>
      <c r="OX279" s="138" t="e">
        <f t="shared" ca="1" si="1129"/>
        <v>#DIV/0!</v>
      </c>
      <c r="OY279" s="138" t="e">
        <f t="shared" ca="1" si="1130"/>
        <v>#DIV/0!</v>
      </c>
      <c r="OZ279" s="138" t="e">
        <f t="shared" ca="1" si="1045"/>
        <v>#DIV/0!</v>
      </c>
      <c r="PA279" s="138" t="e">
        <f t="shared" ca="1" si="1046"/>
        <v>#DIV/0!</v>
      </c>
      <c r="PB279" s="55">
        <f>IF(Control!$C$61="T", IF(Control!$C$65="F", IF($AH$6-Control!$C$60&lt;0,0,1), IF(365+$AH$6-Control!$C$60&lt;0,0,1)),0)</f>
        <v>0</v>
      </c>
      <c r="PC279" s="55">
        <f ca="1">IF(Control!$C$65="F", IF($AH$6-$HF279&lt;0,0,1), IF(365+$AH$6-$HF279&lt;0,0,1))</f>
        <v>1</v>
      </c>
      <c r="PD279" s="444">
        <f>Control!$C$118</f>
        <v>1500</v>
      </c>
      <c r="PE279" s="180" t="e">
        <f t="shared" ca="1" si="1047"/>
        <v>#N/A</v>
      </c>
      <c r="PF279" s="445">
        <f t="shared" ca="1" si="1131"/>
        <v>0.71612369323045078</v>
      </c>
      <c r="PT279" s="186"/>
      <c r="PU279" s="186"/>
      <c r="PV279" s="94"/>
      <c r="PW279" s="94"/>
      <c r="PX279" s="94"/>
      <c r="PY279" s="94"/>
      <c r="PZ279" s="94"/>
      <c r="QA279" s="94"/>
      <c r="QB279" s="94"/>
      <c r="QC279" s="94"/>
      <c r="QD279" s="94"/>
      <c r="QE279" s="94"/>
      <c r="QF279" s="94"/>
      <c r="QG279" s="94"/>
      <c r="QH279" s="94"/>
      <c r="QI279" s="94"/>
      <c r="QJ279" s="94"/>
      <c r="QK279" s="94"/>
      <c r="QL279" s="94"/>
      <c r="QM279" s="94"/>
      <c r="QN279" s="94"/>
      <c r="QO279" s="94"/>
      <c r="QP279" s="94"/>
    </row>
    <row r="280" spans="1:458" s="2" customFormat="1" x14ac:dyDescent="0.2">
      <c r="A280" s="395">
        <v>2</v>
      </c>
      <c r="B280" s="396">
        <v>10</v>
      </c>
      <c r="C280" s="387">
        <f ca="1">Weather_data!$B279</f>
        <v>0</v>
      </c>
      <c r="D280" s="388">
        <f ca="1">Weather_data!$F279</f>
        <v>0</v>
      </c>
      <c r="E280" s="388">
        <f ca="1">Weather_data!$E279</f>
        <v>0</v>
      </c>
      <c r="F280" s="388">
        <f t="shared" ca="1" si="1048"/>
        <v>0</v>
      </c>
      <c r="G280" s="388">
        <f ca="1">AVERAGE($D280:$E280)+Control!$B$9</f>
        <v>0</v>
      </c>
      <c r="H280" s="388">
        <f ca="1">Weather_data!$G279</f>
        <v>0</v>
      </c>
      <c r="I280" s="388">
        <f ca="1">Weather_data!$I279</f>
        <v>0</v>
      </c>
      <c r="J280" s="388">
        <f ca="1">Weather_data!$H279</f>
        <v>0</v>
      </c>
      <c r="K280" s="389">
        <f ca="1">Weather_data!$D279</f>
        <v>0</v>
      </c>
      <c r="L280" s="388" t="e">
        <f t="shared" ca="1" si="1049"/>
        <v>#N/A</v>
      </c>
      <c r="M280" s="388" t="e">
        <f t="shared" ca="1" si="927"/>
        <v>#N/A</v>
      </c>
      <c r="N280" s="388">
        <f t="shared" ca="1" si="928"/>
        <v>-1.4501655728968662E-13</v>
      </c>
      <c r="O280" s="388">
        <f t="shared" ca="1" si="1050"/>
        <v>1.4501655728968662E-12</v>
      </c>
      <c r="P280" s="390">
        <v>3</v>
      </c>
      <c r="Q280" s="388">
        <f ca="1">MAX($G280-Control!$C$107,0)</f>
        <v>0</v>
      </c>
      <c r="R280" s="388">
        <f t="shared" ca="1" si="1051"/>
        <v>0</v>
      </c>
      <c r="S280" s="388">
        <f t="shared" ca="1" si="929"/>
        <v>0</v>
      </c>
      <c r="T280" s="388">
        <f t="shared" ca="1" si="930"/>
        <v>0</v>
      </c>
      <c r="U280" s="59">
        <f t="shared" ca="1" si="931"/>
        <v>0</v>
      </c>
      <c r="V280" s="391">
        <f ca="1">MAX(0,MIN(Control!$C$100-Control!$C$99,$G280-Control!$C$99)*Control!$C$63)</f>
        <v>0</v>
      </c>
      <c r="W280" s="388">
        <f t="shared" ca="1" si="1052"/>
        <v>0</v>
      </c>
      <c r="X280" s="388">
        <f t="shared" ca="1" si="1053"/>
        <v>0.6110000000000001</v>
      </c>
      <c r="Y280" s="388">
        <f t="shared" ca="1" si="932"/>
        <v>0</v>
      </c>
      <c r="Z280" s="388">
        <f t="shared" ca="1" si="1054"/>
        <v>0.61058800000000002</v>
      </c>
      <c r="AA280" s="388">
        <f t="shared" ca="1" si="933"/>
        <v>0.6018</v>
      </c>
      <c r="AB280" s="388">
        <f ca="1">101.3*EXP(-0.034*Control!$C$66/($G280+273))</f>
        <v>100.69623283836242</v>
      </c>
      <c r="AC280" s="392">
        <f t="shared" ca="1" si="934"/>
        <v>4.3460251046025113E-2</v>
      </c>
      <c r="AD280" s="392">
        <f t="shared" ca="1" si="935"/>
        <v>4.4450382862832649E-2</v>
      </c>
      <c r="AE280" s="388">
        <f t="shared" ca="1" si="936"/>
        <v>0</v>
      </c>
      <c r="AF280" s="388">
        <f ca="1">MAX(0,$G280-Control!$C$92)</f>
        <v>0</v>
      </c>
      <c r="AG280" s="393">
        <f t="shared" ca="1" si="937"/>
        <v>276</v>
      </c>
      <c r="AH280" s="389">
        <f t="shared" ca="1" si="938"/>
        <v>276</v>
      </c>
      <c r="AI280" s="388">
        <f t="shared" ca="1" si="1055"/>
        <v>-8.3397781605137208E-2</v>
      </c>
      <c r="AJ280" s="388">
        <f ca="1">IF(Control!$C$60&lt;=0,$HH280,$HI280)</f>
        <v>1</v>
      </c>
      <c r="AK280" s="388">
        <f t="shared" ca="1" si="939"/>
        <v>3.3739844389238325</v>
      </c>
      <c r="AL280" s="388">
        <f t="shared" ca="1" si="940"/>
        <v>-1.8035781201852782E-18</v>
      </c>
      <c r="AM280" s="388">
        <f t="shared" ca="1" si="941"/>
        <v>3.3739844389238325</v>
      </c>
      <c r="AN280" s="388">
        <f t="shared" ca="1" si="942"/>
        <v>-9.1744243442040699E-2</v>
      </c>
      <c r="AO280" s="388">
        <f ca="1">-0.10453/COS(Control!$B$8*PI()/180)*COS(AN280)</f>
        <v>-0.1690708251525892</v>
      </c>
      <c r="AP280" s="388">
        <f ca="1">ACOS(AO280-TAN(Control!$B$8*PI()/180)*TAN(AN280))</f>
        <v>1.6221318449349158</v>
      </c>
      <c r="AQ280" s="388">
        <f t="shared" ca="1" si="1056"/>
        <v>0</v>
      </c>
      <c r="AR280" s="394">
        <f t="shared" ca="1" si="943"/>
        <v>0</v>
      </c>
      <c r="AS280" s="436">
        <f ca="1">IF(Control!$B$18=2,(IF(OR($AH280=Control!$B$175,$AH280=Control!$B$176,$AH280=Control!$B$177,$AH280=Control!$B$178,$AH280=Control!$B$179,$AH280=Control!$B$180,$AH280=Control!$B$181,$AH280=Control!$B$182,$AH280=Control!$B$183,$AH280=Control!$B$184,$AH280=Control!$B$185),1,0)),0)</f>
        <v>0</v>
      </c>
      <c r="AT280" s="436">
        <f>IF(Control!$B$20=8,IF(AND($AH280&gt;=Control!$B$172,$AH280&lt;=Control!$B$173),1,0),0)</f>
        <v>0</v>
      </c>
      <c r="AU280" s="436">
        <f>IF(Control!$B$20=8,IF($AV279=1,1*$AT280,IF($AT280=1,$AU279+1,$AU279)),0)</f>
        <v>0</v>
      </c>
      <c r="AV280" s="436">
        <f>IF(Control!$B$20=8,IF($AU280&gt;=Control!$B$174,1,0),0)</f>
        <v>0</v>
      </c>
      <c r="AW280" s="436">
        <f ca="1">IF(AND(Control!$B$18=2,Control!$B$171=1), $AV280, $AS280)</f>
        <v>0</v>
      </c>
      <c r="AX280" s="436" t="e">
        <f ca="1">IF(AND(Control!$B$18=1,$EU280&gt;=Control!$B$19),-$AY280,IF(AND(Control!$B$18=2,$AW280=1,$EU280&gt;$DS280),-$AY280, IF(Control!$C$108=0,0, IF(Control!$C$108&lt;&gt;0,1))))</f>
        <v>#N/A</v>
      </c>
      <c r="AY280" s="436" t="e">
        <f t="shared" ca="1" si="1057"/>
        <v>#N/A</v>
      </c>
      <c r="AZ280" s="436" t="e">
        <f ca="1">IF(AND(Control!$B$18=1,$EB280&gt;Control!$B$19),$AZ279+1, IF(AND(Control!$B$18=2, $AW280=1, $EB280&gt;$DS280), $AZ279+1,$AZ279))</f>
        <v>#N/A</v>
      </c>
      <c r="BA280" s="587">
        <f>IF(Control!$C$81=0,1,IF($AH280&gt;=Control!$C$82,1,0))</f>
        <v>1</v>
      </c>
      <c r="BB280" s="140" t="e">
        <f ca="1">IF($BA280&gt;$BA279,Control!$C$83,IF($AW280&gt;0,$AW280*Control!$C$84,IF(AND(Control!$B$18=1,EN279&lt;&gt;0),Control!$C$84,0)))</f>
        <v>#N/A</v>
      </c>
      <c r="BC280" s="140" t="e">
        <f t="shared" ca="1" si="1058"/>
        <v>#N/A</v>
      </c>
      <c r="BD280" s="140" t="e">
        <f ca="1">BC280*IF(OR($G280&lt;Control!$C$92,$G280&gt;Control!$C$95),0,IF(AND($G280&gt;=Control!$C$92,$G280&lt;=Control!$C$93),$G280-Control!$C$92,IF(AND($G280&gt;Control!$C$93,$G280&lt;=Control!$C$94),Control!$C$93-Control!$C$92,IF(AND($G280&gt;Control!$C$94,$G280&lt;=Control!$C$95),(Control!$C$93-Control!$C$92)*(Control!$C$94-$G280)/(Control!$C$95-Control!$C$94)))))</f>
        <v>#N/A</v>
      </c>
      <c r="BE280" s="140" t="e">
        <f t="shared" ca="1" si="1059"/>
        <v>#N/A</v>
      </c>
      <c r="BF280" s="140" t="e">
        <f ca="1">IF($BE280&lt;=Control!$C$86,$BE280,Control!$C$86-$BE280)</f>
        <v>#N/A</v>
      </c>
      <c r="BG280" s="140" t="e">
        <f ca="1">IF(AND($AW280=1,Control!$C$84&lt;9),1,IF($BE280&gt;=Control!$C$86,0,$BC280))</f>
        <v>#N/A</v>
      </c>
      <c r="BH280" s="404" t="e">
        <f ca="1">IF($BG280=0,0,IF($BE280&lt;=Control!$C$86,$BC280*9*($BF280/Control!$C$86),0))</f>
        <v>#N/A</v>
      </c>
      <c r="BI280" s="140" t="e">
        <f ca="1">IF($BG280=1,0,IF($BE280&gt;=Control!$C$86,1,IF(AND($BB280&lt;21,$BB280&gt;=9),1,$BM279)))</f>
        <v>#N/A</v>
      </c>
      <c r="BJ280" s="140" t="e">
        <f ca="1">IF($BF280&lt;0,-$BF280,$BI280*IF(OR($G280&lt;Control!$C$92,$G280&gt;Control!$C$95),0,IF(AND($G280&gt;=Control!$C$92,$G280&lt;=Control!$C$93),$G280-Control!$C$92,IF(AND($G280&gt;Control!$C$93,$G280&lt;=Control!$C$94),Control!$C$93-Control!$C$92,IF(AND($G280&gt;Control!$C$94,$G280&lt;=Control!$C$95),(Control!$C$93-Control!$C$92)*(Control!$C$94-$G280)/(Control!$C$95-Control!$C$94))))))</f>
        <v>#N/A</v>
      </c>
      <c r="BK280" s="140" t="e">
        <f t="shared" ca="1" si="1060"/>
        <v>#N/A</v>
      </c>
      <c r="BL280" s="140" t="e">
        <f ca="1">IF($BK280&lt;=Control!$C$87,$BK280,Control!$C$87-$BK280)</f>
        <v>#N/A</v>
      </c>
      <c r="BM280" s="140" t="e">
        <f ca="1">IF(AND($BB280&gt;=9,$BB280&lt;21),1,IF($BK280&gt;=Control!$C$87,0,$BI280))</f>
        <v>#N/A</v>
      </c>
      <c r="BN280" s="404" t="e">
        <f ca="1">IF($BM280=0,0,IF($BK280&lt;=Control!$C$87,$BI280*(9+(21-9)*($BL280/Control!$C$87)),0))</f>
        <v>#N/A</v>
      </c>
      <c r="BO280" s="140" t="e">
        <f ca="1">IF($BM280=1,0,IF($BK280&gt;=Control!$C$87,1,IF(AND($BB280&lt;30,$BB280&gt;=21),1,$BS279)))</f>
        <v>#N/A</v>
      </c>
      <c r="BP280" s="140" t="e">
        <f ca="1">IF($BL280&lt;0,-$BL280,$BO280*IF(OR($G280&lt;Control!$C$92,$G280&gt;Control!$C$95),0,IF(AND($G280&gt;=Control!$C$92,$G280&lt;=Control!$C$93),$G280-Control!$C$92,IF(AND($G280&gt;Control!$C$93,$G280&lt;=Control!$C$94),Control!$C$93-Control!$C$92,IF(AND($G280&gt;Control!$C$94,$G280&lt;=Control!$C$95),(Control!$C$93-Control!$C$92)*(Control!$C$94-$G280)/(Control!$C$95-Control!$C$94))))))</f>
        <v>#N/A</v>
      </c>
      <c r="BQ280" s="140" t="e">
        <f t="shared" ca="1" si="944"/>
        <v>#N/A</v>
      </c>
      <c r="BR280" s="140" t="e">
        <f ca="1">IF($BQ280&lt;=Control!$C$88,$BQ280,Control!$C$88-$BQ280)</f>
        <v>#N/A</v>
      </c>
      <c r="BS280" s="140" t="e">
        <f ca="1">IF(AND($BB280&gt;=21,$BB280&lt;30),1,IF($BQ280&gt;=Control!$C$88,0,$BO280))</f>
        <v>#N/A</v>
      </c>
      <c r="BT280" s="404" t="e">
        <f ca="1">IF($BS280=0,0,IF($BQ280&lt;=Control!$C$88,$BO280*(21+(30-21)*(BR280/Control!$C$88)),0))</f>
        <v>#N/A</v>
      </c>
      <c r="BU280" s="140" t="e">
        <f ca="1">IF(BG280+BM280+BS280=1,0,IF(OR(AND($BB280&lt;60,$BB280&gt;=30),$BQ280&gt;=Control!$C$88),1*$BA280,$BY279))</f>
        <v>#N/A</v>
      </c>
      <c r="BV280" s="140" t="e">
        <f ca="1">IF($BR280&lt;0,-$BR280,$BU280*IF(OR($G280&lt;Control!$C$92,$G280&gt;Control!$C$95),0,IF(AND($G280&gt;=Control!$C$92,$G280&lt;=Control!$C$93),$G280-Control!$C$92,IF(AND($G280&gt;Control!$C$93,$G280&lt;=Control!$C$94),Control!$C$93-Control!$C$92,IF(AND($G280&gt;Control!$C$94,$G280&lt;=Control!$C$95),(Control!$C$93-Control!$C$92)*(Control!$C$94-$G280)/(Control!$C$95-Control!$C$94))))))</f>
        <v>#N/A</v>
      </c>
      <c r="BW280" s="140" t="e">
        <f t="shared" ca="1" si="945"/>
        <v>#N/A</v>
      </c>
      <c r="BX280" s="140" t="e">
        <f ca="1">IF($BW280&lt;=Control!$C$89,$BW280,Control!$C$89-$BW280)</f>
        <v>#N/A</v>
      </c>
      <c r="BY280" s="140" t="e">
        <f ca="1">IF(AND($AJ280&gt;=30,$AJ280&lt;60),1,IF($BW280&gt;=Control!$C$89,0,$BU280))</f>
        <v>#N/A</v>
      </c>
      <c r="BZ280" s="404" t="e">
        <f ca="1">IF($BY280=0,0,IF($BW280&lt;=Control!$C$89,$BU280*(30+(60-30)*(BX280/Control!$C$89)),0))</f>
        <v>#N/A</v>
      </c>
      <c r="CA280" s="140" t="e">
        <f ca="1">IF($BG280+$BM280+$BS280+$BY280=1,0,IF(OR(AND($BB280&lt;65,$BB280&gt;=60),$BW280&gt;=Control!$C$89),1*$BA280,$CE279))</f>
        <v>#N/A</v>
      </c>
      <c r="CB280" s="140" t="e">
        <f ca="1">IF($BX280&lt;0,-$BX280,$CA280*IF(OR($G280&lt;Control!$C$92,$G280&gt;Control!$C$95),0,IF(AND($G280&gt;=Control!$C$92,$G280&lt;=Control!$C$93),$G280-Control!$C$92,IF(AND($G280&gt;Control!$C$93,$G280&lt;=Control!$C$94),Control!$C$93-Control!$C$92,IF(AND($G280&gt;Control!$C$94,$G280&lt;=Control!$C$95),(Control!$C$93-Control!$C$92)*(Control!$C$94-$G280)/(Control!$C$95-Control!$C$94))))))</f>
        <v>#N/A</v>
      </c>
      <c r="CC280" s="140" t="e">
        <f t="shared" ca="1" si="1061"/>
        <v>#N/A</v>
      </c>
      <c r="CD280" s="140" t="e">
        <f ca="1">IF($CC280&lt;=Control!$C$90,$CC280,Control!$C$90-$CC280)</f>
        <v>#N/A</v>
      </c>
      <c r="CE280" s="140" t="e">
        <f ca="1">IF(AND($BB280&gt;=60,$BB280&lt;65),1,IF($CC280&gt;=Control!$C$90,0,$CA280))</f>
        <v>#N/A</v>
      </c>
      <c r="CF280" s="404" t="e">
        <f ca="1">IF($CE280=0,0,IF($CC280&lt;=Control!$C$90,$CA280*(60+(65-60)*(CD280/Control!$C$90)),0))</f>
        <v>#N/A</v>
      </c>
      <c r="CG280" s="140" t="e">
        <f ca="1">IF($BG280+$BM280+$BS280+$BY280+$CE280=1,0,IF(OR(AND($BB280&lt;90,$BB280&gt;=65),$CC280&gt;=Control!$C$90),$BA280,$CK279))</f>
        <v>#N/A</v>
      </c>
      <c r="CH280" s="140" t="e">
        <f ca="1">IF($CD280&lt;0,-$CD280,$CG280*IF(OR($G280&lt;Control!$C$92,$G280&gt;Control!$C$95),0,IF(AND($G280&gt;=Control!$C$92,$G280&lt;=Control!$C$93),$G280-Control!$C$92,IF(AND($G280&gt;Control!$C$93,$G280&lt;=Control!$C$94),Control!$C$93-Control!$C$92,IF(AND($G280&gt;Control!$C$94,$G280&lt;=Control!$C$95),(Control!$C$93-Control!$C$92)*(Control!$C$94-$G280)/(Control!$C$95-Control!$C$94))))))</f>
        <v>#N/A</v>
      </c>
      <c r="CI280" s="140" t="e">
        <f t="shared" ca="1" si="1062"/>
        <v>#N/A</v>
      </c>
      <c r="CJ280" s="140" t="e">
        <f ca="1">IF($CI280&lt;=Control!$C$91,$CI280,Control!$C$91-$CI280)</f>
        <v>#N/A</v>
      </c>
      <c r="CK280" s="140" t="e">
        <f ca="1">IF(AND($BB280&gt;=65,$BB280&lt;90),1,IF($CI280&gt;=Control!$C$91,0,$CG280))</f>
        <v>#N/A</v>
      </c>
      <c r="CL280" s="404" t="e">
        <f ca="1">IF($CK280=0,0,IF($CI280&lt;=Control!$C$91,$CG280*(65+(90-65)*($CJ280/Control!$C$91)),0))</f>
        <v>#N/A</v>
      </c>
      <c r="CM280" s="140" t="e">
        <f ca="1">IF($BG280+$BM280+$BS280+$BY280+$CE280+$CK280=1,0,IF(OR($BB280&gt;=90,$CI280&gt;=Control!$C$91),$BA280,$CM279))</f>
        <v>#N/A</v>
      </c>
      <c r="CN280" s="140" t="e">
        <f t="shared" ca="1" si="1063"/>
        <v>#N/A</v>
      </c>
      <c r="CO280" s="140" t="e">
        <f t="shared" ca="1" si="1064"/>
        <v>#N/A</v>
      </c>
      <c r="CP280" s="140" t="e">
        <f t="shared" ca="1" si="1065"/>
        <v>#N/A</v>
      </c>
      <c r="CQ280" s="141" t="e">
        <f ca="1">VLOOKUP($CP280,Control!$B$86:$G$91,6)</f>
        <v>#N/A</v>
      </c>
      <c r="CR280" s="141" t="e">
        <f ca="1">(1-$CQ280)*VLOOKUP($CP280,Control!$B$86:$D$91,3)</f>
        <v>#N/A</v>
      </c>
      <c r="CS280" s="141" t="e">
        <f ca="1">(1-$CQ280)*VLOOKUP($CP280,Control!$B$86:$E$91,4)</f>
        <v>#N/A</v>
      </c>
      <c r="CT280" s="141" t="e">
        <f ca="1">(1-$CQ280)*VLOOKUP($CP280,Control!$B$86:$F$91,5)</f>
        <v>#N/A</v>
      </c>
      <c r="CU280" s="141">
        <f t="shared" ca="1" si="1066"/>
        <v>0</v>
      </c>
      <c r="CV280" s="583">
        <f t="shared" ca="1" si="1067"/>
        <v>0</v>
      </c>
      <c r="CW280" s="142">
        <f t="shared" ca="1" si="1068"/>
        <v>276</v>
      </c>
      <c r="CX280" s="612" t="e">
        <f ca="1">IF(Control!$C$114=1,(MIN(Control!$C$120*(IF($NT280-0.01&lt;0,0,1)),Control!$C$119-$CY280)))</f>
        <v>#DIV/0!</v>
      </c>
      <c r="CY280" s="143" t="e">
        <f t="shared" ca="1" si="1069"/>
        <v>#N/A</v>
      </c>
      <c r="CZ280" s="144">
        <f t="shared" ca="1" si="946"/>
        <v>0</v>
      </c>
      <c r="DA280" s="144">
        <f t="shared" ca="1" si="947"/>
        <v>0</v>
      </c>
      <c r="DB280" s="144" t="e">
        <f t="shared" ca="1" si="948"/>
        <v>#N/A</v>
      </c>
      <c r="DC280" s="144" t="e">
        <f t="shared" ca="1" si="949"/>
        <v>#N/A</v>
      </c>
      <c r="DD280" s="144" t="e">
        <f t="shared" ca="1" si="1154"/>
        <v>#N/A</v>
      </c>
      <c r="DE280" s="143" t="e">
        <f t="shared" ca="1" si="1070"/>
        <v>#N/A</v>
      </c>
      <c r="DF280" s="145" t="e">
        <f ca="1">$DR280*EXP(-Control!$C$158*(1-$KH280))</f>
        <v>#N/A</v>
      </c>
      <c r="DG280" s="146" t="e">
        <f ca="1">IF(Control!$C$114=1, $DF280*$EY280, 0)</f>
        <v>#N/A</v>
      </c>
      <c r="DH280" s="147" t="e">
        <f t="shared" ca="1" si="1071"/>
        <v>#N/A</v>
      </c>
      <c r="DI280" s="144" t="e">
        <f t="shared" ca="1" si="1132"/>
        <v>#N/A</v>
      </c>
      <c r="DJ280" s="147" t="e">
        <f ca="1">$EF280*Control!$C$109</f>
        <v>#N/A</v>
      </c>
      <c r="DK280" s="144" t="e">
        <f t="shared" ca="1" si="1072"/>
        <v>#N/A</v>
      </c>
      <c r="DL280" s="144" t="e">
        <f t="shared" ca="1" si="950"/>
        <v>#N/A</v>
      </c>
      <c r="DM280" s="144" t="e">
        <f ca="1">IF(Control!$C$114=1, (1-EXP(-Control!$C$96*$DK280))*$AR280, 0)</f>
        <v>#N/A</v>
      </c>
      <c r="DN280" s="144">
        <f t="shared" ca="1" si="1073"/>
        <v>0</v>
      </c>
      <c r="DO280" s="148">
        <f>Control!$C$97</f>
        <v>4</v>
      </c>
      <c r="DP280" s="145" t="e">
        <f t="shared" ca="1" si="1074"/>
        <v>#N/A</v>
      </c>
      <c r="DQ280" s="145" t="e">
        <f ca="1">IF(AND($CP280&gt;=0,$CP280&lt;=90),Control!$C$111,Control!$C$111)</f>
        <v>#N/A</v>
      </c>
      <c r="DR280" s="145" t="e">
        <f t="shared" ca="1" si="951"/>
        <v>#N/A</v>
      </c>
      <c r="DS280" s="143" t="e">
        <f ca="1">Control!$B$22/$DR280</f>
        <v>#N/A</v>
      </c>
      <c r="DT280" s="149" t="e">
        <f ca="1">IF(AND(Control!$C$114=1,$KH280&lt;1),$IM280*$DF280, 0)</f>
        <v>#N/A</v>
      </c>
      <c r="DU280" s="144" t="e">
        <f t="shared" ca="1" si="1075"/>
        <v>#N/A</v>
      </c>
      <c r="DV280" s="144">
        <f ca="1">IF($G280-Control!$C$107&lt;=0, 0, 0.83*LN(MAX($G280, 3))-0.8924)</f>
        <v>0</v>
      </c>
      <c r="DW280" s="144" t="e">
        <f t="shared" ca="1" si="952"/>
        <v>#N/A</v>
      </c>
      <c r="DX280" s="150" t="e">
        <f ca="1">MAX(0.01*(1+$CU280/Control!$C$102),0.05*($DK280-Control!$C$97)/Control!$C$97)</f>
        <v>#N/A</v>
      </c>
      <c r="DY280" s="151" t="e">
        <f ca="1">IF(Control!$C$114=1, $DI280*$FS280, 0)</f>
        <v>#N/A</v>
      </c>
      <c r="DZ280" s="196" t="e">
        <f t="shared" ca="1" si="1076"/>
        <v>#N/A</v>
      </c>
      <c r="EA280" s="152">
        <f t="shared" ca="1" si="1077"/>
        <v>276</v>
      </c>
      <c r="EB280" s="153" t="e">
        <f t="shared" ca="1" si="1078"/>
        <v>#N/A</v>
      </c>
      <c r="EC280" s="153" t="e">
        <f t="shared" ca="1" si="1079"/>
        <v>#N/A</v>
      </c>
      <c r="ED280" s="154" t="e">
        <f ca="1">IF(Control!$C$114=1, $HM280*$FY280-$FD280, 0)</f>
        <v>#DIV/0!</v>
      </c>
      <c r="EE280" s="155" t="e">
        <f ca="1">IF(Control!$C$114=1, $HM280*$FZ280-$FF280, 0)</f>
        <v>#DIV/0!</v>
      </c>
      <c r="EF280" s="153" t="e">
        <f t="shared" ca="1" si="1133"/>
        <v>#N/A</v>
      </c>
      <c r="EG280" s="155" t="e">
        <f ca="1">IF(Control!$C$114=1, $GX280*$FW280-$FI280, 0)</f>
        <v>#DIV/0!</v>
      </c>
      <c r="EH280" s="153" t="e">
        <f t="shared" ca="1" si="1080"/>
        <v>#N/A</v>
      </c>
      <c r="EI280" s="156" t="e">
        <f t="shared" ca="1" si="1081"/>
        <v>#N/A</v>
      </c>
      <c r="EJ280" s="155" t="e">
        <f ca="1">IF(Control!$C$114=1, $HM280*$GB280, 0)</f>
        <v>#DIV/0!</v>
      </c>
      <c r="EK280" s="153" t="e">
        <f t="shared" ca="1" si="1134"/>
        <v>#N/A</v>
      </c>
      <c r="EL280" s="153" t="e">
        <f t="shared" ca="1" si="953"/>
        <v>#N/A</v>
      </c>
      <c r="EM280" s="153" t="e">
        <f t="shared" ca="1" si="954"/>
        <v>#N/A</v>
      </c>
      <c r="EN280" s="153" t="e">
        <f ca="1">IF(Control!$C$108=1,IF(AND(Control!$B$18=1,$EB280&gt;=Control!$B$19),$EB280-$DS280,IF(AND(Control!$B$18=2,$AW280=1,$EB280&gt;$DS280),$EB280-$DS280,0)))</f>
        <v>#N/A</v>
      </c>
      <c r="EO280" s="153" t="e">
        <f ca="1">IF(Control!$C$108=1,IF(AND(Control!$B$18=1,$EB280&gt;=Control!$B$19),$EF280,IF(AND(Control!$B$18=2,$AW280=1),$EF280,0)))</f>
        <v>#N/A</v>
      </c>
      <c r="EP280" s="153" t="e">
        <f ca="1">IF(Control!$C$108=1,IF(AND(Control!$B$18=1,$EB280&gt;=Control!$B$19),$EK280,IF(AND(Control!$B$18=2,$AW280=1),$EK280,0)))</f>
        <v>#N/A</v>
      </c>
      <c r="EQ280" s="153" t="e">
        <f t="shared" ca="1" si="1082"/>
        <v>#N/A</v>
      </c>
      <c r="ER280" s="153" t="e">
        <f t="shared" ca="1" si="1083"/>
        <v>#N/A</v>
      </c>
      <c r="ES280" s="153" t="e">
        <f t="shared" ca="1" si="1135"/>
        <v>#N/A</v>
      </c>
      <c r="ET280" s="153" t="e">
        <f t="shared" ca="1" si="1136"/>
        <v>#N/A</v>
      </c>
      <c r="EU280" s="153" t="e">
        <f t="shared" ca="1" si="1084"/>
        <v>#N/A</v>
      </c>
      <c r="EV280" s="153" t="e">
        <f t="shared" ca="1" si="955"/>
        <v>#N/A</v>
      </c>
      <c r="EW280" s="153" t="e">
        <f t="shared" ca="1" si="956"/>
        <v>#N/A</v>
      </c>
      <c r="EX280" s="153" t="e">
        <f t="shared" ca="1" si="957"/>
        <v>#N/A</v>
      </c>
      <c r="EY280" s="157" t="e">
        <f t="shared" ca="1" si="958"/>
        <v>#DIV/0!</v>
      </c>
      <c r="EZ280" s="154" t="e">
        <f t="shared" ca="1" si="959"/>
        <v>#DIV/0!</v>
      </c>
      <c r="FA280" s="153" t="e">
        <f t="shared" ca="1" si="1085"/>
        <v>#N/A</v>
      </c>
      <c r="FB280" s="153" t="e">
        <f t="shared" ca="1" si="960"/>
        <v>#N/A</v>
      </c>
      <c r="FC280" s="193" t="e">
        <f t="shared" ca="1" si="961"/>
        <v>#N/A</v>
      </c>
      <c r="FD280" s="158" t="e">
        <f t="shared" ca="1" si="1086"/>
        <v>#N/A</v>
      </c>
      <c r="FE280" s="158" t="e">
        <f t="shared" ca="1" si="1087"/>
        <v>#N/A</v>
      </c>
      <c r="FF280" s="159" t="e">
        <f t="shared" ca="1" si="962"/>
        <v>#N/A</v>
      </c>
      <c r="FG280" s="160" t="e">
        <f t="shared" ca="1" si="1088"/>
        <v>#N/A</v>
      </c>
      <c r="FH280" s="158" t="e">
        <f t="shared" ca="1" si="1089"/>
        <v>#N/A</v>
      </c>
      <c r="FI280" s="159" t="e">
        <f t="shared" ca="1" si="963"/>
        <v>#N/A</v>
      </c>
      <c r="FJ280" s="160" t="e">
        <f t="shared" ca="1" si="1090"/>
        <v>#N/A</v>
      </c>
      <c r="FK280" s="160" t="e">
        <f t="shared" ca="1" si="964"/>
        <v>#N/A</v>
      </c>
      <c r="FL280" s="160" t="e">
        <f t="shared" ca="1" si="1137"/>
        <v>#N/A</v>
      </c>
      <c r="FM280" s="160" t="e">
        <f t="shared" ca="1" si="965"/>
        <v>#N/A</v>
      </c>
      <c r="FN280" s="158">
        <f t="shared" ca="1" si="1091"/>
        <v>0.01</v>
      </c>
      <c r="FO280" s="160">
        <f>Control!$C$101</f>
        <v>50</v>
      </c>
      <c r="FP280" s="150" t="e">
        <f t="shared" ca="1" si="966"/>
        <v>#N/A</v>
      </c>
      <c r="FQ280" s="150" t="e">
        <f ca="1">MAX(0,(Control!$C$112*(($DK280-Control!$C$97)/Control!$C$97)))</f>
        <v>#N/A</v>
      </c>
      <c r="FR280" s="150" t="e">
        <f ca="1">(1-$NT280)*Control!$C$113</f>
        <v>#DIV/0!</v>
      </c>
      <c r="FS280" s="198" t="e">
        <f t="shared" ca="1" si="967"/>
        <v>#N/A</v>
      </c>
      <c r="FT280" s="161">
        <f t="shared" ca="1" si="1092"/>
        <v>276</v>
      </c>
      <c r="FU280" s="162" t="e">
        <f ca="1">IF(Control!$B$34=1,VLOOKUP($CP280,Control!$B$86:$G$91,6),Control!$B$35)</f>
        <v>#N/A</v>
      </c>
      <c r="FV280" s="162" t="e">
        <f t="shared" ca="1" si="968"/>
        <v>#DIV/0!</v>
      </c>
      <c r="FW280" s="162" t="e">
        <f ca="1">IF(Control!$B$31=1,$FU280*$FV280,  $FU280)</f>
        <v>#N/A</v>
      </c>
      <c r="FX280" s="162" t="e">
        <f ca="1">IF(Control!$B$34=1,VLOOKUP($CP280,Control!$B$86:$G$91,3),Control!$B$36)</f>
        <v>#N/A</v>
      </c>
      <c r="FY280" s="162" t="e">
        <f t="shared" ca="1" si="969"/>
        <v>#N/A</v>
      </c>
      <c r="FZ280" s="162" t="e">
        <f ca="1">IF(Control!$B$34=1,VLOOKUP($CP280,Control!$B$86:$G$91,4),Control!$B$37)</f>
        <v>#N/A</v>
      </c>
      <c r="GA280" s="162" t="e">
        <f t="shared" ca="1" si="970"/>
        <v>#N/A</v>
      </c>
      <c r="GB280" s="162" t="e">
        <f ca="1">IF(Control!$B$34=1,VLOOKUP($CP280,Control!$B$86:$G$91,5),Control!$B$38)</f>
        <v>#N/A</v>
      </c>
      <c r="GC280" s="162" t="e">
        <f t="shared" ca="1" si="1093"/>
        <v>#N/A</v>
      </c>
      <c r="GD280" s="162">
        <f t="shared" ca="1" si="971"/>
        <v>1</v>
      </c>
      <c r="GE280" s="162">
        <f t="shared" ca="1" si="972"/>
        <v>1</v>
      </c>
      <c r="GF280" s="162">
        <f ca="1">IF(AND(Control!$C$104=1, Control!$C$62="F"),$GE280,1)</f>
        <v>1</v>
      </c>
      <c r="GG280" s="162" t="e">
        <f ca="1">IF(Control!$B$16=40,0,IF(AND(Control!$B$16&gt;40,Control!$B$16&lt;=360),(Control!$B$16-40)*((1-0)/(360-40)),IF(AND(Control!$B$16&gt;360,Control!$B$16&lt;=720),(1+(Control!$B$16-360)*((1.25-1)/(720-360))),IF(AND(Control!$B$16&gt;720,Control!$B$16&lt;=1000),(1.25+(Control!$B$16-720)*((1.35-1.25)/(1000-720))),IF(AND(Control!$B$16&gt;1000,Control!$B$16&lt;=2000),(1.35+(Control!$B$16-1000)*0))))))</f>
        <v>#N/A</v>
      </c>
      <c r="GH280" s="162" t="e">
        <f t="shared" ca="1" si="973"/>
        <v>#N/A</v>
      </c>
      <c r="GI280" s="162">
        <f t="shared" ca="1" si="1094"/>
        <v>0</v>
      </c>
      <c r="GJ280" s="162">
        <f t="shared" ca="1" si="974"/>
        <v>0</v>
      </c>
      <c r="GK280" s="162">
        <f t="shared" ca="1" si="1095"/>
        <v>1</v>
      </c>
      <c r="GL280" s="162">
        <f t="shared" ca="1" si="975"/>
        <v>1</v>
      </c>
      <c r="GM280" s="162" t="e">
        <f ca="1">MAX(0,MIN(1,1-Control!$C$156*(1.0001-$KH280)^2))</f>
        <v>#N/A</v>
      </c>
      <c r="GN280" s="162" t="e">
        <f ca="1">IF(Control!$B$26=1,$KU280,$KX280)</f>
        <v>#N/A</v>
      </c>
      <c r="GO280" s="162" t="e">
        <f ca="1">IF($CP280&lt;=60,Control!$C$105,IF($CP280&gt;=90,Control!$C$106,Control!$C$105+($CP280-60)*((Control!$C$106-Control!$C$105)/(90-60))))</f>
        <v>#N/A</v>
      </c>
      <c r="GP280" s="162" t="e">
        <f t="shared" ca="1" si="976"/>
        <v>#N/A</v>
      </c>
      <c r="GQ280" s="162" t="e">
        <f t="shared" ca="1" si="1096"/>
        <v>#N/A</v>
      </c>
      <c r="GR280" s="163" t="e">
        <f t="shared" ca="1" si="977"/>
        <v>#DIV/0!</v>
      </c>
      <c r="GS280" s="162" t="e">
        <f t="shared" ca="1" si="978"/>
        <v>#DIV/0!</v>
      </c>
      <c r="GT280" s="164" t="e">
        <f t="shared" ca="1" si="1097"/>
        <v>#N/A</v>
      </c>
      <c r="GU280" s="162" t="e">
        <f t="shared" ca="1" si="1098"/>
        <v>#N/A</v>
      </c>
      <c r="GV280" s="162" t="e">
        <f t="shared" ca="1" si="979"/>
        <v>#N/A</v>
      </c>
      <c r="GW280" s="162" t="e">
        <f t="shared" ca="1" si="980"/>
        <v>#DIV/0!</v>
      </c>
      <c r="GX280" s="162" t="e">
        <f t="shared" ca="1" si="1099"/>
        <v>#DIV/0!</v>
      </c>
      <c r="GY280" s="162" t="e">
        <f t="shared" ca="1" si="1100"/>
        <v>#DIV/0!</v>
      </c>
      <c r="GZ280" s="165" t="e">
        <f t="shared" ca="1" si="981"/>
        <v>#N/A</v>
      </c>
      <c r="HA280" s="162" t="e">
        <f ca="1">IF(Control!$C$114=1, $DI280*$FS280, 0)</f>
        <v>#N/A</v>
      </c>
      <c r="HB280" s="162" t="e">
        <f ca="1">$FA280/Control!$C$64</f>
        <v>#N/A</v>
      </c>
      <c r="HC280" s="162" t="e">
        <f t="shared" ca="1" si="982"/>
        <v>#DIV/0!</v>
      </c>
      <c r="HD280" s="162">
        <f ca="1">-ASIN(SIN(23.45*Control!$C$139)*COS(2*Control!$C$138*($AH280+10)/365))</f>
        <v>-8.3397781605137208E-2</v>
      </c>
      <c r="HE280" s="165">
        <f t="shared" ca="1" si="1101"/>
        <v>0</v>
      </c>
      <c r="HF280" s="166">
        <f ca="1">IF(AND(Control!$C$61="T",$HE280&gt;=Control!$C$103,Control!$C$114=0),$AH280,Control!$C$59)</f>
        <v>1</v>
      </c>
      <c r="HG280" s="166">
        <f ca="1">IF(AND(Control!$C$61="T",$HE280&gt;=Control!$C$103,Control!$C$114=0),$HF280,Control!$C$59)</f>
        <v>1</v>
      </c>
      <c r="HH280" s="165">
        <f ca="1">IF(AND(OR(Control!$C$60&lt;=0, $AH280= Control!$C$59, Control!$C$60 &gt;0, $AH280 = Control!$C$60)), Control!$C$59, IF(Control!$C$60&gt;0, 0))</f>
        <v>1</v>
      </c>
      <c r="HI280" s="165">
        <f ca="1">IF(AND(OR(Control!$C$60&lt;=0, $AH280= Control!$C$59, Control!$C$60 &gt;0, $AH280 = Control!$C$60)), Control!$C$60, IF(Control!$C$60&lt;=0, 0))</f>
        <v>0</v>
      </c>
      <c r="HJ280" s="166">
        <f ca="1">IF(AND(Control!$C$62="F",$CV280&gt;=Control!$C$102),$AH280,0)</f>
        <v>0</v>
      </c>
      <c r="HK280" s="165" t="e">
        <f t="shared" ca="1" si="1138"/>
        <v>#N/A</v>
      </c>
      <c r="HL280" s="166">
        <f ca="1">IF(AND(Control!$C$61="T",$HE280&gt;=Control!$C$103,Control!$C$114=0),$HF280,0)</f>
        <v>0</v>
      </c>
      <c r="HM280" s="201" t="e">
        <f t="shared" ca="1" si="983"/>
        <v>#DIV/0!</v>
      </c>
      <c r="HN280" s="215">
        <f t="shared" ca="1" si="1102"/>
        <v>276</v>
      </c>
      <c r="HO280" s="216" t="e">
        <f ca="1">IF(AND($CP280&gt;=0, $CP280&lt;=90), Control!$C$152, Control!$C$152)</f>
        <v>#N/A</v>
      </c>
      <c r="HP280" s="216" t="e">
        <f t="shared" ca="1" si="984"/>
        <v>#N/A</v>
      </c>
      <c r="HQ280" s="217" t="e">
        <f ca="1">IF(OR(Control!$B$26=1,Control!$B$26=2),$KV280,$KS280)</f>
        <v>#DIV/0!</v>
      </c>
      <c r="HR280" s="218" t="e">
        <f t="shared" ca="1" si="1139"/>
        <v>#DIV/0!</v>
      </c>
      <c r="HS280" s="216" t="e">
        <f ca="1">Control!$C$154*$HP280</f>
        <v>#N/A</v>
      </c>
      <c r="HT280" s="216" t="e">
        <f ca="1">Control!$C$155*$HP280</f>
        <v>#N/A</v>
      </c>
      <c r="HU280" s="217" t="e">
        <f ca="1">Control!$C$161*$FI280</f>
        <v>#N/A</v>
      </c>
      <c r="HV280" s="218" t="e">
        <f t="shared" ca="1" si="1103"/>
        <v>#N/A</v>
      </c>
      <c r="HW280" s="218" t="e">
        <f ca="1">Control!$C$160*$FF280+$IP280*$EO280</f>
        <v>#N/A</v>
      </c>
      <c r="HX280" s="218" t="e">
        <f t="shared" ca="1" si="1140"/>
        <v>#N/A</v>
      </c>
      <c r="HY280" s="219" t="e">
        <f ca="1">IF(Control!$C$114=1, $EB280*$FS280, 0)</f>
        <v>#N/A</v>
      </c>
      <c r="HZ280" s="91" t="e">
        <f t="shared" ca="1" si="985"/>
        <v>#N/A</v>
      </c>
      <c r="IA280" s="220" t="e">
        <f ca="1">Control!$C$153*$HO280</f>
        <v>#N/A</v>
      </c>
      <c r="IB280" s="218" t="e">
        <f t="shared" ca="1" si="986"/>
        <v>#N/A</v>
      </c>
      <c r="IC280" s="220" t="e">
        <f ca="1">Control!$C$153*$HT280</f>
        <v>#N/A</v>
      </c>
      <c r="ID280" s="218" t="e">
        <f t="shared" ca="1" si="987"/>
        <v>#N/A</v>
      </c>
      <c r="IE280" s="221" t="e">
        <f ca="1">($EB280*Control!$C$159+$EF280*Control!$C$160)/(IF($GZ280&lt;&gt;0,$GZ280,1))</f>
        <v>#N/A</v>
      </c>
      <c r="IF280" s="216" t="e">
        <f t="shared" ca="1" si="988"/>
        <v>#N/A</v>
      </c>
      <c r="IG280" s="91">
        <f ca="1">IF(OR(Control!$B$198=$AH280,Control!$B$199=$AH280, Control!$B$200=$AH280, Control!$B$201=$AH280, Control!$B$202=$AH280, Control!$B$203=$AH280, Control!$B$204=$AH280, Control!$B$205=$AH280, Control!$B$206=$AH280, Control!$B$207=$AH280), 1, 0)</f>
        <v>0</v>
      </c>
      <c r="IH280" s="91">
        <f ca="1">IF($IG280=0,0, VLOOKUP($AH280,Control!$B$198:$C$207,2))</f>
        <v>0</v>
      </c>
      <c r="II280" s="222">
        <f t="shared" ca="1" si="1104"/>
        <v>0</v>
      </c>
      <c r="IJ280" s="91">
        <f>Control!$C$121</f>
        <v>0.7</v>
      </c>
      <c r="IK280" s="218">
        <f t="shared" ca="1" si="989"/>
        <v>0</v>
      </c>
      <c r="IL280" s="217" t="e">
        <f t="shared" ca="1" si="1141"/>
        <v>#N/A</v>
      </c>
      <c r="IM280" s="223" t="e">
        <f ca="1">IF(AND(Control!$C$114=1,$KH280&lt;1),$EB280*Control!$C$148*(1-$KH280), 0)</f>
        <v>#N/A</v>
      </c>
      <c r="IN280" s="217" t="e">
        <f t="shared" ca="1" si="990"/>
        <v>#DIV/0!</v>
      </c>
      <c r="IO280" s="91" t="e">
        <f ca="1">MAX(0,$IL280-$EF280*Control!$C$160)</f>
        <v>#N/A</v>
      </c>
      <c r="IP280" s="220" t="e">
        <f t="shared" ca="1" si="991"/>
        <v>#N/A</v>
      </c>
      <c r="IQ280" s="217" t="e">
        <f t="shared" ca="1" si="1105"/>
        <v>#N/A</v>
      </c>
      <c r="IR280" s="218" t="e">
        <f t="shared" ca="1" si="992"/>
        <v>#N/A</v>
      </c>
      <c r="IS280" s="217" t="e">
        <f ca="1">Control!$C$159*MAX(0,$FD280-$EN280)</f>
        <v>#N/A</v>
      </c>
      <c r="IT280" s="217" t="e">
        <f t="shared" ca="1" si="1142"/>
        <v>#N/A</v>
      </c>
      <c r="IU280" s="217" t="e">
        <f t="shared" ca="1" si="1106"/>
        <v>#N/A</v>
      </c>
      <c r="IV280" s="217" t="e">
        <f t="shared" ca="1" si="1143"/>
        <v>#N/A</v>
      </c>
      <c r="IW280" s="217" t="e">
        <f ca="1">IF(OR($AW280=1,AND($AW280=0, Control!$B$18=1,$EN280&lt;&gt;0)), $IQ280-$IU280, $IQ280)</f>
        <v>#N/A</v>
      </c>
      <c r="IX280" s="218" t="e">
        <f t="shared" ca="1" si="993"/>
        <v>#N/A</v>
      </c>
      <c r="IY280" s="218" t="e">
        <f ca="1">MAX(0,$IQ280-$EB280*Control!$C$159)</f>
        <v>#N/A</v>
      </c>
      <c r="IZ280" s="218" t="e">
        <f t="shared" ca="1" si="994"/>
        <v>#N/A</v>
      </c>
      <c r="JA280" s="216" t="e">
        <f t="shared" ca="1" si="995"/>
        <v>#N/A</v>
      </c>
      <c r="JB280" s="217" t="e">
        <f t="shared" ca="1" si="996"/>
        <v>#N/A</v>
      </c>
      <c r="JC280" s="222" t="e">
        <f ca="1">MAX(Control!$C$157*$EK280-$JT280, 0)/Control!$C$162</f>
        <v>#N/A</v>
      </c>
      <c r="JD280" s="218" t="e">
        <f t="shared" ca="1" si="997"/>
        <v>#N/A</v>
      </c>
      <c r="JE280" s="218" t="e">
        <f t="shared" ca="1" si="998"/>
        <v>#N/A</v>
      </c>
      <c r="JF280" s="218" t="e">
        <f t="shared" ca="1" si="1107"/>
        <v>#N/A</v>
      </c>
      <c r="JG280" s="218" t="e">
        <f t="shared" ca="1" si="999"/>
        <v>#N/A</v>
      </c>
      <c r="JH280" s="217" t="e">
        <f t="shared" ca="1" si="1108"/>
        <v>#N/A</v>
      </c>
      <c r="JI280" s="217" t="e">
        <f t="shared" ca="1" si="1109"/>
        <v>#N/A</v>
      </c>
      <c r="JJ280" s="217" t="e">
        <f t="shared" ca="1" si="1144"/>
        <v>#N/A</v>
      </c>
      <c r="JK280" s="217" t="e">
        <f ca="1">IF(Control!$C$114=1,IF(Control!$B$24=0,MAX(0,$JI280)*$GN280/Control!$C$64,(MAX(0,MIN($JI280,$JJ280*$GN280/Control!$C$64),0))))</f>
        <v>#N/A</v>
      </c>
      <c r="JL280" s="217" t="e">
        <f ca="1">$IK280/Control!$C$64-$JK280+$HQ280</f>
        <v>#N/A</v>
      </c>
      <c r="JM280" s="217" t="e">
        <f ca="1">IF(Control!$C$114=1,($JB280/(IF($JI280&lt;&gt;0,$JI280,1)))*$JK280,0)</f>
        <v>#N/A</v>
      </c>
      <c r="JN280" s="217" t="e">
        <f ca="1">IF(Control!$C$114=1,($JG280/(IF($JI280&lt;&gt;0,$JI280,1)))*$JK280, 0)</f>
        <v>#N/A</v>
      </c>
      <c r="JO280" s="218" t="e">
        <f t="shared" ca="1" si="1000"/>
        <v>#N/A</v>
      </c>
      <c r="JP280" s="218" t="e">
        <f ca="1">MIN(($IY280+$IO280)*Control!$C$151, $JF280-$EH280*Control!$C$161)</f>
        <v>#N/A</v>
      </c>
      <c r="JQ280" s="218" t="e">
        <f t="shared" ca="1" si="1001"/>
        <v>#N/A</v>
      </c>
      <c r="JR280" s="217" t="e">
        <f ca="1">IF($CP280-Control!$C$150&lt;0, 0, $JQ280/Control!$C$162)</f>
        <v>#N/A</v>
      </c>
      <c r="JS280" s="218" t="e">
        <f t="shared" ca="1" si="1002"/>
        <v>#N/A</v>
      </c>
      <c r="JT280" s="218" t="e">
        <f t="shared" ca="1" si="1110"/>
        <v>#N/A</v>
      </c>
      <c r="JU280" s="218" t="e">
        <f t="shared" ca="1" si="1003"/>
        <v>#N/A</v>
      </c>
      <c r="JV280" s="218" t="e">
        <f t="shared" ca="1" si="1004"/>
        <v>#N/A</v>
      </c>
      <c r="JW280" s="216" t="e">
        <f t="shared" ca="1" si="1005"/>
        <v>#N/A</v>
      </c>
      <c r="JX280" s="91" t="e">
        <f t="shared" ca="1" si="1006"/>
        <v>#N/A</v>
      </c>
      <c r="JY280" s="218" t="e">
        <f t="shared" ca="1" si="1007"/>
        <v>#N/A</v>
      </c>
      <c r="JZ280" s="217" t="e">
        <f ca="1">IF(Control!$C$114=1,($IZ280/(IF($JI280&lt;&gt;0,$JI280,1)))*$JK280, 0)</f>
        <v>#N/A</v>
      </c>
      <c r="KA280" s="218" t="e">
        <f t="shared" ca="1" si="1145"/>
        <v>#N/A</v>
      </c>
      <c r="KB280" s="218" t="e">
        <f t="shared" ca="1" si="1111"/>
        <v>#N/A</v>
      </c>
      <c r="KC280" s="218" t="e">
        <f t="shared" ca="1" si="1008"/>
        <v>#N/A</v>
      </c>
      <c r="KD280" s="218" t="e">
        <f t="shared" ca="1" si="1009"/>
        <v>#N/A</v>
      </c>
      <c r="KE280" s="218" t="e">
        <f t="shared" ca="1" si="1010"/>
        <v>#N/A</v>
      </c>
      <c r="KF280" s="218" t="e">
        <f t="shared" ca="1" si="1011"/>
        <v>#N/A</v>
      </c>
      <c r="KG280" s="216" t="e">
        <f t="shared" ca="1" si="1012"/>
        <v>#N/A</v>
      </c>
      <c r="KH280" s="221" t="e">
        <f ca="1">IF(Control!$B$24=0,1,MAX(0.001,MIN(1,IF(($IF280-$IE280)&lt;&gt;0,($KG280-$IE280)/($IF280-$IE280),1))))</f>
        <v>#N/A</v>
      </c>
      <c r="KI280" s="222" t="e">
        <f ca="1">IF(Control!$C$114=1, $KI279+ $KH279, 0)</f>
        <v>#N/A</v>
      </c>
      <c r="KJ280" s="217" t="e">
        <f t="shared" ca="1" si="1013"/>
        <v>#N/A</v>
      </c>
      <c r="KK280" s="218" t="e">
        <f t="shared" ca="1" si="1014"/>
        <v>#N/A</v>
      </c>
      <c r="KL280" s="274" t="e">
        <f ca="1">IF(Control!$B$26=3,4000000000*EXP(-8400/($G280+273)),IF(Control!$B$26=4,4000000000*EXP(-8400/($G280+273))*($KT280),0))</f>
        <v>#DIV/0!</v>
      </c>
      <c r="KM280" s="274" t="e">
        <f ca="1">IF(Control!$B$26=3,5600000000000*EXP(-9800/($G280+273)),IF(Control!$B$26=4,5600000000000*EXP(-9800/($G280+273))*$KT280,0))</f>
        <v>#DIV/0!</v>
      </c>
      <c r="KN280" s="454" t="e">
        <f t="shared" ca="1" si="1112"/>
        <v>#DIV/0!</v>
      </c>
      <c r="KO280" s="274" t="e">
        <f t="shared" ca="1" si="1113"/>
        <v>#DIV/0!</v>
      </c>
      <c r="KP280" s="454" t="e">
        <f t="shared" ca="1" si="1015"/>
        <v>#DIV/0!</v>
      </c>
      <c r="KQ280" s="454" t="e">
        <f t="shared" ca="1" si="1016"/>
        <v>#DIV/0!</v>
      </c>
      <c r="KR280" s="454" t="e">
        <f t="shared" ca="1" si="1017"/>
        <v>#DIV/0!</v>
      </c>
      <c r="KS280" s="454" t="e">
        <f t="shared" ca="1" si="1018"/>
        <v>#DIV/0!</v>
      </c>
      <c r="KT280" s="455" t="e">
        <f t="shared" ca="1" si="1019"/>
        <v>#DIV/0!</v>
      </c>
      <c r="KU280" s="456" t="e">
        <f ca="1">IF($CP280-Control!$C$149&lt;0, IF($NT280-0.01&lt;0,0,1),0)</f>
        <v>#N/A</v>
      </c>
      <c r="KV280" s="456" t="e">
        <f ca="1">IF(Control!$C$114=1,MAX(0,MIN(Control!$C$125*$KW280*$GN280,$KW280)))</f>
        <v>#DIV/0!</v>
      </c>
      <c r="KW280" s="456" t="e">
        <f t="shared" ca="1" si="1146"/>
        <v>#DIV/0!</v>
      </c>
      <c r="KX280" s="457" t="e">
        <f ca="1">IF($CP280-Control!$C$149&lt;0, IF($MR280-$OM280&lt;0,0,1),0)</f>
        <v>#N/A</v>
      </c>
      <c r="KY280" s="167">
        <f t="shared" ca="1" si="1114"/>
        <v>276</v>
      </c>
      <c r="KZ280" s="168">
        <f ca="1">1370*(1+0.033*COS(2*Control!$C$138*$AH280/365))</f>
        <v>1371.7511362338905</v>
      </c>
      <c r="LA280" s="169">
        <f t="shared" ca="1" si="1115"/>
        <v>1.0012778352694418</v>
      </c>
      <c r="LB280" s="169">
        <f t="shared" ca="1" si="1116"/>
        <v>-8.9067627023339382E-2</v>
      </c>
      <c r="LC280" s="169">
        <f ca="1">ACOS(-TAN((2*Control!$B$8/360))*TAN(Calculations!$LB280))</f>
        <v>1.5442518101595011</v>
      </c>
      <c r="LD280" s="169">
        <f ca="1">((24*60)/PI())*0.082*$LA280*(($LC280*SIN(Control!$B$8*2*PI()/360))*SIN($LB280)+COS(Control!$B$8*2*PI()/360)*COS($LB280)*SIN($LC280))</f>
        <v>18.996282344534546</v>
      </c>
      <c r="LE280" s="170">
        <f t="shared" ca="1" si="1020"/>
        <v>19.387728271340475</v>
      </c>
      <c r="LF280" s="170">
        <f ca="1">SIN(Control!$C$139*Control!$B$8)*SIN($HD280)</f>
        <v>-6.564230346233027E-2</v>
      </c>
      <c r="LG280" s="170">
        <f ca="1">COS(Control!$C$139*Control!$B$8)*COS($HD280)</f>
        <v>0.61352002812988971</v>
      </c>
      <c r="LH280" s="170">
        <f ca="1">12*(1+2*ASIN(MAX(-1,MIN(1,$LF280/$LG280))/Control!$C$138))</f>
        <v>11.182478070726406</v>
      </c>
      <c r="LI280" s="170">
        <f ca="1">12*(1+2*ASIN(MAX(-1,MIN(1,(-SIN(-4*Control!$C$139)+$LF280)/$LG280))/Control!$C$138))</f>
        <v>12.051230830022988</v>
      </c>
      <c r="LJ280" s="168">
        <f ca="1">3600*($LH280*$LF280+24*$LG280*SQRT(1-$LK280*$LK280)/Control!$C$138)</f>
        <v>14133.560934798285</v>
      </c>
      <c r="LK280" s="170">
        <f t="shared" ca="1" si="1021"/>
        <v>-0.10699292680374077</v>
      </c>
      <c r="LL280" s="170">
        <f t="shared" ca="1" si="1022"/>
        <v>0</v>
      </c>
      <c r="LM280" s="171">
        <f ca="1">Control!$C$145*$AB280</f>
        <v>6.6660906138995932E-2</v>
      </c>
      <c r="LN280" s="170">
        <f t="shared" ca="1" si="1117"/>
        <v>0.54</v>
      </c>
      <c r="LO280" s="170">
        <f t="shared" ca="1" si="1023"/>
        <v>0</v>
      </c>
      <c r="LP280" s="170">
        <f ca="1">Control!$C$140*((($D280+273.16)^4+($E280+273.16)^4)/2)*(0.34-0.14*SQRT($Y280))*(1.35*$AQ280/(0.75*$LD280)-0.35)</f>
        <v>-3.2464704755046001</v>
      </c>
      <c r="LQ280" s="170">
        <f ca="1">Control!$C$140*($G280+273)^4*(0.56-0.079*SQRT($Y280*10))*(0.1+0.9*$LO280)</f>
        <v>1.5241745131704001</v>
      </c>
      <c r="LR280" s="170">
        <f ca="1">$AQ280*(1-Control!$C$142)-$LQ280</f>
        <v>-1.5241745131704001</v>
      </c>
      <c r="LS280" s="170">
        <f ca="1">$AQ280*(1-Control!$C$143)-$LQ280</f>
        <v>-1.5241745131704001</v>
      </c>
      <c r="LT280" s="170">
        <f ca="1">$AQ280*(1-Control!$C$144)-$LQ280</f>
        <v>-1.5241745131704001</v>
      </c>
      <c r="LU280" s="169">
        <f ca="1">(1-Control!$C$144)*AQ280-LP280</f>
        <v>3.2464704755046001</v>
      </c>
      <c r="LV280" s="172">
        <f t="shared" ca="1" si="1024"/>
        <v>0.79430000000000012</v>
      </c>
      <c r="LW280" s="170">
        <f t="shared" ca="1" si="1025"/>
        <v>1.5886000000000002</v>
      </c>
      <c r="LX280" s="170">
        <f ca="1">($AC280*($LR280/Control!$C$141)+$LM280*$LV280)/($AC280+$LM280)</f>
        <v>0.23530094218323697</v>
      </c>
      <c r="LY280" s="170">
        <f ca="1">($AC280*($LS280/Control!$C$141)+$LM280*$LV280)/($AC280+$LM280)</f>
        <v>0.23530094218323697</v>
      </c>
      <c r="LZ280" s="170">
        <f t="shared" ca="1" si="1026"/>
        <v>0.23530094218323697</v>
      </c>
      <c r="MA280" s="170">
        <f t="shared" ca="1" si="1027"/>
        <v>0.23530094218323697</v>
      </c>
      <c r="MB280" s="170" t="e">
        <f t="shared" ca="1" si="1028"/>
        <v>#N/A</v>
      </c>
      <c r="MC280" s="170">
        <f t="shared" ca="1" si="1118"/>
        <v>0.6018</v>
      </c>
      <c r="MD280" s="170">
        <f t="shared" ca="1" si="1029"/>
        <v>0.52989392535414004</v>
      </c>
      <c r="ME280" s="170">
        <f ca="1">($AC280*($LT280/Control!$C$141)+$LM280*$LW280)/($AC280+$LM280)</f>
        <v>0.71612369323045078</v>
      </c>
      <c r="MF280" s="170" t="e">
        <f ca="1">IF(Control!$B$16&gt;=1000,0.92,IF(AND(720&lt;=Control!$B$16,1000&gt;Control!$B$16),(0.95+(Control!$B$16-720)*((0.92-0.95)/(1000-720))),IF(AND(360&lt;=Control!$B$16,720&gt;Control!$B$16),(1+(Control!$B$16-360)*((0.95-1)/(720-360))),IF(AND(40&lt;=Control!$B$16,360&gt;Control!$B$16),(1.05+(Control!$B$16-40)*((1.05-1)/(360-40)))))))</f>
        <v>#N/A</v>
      </c>
      <c r="MG280" s="170">
        <f t="shared" ca="1" si="1030"/>
        <v>0.71612369323045078</v>
      </c>
      <c r="MH280" s="170" t="e">
        <f t="shared" ca="1" si="1155"/>
        <v>#N/A</v>
      </c>
      <c r="MI280" s="170" t="e">
        <f t="shared" ca="1" si="1155"/>
        <v>#N/A</v>
      </c>
      <c r="MJ280" s="170" t="e">
        <f ca="1">MAX(0.0001, Control!$C$132*$MI280*$DL280)</f>
        <v>#N/A</v>
      </c>
      <c r="MK280" s="170">
        <f ca="1">1/(0.76+1.5*($MG280/10))-(5-Control!$C$110)*0.1</f>
        <v>1.002845988140797</v>
      </c>
      <c r="ML280" s="173">
        <f ca="1">IF(Control!$C$110&lt;3,$MK280+($MG280-0.6)/(Control!$C$110*(Control!$C$110+3)), MAX(0.1, MIN(0.95,$MK280)))</f>
        <v>0.95</v>
      </c>
      <c r="MM280" s="173">
        <f ca="1">IF(Control!$C$110&lt;3,$MK280+(($MI280/10)-0.6)/(Control!$C$110*(Control!$C$110+3)), MAX(0.1, MIN(0.95,$MK280)))</f>
        <v>0.95</v>
      </c>
      <c r="MN280" s="173">
        <f ca="1">(1-$MM280)*(Control!$C$128-Control!$C$127)+Control!$C$127</f>
        <v>0.16</v>
      </c>
      <c r="MO280" s="170" t="e">
        <f ca="1">MAX(0,MIN(1,($MS280-Control!$C$127)/($MN280-Control!$C$127)))</f>
        <v>#DIV/0!</v>
      </c>
      <c r="MP280" s="173" t="e">
        <f ca="1">1/(0.76+1.5*$MI280)-(5-Control!$C$110)*0.1</f>
        <v>#N/A</v>
      </c>
      <c r="MQ280" s="172" t="e">
        <f t="shared" ca="1" si="1147"/>
        <v>#DIV/0!</v>
      </c>
      <c r="MR280" s="168" t="e">
        <f t="shared" ca="1" si="1119"/>
        <v>#DIV/0!</v>
      </c>
      <c r="MS280" s="173" t="e">
        <f ca="1">MAX(Control!$C$127, MIN(Control!$C$135, $MR280/MAX(0.0001,$CY280)))</f>
        <v>#DIV/0!</v>
      </c>
      <c r="MT280" s="168" t="e">
        <f ca="1">(Control!$C$128-$MS280)*Control!$C$74</f>
        <v>#DIV/0!</v>
      </c>
      <c r="MU280" s="168" t="e">
        <f ca="1">(Control!$C$135-$MS280)*Control!$C$74</f>
        <v>#DIV/0!</v>
      </c>
      <c r="MV280" s="168" t="e">
        <f t="shared" ca="1" si="1120"/>
        <v>#DIV/0!</v>
      </c>
      <c r="MW280" s="168" t="e">
        <f t="shared" ca="1" si="1121"/>
        <v>#DIV/0!</v>
      </c>
      <c r="MX280" s="171" t="e">
        <f ca="1">MAX(Control!$C$127, MIN(Control!$C$135, $MW280/MAX(0.0001,Control!$C$119-$CY280)))</f>
        <v>#DIV/0!</v>
      </c>
      <c r="MY280" s="54" t="e">
        <f ca="1">IF(Control!$C$114=1, $CX280*$MX280, 0)</f>
        <v>#DIV/0!</v>
      </c>
      <c r="MZ280" s="54" t="e">
        <f t="shared" ca="1" si="1122"/>
        <v>#N/A</v>
      </c>
      <c r="NA280" s="168" t="e">
        <f ca="1">(Control!$C$128-$MX280)*(Control!$C$119-Control!$C$74)</f>
        <v>#DIV/0!</v>
      </c>
      <c r="NB280" s="168" t="e">
        <f ca="1">(Control!$C$135-$MX280)*(Control!$C$119-Control!$C$74)</f>
        <v>#DIV/0!</v>
      </c>
      <c r="NC280" s="174" t="e">
        <f t="shared" ca="1" si="1123"/>
        <v>#DIV/0!</v>
      </c>
      <c r="ND280" s="54">
        <f ca="1">IF(Control!$C$58=2, IF(OR(Control!$B$218=$AH280,Control!$B$219=$AH280, Control!$B$220=$AH280, Control!$B$221=$AH280, Control!$B$222=$AH280, Control!$B$223=$AH280, Control!$B$224=$AH280, Control!$B$225=$AH280, Control!$B$226=$AH280, Control!$B$227=$AH280, Control!$B$228=$AH280), 1, 0), 0)</f>
        <v>0</v>
      </c>
      <c r="NE280" s="54">
        <f ca="1">IF($ND280=0,0, VLOOKUP($AH280,Control!$B$218:$C$228,2))</f>
        <v>0</v>
      </c>
      <c r="NF280" s="168" t="e">
        <f ca="1">$CY280*(Control!$C$128-Control!$C$127)</f>
        <v>#N/A</v>
      </c>
      <c r="NG280" s="54" t="e">
        <f ca="1">IF(Control!$C$58=2, $NI279-$NJ279, 0)</f>
        <v>#DIV/0!</v>
      </c>
      <c r="NH280" s="54" t="e">
        <f ca="1">IF(AND(Control!$C$58=1, $MS279&lt;= ($MN279+0.02), $I279&lt;10), 0, IF(Control!$C$58=2, $NG279, 0))</f>
        <v>#DIV/0!</v>
      </c>
      <c r="NI280" s="54" t="e">
        <f ca="1">IF(Control!$C$58=2, $NE280+$NH280,0)</f>
        <v>#DIV/0!</v>
      </c>
      <c r="NJ280" s="54" t="e">
        <f ca="1">IF(AND(Control!$C$58=1, $MS280&lt;= ($MN280+0.02), $I280&lt;10), MAX(0, MIN(10, 0.7*($NF280-$MV280))), IF(Control!$C$58=2, MIN(10,$NI280),0))</f>
        <v>#DIV/0!</v>
      </c>
      <c r="NK280" s="54" t="e">
        <f t="shared" ca="1" si="1031"/>
        <v>#DIV/0!</v>
      </c>
      <c r="NL280" s="173" t="e">
        <f ca="1">(1-Control!$C$73)*$I280+$NJ280</f>
        <v>#DIV/0!</v>
      </c>
      <c r="NM280" s="172" t="e">
        <f ca="1">IF($NL280&lt;0.5, $MB280* MAX(0, MIN(1, (SQRT($NC280)-SQRT($NC280-1))*Control!$C$71)),0)</f>
        <v>#DIV/0!</v>
      </c>
      <c r="NN280" s="170" t="e">
        <f ca="1">IF($NL280&gt;=5, $MB280, MAX(0,MIN($MB280, $NM280+$NL280,($MS280-Control!$C$129))))</f>
        <v>#DIV/0!</v>
      </c>
      <c r="NO280" s="54">
        <f>IF(Control!$C$133&lt;&gt;1, Control!$C$135-Control!$C$131, 0)</f>
        <v>0.38</v>
      </c>
      <c r="NP280" s="54" t="e">
        <f t="shared" ca="1" si="1032"/>
        <v>#DIV/0!</v>
      </c>
      <c r="NQ280" s="173" t="e">
        <f ca="1">MAX(0,MIN(1,(Control!$C$135-$MS280)/(Control!$C$135-$NO280)))</f>
        <v>#DIV/0!</v>
      </c>
      <c r="NR280" s="170" t="e">
        <f ca="1">IF(Control!$C$133&lt;&gt;1, $NQ280+((1-$NP280/4)*(1-$NQ280)),1)</f>
        <v>#DIV/0!</v>
      </c>
      <c r="NS280" s="170" t="e">
        <f ca="1">IF(Control!$B$31=0,$MJ280,MAX(0,MIN($MV280,$MO280*$NR280*$MJ280)))</f>
        <v>#DIV/0!</v>
      </c>
      <c r="NT280" s="170" t="e">
        <f t="shared" ca="1" si="1148"/>
        <v>#DIV/0!</v>
      </c>
      <c r="NU280" s="170" t="e">
        <f t="shared" ca="1" si="1124"/>
        <v>#N/A</v>
      </c>
      <c r="NV280" s="170" t="e">
        <f t="shared" ca="1" si="1033"/>
        <v>#N/A</v>
      </c>
      <c r="NW280" s="175" t="e">
        <f t="shared" ca="1" si="1034"/>
        <v>#DIV/0!</v>
      </c>
      <c r="NX280" s="170" t="e">
        <f ca="1">MIN(Control!$C$72+$MU280, $NW280)</f>
        <v>#DIV/0!</v>
      </c>
      <c r="NY280" s="170" t="e">
        <f ca="1">IF($MT280&lt;=$NX280,MIN(Control!$C$72+$NB280,$NX280-$MT280),0)</f>
        <v>#DIV/0!</v>
      </c>
      <c r="NZ280" s="54" t="e">
        <f ca="1">IF(Control!$C$114=1,  $CX280*($MX280-Control!$C$127), 0)</f>
        <v>#DIV/0!</v>
      </c>
      <c r="OA280" s="170" t="e">
        <f t="shared" ca="1" si="1035"/>
        <v>#DIV/0!</v>
      </c>
      <c r="OB280" s="170" t="e">
        <f ca="1">IF($NA280 &lt;=$NY280, MIN(Control!$C$72, $NY280-$NA280), 0)</f>
        <v>#DIV/0!</v>
      </c>
      <c r="OC280" s="168" t="e">
        <f t="shared" ca="1" si="1036"/>
        <v>#DIV/0!</v>
      </c>
      <c r="OD280" s="168" t="e">
        <f t="shared" ca="1" si="1125"/>
        <v>#DIV/0!</v>
      </c>
      <c r="OE280" s="170">
        <f ca="1">Control!$C$73*$I280</f>
        <v>0</v>
      </c>
      <c r="OF280" s="176" t="e">
        <f t="shared" ca="1" si="1037"/>
        <v>#DIV/0!</v>
      </c>
      <c r="OG280" s="168" t="e">
        <f t="shared" ca="1" si="1038"/>
        <v>#DIV/0!</v>
      </c>
      <c r="OH280" s="168" t="e">
        <f t="shared" ca="1" si="1039"/>
        <v>#DIV/0!</v>
      </c>
      <c r="OI280" s="168" t="e">
        <f t="shared" ca="1" si="1040"/>
        <v>#DIV/0!</v>
      </c>
      <c r="OJ280" s="168" t="e">
        <f t="shared" ca="1" si="1041"/>
        <v>#DIV/0!</v>
      </c>
      <c r="OK280" s="204" t="e">
        <f t="shared" ca="1" si="1042"/>
        <v>#DIV/0!</v>
      </c>
      <c r="OL280" s="177">
        <f>Control!$C$127</f>
        <v>0.15</v>
      </c>
      <c r="OM280" s="182" t="e">
        <f t="shared" ca="1" si="1043"/>
        <v>#N/A</v>
      </c>
      <c r="ON280" s="177">
        <f>Control!$C$128</f>
        <v>0.35</v>
      </c>
      <c r="OO280" s="182" t="e">
        <f t="shared" ca="1" si="1044"/>
        <v>#N/A</v>
      </c>
      <c r="OP280" s="138">
        <f t="shared" ca="1" si="1126"/>
        <v>0</v>
      </c>
      <c r="OQ280" s="138" t="e">
        <f t="shared" ca="1" si="1149"/>
        <v>#DIV/0!</v>
      </c>
      <c r="OR280" s="138" t="e">
        <f t="shared" ca="1" si="1127"/>
        <v>#DIV/0!</v>
      </c>
      <c r="OS280" s="137" t="e">
        <f t="shared" ca="1" si="1150"/>
        <v>#DIV/0!</v>
      </c>
      <c r="OT280" s="139" t="e">
        <f t="shared" ca="1" si="1151"/>
        <v>#DIV/0!</v>
      </c>
      <c r="OU280" s="138" t="e">
        <f t="shared" ca="1" si="1152"/>
        <v>#N/A</v>
      </c>
      <c r="OV280" s="138" t="e">
        <f t="shared" ca="1" si="1153"/>
        <v>#DIV/0!</v>
      </c>
      <c r="OW280" s="138" t="e">
        <f t="shared" ca="1" si="1128"/>
        <v>#DIV/0!</v>
      </c>
      <c r="OX280" s="138" t="e">
        <f t="shared" ca="1" si="1129"/>
        <v>#DIV/0!</v>
      </c>
      <c r="OY280" s="138" t="e">
        <f t="shared" ca="1" si="1130"/>
        <v>#DIV/0!</v>
      </c>
      <c r="OZ280" s="138" t="e">
        <f t="shared" ca="1" si="1045"/>
        <v>#DIV/0!</v>
      </c>
      <c r="PA280" s="138" t="e">
        <f t="shared" ca="1" si="1046"/>
        <v>#DIV/0!</v>
      </c>
      <c r="PB280" s="55">
        <f>IF(Control!$C$61="T", IF(Control!$C$65="F", IF($AH$6-Control!$C$60&lt;0,0,1), IF(365+$AH$6-Control!$C$60&lt;0,0,1)),0)</f>
        <v>0</v>
      </c>
      <c r="PC280" s="55">
        <f ca="1">IF(Control!$C$65="F", IF($AH$6-$HF280&lt;0,0,1), IF(365+$AH$6-$HF280&lt;0,0,1))</f>
        <v>1</v>
      </c>
      <c r="PD280" s="444">
        <f>Control!$C$118</f>
        <v>1500</v>
      </c>
      <c r="PE280" s="180" t="e">
        <f t="shared" ca="1" si="1047"/>
        <v>#N/A</v>
      </c>
      <c r="PF280" s="445">
        <f t="shared" ca="1" si="1131"/>
        <v>0.71612369323045078</v>
      </c>
      <c r="PT280" s="186"/>
      <c r="PU280" s="186"/>
      <c r="PV280" s="94"/>
      <c r="PW280" s="94"/>
      <c r="PX280" s="94"/>
      <c r="PY280" s="94"/>
      <c r="PZ280" s="94"/>
      <c r="QA280" s="94"/>
      <c r="QB280" s="94"/>
      <c r="QC280" s="94"/>
      <c r="QD280" s="94"/>
      <c r="QE280" s="94"/>
      <c r="QF280" s="94"/>
      <c r="QG280" s="94"/>
      <c r="QH280" s="94"/>
      <c r="QI280" s="94"/>
      <c r="QJ280" s="94"/>
      <c r="QK280" s="94"/>
      <c r="QL280" s="94"/>
      <c r="QM280" s="94"/>
      <c r="QN280" s="94"/>
      <c r="QO280" s="94"/>
      <c r="QP280" s="94"/>
    </row>
    <row r="281" spans="1:458" s="2" customFormat="1" x14ac:dyDescent="0.2">
      <c r="A281" s="395">
        <v>3</v>
      </c>
      <c r="B281" s="396">
        <v>10</v>
      </c>
      <c r="C281" s="387">
        <f ca="1">Weather_data!$B280</f>
        <v>0</v>
      </c>
      <c r="D281" s="388">
        <f ca="1">Weather_data!$F280</f>
        <v>0</v>
      </c>
      <c r="E281" s="388">
        <f ca="1">Weather_data!$E280</f>
        <v>0</v>
      </c>
      <c r="F281" s="388">
        <f t="shared" ca="1" si="1048"/>
        <v>0</v>
      </c>
      <c r="G281" s="388">
        <f ca="1">AVERAGE($D281:$E281)+Control!$B$9</f>
        <v>0</v>
      </c>
      <c r="H281" s="388">
        <f ca="1">Weather_data!$G280</f>
        <v>0</v>
      </c>
      <c r="I281" s="388">
        <f ca="1">Weather_data!$I280</f>
        <v>0</v>
      </c>
      <c r="J281" s="388">
        <f ca="1">Weather_data!$H280</f>
        <v>0</v>
      </c>
      <c r="K281" s="389">
        <f ca="1">Weather_data!$D280</f>
        <v>0</v>
      </c>
      <c r="L281" s="388" t="e">
        <f t="shared" ca="1" si="1049"/>
        <v>#N/A</v>
      </c>
      <c r="M281" s="388" t="e">
        <f t="shared" ca="1" si="927"/>
        <v>#N/A</v>
      </c>
      <c r="N281" s="388">
        <f t="shared" ca="1" si="928"/>
        <v>-1.3051490156071795E-13</v>
      </c>
      <c r="O281" s="388">
        <f t="shared" ca="1" si="1050"/>
        <v>1.3051490156071796E-12</v>
      </c>
      <c r="P281" s="390">
        <v>3</v>
      </c>
      <c r="Q281" s="388">
        <f ca="1">MAX($G281-Control!$C$107,0)</f>
        <v>0</v>
      </c>
      <c r="R281" s="388">
        <f t="shared" ca="1" si="1051"/>
        <v>0</v>
      </c>
      <c r="S281" s="388">
        <f t="shared" ca="1" si="929"/>
        <v>0</v>
      </c>
      <c r="T281" s="388">
        <f t="shared" ca="1" si="930"/>
        <v>0</v>
      </c>
      <c r="U281" s="59">
        <f t="shared" ca="1" si="931"/>
        <v>0</v>
      </c>
      <c r="V281" s="391">
        <f ca="1">MAX(0,MIN(Control!$C$100-Control!$C$99,$G281-Control!$C$99)*Control!$C$63)</f>
        <v>0</v>
      </c>
      <c r="W281" s="388">
        <f t="shared" ca="1" si="1052"/>
        <v>0</v>
      </c>
      <c r="X281" s="388">
        <f t="shared" ca="1" si="1053"/>
        <v>0.6110000000000001</v>
      </c>
      <c r="Y281" s="388">
        <f t="shared" ca="1" si="932"/>
        <v>0</v>
      </c>
      <c r="Z281" s="388">
        <f t="shared" ca="1" si="1054"/>
        <v>0.61058800000000002</v>
      </c>
      <c r="AA281" s="388">
        <f t="shared" ca="1" si="933"/>
        <v>0.6018</v>
      </c>
      <c r="AB281" s="388">
        <f ca="1">101.3*EXP(-0.034*Control!$C$66/($G281+273))</f>
        <v>100.69623283836242</v>
      </c>
      <c r="AC281" s="392">
        <f t="shared" ca="1" si="934"/>
        <v>4.3460251046025113E-2</v>
      </c>
      <c r="AD281" s="392">
        <f t="shared" ca="1" si="935"/>
        <v>4.4450382862832649E-2</v>
      </c>
      <c r="AE281" s="388">
        <f t="shared" ca="1" si="936"/>
        <v>0</v>
      </c>
      <c r="AF281" s="388">
        <f ca="1">MAX(0,$G281-Control!$C$92)</f>
        <v>0</v>
      </c>
      <c r="AG281" s="393">
        <f t="shared" ca="1" si="937"/>
        <v>277</v>
      </c>
      <c r="AH281" s="389">
        <f t="shared" ca="1" si="938"/>
        <v>277</v>
      </c>
      <c r="AI281" s="388">
        <f t="shared" ca="1" si="1055"/>
        <v>-9.0108997002277494E-2</v>
      </c>
      <c r="AJ281" s="388">
        <f ca="1">IF(Control!$C$60&lt;=0,$HH281,$HI281)</f>
        <v>1</v>
      </c>
      <c r="AK281" s="388">
        <f t="shared" ca="1" si="939"/>
        <v>3.3911986452448724</v>
      </c>
      <c r="AL281" s="388">
        <f t="shared" ca="1" si="940"/>
        <v>-3.787218802453473E-18</v>
      </c>
      <c r="AM281" s="388">
        <f t="shared" ca="1" si="941"/>
        <v>3.3911986452448724</v>
      </c>
      <c r="AN281" s="388">
        <f t="shared" ca="1" si="942"/>
        <v>-9.8424257893857434E-2</v>
      </c>
      <c r="AO281" s="388">
        <f ca="1">-0.10453/COS(Control!$B$8*PI()/180)*COS(AN281)</f>
        <v>-0.16896314651629468</v>
      </c>
      <c r="AP281" s="388">
        <f ca="1">ACOS(AO281-TAN(Control!$B$8*PI()/180)*TAN(AN281))</f>
        <v>1.6133866656040117</v>
      </c>
      <c r="AQ281" s="388">
        <f t="shared" ca="1" si="1056"/>
        <v>0</v>
      </c>
      <c r="AR281" s="394">
        <f t="shared" ca="1" si="943"/>
        <v>0</v>
      </c>
      <c r="AS281" s="436">
        <f ca="1">IF(Control!$B$18=2,(IF(OR($AH281=Control!$B$175,$AH281=Control!$B$176,$AH281=Control!$B$177,$AH281=Control!$B$178,$AH281=Control!$B$179,$AH281=Control!$B$180,$AH281=Control!$B$181,$AH281=Control!$B$182,$AH281=Control!$B$183,$AH281=Control!$B$184,$AH281=Control!$B$185),1,0)),0)</f>
        <v>0</v>
      </c>
      <c r="AT281" s="436">
        <f>IF(Control!$B$20=8,IF(AND($AH281&gt;=Control!$B$172,$AH281&lt;=Control!$B$173),1,0),0)</f>
        <v>0</v>
      </c>
      <c r="AU281" s="436">
        <f>IF(Control!$B$20=8,IF($AV280=1,1*$AT281,IF($AT281=1,$AU280+1,$AU280)),0)</f>
        <v>0</v>
      </c>
      <c r="AV281" s="436">
        <f>IF(Control!$B$20=8,IF($AU281&gt;=Control!$B$174,1,0),0)</f>
        <v>0</v>
      </c>
      <c r="AW281" s="436">
        <f ca="1">IF(AND(Control!$B$18=2,Control!$B$171=1), $AV281, $AS281)</f>
        <v>0</v>
      </c>
      <c r="AX281" s="436" t="e">
        <f ca="1">IF(AND(Control!$B$18=1,$EU281&gt;=Control!$B$19),-$AY281,IF(AND(Control!$B$18=2,$AW281=1,$EU281&gt;$DS281),-$AY281, IF(Control!$C$108=0,0, IF(Control!$C$108&lt;&gt;0,1))))</f>
        <v>#N/A</v>
      </c>
      <c r="AY281" s="436" t="e">
        <f t="shared" ca="1" si="1057"/>
        <v>#N/A</v>
      </c>
      <c r="AZ281" s="436" t="e">
        <f ca="1">IF(AND(Control!$B$18=1,$EB281&gt;Control!$B$19),$AZ280+1, IF(AND(Control!$B$18=2, $AW281=1, $EB281&gt;$DS281), $AZ280+1,$AZ280))</f>
        <v>#N/A</v>
      </c>
      <c r="BA281" s="587">
        <f>IF(Control!$C$81=0,1,IF($AH281&gt;=Control!$C$82,1,0))</f>
        <v>1</v>
      </c>
      <c r="BB281" s="140" t="e">
        <f ca="1">IF($BA281&gt;$BA280,Control!$C$83,IF($AW281&gt;0,$AW281*Control!$C$84,IF(AND(Control!$B$18=1,EN280&lt;&gt;0),Control!$C$84,0)))</f>
        <v>#N/A</v>
      </c>
      <c r="BC281" s="140" t="e">
        <f t="shared" ca="1" si="1058"/>
        <v>#N/A</v>
      </c>
      <c r="BD281" s="140" t="e">
        <f ca="1">BC281*IF(OR($G281&lt;Control!$C$92,$G281&gt;Control!$C$95),0,IF(AND($G281&gt;=Control!$C$92,$G281&lt;=Control!$C$93),$G281-Control!$C$92,IF(AND($G281&gt;Control!$C$93,$G281&lt;=Control!$C$94),Control!$C$93-Control!$C$92,IF(AND($G281&gt;Control!$C$94,$G281&lt;=Control!$C$95),(Control!$C$93-Control!$C$92)*(Control!$C$94-$G281)/(Control!$C$95-Control!$C$94)))))</f>
        <v>#N/A</v>
      </c>
      <c r="BE281" s="140" t="e">
        <f t="shared" ca="1" si="1059"/>
        <v>#N/A</v>
      </c>
      <c r="BF281" s="140" t="e">
        <f ca="1">IF($BE281&lt;=Control!$C$86,$BE281,Control!$C$86-$BE281)</f>
        <v>#N/A</v>
      </c>
      <c r="BG281" s="140" t="e">
        <f ca="1">IF(AND($AW281=1,Control!$C$84&lt;9),1,IF($BE281&gt;=Control!$C$86,0,$BC281))</f>
        <v>#N/A</v>
      </c>
      <c r="BH281" s="404" t="e">
        <f ca="1">IF($BG281=0,0,IF($BE281&lt;=Control!$C$86,$BC281*9*($BF281/Control!$C$86),0))</f>
        <v>#N/A</v>
      </c>
      <c r="BI281" s="140" t="e">
        <f ca="1">IF($BG281=1,0,IF($BE281&gt;=Control!$C$86,1,IF(AND($BB281&lt;21,$BB281&gt;=9),1,$BM280)))</f>
        <v>#N/A</v>
      </c>
      <c r="BJ281" s="140" t="e">
        <f ca="1">IF($BF281&lt;0,-$BF281,$BI281*IF(OR($G281&lt;Control!$C$92,$G281&gt;Control!$C$95),0,IF(AND($G281&gt;=Control!$C$92,$G281&lt;=Control!$C$93),$G281-Control!$C$92,IF(AND($G281&gt;Control!$C$93,$G281&lt;=Control!$C$94),Control!$C$93-Control!$C$92,IF(AND($G281&gt;Control!$C$94,$G281&lt;=Control!$C$95),(Control!$C$93-Control!$C$92)*(Control!$C$94-$G281)/(Control!$C$95-Control!$C$94))))))</f>
        <v>#N/A</v>
      </c>
      <c r="BK281" s="140" t="e">
        <f t="shared" ca="1" si="1060"/>
        <v>#N/A</v>
      </c>
      <c r="BL281" s="140" t="e">
        <f ca="1">IF($BK281&lt;=Control!$C$87,$BK281,Control!$C$87-$BK281)</f>
        <v>#N/A</v>
      </c>
      <c r="BM281" s="140" t="e">
        <f ca="1">IF(AND($BB281&gt;=9,$BB281&lt;21),1,IF($BK281&gt;=Control!$C$87,0,$BI281))</f>
        <v>#N/A</v>
      </c>
      <c r="BN281" s="404" t="e">
        <f ca="1">IF($BM281=0,0,IF($BK281&lt;=Control!$C$87,$BI281*(9+(21-9)*($BL281/Control!$C$87)),0))</f>
        <v>#N/A</v>
      </c>
      <c r="BO281" s="140" t="e">
        <f ca="1">IF($BM281=1,0,IF($BK281&gt;=Control!$C$87,1,IF(AND($BB281&lt;30,$BB281&gt;=21),1,$BS280)))</f>
        <v>#N/A</v>
      </c>
      <c r="BP281" s="140" t="e">
        <f ca="1">IF($BL281&lt;0,-$BL281,$BO281*IF(OR($G281&lt;Control!$C$92,$G281&gt;Control!$C$95),0,IF(AND($G281&gt;=Control!$C$92,$G281&lt;=Control!$C$93),$G281-Control!$C$92,IF(AND($G281&gt;Control!$C$93,$G281&lt;=Control!$C$94),Control!$C$93-Control!$C$92,IF(AND($G281&gt;Control!$C$94,$G281&lt;=Control!$C$95),(Control!$C$93-Control!$C$92)*(Control!$C$94-$G281)/(Control!$C$95-Control!$C$94))))))</f>
        <v>#N/A</v>
      </c>
      <c r="BQ281" s="140" t="e">
        <f t="shared" ca="1" si="944"/>
        <v>#N/A</v>
      </c>
      <c r="BR281" s="140" t="e">
        <f ca="1">IF($BQ281&lt;=Control!$C$88,$BQ281,Control!$C$88-$BQ281)</f>
        <v>#N/A</v>
      </c>
      <c r="BS281" s="140" t="e">
        <f ca="1">IF(AND($BB281&gt;=21,$BB281&lt;30),1,IF($BQ281&gt;=Control!$C$88,0,$BO281))</f>
        <v>#N/A</v>
      </c>
      <c r="BT281" s="404" t="e">
        <f ca="1">IF($BS281=0,0,IF($BQ281&lt;=Control!$C$88,$BO281*(21+(30-21)*(BR281/Control!$C$88)),0))</f>
        <v>#N/A</v>
      </c>
      <c r="BU281" s="140" t="e">
        <f ca="1">IF(BG281+BM281+BS281=1,0,IF(OR(AND($BB281&lt;60,$BB281&gt;=30),$BQ281&gt;=Control!$C$88),1*$BA281,$BY280))</f>
        <v>#N/A</v>
      </c>
      <c r="BV281" s="140" t="e">
        <f ca="1">IF($BR281&lt;0,-$BR281,$BU281*IF(OR($G281&lt;Control!$C$92,$G281&gt;Control!$C$95),0,IF(AND($G281&gt;=Control!$C$92,$G281&lt;=Control!$C$93),$G281-Control!$C$92,IF(AND($G281&gt;Control!$C$93,$G281&lt;=Control!$C$94),Control!$C$93-Control!$C$92,IF(AND($G281&gt;Control!$C$94,$G281&lt;=Control!$C$95),(Control!$C$93-Control!$C$92)*(Control!$C$94-$G281)/(Control!$C$95-Control!$C$94))))))</f>
        <v>#N/A</v>
      </c>
      <c r="BW281" s="140" t="e">
        <f t="shared" ca="1" si="945"/>
        <v>#N/A</v>
      </c>
      <c r="BX281" s="140" t="e">
        <f ca="1">IF($BW281&lt;=Control!$C$89,$BW281,Control!$C$89-$BW281)</f>
        <v>#N/A</v>
      </c>
      <c r="BY281" s="140" t="e">
        <f ca="1">IF(AND($AJ281&gt;=30,$AJ281&lt;60),1,IF($BW281&gt;=Control!$C$89,0,$BU281))</f>
        <v>#N/A</v>
      </c>
      <c r="BZ281" s="404" t="e">
        <f ca="1">IF($BY281=0,0,IF($BW281&lt;=Control!$C$89,$BU281*(30+(60-30)*(BX281/Control!$C$89)),0))</f>
        <v>#N/A</v>
      </c>
      <c r="CA281" s="140" t="e">
        <f ca="1">IF($BG281+$BM281+$BS281+$BY281=1,0,IF(OR(AND($BB281&lt;65,$BB281&gt;=60),$BW281&gt;=Control!$C$89),1*$BA281,$CE280))</f>
        <v>#N/A</v>
      </c>
      <c r="CB281" s="140" t="e">
        <f ca="1">IF($BX281&lt;0,-$BX281,$CA281*IF(OR($G281&lt;Control!$C$92,$G281&gt;Control!$C$95),0,IF(AND($G281&gt;=Control!$C$92,$G281&lt;=Control!$C$93),$G281-Control!$C$92,IF(AND($G281&gt;Control!$C$93,$G281&lt;=Control!$C$94),Control!$C$93-Control!$C$92,IF(AND($G281&gt;Control!$C$94,$G281&lt;=Control!$C$95),(Control!$C$93-Control!$C$92)*(Control!$C$94-$G281)/(Control!$C$95-Control!$C$94))))))</f>
        <v>#N/A</v>
      </c>
      <c r="CC281" s="140" t="e">
        <f t="shared" ca="1" si="1061"/>
        <v>#N/A</v>
      </c>
      <c r="CD281" s="140" t="e">
        <f ca="1">IF($CC281&lt;=Control!$C$90,$CC281,Control!$C$90-$CC281)</f>
        <v>#N/A</v>
      </c>
      <c r="CE281" s="140" t="e">
        <f ca="1">IF(AND($BB281&gt;=60,$BB281&lt;65),1,IF($CC281&gt;=Control!$C$90,0,$CA281))</f>
        <v>#N/A</v>
      </c>
      <c r="CF281" s="404" t="e">
        <f ca="1">IF($CE281=0,0,IF($CC281&lt;=Control!$C$90,$CA281*(60+(65-60)*(CD281/Control!$C$90)),0))</f>
        <v>#N/A</v>
      </c>
      <c r="CG281" s="140" t="e">
        <f ca="1">IF($BG281+$BM281+$BS281+$BY281+$CE281=1,0,IF(OR(AND($BB281&lt;90,$BB281&gt;=65),$CC281&gt;=Control!$C$90),$BA281,$CK280))</f>
        <v>#N/A</v>
      </c>
      <c r="CH281" s="140" t="e">
        <f ca="1">IF($CD281&lt;0,-$CD281,$CG281*IF(OR($G281&lt;Control!$C$92,$G281&gt;Control!$C$95),0,IF(AND($G281&gt;=Control!$C$92,$G281&lt;=Control!$C$93),$G281-Control!$C$92,IF(AND($G281&gt;Control!$C$93,$G281&lt;=Control!$C$94),Control!$C$93-Control!$C$92,IF(AND($G281&gt;Control!$C$94,$G281&lt;=Control!$C$95),(Control!$C$93-Control!$C$92)*(Control!$C$94-$G281)/(Control!$C$95-Control!$C$94))))))</f>
        <v>#N/A</v>
      </c>
      <c r="CI281" s="140" t="e">
        <f t="shared" ca="1" si="1062"/>
        <v>#N/A</v>
      </c>
      <c r="CJ281" s="140" t="e">
        <f ca="1">IF($CI281&lt;=Control!$C$91,$CI281,Control!$C$91-$CI281)</f>
        <v>#N/A</v>
      </c>
      <c r="CK281" s="140" t="e">
        <f ca="1">IF(AND($BB281&gt;=65,$BB281&lt;90),1,IF($CI281&gt;=Control!$C$91,0,$CG281))</f>
        <v>#N/A</v>
      </c>
      <c r="CL281" s="404" t="e">
        <f ca="1">IF($CK281=0,0,IF($CI281&lt;=Control!$C$91,$CG281*(65+(90-65)*($CJ281/Control!$C$91)),0))</f>
        <v>#N/A</v>
      </c>
      <c r="CM281" s="140" t="e">
        <f ca="1">IF($BG281+$BM281+$BS281+$BY281+$CE281+$CK281=1,0,IF(OR($BB281&gt;=90,$CI281&gt;=Control!$C$91),$BA281,$CM280))</f>
        <v>#N/A</v>
      </c>
      <c r="CN281" s="140" t="e">
        <f t="shared" ca="1" si="1063"/>
        <v>#N/A</v>
      </c>
      <c r="CO281" s="140" t="e">
        <f t="shared" ca="1" si="1064"/>
        <v>#N/A</v>
      </c>
      <c r="CP281" s="140" t="e">
        <f t="shared" ca="1" si="1065"/>
        <v>#N/A</v>
      </c>
      <c r="CQ281" s="141" t="e">
        <f ca="1">VLOOKUP($CP281,Control!$B$86:$G$91,6)</f>
        <v>#N/A</v>
      </c>
      <c r="CR281" s="141" t="e">
        <f ca="1">(1-$CQ281)*VLOOKUP($CP281,Control!$B$86:$D$91,3)</f>
        <v>#N/A</v>
      </c>
      <c r="CS281" s="141" t="e">
        <f ca="1">(1-$CQ281)*VLOOKUP($CP281,Control!$B$86:$E$91,4)</f>
        <v>#N/A</v>
      </c>
      <c r="CT281" s="141" t="e">
        <f ca="1">(1-$CQ281)*VLOOKUP($CP281,Control!$B$86:$F$91,5)</f>
        <v>#N/A</v>
      </c>
      <c r="CU281" s="141">
        <f t="shared" ca="1" si="1066"/>
        <v>0</v>
      </c>
      <c r="CV281" s="583">
        <f t="shared" ca="1" si="1067"/>
        <v>0</v>
      </c>
      <c r="CW281" s="142">
        <f t="shared" ca="1" si="1068"/>
        <v>277</v>
      </c>
      <c r="CX281" s="612" t="e">
        <f ca="1">IF(Control!$C$114=1,(MIN(Control!$C$120*(IF($NT281-0.01&lt;0,0,1)),Control!$C$119-$CY281)))</f>
        <v>#DIV/0!</v>
      </c>
      <c r="CY281" s="143" t="e">
        <f t="shared" ca="1" si="1069"/>
        <v>#N/A</v>
      </c>
      <c r="CZ281" s="144">
        <f t="shared" ca="1" si="946"/>
        <v>0</v>
      </c>
      <c r="DA281" s="144">
        <f t="shared" ca="1" si="947"/>
        <v>0</v>
      </c>
      <c r="DB281" s="144" t="e">
        <f t="shared" ca="1" si="948"/>
        <v>#N/A</v>
      </c>
      <c r="DC281" s="144" t="e">
        <f t="shared" ca="1" si="949"/>
        <v>#N/A</v>
      </c>
      <c r="DD281" s="144" t="e">
        <f t="shared" ca="1" si="1154"/>
        <v>#N/A</v>
      </c>
      <c r="DE281" s="143" t="e">
        <f t="shared" ca="1" si="1070"/>
        <v>#N/A</v>
      </c>
      <c r="DF281" s="145" t="e">
        <f ca="1">$DR281*EXP(-Control!$C$158*(1-$KH281))</f>
        <v>#N/A</v>
      </c>
      <c r="DG281" s="146" t="e">
        <f ca="1">IF(Control!$C$114=1, $DF281*$EY281, 0)</f>
        <v>#N/A</v>
      </c>
      <c r="DH281" s="147" t="e">
        <f t="shared" ca="1" si="1071"/>
        <v>#N/A</v>
      </c>
      <c r="DI281" s="144" t="e">
        <f t="shared" ca="1" si="1132"/>
        <v>#N/A</v>
      </c>
      <c r="DJ281" s="147" t="e">
        <f ca="1">$EF281*Control!$C$109</f>
        <v>#N/A</v>
      </c>
      <c r="DK281" s="144" t="e">
        <f t="shared" ca="1" si="1072"/>
        <v>#N/A</v>
      </c>
      <c r="DL281" s="144" t="e">
        <f t="shared" ca="1" si="950"/>
        <v>#N/A</v>
      </c>
      <c r="DM281" s="144" t="e">
        <f ca="1">IF(Control!$C$114=1, (1-EXP(-Control!$C$96*$DK281))*$AR281, 0)</f>
        <v>#N/A</v>
      </c>
      <c r="DN281" s="144">
        <f t="shared" ca="1" si="1073"/>
        <v>0</v>
      </c>
      <c r="DO281" s="148">
        <f>Control!$C$97</f>
        <v>4</v>
      </c>
      <c r="DP281" s="145" t="e">
        <f t="shared" ca="1" si="1074"/>
        <v>#N/A</v>
      </c>
      <c r="DQ281" s="145" t="e">
        <f ca="1">IF(AND($CP281&gt;=0,$CP281&lt;=90),Control!$C$111,Control!$C$111)</f>
        <v>#N/A</v>
      </c>
      <c r="DR281" s="145" t="e">
        <f t="shared" ca="1" si="951"/>
        <v>#N/A</v>
      </c>
      <c r="DS281" s="143" t="e">
        <f ca="1">Control!$B$22/$DR281</f>
        <v>#N/A</v>
      </c>
      <c r="DT281" s="149" t="e">
        <f ca="1">IF(AND(Control!$C$114=1,$KH281&lt;1),$IM281*$DF281, 0)</f>
        <v>#N/A</v>
      </c>
      <c r="DU281" s="144" t="e">
        <f t="shared" ca="1" si="1075"/>
        <v>#N/A</v>
      </c>
      <c r="DV281" s="144">
        <f ca="1">IF($G281-Control!$C$107&lt;=0, 0, 0.83*LN(MAX($G281, 3))-0.8924)</f>
        <v>0</v>
      </c>
      <c r="DW281" s="144" t="e">
        <f t="shared" ca="1" si="952"/>
        <v>#N/A</v>
      </c>
      <c r="DX281" s="150" t="e">
        <f ca="1">MAX(0.01*(1+$CU281/Control!$C$102),0.05*($DK281-Control!$C$97)/Control!$C$97)</f>
        <v>#N/A</v>
      </c>
      <c r="DY281" s="151" t="e">
        <f ca="1">IF(Control!$C$114=1, $DI281*$FS281, 0)</f>
        <v>#N/A</v>
      </c>
      <c r="DZ281" s="196" t="e">
        <f t="shared" ca="1" si="1076"/>
        <v>#N/A</v>
      </c>
      <c r="EA281" s="152">
        <f t="shared" ca="1" si="1077"/>
        <v>277</v>
      </c>
      <c r="EB281" s="153" t="e">
        <f t="shared" ca="1" si="1078"/>
        <v>#N/A</v>
      </c>
      <c r="EC281" s="153" t="e">
        <f t="shared" ca="1" si="1079"/>
        <v>#N/A</v>
      </c>
      <c r="ED281" s="154" t="e">
        <f ca="1">IF(Control!$C$114=1, $HM281*$FY281-$FD281, 0)</f>
        <v>#DIV/0!</v>
      </c>
      <c r="EE281" s="155" t="e">
        <f ca="1">IF(Control!$C$114=1, $HM281*$FZ281-$FF281, 0)</f>
        <v>#DIV/0!</v>
      </c>
      <c r="EF281" s="153" t="e">
        <f t="shared" ca="1" si="1133"/>
        <v>#N/A</v>
      </c>
      <c r="EG281" s="155" t="e">
        <f ca="1">IF(Control!$C$114=1, $GX281*$FW281-$FI281, 0)</f>
        <v>#DIV/0!</v>
      </c>
      <c r="EH281" s="153" t="e">
        <f t="shared" ca="1" si="1080"/>
        <v>#N/A</v>
      </c>
      <c r="EI281" s="156" t="e">
        <f t="shared" ca="1" si="1081"/>
        <v>#N/A</v>
      </c>
      <c r="EJ281" s="155" t="e">
        <f ca="1">IF(Control!$C$114=1, $HM281*$GB281, 0)</f>
        <v>#DIV/0!</v>
      </c>
      <c r="EK281" s="153" t="e">
        <f t="shared" ca="1" si="1134"/>
        <v>#N/A</v>
      </c>
      <c r="EL281" s="153" t="e">
        <f t="shared" ca="1" si="953"/>
        <v>#N/A</v>
      </c>
      <c r="EM281" s="153" t="e">
        <f t="shared" ca="1" si="954"/>
        <v>#N/A</v>
      </c>
      <c r="EN281" s="153" t="e">
        <f ca="1">IF(Control!$C$108=1,IF(AND(Control!$B$18=1,$EB281&gt;=Control!$B$19),$EB281-$DS281,IF(AND(Control!$B$18=2,$AW281=1,$EB281&gt;$DS281),$EB281-$DS281,0)))</f>
        <v>#N/A</v>
      </c>
      <c r="EO281" s="153" t="e">
        <f ca="1">IF(Control!$C$108=1,IF(AND(Control!$B$18=1,$EB281&gt;=Control!$B$19),$EF281,IF(AND(Control!$B$18=2,$AW281=1),$EF281,0)))</f>
        <v>#N/A</v>
      </c>
      <c r="EP281" s="153" t="e">
        <f ca="1">IF(Control!$C$108=1,IF(AND(Control!$B$18=1,$EB281&gt;=Control!$B$19),$EK281,IF(AND(Control!$B$18=2,$AW281=1),$EK281,0)))</f>
        <v>#N/A</v>
      </c>
      <c r="EQ281" s="153" t="e">
        <f t="shared" ca="1" si="1082"/>
        <v>#N/A</v>
      </c>
      <c r="ER281" s="153" t="e">
        <f t="shared" ca="1" si="1083"/>
        <v>#N/A</v>
      </c>
      <c r="ES281" s="153" t="e">
        <f t="shared" ca="1" si="1135"/>
        <v>#N/A</v>
      </c>
      <c r="ET281" s="153" t="e">
        <f t="shared" ca="1" si="1136"/>
        <v>#N/A</v>
      </c>
      <c r="EU281" s="153" t="e">
        <f t="shared" ca="1" si="1084"/>
        <v>#N/A</v>
      </c>
      <c r="EV281" s="153" t="e">
        <f t="shared" ca="1" si="955"/>
        <v>#N/A</v>
      </c>
      <c r="EW281" s="153" t="e">
        <f t="shared" ca="1" si="956"/>
        <v>#N/A</v>
      </c>
      <c r="EX281" s="153" t="e">
        <f t="shared" ca="1" si="957"/>
        <v>#N/A</v>
      </c>
      <c r="EY281" s="157" t="e">
        <f t="shared" ca="1" si="958"/>
        <v>#DIV/0!</v>
      </c>
      <c r="EZ281" s="154" t="e">
        <f t="shared" ca="1" si="959"/>
        <v>#DIV/0!</v>
      </c>
      <c r="FA281" s="153" t="e">
        <f t="shared" ca="1" si="1085"/>
        <v>#N/A</v>
      </c>
      <c r="FB281" s="153" t="e">
        <f t="shared" ca="1" si="960"/>
        <v>#N/A</v>
      </c>
      <c r="FC281" s="193" t="e">
        <f t="shared" ca="1" si="961"/>
        <v>#N/A</v>
      </c>
      <c r="FD281" s="158" t="e">
        <f t="shared" ca="1" si="1086"/>
        <v>#N/A</v>
      </c>
      <c r="FE281" s="158" t="e">
        <f t="shared" ca="1" si="1087"/>
        <v>#N/A</v>
      </c>
      <c r="FF281" s="159" t="e">
        <f t="shared" ca="1" si="962"/>
        <v>#N/A</v>
      </c>
      <c r="FG281" s="160" t="e">
        <f t="shared" ca="1" si="1088"/>
        <v>#N/A</v>
      </c>
      <c r="FH281" s="158" t="e">
        <f t="shared" ca="1" si="1089"/>
        <v>#N/A</v>
      </c>
      <c r="FI281" s="159" t="e">
        <f t="shared" ca="1" si="963"/>
        <v>#N/A</v>
      </c>
      <c r="FJ281" s="160" t="e">
        <f t="shared" ca="1" si="1090"/>
        <v>#N/A</v>
      </c>
      <c r="FK281" s="160" t="e">
        <f t="shared" ca="1" si="964"/>
        <v>#N/A</v>
      </c>
      <c r="FL281" s="160" t="e">
        <f t="shared" ca="1" si="1137"/>
        <v>#N/A</v>
      </c>
      <c r="FM281" s="160" t="e">
        <f t="shared" ca="1" si="965"/>
        <v>#N/A</v>
      </c>
      <c r="FN281" s="158">
        <f t="shared" ca="1" si="1091"/>
        <v>0.01</v>
      </c>
      <c r="FO281" s="160">
        <f>Control!$C$101</f>
        <v>50</v>
      </c>
      <c r="FP281" s="150" t="e">
        <f t="shared" ca="1" si="966"/>
        <v>#N/A</v>
      </c>
      <c r="FQ281" s="150" t="e">
        <f ca="1">MAX(0,(Control!$C$112*(($DK281-Control!$C$97)/Control!$C$97)))</f>
        <v>#N/A</v>
      </c>
      <c r="FR281" s="150" t="e">
        <f ca="1">(1-$NT281)*Control!$C$113</f>
        <v>#DIV/0!</v>
      </c>
      <c r="FS281" s="198" t="e">
        <f t="shared" ca="1" si="967"/>
        <v>#N/A</v>
      </c>
      <c r="FT281" s="161">
        <f t="shared" ca="1" si="1092"/>
        <v>277</v>
      </c>
      <c r="FU281" s="162" t="e">
        <f ca="1">IF(Control!$B$34=1,VLOOKUP($CP281,Control!$B$86:$G$91,6),Control!$B$35)</f>
        <v>#N/A</v>
      </c>
      <c r="FV281" s="162" t="e">
        <f t="shared" ca="1" si="968"/>
        <v>#DIV/0!</v>
      </c>
      <c r="FW281" s="162" t="e">
        <f ca="1">IF(Control!$B$31=1,$FU281*$FV281,  $FU281)</f>
        <v>#N/A</v>
      </c>
      <c r="FX281" s="162" t="e">
        <f ca="1">IF(Control!$B$34=1,VLOOKUP($CP281,Control!$B$86:$G$91,3),Control!$B$36)</f>
        <v>#N/A</v>
      </c>
      <c r="FY281" s="162" t="e">
        <f t="shared" ca="1" si="969"/>
        <v>#N/A</v>
      </c>
      <c r="FZ281" s="162" t="e">
        <f ca="1">IF(Control!$B$34=1,VLOOKUP($CP281,Control!$B$86:$G$91,4),Control!$B$37)</f>
        <v>#N/A</v>
      </c>
      <c r="GA281" s="162" t="e">
        <f t="shared" ca="1" si="970"/>
        <v>#N/A</v>
      </c>
      <c r="GB281" s="162" t="e">
        <f ca="1">IF(Control!$B$34=1,VLOOKUP($CP281,Control!$B$86:$G$91,5),Control!$B$38)</f>
        <v>#N/A</v>
      </c>
      <c r="GC281" s="162" t="e">
        <f t="shared" ca="1" si="1093"/>
        <v>#N/A</v>
      </c>
      <c r="GD281" s="162">
        <f t="shared" ca="1" si="971"/>
        <v>1</v>
      </c>
      <c r="GE281" s="162">
        <f t="shared" ca="1" si="972"/>
        <v>1</v>
      </c>
      <c r="GF281" s="162">
        <f ca="1">IF(AND(Control!$C$104=1, Control!$C$62="F"),$GE281,1)</f>
        <v>1</v>
      </c>
      <c r="GG281" s="162" t="e">
        <f ca="1">IF(Control!$B$16=40,0,IF(AND(Control!$B$16&gt;40,Control!$B$16&lt;=360),(Control!$B$16-40)*((1-0)/(360-40)),IF(AND(Control!$B$16&gt;360,Control!$B$16&lt;=720),(1+(Control!$B$16-360)*((1.25-1)/(720-360))),IF(AND(Control!$B$16&gt;720,Control!$B$16&lt;=1000),(1.25+(Control!$B$16-720)*((1.35-1.25)/(1000-720))),IF(AND(Control!$B$16&gt;1000,Control!$B$16&lt;=2000),(1.35+(Control!$B$16-1000)*0))))))</f>
        <v>#N/A</v>
      </c>
      <c r="GH281" s="162" t="e">
        <f t="shared" ca="1" si="973"/>
        <v>#N/A</v>
      </c>
      <c r="GI281" s="162">
        <f t="shared" ca="1" si="1094"/>
        <v>0</v>
      </c>
      <c r="GJ281" s="162">
        <f t="shared" ca="1" si="974"/>
        <v>0</v>
      </c>
      <c r="GK281" s="162">
        <f t="shared" ca="1" si="1095"/>
        <v>1</v>
      </c>
      <c r="GL281" s="162">
        <f t="shared" ca="1" si="975"/>
        <v>1</v>
      </c>
      <c r="GM281" s="162" t="e">
        <f ca="1">MAX(0,MIN(1,1-Control!$C$156*(1.0001-$KH281)^2))</f>
        <v>#N/A</v>
      </c>
      <c r="GN281" s="162" t="e">
        <f ca="1">IF(Control!$B$26=1,$KU281,$KX281)</f>
        <v>#N/A</v>
      </c>
      <c r="GO281" s="162" t="e">
        <f ca="1">IF($CP281&lt;=60,Control!$C$105,IF($CP281&gt;=90,Control!$C$106,Control!$C$105+($CP281-60)*((Control!$C$106-Control!$C$105)/(90-60))))</f>
        <v>#N/A</v>
      </c>
      <c r="GP281" s="162" t="e">
        <f t="shared" ca="1" si="976"/>
        <v>#N/A</v>
      </c>
      <c r="GQ281" s="162" t="e">
        <f t="shared" ca="1" si="1096"/>
        <v>#N/A</v>
      </c>
      <c r="GR281" s="163" t="e">
        <f t="shared" ca="1" si="977"/>
        <v>#DIV/0!</v>
      </c>
      <c r="GS281" s="162" t="e">
        <f t="shared" ca="1" si="978"/>
        <v>#DIV/0!</v>
      </c>
      <c r="GT281" s="164" t="e">
        <f t="shared" ca="1" si="1097"/>
        <v>#N/A</v>
      </c>
      <c r="GU281" s="162" t="e">
        <f t="shared" ca="1" si="1098"/>
        <v>#N/A</v>
      </c>
      <c r="GV281" s="162" t="e">
        <f t="shared" ca="1" si="979"/>
        <v>#N/A</v>
      </c>
      <c r="GW281" s="162" t="e">
        <f t="shared" ca="1" si="980"/>
        <v>#DIV/0!</v>
      </c>
      <c r="GX281" s="162" t="e">
        <f t="shared" ca="1" si="1099"/>
        <v>#DIV/0!</v>
      </c>
      <c r="GY281" s="162" t="e">
        <f t="shared" ca="1" si="1100"/>
        <v>#DIV/0!</v>
      </c>
      <c r="GZ281" s="165" t="e">
        <f t="shared" ca="1" si="981"/>
        <v>#N/A</v>
      </c>
      <c r="HA281" s="162" t="e">
        <f ca="1">IF(Control!$C$114=1, $DI281*$FS281, 0)</f>
        <v>#N/A</v>
      </c>
      <c r="HB281" s="162" t="e">
        <f ca="1">$FA281/Control!$C$64</f>
        <v>#N/A</v>
      </c>
      <c r="HC281" s="162" t="e">
        <f t="shared" ca="1" si="982"/>
        <v>#DIV/0!</v>
      </c>
      <c r="HD281" s="162">
        <f ca="1">-ASIN(SIN(23.45*Control!$C$139)*COS(2*Control!$C$138*($AH281+10)/365))</f>
        <v>-9.0108997002277494E-2</v>
      </c>
      <c r="HE281" s="165">
        <f t="shared" ca="1" si="1101"/>
        <v>0</v>
      </c>
      <c r="HF281" s="166">
        <f ca="1">IF(AND(Control!$C$61="T",$HE281&gt;=Control!$C$103,Control!$C$114=0),$AH281,Control!$C$59)</f>
        <v>1</v>
      </c>
      <c r="HG281" s="166">
        <f ca="1">IF(AND(Control!$C$61="T",$HE281&gt;=Control!$C$103,Control!$C$114=0),$HF281,Control!$C$59)</f>
        <v>1</v>
      </c>
      <c r="HH281" s="165">
        <f ca="1">IF(AND(OR(Control!$C$60&lt;=0, $AH281= Control!$C$59, Control!$C$60 &gt;0, $AH281 = Control!$C$60)), Control!$C$59, IF(Control!$C$60&gt;0, 0))</f>
        <v>1</v>
      </c>
      <c r="HI281" s="165">
        <f ca="1">IF(AND(OR(Control!$C$60&lt;=0, $AH281= Control!$C$59, Control!$C$60 &gt;0, $AH281 = Control!$C$60)), Control!$C$60, IF(Control!$C$60&lt;=0, 0))</f>
        <v>0</v>
      </c>
      <c r="HJ281" s="166">
        <f ca="1">IF(AND(Control!$C$62="F",$CV281&gt;=Control!$C$102),$AH281,0)</f>
        <v>0</v>
      </c>
      <c r="HK281" s="165" t="e">
        <f t="shared" ca="1" si="1138"/>
        <v>#N/A</v>
      </c>
      <c r="HL281" s="166">
        <f ca="1">IF(AND(Control!$C$61="T",$HE281&gt;=Control!$C$103,Control!$C$114=0),$HF281,0)</f>
        <v>0</v>
      </c>
      <c r="HM281" s="201" t="e">
        <f t="shared" ca="1" si="983"/>
        <v>#DIV/0!</v>
      </c>
      <c r="HN281" s="215">
        <f t="shared" ca="1" si="1102"/>
        <v>277</v>
      </c>
      <c r="HO281" s="216" t="e">
        <f ca="1">IF(AND($CP281&gt;=0, $CP281&lt;=90), Control!$C$152, Control!$C$152)</f>
        <v>#N/A</v>
      </c>
      <c r="HP281" s="216" t="e">
        <f t="shared" ca="1" si="984"/>
        <v>#N/A</v>
      </c>
      <c r="HQ281" s="217" t="e">
        <f ca="1">IF(OR(Control!$B$26=1,Control!$B$26=2),$KV281,$KS281)</f>
        <v>#DIV/0!</v>
      </c>
      <c r="HR281" s="218" t="e">
        <f t="shared" ca="1" si="1139"/>
        <v>#DIV/0!</v>
      </c>
      <c r="HS281" s="216" t="e">
        <f ca="1">Control!$C$154*$HP281</f>
        <v>#N/A</v>
      </c>
      <c r="HT281" s="216" t="e">
        <f ca="1">Control!$C$155*$HP281</f>
        <v>#N/A</v>
      </c>
      <c r="HU281" s="217" t="e">
        <f ca="1">Control!$C$161*$FI281</f>
        <v>#N/A</v>
      </c>
      <c r="HV281" s="218" t="e">
        <f t="shared" ca="1" si="1103"/>
        <v>#N/A</v>
      </c>
      <c r="HW281" s="218" t="e">
        <f ca="1">Control!$C$160*$FF281+$IP281*$EO281</f>
        <v>#N/A</v>
      </c>
      <c r="HX281" s="218" t="e">
        <f t="shared" ca="1" si="1140"/>
        <v>#N/A</v>
      </c>
      <c r="HY281" s="219" t="e">
        <f ca="1">IF(Control!$C$114=1, $EB281*$FS281, 0)</f>
        <v>#N/A</v>
      </c>
      <c r="HZ281" s="91" t="e">
        <f t="shared" ca="1" si="985"/>
        <v>#N/A</v>
      </c>
      <c r="IA281" s="220" t="e">
        <f ca="1">Control!$C$153*$HO281</f>
        <v>#N/A</v>
      </c>
      <c r="IB281" s="218" t="e">
        <f t="shared" ca="1" si="986"/>
        <v>#N/A</v>
      </c>
      <c r="IC281" s="220" t="e">
        <f ca="1">Control!$C$153*$HT281</f>
        <v>#N/A</v>
      </c>
      <c r="ID281" s="218" t="e">
        <f t="shared" ca="1" si="987"/>
        <v>#N/A</v>
      </c>
      <c r="IE281" s="221" t="e">
        <f ca="1">($EB281*Control!$C$159+$EF281*Control!$C$160)/(IF($GZ281&lt;&gt;0,$GZ281,1))</f>
        <v>#N/A</v>
      </c>
      <c r="IF281" s="216" t="e">
        <f t="shared" ca="1" si="988"/>
        <v>#N/A</v>
      </c>
      <c r="IG281" s="91">
        <f ca="1">IF(OR(Control!$B$198=$AH281,Control!$B$199=$AH281, Control!$B$200=$AH281, Control!$B$201=$AH281, Control!$B$202=$AH281, Control!$B$203=$AH281, Control!$B$204=$AH281, Control!$B$205=$AH281, Control!$B$206=$AH281, Control!$B$207=$AH281), 1, 0)</f>
        <v>0</v>
      </c>
      <c r="IH281" s="91">
        <f ca="1">IF($IG281=0,0, VLOOKUP($AH281,Control!$B$198:$C$207,2))</f>
        <v>0</v>
      </c>
      <c r="II281" s="222">
        <f t="shared" ca="1" si="1104"/>
        <v>0</v>
      </c>
      <c r="IJ281" s="91">
        <f>Control!$C$121</f>
        <v>0.7</v>
      </c>
      <c r="IK281" s="218">
        <f t="shared" ca="1" si="989"/>
        <v>0</v>
      </c>
      <c r="IL281" s="217" t="e">
        <f t="shared" ca="1" si="1141"/>
        <v>#N/A</v>
      </c>
      <c r="IM281" s="223" t="e">
        <f ca="1">IF(AND(Control!$C$114=1,$KH281&lt;1),$EB281*Control!$C$148*(1-$KH281), 0)</f>
        <v>#N/A</v>
      </c>
      <c r="IN281" s="217" t="e">
        <f t="shared" ca="1" si="990"/>
        <v>#DIV/0!</v>
      </c>
      <c r="IO281" s="91" t="e">
        <f ca="1">MAX(0,$IL281-$EF281*Control!$C$160)</f>
        <v>#N/A</v>
      </c>
      <c r="IP281" s="220" t="e">
        <f t="shared" ca="1" si="991"/>
        <v>#N/A</v>
      </c>
      <c r="IQ281" s="217" t="e">
        <f t="shared" ca="1" si="1105"/>
        <v>#N/A</v>
      </c>
      <c r="IR281" s="218" t="e">
        <f t="shared" ca="1" si="992"/>
        <v>#N/A</v>
      </c>
      <c r="IS281" s="217" t="e">
        <f ca="1">Control!$C$159*MAX(0,$FD281-$EN281)</f>
        <v>#N/A</v>
      </c>
      <c r="IT281" s="217" t="e">
        <f t="shared" ca="1" si="1142"/>
        <v>#N/A</v>
      </c>
      <c r="IU281" s="217" t="e">
        <f t="shared" ca="1" si="1106"/>
        <v>#N/A</v>
      </c>
      <c r="IV281" s="217" t="e">
        <f t="shared" ca="1" si="1143"/>
        <v>#N/A</v>
      </c>
      <c r="IW281" s="217" t="e">
        <f ca="1">IF(OR($AW281=1,AND($AW281=0, Control!$B$18=1,$EN281&lt;&gt;0)), $IQ281-$IU281, $IQ281)</f>
        <v>#N/A</v>
      </c>
      <c r="IX281" s="218" t="e">
        <f t="shared" ca="1" si="993"/>
        <v>#N/A</v>
      </c>
      <c r="IY281" s="218" t="e">
        <f ca="1">MAX(0,$IQ281-$EB281*Control!$C$159)</f>
        <v>#N/A</v>
      </c>
      <c r="IZ281" s="218" t="e">
        <f t="shared" ca="1" si="994"/>
        <v>#N/A</v>
      </c>
      <c r="JA281" s="216" t="e">
        <f t="shared" ca="1" si="995"/>
        <v>#N/A</v>
      </c>
      <c r="JB281" s="217" t="e">
        <f t="shared" ca="1" si="996"/>
        <v>#N/A</v>
      </c>
      <c r="JC281" s="222" t="e">
        <f ca="1">MAX(Control!$C$157*$EK281-$JT281, 0)/Control!$C$162</f>
        <v>#N/A</v>
      </c>
      <c r="JD281" s="218" t="e">
        <f t="shared" ca="1" si="997"/>
        <v>#N/A</v>
      </c>
      <c r="JE281" s="218" t="e">
        <f t="shared" ca="1" si="998"/>
        <v>#N/A</v>
      </c>
      <c r="JF281" s="218" t="e">
        <f t="shared" ca="1" si="1107"/>
        <v>#N/A</v>
      </c>
      <c r="JG281" s="218" t="e">
        <f t="shared" ca="1" si="999"/>
        <v>#N/A</v>
      </c>
      <c r="JH281" s="217" t="e">
        <f t="shared" ca="1" si="1108"/>
        <v>#N/A</v>
      </c>
      <c r="JI281" s="217" t="e">
        <f t="shared" ca="1" si="1109"/>
        <v>#N/A</v>
      </c>
      <c r="JJ281" s="217" t="e">
        <f t="shared" ca="1" si="1144"/>
        <v>#N/A</v>
      </c>
      <c r="JK281" s="217" t="e">
        <f ca="1">IF(Control!$C$114=1,IF(Control!$B$24=0,MAX(0,$JI281)*$GN281/Control!$C$64,(MAX(0,MIN($JI281,$JJ281*$GN281/Control!$C$64),0))))</f>
        <v>#N/A</v>
      </c>
      <c r="JL281" s="217" t="e">
        <f ca="1">$IK281/Control!$C$64-$JK281+$HQ281</f>
        <v>#N/A</v>
      </c>
      <c r="JM281" s="217" t="e">
        <f ca="1">IF(Control!$C$114=1,($JB281/(IF($JI281&lt;&gt;0,$JI281,1)))*$JK281,0)</f>
        <v>#N/A</v>
      </c>
      <c r="JN281" s="217" t="e">
        <f ca="1">IF(Control!$C$114=1,($JG281/(IF($JI281&lt;&gt;0,$JI281,1)))*$JK281, 0)</f>
        <v>#N/A</v>
      </c>
      <c r="JO281" s="218" t="e">
        <f t="shared" ca="1" si="1000"/>
        <v>#N/A</v>
      </c>
      <c r="JP281" s="218" t="e">
        <f ca="1">MIN(($IY281+$IO281)*Control!$C$151, $JF281-$EH281*Control!$C$161)</f>
        <v>#N/A</v>
      </c>
      <c r="JQ281" s="218" t="e">
        <f t="shared" ca="1" si="1001"/>
        <v>#N/A</v>
      </c>
      <c r="JR281" s="217" t="e">
        <f ca="1">IF($CP281-Control!$C$150&lt;0, 0, $JQ281/Control!$C$162)</f>
        <v>#N/A</v>
      </c>
      <c r="JS281" s="218" t="e">
        <f t="shared" ca="1" si="1002"/>
        <v>#N/A</v>
      </c>
      <c r="JT281" s="218" t="e">
        <f t="shared" ca="1" si="1110"/>
        <v>#N/A</v>
      </c>
      <c r="JU281" s="218" t="e">
        <f t="shared" ca="1" si="1003"/>
        <v>#N/A</v>
      </c>
      <c r="JV281" s="218" t="e">
        <f t="shared" ca="1" si="1004"/>
        <v>#N/A</v>
      </c>
      <c r="JW281" s="216" t="e">
        <f t="shared" ca="1" si="1005"/>
        <v>#N/A</v>
      </c>
      <c r="JX281" s="91" t="e">
        <f t="shared" ca="1" si="1006"/>
        <v>#N/A</v>
      </c>
      <c r="JY281" s="218" t="e">
        <f t="shared" ca="1" si="1007"/>
        <v>#N/A</v>
      </c>
      <c r="JZ281" s="217" t="e">
        <f ca="1">IF(Control!$C$114=1,($IZ281/(IF($JI281&lt;&gt;0,$JI281,1)))*$JK281, 0)</f>
        <v>#N/A</v>
      </c>
      <c r="KA281" s="218" t="e">
        <f t="shared" ca="1" si="1145"/>
        <v>#N/A</v>
      </c>
      <c r="KB281" s="218" t="e">
        <f t="shared" ca="1" si="1111"/>
        <v>#N/A</v>
      </c>
      <c r="KC281" s="218" t="e">
        <f t="shared" ca="1" si="1008"/>
        <v>#N/A</v>
      </c>
      <c r="KD281" s="218" t="e">
        <f t="shared" ca="1" si="1009"/>
        <v>#N/A</v>
      </c>
      <c r="KE281" s="218" t="e">
        <f t="shared" ca="1" si="1010"/>
        <v>#N/A</v>
      </c>
      <c r="KF281" s="218" t="e">
        <f t="shared" ca="1" si="1011"/>
        <v>#N/A</v>
      </c>
      <c r="KG281" s="216" t="e">
        <f t="shared" ca="1" si="1012"/>
        <v>#N/A</v>
      </c>
      <c r="KH281" s="221" t="e">
        <f ca="1">IF(Control!$B$24=0,1,MAX(0.001,MIN(1,IF(($IF281-$IE281)&lt;&gt;0,($KG281-$IE281)/($IF281-$IE281),1))))</f>
        <v>#N/A</v>
      </c>
      <c r="KI281" s="222" t="e">
        <f ca="1">IF(Control!$C$114=1, $KI280+ $KH280, 0)</f>
        <v>#N/A</v>
      </c>
      <c r="KJ281" s="217" t="e">
        <f t="shared" ca="1" si="1013"/>
        <v>#N/A</v>
      </c>
      <c r="KK281" s="218" t="e">
        <f t="shared" ca="1" si="1014"/>
        <v>#N/A</v>
      </c>
      <c r="KL281" s="274" t="e">
        <f ca="1">IF(Control!$B$26=3,4000000000*EXP(-8400/($G281+273)),IF(Control!$B$26=4,4000000000*EXP(-8400/($G281+273))*($KT281),0))</f>
        <v>#DIV/0!</v>
      </c>
      <c r="KM281" s="274" t="e">
        <f ca="1">IF(Control!$B$26=3,5600000000000*EXP(-9800/($G281+273)),IF(Control!$B$26=4,5600000000000*EXP(-9800/($G281+273))*$KT281,0))</f>
        <v>#DIV/0!</v>
      </c>
      <c r="KN281" s="454" t="e">
        <f t="shared" ca="1" si="1112"/>
        <v>#DIV/0!</v>
      </c>
      <c r="KO281" s="274" t="e">
        <f t="shared" ca="1" si="1113"/>
        <v>#DIV/0!</v>
      </c>
      <c r="KP281" s="454" t="e">
        <f t="shared" ca="1" si="1015"/>
        <v>#DIV/0!</v>
      </c>
      <c r="KQ281" s="454" t="e">
        <f t="shared" ca="1" si="1016"/>
        <v>#DIV/0!</v>
      </c>
      <c r="KR281" s="454" t="e">
        <f t="shared" ca="1" si="1017"/>
        <v>#DIV/0!</v>
      </c>
      <c r="KS281" s="454" t="e">
        <f t="shared" ca="1" si="1018"/>
        <v>#DIV/0!</v>
      </c>
      <c r="KT281" s="455" t="e">
        <f t="shared" ca="1" si="1019"/>
        <v>#DIV/0!</v>
      </c>
      <c r="KU281" s="456" t="e">
        <f ca="1">IF($CP281-Control!$C$149&lt;0, IF($NT281-0.01&lt;0,0,1),0)</f>
        <v>#N/A</v>
      </c>
      <c r="KV281" s="456" t="e">
        <f ca="1">IF(Control!$C$114=1,MAX(0,MIN(Control!$C$125*$KW281*$GN281,$KW281)))</f>
        <v>#DIV/0!</v>
      </c>
      <c r="KW281" s="456" t="e">
        <f t="shared" ca="1" si="1146"/>
        <v>#DIV/0!</v>
      </c>
      <c r="KX281" s="457" t="e">
        <f ca="1">IF($CP281-Control!$C$149&lt;0, IF($MR281-$OM281&lt;0,0,1),0)</f>
        <v>#N/A</v>
      </c>
      <c r="KY281" s="167">
        <f t="shared" ca="1" si="1114"/>
        <v>277</v>
      </c>
      <c r="KZ281" s="168">
        <f ca="1">1370*(1+0.033*COS(2*Control!$C$138*$AH281/365))</f>
        <v>1372.5285104450427</v>
      </c>
      <c r="LA281" s="169">
        <f t="shared" ca="1" si="1115"/>
        <v>1.0018452606733199</v>
      </c>
      <c r="LB281" s="169">
        <f t="shared" ca="1" si="1116"/>
        <v>-9.5925729039717356E-2</v>
      </c>
      <c r="LC281" s="169">
        <f ca="1">ACOS(-TAN((2*Control!$B$8/360))*TAN(Calculations!$LB281))</f>
        <v>1.5421952319515531</v>
      </c>
      <c r="LD281" s="169">
        <f ca="1">((24*60)/PI())*0.082*$LA281*(($LC281*SIN(Control!$B$8*2*PI()/360))*SIN($LB281)+COS(Control!$B$8*2*PI()/360)*COS($LB281)*SIN($LC281))</f>
        <v>18.683993632084658</v>
      </c>
      <c r="LE281" s="170">
        <f t="shared" ca="1" si="1020"/>
        <v>19.094910069302738</v>
      </c>
      <c r="LF281" s="170">
        <f ca="1">SIN(Control!$C$139*Control!$B$8)*SIN($HD281)</f>
        <v>-7.0910923631022138E-2</v>
      </c>
      <c r="LG281" s="170">
        <f ca="1">COS(Control!$C$139*Control!$B$8)*COS($HD281)</f>
        <v>0.61316202838681799</v>
      </c>
      <c r="LH281" s="170">
        <f ca="1">12*(1+2*ASIN(MAX(-1,MIN(1,$LF281/$LG281))/Control!$C$138))</f>
        <v>11.116317248365299</v>
      </c>
      <c r="LI281" s="170">
        <f ca="1">12*(1+2*ASIN(MAX(-1,MIN(1,(-SIN(-4*Control!$C$139)+$LF281)/$LG281))/Control!$C$138))</f>
        <v>11.985618673593374</v>
      </c>
      <c r="LJ281" s="168">
        <f ca="1">3600*($LH281*$LF281+24*$LG281*SQRT(1-$LK281*$LK281)/Control!$C$138)</f>
        <v>13912.213789359617</v>
      </c>
      <c r="LK281" s="170">
        <f t="shared" ca="1" si="1021"/>
        <v>-0.11564793700220366</v>
      </c>
      <c r="LL281" s="170">
        <f t="shared" ca="1" si="1022"/>
        <v>0</v>
      </c>
      <c r="LM281" s="171">
        <f ca="1">Control!$C$145*$AB281</f>
        <v>6.6660906138995932E-2</v>
      </c>
      <c r="LN281" s="170">
        <f t="shared" ca="1" si="1117"/>
        <v>0.54</v>
      </c>
      <c r="LO281" s="170">
        <f t="shared" ca="1" si="1023"/>
        <v>0</v>
      </c>
      <c r="LP281" s="170">
        <f ca="1">Control!$C$140*((($D281+273.16)^4+($E281+273.16)^4)/2)*(0.34-0.14*SQRT($Y281))*(1.35*$AQ281/(0.75*$LD281)-0.35)</f>
        <v>-3.2464704755046001</v>
      </c>
      <c r="LQ281" s="170">
        <f ca="1">Control!$C$140*($G281+273)^4*(0.56-0.079*SQRT($Y281*10))*(0.1+0.9*$LO281)</f>
        <v>1.5241745131704001</v>
      </c>
      <c r="LR281" s="170">
        <f ca="1">$AQ281*(1-Control!$C$142)-$LQ281</f>
        <v>-1.5241745131704001</v>
      </c>
      <c r="LS281" s="170">
        <f ca="1">$AQ281*(1-Control!$C$143)-$LQ281</f>
        <v>-1.5241745131704001</v>
      </c>
      <c r="LT281" s="170">
        <f ca="1">$AQ281*(1-Control!$C$144)-$LQ281</f>
        <v>-1.5241745131704001</v>
      </c>
      <c r="LU281" s="169">
        <f ca="1">(1-Control!$C$144)*AQ281-LP281</f>
        <v>3.2464704755046001</v>
      </c>
      <c r="LV281" s="172">
        <f t="shared" ca="1" si="1024"/>
        <v>0.79430000000000012</v>
      </c>
      <c r="LW281" s="170">
        <f t="shared" ca="1" si="1025"/>
        <v>1.5886000000000002</v>
      </c>
      <c r="LX281" s="170">
        <f ca="1">($AC281*($LR281/Control!$C$141)+$LM281*$LV281)/($AC281+$LM281)</f>
        <v>0.23530094218323697</v>
      </c>
      <c r="LY281" s="170">
        <f ca="1">($AC281*($LS281/Control!$C$141)+$LM281*$LV281)/($AC281+$LM281)</f>
        <v>0.23530094218323697</v>
      </c>
      <c r="LZ281" s="170">
        <f t="shared" ca="1" si="1026"/>
        <v>0.23530094218323697</v>
      </c>
      <c r="MA281" s="170">
        <f t="shared" ca="1" si="1027"/>
        <v>0.23530094218323697</v>
      </c>
      <c r="MB281" s="170" t="e">
        <f t="shared" ca="1" si="1028"/>
        <v>#N/A</v>
      </c>
      <c r="MC281" s="170">
        <f t="shared" ca="1" si="1118"/>
        <v>0.6018</v>
      </c>
      <c r="MD281" s="170">
        <f t="shared" ca="1" si="1029"/>
        <v>0.52989392535414004</v>
      </c>
      <c r="ME281" s="170">
        <f ca="1">($AC281*($LT281/Control!$C$141)+$LM281*$LW281)/($AC281+$LM281)</f>
        <v>0.71612369323045078</v>
      </c>
      <c r="MF281" s="170" t="e">
        <f ca="1">IF(Control!$B$16&gt;=1000,0.92,IF(AND(720&lt;=Control!$B$16,1000&gt;Control!$B$16),(0.95+(Control!$B$16-720)*((0.92-0.95)/(1000-720))),IF(AND(360&lt;=Control!$B$16,720&gt;Control!$B$16),(1+(Control!$B$16-360)*((0.95-1)/(720-360))),IF(AND(40&lt;=Control!$B$16,360&gt;Control!$B$16),(1.05+(Control!$B$16-40)*((1.05-1)/(360-40)))))))</f>
        <v>#N/A</v>
      </c>
      <c r="MG281" s="170">
        <f t="shared" ca="1" si="1030"/>
        <v>0.71612369323045078</v>
      </c>
      <c r="MH281" s="170" t="e">
        <f t="shared" ca="1" si="1155"/>
        <v>#N/A</v>
      </c>
      <c r="MI281" s="170" t="e">
        <f t="shared" ca="1" si="1155"/>
        <v>#N/A</v>
      </c>
      <c r="MJ281" s="170" t="e">
        <f ca="1">MAX(0.0001, Control!$C$132*$MI281*$DL281)</f>
        <v>#N/A</v>
      </c>
      <c r="MK281" s="170">
        <f ca="1">1/(0.76+1.5*($MG281/10))-(5-Control!$C$110)*0.1</f>
        <v>1.002845988140797</v>
      </c>
      <c r="ML281" s="173">
        <f ca="1">IF(Control!$C$110&lt;3,$MK281+($MG281-0.6)/(Control!$C$110*(Control!$C$110+3)), MAX(0.1, MIN(0.95,$MK281)))</f>
        <v>0.95</v>
      </c>
      <c r="MM281" s="173">
        <f ca="1">IF(Control!$C$110&lt;3,$MK281+(($MI281/10)-0.6)/(Control!$C$110*(Control!$C$110+3)), MAX(0.1, MIN(0.95,$MK281)))</f>
        <v>0.95</v>
      </c>
      <c r="MN281" s="173">
        <f ca="1">(1-$MM281)*(Control!$C$128-Control!$C$127)+Control!$C$127</f>
        <v>0.16</v>
      </c>
      <c r="MO281" s="170" t="e">
        <f ca="1">MAX(0,MIN(1,($MS281-Control!$C$127)/($MN281-Control!$C$127)))</f>
        <v>#DIV/0!</v>
      </c>
      <c r="MP281" s="173" t="e">
        <f ca="1">1/(0.76+1.5*$MI281)-(5-Control!$C$110)*0.1</f>
        <v>#N/A</v>
      </c>
      <c r="MQ281" s="172" t="e">
        <f t="shared" ca="1" si="1147"/>
        <v>#DIV/0!</v>
      </c>
      <c r="MR281" s="168" t="e">
        <f t="shared" ca="1" si="1119"/>
        <v>#DIV/0!</v>
      </c>
      <c r="MS281" s="173" t="e">
        <f ca="1">MAX(Control!$C$127, MIN(Control!$C$135, $MR281/MAX(0.0001,$CY281)))</f>
        <v>#DIV/0!</v>
      </c>
      <c r="MT281" s="168" t="e">
        <f ca="1">(Control!$C$128-$MS281)*Control!$C$74</f>
        <v>#DIV/0!</v>
      </c>
      <c r="MU281" s="168" t="e">
        <f ca="1">(Control!$C$135-$MS281)*Control!$C$74</f>
        <v>#DIV/0!</v>
      </c>
      <c r="MV281" s="168" t="e">
        <f t="shared" ca="1" si="1120"/>
        <v>#DIV/0!</v>
      </c>
      <c r="MW281" s="168" t="e">
        <f t="shared" ca="1" si="1121"/>
        <v>#DIV/0!</v>
      </c>
      <c r="MX281" s="171" t="e">
        <f ca="1">MAX(Control!$C$127, MIN(Control!$C$135, $MW281/MAX(0.0001,Control!$C$119-$CY281)))</f>
        <v>#DIV/0!</v>
      </c>
      <c r="MY281" s="54" t="e">
        <f ca="1">IF(Control!$C$114=1, $CX281*$MX281, 0)</f>
        <v>#DIV/0!</v>
      </c>
      <c r="MZ281" s="54" t="e">
        <f t="shared" ca="1" si="1122"/>
        <v>#N/A</v>
      </c>
      <c r="NA281" s="168" t="e">
        <f ca="1">(Control!$C$128-$MX281)*(Control!$C$119-Control!$C$74)</f>
        <v>#DIV/0!</v>
      </c>
      <c r="NB281" s="168" t="e">
        <f ca="1">(Control!$C$135-$MX281)*(Control!$C$119-Control!$C$74)</f>
        <v>#DIV/0!</v>
      </c>
      <c r="NC281" s="174" t="e">
        <f t="shared" ca="1" si="1123"/>
        <v>#DIV/0!</v>
      </c>
      <c r="ND281" s="54">
        <f ca="1">IF(Control!$C$58=2, IF(OR(Control!$B$218=$AH281,Control!$B$219=$AH281, Control!$B$220=$AH281, Control!$B$221=$AH281, Control!$B$222=$AH281, Control!$B$223=$AH281, Control!$B$224=$AH281, Control!$B$225=$AH281, Control!$B$226=$AH281, Control!$B$227=$AH281, Control!$B$228=$AH281), 1, 0), 0)</f>
        <v>0</v>
      </c>
      <c r="NE281" s="54">
        <f ca="1">IF($ND281=0,0, VLOOKUP($AH281,Control!$B$218:$C$228,2))</f>
        <v>0</v>
      </c>
      <c r="NF281" s="168" t="e">
        <f ca="1">$CY281*(Control!$C$128-Control!$C$127)</f>
        <v>#N/A</v>
      </c>
      <c r="NG281" s="54" t="e">
        <f ca="1">IF(Control!$C$58=2, $NI280-$NJ280, 0)</f>
        <v>#DIV/0!</v>
      </c>
      <c r="NH281" s="54" t="e">
        <f ca="1">IF(AND(Control!$C$58=1, $MS280&lt;= ($MN280+0.02), $I280&lt;10), 0, IF(Control!$C$58=2, $NG280, 0))</f>
        <v>#DIV/0!</v>
      </c>
      <c r="NI281" s="54" t="e">
        <f ca="1">IF(Control!$C$58=2, $NE281+$NH281,0)</f>
        <v>#DIV/0!</v>
      </c>
      <c r="NJ281" s="54" t="e">
        <f ca="1">IF(AND(Control!$C$58=1, $MS281&lt;= ($MN281+0.02), $I281&lt;10), MAX(0, MIN(10, 0.7*($NF281-$MV281))), IF(Control!$C$58=2, MIN(10,$NI281),0))</f>
        <v>#DIV/0!</v>
      </c>
      <c r="NK281" s="54" t="e">
        <f t="shared" ca="1" si="1031"/>
        <v>#DIV/0!</v>
      </c>
      <c r="NL281" s="173" t="e">
        <f ca="1">(1-Control!$C$73)*$I281+$NJ281</f>
        <v>#DIV/0!</v>
      </c>
      <c r="NM281" s="172" t="e">
        <f ca="1">IF($NL281&lt;0.5, $MB281* MAX(0, MIN(1, (SQRT($NC281)-SQRT($NC281-1))*Control!$C$71)),0)</f>
        <v>#DIV/0!</v>
      </c>
      <c r="NN281" s="170" t="e">
        <f ca="1">IF($NL281&gt;=5, $MB281, MAX(0,MIN($MB281, $NM281+$NL281,($MS281-Control!$C$129))))</f>
        <v>#DIV/0!</v>
      </c>
      <c r="NO281" s="54">
        <f>IF(Control!$C$133&lt;&gt;1, Control!$C$135-Control!$C$131, 0)</f>
        <v>0.38</v>
      </c>
      <c r="NP281" s="54" t="e">
        <f t="shared" ca="1" si="1032"/>
        <v>#DIV/0!</v>
      </c>
      <c r="NQ281" s="173" t="e">
        <f ca="1">MAX(0,MIN(1,(Control!$C$135-$MS281)/(Control!$C$135-$NO281)))</f>
        <v>#DIV/0!</v>
      </c>
      <c r="NR281" s="170" t="e">
        <f ca="1">IF(Control!$C$133&lt;&gt;1, $NQ281+((1-$NP281/4)*(1-$NQ281)),1)</f>
        <v>#DIV/0!</v>
      </c>
      <c r="NS281" s="170" t="e">
        <f ca="1">IF(Control!$B$31=0,$MJ281,MAX(0,MIN($MV281,$MO281*$NR281*$MJ281)))</f>
        <v>#DIV/0!</v>
      </c>
      <c r="NT281" s="170" t="e">
        <f t="shared" ca="1" si="1148"/>
        <v>#DIV/0!</v>
      </c>
      <c r="NU281" s="170" t="e">
        <f t="shared" ca="1" si="1124"/>
        <v>#N/A</v>
      </c>
      <c r="NV281" s="170" t="e">
        <f t="shared" ca="1" si="1033"/>
        <v>#N/A</v>
      </c>
      <c r="NW281" s="175" t="e">
        <f t="shared" ca="1" si="1034"/>
        <v>#DIV/0!</v>
      </c>
      <c r="NX281" s="170" t="e">
        <f ca="1">MIN(Control!$C$72+$MU281, $NW281)</f>
        <v>#DIV/0!</v>
      </c>
      <c r="NY281" s="170" t="e">
        <f ca="1">IF($MT281&lt;=$NX281,MIN(Control!$C$72+$NB281,$NX281-$MT281),0)</f>
        <v>#DIV/0!</v>
      </c>
      <c r="NZ281" s="54" t="e">
        <f ca="1">IF(Control!$C$114=1,  $CX281*($MX281-Control!$C$127), 0)</f>
        <v>#DIV/0!</v>
      </c>
      <c r="OA281" s="170" t="e">
        <f t="shared" ca="1" si="1035"/>
        <v>#DIV/0!</v>
      </c>
      <c r="OB281" s="170" t="e">
        <f ca="1">IF($NA281 &lt;=$NY281, MIN(Control!$C$72, $NY281-$NA281), 0)</f>
        <v>#DIV/0!</v>
      </c>
      <c r="OC281" s="168" t="e">
        <f t="shared" ca="1" si="1036"/>
        <v>#DIV/0!</v>
      </c>
      <c r="OD281" s="168" t="e">
        <f t="shared" ca="1" si="1125"/>
        <v>#DIV/0!</v>
      </c>
      <c r="OE281" s="170">
        <f ca="1">Control!$C$73*$I281</f>
        <v>0</v>
      </c>
      <c r="OF281" s="176" t="e">
        <f t="shared" ca="1" si="1037"/>
        <v>#DIV/0!</v>
      </c>
      <c r="OG281" s="168" t="e">
        <f t="shared" ca="1" si="1038"/>
        <v>#DIV/0!</v>
      </c>
      <c r="OH281" s="168" t="e">
        <f t="shared" ca="1" si="1039"/>
        <v>#DIV/0!</v>
      </c>
      <c r="OI281" s="168" t="e">
        <f t="shared" ca="1" si="1040"/>
        <v>#DIV/0!</v>
      </c>
      <c r="OJ281" s="168" t="e">
        <f t="shared" ca="1" si="1041"/>
        <v>#DIV/0!</v>
      </c>
      <c r="OK281" s="204" t="e">
        <f t="shared" ca="1" si="1042"/>
        <v>#DIV/0!</v>
      </c>
      <c r="OL281" s="177">
        <f>Control!$C$127</f>
        <v>0.15</v>
      </c>
      <c r="OM281" s="182" t="e">
        <f t="shared" ca="1" si="1043"/>
        <v>#N/A</v>
      </c>
      <c r="ON281" s="177">
        <f>Control!$C$128</f>
        <v>0.35</v>
      </c>
      <c r="OO281" s="182" t="e">
        <f t="shared" ca="1" si="1044"/>
        <v>#N/A</v>
      </c>
      <c r="OP281" s="138">
        <f t="shared" ca="1" si="1126"/>
        <v>0</v>
      </c>
      <c r="OQ281" s="138" t="e">
        <f t="shared" ca="1" si="1149"/>
        <v>#DIV/0!</v>
      </c>
      <c r="OR281" s="138" t="e">
        <f t="shared" ca="1" si="1127"/>
        <v>#DIV/0!</v>
      </c>
      <c r="OS281" s="137" t="e">
        <f t="shared" ca="1" si="1150"/>
        <v>#DIV/0!</v>
      </c>
      <c r="OT281" s="139" t="e">
        <f t="shared" ca="1" si="1151"/>
        <v>#DIV/0!</v>
      </c>
      <c r="OU281" s="138" t="e">
        <f t="shared" ca="1" si="1152"/>
        <v>#N/A</v>
      </c>
      <c r="OV281" s="138" t="e">
        <f t="shared" ca="1" si="1153"/>
        <v>#DIV/0!</v>
      </c>
      <c r="OW281" s="138" t="e">
        <f t="shared" ca="1" si="1128"/>
        <v>#DIV/0!</v>
      </c>
      <c r="OX281" s="138" t="e">
        <f t="shared" ca="1" si="1129"/>
        <v>#DIV/0!</v>
      </c>
      <c r="OY281" s="138" t="e">
        <f t="shared" ca="1" si="1130"/>
        <v>#DIV/0!</v>
      </c>
      <c r="OZ281" s="138" t="e">
        <f t="shared" ca="1" si="1045"/>
        <v>#DIV/0!</v>
      </c>
      <c r="PA281" s="138" t="e">
        <f t="shared" ca="1" si="1046"/>
        <v>#DIV/0!</v>
      </c>
      <c r="PB281" s="55">
        <f>IF(Control!$C$61="T", IF(Control!$C$65="F", IF($AH$6-Control!$C$60&lt;0,0,1), IF(365+$AH$6-Control!$C$60&lt;0,0,1)),0)</f>
        <v>0</v>
      </c>
      <c r="PC281" s="55">
        <f ca="1">IF(Control!$C$65="F", IF($AH$6-$HF281&lt;0,0,1), IF(365+$AH$6-$HF281&lt;0,0,1))</f>
        <v>1</v>
      </c>
      <c r="PD281" s="444">
        <f>Control!$C$118</f>
        <v>1500</v>
      </c>
      <c r="PE281" s="180" t="e">
        <f t="shared" ca="1" si="1047"/>
        <v>#N/A</v>
      </c>
      <c r="PF281" s="445">
        <f t="shared" ca="1" si="1131"/>
        <v>0.71612369323045078</v>
      </c>
      <c r="PT281" s="186"/>
      <c r="PU281" s="186"/>
      <c r="PV281" s="94"/>
      <c r="PW281" s="94"/>
      <c r="PX281" s="94"/>
      <c r="PY281" s="94"/>
      <c r="PZ281" s="94"/>
      <c r="QA281" s="94"/>
      <c r="QB281" s="94"/>
      <c r="QC281" s="94"/>
      <c r="QD281" s="94"/>
      <c r="QE281" s="94"/>
      <c r="QF281" s="94"/>
      <c r="QG281" s="94"/>
      <c r="QH281" s="94"/>
      <c r="QI281" s="94"/>
      <c r="QJ281" s="94"/>
      <c r="QK281" s="94"/>
      <c r="QL281" s="94"/>
      <c r="QM281" s="94"/>
      <c r="QN281" s="94"/>
      <c r="QO281" s="94"/>
      <c r="QP281" s="94"/>
    </row>
    <row r="282" spans="1:458" s="2" customFormat="1" x14ac:dyDescent="0.2">
      <c r="A282" s="395">
        <v>4</v>
      </c>
      <c r="B282" s="396">
        <v>10</v>
      </c>
      <c r="C282" s="387">
        <f ca="1">Weather_data!$B281</f>
        <v>0</v>
      </c>
      <c r="D282" s="388">
        <f ca="1">Weather_data!$F281</f>
        <v>0</v>
      </c>
      <c r="E282" s="388">
        <f ca="1">Weather_data!$E281</f>
        <v>0</v>
      </c>
      <c r="F282" s="388">
        <f t="shared" ca="1" si="1048"/>
        <v>0</v>
      </c>
      <c r="G282" s="388">
        <f ca="1">AVERAGE($D282:$E282)+Control!$B$9</f>
        <v>0</v>
      </c>
      <c r="H282" s="388">
        <f ca="1">Weather_data!$G281</f>
        <v>0</v>
      </c>
      <c r="I282" s="388">
        <f ca="1">Weather_data!$I281</f>
        <v>0</v>
      </c>
      <c r="J282" s="388">
        <f ca="1">Weather_data!$H281</f>
        <v>0</v>
      </c>
      <c r="K282" s="389">
        <f ca="1">Weather_data!$D281</f>
        <v>0</v>
      </c>
      <c r="L282" s="388" t="e">
        <f t="shared" ca="1" si="1049"/>
        <v>#N/A</v>
      </c>
      <c r="M282" s="388" t="e">
        <f t="shared" ca="1" si="927"/>
        <v>#N/A</v>
      </c>
      <c r="N282" s="388">
        <f t="shared" ca="1" si="928"/>
        <v>-1.1746341140464615E-13</v>
      </c>
      <c r="O282" s="388">
        <f t="shared" ca="1" si="1050"/>
        <v>1.1746341140464616E-12</v>
      </c>
      <c r="P282" s="390">
        <v>3</v>
      </c>
      <c r="Q282" s="388">
        <f ca="1">MAX($G282-Control!$C$107,0)</f>
        <v>0</v>
      </c>
      <c r="R282" s="388">
        <f t="shared" ca="1" si="1051"/>
        <v>0</v>
      </c>
      <c r="S282" s="388">
        <f t="shared" ca="1" si="929"/>
        <v>0</v>
      </c>
      <c r="T282" s="388">
        <f t="shared" ca="1" si="930"/>
        <v>0</v>
      </c>
      <c r="U282" s="59">
        <f t="shared" ca="1" si="931"/>
        <v>0</v>
      </c>
      <c r="V282" s="391">
        <f ca="1">MAX(0,MIN(Control!$C$100-Control!$C$99,$G282-Control!$C$99)*Control!$C$63)</f>
        <v>0</v>
      </c>
      <c r="W282" s="388">
        <f t="shared" ca="1" si="1052"/>
        <v>0</v>
      </c>
      <c r="X282" s="388">
        <f t="shared" ca="1" si="1053"/>
        <v>0.6110000000000001</v>
      </c>
      <c r="Y282" s="388">
        <f t="shared" ca="1" si="932"/>
        <v>0</v>
      </c>
      <c r="Z282" s="388">
        <f t="shared" ca="1" si="1054"/>
        <v>0.61058800000000002</v>
      </c>
      <c r="AA282" s="388">
        <f t="shared" ca="1" si="933"/>
        <v>0.6018</v>
      </c>
      <c r="AB282" s="388">
        <f ca="1">101.3*EXP(-0.034*Control!$C$66/($G282+273))</f>
        <v>100.69623283836242</v>
      </c>
      <c r="AC282" s="392">
        <f t="shared" ca="1" si="934"/>
        <v>4.3460251046025113E-2</v>
      </c>
      <c r="AD282" s="392">
        <f t="shared" ca="1" si="935"/>
        <v>4.4450382862832649E-2</v>
      </c>
      <c r="AE282" s="388">
        <f t="shared" ca="1" si="936"/>
        <v>0</v>
      </c>
      <c r="AF282" s="388">
        <f ca="1">MAX(0,$G282-Control!$C$92)</f>
        <v>0</v>
      </c>
      <c r="AG282" s="393">
        <f t="shared" ca="1" si="937"/>
        <v>278</v>
      </c>
      <c r="AH282" s="389">
        <f t="shared" ca="1" si="938"/>
        <v>278</v>
      </c>
      <c r="AI282" s="388">
        <f t="shared" ca="1" si="1055"/>
        <v>-9.6797493818990679E-2</v>
      </c>
      <c r="AJ282" s="388">
        <f ca="1">IF(Control!$C$60&lt;=0,$HH282,$HI282)</f>
        <v>1</v>
      </c>
      <c r="AK282" s="388">
        <f t="shared" ca="1" si="939"/>
        <v>3.4084128515659127</v>
      </c>
      <c r="AL282" s="388">
        <f t="shared" ca="1" si="940"/>
        <v>-5.7708594847216682E-18</v>
      </c>
      <c r="AM282" s="388">
        <f t="shared" ca="1" si="941"/>
        <v>3.4084128515659127</v>
      </c>
      <c r="AN282" s="388">
        <f t="shared" ca="1" si="942"/>
        <v>-0.10507940180927007</v>
      </c>
      <c r="AO282" s="388">
        <f ca="1">-0.10453/COS(Control!$B$8*PI()/180)*COS(AN282)</f>
        <v>-0.168848371282973</v>
      </c>
      <c r="AP282" s="388">
        <f ca="1">ACOS(AO282-TAN(Control!$B$8*PI()/180)*TAN(AN282))</f>
        <v>1.6046584530005144</v>
      </c>
      <c r="AQ282" s="388">
        <f t="shared" ca="1" si="1056"/>
        <v>0</v>
      </c>
      <c r="AR282" s="394">
        <f t="shared" ca="1" si="943"/>
        <v>0</v>
      </c>
      <c r="AS282" s="436">
        <f ca="1">IF(Control!$B$18=2,(IF(OR($AH282=Control!$B$175,$AH282=Control!$B$176,$AH282=Control!$B$177,$AH282=Control!$B$178,$AH282=Control!$B$179,$AH282=Control!$B$180,$AH282=Control!$B$181,$AH282=Control!$B$182,$AH282=Control!$B$183,$AH282=Control!$B$184,$AH282=Control!$B$185),1,0)),0)</f>
        <v>0</v>
      </c>
      <c r="AT282" s="436">
        <f>IF(Control!$B$20=8,IF(AND($AH282&gt;=Control!$B$172,$AH282&lt;=Control!$B$173),1,0),0)</f>
        <v>0</v>
      </c>
      <c r="AU282" s="436">
        <f>IF(Control!$B$20=8,IF($AV281=1,1*$AT282,IF($AT282=1,$AU281+1,$AU281)),0)</f>
        <v>0</v>
      </c>
      <c r="AV282" s="436">
        <f>IF(Control!$B$20=8,IF($AU282&gt;=Control!$B$174,1,0),0)</f>
        <v>0</v>
      </c>
      <c r="AW282" s="436">
        <f ca="1">IF(AND(Control!$B$18=2,Control!$B$171=1), $AV282, $AS282)</f>
        <v>0</v>
      </c>
      <c r="AX282" s="436" t="e">
        <f ca="1">IF(AND(Control!$B$18=1,$EU282&gt;=Control!$B$19),-$AY282,IF(AND(Control!$B$18=2,$AW282=1,$EU282&gt;$DS282),-$AY282, IF(Control!$C$108=0,0, IF(Control!$C$108&lt;&gt;0,1))))</f>
        <v>#N/A</v>
      </c>
      <c r="AY282" s="436" t="e">
        <f t="shared" ca="1" si="1057"/>
        <v>#N/A</v>
      </c>
      <c r="AZ282" s="436" t="e">
        <f ca="1">IF(AND(Control!$B$18=1,$EB282&gt;Control!$B$19),$AZ281+1, IF(AND(Control!$B$18=2, $AW282=1, $EB282&gt;$DS282), $AZ281+1,$AZ281))</f>
        <v>#N/A</v>
      </c>
      <c r="BA282" s="587">
        <f>IF(Control!$C$81=0,1,IF($AH282&gt;=Control!$C$82,1,0))</f>
        <v>1</v>
      </c>
      <c r="BB282" s="140" t="e">
        <f ca="1">IF($BA282&gt;$BA281,Control!$C$83,IF($AW282&gt;0,$AW282*Control!$C$84,IF(AND(Control!$B$18=1,EN281&lt;&gt;0),Control!$C$84,0)))</f>
        <v>#N/A</v>
      </c>
      <c r="BC282" s="140" t="e">
        <f t="shared" ca="1" si="1058"/>
        <v>#N/A</v>
      </c>
      <c r="BD282" s="140" t="e">
        <f ca="1">BC282*IF(OR($G282&lt;Control!$C$92,$G282&gt;Control!$C$95),0,IF(AND($G282&gt;=Control!$C$92,$G282&lt;=Control!$C$93),$G282-Control!$C$92,IF(AND($G282&gt;Control!$C$93,$G282&lt;=Control!$C$94),Control!$C$93-Control!$C$92,IF(AND($G282&gt;Control!$C$94,$G282&lt;=Control!$C$95),(Control!$C$93-Control!$C$92)*(Control!$C$94-$G282)/(Control!$C$95-Control!$C$94)))))</f>
        <v>#N/A</v>
      </c>
      <c r="BE282" s="140" t="e">
        <f t="shared" ca="1" si="1059"/>
        <v>#N/A</v>
      </c>
      <c r="BF282" s="140" t="e">
        <f ca="1">IF($BE282&lt;=Control!$C$86,$BE282,Control!$C$86-$BE282)</f>
        <v>#N/A</v>
      </c>
      <c r="BG282" s="140" t="e">
        <f ca="1">IF(AND($AW282=1,Control!$C$84&lt;9),1,IF($BE282&gt;=Control!$C$86,0,$BC282))</f>
        <v>#N/A</v>
      </c>
      <c r="BH282" s="404" t="e">
        <f ca="1">IF($BG282=0,0,IF($BE282&lt;=Control!$C$86,$BC282*9*($BF282/Control!$C$86),0))</f>
        <v>#N/A</v>
      </c>
      <c r="BI282" s="140" t="e">
        <f ca="1">IF($BG282=1,0,IF($BE282&gt;=Control!$C$86,1,IF(AND($BB282&lt;21,$BB282&gt;=9),1,$BM281)))</f>
        <v>#N/A</v>
      </c>
      <c r="BJ282" s="140" t="e">
        <f ca="1">IF($BF282&lt;0,-$BF282,$BI282*IF(OR($G282&lt;Control!$C$92,$G282&gt;Control!$C$95),0,IF(AND($G282&gt;=Control!$C$92,$G282&lt;=Control!$C$93),$G282-Control!$C$92,IF(AND($G282&gt;Control!$C$93,$G282&lt;=Control!$C$94),Control!$C$93-Control!$C$92,IF(AND($G282&gt;Control!$C$94,$G282&lt;=Control!$C$95),(Control!$C$93-Control!$C$92)*(Control!$C$94-$G282)/(Control!$C$95-Control!$C$94))))))</f>
        <v>#N/A</v>
      </c>
      <c r="BK282" s="140" t="e">
        <f t="shared" ca="1" si="1060"/>
        <v>#N/A</v>
      </c>
      <c r="BL282" s="140" t="e">
        <f ca="1">IF($BK282&lt;=Control!$C$87,$BK282,Control!$C$87-$BK282)</f>
        <v>#N/A</v>
      </c>
      <c r="BM282" s="140" t="e">
        <f ca="1">IF(AND($BB282&gt;=9,$BB282&lt;21),1,IF($BK282&gt;=Control!$C$87,0,$BI282))</f>
        <v>#N/A</v>
      </c>
      <c r="BN282" s="404" t="e">
        <f ca="1">IF($BM282=0,0,IF($BK282&lt;=Control!$C$87,$BI282*(9+(21-9)*($BL282/Control!$C$87)),0))</f>
        <v>#N/A</v>
      </c>
      <c r="BO282" s="140" t="e">
        <f ca="1">IF($BM282=1,0,IF($BK282&gt;=Control!$C$87,1,IF(AND($BB282&lt;30,$BB282&gt;=21),1,$BS281)))</f>
        <v>#N/A</v>
      </c>
      <c r="BP282" s="140" t="e">
        <f ca="1">IF($BL282&lt;0,-$BL282,$BO282*IF(OR($G282&lt;Control!$C$92,$G282&gt;Control!$C$95),0,IF(AND($G282&gt;=Control!$C$92,$G282&lt;=Control!$C$93),$G282-Control!$C$92,IF(AND($G282&gt;Control!$C$93,$G282&lt;=Control!$C$94),Control!$C$93-Control!$C$92,IF(AND($G282&gt;Control!$C$94,$G282&lt;=Control!$C$95),(Control!$C$93-Control!$C$92)*(Control!$C$94-$G282)/(Control!$C$95-Control!$C$94))))))</f>
        <v>#N/A</v>
      </c>
      <c r="BQ282" s="140" t="e">
        <f t="shared" ca="1" si="944"/>
        <v>#N/A</v>
      </c>
      <c r="BR282" s="140" t="e">
        <f ca="1">IF($BQ282&lt;=Control!$C$88,$BQ282,Control!$C$88-$BQ282)</f>
        <v>#N/A</v>
      </c>
      <c r="BS282" s="140" t="e">
        <f ca="1">IF(AND($BB282&gt;=21,$BB282&lt;30),1,IF($BQ282&gt;=Control!$C$88,0,$BO282))</f>
        <v>#N/A</v>
      </c>
      <c r="BT282" s="404" t="e">
        <f ca="1">IF($BS282=0,0,IF($BQ282&lt;=Control!$C$88,$BO282*(21+(30-21)*(BR282/Control!$C$88)),0))</f>
        <v>#N/A</v>
      </c>
      <c r="BU282" s="140" t="e">
        <f ca="1">IF(BG282+BM282+BS282=1,0,IF(OR(AND($BB282&lt;60,$BB282&gt;=30),$BQ282&gt;=Control!$C$88),1*$BA282,$BY281))</f>
        <v>#N/A</v>
      </c>
      <c r="BV282" s="140" t="e">
        <f ca="1">IF($BR282&lt;0,-$BR282,$BU282*IF(OR($G282&lt;Control!$C$92,$G282&gt;Control!$C$95),0,IF(AND($G282&gt;=Control!$C$92,$G282&lt;=Control!$C$93),$G282-Control!$C$92,IF(AND($G282&gt;Control!$C$93,$G282&lt;=Control!$C$94),Control!$C$93-Control!$C$92,IF(AND($G282&gt;Control!$C$94,$G282&lt;=Control!$C$95),(Control!$C$93-Control!$C$92)*(Control!$C$94-$G282)/(Control!$C$95-Control!$C$94))))))</f>
        <v>#N/A</v>
      </c>
      <c r="BW282" s="140" t="e">
        <f t="shared" ca="1" si="945"/>
        <v>#N/A</v>
      </c>
      <c r="BX282" s="140" t="e">
        <f ca="1">IF($BW282&lt;=Control!$C$89,$BW282,Control!$C$89-$BW282)</f>
        <v>#N/A</v>
      </c>
      <c r="BY282" s="140" t="e">
        <f ca="1">IF(AND($AJ282&gt;=30,$AJ282&lt;60),1,IF($BW282&gt;=Control!$C$89,0,$BU282))</f>
        <v>#N/A</v>
      </c>
      <c r="BZ282" s="404" t="e">
        <f ca="1">IF($BY282=0,0,IF($BW282&lt;=Control!$C$89,$BU282*(30+(60-30)*(BX282/Control!$C$89)),0))</f>
        <v>#N/A</v>
      </c>
      <c r="CA282" s="140" t="e">
        <f ca="1">IF($BG282+$BM282+$BS282+$BY282=1,0,IF(OR(AND($BB282&lt;65,$BB282&gt;=60),$BW282&gt;=Control!$C$89),1*$BA282,$CE281))</f>
        <v>#N/A</v>
      </c>
      <c r="CB282" s="140" t="e">
        <f ca="1">IF($BX282&lt;0,-$BX282,$CA282*IF(OR($G282&lt;Control!$C$92,$G282&gt;Control!$C$95),0,IF(AND($G282&gt;=Control!$C$92,$G282&lt;=Control!$C$93),$G282-Control!$C$92,IF(AND($G282&gt;Control!$C$93,$G282&lt;=Control!$C$94),Control!$C$93-Control!$C$92,IF(AND($G282&gt;Control!$C$94,$G282&lt;=Control!$C$95),(Control!$C$93-Control!$C$92)*(Control!$C$94-$G282)/(Control!$C$95-Control!$C$94))))))</f>
        <v>#N/A</v>
      </c>
      <c r="CC282" s="140" t="e">
        <f t="shared" ca="1" si="1061"/>
        <v>#N/A</v>
      </c>
      <c r="CD282" s="140" t="e">
        <f ca="1">IF($CC282&lt;=Control!$C$90,$CC282,Control!$C$90-$CC282)</f>
        <v>#N/A</v>
      </c>
      <c r="CE282" s="140" t="e">
        <f ca="1">IF(AND($BB282&gt;=60,$BB282&lt;65),1,IF($CC282&gt;=Control!$C$90,0,$CA282))</f>
        <v>#N/A</v>
      </c>
      <c r="CF282" s="404" t="e">
        <f ca="1">IF($CE282=0,0,IF($CC282&lt;=Control!$C$90,$CA282*(60+(65-60)*(CD282/Control!$C$90)),0))</f>
        <v>#N/A</v>
      </c>
      <c r="CG282" s="140" t="e">
        <f ca="1">IF($BG282+$BM282+$BS282+$BY282+$CE282=1,0,IF(OR(AND($BB282&lt;90,$BB282&gt;=65),$CC282&gt;=Control!$C$90),$BA282,$CK281))</f>
        <v>#N/A</v>
      </c>
      <c r="CH282" s="140" t="e">
        <f ca="1">IF($CD282&lt;0,-$CD282,$CG282*IF(OR($G282&lt;Control!$C$92,$G282&gt;Control!$C$95),0,IF(AND($G282&gt;=Control!$C$92,$G282&lt;=Control!$C$93),$G282-Control!$C$92,IF(AND($G282&gt;Control!$C$93,$G282&lt;=Control!$C$94),Control!$C$93-Control!$C$92,IF(AND($G282&gt;Control!$C$94,$G282&lt;=Control!$C$95),(Control!$C$93-Control!$C$92)*(Control!$C$94-$G282)/(Control!$C$95-Control!$C$94))))))</f>
        <v>#N/A</v>
      </c>
      <c r="CI282" s="140" t="e">
        <f t="shared" ca="1" si="1062"/>
        <v>#N/A</v>
      </c>
      <c r="CJ282" s="140" t="e">
        <f ca="1">IF($CI282&lt;=Control!$C$91,$CI282,Control!$C$91-$CI282)</f>
        <v>#N/A</v>
      </c>
      <c r="CK282" s="140" t="e">
        <f ca="1">IF(AND($BB282&gt;=65,$BB282&lt;90),1,IF($CI282&gt;=Control!$C$91,0,$CG282))</f>
        <v>#N/A</v>
      </c>
      <c r="CL282" s="404" t="e">
        <f ca="1">IF($CK282=0,0,IF($CI282&lt;=Control!$C$91,$CG282*(65+(90-65)*($CJ282/Control!$C$91)),0))</f>
        <v>#N/A</v>
      </c>
      <c r="CM282" s="140" t="e">
        <f ca="1">IF($BG282+$BM282+$BS282+$BY282+$CE282+$CK282=1,0,IF(OR($BB282&gt;=90,$CI282&gt;=Control!$C$91),$BA282,$CM281))</f>
        <v>#N/A</v>
      </c>
      <c r="CN282" s="140" t="e">
        <f t="shared" ca="1" si="1063"/>
        <v>#N/A</v>
      </c>
      <c r="CO282" s="140" t="e">
        <f t="shared" ca="1" si="1064"/>
        <v>#N/A</v>
      </c>
      <c r="CP282" s="140" t="e">
        <f t="shared" ca="1" si="1065"/>
        <v>#N/A</v>
      </c>
      <c r="CQ282" s="141" t="e">
        <f ca="1">VLOOKUP($CP282,Control!$B$86:$G$91,6)</f>
        <v>#N/A</v>
      </c>
      <c r="CR282" s="141" t="e">
        <f ca="1">(1-$CQ282)*VLOOKUP($CP282,Control!$B$86:$D$91,3)</f>
        <v>#N/A</v>
      </c>
      <c r="CS282" s="141" t="e">
        <f ca="1">(1-$CQ282)*VLOOKUP($CP282,Control!$B$86:$E$91,4)</f>
        <v>#N/A</v>
      </c>
      <c r="CT282" s="141" t="e">
        <f ca="1">(1-$CQ282)*VLOOKUP($CP282,Control!$B$86:$F$91,5)</f>
        <v>#N/A</v>
      </c>
      <c r="CU282" s="141">
        <f t="shared" ca="1" si="1066"/>
        <v>0</v>
      </c>
      <c r="CV282" s="583">
        <f t="shared" ca="1" si="1067"/>
        <v>0</v>
      </c>
      <c r="CW282" s="142">
        <f t="shared" ca="1" si="1068"/>
        <v>278</v>
      </c>
      <c r="CX282" s="612" t="e">
        <f ca="1">IF(Control!$C$114=1,(MIN(Control!$C$120*(IF($NT282-0.01&lt;0,0,1)),Control!$C$119-$CY282)))</f>
        <v>#DIV/0!</v>
      </c>
      <c r="CY282" s="143" t="e">
        <f t="shared" ca="1" si="1069"/>
        <v>#N/A</v>
      </c>
      <c r="CZ282" s="144">
        <f t="shared" ca="1" si="946"/>
        <v>0</v>
      </c>
      <c r="DA282" s="144">
        <f t="shared" ca="1" si="947"/>
        <v>0</v>
      </c>
      <c r="DB282" s="144" t="e">
        <f t="shared" ca="1" si="948"/>
        <v>#N/A</v>
      </c>
      <c r="DC282" s="144" t="e">
        <f t="shared" ca="1" si="949"/>
        <v>#N/A</v>
      </c>
      <c r="DD282" s="144" t="e">
        <f t="shared" ca="1" si="1154"/>
        <v>#N/A</v>
      </c>
      <c r="DE282" s="143" t="e">
        <f t="shared" ca="1" si="1070"/>
        <v>#N/A</v>
      </c>
      <c r="DF282" s="145" t="e">
        <f ca="1">$DR282*EXP(-Control!$C$158*(1-$KH282))</f>
        <v>#N/A</v>
      </c>
      <c r="DG282" s="146" t="e">
        <f ca="1">IF(Control!$C$114=1, $DF282*$EY282, 0)</f>
        <v>#N/A</v>
      </c>
      <c r="DH282" s="147" t="e">
        <f t="shared" ca="1" si="1071"/>
        <v>#N/A</v>
      </c>
      <c r="DI282" s="144" t="e">
        <f t="shared" ca="1" si="1132"/>
        <v>#N/A</v>
      </c>
      <c r="DJ282" s="147" t="e">
        <f ca="1">$EF282*Control!$C$109</f>
        <v>#N/A</v>
      </c>
      <c r="DK282" s="144" t="e">
        <f t="shared" ca="1" si="1072"/>
        <v>#N/A</v>
      </c>
      <c r="DL282" s="144" t="e">
        <f t="shared" ca="1" si="950"/>
        <v>#N/A</v>
      </c>
      <c r="DM282" s="144" t="e">
        <f ca="1">IF(Control!$C$114=1, (1-EXP(-Control!$C$96*$DK282))*$AR282, 0)</f>
        <v>#N/A</v>
      </c>
      <c r="DN282" s="144">
        <f t="shared" ca="1" si="1073"/>
        <v>0</v>
      </c>
      <c r="DO282" s="148">
        <f>Control!$C$97</f>
        <v>4</v>
      </c>
      <c r="DP282" s="145" t="e">
        <f t="shared" ca="1" si="1074"/>
        <v>#N/A</v>
      </c>
      <c r="DQ282" s="145" t="e">
        <f ca="1">IF(AND($CP282&gt;=0,$CP282&lt;=90),Control!$C$111,Control!$C$111)</f>
        <v>#N/A</v>
      </c>
      <c r="DR282" s="145" t="e">
        <f t="shared" ca="1" si="951"/>
        <v>#N/A</v>
      </c>
      <c r="DS282" s="143" t="e">
        <f ca="1">Control!$B$22/$DR282</f>
        <v>#N/A</v>
      </c>
      <c r="DT282" s="149" t="e">
        <f ca="1">IF(AND(Control!$C$114=1,$KH282&lt;1),$IM282*$DF282, 0)</f>
        <v>#N/A</v>
      </c>
      <c r="DU282" s="144" t="e">
        <f t="shared" ca="1" si="1075"/>
        <v>#N/A</v>
      </c>
      <c r="DV282" s="144">
        <f ca="1">IF($G282-Control!$C$107&lt;=0, 0, 0.83*LN(MAX($G282, 3))-0.8924)</f>
        <v>0</v>
      </c>
      <c r="DW282" s="144" t="e">
        <f t="shared" ca="1" si="952"/>
        <v>#N/A</v>
      </c>
      <c r="DX282" s="150" t="e">
        <f ca="1">MAX(0.01*(1+$CU282/Control!$C$102),0.05*($DK282-Control!$C$97)/Control!$C$97)</f>
        <v>#N/A</v>
      </c>
      <c r="DY282" s="151" t="e">
        <f ca="1">IF(Control!$C$114=1, $DI282*$FS282, 0)</f>
        <v>#N/A</v>
      </c>
      <c r="DZ282" s="196" t="e">
        <f t="shared" ca="1" si="1076"/>
        <v>#N/A</v>
      </c>
      <c r="EA282" s="152">
        <f t="shared" ca="1" si="1077"/>
        <v>278</v>
      </c>
      <c r="EB282" s="153" t="e">
        <f t="shared" ca="1" si="1078"/>
        <v>#N/A</v>
      </c>
      <c r="EC282" s="153" t="e">
        <f t="shared" ca="1" si="1079"/>
        <v>#N/A</v>
      </c>
      <c r="ED282" s="154" t="e">
        <f ca="1">IF(Control!$C$114=1, $HM282*$FY282-$FD282, 0)</f>
        <v>#DIV/0!</v>
      </c>
      <c r="EE282" s="155" t="e">
        <f ca="1">IF(Control!$C$114=1, $HM282*$FZ282-$FF282, 0)</f>
        <v>#DIV/0!</v>
      </c>
      <c r="EF282" s="153" t="e">
        <f t="shared" ca="1" si="1133"/>
        <v>#N/A</v>
      </c>
      <c r="EG282" s="155" t="e">
        <f ca="1">IF(Control!$C$114=1, $GX282*$FW282-$FI282, 0)</f>
        <v>#DIV/0!</v>
      </c>
      <c r="EH282" s="153" t="e">
        <f t="shared" ca="1" si="1080"/>
        <v>#N/A</v>
      </c>
      <c r="EI282" s="156" t="e">
        <f t="shared" ca="1" si="1081"/>
        <v>#N/A</v>
      </c>
      <c r="EJ282" s="155" t="e">
        <f ca="1">IF(Control!$C$114=1, $HM282*$GB282, 0)</f>
        <v>#DIV/0!</v>
      </c>
      <c r="EK282" s="153" t="e">
        <f t="shared" ca="1" si="1134"/>
        <v>#N/A</v>
      </c>
      <c r="EL282" s="153" t="e">
        <f t="shared" ca="1" si="953"/>
        <v>#N/A</v>
      </c>
      <c r="EM282" s="153" t="e">
        <f t="shared" ca="1" si="954"/>
        <v>#N/A</v>
      </c>
      <c r="EN282" s="153" t="e">
        <f ca="1">IF(Control!$C$108=1,IF(AND(Control!$B$18=1,$EB282&gt;=Control!$B$19),$EB282-$DS282,IF(AND(Control!$B$18=2,$AW282=1,$EB282&gt;$DS282),$EB282-$DS282,0)))</f>
        <v>#N/A</v>
      </c>
      <c r="EO282" s="153" t="e">
        <f ca="1">IF(Control!$C$108=1,IF(AND(Control!$B$18=1,$EB282&gt;=Control!$B$19),$EF282,IF(AND(Control!$B$18=2,$AW282=1),$EF282,0)))</f>
        <v>#N/A</v>
      </c>
      <c r="EP282" s="153" t="e">
        <f ca="1">IF(Control!$C$108=1,IF(AND(Control!$B$18=1,$EB282&gt;=Control!$B$19),$EK282,IF(AND(Control!$B$18=2,$AW282=1),$EK282,0)))</f>
        <v>#N/A</v>
      </c>
      <c r="EQ282" s="153" t="e">
        <f t="shared" ca="1" si="1082"/>
        <v>#N/A</v>
      </c>
      <c r="ER282" s="153" t="e">
        <f t="shared" ca="1" si="1083"/>
        <v>#N/A</v>
      </c>
      <c r="ES282" s="153" t="e">
        <f t="shared" ca="1" si="1135"/>
        <v>#N/A</v>
      </c>
      <c r="ET282" s="153" t="e">
        <f t="shared" ca="1" si="1136"/>
        <v>#N/A</v>
      </c>
      <c r="EU282" s="153" t="e">
        <f t="shared" ca="1" si="1084"/>
        <v>#N/A</v>
      </c>
      <c r="EV282" s="153" t="e">
        <f t="shared" ca="1" si="955"/>
        <v>#N/A</v>
      </c>
      <c r="EW282" s="153" t="e">
        <f t="shared" ca="1" si="956"/>
        <v>#N/A</v>
      </c>
      <c r="EX282" s="153" t="e">
        <f t="shared" ca="1" si="957"/>
        <v>#N/A</v>
      </c>
      <c r="EY282" s="157" t="e">
        <f t="shared" ca="1" si="958"/>
        <v>#DIV/0!</v>
      </c>
      <c r="EZ282" s="154" t="e">
        <f t="shared" ca="1" si="959"/>
        <v>#DIV/0!</v>
      </c>
      <c r="FA282" s="153" t="e">
        <f t="shared" ca="1" si="1085"/>
        <v>#N/A</v>
      </c>
      <c r="FB282" s="153" t="e">
        <f t="shared" ca="1" si="960"/>
        <v>#N/A</v>
      </c>
      <c r="FC282" s="193" t="e">
        <f t="shared" ca="1" si="961"/>
        <v>#N/A</v>
      </c>
      <c r="FD282" s="158" t="e">
        <f t="shared" ca="1" si="1086"/>
        <v>#N/A</v>
      </c>
      <c r="FE282" s="158" t="e">
        <f t="shared" ca="1" si="1087"/>
        <v>#N/A</v>
      </c>
      <c r="FF282" s="159" t="e">
        <f t="shared" ca="1" si="962"/>
        <v>#N/A</v>
      </c>
      <c r="FG282" s="160" t="e">
        <f t="shared" ca="1" si="1088"/>
        <v>#N/A</v>
      </c>
      <c r="FH282" s="158" t="e">
        <f t="shared" ca="1" si="1089"/>
        <v>#N/A</v>
      </c>
      <c r="FI282" s="159" t="e">
        <f t="shared" ca="1" si="963"/>
        <v>#N/A</v>
      </c>
      <c r="FJ282" s="160" t="e">
        <f t="shared" ca="1" si="1090"/>
        <v>#N/A</v>
      </c>
      <c r="FK282" s="160" t="e">
        <f t="shared" ca="1" si="964"/>
        <v>#N/A</v>
      </c>
      <c r="FL282" s="160" t="e">
        <f t="shared" ca="1" si="1137"/>
        <v>#N/A</v>
      </c>
      <c r="FM282" s="160" t="e">
        <f t="shared" ca="1" si="965"/>
        <v>#N/A</v>
      </c>
      <c r="FN282" s="158">
        <f t="shared" ca="1" si="1091"/>
        <v>0.01</v>
      </c>
      <c r="FO282" s="160">
        <f>Control!$C$101</f>
        <v>50</v>
      </c>
      <c r="FP282" s="150" t="e">
        <f t="shared" ca="1" si="966"/>
        <v>#N/A</v>
      </c>
      <c r="FQ282" s="150" t="e">
        <f ca="1">MAX(0,(Control!$C$112*(($DK282-Control!$C$97)/Control!$C$97)))</f>
        <v>#N/A</v>
      </c>
      <c r="FR282" s="150" t="e">
        <f ca="1">(1-$NT282)*Control!$C$113</f>
        <v>#DIV/0!</v>
      </c>
      <c r="FS282" s="198" t="e">
        <f t="shared" ca="1" si="967"/>
        <v>#N/A</v>
      </c>
      <c r="FT282" s="161">
        <f t="shared" ca="1" si="1092"/>
        <v>278</v>
      </c>
      <c r="FU282" s="162" t="e">
        <f ca="1">IF(Control!$B$34=1,VLOOKUP($CP282,Control!$B$86:$G$91,6),Control!$B$35)</f>
        <v>#N/A</v>
      </c>
      <c r="FV282" s="162" t="e">
        <f t="shared" ca="1" si="968"/>
        <v>#DIV/0!</v>
      </c>
      <c r="FW282" s="162" t="e">
        <f ca="1">IF(Control!$B$31=1,$FU282*$FV282,  $FU282)</f>
        <v>#N/A</v>
      </c>
      <c r="FX282" s="162" t="e">
        <f ca="1">IF(Control!$B$34=1,VLOOKUP($CP282,Control!$B$86:$G$91,3),Control!$B$36)</f>
        <v>#N/A</v>
      </c>
      <c r="FY282" s="162" t="e">
        <f t="shared" ca="1" si="969"/>
        <v>#N/A</v>
      </c>
      <c r="FZ282" s="162" t="e">
        <f ca="1">IF(Control!$B$34=1,VLOOKUP($CP282,Control!$B$86:$G$91,4),Control!$B$37)</f>
        <v>#N/A</v>
      </c>
      <c r="GA282" s="162" t="e">
        <f t="shared" ca="1" si="970"/>
        <v>#N/A</v>
      </c>
      <c r="GB282" s="162" t="e">
        <f ca="1">IF(Control!$B$34=1,VLOOKUP($CP282,Control!$B$86:$G$91,5),Control!$B$38)</f>
        <v>#N/A</v>
      </c>
      <c r="GC282" s="162" t="e">
        <f t="shared" ca="1" si="1093"/>
        <v>#N/A</v>
      </c>
      <c r="GD282" s="162">
        <f t="shared" ca="1" si="971"/>
        <v>1</v>
      </c>
      <c r="GE282" s="162">
        <f t="shared" ca="1" si="972"/>
        <v>1</v>
      </c>
      <c r="GF282" s="162">
        <f ca="1">IF(AND(Control!$C$104=1, Control!$C$62="F"),$GE282,1)</f>
        <v>1</v>
      </c>
      <c r="GG282" s="162" t="e">
        <f ca="1">IF(Control!$B$16=40,0,IF(AND(Control!$B$16&gt;40,Control!$B$16&lt;=360),(Control!$B$16-40)*((1-0)/(360-40)),IF(AND(Control!$B$16&gt;360,Control!$B$16&lt;=720),(1+(Control!$B$16-360)*((1.25-1)/(720-360))),IF(AND(Control!$B$16&gt;720,Control!$B$16&lt;=1000),(1.25+(Control!$B$16-720)*((1.35-1.25)/(1000-720))),IF(AND(Control!$B$16&gt;1000,Control!$B$16&lt;=2000),(1.35+(Control!$B$16-1000)*0))))))</f>
        <v>#N/A</v>
      </c>
      <c r="GH282" s="162" t="e">
        <f t="shared" ca="1" si="973"/>
        <v>#N/A</v>
      </c>
      <c r="GI282" s="162">
        <f t="shared" ca="1" si="1094"/>
        <v>0</v>
      </c>
      <c r="GJ282" s="162">
        <f t="shared" ca="1" si="974"/>
        <v>0</v>
      </c>
      <c r="GK282" s="162">
        <f t="shared" ca="1" si="1095"/>
        <v>1</v>
      </c>
      <c r="GL282" s="162">
        <f t="shared" ca="1" si="975"/>
        <v>1</v>
      </c>
      <c r="GM282" s="162" t="e">
        <f ca="1">MAX(0,MIN(1,1-Control!$C$156*(1.0001-$KH282)^2))</f>
        <v>#N/A</v>
      </c>
      <c r="GN282" s="162" t="e">
        <f ca="1">IF(Control!$B$26=1,$KU282,$KX282)</f>
        <v>#N/A</v>
      </c>
      <c r="GO282" s="162" t="e">
        <f ca="1">IF($CP282&lt;=60,Control!$C$105,IF($CP282&gt;=90,Control!$C$106,Control!$C$105+($CP282-60)*((Control!$C$106-Control!$C$105)/(90-60))))</f>
        <v>#N/A</v>
      </c>
      <c r="GP282" s="162" t="e">
        <f t="shared" ca="1" si="976"/>
        <v>#N/A</v>
      </c>
      <c r="GQ282" s="162" t="e">
        <f t="shared" ca="1" si="1096"/>
        <v>#N/A</v>
      </c>
      <c r="GR282" s="163" t="e">
        <f t="shared" ca="1" si="977"/>
        <v>#DIV/0!</v>
      </c>
      <c r="GS282" s="162" t="e">
        <f t="shared" ca="1" si="978"/>
        <v>#DIV/0!</v>
      </c>
      <c r="GT282" s="164" t="e">
        <f t="shared" ca="1" si="1097"/>
        <v>#N/A</v>
      </c>
      <c r="GU282" s="162" t="e">
        <f t="shared" ca="1" si="1098"/>
        <v>#N/A</v>
      </c>
      <c r="GV282" s="162" t="e">
        <f t="shared" ca="1" si="979"/>
        <v>#N/A</v>
      </c>
      <c r="GW282" s="162" t="e">
        <f t="shared" ca="1" si="980"/>
        <v>#DIV/0!</v>
      </c>
      <c r="GX282" s="162" t="e">
        <f t="shared" ca="1" si="1099"/>
        <v>#DIV/0!</v>
      </c>
      <c r="GY282" s="162" t="e">
        <f t="shared" ca="1" si="1100"/>
        <v>#DIV/0!</v>
      </c>
      <c r="GZ282" s="165" t="e">
        <f t="shared" ca="1" si="981"/>
        <v>#N/A</v>
      </c>
      <c r="HA282" s="162" t="e">
        <f ca="1">IF(Control!$C$114=1, $DI282*$FS282, 0)</f>
        <v>#N/A</v>
      </c>
      <c r="HB282" s="162" t="e">
        <f ca="1">$FA282/Control!$C$64</f>
        <v>#N/A</v>
      </c>
      <c r="HC282" s="162" t="e">
        <f t="shared" ca="1" si="982"/>
        <v>#DIV/0!</v>
      </c>
      <c r="HD282" s="162">
        <f ca="1">-ASIN(SIN(23.45*Control!$C$139)*COS(2*Control!$C$138*($AH282+10)/365))</f>
        <v>-9.6797493818990679E-2</v>
      </c>
      <c r="HE282" s="165">
        <f t="shared" ca="1" si="1101"/>
        <v>0</v>
      </c>
      <c r="HF282" s="166">
        <f ca="1">IF(AND(Control!$C$61="T",$HE282&gt;=Control!$C$103,Control!$C$114=0),$AH282,Control!$C$59)</f>
        <v>1</v>
      </c>
      <c r="HG282" s="166">
        <f ca="1">IF(AND(Control!$C$61="T",$HE282&gt;=Control!$C$103,Control!$C$114=0),$HF282,Control!$C$59)</f>
        <v>1</v>
      </c>
      <c r="HH282" s="165">
        <f ca="1">IF(AND(OR(Control!$C$60&lt;=0, $AH282= Control!$C$59, Control!$C$60 &gt;0, $AH282 = Control!$C$60)), Control!$C$59, IF(Control!$C$60&gt;0, 0))</f>
        <v>1</v>
      </c>
      <c r="HI282" s="165">
        <f ca="1">IF(AND(OR(Control!$C$60&lt;=0, $AH282= Control!$C$59, Control!$C$60 &gt;0, $AH282 = Control!$C$60)), Control!$C$60, IF(Control!$C$60&lt;=0, 0))</f>
        <v>0</v>
      </c>
      <c r="HJ282" s="166">
        <f ca="1">IF(AND(Control!$C$62="F",$CV282&gt;=Control!$C$102),$AH282,0)</f>
        <v>0</v>
      </c>
      <c r="HK282" s="165" t="e">
        <f t="shared" ca="1" si="1138"/>
        <v>#N/A</v>
      </c>
      <c r="HL282" s="166">
        <f ca="1">IF(AND(Control!$C$61="T",$HE282&gt;=Control!$C$103,Control!$C$114=0),$HF282,0)</f>
        <v>0</v>
      </c>
      <c r="HM282" s="201" t="e">
        <f t="shared" ca="1" si="983"/>
        <v>#DIV/0!</v>
      </c>
      <c r="HN282" s="215">
        <f t="shared" ca="1" si="1102"/>
        <v>278</v>
      </c>
      <c r="HO282" s="216" t="e">
        <f ca="1">IF(AND($CP282&gt;=0, $CP282&lt;=90), Control!$C$152, Control!$C$152)</f>
        <v>#N/A</v>
      </c>
      <c r="HP282" s="216" t="e">
        <f t="shared" ca="1" si="984"/>
        <v>#N/A</v>
      </c>
      <c r="HQ282" s="217" t="e">
        <f ca="1">IF(OR(Control!$B$26=1,Control!$B$26=2),$KV282,$KS282)</f>
        <v>#DIV/0!</v>
      </c>
      <c r="HR282" s="218" t="e">
        <f t="shared" ca="1" si="1139"/>
        <v>#DIV/0!</v>
      </c>
      <c r="HS282" s="216" t="e">
        <f ca="1">Control!$C$154*$HP282</f>
        <v>#N/A</v>
      </c>
      <c r="HT282" s="216" t="e">
        <f ca="1">Control!$C$155*$HP282</f>
        <v>#N/A</v>
      </c>
      <c r="HU282" s="217" t="e">
        <f ca="1">Control!$C$161*$FI282</f>
        <v>#N/A</v>
      </c>
      <c r="HV282" s="218" t="e">
        <f t="shared" ca="1" si="1103"/>
        <v>#N/A</v>
      </c>
      <c r="HW282" s="218" t="e">
        <f ca="1">Control!$C$160*$FF282+$IP282*$EO282</f>
        <v>#N/A</v>
      </c>
      <c r="HX282" s="218" t="e">
        <f t="shared" ca="1" si="1140"/>
        <v>#N/A</v>
      </c>
      <c r="HY282" s="219" t="e">
        <f ca="1">IF(Control!$C$114=1, $EB282*$FS282, 0)</f>
        <v>#N/A</v>
      </c>
      <c r="HZ282" s="91" t="e">
        <f t="shared" ca="1" si="985"/>
        <v>#N/A</v>
      </c>
      <c r="IA282" s="220" t="e">
        <f ca="1">Control!$C$153*$HO282</f>
        <v>#N/A</v>
      </c>
      <c r="IB282" s="218" t="e">
        <f t="shared" ca="1" si="986"/>
        <v>#N/A</v>
      </c>
      <c r="IC282" s="220" t="e">
        <f ca="1">Control!$C$153*$HT282</f>
        <v>#N/A</v>
      </c>
      <c r="ID282" s="218" t="e">
        <f t="shared" ca="1" si="987"/>
        <v>#N/A</v>
      </c>
      <c r="IE282" s="221" t="e">
        <f ca="1">($EB282*Control!$C$159+$EF282*Control!$C$160)/(IF($GZ282&lt;&gt;0,$GZ282,1))</f>
        <v>#N/A</v>
      </c>
      <c r="IF282" s="216" t="e">
        <f t="shared" ca="1" si="988"/>
        <v>#N/A</v>
      </c>
      <c r="IG282" s="91">
        <f ca="1">IF(OR(Control!$B$198=$AH282,Control!$B$199=$AH282, Control!$B$200=$AH282, Control!$B$201=$AH282, Control!$B$202=$AH282, Control!$B$203=$AH282, Control!$B$204=$AH282, Control!$B$205=$AH282, Control!$B$206=$AH282, Control!$B$207=$AH282), 1, 0)</f>
        <v>0</v>
      </c>
      <c r="IH282" s="91">
        <f ca="1">IF($IG282=0,0, VLOOKUP($AH282,Control!$B$198:$C$207,2))</f>
        <v>0</v>
      </c>
      <c r="II282" s="222">
        <f t="shared" ca="1" si="1104"/>
        <v>0</v>
      </c>
      <c r="IJ282" s="91">
        <f>Control!$C$121</f>
        <v>0.7</v>
      </c>
      <c r="IK282" s="218">
        <f t="shared" ca="1" si="989"/>
        <v>0</v>
      </c>
      <c r="IL282" s="217" t="e">
        <f t="shared" ca="1" si="1141"/>
        <v>#N/A</v>
      </c>
      <c r="IM282" s="223" t="e">
        <f ca="1">IF(AND(Control!$C$114=1,$KH282&lt;1),$EB282*Control!$C$148*(1-$KH282), 0)</f>
        <v>#N/A</v>
      </c>
      <c r="IN282" s="217" t="e">
        <f t="shared" ca="1" si="990"/>
        <v>#DIV/0!</v>
      </c>
      <c r="IO282" s="91" t="e">
        <f ca="1">MAX(0,$IL282-$EF282*Control!$C$160)</f>
        <v>#N/A</v>
      </c>
      <c r="IP282" s="220" t="e">
        <f t="shared" ca="1" si="991"/>
        <v>#N/A</v>
      </c>
      <c r="IQ282" s="217" t="e">
        <f t="shared" ca="1" si="1105"/>
        <v>#N/A</v>
      </c>
      <c r="IR282" s="218" t="e">
        <f t="shared" ca="1" si="992"/>
        <v>#N/A</v>
      </c>
      <c r="IS282" s="217" t="e">
        <f ca="1">Control!$C$159*MAX(0,$FD282-$EN282)</f>
        <v>#N/A</v>
      </c>
      <c r="IT282" s="217" t="e">
        <f t="shared" ca="1" si="1142"/>
        <v>#N/A</v>
      </c>
      <c r="IU282" s="217" t="e">
        <f t="shared" ca="1" si="1106"/>
        <v>#N/A</v>
      </c>
      <c r="IV282" s="217" t="e">
        <f t="shared" ca="1" si="1143"/>
        <v>#N/A</v>
      </c>
      <c r="IW282" s="217" t="e">
        <f ca="1">IF(OR($AW282=1,AND($AW282=0, Control!$B$18=1,$EN282&lt;&gt;0)), $IQ282-$IU282, $IQ282)</f>
        <v>#N/A</v>
      </c>
      <c r="IX282" s="218" t="e">
        <f t="shared" ca="1" si="993"/>
        <v>#N/A</v>
      </c>
      <c r="IY282" s="218" t="e">
        <f ca="1">MAX(0,$IQ282-$EB282*Control!$C$159)</f>
        <v>#N/A</v>
      </c>
      <c r="IZ282" s="218" t="e">
        <f t="shared" ca="1" si="994"/>
        <v>#N/A</v>
      </c>
      <c r="JA282" s="216" t="e">
        <f t="shared" ca="1" si="995"/>
        <v>#N/A</v>
      </c>
      <c r="JB282" s="217" t="e">
        <f t="shared" ca="1" si="996"/>
        <v>#N/A</v>
      </c>
      <c r="JC282" s="222" t="e">
        <f ca="1">MAX(Control!$C$157*$EK282-$JT282, 0)/Control!$C$162</f>
        <v>#N/A</v>
      </c>
      <c r="JD282" s="218" t="e">
        <f t="shared" ca="1" si="997"/>
        <v>#N/A</v>
      </c>
      <c r="JE282" s="218" t="e">
        <f t="shared" ca="1" si="998"/>
        <v>#N/A</v>
      </c>
      <c r="JF282" s="218" t="e">
        <f t="shared" ca="1" si="1107"/>
        <v>#N/A</v>
      </c>
      <c r="JG282" s="218" t="e">
        <f t="shared" ca="1" si="999"/>
        <v>#N/A</v>
      </c>
      <c r="JH282" s="217" t="e">
        <f t="shared" ca="1" si="1108"/>
        <v>#N/A</v>
      </c>
      <c r="JI282" s="217" t="e">
        <f t="shared" ca="1" si="1109"/>
        <v>#N/A</v>
      </c>
      <c r="JJ282" s="217" t="e">
        <f t="shared" ca="1" si="1144"/>
        <v>#N/A</v>
      </c>
      <c r="JK282" s="217" t="e">
        <f ca="1">IF(Control!$C$114=1,IF(Control!$B$24=0,MAX(0,$JI282)*$GN282/Control!$C$64,(MAX(0,MIN($JI282,$JJ282*$GN282/Control!$C$64),0))))</f>
        <v>#N/A</v>
      </c>
      <c r="JL282" s="217" t="e">
        <f ca="1">$IK282/Control!$C$64-$JK282+$HQ282</f>
        <v>#N/A</v>
      </c>
      <c r="JM282" s="217" t="e">
        <f ca="1">IF(Control!$C$114=1,($JB282/(IF($JI282&lt;&gt;0,$JI282,1)))*$JK282,0)</f>
        <v>#N/A</v>
      </c>
      <c r="JN282" s="217" t="e">
        <f ca="1">IF(Control!$C$114=1,($JG282/(IF($JI282&lt;&gt;0,$JI282,1)))*$JK282, 0)</f>
        <v>#N/A</v>
      </c>
      <c r="JO282" s="218" t="e">
        <f t="shared" ca="1" si="1000"/>
        <v>#N/A</v>
      </c>
      <c r="JP282" s="218" t="e">
        <f ca="1">MIN(($IY282+$IO282)*Control!$C$151, $JF282-$EH282*Control!$C$161)</f>
        <v>#N/A</v>
      </c>
      <c r="JQ282" s="218" t="e">
        <f t="shared" ca="1" si="1001"/>
        <v>#N/A</v>
      </c>
      <c r="JR282" s="217" t="e">
        <f ca="1">IF($CP282-Control!$C$150&lt;0, 0, $JQ282/Control!$C$162)</f>
        <v>#N/A</v>
      </c>
      <c r="JS282" s="218" t="e">
        <f t="shared" ca="1" si="1002"/>
        <v>#N/A</v>
      </c>
      <c r="JT282" s="218" t="e">
        <f t="shared" ca="1" si="1110"/>
        <v>#N/A</v>
      </c>
      <c r="JU282" s="218" t="e">
        <f t="shared" ca="1" si="1003"/>
        <v>#N/A</v>
      </c>
      <c r="JV282" s="218" t="e">
        <f t="shared" ca="1" si="1004"/>
        <v>#N/A</v>
      </c>
      <c r="JW282" s="216" t="e">
        <f t="shared" ca="1" si="1005"/>
        <v>#N/A</v>
      </c>
      <c r="JX282" s="91" t="e">
        <f t="shared" ca="1" si="1006"/>
        <v>#N/A</v>
      </c>
      <c r="JY282" s="218" t="e">
        <f t="shared" ca="1" si="1007"/>
        <v>#N/A</v>
      </c>
      <c r="JZ282" s="217" t="e">
        <f ca="1">IF(Control!$C$114=1,($IZ282/(IF($JI282&lt;&gt;0,$JI282,1)))*$JK282, 0)</f>
        <v>#N/A</v>
      </c>
      <c r="KA282" s="218" t="e">
        <f t="shared" ca="1" si="1145"/>
        <v>#N/A</v>
      </c>
      <c r="KB282" s="218" t="e">
        <f t="shared" ca="1" si="1111"/>
        <v>#N/A</v>
      </c>
      <c r="KC282" s="218" t="e">
        <f t="shared" ca="1" si="1008"/>
        <v>#N/A</v>
      </c>
      <c r="KD282" s="218" t="e">
        <f t="shared" ca="1" si="1009"/>
        <v>#N/A</v>
      </c>
      <c r="KE282" s="218" t="e">
        <f t="shared" ca="1" si="1010"/>
        <v>#N/A</v>
      </c>
      <c r="KF282" s="218" t="e">
        <f t="shared" ca="1" si="1011"/>
        <v>#N/A</v>
      </c>
      <c r="KG282" s="216" t="e">
        <f t="shared" ca="1" si="1012"/>
        <v>#N/A</v>
      </c>
      <c r="KH282" s="221" t="e">
        <f ca="1">IF(Control!$B$24=0,1,MAX(0.001,MIN(1,IF(($IF282-$IE282)&lt;&gt;0,($KG282-$IE282)/($IF282-$IE282),1))))</f>
        <v>#N/A</v>
      </c>
      <c r="KI282" s="222" t="e">
        <f ca="1">IF(Control!$C$114=1, $KI281+ $KH281, 0)</f>
        <v>#N/A</v>
      </c>
      <c r="KJ282" s="217" t="e">
        <f t="shared" ca="1" si="1013"/>
        <v>#N/A</v>
      </c>
      <c r="KK282" s="218" t="e">
        <f t="shared" ca="1" si="1014"/>
        <v>#N/A</v>
      </c>
      <c r="KL282" s="274" t="e">
        <f ca="1">IF(Control!$B$26=3,4000000000*EXP(-8400/($G282+273)),IF(Control!$B$26=4,4000000000*EXP(-8400/($G282+273))*($KT282),0))</f>
        <v>#DIV/0!</v>
      </c>
      <c r="KM282" s="274" t="e">
        <f ca="1">IF(Control!$B$26=3,5600000000000*EXP(-9800/($G282+273)),IF(Control!$B$26=4,5600000000000*EXP(-9800/($G282+273))*$KT282,0))</f>
        <v>#DIV/0!</v>
      </c>
      <c r="KN282" s="454" t="e">
        <f t="shared" ca="1" si="1112"/>
        <v>#DIV/0!</v>
      </c>
      <c r="KO282" s="274" t="e">
        <f t="shared" ca="1" si="1113"/>
        <v>#DIV/0!</v>
      </c>
      <c r="KP282" s="454" t="e">
        <f t="shared" ca="1" si="1015"/>
        <v>#DIV/0!</v>
      </c>
      <c r="KQ282" s="454" t="e">
        <f t="shared" ca="1" si="1016"/>
        <v>#DIV/0!</v>
      </c>
      <c r="KR282" s="454" t="e">
        <f t="shared" ca="1" si="1017"/>
        <v>#DIV/0!</v>
      </c>
      <c r="KS282" s="454" t="e">
        <f t="shared" ca="1" si="1018"/>
        <v>#DIV/0!</v>
      </c>
      <c r="KT282" s="455" t="e">
        <f t="shared" ca="1" si="1019"/>
        <v>#DIV/0!</v>
      </c>
      <c r="KU282" s="456" t="e">
        <f ca="1">IF($CP282-Control!$C$149&lt;0, IF($NT282-0.01&lt;0,0,1),0)</f>
        <v>#N/A</v>
      </c>
      <c r="KV282" s="456" t="e">
        <f ca="1">IF(Control!$C$114=1,MAX(0,MIN(Control!$C$125*$KW282*$GN282,$KW282)))</f>
        <v>#DIV/0!</v>
      </c>
      <c r="KW282" s="456" t="e">
        <f t="shared" ca="1" si="1146"/>
        <v>#DIV/0!</v>
      </c>
      <c r="KX282" s="457" t="e">
        <f ca="1">IF($CP282-Control!$C$149&lt;0, IF($MR282-$OM282&lt;0,0,1),0)</f>
        <v>#N/A</v>
      </c>
      <c r="KY282" s="167">
        <f t="shared" ca="1" si="1114"/>
        <v>278</v>
      </c>
      <c r="KZ282" s="168">
        <f ca="1">1370*(1+0.033*COS(2*Control!$C$138*$AH282/365))</f>
        <v>1373.3051354004756</v>
      </c>
      <c r="LA282" s="169">
        <f t="shared" ca="1" si="1115"/>
        <v>1.0024121392866365</v>
      </c>
      <c r="LB282" s="169">
        <f t="shared" ca="1" si="1116"/>
        <v>-0.1027554061923341</v>
      </c>
      <c r="LC282" s="169">
        <f ca="1">ACOS(-TAN((2*Control!$B$8/360))*TAN(Calculations!$LB282))</f>
        <v>1.5401443582377654</v>
      </c>
      <c r="LD282" s="169">
        <f ca="1">((24*60)/PI())*0.082*$LA282*(($LC282*SIN(Control!$B$8*2*PI()/360))*SIN($LB282)+COS(Control!$B$8*2*PI()/360)*COS($LB282)*SIN($LC282))</f>
        <v>18.372534680007618</v>
      </c>
      <c r="LE282" s="170">
        <f t="shared" ca="1" si="1020"/>
        <v>18.803607730510656</v>
      </c>
      <c r="LF282" s="170">
        <f ca="1">SIN(Control!$C$139*Control!$B$8)*SIN($HD282)</f>
        <v>-7.6158531264388929E-2</v>
      </c>
      <c r="LG282" s="170">
        <f ca="1">COS(Control!$C$139*Control!$B$8)*COS($HD282)</f>
        <v>0.61277776362028891</v>
      </c>
      <c r="LH282" s="170">
        <f ca="1">12*(1+2*ASIN(MAX(-1,MIN(1,$LF282/$LG282))/Control!$C$138))</f>
        <v>11.050293821097572</v>
      </c>
      <c r="LI282" s="170">
        <f ca="1">12*(1+2*ASIN(MAX(-1,MIN(1,(-SIN(-4*Control!$C$139)+$LF282)/$LG282))/Control!$C$138))</f>
        <v>11.920188278086833</v>
      </c>
      <c r="LJ282" s="168">
        <f ca="1">3600*($LH282*$LF282+24*$LG282*SQRT(1-$LK282*$LK282)/Control!$C$138)</f>
        <v>13692.228511930272</v>
      </c>
      <c r="LK282" s="170">
        <f t="shared" ca="1" si="1021"/>
        <v>-0.12428409740987433</v>
      </c>
      <c r="LL282" s="170">
        <f t="shared" ca="1" si="1022"/>
        <v>0</v>
      </c>
      <c r="LM282" s="171">
        <f ca="1">Control!$C$145*$AB282</f>
        <v>6.6660906138995932E-2</v>
      </c>
      <c r="LN282" s="170">
        <f t="shared" ca="1" si="1117"/>
        <v>0.54</v>
      </c>
      <c r="LO282" s="170">
        <f t="shared" ca="1" si="1023"/>
        <v>0</v>
      </c>
      <c r="LP282" s="170">
        <f ca="1">Control!$C$140*((($D282+273.16)^4+($E282+273.16)^4)/2)*(0.34-0.14*SQRT($Y282))*(1.35*$AQ282/(0.75*$LD282)-0.35)</f>
        <v>-3.2464704755046001</v>
      </c>
      <c r="LQ282" s="170">
        <f ca="1">Control!$C$140*($G282+273)^4*(0.56-0.079*SQRT($Y282*10))*(0.1+0.9*$LO282)</f>
        <v>1.5241745131704001</v>
      </c>
      <c r="LR282" s="170">
        <f ca="1">$AQ282*(1-Control!$C$142)-$LQ282</f>
        <v>-1.5241745131704001</v>
      </c>
      <c r="LS282" s="170">
        <f ca="1">$AQ282*(1-Control!$C$143)-$LQ282</f>
        <v>-1.5241745131704001</v>
      </c>
      <c r="LT282" s="170">
        <f ca="1">$AQ282*(1-Control!$C$144)-$LQ282</f>
        <v>-1.5241745131704001</v>
      </c>
      <c r="LU282" s="169">
        <f ca="1">(1-Control!$C$144)*AQ282-LP282</f>
        <v>3.2464704755046001</v>
      </c>
      <c r="LV282" s="172">
        <f t="shared" ca="1" si="1024"/>
        <v>0.79430000000000012</v>
      </c>
      <c r="LW282" s="170">
        <f t="shared" ca="1" si="1025"/>
        <v>1.5886000000000002</v>
      </c>
      <c r="LX282" s="170">
        <f ca="1">($AC282*($LR282/Control!$C$141)+$LM282*$LV282)/($AC282+$LM282)</f>
        <v>0.23530094218323697</v>
      </c>
      <c r="LY282" s="170">
        <f ca="1">($AC282*($LS282/Control!$C$141)+$LM282*$LV282)/($AC282+$LM282)</f>
        <v>0.23530094218323697</v>
      </c>
      <c r="LZ282" s="170">
        <f t="shared" ca="1" si="1026"/>
        <v>0.23530094218323697</v>
      </c>
      <c r="MA282" s="170">
        <f t="shared" ca="1" si="1027"/>
        <v>0.23530094218323697</v>
      </c>
      <c r="MB282" s="170" t="e">
        <f t="shared" ca="1" si="1028"/>
        <v>#N/A</v>
      </c>
      <c r="MC282" s="170">
        <f t="shared" ca="1" si="1118"/>
        <v>0.6018</v>
      </c>
      <c r="MD282" s="170">
        <f t="shared" ca="1" si="1029"/>
        <v>0.52989392535414004</v>
      </c>
      <c r="ME282" s="170">
        <f ca="1">($AC282*($LT282/Control!$C$141)+$LM282*$LW282)/($AC282+$LM282)</f>
        <v>0.71612369323045078</v>
      </c>
      <c r="MF282" s="170" t="e">
        <f ca="1">IF(Control!$B$16&gt;=1000,0.92,IF(AND(720&lt;=Control!$B$16,1000&gt;Control!$B$16),(0.95+(Control!$B$16-720)*((0.92-0.95)/(1000-720))),IF(AND(360&lt;=Control!$B$16,720&gt;Control!$B$16),(1+(Control!$B$16-360)*((0.95-1)/(720-360))),IF(AND(40&lt;=Control!$B$16,360&gt;Control!$B$16),(1.05+(Control!$B$16-40)*((1.05-1)/(360-40)))))))</f>
        <v>#N/A</v>
      </c>
      <c r="MG282" s="170">
        <f t="shared" ca="1" si="1030"/>
        <v>0.71612369323045078</v>
      </c>
      <c r="MH282" s="170" t="e">
        <f t="shared" ca="1" si="1155"/>
        <v>#N/A</v>
      </c>
      <c r="MI282" s="170" t="e">
        <f t="shared" ca="1" si="1155"/>
        <v>#N/A</v>
      </c>
      <c r="MJ282" s="170" t="e">
        <f ca="1">MAX(0.0001, Control!$C$132*$MI282*$DL282)</f>
        <v>#N/A</v>
      </c>
      <c r="MK282" s="170">
        <f ca="1">1/(0.76+1.5*($MG282/10))-(5-Control!$C$110)*0.1</f>
        <v>1.002845988140797</v>
      </c>
      <c r="ML282" s="173">
        <f ca="1">IF(Control!$C$110&lt;3,$MK282+($MG282-0.6)/(Control!$C$110*(Control!$C$110+3)), MAX(0.1, MIN(0.95,$MK282)))</f>
        <v>0.95</v>
      </c>
      <c r="MM282" s="173">
        <f ca="1">IF(Control!$C$110&lt;3,$MK282+(($MI282/10)-0.6)/(Control!$C$110*(Control!$C$110+3)), MAX(0.1, MIN(0.95,$MK282)))</f>
        <v>0.95</v>
      </c>
      <c r="MN282" s="173">
        <f ca="1">(1-$MM282)*(Control!$C$128-Control!$C$127)+Control!$C$127</f>
        <v>0.16</v>
      </c>
      <c r="MO282" s="170" t="e">
        <f ca="1">MAX(0,MIN(1,($MS282-Control!$C$127)/($MN282-Control!$C$127)))</f>
        <v>#DIV/0!</v>
      </c>
      <c r="MP282" s="173" t="e">
        <f ca="1">1/(0.76+1.5*$MI282)-(5-Control!$C$110)*0.1</f>
        <v>#N/A</v>
      </c>
      <c r="MQ282" s="172" t="e">
        <f t="shared" ca="1" si="1147"/>
        <v>#DIV/0!</v>
      </c>
      <c r="MR282" s="168" t="e">
        <f t="shared" ca="1" si="1119"/>
        <v>#DIV/0!</v>
      </c>
      <c r="MS282" s="173" t="e">
        <f ca="1">MAX(Control!$C$127, MIN(Control!$C$135, $MR282/MAX(0.0001,$CY282)))</f>
        <v>#DIV/0!</v>
      </c>
      <c r="MT282" s="168" t="e">
        <f ca="1">(Control!$C$128-$MS282)*Control!$C$74</f>
        <v>#DIV/0!</v>
      </c>
      <c r="MU282" s="168" t="e">
        <f ca="1">(Control!$C$135-$MS282)*Control!$C$74</f>
        <v>#DIV/0!</v>
      </c>
      <c r="MV282" s="168" t="e">
        <f t="shared" ca="1" si="1120"/>
        <v>#DIV/0!</v>
      </c>
      <c r="MW282" s="168" t="e">
        <f t="shared" ca="1" si="1121"/>
        <v>#DIV/0!</v>
      </c>
      <c r="MX282" s="171" t="e">
        <f ca="1">MAX(Control!$C$127, MIN(Control!$C$135, $MW282/MAX(0.0001,Control!$C$119-$CY282)))</f>
        <v>#DIV/0!</v>
      </c>
      <c r="MY282" s="54" t="e">
        <f ca="1">IF(Control!$C$114=1, $CX282*$MX282, 0)</f>
        <v>#DIV/0!</v>
      </c>
      <c r="MZ282" s="54" t="e">
        <f t="shared" ca="1" si="1122"/>
        <v>#N/A</v>
      </c>
      <c r="NA282" s="168" t="e">
        <f ca="1">(Control!$C$128-$MX282)*(Control!$C$119-Control!$C$74)</f>
        <v>#DIV/0!</v>
      </c>
      <c r="NB282" s="168" t="e">
        <f ca="1">(Control!$C$135-$MX282)*(Control!$C$119-Control!$C$74)</f>
        <v>#DIV/0!</v>
      </c>
      <c r="NC282" s="174" t="e">
        <f t="shared" ca="1" si="1123"/>
        <v>#DIV/0!</v>
      </c>
      <c r="ND282" s="54">
        <f ca="1">IF(Control!$C$58=2, IF(OR(Control!$B$218=$AH282,Control!$B$219=$AH282, Control!$B$220=$AH282, Control!$B$221=$AH282, Control!$B$222=$AH282, Control!$B$223=$AH282, Control!$B$224=$AH282, Control!$B$225=$AH282, Control!$B$226=$AH282, Control!$B$227=$AH282, Control!$B$228=$AH282), 1, 0), 0)</f>
        <v>0</v>
      </c>
      <c r="NE282" s="54">
        <f ca="1">IF($ND282=0,0, VLOOKUP($AH282,Control!$B$218:$C$228,2))</f>
        <v>0</v>
      </c>
      <c r="NF282" s="168" t="e">
        <f ca="1">$CY282*(Control!$C$128-Control!$C$127)</f>
        <v>#N/A</v>
      </c>
      <c r="NG282" s="54" t="e">
        <f ca="1">IF(Control!$C$58=2, $NI281-$NJ281, 0)</f>
        <v>#DIV/0!</v>
      </c>
      <c r="NH282" s="54" t="e">
        <f ca="1">IF(AND(Control!$C$58=1, $MS281&lt;= ($MN281+0.02), $I281&lt;10), 0, IF(Control!$C$58=2, $NG281, 0))</f>
        <v>#DIV/0!</v>
      </c>
      <c r="NI282" s="54" t="e">
        <f ca="1">IF(Control!$C$58=2, $NE282+$NH282,0)</f>
        <v>#DIV/0!</v>
      </c>
      <c r="NJ282" s="54" t="e">
        <f ca="1">IF(AND(Control!$C$58=1, $MS282&lt;= ($MN282+0.02), $I282&lt;10), MAX(0, MIN(10, 0.7*($NF282-$MV282))), IF(Control!$C$58=2, MIN(10,$NI282),0))</f>
        <v>#DIV/0!</v>
      </c>
      <c r="NK282" s="54" t="e">
        <f t="shared" ca="1" si="1031"/>
        <v>#DIV/0!</v>
      </c>
      <c r="NL282" s="173" t="e">
        <f ca="1">(1-Control!$C$73)*$I282+$NJ282</f>
        <v>#DIV/0!</v>
      </c>
      <c r="NM282" s="172" t="e">
        <f ca="1">IF($NL282&lt;0.5, $MB282* MAX(0, MIN(1, (SQRT($NC282)-SQRT($NC282-1))*Control!$C$71)),0)</f>
        <v>#DIV/0!</v>
      </c>
      <c r="NN282" s="170" t="e">
        <f ca="1">IF($NL282&gt;=5, $MB282, MAX(0,MIN($MB282, $NM282+$NL282,($MS282-Control!$C$129))))</f>
        <v>#DIV/0!</v>
      </c>
      <c r="NO282" s="54">
        <f>IF(Control!$C$133&lt;&gt;1, Control!$C$135-Control!$C$131, 0)</f>
        <v>0.38</v>
      </c>
      <c r="NP282" s="54" t="e">
        <f t="shared" ca="1" si="1032"/>
        <v>#DIV/0!</v>
      </c>
      <c r="NQ282" s="173" t="e">
        <f ca="1">MAX(0,MIN(1,(Control!$C$135-$MS282)/(Control!$C$135-$NO282)))</f>
        <v>#DIV/0!</v>
      </c>
      <c r="NR282" s="170" t="e">
        <f ca="1">IF(Control!$C$133&lt;&gt;1, $NQ282+((1-$NP282/4)*(1-$NQ282)),1)</f>
        <v>#DIV/0!</v>
      </c>
      <c r="NS282" s="170" t="e">
        <f ca="1">IF(Control!$B$31=0,$MJ282,MAX(0,MIN($MV282,$MO282*$NR282*$MJ282)))</f>
        <v>#DIV/0!</v>
      </c>
      <c r="NT282" s="170" t="e">
        <f t="shared" ca="1" si="1148"/>
        <v>#DIV/0!</v>
      </c>
      <c r="NU282" s="170" t="e">
        <f t="shared" ca="1" si="1124"/>
        <v>#N/A</v>
      </c>
      <c r="NV282" s="170" t="e">
        <f t="shared" ca="1" si="1033"/>
        <v>#N/A</v>
      </c>
      <c r="NW282" s="175" t="e">
        <f t="shared" ca="1" si="1034"/>
        <v>#DIV/0!</v>
      </c>
      <c r="NX282" s="170" t="e">
        <f ca="1">MIN(Control!$C$72+$MU282, $NW282)</f>
        <v>#DIV/0!</v>
      </c>
      <c r="NY282" s="170" t="e">
        <f ca="1">IF($MT282&lt;=$NX282,MIN(Control!$C$72+$NB282,$NX282-$MT282),0)</f>
        <v>#DIV/0!</v>
      </c>
      <c r="NZ282" s="54" t="e">
        <f ca="1">IF(Control!$C$114=1,  $CX282*($MX282-Control!$C$127), 0)</f>
        <v>#DIV/0!</v>
      </c>
      <c r="OA282" s="170" t="e">
        <f t="shared" ca="1" si="1035"/>
        <v>#DIV/0!</v>
      </c>
      <c r="OB282" s="170" t="e">
        <f ca="1">IF($NA282 &lt;=$NY282, MIN(Control!$C$72, $NY282-$NA282), 0)</f>
        <v>#DIV/0!</v>
      </c>
      <c r="OC282" s="168" t="e">
        <f t="shared" ca="1" si="1036"/>
        <v>#DIV/0!</v>
      </c>
      <c r="OD282" s="168" t="e">
        <f t="shared" ca="1" si="1125"/>
        <v>#DIV/0!</v>
      </c>
      <c r="OE282" s="170">
        <f ca="1">Control!$C$73*$I282</f>
        <v>0</v>
      </c>
      <c r="OF282" s="176" t="e">
        <f t="shared" ca="1" si="1037"/>
        <v>#DIV/0!</v>
      </c>
      <c r="OG282" s="168" t="e">
        <f t="shared" ca="1" si="1038"/>
        <v>#DIV/0!</v>
      </c>
      <c r="OH282" s="168" t="e">
        <f t="shared" ca="1" si="1039"/>
        <v>#DIV/0!</v>
      </c>
      <c r="OI282" s="168" t="e">
        <f t="shared" ca="1" si="1040"/>
        <v>#DIV/0!</v>
      </c>
      <c r="OJ282" s="168" t="e">
        <f t="shared" ca="1" si="1041"/>
        <v>#DIV/0!</v>
      </c>
      <c r="OK282" s="204" t="e">
        <f t="shared" ca="1" si="1042"/>
        <v>#DIV/0!</v>
      </c>
      <c r="OL282" s="177">
        <f>Control!$C$127</f>
        <v>0.15</v>
      </c>
      <c r="OM282" s="182" t="e">
        <f t="shared" ca="1" si="1043"/>
        <v>#N/A</v>
      </c>
      <c r="ON282" s="177">
        <f>Control!$C$128</f>
        <v>0.35</v>
      </c>
      <c r="OO282" s="182" t="e">
        <f t="shared" ca="1" si="1044"/>
        <v>#N/A</v>
      </c>
      <c r="OP282" s="138">
        <f t="shared" ca="1" si="1126"/>
        <v>0</v>
      </c>
      <c r="OQ282" s="138" t="e">
        <f t="shared" ca="1" si="1149"/>
        <v>#DIV/0!</v>
      </c>
      <c r="OR282" s="138" t="e">
        <f t="shared" ca="1" si="1127"/>
        <v>#DIV/0!</v>
      </c>
      <c r="OS282" s="137" t="e">
        <f t="shared" ca="1" si="1150"/>
        <v>#DIV/0!</v>
      </c>
      <c r="OT282" s="139" t="e">
        <f t="shared" ca="1" si="1151"/>
        <v>#DIV/0!</v>
      </c>
      <c r="OU282" s="138" t="e">
        <f t="shared" ca="1" si="1152"/>
        <v>#N/A</v>
      </c>
      <c r="OV282" s="138" t="e">
        <f t="shared" ca="1" si="1153"/>
        <v>#DIV/0!</v>
      </c>
      <c r="OW282" s="138" t="e">
        <f t="shared" ca="1" si="1128"/>
        <v>#DIV/0!</v>
      </c>
      <c r="OX282" s="138" t="e">
        <f t="shared" ca="1" si="1129"/>
        <v>#DIV/0!</v>
      </c>
      <c r="OY282" s="138" t="e">
        <f t="shared" ca="1" si="1130"/>
        <v>#DIV/0!</v>
      </c>
      <c r="OZ282" s="138" t="e">
        <f t="shared" ca="1" si="1045"/>
        <v>#DIV/0!</v>
      </c>
      <c r="PA282" s="138" t="e">
        <f t="shared" ca="1" si="1046"/>
        <v>#DIV/0!</v>
      </c>
      <c r="PB282" s="55">
        <f>IF(Control!$C$61="T", IF(Control!$C$65="F", IF($AH$6-Control!$C$60&lt;0,0,1), IF(365+$AH$6-Control!$C$60&lt;0,0,1)),0)</f>
        <v>0</v>
      </c>
      <c r="PC282" s="55">
        <f ca="1">IF(Control!$C$65="F", IF($AH$6-$HF282&lt;0,0,1), IF(365+$AH$6-$HF282&lt;0,0,1))</f>
        <v>1</v>
      </c>
      <c r="PD282" s="444">
        <f>Control!$C$118</f>
        <v>1500</v>
      </c>
      <c r="PE282" s="180" t="e">
        <f t="shared" ca="1" si="1047"/>
        <v>#N/A</v>
      </c>
      <c r="PF282" s="445">
        <f t="shared" ca="1" si="1131"/>
        <v>0.71612369323045078</v>
      </c>
      <c r="PT282" s="186"/>
      <c r="PU282" s="186"/>
      <c r="PV282" s="94"/>
      <c r="PW282" s="94"/>
      <c r="PX282" s="94"/>
      <c r="PY282" s="94"/>
      <c r="PZ282" s="94"/>
      <c r="QA282" s="94"/>
      <c r="QB282" s="94"/>
      <c r="QC282" s="94"/>
      <c r="QD282" s="94"/>
      <c r="QE282" s="94"/>
      <c r="QF282" s="94"/>
      <c r="QG282" s="94"/>
      <c r="QH282" s="94"/>
      <c r="QI282" s="94"/>
      <c r="QJ282" s="94"/>
      <c r="QK282" s="94"/>
      <c r="QL282" s="94"/>
      <c r="QM282" s="94"/>
      <c r="QN282" s="94"/>
      <c r="QO282" s="94"/>
      <c r="QP282" s="94"/>
    </row>
    <row r="283" spans="1:458" s="2" customFormat="1" x14ac:dyDescent="0.2">
      <c r="A283" s="395">
        <v>5</v>
      </c>
      <c r="B283" s="396">
        <v>10</v>
      </c>
      <c r="C283" s="387">
        <f ca="1">Weather_data!$B282</f>
        <v>0</v>
      </c>
      <c r="D283" s="388">
        <f ca="1">Weather_data!$F282</f>
        <v>0</v>
      </c>
      <c r="E283" s="388">
        <f ca="1">Weather_data!$E282</f>
        <v>0</v>
      </c>
      <c r="F283" s="388">
        <f t="shared" ca="1" si="1048"/>
        <v>0</v>
      </c>
      <c r="G283" s="388">
        <f ca="1">AVERAGE($D283:$E283)+Control!$B$9</f>
        <v>0</v>
      </c>
      <c r="H283" s="388">
        <f ca="1">Weather_data!$G282</f>
        <v>0</v>
      </c>
      <c r="I283" s="388">
        <f ca="1">Weather_data!$I282</f>
        <v>0</v>
      </c>
      <c r="J283" s="388">
        <f ca="1">Weather_data!$H282</f>
        <v>0</v>
      </c>
      <c r="K283" s="389">
        <f ca="1">Weather_data!$D282</f>
        <v>0</v>
      </c>
      <c r="L283" s="388" t="e">
        <f t="shared" ca="1" si="1049"/>
        <v>#N/A</v>
      </c>
      <c r="M283" s="388" t="e">
        <f t="shared" ca="1" si="927"/>
        <v>#N/A</v>
      </c>
      <c r="N283" s="388">
        <f t="shared" ca="1" si="928"/>
        <v>-1.0571707026418154E-13</v>
      </c>
      <c r="O283" s="388">
        <f t="shared" ca="1" si="1050"/>
        <v>1.0571707026418154E-12</v>
      </c>
      <c r="P283" s="390">
        <v>3</v>
      </c>
      <c r="Q283" s="388">
        <f ca="1">MAX($G283-Control!$C$107,0)</f>
        <v>0</v>
      </c>
      <c r="R283" s="388">
        <f t="shared" ca="1" si="1051"/>
        <v>0</v>
      </c>
      <c r="S283" s="388">
        <f t="shared" ca="1" si="929"/>
        <v>0</v>
      </c>
      <c r="T283" s="388">
        <f t="shared" ca="1" si="930"/>
        <v>0</v>
      </c>
      <c r="U283" s="59">
        <f t="shared" ca="1" si="931"/>
        <v>0</v>
      </c>
      <c r="V283" s="391">
        <f ca="1">MAX(0,MIN(Control!$C$100-Control!$C$99,$G283-Control!$C$99)*Control!$C$63)</f>
        <v>0</v>
      </c>
      <c r="W283" s="388">
        <f t="shared" ca="1" si="1052"/>
        <v>0</v>
      </c>
      <c r="X283" s="388">
        <f t="shared" ca="1" si="1053"/>
        <v>0.6110000000000001</v>
      </c>
      <c r="Y283" s="388">
        <f t="shared" ca="1" si="932"/>
        <v>0</v>
      </c>
      <c r="Z283" s="388">
        <f t="shared" ca="1" si="1054"/>
        <v>0.61058800000000002</v>
      </c>
      <c r="AA283" s="388">
        <f t="shared" ca="1" si="933"/>
        <v>0.6018</v>
      </c>
      <c r="AB283" s="388">
        <f ca="1">101.3*EXP(-0.034*Control!$C$66/($G283+273))</f>
        <v>100.69623283836242</v>
      </c>
      <c r="AC283" s="392">
        <f t="shared" ca="1" si="934"/>
        <v>4.3460251046025113E-2</v>
      </c>
      <c r="AD283" s="392">
        <f t="shared" ca="1" si="935"/>
        <v>4.4450382862832649E-2</v>
      </c>
      <c r="AE283" s="388">
        <f t="shared" ca="1" si="936"/>
        <v>0</v>
      </c>
      <c r="AF283" s="388">
        <f ca="1">MAX(0,$G283-Control!$C$92)</f>
        <v>0</v>
      </c>
      <c r="AG283" s="393">
        <f t="shared" ca="1" si="937"/>
        <v>279</v>
      </c>
      <c r="AH283" s="389">
        <f t="shared" ca="1" si="938"/>
        <v>279</v>
      </c>
      <c r="AI283" s="388">
        <f t="shared" ca="1" si="1055"/>
        <v>-0.10346154489171309</v>
      </c>
      <c r="AJ283" s="388">
        <f ca="1">IF(Control!$C$60&lt;=0,$HH283,$HI283)</f>
        <v>1</v>
      </c>
      <c r="AK283" s="388">
        <f t="shared" ca="1" si="939"/>
        <v>3.4256270578869525</v>
      </c>
      <c r="AL283" s="388">
        <f t="shared" ca="1" si="940"/>
        <v>-7.7545001669898634E-18</v>
      </c>
      <c r="AM283" s="388">
        <f t="shared" ca="1" si="941"/>
        <v>3.4256270578869525</v>
      </c>
      <c r="AN283" s="388">
        <f t="shared" ca="1" si="942"/>
        <v>-0.11170794535268694</v>
      </c>
      <c r="AO283" s="388">
        <f ca="1">-0.10453/COS(Control!$B$8*PI()/180)*COS(AN283)</f>
        <v>-0.16872662114628212</v>
      </c>
      <c r="AP283" s="388">
        <f ca="1">ACOS(AO283-TAN(Control!$B$8*PI()/180)*TAN(AN283))</f>
        <v>1.5959482345068701</v>
      </c>
      <c r="AQ283" s="388">
        <f t="shared" ca="1" si="1056"/>
        <v>0</v>
      </c>
      <c r="AR283" s="394">
        <f t="shared" ca="1" si="943"/>
        <v>0</v>
      </c>
      <c r="AS283" s="436">
        <f ca="1">IF(Control!$B$18=2,(IF(OR($AH283=Control!$B$175,$AH283=Control!$B$176,$AH283=Control!$B$177,$AH283=Control!$B$178,$AH283=Control!$B$179,$AH283=Control!$B$180,$AH283=Control!$B$181,$AH283=Control!$B$182,$AH283=Control!$B$183,$AH283=Control!$B$184,$AH283=Control!$B$185),1,0)),0)</f>
        <v>0</v>
      </c>
      <c r="AT283" s="436">
        <f>IF(Control!$B$20=8,IF(AND($AH283&gt;=Control!$B$172,$AH283&lt;=Control!$B$173),1,0),0)</f>
        <v>0</v>
      </c>
      <c r="AU283" s="436">
        <f>IF(Control!$B$20=8,IF($AV282=1,1*$AT283,IF($AT283=1,$AU282+1,$AU282)),0)</f>
        <v>0</v>
      </c>
      <c r="AV283" s="436">
        <f>IF(Control!$B$20=8,IF($AU283&gt;=Control!$B$174,1,0),0)</f>
        <v>0</v>
      </c>
      <c r="AW283" s="436">
        <f ca="1">IF(AND(Control!$B$18=2,Control!$B$171=1), $AV283, $AS283)</f>
        <v>0</v>
      </c>
      <c r="AX283" s="436" t="e">
        <f ca="1">IF(AND(Control!$B$18=1,$EU283&gt;=Control!$B$19),-$AY283,IF(AND(Control!$B$18=2,$AW283=1,$EU283&gt;$DS283),-$AY283, IF(Control!$C$108=0,0, IF(Control!$C$108&lt;&gt;0,1))))</f>
        <v>#N/A</v>
      </c>
      <c r="AY283" s="436" t="e">
        <f t="shared" ca="1" si="1057"/>
        <v>#N/A</v>
      </c>
      <c r="AZ283" s="436" t="e">
        <f ca="1">IF(AND(Control!$B$18=1,$EB283&gt;Control!$B$19),$AZ282+1, IF(AND(Control!$B$18=2, $AW283=1, $EB283&gt;$DS283), $AZ282+1,$AZ282))</f>
        <v>#N/A</v>
      </c>
      <c r="BA283" s="587">
        <f>IF(Control!$C$81=0,1,IF($AH283&gt;=Control!$C$82,1,0))</f>
        <v>1</v>
      </c>
      <c r="BB283" s="140" t="e">
        <f ca="1">IF($BA283&gt;$BA282,Control!$C$83,IF($AW283&gt;0,$AW283*Control!$C$84,IF(AND(Control!$B$18=1,EN282&lt;&gt;0),Control!$C$84,0)))</f>
        <v>#N/A</v>
      </c>
      <c r="BC283" s="140" t="e">
        <f t="shared" ca="1" si="1058"/>
        <v>#N/A</v>
      </c>
      <c r="BD283" s="140" t="e">
        <f ca="1">BC283*IF(OR($G283&lt;Control!$C$92,$G283&gt;Control!$C$95),0,IF(AND($G283&gt;=Control!$C$92,$G283&lt;=Control!$C$93),$G283-Control!$C$92,IF(AND($G283&gt;Control!$C$93,$G283&lt;=Control!$C$94),Control!$C$93-Control!$C$92,IF(AND($G283&gt;Control!$C$94,$G283&lt;=Control!$C$95),(Control!$C$93-Control!$C$92)*(Control!$C$94-$G283)/(Control!$C$95-Control!$C$94)))))</f>
        <v>#N/A</v>
      </c>
      <c r="BE283" s="140" t="e">
        <f t="shared" ca="1" si="1059"/>
        <v>#N/A</v>
      </c>
      <c r="BF283" s="140" t="e">
        <f ca="1">IF($BE283&lt;=Control!$C$86,$BE283,Control!$C$86-$BE283)</f>
        <v>#N/A</v>
      </c>
      <c r="BG283" s="140" t="e">
        <f ca="1">IF(AND($AW283=1,Control!$C$84&lt;9),1,IF($BE283&gt;=Control!$C$86,0,$BC283))</f>
        <v>#N/A</v>
      </c>
      <c r="BH283" s="404" t="e">
        <f ca="1">IF($BG283=0,0,IF($BE283&lt;=Control!$C$86,$BC283*9*($BF283/Control!$C$86),0))</f>
        <v>#N/A</v>
      </c>
      <c r="BI283" s="140" t="e">
        <f ca="1">IF($BG283=1,0,IF($BE283&gt;=Control!$C$86,1,IF(AND($BB283&lt;21,$BB283&gt;=9),1,$BM282)))</f>
        <v>#N/A</v>
      </c>
      <c r="BJ283" s="140" t="e">
        <f ca="1">IF($BF283&lt;0,-$BF283,$BI283*IF(OR($G283&lt;Control!$C$92,$G283&gt;Control!$C$95),0,IF(AND($G283&gt;=Control!$C$92,$G283&lt;=Control!$C$93),$G283-Control!$C$92,IF(AND($G283&gt;Control!$C$93,$G283&lt;=Control!$C$94),Control!$C$93-Control!$C$92,IF(AND($G283&gt;Control!$C$94,$G283&lt;=Control!$C$95),(Control!$C$93-Control!$C$92)*(Control!$C$94-$G283)/(Control!$C$95-Control!$C$94))))))</f>
        <v>#N/A</v>
      </c>
      <c r="BK283" s="140" t="e">
        <f t="shared" ca="1" si="1060"/>
        <v>#N/A</v>
      </c>
      <c r="BL283" s="140" t="e">
        <f ca="1">IF($BK283&lt;=Control!$C$87,$BK283,Control!$C$87-$BK283)</f>
        <v>#N/A</v>
      </c>
      <c r="BM283" s="140" t="e">
        <f ca="1">IF(AND($BB283&gt;=9,$BB283&lt;21),1,IF($BK283&gt;=Control!$C$87,0,$BI283))</f>
        <v>#N/A</v>
      </c>
      <c r="BN283" s="404" t="e">
        <f ca="1">IF($BM283=0,0,IF($BK283&lt;=Control!$C$87,$BI283*(9+(21-9)*($BL283/Control!$C$87)),0))</f>
        <v>#N/A</v>
      </c>
      <c r="BO283" s="140" t="e">
        <f ca="1">IF($BM283=1,0,IF($BK283&gt;=Control!$C$87,1,IF(AND($BB283&lt;30,$BB283&gt;=21),1,$BS282)))</f>
        <v>#N/A</v>
      </c>
      <c r="BP283" s="140" t="e">
        <f ca="1">IF($BL283&lt;0,-$BL283,$BO283*IF(OR($G283&lt;Control!$C$92,$G283&gt;Control!$C$95),0,IF(AND($G283&gt;=Control!$C$92,$G283&lt;=Control!$C$93),$G283-Control!$C$92,IF(AND($G283&gt;Control!$C$93,$G283&lt;=Control!$C$94),Control!$C$93-Control!$C$92,IF(AND($G283&gt;Control!$C$94,$G283&lt;=Control!$C$95),(Control!$C$93-Control!$C$92)*(Control!$C$94-$G283)/(Control!$C$95-Control!$C$94))))))</f>
        <v>#N/A</v>
      </c>
      <c r="BQ283" s="140" t="e">
        <f t="shared" ca="1" si="944"/>
        <v>#N/A</v>
      </c>
      <c r="BR283" s="140" t="e">
        <f ca="1">IF($BQ283&lt;=Control!$C$88,$BQ283,Control!$C$88-$BQ283)</f>
        <v>#N/A</v>
      </c>
      <c r="BS283" s="140" t="e">
        <f ca="1">IF(AND($BB283&gt;=21,$BB283&lt;30),1,IF($BQ283&gt;=Control!$C$88,0,$BO283))</f>
        <v>#N/A</v>
      </c>
      <c r="BT283" s="404" t="e">
        <f ca="1">IF($BS283=0,0,IF($BQ283&lt;=Control!$C$88,$BO283*(21+(30-21)*(BR283/Control!$C$88)),0))</f>
        <v>#N/A</v>
      </c>
      <c r="BU283" s="140" t="e">
        <f ca="1">IF(BG283+BM283+BS283=1,0,IF(OR(AND($BB283&lt;60,$BB283&gt;=30),$BQ283&gt;=Control!$C$88),1*$BA283,$BY282))</f>
        <v>#N/A</v>
      </c>
      <c r="BV283" s="140" t="e">
        <f ca="1">IF($BR283&lt;0,-$BR283,$BU283*IF(OR($G283&lt;Control!$C$92,$G283&gt;Control!$C$95),0,IF(AND($G283&gt;=Control!$C$92,$G283&lt;=Control!$C$93),$G283-Control!$C$92,IF(AND($G283&gt;Control!$C$93,$G283&lt;=Control!$C$94),Control!$C$93-Control!$C$92,IF(AND($G283&gt;Control!$C$94,$G283&lt;=Control!$C$95),(Control!$C$93-Control!$C$92)*(Control!$C$94-$G283)/(Control!$C$95-Control!$C$94))))))</f>
        <v>#N/A</v>
      </c>
      <c r="BW283" s="140" t="e">
        <f t="shared" ca="1" si="945"/>
        <v>#N/A</v>
      </c>
      <c r="BX283" s="140" t="e">
        <f ca="1">IF($BW283&lt;=Control!$C$89,$BW283,Control!$C$89-$BW283)</f>
        <v>#N/A</v>
      </c>
      <c r="BY283" s="140" t="e">
        <f ca="1">IF(AND($AJ283&gt;=30,$AJ283&lt;60),1,IF($BW283&gt;=Control!$C$89,0,$BU283))</f>
        <v>#N/A</v>
      </c>
      <c r="BZ283" s="404" t="e">
        <f ca="1">IF($BY283=0,0,IF($BW283&lt;=Control!$C$89,$BU283*(30+(60-30)*(BX283/Control!$C$89)),0))</f>
        <v>#N/A</v>
      </c>
      <c r="CA283" s="140" t="e">
        <f ca="1">IF($BG283+$BM283+$BS283+$BY283=1,0,IF(OR(AND($BB283&lt;65,$BB283&gt;=60),$BW283&gt;=Control!$C$89),1*$BA283,$CE282))</f>
        <v>#N/A</v>
      </c>
      <c r="CB283" s="140" t="e">
        <f ca="1">IF($BX283&lt;0,-$BX283,$CA283*IF(OR($G283&lt;Control!$C$92,$G283&gt;Control!$C$95),0,IF(AND($G283&gt;=Control!$C$92,$G283&lt;=Control!$C$93),$G283-Control!$C$92,IF(AND($G283&gt;Control!$C$93,$G283&lt;=Control!$C$94),Control!$C$93-Control!$C$92,IF(AND($G283&gt;Control!$C$94,$G283&lt;=Control!$C$95),(Control!$C$93-Control!$C$92)*(Control!$C$94-$G283)/(Control!$C$95-Control!$C$94))))))</f>
        <v>#N/A</v>
      </c>
      <c r="CC283" s="140" t="e">
        <f t="shared" ca="1" si="1061"/>
        <v>#N/A</v>
      </c>
      <c r="CD283" s="140" t="e">
        <f ca="1">IF($CC283&lt;=Control!$C$90,$CC283,Control!$C$90-$CC283)</f>
        <v>#N/A</v>
      </c>
      <c r="CE283" s="140" t="e">
        <f ca="1">IF(AND($BB283&gt;=60,$BB283&lt;65),1,IF($CC283&gt;=Control!$C$90,0,$CA283))</f>
        <v>#N/A</v>
      </c>
      <c r="CF283" s="404" t="e">
        <f ca="1">IF($CE283=0,0,IF($CC283&lt;=Control!$C$90,$CA283*(60+(65-60)*(CD283/Control!$C$90)),0))</f>
        <v>#N/A</v>
      </c>
      <c r="CG283" s="140" t="e">
        <f ca="1">IF($BG283+$BM283+$BS283+$BY283+$CE283=1,0,IF(OR(AND($BB283&lt;90,$BB283&gt;=65),$CC283&gt;=Control!$C$90),$BA283,$CK282))</f>
        <v>#N/A</v>
      </c>
      <c r="CH283" s="140" t="e">
        <f ca="1">IF($CD283&lt;0,-$CD283,$CG283*IF(OR($G283&lt;Control!$C$92,$G283&gt;Control!$C$95),0,IF(AND($G283&gt;=Control!$C$92,$G283&lt;=Control!$C$93),$G283-Control!$C$92,IF(AND($G283&gt;Control!$C$93,$G283&lt;=Control!$C$94),Control!$C$93-Control!$C$92,IF(AND($G283&gt;Control!$C$94,$G283&lt;=Control!$C$95),(Control!$C$93-Control!$C$92)*(Control!$C$94-$G283)/(Control!$C$95-Control!$C$94))))))</f>
        <v>#N/A</v>
      </c>
      <c r="CI283" s="140" t="e">
        <f t="shared" ca="1" si="1062"/>
        <v>#N/A</v>
      </c>
      <c r="CJ283" s="140" t="e">
        <f ca="1">IF($CI283&lt;=Control!$C$91,$CI283,Control!$C$91-$CI283)</f>
        <v>#N/A</v>
      </c>
      <c r="CK283" s="140" t="e">
        <f ca="1">IF(AND($BB283&gt;=65,$BB283&lt;90),1,IF($CI283&gt;=Control!$C$91,0,$CG283))</f>
        <v>#N/A</v>
      </c>
      <c r="CL283" s="404" t="e">
        <f ca="1">IF($CK283=0,0,IF($CI283&lt;=Control!$C$91,$CG283*(65+(90-65)*($CJ283/Control!$C$91)),0))</f>
        <v>#N/A</v>
      </c>
      <c r="CM283" s="140" t="e">
        <f ca="1">IF($BG283+$BM283+$BS283+$BY283+$CE283+$CK283=1,0,IF(OR($BB283&gt;=90,$CI283&gt;=Control!$C$91),$BA283,$CM282))</f>
        <v>#N/A</v>
      </c>
      <c r="CN283" s="140" t="e">
        <f t="shared" ca="1" si="1063"/>
        <v>#N/A</v>
      </c>
      <c r="CO283" s="140" t="e">
        <f t="shared" ca="1" si="1064"/>
        <v>#N/A</v>
      </c>
      <c r="CP283" s="140" t="e">
        <f t="shared" ca="1" si="1065"/>
        <v>#N/A</v>
      </c>
      <c r="CQ283" s="141" t="e">
        <f ca="1">VLOOKUP($CP283,Control!$B$86:$G$91,6)</f>
        <v>#N/A</v>
      </c>
      <c r="CR283" s="141" t="e">
        <f ca="1">(1-$CQ283)*VLOOKUP($CP283,Control!$B$86:$D$91,3)</f>
        <v>#N/A</v>
      </c>
      <c r="CS283" s="141" t="e">
        <f ca="1">(1-$CQ283)*VLOOKUP($CP283,Control!$B$86:$E$91,4)</f>
        <v>#N/A</v>
      </c>
      <c r="CT283" s="141" t="e">
        <f ca="1">(1-$CQ283)*VLOOKUP($CP283,Control!$B$86:$F$91,5)</f>
        <v>#N/A</v>
      </c>
      <c r="CU283" s="141">
        <f t="shared" ca="1" si="1066"/>
        <v>0</v>
      </c>
      <c r="CV283" s="583">
        <f t="shared" ca="1" si="1067"/>
        <v>0</v>
      </c>
      <c r="CW283" s="142">
        <f t="shared" ca="1" si="1068"/>
        <v>279</v>
      </c>
      <c r="CX283" s="612" t="e">
        <f ca="1">IF(Control!$C$114=1,(MIN(Control!$C$120*(IF($NT283-0.01&lt;0,0,1)),Control!$C$119-$CY283)))</f>
        <v>#DIV/0!</v>
      </c>
      <c r="CY283" s="143" t="e">
        <f t="shared" ca="1" si="1069"/>
        <v>#N/A</v>
      </c>
      <c r="CZ283" s="144">
        <f t="shared" ca="1" si="946"/>
        <v>0</v>
      </c>
      <c r="DA283" s="144">
        <f t="shared" ca="1" si="947"/>
        <v>0</v>
      </c>
      <c r="DB283" s="144" t="e">
        <f t="shared" ca="1" si="948"/>
        <v>#N/A</v>
      </c>
      <c r="DC283" s="144" t="e">
        <f t="shared" ca="1" si="949"/>
        <v>#N/A</v>
      </c>
      <c r="DD283" s="144" t="e">
        <f t="shared" ca="1" si="1154"/>
        <v>#N/A</v>
      </c>
      <c r="DE283" s="143" t="e">
        <f t="shared" ca="1" si="1070"/>
        <v>#N/A</v>
      </c>
      <c r="DF283" s="145" t="e">
        <f ca="1">$DR283*EXP(-Control!$C$158*(1-$KH283))</f>
        <v>#N/A</v>
      </c>
      <c r="DG283" s="146" t="e">
        <f ca="1">IF(Control!$C$114=1, $DF283*$EY283, 0)</f>
        <v>#N/A</v>
      </c>
      <c r="DH283" s="147" t="e">
        <f t="shared" ca="1" si="1071"/>
        <v>#N/A</v>
      </c>
      <c r="DI283" s="144" t="e">
        <f t="shared" ca="1" si="1132"/>
        <v>#N/A</v>
      </c>
      <c r="DJ283" s="147" t="e">
        <f ca="1">$EF283*Control!$C$109</f>
        <v>#N/A</v>
      </c>
      <c r="DK283" s="144" t="e">
        <f t="shared" ca="1" si="1072"/>
        <v>#N/A</v>
      </c>
      <c r="DL283" s="144" t="e">
        <f t="shared" ca="1" si="950"/>
        <v>#N/A</v>
      </c>
      <c r="DM283" s="144" t="e">
        <f ca="1">IF(Control!$C$114=1, (1-EXP(-Control!$C$96*$DK283))*$AR283, 0)</f>
        <v>#N/A</v>
      </c>
      <c r="DN283" s="144">
        <f t="shared" ca="1" si="1073"/>
        <v>0</v>
      </c>
      <c r="DO283" s="148">
        <f>Control!$C$97</f>
        <v>4</v>
      </c>
      <c r="DP283" s="145" t="e">
        <f t="shared" ca="1" si="1074"/>
        <v>#N/A</v>
      </c>
      <c r="DQ283" s="145" t="e">
        <f ca="1">IF(AND($CP283&gt;=0,$CP283&lt;=90),Control!$C$111,Control!$C$111)</f>
        <v>#N/A</v>
      </c>
      <c r="DR283" s="145" t="e">
        <f t="shared" ca="1" si="951"/>
        <v>#N/A</v>
      </c>
      <c r="DS283" s="143" t="e">
        <f ca="1">Control!$B$22/$DR283</f>
        <v>#N/A</v>
      </c>
      <c r="DT283" s="149" t="e">
        <f ca="1">IF(AND(Control!$C$114=1,$KH283&lt;1),$IM283*$DF283, 0)</f>
        <v>#N/A</v>
      </c>
      <c r="DU283" s="144" t="e">
        <f t="shared" ca="1" si="1075"/>
        <v>#N/A</v>
      </c>
      <c r="DV283" s="144">
        <f ca="1">IF($G283-Control!$C$107&lt;=0, 0, 0.83*LN(MAX($G283, 3))-0.8924)</f>
        <v>0</v>
      </c>
      <c r="DW283" s="144" t="e">
        <f t="shared" ca="1" si="952"/>
        <v>#N/A</v>
      </c>
      <c r="DX283" s="150" t="e">
        <f ca="1">MAX(0.01*(1+$CU283/Control!$C$102),0.05*($DK283-Control!$C$97)/Control!$C$97)</f>
        <v>#N/A</v>
      </c>
      <c r="DY283" s="151" t="e">
        <f ca="1">IF(Control!$C$114=1, $DI283*$FS283, 0)</f>
        <v>#N/A</v>
      </c>
      <c r="DZ283" s="196" t="e">
        <f t="shared" ca="1" si="1076"/>
        <v>#N/A</v>
      </c>
      <c r="EA283" s="152">
        <f t="shared" ca="1" si="1077"/>
        <v>279</v>
      </c>
      <c r="EB283" s="153" t="e">
        <f t="shared" ca="1" si="1078"/>
        <v>#N/A</v>
      </c>
      <c r="EC283" s="153" t="e">
        <f t="shared" ca="1" si="1079"/>
        <v>#N/A</v>
      </c>
      <c r="ED283" s="154" t="e">
        <f ca="1">IF(Control!$C$114=1, $HM283*$FY283-$FD283, 0)</f>
        <v>#DIV/0!</v>
      </c>
      <c r="EE283" s="155" t="e">
        <f ca="1">IF(Control!$C$114=1, $HM283*$FZ283-$FF283, 0)</f>
        <v>#DIV/0!</v>
      </c>
      <c r="EF283" s="153" t="e">
        <f t="shared" ca="1" si="1133"/>
        <v>#N/A</v>
      </c>
      <c r="EG283" s="155" t="e">
        <f ca="1">IF(Control!$C$114=1, $GX283*$FW283-$FI283, 0)</f>
        <v>#DIV/0!</v>
      </c>
      <c r="EH283" s="153" t="e">
        <f t="shared" ca="1" si="1080"/>
        <v>#N/A</v>
      </c>
      <c r="EI283" s="156" t="e">
        <f t="shared" ca="1" si="1081"/>
        <v>#N/A</v>
      </c>
      <c r="EJ283" s="155" t="e">
        <f ca="1">IF(Control!$C$114=1, $HM283*$GB283, 0)</f>
        <v>#DIV/0!</v>
      </c>
      <c r="EK283" s="153" t="e">
        <f t="shared" ca="1" si="1134"/>
        <v>#N/A</v>
      </c>
      <c r="EL283" s="153" t="e">
        <f t="shared" ca="1" si="953"/>
        <v>#N/A</v>
      </c>
      <c r="EM283" s="153" t="e">
        <f t="shared" ca="1" si="954"/>
        <v>#N/A</v>
      </c>
      <c r="EN283" s="153" t="e">
        <f ca="1">IF(Control!$C$108=1,IF(AND(Control!$B$18=1,$EB283&gt;=Control!$B$19),$EB283-$DS283,IF(AND(Control!$B$18=2,$AW283=1,$EB283&gt;$DS283),$EB283-$DS283,0)))</f>
        <v>#N/A</v>
      </c>
      <c r="EO283" s="153" t="e">
        <f ca="1">IF(Control!$C$108=1,IF(AND(Control!$B$18=1,$EB283&gt;=Control!$B$19),$EF283,IF(AND(Control!$B$18=2,$AW283=1),$EF283,0)))</f>
        <v>#N/A</v>
      </c>
      <c r="EP283" s="153" t="e">
        <f ca="1">IF(Control!$C$108=1,IF(AND(Control!$B$18=1,$EB283&gt;=Control!$B$19),$EK283,IF(AND(Control!$B$18=2,$AW283=1),$EK283,0)))</f>
        <v>#N/A</v>
      </c>
      <c r="EQ283" s="153" t="e">
        <f t="shared" ca="1" si="1082"/>
        <v>#N/A</v>
      </c>
      <c r="ER283" s="153" t="e">
        <f t="shared" ca="1" si="1083"/>
        <v>#N/A</v>
      </c>
      <c r="ES283" s="153" t="e">
        <f t="shared" ca="1" si="1135"/>
        <v>#N/A</v>
      </c>
      <c r="ET283" s="153" t="e">
        <f t="shared" ca="1" si="1136"/>
        <v>#N/A</v>
      </c>
      <c r="EU283" s="153" t="e">
        <f t="shared" ca="1" si="1084"/>
        <v>#N/A</v>
      </c>
      <c r="EV283" s="153" t="e">
        <f t="shared" ca="1" si="955"/>
        <v>#N/A</v>
      </c>
      <c r="EW283" s="153" t="e">
        <f t="shared" ca="1" si="956"/>
        <v>#N/A</v>
      </c>
      <c r="EX283" s="153" t="e">
        <f t="shared" ca="1" si="957"/>
        <v>#N/A</v>
      </c>
      <c r="EY283" s="157" t="e">
        <f t="shared" ca="1" si="958"/>
        <v>#DIV/0!</v>
      </c>
      <c r="EZ283" s="154" t="e">
        <f t="shared" ca="1" si="959"/>
        <v>#DIV/0!</v>
      </c>
      <c r="FA283" s="153" t="e">
        <f t="shared" ca="1" si="1085"/>
        <v>#N/A</v>
      </c>
      <c r="FB283" s="153" t="e">
        <f t="shared" ca="1" si="960"/>
        <v>#N/A</v>
      </c>
      <c r="FC283" s="193" t="e">
        <f t="shared" ca="1" si="961"/>
        <v>#N/A</v>
      </c>
      <c r="FD283" s="158" t="e">
        <f t="shared" ca="1" si="1086"/>
        <v>#N/A</v>
      </c>
      <c r="FE283" s="158" t="e">
        <f t="shared" ca="1" si="1087"/>
        <v>#N/A</v>
      </c>
      <c r="FF283" s="159" t="e">
        <f t="shared" ca="1" si="962"/>
        <v>#N/A</v>
      </c>
      <c r="FG283" s="160" t="e">
        <f t="shared" ca="1" si="1088"/>
        <v>#N/A</v>
      </c>
      <c r="FH283" s="158" t="e">
        <f t="shared" ca="1" si="1089"/>
        <v>#N/A</v>
      </c>
      <c r="FI283" s="159" t="e">
        <f t="shared" ca="1" si="963"/>
        <v>#N/A</v>
      </c>
      <c r="FJ283" s="160" t="e">
        <f t="shared" ca="1" si="1090"/>
        <v>#N/A</v>
      </c>
      <c r="FK283" s="160" t="e">
        <f t="shared" ca="1" si="964"/>
        <v>#N/A</v>
      </c>
      <c r="FL283" s="160" t="e">
        <f t="shared" ca="1" si="1137"/>
        <v>#N/A</v>
      </c>
      <c r="FM283" s="160" t="e">
        <f t="shared" ca="1" si="965"/>
        <v>#N/A</v>
      </c>
      <c r="FN283" s="158">
        <f t="shared" ca="1" si="1091"/>
        <v>0.01</v>
      </c>
      <c r="FO283" s="160">
        <f>Control!$C$101</f>
        <v>50</v>
      </c>
      <c r="FP283" s="150" t="e">
        <f t="shared" ca="1" si="966"/>
        <v>#N/A</v>
      </c>
      <c r="FQ283" s="150" t="e">
        <f ca="1">MAX(0,(Control!$C$112*(($DK283-Control!$C$97)/Control!$C$97)))</f>
        <v>#N/A</v>
      </c>
      <c r="FR283" s="150" t="e">
        <f ca="1">(1-$NT283)*Control!$C$113</f>
        <v>#DIV/0!</v>
      </c>
      <c r="FS283" s="198" t="e">
        <f t="shared" ca="1" si="967"/>
        <v>#N/A</v>
      </c>
      <c r="FT283" s="161">
        <f t="shared" ca="1" si="1092"/>
        <v>279</v>
      </c>
      <c r="FU283" s="162" t="e">
        <f ca="1">IF(Control!$B$34=1,VLOOKUP($CP283,Control!$B$86:$G$91,6),Control!$B$35)</f>
        <v>#N/A</v>
      </c>
      <c r="FV283" s="162" t="e">
        <f t="shared" ca="1" si="968"/>
        <v>#DIV/0!</v>
      </c>
      <c r="FW283" s="162" t="e">
        <f ca="1">IF(Control!$B$31=1,$FU283*$FV283,  $FU283)</f>
        <v>#N/A</v>
      </c>
      <c r="FX283" s="162" t="e">
        <f ca="1">IF(Control!$B$34=1,VLOOKUP($CP283,Control!$B$86:$G$91,3),Control!$B$36)</f>
        <v>#N/A</v>
      </c>
      <c r="FY283" s="162" t="e">
        <f t="shared" ca="1" si="969"/>
        <v>#N/A</v>
      </c>
      <c r="FZ283" s="162" t="e">
        <f ca="1">IF(Control!$B$34=1,VLOOKUP($CP283,Control!$B$86:$G$91,4),Control!$B$37)</f>
        <v>#N/A</v>
      </c>
      <c r="GA283" s="162" t="e">
        <f t="shared" ca="1" si="970"/>
        <v>#N/A</v>
      </c>
      <c r="GB283" s="162" t="e">
        <f ca="1">IF(Control!$B$34=1,VLOOKUP($CP283,Control!$B$86:$G$91,5),Control!$B$38)</f>
        <v>#N/A</v>
      </c>
      <c r="GC283" s="162" t="e">
        <f t="shared" ca="1" si="1093"/>
        <v>#N/A</v>
      </c>
      <c r="GD283" s="162">
        <f t="shared" ca="1" si="971"/>
        <v>1</v>
      </c>
      <c r="GE283" s="162">
        <f t="shared" ca="1" si="972"/>
        <v>1</v>
      </c>
      <c r="GF283" s="162">
        <f ca="1">IF(AND(Control!$C$104=1, Control!$C$62="F"),$GE283,1)</f>
        <v>1</v>
      </c>
      <c r="GG283" s="162" t="e">
        <f ca="1">IF(Control!$B$16=40,0,IF(AND(Control!$B$16&gt;40,Control!$B$16&lt;=360),(Control!$B$16-40)*((1-0)/(360-40)),IF(AND(Control!$B$16&gt;360,Control!$B$16&lt;=720),(1+(Control!$B$16-360)*((1.25-1)/(720-360))),IF(AND(Control!$B$16&gt;720,Control!$B$16&lt;=1000),(1.25+(Control!$B$16-720)*((1.35-1.25)/(1000-720))),IF(AND(Control!$B$16&gt;1000,Control!$B$16&lt;=2000),(1.35+(Control!$B$16-1000)*0))))))</f>
        <v>#N/A</v>
      </c>
      <c r="GH283" s="162" t="e">
        <f t="shared" ca="1" si="973"/>
        <v>#N/A</v>
      </c>
      <c r="GI283" s="162">
        <f t="shared" ca="1" si="1094"/>
        <v>0</v>
      </c>
      <c r="GJ283" s="162">
        <f t="shared" ca="1" si="974"/>
        <v>0</v>
      </c>
      <c r="GK283" s="162">
        <f t="shared" ca="1" si="1095"/>
        <v>1</v>
      </c>
      <c r="GL283" s="162">
        <f t="shared" ca="1" si="975"/>
        <v>1</v>
      </c>
      <c r="GM283" s="162" t="e">
        <f ca="1">MAX(0,MIN(1,1-Control!$C$156*(1.0001-$KH283)^2))</f>
        <v>#N/A</v>
      </c>
      <c r="GN283" s="162" t="e">
        <f ca="1">IF(Control!$B$26=1,$KU283,$KX283)</f>
        <v>#N/A</v>
      </c>
      <c r="GO283" s="162" t="e">
        <f ca="1">IF($CP283&lt;=60,Control!$C$105,IF($CP283&gt;=90,Control!$C$106,Control!$C$105+($CP283-60)*((Control!$C$106-Control!$C$105)/(90-60))))</f>
        <v>#N/A</v>
      </c>
      <c r="GP283" s="162" t="e">
        <f t="shared" ca="1" si="976"/>
        <v>#N/A</v>
      </c>
      <c r="GQ283" s="162" t="e">
        <f t="shared" ca="1" si="1096"/>
        <v>#N/A</v>
      </c>
      <c r="GR283" s="163" t="e">
        <f t="shared" ca="1" si="977"/>
        <v>#DIV/0!</v>
      </c>
      <c r="GS283" s="162" t="e">
        <f t="shared" ca="1" si="978"/>
        <v>#DIV/0!</v>
      </c>
      <c r="GT283" s="164" t="e">
        <f t="shared" ca="1" si="1097"/>
        <v>#N/A</v>
      </c>
      <c r="GU283" s="162" t="e">
        <f t="shared" ca="1" si="1098"/>
        <v>#N/A</v>
      </c>
      <c r="GV283" s="162" t="e">
        <f t="shared" ca="1" si="979"/>
        <v>#N/A</v>
      </c>
      <c r="GW283" s="162" t="e">
        <f t="shared" ca="1" si="980"/>
        <v>#DIV/0!</v>
      </c>
      <c r="GX283" s="162" t="e">
        <f t="shared" ca="1" si="1099"/>
        <v>#DIV/0!</v>
      </c>
      <c r="GY283" s="162" t="e">
        <f t="shared" ca="1" si="1100"/>
        <v>#DIV/0!</v>
      </c>
      <c r="GZ283" s="165" t="e">
        <f t="shared" ca="1" si="981"/>
        <v>#N/A</v>
      </c>
      <c r="HA283" s="162" t="e">
        <f ca="1">IF(Control!$C$114=1, $DI283*$FS283, 0)</f>
        <v>#N/A</v>
      </c>
      <c r="HB283" s="162" t="e">
        <f ca="1">$FA283/Control!$C$64</f>
        <v>#N/A</v>
      </c>
      <c r="HC283" s="162" t="e">
        <f t="shared" ca="1" si="982"/>
        <v>#DIV/0!</v>
      </c>
      <c r="HD283" s="162">
        <f ca="1">-ASIN(SIN(23.45*Control!$C$139)*COS(2*Control!$C$138*($AH283+10)/365))</f>
        <v>-0.10346154489171309</v>
      </c>
      <c r="HE283" s="165">
        <f t="shared" ca="1" si="1101"/>
        <v>0</v>
      </c>
      <c r="HF283" s="166">
        <f ca="1">IF(AND(Control!$C$61="T",$HE283&gt;=Control!$C$103,Control!$C$114=0),$AH283,Control!$C$59)</f>
        <v>1</v>
      </c>
      <c r="HG283" s="166">
        <f ca="1">IF(AND(Control!$C$61="T",$HE283&gt;=Control!$C$103,Control!$C$114=0),$HF283,Control!$C$59)</f>
        <v>1</v>
      </c>
      <c r="HH283" s="165">
        <f ca="1">IF(AND(OR(Control!$C$60&lt;=0, $AH283= Control!$C$59, Control!$C$60 &gt;0, $AH283 = Control!$C$60)), Control!$C$59, IF(Control!$C$60&gt;0, 0))</f>
        <v>1</v>
      </c>
      <c r="HI283" s="165">
        <f ca="1">IF(AND(OR(Control!$C$60&lt;=0, $AH283= Control!$C$59, Control!$C$60 &gt;0, $AH283 = Control!$C$60)), Control!$C$60, IF(Control!$C$60&lt;=0, 0))</f>
        <v>0</v>
      </c>
      <c r="HJ283" s="166">
        <f ca="1">IF(AND(Control!$C$62="F",$CV283&gt;=Control!$C$102),$AH283,0)</f>
        <v>0</v>
      </c>
      <c r="HK283" s="165" t="e">
        <f t="shared" ca="1" si="1138"/>
        <v>#N/A</v>
      </c>
      <c r="HL283" s="166">
        <f ca="1">IF(AND(Control!$C$61="T",$HE283&gt;=Control!$C$103,Control!$C$114=0),$HF283,0)</f>
        <v>0</v>
      </c>
      <c r="HM283" s="201" t="e">
        <f t="shared" ca="1" si="983"/>
        <v>#DIV/0!</v>
      </c>
      <c r="HN283" s="215">
        <f t="shared" ca="1" si="1102"/>
        <v>279</v>
      </c>
      <c r="HO283" s="216" t="e">
        <f ca="1">IF(AND($CP283&gt;=0, $CP283&lt;=90), Control!$C$152, Control!$C$152)</f>
        <v>#N/A</v>
      </c>
      <c r="HP283" s="216" t="e">
        <f t="shared" ca="1" si="984"/>
        <v>#N/A</v>
      </c>
      <c r="HQ283" s="217" t="e">
        <f ca="1">IF(OR(Control!$B$26=1,Control!$B$26=2),$KV283,$KS283)</f>
        <v>#DIV/0!</v>
      </c>
      <c r="HR283" s="218" t="e">
        <f t="shared" ca="1" si="1139"/>
        <v>#DIV/0!</v>
      </c>
      <c r="HS283" s="216" t="e">
        <f ca="1">Control!$C$154*$HP283</f>
        <v>#N/A</v>
      </c>
      <c r="HT283" s="216" t="e">
        <f ca="1">Control!$C$155*$HP283</f>
        <v>#N/A</v>
      </c>
      <c r="HU283" s="217" t="e">
        <f ca="1">Control!$C$161*$FI283</f>
        <v>#N/A</v>
      </c>
      <c r="HV283" s="218" t="e">
        <f t="shared" ca="1" si="1103"/>
        <v>#N/A</v>
      </c>
      <c r="HW283" s="218" t="e">
        <f ca="1">Control!$C$160*$FF283+$IP283*$EO283</f>
        <v>#N/A</v>
      </c>
      <c r="HX283" s="218" t="e">
        <f t="shared" ca="1" si="1140"/>
        <v>#N/A</v>
      </c>
      <c r="HY283" s="219" t="e">
        <f ca="1">IF(Control!$C$114=1, $EB283*$FS283, 0)</f>
        <v>#N/A</v>
      </c>
      <c r="HZ283" s="91" t="e">
        <f t="shared" ca="1" si="985"/>
        <v>#N/A</v>
      </c>
      <c r="IA283" s="220" t="e">
        <f ca="1">Control!$C$153*$HO283</f>
        <v>#N/A</v>
      </c>
      <c r="IB283" s="218" t="e">
        <f t="shared" ca="1" si="986"/>
        <v>#N/A</v>
      </c>
      <c r="IC283" s="220" t="e">
        <f ca="1">Control!$C$153*$HT283</f>
        <v>#N/A</v>
      </c>
      <c r="ID283" s="218" t="e">
        <f t="shared" ca="1" si="987"/>
        <v>#N/A</v>
      </c>
      <c r="IE283" s="221" t="e">
        <f ca="1">($EB283*Control!$C$159+$EF283*Control!$C$160)/(IF($GZ283&lt;&gt;0,$GZ283,1))</f>
        <v>#N/A</v>
      </c>
      <c r="IF283" s="216" t="e">
        <f t="shared" ca="1" si="988"/>
        <v>#N/A</v>
      </c>
      <c r="IG283" s="91">
        <f ca="1">IF(OR(Control!$B$198=$AH283,Control!$B$199=$AH283, Control!$B$200=$AH283, Control!$B$201=$AH283, Control!$B$202=$AH283, Control!$B$203=$AH283, Control!$B$204=$AH283, Control!$B$205=$AH283, Control!$B$206=$AH283, Control!$B$207=$AH283), 1, 0)</f>
        <v>0</v>
      </c>
      <c r="IH283" s="91">
        <f ca="1">IF($IG283=0,0, VLOOKUP($AH283,Control!$B$198:$C$207,2))</f>
        <v>0</v>
      </c>
      <c r="II283" s="222">
        <f t="shared" ca="1" si="1104"/>
        <v>0</v>
      </c>
      <c r="IJ283" s="91">
        <f>Control!$C$121</f>
        <v>0.7</v>
      </c>
      <c r="IK283" s="218">
        <f t="shared" ca="1" si="989"/>
        <v>0</v>
      </c>
      <c r="IL283" s="217" t="e">
        <f t="shared" ca="1" si="1141"/>
        <v>#N/A</v>
      </c>
      <c r="IM283" s="223" t="e">
        <f ca="1">IF(AND(Control!$C$114=1,$KH283&lt;1),$EB283*Control!$C$148*(1-$KH283), 0)</f>
        <v>#N/A</v>
      </c>
      <c r="IN283" s="217" t="e">
        <f t="shared" ca="1" si="990"/>
        <v>#DIV/0!</v>
      </c>
      <c r="IO283" s="91" t="e">
        <f ca="1">MAX(0,$IL283-$EF283*Control!$C$160)</f>
        <v>#N/A</v>
      </c>
      <c r="IP283" s="220" t="e">
        <f t="shared" ca="1" si="991"/>
        <v>#N/A</v>
      </c>
      <c r="IQ283" s="217" t="e">
        <f t="shared" ca="1" si="1105"/>
        <v>#N/A</v>
      </c>
      <c r="IR283" s="218" t="e">
        <f t="shared" ca="1" si="992"/>
        <v>#N/A</v>
      </c>
      <c r="IS283" s="217" t="e">
        <f ca="1">Control!$C$159*MAX(0,$FD283-$EN283)</f>
        <v>#N/A</v>
      </c>
      <c r="IT283" s="217" t="e">
        <f t="shared" ca="1" si="1142"/>
        <v>#N/A</v>
      </c>
      <c r="IU283" s="217" t="e">
        <f t="shared" ca="1" si="1106"/>
        <v>#N/A</v>
      </c>
      <c r="IV283" s="217" t="e">
        <f t="shared" ca="1" si="1143"/>
        <v>#N/A</v>
      </c>
      <c r="IW283" s="217" t="e">
        <f ca="1">IF(OR($AW283=1,AND($AW283=0, Control!$B$18=1,$EN283&lt;&gt;0)), $IQ283-$IU283, $IQ283)</f>
        <v>#N/A</v>
      </c>
      <c r="IX283" s="218" t="e">
        <f t="shared" ca="1" si="993"/>
        <v>#N/A</v>
      </c>
      <c r="IY283" s="218" t="e">
        <f ca="1">MAX(0,$IQ283-$EB283*Control!$C$159)</f>
        <v>#N/A</v>
      </c>
      <c r="IZ283" s="218" t="e">
        <f t="shared" ca="1" si="994"/>
        <v>#N/A</v>
      </c>
      <c r="JA283" s="216" t="e">
        <f t="shared" ca="1" si="995"/>
        <v>#N/A</v>
      </c>
      <c r="JB283" s="217" t="e">
        <f t="shared" ca="1" si="996"/>
        <v>#N/A</v>
      </c>
      <c r="JC283" s="222" t="e">
        <f ca="1">MAX(Control!$C$157*$EK283-$JT283, 0)/Control!$C$162</f>
        <v>#N/A</v>
      </c>
      <c r="JD283" s="218" t="e">
        <f t="shared" ca="1" si="997"/>
        <v>#N/A</v>
      </c>
      <c r="JE283" s="218" t="e">
        <f t="shared" ca="1" si="998"/>
        <v>#N/A</v>
      </c>
      <c r="JF283" s="218" t="e">
        <f t="shared" ca="1" si="1107"/>
        <v>#N/A</v>
      </c>
      <c r="JG283" s="218" t="e">
        <f t="shared" ca="1" si="999"/>
        <v>#N/A</v>
      </c>
      <c r="JH283" s="217" t="e">
        <f t="shared" ca="1" si="1108"/>
        <v>#N/A</v>
      </c>
      <c r="JI283" s="217" t="e">
        <f t="shared" ca="1" si="1109"/>
        <v>#N/A</v>
      </c>
      <c r="JJ283" s="217" t="e">
        <f t="shared" ca="1" si="1144"/>
        <v>#N/A</v>
      </c>
      <c r="JK283" s="217" t="e">
        <f ca="1">IF(Control!$C$114=1,IF(Control!$B$24=0,MAX(0,$JI283)*$GN283/Control!$C$64,(MAX(0,MIN($JI283,$JJ283*$GN283/Control!$C$64),0))))</f>
        <v>#N/A</v>
      </c>
      <c r="JL283" s="217" t="e">
        <f ca="1">$IK283/Control!$C$64-$JK283+$HQ283</f>
        <v>#N/A</v>
      </c>
      <c r="JM283" s="217" t="e">
        <f ca="1">IF(Control!$C$114=1,($JB283/(IF($JI283&lt;&gt;0,$JI283,1)))*$JK283,0)</f>
        <v>#N/A</v>
      </c>
      <c r="JN283" s="217" t="e">
        <f ca="1">IF(Control!$C$114=1,($JG283/(IF($JI283&lt;&gt;0,$JI283,1)))*$JK283, 0)</f>
        <v>#N/A</v>
      </c>
      <c r="JO283" s="218" t="e">
        <f t="shared" ca="1" si="1000"/>
        <v>#N/A</v>
      </c>
      <c r="JP283" s="218" t="e">
        <f ca="1">MIN(($IY283+$IO283)*Control!$C$151, $JF283-$EH283*Control!$C$161)</f>
        <v>#N/A</v>
      </c>
      <c r="JQ283" s="218" t="e">
        <f t="shared" ca="1" si="1001"/>
        <v>#N/A</v>
      </c>
      <c r="JR283" s="217" t="e">
        <f ca="1">IF($CP283-Control!$C$150&lt;0, 0, $JQ283/Control!$C$162)</f>
        <v>#N/A</v>
      </c>
      <c r="JS283" s="218" t="e">
        <f t="shared" ca="1" si="1002"/>
        <v>#N/A</v>
      </c>
      <c r="JT283" s="218" t="e">
        <f t="shared" ca="1" si="1110"/>
        <v>#N/A</v>
      </c>
      <c r="JU283" s="218" t="e">
        <f t="shared" ca="1" si="1003"/>
        <v>#N/A</v>
      </c>
      <c r="JV283" s="218" t="e">
        <f t="shared" ca="1" si="1004"/>
        <v>#N/A</v>
      </c>
      <c r="JW283" s="216" t="e">
        <f t="shared" ca="1" si="1005"/>
        <v>#N/A</v>
      </c>
      <c r="JX283" s="91" t="e">
        <f t="shared" ca="1" si="1006"/>
        <v>#N/A</v>
      </c>
      <c r="JY283" s="218" t="e">
        <f t="shared" ca="1" si="1007"/>
        <v>#N/A</v>
      </c>
      <c r="JZ283" s="217" t="e">
        <f ca="1">IF(Control!$C$114=1,($IZ283/(IF($JI283&lt;&gt;0,$JI283,1)))*$JK283, 0)</f>
        <v>#N/A</v>
      </c>
      <c r="KA283" s="218" t="e">
        <f t="shared" ca="1" si="1145"/>
        <v>#N/A</v>
      </c>
      <c r="KB283" s="218" t="e">
        <f t="shared" ca="1" si="1111"/>
        <v>#N/A</v>
      </c>
      <c r="KC283" s="218" t="e">
        <f t="shared" ca="1" si="1008"/>
        <v>#N/A</v>
      </c>
      <c r="KD283" s="218" t="e">
        <f t="shared" ca="1" si="1009"/>
        <v>#N/A</v>
      </c>
      <c r="KE283" s="218" t="e">
        <f t="shared" ca="1" si="1010"/>
        <v>#N/A</v>
      </c>
      <c r="KF283" s="218" t="e">
        <f t="shared" ca="1" si="1011"/>
        <v>#N/A</v>
      </c>
      <c r="KG283" s="216" t="e">
        <f t="shared" ca="1" si="1012"/>
        <v>#N/A</v>
      </c>
      <c r="KH283" s="221" t="e">
        <f ca="1">IF(Control!$B$24=0,1,MAX(0.001,MIN(1,IF(($IF283-$IE283)&lt;&gt;0,($KG283-$IE283)/($IF283-$IE283),1))))</f>
        <v>#N/A</v>
      </c>
      <c r="KI283" s="222" t="e">
        <f ca="1">IF(Control!$C$114=1, $KI282+ $KH282, 0)</f>
        <v>#N/A</v>
      </c>
      <c r="KJ283" s="217" t="e">
        <f t="shared" ca="1" si="1013"/>
        <v>#N/A</v>
      </c>
      <c r="KK283" s="218" t="e">
        <f t="shared" ca="1" si="1014"/>
        <v>#N/A</v>
      </c>
      <c r="KL283" s="274" t="e">
        <f ca="1">IF(Control!$B$26=3,4000000000*EXP(-8400/($G283+273)),IF(Control!$B$26=4,4000000000*EXP(-8400/($G283+273))*($KT283),0))</f>
        <v>#DIV/0!</v>
      </c>
      <c r="KM283" s="274" t="e">
        <f ca="1">IF(Control!$B$26=3,5600000000000*EXP(-9800/($G283+273)),IF(Control!$B$26=4,5600000000000*EXP(-9800/($G283+273))*$KT283,0))</f>
        <v>#DIV/0!</v>
      </c>
      <c r="KN283" s="454" t="e">
        <f t="shared" ca="1" si="1112"/>
        <v>#DIV/0!</v>
      </c>
      <c r="KO283" s="274" t="e">
        <f t="shared" ca="1" si="1113"/>
        <v>#DIV/0!</v>
      </c>
      <c r="KP283" s="454" t="e">
        <f t="shared" ca="1" si="1015"/>
        <v>#DIV/0!</v>
      </c>
      <c r="KQ283" s="454" t="e">
        <f t="shared" ca="1" si="1016"/>
        <v>#DIV/0!</v>
      </c>
      <c r="KR283" s="454" t="e">
        <f t="shared" ca="1" si="1017"/>
        <v>#DIV/0!</v>
      </c>
      <c r="KS283" s="454" t="e">
        <f t="shared" ca="1" si="1018"/>
        <v>#DIV/0!</v>
      </c>
      <c r="KT283" s="455" t="e">
        <f t="shared" ca="1" si="1019"/>
        <v>#DIV/0!</v>
      </c>
      <c r="KU283" s="456" t="e">
        <f ca="1">IF($CP283-Control!$C$149&lt;0, IF($NT283-0.01&lt;0,0,1),0)</f>
        <v>#N/A</v>
      </c>
      <c r="KV283" s="456" t="e">
        <f ca="1">IF(Control!$C$114=1,MAX(0,MIN(Control!$C$125*$KW283*$GN283,$KW283)))</f>
        <v>#DIV/0!</v>
      </c>
      <c r="KW283" s="456" t="e">
        <f t="shared" ca="1" si="1146"/>
        <v>#DIV/0!</v>
      </c>
      <c r="KX283" s="457" t="e">
        <f ca="1">IF($CP283-Control!$C$149&lt;0, IF($MR283-$OM283&lt;0,0,1),0)</f>
        <v>#N/A</v>
      </c>
      <c r="KY283" s="167">
        <f t="shared" ca="1" si="1114"/>
        <v>279</v>
      </c>
      <c r="KZ283" s="168">
        <f ca="1">1370*(1+0.033*COS(2*Control!$C$138*$AH283/365))</f>
        <v>1374.0807809683788</v>
      </c>
      <c r="LA283" s="169">
        <f t="shared" ca="1" si="1115"/>
        <v>1.0029783031310244</v>
      </c>
      <c r="LB283" s="169">
        <f t="shared" ca="1" si="1116"/>
        <v>-0.10955463470045239</v>
      </c>
      <c r="LC283" s="169">
        <f ca="1">ACOS(-TAN((2*Control!$B$8/360))*TAN(Calculations!$LB283))</f>
        <v>1.5380996283194459</v>
      </c>
      <c r="LD283" s="169">
        <f ca="1">((24*60)/PI())*0.082*$LA283*(($LC283*SIN(Control!$B$8*2*PI()/360))*SIN($LB283)+COS(Control!$B$8*2*PI()/360)*COS($LB283)*SIN($LC283))</f>
        <v>18.062018755084413</v>
      </c>
      <c r="LE283" s="170">
        <f t="shared" ca="1" si="1020"/>
        <v>18.513902793983256</v>
      </c>
      <c r="LF283" s="170">
        <f ca="1">SIN(Control!$C$139*Control!$B$8)*SIN($HD283)</f>
        <v>-8.1383571375764005E-2</v>
      </c>
      <c r="LG283" s="170">
        <f ca="1">COS(Control!$C$139*Control!$B$8)*COS($HD283)</f>
        <v>0.61236764026608104</v>
      </c>
      <c r="LH283" s="170">
        <f ca="1">12*(1+2*ASIN(MAX(-1,MIN(1,$LF283/$LG283))/Control!$C$138))</f>
        <v>10.984419197661618</v>
      </c>
      <c r="LI283" s="170">
        <f ca="1">12*(1+2*ASIN(MAX(-1,MIN(1,(-SIN(-4*Control!$C$139)+$LF283)/$LG283))/Control!$C$138))</f>
        <v>11.854950578651822</v>
      </c>
      <c r="LJ283" s="168">
        <f ca="1">3600*($LH283*$LF283+24*$LG283*SQRT(1-$LK283*$LK283)/Control!$C$138)</f>
        <v>13473.664030826225</v>
      </c>
      <c r="LK283" s="170">
        <f t="shared" ca="1" si="1021"/>
        <v>-0.13289985627000453</v>
      </c>
      <c r="LL283" s="170">
        <f t="shared" ca="1" si="1022"/>
        <v>0</v>
      </c>
      <c r="LM283" s="171">
        <f ca="1">Control!$C$145*$AB283</f>
        <v>6.6660906138995932E-2</v>
      </c>
      <c r="LN283" s="170">
        <f t="shared" ca="1" si="1117"/>
        <v>0.54</v>
      </c>
      <c r="LO283" s="170">
        <f t="shared" ca="1" si="1023"/>
        <v>0</v>
      </c>
      <c r="LP283" s="170">
        <f ca="1">Control!$C$140*((($D283+273.16)^4+($E283+273.16)^4)/2)*(0.34-0.14*SQRT($Y283))*(1.35*$AQ283/(0.75*$LD283)-0.35)</f>
        <v>-3.2464704755046001</v>
      </c>
      <c r="LQ283" s="170">
        <f ca="1">Control!$C$140*($G283+273)^4*(0.56-0.079*SQRT($Y283*10))*(0.1+0.9*$LO283)</f>
        <v>1.5241745131704001</v>
      </c>
      <c r="LR283" s="170">
        <f ca="1">$AQ283*(1-Control!$C$142)-$LQ283</f>
        <v>-1.5241745131704001</v>
      </c>
      <c r="LS283" s="170">
        <f ca="1">$AQ283*(1-Control!$C$143)-$LQ283</f>
        <v>-1.5241745131704001</v>
      </c>
      <c r="LT283" s="170">
        <f ca="1">$AQ283*(1-Control!$C$144)-$LQ283</f>
        <v>-1.5241745131704001</v>
      </c>
      <c r="LU283" s="169">
        <f ca="1">(1-Control!$C$144)*AQ283-LP283</f>
        <v>3.2464704755046001</v>
      </c>
      <c r="LV283" s="172">
        <f t="shared" ca="1" si="1024"/>
        <v>0.79430000000000012</v>
      </c>
      <c r="LW283" s="170">
        <f t="shared" ca="1" si="1025"/>
        <v>1.5886000000000002</v>
      </c>
      <c r="LX283" s="170">
        <f ca="1">($AC283*($LR283/Control!$C$141)+$LM283*$LV283)/($AC283+$LM283)</f>
        <v>0.23530094218323697</v>
      </c>
      <c r="LY283" s="170">
        <f ca="1">($AC283*($LS283/Control!$C$141)+$LM283*$LV283)/($AC283+$LM283)</f>
        <v>0.23530094218323697</v>
      </c>
      <c r="LZ283" s="170">
        <f t="shared" ca="1" si="1026"/>
        <v>0.23530094218323697</v>
      </c>
      <c r="MA283" s="170">
        <f t="shared" ca="1" si="1027"/>
        <v>0.23530094218323697</v>
      </c>
      <c r="MB283" s="170" t="e">
        <f t="shared" ca="1" si="1028"/>
        <v>#N/A</v>
      </c>
      <c r="MC283" s="170">
        <f t="shared" ca="1" si="1118"/>
        <v>0.6018</v>
      </c>
      <c r="MD283" s="170">
        <f t="shared" ca="1" si="1029"/>
        <v>0.52989392535414004</v>
      </c>
      <c r="ME283" s="170">
        <f ca="1">($AC283*($LT283/Control!$C$141)+$LM283*$LW283)/($AC283+$LM283)</f>
        <v>0.71612369323045078</v>
      </c>
      <c r="MF283" s="170" t="e">
        <f ca="1">IF(Control!$B$16&gt;=1000,0.92,IF(AND(720&lt;=Control!$B$16,1000&gt;Control!$B$16),(0.95+(Control!$B$16-720)*((0.92-0.95)/(1000-720))),IF(AND(360&lt;=Control!$B$16,720&gt;Control!$B$16),(1+(Control!$B$16-360)*((0.95-1)/(720-360))),IF(AND(40&lt;=Control!$B$16,360&gt;Control!$B$16),(1.05+(Control!$B$16-40)*((1.05-1)/(360-40)))))))</f>
        <v>#N/A</v>
      </c>
      <c r="MG283" s="170">
        <f t="shared" ca="1" si="1030"/>
        <v>0.71612369323045078</v>
      </c>
      <c r="MH283" s="170" t="e">
        <f t="shared" ca="1" si="1155"/>
        <v>#N/A</v>
      </c>
      <c r="MI283" s="170" t="e">
        <f t="shared" ca="1" si="1155"/>
        <v>#N/A</v>
      </c>
      <c r="MJ283" s="170" t="e">
        <f ca="1">MAX(0.0001, Control!$C$132*$MI283*$DL283)</f>
        <v>#N/A</v>
      </c>
      <c r="MK283" s="170">
        <f ca="1">1/(0.76+1.5*($MG283/10))-(5-Control!$C$110)*0.1</f>
        <v>1.002845988140797</v>
      </c>
      <c r="ML283" s="173">
        <f ca="1">IF(Control!$C$110&lt;3,$MK283+($MG283-0.6)/(Control!$C$110*(Control!$C$110+3)), MAX(0.1, MIN(0.95,$MK283)))</f>
        <v>0.95</v>
      </c>
      <c r="MM283" s="173">
        <f ca="1">IF(Control!$C$110&lt;3,$MK283+(($MI283/10)-0.6)/(Control!$C$110*(Control!$C$110+3)), MAX(0.1, MIN(0.95,$MK283)))</f>
        <v>0.95</v>
      </c>
      <c r="MN283" s="173">
        <f ca="1">(1-$MM283)*(Control!$C$128-Control!$C$127)+Control!$C$127</f>
        <v>0.16</v>
      </c>
      <c r="MO283" s="170" t="e">
        <f ca="1">MAX(0,MIN(1,($MS283-Control!$C$127)/($MN283-Control!$C$127)))</f>
        <v>#DIV/0!</v>
      </c>
      <c r="MP283" s="173" t="e">
        <f ca="1">1/(0.76+1.5*$MI283)-(5-Control!$C$110)*0.1</f>
        <v>#N/A</v>
      </c>
      <c r="MQ283" s="172" t="e">
        <f t="shared" ca="1" si="1147"/>
        <v>#DIV/0!</v>
      </c>
      <c r="MR283" s="168" t="e">
        <f t="shared" ca="1" si="1119"/>
        <v>#DIV/0!</v>
      </c>
      <c r="MS283" s="173" t="e">
        <f ca="1">MAX(Control!$C$127, MIN(Control!$C$135, $MR283/MAX(0.0001,$CY283)))</f>
        <v>#DIV/0!</v>
      </c>
      <c r="MT283" s="168" t="e">
        <f ca="1">(Control!$C$128-$MS283)*Control!$C$74</f>
        <v>#DIV/0!</v>
      </c>
      <c r="MU283" s="168" t="e">
        <f ca="1">(Control!$C$135-$MS283)*Control!$C$74</f>
        <v>#DIV/0!</v>
      </c>
      <c r="MV283" s="168" t="e">
        <f t="shared" ca="1" si="1120"/>
        <v>#DIV/0!</v>
      </c>
      <c r="MW283" s="168" t="e">
        <f t="shared" ca="1" si="1121"/>
        <v>#DIV/0!</v>
      </c>
      <c r="MX283" s="171" t="e">
        <f ca="1">MAX(Control!$C$127, MIN(Control!$C$135, $MW283/MAX(0.0001,Control!$C$119-$CY283)))</f>
        <v>#DIV/0!</v>
      </c>
      <c r="MY283" s="54" t="e">
        <f ca="1">IF(Control!$C$114=1, $CX283*$MX283, 0)</f>
        <v>#DIV/0!</v>
      </c>
      <c r="MZ283" s="54" t="e">
        <f t="shared" ca="1" si="1122"/>
        <v>#N/A</v>
      </c>
      <c r="NA283" s="168" t="e">
        <f ca="1">(Control!$C$128-$MX283)*(Control!$C$119-Control!$C$74)</f>
        <v>#DIV/0!</v>
      </c>
      <c r="NB283" s="168" t="e">
        <f ca="1">(Control!$C$135-$MX283)*(Control!$C$119-Control!$C$74)</f>
        <v>#DIV/0!</v>
      </c>
      <c r="NC283" s="174" t="e">
        <f t="shared" ca="1" si="1123"/>
        <v>#DIV/0!</v>
      </c>
      <c r="ND283" s="54">
        <f ca="1">IF(Control!$C$58=2, IF(OR(Control!$B$218=$AH283,Control!$B$219=$AH283, Control!$B$220=$AH283, Control!$B$221=$AH283, Control!$B$222=$AH283, Control!$B$223=$AH283, Control!$B$224=$AH283, Control!$B$225=$AH283, Control!$B$226=$AH283, Control!$B$227=$AH283, Control!$B$228=$AH283), 1, 0), 0)</f>
        <v>0</v>
      </c>
      <c r="NE283" s="54">
        <f ca="1">IF($ND283=0,0, VLOOKUP($AH283,Control!$B$218:$C$228,2))</f>
        <v>0</v>
      </c>
      <c r="NF283" s="168" t="e">
        <f ca="1">$CY283*(Control!$C$128-Control!$C$127)</f>
        <v>#N/A</v>
      </c>
      <c r="NG283" s="54" t="e">
        <f ca="1">IF(Control!$C$58=2, $NI282-$NJ282, 0)</f>
        <v>#DIV/0!</v>
      </c>
      <c r="NH283" s="54" t="e">
        <f ca="1">IF(AND(Control!$C$58=1, $MS282&lt;= ($MN282+0.02), $I282&lt;10), 0, IF(Control!$C$58=2, $NG282, 0))</f>
        <v>#DIV/0!</v>
      </c>
      <c r="NI283" s="54" t="e">
        <f ca="1">IF(Control!$C$58=2, $NE283+$NH283,0)</f>
        <v>#DIV/0!</v>
      </c>
      <c r="NJ283" s="54" t="e">
        <f ca="1">IF(AND(Control!$C$58=1, $MS283&lt;= ($MN283+0.02), $I283&lt;10), MAX(0, MIN(10, 0.7*($NF283-$MV283))), IF(Control!$C$58=2, MIN(10,$NI283),0))</f>
        <v>#DIV/0!</v>
      </c>
      <c r="NK283" s="54" t="e">
        <f t="shared" ca="1" si="1031"/>
        <v>#DIV/0!</v>
      </c>
      <c r="NL283" s="173" t="e">
        <f ca="1">(1-Control!$C$73)*$I283+$NJ283</f>
        <v>#DIV/0!</v>
      </c>
      <c r="NM283" s="172" t="e">
        <f ca="1">IF($NL283&lt;0.5, $MB283* MAX(0, MIN(1, (SQRT($NC283)-SQRT($NC283-1))*Control!$C$71)),0)</f>
        <v>#DIV/0!</v>
      </c>
      <c r="NN283" s="170" t="e">
        <f ca="1">IF($NL283&gt;=5, $MB283, MAX(0,MIN($MB283, $NM283+$NL283,($MS283-Control!$C$129))))</f>
        <v>#DIV/0!</v>
      </c>
      <c r="NO283" s="54">
        <f>IF(Control!$C$133&lt;&gt;1, Control!$C$135-Control!$C$131, 0)</f>
        <v>0.38</v>
      </c>
      <c r="NP283" s="54" t="e">
        <f t="shared" ca="1" si="1032"/>
        <v>#DIV/0!</v>
      </c>
      <c r="NQ283" s="173" t="e">
        <f ca="1">MAX(0,MIN(1,(Control!$C$135-$MS283)/(Control!$C$135-$NO283)))</f>
        <v>#DIV/0!</v>
      </c>
      <c r="NR283" s="170" t="e">
        <f ca="1">IF(Control!$C$133&lt;&gt;1, $NQ283+((1-$NP283/4)*(1-$NQ283)),1)</f>
        <v>#DIV/0!</v>
      </c>
      <c r="NS283" s="170" t="e">
        <f ca="1">IF(Control!$B$31=0,$MJ283,MAX(0,MIN($MV283,$MO283*$NR283*$MJ283)))</f>
        <v>#DIV/0!</v>
      </c>
      <c r="NT283" s="170" t="e">
        <f t="shared" ca="1" si="1148"/>
        <v>#DIV/0!</v>
      </c>
      <c r="NU283" s="170" t="e">
        <f t="shared" ca="1" si="1124"/>
        <v>#N/A</v>
      </c>
      <c r="NV283" s="170" t="e">
        <f t="shared" ca="1" si="1033"/>
        <v>#N/A</v>
      </c>
      <c r="NW283" s="175" t="e">
        <f t="shared" ca="1" si="1034"/>
        <v>#DIV/0!</v>
      </c>
      <c r="NX283" s="170" t="e">
        <f ca="1">MIN(Control!$C$72+$MU283, $NW283)</f>
        <v>#DIV/0!</v>
      </c>
      <c r="NY283" s="170" t="e">
        <f ca="1">IF($MT283&lt;=$NX283,MIN(Control!$C$72+$NB283,$NX283-$MT283),0)</f>
        <v>#DIV/0!</v>
      </c>
      <c r="NZ283" s="54" t="e">
        <f ca="1">IF(Control!$C$114=1,  $CX283*($MX283-Control!$C$127), 0)</f>
        <v>#DIV/0!</v>
      </c>
      <c r="OA283" s="170" t="e">
        <f t="shared" ca="1" si="1035"/>
        <v>#DIV/0!</v>
      </c>
      <c r="OB283" s="170" t="e">
        <f ca="1">IF($NA283 &lt;=$NY283, MIN(Control!$C$72, $NY283-$NA283), 0)</f>
        <v>#DIV/0!</v>
      </c>
      <c r="OC283" s="168" t="e">
        <f t="shared" ca="1" si="1036"/>
        <v>#DIV/0!</v>
      </c>
      <c r="OD283" s="168" t="e">
        <f t="shared" ca="1" si="1125"/>
        <v>#DIV/0!</v>
      </c>
      <c r="OE283" s="170">
        <f ca="1">Control!$C$73*$I283</f>
        <v>0</v>
      </c>
      <c r="OF283" s="176" t="e">
        <f t="shared" ca="1" si="1037"/>
        <v>#DIV/0!</v>
      </c>
      <c r="OG283" s="168" t="e">
        <f t="shared" ca="1" si="1038"/>
        <v>#DIV/0!</v>
      </c>
      <c r="OH283" s="168" t="e">
        <f t="shared" ca="1" si="1039"/>
        <v>#DIV/0!</v>
      </c>
      <c r="OI283" s="168" t="e">
        <f t="shared" ca="1" si="1040"/>
        <v>#DIV/0!</v>
      </c>
      <c r="OJ283" s="168" t="e">
        <f t="shared" ca="1" si="1041"/>
        <v>#DIV/0!</v>
      </c>
      <c r="OK283" s="204" t="e">
        <f t="shared" ca="1" si="1042"/>
        <v>#DIV/0!</v>
      </c>
      <c r="OL283" s="177">
        <f>Control!$C$127</f>
        <v>0.15</v>
      </c>
      <c r="OM283" s="182" t="e">
        <f t="shared" ca="1" si="1043"/>
        <v>#N/A</v>
      </c>
      <c r="ON283" s="177">
        <f>Control!$C$128</f>
        <v>0.35</v>
      </c>
      <c r="OO283" s="182" t="e">
        <f t="shared" ca="1" si="1044"/>
        <v>#N/A</v>
      </c>
      <c r="OP283" s="138">
        <f t="shared" ca="1" si="1126"/>
        <v>0</v>
      </c>
      <c r="OQ283" s="138" t="e">
        <f t="shared" ca="1" si="1149"/>
        <v>#DIV/0!</v>
      </c>
      <c r="OR283" s="138" t="e">
        <f t="shared" ca="1" si="1127"/>
        <v>#DIV/0!</v>
      </c>
      <c r="OS283" s="137" t="e">
        <f t="shared" ca="1" si="1150"/>
        <v>#DIV/0!</v>
      </c>
      <c r="OT283" s="139" t="e">
        <f t="shared" ca="1" si="1151"/>
        <v>#DIV/0!</v>
      </c>
      <c r="OU283" s="138" t="e">
        <f t="shared" ca="1" si="1152"/>
        <v>#N/A</v>
      </c>
      <c r="OV283" s="138" t="e">
        <f t="shared" ca="1" si="1153"/>
        <v>#DIV/0!</v>
      </c>
      <c r="OW283" s="138" t="e">
        <f t="shared" ca="1" si="1128"/>
        <v>#DIV/0!</v>
      </c>
      <c r="OX283" s="138" t="e">
        <f t="shared" ca="1" si="1129"/>
        <v>#DIV/0!</v>
      </c>
      <c r="OY283" s="138" t="e">
        <f t="shared" ca="1" si="1130"/>
        <v>#DIV/0!</v>
      </c>
      <c r="OZ283" s="138" t="e">
        <f t="shared" ca="1" si="1045"/>
        <v>#DIV/0!</v>
      </c>
      <c r="PA283" s="138" t="e">
        <f t="shared" ca="1" si="1046"/>
        <v>#DIV/0!</v>
      </c>
      <c r="PB283" s="55">
        <f>IF(Control!$C$61="T", IF(Control!$C$65="F", IF($AH$6-Control!$C$60&lt;0,0,1), IF(365+$AH$6-Control!$C$60&lt;0,0,1)),0)</f>
        <v>0</v>
      </c>
      <c r="PC283" s="55">
        <f ca="1">IF(Control!$C$65="F", IF($AH$6-$HF283&lt;0,0,1), IF(365+$AH$6-$HF283&lt;0,0,1))</f>
        <v>1</v>
      </c>
      <c r="PD283" s="444">
        <f>Control!$C$118</f>
        <v>1500</v>
      </c>
      <c r="PE283" s="180" t="e">
        <f t="shared" ca="1" si="1047"/>
        <v>#N/A</v>
      </c>
      <c r="PF283" s="445">
        <f t="shared" ca="1" si="1131"/>
        <v>0.71612369323045078</v>
      </c>
      <c r="PT283" s="186"/>
      <c r="PU283" s="186"/>
      <c r="PV283" s="94"/>
      <c r="PW283" s="94"/>
      <c r="PX283" s="94"/>
      <c r="PY283" s="94"/>
      <c r="PZ283" s="94"/>
      <c r="QA283" s="94"/>
      <c r="QB283" s="94"/>
      <c r="QC283" s="94"/>
      <c r="QD283" s="94"/>
      <c r="QE283" s="94"/>
      <c r="QF283" s="94"/>
      <c r="QG283" s="94"/>
      <c r="QH283" s="94"/>
      <c r="QI283" s="94"/>
      <c r="QJ283" s="94"/>
      <c r="QK283" s="94"/>
      <c r="QL283" s="94"/>
      <c r="QM283" s="94"/>
      <c r="QN283" s="94"/>
      <c r="QO283" s="94"/>
      <c r="QP283" s="94"/>
    </row>
    <row r="284" spans="1:458" s="2" customFormat="1" x14ac:dyDescent="0.2">
      <c r="A284" s="395">
        <v>6</v>
      </c>
      <c r="B284" s="396">
        <v>10</v>
      </c>
      <c r="C284" s="387">
        <f ca="1">Weather_data!$B283</f>
        <v>0</v>
      </c>
      <c r="D284" s="388">
        <f ca="1">Weather_data!$F283</f>
        <v>0</v>
      </c>
      <c r="E284" s="388">
        <f ca="1">Weather_data!$E283</f>
        <v>0</v>
      </c>
      <c r="F284" s="388">
        <f t="shared" ca="1" si="1048"/>
        <v>0</v>
      </c>
      <c r="G284" s="388">
        <f ca="1">AVERAGE($D284:$E284)+Control!$B$9</f>
        <v>0</v>
      </c>
      <c r="H284" s="388">
        <f ca="1">Weather_data!$G283</f>
        <v>0</v>
      </c>
      <c r="I284" s="388">
        <f ca="1">Weather_data!$I283</f>
        <v>0</v>
      </c>
      <c r="J284" s="388">
        <f ca="1">Weather_data!$H283</f>
        <v>0</v>
      </c>
      <c r="K284" s="389">
        <f ca="1">Weather_data!$D283</f>
        <v>0</v>
      </c>
      <c r="L284" s="388" t="e">
        <f t="shared" ca="1" si="1049"/>
        <v>#N/A</v>
      </c>
      <c r="M284" s="388" t="e">
        <f t="shared" ca="1" si="927"/>
        <v>#N/A</v>
      </c>
      <c r="N284" s="388">
        <f t="shared" ca="1" si="928"/>
        <v>-9.5145363237763383E-14</v>
      </c>
      <c r="O284" s="388">
        <f t="shared" ca="1" si="1050"/>
        <v>9.514536323776338E-13</v>
      </c>
      <c r="P284" s="390">
        <v>3</v>
      </c>
      <c r="Q284" s="388">
        <f ca="1">MAX($G284-Control!$C$107,0)</f>
        <v>0</v>
      </c>
      <c r="R284" s="388">
        <f t="shared" ca="1" si="1051"/>
        <v>0</v>
      </c>
      <c r="S284" s="388">
        <f t="shared" ca="1" si="929"/>
        <v>0</v>
      </c>
      <c r="T284" s="388">
        <f t="shared" ca="1" si="930"/>
        <v>0</v>
      </c>
      <c r="U284" s="59">
        <f t="shared" ca="1" si="931"/>
        <v>0</v>
      </c>
      <c r="V284" s="391">
        <f ca="1">MAX(0,MIN(Control!$C$100-Control!$C$99,$G284-Control!$C$99)*Control!$C$63)</f>
        <v>0</v>
      </c>
      <c r="W284" s="388">
        <f t="shared" ca="1" si="1052"/>
        <v>0</v>
      </c>
      <c r="X284" s="388">
        <f t="shared" ca="1" si="1053"/>
        <v>0.6110000000000001</v>
      </c>
      <c r="Y284" s="388">
        <f t="shared" ca="1" si="932"/>
        <v>0</v>
      </c>
      <c r="Z284" s="388">
        <f t="shared" ca="1" si="1054"/>
        <v>0.61058800000000002</v>
      </c>
      <c r="AA284" s="388">
        <f t="shared" ca="1" si="933"/>
        <v>0.6018</v>
      </c>
      <c r="AB284" s="388">
        <f ca="1">101.3*EXP(-0.034*Control!$C$66/($G284+273))</f>
        <v>100.69623283836242</v>
      </c>
      <c r="AC284" s="392">
        <f t="shared" ca="1" si="934"/>
        <v>4.3460251046025113E-2</v>
      </c>
      <c r="AD284" s="392">
        <f t="shared" ca="1" si="935"/>
        <v>4.4450382862832649E-2</v>
      </c>
      <c r="AE284" s="388">
        <f t="shared" ca="1" si="936"/>
        <v>0</v>
      </c>
      <c r="AF284" s="388">
        <f ca="1">MAX(0,$G284-Control!$C$92)</f>
        <v>0</v>
      </c>
      <c r="AG284" s="393">
        <f t="shared" ca="1" si="937"/>
        <v>280</v>
      </c>
      <c r="AH284" s="389">
        <f t="shared" ca="1" si="938"/>
        <v>280</v>
      </c>
      <c r="AI284" s="388">
        <f t="shared" ca="1" si="1055"/>
        <v>-0.110099420547145</v>
      </c>
      <c r="AJ284" s="388">
        <f ca="1">IF(Control!$C$60&lt;=0,$HH284,$HI284)</f>
        <v>1</v>
      </c>
      <c r="AK284" s="388">
        <f t="shared" ca="1" si="939"/>
        <v>3.4428412642079924</v>
      </c>
      <c r="AL284" s="388">
        <f t="shared" ca="1" si="940"/>
        <v>-9.738140849258057E-18</v>
      </c>
      <c r="AM284" s="388">
        <f t="shared" ca="1" si="941"/>
        <v>3.4428412642079924</v>
      </c>
      <c r="AN284" s="388">
        <f t="shared" ca="1" si="942"/>
        <v>-0.11830815607929336</v>
      </c>
      <c r="AO284" s="388">
        <f ca="1">-0.10453/COS(Control!$B$8*PI()/180)*COS(AN284)</f>
        <v>-0.16859802545609986</v>
      </c>
      <c r="AP284" s="388">
        <f ca="1">ACOS(AO284-TAN(Control!$B$8*PI()/180)*TAN(AN284))</f>
        <v>1.5872570818555294</v>
      </c>
      <c r="AQ284" s="388">
        <f t="shared" ca="1" si="1056"/>
        <v>0</v>
      </c>
      <c r="AR284" s="394">
        <f t="shared" ca="1" si="943"/>
        <v>0</v>
      </c>
      <c r="AS284" s="436">
        <f ca="1">IF(Control!$B$18=2,(IF(OR($AH284=Control!$B$175,$AH284=Control!$B$176,$AH284=Control!$B$177,$AH284=Control!$B$178,$AH284=Control!$B$179,$AH284=Control!$B$180,$AH284=Control!$B$181,$AH284=Control!$B$182,$AH284=Control!$B$183,$AH284=Control!$B$184,$AH284=Control!$B$185),1,0)),0)</f>
        <v>0</v>
      </c>
      <c r="AT284" s="436">
        <f>IF(Control!$B$20=8,IF(AND($AH284&gt;=Control!$B$172,$AH284&lt;=Control!$B$173),1,0),0)</f>
        <v>0</v>
      </c>
      <c r="AU284" s="436">
        <f>IF(Control!$B$20=8,IF($AV283=1,1*$AT284,IF($AT284=1,$AU283+1,$AU283)),0)</f>
        <v>0</v>
      </c>
      <c r="AV284" s="436">
        <f>IF(Control!$B$20=8,IF($AU284&gt;=Control!$B$174,1,0),0)</f>
        <v>0</v>
      </c>
      <c r="AW284" s="436">
        <f ca="1">IF(AND(Control!$B$18=2,Control!$B$171=1), $AV284, $AS284)</f>
        <v>0</v>
      </c>
      <c r="AX284" s="436" t="e">
        <f ca="1">IF(AND(Control!$B$18=1,$EU284&gt;=Control!$B$19),-$AY284,IF(AND(Control!$B$18=2,$AW284=1,$EU284&gt;$DS284),-$AY284, IF(Control!$C$108=0,0, IF(Control!$C$108&lt;&gt;0,1))))</f>
        <v>#N/A</v>
      </c>
      <c r="AY284" s="436" t="e">
        <f t="shared" ca="1" si="1057"/>
        <v>#N/A</v>
      </c>
      <c r="AZ284" s="436" t="e">
        <f ca="1">IF(AND(Control!$B$18=1,$EB284&gt;Control!$B$19),$AZ283+1, IF(AND(Control!$B$18=2, $AW284=1, $EB284&gt;$DS284), $AZ283+1,$AZ283))</f>
        <v>#N/A</v>
      </c>
      <c r="BA284" s="587">
        <f>IF(Control!$C$81=0,1,IF($AH284&gt;=Control!$C$82,1,0))</f>
        <v>1</v>
      </c>
      <c r="BB284" s="140" t="e">
        <f ca="1">IF($BA284&gt;$BA283,Control!$C$83,IF($AW284&gt;0,$AW284*Control!$C$84,IF(AND(Control!$B$18=1,EN283&lt;&gt;0),Control!$C$84,0)))</f>
        <v>#N/A</v>
      </c>
      <c r="BC284" s="140" t="e">
        <f t="shared" ca="1" si="1058"/>
        <v>#N/A</v>
      </c>
      <c r="BD284" s="140" t="e">
        <f ca="1">BC284*IF(OR($G284&lt;Control!$C$92,$G284&gt;Control!$C$95),0,IF(AND($G284&gt;=Control!$C$92,$G284&lt;=Control!$C$93),$G284-Control!$C$92,IF(AND($G284&gt;Control!$C$93,$G284&lt;=Control!$C$94),Control!$C$93-Control!$C$92,IF(AND($G284&gt;Control!$C$94,$G284&lt;=Control!$C$95),(Control!$C$93-Control!$C$92)*(Control!$C$94-$G284)/(Control!$C$95-Control!$C$94)))))</f>
        <v>#N/A</v>
      </c>
      <c r="BE284" s="140" t="e">
        <f t="shared" ca="1" si="1059"/>
        <v>#N/A</v>
      </c>
      <c r="BF284" s="140" t="e">
        <f ca="1">IF($BE284&lt;=Control!$C$86,$BE284,Control!$C$86-$BE284)</f>
        <v>#N/A</v>
      </c>
      <c r="BG284" s="140" t="e">
        <f ca="1">IF(AND($AW284=1,Control!$C$84&lt;9),1,IF($BE284&gt;=Control!$C$86,0,$BC284))</f>
        <v>#N/A</v>
      </c>
      <c r="BH284" s="404" t="e">
        <f ca="1">IF($BG284=0,0,IF($BE284&lt;=Control!$C$86,$BC284*9*($BF284/Control!$C$86),0))</f>
        <v>#N/A</v>
      </c>
      <c r="BI284" s="140" t="e">
        <f ca="1">IF($BG284=1,0,IF($BE284&gt;=Control!$C$86,1,IF(AND($BB284&lt;21,$BB284&gt;=9),1,$BM283)))</f>
        <v>#N/A</v>
      </c>
      <c r="BJ284" s="140" t="e">
        <f ca="1">IF($BF284&lt;0,-$BF284,$BI284*IF(OR($G284&lt;Control!$C$92,$G284&gt;Control!$C$95),0,IF(AND($G284&gt;=Control!$C$92,$G284&lt;=Control!$C$93),$G284-Control!$C$92,IF(AND($G284&gt;Control!$C$93,$G284&lt;=Control!$C$94),Control!$C$93-Control!$C$92,IF(AND($G284&gt;Control!$C$94,$G284&lt;=Control!$C$95),(Control!$C$93-Control!$C$92)*(Control!$C$94-$G284)/(Control!$C$95-Control!$C$94))))))</f>
        <v>#N/A</v>
      </c>
      <c r="BK284" s="140" t="e">
        <f t="shared" ca="1" si="1060"/>
        <v>#N/A</v>
      </c>
      <c r="BL284" s="140" t="e">
        <f ca="1">IF($BK284&lt;=Control!$C$87,$BK284,Control!$C$87-$BK284)</f>
        <v>#N/A</v>
      </c>
      <c r="BM284" s="140" t="e">
        <f ca="1">IF(AND($BB284&gt;=9,$BB284&lt;21),1,IF($BK284&gt;=Control!$C$87,0,$BI284))</f>
        <v>#N/A</v>
      </c>
      <c r="BN284" s="404" t="e">
        <f ca="1">IF($BM284=0,0,IF($BK284&lt;=Control!$C$87,$BI284*(9+(21-9)*($BL284/Control!$C$87)),0))</f>
        <v>#N/A</v>
      </c>
      <c r="BO284" s="140" t="e">
        <f ca="1">IF($BM284=1,0,IF($BK284&gt;=Control!$C$87,1,IF(AND($BB284&lt;30,$BB284&gt;=21),1,$BS283)))</f>
        <v>#N/A</v>
      </c>
      <c r="BP284" s="140" t="e">
        <f ca="1">IF($BL284&lt;0,-$BL284,$BO284*IF(OR($G284&lt;Control!$C$92,$G284&gt;Control!$C$95),0,IF(AND($G284&gt;=Control!$C$92,$G284&lt;=Control!$C$93),$G284-Control!$C$92,IF(AND($G284&gt;Control!$C$93,$G284&lt;=Control!$C$94),Control!$C$93-Control!$C$92,IF(AND($G284&gt;Control!$C$94,$G284&lt;=Control!$C$95),(Control!$C$93-Control!$C$92)*(Control!$C$94-$G284)/(Control!$C$95-Control!$C$94))))))</f>
        <v>#N/A</v>
      </c>
      <c r="BQ284" s="140" t="e">
        <f t="shared" ca="1" si="944"/>
        <v>#N/A</v>
      </c>
      <c r="BR284" s="140" t="e">
        <f ca="1">IF($BQ284&lt;=Control!$C$88,$BQ284,Control!$C$88-$BQ284)</f>
        <v>#N/A</v>
      </c>
      <c r="BS284" s="140" t="e">
        <f ca="1">IF(AND($BB284&gt;=21,$BB284&lt;30),1,IF($BQ284&gt;=Control!$C$88,0,$BO284))</f>
        <v>#N/A</v>
      </c>
      <c r="BT284" s="404" t="e">
        <f ca="1">IF($BS284=0,0,IF($BQ284&lt;=Control!$C$88,$BO284*(21+(30-21)*(BR284/Control!$C$88)),0))</f>
        <v>#N/A</v>
      </c>
      <c r="BU284" s="140" t="e">
        <f ca="1">IF(BG284+BM284+BS284=1,0,IF(OR(AND($BB284&lt;60,$BB284&gt;=30),$BQ284&gt;=Control!$C$88),1*$BA284,$BY283))</f>
        <v>#N/A</v>
      </c>
      <c r="BV284" s="140" t="e">
        <f ca="1">IF($BR284&lt;0,-$BR284,$BU284*IF(OR($G284&lt;Control!$C$92,$G284&gt;Control!$C$95),0,IF(AND($G284&gt;=Control!$C$92,$G284&lt;=Control!$C$93),$G284-Control!$C$92,IF(AND($G284&gt;Control!$C$93,$G284&lt;=Control!$C$94),Control!$C$93-Control!$C$92,IF(AND($G284&gt;Control!$C$94,$G284&lt;=Control!$C$95),(Control!$C$93-Control!$C$92)*(Control!$C$94-$G284)/(Control!$C$95-Control!$C$94))))))</f>
        <v>#N/A</v>
      </c>
      <c r="BW284" s="140" t="e">
        <f t="shared" ca="1" si="945"/>
        <v>#N/A</v>
      </c>
      <c r="BX284" s="140" t="e">
        <f ca="1">IF($BW284&lt;=Control!$C$89,$BW284,Control!$C$89-$BW284)</f>
        <v>#N/A</v>
      </c>
      <c r="BY284" s="140" t="e">
        <f ca="1">IF(AND($AJ284&gt;=30,$AJ284&lt;60),1,IF($BW284&gt;=Control!$C$89,0,$BU284))</f>
        <v>#N/A</v>
      </c>
      <c r="BZ284" s="404" t="e">
        <f ca="1">IF($BY284=0,0,IF($BW284&lt;=Control!$C$89,$BU284*(30+(60-30)*(BX284/Control!$C$89)),0))</f>
        <v>#N/A</v>
      </c>
      <c r="CA284" s="140" t="e">
        <f ca="1">IF($BG284+$BM284+$BS284+$BY284=1,0,IF(OR(AND($BB284&lt;65,$BB284&gt;=60),$BW284&gt;=Control!$C$89),1*$BA284,$CE283))</f>
        <v>#N/A</v>
      </c>
      <c r="CB284" s="140" t="e">
        <f ca="1">IF($BX284&lt;0,-$BX284,$CA284*IF(OR($G284&lt;Control!$C$92,$G284&gt;Control!$C$95),0,IF(AND($G284&gt;=Control!$C$92,$G284&lt;=Control!$C$93),$G284-Control!$C$92,IF(AND($G284&gt;Control!$C$93,$G284&lt;=Control!$C$94),Control!$C$93-Control!$C$92,IF(AND($G284&gt;Control!$C$94,$G284&lt;=Control!$C$95),(Control!$C$93-Control!$C$92)*(Control!$C$94-$G284)/(Control!$C$95-Control!$C$94))))))</f>
        <v>#N/A</v>
      </c>
      <c r="CC284" s="140" t="e">
        <f t="shared" ca="1" si="1061"/>
        <v>#N/A</v>
      </c>
      <c r="CD284" s="140" t="e">
        <f ca="1">IF($CC284&lt;=Control!$C$90,$CC284,Control!$C$90-$CC284)</f>
        <v>#N/A</v>
      </c>
      <c r="CE284" s="140" t="e">
        <f ca="1">IF(AND($BB284&gt;=60,$BB284&lt;65),1,IF($CC284&gt;=Control!$C$90,0,$CA284))</f>
        <v>#N/A</v>
      </c>
      <c r="CF284" s="404" t="e">
        <f ca="1">IF($CE284=0,0,IF($CC284&lt;=Control!$C$90,$CA284*(60+(65-60)*(CD284/Control!$C$90)),0))</f>
        <v>#N/A</v>
      </c>
      <c r="CG284" s="140" t="e">
        <f ca="1">IF($BG284+$BM284+$BS284+$BY284+$CE284=1,0,IF(OR(AND($BB284&lt;90,$BB284&gt;=65),$CC284&gt;=Control!$C$90),$BA284,$CK283))</f>
        <v>#N/A</v>
      </c>
      <c r="CH284" s="140" t="e">
        <f ca="1">IF($CD284&lt;0,-$CD284,$CG284*IF(OR($G284&lt;Control!$C$92,$G284&gt;Control!$C$95),0,IF(AND($G284&gt;=Control!$C$92,$G284&lt;=Control!$C$93),$G284-Control!$C$92,IF(AND($G284&gt;Control!$C$93,$G284&lt;=Control!$C$94),Control!$C$93-Control!$C$92,IF(AND($G284&gt;Control!$C$94,$G284&lt;=Control!$C$95),(Control!$C$93-Control!$C$92)*(Control!$C$94-$G284)/(Control!$C$95-Control!$C$94))))))</f>
        <v>#N/A</v>
      </c>
      <c r="CI284" s="140" t="e">
        <f t="shared" ca="1" si="1062"/>
        <v>#N/A</v>
      </c>
      <c r="CJ284" s="140" t="e">
        <f ca="1">IF($CI284&lt;=Control!$C$91,$CI284,Control!$C$91-$CI284)</f>
        <v>#N/A</v>
      </c>
      <c r="CK284" s="140" t="e">
        <f ca="1">IF(AND($BB284&gt;=65,$BB284&lt;90),1,IF($CI284&gt;=Control!$C$91,0,$CG284))</f>
        <v>#N/A</v>
      </c>
      <c r="CL284" s="404" t="e">
        <f ca="1">IF($CK284=0,0,IF($CI284&lt;=Control!$C$91,$CG284*(65+(90-65)*($CJ284/Control!$C$91)),0))</f>
        <v>#N/A</v>
      </c>
      <c r="CM284" s="140" t="e">
        <f ca="1">IF($BG284+$BM284+$BS284+$BY284+$CE284+$CK284=1,0,IF(OR($BB284&gt;=90,$CI284&gt;=Control!$C$91),$BA284,$CM283))</f>
        <v>#N/A</v>
      </c>
      <c r="CN284" s="140" t="e">
        <f t="shared" ca="1" si="1063"/>
        <v>#N/A</v>
      </c>
      <c r="CO284" s="140" t="e">
        <f t="shared" ca="1" si="1064"/>
        <v>#N/A</v>
      </c>
      <c r="CP284" s="140" t="e">
        <f t="shared" ca="1" si="1065"/>
        <v>#N/A</v>
      </c>
      <c r="CQ284" s="141" t="e">
        <f ca="1">VLOOKUP($CP284,Control!$B$86:$G$91,6)</f>
        <v>#N/A</v>
      </c>
      <c r="CR284" s="141" t="e">
        <f ca="1">(1-$CQ284)*VLOOKUP($CP284,Control!$B$86:$D$91,3)</f>
        <v>#N/A</v>
      </c>
      <c r="CS284" s="141" t="e">
        <f ca="1">(1-$CQ284)*VLOOKUP($CP284,Control!$B$86:$E$91,4)</f>
        <v>#N/A</v>
      </c>
      <c r="CT284" s="141" t="e">
        <f ca="1">(1-$CQ284)*VLOOKUP($CP284,Control!$B$86:$F$91,5)</f>
        <v>#N/A</v>
      </c>
      <c r="CU284" s="141">
        <f t="shared" ca="1" si="1066"/>
        <v>0</v>
      </c>
      <c r="CV284" s="583">
        <f t="shared" ca="1" si="1067"/>
        <v>0</v>
      </c>
      <c r="CW284" s="142">
        <f t="shared" ca="1" si="1068"/>
        <v>280</v>
      </c>
      <c r="CX284" s="612" t="e">
        <f ca="1">IF(Control!$C$114=1,(MIN(Control!$C$120*(IF($NT284-0.01&lt;0,0,1)),Control!$C$119-$CY284)))</f>
        <v>#DIV/0!</v>
      </c>
      <c r="CY284" s="143" t="e">
        <f t="shared" ca="1" si="1069"/>
        <v>#N/A</v>
      </c>
      <c r="CZ284" s="144">
        <f t="shared" ca="1" si="946"/>
        <v>0</v>
      </c>
      <c r="DA284" s="144">
        <f t="shared" ca="1" si="947"/>
        <v>0</v>
      </c>
      <c r="DB284" s="144" t="e">
        <f t="shared" ca="1" si="948"/>
        <v>#N/A</v>
      </c>
      <c r="DC284" s="144" t="e">
        <f t="shared" ca="1" si="949"/>
        <v>#N/A</v>
      </c>
      <c r="DD284" s="144" t="e">
        <f t="shared" ca="1" si="1154"/>
        <v>#N/A</v>
      </c>
      <c r="DE284" s="143" t="e">
        <f t="shared" ca="1" si="1070"/>
        <v>#N/A</v>
      </c>
      <c r="DF284" s="145" t="e">
        <f ca="1">$DR284*EXP(-Control!$C$158*(1-$KH284))</f>
        <v>#N/A</v>
      </c>
      <c r="DG284" s="146" t="e">
        <f ca="1">IF(Control!$C$114=1, $DF284*$EY284, 0)</f>
        <v>#N/A</v>
      </c>
      <c r="DH284" s="147" t="e">
        <f t="shared" ca="1" si="1071"/>
        <v>#N/A</v>
      </c>
      <c r="DI284" s="144" t="e">
        <f t="shared" ca="1" si="1132"/>
        <v>#N/A</v>
      </c>
      <c r="DJ284" s="147" t="e">
        <f ca="1">$EF284*Control!$C$109</f>
        <v>#N/A</v>
      </c>
      <c r="DK284" s="144" t="e">
        <f t="shared" ca="1" si="1072"/>
        <v>#N/A</v>
      </c>
      <c r="DL284" s="144" t="e">
        <f t="shared" ca="1" si="950"/>
        <v>#N/A</v>
      </c>
      <c r="DM284" s="144" t="e">
        <f ca="1">IF(Control!$C$114=1, (1-EXP(-Control!$C$96*$DK284))*$AR284, 0)</f>
        <v>#N/A</v>
      </c>
      <c r="DN284" s="144">
        <f t="shared" ca="1" si="1073"/>
        <v>0</v>
      </c>
      <c r="DO284" s="148">
        <f>Control!$C$97</f>
        <v>4</v>
      </c>
      <c r="DP284" s="145" t="e">
        <f t="shared" ca="1" si="1074"/>
        <v>#N/A</v>
      </c>
      <c r="DQ284" s="145" t="e">
        <f ca="1">IF(AND($CP284&gt;=0,$CP284&lt;=90),Control!$C$111,Control!$C$111)</f>
        <v>#N/A</v>
      </c>
      <c r="DR284" s="145" t="e">
        <f t="shared" ca="1" si="951"/>
        <v>#N/A</v>
      </c>
      <c r="DS284" s="143" t="e">
        <f ca="1">Control!$B$22/$DR284</f>
        <v>#N/A</v>
      </c>
      <c r="DT284" s="149" t="e">
        <f ca="1">IF(AND(Control!$C$114=1,$KH284&lt;1),$IM284*$DF284, 0)</f>
        <v>#N/A</v>
      </c>
      <c r="DU284" s="144" t="e">
        <f t="shared" ca="1" si="1075"/>
        <v>#N/A</v>
      </c>
      <c r="DV284" s="144">
        <f ca="1">IF($G284-Control!$C$107&lt;=0, 0, 0.83*LN(MAX($G284, 3))-0.8924)</f>
        <v>0</v>
      </c>
      <c r="DW284" s="144" t="e">
        <f t="shared" ca="1" si="952"/>
        <v>#N/A</v>
      </c>
      <c r="DX284" s="150" t="e">
        <f ca="1">MAX(0.01*(1+$CU284/Control!$C$102),0.05*($DK284-Control!$C$97)/Control!$C$97)</f>
        <v>#N/A</v>
      </c>
      <c r="DY284" s="151" t="e">
        <f ca="1">IF(Control!$C$114=1, $DI284*$FS284, 0)</f>
        <v>#N/A</v>
      </c>
      <c r="DZ284" s="196" t="e">
        <f t="shared" ca="1" si="1076"/>
        <v>#N/A</v>
      </c>
      <c r="EA284" s="152">
        <f t="shared" ca="1" si="1077"/>
        <v>280</v>
      </c>
      <c r="EB284" s="153" t="e">
        <f t="shared" ca="1" si="1078"/>
        <v>#N/A</v>
      </c>
      <c r="EC284" s="153" t="e">
        <f t="shared" ca="1" si="1079"/>
        <v>#N/A</v>
      </c>
      <c r="ED284" s="154" t="e">
        <f ca="1">IF(Control!$C$114=1, $HM284*$FY284-$FD284, 0)</f>
        <v>#DIV/0!</v>
      </c>
      <c r="EE284" s="155" t="e">
        <f ca="1">IF(Control!$C$114=1, $HM284*$FZ284-$FF284, 0)</f>
        <v>#DIV/0!</v>
      </c>
      <c r="EF284" s="153" t="e">
        <f t="shared" ca="1" si="1133"/>
        <v>#N/A</v>
      </c>
      <c r="EG284" s="155" t="e">
        <f ca="1">IF(Control!$C$114=1, $GX284*$FW284-$FI284, 0)</f>
        <v>#DIV/0!</v>
      </c>
      <c r="EH284" s="153" t="e">
        <f t="shared" ca="1" si="1080"/>
        <v>#N/A</v>
      </c>
      <c r="EI284" s="156" t="e">
        <f t="shared" ca="1" si="1081"/>
        <v>#N/A</v>
      </c>
      <c r="EJ284" s="155" t="e">
        <f ca="1">IF(Control!$C$114=1, $HM284*$GB284, 0)</f>
        <v>#DIV/0!</v>
      </c>
      <c r="EK284" s="153" t="e">
        <f t="shared" ca="1" si="1134"/>
        <v>#N/A</v>
      </c>
      <c r="EL284" s="153" t="e">
        <f t="shared" ca="1" si="953"/>
        <v>#N/A</v>
      </c>
      <c r="EM284" s="153" t="e">
        <f t="shared" ca="1" si="954"/>
        <v>#N/A</v>
      </c>
      <c r="EN284" s="153" t="e">
        <f ca="1">IF(Control!$C$108=1,IF(AND(Control!$B$18=1,$EB284&gt;=Control!$B$19),$EB284-$DS284,IF(AND(Control!$B$18=2,$AW284=1,$EB284&gt;$DS284),$EB284-$DS284,0)))</f>
        <v>#N/A</v>
      </c>
      <c r="EO284" s="153" t="e">
        <f ca="1">IF(Control!$C$108=1,IF(AND(Control!$B$18=1,$EB284&gt;=Control!$B$19),$EF284,IF(AND(Control!$B$18=2,$AW284=1),$EF284,0)))</f>
        <v>#N/A</v>
      </c>
      <c r="EP284" s="153" t="e">
        <f ca="1">IF(Control!$C$108=1,IF(AND(Control!$B$18=1,$EB284&gt;=Control!$B$19),$EK284,IF(AND(Control!$B$18=2,$AW284=1),$EK284,0)))</f>
        <v>#N/A</v>
      </c>
      <c r="EQ284" s="153" t="e">
        <f t="shared" ca="1" si="1082"/>
        <v>#N/A</v>
      </c>
      <c r="ER284" s="153" t="e">
        <f t="shared" ca="1" si="1083"/>
        <v>#N/A</v>
      </c>
      <c r="ES284" s="153" t="e">
        <f t="shared" ca="1" si="1135"/>
        <v>#N/A</v>
      </c>
      <c r="ET284" s="153" t="e">
        <f t="shared" ca="1" si="1136"/>
        <v>#N/A</v>
      </c>
      <c r="EU284" s="153" t="e">
        <f t="shared" ca="1" si="1084"/>
        <v>#N/A</v>
      </c>
      <c r="EV284" s="153" t="e">
        <f t="shared" ca="1" si="955"/>
        <v>#N/A</v>
      </c>
      <c r="EW284" s="153" t="e">
        <f t="shared" ca="1" si="956"/>
        <v>#N/A</v>
      </c>
      <c r="EX284" s="153" t="e">
        <f t="shared" ca="1" si="957"/>
        <v>#N/A</v>
      </c>
      <c r="EY284" s="157" t="e">
        <f t="shared" ca="1" si="958"/>
        <v>#DIV/0!</v>
      </c>
      <c r="EZ284" s="154" t="e">
        <f t="shared" ca="1" si="959"/>
        <v>#DIV/0!</v>
      </c>
      <c r="FA284" s="153" t="e">
        <f t="shared" ca="1" si="1085"/>
        <v>#N/A</v>
      </c>
      <c r="FB284" s="153" t="e">
        <f t="shared" ca="1" si="960"/>
        <v>#N/A</v>
      </c>
      <c r="FC284" s="193" t="e">
        <f t="shared" ca="1" si="961"/>
        <v>#N/A</v>
      </c>
      <c r="FD284" s="158" t="e">
        <f t="shared" ca="1" si="1086"/>
        <v>#N/A</v>
      </c>
      <c r="FE284" s="158" t="e">
        <f t="shared" ca="1" si="1087"/>
        <v>#N/A</v>
      </c>
      <c r="FF284" s="159" t="e">
        <f t="shared" ca="1" si="962"/>
        <v>#N/A</v>
      </c>
      <c r="FG284" s="160" t="e">
        <f t="shared" ca="1" si="1088"/>
        <v>#N/A</v>
      </c>
      <c r="FH284" s="158" t="e">
        <f t="shared" ca="1" si="1089"/>
        <v>#N/A</v>
      </c>
      <c r="FI284" s="159" t="e">
        <f t="shared" ca="1" si="963"/>
        <v>#N/A</v>
      </c>
      <c r="FJ284" s="160" t="e">
        <f t="shared" ca="1" si="1090"/>
        <v>#N/A</v>
      </c>
      <c r="FK284" s="160" t="e">
        <f t="shared" ca="1" si="964"/>
        <v>#N/A</v>
      </c>
      <c r="FL284" s="160" t="e">
        <f t="shared" ca="1" si="1137"/>
        <v>#N/A</v>
      </c>
      <c r="FM284" s="160" t="e">
        <f t="shared" ca="1" si="965"/>
        <v>#N/A</v>
      </c>
      <c r="FN284" s="158">
        <f t="shared" ca="1" si="1091"/>
        <v>0.01</v>
      </c>
      <c r="FO284" s="160">
        <f>Control!$C$101</f>
        <v>50</v>
      </c>
      <c r="FP284" s="150" t="e">
        <f t="shared" ca="1" si="966"/>
        <v>#N/A</v>
      </c>
      <c r="FQ284" s="150" t="e">
        <f ca="1">MAX(0,(Control!$C$112*(($DK284-Control!$C$97)/Control!$C$97)))</f>
        <v>#N/A</v>
      </c>
      <c r="FR284" s="150" t="e">
        <f ca="1">(1-$NT284)*Control!$C$113</f>
        <v>#DIV/0!</v>
      </c>
      <c r="FS284" s="198" t="e">
        <f t="shared" ca="1" si="967"/>
        <v>#N/A</v>
      </c>
      <c r="FT284" s="161">
        <f t="shared" ca="1" si="1092"/>
        <v>280</v>
      </c>
      <c r="FU284" s="162" t="e">
        <f ca="1">IF(Control!$B$34=1,VLOOKUP($CP284,Control!$B$86:$G$91,6),Control!$B$35)</f>
        <v>#N/A</v>
      </c>
      <c r="FV284" s="162" t="e">
        <f t="shared" ca="1" si="968"/>
        <v>#DIV/0!</v>
      </c>
      <c r="FW284" s="162" t="e">
        <f ca="1">IF(Control!$B$31=1,$FU284*$FV284,  $FU284)</f>
        <v>#N/A</v>
      </c>
      <c r="FX284" s="162" t="e">
        <f ca="1">IF(Control!$B$34=1,VLOOKUP($CP284,Control!$B$86:$G$91,3),Control!$B$36)</f>
        <v>#N/A</v>
      </c>
      <c r="FY284" s="162" t="e">
        <f t="shared" ca="1" si="969"/>
        <v>#N/A</v>
      </c>
      <c r="FZ284" s="162" t="e">
        <f ca="1">IF(Control!$B$34=1,VLOOKUP($CP284,Control!$B$86:$G$91,4),Control!$B$37)</f>
        <v>#N/A</v>
      </c>
      <c r="GA284" s="162" t="e">
        <f t="shared" ca="1" si="970"/>
        <v>#N/A</v>
      </c>
      <c r="GB284" s="162" t="e">
        <f ca="1">IF(Control!$B$34=1,VLOOKUP($CP284,Control!$B$86:$G$91,5),Control!$B$38)</f>
        <v>#N/A</v>
      </c>
      <c r="GC284" s="162" t="e">
        <f t="shared" ca="1" si="1093"/>
        <v>#N/A</v>
      </c>
      <c r="GD284" s="162">
        <f t="shared" ca="1" si="971"/>
        <v>1</v>
      </c>
      <c r="GE284" s="162">
        <f t="shared" ca="1" si="972"/>
        <v>1</v>
      </c>
      <c r="GF284" s="162">
        <f ca="1">IF(AND(Control!$C$104=1, Control!$C$62="F"),$GE284,1)</f>
        <v>1</v>
      </c>
      <c r="GG284" s="162" t="e">
        <f ca="1">IF(Control!$B$16=40,0,IF(AND(Control!$B$16&gt;40,Control!$B$16&lt;=360),(Control!$B$16-40)*((1-0)/(360-40)),IF(AND(Control!$B$16&gt;360,Control!$B$16&lt;=720),(1+(Control!$B$16-360)*((1.25-1)/(720-360))),IF(AND(Control!$B$16&gt;720,Control!$B$16&lt;=1000),(1.25+(Control!$B$16-720)*((1.35-1.25)/(1000-720))),IF(AND(Control!$B$16&gt;1000,Control!$B$16&lt;=2000),(1.35+(Control!$B$16-1000)*0))))))</f>
        <v>#N/A</v>
      </c>
      <c r="GH284" s="162" t="e">
        <f t="shared" ca="1" si="973"/>
        <v>#N/A</v>
      </c>
      <c r="GI284" s="162">
        <f t="shared" ca="1" si="1094"/>
        <v>0</v>
      </c>
      <c r="GJ284" s="162">
        <f t="shared" ca="1" si="974"/>
        <v>0</v>
      </c>
      <c r="GK284" s="162">
        <f t="shared" ca="1" si="1095"/>
        <v>1</v>
      </c>
      <c r="GL284" s="162">
        <f t="shared" ca="1" si="975"/>
        <v>1</v>
      </c>
      <c r="GM284" s="162" t="e">
        <f ca="1">MAX(0,MIN(1,1-Control!$C$156*(1.0001-$KH284)^2))</f>
        <v>#N/A</v>
      </c>
      <c r="GN284" s="162" t="e">
        <f ca="1">IF(Control!$B$26=1,$KU284,$KX284)</f>
        <v>#N/A</v>
      </c>
      <c r="GO284" s="162" t="e">
        <f ca="1">IF($CP284&lt;=60,Control!$C$105,IF($CP284&gt;=90,Control!$C$106,Control!$C$105+($CP284-60)*((Control!$C$106-Control!$C$105)/(90-60))))</f>
        <v>#N/A</v>
      </c>
      <c r="GP284" s="162" t="e">
        <f t="shared" ca="1" si="976"/>
        <v>#N/A</v>
      </c>
      <c r="GQ284" s="162" t="e">
        <f t="shared" ca="1" si="1096"/>
        <v>#N/A</v>
      </c>
      <c r="GR284" s="163" t="e">
        <f t="shared" ca="1" si="977"/>
        <v>#DIV/0!</v>
      </c>
      <c r="GS284" s="162" t="e">
        <f t="shared" ca="1" si="978"/>
        <v>#DIV/0!</v>
      </c>
      <c r="GT284" s="164" t="e">
        <f t="shared" ca="1" si="1097"/>
        <v>#N/A</v>
      </c>
      <c r="GU284" s="162" t="e">
        <f t="shared" ca="1" si="1098"/>
        <v>#N/A</v>
      </c>
      <c r="GV284" s="162" t="e">
        <f t="shared" ca="1" si="979"/>
        <v>#N/A</v>
      </c>
      <c r="GW284" s="162" t="e">
        <f t="shared" ca="1" si="980"/>
        <v>#DIV/0!</v>
      </c>
      <c r="GX284" s="162" t="e">
        <f t="shared" ca="1" si="1099"/>
        <v>#DIV/0!</v>
      </c>
      <c r="GY284" s="162" t="e">
        <f t="shared" ca="1" si="1100"/>
        <v>#DIV/0!</v>
      </c>
      <c r="GZ284" s="165" t="e">
        <f t="shared" ca="1" si="981"/>
        <v>#N/A</v>
      </c>
      <c r="HA284" s="162" t="e">
        <f ca="1">IF(Control!$C$114=1, $DI284*$FS284, 0)</f>
        <v>#N/A</v>
      </c>
      <c r="HB284" s="162" t="e">
        <f ca="1">$FA284/Control!$C$64</f>
        <v>#N/A</v>
      </c>
      <c r="HC284" s="162" t="e">
        <f t="shared" ca="1" si="982"/>
        <v>#DIV/0!</v>
      </c>
      <c r="HD284" s="162">
        <f ca="1">-ASIN(SIN(23.45*Control!$C$139)*COS(2*Control!$C$138*($AH284+10)/365))</f>
        <v>-0.110099420547145</v>
      </c>
      <c r="HE284" s="165">
        <f t="shared" ca="1" si="1101"/>
        <v>0</v>
      </c>
      <c r="HF284" s="166">
        <f ca="1">IF(AND(Control!$C$61="T",$HE284&gt;=Control!$C$103,Control!$C$114=0),$AH284,Control!$C$59)</f>
        <v>1</v>
      </c>
      <c r="HG284" s="166">
        <f ca="1">IF(AND(Control!$C$61="T",$HE284&gt;=Control!$C$103,Control!$C$114=0),$HF284,Control!$C$59)</f>
        <v>1</v>
      </c>
      <c r="HH284" s="165">
        <f ca="1">IF(AND(OR(Control!$C$60&lt;=0, $AH284= Control!$C$59, Control!$C$60 &gt;0, $AH284 = Control!$C$60)), Control!$C$59, IF(Control!$C$60&gt;0, 0))</f>
        <v>1</v>
      </c>
      <c r="HI284" s="165">
        <f ca="1">IF(AND(OR(Control!$C$60&lt;=0, $AH284= Control!$C$59, Control!$C$60 &gt;0, $AH284 = Control!$C$60)), Control!$C$60, IF(Control!$C$60&lt;=0, 0))</f>
        <v>0</v>
      </c>
      <c r="HJ284" s="166">
        <f ca="1">IF(AND(Control!$C$62="F",$CV284&gt;=Control!$C$102),$AH284,0)</f>
        <v>0</v>
      </c>
      <c r="HK284" s="165" t="e">
        <f t="shared" ca="1" si="1138"/>
        <v>#N/A</v>
      </c>
      <c r="HL284" s="166">
        <f ca="1">IF(AND(Control!$C$61="T",$HE284&gt;=Control!$C$103,Control!$C$114=0),$HF284,0)</f>
        <v>0</v>
      </c>
      <c r="HM284" s="201" t="e">
        <f t="shared" ca="1" si="983"/>
        <v>#DIV/0!</v>
      </c>
      <c r="HN284" s="215">
        <f t="shared" ca="1" si="1102"/>
        <v>280</v>
      </c>
      <c r="HO284" s="216" t="e">
        <f ca="1">IF(AND($CP284&gt;=0, $CP284&lt;=90), Control!$C$152, Control!$C$152)</f>
        <v>#N/A</v>
      </c>
      <c r="HP284" s="216" t="e">
        <f t="shared" ca="1" si="984"/>
        <v>#N/A</v>
      </c>
      <c r="HQ284" s="217" t="e">
        <f ca="1">IF(OR(Control!$B$26=1,Control!$B$26=2),$KV284,$KS284)</f>
        <v>#DIV/0!</v>
      </c>
      <c r="HR284" s="218" t="e">
        <f t="shared" ca="1" si="1139"/>
        <v>#DIV/0!</v>
      </c>
      <c r="HS284" s="216" t="e">
        <f ca="1">Control!$C$154*$HP284</f>
        <v>#N/A</v>
      </c>
      <c r="HT284" s="216" t="e">
        <f ca="1">Control!$C$155*$HP284</f>
        <v>#N/A</v>
      </c>
      <c r="HU284" s="217" t="e">
        <f ca="1">Control!$C$161*$FI284</f>
        <v>#N/A</v>
      </c>
      <c r="HV284" s="218" t="e">
        <f t="shared" ca="1" si="1103"/>
        <v>#N/A</v>
      </c>
      <c r="HW284" s="218" t="e">
        <f ca="1">Control!$C$160*$FF284+$IP284*$EO284</f>
        <v>#N/A</v>
      </c>
      <c r="HX284" s="218" t="e">
        <f t="shared" ca="1" si="1140"/>
        <v>#N/A</v>
      </c>
      <c r="HY284" s="219" t="e">
        <f ca="1">IF(Control!$C$114=1, $EB284*$FS284, 0)</f>
        <v>#N/A</v>
      </c>
      <c r="HZ284" s="91" t="e">
        <f t="shared" ca="1" si="985"/>
        <v>#N/A</v>
      </c>
      <c r="IA284" s="220" t="e">
        <f ca="1">Control!$C$153*$HO284</f>
        <v>#N/A</v>
      </c>
      <c r="IB284" s="218" t="e">
        <f t="shared" ca="1" si="986"/>
        <v>#N/A</v>
      </c>
      <c r="IC284" s="220" t="e">
        <f ca="1">Control!$C$153*$HT284</f>
        <v>#N/A</v>
      </c>
      <c r="ID284" s="218" t="e">
        <f t="shared" ca="1" si="987"/>
        <v>#N/A</v>
      </c>
      <c r="IE284" s="221" t="e">
        <f ca="1">($EB284*Control!$C$159+$EF284*Control!$C$160)/(IF($GZ284&lt;&gt;0,$GZ284,1))</f>
        <v>#N/A</v>
      </c>
      <c r="IF284" s="216" t="e">
        <f t="shared" ca="1" si="988"/>
        <v>#N/A</v>
      </c>
      <c r="IG284" s="91">
        <f ca="1">IF(OR(Control!$B$198=$AH284,Control!$B$199=$AH284, Control!$B$200=$AH284, Control!$B$201=$AH284, Control!$B$202=$AH284, Control!$B$203=$AH284, Control!$B$204=$AH284, Control!$B$205=$AH284, Control!$B$206=$AH284, Control!$B$207=$AH284), 1, 0)</f>
        <v>0</v>
      </c>
      <c r="IH284" s="91">
        <f ca="1">IF($IG284=0,0, VLOOKUP($AH284,Control!$B$198:$C$207,2))</f>
        <v>0</v>
      </c>
      <c r="II284" s="222">
        <f t="shared" ca="1" si="1104"/>
        <v>0</v>
      </c>
      <c r="IJ284" s="91">
        <f>Control!$C$121</f>
        <v>0.7</v>
      </c>
      <c r="IK284" s="218">
        <f t="shared" ca="1" si="989"/>
        <v>0</v>
      </c>
      <c r="IL284" s="217" t="e">
        <f t="shared" ca="1" si="1141"/>
        <v>#N/A</v>
      </c>
      <c r="IM284" s="223" t="e">
        <f ca="1">IF(AND(Control!$C$114=1,$KH284&lt;1),$EB284*Control!$C$148*(1-$KH284), 0)</f>
        <v>#N/A</v>
      </c>
      <c r="IN284" s="217" t="e">
        <f t="shared" ca="1" si="990"/>
        <v>#DIV/0!</v>
      </c>
      <c r="IO284" s="91" t="e">
        <f ca="1">MAX(0,$IL284-$EF284*Control!$C$160)</f>
        <v>#N/A</v>
      </c>
      <c r="IP284" s="220" t="e">
        <f t="shared" ca="1" si="991"/>
        <v>#N/A</v>
      </c>
      <c r="IQ284" s="217" t="e">
        <f t="shared" ca="1" si="1105"/>
        <v>#N/A</v>
      </c>
      <c r="IR284" s="218" t="e">
        <f t="shared" ca="1" si="992"/>
        <v>#N/A</v>
      </c>
      <c r="IS284" s="217" t="e">
        <f ca="1">Control!$C$159*MAX(0,$FD284-$EN284)</f>
        <v>#N/A</v>
      </c>
      <c r="IT284" s="217" t="e">
        <f t="shared" ca="1" si="1142"/>
        <v>#N/A</v>
      </c>
      <c r="IU284" s="217" t="e">
        <f t="shared" ca="1" si="1106"/>
        <v>#N/A</v>
      </c>
      <c r="IV284" s="217" t="e">
        <f t="shared" ca="1" si="1143"/>
        <v>#N/A</v>
      </c>
      <c r="IW284" s="217" t="e">
        <f ca="1">IF(OR($AW284=1,AND($AW284=0, Control!$B$18=1,$EN284&lt;&gt;0)), $IQ284-$IU284, $IQ284)</f>
        <v>#N/A</v>
      </c>
      <c r="IX284" s="218" t="e">
        <f t="shared" ca="1" si="993"/>
        <v>#N/A</v>
      </c>
      <c r="IY284" s="218" t="e">
        <f ca="1">MAX(0,$IQ284-$EB284*Control!$C$159)</f>
        <v>#N/A</v>
      </c>
      <c r="IZ284" s="218" t="e">
        <f t="shared" ca="1" si="994"/>
        <v>#N/A</v>
      </c>
      <c r="JA284" s="216" t="e">
        <f t="shared" ca="1" si="995"/>
        <v>#N/A</v>
      </c>
      <c r="JB284" s="217" t="e">
        <f t="shared" ca="1" si="996"/>
        <v>#N/A</v>
      </c>
      <c r="JC284" s="222" t="e">
        <f ca="1">MAX(Control!$C$157*$EK284-$JT284, 0)/Control!$C$162</f>
        <v>#N/A</v>
      </c>
      <c r="JD284" s="218" t="e">
        <f t="shared" ca="1" si="997"/>
        <v>#N/A</v>
      </c>
      <c r="JE284" s="218" t="e">
        <f t="shared" ca="1" si="998"/>
        <v>#N/A</v>
      </c>
      <c r="JF284" s="218" t="e">
        <f t="shared" ca="1" si="1107"/>
        <v>#N/A</v>
      </c>
      <c r="JG284" s="218" t="e">
        <f t="shared" ca="1" si="999"/>
        <v>#N/A</v>
      </c>
      <c r="JH284" s="217" t="e">
        <f t="shared" ca="1" si="1108"/>
        <v>#N/A</v>
      </c>
      <c r="JI284" s="217" t="e">
        <f t="shared" ca="1" si="1109"/>
        <v>#N/A</v>
      </c>
      <c r="JJ284" s="217" t="e">
        <f t="shared" ca="1" si="1144"/>
        <v>#N/A</v>
      </c>
      <c r="JK284" s="217" t="e">
        <f ca="1">IF(Control!$C$114=1,IF(Control!$B$24=0,MAX(0,$JI284)*$GN284/Control!$C$64,(MAX(0,MIN($JI284,$JJ284*$GN284/Control!$C$64),0))))</f>
        <v>#N/A</v>
      </c>
      <c r="JL284" s="217" t="e">
        <f ca="1">$IK284/Control!$C$64-$JK284+$HQ284</f>
        <v>#N/A</v>
      </c>
      <c r="JM284" s="217" t="e">
        <f ca="1">IF(Control!$C$114=1,($JB284/(IF($JI284&lt;&gt;0,$JI284,1)))*$JK284,0)</f>
        <v>#N/A</v>
      </c>
      <c r="JN284" s="217" t="e">
        <f ca="1">IF(Control!$C$114=1,($JG284/(IF($JI284&lt;&gt;0,$JI284,1)))*$JK284, 0)</f>
        <v>#N/A</v>
      </c>
      <c r="JO284" s="218" t="e">
        <f t="shared" ca="1" si="1000"/>
        <v>#N/A</v>
      </c>
      <c r="JP284" s="218" t="e">
        <f ca="1">MIN(($IY284+$IO284)*Control!$C$151, $JF284-$EH284*Control!$C$161)</f>
        <v>#N/A</v>
      </c>
      <c r="JQ284" s="218" t="e">
        <f t="shared" ca="1" si="1001"/>
        <v>#N/A</v>
      </c>
      <c r="JR284" s="217" t="e">
        <f ca="1">IF($CP284-Control!$C$150&lt;0, 0, $JQ284/Control!$C$162)</f>
        <v>#N/A</v>
      </c>
      <c r="JS284" s="218" t="e">
        <f t="shared" ca="1" si="1002"/>
        <v>#N/A</v>
      </c>
      <c r="JT284" s="218" t="e">
        <f t="shared" ca="1" si="1110"/>
        <v>#N/A</v>
      </c>
      <c r="JU284" s="218" t="e">
        <f t="shared" ca="1" si="1003"/>
        <v>#N/A</v>
      </c>
      <c r="JV284" s="218" t="e">
        <f t="shared" ca="1" si="1004"/>
        <v>#N/A</v>
      </c>
      <c r="JW284" s="216" t="e">
        <f t="shared" ca="1" si="1005"/>
        <v>#N/A</v>
      </c>
      <c r="JX284" s="91" t="e">
        <f t="shared" ca="1" si="1006"/>
        <v>#N/A</v>
      </c>
      <c r="JY284" s="218" t="e">
        <f t="shared" ca="1" si="1007"/>
        <v>#N/A</v>
      </c>
      <c r="JZ284" s="217" t="e">
        <f ca="1">IF(Control!$C$114=1,($IZ284/(IF($JI284&lt;&gt;0,$JI284,1)))*$JK284, 0)</f>
        <v>#N/A</v>
      </c>
      <c r="KA284" s="218" t="e">
        <f t="shared" ca="1" si="1145"/>
        <v>#N/A</v>
      </c>
      <c r="KB284" s="218" t="e">
        <f t="shared" ca="1" si="1111"/>
        <v>#N/A</v>
      </c>
      <c r="KC284" s="218" t="e">
        <f t="shared" ca="1" si="1008"/>
        <v>#N/A</v>
      </c>
      <c r="KD284" s="218" t="e">
        <f t="shared" ca="1" si="1009"/>
        <v>#N/A</v>
      </c>
      <c r="KE284" s="218" t="e">
        <f t="shared" ca="1" si="1010"/>
        <v>#N/A</v>
      </c>
      <c r="KF284" s="218" t="e">
        <f t="shared" ca="1" si="1011"/>
        <v>#N/A</v>
      </c>
      <c r="KG284" s="216" t="e">
        <f t="shared" ca="1" si="1012"/>
        <v>#N/A</v>
      </c>
      <c r="KH284" s="221" t="e">
        <f ca="1">IF(Control!$B$24=0,1,MAX(0.001,MIN(1,IF(($IF284-$IE284)&lt;&gt;0,($KG284-$IE284)/($IF284-$IE284),1))))</f>
        <v>#N/A</v>
      </c>
      <c r="KI284" s="222" t="e">
        <f ca="1">IF(Control!$C$114=1, $KI283+ $KH283, 0)</f>
        <v>#N/A</v>
      </c>
      <c r="KJ284" s="217" t="e">
        <f t="shared" ca="1" si="1013"/>
        <v>#N/A</v>
      </c>
      <c r="KK284" s="218" t="e">
        <f t="shared" ca="1" si="1014"/>
        <v>#N/A</v>
      </c>
      <c r="KL284" s="274" t="e">
        <f ca="1">IF(Control!$B$26=3,4000000000*EXP(-8400/($G284+273)),IF(Control!$B$26=4,4000000000*EXP(-8400/($G284+273))*($KT284),0))</f>
        <v>#DIV/0!</v>
      </c>
      <c r="KM284" s="274" t="e">
        <f ca="1">IF(Control!$B$26=3,5600000000000*EXP(-9800/($G284+273)),IF(Control!$B$26=4,5600000000000*EXP(-9800/($G284+273))*$KT284,0))</f>
        <v>#DIV/0!</v>
      </c>
      <c r="KN284" s="454" t="e">
        <f t="shared" ca="1" si="1112"/>
        <v>#DIV/0!</v>
      </c>
      <c r="KO284" s="274" t="e">
        <f t="shared" ca="1" si="1113"/>
        <v>#DIV/0!</v>
      </c>
      <c r="KP284" s="454" t="e">
        <f t="shared" ca="1" si="1015"/>
        <v>#DIV/0!</v>
      </c>
      <c r="KQ284" s="454" t="e">
        <f t="shared" ca="1" si="1016"/>
        <v>#DIV/0!</v>
      </c>
      <c r="KR284" s="454" t="e">
        <f t="shared" ca="1" si="1017"/>
        <v>#DIV/0!</v>
      </c>
      <c r="KS284" s="454" t="e">
        <f t="shared" ca="1" si="1018"/>
        <v>#DIV/0!</v>
      </c>
      <c r="KT284" s="455" t="e">
        <f t="shared" ca="1" si="1019"/>
        <v>#DIV/0!</v>
      </c>
      <c r="KU284" s="456" t="e">
        <f ca="1">IF($CP284-Control!$C$149&lt;0, IF($NT284-0.01&lt;0,0,1),0)</f>
        <v>#N/A</v>
      </c>
      <c r="KV284" s="456" t="e">
        <f ca="1">IF(Control!$C$114=1,MAX(0,MIN(Control!$C$125*$KW284*$GN284,$KW284)))</f>
        <v>#DIV/0!</v>
      </c>
      <c r="KW284" s="456" t="e">
        <f t="shared" ca="1" si="1146"/>
        <v>#DIV/0!</v>
      </c>
      <c r="KX284" s="457" t="e">
        <f ca="1">IF($CP284-Control!$C$149&lt;0, IF($MR284-$OM284&lt;0,0,1),0)</f>
        <v>#N/A</v>
      </c>
      <c r="KY284" s="167">
        <f t="shared" ca="1" si="1114"/>
        <v>280</v>
      </c>
      <c r="KZ284" s="168">
        <f ca="1">1370*(1+0.033*COS(2*Control!$C$138*$AH284/365))</f>
        <v>1374.855217307155</v>
      </c>
      <c r="LA284" s="169">
        <f t="shared" ca="1" si="1115"/>
        <v>1.0035435844399174</v>
      </c>
      <c r="LB284" s="169">
        <f t="shared" ca="1" si="1116"/>
        <v>-0.11632139980592662</v>
      </c>
      <c r="LC284" s="169">
        <f ca="1">ACOS(-TAN((2*Control!$B$8/360))*TAN(Calculations!$LB284))</f>
        <v>1.5360614864617903</v>
      </c>
      <c r="LD284" s="169">
        <f ca="1">((24*60)/PI())*0.082*$LA284*(($LC284*SIN(Control!$B$8*2*PI()/360))*SIN($LB284)+COS(Control!$B$8*2*PI()/360)*COS($LB284)*SIN($LC284))</f>
        <v>17.752558974258587</v>
      </c>
      <c r="LE284" s="170">
        <f t="shared" ca="1" si="1020"/>
        <v>18.225875981219595</v>
      </c>
      <c r="LF284" s="170">
        <f ca="1">SIN(Control!$C$139*Control!$B$8)*SIN($HD284)</f>
        <v>-8.6584495665755698E-2</v>
      </c>
      <c r="LG284" s="170">
        <f ca="1">COS(Control!$C$139*Control!$B$8)*COS($HD284)</f>
        <v>0.61193209292097739</v>
      </c>
      <c r="LH284" s="170">
        <f ca="1">12*(1+2*ASIN(MAX(-1,MIN(1,$LF284/$LG284))/Control!$C$138))</f>
        <v>10.918705010272873</v>
      </c>
      <c r="LI284" s="170">
        <f ca="1">12*(1+2*ASIN(MAX(-1,MIN(1,(-SIN(-4*Control!$C$139)+$LF284)/$LG284))/Control!$C$138))</f>
        <v>11.789916697789488</v>
      </c>
      <c r="LJ284" s="168">
        <f ca="1">3600*($LH284*$LF284+24*$LG284*SQRT(1-$LK284*$LK284)/Control!$C$138)</f>
        <v>13256.578403155427</v>
      </c>
      <c r="LK284" s="170">
        <f t="shared" ca="1" si="1021"/>
        <v>-0.14149363412606125</v>
      </c>
      <c r="LL284" s="170">
        <f t="shared" ca="1" si="1022"/>
        <v>0</v>
      </c>
      <c r="LM284" s="171">
        <f ca="1">Control!$C$145*$AB284</f>
        <v>6.6660906138995932E-2</v>
      </c>
      <c r="LN284" s="170">
        <f t="shared" ca="1" si="1117"/>
        <v>0.54</v>
      </c>
      <c r="LO284" s="170">
        <f t="shared" ca="1" si="1023"/>
        <v>0</v>
      </c>
      <c r="LP284" s="170">
        <f ca="1">Control!$C$140*((($D284+273.16)^4+($E284+273.16)^4)/2)*(0.34-0.14*SQRT($Y284))*(1.35*$AQ284/(0.75*$LD284)-0.35)</f>
        <v>-3.2464704755046001</v>
      </c>
      <c r="LQ284" s="170">
        <f ca="1">Control!$C$140*($G284+273)^4*(0.56-0.079*SQRT($Y284*10))*(0.1+0.9*$LO284)</f>
        <v>1.5241745131704001</v>
      </c>
      <c r="LR284" s="170">
        <f ca="1">$AQ284*(1-Control!$C$142)-$LQ284</f>
        <v>-1.5241745131704001</v>
      </c>
      <c r="LS284" s="170">
        <f ca="1">$AQ284*(1-Control!$C$143)-$LQ284</f>
        <v>-1.5241745131704001</v>
      </c>
      <c r="LT284" s="170">
        <f ca="1">$AQ284*(1-Control!$C$144)-$LQ284</f>
        <v>-1.5241745131704001</v>
      </c>
      <c r="LU284" s="169">
        <f ca="1">(1-Control!$C$144)*AQ284-LP284</f>
        <v>3.2464704755046001</v>
      </c>
      <c r="LV284" s="172">
        <f t="shared" ca="1" si="1024"/>
        <v>0.79430000000000012</v>
      </c>
      <c r="LW284" s="170">
        <f t="shared" ca="1" si="1025"/>
        <v>1.5886000000000002</v>
      </c>
      <c r="LX284" s="170">
        <f ca="1">($AC284*($LR284/Control!$C$141)+$LM284*$LV284)/($AC284+$LM284)</f>
        <v>0.23530094218323697</v>
      </c>
      <c r="LY284" s="170">
        <f ca="1">($AC284*($LS284/Control!$C$141)+$LM284*$LV284)/($AC284+$LM284)</f>
        <v>0.23530094218323697</v>
      </c>
      <c r="LZ284" s="170">
        <f t="shared" ca="1" si="1026"/>
        <v>0.23530094218323697</v>
      </c>
      <c r="MA284" s="170">
        <f t="shared" ca="1" si="1027"/>
        <v>0.23530094218323697</v>
      </c>
      <c r="MB284" s="170" t="e">
        <f t="shared" ca="1" si="1028"/>
        <v>#N/A</v>
      </c>
      <c r="MC284" s="170">
        <f t="shared" ca="1" si="1118"/>
        <v>0.6018</v>
      </c>
      <c r="MD284" s="170">
        <f t="shared" ca="1" si="1029"/>
        <v>0.52989392535414004</v>
      </c>
      <c r="ME284" s="170">
        <f ca="1">($AC284*($LT284/Control!$C$141)+$LM284*$LW284)/($AC284+$LM284)</f>
        <v>0.71612369323045078</v>
      </c>
      <c r="MF284" s="170" t="e">
        <f ca="1">IF(Control!$B$16&gt;=1000,0.92,IF(AND(720&lt;=Control!$B$16,1000&gt;Control!$B$16),(0.95+(Control!$B$16-720)*((0.92-0.95)/(1000-720))),IF(AND(360&lt;=Control!$B$16,720&gt;Control!$B$16),(1+(Control!$B$16-360)*((0.95-1)/(720-360))),IF(AND(40&lt;=Control!$B$16,360&gt;Control!$B$16),(1.05+(Control!$B$16-40)*((1.05-1)/(360-40)))))))</f>
        <v>#N/A</v>
      </c>
      <c r="MG284" s="170">
        <f t="shared" ca="1" si="1030"/>
        <v>0.71612369323045078</v>
      </c>
      <c r="MH284" s="170" t="e">
        <f t="shared" ca="1" si="1155"/>
        <v>#N/A</v>
      </c>
      <c r="MI284" s="170" t="e">
        <f t="shared" ca="1" si="1155"/>
        <v>#N/A</v>
      </c>
      <c r="MJ284" s="170" t="e">
        <f ca="1">MAX(0.0001, Control!$C$132*$MI284*$DL284)</f>
        <v>#N/A</v>
      </c>
      <c r="MK284" s="170">
        <f ca="1">1/(0.76+1.5*($MG284/10))-(5-Control!$C$110)*0.1</f>
        <v>1.002845988140797</v>
      </c>
      <c r="ML284" s="173">
        <f ca="1">IF(Control!$C$110&lt;3,$MK284+($MG284-0.6)/(Control!$C$110*(Control!$C$110+3)), MAX(0.1, MIN(0.95,$MK284)))</f>
        <v>0.95</v>
      </c>
      <c r="MM284" s="173">
        <f ca="1">IF(Control!$C$110&lt;3,$MK284+(($MI284/10)-0.6)/(Control!$C$110*(Control!$C$110+3)), MAX(0.1, MIN(0.95,$MK284)))</f>
        <v>0.95</v>
      </c>
      <c r="MN284" s="173">
        <f ca="1">(1-$MM284)*(Control!$C$128-Control!$C$127)+Control!$C$127</f>
        <v>0.16</v>
      </c>
      <c r="MO284" s="170" t="e">
        <f ca="1">MAX(0,MIN(1,($MS284-Control!$C$127)/($MN284-Control!$C$127)))</f>
        <v>#DIV/0!</v>
      </c>
      <c r="MP284" s="173" t="e">
        <f ca="1">1/(0.76+1.5*$MI284)-(5-Control!$C$110)*0.1</f>
        <v>#N/A</v>
      </c>
      <c r="MQ284" s="172" t="e">
        <f t="shared" ca="1" si="1147"/>
        <v>#DIV/0!</v>
      </c>
      <c r="MR284" s="168" t="e">
        <f t="shared" ca="1" si="1119"/>
        <v>#DIV/0!</v>
      </c>
      <c r="MS284" s="173" t="e">
        <f ca="1">MAX(Control!$C$127, MIN(Control!$C$135, $MR284/MAX(0.0001,$CY284)))</f>
        <v>#DIV/0!</v>
      </c>
      <c r="MT284" s="168" t="e">
        <f ca="1">(Control!$C$128-$MS284)*Control!$C$74</f>
        <v>#DIV/0!</v>
      </c>
      <c r="MU284" s="168" t="e">
        <f ca="1">(Control!$C$135-$MS284)*Control!$C$74</f>
        <v>#DIV/0!</v>
      </c>
      <c r="MV284" s="168" t="e">
        <f t="shared" ca="1" si="1120"/>
        <v>#DIV/0!</v>
      </c>
      <c r="MW284" s="168" t="e">
        <f t="shared" ca="1" si="1121"/>
        <v>#DIV/0!</v>
      </c>
      <c r="MX284" s="171" t="e">
        <f ca="1">MAX(Control!$C$127, MIN(Control!$C$135, $MW284/MAX(0.0001,Control!$C$119-$CY284)))</f>
        <v>#DIV/0!</v>
      </c>
      <c r="MY284" s="54" t="e">
        <f ca="1">IF(Control!$C$114=1, $CX284*$MX284, 0)</f>
        <v>#DIV/0!</v>
      </c>
      <c r="MZ284" s="54" t="e">
        <f t="shared" ca="1" si="1122"/>
        <v>#N/A</v>
      </c>
      <c r="NA284" s="168" t="e">
        <f ca="1">(Control!$C$128-$MX284)*(Control!$C$119-Control!$C$74)</f>
        <v>#DIV/0!</v>
      </c>
      <c r="NB284" s="168" t="e">
        <f ca="1">(Control!$C$135-$MX284)*(Control!$C$119-Control!$C$74)</f>
        <v>#DIV/0!</v>
      </c>
      <c r="NC284" s="174" t="e">
        <f t="shared" ca="1" si="1123"/>
        <v>#DIV/0!</v>
      </c>
      <c r="ND284" s="54">
        <f ca="1">IF(Control!$C$58=2, IF(OR(Control!$B$218=$AH284,Control!$B$219=$AH284, Control!$B$220=$AH284, Control!$B$221=$AH284, Control!$B$222=$AH284, Control!$B$223=$AH284, Control!$B$224=$AH284, Control!$B$225=$AH284, Control!$B$226=$AH284, Control!$B$227=$AH284, Control!$B$228=$AH284), 1, 0), 0)</f>
        <v>0</v>
      </c>
      <c r="NE284" s="54">
        <f ca="1">IF($ND284=0,0, VLOOKUP($AH284,Control!$B$218:$C$228,2))</f>
        <v>0</v>
      </c>
      <c r="NF284" s="168" t="e">
        <f ca="1">$CY284*(Control!$C$128-Control!$C$127)</f>
        <v>#N/A</v>
      </c>
      <c r="NG284" s="54" t="e">
        <f ca="1">IF(Control!$C$58=2, $NI283-$NJ283, 0)</f>
        <v>#DIV/0!</v>
      </c>
      <c r="NH284" s="54" t="e">
        <f ca="1">IF(AND(Control!$C$58=1, $MS283&lt;= ($MN283+0.02), $I283&lt;10), 0, IF(Control!$C$58=2, $NG283, 0))</f>
        <v>#DIV/0!</v>
      </c>
      <c r="NI284" s="54" t="e">
        <f ca="1">IF(Control!$C$58=2, $NE284+$NH284,0)</f>
        <v>#DIV/0!</v>
      </c>
      <c r="NJ284" s="54" t="e">
        <f ca="1">IF(AND(Control!$C$58=1, $MS284&lt;= ($MN284+0.02), $I284&lt;10), MAX(0, MIN(10, 0.7*($NF284-$MV284))), IF(Control!$C$58=2, MIN(10,$NI284),0))</f>
        <v>#DIV/0!</v>
      </c>
      <c r="NK284" s="54" t="e">
        <f t="shared" ca="1" si="1031"/>
        <v>#DIV/0!</v>
      </c>
      <c r="NL284" s="173" t="e">
        <f ca="1">(1-Control!$C$73)*$I284+$NJ284</f>
        <v>#DIV/0!</v>
      </c>
      <c r="NM284" s="172" t="e">
        <f ca="1">IF($NL284&lt;0.5, $MB284* MAX(0, MIN(1, (SQRT($NC284)-SQRT($NC284-1))*Control!$C$71)),0)</f>
        <v>#DIV/0!</v>
      </c>
      <c r="NN284" s="170" t="e">
        <f ca="1">IF($NL284&gt;=5, $MB284, MAX(0,MIN($MB284, $NM284+$NL284,($MS284-Control!$C$129))))</f>
        <v>#DIV/0!</v>
      </c>
      <c r="NO284" s="54">
        <f>IF(Control!$C$133&lt;&gt;1, Control!$C$135-Control!$C$131, 0)</f>
        <v>0.38</v>
      </c>
      <c r="NP284" s="54" t="e">
        <f t="shared" ca="1" si="1032"/>
        <v>#DIV/0!</v>
      </c>
      <c r="NQ284" s="173" t="e">
        <f ca="1">MAX(0,MIN(1,(Control!$C$135-$MS284)/(Control!$C$135-$NO284)))</f>
        <v>#DIV/0!</v>
      </c>
      <c r="NR284" s="170" t="e">
        <f ca="1">IF(Control!$C$133&lt;&gt;1, $NQ284+((1-$NP284/4)*(1-$NQ284)),1)</f>
        <v>#DIV/0!</v>
      </c>
      <c r="NS284" s="170" t="e">
        <f ca="1">IF(Control!$B$31=0,$MJ284,MAX(0,MIN($MV284,$MO284*$NR284*$MJ284)))</f>
        <v>#DIV/0!</v>
      </c>
      <c r="NT284" s="170" t="e">
        <f t="shared" ca="1" si="1148"/>
        <v>#DIV/0!</v>
      </c>
      <c r="NU284" s="170" t="e">
        <f t="shared" ca="1" si="1124"/>
        <v>#N/A</v>
      </c>
      <c r="NV284" s="170" t="e">
        <f t="shared" ca="1" si="1033"/>
        <v>#N/A</v>
      </c>
      <c r="NW284" s="175" t="e">
        <f t="shared" ca="1" si="1034"/>
        <v>#DIV/0!</v>
      </c>
      <c r="NX284" s="170" t="e">
        <f ca="1">MIN(Control!$C$72+$MU284, $NW284)</f>
        <v>#DIV/0!</v>
      </c>
      <c r="NY284" s="170" t="e">
        <f ca="1">IF($MT284&lt;=$NX284,MIN(Control!$C$72+$NB284,$NX284-$MT284),0)</f>
        <v>#DIV/0!</v>
      </c>
      <c r="NZ284" s="54" t="e">
        <f ca="1">IF(Control!$C$114=1,  $CX284*($MX284-Control!$C$127), 0)</f>
        <v>#DIV/0!</v>
      </c>
      <c r="OA284" s="170" t="e">
        <f t="shared" ca="1" si="1035"/>
        <v>#DIV/0!</v>
      </c>
      <c r="OB284" s="170" t="e">
        <f ca="1">IF($NA284 &lt;=$NY284, MIN(Control!$C$72, $NY284-$NA284), 0)</f>
        <v>#DIV/0!</v>
      </c>
      <c r="OC284" s="168" t="e">
        <f t="shared" ca="1" si="1036"/>
        <v>#DIV/0!</v>
      </c>
      <c r="OD284" s="168" t="e">
        <f t="shared" ca="1" si="1125"/>
        <v>#DIV/0!</v>
      </c>
      <c r="OE284" s="170">
        <f ca="1">Control!$C$73*$I284</f>
        <v>0</v>
      </c>
      <c r="OF284" s="176" t="e">
        <f t="shared" ca="1" si="1037"/>
        <v>#DIV/0!</v>
      </c>
      <c r="OG284" s="168" t="e">
        <f t="shared" ca="1" si="1038"/>
        <v>#DIV/0!</v>
      </c>
      <c r="OH284" s="168" t="e">
        <f t="shared" ca="1" si="1039"/>
        <v>#DIV/0!</v>
      </c>
      <c r="OI284" s="168" t="e">
        <f t="shared" ca="1" si="1040"/>
        <v>#DIV/0!</v>
      </c>
      <c r="OJ284" s="168" t="e">
        <f t="shared" ca="1" si="1041"/>
        <v>#DIV/0!</v>
      </c>
      <c r="OK284" s="204" t="e">
        <f t="shared" ca="1" si="1042"/>
        <v>#DIV/0!</v>
      </c>
      <c r="OL284" s="177">
        <f>Control!$C$127</f>
        <v>0.15</v>
      </c>
      <c r="OM284" s="182" t="e">
        <f t="shared" ca="1" si="1043"/>
        <v>#N/A</v>
      </c>
      <c r="ON284" s="177">
        <f>Control!$C$128</f>
        <v>0.35</v>
      </c>
      <c r="OO284" s="182" t="e">
        <f t="shared" ca="1" si="1044"/>
        <v>#N/A</v>
      </c>
      <c r="OP284" s="138">
        <f t="shared" ca="1" si="1126"/>
        <v>0</v>
      </c>
      <c r="OQ284" s="138" t="e">
        <f t="shared" ca="1" si="1149"/>
        <v>#DIV/0!</v>
      </c>
      <c r="OR284" s="138" t="e">
        <f t="shared" ca="1" si="1127"/>
        <v>#DIV/0!</v>
      </c>
      <c r="OS284" s="137" t="e">
        <f t="shared" ca="1" si="1150"/>
        <v>#DIV/0!</v>
      </c>
      <c r="OT284" s="139" t="e">
        <f t="shared" ca="1" si="1151"/>
        <v>#DIV/0!</v>
      </c>
      <c r="OU284" s="138" t="e">
        <f t="shared" ca="1" si="1152"/>
        <v>#N/A</v>
      </c>
      <c r="OV284" s="138" t="e">
        <f t="shared" ca="1" si="1153"/>
        <v>#DIV/0!</v>
      </c>
      <c r="OW284" s="138" t="e">
        <f t="shared" ca="1" si="1128"/>
        <v>#DIV/0!</v>
      </c>
      <c r="OX284" s="138" t="e">
        <f t="shared" ca="1" si="1129"/>
        <v>#DIV/0!</v>
      </c>
      <c r="OY284" s="138" t="e">
        <f t="shared" ca="1" si="1130"/>
        <v>#DIV/0!</v>
      </c>
      <c r="OZ284" s="138" t="e">
        <f t="shared" ca="1" si="1045"/>
        <v>#DIV/0!</v>
      </c>
      <c r="PA284" s="138" t="e">
        <f t="shared" ca="1" si="1046"/>
        <v>#DIV/0!</v>
      </c>
      <c r="PB284" s="55">
        <f>IF(Control!$C$61="T", IF(Control!$C$65="F", IF($AH$6-Control!$C$60&lt;0,0,1), IF(365+$AH$6-Control!$C$60&lt;0,0,1)),0)</f>
        <v>0</v>
      </c>
      <c r="PC284" s="55">
        <f ca="1">IF(Control!$C$65="F", IF($AH$6-$HF284&lt;0,0,1), IF(365+$AH$6-$HF284&lt;0,0,1))</f>
        <v>1</v>
      </c>
      <c r="PD284" s="444">
        <f>Control!$C$118</f>
        <v>1500</v>
      </c>
      <c r="PE284" s="180" t="e">
        <f t="shared" ca="1" si="1047"/>
        <v>#N/A</v>
      </c>
      <c r="PF284" s="445">
        <f t="shared" ca="1" si="1131"/>
        <v>0.71612369323045078</v>
      </c>
      <c r="PT284" s="186"/>
      <c r="PU284" s="186"/>
      <c r="PV284" s="94"/>
      <c r="PW284" s="94"/>
      <c r="PX284" s="94"/>
      <c r="PY284" s="94"/>
      <c r="PZ284" s="94"/>
      <c r="QA284" s="94"/>
      <c r="QB284" s="94"/>
      <c r="QC284" s="94"/>
      <c r="QD284" s="94"/>
      <c r="QE284" s="94"/>
      <c r="QF284" s="94"/>
      <c r="QG284" s="94"/>
      <c r="QH284" s="94"/>
      <c r="QI284" s="94"/>
      <c r="QJ284" s="94"/>
      <c r="QK284" s="94"/>
      <c r="QL284" s="94"/>
      <c r="QM284" s="94"/>
      <c r="QN284" s="94"/>
      <c r="QO284" s="94"/>
      <c r="QP284" s="94"/>
    </row>
    <row r="285" spans="1:458" s="2" customFormat="1" x14ac:dyDescent="0.2">
      <c r="A285" s="395">
        <v>7</v>
      </c>
      <c r="B285" s="396">
        <v>10</v>
      </c>
      <c r="C285" s="387">
        <f ca="1">Weather_data!$B284</f>
        <v>0</v>
      </c>
      <c r="D285" s="388">
        <f ca="1">Weather_data!$F284</f>
        <v>0</v>
      </c>
      <c r="E285" s="388">
        <f ca="1">Weather_data!$E284</f>
        <v>0</v>
      </c>
      <c r="F285" s="388">
        <f t="shared" ca="1" si="1048"/>
        <v>0</v>
      </c>
      <c r="G285" s="388">
        <f ca="1">AVERAGE($D285:$E285)+Control!$B$9</f>
        <v>0</v>
      </c>
      <c r="H285" s="388">
        <f ca="1">Weather_data!$G284</f>
        <v>0</v>
      </c>
      <c r="I285" s="388">
        <f ca="1">Weather_data!$I284</f>
        <v>0</v>
      </c>
      <c r="J285" s="388">
        <f ca="1">Weather_data!$H284</f>
        <v>0</v>
      </c>
      <c r="K285" s="389">
        <f ca="1">Weather_data!$D284</f>
        <v>0</v>
      </c>
      <c r="L285" s="388" t="e">
        <f t="shared" ca="1" si="1049"/>
        <v>#N/A</v>
      </c>
      <c r="M285" s="388" t="e">
        <f t="shared" ca="1" si="927"/>
        <v>#N/A</v>
      </c>
      <c r="N285" s="388">
        <f t="shared" ca="1" si="928"/>
        <v>-8.5630826913987043E-14</v>
      </c>
      <c r="O285" s="388">
        <f t="shared" ca="1" si="1050"/>
        <v>8.5630826913987038E-13</v>
      </c>
      <c r="P285" s="390">
        <v>3</v>
      </c>
      <c r="Q285" s="388">
        <f ca="1">MAX($G285-Control!$C$107,0)</f>
        <v>0</v>
      </c>
      <c r="R285" s="388">
        <f t="shared" ca="1" si="1051"/>
        <v>0</v>
      </c>
      <c r="S285" s="388">
        <f t="shared" ca="1" si="929"/>
        <v>0</v>
      </c>
      <c r="T285" s="388">
        <f t="shared" ca="1" si="930"/>
        <v>0</v>
      </c>
      <c r="U285" s="59">
        <f t="shared" ca="1" si="931"/>
        <v>0</v>
      </c>
      <c r="V285" s="391">
        <f ca="1">MAX(0,MIN(Control!$C$100-Control!$C$99,$G285-Control!$C$99)*Control!$C$63)</f>
        <v>0</v>
      </c>
      <c r="W285" s="388">
        <f t="shared" ca="1" si="1052"/>
        <v>0</v>
      </c>
      <c r="X285" s="388">
        <f t="shared" ca="1" si="1053"/>
        <v>0.6110000000000001</v>
      </c>
      <c r="Y285" s="388">
        <f t="shared" ca="1" si="932"/>
        <v>0</v>
      </c>
      <c r="Z285" s="388">
        <f t="shared" ca="1" si="1054"/>
        <v>0.61058800000000002</v>
      </c>
      <c r="AA285" s="388">
        <f t="shared" ca="1" si="933"/>
        <v>0.6018</v>
      </c>
      <c r="AB285" s="388">
        <f ca="1">101.3*EXP(-0.034*Control!$C$66/($G285+273))</f>
        <v>100.69623283836242</v>
      </c>
      <c r="AC285" s="392">
        <f t="shared" ca="1" si="934"/>
        <v>4.3460251046025113E-2</v>
      </c>
      <c r="AD285" s="392">
        <f t="shared" ca="1" si="935"/>
        <v>4.4450382862832649E-2</v>
      </c>
      <c r="AE285" s="388">
        <f t="shared" ca="1" si="936"/>
        <v>0</v>
      </c>
      <c r="AF285" s="388">
        <f ca="1">MAX(0,$G285-Control!$C$92)</f>
        <v>0</v>
      </c>
      <c r="AG285" s="393">
        <f t="shared" ca="1" si="937"/>
        <v>281</v>
      </c>
      <c r="AH285" s="389">
        <f t="shared" ca="1" si="938"/>
        <v>281</v>
      </c>
      <c r="AI285" s="388">
        <f t="shared" ca="1" si="1055"/>
        <v>-0.11670938851337583</v>
      </c>
      <c r="AJ285" s="388">
        <f ca="1">IF(Control!$C$60&lt;=0,$HH285,$HI285)</f>
        <v>1</v>
      </c>
      <c r="AK285" s="388">
        <f t="shared" ca="1" si="939"/>
        <v>3.4600554705290327</v>
      </c>
      <c r="AL285" s="388">
        <f t="shared" ca="1" si="940"/>
        <v>-1.1721781531526254E-17</v>
      </c>
      <c r="AM285" s="388">
        <f t="shared" ca="1" si="941"/>
        <v>3.4600554705290327</v>
      </c>
      <c r="AN285" s="388">
        <f t="shared" ca="1" si="942"/>
        <v>-0.12487829886931495</v>
      </c>
      <c r="AO285" s="388">
        <f ca="1">-0.10453/COS(Control!$B$8*PI()/180)*COS(AN285)</f>
        <v>-0.1684627211278677</v>
      </c>
      <c r="AP285" s="388">
        <f ca="1">ACOS(AO285-TAN(Control!$B$8*PI()/180)*TAN(AN285))</f>
        <v>1.5785861135189763</v>
      </c>
      <c r="AQ285" s="388">
        <f t="shared" ca="1" si="1056"/>
        <v>0</v>
      </c>
      <c r="AR285" s="394">
        <f t="shared" ca="1" si="943"/>
        <v>0</v>
      </c>
      <c r="AS285" s="436">
        <f ca="1">IF(Control!$B$18=2,(IF(OR($AH285=Control!$B$175,$AH285=Control!$B$176,$AH285=Control!$B$177,$AH285=Control!$B$178,$AH285=Control!$B$179,$AH285=Control!$B$180,$AH285=Control!$B$181,$AH285=Control!$B$182,$AH285=Control!$B$183,$AH285=Control!$B$184,$AH285=Control!$B$185),1,0)),0)</f>
        <v>0</v>
      </c>
      <c r="AT285" s="436">
        <f>IF(Control!$B$20=8,IF(AND($AH285&gt;=Control!$B$172,$AH285&lt;=Control!$B$173),1,0),0)</f>
        <v>0</v>
      </c>
      <c r="AU285" s="436">
        <f>IF(Control!$B$20=8,IF($AV284=1,1*$AT285,IF($AT285=1,$AU284+1,$AU284)),0)</f>
        <v>0</v>
      </c>
      <c r="AV285" s="436">
        <f>IF(Control!$B$20=8,IF($AU285&gt;=Control!$B$174,1,0),0)</f>
        <v>0</v>
      </c>
      <c r="AW285" s="436">
        <f ca="1">IF(AND(Control!$B$18=2,Control!$B$171=1), $AV285, $AS285)</f>
        <v>0</v>
      </c>
      <c r="AX285" s="436" t="e">
        <f ca="1">IF(AND(Control!$B$18=1,$EU285&gt;=Control!$B$19),-$AY285,IF(AND(Control!$B$18=2,$AW285=1,$EU285&gt;$DS285),-$AY285, IF(Control!$C$108=0,0, IF(Control!$C$108&lt;&gt;0,1))))</f>
        <v>#N/A</v>
      </c>
      <c r="AY285" s="436" t="e">
        <f t="shared" ca="1" si="1057"/>
        <v>#N/A</v>
      </c>
      <c r="AZ285" s="436" t="e">
        <f ca="1">IF(AND(Control!$B$18=1,$EB285&gt;Control!$B$19),$AZ284+1, IF(AND(Control!$B$18=2, $AW285=1, $EB285&gt;$DS285), $AZ284+1,$AZ284))</f>
        <v>#N/A</v>
      </c>
      <c r="BA285" s="587">
        <f>IF(Control!$C$81=0,1,IF($AH285&gt;=Control!$C$82,1,0))</f>
        <v>1</v>
      </c>
      <c r="BB285" s="140" t="e">
        <f ca="1">IF($BA285&gt;$BA284,Control!$C$83,IF($AW285&gt;0,$AW285*Control!$C$84,IF(AND(Control!$B$18=1,EN284&lt;&gt;0),Control!$C$84,0)))</f>
        <v>#N/A</v>
      </c>
      <c r="BC285" s="140" t="e">
        <f t="shared" ca="1" si="1058"/>
        <v>#N/A</v>
      </c>
      <c r="BD285" s="140" t="e">
        <f ca="1">BC285*IF(OR($G285&lt;Control!$C$92,$G285&gt;Control!$C$95),0,IF(AND($G285&gt;=Control!$C$92,$G285&lt;=Control!$C$93),$G285-Control!$C$92,IF(AND($G285&gt;Control!$C$93,$G285&lt;=Control!$C$94),Control!$C$93-Control!$C$92,IF(AND($G285&gt;Control!$C$94,$G285&lt;=Control!$C$95),(Control!$C$93-Control!$C$92)*(Control!$C$94-$G285)/(Control!$C$95-Control!$C$94)))))</f>
        <v>#N/A</v>
      </c>
      <c r="BE285" s="140" t="e">
        <f t="shared" ca="1" si="1059"/>
        <v>#N/A</v>
      </c>
      <c r="BF285" s="140" t="e">
        <f ca="1">IF($BE285&lt;=Control!$C$86,$BE285,Control!$C$86-$BE285)</f>
        <v>#N/A</v>
      </c>
      <c r="BG285" s="140" t="e">
        <f ca="1">IF(AND($AW285=1,Control!$C$84&lt;9),1,IF($BE285&gt;=Control!$C$86,0,$BC285))</f>
        <v>#N/A</v>
      </c>
      <c r="BH285" s="404" t="e">
        <f ca="1">IF($BG285=0,0,IF($BE285&lt;=Control!$C$86,$BC285*9*($BF285/Control!$C$86),0))</f>
        <v>#N/A</v>
      </c>
      <c r="BI285" s="140" t="e">
        <f ca="1">IF($BG285=1,0,IF($BE285&gt;=Control!$C$86,1,IF(AND($BB285&lt;21,$BB285&gt;=9),1,$BM284)))</f>
        <v>#N/A</v>
      </c>
      <c r="BJ285" s="140" t="e">
        <f ca="1">IF($BF285&lt;0,-$BF285,$BI285*IF(OR($G285&lt;Control!$C$92,$G285&gt;Control!$C$95),0,IF(AND($G285&gt;=Control!$C$92,$G285&lt;=Control!$C$93),$G285-Control!$C$92,IF(AND($G285&gt;Control!$C$93,$G285&lt;=Control!$C$94),Control!$C$93-Control!$C$92,IF(AND($G285&gt;Control!$C$94,$G285&lt;=Control!$C$95),(Control!$C$93-Control!$C$92)*(Control!$C$94-$G285)/(Control!$C$95-Control!$C$94))))))</f>
        <v>#N/A</v>
      </c>
      <c r="BK285" s="140" t="e">
        <f t="shared" ca="1" si="1060"/>
        <v>#N/A</v>
      </c>
      <c r="BL285" s="140" t="e">
        <f ca="1">IF($BK285&lt;=Control!$C$87,$BK285,Control!$C$87-$BK285)</f>
        <v>#N/A</v>
      </c>
      <c r="BM285" s="140" t="e">
        <f ca="1">IF(AND($BB285&gt;=9,$BB285&lt;21),1,IF($BK285&gt;=Control!$C$87,0,$BI285))</f>
        <v>#N/A</v>
      </c>
      <c r="BN285" s="404" t="e">
        <f ca="1">IF($BM285=0,0,IF($BK285&lt;=Control!$C$87,$BI285*(9+(21-9)*($BL285/Control!$C$87)),0))</f>
        <v>#N/A</v>
      </c>
      <c r="BO285" s="140" t="e">
        <f ca="1">IF($BM285=1,0,IF($BK285&gt;=Control!$C$87,1,IF(AND($BB285&lt;30,$BB285&gt;=21),1,$BS284)))</f>
        <v>#N/A</v>
      </c>
      <c r="BP285" s="140" t="e">
        <f ca="1">IF($BL285&lt;0,-$BL285,$BO285*IF(OR($G285&lt;Control!$C$92,$G285&gt;Control!$C$95),0,IF(AND($G285&gt;=Control!$C$92,$G285&lt;=Control!$C$93),$G285-Control!$C$92,IF(AND($G285&gt;Control!$C$93,$G285&lt;=Control!$C$94),Control!$C$93-Control!$C$92,IF(AND($G285&gt;Control!$C$94,$G285&lt;=Control!$C$95),(Control!$C$93-Control!$C$92)*(Control!$C$94-$G285)/(Control!$C$95-Control!$C$94))))))</f>
        <v>#N/A</v>
      </c>
      <c r="BQ285" s="140" t="e">
        <f t="shared" ca="1" si="944"/>
        <v>#N/A</v>
      </c>
      <c r="BR285" s="140" t="e">
        <f ca="1">IF($BQ285&lt;=Control!$C$88,$BQ285,Control!$C$88-$BQ285)</f>
        <v>#N/A</v>
      </c>
      <c r="BS285" s="140" t="e">
        <f ca="1">IF(AND($BB285&gt;=21,$BB285&lt;30),1,IF($BQ285&gt;=Control!$C$88,0,$BO285))</f>
        <v>#N/A</v>
      </c>
      <c r="BT285" s="404" t="e">
        <f ca="1">IF($BS285=0,0,IF($BQ285&lt;=Control!$C$88,$BO285*(21+(30-21)*(BR285/Control!$C$88)),0))</f>
        <v>#N/A</v>
      </c>
      <c r="BU285" s="140" t="e">
        <f ca="1">IF(BG285+BM285+BS285=1,0,IF(OR(AND($BB285&lt;60,$BB285&gt;=30),$BQ285&gt;=Control!$C$88),1*$BA285,$BY284))</f>
        <v>#N/A</v>
      </c>
      <c r="BV285" s="140" t="e">
        <f ca="1">IF($BR285&lt;0,-$BR285,$BU285*IF(OR($G285&lt;Control!$C$92,$G285&gt;Control!$C$95),0,IF(AND($G285&gt;=Control!$C$92,$G285&lt;=Control!$C$93),$G285-Control!$C$92,IF(AND($G285&gt;Control!$C$93,$G285&lt;=Control!$C$94),Control!$C$93-Control!$C$92,IF(AND($G285&gt;Control!$C$94,$G285&lt;=Control!$C$95),(Control!$C$93-Control!$C$92)*(Control!$C$94-$G285)/(Control!$C$95-Control!$C$94))))))</f>
        <v>#N/A</v>
      </c>
      <c r="BW285" s="140" t="e">
        <f t="shared" ca="1" si="945"/>
        <v>#N/A</v>
      </c>
      <c r="BX285" s="140" t="e">
        <f ca="1">IF($BW285&lt;=Control!$C$89,$BW285,Control!$C$89-$BW285)</f>
        <v>#N/A</v>
      </c>
      <c r="BY285" s="140" t="e">
        <f ca="1">IF(AND($AJ285&gt;=30,$AJ285&lt;60),1,IF($BW285&gt;=Control!$C$89,0,$BU285))</f>
        <v>#N/A</v>
      </c>
      <c r="BZ285" s="404" t="e">
        <f ca="1">IF($BY285=0,0,IF($BW285&lt;=Control!$C$89,$BU285*(30+(60-30)*(BX285/Control!$C$89)),0))</f>
        <v>#N/A</v>
      </c>
      <c r="CA285" s="140" t="e">
        <f ca="1">IF($BG285+$BM285+$BS285+$BY285=1,0,IF(OR(AND($BB285&lt;65,$BB285&gt;=60),$BW285&gt;=Control!$C$89),1*$BA285,$CE284))</f>
        <v>#N/A</v>
      </c>
      <c r="CB285" s="140" t="e">
        <f ca="1">IF($BX285&lt;0,-$BX285,$CA285*IF(OR($G285&lt;Control!$C$92,$G285&gt;Control!$C$95),0,IF(AND($G285&gt;=Control!$C$92,$G285&lt;=Control!$C$93),$G285-Control!$C$92,IF(AND($G285&gt;Control!$C$93,$G285&lt;=Control!$C$94),Control!$C$93-Control!$C$92,IF(AND($G285&gt;Control!$C$94,$G285&lt;=Control!$C$95),(Control!$C$93-Control!$C$92)*(Control!$C$94-$G285)/(Control!$C$95-Control!$C$94))))))</f>
        <v>#N/A</v>
      </c>
      <c r="CC285" s="140" t="e">
        <f t="shared" ca="1" si="1061"/>
        <v>#N/A</v>
      </c>
      <c r="CD285" s="140" t="e">
        <f ca="1">IF($CC285&lt;=Control!$C$90,$CC285,Control!$C$90-$CC285)</f>
        <v>#N/A</v>
      </c>
      <c r="CE285" s="140" t="e">
        <f ca="1">IF(AND($BB285&gt;=60,$BB285&lt;65),1,IF($CC285&gt;=Control!$C$90,0,$CA285))</f>
        <v>#N/A</v>
      </c>
      <c r="CF285" s="404" t="e">
        <f ca="1">IF($CE285=0,0,IF($CC285&lt;=Control!$C$90,$CA285*(60+(65-60)*(CD285/Control!$C$90)),0))</f>
        <v>#N/A</v>
      </c>
      <c r="CG285" s="140" t="e">
        <f ca="1">IF($BG285+$BM285+$BS285+$BY285+$CE285=1,0,IF(OR(AND($BB285&lt;90,$BB285&gt;=65),$CC285&gt;=Control!$C$90),$BA285,$CK284))</f>
        <v>#N/A</v>
      </c>
      <c r="CH285" s="140" t="e">
        <f ca="1">IF($CD285&lt;0,-$CD285,$CG285*IF(OR($G285&lt;Control!$C$92,$G285&gt;Control!$C$95),0,IF(AND($G285&gt;=Control!$C$92,$G285&lt;=Control!$C$93),$G285-Control!$C$92,IF(AND($G285&gt;Control!$C$93,$G285&lt;=Control!$C$94),Control!$C$93-Control!$C$92,IF(AND($G285&gt;Control!$C$94,$G285&lt;=Control!$C$95),(Control!$C$93-Control!$C$92)*(Control!$C$94-$G285)/(Control!$C$95-Control!$C$94))))))</f>
        <v>#N/A</v>
      </c>
      <c r="CI285" s="140" t="e">
        <f t="shared" ca="1" si="1062"/>
        <v>#N/A</v>
      </c>
      <c r="CJ285" s="140" t="e">
        <f ca="1">IF($CI285&lt;=Control!$C$91,$CI285,Control!$C$91-$CI285)</f>
        <v>#N/A</v>
      </c>
      <c r="CK285" s="140" t="e">
        <f ca="1">IF(AND($BB285&gt;=65,$BB285&lt;90),1,IF($CI285&gt;=Control!$C$91,0,$CG285))</f>
        <v>#N/A</v>
      </c>
      <c r="CL285" s="404" t="e">
        <f ca="1">IF($CK285=0,0,IF($CI285&lt;=Control!$C$91,$CG285*(65+(90-65)*($CJ285/Control!$C$91)),0))</f>
        <v>#N/A</v>
      </c>
      <c r="CM285" s="140" t="e">
        <f ca="1">IF($BG285+$BM285+$BS285+$BY285+$CE285+$CK285=1,0,IF(OR($BB285&gt;=90,$CI285&gt;=Control!$C$91),$BA285,$CM284))</f>
        <v>#N/A</v>
      </c>
      <c r="CN285" s="140" t="e">
        <f t="shared" ca="1" si="1063"/>
        <v>#N/A</v>
      </c>
      <c r="CO285" s="140" t="e">
        <f t="shared" ca="1" si="1064"/>
        <v>#N/A</v>
      </c>
      <c r="CP285" s="140" t="e">
        <f t="shared" ca="1" si="1065"/>
        <v>#N/A</v>
      </c>
      <c r="CQ285" s="141" t="e">
        <f ca="1">VLOOKUP($CP285,Control!$B$86:$G$91,6)</f>
        <v>#N/A</v>
      </c>
      <c r="CR285" s="141" t="e">
        <f ca="1">(1-$CQ285)*VLOOKUP($CP285,Control!$B$86:$D$91,3)</f>
        <v>#N/A</v>
      </c>
      <c r="CS285" s="141" t="e">
        <f ca="1">(1-$CQ285)*VLOOKUP($CP285,Control!$B$86:$E$91,4)</f>
        <v>#N/A</v>
      </c>
      <c r="CT285" s="141" t="e">
        <f ca="1">(1-$CQ285)*VLOOKUP($CP285,Control!$B$86:$F$91,5)</f>
        <v>#N/A</v>
      </c>
      <c r="CU285" s="141">
        <f t="shared" ca="1" si="1066"/>
        <v>0</v>
      </c>
      <c r="CV285" s="583">
        <f t="shared" ca="1" si="1067"/>
        <v>0</v>
      </c>
      <c r="CW285" s="142">
        <f t="shared" ca="1" si="1068"/>
        <v>281</v>
      </c>
      <c r="CX285" s="612" t="e">
        <f ca="1">IF(Control!$C$114=1,(MIN(Control!$C$120*(IF($NT285-0.01&lt;0,0,1)),Control!$C$119-$CY285)))</f>
        <v>#DIV/0!</v>
      </c>
      <c r="CY285" s="143" t="e">
        <f t="shared" ca="1" si="1069"/>
        <v>#N/A</v>
      </c>
      <c r="CZ285" s="144">
        <f t="shared" ca="1" si="946"/>
        <v>0</v>
      </c>
      <c r="DA285" s="144">
        <f t="shared" ca="1" si="947"/>
        <v>0</v>
      </c>
      <c r="DB285" s="144" t="e">
        <f t="shared" ca="1" si="948"/>
        <v>#N/A</v>
      </c>
      <c r="DC285" s="144" t="e">
        <f t="shared" ca="1" si="949"/>
        <v>#N/A</v>
      </c>
      <c r="DD285" s="144" t="e">
        <f t="shared" ca="1" si="1154"/>
        <v>#N/A</v>
      </c>
      <c r="DE285" s="143" t="e">
        <f t="shared" ca="1" si="1070"/>
        <v>#N/A</v>
      </c>
      <c r="DF285" s="145" t="e">
        <f ca="1">$DR285*EXP(-Control!$C$158*(1-$KH285))</f>
        <v>#N/A</v>
      </c>
      <c r="DG285" s="146" t="e">
        <f ca="1">IF(Control!$C$114=1, $DF285*$EY285, 0)</f>
        <v>#N/A</v>
      </c>
      <c r="DH285" s="147" t="e">
        <f t="shared" ca="1" si="1071"/>
        <v>#N/A</v>
      </c>
      <c r="DI285" s="144" t="e">
        <f t="shared" ca="1" si="1132"/>
        <v>#N/A</v>
      </c>
      <c r="DJ285" s="147" t="e">
        <f ca="1">$EF285*Control!$C$109</f>
        <v>#N/A</v>
      </c>
      <c r="DK285" s="144" t="e">
        <f t="shared" ca="1" si="1072"/>
        <v>#N/A</v>
      </c>
      <c r="DL285" s="144" t="e">
        <f t="shared" ca="1" si="950"/>
        <v>#N/A</v>
      </c>
      <c r="DM285" s="144" t="e">
        <f ca="1">IF(Control!$C$114=1, (1-EXP(-Control!$C$96*$DK285))*$AR285, 0)</f>
        <v>#N/A</v>
      </c>
      <c r="DN285" s="144">
        <f t="shared" ca="1" si="1073"/>
        <v>0</v>
      </c>
      <c r="DO285" s="148">
        <f>Control!$C$97</f>
        <v>4</v>
      </c>
      <c r="DP285" s="145" t="e">
        <f t="shared" ca="1" si="1074"/>
        <v>#N/A</v>
      </c>
      <c r="DQ285" s="145" t="e">
        <f ca="1">IF(AND($CP285&gt;=0,$CP285&lt;=90),Control!$C$111,Control!$C$111)</f>
        <v>#N/A</v>
      </c>
      <c r="DR285" s="145" t="e">
        <f t="shared" ca="1" si="951"/>
        <v>#N/A</v>
      </c>
      <c r="DS285" s="143" t="e">
        <f ca="1">Control!$B$22/$DR285</f>
        <v>#N/A</v>
      </c>
      <c r="DT285" s="149" t="e">
        <f ca="1">IF(AND(Control!$C$114=1,$KH285&lt;1),$IM285*$DF285, 0)</f>
        <v>#N/A</v>
      </c>
      <c r="DU285" s="144" t="e">
        <f t="shared" ca="1" si="1075"/>
        <v>#N/A</v>
      </c>
      <c r="DV285" s="144">
        <f ca="1">IF($G285-Control!$C$107&lt;=0, 0, 0.83*LN(MAX($G285, 3))-0.8924)</f>
        <v>0</v>
      </c>
      <c r="DW285" s="144" t="e">
        <f t="shared" ca="1" si="952"/>
        <v>#N/A</v>
      </c>
      <c r="DX285" s="150" t="e">
        <f ca="1">MAX(0.01*(1+$CU285/Control!$C$102),0.05*($DK285-Control!$C$97)/Control!$C$97)</f>
        <v>#N/A</v>
      </c>
      <c r="DY285" s="151" t="e">
        <f ca="1">IF(Control!$C$114=1, $DI285*$FS285, 0)</f>
        <v>#N/A</v>
      </c>
      <c r="DZ285" s="196" t="e">
        <f t="shared" ca="1" si="1076"/>
        <v>#N/A</v>
      </c>
      <c r="EA285" s="152">
        <f t="shared" ca="1" si="1077"/>
        <v>281</v>
      </c>
      <c r="EB285" s="153" t="e">
        <f t="shared" ca="1" si="1078"/>
        <v>#N/A</v>
      </c>
      <c r="EC285" s="153" t="e">
        <f t="shared" ca="1" si="1079"/>
        <v>#N/A</v>
      </c>
      <c r="ED285" s="154" t="e">
        <f ca="1">IF(Control!$C$114=1, $HM285*$FY285-$FD285, 0)</f>
        <v>#DIV/0!</v>
      </c>
      <c r="EE285" s="155" t="e">
        <f ca="1">IF(Control!$C$114=1, $HM285*$FZ285-$FF285, 0)</f>
        <v>#DIV/0!</v>
      </c>
      <c r="EF285" s="153" t="e">
        <f t="shared" ca="1" si="1133"/>
        <v>#N/A</v>
      </c>
      <c r="EG285" s="155" t="e">
        <f ca="1">IF(Control!$C$114=1, $GX285*$FW285-$FI285, 0)</f>
        <v>#DIV/0!</v>
      </c>
      <c r="EH285" s="153" t="e">
        <f t="shared" ca="1" si="1080"/>
        <v>#N/A</v>
      </c>
      <c r="EI285" s="156" t="e">
        <f t="shared" ca="1" si="1081"/>
        <v>#N/A</v>
      </c>
      <c r="EJ285" s="155" t="e">
        <f ca="1">IF(Control!$C$114=1, $HM285*$GB285, 0)</f>
        <v>#DIV/0!</v>
      </c>
      <c r="EK285" s="153" t="e">
        <f t="shared" ca="1" si="1134"/>
        <v>#N/A</v>
      </c>
      <c r="EL285" s="153" t="e">
        <f t="shared" ca="1" si="953"/>
        <v>#N/A</v>
      </c>
      <c r="EM285" s="153" t="e">
        <f t="shared" ca="1" si="954"/>
        <v>#N/A</v>
      </c>
      <c r="EN285" s="153" t="e">
        <f ca="1">IF(Control!$C$108=1,IF(AND(Control!$B$18=1,$EB285&gt;=Control!$B$19),$EB285-$DS285,IF(AND(Control!$B$18=2,$AW285=1,$EB285&gt;$DS285),$EB285-$DS285,0)))</f>
        <v>#N/A</v>
      </c>
      <c r="EO285" s="153" t="e">
        <f ca="1">IF(Control!$C$108=1,IF(AND(Control!$B$18=1,$EB285&gt;=Control!$B$19),$EF285,IF(AND(Control!$B$18=2,$AW285=1),$EF285,0)))</f>
        <v>#N/A</v>
      </c>
      <c r="EP285" s="153" t="e">
        <f ca="1">IF(Control!$C$108=1,IF(AND(Control!$B$18=1,$EB285&gt;=Control!$B$19),$EK285,IF(AND(Control!$B$18=2,$AW285=1),$EK285,0)))</f>
        <v>#N/A</v>
      </c>
      <c r="EQ285" s="153" t="e">
        <f t="shared" ca="1" si="1082"/>
        <v>#N/A</v>
      </c>
      <c r="ER285" s="153" t="e">
        <f t="shared" ca="1" si="1083"/>
        <v>#N/A</v>
      </c>
      <c r="ES285" s="153" t="e">
        <f t="shared" ca="1" si="1135"/>
        <v>#N/A</v>
      </c>
      <c r="ET285" s="153" t="e">
        <f t="shared" ca="1" si="1136"/>
        <v>#N/A</v>
      </c>
      <c r="EU285" s="153" t="e">
        <f t="shared" ca="1" si="1084"/>
        <v>#N/A</v>
      </c>
      <c r="EV285" s="153" t="e">
        <f t="shared" ca="1" si="955"/>
        <v>#N/A</v>
      </c>
      <c r="EW285" s="153" t="e">
        <f t="shared" ca="1" si="956"/>
        <v>#N/A</v>
      </c>
      <c r="EX285" s="153" t="e">
        <f t="shared" ca="1" si="957"/>
        <v>#N/A</v>
      </c>
      <c r="EY285" s="157" t="e">
        <f t="shared" ca="1" si="958"/>
        <v>#DIV/0!</v>
      </c>
      <c r="EZ285" s="154" t="e">
        <f t="shared" ca="1" si="959"/>
        <v>#DIV/0!</v>
      </c>
      <c r="FA285" s="153" t="e">
        <f t="shared" ca="1" si="1085"/>
        <v>#N/A</v>
      </c>
      <c r="FB285" s="153" t="e">
        <f t="shared" ca="1" si="960"/>
        <v>#N/A</v>
      </c>
      <c r="FC285" s="193" t="e">
        <f t="shared" ca="1" si="961"/>
        <v>#N/A</v>
      </c>
      <c r="FD285" s="158" t="e">
        <f t="shared" ca="1" si="1086"/>
        <v>#N/A</v>
      </c>
      <c r="FE285" s="158" t="e">
        <f t="shared" ca="1" si="1087"/>
        <v>#N/A</v>
      </c>
      <c r="FF285" s="159" t="e">
        <f t="shared" ca="1" si="962"/>
        <v>#N/A</v>
      </c>
      <c r="FG285" s="160" t="e">
        <f t="shared" ca="1" si="1088"/>
        <v>#N/A</v>
      </c>
      <c r="FH285" s="158" t="e">
        <f t="shared" ca="1" si="1089"/>
        <v>#N/A</v>
      </c>
      <c r="FI285" s="159" t="e">
        <f t="shared" ca="1" si="963"/>
        <v>#N/A</v>
      </c>
      <c r="FJ285" s="160" t="e">
        <f t="shared" ca="1" si="1090"/>
        <v>#N/A</v>
      </c>
      <c r="FK285" s="160" t="e">
        <f t="shared" ca="1" si="964"/>
        <v>#N/A</v>
      </c>
      <c r="FL285" s="160" t="e">
        <f t="shared" ca="1" si="1137"/>
        <v>#N/A</v>
      </c>
      <c r="FM285" s="160" t="e">
        <f t="shared" ca="1" si="965"/>
        <v>#N/A</v>
      </c>
      <c r="FN285" s="158">
        <f t="shared" ca="1" si="1091"/>
        <v>0.01</v>
      </c>
      <c r="FO285" s="160">
        <f>Control!$C$101</f>
        <v>50</v>
      </c>
      <c r="FP285" s="150" t="e">
        <f t="shared" ca="1" si="966"/>
        <v>#N/A</v>
      </c>
      <c r="FQ285" s="150" t="e">
        <f ca="1">MAX(0,(Control!$C$112*(($DK285-Control!$C$97)/Control!$C$97)))</f>
        <v>#N/A</v>
      </c>
      <c r="FR285" s="150" t="e">
        <f ca="1">(1-$NT285)*Control!$C$113</f>
        <v>#DIV/0!</v>
      </c>
      <c r="FS285" s="198" t="e">
        <f t="shared" ca="1" si="967"/>
        <v>#N/A</v>
      </c>
      <c r="FT285" s="161">
        <f t="shared" ca="1" si="1092"/>
        <v>281</v>
      </c>
      <c r="FU285" s="162" t="e">
        <f ca="1">IF(Control!$B$34=1,VLOOKUP($CP285,Control!$B$86:$G$91,6),Control!$B$35)</f>
        <v>#N/A</v>
      </c>
      <c r="FV285" s="162" t="e">
        <f t="shared" ca="1" si="968"/>
        <v>#DIV/0!</v>
      </c>
      <c r="FW285" s="162" t="e">
        <f ca="1">IF(Control!$B$31=1,$FU285*$FV285,  $FU285)</f>
        <v>#N/A</v>
      </c>
      <c r="FX285" s="162" t="e">
        <f ca="1">IF(Control!$B$34=1,VLOOKUP($CP285,Control!$B$86:$G$91,3),Control!$B$36)</f>
        <v>#N/A</v>
      </c>
      <c r="FY285" s="162" t="e">
        <f t="shared" ca="1" si="969"/>
        <v>#N/A</v>
      </c>
      <c r="FZ285" s="162" t="e">
        <f ca="1">IF(Control!$B$34=1,VLOOKUP($CP285,Control!$B$86:$G$91,4),Control!$B$37)</f>
        <v>#N/A</v>
      </c>
      <c r="GA285" s="162" t="e">
        <f t="shared" ca="1" si="970"/>
        <v>#N/A</v>
      </c>
      <c r="GB285" s="162" t="e">
        <f ca="1">IF(Control!$B$34=1,VLOOKUP($CP285,Control!$B$86:$G$91,5),Control!$B$38)</f>
        <v>#N/A</v>
      </c>
      <c r="GC285" s="162" t="e">
        <f t="shared" ca="1" si="1093"/>
        <v>#N/A</v>
      </c>
      <c r="GD285" s="162">
        <f t="shared" ca="1" si="971"/>
        <v>1</v>
      </c>
      <c r="GE285" s="162">
        <f t="shared" ca="1" si="972"/>
        <v>1</v>
      </c>
      <c r="GF285" s="162">
        <f ca="1">IF(AND(Control!$C$104=1, Control!$C$62="F"),$GE285,1)</f>
        <v>1</v>
      </c>
      <c r="GG285" s="162" t="e">
        <f ca="1">IF(Control!$B$16=40,0,IF(AND(Control!$B$16&gt;40,Control!$B$16&lt;=360),(Control!$B$16-40)*((1-0)/(360-40)),IF(AND(Control!$B$16&gt;360,Control!$B$16&lt;=720),(1+(Control!$B$16-360)*((1.25-1)/(720-360))),IF(AND(Control!$B$16&gt;720,Control!$B$16&lt;=1000),(1.25+(Control!$B$16-720)*((1.35-1.25)/(1000-720))),IF(AND(Control!$B$16&gt;1000,Control!$B$16&lt;=2000),(1.35+(Control!$B$16-1000)*0))))))</f>
        <v>#N/A</v>
      </c>
      <c r="GH285" s="162" t="e">
        <f t="shared" ca="1" si="973"/>
        <v>#N/A</v>
      </c>
      <c r="GI285" s="162">
        <f t="shared" ca="1" si="1094"/>
        <v>0</v>
      </c>
      <c r="GJ285" s="162">
        <f t="shared" ca="1" si="974"/>
        <v>0</v>
      </c>
      <c r="GK285" s="162">
        <f t="shared" ca="1" si="1095"/>
        <v>1</v>
      </c>
      <c r="GL285" s="162">
        <f t="shared" ca="1" si="975"/>
        <v>1</v>
      </c>
      <c r="GM285" s="162" t="e">
        <f ca="1">MAX(0,MIN(1,1-Control!$C$156*(1.0001-$KH285)^2))</f>
        <v>#N/A</v>
      </c>
      <c r="GN285" s="162" t="e">
        <f ca="1">IF(Control!$B$26=1,$KU285,$KX285)</f>
        <v>#N/A</v>
      </c>
      <c r="GO285" s="162" t="e">
        <f ca="1">IF($CP285&lt;=60,Control!$C$105,IF($CP285&gt;=90,Control!$C$106,Control!$C$105+($CP285-60)*((Control!$C$106-Control!$C$105)/(90-60))))</f>
        <v>#N/A</v>
      </c>
      <c r="GP285" s="162" t="e">
        <f t="shared" ca="1" si="976"/>
        <v>#N/A</v>
      </c>
      <c r="GQ285" s="162" t="e">
        <f t="shared" ca="1" si="1096"/>
        <v>#N/A</v>
      </c>
      <c r="GR285" s="163" t="e">
        <f t="shared" ca="1" si="977"/>
        <v>#DIV/0!</v>
      </c>
      <c r="GS285" s="162" t="e">
        <f t="shared" ca="1" si="978"/>
        <v>#DIV/0!</v>
      </c>
      <c r="GT285" s="164" t="e">
        <f t="shared" ca="1" si="1097"/>
        <v>#N/A</v>
      </c>
      <c r="GU285" s="162" t="e">
        <f t="shared" ca="1" si="1098"/>
        <v>#N/A</v>
      </c>
      <c r="GV285" s="162" t="e">
        <f t="shared" ca="1" si="979"/>
        <v>#N/A</v>
      </c>
      <c r="GW285" s="162" t="e">
        <f t="shared" ca="1" si="980"/>
        <v>#DIV/0!</v>
      </c>
      <c r="GX285" s="162" t="e">
        <f t="shared" ca="1" si="1099"/>
        <v>#DIV/0!</v>
      </c>
      <c r="GY285" s="162" t="e">
        <f t="shared" ca="1" si="1100"/>
        <v>#DIV/0!</v>
      </c>
      <c r="GZ285" s="165" t="e">
        <f t="shared" ca="1" si="981"/>
        <v>#N/A</v>
      </c>
      <c r="HA285" s="162" t="e">
        <f ca="1">IF(Control!$C$114=1, $DI285*$FS285, 0)</f>
        <v>#N/A</v>
      </c>
      <c r="HB285" s="162" t="e">
        <f ca="1">$FA285/Control!$C$64</f>
        <v>#N/A</v>
      </c>
      <c r="HC285" s="162" t="e">
        <f t="shared" ca="1" si="982"/>
        <v>#DIV/0!</v>
      </c>
      <c r="HD285" s="162">
        <f ca="1">-ASIN(SIN(23.45*Control!$C$139)*COS(2*Control!$C$138*($AH285+10)/365))</f>
        <v>-0.11670938851337583</v>
      </c>
      <c r="HE285" s="165">
        <f t="shared" ca="1" si="1101"/>
        <v>0</v>
      </c>
      <c r="HF285" s="166">
        <f ca="1">IF(AND(Control!$C$61="T",$HE285&gt;=Control!$C$103,Control!$C$114=0),$AH285,Control!$C$59)</f>
        <v>1</v>
      </c>
      <c r="HG285" s="166">
        <f ca="1">IF(AND(Control!$C$61="T",$HE285&gt;=Control!$C$103,Control!$C$114=0),$HF285,Control!$C$59)</f>
        <v>1</v>
      </c>
      <c r="HH285" s="165">
        <f ca="1">IF(AND(OR(Control!$C$60&lt;=0, $AH285= Control!$C$59, Control!$C$60 &gt;0, $AH285 = Control!$C$60)), Control!$C$59, IF(Control!$C$60&gt;0, 0))</f>
        <v>1</v>
      </c>
      <c r="HI285" s="165">
        <f ca="1">IF(AND(OR(Control!$C$60&lt;=0, $AH285= Control!$C$59, Control!$C$60 &gt;0, $AH285 = Control!$C$60)), Control!$C$60, IF(Control!$C$60&lt;=0, 0))</f>
        <v>0</v>
      </c>
      <c r="HJ285" s="166">
        <f ca="1">IF(AND(Control!$C$62="F",$CV285&gt;=Control!$C$102),$AH285,0)</f>
        <v>0</v>
      </c>
      <c r="HK285" s="165" t="e">
        <f t="shared" ca="1" si="1138"/>
        <v>#N/A</v>
      </c>
      <c r="HL285" s="166">
        <f ca="1">IF(AND(Control!$C$61="T",$HE285&gt;=Control!$C$103,Control!$C$114=0),$HF285,0)</f>
        <v>0</v>
      </c>
      <c r="HM285" s="201" t="e">
        <f t="shared" ca="1" si="983"/>
        <v>#DIV/0!</v>
      </c>
      <c r="HN285" s="215">
        <f t="shared" ca="1" si="1102"/>
        <v>281</v>
      </c>
      <c r="HO285" s="216" t="e">
        <f ca="1">IF(AND($CP285&gt;=0, $CP285&lt;=90), Control!$C$152, Control!$C$152)</f>
        <v>#N/A</v>
      </c>
      <c r="HP285" s="216" t="e">
        <f t="shared" ca="1" si="984"/>
        <v>#N/A</v>
      </c>
      <c r="HQ285" s="217" t="e">
        <f ca="1">IF(OR(Control!$B$26=1,Control!$B$26=2),$KV285,$KS285)</f>
        <v>#DIV/0!</v>
      </c>
      <c r="HR285" s="218" t="e">
        <f t="shared" ca="1" si="1139"/>
        <v>#DIV/0!</v>
      </c>
      <c r="HS285" s="216" t="e">
        <f ca="1">Control!$C$154*$HP285</f>
        <v>#N/A</v>
      </c>
      <c r="HT285" s="216" t="e">
        <f ca="1">Control!$C$155*$HP285</f>
        <v>#N/A</v>
      </c>
      <c r="HU285" s="217" t="e">
        <f ca="1">Control!$C$161*$FI285</f>
        <v>#N/A</v>
      </c>
      <c r="HV285" s="218" t="e">
        <f t="shared" ca="1" si="1103"/>
        <v>#N/A</v>
      </c>
      <c r="HW285" s="218" t="e">
        <f ca="1">Control!$C$160*$FF285+$IP285*$EO285</f>
        <v>#N/A</v>
      </c>
      <c r="HX285" s="218" t="e">
        <f t="shared" ca="1" si="1140"/>
        <v>#N/A</v>
      </c>
      <c r="HY285" s="219" t="e">
        <f ca="1">IF(Control!$C$114=1, $EB285*$FS285, 0)</f>
        <v>#N/A</v>
      </c>
      <c r="HZ285" s="91" t="e">
        <f t="shared" ca="1" si="985"/>
        <v>#N/A</v>
      </c>
      <c r="IA285" s="220" t="e">
        <f ca="1">Control!$C$153*$HO285</f>
        <v>#N/A</v>
      </c>
      <c r="IB285" s="218" t="e">
        <f t="shared" ca="1" si="986"/>
        <v>#N/A</v>
      </c>
      <c r="IC285" s="220" t="e">
        <f ca="1">Control!$C$153*$HT285</f>
        <v>#N/A</v>
      </c>
      <c r="ID285" s="218" t="e">
        <f t="shared" ca="1" si="987"/>
        <v>#N/A</v>
      </c>
      <c r="IE285" s="221" t="e">
        <f ca="1">($EB285*Control!$C$159+$EF285*Control!$C$160)/(IF($GZ285&lt;&gt;0,$GZ285,1))</f>
        <v>#N/A</v>
      </c>
      <c r="IF285" s="216" t="e">
        <f t="shared" ca="1" si="988"/>
        <v>#N/A</v>
      </c>
      <c r="IG285" s="91">
        <f ca="1">IF(OR(Control!$B$198=$AH285,Control!$B$199=$AH285, Control!$B$200=$AH285, Control!$B$201=$AH285, Control!$B$202=$AH285, Control!$B$203=$AH285, Control!$B$204=$AH285, Control!$B$205=$AH285, Control!$B$206=$AH285, Control!$B$207=$AH285), 1, 0)</f>
        <v>0</v>
      </c>
      <c r="IH285" s="91">
        <f ca="1">IF($IG285=0,0, VLOOKUP($AH285,Control!$B$198:$C$207,2))</f>
        <v>0</v>
      </c>
      <c r="II285" s="222">
        <f t="shared" ca="1" si="1104"/>
        <v>0</v>
      </c>
      <c r="IJ285" s="91">
        <f>Control!$C$121</f>
        <v>0.7</v>
      </c>
      <c r="IK285" s="218">
        <f t="shared" ca="1" si="989"/>
        <v>0</v>
      </c>
      <c r="IL285" s="217" t="e">
        <f t="shared" ca="1" si="1141"/>
        <v>#N/A</v>
      </c>
      <c r="IM285" s="223" t="e">
        <f ca="1">IF(AND(Control!$C$114=1,$KH285&lt;1),$EB285*Control!$C$148*(1-$KH285), 0)</f>
        <v>#N/A</v>
      </c>
      <c r="IN285" s="217" t="e">
        <f t="shared" ca="1" si="990"/>
        <v>#DIV/0!</v>
      </c>
      <c r="IO285" s="91" t="e">
        <f ca="1">MAX(0,$IL285-$EF285*Control!$C$160)</f>
        <v>#N/A</v>
      </c>
      <c r="IP285" s="220" t="e">
        <f t="shared" ca="1" si="991"/>
        <v>#N/A</v>
      </c>
      <c r="IQ285" s="217" t="e">
        <f t="shared" ca="1" si="1105"/>
        <v>#N/A</v>
      </c>
      <c r="IR285" s="218" t="e">
        <f t="shared" ca="1" si="992"/>
        <v>#N/A</v>
      </c>
      <c r="IS285" s="217" t="e">
        <f ca="1">Control!$C$159*MAX(0,$FD285-$EN285)</f>
        <v>#N/A</v>
      </c>
      <c r="IT285" s="217" t="e">
        <f t="shared" ca="1" si="1142"/>
        <v>#N/A</v>
      </c>
      <c r="IU285" s="217" t="e">
        <f t="shared" ca="1" si="1106"/>
        <v>#N/A</v>
      </c>
      <c r="IV285" s="217" t="e">
        <f t="shared" ca="1" si="1143"/>
        <v>#N/A</v>
      </c>
      <c r="IW285" s="217" t="e">
        <f ca="1">IF(OR($AW285=1,AND($AW285=0, Control!$B$18=1,$EN285&lt;&gt;0)), $IQ285-$IU285, $IQ285)</f>
        <v>#N/A</v>
      </c>
      <c r="IX285" s="218" t="e">
        <f t="shared" ca="1" si="993"/>
        <v>#N/A</v>
      </c>
      <c r="IY285" s="218" t="e">
        <f ca="1">MAX(0,$IQ285-$EB285*Control!$C$159)</f>
        <v>#N/A</v>
      </c>
      <c r="IZ285" s="218" t="e">
        <f t="shared" ca="1" si="994"/>
        <v>#N/A</v>
      </c>
      <c r="JA285" s="216" t="e">
        <f t="shared" ca="1" si="995"/>
        <v>#N/A</v>
      </c>
      <c r="JB285" s="217" t="e">
        <f t="shared" ca="1" si="996"/>
        <v>#N/A</v>
      </c>
      <c r="JC285" s="222" t="e">
        <f ca="1">MAX(Control!$C$157*$EK285-$JT285, 0)/Control!$C$162</f>
        <v>#N/A</v>
      </c>
      <c r="JD285" s="218" t="e">
        <f t="shared" ca="1" si="997"/>
        <v>#N/A</v>
      </c>
      <c r="JE285" s="218" t="e">
        <f t="shared" ca="1" si="998"/>
        <v>#N/A</v>
      </c>
      <c r="JF285" s="218" t="e">
        <f t="shared" ca="1" si="1107"/>
        <v>#N/A</v>
      </c>
      <c r="JG285" s="218" t="e">
        <f t="shared" ca="1" si="999"/>
        <v>#N/A</v>
      </c>
      <c r="JH285" s="217" t="e">
        <f t="shared" ca="1" si="1108"/>
        <v>#N/A</v>
      </c>
      <c r="JI285" s="217" t="e">
        <f t="shared" ca="1" si="1109"/>
        <v>#N/A</v>
      </c>
      <c r="JJ285" s="217" t="e">
        <f t="shared" ca="1" si="1144"/>
        <v>#N/A</v>
      </c>
      <c r="JK285" s="217" t="e">
        <f ca="1">IF(Control!$C$114=1,IF(Control!$B$24=0,MAX(0,$JI285)*$GN285/Control!$C$64,(MAX(0,MIN($JI285,$JJ285*$GN285/Control!$C$64),0))))</f>
        <v>#N/A</v>
      </c>
      <c r="JL285" s="217" t="e">
        <f ca="1">$IK285/Control!$C$64-$JK285+$HQ285</f>
        <v>#N/A</v>
      </c>
      <c r="JM285" s="217" t="e">
        <f ca="1">IF(Control!$C$114=1,($JB285/(IF($JI285&lt;&gt;0,$JI285,1)))*$JK285,0)</f>
        <v>#N/A</v>
      </c>
      <c r="JN285" s="217" t="e">
        <f ca="1">IF(Control!$C$114=1,($JG285/(IF($JI285&lt;&gt;0,$JI285,1)))*$JK285, 0)</f>
        <v>#N/A</v>
      </c>
      <c r="JO285" s="218" t="e">
        <f t="shared" ca="1" si="1000"/>
        <v>#N/A</v>
      </c>
      <c r="JP285" s="218" t="e">
        <f ca="1">MIN(($IY285+$IO285)*Control!$C$151, $JF285-$EH285*Control!$C$161)</f>
        <v>#N/A</v>
      </c>
      <c r="JQ285" s="218" t="e">
        <f t="shared" ca="1" si="1001"/>
        <v>#N/A</v>
      </c>
      <c r="JR285" s="217" t="e">
        <f ca="1">IF($CP285-Control!$C$150&lt;0, 0, $JQ285/Control!$C$162)</f>
        <v>#N/A</v>
      </c>
      <c r="JS285" s="218" t="e">
        <f t="shared" ca="1" si="1002"/>
        <v>#N/A</v>
      </c>
      <c r="JT285" s="218" t="e">
        <f t="shared" ca="1" si="1110"/>
        <v>#N/A</v>
      </c>
      <c r="JU285" s="218" t="e">
        <f t="shared" ca="1" si="1003"/>
        <v>#N/A</v>
      </c>
      <c r="JV285" s="218" t="e">
        <f t="shared" ca="1" si="1004"/>
        <v>#N/A</v>
      </c>
      <c r="JW285" s="216" t="e">
        <f t="shared" ca="1" si="1005"/>
        <v>#N/A</v>
      </c>
      <c r="JX285" s="91" t="e">
        <f t="shared" ca="1" si="1006"/>
        <v>#N/A</v>
      </c>
      <c r="JY285" s="218" t="e">
        <f t="shared" ca="1" si="1007"/>
        <v>#N/A</v>
      </c>
      <c r="JZ285" s="217" t="e">
        <f ca="1">IF(Control!$C$114=1,($IZ285/(IF($JI285&lt;&gt;0,$JI285,1)))*$JK285, 0)</f>
        <v>#N/A</v>
      </c>
      <c r="KA285" s="218" t="e">
        <f t="shared" ca="1" si="1145"/>
        <v>#N/A</v>
      </c>
      <c r="KB285" s="218" t="e">
        <f t="shared" ca="1" si="1111"/>
        <v>#N/A</v>
      </c>
      <c r="KC285" s="218" t="e">
        <f t="shared" ca="1" si="1008"/>
        <v>#N/A</v>
      </c>
      <c r="KD285" s="218" t="e">
        <f t="shared" ca="1" si="1009"/>
        <v>#N/A</v>
      </c>
      <c r="KE285" s="218" t="e">
        <f t="shared" ca="1" si="1010"/>
        <v>#N/A</v>
      </c>
      <c r="KF285" s="218" t="e">
        <f t="shared" ca="1" si="1011"/>
        <v>#N/A</v>
      </c>
      <c r="KG285" s="216" t="e">
        <f t="shared" ca="1" si="1012"/>
        <v>#N/A</v>
      </c>
      <c r="KH285" s="221" t="e">
        <f ca="1">IF(Control!$B$24=0,1,MAX(0.001,MIN(1,IF(($IF285-$IE285)&lt;&gt;0,($KG285-$IE285)/($IF285-$IE285),1))))</f>
        <v>#N/A</v>
      </c>
      <c r="KI285" s="222" t="e">
        <f ca="1">IF(Control!$C$114=1, $KI284+ $KH284, 0)</f>
        <v>#N/A</v>
      </c>
      <c r="KJ285" s="217" t="e">
        <f t="shared" ca="1" si="1013"/>
        <v>#N/A</v>
      </c>
      <c r="KK285" s="218" t="e">
        <f t="shared" ca="1" si="1014"/>
        <v>#N/A</v>
      </c>
      <c r="KL285" s="274" t="e">
        <f ca="1">IF(Control!$B$26=3,4000000000*EXP(-8400/($G285+273)),IF(Control!$B$26=4,4000000000*EXP(-8400/($G285+273))*($KT285),0))</f>
        <v>#DIV/0!</v>
      </c>
      <c r="KM285" s="274" t="e">
        <f ca="1">IF(Control!$B$26=3,5600000000000*EXP(-9800/($G285+273)),IF(Control!$B$26=4,5600000000000*EXP(-9800/($G285+273))*$KT285,0))</f>
        <v>#DIV/0!</v>
      </c>
      <c r="KN285" s="454" t="e">
        <f t="shared" ca="1" si="1112"/>
        <v>#DIV/0!</v>
      </c>
      <c r="KO285" s="274" t="e">
        <f t="shared" ca="1" si="1113"/>
        <v>#DIV/0!</v>
      </c>
      <c r="KP285" s="454" t="e">
        <f t="shared" ca="1" si="1015"/>
        <v>#DIV/0!</v>
      </c>
      <c r="KQ285" s="454" t="e">
        <f t="shared" ca="1" si="1016"/>
        <v>#DIV/0!</v>
      </c>
      <c r="KR285" s="454" t="e">
        <f t="shared" ca="1" si="1017"/>
        <v>#DIV/0!</v>
      </c>
      <c r="KS285" s="454" t="e">
        <f t="shared" ca="1" si="1018"/>
        <v>#DIV/0!</v>
      </c>
      <c r="KT285" s="455" t="e">
        <f t="shared" ca="1" si="1019"/>
        <v>#DIV/0!</v>
      </c>
      <c r="KU285" s="456" t="e">
        <f ca="1">IF($CP285-Control!$C$149&lt;0, IF($NT285-0.01&lt;0,0,1),0)</f>
        <v>#N/A</v>
      </c>
      <c r="KV285" s="456" t="e">
        <f ca="1">IF(Control!$C$114=1,MAX(0,MIN(Control!$C$125*$KW285*$GN285,$KW285)))</f>
        <v>#DIV/0!</v>
      </c>
      <c r="KW285" s="456" t="e">
        <f t="shared" ca="1" si="1146"/>
        <v>#DIV/0!</v>
      </c>
      <c r="KX285" s="457" t="e">
        <f ca="1">IF($CP285-Control!$C$149&lt;0, IF($MR285-$OM285&lt;0,0,1),0)</f>
        <v>#N/A</v>
      </c>
      <c r="KY285" s="167">
        <f t="shared" ca="1" si="1114"/>
        <v>281</v>
      </c>
      <c r="KZ285" s="168">
        <f ca="1">1370*(1+0.033*COS(2*Control!$C$138*$AH285/365))</f>
        <v>1375.6282149335307</v>
      </c>
      <c r="LA285" s="169">
        <f t="shared" ca="1" si="1115"/>
        <v>1.0041078157082641</v>
      </c>
      <c r="LB285" s="169">
        <f t="shared" ca="1" si="1116"/>
        <v>-0.12305369637021663</v>
      </c>
      <c r="LC285" s="169">
        <f ca="1">ACOS(-TAN((2*Control!$B$8/360))*TAN(Calculations!$LB285))</f>
        <v>1.5340303821634835</v>
      </c>
      <c r="LD285" s="169">
        <f ca="1">((24*60)/PI())*0.082*$LA285*(($LC285*SIN(Control!$B$8*2*PI()/360))*SIN($LB285)+COS(Control!$B$8*2*PI()/360)*COS($LB285)*SIN($LC285))</f>
        <v>17.444268220835106</v>
      </c>
      <c r="LE285" s="170">
        <f t="shared" ca="1" si="1020"/>
        <v>17.939607168593668</v>
      </c>
      <c r="LF285" s="170">
        <f ca="1">SIN(Control!$C$139*Control!$B$8)*SIN($HD285)</f>
        <v>-9.1759762981044282E-2</v>
      </c>
      <c r="LG285" s="170">
        <f ca="1">COS(Control!$C$139*Control!$B$8)*COS($HD285)</f>
        <v>0.61147158404220692</v>
      </c>
      <c r="LH285" s="170">
        <f ca="1">12*(1+2*ASIN(MAX(-1,MIN(1,$LF285/$LG285))/Control!$C$138))</f>
        <v>10.853163129048133</v>
      </c>
      <c r="LI285" s="170">
        <f ca="1">12*(1+2*ASIN(MAX(-1,MIN(1,(-SIN(-4*Control!$C$139)+$LF285)/$LG285))/Control!$C$138))</f>
        <v>11.725097959318493</v>
      </c>
      <c r="LJ285" s="168">
        <f ca="1">3600*($LH285*$LF285+24*$LG285*SQRT(1-$LK285*$LK285)/Control!$C$138)</f>
        <v>13041.028799674987</v>
      </c>
      <c r="LK285" s="170">
        <f t="shared" ca="1" si="1021"/>
        <v>-0.15006382205769114</v>
      </c>
      <c r="LL285" s="170">
        <f t="shared" ca="1" si="1022"/>
        <v>0</v>
      </c>
      <c r="LM285" s="171">
        <f ca="1">Control!$C$145*$AB285</f>
        <v>6.6660906138995932E-2</v>
      </c>
      <c r="LN285" s="170">
        <f t="shared" ca="1" si="1117"/>
        <v>0.54</v>
      </c>
      <c r="LO285" s="170">
        <f t="shared" ca="1" si="1023"/>
        <v>0</v>
      </c>
      <c r="LP285" s="170">
        <f ca="1">Control!$C$140*((($D285+273.16)^4+($E285+273.16)^4)/2)*(0.34-0.14*SQRT($Y285))*(1.35*$AQ285/(0.75*$LD285)-0.35)</f>
        <v>-3.2464704755046001</v>
      </c>
      <c r="LQ285" s="170">
        <f ca="1">Control!$C$140*($G285+273)^4*(0.56-0.079*SQRT($Y285*10))*(0.1+0.9*$LO285)</f>
        <v>1.5241745131704001</v>
      </c>
      <c r="LR285" s="170">
        <f ca="1">$AQ285*(1-Control!$C$142)-$LQ285</f>
        <v>-1.5241745131704001</v>
      </c>
      <c r="LS285" s="170">
        <f ca="1">$AQ285*(1-Control!$C$143)-$LQ285</f>
        <v>-1.5241745131704001</v>
      </c>
      <c r="LT285" s="170">
        <f ca="1">$AQ285*(1-Control!$C$144)-$LQ285</f>
        <v>-1.5241745131704001</v>
      </c>
      <c r="LU285" s="169">
        <f ca="1">(1-Control!$C$144)*AQ285-LP285</f>
        <v>3.2464704755046001</v>
      </c>
      <c r="LV285" s="172">
        <f t="shared" ca="1" si="1024"/>
        <v>0.79430000000000012</v>
      </c>
      <c r="LW285" s="170">
        <f t="shared" ca="1" si="1025"/>
        <v>1.5886000000000002</v>
      </c>
      <c r="LX285" s="170">
        <f ca="1">($AC285*($LR285/Control!$C$141)+$LM285*$LV285)/($AC285+$LM285)</f>
        <v>0.23530094218323697</v>
      </c>
      <c r="LY285" s="170">
        <f ca="1">($AC285*($LS285/Control!$C$141)+$LM285*$LV285)/($AC285+$LM285)</f>
        <v>0.23530094218323697</v>
      </c>
      <c r="LZ285" s="170">
        <f t="shared" ca="1" si="1026"/>
        <v>0.23530094218323697</v>
      </c>
      <c r="MA285" s="170">
        <f t="shared" ca="1" si="1027"/>
        <v>0.23530094218323697</v>
      </c>
      <c r="MB285" s="170" t="e">
        <f t="shared" ca="1" si="1028"/>
        <v>#N/A</v>
      </c>
      <c r="MC285" s="170">
        <f t="shared" ca="1" si="1118"/>
        <v>0.6018</v>
      </c>
      <c r="MD285" s="170">
        <f t="shared" ca="1" si="1029"/>
        <v>0.52989392535414004</v>
      </c>
      <c r="ME285" s="170">
        <f ca="1">($AC285*($LT285/Control!$C$141)+$LM285*$LW285)/($AC285+$LM285)</f>
        <v>0.71612369323045078</v>
      </c>
      <c r="MF285" s="170" t="e">
        <f ca="1">IF(Control!$B$16&gt;=1000,0.92,IF(AND(720&lt;=Control!$B$16,1000&gt;Control!$B$16),(0.95+(Control!$B$16-720)*((0.92-0.95)/(1000-720))),IF(AND(360&lt;=Control!$B$16,720&gt;Control!$B$16),(1+(Control!$B$16-360)*((0.95-1)/(720-360))),IF(AND(40&lt;=Control!$B$16,360&gt;Control!$B$16),(1.05+(Control!$B$16-40)*((1.05-1)/(360-40)))))))</f>
        <v>#N/A</v>
      </c>
      <c r="MG285" s="170">
        <f t="shared" ca="1" si="1030"/>
        <v>0.71612369323045078</v>
      </c>
      <c r="MH285" s="170" t="e">
        <f t="shared" ca="1" si="1155"/>
        <v>#N/A</v>
      </c>
      <c r="MI285" s="170" t="e">
        <f t="shared" ca="1" si="1155"/>
        <v>#N/A</v>
      </c>
      <c r="MJ285" s="170" t="e">
        <f ca="1">MAX(0.0001, Control!$C$132*$MI285*$DL285)</f>
        <v>#N/A</v>
      </c>
      <c r="MK285" s="170">
        <f ca="1">1/(0.76+1.5*($MG285/10))-(5-Control!$C$110)*0.1</f>
        <v>1.002845988140797</v>
      </c>
      <c r="ML285" s="173">
        <f ca="1">IF(Control!$C$110&lt;3,$MK285+($MG285-0.6)/(Control!$C$110*(Control!$C$110+3)), MAX(0.1, MIN(0.95,$MK285)))</f>
        <v>0.95</v>
      </c>
      <c r="MM285" s="173">
        <f ca="1">IF(Control!$C$110&lt;3,$MK285+(($MI285/10)-0.6)/(Control!$C$110*(Control!$C$110+3)), MAX(0.1, MIN(0.95,$MK285)))</f>
        <v>0.95</v>
      </c>
      <c r="MN285" s="173">
        <f ca="1">(1-$MM285)*(Control!$C$128-Control!$C$127)+Control!$C$127</f>
        <v>0.16</v>
      </c>
      <c r="MO285" s="170" t="e">
        <f ca="1">MAX(0,MIN(1,($MS285-Control!$C$127)/($MN285-Control!$C$127)))</f>
        <v>#DIV/0!</v>
      </c>
      <c r="MP285" s="173" t="e">
        <f ca="1">1/(0.76+1.5*$MI285)-(5-Control!$C$110)*0.1</f>
        <v>#N/A</v>
      </c>
      <c r="MQ285" s="172" t="e">
        <f t="shared" ca="1" si="1147"/>
        <v>#DIV/0!</v>
      </c>
      <c r="MR285" s="168" t="e">
        <f t="shared" ca="1" si="1119"/>
        <v>#DIV/0!</v>
      </c>
      <c r="MS285" s="173" t="e">
        <f ca="1">MAX(Control!$C$127, MIN(Control!$C$135, $MR285/MAX(0.0001,$CY285)))</f>
        <v>#DIV/0!</v>
      </c>
      <c r="MT285" s="168" t="e">
        <f ca="1">(Control!$C$128-$MS285)*Control!$C$74</f>
        <v>#DIV/0!</v>
      </c>
      <c r="MU285" s="168" t="e">
        <f ca="1">(Control!$C$135-$MS285)*Control!$C$74</f>
        <v>#DIV/0!</v>
      </c>
      <c r="MV285" s="168" t="e">
        <f t="shared" ca="1" si="1120"/>
        <v>#DIV/0!</v>
      </c>
      <c r="MW285" s="168" t="e">
        <f t="shared" ca="1" si="1121"/>
        <v>#DIV/0!</v>
      </c>
      <c r="MX285" s="171" t="e">
        <f ca="1">MAX(Control!$C$127, MIN(Control!$C$135, $MW285/MAX(0.0001,Control!$C$119-$CY285)))</f>
        <v>#DIV/0!</v>
      </c>
      <c r="MY285" s="54" t="e">
        <f ca="1">IF(Control!$C$114=1, $CX285*$MX285, 0)</f>
        <v>#DIV/0!</v>
      </c>
      <c r="MZ285" s="54" t="e">
        <f t="shared" ca="1" si="1122"/>
        <v>#N/A</v>
      </c>
      <c r="NA285" s="168" t="e">
        <f ca="1">(Control!$C$128-$MX285)*(Control!$C$119-Control!$C$74)</f>
        <v>#DIV/0!</v>
      </c>
      <c r="NB285" s="168" t="e">
        <f ca="1">(Control!$C$135-$MX285)*(Control!$C$119-Control!$C$74)</f>
        <v>#DIV/0!</v>
      </c>
      <c r="NC285" s="174" t="e">
        <f t="shared" ca="1" si="1123"/>
        <v>#DIV/0!</v>
      </c>
      <c r="ND285" s="54">
        <f ca="1">IF(Control!$C$58=2, IF(OR(Control!$B$218=$AH285,Control!$B$219=$AH285, Control!$B$220=$AH285, Control!$B$221=$AH285, Control!$B$222=$AH285, Control!$B$223=$AH285, Control!$B$224=$AH285, Control!$B$225=$AH285, Control!$B$226=$AH285, Control!$B$227=$AH285, Control!$B$228=$AH285), 1, 0), 0)</f>
        <v>0</v>
      </c>
      <c r="NE285" s="54">
        <f ca="1">IF($ND285=0,0, VLOOKUP($AH285,Control!$B$218:$C$228,2))</f>
        <v>0</v>
      </c>
      <c r="NF285" s="168" t="e">
        <f ca="1">$CY285*(Control!$C$128-Control!$C$127)</f>
        <v>#N/A</v>
      </c>
      <c r="NG285" s="54" t="e">
        <f ca="1">IF(Control!$C$58=2, $NI284-$NJ284, 0)</f>
        <v>#DIV/0!</v>
      </c>
      <c r="NH285" s="54" t="e">
        <f ca="1">IF(AND(Control!$C$58=1, $MS284&lt;= ($MN284+0.02), $I284&lt;10), 0, IF(Control!$C$58=2, $NG284, 0))</f>
        <v>#DIV/0!</v>
      </c>
      <c r="NI285" s="54" t="e">
        <f ca="1">IF(Control!$C$58=2, $NE285+$NH285,0)</f>
        <v>#DIV/0!</v>
      </c>
      <c r="NJ285" s="54" t="e">
        <f ca="1">IF(AND(Control!$C$58=1, $MS285&lt;= ($MN285+0.02), $I285&lt;10), MAX(0, MIN(10, 0.7*($NF285-$MV285))), IF(Control!$C$58=2, MIN(10,$NI285),0))</f>
        <v>#DIV/0!</v>
      </c>
      <c r="NK285" s="54" t="e">
        <f t="shared" ca="1" si="1031"/>
        <v>#DIV/0!</v>
      </c>
      <c r="NL285" s="173" t="e">
        <f ca="1">(1-Control!$C$73)*$I285+$NJ285</f>
        <v>#DIV/0!</v>
      </c>
      <c r="NM285" s="172" t="e">
        <f ca="1">IF($NL285&lt;0.5, $MB285* MAX(0, MIN(1, (SQRT($NC285)-SQRT($NC285-1))*Control!$C$71)),0)</f>
        <v>#DIV/0!</v>
      </c>
      <c r="NN285" s="170" t="e">
        <f ca="1">IF($NL285&gt;=5, $MB285, MAX(0,MIN($MB285, $NM285+$NL285,($MS285-Control!$C$129))))</f>
        <v>#DIV/0!</v>
      </c>
      <c r="NO285" s="54">
        <f>IF(Control!$C$133&lt;&gt;1, Control!$C$135-Control!$C$131, 0)</f>
        <v>0.38</v>
      </c>
      <c r="NP285" s="54" t="e">
        <f t="shared" ca="1" si="1032"/>
        <v>#DIV/0!</v>
      </c>
      <c r="NQ285" s="173" t="e">
        <f ca="1">MAX(0,MIN(1,(Control!$C$135-$MS285)/(Control!$C$135-$NO285)))</f>
        <v>#DIV/0!</v>
      </c>
      <c r="NR285" s="170" t="e">
        <f ca="1">IF(Control!$C$133&lt;&gt;1, $NQ285+((1-$NP285/4)*(1-$NQ285)),1)</f>
        <v>#DIV/0!</v>
      </c>
      <c r="NS285" s="170" t="e">
        <f ca="1">IF(Control!$B$31=0,$MJ285,MAX(0,MIN($MV285,$MO285*$NR285*$MJ285)))</f>
        <v>#DIV/0!</v>
      </c>
      <c r="NT285" s="170" t="e">
        <f t="shared" ca="1" si="1148"/>
        <v>#DIV/0!</v>
      </c>
      <c r="NU285" s="170" t="e">
        <f t="shared" ca="1" si="1124"/>
        <v>#N/A</v>
      </c>
      <c r="NV285" s="170" t="e">
        <f t="shared" ca="1" si="1033"/>
        <v>#N/A</v>
      </c>
      <c r="NW285" s="175" t="e">
        <f t="shared" ca="1" si="1034"/>
        <v>#DIV/0!</v>
      </c>
      <c r="NX285" s="170" t="e">
        <f ca="1">MIN(Control!$C$72+$MU285, $NW285)</f>
        <v>#DIV/0!</v>
      </c>
      <c r="NY285" s="170" t="e">
        <f ca="1">IF($MT285&lt;=$NX285,MIN(Control!$C$72+$NB285,$NX285-$MT285),0)</f>
        <v>#DIV/0!</v>
      </c>
      <c r="NZ285" s="54" t="e">
        <f ca="1">IF(Control!$C$114=1,  $CX285*($MX285-Control!$C$127), 0)</f>
        <v>#DIV/0!</v>
      </c>
      <c r="OA285" s="170" t="e">
        <f t="shared" ca="1" si="1035"/>
        <v>#DIV/0!</v>
      </c>
      <c r="OB285" s="170" t="e">
        <f ca="1">IF($NA285 &lt;=$NY285, MIN(Control!$C$72, $NY285-$NA285), 0)</f>
        <v>#DIV/0!</v>
      </c>
      <c r="OC285" s="168" t="e">
        <f t="shared" ca="1" si="1036"/>
        <v>#DIV/0!</v>
      </c>
      <c r="OD285" s="168" t="e">
        <f t="shared" ca="1" si="1125"/>
        <v>#DIV/0!</v>
      </c>
      <c r="OE285" s="170">
        <f ca="1">Control!$C$73*$I285</f>
        <v>0</v>
      </c>
      <c r="OF285" s="176" t="e">
        <f t="shared" ca="1" si="1037"/>
        <v>#DIV/0!</v>
      </c>
      <c r="OG285" s="168" t="e">
        <f t="shared" ca="1" si="1038"/>
        <v>#DIV/0!</v>
      </c>
      <c r="OH285" s="168" t="e">
        <f t="shared" ca="1" si="1039"/>
        <v>#DIV/0!</v>
      </c>
      <c r="OI285" s="168" t="e">
        <f t="shared" ca="1" si="1040"/>
        <v>#DIV/0!</v>
      </c>
      <c r="OJ285" s="168" t="e">
        <f t="shared" ca="1" si="1041"/>
        <v>#DIV/0!</v>
      </c>
      <c r="OK285" s="204" t="e">
        <f t="shared" ca="1" si="1042"/>
        <v>#DIV/0!</v>
      </c>
      <c r="OL285" s="177">
        <f>Control!$C$127</f>
        <v>0.15</v>
      </c>
      <c r="OM285" s="182" t="e">
        <f t="shared" ca="1" si="1043"/>
        <v>#N/A</v>
      </c>
      <c r="ON285" s="177">
        <f>Control!$C$128</f>
        <v>0.35</v>
      </c>
      <c r="OO285" s="182" t="e">
        <f t="shared" ca="1" si="1044"/>
        <v>#N/A</v>
      </c>
      <c r="OP285" s="138">
        <f t="shared" ca="1" si="1126"/>
        <v>0</v>
      </c>
      <c r="OQ285" s="138" t="e">
        <f t="shared" ca="1" si="1149"/>
        <v>#DIV/0!</v>
      </c>
      <c r="OR285" s="138" t="e">
        <f t="shared" ca="1" si="1127"/>
        <v>#DIV/0!</v>
      </c>
      <c r="OS285" s="137" t="e">
        <f t="shared" ca="1" si="1150"/>
        <v>#DIV/0!</v>
      </c>
      <c r="OT285" s="139" t="e">
        <f t="shared" ca="1" si="1151"/>
        <v>#DIV/0!</v>
      </c>
      <c r="OU285" s="138" t="e">
        <f t="shared" ca="1" si="1152"/>
        <v>#N/A</v>
      </c>
      <c r="OV285" s="138" t="e">
        <f t="shared" ca="1" si="1153"/>
        <v>#DIV/0!</v>
      </c>
      <c r="OW285" s="138" t="e">
        <f t="shared" ca="1" si="1128"/>
        <v>#DIV/0!</v>
      </c>
      <c r="OX285" s="138" t="e">
        <f t="shared" ca="1" si="1129"/>
        <v>#DIV/0!</v>
      </c>
      <c r="OY285" s="138" t="e">
        <f t="shared" ca="1" si="1130"/>
        <v>#DIV/0!</v>
      </c>
      <c r="OZ285" s="138" t="e">
        <f t="shared" ca="1" si="1045"/>
        <v>#DIV/0!</v>
      </c>
      <c r="PA285" s="138" t="e">
        <f t="shared" ca="1" si="1046"/>
        <v>#DIV/0!</v>
      </c>
      <c r="PB285" s="55">
        <f>IF(Control!$C$61="T", IF(Control!$C$65="F", IF($AH$6-Control!$C$60&lt;0,0,1), IF(365+$AH$6-Control!$C$60&lt;0,0,1)),0)</f>
        <v>0</v>
      </c>
      <c r="PC285" s="55">
        <f ca="1">IF(Control!$C$65="F", IF($AH$6-$HF285&lt;0,0,1), IF(365+$AH$6-$HF285&lt;0,0,1))</f>
        <v>1</v>
      </c>
      <c r="PD285" s="444">
        <f>Control!$C$118</f>
        <v>1500</v>
      </c>
      <c r="PE285" s="180" t="e">
        <f t="shared" ca="1" si="1047"/>
        <v>#N/A</v>
      </c>
      <c r="PF285" s="445">
        <f t="shared" ca="1" si="1131"/>
        <v>0.71612369323045078</v>
      </c>
      <c r="PT285" s="186"/>
      <c r="PU285" s="186"/>
      <c r="PV285" s="94"/>
      <c r="PW285" s="94"/>
      <c r="PX285" s="94"/>
      <c r="PY285" s="94"/>
      <c r="PZ285" s="94"/>
      <c r="QA285" s="94"/>
      <c r="QB285" s="94"/>
      <c r="QC285" s="94"/>
      <c r="QD285" s="94"/>
      <c r="QE285" s="94"/>
      <c r="QF285" s="94"/>
      <c r="QG285" s="94"/>
      <c r="QH285" s="94"/>
      <c r="QI285" s="94"/>
      <c r="QJ285" s="94"/>
      <c r="QK285" s="94"/>
      <c r="QL285" s="94"/>
      <c r="QM285" s="94"/>
      <c r="QN285" s="94"/>
      <c r="QO285" s="94"/>
      <c r="QP285" s="94"/>
    </row>
    <row r="286" spans="1:458" s="2" customFormat="1" x14ac:dyDescent="0.2">
      <c r="A286" s="395">
        <v>8</v>
      </c>
      <c r="B286" s="396">
        <v>10</v>
      </c>
      <c r="C286" s="387">
        <f ca="1">Weather_data!$B285</f>
        <v>0</v>
      </c>
      <c r="D286" s="388">
        <f ca="1">Weather_data!$F285</f>
        <v>0</v>
      </c>
      <c r="E286" s="388">
        <f ca="1">Weather_data!$E285</f>
        <v>0</v>
      </c>
      <c r="F286" s="388">
        <f t="shared" ca="1" si="1048"/>
        <v>0</v>
      </c>
      <c r="G286" s="388">
        <f ca="1">AVERAGE($D286:$E286)+Control!$B$9</f>
        <v>0</v>
      </c>
      <c r="H286" s="388">
        <f ca="1">Weather_data!$G285</f>
        <v>0</v>
      </c>
      <c r="I286" s="388">
        <f ca="1">Weather_data!$I285</f>
        <v>0</v>
      </c>
      <c r="J286" s="388">
        <f ca="1">Weather_data!$H285</f>
        <v>0</v>
      </c>
      <c r="K286" s="389">
        <f ca="1">Weather_data!$D285</f>
        <v>0</v>
      </c>
      <c r="L286" s="388" t="e">
        <f t="shared" ca="1" si="1049"/>
        <v>#N/A</v>
      </c>
      <c r="M286" s="388" t="e">
        <f t="shared" ca="1" si="927"/>
        <v>#N/A</v>
      </c>
      <c r="N286" s="388">
        <f t="shared" ca="1" si="928"/>
        <v>-7.7067744222588334E-14</v>
      </c>
      <c r="O286" s="388">
        <f t="shared" ca="1" si="1050"/>
        <v>7.7067744222588331E-13</v>
      </c>
      <c r="P286" s="390">
        <v>3</v>
      </c>
      <c r="Q286" s="388">
        <f ca="1">MAX($G286-Control!$C$107,0)</f>
        <v>0</v>
      </c>
      <c r="R286" s="388">
        <f t="shared" ca="1" si="1051"/>
        <v>0</v>
      </c>
      <c r="S286" s="388">
        <f t="shared" ca="1" si="929"/>
        <v>0</v>
      </c>
      <c r="T286" s="388">
        <f t="shared" ca="1" si="930"/>
        <v>0</v>
      </c>
      <c r="U286" s="59">
        <f t="shared" ca="1" si="931"/>
        <v>0</v>
      </c>
      <c r="V286" s="391">
        <f ca="1">MAX(0,MIN(Control!$C$100-Control!$C$99,$G286-Control!$C$99)*Control!$C$63)</f>
        <v>0</v>
      </c>
      <c r="W286" s="388">
        <f t="shared" ca="1" si="1052"/>
        <v>0</v>
      </c>
      <c r="X286" s="388">
        <f t="shared" ca="1" si="1053"/>
        <v>0.6110000000000001</v>
      </c>
      <c r="Y286" s="388">
        <f t="shared" ca="1" si="932"/>
        <v>0</v>
      </c>
      <c r="Z286" s="388">
        <f t="shared" ca="1" si="1054"/>
        <v>0.61058800000000002</v>
      </c>
      <c r="AA286" s="388">
        <f t="shared" ca="1" si="933"/>
        <v>0.6018</v>
      </c>
      <c r="AB286" s="388">
        <f ca="1">101.3*EXP(-0.034*Control!$C$66/($G286+273))</f>
        <v>100.69623283836242</v>
      </c>
      <c r="AC286" s="392">
        <f t="shared" ca="1" si="934"/>
        <v>4.3460251046025113E-2</v>
      </c>
      <c r="AD286" s="392">
        <f t="shared" ca="1" si="935"/>
        <v>4.4450382862832649E-2</v>
      </c>
      <c r="AE286" s="388">
        <f t="shared" ca="1" si="936"/>
        <v>0</v>
      </c>
      <c r="AF286" s="388">
        <f ca="1">MAX(0,$G286-Control!$C$92)</f>
        <v>0</v>
      </c>
      <c r="AG286" s="393">
        <f t="shared" ca="1" si="937"/>
        <v>282</v>
      </c>
      <c r="AH286" s="389">
        <f t="shared" ca="1" si="938"/>
        <v>282</v>
      </c>
      <c r="AI286" s="388">
        <f t="shared" ca="1" si="1055"/>
        <v>-0.12328971384897269</v>
      </c>
      <c r="AJ286" s="388">
        <f ca="1">IF(Control!$C$60&lt;=0,$HH286,$HI286)</f>
        <v>1</v>
      </c>
      <c r="AK286" s="388">
        <f t="shared" ca="1" si="939"/>
        <v>3.4772696768500726</v>
      </c>
      <c r="AL286" s="388">
        <f t="shared" ca="1" si="940"/>
        <v>-1.3705422213794449E-17</v>
      </c>
      <c r="AM286" s="388">
        <f t="shared" ca="1" si="941"/>
        <v>3.4772696768500726</v>
      </c>
      <c r="AN286" s="388">
        <f t="shared" ca="1" si="942"/>
        <v>-0.13141663588177971</v>
      </c>
      <c r="AO286" s="388">
        <f ca="1">-0.10453/COS(Control!$B$8*PI()/180)*COS(AN286)</f>
        <v>-0.16832085254558213</v>
      </c>
      <c r="AP286" s="388">
        <f ca="1">ACOS(AO286-TAN(Control!$B$8*PI()/180)*TAN(AN286))</f>
        <v>1.5699364970863601</v>
      </c>
      <c r="AQ286" s="388">
        <f t="shared" ca="1" si="1056"/>
        <v>0</v>
      </c>
      <c r="AR286" s="394">
        <f t="shared" ca="1" si="943"/>
        <v>0</v>
      </c>
      <c r="AS286" s="436">
        <f ca="1">IF(Control!$B$18=2,(IF(OR($AH286=Control!$B$175,$AH286=Control!$B$176,$AH286=Control!$B$177,$AH286=Control!$B$178,$AH286=Control!$B$179,$AH286=Control!$B$180,$AH286=Control!$B$181,$AH286=Control!$B$182,$AH286=Control!$B$183,$AH286=Control!$B$184,$AH286=Control!$B$185),1,0)),0)</f>
        <v>0</v>
      </c>
      <c r="AT286" s="436">
        <f>IF(Control!$B$20=8,IF(AND($AH286&gt;=Control!$B$172,$AH286&lt;=Control!$B$173),1,0),0)</f>
        <v>0</v>
      </c>
      <c r="AU286" s="436">
        <f>IF(Control!$B$20=8,IF($AV285=1,1*$AT286,IF($AT286=1,$AU285+1,$AU285)),0)</f>
        <v>0</v>
      </c>
      <c r="AV286" s="436">
        <f>IF(Control!$B$20=8,IF($AU286&gt;=Control!$B$174,1,0),0)</f>
        <v>0</v>
      </c>
      <c r="AW286" s="436">
        <f ca="1">IF(AND(Control!$B$18=2,Control!$B$171=1), $AV286, $AS286)</f>
        <v>0</v>
      </c>
      <c r="AX286" s="436" t="e">
        <f ca="1">IF(AND(Control!$B$18=1,$EU286&gt;=Control!$B$19),-$AY286,IF(AND(Control!$B$18=2,$AW286=1,$EU286&gt;$DS286),-$AY286, IF(Control!$C$108=0,0, IF(Control!$C$108&lt;&gt;0,1))))</f>
        <v>#N/A</v>
      </c>
      <c r="AY286" s="436" t="e">
        <f t="shared" ca="1" si="1057"/>
        <v>#N/A</v>
      </c>
      <c r="AZ286" s="436" t="e">
        <f ca="1">IF(AND(Control!$B$18=1,$EB286&gt;Control!$B$19),$AZ285+1, IF(AND(Control!$B$18=2, $AW286=1, $EB286&gt;$DS286), $AZ285+1,$AZ285))</f>
        <v>#N/A</v>
      </c>
      <c r="BA286" s="587">
        <f>IF(Control!$C$81=0,1,IF($AH286&gt;=Control!$C$82,1,0))</f>
        <v>1</v>
      </c>
      <c r="BB286" s="140" t="e">
        <f ca="1">IF($BA286&gt;$BA285,Control!$C$83,IF($AW286&gt;0,$AW286*Control!$C$84,IF(AND(Control!$B$18=1,EN285&lt;&gt;0),Control!$C$84,0)))</f>
        <v>#N/A</v>
      </c>
      <c r="BC286" s="140" t="e">
        <f t="shared" ca="1" si="1058"/>
        <v>#N/A</v>
      </c>
      <c r="BD286" s="140" t="e">
        <f ca="1">BC286*IF(OR($G286&lt;Control!$C$92,$G286&gt;Control!$C$95),0,IF(AND($G286&gt;=Control!$C$92,$G286&lt;=Control!$C$93),$G286-Control!$C$92,IF(AND($G286&gt;Control!$C$93,$G286&lt;=Control!$C$94),Control!$C$93-Control!$C$92,IF(AND($G286&gt;Control!$C$94,$G286&lt;=Control!$C$95),(Control!$C$93-Control!$C$92)*(Control!$C$94-$G286)/(Control!$C$95-Control!$C$94)))))</f>
        <v>#N/A</v>
      </c>
      <c r="BE286" s="140" t="e">
        <f t="shared" ca="1" si="1059"/>
        <v>#N/A</v>
      </c>
      <c r="BF286" s="140" t="e">
        <f ca="1">IF($BE286&lt;=Control!$C$86,$BE286,Control!$C$86-$BE286)</f>
        <v>#N/A</v>
      </c>
      <c r="BG286" s="140" t="e">
        <f ca="1">IF(AND($AW286=1,Control!$C$84&lt;9),1,IF($BE286&gt;=Control!$C$86,0,$BC286))</f>
        <v>#N/A</v>
      </c>
      <c r="BH286" s="404" t="e">
        <f ca="1">IF($BG286=0,0,IF($BE286&lt;=Control!$C$86,$BC286*9*($BF286/Control!$C$86),0))</f>
        <v>#N/A</v>
      </c>
      <c r="BI286" s="140" t="e">
        <f ca="1">IF($BG286=1,0,IF($BE286&gt;=Control!$C$86,1,IF(AND($BB286&lt;21,$BB286&gt;=9),1,$BM285)))</f>
        <v>#N/A</v>
      </c>
      <c r="BJ286" s="140" t="e">
        <f ca="1">IF($BF286&lt;0,-$BF286,$BI286*IF(OR($G286&lt;Control!$C$92,$G286&gt;Control!$C$95),0,IF(AND($G286&gt;=Control!$C$92,$G286&lt;=Control!$C$93),$G286-Control!$C$92,IF(AND($G286&gt;Control!$C$93,$G286&lt;=Control!$C$94),Control!$C$93-Control!$C$92,IF(AND($G286&gt;Control!$C$94,$G286&lt;=Control!$C$95),(Control!$C$93-Control!$C$92)*(Control!$C$94-$G286)/(Control!$C$95-Control!$C$94))))))</f>
        <v>#N/A</v>
      </c>
      <c r="BK286" s="140" t="e">
        <f t="shared" ca="1" si="1060"/>
        <v>#N/A</v>
      </c>
      <c r="BL286" s="140" t="e">
        <f ca="1">IF($BK286&lt;=Control!$C$87,$BK286,Control!$C$87-$BK286)</f>
        <v>#N/A</v>
      </c>
      <c r="BM286" s="140" t="e">
        <f ca="1">IF(AND($BB286&gt;=9,$BB286&lt;21),1,IF($BK286&gt;=Control!$C$87,0,$BI286))</f>
        <v>#N/A</v>
      </c>
      <c r="BN286" s="404" t="e">
        <f ca="1">IF($BM286=0,0,IF($BK286&lt;=Control!$C$87,$BI286*(9+(21-9)*($BL286/Control!$C$87)),0))</f>
        <v>#N/A</v>
      </c>
      <c r="BO286" s="140" t="e">
        <f ca="1">IF($BM286=1,0,IF($BK286&gt;=Control!$C$87,1,IF(AND($BB286&lt;30,$BB286&gt;=21),1,$BS285)))</f>
        <v>#N/A</v>
      </c>
      <c r="BP286" s="140" t="e">
        <f ca="1">IF($BL286&lt;0,-$BL286,$BO286*IF(OR($G286&lt;Control!$C$92,$G286&gt;Control!$C$95),0,IF(AND($G286&gt;=Control!$C$92,$G286&lt;=Control!$C$93),$G286-Control!$C$92,IF(AND($G286&gt;Control!$C$93,$G286&lt;=Control!$C$94),Control!$C$93-Control!$C$92,IF(AND($G286&gt;Control!$C$94,$G286&lt;=Control!$C$95),(Control!$C$93-Control!$C$92)*(Control!$C$94-$G286)/(Control!$C$95-Control!$C$94))))))</f>
        <v>#N/A</v>
      </c>
      <c r="BQ286" s="140" t="e">
        <f t="shared" ca="1" si="944"/>
        <v>#N/A</v>
      </c>
      <c r="BR286" s="140" t="e">
        <f ca="1">IF($BQ286&lt;=Control!$C$88,$BQ286,Control!$C$88-$BQ286)</f>
        <v>#N/A</v>
      </c>
      <c r="BS286" s="140" t="e">
        <f ca="1">IF(AND($BB286&gt;=21,$BB286&lt;30),1,IF($BQ286&gt;=Control!$C$88,0,$BO286))</f>
        <v>#N/A</v>
      </c>
      <c r="BT286" s="404" t="e">
        <f ca="1">IF($BS286=0,0,IF($BQ286&lt;=Control!$C$88,$BO286*(21+(30-21)*(BR286/Control!$C$88)),0))</f>
        <v>#N/A</v>
      </c>
      <c r="BU286" s="140" t="e">
        <f ca="1">IF(BG286+BM286+BS286=1,0,IF(OR(AND($BB286&lt;60,$BB286&gt;=30),$BQ286&gt;=Control!$C$88),1*$BA286,$BY285))</f>
        <v>#N/A</v>
      </c>
      <c r="BV286" s="140" t="e">
        <f ca="1">IF($BR286&lt;0,-$BR286,$BU286*IF(OR($G286&lt;Control!$C$92,$G286&gt;Control!$C$95),0,IF(AND($G286&gt;=Control!$C$92,$G286&lt;=Control!$C$93),$G286-Control!$C$92,IF(AND($G286&gt;Control!$C$93,$G286&lt;=Control!$C$94),Control!$C$93-Control!$C$92,IF(AND($G286&gt;Control!$C$94,$G286&lt;=Control!$C$95),(Control!$C$93-Control!$C$92)*(Control!$C$94-$G286)/(Control!$C$95-Control!$C$94))))))</f>
        <v>#N/A</v>
      </c>
      <c r="BW286" s="140" t="e">
        <f t="shared" ca="1" si="945"/>
        <v>#N/A</v>
      </c>
      <c r="BX286" s="140" t="e">
        <f ca="1">IF($BW286&lt;=Control!$C$89,$BW286,Control!$C$89-$BW286)</f>
        <v>#N/A</v>
      </c>
      <c r="BY286" s="140" t="e">
        <f ca="1">IF(AND($AJ286&gt;=30,$AJ286&lt;60),1,IF($BW286&gt;=Control!$C$89,0,$BU286))</f>
        <v>#N/A</v>
      </c>
      <c r="BZ286" s="404" t="e">
        <f ca="1">IF($BY286=0,0,IF($BW286&lt;=Control!$C$89,$BU286*(30+(60-30)*(BX286/Control!$C$89)),0))</f>
        <v>#N/A</v>
      </c>
      <c r="CA286" s="140" t="e">
        <f ca="1">IF($BG286+$BM286+$BS286+$BY286=1,0,IF(OR(AND($BB286&lt;65,$BB286&gt;=60),$BW286&gt;=Control!$C$89),1*$BA286,$CE285))</f>
        <v>#N/A</v>
      </c>
      <c r="CB286" s="140" t="e">
        <f ca="1">IF($BX286&lt;0,-$BX286,$CA286*IF(OR($G286&lt;Control!$C$92,$G286&gt;Control!$C$95),0,IF(AND($G286&gt;=Control!$C$92,$G286&lt;=Control!$C$93),$G286-Control!$C$92,IF(AND($G286&gt;Control!$C$93,$G286&lt;=Control!$C$94),Control!$C$93-Control!$C$92,IF(AND($G286&gt;Control!$C$94,$G286&lt;=Control!$C$95),(Control!$C$93-Control!$C$92)*(Control!$C$94-$G286)/(Control!$C$95-Control!$C$94))))))</f>
        <v>#N/A</v>
      </c>
      <c r="CC286" s="140" t="e">
        <f t="shared" ca="1" si="1061"/>
        <v>#N/A</v>
      </c>
      <c r="CD286" s="140" t="e">
        <f ca="1">IF($CC286&lt;=Control!$C$90,$CC286,Control!$C$90-$CC286)</f>
        <v>#N/A</v>
      </c>
      <c r="CE286" s="140" t="e">
        <f ca="1">IF(AND($BB286&gt;=60,$BB286&lt;65),1,IF($CC286&gt;=Control!$C$90,0,$CA286))</f>
        <v>#N/A</v>
      </c>
      <c r="CF286" s="404" t="e">
        <f ca="1">IF($CE286=0,0,IF($CC286&lt;=Control!$C$90,$CA286*(60+(65-60)*(CD286/Control!$C$90)),0))</f>
        <v>#N/A</v>
      </c>
      <c r="CG286" s="140" t="e">
        <f ca="1">IF($BG286+$BM286+$BS286+$BY286+$CE286=1,0,IF(OR(AND($BB286&lt;90,$BB286&gt;=65),$CC286&gt;=Control!$C$90),$BA286,$CK285))</f>
        <v>#N/A</v>
      </c>
      <c r="CH286" s="140" t="e">
        <f ca="1">IF($CD286&lt;0,-$CD286,$CG286*IF(OR($G286&lt;Control!$C$92,$G286&gt;Control!$C$95),0,IF(AND($G286&gt;=Control!$C$92,$G286&lt;=Control!$C$93),$G286-Control!$C$92,IF(AND($G286&gt;Control!$C$93,$G286&lt;=Control!$C$94),Control!$C$93-Control!$C$92,IF(AND($G286&gt;Control!$C$94,$G286&lt;=Control!$C$95),(Control!$C$93-Control!$C$92)*(Control!$C$94-$G286)/(Control!$C$95-Control!$C$94))))))</f>
        <v>#N/A</v>
      </c>
      <c r="CI286" s="140" t="e">
        <f t="shared" ca="1" si="1062"/>
        <v>#N/A</v>
      </c>
      <c r="CJ286" s="140" t="e">
        <f ca="1">IF($CI286&lt;=Control!$C$91,$CI286,Control!$C$91-$CI286)</f>
        <v>#N/A</v>
      </c>
      <c r="CK286" s="140" t="e">
        <f ca="1">IF(AND($BB286&gt;=65,$BB286&lt;90),1,IF($CI286&gt;=Control!$C$91,0,$CG286))</f>
        <v>#N/A</v>
      </c>
      <c r="CL286" s="404" t="e">
        <f ca="1">IF($CK286=0,0,IF($CI286&lt;=Control!$C$91,$CG286*(65+(90-65)*($CJ286/Control!$C$91)),0))</f>
        <v>#N/A</v>
      </c>
      <c r="CM286" s="140" t="e">
        <f ca="1">IF($BG286+$BM286+$BS286+$BY286+$CE286+$CK286=1,0,IF(OR($BB286&gt;=90,$CI286&gt;=Control!$C$91),$BA286,$CM285))</f>
        <v>#N/A</v>
      </c>
      <c r="CN286" s="140" t="e">
        <f t="shared" ca="1" si="1063"/>
        <v>#N/A</v>
      </c>
      <c r="CO286" s="140" t="e">
        <f t="shared" ca="1" si="1064"/>
        <v>#N/A</v>
      </c>
      <c r="CP286" s="140" t="e">
        <f t="shared" ca="1" si="1065"/>
        <v>#N/A</v>
      </c>
      <c r="CQ286" s="141" t="e">
        <f ca="1">VLOOKUP($CP286,Control!$B$86:$G$91,6)</f>
        <v>#N/A</v>
      </c>
      <c r="CR286" s="141" t="e">
        <f ca="1">(1-$CQ286)*VLOOKUP($CP286,Control!$B$86:$D$91,3)</f>
        <v>#N/A</v>
      </c>
      <c r="CS286" s="141" t="e">
        <f ca="1">(1-$CQ286)*VLOOKUP($CP286,Control!$B$86:$E$91,4)</f>
        <v>#N/A</v>
      </c>
      <c r="CT286" s="141" t="e">
        <f ca="1">(1-$CQ286)*VLOOKUP($CP286,Control!$B$86:$F$91,5)</f>
        <v>#N/A</v>
      </c>
      <c r="CU286" s="141">
        <f t="shared" ca="1" si="1066"/>
        <v>0</v>
      </c>
      <c r="CV286" s="583">
        <f t="shared" ca="1" si="1067"/>
        <v>0</v>
      </c>
      <c r="CW286" s="142">
        <f t="shared" ca="1" si="1068"/>
        <v>282</v>
      </c>
      <c r="CX286" s="612" t="e">
        <f ca="1">IF(Control!$C$114=1,(MIN(Control!$C$120*(IF($NT286-0.01&lt;0,0,1)),Control!$C$119-$CY286)))</f>
        <v>#DIV/0!</v>
      </c>
      <c r="CY286" s="143" t="e">
        <f t="shared" ca="1" si="1069"/>
        <v>#N/A</v>
      </c>
      <c r="CZ286" s="144">
        <f t="shared" ca="1" si="946"/>
        <v>0</v>
      </c>
      <c r="DA286" s="144">
        <f t="shared" ca="1" si="947"/>
        <v>0</v>
      </c>
      <c r="DB286" s="144" t="e">
        <f t="shared" ca="1" si="948"/>
        <v>#N/A</v>
      </c>
      <c r="DC286" s="144" t="e">
        <f t="shared" ca="1" si="949"/>
        <v>#N/A</v>
      </c>
      <c r="DD286" s="144" t="e">
        <f t="shared" ca="1" si="1154"/>
        <v>#N/A</v>
      </c>
      <c r="DE286" s="143" t="e">
        <f t="shared" ca="1" si="1070"/>
        <v>#N/A</v>
      </c>
      <c r="DF286" s="145" t="e">
        <f ca="1">$DR286*EXP(-Control!$C$158*(1-$KH286))</f>
        <v>#N/A</v>
      </c>
      <c r="DG286" s="146" t="e">
        <f ca="1">IF(Control!$C$114=1, $DF286*$EY286, 0)</f>
        <v>#N/A</v>
      </c>
      <c r="DH286" s="147" t="e">
        <f t="shared" ca="1" si="1071"/>
        <v>#N/A</v>
      </c>
      <c r="DI286" s="144" t="e">
        <f t="shared" ca="1" si="1132"/>
        <v>#N/A</v>
      </c>
      <c r="DJ286" s="147" t="e">
        <f ca="1">$EF286*Control!$C$109</f>
        <v>#N/A</v>
      </c>
      <c r="DK286" s="144" t="e">
        <f t="shared" ca="1" si="1072"/>
        <v>#N/A</v>
      </c>
      <c r="DL286" s="144" t="e">
        <f t="shared" ca="1" si="950"/>
        <v>#N/A</v>
      </c>
      <c r="DM286" s="144" t="e">
        <f ca="1">IF(Control!$C$114=1, (1-EXP(-Control!$C$96*$DK286))*$AR286, 0)</f>
        <v>#N/A</v>
      </c>
      <c r="DN286" s="144">
        <f t="shared" ca="1" si="1073"/>
        <v>0</v>
      </c>
      <c r="DO286" s="148">
        <f>Control!$C$97</f>
        <v>4</v>
      </c>
      <c r="DP286" s="145" t="e">
        <f t="shared" ca="1" si="1074"/>
        <v>#N/A</v>
      </c>
      <c r="DQ286" s="145" t="e">
        <f ca="1">IF(AND($CP286&gt;=0,$CP286&lt;=90),Control!$C$111,Control!$C$111)</f>
        <v>#N/A</v>
      </c>
      <c r="DR286" s="145" t="e">
        <f t="shared" ca="1" si="951"/>
        <v>#N/A</v>
      </c>
      <c r="DS286" s="143" t="e">
        <f ca="1">Control!$B$22/$DR286</f>
        <v>#N/A</v>
      </c>
      <c r="DT286" s="149" t="e">
        <f ca="1">IF(AND(Control!$C$114=1,$KH286&lt;1),$IM286*$DF286, 0)</f>
        <v>#N/A</v>
      </c>
      <c r="DU286" s="144" t="e">
        <f t="shared" ca="1" si="1075"/>
        <v>#N/A</v>
      </c>
      <c r="DV286" s="144">
        <f ca="1">IF($G286-Control!$C$107&lt;=0, 0, 0.83*LN(MAX($G286, 3))-0.8924)</f>
        <v>0</v>
      </c>
      <c r="DW286" s="144" t="e">
        <f t="shared" ca="1" si="952"/>
        <v>#N/A</v>
      </c>
      <c r="DX286" s="150" t="e">
        <f ca="1">MAX(0.01*(1+$CU286/Control!$C$102),0.05*($DK286-Control!$C$97)/Control!$C$97)</f>
        <v>#N/A</v>
      </c>
      <c r="DY286" s="151" t="e">
        <f ca="1">IF(Control!$C$114=1, $DI286*$FS286, 0)</f>
        <v>#N/A</v>
      </c>
      <c r="DZ286" s="196" t="e">
        <f t="shared" ca="1" si="1076"/>
        <v>#N/A</v>
      </c>
      <c r="EA286" s="152">
        <f t="shared" ca="1" si="1077"/>
        <v>282</v>
      </c>
      <c r="EB286" s="153" t="e">
        <f t="shared" ca="1" si="1078"/>
        <v>#N/A</v>
      </c>
      <c r="EC286" s="153" t="e">
        <f t="shared" ca="1" si="1079"/>
        <v>#N/A</v>
      </c>
      <c r="ED286" s="154" t="e">
        <f ca="1">IF(Control!$C$114=1, $HM286*$FY286-$FD286, 0)</f>
        <v>#DIV/0!</v>
      </c>
      <c r="EE286" s="155" t="e">
        <f ca="1">IF(Control!$C$114=1, $HM286*$FZ286-$FF286, 0)</f>
        <v>#DIV/0!</v>
      </c>
      <c r="EF286" s="153" t="e">
        <f t="shared" ca="1" si="1133"/>
        <v>#N/A</v>
      </c>
      <c r="EG286" s="155" t="e">
        <f ca="1">IF(Control!$C$114=1, $GX286*$FW286-$FI286, 0)</f>
        <v>#DIV/0!</v>
      </c>
      <c r="EH286" s="153" t="e">
        <f t="shared" ca="1" si="1080"/>
        <v>#N/A</v>
      </c>
      <c r="EI286" s="156" t="e">
        <f t="shared" ca="1" si="1081"/>
        <v>#N/A</v>
      </c>
      <c r="EJ286" s="155" t="e">
        <f ca="1">IF(Control!$C$114=1, $HM286*$GB286, 0)</f>
        <v>#DIV/0!</v>
      </c>
      <c r="EK286" s="153" t="e">
        <f t="shared" ca="1" si="1134"/>
        <v>#N/A</v>
      </c>
      <c r="EL286" s="153" t="e">
        <f t="shared" ca="1" si="953"/>
        <v>#N/A</v>
      </c>
      <c r="EM286" s="153" t="e">
        <f t="shared" ca="1" si="954"/>
        <v>#N/A</v>
      </c>
      <c r="EN286" s="153" t="e">
        <f ca="1">IF(Control!$C$108=1,IF(AND(Control!$B$18=1,$EB286&gt;=Control!$B$19),$EB286-$DS286,IF(AND(Control!$B$18=2,$AW286=1,$EB286&gt;$DS286),$EB286-$DS286,0)))</f>
        <v>#N/A</v>
      </c>
      <c r="EO286" s="153" t="e">
        <f ca="1">IF(Control!$C$108=1,IF(AND(Control!$B$18=1,$EB286&gt;=Control!$B$19),$EF286,IF(AND(Control!$B$18=2,$AW286=1),$EF286,0)))</f>
        <v>#N/A</v>
      </c>
      <c r="EP286" s="153" t="e">
        <f ca="1">IF(Control!$C$108=1,IF(AND(Control!$B$18=1,$EB286&gt;=Control!$B$19),$EK286,IF(AND(Control!$B$18=2,$AW286=1),$EK286,0)))</f>
        <v>#N/A</v>
      </c>
      <c r="EQ286" s="153" t="e">
        <f t="shared" ca="1" si="1082"/>
        <v>#N/A</v>
      </c>
      <c r="ER286" s="153" t="e">
        <f t="shared" ca="1" si="1083"/>
        <v>#N/A</v>
      </c>
      <c r="ES286" s="153" t="e">
        <f t="shared" ca="1" si="1135"/>
        <v>#N/A</v>
      </c>
      <c r="ET286" s="153" t="e">
        <f t="shared" ca="1" si="1136"/>
        <v>#N/A</v>
      </c>
      <c r="EU286" s="153" t="e">
        <f t="shared" ca="1" si="1084"/>
        <v>#N/A</v>
      </c>
      <c r="EV286" s="153" t="e">
        <f t="shared" ca="1" si="955"/>
        <v>#N/A</v>
      </c>
      <c r="EW286" s="153" t="e">
        <f t="shared" ca="1" si="956"/>
        <v>#N/A</v>
      </c>
      <c r="EX286" s="153" t="e">
        <f t="shared" ca="1" si="957"/>
        <v>#N/A</v>
      </c>
      <c r="EY286" s="157" t="e">
        <f t="shared" ca="1" si="958"/>
        <v>#DIV/0!</v>
      </c>
      <c r="EZ286" s="154" t="e">
        <f t="shared" ca="1" si="959"/>
        <v>#DIV/0!</v>
      </c>
      <c r="FA286" s="153" t="e">
        <f t="shared" ca="1" si="1085"/>
        <v>#N/A</v>
      </c>
      <c r="FB286" s="153" t="e">
        <f t="shared" ca="1" si="960"/>
        <v>#N/A</v>
      </c>
      <c r="FC286" s="193" t="e">
        <f t="shared" ca="1" si="961"/>
        <v>#N/A</v>
      </c>
      <c r="FD286" s="158" t="e">
        <f t="shared" ca="1" si="1086"/>
        <v>#N/A</v>
      </c>
      <c r="FE286" s="158" t="e">
        <f t="shared" ca="1" si="1087"/>
        <v>#N/A</v>
      </c>
      <c r="FF286" s="159" t="e">
        <f t="shared" ca="1" si="962"/>
        <v>#N/A</v>
      </c>
      <c r="FG286" s="160" t="e">
        <f t="shared" ca="1" si="1088"/>
        <v>#N/A</v>
      </c>
      <c r="FH286" s="158" t="e">
        <f t="shared" ca="1" si="1089"/>
        <v>#N/A</v>
      </c>
      <c r="FI286" s="159" t="e">
        <f t="shared" ca="1" si="963"/>
        <v>#N/A</v>
      </c>
      <c r="FJ286" s="160" t="e">
        <f t="shared" ca="1" si="1090"/>
        <v>#N/A</v>
      </c>
      <c r="FK286" s="160" t="e">
        <f t="shared" ca="1" si="964"/>
        <v>#N/A</v>
      </c>
      <c r="FL286" s="160" t="e">
        <f t="shared" ca="1" si="1137"/>
        <v>#N/A</v>
      </c>
      <c r="FM286" s="160" t="e">
        <f t="shared" ca="1" si="965"/>
        <v>#N/A</v>
      </c>
      <c r="FN286" s="158">
        <f t="shared" ca="1" si="1091"/>
        <v>0.01</v>
      </c>
      <c r="FO286" s="160">
        <f>Control!$C$101</f>
        <v>50</v>
      </c>
      <c r="FP286" s="150" t="e">
        <f t="shared" ca="1" si="966"/>
        <v>#N/A</v>
      </c>
      <c r="FQ286" s="150" t="e">
        <f ca="1">MAX(0,(Control!$C$112*(($DK286-Control!$C$97)/Control!$C$97)))</f>
        <v>#N/A</v>
      </c>
      <c r="FR286" s="150" t="e">
        <f ca="1">(1-$NT286)*Control!$C$113</f>
        <v>#DIV/0!</v>
      </c>
      <c r="FS286" s="198" t="e">
        <f t="shared" ca="1" si="967"/>
        <v>#N/A</v>
      </c>
      <c r="FT286" s="161">
        <f t="shared" ca="1" si="1092"/>
        <v>282</v>
      </c>
      <c r="FU286" s="162" t="e">
        <f ca="1">IF(Control!$B$34=1,VLOOKUP($CP286,Control!$B$86:$G$91,6),Control!$B$35)</f>
        <v>#N/A</v>
      </c>
      <c r="FV286" s="162" t="e">
        <f t="shared" ca="1" si="968"/>
        <v>#DIV/0!</v>
      </c>
      <c r="FW286" s="162" t="e">
        <f ca="1">IF(Control!$B$31=1,$FU286*$FV286,  $FU286)</f>
        <v>#N/A</v>
      </c>
      <c r="FX286" s="162" t="e">
        <f ca="1">IF(Control!$B$34=1,VLOOKUP($CP286,Control!$B$86:$G$91,3),Control!$B$36)</f>
        <v>#N/A</v>
      </c>
      <c r="FY286" s="162" t="e">
        <f t="shared" ca="1" si="969"/>
        <v>#N/A</v>
      </c>
      <c r="FZ286" s="162" t="e">
        <f ca="1">IF(Control!$B$34=1,VLOOKUP($CP286,Control!$B$86:$G$91,4),Control!$B$37)</f>
        <v>#N/A</v>
      </c>
      <c r="GA286" s="162" t="e">
        <f t="shared" ca="1" si="970"/>
        <v>#N/A</v>
      </c>
      <c r="GB286" s="162" t="e">
        <f ca="1">IF(Control!$B$34=1,VLOOKUP($CP286,Control!$B$86:$G$91,5),Control!$B$38)</f>
        <v>#N/A</v>
      </c>
      <c r="GC286" s="162" t="e">
        <f t="shared" ca="1" si="1093"/>
        <v>#N/A</v>
      </c>
      <c r="GD286" s="162">
        <f t="shared" ca="1" si="971"/>
        <v>1</v>
      </c>
      <c r="GE286" s="162">
        <f t="shared" ca="1" si="972"/>
        <v>1</v>
      </c>
      <c r="GF286" s="162">
        <f ca="1">IF(AND(Control!$C$104=1, Control!$C$62="F"),$GE286,1)</f>
        <v>1</v>
      </c>
      <c r="GG286" s="162" t="e">
        <f ca="1">IF(Control!$B$16=40,0,IF(AND(Control!$B$16&gt;40,Control!$B$16&lt;=360),(Control!$B$16-40)*((1-0)/(360-40)),IF(AND(Control!$B$16&gt;360,Control!$B$16&lt;=720),(1+(Control!$B$16-360)*((1.25-1)/(720-360))),IF(AND(Control!$B$16&gt;720,Control!$B$16&lt;=1000),(1.25+(Control!$B$16-720)*((1.35-1.25)/(1000-720))),IF(AND(Control!$B$16&gt;1000,Control!$B$16&lt;=2000),(1.35+(Control!$B$16-1000)*0))))))</f>
        <v>#N/A</v>
      </c>
      <c r="GH286" s="162" t="e">
        <f t="shared" ca="1" si="973"/>
        <v>#N/A</v>
      </c>
      <c r="GI286" s="162">
        <f t="shared" ca="1" si="1094"/>
        <v>0</v>
      </c>
      <c r="GJ286" s="162">
        <f t="shared" ca="1" si="974"/>
        <v>0</v>
      </c>
      <c r="GK286" s="162">
        <f t="shared" ca="1" si="1095"/>
        <v>1</v>
      </c>
      <c r="GL286" s="162">
        <f t="shared" ca="1" si="975"/>
        <v>1</v>
      </c>
      <c r="GM286" s="162" t="e">
        <f ca="1">MAX(0,MIN(1,1-Control!$C$156*(1.0001-$KH286)^2))</f>
        <v>#N/A</v>
      </c>
      <c r="GN286" s="162" t="e">
        <f ca="1">IF(Control!$B$26=1,$KU286,$KX286)</f>
        <v>#N/A</v>
      </c>
      <c r="GO286" s="162" t="e">
        <f ca="1">IF($CP286&lt;=60,Control!$C$105,IF($CP286&gt;=90,Control!$C$106,Control!$C$105+($CP286-60)*((Control!$C$106-Control!$C$105)/(90-60))))</f>
        <v>#N/A</v>
      </c>
      <c r="GP286" s="162" t="e">
        <f t="shared" ca="1" si="976"/>
        <v>#N/A</v>
      </c>
      <c r="GQ286" s="162" t="e">
        <f t="shared" ca="1" si="1096"/>
        <v>#N/A</v>
      </c>
      <c r="GR286" s="163" t="e">
        <f t="shared" ca="1" si="977"/>
        <v>#DIV/0!</v>
      </c>
      <c r="GS286" s="162" t="e">
        <f t="shared" ca="1" si="978"/>
        <v>#DIV/0!</v>
      </c>
      <c r="GT286" s="164" t="e">
        <f t="shared" ca="1" si="1097"/>
        <v>#N/A</v>
      </c>
      <c r="GU286" s="162" t="e">
        <f t="shared" ca="1" si="1098"/>
        <v>#N/A</v>
      </c>
      <c r="GV286" s="162" t="e">
        <f t="shared" ca="1" si="979"/>
        <v>#N/A</v>
      </c>
      <c r="GW286" s="162" t="e">
        <f t="shared" ca="1" si="980"/>
        <v>#DIV/0!</v>
      </c>
      <c r="GX286" s="162" t="e">
        <f t="shared" ca="1" si="1099"/>
        <v>#DIV/0!</v>
      </c>
      <c r="GY286" s="162" t="e">
        <f t="shared" ca="1" si="1100"/>
        <v>#DIV/0!</v>
      </c>
      <c r="GZ286" s="165" t="e">
        <f t="shared" ca="1" si="981"/>
        <v>#N/A</v>
      </c>
      <c r="HA286" s="162" t="e">
        <f ca="1">IF(Control!$C$114=1, $DI286*$FS286, 0)</f>
        <v>#N/A</v>
      </c>
      <c r="HB286" s="162" t="e">
        <f ca="1">$FA286/Control!$C$64</f>
        <v>#N/A</v>
      </c>
      <c r="HC286" s="162" t="e">
        <f t="shared" ca="1" si="982"/>
        <v>#DIV/0!</v>
      </c>
      <c r="HD286" s="162">
        <f ca="1">-ASIN(SIN(23.45*Control!$C$139)*COS(2*Control!$C$138*($AH286+10)/365))</f>
        <v>-0.12328971384897269</v>
      </c>
      <c r="HE286" s="165">
        <f t="shared" ca="1" si="1101"/>
        <v>0</v>
      </c>
      <c r="HF286" s="166">
        <f ca="1">IF(AND(Control!$C$61="T",$HE286&gt;=Control!$C$103,Control!$C$114=0),$AH286,Control!$C$59)</f>
        <v>1</v>
      </c>
      <c r="HG286" s="166">
        <f ca="1">IF(AND(Control!$C$61="T",$HE286&gt;=Control!$C$103,Control!$C$114=0),$HF286,Control!$C$59)</f>
        <v>1</v>
      </c>
      <c r="HH286" s="165">
        <f ca="1">IF(AND(OR(Control!$C$60&lt;=0, $AH286= Control!$C$59, Control!$C$60 &gt;0, $AH286 = Control!$C$60)), Control!$C$59, IF(Control!$C$60&gt;0, 0))</f>
        <v>1</v>
      </c>
      <c r="HI286" s="165">
        <f ca="1">IF(AND(OR(Control!$C$60&lt;=0, $AH286= Control!$C$59, Control!$C$60 &gt;0, $AH286 = Control!$C$60)), Control!$C$60, IF(Control!$C$60&lt;=0, 0))</f>
        <v>0</v>
      </c>
      <c r="HJ286" s="166">
        <f ca="1">IF(AND(Control!$C$62="F",$CV286&gt;=Control!$C$102),$AH286,0)</f>
        <v>0</v>
      </c>
      <c r="HK286" s="165" t="e">
        <f t="shared" ca="1" si="1138"/>
        <v>#N/A</v>
      </c>
      <c r="HL286" s="166">
        <f ca="1">IF(AND(Control!$C$61="T",$HE286&gt;=Control!$C$103,Control!$C$114=0),$HF286,0)</f>
        <v>0</v>
      </c>
      <c r="HM286" s="201" t="e">
        <f t="shared" ca="1" si="983"/>
        <v>#DIV/0!</v>
      </c>
      <c r="HN286" s="215">
        <f t="shared" ca="1" si="1102"/>
        <v>282</v>
      </c>
      <c r="HO286" s="216" t="e">
        <f ca="1">IF(AND($CP286&gt;=0, $CP286&lt;=90), Control!$C$152, Control!$C$152)</f>
        <v>#N/A</v>
      </c>
      <c r="HP286" s="216" t="e">
        <f t="shared" ca="1" si="984"/>
        <v>#N/A</v>
      </c>
      <c r="HQ286" s="217" t="e">
        <f ca="1">IF(OR(Control!$B$26=1,Control!$B$26=2),$KV286,$KS286)</f>
        <v>#DIV/0!</v>
      </c>
      <c r="HR286" s="218" t="e">
        <f t="shared" ca="1" si="1139"/>
        <v>#DIV/0!</v>
      </c>
      <c r="HS286" s="216" t="e">
        <f ca="1">Control!$C$154*$HP286</f>
        <v>#N/A</v>
      </c>
      <c r="HT286" s="216" t="e">
        <f ca="1">Control!$C$155*$HP286</f>
        <v>#N/A</v>
      </c>
      <c r="HU286" s="217" t="e">
        <f ca="1">Control!$C$161*$FI286</f>
        <v>#N/A</v>
      </c>
      <c r="HV286" s="218" t="e">
        <f t="shared" ca="1" si="1103"/>
        <v>#N/A</v>
      </c>
      <c r="HW286" s="218" t="e">
        <f ca="1">Control!$C$160*$FF286+$IP286*$EO286</f>
        <v>#N/A</v>
      </c>
      <c r="HX286" s="218" t="e">
        <f t="shared" ca="1" si="1140"/>
        <v>#N/A</v>
      </c>
      <c r="HY286" s="219" t="e">
        <f ca="1">IF(Control!$C$114=1, $EB286*$FS286, 0)</f>
        <v>#N/A</v>
      </c>
      <c r="HZ286" s="91" t="e">
        <f t="shared" ca="1" si="985"/>
        <v>#N/A</v>
      </c>
      <c r="IA286" s="220" t="e">
        <f ca="1">Control!$C$153*$HO286</f>
        <v>#N/A</v>
      </c>
      <c r="IB286" s="218" t="e">
        <f t="shared" ca="1" si="986"/>
        <v>#N/A</v>
      </c>
      <c r="IC286" s="220" t="e">
        <f ca="1">Control!$C$153*$HT286</f>
        <v>#N/A</v>
      </c>
      <c r="ID286" s="218" t="e">
        <f t="shared" ca="1" si="987"/>
        <v>#N/A</v>
      </c>
      <c r="IE286" s="221" t="e">
        <f ca="1">($EB286*Control!$C$159+$EF286*Control!$C$160)/(IF($GZ286&lt;&gt;0,$GZ286,1))</f>
        <v>#N/A</v>
      </c>
      <c r="IF286" s="216" t="e">
        <f t="shared" ca="1" si="988"/>
        <v>#N/A</v>
      </c>
      <c r="IG286" s="91">
        <f ca="1">IF(OR(Control!$B$198=$AH286,Control!$B$199=$AH286, Control!$B$200=$AH286, Control!$B$201=$AH286, Control!$B$202=$AH286, Control!$B$203=$AH286, Control!$B$204=$AH286, Control!$B$205=$AH286, Control!$B$206=$AH286, Control!$B$207=$AH286), 1, 0)</f>
        <v>0</v>
      </c>
      <c r="IH286" s="91">
        <f ca="1">IF($IG286=0,0, VLOOKUP($AH286,Control!$B$198:$C$207,2))</f>
        <v>0</v>
      </c>
      <c r="II286" s="222">
        <f t="shared" ca="1" si="1104"/>
        <v>0</v>
      </c>
      <c r="IJ286" s="91">
        <f>Control!$C$121</f>
        <v>0.7</v>
      </c>
      <c r="IK286" s="218">
        <f t="shared" ca="1" si="989"/>
        <v>0</v>
      </c>
      <c r="IL286" s="217" t="e">
        <f t="shared" ca="1" si="1141"/>
        <v>#N/A</v>
      </c>
      <c r="IM286" s="223" t="e">
        <f ca="1">IF(AND(Control!$C$114=1,$KH286&lt;1),$EB286*Control!$C$148*(1-$KH286), 0)</f>
        <v>#N/A</v>
      </c>
      <c r="IN286" s="217" t="e">
        <f t="shared" ca="1" si="990"/>
        <v>#DIV/0!</v>
      </c>
      <c r="IO286" s="91" t="e">
        <f ca="1">MAX(0,$IL286-$EF286*Control!$C$160)</f>
        <v>#N/A</v>
      </c>
      <c r="IP286" s="220" t="e">
        <f t="shared" ca="1" si="991"/>
        <v>#N/A</v>
      </c>
      <c r="IQ286" s="217" t="e">
        <f t="shared" ca="1" si="1105"/>
        <v>#N/A</v>
      </c>
      <c r="IR286" s="218" t="e">
        <f t="shared" ca="1" si="992"/>
        <v>#N/A</v>
      </c>
      <c r="IS286" s="217" t="e">
        <f ca="1">Control!$C$159*MAX(0,$FD286-$EN286)</f>
        <v>#N/A</v>
      </c>
      <c r="IT286" s="217" t="e">
        <f t="shared" ca="1" si="1142"/>
        <v>#N/A</v>
      </c>
      <c r="IU286" s="217" t="e">
        <f t="shared" ca="1" si="1106"/>
        <v>#N/A</v>
      </c>
      <c r="IV286" s="217" t="e">
        <f t="shared" ca="1" si="1143"/>
        <v>#N/A</v>
      </c>
      <c r="IW286" s="217" t="e">
        <f ca="1">IF(OR($AW286=1,AND($AW286=0, Control!$B$18=1,$EN286&lt;&gt;0)), $IQ286-$IU286, $IQ286)</f>
        <v>#N/A</v>
      </c>
      <c r="IX286" s="218" t="e">
        <f t="shared" ca="1" si="993"/>
        <v>#N/A</v>
      </c>
      <c r="IY286" s="218" t="e">
        <f ca="1">MAX(0,$IQ286-$EB286*Control!$C$159)</f>
        <v>#N/A</v>
      </c>
      <c r="IZ286" s="218" t="e">
        <f t="shared" ca="1" si="994"/>
        <v>#N/A</v>
      </c>
      <c r="JA286" s="216" t="e">
        <f t="shared" ca="1" si="995"/>
        <v>#N/A</v>
      </c>
      <c r="JB286" s="217" t="e">
        <f t="shared" ca="1" si="996"/>
        <v>#N/A</v>
      </c>
      <c r="JC286" s="222" t="e">
        <f ca="1">MAX(Control!$C$157*$EK286-$JT286, 0)/Control!$C$162</f>
        <v>#N/A</v>
      </c>
      <c r="JD286" s="218" t="e">
        <f t="shared" ca="1" si="997"/>
        <v>#N/A</v>
      </c>
      <c r="JE286" s="218" t="e">
        <f t="shared" ca="1" si="998"/>
        <v>#N/A</v>
      </c>
      <c r="JF286" s="218" t="e">
        <f t="shared" ca="1" si="1107"/>
        <v>#N/A</v>
      </c>
      <c r="JG286" s="218" t="e">
        <f t="shared" ca="1" si="999"/>
        <v>#N/A</v>
      </c>
      <c r="JH286" s="217" t="e">
        <f t="shared" ca="1" si="1108"/>
        <v>#N/A</v>
      </c>
      <c r="JI286" s="217" t="e">
        <f t="shared" ca="1" si="1109"/>
        <v>#N/A</v>
      </c>
      <c r="JJ286" s="217" t="e">
        <f t="shared" ca="1" si="1144"/>
        <v>#N/A</v>
      </c>
      <c r="JK286" s="217" t="e">
        <f ca="1">IF(Control!$C$114=1,IF(Control!$B$24=0,MAX(0,$JI286)*$GN286/Control!$C$64,(MAX(0,MIN($JI286,$JJ286*$GN286/Control!$C$64),0))))</f>
        <v>#N/A</v>
      </c>
      <c r="JL286" s="217" t="e">
        <f ca="1">$IK286/Control!$C$64-$JK286+$HQ286</f>
        <v>#N/A</v>
      </c>
      <c r="JM286" s="217" t="e">
        <f ca="1">IF(Control!$C$114=1,($JB286/(IF($JI286&lt;&gt;0,$JI286,1)))*$JK286,0)</f>
        <v>#N/A</v>
      </c>
      <c r="JN286" s="217" t="e">
        <f ca="1">IF(Control!$C$114=1,($JG286/(IF($JI286&lt;&gt;0,$JI286,1)))*$JK286, 0)</f>
        <v>#N/A</v>
      </c>
      <c r="JO286" s="218" t="e">
        <f t="shared" ca="1" si="1000"/>
        <v>#N/A</v>
      </c>
      <c r="JP286" s="218" t="e">
        <f ca="1">MIN(($IY286+$IO286)*Control!$C$151, $JF286-$EH286*Control!$C$161)</f>
        <v>#N/A</v>
      </c>
      <c r="JQ286" s="218" t="e">
        <f t="shared" ca="1" si="1001"/>
        <v>#N/A</v>
      </c>
      <c r="JR286" s="217" t="e">
        <f ca="1">IF($CP286-Control!$C$150&lt;0, 0, $JQ286/Control!$C$162)</f>
        <v>#N/A</v>
      </c>
      <c r="JS286" s="218" t="e">
        <f t="shared" ca="1" si="1002"/>
        <v>#N/A</v>
      </c>
      <c r="JT286" s="218" t="e">
        <f t="shared" ca="1" si="1110"/>
        <v>#N/A</v>
      </c>
      <c r="JU286" s="218" t="e">
        <f t="shared" ca="1" si="1003"/>
        <v>#N/A</v>
      </c>
      <c r="JV286" s="218" t="e">
        <f t="shared" ca="1" si="1004"/>
        <v>#N/A</v>
      </c>
      <c r="JW286" s="216" t="e">
        <f t="shared" ca="1" si="1005"/>
        <v>#N/A</v>
      </c>
      <c r="JX286" s="91" t="e">
        <f t="shared" ca="1" si="1006"/>
        <v>#N/A</v>
      </c>
      <c r="JY286" s="218" t="e">
        <f t="shared" ca="1" si="1007"/>
        <v>#N/A</v>
      </c>
      <c r="JZ286" s="217" t="e">
        <f ca="1">IF(Control!$C$114=1,($IZ286/(IF($JI286&lt;&gt;0,$JI286,1)))*$JK286, 0)</f>
        <v>#N/A</v>
      </c>
      <c r="KA286" s="218" t="e">
        <f t="shared" ca="1" si="1145"/>
        <v>#N/A</v>
      </c>
      <c r="KB286" s="218" t="e">
        <f t="shared" ca="1" si="1111"/>
        <v>#N/A</v>
      </c>
      <c r="KC286" s="218" t="e">
        <f t="shared" ca="1" si="1008"/>
        <v>#N/A</v>
      </c>
      <c r="KD286" s="218" t="e">
        <f t="shared" ca="1" si="1009"/>
        <v>#N/A</v>
      </c>
      <c r="KE286" s="218" t="e">
        <f t="shared" ca="1" si="1010"/>
        <v>#N/A</v>
      </c>
      <c r="KF286" s="218" t="e">
        <f t="shared" ca="1" si="1011"/>
        <v>#N/A</v>
      </c>
      <c r="KG286" s="216" t="e">
        <f t="shared" ca="1" si="1012"/>
        <v>#N/A</v>
      </c>
      <c r="KH286" s="221" t="e">
        <f ca="1">IF(Control!$B$24=0,1,MAX(0.001,MIN(1,IF(($IF286-$IE286)&lt;&gt;0,($KG286-$IE286)/($IF286-$IE286),1))))</f>
        <v>#N/A</v>
      </c>
      <c r="KI286" s="222" t="e">
        <f ca="1">IF(Control!$C$114=1, $KI285+ $KH285, 0)</f>
        <v>#N/A</v>
      </c>
      <c r="KJ286" s="217" t="e">
        <f t="shared" ca="1" si="1013"/>
        <v>#N/A</v>
      </c>
      <c r="KK286" s="218" t="e">
        <f t="shared" ca="1" si="1014"/>
        <v>#N/A</v>
      </c>
      <c r="KL286" s="274" t="e">
        <f ca="1">IF(Control!$B$26=3,4000000000*EXP(-8400/($G286+273)),IF(Control!$B$26=4,4000000000*EXP(-8400/($G286+273))*($KT286),0))</f>
        <v>#DIV/0!</v>
      </c>
      <c r="KM286" s="274" t="e">
        <f ca="1">IF(Control!$B$26=3,5600000000000*EXP(-9800/($G286+273)),IF(Control!$B$26=4,5600000000000*EXP(-9800/($G286+273))*$KT286,0))</f>
        <v>#DIV/0!</v>
      </c>
      <c r="KN286" s="454" t="e">
        <f t="shared" ca="1" si="1112"/>
        <v>#DIV/0!</v>
      </c>
      <c r="KO286" s="274" t="e">
        <f t="shared" ca="1" si="1113"/>
        <v>#DIV/0!</v>
      </c>
      <c r="KP286" s="454" t="e">
        <f t="shared" ca="1" si="1015"/>
        <v>#DIV/0!</v>
      </c>
      <c r="KQ286" s="454" t="e">
        <f t="shared" ca="1" si="1016"/>
        <v>#DIV/0!</v>
      </c>
      <c r="KR286" s="454" t="e">
        <f t="shared" ca="1" si="1017"/>
        <v>#DIV/0!</v>
      </c>
      <c r="KS286" s="454" t="e">
        <f t="shared" ca="1" si="1018"/>
        <v>#DIV/0!</v>
      </c>
      <c r="KT286" s="455" t="e">
        <f t="shared" ca="1" si="1019"/>
        <v>#DIV/0!</v>
      </c>
      <c r="KU286" s="456" t="e">
        <f ca="1">IF($CP286-Control!$C$149&lt;0, IF($NT286-0.01&lt;0,0,1),0)</f>
        <v>#N/A</v>
      </c>
      <c r="KV286" s="456" t="e">
        <f ca="1">IF(Control!$C$114=1,MAX(0,MIN(Control!$C$125*$KW286*$GN286,$KW286)))</f>
        <v>#DIV/0!</v>
      </c>
      <c r="KW286" s="456" t="e">
        <f t="shared" ca="1" si="1146"/>
        <v>#DIV/0!</v>
      </c>
      <c r="KX286" s="457" t="e">
        <f ca="1">IF($CP286-Control!$C$149&lt;0, IF($MR286-$OM286&lt;0,0,1),0)</f>
        <v>#N/A</v>
      </c>
      <c r="KY286" s="167">
        <f t="shared" ca="1" si="1114"/>
        <v>282</v>
      </c>
      <c r="KZ286" s="168">
        <f ca="1">1370*(1+0.033*COS(2*Control!$C$138*$AH286/365))</f>
        <v>1376.3995447905552</v>
      </c>
      <c r="LA286" s="169">
        <f t="shared" ca="1" si="1115"/>
        <v>1.0046708297421625</v>
      </c>
      <c r="LB286" s="169">
        <f t="shared" ca="1" si="1116"/>
        <v>-0.12974952946855617</v>
      </c>
      <c r="LC286" s="169">
        <f ca="1">ACOS(-TAN((2*Control!$B$8/360))*TAN(Calculations!$LB286))</f>
        <v>1.5320067704128844</v>
      </c>
      <c r="LD286" s="169">
        <f ca="1">((24*60)/PI())*0.082*$LA286*(($LC286*SIN(Control!$B$8*2*PI()/360))*SIN($LB286)+COS(Control!$B$8*2*PI()/360)*COS($LB286)*SIN($LC286))</f>
        <v>17.137259061156289</v>
      </c>
      <c r="LE286" s="170">
        <f t="shared" ca="1" si="1020"/>
        <v>17.655175360369135</v>
      </c>
      <c r="LF286" s="170">
        <f ca="1">SIN(Control!$C$139*Control!$B$8)*SIN($HD286)</f>
        <v>-9.6907839771060697E-2</v>
      </c>
      <c r="LG286" s="170">
        <f ca="1">COS(Control!$C$139*Control!$B$8)*COS($HD286)</f>
        <v>0.61098660362434476</v>
      </c>
      <c r="LH286" s="170">
        <f ca="1">12*(1+2*ASIN(MAX(-1,MIN(1,$LF286/$LG286))/Control!$C$138))</f>
        <v>10.787805676140072</v>
      </c>
      <c r="LI286" s="170">
        <f ca="1">12*(1+2*ASIN(MAX(-1,MIN(1,(-SIN(-4*Control!$C$139)+$LF286)/$LG286))/Control!$C$138))</f>
        <v>11.660505902031559</v>
      </c>
      <c r="LJ286" s="168">
        <f ca="1">3600*($LH286*$LF286+24*$LG286*SQRT(1-$LK286*$LK286)/Control!$C$138)</f>
        <v>12827.071490390314</v>
      </c>
      <c r="LK286" s="170">
        <f t="shared" ca="1" si="1021"/>
        <v>-0.15860877995721639</v>
      </c>
      <c r="LL286" s="170">
        <f t="shared" ca="1" si="1022"/>
        <v>0</v>
      </c>
      <c r="LM286" s="171">
        <f ca="1">Control!$C$145*$AB286</f>
        <v>6.6660906138995932E-2</v>
      </c>
      <c r="LN286" s="170">
        <f t="shared" ca="1" si="1117"/>
        <v>0.54</v>
      </c>
      <c r="LO286" s="170">
        <f t="shared" ca="1" si="1023"/>
        <v>0</v>
      </c>
      <c r="LP286" s="170">
        <f ca="1">Control!$C$140*((($D286+273.16)^4+($E286+273.16)^4)/2)*(0.34-0.14*SQRT($Y286))*(1.35*$AQ286/(0.75*$LD286)-0.35)</f>
        <v>-3.2464704755046001</v>
      </c>
      <c r="LQ286" s="170">
        <f ca="1">Control!$C$140*($G286+273)^4*(0.56-0.079*SQRT($Y286*10))*(0.1+0.9*$LO286)</f>
        <v>1.5241745131704001</v>
      </c>
      <c r="LR286" s="170">
        <f ca="1">$AQ286*(1-Control!$C$142)-$LQ286</f>
        <v>-1.5241745131704001</v>
      </c>
      <c r="LS286" s="170">
        <f ca="1">$AQ286*(1-Control!$C$143)-$LQ286</f>
        <v>-1.5241745131704001</v>
      </c>
      <c r="LT286" s="170">
        <f ca="1">$AQ286*(1-Control!$C$144)-$LQ286</f>
        <v>-1.5241745131704001</v>
      </c>
      <c r="LU286" s="169">
        <f ca="1">(1-Control!$C$144)*AQ286-LP286</f>
        <v>3.2464704755046001</v>
      </c>
      <c r="LV286" s="172">
        <f t="shared" ca="1" si="1024"/>
        <v>0.79430000000000012</v>
      </c>
      <c r="LW286" s="170">
        <f t="shared" ca="1" si="1025"/>
        <v>1.5886000000000002</v>
      </c>
      <c r="LX286" s="170">
        <f ca="1">($AC286*($LR286/Control!$C$141)+$LM286*$LV286)/($AC286+$LM286)</f>
        <v>0.23530094218323697</v>
      </c>
      <c r="LY286" s="170">
        <f ca="1">($AC286*($LS286/Control!$C$141)+$LM286*$LV286)/($AC286+$LM286)</f>
        <v>0.23530094218323697</v>
      </c>
      <c r="LZ286" s="170">
        <f t="shared" ca="1" si="1026"/>
        <v>0.23530094218323697</v>
      </c>
      <c r="MA286" s="170">
        <f t="shared" ca="1" si="1027"/>
        <v>0.23530094218323697</v>
      </c>
      <c r="MB286" s="170" t="e">
        <f t="shared" ca="1" si="1028"/>
        <v>#N/A</v>
      </c>
      <c r="MC286" s="170">
        <f t="shared" ca="1" si="1118"/>
        <v>0.6018</v>
      </c>
      <c r="MD286" s="170">
        <f t="shared" ca="1" si="1029"/>
        <v>0.52989392535414004</v>
      </c>
      <c r="ME286" s="170">
        <f ca="1">($AC286*($LT286/Control!$C$141)+$LM286*$LW286)/($AC286+$LM286)</f>
        <v>0.71612369323045078</v>
      </c>
      <c r="MF286" s="170" t="e">
        <f ca="1">IF(Control!$B$16&gt;=1000,0.92,IF(AND(720&lt;=Control!$B$16,1000&gt;Control!$B$16),(0.95+(Control!$B$16-720)*((0.92-0.95)/(1000-720))),IF(AND(360&lt;=Control!$B$16,720&gt;Control!$B$16),(1+(Control!$B$16-360)*((0.95-1)/(720-360))),IF(AND(40&lt;=Control!$B$16,360&gt;Control!$B$16),(1.05+(Control!$B$16-40)*((1.05-1)/(360-40)))))))</f>
        <v>#N/A</v>
      </c>
      <c r="MG286" s="170">
        <f t="shared" ca="1" si="1030"/>
        <v>0.71612369323045078</v>
      </c>
      <c r="MH286" s="170" t="e">
        <f t="shared" ref="MH286:MI305" ca="1" si="1156">$MG286*$MF286</f>
        <v>#N/A</v>
      </c>
      <c r="MI286" s="170" t="e">
        <f t="shared" ca="1" si="1156"/>
        <v>#N/A</v>
      </c>
      <c r="MJ286" s="170" t="e">
        <f ca="1">MAX(0.0001, Control!$C$132*$MI286*$DL286)</f>
        <v>#N/A</v>
      </c>
      <c r="MK286" s="170">
        <f ca="1">1/(0.76+1.5*($MG286/10))-(5-Control!$C$110)*0.1</f>
        <v>1.002845988140797</v>
      </c>
      <c r="ML286" s="173">
        <f ca="1">IF(Control!$C$110&lt;3,$MK286+($MG286-0.6)/(Control!$C$110*(Control!$C$110+3)), MAX(0.1, MIN(0.95,$MK286)))</f>
        <v>0.95</v>
      </c>
      <c r="MM286" s="173">
        <f ca="1">IF(Control!$C$110&lt;3,$MK286+(($MI286/10)-0.6)/(Control!$C$110*(Control!$C$110+3)), MAX(0.1, MIN(0.95,$MK286)))</f>
        <v>0.95</v>
      </c>
      <c r="MN286" s="173">
        <f ca="1">(1-$MM286)*(Control!$C$128-Control!$C$127)+Control!$C$127</f>
        <v>0.16</v>
      </c>
      <c r="MO286" s="170" t="e">
        <f ca="1">MAX(0,MIN(1,($MS286-Control!$C$127)/($MN286-Control!$C$127)))</f>
        <v>#DIV/0!</v>
      </c>
      <c r="MP286" s="173" t="e">
        <f ca="1">1/(0.76+1.5*$MI286)-(5-Control!$C$110)*0.1</f>
        <v>#N/A</v>
      </c>
      <c r="MQ286" s="172" t="e">
        <f t="shared" ca="1" si="1147"/>
        <v>#DIV/0!</v>
      </c>
      <c r="MR286" s="168" t="e">
        <f t="shared" ca="1" si="1119"/>
        <v>#DIV/0!</v>
      </c>
      <c r="MS286" s="173" t="e">
        <f ca="1">MAX(Control!$C$127, MIN(Control!$C$135, $MR286/MAX(0.0001,$CY286)))</f>
        <v>#DIV/0!</v>
      </c>
      <c r="MT286" s="168" t="e">
        <f ca="1">(Control!$C$128-$MS286)*Control!$C$74</f>
        <v>#DIV/0!</v>
      </c>
      <c r="MU286" s="168" t="e">
        <f ca="1">(Control!$C$135-$MS286)*Control!$C$74</f>
        <v>#DIV/0!</v>
      </c>
      <c r="MV286" s="168" t="e">
        <f t="shared" ca="1" si="1120"/>
        <v>#DIV/0!</v>
      </c>
      <c r="MW286" s="168" t="e">
        <f t="shared" ca="1" si="1121"/>
        <v>#DIV/0!</v>
      </c>
      <c r="MX286" s="171" t="e">
        <f ca="1">MAX(Control!$C$127, MIN(Control!$C$135, $MW286/MAX(0.0001,Control!$C$119-$CY286)))</f>
        <v>#DIV/0!</v>
      </c>
      <c r="MY286" s="54" t="e">
        <f ca="1">IF(Control!$C$114=1, $CX286*$MX286, 0)</f>
        <v>#DIV/0!</v>
      </c>
      <c r="MZ286" s="54" t="e">
        <f t="shared" ca="1" si="1122"/>
        <v>#N/A</v>
      </c>
      <c r="NA286" s="168" t="e">
        <f ca="1">(Control!$C$128-$MX286)*(Control!$C$119-Control!$C$74)</f>
        <v>#DIV/0!</v>
      </c>
      <c r="NB286" s="168" t="e">
        <f ca="1">(Control!$C$135-$MX286)*(Control!$C$119-Control!$C$74)</f>
        <v>#DIV/0!</v>
      </c>
      <c r="NC286" s="174" t="e">
        <f t="shared" ca="1" si="1123"/>
        <v>#DIV/0!</v>
      </c>
      <c r="ND286" s="54">
        <f ca="1">IF(Control!$C$58=2, IF(OR(Control!$B$218=$AH286,Control!$B$219=$AH286, Control!$B$220=$AH286, Control!$B$221=$AH286, Control!$B$222=$AH286, Control!$B$223=$AH286, Control!$B$224=$AH286, Control!$B$225=$AH286, Control!$B$226=$AH286, Control!$B$227=$AH286, Control!$B$228=$AH286), 1, 0), 0)</f>
        <v>0</v>
      </c>
      <c r="NE286" s="54">
        <f ca="1">IF($ND286=0,0, VLOOKUP($AH286,Control!$B$218:$C$228,2))</f>
        <v>0</v>
      </c>
      <c r="NF286" s="168" t="e">
        <f ca="1">$CY286*(Control!$C$128-Control!$C$127)</f>
        <v>#N/A</v>
      </c>
      <c r="NG286" s="54" t="e">
        <f ca="1">IF(Control!$C$58=2, $NI285-$NJ285, 0)</f>
        <v>#DIV/0!</v>
      </c>
      <c r="NH286" s="54" t="e">
        <f ca="1">IF(AND(Control!$C$58=1, $MS285&lt;= ($MN285+0.02), $I285&lt;10), 0, IF(Control!$C$58=2, $NG285, 0))</f>
        <v>#DIV/0!</v>
      </c>
      <c r="NI286" s="54" t="e">
        <f ca="1">IF(Control!$C$58=2, $NE286+$NH286,0)</f>
        <v>#DIV/0!</v>
      </c>
      <c r="NJ286" s="54" t="e">
        <f ca="1">IF(AND(Control!$C$58=1, $MS286&lt;= ($MN286+0.02), $I286&lt;10), MAX(0, MIN(10, 0.7*($NF286-$MV286))), IF(Control!$C$58=2, MIN(10,$NI286),0))</f>
        <v>#DIV/0!</v>
      </c>
      <c r="NK286" s="54" t="e">
        <f t="shared" ca="1" si="1031"/>
        <v>#DIV/0!</v>
      </c>
      <c r="NL286" s="173" t="e">
        <f ca="1">(1-Control!$C$73)*$I286+$NJ286</f>
        <v>#DIV/0!</v>
      </c>
      <c r="NM286" s="172" t="e">
        <f ca="1">IF($NL286&lt;0.5, $MB286* MAX(0, MIN(1, (SQRT($NC286)-SQRT($NC286-1))*Control!$C$71)),0)</f>
        <v>#DIV/0!</v>
      </c>
      <c r="NN286" s="170" t="e">
        <f ca="1">IF($NL286&gt;=5, $MB286, MAX(0,MIN($MB286, $NM286+$NL286,($MS286-Control!$C$129))))</f>
        <v>#DIV/0!</v>
      </c>
      <c r="NO286" s="54">
        <f>IF(Control!$C$133&lt;&gt;1, Control!$C$135-Control!$C$131, 0)</f>
        <v>0.38</v>
      </c>
      <c r="NP286" s="54" t="e">
        <f t="shared" ca="1" si="1032"/>
        <v>#DIV/0!</v>
      </c>
      <c r="NQ286" s="173" t="e">
        <f ca="1">MAX(0,MIN(1,(Control!$C$135-$MS286)/(Control!$C$135-$NO286)))</f>
        <v>#DIV/0!</v>
      </c>
      <c r="NR286" s="170" t="e">
        <f ca="1">IF(Control!$C$133&lt;&gt;1, $NQ286+((1-$NP286/4)*(1-$NQ286)),1)</f>
        <v>#DIV/0!</v>
      </c>
      <c r="NS286" s="170" t="e">
        <f ca="1">IF(Control!$B$31=0,$MJ286,MAX(0,MIN($MV286,$MO286*$NR286*$MJ286)))</f>
        <v>#DIV/0!</v>
      </c>
      <c r="NT286" s="170" t="e">
        <f t="shared" ca="1" si="1148"/>
        <v>#DIV/0!</v>
      </c>
      <c r="NU286" s="170" t="e">
        <f t="shared" ca="1" si="1124"/>
        <v>#N/A</v>
      </c>
      <c r="NV286" s="170" t="e">
        <f t="shared" ca="1" si="1033"/>
        <v>#N/A</v>
      </c>
      <c r="NW286" s="175" t="e">
        <f t="shared" ca="1" si="1034"/>
        <v>#DIV/0!</v>
      </c>
      <c r="NX286" s="170" t="e">
        <f ca="1">MIN(Control!$C$72+$MU286, $NW286)</f>
        <v>#DIV/0!</v>
      </c>
      <c r="NY286" s="170" t="e">
        <f ca="1">IF($MT286&lt;=$NX286,MIN(Control!$C$72+$NB286,$NX286-$MT286),0)</f>
        <v>#DIV/0!</v>
      </c>
      <c r="NZ286" s="54" t="e">
        <f ca="1">IF(Control!$C$114=1,  $CX286*($MX286-Control!$C$127), 0)</f>
        <v>#DIV/0!</v>
      </c>
      <c r="OA286" s="170" t="e">
        <f t="shared" ca="1" si="1035"/>
        <v>#DIV/0!</v>
      </c>
      <c r="OB286" s="170" t="e">
        <f ca="1">IF($NA286 &lt;=$NY286, MIN(Control!$C$72, $NY286-$NA286), 0)</f>
        <v>#DIV/0!</v>
      </c>
      <c r="OC286" s="168" t="e">
        <f t="shared" ca="1" si="1036"/>
        <v>#DIV/0!</v>
      </c>
      <c r="OD286" s="168" t="e">
        <f t="shared" ca="1" si="1125"/>
        <v>#DIV/0!</v>
      </c>
      <c r="OE286" s="170">
        <f ca="1">Control!$C$73*$I286</f>
        <v>0</v>
      </c>
      <c r="OF286" s="176" t="e">
        <f t="shared" ca="1" si="1037"/>
        <v>#DIV/0!</v>
      </c>
      <c r="OG286" s="168" t="e">
        <f t="shared" ca="1" si="1038"/>
        <v>#DIV/0!</v>
      </c>
      <c r="OH286" s="168" t="e">
        <f t="shared" ca="1" si="1039"/>
        <v>#DIV/0!</v>
      </c>
      <c r="OI286" s="168" t="e">
        <f t="shared" ca="1" si="1040"/>
        <v>#DIV/0!</v>
      </c>
      <c r="OJ286" s="168" t="e">
        <f t="shared" ca="1" si="1041"/>
        <v>#DIV/0!</v>
      </c>
      <c r="OK286" s="204" t="e">
        <f t="shared" ca="1" si="1042"/>
        <v>#DIV/0!</v>
      </c>
      <c r="OL286" s="177">
        <f>Control!$C$127</f>
        <v>0.15</v>
      </c>
      <c r="OM286" s="182" t="e">
        <f t="shared" ca="1" si="1043"/>
        <v>#N/A</v>
      </c>
      <c r="ON286" s="177">
        <f>Control!$C$128</f>
        <v>0.35</v>
      </c>
      <c r="OO286" s="182" t="e">
        <f t="shared" ca="1" si="1044"/>
        <v>#N/A</v>
      </c>
      <c r="OP286" s="138">
        <f t="shared" ca="1" si="1126"/>
        <v>0</v>
      </c>
      <c r="OQ286" s="138" t="e">
        <f t="shared" ca="1" si="1149"/>
        <v>#DIV/0!</v>
      </c>
      <c r="OR286" s="138" t="e">
        <f t="shared" ca="1" si="1127"/>
        <v>#DIV/0!</v>
      </c>
      <c r="OS286" s="137" t="e">
        <f t="shared" ca="1" si="1150"/>
        <v>#DIV/0!</v>
      </c>
      <c r="OT286" s="139" t="e">
        <f t="shared" ca="1" si="1151"/>
        <v>#DIV/0!</v>
      </c>
      <c r="OU286" s="138" t="e">
        <f t="shared" ca="1" si="1152"/>
        <v>#N/A</v>
      </c>
      <c r="OV286" s="138" t="e">
        <f t="shared" ca="1" si="1153"/>
        <v>#DIV/0!</v>
      </c>
      <c r="OW286" s="138" t="e">
        <f t="shared" ca="1" si="1128"/>
        <v>#DIV/0!</v>
      </c>
      <c r="OX286" s="138" t="e">
        <f t="shared" ca="1" si="1129"/>
        <v>#DIV/0!</v>
      </c>
      <c r="OY286" s="138" t="e">
        <f t="shared" ca="1" si="1130"/>
        <v>#DIV/0!</v>
      </c>
      <c r="OZ286" s="138" t="e">
        <f t="shared" ca="1" si="1045"/>
        <v>#DIV/0!</v>
      </c>
      <c r="PA286" s="138" t="e">
        <f t="shared" ca="1" si="1046"/>
        <v>#DIV/0!</v>
      </c>
      <c r="PB286" s="55">
        <f>IF(Control!$C$61="T", IF(Control!$C$65="F", IF($AH$6-Control!$C$60&lt;0,0,1), IF(365+$AH$6-Control!$C$60&lt;0,0,1)),0)</f>
        <v>0</v>
      </c>
      <c r="PC286" s="55">
        <f ca="1">IF(Control!$C$65="F", IF($AH$6-$HF286&lt;0,0,1), IF(365+$AH$6-$HF286&lt;0,0,1))</f>
        <v>1</v>
      </c>
      <c r="PD286" s="444">
        <f>Control!$C$118</f>
        <v>1500</v>
      </c>
      <c r="PE286" s="180" t="e">
        <f t="shared" ca="1" si="1047"/>
        <v>#N/A</v>
      </c>
      <c r="PF286" s="445">
        <f t="shared" ca="1" si="1131"/>
        <v>0.71612369323045078</v>
      </c>
      <c r="PT286" s="186"/>
      <c r="PU286" s="186"/>
      <c r="PV286" s="94"/>
      <c r="PW286" s="94"/>
      <c r="PX286" s="94"/>
      <c r="PY286" s="94"/>
      <c r="PZ286" s="94"/>
      <c r="QA286" s="94"/>
      <c r="QB286" s="94"/>
      <c r="QC286" s="94"/>
      <c r="QD286" s="94"/>
      <c r="QE286" s="94"/>
      <c r="QF286" s="94"/>
      <c r="QG286" s="94"/>
      <c r="QH286" s="94"/>
      <c r="QI286" s="94"/>
      <c r="QJ286" s="94"/>
      <c r="QK286" s="94"/>
      <c r="QL286" s="94"/>
      <c r="QM286" s="94"/>
      <c r="QN286" s="94"/>
      <c r="QO286" s="94"/>
      <c r="QP286" s="94"/>
    </row>
    <row r="287" spans="1:458" s="2" customFormat="1" x14ac:dyDescent="0.2">
      <c r="A287" s="395">
        <v>9</v>
      </c>
      <c r="B287" s="396">
        <v>10</v>
      </c>
      <c r="C287" s="387">
        <f ca="1">Weather_data!$B286</f>
        <v>0</v>
      </c>
      <c r="D287" s="388">
        <f ca="1">Weather_data!$F286</f>
        <v>0</v>
      </c>
      <c r="E287" s="388">
        <f ca="1">Weather_data!$E286</f>
        <v>0</v>
      </c>
      <c r="F287" s="388">
        <f t="shared" ca="1" si="1048"/>
        <v>0</v>
      </c>
      <c r="G287" s="388">
        <f ca="1">AVERAGE($D287:$E287)+Control!$B$9</f>
        <v>0</v>
      </c>
      <c r="H287" s="388">
        <f ca="1">Weather_data!$G286</f>
        <v>0</v>
      </c>
      <c r="I287" s="388">
        <f ca="1">Weather_data!$I286</f>
        <v>0</v>
      </c>
      <c r="J287" s="388">
        <f ca="1">Weather_data!$H286</f>
        <v>0</v>
      </c>
      <c r="K287" s="389">
        <f ca="1">Weather_data!$D286</f>
        <v>0</v>
      </c>
      <c r="L287" s="388" t="e">
        <f t="shared" ca="1" si="1049"/>
        <v>#N/A</v>
      </c>
      <c r="M287" s="388" t="e">
        <f t="shared" ca="1" si="927"/>
        <v>#N/A</v>
      </c>
      <c r="N287" s="388">
        <f t="shared" ca="1" si="928"/>
        <v>-6.9360969800329494E-14</v>
      </c>
      <c r="O287" s="388">
        <f t="shared" ca="1" si="1050"/>
        <v>6.9360969800329499E-13</v>
      </c>
      <c r="P287" s="390">
        <v>3</v>
      </c>
      <c r="Q287" s="388">
        <f ca="1">MAX($G287-Control!$C$107,0)</f>
        <v>0</v>
      </c>
      <c r="R287" s="388">
        <f t="shared" ca="1" si="1051"/>
        <v>0</v>
      </c>
      <c r="S287" s="388">
        <f t="shared" ca="1" si="929"/>
        <v>0</v>
      </c>
      <c r="T287" s="388">
        <f t="shared" ca="1" si="930"/>
        <v>0</v>
      </c>
      <c r="U287" s="59">
        <f t="shared" ca="1" si="931"/>
        <v>0</v>
      </c>
      <c r="V287" s="391">
        <f ca="1">MAX(0,MIN(Control!$C$100-Control!$C$99,$G287-Control!$C$99)*Control!$C$63)</f>
        <v>0</v>
      </c>
      <c r="W287" s="388">
        <f t="shared" ca="1" si="1052"/>
        <v>0</v>
      </c>
      <c r="X287" s="388">
        <f t="shared" ca="1" si="1053"/>
        <v>0.6110000000000001</v>
      </c>
      <c r="Y287" s="388">
        <f t="shared" ca="1" si="932"/>
        <v>0</v>
      </c>
      <c r="Z287" s="388">
        <f t="shared" ca="1" si="1054"/>
        <v>0.61058800000000002</v>
      </c>
      <c r="AA287" s="388">
        <f t="shared" ca="1" si="933"/>
        <v>0.6018</v>
      </c>
      <c r="AB287" s="388">
        <f ca="1">101.3*EXP(-0.034*Control!$C$66/($G287+273))</f>
        <v>100.69623283836242</v>
      </c>
      <c r="AC287" s="392">
        <f t="shared" ca="1" si="934"/>
        <v>4.3460251046025113E-2</v>
      </c>
      <c r="AD287" s="392">
        <f t="shared" ca="1" si="935"/>
        <v>4.4450382862832649E-2</v>
      </c>
      <c r="AE287" s="388">
        <f t="shared" ca="1" si="936"/>
        <v>0</v>
      </c>
      <c r="AF287" s="388">
        <f ca="1">MAX(0,$G287-Control!$C$92)</f>
        <v>0</v>
      </c>
      <c r="AG287" s="393">
        <f t="shared" ca="1" si="937"/>
        <v>283</v>
      </c>
      <c r="AH287" s="389">
        <f t="shared" ca="1" si="938"/>
        <v>283</v>
      </c>
      <c r="AI287" s="388">
        <f t="shared" ca="1" si="1055"/>
        <v>-0.1298386588912725</v>
      </c>
      <c r="AJ287" s="388">
        <f ca="1">IF(Control!$C$60&lt;=0,$HH287,$HI287)</f>
        <v>1</v>
      </c>
      <c r="AK287" s="388">
        <f t="shared" ca="1" si="939"/>
        <v>3.4944838831711125</v>
      </c>
      <c r="AL287" s="388">
        <f t="shared" ca="1" si="940"/>
        <v>5.2293152447147046E-18</v>
      </c>
      <c r="AM287" s="388">
        <f t="shared" ca="1" si="941"/>
        <v>3.4944838831711125</v>
      </c>
      <c r="AN287" s="388">
        <f t="shared" ca="1" si="942"/>
        <v>-0.13792142652902781</v>
      </c>
      <c r="AO287" s="388">
        <f ca="1">-0.10453/COS(Control!$B$8*PI()/180)*COS(AN287)</f>
        <v>-0.16817257145831802</v>
      </c>
      <c r="AP287" s="388">
        <f ca="1">ACOS(AO287-TAN(Control!$B$8*PI()/180)*TAN(AN287))</f>
        <v>1.5613094516244894</v>
      </c>
      <c r="AQ287" s="388">
        <f t="shared" ca="1" si="1056"/>
        <v>0</v>
      </c>
      <c r="AR287" s="394">
        <f t="shared" ca="1" si="943"/>
        <v>0</v>
      </c>
      <c r="AS287" s="436">
        <f ca="1">IF(Control!$B$18=2,(IF(OR($AH287=Control!$B$175,$AH287=Control!$B$176,$AH287=Control!$B$177,$AH287=Control!$B$178,$AH287=Control!$B$179,$AH287=Control!$B$180,$AH287=Control!$B$181,$AH287=Control!$B$182,$AH287=Control!$B$183,$AH287=Control!$B$184,$AH287=Control!$B$185),1,0)),0)</f>
        <v>0</v>
      </c>
      <c r="AT287" s="436">
        <f>IF(Control!$B$20=8,IF(AND($AH287&gt;=Control!$B$172,$AH287&lt;=Control!$B$173),1,0),0)</f>
        <v>0</v>
      </c>
      <c r="AU287" s="436">
        <f>IF(Control!$B$20=8,IF($AV286=1,1*$AT287,IF($AT287=1,$AU286+1,$AU286)),0)</f>
        <v>0</v>
      </c>
      <c r="AV287" s="436">
        <f>IF(Control!$B$20=8,IF($AU287&gt;=Control!$B$174,1,0),0)</f>
        <v>0</v>
      </c>
      <c r="AW287" s="436">
        <f ca="1">IF(AND(Control!$B$18=2,Control!$B$171=1), $AV287, $AS287)</f>
        <v>0</v>
      </c>
      <c r="AX287" s="436" t="e">
        <f ca="1">IF(AND(Control!$B$18=1,$EU287&gt;=Control!$B$19),-$AY287,IF(AND(Control!$B$18=2,$AW287=1,$EU287&gt;$DS287),-$AY287, IF(Control!$C$108=0,0, IF(Control!$C$108&lt;&gt;0,1))))</f>
        <v>#N/A</v>
      </c>
      <c r="AY287" s="436" t="e">
        <f t="shared" ca="1" si="1057"/>
        <v>#N/A</v>
      </c>
      <c r="AZ287" s="436" t="e">
        <f ca="1">IF(AND(Control!$B$18=1,$EB287&gt;Control!$B$19),$AZ286+1, IF(AND(Control!$B$18=2, $AW287=1, $EB287&gt;$DS287), $AZ286+1,$AZ286))</f>
        <v>#N/A</v>
      </c>
      <c r="BA287" s="587">
        <f>IF(Control!$C$81=0,1,IF($AH287&gt;=Control!$C$82,1,0))</f>
        <v>1</v>
      </c>
      <c r="BB287" s="140" t="e">
        <f ca="1">IF($BA287&gt;$BA286,Control!$C$83,IF($AW287&gt;0,$AW287*Control!$C$84,IF(AND(Control!$B$18=1,EN286&lt;&gt;0),Control!$C$84,0)))</f>
        <v>#N/A</v>
      </c>
      <c r="BC287" s="140" t="e">
        <f t="shared" ca="1" si="1058"/>
        <v>#N/A</v>
      </c>
      <c r="BD287" s="140" t="e">
        <f ca="1">BC287*IF(OR($G287&lt;Control!$C$92,$G287&gt;Control!$C$95),0,IF(AND($G287&gt;=Control!$C$92,$G287&lt;=Control!$C$93),$G287-Control!$C$92,IF(AND($G287&gt;Control!$C$93,$G287&lt;=Control!$C$94),Control!$C$93-Control!$C$92,IF(AND($G287&gt;Control!$C$94,$G287&lt;=Control!$C$95),(Control!$C$93-Control!$C$92)*(Control!$C$94-$G287)/(Control!$C$95-Control!$C$94)))))</f>
        <v>#N/A</v>
      </c>
      <c r="BE287" s="140" t="e">
        <f t="shared" ca="1" si="1059"/>
        <v>#N/A</v>
      </c>
      <c r="BF287" s="140" t="e">
        <f ca="1">IF($BE287&lt;=Control!$C$86,$BE287,Control!$C$86-$BE287)</f>
        <v>#N/A</v>
      </c>
      <c r="BG287" s="140" t="e">
        <f ca="1">IF(AND($AW287=1,Control!$C$84&lt;9),1,IF($BE287&gt;=Control!$C$86,0,$BC287))</f>
        <v>#N/A</v>
      </c>
      <c r="BH287" s="404" t="e">
        <f ca="1">IF($BG287=0,0,IF($BE287&lt;=Control!$C$86,$BC287*9*($BF287/Control!$C$86),0))</f>
        <v>#N/A</v>
      </c>
      <c r="BI287" s="140" t="e">
        <f ca="1">IF($BG287=1,0,IF($BE287&gt;=Control!$C$86,1,IF(AND($BB287&lt;21,$BB287&gt;=9),1,$BM286)))</f>
        <v>#N/A</v>
      </c>
      <c r="BJ287" s="140" t="e">
        <f ca="1">IF($BF287&lt;0,-$BF287,$BI287*IF(OR($G287&lt;Control!$C$92,$G287&gt;Control!$C$95),0,IF(AND($G287&gt;=Control!$C$92,$G287&lt;=Control!$C$93),$G287-Control!$C$92,IF(AND($G287&gt;Control!$C$93,$G287&lt;=Control!$C$94),Control!$C$93-Control!$C$92,IF(AND($G287&gt;Control!$C$94,$G287&lt;=Control!$C$95),(Control!$C$93-Control!$C$92)*(Control!$C$94-$G287)/(Control!$C$95-Control!$C$94))))))</f>
        <v>#N/A</v>
      </c>
      <c r="BK287" s="140" t="e">
        <f t="shared" ca="1" si="1060"/>
        <v>#N/A</v>
      </c>
      <c r="BL287" s="140" t="e">
        <f ca="1">IF($BK287&lt;=Control!$C$87,$BK287,Control!$C$87-$BK287)</f>
        <v>#N/A</v>
      </c>
      <c r="BM287" s="140" t="e">
        <f ca="1">IF(AND($BB287&gt;=9,$BB287&lt;21),1,IF($BK287&gt;=Control!$C$87,0,$BI287))</f>
        <v>#N/A</v>
      </c>
      <c r="BN287" s="404" t="e">
        <f ca="1">IF($BM287=0,0,IF($BK287&lt;=Control!$C$87,$BI287*(9+(21-9)*($BL287/Control!$C$87)),0))</f>
        <v>#N/A</v>
      </c>
      <c r="BO287" s="140" t="e">
        <f ca="1">IF($BM287=1,0,IF($BK287&gt;=Control!$C$87,1,IF(AND($BB287&lt;30,$BB287&gt;=21),1,$BS286)))</f>
        <v>#N/A</v>
      </c>
      <c r="BP287" s="140" t="e">
        <f ca="1">IF($BL287&lt;0,-$BL287,$BO287*IF(OR($G287&lt;Control!$C$92,$G287&gt;Control!$C$95),0,IF(AND($G287&gt;=Control!$C$92,$G287&lt;=Control!$C$93),$G287-Control!$C$92,IF(AND($G287&gt;Control!$C$93,$G287&lt;=Control!$C$94),Control!$C$93-Control!$C$92,IF(AND($G287&gt;Control!$C$94,$G287&lt;=Control!$C$95),(Control!$C$93-Control!$C$92)*(Control!$C$94-$G287)/(Control!$C$95-Control!$C$94))))))</f>
        <v>#N/A</v>
      </c>
      <c r="BQ287" s="140" t="e">
        <f t="shared" ca="1" si="944"/>
        <v>#N/A</v>
      </c>
      <c r="BR287" s="140" t="e">
        <f ca="1">IF($BQ287&lt;=Control!$C$88,$BQ287,Control!$C$88-$BQ287)</f>
        <v>#N/A</v>
      </c>
      <c r="BS287" s="140" t="e">
        <f ca="1">IF(AND($BB287&gt;=21,$BB287&lt;30),1,IF($BQ287&gt;=Control!$C$88,0,$BO287))</f>
        <v>#N/A</v>
      </c>
      <c r="BT287" s="404" t="e">
        <f ca="1">IF($BS287=0,0,IF($BQ287&lt;=Control!$C$88,$BO287*(21+(30-21)*(BR287/Control!$C$88)),0))</f>
        <v>#N/A</v>
      </c>
      <c r="BU287" s="140" t="e">
        <f ca="1">IF(BG287+BM287+BS287=1,0,IF(OR(AND($BB287&lt;60,$BB287&gt;=30),$BQ287&gt;=Control!$C$88),1*$BA287,$BY286))</f>
        <v>#N/A</v>
      </c>
      <c r="BV287" s="140" t="e">
        <f ca="1">IF($BR287&lt;0,-$BR287,$BU287*IF(OR($G287&lt;Control!$C$92,$G287&gt;Control!$C$95),0,IF(AND($G287&gt;=Control!$C$92,$G287&lt;=Control!$C$93),$G287-Control!$C$92,IF(AND($G287&gt;Control!$C$93,$G287&lt;=Control!$C$94),Control!$C$93-Control!$C$92,IF(AND($G287&gt;Control!$C$94,$G287&lt;=Control!$C$95),(Control!$C$93-Control!$C$92)*(Control!$C$94-$G287)/(Control!$C$95-Control!$C$94))))))</f>
        <v>#N/A</v>
      </c>
      <c r="BW287" s="140" t="e">
        <f t="shared" ca="1" si="945"/>
        <v>#N/A</v>
      </c>
      <c r="BX287" s="140" t="e">
        <f ca="1">IF($BW287&lt;=Control!$C$89,$BW287,Control!$C$89-$BW287)</f>
        <v>#N/A</v>
      </c>
      <c r="BY287" s="140" t="e">
        <f ca="1">IF(AND($AJ287&gt;=30,$AJ287&lt;60),1,IF($BW287&gt;=Control!$C$89,0,$BU287))</f>
        <v>#N/A</v>
      </c>
      <c r="BZ287" s="404" t="e">
        <f ca="1">IF($BY287=0,0,IF($BW287&lt;=Control!$C$89,$BU287*(30+(60-30)*(BX287/Control!$C$89)),0))</f>
        <v>#N/A</v>
      </c>
      <c r="CA287" s="140" t="e">
        <f ca="1">IF($BG287+$BM287+$BS287+$BY287=1,0,IF(OR(AND($BB287&lt;65,$BB287&gt;=60),$BW287&gt;=Control!$C$89),1*$BA287,$CE286))</f>
        <v>#N/A</v>
      </c>
      <c r="CB287" s="140" t="e">
        <f ca="1">IF($BX287&lt;0,-$BX287,$CA287*IF(OR($G287&lt;Control!$C$92,$G287&gt;Control!$C$95),0,IF(AND($G287&gt;=Control!$C$92,$G287&lt;=Control!$C$93),$G287-Control!$C$92,IF(AND($G287&gt;Control!$C$93,$G287&lt;=Control!$C$94),Control!$C$93-Control!$C$92,IF(AND($G287&gt;Control!$C$94,$G287&lt;=Control!$C$95),(Control!$C$93-Control!$C$92)*(Control!$C$94-$G287)/(Control!$C$95-Control!$C$94))))))</f>
        <v>#N/A</v>
      </c>
      <c r="CC287" s="140" t="e">
        <f t="shared" ca="1" si="1061"/>
        <v>#N/A</v>
      </c>
      <c r="CD287" s="140" t="e">
        <f ca="1">IF($CC287&lt;=Control!$C$90,$CC287,Control!$C$90-$CC287)</f>
        <v>#N/A</v>
      </c>
      <c r="CE287" s="140" t="e">
        <f ca="1">IF(AND($BB287&gt;=60,$BB287&lt;65),1,IF($CC287&gt;=Control!$C$90,0,$CA287))</f>
        <v>#N/A</v>
      </c>
      <c r="CF287" s="404" t="e">
        <f ca="1">IF($CE287=0,0,IF($CC287&lt;=Control!$C$90,$CA287*(60+(65-60)*(CD287/Control!$C$90)),0))</f>
        <v>#N/A</v>
      </c>
      <c r="CG287" s="140" t="e">
        <f ca="1">IF($BG287+$BM287+$BS287+$BY287+$CE287=1,0,IF(OR(AND($BB287&lt;90,$BB287&gt;=65),$CC287&gt;=Control!$C$90),$BA287,$CK286))</f>
        <v>#N/A</v>
      </c>
      <c r="CH287" s="140" t="e">
        <f ca="1">IF($CD287&lt;0,-$CD287,$CG287*IF(OR($G287&lt;Control!$C$92,$G287&gt;Control!$C$95),0,IF(AND($G287&gt;=Control!$C$92,$G287&lt;=Control!$C$93),$G287-Control!$C$92,IF(AND($G287&gt;Control!$C$93,$G287&lt;=Control!$C$94),Control!$C$93-Control!$C$92,IF(AND($G287&gt;Control!$C$94,$G287&lt;=Control!$C$95),(Control!$C$93-Control!$C$92)*(Control!$C$94-$G287)/(Control!$C$95-Control!$C$94))))))</f>
        <v>#N/A</v>
      </c>
      <c r="CI287" s="140" t="e">
        <f t="shared" ca="1" si="1062"/>
        <v>#N/A</v>
      </c>
      <c r="CJ287" s="140" t="e">
        <f ca="1">IF($CI287&lt;=Control!$C$91,$CI287,Control!$C$91-$CI287)</f>
        <v>#N/A</v>
      </c>
      <c r="CK287" s="140" t="e">
        <f ca="1">IF(AND($BB287&gt;=65,$BB287&lt;90),1,IF($CI287&gt;=Control!$C$91,0,$CG287))</f>
        <v>#N/A</v>
      </c>
      <c r="CL287" s="404" t="e">
        <f ca="1">IF($CK287=0,0,IF($CI287&lt;=Control!$C$91,$CG287*(65+(90-65)*($CJ287/Control!$C$91)),0))</f>
        <v>#N/A</v>
      </c>
      <c r="CM287" s="140" t="e">
        <f ca="1">IF($BG287+$BM287+$BS287+$BY287+$CE287+$CK287=1,0,IF(OR($BB287&gt;=90,$CI287&gt;=Control!$C$91),$BA287,$CM286))</f>
        <v>#N/A</v>
      </c>
      <c r="CN287" s="140" t="e">
        <f t="shared" ca="1" si="1063"/>
        <v>#N/A</v>
      </c>
      <c r="CO287" s="140" t="e">
        <f t="shared" ca="1" si="1064"/>
        <v>#N/A</v>
      </c>
      <c r="CP287" s="140" t="e">
        <f t="shared" ca="1" si="1065"/>
        <v>#N/A</v>
      </c>
      <c r="CQ287" s="141" t="e">
        <f ca="1">VLOOKUP($CP287,Control!$B$86:$G$91,6)</f>
        <v>#N/A</v>
      </c>
      <c r="CR287" s="141" t="e">
        <f ca="1">(1-$CQ287)*VLOOKUP($CP287,Control!$B$86:$D$91,3)</f>
        <v>#N/A</v>
      </c>
      <c r="CS287" s="141" t="e">
        <f ca="1">(1-$CQ287)*VLOOKUP($CP287,Control!$B$86:$E$91,4)</f>
        <v>#N/A</v>
      </c>
      <c r="CT287" s="141" t="e">
        <f ca="1">(1-$CQ287)*VLOOKUP($CP287,Control!$B$86:$F$91,5)</f>
        <v>#N/A</v>
      </c>
      <c r="CU287" s="141">
        <f t="shared" ca="1" si="1066"/>
        <v>0</v>
      </c>
      <c r="CV287" s="583">
        <f t="shared" ca="1" si="1067"/>
        <v>0</v>
      </c>
      <c r="CW287" s="142">
        <f t="shared" ca="1" si="1068"/>
        <v>283</v>
      </c>
      <c r="CX287" s="612" t="e">
        <f ca="1">IF(Control!$C$114=1,(MIN(Control!$C$120*(IF($NT287-0.01&lt;0,0,1)),Control!$C$119-$CY287)))</f>
        <v>#DIV/0!</v>
      </c>
      <c r="CY287" s="143" t="e">
        <f t="shared" ca="1" si="1069"/>
        <v>#N/A</v>
      </c>
      <c r="CZ287" s="144">
        <f t="shared" ca="1" si="946"/>
        <v>0</v>
      </c>
      <c r="DA287" s="144">
        <f t="shared" ca="1" si="947"/>
        <v>0</v>
      </c>
      <c r="DB287" s="144" t="e">
        <f t="shared" ca="1" si="948"/>
        <v>#N/A</v>
      </c>
      <c r="DC287" s="144" t="e">
        <f t="shared" ca="1" si="949"/>
        <v>#N/A</v>
      </c>
      <c r="DD287" s="144" t="e">
        <f t="shared" ca="1" si="1154"/>
        <v>#N/A</v>
      </c>
      <c r="DE287" s="143" t="e">
        <f t="shared" ca="1" si="1070"/>
        <v>#N/A</v>
      </c>
      <c r="DF287" s="145" t="e">
        <f ca="1">$DR287*EXP(-Control!$C$158*(1-$KH287))</f>
        <v>#N/A</v>
      </c>
      <c r="DG287" s="146" t="e">
        <f ca="1">IF(Control!$C$114=1, $DF287*$EY287, 0)</f>
        <v>#N/A</v>
      </c>
      <c r="DH287" s="147" t="e">
        <f t="shared" ca="1" si="1071"/>
        <v>#N/A</v>
      </c>
      <c r="DI287" s="144" t="e">
        <f t="shared" ca="1" si="1132"/>
        <v>#N/A</v>
      </c>
      <c r="DJ287" s="147" t="e">
        <f ca="1">$EF287*Control!$C$109</f>
        <v>#N/A</v>
      </c>
      <c r="DK287" s="144" t="e">
        <f t="shared" ca="1" si="1072"/>
        <v>#N/A</v>
      </c>
      <c r="DL287" s="144" t="e">
        <f t="shared" ca="1" si="950"/>
        <v>#N/A</v>
      </c>
      <c r="DM287" s="144" t="e">
        <f ca="1">IF(Control!$C$114=1, (1-EXP(-Control!$C$96*$DK287))*$AR287, 0)</f>
        <v>#N/A</v>
      </c>
      <c r="DN287" s="144">
        <f t="shared" ca="1" si="1073"/>
        <v>0</v>
      </c>
      <c r="DO287" s="148">
        <f>Control!$C$97</f>
        <v>4</v>
      </c>
      <c r="DP287" s="145" t="e">
        <f t="shared" ca="1" si="1074"/>
        <v>#N/A</v>
      </c>
      <c r="DQ287" s="145" t="e">
        <f ca="1">IF(AND($CP287&gt;=0,$CP287&lt;=90),Control!$C$111,Control!$C$111)</f>
        <v>#N/A</v>
      </c>
      <c r="DR287" s="145" t="e">
        <f t="shared" ca="1" si="951"/>
        <v>#N/A</v>
      </c>
      <c r="DS287" s="143" t="e">
        <f ca="1">Control!$B$22/$DR287</f>
        <v>#N/A</v>
      </c>
      <c r="DT287" s="149" t="e">
        <f ca="1">IF(AND(Control!$C$114=1,$KH287&lt;1),$IM287*$DF287, 0)</f>
        <v>#N/A</v>
      </c>
      <c r="DU287" s="144" t="e">
        <f t="shared" ca="1" si="1075"/>
        <v>#N/A</v>
      </c>
      <c r="DV287" s="144">
        <f ca="1">IF($G287-Control!$C$107&lt;=0, 0, 0.83*LN(MAX($G287, 3))-0.8924)</f>
        <v>0</v>
      </c>
      <c r="DW287" s="144" t="e">
        <f t="shared" ca="1" si="952"/>
        <v>#N/A</v>
      </c>
      <c r="DX287" s="150" t="e">
        <f ca="1">MAX(0.01*(1+$CU287/Control!$C$102),0.05*($DK287-Control!$C$97)/Control!$C$97)</f>
        <v>#N/A</v>
      </c>
      <c r="DY287" s="151" t="e">
        <f ca="1">IF(Control!$C$114=1, $DI287*$FS287, 0)</f>
        <v>#N/A</v>
      </c>
      <c r="DZ287" s="196" t="e">
        <f t="shared" ca="1" si="1076"/>
        <v>#N/A</v>
      </c>
      <c r="EA287" s="152">
        <f t="shared" ca="1" si="1077"/>
        <v>283</v>
      </c>
      <c r="EB287" s="153" t="e">
        <f t="shared" ca="1" si="1078"/>
        <v>#N/A</v>
      </c>
      <c r="EC287" s="153" t="e">
        <f t="shared" ca="1" si="1079"/>
        <v>#N/A</v>
      </c>
      <c r="ED287" s="154" t="e">
        <f ca="1">IF(Control!$C$114=1, $HM287*$FY287-$FD287, 0)</f>
        <v>#DIV/0!</v>
      </c>
      <c r="EE287" s="155" t="e">
        <f ca="1">IF(Control!$C$114=1, $HM287*$FZ287-$FF287, 0)</f>
        <v>#DIV/0!</v>
      </c>
      <c r="EF287" s="153" t="e">
        <f t="shared" ca="1" si="1133"/>
        <v>#N/A</v>
      </c>
      <c r="EG287" s="155" t="e">
        <f ca="1">IF(Control!$C$114=1, $GX287*$FW287-$FI287, 0)</f>
        <v>#DIV/0!</v>
      </c>
      <c r="EH287" s="153" t="e">
        <f t="shared" ca="1" si="1080"/>
        <v>#N/A</v>
      </c>
      <c r="EI287" s="156" t="e">
        <f t="shared" ca="1" si="1081"/>
        <v>#N/A</v>
      </c>
      <c r="EJ287" s="155" t="e">
        <f ca="1">IF(Control!$C$114=1, $HM287*$GB287, 0)</f>
        <v>#DIV/0!</v>
      </c>
      <c r="EK287" s="153" t="e">
        <f t="shared" ca="1" si="1134"/>
        <v>#N/A</v>
      </c>
      <c r="EL287" s="153" t="e">
        <f t="shared" ca="1" si="953"/>
        <v>#N/A</v>
      </c>
      <c r="EM287" s="153" t="e">
        <f t="shared" ca="1" si="954"/>
        <v>#N/A</v>
      </c>
      <c r="EN287" s="153" t="e">
        <f ca="1">IF(Control!$C$108=1,IF(AND(Control!$B$18=1,$EB287&gt;=Control!$B$19),$EB287-$DS287,IF(AND(Control!$B$18=2,$AW287=1,$EB287&gt;$DS287),$EB287-$DS287,0)))</f>
        <v>#N/A</v>
      </c>
      <c r="EO287" s="153" t="e">
        <f ca="1">IF(Control!$C$108=1,IF(AND(Control!$B$18=1,$EB287&gt;=Control!$B$19),$EF287,IF(AND(Control!$B$18=2,$AW287=1),$EF287,0)))</f>
        <v>#N/A</v>
      </c>
      <c r="EP287" s="153" t="e">
        <f ca="1">IF(Control!$C$108=1,IF(AND(Control!$B$18=1,$EB287&gt;=Control!$B$19),$EK287,IF(AND(Control!$B$18=2,$AW287=1),$EK287,0)))</f>
        <v>#N/A</v>
      </c>
      <c r="EQ287" s="153" t="e">
        <f t="shared" ca="1" si="1082"/>
        <v>#N/A</v>
      </c>
      <c r="ER287" s="153" t="e">
        <f t="shared" ca="1" si="1083"/>
        <v>#N/A</v>
      </c>
      <c r="ES287" s="153" t="e">
        <f t="shared" ca="1" si="1135"/>
        <v>#N/A</v>
      </c>
      <c r="ET287" s="153" t="e">
        <f t="shared" ca="1" si="1136"/>
        <v>#N/A</v>
      </c>
      <c r="EU287" s="153" t="e">
        <f t="shared" ca="1" si="1084"/>
        <v>#N/A</v>
      </c>
      <c r="EV287" s="153" t="e">
        <f t="shared" ca="1" si="955"/>
        <v>#N/A</v>
      </c>
      <c r="EW287" s="153" t="e">
        <f t="shared" ca="1" si="956"/>
        <v>#N/A</v>
      </c>
      <c r="EX287" s="153" t="e">
        <f t="shared" ca="1" si="957"/>
        <v>#N/A</v>
      </c>
      <c r="EY287" s="157" t="e">
        <f t="shared" ca="1" si="958"/>
        <v>#DIV/0!</v>
      </c>
      <c r="EZ287" s="154" t="e">
        <f t="shared" ca="1" si="959"/>
        <v>#DIV/0!</v>
      </c>
      <c r="FA287" s="153" t="e">
        <f t="shared" ca="1" si="1085"/>
        <v>#N/A</v>
      </c>
      <c r="FB287" s="153" t="e">
        <f t="shared" ca="1" si="960"/>
        <v>#N/A</v>
      </c>
      <c r="FC287" s="193" t="e">
        <f t="shared" ca="1" si="961"/>
        <v>#N/A</v>
      </c>
      <c r="FD287" s="158" t="e">
        <f t="shared" ca="1" si="1086"/>
        <v>#N/A</v>
      </c>
      <c r="FE287" s="158" t="e">
        <f t="shared" ca="1" si="1087"/>
        <v>#N/A</v>
      </c>
      <c r="FF287" s="159" t="e">
        <f t="shared" ca="1" si="962"/>
        <v>#N/A</v>
      </c>
      <c r="FG287" s="160" t="e">
        <f t="shared" ca="1" si="1088"/>
        <v>#N/A</v>
      </c>
      <c r="FH287" s="158" t="e">
        <f t="shared" ca="1" si="1089"/>
        <v>#N/A</v>
      </c>
      <c r="FI287" s="159" t="e">
        <f t="shared" ca="1" si="963"/>
        <v>#N/A</v>
      </c>
      <c r="FJ287" s="160" t="e">
        <f t="shared" ca="1" si="1090"/>
        <v>#N/A</v>
      </c>
      <c r="FK287" s="160" t="e">
        <f t="shared" ca="1" si="964"/>
        <v>#N/A</v>
      </c>
      <c r="FL287" s="160" t="e">
        <f t="shared" ca="1" si="1137"/>
        <v>#N/A</v>
      </c>
      <c r="FM287" s="160" t="e">
        <f t="shared" ca="1" si="965"/>
        <v>#N/A</v>
      </c>
      <c r="FN287" s="158">
        <f t="shared" ca="1" si="1091"/>
        <v>0.01</v>
      </c>
      <c r="FO287" s="160">
        <f>Control!$C$101</f>
        <v>50</v>
      </c>
      <c r="FP287" s="150" t="e">
        <f t="shared" ca="1" si="966"/>
        <v>#N/A</v>
      </c>
      <c r="FQ287" s="150" t="e">
        <f ca="1">MAX(0,(Control!$C$112*(($DK287-Control!$C$97)/Control!$C$97)))</f>
        <v>#N/A</v>
      </c>
      <c r="FR287" s="150" t="e">
        <f ca="1">(1-$NT287)*Control!$C$113</f>
        <v>#DIV/0!</v>
      </c>
      <c r="FS287" s="198" t="e">
        <f t="shared" ca="1" si="967"/>
        <v>#N/A</v>
      </c>
      <c r="FT287" s="161">
        <f t="shared" ca="1" si="1092"/>
        <v>283</v>
      </c>
      <c r="FU287" s="162" t="e">
        <f ca="1">IF(Control!$B$34=1,VLOOKUP($CP287,Control!$B$86:$G$91,6),Control!$B$35)</f>
        <v>#N/A</v>
      </c>
      <c r="FV287" s="162" t="e">
        <f t="shared" ca="1" si="968"/>
        <v>#DIV/0!</v>
      </c>
      <c r="FW287" s="162" t="e">
        <f ca="1">IF(Control!$B$31=1,$FU287*$FV287,  $FU287)</f>
        <v>#N/A</v>
      </c>
      <c r="FX287" s="162" t="e">
        <f ca="1">IF(Control!$B$34=1,VLOOKUP($CP287,Control!$B$86:$G$91,3),Control!$B$36)</f>
        <v>#N/A</v>
      </c>
      <c r="FY287" s="162" t="e">
        <f t="shared" ca="1" si="969"/>
        <v>#N/A</v>
      </c>
      <c r="FZ287" s="162" t="e">
        <f ca="1">IF(Control!$B$34=1,VLOOKUP($CP287,Control!$B$86:$G$91,4),Control!$B$37)</f>
        <v>#N/A</v>
      </c>
      <c r="GA287" s="162" t="e">
        <f t="shared" ca="1" si="970"/>
        <v>#N/A</v>
      </c>
      <c r="GB287" s="162" t="e">
        <f ca="1">IF(Control!$B$34=1,VLOOKUP($CP287,Control!$B$86:$G$91,5),Control!$B$38)</f>
        <v>#N/A</v>
      </c>
      <c r="GC287" s="162" t="e">
        <f t="shared" ca="1" si="1093"/>
        <v>#N/A</v>
      </c>
      <c r="GD287" s="162">
        <f t="shared" ca="1" si="971"/>
        <v>1</v>
      </c>
      <c r="GE287" s="162">
        <f t="shared" ca="1" si="972"/>
        <v>1</v>
      </c>
      <c r="GF287" s="162">
        <f ca="1">IF(AND(Control!$C$104=1, Control!$C$62="F"),$GE287,1)</f>
        <v>1</v>
      </c>
      <c r="GG287" s="162" t="e">
        <f ca="1">IF(Control!$B$16=40,0,IF(AND(Control!$B$16&gt;40,Control!$B$16&lt;=360),(Control!$B$16-40)*((1-0)/(360-40)),IF(AND(Control!$B$16&gt;360,Control!$B$16&lt;=720),(1+(Control!$B$16-360)*((1.25-1)/(720-360))),IF(AND(Control!$B$16&gt;720,Control!$B$16&lt;=1000),(1.25+(Control!$B$16-720)*((1.35-1.25)/(1000-720))),IF(AND(Control!$B$16&gt;1000,Control!$B$16&lt;=2000),(1.35+(Control!$B$16-1000)*0))))))</f>
        <v>#N/A</v>
      </c>
      <c r="GH287" s="162" t="e">
        <f t="shared" ca="1" si="973"/>
        <v>#N/A</v>
      </c>
      <c r="GI287" s="162">
        <f t="shared" ca="1" si="1094"/>
        <v>0</v>
      </c>
      <c r="GJ287" s="162">
        <f t="shared" ca="1" si="974"/>
        <v>0</v>
      </c>
      <c r="GK287" s="162">
        <f t="shared" ca="1" si="1095"/>
        <v>1</v>
      </c>
      <c r="GL287" s="162">
        <f t="shared" ca="1" si="975"/>
        <v>1</v>
      </c>
      <c r="GM287" s="162" t="e">
        <f ca="1">MAX(0,MIN(1,1-Control!$C$156*(1.0001-$KH287)^2))</f>
        <v>#N/A</v>
      </c>
      <c r="GN287" s="162" t="e">
        <f ca="1">IF(Control!$B$26=1,$KU287,$KX287)</f>
        <v>#N/A</v>
      </c>
      <c r="GO287" s="162" t="e">
        <f ca="1">IF($CP287&lt;=60,Control!$C$105,IF($CP287&gt;=90,Control!$C$106,Control!$C$105+($CP287-60)*((Control!$C$106-Control!$C$105)/(90-60))))</f>
        <v>#N/A</v>
      </c>
      <c r="GP287" s="162" t="e">
        <f t="shared" ca="1" si="976"/>
        <v>#N/A</v>
      </c>
      <c r="GQ287" s="162" t="e">
        <f t="shared" ca="1" si="1096"/>
        <v>#N/A</v>
      </c>
      <c r="GR287" s="163" t="e">
        <f t="shared" ca="1" si="977"/>
        <v>#DIV/0!</v>
      </c>
      <c r="GS287" s="162" t="e">
        <f t="shared" ca="1" si="978"/>
        <v>#DIV/0!</v>
      </c>
      <c r="GT287" s="164" t="e">
        <f t="shared" ca="1" si="1097"/>
        <v>#N/A</v>
      </c>
      <c r="GU287" s="162" t="e">
        <f t="shared" ca="1" si="1098"/>
        <v>#N/A</v>
      </c>
      <c r="GV287" s="162" t="e">
        <f t="shared" ca="1" si="979"/>
        <v>#N/A</v>
      </c>
      <c r="GW287" s="162" t="e">
        <f t="shared" ca="1" si="980"/>
        <v>#DIV/0!</v>
      </c>
      <c r="GX287" s="162" t="e">
        <f t="shared" ca="1" si="1099"/>
        <v>#DIV/0!</v>
      </c>
      <c r="GY287" s="162" t="e">
        <f t="shared" ca="1" si="1100"/>
        <v>#DIV/0!</v>
      </c>
      <c r="GZ287" s="165" t="e">
        <f t="shared" ca="1" si="981"/>
        <v>#N/A</v>
      </c>
      <c r="HA287" s="162" t="e">
        <f ca="1">IF(Control!$C$114=1, $DI287*$FS287, 0)</f>
        <v>#N/A</v>
      </c>
      <c r="HB287" s="162" t="e">
        <f ca="1">$FA287/Control!$C$64</f>
        <v>#N/A</v>
      </c>
      <c r="HC287" s="162" t="e">
        <f t="shared" ca="1" si="982"/>
        <v>#DIV/0!</v>
      </c>
      <c r="HD287" s="162">
        <f ca="1">-ASIN(SIN(23.45*Control!$C$139)*COS(2*Control!$C$138*($AH287+10)/365))</f>
        <v>-0.1298386588912725</v>
      </c>
      <c r="HE287" s="165">
        <f t="shared" ca="1" si="1101"/>
        <v>0</v>
      </c>
      <c r="HF287" s="166">
        <f ca="1">IF(AND(Control!$C$61="T",$HE287&gt;=Control!$C$103,Control!$C$114=0),$AH287,Control!$C$59)</f>
        <v>1</v>
      </c>
      <c r="HG287" s="166">
        <f ca="1">IF(AND(Control!$C$61="T",$HE287&gt;=Control!$C$103,Control!$C$114=0),$HF287,Control!$C$59)</f>
        <v>1</v>
      </c>
      <c r="HH287" s="165">
        <f ca="1">IF(AND(OR(Control!$C$60&lt;=0, $AH287= Control!$C$59, Control!$C$60 &gt;0, $AH287 = Control!$C$60)), Control!$C$59, IF(Control!$C$60&gt;0, 0))</f>
        <v>1</v>
      </c>
      <c r="HI287" s="165">
        <f ca="1">IF(AND(OR(Control!$C$60&lt;=0, $AH287= Control!$C$59, Control!$C$60 &gt;0, $AH287 = Control!$C$60)), Control!$C$60, IF(Control!$C$60&lt;=0, 0))</f>
        <v>0</v>
      </c>
      <c r="HJ287" s="166">
        <f ca="1">IF(AND(Control!$C$62="F",$CV287&gt;=Control!$C$102),$AH287,0)</f>
        <v>0</v>
      </c>
      <c r="HK287" s="165" t="e">
        <f t="shared" ca="1" si="1138"/>
        <v>#N/A</v>
      </c>
      <c r="HL287" s="166">
        <f ca="1">IF(AND(Control!$C$61="T",$HE287&gt;=Control!$C$103,Control!$C$114=0),$HF287,0)</f>
        <v>0</v>
      </c>
      <c r="HM287" s="201" t="e">
        <f t="shared" ca="1" si="983"/>
        <v>#DIV/0!</v>
      </c>
      <c r="HN287" s="215">
        <f t="shared" ca="1" si="1102"/>
        <v>283</v>
      </c>
      <c r="HO287" s="216" t="e">
        <f ca="1">IF(AND($CP287&gt;=0, $CP287&lt;=90), Control!$C$152, Control!$C$152)</f>
        <v>#N/A</v>
      </c>
      <c r="HP287" s="216" t="e">
        <f t="shared" ca="1" si="984"/>
        <v>#N/A</v>
      </c>
      <c r="HQ287" s="217" t="e">
        <f ca="1">IF(OR(Control!$B$26=1,Control!$B$26=2),$KV287,$KS287)</f>
        <v>#DIV/0!</v>
      </c>
      <c r="HR287" s="218" t="e">
        <f t="shared" ca="1" si="1139"/>
        <v>#DIV/0!</v>
      </c>
      <c r="HS287" s="216" t="e">
        <f ca="1">Control!$C$154*$HP287</f>
        <v>#N/A</v>
      </c>
      <c r="HT287" s="216" t="e">
        <f ca="1">Control!$C$155*$HP287</f>
        <v>#N/A</v>
      </c>
      <c r="HU287" s="217" t="e">
        <f ca="1">Control!$C$161*$FI287</f>
        <v>#N/A</v>
      </c>
      <c r="HV287" s="218" t="e">
        <f t="shared" ca="1" si="1103"/>
        <v>#N/A</v>
      </c>
      <c r="HW287" s="218" t="e">
        <f ca="1">Control!$C$160*$FF287+$IP287*$EO287</f>
        <v>#N/A</v>
      </c>
      <c r="HX287" s="218" t="e">
        <f t="shared" ca="1" si="1140"/>
        <v>#N/A</v>
      </c>
      <c r="HY287" s="219" t="e">
        <f ca="1">IF(Control!$C$114=1, $EB287*$FS287, 0)</f>
        <v>#N/A</v>
      </c>
      <c r="HZ287" s="91" t="e">
        <f t="shared" ca="1" si="985"/>
        <v>#N/A</v>
      </c>
      <c r="IA287" s="220" t="e">
        <f ca="1">Control!$C$153*$HO287</f>
        <v>#N/A</v>
      </c>
      <c r="IB287" s="218" t="e">
        <f t="shared" ca="1" si="986"/>
        <v>#N/A</v>
      </c>
      <c r="IC287" s="220" t="e">
        <f ca="1">Control!$C$153*$HT287</f>
        <v>#N/A</v>
      </c>
      <c r="ID287" s="218" t="e">
        <f t="shared" ca="1" si="987"/>
        <v>#N/A</v>
      </c>
      <c r="IE287" s="221" t="e">
        <f ca="1">($EB287*Control!$C$159+$EF287*Control!$C$160)/(IF($GZ287&lt;&gt;0,$GZ287,1))</f>
        <v>#N/A</v>
      </c>
      <c r="IF287" s="216" t="e">
        <f t="shared" ca="1" si="988"/>
        <v>#N/A</v>
      </c>
      <c r="IG287" s="91">
        <f ca="1">IF(OR(Control!$B$198=$AH287,Control!$B$199=$AH287, Control!$B$200=$AH287, Control!$B$201=$AH287, Control!$B$202=$AH287, Control!$B$203=$AH287, Control!$B$204=$AH287, Control!$B$205=$AH287, Control!$B$206=$AH287, Control!$B$207=$AH287), 1, 0)</f>
        <v>0</v>
      </c>
      <c r="IH287" s="91">
        <f ca="1">IF($IG287=0,0, VLOOKUP($AH287,Control!$B$198:$C$207,2))</f>
        <v>0</v>
      </c>
      <c r="II287" s="222">
        <f t="shared" ca="1" si="1104"/>
        <v>0</v>
      </c>
      <c r="IJ287" s="91">
        <f>Control!$C$121</f>
        <v>0.7</v>
      </c>
      <c r="IK287" s="218">
        <f t="shared" ca="1" si="989"/>
        <v>0</v>
      </c>
      <c r="IL287" s="217" t="e">
        <f t="shared" ca="1" si="1141"/>
        <v>#N/A</v>
      </c>
      <c r="IM287" s="223" t="e">
        <f ca="1">IF(AND(Control!$C$114=1,$KH287&lt;1),$EB287*Control!$C$148*(1-$KH287), 0)</f>
        <v>#N/A</v>
      </c>
      <c r="IN287" s="217" t="e">
        <f t="shared" ca="1" si="990"/>
        <v>#DIV/0!</v>
      </c>
      <c r="IO287" s="91" t="e">
        <f ca="1">MAX(0,$IL287-$EF287*Control!$C$160)</f>
        <v>#N/A</v>
      </c>
      <c r="IP287" s="220" t="e">
        <f t="shared" ca="1" si="991"/>
        <v>#N/A</v>
      </c>
      <c r="IQ287" s="217" t="e">
        <f t="shared" ca="1" si="1105"/>
        <v>#N/A</v>
      </c>
      <c r="IR287" s="218" t="e">
        <f t="shared" ca="1" si="992"/>
        <v>#N/A</v>
      </c>
      <c r="IS287" s="217" t="e">
        <f ca="1">Control!$C$159*MAX(0,$FD287-$EN287)</f>
        <v>#N/A</v>
      </c>
      <c r="IT287" s="217" t="e">
        <f t="shared" ca="1" si="1142"/>
        <v>#N/A</v>
      </c>
      <c r="IU287" s="217" t="e">
        <f t="shared" ca="1" si="1106"/>
        <v>#N/A</v>
      </c>
      <c r="IV287" s="217" t="e">
        <f t="shared" ca="1" si="1143"/>
        <v>#N/A</v>
      </c>
      <c r="IW287" s="217" t="e">
        <f ca="1">IF(OR($AW287=1,AND($AW287=0, Control!$B$18=1,$EN287&lt;&gt;0)), $IQ287-$IU287, $IQ287)</f>
        <v>#N/A</v>
      </c>
      <c r="IX287" s="218" t="e">
        <f t="shared" ca="1" si="993"/>
        <v>#N/A</v>
      </c>
      <c r="IY287" s="218" t="e">
        <f ca="1">MAX(0,$IQ287-$EB287*Control!$C$159)</f>
        <v>#N/A</v>
      </c>
      <c r="IZ287" s="218" t="e">
        <f t="shared" ca="1" si="994"/>
        <v>#N/A</v>
      </c>
      <c r="JA287" s="216" t="e">
        <f t="shared" ca="1" si="995"/>
        <v>#N/A</v>
      </c>
      <c r="JB287" s="217" t="e">
        <f t="shared" ca="1" si="996"/>
        <v>#N/A</v>
      </c>
      <c r="JC287" s="222" t="e">
        <f ca="1">MAX(Control!$C$157*$EK287-$JT287, 0)/Control!$C$162</f>
        <v>#N/A</v>
      </c>
      <c r="JD287" s="218" t="e">
        <f t="shared" ca="1" si="997"/>
        <v>#N/A</v>
      </c>
      <c r="JE287" s="218" t="e">
        <f t="shared" ca="1" si="998"/>
        <v>#N/A</v>
      </c>
      <c r="JF287" s="218" t="e">
        <f t="shared" ca="1" si="1107"/>
        <v>#N/A</v>
      </c>
      <c r="JG287" s="218" t="e">
        <f t="shared" ca="1" si="999"/>
        <v>#N/A</v>
      </c>
      <c r="JH287" s="217" t="e">
        <f t="shared" ca="1" si="1108"/>
        <v>#N/A</v>
      </c>
      <c r="JI287" s="217" t="e">
        <f t="shared" ca="1" si="1109"/>
        <v>#N/A</v>
      </c>
      <c r="JJ287" s="217" t="e">
        <f t="shared" ca="1" si="1144"/>
        <v>#N/A</v>
      </c>
      <c r="JK287" s="217" t="e">
        <f ca="1">IF(Control!$C$114=1,IF(Control!$B$24=0,MAX(0,$JI287)*$GN287/Control!$C$64,(MAX(0,MIN($JI287,$JJ287*$GN287/Control!$C$64),0))))</f>
        <v>#N/A</v>
      </c>
      <c r="JL287" s="217" t="e">
        <f ca="1">$IK287/Control!$C$64-$JK287+$HQ287</f>
        <v>#N/A</v>
      </c>
      <c r="JM287" s="217" t="e">
        <f ca="1">IF(Control!$C$114=1,($JB287/(IF($JI287&lt;&gt;0,$JI287,1)))*$JK287,0)</f>
        <v>#N/A</v>
      </c>
      <c r="JN287" s="217" t="e">
        <f ca="1">IF(Control!$C$114=1,($JG287/(IF($JI287&lt;&gt;0,$JI287,1)))*$JK287, 0)</f>
        <v>#N/A</v>
      </c>
      <c r="JO287" s="218" t="e">
        <f t="shared" ca="1" si="1000"/>
        <v>#N/A</v>
      </c>
      <c r="JP287" s="218" t="e">
        <f ca="1">MIN(($IY287+$IO287)*Control!$C$151, $JF287-$EH287*Control!$C$161)</f>
        <v>#N/A</v>
      </c>
      <c r="JQ287" s="218" t="e">
        <f t="shared" ca="1" si="1001"/>
        <v>#N/A</v>
      </c>
      <c r="JR287" s="217" t="e">
        <f ca="1">IF($CP287-Control!$C$150&lt;0, 0, $JQ287/Control!$C$162)</f>
        <v>#N/A</v>
      </c>
      <c r="JS287" s="218" t="e">
        <f t="shared" ca="1" si="1002"/>
        <v>#N/A</v>
      </c>
      <c r="JT287" s="218" t="e">
        <f t="shared" ca="1" si="1110"/>
        <v>#N/A</v>
      </c>
      <c r="JU287" s="218" t="e">
        <f t="shared" ca="1" si="1003"/>
        <v>#N/A</v>
      </c>
      <c r="JV287" s="218" t="e">
        <f t="shared" ca="1" si="1004"/>
        <v>#N/A</v>
      </c>
      <c r="JW287" s="216" t="e">
        <f t="shared" ca="1" si="1005"/>
        <v>#N/A</v>
      </c>
      <c r="JX287" s="91" t="e">
        <f t="shared" ca="1" si="1006"/>
        <v>#N/A</v>
      </c>
      <c r="JY287" s="218" t="e">
        <f t="shared" ca="1" si="1007"/>
        <v>#N/A</v>
      </c>
      <c r="JZ287" s="217" t="e">
        <f ca="1">IF(Control!$C$114=1,($IZ287/(IF($JI287&lt;&gt;0,$JI287,1)))*$JK287, 0)</f>
        <v>#N/A</v>
      </c>
      <c r="KA287" s="218" t="e">
        <f t="shared" ca="1" si="1145"/>
        <v>#N/A</v>
      </c>
      <c r="KB287" s="218" t="e">
        <f t="shared" ca="1" si="1111"/>
        <v>#N/A</v>
      </c>
      <c r="KC287" s="218" t="e">
        <f t="shared" ca="1" si="1008"/>
        <v>#N/A</v>
      </c>
      <c r="KD287" s="218" t="e">
        <f t="shared" ca="1" si="1009"/>
        <v>#N/A</v>
      </c>
      <c r="KE287" s="218" t="e">
        <f t="shared" ca="1" si="1010"/>
        <v>#N/A</v>
      </c>
      <c r="KF287" s="218" t="e">
        <f t="shared" ca="1" si="1011"/>
        <v>#N/A</v>
      </c>
      <c r="KG287" s="216" t="e">
        <f t="shared" ca="1" si="1012"/>
        <v>#N/A</v>
      </c>
      <c r="KH287" s="221" t="e">
        <f ca="1">IF(Control!$B$24=0,1,MAX(0.001,MIN(1,IF(($IF287-$IE287)&lt;&gt;0,($KG287-$IE287)/($IF287-$IE287),1))))</f>
        <v>#N/A</v>
      </c>
      <c r="KI287" s="222" t="e">
        <f ca="1">IF(Control!$C$114=1, $KI286+ $KH286, 0)</f>
        <v>#N/A</v>
      </c>
      <c r="KJ287" s="217" t="e">
        <f t="shared" ca="1" si="1013"/>
        <v>#N/A</v>
      </c>
      <c r="KK287" s="218" t="e">
        <f t="shared" ca="1" si="1014"/>
        <v>#N/A</v>
      </c>
      <c r="KL287" s="274" t="e">
        <f ca="1">IF(Control!$B$26=3,4000000000*EXP(-8400/($G287+273)),IF(Control!$B$26=4,4000000000*EXP(-8400/($G287+273))*($KT287),0))</f>
        <v>#DIV/0!</v>
      </c>
      <c r="KM287" s="274" t="e">
        <f ca="1">IF(Control!$B$26=3,5600000000000*EXP(-9800/($G287+273)),IF(Control!$B$26=4,5600000000000*EXP(-9800/($G287+273))*$KT287,0))</f>
        <v>#DIV/0!</v>
      </c>
      <c r="KN287" s="454" t="e">
        <f t="shared" ca="1" si="1112"/>
        <v>#DIV/0!</v>
      </c>
      <c r="KO287" s="274" t="e">
        <f t="shared" ca="1" si="1113"/>
        <v>#DIV/0!</v>
      </c>
      <c r="KP287" s="454" t="e">
        <f t="shared" ca="1" si="1015"/>
        <v>#DIV/0!</v>
      </c>
      <c r="KQ287" s="454" t="e">
        <f t="shared" ca="1" si="1016"/>
        <v>#DIV/0!</v>
      </c>
      <c r="KR287" s="454" t="e">
        <f t="shared" ca="1" si="1017"/>
        <v>#DIV/0!</v>
      </c>
      <c r="KS287" s="454" t="e">
        <f t="shared" ca="1" si="1018"/>
        <v>#DIV/0!</v>
      </c>
      <c r="KT287" s="455" t="e">
        <f t="shared" ca="1" si="1019"/>
        <v>#DIV/0!</v>
      </c>
      <c r="KU287" s="456" t="e">
        <f ca="1">IF($CP287-Control!$C$149&lt;0, IF($NT287-0.01&lt;0,0,1),0)</f>
        <v>#N/A</v>
      </c>
      <c r="KV287" s="456" t="e">
        <f ca="1">IF(Control!$C$114=1,MAX(0,MIN(Control!$C$125*$KW287*$GN287,$KW287)))</f>
        <v>#DIV/0!</v>
      </c>
      <c r="KW287" s="456" t="e">
        <f t="shared" ca="1" si="1146"/>
        <v>#DIV/0!</v>
      </c>
      <c r="KX287" s="457" t="e">
        <f ca="1">IF($CP287-Control!$C$149&lt;0, IF($MR287-$OM287&lt;0,0,1),0)</f>
        <v>#N/A</v>
      </c>
      <c r="KY287" s="167">
        <f t="shared" ca="1" si="1114"/>
        <v>283</v>
      </c>
      <c r="KZ287" s="168">
        <f ca="1">1370*(1+0.033*COS(2*Control!$C$138*$AH287/365))</f>
        <v>1377.1689783154757</v>
      </c>
      <c r="LA287" s="169">
        <f t="shared" ca="1" si="1115"/>
        <v>1.0052324597084035</v>
      </c>
      <c r="LB287" s="169">
        <f t="shared" ca="1" si="1116"/>
        <v>-0.13640691498109001</v>
      </c>
      <c r="LC287" s="169">
        <f ca="1">ACOS(-TAN((2*Control!$B$8/360))*TAN(Calculations!$LB287))</f>
        <v>1.5299911119298701</v>
      </c>
      <c r="LD287" s="169">
        <f ca="1">((24*60)/PI())*0.082*$LA287*(($LC287*SIN(Control!$B$8*2*PI()/360))*SIN($LB287)+COS(Control!$B$8*2*PI()/360)*COS($LB287)*SIN($LC287))</f>
        <v>16.831643661918982</v>
      </c>
      <c r="LE287" s="170">
        <f t="shared" ca="1" si="1020"/>
        <v>17.372658662441836</v>
      </c>
      <c r="LF287" s="170">
        <f ca="1">SIN(Control!$C$139*Control!$B$8)*SIN($HD287)</f>
        <v>-0.10202720054241317</v>
      </c>
      <c r="LG287" s="170">
        <f ca="1">COS(Control!$C$139*Control!$B$8)*COS($HD287)</f>
        <v>0.61047766885327137</v>
      </c>
      <c r="LH287" s="170">
        <f ca="1">12*(1+2*ASIN(MAX(-1,MIN(1,$LF287/$LG287))/Control!$C$138))</f>
        <v>10.72264503955212</v>
      </c>
      <c r="LI287" s="170">
        <f ca="1">12*(1+2*ASIN(MAX(-1,MIN(1,(-SIN(-4*Control!$C$139)+$LF287)/$LG287))/Control!$C$138))</f>
        <v>11.596152293016859</v>
      </c>
      <c r="LJ287" s="168">
        <f ca="1">3600*($LH287*$LF287+24*$LG287*SQRT(1-$LK287*$LK287)/Control!$C$138)</f>
        <v>12614.761830964062</v>
      </c>
      <c r="LK287" s="170">
        <f t="shared" ca="1" si="1021"/>
        <v>-0.16712683485058888</v>
      </c>
      <c r="LL287" s="170">
        <f t="shared" ca="1" si="1022"/>
        <v>0</v>
      </c>
      <c r="LM287" s="171">
        <f ca="1">Control!$C$145*$AB287</f>
        <v>6.6660906138995932E-2</v>
      </c>
      <c r="LN287" s="170">
        <f t="shared" ca="1" si="1117"/>
        <v>0.54</v>
      </c>
      <c r="LO287" s="170">
        <f t="shared" ca="1" si="1023"/>
        <v>0</v>
      </c>
      <c r="LP287" s="170">
        <f ca="1">Control!$C$140*((($D287+273.16)^4+($E287+273.16)^4)/2)*(0.34-0.14*SQRT($Y287))*(1.35*$AQ287/(0.75*$LD287)-0.35)</f>
        <v>-3.2464704755046001</v>
      </c>
      <c r="LQ287" s="170">
        <f ca="1">Control!$C$140*($G287+273)^4*(0.56-0.079*SQRT($Y287*10))*(0.1+0.9*$LO287)</f>
        <v>1.5241745131704001</v>
      </c>
      <c r="LR287" s="170">
        <f ca="1">$AQ287*(1-Control!$C$142)-$LQ287</f>
        <v>-1.5241745131704001</v>
      </c>
      <c r="LS287" s="170">
        <f ca="1">$AQ287*(1-Control!$C$143)-$LQ287</f>
        <v>-1.5241745131704001</v>
      </c>
      <c r="LT287" s="170">
        <f ca="1">$AQ287*(1-Control!$C$144)-$LQ287</f>
        <v>-1.5241745131704001</v>
      </c>
      <c r="LU287" s="169">
        <f ca="1">(1-Control!$C$144)*AQ287-LP287</f>
        <v>3.2464704755046001</v>
      </c>
      <c r="LV287" s="172">
        <f t="shared" ca="1" si="1024"/>
        <v>0.79430000000000012</v>
      </c>
      <c r="LW287" s="170">
        <f t="shared" ca="1" si="1025"/>
        <v>1.5886000000000002</v>
      </c>
      <c r="LX287" s="170">
        <f ca="1">($AC287*($LR287/Control!$C$141)+$LM287*$LV287)/($AC287+$LM287)</f>
        <v>0.23530094218323697</v>
      </c>
      <c r="LY287" s="170">
        <f ca="1">($AC287*($LS287/Control!$C$141)+$LM287*$LV287)/($AC287+$LM287)</f>
        <v>0.23530094218323697</v>
      </c>
      <c r="LZ287" s="170">
        <f t="shared" ca="1" si="1026"/>
        <v>0.23530094218323697</v>
      </c>
      <c r="MA287" s="170">
        <f t="shared" ca="1" si="1027"/>
        <v>0.23530094218323697</v>
      </c>
      <c r="MB287" s="170" t="e">
        <f t="shared" ca="1" si="1028"/>
        <v>#N/A</v>
      </c>
      <c r="MC287" s="170">
        <f t="shared" ca="1" si="1118"/>
        <v>0.6018</v>
      </c>
      <c r="MD287" s="170">
        <f t="shared" ca="1" si="1029"/>
        <v>0.52989392535414004</v>
      </c>
      <c r="ME287" s="170">
        <f ca="1">($AC287*($LT287/Control!$C$141)+$LM287*$LW287)/($AC287+$LM287)</f>
        <v>0.71612369323045078</v>
      </c>
      <c r="MF287" s="170" t="e">
        <f ca="1">IF(Control!$B$16&gt;=1000,0.92,IF(AND(720&lt;=Control!$B$16,1000&gt;Control!$B$16),(0.95+(Control!$B$16-720)*((0.92-0.95)/(1000-720))),IF(AND(360&lt;=Control!$B$16,720&gt;Control!$B$16),(1+(Control!$B$16-360)*((0.95-1)/(720-360))),IF(AND(40&lt;=Control!$B$16,360&gt;Control!$B$16),(1.05+(Control!$B$16-40)*((1.05-1)/(360-40)))))))</f>
        <v>#N/A</v>
      </c>
      <c r="MG287" s="170">
        <f t="shared" ca="1" si="1030"/>
        <v>0.71612369323045078</v>
      </c>
      <c r="MH287" s="170" t="e">
        <f t="shared" ca="1" si="1156"/>
        <v>#N/A</v>
      </c>
      <c r="MI287" s="170" t="e">
        <f t="shared" ca="1" si="1156"/>
        <v>#N/A</v>
      </c>
      <c r="MJ287" s="170" t="e">
        <f ca="1">MAX(0.0001, Control!$C$132*$MI287*$DL287)</f>
        <v>#N/A</v>
      </c>
      <c r="MK287" s="170">
        <f ca="1">1/(0.76+1.5*($MG287/10))-(5-Control!$C$110)*0.1</f>
        <v>1.002845988140797</v>
      </c>
      <c r="ML287" s="173">
        <f ca="1">IF(Control!$C$110&lt;3,$MK287+($MG287-0.6)/(Control!$C$110*(Control!$C$110+3)), MAX(0.1, MIN(0.95,$MK287)))</f>
        <v>0.95</v>
      </c>
      <c r="MM287" s="173">
        <f ca="1">IF(Control!$C$110&lt;3,$MK287+(($MI287/10)-0.6)/(Control!$C$110*(Control!$C$110+3)), MAX(0.1, MIN(0.95,$MK287)))</f>
        <v>0.95</v>
      </c>
      <c r="MN287" s="173">
        <f ca="1">(1-$MM287)*(Control!$C$128-Control!$C$127)+Control!$C$127</f>
        <v>0.16</v>
      </c>
      <c r="MO287" s="170" t="e">
        <f ca="1">MAX(0,MIN(1,($MS287-Control!$C$127)/($MN287-Control!$C$127)))</f>
        <v>#DIV/0!</v>
      </c>
      <c r="MP287" s="173" t="e">
        <f ca="1">1/(0.76+1.5*$MI287)-(5-Control!$C$110)*0.1</f>
        <v>#N/A</v>
      </c>
      <c r="MQ287" s="172" t="e">
        <f t="shared" ca="1" si="1147"/>
        <v>#DIV/0!</v>
      </c>
      <c r="MR287" s="168" t="e">
        <f t="shared" ca="1" si="1119"/>
        <v>#DIV/0!</v>
      </c>
      <c r="MS287" s="173" t="e">
        <f ca="1">MAX(Control!$C$127, MIN(Control!$C$135, $MR287/MAX(0.0001,$CY287)))</f>
        <v>#DIV/0!</v>
      </c>
      <c r="MT287" s="168" t="e">
        <f ca="1">(Control!$C$128-$MS287)*Control!$C$74</f>
        <v>#DIV/0!</v>
      </c>
      <c r="MU287" s="168" t="e">
        <f ca="1">(Control!$C$135-$MS287)*Control!$C$74</f>
        <v>#DIV/0!</v>
      </c>
      <c r="MV287" s="168" t="e">
        <f t="shared" ca="1" si="1120"/>
        <v>#DIV/0!</v>
      </c>
      <c r="MW287" s="168" t="e">
        <f t="shared" ca="1" si="1121"/>
        <v>#DIV/0!</v>
      </c>
      <c r="MX287" s="171" t="e">
        <f ca="1">MAX(Control!$C$127, MIN(Control!$C$135, $MW287/MAX(0.0001,Control!$C$119-$CY287)))</f>
        <v>#DIV/0!</v>
      </c>
      <c r="MY287" s="54" t="e">
        <f ca="1">IF(Control!$C$114=1, $CX287*$MX287, 0)</f>
        <v>#DIV/0!</v>
      </c>
      <c r="MZ287" s="54" t="e">
        <f t="shared" ca="1" si="1122"/>
        <v>#N/A</v>
      </c>
      <c r="NA287" s="168" t="e">
        <f ca="1">(Control!$C$128-$MX287)*(Control!$C$119-Control!$C$74)</f>
        <v>#DIV/0!</v>
      </c>
      <c r="NB287" s="168" t="e">
        <f ca="1">(Control!$C$135-$MX287)*(Control!$C$119-Control!$C$74)</f>
        <v>#DIV/0!</v>
      </c>
      <c r="NC287" s="174" t="e">
        <f t="shared" ca="1" si="1123"/>
        <v>#DIV/0!</v>
      </c>
      <c r="ND287" s="54">
        <f ca="1">IF(Control!$C$58=2, IF(OR(Control!$B$218=$AH287,Control!$B$219=$AH287, Control!$B$220=$AH287, Control!$B$221=$AH287, Control!$B$222=$AH287, Control!$B$223=$AH287, Control!$B$224=$AH287, Control!$B$225=$AH287, Control!$B$226=$AH287, Control!$B$227=$AH287, Control!$B$228=$AH287), 1, 0), 0)</f>
        <v>0</v>
      </c>
      <c r="NE287" s="54">
        <f ca="1">IF($ND287=0,0, VLOOKUP($AH287,Control!$B$218:$C$228,2))</f>
        <v>0</v>
      </c>
      <c r="NF287" s="168" t="e">
        <f ca="1">$CY287*(Control!$C$128-Control!$C$127)</f>
        <v>#N/A</v>
      </c>
      <c r="NG287" s="54" t="e">
        <f ca="1">IF(Control!$C$58=2, $NI286-$NJ286, 0)</f>
        <v>#DIV/0!</v>
      </c>
      <c r="NH287" s="54" t="e">
        <f ca="1">IF(AND(Control!$C$58=1, $MS286&lt;= ($MN286+0.02), $I286&lt;10), 0, IF(Control!$C$58=2, $NG286, 0))</f>
        <v>#DIV/0!</v>
      </c>
      <c r="NI287" s="54" t="e">
        <f ca="1">IF(Control!$C$58=2, $NE287+$NH287,0)</f>
        <v>#DIV/0!</v>
      </c>
      <c r="NJ287" s="54" t="e">
        <f ca="1">IF(AND(Control!$C$58=1, $MS287&lt;= ($MN287+0.02), $I287&lt;10), MAX(0, MIN(10, 0.7*($NF287-$MV287))), IF(Control!$C$58=2, MIN(10,$NI287),0))</f>
        <v>#DIV/0!</v>
      </c>
      <c r="NK287" s="54" t="e">
        <f t="shared" ca="1" si="1031"/>
        <v>#DIV/0!</v>
      </c>
      <c r="NL287" s="173" t="e">
        <f ca="1">(1-Control!$C$73)*$I287+$NJ287</f>
        <v>#DIV/0!</v>
      </c>
      <c r="NM287" s="172" t="e">
        <f ca="1">IF($NL287&lt;0.5, $MB287* MAX(0, MIN(1, (SQRT($NC287)-SQRT($NC287-1))*Control!$C$71)),0)</f>
        <v>#DIV/0!</v>
      </c>
      <c r="NN287" s="170" t="e">
        <f ca="1">IF($NL287&gt;=5, $MB287, MAX(0,MIN($MB287, $NM287+$NL287,($MS287-Control!$C$129))))</f>
        <v>#DIV/0!</v>
      </c>
      <c r="NO287" s="54">
        <f>IF(Control!$C$133&lt;&gt;1, Control!$C$135-Control!$C$131, 0)</f>
        <v>0.38</v>
      </c>
      <c r="NP287" s="54" t="e">
        <f t="shared" ca="1" si="1032"/>
        <v>#DIV/0!</v>
      </c>
      <c r="NQ287" s="173" t="e">
        <f ca="1">MAX(0,MIN(1,(Control!$C$135-$MS287)/(Control!$C$135-$NO287)))</f>
        <v>#DIV/0!</v>
      </c>
      <c r="NR287" s="170" t="e">
        <f ca="1">IF(Control!$C$133&lt;&gt;1, $NQ287+((1-$NP287/4)*(1-$NQ287)),1)</f>
        <v>#DIV/0!</v>
      </c>
      <c r="NS287" s="170" t="e">
        <f ca="1">IF(Control!$B$31=0,$MJ287,MAX(0,MIN($MV287,$MO287*$NR287*$MJ287)))</f>
        <v>#DIV/0!</v>
      </c>
      <c r="NT287" s="170" t="e">
        <f t="shared" ca="1" si="1148"/>
        <v>#DIV/0!</v>
      </c>
      <c r="NU287" s="170" t="e">
        <f t="shared" ca="1" si="1124"/>
        <v>#N/A</v>
      </c>
      <c r="NV287" s="170" t="e">
        <f t="shared" ca="1" si="1033"/>
        <v>#N/A</v>
      </c>
      <c r="NW287" s="175" t="e">
        <f t="shared" ca="1" si="1034"/>
        <v>#DIV/0!</v>
      </c>
      <c r="NX287" s="170" t="e">
        <f ca="1">MIN(Control!$C$72+$MU287, $NW287)</f>
        <v>#DIV/0!</v>
      </c>
      <c r="NY287" s="170" t="e">
        <f ca="1">IF($MT287&lt;=$NX287,MIN(Control!$C$72+$NB287,$NX287-$MT287),0)</f>
        <v>#DIV/0!</v>
      </c>
      <c r="NZ287" s="54" t="e">
        <f ca="1">IF(Control!$C$114=1,  $CX287*($MX287-Control!$C$127), 0)</f>
        <v>#DIV/0!</v>
      </c>
      <c r="OA287" s="170" t="e">
        <f t="shared" ca="1" si="1035"/>
        <v>#DIV/0!</v>
      </c>
      <c r="OB287" s="170" t="e">
        <f ca="1">IF($NA287 &lt;=$NY287, MIN(Control!$C$72, $NY287-$NA287), 0)</f>
        <v>#DIV/0!</v>
      </c>
      <c r="OC287" s="168" t="e">
        <f t="shared" ca="1" si="1036"/>
        <v>#DIV/0!</v>
      </c>
      <c r="OD287" s="168" t="e">
        <f t="shared" ca="1" si="1125"/>
        <v>#DIV/0!</v>
      </c>
      <c r="OE287" s="170">
        <f ca="1">Control!$C$73*$I287</f>
        <v>0</v>
      </c>
      <c r="OF287" s="176" t="e">
        <f t="shared" ca="1" si="1037"/>
        <v>#DIV/0!</v>
      </c>
      <c r="OG287" s="168" t="e">
        <f t="shared" ca="1" si="1038"/>
        <v>#DIV/0!</v>
      </c>
      <c r="OH287" s="168" t="e">
        <f t="shared" ca="1" si="1039"/>
        <v>#DIV/0!</v>
      </c>
      <c r="OI287" s="168" t="e">
        <f t="shared" ca="1" si="1040"/>
        <v>#DIV/0!</v>
      </c>
      <c r="OJ287" s="168" t="e">
        <f t="shared" ca="1" si="1041"/>
        <v>#DIV/0!</v>
      </c>
      <c r="OK287" s="204" t="e">
        <f t="shared" ca="1" si="1042"/>
        <v>#DIV/0!</v>
      </c>
      <c r="OL287" s="177">
        <f>Control!$C$127</f>
        <v>0.15</v>
      </c>
      <c r="OM287" s="182" t="e">
        <f t="shared" ca="1" si="1043"/>
        <v>#N/A</v>
      </c>
      <c r="ON287" s="177">
        <f>Control!$C$128</f>
        <v>0.35</v>
      </c>
      <c r="OO287" s="182" t="e">
        <f t="shared" ca="1" si="1044"/>
        <v>#N/A</v>
      </c>
      <c r="OP287" s="138">
        <f t="shared" ca="1" si="1126"/>
        <v>0</v>
      </c>
      <c r="OQ287" s="138" t="e">
        <f t="shared" ca="1" si="1149"/>
        <v>#DIV/0!</v>
      </c>
      <c r="OR287" s="138" t="e">
        <f t="shared" ca="1" si="1127"/>
        <v>#DIV/0!</v>
      </c>
      <c r="OS287" s="137" t="e">
        <f t="shared" ca="1" si="1150"/>
        <v>#DIV/0!</v>
      </c>
      <c r="OT287" s="139" t="e">
        <f t="shared" ca="1" si="1151"/>
        <v>#DIV/0!</v>
      </c>
      <c r="OU287" s="138" t="e">
        <f t="shared" ca="1" si="1152"/>
        <v>#N/A</v>
      </c>
      <c r="OV287" s="138" t="e">
        <f t="shared" ca="1" si="1153"/>
        <v>#DIV/0!</v>
      </c>
      <c r="OW287" s="138" t="e">
        <f t="shared" ca="1" si="1128"/>
        <v>#DIV/0!</v>
      </c>
      <c r="OX287" s="138" t="e">
        <f t="shared" ca="1" si="1129"/>
        <v>#DIV/0!</v>
      </c>
      <c r="OY287" s="138" t="e">
        <f t="shared" ca="1" si="1130"/>
        <v>#DIV/0!</v>
      </c>
      <c r="OZ287" s="138" t="e">
        <f t="shared" ca="1" si="1045"/>
        <v>#DIV/0!</v>
      </c>
      <c r="PA287" s="138" t="e">
        <f t="shared" ca="1" si="1046"/>
        <v>#DIV/0!</v>
      </c>
      <c r="PB287" s="55">
        <f>IF(Control!$C$61="T", IF(Control!$C$65="F", IF($AH$6-Control!$C$60&lt;0,0,1), IF(365+$AH$6-Control!$C$60&lt;0,0,1)),0)</f>
        <v>0</v>
      </c>
      <c r="PC287" s="55">
        <f ca="1">IF(Control!$C$65="F", IF($AH$6-$HF287&lt;0,0,1), IF(365+$AH$6-$HF287&lt;0,0,1))</f>
        <v>1</v>
      </c>
      <c r="PD287" s="444">
        <f>Control!$C$118</f>
        <v>1500</v>
      </c>
      <c r="PE287" s="180" t="e">
        <f t="shared" ca="1" si="1047"/>
        <v>#N/A</v>
      </c>
      <c r="PF287" s="445">
        <f t="shared" ca="1" si="1131"/>
        <v>0.71612369323045078</v>
      </c>
      <c r="PT287" s="186"/>
      <c r="PU287" s="186"/>
      <c r="PV287" s="94"/>
      <c r="PW287" s="94"/>
      <c r="PX287" s="94"/>
      <c r="PY287" s="94"/>
      <c r="PZ287" s="94"/>
      <c r="QA287" s="94"/>
      <c r="QB287" s="94"/>
      <c r="QC287" s="94"/>
      <c r="QD287" s="94"/>
      <c r="QE287" s="94"/>
      <c r="QF287" s="94"/>
      <c r="QG287" s="94"/>
      <c r="QH287" s="94"/>
      <c r="QI287" s="94"/>
      <c r="QJ287" s="94"/>
      <c r="QK287" s="94"/>
      <c r="QL287" s="94"/>
      <c r="QM287" s="94"/>
      <c r="QN287" s="94"/>
      <c r="QO287" s="94"/>
      <c r="QP287" s="94"/>
    </row>
    <row r="288" spans="1:458" s="2" customFormat="1" x14ac:dyDescent="0.2">
      <c r="A288" s="395">
        <v>10</v>
      </c>
      <c r="B288" s="396">
        <v>10</v>
      </c>
      <c r="C288" s="387">
        <f ca="1">Weather_data!$B287</f>
        <v>0</v>
      </c>
      <c r="D288" s="388">
        <f ca="1">Weather_data!$F287</f>
        <v>0</v>
      </c>
      <c r="E288" s="388">
        <f ca="1">Weather_data!$E287</f>
        <v>0</v>
      </c>
      <c r="F288" s="388">
        <f t="shared" ca="1" si="1048"/>
        <v>0</v>
      </c>
      <c r="G288" s="388">
        <f ca="1">AVERAGE($D288:$E288)+Control!$B$9</f>
        <v>0</v>
      </c>
      <c r="H288" s="388">
        <f ca="1">Weather_data!$G287</f>
        <v>0</v>
      </c>
      <c r="I288" s="388">
        <f ca="1">Weather_data!$I287</f>
        <v>0</v>
      </c>
      <c r="J288" s="388">
        <f ca="1">Weather_data!$H287</f>
        <v>0</v>
      </c>
      <c r="K288" s="389">
        <f ca="1">Weather_data!$D287</f>
        <v>0</v>
      </c>
      <c r="L288" s="388" t="e">
        <f t="shared" ca="1" si="1049"/>
        <v>#N/A</v>
      </c>
      <c r="M288" s="388" t="e">
        <f t="shared" ca="1" si="927"/>
        <v>#N/A</v>
      </c>
      <c r="N288" s="388">
        <f t="shared" ca="1" si="928"/>
        <v>-6.2424872820296552E-14</v>
      </c>
      <c r="O288" s="388">
        <f t="shared" ca="1" si="1050"/>
        <v>6.2424872820296547E-13</v>
      </c>
      <c r="P288" s="390">
        <v>3</v>
      </c>
      <c r="Q288" s="388">
        <f ca="1">MAX($G288-Control!$C$107,0)</f>
        <v>0</v>
      </c>
      <c r="R288" s="388">
        <f t="shared" ca="1" si="1051"/>
        <v>0</v>
      </c>
      <c r="S288" s="388">
        <f t="shared" ca="1" si="929"/>
        <v>0</v>
      </c>
      <c r="T288" s="388">
        <f t="shared" ca="1" si="930"/>
        <v>0</v>
      </c>
      <c r="U288" s="59">
        <f t="shared" ca="1" si="931"/>
        <v>0</v>
      </c>
      <c r="V288" s="391">
        <f ca="1">MAX(0,MIN(Control!$C$100-Control!$C$99,$G288-Control!$C$99)*Control!$C$63)</f>
        <v>0</v>
      </c>
      <c r="W288" s="388">
        <f t="shared" ca="1" si="1052"/>
        <v>0</v>
      </c>
      <c r="X288" s="388">
        <f t="shared" ca="1" si="1053"/>
        <v>0.6110000000000001</v>
      </c>
      <c r="Y288" s="388">
        <f t="shared" ca="1" si="932"/>
        <v>0</v>
      </c>
      <c r="Z288" s="388">
        <f t="shared" ca="1" si="1054"/>
        <v>0.61058800000000002</v>
      </c>
      <c r="AA288" s="388">
        <f t="shared" ca="1" si="933"/>
        <v>0.6018</v>
      </c>
      <c r="AB288" s="388">
        <f ca="1">101.3*EXP(-0.034*Control!$C$66/($G288+273))</f>
        <v>100.69623283836242</v>
      </c>
      <c r="AC288" s="392">
        <f t="shared" ca="1" si="934"/>
        <v>4.3460251046025113E-2</v>
      </c>
      <c r="AD288" s="392">
        <f t="shared" ca="1" si="935"/>
        <v>4.4450382862832649E-2</v>
      </c>
      <c r="AE288" s="388">
        <f t="shared" ca="1" si="936"/>
        <v>0</v>
      </c>
      <c r="AF288" s="388">
        <f ca="1">MAX(0,$G288-Control!$C$92)</f>
        <v>0</v>
      </c>
      <c r="AG288" s="393">
        <f t="shared" ca="1" si="937"/>
        <v>284</v>
      </c>
      <c r="AH288" s="389">
        <f t="shared" ca="1" si="938"/>
        <v>284</v>
      </c>
      <c r="AI288" s="388">
        <f t="shared" ca="1" si="1055"/>
        <v>-0.13635448322512234</v>
      </c>
      <c r="AJ288" s="388">
        <f ca="1">IF(Control!$C$60&lt;=0,$HH288,$HI288)</f>
        <v>1</v>
      </c>
      <c r="AK288" s="388">
        <f t="shared" ca="1" si="939"/>
        <v>3.5116980894921523</v>
      </c>
      <c r="AL288" s="388">
        <f t="shared" ca="1" si="940"/>
        <v>3.2456745624465102E-18</v>
      </c>
      <c r="AM288" s="388">
        <f t="shared" ca="1" si="941"/>
        <v>3.5116980894921523</v>
      </c>
      <c r="AN288" s="388">
        <f t="shared" ca="1" si="942"/>
        <v>-0.1443909274732158</v>
      </c>
      <c r="AO288" s="388">
        <f ca="1">-0.10453/COS(Control!$B$8*PI()/180)*COS(AN288)</f>
        <v>-0.16801803687016523</v>
      </c>
      <c r="AP288" s="388">
        <f ca="1">ACOS(AO288-TAN(Control!$B$8*PI()/180)*TAN(AN288))</f>
        <v>1.5527062500204944</v>
      </c>
      <c r="AQ288" s="388">
        <f t="shared" ca="1" si="1056"/>
        <v>0</v>
      </c>
      <c r="AR288" s="394">
        <f t="shared" ca="1" si="943"/>
        <v>0</v>
      </c>
      <c r="AS288" s="436">
        <f ca="1">IF(Control!$B$18=2,(IF(OR($AH288=Control!$B$175,$AH288=Control!$B$176,$AH288=Control!$B$177,$AH288=Control!$B$178,$AH288=Control!$B$179,$AH288=Control!$B$180,$AH288=Control!$B$181,$AH288=Control!$B$182,$AH288=Control!$B$183,$AH288=Control!$B$184,$AH288=Control!$B$185),1,0)),0)</f>
        <v>0</v>
      </c>
      <c r="AT288" s="436">
        <f>IF(Control!$B$20=8,IF(AND($AH288&gt;=Control!$B$172,$AH288&lt;=Control!$B$173),1,0),0)</f>
        <v>0</v>
      </c>
      <c r="AU288" s="436">
        <f>IF(Control!$B$20=8,IF($AV287=1,1*$AT288,IF($AT288=1,$AU287+1,$AU287)),0)</f>
        <v>0</v>
      </c>
      <c r="AV288" s="436">
        <f>IF(Control!$B$20=8,IF($AU288&gt;=Control!$B$174,1,0),0)</f>
        <v>0</v>
      </c>
      <c r="AW288" s="436">
        <f ca="1">IF(AND(Control!$B$18=2,Control!$B$171=1), $AV288, $AS288)</f>
        <v>0</v>
      </c>
      <c r="AX288" s="436" t="e">
        <f ca="1">IF(AND(Control!$B$18=1,$EU288&gt;=Control!$B$19),-$AY288,IF(AND(Control!$B$18=2,$AW288=1,$EU288&gt;$DS288),-$AY288, IF(Control!$C$108=0,0, IF(Control!$C$108&lt;&gt;0,1))))</f>
        <v>#N/A</v>
      </c>
      <c r="AY288" s="436" t="e">
        <f t="shared" ca="1" si="1057"/>
        <v>#N/A</v>
      </c>
      <c r="AZ288" s="436" t="e">
        <f ca="1">IF(AND(Control!$B$18=1,$EB288&gt;Control!$B$19),$AZ287+1, IF(AND(Control!$B$18=2, $AW288=1, $EB288&gt;$DS288), $AZ287+1,$AZ287))</f>
        <v>#N/A</v>
      </c>
      <c r="BA288" s="587">
        <f>IF(Control!$C$81=0,1,IF($AH288&gt;=Control!$C$82,1,0))</f>
        <v>1</v>
      </c>
      <c r="BB288" s="140" t="e">
        <f ca="1">IF($BA288&gt;$BA287,Control!$C$83,IF($AW288&gt;0,$AW288*Control!$C$84,IF(AND(Control!$B$18=1,EN287&lt;&gt;0),Control!$C$84,0)))</f>
        <v>#N/A</v>
      </c>
      <c r="BC288" s="140" t="e">
        <f t="shared" ca="1" si="1058"/>
        <v>#N/A</v>
      </c>
      <c r="BD288" s="140" t="e">
        <f ca="1">BC288*IF(OR($G288&lt;Control!$C$92,$G288&gt;Control!$C$95),0,IF(AND($G288&gt;=Control!$C$92,$G288&lt;=Control!$C$93),$G288-Control!$C$92,IF(AND($G288&gt;Control!$C$93,$G288&lt;=Control!$C$94),Control!$C$93-Control!$C$92,IF(AND($G288&gt;Control!$C$94,$G288&lt;=Control!$C$95),(Control!$C$93-Control!$C$92)*(Control!$C$94-$G288)/(Control!$C$95-Control!$C$94)))))</f>
        <v>#N/A</v>
      </c>
      <c r="BE288" s="140" t="e">
        <f t="shared" ca="1" si="1059"/>
        <v>#N/A</v>
      </c>
      <c r="BF288" s="140" t="e">
        <f ca="1">IF($BE288&lt;=Control!$C$86,$BE288,Control!$C$86-$BE288)</f>
        <v>#N/A</v>
      </c>
      <c r="BG288" s="140" t="e">
        <f ca="1">IF(AND($AW288=1,Control!$C$84&lt;9),1,IF($BE288&gt;=Control!$C$86,0,$BC288))</f>
        <v>#N/A</v>
      </c>
      <c r="BH288" s="404" t="e">
        <f ca="1">IF($BG288=0,0,IF($BE288&lt;=Control!$C$86,$BC288*9*($BF288/Control!$C$86),0))</f>
        <v>#N/A</v>
      </c>
      <c r="BI288" s="140" t="e">
        <f ca="1">IF($BG288=1,0,IF($BE288&gt;=Control!$C$86,1,IF(AND($BB288&lt;21,$BB288&gt;=9),1,$BM287)))</f>
        <v>#N/A</v>
      </c>
      <c r="BJ288" s="140" t="e">
        <f ca="1">IF($BF288&lt;0,-$BF288,$BI288*IF(OR($G288&lt;Control!$C$92,$G288&gt;Control!$C$95),0,IF(AND($G288&gt;=Control!$C$92,$G288&lt;=Control!$C$93),$G288-Control!$C$92,IF(AND($G288&gt;Control!$C$93,$G288&lt;=Control!$C$94),Control!$C$93-Control!$C$92,IF(AND($G288&gt;Control!$C$94,$G288&lt;=Control!$C$95),(Control!$C$93-Control!$C$92)*(Control!$C$94-$G288)/(Control!$C$95-Control!$C$94))))))</f>
        <v>#N/A</v>
      </c>
      <c r="BK288" s="140" t="e">
        <f t="shared" ca="1" si="1060"/>
        <v>#N/A</v>
      </c>
      <c r="BL288" s="140" t="e">
        <f ca="1">IF($BK288&lt;=Control!$C$87,$BK288,Control!$C$87-$BK288)</f>
        <v>#N/A</v>
      </c>
      <c r="BM288" s="140" t="e">
        <f ca="1">IF(AND($BB288&gt;=9,$BB288&lt;21),1,IF($BK288&gt;=Control!$C$87,0,$BI288))</f>
        <v>#N/A</v>
      </c>
      <c r="BN288" s="404" t="e">
        <f ca="1">IF($BM288=0,0,IF($BK288&lt;=Control!$C$87,$BI288*(9+(21-9)*($BL288/Control!$C$87)),0))</f>
        <v>#N/A</v>
      </c>
      <c r="BO288" s="140" t="e">
        <f ca="1">IF($BM288=1,0,IF($BK288&gt;=Control!$C$87,1,IF(AND($BB288&lt;30,$BB288&gt;=21),1,$BS287)))</f>
        <v>#N/A</v>
      </c>
      <c r="BP288" s="140" t="e">
        <f ca="1">IF($BL288&lt;0,-$BL288,$BO288*IF(OR($G288&lt;Control!$C$92,$G288&gt;Control!$C$95),0,IF(AND($G288&gt;=Control!$C$92,$G288&lt;=Control!$C$93),$G288-Control!$C$92,IF(AND($G288&gt;Control!$C$93,$G288&lt;=Control!$C$94),Control!$C$93-Control!$C$92,IF(AND($G288&gt;Control!$C$94,$G288&lt;=Control!$C$95),(Control!$C$93-Control!$C$92)*(Control!$C$94-$G288)/(Control!$C$95-Control!$C$94))))))</f>
        <v>#N/A</v>
      </c>
      <c r="BQ288" s="140" t="e">
        <f t="shared" ca="1" si="944"/>
        <v>#N/A</v>
      </c>
      <c r="BR288" s="140" t="e">
        <f ca="1">IF($BQ288&lt;=Control!$C$88,$BQ288,Control!$C$88-$BQ288)</f>
        <v>#N/A</v>
      </c>
      <c r="BS288" s="140" t="e">
        <f ca="1">IF(AND($BB288&gt;=21,$BB288&lt;30),1,IF($BQ288&gt;=Control!$C$88,0,$BO288))</f>
        <v>#N/A</v>
      </c>
      <c r="BT288" s="404" t="e">
        <f ca="1">IF($BS288=0,0,IF($BQ288&lt;=Control!$C$88,$BO288*(21+(30-21)*(BR288/Control!$C$88)),0))</f>
        <v>#N/A</v>
      </c>
      <c r="BU288" s="140" t="e">
        <f ca="1">IF(BG288+BM288+BS288=1,0,IF(OR(AND($BB288&lt;60,$BB288&gt;=30),$BQ288&gt;=Control!$C$88),1*$BA288,$BY287))</f>
        <v>#N/A</v>
      </c>
      <c r="BV288" s="140" t="e">
        <f ca="1">IF($BR288&lt;0,-$BR288,$BU288*IF(OR($G288&lt;Control!$C$92,$G288&gt;Control!$C$95),0,IF(AND($G288&gt;=Control!$C$92,$G288&lt;=Control!$C$93),$G288-Control!$C$92,IF(AND($G288&gt;Control!$C$93,$G288&lt;=Control!$C$94),Control!$C$93-Control!$C$92,IF(AND($G288&gt;Control!$C$94,$G288&lt;=Control!$C$95),(Control!$C$93-Control!$C$92)*(Control!$C$94-$G288)/(Control!$C$95-Control!$C$94))))))</f>
        <v>#N/A</v>
      </c>
      <c r="BW288" s="140" t="e">
        <f t="shared" ca="1" si="945"/>
        <v>#N/A</v>
      </c>
      <c r="BX288" s="140" t="e">
        <f ca="1">IF($BW288&lt;=Control!$C$89,$BW288,Control!$C$89-$BW288)</f>
        <v>#N/A</v>
      </c>
      <c r="BY288" s="140" t="e">
        <f ca="1">IF(AND($AJ288&gt;=30,$AJ288&lt;60),1,IF($BW288&gt;=Control!$C$89,0,$BU288))</f>
        <v>#N/A</v>
      </c>
      <c r="BZ288" s="404" t="e">
        <f ca="1">IF($BY288=0,0,IF($BW288&lt;=Control!$C$89,$BU288*(30+(60-30)*(BX288/Control!$C$89)),0))</f>
        <v>#N/A</v>
      </c>
      <c r="CA288" s="140" t="e">
        <f ca="1">IF($BG288+$BM288+$BS288+$BY288=1,0,IF(OR(AND($BB288&lt;65,$BB288&gt;=60),$BW288&gt;=Control!$C$89),1*$BA288,$CE287))</f>
        <v>#N/A</v>
      </c>
      <c r="CB288" s="140" t="e">
        <f ca="1">IF($BX288&lt;0,-$BX288,$CA288*IF(OR($G288&lt;Control!$C$92,$G288&gt;Control!$C$95),0,IF(AND($G288&gt;=Control!$C$92,$G288&lt;=Control!$C$93),$G288-Control!$C$92,IF(AND($G288&gt;Control!$C$93,$G288&lt;=Control!$C$94),Control!$C$93-Control!$C$92,IF(AND($G288&gt;Control!$C$94,$G288&lt;=Control!$C$95),(Control!$C$93-Control!$C$92)*(Control!$C$94-$G288)/(Control!$C$95-Control!$C$94))))))</f>
        <v>#N/A</v>
      </c>
      <c r="CC288" s="140" t="e">
        <f t="shared" ca="1" si="1061"/>
        <v>#N/A</v>
      </c>
      <c r="CD288" s="140" t="e">
        <f ca="1">IF($CC288&lt;=Control!$C$90,$CC288,Control!$C$90-$CC288)</f>
        <v>#N/A</v>
      </c>
      <c r="CE288" s="140" t="e">
        <f ca="1">IF(AND($BB288&gt;=60,$BB288&lt;65),1,IF($CC288&gt;=Control!$C$90,0,$CA288))</f>
        <v>#N/A</v>
      </c>
      <c r="CF288" s="404" t="e">
        <f ca="1">IF($CE288=0,0,IF($CC288&lt;=Control!$C$90,$CA288*(60+(65-60)*(CD288/Control!$C$90)),0))</f>
        <v>#N/A</v>
      </c>
      <c r="CG288" s="140" t="e">
        <f ca="1">IF($BG288+$BM288+$BS288+$BY288+$CE288=1,0,IF(OR(AND($BB288&lt;90,$BB288&gt;=65),$CC288&gt;=Control!$C$90),$BA288,$CK287))</f>
        <v>#N/A</v>
      </c>
      <c r="CH288" s="140" t="e">
        <f ca="1">IF($CD288&lt;0,-$CD288,$CG288*IF(OR($G288&lt;Control!$C$92,$G288&gt;Control!$C$95),0,IF(AND($G288&gt;=Control!$C$92,$G288&lt;=Control!$C$93),$G288-Control!$C$92,IF(AND($G288&gt;Control!$C$93,$G288&lt;=Control!$C$94),Control!$C$93-Control!$C$92,IF(AND($G288&gt;Control!$C$94,$G288&lt;=Control!$C$95),(Control!$C$93-Control!$C$92)*(Control!$C$94-$G288)/(Control!$C$95-Control!$C$94))))))</f>
        <v>#N/A</v>
      </c>
      <c r="CI288" s="140" t="e">
        <f t="shared" ca="1" si="1062"/>
        <v>#N/A</v>
      </c>
      <c r="CJ288" s="140" t="e">
        <f ca="1">IF($CI288&lt;=Control!$C$91,$CI288,Control!$C$91-$CI288)</f>
        <v>#N/A</v>
      </c>
      <c r="CK288" s="140" t="e">
        <f ca="1">IF(AND($BB288&gt;=65,$BB288&lt;90),1,IF($CI288&gt;=Control!$C$91,0,$CG288))</f>
        <v>#N/A</v>
      </c>
      <c r="CL288" s="404" t="e">
        <f ca="1">IF($CK288=0,0,IF($CI288&lt;=Control!$C$91,$CG288*(65+(90-65)*($CJ288/Control!$C$91)),0))</f>
        <v>#N/A</v>
      </c>
      <c r="CM288" s="140" t="e">
        <f ca="1">IF($BG288+$BM288+$BS288+$BY288+$CE288+$CK288=1,0,IF(OR($BB288&gt;=90,$CI288&gt;=Control!$C$91),$BA288,$CM287))</f>
        <v>#N/A</v>
      </c>
      <c r="CN288" s="140" t="e">
        <f t="shared" ca="1" si="1063"/>
        <v>#N/A</v>
      </c>
      <c r="CO288" s="140" t="e">
        <f t="shared" ca="1" si="1064"/>
        <v>#N/A</v>
      </c>
      <c r="CP288" s="140" t="e">
        <f t="shared" ca="1" si="1065"/>
        <v>#N/A</v>
      </c>
      <c r="CQ288" s="141" t="e">
        <f ca="1">VLOOKUP($CP288,Control!$B$86:$G$91,6)</f>
        <v>#N/A</v>
      </c>
      <c r="CR288" s="141" t="e">
        <f ca="1">(1-$CQ288)*VLOOKUP($CP288,Control!$B$86:$D$91,3)</f>
        <v>#N/A</v>
      </c>
      <c r="CS288" s="141" t="e">
        <f ca="1">(1-$CQ288)*VLOOKUP($CP288,Control!$B$86:$E$91,4)</f>
        <v>#N/A</v>
      </c>
      <c r="CT288" s="141" t="e">
        <f ca="1">(1-$CQ288)*VLOOKUP($CP288,Control!$B$86:$F$91,5)</f>
        <v>#N/A</v>
      </c>
      <c r="CU288" s="141">
        <f t="shared" ca="1" si="1066"/>
        <v>0</v>
      </c>
      <c r="CV288" s="583">
        <f t="shared" ca="1" si="1067"/>
        <v>0</v>
      </c>
      <c r="CW288" s="142">
        <f t="shared" ca="1" si="1068"/>
        <v>284</v>
      </c>
      <c r="CX288" s="612" t="e">
        <f ca="1">IF(Control!$C$114=1,(MIN(Control!$C$120*(IF($NT288-0.01&lt;0,0,1)),Control!$C$119-$CY288)))</f>
        <v>#DIV/0!</v>
      </c>
      <c r="CY288" s="143" t="e">
        <f t="shared" ca="1" si="1069"/>
        <v>#N/A</v>
      </c>
      <c r="CZ288" s="144">
        <f t="shared" ca="1" si="946"/>
        <v>0</v>
      </c>
      <c r="DA288" s="144">
        <f t="shared" ca="1" si="947"/>
        <v>0</v>
      </c>
      <c r="DB288" s="144" t="e">
        <f t="shared" ca="1" si="948"/>
        <v>#N/A</v>
      </c>
      <c r="DC288" s="144" t="e">
        <f t="shared" ca="1" si="949"/>
        <v>#N/A</v>
      </c>
      <c r="DD288" s="144" t="e">
        <f t="shared" ca="1" si="1154"/>
        <v>#N/A</v>
      </c>
      <c r="DE288" s="143" t="e">
        <f t="shared" ca="1" si="1070"/>
        <v>#N/A</v>
      </c>
      <c r="DF288" s="145" t="e">
        <f ca="1">$DR288*EXP(-Control!$C$158*(1-$KH288))</f>
        <v>#N/A</v>
      </c>
      <c r="DG288" s="146" t="e">
        <f ca="1">IF(Control!$C$114=1, $DF288*$EY288, 0)</f>
        <v>#N/A</v>
      </c>
      <c r="DH288" s="147" t="e">
        <f t="shared" ca="1" si="1071"/>
        <v>#N/A</v>
      </c>
      <c r="DI288" s="144" t="e">
        <f t="shared" ca="1" si="1132"/>
        <v>#N/A</v>
      </c>
      <c r="DJ288" s="147" t="e">
        <f ca="1">$EF288*Control!$C$109</f>
        <v>#N/A</v>
      </c>
      <c r="DK288" s="144" t="e">
        <f t="shared" ca="1" si="1072"/>
        <v>#N/A</v>
      </c>
      <c r="DL288" s="144" t="e">
        <f t="shared" ca="1" si="950"/>
        <v>#N/A</v>
      </c>
      <c r="DM288" s="144" t="e">
        <f ca="1">IF(Control!$C$114=1, (1-EXP(-Control!$C$96*$DK288))*$AR288, 0)</f>
        <v>#N/A</v>
      </c>
      <c r="DN288" s="144">
        <f t="shared" ca="1" si="1073"/>
        <v>0</v>
      </c>
      <c r="DO288" s="148">
        <f>Control!$C$97</f>
        <v>4</v>
      </c>
      <c r="DP288" s="145" t="e">
        <f t="shared" ca="1" si="1074"/>
        <v>#N/A</v>
      </c>
      <c r="DQ288" s="145" t="e">
        <f ca="1">IF(AND($CP288&gt;=0,$CP288&lt;=90),Control!$C$111,Control!$C$111)</f>
        <v>#N/A</v>
      </c>
      <c r="DR288" s="145" t="e">
        <f t="shared" ca="1" si="951"/>
        <v>#N/A</v>
      </c>
      <c r="DS288" s="143" t="e">
        <f ca="1">Control!$B$22/$DR288</f>
        <v>#N/A</v>
      </c>
      <c r="DT288" s="149" t="e">
        <f ca="1">IF(AND(Control!$C$114=1,$KH288&lt;1),$IM288*$DF288, 0)</f>
        <v>#N/A</v>
      </c>
      <c r="DU288" s="144" t="e">
        <f t="shared" ca="1" si="1075"/>
        <v>#N/A</v>
      </c>
      <c r="DV288" s="144">
        <f ca="1">IF($G288-Control!$C$107&lt;=0, 0, 0.83*LN(MAX($G288, 3))-0.8924)</f>
        <v>0</v>
      </c>
      <c r="DW288" s="144" t="e">
        <f t="shared" ca="1" si="952"/>
        <v>#N/A</v>
      </c>
      <c r="DX288" s="150" t="e">
        <f ca="1">MAX(0.01*(1+$CU288/Control!$C$102),0.05*($DK288-Control!$C$97)/Control!$C$97)</f>
        <v>#N/A</v>
      </c>
      <c r="DY288" s="151" t="e">
        <f ca="1">IF(Control!$C$114=1, $DI288*$FS288, 0)</f>
        <v>#N/A</v>
      </c>
      <c r="DZ288" s="196" t="e">
        <f t="shared" ca="1" si="1076"/>
        <v>#N/A</v>
      </c>
      <c r="EA288" s="152">
        <f t="shared" ca="1" si="1077"/>
        <v>284</v>
      </c>
      <c r="EB288" s="153" t="e">
        <f t="shared" ca="1" si="1078"/>
        <v>#N/A</v>
      </c>
      <c r="EC288" s="153" t="e">
        <f t="shared" ca="1" si="1079"/>
        <v>#N/A</v>
      </c>
      <c r="ED288" s="154" t="e">
        <f ca="1">IF(Control!$C$114=1, $HM288*$FY288-$FD288, 0)</f>
        <v>#DIV/0!</v>
      </c>
      <c r="EE288" s="155" t="e">
        <f ca="1">IF(Control!$C$114=1, $HM288*$FZ288-$FF288, 0)</f>
        <v>#DIV/0!</v>
      </c>
      <c r="EF288" s="153" t="e">
        <f t="shared" ca="1" si="1133"/>
        <v>#N/A</v>
      </c>
      <c r="EG288" s="155" t="e">
        <f ca="1">IF(Control!$C$114=1, $GX288*$FW288-$FI288, 0)</f>
        <v>#DIV/0!</v>
      </c>
      <c r="EH288" s="153" t="e">
        <f t="shared" ca="1" si="1080"/>
        <v>#N/A</v>
      </c>
      <c r="EI288" s="156" t="e">
        <f t="shared" ca="1" si="1081"/>
        <v>#N/A</v>
      </c>
      <c r="EJ288" s="155" t="e">
        <f ca="1">IF(Control!$C$114=1, $HM288*$GB288, 0)</f>
        <v>#DIV/0!</v>
      </c>
      <c r="EK288" s="153" t="e">
        <f t="shared" ca="1" si="1134"/>
        <v>#N/A</v>
      </c>
      <c r="EL288" s="153" t="e">
        <f t="shared" ca="1" si="953"/>
        <v>#N/A</v>
      </c>
      <c r="EM288" s="153" t="e">
        <f t="shared" ca="1" si="954"/>
        <v>#N/A</v>
      </c>
      <c r="EN288" s="153" t="e">
        <f ca="1">IF(Control!$C$108=1,IF(AND(Control!$B$18=1,$EB288&gt;=Control!$B$19),$EB288-$DS288,IF(AND(Control!$B$18=2,$AW288=1,$EB288&gt;$DS288),$EB288-$DS288,0)))</f>
        <v>#N/A</v>
      </c>
      <c r="EO288" s="153" t="e">
        <f ca="1">IF(Control!$C$108=1,IF(AND(Control!$B$18=1,$EB288&gt;=Control!$B$19),$EF288,IF(AND(Control!$B$18=2,$AW288=1),$EF288,0)))</f>
        <v>#N/A</v>
      </c>
      <c r="EP288" s="153" t="e">
        <f ca="1">IF(Control!$C$108=1,IF(AND(Control!$B$18=1,$EB288&gt;=Control!$B$19),$EK288,IF(AND(Control!$B$18=2,$AW288=1),$EK288,0)))</f>
        <v>#N/A</v>
      </c>
      <c r="EQ288" s="153" t="e">
        <f t="shared" ca="1" si="1082"/>
        <v>#N/A</v>
      </c>
      <c r="ER288" s="153" t="e">
        <f t="shared" ca="1" si="1083"/>
        <v>#N/A</v>
      </c>
      <c r="ES288" s="153" t="e">
        <f t="shared" ca="1" si="1135"/>
        <v>#N/A</v>
      </c>
      <c r="ET288" s="153" t="e">
        <f t="shared" ca="1" si="1136"/>
        <v>#N/A</v>
      </c>
      <c r="EU288" s="153" t="e">
        <f t="shared" ca="1" si="1084"/>
        <v>#N/A</v>
      </c>
      <c r="EV288" s="153" t="e">
        <f t="shared" ca="1" si="955"/>
        <v>#N/A</v>
      </c>
      <c r="EW288" s="153" t="e">
        <f t="shared" ca="1" si="956"/>
        <v>#N/A</v>
      </c>
      <c r="EX288" s="153" t="e">
        <f t="shared" ca="1" si="957"/>
        <v>#N/A</v>
      </c>
      <c r="EY288" s="157" t="e">
        <f t="shared" ca="1" si="958"/>
        <v>#DIV/0!</v>
      </c>
      <c r="EZ288" s="154" t="e">
        <f t="shared" ca="1" si="959"/>
        <v>#DIV/0!</v>
      </c>
      <c r="FA288" s="153" t="e">
        <f t="shared" ca="1" si="1085"/>
        <v>#N/A</v>
      </c>
      <c r="FB288" s="153" t="e">
        <f t="shared" ca="1" si="960"/>
        <v>#N/A</v>
      </c>
      <c r="FC288" s="193" t="e">
        <f t="shared" ca="1" si="961"/>
        <v>#N/A</v>
      </c>
      <c r="FD288" s="158" t="e">
        <f t="shared" ca="1" si="1086"/>
        <v>#N/A</v>
      </c>
      <c r="FE288" s="158" t="e">
        <f t="shared" ca="1" si="1087"/>
        <v>#N/A</v>
      </c>
      <c r="FF288" s="159" t="e">
        <f t="shared" ca="1" si="962"/>
        <v>#N/A</v>
      </c>
      <c r="FG288" s="160" t="e">
        <f t="shared" ca="1" si="1088"/>
        <v>#N/A</v>
      </c>
      <c r="FH288" s="158" t="e">
        <f t="shared" ca="1" si="1089"/>
        <v>#N/A</v>
      </c>
      <c r="FI288" s="159" t="e">
        <f t="shared" ca="1" si="963"/>
        <v>#N/A</v>
      </c>
      <c r="FJ288" s="160" t="e">
        <f t="shared" ca="1" si="1090"/>
        <v>#N/A</v>
      </c>
      <c r="FK288" s="160" t="e">
        <f t="shared" ca="1" si="964"/>
        <v>#N/A</v>
      </c>
      <c r="FL288" s="160" t="e">
        <f t="shared" ca="1" si="1137"/>
        <v>#N/A</v>
      </c>
      <c r="FM288" s="160" t="e">
        <f t="shared" ca="1" si="965"/>
        <v>#N/A</v>
      </c>
      <c r="FN288" s="158">
        <f t="shared" ca="1" si="1091"/>
        <v>0.01</v>
      </c>
      <c r="FO288" s="160">
        <f>Control!$C$101</f>
        <v>50</v>
      </c>
      <c r="FP288" s="150" t="e">
        <f t="shared" ca="1" si="966"/>
        <v>#N/A</v>
      </c>
      <c r="FQ288" s="150" t="e">
        <f ca="1">MAX(0,(Control!$C$112*(($DK288-Control!$C$97)/Control!$C$97)))</f>
        <v>#N/A</v>
      </c>
      <c r="FR288" s="150" t="e">
        <f ca="1">(1-$NT288)*Control!$C$113</f>
        <v>#DIV/0!</v>
      </c>
      <c r="FS288" s="198" t="e">
        <f t="shared" ca="1" si="967"/>
        <v>#N/A</v>
      </c>
      <c r="FT288" s="161">
        <f t="shared" ca="1" si="1092"/>
        <v>284</v>
      </c>
      <c r="FU288" s="162" t="e">
        <f ca="1">IF(Control!$B$34=1,VLOOKUP($CP288,Control!$B$86:$G$91,6),Control!$B$35)</f>
        <v>#N/A</v>
      </c>
      <c r="FV288" s="162" t="e">
        <f t="shared" ca="1" si="968"/>
        <v>#DIV/0!</v>
      </c>
      <c r="FW288" s="162" t="e">
        <f ca="1">IF(Control!$B$31=1,$FU288*$FV288,  $FU288)</f>
        <v>#N/A</v>
      </c>
      <c r="FX288" s="162" t="e">
        <f ca="1">IF(Control!$B$34=1,VLOOKUP($CP288,Control!$B$86:$G$91,3),Control!$B$36)</f>
        <v>#N/A</v>
      </c>
      <c r="FY288" s="162" t="e">
        <f t="shared" ca="1" si="969"/>
        <v>#N/A</v>
      </c>
      <c r="FZ288" s="162" t="e">
        <f ca="1">IF(Control!$B$34=1,VLOOKUP($CP288,Control!$B$86:$G$91,4),Control!$B$37)</f>
        <v>#N/A</v>
      </c>
      <c r="GA288" s="162" t="e">
        <f t="shared" ca="1" si="970"/>
        <v>#N/A</v>
      </c>
      <c r="GB288" s="162" t="e">
        <f ca="1">IF(Control!$B$34=1,VLOOKUP($CP288,Control!$B$86:$G$91,5),Control!$B$38)</f>
        <v>#N/A</v>
      </c>
      <c r="GC288" s="162" t="e">
        <f t="shared" ca="1" si="1093"/>
        <v>#N/A</v>
      </c>
      <c r="GD288" s="162">
        <f t="shared" ca="1" si="971"/>
        <v>1</v>
      </c>
      <c r="GE288" s="162">
        <f t="shared" ca="1" si="972"/>
        <v>1</v>
      </c>
      <c r="GF288" s="162">
        <f ca="1">IF(AND(Control!$C$104=1, Control!$C$62="F"),$GE288,1)</f>
        <v>1</v>
      </c>
      <c r="GG288" s="162" t="e">
        <f ca="1">IF(Control!$B$16=40,0,IF(AND(Control!$B$16&gt;40,Control!$B$16&lt;=360),(Control!$B$16-40)*((1-0)/(360-40)),IF(AND(Control!$B$16&gt;360,Control!$B$16&lt;=720),(1+(Control!$B$16-360)*((1.25-1)/(720-360))),IF(AND(Control!$B$16&gt;720,Control!$B$16&lt;=1000),(1.25+(Control!$B$16-720)*((1.35-1.25)/(1000-720))),IF(AND(Control!$B$16&gt;1000,Control!$B$16&lt;=2000),(1.35+(Control!$B$16-1000)*0))))))</f>
        <v>#N/A</v>
      </c>
      <c r="GH288" s="162" t="e">
        <f t="shared" ca="1" si="973"/>
        <v>#N/A</v>
      </c>
      <c r="GI288" s="162">
        <f t="shared" ca="1" si="1094"/>
        <v>0</v>
      </c>
      <c r="GJ288" s="162">
        <f t="shared" ca="1" si="974"/>
        <v>0</v>
      </c>
      <c r="GK288" s="162">
        <f t="shared" ca="1" si="1095"/>
        <v>1</v>
      </c>
      <c r="GL288" s="162">
        <f t="shared" ca="1" si="975"/>
        <v>1</v>
      </c>
      <c r="GM288" s="162" t="e">
        <f ca="1">MAX(0,MIN(1,1-Control!$C$156*(1.0001-$KH288)^2))</f>
        <v>#N/A</v>
      </c>
      <c r="GN288" s="162" t="e">
        <f ca="1">IF(Control!$B$26=1,$KU288,$KX288)</f>
        <v>#N/A</v>
      </c>
      <c r="GO288" s="162" t="e">
        <f ca="1">IF($CP288&lt;=60,Control!$C$105,IF($CP288&gt;=90,Control!$C$106,Control!$C$105+($CP288-60)*((Control!$C$106-Control!$C$105)/(90-60))))</f>
        <v>#N/A</v>
      </c>
      <c r="GP288" s="162" t="e">
        <f t="shared" ca="1" si="976"/>
        <v>#N/A</v>
      </c>
      <c r="GQ288" s="162" t="e">
        <f t="shared" ca="1" si="1096"/>
        <v>#N/A</v>
      </c>
      <c r="GR288" s="163" t="e">
        <f t="shared" ca="1" si="977"/>
        <v>#DIV/0!</v>
      </c>
      <c r="GS288" s="162" t="e">
        <f t="shared" ca="1" si="978"/>
        <v>#DIV/0!</v>
      </c>
      <c r="GT288" s="164" t="e">
        <f t="shared" ca="1" si="1097"/>
        <v>#N/A</v>
      </c>
      <c r="GU288" s="162" t="e">
        <f t="shared" ca="1" si="1098"/>
        <v>#N/A</v>
      </c>
      <c r="GV288" s="162" t="e">
        <f t="shared" ca="1" si="979"/>
        <v>#N/A</v>
      </c>
      <c r="GW288" s="162" t="e">
        <f t="shared" ca="1" si="980"/>
        <v>#DIV/0!</v>
      </c>
      <c r="GX288" s="162" t="e">
        <f t="shared" ca="1" si="1099"/>
        <v>#DIV/0!</v>
      </c>
      <c r="GY288" s="162" t="e">
        <f t="shared" ca="1" si="1100"/>
        <v>#DIV/0!</v>
      </c>
      <c r="GZ288" s="165" t="e">
        <f t="shared" ca="1" si="981"/>
        <v>#N/A</v>
      </c>
      <c r="HA288" s="162" t="e">
        <f ca="1">IF(Control!$C$114=1, $DI288*$FS288, 0)</f>
        <v>#N/A</v>
      </c>
      <c r="HB288" s="162" t="e">
        <f ca="1">$FA288/Control!$C$64</f>
        <v>#N/A</v>
      </c>
      <c r="HC288" s="162" t="e">
        <f t="shared" ca="1" si="982"/>
        <v>#DIV/0!</v>
      </c>
      <c r="HD288" s="162">
        <f ca="1">-ASIN(SIN(23.45*Control!$C$139)*COS(2*Control!$C$138*($AH288+10)/365))</f>
        <v>-0.13635448322512234</v>
      </c>
      <c r="HE288" s="165">
        <f t="shared" ca="1" si="1101"/>
        <v>0</v>
      </c>
      <c r="HF288" s="166">
        <f ca="1">IF(AND(Control!$C$61="T",$HE288&gt;=Control!$C$103,Control!$C$114=0),$AH288,Control!$C$59)</f>
        <v>1</v>
      </c>
      <c r="HG288" s="166">
        <f ca="1">IF(AND(Control!$C$61="T",$HE288&gt;=Control!$C$103,Control!$C$114=0),$HF288,Control!$C$59)</f>
        <v>1</v>
      </c>
      <c r="HH288" s="165">
        <f ca="1">IF(AND(OR(Control!$C$60&lt;=0, $AH288= Control!$C$59, Control!$C$60 &gt;0, $AH288 = Control!$C$60)), Control!$C$59, IF(Control!$C$60&gt;0, 0))</f>
        <v>1</v>
      </c>
      <c r="HI288" s="165">
        <f ca="1">IF(AND(OR(Control!$C$60&lt;=0, $AH288= Control!$C$59, Control!$C$60 &gt;0, $AH288 = Control!$C$60)), Control!$C$60, IF(Control!$C$60&lt;=0, 0))</f>
        <v>0</v>
      </c>
      <c r="HJ288" s="166">
        <f ca="1">IF(AND(Control!$C$62="F",$CV288&gt;=Control!$C$102),$AH288,0)</f>
        <v>0</v>
      </c>
      <c r="HK288" s="165" t="e">
        <f t="shared" ca="1" si="1138"/>
        <v>#N/A</v>
      </c>
      <c r="HL288" s="166">
        <f ca="1">IF(AND(Control!$C$61="T",$HE288&gt;=Control!$C$103,Control!$C$114=0),$HF288,0)</f>
        <v>0</v>
      </c>
      <c r="HM288" s="201" t="e">
        <f t="shared" ca="1" si="983"/>
        <v>#DIV/0!</v>
      </c>
      <c r="HN288" s="215">
        <f t="shared" ca="1" si="1102"/>
        <v>284</v>
      </c>
      <c r="HO288" s="216" t="e">
        <f ca="1">IF(AND($CP288&gt;=0, $CP288&lt;=90), Control!$C$152, Control!$C$152)</f>
        <v>#N/A</v>
      </c>
      <c r="HP288" s="216" t="e">
        <f t="shared" ca="1" si="984"/>
        <v>#N/A</v>
      </c>
      <c r="HQ288" s="217" t="e">
        <f ca="1">IF(OR(Control!$B$26=1,Control!$B$26=2),$KV288,$KS288)</f>
        <v>#DIV/0!</v>
      </c>
      <c r="HR288" s="218" t="e">
        <f t="shared" ca="1" si="1139"/>
        <v>#DIV/0!</v>
      </c>
      <c r="HS288" s="216" t="e">
        <f ca="1">Control!$C$154*$HP288</f>
        <v>#N/A</v>
      </c>
      <c r="HT288" s="216" t="e">
        <f ca="1">Control!$C$155*$HP288</f>
        <v>#N/A</v>
      </c>
      <c r="HU288" s="217" t="e">
        <f ca="1">Control!$C$161*$FI288</f>
        <v>#N/A</v>
      </c>
      <c r="HV288" s="218" t="e">
        <f t="shared" ca="1" si="1103"/>
        <v>#N/A</v>
      </c>
      <c r="HW288" s="218" t="e">
        <f ca="1">Control!$C$160*$FF288+$IP288*$EO288</f>
        <v>#N/A</v>
      </c>
      <c r="HX288" s="218" t="e">
        <f t="shared" ca="1" si="1140"/>
        <v>#N/A</v>
      </c>
      <c r="HY288" s="219" t="e">
        <f ca="1">IF(Control!$C$114=1, $EB288*$FS288, 0)</f>
        <v>#N/A</v>
      </c>
      <c r="HZ288" s="91" t="e">
        <f t="shared" ca="1" si="985"/>
        <v>#N/A</v>
      </c>
      <c r="IA288" s="220" t="e">
        <f ca="1">Control!$C$153*$HO288</f>
        <v>#N/A</v>
      </c>
      <c r="IB288" s="218" t="e">
        <f t="shared" ca="1" si="986"/>
        <v>#N/A</v>
      </c>
      <c r="IC288" s="220" t="e">
        <f ca="1">Control!$C$153*$HT288</f>
        <v>#N/A</v>
      </c>
      <c r="ID288" s="218" t="e">
        <f t="shared" ca="1" si="987"/>
        <v>#N/A</v>
      </c>
      <c r="IE288" s="221" t="e">
        <f ca="1">($EB288*Control!$C$159+$EF288*Control!$C$160)/(IF($GZ288&lt;&gt;0,$GZ288,1))</f>
        <v>#N/A</v>
      </c>
      <c r="IF288" s="216" t="e">
        <f t="shared" ca="1" si="988"/>
        <v>#N/A</v>
      </c>
      <c r="IG288" s="91">
        <f ca="1">IF(OR(Control!$B$198=$AH288,Control!$B$199=$AH288, Control!$B$200=$AH288, Control!$B$201=$AH288, Control!$B$202=$AH288, Control!$B$203=$AH288, Control!$B$204=$AH288, Control!$B$205=$AH288, Control!$B$206=$AH288, Control!$B$207=$AH288), 1, 0)</f>
        <v>0</v>
      </c>
      <c r="IH288" s="91">
        <f ca="1">IF($IG288=0,0, VLOOKUP($AH288,Control!$B$198:$C$207,2))</f>
        <v>0</v>
      </c>
      <c r="II288" s="222">
        <f t="shared" ca="1" si="1104"/>
        <v>0</v>
      </c>
      <c r="IJ288" s="91">
        <f>Control!$C$121</f>
        <v>0.7</v>
      </c>
      <c r="IK288" s="218">
        <f t="shared" ca="1" si="989"/>
        <v>0</v>
      </c>
      <c r="IL288" s="217" t="e">
        <f t="shared" ca="1" si="1141"/>
        <v>#N/A</v>
      </c>
      <c r="IM288" s="223" t="e">
        <f ca="1">IF(AND(Control!$C$114=1,$KH288&lt;1),$EB288*Control!$C$148*(1-$KH288), 0)</f>
        <v>#N/A</v>
      </c>
      <c r="IN288" s="217" t="e">
        <f t="shared" ca="1" si="990"/>
        <v>#DIV/0!</v>
      </c>
      <c r="IO288" s="91" t="e">
        <f ca="1">MAX(0,$IL288-$EF288*Control!$C$160)</f>
        <v>#N/A</v>
      </c>
      <c r="IP288" s="220" t="e">
        <f t="shared" ca="1" si="991"/>
        <v>#N/A</v>
      </c>
      <c r="IQ288" s="217" t="e">
        <f t="shared" ca="1" si="1105"/>
        <v>#N/A</v>
      </c>
      <c r="IR288" s="218" t="e">
        <f t="shared" ca="1" si="992"/>
        <v>#N/A</v>
      </c>
      <c r="IS288" s="217" t="e">
        <f ca="1">Control!$C$159*MAX(0,$FD288-$EN288)</f>
        <v>#N/A</v>
      </c>
      <c r="IT288" s="217" t="e">
        <f t="shared" ca="1" si="1142"/>
        <v>#N/A</v>
      </c>
      <c r="IU288" s="217" t="e">
        <f t="shared" ca="1" si="1106"/>
        <v>#N/A</v>
      </c>
      <c r="IV288" s="217" t="e">
        <f t="shared" ca="1" si="1143"/>
        <v>#N/A</v>
      </c>
      <c r="IW288" s="217" t="e">
        <f ca="1">IF(OR($AW288=1,AND($AW288=0, Control!$B$18=1,$EN288&lt;&gt;0)), $IQ288-$IU288, $IQ288)</f>
        <v>#N/A</v>
      </c>
      <c r="IX288" s="218" t="e">
        <f t="shared" ca="1" si="993"/>
        <v>#N/A</v>
      </c>
      <c r="IY288" s="218" t="e">
        <f ca="1">MAX(0,$IQ288-$EB288*Control!$C$159)</f>
        <v>#N/A</v>
      </c>
      <c r="IZ288" s="218" t="e">
        <f t="shared" ca="1" si="994"/>
        <v>#N/A</v>
      </c>
      <c r="JA288" s="216" t="e">
        <f t="shared" ca="1" si="995"/>
        <v>#N/A</v>
      </c>
      <c r="JB288" s="217" t="e">
        <f t="shared" ca="1" si="996"/>
        <v>#N/A</v>
      </c>
      <c r="JC288" s="222" t="e">
        <f ca="1">MAX(Control!$C$157*$EK288-$JT288, 0)/Control!$C$162</f>
        <v>#N/A</v>
      </c>
      <c r="JD288" s="218" t="e">
        <f t="shared" ca="1" si="997"/>
        <v>#N/A</v>
      </c>
      <c r="JE288" s="218" t="e">
        <f t="shared" ca="1" si="998"/>
        <v>#N/A</v>
      </c>
      <c r="JF288" s="218" t="e">
        <f t="shared" ca="1" si="1107"/>
        <v>#N/A</v>
      </c>
      <c r="JG288" s="218" t="e">
        <f t="shared" ca="1" si="999"/>
        <v>#N/A</v>
      </c>
      <c r="JH288" s="217" t="e">
        <f t="shared" ca="1" si="1108"/>
        <v>#N/A</v>
      </c>
      <c r="JI288" s="217" t="e">
        <f t="shared" ca="1" si="1109"/>
        <v>#N/A</v>
      </c>
      <c r="JJ288" s="217" t="e">
        <f t="shared" ca="1" si="1144"/>
        <v>#N/A</v>
      </c>
      <c r="JK288" s="217" t="e">
        <f ca="1">IF(Control!$C$114=1,IF(Control!$B$24=0,MAX(0,$JI288)*$GN288/Control!$C$64,(MAX(0,MIN($JI288,$JJ288*$GN288/Control!$C$64),0))))</f>
        <v>#N/A</v>
      </c>
      <c r="JL288" s="217" t="e">
        <f ca="1">$IK288/Control!$C$64-$JK288+$HQ288</f>
        <v>#N/A</v>
      </c>
      <c r="JM288" s="217" t="e">
        <f ca="1">IF(Control!$C$114=1,($JB288/(IF($JI288&lt;&gt;0,$JI288,1)))*$JK288,0)</f>
        <v>#N/A</v>
      </c>
      <c r="JN288" s="217" t="e">
        <f ca="1">IF(Control!$C$114=1,($JG288/(IF($JI288&lt;&gt;0,$JI288,1)))*$JK288, 0)</f>
        <v>#N/A</v>
      </c>
      <c r="JO288" s="218" t="e">
        <f t="shared" ca="1" si="1000"/>
        <v>#N/A</v>
      </c>
      <c r="JP288" s="218" t="e">
        <f ca="1">MIN(($IY288+$IO288)*Control!$C$151, $JF288-$EH288*Control!$C$161)</f>
        <v>#N/A</v>
      </c>
      <c r="JQ288" s="218" t="e">
        <f t="shared" ca="1" si="1001"/>
        <v>#N/A</v>
      </c>
      <c r="JR288" s="217" t="e">
        <f ca="1">IF($CP288-Control!$C$150&lt;0, 0, $JQ288/Control!$C$162)</f>
        <v>#N/A</v>
      </c>
      <c r="JS288" s="218" t="e">
        <f t="shared" ca="1" si="1002"/>
        <v>#N/A</v>
      </c>
      <c r="JT288" s="218" t="e">
        <f t="shared" ca="1" si="1110"/>
        <v>#N/A</v>
      </c>
      <c r="JU288" s="218" t="e">
        <f t="shared" ca="1" si="1003"/>
        <v>#N/A</v>
      </c>
      <c r="JV288" s="218" t="e">
        <f t="shared" ca="1" si="1004"/>
        <v>#N/A</v>
      </c>
      <c r="JW288" s="216" t="e">
        <f t="shared" ca="1" si="1005"/>
        <v>#N/A</v>
      </c>
      <c r="JX288" s="91" t="e">
        <f t="shared" ca="1" si="1006"/>
        <v>#N/A</v>
      </c>
      <c r="JY288" s="218" t="e">
        <f t="shared" ca="1" si="1007"/>
        <v>#N/A</v>
      </c>
      <c r="JZ288" s="217" t="e">
        <f ca="1">IF(Control!$C$114=1,($IZ288/(IF($JI288&lt;&gt;0,$JI288,1)))*$JK288, 0)</f>
        <v>#N/A</v>
      </c>
      <c r="KA288" s="218" t="e">
        <f t="shared" ca="1" si="1145"/>
        <v>#N/A</v>
      </c>
      <c r="KB288" s="218" t="e">
        <f t="shared" ca="1" si="1111"/>
        <v>#N/A</v>
      </c>
      <c r="KC288" s="218" t="e">
        <f t="shared" ca="1" si="1008"/>
        <v>#N/A</v>
      </c>
      <c r="KD288" s="218" t="e">
        <f t="shared" ca="1" si="1009"/>
        <v>#N/A</v>
      </c>
      <c r="KE288" s="218" t="e">
        <f t="shared" ca="1" si="1010"/>
        <v>#N/A</v>
      </c>
      <c r="KF288" s="218" t="e">
        <f t="shared" ca="1" si="1011"/>
        <v>#N/A</v>
      </c>
      <c r="KG288" s="216" t="e">
        <f t="shared" ca="1" si="1012"/>
        <v>#N/A</v>
      </c>
      <c r="KH288" s="221" t="e">
        <f ca="1">IF(Control!$B$24=0,1,MAX(0.001,MIN(1,IF(($IF288-$IE288)&lt;&gt;0,($KG288-$IE288)/($IF288-$IE288),1))))</f>
        <v>#N/A</v>
      </c>
      <c r="KI288" s="222" t="e">
        <f ca="1">IF(Control!$C$114=1, $KI287+ $KH287, 0)</f>
        <v>#N/A</v>
      </c>
      <c r="KJ288" s="217" t="e">
        <f t="shared" ca="1" si="1013"/>
        <v>#N/A</v>
      </c>
      <c r="KK288" s="218" t="e">
        <f t="shared" ca="1" si="1014"/>
        <v>#N/A</v>
      </c>
      <c r="KL288" s="274" t="e">
        <f ca="1">IF(Control!$B$26=3,4000000000*EXP(-8400/($G288+273)),IF(Control!$B$26=4,4000000000*EXP(-8400/($G288+273))*($KT288),0))</f>
        <v>#DIV/0!</v>
      </c>
      <c r="KM288" s="274" t="e">
        <f ca="1">IF(Control!$B$26=3,5600000000000*EXP(-9800/($G288+273)),IF(Control!$B$26=4,5600000000000*EXP(-9800/($G288+273))*$KT288,0))</f>
        <v>#DIV/0!</v>
      </c>
      <c r="KN288" s="454" t="e">
        <f t="shared" ca="1" si="1112"/>
        <v>#DIV/0!</v>
      </c>
      <c r="KO288" s="274" t="e">
        <f t="shared" ca="1" si="1113"/>
        <v>#DIV/0!</v>
      </c>
      <c r="KP288" s="454" t="e">
        <f t="shared" ca="1" si="1015"/>
        <v>#DIV/0!</v>
      </c>
      <c r="KQ288" s="454" t="e">
        <f t="shared" ca="1" si="1016"/>
        <v>#DIV/0!</v>
      </c>
      <c r="KR288" s="454" t="e">
        <f t="shared" ca="1" si="1017"/>
        <v>#DIV/0!</v>
      </c>
      <c r="KS288" s="454" t="e">
        <f t="shared" ca="1" si="1018"/>
        <v>#DIV/0!</v>
      </c>
      <c r="KT288" s="455" t="e">
        <f t="shared" ca="1" si="1019"/>
        <v>#DIV/0!</v>
      </c>
      <c r="KU288" s="456" t="e">
        <f ca="1">IF($CP288-Control!$C$149&lt;0, IF($NT288-0.01&lt;0,0,1),0)</f>
        <v>#N/A</v>
      </c>
      <c r="KV288" s="456" t="e">
        <f ca="1">IF(Control!$C$114=1,MAX(0,MIN(Control!$C$125*$KW288*$GN288,$KW288)))</f>
        <v>#DIV/0!</v>
      </c>
      <c r="KW288" s="456" t="e">
        <f t="shared" ca="1" si="1146"/>
        <v>#DIV/0!</v>
      </c>
      <c r="KX288" s="457" t="e">
        <f ca="1">IF($CP288-Control!$C$149&lt;0, IF($MR288-$OM288&lt;0,0,1),0)</f>
        <v>#N/A</v>
      </c>
      <c r="KY288" s="167">
        <f t="shared" ca="1" si="1114"/>
        <v>284</v>
      </c>
      <c r="KZ288" s="168">
        <f ca="1">1370*(1+0.033*COS(2*Control!$C$138*$AH288/365))</f>
        <v>1377.9362875074671</v>
      </c>
      <c r="LA288" s="169">
        <f t="shared" ca="1" si="1115"/>
        <v>1.0057925391839071</v>
      </c>
      <c r="LB288" s="169">
        <f t="shared" ca="1" si="1116"/>
        <v>-0.14302388018081227</v>
      </c>
      <c r="LC288" s="169">
        <f ca="1">ACOS(-TAN((2*Control!$B$8/360))*TAN(Calculations!$LB288))</f>
        <v>1.5279838733924123</v>
      </c>
      <c r="LD288" s="169">
        <f ca="1">((24*60)/PI())*0.082*$LA288*(($LC288*SIN(Control!$B$8*2*PI()/360))*SIN($LB288)+COS(Control!$B$8*2*PI()/360)*COS($LB288)*SIN($LC288))</f>
        <v>16.527533708294037</v>
      </c>
      <c r="LE288" s="170">
        <f t="shared" ca="1" si="1020"/>
        <v>17.092134256922051</v>
      </c>
      <c r="LF288" s="170">
        <f ca="1">SIN(Control!$C$139*Control!$B$8)*SIN($HD288)</f>
        <v>-0.10711632831092577</v>
      </c>
      <c r="LG288" s="170">
        <f ca="1">COS(Control!$C$139*Control!$B$8)*COS($HD288)</f>
        <v>0.60994532373677623</v>
      </c>
      <c r="LH288" s="170">
        <f ca="1">12*(1+2*ASIN(MAX(-1,MIN(1,$LF288/$LG288))/Control!$C$138))</f>
        <v>10.657693886601788</v>
      </c>
      <c r="LI288" s="170">
        <f ca="1">12*(1+2*ASIN(MAX(-1,MIN(1,(-SIN(-4*Control!$C$139)+$LF288)/$LG288))/Control!$C$138))</f>
        <v>11.532049140615699</v>
      </c>
      <c r="LJ288" s="168">
        <f ca="1">3600*($LH288*$LF288+24*$LG288*SQRT(1-$LK288*$LK288)/Control!$C$138)</f>
        <v>12404.154250005138</v>
      </c>
      <c r="LK288" s="170">
        <f t="shared" ca="1" si="1021"/>
        <v>-0.17561627926694648</v>
      </c>
      <c r="LL288" s="170">
        <f t="shared" ca="1" si="1022"/>
        <v>0</v>
      </c>
      <c r="LM288" s="171">
        <f ca="1">Control!$C$145*$AB288</f>
        <v>6.6660906138995932E-2</v>
      </c>
      <c r="LN288" s="170">
        <f t="shared" ca="1" si="1117"/>
        <v>0.54</v>
      </c>
      <c r="LO288" s="170">
        <f t="shared" ca="1" si="1023"/>
        <v>0</v>
      </c>
      <c r="LP288" s="170">
        <f ca="1">Control!$C$140*((($D288+273.16)^4+($E288+273.16)^4)/2)*(0.34-0.14*SQRT($Y288))*(1.35*$AQ288/(0.75*$LD288)-0.35)</f>
        <v>-3.2464704755046001</v>
      </c>
      <c r="LQ288" s="170">
        <f ca="1">Control!$C$140*($G288+273)^4*(0.56-0.079*SQRT($Y288*10))*(0.1+0.9*$LO288)</f>
        <v>1.5241745131704001</v>
      </c>
      <c r="LR288" s="170">
        <f ca="1">$AQ288*(1-Control!$C$142)-$LQ288</f>
        <v>-1.5241745131704001</v>
      </c>
      <c r="LS288" s="170">
        <f ca="1">$AQ288*(1-Control!$C$143)-$LQ288</f>
        <v>-1.5241745131704001</v>
      </c>
      <c r="LT288" s="170">
        <f ca="1">$AQ288*(1-Control!$C$144)-$LQ288</f>
        <v>-1.5241745131704001</v>
      </c>
      <c r="LU288" s="169">
        <f ca="1">(1-Control!$C$144)*AQ288-LP288</f>
        <v>3.2464704755046001</v>
      </c>
      <c r="LV288" s="172">
        <f t="shared" ca="1" si="1024"/>
        <v>0.79430000000000012</v>
      </c>
      <c r="LW288" s="170">
        <f t="shared" ca="1" si="1025"/>
        <v>1.5886000000000002</v>
      </c>
      <c r="LX288" s="170">
        <f ca="1">($AC288*($LR288/Control!$C$141)+$LM288*$LV288)/($AC288+$LM288)</f>
        <v>0.23530094218323697</v>
      </c>
      <c r="LY288" s="170">
        <f ca="1">($AC288*($LS288/Control!$C$141)+$LM288*$LV288)/($AC288+$LM288)</f>
        <v>0.23530094218323697</v>
      </c>
      <c r="LZ288" s="170">
        <f t="shared" ca="1" si="1026"/>
        <v>0.23530094218323697</v>
      </c>
      <c r="MA288" s="170">
        <f t="shared" ca="1" si="1027"/>
        <v>0.23530094218323697</v>
      </c>
      <c r="MB288" s="170" t="e">
        <f t="shared" ca="1" si="1028"/>
        <v>#N/A</v>
      </c>
      <c r="MC288" s="170">
        <f t="shared" ca="1" si="1118"/>
        <v>0.6018</v>
      </c>
      <c r="MD288" s="170">
        <f t="shared" ca="1" si="1029"/>
        <v>0.52989392535414004</v>
      </c>
      <c r="ME288" s="170">
        <f ca="1">($AC288*($LT288/Control!$C$141)+$LM288*$LW288)/($AC288+$LM288)</f>
        <v>0.71612369323045078</v>
      </c>
      <c r="MF288" s="170" t="e">
        <f ca="1">IF(Control!$B$16&gt;=1000,0.92,IF(AND(720&lt;=Control!$B$16,1000&gt;Control!$B$16),(0.95+(Control!$B$16-720)*((0.92-0.95)/(1000-720))),IF(AND(360&lt;=Control!$B$16,720&gt;Control!$B$16),(1+(Control!$B$16-360)*((0.95-1)/(720-360))),IF(AND(40&lt;=Control!$B$16,360&gt;Control!$B$16),(1.05+(Control!$B$16-40)*((1.05-1)/(360-40)))))))</f>
        <v>#N/A</v>
      </c>
      <c r="MG288" s="170">
        <f t="shared" ca="1" si="1030"/>
        <v>0.71612369323045078</v>
      </c>
      <c r="MH288" s="170" t="e">
        <f t="shared" ca="1" si="1156"/>
        <v>#N/A</v>
      </c>
      <c r="MI288" s="170" t="e">
        <f t="shared" ca="1" si="1156"/>
        <v>#N/A</v>
      </c>
      <c r="MJ288" s="170" t="e">
        <f ca="1">MAX(0.0001, Control!$C$132*$MI288*$DL288)</f>
        <v>#N/A</v>
      </c>
      <c r="MK288" s="170">
        <f ca="1">1/(0.76+1.5*($MG288/10))-(5-Control!$C$110)*0.1</f>
        <v>1.002845988140797</v>
      </c>
      <c r="ML288" s="173">
        <f ca="1">IF(Control!$C$110&lt;3,$MK288+($MG288-0.6)/(Control!$C$110*(Control!$C$110+3)), MAX(0.1, MIN(0.95,$MK288)))</f>
        <v>0.95</v>
      </c>
      <c r="MM288" s="173">
        <f ca="1">IF(Control!$C$110&lt;3,$MK288+(($MI288/10)-0.6)/(Control!$C$110*(Control!$C$110+3)), MAX(0.1, MIN(0.95,$MK288)))</f>
        <v>0.95</v>
      </c>
      <c r="MN288" s="173">
        <f ca="1">(1-$MM288)*(Control!$C$128-Control!$C$127)+Control!$C$127</f>
        <v>0.16</v>
      </c>
      <c r="MO288" s="170" t="e">
        <f ca="1">MAX(0,MIN(1,($MS288-Control!$C$127)/($MN288-Control!$C$127)))</f>
        <v>#DIV/0!</v>
      </c>
      <c r="MP288" s="173" t="e">
        <f ca="1">1/(0.76+1.5*$MI288)-(5-Control!$C$110)*0.1</f>
        <v>#N/A</v>
      </c>
      <c r="MQ288" s="172" t="e">
        <f t="shared" ca="1" si="1147"/>
        <v>#DIV/0!</v>
      </c>
      <c r="MR288" s="168" t="e">
        <f t="shared" ca="1" si="1119"/>
        <v>#DIV/0!</v>
      </c>
      <c r="MS288" s="173" t="e">
        <f ca="1">MAX(Control!$C$127, MIN(Control!$C$135, $MR288/MAX(0.0001,$CY288)))</f>
        <v>#DIV/0!</v>
      </c>
      <c r="MT288" s="168" t="e">
        <f ca="1">(Control!$C$128-$MS288)*Control!$C$74</f>
        <v>#DIV/0!</v>
      </c>
      <c r="MU288" s="168" t="e">
        <f ca="1">(Control!$C$135-$MS288)*Control!$C$74</f>
        <v>#DIV/0!</v>
      </c>
      <c r="MV288" s="168" t="e">
        <f t="shared" ca="1" si="1120"/>
        <v>#DIV/0!</v>
      </c>
      <c r="MW288" s="168" t="e">
        <f t="shared" ca="1" si="1121"/>
        <v>#DIV/0!</v>
      </c>
      <c r="MX288" s="171" t="e">
        <f ca="1">MAX(Control!$C$127, MIN(Control!$C$135, $MW288/MAX(0.0001,Control!$C$119-$CY288)))</f>
        <v>#DIV/0!</v>
      </c>
      <c r="MY288" s="54" t="e">
        <f ca="1">IF(Control!$C$114=1, $CX288*$MX288, 0)</f>
        <v>#DIV/0!</v>
      </c>
      <c r="MZ288" s="54" t="e">
        <f t="shared" ca="1" si="1122"/>
        <v>#N/A</v>
      </c>
      <c r="NA288" s="168" t="e">
        <f ca="1">(Control!$C$128-$MX288)*(Control!$C$119-Control!$C$74)</f>
        <v>#DIV/0!</v>
      </c>
      <c r="NB288" s="168" t="e">
        <f ca="1">(Control!$C$135-$MX288)*(Control!$C$119-Control!$C$74)</f>
        <v>#DIV/0!</v>
      </c>
      <c r="NC288" s="174" t="e">
        <f t="shared" ca="1" si="1123"/>
        <v>#DIV/0!</v>
      </c>
      <c r="ND288" s="54">
        <f ca="1">IF(Control!$C$58=2, IF(OR(Control!$B$218=$AH288,Control!$B$219=$AH288, Control!$B$220=$AH288, Control!$B$221=$AH288, Control!$B$222=$AH288, Control!$B$223=$AH288, Control!$B$224=$AH288, Control!$B$225=$AH288, Control!$B$226=$AH288, Control!$B$227=$AH288, Control!$B$228=$AH288), 1, 0), 0)</f>
        <v>0</v>
      </c>
      <c r="NE288" s="54">
        <f ca="1">IF($ND288=0,0, VLOOKUP($AH288,Control!$B$218:$C$228,2))</f>
        <v>0</v>
      </c>
      <c r="NF288" s="168" t="e">
        <f ca="1">$CY288*(Control!$C$128-Control!$C$127)</f>
        <v>#N/A</v>
      </c>
      <c r="NG288" s="54" t="e">
        <f ca="1">IF(Control!$C$58=2, $NI287-$NJ287, 0)</f>
        <v>#DIV/0!</v>
      </c>
      <c r="NH288" s="54" t="e">
        <f ca="1">IF(AND(Control!$C$58=1, $MS287&lt;= ($MN287+0.02), $I287&lt;10), 0, IF(Control!$C$58=2, $NG287, 0))</f>
        <v>#DIV/0!</v>
      </c>
      <c r="NI288" s="54" t="e">
        <f ca="1">IF(Control!$C$58=2, $NE288+$NH288,0)</f>
        <v>#DIV/0!</v>
      </c>
      <c r="NJ288" s="54" t="e">
        <f ca="1">IF(AND(Control!$C$58=1, $MS288&lt;= ($MN288+0.02), $I288&lt;10), MAX(0, MIN(10, 0.7*($NF288-$MV288))), IF(Control!$C$58=2, MIN(10,$NI288),0))</f>
        <v>#DIV/0!</v>
      </c>
      <c r="NK288" s="54" t="e">
        <f t="shared" ca="1" si="1031"/>
        <v>#DIV/0!</v>
      </c>
      <c r="NL288" s="173" t="e">
        <f ca="1">(1-Control!$C$73)*$I288+$NJ288</f>
        <v>#DIV/0!</v>
      </c>
      <c r="NM288" s="172" t="e">
        <f ca="1">IF($NL288&lt;0.5, $MB288* MAX(0, MIN(1, (SQRT($NC288)-SQRT($NC288-1))*Control!$C$71)),0)</f>
        <v>#DIV/0!</v>
      </c>
      <c r="NN288" s="170" t="e">
        <f ca="1">IF($NL288&gt;=5, $MB288, MAX(0,MIN($MB288, $NM288+$NL288,($MS288-Control!$C$129))))</f>
        <v>#DIV/0!</v>
      </c>
      <c r="NO288" s="54">
        <f>IF(Control!$C$133&lt;&gt;1, Control!$C$135-Control!$C$131, 0)</f>
        <v>0.38</v>
      </c>
      <c r="NP288" s="54" t="e">
        <f t="shared" ca="1" si="1032"/>
        <v>#DIV/0!</v>
      </c>
      <c r="NQ288" s="173" t="e">
        <f ca="1">MAX(0,MIN(1,(Control!$C$135-$MS288)/(Control!$C$135-$NO288)))</f>
        <v>#DIV/0!</v>
      </c>
      <c r="NR288" s="170" t="e">
        <f ca="1">IF(Control!$C$133&lt;&gt;1, $NQ288+((1-$NP288/4)*(1-$NQ288)),1)</f>
        <v>#DIV/0!</v>
      </c>
      <c r="NS288" s="170" t="e">
        <f ca="1">IF(Control!$B$31=0,$MJ288,MAX(0,MIN($MV288,$MO288*$NR288*$MJ288)))</f>
        <v>#DIV/0!</v>
      </c>
      <c r="NT288" s="170" t="e">
        <f t="shared" ca="1" si="1148"/>
        <v>#DIV/0!</v>
      </c>
      <c r="NU288" s="170" t="e">
        <f t="shared" ca="1" si="1124"/>
        <v>#N/A</v>
      </c>
      <c r="NV288" s="170" t="e">
        <f t="shared" ca="1" si="1033"/>
        <v>#N/A</v>
      </c>
      <c r="NW288" s="175" t="e">
        <f t="shared" ca="1" si="1034"/>
        <v>#DIV/0!</v>
      </c>
      <c r="NX288" s="170" t="e">
        <f ca="1">MIN(Control!$C$72+$MU288, $NW288)</f>
        <v>#DIV/0!</v>
      </c>
      <c r="NY288" s="170" t="e">
        <f ca="1">IF($MT288&lt;=$NX288,MIN(Control!$C$72+$NB288,$NX288-$MT288),0)</f>
        <v>#DIV/0!</v>
      </c>
      <c r="NZ288" s="54" t="e">
        <f ca="1">IF(Control!$C$114=1,  $CX288*($MX288-Control!$C$127), 0)</f>
        <v>#DIV/0!</v>
      </c>
      <c r="OA288" s="170" t="e">
        <f t="shared" ca="1" si="1035"/>
        <v>#DIV/0!</v>
      </c>
      <c r="OB288" s="170" t="e">
        <f ca="1">IF($NA288 &lt;=$NY288, MIN(Control!$C$72, $NY288-$NA288), 0)</f>
        <v>#DIV/0!</v>
      </c>
      <c r="OC288" s="168" t="e">
        <f t="shared" ca="1" si="1036"/>
        <v>#DIV/0!</v>
      </c>
      <c r="OD288" s="168" t="e">
        <f t="shared" ca="1" si="1125"/>
        <v>#DIV/0!</v>
      </c>
      <c r="OE288" s="170">
        <f ca="1">Control!$C$73*$I288</f>
        <v>0</v>
      </c>
      <c r="OF288" s="176" t="e">
        <f t="shared" ca="1" si="1037"/>
        <v>#DIV/0!</v>
      </c>
      <c r="OG288" s="168" t="e">
        <f t="shared" ca="1" si="1038"/>
        <v>#DIV/0!</v>
      </c>
      <c r="OH288" s="168" t="e">
        <f t="shared" ca="1" si="1039"/>
        <v>#DIV/0!</v>
      </c>
      <c r="OI288" s="168" t="e">
        <f t="shared" ca="1" si="1040"/>
        <v>#DIV/0!</v>
      </c>
      <c r="OJ288" s="168" t="e">
        <f t="shared" ca="1" si="1041"/>
        <v>#DIV/0!</v>
      </c>
      <c r="OK288" s="204" t="e">
        <f t="shared" ca="1" si="1042"/>
        <v>#DIV/0!</v>
      </c>
      <c r="OL288" s="177">
        <f>Control!$C$127</f>
        <v>0.15</v>
      </c>
      <c r="OM288" s="182" t="e">
        <f t="shared" ca="1" si="1043"/>
        <v>#N/A</v>
      </c>
      <c r="ON288" s="177">
        <f>Control!$C$128</f>
        <v>0.35</v>
      </c>
      <c r="OO288" s="182" t="e">
        <f t="shared" ca="1" si="1044"/>
        <v>#N/A</v>
      </c>
      <c r="OP288" s="138">
        <f t="shared" ca="1" si="1126"/>
        <v>0</v>
      </c>
      <c r="OQ288" s="138" t="e">
        <f t="shared" ca="1" si="1149"/>
        <v>#DIV/0!</v>
      </c>
      <c r="OR288" s="138" t="e">
        <f t="shared" ca="1" si="1127"/>
        <v>#DIV/0!</v>
      </c>
      <c r="OS288" s="137" t="e">
        <f t="shared" ca="1" si="1150"/>
        <v>#DIV/0!</v>
      </c>
      <c r="OT288" s="139" t="e">
        <f t="shared" ca="1" si="1151"/>
        <v>#DIV/0!</v>
      </c>
      <c r="OU288" s="138" t="e">
        <f t="shared" ca="1" si="1152"/>
        <v>#N/A</v>
      </c>
      <c r="OV288" s="138" t="e">
        <f t="shared" ca="1" si="1153"/>
        <v>#DIV/0!</v>
      </c>
      <c r="OW288" s="138" t="e">
        <f t="shared" ca="1" si="1128"/>
        <v>#DIV/0!</v>
      </c>
      <c r="OX288" s="138" t="e">
        <f t="shared" ca="1" si="1129"/>
        <v>#DIV/0!</v>
      </c>
      <c r="OY288" s="138" t="e">
        <f t="shared" ca="1" si="1130"/>
        <v>#DIV/0!</v>
      </c>
      <c r="OZ288" s="138" t="e">
        <f t="shared" ca="1" si="1045"/>
        <v>#DIV/0!</v>
      </c>
      <c r="PA288" s="138" t="e">
        <f t="shared" ca="1" si="1046"/>
        <v>#DIV/0!</v>
      </c>
      <c r="PB288" s="55">
        <f>IF(Control!$C$61="T", IF(Control!$C$65="F", IF($AH$6-Control!$C$60&lt;0,0,1), IF(365+$AH$6-Control!$C$60&lt;0,0,1)),0)</f>
        <v>0</v>
      </c>
      <c r="PC288" s="55">
        <f ca="1">IF(Control!$C$65="F", IF($AH$6-$HF288&lt;0,0,1), IF(365+$AH$6-$HF288&lt;0,0,1))</f>
        <v>1</v>
      </c>
      <c r="PD288" s="444">
        <f>Control!$C$118</f>
        <v>1500</v>
      </c>
      <c r="PE288" s="180" t="e">
        <f t="shared" ca="1" si="1047"/>
        <v>#N/A</v>
      </c>
      <c r="PF288" s="445">
        <f t="shared" ca="1" si="1131"/>
        <v>0.71612369323045078</v>
      </c>
      <c r="PT288" s="186"/>
      <c r="PU288" s="186"/>
      <c r="PV288" s="94"/>
      <c r="PW288" s="94"/>
      <c r="PX288" s="94"/>
      <c r="PY288" s="94"/>
      <c r="PZ288" s="94"/>
      <c r="QA288" s="94"/>
      <c r="QB288" s="94"/>
      <c r="QC288" s="94"/>
      <c r="QD288" s="94"/>
      <c r="QE288" s="94"/>
      <c r="QF288" s="94"/>
      <c r="QG288" s="94"/>
      <c r="QH288" s="94"/>
      <c r="QI288" s="94"/>
      <c r="QJ288" s="94"/>
      <c r="QK288" s="94"/>
      <c r="QL288" s="94"/>
      <c r="QM288" s="94"/>
      <c r="QN288" s="94"/>
      <c r="QO288" s="94"/>
      <c r="QP288" s="94"/>
    </row>
    <row r="289" spans="1:458" s="2" customFormat="1" x14ac:dyDescent="0.2">
      <c r="A289" s="395">
        <v>11</v>
      </c>
      <c r="B289" s="396">
        <v>10</v>
      </c>
      <c r="C289" s="387">
        <f ca="1">Weather_data!$B288</f>
        <v>0</v>
      </c>
      <c r="D289" s="388">
        <f ca="1">Weather_data!$F288</f>
        <v>0</v>
      </c>
      <c r="E289" s="388">
        <f ca="1">Weather_data!$E288</f>
        <v>0</v>
      </c>
      <c r="F289" s="388">
        <f t="shared" ca="1" si="1048"/>
        <v>0</v>
      </c>
      <c r="G289" s="388">
        <f ca="1">AVERAGE($D289:$E289)+Control!$B$9</f>
        <v>0</v>
      </c>
      <c r="H289" s="388">
        <f ca="1">Weather_data!$G288</f>
        <v>0</v>
      </c>
      <c r="I289" s="388">
        <f ca="1">Weather_data!$I288</f>
        <v>0</v>
      </c>
      <c r="J289" s="388">
        <f ca="1">Weather_data!$H288</f>
        <v>0</v>
      </c>
      <c r="K289" s="389">
        <f ca="1">Weather_data!$D288</f>
        <v>0</v>
      </c>
      <c r="L289" s="388" t="e">
        <f t="shared" ca="1" si="1049"/>
        <v>#N/A</v>
      </c>
      <c r="M289" s="388" t="e">
        <f t="shared" ca="1" si="927"/>
        <v>#N/A</v>
      </c>
      <c r="N289" s="388">
        <f t="shared" ca="1" si="928"/>
        <v>-5.6182385538266895E-14</v>
      </c>
      <c r="O289" s="388">
        <f t="shared" ca="1" si="1050"/>
        <v>5.6182385538266895E-13</v>
      </c>
      <c r="P289" s="390">
        <v>3</v>
      </c>
      <c r="Q289" s="388">
        <f ca="1">MAX($G289-Control!$C$107,0)</f>
        <v>0</v>
      </c>
      <c r="R289" s="388">
        <f t="shared" ca="1" si="1051"/>
        <v>0</v>
      </c>
      <c r="S289" s="388">
        <f t="shared" ca="1" si="929"/>
        <v>0</v>
      </c>
      <c r="T289" s="388">
        <f t="shared" ca="1" si="930"/>
        <v>0</v>
      </c>
      <c r="U289" s="59">
        <f t="shared" ca="1" si="931"/>
        <v>0</v>
      </c>
      <c r="V289" s="391">
        <f ca="1">MAX(0,MIN(Control!$C$100-Control!$C$99,$G289-Control!$C$99)*Control!$C$63)</f>
        <v>0</v>
      </c>
      <c r="W289" s="388">
        <f t="shared" ca="1" si="1052"/>
        <v>0</v>
      </c>
      <c r="X289" s="388">
        <f t="shared" ca="1" si="1053"/>
        <v>0.6110000000000001</v>
      </c>
      <c r="Y289" s="388">
        <f t="shared" ca="1" si="932"/>
        <v>0</v>
      </c>
      <c r="Z289" s="388">
        <f t="shared" ca="1" si="1054"/>
        <v>0.61058800000000002</v>
      </c>
      <c r="AA289" s="388">
        <f t="shared" ca="1" si="933"/>
        <v>0.6018</v>
      </c>
      <c r="AB289" s="388">
        <f ca="1">101.3*EXP(-0.034*Control!$C$66/($G289+273))</f>
        <v>100.69623283836242</v>
      </c>
      <c r="AC289" s="392">
        <f t="shared" ca="1" si="934"/>
        <v>4.3460251046025113E-2</v>
      </c>
      <c r="AD289" s="392">
        <f t="shared" ca="1" si="935"/>
        <v>4.4450382862832649E-2</v>
      </c>
      <c r="AE289" s="388">
        <f t="shared" ca="1" si="936"/>
        <v>0</v>
      </c>
      <c r="AF289" s="388">
        <f ca="1">MAX(0,$G289-Control!$C$92)</f>
        <v>0</v>
      </c>
      <c r="AG289" s="393">
        <f t="shared" ca="1" si="937"/>
        <v>285</v>
      </c>
      <c r="AH289" s="389">
        <f t="shared" ca="1" si="938"/>
        <v>285</v>
      </c>
      <c r="AI289" s="388">
        <f t="shared" ca="1" si="1055"/>
        <v>-0.14283544367332035</v>
      </c>
      <c r="AJ289" s="388">
        <f ca="1">IF(Control!$C$60&lt;=0,$HH289,$HI289)</f>
        <v>1</v>
      </c>
      <c r="AK289" s="388">
        <f t="shared" ca="1" si="939"/>
        <v>3.5289122958131922</v>
      </c>
      <c r="AL289" s="388">
        <f t="shared" ca="1" si="940"/>
        <v>1.2620338801783148E-18</v>
      </c>
      <c r="AM289" s="388">
        <f t="shared" ca="1" si="941"/>
        <v>3.5289122958131922</v>
      </c>
      <c r="AN289" s="388">
        <f t="shared" ca="1" si="942"/>
        <v>-0.15082339264607361</v>
      </c>
      <c r="AO289" s="388">
        <f ca="1">-0.10453/COS(Control!$B$8*PI()/180)*COS(AN289)</f>
        <v>-0.16785741492345588</v>
      </c>
      <c r="AP289" s="388">
        <f ca="1">ACOS(AO289-TAN(Control!$B$8*PI()/180)*TAN(AN289))</f>
        <v>1.544128221302959</v>
      </c>
      <c r="AQ289" s="388">
        <f t="shared" ca="1" si="1056"/>
        <v>0</v>
      </c>
      <c r="AR289" s="394">
        <f t="shared" ca="1" si="943"/>
        <v>0</v>
      </c>
      <c r="AS289" s="436">
        <f ca="1">IF(Control!$B$18=2,(IF(OR($AH289=Control!$B$175,$AH289=Control!$B$176,$AH289=Control!$B$177,$AH289=Control!$B$178,$AH289=Control!$B$179,$AH289=Control!$B$180,$AH289=Control!$B$181,$AH289=Control!$B$182,$AH289=Control!$B$183,$AH289=Control!$B$184,$AH289=Control!$B$185),1,0)),0)</f>
        <v>0</v>
      </c>
      <c r="AT289" s="436">
        <f>IF(Control!$B$20=8,IF(AND($AH289&gt;=Control!$B$172,$AH289&lt;=Control!$B$173),1,0),0)</f>
        <v>0</v>
      </c>
      <c r="AU289" s="436">
        <f>IF(Control!$B$20=8,IF($AV288=1,1*$AT289,IF($AT289=1,$AU288+1,$AU288)),0)</f>
        <v>0</v>
      </c>
      <c r="AV289" s="436">
        <f>IF(Control!$B$20=8,IF($AU289&gt;=Control!$B$174,1,0),0)</f>
        <v>0</v>
      </c>
      <c r="AW289" s="436">
        <f ca="1">IF(AND(Control!$B$18=2,Control!$B$171=1), $AV289, $AS289)</f>
        <v>0</v>
      </c>
      <c r="AX289" s="436" t="e">
        <f ca="1">IF(AND(Control!$B$18=1,$EU289&gt;=Control!$B$19),-$AY289,IF(AND(Control!$B$18=2,$AW289=1,$EU289&gt;$DS289),-$AY289, IF(Control!$C$108=0,0, IF(Control!$C$108&lt;&gt;0,1))))</f>
        <v>#N/A</v>
      </c>
      <c r="AY289" s="436" t="e">
        <f t="shared" ca="1" si="1057"/>
        <v>#N/A</v>
      </c>
      <c r="AZ289" s="436" t="e">
        <f ca="1">IF(AND(Control!$B$18=1,$EB289&gt;Control!$B$19),$AZ288+1, IF(AND(Control!$B$18=2, $AW289=1, $EB289&gt;$DS289), $AZ288+1,$AZ288))</f>
        <v>#N/A</v>
      </c>
      <c r="BA289" s="587">
        <f>IF(Control!$C$81=0,1,IF($AH289&gt;=Control!$C$82,1,0))</f>
        <v>1</v>
      </c>
      <c r="BB289" s="140" t="e">
        <f ca="1">IF($BA289&gt;$BA288,Control!$C$83,IF($AW289&gt;0,$AW289*Control!$C$84,IF(AND(Control!$B$18=1,EN288&lt;&gt;0),Control!$C$84,0)))</f>
        <v>#N/A</v>
      </c>
      <c r="BC289" s="140" t="e">
        <f t="shared" ca="1" si="1058"/>
        <v>#N/A</v>
      </c>
      <c r="BD289" s="140" t="e">
        <f ca="1">BC289*IF(OR($G289&lt;Control!$C$92,$G289&gt;Control!$C$95),0,IF(AND($G289&gt;=Control!$C$92,$G289&lt;=Control!$C$93),$G289-Control!$C$92,IF(AND($G289&gt;Control!$C$93,$G289&lt;=Control!$C$94),Control!$C$93-Control!$C$92,IF(AND($G289&gt;Control!$C$94,$G289&lt;=Control!$C$95),(Control!$C$93-Control!$C$92)*(Control!$C$94-$G289)/(Control!$C$95-Control!$C$94)))))</f>
        <v>#N/A</v>
      </c>
      <c r="BE289" s="140" t="e">
        <f t="shared" ca="1" si="1059"/>
        <v>#N/A</v>
      </c>
      <c r="BF289" s="140" t="e">
        <f ca="1">IF($BE289&lt;=Control!$C$86,$BE289,Control!$C$86-$BE289)</f>
        <v>#N/A</v>
      </c>
      <c r="BG289" s="140" t="e">
        <f ca="1">IF(AND($AW289=1,Control!$C$84&lt;9),1,IF($BE289&gt;=Control!$C$86,0,$BC289))</f>
        <v>#N/A</v>
      </c>
      <c r="BH289" s="404" t="e">
        <f ca="1">IF($BG289=0,0,IF($BE289&lt;=Control!$C$86,$BC289*9*($BF289/Control!$C$86),0))</f>
        <v>#N/A</v>
      </c>
      <c r="BI289" s="140" t="e">
        <f ca="1">IF($BG289=1,0,IF($BE289&gt;=Control!$C$86,1,IF(AND($BB289&lt;21,$BB289&gt;=9),1,$BM288)))</f>
        <v>#N/A</v>
      </c>
      <c r="BJ289" s="140" t="e">
        <f ca="1">IF($BF289&lt;0,-$BF289,$BI289*IF(OR($G289&lt;Control!$C$92,$G289&gt;Control!$C$95),0,IF(AND($G289&gt;=Control!$C$92,$G289&lt;=Control!$C$93),$G289-Control!$C$92,IF(AND($G289&gt;Control!$C$93,$G289&lt;=Control!$C$94),Control!$C$93-Control!$C$92,IF(AND($G289&gt;Control!$C$94,$G289&lt;=Control!$C$95),(Control!$C$93-Control!$C$92)*(Control!$C$94-$G289)/(Control!$C$95-Control!$C$94))))))</f>
        <v>#N/A</v>
      </c>
      <c r="BK289" s="140" t="e">
        <f t="shared" ca="1" si="1060"/>
        <v>#N/A</v>
      </c>
      <c r="BL289" s="140" t="e">
        <f ca="1">IF($BK289&lt;=Control!$C$87,$BK289,Control!$C$87-$BK289)</f>
        <v>#N/A</v>
      </c>
      <c r="BM289" s="140" t="e">
        <f ca="1">IF(AND($BB289&gt;=9,$BB289&lt;21),1,IF($BK289&gt;=Control!$C$87,0,$BI289))</f>
        <v>#N/A</v>
      </c>
      <c r="BN289" s="404" t="e">
        <f ca="1">IF($BM289=0,0,IF($BK289&lt;=Control!$C$87,$BI289*(9+(21-9)*($BL289/Control!$C$87)),0))</f>
        <v>#N/A</v>
      </c>
      <c r="BO289" s="140" t="e">
        <f ca="1">IF($BM289=1,0,IF($BK289&gt;=Control!$C$87,1,IF(AND($BB289&lt;30,$BB289&gt;=21),1,$BS288)))</f>
        <v>#N/A</v>
      </c>
      <c r="BP289" s="140" t="e">
        <f ca="1">IF($BL289&lt;0,-$BL289,$BO289*IF(OR($G289&lt;Control!$C$92,$G289&gt;Control!$C$95),0,IF(AND($G289&gt;=Control!$C$92,$G289&lt;=Control!$C$93),$G289-Control!$C$92,IF(AND($G289&gt;Control!$C$93,$G289&lt;=Control!$C$94),Control!$C$93-Control!$C$92,IF(AND($G289&gt;Control!$C$94,$G289&lt;=Control!$C$95),(Control!$C$93-Control!$C$92)*(Control!$C$94-$G289)/(Control!$C$95-Control!$C$94))))))</f>
        <v>#N/A</v>
      </c>
      <c r="BQ289" s="140" t="e">
        <f t="shared" ca="1" si="944"/>
        <v>#N/A</v>
      </c>
      <c r="BR289" s="140" t="e">
        <f ca="1">IF($BQ289&lt;=Control!$C$88,$BQ289,Control!$C$88-$BQ289)</f>
        <v>#N/A</v>
      </c>
      <c r="BS289" s="140" t="e">
        <f ca="1">IF(AND($BB289&gt;=21,$BB289&lt;30),1,IF($BQ289&gt;=Control!$C$88,0,$BO289))</f>
        <v>#N/A</v>
      </c>
      <c r="BT289" s="404" t="e">
        <f ca="1">IF($BS289=0,0,IF($BQ289&lt;=Control!$C$88,$BO289*(21+(30-21)*(BR289/Control!$C$88)),0))</f>
        <v>#N/A</v>
      </c>
      <c r="BU289" s="140" t="e">
        <f ca="1">IF(BG289+BM289+BS289=1,0,IF(OR(AND($BB289&lt;60,$BB289&gt;=30),$BQ289&gt;=Control!$C$88),1*$BA289,$BY288))</f>
        <v>#N/A</v>
      </c>
      <c r="BV289" s="140" t="e">
        <f ca="1">IF($BR289&lt;0,-$BR289,$BU289*IF(OR($G289&lt;Control!$C$92,$G289&gt;Control!$C$95),0,IF(AND($G289&gt;=Control!$C$92,$G289&lt;=Control!$C$93),$G289-Control!$C$92,IF(AND($G289&gt;Control!$C$93,$G289&lt;=Control!$C$94),Control!$C$93-Control!$C$92,IF(AND($G289&gt;Control!$C$94,$G289&lt;=Control!$C$95),(Control!$C$93-Control!$C$92)*(Control!$C$94-$G289)/(Control!$C$95-Control!$C$94))))))</f>
        <v>#N/A</v>
      </c>
      <c r="BW289" s="140" t="e">
        <f t="shared" ca="1" si="945"/>
        <v>#N/A</v>
      </c>
      <c r="BX289" s="140" t="e">
        <f ca="1">IF($BW289&lt;=Control!$C$89,$BW289,Control!$C$89-$BW289)</f>
        <v>#N/A</v>
      </c>
      <c r="BY289" s="140" t="e">
        <f ca="1">IF(AND($AJ289&gt;=30,$AJ289&lt;60),1,IF($BW289&gt;=Control!$C$89,0,$BU289))</f>
        <v>#N/A</v>
      </c>
      <c r="BZ289" s="404" t="e">
        <f ca="1">IF($BY289=0,0,IF($BW289&lt;=Control!$C$89,$BU289*(30+(60-30)*(BX289/Control!$C$89)),0))</f>
        <v>#N/A</v>
      </c>
      <c r="CA289" s="140" t="e">
        <f ca="1">IF($BG289+$BM289+$BS289+$BY289=1,0,IF(OR(AND($BB289&lt;65,$BB289&gt;=60),$BW289&gt;=Control!$C$89),1*$BA289,$CE288))</f>
        <v>#N/A</v>
      </c>
      <c r="CB289" s="140" t="e">
        <f ca="1">IF($BX289&lt;0,-$BX289,$CA289*IF(OR($G289&lt;Control!$C$92,$G289&gt;Control!$C$95),0,IF(AND($G289&gt;=Control!$C$92,$G289&lt;=Control!$C$93),$G289-Control!$C$92,IF(AND($G289&gt;Control!$C$93,$G289&lt;=Control!$C$94),Control!$C$93-Control!$C$92,IF(AND($G289&gt;Control!$C$94,$G289&lt;=Control!$C$95),(Control!$C$93-Control!$C$92)*(Control!$C$94-$G289)/(Control!$C$95-Control!$C$94))))))</f>
        <v>#N/A</v>
      </c>
      <c r="CC289" s="140" t="e">
        <f t="shared" ca="1" si="1061"/>
        <v>#N/A</v>
      </c>
      <c r="CD289" s="140" t="e">
        <f ca="1">IF($CC289&lt;=Control!$C$90,$CC289,Control!$C$90-$CC289)</f>
        <v>#N/A</v>
      </c>
      <c r="CE289" s="140" t="e">
        <f ca="1">IF(AND($BB289&gt;=60,$BB289&lt;65),1,IF($CC289&gt;=Control!$C$90,0,$CA289))</f>
        <v>#N/A</v>
      </c>
      <c r="CF289" s="404" t="e">
        <f ca="1">IF($CE289=0,0,IF($CC289&lt;=Control!$C$90,$CA289*(60+(65-60)*(CD289/Control!$C$90)),0))</f>
        <v>#N/A</v>
      </c>
      <c r="CG289" s="140" t="e">
        <f ca="1">IF($BG289+$BM289+$BS289+$BY289+$CE289=1,0,IF(OR(AND($BB289&lt;90,$BB289&gt;=65),$CC289&gt;=Control!$C$90),$BA289,$CK288))</f>
        <v>#N/A</v>
      </c>
      <c r="CH289" s="140" t="e">
        <f ca="1">IF($CD289&lt;0,-$CD289,$CG289*IF(OR($G289&lt;Control!$C$92,$G289&gt;Control!$C$95),0,IF(AND($G289&gt;=Control!$C$92,$G289&lt;=Control!$C$93),$G289-Control!$C$92,IF(AND($G289&gt;Control!$C$93,$G289&lt;=Control!$C$94),Control!$C$93-Control!$C$92,IF(AND($G289&gt;Control!$C$94,$G289&lt;=Control!$C$95),(Control!$C$93-Control!$C$92)*(Control!$C$94-$G289)/(Control!$C$95-Control!$C$94))))))</f>
        <v>#N/A</v>
      </c>
      <c r="CI289" s="140" t="e">
        <f t="shared" ca="1" si="1062"/>
        <v>#N/A</v>
      </c>
      <c r="CJ289" s="140" t="e">
        <f ca="1">IF($CI289&lt;=Control!$C$91,$CI289,Control!$C$91-$CI289)</f>
        <v>#N/A</v>
      </c>
      <c r="CK289" s="140" t="e">
        <f ca="1">IF(AND($BB289&gt;=65,$BB289&lt;90),1,IF($CI289&gt;=Control!$C$91,0,$CG289))</f>
        <v>#N/A</v>
      </c>
      <c r="CL289" s="404" t="e">
        <f ca="1">IF($CK289=0,0,IF($CI289&lt;=Control!$C$91,$CG289*(65+(90-65)*($CJ289/Control!$C$91)),0))</f>
        <v>#N/A</v>
      </c>
      <c r="CM289" s="140" t="e">
        <f ca="1">IF($BG289+$BM289+$BS289+$BY289+$CE289+$CK289=1,0,IF(OR($BB289&gt;=90,$CI289&gt;=Control!$C$91),$BA289,$CM288))</f>
        <v>#N/A</v>
      </c>
      <c r="CN289" s="140" t="e">
        <f t="shared" ca="1" si="1063"/>
        <v>#N/A</v>
      </c>
      <c r="CO289" s="140" t="e">
        <f t="shared" ca="1" si="1064"/>
        <v>#N/A</v>
      </c>
      <c r="CP289" s="140" t="e">
        <f t="shared" ca="1" si="1065"/>
        <v>#N/A</v>
      </c>
      <c r="CQ289" s="141" t="e">
        <f ca="1">VLOOKUP($CP289,Control!$B$86:$G$91,6)</f>
        <v>#N/A</v>
      </c>
      <c r="CR289" s="141" t="e">
        <f ca="1">(1-$CQ289)*VLOOKUP($CP289,Control!$B$86:$D$91,3)</f>
        <v>#N/A</v>
      </c>
      <c r="CS289" s="141" t="e">
        <f ca="1">(1-$CQ289)*VLOOKUP($CP289,Control!$B$86:$E$91,4)</f>
        <v>#N/A</v>
      </c>
      <c r="CT289" s="141" t="e">
        <f ca="1">(1-$CQ289)*VLOOKUP($CP289,Control!$B$86:$F$91,5)</f>
        <v>#N/A</v>
      </c>
      <c r="CU289" s="141">
        <f t="shared" ca="1" si="1066"/>
        <v>0</v>
      </c>
      <c r="CV289" s="583">
        <f t="shared" ca="1" si="1067"/>
        <v>0</v>
      </c>
      <c r="CW289" s="142">
        <f t="shared" ca="1" si="1068"/>
        <v>285</v>
      </c>
      <c r="CX289" s="612" t="e">
        <f ca="1">IF(Control!$C$114=1,(MIN(Control!$C$120*(IF($NT289-0.01&lt;0,0,1)),Control!$C$119-$CY289)))</f>
        <v>#DIV/0!</v>
      </c>
      <c r="CY289" s="143" t="e">
        <f t="shared" ca="1" si="1069"/>
        <v>#N/A</v>
      </c>
      <c r="CZ289" s="144">
        <f t="shared" ca="1" si="946"/>
        <v>0</v>
      </c>
      <c r="DA289" s="144">
        <f t="shared" ca="1" si="947"/>
        <v>0</v>
      </c>
      <c r="DB289" s="144" t="e">
        <f t="shared" ca="1" si="948"/>
        <v>#N/A</v>
      </c>
      <c r="DC289" s="144" t="e">
        <f t="shared" ca="1" si="949"/>
        <v>#N/A</v>
      </c>
      <c r="DD289" s="144" t="e">
        <f t="shared" ca="1" si="1154"/>
        <v>#N/A</v>
      </c>
      <c r="DE289" s="143" t="e">
        <f t="shared" ca="1" si="1070"/>
        <v>#N/A</v>
      </c>
      <c r="DF289" s="145" t="e">
        <f ca="1">$DR289*EXP(-Control!$C$158*(1-$KH289))</f>
        <v>#N/A</v>
      </c>
      <c r="DG289" s="146" t="e">
        <f ca="1">IF(Control!$C$114=1, $DF289*$EY289, 0)</f>
        <v>#N/A</v>
      </c>
      <c r="DH289" s="147" t="e">
        <f t="shared" ca="1" si="1071"/>
        <v>#N/A</v>
      </c>
      <c r="DI289" s="144" t="e">
        <f t="shared" ca="1" si="1132"/>
        <v>#N/A</v>
      </c>
      <c r="DJ289" s="147" t="e">
        <f ca="1">$EF289*Control!$C$109</f>
        <v>#N/A</v>
      </c>
      <c r="DK289" s="144" t="e">
        <f t="shared" ca="1" si="1072"/>
        <v>#N/A</v>
      </c>
      <c r="DL289" s="144" t="e">
        <f t="shared" ca="1" si="950"/>
        <v>#N/A</v>
      </c>
      <c r="DM289" s="144" t="e">
        <f ca="1">IF(Control!$C$114=1, (1-EXP(-Control!$C$96*$DK289))*$AR289, 0)</f>
        <v>#N/A</v>
      </c>
      <c r="DN289" s="144">
        <f t="shared" ca="1" si="1073"/>
        <v>0</v>
      </c>
      <c r="DO289" s="148">
        <f>Control!$C$97</f>
        <v>4</v>
      </c>
      <c r="DP289" s="145" t="e">
        <f t="shared" ca="1" si="1074"/>
        <v>#N/A</v>
      </c>
      <c r="DQ289" s="145" t="e">
        <f ca="1">IF(AND($CP289&gt;=0,$CP289&lt;=90),Control!$C$111,Control!$C$111)</f>
        <v>#N/A</v>
      </c>
      <c r="DR289" s="145" t="e">
        <f t="shared" ca="1" si="951"/>
        <v>#N/A</v>
      </c>
      <c r="DS289" s="143" t="e">
        <f ca="1">Control!$B$22/$DR289</f>
        <v>#N/A</v>
      </c>
      <c r="DT289" s="149" t="e">
        <f ca="1">IF(AND(Control!$C$114=1,$KH289&lt;1),$IM289*$DF289, 0)</f>
        <v>#N/A</v>
      </c>
      <c r="DU289" s="144" t="e">
        <f t="shared" ca="1" si="1075"/>
        <v>#N/A</v>
      </c>
      <c r="DV289" s="144">
        <f ca="1">IF($G289-Control!$C$107&lt;=0, 0, 0.83*LN(MAX($G289, 3))-0.8924)</f>
        <v>0</v>
      </c>
      <c r="DW289" s="144" t="e">
        <f t="shared" ca="1" si="952"/>
        <v>#N/A</v>
      </c>
      <c r="DX289" s="150" t="e">
        <f ca="1">MAX(0.01*(1+$CU289/Control!$C$102),0.05*($DK289-Control!$C$97)/Control!$C$97)</f>
        <v>#N/A</v>
      </c>
      <c r="DY289" s="151" t="e">
        <f ca="1">IF(Control!$C$114=1, $DI289*$FS289, 0)</f>
        <v>#N/A</v>
      </c>
      <c r="DZ289" s="196" t="e">
        <f t="shared" ca="1" si="1076"/>
        <v>#N/A</v>
      </c>
      <c r="EA289" s="152">
        <f t="shared" ca="1" si="1077"/>
        <v>285</v>
      </c>
      <c r="EB289" s="153" t="e">
        <f t="shared" ca="1" si="1078"/>
        <v>#N/A</v>
      </c>
      <c r="EC289" s="153" t="e">
        <f t="shared" ca="1" si="1079"/>
        <v>#N/A</v>
      </c>
      <c r="ED289" s="154" t="e">
        <f ca="1">IF(Control!$C$114=1, $HM289*$FY289-$FD289, 0)</f>
        <v>#DIV/0!</v>
      </c>
      <c r="EE289" s="155" t="e">
        <f ca="1">IF(Control!$C$114=1, $HM289*$FZ289-$FF289, 0)</f>
        <v>#DIV/0!</v>
      </c>
      <c r="EF289" s="153" t="e">
        <f t="shared" ca="1" si="1133"/>
        <v>#N/A</v>
      </c>
      <c r="EG289" s="155" t="e">
        <f ca="1">IF(Control!$C$114=1, $GX289*$FW289-$FI289, 0)</f>
        <v>#DIV/0!</v>
      </c>
      <c r="EH289" s="153" t="e">
        <f t="shared" ca="1" si="1080"/>
        <v>#N/A</v>
      </c>
      <c r="EI289" s="156" t="e">
        <f t="shared" ca="1" si="1081"/>
        <v>#N/A</v>
      </c>
      <c r="EJ289" s="155" t="e">
        <f ca="1">IF(Control!$C$114=1, $HM289*$GB289, 0)</f>
        <v>#DIV/0!</v>
      </c>
      <c r="EK289" s="153" t="e">
        <f t="shared" ca="1" si="1134"/>
        <v>#N/A</v>
      </c>
      <c r="EL289" s="153" t="e">
        <f t="shared" ca="1" si="953"/>
        <v>#N/A</v>
      </c>
      <c r="EM289" s="153" t="e">
        <f t="shared" ca="1" si="954"/>
        <v>#N/A</v>
      </c>
      <c r="EN289" s="153" t="e">
        <f ca="1">IF(Control!$C$108=1,IF(AND(Control!$B$18=1,$EB289&gt;=Control!$B$19),$EB289-$DS289,IF(AND(Control!$B$18=2,$AW289=1,$EB289&gt;$DS289),$EB289-$DS289,0)))</f>
        <v>#N/A</v>
      </c>
      <c r="EO289" s="153" t="e">
        <f ca="1">IF(Control!$C$108=1,IF(AND(Control!$B$18=1,$EB289&gt;=Control!$B$19),$EF289,IF(AND(Control!$B$18=2,$AW289=1),$EF289,0)))</f>
        <v>#N/A</v>
      </c>
      <c r="EP289" s="153" t="e">
        <f ca="1">IF(Control!$C$108=1,IF(AND(Control!$B$18=1,$EB289&gt;=Control!$B$19),$EK289,IF(AND(Control!$B$18=2,$AW289=1),$EK289,0)))</f>
        <v>#N/A</v>
      </c>
      <c r="EQ289" s="153" t="e">
        <f t="shared" ca="1" si="1082"/>
        <v>#N/A</v>
      </c>
      <c r="ER289" s="153" t="e">
        <f t="shared" ca="1" si="1083"/>
        <v>#N/A</v>
      </c>
      <c r="ES289" s="153" t="e">
        <f t="shared" ca="1" si="1135"/>
        <v>#N/A</v>
      </c>
      <c r="ET289" s="153" t="e">
        <f t="shared" ca="1" si="1136"/>
        <v>#N/A</v>
      </c>
      <c r="EU289" s="153" t="e">
        <f t="shared" ca="1" si="1084"/>
        <v>#N/A</v>
      </c>
      <c r="EV289" s="153" t="e">
        <f t="shared" ca="1" si="955"/>
        <v>#N/A</v>
      </c>
      <c r="EW289" s="153" t="e">
        <f t="shared" ca="1" si="956"/>
        <v>#N/A</v>
      </c>
      <c r="EX289" s="153" t="e">
        <f t="shared" ca="1" si="957"/>
        <v>#N/A</v>
      </c>
      <c r="EY289" s="157" t="e">
        <f t="shared" ca="1" si="958"/>
        <v>#DIV/0!</v>
      </c>
      <c r="EZ289" s="154" t="e">
        <f t="shared" ca="1" si="959"/>
        <v>#DIV/0!</v>
      </c>
      <c r="FA289" s="153" t="e">
        <f t="shared" ca="1" si="1085"/>
        <v>#N/A</v>
      </c>
      <c r="FB289" s="153" t="e">
        <f t="shared" ca="1" si="960"/>
        <v>#N/A</v>
      </c>
      <c r="FC289" s="193" t="e">
        <f t="shared" ca="1" si="961"/>
        <v>#N/A</v>
      </c>
      <c r="FD289" s="158" t="e">
        <f t="shared" ca="1" si="1086"/>
        <v>#N/A</v>
      </c>
      <c r="FE289" s="158" t="e">
        <f t="shared" ca="1" si="1087"/>
        <v>#N/A</v>
      </c>
      <c r="FF289" s="159" t="e">
        <f t="shared" ca="1" si="962"/>
        <v>#N/A</v>
      </c>
      <c r="FG289" s="160" t="e">
        <f t="shared" ca="1" si="1088"/>
        <v>#N/A</v>
      </c>
      <c r="FH289" s="158" t="e">
        <f t="shared" ca="1" si="1089"/>
        <v>#N/A</v>
      </c>
      <c r="FI289" s="159" t="e">
        <f t="shared" ca="1" si="963"/>
        <v>#N/A</v>
      </c>
      <c r="FJ289" s="160" t="e">
        <f t="shared" ca="1" si="1090"/>
        <v>#N/A</v>
      </c>
      <c r="FK289" s="160" t="e">
        <f t="shared" ca="1" si="964"/>
        <v>#N/A</v>
      </c>
      <c r="FL289" s="160" t="e">
        <f t="shared" ca="1" si="1137"/>
        <v>#N/A</v>
      </c>
      <c r="FM289" s="160" t="e">
        <f t="shared" ca="1" si="965"/>
        <v>#N/A</v>
      </c>
      <c r="FN289" s="158">
        <f t="shared" ca="1" si="1091"/>
        <v>0.01</v>
      </c>
      <c r="FO289" s="160">
        <f>Control!$C$101</f>
        <v>50</v>
      </c>
      <c r="FP289" s="150" t="e">
        <f t="shared" ca="1" si="966"/>
        <v>#N/A</v>
      </c>
      <c r="FQ289" s="150" t="e">
        <f ca="1">MAX(0,(Control!$C$112*(($DK289-Control!$C$97)/Control!$C$97)))</f>
        <v>#N/A</v>
      </c>
      <c r="FR289" s="150" t="e">
        <f ca="1">(1-$NT289)*Control!$C$113</f>
        <v>#DIV/0!</v>
      </c>
      <c r="FS289" s="198" t="e">
        <f t="shared" ca="1" si="967"/>
        <v>#N/A</v>
      </c>
      <c r="FT289" s="161">
        <f t="shared" ca="1" si="1092"/>
        <v>285</v>
      </c>
      <c r="FU289" s="162" t="e">
        <f ca="1">IF(Control!$B$34=1,VLOOKUP($CP289,Control!$B$86:$G$91,6),Control!$B$35)</f>
        <v>#N/A</v>
      </c>
      <c r="FV289" s="162" t="e">
        <f t="shared" ca="1" si="968"/>
        <v>#DIV/0!</v>
      </c>
      <c r="FW289" s="162" t="e">
        <f ca="1">IF(Control!$B$31=1,$FU289*$FV289,  $FU289)</f>
        <v>#N/A</v>
      </c>
      <c r="FX289" s="162" t="e">
        <f ca="1">IF(Control!$B$34=1,VLOOKUP($CP289,Control!$B$86:$G$91,3),Control!$B$36)</f>
        <v>#N/A</v>
      </c>
      <c r="FY289" s="162" t="e">
        <f t="shared" ca="1" si="969"/>
        <v>#N/A</v>
      </c>
      <c r="FZ289" s="162" t="e">
        <f ca="1">IF(Control!$B$34=1,VLOOKUP($CP289,Control!$B$86:$G$91,4),Control!$B$37)</f>
        <v>#N/A</v>
      </c>
      <c r="GA289" s="162" t="e">
        <f t="shared" ca="1" si="970"/>
        <v>#N/A</v>
      </c>
      <c r="GB289" s="162" t="e">
        <f ca="1">IF(Control!$B$34=1,VLOOKUP($CP289,Control!$B$86:$G$91,5),Control!$B$38)</f>
        <v>#N/A</v>
      </c>
      <c r="GC289" s="162" t="e">
        <f t="shared" ca="1" si="1093"/>
        <v>#N/A</v>
      </c>
      <c r="GD289" s="162">
        <f t="shared" ca="1" si="971"/>
        <v>1</v>
      </c>
      <c r="GE289" s="162">
        <f t="shared" ca="1" si="972"/>
        <v>1</v>
      </c>
      <c r="GF289" s="162">
        <f ca="1">IF(AND(Control!$C$104=1, Control!$C$62="F"),$GE289,1)</f>
        <v>1</v>
      </c>
      <c r="GG289" s="162" t="e">
        <f ca="1">IF(Control!$B$16=40,0,IF(AND(Control!$B$16&gt;40,Control!$B$16&lt;=360),(Control!$B$16-40)*((1-0)/(360-40)),IF(AND(Control!$B$16&gt;360,Control!$B$16&lt;=720),(1+(Control!$B$16-360)*((1.25-1)/(720-360))),IF(AND(Control!$B$16&gt;720,Control!$B$16&lt;=1000),(1.25+(Control!$B$16-720)*((1.35-1.25)/(1000-720))),IF(AND(Control!$B$16&gt;1000,Control!$B$16&lt;=2000),(1.35+(Control!$B$16-1000)*0))))))</f>
        <v>#N/A</v>
      </c>
      <c r="GH289" s="162" t="e">
        <f t="shared" ca="1" si="973"/>
        <v>#N/A</v>
      </c>
      <c r="GI289" s="162">
        <f t="shared" ca="1" si="1094"/>
        <v>0</v>
      </c>
      <c r="GJ289" s="162">
        <f t="shared" ca="1" si="974"/>
        <v>0</v>
      </c>
      <c r="GK289" s="162">
        <f t="shared" ca="1" si="1095"/>
        <v>1</v>
      </c>
      <c r="GL289" s="162">
        <f t="shared" ca="1" si="975"/>
        <v>1</v>
      </c>
      <c r="GM289" s="162" t="e">
        <f ca="1">MAX(0,MIN(1,1-Control!$C$156*(1.0001-$KH289)^2))</f>
        <v>#N/A</v>
      </c>
      <c r="GN289" s="162" t="e">
        <f ca="1">IF(Control!$B$26=1,$KU289,$KX289)</f>
        <v>#N/A</v>
      </c>
      <c r="GO289" s="162" t="e">
        <f ca="1">IF($CP289&lt;=60,Control!$C$105,IF($CP289&gt;=90,Control!$C$106,Control!$C$105+($CP289-60)*((Control!$C$106-Control!$C$105)/(90-60))))</f>
        <v>#N/A</v>
      </c>
      <c r="GP289" s="162" t="e">
        <f t="shared" ca="1" si="976"/>
        <v>#N/A</v>
      </c>
      <c r="GQ289" s="162" t="e">
        <f t="shared" ca="1" si="1096"/>
        <v>#N/A</v>
      </c>
      <c r="GR289" s="163" t="e">
        <f t="shared" ca="1" si="977"/>
        <v>#DIV/0!</v>
      </c>
      <c r="GS289" s="162" t="e">
        <f t="shared" ca="1" si="978"/>
        <v>#DIV/0!</v>
      </c>
      <c r="GT289" s="164" t="e">
        <f t="shared" ca="1" si="1097"/>
        <v>#N/A</v>
      </c>
      <c r="GU289" s="162" t="e">
        <f t="shared" ca="1" si="1098"/>
        <v>#N/A</v>
      </c>
      <c r="GV289" s="162" t="e">
        <f t="shared" ca="1" si="979"/>
        <v>#N/A</v>
      </c>
      <c r="GW289" s="162" t="e">
        <f t="shared" ca="1" si="980"/>
        <v>#DIV/0!</v>
      </c>
      <c r="GX289" s="162" t="e">
        <f t="shared" ca="1" si="1099"/>
        <v>#DIV/0!</v>
      </c>
      <c r="GY289" s="162" t="e">
        <f t="shared" ca="1" si="1100"/>
        <v>#DIV/0!</v>
      </c>
      <c r="GZ289" s="165" t="e">
        <f t="shared" ca="1" si="981"/>
        <v>#N/A</v>
      </c>
      <c r="HA289" s="162" t="e">
        <f ca="1">IF(Control!$C$114=1, $DI289*$FS289, 0)</f>
        <v>#N/A</v>
      </c>
      <c r="HB289" s="162" t="e">
        <f ca="1">$FA289/Control!$C$64</f>
        <v>#N/A</v>
      </c>
      <c r="HC289" s="162" t="e">
        <f t="shared" ca="1" si="982"/>
        <v>#DIV/0!</v>
      </c>
      <c r="HD289" s="162">
        <f ca="1">-ASIN(SIN(23.45*Control!$C$139)*COS(2*Control!$C$138*($AH289+10)/365))</f>
        <v>-0.14283544367332035</v>
      </c>
      <c r="HE289" s="165">
        <f t="shared" ca="1" si="1101"/>
        <v>0</v>
      </c>
      <c r="HF289" s="166">
        <f ca="1">IF(AND(Control!$C$61="T",$HE289&gt;=Control!$C$103,Control!$C$114=0),$AH289,Control!$C$59)</f>
        <v>1</v>
      </c>
      <c r="HG289" s="166">
        <f ca="1">IF(AND(Control!$C$61="T",$HE289&gt;=Control!$C$103,Control!$C$114=0),$HF289,Control!$C$59)</f>
        <v>1</v>
      </c>
      <c r="HH289" s="165">
        <f ca="1">IF(AND(OR(Control!$C$60&lt;=0, $AH289= Control!$C$59, Control!$C$60 &gt;0, $AH289 = Control!$C$60)), Control!$C$59, IF(Control!$C$60&gt;0, 0))</f>
        <v>1</v>
      </c>
      <c r="HI289" s="165">
        <f ca="1">IF(AND(OR(Control!$C$60&lt;=0, $AH289= Control!$C$59, Control!$C$60 &gt;0, $AH289 = Control!$C$60)), Control!$C$60, IF(Control!$C$60&lt;=0, 0))</f>
        <v>0</v>
      </c>
      <c r="HJ289" s="166">
        <f ca="1">IF(AND(Control!$C$62="F",$CV289&gt;=Control!$C$102),$AH289,0)</f>
        <v>0</v>
      </c>
      <c r="HK289" s="165" t="e">
        <f t="shared" ca="1" si="1138"/>
        <v>#N/A</v>
      </c>
      <c r="HL289" s="166">
        <f ca="1">IF(AND(Control!$C$61="T",$HE289&gt;=Control!$C$103,Control!$C$114=0),$HF289,0)</f>
        <v>0</v>
      </c>
      <c r="HM289" s="201" t="e">
        <f t="shared" ca="1" si="983"/>
        <v>#DIV/0!</v>
      </c>
      <c r="HN289" s="215">
        <f t="shared" ca="1" si="1102"/>
        <v>285</v>
      </c>
      <c r="HO289" s="216" t="e">
        <f ca="1">IF(AND($CP289&gt;=0, $CP289&lt;=90), Control!$C$152, Control!$C$152)</f>
        <v>#N/A</v>
      </c>
      <c r="HP289" s="216" t="e">
        <f t="shared" ca="1" si="984"/>
        <v>#N/A</v>
      </c>
      <c r="HQ289" s="217" t="e">
        <f ca="1">IF(OR(Control!$B$26=1,Control!$B$26=2),$KV289,$KS289)</f>
        <v>#DIV/0!</v>
      </c>
      <c r="HR289" s="218" t="e">
        <f t="shared" ca="1" si="1139"/>
        <v>#DIV/0!</v>
      </c>
      <c r="HS289" s="216" t="e">
        <f ca="1">Control!$C$154*$HP289</f>
        <v>#N/A</v>
      </c>
      <c r="HT289" s="216" t="e">
        <f ca="1">Control!$C$155*$HP289</f>
        <v>#N/A</v>
      </c>
      <c r="HU289" s="217" t="e">
        <f ca="1">Control!$C$161*$FI289</f>
        <v>#N/A</v>
      </c>
      <c r="HV289" s="218" t="e">
        <f t="shared" ca="1" si="1103"/>
        <v>#N/A</v>
      </c>
      <c r="HW289" s="218" t="e">
        <f ca="1">Control!$C$160*$FF289+$IP289*$EO289</f>
        <v>#N/A</v>
      </c>
      <c r="HX289" s="218" t="e">
        <f t="shared" ca="1" si="1140"/>
        <v>#N/A</v>
      </c>
      <c r="HY289" s="219" t="e">
        <f ca="1">IF(Control!$C$114=1, $EB289*$FS289, 0)</f>
        <v>#N/A</v>
      </c>
      <c r="HZ289" s="91" t="e">
        <f t="shared" ca="1" si="985"/>
        <v>#N/A</v>
      </c>
      <c r="IA289" s="220" t="e">
        <f ca="1">Control!$C$153*$HO289</f>
        <v>#N/A</v>
      </c>
      <c r="IB289" s="218" t="e">
        <f t="shared" ca="1" si="986"/>
        <v>#N/A</v>
      </c>
      <c r="IC289" s="220" t="e">
        <f ca="1">Control!$C$153*$HT289</f>
        <v>#N/A</v>
      </c>
      <c r="ID289" s="218" t="e">
        <f t="shared" ca="1" si="987"/>
        <v>#N/A</v>
      </c>
      <c r="IE289" s="221" t="e">
        <f ca="1">($EB289*Control!$C$159+$EF289*Control!$C$160)/(IF($GZ289&lt;&gt;0,$GZ289,1))</f>
        <v>#N/A</v>
      </c>
      <c r="IF289" s="216" t="e">
        <f t="shared" ca="1" si="988"/>
        <v>#N/A</v>
      </c>
      <c r="IG289" s="91">
        <f ca="1">IF(OR(Control!$B$198=$AH289,Control!$B$199=$AH289, Control!$B$200=$AH289, Control!$B$201=$AH289, Control!$B$202=$AH289, Control!$B$203=$AH289, Control!$B$204=$AH289, Control!$B$205=$AH289, Control!$B$206=$AH289, Control!$B$207=$AH289), 1, 0)</f>
        <v>0</v>
      </c>
      <c r="IH289" s="91">
        <f ca="1">IF($IG289=0,0, VLOOKUP($AH289,Control!$B$198:$C$207,2))</f>
        <v>0</v>
      </c>
      <c r="II289" s="222">
        <f t="shared" ca="1" si="1104"/>
        <v>0</v>
      </c>
      <c r="IJ289" s="91">
        <f>Control!$C$121</f>
        <v>0.7</v>
      </c>
      <c r="IK289" s="218">
        <f t="shared" ca="1" si="989"/>
        <v>0</v>
      </c>
      <c r="IL289" s="217" t="e">
        <f t="shared" ca="1" si="1141"/>
        <v>#N/A</v>
      </c>
      <c r="IM289" s="223" t="e">
        <f ca="1">IF(AND(Control!$C$114=1,$KH289&lt;1),$EB289*Control!$C$148*(1-$KH289), 0)</f>
        <v>#N/A</v>
      </c>
      <c r="IN289" s="217" t="e">
        <f t="shared" ca="1" si="990"/>
        <v>#DIV/0!</v>
      </c>
      <c r="IO289" s="91" t="e">
        <f ca="1">MAX(0,$IL289-$EF289*Control!$C$160)</f>
        <v>#N/A</v>
      </c>
      <c r="IP289" s="220" t="e">
        <f t="shared" ca="1" si="991"/>
        <v>#N/A</v>
      </c>
      <c r="IQ289" s="217" t="e">
        <f t="shared" ca="1" si="1105"/>
        <v>#N/A</v>
      </c>
      <c r="IR289" s="218" t="e">
        <f t="shared" ca="1" si="992"/>
        <v>#N/A</v>
      </c>
      <c r="IS289" s="217" t="e">
        <f ca="1">Control!$C$159*MAX(0,$FD289-$EN289)</f>
        <v>#N/A</v>
      </c>
      <c r="IT289" s="217" t="e">
        <f t="shared" ca="1" si="1142"/>
        <v>#N/A</v>
      </c>
      <c r="IU289" s="217" t="e">
        <f t="shared" ca="1" si="1106"/>
        <v>#N/A</v>
      </c>
      <c r="IV289" s="217" t="e">
        <f t="shared" ca="1" si="1143"/>
        <v>#N/A</v>
      </c>
      <c r="IW289" s="217" t="e">
        <f ca="1">IF(OR($AW289=1,AND($AW289=0, Control!$B$18=1,$EN289&lt;&gt;0)), $IQ289-$IU289, $IQ289)</f>
        <v>#N/A</v>
      </c>
      <c r="IX289" s="218" t="e">
        <f t="shared" ca="1" si="993"/>
        <v>#N/A</v>
      </c>
      <c r="IY289" s="218" t="e">
        <f ca="1">MAX(0,$IQ289-$EB289*Control!$C$159)</f>
        <v>#N/A</v>
      </c>
      <c r="IZ289" s="218" t="e">
        <f t="shared" ca="1" si="994"/>
        <v>#N/A</v>
      </c>
      <c r="JA289" s="216" t="e">
        <f t="shared" ca="1" si="995"/>
        <v>#N/A</v>
      </c>
      <c r="JB289" s="217" t="e">
        <f t="shared" ca="1" si="996"/>
        <v>#N/A</v>
      </c>
      <c r="JC289" s="222" t="e">
        <f ca="1">MAX(Control!$C$157*$EK289-$JT289, 0)/Control!$C$162</f>
        <v>#N/A</v>
      </c>
      <c r="JD289" s="218" t="e">
        <f t="shared" ca="1" si="997"/>
        <v>#N/A</v>
      </c>
      <c r="JE289" s="218" t="e">
        <f t="shared" ca="1" si="998"/>
        <v>#N/A</v>
      </c>
      <c r="JF289" s="218" t="e">
        <f t="shared" ca="1" si="1107"/>
        <v>#N/A</v>
      </c>
      <c r="JG289" s="218" t="e">
        <f t="shared" ca="1" si="999"/>
        <v>#N/A</v>
      </c>
      <c r="JH289" s="217" t="e">
        <f t="shared" ca="1" si="1108"/>
        <v>#N/A</v>
      </c>
      <c r="JI289" s="217" t="e">
        <f t="shared" ca="1" si="1109"/>
        <v>#N/A</v>
      </c>
      <c r="JJ289" s="217" t="e">
        <f t="shared" ca="1" si="1144"/>
        <v>#N/A</v>
      </c>
      <c r="JK289" s="217" t="e">
        <f ca="1">IF(Control!$C$114=1,IF(Control!$B$24=0,MAX(0,$JI289)*$GN289/Control!$C$64,(MAX(0,MIN($JI289,$JJ289*$GN289/Control!$C$64),0))))</f>
        <v>#N/A</v>
      </c>
      <c r="JL289" s="217" t="e">
        <f ca="1">$IK289/Control!$C$64-$JK289+$HQ289</f>
        <v>#N/A</v>
      </c>
      <c r="JM289" s="217" t="e">
        <f ca="1">IF(Control!$C$114=1,($JB289/(IF($JI289&lt;&gt;0,$JI289,1)))*$JK289,0)</f>
        <v>#N/A</v>
      </c>
      <c r="JN289" s="217" t="e">
        <f ca="1">IF(Control!$C$114=1,($JG289/(IF($JI289&lt;&gt;0,$JI289,1)))*$JK289, 0)</f>
        <v>#N/A</v>
      </c>
      <c r="JO289" s="218" t="e">
        <f t="shared" ca="1" si="1000"/>
        <v>#N/A</v>
      </c>
      <c r="JP289" s="218" t="e">
        <f ca="1">MIN(($IY289+$IO289)*Control!$C$151, $JF289-$EH289*Control!$C$161)</f>
        <v>#N/A</v>
      </c>
      <c r="JQ289" s="218" t="e">
        <f t="shared" ca="1" si="1001"/>
        <v>#N/A</v>
      </c>
      <c r="JR289" s="217" t="e">
        <f ca="1">IF($CP289-Control!$C$150&lt;0, 0, $JQ289/Control!$C$162)</f>
        <v>#N/A</v>
      </c>
      <c r="JS289" s="218" t="e">
        <f t="shared" ca="1" si="1002"/>
        <v>#N/A</v>
      </c>
      <c r="JT289" s="218" t="e">
        <f t="shared" ca="1" si="1110"/>
        <v>#N/A</v>
      </c>
      <c r="JU289" s="218" t="e">
        <f t="shared" ca="1" si="1003"/>
        <v>#N/A</v>
      </c>
      <c r="JV289" s="218" t="e">
        <f t="shared" ca="1" si="1004"/>
        <v>#N/A</v>
      </c>
      <c r="JW289" s="216" t="e">
        <f t="shared" ca="1" si="1005"/>
        <v>#N/A</v>
      </c>
      <c r="JX289" s="91" t="e">
        <f t="shared" ca="1" si="1006"/>
        <v>#N/A</v>
      </c>
      <c r="JY289" s="218" t="e">
        <f t="shared" ca="1" si="1007"/>
        <v>#N/A</v>
      </c>
      <c r="JZ289" s="217" t="e">
        <f ca="1">IF(Control!$C$114=1,($IZ289/(IF($JI289&lt;&gt;0,$JI289,1)))*$JK289, 0)</f>
        <v>#N/A</v>
      </c>
      <c r="KA289" s="218" t="e">
        <f t="shared" ca="1" si="1145"/>
        <v>#N/A</v>
      </c>
      <c r="KB289" s="218" t="e">
        <f t="shared" ca="1" si="1111"/>
        <v>#N/A</v>
      </c>
      <c r="KC289" s="218" t="e">
        <f t="shared" ca="1" si="1008"/>
        <v>#N/A</v>
      </c>
      <c r="KD289" s="218" t="e">
        <f t="shared" ca="1" si="1009"/>
        <v>#N/A</v>
      </c>
      <c r="KE289" s="218" t="e">
        <f t="shared" ca="1" si="1010"/>
        <v>#N/A</v>
      </c>
      <c r="KF289" s="218" t="e">
        <f t="shared" ca="1" si="1011"/>
        <v>#N/A</v>
      </c>
      <c r="KG289" s="216" t="e">
        <f t="shared" ca="1" si="1012"/>
        <v>#N/A</v>
      </c>
      <c r="KH289" s="221" t="e">
        <f ca="1">IF(Control!$B$24=0,1,MAX(0.001,MIN(1,IF(($IF289-$IE289)&lt;&gt;0,($KG289-$IE289)/($IF289-$IE289),1))))</f>
        <v>#N/A</v>
      </c>
      <c r="KI289" s="222" t="e">
        <f ca="1">IF(Control!$C$114=1, $KI288+ $KH288, 0)</f>
        <v>#N/A</v>
      </c>
      <c r="KJ289" s="217" t="e">
        <f t="shared" ca="1" si="1013"/>
        <v>#N/A</v>
      </c>
      <c r="KK289" s="218" t="e">
        <f t="shared" ca="1" si="1014"/>
        <v>#N/A</v>
      </c>
      <c r="KL289" s="274" t="e">
        <f ca="1">IF(Control!$B$26=3,4000000000*EXP(-8400/($G289+273)),IF(Control!$B$26=4,4000000000*EXP(-8400/($G289+273))*($KT289),0))</f>
        <v>#DIV/0!</v>
      </c>
      <c r="KM289" s="274" t="e">
        <f ca="1">IF(Control!$B$26=3,5600000000000*EXP(-9800/($G289+273)),IF(Control!$B$26=4,5600000000000*EXP(-9800/($G289+273))*$KT289,0))</f>
        <v>#DIV/0!</v>
      </c>
      <c r="KN289" s="454" t="e">
        <f t="shared" ca="1" si="1112"/>
        <v>#DIV/0!</v>
      </c>
      <c r="KO289" s="274" t="e">
        <f t="shared" ca="1" si="1113"/>
        <v>#DIV/0!</v>
      </c>
      <c r="KP289" s="454" t="e">
        <f t="shared" ca="1" si="1015"/>
        <v>#DIV/0!</v>
      </c>
      <c r="KQ289" s="454" t="e">
        <f t="shared" ca="1" si="1016"/>
        <v>#DIV/0!</v>
      </c>
      <c r="KR289" s="454" t="e">
        <f t="shared" ca="1" si="1017"/>
        <v>#DIV/0!</v>
      </c>
      <c r="KS289" s="454" t="e">
        <f t="shared" ca="1" si="1018"/>
        <v>#DIV/0!</v>
      </c>
      <c r="KT289" s="455" t="e">
        <f t="shared" ca="1" si="1019"/>
        <v>#DIV/0!</v>
      </c>
      <c r="KU289" s="456" t="e">
        <f ca="1">IF($CP289-Control!$C$149&lt;0, IF($NT289-0.01&lt;0,0,1),0)</f>
        <v>#N/A</v>
      </c>
      <c r="KV289" s="456" t="e">
        <f ca="1">IF(Control!$C$114=1,MAX(0,MIN(Control!$C$125*$KW289*$GN289,$KW289)))</f>
        <v>#DIV/0!</v>
      </c>
      <c r="KW289" s="456" t="e">
        <f t="shared" ca="1" si="1146"/>
        <v>#DIV/0!</v>
      </c>
      <c r="KX289" s="457" t="e">
        <f ca="1">IF($CP289-Control!$C$149&lt;0, IF($MR289-$OM289&lt;0,0,1),0)</f>
        <v>#N/A</v>
      </c>
      <c r="KY289" s="167">
        <f t="shared" ca="1" si="1114"/>
        <v>285</v>
      </c>
      <c r="KZ289" s="168">
        <f ca="1">1370*(1+0.033*COS(2*Control!$C$138*$AH289/365))</f>
        <v>1378.7012449951928</v>
      </c>
      <c r="LA289" s="169">
        <f t="shared" ca="1" si="1115"/>
        <v>1.0063509022050374</v>
      </c>
      <c r="LB289" s="169">
        <f t="shared" ca="1" si="1116"/>
        <v>-0.14959846431812918</v>
      </c>
      <c r="LC289" s="169">
        <f ca="1">ACOS(-TAN((2*Control!$B$8/360))*TAN(Calculations!$LB289))</f>
        <v>1.5259855276469423</v>
      </c>
      <c r="LD289" s="169">
        <f ca="1">((24*60)/PI())*0.082*$LA289*(($LC289*SIN(Control!$B$8*2*PI()/360))*SIN($LB289)+COS(Control!$B$8*2*PI()/360)*COS($LB289)*SIN($LC289))</f>
        <v>16.225040323007622</v>
      </c>
      <c r="LE289" s="170">
        <f t="shared" ca="1" si="1020"/>
        <v>16.813678377672353</v>
      </c>
      <c r="LF289" s="170">
        <f ca="1">SIN(Control!$C$139*Control!$B$8)*SIN($HD289)</f>
        <v>-0.1121737150511557</v>
      </c>
      <c r="LG289" s="170">
        <f ca="1">COS(Control!$C$139*Control!$B$8)*COS($HD289)</f>
        <v>0.60939013871137504</v>
      </c>
      <c r="LH289" s="170">
        <f ca="1">12*(1+2*ASIN(MAX(-1,MIN(1,$LF289/$LG289))/Control!$C$138))</f>
        <v>10.592965176998662</v>
      </c>
      <c r="LI289" s="170">
        <f ca="1">12*(1+2*ASIN(MAX(-1,MIN(1,(-SIN(-4*Control!$C$139)+$LF289)/$LG289))/Control!$C$138))</f>
        <v>11.468208706986104</v>
      </c>
      <c r="LJ289" s="168">
        <f ca="1">3600*($LH289*$LF289+24*$LG289*SQRT(1-$LK289*$LK289)/Control!$C$138)</f>
        <v>12195.302237310287</v>
      </c>
      <c r="LK289" s="170">
        <f t="shared" ca="1" si="1021"/>
        <v>-0.18407536966114976</v>
      </c>
      <c r="LL289" s="170">
        <f t="shared" ca="1" si="1022"/>
        <v>0</v>
      </c>
      <c r="LM289" s="171">
        <f ca="1">Control!$C$145*$AB289</f>
        <v>6.6660906138995932E-2</v>
      </c>
      <c r="LN289" s="170">
        <f t="shared" ca="1" si="1117"/>
        <v>0.54</v>
      </c>
      <c r="LO289" s="170">
        <f t="shared" ca="1" si="1023"/>
        <v>0</v>
      </c>
      <c r="LP289" s="170">
        <f ca="1">Control!$C$140*((($D289+273.16)^4+($E289+273.16)^4)/2)*(0.34-0.14*SQRT($Y289))*(1.35*$AQ289/(0.75*$LD289)-0.35)</f>
        <v>-3.2464704755046001</v>
      </c>
      <c r="LQ289" s="170">
        <f ca="1">Control!$C$140*($G289+273)^4*(0.56-0.079*SQRT($Y289*10))*(0.1+0.9*$LO289)</f>
        <v>1.5241745131704001</v>
      </c>
      <c r="LR289" s="170">
        <f ca="1">$AQ289*(1-Control!$C$142)-$LQ289</f>
        <v>-1.5241745131704001</v>
      </c>
      <c r="LS289" s="170">
        <f ca="1">$AQ289*(1-Control!$C$143)-$LQ289</f>
        <v>-1.5241745131704001</v>
      </c>
      <c r="LT289" s="170">
        <f ca="1">$AQ289*(1-Control!$C$144)-$LQ289</f>
        <v>-1.5241745131704001</v>
      </c>
      <c r="LU289" s="169">
        <f ca="1">(1-Control!$C$144)*AQ289-LP289</f>
        <v>3.2464704755046001</v>
      </c>
      <c r="LV289" s="172">
        <f t="shared" ca="1" si="1024"/>
        <v>0.79430000000000012</v>
      </c>
      <c r="LW289" s="170">
        <f t="shared" ca="1" si="1025"/>
        <v>1.5886000000000002</v>
      </c>
      <c r="LX289" s="170">
        <f ca="1">($AC289*($LR289/Control!$C$141)+$LM289*$LV289)/($AC289+$LM289)</f>
        <v>0.23530094218323697</v>
      </c>
      <c r="LY289" s="170">
        <f ca="1">($AC289*($LS289/Control!$C$141)+$LM289*$LV289)/($AC289+$LM289)</f>
        <v>0.23530094218323697</v>
      </c>
      <c r="LZ289" s="170">
        <f t="shared" ca="1" si="1026"/>
        <v>0.23530094218323697</v>
      </c>
      <c r="MA289" s="170">
        <f t="shared" ca="1" si="1027"/>
        <v>0.23530094218323697</v>
      </c>
      <c r="MB289" s="170" t="e">
        <f t="shared" ca="1" si="1028"/>
        <v>#N/A</v>
      </c>
      <c r="MC289" s="170">
        <f t="shared" ca="1" si="1118"/>
        <v>0.6018</v>
      </c>
      <c r="MD289" s="170">
        <f t="shared" ca="1" si="1029"/>
        <v>0.52989392535414004</v>
      </c>
      <c r="ME289" s="170">
        <f ca="1">($AC289*($LT289/Control!$C$141)+$LM289*$LW289)/($AC289+$LM289)</f>
        <v>0.71612369323045078</v>
      </c>
      <c r="MF289" s="170" t="e">
        <f ca="1">IF(Control!$B$16&gt;=1000,0.92,IF(AND(720&lt;=Control!$B$16,1000&gt;Control!$B$16),(0.95+(Control!$B$16-720)*((0.92-0.95)/(1000-720))),IF(AND(360&lt;=Control!$B$16,720&gt;Control!$B$16),(1+(Control!$B$16-360)*((0.95-1)/(720-360))),IF(AND(40&lt;=Control!$B$16,360&gt;Control!$B$16),(1.05+(Control!$B$16-40)*((1.05-1)/(360-40)))))))</f>
        <v>#N/A</v>
      </c>
      <c r="MG289" s="170">
        <f t="shared" ca="1" si="1030"/>
        <v>0.71612369323045078</v>
      </c>
      <c r="MH289" s="170" t="e">
        <f t="shared" ca="1" si="1156"/>
        <v>#N/A</v>
      </c>
      <c r="MI289" s="170" t="e">
        <f t="shared" ca="1" si="1156"/>
        <v>#N/A</v>
      </c>
      <c r="MJ289" s="170" t="e">
        <f ca="1">MAX(0.0001, Control!$C$132*$MI289*$DL289)</f>
        <v>#N/A</v>
      </c>
      <c r="MK289" s="170">
        <f ca="1">1/(0.76+1.5*($MG289/10))-(5-Control!$C$110)*0.1</f>
        <v>1.002845988140797</v>
      </c>
      <c r="ML289" s="173">
        <f ca="1">IF(Control!$C$110&lt;3,$MK289+($MG289-0.6)/(Control!$C$110*(Control!$C$110+3)), MAX(0.1, MIN(0.95,$MK289)))</f>
        <v>0.95</v>
      </c>
      <c r="MM289" s="173">
        <f ca="1">IF(Control!$C$110&lt;3,$MK289+(($MI289/10)-0.6)/(Control!$C$110*(Control!$C$110+3)), MAX(0.1, MIN(0.95,$MK289)))</f>
        <v>0.95</v>
      </c>
      <c r="MN289" s="173">
        <f ca="1">(1-$MM289)*(Control!$C$128-Control!$C$127)+Control!$C$127</f>
        <v>0.16</v>
      </c>
      <c r="MO289" s="170" t="e">
        <f ca="1">MAX(0,MIN(1,($MS289-Control!$C$127)/($MN289-Control!$C$127)))</f>
        <v>#DIV/0!</v>
      </c>
      <c r="MP289" s="173" t="e">
        <f ca="1">1/(0.76+1.5*$MI289)-(5-Control!$C$110)*0.1</f>
        <v>#N/A</v>
      </c>
      <c r="MQ289" s="172" t="e">
        <f t="shared" ca="1" si="1147"/>
        <v>#DIV/0!</v>
      </c>
      <c r="MR289" s="168" t="e">
        <f t="shared" ca="1" si="1119"/>
        <v>#DIV/0!</v>
      </c>
      <c r="MS289" s="173" t="e">
        <f ca="1">MAX(Control!$C$127, MIN(Control!$C$135, $MR289/MAX(0.0001,$CY289)))</f>
        <v>#DIV/0!</v>
      </c>
      <c r="MT289" s="168" t="e">
        <f ca="1">(Control!$C$128-$MS289)*Control!$C$74</f>
        <v>#DIV/0!</v>
      </c>
      <c r="MU289" s="168" t="e">
        <f ca="1">(Control!$C$135-$MS289)*Control!$C$74</f>
        <v>#DIV/0!</v>
      </c>
      <c r="MV289" s="168" t="e">
        <f t="shared" ca="1" si="1120"/>
        <v>#DIV/0!</v>
      </c>
      <c r="MW289" s="168" t="e">
        <f t="shared" ca="1" si="1121"/>
        <v>#DIV/0!</v>
      </c>
      <c r="MX289" s="171" t="e">
        <f ca="1">MAX(Control!$C$127, MIN(Control!$C$135, $MW289/MAX(0.0001,Control!$C$119-$CY289)))</f>
        <v>#DIV/0!</v>
      </c>
      <c r="MY289" s="54" t="e">
        <f ca="1">IF(Control!$C$114=1, $CX289*$MX289, 0)</f>
        <v>#DIV/0!</v>
      </c>
      <c r="MZ289" s="54" t="e">
        <f t="shared" ca="1" si="1122"/>
        <v>#N/A</v>
      </c>
      <c r="NA289" s="168" t="e">
        <f ca="1">(Control!$C$128-$MX289)*(Control!$C$119-Control!$C$74)</f>
        <v>#DIV/0!</v>
      </c>
      <c r="NB289" s="168" t="e">
        <f ca="1">(Control!$C$135-$MX289)*(Control!$C$119-Control!$C$74)</f>
        <v>#DIV/0!</v>
      </c>
      <c r="NC289" s="174" t="e">
        <f t="shared" ca="1" si="1123"/>
        <v>#DIV/0!</v>
      </c>
      <c r="ND289" s="54">
        <f ca="1">IF(Control!$C$58=2, IF(OR(Control!$B$218=$AH289,Control!$B$219=$AH289, Control!$B$220=$AH289, Control!$B$221=$AH289, Control!$B$222=$AH289, Control!$B$223=$AH289, Control!$B$224=$AH289, Control!$B$225=$AH289, Control!$B$226=$AH289, Control!$B$227=$AH289, Control!$B$228=$AH289), 1, 0), 0)</f>
        <v>0</v>
      </c>
      <c r="NE289" s="54">
        <f ca="1">IF($ND289=0,0, VLOOKUP($AH289,Control!$B$218:$C$228,2))</f>
        <v>0</v>
      </c>
      <c r="NF289" s="168" t="e">
        <f ca="1">$CY289*(Control!$C$128-Control!$C$127)</f>
        <v>#N/A</v>
      </c>
      <c r="NG289" s="54" t="e">
        <f ca="1">IF(Control!$C$58=2, $NI288-$NJ288, 0)</f>
        <v>#DIV/0!</v>
      </c>
      <c r="NH289" s="54" t="e">
        <f ca="1">IF(AND(Control!$C$58=1, $MS288&lt;= ($MN288+0.02), $I288&lt;10), 0, IF(Control!$C$58=2, $NG288, 0))</f>
        <v>#DIV/0!</v>
      </c>
      <c r="NI289" s="54" t="e">
        <f ca="1">IF(Control!$C$58=2, $NE289+$NH289,0)</f>
        <v>#DIV/0!</v>
      </c>
      <c r="NJ289" s="54" t="e">
        <f ca="1">IF(AND(Control!$C$58=1, $MS289&lt;= ($MN289+0.02), $I289&lt;10), MAX(0, MIN(10, 0.7*($NF289-$MV289))), IF(Control!$C$58=2, MIN(10,$NI289),0))</f>
        <v>#DIV/0!</v>
      </c>
      <c r="NK289" s="54" t="e">
        <f t="shared" ca="1" si="1031"/>
        <v>#DIV/0!</v>
      </c>
      <c r="NL289" s="173" t="e">
        <f ca="1">(1-Control!$C$73)*$I289+$NJ289</f>
        <v>#DIV/0!</v>
      </c>
      <c r="NM289" s="172" t="e">
        <f ca="1">IF($NL289&lt;0.5, $MB289* MAX(0, MIN(1, (SQRT($NC289)-SQRT($NC289-1))*Control!$C$71)),0)</f>
        <v>#DIV/0!</v>
      </c>
      <c r="NN289" s="170" t="e">
        <f ca="1">IF($NL289&gt;=5, $MB289, MAX(0,MIN($MB289, $NM289+$NL289,($MS289-Control!$C$129))))</f>
        <v>#DIV/0!</v>
      </c>
      <c r="NO289" s="54">
        <f>IF(Control!$C$133&lt;&gt;1, Control!$C$135-Control!$C$131, 0)</f>
        <v>0.38</v>
      </c>
      <c r="NP289" s="54" t="e">
        <f t="shared" ca="1" si="1032"/>
        <v>#DIV/0!</v>
      </c>
      <c r="NQ289" s="173" t="e">
        <f ca="1">MAX(0,MIN(1,(Control!$C$135-$MS289)/(Control!$C$135-$NO289)))</f>
        <v>#DIV/0!</v>
      </c>
      <c r="NR289" s="170" t="e">
        <f ca="1">IF(Control!$C$133&lt;&gt;1, $NQ289+((1-$NP289/4)*(1-$NQ289)),1)</f>
        <v>#DIV/0!</v>
      </c>
      <c r="NS289" s="170" t="e">
        <f ca="1">IF(Control!$B$31=0,$MJ289,MAX(0,MIN($MV289,$MO289*$NR289*$MJ289)))</f>
        <v>#DIV/0!</v>
      </c>
      <c r="NT289" s="170" t="e">
        <f t="shared" ca="1" si="1148"/>
        <v>#DIV/0!</v>
      </c>
      <c r="NU289" s="170" t="e">
        <f t="shared" ca="1" si="1124"/>
        <v>#N/A</v>
      </c>
      <c r="NV289" s="170" t="e">
        <f t="shared" ca="1" si="1033"/>
        <v>#N/A</v>
      </c>
      <c r="NW289" s="175" t="e">
        <f t="shared" ca="1" si="1034"/>
        <v>#DIV/0!</v>
      </c>
      <c r="NX289" s="170" t="e">
        <f ca="1">MIN(Control!$C$72+$MU289, $NW289)</f>
        <v>#DIV/0!</v>
      </c>
      <c r="NY289" s="170" t="e">
        <f ca="1">IF($MT289&lt;=$NX289,MIN(Control!$C$72+$NB289,$NX289-$MT289),0)</f>
        <v>#DIV/0!</v>
      </c>
      <c r="NZ289" s="54" t="e">
        <f ca="1">IF(Control!$C$114=1,  $CX289*($MX289-Control!$C$127), 0)</f>
        <v>#DIV/0!</v>
      </c>
      <c r="OA289" s="170" t="e">
        <f t="shared" ca="1" si="1035"/>
        <v>#DIV/0!</v>
      </c>
      <c r="OB289" s="170" t="e">
        <f ca="1">IF($NA289 &lt;=$NY289, MIN(Control!$C$72, $NY289-$NA289), 0)</f>
        <v>#DIV/0!</v>
      </c>
      <c r="OC289" s="168" t="e">
        <f t="shared" ca="1" si="1036"/>
        <v>#DIV/0!</v>
      </c>
      <c r="OD289" s="168" t="e">
        <f t="shared" ca="1" si="1125"/>
        <v>#DIV/0!</v>
      </c>
      <c r="OE289" s="170">
        <f ca="1">Control!$C$73*$I289</f>
        <v>0</v>
      </c>
      <c r="OF289" s="176" t="e">
        <f t="shared" ca="1" si="1037"/>
        <v>#DIV/0!</v>
      </c>
      <c r="OG289" s="168" t="e">
        <f t="shared" ca="1" si="1038"/>
        <v>#DIV/0!</v>
      </c>
      <c r="OH289" s="168" t="e">
        <f t="shared" ca="1" si="1039"/>
        <v>#DIV/0!</v>
      </c>
      <c r="OI289" s="168" t="e">
        <f t="shared" ca="1" si="1040"/>
        <v>#DIV/0!</v>
      </c>
      <c r="OJ289" s="168" t="e">
        <f t="shared" ca="1" si="1041"/>
        <v>#DIV/0!</v>
      </c>
      <c r="OK289" s="204" t="e">
        <f t="shared" ca="1" si="1042"/>
        <v>#DIV/0!</v>
      </c>
      <c r="OL289" s="177">
        <f>Control!$C$127</f>
        <v>0.15</v>
      </c>
      <c r="OM289" s="182" t="e">
        <f t="shared" ca="1" si="1043"/>
        <v>#N/A</v>
      </c>
      <c r="ON289" s="177">
        <f>Control!$C$128</f>
        <v>0.35</v>
      </c>
      <c r="OO289" s="182" t="e">
        <f t="shared" ca="1" si="1044"/>
        <v>#N/A</v>
      </c>
      <c r="OP289" s="138">
        <f t="shared" ca="1" si="1126"/>
        <v>0</v>
      </c>
      <c r="OQ289" s="138" t="e">
        <f t="shared" ca="1" si="1149"/>
        <v>#DIV/0!</v>
      </c>
      <c r="OR289" s="138" t="e">
        <f t="shared" ca="1" si="1127"/>
        <v>#DIV/0!</v>
      </c>
      <c r="OS289" s="137" t="e">
        <f t="shared" ca="1" si="1150"/>
        <v>#DIV/0!</v>
      </c>
      <c r="OT289" s="139" t="e">
        <f t="shared" ca="1" si="1151"/>
        <v>#DIV/0!</v>
      </c>
      <c r="OU289" s="138" t="e">
        <f t="shared" ca="1" si="1152"/>
        <v>#N/A</v>
      </c>
      <c r="OV289" s="138" t="e">
        <f t="shared" ca="1" si="1153"/>
        <v>#DIV/0!</v>
      </c>
      <c r="OW289" s="138" t="e">
        <f t="shared" ca="1" si="1128"/>
        <v>#DIV/0!</v>
      </c>
      <c r="OX289" s="138" t="e">
        <f t="shared" ca="1" si="1129"/>
        <v>#DIV/0!</v>
      </c>
      <c r="OY289" s="138" t="e">
        <f t="shared" ca="1" si="1130"/>
        <v>#DIV/0!</v>
      </c>
      <c r="OZ289" s="138" t="e">
        <f t="shared" ca="1" si="1045"/>
        <v>#DIV/0!</v>
      </c>
      <c r="PA289" s="138" t="e">
        <f t="shared" ca="1" si="1046"/>
        <v>#DIV/0!</v>
      </c>
      <c r="PB289" s="55">
        <f>IF(Control!$C$61="T", IF(Control!$C$65="F", IF($AH$6-Control!$C$60&lt;0,0,1), IF(365+$AH$6-Control!$C$60&lt;0,0,1)),0)</f>
        <v>0</v>
      </c>
      <c r="PC289" s="55">
        <f ca="1">IF(Control!$C$65="F", IF($AH$6-$HF289&lt;0,0,1), IF(365+$AH$6-$HF289&lt;0,0,1))</f>
        <v>1</v>
      </c>
      <c r="PD289" s="444">
        <f>Control!$C$118</f>
        <v>1500</v>
      </c>
      <c r="PE289" s="180" t="e">
        <f t="shared" ca="1" si="1047"/>
        <v>#N/A</v>
      </c>
      <c r="PF289" s="445">
        <f t="shared" ca="1" si="1131"/>
        <v>0.71612369323045078</v>
      </c>
      <c r="PT289" s="186"/>
      <c r="PU289" s="186"/>
      <c r="PV289" s="94"/>
      <c r="PW289" s="94"/>
      <c r="PX289" s="94"/>
      <c r="PY289" s="94"/>
      <c r="PZ289" s="94"/>
      <c r="QA289" s="94"/>
      <c r="QB289" s="94"/>
      <c r="QC289" s="94"/>
      <c r="QD289" s="94"/>
      <c r="QE289" s="94"/>
      <c r="QF289" s="94"/>
      <c r="QG289" s="94"/>
      <c r="QH289" s="94"/>
      <c r="QI289" s="94"/>
      <c r="QJ289" s="94"/>
      <c r="QK289" s="94"/>
      <c r="QL289" s="94"/>
      <c r="QM289" s="94"/>
      <c r="QN289" s="94"/>
      <c r="QO289" s="94"/>
      <c r="QP289" s="94"/>
    </row>
    <row r="290" spans="1:458" s="2" customFormat="1" x14ac:dyDescent="0.2">
      <c r="A290" s="395">
        <v>12</v>
      </c>
      <c r="B290" s="396">
        <v>10</v>
      </c>
      <c r="C290" s="387">
        <f ca="1">Weather_data!$B289</f>
        <v>0</v>
      </c>
      <c r="D290" s="388">
        <f ca="1">Weather_data!$F289</f>
        <v>0</v>
      </c>
      <c r="E290" s="388">
        <f ca="1">Weather_data!$E289</f>
        <v>0</v>
      </c>
      <c r="F290" s="388">
        <f t="shared" ca="1" si="1048"/>
        <v>0</v>
      </c>
      <c r="G290" s="388">
        <f ca="1">AVERAGE($D290:$E290)+Control!$B$9</f>
        <v>0</v>
      </c>
      <c r="H290" s="388">
        <f ca="1">Weather_data!$G289</f>
        <v>0</v>
      </c>
      <c r="I290" s="388">
        <f ca="1">Weather_data!$I289</f>
        <v>0</v>
      </c>
      <c r="J290" s="388">
        <f ca="1">Weather_data!$H289</f>
        <v>0</v>
      </c>
      <c r="K290" s="389">
        <f ca="1">Weather_data!$D289</f>
        <v>0</v>
      </c>
      <c r="L290" s="388" t="e">
        <f t="shared" ca="1" si="1049"/>
        <v>#N/A</v>
      </c>
      <c r="M290" s="388" t="e">
        <f t="shared" ca="1" si="927"/>
        <v>#N/A</v>
      </c>
      <c r="N290" s="388">
        <f t="shared" ca="1" si="928"/>
        <v>-5.0564146984440204E-14</v>
      </c>
      <c r="O290" s="388">
        <f t="shared" ca="1" si="1050"/>
        <v>5.0564146984440205E-13</v>
      </c>
      <c r="P290" s="390">
        <v>3</v>
      </c>
      <c r="Q290" s="388">
        <f ca="1">MAX($G290-Control!$C$107,0)</f>
        <v>0</v>
      </c>
      <c r="R290" s="388">
        <f t="shared" ca="1" si="1051"/>
        <v>0</v>
      </c>
      <c r="S290" s="388">
        <f t="shared" ca="1" si="929"/>
        <v>0</v>
      </c>
      <c r="T290" s="388">
        <f t="shared" ca="1" si="930"/>
        <v>0</v>
      </c>
      <c r="U290" s="59">
        <f t="shared" ca="1" si="931"/>
        <v>0</v>
      </c>
      <c r="V290" s="391">
        <f ca="1">MAX(0,MIN(Control!$C$100-Control!$C$99,$G290-Control!$C$99)*Control!$C$63)</f>
        <v>0</v>
      </c>
      <c r="W290" s="388">
        <f t="shared" ca="1" si="1052"/>
        <v>0</v>
      </c>
      <c r="X290" s="388">
        <f t="shared" ca="1" si="1053"/>
        <v>0.6110000000000001</v>
      </c>
      <c r="Y290" s="388">
        <f t="shared" ca="1" si="932"/>
        <v>0</v>
      </c>
      <c r="Z290" s="388">
        <f t="shared" ca="1" si="1054"/>
        <v>0.61058800000000002</v>
      </c>
      <c r="AA290" s="388">
        <f t="shared" ca="1" si="933"/>
        <v>0.6018</v>
      </c>
      <c r="AB290" s="388">
        <f ca="1">101.3*EXP(-0.034*Control!$C$66/($G290+273))</f>
        <v>100.69623283836242</v>
      </c>
      <c r="AC290" s="392">
        <f t="shared" ca="1" si="934"/>
        <v>4.3460251046025113E-2</v>
      </c>
      <c r="AD290" s="392">
        <f t="shared" ca="1" si="935"/>
        <v>4.4450382862832649E-2</v>
      </c>
      <c r="AE290" s="388">
        <f t="shared" ca="1" si="936"/>
        <v>0</v>
      </c>
      <c r="AF290" s="388">
        <f ca="1">MAX(0,$G290-Control!$C$92)</f>
        <v>0</v>
      </c>
      <c r="AG290" s="393">
        <f t="shared" ca="1" si="937"/>
        <v>286</v>
      </c>
      <c r="AH290" s="389">
        <f t="shared" ca="1" si="938"/>
        <v>286</v>
      </c>
      <c r="AI290" s="388">
        <f t="shared" ca="1" si="1055"/>
        <v>-0.14927979431001229</v>
      </c>
      <c r="AJ290" s="388">
        <f ca="1">IF(Control!$C$60&lt;=0,$HH290,$HI290)</f>
        <v>1</v>
      </c>
      <c r="AK290" s="388">
        <f t="shared" ca="1" si="939"/>
        <v>3.5461265021342321</v>
      </c>
      <c r="AL290" s="388">
        <f t="shared" ca="1" si="940"/>
        <v>-7.2160680208988019E-19</v>
      </c>
      <c r="AM290" s="388">
        <f t="shared" ca="1" si="941"/>
        <v>3.5461265021342321</v>
      </c>
      <c r="AN290" s="388">
        <f t="shared" ca="1" si="942"/>
        <v>-0.15721707329316997</v>
      </c>
      <c r="AO290" s="388">
        <f ca="1">-0.10453/COS(Control!$B$8*PI()/180)*COS(AN290)</f>
        <v>-0.16769087877515673</v>
      </c>
      <c r="AP290" s="388">
        <f ca="1">ACOS(AO290-TAN(Control!$B$8*PI()/180)*TAN(AN290))</f>
        <v>1.5355767529378028</v>
      </c>
      <c r="AQ290" s="388">
        <f t="shared" ca="1" si="1056"/>
        <v>0</v>
      </c>
      <c r="AR290" s="394">
        <f t="shared" ca="1" si="943"/>
        <v>0</v>
      </c>
      <c r="AS290" s="436">
        <f ca="1">IF(Control!$B$18=2,(IF(OR($AH290=Control!$B$175,$AH290=Control!$B$176,$AH290=Control!$B$177,$AH290=Control!$B$178,$AH290=Control!$B$179,$AH290=Control!$B$180,$AH290=Control!$B$181,$AH290=Control!$B$182,$AH290=Control!$B$183,$AH290=Control!$B$184,$AH290=Control!$B$185),1,0)),0)</f>
        <v>0</v>
      </c>
      <c r="AT290" s="436">
        <f>IF(Control!$B$20=8,IF(AND($AH290&gt;=Control!$B$172,$AH290&lt;=Control!$B$173),1,0),0)</f>
        <v>0</v>
      </c>
      <c r="AU290" s="436">
        <f>IF(Control!$B$20=8,IF($AV289=1,1*$AT290,IF($AT290=1,$AU289+1,$AU289)),0)</f>
        <v>0</v>
      </c>
      <c r="AV290" s="436">
        <f>IF(Control!$B$20=8,IF($AU290&gt;=Control!$B$174,1,0),0)</f>
        <v>0</v>
      </c>
      <c r="AW290" s="436">
        <f ca="1">IF(AND(Control!$B$18=2,Control!$B$171=1), $AV290, $AS290)</f>
        <v>0</v>
      </c>
      <c r="AX290" s="436" t="e">
        <f ca="1">IF(AND(Control!$B$18=1,$EU290&gt;=Control!$B$19),-$AY290,IF(AND(Control!$B$18=2,$AW290=1,$EU290&gt;$DS290),-$AY290, IF(Control!$C$108=0,0, IF(Control!$C$108&lt;&gt;0,1))))</f>
        <v>#N/A</v>
      </c>
      <c r="AY290" s="436" t="e">
        <f t="shared" ca="1" si="1057"/>
        <v>#N/A</v>
      </c>
      <c r="AZ290" s="436" t="e">
        <f ca="1">IF(AND(Control!$B$18=1,$EB290&gt;Control!$B$19),$AZ289+1, IF(AND(Control!$B$18=2, $AW290=1, $EB290&gt;$DS290), $AZ289+1,$AZ289))</f>
        <v>#N/A</v>
      </c>
      <c r="BA290" s="587">
        <f>IF(Control!$C$81=0,1,IF($AH290&gt;=Control!$C$82,1,0))</f>
        <v>1</v>
      </c>
      <c r="BB290" s="140" t="e">
        <f ca="1">IF($BA290&gt;$BA289,Control!$C$83,IF($AW290&gt;0,$AW290*Control!$C$84,IF(AND(Control!$B$18=1,EN289&lt;&gt;0),Control!$C$84,0)))</f>
        <v>#N/A</v>
      </c>
      <c r="BC290" s="140" t="e">
        <f t="shared" ca="1" si="1058"/>
        <v>#N/A</v>
      </c>
      <c r="BD290" s="140" t="e">
        <f ca="1">BC290*IF(OR($G290&lt;Control!$C$92,$G290&gt;Control!$C$95),0,IF(AND($G290&gt;=Control!$C$92,$G290&lt;=Control!$C$93),$G290-Control!$C$92,IF(AND($G290&gt;Control!$C$93,$G290&lt;=Control!$C$94),Control!$C$93-Control!$C$92,IF(AND($G290&gt;Control!$C$94,$G290&lt;=Control!$C$95),(Control!$C$93-Control!$C$92)*(Control!$C$94-$G290)/(Control!$C$95-Control!$C$94)))))</f>
        <v>#N/A</v>
      </c>
      <c r="BE290" s="140" t="e">
        <f t="shared" ca="1" si="1059"/>
        <v>#N/A</v>
      </c>
      <c r="BF290" s="140" t="e">
        <f ca="1">IF($BE290&lt;=Control!$C$86,$BE290,Control!$C$86-$BE290)</f>
        <v>#N/A</v>
      </c>
      <c r="BG290" s="140" t="e">
        <f ca="1">IF(AND($AW290=1,Control!$C$84&lt;9),1,IF($BE290&gt;=Control!$C$86,0,$BC290))</f>
        <v>#N/A</v>
      </c>
      <c r="BH290" s="404" t="e">
        <f ca="1">IF($BG290=0,0,IF($BE290&lt;=Control!$C$86,$BC290*9*($BF290/Control!$C$86),0))</f>
        <v>#N/A</v>
      </c>
      <c r="BI290" s="140" t="e">
        <f ca="1">IF($BG290=1,0,IF($BE290&gt;=Control!$C$86,1,IF(AND($BB290&lt;21,$BB290&gt;=9),1,$BM289)))</f>
        <v>#N/A</v>
      </c>
      <c r="BJ290" s="140" t="e">
        <f ca="1">IF($BF290&lt;0,-$BF290,$BI290*IF(OR($G290&lt;Control!$C$92,$G290&gt;Control!$C$95),0,IF(AND($G290&gt;=Control!$C$92,$G290&lt;=Control!$C$93),$G290-Control!$C$92,IF(AND($G290&gt;Control!$C$93,$G290&lt;=Control!$C$94),Control!$C$93-Control!$C$92,IF(AND($G290&gt;Control!$C$94,$G290&lt;=Control!$C$95),(Control!$C$93-Control!$C$92)*(Control!$C$94-$G290)/(Control!$C$95-Control!$C$94))))))</f>
        <v>#N/A</v>
      </c>
      <c r="BK290" s="140" t="e">
        <f t="shared" ca="1" si="1060"/>
        <v>#N/A</v>
      </c>
      <c r="BL290" s="140" t="e">
        <f ca="1">IF($BK290&lt;=Control!$C$87,$BK290,Control!$C$87-$BK290)</f>
        <v>#N/A</v>
      </c>
      <c r="BM290" s="140" t="e">
        <f ca="1">IF(AND($BB290&gt;=9,$BB290&lt;21),1,IF($BK290&gt;=Control!$C$87,0,$BI290))</f>
        <v>#N/A</v>
      </c>
      <c r="BN290" s="404" t="e">
        <f ca="1">IF($BM290=0,0,IF($BK290&lt;=Control!$C$87,$BI290*(9+(21-9)*($BL290/Control!$C$87)),0))</f>
        <v>#N/A</v>
      </c>
      <c r="BO290" s="140" t="e">
        <f ca="1">IF($BM290=1,0,IF($BK290&gt;=Control!$C$87,1,IF(AND($BB290&lt;30,$BB290&gt;=21),1,$BS289)))</f>
        <v>#N/A</v>
      </c>
      <c r="BP290" s="140" t="e">
        <f ca="1">IF($BL290&lt;0,-$BL290,$BO290*IF(OR($G290&lt;Control!$C$92,$G290&gt;Control!$C$95),0,IF(AND($G290&gt;=Control!$C$92,$G290&lt;=Control!$C$93),$G290-Control!$C$92,IF(AND($G290&gt;Control!$C$93,$G290&lt;=Control!$C$94),Control!$C$93-Control!$C$92,IF(AND($G290&gt;Control!$C$94,$G290&lt;=Control!$C$95),(Control!$C$93-Control!$C$92)*(Control!$C$94-$G290)/(Control!$C$95-Control!$C$94))))))</f>
        <v>#N/A</v>
      </c>
      <c r="BQ290" s="140" t="e">
        <f t="shared" ca="1" si="944"/>
        <v>#N/A</v>
      </c>
      <c r="BR290" s="140" t="e">
        <f ca="1">IF($BQ290&lt;=Control!$C$88,$BQ290,Control!$C$88-$BQ290)</f>
        <v>#N/A</v>
      </c>
      <c r="BS290" s="140" t="e">
        <f ca="1">IF(AND($BB290&gt;=21,$BB290&lt;30),1,IF($BQ290&gt;=Control!$C$88,0,$BO290))</f>
        <v>#N/A</v>
      </c>
      <c r="BT290" s="404" t="e">
        <f ca="1">IF($BS290=0,0,IF($BQ290&lt;=Control!$C$88,$BO290*(21+(30-21)*(BR290/Control!$C$88)),0))</f>
        <v>#N/A</v>
      </c>
      <c r="BU290" s="140" t="e">
        <f ca="1">IF(BG290+BM290+BS290=1,0,IF(OR(AND($BB290&lt;60,$BB290&gt;=30),$BQ290&gt;=Control!$C$88),1*$BA290,$BY289))</f>
        <v>#N/A</v>
      </c>
      <c r="BV290" s="140" t="e">
        <f ca="1">IF($BR290&lt;0,-$BR290,$BU290*IF(OR($G290&lt;Control!$C$92,$G290&gt;Control!$C$95),0,IF(AND($G290&gt;=Control!$C$92,$G290&lt;=Control!$C$93),$G290-Control!$C$92,IF(AND($G290&gt;Control!$C$93,$G290&lt;=Control!$C$94),Control!$C$93-Control!$C$92,IF(AND($G290&gt;Control!$C$94,$G290&lt;=Control!$C$95),(Control!$C$93-Control!$C$92)*(Control!$C$94-$G290)/(Control!$C$95-Control!$C$94))))))</f>
        <v>#N/A</v>
      </c>
      <c r="BW290" s="140" t="e">
        <f t="shared" ca="1" si="945"/>
        <v>#N/A</v>
      </c>
      <c r="BX290" s="140" t="e">
        <f ca="1">IF($BW290&lt;=Control!$C$89,$BW290,Control!$C$89-$BW290)</f>
        <v>#N/A</v>
      </c>
      <c r="BY290" s="140" t="e">
        <f ca="1">IF(AND($AJ290&gt;=30,$AJ290&lt;60),1,IF($BW290&gt;=Control!$C$89,0,$BU290))</f>
        <v>#N/A</v>
      </c>
      <c r="BZ290" s="404" t="e">
        <f ca="1">IF($BY290=0,0,IF($BW290&lt;=Control!$C$89,$BU290*(30+(60-30)*(BX290/Control!$C$89)),0))</f>
        <v>#N/A</v>
      </c>
      <c r="CA290" s="140" t="e">
        <f ca="1">IF($BG290+$BM290+$BS290+$BY290=1,0,IF(OR(AND($BB290&lt;65,$BB290&gt;=60),$BW290&gt;=Control!$C$89),1*$BA290,$CE289))</f>
        <v>#N/A</v>
      </c>
      <c r="CB290" s="140" t="e">
        <f ca="1">IF($BX290&lt;0,-$BX290,$CA290*IF(OR($G290&lt;Control!$C$92,$G290&gt;Control!$C$95),0,IF(AND($G290&gt;=Control!$C$92,$G290&lt;=Control!$C$93),$G290-Control!$C$92,IF(AND($G290&gt;Control!$C$93,$G290&lt;=Control!$C$94),Control!$C$93-Control!$C$92,IF(AND($G290&gt;Control!$C$94,$G290&lt;=Control!$C$95),(Control!$C$93-Control!$C$92)*(Control!$C$94-$G290)/(Control!$C$95-Control!$C$94))))))</f>
        <v>#N/A</v>
      </c>
      <c r="CC290" s="140" t="e">
        <f t="shared" ca="1" si="1061"/>
        <v>#N/A</v>
      </c>
      <c r="CD290" s="140" t="e">
        <f ca="1">IF($CC290&lt;=Control!$C$90,$CC290,Control!$C$90-$CC290)</f>
        <v>#N/A</v>
      </c>
      <c r="CE290" s="140" t="e">
        <f ca="1">IF(AND($BB290&gt;=60,$BB290&lt;65),1,IF($CC290&gt;=Control!$C$90,0,$CA290))</f>
        <v>#N/A</v>
      </c>
      <c r="CF290" s="404" t="e">
        <f ca="1">IF($CE290=0,0,IF($CC290&lt;=Control!$C$90,$CA290*(60+(65-60)*(CD290/Control!$C$90)),0))</f>
        <v>#N/A</v>
      </c>
      <c r="CG290" s="140" t="e">
        <f ca="1">IF($BG290+$BM290+$BS290+$BY290+$CE290=1,0,IF(OR(AND($BB290&lt;90,$BB290&gt;=65),$CC290&gt;=Control!$C$90),$BA290,$CK289))</f>
        <v>#N/A</v>
      </c>
      <c r="CH290" s="140" t="e">
        <f ca="1">IF($CD290&lt;0,-$CD290,$CG290*IF(OR($G290&lt;Control!$C$92,$G290&gt;Control!$C$95),0,IF(AND($G290&gt;=Control!$C$92,$G290&lt;=Control!$C$93),$G290-Control!$C$92,IF(AND($G290&gt;Control!$C$93,$G290&lt;=Control!$C$94),Control!$C$93-Control!$C$92,IF(AND($G290&gt;Control!$C$94,$G290&lt;=Control!$C$95),(Control!$C$93-Control!$C$92)*(Control!$C$94-$G290)/(Control!$C$95-Control!$C$94))))))</f>
        <v>#N/A</v>
      </c>
      <c r="CI290" s="140" t="e">
        <f t="shared" ca="1" si="1062"/>
        <v>#N/A</v>
      </c>
      <c r="CJ290" s="140" t="e">
        <f ca="1">IF($CI290&lt;=Control!$C$91,$CI290,Control!$C$91-$CI290)</f>
        <v>#N/A</v>
      </c>
      <c r="CK290" s="140" t="e">
        <f ca="1">IF(AND($BB290&gt;=65,$BB290&lt;90),1,IF($CI290&gt;=Control!$C$91,0,$CG290))</f>
        <v>#N/A</v>
      </c>
      <c r="CL290" s="404" t="e">
        <f ca="1">IF($CK290=0,0,IF($CI290&lt;=Control!$C$91,$CG290*(65+(90-65)*($CJ290/Control!$C$91)),0))</f>
        <v>#N/A</v>
      </c>
      <c r="CM290" s="140" t="e">
        <f ca="1">IF($BG290+$BM290+$BS290+$BY290+$CE290+$CK290=1,0,IF(OR($BB290&gt;=90,$CI290&gt;=Control!$C$91),$BA290,$CM289))</f>
        <v>#N/A</v>
      </c>
      <c r="CN290" s="140" t="e">
        <f t="shared" ca="1" si="1063"/>
        <v>#N/A</v>
      </c>
      <c r="CO290" s="140" t="e">
        <f t="shared" ca="1" si="1064"/>
        <v>#N/A</v>
      </c>
      <c r="CP290" s="140" t="e">
        <f t="shared" ca="1" si="1065"/>
        <v>#N/A</v>
      </c>
      <c r="CQ290" s="141" t="e">
        <f ca="1">VLOOKUP($CP290,Control!$B$86:$G$91,6)</f>
        <v>#N/A</v>
      </c>
      <c r="CR290" s="141" t="e">
        <f ca="1">(1-$CQ290)*VLOOKUP($CP290,Control!$B$86:$D$91,3)</f>
        <v>#N/A</v>
      </c>
      <c r="CS290" s="141" t="e">
        <f ca="1">(1-$CQ290)*VLOOKUP($CP290,Control!$B$86:$E$91,4)</f>
        <v>#N/A</v>
      </c>
      <c r="CT290" s="141" t="e">
        <f ca="1">(1-$CQ290)*VLOOKUP($CP290,Control!$B$86:$F$91,5)</f>
        <v>#N/A</v>
      </c>
      <c r="CU290" s="141">
        <f t="shared" ca="1" si="1066"/>
        <v>0</v>
      </c>
      <c r="CV290" s="583">
        <f t="shared" ca="1" si="1067"/>
        <v>0</v>
      </c>
      <c r="CW290" s="142">
        <f t="shared" ca="1" si="1068"/>
        <v>286</v>
      </c>
      <c r="CX290" s="612" t="e">
        <f ca="1">IF(Control!$C$114=1,(MIN(Control!$C$120*(IF($NT290-0.01&lt;0,0,1)),Control!$C$119-$CY290)))</f>
        <v>#DIV/0!</v>
      </c>
      <c r="CY290" s="143" t="e">
        <f t="shared" ca="1" si="1069"/>
        <v>#N/A</v>
      </c>
      <c r="CZ290" s="144">
        <f t="shared" ca="1" si="946"/>
        <v>0</v>
      </c>
      <c r="DA290" s="144">
        <f t="shared" ca="1" si="947"/>
        <v>0</v>
      </c>
      <c r="DB290" s="144" t="e">
        <f t="shared" ca="1" si="948"/>
        <v>#N/A</v>
      </c>
      <c r="DC290" s="144" t="e">
        <f t="shared" ca="1" si="949"/>
        <v>#N/A</v>
      </c>
      <c r="DD290" s="144" t="e">
        <f t="shared" ca="1" si="1154"/>
        <v>#N/A</v>
      </c>
      <c r="DE290" s="143" t="e">
        <f t="shared" ca="1" si="1070"/>
        <v>#N/A</v>
      </c>
      <c r="DF290" s="145" t="e">
        <f ca="1">$DR290*EXP(-Control!$C$158*(1-$KH290))</f>
        <v>#N/A</v>
      </c>
      <c r="DG290" s="146" t="e">
        <f ca="1">IF(Control!$C$114=1, $DF290*$EY290, 0)</f>
        <v>#N/A</v>
      </c>
      <c r="DH290" s="147" t="e">
        <f t="shared" ca="1" si="1071"/>
        <v>#N/A</v>
      </c>
      <c r="DI290" s="144" t="e">
        <f t="shared" ca="1" si="1132"/>
        <v>#N/A</v>
      </c>
      <c r="DJ290" s="147" t="e">
        <f ca="1">$EF290*Control!$C$109</f>
        <v>#N/A</v>
      </c>
      <c r="DK290" s="144" t="e">
        <f t="shared" ca="1" si="1072"/>
        <v>#N/A</v>
      </c>
      <c r="DL290" s="144" t="e">
        <f t="shared" ca="1" si="950"/>
        <v>#N/A</v>
      </c>
      <c r="DM290" s="144" t="e">
        <f ca="1">IF(Control!$C$114=1, (1-EXP(-Control!$C$96*$DK290))*$AR290, 0)</f>
        <v>#N/A</v>
      </c>
      <c r="DN290" s="144">
        <f t="shared" ca="1" si="1073"/>
        <v>0</v>
      </c>
      <c r="DO290" s="148">
        <f>Control!$C$97</f>
        <v>4</v>
      </c>
      <c r="DP290" s="145" t="e">
        <f t="shared" ca="1" si="1074"/>
        <v>#N/A</v>
      </c>
      <c r="DQ290" s="145" t="e">
        <f ca="1">IF(AND($CP290&gt;=0,$CP290&lt;=90),Control!$C$111,Control!$C$111)</f>
        <v>#N/A</v>
      </c>
      <c r="DR290" s="145" t="e">
        <f t="shared" ca="1" si="951"/>
        <v>#N/A</v>
      </c>
      <c r="DS290" s="143" t="e">
        <f ca="1">Control!$B$22/$DR290</f>
        <v>#N/A</v>
      </c>
      <c r="DT290" s="149" t="e">
        <f ca="1">IF(AND(Control!$C$114=1,$KH290&lt;1),$IM290*$DF290, 0)</f>
        <v>#N/A</v>
      </c>
      <c r="DU290" s="144" t="e">
        <f t="shared" ca="1" si="1075"/>
        <v>#N/A</v>
      </c>
      <c r="DV290" s="144">
        <f ca="1">IF($G290-Control!$C$107&lt;=0, 0, 0.83*LN(MAX($G290, 3))-0.8924)</f>
        <v>0</v>
      </c>
      <c r="DW290" s="144" t="e">
        <f t="shared" ca="1" si="952"/>
        <v>#N/A</v>
      </c>
      <c r="DX290" s="150" t="e">
        <f ca="1">MAX(0.01*(1+$CU290/Control!$C$102),0.05*($DK290-Control!$C$97)/Control!$C$97)</f>
        <v>#N/A</v>
      </c>
      <c r="DY290" s="151" t="e">
        <f ca="1">IF(Control!$C$114=1, $DI290*$FS290, 0)</f>
        <v>#N/A</v>
      </c>
      <c r="DZ290" s="196" t="e">
        <f t="shared" ca="1" si="1076"/>
        <v>#N/A</v>
      </c>
      <c r="EA290" s="152">
        <f t="shared" ca="1" si="1077"/>
        <v>286</v>
      </c>
      <c r="EB290" s="153" t="e">
        <f t="shared" ca="1" si="1078"/>
        <v>#N/A</v>
      </c>
      <c r="EC290" s="153" t="e">
        <f t="shared" ca="1" si="1079"/>
        <v>#N/A</v>
      </c>
      <c r="ED290" s="154" t="e">
        <f ca="1">IF(Control!$C$114=1, $HM290*$FY290-$FD290, 0)</f>
        <v>#DIV/0!</v>
      </c>
      <c r="EE290" s="155" t="e">
        <f ca="1">IF(Control!$C$114=1, $HM290*$FZ290-$FF290, 0)</f>
        <v>#DIV/0!</v>
      </c>
      <c r="EF290" s="153" t="e">
        <f t="shared" ca="1" si="1133"/>
        <v>#N/A</v>
      </c>
      <c r="EG290" s="155" t="e">
        <f ca="1">IF(Control!$C$114=1, $GX290*$FW290-$FI290, 0)</f>
        <v>#DIV/0!</v>
      </c>
      <c r="EH290" s="153" t="e">
        <f t="shared" ca="1" si="1080"/>
        <v>#N/A</v>
      </c>
      <c r="EI290" s="156" t="e">
        <f t="shared" ca="1" si="1081"/>
        <v>#N/A</v>
      </c>
      <c r="EJ290" s="155" t="e">
        <f ca="1">IF(Control!$C$114=1, $HM290*$GB290, 0)</f>
        <v>#DIV/0!</v>
      </c>
      <c r="EK290" s="153" t="e">
        <f t="shared" ca="1" si="1134"/>
        <v>#N/A</v>
      </c>
      <c r="EL290" s="153" t="e">
        <f t="shared" ca="1" si="953"/>
        <v>#N/A</v>
      </c>
      <c r="EM290" s="153" t="e">
        <f t="shared" ca="1" si="954"/>
        <v>#N/A</v>
      </c>
      <c r="EN290" s="153" t="e">
        <f ca="1">IF(Control!$C$108=1,IF(AND(Control!$B$18=1,$EB290&gt;=Control!$B$19),$EB290-$DS290,IF(AND(Control!$B$18=2,$AW290=1,$EB290&gt;$DS290),$EB290-$DS290,0)))</f>
        <v>#N/A</v>
      </c>
      <c r="EO290" s="153" t="e">
        <f ca="1">IF(Control!$C$108=1,IF(AND(Control!$B$18=1,$EB290&gt;=Control!$B$19),$EF290,IF(AND(Control!$B$18=2,$AW290=1),$EF290,0)))</f>
        <v>#N/A</v>
      </c>
      <c r="EP290" s="153" t="e">
        <f ca="1">IF(Control!$C$108=1,IF(AND(Control!$B$18=1,$EB290&gt;=Control!$B$19),$EK290,IF(AND(Control!$B$18=2,$AW290=1),$EK290,0)))</f>
        <v>#N/A</v>
      </c>
      <c r="EQ290" s="153" t="e">
        <f t="shared" ca="1" si="1082"/>
        <v>#N/A</v>
      </c>
      <c r="ER290" s="153" t="e">
        <f t="shared" ca="1" si="1083"/>
        <v>#N/A</v>
      </c>
      <c r="ES290" s="153" t="e">
        <f t="shared" ca="1" si="1135"/>
        <v>#N/A</v>
      </c>
      <c r="ET290" s="153" t="e">
        <f t="shared" ca="1" si="1136"/>
        <v>#N/A</v>
      </c>
      <c r="EU290" s="153" t="e">
        <f t="shared" ca="1" si="1084"/>
        <v>#N/A</v>
      </c>
      <c r="EV290" s="153" t="e">
        <f t="shared" ca="1" si="955"/>
        <v>#N/A</v>
      </c>
      <c r="EW290" s="153" t="e">
        <f t="shared" ca="1" si="956"/>
        <v>#N/A</v>
      </c>
      <c r="EX290" s="153" t="e">
        <f t="shared" ca="1" si="957"/>
        <v>#N/A</v>
      </c>
      <c r="EY290" s="157" t="e">
        <f t="shared" ca="1" si="958"/>
        <v>#DIV/0!</v>
      </c>
      <c r="EZ290" s="154" t="e">
        <f t="shared" ca="1" si="959"/>
        <v>#DIV/0!</v>
      </c>
      <c r="FA290" s="153" t="e">
        <f t="shared" ca="1" si="1085"/>
        <v>#N/A</v>
      </c>
      <c r="FB290" s="153" t="e">
        <f t="shared" ca="1" si="960"/>
        <v>#N/A</v>
      </c>
      <c r="FC290" s="193" t="e">
        <f t="shared" ca="1" si="961"/>
        <v>#N/A</v>
      </c>
      <c r="FD290" s="158" t="e">
        <f t="shared" ca="1" si="1086"/>
        <v>#N/A</v>
      </c>
      <c r="FE290" s="158" t="e">
        <f t="shared" ca="1" si="1087"/>
        <v>#N/A</v>
      </c>
      <c r="FF290" s="159" t="e">
        <f t="shared" ca="1" si="962"/>
        <v>#N/A</v>
      </c>
      <c r="FG290" s="160" t="e">
        <f t="shared" ca="1" si="1088"/>
        <v>#N/A</v>
      </c>
      <c r="FH290" s="158" t="e">
        <f t="shared" ca="1" si="1089"/>
        <v>#N/A</v>
      </c>
      <c r="FI290" s="159" t="e">
        <f t="shared" ca="1" si="963"/>
        <v>#N/A</v>
      </c>
      <c r="FJ290" s="160" t="e">
        <f t="shared" ca="1" si="1090"/>
        <v>#N/A</v>
      </c>
      <c r="FK290" s="160" t="e">
        <f t="shared" ca="1" si="964"/>
        <v>#N/A</v>
      </c>
      <c r="FL290" s="160" t="e">
        <f t="shared" ca="1" si="1137"/>
        <v>#N/A</v>
      </c>
      <c r="FM290" s="160" t="e">
        <f t="shared" ca="1" si="965"/>
        <v>#N/A</v>
      </c>
      <c r="FN290" s="158">
        <f t="shared" ca="1" si="1091"/>
        <v>0.01</v>
      </c>
      <c r="FO290" s="160">
        <f>Control!$C$101</f>
        <v>50</v>
      </c>
      <c r="FP290" s="150" t="e">
        <f t="shared" ca="1" si="966"/>
        <v>#N/A</v>
      </c>
      <c r="FQ290" s="150" t="e">
        <f ca="1">MAX(0,(Control!$C$112*(($DK290-Control!$C$97)/Control!$C$97)))</f>
        <v>#N/A</v>
      </c>
      <c r="FR290" s="150" t="e">
        <f ca="1">(1-$NT290)*Control!$C$113</f>
        <v>#DIV/0!</v>
      </c>
      <c r="FS290" s="198" t="e">
        <f t="shared" ca="1" si="967"/>
        <v>#N/A</v>
      </c>
      <c r="FT290" s="161">
        <f t="shared" ca="1" si="1092"/>
        <v>286</v>
      </c>
      <c r="FU290" s="162" t="e">
        <f ca="1">IF(Control!$B$34=1,VLOOKUP($CP290,Control!$B$86:$G$91,6),Control!$B$35)</f>
        <v>#N/A</v>
      </c>
      <c r="FV290" s="162" t="e">
        <f t="shared" ca="1" si="968"/>
        <v>#DIV/0!</v>
      </c>
      <c r="FW290" s="162" t="e">
        <f ca="1">IF(Control!$B$31=1,$FU290*$FV290,  $FU290)</f>
        <v>#N/A</v>
      </c>
      <c r="FX290" s="162" t="e">
        <f ca="1">IF(Control!$B$34=1,VLOOKUP($CP290,Control!$B$86:$G$91,3),Control!$B$36)</f>
        <v>#N/A</v>
      </c>
      <c r="FY290" s="162" t="e">
        <f t="shared" ca="1" si="969"/>
        <v>#N/A</v>
      </c>
      <c r="FZ290" s="162" t="e">
        <f ca="1">IF(Control!$B$34=1,VLOOKUP($CP290,Control!$B$86:$G$91,4),Control!$B$37)</f>
        <v>#N/A</v>
      </c>
      <c r="GA290" s="162" t="e">
        <f t="shared" ca="1" si="970"/>
        <v>#N/A</v>
      </c>
      <c r="GB290" s="162" t="e">
        <f ca="1">IF(Control!$B$34=1,VLOOKUP($CP290,Control!$B$86:$G$91,5),Control!$B$38)</f>
        <v>#N/A</v>
      </c>
      <c r="GC290" s="162" t="e">
        <f t="shared" ca="1" si="1093"/>
        <v>#N/A</v>
      </c>
      <c r="GD290" s="162">
        <f t="shared" ca="1" si="971"/>
        <v>1</v>
      </c>
      <c r="GE290" s="162">
        <f t="shared" ca="1" si="972"/>
        <v>1</v>
      </c>
      <c r="GF290" s="162">
        <f ca="1">IF(AND(Control!$C$104=1, Control!$C$62="F"),$GE290,1)</f>
        <v>1</v>
      </c>
      <c r="GG290" s="162" t="e">
        <f ca="1">IF(Control!$B$16=40,0,IF(AND(Control!$B$16&gt;40,Control!$B$16&lt;=360),(Control!$B$16-40)*((1-0)/(360-40)),IF(AND(Control!$B$16&gt;360,Control!$B$16&lt;=720),(1+(Control!$B$16-360)*((1.25-1)/(720-360))),IF(AND(Control!$B$16&gt;720,Control!$B$16&lt;=1000),(1.25+(Control!$B$16-720)*((1.35-1.25)/(1000-720))),IF(AND(Control!$B$16&gt;1000,Control!$B$16&lt;=2000),(1.35+(Control!$B$16-1000)*0))))))</f>
        <v>#N/A</v>
      </c>
      <c r="GH290" s="162" t="e">
        <f t="shared" ca="1" si="973"/>
        <v>#N/A</v>
      </c>
      <c r="GI290" s="162">
        <f t="shared" ca="1" si="1094"/>
        <v>0</v>
      </c>
      <c r="GJ290" s="162">
        <f t="shared" ca="1" si="974"/>
        <v>0</v>
      </c>
      <c r="GK290" s="162">
        <f t="shared" ca="1" si="1095"/>
        <v>1</v>
      </c>
      <c r="GL290" s="162">
        <f t="shared" ca="1" si="975"/>
        <v>1</v>
      </c>
      <c r="GM290" s="162" t="e">
        <f ca="1">MAX(0,MIN(1,1-Control!$C$156*(1.0001-$KH290)^2))</f>
        <v>#N/A</v>
      </c>
      <c r="GN290" s="162" t="e">
        <f ca="1">IF(Control!$B$26=1,$KU290,$KX290)</f>
        <v>#N/A</v>
      </c>
      <c r="GO290" s="162" t="e">
        <f ca="1">IF($CP290&lt;=60,Control!$C$105,IF($CP290&gt;=90,Control!$C$106,Control!$C$105+($CP290-60)*((Control!$C$106-Control!$C$105)/(90-60))))</f>
        <v>#N/A</v>
      </c>
      <c r="GP290" s="162" t="e">
        <f t="shared" ca="1" si="976"/>
        <v>#N/A</v>
      </c>
      <c r="GQ290" s="162" t="e">
        <f t="shared" ca="1" si="1096"/>
        <v>#N/A</v>
      </c>
      <c r="GR290" s="163" t="e">
        <f t="shared" ca="1" si="977"/>
        <v>#DIV/0!</v>
      </c>
      <c r="GS290" s="162" t="e">
        <f t="shared" ca="1" si="978"/>
        <v>#DIV/0!</v>
      </c>
      <c r="GT290" s="164" t="e">
        <f t="shared" ca="1" si="1097"/>
        <v>#N/A</v>
      </c>
      <c r="GU290" s="162" t="e">
        <f t="shared" ca="1" si="1098"/>
        <v>#N/A</v>
      </c>
      <c r="GV290" s="162" t="e">
        <f t="shared" ca="1" si="979"/>
        <v>#N/A</v>
      </c>
      <c r="GW290" s="162" t="e">
        <f t="shared" ca="1" si="980"/>
        <v>#DIV/0!</v>
      </c>
      <c r="GX290" s="162" t="e">
        <f t="shared" ca="1" si="1099"/>
        <v>#DIV/0!</v>
      </c>
      <c r="GY290" s="162" t="e">
        <f t="shared" ca="1" si="1100"/>
        <v>#DIV/0!</v>
      </c>
      <c r="GZ290" s="165" t="e">
        <f t="shared" ca="1" si="981"/>
        <v>#N/A</v>
      </c>
      <c r="HA290" s="162" t="e">
        <f ca="1">IF(Control!$C$114=1, $DI290*$FS290, 0)</f>
        <v>#N/A</v>
      </c>
      <c r="HB290" s="162" t="e">
        <f ca="1">$FA290/Control!$C$64</f>
        <v>#N/A</v>
      </c>
      <c r="HC290" s="162" t="e">
        <f t="shared" ca="1" si="982"/>
        <v>#DIV/0!</v>
      </c>
      <c r="HD290" s="162">
        <f ca="1">-ASIN(SIN(23.45*Control!$C$139)*COS(2*Control!$C$138*($AH290+10)/365))</f>
        <v>-0.14927979431001229</v>
      </c>
      <c r="HE290" s="165">
        <f t="shared" ca="1" si="1101"/>
        <v>0</v>
      </c>
      <c r="HF290" s="166">
        <f ca="1">IF(AND(Control!$C$61="T",$HE290&gt;=Control!$C$103,Control!$C$114=0),$AH290,Control!$C$59)</f>
        <v>1</v>
      </c>
      <c r="HG290" s="166">
        <f ca="1">IF(AND(Control!$C$61="T",$HE290&gt;=Control!$C$103,Control!$C$114=0),$HF290,Control!$C$59)</f>
        <v>1</v>
      </c>
      <c r="HH290" s="165">
        <f ca="1">IF(AND(OR(Control!$C$60&lt;=0, $AH290= Control!$C$59, Control!$C$60 &gt;0, $AH290 = Control!$C$60)), Control!$C$59, IF(Control!$C$60&gt;0, 0))</f>
        <v>1</v>
      </c>
      <c r="HI290" s="165">
        <f ca="1">IF(AND(OR(Control!$C$60&lt;=0, $AH290= Control!$C$59, Control!$C$60 &gt;0, $AH290 = Control!$C$60)), Control!$C$60, IF(Control!$C$60&lt;=0, 0))</f>
        <v>0</v>
      </c>
      <c r="HJ290" s="166">
        <f ca="1">IF(AND(Control!$C$62="F",$CV290&gt;=Control!$C$102),$AH290,0)</f>
        <v>0</v>
      </c>
      <c r="HK290" s="165" t="e">
        <f t="shared" ca="1" si="1138"/>
        <v>#N/A</v>
      </c>
      <c r="HL290" s="166">
        <f ca="1">IF(AND(Control!$C$61="T",$HE290&gt;=Control!$C$103,Control!$C$114=0),$HF290,0)</f>
        <v>0</v>
      </c>
      <c r="HM290" s="201" t="e">
        <f t="shared" ca="1" si="983"/>
        <v>#DIV/0!</v>
      </c>
      <c r="HN290" s="215">
        <f t="shared" ca="1" si="1102"/>
        <v>286</v>
      </c>
      <c r="HO290" s="216" t="e">
        <f ca="1">IF(AND($CP290&gt;=0, $CP290&lt;=90), Control!$C$152, Control!$C$152)</f>
        <v>#N/A</v>
      </c>
      <c r="HP290" s="216" t="e">
        <f t="shared" ca="1" si="984"/>
        <v>#N/A</v>
      </c>
      <c r="HQ290" s="217" t="e">
        <f ca="1">IF(OR(Control!$B$26=1,Control!$B$26=2),$KV290,$KS290)</f>
        <v>#DIV/0!</v>
      </c>
      <c r="HR290" s="218" t="e">
        <f t="shared" ca="1" si="1139"/>
        <v>#DIV/0!</v>
      </c>
      <c r="HS290" s="216" t="e">
        <f ca="1">Control!$C$154*$HP290</f>
        <v>#N/A</v>
      </c>
      <c r="HT290" s="216" t="e">
        <f ca="1">Control!$C$155*$HP290</f>
        <v>#N/A</v>
      </c>
      <c r="HU290" s="217" t="e">
        <f ca="1">Control!$C$161*$FI290</f>
        <v>#N/A</v>
      </c>
      <c r="HV290" s="218" t="e">
        <f t="shared" ca="1" si="1103"/>
        <v>#N/A</v>
      </c>
      <c r="HW290" s="218" t="e">
        <f ca="1">Control!$C$160*$FF290+$IP290*$EO290</f>
        <v>#N/A</v>
      </c>
      <c r="HX290" s="218" t="e">
        <f t="shared" ca="1" si="1140"/>
        <v>#N/A</v>
      </c>
      <c r="HY290" s="219" t="e">
        <f ca="1">IF(Control!$C$114=1, $EB290*$FS290, 0)</f>
        <v>#N/A</v>
      </c>
      <c r="HZ290" s="91" t="e">
        <f t="shared" ca="1" si="985"/>
        <v>#N/A</v>
      </c>
      <c r="IA290" s="220" t="e">
        <f ca="1">Control!$C$153*$HO290</f>
        <v>#N/A</v>
      </c>
      <c r="IB290" s="218" t="e">
        <f t="shared" ca="1" si="986"/>
        <v>#N/A</v>
      </c>
      <c r="IC290" s="220" t="e">
        <f ca="1">Control!$C$153*$HT290</f>
        <v>#N/A</v>
      </c>
      <c r="ID290" s="218" t="e">
        <f t="shared" ca="1" si="987"/>
        <v>#N/A</v>
      </c>
      <c r="IE290" s="221" t="e">
        <f ca="1">($EB290*Control!$C$159+$EF290*Control!$C$160)/(IF($GZ290&lt;&gt;0,$GZ290,1))</f>
        <v>#N/A</v>
      </c>
      <c r="IF290" s="216" t="e">
        <f t="shared" ca="1" si="988"/>
        <v>#N/A</v>
      </c>
      <c r="IG290" s="91">
        <f ca="1">IF(OR(Control!$B$198=$AH290,Control!$B$199=$AH290, Control!$B$200=$AH290, Control!$B$201=$AH290, Control!$B$202=$AH290, Control!$B$203=$AH290, Control!$B$204=$AH290, Control!$B$205=$AH290, Control!$B$206=$AH290, Control!$B$207=$AH290), 1, 0)</f>
        <v>0</v>
      </c>
      <c r="IH290" s="91">
        <f ca="1">IF($IG290=0,0, VLOOKUP($AH290,Control!$B$198:$C$207,2))</f>
        <v>0</v>
      </c>
      <c r="II290" s="222">
        <f t="shared" ca="1" si="1104"/>
        <v>0</v>
      </c>
      <c r="IJ290" s="91">
        <f>Control!$C$121</f>
        <v>0.7</v>
      </c>
      <c r="IK290" s="218">
        <f t="shared" ca="1" si="989"/>
        <v>0</v>
      </c>
      <c r="IL290" s="217" t="e">
        <f t="shared" ca="1" si="1141"/>
        <v>#N/A</v>
      </c>
      <c r="IM290" s="223" t="e">
        <f ca="1">IF(AND(Control!$C$114=1,$KH290&lt;1),$EB290*Control!$C$148*(1-$KH290), 0)</f>
        <v>#N/A</v>
      </c>
      <c r="IN290" s="217" t="e">
        <f t="shared" ca="1" si="990"/>
        <v>#DIV/0!</v>
      </c>
      <c r="IO290" s="91" t="e">
        <f ca="1">MAX(0,$IL290-$EF290*Control!$C$160)</f>
        <v>#N/A</v>
      </c>
      <c r="IP290" s="220" t="e">
        <f t="shared" ca="1" si="991"/>
        <v>#N/A</v>
      </c>
      <c r="IQ290" s="217" t="e">
        <f t="shared" ca="1" si="1105"/>
        <v>#N/A</v>
      </c>
      <c r="IR290" s="218" t="e">
        <f t="shared" ca="1" si="992"/>
        <v>#N/A</v>
      </c>
      <c r="IS290" s="217" t="e">
        <f ca="1">Control!$C$159*MAX(0,$FD290-$EN290)</f>
        <v>#N/A</v>
      </c>
      <c r="IT290" s="217" t="e">
        <f t="shared" ca="1" si="1142"/>
        <v>#N/A</v>
      </c>
      <c r="IU290" s="217" t="e">
        <f t="shared" ca="1" si="1106"/>
        <v>#N/A</v>
      </c>
      <c r="IV290" s="217" t="e">
        <f t="shared" ca="1" si="1143"/>
        <v>#N/A</v>
      </c>
      <c r="IW290" s="217" t="e">
        <f ca="1">IF(OR($AW290=1,AND($AW290=0, Control!$B$18=1,$EN290&lt;&gt;0)), $IQ290-$IU290, $IQ290)</f>
        <v>#N/A</v>
      </c>
      <c r="IX290" s="218" t="e">
        <f t="shared" ca="1" si="993"/>
        <v>#N/A</v>
      </c>
      <c r="IY290" s="218" t="e">
        <f ca="1">MAX(0,$IQ290-$EB290*Control!$C$159)</f>
        <v>#N/A</v>
      </c>
      <c r="IZ290" s="218" t="e">
        <f t="shared" ca="1" si="994"/>
        <v>#N/A</v>
      </c>
      <c r="JA290" s="216" t="e">
        <f t="shared" ca="1" si="995"/>
        <v>#N/A</v>
      </c>
      <c r="JB290" s="217" t="e">
        <f t="shared" ca="1" si="996"/>
        <v>#N/A</v>
      </c>
      <c r="JC290" s="222" t="e">
        <f ca="1">MAX(Control!$C$157*$EK290-$JT290, 0)/Control!$C$162</f>
        <v>#N/A</v>
      </c>
      <c r="JD290" s="218" t="e">
        <f t="shared" ca="1" si="997"/>
        <v>#N/A</v>
      </c>
      <c r="JE290" s="218" t="e">
        <f t="shared" ca="1" si="998"/>
        <v>#N/A</v>
      </c>
      <c r="JF290" s="218" t="e">
        <f t="shared" ca="1" si="1107"/>
        <v>#N/A</v>
      </c>
      <c r="JG290" s="218" t="e">
        <f t="shared" ca="1" si="999"/>
        <v>#N/A</v>
      </c>
      <c r="JH290" s="217" t="e">
        <f t="shared" ca="1" si="1108"/>
        <v>#N/A</v>
      </c>
      <c r="JI290" s="217" t="e">
        <f t="shared" ca="1" si="1109"/>
        <v>#N/A</v>
      </c>
      <c r="JJ290" s="217" t="e">
        <f t="shared" ca="1" si="1144"/>
        <v>#N/A</v>
      </c>
      <c r="JK290" s="217" t="e">
        <f ca="1">IF(Control!$C$114=1,IF(Control!$B$24=0,MAX(0,$JI290)*$GN290/Control!$C$64,(MAX(0,MIN($JI290,$JJ290*$GN290/Control!$C$64),0))))</f>
        <v>#N/A</v>
      </c>
      <c r="JL290" s="217" t="e">
        <f ca="1">$IK290/Control!$C$64-$JK290+$HQ290</f>
        <v>#N/A</v>
      </c>
      <c r="JM290" s="217" t="e">
        <f ca="1">IF(Control!$C$114=1,($JB290/(IF($JI290&lt;&gt;0,$JI290,1)))*$JK290,0)</f>
        <v>#N/A</v>
      </c>
      <c r="JN290" s="217" t="e">
        <f ca="1">IF(Control!$C$114=1,($JG290/(IF($JI290&lt;&gt;0,$JI290,1)))*$JK290, 0)</f>
        <v>#N/A</v>
      </c>
      <c r="JO290" s="218" t="e">
        <f t="shared" ca="1" si="1000"/>
        <v>#N/A</v>
      </c>
      <c r="JP290" s="218" t="e">
        <f ca="1">MIN(($IY290+$IO290)*Control!$C$151, $JF290-$EH290*Control!$C$161)</f>
        <v>#N/A</v>
      </c>
      <c r="JQ290" s="218" t="e">
        <f t="shared" ca="1" si="1001"/>
        <v>#N/A</v>
      </c>
      <c r="JR290" s="217" t="e">
        <f ca="1">IF($CP290-Control!$C$150&lt;0, 0, $JQ290/Control!$C$162)</f>
        <v>#N/A</v>
      </c>
      <c r="JS290" s="218" t="e">
        <f t="shared" ca="1" si="1002"/>
        <v>#N/A</v>
      </c>
      <c r="JT290" s="218" t="e">
        <f t="shared" ca="1" si="1110"/>
        <v>#N/A</v>
      </c>
      <c r="JU290" s="218" t="e">
        <f t="shared" ca="1" si="1003"/>
        <v>#N/A</v>
      </c>
      <c r="JV290" s="218" t="e">
        <f t="shared" ca="1" si="1004"/>
        <v>#N/A</v>
      </c>
      <c r="JW290" s="216" t="e">
        <f t="shared" ca="1" si="1005"/>
        <v>#N/A</v>
      </c>
      <c r="JX290" s="91" t="e">
        <f t="shared" ca="1" si="1006"/>
        <v>#N/A</v>
      </c>
      <c r="JY290" s="218" t="e">
        <f t="shared" ca="1" si="1007"/>
        <v>#N/A</v>
      </c>
      <c r="JZ290" s="217" t="e">
        <f ca="1">IF(Control!$C$114=1,($IZ290/(IF($JI290&lt;&gt;0,$JI290,1)))*$JK290, 0)</f>
        <v>#N/A</v>
      </c>
      <c r="KA290" s="218" t="e">
        <f t="shared" ca="1" si="1145"/>
        <v>#N/A</v>
      </c>
      <c r="KB290" s="218" t="e">
        <f t="shared" ca="1" si="1111"/>
        <v>#N/A</v>
      </c>
      <c r="KC290" s="218" t="e">
        <f t="shared" ca="1" si="1008"/>
        <v>#N/A</v>
      </c>
      <c r="KD290" s="218" t="e">
        <f t="shared" ca="1" si="1009"/>
        <v>#N/A</v>
      </c>
      <c r="KE290" s="218" t="e">
        <f t="shared" ca="1" si="1010"/>
        <v>#N/A</v>
      </c>
      <c r="KF290" s="218" t="e">
        <f t="shared" ca="1" si="1011"/>
        <v>#N/A</v>
      </c>
      <c r="KG290" s="216" t="e">
        <f t="shared" ca="1" si="1012"/>
        <v>#N/A</v>
      </c>
      <c r="KH290" s="221" t="e">
        <f ca="1">IF(Control!$B$24=0,1,MAX(0.001,MIN(1,IF(($IF290-$IE290)&lt;&gt;0,($KG290-$IE290)/($IF290-$IE290),1))))</f>
        <v>#N/A</v>
      </c>
      <c r="KI290" s="222" t="e">
        <f ca="1">IF(Control!$C$114=1, $KI289+ $KH289, 0)</f>
        <v>#N/A</v>
      </c>
      <c r="KJ290" s="217" t="e">
        <f t="shared" ca="1" si="1013"/>
        <v>#N/A</v>
      </c>
      <c r="KK290" s="218" t="e">
        <f t="shared" ca="1" si="1014"/>
        <v>#N/A</v>
      </c>
      <c r="KL290" s="274" t="e">
        <f ca="1">IF(Control!$B$26=3,4000000000*EXP(-8400/($G290+273)),IF(Control!$B$26=4,4000000000*EXP(-8400/($G290+273))*($KT290),0))</f>
        <v>#DIV/0!</v>
      </c>
      <c r="KM290" s="274" t="e">
        <f ca="1">IF(Control!$B$26=3,5600000000000*EXP(-9800/($G290+273)),IF(Control!$B$26=4,5600000000000*EXP(-9800/($G290+273))*$KT290,0))</f>
        <v>#DIV/0!</v>
      </c>
      <c r="KN290" s="454" t="e">
        <f t="shared" ca="1" si="1112"/>
        <v>#DIV/0!</v>
      </c>
      <c r="KO290" s="274" t="e">
        <f t="shared" ca="1" si="1113"/>
        <v>#DIV/0!</v>
      </c>
      <c r="KP290" s="454" t="e">
        <f t="shared" ca="1" si="1015"/>
        <v>#DIV/0!</v>
      </c>
      <c r="KQ290" s="454" t="e">
        <f t="shared" ca="1" si="1016"/>
        <v>#DIV/0!</v>
      </c>
      <c r="KR290" s="454" t="e">
        <f t="shared" ca="1" si="1017"/>
        <v>#DIV/0!</v>
      </c>
      <c r="KS290" s="454" t="e">
        <f t="shared" ca="1" si="1018"/>
        <v>#DIV/0!</v>
      </c>
      <c r="KT290" s="455" t="e">
        <f t="shared" ca="1" si="1019"/>
        <v>#DIV/0!</v>
      </c>
      <c r="KU290" s="456" t="e">
        <f ca="1">IF($CP290-Control!$C$149&lt;0, IF($NT290-0.01&lt;0,0,1),0)</f>
        <v>#N/A</v>
      </c>
      <c r="KV290" s="456" t="e">
        <f ca="1">IF(Control!$C$114=1,MAX(0,MIN(Control!$C$125*$KW290*$GN290,$KW290)))</f>
        <v>#DIV/0!</v>
      </c>
      <c r="KW290" s="456" t="e">
        <f t="shared" ca="1" si="1146"/>
        <v>#DIV/0!</v>
      </c>
      <c r="KX290" s="457" t="e">
        <f ca="1">IF($CP290-Control!$C$149&lt;0, IF($MR290-$OM290&lt;0,0,1),0)</f>
        <v>#N/A</v>
      </c>
      <c r="KY290" s="167">
        <f t="shared" ca="1" si="1114"/>
        <v>286</v>
      </c>
      <c r="KZ290" s="168">
        <f ca="1">1370*(1+0.033*COS(2*Control!$C$138*$AH290/365))</f>
        <v>1379.4636241041801</v>
      </c>
      <c r="LA290" s="169">
        <f t="shared" ca="1" si="1115"/>
        <v>1.0069073833167805</v>
      </c>
      <c r="LB290" s="169">
        <f t="shared" ca="1" si="1116"/>
        <v>-0.1561287192018693</v>
      </c>
      <c r="LC290" s="169">
        <f ca="1">ACOS(-TAN((2*Control!$B$8/360))*TAN(Calculations!$LB290))</f>
        <v>1.5239965539015685</v>
      </c>
      <c r="LD290" s="169">
        <f ca="1">((24*60)/PI())*0.082*$LA290*(($LC290*SIN(Control!$B$8*2*PI()/360))*SIN($LB290)+COS(Control!$B$8*2*PI()/360)*COS($LB290)*SIN($LC290))</f>
        <v>15.924273986540918</v>
      </c>
      <c r="LE290" s="170">
        <f t="shared" ca="1" si="1020"/>
        <v>16.537366286920072</v>
      </c>
      <c r="LF290" s="170">
        <f ca="1">SIN(Control!$C$139*Control!$B$8)*SIN($HD290)</f>
        <v>-0.11719786214325574</v>
      </c>
      <c r="LG290" s="170">
        <f ca="1">COS(Control!$C$139*Control!$B$8)*COS($HD290)</f>
        <v>0.60881271022489891</v>
      </c>
      <c r="LH290" s="170">
        <f ca="1">12*(1+2*ASIN(MAX(-1,MIN(1,$LF290/$LG290))/Control!$C$138))</f>
        <v>10.52847217550107</v>
      </c>
      <c r="LI290" s="170">
        <f ca="1">12*(1+2*ASIN(MAX(-1,MIN(1,(-SIN(-4*Control!$C$139)+$LF290)/$LG290))/Control!$C$138))</f>
        <v>11.404643520240104</v>
      </c>
      <c r="LJ290" s="168">
        <f ca="1">3600*($LH290*$LF290+24*$LG290*SQRT(1-$LK290*$LK290)/Control!$C$138)</f>
        <v>11988.258333132482</v>
      </c>
      <c r="LK290" s="170">
        <f t="shared" ca="1" si="1021"/>
        <v>-0.19250232489391061</v>
      </c>
      <c r="LL290" s="170">
        <f t="shared" ca="1" si="1022"/>
        <v>0</v>
      </c>
      <c r="LM290" s="171">
        <f ca="1">Control!$C$145*$AB290</f>
        <v>6.6660906138995932E-2</v>
      </c>
      <c r="LN290" s="170">
        <f t="shared" ca="1" si="1117"/>
        <v>0.54</v>
      </c>
      <c r="LO290" s="170">
        <f t="shared" ca="1" si="1023"/>
        <v>0</v>
      </c>
      <c r="LP290" s="170">
        <f ca="1">Control!$C$140*((($D290+273.16)^4+($E290+273.16)^4)/2)*(0.34-0.14*SQRT($Y290))*(1.35*$AQ290/(0.75*$LD290)-0.35)</f>
        <v>-3.2464704755046001</v>
      </c>
      <c r="LQ290" s="170">
        <f ca="1">Control!$C$140*($G290+273)^4*(0.56-0.079*SQRT($Y290*10))*(0.1+0.9*$LO290)</f>
        <v>1.5241745131704001</v>
      </c>
      <c r="LR290" s="170">
        <f ca="1">$AQ290*(1-Control!$C$142)-$LQ290</f>
        <v>-1.5241745131704001</v>
      </c>
      <c r="LS290" s="170">
        <f ca="1">$AQ290*(1-Control!$C$143)-$LQ290</f>
        <v>-1.5241745131704001</v>
      </c>
      <c r="LT290" s="170">
        <f ca="1">$AQ290*(1-Control!$C$144)-$LQ290</f>
        <v>-1.5241745131704001</v>
      </c>
      <c r="LU290" s="169">
        <f ca="1">(1-Control!$C$144)*AQ290-LP290</f>
        <v>3.2464704755046001</v>
      </c>
      <c r="LV290" s="172">
        <f t="shared" ca="1" si="1024"/>
        <v>0.79430000000000012</v>
      </c>
      <c r="LW290" s="170">
        <f t="shared" ca="1" si="1025"/>
        <v>1.5886000000000002</v>
      </c>
      <c r="LX290" s="170">
        <f ca="1">($AC290*($LR290/Control!$C$141)+$LM290*$LV290)/($AC290+$LM290)</f>
        <v>0.23530094218323697</v>
      </c>
      <c r="LY290" s="170">
        <f ca="1">($AC290*($LS290/Control!$C$141)+$LM290*$LV290)/($AC290+$LM290)</f>
        <v>0.23530094218323697</v>
      </c>
      <c r="LZ290" s="170">
        <f t="shared" ca="1" si="1026"/>
        <v>0.23530094218323697</v>
      </c>
      <c r="MA290" s="170">
        <f t="shared" ca="1" si="1027"/>
        <v>0.23530094218323697</v>
      </c>
      <c r="MB290" s="170" t="e">
        <f t="shared" ca="1" si="1028"/>
        <v>#N/A</v>
      </c>
      <c r="MC290" s="170">
        <f t="shared" ca="1" si="1118"/>
        <v>0.6018</v>
      </c>
      <c r="MD290" s="170">
        <f t="shared" ca="1" si="1029"/>
        <v>0.52989392535414004</v>
      </c>
      <c r="ME290" s="170">
        <f ca="1">($AC290*($LT290/Control!$C$141)+$LM290*$LW290)/($AC290+$LM290)</f>
        <v>0.71612369323045078</v>
      </c>
      <c r="MF290" s="170" t="e">
        <f ca="1">IF(Control!$B$16&gt;=1000,0.92,IF(AND(720&lt;=Control!$B$16,1000&gt;Control!$B$16),(0.95+(Control!$B$16-720)*((0.92-0.95)/(1000-720))),IF(AND(360&lt;=Control!$B$16,720&gt;Control!$B$16),(1+(Control!$B$16-360)*((0.95-1)/(720-360))),IF(AND(40&lt;=Control!$B$16,360&gt;Control!$B$16),(1.05+(Control!$B$16-40)*((1.05-1)/(360-40)))))))</f>
        <v>#N/A</v>
      </c>
      <c r="MG290" s="170">
        <f t="shared" ca="1" si="1030"/>
        <v>0.71612369323045078</v>
      </c>
      <c r="MH290" s="170" t="e">
        <f t="shared" ca="1" si="1156"/>
        <v>#N/A</v>
      </c>
      <c r="MI290" s="170" t="e">
        <f t="shared" ca="1" si="1156"/>
        <v>#N/A</v>
      </c>
      <c r="MJ290" s="170" t="e">
        <f ca="1">MAX(0.0001, Control!$C$132*$MI290*$DL290)</f>
        <v>#N/A</v>
      </c>
      <c r="MK290" s="170">
        <f ca="1">1/(0.76+1.5*($MG290/10))-(5-Control!$C$110)*0.1</f>
        <v>1.002845988140797</v>
      </c>
      <c r="ML290" s="173">
        <f ca="1">IF(Control!$C$110&lt;3,$MK290+($MG290-0.6)/(Control!$C$110*(Control!$C$110+3)), MAX(0.1, MIN(0.95,$MK290)))</f>
        <v>0.95</v>
      </c>
      <c r="MM290" s="173">
        <f ca="1">IF(Control!$C$110&lt;3,$MK290+(($MI290/10)-0.6)/(Control!$C$110*(Control!$C$110+3)), MAX(0.1, MIN(0.95,$MK290)))</f>
        <v>0.95</v>
      </c>
      <c r="MN290" s="173">
        <f ca="1">(1-$MM290)*(Control!$C$128-Control!$C$127)+Control!$C$127</f>
        <v>0.16</v>
      </c>
      <c r="MO290" s="170" t="e">
        <f ca="1">MAX(0,MIN(1,($MS290-Control!$C$127)/($MN290-Control!$C$127)))</f>
        <v>#DIV/0!</v>
      </c>
      <c r="MP290" s="173" t="e">
        <f ca="1">1/(0.76+1.5*$MI290)-(5-Control!$C$110)*0.1</f>
        <v>#N/A</v>
      </c>
      <c r="MQ290" s="172" t="e">
        <f t="shared" ca="1" si="1147"/>
        <v>#DIV/0!</v>
      </c>
      <c r="MR290" s="168" t="e">
        <f t="shared" ca="1" si="1119"/>
        <v>#DIV/0!</v>
      </c>
      <c r="MS290" s="173" t="e">
        <f ca="1">MAX(Control!$C$127, MIN(Control!$C$135, $MR290/MAX(0.0001,$CY290)))</f>
        <v>#DIV/0!</v>
      </c>
      <c r="MT290" s="168" t="e">
        <f ca="1">(Control!$C$128-$MS290)*Control!$C$74</f>
        <v>#DIV/0!</v>
      </c>
      <c r="MU290" s="168" t="e">
        <f ca="1">(Control!$C$135-$MS290)*Control!$C$74</f>
        <v>#DIV/0!</v>
      </c>
      <c r="MV290" s="168" t="e">
        <f t="shared" ca="1" si="1120"/>
        <v>#DIV/0!</v>
      </c>
      <c r="MW290" s="168" t="e">
        <f t="shared" ca="1" si="1121"/>
        <v>#DIV/0!</v>
      </c>
      <c r="MX290" s="171" t="e">
        <f ca="1">MAX(Control!$C$127, MIN(Control!$C$135, $MW290/MAX(0.0001,Control!$C$119-$CY290)))</f>
        <v>#DIV/0!</v>
      </c>
      <c r="MY290" s="54" t="e">
        <f ca="1">IF(Control!$C$114=1, $CX290*$MX290, 0)</f>
        <v>#DIV/0!</v>
      </c>
      <c r="MZ290" s="54" t="e">
        <f t="shared" ca="1" si="1122"/>
        <v>#N/A</v>
      </c>
      <c r="NA290" s="168" t="e">
        <f ca="1">(Control!$C$128-$MX290)*(Control!$C$119-Control!$C$74)</f>
        <v>#DIV/0!</v>
      </c>
      <c r="NB290" s="168" t="e">
        <f ca="1">(Control!$C$135-$MX290)*(Control!$C$119-Control!$C$74)</f>
        <v>#DIV/0!</v>
      </c>
      <c r="NC290" s="174" t="e">
        <f t="shared" ca="1" si="1123"/>
        <v>#DIV/0!</v>
      </c>
      <c r="ND290" s="54">
        <f ca="1">IF(Control!$C$58=2, IF(OR(Control!$B$218=$AH290,Control!$B$219=$AH290, Control!$B$220=$AH290, Control!$B$221=$AH290, Control!$B$222=$AH290, Control!$B$223=$AH290, Control!$B$224=$AH290, Control!$B$225=$AH290, Control!$B$226=$AH290, Control!$B$227=$AH290, Control!$B$228=$AH290), 1, 0), 0)</f>
        <v>0</v>
      </c>
      <c r="NE290" s="54">
        <f ca="1">IF($ND290=0,0, VLOOKUP($AH290,Control!$B$218:$C$228,2))</f>
        <v>0</v>
      </c>
      <c r="NF290" s="168" t="e">
        <f ca="1">$CY290*(Control!$C$128-Control!$C$127)</f>
        <v>#N/A</v>
      </c>
      <c r="NG290" s="54" t="e">
        <f ca="1">IF(Control!$C$58=2, $NI289-$NJ289, 0)</f>
        <v>#DIV/0!</v>
      </c>
      <c r="NH290" s="54" t="e">
        <f ca="1">IF(AND(Control!$C$58=1, $MS289&lt;= ($MN289+0.02), $I289&lt;10), 0, IF(Control!$C$58=2, $NG289, 0))</f>
        <v>#DIV/0!</v>
      </c>
      <c r="NI290" s="54" t="e">
        <f ca="1">IF(Control!$C$58=2, $NE290+$NH290,0)</f>
        <v>#DIV/0!</v>
      </c>
      <c r="NJ290" s="54" t="e">
        <f ca="1">IF(AND(Control!$C$58=1, $MS290&lt;= ($MN290+0.02), $I290&lt;10), MAX(0, MIN(10, 0.7*($NF290-$MV290))), IF(Control!$C$58=2, MIN(10,$NI290),0))</f>
        <v>#DIV/0!</v>
      </c>
      <c r="NK290" s="54" t="e">
        <f t="shared" ca="1" si="1031"/>
        <v>#DIV/0!</v>
      </c>
      <c r="NL290" s="173" t="e">
        <f ca="1">(1-Control!$C$73)*$I290+$NJ290</f>
        <v>#DIV/0!</v>
      </c>
      <c r="NM290" s="172" t="e">
        <f ca="1">IF($NL290&lt;0.5, $MB290* MAX(0, MIN(1, (SQRT($NC290)-SQRT($NC290-1))*Control!$C$71)),0)</f>
        <v>#DIV/0!</v>
      </c>
      <c r="NN290" s="170" t="e">
        <f ca="1">IF($NL290&gt;=5, $MB290, MAX(0,MIN($MB290, $NM290+$NL290,($MS290-Control!$C$129))))</f>
        <v>#DIV/0!</v>
      </c>
      <c r="NO290" s="54">
        <f>IF(Control!$C$133&lt;&gt;1, Control!$C$135-Control!$C$131, 0)</f>
        <v>0.38</v>
      </c>
      <c r="NP290" s="54" t="e">
        <f t="shared" ca="1" si="1032"/>
        <v>#DIV/0!</v>
      </c>
      <c r="NQ290" s="173" t="e">
        <f ca="1">MAX(0,MIN(1,(Control!$C$135-$MS290)/(Control!$C$135-$NO290)))</f>
        <v>#DIV/0!</v>
      </c>
      <c r="NR290" s="170" t="e">
        <f ca="1">IF(Control!$C$133&lt;&gt;1, $NQ290+((1-$NP290/4)*(1-$NQ290)),1)</f>
        <v>#DIV/0!</v>
      </c>
      <c r="NS290" s="170" t="e">
        <f ca="1">IF(Control!$B$31=0,$MJ290,MAX(0,MIN($MV290,$MO290*$NR290*$MJ290)))</f>
        <v>#DIV/0!</v>
      </c>
      <c r="NT290" s="170" t="e">
        <f t="shared" ca="1" si="1148"/>
        <v>#DIV/0!</v>
      </c>
      <c r="NU290" s="170" t="e">
        <f t="shared" ca="1" si="1124"/>
        <v>#N/A</v>
      </c>
      <c r="NV290" s="170" t="e">
        <f t="shared" ca="1" si="1033"/>
        <v>#N/A</v>
      </c>
      <c r="NW290" s="175" t="e">
        <f t="shared" ca="1" si="1034"/>
        <v>#DIV/0!</v>
      </c>
      <c r="NX290" s="170" t="e">
        <f ca="1">MIN(Control!$C$72+$MU290, $NW290)</f>
        <v>#DIV/0!</v>
      </c>
      <c r="NY290" s="170" t="e">
        <f ca="1">IF($MT290&lt;=$NX290,MIN(Control!$C$72+$NB290,$NX290-$MT290),0)</f>
        <v>#DIV/0!</v>
      </c>
      <c r="NZ290" s="54" t="e">
        <f ca="1">IF(Control!$C$114=1,  $CX290*($MX290-Control!$C$127), 0)</f>
        <v>#DIV/0!</v>
      </c>
      <c r="OA290" s="170" t="e">
        <f t="shared" ca="1" si="1035"/>
        <v>#DIV/0!</v>
      </c>
      <c r="OB290" s="170" t="e">
        <f ca="1">IF($NA290 &lt;=$NY290, MIN(Control!$C$72, $NY290-$NA290), 0)</f>
        <v>#DIV/0!</v>
      </c>
      <c r="OC290" s="168" t="e">
        <f t="shared" ca="1" si="1036"/>
        <v>#DIV/0!</v>
      </c>
      <c r="OD290" s="168" t="e">
        <f t="shared" ca="1" si="1125"/>
        <v>#DIV/0!</v>
      </c>
      <c r="OE290" s="170">
        <f ca="1">Control!$C$73*$I290</f>
        <v>0</v>
      </c>
      <c r="OF290" s="176" t="e">
        <f t="shared" ca="1" si="1037"/>
        <v>#DIV/0!</v>
      </c>
      <c r="OG290" s="168" t="e">
        <f t="shared" ca="1" si="1038"/>
        <v>#DIV/0!</v>
      </c>
      <c r="OH290" s="168" t="e">
        <f t="shared" ca="1" si="1039"/>
        <v>#DIV/0!</v>
      </c>
      <c r="OI290" s="168" t="e">
        <f t="shared" ca="1" si="1040"/>
        <v>#DIV/0!</v>
      </c>
      <c r="OJ290" s="168" t="e">
        <f t="shared" ca="1" si="1041"/>
        <v>#DIV/0!</v>
      </c>
      <c r="OK290" s="204" t="e">
        <f t="shared" ca="1" si="1042"/>
        <v>#DIV/0!</v>
      </c>
      <c r="OL290" s="177">
        <f>Control!$C$127</f>
        <v>0.15</v>
      </c>
      <c r="OM290" s="182" t="e">
        <f t="shared" ca="1" si="1043"/>
        <v>#N/A</v>
      </c>
      <c r="ON290" s="177">
        <f>Control!$C$128</f>
        <v>0.35</v>
      </c>
      <c r="OO290" s="182" t="e">
        <f t="shared" ca="1" si="1044"/>
        <v>#N/A</v>
      </c>
      <c r="OP290" s="138">
        <f t="shared" ca="1" si="1126"/>
        <v>0</v>
      </c>
      <c r="OQ290" s="138" t="e">
        <f t="shared" ca="1" si="1149"/>
        <v>#DIV/0!</v>
      </c>
      <c r="OR290" s="138" t="e">
        <f t="shared" ca="1" si="1127"/>
        <v>#DIV/0!</v>
      </c>
      <c r="OS290" s="137" t="e">
        <f t="shared" ca="1" si="1150"/>
        <v>#DIV/0!</v>
      </c>
      <c r="OT290" s="139" t="e">
        <f t="shared" ca="1" si="1151"/>
        <v>#DIV/0!</v>
      </c>
      <c r="OU290" s="138" t="e">
        <f t="shared" ca="1" si="1152"/>
        <v>#N/A</v>
      </c>
      <c r="OV290" s="138" t="e">
        <f t="shared" ca="1" si="1153"/>
        <v>#DIV/0!</v>
      </c>
      <c r="OW290" s="138" t="e">
        <f t="shared" ca="1" si="1128"/>
        <v>#DIV/0!</v>
      </c>
      <c r="OX290" s="138" t="e">
        <f t="shared" ca="1" si="1129"/>
        <v>#DIV/0!</v>
      </c>
      <c r="OY290" s="138" t="e">
        <f t="shared" ca="1" si="1130"/>
        <v>#DIV/0!</v>
      </c>
      <c r="OZ290" s="138" t="e">
        <f t="shared" ca="1" si="1045"/>
        <v>#DIV/0!</v>
      </c>
      <c r="PA290" s="138" t="e">
        <f t="shared" ca="1" si="1046"/>
        <v>#DIV/0!</v>
      </c>
      <c r="PB290" s="55">
        <f>IF(Control!$C$61="T", IF(Control!$C$65="F", IF($AH$6-Control!$C$60&lt;0,0,1), IF(365+$AH$6-Control!$C$60&lt;0,0,1)),0)</f>
        <v>0</v>
      </c>
      <c r="PC290" s="55">
        <f ca="1">IF(Control!$C$65="F", IF($AH$6-$HF290&lt;0,0,1), IF(365+$AH$6-$HF290&lt;0,0,1))</f>
        <v>1</v>
      </c>
      <c r="PD290" s="444">
        <f>Control!$C$118</f>
        <v>1500</v>
      </c>
      <c r="PE290" s="180" t="e">
        <f t="shared" ca="1" si="1047"/>
        <v>#N/A</v>
      </c>
      <c r="PF290" s="445">
        <f t="shared" ca="1" si="1131"/>
        <v>0.71612369323045078</v>
      </c>
      <c r="PT290" s="186"/>
      <c r="PU290" s="186"/>
      <c r="PV290" s="94"/>
      <c r="PW290" s="94"/>
      <c r="PX290" s="94"/>
      <c r="PY290" s="94"/>
      <c r="PZ290" s="94"/>
      <c r="QA290" s="94"/>
      <c r="QB290" s="94"/>
      <c r="QC290" s="94"/>
      <c r="QD290" s="94"/>
      <c r="QE290" s="94"/>
      <c r="QF290" s="94"/>
      <c r="QG290" s="94"/>
      <c r="QH290" s="94"/>
      <c r="QI290" s="94"/>
      <c r="QJ290" s="94"/>
      <c r="QK290" s="94"/>
      <c r="QL290" s="94"/>
      <c r="QM290" s="94"/>
      <c r="QN290" s="94"/>
      <c r="QO290" s="94"/>
      <c r="QP290" s="94"/>
    </row>
    <row r="291" spans="1:458" s="2" customFormat="1" x14ac:dyDescent="0.2">
      <c r="A291" s="395">
        <v>13</v>
      </c>
      <c r="B291" s="396">
        <v>10</v>
      </c>
      <c r="C291" s="387">
        <f ca="1">Weather_data!$B290</f>
        <v>0</v>
      </c>
      <c r="D291" s="388">
        <f ca="1">Weather_data!$F290</f>
        <v>0</v>
      </c>
      <c r="E291" s="388">
        <f ca="1">Weather_data!$E290</f>
        <v>0</v>
      </c>
      <c r="F291" s="388">
        <f t="shared" ca="1" si="1048"/>
        <v>0</v>
      </c>
      <c r="G291" s="388">
        <f ca="1">AVERAGE($D291:$E291)+Control!$B$9</f>
        <v>0</v>
      </c>
      <c r="H291" s="388">
        <f ca="1">Weather_data!$G290</f>
        <v>0</v>
      </c>
      <c r="I291" s="388">
        <f ca="1">Weather_data!$I290</f>
        <v>0</v>
      </c>
      <c r="J291" s="388">
        <f ca="1">Weather_data!$H290</f>
        <v>0</v>
      </c>
      <c r="K291" s="389">
        <f ca="1">Weather_data!$D290</f>
        <v>0</v>
      </c>
      <c r="L291" s="388" t="e">
        <f t="shared" ca="1" si="1049"/>
        <v>#N/A</v>
      </c>
      <c r="M291" s="388" t="e">
        <f t="shared" ca="1" si="927"/>
        <v>#N/A</v>
      </c>
      <c r="N291" s="388">
        <f t="shared" ca="1" si="928"/>
        <v>-4.5507732285996187E-14</v>
      </c>
      <c r="O291" s="388">
        <f t="shared" ca="1" si="1050"/>
        <v>4.5507732285996187E-13</v>
      </c>
      <c r="P291" s="390">
        <v>3</v>
      </c>
      <c r="Q291" s="388">
        <f ca="1">MAX($G291-Control!$C$107,0)</f>
        <v>0</v>
      </c>
      <c r="R291" s="388">
        <f t="shared" ca="1" si="1051"/>
        <v>0</v>
      </c>
      <c r="S291" s="388">
        <f t="shared" ca="1" si="929"/>
        <v>0</v>
      </c>
      <c r="T291" s="388">
        <f t="shared" ca="1" si="930"/>
        <v>0</v>
      </c>
      <c r="U291" s="59">
        <f t="shared" ca="1" si="931"/>
        <v>0</v>
      </c>
      <c r="V291" s="391">
        <f ca="1">MAX(0,MIN(Control!$C$100-Control!$C$99,$G291-Control!$C$99)*Control!$C$63)</f>
        <v>0</v>
      </c>
      <c r="W291" s="388">
        <f t="shared" ca="1" si="1052"/>
        <v>0</v>
      </c>
      <c r="X291" s="388">
        <f t="shared" ca="1" si="1053"/>
        <v>0.6110000000000001</v>
      </c>
      <c r="Y291" s="388">
        <f t="shared" ca="1" si="932"/>
        <v>0</v>
      </c>
      <c r="Z291" s="388">
        <f t="shared" ca="1" si="1054"/>
        <v>0.61058800000000002</v>
      </c>
      <c r="AA291" s="388">
        <f t="shared" ca="1" si="933"/>
        <v>0.6018</v>
      </c>
      <c r="AB291" s="388">
        <f ca="1">101.3*EXP(-0.034*Control!$C$66/($G291+273))</f>
        <v>100.69623283836242</v>
      </c>
      <c r="AC291" s="392">
        <f t="shared" ca="1" si="934"/>
        <v>4.3460251046025113E-2</v>
      </c>
      <c r="AD291" s="392">
        <f t="shared" ca="1" si="935"/>
        <v>4.4450382862832649E-2</v>
      </c>
      <c r="AE291" s="388">
        <f t="shared" ca="1" si="936"/>
        <v>0</v>
      </c>
      <c r="AF291" s="388">
        <f ca="1">MAX(0,$G291-Control!$C$92)</f>
        <v>0</v>
      </c>
      <c r="AG291" s="393">
        <f t="shared" ca="1" si="937"/>
        <v>287</v>
      </c>
      <c r="AH291" s="389">
        <f t="shared" ca="1" si="938"/>
        <v>287</v>
      </c>
      <c r="AI291" s="388">
        <f t="shared" ca="1" si="1055"/>
        <v>-0.15568578649830198</v>
      </c>
      <c r="AJ291" s="388">
        <f ca="1">IF(Control!$C$60&lt;=0,$HH291,$HI291)</f>
        <v>1</v>
      </c>
      <c r="AK291" s="388">
        <f t="shared" ca="1" si="939"/>
        <v>3.563340708455272</v>
      </c>
      <c r="AL291" s="388">
        <f t="shared" ca="1" si="940"/>
        <v>-2.7052474843580754E-18</v>
      </c>
      <c r="AM291" s="388">
        <f t="shared" ca="1" si="941"/>
        <v>3.563340708455272</v>
      </c>
      <c r="AN291" s="388">
        <f t="shared" ca="1" si="942"/>
        <v>-0.16357021804394187</v>
      </c>
      <c r="AO291" s="388">
        <f ca="1">-0.10453/COS(Control!$B$8*PI()/180)*COS(AN291)</f>
        <v>-0.16751860846630032</v>
      </c>
      <c r="AP291" s="388">
        <f ca="1">ACOS(AO291-TAN(Control!$B$8*PI()/180)*TAN(AN291))</f>
        <v>1.5270532930946497</v>
      </c>
      <c r="AQ291" s="388">
        <f t="shared" ca="1" si="1056"/>
        <v>0</v>
      </c>
      <c r="AR291" s="394">
        <f t="shared" ca="1" si="943"/>
        <v>0</v>
      </c>
      <c r="AS291" s="436">
        <f ca="1">IF(Control!$B$18=2,(IF(OR($AH291=Control!$B$175,$AH291=Control!$B$176,$AH291=Control!$B$177,$AH291=Control!$B$178,$AH291=Control!$B$179,$AH291=Control!$B$180,$AH291=Control!$B$181,$AH291=Control!$B$182,$AH291=Control!$B$183,$AH291=Control!$B$184,$AH291=Control!$B$185),1,0)),0)</f>
        <v>0</v>
      </c>
      <c r="AT291" s="436">
        <f>IF(Control!$B$20=8,IF(AND($AH291&gt;=Control!$B$172,$AH291&lt;=Control!$B$173),1,0),0)</f>
        <v>0</v>
      </c>
      <c r="AU291" s="436">
        <f>IF(Control!$B$20=8,IF($AV290=1,1*$AT291,IF($AT291=1,$AU290+1,$AU290)),0)</f>
        <v>0</v>
      </c>
      <c r="AV291" s="436">
        <f>IF(Control!$B$20=8,IF($AU291&gt;=Control!$B$174,1,0),0)</f>
        <v>0</v>
      </c>
      <c r="AW291" s="436">
        <f ca="1">IF(AND(Control!$B$18=2,Control!$B$171=1), $AV291, $AS291)</f>
        <v>0</v>
      </c>
      <c r="AX291" s="436" t="e">
        <f ca="1">IF(AND(Control!$B$18=1,$EU291&gt;=Control!$B$19),-$AY291,IF(AND(Control!$B$18=2,$AW291=1,$EU291&gt;$DS291),-$AY291, IF(Control!$C$108=0,0, IF(Control!$C$108&lt;&gt;0,1))))</f>
        <v>#N/A</v>
      </c>
      <c r="AY291" s="436" t="e">
        <f t="shared" ca="1" si="1057"/>
        <v>#N/A</v>
      </c>
      <c r="AZ291" s="436" t="e">
        <f ca="1">IF(AND(Control!$B$18=1,$EB291&gt;Control!$B$19),$AZ290+1, IF(AND(Control!$B$18=2, $AW291=1, $EB291&gt;$DS291), $AZ290+1,$AZ290))</f>
        <v>#N/A</v>
      </c>
      <c r="BA291" s="587">
        <f>IF(Control!$C$81=0,1,IF($AH291&gt;=Control!$C$82,1,0))</f>
        <v>1</v>
      </c>
      <c r="BB291" s="140" t="e">
        <f ca="1">IF($BA291&gt;$BA290,Control!$C$83,IF($AW291&gt;0,$AW291*Control!$C$84,IF(AND(Control!$B$18=1,EN290&lt;&gt;0),Control!$C$84,0)))</f>
        <v>#N/A</v>
      </c>
      <c r="BC291" s="140" t="e">
        <f t="shared" ca="1" si="1058"/>
        <v>#N/A</v>
      </c>
      <c r="BD291" s="140" t="e">
        <f ca="1">BC291*IF(OR($G291&lt;Control!$C$92,$G291&gt;Control!$C$95),0,IF(AND($G291&gt;=Control!$C$92,$G291&lt;=Control!$C$93),$G291-Control!$C$92,IF(AND($G291&gt;Control!$C$93,$G291&lt;=Control!$C$94),Control!$C$93-Control!$C$92,IF(AND($G291&gt;Control!$C$94,$G291&lt;=Control!$C$95),(Control!$C$93-Control!$C$92)*(Control!$C$94-$G291)/(Control!$C$95-Control!$C$94)))))</f>
        <v>#N/A</v>
      </c>
      <c r="BE291" s="140" t="e">
        <f t="shared" ca="1" si="1059"/>
        <v>#N/A</v>
      </c>
      <c r="BF291" s="140" t="e">
        <f ca="1">IF($BE291&lt;=Control!$C$86,$BE291,Control!$C$86-$BE291)</f>
        <v>#N/A</v>
      </c>
      <c r="BG291" s="140" t="e">
        <f ca="1">IF(AND($AW291=1,Control!$C$84&lt;9),1,IF($BE291&gt;=Control!$C$86,0,$BC291))</f>
        <v>#N/A</v>
      </c>
      <c r="BH291" s="404" t="e">
        <f ca="1">IF($BG291=0,0,IF($BE291&lt;=Control!$C$86,$BC291*9*($BF291/Control!$C$86),0))</f>
        <v>#N/A</v>
      </c>
      <c r="BI291" s="140" t="e">
        <f ca="1">IF($BG291=1,0,IF($BE291&gt;=Control!$C$86,1,IF(AND($BB291&lt;21,$BB291&gt;=9),1,$BM290)))</f>
        <v>#N/A</v>
      </c>
      <c r="BJ291" s="140" t="e">
        <f ca="1">IF($BF291&lt;0,-$BF291,$BI291*IF(OR($G291&lt;Control!$C$92,$G291&gt;Control!$C$95),0,IF(AND($G291&gt;=Control!$C$92,$G291&lt;=Control!$C$93),$G291-Control!$C$92,IF(AND($G291&gt;Control!$C$93,$G291&lt;=Control!$C$94),Control!$C$93-Control!$C$92,IF(AND($G291&gt;Control!$C$94,$G291&lt;=Control!$C$95),(Control!$C$93-Control!$C$92)*(Control!$C$94-$G291)/(Control!$C$95-Control!$C$94))))))</f>
        <v>#N/A</v>
      </c>
      <c r="BK291" s="140" t="e">
        <f t="shared" ca="1" si="1060"/>
        <v>#N/A</v>
      </c>
      <c r="BL291" s="140" t="e">
        <f ca="1">IF($BK291&lt;=Control!$C$87,$BK291,Control!$C$87-$BK291)</f>
        <v>#N/A</v>
      </c>
      <c r="BM291" s="140" t="e">
        <f ca="1">IF(AND($BB291&gt;=9,$BB291&lt;21),1,IF($BK291&gt;=Control!$C$87,0,$BI291))</f>
        <v>#N/A</v>
      </c>
      <c r="BN291" s="404" t="e">
        <f ca="1">IF($BM291=0,0,IF($BK291&lt;=Control!$C$87,$BI291*(9+(21-9)*($BL291/Control!$C$87)),0))</f>
        <v>#N/A</v>
      </c>
      <c r="BO291" s="140" t="e">
        <f ca="1">IF($BM291=1,0,IF($BK291&gt;=Control!$C$87,1,IF(AND($BB291&lt;30,$BB291&gt;=21),1,$BS290)))</f>
        <v>#N/A</v>
      </c>
      <c r="BP291" s="140" t="e">
        <f ca="1">IF($BL291&lt;0,-$BL291,$BO291*IF(OR($G291&lt;Control!$C$92,$G291&gt;Control!$C$95),0,IF(AND($G291&gt;=Control!$C$92,$G291&lt;=Control!$C$93),$G291-Control!$C$92,IF(AND($G291&gt;Control!$C$93,$G291&lt;=Control!$C$94),Control!$C$93-Control!$C$92,IF(AND($G291&gt;Control!$C$94,$G291&lt;=Control!$C$95),(Control!$C$93-Control!$C$92)*(Control!$C$94-$G291)/(Control!$C$95-Control!$C$94))))))</f>
        <v>#N/A</v>
      </c>
      <c r="BQ291" s="140" t="e">
        <f t="shared" ca="1" si="944"/>
        <v>#N/A</v>
      </c>
      <c r="BR291" s="140" t="e">
        <f ca="1">IF($BQ291&lt;=Control!$C$88,$BQ291,Control!$C$88-$BQ291)</f>
        <v>#N/A</v>
      </c>
      <c r="BS291" s="140" t="e">
        <f ca="1">IF(AND($BB291&gt;=21,$BB291&lt;30),1,IF($BQ291&gt;=Control!$C$88,0,$BO291))</f>
        <v>#N/A</v>
      </c>
      <c r="BT291" s="404" t="e">
        <f ca="1">IF($BS291=0,0,IF($BQ291&lt;=Control!$C$88,$BO291*(21+(30-21)*(BR291/Control!$C$88)),0))</f>
        <v>#N/A</v>
      </c>
      <c r="BU291" s="140" t="e">
        <f ca="1">IF(BG291+BM291+BS291=1,0,IF(OR(AND($BB291&lt;60,$BB291&gt;=30),$BQ291&gt;=Control!$C$88),1*$BA291,$BY290))</f>
        <v>#N/A</v>
      </c>
      <c r="BV291" s="140" t="e">
        <f ca="1">IF($BR291&lt;0,-$BR291,$BU291*IF(OR($G291&lt;Control!$C$92,$G291&gt;Control!$C$95),0,IF(AND($G291&gt;=Control!$C$92,$G291&lt;=Control!$C$93),$G291-Control!$C$92,IF(AND($G291&gt;Control!$C$93,$G291&lt;=Control!$C$94),Control!$C$93-Control!$C$92,IF(AND($G291&gt;Control!$C$94,$G291&lt;=Control!$C$95),(Control!$C$93-Control!$C$92)*(Control!$C$94-$G291)/(Control!$C$95-Control!$C$94))))))</f>
        <v>#N/A</v>
      </c>
      <c r="BW291" s="140" t="e">
        <f t="shared" ca="1" si="945"/>
        <v>#N/A</v>
      </c>
      <c r="BX291" s="140" t="e">
        <f ca="1">IF($BW291&lt;=Control!$C$89,$BW291,Control!$C$89-$BW291)</f>
        <v>#N/A</v>
      </c>
      <c r="BY291" s="140" t="e">
        <f ca="1">IF(AND($AJ291&gt;=30,$AJ291&lt;60),1,IF($BW291&gt;=Control!$C$89,0,$BU291))</f>
        <v>#N/A</v>
      </c>
      <c r="BZ291" s="404" t="e">
        <f ca="1">IF($BY291=0,0,IF($BW291&lt;=Control!$C$89,$BU291*(30+(60-30)*(BX291/Control!$C$89)),0))</f>
        <v>#N/A</v>
      </c>
      <c r="CA291" s="140" t="e">
        <f ca="1">IF($BG291+$BM291+$BS291+$BY291=1,0,IF(OR(AND($BB291&lt;65,$BB291&gt;=60),$BW291&gt;=Control!$C$89),1*$BA291,$CE290))</f>
        <v>#N/A</v>
      </c>
      <c r="CB291" s="140" t="e">
        <f ca="1">IF($BX291&lt;0,-$BX291,$CA291*IF(OR($G291&lt;Control!$C$92,$G291&gt;Control!$C$95),0,IF(AND($G291&gt;=Control!$C$92,$G291&lt;=Control!$C$93),$G291-Control!$C$92,IF(AND($G291&gt;Control!$C$93,$G291&lt;=Control!$C$94),Control!$C$93-Control!$C$92,IF(AND($G291&gt;Control!$C$94,$G291&lt;=Control!$C$95),(Control!$C$93-Control!$C$92)*(Control!$C$94-$G291)/(Control!$C$95-Control!$C$94))))))</f>
        <v>#N/A</v>
      </c>
      <c r="CC291" s="140" t="e">
        <f t="shared" ca="1" si="1061"/>
        <v>#N/A</v>
      </c>
      <c r="CD291" s="140" t="e">
        <f ca="1">IF($CC291&lt;=Control!$C$90,$CC291,Control!$C$90-$CC291)</f>
        <v>#N/A</v>
      </c>
      <c r="CE291" s="140" t="e">
        <f ca="1">IF(AND($BB291&gt;=60,$BB291&lt;65),1,IF($CC291&gt;=Control!$C$90,0,$CA291))</f>
        <v>#N/A</v>
      </c>
      <c r="CF291" s="404" t="e">
        <f ca="1">IF($CE291=0,0,IF($CC291&lt;=Control!$C$90,$CA291*(60+(65-60)*(CD291/Control!$C$90)),0))</f>
        <v>#N/A</v>
      </c>
      <c r="CG291" s="140" t="e">
        <f ca="1">IF($BG291+$BM291+$BS291+$BY291+$CE291=1,0,IF(OR(AND($BB291&lt;90,$BB291&gt;=65),$CC291&gt;=Control!$C$90),$BA291,$CK290))</f>
        <v>#N/A</v>
      </c>
      <c r="CH291" s="140" t="e">
        <f ca="1">IF($CD291&lt;0,-$CD291,$CG291*IF(OR($G291&lt;Control!$C$92,$G291&gt;Control!$C$95),0,IF(AND($G291&gt;=Control!$C$92,$G291&lt;=Control!$C$93),$G291-Control!$C$92,IF(AND($G291&gt;Control!$C$93,$G291&lt;=Control!$C$94),Control!$C$93-Control!$C$92,IF(AND($G291&gt;Control!$C$94,$G291&lt;=Control!$C$95),(Control!$C$93-Control!$C$92)*(Control!$C$94-$G291)/(Control!$C$95-Control!$C$94))))))</f>
        <v>#N/A</v>
      </c>
      <c r="CI291" s="140" t="e">
        <f t="shared" ca="1" si="1062"/>
        <v>#N/A</v>
      </c>
      <c r="CJ291" s="140" t="e">
        <f ca="1">IF($CI291&lt;=Control!$C$91,$CI291,Control!$C$91-$CI291)</f>
        <v>#N/A</v>
      </c>
      <c r="CK291" s="140" t="e">
        <f ca="1">IF(AND($BB291&gt;=65,$BB291&lt;90),1,IF($CI291&gt;=Control!$C$91,0,$CG291))</f>
        <v>#N/A</v>
      </c>
      <c r="CL291" s="404" t="e">
        <f ca="1">IF($CK291=0,0,IF($CI291&lt;=Control!$C$91,$CG291*(65+(90-65)*($CJ291/Control!$C$91)),0))</f>
        <v>#N/A</v>
      </c>
      <c r="CM291" s="140" t="e">
        <f ca="1">IF($BG291+$BM291+$BS291+$BY291+$CE291+$CK291=1,0,IF(OR($BB291&gt;=90,$CI291&gt;=Control!$C$91),$BA291,$CM290))</f>
        <v>#N/A</v>
      </c>
      <c r="CN291" s="140" t="e">
        <f t="shared" ca="1" si="1063"/>
        <v>#N/A</v>
      </c>
      <c r="CO291" s="140" t="e">
        <f t="shared" ca="1" si="1064"/>
        <v>#N/A</v>
      </c>
      <c r="CP291" s="140" t="e">
        <f t="shared" ca="1" si="1065"/>
        <v>#N/A</v>
      </c>
      <c r="CQ291" s="141" t="e">
        <f ca="1">VLOOKUP($CP291,Control!$B$86:$G$91,6)</f>
        <v>#N/A</v>
      </c>
      <c r="CR291" s="141" t="e">
        <f ca="1">(1-$CQ291)*VLOOKUP($CP291,Control!$B$86:$D$91,3)</f>
        <v>#N/A</v>
      </c>
      <c r="CS291" s="141" t="e">
        <f ca="1">(1-$CQ291)*VLOOKUP($CP291,Control!$B$86:$E$91,4)</f>
        <v>#N/A</v>
      </c>
      <c r="CT291" s="141" t="e">
        <f ca="1">(1-$CQ291)*VLOOKUP($CP291,Control!$B$86:$F$91,5)</f>
        <v>#N/A</v>
      </c>
      <c r="CU291" s="141">
        <f t="shared" ca="1" si="1066"/>
        <v>0</v>
      </c>
      <c r="CV291" s="583">
        <f t="shared" ca="1" si="1067"/>
        <v>0</v>
      </c>
      <c r="CW291" s="142">
        <f t="shared" ca="1" si="1068"/>
        <v>287</v>
      </c>
      <c r="CX291" s="612" t="e">
        <f ca="1">IF(Control!$C$114=1,(MIN(Control!$C$120*(IF($NT291-0.01&lt;0,0,1)),Control!$C$119-$CY291)))</f>
        <v>#DIV/0!</v>
      </c>
      <c r="CY291" s="143" t="e">
        <f t="shared" ca="1" si="1069"/>
        <v>#N/A</v>
      </c>
      <c r="CZ291" s="144">
        <f t="shared" ca="1" si="946"/>
        <v>0</v>
      </c>
      <c r="DA291" s="144">
        <f t="shared" ca="1" si="947"/>
        <v>0</v>
      </c>
      <c r="DB291" s="144" t="e">
        <f t="shared" ca="1" si="948"/>
        <v>#N/A</v>
      </c>
      <c r="DC291" s="144" t="e">
        <f t="shared" ca="1" si="949"/>
        <v>#N/A</v>
      </c>
      <c r="DD291" s="144" t="e">
        <f t="shared" ca="1" si="1154"/>
        <v>#N/A</v>
      </c>
      <c r="DE291" s="143" t="e">
        <f t="shared" ca="1" si="1070"/>
        <v>#N/A</v>
      </c>
      <c r="DF291" s="145" t="e">
        <f ca="1">$DR291*EXP(-Control!$C$158*(1-$KH291))</f>
        <v>#N/A</v>
      </c>
      <c r="DG291" s="146" t="e">
        <f ca="1">IF(Control!$C$114=1, $DF291*$EY291, 0)</f>
        <v>#N/A</v>
      </c>
      <c r="DH291" s="147" t="e">
        <f t="shared" ca="1" si="1071"/>
        <v>#N/A</v>
      </c>
      <c r="DI291" s="144" t="e">
        <f t="shared" ca="1" si="1132"/>
        <v>#N/A</v>
      </c>
      <c r="DJ291" s="147" t="e">
        <f ca="1">$EF291*Control!$C$109</f>
        <v>#N/A</v>
      </c>
      <c r="DK291" s="144" t="e">
        <f t="shared" ca="1" si="1072"/>
        <v>#N/A</v>
      </c>
      <c r="DL291" s="144" t="e">
        <f t="shared" ca="1" si="950"/>
        <v>#N/A</v>
      </c>
      <c r="DM291" s="144" t="e">
        <f ca="1">IF(Control!$C$114=1, (1-EXP(-Control!$C$96*$DK291))*$AR291, 0)</f>
        <v>#N/A</v>
      </c>
      <c r="DN291" s="144">
        <f t="shared" ca="1" si="1073"/>
        <v>0</v>
      </c>
      <c r="DO291" s="148">
        <f>Control!$C$97</f>
        <v>4</v>
      </c>
      <c r="DP291" s="145" t="e">
        <f t="shared" ca="1" si="1074"/>
        <v>#N/A</v>
      </c>
      <c r="DQ291" s="145" t="e">
        <f ca="1">IF(AND($CP291&gt;=0,$CP291&lt;=90),Control!$C$111,Control!$C$111)</f>
        <v>#N/A</v>
      </c>
      <c r="DR291" s="145" t="e">
        <f t="shared" ca="1" si="951"/>
        <v>#N/A</v>
      </c>
      <c r="DS291" s="143" t="e">
        <f ca="1">Control!$B$22/$DR291</f>
        <v>#N/A</v>
      </c>
      <c r="DT291" s="149" t="e">
        <f ca="1">IF(AND(Control!$C$114=1,$KH291&lt;1),$IM291*$DF291, 0)</f>
        <v>#N/A</v>
      </c>
      <c r="DU291" s="144" t="e">
        <f t="shared" ca="1" si="1075"/>
        <v>#N/A</v>
      </c>
      <c r="DV291" s="144">
        <f ca="1">IF($G291-Control!$C$107&lt;=0, 0, 0.83*LN(MAX($G291, 3))-0.8924)</f>
        <v>0</v>
      </c>
      <c r="DW291" s="144" t="e">
        <f t="shared" ca="1" si="952"/>
        <v>#N/A</v>
      </c>
      <c r="DX291" s="150" t="e">
        <f ca="1">MAX(0.01*(1+$CU291/Control!$C$102),0.05*($DK291-Control!$C$97)/Control!$C$97)</f>
        <v>#N/A</v>
      </c>
      <c r="DY291" s="151" t="e">
        <f ca="1">IF(Control!$C$114=1, $DI291*$FS291, 0)</f>
        <v>#N/A</v>
      </c>
      <c r="DZ291" s="196" t="e">
        <f t="shared" ca="1" si="1076"/>
        <v>#N/A</v>
      </c>
      <c r="EA291" s="152">
        <f t="shared" ca="1" si="1077"/>
        <v>287</v>
      </c>
      <c r="EB291" s="153" t="e">
        <f t="shared" ca="1" si="1078"/>
        <v>#N/A</v>
      </c>
      <c r="EC291" s="153" t="e">
        <f t="shared" ca="1" si="1079"/>
        <v>#N/A</v>
      </c>
      <c r="ED291" s="154" t="e">
        <f ca="1">IF(Control!$C$114=1, $HM291*$FY291-$FD291, 0)</f>
        <v>#DIV/0!</v>
      </c>
      <c r="EE291" s="155" t="e">
        <f ca="1">IF(Control!$C$114=1, $HM291*$FZ291-$FF291, 0)</f>
        <v>#DIV/0!</v>
      </c>
      <c r="EF291" s="153" t="e">
        <f t="shared" ca="1" si="1133"/>
        <v>#N/A</v>
      </c>
      <c r="EG291" s="155" t="e">
        <f ca="1">IF(Control!$C$114=1, $GX291*$FW291-$FI291, 0)</f>
        <v>#DIV/0!</v>
      </c>
      <c r="EH291" s="153" t="e">
        <f t="shared" ca="1" si="1080"/>
        <v>#N/A</v>
      </c>
      <c r="EI291" s="156" t="e">
        <f t="shared" ca="1" si="1081"/>
        <v>#N/A</v>
      </c>
      <c r="EJ291" s="155" t="e">
        <f ca="1">IF(Control!$C$114=1, $HM291*$GB291, 0)</f>
        <v>#DIV/0!</v>
      </c>
      <c r="EK291" s="153" t="e">
        <f t="shared" ca="1" si="1134"/>
        <v>#N/A</v>
      </c>
      <c r="EL291" s="153" t="e">
        <f t="shared" ca="1" si="953"/>
        <v>#N/A</v>
      </c>
      <c r="EM291" s="153" t="e">
        <f t="shared" ca="1" si="954"/>
        <v>#N/A</v>
      </c>
      <c r="EN291" s="153" t="e">
        <f ca="1">IF(Control!$C$108=1,IF(AND(Control!$B$18=1,$EB291&gt;=Control!$B$19),$EB291-$DS291,IF(AND(Control!$B$18=2,$AW291=1,$EB291&gt;$DS291),$EB291-$DS291,0)))</f>
        <v>#N/A</v>
      </c>
      <c r="EO291" s="153" t="e">
        <f ca="1">IF(Control!$C$108=1,IF(AND(Control!$B$18=1,$EB291&gt;=Control!$B$19),$EF291,IF(AND(Control!$B$18=2,$AW291=1),$EF291,0)))</f>
        <v>#N/A</v>
      </c>
      <c r="EP291" s="153" t="e">
        <f ca="1">IF(Control!$C$108=1,IF(AND(Control!$B$18=1,$EB291&gt;=Control!$B$19),$EK291,IF(AND(Control!$B$18=2,$AW291=1),$EK291,0)))</f>
        <v>#N/A</v>
      </c>
      <c r="EQ291" s="153" t="e">
        <f t="shared" ca="1" si="1082"/>
        <v>#N/A</v>
      </c>
      <c r="ER291" s="153" t="e">
        <f t="shared" ca="1" si="1083"/>
        <v>#N/A</v>
      </c>
      <c r="ES291" s="153" t="e">
        <f t="shared" ca="1" si="1135"/>
        <v>#N/A</v>
      </c>
      <c r="ET291" s="153" t="e">
        <f t="shared" ca="1" si="1136"/>
        <v>#N/A</v>
      </c>
      <c r="EU291" s="153" t="e">
        <f t="shared" ca="1" si="1084"/>
        <v>#N/A</v>
      </c>
      <c r="EV291" s="153" t="e">
        <f t="shared" ca="1" si="955"/>
        <v>#N/A</v>
      </c>
      <c r="EW291" s="153" t="e">
        <f t="shared" ca="1" si="956"/>
        <v>#N/A</v>
      </c>
      <c r="EX291" s="153" t="e">
        <f t="shared" ca="1" si="957"/>
        <v>#N/A</v>
      </c>
      <c r="EY291" s="157" t="e">
        <f t="shared" ca="1" si="958"/>
        <v>#DIV/0!</v>
      </c>
      <c r="EZ291" s="154" t="e">
        <f t="shared" ca="1" si="959"/>
        <v>#DIV/0!</v>
      </c>
      <c r="FA291" s="153" t="e">
        <f t="shared" ca="1" si="1085"/>
        <v>#N/A</v>
      </c>
      <c r="FB291" s="153" t="e">
        <f t="shared" ca="1" si="960"/>
        <v>#N/A</v>
      </c>
      <c r="FC291" s="193" t="e">
        <f t="shared" ca="1" si="961"/>
        <v>#N/A</v>
      </c>
      <c r="FD291" s="158" t="e">
        <f t="shared" ca="1" si="1086"/>
        <v>#N/A</v>
      </c>
      <c r="FE291" s="158" t="e">
        <f t="shared" ca="1" si="1087"/>
        <v>#N/A</v>
      </c>
      <c r="FF291" s="159" t="e">
        <f t="shared" ca="1" si="962"/>
        <v>#N/A</v>
      </c>
      <c r="FG291" s="160" t="e">
        <f t="shared" ca="1" si="1088"/>
        <v>#N/A</v>
      </c>
      <c r="FH291" s="158" t="e">
        <f t="shared" ca="1" si="1089"/>
        <v>#N/A</v>
      </c>
      <c r="FI291" s="159" t="e">
        <f t="shared" ca="1" si="963"/>
        <v>#N/A</v>
      </c>
      <c r="FJ291" s="160" t="e">
        <f t="shared" ca="1" si="1090"/>
        <v>#N/A</v>
      </c>
      <c r="FK291" s="160" t="e">
        <f t="shared" ca="1" si="964"/>
        <v>#N/A</v>
      </c>
      <c r="FL291" s="160" t="e">
        <f t="shared" ca="1" si="1137"/>
        <v>#N/A</v>
      </c>
      <c r="FM291" s="160" t="e">
        <f t="shared" ca="1" si="965"/>
        <v>#N/A</v>
      </c>
      <c r="FN291" s="158">
        <f t="shared" ca="1" si="1091"/>
        <v>0.01</v>
      </c>
      <c r="FO291" s="160">
        <f>Control!$C$101</f>
        <v>50</v>
      </c>
      <c r="FP291" s="150" t="e">
        <f t="shared" ca="1" si="966"/>
        <v>#N/A</v>
      </c>
      <c r="FQ291" s="150" t="e">
        <f ca="1">MAX(0,(Control!$C$112*(($DK291-Control!$C$97)/Control!$C$97)))</f>
        <v>#N/A</v>
      </c>
      <c r="FR291" s="150" t="e">
        <f ca="1">(1-$NT291)*Control!$C$113</f>
        <v>#DIV/0!</v>
      </c>
      <c r="FS291" s="198" t="e">
        <f t="shared" ca="1" si="967"/>
        <v>#N/A</v>
      </c>
      <c r="FT291" s="161">
        <f t="shared" ca="1" si="1092"/>
        <v>287</v>
      </c>
      <c r="FU291" s="162" t="e">
        <f ca="1">IF(Control!$B$34=1,VLOOKUP($CP291,Control!$B$86:$G$91,6),Control!$B$35)</f>
        <v>#N/A</v>
      </c>
      <c r="FV291" s="162" t="e">
        <f t="shared" ca="1" si="968"/>
        <v>#DIV/0!</v>
      </c>
      <c r="FW291" s="162" t="e">
        <f ca="1">IF(Control!$B$31=1,$FU291*$FV291,  $FU291)</f>
        <v>#N/A</v>
      </c>
      <c r="FX291" s="162" t="e">
        <f ca="1">IF(Control!$B$34=1,VLOOKUP($CP291,Control!$B$86:$G$91,3),Control!$B$36)</f>
        <v>#N/A</v>
      </c>
      <c r="FY291" s="162" t="e">
        <f t="shared" ca="1" si="969"/>
        <v>#N/A</v>
      </c>
      <c r="FZ291" s="162" t="e">
        <f ca="1">IF(Control!$B$34=1,VLOOKUP($CP291,Control!$B$86:$G$91,4),Control!$B$37)</f>
        <v>#N/A</v>
      </c>
      <c r="GA291" s="162" t="e">
        <f t="shared" ca="1" si="970"/>
        <v>#N/A</v>
      </c>
      <c r="GB291" s="162" t="e">
        <f ca="1">IF(Control!$B$34=1,VLOOKUP($CP291,Control!$B$86:$G$91,5),Control!$B$38)</f>
        <v>#N/A</v>
      </c>
      <c r="GC291" s="162" t="e">
        <f t="shared" ca="1" si="1093"/>
        <v>#N/A</v>
      </c>
      <c r="GD291" s="162">
        <f t="shared" ca="1" si="971"/>
        <v>1</v>
      </c>
      <c r="GE291" s="162">
        <f t="shared" ca="1" si="972"/>
        <v>1</v>
      </c>
      <c r="GF291" s="162">
        <f ca="1">IF(AND(Control!$C$104=1, Control!$C$62="F"),$GE291,1)</f>
        <v>1</v>
      </c>
      <c r="GG291" s="162" t="e">
        <f ca="1">IF(Control!$B$16=40,0,IF(AND(Control!$B$16&gt;40,Control!$B$16&lt;=360),(Control!$B$16-40)*((1-0)/(360-40)),IF(AND(Control!$B$16&gt;360,Control!$B$16&lt;=720),(1+(Control!$B$16-360)*((1.25-1)/(720-360))),IF(AND(Control!$B$16&gt;720,Control!$B$16&lt;=1000),(1.25+(Control!$B$16-720)*((1.35-1.25)/(1000-720))),IF(AND(Control!$B$16&gt;1000,Control!$B$16&lt;=2000),(1.35+(Control!$B$16-1000)*0))))))</f>
        <v>#N/A</v>
      </c>
      <c r="GH291" s="162" t="e">
        <f t="shared" ca="1" si="973"/>
        <v>#N/A</v>
      </c>
      <c r="GI291" s="162">
        <f t="shared" ca="1" si="1094"/>
        <v>0</v>
      </c>
      <c r="GJ291" s="162">
        <f t="shared" ca="1" si="974"/>
        <v>0</v>
      </c>
      <c r="GK291" s="162">
        <f t="shared" ca="1" si="1095"/>
        <v>1</v>
      </c>
      <c r="GL291" s="162">
        <f t="shared" ca="1" si="975"/>
        <v>1</v>
      </c>
      <c r="GM291" s="162" t="e">
        <f ca="1">MAX(0,MIN(1,1-Control!$C$156*(1.0001-$KH291)^2))</f>
        <v>#N/A</v>
      </c>
      <c r="GN291" s="162" t="e">
        <f ca="1">IF(Control!$B$26=1,$KU291,$KX291)</f>
        <v>#N/A</v>
      </c>
      <c r="GO291" s="162" t="e">
        <f ca="1">IF($CP291&lt;=60,Control!$C$105,IF($CP291&gt;=90,Control!$C$106,Control!$C$105+($CP291-60)*((Control!$C$106-Control!$C$105)/(90-60))))</f>
        <v>#N/A</v>
      </c>
      <c r="GP291" s="162" t="e">
        <f t="shared" ca="1" si="976"/>
        <v>#N/A</v>
      </c>
      <c r="GQ291" s="162" t="e">
        <f t="shared" ca="1" si="1096"/>
        <v>#N/A</v>
      </c>
      <c r="GR291" s="163" t="e">
        <f t="shared" ca="1" si="977"/>
        <v>#DIV/0!</v>
      </c>
      <c r="GS291" s="162" t="e">
        <f t="shared" ca="1" si="978"/>
        <v>#DIV/0!</v>
      </c>
      <c r="GT291" s="164" t="e">
        <f t="shared" ca="1" si="1097"/>
        <v>#N/A</v>
      </c>
      <c r="GU291" s="162" t="e">
        <f t="shared" ca="1" si="1098"/>
        <v>#N/A</v>
      </c>
      <c r="GV291" s="162" t="e">
        <f t="shared" ca="1" si="979"/>
        <v>#N/A</v>
      </c>
      <c r="GW291" s="162" t="e">
        <f t="shared" ca="1" si="980"/>
        <v>#DIV/0!</v>
      </c>
      <c r="GX291" s="162" t="e">
        <f t="shared" ca="1" si="1099"/>
        <v>#DIV/0!</v>
      </c>
      <c r="GY291" s="162" t="e">
        <f t="shared" ca="1" si="1100"/>
        <v>#DIV/0!</v>
      </c>
      <c r="GZ291" s="165" t="e">
        <f t="shared" ca="1" si="981"/>
        <v>#N/A</v>
      </c>
      <c r="HA291" s="162" t="e">
        <f ca="1">IF(Control!$C$114=1, $DI291*$FS291, 0)</f>
        <v>#N/A</v>
      </c>
      <c r="HB291" s="162" t="e">
        <f ca="1">$FA291/Control!$C$64</f>
        <v>#N/A</v>
      </c>
      <c r="HC291" s="162" t="e">
        <f t="shared" ca="1" si="982"/>
        <v>#DIV/0!</v>
      </c>
      <c r="HD291" s="162">
        <f ca="1">-ASIN(SIN(23.45*Control!$C$139)*COS(2*Control!$C$138*($AH291+10)/365))</f>
        <v>-0.15568578649830198</v>
      </c>
      <c r="HE291" s="165">
        <f t="shared" ca="1" si="1101"/>
        <v>0</v>
      </c>
      <c r="HF291" s="166">
        <f ca="1">IF(AND(Control!$C$61="T",$HE291&gt;=Control!$C$103,Control!$C$114=0),$AH291,Control!$C$59)</f>
        <v>1</v>
      </c>
      <c r="HG291" s="166">
        <f ca="1">IF(AND(Control!$C$61="T",$HE291&gt;=Control!$C$103,Control!$C$114=0),$HF291,Control!$C$59)</f>
        <v>1</v>
      </c>
      <c r="HH291" s="165">
        <f ca="1">IF(AND(OR(Control!$C$60&lt;=0, $AH291= Control!$C$59, Control!$C$60 &gt;0, $AH291 = Control!$C$60)), Control!$C$59, IF(Control!$C$60&gt;0, 0))</f>
        <v>1</v>
      </c>
      <c r="HI291" s="165">
        <f ca="1">IF(AND(OR(Control!$C$60&lt;=0, $AH291= Control!$C$59, Control!$C$60 &gt;0, $AH291 = Control!$C$60)), Control!$C$60, IF(Control!$C$60&lt;=0, 0))</f>
        <v>0</v>
      </c>
      <c r="HJ291" s="166">
        <f ca="1">IF(AND(Control!$C$62="F",$CV291&gt;=Control!$C$102),$AH291,0)</f>
        <v>0</v>
      </c>
      <c r="HK291" s="165" t="e">
        <f t="shared" ca="1" si="1138"/>
        <v>#N/A</v>
      </c>
      <c r="HL291" s="166">
        <f ca="1">IF(AND(Control!$C$61="T",$HE291&gt;=Control!$C$103,Control!$C$114=0),$HF291,0)</f>
        <v>0</v>
      </c>
      <c r="HM291" s="201" t="e">
        <f t="shared" ca="1" si="983"/>
        <v>#DIV/0!</v>
      </c>
      <c r="HN291" s="215">
        <f t="shared" ca="1" si="1102"/>
        <v>287</v>
      </c>
      <c r="HO291" s="216" t="e">
        <f ca="1">IF(AND($CP291&gt;=0, $CP291&lt;=90), Control!$C$152, Control!$C$152)</f>
        <v>#N/A</v>
      </c>
      <c r="HP291" s="216" t="e">
        <f t="shared" ca="1" si="984"/>
        <v>#N/A</v>
      </c>
      <c r="HQ291" s="217" t="e">
        <f ca="1">IF(OR(Control!$B$26=1,Control!$B$26=2),$KV291,$KS291)</f>
        <v>#DIV/0!</v>
      </c>
      <c r="HR291" s="218" t="e">
        <f t="shared" ca="1" si="1139"/>
        <v>#DIV/0!</v>
      </c>
      <c r="HS291" s="216" t="e">
        <f ca="1">Control!$C$154*$HP291</f>
        <v>#N/A</v>
      </c>
      <c r="HT291" s="216" t="e">
        <f ca="1">Control!$C$155*$HP291</f>
        <v>#N/A</v>
      </c>
      <c r="HU291" s="217" t="e">
        <f ca="1">Control!$C$161*$FI291</f>
        <v>#N/A</v>
      </c>
      <c r="HV291" s="218" t="e">
        <f t="shared" ca="1" si="1103"/>
        <v>#N/A</v>
      </c>
      <c r="HW291" s="218" t="e">
        <f ca="1">Control!$C$160*$FF291+$IP291*$EO291</f>
        <v>#N/A</v>
      </c>
      <c r="HX291" s="218" t="e">
        <f t="shared" ca="1" si="1140"/>
        <v>#N/A</v>
      </c>
      <c r="HY291" s="219" t="e">
        <f ca="1">IF(Control!$C$114=1, $EB291*$FS291, 0)</f>
        <v>#N/A</v>
      </c>
      <c r="HZ291" s="91" t="e">
        <f t="shared" ca="1" si="985"/>
        <v>#N/A</v>
      </c>
      <c r="IA291" s="220" t="e">
        <f ca="1">Control!$C$153*$HO291</f>
        <v>#N/A</v>
      </c>
      <c r="IB291" s="218" t="e">
        <f t="shared" ca="1" si="986"/>
        <v>#N/A</v>
      </c>
      <c r="IC291" s="220" t="e">
        <f ca="1">Control!$C$153*$HT291</f>
        <v>#N/A</v>
      </c>
      <c r="ID291" s="218" t="e">
        <f t="shared" ca="1" si="987"/>
        <v>#N/A</v>
      </c>
      <c r="IE291" s="221" t="e">
        <f ca="1">($EB291*Control!$C$159+$EF291*Control!$C$160)/(IF($GZ291&lt;&gt;0,$GZ291,1))</f>
        <v>#N/A</v>
      </c>
      <c r="IF291" s="216" t="e">
        <f t="shared" ca="1" si="988"/>
        <v>#N/A</v>
      </c>
      <c r="IG291" s="91">
        <f ca="1">IF(OR(Control!$B$198=$AH291,Control!$B$199=$AH291, Control!$B$200=$AH291, Control!$B$201=$AH291, Control!$B$202=$AH291, Control!$B$203=$AH291, Control!$B$204=$AH291, Control!$B$205=$AH291, Control!$B$206=$AH291, Control!$B$207=$AH291), 1, 0)</f>
        <v>0</v>
      </c>
      <c r="IH291" s="91">
        <f ca="1">IF($IG291=0,0, VLOOKUP($AH291,Control!$B$198:$C$207,2))</f>
        <v>0</v>
      </c>
      <c r="II291" s="222">
        <f t="shared" ca="1" si="1104"/>
        <v>0</v>
      </c>
      <c r="IJ291" s="91">
        <f>Control!$C$121</f>
        <v>0.7</v>
      </c>
      <c r="IK291" s="218">
        <f t="shared" ca="1" si="989"/>
        <v>0</v>
      </c>
      <c r="IL291" s="217" t="e">
        <f t="shared" ca="1" si="1141"/>
        <v>#N/A</v>
      </c>
      <c r="IM291" s="223" t="e">
        <f ca="1">IF(AND(Control!$C$114=1,$KH291&lt;1),$EB291*Control!$C$148*(1-$KH291), 0)</f>
        <v>#N/A</v>
      </c>
      <c r="IN291" s="217" t="e">
        <f t="shared" ca="1" si="990"/>
        <v>#DIV/0!</v>
      </c>
      <c r="IO291" s="91" t="e">
        <f ca="1">MAX(0,$IL291-$EF291*Control!$C$160)</f>
        <v>#N/A</v>
      </c>
      <c r="IP291" s="220" t="e">
        <f t="shared" ca="1" si="991"/>
        <v>#N/A</v>
      </c>
      <c r="IQ291" s="217" t="e">
        <f t="shared" ca="1" si="1105"/>
        <v>#N/A</v>
      </c>
      <c r="IR291" s="218" t="e">
        <f t="shared" ca="1" si="992"/>
        <v>#N/A</v>
      </c>
      <c r="IS291" s="217" t="e">
        <f ca="1">Control!$C$159*MAX(0,$FD291-$EN291)</f>
        <v>#N/A</v>
      </c>
      <c r="IT291" s="217" t="e">
        <f t="shared" ca="1" si="1142"/>
        <v>#N/A</v>
      </c>
      <c r="IU291" s="217" t="e">
        <f t="shared" ca="1" si="1106"/>
        <v>#N/A</v>
      </c>
      <c r="IV291" s="217" t="e">
        <f t="shared" ca="1" si="1143"/>
        <v>#N/A</v>
      </c>
      <c r="IW291" s="217" t="e">
        <f ca="1">IF(OR($AW291=1,AND($AW291=0, Control!$B$18=1,$EN291&lt;&gt;0)), $IQ291-$IU291, $IQ291)</f>
        <v>#N/A</v>
      </c>
      <c r="IX291" s="218" t="e">
        <f t="shared" ca="1" si="993"/>
        <v>#N/A</v>
      </c>
      <c r="IY291" s="218" t="e">
        <f ca="1">MAX(0,$IQ291-$EB291*Control!$C$159)</f>
        <v>#N/A</v>
      </c>
      <c r="IZ291" s="218" t="e">
        <f t="shared" ca="1" si="994"/>
        <v>#N/A</v>
      </c>
      <c r="JA291" s="216" t="e">
        <f t="shared" ca="1" si="995"/>
        <v>#N/A</v>
      </c>
      <c r="JB291" s="217" t="e">
        <f t="shared" ca="1" si="996"/>
        <v>#N/A</v>
      </c>
      <c r="JC291" s="222" t="e">
        <f ca="1">MAX(Control!$C$157*$EK291-$JT291, 0)/Control!$C$162</f>
        <v>#N/A</v>
      </c>
      <c r="JD291" s="218" t="e">
        <f t="shared" ca="1" si="997"/>
        <v>#N/A</v>
      </c>
      <c r="JE291" s="218" t="e">
        <f t="shared" ca="1" si="998"/>
        <v>#N/A</v>
      </c>
      <c r="JF291" s="218" t="e">
        <f t="shared" ca="1" si="1107"/>
        <v>#N/A</v>
      </c>
      <c r="JG291" s="218" t="e">
        <f t="shared" ca="1" si="999"/>
        <v>#N/A</v>
      </c>
      <c r="JH291" s="217" t="e">
        <f t="shared" ca="1" si="1108"/>
        <v>#N/A</v>
      </c>
      <c r="JI291" s="217" t="e">
        <f t="shared" ca="1" si="1109"/>
        <v>#N/A</v>
      </c>
      <c r="JJ291" s="217" t="e">
        <f t="shared" ca="1" si="1144"/>
        <v>#N/A</v>
      </c>
      <c r="JK291" s="217" t="e">
        <f ca="1">IF(Control!$C$114=1,IF(Control!$B$24=0,MAX(0,$JI291)*$GN291/Control!$C$64,(MAX(0,MIN($JI291,$JJ291*$GN291/Control!$C$64),0))))</f>
        <v>#N/A</v>
      </c>
      <c r="JL291" s="217" t="e">
        <f ca="1">$IK291/Control!$C$64-$JK291+$HQ291</f>
        <v>#N/A</v>
      </c>
      <c r="JM291" s="217" t="e">
        <f ca="1">IF(Control!$C$114=1,($JB291/(IF($JI291&lt;&gt;0,$JI291,1)))*$JK291,0)</f>
        <v>#N/A</v>
      </c>
      <c r="JN291" s="217" t="e">
        <f ca="1">IF(Control!$C$114=1,($JG291/(IF($JI291&lt;&gt;0,$JI291,1)))*$JK291, 0)</f>
        <v>#N/A</v>
      </c>
      <c r="JO291" s="218" t="e">
        <f t="shared" ca="1" si="1000"/>
        <v>#N/A</v>
      </c>
      <c r="JP291" s="218" t="e">
        <f ca="1">MIN(($IY291+$IO291)*Control!$C$151, $JF291-$EH291*Control!$C$161)</f>
        <v>#N/A</v>
      </c>
      <c r="JQ291" s="218" t="e">
        <f t="shared" ca="1" si="1001"/>
        <v>#N/A</v>
      </c>
      <c r="JR291" s="217" t="e">
        <f ca="1">IF($CP291-Control!$C$150&lt;0, 0, $JQ291/Control!$C$162)</f>
        <v>#N/A</v>
      </c>
      <c r="JS291" s="218" t="e">
        <f t="shared" ca="1" si="1002"/>
        <v>#N/A</v>
      </c>
      <c r="JT291" s="218" t="e">
        <f t="shared" ca="1" si="1110"/>
        <v>#N/A</v>
      </c>
      <c r="JU291" s="218" t="e">
        <f t="shared" ca="1" si="1003"/>
        <v>#N/A</v>
      </c>
      <c r="JV291" s="218" t="e">
        <f t="shared" ca="1" si="1004"/>
        <v>#N/A</v>
      </c>
      <c r="JW291" s="216" t="e">
        <f t="shared" ca="1" si="1005"/>
        <v>#N/A</v>
      </c>
      <c r="JX291" s="91" t="e">
        <f t="shared" ca="1" si="1006"/>
        <v>#N/A</v>
      </c>
      <c r="JY291" s="218" t="e">
        <f t="shared" ca="1" si="1007"/>
        <v>#N/A</v>
      </c>
      <c r="JZ291" s="217" t="e">
        <f ca="1">IF(Control!$C$114=1,($IZ291/(IF($JI291&lt;&gt;0,$JI291,1)))*$JK291, 0)</f>
        <v>#N/A</v>
      </c>
      <c r="KA291" s="218" t="e">
        <f t="shared" ca="1" si="1145"/>
        <v>#N/A</v>
      </c>
      <c r="KB291" s="218" t="e">
        <f t="shared" ca="1" si="1111"/>
        <v>#N/A</v>
      </c>
      <c r="KC291" s="218" t="e">
        <f t="shared" ca="1" si="1008"/>
        <v>#N/A</v>
      </c>
      <c r="KD291" s="218" t="e">
        <f t="shared" ca="1" si="1009"/>
        <v>#N/A</v>
      </c>
      <c r="KE291" s="218" t="e">
        <f t="shared" ca="1" si="1010"/>
        <v>#N/A</v>
      </c>
      <c r="KF291" s="218" t="e">
        <f t="shared" ca="1" si="1011"/>
        <v>#N/A</v>
      </c>
      <c r="KG291" s="216" t="e">
        <f t="shared" ca="1" si="1012"/>
        <v>#N/A</v>
      </c>
      <c r="KH291" s="221" t="e">
        <f ca="1">IF(Control!$B$24=0,1,MAX(0.001,MIN(1,IF(($IF291-$IE291)&lt;&gt;0,($KG291-$IE291)/($IF291-$IE291),1))))</f>
        <v>#N/A</v>
      </c>
      <c r="KI291" s="222" t="e">
        <f ca="1">IF(Control!$C$114=1, $KI290+ $KH290, 0)</f>
        <v>#N/A</v>
      </c>
      <c r="KJ291" s="217" t="e">
        <f t="shared" ca="1" si="1013"/>
        <v>#N/A</v>
      </c>
      <c r="KK291" s="218" t="e">
        <f t="shared" ca="1" si="1014"/>
        <v>#N/A</v>
      </c>
      <c r="KL291" s="274" t="e">
        <f ca="1">IF(Control!$B$26=3,4000000000*EXP(-8400/($G291+273)),IF(Control!$B$26=4,4000000000*EXP(-8400/($G291+273))*($KT291),0))</f>
        <v>#DIV/0!</v>
      </c>
      <c r="KM291" s="274" t="e">
        <f ca="1">IF(Control!$B$26=3,5600000000000*EXP(-9800/($G291+273)),IF(Control!$B$26=4,5600000000000*EXP(-9800/($G291+273))*$KT291,0))</f>
        <v>#DIV/0!</v>
      </c>
      <c r="KN291" s="454" t="e">
        <f t="shared" ca="1" si="1112"/>
        <v>#DIV/0!</v>
      </c>
      <c r="KO291" s="274" t="e">
        <f t="shared" ca="1" si="1113"/>
        <v>#DIV/0!</v>
      </c>
      <c r="KP291" s="454" t="e">
        <f t="shared" ca="1" si="1015"/>
        <v>#DIV/0!</v>
      </c>
      <c r="KQ291" s="454" t="e">
        <f t="shared" ca="1" si="1016"/>
        <v>#DIV/0!</v>
      </c>
      <c r="KR291" s="454" t="e">
        <f t="shared" ca="1" si="1017"/>
        <v>#DIV/0!</v>
      </c>
      <c r="KS291" s="454" t="e">
        <f t="shared" ca="1" si="1018"/>
        <v>#DIV/0!</v>
      </c>
      <c r="KT291" s="455" t="e">
        <f t="shared" ca="1" si="1019"/>
        <v>#DIV/0!</v>
      </c>
      <c r="KU291" s="456" t="e">
        <f ca="1">IF($CP291-Control!$C$149&lt;0, IF($NT291-0.01&lt;0,0,1),0)</f>
        <v>#N/A</v>
      </c>
      <c r="KV291" s="456" t="e">
        <f ca="1">IF(Control!$C$114=1,MAX(0,MIN(Control!$C$125*$KW291*$GN291,$KW291)))</f>
        <v>#DIV/0!</v>
      </c>
      <c r="KW291" s="456" t="e">
        <f t="shared" ca="1" si="1146"/>
        <v>#DIV/0!</v>
      </c>
      <c r="KX291" s="457" t="e">
        <f ca="1">IF($CP291-Control!$C$149&lt;0, IF($MR291-$OM291&lt;0,0,1),0)</f>
        <v>#N/A</v>
      </c>
      <c r="KY291" s="167">
        <f t="shared" ca="1" si="1114"/>
        <v>287</v>
      </c>
      <c r="KZ291" s="168">
        <f ca="1">1370*(1+0.033*COS(2*Control!$C$138*$AH291/365))</f>
        <v>1380.2231989239883</v>
      </c>
      <c r="LA291" s="169">
        <f t="shared" ca="1" si="1115"/>
        <v>1.0074618176217736</v>
      </c>
      <c r="LB291" s="169">
        <f t="shared" ca="1" si="1116"/>
        <v>-0.16261270977657588</v>
      </c>
      <c r="LC291" s="169">
        <f ca="1">ACOS(-TAN((2*Control!$B$8/360))*TAN(Calculations!$LB291))</f>
        <v>1.5220174379011939</v>
      </c>
      <c r="LD291" s="169">
        <f ca="1">((24*60)/PI())*0.082*$LA291*(($LC291*SIN(Control!$B$8*2*PI()/360))*SIN($LB291)+COS(Control!$B$8*2*PI()/360)*COS($LB291)*SIN($LC291))</f>
        <v>15.625344458601344</v>
      </c>
      <c r="LE291" s="170">
        <f t="shared" ca="1" si="1020"/>
        <v>16.263272253066052</v>
      </c>
      <c r="LF291" s="170">
        <f ca="1">SIN(Control!$C$139*Control!$B$8)*SIN($HD291)</f>
        <v>-0.12218728081705002</v>
      </c>
      <c r="LG291" s="170">
        <f ca="1">COS(Control!$C$139*Control!$B$8)*COS($HD291)</f>
        <v>0.60821366029440216</v>
      </c>
      <c r="LH291" s="170">
        <f ca="1">12*(1+2*ASIN(MAX(-1,MIN(1,$LF291/$LG291))/Control!$C$138))</f>
        <v>10.464228464113351</v>
      </c>
      <c r="LI291" s="170">
        <f ca="1">12*(1+2*ASIN(MAX(-1,MIN(1,(-SIN(-4*Control!$C$139)+$LF291)/$LG291))/Control!$C$138))</f>
        <v>11.341366386120635</v>
      </c>
      <c r="LJ291" s="168">
        <f ca="1">3600*($LH291*$LF291+24*$LG291*SQRT(1-$LK291*$LK291)/Control!$C$138)</f>
        <v>11783.074118551824</v>
      </c>
      <c r="LK291" s="170">
        <f t="shared" ca="1" si="1021"/>
        <v>-0.20089532477436631</v>
      </c>
      <c r="LL291" s="170">
        <f t="shared" ca="1" si="1022"/>
        <v>0</v>
      </c>
      <c r="LM291" s="171">
        <f ca="1">Control!$C$145*$AB291</f>
        <v>6.6660906138995932E-2</v>
      </c>
      <c r="LN291" s="170">
        <f t="shared" ca="1" si="1117"/>
        <v>0.54</v>
      </c>
      <c r="LO291" s="170">
        <f t="shared" ca="1" si="1023"/>
        <v>0</v>
      </c>
      <c r="LP291" s="170">
        <f ca="1">Control!$C$140*((($D291+273.16)^4+($E291+273.16)^4)/2)*(0.34-0.14*SQRT($Y291))*(1.35*$AQ291/(0.75*$LD291)-0.35)</f>
        <v>-3.2464704755046001</v>
      </c>
      <c r="LQ291" s="170">
        <f ca="1">Control!$C$140*($G291+273)^4*(0.56-0.079*SQRT($Y291*10))*(0.1+0.9*$LO291)</f>
        <v>1.5241745131704001</v>
      </c>
      <c r="LR291" s="170">
        <f ca="1">$AQ291*(1-Control!$C$142)-$LQ291</f>
        <v>-1.5241745131704001</v>
      </c>
      <c r="LS291" s="170">
        <f ca="1">$AQ291*(1-Control!$C$143)-$LQ291</f>
        <v>-1.5241745131704001</v>
      </c>
      <c r="LT291" s="170">
        <f ca="1">$AQ291*(1-Control!$C$144)-$LQ291</f>
        <v>-1.5241745131704001</v>
      </c>
      <c r="LU291" s="169">
        <f ca="1">(1-Control!$C$144)*AQ291-LP291</f>
        <v>3.2464704755046001</v>
      </c>
      <c r="LV291" s="172">
        <f t="shared" ca="1" si="1024"/>
        <v>0.79430000000000012</v>
      </c>
      <c r="LW291" s="170">
        <f t="shared" ca="1" si="1025"/>
        <v>1.5886000000000002</v>
      </c>
      <c r="LX291" s="170">
        <f ca="1">($AC291*($LR291/Control!$C$141)+$LM291*$LV291)/($AC291+$LM291)</f>
        <v>0.23530094218323697</v>
      </c>
      <c r="LY291" s="170">
        <f ca="1">($AC291*($LS291/Control!$C$141)+$LM291*$LV291)/($AC291+$LM291)</f>
        <v>0.23530094218323697</v>
      </c>
      <c r="LZ291" s="170">
        <f t="shared" ca="1" si="1026"/>
        <v>0.23530094218323697</v>
      </c>
      <c r="MA291" s="170">
        <f t="shared" ca="1" si="1027"/>
        <v>0.23530094218323697</v>
      </c>
      <c r="MB291" s="170" t="e">
        <f t="shared" ca="1" si="1028"/>
        <v>#N/A</v>
      </c>
      <c r="MC291" s="170">
        <f t="shared" ca="1" si="1118"/>
        <v>0.6018</v>
      </c>
      <c r="MD291" s="170">
        <f t="shared" ca="1" si="1029"/>
        <v>0.52989392535414004</v>
      </c>
      <c r="ME291" s="170">
        <f ca="1">($AC291*($LT291/Control!$C$141)+$LM291*$LW291)/($AC291+$LM291)</f>
        <v>0.71612369323045078</v>
      </c>
      <c r="MF291" s="170" t="e">
        <f ca="1">IF(Control!$B$16&gt;=1000,0.92,IF(AND(720&lt;=Control!$B$16,1000&gt;Control!$B$16),(0.95+(Control!$B$16-720)*((0.92-0.95)/(1000-720))),IF(AND(360&lt;=Control!$B$16,720&gt;Control!$B$16),(1+(Control!$B$16-360)*((0.95-1)/(720-360))),IF(AND(40&lt;=Control!$B$16,360&gt;Control!$B$16),(1.05+(Control!$B$16-40)*((1.05-1)/(360-40)))))))</f>
        <v>#N/A</v>
      </c>
      <c r="MG291" s="170">
        <f t="shared" ca="1" si="1030"/>
        <v>0.71612369323045078</v>
      </c>
      <c r="MH291" s="170" t="e">
        <f t="shared" ca="1" si="1156"/>
        <v>#N/A</v>
      </c>
      <c r="MI291" s="170" t="e">
        <f t="shared" ca="1" si="1156"/>
        <v>#N/A</v>
      </c>
      <c r="MJ291" s="170" t="e">
        <f ca="1">MAX(0.0001, Control!$C$132*$MI291*$DL291)</f>
        <v>#N/A</v>
      </c>
      <c r="MK291" s="170">
        <f ca="1">1/(0.76+1.5*($MG291/10))-(5-Control!$C$110)*0.1</f>
        <v>1.002845988140797</v>
      </c>
      <c r="ML291" s="173">
        <f ca="1">IF(Control!$C$110&lt;3,$MK291+($MG291-0.6)/(Control!$C$110*(Control!$C$110+3)), MAX(0.1, MIN(0.95,$MK291)))</f>
        <v>0.95</v>
      </c>
      <c r="MM291" s="173">
        <f ca="1">IF(Control!$C$110&lt;3,$MK291+(($MI291/10)-0.6)/(Control!$C$110*(Control!$C$110+3)), MAX(0.1, MIN(0.95,$MK291)))</f>
        <v>0.95</v>
      </c>
      <c r="MN291" s="173">
        <f ca="1">(1-$MM291)*(Control!$C$128-Control!$C$127)+Control!$C$127</f>
        <v>0.16</v>
      </c>
      <c r="MO291" s="170" t="e">
        <f ca="1">MAX(0,MIN(1,($MS291-Control!$C$127)/($MN291-Control!$C$127)))</f>
        <v>#DIV/0!</v>
      </c>
      <c r="MP291" s="173" t="e">
        <f ca="1">1/(0.76+1.5*$MI291)-(5-Control!$C$110)*0.1</f>
        <v>#N/A</v>
      </c>
      <c r="MQ291" s="172" t="e">
        <f t="shared" ca="1" si="1147"/>
        <v>#DIV/0!</v>
      </c>
      <c r="MR291" s="168" t="e">
        <f t="shared" ca="1" si="1119"/>
        <v>#DIV/0!</v>
      </c>
      <c r="MS291" s="173" t="e">
        <f ca="1">MAX(Control!$C$127, MIN(Control!$C$135, $MR291/MAX(0.0001,$CY291)))</f>
        <v>#DIV/0!</v>
      </c>
      <c r="MT291" s="168" t="e">
        <f ca="1">(Control!$C$128-$MS291)*Control!$C$74</f>
        <v>#DIV/0!</v>
      </c>
      <c r="MU291" s="168" t="e">
        <f ca="1">(Control!$C$135-$MS291)*Control!$C$74</f>
        <v>#DIV/0!</v>
      </c>
      <c r="MV291" s="168" t="e">
        <f t="shared" ca="1" si="1120"/>
        <v>#DIV/0!</v>
      </c>
      <c r="MW291" s="168" t="e">
        <f t="shared" ca="1" si="1121"/>
        <v>#DIV/0!</v>
      </c>
      <c r="MX291" s="171" t="e">
        <f ca="1">MAX(Control!$C$127, MIN(Control!$C$135, $MW291/MAX(0.0001,Control!$C$119-$CY291)))</f>
        <v>#DIV/0!</v>
      </c>
      <c r="MY291" s="54" t="e">
        <f ca="1">IF(Control!$C$114=1, $CX291*$MX291, 0)</f>
        <v>#DIV/0!</v>
      </c>
      <c r="MZ291" s="54" t="e">
        <f t="shared" ca="1" si="1122"/>
        <v>#N/A</v>
      </c>
      <c r="NA291" s="168" t="e">
        <f ca="1">(Control!$C$128-$MX291)*(Control!$C$119-Control!$C$74)</f>
        <v>#DIV/0!</v>
      </c>
      <c r="NB291" s="168" t="e">
        <f ca="1">(Control!$C$135-$MX291)*(Control!$C$119-Control!$C$74)</f>
        <v>#DIV/0!</v>
      </c>
      <c r="NC291" s="174" t="e">
        <f t="shared" ca="1" si="1123"/>
        <v>#DIV/0!</v>
      </c>
      <c r="ND291" s="54">
        <f ca="1">IF(Control!$C$58=2, IF(OR(Control!$B$218=$AH291,Control!$B$219=$AH291, Control!$B$220=$AH291, Control!$B$221=$AH291, Control!$B$222=$AH291, Control!$B$223=$AH291, Control!$B$224=$AH291, Control!$B$225=$AH291, Control!$B$226=$AH291, Control!$B$227=$AH291, Control!$B$228=$AH291), 1, 0), 0)</f>
        <v>0</v>
      </c>
      <c r="NE291" s="54">
        <f ca="1">IF($ND291=0,0, VLOOKUP($AH291,Control!$B$218:$C$228,2))</f>
        <v>0</v>
      </c>
      <c r="NF291" s="168" t="e">
        <f ca="1">$CY291*(Control!$C$128-Control!$C$127)</f>
        <v>#N/A</v>
      </c>
      <c r="NG291" s="54" t="e">
        <f ca="1">IF(Control!$C$58=2, $NI290-$NJ290, 0)</f>
        <v>#DIV/0!</v>
      </c>
      <c r="NH291" s="54" t="e">
        <f ca="1">IF(AND(Control!$C$58=1, $MS290&lt;= ($MN290+0.02), $I290&lt;10), 0, IF(Control!$C$58=2, $NG290, 0))</f>
        <v>#DIV/0!</v>
      </c>
      <c r="NI291" s="54" t="e">
        <f ca="1">IF(Control!$C$58=2, $NE291+$NH291,0)</f>
        <v>#DIV/0!</v>
      </c>
      <c r="NJ291" s="54" t="e">
        <f ca="1">IF(AND(Control!$C$58=1, $MS291&lt;= ($MN291+0.02), $I291&lt;10), MAX(0, MIN(10, 0.7*($NF291-$MV291))), IF(Control!$C$58=2, MIN(10,$NI291),0))</f>
        <v>#DIV/0!</v>
      </c>
      <c r="NK291" s="54" t="e">
        <f t="shared" ca="1" si="1031"/>
        <v>#DIV/0!</v>
      </c>
      <c r="NL291" s="173" t="e">
        <f ca="1">(1-Control!$C$73)*$I291+$NJ291</f>
        <v>#DIV/0!</v>
      </c>
      <c r="NM291" s="172" t="e">
        <f ca="1">IF($NL291&lt;0.5, $MB291* MAX(0, MIN(1, (SQRT($NC291)-SQRT($NC291-1))*Control!$C$71)),0)</f>
        <v>#DIV/0!</v>
      </c>
      <c r="NN291" s="170" t="e">
        <f ca="1">IF($NL291&gt;=5, $MB291, MAX(0,MIN($MB291, $NM291+$NL291,($MS291-Control!$C$129))))</f>
        <v>#DIV/0!</v>
      </c>
      <c r="NO291" s="54">
        <f>IF(Control!$C$133&lt;&gt;1, Control!$C$135-Control!$C$131, 0)</f>
        <v>0.38</v>
      </c>
      <c r="NP291" s="54" t="e">
        <f t="shared" ca="1" si="1032"/>
        <v>#DIV/0!</v>
      </c>
      <c r="NQ291" s="173" t="e">
        <f ca="1">MAX(0,MIN(1,(Control!$C$135-$MS291)/(Control!$C$135-$NO291)))</f>
        <v>#DIV/0!</v>
      </c>
      <c r="NR291" s="170" t="e">
        <f ca="1">IF(Control!$C$133&lt;&gt;1, $NQ291+((1-$NP291/4)*(1-$NQ291)),1)</f>
        <v>#DIV/0!</v>
      </c>
      <c r="NS291" s="170" t="e">
        <f ca="1">IF(Control!$B$31=0,$MJ291,MAX(0,MIN($MV291,$MO291*$NR291*$MJ291)))</f>
        <v>#DIV/0!</v>
      </c>
      <c r="NT291" s="170" t="e">
        <f t="shared" ca="1" si="1148"/>
        <v>#DIV/0!</v>
      </c>
      <c r="NU291" s="170" t="e">
        <f t="shared" ca="1" si="1124"/>
        <v>#N/A</v>
      </c>
      <c r="NV291" s="170" t="e">
        <f t="shared" ca="1" si="1033"/>
        <v>#N/A</v>
      </c>
      <c r="NW291" s="175" t="e">
        <f t="shared" ca="1" si="1034"/>
        <v>#DIV/0!</v>
      </c>
      <c r="NX291" s="170" t="e">
        <f ca="1">MIN(Control!$C$72+$MU291, $NW291)</f>
        <v>#DIV/0!</v>
      </c>
      <c r="NY291" s="170" t="e">
        <f ca="1">IF($MT291&lt;=$NX291,MIN(Control!$C$72+$NB291,$NX291-$MT291),0)</f>
        <v>#DIV/0!</v>
      </c>
      <c r="NZ291" s="54" t="e">
        <f ca="1">IF(Control!$C$114=1,  $CX291*($MX291-Control!$C$127), 0)</f>
        <v>#DIV/0!</v>
      </c>
      <c r="OA291" s="170" t="e">
        <f t="shared" ca="1" si="1035"/>
        <v>#DIV/0!</v>
      </c>
      <c r="OB291" s="170" t="e">
        <f ca="1">IF($NA291 &lt;=$NY291, MIN(Control!$C$72, $NY291-$NA291), 0)</f>
        <v>#DIV/0!</v>
      </c>
      <c r="OC291" s="168" t="e">
        <f t="shared" ca="1" si="1036"/>
        <v>#DIV/0!</v>
      </c>
      <c r="OD291" s="168" t="e">
        <f t="shared" ca="1" si="1125"/>
        <v>#DIV/0!</v>
      </c>
      <c r="OE291" s="170">
        <f ca="1">Control!$C$73*$I291</f>
        <v>0</v>
      </c>
      <c r="OF291" s="176" t="e">
        <f t="shared" ca="1" si="1037"/>
        <v>#DIV/0!</v>
      </c>
      <c r="OG291" s="168" t="e">
        <f t="shared" ca="1" si="1038"/>
        <v>#DIV/0!</v>
      </c>
      <c r="OH291" s="168" t="e">
        <f t="shared" ca="1" si="1039"/>
        <v>#DIV/0!</v>
      </c>
      <c r="OI291" s="168" t="e">
        <f t="shared" ca="1" si="1040"/>
        <v>#DIV/0!</v>
      </c>
      <c r="OJ291" s="168" t="e">
        <f t="shared" ca="1" si="1041"/>
        <v>#DIV/0!</v>
      </c>
      <c r="OK291" s="204" t="e">
        <f t="shared" ca="1" si="1042"/>
        <v>#DIV/0!</v>
      </c>
      <c r="OL291" s="177">
        <f>Control!$C$127</f>
        <v>0.15</v>
      </c>
      <c r="OM291" s="182" t="e">
        <f t="shared" ca="1" si="1043"/>
        <v>#N/A</v>
      </c>
      <c r="ON291" s="177">
        <f>Control!$C$128</f>
        <v>0.35</v>
      </c>
      <c r="OO291" s="182" t="e">
        <f t="shared" ca="1" si="1044"/>
        <v>#N/A</v>
      </c>
      <c r="OP291" s="138">
        <f t="shared" ca="1" si="1126"/>
        <v>0</v>
      </c>
      <c r="OQ291" s="138" t="e">
        <f t="shared" ca="1" si="1149"/>
        <v>#DIV/0!</v>
      </c>
      <c r="OR291" s="138" t="e">
        <f t="shared" ca="1" si="1127"/>
        <v>#DIV/0!</v>
      </c>
      <c r="OS291" s="137" t="e">
        <f t="shared" ca="1" si="1150"/>
        <v>#DIV/0!</v>
      </c>
      <c r="OT291" s="139" t="e">
        <f t="shared" ca="1" si="1151"/>
        <v>#DIV/0!</v>
      </c>
      <c r="OU291" s="138" t="e">
        <f t="shared" ca="1" si="1152"/>
        <v>#N/A</v>
      </c>
      <c r="OV291" s="138" t="e">
        <f t="shared" ca="1" si="1153"/>
        <v>#DIV/0!</v>
      </c>
      <c r="OW291" s="138" t="e">
        <f t="shared" ca="1" si="1128"/>
        <v>#DIV/0!</v>
      </c>
      <c r="OX291" s="138" t="e">
        <f t="shared" ca="1" si="1129"/>
        <v>#DIV/0!</v>
      </c>
      <c r="OY291" s="138" t="e">
        <f t="shared" ca="1" si="1130"/>
        <v>#DIV/0!</v>
      </c>
      <c r="OZ291" s="138" t="e">
        <f t="shared" ca="1" si="1045"/>
        <v>#DIV/0!</v>
      </c>
      <c r="PA291" s="138" t="e">
        <f t="shared" ca="1" si="1046"/>
        <v>#DIV/0!</v>
      </c>
      <c r="PB291" s="55">
        <f>IF(Control!$C$61="T", IF(Control!$C$65="F", IF($AH$6-Control!$C$60&lt;0,0,1), IF(365+$AH$6-Control!$C$60&lt;0,0,1)),0)</f>
        <v>0</v>
      </c>
      <c r="PC291" s="55">
        <f ca="1">IF(Control!$C$65="F", IF($AH$6-$HF291&lt;0,0,1), IF(365+$AH$6-$HF291&lt;0,0,1))</f>
        <v>1</v>
      </c>
      <c r="PD291" s="444">
        <f>Control!$C$118</f>
        <v>1500</v>
      </c>
      <c r="PE291" s="180" t="e">
        <f t="shared" ca="1" si="1047"/>
        <v>#N/A</v>
      </c>
      <c r="PF291" s="445">
        <f t="shared" ca="1" si="1131"/>
        <v>0.71612369323045078</v>
      </c>
      <c r="PT291" s="186"/>
      <c r="PU291" s="186"/>
      <c r="PV291" s="94"/>
      <c r="PW291" s="94"/>
      <c r="PX291" s="94"/>
      <c r="PY291" s="94"/>
      <c r="PZ291" s="94"/>
      <c r="QA291" s="94"/>
      <c r="QB291" s="94"/>
      <c r="QC291" s="94"/>
      <c r="QD291" s="94"/>
      <c r="QE291" s="94"/>
      <c r="QF291" s="94"/>
      <c r="QG291" s="94"/>
      <c r="QH291" s="94"/>
      <c r="QI291" s="94"/>
      <c r="QJ291" s="94"/>
      <c r="QK291" s="94"/>
      <c r="QL291" s="94"/>
      <c r="QM291" s="94"/>
      <c r="QN291" s="94"/>
      <c r="QO291" s="94"/>
      <c r="QP291" s="94"/>
    </row>
    <row r="292" spans="1:458" s="2" customFormat="1" x14ac:dyDescent="0.2">
      <c r="A292" s="395">
        <v>14</v>
      </c>
      <c r="B292" s="396">
        <v>10</v>
      </c>
      <c r="C292" s="387">
        <f ca="1">Weather_data!$B291</f>
        <v>0</v>
      </c>
      <c r="D292" s="388">
        <f ca="1">Weather_data!$F291</f>
        <v>0</v>
      </c>
      <c r="E292" s="388">
        <f ca="1">Weather_data!$E291</f>
        <v>0</v>
      </c>
      <c r="F292" s="388">
        <f t="shared" ca="1" si="1048"/>
        <v>0</v>
      </c>
      <c r="G292" s="388">
        <f ca="1">AVERAGE($D292:$E292)+Control!$B$9</f>
        <v>0</v>
      </c>
      <c r="H292" s="388">
        <f ca="1">Weather_data!$G291</f>
        <v>0</v>
      </c>
      <c r="I292" s="388">
        <f ca="1">Weather_data!$I291</f>
        <v>0</v>
      </c>
      <c r="J292" s="388">
        <f ca="1">Weather_data!$H291</f>
        <v>0</v>
      </c>
      <c r="K292" s="389">
        <f ca="1">Weather_data!$D291</f>
        <v>0</v>
      </c>
      <c r="L292" s="388" t="e">
        <f t="shared" ca="1" si="1049"/>
        <v>#N/A</v>
      </c>
      <c r="M292" s="388" t="e">
        <f t="shared" ca="1" si="927"/>
        <v>#N/A</v>
      </c>
      <c r="N292" s="388">
        <f t="shared" ca="1" si="928"/>
        <v>-4.0956959057396568E-14</v>
      </c>
      <c r="O292" s="388">
        <f t="shared" ca="1" si="1050"/>
        <v>4.0956959057396568E-13</v>
      </c>
      <c r="P292" s="390">
        <v>3</v>
      </c>
      <c r="Q292" s="388">
        <f ca="1">MAX($G292-Control!$C$107,0)</f>
        <v>0</v>
      </c>
      <c r="R292" s="388">
        <f t="shared" ca="1" si="1051"/>
        <v>0</v>
      </c>
      <c r="S292" s="388">
        <f t="shared" ca="1" si="929"/>
        <v>0</v>
      </c>
      <c r="T292" s="388">
        <f t="shared" ca="1" si="930"/>
        <v>0</v>
      </c>
      <c r="U292" s="59">
        <f t="shared" ca="1" si="931"/>
        <v>0</v>
      </c>
      <c r="V292" s="391">
        <f ca="1">MAX(0,MIN(Control!$C$100-Control!$C$99,$G292-Control!$C$99)*Control!$C$63)</f>
        <v>0</v>
      </c>
      <c r="W292" s="388">
        <f t="shared" ca="1" si="1052"/>
        <v>0</v>
      </c>
      <c r="X292" s="388">
        <f t="shared" ca="1" si="1053"/>
        <v>0.6110000000000001</v>
      </c>
      <c r="Y292" s="388">
        <f t="shared" ca="1" si="932"/>
        <v>0</v>
      </c>
      <c r="Z292" s="388">
        <f t="shared" ca="1" si="1054"/>
        <v>0.61058800000000002</v>
      </c>
      <c r="AA292" s="388">
        <f t="shared" ca="1" si="933"/>
        <v>0.6018</v>
      </c>
      <c r="AB292" s="388">
        <f ca="1">101.3*EXP(-0.034*Control!$C$66/($G292+273))</f>
        <v>100.69623283836242</v>
      </c>
      <c r="AC292" s="392">
        <f t="shared" ca="1" si="934"/>
        <v>4.3460251046025113E-2</v>
      </c>
      <c r="AD292" s="392">
        <f t="shared" ca="1" si="935"/>
        <v>4.4450382862832649E-2</v>
      </c>
      <c r="AE292" s="388">
        <f t="shared" ca="1" si="936"/>
        <v>0</v>
      </c>
      <c r="AF292" s="388">
        <f ca="1">MAX(0,$G292-Control!$C$92)</f>
        <v>0</v>
      </c>
      <c r="AG292" s="393">
        <f t="shared" ca="1" si="937"/>
        <v>288</v>
      </c>
      <c r="AH292" s="389">
        <f t="shared" ca="1" si="938"/>
        <v>288</v>
      </c>
      <c r="AI292" s="388">
        <f t="shared" ca="1" si="1055"/>
        <v>-0.16205166895333301</v>
      </c>
      <c r="AJ292" s="388">
        <f ca="1">IF(Control!$C$60&lt;=0,$HH292,$HI292)</f>
        <v>1</v>
      </c>
      <c r="AK292" s="388">
        <f t="shared" ca="1" si="939"/>
        <v>3.5805549147763123</v>
      </c>
      <c r="AL292" s="388">
        <f t="shared" ca="1" si="940"/>
        <v>-4.6888881666262706E-18</v>
      </c>
      <c r="AM292" s="388">
        <f t="shared" ca="1" si="941"/>
        <v>3.5805549147763123</v>
      </c>
      <c r="AN292" s="388">
        <f t="shared" ca="1" si="942"/>
        <v>-0.16988107300874275</v>
      </c>
      <c r="AO292" s="388">
        <f ca="1">-0.10453/COS(Control!$B$8*PI()/180)*COS(AN292)</f>
        <v>-0.16734079078432648</v>
      </c>
      <c r="AP292" s="388">
        <f ca="1">ACOS(AO292-TAN(Control!$B$8*PI()/180)*TAN(AN292))</f>
        <v>1.5185593528788282</v>
      </c>
      <c r="AQ292" s="388">
        <f t="shared" ca="1" si="1056"/>
        <v>0</v>
      </c>
      <c r="AR292" s="394">
        <f t="shared" ca="1" si="943"/>
        <v>0</v>
      </c>
      <c r="AS292" s="436">
        <f ca="1">IF(Control!$B$18=2,(IF(OR($AH292=Control!$B$175,$AH292=Control!$B$176,$AH292=Control!$B$177,$AH292=Control!$B$178,$AH292=Control!$B$179,$AH292=Control!$B$180,$AH292=Control!$B$181,$AH292=Control!$B$182,$AH292=Control!$B$183,$AH292=Control!$B$184,$AH292=Control!$B$185),1,0)),0)</f>
        <v>0</v>
      </c>
      <c r="AT292" s="436">
        <f>IF(Control!$B$20=8,IF(AND($AH292&gt;=Control!$B$172,$AH292&lt;=Control!$B$173),1,0),0)</f>
        <v>0</v>
      </c>
      <c r="AU292" s="436">
        <f>IF(Control!$B$20=8,IF($AV291=1,1*$AT292,IF($AT292=1,$AU291+1,$AU291)),0)</f>
        <v>0</v>
      </c>
      <c r="AV292" s="436">
        <f>IF(Control!$B$20=8,IF($AU292&gt;=Control!$B$174,1,0),0)</f>
        <v>0</v>
      </c>
      <c r="AW292" s="436">
        <f ca="1">IF(AND(Control!$B$18=2,Control!$B$171=1), $AV292, $AS292)</f>
        <v>0</v>
      </c>
      <c r="AX292" s="436" t="e">
        <f ca="1">IF(AND(Control!$B$18=1,$EU292&gt;=Control!$B$19),-$AY292,IF(AND(Control!$B$18=2,$AW292=1,$EU292&gt;$DS292),-$AY292, IF(Control!$C$108=0,0, IF(Control!$C$108&lt;&gt;0,1))))</f>
        <v>#N/A</v>
      </c>
      <c r="AY292" s="436" t="e">
        <f t="shared" ca="1" si="1057"/>
        <v>#N/A</v>
      </c>
      <c r="AZ292" s="436" t="e">
        <f ca="1">IF(AND(Control!$B$18=1,$EB292&gt;Control!$B$19),$AZ291+1, IF(AND(Control!$B$18=2, $AW292=1, $EB292&gt;$DS292), $AZ291+1,$AZ291))</f>
        <v>#N/A</v>
      </c>
      <c r="BA292" s="587">
        <f>IF(Control!$C$81=0,1,IF($AH292&gt;=Control!$C$82,1,0))</f>
        <v>1</v>
      </c>
      <c r="BB292" s="140" t="e">
        <f ca="1">IF($BA292&gt;$BA291,Control!$C$83,IF($AW292&gt;0,$AW292*Control!$C$84,IF(AND(Control!$B$18=1,EN291&lt;&gt;0),Control!$C$84,0)))</f>
        <v>#N/A</v>
      </c>
      <c r="BC292" s="140" t="e">
        <f t="shared" ca="1" si="1058"/>
        <v>#N/A</v>
      </c>
      <c r="BD292" s="140" t="e">
        <f ca="1">BC292*IF(OR($G292&lt;Control!$C$92,$G292&gt;Control!$C$95),0,IF(AND($G292&gt;=Control!$C$92,$G292&lt;=Control!$C$93),$G292-Control!$C$92,IF(AND($G292&gt;Control!$C$93,$G292&lt;=Control!$C$94),Control!$C$93-Control!$C$92,IF(AND($G292&gt;Control!$C$94,$G292&lt;=Control!$C$95),(Control!$C$93-Control!$C$92)*(Control!$C$94-$G292)/(Control!$C$95-Control!$C$94)))))</f>
        <v>#N/A</v>
      </c>
      <c r="BE292" s="140" t="e">
        <f t="shared" ca="1" si="1059"/>
        <v>#N/A</v>
      </c>
      <c r="BF292" s="140" t="e">
        <f ca="1">IF($BE292&lt;=Control!$C$86,$BE292,Control!$C$86-$BE292)</f>
        <v>#N/A</v>
      </c>
      <c r="BG292" s="140" t="e">
        <f ca="1">IF(AND($AW292=1,Control!$C$84&lt;9),1,IF($BE292&gt;=Control!$C$86,0,$BC292))</f>
        <v>#N/A</v>
      </c>
      <c r="BH292" s="404" t="e">
        <f ca="1">IF($BG292=0,0,IF($BE292&lt;=Control!$C$86,$BC292*9*($BF292/Control!$C$86),0))</f>
        <v>#N/A</v>
      </c>
      <c r="BI292" s="140" t="e">
        <f ca="1">IF($BG292=1,0,IF($BE292&gt;=Control!$C$86,1,IF(AND($BB292&lt;21,$BB292&gt;=9),1,$BM291)))</f>
        <v>#N/A</v>
      </c>
      <c r="BJ292" s="140" t="e">
        <f ca="1">IF($BF292&lt;0,-$BF292,$BI292*IF(OR($G292&lt;Control!$C$92,$G292&gt;Control!$C$95),0,IF(AND($G292&gt;=Control!$C$92,$G292&lt;=Control!$C$93),$G292-Control!$C$92,IF(AND($G292&gt;Control!$C$93,$G292&lt;=Control!$C$94),Control!$C$93-Control!$C$92,IF(AND($G292&gt;Control!$C$94,$G292&lt;=Control!$C$95),(Control!$C$93-Control!$C$92)*(Control!$C$94-$G292)/(Control!$C$95-Control!$C$94))))))</f>
        <v>#N/A</v>
      </c>
      <c r="BK292" s="140" t="e">
        <f t="shared" ca="1" si="1060"/>
        <v>#N/A</v>
      </c>
      <c r="BL292" s="140" t="e">
        <f ca="1">IF($BK292&lt;=Control!$C$87,$BK292,Control!$C$87-$BK292)</f>
        <v>#N/A</v>
      </c>
      <c r="BM292" s="140" t="e">
        <f ca="1">IF(AND($BB292&gt;=9,$BB292&lt;21),1,IF($BK292&gt;=Control!$C$87,0,$BI292))</f>
        <v>#N/A</v>
      </c>
      <c r="BN292" s="404" t="e">
        <f ca="1">IF($BM292=0,0,IF($BK292&lt;=Control!$C$87,$BI292*(9+(21-9)*($BL292/Control!$C$87)),0))</f>
        <v>#N/A</v>
      </c>
      <c r="BO292" s="140" t="e">
        <f ca="1">IF($BM292=1,0,IF($BK292&gt;=Control!$C$87,1,IF(AND($BB292&lt;30,$BB292&gt;=21),1,$BS291)))</f>
        <v>#N/A</v>
      </c>
      <c r="BP292" s="140" t="e">
        <f ca="1">IF($BL292&lt;0,-$BL292,$BO292*IF(OR($G292&lt;Control!$C$92,$G292&gt;Control!$C$95),0,IF(AND($G292&gt;=Control!$C$92,$G292&lt;=Control!$C$93),$G292-Control!$C$92,IF(AND($G292&gt;Control!$C$93,$G292&lt;=Control!$C$94),Control!$C$93-Control!$C$92,IF(AND($G292&gt;Control!$C$94,$G292&lt;=Control!$C$95),(Control!$C$93-Control!$C$92)*(Control!$C$94-$G292)/(Control!$C$95-Control!$C$94))))))</f>
        <v>#N/A</v>
      </c>
      <c r="BQ292" s="140" t="e">
        <f t="shared" ca="1" si="944"/>
        <v>#N/A</v>
      </c>
      <c r="BR292" s="140" t="e">
        <f ca="1">IF($BQ292&lt;=Control!$C$88,$BQ292,Control!$C$88-$BQ292)</f>
        <v>#N/A</v>
      </c>
      <c r="BS292" s="140" t="e">
        <f ca="1">IF(AND($BB292&gt;=21,$BB292&lt;30),1,IF($BQ292&gt;=Control!$C$88,0,$BO292))</f>
        <v>#N/A</v>
      </c>
      <c r="BT292" s="404" t="e">
        <f ca="1">IF($BS292=0,0,IF($BQ292&lt;=Control!$C$88,$BO292*(21+(30-21)*(BR292/Control!$C$88)),0))</f>
        <v>#N/A</v>
      </c>
      <c r="BU292" s="140" t="e">
        <f ca="1">IF(BG292+BM292+BS292=1,0,IF(OR(AND($BB292&lt;60,$BB292&gt;=30),$BQ292&gt;=Control!$C$88),1*$BA292,$BY291))</f>
        <v>#N/A</v>
      </c>
      <c r="BV292" s="140" t="e">
        <f ca="1">IF($BR292&lt;0,-$BR292,$BU292*IF(OR($G292&lt;Control!$C$92,$G292&gt;Control!$C$95),0,IF(AND($G292&gt;=Control!$C$92,$G292&lt;=Control!$C$93),$G292-Control!$C$92,IF(AND($G292&gt;Control!$C$93,$G292&lt;=Control!$C$94),Control!$C$93-Control!$C$92,IF(AND($G292&gt;Control!$C$94,$G292&lt;=Control!$C$95),(Control!$C$93-Control!$C$92)*(Control!$C$94-$G292)/(Control!$C$95-Control!$C$94))))))</f>
        <v>#N/A</v>
      </c>
      <c r="BW292" s="140" t="e">
        <f t="shared" ca="1" si="945"/>
        <v>#N/A</v>
      </c>
      <c r="BX292" s="140" t="e">
        <f ca="1">IF($BW292&lt;=Control!$C$89,$BW292,Control!$C$89-$BW292)</f>
        <v>#N/A</v>
      </c>
      <c r="BY292" s="140" t="e">
        <f ca="1">IF(AND($AJ292&gt;=30,$AJ292&lt;60),1,IF($BW292&gt;=Control!$C$89,0,$BU292))</f>
        <v>#N/A</v>
      </c>
      <c r="BZ292" s="404" t="e">
        <f ca="1">IF($BY292=0,0,IF($BW292&lt;=Control!$C$89,$BU292*(30+(60-30)*(BX292/Control!$C$89)),0))</f>
        <v>#N/A</v>
      </c>
      <c r="CA292" s="140" t="e">
        <f ca="1">IF($BG292+$BM292+$BS292+$BY292=1,0,IF(OR(AND($BB292&lt;65,$BB292&gt;=60),$BW292&gt;=Control!$C$89),1*$BA292,$CE291))</f>
        <v>#N/A</v>
      </c>
      <c r="CB292" s="140" t="e">
        <f ca="1">IF($BX292&lt;0,-$BX292,$CA292*IF(OR($G292&lt;Control!$C$92,$G292&gt;Control!$C$95),0,IF(AND($G292&gt;=Control!$C$92,$G292&lt;=Control!$C$93),$G292-Control!$C$92,IF(AND($G292&gt;Control!$C$93,$G292&lt;=Control!$C$94),Control!$C$93-Control!$C$92,IF(AND($G292&gt;Control!$C$94,$G292&lt;=Control!$C$95),(Control!$C$93-Control!$C$92)*(Control!$C$94-$G292)/(Control!$C$95-Control!$C$94))))))</f>
        <v>#N/A</v>
      </c>
      <c r="CC292" s="140" t="e">
        <f t="shared" ca="1" si="1061"/>
        <v>#N/A</v>
      </c>
      <c r="CD292" s="140" t="e">
        <f ca="1">IF($CC292&lt;=Control!$C$90,$CC292,Control!$C$90-$CC292)</f>
        <v>#N/A</v>
      </c>
      <c r="CE292" s="140" t="e">
        <f ca="1">IF(AND($BB292&gt;=60,$BB292&lt;65),1,IF($CC292&gt;=Control!$C$90,0,$CA292))</f>
        <v>#N/A</v>
      </c>
      <c r="CF292" s="404" t="e">
        <f ca="1">IF($CE292=0,0,IF($CC292&lt;=Control!$C$90,$CA292*(60+(65-60)*(CD292/Control!$C$90)),0))</f>
        <v>#N/A</v>
      </c>
      <c r="CG292" s="140" t="e">
        <f ca="1">IF($BG292+$BM292+$BS292+$BY292+$CE292=1,0,IF(OR(AND($BB292&lt;90,$BB292&gt;=65),$CC292&gt;=Control!$C$90),$BA292,$CK291))</f>
        <v>#N/A</v>
      </c>
      <c r="CH292" s="140" t="e">
        <f ca="1">IF($CD292&lt;0,-$CD292,$CG292*IF(OR($G292&lt;Control!$C$92,$G292&gt;Control!$C$95),0,IF(AND($G292&gt;=Control!$C$92,$G292&lt;=Control!$C$93),$G292-Control!$C$92,IF(AND($G292&gt;Control!$C$93,$G292&lt;=Control!$C$94),Control!$C$93-Control!$C$92,IF(AND($G292&gt;Control!$C$94,$G292&lt;=Control!$C$95),(Control!$C$93-Control!$C$92)*(Control!$C$94-$G292)/(Control!$C$95-Control!$C$94))))))</f>
        <v>#N/A</v>
      </c>
      <c r="CI292" s="140" t="e">
        <f t="shared" ca="1" si="1062"/>
        <v>#N/A</v>
      </c>
      <c r="CJ292" s="140" t="e">
        <f ca="1">IF($CI292&lt;=Control!$C$91,$CI292,Control!$C$91-$CI292)</f>
        <v>#N/A</v>
      </c>
      <c r="CK292" s="140" t="e">
        <f ca="1">IF(AND($BB292&gt;=65,$BB292&lt;90),1,IF($CI292&gt;=Control!$C$91,0,$CG292))</f>
        <v>#N/A</v>
      </c>
      <c r="CL292" s="404" t="e">
        <f ca="1">IF($CK292=0,0,IF($CI292&lt;=Control!$C$91,$CG292*(65+(90-65)*($CJ292/Control!$C$91)),0))</f>
        <v>#N/A</v>
      </c>
      <c r="CM292" s="140" t="e">
        <f ca="1">IF($BG292+$BM292+$BS292+$BY292+$CE292+$CK292=1,0,IF(OR($BB292&gt;=90,$CI292&gt;=Control!$C$91),$BA292,$CM291))</f>
        <v>#N/A</v>
      </c>
      <c r="CN292" s="140" t="e">
        <f t="shared" ca="1" si="1063"/>
        <v>#N/A</v>
      </c>
      <c r="CO292" s="140" t="e">
        <f t="shared" ca="1" si="1064"/>
        <v>#N/A</v>
      </c>
      <c r="CP292" s="140" t="e">
        <f t="shared" ca="1" si="1065"/>
        <v>#N/A</v>
      </c>
      <c r="CQ292" s="141" t="e">
        <f ca="1">VLOOKUP($CP292,Control!$B$86:$G$91,6)</f>
        <v>#N/A</v>
      </c>
      <c r="CR292" s="141" t="e">
        <f ca="1">(1-$CQ292)*VLOOKUP($CP292,Control!$B$86:$D$91,3)</f>
        <v>#N/A</v>
      </c>
      <c r="CS292" s="141" t="e">
        <f ca="1">(1-$CQ292)*VLOOKUP($CP292,Control!$B$86:$E$91,4)</f>
        <v>#N/A</v>
      </c>
      <c r="CT292" s="141" t="e">
        <f ca="1">(1-$CQ292)*VLOOKUP($CP292,Control!$B$86:$F$91,5)</f>
        <v>#N/A</v>
      </c>
      <c r="CU292" s="141">
        <f t="shared" ca="1" si="1066"/>
        <v>0</v>
      </c>
      <c r="CV292" s="583">
        <f t="shared" ca="1" si="1067"/>
        <v>0</v>
      </c>
      <c r="CW292" s="142">
        <f t="shared" ca="1" si="1068"/>
        <v>288</v>
      </c>
      <c r="CX292" s="612" t="e">
        <f ca="1">IF(Control!$C$114=1,(MIN(Control!$C$120*(IF($NT292-0.01&lt;0,0,1)),Control!$C$119-$CY292)))</f>
        <v>#DIV/0!</v>
      </c>
      <c r="CY292" s="143" t="e">
        <f t="shared" ca="1" si="1069"/>
        <v>#N/A</v>
      </c>
      <c r="CZ292" s="144">
        <f t="shared" ca="1" si="946"/>
        <v>0</v>
      </c>
      <c r="DA292" s="144">
        <f t="shared" ca="1" si="947"/>
        <v>0</v>
      </c>
      <c r="DB292" s="144" t="e">
        <f t="shared" ca="1" si="948"/>
        <v>#N/A</v>
      </c>
      <c r="DC292" s="144" t="e">
        <f t="shared" ca="1" si="949"/>
        <v>#N/A</v>
      </c>
      <c r="DD292" s="144" t="e">
        <f t="shared" ca="1" si="1154"/>
        <v>#N/A</v>
      </c>
      <c r="DE292" s="143" t="e">
        <f t="shared" ca="1" si="1070"/>
        <v>#N/A</v>
      </c>
      <c r="DF292" s="145" t="e">
        <f ca="1">$DR292*EXP(-Control!$C$158*(1-$KH292))</f>
        <v>#N/A</v>
      </c>
      <c r="DG292" s="146" t="e">
        <f ca="1">IF(Control!$C$114=1, $DF292*$EY292, 0)</f>
        <v>#N/A</v>
      </c>
      <c r="DH292" s="147" t="e">
        <f t="shared" ca="1" si="1071"/>
        <v>#N/A</v>
      </c>
      <c r="DI292" s="144" t="e">
        <f t="shared" ca="1" si="1132"/>
        <v>#N/A</v>
      </c>
      <c r="DJ292" s="147" t="e">
        <f ca="1">$EF292*Control!$C$109</f>
        <v>#N/A</v>
      </c>
      <c r="DK292" s="144" t="e">
        <f t="shared" ca="1" si="1072"/>
        <v>#N/A</v>
      </c>
      <c r="DL292" s="144" t="e">
        <f t="shared" ca="1" si="950"/>
        <v>#N/A</v>
      </c>
      <c r="DM292" s="144" t="e">
        <f ca="1">IF(Control!$C$114=1, (1-EXP(-Control!$C$96*$DK292))*$AR292, 0)</f>
        <v>#N/A</v>
      </c>
      <c r="DN292" s="144">
        <f t="shared" ca="1" si="1073"/>
        <v>0</v>
      </c>
      <c r="DO292" s="148">
        <f>Control!$C$97</f>
        <v>4</v>
      </c>
      <c r="DP292" s="145" t="e">
        <f t="shared" ca="1" si="1074"/>
        <v>#N/A</v>
      </c>
      <c r="DQ292" s="145" t="e">
        <f ca="1">IF(AND($CP292&gt;=0,$CP292&lt;=90),Control!$C$111,Control!$C$111)</f>
        <v>#N/A</v>
      </c>
      <c r="DR292" s="145" t="e">
        <f t="shared" ca="1" si="951"/>
        <v>#N/A</v>
      </c>
      <c r="DS292" s="143" t="e">
        <f ca="1">Control!$B$22/$DR292</f>
        <v>#N/A</v>
      </c>
      <c r="DT292" s="149" t="e">
        <f ca="1">IF(AND(Control!$C$114=1,$KH292&lt;1),$IM292*$DF292, 0)</f>
        <v>#N/A</v>
      </c>
      <c r="DU292" s="144" t="e">
        <f t="shared" ca="1" si="1075"/>
        <v>#N/A</v>
      </c>
      <c r="DV292" s="144">
        <f ca="1">IF($G292-Control!$C$107&lt;=0, 0, 0.83*LN(MAX($G292, 3))-0.8924)</f>
        <v>0</v>
      </c>
      <c r="DW292" s="144" t="e">
        <f t="shared" ca="1" si="952"/>
        <v>#N/A</v>
      </c>
      <c r="DX292" s="150" t="e">
        <f ca="1">MAX(0.01*(1+$CU292/Control!$C$102),0.05*($DK292-Control!$C$97)/Control!$C$97)</f>
        <v>#N/A</v>
      </c>
      <c r="DY292" s="151" t="e">
        <f ca="1">IF(Control!$C$114=1, $DI292*$FS292, 0)</f>
        <v>#N/A</v>
      </c>
      <c r="DZ292" s="196" t="e">
        <f t="shared" ca="1" si="1076"/>
        <v>#N/A</v>
      </c>
      <c r="EA292" s="152">
        <f t="shared" ca="1" si="1077"/>
        <v>288</v>
      </c>
      <c r="EB292" s="153" t="e">
        <f t="shared" ca="1" si="1078"/>
        <v>#N/A</v>
      </c>
      <c r="EC292" s="153" t="e">
        <f t="shared" ca="1" si="1079"/>
        <v>#N/A</v>
      </c>
      <c r="ED292" s="154" t="e">
        <f ca="1">IF(Control!$C$114=1, $HM292*$FY292-$FD292, 0)</f>
        <v>#DIV/0!</v>
      </c>
      <c r="EE292" s="155" t="e">
        <f ca="1">IF(Control!$C$114=1, $HM292*$FZ292-$FF292, 0)</f>
        <v>#DIV/0!</v>
      </c>
      <c r="EF292" s="153" t="e">
        <f t="shared" ca="1" si="1133"/>
        <v>#N/A</v>
      </c>
      <c r="EG292" s="155" t="e">
        <f ca="1">IF(Control!$C$114=1, $GX292*$FW292-$FI292, 0)</f>
        <v>#DIV/0!</v>
      </c>
      <c r="EH292" s="153" t="e">
        <f t="shared" ca="1" si="1080"/>
        <v>#N/A</v>
      </c>
      <c r="EI292" s="156" t="e">
        <f t="shared" ca="1" si="1081"/>
        <v>#N/A</v>
      </c>
      <c r="EJ292" s="155" t="e">
        <f ca="1">IF(Control!$C$114=1, $HM292*$GB292, 0)</f>
        <v>#DIV/0!</v>
      </c>
      <c r="EK292" s="153" t="e">
        <f t="shared" ca="1" si="1134"/>
        <v>#N/A</v>
      </c>
      <c r="EL292" s="153" t="e">
        <f t="shared" ca="1" si="953"/>
        <v>#N/A</v>
      </c>
      <c r="EM292" s="153" t="e">
        <f t="shared" ca="1" si="954"/>
        <v>#N/A</v>
      </c>
      <c r="EN292" s="153" t="e">
        <f ca="1">IF(Control!$C$108=1,IF(AND(Control!$B$18=1,$EB292&gt;=Control!$B$19),$EB292-$DS292,IF(AND(Control!$B$18=2,$AW292=1,$EB292&gt;$DS292),$EB292-$DS292,0)))</f>
        <v>#N/A</v>
      </c>
      <c r="EO292" s="153" t="e">
        <f ca="1">IF(Control!$C$108=1,IF(AND(Control!$B$18=1,$EB292&gt;=Control!$B$19),$EF292,IF(AND(Control!$B$18=2,$AW292=1),$EF292,0)))</f>
        <v>#N/A</v>
      </c>
      <c r="EP292" s="153" t="e">
        <f ca="1">IF(Control!$C$108=1,IF(AND(Control!$B$18=1,$EB292&gt;=Control!$B$19),$EK292,IF(AND(Control!$B$18=2,$AW292=1),$EK292,0)))</f>
        <v>#N/A</v>
      </c>
      <c r="EQ292" s="153" t="e">
        <f t="shared" ca="1" si="1082"/>
        <v>#N/A</v>
      </c>
      <c r="ER292" s="153" t="e">
        <f t="shared" ca="1" si="1083"/>
        <v>#N/A</v>
      </c>
      <c r="ES292" s="153" t="e">
        <f t="shared" ca="1" si="1135"/>
        <v>#N/A</v>
      </c>
      <c r="ET292" s="153" t="e">
        <f t="shared" ca="1" si="1136"/>
        <v>#N/A</v>
      </c>
      <c r="EU292" s="153" t="e">
        <f t="shared" ca="1" si="1084"/>
        <v>#N/A</v>
      </c>
      <c r="EV292" s="153" t="e">
        <f t="shared" ca="1" si="955"/>
        <v>#N/A</v>
      </c>
      <c r="EW292" s="153" t="e">
        <f t="shared" ca="1" si="956"/>
        <v>#N/A</v>
      </c>
      <c r="EX292" s="153" t="e">
        <f t="shared" ca="1" si="957"/>
        <v>#N/A</v>
      </c>
      <c r="EY292" s="157" t="e">
        <f t="shared" ca="1" si="958"/>
        <v>#DIV/0!</v>
      </c>
      <c r="EZ292" s="154" t="e">
        <f t="shared" ca="1" si="959"/>
        <v>#DIV/0!</v>
      </c>
      <c r="FA292" s="153" t="e">
        <f t="shared" ca="1" si="1085"/>
        <v>#N/A</v>
      </c>
      <c r="FB292" s="153" t="e">
        <f t="shared" ca="1" si="960"/>
        <v>#N/A</v>
      </c>
      <c r="FC292" s="193" t="e">
        <f t="shared" ca="1" si="961"/>
        <v>#N/A</v>
      </c>
      <c r="FD292" s="158" t="e">
        <f t="shared" ca="1" si="1086"/>
        <v>#N/A</v>
      </c>
      <c r="FE292" s="158" t="e">
        <f t="shared" ca="1" si="1087"/>
        <v>#N/A</v>
      </c>
      <c r="FF292" s="159" t="e">
        <f t="shared" ca="1" si="962"/>
        <v>#N/A</v>
      </c>
      <c r="FG292" s="160" t="e">
        <f t="shared" ca="1" si="1088"/>
        <v>#N/A</v>
      </c>
      <c r="FH292" s="158" t="e">
        <f t="shared" ca="1" si="1089"/>
        <v>#N/A</v>
      </c>
      <c r="FI292" s="159" t="e">
        <f t="shared" ca="1" si="963"/>
        <v>#N/A</v>
      </c>
      <c r="FJ292" s="160" t="e">
        <f t="shared" ca="1" si="1090"/>
        <v>#N/A</v>
      </c>
      <c r="FK292" s="160" t="e">
        <f t="shared" ca="1" si="964"/>
        <v>#N/A</v>
      </c>
      <c r="FL292" s="160" t="e">
        <f t="shared" ca="1" si="1137"/>
        <v>#N/A</v>
      </c>
      <c r="FM292" s="160" t="e">
        <f t="shared" ca="1" si="965"/>
        <v>#N/A</v>
      </c>
      <c r="FN292" s="158">
        <f t="shared" ca="1" si="1091"/>
        <v>0.01</v>
      </c>
      <c r="FO292" s="160">
        <f>Control!$C$101</f>
        <v>50</v>
      </c>
      <c r="FP292" s="150" t="e">
        <f t="shared" ca="1" si="966"/>
        <v>#N/A</v>
      </c>
      <c r="FQ292" s="150" t="e">
        <f ca="1">MAX(0,(Control!$C$112*(($DK292-Control!$C$97)/Control!$C$97)))</f>
        <v>#N/A</v>
      </c>
      <c r="FR292" s="150" t="e">
        <f ca="1">(1-$NT292)*Control!$C$113</f>
        <v>#DIV/0!</v>
      </c>
      <c r="FS292" s="198" t="e">
        <f t="shared" ca="1" si="967"/>
        <v>#N/A</v>
      </c>
      <c r="FT292" s="161">
        <f t="shared" ca="1" si="1092"/>
        <v>288</v>
      </c>
      <c r="FU292" s="162" t="e">
        <f ca="1">IF(Control!$B$34=1,VLOOKUP($CP292,Control!$B$86:$G$91,6),Control!$B$35)</f>
        <v>#N/A</v>
      </c>
      <c r="FV292" s="162" t="e">
        <f t="shared" ca="1" si="968"/>
        <v>#DIV/0!</v>
      </c>
      <c r="FW292" s="162" t="e">
        <f ca="1">IF(Control!$B$31=1,$FU292*$FV292,  $FU292)</f>
        <v>#N/A</v>
      </c>
      <c r="FX292" s="162" t="e">
        <f ca="1">IF(Control!$B$34=1,VLOOKUP($CP292,Control!$B$86:$G$91,3),Control!$B$36)</f>
        <v>#N/A</v>
      </c>
      <c r="FY292" s="162" t="e">
        <f t="shared" ca="1" si="969"/>
        <v>#N/A</v>
      </c>
      <c r="FZ292" s="162" t="e">
        <f ca="1">IF(Control!$B$34=1,VLOOKUP($CP292,Control!$B$86:$G$91,4),Control!$B$37)</f>
        <v>#N/A</v>
      </c>
      <c r="GA292" s="162" t="e">
        <f t="shared" ca="1" si="970"/>
        <v>#N/A</v>
      </c>
      <c r="GB292" s="162" t="e">
        <f ca="1">IF(Control!$B$34=1,VLOOKUP($CP292,Control!$B$86:$G$91,5),Control!$B$38)</f>
        <v>#N/A</v>
      </c>
      <c r="GC292" s="162" t="e">
        <f t="shared" ca="1" si="1093"/>
        <v>#N/A</v>
      </c>
      <c r="GD292" s="162">
        <f t="shared" ca="1" si="971"/>
        <v>1</v>
      </c>
      <c r="GE292" s="162">
        <f t="shared" ca="1" si="972"/>
        <v>1</v>
      </c>
      <c r="GF292" s="162">
        <f ca="1">IF(AND(Control!$C$104=1, Control!$C$62="F"),$GE292,1)</f>
        <v>1</v>
      </c>
      <c r="GG292" s="162" t="e">
        <f ca="1">IF(Control!$B$16=40,0,IF(AND(Control!$B$16&gt;40,Control!$B$16&lt;=360),(Control!$B$16-40)*((1-0)/(360-40)),IF(AND(Control!$B$16&gt;360,Control!$B$16&lt;=720),(1+(Control!$B$16-360)*((1.25-1)/(720-360))),IF(AND(Control!$B$16&gt;720,Control!$B$16&lt;=1000),(1.25+(Control!$B$16-720)*((1.35-1.25)/(1000-720))),IF(AND(Control!$B$16&gt;1000,Control!$B$16&lt;=2000),(1.35+(Control!$B$16-1000)*0))))))</f>
        <v>#N/A</v>
      </c>
      <c r="GH292" s="162" t="e">
        <f t="shared" ca="1" si="973"/>
        <v>#N/A</v>
      </c>
      <c r="GI292" s="162">
        <f t="shared" ca="1" si="1094"/>
        <v>0</v>
      </c>
      <c r="GJ292" s="162">
        <f t="shared" ca="1" si="974"/>
        <v>0</v>
      </c>
      <c r="GK292" s="162">
        <f t="shared" ca="1" si="1095"/>
        <v>1</v>
      </c>
      <c r="GL292" s="162">
        <f t="shared" ca="1" si="975"/>
        <v>1</v>
      </c>
      <c r="GM292" s="162" t="e">
        <f ca="1">MAX(0,MIN(1,1-Control!$C$156*(1.0001-$KH292)^2))</f>
        <v>#N/A</v>
      </c>
      <c r="GN292" s="162" t="e">
        <f ca="1">IF(Control!$B$26=1,$KU292,$KX292)</f>
        <v>#N/A</v>
      </c>
      <c r="GO292" s="162" t="e">
        <f ca="1">IF($CP292&lt;=60,Control!$C$105,IF($CP292&gt;=90,Control!$C$106,Control!$C$105+($CP292-60)*((Control!$C$106-Control!$C$105)/(90-60))))</f>
        <v>#N/A</v>
      </c>
      <c r="GP292" s="162" t="e">
        <f t="shared" ca="1" si="976"/>
        <v>#N/A</v>
      </c>
      <c r="GQ292" s="162" t="e">
        <f t="shared" ca="1" si="1096"/>
        <v>#N/A</v>
      </c>
      <c r="GR292" s="163" t="e">
        <f t="shared" ca="1" si="977"/>
        <v>#DIV/0!</v>
      </c>
      <c r="GS292" s="162" t="e">
        <f t="shared" ca="1" si="978"/>
        <v>#DIV/0!</v>
      </c>
      <c r="GT292" s="164" t="e">
        <f t="shared" ca="1" si="1097"/>
        <v>#N/A</v>
      </c>
      <c r="GU292" s="162" t="e">
        <f t="shared" ca="1" si="1098"/>
        <v>#N/A</v>
      </c>
      <c r="GV292" s="162" t="e">
        <f t="shared" ca="1" si="979"/>
        <v>#N/A</v>
      </c>
      <c r="GW292" s="162" t="e">
        <f t="shared" ca="1" si="980"/>
        <v>#DIV/0!</v>
      </c>
      <c r="GX292" s="162" t="e">
        <f t="shared" ca="1" si="1099"/>
        <v>#DIV/0!</v>
      </c>
      <c r="GY292" s="162" t="e">
        <f t="shared" ca="1" si="1100"/>
        <v>#DIV/0!</v>
      </c>
      <c r="GZ292" s="165" t="e">
        <f t="shared" ca="1" si="981"/>
        <v>#N/A</v>
      </c>
      <c r="HA292" s="162" t="e">
        <f ca="1">IF(Control!$C$114=1, $DI292*$FS292, 0)</f>
        <v>#N/A</v>
      </c>
      <c r="HB292" s="162" t="e">
        <f ca="1">$FA292/Control!$C$64</f>
        <v>#N/A</v>
      </c>
      <c r="HC292" s="162" t="e">
        <f t="shared" ca="1" si="982"/>
        <v>#DIV/0!</v>
      </c>
      <c r="HD292" s="162">
        <f ca="1">-ASIN(SIN(23.45*Control!$C$139)*COS(2*Control!$C$138*($AH292+10)/365))</f>
        <v>-0.16205166895333301</v>
      </c>
      <c r="HE292" s="165">
        <f t="shared" ca="1" si="1101"/>
        <v>0</v>
      </c>
      <c r="HF292" s="166">
        <f ca="1">IF(AND(Control!$C$61="T",$HE292&gt;=Control!$C$103,Control!$C$114=0),$AH292,Control!$C$59)</f>
        <v>1</v>
      </c>
      <c r="HG292" s="166">
        <f ca="1">IF(AND(Control!$C$61="T",$HE292&gt;=Control!$C$103,Control!$C$114=0),$HF292,Control!$C$59)</f>
        <v>1</v>
      </c>
      <c r="HH292" s="165">
        <f ca="1">IF(AND(OR(Control!$C$60&lt;=0, $AH292= Control!$C$59, Control!$C$60 &gt;0, $AH292 = Control!$C$60)), Control!$C$59, IF(Control!$C$60&gt;0, 0))</f>
        <v>1</v>
      </c>
      <c r="HI292" s="165">
        <f ca="1">IF(AND(OR(Control!$C$60&lt;=0, $AH292= Control!$C$59, Control!$C$60 &gt;0, $AH292 = Control!$C$60)), Control!$C$60, IF(Control!$C$60&lt;=0, 0))</f>
        <v>0</v>
      </c>
      <c r="HJ292" s="166">
        <f ca="1">IF(AND(Control!$C$62="F",$CV292&gt;=Control!$C$102),$AH292,0)</f>
        <v>0</v>
      </c>
      <c r="HK292" s="165" t="e">
        <f t="shared" ca="1" si="1138"/>
        <v>#N/A</v>
      </c>
      <c r="HL292" s="166">
        <f ca="1">IF(AND(Control!$C$61="T",$HE292&gt;=Control!$C$103,Control!$C$114=0),$HF292,0)</f>
        <v>0</v>
      </c>
      <c r="HM292" s="201" t="e">
        <f t="shared" ca="1" si="983"/>
        <v>#DIV/0!</v>
      </c>
      <c r="HN292" s="215">
        <f t="shared" ca="1" si="1102"/>
        <v>288</v>
      </c>
      <c r="HO292" s="216" t="e">
        <f ca="1">IF(AND($CP292&gt;=0, $CP292&lt;=90), Control!$C$152, Control!$C$152)</f>
        <v>#N/A</v>
      </c>
      <c r="HP292" s="216" t="e">
        <f t="shared" ca="1" si="984"/>
        <v>#N/A</v>
      </c>
      <c r="HQ292" s="217" t="e">
        <f ca="1">IF(OR(Control!$B$26=1,Control!$B$26=2),$KV292,$KS292)</f>
        <v>#DIV/0!</v>
      </c>
      <c r="HR292" s="218" t="e">
        <f t="shared" ca="1" si="1139"/>
        <v>#DIV/0!</v>
      </c>
      <c r="HS292" s="216" t="e">
        <f ca="1">Control!$C$154*$HP292</f>
        <v>#N/A</v>
      </c>
      <c r="HT292" s="216" t="e">
        <f ca="1">Control!$C$155*$HP292</f>
        <v>#N/A</v>
      </c>
      <c r="HU292" s="217" t="e">
        <f ca="1">Control!$C$161*$FI292</f>
        <v>#N/A</v>
      </c>
      <c r="HV292" s="218" t="e">
        <f t="shared" ca="1" si="1103"/>
        <v>#N/A</v>
      </c>
      <c r="HW292" s="218" t="e">
        <f ca="1">Control!$C$160*$FF292+$IP292*$EO292</f>
        <v>#N/A</v>
      </c>
      <c r="HX292" s="218" t="e">
        <f t="shared" ca="1" si="1140"/>
        <v>#N/A</v>
      </c>
      <c r="HY292" s="219" t="e">
        <f ca="1">IF(Control!$C$114=1, $EB292*$FS292, 0)</f>
        <v>#N/A</v>
      </c>
      <c r="HZ292" s="91" t="e">
        <f t="shared" ca="1" si="985"/>
        <v>#N/A</v>
      </c>
      <c r="IA292" s="220" t="e">
        <f ca="1">Control!$C$153*$HO292</f>
        <v>#N/A</v>
      </c>
      <c r="IB292" s="218" t="e">
        <f t="shared" ca="1" si="986"/>
        <v>#N/A</v>
      </c>
      <c r="IC292" s="220" t="e">
        <f ca="1">Control!$C$153*$HT292</f>
        <v>#N/A</v>
      </c>
      <c r="ID292" s="218" t="e">
        <f t="shared" ca="1" si="987"/>
        <v>#N/A</v>
      </c>
      <c r="IE292" s="221" t="e">
        <f ca="1">($EB292*Control!$C$159+$EF292*Control!$C$160)/(IF($GZ292&lt;&gt;0,$GZ292,1))</f>
        <v>#N/A</v>
      </c>
      <c r="IF292" s="216" t="e">
        <f t="shared" ca="1" si="988"/>
        <v>#N/A</v>
      </c>
      <c r="IG292" s="91">
        <f ca="1">IF(OR(Control!$B$198=$AH292,Control!$B$199=$AH292, Control!$B$200=$AH292, Control!$B$201=$AH292, Control!$B$202=$AH292, Control!$B$203=$AH292, Control!$B$204=$AH292, Control!$B$205=$AH292, Control!$B$206=$AH292, Control!$B$207=$AH292), 1, 0)</f>
        <v>0</v>
      </c>
      <c r="IH292" s="91">
        <f ca="1">IF($IG292=0,0, VLOOKUP($AH292,Control!$B$198:$C$207,2))</f>
        <v>0</v>
      </c>
      <c r="II292" s="222">
        <f t="shared" ca="1" si="1104"/>
        <v>0</v>
      </c>
      <c r="IJ292" s="91">
        <f>Control!$C$121</f>
        <v>0.7</v>
      </c>
      <c r="IK292" s="218">
        <f t="shared" ca="1" si="989"/>
        <v>0</v>
      </c>
      <c r="IL292" s="217" t="e">
        <f t="shared" ca="1" si="1141"/>
        <v>#N/A</v>
      </c>
      <c r="IM292" s="223" t="e">
        <f ca="1">IF(AND(Control!$C$114=1,$KH292&lt;1),$EB292*Control!$C$148*(1-$KH292), 0)</f>
        <v>#N/A</v>
      </c>
      <c r="IN292" s="217" t="e">
        <f t="shared" ca="1" si="990"/>
        <v>#DIV/0!</v>
      </c>
      <c r="IO292" s="91" t="e">
        <f ca="1">MAX(0,$IL292-$EF292*Control!$C$160)</f>
        <v>#N/A</v>
      </c>
      <c r="IP292" s="220" t="e">
        <f t="shared" ca="1" si="991"/>
        <v>#N/A</v>
      </c>
      <c r="IQ292" s="217" t="e">
        <f t="shared" ca="1" si="1105"/>
        <v>#N/A</v>
      </c>
      <c r="IR292" s="218" t="e">
        <f t="shared" ca="1" si="992"/>
        <v>#N/A</v>
      </c>
      <c r="IS292" s="217" t="e">
        <f ca="1">Control!$C$159*MAX(0,$FD292-$EN292)</f>
        <v>#N/A</v>
      </c>
      <c r="IT292" s="217" t="e">
        <f t="shared" ca="1" si="1142"/>
        <v>#N/A</v>
      </c>
      <c r="IU292" s="217" t="e">
        <f t="shared" ca="1" si="1106"/>
        <v>#N/A</v>
      </c>
      <c r="IV292" s="217" t="e">
        <f t="shared" ca="1" si="1143"/>
        <v>#N/A</v>
      </c>
      <c r="IW292" s="217" t="e">
        <f ca="1">IF(OR($AW292=1,AND($AW292=0, Control!$B$18=1,$EN292&lt;&gt;0)), $IQ292-$IU292, $IQ292)</f>
        <v>#N/A</v>
      </c>
      <c r="IX292" s="218" t="e">
        <f t="shared" ca="1" si="993"/>
        <v>#N/A</v>
      </c>
      <c r="IY292" s="218" t="e">
        <f ca="1">MAX(0,$IQ292-$EB292*Control!$C$159)</f>
        <v>#N/A</v>
      </c>
      <c r="IZ292" s="218" t="e">
        <f t="shared" ca="1" si="994"/>
        <v>#N/A</v>
      </c>
      <c r="JA292" s="216" t="e">
        <f t="shared" ca="1" si="995"/>
        <v>#N/A</v>
      </c>
      <c r="JB292" s="217" t="e">
        <f t="shared" ca="1" si="996"/>
        <v>#N/A</v>
      </c>
      <c r="JC292" s="222" t="e">
        <f ca="1">MAX(Control!$C$157*$EK292-$JT292, 0)/Control!$C$162</f>
        <v>#N/A</v>
      </c>
      <c r="JD292" s="218" t="e">
        <f t="shared" ca="1" si="997"/>
        <v>#N/A</v>
      </c>
      <c r="JE292" s="218" t="e">
        <f t="shared" ca="1" si="998"/>
        <v>#N/A</v>
      </c>
      <c r="JF292" s="218" t="e">
        <f t="shared" ca="1" si="1107"/>
        <v>#N/A</v>
      </c>
      <c r="JG292" s="218" t="e">
        <f t="shared" ca="1" si="999"/>
        <v>#N/A</v>
      </c>
      <c r="JH292" s="217" t="e">
        <f t="shared" ca="1" si="1108"/>
        <v>#N/A</v>
      </c>
      <c r="JI292" s="217" t="e">
        <f t="shared" ca="1" si="1109"/>
        <v>#N/A</v>
      </c>
      <c r="JJ292" s="217" t="e">
        <f t="shared" ca="1" si="1144"/>
        <v>#N/A</v>
      </c>
      <c r="JK292" s="217" t="e">
        <f ca="1">IF(Control!$C$114=1,IF(Control!$B$24=0,MAX(0,$JI292)*$GN292/Control!$C$64,(MAX(0,MIN($JI292,$JJ292*$GN292/Control!$C$64),0))))</f>
        <v>#N/A</v>
      </c>
      <c r="JL292" s="217" t="e">
        <f ca="1">$IK292/Control!$C$64-$JK292+$HQ292</f>
        <v>#N/A</v>
      </c>
      <c r="JM292" s="217" t="e">
        <f ca="1">IF(Control!$C$114=1,($JB292/(IF($JI292&lt;&gt;0,$JI292,1)))*$JK292,0)</f>
        <v>#N/A</v>
      </c>
      <c r="JN292" s="217" t="e">
        <f ca="1">IF(Control!$C$114=1,($JG292/(IF($JI292&lt;&gt;0,$JI292,1)))*$JK292, 0)</f>
        <v>#N/A</v>
      </c>
      <c r="JO292" s="218" t="e">
        <f t="shared" ca="1" si="1000"/>
        <v>#N/A</v>
      </c>
      <c r="JP292" s="218" t="e">
        <f ca="1">MIN(($IY292+$IO292)*Control!$C$151, $JF292-$EH292*Control!$C$161)</f>
        <v>#N/A</v>
      </c>
      <c r="JQ292" s="218" t="e">
        <f t="shared" ca="1" si="1001"/>
        <v>#N/A</v>
      </c>
      <c r="JR292" s="217" t="e">
        <f ca="1">IF($CP292-Control!$C$150&lt;0, 0, $JQ292/Control!$C$162)</f>
        <v>#N/A</v>
      </c>
      <c r="JS292" s="218" t="e">
        <f t="shared" ca="1" si="1002"/>
        <v>#N/A</v>
      </c>
      <c r="JT292" s="218" t="e">
        <f t="shared" ca="1" si="1110"/>
        <v>#N/A</v>
      </c>
      <c r="JU292" s="218" t="e">
        <f t="shared" ca="1" si="1003"/>
        <v>#N/A</v>
      </c>
      <c r="JV292" s="218" t="e">
        <f t="shared" ca="1" si="1004"/>
        <v>#N/A</v>
      </c>
      <c r="JW292" s="216" t="e">
        <f t="shared" ca="1" si="1005"/>
        <v>#N/A</v>
      </c>
      <c r="JX292" s="91" t="e">
        <f t="shared" ca="1" si="1006"/>
        <v>#N/A</v>
      </c>
      <c r="JY292" s="218" t="e">
        <f t="shared" ca="1" si="1007"/>
        <v>#N/A</v>
      </c>
      <c r="JZ292" s="217" t="e">
        <f ca="1">IF(Control!$C$114=1,($IZ292/(IF($JI292&lt;&gt;0,$JI292,1)))*$JK292, 0)</f>
        <v>#N/A</v>
      </c>
      <c r="KA292" s="218" t="e">
        <f t="shared" ca="1" si="1145"/>
        <v>#N/A</v>
      </c>
      <c r="KB292" s="218" t="e">
        <f t="shared" ca="1" si="1111"/>
        <v>#N/A</v>
      </c>
      <c r="KC292" s="218" t="e">
        <f t="shared" ca="1" si="1008"/>
        <v>#N/A</v>
      </c>
      <c r="KD292" s="218" t="e">
        <f t="shared" ca="1" si="1009"/>
        <v>#N/A</v>
      </c>
      <c r="KE292" s="218" t="e">
        <f t="shared" ca="1" si="1010"/>
        <v>#N/A</v>
      </c>
      <c r="KF292" s="218" t="e">
        <f t="shared" ca="1" si="1011"/>
        <v>#N/A</v>
      </c>
      <c r="KG292" s="216" t="e">
        <f t="shared" ca="1" si="1012"/>
        <v>#N/A</v>
      </c>
      <c r="KH292" s="221" t="e">
        <f ca="1">IF(Control!$B$24=0,1,MAX(0.001,MIN(1,IF(($IF292-$IE292)&lt;&gt;0,($KG292-$IE292)/($IF292-$IE292),1))))</f>
        <v>#N/A</v>
      </c>
      <c r="KI292" s="222" t="e">
        <f ca="1">IF(Control!$C$114=1, $KI291+ $KH291, 0)</f>
        <v>#N/A</v>
      </c>
      <c r="KJ292" s="217" t="e">
        <f t="shared" ca="1" si="1013"/>
        <v>#N/A</v>
      </c>
      <c r="KK292" s="218" t="e">
        <f t="shared" ca="1" si="1014"/>
        <v>#N/A</v>
      </c>
      <c r="KL292" s="274" t="e">
        <f ca="1">IF(Control!$B$26=3,4000000000*EXP(-8400/($G292+273)),IF(Control!$B$26=4,4000000000*EXP(-8400/($G292+273))*($KT292),0))</f>
        <v>#DIV/0!</v>
      </c>
      <c r="KM292" s="274" t="e">
        <f ca="1">IF(Control!$B$26=3,5600000000000*EXP(-9800/($G292+273)),IF(Control!$B$26=4,5600000000000*EXP(-9800/($G292+273))*$KT292,0))</f>
        <v>#DIV/0!</v>
      </c>
      <c r="KN292" s="454" t="e">
        <f t="shared" ca="1" si="1112"/>
        <v>#DIV/0!</v>
      </c>
      <c r="KO292" s="274" t="e">
        <f t="shared" ca="1" si="1113"/>
        <v>#DIV/0!</v>
      </c>
      <c r="KP292" s="454" t="e">
        <f t="shared" ca="1" si="1015"/>
        <v>#DIV/0!</v>
      </c>
      <c r="KQ292" s="454" t="e">
        <f t="shared" ca="1" si="1016"/>
        <v>#DIV/0!</v>
      </c>
      <c r="KR292" s="454" t="e">
        <f t="shared" ca="1" si="1017"/>
        <v>#DIV/0!</v>
      </c>
      <c r="KS292" s="454" t="e">
        <f t="shared" ca="1" si="1018"/>
        <v>#DIV/0!</v>
      </c>
      <c r="KT292" s="455" t="e">
        <f t="shared" ca="1" si="1019"/>
        <v>#DIV/0!</v>
      </c>
      <c r="KU292" s="456" t="e">
        <f ca="1">IF($CP292-Control!$C$149&lt;0, IF($NT292-0.01&lt;0,0,1),0)</f>
        <v>#N/A</v>
      </c>
      <c r="KV292" s="456" t="e">
        <f ca="1">IF(Control!$C$114=1,MAX(0,MIN(Control!$C$125*$KW292*$GN292,$KW292)))</f>
        <v>#DIV/0!</v>
      </c>
      <c r="KW292" s="456" t="e">
        <f t="shared" ca="1" si="1146"/>
        <v>#DIV/0!</v>
      </c>
      <c r="KX292" s="457" t="e">
        <f ca="1">IF($CP292-Control!$C$149&lt;0, IF($MR292-$OM292&lt;0,0,1),0)</f>
        <v>#N/A</v>
      </c>
      <c r="KY292" s="167">
        <f t="shared" ca="1" si="1114"/>
        <v>288</v>
      </c>
      <c r="KZ292" s="168">
        <f ca="1">1370*(1+0.033*COS(2*Control!$C$138*$AH292/365))</f>
        <v>1380.9797443751534</v>
      </c>
      <c r="LA292" s="169">
        <f t="shared" ca="1" si="1115"/>
        <v>1.0080140408291658</v>
      </c>
      <c r="LB292" s="169">
        <f t="shared" ca="1" si="1116"/>
        <v>-0.16904851469590629</v>
      </c>
      <c r="LC292" s="169">
        <f ca="1">ACOS(-TAN((2*Control!$B$8/360))*TAN(Calculations!$LB292))</f>
        <v>1.5200486720835895</v>
      </c>
      <c r="LD292" s="169">
        <f ca="1">((24*60)/PI())*0.082*$LA292*(($LC292*SIN(Control!$B$8*2*PI()/360))*SIN($LB292)+COS(Control!$B$8*2*PI()/360)*COS($LB292)*SIN($LC292))</f>
        <v>15.328360701015049</v>
      </c>
      <c r="LE292" s="170">
        <f t="shared" ca="1" si="1020"/>
        <v>15.991469529813337</v>
      </c>
      <c r="LF292" s="170">
        <f ca="1">SIN(Control!$C$139*Control!$B$8)*SIN($HD292)</f>
        <v>-0.12714049259319049</v>
      </c>
      <c r="LG292" s="170">
        <f ca="1">COS(Control!$C$139*Control!$B$8)*COS($HD292)</f>
        <v>0.60759363603893035</v>
      </c>
      <c r="LH292" s="170">
        <f ca="1">12*(1+2*ASIN(MAX(-1,MIN(1,$LF292/$LG292))/Control!$C$138))</f>
        <v>10.4002479537835</v>
      </c>
      <c r="LI292" s="170">
        <f ca="1">12*(1+2*ASIN(MAX(-1,MIN(1,(-SIN(-4*Control!$C$139)+$LF292)/$LG292))/Control!$C$138))</f>
        <v>11.278390399182042</v>
      </c>
      <c r="LJ292" s="168">
        <f ca="1">3600*($LH292*$LF292+24*$LG292*SQRT(1-$LK292*$LK292)/Control!$C$138)</f>
        <v>11579.800207025437</v>
      </c>
      <c r="LK292" s="170">
        <f t="shared" ca="1" si="1021"/>
        <v>-0.20925250867019321</v>
      </c>
      <c r="LL292" s="170">
        <f t="shared" ca="1" si="1022"/>
        <v>0</v>
      </c>
      <c r="LM292" s="171">
        <f ca="1">Control!$C$145*$AB292</f>
        <v>6.6660906138995932E-2</v>
      </c>
      <c r="LN292" s="170">
        <f t="shared" ca="1" si="1117"/>
        <v>0.54</v>
      </c>
      <c r="LO292" s="170">
        <f t="shared" ca="1" si="1023"/>
        <v>0</v>
      </c>
      <c r="LP292" s="170">
        <f ca="1">Control!$C$140*((($D292+273.16)^4+($E292+273.16)^4)/2)*(0.34-0.14*SQRT($Y292))*(1.35*$AQ292/(0.75*$LD292)-0.35)</f>
        <v>-3.2464704755046001</v>
      </c>
      <c r="LQ292" s="170">
        <f ca="1">Control!$C$140*($G292+273)^4*(0.56-0.079*SQRT($Y292*10))*(0.1+0.9*$LO292)</f>
        <v>1.5241745131704001</v>
      </c>
      <c r="LR292" s="170">
        <f ca="1">$AQ292*(1-Control!$C$142)-$LQ292</f>
        <v>-1.5241745131704001</v>
      </c>
      <c r="LS292" s="170">
        <f ca="1">$AQ292*(1-Control!$C$143)-$LQ292</f>
        <v>-1.5241745131704001</v>
      </c>
      <c r="LT292" s="170">
        <f ca="1">$AQ292*(1-Control!$C$144)-$LQ292</f>
        <v>-1.5241745131704001</v>
      </c>
      <c r="LU292" s="169">
        <f ca="1">(1-Control!$C$144)*AQ292-LP292</f>
        <v>3.2464704755046001</v>
      </c>
      <c r="LV292" s="172">
        <f t="shared" ca="1" si="1024"/>
        <v>0.79430000000000012</v>
      </c>
      <c r="LW292" s="170">
        <f t="shared" ca="1" si="1025"/>
        <v>1.5886000000000002</v>
      </c>
      <c r="LX292" s="170">
        <f ca="1">($AC292*($LR292/Control!$C$141)+$LM292*$LV292)/($AC292+$LM292)</f>
        <v>0.23530094218323697</v>
      </c>
      <c r="LY292" s="170">
        <f ca="1">($AC292*($LS292/Control!$C$141)+$LM292*$LV292)/($AC292+$LM292)</f>
        <v>0.23530094218323697</v>
      </c>
      <c r="LZ292" s="170">
        <f t="shared" ca="1" si="1026"/>
        <v>0.23530094218323697</v>
      </c>
      <c r="MA292" s="170">
        <f t="shared" ca="1" si="1027"/>
        <v>0.23530094218323697</v>
      </c>
      <c r="MB292" s="170" t="e">
        <f t="shared" ca="1" si="1028"/>
        <v>#N/A</v>
      </c>
      <c r="MC292" s="170">
        <f t="shared" ca="1" si="1118"/>
        <v>0.6018</v>
      </c>
      <c r="MD292" s="170">
        <f t="shared" ca="1" si="1029"/>
        <v>0.52989392535414004</v>
      </c>
      <c r="ME292" s="170">
        <f ca="1">($AC292*($LT292/Control!$C$141)+$LM292*$LW292)/($AC292+$LM292)</f>
        <v>0.71612369323045078</v>
      </c>
      <c r="MF292" s="170" t="e">
        <f ca="1">IF(Control!$B$16&gt;=1000,0.92,IF(AND(720&lt;=Control!$B$16,1000&gt;Control!$B$16),(0.95+(Control!$B$16-720)*((0.92-0.95)/(1000-720))),IF(AND(360&lt;=Control!$B$16,720&gt;Control!$B$16),(1+(Control!$B$16-360)*((0.95-1)/(720-360))),IF(AND(40&lt;=Control!$B$16,360&gt;Control!$B$16),(1.05+(Control!$B$16-40)*((1.05-1)/(360-40)))))))</f>
        <v>#N/A</v>
      </c>
      <c r="MG292" s="170">
        <f t="shared" ca="1" si="1030"/>
        <v>0.71612369323045078</v>
      </c>
      <c r="MH292" s="170" t="e">
        <f t="shared" ca="1" si="1156"/>
        <v>#N/A</v>
      </c>
      <c r="MI292" s="170" t="e">
        <f t="shared" ca="1" si="1156"/>
        <v>#N/A</v>
      </c>
      <c r="MJ292" s="170" t="e">
        <f ca="1">MAX(0.0001, Control!$C$132*$MI292*$DL292)</f>
        <v>#N/A</v>
      </c>
      <c r="MK292" s="170">
        <f ca="1">1/(0.76+1.5*($MG292/10))-(5-Control!$C$110)*0.1</f>
        <v>1.002845988140797</v>
      </c>
      <c r="ML292" s="173">
        <f ca="1">IF(Control!$C$110&lt;3,$MK292+($MG292-0.6)/(Control!$C$110*(Control!$C$110+3)), MAX(0.1, MIN(0.95,$MK292)))</f>
        <v>0.95</v>
      </c>
      <c r="MM292" s="173">
        <f ca="1">IF(Control!$C$110&lt;3,$MK292+(($MI292/10)-0.6)/(Control!$C$110*(Control!$C$110+3)), MAX(0.1, MIN(0.95,$MK292)))</f>
        <v>0.95</v>
      </c>
      <c r="MN292" s="173">
        <f ca="1">(1-$MM292)*(Control!$C$128-Control!$C$127)+Control!$C$127</f>
        <v>0.16</v>
      </c>
      <c r="MO292" s="170" t="e">
        <f ca="1">MAX(0,MIN(1,($MS292-Control!$C$127)/($MN292-Control!$C$127)))</f>
        <v>#DIV/0!</v>
      </c>
      <c r="MP292" s="173" t="e">
        <f ca="1">1/(0.76+1.5*$MI292)-(5-Control!$C$110)*0.1</f>
        <v>#N/A</v>
      </c>
      <c r="MQ292" s="172" t="e">
        <f t="shared" ca="1" si="1147"/>
        <v>#DIV/0!</v>
      </c>
      <c r="MR292" s="168" t="e">
        <f t="shared" ca="1" si="1119"/>
        <v>#DIV/0!</v>
      </c>
      <c r="MS292" s="173" t="e">
        <f ca="1">MAX(Control!$C$127, MIN(Control!$C$135, $MR292/MAX(0.0001,$CY292)))</f>
        <v>#DIV/0!</v>
      </c>
      <c r="MT292" s="168" t="e">
        <f ca="1">(Control!$C$128-$MS292)*Control!$C$74</f>
        <v>#DIV/0!</v>
      </c>
      <c r="MU292" s="168" t="e">
        <f ca="1">(Control!$C$135-$MS292)*Control!$C$74</f>
        <v>#DIV/0!</v>
      </c>
      <c r="MV292" s="168" t="e">
        <f t="shared" ca="1" si="1120"/>
        <v>#DIV/0!</v>
      </c>
      <c r="MW292" s="168" t="e">
        <f t="shared" ca="1" si="1121"/>
        <v>#DIV/0!</v>
      </c>
      <c r="MX292" s="171" t="e">
        <f ca="1">MAX(Control!$C$127, MIN(Control!$C$135, $MW292/MAX(0.0001,Control!$C$119-$CY292)))</f>
        <v>#DIV/0!</v>
      </c>
      <c r="MY292" s="54" t="e">
        <f ca="1">IF(Control!$C$114=1, $CX292*$MX292, 0)</f>
        <v>#DIV/0!</v>
      </c>
      <c r="MZ292" s="54" t="e">
        <f t="shared" ca="1" si="1122"/>
        <v>#N/A</v>
      </c>
      <c r="NA292" s="168" t="e">
        <f ca="1">(Control!$C$128-$MX292)*(Control!$C$119-Control!$C$74)</f>
        <v>#DIV/0!</v>
      </c>
      <c r="NB292" s="168" t="e">
        <f ca="1">(Control!$C$135-$MX292)*(Control!$C$119-Control!$C$74)</f>
        <v>#DIV/0!</v>
      </c>
      <c r="NC292" s="174" t="e">
        <f t="shared" ca="1" si="1123"/>
        <v>#DIV/0!</v>
      </c>
      <c r="ND292" s="54">
        <f ca="1">IF(Control!$C$58=2, IF(OR(Control!$B$218=$AH292,Control!$B$219=$AH292, Control!$B$220=$AH292, Control!$B$221=$AH292, Control!$B$222=$AH292, Control!$B$223=$AH292, Control!$B$224=$AH292, Control!$B$225=$AH292, Control!$B$226=$AH292, Control!$B$227=$AH292, Control!$B$228=$AH292), 1, 0), 0)</f>
        <v>0</v>
      </c>
      <c r="NE292" s="54">
        <f ca="1">IF($ND292=0,0, VLOOKUP($AH292,Control!$B$218:$C$228,2))</f>
        <v>0</v>
      </c>
      <c r="NF292" s="168" t="e">
        <f ca="1">$CY292*(Control!$C$128-Control!$C$127)</f>
        <v>#N/A</v>
      </c>
      <c r="NG292" s="54" t="e">
        <f ca="1">IF(Control!$C$58=2, $NI291-$NJ291, 0)</f>
        <v>#DIV/0!</v>
      </c>
      <c r="NH292" s="54" t="e">
        <f ca="1">IF(AND(Control!$C$58=1, $MS291&lt;= ($MN291+0.02), $I291&lt;10), 0, IF(Control!$C$58=2, $NG291, 0))</f>
        <v>#DIV/0!</v>
      </c>
      <c r="NI292" s="54" t="e">
        <f ca="1">IF(Control!$C$58=2, $NE292+$NH292,0)</f>
        <v>#DIV/0!</v>
      </c>
      <c r="NJ292" s="54" t="e">
        <f ca="1">IF(AND(Control!$C$58=1, $MS292&lt;= ($MN292+0.02), $I292&lt;10), MAX(0, MIN(10, 0.7*($NF292-$MV292))), IF(Control!$C$58=2, MIN(10,$NI292),0))</f>
        <v>#DIV/0!</v>
      </c>
      <c r="NK292" s="54" t="e">
        <f t="shared" ca="1" si="1031"/>
        <v>#DIV/0!</v>
      </c>
      <c r="NL292" s="173" t="e">
        <f ca="1">(1-Control!$C$73)*$I292+$NJ292</f>
        <v>#DIV/0!</v>
      </c>
      <c r="NM292" s="172" t="e">
        <f ca="1">IF($NL292&lt;0.5, $MB292* MAX(0, MIN(1, (SQRT($NC292)-SQRT($NC292-1))*Control!$C$71)),0)</f>
        <v>#DIV/0!</v>
      </c>
      <c r="NN292" s="170" t="e">
        <f ca="1">IF($NL292&gt;=5, $MB292, MAX(0,MIN($MB292, $NM292+$NL292,($MS292-Control!$C$129))))</f>
        <v>#DIV/0!</v>
      </c>
      <c r="NO292" s="54">
        <f>IF(Control!$C$133&lt;&gt;1, Control!$C$135-Control!$C$131, 0)</f>
        <v>0.38</v>
      </c>
      <c r="NP292" s="54" t="e">
        <f t="shared" ca="1" si="1032"/>
        <v>#DIV/0!</v>
      </c>
      <c r="NQ292" s="173" t="e">
        <f ca="1">MAX(0,MIN(1,(Control!$C$135-$MS292)/(Control!$C$135-$NO292)))</f>
        <v>#DIV/0!</v>
      </c>
      <c r="NR292" s="170" t="e">
        <f ca="1">IF(Control!$C$133&lt;&gt;1, $NQ292+((1-$NP292/4)*(1-$NQ292)),1)</f>
        <v>#DIV/0!</v>
      </c>
      <c r="NS292" s="170" t="e">
        <f ca="1">IF(Control!$B$31=0,$MJ292,MAX(0,MIN($MV292,$MO292*$NR292*$MJ292)))</f>
        <v>#DIV/0!</v>
      </c>
      <c r="NT292" s="170" t="e">
        <f t="shared" ca="1" si="1148"/>
        <v>#DIV/0!</v>
      </c>
      <c r="NU292" s="170" t="e">
        <f t="shared" ca="1" si="1124"/>
        <v>#N/A</v>
      </c>
      <c r="NV292" s="170" t="e">
        <f t="shared" ca="1" si="1033"/>
        <v>#N/A</v>
      </c>
      <c r="NW292" s="175" t="e">
        <f t="shared" ca="1" si="1034"/>
        <v>#DIV/0!</v>
      </c>
      <c r="NX292" s="170" t="e">
        <f ca="1">MIN(Control!$C$72+$MU292, $NW292)</f>
        <v>#DIV/0!</v>
      </c>
      <c r="NY292" s="170" t="e">
        <f ca="1">IF($MT292&lt;=$NX292,MIN(Control!$C$72+$NB292,$NX292-$MT292),0)</f>
        <v>#DIV/0!</v>
      </c>
      <c r="NZ292" s="54" t="e">
        <f ca="1">IF(Control!$C$114=1,  $CX292*($MX292-Control!$C$127), 0)</f>
        <v>#DIV/0!</v>
      </c>
      <c r="OA292" s="170" t="e">
        <f t="shared" ca="1" si="1035"/>
        <v>#DIV/0!</v>
      </c>
      <c r="OB292" s="170" t="e">
        <f ca="1">IF($NA292 &lt;=$NY292, MIN(Control!$C$72, $NY292-$NA292), 0)</f>
        <v>#DIV/0!</v>
      </c>
      <c r="OC292" s="168" t="e">
        <f t="shared" ca="1" si="1036"/>
        <v>#DIV/0!</v>
      </c>
      <c r="OD292" s="168" t="e">
        <f t="shared" ca="1" si="1125"/>
        <v>#DIV/0!</v>
      </c>
      <c r="OE292" s="170">
        <f ca="1">Control!$C$73*$I292</f>
        <v>0</v>
      </c>
      <c r="OF292" s="176" t="e">
        <f t="shared" ca="1" si="1037"/>
        <v>#DIV/0!</v>
      </c>
      <c r="OG292" s="168" t="e">
        <f t="shared" ca="1" si="1038"/>
        <v>#DIV/0!</v>
      </c>
      <c r="OH292" s="168" t="e">
        <f t="shared" ca="1" si="1039"/>
        <v>#DIV/0!</v>
      </c>
      <c r="OI292" s="168" t="e">
        <f t="shared" ca="1" si="1040"/>
        <v>#DIV/0!</v>
      </c>
      <c r="OJ292" s="168" t="e">
        <f t="shared" ca="1" si="1041"/>
        <v>#DIV/0!</v>
      </c>
      <c r="OK292" s="204" t="e">
        <f t="shared" ca="1" si="1042"/>
        <v>#DIV/0!</v>
      </c>
      <c r="OL292" s="177">
        <f>Control!$C$127</f>
        <v>0.15</v>
      </c>
      <c r="OM292" s="182" t="e">
        <f t="shared" ca="1" si="1043"/>
        <v>#N/A</v>
      </c>
      <c r="ON292" s="177">
        <f>Control!$C$128</f>
        <v>0.35</v>
      </c>
      <c r="OO292" s="182" t="e">
        <f t="shared" ca="1" si="1044"/>
        <v>#N/A</v>
      </c>
      <c r="OP292" s="138">
        <f t="shared" ca="1" si="1126"/>
        <v>0</v>
      </c>
      <c r="OQ292" s="138" t="e">
        <f t="shared" ca="1" si="1149"/>
        <v>#DIV/0!</v>
      </c>
      <c r="OR292" s="138" t="e">
        <f t="shared" ca="1" si="1127"/>
        <v>#DIV/0!</v>
      </c>
      <c r="OS292" s="137" t="e">
        <f t="shared" ca="1" si="1150"/>
        <v>#DIV/0!</v>
      </c>
      <c r="OT292" s="139" t="e">
        <f t="shared" ca="1" si="1151"/>
        <v>#DIV/0!</v>
      </c>
      <c r="OU292" s="138" t="e">
        <f t="shared" ca="1" si="1152"/>
        <v>#N/A</v>
      </c>
      <c r="OV292" s="138" t="e">
        <f t="shared" ca="1" si="1153"/>
        <v>#DIV/0!</v>
      </c>
      <c r="OW292" s="138" t="e">
        <f t="shared" ca="1" si="1128"/>
        <v>#DIV/0!</v>
      </c>
      <c r="OX292" s="138" t="e">
        <f t="shared" ca="1" si="1129"/>
        <v>#DIV/0!</v>
      </c>
      <c r="OY292" s="138" t="e">
        <f t="shared" ca="1" si="1130"/>
        <v>#DIV/0!</v>
      </c>
      <c r="OZ292" s="138" t="e">
        <f t="shared" ca="1" si="1045"/>
        <v>#DIV/0!</v>
      </c>
      <c r="PA292" s="138" t="e">
        <f t="shared" ca="1" si="1046"/>
        <v>#DIV/0!</v>
      </c>
      <c r="PB292" s="55">
        <f>IF(Control!$C$61="T", IF(Control!$C$65="F", IF($AH$6-Control!$C$60&lt;0,0,1), IF(365+$AH$6-Control!$C$60&lt;0,0,1)),0)</f>
        <v>0</v>
      </c>
      <c r="PC292" s="55">
        <f ca="1">IF(Control!$C$65="F", IF($AH$6-$HF292&lt;0,0,1), IF(365+$AH$6-$HF292&lt;0,0,1))</f>
        <v>1</v>
      </c>
      <c r="PD292" s="444">
        <f>Control!$C$118</f>
        <v>1500</v>
      </c>
      <c r="PE292" s="180" t="e">
        <f t="shared" ca="1" si="1047"/>
        <v>#N/A</v>
      </c>
      <c r="PF292" s="445">
        <f t="shared" ca="1" si="1131"/>
        <v>0.71612369323045078</v>
      </c>
      <c r="PT292" s="186"/>
      <c r="PU292" s="186"/>
      <c r="PV292" s="94"/>
      <c r="PW292" s="94"/>
      <c r="PX292" s="94"/>
      <c r="PY292" s="94"/>
      <c r="PZ292" s="94"/>
      <c r="QA292" s="94"/>
      <c r="QB292" s="94"/>
      <c r="QC292" s="94"/>
      <c r="QD292" s="94"/>
      <c r="QE292" s="94"/>
      <c r="QF292" s="94"/>
      <c r="QG292" s="94"/>
      <c r="QH292" s="94"/>
      <c r="QI292" s="94"/>
      <c r="QJ292" s="94"/>
      <c r="QK292" s="94"/>
      <c r="QL292" s="94"/>
      <c r="QM292" s="94"/>
      <c r="QN292" s="94"/>
      <c r="QO292" s="94"/>
      <c r="QP292" s="94"/>
    </row>
    <row r="293" spans="1:458" s="2" customFormat="1" x14ac:dyDescent="0.2">
      <c r="A293" s="395">
        <v>15</v>
      </c>
      <c r="B293" s="396">
        <v>10</v>
      </c>
      <c r="C293" s="387">
        <f ca="1">Weather_data!$B292</f>
        <v>0</v>
      </c>
      <c r="D293" s="388">
        <f ca="1">Weather_data!$F292</f>
        <v>0</v>
      </c>
      <c r="E293" s="388">
        <f ca="1">Weather_data!$E292</f>
        <v>0</v>
      </c>
      <c r="F293" s="388">
        <f t="shared" ca="1" si="1048"/>
        <v>0</v>
      </c>
      <c r="G293" s="388">
        <f ca="1">AVERAGE($D293:$E293)+Control!$B$9</f>
        <v>0</v>
      </c>
      <c r="H293" s="388">
        <f ca="1">Weather_data!$G292</f>
        <v>0</v>
      </c>
      <c r="I293" s="388">
        <f ca="1">Weather_data!$I292</f>
        <v>0</v>
      </c>
      <c r="J293" s="388">
        <f ca="1">Weather_data!$H292</f>
        <v>0</v>
      </c>
      <c r="K293" s="389">
        <f ca="1">Weather_data!$D292</f>
        <v>0</v>
      </c>
      <c r="L293" s="388" t="e">
        <f t="shared" ca="1" si="1049"/>
        <v>#N/A</v>
      </c>
      <c r="M293" s="388" t="e">
        <f t="shared" ca="1" si="927"/>
        <v>#N/A</v>
      </c>
      <c r="N293" s="388">
        <f t="shared" ca="1" si="928"/>
        <v>-3.6861263151656912E-14</v>
      </c>
      <c r="O293" s="388">
        <f t="shared" ca="1" si="1050"/>
        <v>3.6861263151656914E-13</v>
      </c>
      <c r="P293" s="390">
        <v>3</v>
      </c>
      <c r="Q293" s="388">
        <f ca="1">MAX($G293-Control!$C$107,0)</f>
        <v>0</v>
      </c>
      <c r="R293" s="388">
        <f t="shared" ca="1" si="1051"/>
        <v>0</v>
      </c>
      <c r="S293" s="388">
        <f t="shared" ca="1" si="929"/>
        <v>0</v>
      </c>
      <c r="T293" s="388">
        <f t="shared" ca="1" si="930"/>
        <v>0</v>
      </c>
      <c r="U293" s="59">
        <f t="shared" ca="1" si="931"/>
        <v>0</v>
      </c>
      <c r="V293" s="391">
        <f ca="1">MAX(0,MIN(Control!$C$100-Control!$C$99,$G293-Control!$C$99)*Control!$C$63)</f>
        <v>0</v>
      </c>
      <c r="W293" s="388">
        <f t="shared" ca="1" si="1052"/>
        <v>0</v>
      </c>
      <c r="X293" s="388">
        <f t="shared" ca="1" si="1053"/>
        <v>0.6110000000000001</v>
      </c>
      <c r="Y293" s="388">
        <f t="shared" ca="1" si="932"/>
        <v>0</v>
      </c>
      <c r="Z293" s="388">
        <f t="shared" ca="1" si="1054"/>
        <v>0.61058800000000002</v>
      </c>
      <c r="AA293" s="388">
        <f t="shared" ca="1" si="933"/>
        <v>0.6018</v>
      </c>
      <c r="AB293" s="388">
        <f ca="1">101.3*EXP(-0.034*Control!$C$66/($G293+273))</f>
        <v>100.69623283836242</v>
      </c>
      <c r="AC293" s="392">
        <f t="shared" ca="1" si="934"/>
        <v>4.3460251046025113E-2</v>
      </c>
      <c r="AD293" s="392">
        <f t="shared" ca="1" si="935"/>
        <v>4.4450382862832649E-2</v>
      </c>
      <c r="AE293" s="388">
        <f t="shared" ca="1" si="936"/>
        <v>0</v>
      </c>
      <c r="AF293" s="388">
        <f ca="1">MAX(0,$G293-Control!$C$92)</f>
        <v>0</v>
      </c>
      <c r="AG293" s="393">
        <f t="shared" ca="1" si="937"/>
        <v>289</v>
      </c>
      <c r="AH293" s="389">
        <f t="shared" ca="1" si="938"/>
        <v>289</v>
      </c>
      <c r="AI293" s="388">
        <f t="shared" ca="1" si="1055"/>
        <v>-0.16837568783209897</v>
      </c>
      <c r="AJ293" s="388">
        <f ca="1">IF(Control!$C$60&lt;=0,$HH293,$HI293)</f>
        <v>1</v>
      </c>
      <c r="AK293" s="388">
        <f t="shared" ca="1" si="939"/>
        <v>3.5977691210973526</v>
      </c>
      <c r="AL293" s="388">
        <f t="shared" ca="1" si="940"/>
        <v>-6.672528848894465E-18</v>
      </c>
      <c r="AM293" s="388">
        <f t="shared" ca="1" si="941"/>
        <v>3.5977691210973526</v>
      </c>
      <c r="AN293" s="388">
        <f t="shared" ca="1" si="942"/>
        <v>-0.17614788190415645</v>
      </c>
      <c r="AO293" s="388">
        <f ca="1">-0.10453/COS(Control!$B$8*PI()/180)*COS(AN293)</f>
        <v>-0.16715761911820551</v>
      </c>
      <c r="AP293" s="388">
        <f ca="1">ACOS(AO293-TAN(Control!$B$8*PI()/180)*TAN(AN293))</f>
        <v>1.5100965085235523</v>
      </c>
      <c r="AQ293" s="388">
        <f t="shared" ca="1" si="1056"/>
        <v>0</v>
      </c>
      <c r="AR293" s="394">
        <f t="shared" ca="1" si="943"/>
        <v>0</v>
      </c>
      <c r="AS293" s="436">
        <f ca="1">IF(Control!$B$18=2,(IF(OR($AH293=Control!$B$175,$AH293=Control!$B$176,$AH293=Control!$B$177,$AH293=Control!$B$178,$AH293=Control!$B$179,$AH293=Control!$B$180,$AH293=Control!$B$181,$AH293=Control!$B$182,$AH293=Control!$B$183,$AH293=Control!$B$184,$AH293=Control!$B$185),1,0)),0)</f>
        <v>0</v>
      </c>
      <c r="AT293" s="436">
        <f>IF(Control!$B$20=8,IF(AND($AH293&gt;=Control!$B$172,$AH293&lt;=Control!$B$173),1,0),0)</f>
        <v>0</v>
      </c>
      <c r="AU293" s="436">
        <f>IF(Control!$B$20=8,IF($AV292=1,1*$AT293,IF($AT293=1,$AU292+1,$AU292)),0)</f>
        <v>0</v>
      </c>
      <c r="AV293" s="436">
        <f>IF(Control!$B$20=8,IF($AU293&gt;=Control!$B$174,1,0),0)</f>
        <v>0</v>
      </c>
      <c r="AW293" s="436">
        <f ca="1">IF(AND(Control!$B$18=2,Control!$B$171=1), $AV293, $AS293)</f>
        <v>0</v>
      </c>
      <c r="AX293" s="436" t="e">
        <f ca="1">IF(AND(Control!$B$18=1,$EU293&gt;=Control!$B$19),-$AY293,IF(AND(Control!$B$18=2,$AW293=1,$EU293&gt;$DS293),-$AY293, IF(Control!$C$108=0,0, IF(Control!$C$108&lt;&gt;0,1))))</f>
        <v>#N/A</v>
      </c>
      <c r="AY293" s="436" t="e">
        <f t="shared" ca="1" si="1057"/>
        <v>#N/A</v>
      </c>
      <c r="AZ293" s="436" t="e">
        <f ca="1">IF(AND(Control!$B$18=1,$EB293&gt;Control!$B$19),$AZ292+1, IF(AND(Control!$B$18=2, $AW293=1, $EB293&gt;$DS293), $AZ292+1,$AZ292))</f>
        <v>#N/A</v>
      </c>
      <c r="BA293" s="587">
        <f>IF(Control!$C$81=0,1,IF($AH293&gt;=Control!$C$82,1,0))</f>
        <v>1</v>
      </c>
      <c r="BB293" s="140" t="e">
        <f ca="1">IF($BA293&gt;$BA292,Control!$C$83,IF($AW293&gt;0,$AW293*Control!$C$84,IF(AND(Control!$B$18=1,EN292&lt;&gt;0),Control!$C$84,0)))</f>
        <v>#N/A</v>
      </c>
      <c r="BC293" s="140" t="e">
        <f t="shared" ca="1" si="1058"/>
        <v>#N/A</v>
      </c>
      <c r="BD293" s="140" t="e">
        <f ca="1">BC293*IF(OR($G293&lt;Control!$C$92,$G293&gt;Control!$C$95),0,IF(AND($G293&gt;=Control!$C$92,$G293&lt;=Control!$C$93),$G293-Control!$C$92,IF(AND($G293&gt;Control!$C$93,$G293&lt;=Control!$C$94),Control!$C$93-Control!$C$92,IF(AND($G293&gt;Control!$C$94,$G293&lt;=Control!$C$95),(Control!$C$93-Control!$C$92)*(Control!$C$94-$G293)/(Control!$C$95-Control!$C$94)))))</f>
        <v>#N/A</v>
      </c>
      <c r="BE293" s="140" t="e">
        <f t="shared" ca="1" si="1059"/>
        <v>#N/A</v>
      </c>
      <c r="BF293" s="140" t="e">
        <f ca="1">IF($BE293&lt;=Control!$C$86,$BE293,Control!$C$86-$BE293)</f>
        <v>#N/A</v>
      </c>
      <c r="BG293" s="140" t="e">
        <f ca="1">IF(AND($AW293=1,Control!$C$84&lt;9),1,IF($BE293&gt;=Control!$C$86,0,$BC293))</f>
        <v>#N/A</v>
      </c>
      <c r="BH293" s="404" t="e">
        <f ca="1">IF($BG293=0,0,IF($BE293&lt;=Control!$C$86,$BC293*9*($BF293/Control!$C$86),0))</f>
        <v>#N/A</v>
      </c>
      <c r="BI293" s="140" t="e">
        <f ca="1">IF($BG293=1,0,IF($BE293&gt;=Control!$C$86,1,IF(AND($BB293&lt;21,$BB293&gt;=9),1,$BM292)))</f>
        <v>#N/A</v>
      </c>
      <c r="BJ293" s="140" t="e">
        <f ca="1">IF($BF293&lt;0,-$BF293,$BI293*IF(OR($G293&lt;Control!$C$92,$G293&gt;Control!$C$95),0,IF(AND($G293&gt;=Control!$C$92,$G293&lt;=Control!$C$93),$G293-Control!$C$92,IF(AND($G293&gt;Control!$C$93,$G293&lt;=Control!$C$94),Control!$C$93-Control!$C$92,IF(AND($G293&gt;Control!$C$94,$G293&lt;=Control!$C$95),(Control!$C$93-Control!$C$92)*(Control!$C$94-$G293)/(Control!$C$95-Control!$C$94))))))</f>
        <v>#N/A</v>
      </c>
      <c r="BK293" s="140" t="e">
        <f t="shared" ca="1" si="1060"/>
        <v>#N/A</v>
      </c>
      <c r="BL293" s="140" t="e">
        <f ca="1">IF($BK293&lt;=Control!$C$87,$BK293,Control!$C$87-$BK293)</f>
        <v>#N/A</v>
      </c>
      <c r="BM293" s="140" t="e">
        <f ca="1">IF(AND($BB293&gt;=9,$BB293&lt;21),1,IF($BK293&gt;=Control!$C$87,0,$BI293))</f>
        <v>#N/A</v>
      </c>
      <c r="BN293" s="404" t="e">
        <f ca="1">IF($BM293=0,0,IF($BK293&lt;=Control!$C$87,$BI293*(9+(21-9)*($BL293/Control!$C$87)),0))</f>
        <v>#N/A</v>
      </c>
      <c r="BO293" s="140" t="e">
        <f ca="1">IF($BM293=1,0,IF($BK293&gt;=Control!$C$87,1,IF(AND($BB293&lt;30,$BB293&gt;=21),1,$BS292)))</f>
        <v>#N/A</v>
      </c>
      <c r="BP293" s="140" t="e">
        <f ca="1">IF($BL293&lt;0,-$BL293,$BO293*IF(OR($G293&lt;Control!$C$92,$G293&gt;Control!$C$95),0,IF(AND($G293&gt;=Control!$C$92,$G293&lt;=Control!$C$93),$G293-Control!$C$92,IF(AND($G293&gt;Control!$C$93,$G293&lt;=Control!$C$94),Control!$C$93-Control!$C$92,IF(AND($G293&gt;Control!$C$94,$G293&lt;=Control!$C$95),(Control!$C$93-Control!$C$92)*(Control!$C$94-$G293)/(Control!$C$95-Control!$C$94))))))</f>
        <v>#N/A</v>
      </c>
      <c r="BQ293" s="140" t="e">
        <f t="shared" ca="1" si="944"/>
        <v>#N/A</v>
      </c>
      <c r="BR293" s="140" t="e">
        <f ca="1">IF($BQ293&lt;=Control!$C$88,$BQ293,Control!$C$88-$BQ293)</f>
        <v>#N/A</v>
      </c>
      <c r="BS293" s="140" t="e">
        <f ca="1">IF(AND($BB293&gt;=21,$BB293&lt;30),1,IF($BQ293&gt;=Control!$C$88,0,$BO293))</f>
        <v>#N/A</v>
      </c>
      <c r="BT293" s="404" t="e">
        <f ca="1">IF($BS293=0,0,IF($BQ293&lt;=Control!$C$88,$BO293*(21+(30-21)*(BR293/Control!$C$88)),0))</f>
        <v>#N/A</v>
      </c>
      <c r="BU293" s="140" t="e">
        <f ca="1">IF(BG293+BM293+BS293=1,0,IF(OR(AND($BB293&lt;60,$BB293&gt;=30),$BQ293&gt;=Control!$C$88),1*$BA293,$BY292))</f>
        <v>#N/A</v>
      </c>
      <c r="BV293" s="140" t="e">
        <f ca="1">IF($BR293&lt;0,-$BR293,$BU293*IF(OR($G293&lt;Control!$C$92,$G293&gt;Control!$C$95),0,IF(AND($G293&gt;=Control!$C$92,$G293&lt;=Control!$C$93),$G293-Control!$C$92,IF(AND($G293&gt;Control!$C$93,$G293&lt;=Control!$C$94),Control!$C$93-Control!$C$92,IF(AND($G293&gt;Control!$C$94,$G293&lt;=Control!$C$95),(Control!$C$93-Control!$C$92)*(Control!$C$94-$G293)/(Control!$C$95-Control!$C$94))))))</f>
        <v>#N/A</v>
      </c>
      <c r="BW293" s="140" t="e">
        <f t="shared" ca="1" si="945"/>
        <v>#N/A</v>
      </c>
      <c r="BX293" s="140" t="e">
        <f ca="1">IF($BW293&lt;=Control!$C$89,$BW293,Control!$C$89-$BW293)</f>
        <v>#N/A</v>
      </c>
      <c r="BY293" s="140" t="e">
        <f ca="1">IF(AND($AJ293&gt;=30,$AJ293&lt;60),1,IF($BW293&gt;=Control!$C$89,0,$BU293))</f>
        <v>#N/A</v>
      </c>
      <c r="BZ293" s="404" t="e">
        <f ca="1">IF($BY293=0,0,IF($BW293&lt;=Control!$C$89,$BU293*(30+(60-30)*(BX293/Control!$C$89)),0))</f>
        <v>#N/A</v>
      </c>
      <c r="CA293" s="140" t="e">
        <f ca="1">IF($BG293+$BM293+$BS293+$BY293=1,0,IF(OR(AND($BB293&lt;65,$BB293&gt;=60),$BW293&gt;=Control!$C$89),1*$BA293,$CE292))</f>
        <v>#N/A</v>
      </c>
      <c r="CB293" s="140" t="e">
        <f ca="1">IF($BX293&lt;0,-$BX293,$CA293*IF(OR($G293&lt;Control!$C$92,$G293&gt;Control!$C$95),0,IF(AND($G293&gt;=Control!$C$92,$G293&lt;=Control!$C$93),$G293-Control!$C$92,IF(AND($G293&gt;Control!$C$93,$G293&lt;=Control!$C$94),Control!$C$93-Control!$C$92,IF(AND($G293&gt;Control!$C$94,$G293&lt;=Control!$C$95),(Control!$C$93-Control!$C$92)*(Control!$C$94-$G293)/(Control!$C$95-Control!$C$94))))))</f>
        <v>#N/A</v>
      </c>
      <c r="CC293" s="140" t="e">
        <f t="shared" ca="1" si="1061"/>
        <v>#N/A</v>
      </c>
      <c r="CD293" s="140" t="e">
        <f ca="1">IF($CC293&lt;=Control!$C$90,$CC293,Control!$C$90-$CC293)</f>
        <v>#N/A</v>
      </c>
      <c r="CE293" s="140" t="e">
        <f ca="1">IF(AND($BB293&gt;=60,$BB293&lt;65),1,IF($CC293&gt;=Control!$C$90,0,$CA293))</f>
        <v>#N/A</v>
      </c>
      <c r="CF293" s="404" t="e">
        <f ca="1">IF($CE293=0,0,IF($CC293&lt;=Control!$C$90,$CA293*(60+(65-60)*(CD293/Control!$C$90)),0))</f>
        <v>#N/A</v>
      </c>
      <c r="CG293" s="140" t="e">
        <f ca="1">IF($BG293+$BM293+$BS293+$BY293+$CE293=1,0,IF(OR(AND($BB293&lt;90,$BB293&gt;=65),$CC293&gt;=Control!$C$90),$BA293,$CK292))</f>
        <v>#N/A</v>
      </c>
      <c r="CH293" s="140" t="e">
        <f ca="1">IF($CD293&lt;0,-$CD293,$CG293*IF(OR($G293&lt;Control!$C$92,$G293&gt;Control!$C$95),0,IF(AND($G293&gt;=Control!$C$92,$G293&lt;=Control!$C$93),$G293-Control!$C$92,IF(AND($G293&gt;Control!$C$93,$G293&lt;=Control!$C$94),Control!$C$93-Control!$C$92,IF(AND($G293&gt;Control!$C$94,$G293&lt;=Control!$C$95),(Control!$C$93-Control!$C$92)*(Control!$C$94-$G293)/(Control!$C$95-Control!$C$94))))))</f>
        <v>#N/A</v>
      </c>
      <c r="CI293" s="140" t="e">
        <f t="shared" ca="1" si="1062"/>
        <v>#N/A</v>
      </c>
      <c r="CJ293" s="140" t="e">
        <f ca="1">IF($CI293&lt;=Control!$C$91,$CI293,Control!$C$91-$CI293)</f>
        <v>#N/A</v>
      </c>
      <c r="CK293" s="140" t="e">
        <f ca="1">IF(AND($BB293&gt;=65,$BB293&lt;90),1,IF($CI293&gt;=Control!$C$91,0,$CG293))</f>
        <v>#N/A</v>
      </c>
      <c r="CL293" s="404" t="e">
        <f ca="1">IF($CK293=0,0,IF($CI293&lt;=Control!$C$91,$CG293*(65+(90-65)*($CJ293/Control!$C$91)),0))</f>
        <v>#N/A</v>
      </c>
      <c r="CM293" s="140" t="e">
        <f ca="1">IF($BG293+$BM293+$BS293+$BY293+$CE293+$CK293=1,0,IF(OR($BB293&gt;=90,$CI293&gt;=Control!$C$91),$BA293,$CM292))</f>
        <v>#N/A</v>
      </c>
      <c r="CN293" s="140" t="e">
        <f t="shared" ca="1" si="1063"/>
        <v>#N/A</v>
      </c>
      <c r="CO293" s="140" t="e">
        <f t="shared" ca="1" si="1064"/>
        <v>#N/A</v>
      </c>
      <c r="CP293" s="140" t="e">
        <f t="shared" ca="1" si="1065"/>
        <v>#N/A</v>
      </c>
      <c r="CQ293" s="141" t="e">
        <f ca="1">VLOOKUP($CP293,Control!$B$86:$G$91,6)</f>
        <v>#N/A</v>
      </c>
      <c r="CR293" s="141" t="e">
        <f ca="1">(1-$CQ293)*VLOOKUP($CP293,Control!$B$86:$D$91,3)</f>
        <v>#N/A</v>
      </c>
      <c r="CS293" s="141" t="e">
        <f ca="1">(1-$CQ293)*VLOOKUP($CP293,Control!$B$86:$E$91,4)</f>
        <v>#N/A</v>
      </c>
      <c r="CT293" s="141" t="e">
        <f ca="1">(1-$CQ293)*VLOOKUP($CP293,Control!$B$86:$F$91,5)</f>
        <v>#N/A</v>
      </c>
      <c r="CU293" s="141">
        <f t="shared" ca="1" si="1066"/>
        <v>0</v>
      </c>
      <c r="CV293" s="583">
        <f t="shared" ca="1" si="1067"/>
        <v>0</v>
      </c>
      <c r="CW293" s="142">
        <f t="shared" ca="1" si="1068"/>
        <v>289</v>
      </c>
      <c r="CX293" s="612" t="e">
        <f ca="1">IF(Control!$C$114=1,(MIN(Control!$C$120*(IF($NT293-0.01&lt;0,0,1)),Control!$C$119-$CY293)))</f>
        <v>#DIV/0!</v>
      </c>
      <c r="CY293" s="143" t="e">
        <f t="shared" ca="1" si="1069"/>
        <v>#N/A</v>
      </c>
      <c r="CZ293" s="144">
        <f t="shared" ca="1" si="946"/>
        <v>0</v>
      </c>
      <c r="DA293" s="144">
        <f t="shared" ca="1" si="947"/>
        <v>0</v>
      </c>
      <c r="DB293" s="144" t="e">
        <f t="shared" ca="1" si="948"/>
        <v>#N/A</v>
      </c>
      <c r="DC293" s="144" t="e">
        <f t="shared" ca="1" si="949"/>
        <v>#N/A</v>
      </c>
      <c r="DD293" s="144" t="e">
        <f t="shared" ca="1" si="1154"/>
        <v>#N/A</v>
      </c>
      <c r="DE293" s="143" t="e">
        <f t="shared" ca="1" si="1070"/>
        <v>#N/A</v>
      </c>
      <c r="DF293" s="145" t="e">
        <f ca="1">$DR293*EXP(-Control!$C$158*(1-$KH293))</f>
        <v>#N/A</v>
      </c>
      <c r="DG293" s="146" t="e">
        <f ca="1">IF(Control!$C$114=1, $DF293*$EY293, 0)</f>
        <v>#N/A</v>
      </c>
      <c r="DH293" s="147" t="e">
        <f t="shared" ca="1" si="1071"/>
        <v>#N/A</v>
      </c>
      <c r="DI293" s="144" t="e">
        <f t="shared" ca="1" si="1132"/>
        <v>#N/A</v>
      </c>
      <c r="DJ293" s="147" t="e">
        <f ca="1">$EF293*Control!$C$109</f>
        <v>#N/A</v>
      </c>
      <c r="DK293" s="144" t="e">
        <f t="shared" ca="1" si="1072"/>
        <v>#N/A</v>
      </c>
      <c r="DL293" s="144" t="e">
        <f t="shared" ca="1" si="950"/>
        <v>#N/A</v>
      </c>
      <c r="DM293" s="144" t="e">
        <f ca="1">IF(Control!$C$114=1, (1-EXP(-Control!$C$96*$DK293))*$AR293, 0)</f>
        <v>#N/A</v>
      </c>
      <c r="DN293" s="144">
        <f t="shared" ca="1" si="1073"/>
        <v>0</v>
      </c>
      <c r="DO293" s="148">
        <f>Control!$C$97</f>
        <v>4</v>
      </c>
      <c r="DP293" s="145" t="e">
        <f t="shared" ca="1" si="1074"/>
        <v>#N/A</v>
      </c>
      <c r="DQ293" s="145" t="e">
        <f ca="1">IF(AND($CP293&gt;=0,$CP293&lt;=90),Control!$C$111,Control!$C$111)</f>
        <v>#N/A</v>
      </c>
      <c r="DR293" s="145" t="e">
        <f t="shared" ca="1" si="951"/>
        <v>#N/A</v>
      </c>
      <c r="DS293" s="143" t="e">
        <f ca="1">Control!$B$22/$DR293</f>
        <v>#N/A</v>
      </c>
      <c r="DT293" s="149" t="e">
        <f ca="1">IF(AND(Control!$C$114=1,$KH293&lt;1),$IM293*$DF293, 0)</f>
        <v>#N/A</v>
      </c>
      <c r="DU293" s="144" t="e">
        <f t="shared" ca="1" si="1075"/>
        <v>#N/A</v>
      </c>
      <c r="DV293" s="144">
        <f ca="1">IF($G293-Control!$C$107&lt;=0, 0, 0.83*LN(MAX($G293, 3))-0.8924)</f>
        <v>0</v>
      </c>
      <c r="DW293" s="144" t="e">
        <f t="shared" ca="1" si="952"/>
        <v>#N/A</v>
      </c>
      <c r="DX293" s="150" t="e">
        <f ca="1">MAX(0.01*(1+$CU293/Control!$C$102),0.05*($DK293-Control!$C$97)/Control!$C$97)</f>
        <v>#N/A</v>
      </c>
      <c r="DY293" s="151" t="e">
        <f ca="1">IF(Control!$C$114=1, $DI293*$FS293, 0)</f>
        <v>#N/A</v>
      </c>
      <c r="DZ293" s="196" t="e">
        <f t="shared" ca="1" si="1076"/>
        <v>#N/A</v>
      </c>
      <c r="EA293" s="152">
        <f t="shared" ca="1" si="1077"/>
        <v>289</v>
      </c>
      <c r="EB293" s="153" t="e">
        <f t="shared" ca="1" si="1078"/>
        <v>#N/A</v>
      </c>
      <c r="EC293" s="153" t="e">
        <f t="shared" ca="1" si="1079"/>
        <v>#N/A</v>
      </c>
      <c r="ED293" s="154" t="e">
        <f ca="1">IF(Control!$C$114=1, $HM293*$FY293-$FD293, 0)</f>
        <v>#DIV/0!</v>
      </c>
      <c r="EE293" s="155" t="e">
        <f ca="1">IF(Control!$C$114=1, $HM293*$FZ293-$FF293, 0)</f>
        <v>#DIV/0!</v>
      </c>
      <c r="EF293" s="153" t="e">
        <f t="shared" ca="1" si="1133"/>
        <v>#N/A</v>
      </c>
      <c r="EG293" s="155" t="e">
        <f ca="1">IF(Control!$C$114=1, $GX293*$FW293-$FI293, 0)</f>
        <v>#DIV/0!</v>
      </c>
      <c r="EH293" s="153" t="e">
        <f t="shared" ca="1" si="1080"/>
        <v>#N/A</v>
      </c>
      <c r="EI293" s="156" t="e">
        <f t="shared" ca="1" si="1081"/>
        <v>#N/A</v>
      </c>
      <c r="EJ293" s="155" t="e">
        <f ca="1">IF(Control!$C$114=1, $HM293*$GB293, 0)</f>
        <v>#DIV/0!</v>
      </c>
      <c r="EK293" s="153" t="e">
        <f t="shared" ca="1" si="1134"/>
        <v>#N/A</v>
      </c>
      <c r="EL293" s="153" t="e">
        <f t="shared" ca="1" si="953"/>
        <v>#N/A</v>
      </c>
      <c r="EM293" s="153" t="e">
        <f t="shared" ca="1" si="954"/>
        <v>#N/A</v>
      </c>
      <c r="EN293" s="153" t="e">
        <f ca="1">IF(Control!$C$108=1,IF(AND(Control!$B$18=1,$EB293&gt;=Control!$B$19),$EB293-$DS293,IF(AND(Control!$B$18=2,$AW293=1,$EB293&gt;$DS293),$EB293-$DS293,0)))</f>
        <v>#N/A</v>
      </c>
      <c r="EO293" s="153" t="e">
        <f ca="1">IF(Control!$C$108=1,IF(AND(Control!$B$18=1,$EB293&gt;=Control!$B$19),$EF293,IF(AND(Control!$B$18=2,$AW293=1),$EF293,0)))</f>
        <v>#N/A</v>
      </c>
      <c r="EP293" s="153" t="e">
        <f ca="1">IF(Control!$C$108=1,IF(AND(Control!$B$18=1,$EB293&gt;=Control!$B$19),$EK293,IF(AND(Control!$B$18=2,$AW293=1),$EK293,0)))</f>
        <v>#N/A</v>
      </c>
      <c r="EQ293" s="153" t="e">
        <f t="shared" ca="1" si="1082"/>
        <v>#N/A</v>
      </c>
      <c r="ER293" s="153" t="e">
        <f t="shared" ca="1" si="1083"/>
        <v>#N/A</v>
      </c>
      <c r="ES293" s="153" t="e">
        <f t="shared" ca="1" si="1135"/>
        <v>#N/A</v>
      </c>
      <c r="ET293" s="153" t="e">
        <f t="shared" ca="1" si="1136"/>
        <v>#N/A</v>
      </c>
      <c r="EU293" s="153" t="e">
        <f t="shared" ca="1" si="1084"/>
        <v>#N/A</v>
      </c>
      <c r="EV293" s="153" t="e">
        <f t="shared" ca="1" si="955"/>
        <v>#N/A</v>
      </c>
      <c r="EW293" s="153" t="e">
        <f t="shared" ca="1" si="956"/>
        <v>#N/A</v>
      </c>
      <c r="EX293" s="153" t="e">
        <f t="shared" ca="1" si="957"/>
        <v>#N/A</v>
      </c>
      <c r="EY293" s="157" t="e">
        <f t="shared" ca="1" si="958"/>
        <v>#DIV/0!</v>
      </c>
      <c r="EZ293" s="154" t="e">
        <f t="shared" ca="1" si="959"/>
        <v>#DIV/0!</v>
      </c>
      <c r="FA293" s="153" t="e">
        <f t="shared" ca="1" si="1085"/>
        <v>#N/A</v>
      </c>
      <c r="FB293" s="153" t="e">
        <f t="shared" ca="1" si="960"/>
        <v>#N/A</v>
      </c>
      <c r="FC293" s="193" t="e">
        <f t="shared" ca="1" si="961"/>
        <v>#N/A</v>
      </c>
      <c r="FD293" s="158" t="e">
        <f t="shared" ca="1" si="1086"/>
        <v>#N/A</v>
      </c>
      <c r="FE293" s="158" t="e">
        <f t="shared" ca="1" si="1087"/>
        <v>#N/A</v>
      </c>
      <c r="FF293" s="159" t="e">
        <f t="shared" ca="1" si="962"/>
        <v>#N/A</v>
      </c>
      <c r="FG293" s="160" t="e">
        <f t="shared" ca="1" si="1088"/>
        <v>#N/A</v>
      </c>
      <c r="FH293" s="158" t="e">
        <f t="shared" ca="1" si="1089"/>
        <v>#N/A</v>
      </c>
      <c r="FI293" s="159" t="e">
        <f t="shared" ca="1" si="963"/>
        <v>#N/A</v>
      </c>
      <c r="FJ293" s="160" t="e">
        <f t="shared" ca="1" si="1090"/>
        <v>#N/A</v>
      </c>
      <c r="FK293" s="160" t="e">
        <f t="shared" ca="1" si="964"/>
        <v>#N/A</v>
      </c>
      <c r="FL293" s="160" t="e">
        <f t="shared" ca="1" si="1137"/>
        <v>#N/A</v>
      </c>
      <c r="FM293" s="160" t="e">
        <f t="shared" ca="1" si="965"/>
        <v>#N/A</v>
      </c>
      <c r="FN293" s="158">
        <f t="shared" ca="1" si="1091"/>
        <v>0.01</v>
      </c>
      <c r="FO293" s="160">
        <f>Control!$C$101</f>
        <v>50</v>
      </c>
      <c r="FP293" s="150" t="e">
        <f t="shared" ca="1" si="966"/>
        <v>#N/A</v>
      </c>
      <c r="FQ293" s="150" t="e">
        <f ca="1">MAX(0,(Control!$C$112*(($DK293-Control!$C$97)/Control!$C$97)))</f>
        <v>#N/A</v>
      </c>
      <c r="FR293" s="150" t="e">
        <f ca="1">(1-$NT293)*Control!$C$113</f>
        <v>#DIV/0!</v>
      </c>
      <c r="FS293" s="198" t="e">
        <f t="shared" ca="1" si="967"/>
        <v>#N/A</v>
      </c>
      <c r="FT293" s="161">
        <f t="shared" ca="1" si="1092"/>
        <v>289</v>
      </c>
      <c r="FU293" s="162" t="e">
        <f ca="1">IF(Control!$B$34=1,VLOOKUP($CP293,Control!$B$86:$G$91,6),Control!$B$35)</f>
        <v>#N/A</v>
      </c>
      <c r="FV293" s="162" t="e">
        <f t="shared" ca="1" si="968"/>
        <v>#DIV/0!</v>
      </c>
      <c r="FW293" s="162" t="e">
        <f ca="1">IF(Control!$B$31=1,$FU293*$FV293,  $FU293)</f>
        <v>#N/A</v>
      </c>
      <c r="FX293" s="162" t="e">
        <f ca="1">IF(Control!$B$34=1,VLOOKUP($CP293,Control!$B$86:$G$91,3),Control!$B$36)</f>
        <v>#N/A</v>
      </c>
      <c r="FY293" s="162" t="e">
        <f t="shared" ca="1" si="969"/>
        <v>#N/A</v>
      </c>
      <c r="FZ293" s="162" t="e">
        <f ca="1">IF(Control!$B$34=1,VLOOKUP($CP293,Control!$B$86:$G$91,4),Control!$B$37)</f>
        <v>#N/A</v>
      </c>
      <c r="GA293" s="162" t="e">
        <f t="shared" ca="1" si="970"/>
        <v>#N/A</v>
      </c>
      <c r="GB293" s="162" t="e">
        <f ca="1">IF(Control!$B$34=1,VLOOKUP($CP293,Control!$B$86:$G$91,5),Control!$B$38)</f>
        <v>#N/A</v>
      </c>
      <c r="GC293" s="162" t="e">
        <f t="shared" ca="1" si="1093"/>
        <v>#N/A</v>
      </c>
      <c r="GD293" s="162">
        <f t="shared" ca="1" si="971"/>
        <v>1</v>
      </c>
      <c r="GE293" s="162">
        <f t="shared" ca="1" si="972"/>
        <v>1</v>
      </c>
      <c r="GF293" s="162">
        <f ca="1">IF(AND(Control!$C$104=1, Control!$C$62="F"),$GE293,1)</f>
        <v>1</v>
      </c>
      <c r="GG293" s="162" t="e">
        <f ca="1">IF(Control!$B$16=40,0,IF(AND(Control!$B$16&gt;40,Control!$B$16&lt;=360),(Control!$B$16-40)*((1-0)/(360-40)),IF(AND(Control!$B$16&gt;360,Control!$B$16&lt;=720),(1+(Control!$B$16-360)*((1.25-1)/(720-360))),IF(AND(Control!$B$16&gt;720,Control!$B$16&lt;=1000),(1.25+(Control!$B$16-720)*((1.35-1.25)/(1000-720))),IF(AND(Control!$B$16&gt;1000,Control!$B$16&lt;=2000),(1.35+(Control!$B$16-1000)*0))))))</f>
        <v>#N/A</v>
      </c>
      <c r="GH293" s="162" t="e">
        <f t="shared" ca="1" si="973"/>
        <v>#N/A</v>
      </c>
      <c r="GI293" s="162">
        <f t="shared" ca="1" si="1094"/>
        <v>0</v>
      </c>
      <c r="GJ293" s="162">
        <f t="shared" ca="1" si="974"/>
        <v>0</v>
      </c>
      <c r="GK293" s="162">
        <f t="shared" ca="1" si="1095"/>
        <v>1</v>
      </c>
      <c r="GL293" s="162">
        <f t="shared" ca="1" si="975"/>
        <v>1</v>
      </c>
      <c r="GM293" s="162" t="e">
        <f ca="1">MAX(0,MIN(1,1-Control!$C$156*(1.0001-$KH293)^2))</f>
        <v>#N/A</v>
      </c>
      <c r="GN293" s="162" t="e">
        <f ca="1">IF(Control!$B$26=1,$KU293,$KX293)</f>
        <v>#N/A</v>
      </c>
      <c r="GO293" s="162" t="e">
        <f ca="1">IF($CP293&lt;=60,Control!$C$105,IF($CP293&gt;=90,Control!$C$106,Control!$C$105+($CP293-60)*((Control!$C$106-Control!$C$105)/(90-60))))</f>
        <v>#N/A</v>
      </c>
      <c r="GP293" s="162" t="e">
        <f t="shared" ca="1" si="976"/>
        <v>#N/A</v>
      </c>
      <c r="GQ293" s="162" t="e">
        <f t="shared" ca="1" si="1096"/>
        <v>#N/A</v>
      </c>
      <c r="GR293" s="163" t="e">
        <f t="shared" ca="1" si="977"/>
        <v>#DIV/0!</v>
      </c>
      <c r="GS293" s="162" t="e">
        <f t="shared" ca="1" si="978"/>
        <v>#DIV/0!</v>
      </c>
      <c r="GT293" s="164" t="e">
        <f t="shared" ca="1" si="1097"/>
        <v>#N/A</v>
      </c>
      <c r="GU293" s="162" t="e">
        <f t="shared" ca="1" si="1098"/>
        <v>#N/A</v>
      </c>
      <c r="GV293" s="162" t="e">
        <f t="shared" ca="1" si="979"/>
        <v>#N/A</v>
      </c>
      <c r="GW293" s="162" t="e">
        <f t="shared" ca="1" si="980"/>
        <v>#DIV/0!</v>
      </c>
      <c r="GX293" s="162" t="e">
        <f t="shared" ca="1" si="1099"/>
        <v>#DIV/0!</v>
      </c>
      <c r="GY293" s="162" t="e">
        <f t="shared" ca="1" si="1100"/>
        <v>#DIV/0!</v>
      </c>
      <c r="GZ293" s="165" t="e">
        <f t="shared" ca="1" si="981"/>
        <v>#N/A</v>
      </c>
      <c r="HA293" s="162" t="e">
        <f ca="1">IF(Control!$C$114=1, $DI293*$FS293, 0)</f>
        <v>#N/A</v>
      </c>
      <c r="HB293" s="162" t="e">
        <f ca="1">$FA293/Control!$C$64</f>
        <v>#N/A</v>
      </c>
      <c r="HC293" s="162" t="e">
        <f t="shared" ca="1" si="982"/>
        <v>#DIV/0!</v>
      </c>
      <c r="HD293" s="162">
        <f ca="1">-ASIN(SIN(23.45*Control!$C$139)*COS(2*Control!$C$138*($AH293+10)/365))</f>
        <v>-0.16837568783209897</v>
      </c>
      <c r="HE293" s="165">
        <f t="shared" ca="1" si="1101"/>
        <v>0</v>
      </c>
      <c r="HF293" s="166">
        <f ca="1">IF(AND(Control!$C$61="T",$HE293&gt;=Control!$C$103,Control!$C$114=0),$AH293,Control!$C$59)</f>
        <v>1</v>
      </c>
      <c r="HG293" s="166">
        <f ca="1">IF(AND(Control!$C$61="T",$HE293&gt;=Control!$C$103,Control!$C$114=0),$HF293,Control!$C$59)</f>
        <v>1</v>
      </c>
      <c r="HH293" s="165">
        <f ca="1">IF(AND(OR(Control!$C$60&lt;=0, $AH293= Control!$C$59, Control!$C$60 &gt;0, $AH293 = Control!$C$60)), Control!$C$59, IF(Control!$C$60&gt;0, 0))</f>
        <v>1</v>
      </c>
      <c r="HI293" s="165">
        <f ca="1">IF(AND(OR(Control!$C$60&lt;=0, $AH293= Control!$C$59, Control!$C$60 &gt;0, $AH293 = Control!$C$60)), Control!$C$60, IF(Control!$C$60&lt;=0, 0))</f>
        <v>0</v>
      </c>
      <c r="HJ293" s="166">
        <f ca="1">IF(AND(Control!$C$62="F",$CV293&gt;=Control!$C$102),$AH293,0)</f>
        <v>0</v>
      </c>
      <c r="HK293" s="165" t="e">
        <f t="shared" ca="1" si="1138"/>
        <v>#N/A</v>
      </c>
      <c r="HL293" s="166">
        <f ca="1">IF(AND(Control!$C$61="T",$HE293&gt;=Control!$C$103,Control!$C$114=0),$HF293,0)</f>
        <v>0</v>
      </c>
      <c r="HM293" s="201" t="e">
        <f t="shared" ca="1" si="983"/>
        <v>#DIV/0!</v>
      </c>
      <c r="HN293" s="215">
        <f t="shared" ca="1" si="1102"/>
        <v>289</v>
      </c>
      <c r="HO293" s="216" t="e">
        <f ca="1">IF(AND($CP293&gt;=0, $CP293&lt;=90), Control!$C$152, Control!$C$152)</f>
        <v>#N/A</v>
      </c>
      <c r="HP293" s="216" t="e">
        <f t="shared" ca="1" si="984"/>
        <v>#N/A</v>
      </c>
      <c r="HQ293" s="217" t="e">
        <f ca="1">IF(OR(Control!$B$26=1,Control!$B$26=2),$KV293,$KS293)</f>
        <v>#DIV/0!</v>
      </c>
      <c r="HR293" s="218" t="e">
        <f t="shared" ca="1" si="1139"/>
        <v>#DIV/0!</v>
      </c>
      <c r="HS293" s="216" t="e">
        <f ca="1">Control!$C$154*$HP293</f>
        <v>#N/A</v>
      </c>
      <c r="HT293" s="216" t="e">
        <f ca="1">Control!$C$155*$HP293</f>
        <v>#N/A</v>
      </c>
      <c r="HU293" s="217" t="e">
        <f ca="1">Control!$C$161*$FI293</f>
        <v>#N/A</v>
      </c>
      <c r="HV293" s="218" t="e">
        <f t="shared" ca="1" si="1103"/>
        <v>#N/A</v>
      </c>
      <c r="HW293" s="218" t="e">
        <f ca="1">Control!$C$160*$FF293+$IP293*$EO293</f>
        <v>#N/A</v>
      </c>
      <c r="HX293" s="218" t="e">
        <f t="shared" ca="1" si="1140"/>
        <v>#N/A</v>
      </c>
      <c r="HY293" s="219" t="e">
        <f ca="1">IF(Control!$C$114=1, $EB293*$FS293, 0)</f>
        <v>#N/A</v>
      </c>
      <c r="HZ293" s="91" t="e">
        <f t="shared" ca="1" si="985"/>
        <v>#N/A</v>
      </c>
      <c r="IA293" s="220" t="e">
        <f ca="1">Control!$C$153*$HO293</f>
        <v>#N/A</v>
      </c>
      <c r="IB293" s="218" t="e">
        <f t="shared" ca="1" si="986"/>
        <v>#N/A</v>
      </c>
      <c r="IC293" s="220" t="e">
        <f ca="1">Control!$C$153*$HT293</f>
        <v>#N/A</v>
      </c>
      <c r="ID293" s="218" t="e">
        <f t="shared" ca="1" si="987"/>
        <v>#N/A</v>
      </c>
      <c r="IE293" s="221" t="e">
        <f ca="1">($EB293*Control!$C$159+$EF293*Control!$C$160)/(IF($GZ293&lt;&gt;0,$GZ293,1))</f>
        <v>#N/A</v>
      </c>
      <c r="IF293" s="216" t="e">
        <f t="shared" ca="1" si="988"/>
        <v>#N/A</v>
      </c>
      <c r="IG293" s="91">
        <f ca="1">IF(OR(Control!$B$198=$AH293,Control!$B$199=$AH293, Control!$B$200=$AH293, Control!$B$201=$AH293, Control!$B$202=$AH293, Control!$B$203=$AH293, Control!$B$204=$AH293, Control!$B$205=$AH293, Control!$B$206=$AH293, Control!$B$207=$AH293), 1, 0)</f>
        <v>0</v>
      </c>
      <c r="IH293" s="91">
        <f ca="1">IF($IG293=0,0, VLOOKUP($AH293,Control!$B$198:$C$207,2))</f>
        <v>0</v>
      </c>
      <c r="II293" s="222">
        <f t="shared" ca="1" si="1104"/>
        <v>0</v>
      </c>
      <c r="IJ293" s="91">
        <f>Control!$C$121</f>
        <v>0.7</v>
      </c>
      <c r="IK293" s="218">
        <f t="shared" ca="1" si="989"/>
        <v>0</v>
      </c>
      <c r="IL293" s="217" t="e">
        <f t="shared" ca="1" si="1141"/>
        <v>#N/A</v>
      </c>
      <c r="IM293" s="223" t="e">
        <f ca="1">IF(AND(Control!$C$114=1,$KH293&lt;1),$EB293*Control!$C$148*(1-$KH293), 0)</f>
        <v>#N/A</v>
      </c>
      <c r="IN293" s="217" t="e">
        <f t="shared" ca="1" si="990"/>
        <v>#DIV/0!</v>
      </c>
      <c r="IO293" s="91" t="e">
        <f ca="1">MAX(0,$IL293-$EF293*Control!$C$160)</f>
        <v>#N/A</v>
      </c>
      <c r="IP293" s="220" t="e">
        <f t="shared" ca="1" si="991"/>
        <v>#N/A</v>
      </c>
      <c r="IQ293" s="217" t="e">
        <f t="shared" ca="1" si="1105"/>
        <v>#N/A</v>
      </c>
      <c r="IR293" s="218" t="e">
        <f t="shared" ca="1" si="992"/>
        <v>#N/A</v>
      </c>
      <c r="IS293" s="217" t="e">
        <f ca="1">Control!$C$159*MAX(0,$FD293-$EN293)</f>
        <v>#N/A</v>
      </c>
      <c r="IT293" s="217" t="e">
        <f t="shared" ca="1" si="1142"/>
        <v>#N/A</v>
      </c>
      <c r="IU293" s="217" t="e">
        <f t="shared" ca="1" si="1106"/>
        <v>#N/A</v>
      </c>
      <c r="IV293" s="217" t="e">
        <f t="shared" ca="1" si="1143"/>
        <v>#N/A</v>
      </c>
      <c r="IW293" s="217" t="e">
        <f ca="1">IF(OR($AW293=1,AND($AW293=0, Control!$B$18=1,$EN293&lt;&gt;0)), $IQ293-$IU293, $IQ293)</f>
        <v>#N/A</v>
      </c>
      <c r="IX293" s="218" t="e">
        <f t="shared" ca="1" si="993"/>
        <v>#N/A</v>
      </c>
      <c r="IY293" s="218" t="e">
        <f ca="1">MAX(0,$IQ293-$EB293*Control!$C$159)</f>
        <v>#N/A</v>
      </c>
      <c r="IZ293" s="218" t="e">
        <f t="shared" ca="1" si="994"/>
        <v>#N/A</v>
      </c>
      <c r="JA293" s="216" t="e">
        <f t="shared" ca="1" si="995"/>
        <v>#N/A</v>
      </c>
      <c r="JB293" s="217" t="e">
        <f t="shared" ca="1" si="996"/>
        <v>#N/A</v>
      </c>
      <c r="JC293" s="222" t="e">
        <f ca="1">MAX(Control!$C$157*$EK293-$JT293, 0)/Control!$C$162</f>
        <v>#N/A</v>
      </c>
      <c r="JD293" s="218" t="e">
        <f t="shared" ca="1" si="997"/>
        <v>#N/A</v>
      </c>
      <c r="JE293" s="218" t="e">
        <f t="shared" ca="1" si="998"/>
        <v>#N/A</v>
      </c>
      <c r="JF293" s="218" t="e">
        <f t="shared" ca="1" si="1107"/>
        <v>#N/A</v>
      </c>
      <c r="JG293" s="218" t="e">
        <f t="shared" ca="1" si="999"/>
        <v>#N/A</v>
      </c>
      <c r="JH293" s="217" t="e">
        <f t="shared" ca="1" si="1108"/>
        <v>#N/A</v>
      </c>
      <c r="JI293" s="217" t="e">
        <f t="shared" ca="1" si="1109"/>
        <v>#N/A</v>
      </c>
      <c r="JJ293" s="217" t="e">
        <f t="shared" ca="1" si="1144"/>
        <v>#N/A</v>
      </c>
      <c r="JK293" s="217" t="e">
        <f ca="1">IF(Control!$C$114=1,IF(Control!$B$24=0,MAX(0,$JI293)*$GN293/Control!$C$64,(MAX(0,MIN($JI293,$JJ293*$GN293/Control!$C$64),0))))</f>
        <v>#N/A</v>
      </c>
      <c r="JL293" s="217" t="e">
        <f ca="1">$IK293/Control!$C$64-$JK293+$HQ293</f>
        <v>#N/A</v>
      </c>
      <c r="JM293" s="217" t="e">
        <f ca="1">IF(Control!$C$114=1,($JB293/(IF($JI293&lt;&gt;0,$JI293,1)))*$JK293,0)</f>
        <v>#N/A</v>
      </c>
      <c r="JN293" s="217" t="e">
        <f ca="1">IF(Control!$C$114=1,($JG293/(IF($JI293&lt;&gt;0,$JI293,1)))*$JK293, 0)</f>
        <v>#N/A</v>
      </c>
      <c r="JO293" s="218" t="e">
        <f t="shared" ca="1" si="1000"/>
        <v>#N/A</v>
      </c>
      <c r="JP293" s="218" t="e">
        <f ca="1">MIN(($IY293+$IO293)*Control!$C$151, $JF293-$EH293*Control!$C$161)</f>
        <v>#N/A</v>
      </c>
      <c r="JQ293" s="218" t="e">
        <f t="shared" ca="1" si="1001"/>
        <v>#N/A</v>
      </c>
      <c r="JR293" s="217" t="e">
        <f ca="1">IF($CP293-Control!$C$150&lt;0, 0, $JQ293/Control!$C$162)</f>
        <v>#N/A</v>
      </c>
      <c r="JS293" s="218" t="e">
        <f t="shared" ca="1" si="1002"/>
        <v>#N/A</v>
      </c>
      <c r="JT293" s="218" t="e">
        <f t="shared" ca="1" si="1110"/>
        <v>#N/A</v>
      </c>
      <c r="JU293" s="218" t="e">
        <f t="shared" ca="1" si="1003"/>
        <v>#N/A</v>
      </c>
      <c r="JV293" s="218" t="e">
        <f t="shared" ca="1" si="1004"/>
        <v>#N/A</v>
      </c>
      <c r="JW293" s="216" t="e">
        <f t="shared" ca="1" si="1005"/>
        <v>#N/A</v>
      </c>
      <c r="JX293" s="91" t="e">
        <f t="shared" ca="1" si="1006"/>
        <v>#N/A</v>
      </c>
      <c r="JY293" s="218" t="e">
        <f t="shared" ca="1" si="1007"/>
        <v>#N/A</v>
      </c>
      <c r="JZ293" s="217" t="e">
        <f ca="1">IF(Control!$C$114=1,($IZ293/(IF($JI293&lt;&gt;0,$JI293,1)))*$JK293, 0)</f>
        <v>#N/A</v>
      </c>
      <c r="KA293" s="218" t="e">
        <f t="shared" ca="1" si="1145"/>
        <v>#N/A</v>
      </c>
      <c r="KB293" s="218" t="e">
        <f t="shared" ca="1" si="1111"/>
        <v>#N/A</v>
      </c>
      <c r="KC293" s="218" t="e">
        <f t="shared" ca="1" si="1008"/>
        <v>#N/A</v>
      </c>
      <c r="KD293" s="218" t="e">
        <f t="shared" ca="1" si="1009"/>
        <v>#N/A</v>
      </c>
      <c r="KE293" s="218" t="e">
        <f t="shared" ca="1" si="1010"/>
        <v>#N/A</v>
      </c>
      <c r="KF293" s="218" t="e">
        <f t="shared" ca="1" si="1011"/>
        <v>#N/A</v>
      </c>
      <c r="KG293" s="216" t="e">
        <f t="shared" ca="1" si="1012"/>
        <v>#N/A</v>
      </c>
      <c r="KH293" s="221" t="e">
        <f ca="1">IF(Control!$B$24=0,1,MAX(0.001,MIN(1,IF(($IF293-$IE293)&lt;&gt;0,($KG293-$IE293)/($IF293-$IE293),1))))</f>
        <v>#N/A</v>
      </c>
      <c r="KI293" s="222" t="e">
        <f ca="1">IF(Control!$C$114=1, $KI292+ $KH292, 0)</f>
        <v>#N/A</v>
      </c>
      <c r="KJ293" s="217" t="e">
        <f t="shared" ca="1" si="1013"/>
        <v>#N/A</v>
      </c>
      <c r="KK293" s="218" t="e">
        <f t="shared" ca="1" si="1014"/>
        <v>#N/A</v>
      </c>
      <c r="KL293" s="274" t="e">
        <f ca="1">IF(Control!$B$26=3,4000000000*EXP(-8400/($G293+273)),IF(Control!$B$26=4,4000000000*EXP(-8400/($G293+273))*($KT293),0))</f>
        <v>#DIV/0!</v>
      </c>
      <c r="KM293" s="274" t="e">
        <f ca="1">IF(Control!$B$26=3,5600000000000*EXP(-9800/($G293+273)),IF(Control!$B$26=4,5600000000000*EXP(-9800/($G293+273))*$KT293,0))</f>
        <v>#DIV/0!</v>
      </c>
      <c r="KN293" s="454" t="e">
        <f t="shared" ca="1" si="1112"/>
        <v>#DIV/0!</v>
      </c>
      <c r="KO293" s="274" t="e">
        <f t="shared" ca="1" si="1113"/>
        <v>#DIV/0!</v>
      </c>
      <c r="KP293" s="454" t="e">
        <f t="shared" ca="1" si="1015"/>
        <v>#DIV/0!</v>
      </c>
      <c r="KQ293" s="454" t="e">
        <f t="shared" ca="1" si="1016"/>
        <v>#DIV/0!</v>
      </c>
      <c r="KR293" s="454" t="e">
        <f t="shared" ca="1" si="1017"/>
        <v>#DIV/0!</v>
      </c>
      <c r="KS293" s="454" t="e">
        <f t="shared" ca="1" si="1018"/>
        <v>#DIV/0!</v>
      </c>
      <c r="KT293" s="455" t="e">
        <f t="shared" ca="1" si="1019"/>
        <v>#DIV/0!</v>
      </c>
      <c r="KU293" s="456" t="e">
        <f ca="1">IF($CP293-Control!$C$149&lt;0, IF($NT293-0.01&lt;0,0,1),0)</f>
        <v>#N/A</v>
      </c>
      <c r="KV293" s="456" t="e">
        <f ca="1">IF(Control!$C$114=1,MAX(0,MIN(Control!$C$125*$KW293*$GN293,$KW293)))</f>
        <v>#DIV/0!</v>
      </c>
      <c r="KW293" s="456" t="e">
        <f t="shared" ca="1" si="1146"/>
        <v>#DIV/0!</v>
      </c>
      <c r="KX293" s="457" t="e">
        <f ca="1">IF($CP293-Control!$C$149&lt;0, IF($MR293-$OM293&lt;0,0,1),0)</f>
        <v>#N/A</v>
      </c>
      <c r="KY293" s="167">
        <f t="shared" ca="1" si="1114"/>
        <v>289</v>
      </c>
      <c r="KZ293" s="168">
        <f ca="1">1370*(1+0.033*COS(2*Control!$C$138*$AH293/365))</f>
        <v>1381.7330362758814</v>
      </c>
      <c r="LA293" s="169">
        <f t="shared" ca="1" si="1115"/>
        <v>1.0085638893033033</v>
      </c>
      <c r="LB293" s="169">
        <f t="shared" ca="1" si="1116"/>
        <v>-0.17543422689196619</v>
      </c>
      <c r="LC293" s="169">
        <f ca="1">ACOS(-TAN((2*Control!$B$8/360))*TAN(Calculations!$LB293))</f>
        <v>1.5180907557154741</v>
      </c>
      <c r="LD293" s="169">
        <f ca="1">((24*60)/PI())*0.082*$LA293*(($LC293*SIN(Control!$B$8*2*PI()/360))*SIN($LB293)+COS(Control!$B$8*2*PI()/360)*COS($LB293)*SIN($LC293))</f>
        <v>15.033430802186549</v>
      </c>
      <c r="LE293" s="170">
        <f t="shared" ca="1" si="1020"/>
        <v>15.722030336740268</v>
      </c>
      <c r="LF293" s="170">
        <f ca="1">SIN(Control!$C$139*Control!$B$8)*SIN($HD293)</f>
        <v>-0.13205602972126465</v>
      </c>
      <c r="LG293" s="170">
        <f ca="1">COS(Control!$C$139*Control!$B$8)*COS($HD293)</f>
        <v>0.606953309186681</v>
      </c>
      <c r="LH293" s="170">
        <f ca="1">12*(1+2*ASIN(MAX(-1,MIN(1,$LF293/$LG293))/Control!$C$138))</f>
        <v>10.336544895558685</v>
      </c>
      <c r="LI293" s="170">
        <f ca="1">12*(1+2*ASIN(MAX(-1,MIN(1,(-SIN(-4*Control!$C$139)+$LF293)/$LG293))/Control!$C$138))</f>
        <v>11.215728953436201</v>
      </c>
      <c r="LJ293" s="168">
        <f ca="1">3600*($LH293*$LF293+24*$LG293*SQRT(1-$LK293*$LK293)/Control!$C$138)</f>
        <v>11378.486237193185</v>
      </c>
      <c r="LK293" s="170">
        <f t="shared" ca="1" si="1021"/>
        <v>-0.21757197419060137</v>
      </c>
      <c r="LL293" s="170">
        <f t="shared" ca="1" si="1022"/>
        <v>0</v>
      </c>
      <c r="LM293" s="171">
        <f ca="1">Control!$C$145*$AB293</f>
        <v>6.6660906138995932E-2</v>
      </c>
      <c r="LN293" s="170">
        <f t="shared" ca="1" si="1117"/>
        <v>0.54</v>
      </c>
      <c r="LO293" s="170">
        <f t="shared" ca="1" si="1023"/>
        <v>0</v>
      </c>
      <c r="LP293" s="170">
        <f ca="1">Control!$C$140*((($D293+273.16)^4+($E293+273.16)^4)/2)*(0.34-0.14*SQRT($Y293))*(1.35*$AQ293/(0.75*$LD293)-0.35)</f>
        <v>-3.2464704755046001</v>
      </c>
      <c r="LQ293" s="170">
        <f ca="1">Control!$C$140*($G293+273)^4*(0.56-0.079*SQRT($Y293*10))*(0.1+0.9*$LO293)</f>
        <v>1.5241745131704001</v>
      </c>
      <c r="LR293" s="170">
        <f ca="1">$AQ293*(1-Control!$C$142)-$LQ293</f>
        <v>-1.5241745131704001</v>
      </c>
      <c r="LS293" s="170">
        <f ca="1">$AQ293*(1-Control!$C$143)-$LQ293</f>
        <v>-1.5241745131704001</v>
      </c>
      <c r="LT293" s="170">
        <f ca="1">$AQ293*(1-Control!$C$144)-$LQ293</f>
        <v>-1.5241745131704001</v>
      </c>
      <c r="LU293" s="169">
        <f ca="1">(1-Control!$C$144)*AQ293-LP293</f>
        <v>3.2464704755046001</v>
      </c>
      <c r="LV293" s="172">
        <f t="shared" ca="1" si="1024"/>
        <v>0.79430000000000012</v>
      </c>
      <c r="LW293" s="170">
        <f t="shared" ca="1" si="1025"/>
        <v>1.5886000000000002</v>
      </c>
      <c r="LX293" s="170">
        <f ca="1">($AC293*($LR293/Control!$C$141)+$LM293*$LV293)/($AC293+$LM293)</f>
        <v>0.23530094218323697</v>
      </c>
      <c r="LY293" s="170">
        <f ca="1">($AC293*($LS293/Control!$C$141)+$LM293*$LV293)/($AC293+$LM293)</f>
        <v>0.23530094218323697</v>
      </c>
      <c r="LZ293" s="170">
        <f t="shared" ca="1" si="1026"/>
        <v>0.23530094218323697</v>
      </c>
      <c r="MA293" s="170">
        <f t="shared" ca="1" si="1027"/>
        <v>0.23530094218323697</v>
      </c>
      <c r="MB293" s="170" t="e">
        <f t="shared" ca="1" si="1028"/>
        <v>#N/A</v>
      </c>
      <c r="MC293" s="170">
        <f t="shared" ca="1" si="1118"/>
        <v>0.6018</v>
      </c>
      <c r="MD293" s="170">
        <f t="shared" ca="1" si="1029"/>
        <v>0.52989392535414004</v>
      </c>
      <c r="ME293" s="170">
        <f ca="1">($AC293*($LT293/Control!$C$141)+$LM293*$LW293)/($AC293+$LM293)</f>
        <v>0.71612369323045078</v>
      </c>
      <c r="MF293" s="170" t="e">
        <f ca="1">IF(Control!$B$16&gt;=1000,0.92,IF(AND(720&lt;=Control!$B$16,1000&gt;Control!$B$16),(0.95+(Control!$B$16-720)*((0.92-0.95)/(1000-720))),IF(AND(360&lt;=Control!$B$16,720&gt;Control!$B$16),(1+(Control!$B$16-360)*((0.95-1)/(720-360))),IF(AND(40&lt;=Control!$B$16,360&gt;Control!$B$16),(1.05+(Control!$B$16-40)*((1.05-1)/(360-40)))))))</f>
        <v>#N/A</v>
      </c>
      <c r="MG293" s="170">
        <f t="shared" ca="1" si="1030"/>
        <v>0.71612369323045078</v>
      </c>
      <c r="MH293" s="170" t="e">
        <f t="shared" ca="1" si="1156"/>
        <v>#N/A</v>
      </c>
      <c r="MI293" s="170" t="e">
        <f t="shared" ca="1" si="1156"/>
        <v>#N/A</v>
      </c>
      <c r="MJ293" s="170" t="e">
        <f ca="1">MAX(0.0001, Control!$C$132*$MI293*$DL293)</f>
        <v>#N/A</v>
      </c>
      <c r="MK293" s="170">
        <f ca="1">1/(0.76+1.5*($MG293/10))-(5-Control!$C$110)*0.1</f>
        <v>1.002845988140797</v>
      </c>
      <c r="ML293" s="173">
        <f ca="1">IF(Control!$C$110&lt;3,$MK293+($MG293-0.6)/(Control!$C$110*(Control!$C$110+3)), MAX(0.1, MIN(0.95,$MK293)))</f>
        <v>0.95</v>
      </c>
      <c r="MM293" s="173">
        <f ca="1">IF(Control!$C$110&lt;3,$MK293+(($MI293/10)-0.6)/(Control!$C$110*(Control!$C$110+3)), MAX(0.1, MIN(0.95,$MK293)))</f>
        <v>0.95</v>
      </c>
      <c r="MN293" s="173">
        <f ca="1">(1-$MM293)*(Control!$C$128-Control!$C$127)+Control!$C$127</f>
        <v>0.16</v>
      </c>
      <c r="MO293" s="170" t="e">
        <f ca="1">MAX(0,MIN(1,($MS293-Control!$C$127)/($MN293-Control!$C$127)))</f>
        <v>#DIV/0!</v>
      </c>
      <c r="MP293" s="173" t="e">
        <f ca="1">1/(0.76+1.5*$MI293)-(5-Control!$C$110)*0.1</f>
        <v>#N/A</v>
      </c>
      <c r="MQ293" s="172" t="e">
        <f t="shared" ca="1" si="1147"/>
        <v>#DIV/0!</v>
      </c>
      <c r="MR293" s="168" t="e">
        <f t="shared" ca="1" si="1119"/>
        <v>#DIV/0!</v>
      </c>
      <c r="MS293" s="173" t="e">
        <f ca="1">MAX(Control!$C$127, MIN(Control!$C$135, $MR293/MAX(0.0001,$CY293)))</f>
        <v>#DIV/0!</v>
      </c>
      <c r="MT293" s="168" t="e">
        <f ca="1">(Control!$C$128-$MS293)*Control!$C$74</f>
        <v>#DIV/0!</v>
      </c>
      <c r="MU293" s="168" t="e">
        <f ca="1">(Control!$C$135-$MS293)*Control!$C$74</f>
        <v>#DIV/0!</v>
      </c>
      <c r="MV293" s="168" t="e">
        <f t="shared" ca="1" si="1120"/>
        <v>#DIV/0!</v>
      </c>
      <c r="MW293" s="168" t="e">
        <f t="shared" ca="1" si="1121"/>
        <v>#DIV/0!</v>
      </c>
      <c r="MX293" s="171" t="e">
        <f ca="1">MAX(Control!$C$127, MIN(Control!$C$135, $MW293/MAX(0.0001,Control!$C$119-$CY293)))</f>
        <v>#DIV/0!</v>
      </c>
      <c r="MY293" s="54" t="e">
        <f ca="1">IF(Control!$C$114=1, $CX293*$MX293, 0)</f>
        <v>#DIV/0!</v>
      </c>
      <c r="MZ293" s="54" t="e">
        <f t="shared" ca="1" si="1122"/>
        <v>#N/A</v>
      </c>
      <c r="NA293" s="168" t="e">
        <f ca="1">(Control!$C$128-$MX293)*(Control!$C$119-Control!$C$74)</f>
        <v>#DIV/0!</v>
      </c>
      <c r="NB293" s="168" t="e">
        <f ca="1">(Control!$C$135-$MX293)*(Control!$C$119-Control!$C$74)</f>
        <v>#DIV/0!</v>
      </c>
      <c r="NC293" s="174" t="e">
        <f t="shared" ca="1" si="1123"/>
        <v>#DIV/0!</v>
      </c>
      <c r="ND293" s="54">
        <f ca="1">IF(Control!$C$58=2, IF(OR(Control!$B$218=$AH293,Control!$B$219=$AH293, Control!$B$220=$AH293, Control!$B$221=$AH293, Control!$B$222=$AH293, Control!$B$223=$AH293, Control!$B$224=$AH293, Control!$B$225=$AH293, Control!$B$226=$AH293, Control!$B$227=$AH293, Control!$B$228=$AH293), 1, 0), 0)</f>
        <v>0</v>
      </c>
      <c r="NE293" s="54">
        <f ca="1">IF($ND293=0,0, VLOOKUP($AH293,Control!$B$218:$C$228,2))</f>
        <v>0</v>
      </c>
      <c r="NF293" s="168" t="e">
        <f ca="1">$CY293*(Control!$C$128-Control!$C$127)</f>
        <v>#N/A</v>
      </c>
      <c r="NG293" s="54" t="e">
        <f ca="1">IF(Control!$C$58=2, $NI292-$NJ292, 0)</f>
        <v>#DIV/0!</v>
      </c>
      <c r="NH293" s="54" t="e">
        <f ca="1">IF(AND(Control!$C$58=1, $MS292&lt;= ($MN292+0.02), $I292&lt;10), 0, IF(Control!$C$58=2, $NG292, 0))</f>
        <v>#DIV/0!</v>
      </c>
      <c r="NI293" s="54" t="e">
        <f ca="1">IF(Control!$C$58=2, $NE293+$NH293,0)</f>
        <v>#DIV/0!</v>
      </c>
      <c r="NJ293" s="54" t="e">
        <f ca="1">IF(AND(Control!$C$58=1, $MS293&lt;= ($MN293+0.02), $I293&lt;10), MAX(0, MIN(10, 0.7*($NF293-$MV293))), IF(Control!$C$58=2, MIN(10,$NI293),0))</f>
        <v>#DIV/0!</v>
      </c>
      <c r="NK293" s="54" t="e">
        <f t="shared" ca="1" si="1031"/>
        <v>#DIV/0!</v>
      </c>
      <c r="NL293" s="173" t="e">
        <f ca="1">(1-Control!$C$73)*$I293+$NJ293</f>
        <v>#DIV/0!</v>
      </c>
      <c r="NM293" s="172" t="e">
        <f ca="1">IF($NL293&lt;0.5, $MB293* MAX(0, MIN(1, (SQRT($NC293)-SQRT($NC293-1))*Control!$C$71)),0)</f>
        <v>#DIV/0!</v>
      </c>
      <c r="NN293" s="170" t="e">
        <f ca="1">IF($NL293&gt;=5, $MB293, MAX(0,MIN($MB293, $NM293+$NL293,($MS293-Control!$C$129))))</f>
        <v>#DIV/0!</v>
      </c>
      <c r="NO293" s="54">
        <f>IF(Control!$C$133&lt;&gt;1, Control!$C$135-Control!$C$131, 0)</f>
        <v>0.38</v>
      </c>
      <c r="NP293" s="54" t="e">
        <f t="shared" ca="1" si="1032"/>
        <v>#DIV/0!</v>
      </c>
      <c r="NQ293" s="173" t="e">
        <f ca="1">MAX(0,MIN(1,(Control!$C$135-$MS293)/(Control!$C$135-$NO293)))</f>
        <v>#DIV/0!</v>
      </c>
      <c r="NR293" s="170" t="e">
        <f ca="1">IF(Control!$C$133&lt;&gt;1, $NQ293+((1-$NP293/4)*(1-$NQ293)),1)</f>
        <v>#DIV/0!</v>
      </c>
      <c r="NS293" s="170" t="e">
        <f ca="1">IF(Control!$B$31=0,$MJ293,MAX(0,MIN($MV293,$MO293*$NR293*$MJ293)))</f>
        <v>#DIV/0!</v>
      </c>
      <c r="NT293" s="170" t="e">
        <f t="shared" ca="1" si="1148"/>
        <v>#DIV/0!</v>
      </c>
      <c r="NU293" s="170" t="e">
        <f t="shared" ca="1" si="1124"/>
        <v>#N/A</v>
      </c>
      <c r="NV293" s="170" t="e">
        <f t="shared" ca="1" si="1033"/>
        <v>#N/A</v>
      </c>
      <c r="NW293" s="175" t="e">
        <f t="shared" ca="1" si="1034"/>
        <v>#DIV/0!</v>
      </c>
      <c r="NX293" s="170" t="e">
        <f ca="1">MIN(Control!$C$72+$MU293, $NW293)</f>
        <v>#DIV/0!</v>
      </c>
      <c r="NY293" s="170" t="e">
        <f ca="1">IF($MT293&lt;=$NX293,MIN(Control!$C$72+$NB293,$NX293-$MT293),0)</f>
        <v>#DIV/0!</v>
      </c>
      <c r="NZ293" s="54" t="e">
        <f ca="1">IF(Control!$C$114=1,  $CX293*($MX293-Control!$C$127), 0)</f>
        <v>#DIV/0!</v>
      </c>
      <c r="OA293" s="170" t="e">
        <f t="shared" ca="1" si="1035"/>
        <v>#DIV/0!</v>
      </c>
      <c r="OB293" s="170" t="e">
        <f ca="1">IF($NA293 &lt;=$NY293, MIN(Control!$C$72, $NY293-$NA293), 0)</f>
        <v>#DIV/0!</v>
      </c>
      <c r="OC293" s="168" t="e">
        <f t="shared" ca="1" si="1036"/>
        <v>#DIV/0!</v>
      </c>
      <c r="OD293" s="168" t="e">
        <f t="shared" ca="1" si="1125"/>
        <v>#DIV/0!</v>
      </c>
      <c r="OE293" s="170">
        <f ca="1">Control!$C$73*$I293</f>
        <v>0</v>
      </c>
      <c r="OF293" s="176" t="e">
        <f t="shared" ca="1" si="1037"/>
        <v>#DIV/0!</v>
      </c>
      <c r="OG293" s="168" t="e">
        <f t="shared" ca="1" si="1038"/>
        <v>#DIV/0!</v>
      </c>
      <c r="OH293" s="168" t="e">
        <f t="shared" ca="1" si="1039"/>
        <v>#DIV/0!</v>
      </c>
      <c r="OI293" s="168" t="e">
        <f t="shared" ca="1" si="1040"/>
        <v>#DIV/0!</v>
      </c>
      <c r="OJ293" s="168" t="e">
        <f t="shared" ca="1" si="1041"/>
        <v>#DIV/0!</v>
      </c>
      <c r="OK293" s="204" t="e">
        <f t="shared" ca="1" si="1042"/>
        <v>#DIV/0!</v>
      </c>
      <c r="OL293" s="177">
        <f>Control!$C$127</f>
        <v>0.15</v>
      </c>
      <c r="OM293" s="182" t="e">
        <f t="shared" ca="1" si="1043"/>
        <v>#N/A</v>
      </c>
      <c r="ON293" s="177">
        <f>Control!$C$128</f>
        <v>0.35</v>
      </c>
      <c r="OO293" s="182" t="e">
        <f t="shared" ca="1" si="1044"/>
        <v>#N/A</v>
      </c>
      <c r="OP293" s="138">
        <f t="shared" ca="1" si="1126"/>
        <v>0</v>
      </c>
      <c r="OQ293" s="138" t="e">
        <f t="shared" ca="1" si="1149"/>
        <v>#DIV/0!</v>
      </c>
      <c r="OR293" s="138" t="e">
        <f t="shared" ca="1" si="1127"/>
        <v>#DIV/0!</v>
      </c>
      <c r="OS293" s="137" t="e">
        <f t="shared" ca="1" si="1150"/>
        <v>#DIV/0!</v>
      </c>
      <c r="OT293" s="139" t="e">
        <f t="shared" ca="1" si="1151"/>
        <v>#DIV/0!</v>
      </c>
      <c r="OU293" s="138" t="e">
        <f t="shared" ca="1" si="1152"/>
        <v>#N/A</v>
      </c>
      <c r="OV293" s="138" t="e">
        <f t="shared" ca="1" si="1153"/>
        <v>#DIV/0!</v>
      </c>
      <c r="OW293" s="138" t="e">
        <f t="shared" ca="1" si="1128"/>
        <v>#DIV/0!</v>
      </c>
      <c r="OX293" s="138" t="e">
        <f t="shared" ca="1" si="1129"/>
        <v>#DIV/0!</v>
      </c>
      <c r="OY293" s="138" t="e">
        <f t="shared" ca="1" si="1130"/>
        <v>#DIV/0!</v>
      </c>
      <c r="OZ293" s="138" t="e">
        <f t="shared" ca="1" si="1045"/>
        <v>#DIV/0!</v>
      </c>
      <c r="PA293" s="138" t="e">
        <f t="shared" ca="1" si="1046"/>
        <v>#DIV/0!</v>
      </c>
      <c r="PB293" s="55">
        <f>IF(Control!$C$61="T", IF(Control!$C$65="F", IF($AH$6-Control!$C$60&lt;0,0,1), IF(365+$AH$6-Control!$C$60&lt;0,0,1)),0)</f>
        <v>0</v>
      </c>
      <c r="PC293" s="55">
        <f ca="1">IF(Control!$C$65="F", IF($AH$6-$HF293&lt;0,0,1), IF(365+$AH$6-$HF293&lt;0,0,1))</f>
        <v>1</v>
      </c>
      <c r="PD293" s="444">
        <f>Control!$C$118</f>
        <v>1500</v>
      </c>
      <c r="PE293" s="180" t="e">
        <f t="shared" ca="1" si="1047"/>
        <v>#N/A</v>
      </c>
      <c r="PF293" s="445">
        <f t="shared" ca="1" si="1131"/>
        <v>0.71612369323045078</v>
      </c>
      <c r="PT293" s="186"/>
      <c r="PU293" s="186"/>
      <c r="PV293" s="94"/>
      <c r="PW293" s="94"/>
      <c r="PX293" s="94"/>
      <c r="PY293" s="94"/>
      <c r="PZ293" s="94"/>
      <c r="QA293" s="94"/>
      <c r="QB293" s="94"/>
      <c r="QC293" s="94"/>
      <c r="QD293" s="94"/>
      <c r="QE293" s="94"/>
      <c r="QF293" s="94"/>
      <c r="QG293" s="94"/>
      <c r="QH293" s="94"/>
      <c r="QI293" s="94"/>
      <c r="QJ293" s="94"/>
      <c r="QK293" s="94"/>
      <c r="QL293" s="94"/>
      <c r="QM293" s="94"/>
      <c r="QN293" s="94"/>
      <c r="QO293" s="94"/>
      <c r="QP293" s="94"/>
    </row>
    <row r="294" spans="1:458" s="2" customFormat="1" x14ac:dyDescent="0.2">
      <c r="A294" s="395">
        <v>16</v>
      </c>
      <c r="B294" s="396">
        <v>10</v>
      </c>
      <c r="C294" s="387">
        <f ca="1">Weather_data!$B293</f>
        <v>0</v>
      </c>
      <c r="D294" s="388">
        <f ca="1">Weather_data!$F293</f>
        <v>0</v>
      </c>
      <c r="E294" s="388">
        <f ca="1">Weather_data!$E293</f>
        <v>0</v>
      </c>
      <c r="F294" s="388">
        <f t="shared" ca="1" si="1048"/>
        <v>0</v>
      </c>
      <c r="G294" s="388">
        <f ca="1">AVERAGE($D294:$E294)+Control!$B$9</f>
        <v>0</v>
      </c>
      <c r="H294" s="388">
        <f ca="1">Weather_data!$G293</f>
        <v>0</v>
      </c>
      <c r="I294" s="388">
        <f ca="1">Weather_data!$I293</f>
        <v>0</v>
      </c>
      <c r="J294" s="388">
        <f ca="1">Weather_data!$H293</f>
        <v>0</v>
      </c>
      <c r="K294" s="389">
        <f ca="1">Weather_data!$D293</f>
        <v>0</v>
      </c>
      <c r="L294" s="388" t="e">
        <f t="shared" ca="1" si="1049"/>
        <v>#N/A</v>
      </c>
      <c r="M294" s="388" t="e">
        <f t="shared" ca="1" si="927"/>
        <v>#N/A</v>
      </c>
      <c r="N294" s="388">
        <f t="shared" ca="1" si="928"/>
        <v>-3.3175136836491224E-14</v>
      </c>
      <c r="O294" s="388">
        <f t="shared" ca="1" si="1050"/>
        <v>3.3175136836491224E-13</v>
      </c>
      <c r="P294" s="390">
        <v>3</v>
      </c>
      <c r="Q294" s="388">
        <f ca="1">MAX($G294-Control!$C$107,0)</f>
        <v>0</v>
      </c>
      <c r="R294" s="388">
        <f t="shared" ca="1" si="1051"/>
        <v>0</v>
      </c>
      <c r="S294" s="388">
        <f t="shared" ca="1" si="929"/>
        <v>0</v>
      </c>
      <c r="T294" s="388">
        <f t="shared" ca="1" si="930"/>
        <v>0</v>
      </c>
      <c r="U294" s="59">
        <f t="shared" ca="1" si="931"/>
        <v>0</v>
      </c>
      <c r="V294" s="391">
        <f ca="1">MAX(0,MIN(Control!$C$100-Control!$C$99,$G294-Control!$C$99)*Control!$C$63)</f>
        <v>0</v>
      </c>
      <c r="W294" s="388">
        <f t="shared" ca="1" si="1052"/>
        <v>0</v>
      </c>
      <c r="X294" s="388">
        <f t="shared" ca="1" si="1053"/>
        <v>0.6110000000000001</v>
      </c>
      <c r="Y294" s="388">
        <f t="shared" ca="1" si="932"/>
        <v>0</v>
      </c>
      <c r="Z294" s="388">
        <f t="shared" ca="1" si="1054"/>
        <v>0.61058800000000002</v>
      </c>
      <c r="AA294" s="388">
        <f t="shared" ca="1" si="933"/>
        <v>0.6018</v>
      </c>
      <c r="AB294" s="388">
        <f ca="1">101.3*EXP(-0.034*Control!$C$66/($G294+273))</f>
        <v>100.69623283836242</v>
      </c>
      <c r="AC294" s="392">
        <f t="shared" ca="1" si="934"/>
        <v>4.3460251046025113E-2</v>
      </c>
      <c r="AD294" s="392">
        <f t="shared" ca="1" si="935"/>
        <v>4.4450382862832649E-2</v>
      </c>
      <c r="AE294" s="388">
        <f t="shared" ca="1" si="936"/>
        <v>0</v>
      </c>
      <c r="AF294" s="388">
        <f ca="1">MAX(0,$G294-Control!$C$92)</f>
        <v>0</v>
      </c>
      <c r="AG294" s="393">
        <f t="shared" ca="1" si="937"/>
        <v>290</v>
      </c>
      <c r="AH294" s="389">
        <f t="shared" ca="1" si="938"/>
        <v>290</v>
      </c>
      <c r="AI294" s="388">
        <f t="shared" ca="1" si="1055"/>
        <v>-0.17465608685123252</v>
      </c>
      <c r="AJ294" s="388">
        <f ca="1">IF(Control!$C$60&lt;=0,$HH294,$HI294)</f>
        <v>1</v>
      </c>
      <c r="AK294" s="388">
        <f t="shared" ca="1" si="939"/>
        <v>3.6149833274183925</v>
      </c>
      <c r="AL294" s="388">
        <f t="shared" ca="1" si="940"/>
        <v>-8.6561695311626609E-18</v>
      </c>
      <c r="AM294" s="388">
        <f t="shared" ca="1" si="941"/>
        <v>3.6149833274183925</v>
      </c>
      <c r="AN294" s="388">
        <f t="shared" ca="1" si="942"/>
        <v>-0.18236888620781705</v>
      </c>
      <c r="AO294" s="388">
        <f ca="1">-0.10453/COS(Control!$B$8*PI()/180)*COS(AN294)</f>
        <v>-0.16696929330621521</v>
      </c>
      <c r="AP294" s="388">
        <f ca="1">ACOS(AO294-TAN(Control!$B$8*PI()/180)*TAN(AN294))</f>
        <v>1.5016664035361897</v>
      </c>
      <c r="AQ294" s="388">
        <f t="shared" ca="1" si="1056"/>
        <v>0</v>
      </c>
      <c r="AR294" s="394">
        <f t="shared" ca="1" si="943"/>
        <v>0</v>
      </c>
      <c r="AS294" s="436">
        <f ca="1">IF(Control!$B$18=2,(IF(OR($AH294=Control!$B$175,$AH294=Control!$B$176,$AH294=Control!$B$177,$AH294=Control!$B$178,$AH294=Control!$B$179,$AH294=Control!$B$180,$AH294=Control!$B$181,$AH294=Control!$B$182,$AH294=Control!$B$183,$AH294=Control!$B$184,$AH294=Control!$B$185),1,0)),0)</f>
        <v>0</v>
      </c>
      <c r="AT294" s="436">
        <f>IF(Control!$B$20=8,IF(AND($AH294&gt;=Control!$B$172,$AH294&lt;=Control!$B$173),1,0),0)</f>
        <v>0</v>
      </c>
      <c r="AU294" s="436">
        <f>IF(Control!$B$20=8,IF($AV293=1,1*$AT294,IF($AT294=1,$AU293+1,$AU293)),0)</f>
        <v>0</v>
      </c>
      <c r="AV294" s="436">
        <f>IF(Control!$B$20=8,IF($AU294&gt;=Control!$B$174,1,0),0)</f>
        <v>0</v>
      </c>
      <c r="AW294" s="436">
        <f ca="1">IF(AND(Control!$B$18=2,Control!$B$171=1), $AV294, $AS294)</f>
        <v>0</v>
      </c>
      <c r="AX294" s="436" t="e">
        <f ca="1">IF(AND(Control!$B$18=1,$EU294&gt;=Control!$B$19),-$AY294,IF(AND(Control!$B$18=2,$AW294=1,$EU294&gt;$DS294),-$AY294, IF(Control!$C$108=0,0, IF(Control!$C$108&lt;&gt;0,1))))</f>
        <v>#N/A</v>
      </c>
      <c r="AY294" s="436" t="e">
        <f t="shared" ca="1" si="1057"/>
        <v>#N/A</v>
      </c>
      <c r="AZ294" s="436" t="e">
        <f ca="1">IF(AND(Control!$B$18=1,$EB294&gt;Control!$B$19),$AZ293+1, IF(AND(Control!$B$18=2, $AW294=1, $EB294&gt;$DS294), $AZ293+1,$AZ293))</f>
        <v>#N/A</v>
      </c>
      <c r="BA294" s="587">
        <f>IF(Control!$C$81=0,1,IF($AH294&gt;=Control!$C$82,1,0))</f>
        <v>1</v>
      </c>
      <c r="BB294" s="140" t="e">
        <f ca="1">IF($BA294&gt;$BA293,Control!$C$83,IF($AW294&gt;0,$AW294*Control!$C$84,IF(AND(Control!$B$18=1,EN293&lt;&gt;0),Control!$C$84,0)))</f>
        <v>#N/A</v>
      </c>
      <c r="BC294" s="140" t="e">
        <f t="shared" ca="1" si="1058"/>
        <v>#N/A</v>
      </c>
      <c r="BD294" s="140" t="e">
        <f ca="1">BC294*IF(OR($G294&lt;Control!$C$92,$G294&gt;Control!$C$95),0,IF(AND($G294&gt;=Control!$C$92,$G294&lt;=Control!$C$93),$G294-Control!$C$92,IF(AND($G294&gt;Control!$C$93,$G294&lt;=Control!$C$94),Control!$C$93-Control!$C$92,IF(AND($G294&gt;Control!$C$94,$G294&lt;=Control!$C$95),(Control!$C$93-Control!$C$92)*(Control!$C$94-$G294)/(Control!$C$95-Control!$C$94)))))</f>
        <v>#N/A</v>
      </c>
      <c r="BE294" s="140" t="e">
        <f t="shared" ca="1" si="1059"/>
        <v>#N/A</v>
      </c>
      <c r="BF294" s="140" t="e">
        <f ca="1">IF($BE294&lt;=Control!$C$86,$BE294,Control!$C$86-$BE294)</f>
        <v>#N/A</v>
      </c>
      <c r="BG294" s="140" t="e">
        <f ca="1">IF(AND($AW294=1,Control!$C$84&lt;9),1,IF($BE294&gt;=Control!$C$86,0,$BC294))</f>
        <v>#N/A</v>
      </c>
      <c r="BH294" s="404" t="e">
        <f ca="1">IF($BG294=0,0,IF($BE294&lt;=Control!$C$86,$BC294*9*($BF294/Control!$C$86),0))</f>
        <v>#N/A</v>
      </c>
      <c r="BI294" s="140" t="e">
        <f ca="1">IF($BG294=1,0,IF($BE294&gt;=Control!$C$86,1,IF(AND($BB294&lt;21,$BB294&gt;=9),1,$BM293)))</f>
        <v>#N/A</v>
      </c>
      <c r="BJ294" s="140" t="e">
        <f ca="1">IF($BF294&lt;0,-$BF294,$BI294*IF(OR($G294&lt;Control!$C$92,$G294&gt;Control!$C$95),0,IF(AND($G294&gt;=Control!$C$92,$G294&lt;=Control!$C$93),$G294-Control!$C$92,IF(AND($G294&gt;Control!$C$93,$G294&lt;=Control!$C$94),Control!$C$93-Control!$C$92,IF(AND($G294&gt;Control!$C$94,$G294&lt;=Control!$C$95),(Control!$C$93-Control!$C$92)*(Control!$C$94-$G294)/(Control!$C$95-Control!$C$94))))))</f>
        <v>#N/A</v>
      </c>
      <c r="BK294" s="140" t="e">
        <f t="shared" ca="1" si="1060"/>
        <v>#N/A</v>
      </c>
      <c r="BL294" s="140" t="e">
        <f ca="1">IF($BK294&lt;=Control!$C$87,$BK294,Control!$C$87-$BK294)</f>
        <v>#N/A</v>
      </c>
      <c r="BM294" s="140" t="e">
        <f ca="1">IF(AND($BB294&gt;=9,$BB294&lt;21),1,IF($BK294&gt;=Control!$C$87,0,$BI294))</f>
        <v>#N/A</v>
      </c>
      <c r="BN294" s="404" t="e">
        <f ca="1">IF($BM294=0,0,IF($BK294&lt;=Control!$C$87,$BI294*(9+(21-9)*($BL294/Control!$C$87)),0))</f>
        <v>#N/A</v>
      </c>
      <c r="BO294" s="140" t="e">
        <f ca="1">IF($BM294=1,0,IF($BK294&gt;=Control!$C$87,1,IF(AND($BB294&lt;30,$BB294&gt;=21),1,$BS293)))</f>
        <v>#N/A</v>
      </c>
      <c r="BP294" s="140" t="e">
        <f ca="1">IF($BL294&lt;0,-$BL294,$BO294*IF(OR($G294&lt;Control!$C$92,$G294&gt;Control!$C$95),0,IF(AND($G294&gt;=Control!$C$92,$G294&lt;=Control!$C$93),$G294-Control!$C$92,IF(AND($G294&gt;Control!$C$93,$G294&lt;=Control!$C$94),Control!$C$93-Control!$C$92,IF(AND($G294&gt;Control!$C$94,$G294&lt;=Control!$C$95),(Control!$C$93-Control!$C$92)*(Control!$C$94-$G294)/(Control!$C$95-Control!$C$94))))))</f>
        <v>#N/A</v>
      </c>
      <c r="BQ294" s="140" t="e">
        <f t="shared" ca="1" si="944"/>
        <v>#N/A</v>
      </c>
      <c r="BR294" s="140" t="e">
        <f ca="1">IF($BQ294&lt;=Control!$C$88,$BQ294,Control!$C$88-$BQ294)</f>
        <v>#N/A</v>
      </c>
      <c r="BS294" s="140" t="e">
        <f ca="1">IF(AND($BB294&gt;=21,$BB294&lt;30),1,IF($BQ294&gt;=Control!$C$88,0,$BO294))</f>
        <v>#N/A</v>
      </c>
      <c r="BT294" s="404" t="e">
        <f ca="1">IF($BS294=0,0,IF($BQ294&lt;=Control!$C$88,$BO294*(21+(30-21)*(BR294/Control!$C$88)),0))</f>
        <v>#N/A</v>
      </c>
      <c r="BU294" s="140" t="e">
        <f ca="1">IF(BG294+BM294+BS294=1,0,IF(OR(AND($BB294&lt;60,$BB294&gt;=30),$BQ294&gt;=Control!$C$88),1*$BA294,$BY293))</f>
        <v>#N/A</v>
      </c>
      <c r="BV294" s="140" t="e">
        <f ca="1">IF($BR294&lt;0,-$BR294,$BU294*IF(OR($G294&lt;Control!$C$92,$G294&gt;Control!$C$95),0,IF(AND($G294&gt;=Control!$C$92,$G294&lt;=Control!$C$93),$G294-Control!$C$92,IF(AND($G294&gt;Control!$C$93,$G294&lt;=Control!$C$94),Control!$C$93-Control!$C$92,IF(AND($G294&gt;Control!$C$94,$G294&lt;=Control!$C$95),(Control!$C$93-Control!$C$92)*(Control!$C$94-$G294)/(Control!$C$95-Control!$C$94))))))</f>
        <v>#N/A</v>
      </c>
      <c r="BW294" s="140" t="e">
        <f t="shared" ca="1" si="945"/>
        <v>#N/A</v>
      </c>
      <c r="BX294" s="140" t="e">
        <f ca="1">IF($BW294&lt;=Control!$C$89,$BW294,Control!$C$89-$BW294)</f>
        <v>#N/A</v>
      </c>
      <c r="BY294" s="140" t="e">
        <f ca="1">IF(AND($AJ294&gt;=30,$AJ294&lt;60),1,IF($BW294&gt;=Control!$C$89,0,$BU294))</f>
        <v>#N/A</v>
      </c>
      <c r="BZ294" s="404" t="e">
        <f ca="1">IF($BY294=0,0,IF($BW294&lt;=Control!$C$89,$BU294*(30+(60-30)*(BX294/Control!$C$89)),0))</f>
        <v>#N/A</v>
      </c>
      <c r="CA294" s="140" t="e">
        <f ca="1">IF($BG294+$BM294+$BS294+$BY294=1,0,IF(OR(AND($BB294&lt;65,$BB294&gt;=60),$BW294&gt;=Control!$C$89),1*$BA294,$CE293))</f>
        <v>#N/A</v>
      </c>
      <c r="CB294" s="140" t="e">
        <f ca="1">IF($BX294&lt;0,-$BX294,$CA294*IF(OR($G294&lt;Control!$C$92,$G294&gt;Control!$C$95),0,IF(AND($G294&gt;=Control!$C$92,$G294&lt;=Control!$C$93),$G294-Control!$C$92,IF(AND($G294&gt;Control!$C$93,$G294&lt;=Control!$C$94),Control!$C$93-Control!$C$92,IF(AND($G294&gt;Control!$C$94,$G294&lt;=Control!$C$95),(Control!$C$93-Control!$C$92)*(Control!$C$94-$G294)/(Control!$C$95-Control!$C$94))))))</f>
        <v>#N/A</v>
      </c>
      <c r="CC294" s="140" t="e">
        <f t="shared" ca="1" si="1061"/>
        <v>#N/A</v>
      </c>
      <c r="CD294" s="140" t="e">
        <f ca="1">IF($CC294&lt;=Control!$C$90,$CC294,Control!$C$90-$CC294)</f>
        <v>#N/A</v>
      </c>
      <c r="CE294" s="140" t="e">
        <f ca="1">IF(AND($BB294&gt;=60,$BB294&lt;65),1,IF($CC294&gt;=Control!$C$90,0,$CA294))</f>
        <v>#N/A</v>
      </c>
      <c r="CF294" s="404" t="e">
        <f ca="1">IF($CE294=0,0,IF($CC294&lt;=Control!$C$90,$CA294*(60+(65-60)*(CD294/Control!$C$90)),0))</f>
        <v>#N/A</v>
      </c>
      <c r="CG294" s="140" t="e">
        <f ca="1">IF($BG294+$BM294+$BS294+$BY294+$CE294=1,0,IF(OR(AND($BB294&lt;90,$BB294&gt;=65),$CC294&gt;=Control!$C$90),$BA294,$CK293))</f>
        <v>#N/A</v>
      </c>
      <c r="CH294" s="140" t="e">
        <f ca="1">IF($CD294&lt;0,-$CD294,$CG294*IF(OR($G294&lt;Control!$C$92,$G294&gt;Control!$C$95),0,IF(AND($G294&gt;=Control!$C$92,$G294&lt;=Control!$C$93),$G294-Control!$C$92,IF(AND($G294&gt;Control!$C$93,$G294&lt;=Control!$C$94),Control!$C$93-Control!$C$92,IF(AND($G294&gt;Control!$C$94,$G294&lt;=Control!$C$95),(Control!$C$93-Control!$C$92)*(Control!$C$94-$G294)/(Control!$C$95-Control!$C$94))))))</f>
        <v>#N/A</v>
      </c>
      <c r="CI294" s="140" t="e">
        <f t="shared" ca="1" si="1062"/>
        <v>#N/A</v>
      </c>
      <c r="CJ294" s="140" t="e">
        <f ca="1">IF($CI294&lt;=Control!$C$91,$CI294,Control!$C$91-$CI294)</f>
        <v>#N/A</v>
      </c>
      <c r="CK294" s="140" t="e">
        <f ca="1">IF(AND($BB294&gt;=65,$BB294&lt;90),1,IF($CI294&gt;=Control!$C$91,0,$CG294))</f>
        <v>#N/A</v>
      </c>
      <c r="CL294" s="404" t="e">
        <f ca="1">IF($CK294=0,0,IF($CI294&lt;=Control!$C$91,$CG294*(65+(90-65)*($CJ294/Control!$C$91)),0))</f>
        <v>#N/A</v>
      </c>
      <c r="CM294" s="140" t="e">
        <f ca="1">IF($BG294+$BM294+$BS294+$BY294+$CE294+$CK294=1,0,IF(OR($BB294&gt;=90,$CI294&gt;=Control!$C$91),$BA294,$CM293))</f>
        <v>#N/A</v>
      </c>
      <c r="CN294" s="140" t="e">
        <f t="shared" ca="1" si="1063"/>
        <v>#N/A</v>
      </c>
      <c r="CO294" s="140" t="e">
        <f t="shared" ca="1" si="1064"/>
        <v>#N/A</v>
      </c>
      <c r="CP294" s="140" t="e">
        <f t="shared" ca="1" si="1065"/>
        <v>#N/A</v>
      </c>
      <c r="CQ294" s="141" t="e">
        <f ca="1">VLOOKUP($CP294,Control!$B$86:$G$91,6)</f>
        <v>#N/A</v>
      </c>
      <c r="CR294" s="141" t="e">
        <f ca="1">(1-$CQ294)*VLOOKUP($CP294,Control!$B$86:$D$91,3)</f>
        <v>#N/A</v>
      </c>
      <c r="CS294" s="141" t="e">
        <f ca="1">(1-$CQ294)*VLOOKUP($CP294,Control!$B$86:$E$91,4)</f>
        <v>#N/A</v>
      </c>
      <c r="CT294" s="141" t="e">
        <f ca="1">(1-$CQ294)*VLOOKUP($CP294,Control!$B$86:$F$91,5)</f>
        <v>#N/A</v>
      </c>
      <c r="CU294" s="141">
        <f t="shared" ca="1" si="1066"/>
        <v>0</v>
      </c>
      <c r="CV294" s="583">
        <f t="shared" ca="1" si="1067"/>
        <v>0</v>
      </c>
      <c r="CW294" s="142">
        <f t="shared" ca="1" si="1068"/>
        <v>290</v>
      </c>
      <c r="CX294" s="612" t="e">
        <f ca="1">IF(Control!$C$114=1,(MIN(Control!$C$120*(IF($NT294-0.01&lt;0,0,1)),Control!$C$119-$CY294)))</f>
        <v>#DIV/0!</v>
      </c>
      <c r="CY294" s="143" t="e">
        <f t="shared" ca="1" si="1069"/>
        <v>#N/A</v>
      </c>
      <c r="CZ294" s="144">
        <f t="shared" ca="1" si="946"/>
        <v>0</v>
      </c>
      <c r="DA294" s="144">
        <f t="shared" ca="1" si="947"/>
        <v>0</v>
      </c>
      <c r="DB294" s="144" t="e">
        <f t="shared" ca="1" si="948"/>
        <v>#N/A</v>
      </c>
      <c r="DC294" s="144" t="e">
        <f t="shared" ca="1" si="949"/>
        <v>#N/A</v>
      </c>
      <c r="DD294" s="144" t="e">
        <f t="shared" ca="1" si="1154"/>
        <v>#N/A</v>
      </c>
      <c r="DE294" s="143" t="e">
        <f t="shared" ca="1" si="1070"/>
        <v>#N/A</v>
      </c>
      <c r="DF294" s="145" t="e">
        <f ca="1">$DR294*EXP(-Control!$C$158*(1-$KH294))</f>
        <v>#N/A</v>
      </c>
      <c r="DG294" s="146" t="e">
        <f ca="1">IF(Control!$C$114=1, $DF294*$EY294, 0)</f>
        <v>#N/A</v>
      </c>
      <c r="DH294" s="147" t="e">
        <f t="shared" ca="1" si="1071"/>
        <v>#N/A</v>
      </c>
      <c r="DI294" s="144" t="e">
        <f t="shared" ca="1" si="1132"/>
        <v>#N/A</v>
      </c>
      <c r="DJ294" s="147" t="e">
        <f ca="1">$EF294*Control!$C$109</f>
        <v>#N/A</v>
      </c>
      <c r="DK294" s="144" t="e">
        <f t="shared" ca="1" si="1072"/>
        <v>#N/A</v>
      </c>
      <c r="DL294" s="144" t="e">
        <f t="shared" ca="1" si="950"/>
        <v>#N/A</v>
      </c>
      <c r="DM294" s="144" t="e">
        <f ca="1">IF(Control!$C$114=1, (1-EXP(-Control!$C$96*$DK294))*$AR294, 0)</f>
        <v>#N/A</v>
      </c>
      <c r="DN294" s="144">
        <f t="shared" ca="1" si="1073"/>
        <v>0</v>
      </c>
      <c r="DO294" s="148">
        <f>Control!$C$97</f>
        <v>4</v>
      </c>
      <c r="DP294" s="145" t="e">
        <f t="shared" ca="1" si="1074"/>
        <v>#N/A</v>
      </c>
      <c r="DQ294" s="145" t="e">
        <f ca="1">IF(AND($CP294&gt;=0,$CP294&lt;=90),Control!$C$111,Control!$C$111)</f>
        <v>#N/A</v>
      </c>
      <c r="DR294" s="145" t="e">
        <f t="shared" ca="1" si="951"/>
        <v>#N/A</v>
      </c>
      <c r="DS294" s="143" t="e">
        <f ca="1">Control!$B$22/$DR294</f>
        <v>#N/A</v>
      </c>
      <c r="DT294" s="149" t="e">
        <f ca="1">IF(AND(Control!$C$114=1,$KH294&lt;1),$IM294*$DF294, 0)</f>
        <v>#N/A</v>
      </c>
      <c r="DU294" s="144" t="e">
        <f t="shared" ca="1" si="1075"/>
        <v>#N/A</v>
      </c>
      <c r="DV294" s="144">
        <f ca="1">IF($G294-Control!$C$107&lt;=0, 0, 0.83*LN(MAX($G294, 3))-0.8924)</f>
        <v>0</v>
      </c>
      <c r="DW294" s="144" t="e">
        <f t="shared" ca="1" si="952"/>
        <v>#N/A</v>
      </c>
      <c r="DX294" s="150" t="e">
        <f ca="1">MAX(0.01*(1+$CU294/Control!$C$102),0.05*($DK294-Control!$C$97)/Control!$C$97)</f>
        <v>#N/A</v>
      </c>
      <c r="DY294" s="151" t="e">
        <f ca="1">IF(Control!$C$114=1, $DI294*$FS294, 0)</f>
        <v>#N/A</v>
      </c>
      <c r="DZ294" s="196" t="e">
        <f t="shared" ca="1" si="1076"/>
        <v>#N/A</v>
      </c>
      <c r="EA294" s="152">
        <f t="shared" ca="1" si="1077"/>
        <v>290</v>
      </c>
      <c r="EB294" s="153" t="e">
        <f t="shared" ca="1" si="1078"/>
        <v>#N/A</v>
      </c>
      <c r="EC294" s="153" t="e">
        <f t="shared" ca="1" si="1079"/>
        <v>#N/A</v>
      </c>
      <c r="ED294" s="154" t="e">
        <f ca="1">IF(Control!$C$114=1, $HM294*$FY294-$FD294, 0)</f>
        <v>#DIV/0!</v>
      </c>
      <c r="EE294" s="155" t="e">
        <f ca="1">IF(Control!$C$114=1, $HM294*$FZ294-$FF294, 0)</f>
        <v>#DIV/0!</v>
      </c>
      <c r="EF294" s="153" t="e">
        <f t="shared" ca="1" si="1133"/>
        <v>#N/A</v>
      </c>
      <c r="EG294" s="155" t="e">
        <f ca="1">IF(Control!$C$114=1, $GX294*$FW294-$FI294, 0)</f>
        <v>#DIV/0!</v>
      </c>
      <c r="EH294" s="153" t="e">
        <f t="shared" ca="1" si="1080"/>
        <v>#N/A</v>
      </c>
      <c r="EI294" s="156" t="e">
        <f t="shared" ca="1" si="1081"/>
        <v>#N/A</v>
      </c>
      <c r="EJ294" s="155" t="e">
        <f ca="1">IF(Control!$C$114=1, $HM294*$GB294, 0)</f>
        <v>#DIV/0!</v>
      </c>
      <c r="EK294" s="153" t="e">
        <f t="shared" ca="1" si="1134"/>
        <v>#N/A</v>
      </c>
      <c r="EL294" s="153" t="e">
        <f t="shared" ca="1" si="953"/>
        <v>#N/A</v>
      </c>
      <c r="EM294" s="153" t="e">
        <f t="shared" ca="1" si="954"/>
        <v>#N/A</v>
      </c>
      <c r="EN294" s="153" t="e">
        <f ca="1">IF(Control!$C$108=1,IF(AND(Control!$B$18=1,$EB294&gt;=Control!$B$19),$EB294-$DS294,IF(AND(Control!$B$18=2,$AW294=1,$EB294&gt;$DS294),$EB294-$DS294,0)))</f>
        <v>#N/A</v>
      </c>
      <c r="EO294" s="153" t="e">
        <f ca="1">IF(Control!$C$108=1,IF(AND(Control!$B$18=1,$EB294&gt;=Control!$B$19),$EF294,IF(AND(Control!$B$18=2,$AW294=1),$EF294,0)))</f>
        <v>#N/A</v>
      </c>
      <c r="EP294" s="153" t="e">
        <f ca="1">IF(Control!$C$108=1,IF(AND(Control!$B$18=1,$EB294&gt;=Control!$B$19),$EK294,IF(AND(Control!$B$18=2,$AW294=1),$EK294,0)))</f>
        <v>#N/A</v>
      </c>
      <c r="EQ294" s="153" t="e">
        <f t="shared" ca="1" si="1082"/>
        <v>#N/A</v>
      </c>
      <c r="ER294" s="153" t="e">
        <f t="shared" ca="1" si="1083"/>
        <v>#N/A</v>
      </c>
      <c r="ES294" s="153" t="e">
        <f t="shared" ca="1" si="1135"/>
        <v>#N/A</v>
      </c>
      <c r="ET294" s="153" t="e">
        <f t="shared" ca="1" si="1136"/>
        <v>#N/A</v>
      </c>
      <c r="EU294" s="153" t="e">
        <f t="shared" ca="1" si="1084"/>
        <v>#N/A</v>
      </c>
      <c r="EV294" s="153" t="e">
        <f t="shared" ca="1" si="955"/>
        <v>#N/A</v>
      </c>
      <c r="EW294" s="153" t="e">
        <f t="shared" ca="1" si="956"/>
        <v>#N/A</v>
      </c>
      <c r="EX294" s="153" t="e">
        <f t="shared" ca="1" si="957"/>
        <v>#N/A</v>
      </c>
      <c r="EY294" s="157" t="e">
        <f t="shared" ca="1" si="958"/>
        <v>#DIV/0!</v>
      </c>
      <c r="EZ294" s="154" t="e">
        <f t="shared" ca="1" si="959"/>
        <v>#DIV/0!</v>
      </c>
      <c r="FA294" s="153" t="e">
        <f t="shared" ca="1" si="1085"/>
        <v>#N/A</v>
      </c>
      <c r="FB294" s="153" t="e">
        <f t="shared" ca="1" si="960"/>
        <v>#N/A</v>
      </c>
      <c r="FC294" s="193" t="e">
        <f t="shared" ca="1" si="961"/>
        <v>#N/A</v>
      </c>
      <c r="FD294" s="158" t="e">
        <f t="shared" ca="1" si="1086"/>
        <v>#N/A</v>
      </c>
      <c r="FE294" s="158" t="e">
        <f t="shared" ca="1" si="1087"/>
        <v>#N/A</v>
      </c>
      <c r="FF294" s="159" t="e">
        <f t="shared" ca="1" si="962"/>
        <v>#N/A</v>
      </c>
      <c r="FG294" s="160" t="e">
        <f t="shared" ca="1" si="1088"/>
        <v>#N/A</v>
      </c>
      <c r="FH294" s="158" t="e">
        <f t="shared" ca="1" si="1089"/>
        <v>#N/A</v>
      </c>
      <c r="FI294" s="159" t="e">
        <f t="shared" ca="1" si="963"/>
        <v>#N/A</v>
      </c>
      <c r="FJ294" s="160" t="e">
        <f t="shared" ca="1" si="1090"/>
        <v>#N/A</v>
      </c>
      <c r="FK294" s="160" t="e">
        <f t="shared" ca="1" si="964"/>
        <v>#N/A</v>
      </c>
      <c r="FL294" s="160" t="e">
        <f t="shared" ca="1" si="1137"/>
        <v>#N/A</v>
      </c>
      <c r="FM294" s="160" t="e">
        <f t="shared" ca="1" si="965"/>
        <v>#N/A</v>
      </c>
      <c r="FN294" s="158">
        <f t="shared" ca="1" si="1091"/>
        <v>0.01</v>
      </c>
      <c r="FO294" s="160">
        <f>Control!$C$101</f>
        <v>50</v>
      </c>
      <c r="FP294" s="150" t="e">
        <f t="shared" ca="1" si="966"/>
        <v>#N/A</v>
      </c>
      <c r="FQ294" s="150" t="e">
        <f ca="1">MAX(0,(Control!$C$112*(($DK294-Control!$C$97)/Control!$C$97)))</f>
        <v>#N/A</v>
      </c>
      <c r="FR294" s="150" t="e">
        <f ca="1">(1-$NT294)*Control!$C$113</f>
        <v>#DIV/0!</v>
      </c>
      <c r="FS294" s="198" t="e">
        <f t="shared" ca="1" si="967"/>
        <v>#N/A</v>
      </c>
      <c r="FT294" s="161">
        <f t="shared" ca="1" si="1092"/>
        <v>290</v>
      </c>
      <c r="FU294" s="162" t="e">
        <f ca="1">IF(Control!$B$34=1,VLOOKUP($CP294,Control!$B$86:$G$91,6),Control!$B$35)</f>
        <v>#N/A</v>
      </c>
      <c r="FV294" s="162" t="e">
        <f t="shared" ca="1" si="968"/>
        <v>#DIV/0!</v>
      </c>
      <c r="FW294" s="162" t="e">
        <f ca="1">IF(Control!$B$31=1,$FU294*$FV294,  $FU294)</f>
        <v>#N/A</v>
      </c>
      <c r="FX294" s="162" t="e">
        <f ca="1">IF(Control!$B$34=1,VLOOKUP($CP294,Control!$B$86:$G$91,3),Control!$B$36)</f>
        <v>#N/A</v>
      </c>
      <c r="FY294" s="162" t="e">
        <f t="shared" ca="1" si="969"/>
        <v>#N/A</v>
      </c>
      <c r="FZ294" s="162" t="e">
        <f ca="1">IF(Control!$B$34=1,VLOOKUP($CP294,Control!$B$86:$G$91,4),Control!$B$37)</f>
        <v>#N/A</v>
      </c>
      <c r="GA294" s="162" t="e">
        <f t="shared" ca="1" si="970"/>
        <v>#N/A</v>
      </c>
      <c r="GB294" s="162" t="e">
        <f ca="1">IF(Control!$B$34=1,VLOOKUP($CP294,Control!$B$86:$G$91,5),Control!$B$38)</f>
        <v>#N/A</v>
      </c>
      <c r="GC294" s="162" t="e">
        <f t="shared" ca="1" si="1093"/>
        <v>#N/A</v>
      </c>
      <c r="GD294" s="162">
        <f t="shared" ca="1" si="971"/>
        <v>1</v>
      </c>
      <c r="GE294" s="162">
        <f t="shared" ca="1" si="972"/>
        <v>1</v>
      </c>
      <c r="GF294" s="162">
        <f ca="1">IF(AND(Control!$C$104=1, Control!$C$62="F"),$GE294,1)</f>
        <v>1</v>
      </c>
      <c r="GG294" s="162" t="e">
        <f ca="1">IF(Control!$B$16=40,0,IF(AND(Control!$B$16&gt;40,Control!$B$16&lt;=360),(Control!$B$16-40)*((1-0)/(360-40)),IF(AND(Control!$B$16&gt;360,Control!$B$16&lt;=720),(1+(Control!$B$16-360)*((1.25-1)/(720-360))),IF(AND(Control!$B$16&gt;720,Control!$B$16&lt;=1000),(1.25+(Control!$B$16-720)*((1.35-1.25)/(1000-720))),IF(AND(Control!$B$16&gt;1000,Control!$B$16&lt;=2000),(1.35+(Control!$B$16-1000)*0))))))</f>
        <v>#N/A</v>
      </c>
      <c r="GH294" s="162" t="e">
        <f t="shared" ca="1" si="973"/>
        <v>#N/A</v>
      </c>
      <c r="GI294" s="162">
        <f t="shared" ca="1" si="1094"/>
        <v>0</v>
      </c>
      <c r="GJ294" s="162">
        <f t="shared" ca="1" si="974"/>
        <v>0</v>
      </c>
      <c r="GK294" s="162">
        <f t="shared" ca="1" si="1095"/>
        <v>1</v>
      </c>
      <c r="GL294" s="162">
        <f t="shared" ca="1" si="975"/>
        <v>1</v>
      </c>
      <c r="GM294" s="162" t="e">
        <f ca="1">MAX(0,MIN(1,1-Control!$C$156*(1.0001-$KH294)^2))</f>
        <v>#N/A</v>
      </c>
      <c r="GN294" s="162" t="e">
        <f ca="1">IF(Control!$B$26=1,$KU294,$KX294)</f>
        <v>#N/A</v>
      </c>
      <c r="GO294" s="162" t="e">
        <f ca="1">IF($CP294&lt;=60,Control!$C$105,IF($CP294&gt;=90,Control!$C$106,Control!$C$105+($CP294-60)*((Control!$C$106-Control!$C$105)/(90-60))))</f>
        <v>#N/A</v>
      </c>
      <c r="GP294" s="162" t="e">
        <f t="shared" ca="1" si="976"/>
        <v>#N/A</v>
      </c>
      <c r="GQ294" s="162" t="e">
        <f t="shared" ca="1" si="1096"/>
        <v>#N/A</v>
      </c>
      <c r="GR294" s="163" t="e">
        <f t="shared" ca="1" si="977"/>
        <v>#DIV/0!</v>
      </c>
      <c r="GS294" s="162" t="e">
        <f t="shared" ca="1" si="978"/>
        <v>#DIV/0!</v>
      </c>
      <c r="GT294" s="164" t="e">
        <f t="shared" ca="1" si="1097"/>
        <v>#N/A</v>
      </c>
      <c r="GU294" s="162" t="e">
        <f t="shared" ca="1" si="1098"/>
        <v>#N/A</v>
      </c>
      <c r="GV294" s="162" t="e">
        <f t="shared" ca="1" si="979"/>
        <v>#N/A</v>
      </c>
      <c r="GW294" s="162" t="e">
        <f t="shared" ca="1" si="980"/>
        <v>#DIV/0!</v>
      </c>
      <c r="GX294" s="162" t="e">
        <f t="shared" ca="1" si="1099"/>
        <v>#DIV/0!</v>
      </c>
      <c r="GY294" s="162" t="e">
        <f t="shared" ca="1" si="1100"/>
        <v>#DIV/0!</v>
      </c>
      <c r="GZ294" s="165" t="e">
        <f t="shared" ca="1" si="981"/>
        <v>#N/A</v>
      </c>
      <c r="HA294" s="162" t="e">
        <f ca="1">IF(Control!$C$114=1, $DI294*$FS294, 0)</f>
        <v>#N/A</v>
      </c>
      <c r="HB294" s="162" t="e">
        <f ca="1">$FA294/Control!$C$64</f>
        <v>#N/A</v>
      </c>
      <c r="HC294" s="162" t="e">
        <f t="shared" ca="1" si="982"/>
        <v>#DIV/0!</v>
      </c>
      <c r="HD294" s="162">
        <f ca="1">-ASIN(SIN(23.45*Control!$C$139)*COS(2*Control!$C$138*($AH294+10)/365))</f>
        <v>-0.17465608685123252</v>
      </c>
      <c r="HE294" s="165">
        <f t="shared" ca="1" si="1101"/>
        <v>0</v>
      </c>
      <c r="HF294" s="166">
        <f ca="1">IF(AND(Control!$C$61="T",$HE294&gt;=Control!$C$103,Control!$C$114=0),$AH294,Control!$C$59)</f>
        <v>1</v>
      </c>
      <c r="HG294" s="166">
        <f ca="1">IF(AND(Control!$C$61="T",$HE294&gt;=Control!$C$103,Control!$C$114=0),$HF294,Control!$C$59)</f>
        <v>1</v>
      </c>
      <c r="HH294" s="165">
        <f ca="1">IF(AND(OR(Control!$C$60&lt;=0, $AH294= Control!$C$59, Control!$C$60 &gt;0, $AH294 = Control!$C$60)), Control!$C$59, IF(Control!$C$60&gt;0, 0))</f>
        <v>1</v>
      </c>
      <c r="HI294" s="165">
        <f ca="1">IF(AND(OR(Control!$C$60&lt;=0, $AH294= Control!$C$59, Control!$C$60 &gt;0, $AH294 = Control!$C$60)), Control!$C$60, IF(Control!$C$60&lt;=0, 0))</f>
        <v>0</v>
      </c>
      <c r="HJ294" s="166">
        <f ca="1">IF(AND(Control!$C$62="F",$CV294&gt;=Control!$C$102),$AH294,0)</f>
        <v>0</v>
      </c>
      <c r="HK294" s="165" t="e">
        <f t="shared" ca="1" si="1138"/>
        <v>#N/A</v>
      </c>
      <c r="HL294" s="166">
        <f ca="1">IF(AND(Control!$C$61="T",$HE294&gt;=Control!$C$103,Control!$C$114=0),$HF294,0)</f>
        <v>0</v>
      </c>
      <c r="HM294" s="201" t="e">
        <f t="shared" ca="1" si="983"/>
        <v>#DIV/0!</v>
      </c>
      <c r="HN294" s="215">
        <f t="shared" ca="1" si="1102"/>
        <v>290</v>
      </c>
      <c r="HO294" s="216" t="e">
        <f ca="1">IF(AND($CP294&gt;=0, $CP294&lt;=90), Control!$C$152, Control!$C$152)</f>
        <v>#N/A</v>
      </c>
      <c r="HP294" s="216" t="e">
        <f t="shared" ca="1" si="984"/>
        <v>#N/A</v>
      </c>
      <c r="HQ294" s="217" t="e">
        <f ca="1">IF(OR(Control!$B$26=1,Control!$B$26=2),$KV294,$KS294)</f>
        <v>#DIV/0!</v>
      </c>
      <c r="HR294" s="218" t="e">
        <f t="shared" ca="1" si="1139"/>
        <v>#DIV/0!</v>
      </c>
      <c r="HS294" s="216" t="e">
        <f ca="1">Control!$C$154*$HP294</f>
        <v>#N/A</v>
      </c>
      <c r="HT294" s="216" t="e">
        <f ca="1">Control!$C$155*$HP294</f>
        <v>#N/A</v>
      </c>
      <c r="HU294" s="217" t="e">
        <f ca="1">Control!$C$161*$FI294</f>
        <v>#N/A</v>
      </c>
      <c r="HV294" s="218" t="e">
        <f t="shared" ca="1" si="1103"/>
        <v>#N/A</v>
      </c>
      <c r="HW294" s="218" t="e">
        <f ca="1">Control!$C$160*$FF294+$IP294*$EO294</f>
        <v>#N/A</v>
      </c>
      <c r="HX294" s="218" t="e">
        <f t="shared" ca="1" si="1140"/>
        <v>#N/A</v>
      </c>
      <c r="HY294" s="219" t="e">
        <f ca="1">IF(Control!$C$114=1, $EB294*$FS294, 0)</f>
        <v>#N/A</v>
      </c>
      <c r="HZ294" s="91" t="e">
        <f t="shared" ca="1" si="985"/>
        <v>#N/A</v>
      </c>
      <c r="IA294" s="220" t="e">
        <f ca="1">Control!$C$153*$HO294</f>
        <v>#N/A</v>
      </c>
      <c r="IB294" s="218" t="e">
        <f t="shared" ca="1" si="986"/>
        <v>#N/A</v>
      </c>
      <c r="IC294" s="220" t="e">
        <f ca="1">Control!$C$153*$HT294</f>
        <v>#N/A</v>
      </c>
      <c r="ID294" s="218" t="e">
        <f t="shared" ca="1" si="987"/>
        <v>#N/A</v>
      </c>
      <c r="IE294" s="221" t="e">
        <f ca="1">($EB294*Control!$C$159+$EF294*Control!$C$160)/(IF($GZ294&lt;&gt;0,$GZ294,1))</f>
        <v>#N/A</v>
      </c>
      <c r="IF294" s="216" t="e">
        <f t="shared" ca="1" si="988"/>
        <v>#N/A</v>
      </c>
      <c r="IG294" s="91">
        <f ca="1">IF(OR(Control!$B$198=$AH294,Control!$B$199=$AH294, Control!$B$200=$AH294, Control!$B$201=$AH294, Control!$B$202=$AH294, Control!$B$203=$AH294, Control!$B$204=$AH294, Control!$B$205=$AH294, Control!$B$206=$AH294, Control!$B$207=$AH294), 1, 0)</f>
        <v>0</v>
      </c>
      <c r="IH294" s="91">
        <f ca="1">IF($IG294=0,0, VLOOKUP($AH294,Control!$B$198:$C$207,2))</f>
        <v>0</v>
      </c>
      <c r="II294" s="222">
        <f t="shared" ca="1" si="1104"/>
        <v>0</v>
      </c>
      <c r="IJ294" s="91">
        <f>Control!$C$121</f>
        <v>0.7</v>
      </c>
      <c r="IK294" s="218">
        <f t="shared" ca="1" si="989"/>
        <v>0</v>
      </c>
      <c r="IL294" s="217" t="e">
        <f t="shared" ca="1" si="1141"/>
        <v>#N/A</v>
      </c>
      <c r="IM294" s="223" t="e">
        <f ca="1">IF(AND(Control!$C$114=1,$KH294&lt;1),$EB294*Control!$C$148*(1-$KH294), 0)</f>
        <v>#N/A</v>
      </c>
      <c r="IN294" s="217" t="e">
        <f t="shared" ca="1" si="990"/>
        <v>#DIV/0!</v>
      </c>
      <c r="IO294" s="91" t="e">
        <f ca="1">MAX(0,$IL294-$EF294*Control!$C$160)</f>
        <v>#N/A</v>
      </c>
      <c r="IP294" s="220" t="e">
        <f t="shared" ca="1" si="991"/>
        <v>#N/A</v>
      </c>
      <c r="IQ294" s="217" t="e">
        <f t="shared" ca="1" si="1105"/>
        <v>#N/A</v>
      </c>
      <c r="IR294" s="218" t="e">
        <f t="shared" ca="1" si="992"/>
        <v>#N/A</v>
      </c>
      <c r="IS294" s="217" t="e">
        <f ca="1">Control!$C$159*MAX(0,$FD294-$EN294)</f>
        <v>#N/A</v>
      </c>
      <c r="IT294" s="217" t="e">
        <f t="shared" ca="1" si="1142"/>
        <v>#N/A</v>
      </c>
      <c r="IU294" s="217" t="e">
        <f t="shared" ca="1" si="1106"/>
        <v>#N/A</v>
      </c>
      <c r="IV294" s="217" t="e">
        <f t="shared" ca="1" si="1143"/>
        <v>#N/A</v>
      </c>
      <c r="IW294" s="217" t="e">
        <f ca="1">IF(OR($AW294=1,AND($AW294=0, Control!$B$18=1,$EN294&lt;&gt;0)), $IQ294-$IU294, $IQ294)</f>
        <v>#N/A</v>
      </c>
      <c r="IX294" s="218" t="e">
        <f t="shared" ca="1" si="993"/>
        <v>#N/A</v>
      </c>
      <c r="IY294" s="218" t="e">
        <f ca="1">MAX(0,$IQ294-$EB294*Control!$C$159)</f>
        <v>#N/A</v>
      </c>
      <c r="IZ294" s="218" t="e">
        <f t="shared" ca="1" si="994"/>
        <v>#N/A</v>
      </c>
      <c r="JA294" s="216" t="e">
        <f t="shared" ca="1" si="995"/>
        <v>#N/A</v>
      </c>
      <c r="JB294" s="217" t="e">
        <f t="shared" ca="1" si="996"/>
        <v>#N/A</v>
      </c>
      <c r="JC294" s="222" t="e">
        <f ca="1">MAX(Control!$C$157*$EK294-$JT294, 0)/Control!$C$162</f>
        <v>#N/A</v>
      </c>
      <c r="JD294" s="218" t="e">
        <f t="shared" ca="1" si="997"/>
        <v>#N/A</v>
      </c>
      <c r="JE294" s="218" t="e">
        <f t="shared" ca="1" si="998"/>
        <v>#N/A</v>
      </c>
      <c r="JF294" s="218" t="e">
        <f t="shared" ca="1" si="1107"/>
        <v>#N/A</v>
      </c>
      <c r="JG294" s="218" t="e">
        <f t="shared" ca="1" si="999"/>
        <v>#N/A</v>
      </c>
      <c r="JH294" s="217" t="e">
        <f t="shared" ca="1" si="1108"/>
        <v>#N/A</v>
      </c>
      <c r="JI294" s="217" t="e">
        <f t="shared" ca="1" si="1109"/>
        <v>#N/A</v>
      </c>
      <c r="JJ294" s="217" t="e">
        <f t="shared" ca="1" si="1144"/>
        <v>#N/A</v>
      </c>
      <c r="JK294" s="217" t="e">
        <f ca="1">IF(Control!$C$114=1,IF(Control!$B$24=0,MAX(0,$JI294)*$GN294/Control!$C$64,(MAX(0,MIN($JI294,$JJ294*$GN294/Control!$C$64),0))))</f>
        <v>#N/A</v>
      </c>
      <c r="JL294" s="217" t="e">
        <f ca="1">$IK294/Control!$C$64-$JK294+$HQ294</f>
        <v>#N/A</v>
      </c>
      <c r="JM294" s="217" t="e">
        <f ca="1">IF(Control!$C$114=1,($JB294/(IF($JI294&lt;&gt;0,$JI294,1)))*$JK294,0)</f>
        <v>#N/A</v>
      </c>
      <c r="JN294" s="217" t="e">
        <f ca="1">IF(Control!$C$114=1,($JG294/(IF($JI294&lt;&gt;0,$JI294,1)))*$JK294, 0)</f>
        <v>#N/A</v>
      </c>
      <c r="JO294" s="218" t="e">
        <f t="shared" ca="1" si="1000"/>
        <v>#N/A</v>
      </c>
      <c r="JP294" s="218" t="e">
        <f ca="1">MIN(($IY294+$IO294)*Control!$C$151, $JF294-$EH294*Control!$C$161)</f>
        <v>#N/A</v>
      </c>
      <c r="JQ294" s="218" t="e">
        <f t="shared" ca="1" si="1001"/>
        <v>#N/A</v>
      </c>
      <c r="JR294" s="217" t="e">
        <f ca="1">IF($CP294-Control!$C$150&lt;0, 0, $JQ294/Control!$C$162)</f>
        <v>#N/A</v>
      </c>
      <c r="JS294" s="218" t="e">
        <f t="shared" ca="1" si="1002"/>
        <v>#N/A</v>
      </c>
      <c r="JT294" s="218" t="e">
        <f t="shared" ca="1" si="1110"/>
        <v>#N/A</v>
      </c>
      <c r="JU294" s="218" t="e">
        <f t="shared" ca="1" si="1003"/>
        <v>#N/A</v>
      </c>
      <c r="JV294" s="218" t="e">
        <f t="shared" ca="1" si="1004"/>
        <v>#N/A</v>
      </c>
      <c r="JW294" s="216" t="e">
        <f t="shared" ca="1" si="1005"/>
        <v>#N/A</v>
      </c>
      <c r="JX294" s="91" t="e">
        <f t="shared" ca="1" si="1006"/>
        <v>#N/A</v>
      </c>
      <c r="JY294" s="218" t="e">
        <f t="shared" ca="1" si="1007"/>
        <v>#N/A</v>
      </c>
      <c r="JZ294" s="217" t="e">
        <f ca="1">IF(Control!$C$114=1,($IZ294/(IF($JI294&lt;&gt;0,$JI294,1)))*$JK294, 0)</f>
        <v>#N/A</v>
      </c>
      <c r="KA294" s="218" t="e">
        <f t="shared" ca="1" si="1145"/>
        <v>#N/A</v>
      </c>
      <c r="KB294" s="218" t="e">
        <f t="shared" ca="1" si="1111"/>
        <v>#N/A</v>
      </c>
      <c r="KC294" s="218" t="e">
        <f t="shared" ca="1" si="1008"/>
        <v>#N/A</v>
      </c>
      <c r="KD294" s="218" t="e">
        <f t="shared" ca="1" si="1009"/>
        <v>#N/A</v>
      </c>
      <c r="KE294" s="218" t="e">
        <f t="shared" ca="1" si="1010"/>
        <v>#N/A</v>
      </c>
      <c r="KF294" s="218" t="e">
        <f t="shared" ca="1" si="1011"/>
        <v>#N/A</v>
      </c>
      <c r="KG294" s="216" t="e">
        <f t="shared" ca="1" si="1012"/>
        <v>#N/A</v>
      </c>
      <c r="KH294" s="221" t="e">
        <f ca="1">IF(Control!$B$24=0,1,MAX(0.001,MIN(1,IF(($IF294-$IE294)&lt;&gt;0,($KG294-$IE294)/($IF294-$IE294),1))))</f>
        <v>#N/A</v>
      </c>
      <c r="KI294" s="222" t="e">
        <f ca="1">IF(Control!$C$114=1, $KI293+ $KH293, 0)</f>
        <v>#N/A</v>
      </c>
      <c r="KJ294" s="217" t="e">
        <f t="shared" ca="1" si="1013"/>
        <v>#N/A</v>
      </c>
      <c r="KK294" s="218" t="e">
        <f t="shared" ca="1" si="1014"/>
        <v>#N/A</v>
      </c>
      <c r="KL294" s="274" t="e">
        <f ca="1">IF(Control!$B$26=3,4000000000*EXP(-8400/($G294+273)),IF(Control!$B$26=4,4000000000*EXP(-8400/($G294+273))*($KT294),0))</f>
        <v>#DIV/0!</v>
      </c>
      <c r="KM294" s="274" t="e">
        <f ca="1">IF(Control!$B$26=3,5600000000000*EXP(-9800/($G294+273)),IF(Control!$B$26=4,5600000000000*EXP(-9800/($G294+273))*$KT294,0))</f>
        <v>#DIV/0!</v>
      </c>
      <c r="KN294" s="454" t="e">
        <f t="shared" ca="1" si="1112"/>
        <v>#DIV/0!</v>
      </c>
      <c r="KO294" s="274" t="e">
        <f t="shared" ca="1" si="1113"/>
        <v>#DIV/0!</v>
      </c>
      <c r="KP294" s="454" t="e">
        <f t="shared" ca="1" si="1015"/>
        <v>#DIV/0!</v>
      </c>
      <c r="KQ294" s="454" t="e">
        <f t="shared" ca="1" si="1016"/>
        <v>#DIV/0!</v>
      </c>
      <c r="KR294" s="454" t="e">
        <f t="shared" ca="1" si="1017"/>
        <v>#DIV/0!</v>
      </c>
      <c r="KS294" s="454" t="e">
        <f t="shared" ca="1" si="1018"/>
        <v>#DIV/0!</v>
      </c>
      <c r="KT294" s="455" t="e">
        <f t="shared" ca="1" si="1019"/>
        <v>#DIV/0!</v>
      </c>
      <c r="KU294" s="456" t="e">
        <f ca="1">IF($CP294-Control!$C$149&lt;0, IF($NT294-0.01&lt;0,0,1),0)</f>
        <v>#N/A</v>
      </c>
      <c r="KV294" s="456" t="e">
        <f ca="1">IF(Control!$C$114=1,MAX(0,MIN(Control!$C$125*$KW294*$GN294,$KW294)))</f>
        <v>#DIV/0!</v>
      </c>
      <c r="KW294" s="456" t="e">
        <f t="shared" ca="1" si="1146"/>
        <v>#DIV/0!</v>
      </c>
      <c r="KX294" s="457" t="e">
        <f ca="1">IF($CP294-Control!$C$149&lt;0, IF($MR294-$OM294&lt;0,0,1),0)</f>
        <v>#N/A</v>
      </c>
      <c r="KY294" s="167">
        <f t="shared" ca="1" si="1114"/>
        <v>290</v>
      </c>
      <c r="KZ294" s="168">
        <f ca="1">1370*(1+0.033*COS(2*Control!$C$138*$AH294/365))</f>
        <v>1382.4828514084816</v>
      </c>
      <c r="LA294" s="169">
        <f t="shared" ca="1" si="1115"/>
        <v>1.0091112001122164</v>
      </c>
      <c r="LB294" s="169">
        <f t="shared" ca="1" si="1116"/>
        <v>-0.18176795414041763</v>
      </c>
      <c r="LC294" s="169">
        <f ca="1">ACOS(-TAN((2*Control!$B$8/360))*TAN(Calculations!$LB294))</f>
        <v>1.5161441950076555</v>
      </c>
      <c r="LD294" s="169">
        <f ca="1">((24*60)/PI())*0.082*$LA294*(($LC294*SIN(Control!$B$8*2*PI()/360))*SIN($LB294)+COS(Control!$B$8*2*PI()/360)*COS($LB294)*SIN($LC294))</f>
        <v>14.740661903266242</v>
      </c>
      <c r="LE294" s="170">
        <f t="shared" ca="1" si="1020"/>
        <v>15.455025841443124</v>
      </c>
      <c r="LF294" s="170">
        <f ca="1">SIN(Control!$C$139*Control!$B$8)*SIN($HD294)</f>
        <v>-0.13693243561472357</v>
      </c>
      <c r="LG294" s="170">
        <f ca="1">COS(Control!$C$139*Control!$B$8)*COS($HD294)</f>
        <v>0.60629337555609253</v>
      </c>
      <c r="LH294" s="170">
        <f ca="1">12*(1+2*ASIN(MAX(-1,MIN(1,$LF294/$LG294))/Control!$C$138))</f>
        <v>10.273133891154011</v>
      </c>
      <c r="LI294" s="170">
        <f ca="1">12*(1+2*ASIN(MAX(-1,MIN(1,(-SIN(-4*Control!$C$139)+$LF294)/$LG294))/Control!$C$138))</f>
        <v>11.153395752424398</v>
      </c>
      <c r="LJ294" s="168">
        <f ca="1">3600*($LH294*$LF294+24*$LG294*SQRT(1-$LK294*$LK294)/Control!$C$138)</f>
        <v>11179.180867015784</v>
      </c>
      <c r="LK294" s="170">
        <f t="shared" ca="1" si="1021"/>
        <v>-0.22585177594778943</v>
      </c>
      <c r="LL294" s="170">
        <f t="shared" ca="1" si="1022"/>
        <v>0</v>
      </c>
      <c r="LM294" s="171">
        <f ca="1">Control!$C$145*$AB294</f>
        <v>6.6660906138995932E-2</v>
      </c>
      <c r="LN294" s="170">
        <f t="shared" ca="1" si="1117"/>
        <v>0.54</v>
      </c>
      <c r="LO294" s="170">
        <f t="shared" ca="1" si="1023"/>
        <v>0</v>
      </c>
      <c r="LP294" s="170">
        <f ca="1">Control!$C$140*((($D294+273.16)^4+($E294+273.16)^4)/2)*(0.34-0.14*SQRT($Y294))*(1.35*$AQ294/(0.75*$LD294)-0.35)</f>
        <v>-3.2464704755046001</v>
      </c>
      <c r="LQ294" s="170">
        <f ca="1">Control!$C$140*($G294+273)^4*(0.56-0.079*SQRT($Y294*10))*(0.1+0.9*$LO294)</f>
        <v>1.5241745131704001</v>
      </c>
      <c r="LR294" s="170">
        <f ca="1">$AQ294*(1-Control!$C$142)-$LQ294</f>
        <v>-1.5241745131704001</v>
      </c>
      <c r="LS294" s="170">
        <f ca="1">$AQ294*(1-Control!$C$143)-$LQ294</f>
        <v>-1.5241745131704001</v>
      </c>
      <c r="LT294" s="170">
        <f ca="1">$AQ294*(1-Control!$C$144)-$LQ294</f>
        <v>-1.5241745131704001</v>
      </c>
      <c r="LU294" s="169">
        <f ca="1">(1-Control!$C$144)*AQ294-LP294</f>
        <v>3.2464704755046001</v>
      </c>
      <c r="LV294" s="172">
        <f t="shared" ca="1" si="1024"/>
        <v>0.79430000000000012</v>
      </c>
      <c r="LW294" s="170">
        <f t="shared" ca="1" si="1025"/>
        <v>1.5886000000000002</v>
      </c>
      <c r="LX294" s="170">
        <f ca="1">($AC294*($LR294/Control!$C$141)+$LM294*$LV294)/($AC294+$LM294)</f>
        <v>0.23530094218323697</v>
      </c>
      <c r="LY294" s="170">
        <f ca="1">($AC294*($LS294/Control!$C$141)+$LM294*$LV294)/($AC294+$LM294)</f>
        <v>0.23530094218323697</v>
      </c>
      <c r="LZ294" s="170">
        <f t="shared" ca="1" si="1026"/>
        <v>0.23530094218323697</v>
      </c>
      <c r="MA294" s="170">
        <f t="shared" ca="1" si="1027"/>
        <v>0.23530094218323697</v>
      </c>
      <c r="MB294" s="170" t="e">
        <f t="shared" ca="1" si="1028"/>
        <v>#N/A</v>
      </c>
      <c r="MC294" s="170">
        <f t="shared" ca="1" si="1118"/>
        <v>0.6018</v>
      </c>
      <c r="MD294" s="170">
        <f t="shared" ca="1" si="1029"/>
        <v>0.52989392535414004</v>
      </c>
      <c r="ME294" s="170">
        <f ca="1">($AC294*($LT294/Control!$C$141)+$LM294*$LW294)/($AC294+$LM294)</f>
        <v>0.71612369323045078</v>
      </c>
      <c r="MF294" s="170" t="e">
        <f ca="1">IF(Control!$B$16&gt;=1000,0.92,IF(AND(720&lt;=Control!$B$16,1000&gt;Control!$B$16),(0.95+(Control!$B$16-720)*((0.92-0.95)/(1000-720))),IF(AND(360&lt;=Control!$B$16,720&gt;Control!$B$16),(1+(Control!$B$16-360)*((0.95-1)/(720-360))),IF(AND(40&lt;=Control!$B$16,360&gt;Control!$B$16),(1.05+(Control!$B$16-40)*((1.05-1)/(360-40)))))))</f>
        <v>#N/A</v>
      </c>
      <c r="MG294" s="170">
        <f t="shared" ca="1" si="1030"/>
        <v>0.71612369323045078</v>
      </c>
      <c r="MH294" s="170" t="e">
        <f t="shared" ca="1" si="1156"/>
        <v>#N/A</v>
      </c>
      <c r="MI294" s="170" t="e">
        <f t="shared" ca="1" si="1156"/>
        <v>#N/A</v>
      </c>
      <c r="MJ294" s="170" t="e">
        <f ca="1">MAX(0.0001, Control!$C$132*$MI294*$DL294)</f>
        <v>#N/A</v>
      </c>
      <c r="MK294" s="170">
        <f ca="1">1/(0.76+1.5*($MG294/10))-(5-Control!$C$110)*0.1</f>
        <v>1.002845988140797</v>
      </c>
      <c r="ML294" s="173">
        <f ca="1">IF(Control!$C$110&lt;3,$MK294+($MG294-0.6)/(Control!$C$110*(Control!$C$110+3)), MAX(0.1, MIN(0.95,$MK294)))</f>
        <v>0.95</v>
      </c>
      <c r="MM294" s="173">
        <f ca="1">IF(Control!$C$110&lt;3,$MK294+(($MI294/10)-0.6)/(Control!$C$110*(Control!$C$110+3)), MAX(0.1, MIN(0.95,$MK294)))</f>
        <v>0.95</v>
      </c>
      <c r="MN294" s="173">
        <f ca="1">(1-$MM294)*(Control!$C$128-Control!$C$127)+Control!$C$127</f>
        <v>0.16</v>
      </c>
      <c r="MO294" s="170" t="e">
        <f ca="1">MAX(0,MIN(1,($MS294-Control!$C$127)/($MN294-Control!$C$127)))</f>
        <v>#DIV/0!</v>
      </c>
      <c r="MP294" s="173" t="e">
        <f ca="1">1/(0.76+1.5*$MI294)-(5-Control!$C$110)*0.1</f>
        <v>#N/A</v>
      </c>
      <c r="MQ294" s="172" t="e">
        <f t="shared" ca="1" si="1147"/>
        <v>#DIV/0!</v>
      </c>
      <c r="MR294" s="168" t="e">
        <f t="shared" ca="1" si="1119"/>
        <v>#DIV/0!</v>
      </c>
      <c r="MS294" s="173" t="e">
        <f ca="1">MAX(Control!$C$127, MIN(Control!$C$135, $MR294/MAX(0.0001,$CY294)))</f>
        <v>#DIV/0!</v>
      </c>
      <c r="MT294" s="168" t="e">
        <f ca="1">(Control!$C$128-$MS294)*Control!$C$74</f>
        <v>#DIV/0!</v>
      </c>
      <c r="MU294" s="168" t="e">
        <f ca="1">(Control!$C$135-$MS294)*Control!$C$74</f>
        <v>#DIV/0!</v>
      </c>
      <c r="MV294" s="168" t="e">
        <f t="shared" ca="1" si="1120"/>
        <v>#DIV/0!</v>
      </c>
      <c r="MW294" s="168" t="e">
        <f t="shared" ca="1" si="1121"/>
        <v>#DIV/0!</v>
      </c>
      <c r="MX294" s="171" t="e">
        <f ca="1">MAX(Control!$C$127, MIN(Control!$C$135, $MW294/MAX(0.0001,Control!$C$119-$CY294)))</f>
        <v>#DIV/0!</v>
      </c>
      <c r="MY294" s="54" t="e">
        <f ca="1">IF(Control!$C$114=1, $CX294*$MX294, 0)</f>
        <v>#DIV/0!</v>
      </c>
      <c r="MZ294" s="54" t="e">
        <f t="shared" ca="1" si="1122"/>
        <v>#N/A</v>
      </c>
      <c r="NA294" s="168" t="e">
        <f ca="1">(Control!$C$128-$MX294)*(Control!$C$119-Control!$C$74)</f>
        <v>#DIV/0!</v>
      </c>
      <c r="NB294" s="168" t="e">
        <f ca="1">(Control!$C$135-$MX294)*(Control!$C$119-Control!$C$74)</f>
        <v>#DIV/0!</v>
      </c>
      <c r="NC294" s="174" t="e">
        <f t="shared" ca="1" si="1123"/>
        <v>#DIV/0!</v>
      </c>
      <c r="ND294" s="54">
        <f ca="1">IF(Control!$C$58=2, IF(OR(Control!$B$218=$AH294,Control!$B$219=$AH294, Control!$B$220=$AH294, Control!$B$221=$AH294, Control!$B$222=$AH294, Control!$B$223=$AH294, Control!$B$224=$AH294, Control!$B$225=$AH294, Control!$B$226=$AH294, Control!$B$227=$AH294, Control!$B$228=$AH294), 1, 0), 0)</f>
        <v>0</v>
      </c>
      <c r="NE294" s="54">
        <f ca="1">IF($ND294=0,0, VLOOKUP($AH294,Control!$B$218:$C$228,2))</f>
        <v>0</v>
      </c>
      <c r="NF294" s="168" t="e">
        <f ca="1">$CY294*(Control!$C$128-Control!$C$127)</f>
        <v>#N/A</v>
      </c>
      <c r="NG294" s="54" t="e">
        <f ca="1">IF(Control!$C$58=2, $NI293-$NJ293, 0)</f>
        <v>#DIV/0!</v>
      </c>
      <c r="NH294" s="54" t="e">
        <f ca="1">IF(AND(Control!$C$58=1, $MS293&lt;= ($MN293+0.02), $I293&lt;10), 0, IF(Control!$C$58=2, $NG293, 0))</f>
        <v>#DIV/0!</v>
      </c>
      <c r="NI294" s="54" t="e">
        <f ca="1">IF(Control!$C$58=2, $NE294+$NH294,0)</f>
        <v>#DIV/0!</v>
      </c>
      <c r="NJ294" s="54" t="e">
        <f ca="1">IF(AND(Control!$C$58=1, $MS294&lt;= ($MN294+0.02), $I294&lt;10), MAX(0, MIN(10, 0.7*($NF294-$MV294))), IF(Control!$C$58=2, MIN(10,$NI294),0))</f>
        <v>#DIV/0!</v>
      </c>
      <c r="NK294" s="54" t="e">
        <f t="shared" ca="1" si="1031"/>
        <v>#DIV/0!</v>
      </c>
      <c r="NL294" s="173" t="e">
        <f ca="1">(1-Control!$C$73)*$I294+$NJ294</f>
        <v>#DIV/0!</v>
      </c>
      <c r="NM294" s="172" t="e">
        <f ca="1">IF($NL294&lt;0.5, $MB294* MAX(0, MIN(1, (SQRT($NC294)-SQRT($NC294-1))*Control!$C$71)),0)</f>
        <v>#DIV/0!</v>
      </c>
      <c r="NN294" s="170" t="e">
        <f ca="1">IF($NL294&gt;=5, $MB294, MAX(0,MIN($MB294, $NM294+$NL294,($MS294-Control!$C$129))))</f>
        <v>#DIV/0!</v>
      </c>
      <c r="NO294" s="54">
        <f>IF(Control!$C$133&lt;&gt;1, Control!$C$135-Control!$C$131, 0)</f>
        <v>0.38</v>
      </c>
      <c r="NP294" s="54" t="e">
        <f t="shared" ca="1" si="1032"/>
        <v>#DIV/0!</v>
      </c>
      <c r="NQ294" s="173" t="e">
        <f ca="1">MAX(0,MIN(1,(Control!$C$135-$MS294)/(Control!$C$135-$NO294)))</f>
        <v>#DIV/0!</v>
      </c>
      <c r="NR294" s="170" t="e">
        <f ca="1">IF(Control!$C$133&lt;&gt;1, $NQ294+((1-$NP294/4)*(1-$NQ294)),1)</f>
        <v>#DIV/0!</v>
      </c>
      <c r="NS294" s="170" t="e">
        <f ca="1">IF(Control!$B$31=0,$MJ294,MAX(0,MIN($MV294,$MO294*$NR294*$MJ294)))</f>
        <v>#DIV/0!</v>
      </c>
      <c r="NT294" s="170" t="e">
        <f t="shared" ca="1" si="1148"/>
        <v>#DIV/0!</v>
      </c>
      <c r="NU294" s="170" t="e">
        <f t="shared" ca="1" si="1124"/>
        <v>#N/A</v>
      </c>
      <c r="NV294" s="170" t="e">
        <f t="shared" ca="1" si="1033"/>
        <v>#N/A</v>
      </c>
      <c r="NW294" s="175" t="e">
        <f t="shared" ca="1" si="1034"/>
        <v>#DIV/0!</v>
      </c>
      <c r="NX294" s="170" t="e">
        <f ca="1">MIN(Control!$C$72+$MU294, $NW294)</f>
        <v>#DIV/0!</v>
      </c>
      <c r="NY294" s="170" t="e">
        <f ca="1">IF($MT294&lt;=$NX294,MIN(Control!$C$72+$NB294,$NX294-$MT294),0)</f>
        <v>#DIV/0!</v>
      </c>
      <c r="NZ294" s="54" t="e">
        <f ca="1">IF(Control!$C$114=1,  $CX294*($MX294-Control!$C$127), 0)</f>
        <v>#DIV/0!</v>
      </c>
      <c r="OA294" s="170" t="e">
        <f t="shared" ca="1" si="1035"/>
        <v>#DIV/0!</v>
      </c>
      <c r="OB294" s="170" t="e">
        <f ca="1">IF($NA294 &lt;=$NY294, MIN(Control!$C$72, $NY294-$NA294), 0)</f>
        <v>#DIV/0!</v>
      </c>
      <c r="OC294" s="168" t="e">
        <f t="shared" ca="1" si="1036"/>
        <v>#DIV/0!</v>
      </c>
      <c r="OD294" s="168" t="e">
        <f t="shared" ca="1" si="1125"/>
        <v>#DIV/0!</v>
      </c>
      <c r="OE294" s="170">
        <f ca="1">Control!$C$73*$I294</f>
        <v>0</v>
      </c>
      <c r="OF294" s="176" t="e">
        <f t="shared" ca="1" si="1037"/>
        <v>#DIV/0!</v>
      </c>
      <c r="OG294" s="168" t="e">
        <f t="shared" ca="1" si="1038"/>
        <v>#DIV/0!</v>
      </c>
      <c r="OH294" s="168" t="e">
        <f t="shared" ca="1" si="1039"/>
        <v>#DIV/0!</v>
      </c>
      <c r="OI294" s="168" t="e">
        <f t="shared" ca="1" si="1040"/>
        <v>#DIV/0!</v>
      </c>
      <c r="OJ294" s="168" t="e">
        <f t="shared" ca="1" si="1041"/>
        <v>#DIV/0!</v>
      </c>
      <c r="OK294" s="204" t="e">
        <f t="shared" ca="1" si="1042"/>
        <v>#DIV/0!</v>
      </c>
      <c r="OL294" s="177">
        <f>Control!$C$127</f>
        <v>0.15</v>
      </c>
      <c r="OM294" s="182" t="e">
        <f t="shared" ca="1" si="1043"/>
        <v>#N/A</v>
      </c>
      <c r="ON294" s="177">
        <f>Control!$C$128</f>
        <v>0.35</v>
      </c>
      <c r="OO294" s="182" t="e">
        <f t="shared" ca="1" si="1044"/>
        <v>#N/A</v>
      </c>
      <c r="OP294" s="138">
        <f t="shared" ca="1" si="1126"/>
        <v>0</v>
      </c>
      <c r="OQ294" s="138" t="e">
        <f t="shared" ca="1" si="1149"/>
        <v>#DIV/0!</v>
      </c>
      <c r="OR294" s="138" t="e">
        <f t="shared" ca="1" si="1127"/>
        <v>#DIV/0!</v>
      </c>
      <c r="OS294" s="137" t="e">
        <f t="shared" ca="1" si="1150"/>
        <v>#DIV/0!</v>
      </c>
      <c r="OT294" s="139" t="e">
        <f t="shared" ca="1" si="1151"/>
        <v>#DIV/0!</v>
      </c>
      <c r="OU294" s="138" t="e">
        <f t="shared" ca="1" si="1152"/>
        <v>#N/A</v>
      </c>
      <c r="OV294" s="138" t="e">
        <f t="shared" ca="1" si="1153"/>
        <v>#DIV/0!</v>
      </c>
      <c r="OW294" s="138" t="e">
        <f t="shared" ca="1" si="1128"/>
        <v>#DIV/0!</v>
      </c>
      <c r="OX294" s="138" t="e">
        <f t="shared" ca="1" si="1129"/>
        <v>#DIV/0!</v>
      </c>
      <c r="OY294" s="138" t="e">
        <f t="shared" ca="1" si="1130"/>
        <v>#DIV/0!</v>
      </c>
      <c r="OZ294" s="138" t="e">
        <f t="shared" ca="1" si="1045"/>
        <v>#DIV/0!</v>
      </c>
      <c r="PA294" s="138" t="e">
        <f t="shared" ca="1" si="1046"/>
        <v>#DIV/0!</v>
      </c>
      <c r="PB294" s="55">
        <f>IF(Control!$C$61="T", IF(Control!$C$65="F", IF($AH$6-Control!$C$60&lt;0,0,1), IF(365+$AH$6-Control!$C$60&lt;0,0,1)),0)</f>
        <v>0</v>
      </c>
      <c r="PC294" s="55">
        <f ca="1">IF(Control!$C$65="F", IF($AH$6-$HF294&lt;0,0,1), IF(365+$AH$6-$HF294&lt;0,0,1))</f>
        <v>1</v>
      </c>
      <c r="PD294" s="444">
        <f>Control!$C$118</f>
        <v>1500</v>
      </c>
      <c r="PE294" s="180" t="e">
        <f t="shared" ca="1" si="1047"/>
        <v>#N/A</v>
      </c>
      <c r="PF294" s="445">
        <f t="shared" ca="1" si="1131"/>
        <v>0.71612369323045078</v>
      </c>
      <c r="PT294" s="186"/>
      <c r="PU294" s="186"/>
      <c r="PV294" s="94"/>
      <c r="PW294" s="94"/>
      <c r="PX294" s="94"/>
      <c r="PY294" s="94"/>
      <c r="PZ294" s="94"/>
      <c r="QA294" s="94"/>
      <c r="QB294" s="94"/>
      <c r="QC294" s="94"/>
      <c r="QD294" s="94"/>
      <c r="QE294" s="94"/>
      <c r="QF294" s="94"/>
      <c r="QG294" s="94"/>
      <c r="QH294" s="94"/>
      <c r="QI294" s="94"/>
      <c r="QJ294" s="94"/>
      <c r="QK294" s="94"/>
      <c r="QL294" s="94"/>
      <c r="QM294" s="94"/>
      <c r="QN294" s="94"/>
      <c r="QO294" s="94"/>
      <c r="QP294" s="94"/>
    </row>
    <row r="295" spans="1:458" s="2" customFormat="1" x14ac:dyDescent="0.2">
      <c r="A295" s="395">
        <v>17</v>
      </c>
      <c r="B295" s="396">
        <v>10</v>
      </c>
      <c r="C295" s="387">
        <f ca="1">Weather_data!$B294</f>
        <v>0</v>
      </c>
      <c r="D295" s="388">
        <f ca="1">Weather_data!$F294</f>
        <v>0</v>
      </c>
      <c r="E295" s="388">
        <f ca="1">Weather_data!$E294</f>
        <v>0</v>
      </c>
      <c r="F295" s="388">
        <f t="shared" ca="1" si="1048"/>
        <v>0</v>
      </c>
      <c r="G295" s="388">
        <f ca="1">AVERAGE($D295:$E295)+Control!$B$9</f>
        <v>0</v>
      </c>
      <c r="H295" s="388">
        <f ca="1">Weather_data!$G294</f>
        <v>0</v>
      </c>
      <c r="I295" s="388">
        <f ca="1">Weather_data!$I294</f>
        <v>0</v>
      </c>
      <c r="J295" s="388">
        <f ca="1">Weather_data!$H294</f>
        <v>0</v>
      </c>
      <c r="K295" s="389">
        <f ca="1">Weather_data!$D294</f>
        <v>0</v>
      </c>
      <c r="L295" s="388" t="e">
        <f t="shared" ca="1" si="1049"/>
        <v>#N/A</v>
      </c>
      <c r="M295" s="388" t="e">
        <f t="shared" ca="1" si="927"/>
        <v>#N/A</v>
      </c>
      <c r="N295" s="388">
        <f t="shared" ca="1" si="928"/>
        <v>-2.9857623152842101E-14</v>
      </c>
      <c r="O295" s="388">
        <f t="shared" ca="1" si="1050"/>
        <v>2.9857623152842102E-13</v>
      </c>
      <c r="P295" s="390">
        <v>3</v>
      </c>
      <c r="Q295" s="388">
        <f ca="1">MAX($G295-Control!$C$107,0)</f>
        <v>0</v>
      </c>
      <c r="R295" s="388">
        <f t="shared" ca="1" si="1051"/>
        <v>0</v>
      </c>
      <c r="S295" s="388">
        <f t="shared" ca="1" si="929"/>
        <v>0</v>
      </c>
      <c r="T295" s="388">
        <f t="shared" ca="1" si="930"/>
        <v>0</v>
      </c>
      <c r="U295" s="59">
        <f t="shared" ca="1" si="931"/>
        <v>0</v>
      </c>
      <c r="V295" s="391">
        <f ca="1">MAX(0,MIN(Control!$C$100-Control!$C$99,$G295-Control!$C$99)*Control!$C$63)</f>
        <v>0</v>
      </c>
      <c r="W295" s="388">
        <f t="shared" ca="1" si="1052"/>
        <v>0</v>
      </c>
      <c r="X295" s="388">
        <f t="shared" ca="1" si="1053"/>
        <v>0.6110000000000001</v>
      </c>
      <c r="Y295" s="388">
        <f t="shared" ca="1" si="932"/>
        <v>0</v>
      </c>
      <c r="Z295" s="388">
        <f t="shared" ca="1" si="1054"/>
        <v>0.61058800000000002</v>
      </c>
      <c r="AA295" s="388">
        <f t="shared" ca="1" si="933"/>
        <v>0.6018</v>
      </c>
      <c r="AB295" s="388">
        <f ca="1">101.3*EXP(-0.034*Control!$C$66/($G295+273))</f>
        <v>100.69623283836242</v>
      </c>
      <c r="AC295" s="392">
        <f t="shared" ca="1" si="934"/>
        <v>4.3460251046025113E-2</v>
      </c>
      <c r="AD295" s="392">
        <f t="shared" ca="1" si="935"/>
        <v>4.4450382862832649E-2</v>
      </c>
      <c r="AE295" s="388">
        <f t="shared" ca="1" si="936"/>
        <v>0</v>
      </c>
      <c r="AF295" s="388">
        <f ca="1">MAX(0,$G295-Control!$C$92)</f>
        <v>0</v>
      </c>
      <c r="AG295" s="393">
        <f t="shared" ca="1" si="937"/>
        <v>291</v>
      </c>
      <c r="AH295" s="389">
        <f t="shared" ca="1" si="938"/>
        <v>291</v>
      </c>
      <c r="AI295" s="388">
        <f t="shared" ca="1" si="1055"/>
        <v>-0.18089110743401579</v>
      </c>
      <c r="AJ295" s="388">
        <f ca="1">IF(Control!$C$60&lt;=0,$HH295,$HI295)</f>
        <v>1</v>
      </c>
      <c r="AK295" s="388">
        <f t="shared" ca="1" si="939"/>
        <v>3.6321975337394323</v>
      </c>
      <c r="AL295" s="388">
        <f t="shared" ca="1" si="940"/>
        <v>-1.0639810213430855E-17</v>
      </c>
      <c r="AM295" s="388">
        <f t="shared" ca="1" si="941"/>
        <v>3.6321975337394323</v>
      </c>
      <c r="AN295" s="388">
        <f t="shared" ca="1" si="942"/>
        <v>-0.18854232534396068</v>
      </c>
      <c r="AO295" s="388">
        <f ca="1">-0.10453/COS(Control!$B$8*PI()/180)*COS(AN295)</f>
        <v>-0.16677601947624499</v>
      </c>
      <c r="AP295" s="388">
        <f ca="1">ACOS(AO295-TAN(Control!$B$8*PI()/180)*TAN(AN295))</f>
        <v>1.4932707507918634</v>
      </c>
      <c r="AQ295" s="388">
        <f t="shared" ca="1" si="1056"/>
        <v>0</v>
      </c>
      <c r="AR295" s="394">
        <f t="shared" ca="1" si="943"/>
        <v>0</v>
      </c>
      <c r="AS295" s="436">
        <f ca="1">IF(Control!$B$18=2,(IF(OR($AH295=Control!$B$175,$AH295=Control!$B$176,$AH295=Control!$B$177,$AH295=Control!$B$178,$AH295=Control!$B$179,$AH295=Control!$B$180,$AH295=Control!$B$181,$AH295=Control!$B$182,$AH295=Control!$B$183,$AH295=Control!$B$184,$AH295=Control!$B$185),1,0)),0)</f>
        <v>0</v>
      </c>
      <c r="AT295" s="436">
        <f>IF(Control!$B$20=8,IF(AND($AH295&gt;=Control!$B$172,$AH295&lt;=Control!$B$173),1,0),0)</f>
        <v>0</v>
      </c>
      <c r="AU295" s="436">
        <f>IF(Control!$B$20=8,IF($AV294=1,1*$AT295,IF($AT295=1,$AU294+1,$AU294)),0)</f>
        <v>0</v>
      </c>
      <c r="AV295" s="436">
        <f>IF(Control!$B$20=8,IF($AU295&gt;=Control!$B$174,1,0),0)</f>
        <v>0</v>
      </c>
      <c r="AW295" s="436">
        <f ca="1">IF(AND(Control!$B$18=2,Control!$B$171=1), $AV295, $AS295)</f>
        <v>0</v>
      </c>
      <c r="AX295" s="436" t="e">
        <f ca="1">IF(AND(Control!$B$18=1,$EU295&gt;=Control!$B$19),-$AY295,IF(AND(Control!$B$18=2,$AW295=1,$EU295&gt;$DS295),-$AY295, IF(Control!$C$108=0,0, IF(Control!$C$108&lt;&gt;0,1))))</f>
        <v>#N/A</v>
      </c>
      <c r="AY295" s="436" t="e">
        <f t="shared" ca="1" si="1057"/>
        <v>#N/A</v>
      </c>
      <c r="AZ295" s="436" t="e">
        <f ca="1">IF(AND(Control!$B$18=1,$EB295&gt;Control!$B$19),$AZ294+1, IF(AND(Control!$B$18=2, $AW295=1, $EB295&gt;$DS295), $AZ294+1,$AZ294))</f>
        <v>#N/A</v>
      </c>
      <c r="BA295" s="587">
        <f>IF(Control!$C$81=0,1,IF($AH295&gt;=Control!$C$82,1,0))</f>
        <v>1</v>
      </c>
      <c r="BB295" s="140" t="e">
        <f ca="1">IF($BA295&gt;$BA294,Control!$C$83,IF($AW295&gt;0,$AW295*Control!$C$84,IF(AND(Control!$B$18=1,EN294&lt;&gt;0),Control!$C$84,0)))</f>
        <v>#N/A</v>
      </c>
      <c r="BC295" s="140" t="e">
        <f t="shared" ca="1" si="1058"/>
        <v>#N/A</v>
      </c>
      <c r="BD295" s="140" t="e">
        <f ca="1">BC295*IF(OR($G295&lt;Control!$C$92,$G295&gt;Control!$C$95),0,IF(AND($G295&gt;=Control!$C$92,$G295&lt;=Control!$C$93),$G295-Control!$C$92,IF(AND($G295&gt;Control!$C$93,$G295&lt;=Control!$C$94),Control!$C$93-Control!$C$92,IF(AND($G295&gt;Control!$C$94,$G295&lt;=Control!$C$95),(Control!$C$93-Control!$C$92)*(Control!$C$94-$G295)/(Control!$C$95-Control!$C$94)))))</f>
        <v>#N/A</v>
      </c>
      <c r="BE295" s="140" t="e">
        <f t="shared" ca="1" si="1059"/>
        <v>#N/A</v>
      </c>
      <c r="BF295" s="140" t="e">
        <f ca="1">IF($BE295&lt;=Control!$C$86,$BE295,Control!$C$86-$BE295)</f>
        <v>#N/A</v>
      </c>
      <c r="BG295" s="140" t="e">
        <f ca="1">IF(AND($AW295=1,Control!$C$84&lt;9),1,IF($BE295&gt;=Control!$C$86,0,$BC295))</f>
        <v>#N/A</v>
      </c>
      <c r="BH295" s="404" t="e">
        <f ca="1">IF($BG295=0,0,IF($BE295&lt;=Control!$C$86,$BC295*9*($BF295/Control!$C$86),0))</f>
        <v>#N/A</v>
      </c>
      <c r="BI295" s="140" t="e">
        <f ca="1">IF($BG295=1,0,IF($BE295&gt;=Control!$C$86,1,IF(AND($BB295&lt;21,$BB295&gt;=9),1,$BM294)))</f>
        <v>#N/A</v>
      </c>
      <c r="BJ295" s="140" t="e">
        <f ca="1">IF($BF295&lt;0,-$BF295,$BI295*IF(OR($G295&lt;Control!$C$92,$G295&gt;Control!$C$95),0,IF(AND($G295&gt;=Control!$C$92,$G295&lt;=Control!$C$93),$G295-Control!$C$92,IF(AND($G295&gt;Control!$C$93,$G295&lt;=Control!$C$94),Control!$C$93-Control!$C$92,IF(AND($G295&gt;Control!$C$94,$G295&lt;=Control!$C$95),(Control!$C$93-Control!$C$92)*(Control!$C$94-$G295)/(Control!$C$95-Control!$C$94))))))</f>
        <v>#N/A</v>
      </c>
      <c r="BK295" s="140" t="e">
        <f t="shared" ca="1" si="1060"/>
        <v>#N/A</v>
      </c>
      <c r="BL295" s="140" t="e">
        <f ca="1">IF($BK295&lt;=Control!$C$87,$BK295,Control!$C$87-$BK295)</f>
        <v>#N/A</v>
      </c>
      <c r="BM295" s="140" t="e">
        <f ca="1">IF(AND($BB295&gt;=9,$BB295&lt;21),1,IF($BK295&gt;=Control!$C$87,0,$BI295))</f>
        <v>#N/A</v>
      </c>
      <c r="BN295" s="404" t="e">
        <f ca="1">IF($BM295=0,0,IF($BK295&lt;=Control!$C$87,$BI295*(9+(21-9)*($BL295/Control!$C$87)),0))</f>
        <v>#N/A</v>
      </c>
      <c r="BO295" s="140" t="e">
        <f ca="1">IF($BM295=1,0,IF($BK295&gt;=Control!$C$87,1,IF(AND($BB295&lt;30,$BB295&gt;=21),1,$BS294)))</f>
        <v>#N/A</v>
      </c>
      <c r="BP295" s="140" t="e">
        <f ca="1">IF($BL295&lt;0,-$BL295,$BO295*IF(OR($G295&lt;Control!$C$92,$G295&gt;Control!$C$95),0,IF(AND($G295&gt;=Control!$C$92,$G295&lt;=Control!$C$93),$G295-Control!$C$92,IF(AND($G295&gt;Control!$C$93,$G295&lt;=Control!$C$94),Control!$C$93-Control!$C$92,IF(AND($G295&gt;Control!$C$94,$G295&lt;=Control!$C$95),(Control!$C$93-Control!$C$92)*(Control!$C$94-$G295)/(Control!$C$95-Control!$C$94))))))</f>
        <v>#N/A</v>
      </c>
      <c r="BQ295" s="140" t="e">
        <f t="shared" ca="1" si="944"/>
        <v>#N/A</v>
      </c>
      <c r="BR295" s="140" t="e">
        <f ca="1">IF($BQ295&lt;=Control!$C$88,$BQ295,Control!$C$88-$BQ295)</f>
        <v>#N/A</v>
      </c>
      <c r="BS295" s="140" t="e">
        <f ca="1">IF(AND($BB295&gt;=21,$BB295&lt;30),1,IF($BQ295&gt;=Control!$C$88,0,$BO295))</f>
        <v>#N/A</v>
      </c>
      <c r="BT295" s="404" t="e">
        <f ca="1">IF($BS295=0,0,IF($BQ295&lt;=Control!$C$88,$BO295*(21+(30-21)*(BR295/Control!$C$88)),0))</f>
        <v>#N/A</v>
      </c>
      <c r="BU295" s="140" t="e">
        <f ca="1">IF(BG295+BM295+BS295=1,0,IF(OR(AND($BB295&lt;60,$BB295&gt;=30),$BQ295&gt;=Control!$C$88),1*$BA295,$BY294))</f>
        <v>#N/A</v>
      </c>
      <c r="BV295" s="140" t="e">
        <f ca="1">IF($BR295&lt;0,-$BR295,$BU295*IF(OR($G295&lt;Control!$C$92,$G295&gt;Control!$C$95),0,IF(AND($G295&gt;=Control!$C$92,$G295&lt;=Control!$C$93),$G295-Control!$C$92,IF(AND($G295&gt;Control!$C$93,$G295&lt;=Control!$C$94),Control!$C$93-Control!$C$92,IF(AND($G295&gt;Control!$C$94,$G295&lt;=Control!$C$95),(Control!$C$93-Control!$C$92)*(Control!$C$94-$G295)/(Control!$C$95-Control!$C$94))))))</f>
        <v>#N/A</v>
      </c>
      <c r="BW295" s="140" t="e">
        <f t="shared" ca="1" si="945"/>
        <v>#N/A</v>
      </c>
      <c r="BX295" s="140" t="e">
        <f ca="1">IF($BW295&lt;=Control!$C$89,$BW295,Control!$C$89-$BW295)</f>
        <v>#N/A</v>
      </c>
      <c r="BY295" s="140" t="e">
        <f ca="1">IF(AND($AJ295&gt;=30,$AJ295&lt;60),1,IF($BW295&gt;=Control!$C$89,0,$BU295))</f>
        <v>#N/A</v>
      </c>
      <c r="BZ295" s="404" t="e">
        <f ca="1">IF($BY295=0,0,IF($BW295&lt;=Control!$C$89,$BU295*(30+(60-30)*(BX295/Control!$C$89)),0))</f>
        <v>#N/A</v>
      </c>
      <c r="CA295" s="140" t="e">
        <f ca="1">IF($BG295+$BM295+$BS295+$BY295=1,0,IF(OR(AND($BB295&lt;65,$BB295&gt;=60),$BW295&gt;=Control!$C$89),1*$BA295,$CE294))</f>
        <v>#N/A</v>
      </c>
      <c r="CB295" s="140" t="e">
        <f ca="1">IF($BX295&lt;0,-$BX295,$CA295*IF(OR($G295&lt;Control!$C$92,$G295&gt;Control!$C$95),0,IF(AND($G295&gt;=Control!$C$92,$G295&lt;=Control!$C$93),$G295-Control!$C$92,IF(AND($G295&gt;Control!$C$93,$G295&lt;=Control!$C$94),Control!$C$93-Control!$C$92,IF(AND($G295&gt;Control!$C$94,$G295&lt;=Control!$C$95),(Control!$C$93-Control!$C$92)*(Control!$C$94-$G295)/(Control!$C$95-Control!$C$94))))))</f>
        <v>#N/A</v>
      </c>
      <c r="CC295" s="140" t="e">
        <f t="shared" ca="1" si="1061"/>
        <v>#N/A</v>
      </c>
      <c r="CD295" s="140" t="e">
        <f ca="1">IF($CC295&lt;=Control!$C$90,$CC295,Control!$C$90-$CC295)</f>
        <v>#N/A</v>
      </c>
      <c r="CE295" s="140" t="e">
        <f ca="1">IF(AND($BB295&gt;=60,$BB295&lt;65),1,IF($CC295&gt;=Control!$C$90,0,$CA295))</f>
        <v>#N/A</v>
      </c>
      <c r="CF295" s="404" t="e">
        <f ca="1">IF($CE295=0,0,IF($CC295&lt;=Control!$C$90,$CA295*(60+(65-60)*(CD295/Control!$C$90)),0))</f>
        <v>#N/A</v>
      </c>
      <c r="CG295" s="140" t="e">
        <f ca="1">IF($BG295+$BM295+$BS295+$BY295+$CE295=1,0,IF(OR(AND($BB295&lt;90,$BB295&gt;=65),$CC295&gt;=Control!$C$90),$BA295,$CK294))</f>
        <v>#N/A</v>
      </c>
      <c r="CH295" s="140" t="e">
        <f ca="1">IF($CD295&lt;0,-$CD295,$CG295*IF(OR($G295&lt;Control!$C$92,$G295&gt;Control!$C$95),0,IF(AND($G295&gt;=Control!$C$92,$G295&lt;=Control!$C$93),$G295-Control!$C$92,IF(AND($G295&gt;Control!$C$93,$G295&lt;=Control!$C$94),Control!$C$93-Control!$C$92,IF(AND($G295&gt;Control!$C$94,$G295&lt;=Control!$C$95),(Control!$C$93-Control!$C$92)*(Control!$C$94-$G295)/(Control!$C$95-Control!$C$94))))))</f>
        <v>#N/A</v>
      </c>
      <c r="CI295" s="140" t="e">
        <f t="shared" ca="1" si="1062"/>
        <v>#N/A</v>
      </c>
      <c r="CJ295" s="140" t="e">
        <f ca="1">IF($CI295&lt;=Control!$C$91,$CI295,Control!$C$91-$CI295)</f>
        <v>#N/A</v>
      </c>
      <c r="CK295" s="140" t="e">
        <f ca="1">IF(AND($BB295&gt;=65,$BB295&lt;90),1,IF($CI295&gt;=Control!$C$91,0,$CG295))</f>
        <v>#N/A</v>
      </c>
      <c r="CL295" s="404" t="e">
        <f ca="1">IF($CK295=0,0,IF($CI295&lt;=Control!$C$91,$CG295*(65+(90-65)*($CJ295/Control!$C$91)),0))</f>
        <v>#N/A</v>
      </c>
      <c r="CM295" s="140" t="e">
        <f ca="1">IF($BG295+$BM295+$BS295+$BY295+$CE295+$CK295=1,0,IF(OR($BB295&gt;=90,$CI295&gt;=Control!$C$91),$BA295,$CM294))</f>
        <v>#N/A</v>
      </c>
      <c r="CN295" s="140" t="e">
        <f t="shared" ca="1" si="1063"/>
        <v>#N/A</v>
      </c>
      <c r="CO295" s="140" t="e">
        <f t="shared" ca="1" si="1064"/>
        <v>#N/A</v>
      </c>
      <c r="CP295" s="140" t="e">
        <f t="shared" ca="1" si="1065"/>
        <v>#N/A</v>
      </c>
      <c r="CQ295" s="141" t="e">
        <f ca="1">VLOOKUP($CP295,Control!$B$86:$G$91,6)</f>
        <v>#N/A</v>
      </c>
      <c r="CR295" s="141" t="e">
        <f ca="1">(1-$CQ295)*VLOOKUP($CP295,Control!$B$86:$D$91,3)</f>
        <v>#N/A</v>
      </c>
      <c r="CS295" s="141" t="e">
        <f ca="1">(1-$CQ295)*VLOOKUP($CP295,Control!$B$86:$E$91,4)</f>
        <v>#N/A</v>
      </c>
      <c r="CT295" s="141" t="e">
        <f ca="1">(1-$CQ295)*VLOOKUP($CP295,Control!$B$86:$F$91,5)</f>
        <v>#N/A</v>
      </c>
      <c r="CU295" s="141">
        <f t="shared" ca="1" si="1066"/>
        <v>0</v>
      </c>
      <c r="CV295" s="583">
        <f t="shared" ca="1" si="1067"/>
        <v>0</v>
      </c>
      <c r="CW295" s="142">
        <f t="shared" ca="1" si="1068"/>
        <v>291</v>
      </c>
      <c r="CX295" s="612" t="e">
        <f ca="1">IF(Control!$C$114=1,(MIN(Control!$C$120*(IF($NT295-0.01&lt;0,0,1)),Control!$C$119-$CY295)))</f>
        <v>#DIV/0!</v>
      </c>
      <c r="CY295" s="143" t="e">
        <f t="shared" ca="1" si="1069"/>
        <v>#N/A</v>
      </c>
      <c r="CZ295" s="144">
        <f t="shared" ca="1" si="946"/>
        <v>0</v>
      </c>
      <c r="DA295" s="144">
        <f t="shared" ca="1" si="947"/>
        <v>0</v>
      </c>
      <c r="DB295" s="144" t="e">
        <f t="shared" ca="1" si="948"/>
        <v>#N/A</v>
      </c>
      <c r="DC295" s="144" t="e">
        <f t="shared" ca="1" si="949"/>
        <v>#N/A</v>
      </c>
      <c r="DD295" s="144" t="e">
        <f t="shared" ca="1" si="1154"/>
        <v>#N/A</v>
      </c>
      <c r="DE295" s="143" t="e">
        <f t="shared" ca="1" si="1070"/>
        <v>#N/A</v>
      </c>
      <c r="DF295" s="145" t="e">
        <f ca="1">$DR295*EXP(-Control!$C$158*(1-$KH295))</f>
        <v>#N/A</v>
      </c>
      <c r="DG295" s="146" t="e">
        <f ca="1">IF(Control!$C$114=1, $DF295*$EY295, 0)</f>
        <v>#N/A</v>
      </c>
      <c r="DH295" s="147" t="e">
        <f t="shared" ca="1" si="1071"/>
        <v>#N/A</v>
      </c>
      <c r="DI295" s="144" t="e">
        <f t="shared" ca="1" si="1132"/>
        <v>#N/A</v>
      </c>
      <c r="DJ295" s="147" t="e">
        <f ca="1">$EF295*Control!$C$109</f>
        <v>#N/A</v>
      </c>
      <c r="DK295" s="144" t="e">
        <f t="shared" ca="1" si="1072"/>
        <v>#N/A</v>
      </c>
      <c r="DL295" s="144" t="e">
        <f t="shared" ca="1" si="950"/>
        <v>#N/A</v>
      </c>
      <c r="DM295" s="144" t="e">
        <f ca="1">IF(Control!$C$114=1, (1-EXP(-Control!$C$96*$DK295))*$AR295, 0)</f>
        <v>#N/A</v>
      </c>
      <c r="DN295" s="144">
        <f t="shared" ca="1" si="1073"/>
        <v>0</v>
      </c>
      <c r="DO295" s="148">
        <f>Control!$C$97</f>
        <v>4</v>
      </c>
      <c r="DP295" s="145" t="e">
        <f t="shared" ca="1" si="1074"/>
        <v>#N/A</v>
      </c>
      <c r="DQ295" s="145" t="e">
        <f ca="1">IF(AND($CP295&gt;=0,$CP295&lt;=90),Control!$C$111,Control!$C$111)</f>
        <v>#N/A</v>
      </c>
      <c r="DR295" s="145" t="e">
        <f t="shared" ca="1" si="951"/>
        <v>#N/A</v>
      </c>
      <c r="DS295" s="143" t="e">
        <f ca="1">Control!$B$22/$DR295</f>
        <v>#N/A</v>
      </c>
      <c r="DT295" s="149" t="e">
        <f ca="1">IF(AND(Control!$C$114=1,$KH295&lt;1),$IM295*$DF295, 0)</f>
        <v>#N/A</v>
      </c>
      <c r="DU295" s="144" t="e">
        <f t="shared" ca="1" si="1075"/>
        <v>#N/A</v>
      </c>
      <c r="DV295" s="144">
        <f ca="1">IF($G295-Control!$C$107&lt;=0, 0, 0.83*LN(MAX($G295, 3))-0.8924)</f>
        <v>0</v>
      </c>
      <c r="DW295" s="144" t="e">
        <f t="shared" ca="1" si="952"/>
        <v>#N/A</v>
      </c>
      <c r="DX295" s="150" t="e">
        <f ca="1">MAX(0.01*(1+$CU295/Control!$C$102),0.05*($DK295-Control!$C$97)/Control!$C$97)</f>
        <v>#N/A</v>
      </c>
      <c r="DY295" s="151" t="e">
        <f ca="1">IF(Control!$C$114=1, $DI295*$FS295, 0)</f>
        <v>#N/A</v>
      </c>
      <c r="DZ295" s="196" t="e">
        <f t="shared" ca="1" si="1076"/>
        <v>#N/A</v>
      </c>
      <c r="EA295" s="152">
        <f t="shared" ca="1" si="1077"/>
        <v>291</v>
      </c>
      <c r="EB295" s="153" t="e">
        <f t="shared" ca="1" si="1078"/>
        <v>#N/A</v>
      </c>
      <c r="EC295" s="153" t="e">
        <f t="shared" ca="1" si="1079"/>
        <v>#N/A</v>
      </c>
      <c r="ED295" s="154" t="e">
        <f ca="1">IF(Control!$C$114=1, $HM295*$FY295-$FD295, 0)</f>
        <v>#DIV/0!</v>
      </c>
      <c r="EE295" s="155" t="e">
        <f ca="1">IF(Control!$C$114=1, $HM295*$FZ295-$FF295, 0)</f>
        <v>#DIV/0!</v>
      </c>
      <c r="EF295" s="153" t="e">
        <f t="shared" ca="1" si="1133"/>
        <v>#N/A</v>
      </c>
      <c r="EG295" s="155" t="e">
        <f ca="1">IF(Control!$C$114=1, $GX295*$FW295-$FI295, 0)</f>
        <v>#DIV/0!</v>
      </c>
      <c r="EH295" s="153" t="e">
        <f t="shared" ca="1" si="1080"/>
        <v>#N/A</v>
      </c>
      <c r="EI295" s="156" t="e">
        <f t="shared" ca="1" si="1081"/>
        <v>#N/A</v>
      </c>
      <c r="EJ295" s="155" t="e">
        <f ca="1">IF(Control!$C$114=1, $HM295*$GB295, 0)</f>
        <v>#DIV/0!</v>
      </c>
      <c r="EK295" s="153" t="e">
        <f t="shared" ca="1" si="1134"/>
        <v>#N/A</v>
      </c>
      <c r="EL295" s="153" t="e">
        <f t="shared" ca="1" si="953"/>
        <v>#N/A</v>
      </c>
      <c r="EM295" s="153" t="e">
        <f t="shared" ca="1" si="954"/>
        <v>#N/A</v>
      </c>
      <c r="EN295" s="153" t="e">
        <f ca="1">IF(Control!$C$108=1,IF(AND(Control!$B$18=1,$EB295&gt;=Control!$B$19),$EB295-$DS295,IF(AND(Control!$B$18=2,$AW295=1,$EB295&gt;$DS295),$EB295-$DS295,0)))</f>
        <v>#N/A</v>
      </c>
      <c r="EO295" s="153" t="e">
        <f ca="1">IF(Control!$C$108=1,IF(AND(Control!$B$18=1,$EB295&gt;=Control!$B$19),$EF295,IF(AND(Control!$B$18=2,$AW295=1),$EF295,0)))</f>
        <v>#N/A</v>
      </c>
      <c r="EP295" s="153" t="e">
        <f ca="1">IF(Control!$C$108=1,IF(AND(Control!$B$18=1,$EB295&gt;=Control!$B$19),$EK295,IF(AND(Control!$B$18=2,$AW295=1),$EK295,0)))</f>
        <v>#N/A</v>
      </c>
      <c r="EQ295" s="153" t="e">
        <f t="shared" ca="1" si="1082"/>
        <v>#N/A</v>
      </c>
      <c r="ER295" s="153" t="e">
        <f t="shared" ca="1" si="1083"/>
        <v>#N/A</v>
      </c>
      <c r="ES295" s="153" t="e">
        <f t="shared" ca="1" si="1135"/>
        <v>#N/A</v>
      </c>
      <c r="ET295" s="153" t="e">
        <f t="shared" ca="1" si="1136"/>
        <v>#N/A</v>
      </c>
      <c r="EU295" s="153" t="e">
        <f t="shared" ca="1" si="1084"/>
        <v>#N/A</v>
      </c>
      <c r="EV295" s="153" t="e">
        <f t="shared" ca="1" si="955"/>
        <v>#N/A</v>
      </c>
      <c r="EW295" s="153" t="e">
        <f t="shared" ca="1" si="956"/>
        <v>#N/A</v>
      </c>
      <c r="EX295" s="153" t="e">
        <f t="shared" ca="1" si="957"/>
        <v>#N/A</v>
      </c>
      <c r="EY295" s="157" t="e">
        <f t="shared" ca="1" si="958"/>
        <v>#DIV/0!</v>
      </c>
      <c r="EZ295" s="154" t="e">
        <f t="shared" ca="1" si="959"/>
        <v>#DIV/0!</v>
      </c>
      <c r="FA295" s="153" t="e">
        <f t="shared" ca="1" si="1085"/>
        <v>#N/A</v>
      </c>
      <c r="FB295" s="153" t="e">
        <f t="shared" ca="1" si="960"/>
        <v>#N/A</v>
      </c>
      <c r="FC295" s="193" t="e">
        <f t="shared" ca="1" si="961"/>
        <v>#N/A</v>
      </c>
      <c r="FD295" s="158" t="e">
        <f t="shared" ca="1" si="1086"/>
        <v>#N/A</v>
      </c>
      <c r="FE295" s="158" t="e">
        <f t="shared" ca="1" si="1087"/>
        <v>#N/A</v>
      </c>
      <c r="FF295" s="159" t="e">
        <f t="shared" ca="1" si="962"/>
        <v>#N/A</v>
      </c>
      <c r="FG295" s="160" t="e">
        <f t="shared" ca="1" si="1088"/>
        <v>#N/A</v>
      </c>
      <c r="FH295" s="158" t="e">
        <f t="shared" ca="1" si="1089"/>
        <v>#N/A</v>
      </c>
      <c r="FI295" s="159" t="e">
        <f t="shared" ca="1" si="963"/>
        <v>#N/A</v>
      </c>
      <c r="FJ295" s="160" t="e">
        <f t="shared" ca="1" si="1090"/>
        <v>#N/A</v>
      </c>
      <c r="FK295" s="160" t="e">
        <f t="shared" ca="1" si="964"/>
        <v>#N/A</v>
      </c>
      <c r="FL295" s="160" t="e">
        <f t="shared" ca="1" si="1137"/>
        <v>#N/A</v>
      </c>
      <c r="FM295" s="160" t="e">
        <f t="shared" ca="1" si="965"/>
        <v>#N/A</v>
      </c>
      <c r="FN295" s="158">
        <f t="shared" ca="1" si="1091"/>
        <v>0.01</v>
      </c>
      <c r="FO295" s="160">
        <f>Control!$C$101</f>
        <v>50</v>
      </c>
      <c r="FP295" s="150" t="e">
        <f t="shared" ca="1" si="966"/>
        <v>#N/A</v>
      </c>
      <c r="FQ295" s="150" t="e">
        <f ca="1">MAX(0,(Control!$C$112*(($DK295-Control!$C$97)/Control!$C$97)))</f>
        <v>#N/A</v>
      </c>
      <c r="FR295" s="150" t="e">
        <f ca="1">(1-$NT295)*Control!$C$113</f>
        <v>#DIV/0!</v>
      </c>
      <c r="FS295" s="198" t="e">
        <f t="shared" ca="1" si="967"/>
        <v>#N/A</v>
      </c>
      <c r="FT295" s="161">
        <f t="shared" ca="1" si="1092"/>
        <v>291</v>
      </c>
      <c r="FU295" s="162" t="e">
        <f ca="1">IF(Control!$B$34=1,VLOOKUP($CP295,Control!$B$86:$G$91,6),Control!$B$35)</f>
        <v>#N/A</v>
      </c>
      <c r="FV295" s="162" t="e">
        <f t="shared" ca="1" si="968"/>
        <v>#DIV/0!</v>
      </c>
      <c r="FW295" s="162" t="e">
        <f ca="1">IF(Control!$B$31=1,$FU295*$FV295,  $FU295)</f>
        <v>#N/A</v>
      </c>
      <c r="FX295" s="162" t="e">
        <f ca="1">IF(Control!$B$34=1,VLOOKUP($CP295,Control!$B$86:$G$91,3),Control!$B$36)</f>
        <v>#N/A</v>
      </c>
      <c r="FY295" s="162" t="e">
        <f t="shared" ca="1" si="969"/>
        <v>#N/A</v>
      </c>
      <c r="FZ295" s="162" t="e">
        <f ca="1">IF(Control!$B$34=1,VLOOKUP($CP295,Control!$B$86:$G$91,4),Control!$B$37)</f>
        <v>#N/A</v>
      </c>
      <c r="GA295" s="162" t="e">
        <f t="shared" ca="1" si="970"/>
        <v>#N/A</v>
      </c>
      <c r="GB295" s="162" t="e">
        <f ca="1">IF(Control!$B$34=1,VLOOKUP($CP295,Control!$B$86:$G$91,5),Control!$B$38)</f>
        <v>#N/A</v>
      </c>
      <c r="GC295" s="162" t="e">
        <f t="shared" ca="1" si="1093"/>
        <v>#N/A</v>
      </c>
      <c r="GD295" s="162">
        <f t="shared" ca="1" si="971"/>
        <v>1</v>
      </c>
      <c r="GE295" s="162">
        <f t="shared" ca="1" si="972"/>
        <v>1</v>
      </c>
      <c r="GF295" s="162">
        <f ca="1">IF(AND(Control!$C$104=1, Control!$C$62="F"),$GE295,1)</f>
        <v>1</v>
      </c>
      <c r="GG295" s="162" t="e">
        <f ca="1">IF(Control!$B$16=40,0,IF(AND(Control!$B$16&gt;40,Control!$B$16&lt;=360),(Control!$B$16-40)*((1-0)/(360-40)),IF(AND(Control!$B$16&gt;360,Control!$B$16&lt;=720),(1+(Control!$B$16-360)*((1.25-1)/(720-360))),IF(AND(Control!$B$16&gt;720,Control!$B$16&lt;=1000),(1.25+(Control!$B$16-720)*((1.35-1.25)/(1000-720))),IF(AND(Control!$B$16&gt;1000,Control!$B$16&lt;=2000),(1.35+(Control!$B$16-1000)*0))))))</f>
        <v>#N/A</v>
      </c>
      <c r="GH295" s="162" t="e">
        <f t="shared" ca="1" si="973"/>
        <v>#N/A</v>
      </c>
      <c r="GI295" s="162">
        <f t="shared" ca="1" si="1094"/>
        <v>0</v>
      </c>
      <c r="GJ295" s="162">
        <f t="shared" ca="1" si="974"/>
        <v>0</v>
      </c>
      <c r="GK295" s="162">
        <f t="shared" ca="1" si="1095"/>
        <v>1</v>
      </c>
      <c r="GL295" s="162">
        <f t="shared" ca="1" si="975"/>
        <v>1</v>
      </c>
      <c r="GM295" s="162" t="e">
        <f ca="1">MAX(0,MIN(1,1-Control!$C$156*(1.0001-$KH295)^2))</f>
        <v>#N/A</v>
      </c>
      <c r="GN295" s="162" t="e">
        <f ca="1">IF(Control!$B$26=1,$KU295,$KX295)</f>
        <v>#N/A</v>
      </c>
      <c r="GO295" s="162" t="e">
        <f ca="1">IF($CP295&lt;=60,Control!$C$105,IF($CP295&gt;=90,Control!$C$106,Control!$C$105+($CP295-60)*((Control!$C$106-Control!$C$105)/(90-60))))</f>
        <v>#N/A</v>
      </c>
      <c r="GP295" s="162" t="e">
        <f t="shared" ca="1" si="976"/>
        <v>#N/A</v>
      </c>
      <c r="GQ295" s="162" t="e">
        <f t="shared" ca="1" si="1096"/>
        <v>#N/A</v>
      </c>
      <c r="GR295" s="163" t="e">
        <f t="shared" ca="1" si="977"/>
        <v>#DIV/0!</v>
      </c>
      <c r="GS295" s="162" t="e">
        <f t="shared" ca="1" si="978"/>
        <v>#DIV/0!</v>
      </c>
      <c r="GT295" s="164" t="e">
        <f t="shared" ca="1" si="1097"/>
        <v>#N/A</v>
      </c>
      <c r="GU295" s="162" t="e">
        <f t="shared" ca="1" si="1098"/>
        <v>#N/A</v>
      </c>
      <c r="GV295" s="162" t="e">
        <f t="shared" ca="1" si="979"/>
        <v>#N/A</v>
      </c>
      <c r="GW295" s="162" t="e">
        <f t="shared" ca="1" si="980"/>
        <v>#DIV/0!</v>
      </c>
      <c r="GX295" s="162" t="e">
        <f t="shared" ca="1" si="1099"/>
        <v>#DIV/0!</v>
      </c>
      <c r="GY295" s="162" t="e">
        <f t="shared" ca="1" si="1100"/>
        <v>#DIV/0!</v>
      </c>
      <c r="GZ295" s="165" t="e">
        <f t="shared" ca="1" si="981"/>
        <v>#N/A</v>
      </c>
      <c r="HA295" s="162" t="e">
        <f ca="1">IF(Control!$C$114=1, $DI295*$FS295, 0)</f>
        <v>#N/A</v>
      </c>
      <c r="HB295" s="162" t="e">
        <f ca="1">$FA295/Control!$C$64</f>
        <v>#N/A</v>
      </c>
      <c r="HC295" s="162" t="e">
        <f t="shared" ca="1" si="982"/>
        <v>#DIV/0!</v>
      </c>
      <c r="HD295" s="162">
        <f ca="1">-ASIN(SIN(23.45*Control!$C$139)*COS(2*Control!$C$138*($AH295+10)/365))</f>
        <v>-0.18089110743401579</v>
      </c>
      <c r="HE295" s="165">
        <f t="shared" ca="1" si="1101"/>
        <v>0</v>
      </c>
      <c r="HF295" s="166">
        <f ca="1">IF(AND(Control!$C$61="T",$HE295&gt;=Control!$C$103,Control!$C$114=0),$AH295,Control!$C$59)</f>
        <v>1</v>
      </c>
      <c r="HG295" s="166">
        <f ca="1">IF(AND(Control!$C$61="T",$HE295&gt;=Control!$C$103,Control!$C$114=0),$HF295,Control!$C$59)</f>
        <v>1</v>
      </c>
      <c r="HH295" s="165">
        <f ca="1">IF(AND(OR(Control!$C$60&lt;=0, $AH295= Control!$C$59, Control!$C$60 &gt;0, $AH295 = Control!$C$60)), Control!$C$59, IF(Control!$C$60&gt;0, 0))</f>
        <v>1</v>
      </c>
      <c r="HI295" s="165">
        <f ca="1">IF(AND(OR(Control!$C$60&lt;=0, $AH295= Control!$C$59, Control!$C$60 &gt;0, $AH295 = Control!$C$60)), Control!$C$60, IF(Control!$C$60&lt;=0, 0))</f>
        <v>0</v>
      </c>
      <c r="HJ295" s="166">
        <f ca="1">IF(AND(Control!$C$62="F",$CV295&gt;=Control!$C$102),$AH295,0)</f>
        <v>0</v>
      </c>
      <c r="HK295" s="165" t="e">
        <f t="shared" ca="1" si="1138"/>
        <v>#N/A</v>
      </c>
      <c r="HL295" s="166">
        <f ca="1">IF(AND(Control!$C$61="T",$HE295&gt;=Control!$C$103,Control!$C$114=0),$HF295,0)</f>
        <v>0</v>
      </c>
      <c r="HM295" s="201" t="e">
        <f t="shared" ca="1" si="983"/>
        <v>#DIV/0!</v>
      </c>
      <c r="HN295" s="215">
        <f t="shared" ca="1" si="1102"/>
        <v>291</v>
      </c>
      <c r="HO295" s="216" t="e">
        <f ca="1">IF(AND($CP295&gt;=0, $CP295&lt;=90), Control!$C$152, Control!$C$152)</f>
        <v>#N/A</v>
      </c>
      <c r="HP295" s="216" t="e">
        <f t="shared" ca="1" si="984"/>
        <v>#N/A</v>
      </c>
      <c r="HQ295" s="217" t="e">
        <f ca="1">IF(OR(Control!$B$26=1,Control!$B$26=2),$KV295,$KS295)</f>
        <v>#DIV/0!</v>
      </c>
      <c r="HR295" s="218" t="e">
        <f t="shared" ca="1" si="1139"/>
        <v>#DIV/0!</v>
      </c>
      <c r="HS295" s="216" t="e">
        <f ca="1">Control!$C$154*$HP295</f>
        <v>#N/A</v>
      </c>
      <c r="HT295" s="216" t="e">
        <f ca="1">Control!$C$155*$HP295</f>
        <v>#N/A</v>
      </c>
      <c r="HU295" s="217" t="e">
        <f ca="1">Control!$C$161*$FI295</f>
        <v>#N/A</v>
      </c>
      <c r="HV295" s="218" t="e">
        <f t="shared" ca="1" si="1103"/>
        <v>#N/A</v>
      </c>
      <c r="HW295" s="218" t="e">
        <f ca="1">Control!$C$160*$FF295+$IP295*$EO295</f>
        <v>#N/A</v>
      </c>
      <c r="HX295" s="218" t="e">
        <f t="shared" ca="1" si="1140"/>
        <v>#N/A</v>
      </c>
      <c r="HY295" s="219" t="e">
        <f ca="1">IF(Control!$C$114=1, $EB295*$FS295, 0)</f>
        <v>#N/A</v>
      </c>
      <c r="HZ295" s="91" t="e">
        <f t="shared" ca="1" si="985"/>
        <v>#N/A</v>
      </c>
      <c r="IA295" s="220" t="e">
        <f ca="1">Control!$C$153*$HO295</f>
        <v>#N/A</v>
      </c>
      <c r="IB295" s="218" t="e">
        <f t="shared" ca="1" si="986"/>
        <v>#N/A</v>
      </c>
      <c r="IC295" s="220" t="e">
        <f ca="1">Control!$C$153*$HT295</f>
        <v>#N/A</v>
      </c>
      <c r="ID295" s="218" t="e">
        <f t="shared" ca="1" si="987"/>
        <v>#N/A</v>
      </c>
      <c r="IE295" s="221" t="e">
        <f ca="1">($EB295*Control!$C$159+$EF295*Control!$C$160)/(IF($GZ295&lt;&gt;0,$GZ295,1))</f>
        <v>#N/A</v>
      </c>
      <c r="IF295" s="216" t="e">
        <f t="shared" ca="1" si="988"/>
        <v>#N/A</v>
      </c>
      <c r="IG295" s="91">
        <f ca="1">IF(OR(Control!$B$198=$AH295,Control!$B$199=$AH295, Control!$B$200=$AH295, Control!$B$201=$AH295, Control!$B$202=$AH295, Control!$B$203=$AH295, Control!$B$204=$AH295, Control!$B$205=$AH295, Control!$B$206=$AH295, Control!$B$207=$AH295), 1, 0)</f>
        <v>0</v>
      </c>
      <c r="IH295" s="91">
        <f ca="1">IF($IG295=0,0, VLOOKUP($AH295,Control!$B$198:$C$207,2))</f>
        <v>0</v>
      </c>
      <c r="II295" s="222">
        <f t="shared" ca="1" si="1104"/>
        <v>0</v>
      </c>
      <c r="IJ295" s="91">
        <f>Control!$C$121</f>
        <v>0.7</v>
      </c>
      <c r="IK295" s="218">
        <f t="shared" ca="1" si="989"/>
        <v>0</v>
      </c>
      <c r="IL295" s="217" t="e">
        <f t="shared" ca="1" si="1141"/>
        <v>#N/A</v>
      </c>
      <c r="IM295" s="223" t="e">
        <f ca="1">IF(AND(Control!$C$114=1,$KH295&lt;1),$EB295*Control!$C$148*(1-$KH295), 0)</f>
        <v>#N/A</v>
      </c>
      <c r="IN295" s="217" t="e">
        <f t="shared" ca="1" si="990"/>
        <v>#DIV/0!</v>
      </c>
      <c r="IO295" s="91" t="e">
        <f ca="1">MAX(0,$IL295-$EF295*Control!$C$160)</f>
        <v>#N/A</v>
      </c>
      <c r="IP295" s="220" t="e">
        <f t="shared" ca="1" si="991"/>
        <v>#N/A</v>
      </c>
      <c r="IQ295" s="217" t="e">
        <f t="shared" ca="1" si="1105"/>
        <v>#N/A</v>
      </c>
      <c r="IR295" s="218" t="e">
        <f t="shared" ca="1" si="992"/>
        <v>#N/A</v>
      </c>
      <c r="IS295" s="217" t="e">
        <f ca="1">Control!$C$159*MAX(0,$FD295-$EN295)</f>
        <v>#N/A</v>
      </c>
      <c r="IT295" s="217" t="e">
        <f t="shared" ca="1" si="1142"/>
        <v>#N/A</v>
      </c>
      <c r="IU295" s="217" t="e">
        <f t="shared" ca="1" si="1106"/>
        <v>#N/A</v>
      </c>
      <c r="IV295" s="217" t="e">
        <f t="shared" ca="1" si="1143"/>
        <v>#N/A</v>
      </c>
      <c r="IW295" s="217" t="e">
        <f ca="1">IF(OR($AW295=1,AND($AW295=0, Control!$B$18=1,$EN295&lt;&gt;0)), $IQ295-$IU295, $IQ295)</f>
        <v>#N/A</v>
      </c>
      <c r="IX295" s="218" t="e">
        <f t="shared" ca="1" si="993"/>
        <v>#N/A</v>
      </c>
      <c r="IY295" s="218" t="e">
        <f ca="1">MAX(0,$IQ295-$EB295*Control!$C$159)</f>
        <v>#N/A</v>
      </c>
      <c r="IZ295" s="218" t="e">
        <f t="shared" ca="1" si="994"/>
        <v>#N/A</v>
      </c>
      <c r="JA295" s="216" t="e">
        <f t="shared" ca="1" si="995"/>
        <v>#N/A</v>
      </c>
      <c r="JB295" s="217" t="e">
        <f t="shared" ca="1" si="996"/>
        <v>#N/A</v>
      </c>
      <c r="JC295" s="222" t="e">
        <f ca="1">MAX(Control!$C$157*$EK295-$JT295, 0)/Control!$C$162</f>
        <v>#N/A</v>
      </c>
      <c r="JD295" s="218" t="e">
        <f t="shared" ca="1" si="997"/>
        <v>#N/A</v>
      </c>
      <c r="JE295" s="218" t="e">
        <f t="shared" ca="1" si="998"/>
        <v>#N/A</v>
      </c>
      <c r="JF295" s="218" t="e">
        <f t="shared" ca="1" si="1107"/>
        <v>#N/A</v>
      </c>
      <c r="JG295" s="218" t="e">
        <f t="shared" ca="1" si="999"/>
        <v>#N/A</v>
      </c>
      <c r="JH295" s="217" t="e">
        <f t="shared" ca="1" si="1108"/>
        <v>#N/A</v>
      </c>
      <c r="JI295" s="217" t="e">
        <f t="shared" ca="1" si="1109"/>
        <v>#N/A</v>
      </c>
      <c r="JJ295" s="217" t="e">
        <f t="shared" ca="1" si="1144"/>
        <v>#N/A</v>
      </c>
      <c r="JK295" s="217" t="e">
        <f ca="1">IF(Control!$C$114=1,IF(Control!$B$24=0,MAX(0,$JI295)*$GN295/Control!$C$64,(MAX(0,MIN($JI295,$JJ295*$GN295/Control!$C$64),0))))</f>
        <v>#N/A</v>
      </c>
      <c r="JL295" s="217" t="e">
        <f ca="1">$IK295/Control!$C$64-$JK295+$HQ295</f>
        <v>#N/A</v>
      </c>
      <c r="JM295" s="217" t="e">
        <f ca="1">IF(Control!$C$114=1,($JB295/(IF($JI295&lt;&gt;0,$JI295,1)))*$JK295,0)</f>
        <v>#N/A</v>
      </c>
      <c r="JN295" s="217" t="e">
        <f ca="1">IF(Control!$C$114=1,($JG295/(IF($JI295&lt;&gt;0,$JI295,1)))*$JK295, 0)</f>
        <v>#N/A</v>
      </c>
      <c r="JO295" s="218" t="e">
        <f t="shared" ca="1" si="1000"/>
        <v>#N/A</v>
      </c>
      <c r="JP295" s="218" t="e">
        <f ca="1">MIN(($IY295+$IO295)*Control!$C$151, $JF295-$EH295*Control!$C$161)</f>
        <v>#N/A</v>
      </c>
      <c r="JQ295" s="218" t="e">
        <f t="shared" ca="1" si="1001"/>
        <v>#N/A</v>
      </c>
      <c r="JR295" s="217" t="e">
        <f ca="1">IF($CP295-Control!$C$150&lt;0, 0, $JQ295/Control!$C$162)</f>
        <v>#N/A</v>
      </c>
      <c r="JS295" s="218" t="e">
        <f t="shared" ca="1" si="1002"/>
        <v>#N/A</v>
      </c>
      <c r="JT295" s="218" t="e">
        <f t="shared" ca="1" si="1110"/>
        <v>#N/A</v>
      </c>
      <c r="JU295" s="218" t="e">
        <f t="shared" ca="1" si="1003"/>
        <v>#N/A</v>
      </c>
      <c r="JV295" s="218" t="e">
        <f t="shared" ca="1" si="1004"/>
        <v>#N/A</v>
      </c>
      <c r="JW295" s="216" t="e">
        <f t="shared" ca="1" si="1005"/>
        <v>#N/A</v>
      </c>
      <c r="JX295" s="91" t="e">
        <f t="shared" ca="1" si="1006"/>
        <v>#N/A</v>
      </c>
      <c r="JY295" s="218" t="e">
        <f t="shared" ca="1" si="1007"/>
        <v>#N/A</v>
      </c>
      <c r="JZ295" s="217" t="e">
        <f ca="1">IF(Control!$C$114=1,($IZ295/(IF($JI295&lt;&gt;0,$JI295,1)))*$JK295, 0)</f>
        <v>#N/A</v>
      </c>
      <c r="KA295" s="218" t="e">
        <f t="shared" ca="1" si="1145"/>
        <v>#N/A</v>
      </c>
      <c r="KB295" s="218" t="e">
        <f t="shared" ca="1" si="1111"/>
        <v>#N/A</v>
      </c>
      <c r="KC295" s="218" t="e">
        <f t="shared" ca="1" si="1008"/>
        <v>#N/A</v>
      </c>
      <c r="KD295" s="218" t="e">
        <f t="shared" ca="1" si="1009"/>
        <v>#N/A</v>
      </c>
      <c r="KE295" s="218" t="e">
        <f t="shared" ca="1" si="1010"/>
        <v>#N/A</v>
      </c>
      <c r="KF295" s="218" t="e">
        <f t="shared" ca="1" si="1011"/>
        <v>#N/A</v>
      </c>
      <c r="KG295" s="216" t="e">
        <f t="shared" ca="1" si="1012"/>
        <v>#N/A</v>
      </c>
      <c r="KH295" s="221" t="e">
        <f ca="1">IF(Control!$B$24=0,1,MAX(0.001,MIN(1,IF(($IF295-$IE295)&lt;&gt;0,($KG295-$IE295)/($IF295-$IE295),1))))</f>
        <v>#N/A</v>
      </c>
      <c r="KI295" s="222" t="e">
        <f ca="1">IF(Control!$C$114=1, $KI294+ $KH294, 0)</f>
        <v>#N/A</v>
      </c>
      <c r="KJ295" s="217" t="e">
        <f t="shared" ca="1" si="1013"/>
        <v>#N/A</v>
      </c>
      <c r="KK295" s="218" t="e">
        <f t="shared" ca="1" si="1014"/>
        <v>#N/A</v>
      </c>
      <c r="KL295" s="274" t="e">
        <f ca="1">IF(Control!$B$26=3,4000000000*EXP(-8400/($G295+273)),IF(Control!$B$26=4,4000000000*EXP(-8400/($G295+273))*($KT295),0))</f>
        <v>#DIV/0!</v>
      </c>
      <c r="KM295" s="274" t="e">
        <f ca="1">IF(Control!$B$26=3,5600000000000*EXP(-9800/($G295+273)),IF(Control!$B$26=4,5600000000000*EXP(-9800/($G295+273))*$KT295,0))</f>
        <v>#DIV/0!</v>
      </c>
      <c r="KN295" s="454" t="e">
        <f t="shared" ca="1" si="1112"/>
        <v>#DIV/0!</v>
      </c>
      <c r="KO295" s="274" t="e">
        <f t="shared" ca="1" si="1113"/>
        <v>#DIV/0!</v>
      </c>
      <c r="KP295" s="454" t="e">
        <f t="shared" ca="1" si="1015"/>
        <v>#DIV/0!</v>
      </c>
      <c r="KQ295" s="454" t="e">
        <f t="shared" ca="1" si="1016"/>
        <v>#DIV/0!</v>
      </c>
      <c r="KR295" s="454" t="e">
        <f t="shared" ca="1" si="1017"/>
        <v>#DIV/0!</v>
      </c>
      <c r="KS295" s="454" t="e">
        <f t="shared" ca="1" si="1018"/>
        <v>#DIV/0!</v>
      </c>
      <c r="KT295" s="455" t="e">
        <f t="shared" ca="1" si="1019"/>
        <v>#DIV/0!</v>
      </c>
      <c r="KU295" s="456" t="e">
        <f ca="1">IF($CP295-Control!$C$149&lt;0, IF($NT295-0.01&lt;0,0,1),0)</f>
        <v>#N/A</v>
      </c>
      <c r="KV295" s="456" t="e">
        <f ca="1">IF(Control!$C$114=1,MAX(0,MIN(Control!$C$125*$KW295*$GN295,$KW295)))</f>
        <v>#DIV/0!</v>
      </c>
      <c r="KW295" s="456" t="e">
        <f t="shared" ca="1" si="1146"/>
        <v>#DIV/0!</v>
      </c>
      <c r="KX295" s="457" t="e">
        <f ca="1">IF($CP295-Control!$C$149&lt;0, IF($MR295-$OM295&lt;0,0,1),0)</f>
        <v>#N/A</v>
      </c>
      <c r="KY295" s="167">
        <f t="shared" ca="1" si="1114"/>
        <v>291</v>
      </c>
      <c r="KZ295" s="168">
        <f ca="1">1370*(1+0.033*COS(2*Control!$C$138*$AH295/365))</f>
        <v>1383.2289675855084</v>
      </c>
      <c r="LA295" s="169">
        <f t="shared" ca="1" si="1115"/>
        <v>1.0096558110759004</v>
      </c>
      <c r="LB295" s="169">
        <f t="shared" ca="1" si="1116"/>
        <v>-0.18804781962118322</v>
      </c>
      <c r="LC295" s="169">
        <f ca="1">ACOS(-TAN((2*Control!$B$8/360))*TAN(Calculations!$LB295))</f>
        <v>1.5142095032082934</v>
      </c>
      <c r="LD295" s="169">
        <f ca="1">((24*60)/PI())*0.082*$LA295*(($LC295*SIN(Control!$B$8*2*PI()/360))*SIN($LB295)+COS(Control!$B$8*2*PI()/360)*COS($LB295)*SIN($LC295))</f>
        <v>14.450160126162782</v>
      </c>
      <c r="LE295" s="170">
        <f t="shared" ca="1" si="1020"/>
        <v>15.190526143372349</v>
      </c>
      <c r="LF295" s="170">
        <f ca="1">SIN(Control!$C$139*Control!$B$8)*SIN($HD295)</f>
        <v>-0.14176826528250094</v>
      </c>
      <c r="LG295" s="170">
        <f ca="1">COS(Control!$C$139*Control!$B$8)*COS($HD295)</f>
        <v>0.60561455451039303</v>
      </c>
      <c r="LH295" s="170">
        <f ca="1">12*(1+2*ASIN(MAX(-1,MIN(1,$LF295/$LG295))/Control!$C$138))</f>
        <v>10.210029902887687</v>
      </c>
      <c r="LI295" s="170">
        <f ca="1">12*(1+2*ASIN(MAX(-1,MIN(1,(-SIN(-4*Control!$C$139)+$LF295)/$LG295))/Control!$C$138))</f>
        <v>11.091404818673087</v>
      </c>
      <c r="LJ295" s="168">
        <f ca="1">3600*($LH295*$LF295+24*$LG295*SQRT(1-$LK295*$LK295)/Control!$C$138)</f>
        <v>10981.931769320976</v>
      </c>
      <c r="LK295" s="170">
        <f t="shared" ca="1" si="1021"/>
        <v>-0.2340899244026805</v>
      </c>
      <c r="LL295" s="170">
        <f t="shared" ca="1" si="1022"/>
        <v>0</v>
      </c>
      <c r="LM295" s="171">
        <f ca="1">Control!$C$145*$AB295</f>
        <v>6.6660906138995932E-2</v>
      </c>
      <c r="LN295" s="170">
        <f t="shared" ca="1" si="1117"/>
        <v>0.54</v>
      </c>
      <c r="LO295" s="170">
        <f t="shared" ca="1" si="1023"/>
        <v>0</v>
      </c>
      <c r="LP295" s="170">
        <f ca="1">Control!$C$140*((($D295+273.16)^4+($E295+273.16)^4)/2)*(0.34-0.14*SQRT($Y295))*(1.35*$AQ295/(0.75*$LD295)-0.35)</f>
        <v>-3.2464704755046001</v>
      </c>
      <c r="LQ295" s="170">
        <f ca="1">Control!$C$140*($G295+273)^4*(0.56-0.079*SQRT($Y295*10))*(0.1+0.9*$LO295)</f>
        <v>1.5241745131704001</v>
      </c>
      <c r="LR295" s="170">
        <f ca="1">$AQ295*(1-Control!$C$142)-$LQ295</f>
        <v>-1.5241745131704001</v>
      </c>
      <c r="LS295" s="170">
        <f ca="1">$AQ295*(1-Control!$C$143)-$LQ295</f>
        <v>-1.5241745131704001</v>
      </c>
      <c r="LT295" s="170">
        <f ca="1">$AQ295*(1-Control!$C$144)-$LQ295</f>
        <v>-1.5241745131704001</v>
      </c>
      <c r="LU295" s="169">
        <f ca="1">(1-Control!$C$144)*AQ295-LP295</f>
        <v>3.2464704755046001</v>
      </c>
      <c r="LV295" s="172">
        <f t="shared" ca="1" si="1024"/>
        <v>0.79430000000000012</v>
      </c>
      <c r="LW295" s="170">
        <f t="shared" ca="1" si="1025"/>
        <v>1.5886000000000002</v>
      </c>
      <c r="LX295" s="170">
        <f ca="1">($AC295*($LR295/Control!$C$141)+$LM295*$LV295)/($AC295+$LM295)</f>
        <v>0.23530094218323697</v>
      </c>
      <c r="LY295" s="170">
        <f ca="1">($AC295*($LS295/Control!$C$141)+$LM295*$LV295)/($AC295+$LM295)</f>
        <v>0.23530094218323697</v>
      </c>
      <c r="LZ295" s="170">
        <f t="shared" ca="1" si="1026"/>
        <v>0.23530094218323697</v>
      </c>
      <c r="MA295" s="170">
        <f t="shared" ca="1" si="1027"/>
        <v>0.23530094218323697</v>
      </c>
      <c r="MB295" s="170" t="e">
        <f t="shared" ca="1" si="1028"/>
        <v>#N/A</v>
      </c>
      <c r="MC295" s="170">
        <f t="shared" ca="1" si="1118"/>
        <v>0.6018</v>
      </c>
      <c r="MD295" s="170">
        <f t="shared" ca="1" si="1029"/>
        <v>0.52989392535414004</v>
      </c>
      <c r="ME295" s="170">
        <f ca="1">($AC295*($LT295/Control!$C$141)+$LM295*$LW295)/($AC295+$LM295)</f>
        <v>0.71612369323045078</v>
      </c>
      <c r="MF295" s="170" t="e">
        <f ca="1">IF(Control!$B$16&gt;=1000,0.92,IF(AND(720&lt;=Control!$B$16,1000&gt;Control!$B$16),(0.95+(Control!$B$16-720)*((0.92-0.95)/(1000-720))),IF(AND(360&lt;=Control!$B$16,720&gt;Control!$B$16),(1+(Control!$B$16-360)*((0.95-1)/(720-360))),IF(AND(40&lt;=Control!$B$16,360&gt;Control!$B$16),(1.05+(Control!$B$16-40)*((1.05-1)/(360-40)))))))</f>
        <v>#N/A</v>
      </c>
      <c r="MG295" s="170">
        <f t="shared" ca="1" si="1030"/>
        <v>0.71612369323045078</v>
      </c>
      <c r="MH295" s="170" t="e">
        <f t="shared" ca="1" si="1156"/>
        <v>#N/A</v>
      </c>
      <c r="MI295" s="170" t="e">
        <f t="shared" ca="1" si="1156"/>
        <v>#N/A</v>
      </c>
      <c r="MJ295" s="170" t="e">
        <f ca="1">MAX(0.0001, Control!$C$132*$MI295*$DL295)</f>
        <v>#N/A</v>
      </c>
      <c r="MK295" s="170">
        <f ca="1">1/(0.76+1.5*($MG295/10))-(5-Control!$C$110)*0.1</f>
        <v>1.002845988140797</v>
      </c>
      <c r="ML295" s="173">
        <f ca="1">IF(Control!$C$110&lt;3,$MK295+($MG295-0.6)/(Control!$C$110*(Control!$C$110+3)), MAX(0.1, MIN(0.95,$MK295)))</f>
        <v>0.95</v>
      </c>
      <c r="MM295" s="173">
        <f ca="1">IF(Control!$C$110&lt;3,$MK295+(($MI295/10)-0.6)/(Control!$C$110*(Control!$C$110+3)), MAX(0.1, MIN(0.95,$MK295)))</f>
        <v>0.95</v>
      </c>
      <c r="MN295" s="173">
        <f ca="1">(1-$MM295)*(Control!$C$128-Control!$C$127)+Control!$C$127</f>
        <v>0.16</v>
      </c>
      <c r="MO295" s="170" t="e">
        <f ca="1">MAX(0,MIN(1,($MS295-Control!$C$127)/($MN295-Control!$C$127)))</f>
        <v>#DIV/0!</v>
      </c>
      <c r="MP295" s="173" t="e">
        <f ca="1">1/(0.76+1.5*$MI295)-(5-Control!$C$110)*0.1</f>
        <v>#N/A</v>
      </c>
      <c r="MQ295" s="172" t="e">
        <f t="shared" ca="1" si="1147"/>
        <v>#DIV/0!</v>
      </c>
      <c r="MR295" s="168" t="e">
        <f t="shared" ca="1" si="1119"/>
        <v>#DIV/0!</v>
      </c>
      <c r="MS295" s="173" t="e">
        <f ca="1">MAX(Control!$C$127, MIN(Control!$C$135, $MR295/MAX(0.0001,$CY295)))</f>
        <v>#DIV/0!</v>
      </c>
      <c r="MT295" s="168" t="e">
        <f ca="1">(Control!$C$128-$MS295)*Control!$C$74</f>
        <v>#DIV/0!</v>
      </c>
      <c r="MU295" s="168" t="e">
        <f ca="1">(Control!$C$135-$MS295)*Control!$C$74</f>
        <v>#DIV/0!</v>
      </c>
      <c r="MV295" s="168" t="e">
        <f t="shared" ca="1" si="1120"/>
        <v>#DIV/0!</v>
      </c>
      <c r="MW295" s="168" t="e">
        <f t="shared" ca="1" si="1121"/>
        <v>#DIV/0!</v>
      </c>
      <c r="MX295" s="171" t="e">
        <f ca="1">MAX(Control!$C$127, MIN(Control!$C$135, $MW295/MAX(0.0001,Control!$C$119-$CY295)))</f>
        <v>#DIV/0!</v>
      </c>
      <c r="MY295" s="54" t="e">
        <f ca="1">IF(Control!$C$114=1, $CX295*$MX295, 0)</f>
        <v>#DIV/0!</v>
      </c>
      <c r="MZ295" s="54" t="e">
        <f t="shared" ca="1" si="1122"/>
        <v>#N/A</v>
      </c>
      <c r="NA295" s="168" t="e">
        <f ca="1">(Control!$C$128-$MX295)*(Control!$C$119-Control!$C$74)</f>
        <v>#DIV/0!</v>
      </c>
      <c r="NB295" s="168" t="e">
        <f ca="1">(Control!$C$135-$MX295)*(Control!$C$119-Control!$C$74)</f>
        <v>#DIV/0!</v>
      </c>
      <c r="NC295" s="174" t="e">
        <f t="shared" ca="1" si="1123"/>
        <v>#DIV/0!</v>
      </c>
      <c r="ND295" s="54">
        <f ca="1">IF(Control!$C$58=2, IF(OR(Control!$B$218=$AH295,Control!$B$219=$AH295, Control!$B$220=$AH295, Control!$B$221=$AH295, Control!$B$222=$AH295, Control!$B$223=$AH295, Control!$B$224=$AH295, Control!$B$225=$AH295, Control!$B$226=$AH295, Control!$B$227=$AH295, Control!$B$228=$AH295), 1, 0), 0)</f>
        <v>0</v>
      </c>
      <c r="NE295" s="54">
        <f ca="1">IF($ND295=0,0, VLOOKUP($AH295,Control!$B$218:$C$228,2))</f>
        <v>0</v>
      </c>
      <c r="NF295" s="168" t="e">
        <f ca="1">$CY295*(Control!$C$128-Control!$C$127)</f>
        <v>#N/A</v>
      </c>
      <c r="NG295" s="54" t="e">
        <f ca="1">IF(Control!$C$58=2, $NI294-$NJ294, 0)</f>
        <v>#DIV/0!</v>
      </c>
      <c r="NH295" s="54" t="e">
        <f ca="1">IF(AND(Control!$C$58=1, $MS294&lt;= ($MN294+0.02), $I294&lt;10), 0, IF(Control!$C$58=2, $NG294, 0))</f>
        <v>#DIV/0!</v>
      </c>
      <c r="NI295" s="54" t="e">
        <f ca="1">IF(Control!$C$58=2, $NE295+$NH295,0)</f>
        <v>#DIV/0!</v>
      </c>
      <c r="NJ295" s="54" t="e">
        <f ca="1">IF(AND(Control!$C$58=1, $MS295&lt;= ($MN295+0.02), $I295&lt;10), MAX(0, MIN(10, 0.7*($NF295-$MV295))), IF(Control!$C$58=2, MIN(10,$NI295),0))</f>
        <v>#DIV/0!</v>
      </c>
      <c r="NK295" s="54" t="e">
        <f t="shared" ca="1" si="1031"/>
        <v>#DIV/0!</v>
      </c>
      <c r="NL295" s="173" t="e">
        <f ca="1">(1-Control!$C$73)*$I295+$NJ295</f>
        <v>#DIV/0!</v>
      </c>
      <c r="NM295" s="172" t="e">
        <f ca="1">IF($NL295&lt;0.5, $MB295* MAX(0, MIN(1, (SQRT($NC295)-SQRT($NC295-1))*Control!$C$71)),0)</f>
        <v>#DIV/0!</v>
      </c>
      <c r="NN295" s="170" t="e">
        <f ca="1">IF($NL295&gt;=5, $MB295, MAX(0,MIN($MB295, $NM295+$NL295,($MS295-Control!$C$129))))</f>
        <v>#DIV/0!</v>
      </c>
      <c r="NO295" s="54">
        <f>IF(Control!$C$133&lt;&gt;1, Control!$C$135-Control!$C$131, 0)</f>
        <v>0.38</v>
      </c>
      <c r="NP295" s="54" t="e">
        <f t="shared" ca="1" si="1032"/>
        <v>#DIV/0!</v>
      </c>
      <c r="NQ295" s="173" t="e">
        <f ca="1">MAX(0,MIN(1,(Control!$C$135-$MS295)/(Control!$C$135-$NO295)))</f>
        <v>#DIV/0!</v>
      </c>
      <c r="NR295" s="170" t="e">
        <f ca="1">IF(Control!$C$133&lt;&gt;1, $NQ295+((1-$NP295/4)*(1-$NQ295)),1)</f>
        <v>#DIV/0!</v>
      </c>
      <c r="NS295" s="170" t="e">
        <f ca="1">IF(Control!$B$31=0,$MJ295,MAX(0,MIN($MV295,$MO295*$NR295*$MJ295)))</f>
        <v>#DIV/0!</v>
      </c>
      <c r="NT295" s="170" t="e">
        <f t="shared" ca="1" si="1148"/>
        <v>#DIV/0!</v>
      </c>
      <c r="NU295" s="170" t="e">
        <f t="shared" ca="1" si="1124"/>
        <v>#N/A</v>
      </c>
      <c r="NV295" s="170" t="e">
        <f t="shared" ca="1" si="1033"/>
        <v>#N/A</v>
      </c>
      <c r="NW295" s="175" t="e">
        <f t="shared" ca="1" si="1034"/>
        <v>#DIV/0!</v>
      </c>
      <c r="NX295" s="170" t="e">
        <f ca="1">MIN(Control!$C$72+$MU295, $NW295)</f>
        <v>#DIV/0!</v>
      </c>
      <c r="NY295" s="170" t="e">
        <f ca="1">IF($MT295&lt;=$NX295,MIN(Control!$C$72+$NB295,$NX295-$MT295),0)</f>
        <v>#DIV/0!</v>
      </c>
      <c r="NZ295" s="54" t="e">
        <f ca="1">IF(Control!$C$114=1,  $CX295*($MX295-Control!$C$127), 0)</f>
        <v>#DIV/0!</v>
      </c>
      <c r="OA295" s="170" t="e">
        <f t="shared" ca="1" si="1035"/>
        <v>#DIV/0!</v>
      </c>
      <c r="OB295" s="170" t="e">
        <f ca="1">IF($NA295 &lt;=$NY295, MIN(Control!$C$72, $NY295-$NA295), 0)</f>
        <v>#DIV/0!</v>
      </c>
      <c r="OC295" s="168" t="e">
        <f t="shared" ca="1" si="1036"/>
        <v>#DIV/0!</v>
      </c>
      <c r="OD295" s="168" t="e">
        <f t="shared" ca="1" si="1125"/>
        <v>#DIV/0!</v>
      </c>
      <c r="OE295" s="170">
        <f ca="1">Control!$C$73*$I295</f>
        <v>0</v>
      </c>
      <c r="OF295" s="176" t="e">
        <f t="shared" ca="1" si="1037"/>
        <v>#DIV/0!</v>
      </c>
      <c r="OG295" s="168" t="e">
        <f t="shared" ca="1" si="1038"/>
        <v>#DIV/0!</v>
      </c>
      <c r="OH295" s="168" t="e">
        <f t="shared" ca="1" si="1039"/>
        <v>#DIV/0!</v>
      </c>
      <c r="OI295" s="168" t="e">
        <f t="shared" ca="1" si="1040"/>
        <v>#DIV/0!</v>
      </c>
      <c r="OJ295" s="168" t="e">
        <f t="shared" ca="1" si="1041"/>
        <v>#DIV/0!</v>
      </c>
      <c r="OK295" s="204" t="e">
        <f t="shared" ca="1" si="1042"/>
        <v>#DIV/0!</v>
      </c>
      <c r="OL295" s="177">
        <f>Control!$C$127</f>
        <v>0.15</v>
      </c>
      <c r="OM295" s="182" t="e">
        <f t="shared" ca="1" si="1043"/>
        <v>#N/A</v>
      </c>
      <c r="ON295" s="177">
        <f>Control!$C$128</f>
        <v>0.35</v>
      </c>
      <c r="OO295" s="182" t="e">
        <f t="shared" ca="1" si="1044"/>
        <v>#N/A</v>
      </c>
      <c r="OP295" s="138">
        <f t="shared" ca="1" si="1126"/>
        <v>0</v>
      </c>
      <c r="OQ295" s="138" t="e">
        <f t="shared" ca="1" si="1149"/>
        <v>#DIV/0!</v>
      </c>
      <c r="OR295" s="138" t="e">
        <f t="shared" ca="1" si="1127"/>
        <v>#DIV/0!</v>
      </c>
      <c r="OS295" s="137" t="e">
        <f t="shared" ca="1" si="1150"/>
        <v>#DIV/0!</v>
      </c>
      <c r="OT295" s="139" t="e">
        <f t="shared" ca="1" si="1151"/>
        <v>#DIV/0!</v>
      </c>
      <c r="OU295" s="138" t="e">
        <f t="shared" ca="1" si="1152"/>
        <v>#N/A</v>
      </c>
      <c r="OV295" s="138" t="e">
        <f t="shared" ca="1" si="1153"/>
        <v>#DIV/0!</v>
      </c>
      <c r="OW295" s="138" t="e">
        <f t="shared" ca="1" si="1128"/>
        <v>#DIV/0!</v>
      </c>
      <c r="OX295" s="138" t="e">
        <f t="shared" ca="1" si="1129"/>
        <v>#DIV/0!</v>
      </c>
      <c r="OY295" s="138" t="e">
        <f t="shared" ca="1" si="1130"/>
        <v>#DIV/0!</v>
      </c>
      <c r="OZ295" s="138" t="e">
        <f t="shared" ca="1" si="1045"/>
        <v>#DIV/0!</v>
      </c>
      <c r="PA295" s="138" t="e">
        <f t="shared" ca="1" si="1046"/>
        <v>#DIV/0!</v>
      </c>
      <c r="PB295" s="55">
        <f>IF(Control!$C$61="T", IF(Control!$C$65="F", IF($AH$6-Control!$C$60&lt;0,0,1), IF(365+$AH$6-Control!$C$60&lt;0,0,1)),0)</f>
        <v>0</v>
      </c>
      <c r="PC295" s="55">
        <f ca="1">IF(Control!$C$65="F", IF($AH$6-$HF295&lt;0,0,1), IF(365+$AH$6-$HF295&lt;0,0,1))</f>
        <v>1</v>
      </c>
      <c r="PD295" s="444">
        <f>Control!$C$118</f>
        <v>1500</v>
      </c>
      <c r="PE295" s="180" t="e">
        <f t="shared" ca="1" si="1047"/>
        <v>#N/A</v>
      </c>
      <c r="PF295" s="445">
        <f t="shared" ca="1" si="1131"/>
        <v>0.71612369323045078</v>
      </c>
      <c r="PT295" s="186"/>
      <c r="PU295" s="186"/>
      <c r="PV295" s="94"/>
      <c r="PW295" s="94"/>
      <c r="PX295" s="94"/>
      <c r="PY295" s="94"/>
      <c r="PZ295" s="94"/>
      <c r="QA295" s="94"/>
      <c r="QB295" s="94"/>
      <c r="QC295" s="94"/>
      <c r="QD295" s="94"/>
      <c r="QE295" s="94"/>
      <c r="QF295" s="94"/>
      <c r="QG295" s="94"/>
      <c r="QH295" s="94"/>
      <c r="QI295" s="94"/>
      <c r="QJ295" s="94"/>
      <c r="QK295" s="94"/>
      <c r="QL295" s="94"/>
      <c r="QM295" s="94"/>
      <c r="QN295" s="94"/>
      <c r="QO295" s="94"/>
      <c r="QP295" s="94"/>
    </row>
    <row r="296" spans="1:458" s="2" customFormat="1" x14ac:dyDescent="0.2">
      <c r="A296" s="395">
        <v>18</v>
      </c>
      <c r="B296" s="396">
        <v>10</v>
      </c>
      <c r="C296" s="387">
        <f ca="1">Weather_data!$B295</f>
        <v>0</v>
      </c>
      <c r="D296" s="388">
        <f ca="1">Weather_data!$F295</f>
        <v>0</v>
      </c>
      <c r="E296" s="388">
        <f ca="1">Weather_data!$E295</f>
        <v>0</v>
      </c>
      <c r="F296" s="388">
        <f t="shared" ca="1" si="1048"/>
        <v>0</v>
      </c>
      <c r="G296" s="388">
        <f ca="1">AVERAGE($D296:$E296)+Control!$B$9</f>
        <v>0</v>
      </c>
      <c r="H296" s="388">
        <f ca="1">Weather_data!$G295</f>
        <v>0</v>
      </c>
      <c r="I296" s="388">
        <f ca="1">Weather_data!$I295</f>
        <v>0</v>
      </c>
      <c r="J296" s="388">
        <f ca="1">Weather_data!$H295</f>
        <v>0</v>
      </c>
      <c r="K296" s="389">
        <f ca="1">Weather_data!$D295</f>
        <v>0</v>
      </c>
      <c r="L296" s="388" t="e">
        <f t="shared" ca="1" si="1049"/>
        <v>#N/A</v>
      </c>
      <c r="M296" s="388" t="e">
        <f t="shared" ca="1" si="927"/>
        <v>#N/A</v>
      </c>
      <c r="N296" s="388">
        <f t="shared" ca="1" si="928"/>
        <v>-2.6871860837557891E-14</v>
      </c>
      <c r="O296" s="388">
        <f t="shared" ca="1" si="1050"/>
        <v>2.6871860837557891E-13</v>
      </c>
      <c r="P296" s="390">
        <v>3</v>
      </c>
      <c r="Q296" s="388">
        <f ca="1">MAX($G296-Control!$C$107,0)</f>
        <v>0</v>
      </c>
      <c r="R296" s="388">
        <f t="shared" ca="1" si="1051"/>
        <v>0</v>
      </c>
      <c r="S296" s="388">
        <f t="shared" ca="1" si="929"/>
        <v>0</v>
      </c>
      <c r="T296" s="388">
        <f t="shared" ca="1" si="930"/>
        <v>0</v>
      </c>
      <c r="U296" s="59">
        <f t="shared" ca="1" si="931"/>
        <v>0</v>
      </c>
      <c r="V296" s="391">
        <f ca="1">MAX(0,MIN(Control!$C$100-Control!$C$99,$G296-Control!$C$99)*Control!$C$63)</f>
        <v>0</v>
      </c>
      <c r="W296" s="388">
        <f t="shared" ca="1" si="1052"/>
        <v>0</v>
      </c>
      <c r="X296" s="388">
        <f t="shared" ca="1" si="1053"/>
        <v>0.6110000000000001</v>
      </c>
      <c r="Y296" s="388">
        <f t="shared" ca="1" si="932"/>
        <v>0</v>
      </c>
      <c r="Z296" s="388">
        <f t="shared" ca="1" si="1054"/>
        <v>0.61058800000000002</v>
      </c>
      <c r="AA296" s="388">
        <f t="shared" ca="1" si="933"/>
        <v>0.6018</v>
      </c>
      <c r="AB296" s="388">
        <f ca="1">101.3*EXP(-0.034*Control!$C$66/($G296+273))</f>
        <v>100.69623283836242</v>
      </c>
      <c r="AC296" s="392">
        <f t="shared" ca="1" si="934"/>
        <v>4.3460251046025113E-2</v>
      </c>
      <c r="AD296" s="392">
        <f t="shared" ca="1" si="935"/>
        <v>4.4450382862832649E-2</v>
      </c>
      <c r="AE296" s="388">
        <f t="shared" ca="1" si="936"/>
        <v>0</v>
      </c>
      <c r="AF296" s="388">
        <f ca="1">MAX(0,$G296-Control!$C$92)</f>
        <v>0</v>
      </c>
      <c r="AG296" s="393">
        <f t="shared" ca="1" si="937"/>
        <v>292</v>
      </c>
      <c r="AH296" s="389">
        <f t="shared" ca="1" si="938"/>
        <v>292</v>
      </c>
      <c r="AI296" s="388">
        <f t="shared" ca="1" si="1055"/>
        <v>-0.18707898888784966</v>
      </c>
      <c r="AJ296" s="388">
        <f ca="1">IF(Control!$C$60&lt;=0,$HH296,$HI296)</f>
        <v>1</v>
      </c>
      <c r="AK296" s="388">
        <f t="shared" ca="1" si="939"/>
        <v>3.6494117400604722</v>
      </c>
      <c r="AL296" s="388">
        <f t="shared" ca="1" si="940"/>
        <v>-1.2623450895699051E-17</v>
      </c>
      <c r="AM296" s="388">
        <f t="shared" ca="1" si="941"/>
        <v>3.6494117400604722</v>
      </c>
      <c r="AN296" s="388">
        <f t="shared" ca="1" si="942"/>
        <v>-0.19466643690091961</v>
      </c>
      <c r="AO296" s="388">
        <f ca="1">-0.10453/COS(Control!$B$8*PI()/180)*COS(AN296)</f>
        <v>-0.1665780098785026</v>
      </c>
      <c r="AP296" s="388">
        <f ca="1">ACOS(AO296-TAN(Control!$B$8*PI()/180)*TAN(AN296))</f>
        <v>1.4849113345669502</v>
      </c>
      <c r="AQ296" s="388">
        <f t="shared" ca="1" si="1056"/>
        <v>0</v>
      </c>
      <c r="AR296" s="394">
        <f t="shared" ca="1" si="943"/>
        <v>0</v>
      </c>
      <c r="AS296" s="436">
        <f ca="1">IF(Control!$B$18=2,(IF(OR($AH296=Control!$B$175,$AH296=Control!$B$176,$AH296=Control!$B$177,$AH296=Control!$B$178,$AH296=Control!$B$179,$AH296=Control!$B$180,$AH296=Control!$B$181,$AH296=Control!$B$182,$AH296=Control!$B$183,$AH296=Control!$B$184,$AH296=Control!$B$185),1,0)),0)</f>
        <v>0</v>
      </c>
      <c r="AT296" s="436">
        <f>IF(Control!$B$20=8,IF(AND($AH296&gt;=Control!$B$172,$AH296&lt;=Control!$B$173),1,0),0)</f>
        <v>0</v>
      </c>
      <c r="AU296" s="436">
        <f>IF(Control!$B$20=8,IF($AV295=1,1*$AT296,IF($AT296=1,$AU295+1,$AU295)),0)</f>
        <v>0</v>
      </c>
      <c r="AV296" s="436">
        <f>IF(Control!$B$20=8,IF($AU296&gt;=Control!$B$174,1,0),0)</f>
        <v>0</v>
      </c>
      <c r="AW296" s="436">
        <f ca="1">IF(AND(Control!$B$18=2,Control!$B$171=1), $AV296, $AS296)</f>
        <v>0</v>
      </c>
      <c r="AX296" s="436" t="e">
        <f ca="1">IF(AND(Control!$B$18=1,$EU296&gt;=Control!$B$19),-$AY296,IF(AND(Control!$B$18=2,$AW296=1,$EU296&gt;$DS296),-$AY296, IF(Control!$C$108=0,0, IF(Control!$C$108&lt;&gt;0,1))))</f>
        <v>#N/A</v>
      </c>
      <c r="AY296" s="436" t="e">
        <f t="shared" ca="1" si="1057"/>
        <v>#N/A</v>
      </c>
      <c r="AZ296" s="436" t="e">
        <f ca="1">IF(AND(Control!$B$18=1,$EB296&gt;Control!$B$19),$AZ295+1, IF(AND(Control!$B$18=2, $AW296=1, $EB296&gt;$DS296), $AZ295+1,$AZ295))</f>
        <v>#N/A</v>
      </c>
      <c r="BA296" s="587">
        <f>IF(Control!$C$81=0,1,IF($AH296&gt;=Control!$C$82,1,0))</f>
        <v>1</v>
      </c>
      <c r="BB296" s="140" t="e">
        <f ca="1">IF($BA296&gt;$BA295,Control!$C$83,IF($AW296&gt;0,$AW296*Control!$C$84,IF(AND(Control!$B$18=1,EN295&lt;&gt;0),Control!$C$84,0)))</f>
        <v>#N/A</v>
      </c>
      <c r="BC296" s="140" t="e">
        <f t="shared" ca="1" si="1058"/>
        <v>#N/A</v>
      </c>
      <c r="BD296" s="140" t="e">
        <f ca="1">BC296*IF(OR($G296&lt;Control!$C$92,$G296&gt;Control!$C$95),0,IF(AND($G296&gt;=Control!$C$92,$G296&lt;=Control!$C$93),$G296-Control!$C$92,IF(AND($G296&gt;Control!$C$93,$G296&lt;=Control!$C$94),Control!$C$93-Control!$C$92,IF(AND($G296&gt;Control!$C$94,$G296&lt;=Control!$C$95),(Control!$C$93-Control!$C$92)*(Control!$C$94-$G296)/(Control!$C$95-Control!$C$94)))))</f>
        <v>#N/A</v>
      </c>
      <c r="BE296" s="140" t="e">
        <f t="shared" ca="1" si="1059"/>
        <v>#N/A</v>
      </c>
      <c r="BF296" s="140" t="e">
        <f ca="1">IF($BE296&lt;=Control!$C$86,$BE296,Control!$C$86-$BE296)</f>
        <v>#N/A</v>
      </c>
      <c r="BG296" s="140" t="e">
        <f ca="1">IF(AND($AW296=1,Control!$C$84&lt;9),1,IF($BE296&gt;=Control!$C$86,0,$BC296))</f>
        <v>#N/A</v>
      </c>
      <c r="BH296" s="404" t="e">
        <f ca="1">IF($BG296=0,0,IF($BE296&lt;=Control!$C$86,$BC296*9*($BF296/Control!$C$86),0))</f>
        <v>#N/A</v>
      </c>
      <c r="BI296" s="140" t="e">
        <f ca="1">IF($BG296=1,0,IF($BE296&gt;=Control!$C$86,1,IF(AND($BB296&lt;21,$BB296&gt;=9),1,$BM295)))</f>
        <v>#N/A</v>
      </c>
      <c r="BJ296" s="140" t="e">
        <f ca="1">IF($BF296&lt;0,-$BF296,$BI296*IF(OR($G296&lt;Control!$C$92,$G296&gt;Control!$C$95),0,IF(AND($G296&gt;=Control!$C$92,$G296&lt;=Control!$C$93),$G296-Control!$C$92,IF(AND($G296&gt;Control!$C$93,$G296&lt;=Control!$C$94),Control!$C$93-Control!$C$92,IF(AND($G296&gt;Control!$C$94,$G296&lt;=Control!$C$95),(Control!$C$93-Control!$C$92)*(Control!$C$94-$G296)/(Control!$C$95-Control!$C$94))))))</f>
        <v>#N/A</v>
      </c>
      <c r="BK296" s="140" t="e">
        <f t="shared" ca="1" si="1060"/>
        <v>#N/A</v>
      </c>
      <c r="BL296" s="140" t="e">
        <f ca="1">IF($BK296&lt;=Control!$C$87,$BK296,Control!$C$87-$BK296)</f>
        <v>#N/A</v>
      </c>
      <c r="BM296" s="140" t="e">
        <f ca="1">IF(AND($BB296&gt;=9,$BB296&lt;21),1,IF($BK296&gt;=Control!$C$87,0,$BI296))</f>
        <v>#N/A</v>
      </c>
      <c r="BN296" s="404" t="e">
        <f ca="1">IF($BM296=0,0,IF($BK296&lt;=Control!$C$87,$BI296*(9+(21-9)*($BL296/Control!$C$87)),0))</f>
        <v>#N/A</v>
      </c>
      <c r="BO296" s="140" t="e">
        <f ca="1">IF($BM296=1,0,IF($BK296&gt;=Control!$C$87,1,IF(AND($BB296&lt;30,$BB296&gt;=21),1,$BS295)))</f>
        <v>#N/A</v>
      </c>
      <c r="BP296" s="140" t="e">
        <f ca="1">IF($BL296&lt;0,-$BL296,$BO296*IF(OR($G296&lt;Control!$C$92,$G296&gt;Control!$C$95),0,IF(AND($G296&gt;=Control!$C$92,$G296&lt;=Control!$C$93),$G296-Control!$C$92,IF(AND($G296&gt;Control!$C$93,$G296&lt;=Control!$C$94),Control!$C$93-Control!$C$92,IF(AND($G296&gt;Control!$C$94,$G296&lt;=Control!$C$95),(Control!$C$93-Control!$C$92)*(Control!$C$94-$G296)/(Control!$C$95-Control!$C$94))))))</f>
        <v>#N/A</v>
      </c>
      <c r="BQ296" s="140" t="e">
        <f t="shared" ca="1" si="944"/>
        <v>#N/A</v>
      </c>
      <c r="BR296" s="140" t="e">
        <f ca="1">IF($BQ296&lt;=Control!$C$88,$BQ296,Control!$C$88-$BQ296)</f>
        <v>#N/A</v>
      </c>
      <c r="BS296" s="140" t="e">
        <f ca="1">IF(AND($BB296&gt;=21,$BB296&lt;30),1,IF($BQ296&gt;=Control!$C$88,0,$BO296))</f>
        <v>#N/A</v>
      </c>
      <c r="BT296" s="404" t="e">
        <f ca="1">IF($BS296=0,0,IF($BQ296&lt;=Control!$C$88,$BO296*(21+(30-21)*(BR296/Control!$C$88)),0))</f>
        <v>#N/A</v>
      </c>
      <c r="BU296" s="140" t="e">
        <f ca="1">IF(BG296+BM296+BS296=1,0,IF(OR(AND($BB296&lt;60,$BB296&gt;=30),$BQ296&gt;=Control!$C$88),1*$BA296,$BY295))</f>
        <v>#N/A</v>
      </c>
      <c r="BV296" s="140" t="e">
        <f ca="1">IF($BR296&lt;0,-$BR296,$BU296*IF(OR($G296&lt;Control!$C$92,$G296&gt;Control!$C$95),0,IF(AND($G296&gt;=Control!$C$92,$G296&lt;=Control!$C$93),$G296-Control!$C$92,IF(AND($G296&gt;Control!$C$93,$G296&lt;=Control!$C$94),Control!$C$93-Control!$C$92,IF(AND($G296&gt;Control!$C$94,$G296&lt;=Control!$C$95),(Control!$C$93-Control!$C$92)*(Control!$C$94-$G296)/(Control!$C$95-Control!$C$94))))))</f>
        <v>#N/A</v>
      </c>
      <c r="BW296" s="140" t="e">
        <f t="shared" ca="1" si="945"/>
        <v>#N/A</v>
      </c>
      <c r="BX296" s="140" t="e">
        <f ca="1">IF($BW296&lt;=Control!$C$89,$BW296,Control!$C$89-$BW296)</f>
        <v>#N/A</v>
      </c>
      <c r="BY296" s="140" t="e">
        <f ca="1">IF(AND($AJ296&gt;=30,$AJ296&lt;60),1,IF($BW296&gt;=Control!$C$89,0,$BU296))</f>
        <v>#N/A</v>
      </c>
      <c r="BZ296" s="404" t="e">
        <f ca="1">IF($BY296=0,0,IF($BW296&lt;=Control!$C$89,$BU296*(30+(60-30)*(BX296/Control!$C$89)),0))</f>
        <v>#N/A</v>
      </c>
      <c r="CA296" s="140" t="e">
        <f ca="1">IF($BG296+$BM296+$BS296+$BY296=1,0,IF(OR(AND($BB296&lt;65,$BB296&gt;=60),$BW296&gt;=Control!$C$89),1*$BA296,$CE295))</f>
        <v>#N/A</v>
      </c>
      <c r="CB296" s="140" t="e">
        <f ca="1">IF($BX296&lt;0,-$BX296,$CA296*IF(OR($G296&lt;Control!$C$92,$G296&gt;Control!$C$95),0,IF(AND($G296&gt;=Control!$C$92,$G296&lt;=Control!$C$93),$G296-Control!$C$92,IF(AND($G296&gt;Control!$C$93,$G296&lt;=Control!$C$94),Control!$C$93-Control!$C$92,IF(AND($G296&gt;Control!$C$94,$G296&lt;=Control!$C$95),(Control!$C$93-Control!$C$92)*(Control!$C$94-$G296)/(Control!$C$95-Control!$C$94))))))</f>
        <v>#N/A</v>
      </c>
      <c r="CC296" s="140" t="e">
        <f t="shared" ca="1" si="1061"/>
        <v>#N/A</v>
      </c>
      <c r="CD296" s="140" t="e">
        <f ca="1">IF($CC296&lt;=Control!$C$90,$CC296,Control!$C$90-$CC296)</f>
        <v>#N/A</v>
      </c>
      <c r="CE296" s="140" t="e">
        <f ca="1">IF(AND($BB296&gt;=60,$BB296&lt;65),1,IF($CC296&gt;=Control!$C$90,0,$CA296))</f>
        <v>#N/A</v>
      </c>
      <c r="CF296" s="404" t="e">
        <f ca="1">IF($CE296=0,0,IF($CC296&lt;=Control!$C$90,$CA296*(60+(65-60)*(CD296/Control!$C$90)),0))</f>
        <v>#N/A</v>
      </c>
      <c r="CG296" s="140" t="e">
        <f ca="1">IF($BG296+$BM296+$BS296+$BY296+$CE296=1,0,IF(OR(AND($BB296&lt;90,$BB296&gt;=65),$CC296&gt;=Control!$C$90),$BA296,$CK295))</f>
        <v>#N/A</v>
      </c>
      <c r="CH296" s="140" t="e">
        <f ca="1">IF($CD296&lt;0,-$CD296,$CG296*IF(OR($G296&lt;Control!$C$92,$G296&gt;Control!$C$95),0,IF(AND($G296&gt;=Control!$C$92,$G296&lt;=Control!$C$93),$G296-Control!$C$92,IF(AND($G296&gt;Control!$C$93,$G296&lt;=Control!$C$94),Control!$C$93-Control!$C$92,IF(AND($G296&gt;Control!$C$94,$G296&lt;=Control!$C$95),(Control!$C$93-Control!$C$92)*(Control!$C$94-$G296)/(Control!$C$95-Control!$C$94))))))</f>
        <v>#N/A</v>
      </c>
      <c r="CI296" s="140" t="e">
        <f t="shared" ca="1" si="1062"/>
        <v>#N/A</v>
      </c>
      <c r="CJ296" s="140" t="e">
        <f ca="1">IF($CI296&lt;=Control!$C$91,$CI296,Control!$C$91-$CI296)</f>
        <v>#N/A</v>
      </c>
      <c r="CK296" s="140" t="e">
        <f ca="1">IF(AND($BB296&gt;=65,$BB296&lt;90),1,IF($CI296&gt;=Control!$C$91,0,$CG296))</f>
        <v>#N/A</v>
      </c>
      <c r="CL296" s="404" t="e">
        <f ca="1">IF($CK296=0,0,IF($CI296&lt;=Control!$C$91,$CG296*(65+(90-65)*($CJ296/Control!$C$91)),0))</f>
        <v>#N/A</v>
      </c>
      <c r="CM296" s="140" t="e">
        <f ca="1">IF($BG296+$BM296+$BS296+$BY296+$CE296+$CK296=1,0,IF(OR($BB296&gt;=90,$CI296&gt;=Control!$C$91),$BA296,$CM295))</f>
        <v>#N/A</v>
      </c>
      <c r="CN296" s="140" t="e">
        <f t="shared" ca="1" si="1063"/>
        <v>#N/A</v>
      </c>
      <c r="CO296" s="140" t="e">
        <f t="shared" ca="1" si="1064"/>
        <v>#N/A</v>
      </c>
      <c r="CP296" s="140" t="e">
        <f t="shared" ca="1" si="1065"/>
        <v>#N/A</v>
      </c>
      <c r="CQ296" s="141" t="e">
        <f ca="1">VLOOKUP($CP296,Control!$B$86:$G$91,6)</f>
        <v>#N/A</v>
      </c>
      <c r="CR296" s="141" t="e">
        <f ca="1">(1-$CQ296)*VLOOKUP($CP296,Control!$B$86:$D$91,3)</f>
        <v>#N/A</v>
      </c>
      <c r="CS296" s="141" t="e">
        <f ca="1">(1-$CQ296)*VLOOKUP($CP296,Control!$B$86:$E$91,4)</f>
        <v>#N/A</v>
      </c>
      <c r="CT296" s="141" t="e">
        <f ca="1">(1-$CQ296)*VLOOKUP($CP296,Control!$B$86:$F$91,5)</f>
        <v>#N/A</v>
      </c>
      <c r="CU296" s="141">
        <f t="shared" ca="1" si="1066"/>
        <v>0</v>
      </c>
      <c r="CV296" s="583">
        <f t="shared" ca="1" si="1067"/>
        <v>0</v>
      </c>
      <c r="CW296" s="142">
        <f t="shared" ca="1" si="1068"/>
        <v>292</v>
      </c>
      <c r="CX296" s="612" t="e">
        <f ca="1">IF(Control!$C$114=1,(MIN(Control!$C$120*(IF($NT296-0.01&lt;0,0,1)),Control!$C$119-$CY296)))</f>
        <v>#DIV/0!</v>
      </c>
      <c r="CY296" s="143" t="e">
        <f t="shared" ca="1" si="1069"/>
        <v>#N/A</v>
      </c>
      <c r="CZ296" s="144">
        <f t="shared" ca="1" si="946"/>
        <v>0</v>
      </c>
      <c r="DA296" s="144">
        <f t="shared" ca="1" si="947"/>
        <v>0</v>
      </c>
      <c r="DB296" s="144" t="e">
        <f t="shared" ca="1" si="948"/>
        <v>#N/A</v>
      </c>
      <c r="DC296" s="144" t="e">
        <f t="shared" ca="1" si="949"/>
        <v>#N/A</v>
      </c>
      <c r="DD296" s="144" t="e">
        <f t="shared" ca="1" si="1154"/>
        <v>#N/A</v>
      </c>
      <c r="DE296" s="143" t="e">
        <f t="shared" ca="1" si="1070"/>
        <v>#N/A</v>
      </c>
      <c r="DF296" s="145" t="e">
        <f ca="1">$DR296*EXP(-Control!$C$158*(1-$KH296))</f>
        <v>#N/A</v>
      </c>
      <c r="DG296" s="146" t="e">
        <f ca="1">IF(Control!$C$114=1, $DF296*$EY296, 0)</f>
        <v>#N/A</v>
      </c>
      <c r="DH296" s="147" t="e">
        <f t="shared" ca="1" si="1071"/>
        <v>#N/A</v>
      </c>
      <c r="DI296" s="144" t="e">
        <f t="shared" ca="1" si="1132"/>
        <v>#N/A</v>
      </c>
      <c r="DJ296" s="147" t="e">
        <f ca="1">$EF296*Control!$C$109</f>
        <v>#N/A</v>
      </c>
      <c r="DK296" s="144" t="e">
        <f t="shared" ca="1" si="1072"/>
        <v>#N/A</v>
      </c>
      <c r="DL296" s="144" t="e">
        <f t="shared" ca="1" si="950"/>
        <v>#N/A</v>
      </c>
      <c r="DM296" s="144" t="e">
        <f ca="1">IF(Control!$C$114=1, (1-EXP(-Control!$C$96*$DK296))*$AR296, 0)</f>
        <v>#N/A</v>
      </c>
      <c r="DN296" s="144">
        <f t="shared" ca="1" si="1073"/>
        <v>0</v>
      </c>
      <c r="DO296" s="148">
        <f>Control!$C$97</f>
        <v>4</v>
      </c>
      <c r="DP296" s="145" t="e">
        <f t="shared" ca="1" si="1074"/>
        <v>#N/A</v>
      </c>
      <c r="DQ296" s="145" t="e">
        <f ca="1">IF(AND($CP296&gt;=0,$CP296&lt;=90),Control!$C$111,Control!$C$111)</f>
        <v>#N/A</v>
      </c>
      <c r="DR296" s="145" t="e">
        <f t="shared" ca="1" si="951"/>
        <v>#N/A</v>
      </c>
      <c r="DS296" s="143" t="e">
        <f ca="1">Control!$B$22/$DR296</f>
        <v>#N/A</v>
      </c>
      <c r="DT296" s="149" t="e">
        <f ca="1">IF(AND(Control!$C$114=1,$KH296&lt;1),$IM296*$DF296, 0)</f>
        <v>#N/A</v>
      </c>
      <c r="DU296" s="144" t="e">
        <f t="shared" ca="1" si="1075"/>
        <v>#N/A</v>
      </c>
      <c r="DV296" s="144">
        <f ca="1">IF($G296-Control!$C$107&lt;=0, 0, 0.83*LN(MAX($G296, 3))-0.8924)</f>
        <v>0</v>
      </c>
      <c r="DW296" s="144" t="e">
        <f t="shared" ca="1" si="952"/>
        <v>#N/A</v>
      </c>
      <c r="DX296" s="150" t="e">
        <f ca="1">MAX(0.01*(1+$CU296/Control!$C$102),0.05*($DK296-Control!$C$97)/Control!$C$97)</f>
        <v>#N/A</v>
      </c>
      <c r="DY296" s="151" t="e">
        <f ca="1">IF(Control!$C$114=1, $DI296*$FS296, 0)</f>
        <v>#N/A</v>
      </c>
      <c r="DZ296" s="196" t="e">
        <f t="shared" ca="1" si="1076"/>
        <v>#N/A</v>
      </c>
      <c r="EA296" s="152">
        <f t="shared" ca="1" si="1077"/>
        <v>292</v>
      </c>
      <c r="EB296" s="153" t="e">
        <f t="shared" ca="1" si="1078"/>
        <v>#N/A</v>
      </c>
      <c r="EC296" s="153" t="e">
        <f t="shared" ca="1" si="1079"/>
        <v>#N/A</v>
      </c>
      <c r="ED296" s="154" t="e">
        <f ca="1">IF(Control!$C$114=1, $HM296*$FY296-$FD296, 0)</f>
        <v>#DIV/0!</v>
      </c>
      <c r="EE296" s="155" t="e">
        <f ca="1">IF(Control!$C$114=1, $HM296*$FZ296-$FF296, 0)</f>
        <v>#DIV/0!</v>
      </c>
      <c r="EF296" s="153" t="e">
        <f t="shared" ca="1" si="1133"/>
        <v>#N/A</v>
      </c>
      <c r="EG296" s="155" t="e">
        <f ca="1">IF(Control!$C$114=1, $GX296*$FW296-$FI296, 0)</f>
        <v>#DIV/0!</v>
      </c>
      <c r="EH296" s="153" t="e">
        <f t="shared" ca="1" si="1080"/>
        <v>#N/A</v>
      </c>
      <c r="EI296" s="156" t="e">
        <f t="shared" ca="1" si="1081"/>
        <v>#N/A</v>
      </c>
      <c r="EJ296" s="155" t="e">
        <f ca="1">IF(Control!$C$114=1, $HM296*$GB296, 0)</f>
        <v>#DIV/0!</v>
      </c>
      <c r="EK296" s="153" t="e">
        <f t="shared" ca="1" si="1134"/>
        <v>#N/A</v>
      </c>
      <c r="EL296" s="153" t="e">
        <f t="shared" ca="1" si="953"/>
        <v>#N/A</v>
      </c>
      <c r="EM296" s="153" t="e">
        <f t="shared" ca="1" si="954"/>
        <v>#N/A</v>
      </c>
      <c r="EN296" s="153" t="e">
        <f ca="1">IF(Control!$C$108=1,IF(AND(Control!$B$18=1,$EB296&gt;=Control!$B$19),$EB296-$DS296,IF(AND(Control!$B$18=2,$AW296=1,$EB296&gt;$DS296),$EB296-$DS296,0)))</f>
        <v>#N/A</v>
      </c>
      <c r="EO296" s="153" t="e">
        <f ca="1">IF(Control!$C$108=1,IF(AND(Control!$B$18=1,$EB296&gt;=Control!$B$19),$EF296,IF(AND(Control!$B$18=2,$AW296=1),$EF296,0)))</f>
        <v>#N/A</v>
      </c>
      <c r="EP296" s="153" t="e">
        <f ca="1">IF(Control!$C$108=1,IF(AND(Control!$B$18=1,$EB296&gt;=Control!$B$19),$EK296,IF(AND(Control!$B$18=2,$AW296=1),$EK296,0)))</f>
        <v>#N/A</v>
      </c>
      <c r="EQ296" s="153" t="e">
        <f t="shared" ca="1" si="1082"/>
        <v>#N/A</v>
      </c>
      <c r="ER296" s="153" t="e">
        <f t="shared" ca="1" si="1083"/>
        <v>#N/A</v>
      </c>
      <c r="ES296" s="153" t="e">
        <f t="shared" ca="1" si="1135"/>
        <v>#N/A</v>
      </c>
      <c r="ET296" s="153" t="e">
        <f t="shared" ca="1" si="1136"/>
        <v>#N/A</v>
      </c>
      <c r="EU296" s="153" t="e">
        <f t="shared" ca="1" si="1084"/>
        <v>#N/A</v>
      </c>
      <c r="EV296" s="153" t="e">
        <f t="shared" ca="1" si="955"/>
        <v>#N/A</v>
      </c>
      <c r="EW296" s="153" t="e">
        <f t="shared" ca="1" si="956"/>
        <v>#N/A</v>
      </c>
      <c r="EX296" s="153" t="e">
        <f t="shared" ca="1" si="957"/>
        <v>#N/A</v>
      </c>
      <c r="EY296" s="157" t="e">
        <f t="shared" ca="1" si="958"/>
        <v>#DIV/0!</v>
      </c>
      <c r="EZ296" s="154" t="e">
        <f t="shared" ca="1" si="959"/>
        <v>#DIV/0!</v>
      </c>
      <c r="FA296" s="153" t="e">
        <f t="shared" ca="1" si="1085"/>
        <v>#N/A</v>
      </c>
      <c r="FB296" s="153" t="e">
        <f t="shared" ca="1" si="960"/>
        <v>#N/A</v>
      </c>
      <c r="FC296" s="193" t="e">
        <f t="shared" ca="1" si="961"/>
        <v>#N/A</v>
      </c>
      <c r="FD296" s="158" t="e">
        <f t="shared" ca="1" si="1086"/>
        <v>#N/A</v>
      </c>
      <c r="FE296" s="158" t="e">
        <f t="shared" ca="1" si="1087"/>
        <v>#N/A</v>
      </c>
      <c r="FF296" s="159" t="e">
        <f t="shared" ca="1" si="962"/>
        <v>#N/A</v>
      </c>
      <c r="FG296" s="160" t="e">
        <f t="shared" ca="1" si="1088"/>
        <v>#N/A</v>
      </c>
      <c r="FH296" s="158" t="e">
        <f t="shared" ca="1" si="1089"/>
        <v>#N/A</v>
      </c>
      <c r="FI296" s="159" t="e">
        <f t="shared" ca="1" si="963"/>
        <v>#N/A</v>
      </c>
      <c r="FJ296" s="160" t="e">
        <f t="shared" ca="1" si="1090"/>
        <v>#N/A</v>
      </c>
      <c r="FK296" s="160" t="e">
        <f t="shared" ca="1" si="964"/>
        <v>#N/A</v>
      </c>
      <c r="FL296" s="160" t="e">
        <f t="shared" ca="1" si="1137"/>
        <v>#N/A</v>
      </c>
      <c r="FM296" s="160" t="e">
        <f t="shared" ca="1" si="965"/>
        <v>#N/A</v>
      </c>
      <c r="FN296" s="158">
        <f t="shared" ca="1" si="1091"/>
        <v>0.01</v>
      </c>
      <c r="FO296" s="160">
        <f>Control!$C$101</f>
        <v>50</v>
      </c>
      <c r="FP296" s="150" t="e">
        <f t="shared" ca="1" si="966"/>
        <v>#N/A</v>
      </c>
      <c r="FQ296" s="150" t="e">
        <f ca="1">MAX(0,(Control!$C$112*(($DK296-Control!$C$97)/Control!$C$97)))</f>
        <v>#N/A</v>
      </c>
      <c r="FR296" s="150" t="e">
        <f ca="1">(1-$NT296)*Control!$C$113</f>
        <v>#DIV/0!</v>
      </c>
      <c r="FS296" s="198" t="e">
        <f t="shared" ca="1" si="967"/>
        <v>#N/A</v>
      </c>
      <c r="FT296" s="161">
        <f t="shared" ca="1" si="1092"/>
        <v>292</v>
      </c>
      <c r="FU296" s="162" t="e">
        <f ca="1">IF(Control!$B$34=1,VLOOKUP($CP296,Control!$B$86:$G$91,6),Control!$B$35)</f>
        <v>#N/A</v>
      </c>
      <c r="FV296" s="162" t="e">
        <f t="shared" ca="1" si="968"/>
        <v>#DIV/0!</v>
      </c>
      <c r="FW296" s="162" t="e">
        <f ca="1">IF(Control!$B$31=1,$FU296*$FV296,  $FU296)</f>
        <v>#N/A</v>
      </c>
      <c r="FX296" s="162" t="e">
        <f ca="1">IF(Control!$B$34=1,VLOOKUP($CP296,Control!$B$86:$G$91,3),Control!$B$36)</f>
        <v>#N/A</v>
      </c>
      <c r="FY296" s="162" t="e">
        <f t="shared" ca="1" si="969"/>
        <v>#N/A</v>
      </c>
      <c r="FZ296" s="162" t="e">
        <f ca="1">IF(Control!$B$34=1,VLOOKUP($CP296,Control!$B$86:$G$91,4),Control!$B$37)</f>
        <v>#N/A</v>
      </c>
      <c r="GA296" s="162" t="e">
        <f t="shared" ca="1" si="970"/>
        <v>#N/A</v>
      </c>
      <c r="GB296" s="162" t="e">
        <f ca="1">IF(Control!$B$34=1,VLOOKUP($CP296,Control!$B$86:$G$91,5),Control!$B$38)</f>
        <v>#N/A</v>
      </c>
      <c r="GC296" s="162" t="e">
        <f t="shared" ca="1" si="1093"/>
        <v>#N/A</v>
      </c>
      <c r="GD296" s="162">
        <f t="shared" ca="1" si="971"/>
        <v>1</v>
      </c>
      <c r="GE296" s="162">
        <f t="shared" ca="1" si="972"/>
        <v>1</v>
      </c>
      <c r="GF296" s="162">
        <f ca="1">IF(AND(Control!$C$104=1, Control!$C$62="F"),$GE296,1)</f>
        <v>1</v>
      </c>
      <c r="GG296" s="162" t="e">
        <f ca="1">IF(Control!$B$16=40,0,IF(AND(Control!$B$16&gt;40,Control!$B$16&lt;=360),(Control!$B$16-40)*((1-0)/(360-40)),IF(AND(Control!$B$16&gt;360,Control!$B$16&lt;=720),(1+(Control!$B$16-360)*((1.25-1)/(720-360))),IF(AND(Control!$B$16&gt;720,Control!$B$16&lt;=1000),(1.25+(Control!$B$16-720)*((1.35-1.25)/(1000-720))),IF(AND(Control!$B$16&gt;1000,Control!$B$16&lt;=2000),(1.35+(Control!$B$16-1000)*0))))))</f>
        <v>#N/A</v>
      </c>
      <c r="GH296" s="162" t="e">
        <f t="shared" ca="1" si="973"/>
        <v>#N/A</v>
      </c>
      <c r="GI296" s="162">
        <f t="shared" ca="1" si="1094"/>
        <v>0</v>
      </c>
      <c r="GJ296" s="162">
        <f t="shared" ca="1" si="974"/>
        <v>0</v>
      </c>
      <c r="GK296" s="162">
        <f t="shared" ca="1" si="1095"/>
        <v>1</v>
      </c>
      <c r="GL296" s="162">
        <f t="shared" ca="1" si="975"/>
        <v>1</v>
      </c>
      <c r="GM296" s="162" t="e">
        <f ca="1">MAX(0,MIN(1,1-Control!$C$156*(1.0001-$KH296)^2))</f>
        <v>#N/A</v>
      </c>
      <c r="GN296" s="162" t="e">
        <f ca="1">IF(Control!$B$26=1,$KU296,$KX296)</f>
        <v>#N/A</v>
      </c>
      <c r="GO296" s="162" t="e">
        <f ca="1">IF($CP296&lt;=60,Control!$C$105,IF($CP296&gt;=90,Control!$C$106,Control!$C$105+($CP296-60)*((Control!$C$106-Control!$C$105)/(90-60))))</f>
        <v>#N/A</v>
      </c>
      <c r="GP296" s="162" t="e">
        <f t="shared" ca="1" si="976"/>
        <v>#N/A</v>
      </c>
      <c r="GQ296" s="162" t="e">
        <f t="shared" ca="1" si="1096"/>
        <v>#N/A</v>
      </c>
      <c r="GR296" s="163" t="e">
        <f t="shared" ca="1" si="977"/>
        <v>#DIV/0!</v>
      </c>
      <c r="GS296" s="162" t="e">
        <f t="shared" ca="1" si="978"/>
        <v>#DIV/0!</v>
      </c>
      <c r="GT296" s="164" t="e">
        <f t="shared" ca="1" si="1097"/>
        <v>#N/A</v>
      </c>
      <c r="GU296" s="162" t="e">
        <f t="shared" ca="1" si="1098"/>
        <v>#N/A</v>
      </c>
      <c r="GV296" s="162" t="e">
        <f t="shared" ca="1" si="979"/>
        <v>#N/A</v>
      </c>
      <c r="GW296" s="162" t="e">
        <f t="shared" ca="1" si="980"/>
        <v>#DIV/0!</v>
      </c>
      <c r="GX296" s="162" t="e">
        <f t="shared" ca="1" si="1099"/>
        <v>#DIV/0!</v>
      </c>
      <c r="GY296" s="162" t="e">
        <f t="shared" ca="1" si="1100"/>
        <v>#DIV/0!</v>
      </c>
      <c r="GZ296" s="165" t="e">
        <f t="shared" ca="1" si="981"/>
        <v>#N/A</v>
      </c>
      <c r="HA296" s="162" t="e">
        <f ca="1">IF(Control!$C$114=1, $DI296*$FS296, 0)</f>
        <v>#N/A</v>
      </c>
      <c r="HB296" s="162" t="e">
        <f ca="1">$FA296/Control!$C$64</f>
        <v>#N/A</v>
      </c>
      <c r="HC296" s="162" t="e">
        <f t="shared" ca="1" si="982"/>
        <v>#DIV/0!</v>
      </c>
      <c r="HD296" s="162">
        <f ca="1">-ASIN(SIN(23.45*Control!$C$139)*COS(2*Control!$C$138*($AH296+10)/365))</f>
        <v>-0.18707898888784966</v>
      </c>
      <c r="HE296" s="165">
        <f t="shared" ca="1" si="1101"/>
        <v>0</v>
      </c>
      <c r="HF296" s="166">
        <f ca="1">IF(AND(Control!$C$61="T",$HE296&gt;=Control!$C$103,Control!$C$114=0),$AH296,Control!$C$59)</f>
        <v>1</v>
      </c>
      <c r="HG296" s="166">
        <f ca="1">IF(AND(Control!$C$61="T",$HE296&gt;=Control!$C$103,Control!$C$114=0),$HF296,Control!$C$59)</f>
        <v>1</v>
      </c>
      <c r="HH296" s="165">
        <f ca="1">IF(AND(OR(Control!$C$60&lt;=0, $AH296= Control!$C$59, Control!$C$60 &gt;0, $AH296 = Control!$C$60)), Control!$C$59, IF(Control!$C$60&gt;0, 0))</f>
        <v>1</v>
      </c>
      <c r="HI296" s="165">
        <f ca="1">IF(AND(OR(Control!$C$60&lt;=0, $AH296= Control!$C$59, Control!$C$60 &gt;0, $AH296 = Control!$C$60)), Control!$C$60, IF(Control!$C$60&lt;=0, 0))</f>
        <v>0</v>
      </c>
      <c r="HJ296" s="166">
        <f ca="1">IF(AND(Control!$C$62="F",$CV296&gt;=Control!$C$102),$AH296,0)</f>
        <v>0</v>
      </c>
      <c r="HK296" s="165" t="e">
        <f t="shared" ca="1" si="1138"/>
        <v>#N/A</v>
      </c>
      <c r="HL296" s="166">
        <f ca="1">IF(AND(Control!$C$61="T",$HE296&gt;=Control!$C$103,Control!$C$114=0),$HF296,0)</f>
        <v>0</v>
      </c>
      <c r="HM296" s="201" t="e">
        <f t="shared" ca="1" si="983"/>
        <v>#DIV/0!</v>
      </c>
      <c r="HN296" s="215">
        <f t="shared" ca="1" si="1102"/>
        <v>292</v>
      </c>
      <c r="HO296" s="216" t="e">
        <f ca="1">IF(AND($CP296&gt;=0, $CP296&lt;=90), Control!$C$152, Control!$C$152)</f>
        <v>#N/A</v>
      </c>
      <c r="HP296" s="216" t="e">
        <f t="shared" ca="1" si="984"/>
        <v>#N/A</v>
      </c>
      <c r="HQ296" s="217" t="e">
        <f ca="1">IF(OR(Control!$B$26=1,Control!$B$26=2),$KV296,$KS296)</f>
        <v>#DIV/0!</v>
      </c>
      <c r="HR296" s="218" t="e">
        <f t="shared" ca="1" si="1139"/>
        <v>#DIV/0!</v>
      </c>
      <c r="HS296" s="216" t="e">
        <f ca="1">Control!$C$154*$HP296</f>
        <v>#N/A</v>
      </c>
      <c r="HT296" s="216" t="e">
        <f ca="1">Control!$C$155*$HP296</f>
        <v>#N/A</v>
      </c>
      <c r="HU296" s="217" t="e">
        <f ca="1">Control!$C$161*$FI296</f>
        <v>#N/A</v>
      </c>
      <c r="HV296" s="218" t="e">
        <f t="shared" ca="1" si="1103"/>
        <v>#N/A</v>
      </c>
      <c r="HW296" s="218" t="e">
        <f ca="1">Control!$C$160*$FF296+$IP296*$EO296</f>
        <v>#N/A</v>
      </c>
      <c r="HX296" s="218" t="e">
        <f t="shared" ca="1" si="1140"/>
        <v>#N/A</v>
      </c>
      <c r="HY296" s="219" t="e">
        <f ca="1">IF(Control!$C$114=1, $EB296*$FS296, 0)</f>
        <v>#N/A</v>
      </c>
      <c r="HZ296" s="91" t="e">
        <f t="shared" ca="1" si="985"/>
        <v>#N/A</v>
      </c>
      <c r="IA296" s="220" t="e">
        <f ca="1">Control!$C$153*$HO296</f>
        <v>#N/A</v>
      </c>
      <c r="IB296" s="218" t="e">
        <f t="shared" ca="1" si="986"/>
        <v>#N/A</v>
      </c>
      <c r="IC296" s="220" t="e">
        <f ca="1">Control!$C$153*$HT296</f>
        <v>#N/A</v>
      </c>
      <c r="ID296" s="218" t="e">
        <f t="shared" ca="1" si="987"/>
        <v>#N/A</v>
      </c>
      <c r="IE296" s="221" t="e">
        <f ca="1">($EB296*Control!$C$159+$EF296*Control!$C$160)/(IF($GZ296&lt;&gt;0,$GZ296,1))</f>
        <v>#N/A</v>
      </c>
      <c r="IF296" s="216" t="e">
        <f t="shared" ca="1" si="988"/>
        <v>#N/A</v>
      </c>
      <c r="IG296" s="91">
        <f ca="1">IF(OR(Control!$B$198=$AH296,Control!$B$199=$AH296, Control!$B$200=$AH296, Control!$B$201=$AH296, Control!$B$202=$AH296, Control!$B$203=$AH296, Control!$B$204=$AH296, Control!$B$205=$AH296, Control!$B$206=$AH296, Control!$B$207=$AH296), 1, 0)</f>
        <v>0</v>
      </c>
      <c r="IH296" s="91">
        <f ca="1">IF($IG296=0,0, VLOOKUP($AH296,Control!$B$198:$C$207,2))</f>
        <v>0</v>
      </c>
      <c r="II296" s="222">
        <f t="shared" ca="1" si="1104"/>
        <v>0</v>
      </c>
      <c r="IJ296" s="91">
        <f>Control!$C$121</f>
        <v>0.7</v>
      </c>
      <c r="IK296" s="218">
        <f t="shared" ca="1" si="989"/>
        <v>0</v>
      </c>
      <c r="IL296" s="217" t="e">
        <f t="shared" ca="1" si="1141"/>
        <v>#N/A</v>
      </c>
      <c r="IM296" s="223" t="e">
        <f ca="1">IF(AND(Control!$C$114=1,$KH296&lt;1),$EB296*Control!$C$148*(1-$KH296), 0)</f>
        <v>#N/A</v>
      </c>
      <c r="IN296" s="217" t="e">
        <f t="shared" ca="1" si="990"/>
        <v>#DIV/0!</v>
      </c>
      <c r="IO296" s="91" t="e">
        <f ca="1">MAX(0,$IL296-$EF296*Control!$C$160)</f>
        <v>#N/A</v>
      </c>
      <c r="IP296" s="220" t="e">
        <f t="shared" ca="1" si="991"/>
        <v>#N/A</v>
      </c>
      <c r="IQ296" s="217" t="e">
        <f t="shared" ca="1" si="1105"/>
        <v>#N/A</v>
      </c>
      <c r="IR296" s="218" t="e">
        <f t="shared" ca="1" si="992"/>
        <v>#N/A</v>
      </c>
      <c r="IS296" s="217" t="e">
        <f ca="1">Control!$C$159*MAX(0,$FD296-$EN296)</f>
        <v>#N/A</v>
      </c>
      <c r="IT296" s="217" t="e">
        <f t="shared" ca="1" si="1142"/>
        <v>#N/A</v>
      </c>
      <c r="IU296" s="217" t="e">
        <f t="shared" ca="1" si="1106"/>
        <v>#N/A</v>
      </c>
      <c r="IV296" s="217" t="e">
        <f t="shared" ca="1" si="1143"/>
        <v>#N/A</v>
      </c>
      <c r="IW296" s="217" t="e">
        <f ca="1">IF(OR($AW296=1,AND($AW296=0, Control!$B$18=1,$EN296&lt;&gt;0)), $IQ296-$IU296, $IQ296)</f>
        <v>#N/A</v>
      </c>
      <c r="IX296" s="218" t="e">
        <f t="shared" ca="1" si="993"/>
        <v>#N/A</v>
      </c>
      <c r="IY296" s="218" t="e">
        <f ca="1">MAX(0,$IQ296-$EB296*Control!$C$159)</f>
        <v>#N/A</v>
      </c>
      <c r="IZ296" s="218" t="e">
        <f t="shared" ca="1" si="994"/>
        <v>#N/A</v>
      </c>
      <c r="JA296" s="216" t="e">
        <f t="shared" ca="1" si="995"/>
        <v>#N/A</v>
      </c>
      <c r="JB296" s="217" t="e">
        <f t="shared" ca="1" si="996"/>
        <v>#N/A</v>
      </c>
      <c r="JC296" s="222" t="e">
        <f ca="1">MAX(Control!$C$157*$EK296-$JT296, 0)/Control!$C$162</f>
        <v>#N/A</v>
      </c>
      <c r="JD296" s="218" t="e">
        <f t="shared" ca="1" si="997"/>
        <v>#N/A</v>
      </c>
      <c r="JE296" s="218" t="e">
        <f t="shared" ca="1" si="998"/>
        <v>#N/A</v>
      </c>
      <c r="JF296" s="218" t="e">
        <f t="shared" ca="1" si="1107"/>
        <v>#N/A</v>
      </c>
      <c r="JG296" s="218" t="e">
        <f t="shared" ca="1" si="999"/>
        <v>#N/A</v>
      </c>
      <c r="JH296" s="217" t="e">
        <f t="shared" ca="1" si="1108"/>
        <v>#N/A</v>
      </c>
      <c r="JI296" s="217" t="e">
        <f t="shared" ca="1" si="1109"/>
        <v>#N/A</v>
      </c>
      <c r="JJ296" s="217" t="e">
        <f t="shared" ca="1" si="1144"/>
        <v>#N/A</v>
      </c>
      <c r="JK296" s="217" t="e">
        <f ca="1">IF(Control!$C$114=1,IF(Control!$B$24=0,MAX(0,$JI296)*$GN296/Control!$C$64,(MAX(0,MIN($JI296,$JJ296*$GN296/Control!$C$64),0))))</f>
        <v>#N/A</v>
      </c>
      <c r="JL296" s="217" t="e">
        <f ca="1">$IK296/Control!$C$64-$JK296+$HQ296</f>
        <v>#N/A</v>
      </c>
      <c r="JM296" s="217" t="e">
        <f ca="1">IF(Control!$C$114=1,($JB296/(IF($JI296&lt;&gt;0,$JI296,1)))*$JK296,0)</f>
        <v>#N/A</v>
      </c>
      <c r="JN296" s="217" t="e">
        <f ca="1">IF(Control!$C$114=1,($JG296/(IF($JI296&lt;&gt;0,$JI296,1)))*$JK296, 0)</f>
        <v>#N/A</v>
      </c>
      <c r="JO296" s="218" t="e">
        <f t="shared" ca="1" si="1000"/>
        <v>#N/A</v>
      </c>
      <c r="JP296" s="218" t="e">
        <f ca="1">MIN(($IY296+$IO296)*Control!$C$151, $JF296-$EH296*Control!$C$161)</f>
        <v>#N/A</v>
      </c>
      <c r="JQ296" s="218" t="e">
        <f t="shared" ca="1" si="1001"/>
        <v>#N/A</v>
      </c>
      <c r="JR296" s="217" t="e">
        <f ca="1">IF($CP296-Control!$C$150&lt;0, 0, $JQ296/Control!$C$162)</f>
        <v>#N/A</v>
      </c>
      <c r="JS296" s="218" t="e">
        <f t="shared" ca="1" si="1002"/>
        <v>#N/A</v>
      </c>
      <c r="JT296" s="218" t="e">
        <f t="shared" ca="1" si="1110"/>
        <v>#N/A</v>
      </c>
      <c r="JU296" s="218" t="e">
        <f t="shared" ca="1" si="1003"/>
        <v>#N/A</v>
      </c>
      <c r="JV296" s="218" t="e">
        <f t="shared" ca="1" si="1004"/>
        <v>#N/A</v>
      </c>
      <c r="JW296" s="216" t="e">
        <f t="shared" ca="1" si="1005"/>
        <v>#N/A</v>
      </c>
      <c r="JX296" s="91" t="e">
        <f t="shared" ca="1" si="1006"/>
        <v>#N/A</v>
      </c>
      <c r="JY296" s="218" t="e">
        <f t="shared" ca="1" si="1007"/>
        <v>#N/A</v>
      </c>
      <c r="JZ296" s="217" t="e">
        <f ca="1">IF(Control!$C$114=1,($IZ296/(IF($JI296&lt;&gt;0,$JI296,1)))*$JK296, 0)</f>
        <v>#N/A</v>
      </c>
      <c r="KA296" s="218" t="e">
        <f t="shared" ca="1" si="1145"/>
        <v>#N/A</v>
      </c>
      <c r="KB296" s="218" t="e">
        <f t="shared" ca="1" si="1111"/>
        <v>#N/A</v>
      </c>
      <c r="KC296" s="218" t="e">
        <f t="shared" ca="1" si="1008"/>
        <v>#N/A</v>
      </c>
      <c r="KD296" s="218" t="e">
        <f t="shared" ca="1" si="1009"/>
        <v>#N/A</v>
      </c>
      <c r="KE296" s="218" t="e">
        <f t="shared" ca="1" si="1010"/>
        <v>#N/A</v>
      </c>
      <c r="KF296" s="218" t="e">
        <f t="shared" ca="1" si="1011"/>
        <v>#N/A</v>
      </c>
      <c r="KG296" s="216" t="e">
        <f t="shared" ca="1" si="1012"/>
        <v>#N/A</v>
      </c>
      <c r="KH296" s="221" t="e">
        <f ca="1">IF(Control!$B$24=0,1,MAX(0.001,MIN(1,IF(($IF296-$IE296)&lt;&gt;0,($KG296-$IE296)/($IF296-$IE296),1))))</f>
        <v>#N/A</v>
      </c>
      <c r="KI296" s="222" t="e">
        <f ca="1">IF(Control!$C$114=1, $KI295+ $KH295, 0)</f>
        <v>#N/A</v>
      </c>
      <c r="KJ296" s="217" t="e">
        <f t="shared" ca="1" si="1013"/>
        <v>#N/A</v>
      </c>
      <c r="KK296" s="218" t="e">
        <f t="shared" ca="1" si="1014"/>
        <v>#N/A</v>
      </c>
      <c r="KL296" s="274" t="e">
        <f ca="1">IF(Control!$B$26=3,4000000000*EXP(-8400/($G296+273)),IF(Control!$B$26=4,4000000000*EXP(-8400/($G296+273))*($KT296),0))</f>
        <v>#DIV/0!</v>
      </c>
      <c r="KM296" s="274" t="e">
        <f ca="1">IF(Control!$B$26=3,5600000000000*EXP(-9800/($G296+273)),IF(Control!$B$26=4,5600000000000*EXP(-9800/($G296+273))*$KT296,0))</f>
        <v>#DIV/0!</v>
      </c>
      <c r="KN296" s="454" t="e">
        <f t="shared" ca="1" si="1112"/>
        <v>#DIV/0!</v>
      </c>
      <c r="KO296" s="274" t="e">
        <f t="shared" ca="1" si="1113"/>
        <v>#DIV/0!</v>
      </c>
      <c r="KP296" s="454" t="e">
        <f t="shared" ca="1" si="1015"/>
        <v>#DIV/0!</v>
      </c>
      <c r="KQ296" s="454" t="e">
        <f t="shared" ca="1" si="1016"/>
        <v>#DIV/0!</v>
      </c>
      <c r="KR296" s="454" t="e">
        <f t="shared" ca="1" si="1017"/>
        <v>#DIV/0!</v>
      </c>
      <c r="KS296" s="454" t="e">
        <f t="shared" ca="1" si="1018"/>
        <v>#DIV/0!</v>
      </c>
      <c r="KT296" s="455" t="e">
        <f t="shared" ca="1" si="1019"/>
        <v>#DIV/0!</v>
      </c>
      <c r="KU296" s="456" t="e">
        <f ca="1">IF($CP296-Control!$C$149&lt;0, IF($NT296-0.01&lt;0,0,1),0)</f>
        <v>#N/A</v>
      </c>
      <c r="KV296" s="456" t="e">
        <f ca="1">IF(Control!$C$114=1,MAX(0,MIN(Control!$C$125*$KW296*$GN296,$KW296)))</f>
        <v>#DIV/0!</v>
      </c>
      <c r="KW296" s="456" t="e">
        <f t="shared" ca="1" si="1146"/>
        <v>#DIV/0!</v>
      </c>
      <c r="KX296" s="457" t="e">
        <f ca="1">IF($CP296-Control!$C$149&lt;0, IF($MR296-$OM296&lt;0,0,1),0)</f>
        <v>#N/A</v>
      </c>
      <c r="KY296" s="167">
        <f t="shared" ca="1" si="1114"/>
        <v>292</v>
      </c>
      <c r="KZ296" s="168">
        <f ca="1">1370*(1+0.033*COS(2*Control!$C$138*$AH296/365))</f>
        <v>1383.971163715602</v>
      </c>
      <c r="LA296" s="169">
        <f t="shared" ca="1" si="1115"/>
        <v>1.0101975608143732</v>
      </c>
      <c r="LB296" s="169">
        <f t="shared" ca="1" si="1116"/>
        <v>-0.19427196247459103</v>
      </c>
      <c r="LC296" s="169">
        <f ca="1">ACOS(-TAN((2*Control!$B$8/360))*TAN(Calculations!$LB296))</f>
        <v>1.5122872006733554</v>
      </c>
      <c r="LD296" s="169">
        <f ca="1">((24*60)/PI())*0.082*$LA296*(($LC296*SIN(Control!$B$8*2*PI()/360))*SIN($LB296)+COS(Control!$B$8*2*PI()/360)*COS($LB296)*SIN($LC296))</f>
        <v>14.162030503530767</v>
      </c>
      <c r="LE296" s="170">
        <f t="shared" ca="1" si="1020"/>
        <v>14.928600259484606</v>
      </c>
      <c r="LF296" s="170">
        <f ca="1">SIN(Control!$C$139*Control!$B$8)*SIN($HD296)</f>
        <v>-0.14656208575719962</v>
      </c>
      <c r="LG296" s="170">
        <f ca="1">COS(Control!$C$139*Control!$B$8)*COS($HD296)</f>
        <v>0.60491758838514698</v>
      </c>
      <c r="LH296" s="170">
        <f ca="1">12*(1+2*ASIN(MAX(-1,MIN(1,$LF296/$LG296))/Control!$C$138))</f>
        <v>10.147248262933452</v>
      </c>
      <c r="LI296" s="170">
        <f ca="1">12*(1+2*ASIN(MAX(-1,MIN(1,(-SIN(-4*Control!$C$139)+$LF296)/$LG296))/Control!$C$138))</f>
        <v>11.029770502489747</v>
      </c>
      <c r="LJ296" s="168">
        <f ca="1">3600*($LH296*$LF296+24*$LG296*SQRT(1-$LK296*$LK296)/Control!$C$138)</f>
        <v>10786.78562883146</v>
      </c>
      <c r="LK296" s="170">
        <f t="shared" ca="1" si="1021"/>
        <v>-0.24228438480099956</v>
      </c>
      <c r="LL296" s="170">
        <f t="shared" ca="1" si="1022"/>
        <v>0</v>
      </c>
      <c r="LM296" s="171">
        <f ca="1">Control!$C$145*$AB296</f>
        <v>6.6660906138995932E-2</v>
      </c>
      <c r="LN296" s="170">
        <f t="shared" ca="1" si="1117"/>
        <v>0.54</v>
      </c>
      <c r="LO296" s="170">
        <f t="shared" ca="1" si="1023"/>
        <v>0</v>
      </c>
      <c r="LP296" s="170">
        <f ca="1">Control!$C$140*((($D296+273.16)^4+($E296+273.16)^4)/2)*(0.34-0.14*SQRT($Y296))*(1.35*$AQ296/(0.75*$LD296)-0.35)</f>
        <v>-3.2464704755046001</v>
      </c>
      <c r="LQ296" s="170">
        <f ca="1">Control!$C$140*($G296+273)^4*(0.56-0.079*SQRT($Y296*10))*(0.1+0.9*$LO296)</f>
        <v>1.5241745131704001</v>
      </c>
      <c r="LR296" s="170">
        <f ca="1">$AQ296*(1-Control!$C$142)-$LQ296</f>
        <v>-1.5241745131704001</v>
      </c>
      <c r="LS296" s="170">
        <f ca="1">$AQ296*(1-Control!$C$143)-$LQ296</f>
        <v>-1.5241745131704001</v>
      </c>
      <c r="LT296" s="170">
        <f ca="1">$AQ296*(1-Control!$C$144)-$LQ296</f>
        <v>-1.5241745131704001</v>
      </c>
      <c r="LU296" s="169">
        <f ca="1">(1-Control!$C$144)*AQ296-LP296</f>
        <v>3.2464704755046001</v>
      </c>
      <c r="LV296" s="172">
        <f t="shared" ca="1" si="1024"/>
        <v>0.79430000000000012</v>
      </c>
      <c r="LW296" s="170">
        <f t="shared" ca="1" si="1025"/>
        <v>1.5886000000000002</v>
      </c>
      <c r="LX296" s="170">
        <f ca="1">($AC296*($LR296/Control!$C$141)+$LM296*$LV296)/($AC296+$LM296)</f>
        <v>0.23530094218323697</v>
      </c>
      <c r="LY296" s="170">
        <f ca="1">($AC296*($LS296/Control!$C$141)+$LM296*$LV296)/($AC296+$LM296)</f>
        <v>0.23530094218323697</v>
      </c>
      <c r="LZ296" s="170">
        <f t="shared" ca="1" si="1026"/>
        <v>0.23530094218323697</v>
      </c>
      <c r="MA296" s="170">
        <f t="shared" ca="1" si="1027"/>
        <v>0.23530094218323697</v>
      </c>
      <c r="MB296" s="170" t="e">
        <f t="shared" ca="1" si="1028"/>
        <v>#N/A</v>
      </c>
      <c r="MC296" s="170">
        <f t="shared" ca="1" si="1118"/>
        <v>0.6018</v>
      </c>
      <c r="MD296" s="170">
        <f t="shared" ca="1" si="1029"/>
        <v>0.52989392535414004</v>
      </c>
      <c r="ME296" s="170">
        <f ca="1">($AC296*($LT296/Control!$C$141)+$LM296*$LW296)/($AC296+$LM296)</f>
        <v>0.71612369323045078</v>
      </c>
      <c r="MF296" s="170" t="e">
        <f ca="1">IF(Control!$B$16&gt;=1000,0.92,IF(AND(720&lt;=Control!$B$16,1000&gt;Control!$B$16),(0.95+(Control!$B$16-720)*((0.92-0.95)/(1000-720))),IF(AND(360&lt;=Control!$B$16,720&gt;Control!$B$16),(1+(Control!$B$16-360)*((0.95-1)/(720-360))),IF(AND(40&lt;=Control!$B$16,360&gt;Control!$B$16),(1.05+(Control!$B$16-40)*((1.05-1)/(360-40)))))))</f>
        <v>#N/A</v>
      </c>
      <c r="MG296" s="170">
        <f t="shared" ca="1" si="1030"/>
        <v>0.71612369323045078</v>
      </c>
      <c r="MH296" s="170" t="e">
        <f t="shared" ca="1" si="1156"/>
        <v>#N/A</v>
      </c>
      <c r="MI296" s="170" t="e">
        <f t="shared" ca="1" si="1156"/>
        <v>#N/A</v>
      </c>
      <c r="MJ296" s="170" t="e">
        <f ca="1">MAX(0.0001, Control!$C$132*$MI296*$DL296)</f>
        <v>#N/A</v>
      </c>
      <c r="MK296" s="170">
        <f ca="1">1/(0.76+1.5*($MG296/10))-(5-Control!$C$110)*0.1</f>
        <v>1.002845988140797</v>
      </c>
      <c r="ML296" s="173">
        <f ca="1">IF(Control!$C$110&lt;3,$MK296+($MG296-0.6)/(Control!$C$110*(Control!$C$110+3)), MAX(0.1, MIN(0.95,$MK296)))</f>
        <v>0.95</v>
      </c>
      <c r="MM296" s="173">
        <f ca="1">IF(Control!$C$110&lt;3,$MK296+(($MI296/10)-0.6)/(Control!$C$110*(Control!$C$110+3)), MAX(0.1, MIN(0.95,$MK296)))</f>
        <v>0.95</v>
      </c>
      <c r="MN296" s="173">
        <f ca="1">(1-$MM296)*(Control!$C$128-Control!$C$127)+Control!$C$127</f>
        <v>0.16</v>
      </c>
      <c r="MO296" s="170" t="e">
        <f ca="1">MAX(0,MIN(1,($MS296-Control!$C$127)/($MN296-Control!$C$127)))</f>
        <v>#DIV/0!</v>
      </c>
      <c r="MP296" s="173" t="e">
        <f ca="1">1/(0.76+1.5*$MI296)-(5-Control!$C$110)*0.1</f>
        <v>#N/A</v>
      </c>
      <c r="MQ296" s="172" t="e">
        <f t="shared" ca="1" si="1147"/>
        <v>#DIV/0!</v>
      </c>
      <c r="MR296" s="168" t="e">
        <f t="shared" ca="1" si="1119"/>
        <v>#DIV/0!</v>
      </c>
      <c r="MS296" s="173" t="e">
        <f ca="1">MAX(Control!$C$127, MIN(Control!$C$135, $MR296/MAX(0.0001,$CY296)))</f>
        <v>#DIV/0!</v>
      </c>
      <c r="MT296" s="168" t="e">
        <f ca="1">(Control!$C$128-$MS296)*Control!$C$74</f>
        <v>#DIV/0!</v>
      </c>
      <c r="MU296" s="168" t="e">
        <f ca="1">(Control!$C$135-$MS296)*Control!$C$74</f>
        <v>#DIV/0!</v>
      </c>
      <c r="MV296" s="168" t="e">
        <f t="shared" ca="1" si="1120"/>
        <v>#DIV/0!</v>
      </c>
      <c r="MW296" s="168" t="e">
        <f t="shared" ca="1" si="1121"/>
        <v>#DIV/0!</v>
      </c>
      <c r="MX296" s="171" t="e">
        <f ca="1">MAX(Control!$C$127, MIN(Control!$C$135, $MW296/MAX(0.0001,Control!$C$119-$CY296)))</f>
        <v>#DIV/0!</v>
      </c>
      <c r="MY296" s="54" t="e">
        <f ca="1">IF(Control!$C$114=1, $CX296*$MX296, 0)</f>
        <v>#DIV/0!</v>
      </c>
      <c r="MZ296" s="54" t="e">
        <f t="shared" ca="1" si="1122"/>
        <v>#N/A</v>
      </c>
      <c r="NA296" s="168" t="e">
        <f ca="1">(Control!$C$128-$MX296)*(Control!$C$119-Control!$C$74)</f>
        <v>#DIV/0!</v>
      </c>
      <c r="NB296" s="168" t="e">
        <f ca="1">(Control!$C$135-$MX296)*(Control!$C$119-Control!$C$74)</f>
        <v>#DIV/0!</v>
      </c>
      <c r="NC296" s="174" t="e">
        <f t="shared" ca="1" si="1123"/>
        <v>#DIV/0!</v>
      </c>
      <c r="ND296" s="54">
        <f ca="1">IF(Control!$C$58=2, IF(OR(Control!$B$218=$AH296,Control!$B$219=$AH296, Control!$B$220=$AH296, Control!$B$221=$AH296, Control!$B$222=$AH296, Control!$B$223=$AH296, Control!$B$224=$AH296, Control!$B$225=$AH296, Control!$B$226=$AH296, Control!$B$227=$AH296, Control!$B$228=$AH296), 1, 0), 0)</f>
        <v>0</v>
      </c>
      <c r="NE296" s="54">
        <f ca="1">IF($ND296=0,0, VLOOKUP($AH296,Control!$B$218:$C$228,2))</f>
        <v>0</v>
      </c>
      <c r="NF296" s="168" t="e">
        <f ca="1">$CY296*(Control!$C$128-Control!$C$127)</f>
        <v>#N/A</v>
      </c>
      <c r="NG296" s="54" t="e">
        <f ca="1">IF(Control!$C$58=2, $NI295-$NJ295, 0)</f>
        <v>#DIV/0!</v>
      </c>
      <c r="NH296" s="54" t="e">
        <f ca="1">IF(AND(Control!$C$58=1, $MS295&lt;= ($MN295+0.02), $I295&lt;10), 0, IF(Control!$C$58=2, $NG295, 0))</f>
        <v>#DIV/0!</v>
      </c>
      <c r="NI296" s="54" t="e">
        <f ca="1">IF(Control!$C$58=2, $NE296+$NH296,0)</f>
        <v>#DIV/0!</v>
      </c>
      <c r="NJ296" s="54" t="e">
        <f ca="1">IF(AND(Control!$C$58=1, $MS296&lt;= ($MN296+0.02), $I296&lt;10), MAX(0, MIN(10, 0.7*($NF296-$MV296))), IF(Control!$C$58=2, MIN(10,$NI296),0))</f>
        <v>#DIV/0!</v>
      </c>
      <c r="NK296" s="54" t="e">
        <f t="shared" ca="1" si="1031"/>
        <v>#DIV/0!</v>
      </c>
      <c r="NL296" s="173" t="e">
        <f ca="1">(1-Control!$C$73)*$I296+$NJ296</f>
        <v>#DIV/0!</v>
      </c>
      <c r="NM296" s="172" t="e">
        <f ca="1">IF($NL296&lt;0.5, $MB296* MAX(0, MIN(1, (SQRT($NC296)-SQRT($NC296-1))*Control!$C$71)),0)</f>
        <v>#DIV/0!</v>
      </c>
      <c r="NN296" s="170" t="e">
        <f ca="1">IF($NL296&gt;=5, $MB296, MAX(0,MIN($MB296, $NM296+$NL296,($MS296-Control!$C$129))))</f>
        <v>#DIV/0!</v>
      </c>
      <c r="NO296" s="54">
        <f>IF(Control!$C$133&lt;&gt;1, Control!$C$135-Control!$C$131, 0)</f>
        <v>0.38</v>
      </c>
      <c r="NP296" s="54" t="e">
        <f t="shared" ca="1" si="1032"/>
        <v>#DIV/0!</v>
      </c>
      <c r="NQ296" s="173" t="e">
        <f ca="1">MAX(0,MIN(1,(Control!$C$135-$MS296)/(Control!$C$135-$NO296)))</f>
        <v>#DIV/0!</v>
      </c>
      <c r="NR296" s="170" t="e">
        <f ca="1">IF(Control!$C$133&lt;&gt;1, $NQ296+((1-$NP296/4)*(1-$NQ296)),1)</f>
        <v>#DIV/0!</v>
      </c>
      <c r="NS296" s="170" t="e">
        <f ca="1">IF(Control!$B$31=0,$MJ296,MAX(0,MIN($MV296,$MO296*$NR296*$MJ296)))</f>
        <v>#DIV/0!</v>
      </c>
      <c r="NT296" s="170" t="e">
        <f t="shared" ca="1" si="1148"/>
        <v>#DIV/0!</v>
      </c>
      <c r="NU296" s="170" t="e">
        <f t="shared" ca="1" si="1124"/>
        <v>#N/A</v>
      </c>
      <c r="NV296" s="170" t="e">
        <f t="shared" ca="1" si="1033"/>
        <v>#N/A</v>
      </c>
      <c r="NW296" s="175" t="e">
        <f t="shared" ca="1" si="1034"/>
        <v>#DIV/0!</v>
      </c>
      <c r="NX296" s="170" t="e">
        <f ca="1">MIN(Control!$C$72+$MU296, $NW296)</f>
        <v>#DIV/0!</v>
      </c>
      <c r="NY296" s="170" t="e">
        <f ca="1">IF($MT296&lt;=$NX296,MIN(Control!$C$72+$NB296,$NX296-$MT296),0)</f>
        <v>#DIV/0!</v>
      </c>
      <c r="NZ296" s="54" t="e">
        <f ca="1">IF(Control!$C$114=1,  $CX296*($MX296-Control!$C$127), 0)</f>
        <v>#DIV/0!</v>
      </c>
      <c r="OA296" s="170" t="e">
        <f t="shared" ca="1" si="1035"/>
        <v>#DIV/0!</v>
      </c>
      <c r="OB296" s="170" t="e">
        <f ca="1">IF($NA296 &lt;=$NY296, MIN(Control!$C$72, $NY296-$NA296), 0)</f>
        <v>#DIV/0!</v>
      </c>
      <c r="OC296" s="168" t="e">
        <f t="shared" ca="1" si="1036"/>
        <v>#DIV/0!</v>
      </c>
      <c r="OD296" s="168" t="e">
        <f t="shared" ca="1" si="1125"/>
        <v>#DIV/0!</v>
      </c>
      <c r="OE296" s="170">
        <f ca="1">Control!$C$73*$I296</f>
        <v>0</v>
      </c>
      <c r="OF296" s="176" t="e">
        <f t="shared" ca="1" si="1037"/>
        <v>#DIV/0!</v>
      </c>
      <c r="OG296" s="168" t="e">
        <f t="shared" ca="1" si="1038"/>
        <v>#DIV/0!</v>
      </c>
      <c r="OH296" s="168" t="e">
        <f t="shared" ca="1" si="1039"/>
        <v>#DIV/0!</v>
      </c>
      <c r="OI296" s="168" t="e">
        <f t="shared" ca="1" si="1040"/>
        <v>#DIV/0!</v>
      </c>
      <c r="OJ296" s="168" t="e">
        <f t="shared" ca="1" si="1041"/>
        <v>#DIV/0!</v>
      </c>
      <c r="OK296" s="204" t="e">
        <f t="shared" ca="1" si="1042"/>
        <v>#DIV/0!</v>
      </c>
      <c r="OL296" s="177">
        <f>Control!$C$127</f>
        <v>0.15</v>
      </c>
      <c r="OM296" s="182" t="e">
        <f t="shared" ca="1" si="1043"/>
        <v>#N/A</v>
      </c>
      <c r="ON296" s="177">
        <f>Control!$C$128</f>
        <v>0.35</v>
      </c>
      <c r="OO296" s="182" t="e">
        <f t="shared" ca="1" si="1044"/>
        <v>#N/A</v>
      </c>
      <c r="OP296" s="138">
        <f t="shared" ca="1" si="1126"/>
        <v>0</v>
      </c>
      <c r="OQ296" s="138" t="e">
        <f t="shared" ca="1" si="1149"/>
        <v>#DIV/0!</v>
      </c>
      <c r="OR296" s="138" t="e">
        <f t="shared" ca="1" si="1127"/>
        <v>#DIV/0!</v>
      </c>
      <c r="OS296" s="137" t="e">
        <f t="shared" ca="1" si="1150"/>
        <v>#DIV/0!</v>
      </c>
      <c r="OT296" s="139" t="e">
        <f t="shared" ca="1" si="1151"/>
        <v>#DIV/0!</v>
      </c>
      <c r="OU296" s="138" t="e">
        <f t="shared" ca="1" si="1152"/>
        <v>#N/A</v>
      </c>
      <c r="OV296" s="138" t="e">
        <f t="shared" ca="1" si="1153"/>
        <v>#DIV/0!</v>
      </c>
      <c r="OW296" s="138" t="e">
        <f t="shared" ca="1" si="1128"/>
        <v>#DIV/0!</v>
      </c>
      <c r="OX296" s="138" t="e">
        <f t="shared" ca="1" si="1129"/>
        <v>#DIV/0!</v>
      </c>
      <c r="OY296" s="138" t="e">
        <f t="shared" ca="1" si="1130"/>
        <v>#DIV/0!</v>
      </c>
      <c r="OZ296" s="138" t="e">
        <f t="shared" ca="1" si="1045"/>
        <v>#DIV/0!</v>
      </c>
      <c r="PA296" s="138" t="e">
        <f t="shared" ca="1" si="1046"/>
        <v>#DIV/0!</v>
      </c>
      <c r="PB296" s="55">
        <f>IF(Control!$C$61="T", IF(Control!$C$65="F", IF($AH$6-Control!$C$60&lt;0,0,1), IF(365+$AH$6-Control!$C$60&lt;0,0,1)),0)</f>
        <v>0</v>
      </c>
      <c r="PC296" s="55">
        <f ca="1">IF(Control!$C$65="F", IF($AH$6-$HF296&lt;0,0,1), IF(365+$AH$6-$HF296&lt;0,0,1))</f>
        <v>1</v>
      </c>
      <c r="PD296" s="444">
        <f>Control!$C$118</f>
        <v>1500</v>
      </c>
      <c r="PE296" s="180" t="e">
        <f t="shared" ca="1" si="1047"/>
        <v>#N/A</v>
      </c>
      <c r="PF296" s="445">
        <f t="shared" ca="1" si="1131"/>
        <v>0.71612369323045078</v>
      </c>
      <c r="PT296" s="186"/>
      <c r="PU296" s="186"/>
      <c r="PV296" s="94"/>
      <c r="PW296" s="94"/>
      <c r="PX296" s="94"/>
      <c r="PY296" s="94"/>
      <c r="PZ296" s="94"/>
      <c r="QA296" s="94"/>
      <c r="QB296" s="94"/>
      <c r="QC296" s="94"/>
      <c r="QD296" s="94"/>
      <c r="QE296" s="94"/>
      <c r="QF296" s="94"/>
      <c r="QG296" s="94"/>
      <c r="QH296" s="94"/>
      <c r="QI296" s="94"/>
      <c r="QJ296" s="94"/>
      <c r="QK296" s="94"/>
      <c r="QL296" s="94"/>
      <c r="QM296" s="94"/>
      <c r="QN296" s="94"/>
      <c r="QO296" s="94"/>
      <c r="QP296" s="94"/>
    </row>
    <row r="297" spans="1:458" s="2" customFormat="1" x14ac:dyDescent="0.2">
      <c r="A297" s="395">
        <v>19</v>
      </c>
      <c r="B297" s="396">
        <v>10</v>
      </c>
      <c r="C297" s="387">
        <f ca="1">Weather_data!$B296</f>
        <v>0</v>
      </c>
      <c r="D297" s="388">
        <f ca="1">Weather_data!$F296</f>
        <v>0</v>
      </c>
      <c r="E297" s="388">
        <f ca="1">Weather_data!$E296</f>
        <v>0</v>
      </c>
      <c r="F297" s="388">
        <f t="shared" ca="1" si="1048"/>
        <v>0</v>
      </c>
      <c r="G297" s="388">
        <f ca="1">AVERAGE($D297:$E297)+Control!$B$9</f>
        <v>0</v>
      </c>
      <c r="H297" s="388">
        <f ca="1">Weather_data!$G296</f>
        <v>0</v>
      </c>
      <c r="I297" s="388">
        <f ca="1">Weather_data!$I296</f>
        <v>0</v>
      </c>
      <c r="J297" s="388">
        <f ca="1">Weather_data!$H296</f>
        <v>0</v>
      </c>
      <c r="K297" s="389">
        <f ca="1">Weather_data!$D296</f>
        <v>0</v>
      </c>
      <c r="L297" s="388" t="e">
        <f t="shared" ca="1" si="1049"/>
        <v>#N/A</v>
      </c>
      <c r="M297" s="388" t="e">
        <f t="shared" ca="1" si="927"/>
        <v>#N/A</v>
      </c>
      <c r="N297" s="388">
        <f t="shared" ca="1" si="928"/>
        <v>-2.4184674753802101E-14</v>
      </c>
      <c r="O297" s="388">
        <f t="shared" ca="1" si="1050"/>
        <v>2.4184674753802102E-13</v>
      </c>
      <c r="P297" s="390">
        <v>3</v>
      </c>
      <c r="Q297" s="388">
        <f ca="1">MAX($G297-Control!$C$107,0)</f>
        <v>0</v>
      </c>
      <c r="R297" s="388">
        <f t="shared" ca="1" si="1051"/>
        <v>0</v>
      </c>
      <c r="S297" s="388">
        <f t="shared" ca="1" si="929"/>
        <v>0</v>
      </c>
      <c r="T297" s="388">
        <f t="shared" ca="1" si="930"/>
        <v>0</v>
      </c>
      <c r="U297" s="59">
        <f t="shared" ca="1" si="931"/>
        <v>0</v>
      </c>
      <c r="V297" s="391">
        <f ca="1">MAX(0,MIN(Control!$C$100-Control!$C$99,$G297-Control!$C$99)*Control!$C$63)</f>
        <v>0</v>
      </c>
      <c r="W297" s="388">
        <f t="shared" ca="1" si="1052"/>
        <v>0</v>
      </c>
      <c r="X297" s="388">
        <f t="shared" ca="1" si="1053"/>
        <v>0.6110000000000001</v>
      </c>
      <c r="Y297" s="388">
        <f t="shared" ca="1" si="932"/>
        <v>0</v>
      </c>
      <c r="Z297" s="388">
        <f t="shared" ca="1" si="1054"/>
        <v>0.61058800000000002</v>
      </c>
      <c r="AA297" s="388">
        <f t="shared" ca="1" si="933"/>
        <v>0.6018</v>
      </c>
      <c r="AB297" s="388">
        <f ca="1">101.3*EXP(-0.034*Control!$C$66/($G297+273))</f>
        <v>100.69623283836242</v>
      </c>
      <c r="AC297" s="392">
        <f t="shared" ca="1" si="934"/>
        <v>4.3460251046025113E-2</v>
      </c>
      <c r="AD297" s="392">
        <f t="shared" ca="1" si="935"/>
        <v>4.4450382862832649E-2</v>
      </c>
      <c r="AE297" s="388">
        <f t="shared" ca="1" si="936"/>
        <v>0</v>
      </c>
      <c r="AF297" s="388">
        <f ca="1">MAX(0,$G297-Control!$C$92)</f>
        <v>0</v>
      </c>
      <c r="AG297" s="393">
        <f t="shared" ca="1" si="937"/>
        <v>293</v>
      </c>
      <c r="AH297" s="389">
        <f t="shared" ca="1" si="938"/>
        <v>293</v>
      </c>
      <c r="AI297" s="388">
        <f t="shared" ca="1" si="1055"/>
        <v>-0.19321796861338864</v>
      </c>
      <c r="AJ297" s="388">
        <f ca="1">IF(Control!$C$60&lt;=0,$HH297,$HI297)</f>
        <v>1</v>
      </c>
      <c r="AK297" s="388">
        <f t="shared" ca="1" si="939"/>
        <v>3.6666259463815121</v>
      </c>
      <c r="AL297" s="388">
        <f t="shared" ca="1" si="940"/>
        <v>-1.4607091577967246E-17</v>
      </c>
      <c r="AM297" s="388">
        <f t="shared" ca="1" si="941"/>
        <v>3.6666259463815121</v>
      </c>
      <c r="AN297" s="388">
        <f t="shared" ca="1" si="942"/>
        <v>-0.20073945688174874</v>
      </c>
      <c r="AO297" s="388">
        <f ca="1">-0.10453/COS(Control!$B$8*PI()/180)*COS(AN297)</f>
        <v>-0.16637548271050337</v>
      </c>
      <c r="AP297" s="388">
        <f ca="1">ACOS(AO297-TAN(Control!$B$8*PI()/180)*TAN(AN297))</f>
        <v>1.4765900125043245</v>
      </c>
      <c r="AQ297" s="388">
        <f t="shared" ca="1" si="1056"/>
        <v>0</v>
      </c>
      <c r="AR297" s="394">
        <f t="shared" ca="1" si="943"/>
        <v>0</v>
      </c>
      <c r="AS297" s="436">
        <f ca="1">IF(Control!$B$18=2,(IF(OR($AH297=Control!$B$175,$AH297=Control!$B$176,$AH297=Control!$B$177,$AH297=Control!$B$178,$AH297=Control!$B$179,$AH297=Control!$B$180,$AH297=Control!$B$181,$AH297=Control!$B$182,$AH297=Control!$B$183,$AH297=Control!$B$184,$AH297=Control!$B$185),1,0)),0)</f>
        <v>0</v>
      </c>
      <c r="AT297" s="436">
        <f>IF(Control!$B$20=8,IF(AND($AH297&gt;=Control!$B$172,$AH297&lt;=Control!$B$173),1,0),0)</f>
        <v>0</v>
      </c>
      <c r="AU297" s="436">
        <f>IF(Control!$B$20=8,IF($AV296=1,1*$AT297,IF($AT297=1,$AU296+1,$AU296)),0)</f>
        <v>0</v>
      </c>
      <c r="AV297" s="436">
        <f>IF(Control!$B$20=8,IF($AU297&gt;=Control!$B$174,1,0),0)</f>
        <v>0</v>
      </c>
      <c r="AW297" s="436">
        <f ca="1">IF(AND(Control!$B$18=2,Control!$B$171=1), $AV297, $AS297)</f>
        <v>0</v>
      </c>
      <c r="AX297" s="436" t="e">
        <f ca="1">IF(AND(Control!$B$18=1,$EU297&gt;=Control!$B$19),-$AY297,IF(AND(Control!$B$18=2,$AW297=1,$EU297&gt;$DS297),-$AY297, IF(Control!$C$108=0,0, IF(Control!$C$108&lt;&gt;0,1))))</f>
        <v>#N/A</v>
      </c>
      <c r="AY297" s="436" t="e">
        <f t="shared" ca="1" si="1057"/>
        <v>#N/A</v>
      </c>
      <c r="AZ297" s="436" t="e">
        <f ca="1">IF(AND(Control!$B$18=1,$EB297&gt;Control!$B$19),$AZ296+1, IF(AND(Control!$B$18=2, $AW297=1, $EB297&gt;$DS297), $AZ296+1,$AZ296))</f>
        <v>#N/A</v>
      </c>
      <c r="BA297" s="587">
        <f>IF(Control!$C$81=0,1,IF($AH297&gt;=Control!$C$82,1,0))</f>
        <v>1</v>
      </c>
      <c r="BB297" s="140" t="e">
        <f ca="1">IF($BA297&gt;$BA296,Control!$C$83,IF($AW297&gt;0,$AW297*Control!$C$84,IF(AND(Control!$B$18=1,EN296&lt;&gt;0),Control!$C$84,0)))</f>
        <v>#N/A</v>
      </c>
      <c r="BC297" s="140" t="e">
        <f t="shared" ca="1" si="1058"/>
        <v>#N/A</v>
      </c>
      <c r="BD297" s="140" t="e">
        <f ca="1">BC297*IF(OR($G297&lt;Control!$C$92,$G297&gt;Control!$C$95),0,IF(AND($G297&gt;=Control!$C$92,$G297&lt;=Control!$C$93),$G297-Control!$C$92,IF(AND($G297&gt;Control!$C$93,$G297&lt;=Control!$C$94),Control!$C$93-Control!$C$92,IF(AND($G297&gt;Control!$C$94,$G297&lt;=Control!$C$95),(Control!$C$93-Control!$C$92)*(Control!$C$94-$G297)/(Control!$C$95-Control!$C$94)))))</f>
        <v>#N/A</v>
      </c>
      <c r="BE297" s="140" t="e">
        <f t="shared" ca="1" si="1059"/>
        <v>#N/A</v>
      </c>
      <c r="BF297" s="140" t="e">
        <f ca="1">IF($BE297&lt;=Control!$C$86,$BE297,Control!$C$86-$BE297)</f>
        <v>#N/A</v>
      </c>
      <c r="BG297" s="140" t="e">
        <f ca="1">IF(AND($AW297=1,Control!$C$84&lt;9),1,IF($BE297&gt;=Control!$C$86,0,$BC297))</f>
        <v>#N/A</v>
      </c>
      <c r="BH297" s="404" t="e">
        <f ca="1">IF($BG297=0,0,IF($BE297&lt;=Control!$C$86,$BC297*9*($BF297/Control!$C$86),0))</f>
        <v>#N/A</v>
      </c>
      <c r="BI297" s="140" t="e">
        <f ca="1">IF($BG297=1,0,IF($BE297&gt;=Control!$C$86,1,IF(AND($BB297&lt;21,$BB297&gt;=9),1,$BM296)))</f>
        <v>#N/A</v>
      </c>
      <c r="BJ297" s="140" t="e">
        <f ca="1">IF($BF297&lt;0,-$BF297,$BI297*IF(OR($G297&lt;Control!$C$92,$G297&gt;Control!$C$95),0,IF(AND($G297&gt;=Control!$C$92,$G297&lt;=Control!$C$93),$G297-Control!$C$92,IF(AND($G297&gt;Control!$C$93,$G297&lt;=Control!$C$94),Control!$C$93-Control!$C$92,IF(AND($G297&gt;Control!$C$94,$G297&lt;=Control!$C$95),(Control!$C$93-Control!$C$92)*(Control!$C$94-$G297)/(Control!$C$95-Control!$C$94))))))</f>
        <v>#N/A</v>
      </c>
      <c r="BK297" s="140" t="e">
        <f t="shared" ca="1" si="1060"/>
        <v>#N/A</v>
      </c>
      <c r="BL297" s="140" t="e">
        <f ca="1">IF($BK297&lt;=Control!$C$87,$BK297,Control!$C$87-$BK297)</f>
        <v>#N/A</v>
      </c>
      <c r="BM297" s="140" t="e">
        <f ca="1">IF(AND($BB297&gt;=9,$BB297&lt;21),1,IF($BK297&gt;=Control!$C$87,0,$BI297))</f>
        <v>#N/A</v>
      </c>
      <c r="BN297" s="404" t="e">
        <f ca="1">IF($BM297=0,0,IF($BK297&lt;=Control!$C$87,$BI297*(9+(21-9)*($BL297/Control!$C$87)),0))</f>
        <v>#N/A</v>
      </c>
      <c r="BO297" s="140" t="e">
        <f ca="1">IF($BM297=1,0,IF($BK297&gt;=Control!$C$87,1,IF(AND($BB297&lt;30,$BB297&gt;=21),1,$BS296)))</f>
        <v>#N/A</v>
      </c>
      <c r="BP297" s="140" t="e">
        <f ca="1">IF($BL297&lt;0,-$BL297,$BO297*IF(OR($G297&lt;Control!$C$92,$G297&gt;Control!$C$95),0,IF(AND($G297&gt;=Control!$C$92,$G297&lt;=Control!$C$93),$G297-Control!$C$92,IF(AND($G297&gt;Control!$C$93,$G297&lt;=Control!$C$94),Control!$C$93-Control!$C$92,IF(AND($G297&gt;Control!$C$94,$G297&lt;=Control!$C$95),(Control!$C$93-Control!$C$92)*(Control!$C$94-$G297)/(Control!$C$95-Control!$C$94))))))</f>
        <v>#N/A</v>
      </c>
      <c r="BQ297" s="140" t="e">
        <f t="shared" ca="1" si="944"/>
        <v>#N/A</v>
      </c>
      <c r="BR297" s="140" t="e">
        <f ca="1">IF($BQ297&lt;=Control!$C$88,$BQ297,Control!$C$88-$BQ297)</f>
        <v>#N/A</v>
      </c>
      <c r="BS297" s="140" t="e">
        <f ca="1">IF(AND($BB297&gt;=21,$BB297&lt;30),1,IF($BQ297&gt;=Control!$C$88,0,$BO297))</f>
        <v>#N/A</v>
      </c>
      <c r="BT297" s="404" t="e">
        <f ca="1">IF($BS297=0,0,IF($BQ297&lt;=Control!$C$88,$BO297*(21+(30-21)*(BR297/Control!$C$88)),0))</f>
        <v>#N/A</v>
      </c>
      <c r="BU297" s="140" t="e">
        <f ca="1">IF(BG297+BM297+BS297=1,0,IF(OR(AND($BB297&lt;60,$BB297&gt;=30),$BQ297&gt;=Control!$C$88),1*$BA297,$BY296))</f>
        <v>#N/A</v>
      </c>
      <c r="BV297" s="140" t="e">
        <f ca="1">IF($BR297&lt;0,-$BR297,$BU297*IF(OR($G297&lt;Control!$C$92,$G297&gt;Control!$C$95),0,IF(AND($G297&gt;=Control!$C$92,$G297&lt;=Control!$C$93),$G297-Control!$C$92,IF(AND($G297&gt;Control!$C$93,$G297&lt;=Control!$C$94),Control!$C$93-Control!$C$92,IF(AND($G297&gt;Control!$C$94,$G297&lt;=Control!$C$95),(Control!$C$93-Control!$C$92)*(Control!$C$94-$G297)/(Control!$C$95-Control!$C$94))))))</f>
        <v>#N/A</v>
      </c>
      <c r="BW297" s="140" t="e">
        <f t="shared" ca="1" si="945"/>
        <v>#N/A</v>
      </c>
      <c r="BX297" s="140" t="e">
        <f ca="1">IF($BW297&lt;=Control!$C$89,$BW297,Control!$C$89-$BW297)</f>
        <v>#N/A</v>
      </c>
      <c r="BY297" s="140" t="e">
        <f ca="1">IF(AND($AJ297&gt;=30,$AJ297&lt;60),1,IF($BW297&gt;=Control!$C$89,0,$BU297))</f>
        <v>#N/A</v>
      </c>
      <c r="BZ297" s="404" t="e">
        <f ca="1">IF($BY297=0,0,IF($BW297&lt;=Control!$C$89,$BU297*(30+(60-30)*(BX297/Control!$C$89)),0))</f>
        <v>#N/A</v>
      </c>
      <c r="CA297" s="140" t="e">
        <f ca="1">IF($BG297+$BM297+$BS297+$BY297=1,0,IF(OR(AND($BB297&lt;65,$BB297&gt;=60),$BW297&gt;=Control!$C$89),1*$BA297,$CE296))</f>
        <v>#N/A</v>
      </c>
      <c r="CB297" s="140" t="e">
        <f ca="1">IF($BX297&lt;0,-$BX297,$CA297*IF(OR($G297&lt;Control!$C$92,$G297&gt;Control!$C$95),0,IF(AND($G297&gt;=Control!$C$92,$G297&lt;=Control!$C$93),$G297-Control!$C$92,IF(AND($G297&gt;Control!$C$93,$G297&lt;=Control!$C$94),Control!$C$93-Control!$C$92,IF(AND($G297&gt;Control!$C$94,$G297&lt;=Control!$C$95),(Control!$C$93-Control!$C$92)*(Control!$C$94-$G297)/(Control!$C$95-Control!$C$94))))))</f>
        <v>#N/A</v>
      </c>
      <c r="CC297" s="140" t="e">
        <f t="shared" ca="1" si="1061"/>
        <v>#N/A</v>
      </c>
      <c r="CD297" s="140" t="e">
        <f ca="1">IF($CC297&lt;=Control!$C$90,$CC297,Control!$C$90-$CC297)</f>
        <v>#N/A</v>
      </c>
      <c r="CE297" s="140" t="e">
        <f ca="1">IF(AND($BB297&gt;=60,$BB297&lt;65),1,IF($CC297&gt;=Control!$C$90,0,$CA297))</f>
        <v>#N/A</v>
      </c>
      <c r="CF297" s="404" t="e">
        <f ca="1">IF($CE297=0,0,IF($CC297&lt;=Control!$C$90,$CA297*(60+(65-60)*(CD297/Control!$C$90)),0))</f>
        <v>#N/A</v>
      </c>
      <c r="CG297" s="140" t="e">
        <f ca="1">IF($BG297+$BM297+$BS297+$BY297+$CE297=1,0,IF(OR(AND($BB297&lt;90,$BB297&gt;=65),$CC297&gt;=Control!$C$90),$BA297,$CK296))</f>
        <v>#N/A</v>
      </c>
      <c r="CH297" s="140" t="e">
        <f ca="1">IF($CD297&lt;0,-$CD297,$CG297*IF(OR($G297&lt;Control!$C$92,$G297&gt;Control!$C$95),0,IF(AND($G297&gt;=Control!$C$92,$G297&lt;=Control!$C$93),$G297-Control!$C$92,IF(AND($G297&gt;Control!$C$93,$G297&lt;=Control!$C$94),Control!$C$93-Control!$C$92,IF(AND($G297&gt;Control!$C$94,$G297&lt;=Control!$C$95),(Control!$C$93-Control!$C$92)*(Control!$C$94-$G297)/(Control!$C$95-Control!$C$94))))))</f>
        <v>#N/A</v>
      </c>
      <c r="CI297" s="140" t="e">
        <f t="shared" ca="1" si="1062"/>
        <v>#N/A</v>
      </c>
      <c r="CJ297" s="140" t="e">
        <f ca="1">IF($CI297&lt;=Control!$C$91,$CI297,Control!$C$91-$CI297)</f>
        <v>#N/A</v>
      </c>
      <c r="CK297" s="140" t="e">
        <f ca="1">IF(AND($BB297&gt;=65,$BB297&lt;90),1,IF($CI297&gt;=Control!$C$91,0,$CG297))</f>
        <v>#N/A</v>
      </c>
      <c r="CL297" s="404" t="e">
        <f ca="1">IF($CK297=0,0,IF($CI297&lt;=Control!$C$91,$CG297*(65+(90-65)*($CJ297/Control!$C$91)),0))</f>
        <v>#N/A</v>
      </c>
      <c r="CM297" s="140" t="e">
        <f ca="1">IF($BG297+$BM297+$BS297+$BY297+$CE297+$CK297=1,0,IF(OR($BB297&gt;=90,$CI297&gt;=Control!$C$91),$BA297,$CM296))</f>
        <v>#N/A</v>
      </c>
      <c r="CN297" s="140" t="e">
        <f t="shared" ca="1" si="1063"/>
        <v>#N/A</v>
      </c>
      <c r="CO297" s="140" t="e">
        <f t="shared" ca="1" si="1064"/>
        <v>#N/A</v>
      </c>
      <c r="CP297" s="140" t="e">
        <f t="shared" ca="1" si="1065"/>
        <v>#N/A</v>
      </c>
      <c r="CQ297" s="141" t="e">
        <f ca="1">VLOOKUP($CP297,Control!$B$86:$G$91,6)</f>
        <v>#N/A</v>
      </c>
      <c r="CR297" s="141" t="e">
        <f ca="1">(1-$CQ297)*VLOOKUP($CP297,Control!$B$86:$D$91,3)</f>
        <v>#N/A</v>
      </c>
      <c r="CS297" s="141" t="e">
        <f ca="1">(1-$CQ297)*VLOOKUP($CP297,Control!$B$86:$E$91,4)</f>
        <v>#N/A</v>
      </c>
      <c r="CT297" s="141" t="e">
        <f ca="1">(1-$CQ297)*VLOOKUP($CP297,Control!$B$86:$F$91,5)</f>
        <v>#N/A</v>
      </c>
      <c r="CU297" s="141">
        <f t="shared" ca="1" si="1066"/>
        <v>0</v>
      </c>
      <c r="CV297" s="583">
        <f t="shared" ca="1" si="1067"/>
        <v>0</v>
      </c>
      <c r="CW297" s="142">
        <f t="shared" ca="1" si="1068"/>
        <v>293</v>
      </c>
      <c r="CX297" s="612" t="e">
        <f ca="1">IF(Control!$C$114=1,(MIN(Control!$C$120*(IF($NT297-0.01&lt;0,0,1)),Control!$C$119-$CY297)))</f>
        <v>#DIV/0!</v>
      </c>
      <c r="CY297" s="143" t="e">
        <f t="shared" ca="1" si="1069"/>
        <v>#N/A</v>
      </c>
      <c r="CZ297" s="144">
        <f t="shared" ca="1" si="946"/>
        <v>0</v>
      </c>
      <c r="DA297" s="144">
        <f t="shared" ca="1" si="947"/>
        <v>0</v>
      </c>
      <c r="DB297" s="144" t="e">
        <f t="shared" ca="1" si="948"/>
        <v>#N/A</v>
      </c>
      <c r="DC297" s="144" t="e">
        <f t="shared" ca="1" si="949"/>
        <v>#N/A</v>
      </c>
      <c r="DD297" s="144" t="e">
        <f t="shared" ca="1" si="1154"/>
        <v>#N/A</v>
      </c>
      <c r="DE297" s="143" t="e">
        <f t="shared" ca="1" si="1070"/>
        <v>#N/A</v>
      </c>
      <c r="DF297" s="145" t="e">
        <f ca="1">$DR297*EXP(-Control!$C$158*(1-$KH297))</f>
        <v>#N/A</v>
      </c>
      <c r="DG297" s="146" t="e">
        <f ca="1">IF(Control!$C$114=1, $DF297*$EY297, 0)</f>
        <v>#N/A</v>
      </c>
      <c r="DH297" s="147" t="e">
        <f t="shared" ca="1" si="1071"/>
        <v>#N/A</v>
      </c>
      <c r="DI297" s="144" t="e">
        <f t="shared" ca="1" si="1132"/>
        <v>#N/A</v>
      </c>
      <c r="DJ297" s="147" t="e">
        <f ca="1">$EF297*Control!$C$109</f>
        <v>#N/A</v>
      </c>
      <c r="DK297" s="144" t="e">
        <f t="shared" ca="1" si="1072"/>
        <v>#N/A</v>
      </c>
      <c r="DL297" s="144" t="e">
        <f t="shared" ca="1" si="950"/>
        <v>#N/A</v>
      </c>
      <c r="DM297" s="144" t="e">
        <f ca="1">IF(Control!$C$114=1, (1-EXP(-Control!$C$96*$DK297))*$AR297, 0)</f>
        <v>#N/A</v>
      </c>
      <c r="DN297" s="144">
        <f t="shared" ca="1" si="1073"/>
        <v>0</v>
      </c>
      <c r="DO297" s="148">
        <f>Control!$C$97</f>
        <v>4</v>
      </c>
      <c r="DP297" s="145" t="e">
        <f t="shared" ca="1" si="1074"/>
        <v>#N/A</v>
      </c>
      <c r="DQ297" s="145" t="e">
        <f ca="1">IF(AND($CP297&gt;=0,$CP297&lt;=90),Control!$C$111,Control!$C$111)</f>
        <v>#N/A</v>
      </c>
      <c r="DR297" s="145" t="e">
        <f t="shared" ca="1" si="951"/>
        <v>#N/A</v>
      </c>
      <c r="DS297" s="143" t="e">
        <f ca="1">Control!$B$22/$DR297</f>
        <v>#N/A</v>
      </c>
      <c r="DT297" s="149" t="e">
        <f ca="1">IF(AND(Control!$C$114=1,$KH297&lt;1),$IM297*$DF297, 0)</f>
        <v>#N/A</v>
      </c>
      <c r="DU297" s="144" t="e">
        <f t="shared" ca="1" si="1075"/>
        <v>#N/A</v>
      </c>
      <c r="DV297" s="144">
        <f ca="1">IF($G297-Control!$C$107&lt;=0, 0, 0.83*LN(MAX($G297, 3))-0.8924)</f>
        <v>0</v>
      </c>
      <c r="DW297" s="144" t="e">
        <f t="shared" ca="1" si="952"/>
        <v>#N/A</v>
      </c>
      <c r="DX297" s="150" t="e">
        <f ca="1">MAX(0.01*(1+$CU297/Control!$C$102),0.05*($DK297-Control!$C$97)/Control!$C$97)</f>
        <v>#N/A</v>
      </c>
      <c r="DY297" s="151" t="e">
        <f ca="1">IF(Control!$C$114=1, $DI297*$FS297, 0)</f>
        <v>#N/A</v>
      </c>
      <c r="DZ297" s="196" t="e">
        <f t="shared" ca="1" si="1076"/>
        <v>#N/A</v>
      </c>
      <c r="EA297" s="152">
        <f t="shared" ca="1" si="1077"/>
        <v>293</v>
      </c>
      <c r="EB297" s="153" t="e">
        <f t="shared" ca="1" si="1078"/>
        <v>#N/A</v>
      </c>
      <c r="EC297" s="153" t="e">
        <f t="shared" ca="1" si="1079"/>
        <v>#N/A</v>
      </c>
      <c r="ED297" s="154" t="e">
        <f ca="1">IF(Control!$C$114=1, $HM297*$FY297-$FD297, 0)</f>
        <v>#DIV/0!</v>
      </c>
      <c r="EE297" s="155" t="e">
        <f ca="1">IF(Control!$C$114=1, $HM297*$FZ297-$FF297, 0)</f>
        <v>#DIV/0!</v>
      </c>
      <c r="EF297" s="153" t="e">
        <f t="shared" ca="1" si="1133"/>
        <v>#N/A</v>
      </c>
      <c r="EG297" s="155" t="e">
        <f ca="1">IF(Control!$C$114=1, $GX297*$FW297-$FI297, 0)</f>
        <v>#DIV/0!</v>
      </c>
      <c r="EH297" s="153" t="e">
        <f t="shared" ca="1" si="1080"/>
        <v>#N/A</v>
      </c>
      <c r="EI297" s="156" t="e">
        <f t="shared" ca="1" si="1081"/>
        <v>#N/A</v>
      </c>
      <c r="EJ297" s="155" t="e">
        <f ca="1">IF(Control!$C$114=1, $HM297*$GB297, 0)</f>
        <v>#DIV/0!</v>
      </c>
      <c r="EK297" s="153" t="e">
        <f t="shared" ca="1" si="1134"/>
        <v>#N/A</v>
      </c>
      <c r="EL297" s="153" t="e">
        <f t="shared" ca="1" si="953"/>
        <v>#N/A</v>
      </c>
      <c r="EM297" s="153" t="e">
        <f t="shared" ca="1" si="954"/>
        <v>#N/A</v>
      </c>
      <c r="EN297" s="153" t="e">
        <f ca="1">IF(Control!$C$108=1,IF(AND(Control!$B$18=1,$EB297&gt;=Control!$B$19),$EB297-$DS297,IF(AND(Control!$B$18=2,$AW297=1,$EB297&gt;$DS297),$EB297-$DS297,0)))</f>
        <v>#N/A</v>
      </c>
      <c r="EO297" s="153" t="e">
        <f ca="1">IF(Control!$C$108=1,IF(AND(Control!$B$18=1,$EB297&gt;=Control!$B$19),$EF297,IF(AND(Control!$B$18=2,$AW297=1),$EF297,0)))</f>
        <v>#N/A</v>
      </c>
      <c r="EP297" s="153" t="e">
        <f ca="1">IF(Control!$C$108=1,IF(AND(Control!$B$18=1,$EB297&gt;=Control!$B$19),$EK297,IF(AND(Control!$B$18=2,$AW297=1),$EK297,0)))</f>
        <v>#N/A</v>
      </c>
      <c r="EQ297" s="153" t="e">
        <f t="shared" ca="1" si="1082"/>
        <v>#N/A</v>
      </c>
      <c r="ER297" s="153" t="e">
        <f t="shared" ca="1" si="1083"/>
        <v>#N/A</v>
      </c>
      <c r="ES297" s="153" t="e">
        <f t="shared" ca="1" si="1135"/>
        <v>#N/A</v>
      </c>
      <c r="ET297" s="153" t="e">
        <f t="shared" ca="1" si="1136"/>
        <v>#N/A</v>
      </c>
      <c r="EU297" s="153" t="e">
        <f t="shared" ca="1" si="1084"/>
        <v>#N/A</v>
      </c>
      <c r="EV297" s="153" t="e">
        <f t="shared" ca="1" si="955"/>
        <v>#N/A</v>
      </c>
      <c r="EW297" s="153" t="e">
        <f t="shared" ca="1" si="956"/>
        <v>#N/A</v>
      </c>
      <c r="EX297" s="153" t="e">
        <f t="shared" ca="1" si="957"/>
        <v>#N/A</v>
      </c>
      <c r="EY297" s="157" t="e">
        <f t="shared" ca="1" si="958"/>
        <v>#DIV/0!</v>
      </c>
      <c r="EZ297" s="154" t="e">
        <f t="shared" ca="1" si="959"/>
        <v>#DIV/0!</v>
      </c>
      <c r="FA297" s="153" t="e">
        <f t="shared" ca="1" si="1085"/>
        <v>#N/A</v>
      </c>
      <c r="FB297" s="153" t="e">
        <f t="shared" ca="1" si="960"/>
        <v>#N/A</v>
      </c>
      <c r="FC297" s="193" t="e">
        <f t="shared" ca="1" si="961"/>
        <v>#N/A</v>
      </c>
      <c r="FD297" s="158" t="e">
        <f t="shared" ca="1" si="1086"/>
        <v>#N/A</v>
      </c>
      <c r="FE297" s="158" t="e">
        <f t="shared" ca="1" si="1087"/>
        <v>#N/A</v>
      </c>
      <c r="FF297" s="159" t="e">
        <f t="shared" ca="1" si="962"/>
        <v>#N/A</v>
      </c>
      <c r="FG297" s="160" t="e">
        <f t="shared" ca="1" si="1088"/>
        <v>#N/A</v>
      </c>
      <c r="FH297" s="158" t="e">
        <f t="shared" ca="1" si="1089"/>
        <v>#N/A</v>
      </c>
      <c r="FI297" s="159" t="e">
        <f t="shared" ca="1" si="963"/>
        <v>#N/A</v>
      </c>
      <c r="FJ297" s="160" t="e">
        <f t="shared" ca="1" si="1090"/>
        <v>#N/A</v>
      </c>
      <c r="FK297" s="160" t="e">
        <f t="shared" ca="1" si="964"/>
        <v>#N/A</v>
      </c>
      <c r="FL297" s="160" t="e">
        <f t="shared" ca="1" si="1137"/>
        <v>#N/A</v>
      </c>
      <c r="FM297" s="160" t="e">
        <f t="shared" ca="1" si="965"/>
        <v>#N/A</v>
      </c>
      <c r="FN297" s="158">
        <f t="shared" ca="1" si="1091"/>
        <v>0.01</v>
      </c>
      <c r="FO297" s="160">
        <f>Control!$C$101</f>
        <v>50</v>
      </c>
      <c r="FP297" s="150" t="e">
        <f t="shared" ca="1" si="966"/>
        <v>#N/A</v>
      </c>
      <c r="FQ297" s="150" t="e">
        <f ca="1">MAX(0,(Control!$C$112*(($DK297-Control!$C$97)/Control!$C$97)))</f>
        <v>#N/A</v>
      </c>
      <c r="FR297" s="150" t="e">
        <f ca="1">(1-$NT297)*Control!$C$113</f>
        <v>#DIV/0!</v>
      </c>
      <c r="FS297" s="198" t="e">
        <f t="shared" ca="1" si="967"/>
        <v>#N/A</v>
      </c>
      <c r="FT297" s="161">
        <f t="shared" ca="1" si="1092"/>
        <v>293</v>
      </c>
      <c r="FU297" s="162" t="e">
        <f ca="1">IF(Control!$B$34=1,VLOOKUP($CP297,Control!$B$86:$G$91,6),Control!$B$35)</f>
        <v>#N/A</v>
      </c>
      <c r="FV297" s="162" t="e">
        <f t="shared" ca="1" si="968"/>
        <v>#DIV/0!</v>
      </c>
      <c r="FW297" s="162" t="e">
        <f ca="1">IF(Control!$B$31=1,$FU297*$FV297,  $FU297)</f>
        <v>#N/A</v>
      </c>
      <c r="FX297" s="162" t="e">
        <f ca="1">IF(Control!$B$34=1,VLOOKUP($CP297,Control!$B$86:$G$91,3),Control!$B$36)</f>
        <v>#N/A</v>
      </c>
      <c r="FY297" s="162" t="e">
        <f t="shared" ca="1" si="969"/>
        <v>#N/A</v>
      </c>
      <c r="FZ297" s="162" t="e">
        <f ca="1">IF(Control!$B$34=1,VLOOKUP($CP297,Control!$B$86:$G$91,4),Control!$B$37)</f>
        <v>#N/A</v>
      </c>
      <c r="GA297" s="162" t="e">
        <f t="shared" ca="1" si="970"/>
        <v>#N/A</v>
      </c>
      <c r="GB297" s="162" t="e">
        <f ca="1">IF(Control!$B$34=1,VLOOKUP($CP297,Control!$B$86:$G$91,5),Control!$B$38)</f>
        <v>#N/A</v>
      </c>
      <c r="GC297" s="162" t="e">
        <f t="shared" ca="1" si="1093"/>
        <v>#N/A</v>
      </c>
      <c r="GD297" s="162">
        <f t="shared" ca="1" si="971"/>
        <v>1</v>
      </c>
      <c r="GE297" s="162">
        <f t="shared" ca="1" si="972"/>
        <v>1</v>
      </c>
      <c r="GF297" s="162">
        <f ca="1">IF(AND(Control!$C$104=1, Control!$C$62="F"),$GE297,1)</f>
        <v>1</v>
      </c>
      <c r="GG297" s="162" t="e">
        <f ca="1">IF(Control!$B$16=40,0,IF(AND(Control!$B$16&gt;40,Control!$B$16&lt;=360),(Control!$B$16-40)*((1-0)/(360-40)),IF(AND(Control!$B$16&gt;360,Control!$B$16&lt;=720),(1+(Control!$B$16-360)*((1.25-1)/(720-360))),IF(AND(Control!$B$16&gt;720,Control!$B$16&lt;=1000),(1.25+(Control!$B$16-720)*((1.35-1.25)/(1000-720))),IF(AND(Control!$B$16&gt;1000,Control!$B$16&lt;=2000),(1.35+(Control!$B$16-1000)*0))))))</f>
        <v>#N/A</v>
      </c>
      <c r="GH297" s="162" t="e">
        <f t="shared" ca="1" si="973"/>
        <v>#N/A</v>
      </c>
      <c r="GI297" s="162">
        <f t="shared" ca="1" si="1094"/>
        <v>0</v>
      </c>
      <c r="GJ297" s="162">
        <f t="shared" ca="1" si="974"/>
        <v>0</v>
      </c>
      <c r="GK297" s="162">
        <f t="shared" ca="1" si="1095"/>
        <v>1</v>
      </c>
      <c r="GL297" s="162">
        <f t="shared" ca="1" si="975"/>
        <v>1</v>
      </c>
      <c r="GM297" s="162" t="e">
        <f ca="1">MAX(0,MIN(1,1-Control!$C$156*(1.0001-$KH297)^2))</f>
        <v>#N/A</v>
      </c>
      <c r="GN297" s="162" t="e">
        <f ca="1">IF(Control!$B$26=1,$KU297,$KX297)</f>
        <v>#N/A</v>
      </c>
      <c r="GO297" s="162" t="e">
        <f ca="1">IF($CP297&lt;=60,Control!$C$105,IF($CP297&gt;=90,Control!$C$106,Control!$C$105+($CP297-60)*((Control!$C$106-Control!$C$105)/(90-60))))</f>
        <v>#N/A</v>
      </c>
      <c r="GP297" s="162" t="e">
        <f t="shared" ca="1" si="976"/>
        <v>#N/A</v>
      </c>
      <c r="GQ297" s="162" t="e">
        <f t="shared" ca="1" si="1096"/>
        <v>#N/A</v>
      </c>
      <c r="GR297" s="163" t="e">
        <f t="shared" ca="1" si="977"/>
        <v>#DIV/0!</v>
      </c>
      <c r="GS297" s="162" t="e">
        <f t="shared" ca="1" si="978"/>
        <v>#DIV/0!</v>
      </c>
      <c r="GT297" s="164" t="e">
        <f t="shared" ca="1" si="1097"/>
        <v>#N/A</v>
      </c>
      <c r="GU297" s="162" t="e">
        <f t="shared" ca="1" si="1098"/>
        <v>#N/A</v>
      </c>
      <c r="GV297" s="162" t="e">
        <f t="shared" ca="1" si="979"/>
        <v>#N/A</v>
      </c>
      <c r="GW297" s="162" t="e">
        <f t="shared" ca="1" si="980"/>
        <v>#DIV/0!</v>
      </c>
      <c r="GX297" s="162" t="e">
        <f t="shared" ca="1" si="1099"/>
        <v>#DIV/0!</v>
      </c>
      <c r="GY297" s="162" t="e">
        <f t="shared" ca="1" si="1100"/>
        <v>#DIV/0!</v>
      </c>
      <c r="GZ297" s="165" t="e">
        <f t="shared" ca="1" si="981"/>
        <v>#N/A</v>
      </c>
      <c r="HA297" s="162" t="e">
        <f ca="1">IF(Control!$C$114=1, $DI297*$FS297, 0)</f>
        <v>#N/A</v>
      </c>
      <c r="HB297" s="162" t="e">
        <f ca="1">$FA297/Control!$C$64</f>
        <v>#N/A</v>
      </c>
      <c r="HC297" s="162" t="e">
        <f t="shared" ca="1" si="982"/>
        <v>#DIV/0!</v>
      </c>
      <c r="HD297" s="162">
        <f ca="1">-ASIN(SIN(23.45*Control!$C$139)*COS(2*Control!$C$138*($AH297+10)/365))</f>
        <v>-0.19321796861338864</v>
      </c>
      <c r="HE297" s="165">
        <f t="shared" ca="1" si="1101"/>
        <v>0</v>
      </c>
      <c r="HF297" s="166">
        <f ca="1">IF(AND(Control!$C$61="T",$HE297&gt;=Control!$C$103,Control!$C$114=0),$AH297,Control!$C$59)</f>
        <v>1</v>
      </c>
      <c r="HG297" s="166">
        <f ca="1">IF(AND(Control!$C$61="T",$HE297&gt;=Control!$C$103,Control!$C$114=0),$HF297,Control!$C$59)</f>
        <v>1</v>
      </c>
      <c r="HH297" s="165">
        <f ca="1">IF(AND(OR(Control!$C$60&lt;=0, $AH297= Control!$C$59, Control!$C$60 &gt;0, $AH297 = Control!$C$60)), Control!$C$59, IF(Control!$C$60&gt;0, 0))</f>
        <v>1</v>
      </c>
      <c r="HI297" s="165">
        <f ca="1">IF(AND(OR(Control!$C$60&lt;=0, $AH297= Control!$C$59, Control!$C$60 &gt;0, $AH297 = Control!$C$60)), Control!$C$60, IF(Control!$C$60&lt;=0, 0))</f>
        <v>0</v>
      </c>
      <c r="HJ297" s="166">
        <f ca="1">IF(AND(Control!$C$62="F",$CV297&gt;=Control!$C$102),$AH297,0)</f>
        <v>0</v>
      </c>
      <c r="HK297" s="165" t="e">
        <f t="shared" ca="1" si="1138"/>
        <v>#N/A</v>
      </c>
      <c r="HL297" s="166">
        <f ca="1">IF(AND(Control!$C$61="T",$HE297&gt;=Control!$C$103,Control!$C$114=0),$HF297,0)</f>
        <v>0</v>
      </c>
      <c r="HM297" s="201" t="e">
        <f t="shared" ca="1" si="983"/>
        <v>#DIV/0!</v>
      </c>
      <c r="HN297" s="215">
        <f t="shared" ca="1" si="1102"/>
        <v>293</v>
      </c>
      <c r="HO297" s="216" t="e">
        <f ca="1">IF(AND($CP297&gt;=0, $CP297&lt;=90), Control!$C$152, Control!$C$152)</f>
        <v>#N/A</v>
      </c>
      <c r="HP297" s="216" t="e">
        <f t="shared" ca="1" si="984"/>
        <v>#N/A</v>
      </c>
      <c r="HQ297" s="217" t="e">
        <f ca="1">IF(OR(Control!$B$26=1,Control!$B$26=2),$KV297,$KS297)</f>
        <v>#DIV/0!</v>
      </c>
      <c r="HR297" s="218" t="e">
        <f t="shared" ca="1" si="1139"/>
        <v>#DIV/0!</v>
      </c>
      <c r="HS297" s="216" t="e">
        <f ca="1">Control!$C$154*$HP297</f>
        <v>#N/A</v>
      </c>
      <c r="HT297" s="216" t="e">
        <f ca="1">Control!$C$155*$HP297</f>
        <v>#N/A</v>
      </c>
      <c r="HU297" s="217" t="e">
        <f ca="1">Control!$C$161*$FI297</f>
        <v>#N/A</v>
      </c>
      <c r="HV297" s="218" t="e">
        <f t="shared" ca="1" si="1103"/>
        <v>#N/A</v>
      </c>
      <c r="HW297" s="218" t="e">
        <f ca="1">Control!$C$160*$FF297+$IP297*$EO297</f>
        <v>#N/A</v>
      </c>
      <c r="HX297" s="218" t="e">
        <f t="shared" ca="1" si="1140"/>
        <v>#N/A</v>
      </c>
      <c r="HY297" s="219" t="e">
        <f ca="1">IF(Control!$C$114=1, $EB297*$FS297, 0)</f>
        <v>#N/A</v>
      </c>
      <c r="HZ297" s="91" t="e">
        <f t="shared" ca="1" si="985"/>
        <v>#N/A</v>
      </c>
      <c r="IA297" s="220" t="e">
        <f ca="1">Control!$C$153*$HO297</f>
        <v>#N/A</v>
      </c>
      <c r="IB297" s="218" t="e">
        <f t="shared" ca="1" si="986"/>
        <v>#N/A</v>
      </c>
      <c r="IC297" s="220" t="e">
        <f ca="1">Control!$C$153*$HT297</f>
        <v>#N/A</v>
      </c>
      <c r="ID297" s="218" t="e">
        <f t="shared" ca="1" si="987"/>
        <v>#N/A</v>
      </c>
      <c r="IE297" s="221" t="e">
        <f ca="1">($EB297*Control!$C$159+$EF297*Control!$C$160)/(IF($GZ297&lt;&gt;0,$GZ297,1))</f>
        <v>#N/A</v>
      </c>
      <c r="IF297" s="216" t="e">
        <f t="shared" ca="1" si="988"/>
        <v>#N/A</v>
      </c>
      <c r="IG297" s="91">
        <f ca="1">IF(OR(Control!$B$198=$AH297,Control!$B$199=$AH297, Control!$B$200=$AH297, Control!$B$201=$AH297, Control!$B$202=$AH297, Control!$B$203=$AH297, Control!$B$204=$AH297, Control!$B$205=$AH297, Control!$B$206=$AH297, Control!$B$207=$AH297), 1, 0)</f>
        <v>0</v>
      </c>
      <c r="IH297" s="91">
        <f ca="1">IF($IG297=0,0, VLOOKUP($AH297,Control!$B$198:$C$207,2))</f>
        <v>0</v>
      </c>
      <c r="II297" s="222">
        <f t="shared" ca="1" si="1104"/>
        <v>0</v>
      </c>
      <c r="IJ297" s="91">
        <f>Control!$C$121</f>
        <v>0.7</v>
      </c>
      <c r="IK297" s="218">
        <f t="shared" ca="1" si="989"/>
        <v>0</v>
      </c>
      <c r="IL297" s="217" t="e">
        <f t="shared" ca="1" si="1141"/>
        <v>#N/A</v>
      </c>
      <c r="IM297" s="223" t="e">
        <f ca="1">IF(AND(Control!$C$114=1,$KH297&lt;1),$EB297*Control!$C$148*(1-$KH297), 0)</f>
        <v>#N/A</v>
      </c>
      <c r="IN297" s="217" t="e">
        <f t="shared" ca="1" si="990"/>
        <v>#DIV/0!</v>
      </c>
      <c r="IO297" s="91" t="e">
        <f ca="1">MAX(0,$IL297-$EF297*Control!$C$160)</f>
        <v>#N/A</v>
      </c>
      <c r="IP297" s="220" t="e">
        <f t="shared" ca="1" si="991"/>
        <v>#N/A</v>
      </c>
      <c r="IQ297" s="217" t="e">
        <f t="shared" ca="1" si="1105"/>
        <v>#N/A</v>
      </c>
      <c r="IR297" s="218" t="e">
        <f t="shared" ca="1" si="992"/>
        <v>#N/A</v>
      </c>
      <c r="IS297" s="217" t="e">
        <f ca="1">Control!$C$159*MAX(0,$FD297-$EN297)</f>
        <v>#N/A</v>
      </c>
      <c r="IT297" s="217" t="e">
        <f t="shared" ca="1" si="1142"/>
        <v>#N/A</v>
      </c>
      <c r="IU297" s="217" t="e">
        <f t="shared" ca="1" si="1106"/>
        <v>#N/A</v>
      </c>
      <c r="IV297" s="217" t="e">
        <f t="shared" ca="1" si="1143"/>
        <v>#N/A</v>
      </c>
      <c r="IW297" s="217" t="e">
        <f ca="1">IF(OR($AW297=1,AND($AW297=0, Control!$B$18=1,$EN297&lt;&gt;0)), $IQ297-$IU297, $IQ297)</f>
        <v>#N/A</v>
      </c>
      <c r="IX297" s="218" t="e">
        <f t="shared" ca="1" si="993"/>
        <v>#N/A</v>
      </c>
      <c r="IY297" s="218" t="e">
        <f ca="1">MAX(0,$IQ297-$EB297*Control!$C$159)</f>
        <v>#N/A</v>
      </c>
      <c r="IZ297" s="218" t="e">
        <f t="shared" ca="1" si="994"/>
        <v>#N/A</v>
      </c>
      <c r="JA297" s="216" t="e">
        <f t="shared" ca="1" si="995"/>
        <v>#N/A</v>
      </c>
      <c r="JB297" s="217" t="e">
        <f t="shared" ca="1" si="996"/>
        <v>#N/A</v>
      </c>
      <c r="JC297" s="222" t="e">
        <f ca="1">MAX(Control!$C$157*$EK297-$JT297, 0)/Control!$C$162</f>
        <v>#N/A</v>
      </c>
      <c r="JD297" s="218" t="e">
        <f t="shared" ca="1" si="997"/>
        <v>#N/A</v>
      </c>
      <c r="JE297" s="218" t="e">
        <f t="shared" ca="1" si="998"/>
        <v>#N/A</v>
      </c>
      <c r="JF297" s="218" t="e">
        <f t="shared" ca="1" si="1107"/>
        <v>#N/A</v>
      </c>
      <c r="JG297" s="218" t="e">
        <f t="shared" ca="1" si="999"/>
        <v>#N/A</v>
      </c>
      <c r="JH297" s="217" t="e">
        <f t="shared" ca="1" si="1108"/>
        <v>#N/A</v>
      </c>
      <c r="JI297" s="217" t="e">
        <f t="shared" ca="1" si="1109"/>
        <v>#N/A</v>
      </c>
      <c r="JJ297" s="217" t="e">
        <f t="shared" ca="1" si="1144"/>
        <v>#N/A</v>
      </c>
      <c r="JK297" s="217" t="e">
        <f ca="1">IF(Control!$C$114=1,IF(Control!$B$24=0,MAX(0,$JI297)*$GN297/Control!$C$64,(MAX(0,MIN($JI297,$JJ297*$GN297/Control!$C$64),0))))</f>
        <v>#N/A</v>
      </c>
      <c r="JL297" s="217" t="e">
        <f ca="1">$IK297/Control!$C$64-$JK297+$HQ297</f>
        <v>#N/A</v>
      </c>
      <c r="JM297" s="217" t="e">
        <f ca="1">IF(Control!$C$114=1,($JB297/(IF($JI297&lt;&gt;0,$JI297,1)))*$JK297,0)</f>
        <v>#N/A</v>
      </c>
      <c r="JN297" s="217" t="e">
        <f ca="1">IF(Control!$C$114=1,($JG297/(IF($JI297&lt;&gt;0,$JI297,1)))*$JK297, 0)</f>
        <v>#N/A</v>
      </c>
      <c r="JO297" s="218" t="e">
        <f t="shared" ca="1" si="1000"/>
        <v>#N/A</v>
      </c>
      <c r="JP297" s="218" t="e">
        <f ca="1">MIN(($IY297+$IO297)*Control!$C$151, $JF297-$EH297*Control!$C$161)</f>
        <v>#N/A</v>
      </c>
      <c r="JQ297" s="218" t="e">
        <f t="shared" ca="1" si="1001"/>
        <v>#N/A</v>
      </c>
      <c r="JR297" s="217" t="e">
        <f ca="1">IF($CP297-Control!$C$150&lt;0, 0, $JQ297/Control!$C$162)</f>
        <v>#N/A</v>
      </c>
      <c r="JS297" s="218" t="e">
        <f t="shared" ca="1" si="1002"/>
        <v>#N/A</v>
      </c>
      <c r="JT297" s="218" t="e">
        <f t="shared" ca="1" si="1110"/>
        <v>#N/A</v>
      </c>
      <c r="JU297" s="218" t="e">
        <f t="shared" ca="1" si="1003"/>
        <v>#N/A</v>
      </c>
      <c r="JV297" s="218" t="e">
        <f t="shared" ca="1" si="1004"/>
        <v>#N/A</v>
      </c>
      <c r="JW297" s="216" t="e">
        <f t="shared" ca="1" si="1005"/>
        <v>#N/A</v>
      </c>
      <c r="JX297" s="91" t="e">
        <f t="shared" ca="1" si="1006"/>
        <v>#N/A</v>
      </c>
      <c r="JY297" s="218" t="e">
        <f t="shared" ca="1" si="1007"/>
        <v>#N/A</v>
      </c>
      <c r="JZ297" s="217" t="e">
        <f ca="1">IF(Control!$C$114=1,($IZ297/(IF($JI297&lt;&gt;0,$JI297,1)))*$JK297, 0)</f>
        <v>#N/A</v>
      </c>
      <c r="KA297" s="218" t="e">
        <f t="shared" ca="1" si="1145"/>
        <v>#N/A</v>
      </c>
      <c r="KB297" s="218" t="e">
        <f t="shared" ca="1" si="1111"/>
        <v>#N/A</v>
      </c>
      <c r="KC297" s="218" t="e">
        <f t="shared" ca="1" si="1008"/>
        <v>#N/A</v>
      </c>
      <c r="KD297" s="218" t="e">
        <f t="shared" ca="1" si="1009"/>
        <v>#N/A</v>
      </c>
      <c r="KE297" s="218" t="e">
        <f t="shared" ca="1" si="1010"/>
        <v>#N/A</v>
      </c>
      <c r="KF297" s="218" t="e">
        <f t="shared" ca="1" si="1011"/>
        <v>#N/A</v>
      </c>
      <c r="KG297" s="216" t="e">
        <f t="shared" ca="1" si="1012"/>
        <v>#N/A</v>
      </c>
      <c r="KH297" s="221" t="e">
        <f ca="1">IF(Control!$B$24=0,1,MAX(0.001,MIN(1,IF(($IF297-$IE297)&lt;&gt;0,($KG297-$IE297)/($IF297-$IE297),1))))</f>
        <v>#N/A</v>
      </c>
      <c r="KI297" s="222" t="e">
        <f ca="1">IF(Control!$C$114=1, $KI296+ $KH296, 0)</f>
        <v>#N/A</v>
      </c>
      <c r="KJ297" s="217" t="e">
        <f t="shared" ca="1" si="1013"/>
        <v>#N/A</v>
      </c>
      <c r="KK297" s="218" t="e">
        <f t="shared" ca="1" si="1014"/>
        <v>#N/A</v>
      </c>
      <c r="KL297" s="274" t="e">
        <f ca="1">IF(Control!$B$26=3,4000000000*EXP(-8400/($G297+273)),IF(Control!$B$26=4,4000000000*EXP(-8400/($G297+273))*($KT297),0))</f>
        <v>#DIV/0!</v>
      </c>
      <c r="KM297" s="274" t="e">
        <f ca="1">IF(Control!$B$26=3,5600000000000*EXP(-9800/($G297+273)),IF(Control!$B$26=4,5600000000000*EXP(-9800/($G297+273))*$KT297,0))</f>
        <v>#DIV/0!</v>
      </c>
      <c r="KN297" s="454" t="e">
        <f t="shared" ca="1" si="1112"/>
        <v>#DIV/0!</v>
      </c>
      <c r="KO297" s="274" t="e">
        <f t="shared" ca="1" si="1113"/>
        <v>#DIV/0!</v>
      </c>
      <c r="KP297" s="454" t="e">
        <f t="shared" ca="1" si="1015"/>
        <v>#DIV/0!</v>
      </c>
      <c r="KQ297" s="454" t="e">
        <f t="shared" ca="1" si="1016"/>
        <v>#DIV/0!</v>
      </c>
      <c r="KR297" s="454" t="e">
        <f t="shared" ca="1" si="1017"/>
        <v>#DIV/0!</v>
      </c>
      <c r="KS297" s="454" t="e">
        <f t="shared" ca="1" si="1018"/>
        <v>#DIV/0!</v>
      </c>
      <c r="KT297" s="455" t="e">
        <f t="shared" ca="1" si="1019"/>
        <v>#DIV/0!</v>
      </c>
      <c r="KU297" s="456" t="e">
        <f ca="1">IF($CP297-Control!$C$149&lt;0, IF($NT297-0.01&lt;0,0,1),0)</f>
        <v>#N/A</v>
      </c>
      <c r="KV297" s="456" t="e">
        <f ca="1">IF(Control!$C$114=1,MAX(0,MIN(Control!$C$125*$KW297*$GN297,$KW297)))</f>
        <v>#DIV/0!</v>
      </c>
      <c r="KW297" s="456" t="e">
        <f t="shared" ca="1" si="1146"/>
        <v>#DIV/0!</v>
      </c>
      <c r="KX297" s="457" t="e">
        <f ca="1">IF($CP297-Control!$C$149&lt;0, IF($MR297-$OM297&lt;0,0,1),0)</f>
        <v>#N/A</v>
      </c>
      <c r="KY297" s="167">
        <f t="shared" ca="1" si="1114"/>
        <v>293</v>
      </c>
      <c r="KZ297" s="168">
        <f ca="1">1370*(1+0.033*COS(2*Control!$C$138*$AH297/365))</f>
        <v>1384.7092198690025</v>
      </c>
      <c r="LA297" s="169">
        <f t="shared" ca="1" si="1115"/>
        <v>1.0107362887954954</v>
      </c>
      <c r="LB297" s="169">
        <f t="shared" ca="1" si="1116"/>
        <v>-0.20043853835278497</v>
      </c>
      <c r="LC297" s="169">
        <f ca="1">ACOS(-TAN((2*Control!$B$8/360))*TAN(Calculations!$LB297))</f>
        <v>1.5103778149133478</v>
      </c>
      <c r="LD297" s="169">
        <f ca="1">((24*60)/PI())*0.082*$LA297*(($LC297*SIN(Control!$B$8*2*PI()/360))*SIN($LB297)+COS(Control!$B$8*2*PI()/360)*COS($LB297)*SIN($LC297))</f>
        <v>13.876376910859932</v>
      </c>
      <c r="LE297" s="170">
        <f t="shared" ca="1" si="1020"/>
        <v>14.669316111830476</v>
      </c>
      <c r="LF297" s="170">
        <f ca="1">SIN(Control!$C$139*Control!$B$8)*SIN($HD297)</f>
        <v>-0.15131247651971039</v>
      </c>
      <c r="LG297" s="170">
        <f ca="1">COS(Control!$C$139*Control!$B$8)*COS($HD297)</f>
        <v>0.60420324188834662</v>
      </c>
      <c r="LH297" s="170">
        <f ca="1">12*(1+2*ASIN(MAX(-1,MIN(1,$LF297/$LG297))/Control!$C$138))</f>
        <v>10.084804681839289</v>
      </c>
      <c r="LI297" s="170">
        <f ca="1">12*(1+2*ASIN(MAX(-1,MIN(1,(-SIN(-4*Control!$C$139)+$LF297)/$LG297))/Control!$C$138))</f>
        <v>10.968507490053307</v>
      </c>
      <c r="LJ297" s="168">
        <f ca="1">3600*($LH297*$LF297+24*$LG297*SQRT(1-$LK297*$LK297)/Control!$C$138)</f>
        <v>10593.788140746428</v>
      </c>
      <c r="LK297" s="170">
        <f t="shared" ca="1" si="1021"/>
        <v>-0.25043307620595667</v>
      </c>
      <c r="LL297" s="170">
        <f t="shared" ca="1" si="1022"/>
        <v>0</v>
      </c>
      <c r="LM297" s="171">
        <f ca="1">Control!$C$145*$AB297</f>
        <v>6.6660906138995932E-2</v>
      </c>
      <c r="LN297" s="170">
        <f t="shared" ca="1" si="1117"/>
        <v>0.54</v>
      </c>
      <c r="LO297" s="170">
        <f t="shared" ca="1" si="1023"/>
        <v>0</v>
      </c>
      <c r="LP297" s="170">
        <f ca="1">Control!$C$140*((($D297+273.16)^4+($E297+273.16)^4)/2)*(0.34-0.14*SQRT($Y297))*(1.35*$AQ297/(0.75*$LD297)-0.35)</f>
        <v>-3.2464704755046001</v>
      </c>
      <c r="LQ297" s="170">
        <f ca="1">Control!$C$140*($G297+273)^4*(0.56-0.079*SQRT($Y297*10))*(0.1+0.9*$LO297)</f>
        <v>1.5241745131704001</v>
      </c>
      <c r="LR297" s="170">
        <f ca="1">$AQ297*(1-Control!$C$142)-$LQ297</f>
        <v>-1.5241745131704001</v>
      </c>
      <c r="LS297" s="170">
        <f ca="1">$AQ297*(1-Control!$C$143)-$LQ297</f>
        <v>-1.5241745131704001</v>
      </c>
      <c r="LT297" s="170">
        <f ca="1">$AQ297*(1-Control!$C$144)-$LQ297</f>
        <v>-1.5241745131704001</v>
      </c>
      <c r="LU297" s="169">
        <f ca="1">(1-Control!$C$144)*AQ297-LP297</f>
        <v>3.2464704755046001</v>
      </c>
      <c r="LV297" s="172">
        <f t="shared" ca="1" si="1024"/>
        <v>0.79430000000000012</v>
      </c>
      <c r="LW297" s="170">
        <f t="shared" ca="1" si="1025"/>
        <v>1.5886000000000002</v>
      </c>
      <c r="LX297" s="170">
        <f ca="1">($AC297*($LR297/Control!$C$141)+$LM297*$LV297)/($AC297+$LM297)</f>
        <v>0.23530094218323697</v>
      </c>
      <c r="LY297" s="170">
        <f ca="1">($AC297*($LS297/Control!$C$141)+$LM297*$LV297)/($AC297+$LM297)</f>
        <v>0.23530094218323697</v>
      </c>
      <c r="LZ297" s="170">
        <f t="shared" ca="1" si="1026"/>
        <v>0.23530094218323697</v>
      </c>
      <c r="MA297" s="170">
        <f t="shared" ca="1" si="1027"/>
        <v>0.23530094218323697</v>
      </c>
      <c r="MB297" s="170" t="e">
        <f t="shared" ca="1" si="1028"/>
        <v>#N/A</v>
      </c>
      <c r="MC297" s="170">
        <f t="shared" ca="1" si="1118"/>
        <v>0.6018</v>
      </c>
      <c r="MD297" s="170">
        <f t="shared" ca="1" si="1029"/>
        <v>0.52989392535414004</v>
      </c>
      <c r="ME297" s="170">
        <f ca="1">($AC297*($LT297/Control!$C$141)+$LM297*$LW297)/($AC297+$LM297)</f>
        <v>0.71612369323045078</v>
      </c>
      <c r="MF297" s="170" t="e">
        <f ca="1">IF(Control!$B$16&gt;=1000,0.92,IF(AND(720&lt;=Control!$B$16,1000&gt;Control!$B$16),(0.95+(Control!$B$16-720)*((0.92-0.95)/(1000-720))),IF(AND(360&lt;=Control!$B$16,720&gt;Control!$B$16),(1+(Control!$B$16-360)*((0.95-1)/(720-360))),IF(AND(40&lt;=Control!$B$16,360&gt;Control!$B$16),(1.05+(Control!$B$16-40)*((1.05-1)/(360-40)))))))</f>
        <v>#N/A</v>
      </c>
      <c r="MG297" s="170">
        <f t="shared" ca="1" si="1030"/>
        <v>0.71612369323045078</v>
      </c>
      <c r="MH297" s="170" t="e">
        <f t="shared" ca="1" si="1156"/>
        <v>#N/A</v>
      </c>
      <c r="MI297" s="170" t="e">
        <f t="shared" ca="1" si="1156"/>
        <v>#N/A</v>
      </c>
      <c r="MJ297" s="170" t="e">
        <f ca="1">MAX(0.0001, Control!$C$132*$MI297*$DL297)</f>
        <v>#N/A</v>
      </c>
      <c r="MK297" s="170">
        <f ca="1">1/(0.76+1.5*($MG297/10))-(5-Control!$C$110)*0.1</f>
        <v>1.002845988140797</v>
      </c>
      <c r="ML297" s="173">
        <f ca="1">IF(Control!$C$110&lt;3,$MK297+($MG297-0.6)/(Control!$C$110*(Control!$C$110+3)), MAX(0.1, MIN(0.95,$MK297)))</f>
        <v>0.95</v>
      </c>
      <c r="MM297" s="173">
        <f ca="1">IF(Control!$C$110&lt;3,$MK297+(($MI297/10)-0.6)/(Control!$C$110*(Control!$C$110+3)), MAX(0.1, MIN(0.95,$MK297)))</f>
        <v>0.95</v>
      </c>
      <c r="MN297" s="173">
        <f ca="1">(1-$MM297)*(Control!$C$128-Control!$C$127)+Control!$C$127</f>
        <v>0.16</v>
      </c>
      <c r="MO297" s="170" t="e">
        <f ca="1">MAX(0,MIN(1,($MS297-Control!$C$127)/($MN297-Control!$C$127)))</f>
        <v>#DIV/0!</v>
      </c>
      <c r="MP297" s="173" t="e">
        <f ca="1">1/(0.76+1.5*$MI297)-(5-Control!$C$110)*0.1</f>
        <v>#N/A</v>
      </c>
      <c r="MQ297" s="172" t="e">
        <f t="shared" ca="1" si="1147"/>
        <v>#DIV/0!</v>
      </c>
      <c r="MR297" s="168" t="e">
        <f t="shared" ca="1" si="1119"/>
        <v>#DIV/0!</v>
      </c>
      <c r="MS297" s="173" t="e">
        <f ca="1">MAX(Control!$C$127, MIN(Control!$C$135, $MR297/MAX(0.0001,$CY297)))</f>
        <v>#DIV/0!</v>
      </c>
      <c r="MT297" s="168" t="e">
        <f ca="1">(Control!$C$128-$MS297)*Control!$C$74</f>
        <v>#DIV/0!</v>
      </c>
      <c r="MU297" s="168" t="e">
        <f ca="1">(Control!$C$135-$MS297)*Control!$C$74</f>
        <v>#DIV/0!</v>
      </c>
      <c r="MV297" s="168" t="e">
        <f t="shared" ca="1" si="1120"/>
        <v>#DIV/0!</v>
      </c>
      <c r="MW297" s="168" t="e">
        <f t="shared" ca="1" si="1121"/>
        <v>#DIV/0!</v>
      </c>
      <c r="MX297" s="171" t="e">
        <f ca="1">MAX(Control!$C$127, MIN(Control!$C$135, $MW297/MAX(0.0001,Control!$C$119-$CY297)))</f>
        <v>#DIV/0!</v>
      </c>
      <c r="MY297" s="54" t="e">
        <f ca="1">IF(Control!$C$114=1, $CX297*$MX297, 0)</f>
        <v>#DIV/0!</v>
      </c>
      <c r="MZ297" s="54" t="e">
        <f t="shared" ca="1" si="1122"/>
        <v>#N/A</v>
      </c>
      <c r="NA297" s="168" t="e">
        <f ca="1">(Control!$C$128-$MX297)*(Control!$C$119-Control!$C$74)</f>
        <v>#DIV/0!</v>
      </c>
      <c r="NB297" s="168" t="e">
        <f ca="1">(Control!$C$135-$MX297)*(Control!$C$119-Control!$C$74)</f>
        <v>#DIV/0!</v>
      </c>
      <c r="NC297" s="174" t="e">
        <f t="shared" ca="1" si="1123"/>
        <v>#DIV/0!</v>
      </c>
      <c r="ND297" s="54">
        <f ca="1">IF(Control!$C$58=2, IF(OR(Control!$B$218=$AH297,Control!$B$219=$AH297, Control!$B$220=$AH297, Control!$B$221=$AH297, Control!$B$222=$AH297, Control!$B$223=$AH297, Control!$B$224=$AH297, Control!$B$225=$AH297, Control!$B$226=$AH297, Control!$B$227=$AH297, Control!$B$228=$AH297), 1, 0), 0)</f>
        <v>0</v>
      </c>
      <c r="NE297" s="54">
        <f ca="1">IF($ND297=0,0, VLOOKUP($AH297,Control!$B$218:$C$228,2))</f>
        <v>0</v>
      </c>
      <c r="NF297" s="168" t="e">
        <f ca="1">$CY297*(Control!$C$128-Control!$C$127)</f>
        <v>#N/A</v>
      </c>
      <c r="NG297" s="54" t="e">
        <f ca="1">IF(Control!$C$58=2, $NI296-$NJ296, 0)</f>
        <v>#DIV/0!</v>
      </c>
      <c r="NH297" s="54" t="e">
        <f ca="1">IF(AND(Control!$C$58=1, $MS296&lt;= ($MN296+0.02), $I296&lt;10), 0, IF(Control!$C$58=2, $NG296, 0))</f>
        <v>#DIV/0!</v>
      </c>
      <c r="NI297" s="54" t="e">
        <f ca="1">IF(Control!$C$58=2, $NE297+$NH297,0)</f>
        <v>#DIV/0!</v>
      </c>
      <c r="NJ297" s="54" t="e">
        <f ca="1">IF(AND(Control!$C$58=1, $MS297&lt;= ($MN297+0.02), $I297&lt;10), MAX(0, MIN(10, 0.7*($NF297-$MV297))), IF(Control!$C$58=2, MIN(10,$NI297),0))</f>
        <v>#DIV/0!</v>
      </c>
      <c r="NK297" s="54" t="e">
        <f t="shared" ca="1" si="1031"/>
        <v>#DIV/0!</v>
      </c>
      <c r="NL297" s="173" t="e">
        <f ca="1">(1-Control!$C$73)*$I297+$NJ297</f>
        <v>#DIV/0!</v>
      </c>
      <c r="NM297" s="172" t="e">
        <f ca="1">IF($NL297&lt;0.5, $MB297* MAX(0, MIN(1, (SQRT($NC297)-SQRT($NC297-1))*Control!$C$71)),0)</f>
        <v>#DIV/0!</v>
      </c>
      <c r="NN297" s="170" t="e">
        <f ca="1">IF($NL297&gt;=5, $MB297, MAX(0,MIN($MB297, $NM297+$NL297,($MS297-Control!$C$129))))</f>
        <v>#DIV/0!</v>
      </c>
      <c r="NO297" s="54">
        <f>IF(Control!$C$133&lt;&gt;1, Control!$C$135-Control!$C$131, 0)</f>
        <v>0.38</v>
      </c>
      <c r="NP297" s="54" t="e">
        <f t="shared" ca="1" si="1032"/>
        <v>#DIV/0!</v>
      </c>
      <c r="NQ297" s="173" t="e">
        <f ca="1">MAX(0,MIN(1,(Control!$C$135-$MS297)/(Control!$C$135-$NO297)))</f>
        <v>#DIV/0!</v>
      </c>
      <c r="NR297" s="170" t="e">
        <f ca="1">IF(Control!$C$133&lt;&gt;1, $NQ297+((1-$NP297/4)*(1-$NQ297)),1)</f>
        <v>#DIV/0!</v>
      </c>
      <c r="NS297" s="170" t="e">
        <f ca="1">IF(Control!$B$31=0,$MJ297,MAX(0,MIN($MV297,$MO297*$NR297*$MJ297)))</f>
        <v>#DIV/0!</v>
      </c>
      <c r="NT297" s="170" t="e">
        <f t="shared" ca="1" si="1148"/>
        <v>#DIV/0!</v>
      </c>
      <c r="NU297" s="170" t="e">
        <f t="shared" ca="1" si="1124"/>
        <v>#N/A</v>
      </c>
      <c r="NV297" s="170" t="e">
        <f t="shared" ca="1" si="1033"/>
        <v>#N/A</v>
      </c>
      <c r="NW297" s="175" t="e">
        <f t="shared" ca="1" si="1034"/>
        <v>#DIV/0!</v>
      </c>
      <c r="NX297" s="170" t="e">
        <f ca="1">MIN(Control!$C$72+$MU297, $NW297)</f>
        <v>#DIV/0!</v>
      </c>
      <c r="NY297" s="170" t="e">
        <f ca="1">IF($MT297&lt;=$NX297,MIN(Control!$C$72+$NB297,$NX297-$MT297),0)</f>
        <v>#DIV/0!</v>
      </c>
      <c r="NZ297" s="54" t="e">
        <f ca="1">IF(Control!$C$114=1,  $CX297*($MX297-Control!$C$127), 0)</f>
        <v>#DIV/0!</v>
      </c>
      <c r="OA297" s="170" t="e">
        <f t="shared" ca="1" si="1035"/>
        <v>#DIV/0!</v>
      </c>
      <c r="OB297" s="170" t="e">
        <f ca="1">IF($NA297 &lt;=$NY297, MIN(Control!$C$72, $NY297-$NA297), 0)</f>
        <v>#DIV/0!</v>
      </c>
      <c r="OC297" s="168" t="e">
        <f t="shared" ca="1" si="1036"/>
        <v>#DIV/0!</v>
      </c>
      <c r="OD297" s="168" t="e">
        <f t="shared" ca="1" si="1125"/>
        <v>#DIV/0!</v>
      </c>
      <c r="OE297" s="170">
        <f ca="1">Control!$C$73*$I297</f>
        <v>0</v>
      </c>
      <c r="OF297" s="176" t="e">
        <f t="shared" ca="1" si="1037"/>
        <v>#DIV/0!</v>
      </c>
      <c r="OG297" s="168" t="e">
        <f t="shared" ca="1" si="1038"/>
        <v>#DIV/0!</v>
      </c>
      <c r="OH297" s="168" t="e">
        <f t="shared" ca="1" si="1039"/>
        <v>#DIV/0!</v>
      </c>
      <c r="OI297" s="168" t="e">
        <f t="shared" ca="1" si="1040"/>
        <v>#DIV/0!</v>
      </c>
      <c r="OJ297" s="168" t="e">
        <f t="shared" ca="1" si="1041"/>
        <v>#DIV/0!</v>
      </c>
      <c r="OK297" s="204" t="e">
        <f t="shared" ca="1" si="1042"/>
        <v>#DIV/0!</v>
      </c>
      <c r="OL297" s="177">
        <f>Control!$C$127</f>
        <v>0.15</v>
      </c>
      <c r="OM297" s="182" t="e">
        <f t="shared" ca="1" si="1043"/>
        <v>#N/A</v>
      </c>
      <c r="ON297" s="177">
        <f>Control!$C$128</f>
        <v>0.35</v>
      </c>
      <c r="OO297" s="182" t="e">
        <f t="shared" ca="1" si="1044"/>
        <v>#N/A</v>
      </c>
      <c r="OP297" s="138">
        <f t="shared" ca="1" si="1126"/>
        <v>0</v>
      </c>
      <c r="OQ297" s="138" t="e">
        <f t="shared" ca="1" si="1149"/>
        <v>#DIV/0!</v>
      </c>
      <c r="OR297" s="138" t="e">
        <f t="shared" ca="1" si="1127"/>
        <v>#DIV/0!</v>
      </c>
      <c r="OS297" s="137" t="e">
        <f t="shared" ca="1" si="1150"/>
        <v>#DIV/0!</v>
      </c>
      <c r="OT297" s="139" t="e">
        <f t="shared" ca="1" si="1151"/>
        <v>#DIV/0!</v>
      </c>
      <c r="OU297" s="138" t="e">
        <f t="shared" ca="1" si="1152"/>
        <v>#N/A</v>
      </c>
      <c r="OV297" s="138" t="e">
        <f t="shared" ca="1" si="1153"/>
        <v>#DIV/0!</v>
      </c>
      <c r="OW297" s="138" t="e">
        <f t="shared" ca="1" si="1128"/>
        <v>#DIV/0!</v>
      </c>
      <c r="OX297" s="138" t="e">
        <f t="shared" ca="1" si="1129"/>
        <v>#DIV/0!</v>
      </c>
      <c r="OY297" s="138" t="e">
        <f t="shared" ca="1" si="1130"/>
        <v>#DIV/0!</v>
      </c>
      <c r="OZ297" s="138" t="e">
        <f t="shared" ca="1" si="1045"/>
        <v>#DIV/0!</v>
      </c>
      <c r="PA297" s="138" t="e">
        <f t="shared" ca="1" si="1046"/>
        <v>#DIV/0!</v>
      </c>
      <c r="PB297" s="55">
        <f>IF(Control!$C$61="T", IF(Control!$C$65="F", IF($AH$6-Control!$C$60&lt;0,0,1), IF(365+$AH$6-Control!$C$60&lt;0,0,1)),0)</f>
        <v>0</v>
      </c>
      <c r="PC297" s="55">
        <f ca="1">IF(Control!$C$65="F", IF($AH$6-$HF297&lt;0,0,1), IF(365+$AH$6-$HF297&lt;0,0,1))</f>
        <v>1</v>
      </c>
      <c r="PD297" s="444">
        <f>Control!$C$118</f>
        <v>1500</v>
      </c>
      <c r="PE297" s="180" t="e">
        <f t="shared" ca="1" si="1047"/>
        <v>#N/A</v>
      </c>
      <c r="PF297" s="445">
        <f t="shared" ca="1" si="1131"/>
        <v>0.71612369323045078</v>
      </c>
      <c r="PT297" s="186"/>
      <c r="PU297" s="186"/>
      <c r="PV297" s="94"/>
      <c r="PW297" s="94"/>
      <c r="PX297" s="94"/>
      <c r="PY297" s="94"/>
      <c r="PZ297" s="94"/>
      <c r="QA297" s="94"/>
      <c r="QB297" s="94"/>
      <c r="QC297" s="94"/>
      <c r="QD297" s="94"/>
      <c r="QE297" s="94"/>
      <c r="QF297" s="94"/>
      <c r="QG297" s="94"/>
      <c r="QH297" s="94"/>
      <c r="QI297" s="94"/>
      <c r="QJ297" s="94"/>
      <c r="QK297" s="94"/>
      <c r="QL297" s="94"/>
      <c r="QM297" s="94"/>
      <c r="QN297" s="94"/>
      <c r="QO297" s="94"/>
      <c r="QP297" s="94"/>
    </row>
    <row r="298" spans="1:458" s="2" customFormat="1" x14ac:dyDescent="0.2">
      <c r="A298" s="395">
        <v>20</v>
      </c>
      <c r="B298" s="396">
        <v>10</v>
      </c>
      <c r="C298" s="387">
        <f ca="1">Weather_data!$B297</f>
        <v>0</v>
      </c>
      <c r="D298" s="388">
        <f ca="1">Weather_data!$F297</f>
        <v>0</v>
      </c>
      <c r="E298" s="388">
        <f ca="1">Weather_data!$E297</f>
        <v>0</v>
      </c>
      <c r="F298" s="388">
        <f t="shared" ca="1" si="1048"/>
        <v>0</v>
      </c>
      <c r="G298" s="388">
        <f ca="1">AVERAGE($D298:$E298)+Control!$B$9</f>
        <v>0</v>
      </c>
      <c r="H298" s="388">
        <f ca="1">Weather_data!$G297</f>
        <v>0</v>
      </c>
      <c r="I298" s="388">
        <f ca="1">Weather_data!$I297</f>
        <v>0</v>
      </c>
      <c r="J298" s="388">
        <f ca="1">Weather_data!$H297</f>
        <v>0</v>
      </c>
      <c r="K298" s="389">
        <f ca="1">Weather_data!$D297</f>
        <v>0</v>
      </c>
      <c r="L298" s="388" t="e">
        <f t="shared" ca="1" si="1049"/>
        <v>#N/A</v>
      </c>
      <c r="M298" s="388" t="e">
        <f t="shared" ca="1" si="927"/>
        <v>#N/A</v>
      </c>
      <c r="N298" s="388">
        <f t="shared" ca="1" si="928"/>
        <v>-2.1766207278421893E-14</v>
      </c>
      <c r="O298" s="388">
        <f t="shared" ca="1" si="1050"/>
        <v>2.1766207278421893E-13</v>
      </c>
      <c r="P298" s="390">
        <v>3</v>
      </c>
      <c r="Q298" s="388">
        <f ca="1">MAX($G298-Control!$C$107,0)</f>
        <v>0</v>
      </c>
      <c r="R298" s="388">
        <f t="shared" ca="1" si="1051"/>
        <v>0</v>
      </c>
      <c r="S298" s="388">
        <f t="shared" ca="1" si="929"/>
        <v>0</v>
      </c>
      <c r="T298" s="388">
        <f t="shared" ca="1" si="930"/>
        <v>0</v>
      </c>
      <c r="U298" s="59">
        <f t="shared" ca="1" si="931"/>
        <v>0</v>
      </c>
      <c r="V298" s="391">
        <f ca="1">MAX(0,MIN(Control!$C$100-Control!$C$99,$G298-Control!$C$99)*Control!$C$63)</f>
        <v>0</v>
      </c>
      <c r="W298" s="388">
        <f t="shared" ca="1" si="1052"/>
        <v>0</v>
      </c>
      <c r="X298" s="388">
        <f t="shared" ca="1" si="1053"/>
        <v>0.6110000000000001</v>
      </c>
      <c r="Y298" s="388">
        <f t="shared" ca="1" si="932"/>
        <v>0</v>
      </c>
      <c r="Z298" s="388">
        <f t="shared" ca="1" si="1054"/>
        <v>0.61058800000000002</v>
      </c>
      <c r="AA298" s="388">
        <f t="shared" ca="1" si="933"/>
        <v>0.6018</v>
      </c>
      <c r="AB298" s="388">
        <f ca="1">101.3*EXP(-0.034*Control!$C$66/($G298+273))</f>
        <v>100.69623283836242</v>
      </c>
      <c r="AC298" s="392">
        <f t="shared" ca="1" si="934"/>
        <v>4.3460251046025113E-2</v>
      </c>
      <c r="AD298" s="392">
        <f t="shared" ca="1" si="935"/>
        <v>4.4450382862832649E-2</v>
      </c>
      <c r="AE298" s="388">
        <f t="shared" ca="1" si="936"/>
        <v>0</v>
      </c>
      <c r="AF298" s="388">
        <f ca="1">MAX(0,$G298-Control!$C$92)</f>
        <v>0</v>
      </c>
      <c r="AG298" s="393">
        <f t="shared" ca="1" si="937"/>
        <v>294</v>
      </c>
      <c r="AH298" s="389">
        <f t="shared" ca="1" si="938"/>
        <v>294</v>
      </c>
      <c r="AI298" s="388">
        <f t="shared" ca="1" si="1055"/>
        <v>-0.19930628234654724</v>
      </c>
      <c r="AJ298" s="388">
        <f ca="1">IF(Control!$C$60&lt;=0,$HH298,$HI298)</f>
        <v>1</v>
      </c>
      <c r="AK298" s="388">
        <f t="shared" ca="1" si="939"/>
        <v>3.6838401527025519</v>
      </c>
      <c r="AL298" s="388">
        <f t="shared" ca="1" si="940"/>
        <v>4.3276458805419078E-18</v>
      </c>
      <c r="AM298" s="388">
        <f t="shared" ca="1" si="941"/>
        <v>3.6838401527025519</v>
      </c>
      <c r="AN298" s="388">
        <f t="shared" ca="1" si="942"/>
        <v>-0.2067596199891491</v>
      </c>
      <c r="AO298" s="388">
        <f ca="1">-0.10453/COS(Control!$B$8*PI()/180)*COS(AN298)</f>
        <v>-0.16616866193422442</v>
      </c>
      <c r="AP298" s="388">
        <f ca="1">ACOS(AO298-TAN(Control!$B$8*PI()/180)*TAN(AN298))</f>
        <v>1.4683087175014611</v>
      </c>
      <c r="AQ298" s="388">
        <f t="shared" ca="1" si="1056"/>
        <v>0</v>
      </c>
      <c r="AR298" s="394">
        <f t="shared" ca="1" si="943"/>
        <v>0</v>
      </c>
      <c r="AS298" s="436">
        <f ca="1">IF(Control!$B$18=2,(IF(OR($AH298=Control!$B$175,$AH298=Control!$B$176,$AH298=Control!$B$177,$AH298=Control!$B$178,$AH298=Control!$B$179,$AH298=Control!$B$180,$AH298=Control!$B$181,$AH298=Control!$B$182,$AH298=Control!$B$183,$AH298=Control!$B$184,$AH298=Control!$B$185),1,0)),0)</f>
        <v>0</v>
      </c>
      <c r="AT298" s="436">
        <f>IF(Control!$B$20=8,IF(AND($AH298&gt;=Control!$B$172,$AH298&lt;=Control!$B$173),1,0),0)</f>
        <v>0</v>
      </c>
      <c r="AU298" s="436">
        <f>IF(Control!$B$20=8,IF($AV297=1,1*$AT298,IF($AT298=1,$AU297+1,$AU297)),0)</f>
        <v>0</v>
      </c>
      <c r="AV298" s="436">
        <f>IF(Control!$B$20=8,IF($AU298&gt;=Control!$B$174,1,0),0)</f>
        <v>0</v>
      </c>
      <c r="AW298" s="436">
        <f ca="1">IF(AND(Control!$B$18=2,Control!$B$171=1), $AV298, $AS298)</f>
        <v>0</v>
      </c>
      <c r="AX298" s="436" t="e">
        <f ca="1">IF(AND(Control!$B$18=1,$EU298&gt;=Control!$B$19),-$AY298,IF(AND(Control!$B$18=2,$AW298=1,$EU298&gt;$DS298),-$AY298, IF(Control!$C$108=0,0, IF(Control!$C$108&lt;&gt;0,1))))</f>
        <v>#N/A</v>
      </c>
      <c r="AY298" s="436" t="e">
        <f t="shared" ca="1" si="1057"/>
        <v>#N/A</v>
      </c>
      <c r="AZ298" s="436" t="e">
        <f ca="1">IF(AND(Control!$B$18=1,$EB298&gt;Control!$B$19),$AZ297+1, IF(AND(Control!$B$18=2, $AW298=1, $EB298&gt;$DS298), $AZ297+1,$AZ297))</f>
        <v>#N/A</v>
      </c>
      <c r="BA298" s="587">
        <f>IF(Control!$C$81=0,1,IF($AH298&gt;=Control!$C$82,1,0))</f>
        <v>1</v>
      </c>
      <c r="BB298" s="140" t="e">
        <f ca="1">IF($BA298&gt;$BA297,Control!$C$83,IF($AW298&gt;0,$AW298*Control!$C$84,IF(AND(Control!$B$18=1,EN297&lt;&gt;0),Control!$C$84,0)))</f>
        <v>#N/A</v>
      </c>
      <c r="BC298" s="140" t="e">
        <f t="shared" ca="1" si="1058"/>
        <v>#N/A</v>
      </c>
      <c r="BD298" s="140" t="e">
        <f ca="1">BC298*IF(OR($G298&lt;Control!$C$92,$G298&gt;Control!$C$95),0,IF(AND($G298&gt;=Control!$C$92,$G298&lt;=Control!$C$93),$G298-Control!$C$92,IF(AND($G298&gt;Control!$C$93,$G298&lt;=Control!$C$94),Control!$C$93-Control!$C$92,IF(AND($G298&gt;Control!$C$94,$G298&lt;=Control!$C$95),(Control!$C$93-Control!$C$92)*(Control!$C$94-$G298)/(Control!$C$95-Control!$C$94)))))</f>
        <v>#N/A</v>
      </c>
      <c r="BE298" s="140" t="e">
        <f t="shared" ca="1" si="1059"/>
        <v>#N/A</v>
      </c>
      <c r="BF298" s="140" t="e">
        <f ca="1">IF($BE298&lt;=Control!$C$86,$BE298,Control!$C$86-$BE298)</f>
        <v>#N/A</v>
      </c>
      <c r="BG298" s="140" t="e">
        <f ca="1">IF(AND($AW298=1,Control!$C$84&lt;9),1,IF($BE298&gt;=Control!$C$86,0,$BC298))</f>
        <v>#N/A</v>
      </c>
      <c r="BH298" s="404" t="e">
        <f ca="1">IF($BG298=0,0,IF($BE298&lt;=Control!$C$86,$BC298*9*($BF298/Control!$C$86),0))</f>
        <v>#N/A</v>
      </c>
      <c r="BI298" s="140" t="e">
        <f ca="1">IF($BG298=1,0,IF($BE298&gt;=Control!$C$86,1,IF(AND($BB298&lt;21,$BB298&gt;=9),1,$BM297)))</f>
        <v>#N/A</v>
      </c>
      <c r="BJ298" s="140" t="e">
        <f ca="1">IF($BF298&lt;0,-$BF298,$BI298*IF(OR($G298&lt;Control!$C$92,$G298&gt;Control!$C$95),0,IF(AND($G298&gt;=Control!$C$92,$G298&lt;=Control!$C$93),$G298-Control!$C$92,IF(AND($G298&gt;Control!$C$93,$G298&lt;=Control!$C$94),Control!$C$93-Control!$C$92,IF(AND($G298&gt;Control!$C$94,$G298&lt;=Control!$C$95),(Control!$C$93-Control!$C$92)*(Control!$C$94-$G298)/(Control!$C$95-Control!$C$94))))))</f>
        <v>#N/A</v>
      </c>
      <c r="BK298" s="140" t="e">
        <f t="shared" ca="1" si="1060"/>
        <v>#N/A</v>
      </c>
      <c r="BL298" s="140" t="e">
        <f ca="1">IF($BK298&lt;=Control!$C$87,$BK298,Control!$C$87-$BK298)</f>
        <v>#N/A</v>
      </c>
      <c r="BM298" s="140" t="e">
        <f ca="1">IF(AND($BB298&gt;=9,$BB298&lt;21),1,IF($BK298&gt;=Control!$C$87,0,$BI298))</f>
        <v>#N/A</v>
      </c>
      <c r="BN298" s="404" t="e">
        <f ca="1">IF($BM298=0,0,IF($BK298&lt;=Control!$C$87,$BI298*(9+(21-9)*($BL298/Control!$C$87)),0))</f>
        <v>#N/A</v>
      </c>
      <c r="BO298" s="140" t="e">
        <f ca="1">IF($BM298=1,0,IF($BK298&gt;=Control!$C$87,1,IF(AND($BB298&lt;30,$BB298&gt;=21),1,$BS297)))</f>
        <v>#N/A</v>
      </c>
      <c r="BP298" s="140" t="e">
        <f ca="1">IF($BL298&lt;0,-$BL298,$BO298*IF(OR($G298&lt;Control!$C$92,$G298&gt;Control!$C$95),0,IF(AND($G298&gt;=Control!$C$92,$G298&lt;=Control!$C$93),$G298-Control!$C$92,IF(AND($G298&gt;Control!$C$93,$G298&lt;=Control!$C$94),Control!$C$93-Control!$C$92,IF(AND($G298&gt;Control!$C$94,$G298&lt;=Control!$C$95),(Control!$C$93-Control!$C$92)*(Control!$C$94-$G298)/(Control!$C$95-Control!$C$94))))))</f>
        <v>#N/A</v>
      </c>
      <c r="BQ298" s="140" t="e">
        <f t="shared" ca="1" si="944"/>
        <v>#N/A</v>
      </c>
      <c r="BR298" s="140" t="e">
        <f ca="1">IF($BQ298&lt;=Control!$C$88,$BQ298,Control!$C$88-$BQ298)</f>
        <v>#N/A</v>
      </c>
      <c r="BS298" s="140" t="e">
        <f ca="1">IF(AND($BB298&gt;=21,$BB298&lt;30),1,IF($BQ298&gt;=Control!$C$88,0,$BO298))</f>
        <v>#N/A</v>
      </c>
      <c r="BT298" s="404" t="e">
        <f ca="1">IF($BS298=0,0,IF($BQ298&lt;=Control!$C$88,$BO298*(21+(30-21)*(BR298/Control!$C$88)),0))</f>
        <v>#N/A</v>
      </c>
      <c r="BU298" s="140" t="e">
        <f ca="1">IF(BG298+BM298+BS298=1,0,IF(OR(AND($BB298&lt;60,$BB298&gt;=30),$BQ298&gt;=Control!$C$88),1*$BA298,$BY297))</f>
        <v>#N/A</v>
      </c>
      <c r="BV298" s="140" t="e">
        <f ca="1">IF($BR298&lt;0,-$BR298,$BU298*IF(OR($G298&lt;Control!$C$92,$G298&gt;Control!$C$95),0,IF(AND($G298&gt;=Control!$C$92,$G298&lt;=Control!$C$93),$G298-Control!$C$92,IF(AND($G298&gt;Control!$C$93,$G298&lt;=Control!$C$94),Control!$C$93-Control!$C$92,IF(AND($G298&gt;Control!$C$94,$G298&lt;=Control!$C$95),(Control!$C$93-Control!$C$92)*(Control!$C$94-$G298)/(Control!$C$95-Control!$C$94))))))</f>
        <v>#N/A</v>
      </c>
      <c r="BW298" s="140" t="e">
        <f t="shared" ca="1" si="945"/>
        <v>#N/A</v>
      </c>
      <c r="BX298" s="140" t="e">
        <f ca="1">IF($BW298&lt;=Control!$C$89,$BW298,Control!$C$89-$BW298)</f>
        <v>#N/A</v>
      </c>
      <c r="BY298" s="140" t="e">
        <f ca="1">IF(AND($AJ298&gt;=30,$AJ298&lt;60),1,IF($BW298&gt;=Control!$C$89,0,$BU298))</f>
        <v>#N/A</v>
      </c>
      <c r="BZ298" s="404" t="e">
        <f ca="1">IF($BY298=0,0,IF($BW298&lt;=Control!$C$89,$BU298*(30+(60-30)*(BX298/Control!$C$89)),0))</f>
        <v>#N/A</v>
      </c>
      <c r="CA298" s="140" t="e">
        <f ca="1">IF($BG298+$BM298+$BS298+$BY298=1,0,IF(OR(AND($BB298&lt;65,$BB298&gt;=60),$BW298&gt;=Control!$C$89),1*$BA298,$CE297))</f>
        <v>#N/A</v>
      </c>
      <c r="CB298" s="140" t="e">
        <f ca="1">IF($BX298&lt;0,-$BX298,$CA298*IF(OR($G298&lt;Control!$C$92,$G298&gt;Control!$C$95),0,IF(AND($G298&gt;=Control!$C$92,$G298&lt;=Control!$C$93),$G298-Control!$C$92,IF(AND($G298&gt;Control!$C$93,$G298&lt;=Control!$C$94),Control!$C$93-Control!$C$92,IF(AND($G298&gt;Control!$C$94,$G298&lt;=Control!$C$95),(Control!$C$93-Control!$C$92)*(Control!$C$94-$G298)/(Control!$C$95-Control!$C$94))))))</f>
        <v>#N/A</v>
      </c>
      <c r="CC298" s="140" t="e">
        <f t="shared" ca="1" si="1061"/>
        <v>#N/A</v>
      </c>
      <c r="CD298" s="140" t="e">
        <f ca="1">IF($CC298&lt;=Control!$C$90,$CC298,Control!$C$90-$CC298)</f>
        <v>#N/A</v>
      </c>
      <c r="CE298" s="140" t="e">
        <f ca="1">IF(AND($BB298&gt;=60,$BB298&lt;65),1,IF($CC298&gt;=Control!$C$90,0,$CA298))</f>
        <v>#N/A</v>
      </c>
      <c r="CF298" s="404" t="e">
        <f ca="1">IF($CE298=0,0,IF($CC298&lt;=Control!$C$90,$CA298*(60+(65-60)*(CD298/Control!$C$90)),0))</f>
        <v>#N/A</v>
      </c>
      <c r="CG298" s="140" t="e">
        <f ca="1">IF($BG298+$BM298+$BS298+$BY298+$CE298=1,0,IF(OR(AND($BB298&lt;90,$BB298&gt;=65),$CC298&gt;=Control!$C$90),$BA298,$CK297))</f>
        <v>#N/A</v>
      </c>
      <c r="CH298" s="140" t="e">
        <f ca="1">IF($CD298&lt;0,-$CD298,$CG298*IF(OR($G298&lt;Control!$C$92,$G298&gt;Control!$C$95),0,IF(AND($G298&gt;=Control!$C$92,$G298&lt;=Control!$C$93),$G298-Control!$C$92,IF(AND($G298&gt;Control!$C$93,$G298&lt;=Control!$C$94),Control!$C$93-Control!$C$92,IF(AND($G298&gt;Control!$C$94,$G298&lt;=Control!$C$95),(Control!$C$93-Control!$C$92)*(Control!$C$94-$G298)/(Control!$C$95-Control!$C$94))))))</f>
        <v>#N/A</v>
      </c>
      <c r="CI298" s="140" t="e">
        <f t="shared" ca="1" si="1062"/>
        <v>#N/A</v>
      </c>
      <c r="CJ298" s="140" t="e">
        <f ca="1">IF($CI298&lt;=Control!$C$91,$CI298,Control!$C$91-$CI298)</f>
        <v>#N/A</v>
      </c>
      <c r="CK298" s="140" t="e">
        <f ca="1">IF(AND($BB298&gt;=65,$BB298&lt;90),1,IF($CI298&gt;=Control!$C$91,0,$CG298))</f>
        <v>#N/A</v>
      </c>
      <c r="CL298" s="404" t="e">
        <f ca="1">IF($CK298=0,0,IF($CI298&lt;=Control!$C$91,$CG298*(65+(90-65)*($CJ298/Control!$C$91)),0))</f>
        <v>#N/A</v>
      </c>
      <c r="CM298" s="140" t="e">
        <f ca="1">IF($BG298+$BM298+$BS298+$BY298+$CE298+$CK298=1,0,IF(OR($BB298&gt;=90,$CI298&gt;=Control!$C$91),$BA298,$CM297))</f>
        <v>#N/A</v>
      </c>
      <c r="CN298" s="140" t="e">
        <f t="shared" ca="1" si="1063"/>
        <v>#N/A</v>
      </c>
      <c r="CO298" s="140" t="e">
        <f t="shared" ca="1" si="1064"/>
        <v>#N/A</v>
      </c>
      <c r="CP298" s="140" t="e">
        <f t="shared" ca="1" si="1065"/>
        <v>#N/A</v>
      </c>
      <c r="CQ298" s="141" t="e">
        <f ca="1">VLOOKUP($CP298,Control!$B$86:$G$91,6)</f>
        <v>#N/A</v>
      </c>
      <c r="CR298" s="141" t="e">
        <f ca="1">(1-$CQ298)*VLOOKUP($CP298,Control!$B$86:$D$91,3)</f>
        <v>#N/A</v>
      </c>
      <c r="CS298" s="141" t="e">
        <f ca="1">(1-$CQ298)*VLOOKUP($CP298,Control!$B$86:$E$91,4)</f>
        <v>#N/A</v>
      </c>
      <c r="CT298" s="141" t="e">
        <f ca="1">(1-$CQ298)*VLOOKUP($CP298,Control!$B$86:$F$91,5)</f>
        <v>#N/A</v>
      </c>
      <c r="CU298" s="141">
        <f t="shared" ca="1" si="1066"/>
        <v>0</v>
      </c>
      <c r="CV298" s="583">
        <f t="shared" ca="1" si="1067"/>
        <v>0</v>
      </c>
      <c r="CW298" s="142">
        <f t="shared" ca="1" si="1068"/>
        <v>294</v>
      </c>
      <c r="CX298" s="612" t="e">
        <f ca="1">IF(Control!$C$114=1,(MIN(Control!$C$120*(IF($NT298-0.01&lt;0,0,1)),Control!$C$119-$CY298)))</f>
        <v>#DIV/0!</v>
      </c>
      <c r="CY298" s="143" t="e">
        <f t="shared" ca="1" si="1069"/>
        <v>#N/A</v>
      </c>
      <c r="CZ298" s="144">
        <f t="shared" ca="1" si="946"/>
        <v>0</v>
      </c>
      <c r="DA298" s="144">
        <f t="shared" ca="1" si="947"/>
        <v>0</v>
      </c>
      <c r="DB298" s="144" t="e">
        <f t="shared" ca="1" si="948"/>
        <v>#N/A</v>
      </c>
      <c r="DC298" s="144" t="e">
        <f t="shared" ca="1" si="949"/>
        <v>#N/A</v>
      </c>
      <c r="DD298" s="144" t="e">
        <f t="shared" ca="1" si="1154"/>
        <v>#N/A</v>
      </c>
      <c r="DE298" s="143" t="e">
        <f t="shared" ca="1" si="1070"/>
        <v>#N/A</v>
      </c>
      <c r="DF298" s="145" t="e">
        <f ca="1">$DR298*EXP(-Control!$C$158*(1-$KH298))</f>
        <v>#N/A</v>
      </c>
      <c r="DG298" s="146" t="e">
        <f ca="1">IF(Control!$C$114=1, $DF298*$EY298, 0)</f>
        <v>#N/A</v>
      </c>
      <c r="DH298" s="147" t="e">
        <f t="shared" ca="1" si="1071"/>
        <v>#N/A</v>
      </c>
      <c r="DI298" s="144" t="e">
        <f t="shared" ca="1" si="1132"/>
        <v>#N/A</v>
      </c>
      <c r="DJ298" s="147" t="e">
        <f ca="1">$EF298*Control!$C$109</f>
        <v>#N/A</v>
      </c>
      <c r="DK298" s="144" t="e">
        <f t="shared" ca="1" si="1072"/>
        <v>#N/A</v>
      </c>
      <c r="DL298" s="144" t="e">
        <f t="shared" ca="1" si="950"/>
        <v>#N/A</v>
      </c>
      <c r="DM298" s="144" t="e">
        <f ca="1">IF(Control!$C$114=1, (1-EXP(-Control!$C$96*$DK298))*$AR298, 0)</f>
        <v>#N/A</v>
      </c>
      <c r="DN298" s="144">
        <f t="shared" ca="1" si="1073"/>
        <v>0</v>
      </c>
      <c r="DO298" s="148">
        <f>Control!$C$97</f>
        <v>4</v>
      </c>
      <c r="DP298" s="145" t="e">
        <f t="shared" ca="1" si="1074"/>
        <v>#N/A</v>
      </c>
      <c r="DQ298" s="145" t="e">
        <f ca="1">IF(AND($CP298&gt;=0,$CP298&lt;=90),Control!$C$111,Control!$C$111)</f>
        <v>#N/A</v>
      </c>
      <c r="DR298" s="145" t="e">
        <f t="shared" ca="1" si="951"/>
        <v>#N/A</v>
      </c>
      <c r="DS298" s="143" t="e">
        <f ca="1">Control!$B$22/$DR298</f>
        <v>#N/A</v>
      </c>
      <c r="DT298" s="149" t="e">
        <f ca="1">IF(AND(Control!$C$114=1,$KH298&lt;1),$IM298*$DF298, 0)</f>
        <v>#N/A</v>
      </c>
      <c r="DU298" s="144" t="e">
        <f t="shared" ca="1" si="1075"/>
        <v>#N/A</v>
      </c>
      <c r="DV298" s="144">
        <f ca="1">IF($G298-Control!$C$107&lt;=0, 0, 0.83*LN(MAX($G298, 3))-0.8924)</f>
        <v>0</v>
      </c>
      <c r="DW298" s="144" t="e">
        <f t="shared" ca="1" si="952"/>
        <v>#N/A</v>
      </c>
      <c r="DX298" s="150" t="e">
        <f ca="1">MAX(0.01*(1+$CU298/Control!$C$102),0.05*($DK298-Control!$C$97)/Control!$C$97)</f>
        <v>#N/A</v>
      </c>
      <c r="DY298" s="151" t="e">
        <f ca="1">IF(Control!$C$114=1, $DI298*$FS298, 0)</f>
        <v>#N/A</v>
      </c>
      <c r="DZ298" s="196" t="e">
        <f t="shared" ca="1" si="1076"/>
        <v>#N/A</v>
      </c>
      <c r="EA298" s="152">
        <f t="shared" ca="1" si="1077"/>
        <v>294</v>
      </c>
      <c r="EB298" s="153" t="e">
        <f t="shared" ca="1" si="1078"/>
        <v>#N/A</v>
      </c>
      <c r="EC298" s="153" t="e">
        <f t="shared" ca="1" si="1079"/>
        <v>#N/A</v>
      </c>
      <c r="ED298" s="154" t="e">
        <f ca="1">IF(Control!$C$114=1, $HM298*$FY298-$FD298, 0)</f>
        <v>#DIV/0!</v>
      </c>
      <c r="EE298" s="155" t="e">
        <f ca="1">IF(Control!$C$114=1, $HM298*$FZ298-$FF298, 0)</f>
        <v>#DIV/0!</v>
      </c>
      <c r="EF298" s="153" t="e">
        <f t="shared" ca="1" si="1133"/>
        <v>#N/A</v>
      </c>
      <c r="EG298" s="155" t="e">
        <f ca="1">IF(Control!$C$114=1, $GX298*$FW298-$FI298, 0)</f>
        <v>#DIV/0!</v>
      </c>
      <c r="EH298" s="153" t="e">
        <f t="shared" ca="1" si="1080"/>
        <v>#N/A</v>
      </c>
      <c r="EI298" s="156" t="e">
        <f t="shared" ca="1" si="1081"/>
        <v>#N/A</v>
      </c>
      <c r="EJ298" s="155" t="e">
        <f ca="1">IF(Control!$C$114=1, $HM298*$GB298, 0)</f>
        <v>#DIV/0!</v>
      </c>
      <c r="EK298" s="153" t="e">
        <f t="shared" ca="1" si="1134"/>
        <v>#N/A</v>
      </c>
      <c r="EL298" s="153" t="e">
        <f t="shared" ca="1" si="953"/>
        <v>#N/A</v>
      </c>
      <c r="EM298" s="153" t="e">
        <f t="shared" ca="1" si="954"/>
        <v>#N/A</v>
      </c>
      <c r="EN298" s="153" t="e">
        <f ca="1">IF(Control!$C$108=1,IF(AND(Control!$B$18=1,$EB298&gt;=Control!$B$19),$EB298-$DS298,IF(AND(Control!$B$18=2,$AW298=1,$EB298&gt;$DS298),$EB298-$DS298,0)))</f>
        <v>#N/A</v>
      </c>
      <c r="EO298" s="153" t="e">
        <f ca="1">IF(Control!$C$108=1,IF(AND(Control!$B$18=1,$EB298&gt;=Control!$B$19),$EF298,IF(AND(Control!$B$18=2,$AW298=1),$EF298,0)))</f>
        <v>#N/A</v>
      </c>
      <c r="EP298" s="153" t="e">
        <f ca="1">IF(Control!$C$108=1,IF(AND(Control!$B$18=1,$EB298&gt;=Control!$B$19),$EK298,IF(AND(Control!$B$18=2,$AW298=1),$EK298,0)))</f>
        <v>#N/A</v>
      </c>
      <c r="EQ298" s="153" t="e">
        <f t="shared" ca="1" si="1082"/>
        <v>#N/A</v>
      </c>
      <c r="ER298" s="153" t="e">
        <f t="shared" ca="1" si="1083"/>
        <v>#N/A</v>
      </c>
      <c r="ES298" s="153" t="e">
        <f t="shared" ca="1" si="1135"/>
        <v>#N/A</v>
      </c>
      <c r="ET298" s="153" t="e">
        <f t="shared" ca="1" si="1136"/>
        <v>#N/A</v>
      </c>
      <c r="EU298" s="153" t="e">
        <f t="shared" ca="1" si="1084"/>
        <v>#N/A</v>
      </c>
      <c r="EV298" s="153" t="e">
        <f t="shared" ca="1" si="955"/>
        <v>#N/A</v>
      </c>
      <c r="EW298" s="153" t="e">
        <f t="shared" ca="1" si="956"/>
        <v>#N/A</v>
      </c>
      <c r="EX298" s="153" t="e">
        <f t="shared" ca="1" si="957"/>
        <v>#N/A</v>
      </c>
      <c r="EY298" s="157" t="e">
        <f t="shared" ca="1" si="958"/>
        <v>#DIV/0!</v>
      </c>
      <c r="EZ298" s="154" t="e">
        <f t="shared" ca="1" si="959"/>
        <v>#DIV/0!</v>
      </c>
      <c r="FA298" s="153" t="e">
        <f t="shared" ca="1" si="1085"/>
        <v>#N/A</v>
      </c>
      <c r="FB298" s="153" t="e">
        <f t="shared" ca="1" si="960"/>
        <v>#N/A</v>
      </c>
      <c r="FC298" s="193" t="e">
        <f t="shared" ca="1" si="961"/>
        <v>#N/A</v>
      </c>
      <c r="FD298" s="158" t="e">
        <f t="shared" ca="1" si="1086"/>
        <v>#N/A</v>
      </c>
      <c r="FE298" s="158" t="e">
        <f t="shared" ca="1" si="1087"/>
        <v>#N/A</v>
      </c>
      <c r="FF298" s="159" t="e">
        <f t="shared" ca="1" si="962"/>
        <v>#N/A</v>
      </c>
      <c r="FG298" s="160" t="e">
        <f t="shared" ca="1" si="1088"/>
        <v>#N/A</v>
      </c>
      <c r="FH298" s="158" t="e">
        <f t="shared" ca="1" si="1089"/>
        <v>#N/A</v>
      </c>
      <c r="FI298" s="159" t="e">
        <f t="shared" ca="1" si="963"/>
        <v>#N/A</v>
      </c>
      <c r="FJ298" s="160" t="e">
        <f t="shared" ca="1" si="1090"/>
        <v>#N/A</v>
      </c>
      <c r="FK298" s="160" t="e">
        <f t="shared" ca="1" si="964"/>
        <v>#N/A</v>
      </c>
      <c r="FL298" s="160" t="e">
        <f t="shared" ca="1" si="1137"/>
        <v>#N/A</v>
      </c>
      <c r="FM298" s="160" t="e">
        <f t="shared" ca="1" si="965"/>
        <v>#N/A</v>
      </c>
      <c r="FN298" s="158">
        <f t="shared" ca="1" si="1091"/>
        <v>0.01</v>
      </c>
      <c r="FO298" s="160">
        <f>Control!$C$101</f>
        <v>50</v>
      </c>
      <c r="FP298" s="150" t="e">
        <f t="shared" ca="1" si="966"/>
        <v>#N/A</v>
      </c>
      <c r="FQ298" s="150" t="e">
        <f ca="1">MAX(0,(Control!$C$112*(($DK298-Control!$C$97)/Control!$C$97)))</f>
        <v>#N/A</v>
      </c>
      <c r="FR298" s="150" t="e">
        <f ca="1">(1-$NT298)*Control!$C$113</f>
        <v>#DIV/0!</v>
      </c>
      <c r="FS298" s="198" t="e">
        <f t="shared" ca="1" si="967"/>
        <v>#N/A</v>
      </c>
      <c r="FT298" s="161">
        <f t="shared" ca="1" si="1092"/>
        <v>294</v>
      </c>
      <c r="FU298" s="162" t="e">
        <f ca="1">IF(Control!$B$34=1,VLOOKUP($CP298,Control!$B$86:$G$91,6),Control!$B$35)</f>
        <v>#N/A</v>
      </c>
      <c r="FV298" s="162" t="e">
        <f t="shared" ca="1" si="968"/>
        <v>#DIV/0!</v>
      </c>
      <c r="FW298" s="162" t="e">
        <f ca="1">IF(Control!$B$31=1,$FU298*$FV298,  $FU298)</f>
        <v>#N/A</v>
      </c>
      <c r="FX298" s="162" t="e">
        <f ca="1">IF(Control!$B$34=1,VLOOKUP($CP298,Control!$B$86:$G$91,3),Control!$B$36)</f>
        <v>#N/A</v>
      </c>
      <c r="FY298" s="162" t="e">
        <f t="shared" ca="1" si="969"/>
        <v>#N/A</v>
      </c>
      <c r="FZ298" s="162" t="e">
        <f ca="1">IF(Control!$B$34=1,VLOOKUP($CP298,Control!$B$86:$G$91,4),Control!$B$37)</f>
        <v>#N/A</v>
      </c>
      <c r="GA298" s="162" t="e">
        <f t="shared" ca="1" si="970"/>
        <v>#N/A</v>
      </c>
      <c r="GB298" s="162" t="e">
        <f ca="1">IF(Control!$B$34=1,VLOOKUP($CP298,Control!$B$86:$G$91,5),Control!$B$38)</f>
        <v>#N/A</v>
      </c>
      <c r="GC298" s="162" t="e">
        <f t="shared" ca="1" si="1093"/>
        <v>#N/A</v>
      </c>
      <c r="GD298" s="162">
        <f t="shared" ca="1" si="971"/>
        <v>1</v>
      </c>
      <c r="GE298" s="162">
        <f t="shared" ca="1" si="972"/>
        <v>1</v>
      </c>
      <c r="GF298" s="162">
        <f ca="1">IF(AND(Control!$C$104=1, Control!$C$62="F"),$GE298,1)</f>
        <v>1</v>
      </c>
      <c r="GG298" s="162" t="e">
        <f ca="1">IF(Control!$B$16=40,0,IF(AND(Control!$B$16&gt;40,Control!$B$16&lt;=360),(Control!$B$16-40)*((1-0)/(360-40)),IF(AND(Control!$B$16&gt;360,Control!$B$16&lt;=720),(1+(Control!$B$16-360)*((1.25-1)/(720-360))),IF(AND(Control!$B$16&gt;720,Control!$B$16&lt;=1000),(1.25+(Control!$B$16-720)*((1.35-1.25)/(1000-720))),IF(AND(Control!$B$16&gt;1000,Control!$B$16&lt;=2000),(1.35+(Control!$B$16-1000)*0))))))</f>
        <v>#N/A</v>
      </c>
      <c r="GH298" s="162" t="e">
        <f t="shared" ca="1" si="973"/>
        <v>#N/A</v>
      </c>
      <c r="GI298" s="162">
        <f t="shared" ca="1" si="1094"/>
        <v>0</v>
      </c>
      <c r="GJ298" s="162">
        <f t="shared" ca="1" si="974"/>
        <v>0</v>
      </c>
      <c r="GK298" s="162">
        <f t="shared" ca="1" si="1095"/>
        <v>1</v>
      </c>
      <c r="GL298" s="162">
        <f t="shared" ca="1" si="975"/>
        <v>1</v>
      </c>
      <c r="GM298" s="162" t="e">
        <f ca="1">MAX(0,MIN(1,1-Control!$C$156*(1.0001-$KH298)^2))</f>
        <v>#N/A</v>
      </c>
      <c r="GN298" s="162" t="e">
        <f ca="1">IF(Control!$B$26=1,$KU298,$KX298)</f>
        <v>#N/A</v>
      </c>
      <c r="GO298" s="162" t="e">
        <f ca="1">IF($CP298&lt;=60,Control!$C$105,IF($CP298&gt;=90,Control!$C$106,Control!$C$105+($CP298-60)*((Control!$C$106-Control!$C$105)/(90-60))))</f>
        <v>#N/A</v>
      </c>
      <c r="GP298" s="162" t="e">
        <f t="shared" ca="1" si="976"/>
        <v>#N/A</v>
      </c>
      <c r="GQ298" s="162" t="e">
        <f t="shared" ca="1" si="1096"/>
        <v>#N/A</v>
      </c>
      <c r="GR298" s="163" t="e">
        <f t="shared" ca="1" si="977"/>
        <v>#DIV/0!</v>
      </c>
      <c r="GS298" s="162" t="e">
        <f t="shared" ca="1" si="978"/>
        <v>#DIV/0!</v>
      </c>
      <c r="GT298" s="164" t="e">
        <f t="shared" ca="1" si="1097"/>
        <v>#N/A</v>
      </c>
      <c r="GU298" s="162" t="e">
        <f t="shared" ca="1" si="1098"/>
        <v>#N/A</v>
      </c>
      <c r="GV298" s="162" t="e">
        <f t="shared" ca="1" si="979"/>
        <v>#N/A</v>
      </c>
      <c r="GW298" s="162" t="e">
        <f t="shared" ca="1" si="980"/>
        <v>#DIV/0!</v>
      </c>
      <c r="GX298" s="162" t="e">
        <f t="shared" ca="1" si="1099"/>
        <v>#DIV/0!</v>
      </c>
      <c r="GY298" s="162" t="e">
        <f t="shared" ca="1" si="1100"/>
        <v>#DIV/0!</v>
      </c>
      <c r="GZ298" s="165" t="e">
        <f t="shared" ca="1" si="981"/>
        <v>#N/A</v>
      </c>
      <c r="HA298" s="162" t="e">
        <f ca="1">IF(Control!$C$114=1, $DI298*$FS298, 0)</f>
        <v>#N/A</v>
      </c>
      <c r="HB298" s="162" t="e">
        <f ca="1">$FA298/Control!$C$64</f>
        <v>#N/A</v>
      </c>
      <c r="HC298" s="162" t="e">
        <f t="shared" ca="1" si="982"/>
        <v>#DIV/0!</v>
      </c>
      <c r="HD298" s="162">
        <f ca="1">-ASIN(SIN(23.45*Control!$C$139)*COS(2*Control!$C$138*($AH298+10)/365))</f>
        <v>-0.19930628234654724</v>
      </c>
      <c r="HE298" s="165">
        <f t="shared" ca="1" si="1101"/>
        <v>0</v>
      </c>
      <c r="HF298" s="166">
        <f ca="1">IF(AND(Control!$C$61="T",$HE298&gt;=Control!$C$103,Control!$C$114=0),$AH298,Control!$C$59)</f>
        <v>1</v>
      </c>
      <c r="HG298" s="166">
        <f ca="1">IF(AND(Control!$C$61="T",$HE298&gt;=Control!$C$103,Control!$C$114=0),$HF298,Control!$C$59)</f>
        <v>1</v>
      </c>
      <c r="HH298" s="165">
        <f ca="1">IF(AND(OR(Control!$C$60&lt;=0, $AH298= Control!$C$59, Control!$C$60 &gt;0, $AH298 = Control!$C$60)), Control!$C$59, IF(Control!$C$60&gt;0, 0))</f>
        <v>1</v>
      </c>
      <c r="HI298" s="165">
        <f ca="1">IF(AND(OR(Control!$C$60&lt;=0, $AH298= Control!$C$59, Control!$C$60 &gt;0, $AH298 = Control!$C$60)), Control!$C$60, IF(Control!$C$60&lt;=0, 0))</f>
        <v>0</v>
      </c>
      <c r="HJ298" s="166">
        <f ca="1">IF(AND(Control!$C$62="F",$CV298&gt;=Control!$C$102),$AH298,0)</f>
        <v>0</v>
      </c>
      <c r="HK298" s="165" t="e">
        <f t="shared" ca="1" si="1138"/>
        <v>#N/A</v>
      </c>
      <c r="HL298" s="166">
        <f ca="1">IF(AND(Control!$C$61="T",$HE298&gt;=Control!$C$103,Control!$C$114=0),$HF298,0)</f>
        <v>0</v>
      </c>
      <c r="HM298" s="201" t="e">
        <f t="shared" ca="1" si="983"/>
        <v>#DIV/0!</v>
      </c>
      <c r="HN298" s="215">
        <f t="shared" ca="1" si="1102"/>
        <v>294</v>
      </c>
      <c r="HO298" s="216" t="e">
        <f ca="1">IF(AND($CP298&gt;=0, $CP298&lt;=90), Control!$C$152, Control!$C$152)</f>
        <v>#N/A</v>
      </c>
      <c r="HP298" s="216" t="e">
        <f t="shared" ca="1" si="984"/>
        <v>#N/A</v>
      </c>
      <c r="HQ298" s="217" t="e">
        <f ca="1">IF(OR(Control!$B$26=1,Control!$B$26=2),$KV298,$KS298)</f>
        <v>#DIV/0!</v>
      </c>
      <c r="HR298" s="218" t="e">
        <f t="shared" ca="1" si="1139"/>
        <v>#DIV/0!</v>
      </c>
      <c r="HS298" s="216" t="e">
        <f ca="1">Control!$C$154*$HP298</f>
        <v>#N/A</v>
      </c>
      <c r="HT298" s="216" t="e">
        <f ca="1">Control!$C$155*$HP298</f>
        <v>#N/A</v>
      </c>
      <c r="HU298" s="217" t="e">
        <f ca="1">Control!$C$161*$FI298</f>
        <v>#N/A</v>
      </c>
      <c r="HV298" s="218" t="e">
        <f t="shared" ca="1" si="1103"/>
        <v>#N/A</v>
      </c>
      <c r="HW298" s="218" t="e">
        <f ca="1">Control!$C$160*$FF298+$IP298*$EO298</f>
        <v>#N/A</v>
      </c>
      <c r="HX298" s="218" t="e">
        <f t="shared" ca="1" si="1140"/>
        <v>#N/A</v>
      </c>
      <c r="HY298" s="219" t="e">
        <f ca="1">IF(Control!$C$114=1, $EB298*$FS298, 0)</f>
        <v>#N/A</v>
      </c>
      <c r="HZ298" s="91" t="e">
        <f t="shared" ca="1" si="985"/>
        <v>#N/A</v>
      </c>
      <c r="IA298" s="220" t="e">
        <f ca="1">Control!$C$153*$HO298</f>
        <v>#N/A</v>
      </c>
      <c r="IB298" s="218" t="e">
        <f t="shared" ca="1" si="986"/>
        <v>#N/A</v>
      </c>
      <c r="IC298" s="220" t="e">
        <f ca="1">Control!$C$153*$HT298</f>
        <v>#N/A</v>
      </c>
      <c r="ID298" s="218" t="e">
        <f t="shared" ca="1" si="987"/>
        <v>#N/A</v>
      </c>
      <c r="IE298" s="221" t="e">
        <f ca="1">($EB298*Control!$C$159+$EF298*Control!$C$160)/(IF($GZ298&lt;&gt;0,$GZ298,1))</f>
        <v>#N/A</v>
      </c>
      <c r="IF298" s="216" t="e">
        <f t="shared" ca="1" si="988"/>
        <v>#N/A</v>
      </c>
      <c r="IG298" s="91">
        <f ca="1">IF(OR(Control!$B$198=$AH298,Control!$B$199=$AH298, Control!$B$200=$AH298, Control!$B$201=$AH298, Control!$B$202=$AH298, Control!$B$203=$AH298, Control!$B$204=$AH298, Control!$B$205=$AH298, Control!$B$206=$AH298, Control!$B$207=$AH298), 1, 0)</f>
        <v>0</v>
      </c>
      <c r="IH298" s="91">
        <f ca="1">IF($IG298=0,0, VLOOKUP($AH298,Control!$B$198:$C$207,2))</f>
        <v>0</v>
      </c>
      <c r="II298" s="222">
        <f t="shared" ca="1" si="1104"/>
        <v>0</v>
      </c>
      <c r="IJ298" s="91">
        <f>Control!$C$121</f>
        <v>0.7</v>
      </c>
      <c r="IK298" s="218">
        <f t="shared" ca="1" si="989"/>
        <v>0</v>
      </c>
      <c r="IL298" s="217" t="e">
        <f t="shared" ca="1" si="1141"/>
        <v>#N/A</v>
      </c>
      <c r="IM298" s="223" t="e">
        <f ca="1">IF(AND(Control!$C$114=1,$KH298&lt;1),$EB298*Control!$C$148*(1-$KH298), 0)</f>
        <v>#N/A</v>
      </c>
      <c r="IN298" s="217" t="e">
        <f t="shared" ca="1" si="990"/>
        <v>#DIV/0!</v>
      </c>
      <c r="IO298" s="91" t="e">
        <f ca="1">MAX(0,$IL298-$EF298*Control!$C$160)</f>
        <v>#N/A</v>
      </c>
      <c r="IP298" s="220" t="e">
        <f t="shared" ca="1" si="991"/>
        <v>#N/A</v>
      </c>
      <c r="IQ298" s="217" t="e">
        <f t="shared" ca="1" si="1105"/>
        <v>#N/A</v>
      </c>
      <c r="IR298" s="218" t="e">
        <f t="shared" ca="1" si="992"/>
        <v>#N/A</v>
      </c>
      <c r="IS298" s="217" t="e">
        <f ca="1">Control!$C$159*MAX(0,$FD298-$EN298)</f>
        <v>#N/A</v>
      </c>
      <c r="IT298" s="217" t="e">
        <f t="shared" ca="1" si="1142"/>
        <v>#N/A</v>
      </c>
      <c r="IU298" s="217" t="e">
        <f t="shared" ca="1" si="1106"/>
        <v>#N/A</v>
      </c>
      <c r="IV298" s="217" t="e">
        <f t="shared" ca="1" si="1143"/>
        <v>#N/A</v>
      </c>
      <c r="IW298" s="217" t="e">
        <f ca="1">IF(OR($AW298=1,AND($AW298=0, Control!$B$18=1,$EN298&lt;&gt;0)), $IQ298-$IU298, $IQ298)</f>
        <v>#N/A</v>
      </c>
      <c r="IX298" s="218" t="e">
        <f t="shared" ca="1" si="993"/>
        <v>#N/A</v>
      </c>
      <c r="IY298" s="218" t="e">
        <f ca="1">MAX(0,$IQ298-$EB298*Control!$C$159)</f>
        <v>#N/A</v>
      </c>
      <c r="IZ298" s="218" t="e">
        <f t="shared" ca="1" si="994"/>
        <v>#N/A</v>
      </c>
      <c r="JA298" s="216" t="e">
        <f t="shared" ca="1" si="995"/>
        <v>#N/A</v>
      </c>
      <c r="JB298" s="217" t="e">
        <f t="shared" ca="1" si="996"/>
        <v>#N/A</v>
      </c>
      <c r="JC298" s="222" t="e">
        <f ca="1">MAX(Control!$C$157*$EK298-$JT298, 0)/Control!$C$162</f>
        <v>#N/A</v>
      </c>
      <c r="JD298" s="218" t="e">
        <f t="shared" ca="1" si="997"/>
        <v>#N/A</v>
      </c>
      <c r="JE298" s="218" t="e">
        <f t="shared" ca="1" si="998"/>
        <v>#N/A</v>
      </c>
      <c r="JF298" s="218" t="e">
        <f t="shared" ca="1" si="1107"/>
        <v>#N/A</v>
      </c>
      <c r="JG298" s="218" t="e">
        <f t="shared" ca="1" si="999"/>
        <v>#N/A</v>
      </c>
      <c r="JH298" s="217" t="e">
        <f t="shared" ca="1" si="1108"/>
        <v>#N/A</v>
      </c>
      <c r="JI298" s="217" t="e">
        <f t="shared" ca="1" si="1109"/>
        <v>#N/A</v>
      </c>
      <c r="JJ298" s="217" t="e">
        <f t="shared" ca="1" si="1144"/>
        <v>#N/A</v>
      </c>
      <c r="JK298" s="217" t="e">
        <f ca="1">IF(Control!$C$114=1,IF(Control!$B$24=0,MAX(0,$JI298)*$GN298/Control!$C$64,(MAX(0,MIN($JI298,$JJ298*$GN298/Control!$C$64),0))))</f>
        <v>#N/A</v>
      </c>
      <c r="JL298" s="217" t="e">
        <f ca="1">$IK298/Control!$C$64-$JK298+$HQ298</f>
        <v>#N/A</v>
      </c>
      <c r="JM298" s="217" t="e">
        <f ca="1">IF(Control!$C$114=1,($JB298/(IF($JI298&lt;&gt;0,$JI298,1)))*$JK298,0)</f>
        <v>#N/A</v>
      </c>
      <c r="JN298" s="217" t="e">
        <f ca="1">IF(Control!$C$114=1,($JG298/(IF($JI298&lt;&gt;0,$JI298,1)))*$JK298, 0)</f>
        <v>#N/A</v>
      </c>
      <c r="JO298" s="218" t="e">
        <f t="shared" ca="1" si="1000"/>
        <v>#N/A</v>
      </c>
      <c r="JP298" s="218" t="e">
        <f ca="1">MIN(($IY298+$IO298)*Control!$C$151, $JF298-$EH298*Control!$C$161)</f>
        <v>#N/A</v>
      </c>
      <c r="JQ298" s="218" t="e">
        <f t="shared" ca="1" si="1001"/>
        <v>#N/A</v>
      </c>
      <c r="JR298" s="217" t="e">
        <f ca="1">IF($CP298-Control!$C$150&lt;0, 0, $JQ298/Control!$C$162)</f>
        <v>#N/A</v>
      </c>
      <c r="JS298" s="218" t="e">
        <f t="shared" ca="1" si="1002"/>
        <v>#N/A</v>
      </c>
      <c r="JT298" s="218" t="e">
        <f t="shared" ca="1" si="1110"/>
        <v>#N/A</v>
      </c>
      <c r="JU298" s="218" t="e">
        <f t="shared" ca="1" si="1003"/>
        <v>#N/A</v>
      </c>
      <c r="JV298" s="218" t="e">
        <f t="shared" ca="1" si="1004"/>
        <v>#N/A</v>
      </c>
      <c r="JW298" s="216" t="e">
        <f t="shared" ca="1" si="1005"/>
        <v>#N/A</v>
      </c>
      <c r="JX298" s="91" t="e">
        <f t="shared" ca="1" si="1006"/>
        <v>#N/A</v>
      </c>
      <c r="JY298" s="218" t="e">
        <f t="shared" ca="1" si="1007"/>
        <v>#N/A</v>
      </c>
      <c r="JZ298" s="217" t="e">
        <f ca="1">IF(Control!$C$114=1,($IZ298/(IF($JI298&lt;&gt;0,$JI298,1)))*$JK298, 0)</f>
        <v>#N/A</v>
      </c>
      <c r="KA298" s="218" t="e">
        <f t="shared" ca="1" si="1145"/>
        <v>#N/A</v>
      </c>
      <c r="KB298" s="218" t="e">
        <f t="shared" ca="1" si="1111"/>
        <v>#N/A</v>
      </c>
      <c r="KC298" s="218" t="e">
        <f t="shared" ca="1" si="1008"/>
        <v>#N/A</v>
      </c>
      <c r="KD298" s="218" t="e">
        <f t="shared" ca="1" si="1009"/>
        <v>#N/A</v>
      </c>
      <c r="KE298" s="218" t="e">
        <f t="shared" ca="1" si="1010"/>
        <v>#N/A</v>
      </c>
      <c r="KF298" s="218" t="e">
        <f t="shared" ca="1" si="1011"/>
        <v>#N/A</v>
      </c>
      <c r="KG298" s="216" t="e">
        <f t="shared" ca="1" si="1012"/>
        <v>#N/A</v>
      </c>
      <c r="KH298" s="221" t="e">
        <f ca="1">IF(Control!$B$24=0,1,MAX(0.001,MIN(1,IF(($IF298-$IE298)&lt;&gt;0,($KG298-$IE298)/($IF298-$IE298),1))))</f>
        <v>#N/A</v>
      </c>
      <c r="KI298" s="222" t="e">
        <f ca="1">IF(Control!$C$114=1, $KI297+ $KH297, 0)</f>
        <v>#N/A</v>
      </c>
      <c r="KJ298" s="217" t="e">
        <f t="shared" ca="1" si="1013"/>
        <v>#N/A</v>
      </c>
      <c r="KK298" s="218" t="e">
        <f t="shared" ca="1" si="1014"/>
        <v>#N/A</v>
      </c>
      <c r="KL298" s="274" t="e">
        <f ca="1">IF(Control!$B$26=3,4000000000*EXP(-8400/($G298+273)),IF(Control!$B$26=4,4000000000*EXP(-8400/($G298+273))*($KT298),0))</f>
        <v>#DIV/0!</v>
      </c>
      <c r="KM298" s="274" t="e">
        <f ca="1">IF(Control!$B$26=3,5600000000000*EXP(-9800/($G298+273)),IF(Control!$B$26=4,5600000000000*EXP(-9800/($G298+273))*$KT298,0))</f>
        <v>#DIV/0!</v>
      </c>
      <c r="KN298" s="454" t="e">
        <f t="shared" ca="1" si="1112"/>
        <v>#DIV/0!</v>
      </c>
      <c r="KO298" s="274" t="e">
        <f t="shared" ca="1" si="1113"/>
        <v>#DIV/0!</v>
      </c>
      <c r="KP298" s="454" t="e">
        <f t="shared" ca="1" si="1015"/>
        <v>#DIV/0!</v>
      </c>
      <c r="KQ298" s="454" t="e">
        <f t="shared" ca="1" si="1016"/>
        <v>#DIV/0!</v>
      </c>
      <c r="KR298" s="454" t="e">
        <f t="shared" ca="1" si="1017"/>
        <v>#DIV/0!</v>
      </c>
      <c r="KS298" s="454" t="e">
        <f t="shared" ca="1" si="1018"/>
        <v>#DIV/0!</v>
      </c>
      <c r="KT298" s="455" t="e">
        <f t="shared" ca="1" si="1019"/>
        <v>#DIV/0!</v>
      </c>
      <c r="KU298" s="456" t="e">
        <f ca="1">IF($CP298-Control!$C$149&lt;0, IF($NT298-0.01&lt;0,0,1),0)</f>
        <v>#N/A</v>
      </c>
      <c r="KV298" s="456" t="e">
        <f ca="1">IF(Control!$C$114=1,MAX(0,MIN(Control!$C$125*$KW298*$GN298,$KW298)))</f>
        <v>#DIV/0!</v>
      </c>
      <c r="KW298" s="456" t="e">
        <f t="shared" ca="1" si="1146"/>
        <v>#DIV/0!</v>
      </c>
      <c r="KX298" s="457" t="e">
        <f ca="1">IF($CP298-Control!$C$149&lt;0, IF($MR298-$OM298&lt;0,0,1),0)</f>
        <v>#N/A</v>
      </c>
      <c r="KY298" s="167">
        <f t="shared" ca="1" si="1114"/>
        <v>294</v>
      </c>
      <c r="KZ298" s="168">
        <f ca="1">1370*(1+0.033*COS(2*Control!$C$138*$AH298/365))</f>
        <v>1385.4429173427204</v>
      </c>
      <c r="LA298" s="169">
        <f t="shared" ca="1" si="1115"/>
        <v>1.0112718353825392</v>
      </c>
      <c r="LB298" s="169">
        <f t="shared" ca="1" si="1116"/>
        <v>-0.20654571996624763</v>
      </c>
      <c r="LC298" s="169">
        <f ca="1">ACOS(-TAN((2*Control!$B$8/360))*TAN(Calculations!$LB298))</f>
        <v>1.5084818806154161</v>
      </c>
      <c r="LD298" s="169">
        <f ca="1">((24*60)/PI())*0.082*$LA298*(($LC298*SIN(Control!$B$8*2*PI()/360))*SIN($LB298)+COS(Control!$B$8*2*PI()/360)*COS($LB298)*SIN($LC298))</f>
        <v>13.593302000784826</v>
      </c>
      <c r="LE298" s="170">
        <f t="shared" ca="1" si="1020"/>
        <v>14.412740517192576</v>
      </c>
      <c r="LF298" s="170">
        <f ca="1">SIN(Control!$C$139*Control!$B$8)*SIN($HD298)</f>
        <v>-0.15601802992014466</v>
      </c>
      <c r="LG298" s="170">
        <f ca="1">COS(Control!$C$139*Control!$B$8)*COS($HD298)</f>
        <v>0.60347230147260433</v>
      </c>
      <c r="LH298" s="170">
        <f ca="1">12*(1+2*ASIN(MAX(-1,MIN(1,$LF298/$LG298))/Control!$C$138))</f>
        <v>10.022715256259076</v>
      </c>
      <c r="LI298" s="170">
        <f ca="1">12*(1+2*ASIN(MAX(-1,MIN(1,(-SIN(-4*Control!$C$139)+$LF298)/$LG298))/Control!$C$138))</f>
        <v>10.907630810751655</v>
      </c>
      <c r="LJ298" s="168">
        <f ca="1">3600*($LH298*$LF298+24*$LG298*SQRT(1-$LK298*$LK298)/Control!$C$138)</f>
        <v>10402.984010944467</v>
      </c>
      <c r="LK298" s="170">
        <f t="shared" ca="1" si="1021"/>
        <v>-0.25853387063403999</v>
      </c>
      <c r="LL298" s="170">
        <f t="shared" ca="1" si="1022"/>
        <v>0</v>
      </c>
      <c r="LM298" s="171">
        <f ca="1">Control!$C$145*$AB298</f>
        <v>6.6660906138995932E-2</v>
      </c>
      <c r="LN298" s="170">
        <f t="shared" ca="1" si="1117"/>
        <v>0.54</v>
      </c>
      <c r="LO298" s="170">
        <f t="shared" ca="1" si="1023"/>
        <v>0</v>
      </c>
      <c r="LP298" s="170">
        <f ca="1">Control!$C$140*((($D298+273.16)^4+($E298+273.16)^4)/2)*(0.34-0.14*SQRT($Y298))*(1.35*$AQ298/(0.75*$LD298)-0.35)</f>
        <v>-3.2464704755046001</v>
      </c>
      <c r="LQ298" s="170">
        <f ca="1">Control!$C$140*($G298+273)^4*(0.56-0.079*SQRT($Y298*10))*(0.1+0.9*$LO298)</f>
        <v>1.5241745131704001</v>
      </c>
      <c r="LR298" s="170">
        <f ca="1">$AQ298*(1-Control!$C$142)-$LQ298</f>
        <v>-1.5241745131704001</v>
      </c>
      <c r="LS298" s="170">
        <f ca="1">$AQ298*(1-Control!$C$143)-$LQ298</f>
        <v>-1.5241745131704001</v>
      </c>
      <c r="LT298" s="170">
        <f ca="1">$AQ298*(1-Control!$C$144)-$LQ298</f>
        <v>-1.5241745131704001</v>
      </c>
      <c r="LU298" s="169">
        <f ca="1">(1-Control!$C$144)*AQ298-LP298</f>
        <v>3.2464704755046001</v>
      </c>
      <c r="LV298" s="172">
        <f t="shared" ca="1" si="1024"/>
        <v>0.79430000000000012</v>
      </c>
      <c r="LW298" s="170">
        <f t="shared" ca="1" si="1025"/>
        <v>1.5886000000000002</v>
      </c>
      <c r="LX298" s="170">
        <f ca="1">($AC298*($LR298/Control!$C$141)+$LM298*$LV298)/($AC298+$LM298)</f>
        <v>0.23530094218323697</v>
      </c>
      <c r="LY298" s="170">
        <f ca="1">($AC298*($LS298/Control!$C$141)+$LM298*$LV298)/($AC298+$LM298)</f>
        <v>0.23530094218323697</v>
      </c>
      <c r="LZ298" s="170">
        <f t="shared" ca="1" si="1026"/>
        <v>0.23530094218323697</v>
      </c>
      <c r="MA298" s="170">
        <f t="shared" ca="1" si="1027"/>
        <v>0.23530094218323697</v>
      </c>
      <c r="MB298" s="170" t="e">
        <f t="shared" ca="1" si="1028"/>
        <v>#N/A</v>
      </c>
      <c r="MC298" s="170">
        <f t="shared" ca="1" si="1118"/>
        <v>0.6018</v>
      </c>
      <c r="MD298" s="170">
        <f t="shared" ca="1" si="1029"/>
        <v>0.52989392535414004</v>
      </c>
      <c r="ME298" s="170">
        <f ca="1">($AC298*($LT298/Control!$C$141)+$LM298*$LW298)/($AC298+$LM298)</f>
        <v>0.71612369323045078</v>
      </c>
      <c r="MF298" s="170" t="e">
        <f ca="1">IF(Control!$B$16&gt;=1000,0.92,IF(AND(720&lt;=Control!$B$16,1000&gt;Control!$B$16),(0.95+(Control!$B$16-720)*((0.92-0.95)/(1000-720))),IF(AND(360&lt;=Control!$B$16,720&gt;Control!$B$16),(1+(Control!$B$16-360)*((0.95-1)/(720-360))),IF(AND(40&lt;=Control!$B$16,360&gt;Control!$B$16),(1.05+(Control!$B$16-40)*((1.05-1)/(360-40)))))))</f>
        <v>#N/A</v>
      </c>
      <c r="MG298" s="170">
        <f t="shared" ca="1" si="1030"/>
        <v>0.71612369323045078</v>
      </c>
      <c r="MH298" s="170" t="e">
        <f t="shared" ca="1" si="1156"/>
        <v>#N/A</v>
      </c>
      <c r="MI298" s="170" t="e">
        <f t="shared" ca="1" si="1156"/>
        <v>#N/A</v>
      </c>
      <c r="MJ298" s="170" t="e">
        <f ca="1">MAX(0.0001, Control!$C$132*$MI298*$DL298)</f>
        <v>#N/A</v>
      </c>
      <c r="MK298" s="170">
        <f ca="1">1/(0.76+1.5*($MG298/10))-(5-Control!$C$110)*0.1</f>
        <v>1.002845988140797</v>
      </c>
      <c r="ML298" s="173">
        <f ca="1">IF(Control!$C$110&lt;3,$MK298+($MG298-0.6)/(Control!$C$110*(Control!$C$110+3)), MAX(0.1, MIN(0.95,$MK298)))</f>
        <v>0.95</v>
      </c>
      <c r="MM298" s="173">
        <f ca="1">IF(Control!$C$110&lt;3,$MK298+(($MI298/10)-0.6)/(Control!$C$110*(Control!$C$110+3)), MAX(0.1, MIN(0.95,$MK298)))</f>
        <v>0.95</v>
      </c>
      <c r="MN298" s="173">
        <f ca="1">(1-$MM298)*(Control!$C$128-Control!$C$127)+Control!$C$127</f>
        <v>0.16</v>
      </c>
      <c r="MO298" s="170" t="e">
        <f ca="1">MAX(0,MIN(1,($MS298-Control!$C$127)/($MN298-Control!$C$127)))</f>
        <v>#DIV/0!</v>
      </c>
      <c r="MP298" s="173" t="e">
        <f ca="1">1/(0.76+1.5*$MI298)-(5-Control!$C$110)*0.1</f>
        <v>#N/A</v>
      </c>
      <c r="MQ298" s="172" t="e">
        <f t="shared" ca="1" si="1147"/>
        <v>#DIV/0!</v>
      </c>
      <c r="MR298" s="168" t="e">
        <f t="shared" ca="1" si="1119"/>
        <v>#DIV/0!</v>
      </c>
      <c r="MS298" s="173" t="e">
        <f ca="1">MAX(Control!$C$127, MIN(Control!$C$135, $MR298/MAX(0.0001,$CY298)))</f>
        <v>#DIV/0!</v>
      </c>
      <c r="MT298" s="168" t="e">
        <f ca="1">(Control!$C$128-$MS298)*Control!$C$74</f>
        <v>#DIV/0!</v>
      </c>
      <c r="MU298" s="168" t="e">
        <f ca="1">(Control!$C$135-$MS298)*Control!$C$74</f>
        <v>#DIV/0!</v>
      </c>
      <c r="MV298" s="168" t="e">
        <f t="shared" ca="1" si="1120"/>
        <v>#DIV/0!</v>
      </c>
      <c r="MW298" s="168" t="e">
        <f t="shared" ca="1" si="1121"/>
        <v>#DIV/0!</v>
      </c>
      <c r="MX298" s="171" t="e">
        <f ca="1">MAX(Control!$C$127, MIN(Control!$C$135, $MW298/MAX(0.0001,Control!$C$119-$CY298)))</f>
        <v>#DIV/0!</v>
      </c>
      <c r="MY298" s="54" t="e">
        <f ca="1">IF(Control!$C$114=1, $CX298*$MX298, 0)</f>
        <v>#DIV/0!</v>
      </c>
      <c r="MZ298" s="54" t="e">
        <f t="shared" ca="1" si="1122"/>
        <v>#N/A</v>
      </c>
      <c r="NA298" s="168" t="e">
        <f ca="1">(Control!$C$128-$MX298)*(Control!$C$119-Control!$C$74)</f>
        <v>#DIV/0!</v>
      </c>
      <c r="NB298" s="168" t="e">
        <f ca="1">(Control!$C$135-$MX298)*(Control!$C$119-Control!$C$74)</f>
        <v>#DIV/0!</v>
      </c>
      <c r="NC298" s="174" t="e">
        <f t="shared" ca="1" si="1123"/>
        <v>#DIV/0!</v>
      </c>
      <c r="ND298" s="54">
        <f ca="1">IF(Control!$C$58=2, IF(OR(Control!$B$218=$AH298,Control!$B$219=$AH298, Control!$B$220=$AH298, Control!$B$221=$AH298, Control!$B$222=$AH298, Control!$B$223=$AH298, Control!$B$224=$AH298, Control!$B$225=$AH298, Control!$B$226=$AH298, Control!$B$227=$AH298, Control!$B$228=$AH298), 1, 0), 0)</f>
        <v>0</v>
      </c>
      <c r="NE298" s="54">
        <f ca="1">IF($ND298=0,0, VLOOKUP($AH298,Control!$B$218:$C$228,2))</f>
        <v>0</v>
      </c>
      <c r="NF298" s="168" t="e">
        <f ca="1">$CY298*(Control!$C$128-Control!$C$127)</f>
        <v>#N/A</v>
      </c>
      <c r="NG298" s="54" t="e">
        <f ca="1">IF(Control!$C$58=2, $NI297-$NJ297, 0)</f>
        <v>#DIV/0!</v>
      </c>
      <c r="NH298" s="54" t="e">
        <f ca="1">IF(AND(Control!$C$58=1, $MS297&lt;= ($MN297+0.02), $I297&lt;10), 0, IF(Control!$C$58=2, $NG297, 0))</f>
        <v>#DIV/0!</v>
      </c>
      <c r="NI298" s="54" t="e">
        <f ca="1">IF(Control!$C$58=2, $NE298+$NH298,0)</f>
        <v>#DIV/0!</v>
      </c>
      <c r="NJ298" s="54" t="e">
        <f ca="1">IF(AND(Control!$C$58=1, $MS298&lt;= ($MN298+0.02), $I298&lt;10), MAX(0, MIN(10, 0.7*($NF298-$MV298))), IF(Control!$C$58=2, MIN(10,$NI298),0))</f>
        <v>#DIV/0!</v>
      </c>
      <c r="NK298" s="54" t="e">
        <f t="shared" ca="1" si="1031"/>
        <v>#DIV/0!</v>
      </c>
      <c r="NL298" s="173" t="e">
        <f ca="1">(1-Control!$C$73)*$I298+$NJ298</f>
        <v>#DIV/0!</v>
      </c>
      <c r="NM298" s="172" t="e">
        <f ca="1">IF($NL298&lt;0.5, $MB298* MAX(0, MIN(1, (SQRT($NC298)-SQRT($NC298-1))*Control!$C$71)),0)</f>
        <v>#DIV/0!</v>
      </c>
      <c r="NN298" s="170" t="e">
        <f ca="1">IF($NL298&gt;=5, $MB298, MAX(0,MIN($MB298, $NM298+$NL298,($MS298-Control!$C$129))))</f>
        <v>#DIV/0!</v>
      </c>
      <c r="NO298" s="54">
        <f>IF(Control!$C$133&lt;&gt;1, Control!$C$135-Control!$C$131, 0)</f>
        <v>0.38</v>
      </c>
      <c r="NP298" s="54" t="e">
        <f t="shared" ca="1" si="1032"/>
        <v>#DIV/0!</v>
      </c>
      <c r="NQ298" s="173" t="e">
        <f ca="1">MAX(0,MIN(1,(Control!$C$135-$MS298)/(Control!$C$135-$NO298)))</f>
        <v>#DIV/0!</v>
      </c>
      <c r="NR298" s="170" t="e">
        <f ca="1">IF(Control!$C$133&lt;&gt;1, $NQ298+((1-$NP298/4)*(1-$NQ298)),1)</f>
        <v>#DIV/0!</v>
      </c>
      <c r="NS298" s="170" t="e">
        <f ca="1">IF(Control!$B$31=0,$MJ298,MAX(0,MIN($MV298,$MO298*$NR298*$MJ298)))</f>
        <v>#DIV/0!</v>
      </c>
      <c r="NT298" s="170" t="e">
        <f t="shared" ca="1" si="1148"/>
        <v>#DIV/0!</v>
      </c>
      <c r="NU298" s="170" t="e">
        <f t="shared" ca="1" si="1124"/>
        <v>#N/A</v>
      </c>
      <c r="NV298" s="170" t="e">
        <f t="shared" ca="1" si="1033"/>
        <v>#N/A</v>
      </c>
      <c r="NW298" s="175" t="e">
        <f t="shared" ca="1" si="1034"/>
        <v>#DIV/0!</v>
      </c>
      <c r="NX298" s="170" t="e">
        <f ca="1">MIN(Control!$C$72+$MU298, $NW298)</f>
        <v>#DIV/0!</v>
      </c>
      <c r="NY298" s="170" t="e">
        <f ca="1">IF($MT298&lt;=$NX298,MIN(Control!$C$72+$NB298,$NX298-$MT298),0)</f>
        <v>#DIV/0!</v>
      </c>
      <c r="NZ298" s="54" t="e">
        <f ca="1">IF(Control!$C$114=1,  $CX298*($MX298-Control!$C$127), 0)</f>
        <v>#DIV/0!</v>
      </c>
      <c r="OA298" s="170" t="e">
        <f t="shared" ca="1" si="1035"/>
        <v>#DIV/0!</v>
      </c>
      <c r="OB298" s="170" t="e">
        <f ca="1">IF($NA298 &lt;=$NY298, MIN(Control!$C$72, $NY298-$NA298), 0)</f>
        <v>#DIV/0!</v>
      </c>
      <c r="OC298" s="168" t="e">
        <f t="shared" ca="1" si="1036"/>
        <v>#DIV/0!</v>
      </c>
      <c r="OD298" s="168" t="e">
        <f t="shared" ca="1" si="1125"/>
        <v>#DIV/0!</v>
      </c>
      <c r="OE298" s="170">
        <f ca="1">Control!$C$73*$I298</f>
        <v>0</v>
      </c>
      <c r="OF298" s="176" t="e">
        <f t="shared" ca="1" si="1037"/>
        <v>#DIV/0!</v>
      </c>
      <c r="OG298" s="168" t="e">
        <f t="shared" ca="1" si="1038"/>
        <v>#DIV/0!</v>
      </c>
      <c r="OH298" s="168" t="e">
        <f t="shared" ca="1" si="1039"/>
        <v>#DIV/0!</v>
      </c>
      <c r="OI298" s="168" t="e">
        <f t="shared" ca="1" si="1040"/>
        <v>#DIV/0!</v>
      </c>
      <c r="OJ298" s="168" t="e">
        <f t="shared" ca="1" si="1041"/>
        <v>#DIV/0!</v>
      </c>
      <c r="OK298" s="204" t="e">
        <f t="shared" ca="1" si="1042"/>
        <v>#DIV/0!</v>
      </c>
      <c r="OL298" s="177">
        <f>Control!$C$127</f>
        <v>0.15</v>
      </c>
      <c r="OM298" s="182" t="e">
        <f t="shared" ca="1" si="1043"/>
        <v>#N/A</v>
      </c>
      <c r="ON298" s="177">
        <f>Control!$C$128</f>
        <v>0.35</v>
      </c>
      <c r="OO298" s="182" t="e">
        <f t="shared" ca="1" si="1044"/>
        <v>#N/A</v>
      </c>
      <c r="OP298" s="138">
        <f t="shared" ca="1" si="1126"/>
        <v>0</v>
      </c>
      <c r="OQ298" s="138" t="e">
        <f t="shared" ca="1" si="1149"/>
        <v>#DIV/0!</v>
      </c>
      <c r="OR298" s="138" t="e">
        <f t="shared" ca="1" si="1127"/>
        <v>#DIV/0!</v>
      </c>
      <c r="OS298" s="137" t="e">
        <f t="shared" ca="1" si="1150"/>
        <v>#DIV/0!</v>
      </c>
      <c r="OT298" s="139" t="e">
        <f t="shared" ca="1" si="1151"/>
        <v>#DIV/0!</v>
      </c>
      <c r="OU298" s="138" t="e">
        <f t="shared" ca="1" si="1152"/>
        <v>#N/A</v>
      </c>
      <c r="OV298" s="138" t="e">
        <f t="shared" ca="1" si="1153"/>
        <v>#DIV/0!</v>
      </c>
      <c r="OW298" s="138" t="e">
        <f t="shared" ca="1" si="1128"/>
        <v>#DIV/0!</v>
      </c>
      <c r="OX298" s="138" t="e">
        <f t="shared" ca="1" si="1129"/>
        <v>#DIV/0!</v>
      </c>
      <c r="OY298" s="138" t="e">
        <f t="shared" ca="1" si="1130"/>
        <v>#DIV/0!</v>
      </c>
      <c r="OZ298" s="138" t="e">
        <f t="shared" ca="1" si="1045"/>
        <v>#DIV/0!</v>
      </c>
      <c r="PA298" s="138" t="e">
        <f t="shared" ca="1" si="1046"/>
        <v>#DIV/0!</v>
      </c>
      <c r="PB298" s="55">
        <f>IF(Control!$C$61="T", IF(Control!$C$65="F", IF($AH$6-Control!$C$60&lt;0,0,1), IF(365+$AH$6-Control!$C$60&lt;0,0,1)),0)</f>
        <v>0</v>
      </c>
      <c r="PC298" s="55">
        <f ca="1">IF(Control!$C$65="F", IF($AH$6-$HF298&lt;0,0,1), IF(365+$AH$6-$HF298&lt;0,0,1))</f>
        <v>1</v>
      </c>
      <c r="PD298" s="444">
        <f>Control!$C$118</f>
        <v>1500</v>
      </c>
      <c r="PE298" s="180" t="e">
        <f t="shared" ca="1" si="1047"/>
        <v>#N/A</v>
      </c>
      <c r="PF298" s="445">
        <f t="shared" ca="1" si="1131"/>
        <v>0.71612369323045078</v>
      </c>
      <c r="PT298" s="186"/>
      <c r="PU298" s="186"/>
      <c r="PV298" s="94"/>
      <c r="PW298" s="94"/>
      <c r="PX298" s="94"/>
      <c r="PY298" s="94"/>
      <c r="PZ298" s="94"/>
      <c r="QA298" s="94"/>
      <c r="QB298" s="94"/>
      <c r="QC298" s="94"/>
      <c r="QD298" s="94"/>
      <c r="QE298" s="94"/>
      <c r="QF298" s="94"/>
      <c r="QG298" s="94"/>
      <c r="QH298" s="94"/>
      <c r="QI298" s="94"/>
      <c r="QJ298" s="94"/>
      <c r="QK298" s="94"/>
      <c r="QL298" s="94"/>
      <c r="QM298" s="94"/>
      <c r="QN298" s="94"/>
      <c r="QO298" s="94"/>
      <c r="QP298" s="94"/>
    </row>
    <row r="299" spans="1:458" s="2" customFormat="1" x14ac:dyDescent="0.2">
      <c r="A299" s="395">
        <v>21</v>
      </c>
      <c r="B299" s="396">
        <v>10</v>
      </c>
      <c r="C299" s="387">
        <f ca="1">Weather_data!$B298</f>
        <v>0</v>
      </c>
      <c r="D299" s="388">
        <f ca="1">Weather_data!$F298</f>
        <v>0</v>
      </c>
      <c r="E299" s="388">
        <f ca="1">Weather_data!$E298</f>
        <v>0</v>
      </c>
      <c r="F299" s="388">
        <f t="shared" ca="1" si="1048"/>
        <v>0</v>
      </c>
      <c r="G299" s="388">
        <f ca="1">AVERAGE($D299:$E299)+Control!$B$9</f>
        <v>0</v>
      </c>
      <c r="H299" s="388">
        <f ca="1">Weather_data!$G298</f>
        <v>0</v>
      </c>
      <c r="I299" s="388">
        <f ca="1">Weather_data!$I298</f>
        <v>0</v>
      </c>
      <c r="J299" s="388">
        <f ca="1">Weather_data!$H298</f>
        <v>0</v>
      </c>
      <c r="K299" s="389">
        <f ca="1">Weather_data!$D298</f>
        <v>0</v>
      </c>
      <c r="L299" s="388" t="e">
        <f t="shared" ca="1" si="1049"/>
        <v>#N/A</v>
      </c>
      <c r="M299" s="388" t="e">
        <f t="shared" ca="1" si="927"/>
        <v>#N/A</v>
      </c>
      <c r="N299" s="388">
        <f t="shared" ca="1" si="928"/>
        <v>-1.9589586550579701E-14</v>
      </c>
      <c r="O299" s="388">
        <f t="shared" ca="1" si="1050"/>
        <v>1.9589586550579702E-13</v>
      </c>
      <c r="P299" s="390">
        <v>3</v>
      </c>
      <c r="Q299" s="388">
        <f ca="1">MAX($G299-Control!$C$107,0)</f>
        <v>0</v>
      </c>
      <c r="R299" s="388">
        <f t="shared" ca="1" si="1051"/>
        <v>0</v>
      </c>
      <c r="S299" s="388">
        <f t="shared" ca="1" si="929"/>
        <v>0</v>
      </c>
      <c r="T299" s="388">
        <f t="shared" ca="1" si="930"/>
        <v>0</v>
      </c>
      <c r="U299" s="59">
        <f t="shared" ca="1" si="931"/>
        <v>0</v>
      </c>
      <c r="V299" s="391">
        <f ca="1">MAX(0,MIN(Control!$C$100-Control!$C$99,$G299-Control!$C$99)*Control!$C$63)</f>
        <v>0</v>
      </c>
      <c r="W299" s="388">
        <f t="shared" ca="1" si="1052"/>
        <v>0</v>
      </c>
      <c r="X299" s="388">
        <f t="shared" ca="1" si="1053"/>
        <v>0.6110000000000001</v>
      </c>
      <c r="Y299" s="388">
        <f t="shared" ca="1" si="932"/>
        <v>0</v>
      </c>
      <c r="Z299" s="388">
        <f t="shared" ca="1" si="1054"/>
        <v>0.61058800000000002</v>
      </c>
      <c r="AA299" s="388">
        <f t="shared" ca="1" si="933"/>
        <v>0.6018</v>
      </c>
      <c r="AB299" s="388">
        <f ca="1">101.3*EXP(-0.034*Control!$C$66/($G299+273))</f>
        <v>100.69623283836242</v>
      </c>
      <c r="AC299" s="392">
        <f t="shared" ca="1" si="934"/>
        <v>4.3460251046025113E-2</v>
      </c>
      <c r="AD299" s="392">
        <f t="shared" ca="1" si="935"/>
        <v>4.4450382862832649E-2</v>
      </c>
      <c r="AE299" s="388">
        <f t="shared" ca="1" si="936"/>
        <v>0</v>
      </c>
      <c r="AF299" s="388">
        <f ca="1">MAX(0,$G299-Control!$C$92)</f>
        <v>0</v>
      </c>
      <c r="AG299" s="393">
        <f t="shared" ca="1" si="937"/>
        <v>295</v>
      </c>
      <c r="AH299" s="389">
        <f t="shared" ca="1" si="938"/>
        <v>295</v>
      </c>
      <c r="AI299" s="388">
        <f t="shared" ca="1" si="1055"/>
        <v>-0.20534216443455094</v>
      </c>
      <c r="AJ299" s="388">
        <f ca="1">IF(Control!$C$60&lt;=0,$HH299,$HI299)</f>
        <v>1</v>
      </c>
      <c r="AK299" s="388">
        <f t="shared" ca="1" si="939"/>
        <v>3.7010543590235918</v>
      </c>
      <c r="AL299" s="388">
        <f t="shared" ca="1" si="940"/>
        <v>2.344005198273713E-18</v>
      </c>
      <c r="AM299" s="388">
        <f t="shared" ca="1" si="941"/>
        <v>3.7010543590235918</v>
      </c>
      <c r="AN299" s="388">
        <f t="shared" ca="1" si="942"/>
        <v>-0.21272515994582164</v>
      </c>
      <c r="AO299" s="388">
        <f ca="1">-0.10453/COS(Control!$B$8*PI()/180)*COS(AN299)</f>
        <v>-0.16595777708531484</v>
      </c>
      <c r="AP299" s="388">
        <f ca="1">ACOS(AO299-TAN(Control!$B$8*PI()/180)*TAN(AN299))</f>
        <v>1.4600694595117669</v>
      </c>
      <c r="AQ299" s="388">
        <f t="shared" ca="1" si="1056"/>
        <v>0</v>
      </c>
      <c r="AR299" s="394">
        <f t="shared" ca="1" si="943"/>
        <v>0</v>
      </c>
      <c r="AS299" s="436">
        <f ca="1">IF(Control!$B$18=2,(IF(OR($AH299=Control!$B$175,$AH299=Control!$B$176,$AH299=Control!$B$177,$AH299=Control!$B$178,$AH299=Control!$B$179,$AH299=Control!$B$180,$AH299=Control!$B$181,$AH299=Control!$B$182,$AH299=Control!$B$183,$AH299=Control!$B$184,$AH299=Control!$B$185),1,0)),0)</f>
        <v>0</v>
      </c>
      <c r="AT299" s="436">
        <f>IF(Control!$B$20=8,IF(AND($AH299&gt;=Control!$B$172,$AH299&lt;=Control!$B$173),1,0),0)</f>
        <v>0</v>
      </c>
      <c r="AU299" s="436">
        <f>IF(Control!$B$20=8,IF($AV298=1,1*$AT299,IF($AT299=1,$AU298+1,$AU298)),0)</f>
        <v>0</v>
      </c>
      <c r="AV299" s="436">
        <f>IF(Control!$B$20=8,IF($AU299&gt;=Control!$B$174,1,0),0)</f>
        <v>0</v>
      </c>
      <c r="AW299" s="436">
        <f ca="1">IF(AND(Control!$B$18=2,Control!$B$171=1), $AV299, $AS299)</f>
        <v>0</v>
      </c>
      <c r="AX299" s="436" t="e">
        <f ca="1">IF(AND(Control!$B$18=1,$EU299&gt;=Control!$B$19),-$AY299,IF(AND(Control!$B$18=2,$AW299=1,$EU299&gt;$DS299),-$AY299, IF(Control!$C$108=0,0, IF(Control!$C$108&lt;&gt;0,1))))</f>
        <v>#N/A</v>
      </c>
      <c r="AY299" s="436" t="e">
        <f t="shared" ca="1" si="1057"/>
        <v>#N/A</v>
      </c>
      <c r="AZ299" s="436" t="e">
        <f ca="1">IF(AND(Control!$B$18=1,$EB299&gt;Control!$B$19),$AZ298+1, IF(AND(Control!$B$18=2, $AW299=1, $EB299&gt;$DS299), $AZ298+1,$AZ298))</f>
        <v>#N/A</v>
      </c>
      <c r="BA299" s="587">
        <f>IF(Control!$C$81=0,1,IF($AH299&gt;=Control!$C$82,1,0))</f>
        <v>1</v>
      </c>
      <c r="BB299" s="140" t="e">
        <f ca="1">IF($BA299&gt;$BA298,Control!$C$83,IF($AW299&gt;0,$AW299*Control!$C$84,IF(AND(Control!$B$18=1,EN298&lt;&gt;0),Control!$C$84,0)))</f>
        <v>#N/A</v>
      </c>
      <c r="BC299" s="140" t="e">
        <f t="shared" ca="1" si="1058"/>
        <v>#N/A</v>
      </c>
      <c r="BD299" s="140" t="e">
        <f ca="1">BC299*IF(OR($G299&lt;Control!$C$92,$G299&gt;Control!$C$95),0,IF(AND($G299&gt;=Control!$C$92,$G299&lt;=Control!$C$93),$G299-Control!$C$92,IF(AND($G299&gt;Control!$C$93,$G299&lt;=Control!$C$94),Control!$C$93-Control!$C$92,IF(AND($G299&gt;Control!$C$94,$G299&lt;=Control!$C$95),(Control!$C$93-Control!$C$92)*(Control!$C$94-$G299)/(Control!$C$95-Control!$C$94)))))</f>
        <v>#N/A</v>
      </c>
      <c r="BE299" s="140" t="e">
        <f t="shared" ca="1" si="1059"/>
        <v>#N/A</v>
      </c>
      <c r="BF299" s="140" t="e">
        <f ca="1">IF($BE299&lt;=Control!$C$86,$BE299,Control!$C$86-$BE299)</f>
        <v>#N/A</v>
      </c>
      <c r="BG299" s="140" t="e">
        <f ca="1">IF(AND($AW299=1,Control!$C$84&lt;9),1,IF($BE299&gt;=Control!$C$86,0,$BC299))</f>
        <v>#N/A</v>
      </c>
      <c r="BH299" s="404" t="e">
        <f ca="1">IF($BG299=0,0,IF($BE299&lt;=Control!$C$86,$BC299*9*($BF299/Control!$C$86),0))</f>
        <v>#N/A</v>
      </c>
      <c r="BI299" s="140" t="e">
        <f ca="1">IF($BG299=1,0,IF($BE299&gt;=Control!$C$86,1,IF(AND($BB299&lt;21,$BB299&gt;=9),1,$BM298)))</f>
        <v>#N/A</v>
      </c>
      <c r="BJ299" s="140" t="e">
        <f ca="1">IF($BF299&lt;0,-$BF299,$BI299*IF(OR($G299&lt;Control!$C$92,$G299&gt;Control!$C$95),0,IF(AND($G299&gt;=Control!$C$92,$G299&lt;=Control!$C$93),$G299-Control!$C$92,IF(AND($G299&gt;Control!$C$93,$G299&lt;=Control!$C$94),Control!$C$93-Control!$C$92,IF(AND($G299&gt;Control!$C$94,$G299&lt;=Control!$C$95),(Control!$C$93-Control!$C$92)*(Control!$C$94-$G299)/(Control!$C$95-Control!$C$94))))))</f>
        <v>#N/A</v>
      </c>
      <c r="BK299" s="140" t="e">
        <f t="shared" ca="1" si="1060"/>
        <v>#N/A</v>
      </c>
      <c r="BL299" s="140" t="e">
        <f ca="1">IF($BK299&lt;=Control!$C$87,$BK299,Control!$C$87-$BK299)</f>
        <v>#N/A</v>
      </c>
      <c r="BM299" s="140" t="e">
        <f ca="1">IF(AND($BB299&gt;=9,$BB299&lt;21),1,IF($BK299&gt;=Control!$C$87,0,$BI299))</f>
        <v>#N/A</v>
      </c>
      <c r="BN299" s="404" t="e">
        <f ca="1">IF($BM299=0,0,IF($BK299&lt;=Control!$C$87,$BI299*(9+(21-9)*($BL299/Control!$C$87)),0))</f>
        <v>#N/A</v>
      </c>
      <c r="BO299" s="140" t="e">
        <f ca="1">IF($BM299=1,0,IF($BK299&gt;=Control!$C$87,1,IF(AND($BB299&lt;30,$BB299&gt;=21),1,$BS298)))</f>
        <v>#N/A</v>
      </c>
      <c r="BP299" s="140" t="e">
        <f ca="1">IF($BL299&lt;0,-$BL299,$BO299*IF(OR($G299&lt;Control!$C$92,$G299&gt;Control!$C$95),0,IF(AND($G299&gt;=Control!$C$92,$G299&lt;=Control!$C$93),$G299-Control!$C$92,IF(AND($G299&gt;Control!$C$93,$G299&lt;=Control!$C$94),Control!$C$93-Control!$C$92,IF(AND($G299&gt;Control!$C$94,$G299&lt;=Control!$C$95),(Control!$C$93-Control!$C$92)*(Control!$C$94-$G299)/(Control!$C$95-Control!$C$94))))))</f>
        <v>#N/A</v>
      </c>
      <c r="BQ299" s="140" t="e">
        <f t="shared" ca="1" si="944"/>
        <v>#N/A</v>
      </c>
      <c r="BR299" s="140" t="e">
        <f ca="1">IF($BQ299&lt;=Control!$C$88,$BQ299,Control!$C$88-$BQ299)</f>
        <v>#N/A</v>
      </c>
      <c r="BS299" s="140" t="e">
        <f ca="1">IF(AND($BB299&gt;=21,$BB299&lt;30),1,IF($BQ299&gt;=Control!$C$88,0,$BO299))</f>
        <v>#N/A</v>
      </c>
      <c r="BT299" s="404" t="e">
        <f ca="1">IF($BS299=0,0,IF($BQ299&lt;=Control!$C$88,$BO299*(21+(30-21)*(BR299/Control!$C$88)),0))</f>
        <v>#N/A</v>
      </c>
      <c r="BU299" s="140" t="e">
        <f ca="1">IF(BG299+BM299+BS299=1,0,IF(OR(AND($BB299&lt;60,$BB299&gt;=30),$BQ299&gt;=Control!$C$88),1*$BA299,$BY298))</f>
        <v>#N/A</v>
      </c>
      <c r="BV299" s="140" t="e">
        <f ca="1">IF($BR299&lt;0,-$BR299,$BU299*IF(OR($G299&lt;Control!$C$92,$G299&gt;Control!$C$95),0,IF(AND($G299&gt;=Control!$C$92,$G299&lt;=Control!$C$93),$G299-Control!$C$92,IF(AND($G299&gt;Control!$C$93,$G299&lt;=Control!$C$94),Control!$C$93-Control!$C$92,IF(AND($G299&gt;Control!$C$94,$G299&lt;=Control!$C$95),(Control!$C$93-Control!$C$92)*(Control!$C$94-$G299)/(Control!$C$95-Control!$C$94))))))</f>
        <v>#N/A</v>
      </c>
      <c r="BW299" s="140" t="e">
        <f t="shared" ca="1" si="945"/>
        <v>#N/A</v>
      </c>
      <c r="BX299" s="140" t="e">
        <f ca="1">IF($BW299&lt;=Control!$C$89,$BW299,Control!$C$89-$BW299)</f>
        <v>#N/A</v>
      </c>
      <c r="BY299" s="140" t="e">
        <f ca="1">IF(AND($AJ299&gt;=30,$AJ299&lt;60),1,IF($BW299&gt;=Control!$C$89,0,$BU299))</f>
        <v>#N/A</v>
      </c>
      <c r="BZ299" s="404" t="e">
        <f ca="1">IF($BY299=0,0,IF($BW299&lt;=Control!$C$89,$BU299*(30+(60-30)*(BX299/Control!$C$89)),0))</f>
        <v>#N/A</v>
      </c>
      <c r="CA299" s="140" t="e">
        <f ca="1">IF($BG299+$BM299+$BS299+$BY299=1,0,IF(OR(AND($BB299&lt;65,$BB299&gt;=60),$BW299&gt;=Control!$C$89),1*$BA299,$CE298))</f>
        <v>#N/A</v>
      </c>
      <c r="CB299" s="140" t="e">
        <f ca="1">IF($BX299&lt;0,-$BX299,$CA299*IF(OR($G299&lt;Control!$C$92,$G299&gt;Control!$C$95),0,IF(AND($G299&gt;=Control!$C$92,$G299&lt;=Control!$C$93),$G299-Control!$C$92,IF(AND($G299&gt;Control!$C$93,$G299&lt;=Control!$C$94),Control!$C$93-Control!$C$92,IF(AND($G299&gt;Control!$C$94,$G299&lt;=Control!$C$95),(Control!$C$93-Control!$C$92)*(Control!$C$94-$G299)/(Control!$C$95-Control!$C$94))))))</f>
        <v>#N/A</v>
      </c>
      <c r="CC299" s="140" t="e">
        <f t="shared" ca="1" si="1061"/>
        <v>#N/A</v>
      </c>
      <c r="CD299" s="140" t="e">
        <f ca="1">IF($CC299&lt;=Control!$C$90,$CC299,Control!$C$90-$CC299)</f>
        <v>#N/A</v>
      </c>
      <c r="CE299" s="140" t="e">
        <f ca="1">IF(AND($BB299&gt;=60,$BB299&lt;65),1,IF($CC299&gt;=Control!$C$90,0,$CA299))</f>
        <v>#N/A</v>
      </c>
      <c r="CF299" s="404" t="e">
        <f ca="1">IF($CE299=0,0,IF($CC299&lt;=Control!$C$90,$CA299*(60+(65-60)*(CD299/Control!$C$90)),0))</f>
        <v>#N/A</v>
      </c>
      <c r="CG299" s="140" t="e">
        <f ca="1">IF($BG299+$BM299+$BS299+$BY299+$CE299=1,0,IF(OR(AND($BB299&lt;90,$BB299&gt;=65),$CC299&gt;=Control!$C$90),$BA299,$CK298))</f>
        <v>#N/A</v>
      </c>
      <c r="CH299" s="140" t="e">
        <f ca="1">IF($CD299&lt;0,-$CD299,$CG299*IF(OR($G299&lt;Control!$C$92,$G299&gt;Control!$C$95),0,IF(AND($G299&gt;=Control!$C$92,$G299&lt;=Control!$C$93),$G299-Control!$C$92,IF(AND($G299&gt;Control!$C$93,$G299&lt;=Control!$C$94),Control!$C$93-Control!$C$92,IF(AND($G299&gt;Control!$C$94,$G299&lt;=Control!$C$95),(Control!$C$93-Control!$C$92)*(Control!$C$94-$G299)/(Control!$C$95-Control!$C$94))))))</f>
        <v>#N/A</v>
      </c>
      <c r="CI299" s="140" t="e">
        <f t="shared" ca="1" si="1062"/>
        <v>#N/A</v>
      </c>
      <c r="CJ299" s="140" t="e">
        <f ca="1">IF($CI299&lt;=Control!$C$91,$CI299,Control!$C$91-$CI299)</f>
        <v>#N/A</v>
      </c>
      <c r="CK299" s="140" t="e">
        <f ca="1">IF(AND($BB299&gt;=65,$BB299&lt;90),1,IF($CI299&gt;=Control!$C$91,0,$CG299))</f>
        <v>#N/A</v>
      </c>
      <c r="CL299" s="404" t="e">
        <f ca="1">IF($CK299=0,0,IF($CI299&lt;=Control!$C$91,$CG299*(65+(90-65)*($CJ299/Control!$C$91)),0))</f>
        <v>#N/A</v>
      </c>
      <c r="CM299" s="140" t="e">
        <f ca="1">IF($BG299+$BM299+$BS299+$BY299+$CE299+$CK299=1,0,IF(OR($BB299&gt;=90,$CI299&gt;=Control!$C$91),$BA299,$CM298))</f>
        <v>#N/A</v>
      </c>
      <c r="CN299" s="140" t="e">
        <f t="shared" ca="1" si="1063"/>
        <v>#N/A</v>
      </c>
      <c r="CO299" s="140" t="e">
        <f t="shared" ca="1" si="1064"/>
        <v>#N/A</v>
      </c>
      <c r="CP299" s="140" t="e">
        <f t="shared" ca="1" si="1065"/>
        <v>#N/A</v>
      </c>
      <c r="CQ299" s="141" t="e">
        <f ca="1">VLOOKUP($CP299,Control!$B$86:$G$91,6)</f>
        <v>#N/A</v>
      </c>
      <c r="CR299" s="141" t="e">
        <f ca="1">(1-$CQ299)*VLOOKUP($CP299,Control!$B$86:$D$91,3)</f>
        <v>#N/A</v>
      </c>
      <c r="CS299" s="141" t="e">
        <f ca="1">(1-$CQ299)*VLOOKUP($CP299,Control!$B$86:$E$91,4)</f>
        <v>#N/A</v>
      </c>
      <c r="CT299" s="141" t="e">
        <f ca="1">(1-$CQ299)*VLOOKUP($CP299,Control!$B$86:$F$91,5)</f>
        <v>#N/A</v>
      </c>
      <c r="CU299" s="141">
        <f t="shared" ca="1" si="1066"/>
        <v>0</v>
      </c>
      <c r="CV299" s="583">
        <f t="shared" ca="1" si="1067"/>
        <v>0</v>
      </c>
      <c r="CW299" s="142">
        <f t="shared" ca="1" si="1068"/>
        <v>295</v>
      </c>
      <c r="CX299" s="612" t="e">
        <f ca="1">IF(Control!$C$114=1,(MIN(Control!$C$120*(IF($NT299-0.01&lt;0,0,1)),Control!$C$119-$CY299)))</f>
        <v>#DIV/0!</v>
      </c>
      <c r="CY299" s="143" t="e">
        <f t="shared" ca="1" si="1069"/>
        <v>#N/A</v>
      </c>
      <c r="CZ299" s="144">
        <f t="shared" ca="1" si="946"/>
        <v>0</v>
      </c>
      <c r="DA299" s="144">
        <f t="shared" ca="1" si="947"/>
        <v>0</v>
      </c>
      <c r="DB299" s="144" t="e">
        <f t="shared" ca="1" si="948"/>
        <v>#N/A</v>
      </c>
      <c r="DC299" s="144" t="e">
        <f t="shared" ca="1" si="949"/>
        <v>#N/A</v>
      </c>
      <c r="DD299" s="144" t="e">
        <f t="shared" ca="1" si="1154"/>
        <v>#N/A</v>
      </c>
      <c r="DE299" s="143" t="e">
        <f t="shared" ca="1" si="1070"/>
        <v>#N/A</v>
      </c>
      <c r="DF299" s="145" t="e">
        <f ca="1">$DR299*EXP(-Control!$C$158*(1-$KH299))</f>
        <v>#N/A</v>
      </c>
      <c r="DG299" s="146" t="e">
        <f ca="1">IF(Control!$C$114=1, $DF299*$EY299, 0)</f>
        <v>#N/A</v>
      </c>
      <c r="DH299" s="147" t="e">
        <f t="shared" ca="1" si="1071"/>
        <v>#N/A</v>
      </c>
      <c r="DI299" s="144" t="e">
        <f t="shared" ca="1" si="1132"/>
        <v>#N/A</v>
      </c>
      <c r="DJ299" s="147" t="e">
        <f ca="1">$EF299*Control!$C$109</f>
        <v>#N/A</v>
      </c>
      <c r="DK299" s="144" t="e">
        <f t="shared" ca="1" si="1072"/>
        <v>#N/A</v>
      </c>
      <c r="DL299" s="144" t="e">
        <f t="shared" ca="1" si="950"/>
        <v>#N/A</v>
      </c>
      <c r="DM299" s="144" t="e">
        <f ca="1">IF(Control!$C$114=1, (1-EXP(-Control!$C$96*$DK299))*$AR299, 0)</f>
        <v>#N/A</v>
      </c>
      <c r="DN299" s="144">
        <f t="shared" ca="1" si="1073"/>
        <v>0</v>
      </c>
      <c r="DO299" s="148">
        <f>Control!$C$97</f>
        <v>4</v>
      </c>
      <c r="DP299" s="145" t="e">
        <f t="shared" ca="1" si="1074"/>
        <v>#N/A</v>
      </c>
      <c r="DQ299" s="145" t="e">
        <f ca="1">IF(AND($CP299&gt;=0,$CP299&lt;=90),Control!$C$111,Control!$C$111)</f>
        <v>#N/A</v>
      </c>
      <c r="DR299" s="145" t="e">
        <f t="shared" ca="1" si="951"/>
        <v>#N/A</v>
      </c>
      <c r="DS299" s="143" t="e">
        <f ca="1">Control!$B$22/$DR299</f>
        <v>#N/A</v>
      </c>
      <c r="DT299" s="149" t="e">
        <f ca="1">IF(AND(Control!$C$114=1,$KH299&lt;1),$IM299*$DF299, 0)</f>
        <v>#N/A</v>
      </c>
      <c r="DU299" s="144" t="e">
        <f t="shared" ca="1" si="1075"/>
        <v>#N/A</v>
      </c>
      <c r="DV299" s="144">
        <f ca="1">IF($G299-Control!$C$107&lt;=0, 0, 0.83*LN(MAX($G299, 3))-0.8924)</f>
        <v>0</v>
      </c>
      <c r="DW299" s="144" t="e">
        <f t="shared" ca="1" si="952"/>
        <v>#N/A</v>
      </c>
      <c r="DX299" s="150" t="e">
        <f ca="1">MAX(0.01*(1+$CU299/Control!$C$102),0.05*($DK299-Control!$C$97)/Control!$C$97)</f>
        <v>#N/A</v>
      </c>
      <c r="DY299" s="151" t="e">
        <f ca="1">IF(Control!$C$114=1, $DI299*$FS299, 0)</f>
        <v>#N/A</v>
      </c>
      <c r="DZ299" s="196" t="e">
        <f t="shared" ca="1" si="1076"/>
        <v>#N/A</v>
      </c>
      <c r="EA299" s="152">
        <f t="shared" ca="1" si="1077"/>
        <v>295</v>
      </c>
      <c r="EB299" s="153" t="e">
        <f t="shared" ca="1" si="1078"/>
        <v>#N/A</v>
      </c>
      <c r="EC299" s="153" t="e">
        <f t="shared" ca="1" si="1079"/>
        <v>#N/A</v>
      </c>
      <c r="ED299" s="154" t="e">
        <f ca="1">IF(Control!$C$114=1, $HM299*$FY299-$FD299, 0)</f>
        <v>#DIV/0!</v>
      </c>
      <c r="EE299" s="155" t="e">
        <f ca="1">IF(Control!$C$114=1, $HM299*$FZ299-$FF299, 0)</f>
        <v>#DIV/0!</v>
      </c>
      <c r="EF299" s="153" t="e">
        <f t="shared" ca="1" si="1133"/>
        <v>#N/A</v>
      </c>
      <c r="EG299" s="155" t="e">
        <f ca="1">IF(Control!$C$114=1, $GX299*$FW299-$FI299, 0)</f>
        <v>#DIV/0!</v>
      </c>
      <c r="EH299" s="153" t="e">
        <f t="shared" ca="1" si="1080"/>
        <v>#N/A</v>
      </c>
      <c r="EI299" s="156" t="e">
        <f t="shared" ca="1" si="1081"/>
        <v>#N/A</v>
      </c>
      <c r="EJ299" s="155" t="e">
        <f ca="1">IF(Control!$C$114=1, $HM299*$GB299, 0)</f>
        <v>#DIV/0!</v>
      </c>
      <c r="EK299" s="153" t="e">
        <f t="shared" ca="1" si="1134"/>
        <v>#N/A</v>
      </c>
      <c r="EL299" s="153" t="e">
        <f t="shared" ca="1" si="953"/>
        <v>#N/A</v>
      </c>
      <c r="EM299" s="153" t="e">
        <f t="shared" ca="1" si="954"/>
        <v>#N/A</v>
      </c>
      <c r="EN299" s="153" t="e">
        <f ca="1">IF(Control!$C$108=1,IF(AND(Control!$B$18=1,$EB299&gt;=Control!$B$19),$EB299-$DS299,IF(AND(Control!$B$18=2,$AW299=1,$EB299&gt;$DS299),$EB299-$DS299,0)))</f>
        <v>#N/A</v>
      </c>
      <c r="EO299" s="153" t="e">
        <f ca="1">IF(Control!$C$108=1,IF(AND(Control!$B$18=1,$EB299&gt;=Control!$B$19),$EF299,IF(AND(Control!$B$18=2,$AW299=1),$EF299,0)))</f>
        <v>#N/A</v>
      </c>
      <c r="EP299" s="153" t="e">
        <f ca="1">IF(Control!$C$108=1,IF(AND(Control!$B$18=1,$EB299&gt;=Control!$B$19),$EK299,IF(AND(Control!$B$18=2,$AW299=1),$EK299,0)))</f>
        <v>#N/A</v>
      </c>
      <c r="EQ299" s="153" t="e">
        <f t="shared" ca="1" si="1082"/>
        <v>#N/A</v>
      </c>
      <c r="ER299" s="153" t="e">
        <f t="shared" ca="1" si="1083"/>
        <v>#N/A</v>
      </c>
      <c r="ES299" s="153" t="e">
        <f t="shared" ca="1" si="1135"/>
        <v>#N/A</v>
      </c>
      <c r="ET299" s="153" t="e">
        <f t="shared" ca="1" si="1136"/>
        <v>#N/A</v>
      </c>
      <c r="EU299" s="153" t="e">
        <f t="shared" ca="1" si="1084"/>
        <v>#N/A</v>
      </c>
      <c r="EV299" s="153" t="e">
        <f t="shared" ca="1" si="955"/>
        <v>#N/A</v>
      </c>
      <c r="EW299" s="153" t="e">
        <f t="shared" ca="1" si="956"/>
        <v>#N/A</v>
      </c>
      <c r="EX299" s="153" t="e">
        <f t="shared" ca="1" si="957"/>
        <v>#N/A</v>
      </c>
      <c r="EY299" s="157" t="e">
        <f t="shared" ca="1" si="958"/>
        <v>#DIV/0!</v>
      </c>
      <c r="EZ299" s="154" t="e">
        <f t="shared" ca="1" si="959"/>
        <v>#DIV/0!</v>
      </c>
      <c r="FA299" s="153" t="e">
        <f t="shared" ca="1" si="1085"/>
        <v>#N/A</v>
      </c>
      <c r="FB299" s="153" t="e">
        <f t="shared" ca="1" si="960"/>
        <v>#N/A</v>
      </c>
      <c r="FC299" s="193" t="e">
        <f t="shared" ca="1" si="961"/>
        <v>#N/A</v>
      </c>
      <c r="FD299" s="158" t="e">
        <f t="shared" ca="1" si="1086"/>
        <v>#N/A</v>
      </c>
      <c r="FE299" s="158" t="e">
        <f t="shared" ca="1" si="1087"/>
        <v>#N/A</v>
      </c>
      <c r="FF299" s="159" t="e">
        <f t="shared" ca="1" si="962"/>
        <v>#N/A</v>
      </c>
      <c r="FG299" s="160" t="e">
        <f t="shared" ca="1" si="1088"/>
        <v>#N/A</v>
      </c>
      <c r="FH299" s="158" t="e">
        <f t="shared" ca="1" si="1089"/>
        <v>#N/A</v>
      </c>
      <c r="FI299" s="159" t="e">
        <f t="shared" ca="1" si="963"/>
        <v>#N/A</v>
      </c>
      <c r="FJ299" s="160" t="e">
        <f t="shared" ca="1" si="1090"/>
        <v>#N/A</v>
      </c>
      <c r="FK299" s="160" t="e">
        <f t="shared" ca="1" si="964"/>
        <v>#N/A</v>
      </c>
      <c r="FL299" s="160" t="e">
        <f t="shared" ca="1" si="1137"/>
        <v>#N/A</v>
      </c>
      <c r="FM299" s="160" t="e">
        <f t="shared" ca="1" si="965"/>
        <v>#N/A</v>
      </c>
      <c r="FN299" s="158">
        <f t="shared" ca="1" si="1091"/>
        <v>0.01</v>
      </c>
      <c r="FO299" s="160">
        <f>Control!$C$101</f>
        <v>50</v>
      </c>
      <c r="FP299" s="150" t="e">
        <f t="shared" ca="1" si="966"/>
        <v>#N/A</v>
      </c>
      <c r="FQ299" s="150" t="e">
        <f ca="1">MAX(0,(Control!$C$112*(($DK299-Control!$C$97)/Control!$C$97)))</f>
        <v>#N/A</v>
      </c>
      <c r="FR299" s="150" t="e">
        <f ca="1">(1-$NT299)*Control!$C$113</f>
        <v>#DIV/0!</v>
      </c>
      <c r="FS299" s="198" t="e">
        <f t="shared" ca="1" si="967"/>
        <v>#N/A</v>
      </c>
      <c r="FT299" s="161">
        <f t="shared" ca="1" si="1092"/>
        <v>295</v>
      </c>
      <c r="FU299" s="162" t="e">
        <f ca="1">IF(Control!$B$34=1,VLOOKUP($CP299,Control!$B$86:$G$91,6),Control!$B$35)</f>
        <v>#N/A</v>
      </c>
      <c r="FV299" s="162" t="e">
        <f t="shared" ca="1" si="968"/>
        <v>#DIV/0!</v>
      </c>
      <c r="FW299" s="162" t="e">
        <f ca="1">IF(Control!$B$31=1,$FU299*$FV299,  $FU299)</f>
        <v>#N/A</v>
      </c>
      <c r="FX299" s="162" t="e">
        <f ca="1">IF(Control!$B$34=1,VLOOKUP($CP299,Control!$B$86:$G$91,3),Control!$B$36)</f>
        <v>#N/A</v>
      </c>
      <c r="FY299" s="162" t="e">
        <f t="shared" ca="1" si="969"/>
        <v>#N/A</v>
      </c>
      <c r="FZ299" s="162" t="e">
        <f ca="1">IF(Control!$B$34=1,VLOOKUP($CP299,Control!$B$86:$G$91,4),Control!$B$37)</f>
        <v>#N/A</v>
      </c>
      <c r="GA299" s="162" t="e">
        <f t="shared" ca="1" si="970"/>
        <v>#N/A</v>
      </c>
      <c r="GB299" s="162" t="e">
        <f ca="1">IF(Control!$B$34=1,VLOOKUP($CP299,Control!$B$86:$G$91,5),Control!$B$38)</f>
        <v>#N/A</v>
      </c>
      <c r="GC299" s="162" t="e">
        <f t="shared" ca="1" si="1093"/>
        <v>#N/A</v>
      </c>
      <c r="GD299" s="162">
        <f t="shared" ca="1" si="971"/>
        <v>1</v>
      </c>
      <c r="GE299" s="162">
        <f t="shared" ca="1" si="972"/>
        <v>1</v>
      </c>
      <c r="GF299" s="162">
        <f ca="1">IF(AND(Control!$C$104=1, Control!$C$62="F"),$GE299,1)</f>
        <v>1</v>
      </c>
      <c r="GG299" s="162" t="e">
        <f ca="1">IF(Control!$B$16=40,0,IF(AND(Control!$B$16&gt;40,Control!$B$16&lt;=360),(Control!$B$16-40)*((1-0)/(360-40)),IF(AND(Control!$B$16&gt;360,Control!$B$16&lt;=720),(1+(Control!$B$16-360)*((1.25-1)/(720-360))),IF(AND(Control!$B$16&gt;720,Control!$B$16&lt;=1000),(1.25+(Control!$B$16-720)*((1.35-1.25)/(1000-720))),IF(AND(Control!$B$16&gt;1000,Control!$B$16&lt;=2000),(1.35+(Control!$B$16-1000)*0))))))</f>
        <v>#N/A</v>
      </c>
      <c r="GH299" s="162" t="e">
        <f t="shared" ca="1" si="973"/>
        <v>#N/A</v>
      </c>
      <c r="GI299" s="162">
        <f t="shared" ca="1" si="1094"/>
        <v>0</v>
      </c>
      <c r="GJ299" s="162">
        <f t="shared" ca="1" si="974"/>
        <v>0</v>
      </c>
      <c r="GK299" s="162">
        <f t="shared" ca="1" si="1095"/>
        <v>1</v>
      </c>
      <c r="GL299" s="162">
        <f t="shared" ca="1" si="975"/>
        <v>1</v>
      </c>
      <c r="GM299" s="162" t="e">
        <f ca="1">MAX(0,MIN(1,1-Control!$C$156*(1.0001-$KH299)^2))</f>
        <v>#N/A</v>
      </c>
      <c r="GN299" s="162" t="e">
        <f ca="1">IF(Control!$B$26=1,$KU299,$KX299)</f>
        <v>#N/A</v>
      </c>
      <c r="GO299" s="162" t="e">
        <f ca="1">IF($CP299&lt;=60,Control!$C$105,IF($CP299&gt;=90,Control!$C$106,Control!$C$105+($CP299-60)*((Control!$C$106-Control!$C$105)/(90-60))))</f>
        <v>#N/A</v>
      </c>
      <c r="GP299" s="162" t="e">
        <f t="shared" ca="1" si="976"/>
        <v>#N/A</v>
      </c>
      <c r="GQ299" s="162" t="e">
        <f t="shared" ca="1" si="1096"/>
        <v>#N/A</v>
      </c>
      <c r="GR299" s="163" t="e">
        <f t="shared" ca="1" si="977"/>
        <v>#DIV/0!</v>
      </c>
      <c r="GS299" s="162" t="e">
        <f t="shared" ca="1" si="978"/>
        <v>#DIV/0!</v>
      </c>
      <c r="GT299" s="164" t="e">
        <f t="shared" ca="1" si="1097"/>
        <v>#N/A</v>
      </c>
      <c r="GU299" s="162" t="e">
        <f t="shared" ca="1" si="1098"/>
        <v>#N/A</v>
      </c>
      <c r="GV299" s="162" t="e">
        <f t="shared" ca="1" si="979"/>
        <v>#N/A</v>
      </c>
      <c r="GW299" s="162" t="e">
        <f t="shared" ca="1" si="980"/>
        <v>#DIV/0!</v>
      </c>
      <c r="GX299" s="162" t="e">
        <f t="shared" ca="1" si="1099"/>
        <v>#DIV/0!</v>
      </c>
      <c r="GY299" s="162" t="e">
        <f t="shared" ca="1" si="1100"/>
        <v>#DIV/0!</v>
      </c>
      <c r="GZ299" s="165" t="e">
        <f t="shared" ca="1" si="981"/>
        <v>#N/A</v>
      </c>
      <c r="HA299" s="162" t="e">
        <f ca="1">IF(Control!$C$114=1, $DI299*$FS299, 0)</f>
        <v>#N/A</v>
      </c>
      <c r="HB299" s="162" t="e">
        <f ca="1">$FA299/Control!$C$64</f>
        <v>#N/A</v>
      </c>
      <c r="HC299" s="162" t="e">
        <f t="shared" ca="1" si="982"/>
        <v>#DIV/0!</v>
      </c>
      <c r="HD299" s="162">
        <f ca="1">-ASIN(SIN(23.45*Control!$C$139)*COS(2*Control!$C$138*($AH299+10)/365))</f>
        <v>-0.20534216443455094</v>
      </c>
      <c r="HE299" s="165">
        <f t="shared" ca="1" si="1101"/>
        <v>0</v>
      </c>
      <c r="HF299" s="166">
        <f ca="1">IF(AND(Control!$C$61="T",$HE299&gt;=Control!$C$103,Control!$C$114=0),$AH299,Control!$C$59)</f>
        <v>1</v>
      </c>
      <c r="HG299" s="166">
        <f ca="1">IF(AND(Control!$C$61="T",$HE299&gt;=Control!$C$103,Control!$C$114=0),$HF299,Control!$C$59)</f>
        <v>1</v>
      </c>
      <c r="HH299" s="165">
        <f ca="1">IF(AND(OR(Control!$C$60&lt;=0, $AH299= Control!$C$59, Control!$C$60 &gt;0, $AH299 = Control!$C$60)), Control!$C$59, IF(Control!$C$60&gt;0, 0))</f>
        <v>1</v>
      </c>
      <c r="HI299" s="165">
        <f ca="1">IF(AND(OR(Control!$C$60&lt;=0, $AH299= Control!$C$59, Control!$C$60 &gt;0, $AH299 = Control!$C$60)), Control!$C$60, IF(Control!$C$60&lt;=0, 0))</f>
        <v>0</v>
      </c>
      <c r="HJ299" s="166">
        <f ca="1">IF(AND(Control!$C$62="F",$CV299&gt;=Control!$C$102),$AH299,0)</f>
        <v>0</v>
      </c>
      <c r="HK299" s="165" t="e">
        <f t="shared" ca="1" si="1138"/>
        <v>#N/A</v>
      </c>
      <c r="HL299" s="166">
        <f ca="1">IF(AND(Control!$C$61="T",$HE299&gt;=Control!$C$103,Control!$C$114=0),$HF299,0)</f>
        <v>0</v>
      </c>
      <c r="HM299" s="201" t="e">
        <f t="shared" ca="1" si="983"/>
        <v>#DIV/0!</v>
      </c>
      <c r="HN299" s="215">
        <f t="shared" ca="1" si="1102"/>
        <v>295</v>
      </c>
      <c r="HO299" s="216" t="e">
        <f ca="1">IF(AND($CP299&gt;=0, $CP299&lt;=90), Control!$C$152, Control!$C$152)</f>
        <v>#N/A</v>
      </c>
      <c r="HP299" s="216" t="e">
        <f t="shared" ca="1" si="984"/>
        <v>#N/A</v>
      </c>
      <c r="HQ299" s="217" t="e">
        <f ca="1">IF(OR(Control!$B$26=1,Control!$B$26=2),$KV299,$KS299)</f>
        <v>#DIV/0!</v>
      </c>
      <c r="HR299" s="218" t="e">
        <f t="shared" ca="1" si="1139"/>
        <v>#DIV/0!</v>
      </c>
      <c r="HS299" s="216" t="e">
        <f ca="1">Control!$C$154*$HP299</f>
        <v>#N/A</v>
      </c>
      <c r="HT299" s="216" t="e">
        <f ca="1">Control!$C$155*$HP299</f>
        <v>#N/A</v>
      </c>
      <c r="HU299" s="217" t="e">
        <f ca="1">Control!$C$161*$FI299</f>
        <v>#N/A</v>
      </c>
      <c r="HV299" s="218" t="e">
        <f t="shared" ca="1" si="1103"/>
        <v>#N/A</v>
      </c>
      <c r="HW299" s="218" t="e">
        <f ca="1">Control!$C$160*$FF299+$IP299*$EO299</f>
        <v>#N/A</v>
      </c>
      <c r="HX299" s="218" t="e">
        <f t="shared" ca="1" si="1140"/>
        <v>#N/A</v>
      </c>
      <c r="HY299" s="219" t="e">
        <f ca="1">IF(Control!$C$114=1, $EB299*$FS299, 0)</f>
        <v>#N/A</v>
      </c>
      <c r="HZ299" s="91" t="e">
        <f t="shared" ca="1" si="985"/>
        <v>#N/A</v>
      </c>
      <c r="IA299" s="220" t="e">
        <f ca="1">Control!$C$153*$HO299</f>
        <v>#N/A</v>
      </c>
      <c r="IB299" s="218" t="e">
        <f t="shared" ca="1" si="986"/>
        <v>#N/A</v>
      </c>
      <c r="IC299" s="220" t="e">
        <f ca="1">Control!$C$153*$HT299</f>
        <v>#N/A</v>
      </c>
      <c r="ID299" s="218" t="e">
        <f t="shared" ca="1" si="987"/>
        <v>#N/A</v>
      </c>
      <c r="IE299" s="221" t="e">
        <f ca="1">($EB299*Control!$C$159+$EF299*Control!$C$160)/(IF($GZ299&lt;&gt;0,$GZ299,1))</f>
        <v>#N/A</v>
      </c>
      <c r="IF299" s="216" t="e">
        <f t="shared" ca="1" si="988"/>
        <v>#N/A</v>
      </c>
      <c r="IG299" s="91">
        <f ca="1">IF(OR(Control!$B$198=$AH299,Control!$B$199=$AH299, Control!$B$200=$AH299, Control!$B$201=$AH299, Control!$B$202=$AH299, Control!$B$203=$AH299, Control!$B$204=$AH299, Control!$B$205=$AH299, Control!$B$206=$AH299, Control!$B$207=$AH299), 1, 0)</f>
        <v>0</v>
      </c>
      <c r="IH299" s="91">
        <f ca="1">IF($IG299=0,0, VLOOKUP($AH299,Control!$B$198:$C$207,2))</f>
        <v>0</v>
      </c>
      <c r="II299" s="222">
        <f t="shared" ca="1" si="1104"/>
        <v>0</v>
      </c>
      <c r="IJ299" s="91">
        <f>Control!$C$121</f>
        <v>0.7</v>
      </c>
      <c r="IK299" s="218">
        <f t="shared" ca="1" si="989"/>
        <v>0</v>
      </c>
      <c r="IL299" s="217" t="e">
        <f t="shared" ca="1" si="1141"/>
        <v>#N/A</v>
      </c>
      <c r="IM299" s="223" t="e">
        <f ca="1">IF(AND(Control!$C$114=1,$KH299&lt;1),$EB299*Control!$C$148*(1-$KH299), 0)</f>
        <v>#N/A</v>
      </c>
      <c r="IN299" s="217" t="e">
        <f t="shared" ca="1" si="990"/>
        <v>#DIV/0!</v>
      </c>
      <c r="IO299" s="91" t="e">
        <f ca="1">MAX(0,$IL299-$EF299*Control!$C$160)</f>
        <v>#N/A</v>
      </c>
      <c r="IP299" s="220" t="e">
        <f t="shared" ca="1" si="991"/>
        <v>#N/A</v>
      </c>
      <c r="IQ299" s="217" t="e">
        <f t="shared" ca="1" si="1105"/>
        <v>#N/A</v>
      </c>
      <c r="IR299" s="218" t="e">
        <f t="shared" ca="1" si="992"/>
        <v>#N/A</v>
      </c>
      <c r="IS299" s="217" t="e">
        <f ca="1">Control!$C$159*MAX(0,$FD299-$EN299)</f>
        <v>#N/A</v>
      </c>
      <c r="IT299" s="217" t="e">
        <f t="shared" ca="1" si="1142"/>
        <v>#N/A</v>
      </c>
      <c r="IU299" s="217" t="e">
        <f t="shared" ca="1" si="1106"/>
        <v>#N/A</v>
      </c>
      <c r="IV299" s="217" t="e">
        <f t="shared" ca="1" si="1143"/>
        <v>#N/A</v>
      </c>
      <c r="IW299" s="217" t="e">
        <f ca="1">IF(OR($AW299=1,AND($AW299=0, Control!$B$18=1,$EN299&lt;&gt;0)), $IQ299-$IU299, $IQ299)</f>
        <v>#N/A</v>
      </c>
      <c r="IX299" s="218" t="e">
        <f t="shared" ca="1" si="993"/>
        <v>#N/A</v>
      </c>
      <c r="IY299" s="218" t="e">
        <f ca="1">MAX(0,$IQ299-$EB299*Control!$C$159)</f>
        <v>#N/A</v>
      </c>
      <c r="IZ299" s="218" t="e">
        <f t="shared" ca="1" si="994"/>
        <v>#N/A</v>
      </c>
      <c r="JA299" s="216" t="e">
        <f t="shared" ca="1" si="995"/>
        <v>#N/A</v>
      </c>
      <c r="JB299" s="217" t="e">
        <f t="shared" ca="1" si="996"/>
        <v>#N/A</v>
      </c>
      <c r="JC299" s="222" t="e">
        <f ca="1">MAX(Control!$C$157*$EK299-$JT299, 0)/Control!$C$162</f>
        <v>#N/A</v>
      </c>
      <c r="JD299" s="218" t="e">
        <f t="shared" ca="1" si="997"/>
        <v>#N/A</v>
      </c>
      <c r="JE299" s="218" t="e">
        <f t="shared" ca="1" si="998"/>
        <v>#N/A</v>
      </c>
      <c r="JF299" s="218" t="e">
        <f t="shared" ca="1" si="1107"/>
        <v>#N/A</v>
      </c>
      <c r="JG299" s="218" t="e">
        <f t="shared" ca="1" si="999"/>
        <v>#N/A</v>
      </c>
      <c r="JH299" s="217" t="e">
        <f t="shared" ca="1" si="1108"/>
        <v>#N/A</v>
      </c>
      <c r="JI299" s="217" t="e">
        <f t="shared" ca="1" si="1109"/>
        <v>#N/A</v>
      </c>
      <c r="JJ299" s="217" t="e">
        <f t="shared" ca="1" si="1144"/>
        <v>#N/A</v>
      </c>
      <c r="JK299" s="217" t="e">
        <f ca="1">IF(Control!$C$114=1,IF(Control!$B$24=0,MAX(0,$JI299)*$GN299/Control!$C$64,(MAX(0,MIN($JI299,$JJ299*$GN299/Control!$C$64),0))))</f>
        <v>#N/A</v>
      </c>
      <c r="JL299" s="217" t="e">
        <f ca="1">$IK299/Control!$C$64-$JK299+$HQ299</f>
        <v>#N/A</v>
      </c>
      <c r="JM299" s="217" t="e">
        <f ca="1">IF(Control!$C$114=1,($JB299/(IF($JI299&lt;&gt;0,$JI299,1)))*$JK299,0)</f>
        <v>#N/A</v>
      </c>
      <c r="JN299" s="217" t="e">
        <f ca="1">IF(Control!$C$114=1,($JG299/(IF($JI299&lt;&gt;0,$JI299,1)))*$JK299, 0)</f>
        <v>#N/A</v>
      </c>
      <c r="JO299" s="218" t="e">
        <f t="shared" ca="1" si="1000"/>
        <v>#N/A</v>
      </c>
      <c r="JP299" s="218" t="e">
        <f ca="1">MIN(($IY299+$IO299)*Control!$C$151, $JF299-$EH299*Control!$C$161)</f>
        <v>#N/A</v>
      </c>
      <c r="JQ299" s="218" t="e">
        <f t="shared" ca="1" si="1001"/>
        <v>#N/A</v>
      </c>
      <c r="JR299" s="217" t="e">
        <f ca="1">IF($CP299-Control!$C$150&lt;0, 0, $JQ299/Control!$C$162)</f>
        <v>#N/A</v>
      </c>
      <c r="JS299" s="218" t="e">
        <f t="shared" ca="1" si="1002"/>
        <v>#N/A</v>
      </c>
      <c r="JT299" s="218" t="e">
        <f t="shared" ca="1" si="1110"/>
        <v>#N/A</v>
      </c>
      <c r="JU299" s="218" t="e">
        <f t="shared" ca="1" si="1003"/>
        <v>#N/A</v>
      </c>
      <c r="JV299" s="218" t="e">
        <f t="shared" ca="1" si="1004"/>
        <v>#N/A</v>
      </c>
      <c r="JW299" s="216" t="e">
        <f t="shared" ca="1" si="1005"/>
        <v>#N/A</v>
      </c>
      <c r="JX299" s="91" t="e">
        <f t="shared" ca="1" si="1006"/>
        <v>#N/A</v>
      </c>
      <c r="JY299" s="218" t="e">
        <f t="shared" ca="1" si="1007"/>
        <v>#N/A</v>
      </c>
      <c r="JZ299" s="217" t="e">
        <f ca="1">IF(Control!$C$114=1,($IZ299/(IF($JI299&lt;&gt;0,$JI299,1)))*$JK299, 0)</f>
        <v>#N/A</v>
      </c>
      <c r="KA299" s="218" t="e">
        <f t="shared" ca="1" si="1145"/>
        <v>#N/A</v>
      </c>
      <c r="KB299" s="218" t="e">
        <f t="shared" ca="1" si="1111"/>
        <v>#N/A</v>
      </c>
      <c r="KC299" s="218" t="e">
        <f t="shared" ca="1" si="1008"/>
        <v>#N/A</v>
      </c>
      <c r="KD299" s="218" t="e">
        <f t="shared" ca="1" si="1009"/>
        <v>#N/A</v>
      </c>
      <c r="KE299" s="218" t="e">
        <f t="shared" ca="1" si="1010"/>
        <v>#N/A</v>
      </c>
      <c r="KF299" s="218" t="e">
        <f t="shared" ca="1" si="1011"/>
        <v>#N/A</v>
      </c>
      <c r="KG299" s="216" t="e">
        <f t="shared" ca="1" si="1012"/>
        <v>#N/A</v>
      </c>
      <c r="KH299" s="221" t="e">
        <f ca="1">IF(Control!$B$24=0,1,MAX(0.001,MIN(1,IF(($IF299-$IE299)&lt;&gt;0,($KG299-$IE299)/($IF299-$IE299),1))))</f>
        <v>#N/A</v>
      </c>
      <c r="KI299" s="222" t="e">
        <f ca="1">IF(Control!$C$114=1, $KI298+ $KH298, 0)</f>
        <v>#N/A</v>
      </c>
      <c r="KJ299" s="217" t="e">
        <f t="shared" ca="1" si="1013"/>
        <v>#N/A</v>
      </c>
      <c r="KK299" s="218" t="e">
        <f t="shared" ca="1" si="1014"/>
        <v>#N/A</v>
      </c>
      <c r="KL299" s="274" t="e">
        <f ca="1">IF(Control!$B$26=3,4000000000*EXP(-8400/($G299+273)),IF(Control!$B$26=4,4000000000*EXP(-8400/($G299+273))*($KT299),0))</f>
        <v>#DIV/0!</v>
      </c>
      <c r="KM299" s="274" t="e">
        <f ca="1">IF(Control!$B$26=3,5600000000000*EXP(-9800/($G299+273)),IF(Control!$B$26=4,5600000000000*EXP(-9800/($G299+273))*$KT299,0))</f>
        <v>#DIV/0!</v>
      </c>
      <c r="KN299" s="454" t="e">
        <f t="shared" ca="1" si="1112"/>
        <v>#DIV/0!</v>
      </c>
      <c r="KO299" s="274" t="e">
        <f t="shared" ca="1" si="1113"/>
        <v>#DIV/0!</v>
      </c>
      <c r="KP299" s="454" t="e">
        <f t="shared" ca="1" si="1015"/>
        <v>#DIV/0!</v>
      </c>
      <c r="KQ299" s="454" t="e">
        <f t="shared" ca="1" si="1016"/>
        <v>#DIV/0!</v>
      </c>
      <c r="KR299" s="454" t="e">
        <f t="shared" ca="1" si="1017"/>
        <v>#DIV/0!</v>
      </c>
      <c r="KS299" s="454" t="e">
        <f t="shared" ca="1" si="1018"/>
        <v>#DIV/0!</v>
      </c>
      <c r="KT299" s="455" t="e">
        <f t="shared" ca="1" si="1019"/>
        <v>#DIV/0!</v>
      </c>
      <c r="KU299" s="456" t="e">
        <f ca="1">IF($CP299-Control!$C$149&lt;0, IF($NT299-0.01&lt;0,0,1),0)</f>
        <v>#N/A</v>
      </c>
      <c r="KV299" s="456" t="e">
        <f ca="1">IF(Control!$C$114=1,MAX(0,MIN(Control!$C$125*$KW299*$GN299,$KW299)))</f>
        <v>#DIV/0!</v>
      </c>
      <c r="KW299" s="456" t="e">
        <f t="shared" ca="1" si="1146"/>
        <v>#DIV/0!</v>
      </c>
      <c r="KX299" s="457" t="e">
        <f ca="1">IF($CP299-Control!$C$149&lt;0, IF($MR299-$OM299&lt;0,0,1),0)</f>
        <v>#N/A</v>
      </c>
      <c r="KY299" s="167">
        <f t="shared" ca="1" si="1114"/>
        <v>295</v>
      </c>
      <c r="KZ299" s="168">
        <f ca="1">1370*(1+0.033*COS(2*Control!$C$138*$AH299/365))</f>
        <v>1386.1720387253433</v>
      </c>
      <c r="LA299" s="169">
        <f t="shared" ca="1" si="1115"/>
        <v>1.0118040418814931</v>
      </c>
      <c r="LB299" s="169">
        <f t="shared" ca="1" si="1116"/>
        <v>-0.212591697625262</v>
      </c>
      <c r="LC299" s="169">
        <f ca="1">ACOS(-TAN((2*Control!$B$8/360))*TAN(Calculations!$LB299))</f>
        <v>1.5065999396399397</v>
      </c>
      <c r="LD299" s="169">
        <f ca="1">((24*60)/PI())*0.082*$LA299*(($LC299*SIN(Control!$B$8*2*PI()/360))*SIN($LB299)+COS(Control!$B$8*2*PI()/360)*COS($LB299)*SIN($LC299))</f>
        <v>13.312907139728853</v>
      </c>
      <c r="LE299" s="170">
        <f t="shared" ca="1" si="1020"/>
        <v>14.158939178883697</v>
      </c>
      <c r="LF299" s="170">
        <f ca="1">SIN(Control!$C$139*Control!$B$8)*SIN($HD299)</f>
        <v>-0.1606773515949555</v>
      </c>
      <c r="LG299" s="170">
        <f ca="1">COS(Control!$C$139*Control!$B$8)*COS($HD299)</f>
        <v>0.60272557467901733</v>
      </c>
      <c r="LH299" s="170">
        <f ca="1">12*(1+2*ASIN(MAX(-1,MIN(1,$LF299/$LG299))/Control!$C$138))</f>
        <v>9.9609964758420588</v>
      </c>
      <c r="LI299" s="170">
        <f ca="1">12*(1+2*ASIN(MAX(-1,MIN(1,(-SIN(-4*Control!$C$139)+$LF299)/$LG299))/Control!$C$138))</f>
        <v>10.847155843717104</v>
      </c>
      <c r="LJ299" s="168">
        <f ca="1">3600*($LH299*$LF299+24*$LG299*SQRT(1-$LK299*$LK299)/Control!$C$138)</f>
        <v>10214.416957871674</v>
      </c>
      <c r="LK299" s="170">
        <f t="shared" ca="1" si="1021"/>
        <v>-0.26658459230060799</v>
      </c>
      <c r="LL299" s="170">
        <f t="shared" ca="1" si="1022"/>
        <v>0</v>
      </c>
      <c r="LM299" s="171">
        <f ca="1">Control!$C$145*$AB299</f>
        <v>6.6660906138995932E-2</v>
      </c>
      <c r="LN299" s="170">
        <f t="shared" ca="1" si="1117"/>
        <v>0.54</v>
      </c>
      <c r="LO299" s="170">
        <f t="shared" ca="1" si="1023"/>
        <v>0</v>
      </c>
      <c r="LP299" s="170">
        <f ca="1">Control!$C$140*((($D299+273.16)^4+($E299+273.16)^4)/2)*(0.34-0.14*SQRT($Y299))*(1.35*$AQ299/(0.75*$LD299)-0.35)</f>
        <v>-3.2464704755046001</v>
      </c>
      <c r="LQ299" s="170">
        <f ca="1">Control!$C$140*($G299+273)^4*(0.56-0.079*SQRT($Y299*10))*(0.1+0.9*$LO299)</f>
        <v>1.5241745131704001</v>
      </c>
      <c r="LR299" s="170">
        <f ca="1">$AQ299*(1-Control!$C$142)-$LQ299</f>
        <v>-1.5241745131704001</v>
      </c>
      <c r="LS299" s="170">
        <f ca="1">$AQ299*(1-Control!$C$143)-$LQ299</f>
        <v>-1.5241745131704001</v>
      </c>
      <c r="LT299" s="170">
        <f ca="1">$AQ299*(1-Control!$C$144)-$LQ299</f>
        <v>-1.5241745131704001</v>
      </c>
      <c r="LU299" s="169">
        <f ca="1">(1-Control!$C$144)*AQ299-LP299</f>
        <v>3.2464704755046001</v>
      </c>
      <c r="LV299" s="172">
        <f t="shared" ca="1" si="1024"/>
        <v>0.79430000000000012</v>
      </c>
      <c r="LW299" s="170">
        <f t="shared" ca="1" si="1025"/>
        <v>1.5886000000000002</v>
      </c>
      <c r="LX299" s="170">
        <f ca="1">($AC299*($LR299/Control!$C$141)+$LM299*$LV299)/($AC299+$LM299)</f>
        <v>0.23530094218323697</v>
      </c>
      <c r="LY299" s="170">
        <f ca="1">($AC299*($LS299/Control!$C$141)+$LM299*$LV299)/($AC299+$LM299)</f>
        <v>0.23530094218323697</v>
      </c>
      <c r="LZ299" s="170">
        <f t="shared" ca="1" si="1026"/>
        <v>0.23530094218323697</v>
      </c>
      <c r="MA299" s="170">
        <f t="shared" ca="1" si="1027"/>
        <v>0.23530094218323697</v>
      </c>
      <c r="MB299" s="170" t="e">
        <f t="shared" ca="1" si="1028"/>
        <v>#N/A</v>
      </c>
      <c r="MC299" s="170">
        <f t="shared" ca="1" si="1118"/>
        <v>0.6018</v>
      </c>
      <c r="MD299" s="170">
        <f t="shared" ca="1" si="1029"/>
        <v>0.52989392535414004</v>
      </c>
      <c r="ME299" s="170">
        <f ca="1">($AC299*($LT299/Control!$C$141)+$LM299*$LW299)/($AC299+$LM299)</f>
        <v>0.71612369323045078</v>
      </c>
      <c r="MF299" s="170" t="e">
        <f ca="1">IF(Control!$B$16&gt;=1000,0.92,IF(AND(720&lt;=Control!$B$16,1000&gt;Control!$B$16),(0.95+(Control!$B$16-720)*((0.92-0.95)/(1000-720))),IF(AND(360&lt;=Control!$B$16,720&gt;Control!$B$16),(1+(Control!$B$16-360)*((0.95-1)/(720-360))),IF(AND(40&lt;=Control!$B$16,360&gt;Control!$B$16),(1.05+(Control!$B$16-40)*((1.05-1)/(360-40)))))))</f>
        <v>#N/A</v>
      </c>
      <c r="MG299" s="170">
        <f t="shared" ca="1" si="1030"/>
        <v>0.71612369323045078</v>
      </c>
      <c r="MH299" s="170" t="e">
        <f t="shared" ca="1" si="1156"/>
        <v>#N/A</v>
      </c>
      <c r="MI299" s="170" t="e">
        <f t="shared" ca="1" si="1156"/>
        <v>#N/A</v>
      </c>
      <c r="MJ299" s="170" t="e">
        <f ca="1">MAX(0.0001, Control!$C$132*$MI299*$DL299)</f>
        <v>#N/A</v>
      </c>
      <c r="MK299" s="170">
        <f ca="1">1/(0.76+1.5*($MG299/10))-(5-Control!$C$110)*0.1</f>
        <v>1.002845988140797</v>
      </c>
      <c r="ML299" s="173">
        <f ca="1">IF(Control!$C$110&lt;3,$MK299+($MG299-0.6)/(Control!$C$110*(Control!$C$110+3)), MAX(0.1, MIN(0.95,$MK299)))</f>
        <v>0.95</v>
      </c>
      <c r="MM299" s="173">
        <f ca="1">IF(Control!$C$110&lt;3,$MK299+(($MI299/10)-0.6)/(Control!$C$110*(Control!$C$110+3)), MAX(0.1, MIN(0.95,$MK299)))</f>
        <v>0.95</v>
      </c>
      <c r="MN299" s="173">
        <f ca="1">(1-$MM299)*(Control!$C$128-Control!$C$127)+Control!$C$127</f>
        <v>0.16</v>
      </c>
      <c r="MO299" s="170" t="e">
        <f ca="1">MAX(0,MIN(1,($MS299-Control!$C$127)/($MN299-Control!$C$127)))</f>
        <v>#DIV/0!</v>
      </c>
      <c r="MP299" s="173" t="e">
        <f ca="1">1/(0.76+1.5*$MI299)-(5-Control!$C$110)*0.1</f>
        <v>#N/A</v>
      </c>
      <c r="MQ299" s="172" t="e">
        <f t="shared" ca="1" si="1147"/>
        <v>#DIV/0!</v>
      </c>
      <c r="MR299" s="168" t="e">
        <f t="shared" ca="1" si="1119"/>
        <v>#DIV/0!</v>
      </c>
      <c r="MS299" s="173" t="e">
        <f ca="1">MAX(Control!$C$127, MIN(Control!$C$135, $MR299/MAX(0.0001,$CY299)))</f>
        <v>#DIV/0!</v>
      </c>
      <c r="MT299" s="168" t="e">
        <f ca="1">(Control!$C$128-$MS299)*Control!$C$74</f>
        <v>#DIV/0!</v>
      </c>
      <c r="MU299" s="168" t="e">
        <f ca="1">(Control!$C$135-$MS299)*Control!$C$74</f>
        <v>#DIV/0!</v>
      </c>
      <c r="MV299" s="168" t="e">
        <f t="shared" ca="1" si="1120"/>
        <v>#DIV/0!</v>
      </c>
      <c r="MW299" s="168" t="e">
        <f t="shared" ca="1" si="1121"/>
        <v>#DIV/0!</v>
      </c>
      <c r="MX299" s="171" t="e">
        <f ca="1">MAX(Control!$C$127, MIN(Control!$C$135, $MW299/MAX(0.0001,Control!$C$119-$CY299)))</f>
        <v>#DIV/0!</v>
      </c>
      <c r="MY299" s="54" t="e">
        <f ca="1">IF(Control!$C$114=1, $CX299*$MX299, 0)</f>
        <v>#DIV/0!</v>
      </c>
      <c r="MZ299" s="54" t="e">
        <f t="shared" ca="1" si="1122"/>
        <v>#N/A</v>
      </c>
      <c r="NA299" s="168" t="e">
        <f ca="1">(Control!$C$128-$MX299)*(Control!$C$119-Control!$C$74)</f>
        <v>#DIV/0!</v>
      </c>
      <c r="NB299" s="168" t="e">
        <f ca="1">(Control!$C$135-$MX299)*(Control!$C$119-Control!$C$74)</f>
        <v>#DIV/0!</v>
      </c>
      <c r="NC299" s="174" t="e">
        <f t="shared" ca="1" si="1123"/>
        <v>#DIV/0!</v>
      </c>
      <c r="ND299" s="54">
        <f ca="1">IF(Control!$C$58=2, IF(OR(Control!$B$218=$AH299,Control!$B$219=$AH299, Control!$B$220=$AH299, Control!$B$221=$AH299, Control!$B$222=$AH299, Control!$B$223=$AH299, Control!$B$224=$AH299, Control!$B$225=$AH299, Control!$B$226=$AH299, Control!$B$227=$AH299, Control!$B$228=$AH299), 1, 0), 0)</f>
        <v>0</v>
      </c>
      <c r="NE299" s="54">
        <f ca="1">IF($ND299=0,0, VLOOKUP($AH299,Control!$B$218:$C$228,2))</f>
        <v>0</v>
      </c>
      <c r="NF299" s="168" t="e">
        <f ca="1">$CY299*(Control!$C$128-Control!$C$127)</f>
        <v>#N/A</v>
      </c>
      <c r="NG299" s="54" t="e">
        <f ca="1">IF(Control!$C$58=2, $NI298-$NJ298, 0)</f>
        <v>#DIV/0!</v>
      </c>
      <c r="NH299" s="54" t="e">
        <f ca="1">IF(AND(Control!$C$58=1, $MS298&lt;= ($MN298+0.02), $I298&lt;10), 0, IF(Control!$C$58=2, $NG298, 0))</f>
        <v>#DIV/0!</v>
      </c>
      <c r="NI299" s="54" t="e">
        <f ca="1">IF(Control!$C$58=2, $NE299+$NH299,0)</f>
        <v>#DIV/0!</v>
      </c>
      <c r="NJ299" s="54" t="e">
        <f ca="1">IF(AND(Control!$C$58=1, $MS299&lt;= ($MN299+0.02), $I299&lt;10), MAX(0, MIN(10, 0.7*($NF299-$MV299))), IF(Control!$C$58=2, MIN(10,$NI299),0))</f>
        <v>#DIV/0!</v>
      </c>
      <c r="NK299" s="54" t="e">
        <f t="shared" ca="1" si="1031"/>
        <v>#DIV/0!</v>
      </c>
      <c r="NL299" s="173" t="e">
        <f ca="1">(1-Control!$C$73)*$I299+$NJ299</f>
        <v>#DIV/0!</v>
      </c>
      <c r="NM299" s="172" t="e">
        <f ca="1">IF($NL299&lt;0.5, $MB299* MAX(0, MIN(1, (SQRT($NC299)-SQRT($NC299-1))*Control!$C$71)),0)</f>
        <v>#DIV/0!</v>
      </c>
      <c r="NN299" s="170" t="e">
        <f ca="1">IF($NL299&gt;=5, $MB299, MAX(0,MIN($MB299, $NM299+$NL299,($MS299-Control!$C$129))))</f>
        <v>#DIV/0!</v>
      </c>
      <c r="NO299" s="54">
        <f>IF(Control!$C$133&lt;&gt;1, Control!$C$135-Control!$C$131, 0)</f>
        <v>0.38</v>
      </c>
      <c r="NP299" s="54" t="e">
        <f t="shared" ca="1" si="1032"/>
        <v>#DIV/0!</v>
      </c>
      <c r="NQ299" s="173" t="e">
        <f ca="1">MAX(0,MIN(1,(Control!$C$135-$MS299)/(Control!$C$135-$NO299)))</f>
        <v>#DIV/0!</v>
      </c>
      <c r="NR299" s="170" t="e">
        <f ca="1">IF(Control!$C$133&lt;&gt;1, $NQ299+((1-$NP299/4)*(1-$NQ299)),1)</f>
        <v>#DIV/0!</v>
      </c>
      <c r="NS299" s="170" t="e">
        <f ca="1">IF(Control!$B$31=0,$MJ299,MAX(0,MIN($MV299,$MO299*$NR299*$MJ299)))</f>
        <v>#DIV/0!</v>
      </c>
      <c r="NT299" s="170" t="e">
        <f t="shared" ca="1" si="1148"/>
        <v>#DIV/0!</v>
      </c>
      <c r="NU299" s="170" t="e">
        <f t="shared" ca="1" si="1124"/>
        <v>#N/A</v>
      </c>
      <c r="NV299" s="170" t="e">
        <f t="shared" ca="1" si="1033"/>
        <v>#N/A</v>
      </c>
      <c r="NW299" s="175" t="e">
        <f t="shared" ca="1" si="1034"/>
        <v>#DIV/0!</v>
      </c>
      <c r="NX299" s="170" t="e">
        <f ca="1">MIN(Control!$C$72+$MU299, $NW299)</f>
        <v>#DIV/0!</v>
      </c>
      <c r="NY299" s="170" t="e">
        <f ca="1">IF($MT299&lt;=$NX299,MIN(Control!$C$72+$NB299,$NX299-$MT299),0)</f>
        <v>#DIV/0!</v>
      </c>
      <c r="NZ299" s="54" t="e">
        <f ca="1">IF(Control!$C$114=1,  $CX299*($MX299-Control!$C$127), 0)</f>
        <v>#DIV/0!</v>
      </c>
      <c r="OA299" s="170" t="e">
        <f t="shared" ca="1" si="1035"/>
        <v>#DIV/0!</v>
      </c>
      <c r="OB299" s="170" t="e">
        <f ca="1">IF($NA299 &lt;=$NY299, MIN(Control!$C$72, $NY299-$NA299), 0)</f>
        <v>#DIV/0!</v>
      </c>
      <c r="OC299" s="168" t="e">
        <f t="shared" ca="1" si="1036"/>
        <v>#DIV/0!</v>
      </c>
      <c r="OD299" s="168" t="e">
        <f t="shared" ca="1" si="1125"/>
        <v>#DIV/0!</v>
      </c>
      <c r="OE299" s="170">
        <f ca="1">Control!$C$73*$I299</f>
        <v>0</v>
      </c>
      <c r="OF299" s="176" t="e">
        <f t="shared" ca="1" si="1037"/>
        <v>#DIV/0!</v>
      </c>
      <c r="OG299" s="168" t="e">
        <f t="shared" ca="1" si="1038"/>
        <v>#DIV/0!</v>
      </c>
      <c r="OH299" s="168" t="e">
        <f t="shared" ca="1" si="1039"/>
        <v>#DIV/0!</v>
      </c>
      <c r="OI299" s="168" t="e">
        <f t="shared" ca="1" si="1040"/>
        <v>#DIV/0!</v>
      </c>
      <c r="OJ299" s="168" t="e">
        <f t="shared" ca="1" si="1041"/>
        <v>#DIV/0!</v>
      </c>
      <c r="OK299" s="204" t="e">
        <f t="shared" ca="1" si="1042"/>
        <v>#DIV/0!</v>
      </c>
      <c r="OL299" s="177">
        <f>Control!$C$127</f>
        <v>0.15</v>
      </c>
      <c r="OM299" s="182" t="e">
        <f t="shared" ca="1" si="1043"/>
        <v>#N/A</v>
      </c>
      <c r="ON299" s="177">
        <f>Control!$C$128</f>
        <v>0.35</v>
      </c>
      <c r="OO299" s="182" t="e">
        <f t="shared" ca="1" si="1044"/>
        <v>#N/A</v>
      </c>
      <c r="OP299" s="138">
        <f t="shared" ca="1" si="1126"/>
        <v>0</v>
      </c>
      <c r="OQ299" s="138" t="e">
        <f t="shared" ca="1" si="1149"/>
        <v>#DIV/0!</v>
      </c>
      <c r="OR299" s="138" t="e">
        <f t="shared" ca="1" si="1127"/>
        <v>#DIV/0!</v>
      </c>
      <c r="OS299" s="137" t="e">
        <f t="shared" ca="1" si="1150"/>
        <v>#DIV/0!</v>
      </c>
      <c r="OT299" s="139" t="e">
        <f t="shared" ca="1" si="1151"/>
        <v>#DIV/0!</v>
      </c>
      <c r="OU299" s="138" t="e">
        <f t="shared" ca="1" si="1152"/>
        <v>#N/A</v>
      </c>
      <c r="OV299" s="138" t="e">
        <f t="shared" ca="1" si="1153"/>
        <v>#DIV/0!</v>
      </c>
      <c r="OW299" s="138" t="e">
        <f t="shared" ca="1" si="1128"/>
        <v>#DIV/0!</v>
      </c>
      <c r="OX299" s="138" t="e">
        <f t="shared" ca="1" si="1129"/>
        <v>#DIV/0!</v>
      </c>
      <c r="OY299" s="138" t="e">
        <f t="shared" ca="1" si="1130"/>
        <v>#DIV/0!</v>
      </c>
      <c r="OZ299" s="138" t="e">
        <f t="shared" ca="1" si="1045"/>
        <v>#DIV/0!</v>
      </c>
      <c r="PA299" s="138" t="e">
        <f t="shared" ca="1" si="1046"/>
        <v>#DIV/0!</v>
      </c>
      <c r="PB299" s="55">
        <f>IF(Control!$C$61="T", IF(Control!$C$65="F", IF($AH$6-Control!$C$60&lt;0,0,1), IF(365+$AH$6-Control!$C$60&lt;0,0,1)),0)</f>
        <v>0</v>
      </c>
      <c r="PC299" s="55">
        <f ca="1">IF(Control!$C$65="F", IF($AH$6-$HF299&lt;0,0,1), IF(365+$AH$6-$HF299&lt;0,0,1))</f>
        <v>1</v>
      </c>
      <c r="PD299" s="444">
        <f>Control!$C$118</f>
        <v>1500</v>
      </c>
      <c r="PE299" s="180" t="e">
        <f t="shared" ca="1" si="1047"/>
        <v>#N/A</v>
      </c>
      <c r="PF299" s="445">
        <f t="shared" ca="1" si="1131"/>
        <v>0.71612369323045078</v>
      </c>
      <c r="PT299" s="186"/>
      <c r="PU299" s="186"/>
      <c r="PV299" s="94"/>
      <c r="PW299" s="94"/>
      <c r="PX299" s="94"/>
      <c r="PY299" s="94"/>
      <c r="PZ299" s="94"/>
      <c r="QA299" s="94"/>
      <c r="QB299" s="94"/>
      <c r="QC299" s="94"/>
      <c r="QD299" s="94"/>
      <c r="QE299" s="94"/>
      <c r="QF299" s="94"/>
      <c r="QG299" s="94"/>
      <c r="QH299" s="94"/>
      <c r="QI299" s="94"/>
      <c r="QJ299" s="94"/>
      <c r="QK299" s="94"/>
      <c r="QL299" s="94"/>
      <c r="QM299" s="94"/>
      <c r="QN299" s="94"/>
      <c r="QO299" s="94"/>
      <c r="QP299" s="94"/>
    </row>
    <row r="300" spans="1:458" s="2" customFormat="1" x14ac:dyDescent="0.2">
      <c r="A300" s="395">
        <v>22</v>
      </c>
      <c r="B300" s="396">
        <v>10</v>
      </c>
      <c r="C300" s="387">
        <f ca="1">Weather_data!$B299</f>
        <v>0</v>
      </c>
      <c r="D300" s="388">
        <f ca="1">Weather_data!$F299</f>
        <v>0</v>
      </c>
      <c r="E300" s="388">
        <f ca="1">Weather_data!$E299</f>
        <v>0</v>
      </c>
      <c r="F300" s="388">
        <f t="shared" ca="1" si="1048"/>
        <v>0</v>
      </c>
      <c r="G300" s="388">
        <f ca="1">AVERAGE($D300:$E300)+Control!$B$9</f>
        <v>0</v>
      </c>
      <c r="H300" s="388">
        <f ca="1">Weather_data!$G299</f>
        <v>0</v>
      </c>
      <c r="I300" s="388">
        <f ca="1">Weather_data!$I299</f>
        <v>0</v>
      </c>
      <c r="J300" s="388">
        <f ca="1">Weather_data!$H299</f>
        <v>0</v>
      </c>
      <c r="K300" s="389">
        <f ca="1">Weather_data!$D299</f>
        <v>0</v>
      </c>
      <c r="L300" s="388" t="e">
        <f t="shared" ca="1" si="1049"/>
        <v>#N/A</v>
      </c>
      <c r="M300" s="388" t="e">
        <f t="shared" ca="1" si="927"/>
        <v>#N/A</v>
      </c>
      <c r="N300" s="388">
        <f t="shared" ca="1" si="928"/>
        <v>-1.7630627895521732E-14</v>
      </c>
      <c r="O300" s="388">
        <f t="shared" ca="1" si="1050"/>
        <v>1.7630627895521732E-13</v>
      </c>
      <c r="P300" s="390">
        <v>3</v>
      </c>
      <c r="Q300" s="388">
        <f ca="1">MAX($G300-Control!$C$107,0)</f>
        <v>0</v>
      </c>
      <c r="R300" s="388">
        <f t="shared" ca="1" si="1051"/>
        <v>0</v>
      </c>
      <c r="S300" s="388">
        <f t="shared" ca="1" si="929"/>
        <v>0</v>
      </c>
      <c r="T300" s="388">
        <f t="shared" ca="1" si="930"/>
        <v>0</v>
      </c>
      <c r="U300" s="59">
        <f t="shared" ca="1" si="931"/>
        <v>0</v>
      </c>
      <c r="V300" s="391">
        <f ca="1">MAX(0,MIN(Control!$C$100-Control!$C$99,$G300-Control!$C$99)*Control!$C$63)</f>
        <v>0</v>
      </c>
      <c r="W300" s="388">
        <f t="shared" ca="1" si="1052"/>
        <v>0</v>
      </c>
      <c r="X300" s="388">
        <f t="shared" ca="1" si="1053"/>
        <v>0.6110000000000001</v>
      </c>
      <c r="Y300" s="388">
        <f t="shared" ca="1" si="932"/>
        <v>0</v>
      </c>
      <c r="Z300" s="388">
        <f t="shared" ca="1" si="1054"/>
        <v>0.61058800000000002</v>
      </c>
      <c r="AA300" s="388">
        <f t="shared" ca="1" si="933"/>
        <v>0.6018</v>
      </c>
      <c r="AB300" s="388">
        <f ca="1">101.3*EXP(-0.034*Control!$C$66/($G300+273))</f>
        <v>100.69623283836242</v>
      </c>
      <c r="AC300" s="392">
        <f t="shared" ca="1" si="934"/>
        <v>4.3460251046025113E-2</v>
      </c>
      <c r="AD300" s="392">
        <f t="shared" ca="1" si="935"/>
        <v>4.4450382862832649E-2</v>
      </c>
      <c r="AE300" s="388">
        <f t="shared" ca="1" si="936"/>
        <v>0</v>
      </c>
      <c r="AF300" s="388">
        <f ca="1">MAX(0,$G300-Control!$C$92)</f>
        <v>0</v>
      </c>
      <c r="AG300" s="393">
        <f t="shared" ca="1" si="937"/>
        <v>296</v>
      </c>
      <c r="AH300" s="389">
        <f t="shared" ca="1" si="938"/>
        <v>296</v>
      </c>
      <c r="AI300" s="388">
        <f t="shared" ca="1" si="1055"/>
        <v>-0.21132384814716609</v>
      </c>
      <c r="AJ300" s="388">
        <f ca="1">IF(Control!$C$60&lt;=0,$HH300,$HI300)</f>
        <v>1</v>
      </c>
      <c r="AK300" s="388">
        <f t="shared" ca="1" si="939"/>
        <v>3.7182685653446317</v>
      </c>
      <c r="AL300" s="388">
        <f t="shared" ca="1" si="940"/>
        <v>3.6036451600551801E-19</v>
      </c>
      <c r="AM300" s="388">
        <f t="shared" ca="1" si="941"/>
        <v>3.7182685653446317</v>
      </c>
      <c r="AN300" s="388">
        <f t="shared" ca="1" si="942"/>
        <v>-0.21863430985134916</v>
      </c>
      <c r="AO300" s="388">
        <f ca="1">-0.10453/COS(Control!$B$8*PI()/180)*COS(AN300)</f>
        <v>-0.16574306307425699</v>
      </c>
      <c r="AP300" s="388">
        <f ca="1">ACOS(AO300-TAN(Control!$B$8*PI()/180)*TAN(AN300))</f>
        <v>1.4518743272487367</v>
      </c>
      <c r="AQ300" s="388">
        <f t="shared" ca="1" si="1056"/>
        <v>0</v>
      </c>
      <c r="AR300" s="394">
        <f t="shared" ca="1" si="943"/>
        <v>0</v>
      </c>
      <c r="AS300" s="436">
        <f ca="1">IF(Control!$B$18=2,(IF(OR($AH300=Control!$B$175,$AH300=Control!$B$176,$AH300=Control!$B$177,$AH300=Control!$B$178,$AH300=Control!$B$179,$AH300=Control!$B$180,$AH300=Control!$B$181,$AH300=Control!$B$182,$AH300=Control!$B$183,$AH300=Control!$B$184,$AH300=Control!$B$185),1,0)),0)</f>
        <v>0</v>
      </c>
      <c r="AT300" s="436">
        <f>IF(Control!$B$20=8,IF(AND($AH300&gt;=Control!$B$172,$AH300&lt;=Control!$B$173),1,0),0)</f>
        <v>0</v>
      </c>
      <c r="AU300" s="436">
        <f>IF(Control!$B$20=8,IF($AV299=1,1*$AT300,IF($AT300=1,$AU299+1,$AU299)),0)</f>
        <v>0</v>
      </c>
      <c r="AV300" s="436">
        <f>IF(Control!$B$20=8,IF($AU300&gt;=Control!$B$174,1,0),0)</f>
        <v>0</v>
      </c>
      <c r="AW300" s="436">
        <f ca="1">IF(AND(Control!$B$18=2,Control!$B$171=1), $AV300, $AS300)</f>
        <v>0</v>
      </c>
      <c r="AX300" s="436" t="e">
        <f ca="1">IF(AND(Control!$B$18=1,$EU300&gt;=Control!$B$19),-$AY300,IF(AND(Control!$B$18=2,$AW300=1,$EU300&gt;$DS300),-$AY300, IF(Control!$C$108=0,0, IF(Control!$C$108&lt;&gt;0,1))))</f>
        <v>#N/A</v>
      </c>
      <c r="AY300" s="436" t="e">
        <f t="shared" ca="1" si="1057"/>
        <v>#N/A</v>
      </c>
      <c r="AZ300" s="436" t="e">
        <f ca="1">IF(AND(Control!$B$18=1,$EB300&gt;Control!$B$19),$AZ299+1, IF(AND(Control!$B$18=2, $AW300=1, $EB300&gt;$DS300), $AZ299+1,$AZ299))</f>
        <v>#N/A</v>
      </c>
      <c r="BA300" s="587">
        <f>IF(Control!$C$81=0,1,IF($AH300&gt;=Control!$C$82,1,0))</f>
        <v>1</v>
      </c>
      <c r="BB300" s="140" t="e">
        <f ca="1">IF($BA300&gt;$BA299,Control!$C$83,IF($AW300&gt;0,$AW300*Control!$C$84,IF(AND(Control!$B$18=1,EN299&lt;&gt;0),Control!$C$84,0)))</f>
        <v>#N/A</v>
      </c>
      <c r="BC300" s="140" t="e">
        <f t="shared" ca="1" si="1058"/>
        <v>#N/A</v>
      </c>
      <c r="BD300" s="140" t="e">
        <f ca="1">BC300*IF(OR($G300&lt;Control!$C$92,$G300&gt;Control!$C$95),0,IF(AND($G300&gt;=Control!$C$92,$G300&lt;=Control!$C$93),$G300-Control!$C$92,IF(AND($G300&gt;Control!$C$93,$G300&lt;=Control!$C$94),Control!$C$93-Control!$C$92,IF(AND($G300&gt;Control!$C$94,$G300&lt;=Control!$C$95),(Control!$C$93-Control!$C$92)*(Control!$C$94-$G300)/(Control!$C$95-Control!$C$94)))))</f>
        <v>#N/A</v>
      </c>
      <c r="BE300" s="140" t="e">
        <f t="shared" ca="1" si="1059"/>
        <v>#N/A</v>
      </c>
      <c r="BF300" s="140" t="e">
        <f ca="1">IF($BE300&lt;=Control!$C$86,$BE300,Control!$C$86-$BE300)</f>
        <v>#N/A</v>
      </c>
      <c r="BG300" s="140" t="e">
        <f ca="1">IF(AND($AW300=1,Control!$C$84&lt;9),1,IF($BE300&gt;=Control!$C$86,0,$BC300))</f>
        <v>#N/A</v>
      </c>
      <c r="BH300" s="404" t="e">
        <f ca="1">IF($BG300=0,0,IF($BE300&lt;=Control!$C$86,$BC300*9*($BF300/Control!$C$86),0))</f>
        <v>#N/A</v>
      </c>
      <c r="BI300" s="140" t="e">
        <f ca="1">IF($BG300=1,0,IF($BE300&gt;=Control!$C$86,1,IF(AND($BB300&lt;21,$BB300&gt;=9),1,$BM299)))</f>
        <v>#N/A</v>
      </c>
      <c r="BJ300" s="140" t="e">
        <f ca="1">IF($BF300&lt;0,-$BF300,$BI300*IF(OR($G300&lt;Control!$C$92,$G300&gt;Control!$C$95),0,IF(AND($G300&gt;=Control!$C$92,$G300&lt;=Control!$C$93),$G300-Control!$C$92,IF(AND($G300&gt;Control!$C$93,$G300&lt;=Control!$C$94),Control!$C$93-Control!$C$92,IF(AND($G300&gt;Control!$C$94,$G300&lt;=Control!$C$95),(Control!$C$93-Control!$C$92)*(Control!$C$94-$G300)/(Control!$C$95-Control!$C$94))))))</f>
        <v>#N/A</v>
      </c>
      <c r="BK300" s="140" t="e">
        <f t="shared" ca="1" si="1060"/>
        <v>#N/A</v>
      </c>
      <c r="BL300" s="140" t="e">
        <f ca="1">IF($BK300&lt;=Control!$C$87,$BK300,Control!$C$87-$BK300)</f>
        <v>#N/A</v>
      </c>
      <c r="BM300" s="140" t="e">
        <f ca="1">IF(AND($BB300&gt;=9,$BB300&lt;21),1,IF($BK300&gt;=Control!$C$87,0,$BI300))</f>
        <v>#N/A</v>
      </c>
      <c r="BN300" s="404" t="e">
        <f ca="1">IF($BM300=0,0,IF($BK300&lt;=Control!$C$87,$BI300*(9+(21-9)*($BL300/Control!$C$87)),0))</f>
        <v>#N/A</v>
      </c>
      <c r="BO300" s="140" t="e">
        <f ca="1">IF($BM300=1,0,IF($BK300&gt;=Control!$C$87,1,IF(AND($BB300&lt;30,$BB300&gt;=21),1,$BS299)))</f>
        <v>#N/A</v>
      </c>
      <c r="BP300" s="140" t="e">
        <f ca="1">IF($BL300&lt;0,-$BL300,$BO300*IF(OR($G300&lt;Control!$C$92,$G300&gt;Control!$C$95),0,IF(AND($G300&gt;=Control!$C$92,$G300&lt;=Control!$C$93),$G300-Control!$C$92,IF(AND($G300&gt;Control!$C$93,$G300&lt;=Control!$C$94),Control!$C$93-Control!$C$92,IF(AND($G300&gt;Control!$C$94,$G300&lt;=Control!$C$95),(Control!$C$93-Control!$C$92)*(Control!$C$94-$G300)/(Control!$C$95-Control!$C$94))))))</f>
        <v>#N/A</v>
      </c>
      <c r="BQ300" s="140" t="e">
        <f t="shared" ca="1" si="944"/>
        <v>#N/A</v>
      </c>
      <c r="BR300" s="140" t="e">
        <f ca="1">IF($BQ300&lt;=Control!$C$88,$BQ300,Control!$C$88-$BQ300)</f>
        <v>#N/A</v>
      </c>
      <c r="BS300" s="140" t="e">
        <f ca="1">IF(AND($BB300&gt;=21,$BB300&lt;30),1,IF($BQ300&gt;=Control!$C$88,0,$BO300))</f>
        <v>#N/A</v>
      </c>
      <c r="BT300" s="404" t="e">
        <f ca="1">IF($BS300=0,0,IF($BQ300&lt;=Control!$C$88,$BO300*(21+(30-21)*(BR300/Control!$C$88)),0))</f>
        <v>#N/A</v>
      </c>
      <c r="BU300" s="140" t="e">
        <f ca="1">IF(BG300+BM300+BS300=1,0,IF(OR(AND($BB300&lt;60,$BB300&gt;=30),$BQ300&gt;=Control!$C$88),1*$BA300,$BY299))</f>
        <v>#N/A</v>
      </c>
      <c r="BV300" s="140" t="e">
        <f ca="1">IF($BR300&lt;0,-$BR300,$BU300*IF(OR($G300&lt;Control!$C$92,$G300&gt;Control!$C$95),0,IF(AND($G300&gt;=Control!$C$92,$G300&lt;=Control!$C$93),$G300-Control!$C$92,IF(AND($G300&gt;Control!$C$93,$G300&lt;=Control!$C$94),Control!$C$93-Control!$C$92,IF(AND($G300&gt;Control!$C$94,$G300&lt;=Control!$C$95),(Control!$C$93-Control!$C$92)*(Control!$C$94-$G300)/(Control!$C$95-Control!$C$94))))))</f>
        <v>#N/A</v>
      </c>
      <c r="BW300" s="140" t="e">
        <f t="shared" ca="1" si="945"/>
        <v>#N/A</v>
      </c>
      <c r="BX300" s="140" t="e">
        <f ca="1">IF($BW300&lt;=Control!$C$89,$BW300,Control!$C$89-$BW300)</f>
        <v>#N/A</v>
      </c>
      <c r="BY300" s="140" t="e">
        <f ca="1">IF(AND($AJ300&gt;=30,$AJ300&lt;60),1,IF($BW300&gt;=Control!$C$89,0,$BU300))</f>
        <v>#N/A</v>
      </c>
      <c r="BZ300" s="404" t="e">
        <f ca="1">IF($BY300=0,0,IF($BW300&lt;=Control!$C$89,$BU300*(30+(60-30)*(BX300/Control!$C$89)),0))</f>
        <v>#N/A</v>
      </c>
      <c r="CA300" s="140" t="e">
        <f ca="1">IF($BG300+$BM300+$BS300+$BY300=1,0,IF(OR(AND($BB300&lt;65,$BB300&gt;=60),$BW300&gt;=Control!$C$89),1*$BA300,$CE299))</f>
        <v>#N/A</v>
      </c>
      <c r="CB300" s="140" t="e">
        <f ca="1">IF($BX300&lt;0,-$BX300,$CA300*IF(OR($G300&lt;Control!$C$92,$G300&gt;Control!$C$95),0,IF(AND($G300&gt;=Control!$C$92,$G300&lt;=Control!$C$93),$G300-Control!$C$92,IF(AND($G300&gt;Control!$C$93,$G300&lt;=Control!$C$94),Control!$C$93-Control!$C$92,IF(AND($G300&gt;Control!$C$94,$G300&lt;=Control!$C$95),(Control!$C$93-Control!$C$92)*(Control!$C$94-$G300)/(Control!$C$95-Control!$C$94))))))</f>
        <v>#N/A</v>
      </c>
      <c r="CC300" s="140" t="e">
        <f t="shared" ca="1" si="1061"/>
        <v>#N/A</v>
      </c>
      <c r="CD300" s="140" t="e">
        <f ca="1">IF($CC300&lt;=Control!$C$90,$CC300,Control!$C$90-$CC300)</f>
        <v>#N/A</v>
      </c>
      <c r="CE300" s="140" t="e">
        <f ca="1">IF(AND($BB300&gt;=60,$BB300&lt;65),1,IF($CC300&gt;=Control!$C$90,0,$CA300))</f>
        <v>#N/A</v>
      </c>
      <c r="CF300" s="404" t="e">
        <f ca="1">IF($CE300=0,0,IF($CC300&lt;=Control!$C$90,$CA300*(60+(65-60)*(CD300/Control!$C$90)),0))</f>
        <v>#N/A</v>
      </c>
      <c r="CG300" s="140" t="e">
        <f ca="1">IF($BG300+$BM300+$BS300+$BY300+$CE300=1,0,IF(OR(AND($BB300&lt;90,$BB300&gt;=65),$CC300&gt;=Control!$C$90),$BA300,$CK299))</f>
        <v>#N/A</v>
      </c>
      <c r="CH300" s="140" t="e">
        <f ca="1">IF($CD300&lt;0,-$CD300,$CG300*IF(OR($G300&lt;Control!$C$92,$G300&gt;Control!$C$95),0,IF(AND($G300&gt;=Control!$C$92,$G300&lt;=Control!$C$93),$G300-Control!$C$92,IF(AND($G300&gt;Control!$C$93,$G300&lt;=Control!$C$94),Control!$C$93-Control!$C$92,IF(AND($G300&gt;Control!$C$94,$G300&lt;=Control!$C$95),(Control!$C$93-Control!$C$92)*(Control!$C$94-$G300)/(Control!$C$95-Control!$C$94))))))</f>
        <v>#N/A</v>
      </c>
      <c r="CI300" s="140" t="e">
        <f t="shared" ca="1" si="1062"/>
        <v>#N/A</v>
      </c>
      <c r="CJ300" s="140" t="e">
        <f ca="1">IF($CI300&lt;=Control!$C$91,$CI300,Control!$C$91-$CI300)</f>
        <v>#N/A</v>
      </c>
      <c r="CK300" s="140" t="e">
        <f ca="1">IF(AND($BB300&gt;=65,$BB300&lt;90),1,IF($CI300&gt;=Control!$C$91,0,$CG300))</f>
        <v>#N/A</v>
      </c>
      <c r="CL300" s="404" t="e">
        <f ca="1">IF($CK300=0,0,IF($CI300&lt;=Control!$C$91,$CG300*(65+(90-65)*($CJ300/Control!$C$91)),0))</f>
        <v>#N/A</v>
      </c>
      <c r="CM300" s="140" t="e">
        <f ca="1">IF($BG300+$BM300+$BS300+$BY300+$CE300+$CK300=1,0,IF(OR($BB300&gt;=90,$CI300&gt;=Control!$C$91),$BA300,$CM299))</f>
        <v>#N/A</v>
      </c>
      <c r="CN300" s="140" t="e">
        <f t="shared" ca="1" si="1063"/>
        <v>#N/A</v>
      </c>
      <c r="CO300" s="140" t="e">
        <f t="shared" ca="1" si="1064"/>
        <v>#N/A</v>
      </c>
      <c r="CP300" s="140" t="e">
        <f t="shared" ca="1" si="1065"/>
        <v>#N/A</v>
      </c>
      <c r="CQ300" s="141" t="e">
        <f ca="1">VLOOKUP($CP300,Control!$B$86:$G$91,6)</f>
        <v>#N/A</v>
      </c>
      <c r="CR300" s="141" t="e">
        <f ca="1">(1-$CQ300)*VLOOKUP($CP300,Control!$B$86:$D$91,3)</f>
        <v>#N/A</v>
      </c>
      <c r="CS300" s="141" t="e">
        <f ca="1">(1-$CQ300)*VLOOKUP($CP300,Control!$B$86:$E$91,4)</f>
        <v>#N/A</v>
      </c>
      <c r="CT300" s="141" t="e">
        <f ca="1">(1-$CQ300)*VLOOKUP($CP300,Control!$B$86:$F$91,5)</f>
        <v>#N/A</v>
      </c>
      <c r="CU300" s="141">
        <f t="shared" ca="1" si="1066"/>
        <v>0</v>
      </c>
      <c r="CV300" s="583">
        <f t="shared" ca="1" si="1067"/>
        <v>0</v>
      </c>
      <c r="CW300" s="142">
        <f t="shared" ca="1" si="1068"/>
        <v>296</v>
      </c>
      <c r="CX300" s="612" t="e">
        <f ca="1">IF(Control!$C$114=1,(MIN(Control!$C$120*(IF($NT300-0.01&lt;0,0,1)),Control!$C$119-$CY300)))</f>
        <v>#DIV/0!</v>
      </c>
      <c r="CY300" s="143" t="e">
        <f t="shared" ca="1" si="1069"/>
        <v>#N/A</v>
      </c>
      <c r="CZ300" s="144">
        <f t="shared" ca="1" si="946"/>
        <v>0</v>
      </c>
      <c r="DA300" s="144">
        <f t="shared" ca="1" si="947"/>
        <v>0</v>
      </c>
      <c r="DB300" s="144" t="e">
        <f t="shared" ca="1" si="948"/>
        <v>#N/A</v>
      </c>
      <c r="DC300" s="144" t="e">
        <f t="shared" ca="1" si="949"/>
        <v>#N/A</v>
      </c>
      <c r="DD300" s="144" t="e">
        <f t="shared" ca="1" si="1154"/>
        <v>#N/A</v>
      </c>
      <c r="DE300" s="143" t="e">
        <f t="shared" ca="1" si="1070"/>
        <v>#N/A</v>
      </c>
      <c r="DF300" s="145" t="e">
        <f ca="1">$DR300*EXP(-Control!$C$158*(1-$KH300))</f>
        <v>#N/A</v>
      </c>
      <c r="DG300" s="146" t="e">
        <f ca="1">IF(Control!$C$114=1, $DF300*$EY300, 0)</f>
        <v>#N/A</v>
      </c>
      <c r="DH300" s="147" t="e">
        <f t="shared" ca="1" si="1071"/>
        <v>#N/A</v>
      </c>
      <c r="DI300" s="144" t="e">
        <f t="shared" ca="1" si="1132"/>
        <v>#N/A</v>
      </c>
      <c r="DJ300" s="147" t="e">
        <f ca="1">$EF300*Control!$C$109</f>
        <v>#N/A</v>
      </c>
      <c r="DK300" s="144" t="e">
        <f t="shared" ca="1" si="1072"/>
        <v>#N/A</v>
      </c>
      <c r="DL300" s="144" t="e">
        <f t="shared" ca="1" si="950"/>
        <v>#N/A</v>
      </c>
      <c r="DM300" s="144" t="e">
        <f ca="1">IF(Control!$C$114=1, (1-EXP(-Control!$C$96*$DK300))*$AR300, 0)</f>
        <v>#N/A</v>
      </c>
      <c r="DN300" s="144">
        <f t="shared" ca="1" si="1073"/>
        <v>0</v>
      </c>
      <c r="DO300" s="148">
        <f>Control!$C$97</f>
        <v>4</v>
      </c>
      <c r="DP300" s="145" t="e">
        <f t="shared" ca="1" si="1074"/>
        <v>#N/A</v>
      </c>
      <c r="DQ300" s="145" t="e">
        <f ca="1">IF(AND($CP300&gt;=0,$CP300&lt;=90),Control!$C$111,Control!$C$111)</f>
        <v>#N/A</v>
      </c>
      <c r="DR300" s="145" t="e">
        <f t="shared" ca="1" si="951"/>
        <v>#N/A</v>
      </c>
      <c r="DS300" s="143" t="e">
        <f ca="1">Control!$B$22/$DR300</f>
        <v>#N/A</v>
      </c>
      <c r="DT300" s="149" t="e">
        <f ca="1">IF(AND(Control!$C$114=1,$KH300&lt;1),$IM300*$DF300, 0)</f>
        <v>#N/A</v>
      </c>
      <c r="DU300" s="144" t="e">
        <f t="shared" ca="1" si="1075"/>
        <v>#N/A</v>
      </c>
      <c r="DV300" s="144">
        <f ca="1">IF($G300-Control!$C$107&lt;=0, 0, 0.83*LN(MAX($G300, 3))-0.8924)</f>
        <v>0</v>
      </c>
      <c r="DW300" s="144" t="e">
        <f t="shared" ca="1" si="952"/>
        <v>#N/A</v>
      </c>
      <c r="DX300" s="150" t="e">
        <f ca="1">MAX(0.01*(1+$CU300/Control!$C$102),0.05*($DK300-Control!$C$97)/Control!$C$97)</f>
        <v>#N/A</v>
      </c>
      <c r="DY300" s="151" t="e">
        <f ca="1">IF(Control!$C$114=1, $DI300*$FS300, 0)</f>
        <v>#N/A</v>
      </c>
      <c r="DZ300" s="196" t="e">
        <f t="shared" ca="1" si="1076"/>
        <v>#N/A</v>
      </c>
      <c r="EA300" s="152">
        <f t="shared" ca="1" si="1077"/>
        <v>296</v>
      </c>
      <c r="EB300" s="153" t="e">
        <f t="shared" ca="1" si="1078"/>
        <v>#N/A</v>
      </c>
      <c r="EC300" s="153" t="e">
        <f t="shared" ca="1" si="1079"/>
        <v>#N/A</v>
      </c>
      <c r="ED300" s="154" t="e">
        <f ca="1">IF(Control!$C$114=1, $HM300*$FY300-$FD300, 0)</f>
        <v>#DIV/0!</v>
      </c>
      <c r="EE300" s="155" t="e">
        <f ca="1">IF(Control!$C$114=1, $HM300*$FZ300-$FF300, 0)</f>
        <v>#DIV/0!</v>
      </c>
      <c r="EF300" s="153" t="e">
        <f t="shared" ca="1" si="1133"/>
        <v>#N/A</v>
      </c>
      <c r="EG300" s="155" t="e">
        <f ca="1">IF(Control!$C$114=1, $GX300*$FW300-$FI300, 0)</f>
        <v>#DIV/0!</v>
      </c>
      <c r="EH300" s="153" t="e">
        <f t="shared" ca="1" si="1080"/>
        <v>#N/A</v>
      </c>
      <c r="EI300" s="156" t="e">
        <f t="shared" ca="1" si="1081"/>
        <v>#N/A</v>
      </c>
      <c r="EJ300" s="155" t="e">
        <f ca="1">IF(Control!$C$114=1, $HM300*$GB300, 0)</f>
        <v>#DIV/0!</v>
      </c>
      <c r="EK300" s="153" t="e">
        <f t="shared" ca="1" si="1134"/>
        <v>#N/A</v>
      </c>
      <c r="EL300" s="153" t="e">
        <f t="shared" ca="1" si="953"/>
        <v>#N/A</v>
      </c>
      <c r="EM300" s="153" t="e">
        <f t="shared" ca="1" si="954"/>
        <v>#N/A</v>
      </c>
      <c r="EN300" s="153" t="e">
        <f ca="1">IF(Control!$C$108=1,IF(AND(Control!$B$18=1,$EB300&gt;=Control!$B$19),$EB300-$DS300,IF(AND(Control!$B$18=2,$AW300=1,$EB300&gt;$DS300),$EB300-$DS300,0)))</f>
        <v>#N/A</v>
      </c>
      <c r="EO300" s="153" t="e">
        <f ca="1">IF(Control!$C$108=1,IF(AND(Control!$B$18=1,$EB300&gt;=Control!$B$19),$EF300,IF(AND(Control!$B$18=2,$AW300=1),$EF300,0)))</f>
        <v>#N/A</v>
      </c>
      <c r="EP300" s="153" t="e">
        <f ca="1">IF(Control!$C$108=1,IF(AND(Control!$B$18=1,$EB300&gt;=Control!$B$19),$EK300,IF(AND(Control!$B$18=2,$AW300=1),$EK300,0)))</f>
        <v>#N/A</v>
      </c>
      <c r="EQ300" s="153" t="e">
        <f t="shared" ca="1" si="1082"/>
        <v>#N/A</v>
      </c>
      <c r="ER300" s="153" t="e">
        <f t="shared" ca="1" si="1083"/>
        <v>#N/A</v>
      </c>
      <c r="ES300" s="153" t="e">
        <f t="shared" ca="1" si="1135"/>
        <v>#N/A</v>
      </c>
      <c r="ET300" s="153" t="e">
        <f t="shared" ca="1" si="1136"/>
        <v>#N/A</v>
      </c>
      <c r="EU300" s="153" t="e">
        <f t="shared" ca="1" si="1084"/>
        <v>#N/A</v>
      </c>
      <c r="EV300" s="153" t="e">
        <f t="shared" ca="1" si="955"/>
        <v>#N/A</v>
      </c>
      <c r="EW300" s="153" t="e">
        <f t="shared" ca="1" si="956"/>
        <v>#N/A</v>
      </c>
      <c r="EX300" s="153" t="e">
        <f t="shared" ca="1" si="957"/>
        <v>#N/A</v>
      </c>
      <c r="EY300" s="157" t="e">
        <f t="shared" ca="1" si="958"/>
        <v>#DIV/0!</v>
      </c>
      <c r="EZ300" s="154" t="e">
        <f t="shared" ca="1" si="959"/>
        <v>#DIV/0!</v>
      </c>
      <c r="FA300" s="153" t="e">
        <f t="shared" ca="1" si="1085"/>
        <v>#N/A</v>
      </c>
      <c r="FB300" s="153" t="e">
        <f t="shared" ca="1" si="960"/>
        <v>#N/A</v>
      </c>
      <c r="FC300" s="193" t="e">
        <f t="shared" ca="1" si="961"/>
        <v>#N/A</v>
      </c>
      <c r="FD300" s="158" t="e">
        <f t="shared" ca="1" si="1086"/>
        <v>#N/A</v>
      </c>
      <c r="FE300" s="158" t="e">
        <f t="shared" ca="1" si="1087"/>
        <v>#N/A</v>
      </c>
      <c r="FF300" s="159" t="e">
        <f t="shared" ca="1" si="962"/>
        <v>#N/A</v>
      </c>
      <c r="FG300" s="160" t="e">
        <f t="shared" ca="1" si="1088"/>
        <v>#N/A</v>
      </c>
      <c r="FH300" s="158" t="e">
        <f t="shared" ca="1" si="1089"/>
        <v>#N/A</v>
      </c>
      <c r="FI300" s="159" t="e">
        <f t="shared" ca="1" si="963"/>
        <v>#N/A</v>
      </c>
      <c r="FJ300" s="160" t="e">
        <f t="shared" ca="1" si="1090"/>
        <v>#N/A</v>
      </c>
      <c r="FK300" s="160" t="e">
        <f t="shared" ca="1" si="964"/>
        <v>#N/A</v>
      </c>
      <c r="FL300" s="160" t="e">
        <f ca="1">$FL299+$FD299</f>
        <v>#N/A</v>
      </c>
      <c r="FM300" s="160" t="e">
        <f t="shared" ca="1" si="965"/>
        <v>#N/A</v>
      </c>
      <c r="FN300" s="158">
        <f t="shared" ca="1" si="1091"/>
        <v>0.01</v>
      </c>
      <c r="FO300" s="160">
        <f>Control!$C$101</f>
        <v>50</v>
      </c>
      <c r="FP300" s="150" t="e">
        <f t="shared" ca="1" si="966"/>
        <v>#N/A</v>
      </c>
      <c r="FQ300" s="150" t="e">
        <f ca="1">MAX(0,(Control!$C$112*(($DK300-Control!$C$97)/Control!$C$97)))</f>
        <v>#N/A</v>
      </c>
      <c r="FR300" s="150" t="e">
        <f ca="1">(1-$NT300)*Control!$C$113</f>
        <v>#DIV/0!</v>
      </c>
      <c r="FS300" s="198" t="e">
        <f t="shared" ca="1" si="967"/>
        <v>#N/A</v>
      </c>
      <c r="FT300" s="161">
        <f t="shared" ca="1" si="1092"/>
        <v>296</v>
      </c>
      <c r="FU300" s="162" t="e">
        <f ca="1">IF(Control!$B$34=1,VLOOKUP($CP300,Control!$B$86:$G$91,6),Control!$B$35)</f>
        <v>#N/A</v>
      </c>
      <c r="FV300" s="162" t="e">
        <f t="shared" ca="1" si="968"/>
        <v>#DIV/0!</v>
      </c>
      <c r="FW300" s="162" t="e">
        <f ca="1">IF(Control!$B$31=1,$FU300*$FV300,  $FU300)</f>
        <v>#N/A</v>
      </c>
      <c r="FX300" s="162" t="e">
        <f ca="1">IF(Control!$B$34=1,VLOOKUP($CP300,Control!$B$86:$G$91,3),Control!$B$36)</f>
        <v>#N/A</v>
      </c>
      <c r="FY300" s="162" t="e">
        <f t="shared" ca="1" si="969"/>
        <v>#N/A</v>
      </c>
      <c r="FZ300" s="162" t="e">
        <f ca="1">IF(Control!$B$34=1,VLOOKUP($CP300,Control!$B$86:$G$91,4),Control!$B$37)</f>
        <v>#N/A</v>
      </c>
      <c r="GA300" s="162" t="e">
        <f t="shared" ca="1" si="970"/>
        <v>#N/A</v>
      </c>
      <c r="GB300" s="162" t="e">
        <f ca="1">IF(Control!$B$34=1,VLOOKUP($CP300,Control!$B$86:$G$91,5),Control!$B$38)</f>
        <v>#N/A</v>
      </c>
      <c r="GC300" s="162" t="e">
        <f t="shared" ca="1" si="1093"/>
        <v>#N/A</v>
      </c>
      <c r="GD300" s="162">
        <f t="shared" ca="1" si="971"/>
        <v>1</v>
      </c>
      <c r="GE300" s="162">
        <f t="shared" ca="1" si="972"/>
        <v>1</v>
      </c>
      <c r="GF300" s="162">
        <f ca="1">IF(AND(Control!$C$104=1, Control!$C$62="F"),$GE300,1)</f>
        <v>1</v>
      </c>
      <c r="GG300" s="162" t="e">
        <f ca="1">IF(Control!$B$16=40,0,IF(AND(Control!$B$16&gt;40,Control!$B$16&lt;=360),(Control!$B$16-40)*((1-0)/(360-40)),IF(AND(Control!$B$16&gt;360,Control!$B$16&lt;=720),(1+(Control!$B$16-360)*((1.25-1)/(720-360))),IF(AND(Control!$B$16&gt;720,Control!$B$16&lt;=1000),(1.25+(Control!$B$16-720)*((1.35-1.25)/(1000-720))),IF(AND(Control!$B$16&gt;1000,Control!$B$16&lt;=2000),(1.35+(Control!$B$16-1000)*0))))))</f>
        <v>#N/A</v>
      </c>
      <c r="GH300" s="162" t="e">
        <f t="shared" ca="1" si="973"/>
        <v>#N/A</v>
      </c>
      <c r="GI300" s="162">
        <f t="shared" ca="1" si="1094"/>
        <v>0</v>
      </c>
      <c r="GJ300" s="162">
        <f t="shared" ca="1" si="974"/>
        <v>0</v>
      </c>
      <c r="GK300" s="162">
        <f t="shared" ca="1" si="1095"/>
        <v>1</v>
      </c>
      <c r="GL300" s="162">
        <f t="shared" ca="1" si="975"/>
        <v>1</v>
      </c>
      <c r="GM300" s="162" t="e">
        <f ca="1">MAX(0,MIN(1,1-Control!$C$156*(1.0001-$KH300)^2))</f>
        <v>#N/A</v>
      </c>
      <c r="GN300" s="162" t="e">
        <f ca="1">IF(Control!$B$26=1,$KU300,$KX300)</f>
        <v>#N/A</v>
      </c>
      <c r="GO300" s="162" t="e">
        <f ca="1">IF($CP300&lt;=60,Control!$C$105,IF($CP300&gt;=90,Control!$C$106,Control!$C$105+($CP300-60)*((Control!$C$106-Control!$C$105)/(90-60))))</f>
        <v>#N/A</v>
      </c>
      <c r="GP300" s="162" t="e">
        <f t="shared" ca="1" si="976"/>
        <v>#N/A</v>
      </c>
      <c r="GQ300" s="162" t="e">
        <f t="shared" ca="1" si="1096"/>
        <v>#N/A</v>
      </c>
      <c r="GR300" s="163" t="e">
        <f t="shared" ca="1" si="977"/>
        <v>#DIV/0!</v>
      </c>
      <c r="GS300" s="162" t="e">
        <f t="shared" ca="1" si="978"/>
        <v>#DIV/0!</v>
      </c>
      <c r="GT300" s="164" t="e">
        <f t="shared" ca="1" si="1097"/>
        <v>#N/A</v>
      </c>
      <c r="GU300" s="162" t="e">
        <f t="shared" ca="1" si="1098"/>
        <v>#N/A</v>
      </c>
      <c r="GV300" s="162" t="e">
        <f t="shared" ca="1" si="979"/>
        <v>#N/A</v>
      </c>
      <c r="GW300" s="162" t="e">
        <f t="shared" ca="1" si="980"/>
        <v>#DIV/0!</v>
      </c>
      <c r="GX300" s="162" t="e">
        <f t="shared" ca="1" si="1099"/>
        <v>#DIV/0!</v>
      </c>
      <c r="GY300" s="162" t="e">
        <f t="shared" ca="1" si="1100"/>
        <v>#DIV/0!</v>
      </c>
      <c r="GZ300" s="165" t="e">
        <f t="shared" ca="1" si="981"/>
        <v>#N/A</v>
      </c>
      <c r="HA300" s="162" t="e">
        <f ca="1">IF(Control!$C$114=1, $DI300*$FS300, 0)</f>
        <v>#N/A</v>
      </c>
      <c r="HB300" s="162" t="e">
        <f ca="1">$FA300/Control!$C$64</f>
        <v>#N/A</v>
      </c>
      <c r="HC300" s="162" t="e">
        <f t="shared" ca="1" si="982"/>
        <v>#DIV/0!</v>
      </c>
      <c r="HD300" s="162">
        <f ca="1">-ASIN(SIN(23.45*Control!$C$139)*COS(2*Control!$C$138*($AH300+10)/365))</f>
        <v>-0.21132384814716609</v>
      </c>
      <c r="HE300" s="165">
        <f t="shared" ca="1" si="1101"/>
        <v>0</v>
      </c>
      <c r="HF300" s="166">
        <f ca="1">IF(AND(Control!$C$61="T",$HE300&gt;=Control!$C$103,Control!$C$114=0),$AH300,Control!$C$59)</f>
        <v>1</v>
      </c>
      <c r="HG300" s="166">
        <f ca="1">IF(AND(Control!$C$61="T",$HE300&gt;=Control!$C$103,Control!$C$114=0),$HF300,Control!$C$59)</f>
        <v>1</v>
      </c>
      <c r="HH300" s="165">
        <f ca="1">IF(AND(OR(Control!$C$60&lt;=0, $AH300= Control!$C$59, Control!$C$60 &gt;0, $AH300 = Control!$C$60)), Control!$C$59, IF(Control!$C$60&gt;0, 0))</f>
        <v>1</v>
      </c>
      <c r="HI300" s="165">
        <f ca="1">IF(AND(OR(Control!$C$60&lt;=0, $AH300= Control!$C$59, Control!$C$60 &gt;0, $AH300 = Control!$C$60)), Control!$C$60, IF(Control!$C$60&lt;=0, 0))</f>
        <v>0</v>
      </c>
      <c r="HJ300" s="166">
        <f ca="1">IF(AND(Control!$C$62="F",$CV300&gt;=Control!$C$102),$AH300,0)</f>
        <v>0</v>
      </c>
      <c r="HK300" s="165" t="e">
        <f t="shared" ca="1" si="1138"/>
        <v>#N/A</v>
      </c>
      <c r="HL300" s="166">
        <f ca="1">IF(AND(Control!$C$61="T",$HE300&gt;=Control!$C$103,Control!$C$114=0),$HF300,0)</f>
        <v>0</v>
      </c>
      <c r="HM300" s="201" t="e">
        <f t="shared" ca="1" si="983"/>
        <v>#DIV/0!</v>
      </c>
      <c r="HN300" s="215">
        <f t="shared" ca="1" si="1102"/>
        <v>296</v>
      </c>
      <c r="HO300" s="216" t="e">
        <f ca="1">IF(AND($CP300&gt;=0, $CP300&lt;=90), Control!$C$152, Control!$C$152)</f>
        <v>#N/A</v>
      </c>
      <c r="HP300" s="216" t="e">
        <f t="shared" ca="1" si="984"/>
        <v>#N/A</v>
      </c>
      <c r="HQ300" s="217" t="e">
        <f ca="1">IF(OR(Control!$B$26=1,Control!$B$26=2),$KV300,$KS300)</f>
        <v>#DIV/0!</v>
      </c>
      <c r="HR300" s="218" t="e">
        <f t="shared" ca="1" si="1139"/>
        <v>#DIV/0!</v>
      </c>
      <c r="HS300" s="216" t="e">
        <f ca="1">Control!$C$154*$HP300</f>
        <v>#N/A</v>
      </c>
      <c r="HT300" s="216" t="e">
        <f ca="1">Control!$C$155*$HP300</f>
        <v>#N/A</v>
      </c>
      <c r="HU300" s="217" t="e">
        <f ca="1">Control!$C$161*$FI300</f>
        <v>#N/A</v>
      </c>
      <c r="HV300" s="218" t="e">
        <f t="shared" ca="1" si="1103"/>
        <v>#N/A</v>
      </c>
      <c r="HW300" s="218" t="e">
        <f ca="1">Control!$C$160*$FF300+$IP300*$EO300</f>
        <v>#N/A</v>
      </c>
      <c r="HX300" s="218" t="e">
        <f t="shared" ca="1" si="1140"/>
        <v>#N/A</v>
      </c>
      <c r="HY300" s="219" t="e">
        <f ca="1">IF(Control!$C$114=1, $EB300*$FS300, 0)</f>
        <v>#N/A</v>
      </c>
      <c r="HZ300" s="91" t="e">
        <f t="shared" ca="1" si="985"/>
        <v>#N/A</v>
      </c>
      <c r="IA300" s="220" t="e">
        <f ca="1">Control!$C$153*$HO300</f>
        <v>#N/A</v>
      </c>
      <c r="IB300" s="218" t="e">
        <f t="shared" ca="1" si="986"/>
        <v>#N/A</v>
      </c>
      <c r="IC300" s="220" t="e">
        <f ca="1">Control!$C$153*$HT300</f>
        <v>#N/A</v>
      </c>
      <c r="ID300" s="218" t="e">
        <f t="shared" ca="1" si="987"/>
        <v>#N/A</v>
      </c>
      <c r="IE300" s="221" t="e">
        <f ca="1">($EB300*Control!$C$159+$EF300*Control!$C$160)/(IF($GZ300&lt;&gt;0,$GZ300,1))</f>
        <v>#N/A</v>
      </c>
      <c r="IF300" s="216" t="e">
        <f t="shared" ca="1" si="988"/>
        <v>#N/A</v>
      </c>
      <c r="IG300" s="91">
        <f ca="1">IF(OR(Control!$B$198=$AH300,Control!$B$199=$AH300, Control!$B$200=$AH300, Control!$B$201=$AH300, Control!$B$202=$AH300, Control!$B$203=$AH300, Control!$B$204=$AH300, Control!$B$205=$AH300, Control!$B$206=$AH300, Control!$B$207=$AH300), 1, 0)</f>
        <v>0</v>
      </c>
      <c r="IH300" s="91">
        <f ca="1">IF($IG300=0,0, VLOOKUP($AH300,Control!$B$198:$C$207,2))</f>
        <v>0</v>
      </c>
      <c r="II300" s="222">
        <f t="shared" ca="1" si="1104"/>
        <v>0</v>
      </c>
      <c r="IJ300" s="91">
        <f>Control!$C$121</f>
        <v>0.7</v>
      </c>
      <c r="IK300" s="218">
        <f t="shared" ca="1" si="989"/>
        <v>0</v>
      </c>
      <c r="IL300" s="217" t="e">
        <f t="shared" ca="1" si="1141"/>
        <v>#N/A</v>
      </c>
      <c r="IM300" s="223" t="e">
        <f ca="1">IF(AND(Control!$C$114=1,$KH300&lt;1),$EB300*Control!$C$148*(1-$KH300), 0)</f>
        <v>#N/A</v>
      </c>
      <c r="IN300" s="217" t="e">
        <f t="shared" ca="1" si="990"/>
        <v>#DIV/0!</v>
      </c>
      <c r="IO300" s="91" t="e">
        <f ca="1">MAX(0,$IL300-$EF300*Control!$C$160)</f>
        <v>#N/A</v>
      </c>
      <c r="IP300" s="220" t="e">
        <f t="shared" ca="1" si="991"/>
        <v>#N/A</v>
      </c>
      <c r="IQ300" s="217" t="e">
        <f t="shared" ca="1" si="1105"/>
        <v>#N/A</v>
      </c>
      <c r="IR300" s="218" t="e">
        <f t="shared" ca="1" si="992"/>
        <v>#N/A</v>
      </c>
      <c r="IS300" s="217" t="e">
        <f ca="1">Control!$C$159*MAX(0,$FD300-$EN300)</f>
        <v>#N/A</v>
      </c>
      <c r="IT300" s="217" t="e">
        <f t="shared" ca="1" si="1142"/>
        <v>#N/A</v>
      </c>
      <c r="IU300" s="217" t="e">
        <f t="shared" ca="1" si="1106"/>
        <v>#N/A</v>
      </c>
      <c r="IV300" s="217" t="e">
        <f t="shared" ca="1" si="1143"/>
        <v>#N/A</v>
      </c>
      <c r="IW300" s="217" t="e">
        <f ca="1">IF(OR($AW300=1,AND($AW300=0, Control!$B$18=1,$EN300&lt;&gt;0)), $IQ300-$IU300, $IQ300)</f>
        <v>#N/A</v>
      </c>
      <c r="IX300" s="218" t="e">
        <f t="shared" ca="1" si="993"/>
        <v>#N/A</v>
      </c>
      <c r="IY300" s="218" t="e">
        <f ca="1">MAX(0,$IQ300-$EB300*Control!$C$159)</f>
        <v>#N/A</v>
      </c>
      <c r="IZ300" s="218" t="e">
        <f t="shared" ca="1" si="994"/>
        <v>#N/A</v>
      </c>
      <c r="JA300" s="216" t="e">
        <f t="shared" ca="1" si="995"/>
        <v>#N/A</v>
      </c>
      <c r="JB300" s="217" t="e">
        <f t="shared" ca="1" si="996"/>
        <v>#N/A</v>
      </c>
      <c r="JC300" s="222" t="e">
        <f ca="1">MAX(Control!$C$157*$EK300-$JT300, 0)/Control!$C$162</f>
        <v>#N/A</v>
      </c>
      <c r="JD300" s="218" t="e">
        <f t="shared" ca="1" si="997"/>
        <v>#N/A</v>
      </c>
      <c r="JE300" s="218" t="e">
        <f t="shared" ca="1" si="998"/>
        <v>#N/A</v>
      </c>
      <c r="JF300" s="218" t="e">
        <f t="shared" ca="1" si="1107"/>
        <v>#N/A</v>
      </c>
      <c r="JG300" s="218" t="e">
        <f t="shared" ca="1" si="999"/>
        <v>#N/A</v>
      </c>
      <c r="JH300" s="217" t="e">
        <f t="shared" ca="1" si="1108"/>
        <v>#N/A</v>
      </c>
      <c r="JI300" s="217" t="e">
        <f t="shared" ca="1" si="1109"/>
        <v>#N/A</v>
      </c>
      <c r="JJ300" s="217" t="e">
        <f t="shared" ca="1" si="1144"/>
        <v>#N/A</v>
      </c>
      <c r="JK300" s="217" t="e">
        <f ca="1">IF(Control!$C$114=1,IF(Control!$B$24=0,MAX(0,$JI300)*$GN300/Control!$C$64,(MAX(0,MIN($JI300,$JJ300*$GN300/Control!$C$64),0))))</f>
        <v>#N/A</v>
      </c>
      <c r="JL300" s="217" t="e">
        <f ca="1">$IK300/Control!$C$64-$JK300+$HQ300</f>
        <v>#N/A</v>
      </c>
      <c r="JM300" s="217" t="e">
        <f ca="1">IF(Control!$C$114=1,($JB300/(IF($JI300&lt;&gt;0,$JI300,1)))*$JK300,0)</f>
        <v>#N/A</v>
      </c>
      <c r="JN300" s="217" t="e">
        <f ca="1">IF(Control!$C$114=1,($JG300/(IF($JI300&lt;&gt;0,$JI300,1)))*$JK300, 0)</f>
        <v>#N/A</v>
      </c>
      <c r="JO300" s="218" t="e">
        <f t="shared" ca="1" si="1000"/>
        <v>#N/A</v>
      </c>
      <c r="JP300" s="218" t="e">
        <f ca="1">MIN(($IY300+$IO300)*Control!$C$151, $JF300-$EH300*Control!$C$161)</f>
        <v>#N/A</v>
      </c>
      <c r="JQ300" s="218" t="e">
        <f t="shared" ca="1" si="1001"/>
        <v>#N/A</v>
      </c>
      <c r="JR300" s="217" t="e">
        <f ca="1">IF($CP300-Control!$C$150&lt;0, 0, $JQ300/Control!$C$162)</f>
        <v>#N/A</v>
      </c>
      <c r="JS300" s="218" t="e">
        <f t="shared" ca="1" si="1002"/>
        <v>#N/A</v>
      </c>
      <c r="JT300" s="218" t="e">
        <f t="shared" ca="1" si="1110"/>
        <v>#N/A</v>
      </c>
      <c r="JU300" s="218" t="e">
        <f t="shared" ca="1" si="1003"/>
        <v>#N/A</v>
      </c>
      <c r="JV300" s="218" t="e">
        <f t="shared" ca="1" si="1004"/>
        <v>#N/A</v>
      </c>
      <c r="JW300" s="216" t="e">
        <f t="shared" ca="1" si="1005"/>
        <v>#N/A</v>
      </c>
      <c r="JX300" s="91" t="e">
        <f t="shared" ca="1" si="1006"/>
        <v>#N/A</v>
      </c>
      <c r="JY300" s="218" t="e">
        <f t="shared" ca="1" si="1007"/>
        <v>#N/A</v>
      </c>
      <c r="JZ300" s="217" t="e">
        <f ca="1">IF(Control!$C$114=1,($IZ300/(IF($JI300&lt;&gt;0,$JI300,1)))*$JK300, 0)</f>
        <v>#N/A</v>
      </c>
      <c r="KA300" s="218" t="e">
        <f t="shared" ca="1" si="1145"/>
        <v>#N/A</v>
      </c>
      <c r="KB300" s="218" t="e">
        <f t="shared" ca="1" si="1111"/>
        <v>#N/A</v>
      </c>
      <c r="KC300" s="218" t="e">
        <f t="shared" ca="1" si="1008"/>
        <v>#N/A</v>
      </c>
      <c r="KD300" s="218" t="e">
        <f t="shared" ca="1" si="1009"/>
        <v>#N/A</v>
      </c>
      <c r="KE300" s="218" t="e">
        <f t="shared" ca="1" si="1010"/>
        <v>#N/A</v>
      </c>
      <c r="KF300" s="218" t="e">
        <f t="shared" ca="1" si="1011"/>
        <v>#N/A</v>
      </c>
      <c r="KG300" s="216" t="e">
        <f t="shared" ca="1" si="1012"/>
        <v>#N/A</v>
      </c>
      <c r="KH300" s="221" t="e">
        <f ca="1">IF(Control!$B$24=0,1,MAX(0.001,MIN(1,IF(($IF300-$IE300)&lt;&gt;0,($KG300-$IE300)/($IF300-$IE300),1))))</f>
        <v>#N/A</v>
      </c>
      <c r="KI300" s="222" t="e">
        <f ca="1">IF(Control!$C$114=1, $KI299+ $KH299, 0)</f>
        <v>#N/A</v>
      </c>
      <c r="KJ300" s="217" t="e">
        <f t="shared" ca="1" si="1013"/>
        <v>#N/A</v>
      </c>
      <c r="KK300" s="218" t="e">
        <f t="shared" ca="1" si="1014"/>
        <v>#N/A</v>
      </c>
      <c r="KL300" s="274" t="e">
        <f ca="1">IF(Control!$B$26=3,4000000000*EXP(-8400/($G300+273)),IF(Control!$B$26=4,4000000000*EXP(-8400/($G300+273))*($KT300),0))</f>
        <v>#DIV/0!</v>
      </c>
      <c r="KM300" s="274" t="e">
        <f ca="1">IF(Control!$B$26=3,5600000000000*EXP(-9800/($G300+273)),IF(Control!$B$26=4,5600000000000*EXP(-9800/($G300+273))*$KT300,0))</f>
        <v>#DIV/0!</v>
      </c>
      <c r="KN300" s="454" t="e">
        <f t="shared" ca="1" si="1112"/>
        <v>#DIV/0!</v>
      </c>
      <c r="KO300" s="274" t="e">
        <f t="shared" ca="1" si="1113"/>
        <v>#DIV/0!</v>
      </c>
      <c r="KP300" s="454" t="e">
        <f t="shared" ca="1" si="1015"/>
        <v>#DIV/0!</v>
      </c>
      <c r="KQ300" s="454" t="e">
        <f t="shared" ca="1" si="1016"/>
        <v>#DIV/0!</v>
      </c>
      <c r="KR300" s="454" t="e">
        <f t="shared" ca="1" si="1017"/>
        <v>#DIV/0!</v>
      </c>
      <c r="KS300" s="454" t="e">
        <f t="shared" ca="1" si="1018"/>
        <v>#DIV/0!</v>
      </c>
      <c r="KT300" s="455" t="e">
        <f t="shared" ca="1" si="1019"/>
        <v>#DIV/0!</v>
      </c>
      <c r="KU300" s="456" t="e">
        <f ca="1">IF($CP300-Control!$C$149&lt;0, IF($NT300-0.01&lt;0,0,1),0)</f>
        <v>#N/A</v>
      </c>
      <c r="KV300" s="456" t="e">
        <f ca="1">IF(Control!$C$114=1,MAX(0,MIN(Control!$C$125*$KW300*$GN300,$KW300)))</f>
        <v>#DIV/0!</v>
      </c>
      <c r="KW300" s="456" t="e">
        <f t="shared" ca="1" si="1146"/>
        <v>#DIV/0!</v>
      </c>
      <c r="KX300" s="457" t="e">
        <f ca="1">IF($CP300-Control!$C$149&lt;0, IF($MR300-$OM300&lt;0,0,1),0)</f>
        <v>#N/A</v>
      </c>
      <c r="KY300" s="167">
        <f t="shared" ca="1" si="1114"/>
        <v>296</v>
      </c>
      <c r="KZ300" s="168">
        <f ca="1">1370*(1+0.033*COS(2*Control!$C$138*$AH300/365))</f>
        <v>1386.896367961459</v>
      </c>
      <c r="LA300" s="169">
        <f t="shared" ca="1" si="1115"/>
        <v>1.0123327505880855</v>
      </c>
      <c r="LB300" s="169">
        <f t="shared" ca="1" si="1116"/>
        <v>-0.21857467977616568</v>
      </c>
      <c r="LC300" s="169">
        <f ca="1">ACOS(-TAN((2*Control!$B$8/360))*TAN(Calculations!$LB300))</f>
        <v>1.5047325409907557</v>
      </c>
      <c r="LD300" s="169">
        <f ca="1">((24*60)/PI())*0.082*$LA300*(($LC300*SIN(Control!$B$8*2*PI()/360))*SIN($LB300)+COS(Control!$B$8*2*PI()/360)*COS($LB300)*SIN($LC300))</f>
        <v>13.035292346988538</v>
      </c>
      <c r="LE300" s="170">
        <f t="shared" ca="1" si="1020"/>
        <v>13.907976680807909</v>
      </c>
      <c r="LF300" s="170">
        <f ca="1">SIN(Control!$C$139*Control!$B$8)*SIN($HD300)</f>
        <v>-0.16528906088011655</v>
      </c>
      <c r="LG300" s="170">
        <f ca="1">COS(Control!$C$139*Control!$B$8)*COS($HD300)</f>
        <v>0.60196388945229939</v>
      </c>
      <c r="LH300" s="170">
        <f ca="1">12*(1+2*ASIN(MAX(-1,MIN(1,$LF300/$LG300))/Control!$C$138))</f>
        <v>9.8996652292232756</v>
      </c>
      <c r="LI300" s="170">
        <f ca="1">12*(1+2*ASIN(MAX(-1,MIN(1,(-SIN(-4*Control!$C$139)+$LF300)/$LG300))/Control!$C$138))</f>
        <v>10.787098323509214</v>
      </c>
      <c r="LJ300" s="168">
        <f ca="1">3600*($LH300*$LF300+24*$LG300*SQRT(1-$LK300*$LK300)/Control!$C$138)</f>
        <v>10028.129716173864</v>
      </c>
      <c r="LK300" s="170">
        <f t="shared" ca="1" si="1021"/>
        <v>-0.27458301698214127</v>
      </c>
      <c r="LL300" s="170">
        <f t="shared" ca="1" si="1022"/>
        <v>0</v>
      </c>
      <c r="LM300" s="171">
        <f ca="1">Control!$C$145*$AB300</f>
        <v>6.6660906138995932E-2</v>
      </c>
      <c r="LN300" s="170">
        <f t="shared" ca="1" si="1117"/>
        <v>0.54</v>
      </c>
      <c r="LO300" s="170">
        <f t="shared" ca="1" si="1023"/>
        <v>0</v>
      </c>
      <c r="LP300" s="170">
        <f ca="1">Control!$C$140*((($D300+273.16)^4+($E300+273.16)^4)/2)*(0.34-0.14*SQRT($Y300))*(1.35*$AQ300/(0.75*$LD300)-0.35)</f>
        <v>-3.2464704755046001</v>
      </c>
      <c r="LQ300" s="170">
        <f ca="1">Control!$C$140*($G300+273)^4*(0.56-0.079*SQRT($Y300*10))*(0.1+0.9*$LO300)</f>
        <v>1.5241745131704001</v>
      </c>
      <c r="LR300" s="170">
        <f ca="1">$AQ300*(1-Control!$C$142)-$LQ300</f>
        <v>-1.5241745131704001</v>
      </c>
      <c r="LS300" s="170">
        <f ca="1">$AQ300*(1-Control!$C$143)-$LQ300</f>
        <v>-1.5241745131704001</v>
      </c>
      <c r="LT300" s="170">
        <f ca="1">$AQ300*(1-Control!$C$144)-$LQ300</f>
        <v>-1.5241745131704001</v>
      </c>
      <c r="LU300" s="169">
        <f ca="1">(1-Control!$C$144)*AQ300-LP300</f>
        <v>3.2464704755046001</v>
      </c>
      <c r="LV300" s="172">
        <f t="shared" ca="1" si="1024"/>
        <v>0.79430000000000012</v>
      </c>
      <c r="LW300" s="170">
        <f t="shared" ca="1" si="1025"/>
        <v>1.5886000000000002</v>
      </c>
      <c r="LX300" s="170">
        <f ca="1">($AC300*($LR300/Control!$C$141)+$LM300*$LV300)/($AC300+$LM300)</f>
        <v>0.23530094218323697</v>
      </c>
      <c r="LY300" s="170">
        <f ca="1">($AC300*($LS300/Control!$C$141)+$LM300*$LV300)/($AC300+$LM300)</f>
        <v>0.23530094218323697</v>
      </c>
      <c r="LZ300" s="170">
        <f t="shared" ca="1" si="1026"/>
        <v>0.23530094218323697</v>
      </c>
      <c r="MA300" s="170">
        <f t="shared" ca="1" si="1027"/>
        <v>0.23530094218323697</v>
      </c>
      <c r="MB300" s="170" t="e">
        <f t="shared" ca="1" si="1028"/>
        <v>#N/A</v>
      </c>
      <c r="MC300" s="170">
        <f t="shared" ca="1" si="1118"/>
        <v>0.6018</v>
      </c>
      <c r="MD300" s="170">
        <f t="shared" ca="1" si="1029"/>
        <v>0.52989392535414004</v>
      </c>
      <c r="ME300" s="170">
        <f ca="1">($AC300*($LT300/Control!$C$141)+$LM300*$LW300)/($AC300+$LM300)</f>
        <v>0.71612369323045078</v>
      </c>
      <c r="MF300" s="170" t="e">
        <f ca="1">IF(Control!$B$16&gt;=1000,0.92,IF(AND(720&lt;=Control!$B$16,1000&gt;Control!$B$16),(0.95+(Control!$B$16-720)*((0.92-0.95)/(1000-720))),IF(AND(360&lt;=Control!$B$16,720&gt;Control!$B$16),(1+(Control!$B$16-360)*((0.95-1)/(720-360))),IF(AND(40&lt;=Control!$B$16,360&gt;Control!$B$16),(1.05+(Control!$B$16-40)*((1.05-1)/(360-40)))))))</f>
        <v>#N/A</v>
      </c>
      <c r="MG300" s="170">
        <f t="shared" ca="1" si="1030"/>
        <v>0.71612369323045078</v>
      </c>
      <c r="MH300" s="170" t="e">
        <f t="shared" ca="1" si="1156"/>
        <v>#N/A</v>
      </c>
      <c r="MI300" s="170" t="e">
        <f t="shared" ca="1" si="1156"/>
        <v>#N/A</v>
      </c>
      <c r="MJ300" s="170" t="e">
        <f ca="1">MAX(0.0001, Control!$C$132*$MI300*$DL300)</f>
        <v>#N/A</v>
      </c>
      <c r="MK300" s="170">
        <f ca="1">1/(0.76+1.5*($MG300/10))-(5-Control!$C$110)*0.1</f>
        <v>1.002845988140797</v>
      </c>
      <c r="ML300" s="173">
        <f ca="1">IF(Control!$C$110&lt;3,$MK300+($MG300-0.6)/(Control!$C$110*(Control!$C$110+3)), MAX(0.1, MIN(0.95,$MK300)))</f>
        <v>0.95</v>
      </c>
      <c r="MM300" s="173">
        <f ca="1">IF(Control!$C$110&lt;3,$MK300+(($MI300/10)-0.6)/(Control!$C$110*(Control!$C$110+3)), MAX(0.1, MIN(0.95,$MK300)))</f>
        <v>0.95</v>
      </c>
      <c r="MN300" s="173">
        <f ca="1">(1-$MM300)*(Control!$C$128-Control!$C$127)+Control!$C$127</f>
        <v>0.16</v>
      </c>
      <c r="MO300" s="170" t="e">
        <f ca="1">MAX(0,MIN(1,($MS300-Control!$C$127)/($MN300-Control!$C$127)))</f>
        <v>#DIV/0!</v>
      </c>
      <c r="MP300" s="173" t="e">
        <f ca="1">1/(0.76+1.5*$MI300)-(5-Control!$C$110)*0.1</f>
        <v>#N/A</v>
      </c>
      <c r="MQ300" s="172" t="e">
        <f t="shared" ca="1" si="1147"/>
        <v>#DIV/0!</v>
      </c>
      <c r="MR300" s="168" t="e">
        <f t="shared" ca="1" si="1119"/>
        <v>#DIV/0!</v>
      </c>
      <c r="MS300" s="173" t="e">
        <f ca="1">MAX(Control!$C$127, MIN(Control!$C$135, $MR300/MAX(0.0001,$CY300)))</f>
        <v>#DIV/0!</v>
      </c>
      <c r="MT300" s="168" t="e">
        <f ca="1">(Control!$C$128-$MS300)*Control!$C$74</f>
        <v>#DIV/0!</v>
      </c>
      <c r="MU300" s="168" t="e">
        <f ca="1">(Control!$C$135-$MS300)*Control!$C$74</f>
        <v>#DIV/0!</v>
      </c>
      <c r="MV300" s="168" t="e">
        <f t="shared" ca="1" si="1120"/>
        <v>#DIV/0!</v>
      </c>
      <c r="MW300" s="168" t="e">
        <f t="shared" ca="1" si="1121"/>
        <v>#DIV/0!</v>
      </c>
      <c r="MX300" s="171" t="e">
        <f ca="1">MAX(Control!$C$127, MIN(Control!$C$135, $MW300/MAX(0.0001,Control!$C$119-$CY300)))</f>
        <v>#DIV/0!</v>
      </c>
      <c r="MY300" s="54" t="e">
        <f ca="1">IF(Control!$C$114=1, $CX300*$MX300, 0)</f>
        <v>#DIV/0!</v>
      </c>
      <c r="MZ300" s="54" t="e">
        <f t="shared" ca="1" si="1122"/>
        <v>#N/A</v>
      </c>
      <c r="NA300" s="168" t="e">
        <f ca="1">(Control!$C$128-$MX300)*(Control!$C$119-Control!$C$74)</f>
        <v>#DIV/0!</v>
      </c>
      <c r="NB300" s="168" t="e">
        <f ca="1">(Control!$C$135-$MX300)*(Control!$C$119-Control!$C$74)</f>
        <v>#DIV/0!</v>
      </c>
      <c r="NC300" s="174" t="e">
        <f t="shared" ca="1" si="1123"/>
        <v>#DIV/0!</v>
      </c>
      <c r="ND300" s="54">
        <f ca="1">IF(Control!$C$58=2, IF(OR(Control!$B$218=$AH300,Control!$B$219=$AH300, Control!$B$220=$AH300, Control!$B$221=$AH300, Control!$B$222=$AH300, Control!$B$223=$AH300, Control!$B$224=$AH300, Control!$B$225=$AH300, Control!$B$226=$AH300, Control!$B$227=$AH300, Control!$B$228=$AH300), 1, 0), 0)</f>
        <v>0</v>
      </c>
      <c r="NE300" s="54">
        <f ca="1">IF($ND300=0,0, VLOOKUP($AH300,Control!$B$218:$C$228,2))</f>
        <v>0</v>
      </c>
      <c r="NF300" s="168" t="e">
        <f ca="1">$CY300*(Control!$C$128-Control!$C$127)</f>
        <v>#N/A</v>
      </c>
      <c r="NG300" s="54" t="e">
        <f ca="1">IF(Control!$C$58=2, $NI299-$NJ299, 0)</f>
        <v>#DIV/0!</v>
      </c>
      <c r="NH300" s="54" t="e">
        <f ca="1">IF(AND(Control!$C$58=1, $MS299&lt;= ($MN299+0.02), $I299&lt;10), 0, IF(Control!$C$58=2, $NG299, 0))</f>
        <v>#DIV/0!</v>
      </c>
      <c r="NI300" s="54" t="e">
        <f ca="1">IF(Control!$C$58=2, $NE300+$NH300,0)</f>
        <v>#DIV/0!</v>
      </c>
      <c r="NJ300" s="54" t="e">
        <f ca="1">IF(AND(Control!$C$58=1, $MS300&lt;= ($MN300+0.02), $I300&lt;10), MAX(0, MIN(10, 0.7*($NF300-$MV300))), IF(Control!$C$58=2, MIN(10,$NI300),0))</f>
        <v>#DIV/0!</v>
      </c>
      <c r="NK300" s="54" t="e">
        <f t="shared" ca="1" si="1031"/>
        <v>#DIV/0!</v>
      </c>
      <c r="NL300" s="173" t="e">
        <f ca="1">(1-Control!$C$73)*$I300+$NJ300</f>
        <v>#DIV/0!</v>
      </c>
      <c r="NM300" s="172" t="e">
        <f ca="1">IF($NL300&lt;0.5, $MB300* MAX(0, MIN(1, (SQRT($NC300)-SQRT($NC300-1))*Control!$C$71)),0)</f>
        <v>#DIV/0!</v>
      </c>
      <c r="NN300" s="170" t="e">
        <f ca="1">IF($NL300&gt;=5, $MB300, MAX(0,MIN($MB300, $NM300+$NL300,($MS300-Control!$C$129))))</f>
        <v>#DIV/0!</v>
      </c>
      <c r="NO300" s="54">
        <f>IF(Control!$C$133&lt;&gt;1, Control!$C$135-Control!$C$131, 0)</f>
        <v>0.38</v>
      </c>
      <c r="NP300" s="54" t="e">
        <f t="shared" ca="1" si="1032"/>
        <v>#DIV/0!</v>
      </c>
      <c r="NQ300" s="173" t="e">
        <f ca="1">MAX(0,MIN(1,(Control!$C$135-$MS300)/(Control!$C$135-$NO300)))</f>
        <v>#DIV/0!</v>
      </c>
      <c r="NR300" s="170" t="e">
        <f ca="1">IF(Control!$C$133&lt;&gt;1, $NQ300+((1-$NP300/4)*(1-$NQ300)),1)</f>
        <v>#DIV/0!</v>
      </c>
      <c r="NS300" s="170" t="e">
        <f ca="1">IF(Control!$B$31=0,$MJ300,MAX(0,MIN($MV300,$MO300*$NR300*$MJ300)))</f>
        <v>#DIV/0!</v>
      </c>
      <c r="NT300" s="170" t="e">
        <f t="shared" ca="1" si="1148"/>
        <v>#DIV/0!</v>
      </c>
      <c r="NU300" s="170" t="e">
        <f t="shared" ca="1" si="1124"/>
        <v>#N/A</v>
      </c>
      <c r="NV300" s="170" t="e">
        <f t="shared" ca="1" si="1033"/>
        <v>#N/A</v>
      </c>
      <c r="NW300" s="175" t="e">
        <f t="shared" ca="1" si="1034"/>
        <v>#DIV/0!</v>
      </c>
      <c r="NX300" s="170" t="e">
        <f ca="1">MIN(Control!$C$72+$MU300, $NW300)</f>
        <v>#DIV/0!</v>
      </c>
      <c r="NY300" s="170" t="e">
        <f ca="1">IF($MT300&lt;=$NX300,MIN(Control!$C$72+$NB300,$NX300-$MT300),0)</f>
        <v>#DIV/0!</v>
      </c>
      <c r="NZ300" s="54" t="e">
        <f ca="1">IF(Control!$C$114=1,  $CX300*($MX300-Control!$C$127), 0)</f>
        <v>#DIV/0!</v>
      </c>
      <c r="OA300" s="170" t="e">
        <f t="shared" ca="1" si="1035"/>
        <v>#DIV/0!</v>
      </c>
      <c r="OB300" s="170" t="e">
        <f ca="1">IF($NA300 &lt;=$NY300, MIN(Control!$C$72, $NY300-$NA300), 0)</f>
        <v>#DIV/0!</v>
      </c>
      <c r="OC300" s="168" t="e">
        <f t="shared" ca="1" si="1036"/>
        <v>#DIV/0!</v>
      </c>
      <c r="OD300" s="168" t="e">
        <f t="shared" ca="1" si="1125"/>
        <v>#DIV/0!</v>
      </c>
      <c r="OE300" s="170">
        <f ca="1">Control!$C$73*$I300</f>
        <v>0</v>
      </c>
      <c r="OF300" s="176" t="e">
        <f t="shared" ca="1" si="1037"/>
        <v>#DIV/0!</v>
      </c>
      <c r="OG300" s="168" t="e">
        <f t="shared" ca="1" si="1038"/>
        <v>#DIV/0!</v>
      </c>
      <c r="OH300" s="168" t="e">
        <f t="shared" ca="1" si="1039"/>
        <v>#DIV/0!</v>
      </c>
      <c r="OI300" s="168" t="e">
        <f t="shared" ca="1" si="1040"/>
        <v>#DIV/0!</v>
      </c>
      <c r="OJ300" s="168" t="e">
        <f t="shared" ca="1" si="1041"/>
        <v>#DIV/0!</v>
      </c>
      <c r="OK300" s="204" t="e">
        <f t="shared" ca="1" si="1042"/>
        <v>#DIV/0!</v>
      </c>
      <c r="OL300" s="177">
        <f>Control!$C$127</f>
        <v>0.15</v>
      </c>
      <c r="OM300" s="182" t="e">
        <f t="shared" ca="1" si="1043"/>
        <v>#N/A</v>
      </c>
      <c r="ON300" s="177">
        <f>Control!$C$128</f>
        <v>0.35</v>
      </c>
      <c r="OO300" s="182" t="e">
        <f t="shared" ca="1" si="1044"/>
        <v>#N/A</v>
      </c>
      <c r="OP300" s="138">
        <f t="shared" ca="1" si="1126"/>
        <v>0</v>
      </c>
      <c r="OQ300" s="138" t="e">
        <f t="shared" ca="1" si="1149"/>
        <v>#DIV/0!</v>
      </c>
      <c r="OR300" s="138" t="e">
        <f t="shared" ca="1" si="1127"/>
        <v>#DIV/0!</v>
      </c>
      <c r="OS300" s="137" t="e">
        <f t="shared" ca="1" si="1150"/>
        <v>#DIV/0!</v>
      </c>
      <c r="OT300" s="139" t="e">
        <f t="shared" ca="1" si="1151"/>
        <v>#DIV/0!</v>
      </c>
      <c r="OU300" s="138" t="e">
        <f t="shared" ca="1" si="1152"/>
        <v>#N/A</v>
      </c>
      <c r="OV300" s="138" t="e">
        <f t="shared" ca="1" si="1153"/>
        <v>#DIV/0!</v>
      </c>
      <c r="OW300" s="138" t="e">
        <f t="shared" ca="1" si="1128"/>
        <v>#DIV/0!</v>
      </c>
      <c r="OX300" s="138" t="e">
        <f t="shared" ca="1" si="1129"/>
        <v>#DIV/0!</v>
      </c>
      <c r="OY300" s="138" t="e">
        <f t="shared" ca="1" si="1130"/>
        <v>#DIV/0!</v>
      </c>
      <c r="OZ300" s="138" t="e">
        <f t="shared" ca="1" si="1045"/>
        <v>#DIV/0!</v>
      </c>
      <c r="PA300" s="138" t="e">
        <f t="shared" ca="1" si="1046"/>
        <v>#DIV/0!</v>
      </c>
      <c r="PB300" s="55">
        <f>IF(Control!$C$61="T", IF(Control!$C$65="F", IF($AH$6-Control!$C$60&lt;0,0,1), IF(365+$AH$6-Control!$C$60&lt;0,0,1)),0)</f>
        <v>0</v>
      </c>
      <c r="PC300" s="55">
        <f ca="1">IF(Control!$C$65="F", IF($AH$6-$HF300&lt;0,0,1), IF(365+$AH$6-$HF300&lt;0,0,1))</f>
        <v>1</v>
      </c>
      <c r="PD300" s="444">
        <f>Control!$C$118</f>
        <v>1500</v>
      </c>
      <c r="PE300" s="180" t="e">
        <f t="shared" ca="1" si="1047"/>
        <v>#N/A</v>
      </c>
      <c r="PF300" s="445">
        <f t="shared" ca="1" si="1131"/>
        <v>0.71612369323045078</v>
      </c>
      <c r="PT300" s="186"/>
      <c r="PU300" s="186"/>
      <c r="PV300" s="94"/>
      <c r="PW300" s="94"/>
      <c r="PX300" s="94"/>
      <c r="PY300" s="94"/>
      <c r="PZ300" s="94"/>
      <c r="QA300" s="94"/>
      <c r="QB300" s="94"/>
      <c r="QC300" s="94"/>
      <c r="QD300" s="94"/>
      <c r="QE300" s="94"/>
      <c r="QF300" s="94"/>
      <c r="QG300" s="94"/>
      <c r="QH300" s="94"/>
      <c r="QI300" s="94"/>
      <c r="QJ300" s="94"/>
      <c r="QK300" s="94"/>
      <c r="QL300" s="94"/>
      <c r="QM300" s="94"/>
      <c r="QN300" s="94"/>
      <c r="QO300" s="94"/>
      <c r="QP300" s="94"/>
    </row>
    <row r="301" spans="1:458" s="2" customFormat="1" x14ac:dyDescent="0.2">
      <c r="A301" s="395">
        <v>23</v>
      </c>
      <c r="B301" s="396">
        <v>10</v>
      </c>
      <c r="C301" s="387">
        <f ca="1">Weather_data!$B300</f>
        <v>0</v>
      </c>
      <c r="D301" s="388">
        <f ca="1">Weather_data!$F300</f>
        <v>0</v>
      </c>
      <c r="E301" s="388">
        <f ca="1">Weather_data!$E300</f>
        <v>0</v>
      </c>
      <c r="F301" s="388">
        <f t="shared" ca="1" si="1048"/>
        <v>0</v>
      </c>
      <c r="G301" s="388">
        <f ca="1">AVERAGE($D301:$E301)+Control!$B$9</f>
        <v>0</v>
      </c>
      <c r="H301" s="388">
        <f ca="1">Weather_data!$G300</f>
        <v>0</v>
      </c>
      <c r="I301" s="388">
        <f ca="1">Weather_data!$I300</f>
        <v>0</v>
      </c>
      <c r="J301" s="388">
        <f ca="1">Weather_data!$H300</f>
        <v>0</v>
      </c>
      <c r="K301" s="389">
        <f ca="1">Weather_data!$D300</f>
        <v>0</v>
      </c>
      <c r="L301" s="388" t="e">
        <f t="shared" ca="1" si="1049"/>
        <v>#N/A</v>
      </c>
      <c r="M301" s="388" t="e">
        <f t="shared" ca="1" si="927"/>
        <v>#N/A</v>
      </c>
      <c r="N301" s="388">
        <f t="shared" ca="1" si="928"/>
        <v>-1.5867565105969559E-14</v>
      </c>
      <c r="O301" s="388">
        <f t="shared" ca="1" si="1050"/>
        <v>1.5867565105969558E-13</v>
      </c>
      <c r="P301" s="390">
        <v>3</v>
      </c>
      <c r="Q301" s="388">
        <f ca="1">MAX($G301-Control!$C$107,0)</f>
        <v>0</v>
      </c>
      <c r="R301" s="388">
        <f t="shared" ca="1" si="1051"/>
        <v>0</v>
      </c>
      <c r="S301" s="388">
        <f t="shared" ca="1" si="929"/>
        <v>0</v>
      </c>
      <c r="T301" s="388">
        <f t="shared" ca="1" si="930"/>
        <v>0</v>
      </c>
      <c r="U301" s="59">
        <f t="shared" ca="1" si="931"/>
        <v>0</v>
      </c>
      <c r="V301" s="391">
        <f ca="1">MAX(0,MIN(Control!$C$100-Control!$C$99,$G301-Control!$C$99)*Control!$C$63)</f>
        <v>0</v>
      </c>
      <c r="W301" s="388">
        <f t="shared" ca="1" si="1052"/>
        <v>0</v>
      </c>
      <c r="X301" s="388">
        <f t="shared" ca="1" si="1053"/>
        <v>0.6110000000000001</v>
      </c>
      <c r="Y301" s="388">
        <f t="shared" ca="1" si="932"/>
        <v>0</v>
      </c>
      <c r="Z301" s="388">
        <f t="shared" ca="1" si="1054"/>
        <v>0.61058800000000002</v>
      </c>
      <c r="AA301" s="388">
        <f t="shared" ca="1" si="933"/>
        <v>0.6018</v>
      </c>
      <c r="AB301" s="388">
        <f ca="1">101.3*EXP(-0.034*Control!$C$66/($G301+273))</f>
        <v>100.69623283836242</v>
      </c>
      <c r="AC301" s="392">
        <f t="shared" ca="1" si="934"/>
        <v>4.3460251046025113E-2</v>
      </c>
      <c r="AD301" s="392">
        <f t="shared" ca="1" si="935"/>
        <v>4.4450382862832649E-2</v>
      </c>
      <c r="AE301" s="388">
        <f t="shared" ca="1" si="936"/>
        <v>0</v>
      </c>
      <c r="AF301" s="388">
        <f ca="1">MAX(0,$G301-Control!$C$92)</f>
        <v>0</v>
      </c>
      <c r="AG301" s="393">
        <f t="shared" ca="1" si="937"/>
        <v>297</v>
      </c>
      <c r="AH301" s="389">
        <f t="shared" ca="1" si="938"/>
        <v>297</v>
      </c>
      <c r="AI301" s="388">
        <f t="shared" ca="1" si="1055"/>
        <v>-0.21724956602423165</v>
      </c>
      <c r="AJ301" s="388">
        <f ca="1">IF(Control!$C$60&lt;=0,$HH301,$HI301)</f>
        <v>1</v>
      </c>
      <c r="AK301" s="388">
        <f t="shared" ca="1" si="939"/>
        <v>3.7354827716656716</v>
      </c>
      <c r="AL301" s="388">
        <f t="shared" ca="1" si="940"/>
        <v>-1.6232761662626769E-18</v>
      </c>
      <c r="AM301" s="388">
        <f t="shared" ca="1" si="941"/>
        <v>3.7354827716656716</v>
      </c>
      <c r="AN301" s="388">
        <f t="shared" ca="1" si="942"/>
        <v>-0.22448530257666188</v>
      </c>
      <c r="AO301" s="388">
        <f ca="1">-0.10453/COS(Control!$B$8*PI()/180)*COS(AN301)</f>
        <v>-0.16552475997938423</v>
      </c>
      <c r="AP301" s="388">
        <f ca="1">ACOS(AO301-TAN(Control!$B$8*PI()/180)*TAN(AN301))</f>
        <v>1.4437254897817526</v>
      </c>
      <c r="AQ301" s="388">
        <f t="shared" ca="1" si="1056"/>
        <v>0</v>
      </c>
      <c r="AR301" s="394">
        <f t="shared" ca="1" si="943"/>
        <v>0</v>
      </c>
      <c r="AS301" s="436">
        <f ca="1">IF(Control!$B$18=2,(IF(OR($AH301=Control!$B$175,$AH301=Control!$B$176,$AH301=Control!$B$177,$AH301=Control!$B$178,$AH301=Control!$B$179,$AH301=Control!$B$180,$AH301=Control!$B$181,$AH301=Control!$B$182,$AH301=Control!$B$183,$AH301=Control!$B$184,$AH301=Control!$B$185),1,0)),0)</f>
        <v>0</v>
      </c>
      <c r="AT301" s="436">
        <f>IF(Control!$B$20=8,IF(AND($AH301&gt;=Control!$B$172,$AH301&lt;=Control!$B$173),1,0),0)</f>
        <v>0</v>
      </c>
      <c r="AU301" s="436">
        <f>IF(Control!$B$20=8,IF($AV300=1,1*$AT301,IF($AT301=1,$AU300+1,$AU300)),0)</f>
        <v>0</v>
      </c>
      <c r="AV301" s="436">
        <f>IF(Control!$B$20=8,IF($AU301&gt;=Control!$B$174,1,0),0)</f>
        <v>0</v>
      </c>
      <c r="AW301" s="436">
        <f ca="1">IF(AND(Control!$B$18=2,Control!$B$171=1), $AV301, $AS301)</f>
        <v>0</v>
      </c>
      <c r="AX301" s="436" t="e">
        <f ca="1">IF(AND(Control!$B$18=1,$EU301&gt;=Control!$B$19),-$AY301,IF(AND(Control!$B$18=2,$AW301=1,$EU301&gt;$DS301),-$AY301, IF(Control!$C$108=0,0, IF(Control!$C$108&lt;&gt;0,1))))</f>
        <v>#N/A</v>
      </c>
      <c r="AY301" s="436" t="e">
        <f t="shared" ca="1" si="1057"/>
        <v>#N/A</v>
      </c>
      <c r="AZ301" s="436" t="e">
        <f ca="1">IF(AND(Control!$B$18=1,$EB301&gt;Control!$B$19),$AZ300+1, IF(AND(Control!$B$18=2, $AW301=1, $EB301&gt;$DS301), $AZ300+1,$AZ300))</f>
        <v>#N/A</v>
      </c>
      <c r="BA301" s="587">
        <f>IF(Control!$C$81=0,1,IF($AH301&gt;=Control!$C$82,1,0))</f>
        <v>1</v>
      </c>
      <c r="BB301" s="140" t="e">
        <f ca="1">IF($BA301&gt;$BA300,Control!$C$83,IF($AW301&gt;0,$AW301*Control!$C$84,IF(AND(Control!$B$18=1,EN300&lt;&gt;0),Control!$C$84,0)))</f>
        <v>#N/A</v>
      </c>
      <c r="BC301" s="140" t="e">
        <f t="shared" ca="1" si="1058"/>
        <v>#N/A</v>
      </c>
      <c r="BD301" s="140" t="e">
        <f ca="1">BC301*IF(OR($G301&lt;Control!$C$92,$G301&gt;Control!$C$95),0,IF(AND($G301&gt;=Control!$C$92,$G301&lt;=Control!$C$93),$G301-Control!$C$92,IF(AND($G301&gt;Control!$C$93,$G301&lt;=Control!$C$94),Control!$C$93-Control!$C$92,IF(AND($G301&gt;Control!$C$94,$G301&lt;=Control!$C$95),(Control!$C$93-Control!$C$92)*(Control!$C$94-$G301)/(Control!$C$95-Control!$C$94)))))</f>
        <v>#N/A</v>
      </c>
      <c r="BE301" s="140" t="e">
        <f t="shared" ca="1" si="1059"/>
        <v>#N/A</v>
      </c>
      <c r="BF301" s="140" t="e">
        <f ca="1">IF($BE301&lt;=Control!$C$86,$BE301,Control!$C$86-$BE301)</f>
        <v>#N/A</v>
      </c>
      <c r="BG301" s="140" t="e">
        <f ca="1">IF(AND($AW301=1,Control!$C$84&lt;9),1,IF($BE301&gt;=Control!$C$86,0,$BC301))</f>
        <v>#N/A</v>
      </c>
      <c r="BH301" s="404" t="e">
        <f ca="1">IF($BG301=0,0,IF($BE301&lt;=Control!$C$86,$BC301*9*($BF301/Control!$C$86),0))</f>
        <v>#N/A</v>
      </c>
      <c r="BI301" s="140" t="e">
        <f ca="1">IF($BG301=1,0,IF($BE301&gt;=Control!$C$86,1,IF(AND($BB301&lt;21,$BB301&gt;=9),1,$BM300)))</f>
        <v>#N/A</v>
      </c>
      <c r="BJ301" s="140" t="e">
        <f ca="1">IF($BF301&lt;0,-$BF301,$BI301*IF(OR($G301&lt;Control!$C$92,$G301&gt;Control!$C$95),0,IF(AND($G301&gt;=Control!$C$92,$G301&lt;=Control!$C$93),$G301-Control!$C$92,IF(AND($G301&gt;Control!$C$93,$G301&lt;=Control!$C$94),Control!$C$93-Control!$C$92,IF(AND($G301&gt;Control!$C$94,$G301&lt;=Control!$C$95),(Control!$C$93-Control!$C$92)*(Control!$C$94-$G301)/(Control!$C$95-Control!$C$94))))))</f>
        <v>#N/A</v>
      </c>
      <c r="BK301" s="140" t="e">
        <f t="shared" ca="1" si="1060"/>
        <v>#N/A</v>
      </c>
      <c r="BL301" s="140" t="e">
        <f ca="1">IF($BK301&lt;=Control!$C$87,$BK301,Control!$C$87-$BK301)</f>
        <v>#N/A</v>
      </c>
      <c r="BM301" s="140" t="e">
        <f ca="1">IF(AND($BB301&gt;=9,$BB301&lt;21),1,IF($BK301&gt;=Control!$C$87,0,$BI301))</f>
        <v>#N/A</v>
      </c>
      <c r="BN301" s="404" t="e">
        <f ca="1">IF($BM301=0,0,IF($BK301&lt;=Control!$C$87,$BI301*(9+(21-9)*($BL301/Control!$C$87)),0))</f>
        <v>#N/A</v>
      </c>
      <c r="BO301" s="140" t="e">
        <f ca="1">IF($BM301=1,0,IF($BK301&gt;=Control!$C$87,1,IF(AND($BB301&lt;30,$BB301&gt;=21),1,$BS300)))</f>
        <v>#N/A</v>
      </c>
      <c r="BP301" s="140" t="e">
        <f ca="1">IF($BL301&lt;0,-$BL301,$BO301*IF(OR($G301&lt;Control!$C$92,$G301&gt;Control!$C$95),0,IF(AND($G301&gt;=Control!$C$92,$G301&lt;=Control!$C$93),$G301-Control!$C$92,IF(AND($G301&gt;Control!$C$93,$G301&lt;=Control!$C$94),Control!$C$93-Control!$C$92,IF(AND($G301&gt;Control!$C$94,$G301&lt;=Control!$C$95),(Control!$C$93-Control!$C$92)*(Control!$C$94-$G301)/(Control!$C$95-Control!$C$94))))))</f>
        <v>#N/A</v>
      </c>
      <c r="BQ301" s="140" t="e">
        <f t="shared" ca="1" si="944"/>
        <v>#N/A</v>
      </c>
      <c r="BR301" s="140" t="e">
        <f ca="1">IF($BQ301&lt;=Control!$C$88,$BQ301,Control!$C$88-$BQ301)</f>
        <v>#N/A</v>
      </c>
      <c r="BS301" s="140" t="e">
        <f ca="1">IF(AND($BB301&gt;=21,$BB301&lt;30),1,IF($BQ301&gt;=Control!$C$88,0,$BO301))</f>
        <v>#N/A</v>
      </c>
      <c r="BT301" s="404" t="e">
        <f ca="1">IF($BS301=0,0,IF($BQ301&lt;=Control!$C$88,$BO301*(21+(30-21)*(BR301/Control!$C$88)),0))</f>
        <v>#N/A</v>
      </c>
      <c r="BU301" s="140" t="e">
        <f ca="1">IF(BG301+BM301+BS301=1,0,IF(OR(AND($BB301&lt;60,$BB301&gt;=30),$BQ301&gt;=Control!$C$88),1*$BA301,$BY300))</f>
        <v>#N/A</v>
      </c>
      <c r="BV301" s="140" t="e">
        <f ca="1">IF($BR301&lt;0,-$BR301,$BU301*IF(OR($G301&lt;Control!$C$92,$G301&gt;Control!$C$95),0,IF(AND($G301&gt;=Control!$C$92,$G301&lt;=Control!$C$93),$G301-Control!$C$92,IF(AND($G301&gt;Control!$C$93,$G301&lt;=Control!$C$94),Control!$C$93-Control!$C$92,IF(AND($G301&gt;Control!$C$94,$G301&lt;=Control!$C$95),(Control!$C$93-Control!$C$92)*(Control!$C$94-$G301)/(Control!$C$95-Control!$C$94))))))</f>
        <v>#N/A</v>
      </c>
      <c r="BW301" s="140" t="e">
        <f t="shared" ca="1" si="945"/>
        <v>#N/A</v>
      </c>
      <c r="BX301" s="140" t="e">
        <f ca="1">IF($BW301&lt;=Control!$C$89,$BW301,Control!$C$89-$BW301)</f>
        <v>#N/A</v>
      </c>
      <c r="BY301" s="140" t="e">
        <f ca="1">IF(AND($AJ301&gt;=30,$AJ301&lt;60),1,IF($BW301&gt;=Control!$C$89,0,$BU301))</f>
        <v>#N/A</v>
      </c>
      <c r="BZ301" s="404" t="e">
        <f ca="1">IF($BY301=0,0,IF($BW301&lt;=Control!$C$89,$BU301*(30+(60-30)*(BX301/Control!$C$89)),0))</f>
        <v>#N/A</v>
      </c>
      <c r="CA301" s="140" t="e">
        <f ca="1">IF($BG301+$BM301+$BS301+$BY301=1,0,IF(OR(AND($BB301&lt;65,$BB301&gt;=60),$BW301&gt;=Control!$C$89),1*$BA301,$CE300))</f>
        <v>#N/A</v>
      </c>
      <c r="CB301" s="140" t="e">
        <f ca="1">IF($BX301&lt;0,-$BX301,$CA301*IF(OR($G301&lt;Control!$C$92,$G301&gt;Control!$C$95),0,IF(AND($G301&gt;=Control!$C$92,$G301&lt;=Control!$C$93),$G301-Control!$C$92,IF(AND($G301&gt;Control!$C$93,$G301&lt;=Control!$C$94),Control!$C$93-Control!$C$92,IF(AND($G301&gt;Control!$C$94,$G301&lt;=Control!$C$95),(Control!$C$93-Control!$C$92)*(Control!$C$94-$G301)/(Control!$C$95-Control!$C$94))))))</f>
        <v>#N/A</v>
      </c>
      <c r="CC301" s="140" t="e">
        <f t="shared" ca="1" si="1061"/>
        <v>#N/A</v>
      </c>
      <c r="CD301" s="140" t="e">
        <f ca="1">IF($CC301&lt;=Control!$C$90,$CC301,Control!$C$90-$CC301)</f>
        <v>#N/A</v>
      </c>
      <c r="CE301" s="140" t="e">
        <f ca="1">IF(AND($BB301&gt;=60,$BB301&lt;65),1,IF($CC301&gt;=Control!$C$90,0,$CA301))</f>
        <v>#N/A</v>
      </c>
      <c r="CF301" s="404" t="e">
        <f ca="1">IF($CE301=0,0,IF($CC301&lt;=Control!$C$90,$CA301*(60+(65-60)*(CD301/Control!$C$90)),0))</f>
        <v>#N/A</v>
      </c>
      <c r="CG301" s="140" t="e">
        <f ca="1">IF($BG301+$BM301+$BS301+$BY301+$CE301=1,0,IF(OR(AND($BB301&lt;90,$BB301&gt;=65),$CC301&gt;=Control!$C$90),$BA301,$CK300))</f>
        <v>#N/A</v>
      </c>
      <c r="CH301" s="140" t="e">
        <f ca="1">IF($CD301&lt;0,-$CD301,$CG301*IF(OR($G301&lt;Control!$C$92,$G301&gt;Control!$C$95),0,IF(AND($G301&gt;=Control!$C$92,$G301&lt;=Control!$C$93),$G301-Control!$C$92,IF(AND($G301&gt;Control!$C$93,$G301&lt;=Control!$C$94),Control!$C$93-Control!$C$92,IF(AND($G301&gt;Control!$C$94,$G301&lt;=Control!$C$95),(Control!$C$93-Control!$C$92)*(Control!$C$94-$G301)/(Control!$C$95-Control!$C$94))))))</f>
        <v>#N/A</v>
      </c>
      <c r="CI301" s="140" t="e">
        <f t="shared" ca="1" si="1062"/>
        <v>#N/A</v>
      </c>
      <c r="CJ301" s="140" t="e">
        <f ca="1">IF($CI301&lt;=Control!$C$91,$CI301,Control!$C$91-$CI301)</f>
        <v>#N/A</v>
      </c>
      <c r="CK301" s="140" t="e">
        <f ca="1">IF(AND($BB301&gt;=65,$BB301&lt;90),1,IF($CI301&gt;=Control!$C$91,0,$CG301))</f>
        <v>#N/A</v>
      </c>
      <c r="CL301" s="404" t="e">
        <f ca="1">IF($CK301=0,0,IF($CI301&lt;=Control!$C$91,$CG301*(65+(90-65)*($CJ301/Control!$C$91)),0))</f>
        <v>#N/A</v>
      </c>
      <c r="CM301" s="140" t="e">
        <f ca="1">IF($BG301+$BM301+$BS301+$BY301+$CE301+$CK301=1,0,IF(OR($BB301&gt;=90,$CI301&gt;=Control!$C$91),$BA301,$CM300))</f>
        <v>#N/A</v>
      </c>
      <c r="CN301" s="140" t="e">
        <f t="shared" ca="1" si="1063"/>
        <v>#N/A</v>
      </c>
      <c r="CO301" s="140" t="e">
        <f t="shared" ca="1" si="1064"/>
        <v>#N/A</v>
      </c>
      <c r="CP301" s="140" t="e">
        <f t="shared" ca="1" si="1065"/>
        <v>#N/A</v>
      </c>
      <c r="CQ301" s="141" t="e">
        <f ca="1">VLOOKUP($CP301,Control!$B$86:$G$91,6)</f>
        <v>#N/A</v>
      </c>
      <c r="CR301" s="141" t="e">
        <f ca="1">(1-$CQ301)*VLOOKUP($CP301,Control!$B$86:$D$91,3)</f>
        <v>#N/A</v>
      </c>
      <c r="CS301" s="141" t="e">
        <f ca="1">(1-$CQ301)*VLOOKUP($CP301,Control!$B$86:$E$91,4)</f>
        <v>#N/A</v>
      </c>
      <c r="CT301" s="141" t="e">
        <f ca="1">(1-$CQ301)*VLOOKUP($CP301,Control!$B$86:$F$91,5)</f>
        <v>#N/A</v>
      </c>
      <c r="CU301" s="141">
        <f t="shared" ca="1" si="1066"/>
        <v>0</v>
      </c>
      <c r="CV301" s="583">
        <f t="shared" ca="1" si="1067"/>
        <v>0</v>
      </c>
      <c r="CW301" s="142">
        <f t="shared" ca="1" si="1068"/>
        <v>297</v>
      </c>
      <c r="CX301" s="612" t="e">
        <f ca="1">IF(Control!$C$114=1,(MIN(Control!$C$120*(IF($NT301-0.01&lt;0,0,1)),Control!$C$119-$CY301)))</f>
        <v>#DIV/0!</v>
      </c>
      <c r="CY301" s="143" t="e">
        <f t="shared" ca="1" si="1069"/>
        <v>#N/A</v>
      </c>
      <c r="CZ301" s="144">
        <f t="shared" ca="1" si="946"/>
        <v>0</v>
      </c>
      <c r="DA301" s="144">
        <f t="shared" ca="1" si="947"/>
        <v>0</v>
      </c>
      <c r="DB301" s="144" t="e">
        <f t="shared" ca="1" si="948"/>
        <v>#N/A</v>
      </c>
      <c r="DC301" s="144" t="e">
        <f t="shared" ca="1" si="949"/>
        <v>#N/A</v>
      </c>
      <c r="DD301" s="144" t="e">
        <f t="shared" ca="1" si="1154"/>
        <v>#N/A</v>
      </c>
      <c r="DE301" s="143" t="e">
        <f t="shared" ca="1" si="1070"/>
        <v>#N/A</v>
      </c>
      <c r="DF301" s="145" t="e">
        <f ca="1">$DR301*EXP(-Control!$C$158*(1-$KH301))</f>
        <v>#N/A</v>
      </c>
      <c r="DG301" s="146" t="e">
        <f ca="1">IF(Control!$C$114=1, $DF301*$EY301, 0)</f>
        <v>#N/A</v>
      </c>
      <c r="DH301" s="147" t="e">
        <f t="shared" ca="1" si="1071"/>
        <v>#N/A</v>
      </c>
      <c r="DI301" s="144" t="e">
        <f t="shared" ca="1" si="1132"/>
        <v>#N/A</v>
      </c>
      <c r="DJ301" s="147" t="e">
        <f ca="1">$EF301*Control!$C$109</f>
        <v>#N/A</v>
      </c>
      <c r="DK301" s="144" t="e">
        <f t="shared" ca="1" si="1072"/>
        <v>#N/A</v>
      </c>
      <c r="DL301" s="144" t="e">
        <f t="shared" ca="1" si="950"/>
        <v>#N/A</v>
      </c>
      <c r="DM301" s="144" t="e">
        <f ca="1">IF(Control!$C$114=1, (1-EXP(-Control!$C$96*$DK301))*$AR301, 0)</f>
        <v>#N/A</v>
      </c>
      <c r="DN301" s="144">
        <f t="shared" ca="1" si="1073"/>
        <v>0</v>
      </c>
      <c r="DO301" s="148">
        <f>Control!$C$97</f>
        <v>4</v>
      </c>
      <c r="DP301" s="145" t="e">
        <f t="shared" ca="1" si="1074"/>
        <v>#N/A</v>
      </c>
      <c r="DQ301" s="145" t="e">
        <f ca="1">IF(AND($CP301&gt;=0,$CP301&lt;=90),Control!$C$111,Control!$C$111)</f>
        <v>#N/A</v>
      </c>
      <c r="DR301" s="145" t="e">
        <f t="shared" ca="1" si="951"/>
        <v>#N/A</v>
      </c>
      <c r="DS301" s="143" t="e">
        <f ca="1">Control!$B$22/$DR301</f>
        <v>#N/A</v>
      </c>
      <c r="DT301" s="149" t="e">
        <f ca="1">IF(AND(Control!$C$114=1,$KH301&lt;1),$IM301*$DF301, 0)</f>
        <v>#N/A</v>
      </c>
      <c r="DU301" s="144" t="e">
        <f t="shared" ca="1" si="1075"/>
        <v>#N/A</v>
      </c>
      <c r="DV301" s="144">
        <f ca="1">IF($G301-Control!$C$107&lt;=0, 0, 0.83*LN(MAX($G301, 3))-0.8924)</f>
        <v>0</v>
      </c>
      <c r="DW301" s="144" t="e">
        <f t="shared" ca="1" si="952"/>
        <v>#N/A</v>
      </c>
      <c r="DX301" s="150" t="e">
        <f ca="1">MAX(0.01*(1+$CU301/Control!$C$102),0.05*($DK301-Control!$C$97)/Control!$C$97)</f>
        <v>#N/A</v>
      </c>
      <c r="DY301" s="151" t="e">
        <f ca="1">IF(Control!$C$114=1, $DI301*$FS301, 0)</f>
        <v>#N/A</v>
      </c>
      <c r="DZ301" s="196" t="e">
        <f t="shared" ca="1" si="1076"/>
        <v>#N/A</v>
      </c>
      <c r="EA301" s="152">
        <f t="shared" ca="1" si="1077"/>
        <v>297</v>
      </c>
      <c r="EB301" s="153" t="e">
        <f t="shared" ca="1" si="1078"/>
        <v>#N/A</v>
      </c>
      <c r="EC301" s="153" t="e">
        <f t="shared" ca="1" si="1079"/>
        <v>#N/A</v>
      </c>
      <c r="ED301" s="154" t="e">
        <f ca="1">IF(Control!$C$114=1, $HM301*$FY301-$FD301, 0)</f>
        <v>#DIV/0!</v>
      </c>
      <c r="EE301" s="155" t="e">
        <f ca="1">IF(Control!$C$114=1, $HM301*$FZ301-$FF301, 0)</f>
        <v>#DIV/0!</v>
      </c>
      <c r="EF301" s="153" t="e">
        <f t="shared" ca="1" si="1133"/>
        <v>#N/A</v>
      </c>
      <c r="EG301" s="155" t="e">
        <f ca="1">IF(Control!$C$114=1, $GX301*$FW301-$FI301, 0)</f>
        <v>#DIV/0!</v>
      </c>
      <c r="EH301" s="153" t="e">
        <f t="shared" ca="1" si="1080"/>
        <v>#N/A</v>
      </c>
      <c r="EI301" s="156" t="e">
        <f t="shared" ca="1" si="1081"/>
        <v>#N/A</v>
      </c>
      <c r="EJ301" s="155" t="e">
        <f ca="1">IF(Control!$C$114=1, $HM301*$GB301, 0)</f>
        <v>#DIV/0!</v>
      </c>
      <c r="EK301" s="153" t="e">
        <f t="shared" ca="1" si="1134"/>
        <v>#N/A</v>
      </c>
      <c r="EL301" s="153" t="e">
        <f t="shared" ca="1" si="953"/>
        <v>#N/A</v>
      </c>
      <c r="EM301" s="153" t="e">
        <f t="shared" ca="1" si="954"/>
        <v>#N/A</v>
      </c>
      <c r="EN301" s="153" t="e">
        <f ca="1">IF(Control!$C$108=1,IF(AND(Control!$B$18=1,$EB301&gt;=Control!$B$19),$EB301-$DS301,IF(AND(Control!$B$18=2,$AW301=1,$EB301&gt;$DS301),$EB301-$DS301,0)))</f>
        <v>#N/A</v>
      </c>
      <c r="EO301" s="153" t="e">
        <f ca="1">IF(Control!$C$108=1,IF(AND(Control!$B$18=1,$EB301&gt;=Control!$B$19),$EF301,IF(AND(Control!$B$18=2,$AW301=1),$EF301,0)))</f>
        <v>#N/A</v>
      </c>
      <c r="EP301" s="153" t="e">
        <f ca="1">IF(Control!$C$108=1,IF(AND(Control!$B$18=1,$EB301&gt;=Control!$B$19),$EK301,IF(AND(Control!$B$18=2,$AW301=1),$EK301,0)))</f>
        <v>#N/A</v>
      </c>
      <c r="EQ301" s="153" t="e">
        <f t="shared" ca="1" si="1082"/>
        <v>#N/A</v>
      </c>
      <c r="ER301" s="153" t="e">
        <f t="shared" ca="1" si="1083"/>
        <v>#N/A</v>
      </c>
      <c r="ES301" s="153" t="e">
        <f t="shared" ca="1" si="1135"/>
        <v>#N/A</v>
      </c>
      <c r="ET301" s="153" t="e">
        <f t="shared" ca="1" si="1136"/>
        <v>#N/A</v>
      </c>
      <c r="EU301" s="153" t="e">
        <f t="shared" ca="1" si="1084"/>
        <v>#N/A</v>
      </c>
      <c r="EV301" s="153" t="e">
        <f t="shared" ca="1" si="955"/>
        <v>#N/A</v>
      </c>
      <c r="EW301" s="153" t="e">
        <f t="shared" ca="1" si="956"/>
        <v>#N/A</v>
      </c>
      <c r="EX301" s="153" t="e">
        <f t="shared" ca="1" si="957"/>
        <v>#N/A</v>
      </c>
      <c r="EY301" s="157" t="e">
        <f t="shared" ca="1" si="958"/>
        <v>#DIV/0!</v>
      </c>
      <c r="EZ301" s="154" t="e">
        <f t="shared" ca="1" si="959"/>
        <v>#DIV/0!</v>
      </c>
      <c r="FA301" s="153" t="e">
        <f t="shared" ca="1" si="1085"/>
        <v>#N/A</v>
      </c>
      <c r="FB301" s="153" t="e">
        <f t="shared" ca="1" si="960"/>
        <v>#N/A</v>
      </c>
      <c r="FC301" s="193" t="e">
        <f t="shared" ca="1" si="961"/>
        <v>#N/A</v>
      </c>
      <c r="FD301" s="158" t="e">
        <f t="shared" ca="1" si="1086"/>
        <v>#N/A</v>
      </c>
      <c r="FE301" s="158" t="e">
        <f t="shared" ca="1" si="1087"/>
        <v>#N/A</v>
      </c>
      <c r="FF301" s="159" t="e">
        <f t="shared" ca="1" si="962"/>
        <v>#N/A</v>
      </c>
      <c r="FG301" s="160" t="e">
        <f t="shared" ca="1" si="1088"/>
        <v>#N/A</v>
      </c>
      <c r="FH301" s="158" t="e">
        <f t="shared" ca="1" si="1089"/>
        <v>#N/A</v>
      </c>
      <c r="FI301" s="159" t="e">
        <f t="shared" ca="1" si="963"/>
        <v>#N/A</v>
      </c>
      <c r="FJ301" s="160" t="e">
        <f t="shared" ca="1" si="1090"/>
        <v>#N/A</v>
      </c>
      <c r="FK301" s="160" t="e">
        <f t="shared" ca="1" si="964"/>
        <v>#N/A</v>
      </c>
      <c r="FL301" s="160" t="e">
        <f t="shared" ca="1" si="1137"/>
        <v>#N/A</v>
      </c>
      <c r="FM301" s="160" t="e">
        <f t="shared" ca="1" si="965"/>
        <v>#N/A</v>
      </c>
      <c r="FN301" s="158">
        <f t="shared" ca="1" si="1091"/>
        <v>0.01</v>
      </c>
      <c r="FO301" s="160">
        <f>Control!$C$101</f>
        <v>50</v>
      </c>
      <c r="FP301" s="150" t="e">
        <f t="shared" ca="1" si="966"/>
        <v>#N/A</v>
      </c>
      <c r="FQ301" s="150" t="e">
        <f ca="1">MAX(0,(Control!$C$112*(($DK301-Control!$C$97)/Control!$C$97)))</f>
        <v>#N/A</v>
      </c>
      <c r="FR301" s="150" t="e">
        <f ca="1">(1-$NT301)*Control!$C$113</f>
        <v>#DIV/0!</v>
      </c>
      <c r="FS301" s="198" t="e">
        <f t="shared" ca="1" si="967"/>
        <v>#N/A</v>
      </c>
      <c r="FT301" s="161">
        <f t="shared" ca="1" si="1092"/>
        <v>297</v>
      </c>
      <c r="FU301" s="162" t="e">
        <f ca="1">IF(Control!$B$34=1,VLOOKUP($CP301,Control!$B$86:$G$91,6),Control!$B$35)</f>
        <v>#N/A</v>
      </c>
      <c r="FV301" s="162" t="e">
        <f t="shared" ca="1" si="968"/>
        <v>#DIV/0!</v>
      </c>
      <c r="FW301" s="162" t="e">
        <f ca="1">IF(Control!$B$31=1,$FU301*$FV301,  $FU301)</f>
        <v>#N/A</v>
      </c>
      <c r="FX301" s="162" t="e">
        <f ca="1">IF(Control!$B$34=1,VLOOKUP($CP301,Control!$B$86:$G$91,3),Control!$B$36)</f>
        <v>#N/A</v>
      </c>
      <c r="FY301" s="162" t="e">
        <f t="shared" ca="1" si="969"/>
        <v>#N/A</v>
      </c>
      <c r="FZ301" s="162" t="e">
        <f ca="1">IF(Control!$B$34=1,VLOOKUP($CP301,Control!$B$86:$G$91,4),Control!$B$37)</f>
        <v>#N/A</v>
      </c>
      <c r="GA301" s="162" t="e">
        <f t="shared" ca="1" si="970"/>
        <v>#N/A</v>
      </c>
      <c r="GB301" s="162" t="e">
        <f ca="1">IF(Control!$B$34=1,VLOOKUP($CP301,Control!$B$86:$G$91,5),Control!$B$38)</f>
        <v>#N/A</v>
      </c>
      <c r="GC301" s="162" t="e">
        <f t="shared" ca="1" si="1093"/>
        <v>#N/A</v>
      </c>
      <c r="GD301" s="162">
        <f t="shared" ca="1" si="971"/>
        <v>1</v>
      </c>
      <c r="GE301" s="162">
        <f t="shared" ca="1" si="972"/>
        <v>1</v>
      </c>
      <c r="GF301" s="162">
        <f ca="1">IF(AND(Control!$C$104=1, Control!$C$62="F"),$GE301,1)</f>
        <v>1</v>
      </c>
      <c r="GG301" s="162" t="e">
        <f ca="1">IF(Control!$B$16=40,0,IF(AND(Control!$B$16&gt;40,Control!$B$16&lt;=360),(Control!$B$16-40)*((1-0)/(360-40)),IF(AND(Control!$B$16&gt;360,Control!$B$16&lt;=720),(1+(Control!$B$16-360)*((1.25-1)/(720-360))),IF(AND(Control!$B$16&gt;720,Control!$B$16&lt;=1000),(1.25+(Control!$B$16-720)*((1.35-1.25)/(1000-720))),IF(AND(Control!$B$16&gt;1000,Control!$B$16&lt;=2000),(1.35+(Control!$B$16-1000)*0))))))</f>
        <v>#N/A</v>
      </c>
      <c r="GH301" s="162" t="e">
        <f t="shared" ca="1" si="973"/>
        <v>#N/A</v>
      </c>
      <c r="GI301" s="162">
        <f t="shared" ca="1" si="1094"/>
        <v>0</v>
      </c>
      <c r="GJ301" s="162">
        <f t="shared" ca="1" si="974"/>
        <v>0</v>
      </c>
      <c r="GK301" s="162">
        <f t="shared" ca="1" si="1095"/>
        <v>1</v>
      </c>
      <c r="GL301" s="162">
        <f t="shared" ca="1" si="975"/>
        <v>1</v>
      </c>
      <c r="GM301" s="162" t="e">
        <f ca="1">MAX(0,MIN(1,1-Control!$C$156*(1.0001-$KH301)^2))</f>
        <v>#N/A</v>
      </c>
      <c r="GN301" s="162" t="e">
        <f ca="1">IF(Control!$B$26=1,$KU301,$KX301)</f>
        <v>#N/A</v>
      </c>
      <c r="GO301" s="162" t="e">
        <f ca="1">IF($CP301&lt;=60,Control!$C$105,IF($CP301&gt;=90,Control!$C$106,Control!$C$105+($CP301-60)*((Control!$C$106-Control!$C$105)/(90-60))))</f>
        <v>#N/A</v>
      </c>
      <c r="GP301" s="162" t="e">
        <f t="shared" ca="1" si="976"/>
        <v>#N/A</v>
      </c>
      <c r="GQ301" s="162" t="e">
        <f t="shared" ca="1" si="1096"/>
        <v>#N/A</v>
      </c>
      <c r="GR301" s="163" t="e">
        <f t="shared" ca="1" si="977"/>
        <v>#DIV/0!</v>
      </c>
      <c r="GS301" s="162" t="e">
        <f t="shared" ca="1" si="978"/>
        <v>#DIV/0!</v>
      </c>
      <c r="GT301" s="164" t="e">
        <f t="shared" ca="1" si="1097"/>
        <v>#N/A</v>
      </c>
      <c r="GU301" s="162" t="e">
        <f t="shared" ca="1" si="1098"/>
        <v>#N/A</v>
      </c>
      <c r="GV301" s="162" t="e">
        <f t="shared" ca="1" si="979"/>
        <v>#N/A</v>
      </c>
      <c r="GW301" s="162" t="e">
        <f t="shared" ca="1" si="980"/>
        <v>#DIV/0!</v>
      </c>
      <c r="GX301" s="162" t="e">
        <f t="shared" ca="1" si="1099"/>
        <v>#DIV/0!</v>
      </c>
      <c r="GY301" s="162" t="e">
        <f t="shared" ca="1" si="1100"/>
        <v>#DIV/0!</v>
      </c>
      <c r="GZ301" s="165" t="e">
        <f t="shared" ca="1" si="981"/>
        <v>#N/A</v>
      </c>
      <c r="HA301" s="162" t="e">
        <f ca="1">IF(Control!$C$114=1, $DI301*$FS301, 0)</f>
        <v>#N/A</v>
      </c>
      <c r="HB301" s="162" t="e">
        <f ca="1">$FA301/Control!$C$64</f>
        <v>#N/A</v>
      </c>
      <c r="HC301" s="162" t="e">
        <f t="shared" ca="1" si="982"/>
        <v>#DIV/0!</v>
      </c>
      <c r="HD301" s="162">
        <f ca="1">-ASIN(SIN(23.45*Control!$C$139)*COS(2*Control!$C$138*($AH301+10)/365))</f>
        <v>-0.21724956602423165</v>
      </c>
      <c r="HE301" s="165">
        <f t="shared" ca="1" si="1101"/>
        <v>0</v>
      </c>
      <c r="HF301" s="166">
        <f ca="1">IF(AND(Control!$C$61="T",$HE301&gt;=Control!$C$103,Control!$C$114=0),$AH301,Control!$C$59)</f>
        <v>1</v>
      </c>
      <c r="HG301" s="166">
        <f ca="1">IF(AND(Control!$C$61="T",$HE301&gt;=Control!$C$103,Control!$C$114=0),$HF301,Control!$C$59)</f>
        <v>1</v>
      </c>
      <c r="HH301" s="165">
        <f ca="1">IF(AND(OR(Control!$C$60&lt;=0, $AH301= Control!$C$59, Control!$C$60 &gt;0, $AH301 = Control!$C$60)), Control!$C$59, IF(Control!$C$60&gt;0, 0))</f>
        <v>1</v>
      </c>
      <c r="HI301" s="165">
        <f ca="1">IF(AND(OR(Control!$C$60&lt;=0, $AH301= Control!$C$59, Control!$C$60 &gt;0, $AH301 = Control!$C$60)), Control!$C$60, IF(Control!$C$60&lt;=0, 0))</f>
        <v>0</v>
      </c>
      <c r="HJ301" s="166">
        <f ca="1">IF(AND(Control!$C$62="F",$CV301&gt;=Control!$C$102),$AH301,0)</f>
        <v>0</v>
      </c>
      <c r="HK301" s="165" t="e">
        <f t="shared" ca="1" si="1138"/>
        <v>#N/A</v>
      </c>
      <c r="HL301" s="166">
        <f ca="1">IF(AND(Control!$C$61="T",$HE301&gt;=Control!$C$103,Control!$C$114=0),$HF301,0)</f>
        <v>0</v>
      </c>
      <c r="HM301" s="201" t="e">
        <f t="shared" ca="1" si="983"/>
        <v>#DIV/0!</v>
      </c>
      <c r="HN301" s="215">
        <f t="shared" ca="1" si="1102"/>
        <v>297</v>
      </c>
      <c r="HO301" s="216" t="e">
        <f ca="1">IF(AND($CP301&gt;=0, $CP301&lt;=90), Control!$C$152, Control!$C$152)</f>
        <v>#N/A</v>
      </c>
      <c r="HP301" s="216" t="e">
        <f t="shared" ca="1" si="984"/>
        <v>#N/A</v>
      </c>
      <c r="HQ301" s="217" t="e">
        <f ca="1">IF(OR(Control!$B$26=1,Control!$B$26=2),$KV301,$KS301)</f>
        <v>#DIV/0!</v>
      </c>
      <c r="HR301" s="218" t="e">
        <f t="shared" ca="1" si="1139"/>
        <v>#DIV/0!</v>
      </c>
      <c r="HS301" s="216" t="e">
        <f ca="1">Control!$C$154*$HP301</f>
        <v>#N/A</v>
      </c>
      <c r="HT301" s="216" t="e">
        <f ca="1">Control!$C$155*$HP301</f>
        <v>#N/A</v>
      </c>
      <c r="HU301" s="217" t="e">
        <f ca="1">Control!$C$161*$FI301</f>
        <v>#N/A</v>
      </c>
      <c r="HV301" s="218" t="e">
        <f t="shared" ca="1" si="1103"/>
        <v>#N/A</v>
      </c>
      <c r="HW301" s="218" t="e">
        <f ca="1">Control!$C$160*$FF301+$IP301*$EO301</f>
        <v>#N/A</v>
      </c>
      <c r="HX301" s="218" t="e">
        <f t="shared" ca="1" si="1140"/>
        <v>#N/A</v>
      </c>
      <c r="HY301" s="219" t="e">
        <f ca="1">IF(Control!$C$114=1, $EB301*$FS301, 0)</f>
        <v>#N/A</v>
      </c>
      <c r="HZ301" s="91" t="e">
        <f t="shared" ca="1" si="985"/>
        <v>#N/A</v>
      </c>
      <c r="IA301" s="220" t="e">
        <f ca="1">Control!$C$153*$HO301</f>
        <v>#N/A</v>
      </c>
      <c r="IB301" s="218" t="e">
        <f t="shared" ca="1" si="986"/>
        <v>#N/A</v>
      </c>
      <c r="IC301" s="220" t="e">
        <f ca="1">Control!$C$153*$HT301</f>
        <v>#N/A</v>
      </c>
      <c r="ID301" s="218" t="e">
        <f t="shared" ca="1" si="987"/>
        <v>#N/A</v>
      </c>
      <c r="IE301" s="221" t="e">
        <f ca="1">($EB301*Control!$C$159+$EF301*Control!$C$160)/(IF($GZ301&lt;&gt;0,$GZ301,1))</f>
        <v>#N/A</v>
      </c>
      <c r="IF301" s="216" t="e">
        <f t="shared" ca="1" si="988"/>
        <v>#N/A</v>
      </c>
      <c r="IG301" s="91">
        <f ca="1">IF(OR(Control!$B$198=$AH301,Control!$B$199=$AH301, Control!$B$200=$AH301, Control!$B$201=$AH301, Control!$B$202=$AH301, Control!$B$203=$AH301, Control!$B$204=$AH301, Control!$B$205=$AH301, Control!$B$206=$AH301, Control!$B$207=$AH301), 1, 0)</f>
        <v>0</v>
      </c>
      <c r="IH301" s="91">
        <f ca="1">IF($IG301=0,0, VLOOKUP($AH301,Control!$B$198:$C$207,2))</f>
        <v>0</v>
      </c>
      <c r="II301" s="222">
        <f t="shared" ca="1" si="1104"/>
        <v>0</v>
      </c>
      <c r="IJ301" s="91">
        <f>Control!$C$121</f>
        <v>0.7</v>
      </c>
      <c r="IK301" s="218">
        <f t="shared" ca="1" si="989"/>
        <v>0</v>
      </c>
      <c r="IL301" s="217" t="e">
        <f t="shared" ca="1" si="1141"/>
        <v>#N/A</v>
      </c>
      <c r="IM301" s="223" t="e">
        <f ca="1">IF(AND(Control!$C$114=1,$KH301&lt;1),$EB301*Control!$C$148*(1-$KH301), 0)</f>
        <v>#N/A</v>
      </c>
      <c r="IN301" s="217" t="e">
        <f t="shared" ca="1" si="990"/>
        <v>#DIV/0!</v>
      </c>
      <c r="IO301" s="91" t="e">
        <f ca="1">MAX(0,$IL301-$EF301*Control!$C$160)</f>
        <v>#N/A</v>
      </c>
      <c r="IP301" s="220" t="e">
        <f t="shared" ca="1" si="991"/>
        <v>#N/A</v>
      </c>
      <c r="IQ301" s="217" t="e">
        <f t="shared" ca="1" si="1105"/>
        <v>#N/A</v>
      </c>
      <c r="IR301" s="218" t="e">
        <f t="shared" ca="1" si="992"/>
        <v>#N/A</v>
      </c>
      <c r="IS301" s="217" t="e">
        <f ca="1">Control!$C$159*MAX(0,$FD301-$EN301)</f>
        <v>#N/A</v>
      </c>
      <c r="IT301" s="217" t="e">
        <f t="shared" ca="1" si="1142"/>
        <v>#N/A</v>
      </c>
      <c r="IU301" s="217" t="e">
        <f t="shared" ca="1" si="1106"/>
        <v>#N/A</v>
      </c>
      <c r="IV301" s="217" t="e">
        <f t="shared" ca="1" si="1143"/>
        <v>#N/A</v>
      </c>
      <c r="IW301" s="217" t="e">
        <f ca="1">IF(OR($AW301=1,AND($AW301=0, Control!$B$18=1,$EN301&lt;&gt;0)), $IQ301-$IU301, $IQ301)</f>
        <v>#N/A</v>
      </c>
      <c r="IX301" s="218" t="e">
        <f t="shared" ca="1" si="993"/>
        <v>#N/A</v>
      </c>
      <c r="IY301" s="218" t="e">
        <f ca="1">MAX(0,$IQ301-$EB301*Control!$C$159)</f>
        <v>#N/A</v>
      </c>
      <c r="IZ301" s="218" t="e">
        <f t="shared" ca="1" si="994"/>
        <v>#N/A</v>
      </c>
      <c r="JA301" s="216" t="e">
        <f t="shared" ca="1" si="995"/>
        <v>#N/A</v>
      </c>
      <c r="JB301" s="217" t="e">
        <f t="shared" ca="1" si="996"/>
        <v>#N/A</v>
      </c>
      <c r="JC301" s="222" t="e">
        <f ca="1">MAX(Control!$C$157*$EK301-$JT301, 0)/Control!$C$162</f>
        <v>#N/A</v>
      </c>
      <c r="JD301" s="218" t="e">
        <f t="shared" ca="1" si="997"/>
        <v>#N/A</v>
      </c>
      <c r="JE301" s="218" t="e">
        <f t="shared" ca="1" si="998"/>
        <v>#N/A</v>
      </c>
      <c r="JF301" s="218" t="e">
        <f t="shared" ca="1" si="1107"/>
        <v>#N/A</v>
      </c>
      <c r="JG301" s="218" t="e">
        <f t="shared" ca="1" si="999"/>
        <v>#N/A</v>
      </c>
      <c r="JH301" s="217" t="e">
        <f t="shared" ca="1" si="1108"/>
        <v>#N/A</v>
      </c>
      <c r="JI301" s="217" t="e">
        <f t="shared" ca="1" si="1109"/>
        <v>#N/A</v>
      </c>
      <c r="JJ301" s="217" t="e">
        <f t="shared" ca="1" si="1144"/>
        <v>#N/A</v>
      </c>
      <c r="JK301" s="217" t="e">
        <f ca="1">IF(Control!$C$114=1,IF(Control!$B$24=0,MAX(0,$JI301)*$GN301/Control!$C$64,(MAX(0,MIN($JI301,$JJ301*$GN301/Control!$C$64),0))))</f>
        <v>#N/A</v>
      </c>
      <c r="JL301" s="217" t="e">
        <f ca="1">$IK301/Control!$C$64-$JK301+$HQ301</f>
        <v>#N/A</v>
      </c>
      <c r="JM301" s="217" t="e">
        <f ca="1">IF(Control!$C$114=1,($JB301/(IF($JI301&lt;&gt;0,$JI301,1)))*$JK301,0)</f>
        <v>#N/A</v>
      </c>
      <c r="JN301" s="217" t="e">
        <f ca="1">IF(Control!$C$114=1,($JG301/(IF($JI301&lt;&gt;0,$JI301,1)))*$JK301, 0)</f>
        <v>#N/A</v>
      </c>
      <c r="JO301" s="218" t="e">
        <f t="shared" ca="1" si="1000"/>
        <v>#N/A</v>
      </c>
      <c r="JP301" s="218" t="e">
        <f ca="1">MIN(($IY301+$IO301)*Control!$C$151, $JF301-$EH301*Control!$C$161)</f>
        <v>#N/A</v>
      </c>
      <c r="JQ301" s="218" t="e">
        <f t="shared" ca="1" si="1001"/>
        <v>#N/A</v>
      </c>
      <c r="JR301" s="217" t="e">
        <f ca="1">IF($CP301-Control!$C$150&lt;0, 0, $JQ301/Control!$C$162)</f>
        <v>#N/A</v>
      </c>
      <c r="JS301" s="218" t="e">
        <f t="shared" ca="1" si="1002"/>
        <v>#N/A</v>
      </c>
      <c r="JT301" s="218" t="e">
        <f t="shared" ca="1" si="1110"/>
        <v>#N/A</v>
      </c>
      <c r="JU301" s="218" t="e">
        <f t="shared" ca="1" si="1003"/>
        <v>#N/A</v>
      </c>
      <c r="JV301" s="218" t="e">
        <f t="shared" ca="1" si="1004"/>
        <v>#N/A</v>
      </c>
      <c r="JW301" s="216" t="e">
        <f t="shared" ca="1" si="1005"/>
        <v>#N/A</v>
      </c>
      <c r="JX301" s="91" t="e">
        <f t="shared" ca="1" si="1006"/>
        <v>#N/A</v>
      </c>
      <c r="JY301" s="218" t="e">
        <f t="shared" ca="1" si="1007"/>
        <v>#N/A</v>
      </c>
      <c r="JZ301" s="217" t="e">
        <f ca="1">IF(Control!$C$114=1,($IZ301/(IF($JI301&lt;&gt;0,$JI301,1)))*$JK301, 0)</f>
        <v>#N/A</v>
      </c>
      <c r="KA301" s="218" t="e">
        <f t="shared" ca="1" si="1145"/>
        <v>#N/A</v>
      </c>
      <c r="KB301" s="218" t="e">
        <f t="shared" ca="1" si="1111"/>
        <v>#N/A</v>
      </c>
      <c r="KC301" s="218" t="e">
        <f t="shared" ca="1" si="1008"/>
        <v>#N/A</v>
      </c>
      <c r="KD301" s="218" t="e">
        <f t="shared" ca="1" si="1009"/>
        <v>#N/A</v>
      </c>
      <c r="KE301" s="218" t="e">
        <f t="shared" ca="1" si="1010"/>
        <v>#N/A</v>
      </c>
      <c r="KF301" s="218" t="e">
        <f t="shared" ca="1" si="1011"/>
        <v>#N/A</v>
      </c>
      <c r="KG301" s="216" t="e">
        <f t="shared" ca="1" si="1012"/>
        <v>#N/A</v>
      </c>
      <c r="KH301" s="221" t="e">
        <f ca="1">IF(Control!$B$24=0,1,MAX(0.001,MIN(1,IF(($IF301-$IE301)&lt;&gt;0,($KG301-$IE301)/($IF301-$IE301),1))))</f>
        <v>#N/A</v>
      </c>
      <c r="KI301" s="222" t="e">
        <f ca="1">IF(Control!$C$114=1, $KI300+ $KH300, 0)</f>
        <v>#N/A</v>
      </c>
      <c r="KJ301" s="217" t="e">
        <f t="shared" ca="1" si="1013"/>
        <v>#N/A</v>
      </c>
      <c r="KK301" s="218" t="e">
        <f t="shared" ca="1" si="1014"/>
        <v>#N/A</v>
      </c>
      <c r="KL301" s="274" t="e">
        <f ca="1">IF(Control!$B$26=3,4000000000*EXP(-8400/($G301+273)),IF(Control!$B$26=4,4000000000*EXP(-8400/($G301+273))*($KT301),0))</f>
        <v>#DIV/0!</v>
      </c>
      <c r="KM301" s="274" t="e">
        <f ca="1">IF(Control!$B$26=3,5600000000000*EXP(-9800/($G301+273)),IF(Control!$B$26=4,5600000000000*EXP(-9800/($G301+273))*$KT301,0))</f>
        <v>#DIV/0!</v>
      </c>
      <c r="KN301" s="454" t="e">
        <f t="shared" ca="1" si="1112"/>
        <v>#DIV/0!</v>
      </c>
      <c r="KO301" s="274" t="e">
        <f t="shared" ca="1" si="1113"/>
        <v>#DIV/0!</v>
      </c>
      <c r="KP301" s="454" t="e">
        <f t="shared" ca="1" si="1015"/>
        <v>#DIV/0!</v>
      </c>
      <c r="KQ301" s="454" t="e">
        <f t="shared" ca="1" si="1016"/>
        <v>#DIV/0!</v>
      </c>
      <c r="KR301" s="454" t="e">
        <f t="shared" ca="1" si="1017"/>
        <v>#DIV/0!</v>
      </c>
      <c r="KS301" s="454" t="e">
        <f t="shared" ca="1" si="1018"/>
        <v>#DIV/0!</v>
      </c>
      <c r="KT301" s="455" t="e">
        <f t="shared" ca="1" si="1019"/>
        <v>#DIV/0!</v>
      </c>
      <c r="KU301" s="456" t="e">
        <f ca="1">IF($CP301-Control!$C$149&lt;0, IF($NT301-0.01&lt;0,0,1),0)</f>
        <v>#N/A</v>
      </c>
      <c r="KV301" s="456" t="e">
        <f ca="1">IF(Control!$C$114=1,MAX(0,MIN(Control!$C$125*$KW301*$GN301,$KW301)))</f>
        <v>#DIV/0!</v>
      </c>
      <c r="KW301" s="456" t="e">
        <f t="shared" ca="1" si="1146"/>
        <v>#DIV/0!</v>
      </c>
      <c r="KX301" s="457" t="e">
        <f ca="1">IF($CP301-Control!$C$149&lt;0, IF($MR301-$OM301&lt;0,0,1),0)</f>
        <v>#N/A</v>
      </c>
      <c r="KY301" s="167">
        <f t="shared" ca="1" si="1114"/>
        <v>297</v>
      </c>
      <c r="KZ301" s="168">
        <f ca="1">1370*(1+0.033*COS(2*Control!$C$138*$AH301/365))</f>
        <v>1387.6156904156787</v>
      </c>
      <c r="LA301" s="169">
        <f t="shared" ca="1" si="1115"/>
        <v>1.012857804834516</v>
      </c>
      <c r="LB301" s="169">
        <f t="shared" ca="1" si="1116"/>
        <v>-0.22449289353222343</v>
      </c>
      <c r="LC301" s="169">
        <f ca="1">ACOS(-TAN((2*Control!$B$8/360))*TAN(Calculations!$LB301))</f>
        <v>1.5028802407581912</v>
      </c>
      <c r="LD301" s="169">
        <f ca="1">((24*60)/PI())*0.082*$LA301*(($LC301*SIN(Control!$B$8*2*PI()/360))*SIN($LB301)+COS(Control!$B$8*2*PI()/360)*COS($LB301)*SIN($LC301))</f>
        <v>12.760556236358569</v>
      </c>
      <c r="LE301" s="170">
        <f t="shared" ca="1" si="1020"/>
        <v>13.65991648387789</v>
      </c>
      <c r="LF301" s="170">
        <f ca="1">SIN(Control!$C$139*Control!$B$8)*SIN($HD301)</f>
        <v>-0.16985179122024688</v>
      </c>
      <c r="LG301" s="170">
        <f ca="1">COS(Control!$C$139*Control!$B$8)*COS($HD301)</f>
        <v>0.60118809342679336</v>
      </c>
      <c r="LH301" s="170">
        <f ca="1">12*(1+2*ASIN(MAX(-1,MIN(1,$LF301/$LG301))/Control!$C$138))</f>
        <v>9.8387388090561068</v>
      </c>
      <c r="LI301" s="170">
        <f ca="1">12*(1+2*ASIN(MAX(-1,MIN(1,(-SIN(-4*Control!$C$139)+$LF301)/$LG301))/Control!$C$138))</f>
        <v>10.727474344892709</v>
      </c>
      <c r="LJ301" s="168">
        <f ca="1">3600*($LH301*$LF301+24*$LG301*SQRT(1-$LK301*$LK301)/Control!$C$138)</f>
        <v>9844.1640421245738</v>
      </c>
      <c r="LK301" s="170">
        <f t="shared" ca="1" si="1021"/>
        <v>-0.28252687150220435</v>
      </c>
      <c r="LL301" s="170">
        <f t="shared" ca="1" si="1022"/>
        <v>0</v>
      </c>
      <c r="LM301" s="171">
        <f ca="1">Control!$C$145*$AB301</f>
        <v>6.6660906138995932E-2</v>
      </c>
      <c r="LN301" s="170">
        <f t="shared" ca="1" si="1117"/>
        <v>0.54</v>
      </c>
      <c r="LO301" s="170">
        <f t="shared" ca="1" si="1023"/>
        <v>0</v>
      </c>
      <c r="LP301" s="170">
        <f ca="1">Control!$C$140*((($D301+273.16)^4+($E301+273.16)^4)/2)*(0.34-0.14*SQRT($Y301))*(1.35*$AQ301/(0.75*$LD301)-0.35)</f>
        <v>-3.2464704755046001</v>
      </c>
      <c r="LQ301" s="170">
        <f ca="1">Control!$C$140*($G301+273)^4*(0.56-0.079*SQRT($Y301*10))*(0.1+0.9*$LO301)</f>
        <v>1.5241745131704001</v>
      </c>
      <c r="LR301" s="170">
        <f ca="1">$AQ301*(1-Control!$C$142)-$LQ301</f>
        <v>-1.5241745131704001</v>
      </c>
      <c r="LS301" s="170">
        <f ca="1">$AQ301*(1-Control!$C$143)-$LQ301</f>
        <v>-1.5241745131704001</v>
      </c>
      <c r="LT301" s="170">
        <f ca="1">$AQ301*(1-Control!$C$144)-$LQ301</f>
        <v>-1.5241745131704001</v>
      </c>
      <c r="LU301" s="169">
        <f ca="1">(1-Control!$C$144)*AQ301-LP301</f>
        <v>3.2464704755046001</v>
      </c>
      <c r="LV301" s="172">
        <f t="shared" ca="1" si="1024"/>
        <v>0.79430000000000012</v>
      </c>
      <c r="LW301" s="170">
        <f t="shared" ca="1" si="1025"/>
        <v>1.5886000000000002</v>
      </c>
      <c r="LX301" s="170">
        <f ca="1">($AC301*($LR301/Control!$C$141)+$LM301*$LV301)/($AC301+$LM301)</f>
        <v>0.23530094218323697</v>
      </c>
      <c r="LY301" s="170">
        <f ca="1">($AC301*($LS301/Control!$C$141)+$LM301*$LV301)/($AC301+$LM301)</f>
        <v>0.23530094218323697</v>
      </c>
      <c r="LZ301" s="170">
        <f t="shared" ca="1" si="1026"/>
        <v>0.23530094218323697</v>
      </c>
      <c r="MA301" s="170">
        <f t="shared" ca="1" si="1027"/>
        <v>0.23530094218323697</v>
      </c>
      <c r="MB301" s="170" t="e">
        <f t="shared" ca="1" si="1028"/>
        <v>#N/A</v>
      </c>
      <c r="MC301" s="170">
        <f t="shared" ca="1" si="1118"/>
        <v>0.6018</v>
      </c>
      <c r="MD301" s="170">
        <f t="shared" ca="1" si="1029"/>
        <v>0.52989392535414004</v>
      </c>
      <c r="ME301" s="170">
        <f ca="1">($AC301*($LT301/Control!$C$141)+$LM301*$LW301)/($AC301+$LM301)</f>
        <v>0.71612369323045078</v>
      </c>
      <c r="MF301" s="170" t="e">
        <f ca="1">IF(Control!$B$16&gt;=1000,0.92,IF(AND(720&lt;=Control!$B$16,1000&gt;Control!$B$16),(0.95+(Control!$B$16-720)*((0.92-0.95)/(1000-720))),IF(AND(360&lt;=Control!$B$16,720&gt;Control!$B$16),(1+(Control!$B$16-360)*((0.95-1)/(720-360))),IF(AND(40&lt;=Control!$B$16,360&gt;Control!$B$16),(1.05+(Control!$B$16-40)*((1.05-1)/(360-40)))))))</f>
        <v>#N/A</v>
      </c>
      <c r="MG301" s="170">
        <f t="shared" ca="1" si="1030"/>
        <v>0.71612369323045078</v>
      </c>
      <c r="MH301" s="170" t="e">
        <f t="shared" ca="1" si="1156"/>
        <v>#N/A</v>
      </c>
      <c r="MI301" s="170" t="e">
        <f t="shared" ca="1" si="1156"/>
        <v>#N/A</v>
      </c>
      <c r="MJ301" s="170" t="e">
        <f ca="1">MAX(0.0001, Control!$C$132*$MI301*$DL301)</f>
        <v>#N/A</v>
      </c>
      <c r="MK301" s="170">
        <f ca="1">1/(0.76+1.5*($MG301/10))-(5-Control!$C$110)*0.1</f>
        <v>1.002845988140797</v>
      </c>
      <c r="ML301" s="173">
        <f ca="1">IF(Control!$C$110&lt;3,$MK301+($MG301-0.6)/(Control!$C$110*(Control!$C$110+3)), MAX(0.1, MIN(0.95,$MK301)))</f>
        <v>0.95</v>
      </c>
      <c r="MM301" s="173">
        <f ca="1">IF(Control!$C$110&lt;3,$MK301+(($MI301/10)-0.6)/(Control!$C$110*(Control!$C$110+3)), MAX(0.1, MIN(0.95,$MK301)))</f>
        <v>0.95</v>
      </c>
      <c r="MN301" s="173">
        <f ca="1">(1-$MM301)*(Control!$C$128-Control!$C$127)+Control!$C$127</f>
        <v>0.16</v>
      </c>
      <c r="MO301" s="170" t="e">
        <f ca="1">MAX(0,MIN(1,($MS301-Control!$C$127)/($MN301-Control!$C$127)))</f>
        <v>#DIV/0!</v>
      </c>
      <c r="MP301" s="173" t="e">
        <f ca="1">1/(0.76+1.5*$MI301)-(5-Control!$C$110)*0.1</f>
        <v>#N/A</v>
      </c>
      <c r="MQ301" s="172" t="e">
        <f t="shared" ca="1" si="1147"/>
        <v>#DIV/0!</v>
      </c>
      <c r="MR301" s="168" t="e">
        <f t="shared" ca="1" si="1119"/>
        <v>#DIV/0!</v>
      </c>
      <c r="MS301" s="173" t="e">
        <f ca="1">MAX(Control!$C$127, MIN(Control!$C$135, $MR301/MAX(0.0001,$CY301)))</f>
        <v>#DIV/0!</v>
      </c>
      <c r="MT301" s="168" t="e">
        <f ca="1">(Control!$C$128-$MS301)*Control!$C$74</f>
        <v>#DIV/0!</v>
      </c>
      <c r="MU301" s="168" t="e">
        <f ca="1">(Control!$C$135-$MS301)*Control!$C$74</f>
        <v>#DIV/0!</v>
      </c>
      <c r="MV301" s="168" t="e">
        <f t="shared" ca="1" si="1120"/>
        <v>#DIV/0!</v>
      </c>
      <c r="MW301" s="168" t="e">
        <f t="shared" ca="1" si="1121"/>
        <v>#DIV/0!</v>
      </c>
      <c r="MX301" s="171" t="e">
        <f ca="1">MAX(Control!$C$127, MIN(Control!$C$135, $MW301/MAX(0.0001,Control!$C$119-$CY301)))</f>
        <v>#DIV/0!</v>
      </c>
      <c r="MY301" s="54" t="e">
        <f ca="1">IF(Control!$C$114=1, $CX301*$MX301, 0)</f>
        <v>#DIV/0!</v>
      </c>
      <c r="MZ301" s="54" t="e">
        <f t="shared" ca="1" si="1122"/>
        <v>#N/A</v>
      </c>
      <c r="NA301" s="168" t="e">
        <f ca="1">(Control!$C$128-$MX301)*(Control!$C$119-Control!$C$74)</f>
        <v>#DIV/0!</v>
      </c>
      <c r="NB301" s="168" t="e">
        <f ca="1">(Control!$C$135-$MX301)*(Control!$C$119-Control!$C$74)</f>
        <v>#DIV/0!</v>
      </c>
      <c r="NC301" s="174" t="e">
        <f t="shared" ca="1" si="1123"/>
        <v>#DIV/0!</v>
      </c>
      <c r="ND301" s="54">
        <f ca="1">IF(Control!$C$58=2, IF(OR(Control!$B$218=$AH301,Control!$B$219=$AH301, Control!$B$220=$AH301, Control!$B$221=$AH301, Control!$B$222=$AH301, Control!$B$223=$AH301, Control!$B$224=$AH301, Control!$B$225=$AH301, Control!$B$226=$AH301, Control!$B$227=$AH301, Control!$B$228=$AH301), 1, 0), 0)</f>
        <v>0</v>
      </c>
      <c r="NE301" s="54">
        <f ca="1">IF($ND301=0,0, VLOOKUP($AH301,Control!$B$218:$C$228,2))</f>
        <v>0</v>
      </c>
      <c r="NF301" s="168" t="e">
        <f ca="1">$CY301*(Control!$C$128-Control!$C$127)</f>
        <v>#N/A</v>
      </c>
      <c r="NG301" s="54" t="e">
        <f ca="1">IF(Control!$C$58=2, $NI300-$NJ300, 0)</f>
        <v>#DIV/0!</v>
      </c>
      <c r="NH301" s="54" t="e">
        <f ca="1">IF(AND(Control!$C$58=1, $MS300&lt;= ($MN300+0.02), $I300&lt;10), 0, IF(Control!$C$58=2, $NG300, 0))</f>
        <v>#DIV/0!</v>
      </c>
      <c r="NI301" s="54" t="e">
        <f ca="1">IF(Control!$C$58=2, $NE301+$NH301,0)</f>
        <v>#DIV/0!</v>
      </c>
      <c r="NJ301" s="54" t="e">
        <f ca="1">IF(AND(Control!$C$58=1, $MS301&lt;= ($MN301+0.02), $I301&lt;10), MAX(0, MIN(10, 0.7*($NF301-$MV301))), IF(Control!$C$58=2, MIN(10,$NI301),0))</f>
        <v>#DIV/0!</v>
      </c>
      <c r="NK301" s="54" t="e">
        <f t="shared" ca="1" si="1031"/>
        <v>#DIV/0!</v>
      </c>
      <c r="NL301" s="173" t="e">
        <f ca="1">(1-Control!$C$73)*$I301+$NJ301</f>
        <v>#DIV/0!</v>
      </c>
      <c r="NM301" s="172" t="e">
        <f ca="1">IF($NL301&lt;0.5, $MB301* MAX(0, MIN(1, (SQRT($NC301)-SQRT($NC301-1))*Control!$C$71)),0)</f>
        <v>#DIV/0!</v>
      </c>
      <c r="NN301" s="170" t="e">
        <f ca="1">IF($NL301&gt;=5, $MB301, MAX(0,MIN($MB301, $NM301+$NL301,($MS301-Control!$C$129))))</f>
        <v>#DIV/0!</v>
      </c>
      <c r="NO301" s="54">
        <f>IF(Control!$C$133&lt;&gt;1, Control!$C$135-Control!$C$131, 0)</f>
        <v>0.38</v>
      </c>
      <c r="NP301" s="54" t="e">
        <f t="shared" ca="1" si="1032"/>
        <v>#DIV/0!</v>
      </c>
      <c r="NQ301" s="173" t="e">
        <f ca="1">MAX(0,MIN(1,(Control!$C$135-$MS301)/(Control!$C$135-$NO301)))</f>
        <v>#DIV/0!</v>
      </c>
      <c r="NR301" s="170" t="e">
        <f ca="1">IF(Control!$C$133&lt;&gt;1, $NQ301+((1-$NP301/4)*(1-$NQ301)),1)</f>
        <v>#DIV/0!</v>
      </c>
      <c r="NS301" s="170" t="e">
        <f ca="1">IF(Control!$B$31=0,$MJ301,MAX(0,MIN($MV301,$MO301*$NR301*$MJ301)))</f>
        <v>#DIV/0!</v>
      </c>
      <c r="NT301" s="170" t="e">
        <f t="shared" ca="1" si="1148"/>
        <v>#DIV/0!</v>
      </c>
      <c r="NU301" s="170" t="e">
        <f t="shared" ca="1" si="1124"/>
        <v>#N/A</v>
      </c>
      <c r="NV301" s="170" t="e">
        <f t="shared" ca="1" si="1033"/>
        <v>#N/A</v>
      </c>
      <c r="NW301" s="175" t="e">
        <f t="shared" ca="1" si="1034"/>
        <v>#DIV/0!</v>
      </c>
      <c r="NX301" s="170" t="e">
        <f ca="1">MIN(Control!$C$72+$MU301, $NW301)</f>
        <v>#DIV/0!</v>
      </c>
      <c r="NY301" s="170" t="e">
        <f ca="1">IF($MT301&lt;=$NX301,MIN(Control!$C$72+$NB301,$NX301-$MT301),0)</f>
        <v>#DIV/0!</v>
      </c>
      <c r="NZ301" s="54" t="e">
        <f ca="1">IF(Control!$C$114=1,  $CX301*($MX301-Control!$C$127), 0)</f>
        <v>#DIV/0!</v>
      </c>
      <c r="OA301" s="170" t="e">
        <f t="shared" ca="1" si="1035"/>
        <v>#DIV/0!</v>
      </c>
      <c r="OB301" s="170" t="e">
        <f ca="1">IF($NA301 &lt;=$NY301, MIN(Control!$C$72, $NY301-$NA301), 0)</f>
        <v>#DIV/0!</v>
      </c>
      <c r="OC301" s="168" t="e">
        <f t="shared" ca="1" si="1036"/>
        <v>#DIV/0!</v>
      </c>
      <c r="OD301" s="168" t="e">
        <f t="shared" ca="1" si="1125"/>
        <v>#DIV/0!</v>
      </c>
      <c r="OE301" s="170">
        <f ca="1">Control!$C$73*$I301</f>
        <v>0</v>
      </c>
      <c r="OF301" s="176" t="e">
        <f t="shared" ca="1" si="1037"/>
        <v>#DIV/0!</v>
      </c>
      <c r="OG301" s="168" t="e">
        <f t="shared" ca="1" si="1038"/>
        <v>#DIV/0!</v>
      </c>
      <c r="OH301" s="168" t="e">
        <f t="shared" ca="1" si="1039"/>
        <v>#DIV/0!</v>
      </c>
      <c r="OI301" s="168" t="e">
        <f t="shared" ca="1" si="1040"/>
        <v>#DIV/0!</v>
      </c>
      <c r="OJ301" s="168" t="e">
        <f t="shared" ca="1" si="1041"/>
        <v>#DIV/0!</v>
      </c>
      <c r="OK301" s="204" t="e">
        <f t="shared" ca="1" si="1042"/>
        <v>#DIV/0!</v>
      </c>
      <c r="OL301" s="177">
        <f>Control!$C$127</f>
        <v>0.15</v>
      </c>
      <c r="OM301" s="182" t="e">
        <f t="shared" ca="1" si="1043"/>
        <v>#N/A</v>
      </c>
      <c r="ON301" s="177">
        <f>Control!$C$128</f>
        <v>0.35</v>
      </c>
      <c r="OO301" s="182" t="e">
        <f t="shared" ca="1" si="1044"/>
        <v>#N/A</v>
      </c>
      <c r="OP301" s="138">
        <f t="shared" ca="1" si="1126"/>
        <v>0</v>
      </c>
      <c r="OQ301" s="138" t="e">
        <f t="shared" ca="1" si="1149"/>
        <v>#DIV/0!</v>
      </c>
      <c r="OR301" s="138" t="e">
        <f t="shared" ca="1" si="1127"/>
        <v>#DIV/0!</v>
      </c>
      <c r="OS301" s="137" t="e">
        <f t="shared" ca="1" si="1150"/>
        <v>#DIV/0!</v>
      </c>
      <c r="OT301" s="139" t="e">
        <f t="shared" ca="1" si="1151"/>
        <v>#DIV/0!</v>
      </c>
      <c r="OU301" s="138" t="e">
        <f t="shared" ca="1" si="1152"/>
        <v>#N/A</v>
      </c>
      <c r="OV301" s="138" t="e">
        <f t="shared" ca="1" si="1153"/>
        <v>#DIV/0!</v>
      </c>
      <c r="OW301" s="138" t="e">
        <f t="shared" ca="1" si="1128"/>
        <v>#DIV/0!</v>
      </c>
      <c r="OX301" s="138" t="e">
        <f t="shared" ca="1" si="1129"/>
        <v>#DIV/0!</v>
      </c>
      <c r="OY301" s="138" t="e">
        <f t="shared" ca="1" si="1130"/>
        <v>#DIV/0!</v>
      </c>
      <c r="OZ301" s="138" t="e">
        <f t="shared" ca="1" si="1045"/>
        <v>#DIV/0!</v>
      </c>
      <c r="PA301" s="138" t="e">
        <f t="shared" ca="1" si="1046"/>
        <v>#DIV/0!</v>
      </c>
      <c r="PB301" s="55">
        <f>IF(Control!$C$61="T", IF(Control!$C$65="F", IF($AH$6-Control!$C$60&lt;0,0,1), IF(365+$AH$6-Control!$C$60&lt;0,0,1)),0)</f>
        <v>0</v>
      </c>
      <c r="PC301" s="55">
        <f ca="1">IF(Control!$C$65="F", IF($AH$6-$HF301&lt;0,0,1), IF(365+$AH$6-$HF301&lt;0,0,1))</f>
        <v>1</v>
      </c>
      <c r="PD301" s="444">
        <f>Control!$C$118</f>
        <v>1500</v>
      </c>
      <c r="PE301" s="180" t="e">
        <f t="shared" ca="1" si="1047"/>
        <v>#N/A</v>
      </c>
      <c r="PF301" s="445">
        <f t="shared" ca="1" si="1131"/>
        <v>0.71612369323045078</v>
      </c>
      <c r="PT301" s="186"/>
      <c r="PU301" s="186"/>
      <c r="PV301" s="94"/>
      <c r="PW301" s="94"/>
      <c r="PX301" s="94"/>
      <c r="PY301" s="94"/>
      <c r="PZ301" s="94"/>
      <c r="QA301" s="94"/>
      <c r="QB301" s="94"/>
      <c r="QC301" s="94"/>
      <c r="QD301" s="94"/>
      <c r="QE301" s="94"/>
      <c r="QF301" s="94"/>
      <c r="QG301" s="94"/>
      <c r="QH301" s="94"/>
      <c r="QI301" s="94"/>
      <c r="QJ301" s="94"/>
      <c r="QK301" s="94"/>
      <c r="QL301" s="94"/>
      <c r="QM301" s="94"/>
      <c r="QN301" s="94"/>
      <c r="QO301" s="94"/>
      <c r="QP301" s="94"/>
    </row>
    <row r="302" spans="1:458" s="2" customFormat="1" x14ac:dyDescent="0.2">
      <c r="A302" s="395">
        <v>24</v>
      </c>
      <c r="B302" s="396">
        <v>10</v>
      </c>
      <c r="C302" s="387">
        <f ca="1">Weather_data!$B301</f>
        <v>0</v>
      </c>
      <c r="D302" s="388">
        <f ca="1">Weather_data!$F301</f>
        <v>0</v>
      </c>
      <c r="E302" s="388">
        <f ca="1">Weather_data!$E301</f>
        <v>0</v>
      </c>
      <c r="F302" s="388">
        <f t="shared" ca="1" si="1048"/>
        <v>0</v>
      </c>
      <c r="G302" s="388">
        <f ca="1">AVERAGE($D302:$E302)+Control!$B$9</f>
        <v>0</v>
      </c>
      <c r="H302" s="388">
        <f ca="1">Weather_data!$G301</f>
        <v>0</v>
      </c>
      <c r="I302" s="388">
        <f ca="1">Weather_data!$I301</f>
        <v>0</v>
      </c>
      <c r="J302" s="388">
        <f ca="1">Weather_data!$H301</f>
        <v>0</v>
      </c>
      <c r="K302" s="389">
        <f ca="1">Weather_data!$D301</f>
        <v>0</v>
      </c>
      <c r="L302" s="388" t="e">
        <f t="shared" ca="1" si="1049"/>
        <v>#N/A</v>
      </c>
      <c r="M302" s="388" t="e">
        <f t="shared" ca="1" si="927"/>
        <v>#N/A</v>
      </c>
      <c r="N302" s="388">
        <f t="shared" ca="1" si="928"/>
        <v>-1.4280808595372602E-14</v>
      </c>
      <c r="O302" s="388">
        <f t="shared" ca="1" si="1050"/>
        <v>1.4280808595372603E-13</v>
      </c>
      <c r="P302" s="390">
        <v>3</v>
      </c>
      <c r="Q302" s="388">
        <f ca="1">MAX($G302-Control!$C$107,0)</f>
        <v>0</v>
      </c>
      <c r="R302" s="388">
        <f t="shared" ca="1" si="1051"/>
        <v>0</v>
      </c>
      <c r="S302" s="388">
        <f t="shared" ca="1" si="929"/>
        <v>0</v>
      </c>
      <c r="T302" s="388">
        <f t="shared" ca="1" si="930"/>
        <v>0</v>
      </c>
      <c r="U302" s="59">
        <f t="shared" ca="1" si="931"/>
        <v>0</v>
      </c>
      <c r="V302" s="391">
        <f ca="1">MAX(0,MIN(Control!$C$100-Control!$C$99,$G302-Control!$C$99)*Control!$C$63)</f>
        <v>0</v>
      </c>
      <c r="W302" s="388">
        <f t="shared" ca="1" si="1052"/>
        <v>0</v>
      </c>
      <c r="X302" s="388">
        <f t="shared" ca="1" si="1053"/>
        <v>0.6110000000000001</v>
      </c>
      <c r="Y302" s="388">
        <f t="shared" ca="1" si="932"/>
        <v>0</v>
      </c>
      <c r="Z302" s="388">
        <f t="shared" ca="1" si="1054"/>
        <v>0.61058800000000002</v>
      </c>
      <c r="AA302" s="388">
        <f t="shared" ca="1" si="933"/>
        <v>0.6018</v>
      </c>
      <c r="AB302" s="388">
        <f ca="1">101.3*EXP(-0.034*Control!$C$66/($G302+273))</f>
        <v>100.69623283836242</v>
      </c>
      <c r="AC302" s="392">
        <f t="shared" ca="1" si="934"/>
        <v>4.3460251046025113E-2</v>
      </c>
      <c r="AD302" s="392">
        <f t="shared" ca="1" si="935"/>
        <v>4.4450382862832649E-2</v>
      </c>
      <c r="AE302" s="388">
        <f t="shared" ca="1" si="936"/>
        <v>0</v>
      </c>
      <c r="AF302" s="388">
        <f ca="1">MAX(0,$G302-Control!$C$92)</f>
        <v>0</v>
      </c>
      <c r="AG302" s="393">
        <f t="shared" ca="1" si="937"/>
        <v>298</v>
      </c>
      <c r="AH302" s="389">
        <f t="shared" ca="1" si="938"/>
        <v>298</v>
      </c>
      <c r="AI302" s="388">
        <f t="shared" ca="1" si="1055"/>
        <v>-0.22311755026055161</v>
      </c>
      <c r="AJ302" s="388">
        <f ca="1">IF(Control!$C$60&lt;=0,$HH302,$HI302)</f>
        <v>1</v>
      </c>
      <c r="AK302" s="388">
        <f t="shared" ca="1" si="939"/>
        <v>3.7526969779867114</v>
      </c>
      <c r="AL302" s="388">
        <f t="shared" ca="1" si="940"/>
        <v>-3.6069168485308721E-18</v>
      </c>
      <c r="AM302" s="388">
        <f t="shared" ca="1" si="941"/>
        <v>3.7526969779867114</v>
      </c>
      <c r="AN302" s="388">
        <f t="shared" ca="1" si="942"/>
        <v>-0.23027637119709352</v>
      </c>
      <c r="AO302" s="388">
        <f ca="1">-0.10453/COS(Control!$B$8*PI()/180)*COS(AN302)</f>
        <v>-0.16530311283166949</v>
      </c>
      <c r="AP302" s="388">
        <f ca="1">ACOS(AO302-TAN(Control!$B$8*PI()/180)*TAN(AN302))</f>
        <v>1.4356251980115635</v>
      </c>
      <c r="AQ302" s="388">
        <f t="shared" ca="1" si="1056"/>
        <v>0</v>
      </c>
      <c r="AR302" s="394">
        <f t="shared" ca="1" si="943"/>
        <v>0</v>
      </c>
      <c r="AS302" s="436">
        <f ca="1">IF(Control!$B$18=2,(IF(OR($AH302=Control!$B$175,$AH302=Control!$B$176,$AH302=Control!$B$177,$AH302=Control!$B$178,$AH302=Control!$B$179,$AH302=Control!$B$180,$AH302=Control!$B$181,$AH302=Control!$B$182,$AH302=Control!$B$183,$AH302=Control!$B$184,$AH302=Control!$B$185),1,0)),0)</f>
        <v>0</v>
      </c>
      <c r="AT302" s="436">
        <f>IF(Control!$B$20=8,IF(AND($AH302&gt;=Control!$B$172,$AH302&lt;=Control!$B$173),1,0),0)</f>
        <v>0</v>
      </c>
      <c r="AU302" s="436">
        <f>IF(Control!$B$20=8,IF($AV301=1,1*$AT302,IF($AT302=1,$AU301+1,$AU301)),0)</f>
        <v>0</v>
      </c>
      <c r="AV302" s="436">
        <f>IF(Control!$B$20=8,IF($AU302&gt;=Control!$B$174,1,0),0)</f>
        <v>0</v>
      </c>
      <c r="AW302" s="436">
        <f ca="1">IF(AND(Control!$B$18=2,Control!$B$171=1), $AV302, $AS302)</f>
        <v>0</v>
      </c>
      <c r="AX302" s="436" t="e">
        <f ca="1">IF(AND(Control!$B$18=1,$EU302&gt;=Control!$B$19),-$AY302,IF(AND(Control!$B$18=2,$AW302=1,$EU302&gt;$DS302),-$AY302, IF(Control!$C$108=0,0, IF(Control!$C$108&lt;&gt;0,1))))</f>
        <v>#N/A</v>
      </c>
      <c r="AY302" s="436" t="e">
        <f t="shared" ca="1" si="1057"/>
        <v>#N/A</v>
      </c>
      <c r="AZ302" s="436" t="e">
        <f ca="1">IF(AND(Control!$B$18=1,$EB302&gt;Control!$B$19),$AZ301+1, IF(AND(Control!$B$18=2, $AW302=1, $EB302&gt;$DS302), $AZ301+1,$AZ301))</f>
        <v>#N/A</v>
      </c>
      <c r="BA302" s="587">
        <f>IF(Control!$C$81=0,1,IF($AH302&gt;=Control!$C$82,1,0))</f>
        <v>1</v>
      </c>
      <c r="BB302" s="140" t="e">
        <f ca="1">IF($BA302&gt;$BA301,Control!$C$83,IF($AW302&gt;0,$AW302*Control!$C$84,IF(AND(Control!$B$18=1,EN301&lt;&gt;0),Control!$C$84,0)))</f>
        <v>#N/A</v>
      </c>
      <c r="BC302" s="140" t="e">
        <f t="shared" ca="1" si="1058"/>
        <v>#N/A</v>
      </c>
      <c r="BD302" s="140" t="e">
        <f ca="1">BC302*IF(OR($G302&lt;Control!$C$92,$G302&gt;Control!$C$95),0,IF(AND($G302&gt;=Control!$C$92,$G302&lt;=Control!$C$93),$G302-Control!$C$92,IF(AND($G302&gt;Control!$C$93,$G302&lt;=Control!$C$94),Control!$C$93-Control!$C$92,IF(AND($G302&gt;Control!$C$94,$G302&lt;=Control!$C$95),(Control!$C$93-Control!$C$92)*(Control!$C$94-$G302)/(Control!$C$95-Control!$C$94)))))</f>
        <v>#N/A</v>
      </c>
      <c r="BE302" s="140" t="e">
        <f t="shared" ca="1" si="1059"/>
        <v>#N/A</v>
      </c>
      <c r="BF302" s="140" t="e">
        <f ca="1">IF($BE302&lt;=Control!$C$86,$BE302,Control!$C$86-$BE302)</f>
        <v>#N/A</v>
      </c>
      <c r="BG302" s="140" t="e">
        <f ca="1">IF(AND($AW302=1,Control!$C$84&lt;9),1,IF($BE302&gt;=Control!$C$86,0,$BC302))</f>
        <v>#N/A</v>
      </c>
      <c r="BH302" s="404" t="e">
        <f ca="1">IF($BG302=0,0,IF($BE302&lt;=Control!$C$86,$BC302*9*($BF302/Control!$C$86),0))</f>
        <v>#N/A</v>
      </c>
      <c r="BI302" s="140" t="e">
        <f ca="1">IF($BG302=1,0,IF($BE302&gt;=Control!$C$86,1,IF(AND($BB302&lt;21,$BB302&gt;=9),1,$BM301)))</f>
        <v>#N/A</v>
      </c>
      <c r="BJ302" s="140" t="e">
        <f ca="1">IF($BF302&lt;0,-$BF302,$BI302*IF(OR($G302&lt;Control!$C$92,$G302&gt;Control!$C$95),0,IF(AND($G302&gt;=Control!$C$92,$G302&lt;=Control!$C$93),$G302-Control!$C$92,IF(AND($G302&gt;Control!$C$93,$G302&lt;=Control!$C$94),Control!$C$93-Control!$C$92,IF(AND($G302&gt;Control!$C$94,$G302&lt;=Control!$C$95),(Control!$C$93-Control!$C$92)*(Control!$C$94-$G302)/(Control!$C$95-Control!$C$94))))))</f>
        <v>#N/A</v>
      </c>
      <c r="BK302" s="140" t="e">
        <f t="shared" ca="1" si="1060"/>
        <v>#N/A</v>
      </c>
      <c r="BL302" s="140" t="e">
        <f ca="1">IF($BK302&lt;=Control!$C$87,$BK302,Control!$C$87-$BK302)</f>
        <v>#N/A</v>
      </c>
      <c r="BM302" s="140" t="e">
        <f ca="1">IF(AND($BB302&gt;=9,$BB302&lt;21),1,IF($BK302&gt;=Control!$C$87,0,$BI302))</f>
        <v>#N/A</v>
      </c>
      <c r="BN302" s="404" t="e">
        <f ca="1">IF($BM302=0,0,IF($BK302&lt;=Control!$C$87,$BI302*(9+(21-9)*($BL302/Control!$C$87)),0))</f>
        <v>#N/A</v>
      </c>
      <c r="BO302" s="140" t="e">
        <f ca="1">IF($BM302=1,0,IF($BK302&gt;=Control!$C$87,1,IF(AND($BB302&lt;30,$BB302&gt;=21),1,$BS301)))</f>
        <v>#N/A</v>
      </c>
      <c r="BP302" s="140" t="e">
        <f ca="1">IF($BL302&lt;0,-$BL302,$BO302*IF(OR($G302&lt;Control!$C$92,$G302&gt;Control!$C$95),0,IF(AND($G302&gt;=Control!$C$92,$G302&lt;=Control!$C$93),$G302-Control!$C$92,IF(AND($G302&gt;Control!$C$93,$G302&lt;=Control!$C$94),Control!$C$93-Control!$C$92,IF(AND($G302&gt;Control!$C$94,$G302&lt;=Control!$C$95),(Control!$C$93-Control!$C$92)*(Control!$C$94-$G302)/(Control!$C$95-Control!$C$94))))))</f>
        <v>#N/A</v>
      </c>
      <c r="BQ302" s="140" t="e">
        <f t="shared" ca="1" si="944"/>
        <v>#N/A</v>
      </c>
      <c r="BR302" s="140" t="e">
        <f ca="1">IF($BQ302&lt;=Control!$C$88,$BQ302,Control!$C$88-$BQ302)</f>
        <v>#N/A</v>
      </c>
      <c r="BS302" s="140" t="e">
        <f ca="1">IF(AND($BB302&gt;=21,$BB302&lt;30),1,IF($BQ302&gt;=Control!$C$88,0,$BO302))</f>
        <v>#N/A</v>
      </c>
      <c r="BT302" s="404" t="e">
        <f ca="1">IF($BS302=0,0,IF($BQ302&lt;=Control!$C$88,$BO302*(21+(30-21)*(BR302/Control!$C$88)),0))</f>
        <v>#N/A</v>
      </c>
      <c r="BU302" s="140" t="e">
        <f ca="1">IF(BG302+BM302+BS302=1,0,IF(OR(AND($BB302&lt;60,$BB302&gt;=30),$BQ302&gt;=Control!$C$88),1*$BA302,$BY301))</f>
        <v>#N/A</v>
      </c>
      <c r="BV302" s="140" t="e">
        <f ca="1">IF($BR302&lt;0,-$BR302,$BU302*IF(OR($G302&lt;Control!$C$92,$G302&gt;Control!$C$95),0,IF(AND($G302&gt;=Control!$C$92,$G302&lt;=Control!$C$93),$G302-Control!$C$92,IF(AND($G302&gt;Control!$C$93,$G302&lt;=Control!$C$94),Control!$C$93-Control!$C$92,IF(AND($G302&gt;Control!$C$94,$G302&lt;=Control!$C$95),(Control!$C$93-Control!$C$92)*(Control!$C$94-$G302)/(Control!$C$95-Control!$C$94))))))</f>
        <v>#N/A</v>
      </c>
      <c r="BW302" s="140" t="e">
        <f t="shared" ca="1" si="945"/>
        <v>#N/A</v>
      </c>
      <c r="BX302" s="140" t="e">
        <f ca="1">IF($BW302&lt;=Control!$C$89,$BW302,Control!$C$89-$BW302)</f>
        <v>#N/A</v>
      </c>
      <c r="BY302" s="140" t="e">
        <f ca="1">IF(AND($AJ302&gt;=30,$AJ302&lt;60),1,IF($BW302&gt;=Control!$C$89,0,$BU302))</f>
        <v>#N/A</v>
      </c>
      <c r="BZ302" s="404" t="e">
        <f ca="1">IF($BY302=0,0,IF($BW302&lt;=Control!$C$89,$BU302*(30+(60-30)*(BX302/Control!$C$89)),0))</f>
        <v>#N/A</v>
      </c>
      <c r="CA302" s="140" t="e">
        <f ca="1">IF($BG302+$BM302+$BS302+$BY302=1,0,IF(OR(AND($BB302&lt;65,$BB302&gt;=60),$BW302&gt;=Control!$C$89),1*$BA302,$CE301))</f>
        <v>#N/A</v>
      </c>
      <c r="CB302" s="140" t="e">
        <f ca="1">IF($BX302&lt;0,-$BX302,$CA302*IF(OR($G302&lt;Control!$C$92,$G302&gt;Control!$C$95),0,IF(AND($G302&gt;=Control!$C$92,$G302&lt;=Control!$C$93),$G302-Control!$C$92,IF(AND($G302&gt;Control!$C$93,$G302&lt;=Control!$C$94),Control!$C$93-Control!$C$92,IF(AND($G302&gt;Control!$C$94,$G302&lt;=Control!$C$95),(Control!$C$93-Control!$C$92)*(Control!$C$94-$G302)/(Control!$C$95-Control!$C$94))))))</f>
        <v>#N/A</v>
      </c>
      <c r="CC302" s="140" t="e">
        <f t="shared" ca="1" si="1061"/>
        <v>#N/A</v>
      </c>
      <c r="CD302" s="140" t="e">
        <f ca="1">IF($CC302&lt;=Control!$C$90,$CC302,Control!$C$90-$CC302)</f>
        <v>#N/A</v>
      </c>
      <c r="CE302" s="140" t="e">
        <f ca="1">IF(AND($BB302&gt;=60,$BB302&lt;65),1,IF($CC302&gt;=Control!$C$90,0,$CA302))</f>
        <v>#N/A</v>
      </c>
      <c r="CF302" s="404" t="e">
        <f ca="1">IF($CE302=0,0,IF($CC302&lt;=Control!$C$90,$CA302*(60+(65-60)*(CD302/Control!$C$90)),0))</f>
        <v>#N/A</v>
      </c>
      <c r="CG302" s="140" t="e">
        <f ca="1">IF($BG302+$BM302+$BS302+$BY302+$CE302=1,0,IF(OR(AND($BB302&lt;90,$BB302&gt;=65),$CC302&gt;=Control!$C$90),$BA302,$CK301))</f>
        <v>#N/A</v>
      </c>
      <c r="CH302" s="140" t="e">
        <f ca="1">IF($CD302&lt;0,-$CD302,$CG302*IF(OR($G302&lt;Control!$C$92,$G302&gt;Control!$C$95),0,IF(AND($G302&gt;=Control!$C$92,$G302&lt;=Control!$C$93),$G302-Control!$C$92,IF(AND($G302&gt;Control!$C$93,$G302&lt;=Control!$C$94),Control!$C$93-Control!$C$92,IF(AND($G302&gt;Control!$C$94,$G302&lt;=Control!$C$95),(Control!$C$93-Control!$C$92)*(Control!$C$94-$G302)/(Control!$C$95-Control!$C$94))))))</f>
        <v>#N/A</v>
      </c>
      <c r="CI302" s="140" t="e">
        <f t="shared" ca="1" si="1062"/>
        <v>#N/A</v>
      </c>
      <c r="CJ302" s="140" t="e">
        <f ca="1">IF($CI302&lt;=Control!$C$91,$CI302,Control!$C$91-$CI302)</f>
        <v>#N/A</v>
      </c>
      <c r="CK302" s="140" t="e">
        <f ca="1">IF(AND($BB302&gt;=65,$BB302&lt;90),1,IF($CI302&gt;=Control!$C$91,0,$CG302))</f>
        <v>#N/A</v>
      </c>
      <c r="CL302" s="404" t="e">
        <f ca="1">IF($CK302=0,0,IF($CI302&lt;=Control!$C$91,$CG302*(65+(90-65)*($CJ302/Control!$C$91)),0))</f>
        <v>#N/A</v>
      </c>
      <c r="CM302" s="140" t="e">
        <f ca="1">IF($BG302+$BM302+$BS302+$BY302+$CE302+$CK302=1,0,IF(OR($BB302&gt;=90,$CI302&gt;=Control!$C$91),$BA302,$CM301))</f>
        <v>#N/A</v>
      </c>
      <c r="CN302" s="140" t="e">
        <f t="shared" ca="1" si="1063"/>
        <v>#N/A</v>
      </c>
      <c r="CO302" s="140" t="e">
        <f t="shared" ca="1" si="1064"/>
        <v>#N/A</v>
      </c>
      <c r="CP302" s="140" t="e">
        <f t="shared" ca="1" si="1065"/>
        <v>#N/A</v>
      </c>
      <c r="CQ302" s="141" t="e">
        <f ca="1">VLOOKUP($CP302,Control!$B$86:$G$91,6)</f>
        <v>#N/A</v>
      </c>
      <c r="CR302" s="141" t="e">
        <f ca="1">(1-$CQ302)*VLOOKUP($CP302,Control!$B$86:$D$91,3)</f>
        <v>#N/A</v>
      </c>
      <c r="CS302" s="141" t="e">
        <f ca="1">(1-$CQ302)*VLOOKUP($CP302,Control!$B$86:$E$91,4)</f>
        <v>#N/A</v>
      </c>
      <c r="CT302" s="141" t="e">
        <f ca="1">(1-$CQ302)*VLOOKUP($CP302,Control!$B$86:$F$91,5)</f>
        <v>#N/A</v>
      </c>
      <c r="CU302" s="141">
        <f t="shared" ca="1" si="1066"/>
        <v>0</v>
      </c>
      <c r="CV302" s="583">
        <f t="shared" ca="1" si="1067"/>
        <v>0</v>
      </c>
      <c r="CW302" s="142">
        <f t="shared" ca="1" si="1068"/>
        <v>298</v>
      </c>
      <c r="CX302" s="612" t="e">
        <f ca="1">IF(Control!$C$114=1,(MIN(Control!$C$120*(IF($NT302-0.01&lt;0,0,1)),Control!$C$119-$CY302)))</f>
        <v>#DIV/0!</v>
      </c>
      <c r="CY302" s="143" t="e">
        <f t="shared" ca="1" si="1069"/>
        <v>#N/A</v>
      </c>
      <c r="CZ302" s="144">
        <f t="shared" ca="1" si="946"/>
        <v>0</v>
      </c>
      <c r="DA302" s="144">
        <f t="shared" ca="1" si="947"/>
        <v>0</v>
      </c>
      <c r="DB302" s="144" t="e">
        <f t="shared" ca="1" si="948"/>
        <v>#N/A</v>
      </c>
      <c r="DC302" s="144" t="e">
        <f t="shared" ca="1" si="949"/>
        <v>#N/A</v>
      </c>
      <c r="DD302" s="144" t="e">
        <f t="shared" ca="1" si="1154"/>
        <v>#N/A</v>
      </c>
      <c r="DE302" s="143" t="e">
        <f t="shared" ca="1" si="1070"/>
        <v>#N/A</v>
      </c>
      <c r="DF302" s="145" t="e">
        <f ca="1">$DR302*EXP(-Control!$C$158*(1-$KH302))</f>
        <v>#N/A</v>
      </c>
      <c r="DG302" s="146" t="e">
        <f ca="1">IF(Control!$C$114=1, $DF302*$EY302, 0)</f>
        <v>#N/A</v>
      </c>
      <c r="DH302" s="147" t="e">
        <f t="shared" ca="1" si="1071"/>
        <v>#N/A</v>
      </c>
      <c r="DI302" s="144" t="e">
        <f t="shared" ca="1" si="1132"/>
        <v>#N/A</v>
      </c>
      <c r="DJ302" s="147" t="e">
        <f ca="1">$EF302*Control!$C$109</f>
        <v>#N/A</v>
      </c>
      <c r="DK302" s="144" t="e">
        <f t="shared" ca="1" si="1072"/>
        <v>#N/A</v>
      </c>
      <c r="DL302" s="144" t="e">
        <f t="shared" ca="1" si="950"/>
        <v>#N/A</v>
      </c>
      <c r="DM302" s="144" t="e">
        <f ca="1">IF(Control!$C$114=1, (1-EXP(-Control!$C$96*$DK302))*$AR302, 0)</f>
        <v>#N/A</v>
      </c>
      <c r="DN302" s="144">
        <f t="shared" ca="1" si="1073"/>
        <v>0</v>
      </c>
      <c r="DO302" s="148">
        <f>Control!$C$97</f>
        <v>4</v>
      </c>
      <c r="DP302" s="145" t="e">
        <f t="shared" ca="1" si="1074"/>
        <v>#N/A</v>
      </c>
      <c r="DQ302" s="145" t="e">
        <f ca="1">IF(AND($CP302&gt;=0,$CP302&lt;=90),Control!$C$111,Control!$C$111)</f>
        <v>#N/A</v>
      </c>
      <c r="DR302" s="145" t="e">
        <f t="shared" ca="1" si="951"/>
        <v>#N/A</v>
      </c>
      <c r="DS302" s="143" t="e">
        <f ca="1">Control!$B$22/$DR302</f>
        <v>#N/A</v>
      </c>
      <c r="DT302" s="149" t="e">
        <f ca="1">IF(AND(Control!$C$114=1,$KH302&lt;1),$IM302*$DF302, 0)</f>
        <v>#N/A</v>
      </c>
      <c r="DU302" s="144" t="e">
        <f t="shared" ca="1" si="1075"/>
        <v>#N/A</v>
      </c>
      <c r="DV302" s="144">
        <f ca="1">IF($G302-Control!$C$107&lt;=0, 0, 0.83*LN(MAX($G302, 3))-0.8924)</f>
        <v>0</v>
      </c>
      <c r="DW302" s="144" t="e">
        <f t="shared" ca="1" si="952"/>
        <v>#N/A</v>
      </c>
      <c r="DX302" s="150" t="e">
        <f ca="1">MAX(0.01*(1+$CU302/Control!$C$102),0.05*($DK302-Control!$C$97)/Control!$C$97)</f>
        <v>#N/A</v>
      </c>
      <c r="DY302" s="151" t="e">
        <f ca="1">IF(Control!$C$114=1, $DI302*$FS302, 0)</f>
        <v>#N/A</v>
      </c>
      <c r="DZ302" s="196" t="e">
        <f t="shared" ca="1" si="1076"/>
        <v>#N/A</v>
      </c>
      <c r="EA302" s="152">
        <f t="shared" ca="1" si="1077"/>
        <v>298</v>
      </c>
      <c r="EB302" s="153" t="e">
        <f t="shared" ca="1" si="1078"/>
        <v>#N/A</v>
      </c>
      <c r="EC302" s="153" t="e">
        <f t="shared" ca="1" si="1079"/>
        <v>#N/A</v>
      </c>
      <c r="ED302" s="154" t="e">
        <f ca="1">IF(Control!$C$114=1, $HM302*$FY302-$FD302, 0)</f>
        <v>#DIV/0!</v>
      </c>
      <c r="EE302" s="155" t="e">
        <f ca="1">IF(Control!$C$114=1, $HM302*$FZ302-$FF302, 0)</f>
        <v>#DIV/0!</v>
      </c>
      <c r="EF302" s="153" t="e">
        <f t="shared" ca="1" si="1133"/>
        <v>#N/A</v>
      </c>
      <c r="EG302" s="155" t="e">
        <f ca="1">IF(Control!$C$114=1, $GX302*$FW302-$FI302, 0)</f>
        <v>#DIV/0!</v>
      </c>
      <c r="EH302" s="153" t="e">
        <f t="shared" ca="1" si="1080"/>
        <v>#N/A</v>
      </c>
      <c r="EI302" s="156" t="e">
        <f t="shared" ca="1" si="1081"/>
        <v>#N/A</v>
      </c>
      <c r="EJ302" s="155" t="e">
        <f ca="1">IF(Control!$C$114=1, $HM302*$GB302, 0)</f>
        <v>#DIV/0!</v>
      </c>
      <c r="EK302" s="153" t="e">
        <f t="shared" ca="1" si="1134"/>
        <v>#N/A</v>
      </c>
      <c r="EL302" s="153" t="e">
        <f t="shared" ca="1" si="953"/>
        <v>#N/A</v>
      </c>
      <c r="EM302" s="153" t="e">
        <f t="shared" ca="1" si="954"/>
        <v>#N/A</v>
      </c>
      <c r="EN302" s="153" t="e">
        <f ca="1">IF(Control!$C$108=1,IF(AND(Control!$B$18=1,$EB302&gt;=Control!$B$19),$EB302-$DS302,IF(AND(Control!$B$18=2,$AW302=1,$EB302&gt;$DS302),$EB302-$DS302,0)))</f>
        <v>#N/A</v>
      </c>
      <c r="EO302" s="153" t="e">
        <f ca="1">IF(Control!$C$108=1,IF(AND(Control!$B$18=1,$EB302&gt;=Control!$B$19),$EF302,IF(AND(Control!$B$18=2,$AW302=1),$EF302,0)))</f>
        <v>#N/A</v>
      </c>
      <c r="EP302" s="153" t="e">
        <f ca="1">IF(Control!$C$108=1,IF(AND(Control!$B$18=1,$EB302&gt;=Control!$B$19),$EK302,IF(AND(Control!$B$18=2,$AW302=1),$EK302,0)))</f>
        <v>#N/A</v>
      </c>
      <c r="EQ302" s="153" t="e">
        <f t="shared" ca="1" si="1082"/>
        <v>#N/A</v>
      </c>
      <c r="ER302" s="153" t="e">
        <f t="shared" ca="1" si="1083"/>
        <v>#N/A</v>
      </c>
      <c r="ES302" s="153" t="e">
        <f t="shared" ca="1" si="1135"/>
        <v>#N/A</v>
      </c>
      <c r="ET302" s="153" t="e">
        <f t="shared" ca="1" si="1136"/>
        <v>#N/A</v>
      </c>
      <c r="EU302" s="153" t="e">
        <f t="shared" ca="1" si="1084"/>
        <v>#N/A</v>
      </c>
      <c r="EV302" s="153" t="e">
        <f t="shared" ca="1" si="955"/>
        <v>#N/A</v>
      </c>
      <c r="EW302" s="153" t="e">
        <f t="shared" ca="1" si="956"/>
        <v>#N/A</v>
      </c>
      <c r="EX302" s="153" t="e">
        <f t="shared" ca="1" si="957"/>
        <v>#N/A</v>
      </c>
      <c r="EY302" s="157" t="e">
        <f t="shared" ca="1" si="958"/>
        <v>#DIV/0!</v>
      </c>
      <c r="EZ302" s="154" t="e">
        <f t="shared" ca="1" si="959"/>
        <v>#DIV/0!</v>
      </c>
      <c r="FA302" s="153" t="e">
        <f t="shared" ca="1" si="1085"/>
        <v>#N/A</v>
      </c>
      <c r="FB302" s="153" t="e">
        <f t="shared" ca="1" si="960"/>
        <v>#N/A</v>
      </c>
      <c r="FC302" s="193" t="e">
        <f t="shared" ca="1" si="961"/>
        <v>#N/A</v>
      </c>
      <c r="FD302" s="158" t="e">
        <f t="shared" ca="1" si="1086"/>
        <v>#N/A</v>
      </c>
      <c r="FE302" s="158" t="e">
        <f t="shared" ca="1" si="1087"/>
        <v>#N/A</v>
      </c>
      <c r="FF302" s="159" t="e">
        <f t="shared" ca="1" si="962"/>
        <v>#N/A</v>
      </c>
      <c r="FG302" s="160" t="e">
        <f t="shared" ca="1" si="1088"/>
        <v>#N/A</v>
      </c>
      <c r="FH302" s="158" t="e">
        <f t="shared" ca="1" si="1089"/>
        <v>#N/A</v>
      </c>
      <c r="FI302" s="159" t="e">
        <f t="shared" ca="1" si="963"/>
        <v>#N/A</v>
      </c>
      <c r="FJ302" s="160" t="e">
        <f t="shared" ca="1" si="1090"/>
        <v>#N/A</v>
      </c>
      <c r="FK302" s="160" t="e">
        <f t="shared" ca="1" si="964"/>
        <v>#N/A</v>
      </c>
      <c r="FL302" s="160" t="e">
        <f t="shared" ca="1" si="1137"/>
        <v>#N/A</v>
      </c>
      <c r="FM302" s="160" t="e">
        <f t="shared" ca="1" si="965"/>
        <v>#N/A</v>
      </c>
      <c r="FN302" s="158">
        <f t="shared" ca="1" si="1091"/>
        <v>0.01</v>
      </c>
      <c r="FO302" s="160">
        <f>Control!$C$101</f>
        <v>50</v>
      </c>
      <c r="FP302" s="150" t="e">
        <f t="shared" ca="1" si="966"/>
        <v>#N/A</v>
      </c>
      <c r="FQ302" s="150" t="e">
        <f ca="1">MAX(0,(Control!$C$112*(($DK302-Control!$C$97)/Control!$C$97)))</f>
        <v>#N/A</v>
      </c>
      <c r="FR302" s="150" t="e">
        <f ca="1">(1-$NT302)*Control!$C$113</f>
        <v>#DIV/0!</v>
      </c>
      <c r="FS302" s="198" t="e">
        <f t="shared" ca="1" si="967"/>
        <v>#N/A</v>
      </c>
      <c r="FT302" s="161">
        <f t="shared" ca="1" si="1092"/>
        <v>298</v>
      </c>
      <c r="FU302" s="162" t="e">
        <f ca="1">IF(Control!$B$34=1,VLOOKUP($CP302,Control!$B$86:$G$91,6),Control!$B$35)</f>
        <v>#N/A</v>
      </c>
      <c r="FV302" s="162" t="e">
        <f t="shared" ca="1" si="968"/>
        <v>#DIV/0!</v>
      </c>
      <c r="FW302" s="162" t="e">
        <f ca="1">IF(Control!$B$31=1,$FU302*$FV302,  $FU302)</f>
        <v>#N/A</v>
      </c>
      <c r="FX302" s="162" t="e">
        <f ca="1">IF(Control!$B$34=1,VLOOKUP($CP302,Control!$B$86:$G$91,3),Control!$B$36)</f>
        <v>#N/A</v>
      </c>
      <c r="FY302" s="162" t="e">
        <f t="shared" ca="1" si="969"/>
        <v>#N/A</v>
      </c>
      <c r="FZ302" s="162" t="e">
        <f ca="1">IF(Control!$B$34=1,VLOOKUP($CP302,Control!$B$86:$G$91,4),Control!$B$37)</f>
        <v>#N/A</v>
      </c>
      <c r="GA302" s="162" t="e">
        <f t="shared" ca="1" si="970"/>
        <v>#N/A</v>
      </c>
      <c r="GB302" s="162" t="e">
        <f ca="1">IF(Control!$B$34=1,VLOOKUP($CP302,Control!$B$86:$G$91,5),Control!$B$38)</f>
        <v>#N/A</v>
      </c>
      <c r="GC302" s="162" t="e">
        <f t="shared" ca="1" si="1093"/>
        <v>#N/A</v>
      </c>
      <c r="GD302" s="162">
        <f t="shared" ca="1" si="971"/>
        <v>1</v>
      </c>
      <c r="GE302" s="162">
        <f t="shared" ca="1" si="972"/>
        <v>1</v>
      </c>
      <c r="GF302" s="162">
        <f ca="1">IF(AND(Control!$C$104=1, Control!$C$62="F"),$GE302,1)</f>
        <v>1</v>
      </c>
      <c r="GG302" s="162" t="e">
        <f ca="1">IF(Control!$B$16=40,0,IF(AND(Control!$B$16&gt;40,Control!$B$16&lt;=360),(Control!$B$16-40)*((1-0)/(360-40)),IF(AND(Control!$B$16&gt;360,Control!$B$16&lt;=720),(1+(Control!$B$16-360)*((1.25-1)/(720-360))),IF(AND(Control!$B$16&gt;720,Control!$B$16&lt;=1000),(1.25+(Control!$B$16-720)*((1.35-1.25)/(1000-720))),IF(AND(Control!$B$16&gt;1000,Control!$B$16&lt;=2000),(1.35+(Control!$B$16-1000)*0))))))</f>
        <v>#N/A</v>
      </c>
      <c r="GH302" s="162" t="e">
        <f t="shared" ca="1" si="973"/>
        <v>#N/A</v>
      </c>
      <c r="GI302" s="162">
        <f t="shared" ca="1" si="1094"/>
        <v>0</v>
      </c>
      <c r="GJ302" s="162">
        <f t="shared" ca="1" si="974"/>
        <v>0</v>
      </c>
      <c r="GK302" s="162">
        <f t="shared" ca="1" si="1095"/>
        <v>1</v>
      </c>
      <c r="GL302" s="162">
        <f t="shared" ca="1" si="975"/>
        <v>1</v>
      </c>
      <c r="GM302" s="162" t="e">
        <f ca="1">MAX(0,MIN(1,1-Control!$C$156*(1.0001-$KH302)^2))</f>
        <v>#N/A</v>
      </c>
      <c r="GN302" s="162" t="e">
        <f ca="1">IF(Control!$B$26=1,$KU302,$KX302)</f>
        <v>#N/A</v>
      </c>
      <c r="GO302" s="162" t="e">
        <f ca="1">IF($CP302&lt;=60,Control!$C$105,IF($CP302&gt;=90,Control!$C$106,Control!$C$105+($CP302-60)*((Control!$C$106-Control!$C$105)/(90-60))))</f>
        <v>#N/A</v>
      </c>
      <c r="GP302" s="162" t="e">
        <f t="shared" ca="1" si="976"/>
        <v>#N/A</v>
      </c>
      <c r="GQ302" s="162" t="e">
        <f t="shared" ca="1" si="1096"/>
        <v>#N/A</v>
      </c>
      <c r="GR302" s="163" t="e">
        <f t="shared" ca="1" si="977"/>
        <v>#DIV/0!</v>
      </c>
      <c r="GS302" s="162" t="e">
        <f t="shared" ca="1" si="978"/>
        <v>#DIV/0!</v>
      </c>
      <c r="GT302" s="164" t="e">
        <f t="shared" ca="1" si="1097"/>
        <v>#N/A</v>
      </c>
      <c r="GU302" s="162" t="e">
        <f t="shared" ca="1" si="1098"/>
        <v>#N/A</v>
      </c>
      <c r="GV302" s="162" t="e">
        <f t="shared" ca="1" si="979"/>
        <v>#N/A</v>
      </c>
      <c r="GW302" s="162" t="e">
        <f t="shared" ca="1" si="980"/>
        <v>#DIV/0!</v>
      </c>
      <c r="GX302" s="162" t="e">
        <f t="shared" ca="1" si="1099"/>
        <v>#DIV/0!</v>
      </c>
      <c r="GY302" s="162" t="e">
        <f t="shared" ca="1" si="1100"/>
        <v>#DIV/0!</v>
      </c>
      <c r="GZ302" s="165" t="e">
        <f t="shared" ca="1" si="981"/>
        <v>#N/A</v>
      </c>
      <c r="HA302" s="162" t="e">
        <f ca="1">IF(Control!$C$114=1, $DI302*$FS302, 0)</f>
        <v>#N/A</v>
      </c>
      <c r="HB302" s="162" t="e">
        <f ca="1">$FA302/Control!$C$64</f>
        <v>#N/A</v>
      </c>
      <c r="HC302" s="162" t="e">
        <f t="shared" ca="1" si="982"/>
        <v>#DIV/0!</v>
      </c>
      <c r="HD302" s="162">
        <f ca="1">-ASIN(SIN(23.45*Control!$C$139)*COS(2*Control!$C$138*($AH302+10)/365))</f>
        <v>-0.22311755026055161</v>
      </c>
      <c r="HE302" s="165">
        <f t="shared" ca="1" si="1101"/>
        <v>0</v>
      </c>
      <c r="HF302" s="166">
        <f ca="1">IF(AND(Control!$C$61="T",$HE302&gt;=Control!$C$103,Control!$C$114=0),$AH302,Control!$C$59)</f>
        <v>1</v>
      </c>
      <c r="HG302" s="166">
        <f ca="1">IF(AND(Control!$C$61="T",$HE302&gt;=Control!$C$103,Control!$C$114=0),$HF302,Control!$C$59)</f>
        <v>1</v>
      </c>
      <c r="HH302" s="165">
        <f ca="1">IF(AND(OR(Control!$C$60&lt;=0, $AH302= Control!$C$59, Control!$C$60 &gt;0, $AH302 = Control!$C$60)), Control!$C$59, IF(Control!$C$60&gt;0, 0))</f>
        <v>1</v>
      </c>
      <c r="HI302" s="165">
        <f ca="1">IF(AND(OR(Control!$C$60&lt;=0, $AH302= Control!$C$59, Control!$C$60 &gt;0, $AH302 = Control!$C$60)), Control!$C$60, IF(Control!$C$60&lt;=0, 0))</f>
        <v>0</v>
      </c>
      <c r="HJ302" s="166">
        <f ca="1">IF(AND(Control!$C$62="F",$CV302&gt;=Control!$C$102),$AH302,0)</f>
        <v>0</v>
      </c>
      <c r="HK302" s="165" t="e">
        <f t="shared" ca="1" si="1138"/>
        <v>#N/A</v>
      </c>
      <c r="HL302" s="166">
        <f ca="1">IF(AND(Control!$C$61="T",$HE302&gt;=Control!$C$103,Control!$C$114=0),$HF302,0)</f>
        <v>0</v>
      </c>
      <c r="HM302" s="201" t="e">
        <f t="shared" ca="1" si="983"/>
        <v>#DIV/0!</v>
      </c>
      <c r="HN302" s="215">
        <f t="shared" ca="1" si="1102"/>
        <v>298</v>
      </c>
      <c r="HO302" s="216" t="e">
        <f ca="1">IF(AND($CP302&gt;=0, $CP302&lt;=90), Control!$C$152, Control!$C$152)</f>
        <v>#N/A</v>
      </c>
      <c r="HP302" s="216" t="e">
        <f t="shared" ca="1" si="984"/>
        <v>#N/A</v>
      </c>
      <c r="HQ302" s="217" t="e">
        <f ca="1">IF(OR(Control!$B$26=1,Control!$B$26=2),$KV302,$KS302)</f>
        <v>#DIV/0!</v>
      </c>
      <c r="HR302" s="218" t="e">
        <f t="shared" ca="1" si="1139"/>
        <v>#DIV/0!</v>
      </c>
      <c r="HS302" s="216" t="e">
        <f ca="1">Control!$C$154*$HP302</f>
        <v>#N/A</v>
      </c>
      <c r="HT302" s="216" t="e">
        <f ca="1">Control!$C$155*$HP302</f>
        <v>#N/A</v>
      </c>
      <c r="HU302" s="217" t="e">
        <f ca="1">Control!$C$161*$FI302</f>
        <v>#N/A</v>
      </c>
      <c r="HV302" s="218" t="e">
        <f t="shared" ca="1" si="1103"/>
        <v>#N/A</v>
      </c>
      <c r="HW302" s="218" t="e">
        <f ca="1">Control!$C$160*$FF302+$IP302*$EO302</f>
        <v>#N/A</v>
      </c>
      <c r="HX302" s="218" t="e">
        <f t="shared" ca="1" si="1140"/>
        <v>#N/A</v>
      </c>
      <c r="HY302" s="219" t="e">
        <f ca="1">IF(Control!$C$114=1, $EB302*$FS302, 0)</f>
        <v>#N/A</v>
      </c>
      <c r="HZ302" s="91" t="e">
        <f t="shared" ca="1" si="985"/>
        <v>#N/A</v>
      </c>
      <c r="IA302" s="220" t="e">
        <f ca="1">Control!$C$153*$HO302</f>
        <v>#N/A</v>
      </c>
      <c r="IB302" s="218" t="e">
        <f t="shared" ca="1" si="986"/>
        <v>#N/A</v>
      </c>
      <c r="IC302" s="220" t="e">
        <f ca="1">Control!$C$153*$HT302</f>
        <v>#N/A</v>
      </c>
      <c r="ID302" s="218" t="e">
        <f t="shared" ca="1" si="987"/>
        <v>#N/A</v>
      </c>
      <c r="IE302" s="221" t="e">
        <f ca="1">($EB302*Control!$C$159+$EF302*Control!$C$160)/(IF($GZ302&lt;&gt;0,$GZ302,1))</f>
        <v>#N/A</v>
      </c>
      <c r="IF302" s="216" t="e">
        <f t="shared" ca="1" si="988"/>
        <v>#N/A</v>
      </c>
      <c r="IG302" s="91">
        <f ca="1">IF(OR(Control!$B$198=$AH302,Control!$B$199=$AH302, Control!$B$200=$AH302, Control!$B$201=$AH302, Control!$B$202=$AH302, Control!$B$203=$AH302, Control!$B$204=$AH302, Control!$B$205=$AH302, Control!$B$206=$AH302, Control!$B$207=$AH302), 1, 0)</f>
        <v>0</v>
      </c>
      <c r="IH302" s="91">
        <f ca="1">IF($IG302=0,0, VLOOKUP($AH302,Control!$B$198:$C$207,2))</f>
        <v>0</v>
      </c>
      <c r="II302" s="222">
        <f t="shared" ca="1" si="1104"/>
        <v>0</v>
      </c>
      <c r="IJ302" s="91">
        <f>Control!$C$121</f>
        <v>0.7</v>
      </c>
      <c r="IK302" s="218">
        <f t="shared" ca="1" si="989"/>
        <v>0</v>
      </c>
      <c r="IL302" s="217" t="e">
        <f t="shared" ca="1" si="1141"/>
        <v>#N/A</v>
      </c>
      <c r="IM302" s="223" t="e">
        <f ca="1">IF(AND(Control!$C$114=1,$KH302&lt;1),$EB302*Control!$C$148*(1-$KH302), 0)</f>
        <v>#N/A</v>
      </c>
      <c r="IN302" s="217" t="e">
        <f t="shared" ca="1" si="990"/>
        <v>#DIV/0!</v>
      </c>
      <c r="IO302" s="91" t="e">
        <f ca="1">MAX(0,$IL302-$EF302*Control!$C$160)</f>
        <v>#N/A</v>
      </c>
      <c r="IP302" s="220" t="e">
        <f t="shared" ca="1" si="991"/>
        <v>#N/A</v>
      </c>
      <c r="IQ302" s="217" t="e">
        <f t="shared" ca="1" si="1105"/>
        <v>#N/A</v>
      </c>
      <c r="IR302" s="218" t="e">
        <f t="shared" ca="1" si="992"/>
        <v>#N/A</v>
      </c>
      <c r="IS302" s="217" t="e">
        <f ca="1">Control!$C$159*MAX(0,$FD302-$EN302)</f>
        <v>#N/A</v>
      </c>
      <c r="IT302" s="217" t="e">
        <f t="shared" ca="1" si="1142"/>
        <v>#N/A</v>
      </c>
      <c r="IU302" s="217" t="e">
        <f t="shared" ca="1" si="1106"/>
        <v>#N/A</v>
      </c>
      <c r="IV302" s="217" t="e">
        <f t="shared" ca="1" si="1143"/>
        <v>#N/A</v>
      </c>
      <c r="IW302" s="217" t="e">
        <f ca="1">IF(OR($AW302=1,AND($AW302=0, Control!$B$18=1,$EN302&lt;&gt;0)), $IQ302-$IU302, $IQ302)</f>
        <v>#N/A</v>
      </c>
      <c r="IX302" s="218" t="e">
        <f t="shared" ca="1" si="993"/>
        <v>#N/A</v>
      </c>
      <c r="IY302" s="218" t="e">
        <f ca="1">MAX(0,$IQ302-$EB302*Control!$C$159)</f>
        <v>#N/A</v>
      </c>
      <c r="IZ302" s="218" t="e">
        <f t="shared" ca="1" si="994"/>
        <v>#N/A</v>
      </c>
      <c r="JA302" s="216" t="e">
        <f t="shared" ca="1" si="995"/>
        <v>#N/A</v>
      </c>
      <c r="JB302" s="217" t="e">
        <f t="shared" ca="1" si="996"/>
        <v>#N/A</v>
      </c>
      <c r="JC302" s="222" t="e">
        <f ca="1">MAX(Control!$C$157*$EK302-$JT302, 0)/Control!$C$162</f>
        <v>#N/A</v>
      </c>
      <c r="JD302" s="218" t="e">
        <f t="shared" ca="1" si="997"/>
        <v>#N/A</v>
      </c>
      <c r="JE302" s="218" t="e">
        <f t="shared" ca="1" si="998"/>
        <v>#N/A</v>
      </c>
      <c r="JF302" s="218" t="e">
        <f t="shared" ca="1" si="1107"/>
        <v>#N/A</v>
      </c>
      <c r="JG302" s="218" t="e">
        <f t="shared" ca="1" si="999"/>
        <v>#N/A</v>
      </c>
      <c r="JH302" s="217" t="e">
        <f t="shared" ca="1" si="1108"/>
        <v>#N/A</v>
      </c>
      <c r="JI302" s="217" t="e">
        <f t="shared" ca="1" si="1109"/>
        <v>#N/A</v>
      </c>
      <c r="JJ302" s="217" t="e">
        <f t="shared" ca="1" si="1144"/>
        <v>#N/A</v>
      </c>
      <c r="JK302" s="217" t="e">
        <f ca="1">IF(Control!$C$114=1,IF(Control!$B$24=0,MAX(0,$JI302)*$GN302/Control!$C$64,(MAX(0,MIN($JI302,$JJ302*$GN302/Control!$C$64),0))))</f>
        <v>#N/A</v>
      </c>
      <c r="JL302" s="217" t="e">
        <f ca="1">$IK302/Control!$C$64-$JK302+$HQ302</f>
        <v>#N/A</v>
      </c>
      <c r="JM302" s="217" t="e">
        <f ca="1">IF(Control!$C$114=1,($JB302/(IF($JI302&lt;&gt;0,$JI302,1)))*$JK302,0)</f>
        <v>#N/A</v>
      </c>
      <c r="JN302" s="217" t="e">
        <f ca="1">IF(Control!$C$114=1,($JG302/(IF($JI302&lt;&gt;0,$JI302,1)))*$JK302, 0)</f>
        <v>#N/A</v>
      </c>
      <c r="JO302" s="218" t="e">
        <f t="shared" ca="1" si="1000"/>
        <v>#N/A</v>
      </c>
      <c r="JP302" s="218" t="e">
        <f ca="1">MIN(($IY302+$IO302)*Control!$C$151, $JF302-$EH302*Control!$C$161)</f>
        <v>#N/A</v>
      </c>
      <c r="JQ302" s="218" t="e">
        <f t="shared" ca="1" si="1001"/>
        <v>#N/A</v>
      </c>
      <c r="JR302" s="217" t="e">
        <f ca="1">IF($CP302-Control!$C$150&lt;0, 0, $JQ302/Control!$C$162)</f>
        <v>#N/A</v>
      </c>
      <c r="JS302" s="218" t="e">
        <f t="shared" ca="1" si="1002"/>
        <v>#N/A</v>
      </c>
      <c r="JT302" s="218" t="e">
        <f t="shared" ca="1" si="1110"/>
        <v>#N/A</v>
      </c>
      <c r="JU302" s="218" t="e">
        <f t="shared" ca="1" si="1003"/>
        <v>#N/A</v>
      </c>
      <c r="JV302" s="218" t="e">
        <f t="shared" ca="1" si="1004"/>
        <v>#N/A</v>
      </c>
      <c r="JW302" s="216" t="e">
        <f t="shared" ca="1" si="1005"/>
        <v>#N/A</v>
      </c>
      <c r="JX302" s="91" t="e">
        <f t="shared" ca="1" si="1006"/>
        <v>#N/A</v>
      </c>
      <c r="JY302" s="218" t="e">
        <f t="shared" ca="1" si="1007"/>
        <v>#N/A</v>
      </c>
      <c r="JZ302" s="217" t="e">
        <f ca="1">IF(Control!$C$114=1,($IZ302/(IF($JI302&lt;&gt;0,$JI302,1)))*$JK302, 0)</f>
        <v>#N/A</v>
      </c>
      <c r="KA302" s="218" t="e">
        <f t="shared" ca="1" si="1145"/>
        <v>#N/A</v>
      </c>
      <c r="KB302" s="218" t="e">
        <f t="shared" ca="1" si="1111"/>
        <v>#N/A</v>
      </c>
      <c r="KC302" s="218" t="e">
        <f t="shared" ca="1" si="1008"/>
        <v>#N/A</v>
      </c>
      <c r="KD302" s="218" t="e">
        <f t="shared" ca="1" si="1009"/>
        <v>#N/A</v>
      </c>
      <c r="KE302" s="218" t="e">
        <f t="shared" ca="1" si="1010"/>
        <v>#N/A</v>
      </c>
      <c r="KF302" s="218" t="e">
        <f t="shared" ca="1" si="1011"/>
        <v>#N/A</v>
      </c>
      <c r="KG302" s="216" t="e">
        <f t="shared" ca="1" si="1012"/>
        <v>#N/A</v>
      </c>
      <c r="KH302" s="221" t="e">
        <f ca="1">IF(Control!$B$24=0,1,MAX(0.001,MIN(1,IF(($IF302-$IE302)&lt;&gt;0,($KG302-$IE302)/($IF302-$IE302),1))))</f>
        <v>#N/A</v>
      </c>
      <c r="KI302" s="222" t="e">
        <f ca="1">IF(Control!$C$114=1, $KI301+ $KH301, 0)</f>
        <v>#N/A</v>
      </c>
      <c r="KJ302" s="217" t="e">
        <f t="shared" ca="1" si="1013"/>
        <v>#N/A</v>
      </c>
      <c r="KK302" s="218" t="e">
        <f t="shared" ca="1" si="1014"/>
        <v>#N/A</v>
      </c>
      <c r="KL302" s="274" t="e">
        <f ca="1">IF(Control!$B$26=3,4000000000*EXP(-8400/($G302+273)),IF(Control!$B$26=4,4000000000*EXP(-8400/($G302+273))*($KT302),0))</f>
        <v>#DIV/0!</v>
      </c>
      <c r="KM302" s="274" t="e">
        <f ca="1">IF(Control!$B$26=3,5600000000000*EXP(-9800/($G302+273)),IF(Control!$B$26=4,5600000000000*EXP(-9800/($G302+273))*$KT302,0))</f>
        <v>#DIV/0!</v>
      </c>
      <c r="KN302" s="454" t="e">
        <f t="shared" ca="1" si="1112"/>
        <v>#DIV/0!</v>
      </c>
      <c r="KO302" s="274" t="e">
        <f t="shared" ca="1" si="1113"/>
        <v>#DIV/0!</v>
      </c>
      <c r="KP302" s="454" t="e">
        <f t="shared" ca="1" si="1015"/>
        <v>#DIV/0!</v>
      </c>
      <c r="KQ302" s="454" t="e">
        <f t="shared" ca="1" si="1016"/>
        <v>#DIV/0!</v>
      </c>
      <c r="KR302" s="454" t="e">
        <f t="shared" ca="1" si="1017"/>
        <v>#DIV/0!</v>
      </c>
      <c r="KS302" s="454" t="e">
        <f t="shared" ca="1" si="1018"/>
        <v>#DIV/0!</v>
      </c>
      <c r="KT302" s="455" t="e">
        <f t="shared" ca="1" si="1019"/>
        <v>#DIV/0!</v>
      </c>
      <c r="KU302" s="456" t="e">
        <f ca="1">IF($CP302-Control!$C$149&lt;0, IF($NT302-0.01&lt;0,0,1),0)</f>
        <v>#N/A</v>
      </c>
      <c r="KV302" s="456" t="e">
        <f ca="1">IF(Control!$C$114=1,MAX(0,MIN(Control!$C$125*$KW302*$GN302,$KW302)))</f>
        <v>#DIV/0!</v>
      </c>
      <c r="KW302" s="456" t="e">
        <f t="shared" ca="1" si="1146"/>
        <v>#DIV/0!</v>
      </c>
      <c r="KX302" s="457" t="e">
        <f ca="1">IF($CP302-Control!$C$149&lt;0, IF($MR302-$OM302&lt;0,0,1),0)</f>
        <v>#N/A</v>
      </c>
      <c r="KY302" s="167">
        <f t="shared" ca="1" si="1114"/>
        <v>298</v>
      </c>
      <c r="KZ302" s="168">
        <f ca="1">1370*(1+0.033*COS(2*Control!$C$138*$AH302/365))</f>
        <v>1388.3297929362386</v>
      </c>
      <c r="LA302" s="169">
        <f t="shared" ca="1" si="1115"/>
        <v>1.0133790490358798</v>
      </c>
      <c r="LB302" s="169">
        <f t="shared" ca="1" si="1116"/>
        <v>-0.23034458519897447</v>
      </c>
      <c r="LC302" s="169">
        <f ca="1">ACOS(-TAN((2*Control!$B$8/360))*TAN(Calculations!$LB302))</f>
        <v>1.5010436020341003</v>
      </c>
      <c r="LD302" s="169">
        <f ca="1">((24*60)/PI())*0.082*$LA302*(($LC302*SIN(Control!$B$8*2*PI()/360))*SIN($LB302)+COS(Control!$B$8*2*PI()/360)*COS($LB302)*SIN($LC302))</f>
        <v>12.488795960389183</v>
      </c>
      <c r="LE302" s="170">
        <f t="shared" ca="1" si="1020"/>
        <v>13.414820924872437</v>
      </c>
      <c r="LF302" s="170">
        <f ca="1">SIN(Control!$C$139*Control!$B$8)*SIN($HD302)</f>
        <v>-0.17436419057355235</v>
      </c>
      <c r="LG302" s="170">
        <f ca="1">COS(Control!$C$139*Control!$B$8)*COS($HD302)</f>
        <v>0.6003990531830109</v>
      </c>
      <c r="LH302" s="170">
        <f ca="1">12*(1+2*ASIN(MAX(-1,MIN(1,$LF302/$LG302))/Control!$C$138))</f>
        <v>9.7782349160269639</v>
      </c>
      <c r="LI302" s="170">
        <f ca="1">12*(1+2*ASIN(MAX(-1,MIN(1,(-SIN(-4*Control!$C$139)+$LF302)/$LG302))/Control!$C$138))</f>
        <v>10.668300366657123</v>
      </c>
      <c r="LJ302" s="168">
        <f ca="1">3600*($LH302*$LF302+24*$LG302*SQRT(1-$LK302*$LK302)/Control!$C$138)</f>
        <v>9662.5607208938836</v>
      </c>
      <c r="LK302" s="170">
        <f t="shared" ca="1" si="1021"/>
        <v>-0.29041383334827386</v>
      </c>
      <c r="LL302" s="170">
        <f t="shared" ca="1" si="1022"/>
        <v>0</v>
      </c>
      <c r="LM302" s="171">
        <f ca="1">Control!$C$145*$AB302</f>
        <v>6.6660906138995932E-2</v>
      </c>
      <c r="LN302" s="170">
        <f t="shared" ca="1" si="1117"/>
        <v>0.54</v>
      </c>
      <c r="LO302" s="170">
        <f t="shared" ca="1" si="1023"/>
        <v>0</v>
      </c>
      <c r="LP302" s="170">
        <f ca="1">Control!$C$140*((($D302+273.16)^4+($E302+273.16)^4)/2)*(0.34-0.14*SQRT($Y302))*(1.35*$AQ302/(0.75*$LD302)-0.35)</f>
        <v>-3.2464704755046001</v>
      </c>
      <c r="LQ302" s="170">
        <f ca="1">Control!$C$140*($G302+273)^4*(0.56-0.079*SQRT($Y302*10))*(0.1+0.9*$LO302)</f>
        <v>1.5241745131704001</v>
      </c>
      <c r="LR302" s="170">
        <f ca="1">$AQ302*(1-Control!$C$142)-$LQ302</f>
        <v>-1.5241745131704001</v>
      </c>
      <c r="LS302" s="170">
        <f ca="1">$AQ302*(1-Control!$C$143)-$LQ302</f>
        <v>-1.5241745131704001</v>
      </c>
      <c r="LT302" s="170">
        <f ca="1">$AQ302*(1-Control!$C$144)-$LQ302</f>
        <v>-1.5241745131704001</v>
      </c>
      <c r="LU302" s="169">
        <f ca="1">(1-Control!$C$144)*AQ302-LP302</f>
        <v>3.2464704755046001</v>
      </c>
      <c r="LV302" s="172">
        <f t="shared" ca="1" si="1024"/>
        <v>0.79430000000000012</v>
      </c>
      <c r="LW302" s="170">
        <f t="shared" ca="1" si="1025"/>
        <v>1.5886000000000002</v>
      </c>
      <c r="LX302" s="170">
        <f ca="1">($AC302*($LR302/Control!$C$141)+$LM302*$LV302)/($AC302+$LM302)</f>
        <v>0.23530094218323697</v>
      </c>
      <c r="LY302" s="170">
        <f ca="1">($AC302*($LS302/Control!$C$141)+$LM302*$LV302)/($AC302+$LM302)</f>
        <v>0.23530094218323697</v>
      </c>
      <c r="LZ302" s="170">
        <f t="shared" ca="1" si="1026"/>
        <v>0.23530094218323697</v>
      </c>
      <c r="MA302" s="170">
        <f t="shared" ca="1" si="1027"/>
        <v>0.23530094218323697</v>
      </c>
      <c r="MB302" s="170" t="e">
        <f t="shared" ca="1" si="1028"/>
        <v>#N/A</v>
      </c>
      <c r="MC302" s="170">
        <f t="shared" ca="1" si="1118"/>
        <v>0.6018</v>
      </c>
      <c r="MD302" s="170">
        <f t="shared" ca="1" si="1029"/>
        <v>0.52989392535414004</v>
      </c>
      <c r="ME302" s="170">
        <f ca="1">($AC302*($LT302/Control!$C$141)+$LM302*$LW302)/($AC302+$LM302)</f>
        <v>0.71612369323045078</v>
      </c>
      <c r="MF302" s="170" t="e">
        <f ca="1">IF(Control!$B$16&gt;=1000,0.92,IF(AND(720&lt;=Control!$B$16,1000&gt;Control!$B$16),(0.95+(Control!$B$16-720)*((0.92-0.95)/(1000-720))),IF(AND(360&lt;=Control!$B$16,720&gt;Control!$B$16),(1+(Control!$B$16-360)*((0.95-1)/(720-360))),IF(AND(40&lt;=Control!$B$16,360&gt;Control!$B$16),(1.05+(Control!$B$16-40)*((1.05-1)/(360-40)))))))</f>
        <v>#N/A</v>
      </c>
      <c r="MG302" s="170">
        <f t="shared" ca="1" si="1030"/>
        <v>0.71612369323045078</v>
      </c>
      <c r="MH302" s="170" t="e">
        <f t="shared" ca="1" si="1156"/>
        <v>#N/A</v>
      </c>
      <c r="MI302" s="170" t="e">
        <f t="shared" ca="1" si="1156"/>
        <v>#N/A</v>
      </c>
      <c r="MJ302" s="170" t="e">
        <f ca="1">MAX(0.0001, Control!$C$132*$MI302*$DL302)</f>
        <v>#N/A</v>
      </c>
      <c r="MK302" s="170">
        <f ca="1">1/(0.76+1.5*($MG302/10))-(5-Control!$C$110)*0.1</f>
        <v>1.002845988140797</v>
      </c>
      <c r="ML302" s="173">
        <f ca="1">IF(Control!$C$110&lt;3,$MK302+($MG302-0.6)/(Control!$C$110*(Control!$C$110+3)), MAX(0.1, MIN(0.95,$MK302)))</f>
        <v>0.95</v>
      </c>
      <c r="MM302" s="173">
        <f ca="1">IF(Control!$C$110&lt;3,$MK302+(($MI302/10)-0.6)/(Control!$C$110*(Control!$C$110+3)), MAX(0.1, MIN(0.95,$MK302)))</f>
        <v>0.95</v>
      </c>
      <c r="MN302" s="173">
        <f ca="1">(1-$MM302)*(Control!$C$128-Control!$C$127)+Control!$C$127</f>
        <v>0.16</v>
      </c>
      <c r="MO302" s="170" t="e">
        <f ca="1">MAX(0,MIN(1,($MS302-Control!$C$127)/($MN302-Control!$C$127)))</f>
        <v>#DIV/0!</v>
      </c>
      <c r="MP302" s="173" t="e">
        <f ca="1">1/(0.76+1.5*$MI302)-(5-Control!$C$110)*0.1</f>
        <v>#N/A</v>
      </c>
      <c r="MQ302" s="172" t="e">
        <f t="shared" ca="1" si="1147"/>
        <v>#DIV/0!</v>
      </c>
      <c r="MR302" s="168" t="e">
        <f t="shared" ca="1" si="1119"/>
        <v>#DIV/0!</v>
      </c>
      <c r="MS302" s="173" t="e">
        <f ca="1">MAX(Control!$C$127, MIN(Control!$C$135, $MR302/MAX(0.0001,$CY302)))</f>
        <v>#DIV/0!</v>
      </c>
      <c r="MT302" s="168" t="e">
        <f ca="1">(Control!$C$128-$MS302)*Control!$C$74</f>
        <v>#DIV/0!</v>
      </c>
      <c r="MU302" s="168" t="e">
        <f ca="1">(Control!$C$135-$MS302)*Control!$C$74</f>
        <v>#DIV/0!</v>
      </c>
      <c r="MV302" s="168" t="e">
        <f t="shared" ca="1" si="1120"/>
        <v>#DIV/0!</v>
      </c>
      <c r="MW302" s="168" t="e">
        <f t="shared" ca="1" si="1121"/>
        <v>#DIV/0!</v>
      </c>
      <c r="MX302" s="171" t="e">
        <f ca="1">MAX(Control!$C$127, MIN(Control!$C$135, $MW302/MAX(0.0001,Control!$C$119-$CY302)))</f>
        <v>#DIV/0!</v>
      </c>
      <c r="MY302" s="54" t="e">
        <f ca="1">IF(Control!$C$114=1, $CX302*$MX302, 0)</f>
        <v>#DIV/0!</v>
      </c>
      <c r="MZ302" s="54" t="e">
        <f t="shared" ca="1" si="1122"/>
        <v>#N/A</v>
      </c>
      <c r="NA302" s="168" t="e">
        <f ca="1">(Control!$C$128-$MX302)*(Control!$C$119-Control!$C$74)</f>
        <v>#DIV/0!</v>
      </c>
      <c r="NB302" s="168" t="e">
        <f ca="1">(Control!$C$135-$MX302)*(Control!$C$119-Control!$C$74)</f>
        <v>#DIV/0!</v>
      </c>
      <c r="NC302" s="174" t="e">
        <f t="shared" ca="1" si="1123"/>
        <v>#DIV/0!</v>
      </c>
      <c r="ND302" s="54">
        <f ca="1">IF(Control!$C$58=2, IF(OR(Control!$B$218=$AH302,Control!$B$219=$AH302, Control!$B$220=$AH302, Control!$B$221=$AH302, Control!$B$222=$AH302, Control!$B$223=$AH302, Control!$B$224=$AH302, Control!$B$225=$AH302, Control!$B$226=$AH302, Control!$B$227=$AH302, Control!$B$228=$AH302), 1, 0), 0)</f>
        <v>0</v>
      </c>
      <c r="NE302" s="54">
        <f ca="1">IF($ND302=0,0, VLOOKUP($AH302,Control!$B$218:$C$228,2))</f>
        <v>0</v>
      </c>
      <c r="NF302" s="168" t="e">
        <f ca="1">$CY302*(Control!$C$128-Control!$C$127)</f>
        <v>#N/A</v>
      </c>
      <c r="NG302" s="54" t="e">
        <f ca="1">IF(Control!$C$58=2, $NI301-$NJ301, 0)</f>
        <v>#DIV/0!</v>
      </c>
      <c r="NH302" s="54" t="e">
        <f ca="1">IF(AND(Control!$C$58=1, $MS301&lt;= ($MN301+0.02), $I301&lt;10), 0, IF(Control!$C$58=2, $NG301, 0))</f>
        <v>#DIV/0!</v>
      </c>
      <c r="NI302" s="54" t="e">
        <f ca="1">IF(Control!$C$58=2, $NE302+$NH302,0)</f>
        <v>#DIV/0!</v>
      </c>
      <c r="NJ302" s="54" t="e">
        <f ca="1">IF(AND(Control!$C$58=1, $MS302&lt;= ($MN302+0.02), $I302&lt;10), MAX(0, MIN(10, 0.7*($NF302-$MV302))), IF(Control!$C$58=2, MIN(10,$NI302),0))</f>
        <v>#DIV/0!</v>
      </c>
      <c r="NK302" s="54" t="e">
        <f t="shared" ca="1" si="1031"/>
        <v>#DIV/0!</v>
      </c>
      <c r="NL302" s="173" t="e">
        <f ca="1">(1-Control!$C$73)*$I302+$NJ302</f>
        <v>#DIV/0!</v>
      </c>
      <c r="NM302" s="172" t="e">
        <f ca="1">IF($NL302&lt;0.5, $MB302* MAX(0, MIN(1, (SQRT($NC302)-SQRT($NC302-1))*Control!$C$71)),0)</f>
        <v>#DIV/0!</v>
      </c>
      <c r="NN302" s="170" t="e">
        <f ca="1">IF($NL302&gt;=5, $MB302, MAX(0,MIN($MB302, $NM302+$NL302,($MS302-Control!$C$129))))</f>
        <v>#DIV/0!</v>
      </c>
      <c r="NO302" s="54">
        <f>IF(Control!$C$133&lt;&gt;1, Control!$C$135-Control!$C$131, 0)</f>
        <v>0.38</v>
      </c>
      <c r="NP302" s="54" t="e">
        <f t="shared" ca="1" si="1032"/>
        <v>#DIV/0!</v>
      </c>
      <c r="NQ302" s="173" t="e">
        <f ca="1">MAX(0,MIN(1,(Control!$C$135-$MS302)/(Control!$C$135-$NO302)))</f>
        <v>#DIV/0!</v>
      </c>
      <c r="NR302" s="170" t="e">
        <f ca="1">IF(Control!$C$133&lt;&gt;1, $NQ302+((1-$NP302/4)*(1-$NQ302)),1)</f>
        <v>#DIV/0!</v>
      </c>
      <c r="NS302" s="170" t="e">
        <f ca="1">IF(Control!$B$31=0,$MJ302,MAX(0,MIN($MV302,$MO302*$NR302*$MJ302)))</f>
        <v>#DIV/0!</v>
      </c>
      <c r="NT302" s="170" t="e">
        <f t="shared" ca="1" si="1148"/>
        <v>#DIV/0!</v>
      </c>
      <c r="NU302" s="170" t="e">
        <f t="shared" ca="1" si="1124"/>
        <v>#N/A</v>
      </c>
      <c r="NV302" s="170" t="e">
        <f t="shared" ca="1" si="1033"/>
        <v>#N/A</v>
      </c>
      <c r="NW302" s="175" t="e">
        <f t="shared" ca="1" si="1034"/>
        <v>#DIV/0!</v>
      </c>
      <c r="NX302" s="170" t="e">
        <f ca="1">MIN(Control!$C$72+$MU302, $NW302)</f>
        <v>#DIV/0!</v>
      </c>
      <c r="NY302" s="170" t="e">
        <f ca="1">IF($MT302&lt;=$NX302,MIN(Control!$C$72+$NB302,$NX302-$MT302),0)</f>
        <v>#DIV/0!</v>
      </c>
      <c r="NZ302" s="54" t="e">
        <f ca="1">IF(Control!$C$114=1,  $CX302*($MX302-Control!$C$127), 0)</f>
        <v>#DIV/0!</v>
      </c>
      <c r="OA302" s="170" t="e">
        <f t="shared" ca="1" si="1035"/>
        <v>#DIV/0!</v>
      </c>
      <c r="OB302" s="170" t="e">
        <f ca="1">IF($NA302 &lt;=$NY302, MIN(Control!$C$72, $NY302-$NA302), 0)</f>
        <v>#DIV/0!</v>
      </c>
      <c r="OC302" s="168" t="e">
        <f t="shared" ca="1" si="1036"/>
        <v>#DIV/0!</v>
      </c>
      <c r="OD302" s="168" t="e">
        <f t="shared" ca="1" si="1125"/>
        <v>#DIV/0!</v>
      </c>
      <c r="OE302" s="170">
        <f ca="1">Control!$C$73*$I302</f>
        <v>0</v>
      </c>
      <c r="OF302" s="176" t="e">
        <f t="shared" ca="1" si="1037"/>
        <v>#DIV/0!</v>
      </c>
      <c r="OG302" s="168" t="e">
        <f t="shared" ca="1" si="1038"/>
        <v>#DIV/0!</v>
      </c>
      <c r="OH302" s="168" t="e">
        <f t="shared" ca="1" si="1039"/>
        <v>#DIV/0!</v>
      </c>
      <c r="OI302" s="168" t="e">
        <f t="shared" ca="1" si="1040"/>
        <v>#DIV/0!</v>
      </c>
      <c r="OJ302" s="168" t="e">
        <f t="shared" ca="1" si="1041"/>
        <v>#DIV/0!</v>
      </c>
      <c r="OK302" s="204" t="e">
        <f t="shared" ca="1" si="1042"/>
        <v>#DIV/0!</v>
      </c>
      <c r="OL302" s="177">
        <f>Control!$C$127</f>
        <v>0.15</v>
      </c>
      <c r="OM302" s="182" t="e">
        <f t="shared" ca="1" si="1043"/>
        <v>#N/A</v>
      </c>
      <c r="ON302" s="177">
        <f>Control!$C$128</f>
        <v>0.35</v>
      </c>
      <c r="OO302" s="182" t="e">
        <f t="shared" ca="1" si="1044"/>
        <v>#N/A</v>
      </c>
      <c r="OP302" s="138">
        <f t="shared" ca="1" si="1126"/>
        <v>0</v>
      </c>
      <c r="OQ302" s="138" t="e">
        <f t="shared" ca="1" si="1149"/>
        <v>#DIV/0!</v>
      </c>
      <c r="OR302" s="138" t="e">
        <f t="shared" ca="1" si="1127"/>
        <v>#DIV/0!</v>
      </c>
      <c r="OS302" s="137" t="e">
        <f t="shared" ca="1" si="1150"/>
        <v>#DIV/0!</v>
      </c>
      <c r="OT302" s="139" t="e">
        <f t="shared" ca="1" si="1151"/>
        <v>#DIV/0!</v>
      </c>
      <c r="OU302" s="138" t="e">
        <f t="shared" ca="1" si="1152"/>
        <v>#N/A</v>
      </c>
      <c r="OV302" s="138" t="e">
        <f t="shared" ca="1" si="1153"/>
        <v>#DIV/0!</v>
      </c>
      <c r="OW302" s="138" t="e">
        <f t="shared" ca="1" si="1128"/>
        <v>#DIV/0!</v>
      </c>
      <c r="OX302" s="138" t="e">
        <f t="shared" ca="1" si="1129"/>
        <v>#DIV/0!</v>
      </c>
      <c r="OY302" s="138" t="e">
        <f t="shared" ca="1" si="1130"/>
        <v>#DIV/0!</v>
      </c>
      <c r="OZ302" s="138" t="e">
        <f t="shared" ca="1" si="1045"/>
        <v>#DIV/0!</v>
      </c>
      <c r="PA302" s="138" t="e">
        <f t="shared" ca="1" si="1046"/>
        <v>#DIV/0!</v>
      </c>
      <c r="PB302" s="55">
        <f>IF(Control!$C$61="T", IF(Control!$C$65="F", IF($AH$6-Control!$C$60&lt;0,0,1), IF(365+$AH$6-Control!$C$60&lt;0,0,1)),0)</f>
        <v>0</v>
      </c>
      <c r="PC302" s="55">
        <f ca="1">IF(Control!$C$65="F", IF($AH$6-$HF302&lt;0,0,1), IF(365+$AH$6-$HF302&lt;0,0,1))</f>
        <v>1</v>
      </c>
      <c r="PD302" s="444">
        <f>Control!$C$118</f>
        <v>1500</v>
      </c>
      <c r="PE302" s="180" t="e">
        <f t="shared" ca="1" si="1047"/>
        <v>#N/A</v>
      </c>
      <c r="PF302" s="445">
        <f t="shared" ca="1" si="1131"/>
        <v>0.71612369323045078</v>
      </c>
      <c r="PT302" s="186"/>
      <c r="PU302" s="186"/>
      <c r="PV302" s="94"/>
      <c r="PW302" s="94"/>
      <c r="PX302" s="94"/>
      <c r="PY302" s="94"/>
      <c r="PZ302" s="94"/>
      <c r="QA302" s="94"/>
      <c r="QB302" s="94"/>
      <c r="QC302" s="94"/>
      <c r="QD302" s="94"/>
      <c r="QE302" s="94"/>
      <c r="QF302" s="94"/>
      <c r="QG302" s="94"/>
      <c r="QH302" s="94"/>
      <c r="QI302" s="94"/>
      <c r="QJ302" s="94"/>
      <c r="QK302" s="94"/>
      <c r="QL302" s="94"/>
      <c r="QM302" s="94"/>
      <c r="QN302" s="94"/>
      <c r="QO302" s="94"/>
      <c r="QP302" s="94"/>
    </row>
    <row r="303" spans="1:458" s="2" customFormat="1" x14ac:dyDescent="0.2">
      <c r="A303" s="395">
        <v>25</v>
      </c>
      <c r="B303" s="396">
        <v>10</v>
      </c>
      <c r="C303" s="387">
        <f ca="1">Weather_data!$B302</f>
        <v>0</v>
      </c>
      <c r="D303" s="388">
        <f ca="1">Weather_data!$F302</f>
        <v>0</v>
      </c>
      <c r="E303" s="388">
        <f ca="1">Weather_data!$E302</f>
        <v>0</v>
      </c>
      <c r="F303" s="388">
        <f t="shared" ca="1" si="1048"/>
        <v>0</v>
      </c>
      <c r="G303" s="388">
        <f ca="1">AVERAGE($D303:$E303)+Control!$B$9</f>
        <v>0</v>
      </c>
      <c r="H303" s="388">
        <f ca="1">Weather_data!$G302</f>
        <v>0</v>
      </c>
      <c r="I303" s="388">
        <f ca="1">Weather_data!$I302</f>
        <v>0</v>
      </c>
      <c r="J303" s="388">
        <f ca="1">Weather_data!$H302</f>
        <v>0</v>
      </c>
      <c r="K303" s="389">
        <f ca="1">Weather_data!$D302</f>
        <v>0</v>
      </c>
      <c r="L303" s="388" t="e">
        <f t="shared" ca="1" si="1049"/>
        <v>#N/A</v>
      </c>
      <c r="M303" s="388" t="e">
        <f t="shared" ca="1" si="927"/>
        <v>#N/A</v>
      </c>
      <c r="N303" s="388">
        <f t="shared" ca="1" si="928"/>
        <v>-1.2852727735835343E-14</v>
      </c>
      <c r="O303" s="388">
        <f t="shared" ca="1" si="1050"/>
        <v>1.2852727735835342E-13</v>
      </c>
      <c r="P303" s="390">
        <v>3</v>
      </c>
      <c r="Q303" s="388">
        <f ca="1">MAX($G303-Control!$C$107,0)</f>
        <v>0</v>
      </c>
      <c r="R303" s="388">
        <f t="shared" ca="1" si="1051"/>
        <v>0</v>
      </c>
      <c r="S303" s="388">
        <f t="shared" ca="1" si="929"/>
        <v>0</v>
      </c>
      <c r="T303" s="388">
        <f t="shared" ca="1" si="930"/>
        <v>0</v>
      </c>
      <c r="U303" s="59">
        <f t="shared" ca="1" si="931"/>
        <v>0</v>
      </c>
      <c r="V303" s="391">
        <f ca="1">MAX(0,MIN(Control!$C$100-Control!$C$99,$G303-Control!$C$99)*Control!$C$63)</f>
        <v>0</v>
      </c>
      <c r="W303" s="388">
        <f t="shared" ca="1" si="1052"/>
        <v>0</v>
      </c>
      <c r="X303" s="388">
        <f t="shared" ca="1" si="1053"/>
        <v>0.6110000000000001</v>
      </c>
      <c r="Y303" s="388">
        <f t="shared" ca="1" si="932"/>
        <v>0</v>
      </c>
      <c r="Z303" s="388">
        <f t="shared" ca="1" si="1054"/>
        <v>0.61058800000000002</v>
      </c>
      <c r="AA303" s="388">
        <f t="shared" ca="1" si="933"/>
        <v>0.6018</v>
      </c>
      <c r="AB303" s="388">
        <f ca="1">101.3*EXP(-0.034*Control!$C$66/($G303+273))</f>
        <v>100.69623283836242</v>
      </c>
      <c r="AC303" s="392">
        <f t="shared" ca="1" si="934"/>
        <v>4.3460251046025113E-2</v>
      </c>
      <c r="AD303" s="392">
        <f t="shared" ca="1" si="935"/>
        <v>4.4450382862832649E-2</v>
      </c>
      <c r="AE303" s="388">
        <f t="shared" ca="1" si="936"/>
        <v>0</v>
      </c>
      <c r="AF303" s="388">
        <f ca="1">MAX(0,$G303-Control!$C$92)</f>
        <v>0</v>
      </c>
      <c r="AG303" s="393">
        <f t="shared" ca="1" si="937"/>
        <v>299</v>
      </c>
      <c r="AH303" s="389">
        <f t="shared" ca="1" si="938"/>
        <v>299</v>
      </c>
      <c r="AI303" s="388">
        <f t="shared" ca="1" si="1055"/>
        <v>-0.22892603312917068</v>
      </c>
      <c r="AJ303" s="388">
        <f ca="1">IF(Control!$C$60&lt;=0,$HH303,$HI303)</f>
        <v>1</v>
      </c>
      <c r="AK303" s="388">
        <f t="shared" ca="1" si="939"/>
        <v>3.7699111843077522</v>
      </c>
      <c r="AL303" s="388">
        <f t="shared" ca="1" si="940"/>
        <v>-5.5905575307990665E-18</v>
      </c>
      <c r="AM303" s="388">
        <f t="shared" ca="1" si="941"/>
        <v>3.7699111843077522</v>
      </c>
      <c r="AN303" s="388">
        <f t="shared" ca="1" si="942"/>
        <v>-0.23600574946497985</v>
      </c>
      <c r="AO303" s="388">
        <f ca="1">-0.10453/COS(Control!$B$8*PI()/180)*COS(AN303)</f>
        <v>-0.16507837139120979</v>
      </c>
      <c r="AP303" s="388">
        <f ca="1">ACOS(AO303-TAN(Control!$B$8*PI()/180)*TAN(AN303))</f>
        <v>1.4275757860126834</v>
      </c>
      <c r="AQ303" s="388">
        <f t="shared" ca="1" si="1056"/>
        <v>0</v>
      </c>
      <c r="AR303" s="394">
        <f t="shared" ca="1" si="943"/>
        <v>0</v>
      </c>
      <c r="AS303" s="436">
        <f ca="1">IF(Control!$B$18=2,(IF(OR($AH303=Control!$B$175,$AH303=Control!$B$176,$AH303=Control!$B$177,$AH303=Control!$B$178,$AH303=Control!$B$179,$AH303=Control!$B$180,$AH303=Control!$B$181,$AH303=Control!$B$182,$AH303=Control!$B$183,$AH303=Control!$B$184,$AH303=Control!$B$185),1,0)),0)</f>
        <v>0</v>
      </c>
      <c r="AT303" s="436">
        <f>IF(Control!$B$20=8,IF(AND($AH303&gt;=Control!$B$172,$AH303&lt;=Control!$B$173),1,0),0)</f>
        <v>0</v>
      </c>
      <c r="AU303" s="436">
        <f>IF(Control!$B$20=8,IF($AV302=1,1*$AT303,IF($AT303=1,$AU302+1,$AU302)),0)</f>
        <v>0</v>
      </c>
      <c r="AV303" s="436">
        <f>IF(Control!$B$20=8,IF($AU303&gt;=Control!$B$174,1,0),0)</f>
        <v>0</v>
      </c>
      <c r="AW303" s="436">
        <f ca="1">IF(AND(Control!$B$18=2,Control!$B$171=1), $AV303, $AS303)</f>
        <v>0</v>
      </c>
      <c r="AX303" s="436" t="e">
        <f ca="1">IF(AND(Control!$B$18=1,$EU303&gt;=Control!$B$19),-$AY303,IF(AND(Control!$B$18=2,$AW303=1,$EU303&gt;$DS303),-$AY303, IF(Control!$C$108=0,0, IF(Control!$C$108&lt;&gt;0,1))))</f>
        <v>#N/A</v>
      </c>
      <c r="AY303" s="436" t="e">
        <f t="shared" ca="1" si="1057"/>
        <v>#N/A</v>
      </c>
      <c r="AZ303" s="436" t="e">
        <f ca="1">IF(AND(Control!$B$18=1,$EB303&gt;Control!$B$19),$AZ302+1, IF(AND(Control!$B$18=2, $AW303=1, $EB303&gt;$DS303), $AZ302+1,$AZ302))</f>
        <v>#N/A</v>
      </c>
      <c r="BA303" s="587">
        <f>IF(Control!$C$81=0,1,IF($AH303&gt;=Control!$C$82,1,0))</f>
        <v>1</v>
      </c>
      <c r="BB303" s="140" t="e">
        <f ca="1">IF($BA303&gt;$BA302,Control!$C$83,IF($AW303&gt;0,$AW303*Control!$C$84,IF(AND(Control!$B$18=1,EN302&lt;&gt;0),Control!$C$84,0)))</f>
        <v>#N/A</v>
      </c>
      <c r="BC303" s="140" t="e">
        <f t="shared" ca="1" si="1058"/>
        <v>#N/A</v>
      </c>
      <c r="BD303" s="140" t="e">
        <f ca="1">BC303*IF(OR($G303&lt;Control!$C$92,$G303&gt;Control!$C$95),0,IF(AND($G303&gt;=Control!$C$92,$G303&lt;=Control!$C$93),$G303-Control!$C$92,IF(AND($G303&gt;Control!$C$93,$G303&lt;=Control!$C$94),Control!$C$93-Control!$C$92,IF(AND($G303&gt;Control!$C$94,$G303&lt;=Control!$C$95),(Control!$C$93-Control!$C$92)*(Control!$C$94-$G303)/(Control!$C$95-Control!$C$94)))))</f>
        <v>#N/A</v>
      </c>
      <c r="BE303" s="140" t="e">
        <f t="shared" ca="1" si="1059"/>
        <v>#N/A</v>
      </c>
      <c r="BF303" s="140" t="e">
        <f ca="1">IF($BE303&lt;=Control!$C$86,$BE303,Control!$C$86-$BE303)</f>
        <v>#N/A</v>
      </c>
      <c r="BG303" s="140" t="e">
        <f ca="1">IF(AND($AW303=1,Control!$C$84&lt;9),1,IF($BE303&gt;=Control!$C$86,0,$BC303))</f>
        <v>#N/A</v>
      </c>
      <c r="BH303" s="404" t="e">
        <f ca="1">IF($BG303=0,0,IF($BE303&lt;=Control!$C$86,$BC303*9*($BF303/Control!$C$86),0))</f>
        <v>#N/A</v>
      </c>
      <c r="BI303" s="140" t="e">
        <f ca="1">IF($BG303=1,0,IF($BE303&gt;=Control!$C$86,1,IF(AND($BB303&lt;21,$BB303&gt;=9),1,$BM302)))</f>
        <v>#N/A</v>
      </c>
      <c r="BJ303" s="140" t="e">
        <f ca="1">IF($BF303&lt;0,-$BF303,$BI303*IF(OR($G303&lt;Control!$C$92,$G303&gt;Control!$C$95),0,IF(AND($G303&gt;=Control!$C$92,$G303&lt;=Control!$C$93),$G303-Control!$C$92,IF(AND($G303&gt;Control!$C$93,$G303&lt;=Control!$C$94),Control!$C$93-Control!$C$92,IF(AND($G303&gt;Control!$C$94,$G303&lt;=Control!$C$95),(Control!$C$93-Control!$C$92)*(Control!$C$94-$G303)/(Control!$C$95-Control!$C$94))))))</f>
        <v>#N/A</v>
      </c>
      <c r="BK303" s="140" t="e">
        <f t="shared" ca="1" si="1060"/>
        <v>#N/A</v>
      </c>
      <c r="BL303" s="140" t="e">
        <f ca="1">IF($BK303&lt;=Control!$C$87,$BK303,Control!$C$87-$BK303)</f>
        <v>#N/A</v>
      </c>
      <c r="BM303" s="140" t="e">
        <f ca="1">IF(AND($BB303&gt;=9,$BB303&lt;21),1,IF($BK303&gt;=Control!$C$87,0,$BI303))</f>
        <v>#N/A</v>
      </c>
      <c r="BN303" s="404" t="e">
        <f ca="1">IF($BM303=0,0,IF($BK303&lt;=Control!$C$87,$BI303*(9+(21-9)*($BL303/Control!$C$87)),0))</f>
        <v>#N/A</v>
      </c>
      <c r="BO303" s="140" t="e">
        <f ca="1">IF($BM303=1,0,IF($BK303&gt;=Control!$C$87,1,IF(AND($BB303&lt;30,$BB303&gt;=21),1,$BS302)))</f>
        <v>#N/A</v>
      </c>
      <c r="BP303" s="140" t="e">
        <f ca="1">IF($BL303&lt;0,-$BL303,$BO303*IF(OR($G303&lt;Control!$C$92,$G303&gt;Control!$C$95),0,IF(AND($G303&gt;=Control!$C$92,$G303&lt;=Control!$C$93),$G303-Control!$C$92,IF(AND($G303&gt;Control!$C$93,$G303&lt;=Control!$C$94),Control!$C$93-Control!$C$92,IF(AND($G303&gt;Control!$C$94,$G303&lt;=Control!$C$95),(Control!$C$93-Control!$C$92)*(Control!$C$94-$G303)/(Control!$C$95-Control!$C$94))))))</f>
        <v>#N/A</v>
      </c>
      <c r="BQ303" s="140" t="e">
        <f t="shared" ca="1" si="944"/>
        <v>#N/A</v>
      </c>
      <c r="BR303" s="140" t="e">
        <f ca="1">IF($BQ303&lt;=Control!$C$88,$BQ303,Control!$C$88-$BQ303)</f>
        <v>#N/A</v>
      </c>
      <c r="BS303" s="140" t="e">
        <f ca="1">IF(AND($BB303&gt;=21,$BB303&lt;30),1,IF($BQ303&gt;=Control!$C$88,0,$BO303))</f>
        <v>#N/A</v>
      </c>
      <c r="BT303" s="404" t="e">
        <f ca="1">IF($BS303=0,0,IF($BQ303&lt;=Control!$C$88,$BO303*(21+(30-21)*(BR303/Control!$C$88)),0))</f>
        <v>#N/A</v>
      </c>
      <c r="BU303" s="140" t="e">
        <f ca="1">IF(BG303+BM303+BS303=1,0,IF(OR(AND($BB303&lt;60,$BB303&gt;=30),$BQ303&gt;=Control!$C$88),1*$BA303,$BY302))</f>
        <v>#N/A</v>
      </c>
      <c r="BV303" s="140" t="e">
        <f ca="1">IF($BR303&lt;0,-$BR303,$BU303*IF(OR($G303&lt;Control!$C$92,$G303&gt;Control!$C$95),0,IF(AND($G303&gt;=Control!$C$92,$G303&lt;=Control!$C$93),$G303-Control!$C$92,IF(AND($G303&gt;Control!$C$93,$G303&lt;=Control!$C$94),Control!$C$93-Control!$C$92,IF(AND($G303&gt;Control!$C$94,$G303&lt;=Control!$C$95),(Control!$C$93-Control!$C$92)*(Control!$C$94-$G303)/(Control!$C$95-Control!$C$94))))))</f>
        <v>#N/A</v>
      </c>
      <c r="BW303" s="140" t="e">
        <f t="shared" ca="1" si="945"/>
        <v>#N/A</v>
      </c>
      <c r="BX303" s="140" t="e">
        <f ca="1">IF($BW303&lt;=Control!$C$89,$BW303,Control!$C$89-$BW303)</f>
        <v>#N/A</v>
      </c>
      <c r="BY303" s="140" t="e">
        <f ca="1">IF(AND($AJ303&gt;=30,$AJ303&lt;60),1,IF($BW303&gt;=Control!$C$89,0,$BU303))</f>
        <v>#N/A</v>
      </c>
      <c r="BZ303" s="404" t="e">
        <f ca="1">IF($BY303=0,0,IF($BW303&lt;=Control!$C$89,$BU303*(30+(60-30)*(BX303/Control!$C$89)),0))</f>
        <v>#N/A</v>
      </c>
      <c r="CA303" s="140" t="e">
        <f ca="1">IF($BG303+$BM303+$BS303+$BY303=1,0,IF(OR(AND($BB303&lt;65,$BB303&gt;=60),$BW303&gt;=Control!$C$89),1*$BA303,$CE302))</f>
        <v>#N/A</v>
      </c>
      <c r="CB303" s="140" t="e">
        <f ca="1">IF($BX303&lt;0,-$BX303,$CA303*IF(OR($G303&lt;Control!$C$92,$G303&gt;Control!$C$95),0,IF(AND($G303&gt;=Control!$C$92,$G303&lt;=Control!$C$93),$G303-Control!$C$92,IF(AND($G303&gt;Control!$C$93,$G303&lt;=Control!$C$94),Control!$C$93-Control!$C$92,IF(AND($G303&gt;Control!$C$94,$G303&lt;=Control!$C$95),(Control!$C$93-Control!$C$92)*(Control!$C$94-$G303)/(Control!$C$95-Control!$C$94))))))</f>
        <v>#N/A</v>
      </c>
      <c r="CC303" s="140" t="e">
        <f t="shared" ca="1" si="1061"/>
        <v>#N/A</v>
      </c>
      <c r="CD303" s="140" t="e">
        <f ca="1">IF($CC303&lt;=Control!$C$90,$CC303,Control!$C$90-$CC303)</f>
        <v>#N/A</v>
      </c>
      <c r="CE303" s="140" t="e">
        <f ca="1">IF(AND($BB303&gt;=60,$BB303&lt;65),1,IF($CC303&gt;=Control!$C$90,0,$CA303))</f>
        <v>#N/A</v>
      </c>
      <c r="CF303" s="404" t="e">
        <f ca="1">IF($CE303=0,0,IF($CC303&lt;=Control!$C$90,$CA303*(60+(65-60)*(CD303/Control!$C$90)),0))</f>
        <v>#N/A</v>
      </c>
      <c r="CG303" s="140" t="e">
        <f ca="1">IF($BG303+$BM303+$BS303+$BY303+$CE303=1,0,IF(OR(AND($BB303&lt;90,$BB303&gt;=65),$CC303&gt;=Control!$C$90),$BA303,$CK302))</f>
        <v>#N/A</v>
      </c>
      <c r="CH303" s="140" t="e">
        <f ca="1">IF($CD303&lt;0,-$CD303,$CG303*IF(OR($G303&lt;Control!$C$92,$G303&gt;Control!$C$95),0,IF(AND($G303&gt;=Control!$C$92,$G303&lt;=Control!$C$93),$G303-Control!$C$92,IF(AND($G303&gt;Control!$C$93,$G303&lt;=Control!$C$94),Control!$C$93-Control!$C$92,IF(AND($G303&gt;Control!$C$94,$G303&lt;=Control!$C$95),(Control!$C$93-Control!$C$92)*(Control!$C$94-$G303)/(Control!$C$95-Control!$C$94))))))</f>
        <v>#N/A</v>
      </c>
      <c r="CI303" s="140" t="e">
        <f t="shared" ca="1" si="1062"/>
        <v>#N/A</v>
      </c>
      <c r="CJ303" s="140" t="e">
        <f ca="1">IF($CI303&lt;=Control!$C$91,$CI303,Control!$C$91-$CI303)</f>
        <v>#N/A</v>
      </c>
      <c r="CK303" s="140" t="e">
        <f ca="1">IF(AND($BB303&gt;=65,$BB303&lt;90),1,IF($CI303&gt;=Control!$C$91,0,$CG303))</f>
        <v>#N/A</v>
      </c>
      <c r="CL303" s="404" t="e">
        <f ca="1">IF($CK303=0,0,IF($CI303&lt;=Control!$C$91,$CG303*(65+(90-65)*($CJ303/Control!$C$91)),0))</f>
        <v>#N/A</v>
      </c>
      <c r="CM303" s="140" t="e">
        <f ca="1">IF($BG303+$BM303+$BS303+$BY303+$CE303+$CK303=1,0,IF(OR($BB303&gt;=90,$CI303&gt;=Control!$C$91),$BA303,$CM302))</f>
        <v>#N/A</v>
      </c>
      <c r="CN303" s="140" t="e">
        <f t="shared" ca="1" si="1063"/>
        <v>#N/A</v>
      </c>
      <c r="CO303" s="140" t="e">
        <f t="shared" ca="1" si="1064"/>
        <v>#N/A</v>
      </c>
      <c r="CP303" s="140" t="e">
        <f t="shared" ca="1" si="1065"/>
        <v>#N/A</v>
      </c>
      <c r="CQ303" s="141" t="e">
        <f ca="1">VLOOKUP($CP303,Control!$B$86:$G$91,6)</f>
        <v>#N/A</v>
      </c>
      <c r="CR303" s="141" t="e">
        <f ca="1">(1-$CQ303)*VLOOKUP($CP303,Control!$B$86:$D$91,3)</f>
        <v>#N/A</v>
      </c>
      <c r="CS303" s="141" t="e">
        <f ca="1">(1-$CQ303)*VLOOKUP($CP303,Control!$B$86:$E$91,4)</f>
        <v>#N/A</v>
      </c>
      <c r="CT303" s="141" t="e">
        <f ca="1">(1-$CQ303)*VLOOKUP($CP303,Control!$B$86:$F$91,5)</f>
        <v>#N/A</v>
      </c>
      <c r="CU303" s="141">
        <f t="shared" ca="1" si="1066"/>
        <v>0</v>
      </c>
      <c r="CV303" s="583">
        <f t="shared" ca="1" si="1067"/>
        <v>0</v>
      </c>
      <c r="CW303" s="142">
        <f t="shared" ca="1" si="1068"/>
        <v>299</v>
      </c>
      <c r="CX303" s="612" t="e">
        <f ca="1">IF(Control!$C$114=1,(MIN(Control!$C$120*(IF($NT303-0.01&lt;0,0,1)),Control!$C$119-$CY303)))</f>
        <v>#DIV/0!</v>
      </c>
      <c r="CY303" s="143" t="e">
        <f t="shared" ca="1" si="1069"/>
        <v>#N/A</v>
      </c>
      <c r="CZ303" s="144">
        <f t="shared" ca="1" si="946"/>
        <v>0</v>
      </c>
      <c r="DA303" s="144">
        <f t="shared" ca="1" si="947"/>
        <v>0</v>
      </c>
      <c r="DB303" s="144" t="e">
        <f t="shared" ca="1" si="948"/>
        <v>#N/A</v>
      </c>
      <c r="DC303" s="144" t="e">
        <f t="shared" ca="1" si="949"/>
        <v>#N/A</v>
      </c>
      <c r="DD303" s="144" t="e">
        <f t="shared" ca="1" si="1154"/>
        <v>#N/A</v>
      </c>
      <c r="DE303" s="143" t="e">
        <f t="shared" ca="1" si="1070"/>
        <v>#N/A</v>
      </c>
      <c r="DF303" s="145" t="e">
        <f ca="1">$DR303*EXP(-Control!$C$158*(1-$KH303))</f>
        <v>#N/A</v>
      </c>
      <c r="DG303" s="146" t="e">
        <f ca="1">IF(Control!$C$114=1, $DF303*$EY303, 0)</f>
        <v>#N/A</v>
      </c>
      <c r="DH303" s="147" t="e">
        <f t="shared" ca="1" si="1071"/>
        <v>#N/A</v>
      </c>
      <c r="DI303" s="144" t="e">
        <f t="shared" ca="1" si="1132"/>
        <v>#N/A</v>
      </c>
      <c r="DJ303" s="147" t="e">
        <f ca="1">$EF303*Control!$C$109</f>
        <v>#N/A</v>
      </c>
      <c r="DK303" s="144" t="e">
        <f t="shared" ca="1" si="1072"/>
        <v>#N/A</v>
      </c>
      <c r="DL303" s="144" t="e">
        <f t="shared" ca="1" si="950"/>
        <v>#N/A</v>
      </c>
      <c r="DM303" s="144" t="e">
        <f ca="1">IF(Control!$C$114=1, (1-EXP(-Control!$C$96*$DK303))*$AR303, 0)</f>
        <v>#N/A</v>
      </c>
      <c r="DN303" s="144">
        <f t="shared" ca="1" si="1073"/>
        <v>0</v>
      </c>
      <c r="DO303" s="148">
        <f>Control!$C$97</f>
        <v>4</v>
      </c>
      <c r="DP303" s="145" t="e">
        <f t="shared" ca="1" si="1074"/>
        <v>#N/A</v>
      </c>
      <c r="DQ303" s="145" t="e">
        <f ca="1">IF(AND($CP303&gt;=0,$CP303&lt;=90),Control!$C$111,Control!$C$111)</f>
        <v>#N/A</v>
      </c>
      <c r="DR303" s="145" t="e">
        <f t="shared" ca="1" si="951"/>
        <v>#N/A</v>
      </c>
      <c r="DS303" s="143" t="e">
        <f ca="1">Control!$B$22/$DR303</f>
        <v>#N/A</v>
      </c>
      <c r="DT303" s="149" t="e">
        <f ca="1">IF(AND(Control!$C$114=1,$KH303&lt;1),$IM303*$DF303, 0)</f>
        <v>#N/A</v>
      </c>
      <c r="DU303" s="144" t="e">
        <f t="shared" ca="1" si="1075"/>
        <v>#N/A</v>
      </c>
      <c r="DV303" s="144">
        <f ca="1">IF($G303-Control!$C$107&lt;=0, 0, 0.83*LN(MAX($G303, 3))-0.8924)</f>
        <v>0</v>
      </c>
      <c r="DW303" s="144" t="e">
        <f t="shared" ca="1" si="952"/>
        <v>#N/A</v>
      </c>
      <c r="DX303" s="150" t="e">
        <f ca="1">MAX(0.01*(1+$CU303/Control!$C$102),0.05*($DK303-Control!$C$97)/Control!$C$97)</f>
        <v>#N/A</v>
      </c>
      <c r="DY303" s="151" t="e">
        <f ca="1">IF(Control!$C$114=1, $DI303*$FS303, 0)</f>
        <v>#N/A</v>
      </c>
      <c r="DZ303" s="196" t="e">
        <f t="shared" ca="1" si="1076"/>
        <v>#N/A</v>
      </c>
      <c r="EA303" s="152">
        <f t="shared" ca="1" si="1077"/>
        <v>299</v>
      </c>
      <c r="EB303" s="153" t="e">
        <f t="shared" ca="1" si="1078"/>
        <v>#N/A</v>
      </c>
      <c r="EC303" s="153" t="e">
        <f t="shared" ca="1" si="1079"/>
        <v>#N/A</v>
      </c>
      <c r="ED303" s="154" t="e">
        <f ca="1">IF(Control!$C$114=1, $HM303*$FY303-$FD303, 0)</f>
        <v>#DIV/0!</v>
      </c>
      <c r="EE303" s="155" t="e">
        <f ca="1">IF(Control!$C$114=1, $HM303*$FZ303-$FF303, 0)</f>
        <v>#DIV/0!</v>
      </c>
      <c r="EF303" s="153" t="e">
        <f t="shared" ca="1" si="1133"/>
        <v>#N/A</v>
      </c>
      <c r="EG303" s="155" t="e">
        <f ca="1">IF(Control!$C$114=1, $GX303*$FW303-$FI303, 0)</f>
        <v>#DIV/0!</v>
      </c>
      <c r="EH303" s="153" t="e">
        <f t="shared" ca="1" si="1080"/>
        <v>#N/A</v>
      </c>
      <c r="EI303" s="156" t="e">
        <f t="shared" ca="1" si="1081"/>
        <v>#N/A</v>
      </c>
      <c r="EJ303" s="155" t="e">
        <f ca="1">IF(Control!$C$114=1, $HM303*$GB303, 0)</f>
        <v>#DIV/0!</v>
      </c>
      <c r="EK303" s="153" t="e">
        <f t="shared" ca="1" si="1134"/>
        <v>#N/A</v>
      </c>
      <c r="EL303" s="153" t="e">
        <f t="shared" ca="1" si="953"/>
        <v>#N/A</v>
      </c>
      <c r="EM303" s="153" t="e">
        <f t="shared" ca="1" si="954"/>
        <v>#N/A</v>
      </c>
      <c r="EN303" s="153" t="e">
        <f ca="1">IF(Control!$C$108=1,IF(AND(Control!$B$18=1,$EB303&gt;=Control!$B$19),$EB303-$DS303,IF(AND(Control!$B$18=2,$AW303=1,$EB303&gt;$DS303),$EB303-$DS303,0)))</f>
        <v>#N/A</v>
      </c>
      <c r="EO303" s="153" t="e">
        <f ca="1">IF(Control!$C$108=1,IF(AND(Control!$B$18=1,$EB303&gt;=Control!$B$19),$EF303,IF(AND(Control!$B$18=2,$AW303=1),$EF303,0)))</f>
        <v>#N/A</v>
      </c>
      <c r="EP303" s="153" t="e">
        <f ca="1">IF(Control!$C$108=1,IF(AND(Control!$B$18=1,$EB303&gt;=Control!$B$19),$EK303,IF(AND(Control!$B$18=2,$AW303=1),$EK303,0)))</f>
        <v>#N/A</v>
      </c>
      <c r="EQ303" s="153" t="e">
        <f t="shared" ca="1" si="1082"/>
        <v>#N/A</v>
      </c>
      <c r="ER303" s="153" t="e">
        <f t="shared" ca="1" si="1083"/>
        <v>#N/A</v>
      </c>
      <c r="ES303" s="153" t="e">
        <f t="shared" ca="1" si="1135"/>
        <v>#N/A</v>
      </c>
      <c r="ET303" s="153" t="e">
        <f t="shared" ca="1" si="1136"/>
        <v>#N/A</v>
      </c>
      <c r="EU303" s="153" t="e">
        <f t="shared" ca="1" si="1084"/>
        <v>#N/A</v>
      </c>
      <c r="EV303" s="153" t="e">
        <f t="shared" ca="1" si="955"/>
        <v>#N/A</v>
      </c>
      <c r="EW303" s="153" t="e">
        <f t="shared" ca="1" si="956"/>
        <v>#N/A</v>
      </c>
      <c r="EX303" s="153" t="e">
        <f t="shared" ca="1" si="957"/>
        <v>#N/A</v>
      </c>
      <c r="EY303" s="157" t="e">
        <f t="shared" ca="1" si="958"/>
        <v>#DIV/0!</v>
      </c>
      <c r="EZ303" s="154" t="e">
        <f t="shared" ca="1" si="959"/>
        <v>#DIV/0!</v>
      </c>
      <c r="FA303" s="153" t="e">
        <f t="shared" ca="1" si="1085"/>
        <v>#N/A</v>
      </c>
      <c r="FB303" s="153" t="e">
        <f t="shared" ca="1" si="960"/>
        <v>#N/A</v>
      </c>
      <c r="FC303" s="193" t="e">
        <f t="shared" ca="1" si="961"/>
        <v>#N/A</v>
      </c>
      <c r="FD303" s="158" t="e">
        <f t="shared" ca="1" si="1086"/>
        <v>#N/A</v>
      </c>
      <c r="FE303" s="158" t="e">
        <f t="shared" ca="1" si="1087"/>
        <v>#N/A</v>
      </c>
      <c r="FF303" s="159" t="e">
        <f t="shared" ca="1" si="962"/>
        <v>#N/A</v>
      </c>
      <c r="FG303" s="160" t="e">
        <f t="shared" ca="1" si="1088"/>
        <v>#N/A</v>
      </c>
      <c r="FH303" s="158" t="e">
        <f t="shared" ca="1" si="1089"/>
        <v>#N/A</v>
      </c>
      <c r="FI303" s="159" t="e">
        <f t="shared" ca="1" si="963"/>
        <v>#N/A</v>
      </c>
      <c r="FJ303" s="160" t="e">
        <f t="shared" ca="1" si="1090"/>
        <v>#N/A</v>
      </c>
      <c r="FK303" s="160" t="e">
        <f t="shared" ca="1" si="964"/>
        <v>#N/A</v>
      </c>
      <c r="FL303" s="160" t="e">
        <f t="shared" ca="1" si="1137"/>
        <v>#N/A</v>
      </c>
      <c r="FM303" s="160" t="e">
        <f t="shared" ca="1" si="965"/>
        <v>#N/A</v>
      </c>
      <c r="FN303" s="158">
        <f t="shared" ca="1" si="1091"/>
        <v>0.01</v>
      </c>
      <c r="FO303" s="160">
        <f>Control!$C$101</f>
        <v>50</v>
      </c>
      <c r="FP303" s="150" t="e">
        <f t="shared" ca="1" si="966"/>
        <v>#N/A</v>
      </c>
      <c r="FQ303" s="150" t="e">
        <f ca="1">MAX(0,(Control!$C$112*(($DK303-Control!$C$97)/Control!$C$97)))</f>
        <v>#N/A</v>
      </c>
      <c r="FR303" s="150" t="e">
        <f ca="1">(1-$NT303)*Control!$C$113</f>
        <v>#DIV/0!</v>
      </c>
      <c r="FS303" s="198" t="e">
        <f t="shared" ca="1" si="967"/>
        <v>#N/A</v>
      </c>
      <c r="FT303" s="161">
        <f t="shared" ca="1" si="1092"/>
        <v>299</v>
      </c>
      <c r="FU303" s="162" t="e">
        <f ca="1">IF(Control!$B$34=1,VLOOKUP($CP303,Control!$B$86:$G$91,6),Control!$B$35)</f>
        <v>#N/A</v>
      </c>
      <c r="FV303" s="162" t="e">
        <f t="shared" ca="1" si="968"/>
        <v>#DIV/0!</v>
      </c>
      <c r="FW303" s="162" t="e">
        <f ca="1">IF(Control!$B$31=1,$FU303*$FV303,  $FU303)</f>
        <v>#N/A</v>
      </c>
      <c r="FX303" s="162" t="e">
        <f ca="1">IF(Control!$B$34=1,VLOOKUP($CP303,Control!$B$86:$G$91,3),Control!$B$36)</f>
        <v>#N/A</v>
      </c>
      <c r="FY303" s="162" t="e">
        <f t="shared" ca="1" si="969"/>
        <v>#N/A</v>
      </c>
      <c r="FZ303" s="162" t="e">
        <f ca="1">IF(Control!$B$34=1,VLOOKUP($CP303,Control!$B$86:$G$91,4),Control!$B$37)</f>
        <v>#N/A</v>
      </c>
      <c r="GA303" s="162" t="e">
        <f t="shared" ca="1" si="970"/>
        <v>#N/A</v>
      </c>
      <c r="GB303" s="162" t="e">
        <f ca="1">IF(Control!$B$34=1,VLOOKUP($CP303,Control!$B$86:$G$91,5),Control!$B$38)</f>
        <v>#N/A</v>
      </c>
      <c r="GC303" s="162" t="e">
        <f t="shared" ca="1" si="1093"/>
        <v>#N/A</v>
      </c>
      <c r="GD303" s="162">
        <f t="shared" ca="1" si="971"/>
        <v>1</v>
      </c>
      <c r="GE303" s="162">
        <f t="shared" ca="1" si="972"/>
        <v>1</v>
      </c>
      <c r="GF303" s="162">
        <f ca="1">IF(AND(Control!$C$104=1, Control!$C$62="F"),$GE303,1)</f>
        <v>1</v>
      </c>
      <c r="GG303" s="162" t="e">
        <f ca="1">IF(Control!$B$16=40,0,IF(AND(Control!$B$16&gt;40,Control!$B$16&lt;=360),(Control!$B$16-40)*((1-0)/(360-40)),IF(AND(Control!$B$16&gt;360,Control!$B$16&lt;=720),(1+(Control!$B$16-360)*((1.25-1)/(720-360))),IF(AND(Control!$B$16&gt;720,Control!$B$16&lt;=1000),(1.25+(Control!$B$16-720)*((1.35-1.25)/(1000-720))),IF(AND(Control!$B$16&gt;1000,Control!$B$16&lt;=2000),(1.35+(Control!$B$16-1000)*0))))))</f>
        <v>#N/A</v>
      </c>
      <c r="GH303" s="162" t="e">
        <f t="shared" ca="1" si="973"/>
        <v>#N/A</v>
      </c>
      <c r="GI303" s="162">
        <f t="shared" ca="1" si="1094"/>
        <v>0</v>
      </c>
      <c r="GJ303" s="162">
        <f t="shared" ca="1" si="974"/>
        <v>0</v>
      </c>
      <c r="GK303" s="162">
        <f t="shared" ca="1" si="1095"/>
        <v>1</v>
      </c>
      <c r="GL303" s="162">
        <f t="shared" ca="1" si="975"/>
        <v>1</v>
      </c>
      <c r="GM303" s="162" t="e">
        <f ca="1">MAX(0,MIN(1,1-Control!$C$156*(1.0001-$KH303)^2))</f>
        <v>#N/A</v>
      </c>
      <c r="GN303" s="162" t="e">
        <f ca="1">IF(Control!$B$26=1,$KU303,$KX303)</f>
        <v>#N/A</v>
      </c>
      <c r="GO303" s="162" t="e">
        <f ca="1">IF($CP303&lt;=60,Control!$C$105,IF($CP303&gt;=90,Control!$C$106,Control!$C$105+($CP303-60)*((Control!$C$106-Control!$C$105)/(90-60))))</f>
        <v>#N/A</v>
      </c>
      <c r="GP303" s="162" t="e">
        <f t="shared" ca="1" si="976"/>
        <v>#N/A</v>
      </c>
      <c r="GQ303" s="162" t="e">
        <f t="shared" ca="1" si="1096"/>
        <v>#N/A</v>
      </c>
      <c r="GR303" s="163" t="e">
        <f t="shared" ca="1" si="977"/>
        <v>#DIV/0!</v>
      </c>
      <c r="GS303" s="162" t="e">
        <f t="shared" ca="1" si="978"/>
        <v>#DIV/0!</v>
      </c>
      <c r="GT303" s="164" t="e">
        <f t="shared" ca="1" si="1097"/>
        <v>#N/A</v>
      </c>
      <c r="GU303" s="162" t="e">
        <f t="shared" ca="1" si="1098"/>
        <v>#N/A</v>
      </c>
      <c r="GV303" s="162" t="e">
        <f t="shared" ca="1" si="979"/>
        <v>#N/A</v>
      </c>
      <c r="GW303" s="162" t="e">
        <f t="shared" ca="1" si="980"/>
        <v>#DIV/0!</v>
      </c>
      <c r="GX303" s="162" t="e">
        <f t="shared" ca="1" si="1099"/>
        <v>#DIV/0!</v>
      </c>
      <c r="GY303" s="162" t="e">
        <f t="shared" ca="1" si="1100"/>
        <v>#DIV/0!</v>
      </c>
      <c r="GZ303" s="165" t="e">
        <f t="shared" ca="1" si="981"/>
        <v>#N/A</v>
      </c>
      <c r="HA303" s="162" t="e">
        <f ca="1">IF(Control!$C$114=1, $DI303*$FS303, 0)</f>
        <v>#N/A</v>
      </c>
      <c r="HB303" s="162" t="e">
        <f ca="1">$FA303/Control!$C$64</f>
        <v>#N/A</v>
      </c>
      <c r="HC303" s="162" t="e">
        <f t="shared" ca="1" si="982"/>
        <v>#DIV/0!</v>
      </c>
      <c r="HD303" s="162">
        <f ca="1">-ASIN(SIN(23.45*Control!$C$139)*COS(2*Control!$C$138*($AH303+10)/365))</f>
        <v>-0.22892603312917068</v>
      </c>
      <c r="HE303" s="165">
        <f t="shared" ca="1" si="1101"/>
        <v>0</v>
      </c>
      <c r="HF303" s="166">
        <f ca="1">IF(AND(Control!$C$61="T",$HE303&gt;=Control!$C$103,Control!$C$114=0),$AH303,Control!$C$59)</f>
        <v>1</v>
      </c>
      <c r="HG303" s="166">
        <f ca="1">IF(AND(Control!$C$61="T",$HE303&gt;=Control!$C$103,Control!$C$114=0),$HF303,Control!$C$59)</f>
        <v>1</v>
      </c>
      <c r="HH303" s="165">
        <f ca="1">IF(AND(OR(Control!$C$60&lt;=0, $AH303= Control!$C$59, Control!$C$60 &gt;0, $AH303 = Control!$C$60)), Control!$C$59, IF(Control!$C$60&gt;0, 0))</f>
        <v>1</v>
      </c>
      <c r="HI303" s="165">
        <f ca="1">IF(AND(OR(Control!$C$60&lt;=0, $AH303= Control!$C$59, Control!$C$60 &gt;0, $AH303 = Control!$C$60)), Control!$C$60, IF(Control!$C$60&lt;=0, 0))</f>
        <v>0</v>
      </c>
      <c r="HJ303" s="166">
        <f ca="1">IF(AND(Control!$C$62="F",$CV303&gt;=Control!$C$102),$AH303,0)</f>
        <v>0</v>
      </c>
      <c r="HK303" s="165" t="e">
        <f t="shared" ca="1" si="1138"/>
        <v>#N/A</v>
      </c>
      <c r="HL303" s="166">
        <f ca="1">IF(AND(Control!$C$61="T",$HE303&gt;=Control!$C$103,Control!$C$114=0),$HF303,0)</f>
        <v>0</v>
      </c>
      <c r="HM303" s="201" t="e">
        <f t="shared" ca="1" si="983"/>
        <v>#DIV/0!</v>
      </c>
      <c r="HN303" s="215">
        <f t="shared" ca="1" si="1102"/>
        <v>299</v>
      </c>
      <c r="HO303" s="216" t="e">
        <f ca="1">IF(AND($CP303&gt;=0, $CP303&lt;=90), Control!$C$152, Control!$C$152)</f>
        <v>#N/A</v>
      </c>
      <c r="HP303" s="216" t="e">
        <f t="shared" ca="1" si="984"/>
        <v>#N/A</v>
      </c>
      <c r="HQ303" s="217" t="e">
        <f ca="1">IF(OR(Control!$B$26=1,Control!$B$26=2),$KV303,$KS303)</f>
        <v>#DIV/0!</v>
      </c>
      <c r="HR303" s="218" t="e">
        <f t="shared" ca="1" si="1139"/>
        <v>#DIV/0!</v>
      </c>
      <c r="HS303" s="216" t="e">
        <f ca="1">Control!$C$154*$HP303</f>
        <v>#N/A</v>
      </c>
      <c r="HT303" s="216" t="e">
        <f ca="1">Control!$C$155*$HP303</f>
        <v>#N/A</v>
      </c>
      <c r="HU303" s="217" t="e">
        <f ca="1">Control!$C$161*$FI303</f>
        <v>#N/A</v>
      </c>
      <c r="HV303" s="218" t="e">
        <f t="shared" ca="1" si="1103"/>
        <v>#N/A</v>
      </c>
      <c r="HW303" s="218" t="e">
        <f ca="1">Control!$C$160*$FF303+$IP303*$EO303</f>
        <v>#N/A</v>
      </c>
      <c r="HX303" s="218" t="e">
        <f t="shared" ca="1" si="1140"/>
        <v>#N/A</v>
      </c>
      <c r="HY303" s="219" t="e">
        <f ca="1">IF(Control!$C$114=1, $EB303*$FS303, 0)</f>
        <v>#N/A</v>
      </c>
      <c r="HZ303" s="91" t="e">
        <f t="shared" ca="1" si="985"/>
        <v>#N/A</v>
      </c>
      <c r="IA303" s="220" t="e">
        <f ca="1">Control!$C$153*$HO303</f>
        <v>#N/A</v>
      </c>
      <c r="IB303" s="218" t="e">
        <f t="shared" ca="1" si="986"/>
        <v>#N/A</v>
      </c>
      <c r="IC303" s="220" t="e">
        <f ca="1">Control!$C$153*$HT303</f>
        <v>#N/A</v>
      </c>
      <c r="ID303" s="218" t="e">
        <f t="shared" ca="1" si="987"/>
        <v>#N/A</v>
      </c>
      <c r="IE303" s="221" t="e">
        <f ca="1">($EB303*Control!$C$159+$EF303*Control!$C$160)/(IF($GZ303&lt;&gt;0,$GZ303,1))</f>
        <v>#N/A</v>
      </c>
      <c r="IF303" s="216" t="e">
        <f t="shared" ca="1" si="988"/>
        <v>#N/A</v>
      </c>
      <c r="IG303" s="91">
        <f ca="1">IF(OR(Control!$B$198=$AH303,Control!$B$199=$AH303, Control!$B$200=$AH303, Control!$B$201=$AH303, Control!$B$202=$AH303, Control!$B$203=$AH303, Control!$B$204=$AH303, Control!$B$205=$AH303, Control!$B$206=$AH303, Control!$B$207=$AH303), 1, 0)</f>
        <v>0</v>
      </c>
      <c r="IH303" s="91">
        <f ca="1">IF($IG303=0,0, VLOOKUP($AH303,Control!$B$198:$C$207,2))</f>
        <v>0</v>
      </c>
      <c r="II303" s="222">
        <f t="shared" ca="1" si="1104"/>
        <v>0</v>
      </c>
      <c r="IJ303" s="91">
        <f>Control!$C$121</f>
        <v>0.7</v>
      </c>
      <c r="IK303" s="218">
        <f t="shared" ca="1" si="989"/>
        <v>0</v>
      </c>
      <c r="IL303" s="217" t="e">
        <f t="shared" ca="1" si="1141"/>
        <v>#N/A</v>
      </c>
      <c r="IM303" s="223" t="e">
        <f ca="1">IF(AND(Control!$C$114=1,$KH303&lt;1),$EB303*Control!$C$148*(1-$KH303), 0)</f>
        <v>#N/A</v>
      </c>
      <c r="IN303" s="217" t="e">
        <f t="shared" ca="1" si="990"/>
        <v>#DIV/0!</v>
      </c>
      <c r="IO303" s="91" t="e">
        <f ca="1">MAX(0,$IL303-$EF303*Control!$C$160)</f>
        <v>#N/A</v>
      </c>
      <c r="IP303" s="220" t="e">
        <f t="shared" ca="1" si="991"/>
        <v>#N/A</v>
      </c>
      <c r="IQ303" s="217" t="e">
        <f t="shared" ca="1" si="1105"/>
        <v>#N/A</v>
      </c>
      <c r="IR303" s="218" t="e">
        <f t="shared" ca="1" si="992"/>
        <v>#N/A</v>
      </c>
      <c r="IS303" s="217" t="e">
        <f ca="1">Control!$C$159*MAX(0,$FD303-$EN303)</f>
        <v>#N/A</v>
      </c>
      <c r="IT303" s="217" t="e">
        <f t="shared" ca="1" si="1142"/>
        <v>#N/A</v>
      </c>
      <c r="IU303" s="217" t="e">
        <f t="shared" ca="1" si="1106"/>
        <v>#N/A</v>
      </c>
      <c r="IV303" s="217" t="e">
        <f t="shared" ca="1" si="1143"/>
        <v>#N/A</v>
      </c>
      <c r="IW303" s="217" t="e">
        <f ca="1">IF(OR($AW303=1,AND($AW303=0, Control!$B$18=1,$EN303&lt;&gt;0)), $IQ303-$IU303, $IQ303)</f>
        <v>#N/A</v>
      </c>
      <c r="IX303" s="218" t="e">
        <f t="shared" ca="1" si="993"/>
        <v>#N/A</v>
      </c>
      <c r="IY303" s="218" t="e">
        <f ca="1">MAX(0,$IQ303-$EB303*Control!$C$159)</f>
        <v>#N/A</v>
      </c>
      <c r="IZ303" s="218" t="e">
        <f t="shared" ca="1" si="994"/>
        <v>#N/A</v>
      </c>
      <c r="JA303" s="216" t="e">
        <f t="shared" ca="1" si="995"/>
        <v>#N/A</v>
      </c>
      <c r="JB303" s="217" t="e">
        <f t="shared" ca="1" si="996"/>
        <v>#N/A</v>
      </c>
      <c r="JC303" s="222" t="e">
        <f ca="1">MAX(Control!$C$157*$EK303-$JT303, 0)/Control!$C$162</f>
        <v>#N/A</v>
      </c>
      <c r="JD303" s="218" t="e">
        <f t="shared" ca="1" si="997"/>
        <v>#N/A</v>
      </c>
      <c r="JE303" s="218" t="e">
        <f t="shared" ca="1" si="998"/>
        <v>#N/A</v>
      </c>
      <c r="JF303" s="218" t="e">
        <f t="shared" ca="1" si="1107"/>
        <v>#N/A</v>
      </c>
      <c r="JG303" s="218" t="e">
        <f t="shared" ca="1" si="999"/>
        <v>#N/A</v>
      </c>
      <c r="JH303" s="217" t="e">
        <f t="shared" ca="1" si="1108"/>
        <v>#N/A</v>
      </c>
      <c r="JI303" s="217" t="e">
        <f t="shared" ca="1" si="1109"/>
        <v>#N/A</v>
      </c>
      <c r="JJ303" s="217" t="e">
        <f t="shared" ca="1" si="1144"/>
        <v>#N/A</v>
      </c>
      <c r="JK303" s="217" t="e">
        <f ca="1">IF(Control!$C$114=1,IF(Control!$B$24=0,MAX(0,$JI303)*$GN303/Control!$C$64,(MAX(0,MIN($JI303,$JJ303*$GN303/Control!$C$64),0))))</f>
        <v>#N/A</v>
      </c>
      <c r="JL303" s="217" t="e">
        <f ca="1">$IK303/Control!$C$64-$JK303+$HQ303</f>
        <v>#N/A</v>
      </c>
      <c r="JM303" s="217" t="e">
        <f ca="1">IF(Control!$C$114=1,($JB303/(IF($JI303&lt;&gt;0,$JI303,1)))*$JK303,0)</f>
        <v>#N/A</v>
      </c>
      <c r="JN303" s="217" t="e">
        <f ca="1">IF(Control!$C$114=1,($JG303/(IF($JI303&lt;&gt;0,$JI303,1)))*$JK303, 0)</f>
        <v>#N/A</v>
      </c>
      <c r="JO303" s="218" t="e">
        <f t="shared" ca="1" si="1000"/>
        <v>#N/A</v>
      </c>
      <c r="JP303" s="218" t="e">
        <f ca="1">MIN(($IY303+$IO303)*Control!$C$151, $JF303-$EH303*Control!$C$161)</f>
        <v>#N/A</v>
      </c>
      <c r="JQ303" s="218" t="e">
        <f t="shared" ca="1" si="1001"/>
        <v>#N/A</v>
      </c>
      <c r="JR303" s="217" t="e">
        <f ca="1">IF($CP303-Control!$C$150&lt;0, 0, $JQ303/Control!$C$162)</f>
        <v>#N/A</v>
      </c>
      <c r="JS303" s="218" t="e">
        <f t="shared" ca="1" si="1002"/>
        <v>#N/A</v>
      </c>
      <c r="JT303" s="218" t="e">
        <f t="shared" ca="1" si="1110"/>
        <v>#N/A</v>
      </c>
      <c r="JU303" s="218" t="e">
        <f t="shared" ca="1" si="1003"/>
        <v>#N/A</v>
      </c>
      <c r="JV303" s="218" t="e">
        <f t="shared" ca="1" si="1004"/>
        <v>#N/A</v>
      </c>
      <c r="JW303" s="216" t="e">
        <f t="shared" ca="1" si="1005"/>
        <v>#N/A</v>
      </c>
      <c r="JX303" s="91" t="e">
        <f t="shared" ca="1" si="1006"/>
        <v>#N/A</v>
      </c>
      <c r="JY303" s="218" t="e">
        <f t="shared" ca="1" si="1007"/>
        <v>#N/A</v>
      </c>
      <c r="JZ303" s="217" t="e">
        <f ca="1">IF(Control!$C$114=1,($IZ303/(IF($JI303&lt;&gt;0,$JI303,1)))*$JK303, 0)</f>
        <v>#N/A</v>
      </c>
      <c r="KA303" s="218" t="e">
        <f t="shared" ca="1" si="1145"/>
        <v>#N/A</v>
      </c>
      <c r="KB303" s="218" t="e">
        <f t="shared" ca="1" si="1111"/>
        <v>#N/A</v>
      </c>
      <c r="KC303" s="218" t="e">
        <f t="shared" ca="1" si="1008"/>
        <v>#N/A</v>
      </c>
      <c r="KD303" s="218" t="e">
        <f t="shared" ca="1" si="1009"/>
        <v>#N/A</v>
      </c>
      <c r="KE303" s="218" t="e">
        <f t="shared" ca="1" si="1010"/>
        <v>#N/A</v>
      </c>
      <c r="KF303" s="218" t="e">
        <f t="shared" ca="1" si="1011"/>
        <v>#N/A</v>
      </c>
      <c r="KG303" s="216" t="e">
        <f t="shared" ca="1" si="1012"/>
        <v>#N/A</v>
      </c>
      <c r="KH303" s="221" t="e">
        <f ca="1">IF(Control!$B$24=0,1,MAX(0.001,MIN(1,IF(($IF303-$IE303)&lt;&gt;0,($KG303-$IE303)/($IF303-$IE303),1))))</f>
        <v>#N/A</v>
      </c>
      <c r="KI303" s="222" t="e">
        <f ca="1">IF(Control!$C$114=1, $KI302+ $KH302, 0)</f>
        <v>#N/A</v>
      </c>
      <c r="KJ303" s="217" t="e">
        <f t="shared" ca="1" si="1013"/>
        <v>#N/A</v>
      </c>
      <c r="KK303" s="218" t="e">
        <f t="shared" ca="1" si="1014"/>
        <v>#N/A</v>
      </c>
      <c r="KL303" s="274" t="e">
        <f ca="1">IF(Control!$B$26=3,4000000000*EXP(-8400/($G303+273)),IF(Control!$B$26=4,4000000000*EXP(-8400/($G303+273))*($KT303),0))</f>
        <v>#DIV/0!</v>
      </c>
      <c r="KM303" s="274" t="e">
        <f ca="1">IF(Control!$B$26=3,5600000000000*EXP(-9800/($G303+273)),IF(Control!$B$26=4,5600000000000*EXP(-9800/($G303+273))*$KT303,0))</f>
        <v>#DIV/0!</v>
      </c>
      <c r="KN303" s="454" t="e">
        <f t="shared" ca="1" si="1112"/>
        <v>#DIV/0!</v>
      </c>
      <c r="KO303" s="274" t="e">
        <f t="shared" ca="1" si="1113"/>
        <v>#DIV/0!</v>
      </c>
      <c r="KP303" s="454" t="e">
        <f t="shared" ca="1" si="1015"/>
        <v>#DIV/0!</v>
      </c>
      <c r="KQ303" s="454" t="e">
        <f t="shared" ca="1" si="1016"/>
        <v>#DIV/0!</v>
      </c>
      <c r="KR303" s="454" t="e">
        <f t="shared" ca="1" si="1017"/>
        <v>#DIV/0!</v>
      </c>
      <c r="KS303" s="454" t="e">
        <f t="shared" ca="1" si="1018"/>
        <v>#DIV/0!</v>
      </c>
      <c r="KT303" s="455" t="e">
        <f t="shared" ca="1" si="1019"/>
        <v>#DIV/0!</v>
      </c>
      <c r="KU303" s="456" t="e">
        <f ca="1">IF($CP303-Control!$C$149&lt;0, IF($NT303-0.01&lt;0,0,1),0)</f>
        <v>#N/A</v>
      </c>
      <c r="KV303" s="456" t="e">
        <f ca="1">IF(Control!$C$114=1,MAX(0,MIN(Control!$C$125*$KW303*$GN303,$KW303)))</f>
        <v>#DIV/0!</v>
      </c>
      <c r="KW303" s="456" t="e">
        <f t="shared" ca="1" si="1146"/>
        <v>#DIV/0!</v>
      </c>
      <c r="KX303" s="457" t="e">
        <f ca="1">IF($CP303-Control!$C$149&lt;0, IF($MR303-$OM303&lt;0,0,1),0)</f>
        <v>#N/A</v>
      </c>
      <c r="KY303" s="167">
        <f t="shared" ca="1" si="1114"/>
        <v>299</v>
      </c>
      <c r="KZ303" s="168">
        <f ca="1">1370*(1+0.033*COS(2*Control!$C$138*$AH303/365))</f>
        <v>1389.03846391816</v>
      </c>
      <c r="LA303" s="169">
        <f t="shared" ca="1" si="1115"/>
        <v>1.013896328736271</v>
      </c>
      <c r="LB303" s="169">
        <f t="shared" ca="1" si="1116"/>
        <v>-0.23612802079388742</v>
      </c>
      <c r="LC303" s="169">
        <f ca="1">ACOS(-TAN((2*Control!$B$8/360))*TAN(Calculations!$LB303))</f>
        <v>1.4992231947981618</v>
      </c>
      <c r="LD303" s="169">
        <f ca="1">((24*60)/PI())*0.082*$LA303*(($LC303*SIN(Control!$B$8*2*PI()/360))*SIN($LB303)+COS(Control!$B$8*2*PI()/360)*COS($LB303)*SIN($LC303))</f>
        <v>12.220107157361491</v>
      </c>
      <c r="LE303" s="170">
        <f t="shared" ca="1" si="1020"/>
        <v>13.172751217805724</v>
      </c>
      <c r="LF303" s="170">
        <f ca="1">SIN(Control!$C$139*Control!$B$8)*SIN($HD303)</f>
        <v>-0.17882492181246498</v>
      </c>
      <c r="LG303" s="170">
        <f ca="1">COS(Control!$C$139*Control!$B$8)*COS($HD303)</f>
        <v>0.59959765347437866</v>
      </c>
      <c r="LH303" s="170">
        <f ca="1">12*(1+2*ASIN(MAX(-1,MIN(1,$LF303/$LG303))/Control!$C$138))</f>
        <v>9.7181716617906382</v>
      </c>
      <c r="LI303" s="170">
        <f ca="1">12*(1+2*ASIN(MAX(-1,MIN(1,(-SIN(-4*Control!$C$139)+$LF303)/$LG303))/Control!$C$138))</f>
        <v>10.609593214423692</v>
      </c>
      <c r="LJ303" s="168">
        <f ca="1">3600*($LH303*$LF303+24*$LG303*SQRT(1-$LK303*$LK303)/Control!$C$138)</f>
        <v>9483.3595756941122</v>
      </c>
      <c r="LK303" s="170">
        <f t="shared" ca="1" si="1021"/>
        <v>-0.29824153042671359</v>
      </c>
      <c r="LL303" s="170">
        <f t="shared" ca="1" si="1022"/>
        <v>0</v>
      </c>
      <c r="LM303" s="171">
        <f ca="1">Control!$C$145*$AB303</f>
        <v>6.6660906138995932E-2</v>
      </c>
      <c r="LN303" s="170">
        <f t="shared" ca="1" si="1117"/>
        <v>0.54</v>
      </c>
      <c r="LO303" s="170">
        <f t="shared" ca="1" si="1023"/>
        <v>0</v>
      </c>
      <c r="LP303" s="170">
        <f ca="1">Control!$C$140*((($D303+273.16)^4+($E303+273.16)^4)/2)*(0.34-0.14*SQRT($Y303))*(1.35*$AQ303/(0.75*$LD303)-0.35)</f>
        <v>-3.2464704755046001</v>
      </c>
      <c r="LQ303" s="170">
        <f ca="1">Control!$C$140*($G303+273)^4*(0.56-0.079*SQRT($Y303*10))*(0.1+0.9*$LO303)</f>
        <v>1.5241745131704001</v>
      </c>
      <c r="LR303" s="170">
        <f ca="1">$AQ303*(1-Control!$C$142)-$LQ303</f>
        <v>-1.5241745131704001</v>
      </c>
      <c r="LS303" s="170">
        <f ca="1">$AQ303*(1-Control!$C$143)-$LQ303</f>
        <v>-1.5241745131704001</v>
      </c>
      <c r="LT303" s="170">
        <f ca="1">$AQ303*(1-Control!$C$144)-$LQ303</f>
        <v>-1.5241745131704001</v>
      </c>
      <c r="LU303" s="169">
        <f ca="1">(1-Control!$C$144)*AQ303-LP303</f>
        <v>3.2464704755046001</v>
      </c>
      <c r="LV303" s="172">
        <f t="shared" ca="1" si="1024"/>
        <v>0.79430000000000012</v>
      </c>
      <c r="LW303" s="170">
        <f t="shared" ca="1" si="1025"/>
        <v>1.5886000000000002</v>
      </c>
      <c r="LX303" s="170">
        <f ca="1">($AC303*($LR303/Control!$C$141)+$LM303*$LV303)/($AC303+$LM303)</f>
        <v>0.23530094218323697</v>
      </c>
      <c r="LY303" s="170">
        <f ca="1">($AC303*($LS303/Control!$C$141)+$LM303*$LV303)/($AC303+$LM303)</f>
        <v>0.23530094218323697</v>
      </c>
      <c r="LZ303" s="170">
        <f t="shared" ca="1" si="1026"/>
        <v>0.23530094218323697</v>
      </c>
      <c r="MA303" s="170">
        <f t="shared" ca="1" si="1027"/>
        <v>0.23530094218323697</v>
      </c>
      <c r="MB303" s="170" t="e">
        <f t="shared" ca="1" si="1028"/>
        <v>#N/A</v>
      </c>
      <c r="MC303" s="170">
        <f t="shared" ca="1" si="1118"/>
        <v>0.6018</v>
      </c>
      <c r="MD303" s="170">
        <f t="shared" ca="1" si="1029"/>
        <v>0.52989392535414004</v>
      </c>
      <c r="ME303" s="170">
        <f ca="1">($AC303*($LT303/Control!$C$141)+$LM303*$LW303)/($AC303+$LM303)</f>
        <v>0.71612369323045078</v>
      </c>
      <c r="MF303" s="170" t="e">
        <f ca="1">IF(Control!$B$16&gt;=1000,0.92,IF(AND(720&lt;=Control!$B$16,1000&gt;Control!$B$16),(0.95+(Control!$B$16-720)*((0.92-0.95)/(1000-720))),IF(AND(360&lt;=Control!$B$16,720&gt;Control!$B$16),(1+(Control!$B$16-360)*((0.95-1)/(720-360))),IF(AND(40&lt;=Control!$B$16,360&gt;Control!$B$16),(1.05+(Control!$B$16-40)*((1.05-1)/(360-40)))))))</f>
        <v>#N/A</v>
      </c>
      <c r="MG303" s="170">
        <f t="shared" ca="1" si="1030"/>
        <v>0.71612369323045078</v>
      </c>
      <c r="MH303" s="170" t="e">
        <f t="shared" ca="1" si="1156"/>
        <v>#N/A</v>
      </c>
      <c r="MI303" s="170" t="e">
        <f t="shared" ca="1" si="1156"/>
        <v>#N/A</v>
      </c>
      <c r="MJ303" s="170" t="e">
        <f ca="1">MAX(0.0001, Control!$C$132*$MI303*$DL303)</f>
        <v>#N/A</v>
      </c>
      <c r="MK303" s="170">
        <f ca="1">1/(0.76+1.5*($MG303/10))-(5-Control!$C$110)*0.1</f>
        <v>1.002845988140797</v>
      </c>
      <c r="ML303" s="173">
        <f ca="1">IF(Control!$C$110&lt;3,$MK303+($MG303-0.6)/(Control!$C$110*(Control!$C$110+3)), MAX(0.1, MIN(0.95,$MK303)))</f>
        <v>0.95</v>
      </c>
      <c r="MM303" s="173">
        <f ca="1">IF(Control!$C$110&lt;3,$MK303+(($MI303/10)-0.6)/(Control!$C$110*(Control!$C$110+3)), MAX(0.1, MIN(0.95,$MK303)))</f>
        <v>0.95</v>
      </c>
      <c r="MN303" s="173">
        <f ca="1">(1-$MM303)*(Control!$C$128-Control!$C$127)+Control!$C$127</f>
        <v>0.16</v>
      </c>
      <c r="MO303" s="170" t="e">
        <f ca="1">MAX(0,MIN(1,($MS303-Control!$C$127)/($MN303-Control!$C$127)))</f>
        <v>#DIV/0!</v>
      </c>
      <c r="MP303" s="173" t="e">
        <f ca="1">1/(0.76+1.5*$MI303)-(5-Control!$C$110)*0.1</f>
        <v>#N/A</v>
      </c>
      <c r="MQ303" s="172" t="e">
        <f t="shared" ca="1" si="1147"/>
        <v>#DIV/0!</v>
      </c>
      <c r="MR303" s="168" t="e">
        <f t="shared" ca="1" si="1119"/>
        <v>#DIV/0!</v>
      </c>
      <c r="MS303" s="173" t="e">
        <f ca="1">MAX(Control!$C$127, MIN(Control!$C$135, $MR303/MAX(0.0001,$CY303)))</f>
        <v>#DIV/0!</v>
      </c>
      <c r="MT303" s="168" t="e">
        <f ca="1">(Control!$C$128-$MS303)*Control!$C$74</f>
        <v>#DIV/0!</v>
      </c>
      <c r="MU303" s="168" t="e">
        <f ca="1">(Control!$C$135-$MS303)*Control!$C$74</f>
        <v>#DIV/0!</v>
      </c>
      <c r="MV303" s="168" t="e">
        <f t="shared" ca="1" si="1120"/>
        <v>#DIV/0!</v>
      </c>
      <c r="MW303" s="168" t="e">
        <f t="shared" ca="1" si="1121"/>
        <v>#DIV/0!</v>
      </c>
      <c r="MX303" s="171" t="e">
        <f ca="1">MAX(Control!$C$127, MIN(Control!$C$135, $MW303/MAX(0.0001,Control!$C$119-$CY303)))</f>
        <v>#DIV/0!</v>
      </c>
      <c r="MY303" s="54" t="e">
        <f ca="1">IF(Control!$C$114=1, $CX303*$MX303, 0)</f>
        <v>#DIV/0!</v>
      </c>
      <c r="MZ303" s="54" t="e">
        <f t="shared" ca="1" si="1122"/>
        <v>#N/A</v>
      </c>
      <c r="NA303" s="168" t="e">
        <f ca="1">(Control!$C$128-$MX303)*(Control!$C$119-Control!$C$74)</f>
        <v>#DIV/0!</v>
      </c>
      <c r="NB303" s="168" t="e">
        <f ca="1">(Control!$C$135-$MX303)*(Control!$C$119-Control!$C$74)</f>
        <v>#DIV/0!</v>
      </c>
      <c r="NC303" s="174" t="e">
        <f t="shared" ca="1" si="1123"/>
        <v>#DIV/0!</v>
      </c>
      <c r="ND303" s="54">
        <f ca="1">IF(Control!$C$58=2, IF(OR(Control!$B$218=$AH303,Control!$B$219=$AH303, Control!$B$220=$AH303, Control!$B$221=$AH303, Control!$B$222=$AH303, Control!$B$223=$AH303, Control!$B$224=$AH303, Control!$B$225=$AH303, Control!$B$226=$AH303, Control!$B$227=$AH303, Control!$B$228=$AH303), 1, 0), 0)</f>
        <v>0</v>
      </c>
      <c r="NE303" s="54">
        <f ca="1">IF($ND303=0,0, VLOOKUP($AH303,Control!$B$218:$C$228,2))</f>
        <v>0</v>
      </c>
      <c r="NF303" s="168" t="e">
        <f ca="1">$CY303*(Control!$C$128-Control!$C$127)</f>
        <v>#N/A</v>
      </c>
      <c r="NG303" s="54" t="e">
        <f ca="1">IF(Control!$C$58=2, $NI302-$NJ302, 0)</f>
        <v>#DIV/0!</v>
      </c>
      <c r="NH303" s="54" t="e">
        <f ca="1">IF(AND(Control!$C$58=1, $MS302&lt;= ($MN302+0.02), $I302&lt;10), 0, IF(Control!$C$58=2, $NG302, 0))</f>
        <v>#DIV/0!</v>
      </c>
      <c r="NI303" s="54" t="e">
        <f ca="1">IF(Control!$C$58=2, $NE303+$NH303,0)</f>
        <v>#DIV/0!</v>
      </c>
      <c r="NJ303" s="54" t="e">
        <f ca="1">IF(AND(Control!$C$58=1, $MS303&lt;= ($MN303+0.02), $I303&lt;10), MAX(0, MIN(10, 0.7*($NF303-$MV303))), IF(Control!$C$58=2, MIN(10,$NI303),0))</f>
        <v>#DIV/0!</v>
      </c>
      <c r="NK303" s="54" t="e">
        <f t="shared" ca="1" si="1031"/>
        <v>#DIV/0!</v>
      </c>
      <c r="NL303" s="173" t="e">
        <f ca="1">(1-Control!$C$73)*$I303+$NJ303</f>
        <v>#DIV/0!</v>
      </c>
      <c r="NM303" s="172" t="e">
        <f ca="1">IF($NL303&lt;0.5, $MB303* MAX(0, MIN(1, (SQRT($NC303)-SQRT($NC303-1))*Control!$C$71)),0)</f>
        <v>#DIV/0!</v>
      </c>
      <c r="NN303" s="170" t="e">
        <f ca="1">IF($NL303&gt;=5, $MB303, MAX(0,MIN($MB303, $NM303+$NL303,($MS303-Control!$C$129))))</f>
        <v>#DIV/0!</v>
      </c>
      <c r="NO303" s="54">
        <f>IF(Control!$C$133&lt;&gt;1, Control!$C$135-Control!$C$131, 0)</f>
        <v>0.38</v>
      </c>
      <c r="NP303" s="54" t="e">
        <f t="shared" ca="1" si="1032"/>
        <v>#DIV/0!</v>
      </c>
      <c r="NQ303" s="173" t="e">
        <f ca="1">MAX(0,MIN(1,(Control!$C$135-$MS303)/(Control!$C$135-$NO303)))</f>
        <v>#DIV/0!</v>
      </c>
      <c r="NR303" s="170" t="e">
        <f ca="1">IF(Control!$C$133&lt;&gt;1, $NQ303+((1-$NP303/4)*(1-$NQ303)),1)</f>
        <v>#DIV/0!</v>
      </c>
      <c r="NS303" s="170" t="e">
        <f ca="1">IF(Control!$B$31=0,$MJ303,MAX(0,MIN($MV303,$MO303*$NR303*$MJ303)))</f>
        <v>#DIV/0!</v>
      </c>
      <c r="NT303" s="170" t="e">
        <f t="shared" ca="1" si="1148"/>
        <v>#DIV/0!</v>
      </c>
      <c r="NU303" s="170" t="e">
        <f t="shared" ca="1" si="1124"/>
        <v>#N/A</v>
      </c>
      <c r="NV303" s="170" t="e">
        <f t="shared" ca="1" si="1033"/>
        <v>#N/A</v>
      </c>
      <c r="NW303" s="175" t="e">
        <f t="shared" ca="1" si="1034"/>
        <v>#DIV/0!</v>
      </c>
      <c r="NX303" s="170" t="e">
        <f ca="1">MIN(Control!$C$72+$MU303, $NW303)</f>
        <v>#DIV/0!</v>
      </c>
      <c r="NY303" s="170" t="e">
        <f ca="1">IF($MT303&lt;=$NX303,MIN(Control!$C$72+$NB303,$NX303-$MT303),0)</f>
        <v>#DIV/0!</v>
      </c>
      <c r="NZ303" s="54" t="e">
        <f ca="1">IF(Control!$C$114=1,  $CX303*($MX303-Control!$C$127), 0)</f>
        <v>#DIV/0!</v>
      </c>
      <c r="OA303" s="170" t="e">
        <f t="shared" ca="1" si="1035"/>
        <v>#DIV/0!</v>
      </c>
      <c r="OB303" s="170" t="e">
        <f ca="1">IF($NA303 &lt;=$NY303, MIN(Control!$C$72, $NY303-$NA303), 0)</f>
        <v>#DIV/0!</v>
      </c>
      <c r="OC303" s="168" t="e">
        <f t="shared" ca="1" si="1036"/>
        <v>#DIV/0!</v>
      </c>
      <c r="OD303" s="168" t="e">
        <f t="shared" ca="1" si="1125"/>
        <v>#DIV/0!</v>
      </c>
      <c r="OE303" s="170">
        <f ca="1">Control!$C$73*$I303</f>
        <v>0</v>
      </c>
      <c r="OF303" s="176" t="e">
        <f t="shared" ca="1" si="1037"/>
        <v>#DIV/0!</v>
      </c>
      <c r="OG303" s="168" t="e">
        <f t="shared" ca="1" si="1038"/>
        <v>#DIV/0!</v>
      </c>
      <c r="OH303" s="168" t="e">
        <f t="shared" ca="1" si="1039"/>
        <v>#DIV/0!</v>
      </c>
      <c r="OI303" s="168" t="e">
        <f t="shared" ca="1" si="1040"/>
        <v>#DIV/0!</v>
      </c>
      <c r="OJ303" s="168" t="e">
        <f t="shared" ca="1" si="1041"/>
        <v>#DIV/0!</v>
      </c>
      <c r="OK303" s="204" t="e">
        <f t="shared" ca="1" si="1042"/>
        <v>#DIV/0!</v>
      </c>
      <c r="OL303" s="177">
        <f>Control!$C$127</f>
        <v>0.15</v>
      </c>
      <c r="OM303" s="182" t="e">
        <f t="shared" ca="1" si="1043"/>
        <v>#N/A</v>
      </c>
      <c r="ON303" s="177">
        <f>Control!$C$128</f>
        <v>0.35</v>
      </c>
      <c r="OO303" s="182" t="e">
        <f t="shared" ca="1" si="1044"/>
        <v>#N/A</v>
      </c>
      <c r="OP303" s="138">
        <f t="shared" ca="1" si="1126"/>
        <v>0</v>
      </c>
      <c r="OQ303" s="138" t="e">
        <f t="shared" ca="1" si="1149"/>
        <v>#DIV/0!</v>
      </c>
      <c r="OR303" s="138" t="e">
        <f t="shared" ca="1" si="1127"/>
        <v>#DIV/0!</v>
      </c>
      <c r="OS303" s="137" t="e">
        <f t="shared" ca="1" si="1150"/>
        <v>#DIV/0!</v>
      </c>
      <c r="OT303" s="139" t="e">
        <f t="shared" ca="1" si="1151"/>
        <v>#DIV/0!</v>
      </c>
      <c r="OU303" s="138" t="e">
        <f t="shared" ca="1" si="1152"/>
        <v>#N/A</v>
      </c>
      <c r="OV303" s="138" t="e">
        <f t="shared" ca="1" si="1153"/>
        <v>#DIV/0!</v>
      </c>
      <c r="OW303" s="138" t="e">
        <f t="shared" ca="1" si="1128"/>
        <v>#DIV/0!</v>
      </c>
      <c r="OX303" s="138" t="e">
        <f t="shared" ca="1" si="1129"/>
        <v>#DIV/0!</v>
      </c>
      <c r="OY303" s="138" t="e">
        <f t="shared" ca="1" si="1130"/>
        <v>#DIV/0!</v>
      </c>
      <c r="OZ303" s="138" t="e">
        <f t="shared" ca="1" si="1045"/>
        <v>#DIV/0!</v>
      </c>
      <c r="PA303" s="138" t="e">
        <f t="shared" ca="1" si="1046"/>
        <v>#DIV/0!</v>
      </c>
      <c r="PB303" s="55">
        <f>IF(Control!$C$61="T", IF(Control!$C$65="F", IF($AH$6-Control!$C$60&lt;0,0,1), IF(365+$AH$6-Control!$C$60&lt;0,0,1)),0)</f>
        <v>0</v>
      </c>
      <c r="PC303" s="55">
        <f ca="1">IF(Control!$C$65="F", IF($AH$6-$HF303&lt;0,0,1), IF(365+$AH$6-$HF303&lt;0,0,1))</f>
        <v>1</v>
      </c>
      <c r="PD303" s="444">
        <f>Control!$C$118</f>
        <v>1500</v>
      </c>
      <c r="PE303" s="180" t="e">
        <f t="shared" ca="1" si="1047"/>
        <v>#N/A</v>
      </c>
      <c r="PF303" s="445">
        <f t="shared" ca="1" si="1131"/>
        <v>0.71612369323045078</v>
      </c>
      <c r="PT303" s="186"/>
      <c r="PU303" s="186"/>
      <c r="PV303" s="94"/>
      <c r="PW303" s="94"/>
      <c r="PX303" s="94"/>
      <c r="PY303" s="94"/>
      <c r="PZ303" s="94"/>
      <c r="QA303" s="94"/>
      <c r="QB303" s="94"/>
      <c r="QC303" s="94"/>
      <c r="QD303" s="94"/>
      <c r="QE303" s="94"/>
      <c r="QF303" s="94"/>
      <c r="QG303" s="94"/>
      <c r="QH303" s="94"/>
      <c r="QI303" s="94"/>
      <c r="QJ303" s="94"/>
      <c r="QK303" s="94"/>
      <c r="QL303" s="94"/>
      <c r="QM303" s="94"/>
      <c r="QN303" s="94"/>
      <c r="QO303" s="94"/>
      <c r="QP303" s="94"/>
    </row>
    <row r="304" spans="1:458" s="2" customFormat="1" x14ac:dyDescent="0.2">
      <c r="A304" s="395">
        <v>26</v>
      </c>
      <c r="B304" s="396">
        <v>10</v>
      </c>
      <c r="C304" s="387">
        <f ca="1">Weather_data!$B303</f>
        <v>0</v>
      </c>
      <c r="D304" s="388">
        <f ca="1">Weather_data!$F303</f>
        <v>0</v>
      </c>
      <c r="E304" s="388">
        <f ca="1">Weather_data!$E303</f>
        <v>0</v>
      </c>
      <c r="F304" s="388">
        <f t="shared" ca="1" si="1048"/>
        <v>0</v>
      </c>
      <c r="G304" s="388">
        <f ca="1">AVERAGE($D304:$E304)+Control!$B$9</f>
        <v>0</v>
      </c>
      <c r="H304" s="388">
        <f ca="1">Weather_data!$G303</f>
        <v>0</v>
      </c>
      <c r="I304" s="388">
        <f ca="1">Weather_data!$I303</f>
        <v>0</v>
      </c>
      <c r="J304" s="388">
        <f ca="1">Weather_data!$H303</f>
        <v>0</v>
      </c>
      <c r="K304" s="389">
        <f ca="1">Weather_data!$D303</f>
        <v>0</v>
      </c>
      <c r="L304" s="388" t="e">
        <f t="shared" ca="1" si="1049"/>
        <v>#N/A</v>
      </c>
      <c r="M304" s="388" t="e">
        <f t="shared" ca="1" si="927"/>
        <v>#N/A</v>
      </c>
      <c r="N304" s="388">
        <f t="shared" ca="1" si="928"/>
        <v>-1.1567454962251807E-14</v>
      </c>
      <c r="O304" s="388">
        <f t="shared" ca="1" si="1050"/>
        <v>1.1567454962251807E-13</v>
      </c>
      <c r="P304" s="390">
        <v>3</v>
      </c>
      <c r="Q304" s="388">
        <f ca="1">MAX($G304-Control!$C$107,0)</f>
        <v>0</v>
      </c>
      <c r="R304" s="388">
        <f t="shared" ca="1" si="1051"/>
        <v>0</v>
      </c>
      <c r="S304" s="388">
        <f t="shared" ca="1" si="929"/>
        <v>0</v>
      </c>
      <c r="T304" s="388">
        <f t="shared" ca="1" si="930"/>
        <v>0</v>
      </c>
      <c r="U304" s="59">
        <f t="shared" ca="1" si="931"/>
        <v>0</v>
      </c>
      <c r="V304" s="391">
        <f ca="1">MAX(0,MIN(Control!$C$100-Control!$C$99,$G304-Control!$C$99)*Control!$C$63)</f>
        <v>0</v>
      </c>
      <c r="W304" s="388">
        <f t="shared" ca="1" si="1052"/>
        <v>0</v>
      </c>
      <c r="X304" s="388">
        <f t="shared" ca="1" si="1053"/>
        <v>0.6110000000000001</v>
      </c>
      <c r="Y304" s="388">
        <f t="shared" ca="1" si="932"/>
        <v>0</v>
      </c>
      <c r="Z304" s="388">
        <f t="shared" ca="1" si="1054"/>
        <v>0.61058800000000002</v>
      </c>
      <c r="AA304" s="388">
        <f t="shared" ca="1" si="933"/>
        <v>0.6018</v>
      </c>
      <c r="AB304" s="388">
        <f ca="1">101.3*EXP(-0.034*Control!$C$66/($G304+273))</f>
        <v>100.69623283836242</v>
      </c>
      <c r="AC304" s="392">
        <f t="shared" ca="1" si="934"/>
        <v>4.3460251046025113E-2</v>
      </c>
      <c r="AD304" s="392">
        <f t="shared" ca="1" si="935"/>
        <v>4.4450382862832649E-2</v>
      </c>
      <c r="AE304" s="388">
        <f t="shared" ca="1" si="936"/>
        <v>0</v>
      </c>
      <c r="AF304" s="388">
        <f ca="1">MAX(0,$G304-Control!$C$92)</f>
        <v>0</v>
      </c>
      <c r="AG304" s="393">
        <f t="shared" ca="1" si="937"/>
        <v>300</v>
      </c>
      <c r="AH304" s="389">
        <f t="shared" ca="1" si="938"/>
        <v>300</v>
      </c>
      <c r="AI304" s="388">
        <f t="shared" ca="1" si="1055"/>
        <v>-0.23467324744400883</v>
      </c>
      <c r="AJ304" s="388">
        <f ca="1">IF(Control!$C$60&lt;=0,$HH304,$HI304)</f>
        <v>1</v>
      </c>
      <c r="AK304" s="388">
        <f t="shared" ca="1" si="939"/>
        <v>3.7871253906287921</v>
      </c>
      <c r="AL304" s="388">
        <f t="shared" ca="1" si="940"/>
        <v>-7.5741982130672617E-18</v>
      </c>
      <c r="AM304" s="388">
        <f t="shared" ca="1" si="941"/>
        <v>3.7871253906287921</v>
      </c>
      <c r="AN304" s="388">
        <f t="shared" ca="1" si="942"/>
        <v>-0.24167167232268741</v>
      </c>
      <c r="AO304" s="388">
        <f ca="1">-0.10453/COS(Control!$B$8*PI()/180)*COS(AN304)</f>
        <v>-0.16485078991534513</v>
      </c>
      <c r="AP304" s="388">
        <f ca="1">ACOS(AO304-TAN(Control!$B$8*PI()/180)*TAN(AN304))</f>
        <v>1.4195796722291822</v>
      </c>
      <c r="AQ304" s="388">
        <f t="shared" ca="1" si="1056"/>
        <v>0</v>
      </c>
      <c r="AR304" s="394">
        <f t="shared" ca="1" si="943"/>
        <v>0</v>
      </c>
      <c r="AS304" s="436">
        <f ca="1">IF(Control!$B$18=2,(IF(OR($AH304=Control!$B$175,$AH304=Control!$B$176,$AH304=Control!$B$177,$AH304=Control!$B$178,$AH304=Control!$B$179,$AH304=Control!$B$180,$AH304=Control!$B$181,$AH304=Control!$B$182,$AH304=Control!$B$183,$AH304=Control!$B$184,$AH304=Control!$B$185),1,0)),0)</f>
        <v>0</v>
      </c>
      <c r="AT304" s="436">
        <f>IF(Control!$B$20=8,IF(AND($AH304&gt;=Control!$B$172,$AH304&lt;=Control!$B$173),1,0),0)</f>
        <v>0</v>
      </c>
      <c r="AU304" s="436">
        <f>IF(Control!$B$20=8,IF($AV303=1,1*$AT304,IF($AT304=1,$AU303+1,$AU303)),0)</f>
        <v>0</v>
      </c>
      <c r="AV304" s="436">
        <f>IF(Control!$B$20=8,IF($AU304&gt;=Control!$B$174,1,0),0)</f>
        <v>0</v>
      </c>
      <c r="AW304" s="436">
        <f ca="1">IF(AND(Control!$B$18=2,Control!$B$171=1), $AV304, $AS304)</f>
        <v>0</v>
      </c>
      <c r="AX304" s="436" t="e">
        <f ca="1">IF(AND(Control!$B$18=1,$EU304&gt;=Control!$B$19),-$AY304,IF(AND(Control!$B$18=2,$AW304=1,$EU304&gt;$DS304),-$AY304, IF(Control!$C$108=0,0, IF(Control!$C$108&lt;&gt;0,1))))</f>
        <v>#N/A</v>
      </c>
      <c r="AY304" s="436" t="e">
        <f t="shared" ca="1" si="1057"/>
        <v>#N/A</v>
      </c>
      <c r="AZ304" s="436" t="e">
        <f ca="1">IF(AND(Control!$B$18=1,$EB304&gt;Control!$B$19),$AZ303+1, IF(AND(Control!$B$18=2, $AW304=1, $EB304&gt;$DS304), $AZ303+1,$AZ303))</f>
        <v>#N/A</v>
      </c>
      <c r="BA304" s="587">
        <f>IF(Control!$C$81=0,1,IF($AH304&gt;=Control!$C$82,1,0))</f>
        <v>1</v>
      </c>
      <c r="BB304" s="140" t="e">
        <f ca="1">IF($BA304&gt;$BA303,Control!$C$83,IF($AW304&gt;0,$AW304*Control!$C$84,IF(AND(Control!$B$18=1,EN303&lt;&gt;0),Control!$C$84,0)))</f>
        <v>#N/A</v>
      </c>
      <c r="BC304" s="140" t="e">
        <f t="shared" ca="1" si="1058"/>
        <v>#N/A</v>
      </c>
      <c r="BD304" s="140" t="e">
        <f ca="1">BC304*IF(OR($G304&lt;Control!$C$92,$G304&gt;Control!$C$95),0,IF(AND($G304&gt;=Control!$C$92,$G304&lt;=Control!$C$93),$G304-Control!$C$92,IF(AND($G304&gt;Control!$C$93,$G304&lt;=Control!$C$94),Control!$C$93-Control!$C$92,IF(AND($G304&gt;Control!$C$94,$G304&lt;=Control!$C$95),(Control!$C$93-Control!$C$92)*(Control!$C$94-$G304)/(Control!$C$95-Control!$C$94)))))</f>
        <v>#N/A</v>
      </c>
      <c r="BE304" s="140" t="e">
        <f t="shared" ca="1" si="1059"/>
        <v>#N/A</v>
      </c>
      <c r="BF304" s="140" t="e">
        <f ca="1">IF($BE304&lt;=Control!$C$86,$BE304,Control!$C$86-$BE304)</f>
        <v>#N/A</v>
      </c>
      <c r="BG304" s="140" t="e">
        <f ca="1">IF(AND($AW304=1,Control!$C$84&lt;9),1,IF($BE304&gt;=Control!$C$86,0,$BC304))</f>
        <v>#N/A</v>
      </c>
      <c r="BH304" s="404" t="e">
        <f ca="1">IF($BG304=0,0,IF($BE304&lt;=Control!$C$86,$BC304*9*($BF304/Control!$C$86),0))</f>
        <v>#N/A</v>
      </c>
      <c r="BI304" s="140" t="e">
        <f ca="1">IF($BG304=1,0,IF($BE304&gt;=Control!$C$86,1,IF(AND($BB304&lt;21,$BB304&gt;=9),1,$BM303)))</f>
        <v>#N/A</v>
      </c>
      <c r="BJ304" s="140" t="e">
        <f ca="1">IF($BF304&lt;0,-$BF304,$BI304*IF(OR($G304&lt;Control!$C$92,$G304&gt;Control!$C$95),0,IF(AND($G304&gt;=Control!$C$92,$G304&lt;=Control!$C$93),$G304-Control!$C$92,IF(AND($G304&gt;Control!$C$93,$G304&lt;=Control!$C$94),Control!$C$93-Control!$C$92,IF(AND($G304&gt;Control!$C$94,$G304&lt;=Control!$C$95),(Control!$C$93-Control!$C$92)*(Control!$C$94-$G304)/(Control!$C$95-Control!$C$94))))))</f>
        <v>#N/A</v>
      </c>
      <c r="BK304" s="140" t="e">
        <f t="shared" ca="1" si="1060"/>
        <v>#N/A</v>
      </c>
      <c r="BL304" s="140" t="e">
        <f ca="1">IF($BK304&lt;=Control!$C$87,$BK304,Control!$C$87-$BK304)</f>
        <v>#N/A</v>
      </c>
      <c r="BM304" s="140" t="e">
        <f ca="1">IF(AND($BB304&gt;=9,$BB304&lt;21),1,IF($BK304&gt;=Control!$C$87,0,$BI304))</f>
        <v>#N/A</v>
      </c>
      <c r="BN304" s="404" t="e">
        <f ca="1">IF($BM304=0,0,IF($BK304&lt;=Control!$C$87,$BI304*(9+(21-9)*($BL304/Control!$C$87)),0))</f>
        <v>#N/A</v>
      </c>
      <c r="BO304" s="140" t="e">
        <f ca="1">IF($BM304=1,0,IF($BK304&gt;=Control!$C$87,1,IF(AND($BB304&lt;30,$BB304&gt;=21),1,$BS303)))</f>
        <v>#N/A</v>
      </c>
      <c r="BP304" s="140" t="e">
        <f ca="1">IF($BL304&lt;0,-$BL304,$BO304*IF(OR($G304&lt;Control!$C$92,$G304&gt;Control!$C$95),0,IF(AND($G304&gt;=Control!$C$92,$G304&lt;=Control!$C$93),$G304-Control!$C$92,IF(AND($G304&gt;Control!$C$93,$G304&lt;=Control!$C$94),Control!$C$93-Control!$C$92,IF(AND($G304&gt;Control!$C$94,$G304&lt;=Control!$C$95),(Control!$C$93-Control!$C$92)*(Control!$C$94-$G304)/(Control!$C$95-Control!$C$94))))))</f>
        <v>#N/A</v>
      </c>
      <c r="BQ304" s="140" t="e">
        <f t="shared" ca="1" si="944"/>
        <v>#N/A</v>
      </c>
      <c r="BR304" s="140" t="e">
        <f ca="1">IF($BQ304&lt;=Control!$C$88,$BQ304,Control!$C$88-$BQ304)</f>
        <v>#N/A</v>
      </c>
      <c r="BS304" s="140" t="e">
        <f ca="1">IF(AND($BB304&gt;=21,$BB304&lt;30),1,IF($BQ304&gt;=Control!$C$88,0,$BO304))</f>
        <v>#N/A</v>
      </c>
      <c r="BT304" s="404" t="e">
        <f ca="1">IF($BS304=0,0,IF($BQ304&lt;=Control!$C$88,$BO304*(21+(30-21)*(BR304/Control!$C$88)),0))</f>
        <v>#N/A</v>
      </c>
      <c r="BU304" s="140" t="e">
        <f ca="1">IF(BG304+BM304+BS304=1,0,IF(OR(AND($BB304&lt;60,$BB304&gt;=30),$BQ304&gt;=Control!$C$88),1*$BA304,$BY303))</f>
        <v>#N/A</v>
      </c>
      <c r="BV304" s="140" t="e">
        <f ca="1">IF($BR304&lt;0,-$BR304,$BU304*IF(OR($G304&lt;Control!$C$92,$G304&gt;Control!$C$95),0,IF(AND($G304&gt;=Control!$C$92,$G304&lt;=Control!$C$93),$G304-Control!$C$92,IF(AND($G304&gt;Control!$C$93,$G304&lt;=Control!$C$94),Control!$C$93-Control!$C$92,IF(AND($G304&gt;Control!$C$94,$G304&lt;=Control!$C$95),(Control!$C$93-Control!$C$92)*(Control!$C$94-$G304)/(Control!$C$95-Control!$C$94))))))</f>
        <v>#N/A</v>
      </c>
      <c r="BW304" s="140" t="e">
        <f t="shared" ca="1" si="945"/>
        <v>#N/A</v>
      </c>
      <c r="BX304" s="140" t="e">
        <f ca="1">IF($BW304&lt;=Control!$C$89,$BW304,Control!$C$89-$BW304)</f>
        <v>#N/A</v>
      </c>
      <c r="BY304" s="140" t="e">
        <f ca="1">IF(AND($AJ304&gt;=30,$AJ304&lt;60),1,IF($BW304&gt;=Control!$C$89,0,$BU304))</f>
        <v>#N/A</v>
      </c>
      <c r="BZ304" s="404" t="e">
        <f ca="1">IF($BY304=0,0,IF($BW304&lt;=Control!$C$89,$BU304*(30+(60-30)*(BX304/Control!$C$89)),0))</f>
        <v>#N/A</v>
      </c>
      <c r="CA304" s="140" t="e">
        <f ca="1">IF($BG304+$BM304+$BS304+$BY304=1,0,IF(OR(AND($BB304&lt;65,$BB304&gt;=60),$BW304&gt;=Control!$C$89),1*$BA304,$CE303))</f>
        <v>#N/A</v>
      </c>
      <c r="CB304" s="140" t="e">
        <f ca="1">IF($BX304&lt;0,-$BX304,$CA304*IF(OR($G304&lt;Control!$C$92,$G304&gt;Control!$C$95),0,IF(AND($G304&gt;=Control!$C$92,$G304&lt;=Control!$C$93),$G304-Control!$C$92,IF(AND($G304&gt;Control!$C$93,$G304&lt;=Control!$C$94),Control!$C$93-Control!$C$92,IF(AND($G304&gt;Control!$C$94,$G304&lt;=Control!$C$95),(Control!$C$93-Control!$C$92)*(Control!$C$94-$G304)/(Control!$C$95-Control!$C$94))))))</f>
        <v>#N/A</v>
      </c>
      <c r="CC304" s="140" t="e">
        <f t="shared" ca="1" si="1061"/>
        <v>#N/A</v>
      </c>
      <c r="CD304" s="140" t="e">
        <f ca="1">IF($CC304&lt;=Control!$C$90,$CC304,Control!$C$90-$CC304)</f>
        <v>#N/A</v>
      </c>
      <c r="CE304" s="140" t="e">
        <f ca="1">IF(AND($BB304&gt;=60,$BB304&lt;65),1,IF($CC304&gt;=Control!$C$90,0,$CA304))</f>
        <v>#N/A</v>
      </c>
      <c r="CF304" s="404" t="e">
        <f ca="1">IF($CE304=0,0,IF($CC304&lt;=Control!$C$90,$CA304*(60+(65-60)*(CD304/Control!$C$90)),0))</f>
        <v>#N/A</v>
      </c>
      <c r="CG304" s="140" t="e">
        <f ca="1">IF($BG304+$BM304+$BS304+$BY304+$CE304=1,0,IF(OR(AND($BB304&lt;90,$BB304&gt;=65),$CC304&gt;=Control!$C$90),$BA304,$CK303))</f>
        <v>#N/A</v>
      </c>
      <c r="CH304" s="140" t="e">
        <f ca="1">IF($CD304&lt;0,-$CD304,$CG304*IF(OR($G304&lt;Control!$C$92,$G304&gt;Control!$C$95),0,IF(AND($G304&gt;=Control!$C$92,$G304&lt;=Control!$C$93),$G304-Control!$C$92,IF(AND($G304&gt;Control!$C$93,$G304&lt;=Control!$C$94),Control!$C$93-Control!$C$92,IF(AND($G304&gt;Control!$C$94,$G304&lt;=Control!$C$95),(Control!$C$93-Control!$C$92)*(Control!$C$94-$G304)/(Control!$C$95-Control!$C$94))))))</f>
        <v>#N/A</v>
      </c>
      <c r="CI304" s="140" t="e">
        <f t="shared" ca="1" si="1062"/>
        <v>#N/A</v>
      </c>
      <c r="CJ304" s="140" t="e">
        <f ca="1">IF($CI304&lt;=Control!$C$91,$CI304,Control!$C$91-$CI304)</f>
        <v>#N/A</v>
      </c>
      <c r="CK304" s="140" t="e">
        <f ca="1">IF(AND($BB304&gt;=65,$BB304&lt;90),1,IF($CI304&gt;=Control!$C$91,0,$CG304))</f>
        <v>#N/A</v>
      </c>
      <c r="CL304" s="404" t="e">
        <f ca="1">IF($CK304=0,0,IF($CI304&lt;=Control!$C$91,$CG304*(65+(90-65)*($CJ304/Control!$C$91)),0))</f>
        <v>#N/A</v>
      </c>
      <c r="CM304" s="140" t="e">
        <f ca="1">IF($BG304+$BM304+$BS304+$BY304+$CE304+$CK304=1,0,IF(OR($BB304&gt;=90,$CI304&gt;=Control!$C$91),$BA304,$CM303))</f>
        <v>#N/A</v>
      </c>
      <c r="CN304" s="140" t="e">
        <f t="shared" ca="1" si="1063"/>
        <v>#N/A</v>
      </c>
      <c r="CO304" s="140" t="e">
        <f t="shared" ca="1" si="1064"/>
        <v>#N/A</v>
      </c>
      <c r="CP304" s="140" t="e">
        <f t="shared" ca="1" si="1065"/>
        <v>#N/A</v>
      </c>
      <c r="CQ304" s="141" t="e">
        <f ca="1">VLOOKUP($CP304,Control!$B$86:$G$91,6)</f>
        <v>#N/A</v>
      </c>
      <c r="CR304" s="141" t="e">
        <f ca="1">(1-$CQ304)*VLOOKUP($CP304,Control!$B$86:$D$91,3)</f>
        <v>#N/A</v>
      </c>
      <c r="CS304" s="141" t="e">
        <f ca="1">(1-$CQ304)*VLOOKUP($CP304,Control!$B$86:$E$91,4)</f>
        <v>#N/A</v>
      </c>
      <c r="CT304" s="141" t="e">
        <f ca="1">(1-$CQ304)*VLOOKUP($CP304,Control!$B$86:$F$91,5)</f>
        <v>#N/A</v>
      </c>
      <c r="CU304" s="141">
        <f t="shared" ca="1" si="1066"/>
        <v>0</v>
      </c>
      <c r="CV304" s="583">
        <f t="shared" ca="1" si="1067"/>
        <v>0</v>
      </c>
      <c r="CW304" s="142">
        <f t="shared" ca="1" si="1068"/>
        <v>300</v>
      </c>
      <c r="CX304" s="612" t="e">
        <f ca="1">IF(Control!$C$114=1,(MIN(Control!$C$120*(IF($NT304-0.01&lt;0,0,1)),Control!$C$119-$CY304)))</f>
        <v>#DIV/0!</v>
      </c>
      <c r="CY304" s="143" t="e">
        <f t="shared" ca="1" si="1069"/>
        <v>#N/A</v>
      </c>
      <c r="CZ304" s="144">
        <f t="shared" ca="1" si="946"/>
        <v>0</v>
      </c>
      <c r="DA304" s="144">
        <f t="shared" ca="1" si="947"/>
        <v>0</v>
      </c>
      <c r="DB304" s="144" t="e">
        <f t="shared" ca="1" si="948"/>
        <v>#N/A</v>
      </c>
      <c r="DC304" s="144" t="e">
        <f t="shared" ca="1" si="949"/>
        <v>#N/A</v>
      </c>
      <c r="DD304" s="144" t="e">
        <f t="shared" ca="1" si="1154"/>
        <v>#N/A</v>
      </c>
      <c r="DE304" s="143" t="e">
        <f t="shared" ca="1" si="1070"/>
        <v>#N/A</v>
      </c>
      <c r="DF304" s="145" t="e">
        <f ca="1">$DR304*EXP(-Control!$C$158*(1-$KH304))</f>
        <v>#N/A</v>
      </c>
      <c r="DG304" s="146" t="e">
        <f ca="1">IF(Control!$C$114=1, $DF304*$EY304, 0)</f>
        <v>#N/A</v>
      </c>
      <c r="DH304" s="147" t="e">
        <f t="shared" ca="1" si="1071"/>
        <v>#N/A</v>
      </c>
      <c r="DI304" s="144" t="e">
        <f t="shared" ca="1" si="1132"/>
        <v>#N/A</v>
      </c>
      <c r="DJ304" s="147" t="e">
        <f ca="1">$EF304*Control!$C$109</f>
        <v>#N/A</v>
      </c>
      <c r="DK304" s="144" t="e">
        <f t="shared" ca="1" si="1072"/>
        <v>#N/A</v>
      </c>
      <c r="DL304" s="144" t="e">
        <f t="shared" ca="1" si="950"/>
        <v>#N/A</v>
      </c>
      <c r="DM304" s="144" t="e">
        <f ca="1">IF(Control!$C$114=1, (1-EXP(-Control!$C$96*$DK304))*$AR304, 0)</f>
        <v>#N/A</v>
      </c>
      <c r="DN304" s="144">
        <f t="shared" ca="1" si="1073"/>
        <v>0</v>
      </c>
      <c r="DO304" s="148">
        <f>Control!$C$97</f>
        <v>4</v>
      </c>
      <c r="DP304" s="145" t="e">
        <f t="shared" ca="1" si="1074"/>
        <v>#N/A</v>
      </c>
      <c r="DQ304" s="145" t="e">
        <f ca="1">IF(AND($CP304&gt;=0,$CP304&lt;=90),Control!$C$111,Control!$C$111)</f>
        <v>#N/A</v>
      </c>
      <c r="DR304" s="145" t="e">
        <f t="shared" ca="1" si="951"/>
        <v>#N/A</v>
      </c>
      <c r="DS304" s="143" t="e">
        <f ca="1">Control!$B$22/$DR304</f>
        <v>#N/A</v>
      </c>
      <c r="DT304" s="149" t="e">
        <f ca="1">IF(AND(Control!$C$114=1,$KH304&lt;1),$IM304*$DF304, 0)</f>
        <v>#N/A</v>
      </c>
      <c r="DU304" s="144" t="e">
        <f t="shared" ca="1" si="1075"/>
        <v>#N/A</v>
      </c>
      <c r="DV304" s="144">
        <f ca="1">IF($G304-Control!$C$107&lt;=0, 0, 0.83*LN(MAX($G304, 3))-0.8924)</f>
        <v>0</v>
      </c>
      <c r="DW304" s="144" t="e">
        <f t="shared" ca="1" si="952"/>
        <v>#N/A</v>
      </c>
      <c r="DX304" s="150" t="e">
        <f ca="1">MAX(0.01*(1+$CU304/Control!$C$102),0.05*($DK304-Control!$C$97)/Control!$C$97)</f>
        <v>#N/A</v>
      </c>
      <c r="DY304" s="151" t="e">
        <f ca="1">IF(Control!$C$114=1, $DI304*$FS304, 0)</f>
        <v>#N/A</v>
      </c>
      <c r="DZ304" s="196" t="e">
        <f t="shared" ca="1" si="1076"/>
        <v>#N/A</v>
      </c>
      <c r="EA304" s="152">
        <f t="shared" ca="1" si="1077"/>
        <v>300</v>
      </c>
      <c r="EB304" s="153" t="e">
        <f t="shared" ca="1" si="1078"/>
        <v>#N/A</v>
      </c>
      <c r="EC304" s="153" t="e">
        <f t="shared" ca="1" si="1079"/>
        <v>#N/A</v>
      </c>
      <c r="ED304" s="154" t="e">
        <f ca="1">IF(Control!$C$114=1, $HM304*$FY304-$FD304, 0)</f>
        <v>#DIV/0!</v>
      </c>
      <c r="EE304" s="155" t="e">
        <f ca="1">IF(Control!$C$114=1, $HM304*$FZ304-$FF304, 0)</f>
        <v>#DIV/0!</v>
      </c>
      <c r="EF304" s="153" t="e">
        <f t="shared" ca="1" si="1133"/>
        <v>#N/A</v>
      </c>
      <c r="EG304" s="155" t="e">
        <f ca="1">IF(Control!$C$114=1, $GX304*$FW304-$FI304, 0)</f>
        <v>#DIV/0!</v>
      </c>
      <c r="EH304" s="153" t="e">
        <f t="shared" ca="1" si="1080"/>
        <v>#N/A</v>
      </c>
      <c r="EI304" s="156" t="e">
        <f t="shared" ca="1" si="1081"/>
        <v>#N/A</v>
      </c>
      <c r="EJ304" s="155" t="e">
        <f ca="1">IF(Control!$C$114=1, $HM304*$GB304, 0)</f>
        <v>#DIV/0!</v>
      </c>
      <c r="EK304" s="153" t="e">
        <f t="shared" ca="1" si="1134"/>
        <v>#N/A</v>
      </c>
      <c r="EL304" s="153" t="e">
        <f t="shared" ca="1" si="953"/>
        <v>#N/A</v>
      </c>
      <c r="EM304" s="153" t="e">
        <f t="shared" ca="1" si="954"/>
        <v>#N/A</v>
      </c>
      <c r="EN304" s="153" t="e">
        <f ca="1">IF(Control!$C$108=1,IF(AND(Control!$B$18=1,$EB304&gt;=Control!$B$19),$EB304-$DS304,IF(AND(Control!$B$18=2,$AW304=1,$EB304&gt;$DS304),$EB304-$DS304,0)))</f>
        <v>#N/A</v>
      </c>
      <c r="EO304" s="153" t="e">
        <f ca="1">IF(Control!$C$108=1,IF(AND(Control!$B$18=1,$EB304&gt;=Control!$B$19),$EF304,IF(AND(Control!$B$18=2,$AW304=1),$EF304,0)))</f>
        <v>#N/A</v>
      </c>
      <c r="EP304" s="153" t="e">
        <f ca="1">IF(Control!$C$108=1,IF(AND(Control!$B$18=1,$EB304&gt;=Control!$B$19),$EK304,IF(AND(Control!$B$18=2,$AW304=1),$EK304,0)))</f>
        <v>#N/A</v>
      </c>
      <c r="EQ304" s="153" t="e">
        <f t="shared" ca="1" si="1082"/>
        <v>#N/A</v>
      </c>
      <c r="ER304" s="153" t="e">
        <f t="shared" ca="1" si="1083"/>
        <v>#N/A</v>
      </c>
      <c r="ES304" s="153" t="e">
        <f t="shared" ca="1" si="1135"/>
        <v>#N/A</v>
      </c>
      <c r="ET304" s="153" t="e">
        <f t="shared" ca="1" si="1136"/>
        <v>#N/A</v>
      </c>
      <c r="EU304" s="153" t="e">
        <f t="shared" ca="1" si="1084"/>
        <v>#N/A</v>
      </c>
      <c r="EV304" s="153" t="e">
        <f t="shared" ca="1" si="955"/>
        <v>#N/A</v>
      </c>
      <c r="EW304" s="153" t="e">
        <f t="shared" ca="1" si="956"/>
        <v>#N/A</v>
      </c>
      <c r="EX304" s="153" t="e">
        <f t="shared" ca="1" si="957"/>
        <v>#N/A</v>
      </c>
      <c r="EY304" s="157" t="e">
        <f t="shared" ca="1" si="958"/>
        <v>#DIV/0!</v>
      </c>
      <c r="EZ304" s="154" t="e">
        <f t="shared" ca="1" si="959"/>
        <v>#DIV/0!</v>
      </c>
      <c r="FA304" s="153" t="e">
        <f t="shared" ca="1" si="1085"/>
        <v>#N/A</v>
      </c>
      <c r="FB304" s="153" t="e">
        <f t="shared" ca="1" si="960"/>
        <v>#N/A</v>
      </c>
      <c r="FC304" s="193" t="e">
        <f t="shared" ca="1" si="961"/>
        <v>#N/A</v>
      </c>
      <c r="FD304" s="158" t="e">
        <f t="shared" ca="1" si="1086"/>
        <v>#N/A</v>
      </c>
      <c r="FE304" s="158" t="e">
        <f t="shared" ca="1" si="1087"/>
        <v>#N/A</v>
      </c>
      <c r="FF304" s="159" t="e">
        <f t="shared" ca="1" si="962"/>
        <v>#N/A</v>
      </c>
      <c r="FG304" s="160" t="e">
        <f t="shared" ca="1" si="1088"/>
        <v>#N/A</v>
      </c>
      <c r="FH304" s="158" t="e">
        <f t="shared" ca="1" si="1089"/>
        <v>#N/A</v>
      </c>
      <c r="FI304" s="159" t="e">
        <f t="shared" ca="1" si="963"/>
        <v>#N/A</v>
      </c>
      <c r="FJ304" s="160" t="e">
        <f t="shared" ca="1" si="1090"/>
        <v>#N/A</v>
      </c>
      <c r="FK304" s="160" t="e">
        <f t="shared" ca="1" si="964"/>
        <v>#N/A</v>
      </c>
      <c r="FL304" s="160" t="e">
        <f t="shared" ca="1" si="1137"/>
        <v>#N/A</v>
      </c>
      <c r="FM304" s="160" t="e">
        <f t="shared" ca="1" si="965"/>
        <v>#N/A</v>
      </c>
      <c r="FN304" s="158">
        <f t="shared" ca="1" si="1091"/>
        <v>0.01</v>
      </c>
      <c r="FO304" s="160">
        <f>Control!$C$101</f>
        <v>50</v>
      </c>
      <c r="FP304" s="150" t="e">
        <f t="shared" ca="1" si="966"/>
        <v>#N/A</v>
      </c>
      <c r="FQ304" s="150" t="e">
        <f ca="1">MAX(0,(Control!$C$112*(($DK304-Control!$C$97)/Control!$C$97)))</f>
        <v>#N/A</v>
      </c>
      <c r="FR304" s="150" t="e">
        <f ca="1">(1-$NT304)*Control!$C$113</f>
        <v>#DIV/0!</v>
      </c>
      <c r="FS304" s="198" t="e">
        <f t="shared" ca="1" si="967"/>
        <v>#N/A</v>
      </c>
      <c r="FT304" s="161">
        <f t="shared" ca="1" si="1092"/>
        <v>300</v>
      </c>
      <c r="FU304" s="162" t="e">
        <f ca="1">IF(Control!$B$34=1,VLOOKUP($CP304,Control!$B$86:$G$91,6),Control!$B$35)</f>
        <v>#N/A</v>
      </c>
      <c r="FV304" s="162" t="e">
        <f t="shared" ca="1" si="968"/>
        <v>#DIV/0!</v>
      </c>
      <c r="FW304" s="162" t="e">
        <f ca="1">IF(Control!$B$31=1,$FU304*$FV304,  $FU304)</f>
        <v>#N/A</v>
      </c>
      <c r="FX304" s="162" t="e">
        <f ca="1">IF(Control!$B$34=1,VLOOKUP($CP304,Control!$B$86:$G$91,3),Control!$B$36)</f>
        <v>#N/A</v>
      </c>
      <c r="FY304" s="162" t="e">
        <f t="shared" ca="1" si="969"/>
        <v>#N/A</v>
      </c>
      <c r="FZ304" s="162" t="e">
        <f ca="1">IF(Control!$B$34=1,VLOOKUP($CP304,Control!$B$86:$G$91,4),Control!$B$37)</f>
        <v>#N/A</v>
      </c>
      <c r="GA304" s="162" t="e">
        <f t="shared" ca="1" si="970"/>
        <v>#N/A</v>
      </c>
      <c r="GB304" s="162" t="e">
        <f ca="1">IF(Control!$B$34=1,VLOOKUP($CP304,Control!$B$86:$G$91,5),Control!$B$38)</f>
        <v>#N/A</v>
      </c>
      <c r="GC304" s="162" t="e">
        <f t="shared" ca="1" si="1093"/>
        <v>#N/A</v>
      </c>
      <c r="GD304" s="162">
        <f t="shared" ca="1" si="971"/>
        <v>1</v>
      </c>
      <c r="GE304" s="162">
        <f t="shared" ca="1" si="972"/>
        <v>1</v>
      </c>
      <c r="GF304" s="162">
        <f ca="1">IF(AND(Control!$C$104=1, Control!$C$62="F"),$GE304,1)</f>
        <v>1</v>
      </c>
      <c r="GG304" s="162" t="e">
        <f ca="1">IF(Control!$B$16=40,0,IF(AND(Control!$B$16&gt;40,Control!$B$16&lt;=360),(Control!$B$16-40)*((1-0)/(360-40)),IF(AND(Control!$B$16&gt;360,Control!$B$16&lt;=720),(1+(Control!$B$16-360)*((1.25-1)/(720-360))),IF(AND(Control!$B$16&gt;720,Control!$B$16&lt;=1000),(1.25+(Control!$B$16-720)*((1.35-1.25)/(1000-720))),IF(AND(Control!$B$16&gt;1000,Control!$B$16&lt;=2000),(1.35+(Control!$B$16-1000)*0))))))</f>
        <v>#N/A</v>
      </c>
      <c r="GH304" s="162" t="e">
        <f t="shared" ca="1" si="973"/>
        <v>#N/A</v>
      </c>
      <c r="GI304" s="162">
        <f t="shared" ca="1" si="1094"/>
        <v>0</v>
      </c>
      <c r="GJ304" s="162">
        <f t="shared" ca="1" si="974"/>
        <v>0</v>
      </c>
      <c r="GK304" s="162">
        <f t="shared" ca="1" si="1095"/>
        <v>1</v>
      </c>
      <c r="GL304" s="162">
        <f t="shared" ca="1" si="975"/>
        <v>1</v>
      </c>
      <c r="GM304" s="162" t="e">
        <f ca="1">MAX(0,MIN(1,1-Control!$C$156*(1.0001-$KH304)^2))</f>
        <v>#N/A</v>
      </c>
      <c r="GN304" s="162" t="e">
        <f ca="1">IF(Control!$B$26=1,$KU304,$KX304)</f>
        <v>#N/A</v>
      </c>
      <c r="GO304" s="162" t="e">
        <f ca="1">IF($CP304&lt;=60,Control!$C$105,IF($CP304&gt;=90,Control!$C$106,Control!$C$105+($CP304-60)*((Control!$C$106-Control!$C$105)/(90-60))))</f>
        <v>#N/A</v>
      </c>
      <c r="GP304" s="162" t="e">
        <f t="shared" ca="1" si="976"/>
        <v>#N/A</v>
      </c>
      <c r="GQ304" s="162" t="e">
        <f t="shared" ca="1" si="1096"/>
        <v>#N/A</v>
      </c>
      <c r="GR304" s="163" t="e">
        <f t="shared" ca="1" si="977"/>
        <v>#DIV/0!</v>
      </c>
      <c r="GS304" s="162" t="e">
        <f t="shared" ca="1" si="978"/>
        <v>#DIV/0!</v>
      </c>
      <c r="GT304" s="164" t="e">
        <f t="shared" ca="1" si="1097"/>
        <v>#N/A</v>
      </c>
      <c r="GU304" s="162" t="e">
        <f t="shared" ca="1" si="1098"/>
        <v>#N/A</v>
      </c>
      <c r="GV304" s="162" t="e">
        <f t="shared" ca="1" si="979"/>
        <v>#N/A</v>
      </c>
      <c r="GW304" s="162" t="e">
        <f t="shared" ca="1" si="980"/>
        <v>#DIV/0!</v>
      </c>
      <c r="GX304" s="162" t="e">
        <f t="shared" ca="1" si="1099"/>
        <v>#DIV/0!</v>
      </c>
      <c r="GY304" s="162" t="e">
        <f t="shared" ca="1" si="1100"/>
        <v>#DIV/0!</v>
      </c>
      <c r="GZ304" s="165" t="e">
        <f t="shared" ca="1" si="981"/>
        <v>#N/A</v>
      </c>
      <c r="HA304" s="162" t="e">
        <f ca="1">IF(Control!$C$114=1, $DI304*$FS304, 0)</f>
        <v>#N/A</v>
      </c>
      <c r="HB304" s="162" t="e">
        <f ca="1">$FA304/Control!$C$64</f>
        <v>#N/A</v>
      </c>
      <c r="HC304" s="162" t="e">
        <f t="shared" ca="1" si="982"/>
        <v>#DIV/0!</v>
      </c>
      <c r="HD304" s="162">
        <f ca="1">-ASIN(SIN(23.45*Control!$C$139)*COS(2*Control!$C$138*($AH304+10)/365))</f>
        <v>-0.23467324744400883</v>
      </c>
      <c r="HE304" s="165">
        <f t="shared" ca="1" si="1101"/>
        <v>0</v>
      </c>
      <c r="HF304" s="166">
        <f ca="1">IF(AND(Control!$C$61="T",$HE304&gt;=Control!$C$103,Control!$C$114=0),$AH304,Control!$C$59)</f>
        <v>1</v>
      </c>
      <c r="HG304" s="166">
        <f ca="1">IF(AND(Control!$C$61="T",$HE304&gt;=Control!$C$103,Control!$C$114=0),$HF304,Control!$C$59)</f>
        <v>1</v>
      </c>
      <c r="HH304" s="165">
        <f ca="1">IF(AND(OR(Control!$C$60&lt;=0, $AH304= Control!$C$59, Control!$C$60 &gt;0, $AH304 = Control!$C$60)), Control!$C$59, IF(Control!$C$60&gt;0, 0))</f>
        <v>1</v>
      </c>
      <c r="HI304" s="165">
        <f ca="1">IF(AND(OR(Control!$C$60&lt;=0, $AH304= Control!$C$59, Control!$C$60 &gt;0, $AH304 = Control!$C$60)), Control!$C$60, IF(Control!$C$60&lt;=0, 0))</f>
        <v>0</v>
      </c>
      <c r="HJ304" s="166">
        <f ca="1">IF(AND(Control!$C$62="F",$CV304&gt;=Control!$C$102),$AH304,0)</f>
        <v>0</v>
      </c>
      <c r="HK304" s="165" t="e">
        <f t="shared" ca="1" si="1138"/>
        <v>#N/A</v>
      </c>
      <c r="HL304" s="166">
        <f ca="1">IF(AND(Control!$C$61="T",$HE304&gt;=Control!$C$103,Control!$C$114=0),$HF304,0)</f>
        <v>0</v>
      </c>
      <c r="HM304" s="201" t="e">
        <f t="shared" ca="1" si="983"/>
        <v>#DIV/0!</v>
      </c>
      <c r="HN304" s="215">
        <f t="shared" ca="1" si="1102"/>
        <v>300</v>
      </c>
      <c r="HO304" s="216" t="e">
        <f ca="1">IF(AND($CP304&gt;=0, $CP304&lt;=90), Control!$C$152, Control!$C$152)</f>
        <v>#N/A</v>
      </c>
      <c r="HP304" s="216" t="e">
        <f t="shared" ca="1" si="984"/>
        <v>#N/A</v>
      </c>
      <c r="HQ304" s="217" t="e">
        <f ca="1">IF(OR(Control!$B$26=1,Control!$B$26=2),$KV304,$KS304)</f>
        <v>#DIV/0!</v>
      </c>
      <c r="HR304" s="218" t="e">
        <f t="shared" ca="1" si="1139"/>
        <v>#DIV/0!</v>
      </c>
      <c r="HS304" s="216" t="e">
        <f ca="1">Control!$C$154*$HP304</f>
        <v>#N/A</v>
      </c>
      <c r="HT304" s="216" t="e">
        <f ca="1">Control!$C$155*$HP304</f>
        <v>#N/A</v>
      </c>
      <c r="HU304" s="217" t="e">
        <f ca="1">Control!$C$161*$FI304</f>
        <v>#N/A</v>
      </c>
      <c r="HV304" s="218" t="e">
        <f t="shared" ca="1" si="1103"/>
        <v>#N/A</v>
      </c>
      <c r="HW304" s="218" t="e">
        <f ca="1">Control!$C$160*$FF304+$IP304*$EO304</f>
        <v>#N/A</v>
      </c>
      <c r="HX304" s="218" t="e">
        <f t="shared" ca="1" si="1140"/>
        <v>#N/A</v>
      </c>
      <c r="HY304" s="219" t="e">
        <f ca="1">IF(Control!$C$114=1, $EB304*$FS304, 0)</f>
        <v>#N/A</v>
      </c>
      <c r="HZ304" s="91" t="e">
        <f t="shared" ca="1" si="985"/>
        <v>#N/A</v>
      </c>
      <c r="IA304" s="220" t="e">
        <f ca="1">Control!$C$153*$HO304</f>
        <v>#N/A</v>
      </c>
      <c r="IB304" s="218" t="e">
        <f t="shared" ca="1" si="986"/>
        <v>#N/A</v>
      </c>
      <c r="IC304" s="220" t="e">
        <f ca="1">Control!$C$153*$HT304</f>
        <v>#N/A</v>
      </c>
      <c r="ID304" s="218" t="e">
        <f t="shared" ca="1" si="987"/>
        <v>#N/A</v>
      </c>
      <c r="IE304" s="221" t="e">
        <f ca="1">($EB304*Control!$C$159+$EF304*Control!$C$160)/(IF($GZ304&lt;&gt;0,$GZ304,1))</f>
        <v>#N/A</v>
      </c>
      <c r="IF304" s="216" t="e">
        <f t="shared" ca="1" si="988"/>
        <v>#N/A</v>
      </c>
      <c r="IG304" s="91">
        <f ca="1">IF(OR(Control!$B$198=$AH304,Control!$B$199=$AH304, Control!$B$200=$AH304, Control!$B$201=$AH304, Control!$B$202=$AH304, Control!$B$203=$AH304, Control!$B$204=$AH304, Control!$B$205=$AH304, Control!$B$206=$AH304, Control!$B$207=$AH304), 1, 0)</f>
        <v>0</v>
      </c>
      <c r="IH304" s="91">
        <f ca="1">IF($IG304=0,0, VLOOKUP($AH304,Control!$B$198:$C$207,2))</f>
        <v>0</v>
      </c>
      <c r="II304" s="222">
        <f t="shared" ca="1" si="1104"/>
        <v>0</v>
      </c>
      <c r="IJ304" s="91">
        <f>Control!$C$121</f>
        <v>0.7</v>
      </c>
      <c r="IK304" s="218">
        <f t="shared" ca="1" si="989"/>
        <v>0</v>
      </c>
      <c r="IL304" s="217" t="e">
        <f t="shared" ca="1" si="1141"/>
        <v>#N/A</v>
      </c>
      <c r="IM304" s="223" t="e">
        <f ca="1">IF(AND(Control!$C$114=1,$KH304&lt;1),$EB304*Control!$C$148*(1-$KH304), 0)</f>
        <v>#N/A</v>
      </c>
      <c r="IN304" s="217" t="e">
        <f t="shared" ca="1" si="990"/>
        <v>#DIV/0!</v>
      </c>
      <c r="IO304" s="91" t="e">
        <f ca="1">MAX(0,$IL304-$EF304*Control!$C$160)</f>
        <v>#N/A</v>
      </c>
      <c r="IP304" s="220" t="e">
        <f t="shared" ca="1" si="991"/>
        <v>#N/A</v>
      </c>
      <c r="IQ304" s="217" t="e">
        <f t="shared" ca="1" si="1105"/>
        <v>#N/A</v>
      </c>
      <c r="IR304" s="218" t="e">
        <f t="shared" ca="1" si="992"/>
        <v>#N/A</v>
      </c>
      <c r="IS304" s="217" t="e">
        <f ca="1">Control!$C$159*MAX(0,$FD304-$EN304)</f>
        <v>#N/A</v>
      </c>
      <c r="IT304" s="217" t="e">
        <f t="shared" ca="1" si="1142"/>
        <v>#N/A</v>
      </c>
      <c r="IU304" s="217" t="e">
        <f t="shared" ca="1" si="1106"/>
        <v>#N/A</v>
      </c>
      <c r="IV304" s="217" t="e">
        <f t="shared" ca="1" si="1143"/>
        <v>#N/A</v>
      </c>
      <c r="IW304" s="217" t="e">
        <f ca="1">IF(OR($AW304=1,AND($AW304=0, Control!$B$18=1,$EN304&lt;&gt;0)), $IQ304-$IU304, $IQ304)</f>
        <v>#N/A</v>
      </c>
      <c r="IX304" s="218" t="e">
        <f t="shared" ca="1" si="993"/>
        <v>#N/A</v>
      </c>
      <c r="IY304" s="218" t="e">
        <f ca="1">MAX(0,$IQ304-$EB304*Control!$C$159)</f>
        <v>#N/A</v>
      </c>
      <c r="IZ304" s="218" t="e">
        <f t="shared" ca="1" si="994"/>
        <v>#N/A</v>
      </c>
      <c r="JA304" s="216" t="e">
        <f t="shared" ca="1" si="995"/>
        <v>#N/A</v>
      </c>
      <c r="JB304" s="217" t="e">
        <f t="shared" ca="1" si="996"/>
        <v>#N/A</v>
      </c>
      <c r="JC304" s="222" t="e">
        <f ca="1">MAX(Control!$C$157*$EK304-$JT304, 0)/Control!$C$162</f>
        <v>#N/A</v>
      </c>
      <c r="JD304" s="218" t="e">
        <f t="shared" ca="1" si="997"/>
        <v>#N/A</v>
      </c>
      <c r="JE304" s="218" t="e">
        <f t="shared" ca="1" si="998"/>
        <v>#N/A</v>
      </c>
      <c r="JF304" s="218" t="e">
        <f t="shared" ca="1" si="1107"/>
        <v>#N/A</v>
      </c>
      <c r="JG304" s="218" t="e">
        <f t="shared" ca="1" si="999"/>
        <v>#N/A</v>
      </c>
      <c r="JH304" s="217" t="e">
        <f t="shared" ca="1" si="1108"/>
        <v>#N/A</v>
      </c>
      <c r="JI304" s="217" t="e">
        <f t="shared" ca="1" si="1109"/>
        <v>#N/A</v>
      </c>
      <c r="JJ304" s="217" t="e">
        <f t="shared" ca="1" si="1144"/>
        <v>#N/A</v>
      </c>
      <c r="JK304" s="217" t="e">
        <f ca="1">IF(Control!$C$114=1,IF(Control!$B$24=0,MAX(0,$JI304)*$GN304/Control!$C$64,(MAX(0,MIN($JI304,$JJ304*$GN304/Control!$C$64),0))))</f>
        <v>#N/A</v>
      </c>
      <c r="JL304" s="217" t="e">
        <f ca="1">$IK304/Control!$C$64-$JK304+$HQ304</f>
        <v>#N/A</v>
      </c>
      <c r="JM304" s="217" t="e">
        <f ca="1">IF(Control!$C$114=1,($JB304/(IF($JI304&lt;&gt;0,$JI304,1)))*$JK304,0)</f>
        <v>#N/A</v>
      </c>
      <c r="JN304" s="217" t="e">
        <f ca="1">IF(Control!$C$114=1,($JG304/(IF($JI304&lt;&gt;0,$JI304,1)))*$JK304, 0)</f>
        <v>#N/A</v>
      </c>
      <c r="JO304" s="218" t="e">
        <f t="shared" ca="1" si="1000"/>
        <v>#N/A</v>
      </c>
      <c r="JP304" s="218" t="e">
        <f ca="1">MIN(($IY304+$IO304)*Control!$C$151, $JF304-$EH304*Control!$C$161)</f>
        <v>#N/A</v>
      </c>
      <c r="JQ304" s="218" t="e">
        <f t="shared" ca="1" si="1001"/>
        <v>#N/A</v>
      </c>
      <c r="JR304" s="217" t="e">
        <f ca="1">IF($CP304-Control!$C$150&lt;0, 0, $JQ304/Control!$C$162)</f>
        <v>#N/A</v>
      </c>
      <c r="JS304" s="218" t="e">
        <f t="shared" ca="1" si="1002"/>
        <v>#N/A</v>
      </c>
      <c r="JT304" s="218" t="e">
        <f t="shared" ca="1" si="1110"/>
        <v>#N/A</v>
      </c>
      <c r="JU304" s="218" t="e">
        <f t="shared" ca="1" si="1003"/>
        <v>#N/A</v>
      </c>
      <c r="JV304" s="218" t="e">
        <f t="shared" ca="1" si="1004"/>
        <v>#N/A</v>
      </c>
      <c r="JW304" s="216" t="e">
        <f t="shared" ca="1" si="1005"/>
        <v>#N/A</v>
      </c>
      <c r="JX304" s="91" t="e">
        <f t="shared" ca="1" si="1006"/>
        <v>#N/A</v>
      </c>
      <c r="JY304" s="218" t="e">
        <f t="shared" ca="1" si="1007"/>
        <v>#N/A</v>
      </c>
      <c r="JZ304" s="217" t="e">
        <f ca="1">IF(Control!$C$114=1,($IZ304/(IF($JI304&lt;&gt;0,$JI304,1)))*$JK304, 0)</f>
        <v>#N/A</v>
      </c>
      <c r="KA304" s="218" t="e">
        <f t="shared" ca="1" si="1145"/>
        <v>#N/A</v>
      </c>
      <c r="KB304" s="218" t="e">
        <f t="shared" ca="1" si="1111"/>
        <v>#N/A</v>
      </c>
      <c r="KC304" s="218" t="e">
        <f t="shared" ca="1" si="1008"/>
        <v>#N/A</v>
      </c>
      <c r="KD304" s="218" t="e">
        <f t="shared" ca="1" si="1009"/>
        <v>#N/A</v>
      </c>
      <c r="KE304" s="218" t="e">
        <f t="shared" ca="1" si="1010"/>
        <v>#N/A</v>
      </c>
      <c r="KF304" s="218" t="e">
        <f t="shared" ca="1" si="1011"/>
        <v>#N/A</v>
      </c>
      <c r="KG304" s="216" t="e">
        <f t="shared" ca="1" si="1012"/>
        <v>#N/A</v>
      </c>
      <c r="KH304" s="221" t="e">
        <f ca="1">IF(Control!$B$24=0,1,MAX(0.001,MIN(1,IF(($IF304-$IE304)&lt;&gt;0,($KG304-$IE304)/($IF304-$IE304),1))))</f>
        <v>#N/A</v>
      </c>
      <c r="KI304" s="222" t="e">
        <f ca="1">IF(Control!$C$114=1, $KI303+ $KH303, 0)</f>
        <v>#N/A</v>
      </c>
      <c r="KJ304" s="217" t="e">
        <f t="shared" ca="1" si="1013"/>
        <v>#N/A</v>
      </c>
      <c r="KK304" s="218" t="e">
        <f t="shared" ca="1" si="1014"/>
        <v>#N/A</v>
      </c>
      <c r="KL304" s="274" t="e">
        <f ca="1">IF(Control!$B$26=3,4000000000*EXP(-8400/($G304+273)),IF(Control!$B$26=4,4000000000*EXP(-8400/($G304+273))*($KT304),0))</f>
        <v>#DIV/0!</v>
      </c>
      <c r="KM304" s="274" t="e">
        <f ca="1">IF(Control!$B$26=3,5600000000000*EXP(-9800/($G304+273)),IF(Control!$B$26=4,5600000000000*EXP(-9800/($G304+273))*$KT304,0))</f>
        <v>#DIV/0!</v>
      </c>
      <c r="KN304" s="454" t="e">
        <f t="shared" ca="1" si="1112"/>
        <v>#DIV/0!</v>
      </c>
      <c r="KO304" s="274" t="e">
        <f t="shared" ca="1" si="1113"/>
        <v>#DIV/0!</v>
      </c>
      <c r="KP304" s="454" t="e">
        <f t="shared" ca="1" si="1015"/>
        <v>#DIV/0!</v>
      </c>
      <c r="KQ304" s="454" t="e">
        <f t="shared" ca="1" si="1016"/>
        <v>#DIV/0!</v>
      </c>
      <c r="KR304" s="454" t="e">
        <f t="shared" ca="1" si="1017"/>
        <v>#DIV/0!</v>
      </c>
      <c r="KS304" s="454" t="e">
        <f t="shared" ca="1" si="1018"/>
        <v>#DIV/0!</v>
      </c>
      <c r="KT304" s="455" t="e">
        <f t="shared" ca="1" si="1019"/>
        <v>#DIV/0!</v>
      </c>
      <c r="KU304" s="456" t="e">
        <f ca="1">IF($CP304-Control!$C$149&lt;0, IF($NT304-0.01&lt;0,0,1),0)</f>
        <v>#N/A</v>
      </c>
      <c r="KV304" s="456" t="e">
        <f ca="1">IF(Control!$C$114=1,MAX(0,MIN(Control!$C$125*$KW304*$GN304,$KW304)))</f>
        <v>#DIV/0!</v>
      </c>
      <c r="KW304" s="456" t="e">
        <f t="shared" ca="1" si="1146"/>
        <v>#DIV/0!</v>
      </c>
      <c r="KX304" s="457" t="e">
        <f ca="1">IF($CP304-Control!$C$149&lt;0, IF($MR304-$OM304&lt;0,0,1),0)</f>
        <v>#N/A</v>
      </c>
      <c r="KY304" s="167">
        <f t="shared" ca="1" si="1114"/>
        <v>300</v>
      </c>
      <c r="KZ304" s="168">
        <f ca="1">1370*(1+0.033*COS(2*Control!$C$138*$AH304/365))</f>
        <v>1389.7414933659547</v>
      </c>
      <c r="LA304" s="169">
        <f t="shared" ca="1" si="1115"/>
        <v>1.01440949065455</v>
      </c>
      <c r="LB304" s="169">
        <f t="shared" ca="1" si="1116"/>
        <v>-0.2418414865601794</v>
      </c>
      <c r="LC304" s="169">
        <f ca="1">ACOS(-TAN((2*Control!$B$8/360))*TAN(Calculations!$LB304))</f>
        <v>1.4974195957747136</v>
      </c>
      <c r="LD304" s="169">
        <f ca="1">((24*60)/PI())*0.082*$LA304*(($LC304*SIN(Control!$B$8*2*PI()/360))*SIN($LB304)+COS(Control!$B$8*2*PI()/360)*COS($LB304)*SIN($LC304))</f>
        <v>11.954583901057175</v>
      </c>
      <c r="LE304" s="170">
        <f t="shared" ca="1" si="1020"/>
        <v>12.933767457865491</v>
      </c>
      <c r="LF304" s="170">
        <f ca="1">SIN(Control!$C$139*Control!$B$8)*SIN($HD304)</f>
        <v>-0.18323266311986661</v>
      </c>
      <c r="LG304" s="170">
        <f ca="1">COS(Control!$C$139*Control!$B$8)*COS($HD304)</f>
        <v>0.59878479642390614</v>
      </c>
      <c r="LH304" s="170">
        <f ca="1">12*(1+2*ASIN(MAX(-1,MIN(1,$LF304/$LG304))/Control!$C$138))</f>
        <v>9.6585675707638075</v>
      </c>
      <c r="LI304" s="170">
        <f ca="1">12*(1+2*ASIN(MAX(-1,MIN(1,(-SIN(-4*Control!$C$139)+$LF304)/$LG304))/Control!$C$138))</f>
        <v>10.55137008238402</v>
      </c>
      <c r="LJ304" s="168">
        <f ca="1">3600*($LH304*$LF304+24*$LG304*SQRT(1-$LK304*$LK304)/Control!$C$138)</f>
        <v>9306.5994788281805</v>
      </c>
      <c r="LK304" s="170">
        <f t="shared" ca="1" si="1021"/>
        <v>-0.30600754096326144</v>
      </c>
      <c r="LL304" s="170">
        <f t="shared" ca="1" si="1022"/>
        <v>0</v>
      </c>
      <c r="LM304" s="171">
        <f ca="1">Control!$C$145*$AB304</f>
        <v>6.6660906138995932E-2</v>
      </c>
      <c r="LN304" s="170">
        <f t="shared" ca="1" si="1117"/>
        <v>0.54</v>
      </c>
      <c r="LO304" s="170">
        <f t="shared" ca="1" si="1023"/>
        <v>0</v>
      </c>
      <c r="LP304" s="170">
        <f ca="1">Control!$C$140*((($D304+273.16)^4+($E304+273.16)^4)/2)*(0.34-0.14*SQRT($Y304))*(1.35*$AQ304/(0.75*$LD304)-0.35)</f>
        <v>-3.2464704755046001</v>
      </c>
      <c r="LQ304" s="170">
        <f ca="1">Control!$C$140*($G304+273)^4*(0.56-0.079*SQRT($Y304*10))*(0.1+0.9*$LO304)</f>
        <v>1.5241745131704001</v>
      </c>
      <c r="LR304" s="170">
        <f ca="1">$AQ304*(1-Control!$C$142)-$LQ304</f>
        <v>-1.5241745131704001</v>
      </c>
      <c r="LS304" s="170">
        <f ca="1">$AQ304*(1-Control!$C$143)-$LQ304</f>
        <v>-1.5241745131704001</v>
      </c>
      <c r="LT304" s="170">
        <f ca="1">$AQ304*(1-Control!$C$144)-$LQ304</f>
        <v>-1.5241745131704001</v>
      </c>
      <c r="LU304" s="169">
        <f ca="1">(1-Control!$C$144)*AQ304-LP304</f>
        <v>3.2464704755046001</v>
      </c>
      <c r="LV304" s="172">
        <f t="shared" ca="1" si="1024"/>
        <v>0.79430000000000012</v>
      </c>
      <c r="LW304" s="170">
        <f t="shared" ca="1" si="1025"/>
        <v>1.5886000000000002</v>
      </c>
      <c r="LX304" s="170">
        <f ca="1">($AC304*($LR304/Control!$C$141)+$LM304*$LV304)/($AC304+$LM304)</f>
        <v>0.23530094218323697</v>
      </c>
      <c r="LY304" s="170">
        <f ca="1">($AC304*($LS304/Control!$C$141)+$LM304*$LV304)/($AC304+$LM304)</f>
        <v>0.23530094218323697</v>
      </c>
      <c r="LZ304" s="170">
        <f t="shared" ca="1" si="1026"/>
        <v>0.23530094218323697</v>
      </c>
      <c r="MA304" s="170">
        <f t="shared" ca="1" si="1027"/>
        <v>0.23530094218323697</v>
      </c>
      <c r="MB304" s="170" t="e">
        <f t="shared" ca="1" si="1028"/>
        <v>#N/A</v>
      </c>
      <c r="MC304" s="170">
        <f t="shared" ca="1" si="1118"/>
        <v>0.6018</v>
      </c>
      <c r="MD304" s="170">
        <f t="shared" ca="1" si="1029"/>
        <v>0.52989392535414004</v>
      </c>
      <c r="ME304" s="170">
        <f ca="1">($AC304*($LT304/Control!$C$141)+$LM304*$LW304)/($AC304+$LM304)</f>
        <v>0.71612369323045078</v>
      </c>
      <c r="MF304" s="170" t="e">
        <f ca="1">IF(Control!$B$16&gt;=1000,0.92,IF(AND(720&lt;=Control!$B$16,1000&gt;Control!$B$16),(0.95+(Control!$B$16-720)*((0.92-0.95)/(1000-720))),IF(AND(360&lt;=Control!$B$16,720&gt;Control!$B$16),(1+(Control!$B$16-360)*((0.95-1)/(720-360))),IF(AND(40&lt;=Control!$B$16,360&gt;Control!$B$16),(1.05+(Control!$B$16-40)*((1.05-1)/(360-40)))))))</f>
        <v>#N/A</v>
      </c>
      <c r="MG304" s="170">
        <f t="shared" ca="1" si="1030"/>
        <v>0.71612369323045078</v>
      </c>
      <c r="MH304" s="170" t="e">
        <f t="shared" ca="1" si="1156"/>
        <v>#N/A</v>
      </c>
      <c r="MI304" s="170" t="e">
        <f t="shared" ca="1" si="1156"/>
        <v>#N/A</v>
      </c>
      <c r="MJ304" s="170" t="e">
        <f ca="1">MAX(0.0001, Control!$C$132*$MI304*$DL304)</f>
        <v>#N/A</v>
      </c>
      <c r="MK304" s="170">
        <f ca="1">1/(0.76+1.5*($MG304/10))-(5-Control!$C$110)*0.1</f>
        <v>1.002845988140797</v>
      </c>
      <c r="ML304" s="173">
        <f ca="1">IF(Control!$C$110&lt;3,$MK304+($MG304-0.6)/(Control!$C$110*(Control!$C$110+3)), MAX(0.1, MIN(0.95,$MK304)))</f>
        <v>0.95</v>
      </c>
      <c r="MM304" s="173">
        <f ca="1">IF(Control!$C$110&lt;3,$MK304+(($MI304/10)-0.6)/(Control!$C$110*(Control!$C$110+3)), MAX(0.1, MIN(0.95,$MK304)))</f>
        <v>0.95</v>
      </c>
      <c r="MN304" s="173">
        <f ca="1">(1-$MM304)*(Control!$C$128-Control!$C$127)+Control!$C$127</f>
        <v>0.16</v>
      </c>
      <c r="MO304" s="170" t="e">
        <f ca="1">MAX(0,MIN(1,($MS304-Control!$C$127)/($MN304-Control!$C$127)))</f>
        <v>#DIV/0!</v>
      </c>
      <c r="MP304" s="173" t="e">
        <f ca="1">1/(0.76+1.5*$MI304)-(5-Control!$C$110)*0.1</f>
        <v>#N/A</v>
      </c>
      <c r="MQ304" s="172" t="e">
        <f t="shared" ca="1" si="1147"/>
        <v>#DIV/0!</v>
      </c>
      <c r="MR304" s="168" t="e">
        <f t="shared" ca="1" si="1119"/>
        <v>#DIV/0!</v>
      </c>
      <c r="MS304" s="173" t="e">
        <f ca="1">MAX(Control!$C$127, MIN(Control!$C$135, $MR304/MAX(0.0001,$CY304)))</f>
        <v>#DIV/0!</v>
      </c>
      <c r="MT304" s="168" t="e">
        <f ca="1">(Control!$C$128-$MS304)*Control!$C$74</f>
        <v>#DIV/0!</v>
      </c>
      <c r="MU304" s="168" t="e">
        <f ca="1">(Control!$C$135-$MS304)*Control!$C$74</f>
        <v>#DIV/0!</v>
      </c>
      <c r="MV304" s="168" t="e">
        <f t="shared" ca="1" si="1120"/>
        <v>#DIV/0!</v>
      </c>
      <c r="MW304" s="168" t="e">
        <f t="shared" ca="1" si="1121"/>
        <v>#DIV/0!</v>
      </c>
      <c r="MX304" s="171" t="e">
        <f ca="1">MAX(Control!$C$127, MIN(Control!$C$135, $MW304/MAX(0.0001,Control!$C$119-$CY304)))</f>
        <v>#DIV/0!</v>
      </c>
      <c r="MY304" s="54" t="e">
        <f ca="1">IF(Control!$C$114=1, $CX304*$MX304, 0)</f>
        <v>#DIV/0!</v>
      </c>
      <c r="MZ304" s="54" t="e">
        <f t="shared" ca="1" si="1122"/>
        <v>#N/A</v>
      </c>
      <c r="NA304" s="168" t="e">
        <f ca="1">(Control!$C$128-$MX304)*(Control!$C$119-Control!$C$74)</f>
        <v>#DIV/0!</v>
      </c>
      <c r="NB304" s="168" t="e">
        <f ca="1">(Control!$C$135-$MX304)*(Control!$C$119-Control!$C$74)</f>
        <v>#DIV/0!</v>
      </c>
      <c r="NC304" s="174" t="e">
        <f t="shared" ca="1" si="1123"/>
        <v>#DIV/0!</v>
      </c>
      <c r="ND304" s="54">
        <f ca="1">IF(Control!$C$58=2, IF(OR(Control!$B$218=$AH304,Control!$B$219=$AH304, Control!$B$220=$AH304, Control!$B$221=$AH304, Control!$B$222=$AH304, Control!$B$223=$AH304, Control!$B$224=$AH304, Control!$B$225=$AH304, Control!$B$226=$AH304, Control!$B$227=$AH304, Control!$B$228=$AH304), 1, 0), 0)</f>
        <v>0</v>
      </c>
      <c r="NE304" s="54">
        <f ca="1">IF($ND304=0,0, VLOOKUP($AH304,Control!$B$218:$C$228,2))</f>
        <v>0</v>
      </c>
      <c r="NF304" s="168" t="e">
        <f ca="1">$CY304*(Control!$C$128-Control!$C$127)</f>
        <v>#N/A</v>
      </c>
      <c r="NG304" s="54" t="e">
        <f ca="1">IF(Control!$C$58=2, $NI303-$NJ303, 0)</f>
        <v>#DIV/0!</v>
      </c>
      <c r="NH304" s="54" t="e">
        <f ca="1">IF(AND(Control!$C$58=1, $MS303&lt;= ($MN303+0.02), $I303&lt;10), 0, IF(Control!$C$58=2, $NG303, 0))</f>
        <v>#DIV/0!</v>
      </c>
      <c r="NI304" s="54" t="e">
        <f ca="1">IF(Control!$C$58=2, $NE304+$NH304,0)</f>
        <v>#DIV/0!</v>
      </c>
      <c r="NJ304" s="54" t="e">
        <f ca="1">IF(AND(Control!$C$58=1, $MS304&lt;= ($MN304+0.02), $I304&lt;10), MAX(0, MIN(10, 0.7*($NF304-$MV304))), IF(Control!$C$58=2, MIN(10,$NI304),0))</f>
        <v>#DIV/0!</v>
      </c>
      <c r="NK304" s="54" t="e">
        <f t="shared" ca="1" si="1031"/>
        <v>#DIV/0!</v>
      </c>
      <c r="NL304" s="173" t="e">
        <f ca="1">(1-Control!$C$73)*$I304+$NJ304</f>
        <v>#DIV/0!</v>
      </c>
      <c r="NM304" s="172" t="e">
        <f ca="1">IF($NL304&lt;0.5, $MB304* MAX(0, MIN(1, (SQRT($NC304)-SQRT($NC304-1))*Control!$C$71)),0)</f>
        <v>#DIV/0!</v>
      </c>
      <c r="NN304" s="170" t="e">
        <f ca="1">IF($NL304&gt;=5, $MB304, MAX(0,MIN($MB304, $NM304+$NL304,($MS304-Control!$C$129))))</f>
        <v>#DIV/0!</v>
      </c>
      <c r="NO304" s="54">
        <f>IF(Control!$C$133&lt;&gt;1, Control!$C$135-Control!$C$131, 0)</f>
        <v>0.38</v>
      </c>
      <c r="NP304" s="54" t="e">
        <f t="shared" ca="1" si="1032"/>
        <v>#DIV/0!</v>
      </c>
      <c r="NQ304" s="173" t="e">
        <f ca="1">MAX(0,MIN(1,(Control!$C$135-$MS304)/(Control!$C$135-$NO304)))</f>
        <v>#DIV/0!</v>
      </c>
      <c r="NR304" s="170" t="e">
        <f ca="1">IF(Control!$C$133&lt;&gt;1, $NQ304+((1-$NP304/4)*(1-$NQ304)),1)</f>
        <v>#DIV/0!</v>
      </c>
      <c r="NS304" s="170" t="e">
        <f ca="1">IF(Control!$B$31=0,$MJ304,MAX(0,MIN($MV304,$MO304*$NR304*$MJ304)))</f>
        <v>#DIV/0!</v>
      </c>
      <c r="NT304" s="170" t="e">
        <f t="shared" ca="1" si="1148"/>
        <v>#DIV/0!</v>
      </c>
      <c r="NU304" s="170" t="e">
        <f t="shared" ca="1" si="1124"/>
        <v>#N/A</v>
      </c>
      <c r="NV304" s="170" t="e">
        <f t="shared" ca="1" si="1033"/>
        <v>#N/A</v>
      </c>
      <c r="NW304" s="175" t="e">
        <f t="shared" ca="1" si="1034"/>
        <v>#DIV/0!</v>
      </c>
      <c r="NX304" s="170" t="e">
        <f ca="1">MIN(Control!$C$72+$MU304, $NW304)</f>
        <v>#DIV/0!</v>
      </c>
      <c r="NY304" s="170" t="e">
        <f ca="1">IF($MT304&lt;=$NX304,MIN(Control!$C$72+$NB304,$NX304-$MT304),0)</f>
        <v>#DIV/0!</v>
      </c>
      <c r="NZ304" s="54" t="e">
        <f ca="1">IF(Control!$C$114=1,  $CX304*($MX304-Control!$C$127), 0)</f>
        <v>#DIV/0!</v>
      </c>
      <c r="OA304" s="170" t="e">
        <f t="shared" ca="1" si="1035"/>
        <v>#DIV/0!</v>
      </c>
      <c r="OB304" s="170" t="e">
        <f ca="1">IF($NA304 &lt;=$NY304, MIN(Control!$C$72, $NY304-$NA304), 0)</f>
        <v>#DIV/0!</v>
      </c>
      <c r="OC304" s="168" t="e">
        <f t="shared" ca="1" si="1036"/>
        <v>#DIV/0!</v>
      </c>
      <c r="OD304" s="168" t="e">
        <f t="shared" ca="1" si="1125"/>
        <v>#DIV/0!</v>
      </c>
      <c r="OE304" s="170">
        <f ca="1">Control!$C$73*$I304</f>
        <v>0</v>
      </c>
      <c r="OF304" s="176" t="e">
        <f t="shared" ca="1" si="1037"/>
        <v>#DIV/0!</v>
      </c>
      <c r="OG304" s="168" t="e">
        <f t="shared" ca="1" si="1038"/>
        <v>#DIV/0!</v>
      </c>
      <c r="OH304" s="168" t="e">
        <f t="shared" ca="1" si="1039"/>
        <v>#DIV/0!</v>
      </c>
      <c r="OI304" s="168" t="e">
        <f t="shared" ca="1" si="1040"/>
        <v>#DIV/0!</v>
      </c>
      <c r="OJ304" s="168" t="e">
        <f t="shared" ca="1" si="1041"/>
        <v>#DIV/0!</v>
      </c>
      <c r="OK304" s="204" t="e">
        <f t="shared" ca="1" si="1042"/>
        <v>#DIV/0!</v>
      </c>
      <c r="OL304" s="177">
        <f>Control!$C$127</f>
        <v>0.15</v>
      </c>
      <c r="OM304" s="182" t="e">
        <f t="shared" ca="1" si="1043"/>
        <v>#N/A</v>
      </c>
      <c r="ON304" s="177">
        <f>Control!$C$128</f>
        <v>0.35</v>
      </c>
      <c r="OO304" s="182" t="e">
        <f t="shared" ca="1" si="1044"/>
        <v>#N/A</v>
      </c>
      <c r="OP304" s="138">
        <f t="shared" ca="1" si="1126"/>
        <v>0</v>
      </c>
      <c r="OQ304" s="138" t="e">
        <f t="shared" ca="1" si="1149"/>
        <v>#DIV/0!</v>
      </c>
      <c r="OR304" s="138" t="e">
        <f t="shared" ca="1" si="1127"/>
        <v>#DIV/0!</v>
      </c>
      <c r="OS304" s="137" t="e">
        <f t="shared" ca="1" si="1150"/>
        <v>#DIV/0!</v>
      </c>
      <c r="OT304" s="139" t="e">
        <f t="shared" ca="1" si="1151"/>
        <v>#DIV/0!</v>
      </c>
      <c r="OU304" s="138" t="e">
        <f t="shared" ca="1" si="1152"/>
        <v>#N/A</v>
      </c>
      <c r="OV304" s="138" t="e">
        <f t="shared" ca="1" si="1153"/>
        <v>#DIV/0!</v>
      </c>
      <c r="OW304" s="138" t="e">
        <f t="shared" ca="1" si="1128"/>
        <v>#DIV/0!</v>
      </c>
      <c r="OX304" s="138" t="e">
        <f t="shared" ca="1" si="1129"/>
        <v>#DIV/0!</v>
      </c>
      <c r="OY304" s="138" t="e">
        <f t="shared" ca="1" si="1130"/>
        <v>#DIV/0!</v>
      </c>
      <c r="OZ304" s="138" t="e">
        <f t="shared" ca="1" si="1045"/>
        <v>#DIV/0!</v>
      </c>
      <c r="PA304" s="138" t="e">
        <f t="shared" ca="1" si="1046"/>
        <v>#DIV/0!</v>
      </c>
      <c r="PB304" s="55">
        <f>IF(Control!$C$61="T", IF(Control!$C$65="F", IF($AH$6-Control!$C$60&lt;0,0,1), IF(365+$AH$6-Control!$C$60&lt;0,0,1)),0)</f>
        <v>0</v>
      </c>
      <c r="PC304" s="55">
        <f ca="1">IF(Control!$C$65="F", IF($AH$6-$HF304&lt;0,0,1), IF(365+$AH$6-$HF304&lt;0,0,1))</f>
        <v>1</v>
      </c>
      <c r="PD304" s="444">
        <f>Control!$C$118</f>
        <v>1500</v>
      </c>
      <c r="PE304" s="180" t="e">
        <f t="shared" ca="1" si="1047"/>
        <v>#N/A</v>
      </c>
      <c r="PF304" s="445">
        <f t="shared" ca="1" si="1131"/>
        <v>0.71612369323045078</v>
      </c>
      <c r="PT304" s="186"/>
      <c r="PU304" s="186"/>
      <c r="PV304" s="94"/>
      <c r="PW304" s="94"/>
      <c r="PX304" s="94"/>
      <c r="PY304" s="94"/>
      <c r="PZ304" s="94"/>
      <c r="QA304" s="94"/>
      <c r="QB304" s="94"/>
      <c r="QC304" s="94"/>
      <c r="QD304" s="94"/>
      <c r="QE304" s="94"/>
      <c r="QF304" s="94"/>
      <c r="QG304" s="94"/>
      <c r="QH304" s="94"/>
      <c r="QI304" s="94"/>
      <c r="QJ304" s="94"/>
      <c r="QK304" s="94"/>
      <c r="QL304" s="94"/>
      <c r="QM304" s="94"/>
      <c r="QN304" s="94"/>
      <c r="QO304" s="94"/>
      <c r="QP304" s="94"/>
    </row>
    <row r="305" spans="1:458" s="2" customFormat="1" x14ac:dyDescent="0.2">
      <c r="A305" s="395">
        <v>27</v>
      </c>
      <c r="B305" s="396">
        <v>10</v>
      </c>
      <c r="C305" s="387">
        <f ca="1">Weather_data!$B304</f>
        <v>0</v>
      </c>
      <c r="D305" s="388">
        <f ca="1">Weather_data!$F304</f>
        <v>0</v>
      </c>
      <c r="E305" s="388">
        <f ca="1">Weather_data!$E304</f>
        <v>0</v>
      </c>
      <c r="F305" s="388">
        <f t="shared" ca="1" si="1048"/>
        <v>0</v>
      </c>
      <c r="G305" s="388">
        <f ca="1">AVERAGE($D305:$E305)+Control!$B$9</f>
        <v>0</v>
      </c>
      <c r="H305" s="388">
        <f ca="1">Weather_data!$G304</f>
        <v>0</v>
      </c>
      <c r="I305" s="388">
        <f ca="1">Weather_data!$I304</f>
        <v>0</v>
      </c>
      <c r="J305" s="388">
        <f ca="1">Weather_data!$H304</f>
        <v>0</v>
      </c>
      <c r="K305" s="389">
        <f ca="1">Weather_data!$D304</f>
        <v>0</v>
      </c>
      <c r="L305" s="388" t="e">
        <f t="shared" ca="1" si="1049"/>
        <v>#N/A</v>
      </c>
      <c r="M305" s="388" t="e">
        <f t="shared" ca="1" si="927"/>
        <v>#N/A</v>
      </c>
      <c r="N305" s="388">
        <f t="shared" ca="1" si="928"/>
        <v>-1.0410709466026626E-14</v>
      </c>
      <c r="O305" s="388">
        <f t="shared" ca="1" si="1050"/>
        <v>1.0410709466026626E-13</v>
      </c>
      <c r="P305" s="390">
        <v>3</v>
      </c>
      <c r="Q305" s="388">
        <f ca="1">MAX($G305-Control!$C$107,0)</f>
        <v>0</v>
      </c>
      <c r="R305" s="388">
        <f t="shared" ca="1" si="1051"/>
        <v>0</v>
      </c>
      <c r="S305" s="388">
        <f t="shared" ca="1" si="929"/>
        <v>0</v>
      </c>
      <c r="T305" s="388">
        <f t="shared" ca="1" si="930"/>
        <v>0</v>
      </c>
      <c r="U305" s="59">
        <f t="shared" ca="1" si="931"/>
        <v>0</v>
      </c>
      <c r="V305" s="391">
        <f ca="1">MAX(0,MIN(Control!$C$100-Control!$C$99,$G305-Control!$C$99)*Control!$C$63)</f>
        <v>0</v>
      </c>
      <c r="W305" s="388">
        <f t="shared" ca="1" si="1052"/>
        <v>0</v>
      </c>
      <c r="X305" s="388">
        <f t="shared" ca="1" si="1053"/>
        <v>0.6110000000000001</v>
      </c>
      <c r="Y305" s="388">
        <f t="shared" ca="1" si="932"/>
        <v>0</v>
      </c>
      <c r="Z305" s="388">
        <f t="shared" ca="1" si="1054"/>
        <v>0.61058800000000002</v>
      </c>
      <c r="AA305" s="388">
        <f t="shared" ca="1" si="933"/>
        <v>0.6018</v>
      </c>
      <c r="AB305" s="388">
        <f ca="1">101.3*EXP(-0.034*Control!$C$66/($G305+273))</f>
        <v>100.69623283836242</v>
      </c>
      <c r="AC305" s="392">
        <f t="shared" ca="1" si="934"/>
        <v>4.3460251046025113E-2</v>
      </c>
      <c r="AD305" s="392">
        <f t="shared" ca="1" si="935"/>
        <v>4.4450382862832649E-2</v>
      </c>
      <c r="AE305" s="388">
        <f t="shared" ca="1" si="936"/>
        <v>0</v>
      </c>
      <c r="AF305" s="388">
        <f ca="1">MAX(0,$G305-Control!$C$92)</f>
        <v>0</v>
      </c>
      <c r="AG305" s="393">
        <f t="shared" ca="1" si="937"/>
        <v>301</v>
      </c>
      <c r="AH305" s="389">
        <f t="shared" ca="1" si="938"/>
        <v>301</v>
      </c>
      <c r="AI305" s="388">
        <f t="shared" ca="1" si="1055"/>
        <v>-0.24035742706275354</v>
      </c>
      <c r="AJ305" s="388">
        <f ca="1">IF(Control!$C$60&lt;=0,$HH305,$HI305)</f>
        <v>1</v>
      </c>
      <c r="AK305" s="388">
        <f t="shared" ca="1" si="939"/>
        <v>3.8043395969498319</v>
      </c>
      <c r="AL305" s="388">
        <f t="shared" ca="1" si="940"/>
        <v>-9.5578388953354569E-18</v>
      </c>
      <c r="AM305" s="388">
        <f t="shared" ca="1" si="941"/>
        <v>3.8043395969498319</v>
      </c>
      <c r="AN305" s="388">
        <f t="shared" ca="1" si="942"/>
        <v>-0.24727237645689609</v>
      </c>
      <c r="AO305" s="388">
        <f ca="1">-0.10453/COS(Control!$B$8*PI()/180)*COS(AN305)</f>
        <v>-0.16462062691836338</v>
      </c>
      <c r="AP305" s="388">
        <f ca="1">ACOS(AO305-TAN(Control!$B$8*PI()/180)*TAN(AN305))</f>
        <v>1.4116393605095463</v>
      </c>
      <c r="AQ305" s="388">
        <f t="shared" ca="1" si="1056"/>
        <v>0</v>
      </c>
      <c r="AR305" s="394">
        <f t="shared" ca="1" si="943"/>
        <v>0</v>
      </c>
      <c r="AS305" s="436">
        <f ca="1">IF(Control!$B$18=2,(IF(OR($AH305=Control!$B$175,$AH305=Control!$B$176,$AH305=Control!$B$177,$AH305=Control!$B$178,$AH305=Control!$B$179,$AH305=Control!$B$180,$AH305=Control!$B$181,$AH305=Control!$B$182,$AH305=Control!$B$183,$AH305=Control!$B$184,$AH305=Control!$B$185),1,0)),0)</f>
        <v>0</v>
      </c>
      <c r="AT305" s="436">
        <f>IF(Control!$B$20=8,IF(AND($AH305&gt;=Control!$B$172,$AH305&lt;=Control!$B$173),1,0),0)</f>
        <v>0</v>
      </c>
      <c r="AU305" s="436">
        <f>IF(Control!$B$20=8,IF($AV304=1,1*$AT305,IF($AT305=1,$AU304+1,$AU304)),0)</f>
        <v>0</v>
      </c>
      <c r="AV305" s="436">
        <f>IF(Control!$B$20=8,IF($AU305&gt;=Control!$B$174,1,0),0)</f>
        <v>0</v>
      </c>
      <c r="AW305" s="436">
        <f ca="1">IF(AND(Control!$B$18=2,Control!$B$171=1), $AV305, $AS305)</f>
        <v>0</v>
      </c>
      <c r="AX305" s="436" t="e">
        <f ca="1">IF(AND(Control!$B$18=1,$EU305&gt;=Control!$B$19),-$AY305,IF(AND(Control!$B$18=2,$AW305=1,$EU305&gt;$DS305),-$AY305, IF(Control!$C$108=0,0, IF(Control!$C$108&lt;&gt;0,1))))</f>
        <v>#N/A</v>
      </c>
      <c r="AY305" s="436" t="e">
        <f t="shared" ca="1" si="1057"/>
        <v>#N/A</v>
      </c>
      <c r="AZ305" s="436" t="e">
        <f ca="1">IF(AND(Control!$B$18=1,$EB305&gt;Control!$B$19),$AZ304+1, IF(AND(Control!$B$18=2, $AW305=1, $EB305&gt;$DS305), $AZ304+1,$AZ304))</f>
        <v>#N/A</v>
      </c>
      <c r="BA305" s="587">
        <f>IF(Control!$C$81=0,1,IF($AH305&gt;=Control!$C$82,1,0))</f>
        <v>1</v>
      </c>
      <c r="BB305" s="140" t="e">
        <f ca="1">IF($BA305&gt;$BA304,Control!$C$83,IF($AW305&gt;0,$AW305*Control!$C$84,IF(AND(Control!$B$18=1,EN304&lt;&gt;0),Control!$C$84,0)))</f>
        <v>#N/A</v>
      </c>
      <c r="BC305" s="140" t="e">
        <f t="shared" ca="1" si="1058"/>
        <v>#N/A</v>
      </c>
      <c r="BD305" s="140" t="e">
        <f ca="1">BC305*IF(OR($G305&lt;Control!$C$92,$G305&gt;Control!$C$95),0,IF(AND($G305&gt;=Control!$C$92,$G305&lt;=Control!$C$93),$G305-Control!$C$92,IF(AND($G305&gt;Control!$C$93,$G305&lt;=Control!$C$94),Control!$C$93-Control!$C$92,IF(AND($G305&gt;Control!$C$94,$G305&lt;=Control!$C$95),(Control!$C$93-Control!$C$92)*(Control!$C$94-$G305)/(Control!$C$95-Control!$C$94)))))</f>
        <v>#N/A</v>
      </c>
      <c r="BE305" s="140" t="e">
        <f t="shared" ca="1" si="1059"/>
        <v>#N/A</v>
      </c>
      <c r="BF305" s="140" t="e">
        <f ca="1">IF($BE305&lt;=Control!$C$86,$BE305,Control!$C$86-$BE305)</f>
        <v>#N/A</v>
      </c>
      <c r="BG305" s="140" t="e">
        <f ca="1">IF(AND($AW305=1,Control!$C$84&lt;9),1,IF($BE305&gt;=Control!$C$86,0,$BC305))</f>
        <v>#N/A</v>
      </c>
      <c r="BH305" s="404" t="e">
        <f ca="1">IF($BG305=0,0,IF($BE305&lt;=Control!$C$86,$BC305*9*($BF305/Control!$C$86),0))</f>
        <v>#N/A</v>
      </c>
      <c r="BI305" s="140" t="e">
        <f ca="1">IF($BG305=1,0,IF($BE305&gt;=Control!$C$86,1,IF(AND($BB305&lt;21,$BB305&gt;=9),1,$BM304)))</f>
        <v>#N/A</v>
      </c>
      <c r="BJ305" s="140" t="e">
        <f ca="1">IF($BF305&lt;0,-$BF305,$BI305*IF(OR($G305&lt;Control!$C$92,$G305&gt;Control!$C$95),0,IF(AND($G305&gt;=Control!$C$92,$G305&lt;=Control!$C$93),$G305-Control!$C$92,IF(AND($G305&gt;Control!$C$93,$G305&lt;=Control!$C$94),Control!$C$93-Control!$C$92,IF(AND($G305&gt;Control!$C$94,$G305&lt;=Control!$C$95),(Control!$C$93-Control!$C$92)*(Control!$C$94-$G305)/(Control!$C$95-Control!$C$94))))))</f>
        <v>#N/A</v>
      </c>
      <c r="BK305" s="140" t="e">
        <f t="shared" ca="1" si="1060"/>
        <v>#N/A</v>
      </c>
      <c r="BL305" s="140" t="e">
        <f ca="1">IF($BK305&lt;=Control!$C$87,$BK305,Control!$C$87-$BK305)</f>
        <v>#N/A</v>
      </c>
      <c r="BM305" s="140" t="e">
        <f ca="1">IF(AND($BB305&gt;=9,$BB305&lt;21),1,IF($BK305&gt;=Control!$C$87,0,$BI305))</f>
        <v>#N/A</v>
      </c>
      <c r="BN305" s="404" t="e">
        <f ca="1">IF($BM305=0,0,IF($BK305&lt;=Control!$C$87,$BI305*(9+(21-9)*($BL305/Control!$C$87)),0))</f>
        <v>#N/A</v>
      </c>
      <c r="BO305" s="140" t="e">
        <f ca="1">IF($BM305=1,0,IF($BK305&gt;=Control!$C$87,1,IF(AND($BB305&lt;30,$BB305&gt;=21),1,$BS304)))</f>
        <v>#N/A</v>
      </c>
      <c r="BP305" s="140" t="e">
        <f ca="1">IF($BL305&lt;0,-$BL305,$BO305*IF(OR($G305&lt;Control!$C$92,$G305&gt;Control!$C$95),0,IF(AND($G305&gt;=Control!$C$92,$G305&lt;=Control!$C$93),$G305-Control!$C$92,IF(AND($G305&gt;Control!$C$93,$G305&lt;=Control!$C$94),Control!$C$93-Control!$C$92,IF(AND($G305&gt;Control!$C$94,$G305&lt;=Control!$C$95),(Control!$C$93-Control!$C$92)*(Control!$C$94-$G305)/(Control!$C$95-Control!$C$94))))))</f>
        <v>#N/A</v>
      </c>
      <c r="BQ305" s="140" t="e">
        <f t="shared" ca="1" si="944"/>
        <v>#N/A</v>
      </c>
      <c r="BR305" s="140" t="e">
        <f ca="1">IF($BQ305&lt;=Control!$C$88,$BQ305,Control!$C$88-$BQ305)</f>
        <v>#N/A</v>
      </c>
      <c r="BS305" s="140" t="e">
        <f ca="1">IF(AND($BB305&gt;=21,$BB305&lt;30),1,IF($BQ305&gt;=Control!$C$88,0,$BO305))</f>
        <v>#N/A</v>
      </c>
      <c r="BT305" s="404" t="e">
        <f ca="1">IF($BS305=0,0,IF($BQ305&lt;=Control!$C$88,$BO305*(21+(30-21)*(BR305/Control!$C$88)),0))</f>
        <v>#N/A</v>
      </c>
      <c r="BU305" s="140" t="e">
        <f ca="1">IF(BG305+BM305+BS305=1,0,IF(OR(AND($BB305&lt;60,$BB305&gt;=30),$BQ305&gt;=Control!$C$88),1*$BA305,$BY304))</f>
        <v>#N/A</v>
      </c>
      <c r="BV305" s="140" t="e">
        <f ca="1">IF($BR305&lt;0,-$BR305,$BU305*IF(OR($G305&lt;Control!$C$92,$G305&gt;Control!$C$95),0,IF(AND($G305&gt;=Control!$C$92,$G305&lt;=Control!$C$93),$G305-Control!$C$92,IF(AND($G305&gt;Control!$C$93,$G305&lt;=Control!$C$94),Control!$C$93-Control!$C$92,IF(AND($G305&gt;Control!$C$94,$G305&lt;=Control!$C$95),(Control!$C$93-Control!$C$92)*(Control!$C$94-$G305)/(Control!$C$95-Control!$C$94))))))</f>
        <v>#N/A</v>
      </c>
      <c r="BW305" s="140" t="e">
        <f t="shared" ca="1" si="945"/>
        <v>#N/A</v>
      </c>
      <c r="BX305" s="140" t="e">
        <f ca="1">IF($BW305&lt;=Control!$C$89,$BW305,Control!$C$89-$BW305)</f>
        <v>#N/A</v>
      </c>
      <c r="BY305" s="140" t="e">
        <f ca="1">IF(AND($AJ305&gt;=30,$AJ305&lt;60),1,IF($BW305&gt;=Control!$C$89,0,$BU305))</f>
        <v>#N/A</v>
      </c>
      <c r="BZ305" s="404" t="e">
        <f ca="1">IF($BY305=0,0,IF($BW305&lt;=Control!$C$89,$BU305*(30+(60-30)*(BX305/Control!$C$89)),0))</f>
        <v>#N/A</v>
      </c>
      <c r="CA305" s="140" t="e">
        <f ca="1">IF($BG305+$BM305+$BS305+$BY305=1,0,IF(OR(AND($BB305&lt;65,$BB305&gt;=60),$BW305&gt;=Control!$C$89),1*$BA305,$CE304))</f>
        <v>#N/A</v>
      </c>
      <c r="CB305" s="140" t="e">
        <f ca="1">IF($BX305&lt;0,-$BX305,$CA305*IF(OR($G305&lt;Control!$C$92,$G305&gt;Control!$C$95),0,IF(AND($G305&gt;=Control!$C$92,$G305&lt;=Control!$C$93),$G305-Control!$C$92,IF(AND($G305&gt;Control!$C$93,$G305&lt;=Control!$C$94),Control!$C$93-Control!$C$92,IF(AND($G305&gt;Control!$C$94,$G305&lt;=Control!$C$95),(Control!$C$93-Control!$C$92)*(Control!$C$94-$G305)/(Control!$C$95-Control!$C$94))))))</f>
        <v>#N/A</v>
      </c>
      <c r="CC305" s="140" t="e">
        <f t="shared" ca="1" si="1061"/>
        <v>#N/A</v>
      </c>
      <c r="CD305" s="140" t="e">
        <f ca="1">IF($CC305&lt;=Control!$C$90,$CC305,Control!$C$90-$CC305)</f>
        <v>#N/A</v>
      </c>
      <c r="CE305" s="140" t="e">
        <f ca="1">IF(AND($BB305&gt;=60,$BB305&lt;65),1,IF($CC305&gt;=Control!$C$90,0,$CA305))</f>
        <v>#N/A</v>
      </c>
      <c r="CF305" s="404" t="e">
        <f ca="1">IF($CE305=0,0,IF($CC305&lt;=Control!$C$90,$CA305*(60+(65-60)*(CD305/Control!$C$90)),0))</f>
        <v>#N/A</v>
      </c>
      <c r="CG305" s="140" t="e">
        <f ca="1">IF($BG305+$BM305+$BS305+$BY305+$CE305=1,0,IF(OR(AND($BB305&lt;90,$BB305&gt;=65),$CC305&gt;=Control!$C$90),$BA305,$CK304))</f>
        <v>#N/A</v>
      </c>
      <c r="CH305" s="140" t="e">
        <f ca="1">IF($CD305&lt;0,-$CD305,$CG305*IF(OR($G305&lt;Control!$C$92,$G305&gt;Control!$C$95),0,IF(AND($G305&gt;=Control!$C$92,$G305&lt;=Control!$C$93),$G305-Control!$C$92,IF(AND($G305&gt;Control!$C$93,$G305&lt;=Control!$C$94),Control!$C$93-Control!$C$92,IF(AND($G305&gt;Control!$C$94,$G305&lt;=Control!$C$95),(Control!$C$93-Control!$C$92)*(Control!$C$94-$G305)/(Control!$C$95-Control!$C$94))))))</f>
        <v>#N/A</v>
      </c>
      <c r="CI305" s="140" t="e">
        <f t="shared" ca="1" si="1062"/>
        <v>#N/A</v>
      </c>
      <c r="CJ305" s="140" t="e">
        <f ca="1">IF($CI305&lt;=Control!$C$91,$CI305,Control!$C$91-$CI305)</f>
        <v>#N/A</v>
      </c>
      <c r="CK305" s="140" t="e">
        <f ca="1">IF(AND($BB305&gt;=65,$BB305&lt;90),1,IF($CI305&gt;=Control!$C$91,0,$CG305))</f>
        <v>#N/A</v>
      </c>
      <c r="CL305" s="404" t="e">
        <f ca="1">IF($CK305=0,0,IF($CI305&lt;=Control!$C$91,$CG305*(65+(90-65)*($CJ305/Control!$C$91)),0))</f>
        <v>#N/A</v>
      </c>
      <c r="CM305" s="140" t="e">
        <f ca="1">IF($BG305+$BM305+$BS305+$BY305+$CE305+$CK305=1,0,IF(OR($BB305&gt;=90,$CI305&gt;=Control!$C$91),$BA305,$CM304))</f>
        <v>#N/A</v>
      </c>
      <c r="CN305" s="140" t="e">
        <f t="shared" ca="1" si="1063"/>
        <v>#N/A</v>
      </c>
      <c r="CO305" s="140" t="e">
        <f t="shared" ca="1" si="1064"/>
        <v>#N/A</v>
      </c>
      <c r="CP305" s="140" t="e">
        <f t="shared" ca="1" si="1065"/>
        <v>#N/A</v>
      </c>
      <c r="CQ305" s="141" t="e">
        <f ca="1">VLOOKUP($CP305,Control!$B$86:$G$91,6)</f>
        <v>#N/A</v>
      </c>
      <c r="CR305" s="141" t="e">
        <f ca="1">(1-$CQ305)*VLOOKUP($CP305,Control!$B$86:$D$91,3)</f>
        <v>#N/A</v>
      </c>
      <c r="CS305" s="141" t="e">
        <f ca="1">(1-$CQ305)*VLOOKUP($CP305,Control!$B$86:$E$91,4)</f>
        <v>#N/A</v>
      </c>
      <c r="CT305" s="141" t="e">
        <f ca="1">(1-$CQ305)*VLOOKUP($CP305,Control!$B$86:$F$91,5)</f>
        <v>#N/A</v>
      </c>
      <c r="CU305" s="141">
        <f t="shared" ca="1" si="1066"/>
        <v>0</v>
      </c>
      <c r="CV305" s="583">
        <f t="shared" ca="1" si="1067"/>
        <v>0</v>
      </c>
      <c r="CW305" s="142">
        <f t="shared" ca="1" si="1068"/>
        <v>301</v>
      </c>
      <c r="CX305" s="612" t="e">
        <f ca="1">IF(Control!$C$114=1,(MIN(Control!$C$120*(IF($NT305-0.01&lt;0,0,1)),Control!$C$119-$CY305)))</f>
        <v>#DIV/0!</v>
      </c>
      <c r="CY305" s="143" t="e">
        <f t="shared" ca="1" si="1069"/>
        <v>#N/A</v>
      </c>
      <c r="CZ305" s="144">
        <f t="shared" ca="1" si="946"/>
        <v>0</v>
      </c>
      <c r="DA305" s="144">
        <f t="shared" ca="1" si="947"/>
        <v>0</v>
      </c>
      <c r="DB305" s="144" t="e">
        <f t="shared" ca="1" si="948"/>
        <v>#N/A</v>
      </c>
      <c r="DC305" s="144" t="e">
        <f t="shared" ca="1" si="949"/>
        <v>#N/A</v>
      </c>
      <c r="DD305" s="144" t="e">
        <f t="shared" ca="1" si="1154"/>
        <v>#N/A</v>
      </c>
      <c r="DE305" s="143" t="e">
        <f t="shared" ca="1" si="1070"/>
        <v>#N/A</v>
      </c>
      <c r="DF305" s="145" t="e">
        <f ca="1">$DR305*EXP(-Control!$C$158*(1-$KH305))</f>
        <v>#N/A</v>
      </c>
      <c r="DG305" s="146" t="e">
        <f ca="1">IF(Control!$C$114=1, $DF305*$EY305, 0)</f>
        <v>#N/A</v>
      </c>
      <c r="DH305" s="147" t="e">
        <f t="shared" ca="1" si="1071"/>
        <v>#N/A</v>
      </c>
      <c r="DI305" s="144" t="e">
        <f t="shared" ca="1" si="1132"/>
        <v>#N/A</v>
      </c>
      <c r="DJ305" s="147" t="e">
        <f ca="1">$EF305*Control!$C$109</f>
        <v>#N/A</v>
      </c>
      <c r="DK305" s="144" t="e">
        <f t="shared" ca="1" si="1072"/>
        <v>#N/A</v>
      </c>
      <c r="DL305" s="144" t="e">
        <f t="shared" ca="1" si="950"/>
        <v>#N/A</v>
      </c>
      <c r="DM305" s="144" t="e">
        <f ca="1">IF(Control!$C$114=1, (1-EXP(-Control!$C$96*$DK305))*$AR305, 0)</f>
        <v>#N/A</v>
      </c>
      <c r="DN305" s="144">
        <f t="shared" ca="1" si="1073"/>
        <v>0</v>
      </c>
      <c r="DO305" s="148">
        <f>Control!$C$97</f>
        <v>4</v>
      </c>
      <c r="DP305" s="145" t="e">
        <f t="shared" ca="1" si="1074"/>
        <v>#N/A</v>
      </c>
      <c r="DQ305" s="145" t="e">
        <f ca="1">IF(AND($CP305&gt;=0,$CP305&lt;=90),Control!$C$111,Control!$C$111)</f>
        <v>#N/A</v>
      </c>
      <c r="DR305" s="145" t="e">
        <f t="shared" ca="1" si="951"/>
        <v>#N/A</v>
      </c>
      <c r="DS305" s="143" t="e">
        <f ca="1">Control!$B$22/$DR305</f>
        <v>#N/A</v>
      </c>
      <c r="DT305" s="149" t="e">
        <f ca="1">IF(AND(Control!$C$114=1,$KH305&lt;1),$IM305*$DF305, 0)</f>
        <v>#N/A</v>
      </c>
      <c r="DU305" s="144" t="e">
        <f t="shared" ca="1" si="1075"/>
        <v>#N/A</v>
      </c>
      <c r="DV305" s="144">
        <f ca="1">IF($G305-Control!$C$107&lt;=0, 0, 0.83*LN(MAX($G305, 3))-0.8924)</f>
        <v>0</v>
      </c>
      <c r="DW305" s="144" t="e">
        <f t="shared" ca="1" si="952"/>
        <v>#N/A</v>
      </c>
      <c r="DX305" s="150" t="e">
        <f ca="1">MAX(0.01*(1+$CU305/Control!$C$102),0.05*($DK305-Control!$C$97)/Control!$C$97)</f>
        <v>#N/A</v>
      </c>
      <c r="DY305" s="151" t="e">
        <f ca="1">IF(Control!$C$114=1, $DI305*$FS305, 0)</f>
        <v>#N/A</v>
      </c>
      <c r="DZ305" s="196" t="e">
        <f t="shared" ca="1" si="1076"/>
        <v>#N/A</v>
      </c>
      <c r="EA305" s="152">
        <f t="shared" ca="1" si="1077"/>
        <v>301</v>
      </c>
      <c r="EB305" s="153" t="e">
        <f t="shared" ca="1" si="1078"/>
        <v>#N/A</v>
      </c>
      <c r="EC305" s="153" t="e">
        <f t="shared" ca="1" si="1079"/>
        <v>#N/A</v>
      </c>
      <c r="ED305" s="154" t="e">
        <f ca="1">IF(Control!$C$114=1, $HM305*$FY305-$FD305, 0)</f>
        <v>#DIV/0!</v>
      </c>
      <c r="EE305" s="155" t="e">
        <f ca="1">IF(Control!$C$114=1, $HM305*$FZ305-$FF305, 0)</f>
        <v>#DIV/0!</v>
      </c>
      <c r="EF305" s="153" t="e">
        <f t="shared" ca="1" si="1133"/>
        <v>#N/A</v>
      </c>
      <c r="EG305" s="155" t="e">
        <f ca="1">IF(Control!$C$114=1, $GX305*$FW305-$FI305, 0)</f>
        <v>#DIV/0!</v>
      </c>
      <c r="EH305" s="153" t="e">
        <f t="shared" ca="1" si="1080"/>
        <v>#N/A</v>
      </c>
      <c r="EI305" s="156" t="e">
        <f t="shared" ca="1" si="1081"/>
        <v>#N/A</v>
      </c>
      <c r="EJ305" s="155" t="e">
        <f ca="1">IF(Control!$C$114=1, $HM305*$GB305, 0)</f>
        <v>#DIV/0!</v>
      </c>
      <c r="EK305" s="153" t="e">
        <f t="shared" ca="1" si="1134"/>
        <v>#N/A</v>
      </c>
      <c r="EL305" s="153" t="e">
        <f t="shared" ca="1" si="953"/>
        <v>#N/A</v>
      </c>
      <c r="EM305" s="153" t="e">
        <f t="shared" ca="1" si="954"/>
        <v>#N/A</v>
      </c>
      <c r="EN305" s="153" t="e">
        <f ca="1">IF(Control!$C$108=1,IF(AND(Control!$B$18=1,$EB305&gt;=Control!$B$19),$EB305-$DS305,IF(AND(Control!$B$18=2,$AW305=1,$EB305&gt;$DS305),$EB305-$DS305,0)))</f>
        <v>#N/A</v>
      </c>
      <c r="EO305" s="153" t="e">
        <f ca="1">IF(Control!$C$108=1,IF(AND(Control!$B$18=1,$EB305&gt;=Control!$B$19),$EF305,IF(AND(Control!$B$18=2,$AW305=1),$EF305,0)))</f>
        <v>#N/A</v>
      </c>
      <c r="EP305" s="153" t="e">
        <f ca="1">IF(Control!$C$108=1,IF(AND(Control!$B$18=1,$EB305&gt;=Control!$B$19),$EK305,IF(AND(Control!$B$18=2,$AW305=1),$EK305,0)))</f>
        <v>#N/A</v>
      </c>
      <c r="EQ305" s="153" t="e">
        <f t="shared" ca="1" si="1082"/>
        <v>#N/A</v>
      </c>
      <c r="ER305" s="153" t="e">
        <f t="shared" ca="1" si="1083"/>
        <v>#N/A</v>
      </c>
      <c r="ES305" s="153" t="e">
        <f t="shared" ca="1" si="1135"/>
        <v>#N/A</v>
      </c>
      <c r="ET305" s="153" t="e">
        <f t="shared" ca="1" si="1136"/>
        <v>#N/A</v>
      </c>
      <c r="EU305" s="153" t="e">
        <f t="shared" ca="1" si="1084"/>
        <v>#N/A</v>
      </c>
      <c r="EV305" s="153" t="e">
        <f t="shared" ca="1" si="955"/>
        <v>#N/A</v>
      </c>
      <c r="EW305" s="153" t="e">
        <f t="shared" ca="1" si="956"/>
        <v>#N/A</v>
      </c>
      <c r="EX305" s="153" t="e">
        <f t="shared" ca="1" si="957"/>
        <v>#N/A</v>
      </c>
      <c r="EY305" s="157" t="e">
        <f t="shared" ca="1" si="958"/>
        <v>#DIV/0!</v>
      </c>
      <c r="EZ305" s="154" t="e">
        <f t="shared" ca="1" si="959"/>
        <v>#DIV/0!</v>
      </c>
      <c r="FA305" s="153" t="e">
        <f t="shared" ca="1" si="1085"/>
        <v>#N/A</v>
      </c>
      <c r="FB305" s="153" t="e">
        <f t="shared" ca="1" si="960"/>
        <v>#N/A</v>
      </c>
      <c r="FC305" s="193" t="e">
        <f t="shared" ca="1" si="961"/>
        <v>#N/A</v>
      </c>
      <c r="FD305" s="158" t="e">
        <f t="shared" ca="1" si="1086"/>
        <v>#N/A</v>
      </c>
      <c r="FE305" s="158" t="e">
        <f t="shared" ca="1" si="1087"/>
        <v>#N/A</v>
      </c>
      <c r="FF305" s="159" t="e">
        <f t="shared" ca="1" si="962"/>
        <v>#N/A</v>
      </c>
      <c r="FG305" s="160" t="e">
        <f t="shared" ca="1" si="1088"/>
        <v>#N/A</v>
      </c>
      <c r="FH305" s="158" t="e">
        <f t="shared" ca="1" si="1089"/>
        <v>#N/A</v>
      </c>
      <c r="FI305" s="159" t="e">
        <f t="shared" ca="1" si="963"/>
        <v>#N/A</v>
      </c>
      <c r="FJ305" s="160" t="e">
        <f t="shared" ca="1" si="1090"/>
        <v>#N/A</v>
      </c>
      <c r="FK305" s="160" t="e">
        <f t="shared" ca="1" si="964"/>
        <v>#N/A</v>
      </c>
      <c r="FL305" s="160" t="e">
        <f t="shared" ca="1" si="1137"/>
        <v>#N/A</v>
      </c>
      <c r="FM305" s="160" t="e">
        <f t="shared" ca="1" si="965"/>
        <v>#N/A</v>
      </c>
      <c r="FN305" s="158">
        <f t="shared" ca="1" si="1091"/>
        <v>0.01</v>
      </c>
      <c r="FO305" s="160">
        <f>Control!$C$101</f>
        <v>50</v>
      </c>
      <c r="FP305" s="150" t="e">
        <f t="shared" ca="1" si="966"/>
        <v>#N/A</v>
      </c>
      <c r="FQ305" s="150" t="e">
        <f ca="1">MAX(0,(Control!$C$112*(($DK305-Control!$C$97)/Control!$C$97)))</f>
        <v>#N/A</v>
      </c>
      <c r="FR305" s="150" t="e">
        <f ca="1">(1-$NT305)*Control!$C$113</f>
        <v>#DIV/0!</v>
      </c>
      <c r="FS305" s="198" t="e">
        <f t="shared" ca="1" si="967"/>
        <v>#N/A</v>
      </c>
      <c r="FT305" s="161">
        <f t="shared" ca="1" si="1092"/>
        <v>301</v>
      </c>
      <c r="FU305" s="162" t="e">
        <f ca="1">IF(Control!$B$34=1,VLOOKUP($CP305,Control!$B$86:$G$91,6),Control!$B$35)</f>
        <v>#N/A</v>
      </c>
      <c r="FV305" s="162" t="e">
        <f t="shared" ca="1" si="968"/>
        <v>#DIV/0!</v>
      </c>
      <c r="FW305" s="162" t="e">
        <f ca="1">IF(Control!$B$31=1,$FU305*$FV305,  $FU305)</f>
        <v>#N/A</v>
      </c>
      <c r="FX305" s="162" t="e">
        <f ca="1">IF(Control!$B$34=1,VLOOKUP($CP305,Control!$B$86:$G$91,3),Control!$B$36)</f>
        <v>#N/A</v>
      </c>
      <c r="FY305" s="162" t="e">
        <f t="shared" ca="1" si="969"/>
        <v>#N/A</v>
      </c>
      <c r="FZ305" s="162" t="e">
        <f ca="1">IF(Control!$B$34=1,VLOOKUP($CP305,Control!$B$86:$G$91,4),Control!$B$37)</f>
        <v>#N/A</v>
      </c>
      <c r="GA305" s="162" t="e">
        <f t="shared" ca="1" si="970"/>
        <v>#N/A</v>
      </c>
      <c r="GB305" s="162" t="e">
        <f ca="1">IF(Control!$B$34=1,VLOOKUP($CP305,Control!$B$86:$G$91,5),Control!$B$38)</f>
        <v>#N/A</v>
      </c>
      <c r="GC305" s="162" t="e">
        <f t="shared" ca="1" si="1093"/>
        <v>#N/A</v>
      </c>
      <c r="GD305" s="162">
        <f t="shared" ca="1" si="971"/>
        <v>1</v>
      </c>
      <c r="GE305" s="162">
        <f t="shared" ca="1" si="972"/>
        <v>1</v>
      </c>
      <c r="GF305" s="162">
        <f ca="1">IF(AND(Control!$C$104=1, Control!$C$62="F"),$GE305,1)</f>
        <v>1</v>
      </c>
      <c r="GG305" s="162" t="e">
        <f ca="1">IF(Control!$B$16=40,0,IF(AND(Control!$B$16&gt;40,Control!$B$16&lt;=360),(Control!$B$16-40)*((1-0)/(360-40)),IF(AND(Control!$B$16&gt;360,Control!$B$16&lt;=720),(1+(Control!$B$16-360)*((1.25-1)/(720-360))),IF(AND(Control!$B$16&gt;720,Control!$B$16&lt;=1000),(1.25+(Control!$B$16-720)*((1.35-1.25)/(1000-720))),IF(AND(Control!$B$16&gt;1000,Control!$B$16&lt;=2000),(1.35+(Control!$B$16-1000)*0))))))</f>
        <v>#N/A</v>
      </c>
      <c r="GH305" s="162" t="e">
        <f t="shared" ca="1" si="973"/>
        <v>#N/A</v>
      </c>
      <c r="GI305" s="162">
        <f t="shared" ca="1" si="1094"/>
        <v>0</v>
      </c>
      <c r="GJ305" s="162">
        <f t="shared" ca="1" si="974"/>
        <v>0</v>
      </c>
      <c r="GK305" s="162">
        <f t="shared" ca="1" si="1095"/>
        <v>1</v>
      </c>
      <c r="GL305" s="162">
        <f t="shared" ca="1" si="975"/>
        <v>1</v>
      </c>
      <c r="GM305" s="162" t="e">
        <f ca="1">MAX(0,MIN(1,1-Control!$C$156*(1.0001-$KH305)^2))</f>
        <v>#N/A</v>
      </c>
      <c r="GN305" s="162" t="e">
        <f ca="1">IF(Control!$B$26=1,$KU305,$KX305)</f>
        <v>#N/A</v>
      </c>
      <c r="GO305" s="162" t="e">
        <f ca="1">IF($CP305&lt;=60,Control!$C$105,IF($CP305&gt;=90,Control!$C$106,Control!$C$105+($CP305-60)*((Control!$C$106-Control!$C$105)/(90-60))))</f>
        <v>#N/A</v>
      </c>
      <c r="GP305" s="162" t="e">
        <f t="shared" ca="1" si="976"/>
        <v>#N/A</v>
      </c>
      <c r="GQ305" s="162" t="e">
        <f t="shared" ca="1" si="1096"/>
        <v>#N/A</v>
      </c>
      <c r="GR305" s="163" t="e">
        <f t="shared" ca="1" si="977"/>
        <v>#DIV/0!</v>
      </c>
      <c r="GS305" s="162" t="e">
        <f t="shared" ca="1" si="978"/>
        <v>#DIV/0!</v>
      </c>
      <c r="GT305" s="164" t="e">
        <f t="shared" ca="1" si="1097"/>
        <v>#N/A</v>
      </c>
      <c r="GU305" s="162" t="e">
        <f t="shared" ca="1" si="1098"/>
        <v>#N/A</v>
      </c>
      <c r="GV305" s="162" t="e">
        <f t="shared" ca="1" si="979"/>
        <v>#N/A</v>
      </c>
      <c r="GW305" s="162" t="e">
        <f t="shared" ca="1" si="980"/>
        <v>#DIV/0!</v>
      </c>
      <c r="GX305" s="162" t="e">
        <f t="shared" ca="1" si="1099"/>
        <v>#DIV/0!</v>
      </c>
      <c r="GY305" s="162" t="e">
        <f t="shared" ca="1" si="1100"/>
        <v>#DIV/0!</v>
      </c>
      <c r="GZ305" s="165" t="e">
        <f t="shared" ca="1" si="981"/>
        <v>#N/A</v>
      </c>
      <c r="HA305" s="162" t="e">
        <f ca="1">IF(Control!$C$114=1, $DI305*$FS305, 0)</f>
        <v>#N/A</v>
      </c>
      <c r="HB305" s="162" t="e">
        <f ca="1">$FA305/Control!$C$64</f>
        <v>#N/A</v>
      </c>
      <c r="HC305" s="162" t="e">
        <f t="shared" ca="1" si="982"/>
        <v>#DIV/0!</v>
      </c>
      <c r="HD305" s="162">
        <f ca="1">-ASIN(SIN(23.45*Control!$C$139)*COS(2*Control!$C$138*($AH305+10)/365))</f>
        <v>-0.24035742706275354</v>
      </c>
      <c r="HE305" s="165">
        <f t="shared" ca="1" si="1101"/>
        <v>0</v>
      </c>
      <c r="HF305" s="166">
        <f ca="1">IF(AND(Control!$C$61="T",$HE305&gt;=Control!$C$103,Control!$C$114=0),$AH305,Control!$C$59)</f>
        <v>1</v>
      </c>
      <c r="HG305" s="166">
        <f ca="1">IF(AND(Control!$C$61="T",$HE305&gt;=Control!$C$103,Control!$C$114=0),$HF305,Control!$C$59)</f>
        <v>1</v>
      </c>
      <c r="HH305" s="165">
        <f ca="1">IF(AND(OR(Control!$C$60&lt;=0, $AH305= Control!$C$59, Control!$C$60 &gt;0, $AH305 = Control!$C$60)), Control!$C$59, IF(Control!$C$60&gt;0, 0))</f>
        <v>1</v>
      </c>
      <c r="HI305" s="165">
        <f ca="1">IF(AND(OR(Control!$C$60&lt;=0, $AH305= Control!$C$59, Control!$C$60 &gt;0, $AH305 = Control!$C$60)), Control!$C$60, IF(Control!$C$60&lt;=0, 0))</f>
        <v>0</v>
      </c>
      <c r="HJ305" s="166">
        <f ca="1">IF(AND(Control!$C$62="F",$CV305&gt;=Control!$C$102),$AH305,0)</f>
        <v>0</v>
      </c>
      <c r="HK305" s="165" t="e">
        <f t="shared" ca="1" si="1138"/>
        <v>#N/A</v>
      </c>
      <c r="HL305" s="166">
        <f ca="1">IF(AND(Control!$C$61="T",$HE305&gt;=Control!$C$103,Control!$C$114=0),$HF305,0)</f>
        <v>0</v>
      </c>
      <c r="HM305" s="201" t="e">
        <f t="shared" ca="1" si="983"/>
        <v>#DIV/0!</v>
      </c>
      <c r="HN305" s="215">
        <f t="shared" ca="1" si="1102"/>
        <v>301</v>
      </c>
      <c r="HO305" s="216" t="e">
        <f ca="1">IF(AND($CP305&gt;=0, $CP305&lt;=90), Control!$C$152, Control!$C$152)</f>
        <v>#N/A</v>
      </c>
      <c r="HP305" s="216" t="e">
        <f t="shared" ca="1" si="984"/>
        <v>#N/A</v>
      </c>
      <c r="HQ305" s="217" t="e">
        <f ca="1">IF(OR(Control!$B$26=1,Control!$B$26=2),$KV305,$KS305)</f>
        <v>#DIV/0!</v>
      </c>
      <c r="HR305" s="218" t="e">
        <f t="shared" ca="1" si="1139"/>
        <v>#DIV/0!</v>
      </c>
      <c r="HS305" s="216" t="e">
        <f ca="1">Control!$C$154*$HP305</f>
        <v>#N/A</v>
      </c>
      <c r="HT305" s="216" t="e">
        <f ca="1">Control!$C$155*$HP305</f>
        <v>#N/A</v>
      </c>
      <c r="HU305" s="217" t="e">
        <f ca="1">Control!$C$161*$FI305</f>
        <v>#N/A</v>
      </c>
      <c r="HV305" s="218" t="e">
        <f t="shared" ca="1" si="1103"/>
        <v>#N/A</v>
      </c>
      <c r="HW305" s="218" t="e">
        <f ca="1">Control!$C$160*$FF305+$IP305*$EO305</f>
        <v>#N/A</v>
      </c>
      <c r="HX305" s="218" t="e">
        <f t="shared" ca="1" si="1140"/>
        <v>#N/A</v>
      </c>
      <c r="HY305" s="219" t="e">
        <f ca="1">IF(Control!$C$114=1, $EB305*$FS305, 0)</f>
        <v>#N/A</v>
      </c>
      <c r="HZ305" s="91" t="e">
        <f t="shared" ca="1" si="985"/>
        <v>#N/A</v>
      </c>
      <c r="IA305" s="220" t="e">
        <f ca="1">Control!$C$153*$HO305</f>
        <v>#N/A</v>
      </c>
      <c r="IB305" s="218" t="e">
        <f t="shared" ca="1" si="986"/>
        <v>#N/A</v>
      </c>
      <c r="IC305" s="220" t="e">
        <f ca="1">Control!$C$153*$HT305</f>
        <v>#N/A</v>
      </c>
      <c r="ID305" s="218" t="e">
        <f t="shared" ca="1" si="987"/>
        <v>#N/A</v>
      </c>
      <c r="IE305" s="221" t="e">
        <f ca="1">($EB305*Control!$C$159+$EF305*Control!$C$160)/(IF($GZ305&lt;&gt;0,$GZ305,1))</f>
        <v>#N/A</v>
      </c>
      <c r="IF305" s="216" t="e">
        <f t="shared" ca="1" si="988"/>
        <v>#N/A</v>
      </c>
      <c r="IG305" s="91">
        <f ca="1">IF(OR(Control!$B$198=$AH305,Control!$B$199=$AH305, Control!$B$200=$AH305, Control!$B$201=$AH305, Control!$B$202=$AH305, Control!$B$203=$AH305, Control!$B$204=$AH305, Control!$B$205=$AH305, Control!$B$206=$AH305, Control!$B$207=$AH305), 1, 0)</f>
        <v>0</v>
      </c>
      <c r="IH305" s="91">
        <f ca="1">IF($IG305=0,0, VLOOKUP($AH305,Control!$B$198:$C$207,2))</f>
        <v>0</v>
      </c>
      <c r="II305" s="222">
        <f t="shared" ca="1" si="1104"/>
        <v>0</v>
      </c>
      <c r="IJ305" s="91">
        <f>Control!$C$121</f>
        <v>0.7</v>
      </c>
      <c r="IK305" s="218">
        <f t="shared" ca="1" si="989"/>
        <v>0</v>
      </c>
      <c r="IL305" s="217" t="e">
        <f t="shared" ca="1" si="1141"/>
        <v>#N/A</v>
      </c>
      <c r="IM305" s="223" t="e">
        <f ca="1">IF(AND(Control!$C$114=1,$KH305&lt;1),$EB305*Control!$C$148*(1-$KH305), 0)</f>
        <v>#N/A</v>
      </c>
      <c r="IN305" s="217" t="e">
        <f t="shared" ca="1" si="990"/>
        <v>#DIV/0!</v>
      </c>
      <c r="IO305" s="91" t="e">
        <f ca="1">MAX(0,$IL305-$EF305*Control!$C$160)</f>
        <v>#N/A</v>
      </c>
      <c r="IP305" s="220" t="e">
        <f t="shared" ca="1" si="991"/>
        <v>#N/A</v>
      </c>
      <c r="IQ305" s="217" t="e">
        <f t="shared" ca="1" si="1105"/>
        <v>#N/A</v>
      </c>
      <c r="IR305" s="218" t="e">
        <f t="shared" ca="1" si="992"/>
        <v>#N/A</v>
      </c>
      <c r="IS305" s="217" t="e">
        <f ca="1">Control!$C$159*MAX(0,$FD305-$EN305)</f>
        <v>#N/A</v>
      </c>
      <c r="IT305" s="217" t="e">
        <f t="shared" ca="1" si="1142"/>
        <v>#N/A</v>
      </c>
      <c r="IU305" s="217" t="e">
        <f t="shared" ca="1" si="1106"/>
        <v>#N/A</v>
      </c>
      <c r="IV305" s="217" t="e">
        <f t="shared" ca="1" si="1143"/>
        <v>#N/A</v>
      </c>
      <c r="IW305" s="217" t="e">
        <f ca="1">IF(OR($AW305=1,AND($AW305=0, Control!$B$18=1,$EN305&lt;&gt;0)), $IQ305-$IU305, $IQ305)</f>
        <v>#N/A</v>
      </c>
      <c r="IX305" s="218" t="e">
        <f t="shared" ca="1" si="993"/>
        <v>#N/A</v>
      </c>
      <c r="IY305" s="218" t="e">
        <f ca="1">MAX(0,$IQ305-$EB305*Control!$C$159)</f>
        <v>#N/A</v>
      </c>
      <c r="IZ305" s="218" t="e">
        <f t="shared" ca="1" si="994"/>
        <v>#N/A</v>
      </c>
      <c r="JA305" s="216" t="e">
        <f t="shared" ca="1" si="995"/>
        <v>#N/A</v>
      </c>
      <c r="JB305" s="217" t="e">
        <f t="shared" ca="1" si="996"/>
        <v>#N/A</v>
      </c>
      <c r="JC305" s="222" t="e">
        <f ca="1">MAX(Control!$C$157*$EK305-$JT305, 0)/Control!$C$162</f>
        <v>#N/A</v>
      </c>
      <c r="JD305" s="218" t="e">
        <f t="shared" ca="1" si="997"/>
        <v>#N/A</v>
      </c>
      <c r="JE305" s="218" t="e">
        <f t="shared" ca="1" si="998"/>
        <v>#N/A</v>
      </c>
      <c r="JF305" s="218" t="e">
        <f t="shared" ca="1" si="1107"/>
        <v>#N/A</v>
      </c>
      <c r="JG305" s="218" t="e">
        <f t="shared" ca="1" si="999"/>
        <v>#N/A</v>
      </c>
      <c r="JH305" s="217" t="e">
        <f t="shared" ca="1" si="1108"/>
        <v>#N/A</v>
      </c>
      <c r="JI305" s="217" t="e">
        <f t="shared" ca="1" si="1109"/>
        <v>#N/A</v>
      </c>
      <c r="JJ305" s="217" t="e">
        <f t="shared" ca="1" si="1144"/>
        <v>#N/A</v>
      </c>
      <c r="JK305" s="217" t="e">
        <f ca="1">IF(Control!$C$114=1,IF(Control!$B$24=0,MAX(0,$JI305)*$GN305/Control!$C$64,(MAX(0,MIN($JI305,$JJ305*$GN305/Control!$C$64),0))))</f>
        <v>#N/A</v>
      </c>
      <c r="JL305" s="217" t="e">
        <f ca="1">$IK305/Control!$C$64-$JK305+$HQ305</f>
        <v>#N/A</v>
      </c>
      <c r="JM305" s="217" t="e">
        <f ca="1">IF(Control!$C$114=1,($JB305/(IF($JI305&lt;&gt;0,$JI305,1)))*$JK305,0)</f>
        <v>#N/A</v>
      </c>
      <c r="JN305" s="217" t="e">
        <f ca="1">IF(Control!$C$114=1,($JG305/(IF($JI305&lt;&gt;0,$JI305,1)))*$JK305, 0)</f>
        <v>#N/A</v>
      </c>
      <c r="JO305" s="218" t="e">
        <f t="shared" ca="1" si="1000"/>
        <v>#N/A</v>
      </c>
      <c r="JP305" s="218" t="e">
        <f ca="1">MIN(($IY305+$IO305)*Control!$C$151, $JF305-$EH305*Control!$C$161)</f>
        <v>#N/A</v>
      </c>
      <c r="JQ305" s="218" t="e">
        <f t="shared" ca="1" si="1001"/>
        <v>#N/A</v>
      </c>
      <c r="JR305" s="217" t="e">
        <f ca="1">IF($CP305-Control!$C$150&lt;0, 0, $JQ305/Control!$C$162)</f>
        <v>#N/A</v>
      </c>
      <c r="JS305" s="218" t="e">
        <f t="shared" ca="1" si="1002"/>
        <v>#N/A</v>
      </c>
      <c r="JT305" s="218" t="e">
        <f t="shared" ca="1" si="1110"/>
        <v>#N/A</v>
      </c>
      <c r="JU305" s="218" t="e">
        <f t="shared" ca="1" si="1003"/>
        <v>#N/A</v>
      </c>
      <c r="JV305" s="218" t="e">
        <f t="shared" ca="1" si="1004"/>
        <v>#N/A</v>
      </c>
      <c r="JW305" s="216" t="e">
        <f t="shared" ca="1" si="1005"/>
        <v>#N/A</v>
      </c>
      <c r="JX305" s="91" t="e">
        <f t="shared" ca="1" si="1006"/>
        <v>#N/A</v>
      </c>
      <c r="JY305" s="218" t="e">
        <f t="shared" ca="1" si="1007"/>
        <v>#N/A</v>
      </c>
      <c r="JZ305" s="217" t="e">
        <f ca="1">IF(Control!$C$114=1,($IZ305/(IF($JI305&lt;&gt;0,$JI305,1)))*$JK305, 0)</f>
        <v>#N/A</v>
      </c>
      <c r="KA305" s="218" t="e">
        <f t="shared" ca="1" si="1145"/>
        <v>#N/A</v>
      </c>
      <c r="KB305" s="218" t="e">
        <f t="shared" ca="1" si="1111"/>
        <v>#N/A</v>
      </c>
      <c r="KC305" s="218" t="e">
        <f t="shared" ca="1" si="1008"/>
        <v>#N/A</v>
      </c>
      <c r="KD305" s="218" t="e">
        <f t="shared" ca="1" si="1009"/>
        <v>#N/A</v>
      </c>
      <c r="KE305" s="218" t="e">
        <f t="shared" ca="1" si="1010"/>
        <v>#N/A</v>
      </c>
      <c r="KF305" s="218" t="e">
        <f t="shared" ca="1" si="1011"/>
        <v>#N/A</v>
      </c>
      <c r="KG305" s="216" t="e">
        <f t="shared" ca="1" si="1012"/>
        <v>#N/A</v>
      </c>
      <c r="KH305" s="221" t="e">
        <f ca="1">IF(Control!$B$24=0,1,MAX(0.001,MIN(1,IF(($IF305-$IE305)&lt;&gt;0,($KG305-$IE305)/($IF305-$IE305),1))))</f>
        <v>#N/A</v>
      </c>
      <c r="KI305" s="222" t="e">
        <f ca="1">IF(Control!$C$114=1, $KI304+ $KH304, 0)</f>
        <v>#N/A</v>
      </c>
      <c r="KJ305" s="217" t="e">
        <f t="shared" ca="1" si="1013"/>
        <v>#N/A</v>
      </c>
      <c r="KK305" s="218" t="e">
        <f t="shared" ca="1" si="1014"/>
        <v>#N/A</v>
      </c>
      <c r="KL305" s="274" t="e">
        <f ca="1">IF(Control!$B$26=3,4000000000*EXP(-8400/($G305+273)),IF(Control!$B$26=4,4000000000*EXP(-8400/($G305+273))*($KT305),0))</f>
        <v>#DIV/0!</v>
      </c>
      <c r="KM305" s="274" t="e">
        <f ca="1">IF(Control!$B$26=3,5600000000000*EXP(-9800/($G305+273)),IF(Control!$B$26=4,5600000000000*EXP(-9800/($G305+273))*$KT305,0))</f>
        <v>#DIV/0!</v>
      </c>
      <c r="KN305" s="454" t="e">
        <f t="shared" ca="1" si="1112"/>
        <v>#DIV/0!</v>
      </c>
      <c r="KO305" s="274" t="e">
        <f t="shared" ca="1" si="1113"/>
        <v>#DIV/0!</v>
      </c>
      <c r="KP305" s="454" t="e">
        <f t="shared" ca="1" si="1015"/>
        <v>#DIV/0!</v>
      </c>
      <c r="KQ305" s="454" t="e">
        <f t="shared" ca="1" si="1016"/>
        <v>#DIV/0!</v>
      </c>
      <c r="KR305" s="454" t="e">
        <f t="shared" ca="1" si="1017"/>
        <v>#DIV/0!</v>
      </c>
      <c r="KS305" s="454" t="e">
        <f t="shared" ca="1" si="1018"/>
        <v>#DIV/0!</v>
      </c>
      <c r="KT305" s="455" t="e">
        <f t="shared" ca="1" si="1019"/>
        <v>#DIV/0!</v>
      </c>
      <c r="KU305" s="456" t="e">
        <f ca="1">IF($CP305-Control!$C$149&lt;0, IF($NT305-0.01&lt;0,0,1),0)</f>
        <v>#N/A</v>
      </c>
      <c r="KV305" s="456" t="e">
        <f ca="1">IF(Control!$C$114=1,MAX(0,MIN(Control!$C$125*$KW305*$GN305,$KW305)))</f>
        <v>#DIV/0!</v>
      </c>
      <c r="KW305" s="456" t="e">
        <f t="shared" ca="1" si="1146"/>
        <v>#DIV/0!</v>
      </c>
      <c r="KX305" s="457" t="e">
        <f ca="1">IF($CP305-Control!$C$149&lt;0, IF($MR305-$OM305&lt;0,0,1),0)</f>
        <v>#N/A</v>
      </c>
      <c r="KY305" s="167">
        <f t="shared" ca="1" si="1114"/>
        <v>301</v>
      </c>
      <c r="KZ305" s="168">
        <f ca="1">1370*(1+0.033*COS(2*Control!$C$138*$AH305/365))</f>
        <v>1390.4386729558507</v>
      </c>
      <c r="LA305" s="169">
        <f t="shared" ca="1" si="1115"/>
        <v>1.0149183827297661</v>
      </c>
      <c r="LB305" s="169">
        <f t="shared" ca="1" si="1116"/>
        <v>-0.24748328947463652</v>
      </c>
      <c r="LC305" s="169">
        <f ca="1">ACOS(-TAN((2*Control!$B$8/360))*TAN(Calculations!$LB305))</f>
        <v>1.4956333882594728</v>
      </c>
      <c r="LD305" s="169">
        <f ca="1">((24*60)/PI())*0.082*$LA305*(($LC305*SIN(Control!$B$8*2*PI()/360))*SIN($LB305)+COS(Control!$B$8*2*PI()/360)*COS($LB305)*SIN($LC305))</f>
        <v>11.692318653392148</v>
      </c>
      <c r="LE305" s="170">
        <f t="shared" ca="1" si="1020"/>
        <v>12.697928627962517</v>
      </c>
      <c r="LF305" s="170">
        <f ca="1">SIN(Control!$C$139*Control!$B$8)*SIN($HD305)</f>
        <v>-0.18758610838077272</v>
      </c>
      <c r="LG305" s="170">
        <f ca="1">COS(Control!$C$139*Control!$B$8)*COS($HD305)</f>
        <v>0.59796140069054093</v>
      </c>
      <c r="LH305" s="170">
        <f ca="1">12*(1+2*ASIN(MAX(-1,MIN(1,$LF305/$LG305))/Control!$C$138))</f>
        <v>9.5994415807135614</v>
      </c>
      <c r="LI305" s="170">
        <f ca="1">12*(1+2*ASIN(MAX(-1,MIN(1,(-SIN(-4*Control!$C$139)+$LF305)/$LG305))/Control!$C$138))</f>
        <v>10.493648533914655</v>
      </c>
      <c r="LJ305" s="168">
        <f ca="1">3600*($LH305*$LF305+24*$LG305*SQRT(1-$LK305*$LK305)/Control!$C$138)</f>
        <v>9132.3183646559155</v>
      </c>
      <c r="LK305" s="170">
        <f t="shared" ca="1" si="1021"/>
        <v>-0.31370939355641275</v>
      </c>
      <c r="LL305" s="170">
        <f t="shared" ca="1" si="1022"/>
        <v>0</v>
      </c>
      <c r="LM305" s="171">
        <f ca="1">Control!$C$145*$AB305</f>
        <v>6.6660906138995932E-2</v>
      </c>
      <c r="LN305" s="170">
        <f t="shared" ca="1" si="1117"/>
        <v>0.54</v>
      </c>
      <c r="LO305" s="170">
        <f t="shared" ca="1" si="1023"/>
        <v>0</v>
      </c>
      <c r="LP305" s="170">
        <f ca="1">Control!$C$140*((($D305+273.16)^4+($E305+273.16)^4)/2)*(0.34-0.14*SQRT($Y305))*(1.35*$AQ305/(0.75*$LD305)-0.35)</f>
        <v>-3.2464704755046001</v>
      </c>
      <c r="LQ305" s="170">
        <f ca="1">Control!$C$140*($G305+273)^4*(0.56-0.079*SQRT($Y305*10))*(0.1+0.9*$LO305)</f>
        <v>1.5241745131704001</v>
      </c>
      <c r="LR305" s="170">
        <f ca="1">$AQ305*(1-Control!$C$142)-$LQ305</f>
        <v>-1.5241745131704001</v>
      </c>
      <c r="LS305" s="170">
        <f ca="1">$AQ305*(1-Control!$C$143)-$LQ305</f>
        <v>-1.5241745131704001</v>
      </c>
      <c r="LT305" s="170">
        <f ca="1">$AQ305*(1-Control!$C$144)-$LQ305</f>
        <v>-1.5241745131704001</v>
      </c>
      <c r="LU305" s="169">
        <f ca="1">(1-Control!$C$144)*AQ305-LP305</f>
        <v>3.2464704755046001</v>
      </c>
      <c r="LV305" s="172">
        <f t="shared" ca="1" si="1024"/>
        <v>0.79430000000000012</v>
      </c>
      <c r="LW305" s="170">
        <f t="shared" ca="1" si="1025"/>
        <v>1.5886000000000002</v>
      </c>
      <c r="LX305" s="170">
        <f ca="1">($AC305*($LR305/Control!$C$141)+$LM305*$LV305)/($AC305+$LM305)</f>
        <v>0.23530094218323697</v>
      </c>
      <c r="LY305" s="170">
        <f ca="1">($AC305*($LS305/Control!$C$141)+$LM305*$LV305)/($AC305+$LM305)</f>
        <v>0.23530094218323697</v>
      </c>
      <c r="LZ305" s="170">
        <f t="shared" ca="1" si="1026"/>
        <v>0.23530094218323697</v>
      </c>
      <c r="MA305" s="170">
        <f t="shared" ca="1" si="1027"/>
        <v>0.23530094218323697</v>
      </c>
      <c r="MB305" s="170" t="e">
        <f t="shared" ca="1" si="1028"/>
        <v>#N/A</v>
      </c>
      <c r="MC305" s="170">
        <f t="shared" ca="1" si="1118"/>
        <v>0.6018</v>
      </c>
      <c r="MD305" s="170">
        <f t="shared" ca="1" si="1029"/>
        <v>0.52989392535414004</v>
      </c>
      <c r="ME305" s="170">
        <f ca="1">($AC305*($LT305/Control!$C$141)+$LM305*$LW305)/($AC305+$LM305)</f>
        <v>0.71612369323045078</v>
      </c>
      <c r="MF305" s="170" t="e">
        <f ca="1">IF(Control!$B$16&gt;=1000,0.92,IF(AND(720&lt;=Control!$B$16,1000&gt;Control!$B$16),(0.95+(Control!$B$16-720)*((0.92-0.95)/(1000-720))),IF(AND(360&lt;=Control!$B$16,720&gt;Control!$B$16),(1+(Control!$B$16-360)*((0.95-1)/(720-360))),IF(AND(40&lt;=Control!$B$16,360&gt;Control!$B$16),(1.05+(Control!$B$16-40)*((1.05-1)/(360-40)))))))</f>
        <v>#N/A</v>
      </c>
      <c r="MG305" s="170">
        <f t="shared" ca="1" si="1030"/>
        <v>0.71612369323045078</v>
      </c>
      <c r="MH305" s="170" t="e">
        <f t="shared" ca="1" si="1156"/>
        <v>#N/A</v>
      </c>
      <c r="MI305" s="170" t="e">
        <f t="shared" ca="1" si="1156"/>
        <v>#N/A</v>
      </c>
      <c r="MJ305" s="170" t="e">
        <f ca="1">MAX(0.0001, Control!$C$132*$MI305*$DL305)</f>
        <v>#N/A</v>
      </c>
      <c r="MK305" s="170">
        <f ca="1">1/(0.76+1.5*($MG305/10))-(5-Control!$C$110)*0.1</f>
        <v>1.002845988140797</v>
      </c>
      <c r="ML305" s="173">
        <f ca="1">IF(Control!$C$110&lt;3,$MK305+($MG305-0.6)/(Control!$C$110*(Control!$C$110+3)), MAX(0.1, MIN(0.95,$MK305)))</f>
        <v>0.95</v>
      </c>
      <c r="MM305" s="173">
        <f ca="1">IF(Control!$C$110&lt;3,$MK305+(($MI305/10)-0.6)/(Control!$C$110*(Control!$C$110+3)), MAX(0.1, MIN(0.95,$MK305)))</f>
        <v>0.95</v>
      </c>
      <c r="MN305" s="173">
        <f ca="1">(1-$MM305)*(Control!$C$128-Control!$C$127)+Control!$C$127</f>
        <v>0.16</v>
      </c>
      <c r="MO305" s="170" t="e">
        <f ca="1">MAX(0,MIN(1,($MS305-Control!$C$127)/($MN305-Control!$C$127)))</f>
        <v>#DIV/0!</v>
      </c>
      <c r="MP305" s="173" t="e">
        <f ca="1">1/(0.76+1.5*$MI305)-(5-Control!$C$110)*0.1</f>
        <v>#N/A</v>
      </c>
      <c r="MQ305" s="172" t="e">
        <f t="shared" ca="1" si="1147"/>
        <v>#DIV/0!</v>
      </c>
      <c r="MR305" s="168" t="e">
        <f t="shared" ca="1" si="1119"/>
        <v>#DIV/0!</v>
      </c>
      <c r="MS305" s="173" t="e">
        <f ca="1">MAX(Control!$C$127, MIN(Control!$C$135, $MR305/MAX(0.0001,$CY305)))</f>
        <v>#DIV/0!</v>
      </c>
      <c r="MT305" s="168" t="e">
        <f ca="1">(Control!$C$128-$MS305)*Control!$C$74</f>
        <v>#DIV/0!</v>
      </c>
      <c r="MU305" s="168" t="e">
        <f ca="1">(Control!$C$135-$MS305)*Control!$C$74</f>
        <v>#DIV/0!</v>
      </c>
      <c r="MV305" s="168" t="e">
        <f t="shared" ca="1" si="1120"/>
        <v>#DIV/0!</v>
      </c>
      <c r="MW305" s="168" t="e">
        <f t="shared" ca="1" si="1121"/>
        <v>#DIV/0!</v>
      </c>
      <c r="MX305" s="171" t="e">
        <f ca="1">MAX(Control!$C$127, MIN(Control!$C$135, $MW305/MAX(0.0001,Control!$C$119-$CY305)))</f>
        <v>#DIV/0!</v>
      </c>
      <c r="MY305" s="54" t="e">
        <f ca="1">IF(Control!$C$114=1, $CX305*$MX305, 0)</f>
        <v>#DIV/0!</v>
      </c>
      <c r="MZ305" s="54" t="e">
        <f t="shared" ca="1" si="1122"/>
        <v>#N/A</v>
      </c>
      <c r="NA305" s="168" t="e">
        <f ca="1">(Control!$C$128-$MX305)*(Control!$C$119-Control!$C$74)</f>
        <v>#DIV/0!</v>
      </c>
      <c r="NB305" s="168" t="e">
        <f ca="1">(Control!$C$135-$MX305)*(Control!$C$119-Control!$C$74)</f>
        <v>#DIV/0!</v>
      </c>
      <c r="NC305" s="174" t="e">
        <f t="shared" ca="1" si="1123"/>
        <v>#DIV/0!</v>
      </c>
      <c r="ND305" s="54">
        <f ca="1">IF(Control!$C$58=2, IF(OR(Control!$B$218=$AH305,Control!$B$219=$AH305, Control!$B$220=$AH305, Control!$B$221=$AH305, Control!$B$222=$AH305, Control!$B$223=$AH305, Control!$B$224=$AH305, Control!$B$225=$AH305, Control!$B$226=$AH305, Control!$B$227=$AH305, Control!$B$228=$AH305), 1, 0), 0)</f>
        <v>0</v>
      </c>
      <c r="NE305" s="54">
        <f ca="1">IF($ND305=0,0, VLOOKUP($AH305,Control!$B$218:$C$228,2))</f>
        <v>0</v>
      </c>
      <c r="NF305" s="168" t="e">
        <f ca="1">$CY305*(Control!$C$128-Control!$C$127)</f>
        <v>#N/A</v>
      </c>
      <c r="NG305" s="54" t="e">
        <f ca="1">IF(Control!$C$58=2, $NI304-$NJ304, 0)</f>
        <v>#DIV/0!</v>
      </c>
      <c r="NH305" s="54" t="e">
        <f ca="1">IF(AND(Control!$C$58=1, $MS304&lt;= ($MN304+0.02), $I304&lt;10), 0, IF(Control!$C$58=2, $NG304, 0))</f>
        <v>#DIV/0!</v>
      </c>
      <c r="NI305" s="54" t="e">
        <f ca="1">IF(Control!$C$58=2, $NE305+$NH305,0)</f>
        <v>#DIV/0!</v>
      </c>
      <c r="NJ305" s="54" t="e">
        <f ca="1">IF(AND(Control!$C$58=1, $MS305&lt;= ($MN305+0.02), $I305&lt;10), MAX(0, MIN(10, 0.7*($NF305-$MV305))), IF(Control!$C$58=2, MIN(10,$NI305),0))</f>
        <v>#DIV/0!</v>
      </c>
      <c r="NK305" s="54" t="e">
        <f t="shared" ca="1" si="1031"/>
        <v>#DIV/0!</v>
      </c>
      <c r="NL305" s="173" t="e">
        <f ca="1">(1-Control!$C$73)*$I305+$NJ305</f>
        <v>#DIV/0!</v>
      </c>
      <c r="NM305" s="172" t="e">
        <f ca="1">IF($NL305&lt;0.5, $MB305* MAX(0, MIN(1, (SQRT($NC305)-SQRT($NC305-1))*Control!$C$71)),0)</f>
        <v>#DIV/0!</v>
      </c>
      <c r="NN305" s="170" t="e">
        <f ca="1">IF($NL305&gt;=5, $MB305, MAX(0,MIN($MB305, $NM305+$NL305,($MS305-Control!$C$129))))</f>
        <v>#DIV/0!</v>
      </c>
      <c r="NO305" s="54">
        <f>IF(Control!$C$133&lt;&gt;1, Control!$C$135-Control!$C$131, 0)</f>
        <v>0.38</v>
      </c>
      <c r="NP305" s="54" t="e">
        <f t="shared" ca="1" si="1032"/>
        <v>#DIV/0!</v>
      </c>
      <c r="NQ305" s="173" t="e">
        <f ca="1">MAX(0,MIN(1,(Control!$C$135-$MS305)/(Control!$C$135-$NO305)))</f>
        <v>#DIV/0!</v>
      </c>
      <c r="NR305" s="170" t="e">
        <f ca="1">IF(Control!$C$133&lt;&gt;1, $NQ305+((1-$NP305/4)*(1-$NQ305)),1)</f>
        <v>#DIV/0!</v>
      </c>
      <c r="NS305" s="170" t="e">
        <f ca="1">IF(Control!$B$31=0,$MJ305,MAX(0,MIN($MV305,$MO305*$NR305*$MJ305)))</f>
        <v>#DIV/0!</v>
      </c>
      <c r="NT305" s="170" t="e">
        <f t="shared" ca="1" si="1148"/>
        <v>#DIV/0!</v>
      </c>
      <c r="NU305" s="170" t="e">
        <f t="shared" ca="1" si="1124"/>
        <v>#N/A</v>
      </c>
      <c r="NV305" s="170" t="e">
        <f t="shared" ca="1" si="1033"/>
        <v>#N/A</v>
      </c>
      <c r="NW305" s="175" t="e">
        <f t="shared" ca="1" si="1034"/>
        <v>#DIV/0!</v>
      </c>
      <c r="NX305" s="170" t="e">
        <f ca="1">MIN(Control!$C$72+$MU305, $NW305)</f>
        <v>#DIV/0!</v>
      </c>
      <c r="NY305" s="170" t="e">
        <f ca="1">IF($MT305&lt;=$NX305,MIN(Control!$C$72+$NB305,$NX305-$MT305),0)</f>
        <v>#DIV/0!</v>
      </c>
      <c r="NZ305" s="54" t="e">
        <f ca="1">IF(Control!$C$114=1,  $CX305*($MX305-Control!$C$127), 0)</f>
        <v>#DIV/0!</v>
      </c>
      <c r="OA305" s="170" t="e">
        <f t="shared" ca="1" si="1035"/>
        <v>#DIV/0!</v>
      </c>
      <c r="OB305" s="170" t="e">
        <f ca="1">IF($NA305 &lt;=$NY305, MIN(Control!$C$72, $NY305-$NA305), 0)</f>
        <v>#DIV/0!</v>
      </c>
      <c r="OC305" s="168" t="e">
        <f t="shared" ca="1" si="1036"/>
        <v>#DIV/0!</v>
      </c>
      <c r="OD305" s="168" t="e">
        <f t="shared" ca="1" si="1125"/>
        <v>#DIV/0!</v>
      </c>
      <c r="OE305" s="170">
        <f ca="1">Control!$C$73*$I305</f>
        <v>0</v>
      </c>
      <c r="OF305" s="176" t="e">
        <f t="shared" ca="1" si="1037"/>
        <v>#DIV/0!</v>
      </c>
      <c r="OG305" s="168" t="e">
        <f t="shared" ca="1" si="1038"/>
        <v>#DIV/0!</v>
      </c>
      <c r="OH305" s="168" t="e">
        <f t="shared" ca="1" si="1039"/>
        <v>#DIV/0!</v>
      </c>
      <c r="OI305" s="168" t="e">
        <f t="shared" ca="1" si="1040"/>
        <v>#DIV/0!</v>
      </c>
      <c r="OJ305" s="168" t="e">
        <f t="shared" ca="1" si="1041"/>
        <v>#DIV/0!</v>
      </c>
      <c r="OK305" s="204" t="e">
        <f t="shared" ca="1" si="1042"/>
        <v>#DIV/0!</v>
      </c>
      <c r="OL305" s="177">
        <f>Control!$C$127</f>
        <v>0.15</v>
      </c>
      <c r="OM305" s="182" t="e">
        <f t="shared" ca="1" si="1043"/>
        <v>#N/A</v>
      </c>
      <c r="ON305" s="177">
        <f>Control!$C$128</f>
        <v>0.35</v>
      </c>
      <c r="OO305" s="182" t="e">
        <f t="shared" ca="1" si="1044"/>
        <v>#N/A</v>
      </c>
      <c r="OP305" s="138">
        <f t="shared" ca="1" si="1126"/>
        <v>0</v>
      </c>
      <c r="OQ305" s="138" t="e">
        <f t="shared" ca="1" si="1149"/>
        <v>#DIV/0!</v>
      </c>
      <c r="OR305" s="138" t="e">
        <f t="shared" ca="1" si="1127"/>
        <v>#DIV/0!</v>
      </c>
      <c r="OS305" s="137" t="e">
        <f t="shared" ca="1" si="1150"/>
        <v>#DIV/0!</v>
      </c>
      <c r="OT305" s="139" t="e">
        <f t="shared" ca="1" si="1151"/>
        <v>#DIV/0!</v>
      </c>
      <c r="OU305" s="138" t="e">
        <f t="shared" ca="1" si="1152"/>
        <v>#N/A</v>
      </c>
      <c r="OV305" s="138" t="e">
        <f t="shared" ca="1" si="1153"/>
        <v>#DIV/0!</v>
      </c>
      <c r="OW305" s="138" t="e">
        <f t="shared" ca="1" si="1128"/>
        <v>#DIV/0!</v>
      </c>
      <c r="OX305" s="138" t="e">
        <f t="shared" ca="1" si="1129"/>
        <v>#DIV/0!</v>
      </c>
      <c r="OY305" s="138" t="e">
        <f t="shared" ca="1" si="1130"/>
        <v>#DIV/0!</v>
      </c>
      <c r="OZ305" s="138" t="e">
        <f t="shared" ca="1" si="1045"/>
        <v>#DIV/0!</v>
      </c>
      <c r="PA305" s="138" t="e">
        <f t="shared" ca="1" si="1046"/>
        <v>#DIV/0!</v>
      </c>
      <c r="PB305" s="55">
        <f>IF(Control!$C$61="T", IF(Control!$C$65="F", IF($AH$6-Control!$C$60&lt;0,0,1), IF(365+$AH$6-Control!$C$60&lt;0,0,1)),0)</f>
        <v>0</v>
      </c>
      <c r="PC305" s="55">
        <f ca="1">IF(Control!$C$65="F", IF($AH$6-$HF305&lt;0,0,1), IF(365+$AH$6-$HF305&lt;0,0,1))</f>
        <v>1</v>
      </c>
      <c r="PD305" s="444">
        <f>Control!$C$118</f>
        <v>1500</v>
      </c>
      <c r="PE305" s="180" t="e">
        <f t="shared" ca="1" si="1047"/>
        <v>#N/A</v>
      </c>
      <c r="PF305" s="445">
        <f t="shared" ca="1" si="1131"/>
        <v>0.71612369323045078</v>
      </c>
      <c r="PT305" s="186"/>
      <c r="PU305" s="186"/>
      <c r="PV305" s="94"/>
      <c r="PW305" s="94"/>
      <c r="PX305" s="94"/>
      <c r="PY305" s="94"/>
      <c r="PZ305" s="94"/>
      <c r="QA305" s="94"/>
      <c r="QB305" s="94"/>
      <c r="QC305" s="94"/>
      <c r="QD305" s="94"/>
      <c r="QE305" s="94"/>
      <c r="QF305" s="94"/>
      <c r="QG305" s="94"/>
      <c r="QH305" s="94"/>
      <c r="QI305" s="94"/>
      <c r="QJ305" s="94"/>
      <c r="QK305" s="94"/>
      <c r="QL305" s="94"/>
      <c r="QM305" s="94"/>
      <c r="QN305" s="94"/>
      <c r="QO305" s="94"/>
      <c r="QP305" s="94"/>
    </row>
    <row r="306" spans="1:458" s="2" customFormat="1" x14ac:dyDescent="0.2">
      <c r="A306" s="395">
        <v>28</v>
      </c>
      <c r="B306" s="396">
        <v>10</v>
      </c>
      <c r="C306" s="387">
        <f ca="1">Weather_data!$B305</f>
        <v>0</v>
      </c>
      <c r="D306" s="388">
        <f ca="1">Weather_data!$F305</f>
        <v>0</v>
      </c>
      <c r="E306" s="388">
        <f ca="1">Weather_data!$E305</f>
        <v>0</v>
      </c>
      <c r="F306" s="388">
        <f t="shared" ca="1" si="1048"/>
        <v>0</v>
      </c>
      <c r="G306" s="388">
        <f ca="1">AVERAGE($D306:$E306)+Control!$B$9</f>
        <v>0</v>
      </c>
      <c r="H306" s="388">
        <f ca="1">Weather_data!$G305</f>
        <v>0</v>
      </c>
      <c r="I306" s="388">
        <f ca="1">Weather_data!$I305</f>
        <v>0</v>
      </c>
      <c r="J306" s="388">
        <f ca="1">Weather_data!$H305</f>
        <v>0</v>
      </c>
      <c r="K306" s="389">
        <f ca="1">Weather_data!$D305</f>
        <v>0</v>
      </c>
      <c r="L306" s="388" t="e">
        <f t="shared" ca="1" si="1049"/>
        <v>#N/A</v>
      </c>
      <c r="M306" s="388" t="e">
        <f t="shared" ca="1" si="927"/>
        <v>#N/A</v>
      </c>
      <c r="N306" s="388">
        <f t="shared" ca="1" si="928"/>
        <v>-9.3696385194239619E-15</v>
      </c>
      <c r="O306" s="388">
        <f t="shared" ca="1" si="1050"/>
        <v>9.3696385194239626E-14</v>
      </c>
      <c r="P306" s="390">
        <v>3</v>
      </c>
      <c r="Q306" s="388">
        <f ca="1">MAX($G306-Control!$C$107,0)</f>
        <v>0</v>
      </c>
      <c r="R306" s="388">
        <f t="shared" ca="1" si="1051"/>
        <v>0</v>
      </c>
      <c r="S306" s="388">
        <f t="shared" ca="1" si="929"/>
        <v>0</v>
      </c>
      <c r="T306" s="388">
        <f t="shared" ca="1" si="930"/>
        <v>0</v>
      </c>
      <c r="U306" s="59">
        <f t="shared" ca="1" si="931"/>
        <v>0</v>
      </c>
      <c r="V306" s="391">
        <f ca="1">MAX(0,MIN(Control!$C$100-Control!$C$99,$G306-Control!$C$99)*Control!$C$63)</f>
        <v>0</v>
      </c>
      <c r="W306" s="388">
        <f t="shared" ca="1" si="1052"/>
        <v>0</v>
      </c>
      <c r="X306" s="388">
        <f t="shared" ca="1" si="1053"/>
        <v>0.6110000000000001</v>
      </c>
      <c r="Y306" s="388">
        <f t="shared" ca="1" si="932"/>
        <v>0</v>
      </c>
      <c r="Z306" s="388">
        <f t="shared" ca="1" si="1054"/>
        <v>0.61058800000000002</v>
      </c>
      <c r="AA306" s="388">
        <f t="shared" ca="1" si="933"/>
        <v>0.6018</v>
      </c>
      <c r="AB306" s="388">
        <f ca="1">101.3*EXP(-0.034*Control!$C$66/($G306+273))</f>
        <v>100.69623283836242</v>
      </c>
      <c r="AC306" s="392">
        <f t="shared" ca="1" si="934"/>
        <v>4.3460251046025113E-2</v>
      </c>
      <c r="AD306" s="392">
        <f t="shared" ca="1" si="935"/>
        <v>4.4450382862832649E-2</v>
      </c>
      <c r="AE306" s="388">
        <f t="shared" ca="1" si="936"/>
        <v>0</v>
      </c>
      <c r="AF306" s="388">
        <f ca="1">MAX(0,$G306-Control!$C$92)</f>
        <v>0</v>
      </c>
      <c r="AG306" s="393">
        <f t="shared" ca="1" si="937"/>
        <v>302</v>
      </c>
      <c r="AH306" s="389">
        <f t="shared" ca="1" si="938"/>
        <v>302</v>
      </c>
      <c r="AI306" s="388">
        <f t="shared" ca="1" si="1055"/>
        <v>-0.24597680743085443</v>
      </c>
      <c r="AJ306" s="388">
        <f ca="1">IF(Control!$C$60&lt;=0,$HH306,$HI306)</f>
        <v>1</v>
      </c>
      <c r="AK306" s="388">
        <f t="shared" ca="1" si="939"/>
        <v>3.8215538032708718</v>
      </c>
      <c r="AL306" s="388">
        <f t="shared" ca="1" si="940"/>
        <v>-1.1541479577603652E-17</v>
      </c>
      <c r="AM306" s="388">
        <f t="shared" ca="1" si="941"/>
        <v>3.8215538032708718</v>
      </c>
      <c r="AN306" s="388">
        <f t="shared" ca="1" si="942"/>
        <v>-0.25280610089487082</v>
      </c>
      <c r="AO306" s="388">
        <f ca="1">-0.10453/COS(Control!$B$8*PI()/180)*COS(AN306)</f>
        <v>-0.16438814492275938</v>
      </c>
      <c r="AP306" s="388">
        <f ca="1">ACOS(AO306-TAN(Control!$B$8*PI()/180)*TAN(AN306))</f>
        <v>1.4037574409655647</v>
      </c>
      <c r="AQ306" s="388">
        <f t="shared" ca="1" si="1056"/>
        <v>0</v>
      </c>
      <c r="AR306" s="394">
        <f t="shared" ca="1" si="943"/>
        <v>0</v>
      </c>
      <c r="AS306" s="436">
        <f ca="1">IF(Control!$B$18=2,(IF(OR($AH306=Control!$B$175,$AH306=Control!$B$176,$AH306=Control!$B$177,$AH306=Control!$B$178,$AH306=Control!$B$179,$AH306=Control!$B$180,$AH306=Control!$B$181,$AH306=Control!$B$182,$AH306=Control!$B$183,$AH306=Control!$B$184,$AH306=Control!$B$185),1,0)),0)</f>
        <v>0</v>
      </c>
      <c r="AT306" s="436">
        <f>IF(Control!$B$20=8,IF(AND($AH306&gt;=Control!$B$172,$AH306&lt;=Control!$B$173),1,0),0)</f>
        <v>0</v>
      </c>
      <c r="AU306" s="436">
        <f>IF(Control!$B$20=8,IF($AV305=1,1*$AT306,IF($AT306=1,$AU305+1,$AU305)),0)</f>
        <v>0</v>
      </c>
      <c r="AV306" s="436">
        <f>IF(Control!$B$20=8,IF($AU306&gt;=Control!$B$174,1,0),0)</f>
        <v>0</v>
      </c>
      <c r="AW306" s="436">
        <f ca="1">IF(AND(Control!$B$18=2,Control!$B$171=1), $AV306, $AS306)</f>
        <v>0</v>
      </c>
      <c r="AX306" s="436" t="e">
        <f ca="1">IF(AND(Control!$B$18=1,$EU306&gt;=Control!$B$19),-$AY306,IF(AND(Control!$B$18=2,$AW306=1,$EU306&gt;$DS306),-$AY306, IF(Control!$C$108=0,0, IF(Control!$C$108&lt;&gt;0,1))))</f>
        <v>#N/A</v>
      </c>
      <c r="AY306" s="436" t="e">
        <f t="shared" ca="1" si="1057"/>
        <v>#N/A</v>
      </c>
      <c r="AZ306" s="436" t="e">
        <f ca="1">IF(AND(Control!$B$18=1,$EB306&gt;Control!$B$19),$AZ305+1, IF(AND(Control!$B$18=2, $AW306=1, $EB306&gt;$DS306), $AZ305+1,$AZ305))</f>
        <v>#N/A</v>
      </c>
      <c r="BA306" s="587">
        <f>IF(Control!$C$81=0,1,IF($AH306&gt;=Control!$C$82,1,0))</f>
        <v>1</v>
      </c>
      <c r="BB306" s="140" t="e">
        <f ca="1">IF($BA306&gt;$BA305,Control!$C$83,IF($AW306&gt;0,$AW306*Control!$C$84,IF(AND(Control!$B$18=1,EN305&lt;&gt;0),Control!$C$84,0)))</f>
        <v>#N/A</v>
      </c>
      <c r="BC306" s="140" t="e">
        <f t="shared" ca="1" si="1058"/>
        <v>#N/A</v>
      </c>
      <c r="BD306" s="140" t="e">
        <f ca="1">BC306*IF(OR($G306&lt;Control!$C$92,$G306&gt;Control!$C$95),0,IF(AND($G306&gt;=Control!$C$92,$G306&lt;=Control!$C$93),$G306-Control!$C$92,IF(AND($G306&gt;Control!$C$93,$G306&lt;=Control!$C$94),Control!$C$93-Control!$C$92,IF(AND($G306&gt;Control!$C$94,$G306&lt;=Control!$C$95),(Control!$C$93-Control!$C$92)*(Control!$C$94-$G306)/(Control!$C$95-Control!$C$94)))))</f>
        <v>#N/A</v>
      </c>
      <c r="BE306" s="140" t="e">
        <f t="shared" ca="1" si="1059"/>
        <v>#N/A</v>
      </c>
      <c r="BF306" s="140" t="e">
        <f ca="1">IF($BE306&lt;=Control!$C$86,$BE306,Control!$C$86-$BE306)</f>
        <v>#N/A</v>
      </c>
      <c r="BG306" s="140" t="e">
        <f ca="1">IF(AND($AW306=1,Control!$C$84&lt;9),1,IF($BE306&gt;=Control!$C$86,0,$BC306))</f>
        <v>#N/A</v>
      </c>
      <c r="BH306" s="404" t="e">
        <f ca="1">IF($BG306=0,0,IF($BE306&lt;=Control!$C$86,$BC306*9*($BF306/Control!$C$86),0))</f>
        <v>#N/A</v>
      </c>
      <c r="BI306" s="140" t="e">
        <f ca="1">IF($BG306=1,0,IF($BE306&gt;=Control!$C$86,1,IF(AND($BB306&lt;21,$BB306&gt;=9),1,$BM305)))</f>
        <v>#N/A</v>
      </c>
      <c r="BJ306" s="140" t="e">
        <f ca="1">IF($BF306&lt;0,-$BF306,$BI306*IF(OR($G306&lt;Control!$C$92,$G306&gt;Control!$C$95),0,IF(AND($G306&gt;=Control!$C$92,$G306&lt;=Control!$C$93),$G306-Control!$C$92,IF(AND($G306&gt;Control!$C$93,$G306&lt;=Control!$C$94),Control!$C$93-Control!$C$92,IF(AND($G306&gt;Control!$C$94,$G306&lt;=Control!$C$95),(Control!$C$93-Control!$C$92)*(Control!$C$94-$G306)/(Control!$C$95-Control!$C$94))))))</f>
        <v>#N/A</v>
      </c>
      <c r="BK306" s="140" t="e">
        <f t="shared" ca="1" si="1060"/>
        <v>#N/A</v>
      </c>
      <c r="BL306" s="140" t="e">
        <f ca="1">IF($BK306&lt;=Control!$C$87,$BK306,Control!$C$87-$BK306)</f>
        <v>#N/A</v>
      </c>
      <c r="BM306" s="140" t="e">
        <f ca="1">IF(AND($BB306&gt;=9,$BB306&lt;21),1,IF($BK306&gt;=Control!$C$87,0,$BI306))</f>
        <v>#N/A</v>
      </c>
      <c r="BN306" s="404" t="e">
        <f ca="1">IF($BM306=0,0,IF($BK306&lt;=Control!$C$87,$BI306*(9+(21-9)*($BL306/Control!$C$87)),0))</f>
        <v>#N/A</v>
      </c>
      <c r="BO306" s="140" t="e">
        <f ca="1">IF($BM306=1,0,IF($BK306&gt;=Control!$C$87,1,IF(AND($BB306&lt;30,$BB306&gt;=21),1,$BS305)))</f>
        <v>#N/A</v>
      </c>
      <c r="BP306" s="140" t="e">
        <f ca="1">IF($BL306&lt;0,-$BL306,$BO306*IF(OR($G306&lt;Control!$C$92,$G306&gt;Control!$C$95),0,IF(AND($G306&gt;=Control!$C$92,$G306&lt;=Control!$C$93),$G306-Control!$C$92,IF(AND($G306&gt;Control!$C$93,$G306&lt;=Control!$C$94),Control!$C$93-Control!$C$92,IF(AND($G306&gt;Control!$C$94,$G306&lt;=Control!$C$95),(Control!$C$93-Control!$C$92)*(Control!$C$94-$G306)/(Control!$C$95-Control!$C$94))))))</f>
        <v>#N/A</v>
      </c>
      <c r="BQ306" s="140" t="e">
        <f t="shared" ca="1" si="944"/>
        <v>#N/A</v>
      </c>
      <c r="BR306" s="140" t="e">
        <f ca="1">IF($BQ306&lt;=Control!$C$88,$BQ306,Control!$C$88-$BQ306)</f>
        <v>#N/A</v>
      </c>
      <c r="BS306" s="140" t="e">
        <f ca="1">IF(AND($BB306&gt;=21,$BB306&lt;30),1,IF($BQ306&gt;=Control!$C$88,0,$BO306))</f>
        <v>#N/A</v>
      </c>
      <c r="BT306" s="404" t="e">
        <f ca="1">IF($BS306=0,0,IF($BQ306&lt;=Control!$C$88,$BO306*(21+(30-21)*(BR306/Control!$C$88)),0))</f>
        <v>#N/A</v>
      </c>
      <c r="BU306" s="140" t="e">
        <f ca="1">IF(BG306+BM306+BS306=1,0,IF(OR(AND($BB306&lt;60,$BB306&gt;=30),$BQ306&gt;=Control!$C$88),1*$BA306,$BY305))</f>
        <v>#N/A</v>
      </c>
      <c r="BV306" s="140" t="e">
        <f ca="1">IF($BR306&lt;0,-$BR306,$BU306*IF(OR($G306&lt;Control!$C$92,$G306&gt;Control!$C$95),0,IF(AND($G306&gt;=Control!$C$92,$G306&lt;=Control!$C$93),$G306-Control!$C$92,IF(AND($G306&gt;Control!$C$93,$G306&lt;=Control!$C$94),Control!$C$93-Control!$C$92,IF(AND($G306&gt;Control!$C$94,$G306&lt;=Control!$C$95),(Control!$C$93-Control!$C$92)*(Control!$C$94-$G306)/(Control!$C$95-Control!$C$94))))))</f>
        <v>#N/A</v>
      </c>
      <c r="BW306" s="140" t="e">
        <f t="shared" ca="1" si="945"/>
        <v>#N/A</v>
      </c>
      <c r="BX306" s="140" t="e">
        <f ca="1">IF($BW306&lt;=Control!$C$89,$BW306,Control!$C$89-$BW306)</f>
        <v>#N/A</v>
      </c>
      <c r="BY306" s="140" t="e">
        <f ca="1">IF(AND($AJ306&gt;=30,$AJ306&lt;60),1,IF($BW306&gt;=Control!$C$89,0,$BU306))</f>
        <v>#N/A</v>
      </c>
      <c r="BZ306" s="404" t="e">
        <f ca="1">IF($BY306=0,0,IF($BW306&lt;=Control!$C$89,$BU306*(30+(60-30)*(BX306/Control!$C$89)),0))</f>
        <v>#N/A</v>
      </c>
      <c r="CA306" s="140" t="e">
        <f ca="1">IF($BG306+$BM306+$BS306+$BY306=1,0,IF(OR(AND($BB306&lt;65,$BB306&gt;=60),$BW306&gt;=Control!$C$89),1*$BA306,$CE305))</f>
        <v>#N/A</v>
      </c>
      <c r="CB306" s="140" t="e">
        <f ca="1">IF($BX306&lt;0,-$BX306,$CA306*IF(OR($G306&lt;Control!$C$92,$G306&gt;Control!$C$95),0,IF(AND($G306&gt;=Control!$C$92,$G306&lt;=Control!$C$93),$G306-Control!$C$92,IF(AND($G306&gt;Control!$C$93,$G306&lt;=Control!$C$94),Control!$C$93-Control!$C$92,IF(AND($G306&gt;Control!$C$94,$G306&lt;=Control!$C$95),(Control!$C$93-Control!$C$92)*(Control!$C$94-$G306)/(Control!$C$95-Control!$C$94))))))</f>
        <v>#N/A</v>
      </c>
      <c r="CC306" s="140" t="e">
        <f t="shared" ca="1" si="1061"/>
        <v>#N/A</v>
      </c>
      <c r="CD306" s="140" t="e">
        <f ca="1">IF($CC306&lt;=Control!$C$90,$CC306,Control!$C$90-$CC306)</f>
        <v>#N/A</v>
      </c>
      <c r="CE306" s="140" t="e">
        <f ca="1">IF(AND($BB306&gt;=60,$BB306&lt;65),1,IF($CC306&gt;=Control!$C$90,0,$CA306))</f>
        <v>#N/A</v>
      </c>
      <c r="CF306" s="404" t="e">
        <f ca="1">IF($CE306=0,0,IF($CC306&lt;=Control!$C$90,$CA306*(60+(65-60)*(CD306/Control!$C$90)),0))</f>
        <v>#N/A</v>
      </c>
      <c r="CG306" s="140" t="e">
        <f ca="1">IF($BG306+$BM306+$BS306+$BY306+$CE306=1,0,IF(OR(AND($BB306&lt;90,$BB306&gt;=65),$CC306&gt;=Control!$C$90),$BA306,$CK305))</f>
        <v>#N/A</v>
      </c>
      <c r="CH306" s="140" t="e">
        <f ca="1">IF($CD306&lt;0,-$CD306,$CG306*IF(OR($G306&lt;Control!$C$92,$G306&gt;Control!$C$95),0,IF(AND($G306&gt;=Control!$C$92,$G306&lt;=Control!$C$93),$G306-Control!$C$92,IF(AND($G306&gt;Control!$C$93,$G306&lt;=Control!$C$94),Control!$C$93-Control!$C$92,IF(AND($G306&gt;Control!$C$94,$G306&lt;=Control!$C$95),(Control!$C$93-Control!$C$92)*(Control!$C$94-$G306)/(Control!$C$95-Control!$C$94))))))</f>
        <v>#N/A</v>
      </c>
      <c r="CI306" s="140" t="e">
        <f t="shared" ca="1" si="1062"/>
        <v>#N/A</v>
      </c>
      <c r="CJ306" s="140" t="e">
        <f ca="1">IF($CI306&lt;=Control!$C$91,$CI306,Control!$C$91-$CI306)</f>
        <v>#N/A</v>
      </c>
      <c r="CK306" s="140" t="e">
        <f ca="1">IF(AND($BB306&gt;=65,$BB306&lt;90),1,IF($CI306&gt;=Control!$C$91,0,$CG306))</f>
        <v>#N/A</v>
      </c>
      <c r="CL306" s="404" t="e">
        <f ca="1">IF($CK306=0,0,IF($CI306&lt;=Control!$C$91,$CG306*(65+(90-65)*($CJ306/Control!$C$91)),0))</f>
        <v>#N/A</v>
      </c>
      <c r="CM306" s="140" t="e">
        <f ca="1">IF($BG306+$BM306+$BS306+$BY306+$CE306+$CK306=1,0,IF(OR($BB306&gt;=90,$CI306&gt;=Control!$C$91),$BA306,$CM305))</f>
        <v>#N/A</v>
      </c>
      <c r="CN306" s="140" t="e">
        <f t="shared" ca="1" si="1063"/>
        <v>#N/A</v>
      </c>
      <c r="CO306" s="140" t="e">
        <f t="shared" ca="1" si="1064"/>
        <v>#N/A</v>
      </c>
      <c r="CP306" s="140" t="e">
        <f t="shared" ca="1" si="1065"/>
        <v>#N/A</v>
      </c>
      <c r="CQ306" s="141" t="e">
        <f ca="1">VLOOKUP($CP306,Control!$B$86:$G$91,6)</f>
        <v>#N/A</v>
      </c>
      <c r="CR306" s="141" t="e">
        <f ca="1">(1-$CQ306)*VLOOKUP($CP306,Control!$B$86:$D$91,3)</f>
        <v>#N/A</v>
      </c>
      <c r="CS306" s="141" t="e">
        <f ca="1">(1-$CQ306)*VLOOKUP($CP306,Control!$B$86:$E$91,4)</f>
        <v>#N/A</v>
      </c>
      <c r="CT306" s="141" t="e">
        <f ca="1">(1-$CQ306)*VLOOKUP($CP306,Control!$B$86:$F$91,5)</f>
        <v>#N/A</v>
      </c>
      <c r="CU306" s="141">
        <f t="shared" ca="1" si="1066"/>
        <v>0</v>
      </c>
      <c r="CV306" s="583">
        <f t="shared" ca="1" si="1067"/>
        <v>0</v>
      </c>
      <c r="CW306" s="142">
        <f t="shared" ca="1" si="1068"/>
        <v>302</v>
      </c>
      <c r="CX306" s="612" t="e">
        <f ca="1">IF(Control!$C$114=1,(MIN(Control!$C$120*(IF($NT306-0.01&lt;0,0,1)),Control!$C$119-$CY306)))</f>
        <v>#DIV/0!</v>
      </c>
      <c r="CY306" s="143" t="e">
        <f t="shared" ca="1" si="1069"/>
        <v>#N/A</v>
      </c>
      <c r="CZ306" s="144">
        <f t="shared" ca="1" si="946"/>
        <v>0</v>
      </c>
      <c r="DA306" s="144">
        <f t="shared" ca="1" si="947"/>
        <v>0</v>
      </c>
      <c r="DB306" s="144" t="e">
        <f t="shared" ca="1" si="948"/>
        <v>#N/A</v>
      </c>
      <c r="DC306" s="144" t="e">
        <f t="shared" ca="1" si="949"/>
        <v>#N/A</v>
      </c>
      <c r="DD306" s="144" t="e">
        <f t="shared" ca="1" si="1154"/>
        <v>#N/A</v>
      </c>
      <c r="DE306" s="143" t="e">
        <f t="shared" ca="1" si="1070"/>
        <v>#N/A</v>
      </c>
      <c r="DF306" s="145" t="e">
        <f ca="1">$DR306*EXP(-Control!$C$158*(1-$KH306))</f>
        <v>#N/A</v>
      </c>
      <c r="DG306" s="146" t="e">
        <f ca="1">IF(Control!$C$114=1, $DF306*$EY306, 0)</f>
        <v>#N/A</v>
      </c>
      <c r="DH306" s="147" t="e">
        <f t="shared" ca="1" si="1071"/>
        <v>#N/A</v>
      </c>
      <c r="DI306" s="144" t="e">
        <f t="shared" ca="1" si="1132"/>
        <v>#N/A</v>
      </c>
      <c r="DJ306" s="147" t="e">
        <f ca="1">$EF306*Control!$C$109</f>
        <v>#N/A</v>
      </c>
      <c r="DK306" s="144" t="e">
        <f t="shared" ca="1" si="1072"/>
        <v>#N/A</v>
      </c>
      <c r="DL306" s="144" t="e">
        <f t="shared" ca="1" si="950"/>
        <v>#N/A</v>
      </c>
      <c r="DM306" s="144" t="e">
        <f ca="1">IF(Control!$C$114=1, (1-EXP(-Control!$C$96*$DK306))*$AR306, 0)</f>
        <v>#N/A</v>
      </c>
      <c r="DN306" s="144">
        <f t="shared" ca="1" si="1073"/>
        <v>0</v>
      </c>
      <c r="DO306" s="148">
        <f>Control!$C$97</f>
        <v>4</v>
      </c>
      <c r="DP306" s="145" t="e">
        <f t="shared" ca="1" si="1074"/>
        <v>#N/A</v>
      </c>
      <c r="DQ306" s="145" t="e">
        <f ca="1">IF(AND($CP306&gt;=0,$CP306&lt;=90),Control!$C$111,Control!$C$111)</f>
        <v>#N/A</v>
      </c>
      <c r="DR306" s="145" t="e">
        <f t="shared" ca="1" si="951"/>
        <v>#N/A</v>
      </c>
      <c r="DS306" s="143" t="e">
        <f ca="1">Control!$B$22/$DR306</f>
        <v>#N/A</v>
      </c>
      <c r="DT306" s="149" t="e">
        <f ca="1">IF(AND(Control!$C$114=1,$KH306&lt;1),$IM306*$DF306, 0)</f>
        <v>#N/A</v>
      </c>
      <c r="DU306" s="144" t="e">
        <f t="shared" ca="1" si="1075"/>
        <v>#N/A</v>
      </c>
      <c r="DV306" s="144">
        <f ca="1">IF($G306-Control!$C$107&lt;=0, 0, 0.83*LN(MAX($G306, 3))-0.8924)</f>
        <v>0</v>
      </c>
      <c r="DW306" s="144" t="e">
        <f t="shared" ca="1" si="952"/>
        <v>#N/A</v>
      </c>
      <c r="DX306" s="150" t="e">
        <f ca="1">MAX(0.01*(1+$CU306/Control!$C$102),0.05*($DK306-Control!$C$97)/Control!$C$97)</f>
        <v>#N/A</v>
      </c>
      <c r="DY306" s="151" t="e">
        <f ca="1">IF(Control!$C$114=1, $DI306*$FS306, 0)</f>
        <v>#N/A</v>
      </c>
      <c r="DZ306" s="196" t="e">
        <f t="shared" ca="1" si="1076"/>
        <v>#N/A</v>
      </c>
      <c r="EA306" s="152">
        <f t="shared" ca="1" si="1077"/>
        <v>302</v>
      </c>
      <c r="EB306" s="153" t="e">
        <f t="shared" ca="1" si="1078"/>
        <v>#N/A</v>
      </c>
      <c r="EC306" s="153" t="e">
        <f t="shared" ca="1" si="1079"/>
        <v>#N/A</v>
      </c>
      <c r="ED306" s="154" t="e">
        <f ca="1">IF(Control!$C$114=1, $HM306*$FY306-$FD306, 0)</f>
        <v>#DIV/0!</v>
      </c>
      <c r="EE306" s="155" t="e">
        <f ca="1">IF(Control!$C$114=1, $HM306*$FZ306-$FF306, 0)</f>
        <v>#DIV/0!</v>
      </c>
      <c r="EF306" s="153" t="e">
        <f t="shared" ca="1" si="1133"/>
        <v>#N/A</v>
      </c>
      <c r="EG306" s="155" t="e">
        <f ca="1">IF(Control!$C$114=1, $GX306*$FW306-$FI306, 0)</f>
        <v>#DIV/0!</v>
      </c>
      <c r="EH306" s="153" t="e">
        <f t="shared" ca="1" si="1080"/>
        <v>#N/A</v>
      </c>
      <c r="EI306" s="156" t="e">
        <f t="shared" ca="1" si="1081"/>
        <v>#N/A</v>
      </c>
      <c r="EJ306" s="155" t="e">
        <f ca="1">IF(Control!$C$114=1, $HM306*$GB306, 0)</f>
        <v>#DIV/0!</v>
      </c>
      <c r="EK306" s="153" t="e">
        <f t="shared" ca="1" si="1134"/>
        <v>#N/A</v>
      </c>
      <c r="EL306" s="153" t="e">
        <f t="shared" ca="1" si="953"/>
        <v>#N/A</v>
      </c>
      <c r="EM306" s="153" t="e">
        <f t="shared" ca="1" si="954"/>
        <v>#N/A</v>
      </c>
      <c r="EN306" s="153" t="e">
        <f ca="1">IF(Control!$C$108=1,IF(AND(Control!$B$18=1,$EB306&gt;=Control!$B$19),$EB306-$DS306,IF(AND(Control!$B$18=2,$AW306=1,$EB306&gt;$DS306),$EB306-$DS306,0)))</f>
        <v>#N/A</v>
      </c>
      <c r="EO306" s="153" t="e">
        <f ca="1">IF(Control!$C$108=1,IF(AND(Control!$B$18=1,$EB306&gt;=Control!$B$19),$EF306,IF(AND(Control!$B$18=2,$AW306=1),$EF306,0)))</f>
        <v>#N/A</v>
      </c>
      <c r="EP306" s="153" t="e">
        <f ca="1">IF(Control!$C$108=1,IF(AND(Control!$B$18=1,$EB306&gt;=Control!$B$19),$EK306,IF(AND(Control!$B$18=2,$AW306=1),$EK306,0)))</f>
        <v>#N/A</v>
      </c>
      <c r="EQ306" s="153" t="e">
        <f t="shared" ca="1" si="1082"/>
        <v>#N/A</v>
      </c>
      <c r="ER306" s="153" t="e">
        <f t="shared" ca="1" si="1083"/>
        <v>#N/A</v>
      </c>
      <c r="ES306" s="153" t="e">
        <f t="shared" ca="1" si="1135"/>
        <v>#N/A</v>
      </c>
      <c r="ET306" s="153" t="e">
        <f t="shared" ca="1" si="1136"/>
        <v>#N/A</v>
      </c>
      <c r="EU306" s="153" t="e">
        <f t="shared" ca="1" si="1084"/>
        <v>#N/A</v>
      </c>
      <c r="EV306" s="153" t="e">
        <f t="shared" ca="1" si="955"/>
        <v>#N/A</v>
      </c>
      <c r="EW306" s="153" t="e">
        <f t="shared" ca="1" si="956"/>
        <v>#N/A</v>
      </c>
      <c r="EX306" s="153" t="e">
        <f t="shared" ca="1" si="957"/>
        <v>#N/A</v>
      </c>
      <c r="EY306" s="157" t="e">
        <f t="shared" ca="1" si="958"/>
        <v>#DIV/0!</v>
      </c>
      <c r="EZ306" s="154" t="e">
        <f t="shared" ca="1" si="959"/>
        <v>#DIV/0!</v>
      </c>
      <c r="FA306" s="153" t="e">
        <f t="shared" ca="1" si="1085"/>
        <v>#N/A</v>
      </c>
      <c r="FB306" s="153" t="e">
        <f t="shared" ca="1" si="960"/>
        <v>#N/A</v>
      </c>
      <c r="FC306" s="193" t="e">
        <f t="shared" ca="1" si="961"/>
        <v>#N/A</v>
      </c>
      <c r="FD306" s="158" t="e">
        <f t="shared" ca="1" si="1086"/>
        <v>#N/A</v>
      </c>
      <c r="FE306" s="158" t="e">
        <f t="shared" ca="1" si="1087"/>
        <v>#N/A</v>
      </c>
      <c r="FF306" s="159" t="e">
        <f t="shared" ca="1" si="962"/>
        <v>#N/A</v>
      </c>
      <c r="FG306" s="160" t="e">
        <f t="shared" ca="1" si="1088"/>
        <v>#N/A</v>
      </c>
      <c r="FH306" s="158" t="e">
        <f t="shared" ca="1" si="1089"/>
        <v>#N/A</v>
      </c>
      <c r="FI306" s="159" t="e">
        <f t="shared" ca="1" si="963"/>
        <v>#N/A</v>
      </c>
      <c r="FJ306" s="160" t="e">
        <f t="shared" ca="1" si="1090"/>
        <v>#N/A</v>
      </c>
      <c r="FK306" s="160" t="e">
        <f t="shared" ca="1" si="964"/>
        <v>#N/A</v>
      </c>
      <c r="FL306" s="160" t="e">
        <f t="shared" ca="1" si="1137"/>
        <v>#N/A</v>
      </c>
      <c r="FM306" s="160" t="e">
        <f t="shared" ca="1" si="965"/>
        <v>#N/A</v>
      </c>
      <c r="FN306" s="158">
        <f t="shared" ca="1" si="1091"/>
        <v>0.01</v>
      </c>
      <c r="FO306" s="160">
        <f>Control!$C$101</f>
        <v>50</v>
      </c>
      <c r="FP306" s="150" t="e">
        <f t="shared" ca="1" si="966"/>
        <v>#N/A</v>
      </c>
      <c r="FQ306" s="150" t="e">
        <f ca="1">MAX(0,(Control!$C$112*(($DK306-Control!$C$97)/Control!$C$97)))</f>
        <v>#N/A</v>
      </c>
      <c r="FR306" s="150" t="e">
        <f ca="1">(1-$NT306)*Control!$C$113</f>
        <v>#DIV/0!</v>
      </c>
      <c r="FS306" s="198" t="e">
        <f t="shared" ca="1" si="967"/>
        <v>#N/A</v>
      </c>
      <c r="FT306" s="161">
        <f t="shared" ca="1" si="1092"/>
        <v>302</v>
      </c>
      <c r="FU306" s="162" t="e">
        <f ca="1">IF(Control!$B$34=1,VLOOKUP($CP306,Control!$B$86:$G$91,6),Control!$B$35)</f>
        <v>#N/A</v>
      </c>
      <c r="FV306" s="162" t="e">
        <f t="shared" ca="1" si="968"/>
        <v>#DIV/0!</v>
      </c>
      <c r="FW306" s="162" t="e">
        <f ca="1">IF(Control!$B$31=1,$FU306*$FV306,  $FU306)</f>
        <v>#N/A</v>
      </c>
      <c r="FX306" s="162" t="e">
        <f ca="1">IF(Control!$B$34=1,VLOOKUP($CP306,Control!$B$86:$G$91,3),Control!$B$36)</f>
        <v>#N/A</v>
      </c>
      <c r="FY306" s="162" t="e">
        <f t="shared" ca="1" si="969"/>
        <v>#N/A</v>
      </c>
      <c r="FZ306" s="162" t="e">
        <f ca="1">IF(Control!$B$34=1,VLOOKUP($CP306,Control!$B$86:$G$91,4),Control!$B$37)</f>
        <v>#N/A</v>
      </c>
      <c r="GA306" s="162" t="e">
        <f t="shared" ca="1" si="970"/>
        <v>#N/A</v>
      </c>
      <c r="GB306" s="162" t="e">
        <f ca="1">IF(Control!$B$34=1,VLOOKUP($CP306,Control!$B$86:$G$91,5),Control!$B$38)</f>
        <v>#N/A</v>
      </c>
      <c r="GC306" s="162" t="e">
        <f t="shared" ca="1" si="1093"/>
        <v>#N/A</v>
      </c>
      <c r="GD306" s="162">
        <f t="shared" ca="1" si="971"/>
        <v>1</v>
      </c>
      <c r="GE306" s="162">
        <f t="shared" ca="1" si="972"/>
        <v>1</v>
      </c>
      <c r="GF306" s="162">
        <f ca="1">IF(AND(Control!$C$104=1, Control!$C$62="F"),$GE306,1)</f>
        <v>1</v>
      </c>
      <c r="GG306" s="162" t="e">
        <f ca="1">IF(Control!$B$16=40,0,IF(AND(Control!$B$16&gt;40,Control!$B$16&lt;=360),(Control!$B$16-40)*((1-0)/(360-40)),IF(AND(Control!$B$16&gt;360,Control!$B$16&lt;=720),(1+(Control!$B$16-360)*((1.25-1)/(720-360))),IF(AND(Control!$B$16&gt;720,Control!$B$16&lt;=1000),(1.25+(Control!$B$16-720)*((1.35-1.25)/(1000-720))),IF(AND(Control!$B$16&gt;1000,Control!$B$16&lt;=2000),(1.35+(Control!$B$16-1000)*0))))))</f>
        <v>#N/A</v>
      </c>
      <c r="GH306" s="162" t="e">
        <f t="shared" ca="1" si="973"/>
        <v>#N/A</v>
      </c>
      <c r="GI306" s="162">
        <f t="shared" ca="1" si="1094"/>
        <v>0</v>
      </c>
      <c r="GJ306" s="162">
        <f t="shared" ca="1" si="974"/>
        <v>0</v>
      </c>
      <c r="GK306" s="162">
        <f t="shared" ca="1" si="1095"/>
        <v>1</v>
      </c>
      <c r="GL306" s="162">
        <f t="shared" ca="1" si="975"/>
        <v>1</v>
      </c>
      <c r="GM306" s="162" t="e">
        <f ca="1">MAX(0,MIN(1,1-Control!$C$156*(1.0001-$KH306)^2))</f>
        <v>#N/A</v>
      </c>
      <c r="GN306" s="162" t="e">
        <f ca="1">IF(Control!$B$26=1,$KU306,$KX306)</f>
        <v>#N/A</v>
      </c>
      <c r="GO306" s="162" t="e">
        <f ca="1">IF($CP306&lt;=60,Control!$C$105,IF($CP306&gt;=90,Control!$C$106,Control!$C$105+($CP306-60)*((Control!$C$106-Control!$C$105)/(90-60))))</f>
        <v>#N/A</v>
      </c>
      <c r="GP306" s="162" t="e">
        <f t="shared" ca="1" si="976"/>
        <v>#N/A</v>
      </c>
      <c r="GQ306" s="162" t="e">
        <f t="shared" ca="1" si="1096"/>
        <v>#N/A</v>
      </c>
      <c r="GR306" s="163" t="e">
        <f t="shared" ca="1" si="977"/>
        <v>#DIV/0!</v>
      </c>
      <c r="GS306" s="162" t="e">
        <f t="shared" ca="1" si="978"/>
        <v>#DIV/0!</v>
      </c>
      <c r="GT306" s="164" t="e">
        <f t="shared" ca="1" si="1097"/>
        <v>#N/A</v>
      </c>
      <c r="GU306" s="162" t="e">
        <f t="shared" ca="1" si="1098"/>
        <v>#N/A</v>
      </c>
      <c r="GV306" s="162" t="e">
        <f t="shared" ca="1" si="979"/>
        <v>#N/A</v>
      </c>
      <c r="GW306" s="162" t="e">
        <f t="shared" ca="1" si="980"/>
        <v>#DIV/0!</v>
      </c>
      <c r="GX306" s="162" t="e">
        <f t="shared" ca="1" si="1099"/>
        <v>#DIV/0!</v>
      </c>
      <c r="GY306" s="162" t="e">
        <f t="shared" ca="1" si="1100"/>
        <v>#DIV/0!</v>
      </c>
      <c r="GZ306" s="165" t="e">
        <f t="shared" ca="1" si="981"/>
        <v>#N/A</v>
      </c>
      <c r="HA306" s="162" t="e">
        <f ca="1">IF(Control!$C$114=1, $DI306*$FS306, 0)</f>
        <v>#N/A</v>
      </c>
      <c r="HB306" s="162" t="e">
        <f ca="1">$FA306/Control!$C$64</f>
        <v>#N/A</v>
      </c>
      <c r="HC306" s="162" t="e">
        <f t="shared" ca="1" si="982"/>
        <v>#DIV/0!</v>
      </c>
      <c r="HD306" s="162">
        <f ca="1">-ASIN(SIN(23.45*Control!$C$139)*COS(2*Control!$C$138*($AH306+10)/365))</f>
        <v>-0.24597680743085443</v>
      </c>
      <c r="HE306" s="165">
        <f t="shared" ca="1" si="1101"/>
        <v>0</v>
      </c>
      <c r="HF306" s="166">
        <f ca="1">IF(AND(Control!$C$61="T",$HE306&gt;=Control!$C$103,Control!$C$114=0),$AH306,Control!$C$59)</f>
        <v>1</v>
      </c>
      <c r="HG306" s="166">
        <f ca="1">IF(AND(Control!$C$61="T",$HE306&gt;=Control!$C$103,Control!$C$114=0),$HF306,Control!$C$59)</f>
        <v>1</v>
      </c>
      <c r="HH306" s="165">
        <f ca="1">IF(AND(OR(Control!$C$60&lt;=0, $AH306= Control!$C$59, Control!$C$60 &gt;0, $AH306 = Control!$C$60)), Control!$C$59, IF(Control!$C$60&gt;0, 0))</f>
        <v>1</v>
      </c>
      <c r="HI306" s="165">
        <f ca="1">IF(AND(OR(Control!$C$60&lt;=0, $AH306= Control!$C$59, Control!$C$60 &gt;0, $AH306 = Control!$C$60)), Control!$C$60, IF(Control!$C$60&lt;=0, 0))</f>
        <v>0</v>
      </c>
      <c r="HJ306" s="166">
        <f ca="1">IF(AND(Control!$C$62="F",$CV306&gt;=Control!$C$102),$AH306,0)</f>
        <v>0</v>
      </c>
      <c r="HK306" s="165" t="e">
        <f t="shared" ca="1" si="1138"/>
        <v>#N/A</v>
      </c>
      <c r="HL306" s="166">
        <f ca="1">IF(AND(Control!$C$61="T",$HE306&gt;=Control!$C$103,Control!$C$114=0),$HF306,0)</f>
        <v>0</v>
      </c>
      <c r="HM306" s="201" t="e">
        <f t="shared" ca="1" si="983"/>
        <v>#DIV/0!</v>
      </c>
      <c r="HN306" s="215">
        <f t="shared" ca="1" si="1102"/>
        <v>302</v>
      </c>
      <c r="HO306" s="216" t="e">
        <f ca="1">IF(AND($CP306&gt;=0, $CP306&lt;=90), Control!$C$152, Control!$C$152)</f>
        <v>#N/A</v>
      </c>
      <c r="HP306" s="216" t="e">
        <f t="shared" ca="1" si="984"/>
        <v>#N/A</v>
      </c>
      <c r="HQ306" s="217" t="e">
        <f ca="1">IF(OR(Control!$B$26=1,Control!$B$26=2),$KV306,$KS306)</f>
        <v>#DIV/0!</v>
      </c>
      <c r="HR306" s="218" t="e">
        <f t="shared" ca="1" si="1139"/>
        <v>#DIV/0!</v>
      </c>
      <c r="HS306" s="216" t="e">
        <f ca="1">Control!$C$154*$HP306</f>
        <v>#N/A</v>
      </c>
      <c r="HT306" s="216" t="e">
        <f ca="1">Control!$C$155*$HP306</f>
        <v>#N/A</v>
      </c>
      <c r="HU306" s="217" t="e">
        <f ca="1">Control!$C$161*$FI306</f>
        <v>#N/A</v>
      </c>
      <c r="HV306" s="218" t="e">
        <f t="shared" ca="1" si="1103"/>
        <v>#N/A</v>
      </c>
      <c r="HW306" s="218" t="e">
        <f ca="1">Control!$C$160*$FF306+$IP306*$EO306</f>
        <v>#N/A</v>
      </c>
      <c r="HX306" s="218" t="e">
        <f t="shared" ca="1" si="1140"/>
        <v>#N/A</v>
      </c>
      <c r="HY306" s="219" t="e">
        <f ca="1">IF(Control!$C$114=1, $EB306*$FS306, 0)</f>
        <v>#N/A</v>
      </c>
      <c r="HZ306" s="91" t="e">
        <f t="shared" ca="1" si="985"/>
        <v>#N/A</v>
      </c>
      <c r="IA306" s="220" t="e">
        <f ca="1">Control!$C$153*$HO306</f>
        <v>#N/A</v>
      </c>
      <c r="IB306" s="218" t="e">
        <f t="shared" ca="1" si="986"/>
        <v>#N/A</v>
      </c>
      <c r="IC306" s="220" t="e">
        <f ca="1">Control!$C$153*$HT306</f>
        <v>#N/A</v>
      </c>
      <c r="ID306" s="218" t="e">
        <f t="shared" ca="1" si="987"/>
        <v>#N/A</v>
      </c>
      <c r="IE306" s="221" t="e">
        <f ca="1">($EB306*Control!$C$159+$EF306*Control!$C$160)/(IF($GZ306&lt;&gt;0,$GZ306,1))</f>
        <v>#N/A</v>
      </c>
      <c r="IF306" s="216" t="e">
        <f t="shared" ca="1" si="988"/>
        <v>#N/A</v>
      </c>
      <c r="IG306" s="91">
        <f ca="1">IF(OR(Control!$B$198=$AH306,Control!$B$199=$AH306, Control!$B$200=$AH306, Control!$B$201=$AH306, Control!$B$202=$AH306, Control!$B$203=$AH306, Control!$B$204=$AH306, Control!$B$205=$AH306, Control!$B$206=$AH306, Control!$B$207=$AH306), 1, 0)</f>
        <v>0</v>
      </c>
      <c r="IH306" s="91">
        <f ca="1">IF($IG306=0,0, VLOOKUP($AH306,Control!$B$198:$C$207,2))</f>
        <v>0</v>
      </c>
      <c r="II306" s="222">
        <f t="shared" ca="1" si="1104"/>
        <v>0</v>
      </c>
      <c r="IJ306" s="91">
        <f>Control!$C$121</f>
        <v>0.7</v>
      </c>
      <c r="IK306" s="218">
        <f t="shared" ca="1" si="989"/>
        <v>0</v>
      </c>
      <c r="IL306" s="217" t="e">
        <f t="shared" ca="1" si="1141"/>
        <v>#N/A</v>
      </c>
      <c r="IM306" s="223" t="e">
        <f ca="1">IF(AND(Control!$C$114=1,$KH306&lt;1),$EB306*Control!$C$148*(1-$KH306), 0)</f>
        <v>#N/A</v>
      </c>
      <c r="IN306" s="217" t="e">
        <f t="shared" ca="1" si="990"/>
        <v>#DIV/0!</v>
      </c>
      <c r="IO306" s="91" t="e">
        <f ca="1">MAX(0,$IL306-$EF306*Control!$C$160)</f>
        <v>#N/A</v>
      </c>
      <c r="IP306" s="220" t="e">
        <f t="shared" ca="1" si="991"/>
        <v>#N/A</v>
      </c>
      <c r="IQ306" s="217" t="e">
        <f t="shared" ca="1" si="1105"/>
        <v>#N/A</v>
      </c>
      <c r="IR306" s="218" t="e">
        <f t="shared" ca="1" si="992"/>
        <v>#N/A</v>
      </c>
      <c r="IS306" s="217" t="e">
        <f ca="1">Control!$C$159*MAX(0,$FD306-$EN306)</f>
        <v>#N/A</v>
      </c>
      <c r="IT306" s="217" t="e">
        <f t="shared" ca="1" si="1142"/>
        <v>#N/A</v>
      </c>
      <c r="IU306" s="217" t="e">
        <f t="shared" ca="1" si="1106"/>
        <v>#N/A</v>
      </c>
      <c r="IV306" s="217" t="e">
        <f t="shared" ca="1" si="1143"/>
        <v>#N/A</v>
      </c>
      <c r="IW306" s="217" t="e">
        <f ca="1">IF(OR($AW306=1,AND($AW306=0, Control!$B$18=1,$EN306&lt;&gt;0)), $IQ306-$IU306, $IQ306)</f>
        <v>#N/A</v>
      </c>
      <c r="IX306" s="218" t="e">
        <f t="shared" ca="1" si="993"/>
        <v>#N/A</v>
      </c>
      <c r="IY306" s="218" t="e">
        <f ca="1">MAX(0,$IQ306-$EB306*Control!$C$159)</f>
        <v>#N/A</v>
      </c>
      <c r="IZ306" s="218" t="e">
        <f t="shared" ca="1" si="994"/>
        <v>#N/A</v>
      </c>
      <c r="JA306" s="216" t="e">
        <f t="shared" ca="1" si="995"/>
        <v>#N/A</v>
      </c>
      <c r="JB306" s="217" t="e">
        <f t="shared" ca="1" si="996"/>
        <v>#N/A</v>
      </c>
      <c r="JC306" s="222" t="e">
        <f ca="1">MAX(Control!$C$157*$EK306-$JT306, 0)/Control!$C$162</f>
        <v>#N/A</v>
      </c>
      <c r="JD306" s="218" t="e">
        <f t="shared" ca="1" si="997"/>
        <v>#N/A</v>
      </c>
      <c r="JE306" s="218" t="e">
        <f t="shared" ca="1" si="998"/>
        <v>#N/A</v>
      </c>
      <c r="JF306" s="218" t="e">
        <f t="shared" ca="1" si="1107"/>
        <v>#N/A</v>
      </c>
      <c r="JG306" s="218" t="e">
        <f t="shared" ca="1" si="999"/>
        <v>#N/A</v>
      </c>
      <c r="JH306" s="217" t="e">
        <f t="shared" ca="1" si="1108"/>
        <v>#N/A</v>
      </c>
      <c r="JI306" s="217" t="e">
        <f t="shared" ca="1" si="1109"/>
        <v>#N/A</v>
      </c>
      <c r="JJ306" s="217" t="e">
        <f t="shared" ca="1" si="1144"/>
        <v>#N/A</v>
      </c>
      <c r="JK306" s="217" t="e">
        <f ca="1">IF(Control!$C$114=1,IF(Control!$B$24=0,MAX(0,$JI306)*$GN306/Control!$C$64,(MAX(0,MIN($JI306,$JJ306*$GN306/Control!$C$64),0))))</f>
        <v>#N/A</v>
      </c>
      <c r="JL306" s="217" t="e">
        <f ca="1">$IK306/Control!$C$64-$JK306+$HQ306</f>
        <v>#N/A</v>
      </c>
      <c r="JM306" s="217" t="e">
        <f ca="1">IF(Control!$C$114=1,($JB306/(IF($JI306&lt;&gt;0,$JI306,1)))*$JK306,0)</f>
        <v>#N/A</v>
      </c>
      <c r="JN306" s="217" t="e">
        <f ca="1">IF(Control!$C$114=1,($JG306/(IF($JI306&lt;&gt;0,$JI306,1)))*$JK306, 0)</f>
        <v>#N/A</v>
      </c>
      <c r="JO306" s="218" t="e">
        <f t="shared" ca="1" si="1000"/>
        <v>#N/A</v>
      </c>
      <c r="JP306" s="218" t="e">
        <f ca="1">MIN(($IY306+$IO306)*Control!$C$151, $JF306-$EH306*Control!$C$161)</f>
        <v>#N/A</v>
      </c>
      <c r="JQ306" s="218" t="e">
        <f t="shared" ca="1" si="1001"/>
        <v>#N/A</v>
      </c>
      <c r="JR306" s="217" t="e">
        <f ca="1">IF($CP306-Control!$C$150&lt;0, 0, $JQ306/Control!$C$162)</f>
        <v>#N/A</v>
      </c>
      <c r="JS306" s="218" t="e">
        <f t="shared" ca="1" si="1002"/>
        <v>#N/A</v>
      </c>
      <c r="JT306" s="218" t="e">
        <f t="shared" ca="1" si="1110"/>
        <v>#N/A</v>
      </c>
      <c r="JU306" s="218" t="e">
        <f t="shared" ca="1" si="1003"/>
        <v>#N/A</v>
      </c>
      <c r="JV306" s="218" t="e">
        <f t="shared" ca="1" si="1004"/>
        <v>#N/A</v>
      </c>
      <c r="JW306" s="216" t="e">
        <f t="shared" ca="1" si="1005"/>
        <v>#N/A</v>
      </c>
      <c r="JX306" s="91" t="e">
        <f t="shared" ca="1" si="1006"/>
        <v>#N/A</v>
      </c>
      <c r="JY306" s="218" t="e">
        <f t="shared" ca="1" si="1007"/>
        <v>#N/A</v>
      </c>
      <c r="JZ306" s="217" t="e">
        <f ca="1">IF(Control!$C$114=1,($IZ306/(IF($JI306&lt;&gt;0,$JI306,1)))*$JK306, 0)</f>
        <v>#N/A</v>
      </c>
      <c r="KA306" s="218" t="e">
        <f t="shared" ca="1" si="1145"/>
        <v>#N/A</v>
      </c>
      <c r="KB306" s="218" t="e">
        <f t="shared" ca="1" si="1111"/>
        <v>#N/A</v>
      </c>
      <c r="KC306" s="218" t="e">
        <f t="shared" ca="1" si="1008"/>
        <v>#N/A</v>
      </c>
      <c r="KD306" s="218" t="e">
        <f t="shared" ca="1" si="1009"/>
        <v>#N/A</v>
      </c>
      <c r="KE306" s="218" t="e">
        <f t="shared" ca="1" si="1010"/>
        <v>#N/A</v>
      </c>
      <c r="KF306" s="218" t="e">
        <f t="shared" ca="1" si="1011"/>
        <v>#N/A</v>
      </c>
      <c r="KG306" s="216" t="e">
        <f t="shared" ca="1" si="1012"/>
        <v>#N/A</v>
      </c>
      <c r="KH306" s="221" t="e">
        <f ca="1">IF(Control!$B$24=0,1,MAX(0.001,MIN(1,IF(($IF306-$IE306)&lt;&gt;0,($KG306-$IE306)/($IF306-$IE306),1))))</f>
        <v>#N/A</v>
      </c>
      <c r="KI306" s="222" t="e">
        <f ca="1">IF(Control!$C$114=1, $KI305+ $KH305, 0)</f>
        <v>#N/A</v>
      </c>
      <c r="KJ306" s="217" t="e">
        <f t="shared" ca="1" si="1013"/>
        <v>#N/A</v>
      </c>
      <c r="KK306" s="218" t="e">
        <f t="shared" ca="1" si="1014"/>
        <v>#N/A</v>
      </c>
      <c r="KL306" s="274" t="e">
        <f ca="1">IF(Control!$B$26=3,4000000000*EXP(-8400/($G306+273)),IF(Control!$B$26=4,4000000000*EXP(-8400/($G306+273))*($KT306),0))</f>
        <v>#DIV/0!</v>
      </c>
      <c r="KM306" s="274" t="e">
        <f ca="1">IF(Control!$B$26=3,5600000000000*EXP(-9800/($G306+273)),IF(Control!$B$26=4,5600000000000*EXP(-9800/($G306+273))*$KT306,0))</f>
        <v>#DIV/0!</v>
      </c>
      <c r="KN306" s="454" t="e">
        <f t="shared" ca="1" si="1112"/>
        <v>#DIV/0!</v>
      </c>
      <c r="KO306" s="274" t="e">
        <f t="shared" ca="1" si="1113"/>
        <v>#DIV/0!</v>
      </c>
      <c r="KP306" s="454" t="e">
        <f t="shared" ca="1" si="1015"/>
        <v>#DIV/0!</v>
      </c>
      <c r="KQ306" s="454" t="e">
        <f t="shared" ca="1" si="1016"/>
        <v>#DIV/0!</v>
      </c>
      <c r="KR306" s="454" t="e">
        <f t="shared" ca="1" si="1017"/>
        <v>#DIV/0!</v>
      </c>
      <c r="KS306" s="454" t="e">
        <f t="shared" ca="1" si="1018"/>
        <v>#DIV/0!</v>
      </c>
      <c r="KT306" s="455" t="e">
        <f t="shared" ca="1" si="1019"/>
        <v>#DIV/0!</v>
      </c>
      <c r="KU306" s="456" t="e">
        <f ca="1">IF($CP306-Control!$C$149&lt;0, IF($NT306-0.01&lt;0,0,1),0)</f>
        <v>#N/A</v>
      </c>
      <c r="KV306" s="456" t="e">
        <f ca="1">IF(Control!$C$114=1,MAX(0,MIN(Control!$C$125*$KW306*$GN306,$KW306)))</f>
        <v>#DIV/0!</v>
      </c>
      <c r="KW306" s="456" t="e">
        <f t="shared" ca="1" si="1146"/>
        <v>#DIV/0!</v>
      </c>
      <c r="KX306" s="457" t="e">
        <f ca="1">IF($CP306-Control!$C$149&lt;0, IF($MR306-$OM306&lt;0,0,1),0)</f>
        <v>#N/A</v>
      </c>
      <c r="KY306" s="167">
        <f t="shared" ca="1" si="1114"/>
        <v>302</v>
      </c>
      <c r="KZ306" s="168">
        <f ca="1">1370*(1+0.033*COS(2*Control!$C$138*$AH306/365))</f>
        <v>1391.1297960975228</v>
      </c>
      <c r="LA306" s="169">
        <f t="shared" ca="1" si="1115"/>
        <v>1.015422854166214</v>
      </c>
      <c r="LB306" s="169">
        <f t="shared" ca="1" si="1116"/>
        <v>-0.25305175774929578</v>
      </c>
      <c r="LC306" s="169">
        <f ca="1">ACOS(-TAN((2*Control!$B$8/360))*TAN(Calculations!$LB306))</f>
        <v>1.4938651619155312</v>
      </c>
      <c r="LD306" s="169">
        <f ca="1">((24*60)/PI())*0.082*$LA306*(($LC306*SIN(Control!$B$8*2*PI()/360))*SIN($LB306)+COS(Control!$B$8*2*PI()/360)*COS($LB306)*SIN($LC306))</f>
        <v>11.433402219974292</v>
      </c>
      <c r="LE306" s="170">
        <f t="shared" ca="1" si="1020"/>
        <v>12.465292607915092</v>
      </c>
      <c r="LF306" s="170">
        <f ca="1">SIN(Control!$C$139*Control!$B$8)*SIN($HD306)</f>
        <v>-0.19188396756936429</v>
      </c>
      <c r="LG306" s="170">
        <f ca="1">COS(Control!$C$139*Control!$B$8)*COS($HD306)</f>
        <v>0.59712840060501904</v>
      </c>
      <c r="LH306" s="170">
        <f ca="1">12*(1+2*ASIN(MAX(-1,MIN(1,$LF306/$LG306))/Control!$C$138))</f>
        <v>9.5408130420772341</v>
      </c>
      <c r="LI306" s="170">
        <f ca="1">12*(1+2*ASIN(MAX(-1,MIN(1,(-SIN(-4*Control!$C$139)+$LF306)/$LG306))/Control!$C$138))</f>
        <v>10.436446501011197</v>
      </c>
      <c r="LJ306" s="168">
        <f ca="1">3600*($LH306*$LF306+24*$LG306*SQRT(1-$LK306*$LK306)/Control!$C$138)</f>
        <v>8960.5532444804558</v>
      </c>
      <c r="LK306" s="170">
        <f t="shared" ca="1" si="1021"/>
        <v>-0.32134456739110839</v>
      </c>
      <c r="LL306" s="170">
        <f t="shared" ca="1" si="1022"/>
        <v>0</v>
      </c>
      <c r="LM306" s="171">
        <f ca="1">Control!$C$145*$AB306</f>
        <v>6.6660906138995932E-2</v>
      </c>
      <c r="LN306" s="170">
        <f t="shared" ca="1" si="1117"/>
        <v>0.54</v>
      </c>
      <c r="LO306" s="170">
        <f t="shared" ca="1" si="1023"/>
        <v>0</v>
      </c>
      <c r="LP306" s="170">
        <f ca="1">Control!$C$140*((($D306+273.16)^4+($E306+273.16)^4)/2)*(0.34-0.14*SQRT($Y306))*(1.35*$AQ306/(0.75*$LD306)-0.35)</f>
        <v>-3.2464704755046001</v>
      </c>
      <c r="LQ306" s="170">
        <f ca="1">Control!$C$140*($G306+273)^4*(0.56-0.079*SQRT($Y306*10))*(0.1+0.9*$LO306)</f>
        <v>1.5241745131704001</v>
      </c>
      <c r="LR306" s="170">
        <f ca="1">$AQ306*(1-Control!$C$142)-$LQ306</f>
        <v>-1.5241745131704001</v>
      </c>
      <c r="LS306" s="170">
        <f ca="1">$AQ306*(1-Control!$C$143)-$LQ306</f>
        <v>-1.5241745131704001</v>
      </c>
      <c r="LT306" s="170">
        <f ca="1">$AQ306*(1-Control!$C$144)-$LQ306</f>
        <v>-1.5241745131704001</v>
      </c>
      <c r="LU306" s="169">
        <f ca="1">(1-Control!$C$144)*AQ306-LP306</f>
        <v>3.2464704755046001</v>
      </c>
      <c r="LV306" s="172">
        <f t="shared" ca="1" si="1024"/>
        <v>0.79430000000000012</v>
      </c>
      <c r="LW306" s="170">
        <f t="shared" ca="1" si="1025"/>
        <v>1.5886000000000002</v>
      </c>
      <c r="LX306" s="170">
        <f ca="1">($AC306*($LR306/Control!$C$141)+$LM306*$LV306)/($AC306+$LM306)</f>
        <v>0.23530094218323697</v>
      </c>
      <c r="LY306" s="170">
        <f ca="1">($AC306*($LS306/Control!$C$141)+$LM306*$LV306)/($AC306+$LM306)</f>
        <v>0.23530094218323697</v>
      </c>
      <c r="LZ306" s="170">
        <f t="shared" ca="1" si="1026"/>
        <v>0.23530094218323697</v>
      </c>
      <c r="MA306" s="170">
        <f t="shared" ca="1" si="1027"/>
        <v>0.23530094218323697</v>
      </c>
      <c r="MB306" s="170" t="e">
        <f t="shared" ca="1" si="1028"/>
        <v>#N/A</v>
      </c>
      <c r="MC306" s="170">
        <f t="shared" ca="1" si="1118"/>
        <v>0.6018</v>
      </c>
      <c r="MD306" s="170">
        <f t="shared" ca="1" si="1029"/>
        <v>0.52989392535414004</v>
      </c>
      <c r="ME306" s="170">
        <f ca="1">($AC306*($LT306/Control!$C$141)+$LM306*$LW306)/($AC306+$LM306)</f>
        <v>0.71612369323045078</v>
      </c>
      <c r="MF306" s="170" t="e">
        <f ca="1">IF(Control!$B$16&gt;=1000,0.92,IF(AND(720&lt;=Control!$B$16,1000&gt;Control!$B$16),(0.95+(Control!$B$16-720)*((0.92-0.95)/(1000-720))),IF(AND(360&lt;=Control!$B$16,720&gt;Control!$B$16),(1+(Control!$B$16-360)*((0.95-1)/(720-360))),IF(AND(40&lt;=Control!$B$16,360&gt;Control!$B$16),(1.05+(Control!$B$16-40)*((1.05-1)/(360-40)))))))</f>
        <v>#N/A</v>
      </c>
      <c r="MG306" s="170">
        <f t="shared" ca="1" si="1030"/>
        <v>0.71612369323045078</v>
      </c>
      <c r="MH306" s="170" t="e">
        <f t="shared" ref="MH306:MI325" ca="1" si="1157">$MG306*$MF306</f>
        <v>#N/A</v>
      </c>
      <c r="MI306" s="170" t="e">
        <f t="shared" ca="1" si="1157"/>
        <v>#N/A</v>
      </c>
      <c r="MJ306" s="170" t="e">
        <f ca="1">MAX(0.0001, Control!$C$132*$MI306*$DL306)</f>
        <v>#N/A</v>
      </c>
      <c r="MK306" s="170">
        <f ca="1">1/(0.76+1.5*($MG306/10))-(5-Control!$C$110)*0.1</f>
        <v>1.002845988140797</v>
      </c>
      <c r="ML306" s="173">
        <f ca="1">IF(Control!$C$110&lt;3,$MK306+($MG306-0.6)/(Control!$C$110*(Control!$C$110+3)), MAX(0.1, MIN(0.95,$MK306)))</f>
        <v>0.95</v>
      </c>
      <c r="MM306" s="173">
        <f ca="1">IF(Control!$C$110&lt;3,$MK306+(($MI306/10)-0.6)/(Control!$C$110*(Control!$C$110+3)), MAX(0.1, MIN(0.95,$MK306)))</f>
        <v>0.95</v>
      </c>
      <c r="MN306" s="173">
        <f ca="1">(1-$MM306)*(Control!$C$128-Control!$C$127)+Control!$C$127</f>
        <v>0.16</v>
      </c>
      <c r="MO306" s="170" t="e">
        <f ca="1">MAX(0,MIN(1,($MS306-Control!$C$127)/($MN306-Control!$C$127)))</f>
        <v>#DIV/0!</v>
      </c>
      <c r="MP306" s="173" t="e">
        <f ca="1">1/(0.76+1.5*$MI306)-(5-Control!$C$110)*0.1</f>
        <v>#N/A</v>
      </c>
      <c r="MQ306" s="172" t="e">
        <f t="shared" ca="1" si="1147"/>
        <v>#DIV/0!</v>
      </c>
      <c r="MR306" s="168" t="e">
        <f t="shared" ca="1" si="1119"/>
        <v>#DIV/0!</v>
      </c>
      <c r="MS306" s="173" t="e">
        <f ca="1">MAX(Control!$C$127, MIN(Control!$C$135, $MR306/MAX(0.0001,$CY306)))</f>
        <v>#DIV/0!</v>
      </c>
      <c r="MT306" s="168" t="e">
        <f ca="1">(Control!$C$128-$MS306)*Control!$C$74</f>
        <v>#DIV/0!</v>
      </c>
      <c r="MU306" s="168" t="e">
        <f ca="1">(Control!$C$135-$MS306)*Control!$C$74</f>
        <v>#DIV/0!</v>
      </c>
      <c r="MV306" s="168" t="e">
        <f t="shared" ca="1" si="1120"/>
        <v>#DIV/0!</v>
      </c>
      <c r="MW306" s="168" t="e">
        <f t="shared" ca="1" si="1121"/>
        <v>#DIV/0!</v>
      </c>
      <c r="MX306" s="171" t="e">
        <f ca="1">MAX(Control!$C$127, MIN(Control!$C$135, $MW306/MAX(0.0001,Control!$C$119-$CY306)))</f>
        <v>#DIV/0!</v>
      </c>
      <c r="MY306" s="54" t="e">
        <f ca="1">IF(Control!$C$114=1, $CX306*$MX306, 0)</f>
        <v>#DIV/0!</v>
      </c>
      <c r="MZ306" s="54" t="e">
        <f t="shared" ca="1" si="1122"/>
        <v>#N/A</v>
      </c>
      <c r="NA306" s="168" t="e">
        <f ca="1">(Control!$C$128-$MX306)*(Control!$C$119-Control!$C$74)</f>
        <v>#DIV/0!</v>
      </c>
      <c r="NB306" s="168" t="e">
        <f ca="1">(Control!$C$135-$MX306)*(Control!$C$119-Control!$C$74)</f>
        <v>#DIV/0!</v>
      </c>
      <c r="NC306" s="174" t="e">
        <f t="shared" ca="1" si="1123"/>
        <v>#DIV/0!</v>
      </c>
      <c r="ND306" s="54">
        <f ca="1">IF(Control!$C$58=2, IF(OR(Control!$B$218=$AH306,Control!$B$219=$AH306, Control!$B$220=$AH306, Control!$B$221=$AH306, Control!$B$222=$AH306, Control!$B$223=$AH306, Control!$B$224=$AH306, Control!$B$225=$AH306, Control!$B$226=$AH306, Control!$B$227=$AH306, Control!$B$228=$AH306), 1, 0), 0)</f>
        <v>0</v>
      </c>
      <c r="NE306" s="54">
        <f ca="1">IF($ND306=0,0, VLOOKUP($AH306,Control!$B$218:$C$228,2))</f>
        <v>0</v>
      </c>
      <c r="NF306" s="168" t="e">
        <f ca="1">$CY306*(Control!$C$128-Control!$C$127)</f>
        <v>#N/A</v>
      </c>
      <c r="NG306" s="54" t="e">
        <f ca="1">IF(Control!$C$58=2, $NI305-$NJ305, 0)</f>
        <v>#DIV/0!</v>
      </c>
      <c r="NH306" s="54" t="e">
        <f ca="1">IF(AND(Control!$C$58=1, $MS305&lt;= ($MN305+0.02), $I305&lt;10), 0, IF(Control!$C$58=2, $NG305, 0))</f>
        <v>#DIV/0!</v>
      </c>
      <c r="NI306" s="54" t="e">
        <f ca="1">IF(Control!$C$58=2, $NE306+$NH306,0)</f>
        <v>#DIV/0!</v>
      </c>
      <c r="NJ306" s="54" t="e">
        <f ca="1">IF(AND(Control!$C$58=1, $MS306&lt;= ($MN306+0.02), $I306&lt;10), MAX(0, MIN(10, 0.7*($NF306-$MV306))), IF(Control!$C$58=2, MIN(10,$NI306),0))</f>
        <v>#DIV/0!</v>
      </c>
      <c r="NK306" s="54" t="e">
        <f t="shared" ca="1" si="1031"/>
        <v>#DIV/0!</v>
      </c>
      <c r="NL306" s="173" t="e">
        <f ca="1">(1-Control!$C$73)*$I306+$NJ306</f>
        <v>#DIV/0!</v>
      </c>
      <c r="NM306" s="172" t="e">
        <f ca="1">IF($NL306&lt;0.5, $MB306* MAX(0, MIN(1, (SQRT($NC306)-SQRT($NC306-1))*Control!$C$71)),0)</f>
        <v>#DIV/0!</v>
      </c>
      <c r="NN306" s="170" t="e">
        <f ca="1">IF($NL306&gt;=5, $MB306, MAX(0,MIN($MB306, $NM306+$NL306,($MS306-Control!$C$129))))</f>
        <v>#DIV/0!</v>
      </c>
      <c r="NO306" s="54">
        <f>IF(Control!$C$133&lt;&gt;1, Control!$C$135-Control!$C$131, 0)</f>
        <v>0.38</v>
      </c>
      <c r="NP306" s="54" t="e">
        <f t="shared" ca="1" si="1032"/>
        <v>#DIV/0!</v>
      </c>
      <c r="NQ306" s="173" t="e">
        <f ca="1">MAX(0,MIN(1,(Control!$C$135-$MS306)/(Control!$C$135-$NO306)))</f>
        <v>#DIV/0!</v>
      </c>
      <c r="NR306" s="170" t="e">
        <f ca="1">IF(Control!$C$133&lt;&gt;1, $NQ306+((1-$NP306/4)*(1-$NQ306)),1)</f>
        <v>#DIV/0!</v>
      </c>
      <c r="NS306" s="170" t="e">
        <f ca="1">IF(Control!$B$31=0,$MJ306,MAX(0,MIN($MV306,$MO306*$NR306*$MJ306)))</f>
        <v>#DIV/0!</v>
      </c>
      <c r="NT306" s="170" t="e">
        <f t="shared" ca="1" si="1148"/>
        <v>#DIV/0!</v>
      </c>
      <c r="NU306" s="170" t="e">
        <f t="shared" ca="1" si="1124"/>
        <v>#N/A</v>
      </c>
      <c r="NV306" s="170" t="e">
        <f t="shared" ca="1" si="1033"/>
        <v>#N/A</v>
      </c>
      <c r="NW306" s="175" t="e">
        <f t="shared" ca="1" si="1034"/>
        <v>#DIV/0!</v>
      </c>
      <c r="NX306" s="170" t="e">
        <f ca="1">MIN(Control!$C$72+$MU306, $NW306)</f>
        <v>#DIV/0!</v>
      </c>
      <c r="NY306" s="170" t="e">
        <f ca="1">IF($MT306&lt;=$NX306,MIN(Control!$C$72+$NB306,$NX306-$MT306),0)</f>
        <v>#DIV/0!</v>
      </c>
      <c r="NZ306" s="54" t="e">
        <f ca="1">IF(Control!$C$114=1,  $CX306*($MX306-Control!$C$127), 0)</f>
        <v>#DIV/0!</v>
      </c>
      <c r="OA306" s="170" t="e">
        <f t="shared" ca="1" si="1035"/>
        <v>#DIV/0!</v>
      </c>
      <c r="OB306" s="170" t="e">
        <f ca="1">IF($NA306 &lt;=$NY306, MIN(Control!$C$72, $NY306-$NA306), 0)</f>
        <v>#DIV/0!</v>
      </c>
      <c r="OC306" s="168" t="e">
        <f t="shared" ca="1" si="1036"/>
        <v>#DIV/0!</v>
      </c>
      <c r="OD306" s="168" t="e">
        <f t="shared" ca="1" si="1125"/>
        <v>#DIV/0!</v>
      </c>
      <c r="OE306" s="170">
        <f ca="1">Control!$C$73*$I306</f>
        <v>0</v>
      </c>
      <c r="OF306" s="176" t="e">
        <f t="shared" ca="1" si="1037"/>
        <v>#DIV/0!</v>
      </c>
      <c r="OG306" s="168" t="e">
        <f t="shared" ca="1" si="1038"/>
        <v>#DIV/0!</v>
      </c>
      <c r="OH306" s="168" t="e">
        <f t="shared" ca="1" si="1039"/>
        <v>#DIV/0!</v>
      </c>
      <c r="OI306" s="168" t="e">
        <f t="shared" ca="1" si="1040"/>
        <v>#DIV/0!</v>
      </c>
      <c r="OJ306" s="168" t="e">
        <f t="shared" ca="1" si="1041"/>
        <v>#DIV/0!</v>
      </c>
      <c r="OK306" s="204" t="e">
        <f t="shared" ca="1" si="1042"/>
        <v>#DIV/0!</v>
      </c>
      <c r="OL306" s="177">
        <f>Control!$C$127</f>
        <v>0.15</v>
      </c>
      <c r="OM306" s="182" t="e">
        <f t="shared" ca="1" si="1043"/>
        <v>#N/A</v>
      </c>
      <c r="ON306" s="177">
        <f>Control!$C$128</f>
        <v>0.35</v>
      </c>
      <c r="OO306" s="182" t="e">
        <f t="shared" ca="1" si="1044"/>
        <v>#N/A</v>
      </c>
      <c r="OP306" s="138">
        <f t="shared" ca="1" si="1126"/>
        <v>0</v>
      </c>
      <c r="OQ306" s="138" t="e">
        <f t="shared" ca="1" si="1149"/>
        <v>#DIV/0!</v>
      </c>
      <c r="OR306" s="138" t="e">
        <f t="shared" ca="1" si="1127"/>
        <v>#DIV/0!</v>
      </c>
      <c r="OS306" s="137" t="e">
        <f t="shared" ca="1" si="1150"/>
        <v>#DIV/0!</v>
      </c>
      <c r="OT306" s="139" t="e">
        <f t="shared" ca="1" si="1151"/>
        <v>#DIV/0!</v>
      </c>
      <c r="OU306" s="138" t="e">
        <f t="shared" ca="1" si="1152"/>
        <v>#N/A</v>
      </c>
      <c r="OV306" s="138" t="e">
        <f t="shared" ca="1" si="1153"/>
        <v>#DIV/0!</v>
      </c>
      <c r="OW306" s="138" t="e">
        <f t="shared" ca="1" si="1128"/>
        <v>#DIV/0!</v>
      </c>
      <c r="OX306" s="138" t="e">
        <f t="shared" ca="1" si="1129"/>
        <v>#DIV/0!</v>
      </c>
      <c r="OY306" s="138" t="e">
        <f t="shared" ca="1" si="1130"/>
        <v>#DIV/0!</v>
      </c>
      <c r="OZ306" s="138" t="e">
        <f t="shared" ca="1" si="1045"/>
        <v>#DIV/0!</v>
      </c>
      <c r="PA306" s="138" t="e">
        <f t="shared" ca="1" si="1046"/>
        <v>#DIV/0!</v>
      </c>
      <c r="PB306" s="55">
        <f>IF(Control!$C$61="T", IF(Control!$C$65="F", IF($AH$6-Control!$C$60&lt;0,0,1), IF(365+$AH$6-Control!$C$60&lt;0,0,1)),0)</f>
        <v>0</v>
      </c>
      <c r="PC306" s="55">
        <f ca="1">IF(Control!$C$65="F", IF($AH$6-$HF306&lt;0,0,1), IF(365+$AH$6-$HF306&lt;0,0,1))</f>
        <v>1</v>
      </c>
      <c r="PD306" s="444">
        <f>Control!$C$118</f>
        <v>1500</v>
      </c>
      <c r="PE306" s="180" t="e">
        <f t="shared" ca="1" si="1047"/>
        <v>#N/A</v>
      </c>
      <c r="PF306" s="445">
        <f t="shared" ca="1" si="1131"/>
        <v>0.71612369323045078</v>
      </c>
      <c r="PT306" s="186"/>
      <c r="PU306" s="186"/>
      <c r="PV306" s="94"/>
      <c r="PW306" s="94"/>
      <c r="PX306" s="94"/>
      <c r="PY306" s="94"/>
      <c r="PZ306" s="94"/>
      <c r="QA306" s="94"/>
      <c r="QB306" s="94"/>
      <c r="QC306" s="94"/>
      <c r="QD306" s="94"/>
      <c r="QE306" s="94"/>
      <c r="QF306" s="94"/>
      <c r="QG306" s="94"/>
      <c r="QH306" s="94"/>
      <c r="QI306" s="94"/>
      <c r="QJ306" s="94"/>
      <c r="QK306" s="94"/>
      <c r="QL306" s="94"/>
      <c r="QM306" s="94"/>
      <c r="QN306" s="94"/>
      <c r="QO306" s="94"/>
      <c r="QP306" s="94"/>
    </row>
    <row r="307" spans="1:458" s="2" customFormat="1" x14ac:dyDescent="0.2">
      <c r="A307" s="395">
        <v>29</v>
      </c>
      <c r="B307" s="396">
        <v>10</v>
      </c>
      <c r="C307" s="387">
        <f ca="1">Weather_data!$B306</f>
        <v>0</v>
      </c>
      <c r="D307" s="388">
        <f ca="1">Weather_data!$F306</f>
        <v>0</v>
      </c>
      <c r="E307" s="388">
        <f ca="1">Weather_data!$E306</f>
        <v>0</v>
      </c>
      <c r="F307" s="388">
        <f t="shared" ca="1" si="1048"/>
        <v>0</v>
      </c>
      <c r="G307" s="388">
        <f ca="1">AVERAGE($D307:$E307)+Control!$B$9</f>
        <v>0</v>
      </c>
      <c r="H307" s="388">
        <f ca="1">Weather_data!$G306</f>
        <v>0</v>
      </c>
      <c r="I307" s="388">
        <f ca="1">Weather_data!$I306</f>
        <v>0</v>
      </c>
      <c r="J307" s="388">
        <f ca="1">Weather_data!$H306</f>
        <v>0</v>
      </c>
      <c r="K307" s="389">
        <f ca="1">Weather_data!$D306</f>
        <v>0</v>
      </c>
      <c r="L307" s="388" t="e">
        <f t="shared" ca="1" si="1049"/>
        <v>#N/A</v>
      </c>
      <c r="M307" s="388" t="e">
        <f t="shared" ca="1" si="927"/>
        <v>#N/A</v>
      </c>
      <c r="N307" s="388">
        <f t="shared" ca="1" si="928"/>
        <v>-8.4326746674815661E-15</v>
      </c>
      <c r="O307" s="388">
        <f t="shared" ca="1" si="1050"/>
        <v>8.4326746674815661E-14</v>
      </c>
      <c r="P307" s="390">
        <v>3</v>
      </c>
      <c r="Q307" s="388">
        <f ca="1">MAX($G307-Control!$C$107,0)</f>
        <v>0</v>
      </c>
      <c r="R307" s="388">
        <f t="shared" ca="1" si="1051"/>
        <v>0</v>
      </c>
      <c r="S307" s="388">
        <f t="shared" ca="1" si="929"/>
        <v>0</v>
      </c>
      <c r="T307" s="388">
        <f t="shared" ca="1" si="930"/>
        <v>0</v>
      </c>
      <c r="U307" s="59">
        <f t="shared" ca="1" si="931"/>
        <v>0</v>
      </c>
      <c r="V307" s="391">
        <f ca="1">MAX(0,MIN(Control!$C$100-Control!$C$99,$G307-Control!$C$99)*Control!$C$63)</f>
        <v>0</v>
      </c>
      <c r="W307" s="388">
        <f t="shared" ca="1" si="1052"/>
        <v>0</v>
      </c>
      <c r="X307" s="388">
        <f t="shared" ca="1" si="1053"/>
        <v>0.6110000000000001</v>
      </c>
      <c r="Y307" s="388">
        <f t="shared" ca="1" si="932"/>
        <v>0</v>
      </c>
      <c r="Z307" s="388">
        <f t="shared" ca="1" si="1054"/>
        <v>0.61058800000000002</v>
      </c>
      <c r="AA307" s="388">
        <f t="shared" ca="1" si="933"/>
        <v>0.6018</v>
      </c>
      <c r="AB307" s="388">
        <f ca="1">101.3*EXP(-0.034*Control!$C$66/($G307+273))</f>
        <v>100.69623283836242</v>
      </c>
      <c r="AC307" s="392">
        <f t="shared" ca="1" si="934"/>
        <v>4.3460251046025113E-2</v>
      </c>
      <c r="AD307" s="392">
        <f t="shared" ca="1" si="935"/>
        <v>4.4450382862832649E-2</v>
      </c>
      <c r="AE307" s="388">
        <f t="shared" ca="1" si="936"/>
        <v>0</v>
      </c>
      <c r="AF307" s="388">
        <f ca="1">MAX(0,$G307-Control!$C$92)</f>
        <v>0</v>
      </c>
      <c r="AG307" s="393">
        <f t="shared" ca="1" si="937"/>
        <v>303</v>
      </c>
      <c r="AH307" s="389">
        <f t="shared" ca="1" si="938"/>
        <v>303</v>
      </c>
      <c r="AI307" s="388">
        <f t="shared" ca="1" si="1055"/>
        <v>-0.25152962616738311</v>
      </c>
      <c r="AJ307" s="388">
        <f ca="1">IF(Control!$C$60&lt;=0,$HH307,$HI307)</f>
        <v>1</v>
      </c>
      <c r="AK307" s="388">
        <f t="shared" ca="1" si="939"/>
        <v>3.8387680095919117</v>
      </c>
      <c r="AL307" s="388">
        <f t="shared" ca="1" si="940"/>
        <v>-1.3525120259871849E-17</v>
      </c>
      <c r="AM307" s="388">
        <f t="shared" ca="1" si="941"/>
        <v>3.8387680095919117</v>
      </c>
      <c r="AN307" s="388">
        <f t="shared" ca="1" si="942"/>
        <v>-0.25827108764338302</v>
      </c>
      <c r="AO307" s="388">
        <f ca="1">-0.10453/COS(Control!$B$8*PI()/180)*COS(AN307)</f>
        <v>-0.16415361020203328</v>
      </c>
      <c r="AP307" s="388">
        <f ca="1">ACOS(AO307-TAN(Control!$B$8*PI()/180)*TAN(AN307))</f>
        <v>1.3959365906394465</v>
      </c>
      <c r="AQ307" s="388">
        <f t="shared" ca="1" si="1056"/>
        <v>0</v>
      </c>
      <c r="AR307" s="394">
        <f t="shared" ca="1" si="943"/>
        <v>0</v>
      </c>
      <c r="AS307" s="436">
        <f ca="1">IF(Control!$B$18=2,(IF(OR($AH307=Control!$B$175,$AH307=Control!$B$176,$AH307=Control!$B$177,$AH307=Control!$B$178,$AH307=Control!$B$179,$AH307=Control!$B$180,$AH307=Control!$B$181,$AH307=Control!$B$182,$AH307=Control!$B$183,$AH307=Control!$B$184,$AH307=Control!$B$185),1,0)),0)</f>
        <v>0</v>
      </c>
      <c r="AT307" s="436">
        <f>IF(Control!$B$20=8,IF(AND($AH307&gt;=Control!$B$172,$AH307&lt;=Control!$B$173),1,0),0)</f>
        <v>0</v>
      </c>
      <c r="AU307" s="436">
        <f>IF(Control!$B$20=8,IF($AV306=1,1*$AT307,IF($AT307=1,$AU306+1,$AU306)),0)</f>
        <v>0</v>
      </c>
      <c r="AV307" s="436">
        <f>IF(Control!$B$20=8,IF($AU307&gt;=Control!$B$174,1,0),0)</f>
        <v>0</v>
      </c>
      <c r="AW307" s="436">
        <f ca="1">IF(AND(Control!$B$18=2,Control!$B$171=1), $AV307, $AS307)</f>
        <v>0</v>
      </c>
      <c r="AX307" s="436" t="e">
        <f ca="1">IF(AND(Control!$B$18=1,$EU307&gt;=Control!$B$19),-$AY307,IF(AND(Control!$B$18=2,$AW307=1,$EU307&gt;$DS307),-$AY307, IF(Control!$C$108=0,0, IF(Control!$C$108&lt;&gt;0,1))))</f>
        <v>#N/A</v>
      </c>
      <c r="AY307" s="436" t="e">
        <f t="shared" ca="1" si="1057"/>
        <v>#N/A</v>
      </c>
      <c r="AZ307" s="436" t="e">
        <f ca="1">IF(AND(Control!$B$18=1,$EB307&gt;Control!$B$19),$AZ306+1, IF(AND(Control!$B$18=2, $AW307=1, $EB307&gt;$DS307), $AZ306+1,$AZ306))</f>
        <v>#N/A</v>
      </c>
      <c r="BA307" s="587">
        <f>IF(Control!$C$81=0,1,IF($AH307&gt;=Control!$C$82,1,0))</f>
        <v>1</v>
      </c>
      <c r="BB307" s="140" t="e">
        <f ca="1">IF($BA307&gt;$BA306,Control!$C$83,IF($AW307&gt;0,$AW307*Control!$C$84,IF(AND(Control!$B$18=1,EN306&lt;&gt;0),Control!$C$84,0)))</f>
        <v>#N/A</v>
      </c>
      <c r="BC307" s="140" t="e">
        <f t="shared" ca="1" si="1058"/>
        <v>#N/A</v>
      </c>
      <c r="BD307" s="140" t="e">
        <f ca="1">BC307*IF(OR($G307&lt;Control!$C$92,$G307&gt;Control!$C$95),0,IF(AND($G307&gt;=Control!$C$92,$G307&lt;=Control!$C$93),$G307-Control!$C$92,IF(AND($G307&gt;Control!$C$93,$G307&lt;=Control!$C$94),Control!$C$93-Control!$C$92,IF(AND($G307&gt;Control!$C$94,$G307&lt;=Control!$C$95),(Control!$C$93-Control!$C$92)*(Control!$C$94-$G307)/(Control!$C$95-Control!$C$94)))))</f>
        <v>#N/A</v>
      </c>
      <c r="BE307" s="140" t="e">
        <f t="shared" ca="1" si="1059"/>
        <v>#N/A</v>
      </c>
      <c r="BF307" s="140" t="e">
        <f ca="1">IF($BE307&lt;=Control!$C$86,$BE307,Control!$C$86-$BE307)</f>
        <v>#N/A</v>
      </c>
      <c r="BG307" s="140" t="e">
        <f ca="1">IF(AND($AW307=1,Control!$C$84&lt;9),1,IF($BE307&gt;=Control!$C$86,0,$BC307))</f>
        <v>#N/A</v>
      </c>
      <c r="BH307" s="404" t="e">
        <f ca="1">IF($BG307=0,0,IF($BE307&lt;=Control!$C$86,$BC307*9*($BF307/Control!$C$86),0))</f>
        <v>#N/A</v>
      </c>
      <c r="BI307" s="140" t="e">
        <f ca="1">IF($BG307=1,0,IF($BE307&gt;=Control!$C$86,1,IF(AND($BB307&lt;21,$BB307&gt;=9),1,$BM306)))</f>
        <v>#N/A</v>
      </c>
      <c r="BJ307" s="140" t="e">
        <f ca="1">IF($BF307&lt;0,-$BF307,$BI307*IF(OR($G307&lt;Control!$C$92,$G307&gt;Control!$C$95),0,IF(AND($G307&gt;=Control!$C$92,$G307&lt;=Control!$C$93),$G307-Control!$C$92,IF(AND($G307&gt;Control!$C$93,$G307&lt;=Control!$C$94),Control!$C$93-Control!$C$92,IF(AND($G307&gt;Control!$C$94,$G307&lt;=Control!$C$95),(Control!$C$93-Control!$C$92)*(Control!$C$94-$G307)/(Control!$C$95-Control!$C$94))))))</f>
        <v>#N/A</v>
      </c>
      <c r="BK307" s="140" t="e">
        <f t="shared" ca="1" si="1060"/>
        <v>#N/A</v>
      </c>
      <c r="BL307" s="140" t="e">
        <f ca="1">IF($BK307&lt;=Control!$C$87,$BK307,Control!$C$87-$BK307)</f>
        <v>#N/A</v>
      </c>
      <c r="BM307" s="140" t="e">
        <f ca="1">IF(AND($BB307&gt;=9,$BB307&lt;21),1,IF($BK307&gt;=Control!$C$87,0,$BI307))</f>
        <v>#N/A</v>
      </c>
      <c r="BN307" s="404" t="e">
        <f ca="1">IF($BM307=0,0,IF($BK307&lt;=Control!$C$87,$BI307*(9+(21-9)*($BL307/Control!$C$87)),0))</f>
        <v>#N/A</v>
      </c>
      <c r="BO307" s="140" t="e">
        <f ca="1">IF($BM307=1,0,IF($BK307&gt;=Control!$C$87,1,IF(AND($BB307&lt;30,$BB307&gt;=21),1,$BS306)))</f>
        <v>#N/A</v>
      </c>
      <c r="BP307" s="140" t="e">
        <f ca="1">IF($BL307&lt;0,-$BL307,$BO307*IF(OR($G307&lt;Control!$C$92,$G307&gt;Control!$C$95),0,IF(AND($G307&gt;=Control!$C$92,$G307&lt;=Control!$C$93),$G307-Control!$C$92,IF(AND($G307&gt;Control!$C$93,$G307&lt;=Control!$C$94),Control!$C$93-Control!$C$92,IF(AND($G307&gt;Control!$C$94,$G307&lt;=Control!$C$95),(Control!$C$93-Control!$C$92)*(Control!$C$94-$G307)/(Control!$C$95-Control!$C$94))))))</f>
        <v>#N/A</v>
      </c>
      <c r="BQ307" s="140" t="e">
        <f t="shared" ca="1" si="944"/>
        <v>#N/A</v>
      </c>
      <c r="BR307" s="140" t="e">
        <f ca="1">IF($BQ307&lt;=Control!$C$88,$BQ307,Control!$C$88-$BQ307)</f>
        <v>#N/A</v>
      </c>
      <c r="BS307" s="140" t="e">
        <f ca="1">IF(AND($BB307&gt;=21,$BB307&lt;30),1,IF($BQ307&gt;=Control!$C$88,0,$BO307))</f>
        <v>#N/A</v>
      </c>
      <c r="BT307" s="404" t="e">
        <f ca="1">IF($BS307=0,0,IF($BQ307&lt;=Control!$C$88,$BO307*(21+(30-21)*(BR307/Control!$C$88)),0))</f>
        <v>#N/A</v>
      </c>
      <c r="BU307" s="140" t="e">
        <f ca="1">IF(BG307+BM307+BS307=1,0,IF(OR(AND($BB307&lt;60,$BB307&gt;=30),$BQ307&gt;=Control!$C$88),1*$BA307,$BY306))</f>
        <v>#N/A</v>
      </c>
      <c r="BV307" s="140" t="e">
        <f ca="1">IF($BR307&lt;0,-$BR307,$BU307*IF(OR($G307&lt;Control!$C$92,$G307&gt;Control!$C$95),0,IF(AND($G307&gt;=Control!$C$92,$G307&lt;=Control!$C$93),$G307-Control!$C$92,IF(AND($G307&gt;Control!$C$93,$G307&lt;=Control!$C$94),Control!$C$93-Control!$C$92,IF(AND($G307&gt;Control!$C$94,$G307&lt;=Control!$C$95),(Control!$C$93-Control!$C$92)*(Control!$C$94-$G307)/(Control!$C$95-Control!$C$94))))))</f>
        <v>#N/A</v>
      </c>
      <c r="BW307" s="140" t="e">
        <f t="shared" ca="1" si="945"/>
        <v>#N/A</v>
      </c>
      <c r="BX307" s="140" t="e">
        <f ca="1">IF($BW307&lt;=Control!$C$89,$BW307,Control!$C$89-$BW307)</f>
        <v>#N/A</v>
      </c>
      <c r="BY307" s="140" t="e">
        <f ca="1">IF(AND($AJ307&gt;=30,$AJ307&lt;60),1,IF($BW307&gt;=Control!$C$89,0,$BU307))</f>
        <v>#N/A</v>
      </c>
      <c r="BZ307" s="404" t="e">
        <f ca="1">IF($BY307=0,0,IF($BW307&lt;=Control!$C$89,$BU307*(30+(60-30)*(BX307/Control!$C$89)),0))</f>
        <v>#N/A</v>
      </c>
      <c r="CA307" s="140" t="e">
        <f ca="1">IF($BG307+$BM307+$BS307+$BY307=1,0,IF(OR(AND($BB307&lt;65,$BB307&gt;=60),$BW307&gt;=Control!$C$89),1*$BA307,$CE306))</f>
        <v>#N/A</v>
      </c>
      <c r="CB307" s="140" t="e">
        <f ca="1">IF($BX307&lt;0,-$BX307,$CA307*IF(OR($G307&lt;Control!$C$92,$G307&gt;Control!$C$95),0,IF(AND($G307&gt;=Control!$C$92,$G307&lt;=Control!$C$93),$G307-Control!$C$92,IF(AND($G307&gt;Control!$C$93,$G307&lt;=Control!$C$94),Control!$C$93-Control!$C$92,IF(AND($G307&gt;Control!$C$94,$G307&lt;=Control!$C$95),(Control!$C$93-Control!$C$92)*(Control!$C$94-$G307)/(Control!$C$95-Control!$C$94))))))</f>
        <v>#N/A</v>
      </c>
      <c r="CC307" s="140" t="e">
        <f t="shared" ca="1" si="1061"/>
        <v>#N/A</v>
      </c>
      <c r="CD307" s="140" t="e">
        <f ca="1">IF($CC307&lt;=Control!$C$90,$CC307,Control!$C$90-$CC307)</f>
        <v>#N/A</v>
      </c>
      <c r="CE307" s="140" t="e">
        <f ca="1">IF(AND($BB307&gt;=60,$BB307&lt;65),1,IF($CC307&gt;=Control!$C$90,0,$CA307))</f>
        <v>#N/A</v>
      </c>
      <c r="CF307" s="404" t="e">
        <f ca="1">IF($CE307=0,0,IF($CC307&lt;=Control!$C$90,$CA307*(60+(65-60)*(CD307/Control!$C$90)),0))</f>
        <v>#N/A</v>
      </c>
      <c r="CG307" s="140" t="e">
        <f ca="1">IF($BG307+$BM307+$BS307+$BY307+$CE307=1,0,IF(OR(AND($BB307&lt;90,$BB307&gt;=65),$CC307&gt;=Control!$C$90),$BA307,$CK306))</f>
        <v>#N/A</v>
      </c>
      <c r="CH307" s="140" t="e">
        <f ca="1">IF($CD307&lt;0,-$CD307,$CG307*IF(OR($G307&lt;Control!$C$92,$G307&gt;Control!$C$95),0,IF(AND($G307&gt;=Control!$C$92,$G307&lt;=Control!$C$93),$G307-Control!$C$92,IF(AND($G307&gt;Control!$C$93,$G307&lt;=Control!$C$94),Control!$C$93-Control!$C$92,IF(AND($G307&gt;Control!$C$94,$G307&lt;=Control!$C$95),(Control!$C$93-Control!$C$92)*(Control!$C$94-$G307)/(Control!$C$95-Control!$C$94))))))</f>
        <v>#N/A</v>
      </c>
      <c r="CI307" s="140" t="e">
        <f t="shared" ca="1" si="1062"/>
        <v>#N/A</v>
      </c>
      <c r="CJ307" s="140" t="e">
        <f ca="1">IF($CI307&lt;=Control!$C$91,$CI307,Control!$C$91-$CI307)</f>
        <v>#N/A</v>
      </c>
      <c r="CK307" s="140" t="e">
        <f ca="1">IF(AND($BB307&gt;=65,$BB307&lt;90),1,IF($CI307&gt;=Control!$C$91,0,$CG307))</f>
        <v>#N/A</v>
      </c>
      <c r="CL307" s="404" t="e">
        <f ca="1">IF($CK307=0,0,IF($CI307&lt;=Control!$C$91,$CG307*(65+(90-65)*($CJ307/Control!$C$91)),0))</f>
        <v>#N/A</v>
      </c>
      <c r="CM307" s="140" t="e">
        <f ca="1">IF($BG307+$BM307+$BS307+$BY307+$CE307+$CK307=1,0,IF(OR($BB307&gt;=90,$CI307&gt;=Control!$C$91),$BA307,$CM306))</f>
        <v>#N/A</v>
      </c>
      <c r="CN307" s="140" t="e">
        <f t="shared" ca="1" si="1063"/>
        <v>#N/A</v>
      </c>
      <c r="CO307" s="140" t="e">
        <f t="shared" ca="1" si="1064"/>
        <v>#N/A</v>
      </c>
      <c r="CP307" s="140" t="e">
        <f t="shared" ca="1" si="1065"/>
        <v>#N/A</v>
      </c>
      <c r="CQ307" s="141" t="e">
        <f ca="1">VLOOKUP($CP307,Control!$B$86:$G$91,6)</f>
        <v>#N/A</v>
      </c>
      <c r="CR307" s="141" t="e">
        <f ca="1">(1-$CQ307)*VLOOKUP($CP307,Control!$B$86:$D$91,3)</f>
        <v>#N/A</v>
      </c>
      <c r="CS307" s="141" t="e">
        <f ca="1">(1-$CQ307)*VLOOKUP($CP307,Control!$B$86:$E$91,4)</f>
        <v>#N/A</v>
      </c>
      <c r="CT307" s="141" t="e">
        <f ca="1">(1-$CQ307)*VLOOKUP($CP307,Control!$B$86:$F$91,5)</f>
        <v>#N/A</v>
      </c>
      <c r="CU307" s="141">
        <f t="shared" ca="1" si="1066"/>
        <v>0</v>
      </c>
      <c r="CV307" s="583">
        <f t="shared" ca="1" si="1067"/>
        <v>0</v>
      </c>
      <c r="CW307" s="142">
        <f t="shared" ca="1" si="1068"/>
        <v>303</v>
      </c>
      <c r="CX307" s="612" t="e">
        <f ca="1">IF(Control!$C$114=1,(MIN(Control!$C$120*(IF($NT307-0.01&lt;0,0,1)),Control!$C$119-$CY307)))</f>
        <v>#DIV/0!</v>
      </c>
      <c r="CY307" s="143" t="e">
        <f t="shared" ca="1" si="1069"/>
        <v>#N/A</v>
      </c>
      <c r="CZ307" s="144">
        <f t="shared" ca="1" si="946"/>
        <v>0</v>
      </c>
      <c r="DA307" s="144">
        <f t="shared" ca="1" si="947"/>
        <v>0</v>
      </c>
      <c r="DB307" s="144" t="e">
        <f t="shared" ca="1" si="948"/>
        <v>#N/A</v>
      </c>
      <c r="DC307" s="144" t="e">
        <f t="shared" ca="1" si="949"/>
        <v>#N/A</v>
      </c>
      <c r="DD307" s="144" t="e">
        <f t="shared" ca="1" si="1154"/>
        <v>#N/A</v>
      </c>
      <c r="DE307" s="143" t="e">
        <f t="shared" ca="1" si="1070"/>
        <v>#N/A</v>
      </c>
      <c r="DF307" s="145" t="e">
        <f ca="1">$DR307*EXP(-Control!$C$158*(1-$KH307))</f>
        <v>#N/A</v>
      </c>
      <c r="DG307" s="146" t="e">
        <f ca="1">IF(Control!$C$114=1, $DF307*$EY307, 0)</f>
        <v>#N/A</v>
      </c>
      <c r="DH307" s="147" t="e">
        <f t="shared" ca="1" si="1071"/>
        <v>#N/A</v>
      </c>
      <c r="DI307" s="144" t="e">
        <f t="shared" ca="1" si="1132"/>
        <v>#N/A</v>
      </c>
      <c r="DJ307" s="147" t="e">
        <f ca="1">$EF307*Control!$C$109</f>
        <v>#N/A</v>
      </c>
      <c r="DK307" s="144" t="e">
        <f t="shared" ca="1" si="1072"/>
        <v>#N/A</v>
      </c>
      <c r="DL307" s="144" t="e">
        <f t="shared" ca="1" si="950"/>
        <v>#N/A</v>
      </c>
      <c r="DM307" s="144" t="e">
        <f ca="1">IF(Control!$C$114=1, (1-EXP(-Control!$C$96*$DK307))*$AR307, 0)</f>
        <v>#N/A</v>
      </c>
      <c r="DN307" s="144">
        <f t="shared" ca="1" si="1073"/>
        <v>0</v>
      </c>
      <c r="DO307" s="148">
        <f>Control!$C$97</f>
        <v>4</v>
      </c>
      <c r="DP307" s="145" t="e">
        <f t="shared" ca="1" si="1074"/>
        <v>#N/A</v>
      </c>
      <c r="DQ307" s="145" t="e">
        <f ca="1">IF(AND($CP307&gt;=0,$CP307&lt;=90),Control!$C$111,Control!$C$111)</f>
        <v>#N/A</v>
      </c>
      <c r="DR307" s="145" t="e">
        <f t="shared" ca="1" si="951"/>
        <v>#N/A</v>
      </c>
      <c r="DS307" s="143" t="e">
        <f ca="1">Control!$B$22/$DR307</f>
        <v>#N/A</v>
      </c>
      <c r="DT307" s="149" t="e">
        <f ca="1">IF(AND(Control!$C$114=1,$KH307&lt;1),$IM307*$DF307, 0)</f>
        <v>#N/A</v>
      </c>
      <c r="DU307" s="144" t="e">
        <f t="shared" ca="1" si="1075"/>
        <v>#N/A</v>
      </c>
      <c r="DV307" s="144">
        <f ca="1">IF($G307-Control!$C$107&lt;=0, 0, 0.83*LN(MAX($G307, 3))-0.8924)</f>
        <v>0</v>
      </c>
      <c r="DW307" s="144" t="e">
        <f t="shared" ca="1" si="952"/>
        <v>#N/A</v>
      </c>
      <c r="DX307" s="150" t="e">
        <f ca="1">MAX(0.01*(1+$CU307/Control!$C$102),0.05*($DK307-Control!$C$97)/Control!$C$97)</f>
        <v>#N/A</v>
      </c>
      <c r="DY307" s="151" t="e">
        <f ca="1">IF(Control!$C$114=1, $DI307*$FS307, 0)</f>
        <v>#N/A</v>
      </c>
      <c r="DZ307" s="196" t="e">
        <f t="shared" ca="1" si="1076"/>
        <v>#N/A</v>
      </c>
      <c r="EA307" s="152">
        <f t="shared" ca="1" si="1077"/>
        <v>303</v>
      </c>
      <c r="EB307" s="153" t="e">
        <f t="shared" ca="1" si="1078"/>
        <v>#N/A</v>
      </c>
      <c r="EC307" s="153" t="e">
        <f t="shared" ca="1" si="1079"/>
        <v>#N/A</v>
      </c>
      <c r="ED307" s="154" t="e">
        <f ca="1">IF(Control!$C$114=1, $HM307*$FY307-$FD307, 0)</f>
        <v>#DIV/0!</v>
      </c>
      <c r="EE307" s="155" t="e">
        <f ca="1">IF(Control!$C$114=1, $HM307*$FZ307-$FF307, 0)</f>
        <v>#DIV/0!</v>
      </c>
      <c r="EF307" s="153" t="e">
        <f t="shared" ca="1" si="1133"/>
        <v>#N/A</v>
      </c>
      <c r="EG307" s="155" t="e">
        <f ca="1">IF(Control!$C$114=1, $GX307*$FW307-$FI307, 0)</f>
        <v>#DIV/0!</v>
      </c>
      <c r="EH307" s="153" t="e">
        <f t="shared" ca="1" si="1080"/>
        <v>#N/A</v>
      </c>
      <c r="EI307" s="156" t="e">
        <f t="shared" ca="1" si="1081"/>
        <v>#N/A</v>
      </c>
      <c r="EJ307" s="155" t="e">
        <f ca="1">IF(Control!$C$114=1, $HM307*$GB307, 0)</f>
        <v>#DIV/0!</v>
      </c>
      <c r="EK307" s="153" t="e">
        <f t="shared" ca="1" si="1134"/>
        <v>#N/A</v>
      </c>
      <c r="EL307" s="153" t="e">
        <f t="shared" ca="1" si="953"/>
        <v>#N/A</v>
      </c>
      <c r="EM307" s="153" t="e">
        <f t="shared" ca="1" si="954"/>
        <v>#N/A</v>
      </c>
      <c r="EN307" s="153" t="e">
        <f ca="1">IF(Control!$C$108=1,IF(AND(Control!$B$18=1,$EB307&gt;=Control!$B$19),$EB307-$DS307,IF(AND(Control!$B$18=2,$AW307=1,$EB307&gt;$DS307),$EB307-$DS307,0)))</f>
        <v>#N/A</v>
      </c>
      <c r="EO307" s="153" t="e">
        <f ca="1">IF(Control!$C$108=1,IF(AND(Control!$B$18=1,$EB307&gt;=Control!$B$19),$EF307,IF(AND(Control!$B$18=2,$AW307=1),$EF307,0)))</f>
        <v>#N/A</v>
      </c>
      <c r="EP307" s="153" t="e">
        <f ca="1">IF(Control!$C$108=1,IF(AND(Control!$B$18=1,$EB307&gt;=Control!$B$19),$EK307,IF(AND(Control!$B$18=2,$AW307=1),$EK307,0)))</f>
        <v>#N/A</v>
      </c>
      <c r="EQ307" s="153" t="e">
        <f t="shared" ca="1" si="1082"/>
        <v>#N/A</v>
      </c>
      <c r="ER307" s="153" t="e">
        <f t="shared" ca="1" si="1083"/>
        <v>#N/A</v>
      </c>
      <c r="ES307" s="153" t="e">
        <f t="shared" ca="1" si="1135"/>
        <v>#N/A</v>
      </c>
      <c r="ET307" s="153" t="e">
        <f t="shared" ca="1" si="1136"/>
        <v>#N/A</v>
      </c>
      <c r="EU307" s="153" t="e">
        <f t="shared" ca="1" si="1084"/>
        <v>#N/A</v>
      </c>
      <c r="EV307" s="153" t="e">
        <f t="shared" ca="1" si="955"/>
        <v>#N/A</v>
      </c>
      <c r="EW307" s="153" t="e">
        <f t="shared" ca="1" si="956"/>
        <v>#N/A</v>
      </c>
      <c r="EX307" s="153" t="e">
        <f t="shared" ca="1" si="957"/>
        <v>#N/A</v>
      </c>
      <c r="EY307" s="157" t="e">
        <f t="shared" ca="1" si="958"/>
        <v>#DIV/0!</v>
      </c>
      <c r="EZ307" s="154" t="e">
        <f t="shared" ca="1" si="959"/>
        <v>#DIV/0!</v>
      </c>
      <c r="FA307" s="153" t="e">
        <f t="shared" ca="1" si="1085"/>
        <v>#N/A</v>
      </c>
      <c r="FB307" s="153" t="e">
        <f t="shared" ca="1" si="960"/>
        <v>#N/A</v>
      </c>
      <c r="FC307" s="193" t="e">
        <f t="shared" ca="1" si="961"/>
        <v>#N/A</v>
      </c>
      <c r="FD307" s="158" t="e">
        <f t="shared" ca="1" si="1086"/>
        <v>#N/A</v>
      </c>
      <c r="FE307" s="158" t="e">
        <f t="shared" ca="1" si="1087"/>
        <v>#N/A</v>
      </c>
      <c r="FF307" s="159" t="e">
        <f t="shared" ca="1" si="962"/>
        <v>#N/A</v>
      </c>
      <c r="FG307" s="160" t="e">
        <f t="shared" ca="1" si="1088"/>
        <v>#N/A</v>
      </c>
      <c r="FH307" s="158" t="e">
        <f t="shared" ca="1" si="1089"/>
        <v>#N/A</v>
      </c>
      <c r="FI307" s="159" t="e">
        <f t="shared" ca="1" si="963"/>
        <v>#N/A</v>
      </c>
      <c r="FJ307" s="160" t="e">
        <f t="shared" ca="1" si="1090"/>
        <v>#N/A</v>
      </c>
      <c r="FK307" s="160" t="e">
        <f t="shared" ca="1" si="964"/>
        <v>#N/A</v>
      </c>
      <c r="FL307" s="160" t="e">
        <f t="shared" ca="1" si="1137"/>
        <v>#N/A</v>
      </c>
      <c r="FM307" s="160" t="e">
        <f t="shared" ca="1" si="965"/>
        <v>#N/A</v>
      </c>
      <c r="FN307" s="158">
        <f t="shared" ca="1" si="1091"/>
        <v>0.01</v>
      </c>
      <c r="FO307" s="160">
        <f>Control!$C$101</f>
        <v>50</v>
      </c>
      <c r="FP307" s="150" t="e">
        <f t="shared" ca="1" si="966"/>
        <v>#N/A</v>
      </c>
      <c r="FQ307" s="150" t="e">
        <f ca="1">MAX(0,(Control!$C$112*(($DK307-Control!$C$97)/Control!$C$97)))</f>
        <v>#N/A</v>
      </c>
      <c r="FR307" s="150" t="e">
        <f ca="1">(1-$NT307)*Control!$C$113</f>
        <v>#DIV/0!</v>
      </c>
      <c r="FS307" s="198" t="e">
        <f t="shared" ca="1" si="967"/>
        <v>#N/A</v>
      </c>
      <c r="FT307" s="161">
        <f t="shared" ca="1" si="1092"/>
        <v>303</v>
      </c>
      <c r="FU307" s="162" t="e">
        <f ca="1">IF(Control!$B$34=1,VLOOKUP($CP307,Control!$B$86:$G$91,6),Control!$B$35)</f>
        <v>#N/A</v>
      </c>
      <c r="FV307" s="162" t="e">
        <f t="shared" ca="1" si="968"/>
        <v>#DIV/0!</v>
      </c>
      <c r="FW307" s="162" t="e">
        <f ca="1">IF(Control!$B$31=1,$FU307*$FV307,  $FU307)</f>
        <v>#N/A</v>
      </c>
      <c r="FX307" s="162" t="e">
        <f ca="1">IF(Control!$B$34=1,VLOOKUP($CP307,Control!$B$86:$G$91,3),Control!$B$36)</f>
        <v>#N/A</v>
      </c>
      <c r="FY307" s="162" t="e">
        <f t="shared" ca="1" si="969"/>
        <v>#N/A</v>
      </c>
      <c r="FZ307" s="162" t="e">
        <f ca="1">IF(Control!$B$34=1,VLOOKUP($CP307,Control!$B$86:$G$91,4),Control!$B$37)</f>
        <v>#N/A</v>
      </c>
      <c r="GA307" s="162" t="e">
        <f t="shared" ca="1" si="970"/>
        <v>#N/A</v>
      </c>
      <c r="GB307" s="162" t="e">
        <f ca="1">IF(Control!$B$34=1,VLOOKUP($CP307,Control!$B$86:$G$91,5),Control!$B$38)</f>
        <v>#N/A</v>
      </c>
      <c r="GC307" s="162" t="e">
        <f t="shared" ca="1" si="1093"/>
        <v>#N/A</v>
      </c>
      <c r="GD307" s="162">
        <f t="shared" ca="1" si="971"/>
        <v>1</v>
      </c>
      <c r="GE307" s="162">
        <f t="shared" ca="1" si="972"/>
        <v>1</v>
      </c>
      <c r="GF307" s="162">
        <f ca="1">IF(AND(Control!$C$104=1, Control!$C$62="F"),$GE307,1)</f>
        <v>1</v>
      </c>
      <c r="GG307" s="162" t="e">
        <f ca="1">IF(Control!$B$16=40,0,IF(AND(Control!$B$16&gt;40,Control!$B$16&lt;=360),(Control!$B$16-40)*((1-0)/(360-40)),IF(AND(Control!$B$16&gt;360,Control!$B$16&lt;=720),(1+(Control!$B$16-360)*((1.25-1)/(720-360))),IF(AND(Control!$B$16&gt;720,Control!$B$16&lt;=1000),(1.25+(Control!$B$16-720)*((1.35-1.25)/(1000-720))),IF(AND(Control!$B$16&gt;1000,Control!$B$16&lt;=2000),(1.35+(Control!$B$16-1000)*0))))))</f>
        <v>#N/A</v>
      </c>
      <c r="GH307" s="162" t="e">
        <f t="shared" ca="1" si="973"/>
        <v>#N/A</v>
      </c>
      <c r="GI307" s="162">
        <f t="shared" ca="1" si="1094"/>
        <v>0</v>
      </c>
      <c r="GJ307" s="162">
        <f t="shared" ca="1" si="974"/>
        <v>0</v>
      </c>
      <c r="GK307" s="162">
        <f t="shared" ca="1" si="1095"/>
        <v>1</v>
      </c>
      <c r="GL307" s="162">
        <f t="shared" ca="1" si="975"/>
        <v>1</v>
      </c>
      <c r="GM307" s="162" t="e">
        <f ca="1">MAX(0,MIN(1,1-Control!$C$156*(1.0001-$KH307)^2))</f>
        <v>#N/A</v>
      </c>
      <c r="GN307" s="162" t="e">
        <f ca="1">IF(Control!$B$26=1,$KU307,$KX307)</f>
        <v>#N/A</v>
      </c>
      <c r="GO307" s="162" t="e">
        <f ca="1">IF($CP307&lt;=60,Control!$C$105,IF($CP307&gt;=90,Control!$C$106,Control!$C$105+($CP307-60)*((Control!$C$106-Control!$C$105)/(90-60))))</f>
        <v>#N/A</v>
      </c>
      <c r="GP307" s="162" t="e">
        <f t="shared" ca="1" si="976"/>
        <v>#N/A</v>
      </c>
      <c r="GQ307" s="162" t="e">
        <f t="shared" ca="1" si="1096"/>
        <v>#N/A</v>
      </c>
      <c r="GR307" s="163" t="e">
        <f t="shared" ca="1" si="977"/>
        <v>#DIV/0!</v>
      </c>
      <c r="GS307" s="162" t="e">
        <f t="shared" ca="1" si="978"/>
        <v>#DIV/0!</v>
      </c>
      <c r="GT307" s="164" t="e">
        <f t="shared" ca="1" si="1097"/>
        <v>#N/A</v>
      </c>
      <c r="GU307" s="162" t="e">
        <f t="shared" ca="1" si="1098"/>
        <v>#N/A</v>
      </c>
      <c r="GV307" s="162" t="e">
        <f t="shared" ca="1" si="979"/>
        <v>#N/A</v>
      </c>
      <c r="GW307" s="162" t="e">
        <f t="shared" ca="1" si="980"/>
        <v>#DIV/0!</v>
      </c>
      <c r="GX307" s="162" t="e">
        <f t="shared" ca="1" si="1099"/>
        <v>#DIV/0!</v>
      </c>
      <c r="GY307" s="162" t="e">
        <f t="shared" ca="1" si="1100"/>
        <v>#DIV/0!</v>
      </c>
      <c r="GZ307" s="165" t="e">
        <f t="shared" ca="1" si="981"/>
        <v>#N/A</v>
      </c>
      <c r="HA307" s="162" t="e">
        <f ca="1">IF(Control!$C$114=1, $DI307*$FS307, 0)</f>
        <v>#N/A</v>
      </c>
      <c r="HB307" s="162" t="e">
        <f ca="1">$FA307/Control!$C$64</f>
        <v>#N/A</v>
      </c>
      <c r="HC307" s="162" t="e">
        <f t="shared" ca="1" si="982"/>
        <v>#DIV/0!</v>
      </c>
      <c r="HD307" s="162">
        <f ca="1">-ASIN(SIN(23.45*Control!$C$139)*COS(2*Control!$C$138*($AH307+10)/365))</f>
        <v>-0.25152962616738311</v>
      </c>
      <c r="HE307" s="165">
        <f t="shared" ca="1" si="1101"/>
        <v>0</v>
      </c>
      <c r="HF307" s="166">
        <f ca="1">IF(AND(Control!$C$61="T",$HE307&gt;=Control!$C$103,Control!$C$114=0),$AH307,Control!$C$59)</f>
        <v>1</v>
      </c>
      <c r="HG307" s="166">
        <f ca="1">IF(AND(Control!$C$61="T",$HE307&gt;=Control!$C$103,Control!$C$114=0),$HF307,Control!$C$59)</f>
        <v>1</v>
      </c>
      <c r="HH307" s="165">
        <f ca="1">IF(AND(OR(Control!$C$60&lt;=0, $AH307= Control!$C$59, Control!$C$60 &gt;0, $AH307 = Control!$C$60)), Control!$C$59, IF(Control!$C$60&gt;0, 0))</f>
        <v>1</v>
      </c>
      <c r="HI307" s="165">
        <f ca="1">IF(AND(OR(Control!$C$60&lt;=0, $AH307= Control!$C$59, Control!$C$60 &gt;0, $AH307 = Control!$C$60)), Control!$C$60, IF(Control!$C$60&lt;=0, 0))</f>
        <v>0</v>
      </c>
      <c r="HJ307" s="166">
        <f ca="1">IF(AND(Control!$C$62="F",$CV307&gt;=Control!$C$102),$AH307,0)</f>
        <v>0</v>
      </c>
      <c r="HK307" s="165" t="e">
        <f t="shared" ca="1" si="1138"/>
        <v>#N/A</v>
      </c>
      <c r="HL307" s="166">
        <f ca="1">IF(AND(Control!$C$61="T",$HE307&gt;=Control!$C$103,Control!$C$114=0),$HF307,0)</f>
        <v>0</v>
      </c>
      <c r="HM307" s="201" t="e">
        <f t="shared" ca="1" si="983"/>
        <v>#DIV/0!</v>
      </c>
      <c r="HN307" s="215">
        <f t="shared" ca="1" si="1102"/>
        <v>303</v>
      </c>
      <c r="HO307" s="216" t="e">
        <f ca="1">IF(AND($CP307&gt;=0, $CP307&lt;=90), Control!$C$152, Control!$C$152)</f>
        <v>#N/A</v>
      </c>
      <c r="HP307" s="216" t="e">
        <f t="shared" ca="1" si="984"/>
        <v>#N/A</v>
      </c>
      <c r="HQ307" s="217" t="e">
        <f ca="1">IF(OR(Control!$B$26=1,Control!$B$26=2),$KV307,$KS307)</f>
        <v>#DIV/0!</v>
      </c>
      <c r="HR307" s="218" t="e">
        <f t="shared" ca="1" si="1139"/>
        <v>#DIV/0!</v>
      </c>
      <c r="HS307" s="216" t="e">
        <f ca="1">Control!$C$154*$HP307</f>
        <v>#N/A</v>
      </c>
      <c r="HT307" s="216" t="e">
        <f ca="1">Control!$C$155*$HP307</f>
        <v>#N/A</v>
      </c>
      <c r="HU307" s="217" t="e">
        <f ca="1">Control!$C$161*$FI307</f>
        <v>#N/A</v>
      </c>
      <c r="HV307" s="218" t="e">
        <f t="shared" ca="1" si="1103"/>
        <v>#N/A</v>
      </c>
      <c r="HW307" s="218" t="e">
        <f ca="1">Control!$C$160*$FF307+$IP307*$EO307</f>
        <v>#N/A</v>
      </c>
      <c r="HX307" s="218" t="e">
        <f t="shared" ca="1" si="1140"/>
        <v>#N/A</v>
      </c>
      <c r="HY307" s="219" t="e">
        <f ca="1">IF(Control!$C$114=1, $EB307*$FS307, 0)</f>
        <v>#N/A</v>
      </c>
      <c r="HZ307" s="91" t="e">
        <f t="shared" ca="1" si="985"/>
        <v>#N/A</v>
      </c>
      <c r="IA307" s="220" t="e">
        <f ca="1">Control!$C$153*$HO307</f>
        <v>#N/A</v>
      </c>
      <c r="IB307" s="218" t="e">
        <f t="shared" ca="1" si="986"/>
        <v>#N/A</v>
      </c>
      <c r="IC307" s="220" t="e">
        <f ca="1">Control!$C$153*$HT307</f>
        <v>#N/A</v>
      </c>
      <c r="ID307" s="218" t="e">
        <f t="shared" ca="1" si="987"/>
        <v>#N/A</v>
      </c>
      <c r="IE307" s="221" t="e">
        <f ca="1">($EB307*Control!$C$159+$EF307*Control!$C$160)/(IF($GZ307&lt;&gt;0,$GZ307,1))</f>
        <v>#N/A</v>
      </c>
      <c r="IF307" s="216" t="e">
        <f t="shared" ca="1" si="988"/>
        <v>#N/A</v>
      </c>
      <c r="IG307" s="91">
        <f ca="1">IF(OR(Control!$B$198=$AH307,Control!$B$199=$AH307, Control!$B$200=$AH307, Control!$B$201=$AH307, Control!$B$202=$AH307, Control!$B$203=$AH307, Control!$B$204=$AH307, Control!$B$205=$AH307, Control!$B$206=$AH307, Control!$B$207=$AH307), 1, 0)</f>
        <v>0</v>
      </c>
      <c r="IH307" s="91">
        <f ca="1">IF($IG307=0,0, VLOOKUP($AH307,Control!$B$198:$C$207,2))</f>
        <v>0</v>
      </c>
      <c r="II307" s="222">
        <f t="shared" ca="1" si="1104"/>
        <v>0</v>
      </c>
      <c r="IJ307" s="91">
        <f>Control!$C$121</f>
        <v>0.7</v>
      </c>
      <c r="IK307" s="218">
        <f t="shared" ca="1" si="989"/>
        <v>0</v>
      </c>
      <c r="IL307" s="217" t="e">
        <f t="shared" ca="1" si="1141"/>
        <v>#N/A</v>
      </c>
      <c r="IM307" s="223" t="e">
        <f ca="1">IF(AND(Control!$C$114=1,$KH307&lt;1),$EB307*Control!$C$148*(1-$KH307), 0)</f>
        <v>#N/A</v>
      </c>
      <c r="IN307" s="217" t="e">
        <f t="shared" ca="1" si="990"/>
        <v>#DIV/0!</v>
      </c>
      <c r="IO307" s="91" t="e">
        <f ca="1">MAX(0,$IL307-$EF307*Control!$C$160)</f>
        <v>#N/A</v>
      </c>
      <c r="IP307" s="220" t="e">
        <f t="shared" ca="1" si="991"/>
        <v>#N/A</v>
      </c>
      <c r="IQ307" s="217" t="e">
        <f t="shared" ca="1" si="1105"/>
        <v>#N/A</v>
      </c>
      <c r="IR307" s="218" t="e">
        <f t="shared" ca="1" si="992"/>
        <v>#N/A</v>
      </c>
      <c r="IS307" s="217" t="e">
        <f ca="1">Control!$C$159*MAX(0,$FD307-$EN307)</f>
        <v>#N/A</v>
      </c>
      <c r="IT307" s="217" t="e">
        <f t="shared" ca="1" si="1142"/>
        <v>#N/A</v>
      </c>
      <c r="IU307" s="217" t="e">
        <f t="shared" ca="1" si="1106"/>
        <v>#N/A</v>
      </c>
      <c r="IV307" s="217" t="e">
        <f t="shared" ca="1" si="1143"/>
        <v>#N/A</v>
      </c>
      <c r="IW307" s="217" t="e">
        <f ca="1">IF(OR($AW307=1,AND($AW307=0, Control!$B$18=1,$EN307&lt;&gt;0)), $IQ307-$IU307, $IQ307)</f>
        <v>#N/A</v>
      </c>
      <c r="IX307" s="218" t="e">
        <f t="shared" ca="1" si="993"/>
        <v>#N/A</v>
      </c>
      <c r="IY307" s="218" t="e">
        <f ca="1">MAX(0,$IQ307-$EB307*Control!$C$159)</f>
        <v>#N/A</v>
      </c>
      <c r="IZ307" s="218" t="e">
        <f t="shared" ca="1" si="994"/>
        <v>#N/A</v>
      </c>
      <c r="JA307" s="216" t="e">
        <f t="shared" ca="1" si="995"/>
        <v>#N/A</v>
      </c>
      <c r="JB307" s="217" t="e">
        <f t="shared" ca="1" si="996"/>
        <v>#N/A</v>
      </c>
      <c r="JC307" s="222" t="e">
        <f ca="1">MAX(Control!$C$157*$EK307-$JT307, 0)/Control!$C$162</f>
        <v>#N/A</v>
      </c>
      <c r="JD307" s="218" t="e">
        <f t="shared" ca="1" si="997"/>
        <v>#N/A</v>
      </c>
      <c r="JE307" s="218" t="e">
        <f t="shared" ca="1" si="998"/>
        <v>#N/A</v>
      </c>
      <c r="JF307" s="218" t="e">
        <f t="shared" ca="1" si="1107"/>
        <v>#N/A</v>
      </c>
      <c r="JG307" s="218" t="e">
        <f t="shared" ca="1" si="999"/>
        <v>#N/A</v>
      </c>
      <c r="JH307" s="217" t="e">
        <f t="shared" ca="1" si="1108"/>
        <v>#N/A</v>
      </c>
      <c r="JI307" s="217" t="e">
        <f t="shared" ca="1" si="1109"/>
        <v>#N/A</v>
      </c>
      <c r="JJ307" s="217" t="e">
        <f t="shared" ca="1" si="1144"/>
        <v>#N/A</v>
      </c>
      <c r="JK307" s="217" t="e">
        <f ca="1">IF(Control!$C$114=1,IF(Control!$B$24=0,MAX(0,$JI307)*$GN307/Control!$C$64,(MAX(0,MIN($JI307,$JJ307*$GN307/Control!$C$64),0))))</f>
        <v>#N/A</v>
      </c>
      <c r="JL307" s="217" t="e">
        <f ca="1">$IK307/Control!$C$64-$JK307+$HQ307</f>
        <v>#N/A</v>
      </c>
      <c r="JM307" s="217" t="e">
        <f ca="1">IF(Control!$C$114=1,($JB307/(IF($JI307&lt;&gt;0,$JI307,1)))*$JK307,0)</f>
        <v>#N/A</v>
      </c>
      <c r="JN307" s="217" t="e">
        <f ca="1">IF(Control!$C$114=1,($JG307/(IF($JI307&lt;&gt;0,$JI307,1)))*$JK307, 0)</f>
        <v>#N/A</v>
      </c>
      <c r="JO307" s="218" t="e">
        <f t="shared" ca="1" si="1000"/>
        <v>#N/A</v>
      </c>
      <c r="JP307" s="218" t="e">
        <f ca="1">MIN(($IY307+$IO307)*Control!$C$151, $JF307-$EH307*Control!$C$161)</f>
        <v>#N/A</v>
      </c>
      <c r="JQ307" s="218" t="e">
        <f t="shared" ca="1" si="1001"/>
        <v>#N/A</v>
      </c>
      <c r="JR307" s="217" t="e">
        <f ca="1">IF($CP307-Control!$C$150&lt;0, 0, $JQ307/Control!$C$162)</f>
        <v>#N/A</v>
      </c>
      <c r="JS307" s="218" t="e">
        <f t="shared" ca="1" si="1002"/>
        <v>#N/A</v>
      </c>
      <c r="JT307" s="218" t="e">
        <f t="shared" ca="1" si="1110"/>
        <v>#N/A</v>
      </c>
      <c r="JU307" s="218" t="e">
        <f t="shared" ca="1" si="1003"/>
        <v>#N/A</v>
      </c>
      <c r="JV307" s="218" t="e">
        <f t="shared" ca="1" si="1004"/>
        <v>#N/A</v>
      </c>
      <c r="JW307" s="216" t="e">
        <f t="shared" ca="1" si="1005"/>
        <v>#N/A</v>
      </c>
      <c r="JX307" s="91" t="e">
        <f t="shared" ca="1" si="1006"/>
        <v>#N/A</v>
      </c>
      <c r="JY307" s="218" t="e">
        <f t="shared" ca="1" si="1007"/>
        <v>#N/A</v>
      </c>
      <c r="JZ307" s="217" t="e">
        <f ca="1">IF(Control!$C$114=1,($IZ307/(IF($JI307&lt;&gt;0,$JI307,1)))*$JK307, 0)</f>
        <v>#N/A</v>
      </c>
      <c r="KA307" s="218" t="e">
        <f t="shared" ca="1" si="1145"/>
        <v>#N/A</v>
      </c>
      <c r="KB307" s="218" t="e">
        <f t="shared" ca="1" si="1111"/>
        <v>#N/A</v>
      </c>
      <c r="KC307" s="218" t="e">
        <f t="shared" ca="1" si="1008"/>
        <v>#N/A</v>
      </c>
      <c r="KD307" s="218" t="e">
        <f t="shared" ca="1" si="1009"/>
        <v>#N/A</v>
      </c>
      <c r="KE307" s="218" t="e">
        <f t="shared" ca="1" si="1010"/>
        <v>#N/A</v>
      </c>
      <c r="KF307" s="218" t="e">
        <f t="shared" ca="1" si="1011"/>
        <v>#N/A</v>
      </c>
      <c r="KG307" s="216" t="e">
        <f t="shared" ca="1" si="1012"/>
        <v>#N/A</v>
      </c>
      <c r="KH307" s="221" t="e">
        <f ca="1">IF(Control!$B$24=0,1,MAX(0.001,MIN(1,IF(($IF307-$IE307)&lt;&gt;0,($KG307-$IE307)/($IF307-$IE307),1))))</f>
        <v>#N/A</v>
      </c>
      <c r="KI307" s="222" t="e">
        <f ca="1">IF(Control!$C$114=1, $KI306+ $KH306, 0)</f>
        <v>#N/A</v>
      </c>
      <c r="KJ307" s="217" t="e">
        <f t="shared" ca="1" si="1013"/>
        <v>#N/A</v>
      </c>
      <c r="KK307" s="218" t="e">
        <f t="shared" ca="1" si="1014"/>
        <v>#N/A</v>
      </c>
      <c r="KL307" s="274" t="e">
        <f ca="1">IF(Control!$B$26=3,4000000000*EXP(-8400/($G307+273)),IF(Control!$B$26=4,4000000000*EXP(-8400/($G307+273))*($KT307),0))</f>
        <v>#DIV/0!</v>
      </c>
      <c r="KM307" s="274" t="e">
        <f ca="1">IF(Control!$B$26=3,5600000000000*EXP(-9800/($G307+273)),IF(Control!$B$26=4,5600000000000*EXP(-9800/($G307+273))*$KT307,0))</f>
        <v>#DIV/0!</v>
      </c>
      <c r="KN307" s="454" t="e">
        <f t="shared" ca="1" si="1112"/>
        <v>#DIV/0!</v>
      </c>
      <c r="KO307" s="274" t="e">
        <f t="shared" ca="1" si="1113"/>
        <v>#DIV/0!</v>
      </c>
      <c r="KP307" s="454" t="e">
        <f t="shared" ca="1" si="1015"/>
        <v>#DIV/0!</v>
      </c>
      <c r="KQ307" s="454" t="e">
        <f t="shared" ca="1" si="1016"/>
        <v>#DIV/0!</v>
      </c>
      <c r="KR307" s="454" t="e">
        <f t="shared" ca="1" si="1017"/>
        <v>#DIV/0!</v>
      </c>
      <c r="KS307" s="454" t="e">
        <f t="shared" ca="1" si="1018"/>
        <v>#DIV/0!</v>
      </c>
      <c r="KT307" s="455" t="e">
        <f t="shared" ca="1" si="1019"/>
        <v>#DIV/0!</v>
      </c>
      <c r="KU307" s="456" t="e">
        <f ca="1">IF($CP307-Control!$C$149&lt;0, IF($NT307-0.01&lt;0,0,1),0)</f>
        <v>#N/A</v>
      </c>
      <c r="KV307" s="456" t="e">
        <f ca="1">IF(Control!$C$114=1,MAX(0,MIN(Control!$C$125*$KW307*$GN307,$KW307)))</f>
        <v>#DIV/0!</v>
      </c>
      <c r="KW307" s="456" t="e">
        <f t="shared" ca="1" si="1146"/>
        <v>#DIV/0!</v>
      </c>
      <c r="KX307" s="457" t="e">
        <f ca="1">IF($CP307-Control!$C$149&lt;0, IF($MR307-$OM307&lt;0,0,1),0)</f>
        <v>#N/A</v>
      </c>
      <c r="KY307" s="167">
        <f t="shared" ca="1" si="1114"/>
        <v>303</v>
      </c>
      <c r="KZ307" s="168">
        <f ca="1">1370*(1+0.033*COS(2*Control!$C$138*$AH307/365))</f>
        <v>1391.8146579953104</v>
      </c>
      <c r="LA307" s="169">
        <f t="shared" ca="1" si="1115"/>
        <v>1.0159227554781203</v>
      </c>
      <c r="LB307" s="169">
        <f t="shared" ca="1" si="1116"/>
        <v>-0.25854524132682943</v>
      </c>
      <c r="LC307" s="169">
        <f ca="1">ACOS(-TAN((2*Control!$B$8/360))*TAN(Calculations!$LB307))</f>
        <v>1.4921155125380823</v>
      </c>
      <c r="LD307" s="169">
        <f ca="1">((24*60)/PI())*0.082*$LA307*(($LC307*SIN(Control!$B$8*2*PI()/360))*SIN($LB307)+COS(Control!$B$8*2*PI()/360)*COS($LB307)*SIN($LC307))</f>
        <v>11.177923708638119</v>
      </c>
      <c r="LE307" s="170">
        <f t="shared" ca="1" si="1020"/>
        <v>12.235916186273053</v>
      </c>
      <c r="LF307" s="170">
        <f ca="1">SIN(Control!$C$139*Control!$B$8)*SIN($HD307)</f>
        <v>-0.19612496713125233</v>
      </c>
      <c r="LG307" s="170">
        <f ca="1">COS(Control!$C$139*Control!$B$8)*COS($HD307)</f>
        <v>0.59628674527508008</v>
      </c>
      <c r="LH307" s="170">
        <f ca="1">12*(1+2*ASIN(MAX(-1,MIN(1,$LF307/$LG307))/Control!$C$138))</f>
        <v>9.4827017159498261</v>
      </c>
      <c r="LI307" s="170">
        <f ca="1">12*(1+2*ASIN(MAX(-1,MIN(1,(-SIN(-4*Control!$C$139)+$LF307)/$LG307))/Control!$C$138))</f>
        <v>10.379782282485689</v>
      </c>
      <c r="LJ307" s="168">
        <f ca="1">3600*($LH307*$LF307+24*$LG307*SQRT(1-$LK307*$LK307)/Control!$C$138)</f>
        <v>8791.340223343359</v>
      </c>
      <c r="LK307" s="170">
        <f t="shared" ca="1" si="1021"/>
        <v>-0.32891049262008265</v>
      </c>
      <c r="LL307" s="170">
        <f t="shared" ca="1" si="1022"/>
        <v>0</v>
      </c>
      <c r="LM307" s="171">
        <f ca="1">Control!$C$145*$AB307</f>
        <v>6.6660906138995932E-2</v>
      </c>
      <c r="LN307" s="170">
        <f t="shared" ca="1" si="1117"/>
        <v>0.54</v>
      </c>
      <c r="LO307" s="170">
        <f t="shared" ca="1" si="1023"/>
        <v>0</v>
      </c>
      <c r="LP307" s="170">
        <f ca="1">Control!$C$140*((($D307+273.16)^4+($E307+273.16)^4)/2)*(0.34-0.14*SQRT($Y307))*(1.35*$AQ307/(0.75*$LD307)-0.35)</f>
        <v>-3.2464704755046001</v>
      </c>
      <c r="LQ307" s="170">
        <f ca="1">Control!$C$140*($G307+273)^4*(0.56-0.079*SQRT($Y307*10))*(0.1+0.9*$LO307)</f>
        <v>1.5241745131704001</v>
      </c>
      <c r="LR307" s="170">
        <f ca="1">$AQ307*(1-Control!$C$142)-$LQ307</f>
        <v>-1.5241745131704001</v>
      </c>
      <c r="LS307" s="170">
        <f ca="1">$AQ307*(1-Control!$C$143)-$LQ307</f>
        <v>-1.5241745131704001</v>
      </c>
      <c r="LT307" s="170">
        <f ca="1">$AQ307*(1-Control!$C$144)-$LQ307</f>
        <v>-1.5241745131704001</v>
      </c>
      <c r="LU307" s="169">
        <f ca="1">(1-Control!$C$144)*AQ307-LP307</f>
        <v>3.2464704755046001</v>
      </c>
      <c r="LV307" s="172">
        <f t="shared" ca="1" si="1024"/>
        <v>0.79430000000000012</v>
      </c>
      <c r="LW307" s="170">
        <f t="shared" ca="1" si="1025"/>
        <v>1.5886000000000002</v>
      </c>
      <c r="LX307" s="170">
        <f ca="1">($AC307*($LR307/Control!$C$141)+$LM307*$LV307)/($AC307+$LM307)</f>
        <v>0.23530094218323697</v>
      </c>
      <c r="LY307" s="170">
        <f ca="1">($AC307*($LS307/Control!$C$141)+$LM307*$LV307)/($AC307+$LM307)</f>
        <v>0.23530094218323697</v>
      </c>
      <c r="LZ307" s="170">
        <f t="shared" ca="1" si="1026"/>
        <v>0.23530094218323697</v>
      </c>
      <c r="MA307" s="170">
        <f t="shared" ca="1" si="1027"/>
        <v>0.23530094218323697</v>
      </c>
      <c r="MB307" s="170" t="e">
        <f t="shared" ca="1" si="1028"/>
        <v>#N/A</v>
      </c>
      <c r="MC307" s="170">
        <f t="shared" ca="1" si="1118"/>
        <v>0.6018</v>
      </c>
      <c r="MD307" s="170">
        <f t="shared" ca="1" si="1029"/>
        <v>0.52989392535414004</v>
      </c>
      <c r="ME307" s="170">
        <f ca="1">($AC307*($LT307/Control!$C$141)+$LM307*$LW307)/($AC307+$LM307)</f>
        <v>0.71612369323045078</v>
      </c>
      <c r="MF307" s="170" t="e">
        <f ca="1">IF(Control!$B$16&gt;=1000,0.92,IF(AND(720&lt;=Control!$B$16,1000&gt;Control!$B$16),(0.95+(Control!$B$16-720)*((0.92-0.95)/(1000-720))),IF(AND(360&lt;=Control!$B$16,720&gt;Control!$B$16),(1+(Control!$B$16-360)*((0.95-1)/(720-360))),IF(AND(40&lt;=Control!$B$16,360&gt;Control!$B$16),(1.05+(Control!$B$16-40)*((1.05-1)/(360-40)))))))</f>
        <v>#N/A</v>
      </c>
      <c r="MG307" s="170">
        <f t="shared" ca="1" si="1030"/>
        <v>0.71612369323045078</v>
      </c>
      <c r="MH307" s="170" t="e">
        <f t="shared" ca="1" si="1157"/>
        <v>#N/A</v>
      </c>
      <c r="MI307" s="170" t="e">
        <f t="shared" ca="1" si="1157"/>
        <v>#N/A</v>
      </c>
      <c r="MJ307" s="170" t="e">
        <f ca="1">MAX(0.0001, Control!$C$132*$MI307*$DL307)</f>
        <v>#N/A</v>
      </c>
      <c r="MK307" s="170">
        <f ca="1">1/(0.76+1.5*($MG307/10))-(5-Control!$C$110)*0.1</f>
        <v>1.002845988140797</v>
      </c>
      <c r="ML307" s="173">
        <f ca="1">IF(Control!$C$110&lt;3,$MK307+($MG307-0.6)/(Control!$C$110*(Control!$C$110+3)), MAX(0.1, MIN(0.95,$MK307)))</f>
        <v>0.95</v>
      </c>
      <c r="MM307" s="173">
        <f ca="1">IF(Control!$C$110&lt;3,$MK307+(($MI307/10)-0.6)/(Control!$C$110*(Control!$C$110+3)), MAX(0.1, MIN(0.95,$MK307)))</f>
        <v>0.95</v>
      </c>
      <c r="MN307" s="173">
        <f ca="1">(1-$MM307)*(Control!$C$128-Control!$C$127)+Control!$C$127</f>
        <v>0.16</v>
      </c>
      <c r="MO307" s="170" t="e">
        <f ca="1">MAX(0,MIN(1,($MS307-Control!$C$127)/($MN307-Control!$C$127)))</f>
        <v>#DIV/0!</v>
      </c>
      <c r="MP307" s="173" t="e">
        <f ca="1">1/(0.76+1.5*$MI307)-(5-Control!$C$110)*0.1</f>
        <v>#N/A</v>
      </c>
      <c r="MQ307" s="172" t="e">
        <f t="shared" ca="1" si="1147"/>
        <v>#DIV/0!</v>
      </c>
      <c r="MR307" s="168" t="e">
        <f t="shared" ca="1" si="1119"/>
        <v>#DIV/0!</v>
      </c>
      <c r="MS307" s="173" t="e">
        <f ca="1">MAX(Control!$C$127, MIN(Control!$C$135, $MR307/MAX(0.0001,$CY307)))</f>
        <v>#DIV/0!</v>
      </c>
      <c r="MT307" s="168" t="e">
        <f ca="1">(Control!$C$128-$MS307)*Control!$C$74</f>
        <v>#DIV/0!</v>
      </c>
      <c r="MU307" s="168" t="e">
        <f ca="1">(Control!$C$135-$MS307)*Control!$C$74</f>
        <v>#DIV/0!</v>
      </c>
      <c r="MV307" s="168" t="e">
        <f t="shared" ca="1" si="1120"/>
        <v>#DIV/0!</v>
      </c>
      <c r="MW307" s="168" t="e">
        <f t="shared" ca="1" si="1121"/>
        <v>#DIV/0!</v>
      </c>
      <c r="MX307" s="171" t="e">
        <f ca="1">MAX(Control!$C$127, MIN(Control!$C$135, $MW307/MAX(0.0001,Control!$C$119-$CY307)))</f>
        <v>#DIV/0!</v>
      </c>
      <c r="MY307" s="54" t="e">
        <f ca="1">IF(Control!$C$114=1, $CX307*$MX307, 0)</f>
        <v>#DIV/0!</v>
      </c>
      <c r="MZ307" s="54" t="e">
        <f t="shared" ca="1" si="1122"/>
        <v>#N/A</v>
      </c>
      <c r="NA307" s="168" t="e">
        <f ca="1">(Control!$C$128-$MX307)*(Control!$C$119-Control!$C$74)</f>
        <v>#DIV/0!</v>
      </c>
      <c r="NB307" s="168" t="e">
        <f ca="1">(Control!$C$135-$MX307)*(Control!$C$119-Control!$C$74)</f>
        <v>#DIV/0!</v>
      </c>
      <c r="NC307" s="174" t="e">
        <f t="shared" ca="1" si="1123"/>
        <v>#DIV/0!</v>
      </c>
      <c r="ND307" s="54">
        <f ca="1">IF(Control!$C$58=2, IF(OR(Control!$B$218=$AH307,Control!$B$219=$AH307, Control!$B$220=$AH307, Control!$B$221=$AH307, Control!$B$222=$AH307, Control!$B$223=$AH307, Control!$B$224=$AH307, Control!$B$225=$AH307, Control!$B$226=$AH307, Control!$B$227=$AH307, Control!$B$228=$AH307), 1, 0), 0)</f>
        <v>0</v>
      </c>
      <c r="NE307" s="54">
        <f ca="1">IF($ND307=0,0, VLOOKUP($AH307,Control!$B$218:$C$228,2))</f>
        <v>0</v>
      </c>
      <c r="NF307" s="168" t="e">
        <f ca="1">$CY307*(Control!$C$128-Control!$C$127)</f>
        <v>#N/A</v>
      </c>
      <c r="NG307" s="54" t="e">
        <f ca="1">IF(Control!$C$58=2, $NI306-$NJ306, 0)</f>
        <v>#DIV/0!</v>
      </c>
      <c r="NH307" s="54" t="e">
        <f ca="1">IF(AND(Control!$C$58=1, $MS306&lt;= ($MN306+0.02), $I306&lt;10), 0, IF(Control!$C$58=2, $NG306, 0))</f>
        <v>#DIV/0!</v>
      </c>
      <c r="NI307" s="54" t="e">
        <f ca="1">IF(Control!$C$58=2, $NE307+$NH307,0)</f>
        <v>#DIV/0!</v>
      </c>
      <c r="NJ307" s="54" t="e">
        <f ca="1">IF(AND(Control!$C$58=1, $MS307&lt;= ($MN307+0.02), $I307&lt;10), MAX(0, MIN(10, 0.7*($NF307-$MV307))), IF(Control!$C$58=2, MIN(10,$NI307),0))</f>
        <v>#DIV/0!</v>
      </c>
      <c r="NK307" s="54" t="e">
        <f t="shared" ca="1" si="1031"/>
        <v>#DIV/0!</v>
      </c>
      <c r="NL307" s="173" t="e">
        <f ca="1">(1-Control!$C$73)*$I307+$NJ307</f>
        <v>#DIV/0!</v>
      </c>
      <c r="NM307" s="172" t="e">
        <f ca="1">IF($NL307&lt;0.5, $MB307* MAX(0, MIN(1, (SQRT($NC307)-SQRT($NC307-1))*Control!$C$71)),0)</f>
        <v>#DIV/0!</v>
      </c>
      <c r="NN307" s="170" t="e">
        <f ca="1">IF($NL307&gt;=5, $MB307, MAX(0,MIN($MB307, $NM307+$NL307,($MS307-Control!$C$129))))</f>
        <v>#DIV/0!</v>
      </c>
      <c r="NO307" s="54">
        <f>IF(Control!$C$133&lt;&gt;1, Control!$C$135-Control!$C$131, 0)</f>
        <v>0.38</v>
      </c>
      <c r="NP307" s="54" t="e">
        <f t="shared" ca="1" si="1032"/>
        <v>#DIV/0!</v>
      </c>
      <c r="NQ307" s="173" t="e">
        <f ca="1">MAX(0,MIN(1,(Control!$C$135-$MS307)/(Control!$C$135-$NO307)))</f>
        <v>#DIV/0!</v>
      </c>
      <c r="NR307" s="170" t="e">
        <f ca="1">IF(Control!$C$133&lt;&gt;1, $NQ307+((1-$NP307/4)*(1-$NQ307)),1)</f>
        <v>#DIV/0!</v>
      </c>
      <c r="NS307" s="170" t="e">
        <f ca="1">IF(Control!$B$31=0,$MJ307,MAX(0,MIN($MV307,$MO307*$NR307*$MJ307)))</f>
        <v>#DIV/0!</v>
      </c>
      <c r="NT307" s="170" t="e">
        <f t="shared" ca="1" si="1148"/>
        <v>#DIV/0!</v>
      </c>
      <c r="NU307" s="170" t="e">
        <f t="shared" ca="1" si="1124"/>
        <v>#N/A</v>
      </c>
      <c r="NV307" s="170" t="e">
        <f t="shared" ca="1" si="1033"/>
        <v>#N/A</v>
      </c>
      <c r="NW307" s="175" t="e">
        <f t="shared" ca="1" si="1034"/>
        <v>#DIV/0!</v>
      </c>
      <c r="NX307" s="170" t="e">
        <f ca="1">MIN(Control!$C$72+$MU307, $NW307)</f>
        <v>#DIV/0!</v>
      </c>
      <c r="NY307" s="170" t="e">
        <f ca="1">IF($MT307&lt;=$NX307,MIN(Control!$C$72+$NB307,$NX307-$MT307),0)</f>
        <v>#DIV/0!</v>
      </c>
      <c r="NZ307" s="54" t="e">
        <f ca="1">IF(Control!$C$114=1,  $CX307*($MX307-Control!$C$127), 0)</f>
        <v>#DIV/0!</v>
      </c>
      <c r="OA307" s="170" t="e">
        <f t="shared" ca="1" si="1035"/>
        <v>#DIV/0!</v>
      </c>
      <c r="OB307" s="170" t="e">
        <f ca="1">IF($NA307 &lt;=$NY307, MIN(Control!$C$72, $NY307-$NA307), 0)</f>
        <v>#DIV/0!</v>
      </c>
      <c r="OC307" s="168" t="e">
        <f t="shared" ca="1" si="1036"/>
        <v>#DIV/0!</v>
      </c>
      <c r="OD307" s="168" t="e">
        <f t="shared" ca="1" si="1125"/>
        <v>#DIV/0!</v>
      </c>
      <c r="OE307" s="170">
        <f ca="1">Control!$C$73*$I307</f>
        <v>0</v>
      </c>
      <c r="OF307" s="176" t="e">
        <f t="shared" ca="1" si="1037"/>
        <v>#DIV/0!</v>
      </c>
      <c r="OG307" s="168" t="e">
        <f t="shared" ca="1" si="1038"/>
        <v>#DIV/0!</v>
      </c>
      <c r="OH307" s="168" t="e">
        <f t="shared" ca="1" si="1039"/>
        <v>#DIV/0!</v>
      </c>
      <c r="OI307" s="168" t="e">
        <f t="shared" ca="1" si="1040"/>
        <v>#DIV/0!</v>
      </c>
      <c r="OJ307" s="168" t="e">
        <f t="shared" ca="1" si="1041"/>
        <v>#DIV/0!</v>
      </c>
      <c r="OK307" s="204" t="e">
        <f t="shared" ca="1" si="1042"/>
        <v>#DIV/0!</v>
      </c>
      <c r="OL307" s="177">
        <f>Control!$C$127</f>
        <v>0.15</v>
      </c>
      <c r="OM307" s="182" t="e">
        <f t="shared" ca="1" si="1043"/>
        <v>#N/A</v>
      </c>
      <c r="ON307" s="177">
        <f>Control!$C$128</f>
        <v>0.35</v>
      </c>
      <c r="OO307" s="182" t="e">
        <f t="shared" ca="1" si="1044"/>
        <v>#N/A</v>
      </c>
      <c r="OP307" s="138">
        <f t="shared" ca="1" si="1126"/>
        <v>0</v>
      </c>
      <c r="OQ307" s="138" t="e">
        <f t="shared" ca="1" si="1149"/>
        <v>#DIV/0!</v>
      </c>
      <c r="OR307" s="138" t="e">
        <f t="shared" ca="1" si="1127"/>
        <v>#DIV/0!</v>
      </c>
      <c r="OS307" s="137" t="e">
        <f t="shared" ca="1" si="1150"/>
        <v>#DIV/0!</v>
      </c>
      <c r="OT307" s="139" t="e">
        <f t="shared" ca="1" si="1151"/>
        <v>#DIV/0!</v>
      </c>
      <c r="OU307" s="138" t="e">
        <f t="shared" ca="1" si="1152"/>
        <v>#N/A</v>
      </c>
      <c r="OV307" s="138" t="e">
        <f t="shared" ca="1" si="1153"/>
        <v>#DIV/0!</v>
      </c>
      <c r="OW307" s="138" t="e">
        <f t="shared" ca="1" si="1128"/>
        <v>#DIV/0!</v>
      </c>
      <c r="OX307" s="138" t="e">
        <f t="shared" ca="1" si="1129"/>
        <v>#DIV/0!</v>
      </c>
      <c r="OY307" s="138" t="e">
        <f t="shared" ca="1" si="1130"/>
        <v>#DIV/0!</v>
      </c>
      <c r="OZ307" s="138" t="e">
        <f t="shared" ca="1" si="1045"/>
        <v>#DIV/0!</v>
      </c>
      <c r="PA307" s="138" t="e">
        <f t="shared" ca="1" si="1046"/>
        <v>#DIV/0!</v>
      </c>
      <c r="PB307" s="55">
        <f>IF(Control!$C$61="T", IF(Control!$C$65="F", IF($AH$6-Control!$C$60&lt;0,0,1), IF(365+$AH$6-Control!$C$60&lt;0,0,1)),0)</f>
        <v>0</v>
      </c>
      <c r="PC307" s="55">
        <f ca="1">IF(Control!$C$65="F", IF($AH$6-$HF307&lt;0,0,1), IF(365+$AH$6-$HF307&lt;0,0,1))</f>
        <v>1</v>
      </c>
      <c r="PD307" s="444">
        <f>Control!$C$118</f>
        <v>1500</v>
      </c>
      <c r="PE307" s="180" t="e">
        <f t="shared" ca="1" si="1047"/>
        <v>#N/A</v>
      </c>
      <c r="PF307" s="445">
        <f t="shared" ca="1" si="1131"/>
        <v>0.71612369323045078</v>
      </c>
      <c r="PT307" s="186"/>
      <c r="PU307" s="186"/>
      <c r="PV307" s="94"/>
      <c r="PW307" s="94"/>
      <c r="PX307" s="94"/>
      <c r="PY307" s="94"/>
      <c r="PZ307" s="94"/>
      <c r="QA307" s="94"/>
      <c r="QB307" s="94"/>
      <c r="QC307" s="94"/>
      <c r="QD307" s="94"/>
      <c r="QE307" s="94"/>
      <c r="QF307" s="94"/>
      <c r="QG307" s="94"/>
      <c r="QH307" s="94"/>
      <c r="QI307" s="94"/>
      <c r="QJ307" s="94"/>
      <c r="QK307" s="94"/>
      <c r="QL307" s="94"/>
      <c r="QM307" s="94"/>
      <c r="QN307" s="94"/>
      <c r="QO307" s="94"/>
      <c r="QP307" s="94"/>
    </row>
    <row r="308" spans="1:458" s="2" customFormat="1" x14ac:dyDescent="0.2">
      <c r="A308" s="395">
        <v>30</v>
      </c>
      <c r="B308" s="396">
        <v>10</v>
      </c>
      <c r="C308" s="387">
        <f ca="1">Weather_data!$B307</f>
        <v>0</v>
      </c>
      <c r="D308" s="388">
        <f ca="1">Weather_data!$F307</f>
        <v>0</v>
      </c>
      <c r="E308" s="388">
        <f ca="1">Weather_data!$E307</f>
        <v>0</v>
      </c>
      <c r="F308" s="388">
        <f t="shared" ca="1" si="1048"/>
        <v>0</v>
      </c>
      <c r="G308" s="388">
        <f ca="1">AVERAGE($D308:$E308)+Control!$B$9</f>
        <v>0</v>
      </c>
      <c r="H308" s="388">
        <f ca="1">Weather_data!$G307</f>
        <v>0</v>
      </c>
      <c r="I308" s="388">
        <f ca="1">Weather_data!$I307</f>
        <v>0</v>
      </c>
      <c r="J308" s="388">
        <f ca="1">Weather_data!$H307</f>
        <v>0</v>
      </c>
      <c r="K308" s="389">
        <f ca="1">Weather_data!$D307</f>
        <v>0</v>
      </c>
      <c r="L308" s="388" t="e">
        <f t="shared" ca="1" si="1049"/>
        <v>#N/A</v>
      </c>
      <c r="M308" s="388" t="e">
        <f t="shared" ca="1" si="927"/>
        <v>#N/A</v>
      </c>
      <c r="N308" s="388">
        <f t="shared" ca="1" si="928"/>
        <v>-7.5894072007334104E-15</v>
      </c>
      <c r="O308" s="388">
        <f t="shared" ca="1" si="1050"/>
        <v>7.5894072007334101E-14</v>
      </c>
      <c r="P308" s="390">
        <v>3</v>
      </c>
      <c r="Q308" s="388">
        <f ca="1">MAX($G308-Control!$C$107,0)</f>
        <v>0</v>
      </c>
      <c r="R308" s="388">
        <f t="shared" ca="1" si="1051"/>
        <v>0</v>
      </c>
      <c r="S308" s="388">
        <f t="shared" ca="1" si="929"/>
        <v>0</v>
      </c>
      <c r="T308" s="388">
        <f t="shared" ca="1" si="930"/>
        <v>0</v>
      </c>
      <c r="U308" s="59">
        <f t="shared" ca="1" si="931"/>
        <v>0</v>
      </c>
      <c r="V308" s="391">
        <f ca="1">MAX(0,MIN(Control!$C$100-Control!$C$99,$G308-Control!$C$99)*Control!$C$63)</f>
        <v>0</v>
      </c>
      <c r="W308" s="388">
        <f t="shared" ca="1" si="1052"/>
        <v>0</v>
      </c>
      <c r="X308" s="388">
        <f t="shared" ca="1" si="1053"/>
        <v>0.6110000000000001</v>
      </c>
      <c r="Y308" s="388">
        <f t="shared" ca="1" si="932"/>
        <v>0</v>
      </c>
      <c r="Z308" s="388">
        <f t="shared" ca="1" si="1054"/>
        <v>0.61058800000000002</v>
      </c>
      <c r="AA308" s="388">
        <f t="shared" ca="1" si="933"/>
        <v>0.6018</v>
      </c>
      <c r="AB308" s="388">
        <f ca="1">101.3*EXP(-0.034*Control!$C$66/($G308+273))</f>
        <v>100.69623283836242</v>
      </c>
      <c r="AC308" s="392">
        <f t="shared" ca="1" si="934"/>
        <v>4.3460251046025113E-2</v>
      </c>
      <c r="AD308" s="392">
        <f t="shared" ca="1" si="935"/>
        <v>4.4450382862832649E-2</v>
      </c>
      <c r="AE308" s="388">
        <f t="shared" ca="1" si="936"/>
        <v>0</v>
      </c>
      <c r="AF308" s="388">
        <f ca="1">MAX(0,$G308-Control!$C$92)</f>
        <v>0</v>
      </c>
      <c r="AG308" s="393">
        <f t="shared" ca="1" si="937"/>
        <v>304</v>
      </c>
      <c r="AH308" s="389">
        <f t="shared" ca="1" si="938"/>
        <v>304</v>
      </c>
      <c r="AI308" s="388">
        <f t="shared" ca="1" si="1055"/>
        <v>-0.25701412369343757</v>
      </c>
      <c r="AJ308" s="388">
        <f ca="1">IF(Control!$C$60&lt;=0,$HH308,$HI308)</f>
        <v>1</v>
      </c>
      <c r="AK308" s="388">
        <f t="shared" ca="1" si="939"/>
        <v>3.8559822159129515</v>
      </c>
      <c r="AL308" s="388">
        <f t="shared" ca="1" si="940"/>
        <v>-1.5508760942140042E-17</v>
      </c>
      <c r="AM308" s="388">
        <f t="shared" ca="1" si="941"/>
        <v>3.8559822159129515</v>
      </c>
      <c r="AN308" s="388">
        <f t="shared" ca="1" si="942"/>
        <v>-0.26366558237084098</v>
      </c>
      <c r="AO308" s="388">
        <f ca="1">-0.10453/COS(Control!$B$8*PI()/180)*COS(AN308)</f>
        <v>-0.16391729251503184</v>
      </c>
      <c r="AP308" s="388">
        <f ca="1">ACOS(AO308-TAN(Control!$B$8*PI()/180)*TAN(AN308))</f>
        <v>1.3881795739627152</v>
      </c>
      <c r="AQ308" s="388">
        <f t="shared" ca="1" si="1056"/>
        <v>0</v>
      </c>
      <c r="AR308" s="394">
        <f t="shared" ca="1" si="943"/>
        <v>0</v>
      </c>
      <c r="AS308" s="436">
        <f ca="1">IF(Control!$B$18=2,(IF(OR($AH308=Control!$B$175,$AH308=Control!$B$176,$AH308=Control!$B$177,$AH308=Control!$B$178,$AH308=Control!$B$179,$AH308=Control!$B$180,$AH308=Control!$B$181,$AH308=Control!$B$182,$AH308=Control!$B$183,$AH308=Control!$B$184,$AH308=Control!$B$185),1,0)),0)</f>
        <v>0</v>
      </c>
      <c r="AT308" s="436">
        <f>IF(Control!$B$20=8,IF(AND($AH308&gt;=Control!$B$172,$AH308&lt;=Control!$B$173),1,0),0)</f>
        <v>0</v>
      </c>
      <c r="AU308" s="436">
        <f>IF(Control!$B$20=8,IF($AV307=1,1*$AT308,IF($AT308=1,$AU307+1,$AU307)),0)</f>
        <v>0</v>
      </c>
      <c r="AV308" s="436">
        <f>IF(Control!$B$20=8,IF($AU308&gt;=Control!$B$174,1,0),0)</f>
        <v>0</v>
      </c>
      <c r="AW308" s="436">
        <f ca="1">IF(AND(Control!$B$18=2,Control!$B$171=1), $AV308, $AS308)</f>
        <v>0</v>
      </c>
      <c r="AX308" s="436" t="e">
        <f ca="1">IF(AND(Control!$B$18=1,$EU308&gt;=Control!$B$19),-$AY308,IF(AND(Control!$B$18=2,$AW308=1,$EU308&gt;$DS308),-$AY308, IF(Control!$C$108=0,0, IF(Control!$C$108&lt;&gt;0,1))))</f>
        <v>#N/A</v>
      </c>
      <c r="AY308" s="436" t="e">
        <f t="shared" ca="1" si="1057"/>
        <v>#N/A</v>
      </c>
      <c r="AZ308" s="436" t="e">
        <f ca="1">IF(AND(Control!$B$18=1,$EB308&gt;Control!$B$19),$AZ307+1, IF(AND(Control!$B$18=2, $AW308=1, $EB308&gt;$DS308), $AZ307+1,$AZ307))</f>
        <v>#N/A</v>
      </c>
      <c r="BA308" s="587">
        <f>IF(Control!$C$81=0,1,IF($AH308&gt;=Control!$C$82,1,0))</f>
        <v>1</v>
      </c>
      <c r="BB308" s="140" t="e">
        <f ca="1">IF($BA308&gt;$BA307,Control!$C$83,IF($AW308&gt;0,$AW308*Control!$C$84,IF(AND(Control!$B$18=1,EN307&lt;&gt;0),Control!$C$84,0)))</f>
        <v>#N/A</v>
      </c>
      <c r="BC308" s="140" t="e">
        <f t="shared" ca="1" si="1058"/>
        <v>#N/A</v>
      </c>
      <c r="BD308" s="140" t="e">
        <f ca="1">BC308*IF(OR($G308&lt;Control!$C$92,$G308&gt;Control!$C$95),0,IF(AND($G308&gt;=Control!$C$92,$G308&lt;=Control!$C$93),$G308-Control!$C$92,IF(AND($G308&gt;Control!$C$93,$G308&lt;=Control!$C$94),Control!$C$93-Control!$C$92,IF(AND($G308&gt;Control!$C$94,$G308&lt;=Control!$C$95),(Control!$C$93-Control!$C$92)*(Control!$C$94-$G308)/(Control!$C$95-Control!$C$94)))))</f>
        <v>#N/A</v>
      </c>
      <c r="BE308" s="140" t="e">
        <f t="shared" ca="1" si="1059"/>
        <v>#N/A</v>
      </c>
      <c r="BF308" s="140" t="e">
        <f ca="1">IF($BE308&lt;=Control!$C$86,$BE308,Control!$C$86-$BE308)</f>
        <v>#N/A</v>
      </c>
      <c r="BG308" s="140" t="e">
        <f ca="1">IF(AND($AW308=1,Control!$C$84&lt;9),1,IF($BE308&gt;=Control!$C$86,0,$BC308))</f>
        <v>#N/A</v>
      </c>
      <c r="BH308" s="404" t="e">
        <f ca="1">IF($BG308=0,0,IF($BE308&lt;=Control!$C$86,$BC308*9*($BF308/Control!$C$86),0))</f>
        <v>#N/A</v>
      </c>
      <c r="BI308" s="140" t="e">
        <f ca="1">IF($BG308=1,0,IF($BE308&gt;=Control!$C$86,1,IF(AND($BB308&lt;21,$BB308&gt;=9),1,$BM307)))</f>
        <v>#N/A</v>
      </c>
      <c r="BJ308" s="140" t="e">
        <f ca="1">IF($BF308&lt;0,-$BF308,$BI308*IF(OR($G308&lt;Control!$C$92,$G308&gt;Control!$C$95),0,IF(AND($G308&gt;=Control!$C$92,$G308&lt;=Control!$C$93),$G308-Control!$C$92,IF(AND($G308&gt;Control!$C$93,$G308&lt;=Control!$C$94),Control!$C$93-Control!$C$92,IF(AND($G308&gt;Control!$C$94,$G308&lt;=Control!$C$95),(Control!$C$93-Control!$C$92)*(Control!$C$94-$G308)/(Control!$C$95-Control!$C$94))))))</f>
        <v>#N/A</v>
      </c>
      <c r="BK308" s="140" t="e">
        <f t="shared" ca="1" si="1060"/>
        <v>#N/A</v>
      </c>
      <c r="BL308" s="140" t="e">
        <f ca="1">IF($BK308&lt;=Control!$C$87,$BK308,Control!$C$87-$BK308)</f>
        <v>#N/A</v>
      </c>
      <c r="BM308" s="140" t="e">
        <f ca="1">IF(AND($BB308&gt;=9,$BB308&lt;21),1,IF($BK308&gt;=Control!$C$87,0,$BI308))</f>
        <v>#N/A</v>
      </c>
      <c r="BN308" s="404" t="e">
        <f ca="1">IF($BM308=0,0,IF($BK308&lt;=Control!$C$87,$BI308*(9+(21-9)*($BL308/Control!$C$87)),0))</f>
        <v>#N/A</v>
      </c>
      <c r="BO308" s="140" t="e">
        <f ca="1">IF($BM308=1,0,IF($BK308&gt;=Control!$C$87,1,IF(AND($BB308&lt;30,$BB308&gt;=21),1,$BS307)))</f>
        <v>#N/A</v>
      </c>
      <c r="BP308" s="140" t="e">
        <f ca="1">IF($BL308&lt;0,-$BL308,$BO308*IF(OR($G308&lt;Control!$C$92,$G308&gt;Control!$C$95),0,IF(AND($G308&gt;=Control!$C$92,$G308&lt;=Control!$C$93),$G308-Control!$C$92,IF(AND($G308&gt;Control!$C$93,$G308&lt;=Control!$C$94),Control!$C$93-Control!$C$92,IF(AND($G308&gt;Control!$C$94,$G308&lt;=Control!$C$95),(Control!$C$93-Control!$C$92)*(Control!$C$94-$G308)/(Control!$C$95-Control!$C$94))))))</f>
        <v>#N/A</v>
      </c>
      <c r="BQ308" s="140" t="e">
        <f t="shared" ca="1" si="944"/>
        <v>#N/A</v>
      </c>
      <c r="BR308" s="140" t="e">
        <f ca="1">IF($BQ308&lt;=Control!$C$88,$BQ308,Control!$C$88-$BQ308)</f>
        <v>#N/A</v>
      </c>
      <c r="BS308" s="140" t="e">
        <f ca="1">IF(AND($BB308&gt;=21,$BB308&lt;30),1,IF($BQ308&gt;=Control!$C$88,0,$BO308))</f>
        <v>#N/A</v>
      </c>
      <c r="BT308" s="404" t="e">
        <f ca="1">IF($BS308=0,0,IF($BQ308&lt;=Control!$C$88,$BO308*(21+(30-21)*(BR308/Control!$C$88)),0))</f>
        <v>#N/A</v>
      </c>
      <c r="BU308" s="140" t="e">
        <f ca="1">IF(BG308+BM308+BS308=1,0,IF(OR(AND($BB308&lt;60,$BB308&gt;=30),$BQ308&gt;=Control!$C$88),1*$BA308,$BY307))</f>
        <v>#N/A</v>
      </c>
      <c r="BV308" s="140" t="e">
        <f ca="1">IF($BR308&lt;0,-$BR308,$BU308*IF(OR($G308&lt;Control!$C$92,$G308&gt;Control!$C$95),0,IF(AND($G308&gt;=Control!$C$92,$G308&lt;=Control!$C$93),$G308-Control!$C$92,IF(AND($G308&gt;Control!$C$93,$G308&lt;=Control!$C$94),Control!$C$93-Control!$C$92,IF(AND($G308&gt;Control!$C$94,$G308&lt;=Control!$C$95),(Control!$C$93-Control!$C$92)*(Control!$C$94-$G308)/(Control!$C$95-Control!$C$94))))))</f>
        <v>#N/A</v>
      </c>
      <c r="BW308" s="140" t="e">
        <f t="shared" ca="1" si="945"/>
        <v>#N/A</v>
      </c>
      <c r="BX308" s="140" t="e">
        <f ca="1">IF($BW308&lt;=Control!$C$89,$BW308,Control!$C$89-$BW308)</f>
        <v>#N/A</v>
      </c>
      <c r="BY308" s="140" t="e">
        <f ca="1">IF(AND($AJ308&gt;=30,$AJ308&lt;60),1,IF($BW308&gt;=Control!$C$89,0,$BU308))</f>
        <v>#N/A</v>
      </c>
      <c r="BZ308" s="404" t="e">
        <f ca="1">IF($BY308=0,0,IF($BW308&lt;=Control!$C$89,$BU308*(30+(60-30)*(BX308/Control!$C$89)),0))</f>
        <v>#N/A</v>
      </c>
      <c r="CA308" s="140" t="e">
        <f ca="1">IF($BG308+$BM308+$BS308+$BY308=1,0,IF(OR(AND($BB308&lt;65,$BB308&gt;=60),$BW308&gt;=Control!$C$89),1*$BA308,$CE307))</f>
        <v>#N/A</v>
      </c>
      <c r="CB308" s="140" t="e">
        <f ca="1">IF($BX308&lt;0,-$BX308,$CA308*IF(OR($G308&lt;Control!$C$92,$G308&gt;Control!$C$95),0,IF(AND($G308&gt;=Control!$C$92,$G308&lt;=Control!$C$93),$G308-Control!$C$92,IF(AND($G308&gt;Control!$C$93,$G308&lt;=Control!$C$94),Control!$C$93-Control!$C$92,IF(AND($G308&gt;Control!$C$94,$G308&lt;=Control!$C$95),(Control!$C$93-Control!$C$92)*(Control!$C$94-$G308)/(Control!$C$95-Control!$C$94))))))</f>
        <v>#N/A</v>
      </c>
      <c r="CC308" s="140" t="e">
        <f t="shared" ca="1" si="1061"/>
        <v>#N/A</v>
      </c>
      <c r="CD308" s="140" t="e">
        <f ca="1">IF($CC308&lt;=Control!$C$90,$CC308,Control!$C$90-$CC308)</f>
        <v>#N/A</v>
      </c>
      <c r="CE308" s="140" t="e">
        <f ca="1">IF(AND($BB308&gt;=60,$BB308&lt;65),1,IF($CC308&gt;=Control!$C$90,0,$CA308))</f>
        <v>#N/A</v>
      </c>
      <c r="CF308" s="404" t="e">
        <f ca="1">IF($CE308=0,0,IF($CC308&lt;=Control!$C$90,$CA308*(60+(65-60)*(CD308/Control!$C$90)),0))</f>
        <v>#N/A</v>
      </c>
      <c r="CG308" s="140" t="e">
        <f ca="1">IF($BG308+$BM308+$BS308+$BY308+$CE308=1,0,IF(OR(AND($BB308&lt;90,$BB308&gt;=65),$CC308&gt;=Control!$C$90),$BA308,$CK307))</f>
        <v>#N/A</v>
      </c>
      <c r="CH308" s="140" t="e">
        <f ca="1">IF($CD308&lt;0,-$CD308,$CG308*IF(OR($G308&lt;Control!$C$92,$G308&gt;Control!$C$95),0,IF(AND($G308&gt;=Control!$C$92,$G308&lt;=Control!$C$93),$G308-Control!$C$92,IF(AND($G308&gt;Control!$C$93,$G308&lt;=Control!$C$94),Control!$C$93-Control!$C$92,IF(AND($G308&gt;Control!$C$94,$G308&lt;=Control!$C$95),(Control!$C$93-Control!$C$92)*(Control!$C$94-$G308)/(Control!$C$95-Control!$C$94))))))</f>
        <v>#N/A</v>
      </c>
      <c r="CI308" s="140" t="e">
        <f t="shared" ca="1" si="1062"/>
        <v>#N/A</v>
      </c>
      <c r="CJ308" s="140" t="e">
        <f ca="1">IF($CI308&lt;=Control!$C$91,$CI308,Control!$C$91-$CI308)</f>
        <v>#N/A</v>
      </c>
      <c r="CK308" s="140" t="e">
        <f ca="1">IF(AND($BB308&gt;=65,$BB308&lt;90),1,IF($CI308&gt;=Control!$C$91,0,$CG308))</f>
        <v>#N/A</v>
      </c>
      <c r="CL308" s="404" t="e">
        <f ca="1">IF($CK308=0,0,IF($CI308&lt;=Control!$C$91,$CG308*(65+(90-65)*($CJ308/Control!$C$91)),0))</f>
        <v>#N/A</v>
      </c>
      <c r="CM308" s="140" t="e">
        <f ca="1">IF($BG308+$BM308+$BS308+$BY308+$CE308+$CK308=1,0,IF(OR($BB308&gt;=90,$CI308&gt;=Control!$C$91),$BA308,$CM307))</f>
        <v>#N/A</v>
      </c>
      <c r="CN308" s="140" t="e">
        <f t="shared" ca="1" si="1063"/>
        <v>#N/A</v>
      </c>
      <c r="CO308" s="140" t="e">
        <f t="shared" ca="1" si="1064"/>
        <v>#N/A</v>
      </c>
      <c r="CP308" s="140" t="e">
        <f t="shared" ca="1" si="1065"/>
        <v>#N/A</v>
      </c>
      <c r="CQ308" s="141" t="e">
        <f ca="1">VLOOKUP($CP308,Control!$B$86:$G$91,6)</f>
        <v>#N/A</v>
      </c>
      <c r="CR308" s="141" t="e">
        <f ca="1">(1-$CQ308)*VLOOKUP($CP308,Control!$B$86:$D$91,3)</f>
        <v>#N/A</v>
      </c>
      <c r="CS308" s="141" t="e">
        <f ca="1">(1-$CQ308)*VLOOKUP($CP308,Control!$B$86:$E$91,4)</f>
        <v>#N/A</v>
      </c>
      <c r="CT308" s="141" t="e">
        <f ca="1">(1-$CQ308)*VLOOKUP($CP308,Control!$B$86:$F$91,5)</f>
        <v>#N/A</v>
      </c>
      <c r="CU308" s="141">
        <f t="shared" ca="1" si="1066"/>
        <v>0</v>
      </c>
      <c r="CV308" s="583">
        <f t="shared" ca="1" si="1067"/>
        <v>0</v>
      </c>
      <c r="CW308" s="142">
        <f t="shared" ca="1" si="1068"/>
        <v>304</v>
      </c>
      <c r="CX308" s="612" t="e">
        <f ca="1">IF(Control!$C$114=1,(MIN(Control!$C$120*(IF($NT308-0.01&lt;0,0,1)),Control!$C$119-$CY308)))</f>
        <v>#DIV/0!</v>
      </c>
      <c r="CY308" s="143" t="e">
        <f t="shared" ca="1" si="1069"/>
        <v>#N/A</v>
      </c>
      <c r="CZ308" s="144">
        <f t="shared" ca="1" si="946"/>
        <v>0</v>
      </c>
      <c r="DA308" s="144">
        <f t="shared" ca="1" si="947"/>
        <v>0</v>
      </c>
      <c r="DB308" s="144" t="e">
        <f t="shared" ca="1" si="948"/>
        <v>#N/A</v>
      </c>
      <c r="DC308" s="144" t="e">
        <f t="shared" ca="1" si="949"/>
        <v>#N/A</v>
      </c>
      <c r="DD308" s="144" t="e">
        <f t="shared" ca="1" si="1154"/>
        <v>#N/A</v>
      </c>
      <c r="DE308" s="143" t="e">
        <f t="shared" ca="1" si="1070"/>
        <v>#N/A</v>
      </c>
      <c r="DF308" s="145" t="e">
        <f ca="1">$DR308*EXP(-Control!$C$158*(1-$KH308))</f>
        <v>#N/A</v>
      </c>
      <c r="DG308" s="146" t="e">
        <f ca="1">IF(Control!$C$114=1, $DF308*$EY308, 0)</f>
        <v>#N/A</v>
      </c>
      <c r="DH308" s="147" t="e">
        <f t="shared" ca="1" si="1071"/>
        <v>#N/A</v>
      </c>
      <c r="DI308" s="144" t="e">
        <f t="shared" ca="1" si="1132"/>
        <v>#N/A</v>
      </c>
      <c r="DJ308" s="147" t="e">
        <f ca="1">$EF308*Control!$C$109</f>
        <v>#N/A</v>
      </c>
      <c r="DK308" s="144" t="e">
        <f t="shared" ca="1" si="1072"/>
        <v>#N/A</v>
      </c>
      <c r="DL308" s="144" t="e">
        <f t="shared" ca="1" si="950"/>
        <v>#N/A</v>
      </c>
      <c r="DM308" s="144" t="e">
        <f ca="1">IF(Control!$C$114=1, (1-EXP(-Control!$C$96*$DK308))*$AR308, 0)</f>
        <v>#N/A</v>
      </c>
      <c r="DN308" s="144">
        <f t="shared" ca="1" si="1073"/>
        <v>0</v>
      </c>
      <c r="DO308" s="148">
        <f>Control!$C$97</f>
        <v>4</v>
      </c>
      <c r="DP308" s="145" t="e">
        <f t="shared" ca="1" si="1074"/>
        <v>#N/A</v>
      </c>
      <c r="DQ308" s="145" t="e">
        <f ca="1">IF(AND($CP308&gt;=0,$CP308&lt;=90),Control!$C$111,Control!$C$111)</f>
        <v>#N/A</v>
      </c>
      <c r="DR308" s="145" t="e">
        <f t="shared" ca="1" si="951"/>
        <v>#N/A</v>
      </c>
      <c r="DS308" s="143" t="e">
        <f ca="1">Control!$B$22/$DR308</f>
        <v>#N/A</v>
      </c>
      <c r="DT308" s="149" t="e">
        <f ca="1">IF(AND(Control!$C$114=1,$KH308&lt;1),$IM308*$DF308, 0)</f>
        <v>#N/A</v>
      </c>
      <c r="DU308" s="144" t="e">
        <f t="shared" ca="1" si="1075"/>
        <v>#N/A</v>
      </c>
      <c r="DV308" s="144">
        <f ca="1">IF($G308-Control!$C$107&lt;=0, 0, 0.83*LN(MAX($G308, 3))-0.8924)</f>
        <v>0</v>
      </c>
      <c r="DW308" s="144" t="e">
        <f t="shared" ca="1" si="952"/>
        <v>#N/A</v>
      </c>
      <c r="DX308" s="150" t="e">
        <f ca="1">MAX(0.01*(1+$CU308/Control!$C$102),0.05*($DK308-Control!$C$97)/Control!$C$97)</f>
        <v>#N/A</v>
      </c>
      <c r="DY308" s="151" t="e">
        <f ca="1">IF(Control!$C$114=1, $DI308*$FS308, 0)</f>
        <v>#N/A</v>
      </c>
      <c r="DZ308" s="196" t="e">
        <f t="shared" ca="1" si="1076"/>
        <v>#N/A</v>
      </c>
      <c r="EA308" s="152">
        <f t="shared" ca="1" si="1077"/>
        <v>304</v>
      </c>
      <c r="EB308" s="153" t="e">
        <f t="shared" ca="1" si="1078"/>
        <v>#N/A</v>
      </c>
      <c r="EC308" s="153" t="e">
        <f t="shared" ca="1" si="1079"/>
        <v>#N/A</v>
      </c>
      <c r="ED308" s="154" t="e">
        <f ca="1">IF(Control!$C$114=1, $HM308*$FY308-$FD308, 0)</f>
        <v>#DIV/0!</v>
      </c>
      <c r="EE308" s="155" t="e">
        <f ca="1">IF(Control!$C$114=1, $HM308*$FZ308-$FF308, 0)</f>
        <v>#DIV/0!</v>
      </c>
      <c r="EF308" s="153" t="e">
        <f t="shared" ca="1" si="1133"/>
        <v>#N/A</v>
      </c>
      <c r="EG308" s="155" t="e">
        <f ca="1">IF(Control!$C$114=1, $GX308*$FW308-$FI308, 0)</f>
        <v>#DIV/0!</v>
      </c>
      <c r="EH308" s="153" t="e">
        <f t="shared" ca="1" si="1080"/>
        <v>#N/A</v>
      </c>
      <c r="EI308" s="156" t="e">
        <f t="shared" ca="1" si="1081"/>
        <v>#N/A</v>
      </c>
      <c r="EJ308" s="155" t="e">
        <f ca="1">IF(Control!$C$114=1, $HM308*$GB308, 0)</f>
        <v>#DIV/0!</v>
      </c>
      <c r="EK308" s="153" t="e">
        <f t="shared" ca="1" si="1134"/>
        <v>#N/A</v>
      </c>
      <c r="EL308" s="153" t="e">
        <f t="shared" ca="1" si="953"/>
        <v>#N/A</v>
      </c>
      <c r="EM308" s="153" t="e">
        <f t="shared" ca="1" si="954"/>
        <v>#N/A</v>
      </c>
      <c r="EN308" s="153" t="e">
        <f ca="1">IF(Control!$C$108=1,IF(AND(Control!$B$18=1,$EB308&gt;=Control!$B$19),$EB308-$DS308,IF(AND(Control!$B$18=2,$AW308=1,$EB308&gt;$DS308),$EB308-$DS308,0)))</f>
        <v>#N/A</v>
      </c>
      <c r="EO308" s="153" t="e">
        <f ca="1">IF(Control!$C$108=1,IF(AND(Control!$B$18=1,$EB308&gt;=Control!$B$19),$EF308,IF(AND(Control!$B$18=2,$AW308=1),$EF308,0)))</f>
        <v>#N/A</v>
      </c>
      <c r="EP308" s="153" t="e">
        <f ca="1">IF(Control!$C$108=1,IF(AND(Control!$B$18=1,$EB308&gt;=Control!$B$19),$EK308,IF(AND(Control!$B$18=2,$AW308=1),$EK308,0)))</f>
        <v>#N/A</v>
      </c>
      <c r="EQ308" s="153" t="e">
        <f t="shared" ca="1" si="1082"/>
        <v>#N/A</v>
      </c>
      <c r="ER308" s="153" t="e">
        <f t="shared" ca="1" si="1083"/>
        <v>#N/A</v>
      </c>
      <c r="ES308" s="153" t="e">
        <f t="shared" ca="1" si="1135"/>
        <v>#N/A</v>
      </c>
      <c r="ET308" s="153" t="e">
        <f t="shared" ca="1" si="1136"/>
        <v>#N/A</v>
      </c>
      <c r="EU308" s="153" t="e">
        <f t="shared" ca="1" si="1084"/>
        <v>#N/A</v>
      </c>
      <c r="EV308" s="153" t="e">
        <f t="shared" ca="1" si="955"/>
        <v>#N/A</v>
      </c>
      <c r="EW308" s="153" t="e">
        <f t="shared" ca="1" si="956"/>
        <v>#N/A</v>
      </c>
      <c r="EX308" s="153" t="e">
        <f t="shared" ca="1" si="957"/>
        <v>#N/A</v>
      </c>
      <c r="EY308" s="157" t="e">
        <f t="shared" ca="1" si="958"/>
        <v>#DIV/0!</v>
      </c>
      <c r="EZ308" s="154" t="e">
        <f t="shared" ca="1" si="959"/>
        <v>#DIV/0!</v>
      </c>
      <c r="FA308" s="153" t="e">
        <f t="shared" ca="1" si="1085"/>
        <v>#N/A</v>
      </c>
      <c r="FB308" s="153" t="e">
        <f t="shared" ca="1" si="960"/>
        <v>#N/A</v>
      </c>
      <c r="FC308" s="193" t="e">
        <f t="shared" ca="1" si="961"/>
        <v>#N/A</v>
      </c>
      <c r="FD308" s="158" t="e">
        <f t="shared" ca="1" si="1086"/>
        <v>#N/A</v>
      </c>
      <c r="FE308" s="158" t="e">
        <f t="shared" ca="1" si="1087"/>
        <v>#N/A</v>
      </c>
      <c r="FF308" s="159" t="e">
        <f t="shared" ca="1" si="962"/>
        <v>#N/A</v>
      </c>
      <c r="FG308" s="160" t="e">
        <f t="shared" ca="1" si="1088"/>
        <v>#N/A</v>
      </c>
      <c r="FH308" s="158" t="e">
        <f t="shared" ca="1" si="1089"/>
        <v>#N/A</v>
      </c>
      <c r="FI308" s="159" t="e">
        <f t="shared" ca="1" si="963"/>
        <v>#N/A</v>
      </c>
      <c r="FJ308" s="160" t="e">
        <f t="shared" ca="1" si="1090"/>
        <v>#N/A</v>
      </c>
      <c r="FK308" s="160" t="e">
        <f t="shared" ca="1" si="964"/>
        <v>#N/A</v>
      </c>
      <c r="FL308" s="160" t="e">
        <f t="shared" ca="1" si="1137"/>
        <v>#N/A</v>
      </c>
      <c r="FM308" s="160" t="e">
        <f t="shared" ca="1" si="965"/>
        <v>#N/A</v>
      </c>
      <c r="FN308" s="158">
        <f t="shared" ca="1" si="1091"/>
        <v>0.01</v>
      </c>
      <c r="FO308" s="160">
        <f>Control!$C$101</f>
        <v>50</v>
      </c>
      <c r="FP308" s="150" t="e">
        <f t="shared" ca="1" si="966"/>
        <v>#N/A</v>
      </c>
      <c r="FQ308" s="150" t="e">
        <f ca="1">MAX(0,(Control!$C$112*(($DK308-Control!$C$97)/Control!$C$97)))</f>
        <v>#N/A</v>
      </c>
      <c r="FR308" s="150" t="e">
        <f ca="1">(1-$NT308)*Control!$C$113</f>
        <v>#DIV/0!</v>
      </c>
      <c r="FS308" s="198" t="e">
        <f t="shared" ca="1" si="967"/>
        <v>#N/A</v>
      </c>
      <c r="FT308" s="161">
        <f t="shared" ca="1" si="1092"/>
        <v>304</v>
      </c>
      <c r="FU308" s="162" t="e">
        <f ca="1">IF(Control!$B$34=1,VLOOKUP($CP308,Control!$B$86:$G$91,6),Control!$B$35)</f>
        <v>#N/A</v>
      </c>
      <c r="FV308" s="162" t="e">
        <f t="shared" ca="1" si="968"/>
        <v>#DIV/0!</v>
      </c>
      <c r="FW308" s="162" t="e">
        <f ca="1">IF(Control!$B$31=1,$FU308*$FV308,  $FU308)</f>
        <v>#N/A</v>
      </c>
      <c r="FX308" s="162" t="e">
        <f ca="1">IF(Control!$B$34=1,VLOOKUP($CP308,Control!$B$86:$G$91,3),Control!$B$36)</f>
        <v>#N/A</v>
      </c>
      <c r="FY308" s="162" t="e">
        <f t="shared" ca="1" si="969"/>
        <v>#N/A</v>
      </c>
      <c r="FZ308" s="162" t="e">
        <f ca="1">IF(Control!$B$34=1,VLOOKUP($CP308,Control!$B$86:$G$91,4),Control!$B$37)</f>
        <v>#N/A</v>
      </c>
      <c r="GA308" s="162" t="e">
        <f t="shared" ca="1" si="970"/>
        <v>#N/A</v>
      </c>
      <c r="GB308" s="162" t="e">
        <f ca="1">IF(Control!$B$34=1,VLOOKUP($CP308,Control!$B$86:$G$91,5),Control!$B$38)</f>
        <v>#N/A</v>
      </c>
      <c r="GC308" s="162" t="e">
        <f t="shared" ca="1" si="1093"/>
        <v>#N/A</v>
      </c>
      <c r="GD308" s="162">
        <f t="shared" ca="1" si="971"/>
        <v>1</v>
      </c>
      <c r="GE308" s="162">
        <f t="shared" ca="1" si="972"/>
        <v>1</v>
      </c>
      <c r="GF308" s="162">
        <f ca="1">IF(AND(Control!$C$104=1, Control!$C$62="F"),$GE308,1)</f>
        <v>1</v>
      </c>
      <c r="GG308" s="162" t="e">
        <f ca="1">IF(Control!$B$16=40,0,IF(AND(Control!$B$16&gt;40,Control!$B$16&lt;=360),(Control!$B$16-40)*((1-0)/(360-40)),IF(AND(Control!$B$16&gt;360,Control!$B$16&lt;=720),(1+(Control!$B$16-360)*((1.25-1)/(720-360))),IF(AND(Control!$B$16&gt;720,Control!$B$16&lt;=1000),(1.25+(Control!$B$16-720)*((1.35-1.25)/(1000-720))),IF(AND(Control!$B$16&gt;1000,Control!$B$16&lt;=2000),(1.35+(Control!$B$16-1000)*0))))))</f>
        <v>#N/A</v>
      </c>
      <c r="GH308" s="162" t="e">
        <f t="shared" ca="1" si="973"/>
        <v>#N/A</v>
      </c>
      <c r="GI308" s="162">
        <f t="shared" ca="1" si="1094"/>
        <v>0</v>
      </c>
      <c r="GJ308" s="162">
        <f t="shared" ca="1" si="974"/>
        <v>0</v>
      </c>
      <c r="GK308" s="162">
        <f t="shared" ca="1" si="1095"/>
        <v>1</v>
      </c>
      <c r="GL308" s="162">
        <f t="shared" ca="1" si="975"/>
        <v>1</v>
      </c>
      <c r="GM308" s="162" t="e">
        <f ca="1">MAX(0,MIN(1,1-Control!$C$156*(1.0001-$KH308)^2))</f>
        <v>#N/A</v>
      </c>
      <c r="GN308" s="162" t="e">
        <f ca="1">IF(Control!$B$26=1,$KU308,$KX308)</f>
        <v>#N/A</v>
      </c>
      <c r="GO308" s="162" t="e">
        <f ca="1">IF($CP308&lt;=60,Control!$C$105,IF($CP308&gt;=90,Control!$C$106,Control!$C$105+($CP308-60)*((Control!$C$106-Control!$C$105)/(90-60))))</f>
        <v>#N/A</v>
      </c>
      <c r="GP308" s="162" t="e">
        <f t="shared" ca="1" si="976"/>
        <v>#N/A</v>
      </c>
      <c r="GQ308" s="162" t="e">
        <f t="shared" ca="1" si="1096"/>
        <v>#N/A</v>
      </c>
      <c r="GR308" s="163" t="e">
        <f t="shared" ca="1" si="977"/>
        <v>#DIV/0!</v>
      </c>
      <c r="GS308" s="162" t="e">
        <f t="shared" ca="1" si="978"/>
        <v>#DIV/0!</v>
      </c>
      <c r="GT308" s="164" t="e">
        <f t="shared" ca="1" si="1097"/>
        <v>#N/A</v>
      </c>
      <c r="GU308" s="162" t="e">
        <f t="shared" ca="1" si="1098"/>
        <v>#N/A</v>
      </c>
      <c r="GV308" s="162" t="e">
        <f t="shared" ca="1" si="979"/>
        <v>#N/A</v>
      </c>
      <c r="GW308" s="162" t="e">
        <f t="shared" ca="1" si="980"/>
        <v>#DIV/0!</v>
      </c>
      <c r="GX308" s="162" t="e">
        <f t="shared" ca="1" si="1099"/>
        <v>#DIV/0!</v>
      </c>
      <c r="GY308" s="162" t="e">
        <f t="shared" ca="1" si="1100"/>
        <v>#DIV/0!</v>
      </c>
      <c r="GZ308" s="165" t="e">
        <f t="shared" ca="1" si="981"/>
        <v>#N/A</v>
      </c>
      <c r="HA308" s="162" t="e">
        <f ca="1">IF(Control!$C$114=1, $DI308*$FS308, 0)</f>
        <v>#N/A</v>
      </c>
      <c r="HB308" s="162" t="e">
        <f ca="1">$FA308/Control!$C$64</f>
        <v>#N/A</v>
      </c>
      <c r="HC308" s="162" t="e">
        <f t="shared" ca="1" si="982"/>
        <v>#DIV/0!</v>
      </c>
      <c r="HD308" s="162">
        <f ca="1">-ASIN(SIN(23.45*Control!$C$139)*COS(2*Control!$C$138*($AH308+10)/365))</f>
        <v>-0.25701412369343757</v>
      </c>
      <c r="HE308" s="165">
        <f t="shared" ca="1" si="1101"/>
        <v>0</v>
      </c>
      <c r="HF308" s="166">
        <f ca="1">IF(AND(Control!$C$61="T",$HE308&gt;=Control!$C$103,Control!$C$114=0),$AH308,Control!$C$59)</f>
        <v>1</v>
      </c>
      <c r="HG308" s="166">
        <f ca="1">IF(AND(Control!$C$61="T",$HE308&gt;=Control!$C$103,Control!$C$114=0),$HF308,Control!$C$59)</f>
        <v>1</v>
      </c>
      <c r="HH308" s="165">
        <f ca="1">IF(AND(OR(Control!$C$60&lt;=0, $AH308= Control!$C$59, Control!$C$60 &gt;0, $AH308 = Control!$C$60)), Control!$C$59, IF(Control!$C$60&gt;0, 0))</f>
        <v>1</v>
      </c>
      <c r="HI308" s="165">
        <f ca="1">IF(AND(OR(Control!$C$60&lt;=0, $AH308= Control!$C$59, Control!$C$60 &gt;0, $AH308 = Control!$C$60)), Control!$C$60, IF(Control!$C$60&lt;=0, 0))</f>
        <v>0</v>
      </c>
      <c r="HJ308" s="166">
        <f ca="1">IF(AND(Control!$C$62="F",$CV308&gt;=Control!$C$102),$AH308,0)</f>
        <v>0</v>
      </c>
      <c r="HK308" s="165" t="e">
        <f t="shared" ca="1" si="1138"/>
        <v>#N/A</v>
      </c>
      <c r="HL308" s="166">
        <f ca="1">IF(AND(Control!$C$61="T",$HE308&gt;=Control!$C$103,Control!$C$114=0),$HF308,0)</f>
        <v>0</v>
      </c>
      <c r="HM308" s="201" t="e">
        <f t="shared" ca="1" si="983"/>
        <v>#DIV/0!</v>
      </c>
      <c r="HN308" s="215">
        <f t="shared" ca="1" si="1102"/>
        <v>304</v>
      </c>
      <c r="HO308" s="216" t="e">
        <f ca="1">IF(AND($CP308&gt;=0, $CP308&lt;=90), Control!$C$152, Control!$C$152)</f>
        <v>#N/A</v>
      </c>
      <c r="HP308" s="216" t="e">
        <f t="shared" ca="1" si="984"/>
        <v>#N/A</v>
      </c>
      <c r="HQ308" s="217" t="e">
        <f ca="1">IF(OR(Control!$B$26=1,Control!$B$26=2),$KV308,$KS308)</f>
        <v>#DIV/0!</v>
      </c>
      <c r="HR308" s="218" t="e">
        <f t="shared" ca="1" si="1139"/>
        <v>#DIV/0!</v>
      </c>
      <c r="HS308" s="216" t="e">
        <f ca="1">Control!$C$154*$HP308</f>
        <v>#N/A</v>
      </c>
      <c r="HT308" s="216" t="e">
        <f ca="1">Control!$C$155*$HP308</f>
        <v>#N/A</v>
      </c>
      <c r="HU308" s="217" t="e">
        <f ca="1">Control!$C$161*$FI308</f>
        <v>#N/A</v>
      </c>
      <c r="HV308" s="218" t="e">
        <f t="shared" ca="1" si="1103"/>
        <v>#N/A</v>
      </c>
      <c r="HW308" s="218" t="e">
        <f ca="1">Control!$C$160*$FF308+$IP308*$EO308</f>
        <v>#N/A</v>
      </c>
      <c r="HX308" s="218" t="e">
        <f t="shared" ca="1" si="1140"/>
        <v>#N/A</v>
      </c>
      <c r="HY308" s="219" t="e">
        <f ca="1">IF(Control!$C$114=1, $EB308*$FS308, 0)</f>
        <v>#N/A</v>
      </c>
      <c r="HZ308" s="91" t="e">
        <f t="shared" ca="1" si="985"/>
        <v>#N/A</v>
      </c>
      <c r="IA308" s="220" t="e">
        <f ca="1">Control!$C$153*$HO308</f>
        <v>#N/A</v>
      </c>
      <c r="IB308" s="218" t="e">
        <f t="shared" ca="1" si="986"/>
        <v>#N/A</v>
      </c>
      <c r="IC308" s="220" t="e">
        <f ca="1">Control!$C$153*$HT308</f>
        <v>#N/A</v>
      </c>
      <c r="ID308" s="218" t="e">
        <f t="shared" ca="1" si="987"/>
        <v>#N/A</v>
      </c>
      <c r="IE308" s="221" t="e">
        <f ca="1">($EB308*Control!$C$159+$EF308*Control!$C$160)/(IF($GZ308&lt;&gt;0,$GZ308,1))</f>
        <v>#N/A</v>
      </c>
      <c r="IF308" s="216" t="e">
        <f t="shared" ca="1" si="988"/>
        <v>#N/A</v>
      </c>
      <c r="IG308" s="91">
        <f ca="1">IF(OR(Control!$B$198=$AH308,Control!$B$199=$AH308, Control!$B$200=$AH308, Control!$B$201=$AH308, Control!$B$202=$AH308, Control!$B$203=$AH308, Control!$B$204=$AH308, Control!$B$205=$AH308, Control!$B$206=$AH308, Control!$B$207=$AH308), 1, 0)</f>
        <v>0</v>
      </c>
      <c r="IH308" s="91">
        <f ca="1">IF($IG308=0,0, VLOOKUP($AH308,Control!$B$198:$C$207,2))</f>
        <v>0</v>
      </c>
      <c r="II308" s="222">
        <f t="shared" ca="1" si="1104"/>
        <v>0</v>
      </c>
      <c r="IJ308" s="91">
        <f>Control!$C$121</f>
        <v>0.7</v>
      </c>
      <c r="IK308" s="218">
        <f t="shared" ca="1" si="989"/>
        <v>0</v>
      </c>
      <c r="IL308" s="217" t="e">
        <f t="shared" ca="1" si="1141"/>
        <v>#N/A</v>
      </c>
      <c r="IM308" s="223" t="e">
        <f ca="1">IF(AND(Control!$C$114=1,$KH308&lt;1),$EB308*Control!$C$148*(1-$KH308), 0)</f>
        <v>#N/A</v>
      </c>
      <c r="IN308" s="217" t="e">
        <f t="shared" ca="1" si="990"/>
        <v>#DIV/0!</v>
      </c>
      <c r="IO308" s="91" t="e">
        <f ca="1">MAX(0,$IL308-$EF308*Control!$C$160)</f>
        <v>#N/A</v>
      </c>
      <c r="IP308" s="220" t="e">
        <f t="shared" ca="1" si="991"/>
        <v>#N/A</v>
      </c>
      <c r="IQ308" s="217" t="e">
        <f t="shared" ca="1" si="1105"/>
        <v>#N/A</v>
      </c>
      <c r="IR308" s="218" t="e">
        <f t="shared" ca="1" si="992"/>
        <v>#N/A</v>
      </c>
      <c r="IS308" s="217" t="e">
        <f ca="1">Control!$C$159*MAX(0,$FD308-$EN308)</f>
        <v>#N/A</v>
      </c>
      <c r="IT308" s="217" t="e">
        <f t="shared" ca="1" si="1142"/>
        <v>#N/A</v>
      </c>
      <c r="IU308" s="217" t="e">
        <f t="shared" ca="1" si="1106"/>
        <v>#N/A</v>
      </c>
      <c r="IV308" s="217" t="e">
        <f t="shared" ca="1" si="1143"/>
        <v>#N/A</v>
      </c>
      <c r="IW308" s="217" t="e">
        <f ca="1">IF(OR($AW308=1,AND($AW308=0, Control!$B$18=1,$EN308&lt;&gt;0)), $IQ308-$IU308, $IQ308)</f>
        <v>#N/A</v>
      </c>
      <c r="IX308" s="218" t="e">
        <f t="shared" ca="1" si="993"/>
        <v>#N/A</v>
      </c>
      <c r="IY308" s="218" t="e">
        <f ca="1">MAX(0,$IQ308-$EB308*Control!$C$159)</f>
        <v>#N/A</v>
      </c>
      <c r="IZ308" s="218" t="e">
        <f t="shared" ca="1" si="994"/>
        <v>#N/A</v>
      </c>
      <c r="JA308" s="216" t="e">
        <f t="shared" ca="1" si="995"/>
        <v>#N/A</v>
      </c>
      <c r="JB308" s="217" t="e">
        <f t="shared" ca="1" si="996"/>
        <v>#N/A</v>
      </c>
      <c r="JC308" s="222" t="e">
        <f ca="1">MAX(Control!$C$157*$EK308-$JT308, 0)/Control!$C$162</f>
        <v>#N/A</v>
      </c>
      <c r="JD308" s="218" t="e">
        <f t="shared" ca="1" si="997"/>
        <v>#N/A</v>
      </c>
      <c r="JE308" s="218" t="e">
        <f t="shared" ca="1" si="998"/>
        <v>#N/A</v>
      </c>
      <c r="JF308" s="218" t="e">
        <f t="shared" ca="1" si="1107"/>
        <v>#N/A</v>
      </c>
      <c r="JG308" s="218" t="e">
        <f t="shared" ca="1" si="999"/>
        <v>#N/A</v>
      </c>
      <c r="JH308" s="217" t="e">
        <f t="shared" ca="1" si="1108"/>
        <v>#N/A</v>
      </c>
      <c r="JI308" s="217" t="e">
        <f t="shared" ca="1" si="1109"/>
        <v>#N/A</v>
      </c>
      <c r="JJ308" s="217" t="e">
        <f t="shared" ca="1" si="1144"/>
        <v>#N/A</v>
      </c>
      <c r="JK308" s="217" t="e">
        <f ca="1">IF(Control!$C$114=1,IF(Control!$B$24=0,MAX(0,$JI308)*$GN308/Control!$C$64,(MAX(0,MIN($JI308,$JJ308*$GN308/Control!$C$64),0))))</f>
        <v>#N/A</v>
      </c>
      <c r="JL308" s="217" t="e">
        <f ca="1">$IK308/Control!$C$64-$JK308+$HQ308</f>
        <v>#N/A</v>
      </c>
      <c r="JM308" s="217" t="e">
        <f ca="1">IF(Control!$C$114=1,($JB308/(IF($JI308&lt;&gt;0,$JI308,1)))*$JK308,0)</f>
        <v>#N/A</v>
      </c>
      <c r="JN308" s="217" t="e">
        <f ca="1">IF(Control!$C$114=1,($JG308/(IF($JI308&lt;&gt;0,$JI308,1)))*$JK308, 0)</f>
        <v>#N/A</v>
      </c>
      <c r="JO308" s="218" t="e">
        <f t="shared" ca="1" si="1000"/>
        <v>#N/A</v>
      </c>
      <c r="JP308" s="218" t="e">
        <f ca="1">MIN(($IY308+$IO308)*Control!$C$151, $JF308-$EH308*Control!$C$161)</f>
        <v>#N/A</v>
      </c>
      <c r="JQ308" s="218" t="e">
        <f t="shared" ca="1" si="1001"/>
        <v>#N/A</v>
      </c>
      <c r="JR308" s="217" t="e">
        <f ca="1">IF($CP308-Control!$C$150&lt;0, 0, $JQ308/Control!$C$162)</f>
        <v>#N/A</v>
      </c>
      <c r="JS308" s="218" t="e">
        <f t="shared" ca="1" si="1002"/>
        <v>#N/A</v>
      </c>
      <c r="JT308" s="218" t="e">
        <f t="shared" ca="1" si="1110"/>
        <v>#N/A</v>
      </c>
      <c r="JU308" s="218" t="e">
        <f t="shared" ca="1" si="1003"/>
        <v>#N/A</v>
      </c>
      <c r="JV308" s="218" t="e">
        <f t="shared" ca="1" si="1004"/>
        <v>#N/A</v>
      </c>
      <c r="JW308" s="216" t="e">
        <f t="shared" ca="1" si="1005"/>
        <v>#N/A</v>
      </c>
      <c r="JX308" s="91" t="e">
        <f t="shared" ca="1" si="1006"/>
        <v>#N/A</v>
      </c>
      <c r="JY308" s="218" t="e">
        <f t="shared" ca="1" si="1007"/>
        <v>#N/A</v>
      </c>
      <c r="JZ308" s="217" t="e">
        <f ca="1">IF(Control!$C$114=1,($IZ308/(IF($JI308&lt;&gt;0,$JI308,1)))*$JK308, 0)</f>
        <v>#N/A</v>
      </c>
      <c r="KA308" s="218" t="e">
        <f t="shared" ca="1" si="1145"/>
        <v>#N/A</v>
      </c>
      <c r="KB308" s="218" t="e">
        <f t="shared" ca="1" si="1111"/>
        <v>#N/A</v>
      </c>
      <c r="KC308" s="218" t="e">
        <f t="shared" ca="1" si="1008"/>
        <v>#N/A</v>
      </c>
      <c r="KD308" s="218" t="e">
        <f t="shared" ca="1" si="1009"/>
        <v>#N/A</v>
      </c>
      <c r="KE308" s="218" t="e">
        <f t="shared" ca="1" si="1010"/>
        <v>#N/A</v>
      </c>
      <c r="KF308" s="218" t="e">
        <f t="shared" ca="1" si="1011"/>
        <v>#N/A</v>
      </c>
      <c r="KG308" s="216" t="e">
        <f t="shared" ca="1" si="1012"/>
        <v>#N/A</v>
      </c>
      <c r="KH308" s="221" t="e">
        <f ca="1">IF(Control!$B$24=0,1,MAX(0.001,MIN(1,IF(($IF308-$IE308)&lt;&gt;0,($KG308-$IE308)/($IF308-$IE308),1))))</f>
        <v>#N/A</v>
      </c>
      <c r="KI308" s="222" t="e">
        <f ca="1">IF(Control!$C$114=1, $KI307+ $KH307, 0)</f>
        <v>#N/A</v>
      </c>
      <c r="KJ308" s="217" t="e">
        <f t="shared" ca="1" si="1013"/>
        <v>#N/A</v>
      </c>
      <c r="KK308" s="218" t="e">
        <f t="shared" ca="1" si="1014"/>
        <v>#N/A</v>
      </c>
      <c r="KL308" s="274" t="e">
        <f ca="1">IF(Control!$B$26=3,4000000000*EXP(-8400/($G308+273)),IF(Control!$B$26=4,4000000000*EXP(-8400/($G308+273))*($KT308),0))</f>
        <v>#DIV/0!</v>
      </c>
      <c r="KM308" s="274" t="e">
        <f ca="1">IF(Control!$B$26=3,5600000000000*EXP(-9800/($G308+273)),IF(Control!$B$26=4,5600000000000*EXP(-9800/($G308+273))*$KT308,0))</f>
        <v>#DIV/0!</v>
      </c>
      <c r="KN308" s="454" t="e">
        <f t="shared" ca="1" si="1112"/>
        <v>#DIV/0!</v>
      </c>
      <c r="KO308" s="274" t="e">
        <f t="shared" ca="1" si="1113"/>
        <v>#DIV/0!</v>
      </c>
      <c r="KP308" s="454" t="e">
        <f t="shared" ca="1" si="1015"/>
        <v>#DIV/0!</v>
      </c>
      <c r="KQ308" s="454" t="e">
        <f t="shared" ca="1" si="1016"/>
        <v>#DIV/0!</v>
      </c>
      <c r="KR308" s="454" t="e">
        <f t="shared" ca="1" si="1017"/>
        <v>#DIV/0!</v>
      </c>
      <c r="KS308" s="454" t="e">
        <f t="shared" ca="1" si="1018"/>
        <v>#DIV/0!</v>
      </c>
      <c r="KT308" s="455" t="e">
        <f t="shared" ca="1" si="1019"/>
        <v>#DIV/0!</v>
      </c>
      <c r="KU308" s="456" t="e">
        <f ca="1">IF($CP308-Control!$C$149&lt;0, IF($NT308-0.01&lt;0,0,1),0)</f>
        <v>#N/A</v>
      </c>
      <c r="KV308" s="456" t="e">
        <f ca="1">IF(Control!$C$114=1,MAX(0,MIN(Control!$C$125*$KW308*$GN308,$KW308)))</f>
        <v>#DIV/0!</v>
      </c>
      <c r="KW308" s="456" t="e">
        <f t="shared" ca="1" si="1146"/>
        <v>#DIV/0!</v>
      </c>
      <c r="KX308" s="457" t="e">
        <f ca="1">IF($CP308-Control!$C$149&lt;0, IF($MR308-$OM308&lt;0,0,1),0)</f>
        <v>#N/A</v>
      </c>
      <c r="KY308" s="167">
        <f t="shared" ca="1" si="1114"/>
        <v>304</v>
      </c>
      <c r="KZ308" s="168">
        <f ca="1">1370*(1+0.033*COS(2*Control!$C$138*$AH308/365))</f>
        <v>1392.493055708904</v>
      </c>
      <c r="LA308" s="169">
        <f t="shared" ca="1" si="1115"/>
        <v>1.0164179385339369</v>
      </c>
      <c r="LB308" s="169">
        <f t="shared" ca="1" si="1116"/>
        <v>-0.26396211236949496</v>
      </c>
      <c r="LC308" s="169">
        <f ca="1">ACOS(-TAN((2*Control!$B$8/360))*TAN(Calculations!$LB308))</f>
        <v>1.4903850417874061</v>
      </c>
      <c r="LD308" s="169">
        <f ca="1">((24*60)/PI())*0.082*$LA308*(($LC308*SIN(Control!$B$8*2*PI()/360))*SIN($LB308)+COS(Control!$B$8*2*PI()/360)*COS($LB308)*SIN($LC308))</f>
        <v>10.925970490999203</v>
      </c>
      <c r="LE308" s="170">
        <f t="shared" ca="1" si="1020"/>
        <v>12.009855074763927</v>
      </c>
      <c r="LF308" s="170">
        <f ca="1">SIN(Control!$C$139*Control!$B$8)*SIN($HD308)</f>
        <v>-0.20030785036086107</v>
      </c>
      <c r="LG308" s="170">
        <f ca="1">COS(Control!$C$139*Control!$B$8)*COS($HD308)</f>
        <v>0.59543739765997472</v>
      </c>
      <c r="LH308" s="170">
        <f ca="1">12*(1+2*ASIN(MAX(-1,MIN(1,$LF308/$LG308))/Control!$C$138))</f>
        <v>9.4251277706755232</v>
      </c>
      <c r="LI308" s="170">
        <f ca="1">12*(1+2*ASIN(MAX(-1,MIN(1,(-SIN(-4*Control!$C$139)+$LF308)/$LG308))/Control!$C$138))</f>
        <v>10.323674540871313</v>
      </c>
      <c r="LJ308" s="168">
        <f ca="1">3600*($LH308*$LF308+24*$LG308*SQRT(1-$LK308*$LK308)/Control!$C$138)</f>
        <v>8624.7145187017341</v>
      </c>
      <c r="LK308" s="170">
        <f t="shared" ca="1" si="1021"/>
        <v>-0.33640455092014077</v>
      </c>
      <c r="LL308" s="170">
        <f t="shared" ca="1" si="1022"/>
        <v>0</v>
      </c>
      <c r="LM308" s="171">
        <f ca="1">Control!$C$145*$AB308</f>
        <v>6.6660906138995932E-2</v>
      </c>
      <c r="LN308" s="170">
        <f t="shared" ca="1" si="1117"/>
        <v>0.54</v>
      </c>
      <c r="LO308" s="170">
        <f t="shared" ca="1" si="1023"/>
        <v>0</v>
      </c>
      <c r="LP308" s="170">
        <f ca="1">Control!$C$140*((($D308+273.16)^4+($E308+273.16)^4)/2)*(0.34-0.14*SQRT($Y308))*(1.35*$AQ308/(0.75*$LD308)-0.35)</f>
        <v>-3.2464704755046001</v>
      </c>
      <c r="LQ308" s="170">
        <f ca="1">Control!$C$140*($G308+273)^4*(0.56-0.079*SQRT($Y308*10))*(0.1+0.9*$LO308)</f>
        <v>1.5241745131704001</v>
      </c>
      <c r="LR308" s="170">
        <f ca="1">$AQ308*(1-Control!$C$142)-$LQ308</f>
        <v>-1.5241745131704001</v>
      </c>
      <c r="LS308" s="170">
        <f ca="1">$AQ308*(1-Control!$C$143)-$LQ308</f>
        <v>-1.5241745131704001</v>
      </c>
      <c r="LT308" s="170">
        <f ca="1">$AQ308*(1-Control!$C$144)-$LQ308</f>
        <v>-1.5241745131704001</v>
      </c>
      <c r="LU308" s="169">
        <f ca="1">(1-Control!$C$144)*AQ308-LP308</f>
        <v>3.2464704755046001</v>
      </c>
      <c r="LV308" s="172">
        <f t="shared" ca="1" si="1024"/>
        <v>0.79430000000000012</v>
      </c>
      <c r="LW308" s="170">
        <f t="shared" ca="1" si="1025"/>
        <v>1.5886000000000002</v>
      </c>
      <c r="LX308" s="170">
        <f ca="1">($AC308*($LR308/Control!$C$141)+$LM308*$LV308)/($AC308+$LM308)</f>
        <v>0.23530094218323697</v>
      </c>
      <c r="LY308" s="170">
        <f ca="1">($AC308*($LS308/Control!$C$141)+$LM308*$LV308)/($AC308+$LM308)</f>
        <v>0.23530094218323697</v>
      </c>
      <c r="LZ308" s="170">
        <f t="shared" ca="1" si="1026"/>
        <v>0.23530094218323697</v>
      </c>
      <c r="MA308" s="170">
        <f t="shared" ca="1" si="1027"/>
        <v>0.23530094218323697</v>
      </c>
      <c r="MB308" s="170" t="e">
        <f t="shared" ca="1" si="1028"/>
        <v>#N/A</v>
      </c>
      <c r="MC308" s="170">
        <f t="shared" ca="1" si="1118"/>
        <v>0.6018</v>
      </c>
      <c r="MD308" s="170">
        <f t="shared" ca="1" si="1029"/>
        <v>0.52989392535414004</v>
      </c>
      <c r="ME308" s="170">
        <f ca="1">($AC308*($LT308/Control!$C$141)+$LM308*$LW308)/($AC308+$LM308)</f>
        <v>0.71612369323045078</v>
      </c>
      <c r="MF308" s="170" t="e">
        <f ca="1">IF(Control!$B$16&gt;=1000,0.92,IF(AND(720&lt;=Control!$B$16,1000&gt;Control!$B$16),(0.95+(Control!$B$16-720)*((0.92-0.95)/(1000-720))),IF(AND(360&lt;=Control!$B$16,720&gt;Control!$B$16),(1+(Control!$B$16-360)*((0.95-1)/(720-360))),IF(AND(40&lt;=Control!$B$16,360&gt;Control!$B$16),(1.05+(Control!$B$16-40)*((1.05-1)/(360-40)))))))</f>
        <v>#N/A</v>
      </c>
      <c r="MG308" s="170">
        <f t="shared" ca="1" si="1030"/>
        <v>0.71612369323045078</v>
      </c>
      <c r="MH308" s="170" t="e">
        <f t="shared" ca="1" si="1157"/>
        <v>#N/A</v>
      </c>
      <c r="MI308" s="170" t="e">
        <f t="shared" ca="1" si="1157"/>
        <v>#N/A</v>
      </c>
      <c r="MJ308" s="170" t="e">
        <f ca="1">MAX(0.0001, Control!$C$132*$MI308*$DL308)</f>
        <v>#N/A</v>
      </c>
      <c r="MK308" s="170">
        <f ca="1">1/(0.76+1.5*($MG308/10))-(5-Control!$C$110)*0.1</f>
        <v>1.002845988140797</v>
      </c>
      <c r="ML308" s="173">
        <f ca="1">IF(Control!$C$110&lt;3,$MK308+($MG308-0.6)/(Control!$C$110*(Control!$C$110+3)), MAX(0.1, MIN(0.95,$MK308)))</f>
        <v>0.95</v>
      </c>
      <c r="MM308" s="173">
        <f ca="1">IF(Control!$C$110&lt;3,$MK308+(($MI308/10)-0.6)/(Control!$C$110*(Control!$C$110+3)), MAX(0.1, MIN(0.95,$MK308)))</f>
        <v>0.95</v>
      </c>
      <c r="MN308" s="173">
        <f ca="1">(1-$MM308)*(Control!$C$128-Control!$C$127)+Control!$C$127</f>
        <v>0.16</v>
      </c>
      <c r="MO308" s="170" t="e">
        <f ca="1">MAX(0,MIN(1,($MS308-Control!$C$127)/($MN308-Control!$C$127)))</f>
        <v>#DIV/0!</v>
      </c>
      <c r="MP308" s="173" t="e">
        <f ca="1">1/(0.76+1.5*$MI308)-(5-Control!$C$110)*0.1</f>
        <v>#N/A</v>
      </c>
      <c r="MQ308" s="172" t="e">
        <f t="shared" ca="1" si="1147"/>
        <v>#DIV/0!</v>
      </c>
      <c r="MR308" s="168" t="e">
        <f t="shared" ca="1" si="1119"/>
        <v>#DIV/0!</v>
      </c>
      <c r="MS308" s="173" t="e">
        <f ca="1">MAX(Control!$C$127, MIN(Control!$C$135, $MR308/MAX(0.0001,$CY308)))</f>
        <v>#DIV/0!</v>
      </c>
      <c r="MT308" s="168" t="e">
        <f ca="1">(Control!$C$128-$MS308)*Control!$C$74</f>
        <v>#DIV/0!</v>
      </c>
      <c r="MU308" s="168" t="e">
        <f ca="1">(Control!$C$135-$MS308)*Control!$C$74</f>
        <v>#DIV/0!</v>
      </c>
      <c r="MV308" s="168" t="e">
        <f t="shared" ca="1" si="1120"/>
        <v>#DIV/0!</v>
      </c>
      <c r="MW308" s="168" t="e">
        <f t="shared" ca="1" si="1121"/>
        <v>#DIV/0!</v>
      </c>
      <c r="MX308" s="171" t="e">
        <f ca="1">MAX(Control!$C$127, MIN(Control!$C$135, $MW308/MAX(0.0001,Control!$C$119-$CY308)))</f>
        <v>#DIV/0!</v>
      </c>
      <c r="MY308" s="54" t="e">
        <f ca="1">IF(Control!$C$114=1, $CX308*$MX308, 0)</f>
        <v>#DIV/0!</v>
      </c>
      <c r="MZ308" s="54" t="e">
        <f t="shared" ca="1" si="1122"/>
        <v>#N/A</v>
      </c>
      <c r="NA308" s="168" t="e">
        <f ca="1">(Control!$C$128-$MX308)*(Control!$C$119-Control!$C$74)</f>
        <v>#DIV/0!</v>
      </c>
      <c r="NB308" s="168" t="e">
        <f ca="1">(Control!$C$135-$MX308)*(Control!$C$119-Control!$C$74)</f>
        <v>#DIV/0!</v>
      </c>
      <c r="NC308" s="174" t="e">
        <f t="shared" ca="1" si="1123"/>
        <v>#DIV/0!</v>
      </c>
      <c r="ND308" s="54">
        <f ca="1">IF(Control!$C$58=2, IF(OR(Control!$B$218=$AH308,Control!$B$219=$AH308, Control!$B$220=$AH308, Control!$B$221=$AH308, Control!$B$222=$AH308, Control!$B$223=$AH308, Control!$B$224=$AH308, Control!$B$225=$AH308, Control!$B$226=$AH308, Control!$B$227=$AH308, Control!$B$228=$AH308), 1, 0), 0)</f>
        <v>0</v>
      </c>
      <c r="NE308" s="54">
        <f ca="1">IF($ND308=0,0, VLOOKUP($AH308,Control!$B$218:$C$228,2))</f>
        <v>0</v>
      </c>
      <c r="NF308" s="168" t="e">
        <f ca="1">$CY308*(Control!$C$128-Control!$C$127)</f>
        <v>#N/A</v>
      </c>
      <c r="NG308" s="54" t="e">
        <f ca="1">IF(Control!$C$58=2, $NI307-$NJ307, 0)</f>
        <v>#DIV/0!</v>
      </c>
      <c r="NH308" s="54" t="e">
        <f ca="1">IF(AND(Control!$C$58=1, $MS307&lt;= ($MN307+0.02), $I307&lt;10), 0, IF(Control!$C$58=2, $NG307, 0))</f>
        <v>#DIV/0!</v>
      </c>
      <c r="NI308" s="54" t="e">
        <f ca="1">IF(Control!$C$58=2, $NE308+$NH308,0)</f>
        <v>#DIV/0!</v>
      </c>
      <c r="NJ308" s="54" t="e">
        <f ca="1">IF(AND(Control!$C$58=1, $MS308&lt;= ($MN308+0.02), $I308&lt;10), MAX(0, MIN(10, 0.7*($NF308-$MV308))), IF(Control!$C$58=2, MIN(10,$NI308),0))</f>
        <v>#DIV/0!</v>
      </c>
      <c r="NK308" s="54" t="e">
        <f t="shared" ca="1" si="1031"/>
        <v>#DIV/0!</v>
      </c>
      <c r="NL308" s="173" t="e">
        <f ca="1">(1-Control!$C$73)*$I308+$NJ308</f>
        <v>#DIV/0!</v>
      </c>
      <c r="NM308" s="172" t="e">
        <f ca="1">IF($NL308&lt;0.5, $MB308* MAX(0, MIN(1, (SQRT($NC308)-SQRT($NC308-1))*Control!$C$71)),0)</f>
        <v>#DIV/0!</v>
      </c>
      <c r="NN308" s="170" t="e">
        <f ca="1">IF($NL308&gt;=5, $MB308, MAX(0,MIN($MB308, $NM308+$NL308,($MS308-Control!$C$129))))</f>
        <v>#DIV/0!</v>
      </c>
      <c r="NO308" s="54">
        <f>IF(Control!$C$133&lt;&gt;1, Control!$C$135-Control!$C$131, 0)</f>
        <v>0.38</v>
      </c>
      <c r="NP308" s="54" t="e">
        <f t="shared" ca="1" si="1032"/>
        <v>#DIV/0!</v>
      </c>
      <c r="NQ308" s="173" t="e">
        <f ca="1">MAX(0,MIN(1,(Control!$C$135-$MS308)/(Control!$C$135-$NO308)))</f>
        <v>#DIV/0!</v>
      </c>
      <c r="NR308" s="170" t="e">
        <f ca="1">IF(Control!$C$133&lt;&gt;1, $NQ308+((1-$NP308/4)*(1-$NQ308)),1)</f>
        <v>#DIV/0!</v>
      </c>
      <c r="NS308" s="170" t="e">
        <f ca="1">IF(Control!$B$31=0,$MJ308,MAX(0,MIN($MV308,$MO308*$NR308*$MJ308)))</f>
        <v>#DIV/0!</v>
      </c>
      <c r="NT308" s="170" t="e">
        <f t="shared" ca="1" si="1148"/>
        <v>#DIV/0!</v>
      </c>
      <c r="NU308" s="170" t="e">
        <f t="shared" ca="1" si="1124"/>
        <v>#N/A</v>
      </c>
      <c r="NV308" s="170" t="e">
        <f t="shared" ca="1" si="1033"/>
        <v>#N/A</v>
      </c>
      <c r="NW308" s="175" t="e">
        <f t="shared" ca="1" si="1034"/>
        <v>#DIV/0!</v>
      </c>
      <c r="NX308" s="170" t="e">
        <f ca="1">MIN(Control!$C$72+$MU308, $NW308)</f>
        <v>#DIV/0!</v>
      </c>
      <c r="NY308" s="170" t="e">
        <f ca="1">IF($MT308&lt;=$NX308,MIN(Control!$C$72+$NB308,$NX308-$MT308),0)</f>
        <v>#DIV/0!</v>
      </c>
      <c r="NZ308" s="54" t="e">
        <f ca="1">IF(Control!$C$114=1,  $CX308*($MX308-Control!$C$127), 0)</f>
        <v>#DIV/0!</v>
      </c>
      <c r="OA308" s="170" t="e">
        <f t="shared" ca="1" si="1035"/>
        <v>#DIV/0!</v>
      </c>
      <c r="OB308" s="170" t="e">
        <f ca="1">IF($NA308 &lt;=$NY308, MIN(Control!$C$72, $NY308-$NA308), 0)</f>
        <v>#DIV/0!</v>
      </c>
      <c r="OC308" s="168" t="e">
        <f t="shared" ca="1" si="1036"/>
        <v>#DIV/0!</v>
      </c>
      <c r="OD308" s="168" t="e">
        <f t="shared" ca="1" si="1125"/>
        <v>#DIV/0!</v>
      </c>
      <c r="OE308" s="170">
        <f ca="1">Control!$C$73*$I308</f>
        <v>0</v>
      </c>
      <c r="OF308" s="176" t="e">
        <f t="shared" ca="1" si="1037"/>
        <v>#DIV/0!</v>
      </c>
      <c r="OG308" s="168" t="e">
        <f t="shared" ca="1" si="1038"/>
        <v>#DIV/0!</v>
      </c>
      <c r="OH308" s="168" t="e">
        <f t="shared" ca="1" si="1039"/>
        <v>#DIV/0!</v>
      </c>
      <c r="OI308" s="168" t="e">
        <f t="shared" ca="1" si="1040"/>
        <v>#DIV/0!</v>
      </c>
      <c r="OJ308" s="168" t="e">
        <f t="shared" ca="1" si="1041"/>
        <v>#DIV/0!</v>
      </c>
      <c r="OK308" s="204" t="e">
        <f t="shared" ca="1" si="1042"/>
        <v>#DIV/0!</v>
      </c>
      <c r="OL308" s="177">
        <f>Control!$C$127</f>
        <v>0.15</v>
      </c>
      <c r="OM308" s="182" t="e">
        <f t="shared" ca="1" si="1043"/>
        <v>#N/A</v>
      </c>
      <c r="ON308" s="177">
        <f>Control!$C$128</f>
        <v>0.35</v>
      </c>
      <c r="OO308" s="182" t="e">
        <f t="shared" ca="1" si="1044"/>
        <v>#N/A</v>
      </c>
      <c r="OP308" s="138">
        <f t="shared" ca="1" si="1126"/>
        <v>0</v>
      </c>
      <c r="OQ308" s="138" t="e">
        <f t="shared" ca="1" si="1149"/>
        <v>#DIV/0!</v>
      </c>
      <c r="OR308" s="138" t="e">
        <f t="shared" ca="1" si="1127"/>
        <v>#DIV/0!</v>
      </c>
      <c r="OS308" s="137" t="e">
        <f t="shared" ca="1" si="1150"/>
        <v>#DIV/0!</v>
      </c>
      <c r="OT308" s="139" t="e">
        <f t="shared" ca="1" si="1151"/>
        <v>#DIV/0!</v>
      </c>
      <c r="OU308" s="138" t="e">
        <f t="shared" ca="1" si="1152"/>
        <v>#N/A</v>
      </c>
      <c r="OV308" s="138" t="e">
        <f t="shared" ca="1" si="1153"/>
        <v>#DIV/0!</v>
      </c>
      <c r="OW308" s="138" t="e">
        <f t="shared" ca="1" si="1128"/>
        <v>#DIV/0!</v>
      </c>
      <c r="OX308" s="138" t="e">
        <f t="shared" ca="1" si="1129"/>
        <v>#DIV/0!</v>
      </c>
      <c r="OY308" s="138" t="e">
        <f t="shared" ca="1" si="1130"/>
        <v>#DIV/0!</v>
      </c>
      <c r="OZ308" s="138" t="e">
        <f t="shared" ca="1" si="1045"/>
        <v>#DIV/0!</v>
      </c>
      <c r="PA308" s="138" t="e">
        <f t="shared" ca="1" si="1046"/>
        <v>#DIV/0!</v>
      </c>
      <c r="PB308" s="55">
        <f>IF(Control!$C$61="T", IF(Control!$C$65="F", IF($AH$6-Control!$C$60&lt;0,0,1), IF(365+$AH$6-Control!$C$60&lt;0,0,1)),0)</f>
        <v>0</v>
      </c>
      <c r="PC308" s="55">
        <f ca="1">IF(Control!$C$65="F", IF($AH$6-$HF308&lt;0,0,1), IF(365+$AH$6-$HF308&lt;0,0,1))</f>
        <v>1</v>
      </c>
      <c r="PD308" s="444">
        <f>Control!$C$118</f>
        <v>1500</v>
      </c>
      <c r="PE308" s="180" t="e">
        <f t="shared" ca="1" si="1047"/>
        <v>#N/A</v>
      </c>
      <c r="PF308" s="445">
        <f t="shared" ca="1" si="1131"/>
        <v>0.71612369323045078</v>
      </c>
      <c r="PT308" s="186"/>
      <c r="PU308" s="186"/>
      <c r="PV308" s="94"/>
      <c r="PW308" s="94"/>
      <c r="PX308" s="94"/>
      <c r="PY308" s="94"/>
      <c r="PZ308" s="94"/>
      <c r="QA308" s="94"/>
      <c r="QB308" s="94"/>
      <c r="QC308" s="94"/>
      <c r="QD308" s="94"/>
      <c r="QE308" s="94"/>
      <c r="QF308" s="94"/>
      <c r="QG308" s="94"/>
      <c r="QH308" s="94"/>
      <c r="QI308" s="94"/>
      <c r="QJ308" s="94"/>
      <c r="QK308" s="94"/>
      <c r="QL308" s="94"/>
      <c r="QM308" s="94"/>
      <c r="QN308" s="94"/>
      <c r="QO308" s="94"/>
      <c r="QP308" s="94"/>
    </row>
    <row r="309" spans="1:458" s="2" customFormat="1" x14ac:dyDescent="0.2">
      <c r="A309" s="395">
        <v>31</v>
      </c>
      <c r="B309" s="396">
        <v>10</v>
      </c>
      <c r="C309" s="387">
        <f ca="1">Weather_data!$B308</f>
        <v>0</v>
      </c>
      <c r="D309" s="388">
        <f ca="1">Weather_data!$F308</f>
        <v>0</v>
      </c>
      <c r="E309" s="388">
        <f ca="1">Weather_data!$E308</f>
        <v>0</v>
      </c>
      <c r="F309" s="388">
        <f t="shared" ca="1" si="1048"/>
        <v>0</v>
      </c>
      <c r="G309" s="388">
        <f ca="1">AVERAGE($D309:$E309)+Control!$B$9</f>
        <v>0</v>
      </c>
      <c r="H309" s="388">
        <f ca="1">Weather_data!$G308</f>
        <v>0</v>
      </c>
      <c r="I309" s="388">
        <f ca="1">Weather_data!$I308</f>
        <v>0</v>
      </c>
      <c r="J309" s="388">
        <f ca="1">Weather_data!$H308</f>
        <v>0</v>
      </c>
      <c r="K309" s="389">
        <f ca="1">Weather_data!$D308</f>
        <v>0</v>
      </c>
      <c r="L309" s="388" t="e">
        <f t="shared" ca="1" si="1049"/>
        <v>#N/A</v>
      </c>
      <c r="M309" s="388" t="e">
        <f t="shared" ca="1" si="927"/>
        <v>#N/A</v>
      </c>
      <c r="N309" s="388">
        <f t="shared" ca="1" si="928"/>
        <v>-6.8304664806600689E-15</v>
      </c>
      <c r="O309" s="388">
        <f t="shared" ca="1" si="1050"/>
        <v>6.8304664806600686E-14</v>
      </c>
      <c r="P309" s="390">
        <v>3</v>
      </c>
      <c r="Q309" s="388">
        <f ca="1">MAX($G309-Control!$C$107,0)</f>
        <v>0</v>
      </c>
      <c r="R309" s="388">
        <f t="shared" ca="1" si="1051"/>
        <v>0</v>
      </c>
      <c r="S309" s="388">
        <f t="shared" ca="1" si="929"/>
        <v>0</v>
      </c>
      <c r="T309" s="388">
        <f t="shared" ca="1" si="930"/>
        <v>0</v>
      </c>
      <c r="U309" s="59">
        <f t="shared" ca="1" si="931"/>
        <v>0</v>
      </c>
      <c r="V309" s="391">
        <f ca="1">MAX(0,MIN(Control!$C$100-Control!$C$99,$G309-Control!$C$99)*Control!$C$63)</f>
        <v>0</v>
      </c>
      <c r="W309" s="388">
        <f t="shared" ca="1" si="1052"/>
        <v>0</v>
      </c>
      <c r="X309" s="388">
        <f t="shared" ca="1" si="1053"/>
        <v>0.6110000000000001</v>
      </c>
      <c r="Y309" s="388">
        <f t="shared" ca="1" si="932"/>
        <v>0</v>
      </c>
      <c r="Z309" s="388">
        <f t="shared" ca="1" si="1054"/>
        <v>0.61058800000000002</v>
      </c>
      <c r="AA309" s="388">
        <f t="shared" ca="1" si="933"/>
        <v>0.6018</v>
      </c>
      <c r="AB309" s="388">
        <f ca="1">101.3*EXP(-0.034*Control!$C$66/($G309+273))</f>
        <v>100.69623283836242</v>
      </c>
      <c r="AC309" s="392">
        <f t="shared" ca="1" si="934"/>
        <v>4.3460251046025113E-2</v>
      </c>
      <c r="AD309" s="392">
        <f t="shared" ca="1" si="935"/>
        <v>4.4450382862832649E-2</v>
      </c>
      <c r="AE309" s="388">
        <f t="shared" ca="1" si="936"/>
        <v>0</v>
      </c>
      <c r="AF309" s="388">
        <f ca="1">MAX(0,$G309-Control!$C$92)</f>
        <v>0</v>
      </c>
      <c r="AG309" s="393">
        <f t="shared" ca="1" si="937"/>
        <v>305</v>
      </c>
      <c r="AH309" s="389">
        <f t="shared" ca="1" si="938"/>
        <v>305</v>
      </c>
      <c r="AI309" s="388">
        <f t="shared" ca="1" si="1055"/>
        <v>-0.26242854390367937</v>
      </c>
      <c r="AJ309" s="388">
        <f ca="1">IF(Control!$C$60&lt;=0,$HH309,$HI309)</f>
        <v>1</v>
      </c>
      <c r="AK309" s="388">
        <f t="shared" ca="1" si="939"/>
        <v>3.8731964222339914</v>
      </c>
      <c r="AL309" s="388">
        <f t="shared" ca="1" si="940"/>
        <v>3.4259765163691115E-18</v>
      </c>
      <c r="AM309" s="388">
        <f t="shared" ca="1" si="941"/>
        <v>3.8731964222339914</v>
      </c>
      <c r="AN309" s="388">
        <f t="shared" ca="1" si="942"/>
        <v>-0.26898783513308716</v>
      </c>
      <c r="AO309" s="388">
        <f ca="1">-0.10453/COS(Control!$B$8*PI()/180)*COS(AN309)</f>
        <v>-0.16367946483185802</v>
      </c>
      <c r="AP309" s="388">
        <f ca="1">ACOS(AO309-TAN(Control!$B$8*PI()/180)*TAN(AN309))</f>
        <v>1.3804892429897766</v>
      </c>
      <c r="AQ309" s="388">
        <f t="shared" ca="1" si="1056"/>
        <v>0</v>
      </c>
      <c r="AR309" s="394">
        <f t="shared" ca="1" si="943"/>
        <v>0</v>
      </c>
      <c r="AS309" s="436">
        <f ca="1">IF(Control!$B$18=2,(IF(OR($AH309=Control!$B$175,$AH309=Control!$B$176,$AH309=Control!$B$177,$AH309=Control!$B$178,$AH309=Control!$B$179,$AH309=Control!$B$180,$AH309=Control!$B$181,$AH309=Control!$B$182,$AH309=Control!$B$183,$AH309=Control!$B$184,$AH309=Control!$B$185),1,0)),0)</f>
        <v>0</v>
      </c>
      <c r="AT309" s="436">
        <f>IF(Control!$B$20=8,IF(AND($AH309&gt;=Control!$B$172,$AH309&lt;=Control!$B$173),1,0),0)</f>
        <v>0</v>
      </c>
      <c r="AU309" s="436">
        <f>IF(Control!$B$20=8,IF($AV308=1,1*$AT309,IF($AT309=1,$AU308+1,$AU308)),0)</f>
        <v>0</v>
      </c>
      <c r="AV309" s="436">
        <f>IF(Control!$B$20=8,IF($AU309&gt;=Control!$B$174,1,0),0)</f>
        <v>0</v>
      </c>
      <c r="AW309" s="436">
        <f ca="1">IF(AND(Control!$B$18=2,Control!$B$171=1), $AV309, $AS309)</f>
        <v>0</v>
      </c>
      <c r="AX309" s="436" t="e">
        <f ca="1">IF(AND(Control!$B$18=1,$EU309&gt;=Control!$B$19),-$AY309,IF(AND(Control!$B$18=2,$AW309=1,$EU309&gt;$DS309),-$AY309, IF(Control!$C$108=0,0, IF(Control!$C$108&lt;&gt;0,1))))</f>
        <v>#N/A</v>
      </c>
      <c r="AY309" s="436" t="e">
        <f t="shared" ca="1" si="1057"/>
        <v>#N/A</v>
      </c>
      <c r="AZ309" s="436" t="e">
        <f ca="1">IF(AND(Control!$B$18=1,$EB309&gt;Control!$B$19),$AZ308+1, IF(AND(Control!$B$18=2, $AW309=1, $EB309&gt;$DS309), $AZ308+1,$AZ308))</f>
        <v>#N/A</v>
      </c>
      <c r="BA309" s="587">
        <f>IF(Control!$C$81=0,1,IF($AH309&gt;=Control!$C$82,1,0))</f>
        <v>1</v>
      </c>
      <c r="BB309" s="140" t="e">
        <f ca="1">IF($BA309&gt;$BA308,Control!$C$83,IF($AW309&gt;0,$AW309*Control!$C$84,IF(AND(Control!$B$18=1,EN308&lt;&gt;0),Control!$C$84,0)))</f>
        <v>#N/A</v>
      </c>
      <c r="BC309" s="140" t="e">
        <f t="shared" ca="1" si="1058"/>
        <v>#N/A</v>
      </c>
      <c r="BD309" s="140" t="e">
        <f ca="1">BC309*IF(OR($G309&lt;Control!$C$92,$G309&gt;Control!$C$95),0,IF(AND($G309&gt;=Control!$C$92,$G309&lt;=Control!$C$93),$G309-Control!$C$92,IF(AND($G309&gt;Control!$C$93,$G309&lt;=Control!$C$94),Control!$C$93-Control!$C$92,IF(AND($G309&gt;Control!$C$94,$G309&lt;=Control!$C$95),(Control!$C$93-Control!$C$92)*(Control!$C$94-$G309)/(Control!$C$95-Control!$C$94)))))</f>
        <v>#N/A</v>
      </c>
      <c r="BE309" s="140" t="e">
        <f t="shared" ca="1" si="1059"/>
        <v>#N/A</v>
      </c>
      <c r="BF309" s="140" t="e">
        <f ca="1">IF($BE309&lt;=Control!$C$86,$BE309,Control!$C$86-$BE309)</f>
        <v>#N/A</v>
      </c>
      <c r="BG309" s="140" t="e">
        <f ca="1">IF(AND($AW309=1,Control!$C$84&lt;9),1,IF($BE309&gt;=Control!$C$86,0,$BC309))</f>
        <v>#N/A</v>
      </c>
      <c r="BH309" s="404" t="e">
        <f ca="1">IF($BG309=0,0,IF($BE309&lt;=Control!$C$86,$BC309*9*($BF309/Control!$C$86),0))</f>
        <v>#N/A</v>
      </c>
      <c r="BI309" s="140" t="e">
        <f ca="1">IF($BG309=1,0,IF($BE309&gt;=Control!$C$86,1,IF(AND($BB309&lt;21,$BB309&gt;=9),1,$BM308)))</f>
        <v>#N/A</v>
      </c>
      <c r="BJ309" s="140" t="e">
        <f ca="1">IF($BF309&lt;0,-$BF309,$BI309*IF(OR($G309&lt;Control!$C$92,$G309&gt;Control!$C$95),0,IF(AND($G309&gt;=Control!$C$92,$G309&lt;=Control!$C$93),$G309-Control!$C$92,IF(AND($G309&gt;Control!$C$93,$G309&lt;=Control!$C$94),Control!$C$93-Control!$C$92,IF(AND($G309&gt;Control!$C$94,$G309&lt;=Control!$C$95),(Control!$C$93-Control!$C$92)*(Control!$C$94-$G309)/(Control!$C$95-Control!$C$94))))))</f>
        <v>#N/A</v>
      </c>
      <c r="BK309" s="140" t="e">
        <f t="shared" ca="1" si="1060"/>
        <v>#N/A</v>
      </c>
      <c r="BL309" s="140" t="e">
        <f ca="1">IF($BK309&lt;=Control!$C$87,$BK309,Control!$C$87-$BK309)</f>
        <v>#N/A</v>
      </c>
      <c r="BM309" s="140" t="e">
        <f ca="1">IF(AND($BB309&gt;=9,$BB309&lt;21),1,IF($BK309&gt;=Control!$C$87,0,$BI309))</f>
        <v>#N/A</v>
      </c>
      <c r="BN309" s="404" t="e">
        <f ca="1">IF($BM309=0,0,IF($BK309&lt;=Control!$C$87,$BI309*(9+(21-9)*($BL309/Control!$C$87)),0))</f>
        <v>#N/A</v>
      </c>
      <c r="BO309" s="140" t="e">
        <f ca="1">IF($BM309=1,0,IF($BK309&gt;=Control!$C$87,1,IF(AND($BB309&lt;30,$BB309&gt;=21),1,$BS308)))</f>
        <v>#N/A</v>
      </c>
      <c r="BP309" s="140" t="e">
        <f ca="1">IF($BL309&lt;0,-$BL309,$BO309*IF(OR($G309&lt;Control!$C$92,$G309&gt;Control!$C$95),0,IF(AND($G309&gt;=Control!$C$92,$G309&lt;=Control!$C$93),$G309-Control!$C$92,IF(AND($G309&gt;Control!$C$93,$G309&lt;=Control!$C$94),Control!$C$93-Control!$C$92,IF(AND($G309&gt;Control!$C$94,$G309&lt;=Control!$C$95),(Control!$C$93-Control!$C$92)*(Control!$C$94-$G309)/(Control!$C$95-Control!$C$94))))))</f>
        <v>#N/A</v>
      </c>
      <c r="BQ309" s="140" t="e">
        <f t="shared" ca="1" si="944"/>
        <v>#N/A</v>
      </c>
      <c r="BR309" s="140" t="e">
        <f ca="1">IF($BQ309&lt;=Control!$C$88,$BQ309,Control!$C$88-$BQ309)</f>
        <v>#N/A</v>
      </c>
      <c r="BS309" s="140" t="e">
        <f ca="1">IF(AND($BB309&gt;=21,$BB309&lt;30),1,IF($BQ309&gt;=Control!$C$88,0,$BO309))</f>
        <v>#N/A</v>
      </c>
      <c r="BT309" s="404" t="e">
        <f ca="1">IF($BS309=0,0,IF($BQ309&lt;=Control!$C$88,$BO309*(21+(30-21)*(BR309/Control!$C$88)),0))</f>
        <v>#N/A</v>
      </c>
      <c r="BU309" s="140" t="e">
        <f ca="1">IF(BG309+BM309+BS309=1,0,IF(OR(AND($BB309&lt;60,$BB309&gt;=30),$BQ309&gt;=Control!$C$88),1*$BA309,$BY308))</f>
        <v>#N/A</v>
      </c>
      <c r="BV309" s="140" t="e">
        <f ca="1">IF($BR309&lt;0,-$BR309,$BU309*IF(OR($G309&lt;Control!$C$92,$G309&gt;Control!$C$95),0,IF(AND($G309&gt;=Control!$C$92,$G309&lt;=Control!$C$93),$G309-Control!$C$92,IF(AND($G309&gt;Control!$C$93,$G309&lt;=Control!$C$94),Control!$C$93-Control!$C$92,IF(AND($G309&gt;Control!$C$94,$G309&lt;=Control!$C$95),(Control!$C$93-Control!$C$92)*(Control!$C$94-$G309)/(Control!$C$95-Control!$C$94))))))</f>
        <v>#N/A</v>
      </c>
      <c r="BW309" s="140" t="e">
        <f t="shared" ca="1" si="945"/>
        <v>#N/A</v>
      </c>
      <c r="BX309" s="140" t="e">
        <f ca="1">IF($BW309&lt;=Control!$C$89,$BW309,Control!$C$89-$BW309)</f>
        <v>#N/A</v>
      </c>
      <c r="BY309" s="140" t="e">
        <f ca="1">IF(AND($AJ309&gt;=30,$AJ309&lt;60),1,IF($BW309&gt;=Control!$C$89,0,$BU309))</f>
        <v>#N/A</v>
      </c>
      <c r="BZ309" s="404" t="e">
        <f ca="1">IF($BY309=0,0,IF($BW309&lt;=Control!$C$89,$BU309*(30+(60-30)*(BX309/Control!$C$89)),0))</f>
        <v>#N/A</v>
      </c>
      <c r="CA309" s="140" t="e">
        <f ca="1">IF($BG309+$BM309+$BS309+$BY309=1,0,IF(OR(AND($BB309&lt;65,$BB309&gt;=60),$BW309&gt;=Control!$C$89),1*$BA309,$CE308))</f>
        <v>#N/A</v>
      </c>
      <c r="CB309" s="140" t="e">
        <f ca="1">IF($BX309&lt;0,-$BX309,$CA309*IF(OR($G309&lt;Control!$C$92,$G309&gt;Control!$C$95),0,IF(AND($G309&gt;=Control!$C$92,$G309&lt;=Control!$C$93),$G309-Control!$C$92,IF(AND($G309&gt;Control!$C$93,$G309&lt;=Control!$C$94),Control!$C$93-Control!$C$92,IF(AND($G309&gt;Control!$C$94,$G309&lt;=Control!$C$95),(Control!$C$93-Control!$C$92)*(Control!$C$94-$G309)/(Control!$C$95-Control!$C$94))))))</f>
        <v>#N/A</v>
      </c>
      <c r="CC309" s="140" t="e">
        <f t="shared" ca="1" si="1061"/>
        <v>#N/A</v>
      </c>
      <c r="CD309" s="140" t="e">
        <f ca="1">IF($CC309&lt;=Control!$C$90,$CC309,Control!$C$90-$CC309)</f>
        <v>#N/A</v>
      </c>
      <c r="CE309" s="140" t="e">
        <f ca="1">IF(AND($BB309&gt;=60,$BB309&lt;65),1,IF($CC309&gt;=Control!$C$90,0,$CA309))</f>
        <v>#N/A</v>
      </c>
      <c r="CF309" s="404" t="e">
        <f ca="1">IF($CE309=0,0,IF($CC309&lt;=Control!$C$90,$CA309*(60+(65-60)*(CD309/Control!$C$90)),0))</f>
        <v>#N/A</v>
      </c>
      <c r="CG309" s="140" t="e">
        <f ca="1">IF($BG309+$BM309+$BS309+$BY309+$CE309=1,0,IF(OR(AND($BB309&lt;90,$BB309&gt;=65),$CC309&gt;=Control!$C$90),$BA309,$CK308))</f>
        <v>#N/A</v>
      </c>
      <c r="CH309" s="140" t="e">
        <f ca="1">IF($CD309&lt;0,-$CD309,$CG309*IF(OR($G309&lt;Control!$C$92,$G309&gt;Control!$C$95),0,IF(AND($G309&gt;=Control!$C$92,$G309&lt;=Control!$C$93),$G309-Control!$C$92,IF(AND($G309&gt;Control!$C$93,$G309&lt;=Control!$C$94),Control!$C$93-Control!$C$92,IF(AND($G309&gt;Control!$C$94,$G309&lt;=Control!$C$95),(Control!$C$93-Control!$C$92)*(Control!$C$94-$G309)/(Control!$C$95-Control!$C$94))))))</f>
        <v>#N/A</v>
      </c>
      <c r="CI309" s="140" t="e">
        <f t="shared" ca="1" si="1062"/>
        <v>#N/A</v>
      </c>
      <c r="CJ309" s="140" t="e">
        <f ca="1">IF($CI309&lt;=Control!$C$91,$CI309,Control!$C$91-$CI309)</f>
        <v>#N/A</v>
      </c>
      <c r="CK309" s="140" t="e">
        <f ca="1">IF(AND($BB309&gt;=65,$BB309&lt;90),1,IF($CI309&gt;=Control!$C$91,0,$CG309))</f>
        <v>#N/A</v>
      </c>
      <c r="CL309" s="404" t="e">
        <f ca="1">IF($CK309=0,0,IF($CI309&lt;=Control!$C$91,$CG309*(65+(90-65)*($CJ309/Control!$C$91)),0))</f>
        <v>#N/A</v>
      </c>
      <c r="CM309" s="140" t="e">
        <f ca="1">IF($BG309+$BM309+$BS309+$BY309+$CE309+$CK309=1,0,IF(OR($BB309&gt;=90,$CI309&gt;=Control!$C$91),$BA309,$CM308))</f>
        <v>#N/A</v>
      </c>
      <c r="CN309" s="140" t="e">
        <f t="shared" ca="1" si="1063"/>
        <v>#N/A</v>
      </c>
      <c r="CO309" s="140" t="e">
        <f t="shared" ca="1" si="1064"/>
        <v>#N/A</v>
      </c>
      <c r="CP309" s="140" t="e">
        <f t="shared" ca="1" si="1065"/>
        <v>#N/A</v>
      </c>
      <c r="CQ309" s="141" t="e">
        <f ca="1">VLOOKUP($CP309,Control!$B$86:$G$91,6)</f>
        <v>#N/A</v>
      </c>
      <c r="CR309" s="141" t="e">
        <f ca="1">(1-$CQ309)*VLOOKUP($CP309,Control!$B$86:$D$91,3)</f>
        <v>#N/A</v>
      </c>
      <c r="CS309" s="141" t="e">
        <f ca="1">(1-$CQ309)*VLOOKUP($CP309,Control!$B$86:$E$91,4)</f>
        <v>#N/A</v>
      </c>
      <c r="CT309" s="141" t="e">
        <f ca="1">(1-$CQ309)*VLOOKUP($CP309,Control!$B$86:$F$91,5)</f>
        <v>#N/A</v>
      </c>
      <c r="CU309" s="141">
        <f t="shared" ca="1" si="1066"/>
        <v>0</v>
      </c>
      <c r="CV309" s="583">
        <f t="shared" ca="1" si="1067"/>
        <v>0</v>
      </c>
      <c r="CW309" s="142">
        <f t="shared" ca="1" si="1068"/>
        <v>305</v>
      </c>
      <c r="CX309" s="612" t="e">
        <f ca="1">IF(Control!$C$114=1,(MIN(Control!$C$120*(IF($NT309-0.01&lt;0,0,1)),Control!$C$119-$CY309)))</f>
        <v>#DIV/0!</v>
      </c>
      <c r="CY309" s="143" t="e">
        <f t="shared" ca="1" si="1069"/>
        <v>#N/A</v>
      </c>
      <c r="CZ309" s="144">
        <f t="shared" ca="1" si="946"/>
        <v>0</v>
      </c>
      <c r="DA309" s="144">
        <f t="shared" ca="1" si="947"/>
        <v>0</v>
      </c>
      <c r="DB309" s="144" t="e">
        <f t="shared" ca="1" si="948"/>
        <v>#N/A</v>
      </c>
      <c r="DC309" s="144" t="e">
        <f t="shared" ca="1" si="949"/>
        <v>#N/A</v>
      </c>
      <c r="DD309" s="144" t="e">
        <f t="shared" ca="1" si="1154"/>
        <v>#N/A</v>
      </c>
      <c r="DE309" s="143" t="e">
        <f t="shared" ca="1" si="1070"/>
        <v>#N/A</v>
      </c>
      <c r="DF309" s="145" t="e">
        <f ca="1">$DR309*EXP(-Control!$C$158*(1-$KH309))</f>
        <v>#N/A</v>
      </c>
      <c r="DG309" s="146" t="e">
        <f ca="1">IF(Control!$C$114=1, $DF309*$EY309, 0)</f>
        <v>#N/A</v>
      </c>
      <c r="DH309" s="147" t="e">
        <f t="shared" ca="1" si="1071"/>
        <v>#N/A</v>
      </c>
      <c r="DI309" s="144" t="e">
        <f t="shared" ca="1" si="1132"/>
        <v>#N/A</v>
      </c>
      <c r="DJ309" s="147" t="e">
        <f ca="1">$EF309*Control!$C$109</f>
        <v>#N/A</v>
      </c>
      <c r="DK309" s="144" t="e">
        <f t="shared" ca="1" si="1072"/>
        <v>#N/A</v>
      </c>
      <c r="DL309" s="144" t="e">
        <f t="shared" ca="1" si="950"/>
        <v>#N/A</v>
      </c>
      <c r="DM309" s="144" t="e">
        <f ca="1">IF(Control!$C$114=1, (1-EXP(-Control!$C$96*$DK309))*$AR309, 0)</f>
        <v>#N/A</v>
      </c>
      <c r="DN309" s="144">
        <f t="shared" ca="1" si="1073"/>
        <v>0</v>
      </c>
      <c r="DO309" s="148">
        <f>Control!$C$97</f>
        <v>4</v>
      </c>
      <c r="DP309" s="145" t="e">
        <f t="shared" ca="1" si="1074"/>
        <v>#N/A</v>
      </c>
      <c r="DQ309" s="145" t="e">
        <f ca="1">IF(AND($CP309&gt;=0,$CP309&lt;=90),Control!$C$111,Control!$C$111)</f>
        <v>#N/A</v>
      </c>
      <c r="DR309" s="145" t="e">
        <f t="shared" ca="1" si="951"/>
        <v>#N/A</v>
      </c>
      <c r="DS309" s="143" t="e">
        <f ca="1">Control!$B$22/$DR309</f>
        <v>#N/A</v>
      </c>
      <c r="DT309" s="149" t="e">
        <f ca="1">IF(AND(Control!$C$114=1,$KH309&lt;1),$IM309*$DF309, 0)</f>
        <v>#N/A</v>
      </c>
      <c r="DU309" s="144" t="e">
        <f t="shared" ca="1" si="1075"/>
        <v>#N/A</v>
      </c>
      <c r="DV309" s="144">
        <f ca="1">IF($G309-Control!$C$107&lt;=0, 0, 0.83*LN(MAX($G309, 3))-0.8924)</f>
        <v>0</v>
      </c>
      <c r="DW309" s="144" t="e">
        <f t="shared" ca="1" si="952"/>
        <v>#N/A</v>
      </c>
      <c r="DX309" s="150" t="e">
        <f ca="1">MAX(0.01*(1+$CU309/Control!$C$102),0.05*($DK309-Control!$C$97)/Control!$C$97)</f>
        <v>#N/A</v>
      </c>
      <c r="DY309" s="151" t="e">
        <f ca="1">IF(Control!$C$114=1, $DI309*$FS309, 0)</f>
        <v>#N/A</v>
      </c>
      <c r="DZ309" s="196" t="e">
        <f t="shared" ca="1" si="1076"/>
        <v>#N/A</v>
      </c>
      <c r="EA309" s="152">
        <f t="shared" ca="1" si="1077"/>
        <v>305</v>
      </c>
      <c r="EB309" s="153" t="e">
        <f t="shared" ca="1" si="1078"/>
        <v>#N/A</v>
      </c>
      <c r="EC309" s="153" t="e">
        <f t="shared" ca="1" si="1079"/>
        <v>#N/A</v>
      </c>
      <c r="ED309" s="154" t="e">
        <f ca="1">IF(Control!$C$114=1, $HM309*$FY309-$FD309, 0)</f>
        <v>#DIV/0!</v>
      </c>
      <c r="EE309" s="155" t="e">
        <f ca="1">IF(Control!$C$114=1, $HM309*$FZ309-$FF309, 0)</f>
        <v>#DIV/0!</v>
      </c>
      <c r="EF309" s="153" t="e">
        <f t="shared" ca="1" si="1133"/>
        <v>#N/A</v>
      </c>
      <c r="EG309" s="155" t="e">
        <f ca="1">IF(Control!$C$114=1, $GX309*$FW309-$FI309, 0)</f>
        <v>#DIV/0!</v>
      </c>
      <c r="EH309" s="153" t="e">
        <f t="shared" ca="1" si="1080"/>
        <v>#N/A</v>
      </c>
      <c r="EI309" s="156" t="e">
        <f t="shared" ca="1" si="1081"/>
        <v>#N/A</v>
      </c>
      <c r="EJ309" s="155" t="e">
        <f ca="1">IF(Control!$C$114=1, $HM309*$GB309, 0)</f>
        <v>#DIV/0!</v>
      </c>
      <c r="EK309" s="153" t="e">
        <f t="shared" ca="1" si="1134"/>
        <v>#N/A</v>
      </c>
      <c r="EL309" s="153" t="e">
        <f t="shared" ca="1" si="953"/>
        <v>#N/A</v>
      </c>
      <c r="EM309" s="153" t="e">
        <f t="shared" ca="1" si="954"/>
        <v>#N/A</v>
      </c>
      <c r="EN309" s="153" t="e">
        <f ca="1">IF(Control!$C$108=1,IF(AND(Control!$B$18=1,$EB309&gt;=Control!$B$19),$EB309-$DS309,IF(AND(Control!$B$18=2,$AW309=1,$EB309&gt;$DS309),$EB309-$DS309,0)))</f>
        <v>#N/A</v>
      </c>
      <c r="EO309" s="153" t="e">
        <f ca="1">IF(Control!$C$108=1,IF(AND(Control!$B$18=1,$EB309&gt;=Control!$B$19),$EF309,IF(AND(Control!$B$18=2,$AW309=1),$EF309,0)))</f>
        <v>#N/A</v>
      </c>
      <c r="EP309" s="153" t="e">
        <f ca="1">IF(Control!$C$108=1,IF(AND(Control!$B$18=1,$EB309&gt;=Control!$B$19),$EK309,IF(AND(Control!$B$18=2,$AW309=1),$EK309,0)))</f>
        <v>#N/A</v>
      </c>
      <c r="EQ309" s="153" t="e">
        <f t="shared" ca="1" si="1082"/>
        <v>#N/A</v>
      </c>
      <c r="ER309" s="153" t="e">
        <f t="shared" ca="1" si="1083"/>
        <v>#N/A</v>
      </c>
      <c r="ES309" s="153" t="e">
        <f t="shared" ca="1" si="1135"/>
        <v>#N/A</v>
      </c>
      <c r="ET309" s="153" t="e">
        <f t="shared" ca="1" si="1136"/>
        <v>#N/A</v>
      </c>
      <c r="EU309" s="153" t="e">
        <f t="shared" ca="1" si="1084"/>
        <v>#N/A</v>
      </c>
      <c r="EV309" s="153" t="e">
        <f t="shared" ca="1" si="955"/>
        <v>#N/A</v>
      </c>
      <c r="EW309" s="153" t="e">
        <f t="shared" ca="1" si="956"/>
        <v>#N/A</v>
      </c>
      <c r="EX309" s="153" t="e">
        <f t="shared" ca="1" si="957"/>
        <v>#N/A</v>
      </c>
      <c r="EY309" s="157" t="e">
        <f t="shared" ca="1" si="958"/>
        <v>#DIV/0!</v>
      </c>
      <c r="EZ309" s="154" t="e">
        <f t="shared" ca="1" si="959"/>
        <v>#DIV/0!</v>
      </c>
      <c r="FA309" s="153" t="e">
        <f t="shared" ca="1" si="1085"/>
        <v>#N/A</v>
      </c>
      <c r="FB309" s="153" t="e">
        <f t="shared" ca="1" si="960"/>
        <v>#N/A</v>
      </c>
      <c r="FC309" s="193" t="e">
        <f t="shared" ca="1" si="961"/>
        <v>#N/A</v>
      </c>
      <c r="FD309" s="158" t="e">
        <f t="shared" ca="1" si="1086"/>
        <v>#N/A</v>
      </c>
      <c r="FE309" s="158" t="e">
        <f t="shared" ca="1" si="1087"/>
        <v>#N/A</v>
      </c>
      <c r="FF309" s="159" t="e">
        <f t="shared" ca="1" si="962"/>
        <v>#N/A</v>
      </c>
      <c r="FG309" s="160" t="e">
        <f t="shared" ca="1" si="1088"/>
        <v>#N/A</v>
      </c>
      <c r="FH309" s="158" t="e">
        <f t="shared" ca="1" si="1089"/>
        <v>#N/A</v>
      </c>
      <c r="FI309" s="159" t="e">
        <f t="shared" ca="1" si="963"/>
        <v>#N/A</v>
      </c>
      <c r="FJ309" s="160" t="e">
        <f t="shared" ca="1" si="1090"/>
        <v>#N/A</v>
      </c>
      <c r="FK309" s="160" t="e">
        <f t="shared" ca="1" si="964"/>
        <v>#N/A</v>
      </c>
      <c r="FL309" s="160" t="e">
        <f t="shared" ca="1" si="1137"/>
        <v>#N/A</v>
      </c>
      <c r="FM309" s="160" t="e">
        <f t="shared" ca="1" si="965"/>
        <v>#N/A</v>
      </c>
      <c r="FN309" s="158">
        <f t="shared" ca="1" si="1091"/>
        <v>0.01</v>
      </c>
      <c r="FO309" s="160">
        <f>Control!$C$101</f>
        <v>50</v>
      </c>
      <c r="FP309" s="150" t="e">
        <f t="shared" ca="1" si="966"/>
        <v>#N/A</v>
      </c>
      <c r="FQ309" s="150" t="e">
        <f ca="1">MAX(0,(Control!$C$112*(($DK309-Control!$C$97)/Control!$C$97)))</f>
        <v>#N/A</v>
      </c>
      <c r="FR309" s="150" t="e">
        <f ca="1">(1-$NT309)*Control!$C$113</f>
        <v>#DIV/0!</v>
      </c>
      <c r="FS309" s="198" t="e">
        <f t="shared" ca="1" si="967"/>
        <v>#N/A</v>
      </c>
      <c r="FT309" s="161">
        <f t="shared" ca="1" si="1092"/>
        <v>305</v>
      </c>
      <c r="FU309" s="162" t="e">
        <f ca="1">IF(Control!$B$34=1,VLOOKUP($CP309,Control!$B$86:$G$91,6),Control!$B$35)</f>
        <v>#N/A</v>
      </c>
      <c r="FV309" s="162" t="e">
        <f t="shared" ca="1" si="968"/>
        <v>#DIV/0!</v>
      </c>
      <c r="FW309" s="162" t="e">
        <f ca="1">IF(Control!$B$31=1,$FU309*$FV309,  $FU309)</f>
        <v>#N/A</v>
      </c>
      <c r="FX309" s="162" t="e">
        <f ca="1">IF(Control!$B$34=1,VLOOKUP($CP309,Control!$B$86:$G$91,3),Control!$B$36)</f>
        <v>#N/A</v>
      </c>
      <c r="FY309" s="162" t="e">
        <f t="shared" ca="1" si="969"/>
        <v>#N/A</v>
      </c>
      <c r="FZ309" s="162" t="e">
        <f ca="1">IF(Control!$B$34=1,VLOOKUP($CP309,Control!$B$86:$G$91,4),Control!$B$37)</f>
        <v>#N/A</v>
      </c>
      <c r="GA309" s="162" t="e">
        <f t="shared" ca="1" si="970"/>
        <v>#N/A</v>
      </c>
      <c r="GB309" s="162" t="e">
        <f ca="1">IF(Control!$B$34=1,VLOOKUP($CP309,Control!$B$86:$G$91,5),Control!$B$38)</f>
        <v>#N/A</v>
      </c>
      <c r="GC309" s="162" t="e">
        <f t="shared" ca="1" si="1093"/>
        <v>#N/A</v>
      </c>
      <c r="GD309" s="162">
        <f t="shared" ca="1" si="971"/>
        <v>1</v>
      </c>
      <c r="GE309" s="162">
        <f t="shared" ca="1" si="972"/>
        <v>1</v>
      </c>
      <c r="GF309" s="162">
        <f ca="1">IF(AND(Control!$C$104=1, Control!$C$62="F"),$GE309,1)</f>
        <v>1</v>
      </c>
      <c r="GG309" s="162" t="e">
        <f ca="1">IF(Control!$B$16=40,0,IF(AND(Control!$B$16&gt;40,Control!$B$16&lt;=360),(Control!$B$16-40)*((1-0)/(360-40)),IF(AND(Control!$B$16&gt;360,Control!$B$16&lt;=720),(1+(Control!$B$16-360)*((1.25-1)/(720-360))),IF(AND(Control!$B$16&gt;720,Control!$B$16&lt;=1000),(1.25+(Control!$B$16-720)*((1.35-1.25)/(1000-720))),IF(AND(Control!$B$16&gt;1000,Control!$B$16&lt;=2000),(1.35+(Control!$B$16-1000)*0))))))</f>
        <v>#N/A</v>
      </c>
      <c r="GH309" s="162" t="e">
        <f t="shared" ca="1" si="973"/>
        <v>#N/A</v>
      </c>
      <c r="GI309" s="162">
        <f t="shared" ca="1" si="1094"/>
        <v>0</v>
      </c>
      <c r="GJ309" s="162">
        <f t="shared" ca="1" si="974"/>
        <v>0</v>
      </c>
      <c r="GK309" s="162">
        <f t="shared" ca="1" si="1095"/>
        <v>1</v>
      </c>
      <c r="GL309" s="162">
        <f t="shared" ca="1" si="975"/>
        <v>1</v>
      </c>
      <c r="GM309" s="162" t="e">
        <f ca="1">MAX(0,MIN(1,1-Control!$C$156*(1.0001-$KH309)^2))</f>
        <v>#N/A</v>
      </c>
      <c r="GN309" s="162" t="e">
        <f ca="1">IF(Control!$B$26=1,$KU309,$KX309)</f>
        <v>#N/A</v>
      </c>
      <c r="GO309" s="162" t="e">
        <f ca="1">IF($CP309&lt;=60,Control!$C$105,IF($CP309&gt;=90,Control!$C$106,Control!$C$105+($CP309-60)*((Control!$C$106-Control!$C$105)/(90-60))))</f>
        <v>#N/A</v>
      </c>
      <c r="GP309" s="162" t="e">
        <f t="shared" ca="1" si="976"/>
        <v>#N/A</v>
      </c>
      <c r="GQ309" s="162" t="e">
        <f t="shared" ca="1" si="1096"/>
        <v>#N/A</v>
      </c>
      <c r="GR309" s="163" t="e">
        <f t="shared" ca="1" si="977"/>
        <v>#DIV/0!</v>
      </c>
      <c r="GS309" s="162" t="e">
        <f t="shared" ca="1" si="978"/>
        <v>#DIV/0!</v>
      </c>
      <c r="GT309" s="164" t="e">
        <f t="shared" ca="1" si="1097"/>
        <v>#N/A</v>
      </c>
      <c r="GU309" s="162" t="e">
        <f t="shared" ca="1" si="1098"/>
        <v>#N/A</v>
      </c>
      <c r="GV309" s="162" t="e">
        <f t="shared" ca="1" si="979"/>
        <v>#N/A</v>
      </c>
      <c r="GW309" s="162" t="e">
        <f t="shared" ca="1" si="980"/>
        <v>#DIV/0!</v>
      </c>
      <c r="GX309" s="162" t="e">
        <f t="shared" ca="1" si="1099"/>
        <v>#DIV/0!</v>
      </c>
      <c r="GY309" s="162" t="e">
        <f t="shared" ca="1" si="1100"/>
        <v>#DIV/0!</v>
      </c>
      <c r="GZ309" s="165" t="e">
        <f t="shared" ca="1" si="981"/>
        <v>#N/A</v>
      </c>
      <c r="HA309" s="162" t="e">
        <f ca="1">IF(Control!$C$114=1, $DI309*$FS309, 0)</f>
        <v>#N/A</v>
      </c>
      <c r="HB309" s="162" t="e">
        <f ca="1">$FA309/Control!$C$64</f>
        <v>#N/A</v>
      </c>
      <c r="HC309" s="162" t="e">
        <f t="shared" ca="1" si="982"/>
        <v>#DIV/0!</v>
      </c>
      <c r="HD309" s="162">
        <f ca="1">-ASIN(SIN(23.45*Control!$C$139)*COS(2*Control!$C$138*($AH309+10)/365))</f>
        <v>-0.26242854390367937</v>
      </c>
      <c r="HE309" s="165">
        <f t="shared" ca="1" si="1101"/>
        <v>0</v>
      </c>
      <c r="HF309" s="166">
        <f ca="1">IF(AND(Control!$C$61="T",$HE309&gt;=Control!$C$103,Control!$C$114=0),$AH309,Control!$C$59)</f>
        <v>1</v>
      </c>
      <c r="HG309" s="166">
        <f ca="1">IF(AND(Control!$C$61="T",$HE309&gt;=Control!$C$103,Control!$C$114=0),$HF309,Control!$C$59)</f>
        <v>1</v>
      </c>
      <c r="HH309" s="165">
        <f ca="1">IF(AND(OR(Control!$C$60&lt;=0, $AH309= Control!$C$59, Control!$C$60 &gt;0, $AH309 = Control!$C$60)), Control!$C$59, IF(Control!$C$60&gt;0, 0))</f>
        <v>1</v>
      </c>
      <c r="HI309" s="165">
        <f ca="1">IF(AND(OR(Control!$C$60&lt;=0, $AH309= Control!$C$59, Control!$C$60 &gt;0, $AH309 = Control!$C$60)), Control!$C$60, IF(Control!$C$60&lt;=0, 0))</f>
        <v>0</v>
      </c>
      <c r="HJ309" s="166">
        <f ca="1">IF(AND(Control!$C$62="F",$CV309&gt;=Control!$C$102),$AH309,0)</f>
        <v>0</v>
      </c>
      <c r="HK309" s="165" t="e">
        <f t="shared" ca="1" si="1138"/>
        <v>#N/A</v>
      </c>
      <c r="HL309" s="166">
        <f ca="1">IF(AND(Control!$C$61="T",$HE309&gt;=Control!$C$103,Control!$C$114=0),$HF309,0)</f>
        <v>0</v>
      </c>
      <c r="HM309" s="201" t="e">
        <f t="shared" ca="1" si="983"/>
        <v>#DIV/0!</v>
      </c>
      <c r="HN309" s="215">
        <f t="shared" ca="1" si="1102"/>
        <v>305</v>
      </c>
      <c r="HO309" s="216" t="e">
        <f ca="1">IF(AND($CP309&gt;=0, $CP309&lt;=90), Control!$C$152, Control!$C$152)</f>
        <v>#N/A</v>
      </c>
      <c r="HP309" s="216" t="e">
        <f t="shared" ca="1" si="984"/>
        <v>#N/A</v>
      </c>
      <c r="HQ309" s="217" t="e">
        <f ca="1">IF(OR(Control!$B$26=1,Control!$B$26=2),$KV309,$KS309)</f>
        <v>#DIV/0!</v>
      </c>
      <c r="HR309" s="218" t="e">
        <f t="shared" ca="1" si="1139"/>
        <v>#DIV/0!</v>
      </c>
      <c r="HS309" s="216" t="e">
        <f ca="1">Control!$C$154*$HP309</f>
        <v>#N/A</v>
      </c>
      <c r="HT309" s="216" t="e">
        <f ca="1">Control!$C$155*$HP309</f>
        <v>#N/A</v>
      </c>
      <c r="HU309" s="217" t="e">
        <f ca="1">Control!$C$161*$FI309</f>
        <v>#N/A</v>
      </c>
      <c r="HV309" s="218" t="e">
        <f t="shared" ca="1" si="1103"/>
        <v>#N/A</v>
      </c>
      <c r="HW309" s="218" t="e">
        <f ca="1">Control!$C$160*$FF309+$IP309*$EO309</f>
        <v>#N/A</v>
      </c>
      <c r="HX309" s="218" t="e">
        <f t="shared" ca="1" si="1140"/>
        <v>#N/A</v>
      </c>
      <c r="HY309" s="219" t="e">
        <f ca="1">IF(Control!$C$114=1, $EB309*$FS309, 0)</f>
        <v>#N/A</v>
      </c>
      <c r="HZ309" s="91" t="e">
        <f t="shared" ca="1" si="985"/>
        <v>#N/A</v>
      </c>
      <c r="IA309" s="220" t="e">
        <f ca="1">Control!$C$153*$HO309</f>
        <v>#N/A</v>
      </c>
      <c r="IB309" s="218" t="e">
        <f t="shared" ca="1" si="986"/>
        <v>#N/A</v>
      </c>
      <c r="IC309" s="220" t="e">
        <f ca="1">Control!$C$153*$HT309</f>
        <v>#N/A</v>
      </c>
      <c r="ID309" s="218" t="e">
        <f t="shared" ca="1" si="987"/>
        <v>#N/A</v>
      </c>
      <c r="IE309" s="221" t="e">
        <f ca="1">($EB309*Control!$C$159+$EF309*Control!$C$160)/(IF($GZ309&lt;&gt;0,$GZ309,1))</f>
        <v>#N/A</v>
      </c>
      <c r="IF309" s="216" t="e">
        <f t="shared" ca="1" si="988"/>
        <v>#N/A</v>
      </c>
      <c r="IG309" s="91">
        <f ca="1">IF(OR(Control!$B$198=$AH309,Control!$B$199=$AH309, Control!$B$200=$AH309, Control!$B$201=$AH309, Control!$B$202=$AH309, Control!$B$203=$AH309, Control!$B$204=$AH309, Control!$B$205=$AH309, Control!$B$206=$AH309, Control!$B$207=$AH309), 1, 0)</f>
        <v>0</v>
      </c>
      <c r="IH309" s="91">
        <f ca="1">IF($IG309=0,0, VLOOKUP($AH309,Control!$B$198:$C$207,2))</f>
        <v>0</v>
      </c>
      <c r="II309" s="222">
        <f t="shared" ca="1" si="1104"/>
        <v>0</v>
      </c>
      <c r="IJ309" s="91">
        <f>Control!$C$121</f>
        <v>0.7</v>
      </c>
      <c r="IK309" s="218">
        <f t="shared" ca="1" si="989"/>
        <v>0</v>
      </c>
      <c r="IL309" s="217" t="e">
        <f t="shared" ca="1" si="1141"/>
        <v>#N/A</v>
      </c>
      <c r="IM309" s="223" t="e">
        <f ca="1">IF(AND(Control!$C$114=1,$KH309&lt;1),$EB309*Control!$C$148*(1-$KH309), 0)</f>
        <v>#N/A</v>
      </c>
      <c r="IN309" s="217" t="e">
        <f t="shared" ca="1" si="990"/>
        <v>#DIV/0!</v>
      </c>
      <c r="IO309" s="91" t="e">
        <f ca="1">MAX(0,$IL309-$EF309*Control!$C$160)</f>
        <v>#N/A</v>
      </c>
      <c r="IP309" s="220" t="e">
        <f t="shared" ca="1" si="991"/>
        <v>#N/A</v>
      </c>
      <c r="IQ309" s="217" t="e">
        <f t="shared" ca="1" si="1105"/>
        <v>#N/A</v>
      </c>
      <c r="IR309" s="218" t="e">
        <f t="shared" ca="1" si="992"/>
        <v>#N/A</v>
      </c>
      <c r="IS309" s="217" t="e">
        <f ca="1">Control!$C$159*MAX(0,$FD309-$EN309)</f>
        <v>#N/A</v>
      </c>
      <c r="IT309" s="217" t="e">
        <f t="shared" ca="1" si="1142"/>
        <v>#N/A</v>
      </c>
      <c r="IU309" s="217" t="e">
        <f t="shared" ca="1" si="1106"/>
        <v>#N/A</v>
      </c>
      <c r="IV309" s="217" t="e">
        <f t="shared" ca="1" si="1143"/>
        <v>#N/A</v>
      </c>
      <c r="IW309" s="217" t="e">
        <f ca="1">IF(OR($AW309=1,AND($AW309=0, Control!$B$18=1,$EN309&lt;&gt;0)), $IQ309-$IU309, $IQ309)</f>
        <v>#N/A</v>
      </c>
      <c r="IX309" s="218" t="e">
        <f t="shared" ca="1" si="993"/>
        <v>#N/A</v>
      </c>
      <c r="IY309" s="218" t="e">
        <f ca="1">MAX(0,$IQ309-$EB309*Control!$C$159)</f>
        <v>#N/A</v>
      </c>
      <c r="IZ309" s="218" t="e">
        <f t="shared" ca="1" si="994"/>
        <v>#N/A</v>
      </c>
      <c r="JA309" s="216" t="e">
        <f t="shared" ca="1" si="995"/>
        <v>#N/A</v>
      </c>
      <c r="JB309" s="217" t="e">
        <f t="shared" ca="1" si="996"/>
        <v>#N/A</v>
      </c>
      <c r="JC309" s="222" t="e">
        <f ca="1">MAX(Control!$C$157*$EK309-$JT309, 0)/Control!$C$162</f>
        <v>#N/A</v>
      </c>
      <c r="JD309" s="218" t="e">
        <f t="shared" ca="1" si="997"/>
        <v>#N/A</v>
      </c>
      <c r="JE309" s="218" t="e">
        <f t="shared" ca="1" si="998"/>
        <v>#N/A</v>
      </c>
      <c r="JF309" s="218" t="e">
        <f t="shared" ca="1" si="1107"/>
        <v>#N/A</v>
      </c>
      <c r="JG309" s="218" t="e">
        <f t="shared" ca="1" si="999"/>
        <v>#N/A</v>
      </c>
      <c r="JH309" s="217" t="e">
        <f t="shared" ca="1" si="1108"/>
        <v>#N/A</v>
      </c>
      <c r="JI309" s="217" t="e">
        <f t="shared" ca="1" si="1109"/>
        <v>#N/A</v>
      </c>
      <c r="JJ309" s="217" t="e">
        <f t="shared" ca="1" si="1144"/>
        <v>#N/A</v>
      </c>
      <c r="JK309" s="217" t="e">
        <f ca="1">IF(Control!$C$114=1,IF(Control!$B$24=0,MAX(0,$JI309)*$GN309/Control!$C$64,(MAX(0,MIN($JI309,$JJ309*$GN309/Control!$C$64),0))))</f>
        <v>#N/A</v>
      </c>
      <c r="JL309" s="217" t="e">
        <f ca="1">$IK309/Control!$C$64-$JK309+$HQ309</f>
        <v>#N/A</v>
      </c>
      <c r="JM309" s="217" t="e">
        <f ca="1">IF(Control!$C$114=1,($JB309/(IF($JI309&lt;&gt;0,$JI309,1)))*$JK309,0)</f>
        <v>#N/A</v>
      </c>
      <c r="JN309" s="217" t="e">
        <f ca="1">IF(Control!$C$114=1,($JG309/(IF($JI309&lt;&gt;0,$JI309,1)))*$JK309, 0)</f>
        <v>#N/A</v>
      </c>
      <c r="JO309" s="218" t="e">
        <f t="shared" ca="1" si="1000"/>
        <v>#N/A</v>
      </c>
      <c r="JP309" s="218" t="e">
        <f ca="1">MIN(($IY309+$IO309)*Control!$C$151, $JF309-$EH309*Control!$C$161)</f>
        <v>#N/A</v>
      </c>
      <c r="JQ309" s="218" t="e">
        <f t="shared" ca="1" si="1001"/>
        <v>#N/A</v>
      </c>
      <c r="JR309" s="217" t="e">
        <f ca="1">IF($CP309-Control!$C$150&lt;0, 0, $JQ309/Control!$C$162)</f>
        <v>#N/A</v>
      </c>
      <c r="JS309" s="218" t="e">
        <f t="shared" ca="1" si="1002"/>
        <v>#N/A</v>
      </c>
      <c r="JT309" s="218" t="e">
        <f t="shared" ca="1" si="1110"/>
        <v>#N/A</v>
      </c>
      <c r="JU309" s="218" t="e">
        <f t="shared" ca="1" si="1003"/>
        <v>#N/A</v>
      </c>
      <c r="JV309" s="218" t="e">
        <f t="shared" ca="1" si="1004"/>
        <v>#N/A</v>
      </c>
      <c r="JW309" s="216" t="e">
        <f t="shared" ca="1" si="1005"/>
        <v>#N/A</v>
      </c>
      <c r="JX309" s="91" t="e">
        <f t="shared" ca="1" si="1006"/>
        <v>#N/A</v>
      </c>
      <c r="JY309" s="218" t="e">
        <f t="shared" ca="1" si="1007"/>
        <v>#N/A</v>
      </c>
      <c r="JZ309" s="217" t="e">
        <f ca="1">IF(Control!$C$114=1,($IZ309/(IF($JI309&lt;&gt;0,$JI309,1)))*$JK309, 0)</f>
        <v>#N/A</v>
      </c>
      <c r="KA309" s="218" t="e">
        <f t="shared" ca="1" si="1145"/>
        <v>#N/A</v>
      </c>
      <c r="KB309" s="218" t="e">
        <f t="shared" ca="1" si="1111"/>
        <v>#N/A</v>
      </c>
      <c r="KC309" s="218" t="e">
        <f t="shared" ca="1" si="1008"/>
        <v>#N/A</v>
      </c>
      <c r="KD309" s="218" t="e">
        <f t="shared" ca="1" si="1009"/>
        <v>#N/A</v>
      </c>
      <c r="KE309" s="218" t="e">
        <f t="shared" ca="1" si="1010"/>
        <v>#N/A</v>
      </c>
      <c r="KF309" s="218" t="e">
        <f t="shared" ca="1" si="1011"/>
        <v>#N/A</v>
      </c>
      <c r="KG309" s="216" t="e">
        <f t="shared" ca="1" si="1012"/>
        <v>#N/A</v>
      </c>
      <c r="KH309" s="221" t="e">
        <f ca="1">IF(Control!$B$24=0,1,MAX(0.001,MIN(1,IF(($IF309-$IE309)&lt;&gt;0,($KG309-$IE309)/($IF309-$IE309),1))))</f>
        <v>#N/A</v>
      </c>
      <c r="KI309" s="222" t="e">
        <f ca="1">IF(Control!$C$114=1, $KI308+ $KH308, 0)</f>
        <v>#N/A</v>
      </c>
      <c r="KJ309" s="217" t="e">
        <f t="shared" ca="1" si="1013"/>
        <v>#N/A</v>
      </c>
      <c r="KK309" s="218" t="e">
        <f t="shared" ca="1" si="1014"/>
        <v>#N/A</v>
      </c>
      <c r="KL309" s="274" t="e">
        <f ca="1">IF(Control!$B$26=3,4000000000*EXP(-8400/($G309+273)),IF(Control!$B$26=4,4000000000*EXP(-8400/($G309+273))*($KT309),0))</f>
        <v>#DIV/0!</v>
      </c>
      <c r="KM309" s="274" t="e">
        <f ca="1">IF(Control!$B$26=3,5600000000000*EXP(-9800/($G309+273)),IF(Control!$B$26=4,5600000000000*EXP(-9800/($G309+273))*$KT309,0))</f>
        <v>#DIV/0!</v>
      </c>
      <c r="KN309" s="454" t="e">
        <f t="shared" ca="1" si="1112"/>
        <v>#DIV/0!</v>
      </c>
      <c r="KO309" s="274" t="e">
        <f t="shared" ca="1" si="1113"/>
        <v>#DIV/0!</v>
      </c>
      <c r="KP309" s="454" t="e">
        <f t="shared" ca="1" si="1015"/>
        <v>#DIV/0!</v>
      </c>
      <c r="KQ309" s="454" t="e">
        <f t="shared" ca="1" si="1016"/>
        <v>#DIV/0!</v>
      </c>
      <c r="KR309" s="454" t="e">
        <f t="shared" ca="1" si="1017"/>
        <v>#DIV/0!</v>
      </c>
      <c r="KS309" s="454" t="e">
        <f t="shared" ca="1" si="1018"/>
        <v>#DIV/0!</v>
      </c>
      <c r="KT309" s="455" t="e">
        <f t="shared" ca="1" si="1019"/>
        <v>#DIV/0!</v>
      </c>
      <c r="KU309" s="456" t="e">
        <f ca="1">IF($CP309-Control!$C$149&lt;0, IF($NT309-0.01&lt;0,0,1),0)</f>
        <v>#N/A</v>
      </c>
      <c r="KV309" s="456" t="e">
        <f ca="1">IF(Control!$C$114=1,MAX(0,MIN(Control!$C$125*$KW309*$GN309,$KW309)))</f>
        <v>#DIV/0!</v>
      </c>
      <c r="KW309" s="456" t="e">
        <f t="shared" ca="1" si="1146"/>
        <v>#DIV/0!</v>
      </c>
      <c r="KX309" s="457" t="e">
        <f ca="1">IF($CP309-Control!$C$149&lt;0, IF($MR309-$OM309&lt;0,0,1),0)</f>
        <v>#N/A</v>
      </c>
      <c r="KY309" s="167">
        <f t="shared" ca="1" si="1114"/>
        <v>305</v>
      </c>
      <c r="KZ309" s="168">
        <f ca="1">1370*(1+0.033*COS(2*Control!$C$138*$AH309/365))</f>
        <v>1393.1647882134796</v>
      </c>
      <c r="LA309" s="169">
        <f t="shared" ca="1" si="1115"/>
        <v>1.0169082566002379</v>
      </c>
      <c r="LB309" s="169">
        <f t="shared" ca="1" si="1116"/>
        <v>-0.26930076574149636</v>
      </c>
      <c r="LC309" s="169">
        <f ca="1">ACOS(-TAN((2*Control!$B$8/360))*TAN(Calculations!$LB309))</f>
        <v>1.4886743568897076</v>
      </c>
      <c r="LD309" s="169">
        <f ca="1">((24*60)/PI())*0.082*$LA309*(($LC309*SIN(Control!$B$8*2*PI()/360))*SIN($LB309)+COS(Control!$B$8*2*PI()/360)*COS($LB309)*SIN($LC309))</f>
        <v>10.677628167063784</v>
      </c>
      <c r="LE309" s="170">
        <f t="shared" ca="1" si="1020"/>
        <v>11.787163925320147</v>
      </c>
      <c r="LF309" s="170">
        <f ca="1">SIN(Control!$C$139*Control!$B$8)*SIN($HD309)</f>
        <v>-0.2044313777738187</v>
      </c>
      <c r="LG309" s="170">
        <f ca="1">COS(Control!$C$139*Control!$B$8)*COS($HD309)</f>
        <v>0.59458133361425991</v>
      </c>
      <c r="LH309" s="170">
        <f ca="1">12*(1+2*ASIN(MAX(-1,MIN(1,$LF309/$LG309))/Control!$C$138))</f>
        <v>9.3681117769806086</v>
      </c>
      <c r="LI309" s="170">
        <f ca="1">12*(1+2*ASIN(MAX(-1,MIN(1,(-SIN(-4*Control!$C$139)+$LF309)/$LG309))/Control!$C$138))</f>
        <v>10.268142297979221</v>
      </c>
      <c r="LJ309" s="168">
        <f ca="1">3600*($LH309*$LF309+24*$LG309*SQRT(1-$LK309*$LK309)/Control!$C$138)</f>
        <v>8460.7104809441662</v>
      </c>
      <c r="LK309" s="170">
        <f t="shared" ca="1" si="1021"/>
        <v>-0.34382407623049505</v>
      </c>
      <c r="LL309" s="170">
        <f t="shared" ca="1" si="1022"/>
        <v>0</v>
      </c>
      <c r="LM309" s="171">
        <f ca="1">Control!$C$145*$AB309</f>
        <v>6.6660906138995932E-2</v>
      </c>
      <c r="LN309" s="170">
        <f t="shared" ca="1" si="1117"/>
        <v>0.54</v>
      </c>
      <c r="LO309" s="170">
        <f t="shared" ca="1" si="1023"/>
        <v>0</v>
      </c>
      <c r="LP309" s="170">
        <f ca="1">Control!$C$140*((($D309+273.16)^4+($E309+273.16)^4)/2)*(0.34-0.14*SQRT($Y309))*(1.35*$AQ309/(0.75*$LD309)-0.35)</f>
        <v>-3.2464704755046001</v>
      </c>
      <c r="LQ309" s="170">
        <f ca="1">Control!$C$140*($G309+273)^4*(0.56-0.079*SQRT($Y309*10))*(0.1+0.9*$LO309)</f>
        <v>1.5241745131704001</v>
      </c>
      <c r="LR309" s="170">
        <f ca="1">$AQ309*(1-Control!$C$142)-$LQ309</f>
        <v>-1.5241745131704001</v>
      </c>
      <c r="LS309" s="170">
        <f ca="1">$AQ309*(1-Control!$C$143)-$LQ309</f>
        <v>-1.5241745131704001</v>
      </c>
      <c r="LT309" s="170">
        <f ca="1">$AQ309*(1-Control!$C$144)-$LQ309</f>
        <v>-1.5241745131704001</v>
      </c>
      <c r="LU309" s="169">
        <f ca="1">(1-Control!$C$144)*AQ309-LP309</f>
        <v>3.2464704755046001</v>
      </c>
      <c r="LV309" s="172">
        <f t="shared" ca="1" si="1024"/>
        <v>0.79430000000000012</v>
      </c>
      <c r="LW309" s="170">
        <f t="shared" ca="1" si="1025"/>
        <v>1.5886000000000002</v>
      </c>
      <c r="LX309" s="170">
        <f ca="1">($AC309*($LR309/Control!$C$141)+$LM309*$LV309)/($AC309+$LM309)</f>
        <v>0.23530094218323697</v>
      </c>
      <c r="LY309" s="170">
        <f ca="1">($AC309*($LS309/Control!$C$141)+$LM309*$LV309)/($AC309+$LM309)</f>
        <v>0.23530094218323697</v>
      </c>
      <c r="LZ309" s="170">
        <f t="shared" ca="1" si="1026"/>
        <v>0.23530094218323697</v>
      </c>
      <c r="MA309" s="170">
        <f t="shared" ca="1" si="1027"/>
        <v>0.23530094218323697</v>
      </c>
      <c r="MB309" s="170" t="e">
        <f t="shared" ca="1" si="1028"/>
        <v>#N/A</v>
      </c>
      <c r="MC309" s="170">
        <f t="shared" ca="1" si="1118"/>
        <v>0.6018</v>
      </c>
      <c r="MD309" s="170">
        <f t="shared" ca="1" si="1029"/>
        <v>0.52989392535414004</v>
      </c>
      <c r="ME309" s="170">
        <f ca="1">($AC309*($LT309/Control!$C$141)+$LM309*$LW309)/($AC309+$LM309)</f>
        <v>0.71612369323045078</v>
      </c>
      <c r="MF309" s="170" t="e">
        <f ca="1">IF(Control!$B$16&gt;=1000,0.92,IF(AND(720&lt;=Control!$B$16,1000&gt;Control!$B$16),(0.95+(Control!$B$16-720)*((0.92-0.95)/(1000-720))),IF(AND(360&lt;=Control!$B$16,720&gt;Control!$B$16),(1+(Control!$B$16-360)*((0.95-1)/(720-360))),IF(AND(40&lt;=Control!$B$16,360&gt;Control!$B$16),(1.05+(Control!$B$16-40)*((1.05-1)/(360-40)))))))</f>
        <v>#N/A</v>
      </c>
      <c r="MG309" s="170">
        <f t="shared" ca="1" si="1030"/>
        <v>0.71612369323045078</v>
      </c>
      <c r="MH309" s="170" t="e">
        <f t="shared" ca="1" si="1157"/>
        <v>#N/A</v>
      </c>
      <c r="MI309" s="170" t="e">
        <f t="shared" ca="1" si="1157"/>
        <v>#N/A</v>
      </c>
      <c r="MJ309" s="170" t="e">
        <f ca="1">MAX(0.0001, Control!$C$132*$MI309*$DL309)</f>
        <v>#N/A</v>
      </c>
      <c r="MK309" s="170">
        <f ca="1">1/(0.76+1.5*($MG309/10))-(5-Control!$C$110)*0.1</f>
        <v>1.002845988140797</v>
      </c>
      <c r="ML309" s="173">
        <f ca="1">IF(Control!$C$110&lt;3,$MK309+($MG309-0.6)/(Control!$C$110*(Control!$C$110+3)), MAX(0.1, MIN(0.95,$MK309)))</f>
        <v>0.95</v>
      </c>
      <c r="MM309" s="173">
        <f ca="1">IF(Control!$C$110&lt;3,$MK309+(($MI309/10)-0.6)/(Control!$C$110*(Control!$C$110+3)), MAX(0.1, MIN(0.95,$MK309)))</f>
        <v>0.95</v>
      </c>
      <c r="MN309" s="173">
        <f ca="1">(1-$MM309)*(Control!$C$128-Control!$C$127)+Control!$C$127</f>
        <v>0.16</v>
      </c>
      <c r="MO309" s="170" t="e">
        <f ca="1">MAX(0,MIN(1,($MS309-Control!$C$127)/($MN309-Control!$C$127)))</f>
        <v>#DIV/0!</v>
      </c>
      <c r="MP309" s="173" t="e">
        <f ca="1">1/(0.76+1.5*$MI309)-(5-Control!$C$110)*0.1</f>
        <v>#N/A</v>
      </c>
      <c r="MQ309" s="172" t="e">
        <f t="shared" ca="1" si="1147"/>
        <v>#DIV/0!</v>
      </c>
      <c r="MR309" s="168" t="e">
        <f t="shared" ca="1" si="1119"/>
        <v>#DIV/0!</v>
      </c>
      <c r="MS309" s="173" t="e">
        <f ca="1">MAX(Control!$C$127, MIN(Control!$C$135, $MR309/MAX(0.0001,$CY309)))</f>
        <v>#DIV/0!</v>
      </c>
      <c r="MT309" s="168" t="e">
        <f ca="1">(Control!$C$128-$MS309)*Control!$C$74</f>
        <v>#DIV/0!</v>
      </c>
      <c r="MU309" s="168" t="e">
        <f ca="1">(Control!$C$135-$MS309)*Control!$C$74</f>
        <v>#DIV/0!</v>
      </c>
      <c r="MV309" s="168" t="e">
        <f t="shared" ca="1" si="1120"/>
        <v>#DIV/0!</v>
      </c>
      <c r="MW309" s="168" t="e">
        <f t="shared" ca="1" si="1121"/>
        <v>#DIV/0!</v>
      </c>
      <c r="MX309" s="171" t="e">
        <f ca="1">MAX(Control!$C$127, MIN(Control!$C$135, $MW309/MAX(0.0001,Control!$C$119-$CY309)))</f>
        <v>#DIV/0!</v>
      </c>
      <c r="MY309" s="54" t="e">
        <f ca="1">IF(Control!$C$114=1, $CX309*$MX309, 0)</f>
        <v>#DIV/0!</v>
      </c>
      <c r="MZ309" s="54" t="e">
        <f t="shared" ca="1" si="1122"/>
        <v>#N/A</v>
      </c>
      <c r="NA309" s="168" t="e">
        <f ca="1">(Control!$C$128-$MX309)*(Control!$C$119-Control!$C$74)</f>
        <v>#DIV/0!</v>
      </c>
      <c r="NB309" s="168" t="e">
        <f ca="1">(Control!$C$135-$MX309)*(Control!$C$119-Control!$C$74)</f>
        <v>#DIV/0!</v>
      </c>
      <c r="NC309" s="174" t="e">
        <f t="shared" ca="1" si="1123"/>
        <v>#DIV/0!</v>
      </c>
      <c r="ND309" s="54">
        <f ca="1">IF(Control!$C$58=2, IF(OR(Control!$B$218=$AH309,Control!$B$219=$AH309, Control!$B$220=$AH309, Control!$B$221=$AH309, Control!$B$222=$AH309, Control!$B$223=$AH309, Control!$B$224=$AH309, Control!$B$225=$AH309, Control!$B$226=$AH309, Control!$B$227=$AH309, Control!$B$228=$AH309), 1, 0), 0)</f>
        <v>0</v>
      </c>
      <c r="NE309" s="54">
        <f ca="1">IF($ND309=0,0, VLOOKUP($AH309,Control!$B$218:$C$228,2))</f>
        <v>0</v>
      </c>
      <c r="NF309" s="168" t="e">
        <f ca="1">$CY309*(Control!$C$128-Control!$C$127)</f>
        <v>#N/A</v>
      </c>
      <c r="NG309" s="54" t="e">
        <f ca="1">IF(Control!$C$58=2, $NI308-$NJ308, 0)</f>
        <v>#DIV/0!</v>
      </c>
      <c r="NH309" s="54" t="e">
        <f ca="1">IF(AND(Control!$C$58=1, $MS308&lt;= ($MN308+0.02), $I308&lt;10), 0, IF(Control!$C$58=2, $NG308, 0))</f>
        <v>#DIV/0!</v>
      </c>
      <c r="NI309" s="54" t="e">
        <f ca="1">IF(Control!$C$58=2, $NE309+$NH309,0)</f>
        <v>#DIV/0!</v>
      </c>
      <c r="NJ309" s="54" t="e">
        <f ca="1">IF(AND(Control!$C$58=1, $MS309&lt;= ($MN309+0.02), $I309&lt;10), MAX(0, MIN(10, 0.7*($NF309-$MV309))), IF(Control!$C$58=2, MIN(10,$NI309),0))</f>
        <v>#DIV/0!</v>
      </c>
      <c r="NK309" s="54" t="e">
        <f t="shared" ca="1" si="1031"/>
        <v>#DIV/0!</v>
      </c>
      <c r="NL309" s="173" t="e">
        <f ca="1">(1-Control!$C$73)*$I309+$NJ309</f>
        <v>#DIV/0!</v>
      </c>
      <c r="NM309" s="172" t="e">
        <f ca="1">IF($NL309&lt;0.5, $MB309* MAX(0, MIN(1, (SQRT($NC309)-SQRT($NC309-1))*Control!$C$71)),0)</f>
        <v>#DIV/0!</v>
      </c>
      <c r="NN309" s="170" t="e">
        <f ca="1">IF($NL309&gt;=5, $MB309, MAX(0,MIN($MB309, $NM309+$NL309,($MS309-Control!$C$129))))</f>
        <v>#DIV/0!</v>
      </c>
      <c r="NO309" s="54">
        <f>IF(Control!$C$133&lt;&gt;1, Control!$C$135-Control!$C$131, 0)</f>
        <v>0.38</v>
      </c>
      <c r="NP309" s="54" t="e">
        <f t="shared" ca="1" si="1032"/>
        <v>#DIV/0!</v>
      </c>
      <c r="NQ309" s="173" t="e">
        <f ca="1">MAX(0,MIN(1,(Control!$C$135-$MS309)/(Control!$C$135-$NO309)))</f>
        <v>#DIV/0!</v>
      </c>
      <c r="NR309" s="170" t="e">
        <f ca="1">IF(Control!$C$133&lt;&gt;1, $NQ309+((1-$NP309/4)*(1-$NQ309)),1)</f>
        <v>#DIV/0!</v>
      </c>
      <c r="NS309" s="170" t="e">
        <f ca="1">IF(Control!$B$31=0,$MJ309,MAX(0,MIN($MV309,$MO309*$NR309*$MJ309)))</f>
        <v>#DIV/0!</v>
      </c>
      <c r="NT309" s="170" t="e">
        <f t="shared" ca="1" si="1148"/>
        <v>#DIV/0!</v>
      </c>
      <c r="NU309" s="170" t="e">
        <f t="shared" ca="1" si="1124"/>
        <v>#N/A</v>
      </c>
      <c r="NV309" s="170" t="e">
        <f t="shared" ca="1" si="1033"/>
        <v>#N/A</v>
      </c>
      <c r="NW309" s="175" t="e">
        <f t="shared" ca="1" si="1034"/>
        <v>#DIV/0!</v>
      </c>
      <c r="NX309" s="170" t="e">
        <f ca="1">MIN(Control!$C$72+$MU309, $NW309)</f>
        <v>#DIV/0!</v>
      </c>
      <c r="NY309" s="170" t="e">
        <f ca="1">IF($MT309&lt;=$NX309,MIN(Control!$C$72+$NB309,$NX309-$MT309),0)</f>
        <v>#DIV/0!</v>
      </c>
      <c r="NZ309" s="54" t="e">
        <f ca="1">IF(Control!$C$114=1,  $CX309*($MX309-Control!$C$127), 0)</f>
        <v>#DIV/0!</v>
      </c>
      <c r="OA309" s="170" t="e">
        <f t="shared" ca="1" si="1035"/>
        <v>#DIV/0!</v>
      </c>
      <c r="OB309" s="170" t="e">
        <f ca="1">IF($NA309 &lt;=$NY309, MIN(Control!$C$72, $NY309-$NA309), 0)</f>
        <v>#DIV/0!</v>
      </c>
      <c r="OC309" s="168" t="e">
        <f t="shared" ca="1" si="1036"/>
        <v>#DIV/0!</v>
      </c>
      <c r="OD309" s="168" t="e">
        <f t="shared" ca="1" si="1125"/>
        <v>#DIV/0!</v>
      </c>
      <c r="OE309" s="170">
        <f ca="1">Control!$C$73*$I309</f>
        <v>0</v>
      </c>
      <c r="OF309" s="176" t="e">
        <f t="shared" ca="1" si="1037"/>
        <v>#DIV/0!</v>
      </c>
      <c r="OG309" s="168" t="e">
        <f t="shared" ca="1" si="1038"/>
        <v>#DIV/0!</v>
      </c>
      <c r="OH309" s="168" t="e">
        <f t="shared" ca="1" si="1039"/>
        <v>#DIV/0!</v>
      </c>
      <c r="OI309" s="168" t="e">
        <f t="shared" ca="1" si="1040"/>
        <v>#DIV/0!</v>
      </c>
      <c r="OJ309" s="168" t="e">
        <f t="shared" ca="1" si="1041"/>
        <v>#DIV/0!</v>
      </c>
      <c r="OK309" s="204" t="e">
        <f t="shared" ca="1" si="1042"/>
        <v>#DIV/0!</v>
      </c>
      <c r="OL309" s="177">
        <f>Control!$C$127</f>
        <v>0.15</v>
      </c>
      <c r="OM309" s="182" t="e">
        <f t="shared" ca="1" si="1043"/>
        <v>#N/A</v>
      </c>
      <c r="ON309" s="177">
        <f>Control!$C$128</f>
        <v>0.35</v>
      </c>
      <c r="OO309" s="182" t="e">
        <f t="shared" ca="1" si="1044"/>
        <v>#N/A</v>
      </c>
      <c r="OP309" s="138">
        <f t="shared" ca="1" si="1126"/>
        <v>0</v>
      </c>
      <c r="OQ309" s="138" t="e">
        <f t="shared" ca="1" si="1149"/>
        <v>#DIV/0!</v>
      </c>
      <c r="OR309" s="138" t="e">
        <f t="shared" ca="1" si="1127"/>
        <v>#DIV/0!</v>
      </c>
      <c r="OS309" s="137" t="e">
        <f t="shared" ca="1" si="1150"/>
        <v>#DIV/0!</v>
      </c>
      <c r="OT309" s="139" t="e">
        <f t="shared" ca="1" si="1151"/>
        <v>#DIV/0!</v>
      </c>
      <c r="OU309" s="138" t="e">
        <f t="shared" ca="1" si="1152"/>
        <v>#N/A</v>
      </c>
      <c r="OV309" s="138" t="e">
        <f t="shared" ca="1" si="1153"/>
        <v>#DIV/0!</v>
      </c>
      <c r="OW309" s="138" t="e">
        <f t="shared" ca="1" si="1128"/>
        <v>#DIV/0!</v>
      </c>
      <c r="OX309" s="138" t="e">
        <f t="shared" ca="1" si="1129"/>
        <v>#DIV/0!</v>
      </c>
      <c r="OY309" s="138" t="e">
        <f t="shared" ca="1" si="1130"/>
        <v>#DIV/0!</v>
      </c>
      <c r="OZ309" s="138" t="e">
        <f t="shared" ca="1" si="1045"/>
        <v>#DIV/0!</v>
      </c>
      <c r="PA309" s="138" t="e">
        <f t="shared" ca="1" si="1046"/>
        <v>#DIV/0!</v>
      </c>
      <c r="PB309" s="55">
        <f>IF(Control!$C$61="T", IF(Control!$C$65="F", IF($AH$6-Control!$C$60&lt;0,0,1), IF(365+$AH$6-Control!$C$60&lt;0,0,1)),0)</f>
        <v>0</v>
      </c>
      <c r="PC309" s="55">
        <f ca="1">IF(Control!$C$65="F", IF($AH$6-$HF309&lt;0,0,1), IF(365+$AH$6-$HF309&lt;0,0,1))</f>
        <v>1</v>
      </c>
      <c r="PD309" s="444">
        <f>Control!$C$118</f>
        <v>1500</v>
      </c>
      <c r="PE309" s="180" t="e">
        <f t="shared" ca="1" si="1047"/>
        <v>#N/A</v>
      </c>
      <c r="PF309" s="445">
        <f t="shared" ca="1" si="1131"/>
        <v>0.71612369323045078</v>
      </c>
      <c r="PT309" s="186"/>
      <c r="PU309" s="186"/>
      <c r="PV309" s="94"/>
      <c r="PW309" s="94"/>
      <c r="PX309" s="94"/>
      <c r="PY309" s="94"/>
      <c r="PZ309" s="94"/>
      <c r="QA309" s="94"/>
      <c r="QB309" s="94"/>
      <c r="QC309" s="94"/>
      <c r="QD309" s="94"/>
      <c r="QE309" s="94"/>
      <c r="QF309" s="94"/>
      <c r="QG309" s="94"/>
      <c r="QH309" s="94"/>
      <c r="QI309" s="94"/>
      <c r="QJ309" s="94"/>
      <c r="QK309" s="94"/>
      <c r="QL309" s="94"/>
      <c r="QM309" s="94"/>
      <c r="QN309" s="94"/>
      <c r="QO309" s="94"/>
      <c r="QP309" s="94"/>
    </row>
    <row r="310" spans="1:458" s="2" customFormat="1" x14ac:dyDescent="0.2">
      <c r="A310" s="395">
        <v>1</v>
      </c>
      <c r="B310" s="396">
        <v>11</v>
      </c>
      <c r="C310" s="387">
        <f ca="1">Weather_data!$B309</f>
        <v>0</v>
      </c>
      <c r="D310" s="388">
        <f ca="1">Weather_data!$F309</f>
        <v>0</v>
      </c>
      <c r="E310" s="388">
        <f ca="1">Weather_data!$E309</f>
        <v>0</v>
      </c>
      <c r="F310" s="388">
        <f t="shared" ca="1" si="1048"/>
        <v>0</v>
      </c>
      <c r="G310" s="388">
        <f ca="1">AVERAGE($D310:$E310)+Control!$B$9</f>
        <v>0</v>
      </c>
      <c r="H310" s="388">
        <f ca="1">Weather_data!$G309</f>
        <v>0</v>
      </c>
      <c r="I310" s="388">
        <f ca="1">Weather_data!$I309</f>
        <v>0</v>
      </c>
      <c r="J310" s="388">
        <f ca="1">Weather_data!$H309</f>
        <v>0</v>
      </c>
      <c r="K310" s="389">
        <f ca="1">Weather_data!$D309</f>
        <v>0</v>
      </c>
      <c r="L310" s="388" t="e">
        <f t="shared" ca="1" si="1049"/>
        <v>#N/A</v>
      </c>
      <c r="M310" s="388" t="e">
        <f t="shared" ca="1" si="927"/>
        <v>#N/A</v>
      </c>
      <c r="N310" s="388">
        <f t="shared" ca="1" si="928"/>
        <v>-6.1474198325940618E-15</v>
      </c>
      <c r="O310" s="388">
        <f t="shared" ca="1" si="1050"/>
        <v>6.1474198325940618E-14</v>
      </c>
      <c r="P310" s="390">
        <v>3</v>
      </c>
      <c r="Q310" s="388">
        <f ca="1">MAX($G310-Control!$C$107,0)</f>
        <v>0</v>
      </c>
      <c r="R310" s="388">
        <f t="shared" ca="1" si="1051"/>
        <v>0</v>
      </c>
      <c r="S310" s="388">
        <f t="shared" ca="1" si="929"/>
        <v>0</v>
      </c>
      <c r="T310" s="388">
        <f t="shared" ca="1" si="930"/>
        <v>0</v>
      </c>
      <c r="U310" s="59">
        <f t="shared" ca="1" si="931"/>
        <v>0</v>
      </c>
      <c r="V310" s="391">
        <f ca="1">MAX(0,MIN(Control!$C$100-Control!$C$99,$G310-Control!$C$99)*Control!$C$63)</f>
        <v>0</v>
      </c>
      <c r="W310" s="388">
        <f t="shared" ca="1" si="1052"/>
        <v>0</v>
      </c>
      <c r="X310" s="388">
        <f t="shared" ca="1" si="1053"/>
        <v>0.6110000000000001</v>
      </c>
      <c r="Y310" s="388">
        <f t="shared" ca="1" si="932"/>
        <v>0</v>
      </c>
      <c r="Z310" s="388">
        <f t="shared" ca="1" si="1054"/>
        <v>0.61058800000000002</v>
      </c>
      <c r="AA310" s="388">
        <f t="shared" ca="1" si="933"/>
        <v>0.6018</v>
      </c>
      <c r="AB310" s="388">
        <f ca="1">101.3*EXP(-0.034*Control!$C$66/($G310+273))</f>
        <v>100.69623283836242</v>
      </c>
      <c r="AC310" s="392">
        <f t="shared" ca="1" si="934"/>
        <v>4.3460251046025113E-2</v>
      </c>
      <c r="AD310" s="392">
        <f t="shared" ca="1" si="935"/>
        <v>4.4450382862832649E-2</v>
      </c>
      <c r="AE310" s="388">
        <f t="shared" ca="1" si="936"/>
        <v>0</v>
      </c>
      <c r="AF310" s="388">
        <f ca="1">MAX(0,$G310-Control!$C$92)</f>
        <v>0</v>
      </c>
      <c r="AG310" s="393">
        <f t="shared" ca="1" si="937"/>
        <v>306</v>
      </c>
      <c r="AH310" s="389">
        <f t="shared" ca="1" si="938"/>
        <v>306</v>
      </c>
      <c r="AI310" s="388">
        <f t="shared" ca="1" si="1055"/>
        <v>-0.2677711348814909</v>
      </c>
      <c r="AJ310" s="388">
        <f ca="1">IF(Control!$C$60&lt;=0,$HH310,$HI310)</f>
        <v>1</v>
      </c>
      <c r="AK310" s="388">
        <f t="shared" ca="1" si="939"/>
        <v>3.8904106285550313</v>
      </c>
      <c r="AL310" s="388">
        <f t="shared" ca="1" si="940"/>
        <v>1.4423358341009161E-18</v>
      </c>
      <c r="AM310" s="388">
        <f t="shared" ca="1" si="941"/>
        <v>3.8904106285550313</v>
      </c>
      <c r="AN310" s="388">
        <f t="shared" ca="1" si="942"/>
        <v>-0.27423610114321001</v>
      </c>
      <c r="AO310" s="388">
        <f ca="1">-0.10453/COS(Control!$B$8*PI()/180)*COS(AN310)</f>
        <v>-0.16344040305139565</v>
      </c>
      <c r="AP310" s="388">
        <f ca="1">ACOS(AO310-TAN(Control!$B$8*PI()/180)*TAN(AN310))</f>
        <v>1.3728685373885006</v>
      </c>
      <c r="AQ310" s="388">
        <f t="shared" ca="1" si="1056"/>
        <v>0</v>
      </c>
      <c r="AR310" s="394">
        <f t="shared" ca="1" si="943"/>
        <v>0</v>
      </c>
      <c r="AS310" s="436">
        <f ca="1">IF(Control!$B$18=2,(IF(OR($AH310=Control!$B$175,$AH310=Control!$B$176,$AH310=Control!$B$177,$AH310=Control!$B$178,$AH310=Control!$B$179,$AH310=Control!$B$180,$AH310=Control!$B$181,$AH310=Control!$B$182,$AH310=Control!$B$183,$AH310=Control!$B$184,$AH310=Control!$B$185),1,0)),0)</f>
        <v>0</v>
      </c>
      <c r="AT310" s="436">
        <f>IF(Control!$B$20=8,IF(AND($AH310&gt;=Control!$B$172,$AH310&lt;=Control!$B$173),1,0),0)</f>
        <v>0</v>
      </c>
      <c r="AU310" s="436">
        <f>IF(Control!$B$20=8,IF($AV309=1,1*$AT310,IF($AT310=1,$AU309+1,$AU309)),0)</f>
        <v>0</v>
      </c>
      <c r="AV310" s="436">
        <f>IF(Control!$B$20=8,IF($AU310&gt;=Control!$B$174,1,0),0)</f>
        <v>0</v>
      </c>
      <c r="AW310" s="436">
        <f ca="1">IF(AND(Control!$B$18=2,Control!$B$171=1), $AV310, $AS310)</f>
        <v>0</v>
      </c>
      <c r="AX310" s="436" t="e">
        <f ca="1">IF(AND(Control!$B$18=1,$EU310&gt;=Control!$B$19),-$AY310,IF(AND(Control!$B$18=2,$AW310=1,$EU310&gt;$DS310),-$AY310, IF(Control!$C$108=0,0, IF(Control!$C$108&lt;&gt;0,1))))</f>
        <v>#N/A</v>
      </c>
      <c r="AY310" s="436" t="e">
        <f t="shared" ca="1" si="1057"/>
        <v>#N/A</v>
      </c>
      <c r="AZ310" s="436" t="e">
        <f ca="1">IF(AND(Control!$B$18=1,$EB310&gt;Control!$B$19),$AZ309+1, IF(AND(Control!$B$18=2, $AW310=1, $EB310&gt;$DS310), $AZ309+1,$AZ309))</f>
        <v>#N/A</v>
      </c>
      <c r="BA310" s="587">
        <f>IF(Control!$C$81=0,1,IF($AH310&gt;=Control!$C$82,1,0))</f>
        <v>1</v>
      </c>
      <c r="BB310" s="140" t="e">
        <f ca="1">IF($BA310&gt;$BA309,Control!$C$83,IF($AW310&gt;0,$AW310*Control!$C$84,IF(AND(Control!$B$18=1,EN309&lt;&gt;0),Control!$C$84,0)))</f>
        <v>#N/A</v>
      </c>
      <c r="BC310" s="140" t="e">
        <f t="shared" ca="1" si="1058"/>
        <v>#N/A</v>
      </c>
      <c r="BD310" s="140" t="e">
        <f ca="1">BC310*IF(OR($G310&lt;Control!$C$92,$G310&gt;Control!$C$95),0,IF(AND($G310&gt;=Control!$C$92,$G310&lt;=Control!$C$93),$G310-Control!$C$92,IF(AND($G310&gt;Control!$C$93,$G310&lt;=Control!$C$94),Control!$C$93-Control!$C$92,IF(AND($G310&gt;Control!$C$94,$G310&lt;=Control!$C$95),(Control!$C$93-Control!$C$92)*(Control!$C$94-$G310)/(Control!$C$95-Control!$C$94)))))</f>
        <v>#N/A</v>
      </c>
      <c r="BE310" s="140" t="e">
        <f t="shared" ca="1" si="1059"/>
        <v>#N/A</v>
      </c>
      <c r="BF310" s="140" t="e">
        <f ca="1">IF($BE310&lt;=Control!$C$86,$BE310,Control!$C$86-$BE310)</f>
        <v>#N/A</v>
      </c>
      <c r="BG310" s="140" t="e">
        <f ca="1">IF(AND($AW310=1,Control!$C$84&lt;9),1,IF($BE310&gt;=Control!$C$86,0,$BC310))</f>
        <v>#N/A</v>
      </c>
      <c r="BH310" s="404" t="e">
        <f ca="1">IF($BG310=0,0,IF($BE310&lt;=Control!$C$86,$BC310*9*($BF310/Control!$C$86),0))</f>
        <v>#N/A</v>
      </c>
      <c r="BI310" s="140" t="e">
        <f ca="1">IF($BG310=1,0,IF($BE310&gt;=Control!$C$86,1,IF(AND($BB310&lt;21,$BB310&gt;=9),1,$BM309)))</f>
        <v>#N/A</v>
      </c>
      <c r="BJ310" s="140" t="e">
        <f ca="1">IF($BF310&lt;0,-$BF310,$BI310*IF(OR($G310&lt;Control!$C$92,$G310&gt;Control!$C$95),0,IF(AND($G310&gt;=Control!$C$92,$G310&lt;=Control!$C$93),$G310-Control!$C$92,IF(AND($G310&gt;Control!$C$93,$G310&lt;=Control!$C$94),Control!$C$93-Control!$C$92,IF(AND($G310&gt;Control!$C$94,$G310&lt;=Control!$C$95),(Control!$C$93-Control!$C$92)*(Control!$C$94-$G310)/(Control!$C$95-Control!$C$94))))))</f>
        <v>#N/A</v>
      </c>
      <c r="BK310" s="140" t="e">
        <f t="shared" ca="1" si="1060"/>
        <v>#N/A</v>
      </c>
      <c r="BL310" s="140" t="e">
        <f ca="1">IF($BK310&lt;=Control!$C$87,$BK310,Control!$C$87-$BK310)</f>
        <v>#N/A</v>
      </c>
      <c r="BM310" s="140" t="e">
        <f ca="1">IF(AND($BB310&gt;=9,$BB310&lt;21),1,IF($BK310&gt;=Control!$C$87,0,$BI310))</f>
        <v>#N/A</v>
      </c>
      <c r="BN310" s="404" t="e">
        <f ca="1">IF($BM310=0,0,IF($BK310&lt;=Control!$C$87,$BI310*(9+(21-9)*($BL310/Control!$C$87)),0))</f>
        <v>#N/A</v>
      </c>
      <c r="BO310" s="140" t="e">
        <f ca="1">IF($BM310=1,0,IF($BK310&gt;=Control!$C$87,1,IF(AND($BB310&lt;30,$BB310&gt;=21),1,$BS309)))</f>
        <v>#N/A</v>
      </c>
      <c r="BP310" s="140" t="e">
        <f ca="1">IF($BL310&lt;0,-$BL310,$BO310*IF(OR($G310&lt;Control!$C$92,$G310&gt;Control!$C$95),0,IF(AND($G310&gt;=Control!$C$92,$G310&lt;=Control!$C$93),$G310-Control!$C$92,IF(AND($G310&gt;Control!$C$93,$G310&lt;=Control!$C$94),Control!$C$93-Control!$C$92,IF(AND($G310&gt;Control!$C$94,$G310&lt;=Control!$C$95),(Control!$C$93-Control!$C$92)*(Control!$C$94-$G310)/(Control!$C$95-Control!$C$94))))))</f>
        <v>#N/A</v>
      </c>
      <c r="BQ310" s="140" t="e">
        <f t="shared" ca="1" si="944"/>
        <v>#N/A</v>
      </c>
      <c r="BR310" s="140" t="e">
        <f ca="1">IF($BQ310&lt;=Control!$C$88,$BQ310,Control!$C$88-$BQ310)</f>
        <v>#N/A</v>
      </c>
      <c r="BS310" s="140" t="e">
        <f ca="1">IF(AND($BB310&gt;=21,$BB310&lt;30),1,IF($BQ310&gt;=Control!$C$88,0,$BO310))</f>
        <v>#N/A</v>
      </c>
      <c r="BT310" s="404" t="e">
        <f ca="1">IF($BS310=0,0,IF($BQ310&lt;=Control!$C$88,$BO310*(21+(30-21)*(BR310/Control!$C$88)),0))</f>
        <v>#N/A</v>
      </c>
      <c r="BU310" s="140" t="e">
        <f ca="1">IF(BG310+BM310+BS310=1,0,IF(OR(AND($BB310&lt;60,$BB310&gt;=30),$BQ310&gt;=Control!$C$88),1*$BA310,$BY309))</f>
        <v>#N/A</v>
      </c>
      <c r="BV310" s="140" t="e">
        <f ca="1">IF($BR310&lt;0,-$BR310,$BU310*IF(OR($G310&lt;Control!$C$92,$G310&gt;Control!$C$95),0,IF(AND($G310&gt;=Control!$C$92,$G310&lt;=Control!$C$93),$G310-Control!$C$92,IF(AND($G310&gt;Control!$C$93,$G310&lt;=Control!$C$94),Control!$C$93-Control!$C$92,IF(AND($G310&gt;Control!$C$94,$G310&lt;=Control!$C$95),(Control!$C$93-Control!$C$92)*(Control!$C$94-$G310)/(Control!$C$95-Control!$C$94))))))</f>
        <v>#N/A</v>
      </c>
      <c r="BW310" s="140" t="e">
        <f t="shared" ca="1" si="945"/>
        <v>#N/A</v>
      </c>
      <c r="BX310" s="140" t="e">
        <f ca="1">IF($BW310&lt;=Control!$C$89,$BW310,Control!$C$89-$BW310)</f>
        <v>#N/A</v>
      </c>
      <c r="BY310" s="140" t="e">
        <f ca="1">IF(AND($AJ310&gt;=30,$AJ310&lt;60),1,IF($BW310&gt;=Control!$C$89,0,$BU310))</f>
        <v>#N/A</v>
      </c>
      <c r="BZ310" s="404" t="e">
        <f ca="1">IF($BY310=0,0,IF($BW310&lt;=Control!$C$89,$BU310*(30+(60-30)*(BX310/Control!$C$89)),0))</f>
        <v>#N/A</v>
      </c>
      <c r="CA310" s="140" t="e">
        <f ca="1">IF($BG310+$BM310+$BS310+$BY310=1,0,IF(OR(AND($BB310&lt;65,$BB310&gt;=60),$BW310&gt;=Control!$C$89),1*$BA310,$CE309))</f>
        <v>#N/A</v>
      </c>
      <c r="CB310" s="140" t="e">
        <f ca="1">IF($BX310&lt;0,-$BX310,$CA310*IF(OR($G310&lt;Control!$C$92,$G310&gt;Control!$C$95),0,IF(AND($G310&gt;=Control!$C$92,$G310&lt;=Control!$C$93),$G310-Control!$C$92,IF(AND($G310&gt;Control!$C$93,$G310&lt;=Control!$C$94),Control!$C$93-Control!$C$92,IF(AND($G310&gt;Control!$C$94,$G310&lt;=Control!$C$95),(Control!$C$93-Control!$C$92)*(Control!$C$94-$G310)/(Control!$C$95-Control!$C$94))))))</f>
        <v>#N/A</v>
      </c>
      <c r="CC310" s="140" t="e">
        <f t="shared" ca="1" si="1061"/>
        <v>#N/A</v>
      </c>
      <c r="CD310" s="140" t="e">
        <f ca="1">IF($CC310&lt;=Control!$C$90,$CC310,Control!$C$90-$CC310)</f>
        <v>#N/A</v>
      </c>
      <c r="CE310" s="140" t="e">
        <f ca="1">IF(AND($BB310&gt;=60,$BB310&lt;65),1,IF($CC310&gt;=Control!$C$90,0,$CA310))</f>
        <v>#N/A</v>
      </c>
      <c r="CF310" s="404" t="e">
        <f ca="1">IF($CE310=0,0,IF($CC310&lt;=Control!$C$90,$CA310*(60+(65-60)*(CD310/Control!$C$90)),0))</f>
        <v>#N/A</v>
      </c>
      <c r="CG310" s="140" t="e">
        <f ca="1">IF($BG310+$BM310+$BS310+$BY310+$CE310=1,0,IF(OR(AND($BB310&lt;90,$BB310&gt;=65),$CC310&gt;=Control!$C$90),$BA310,$CK309))</f>
        <v>#N/A</v>
      </c>
      <c r="CH310" s="140" t="e">
        <f ca="1">IF($CD310&lt;0,-$CD310,$CG310*IF(OR($G310&lt;Control!$C$92,$G310&gt;Control!$C$95),0,IF(AND($G310&gt;=Control!$C$92,$G310&lt;=Control!$C$93),$G310-Control!$C$92,IF(AND($G310&gt;Control!$C$93,$G310&lt;=Control!$C$94),Control!$C$93-Control!$C$92,IF(AND($G310&gt;Control!$C$94,$G310&lt;=Control!$C$95),(Control!$C$93-Control!$C$92)*(Control!$C$94-$G310)/(Control!$C$95-Control!$C$94))))))</f>
        <v>#N/A</v>
      </c>
      <c r="CI310" s="140" t="e">
        <f t="shared" ca="1" si="1062"/>
        <v>#N/A</v>
      </c>
      <c r="CJ310" s="140" t="e">
        <f ca="1">IF($CI310&lt;=Control!$C$91,$CI310,Control!$C$91-$CI310)</f>
        <v>#N/A</v>
      </c>
      <c r="CK310" s="140" t="e">
        <f ca="1">IF(AND($BB310&gt;=65,$BB310&lt;90),1,IF($CI310&gt;=Control!$C$91,0,$CG310))</f>
        <v>#N/A</v>
      </c>
      <c r="CL310" s="404" t="e">
        <f ca="1">IF($CK310=0,0,IF($CI310&lt;=Control!$C$91,$CG310*(65+(90-65)*($CJ310/Control!$C$91)),0))</f>
        <v>#N/A</v>
      </c>
      <c r="CM310" s="140" t="e">
        <f ca="1">IF($BG310+$BM310+$BS310+$BY310+$CE310+$CK310=1,0,IF(OR($BB310&gt;=90,$CI310&gt;=Control!$C$91),$BA310,$CM309))</f>
        <v>#N/A</v>
      </c>
      <c r="CN310" s="140" t="e">
        <f t="shared" ca="1" si="1063"/>
        <v>#N/A</v>
      </c>
      <c r="CO310" s="140" t="e">
        <f t="shared" ca="1" si="1064"/>
        <v>#N/A</v>
      </c>
      <c r="CP310" s="140" t="e">
        <f t="shared" ca="1" si="1065"/>
        <v>#N/A</v>
      </c>
      <c r="CQ310" s="141" t="e">
        <f ca="1">VLOOKUP($CP310,Control!$B$86:$G$91,6)</f>
        <v>#N/A</v>
      </c>
      <c r="CR310" s="141" t="e">
        <f ca="1">(1-$CQ310)*VLOOKUP($CP310,Control!$B$86:$D$91,3)</f>
        <v>#N/A</v>
      </c>
      <c r="CS310" s="141" t="e">
        <f ca="1">(1-$CQ310)*VLOOKUP($CP310,Control!$B$86:$E$91,4)</f>
        <v>#N/A</v>
      </c>
      <c r="CT310" s="141" t="e">
        <f ca="1">(1-$CQ310)*VLOOKUP($CP310,Control!$B$86:$F$91,5)</f>
        <v>#N/A</v>
      </c>
      <c r="CU310" s="141">
        <f t="shared" ca="1" si="1066"/>
        <v>0</v>
      </c>
      <c r="CV310" s="583">
        <f t="shared" ca="1" si="1067"/>
        <v>0</v>
      </c>
      <c r="CW310" s="142">
        <f t="shared" ca="1" si="1068"/>
        <v>306</v>
      </c>
      <c r="CX310" s="612" t="e">
        <f ca="1">IF(Control!$C$114=1,(MIN(Control!$C$120*(IF($NT310-0.01&lt;0,0,1)),Control!$C$119-$CY310)))</f>
        <v>#DIV/0!</v>
      </c>
      <c r="CY310" s="143" t="e">
        <f t="shared" ca="1" si="1069"/>
        <v>#N/A</v>
      </c>
      <c r="CZ310" s="144">
        <f t="shared" ca="1" si="946"/>
        <v>0</v>
      </c>
      <c r="DA310" s="144">
        <f t="shared" ca="1" si="947"/>
        <v>0</v>
      </c>
      <c r="DB310" s="144" t="e">
        <f t="shared" ca="1" si="948"/>
        <v>#N/A</v>
      </c>
      <c r="DC310" s="144" t="e">
        <f t="shared" ca="1" si="949"/>
        <v>#N/A</v>
      </c>
      <c r="DD310" s="144" t="e">
        <f t="shared" ca="1" si="1154"/>
        <v>#N/A</v>
      </c>
      <c r="DE310" s="143" t="e">
        <f t="shared" ca="1" si="1070"/>
        <v>#N/A</v>
      </c>
      <c r="DF310" s="145" t="e">
        <f ca="1">$DR310*EXP(-Control!$C$158*(1-$KH310))</f>
        <v>#N/A</v>
      </c>
      <c r="DG310" s="146" t="e">
        <f ca="1">IF(Control!$C$114=1, $DF310*$EY310, 0)</f>
        <v>#N/A</v>
      </c>
      <c r="DH310" s="147" t="e">
        <f t="shared" ca="1" si="1071"/>
        <v>#N/A</v>
      </c>
      <c r="DI310" s="144" t="e">
        <f t="shared" ca="1" si="1132"/>
        <v>#N/A</v>
      </c>
      <c r="DJ310" s="147" t="e">
        <f ca="1">$EF310*Control!$C$109</f>
        <v>#N/A</v>
      </c>
      <c r="DK310" s="144" t="e">
        <f t="shared" ca="1" si="1072"/>
        <v>#N/A</v>
      </c>
      <c r="DL310" s="144" t="e">
        <f t="shared" ca="1" si="950"/>
        <v>#N/A</v>
      </c>
      <c r="DM310" s="144" t="e">
        <f ca="1">IF(Control!$C$114=1, (1-EXP(-Control!$C$96*$DK310))*$AR310, 0)</f>
        <v>#N/A</v>
      </c>
      <c r="DN310" s="144">
        <f t="shared" ca="1" si="1073"/>
        <v>0</v>
      </c>
      <c r="DO310" s="148">
        <f>Control!$C$97</f>
        <v>4</v>
      </c>
      <c r="DP310" s="145" t="e">
        <f t="shared" ca="1" si="1074"/>
        <v>#N/A</v>
      </c>
      <c r="DQ310" s="145" t="e">
        <f ca="1">IF(AND($CP310&gt;=0,$CP310&lt;=90),Control!$C$111,Control!$C$111)</f>
        <v>#N/A</v>
      </c>
      <c r="DR310" s="145" t="e">
        <f t="shared" ca="1" si="951"/>
        <v>#N/A</v>
      </c>
      <c r="DS310" s="143" t="e">
        <f ca="1">Control!$B$22/$DR310</f>
        <v>#N/A</v>
      </c>
      <c r="DT310" s="149" t="e">
        <f ca="1">IF(AND(Control!$C$114=1,$KH310&lt;1),$IM310*$DF310, 0)</f>
        <v>#N/A</v>
      </c>
      <c r="DU310" s="144" t="e">
        <f t="shared" ca="1" si="1075"/>
        <v>#N/A</v>
      </c>
      <c r="DV310" s="144">
        <f ca="1">IF($G310-Control!$C$107&lt;=0, 0, 0.83*LN(MAX($G310, 3))-0.8924)</f>
        <v>0</v>
      </c>
      <c r="DW310" s="144" t="e">
        <f t="shared" ca="1" si="952"/>
        <v>#N/A</v>
      </c>
      <c r="DX310" s="150" t="e">
        <f ca="1">MAX(0.01*(1+$CU310/Control!$C$102),0.05*($DK310-Control!$C$97)/Control!$C$97)</f>
        <v>#N/A</v>
      </c>
      <c r="DY310" s="151" t="e">
        <f ca="1">IF(Control!$C$114=1, $DI310*$FS310, 0)</f>
        <v>#N/A</v>
      </c>
      <c r="DZ310" s="196" t="e">
        <f t="shared" ca="1" si="1076"/>
        <v>#N/A</v>
      </c>
      <c r="EA310" s="152">
        <f t="shared" ca="1" si="1077"/>
        <v>306</v>
      </c>
      <c r="EB310" s="153" t="e">
        <f t="shared" ca="1" si="1078"/>
        <v>#N/A</v>
      </c>
      <c r="EC310" s="153" t="e">
        <f t="shared" ca="1" si="1079"/>
        <v>#N/A</v>
      </c>
      <c r="ED310" s="154" t="e">
        <f ca="1">IF(Control!$C$114=1, $HM310*$FY310-$FD310, 0)</f>
        <v>#DIV/0!</v>
      </c>
      <c r="EE310" s="155" t="e">
        <f ca="1">IF(Control!$C$114=1, $HM310*$FZ310-$FF310, 0)</f>
        <v>#DIV/0!</v>
      </c>
      <c r="EF310" s="153" t="e">
        <f t="shared" ca="1" si="1133"/>
        <v>#N/A</v>
      </c>
      <c r="EG310" s="155" t="e">
        <f ca="1">IF(Control!$C$114=1, $GX310*$FW310-$FI310, 0)</f>
        <v>#DIV/0!</v>
      </c>
      <c r="EH310" s="153" t="e">
        <f t="shared" ca="1" si="1080"/>
        <v>#N/A</v>
      </c>
      <c r="EI310" s="156" t="e">
        <f t="shared" ca="1" si="1081"/>
        <v>#N/A</v>
      </c>
      <c r="EJ310" s="155" t="e">
        <f ca="1">IF(Control!$C$114=1, $HM310*$GB310, 0)</f>
        <v>#DIV/0!</v>
      </c>
      <c r="EK310" s="153" t="e">
        <f t="shared" ca="1" si="1134"/>
        <v>#N/A</v>
      </c>
      <c r="EL310" s="153" t="e">
        <f t="shared" ca="1" si="953"/>
        <v>#N/A</v>
      </c>
      <c r="EM310" s="153" t="e">
        <f t="shared" ca="1" si="954"/>
        <v>#N/A</v>
      </c>
      <c r="EN310" s="153" t="e">
        <f ca="1">IF(Control!$C$108=1,IF(AND(Control!$B$18=1,$EB310&gt;=Control!$B$19),$EB310-$DS310,IF(AND(Control!$B$18=2,$AW310=1,$EB310&gt;$DS310),$EB310-$DS310,0)))</f>
        <v>#N/A</v>
      </c>
      <c r="EO310" s="153" t="e">
        <f ca="1">IF(Control!$C$108=1,IF(AND(Control!$B$18=1,$EB310&gt;=Control!$B$19),$EF310,IF(AND(Control!$B$18=2,$AW310=1),$EF310,0)))</f>
        <v>#N/A</v>
      </c>
      <c r="EP310" s="153" t="e">
        <f ca="1">IF(Control!$C$108=1,IF(AND(Control!$B$18=1,$EB310&gt;=Control!$B$19),$EK310,IF(AND(Control!$B$18=2,$AW310=1),$EK310,0)))</f>
        <v>#N/A</v>
      </c>
      <c r="EQ310" s="153" t="e">
        <f t="shared" ca="1" si="1082"/>
        <v>#N/A</v>
      </c>
      <c r="ER310" s="153" t="e">
        <f t="shared" ca="1" si="1083"/>
        <v>#N/A</v>
      </c>
      <c r="ES310" s="153" t="e">
        <f t="shared" ca="1" si="1135"/>
        <v>#N/A</v>
      </c>
      <c r="ET310" s="153" t="e">
        <f t="shared" ca="1" si="1136"/>
        <v>#N/A</v>
      </c>
      <c r="EU310" s="153" t="e">
        <f t="shared" ca="1" si="1084"/>
        <v>#N/A</v>
      </c>
      <c r="EV310" s="153" t="e">
        <f t="shared" ca="1" si="955"/>
        <v>#N/A</v>
      </c>
      <c r="EW310" s="153" t="e">
        <f t="shared" ca="1" si="956"/>
        <v>#N/A</v>
      </c>
      <c r="EX310" s="153" t="e">
        <f t="shared" ca="1" si="957"/>
        <v>#N/A</v>
      </c>
      <c r="EY310" s="157" t="e">
        <f t="shared" ca="1" si="958"/>
        <v>#DIV/0!</v>
      </c>
      <c r="EZ310" s="154" t="e">
        <f t="shared" ca="1" si="959"/>
        <v>#DIV/0!</v>
      </c>
      <c r="FA310" s="153" t="e">
        <f t="shared" ca="1" si="1085"/>
        <v>#N/A</v>
      </c>
      <c r="FB310" s="153" t="e">
        <f t="shared" ca="1" si="960"/>
        <v>#N/A</v>
      </c>
      <c r="FC310" s="193" t="e">
        <f t="shared" ca="1" si="961"/>
        <v>#N/A</v>
      </c>
      <c r="FD310" s="158" t="e">
        <f t="shared" ca="1" si="1086"/>
        <v>#N/A</v>
      </c>
      <c r="FE310" s="158" t="e">
        <f t="shared" ca="1" si="1087"/>
        <v>#N/A</v>
      </c>
      <c r="FF310" s="159" t="e">
        <f t="shared" ca="1" si="962"/>
        <v>#N/A</v>
      </c>
      <c r="FG310" s="160" t="e">
        <f t="shared" ca="1" si="1088"/>
        <v>#N/A</v>
      </c>
      <c r="FH310" s="158" t="e">
        <f t="shared" ca="1" si="1089"/>
        <v>#N/A</v>
      </c>
      <c r="FI310" s="159" t="e">
        <f t="shared" ca="1" si="963"/>
        <v>#N/A</v>
      </c>
      <c r="FJ310" s="160" t="e">
        <f t="shared" ca="1" si="1090"/>
        <v>#N/A</v>
      </c>
      <c r="FK310" s="160" t="e">
        <f t="shared" ca="1" si="964"/>
        <v>#N/A</v>
      </c>
      <c r="FL310" s="160" t="e">
        <f t="shared" ca="1" si="1137"/>
        <v>#N/A</v>
      </c>
      <c r="FM310" s="160" t="e">
        <f t="shared" ca="1" si="965"/>
        <v>#N/A</v>
      </c>
      <c r="FN310" s="158">
        <f t="shared" ca="1" si="1091"/>
        <v>0.01</v>
      </c>
      <c r="FO310" s="160">
        <f>Control!$C$101</f>
        <v>50</v>
      </c>
      <c r="FP310" s="150" t="e">
        <f t="shared" ca="1" si="966"/>
        <v>#N/A</v>
      </c>
      <c r="FQ310" s="150" t="e">
        <f ca="1">MAX(0,(Control!$C$112*(($DK310-Control!$C$97)/Control!$C$97)))</f>
        <v>#N/A</v>
      </c>
      <c r="FR310" s="150" t="e">
        <f ca="1">(1-$NT310)*Control!$C$113</f>
        <v>#DIV/0!</v>
      </c>
      <c r="FS310" s="198" t="e">
        <f t="shared" ca="1" si="967"/>
        <v>#N/A</v>
      </c>
      <c r="FT310" s="161">
        <f t="shared" ca="1" si="1092"/>
        <v>306</v>
      </c>
      <c r="FU310" s="162" t="e">
        <f ca="1">IF(Control!$B$34=1,VLOOKUP($CP310,Control!$B$86:$G$91,6),Control!$B$35)</f>
        <v>#N/A</v>
      </c>
      <c r="FV310" s="162" t="e">
        <f t="shared" ca="1" si="968"/>
        <v>#DIV/0!</v>
      </c>
      <c r="FW310" s="162" t="e">
        <f ca="1">IF(Control!$B$31=1,$FU310*$FV310,  $FU310)</f>
        <v>#N/A</v>
      </c>
      <c r="FX310" s="162" t="e">
        <f ca="1">IF(Control!$B$34=1,VLOOKUP($CP310,Control!$B$86:$G$91,3),Control!$B$36)</f>
        <v>#N/A</v>
      </c>
      <c r="FY310" s="162" t="e">
        <f t="shared" ca="1" si="969"/>
        <v>#N/A</v>
      </c>
      <c r="FZ310" s="162" t="e">
        <f ca="1">IF(Control!$B$34=1,VLOOKUP($CP310,Control!$B$86:$G$91,4),Control!$B$37)</f>
        <v>#N/A</v>
      </c>
      <c r="GA310" s="162" t="e">
        <f t="shared" ca="1" si="970"/>
        <v>#N/A</v>
      </c>
      <c r="GB310" s="162" t="e">
        <f ca="1">IF(Control!$B$34=1,VLOOKUP($CP310,Control!$B$86:$G$91,5),Control!$B$38)</f>
        <v>#N/A</v>
      </c>
      <c r="GC310" s="162" t="e">
        <f t="shared" ca="1" si="1093"/>
        <v>#N/A</v>
      </c>
      <c r="GD310" s="162">
        <f t="shared" ca="1" si="971"/>
        <v>1</v>
      </c>
      <c r="GE310" s="162">
        <f t="shared" ca="1" si="972"/>
        <v>1</v>
      </c>
      <c r="GF310" s="162">
        <f ca="1">IF(AND(Control!$C$104=1, Control!$C$62="F"),$GE310,1)</f>
        <v>1</v>
      </c>
      <c r="GG310" s="162" t="e">
        <f ca="1">IF(Control!$B$16=40,0,IF(AND(Control!$B$16&gt;40,Control!$B$16&lt;=360),(Control!$B$16-40)*((1-0)/(360-40)),IF(AND(Control!$B$16&gt;360,Control!$B$16&lt;=720),(1+(Control!$B$16-360)*((1.25-1)/(720-360))),IF(AND(Control!$B$16&gt;720,Control!$B$16&lt;=1000),(1.25+(Control!$B$16-720)*((1.35-1.25)/(1000-720))),IF(AND(Control!$B$16&gt;1000,Control!$B$16&lt;=2000),(1.35+(Control!$B$16-1000)*0))))))</f>
        <v>#N/A</v>
      </c>
      <c r="GH310" s="162" t="e">
        <f t="shared" ca="1" si="973"/>
        <v>#N/A</v>
      </c>
      <c r="GI310" s="162">
        <f t="shared" ca="1" si="1094"/>
        <v>0</v>
      </c>
      <c r="GJ310" s="162">
        <f t="shared" ca="1" si="974"/>
        <v>0</v>
      </c>
      <c r="GK310" s="162">
        <f t="shared" ca="1" si="1095"/>
        <v>1</v>
      </c>
      <c r="GL310" s="162">
        <f t="shared" ca="1" si="975"/>
        <v>1</v>
      </c>
      <c r="GM310" s="162" t="e">
        <f ca="1">MAX(0,MIN(1,1-Control!$C$156*(1.0001-$KH310)^2))</f>
        <v>#N/A</v>
      </c>
      <c r="GN310" s="162" t="e">
        <f ca="1">IF(Control!$B$26=1,$KU310,$KX310)</f>
        <v>#N/A</v>
      </c>
      <c r="GO310" s="162" t="e">
        <f ca="1">IF($CP310&lt;=60,Control!$C$105,IF($CP310&gt;=90,Control!$C$106,Control!$C$105+($CP310-60)*((Control!$C$106-Control!$C$105)/(90-60))))</f>
        <v>#N/A</v>
      </c>
      <c r="GP310" s="162" t="e">
        <f t="shared" ca="1" si="976"/>
        <v>#N/A</v>
      </c>
      <c r="GQ310" s="162" t="e">
        <f t="shared" ca="1" si="1096"/>
        <v>#N/A</v>
      </c>
      <c r="GR310" s="163" t="e">
        <f t="shared" ca="1" si="977"/>
        <v>#DIV/0!</v>
      </c>
      <c r="GS310" s="162" t="e">
        <f t="shared" ca="1" si="978"/>
        <v>#DIV/0!</v>
      </c>
      <c r="GT310" s="164" t="e">
        <f t="shared" ca="1" si="1097"/>
        <v>#N/A</v>
      </c>
      <c r="GU310" s="162" t="e">
        <f t="shared" ca="1" si="1098"/>
        <v>#N/A</v>
      </c>
      <c r="GV310" s="162" t="e">
        <f t="shared" ca="1" si="979"/>
        <v>#N/A</v>
      </c>
      <c r="GW310" s="162" t="e">
        <f t="shared" ca="1" si="980"/>
        <v>#DIV/0!</v>
      </c>
      <c r="GX310" s="162" t="e">
        <f t="shared" ca="1" si="1099"/>
        <v>#DIV/0!</v>
      </c>
      <c r="GY310" s="162" t="e">
        <f t="shared" ca="1" si="1100"/>
        <v>#DIV/0!</v>
      </c>
      <c r="GZ310" s="165" t="e">
        <f t="shared" ca="1" si="981"/>
        <v>#N/A</v>
      </c>
      <c r="HA310" s="162" t="e">
        <f ca="1">IF(Control!$C$114=1, $DI310*$FS310, 0)</f>
        <v>#N/A</v>
      </c>
      <c r="HB310" s="162" t="e">
        <f ca="1">$FA310/Control!$C$64</f>
        <v>#N/A</v>
      </c>
      <c r="HC310" s="162" t="e">
        <f t="shared" ca="1" si="982"/>
        <v>#DIV/0!</v>
      </c>
      <c r="HD310" s="162">
        <f ca="1">-ASIN(SIN(23.45*Control!$C$139)*COS(2*Control!$C$138*($AH310+10)/365))</f>
        <v>-0.2677711348814909</v>
      </c>
      <c r="HE310" s="165">
        <f t="shared" ca="1" si="1101"/>
        <v>0</v>
      </c>
      <c r="HF310" s="166">
        <f ca="1">IF(AND(Control!$C$61="T",$HE310&gt;=Control!$C$103,Control!$C$114=0),$AH310,Control!$C$59)</f>
        <v>1</v>
      </c>
      <c r="HG310" s="166">
        <f ca="1">IF(AND(Control!$C$61="T",$HE310&gt;=Control!$C$103,Control!$C$114=0),$HF310,Control!$C$59)</f>
        <v>1</v>
      </c>
      <c r="HH310" s="165">
        <f ca="1">IF(AND(OR(Control!$C$60&lt;=0, $AH310= Control!$C$59, Control!$C$60 &gt;0, $AH310 = Control!$C$60)), Control!$C$59, IF(Control!$C$60&gt;0, 0))</f>
        <v>1</v>
      </c>
      <c r="HI310" s="165">
        <f ca="1">IF(AND(OR(Control!$C$60&lt;=0, $AH310= Control!$C$59, Control!$C$60 &gt;0, $AH310 = Control!$C$60)), Control!$C$60, IF(Control!$C$60&lt;=0, 0))</f>
        <v>0</v>
      </c>
      <c r="HJ310" s="166">
        <f ca="1">IF(AND(Control!$C$62="F",$CV310&gt;=Control!$C$102),$AH310,0)</f>
        <v>0</v>
      </c>
      <c r="HK310" s="165" t="e">
        <f t="shared" ca="1" si="1138"/>
        <v>#N/A</v>
      </c>
      <c r="HL310" s="166">
        <f ca="1">IF(AND(Control!$C$61="T",$HE310&gt;=Control!$C$103,Control!$C$114=0),$HF310,0)</f>
        <v>0</v>
      </c>
      <c r="HM310" s="201" t="e">
        <f t="shared" ca="1" si="983"/>
        <v>#DIV/0!</v>
      </c>
      <c r="HN310" s="215">
        <f t="shared" ca="1" si="1102"/>
        <v>306</v>
      </c>
      <c r="HO310" s="216" t="e">
        <f ca="1">IF(AND($CP310&gt;=0, $CP310&lt;=90), Control!$C$152, Control!$C$152)</f>
        <v>#N/A</v>
      </c>
      <c r="HP310" s="216" t="e">
        <f t="shared" ca="1" si="984"/>
        <v>#N/A</v>
      </c>
      <c r="HQ310" s="217" t="e">
        <f ca="1">IF(OR(Control!$B$26=1,Control!$B$26=2),$KV310,$KS310)</f>
        <v>#DIV/0!</v>
      </c>
      <c r="HR310" s="218" t="e">
        <f t="shared" ca="1" si="1139"/>
        <v>#DIV/0!</v>
      </c>
      <c r="HS310" s="216" t="e">
        <f ca="1">Control!$C$154*$HP310</f>
        <v>#N/A</v>
      </c>
      <c r="HT310" s="216" t="e">
        <f ca="1">Control!$C$155*$HP310</f>
        <v>#N/A</v>
      </c>
      <c r="HU310" s="217" t="e">
        <f ca="1">Control!$C$161*$FI310</f>
        <v>#N/A</v>
      </c>
      <c r="HV310" s="218" t="e">
        <f t="shared" ca="1" si="1103"/>
        <v>#N/A</v>
      </c>
      <c r="HW310" s="218" t="e">
        <f ca="1">Control!$C$160*$FF310+$IP310*$EO310</f>
        <v>#N/A</v>
      </c>
      <c r="HX310" s="218" t="e">
        <f t="shared" ca="1" si="1140"/>
        <v>#N/A</v>
      </c>
      <c r="HY310" s="219" t="e">
        <f ca="1">IF(Control!$C$114=1, $EB310*$FS310, 0)</f>
        <v>#N/A</v>
      </c>
      <c r="HZ310" s="91" t="e">
        <f t="shared" ca="1" si="985"/>
        <v>#N/A</v>
      </c>
      <c r="IA310" s="220" t="e">
        <f ca="1">Control!$C$153*$HO310</f>
        <v>#N/A</v>
      </c>
      <c r="IB310" s="218" t="e">
        <f t="shared" ca="1" si="986"/>
        <v>#N/A</v>
      </c>
      <c r="IC310" s="220" t="e">
        <f ca="1">Control!$C$153*$HT310</f>
        <v>#N/A</v>
      </c>
      <c r="ID310" s="218" t="e">
        <f t="shared" ca="1" si="987"/>
        <v>#N/A</v>
      </c>
      <c r="IE310" s="221" t="e">
        <f ca="1">($EB310*Control!$C$159+$EF310*Control!$C$160)/(IF($GZ310&lt;&gt;0,$GZ310,1))</f>
        <v>#N/A</v>
      </c>
      <c r="IF310" s="216" t="e">
        <f t="shared" ca="1" si="988"/>
        <v>#N/A</v>
      </c>
      <c r="IG310" s="91">
        <f ca="1">IF(OR(Control!$B$198=$AH310,Control!$B$199=$AH310, Control!$B$200=$AH310, Control!$B$201=$AH310, Control!$B$202=$AH310, Control!$B$203=$AH310, Control!$B$204=$AH310, Control!$B$205=$AH310, Control!$B$206=$AH310, Control!$B$207=$AH310), 1, 0)</f>
        <v>0</v>
      </c>
      <c r="IH310" s="91">
        <f ca="1">IF($IG310=0,0, VLOOKUP($AH310,Control!$B$198:$C$207,2))</f>
        <v>0</v>
      </c>
      <c r="II310" s="222">
        <f t="shared" ca="1" si="1104"/>
        <v>0</v>
      </c>
      <c r="IJ310" s="91">
        <f>Control!$C$121</f>
        <v>0.7</v>
      </c>
      <c r="IK310" s="218">
        <f t="shared" ca="1" si="989"/>
        <v>0</v>
      </c>
      <c r="IL310" s="217" t="e">
        <f t="shared" ca="1" si="1141"/>
        <v>#N/A</v>
      </c>
      <c r="IM310" s="223" t="e">
        <f ca="1">IF(AND(Control!$C$114=1,$KH310&lt;1),$EB310*Control!$C$148*(1-$KH310), 0)</f>
        <v>#N/A</v>
      </c>
      <c r="IN310" s="217" t="e">
        <f t="shared" ca="1" si="990"/>
        <v>#DIV/0!</v>
      </c>
      <c r="IO310" s="91" t="e">
        <f ca="1">MAX(0,$IL310-$EF310*Control!$C$160)</f>
        <v>#N/A</v>
      </c>
      <c r="IP310" s="220" t="e">
        <f t="shared" ca="1" si="991"/>
        <v>#N/A</v>
      </c>
      <c r="IQ310" s="217" t="e">
        <f t="shared" ca="1" si="1105"/>
        <v>#N/A</v>
      </c>
      <c r="IR310" s="218" t="e">
        <f t="shared" ca="1" si="992"/>
        <v>#N/A</v>
      </c>
      <c r="IS310" s="217" t="e">
        <f ca="1">Control!$C$159*MAX(0,$FD310-$EN310)</f>
        <v>#N/A</v>
      </c>
      <c r="IT310" s="217" t="e">
        <f t="shared" ca="1" si="1142"/>
        <v>#N/A</v>
      </c>
      <c r="IU310" s="217" t="e">
        <f t="shared" ca="1" si="1106"/>
        <v>#N/A</v>
      </c>
      <c r="IV310" s="217" t="e">
        <f t="shared" ca="1" si="1143"/>
        <v>#N/A</v>
      </c>
      <c r="IW310" s="217" t="e">
        <f ca="1">IF(OR($AW310=1,AND($AW310=0, Control!$B$18=1,$EN310&lt;&gt;0)), $IQ310-$IU310, $IQ310)</f>
        <v>#N/A</v>
      </c>
      <c r="IX310" s="218" t="e">
        <f t="shared" ca="1" si="993"/>
        <v>#N/A</v>
      </c>
      <c r="IY310" s="218" t="e">
        <f ca="1">MAX(0,$IQ310-$EB310*Control!$C$159)</f>
        <v>#N/A</v>
      </c>
      <c r="IZ310" s="218" t="e">
        <f t="shared" ca="1" si="994"/>
        <v>#N/A</v>
      </c>
      <c r="JA310" s="216" t="e">
        <f t="shared" ca="1" si="995"/>
        <v>#N/A</v>
      </c>
      <c r="JB310" s="217" t="e">
        <f t="shared" ca="1" si="996"/>
        <v>#N/A</v>
      </c>
      <c r="JC310" s="222" t="e">
        <f ca="1">MAX(Control!$C$157*$EK310-$JT310, 0)/Control!$C$162</f>
        <v>#N/A</v>
      </c>
      <c r="JD310" s="218" t="e">
        <f t="shared" ca="1" si="997"/>
        <v>#N/A</v>
      </c>
      <c r="JE310" s="218" t="e">
        <f t="shared" ca="1" si="998"/>
        <v>#N/A</v>
      </c>
      <c r="JF310" s="218" t="e">
        <f t="shared" ca="1" si="1107"/>
        <v>#N/A</v>
      </c>
      <c r="JG310" s="218" t="e">
        <f t="shared" ca="1" si="999"/>
        <v>#N/A</v>
      </c>
      <c r="JH310" s="217" t="e">
        <f t="shared" ca="1" si="1108"/>
        <v>#N/A</v>
      </c>
      <c r="JI310" s="217" t="e">
        <f t="shared" ca="1" si="1109"/>
        <v>#N/A</v>
      </c>
      <c r="JJ310" s="217" t="e">
        <f t="shared" ca="1" si="1144"/>
        <v>#N/A</v>
      </c>
      <c r="JK310" s="217" t="e">
        <f ca="1">IF(Control!$C$114=1,IF(Control!$B$24=0,MAX(0,$JI310)*$GN310/Control!$C$64,(MAX(0,MIN($JI310,$JJ310*$GN310/Control!$C$64),0))))</f>
        <v>#N/A</v>
      </c>
      <c r="JL310" s="217" t="e">
        <f ca="1">$IK310/Control!$C$64-$JK310+$HQ310</f>
        <v>#N/A</v>
      </c>
      <c r="JM310" s="217" t="e">
        <f ca="1">IF(Control!$C$114=1,($JB310/(IF($JI310&lt;&gt;0,$JI310,1)))*$JK310,0)</f>
        <v>#N/A</v>
      </c>
      <c r="JN310" s="217" t="e">
        <f ca="1">IF(Control!$C$114=1,($JG310/(IF($JI310&lt;&gt;0,$JI310,1)))*$JK310, 0)</f>
        <v>#N/A</v>
      </c>
      <c r="JO310" s="218" t="e">
        <f t="shared" ca="1" si="1000"/>
        <v>#N/A</v>
      </c>
      <c r="JP310" s="218" t="e">
        <f ca="1">MIN(($IY310+$IO310)*Control!$C$151, $JF310-$EH310*Control!$C$161)</f>
        <v>#N/A</v>
      </c>
      <c r="JQ310" s="218" t="e">
        <f t="shared" ca="1" si="1001"/>
        <v>#N/A</v>
      </c>
      <c r="JR310" s="217" t="e">
        <f ca="1">IF($CP310-Control!$C$150&lt;0, 0, $JQ310/Control!$C$162)</f>
        <v>#N/A</v>
      </c>
      <c r="JS310" s="218" t="e">
        <f t="shared" ca="1" si="1002"/>
        <v>#N/A</v>
      </c>
      <c r="JT310" s="218" t="e">
        <f t="shared" ca="1" si="1110"/>
        <v>#N/A</v>
      </c>
      <c r="JU310" s="218" t="e">
        <f t="shared" ca="1" si="1003"/>
        <v>#N/A</v>
      </c>
      <c r="JV310" s="218" t="e">
        <f t="shared" ca="1" si="1004"/>
        <v>#N/A</v>
      </c>
      <c r="JW310" s="216" t="e">
        <f t="shared" ca="1" si="1005"/>
        <v>#N/A</v>
      </c>
      <c r="JX310" s="91" t="e">
        <f t="shared" ca="1" si="1006"/>
        <v>#N/A</v>
      </c>
      <c r="JY310" s="218" t="e">
        <f t="shared" ca="1" si="1007"/>
        <v>#N/A</v>
      </c>
      <c r="JZ310" s="217" t="e">
        <f ca="1">IF(Control!$C$114=1,($IZ310/(IF($JI310&lt;&gt;0,$JI310,1)))*$JK310, 0)</f>
        <v>#N/A</v>
      </c>
      <c r="KA310" s="218" t="e">
        <f t="shared" ca="1" si="1145"/>
        <v>#N/A</v>
      </c>
      <c r="KB310" s="218" t="e">
        <f t="shared" ca="1" si="1111"/>
        <v>#N/A</v>
      </c>
      <c r="KC310" s="218" t="e">
        <f t="shared" ca="1" si="1008"/>
        <v>#N/A</v>
      </c>
      <c r="KD310" s="218" t="e">
        <f t="shared" ca="1" si="1009"/>
        <v>#N/A</v>
      </c>
      <c r="KE310" s="218" t="e">
        <f t="shared" ca="1" si="1010"/>
        <v>#N/A</v>
      </c>
      <c r="KF310" s="218" t="e">
        <f t="shared" ca="1" si="1011"/>
        <v>#N/A</v>
      </c>
      <c r="KG310" s="216" t="e">
        <f t="shared" ca="1" si="1012"/>
        <v>#N/A</v>
      </c>
      <c r="KH310" s="221" t="e">
        <f ca="1">IF(Control!$B$24=0,1,MAX(0.001,MIN(1,IF(($IF310-$IE310)&lt;&gt;0,($KG310-$IE310)/($IF310-$IE310),1))))</f>
        <v>#N/A</v>
      </c>
      <c r="KI310" s="222" t="e">
        <f ca="1">IF(Control!$C$114=1, $KI309+ $KH309, 0)</f>
        <v>#N/A</v>
      </c>
      <c r="KJ310" s="217" t="e">
        <f t="shared" ca="1" si="1013"/>
        <v>#N/A</v>
      </c>
      <c r="KK310" s="218" t="e">
        <f t="shared" ca="1" si="1014"/>
        <v>#N/A</v>
      </c>
      <c r="KL310" s="274" t="e">
        <f ca="1">IF(Control!$B$26=3,4000000000*EXP(-8400/($G310+273)),IF(Control!$B$26=4,4000000000*EXP(-8400/($G310+273))*($KT310),0))</f>
        <v>#DIV/0!</v>
      </c>
      <c r="KM310" s="274" t="e">
        <f ca="1">IF(Control!$B$26=3,5600000000000*EXP(-9800/($G310+273)),IF(Control!$B$26=4,5600000000000*EXP(-9800/($G310+273))*$KT310,0))</f>
        <v>#DIV/0!</v>
      </c>
      <c r="KN310" s="454" t="e">
        <f t="shared" ca="1" si="1112"/>
        <v>#DIV/0!</v>
      </c>
      <c r="KO310" s="274" t="e">
        <f t="shared" ca="1" si="1113"/>
        <v>#DIV/0!</v>
      </c>
      <c r="KP310" s="454" t="e">
        <f t="shared" ca="1" si="1015"/>
        <v>#DIV/0!</v>
      </c>
      <c r="KQ310" s="454" t="e">
        <f t="shared" ca="1" si="1016"/>
        <v>#DIV/0!</v>
      </c>
      <c r="KR310" s="454" t="e">
        <f t="shared" ca="1" si="1017"/>
        <v>#DIV/0!</v>
      </c>
      <c r="KS310" s="454" t="e">
        <f t="shared" ca="1" si="1018"/>
        <v>#DIV/0!</v>
      </c>
      <c r="KT310" s="455" t="e">
        <f t="shared" ca="1" si="1019"/>
        <v>#DIV/0!</v>
      </c>
      <c r="KU310" s="456" t="e">
        <f ca="1">IF($CP310-Control!$C$149&lt;0, IF($NT310-0.01&lt;0,0,1),0)</f>
        <v>#N/A</v>
      </c>
      <c r="KV310" s="456" t="e">
        <f ca="1">IF(Control!$C$114=1,MAX(0,MIN(Control!$C$125*$KW310*$GN310,$KW310)))</f>
        <v>#DIV/0!</v>
      </c>
      <c r="KW310" s="456" t="e">
        <f t="shared" ca="1" si="1146"/>
        <v>#DIV/0!</v>
      </c>
      <c r="KX310" s="457" t="e">
        <f ca="1">IF($CP310-Control!$C$149&lt;0, IF($MR310-$OM310&lt;0,0,1),0)</f>
        <v>#N/A</v>
      </c>
      <c r="KY310" s="167">
        <f t="shared" ca="1" si="1114"/>
        <v>306</v>
      </c>
      <c r="KZ310" s="168">
        <f ca="1">1370*(1+0.033*COS(2*Control!$C$138*$AH310/365))</f>
        <v>1393.8296564592681</v>
      </c>
      <c r="LA310" s="169">
        <f t="shared" ca="1" si="1115"/>
        <v>1.0173935643851983</v>
      </c>
      <c r="LB310" s="169">
        <f t="shared" ca="1" si="1116"/>
        <v>-0.2745596194846221</v>
      </c>
      <c r="LC310" s="169">
        <f ca="1">ACOS(-TAN((2*Control!$B$8/360))*TAN(Calculations!$LB310))</f>
        <v>1.4869840703054897</v>
      </c>
      <c r="LD310" s="169">
        <f ca="1">((24*60)/PI())*0.082*$LA310*(($LC310*SIN(Control!$B$8*2*PI()/360))*SIN($LB310)+COS(Control!$B$8*2*PI()/360)*COS($LB310)*SIN($LC310))</f>
        <v>10.432980532918462</v>
      </c>
      <c r="LE310" s="170">
        <f t="shared" ca="1" si="1020"/>
        <v>11.567896349620629</v>
      </c>
      <c r="LF310" s="170">
        <f ca="1">SIN(Control!$C$139*Control!$B$8)*SIN($HD310)</f>
        <v>-0.20849432747424551</v>
      </c>
      <c r="LG310" s="170">
        <f ca="1">COS(Control!$C$139*Control!$B$8)*COS($HD310)</f>
        <v>0.59371954090095125</v>
      </c>
      <c r="LH310" s="170">
        <f ca="1">12*(1+2*ASIN(MAX(-1,MIN(1,$LF310/$LG310))/Control!$C$138))</f>
        <v>9.3116747015861883</v>
      </c>
      <c r="LI310" s="170">
        <f ca="1">12*(1+2*ASIN(MAX(-1,MIN(1,(-SIN(-4*Control!$C$139)+$LF310)/$LG310))/Control!$C$138))</f>
        <v>10.213204929053354</v>
      </c>
      <c r="LJ310" s="168">
        <f ca="1">3600*($LH310*$LF310+24*$LG310*SQRT(1-$LK310*$LK310)/Control!$C$138)</f>
        <v>8299.3616156844037</v>
      </c>
      <c r="LK310" s="170">
        <f t="shared" ca="1" si="1021"/>
        <v>-0.35116635568009391</v>
      </c>
      <c r="LL310" s="170">
        <f t="shared" ca="1" si="1022"/>
        <v>0</v>
      </c>
      <c r="LM310" s="171">
        <f ca="1">Control!$C$145*$AB310</f>
        <v>6.6660906138995932E-2</v>
      </c>
      <c r="LN310" s="170">
        <f t="shared" ca="1" si="1117"/>
        <v>0.54</v>
      </c>
      <c r="LO310" s="170">
        <f t="shared" ca="1" si="1023"/>
        <v>0</v>
      </c>
      <c r="LP310" s="170">
        <f ca="1">Control!$C$140*((($D310+273.16)^4+($E310+273.16)^4)/2)*(0.34-0.14*SQRT($Y310))*(1.35*$AQ310/(0.75*$LD310)-0.35)</f>
        <v>-3.2464704755046001</v>
      </c>
      <c r="LQ310" s="170">
        <f ca="1">Control!$C$140*($G310+273)^4*(0.56-0.079*SQRT($Y310*10))*(0.1+0.9*$LO310)</f>
        <v>1.5241745131704001</v>
      </c>
      <c r="LR310" s="170">
        <f ca="1">$AQ310*(1-Control!$C$142)-$LQ310</f>
        <v>-1.5241745131704001</v>
      </c>
      <c r="LS310" s="170">
        <f ca="1">$AQ310*(1-Control!$C$143)-$LQ310</f>
        <v>-1.5241745131704001</v>
      </c>
      <c r="LT310" s="170">
        <f ca="1">$AQ310*(1-Control!$C$144)-$LQ310</f>
        <v>-1.5241745131704001</v>
      </c>
      <c r="LU310" s="169">
        <f ca="1">(1-Control!$C$144)*AQ310-LP310</f>
        <v>3.2464704755046001</v>
      </c>
      <c r="LV310" s="172">
        <f t="shared" ca="1" si="1024"/>
        <v>0.79430000000000012</v>
      </c>
      <c r="LW310" s="170">
        <f t="shared" ca="1" si="1025"/>
        <v>1.5886000000000002</v>
      </c>
      <c r="LX310" s="170">
        <f ca="1">($AC310*($LR310/Control!$C$141)+$LM310*$LV310)/($AC310+$LM310)</f>
        <v>0.23530094218323697</v>
      </c>
      <c r="LY310" s="170">
        <f ca="1">($AC310*($LS310/Control!$C$141)+$LM310*$LV310)/($AC310+$LM310)</f>
        <v>0.23530094218323697</v>
      </c>
      <c r="LZ310" s="170">
        <f t="shared" ca="1" si="1026"/>
        <v>0.23530094218323697</v>
      </c>
      <c r="MA310" s="170">
        <f t="shared" ca="1" si="1027"/>
        <v>0.23530094218323697</v>
      </c>
      <c r="MB310" s="170" t="e">
        <f t="shared" ca="1" si="1028"/>
        <v>#N/A</v>
      </c>
      <c r="MC310" s="170">
        <f t="shared" ca="1" si="1118"/>
        <v>0.6018</v>
      </c>
      <c r="MD310" s="170">
        <f t="shared" ca="1" si="1029"/>
        <v>0.52989392535414004</v>
      </c>
      <c r="ME310" s="170">
        <f ca="1">($AC310*($LT310/Control!$C$141)+$LM310*$LW310)/($AC310+$LM310)</f>
        <v>0.71612369323045078</v>
      </c>
      <c r="MF310" s="170" t="e">
        <f ca="1">IF(Control!$B$16&gt;=1000,0.92,IF(AND(720&lt;=Control!$B$16,1000&gt;Control!$B$16),(0.95+(Control!$B$16-720)*((0.92-0.95)/(1000-720))),IF(AND(360&lt;=Control!$B$16,720&gt;Control!$B$16),(1+(Control!$B$16-360)*((0.95-1)/(720-360))),IF(AND(40&lt;=Control!$B$16,360&gt;Control!$B$16),(1.05+(Control!$B$16-40)*((1.05-1)/(360-40)))))))</f>
        <v>#N/A</v>
      </c>
      <c r="MG310" s="170">
        <f t="shared" ca="1" si="1030"/>
        <v>0.71612369323045078</v>
      </c>
      <c r="MH310" s="170" t="e">
        <f t="shared" ca="1" si="1157"/>
        <v>#N/A</v>
      </c>
      <c r="MI310" s="170" t="e">
        <f t="shared" ca="1" si="1157"/>
        <v>#N/A</v>
      </c>
      <c r="MJ310" s="170" t="e">
        <f ca="1">MAX(0.0001, Control!$C$132*$MI310*$DL310)</f>
        <v>#N/A</v>
      </c>
      <c r="MK310" s="170">
        <f ca="1">1/(0.76+1.5*($MG310/10))-(5-Control!$C$110)*0.1</f>
        <v>1.002845988140797</v>
      </c>
      <c r="ML310" s="173">
        <f ca="1">IF(Control!$C$110&lt;3,$MK310+($MG310-0.6)/(Control!$C$110*(Control!$C$110+3)), MAX(0.1, MIN(0.95,$MK310)))</f>
        <v>0.95</v>
      </c>
      <c r="MM310" s="173">
        <f ca="1">IF(Control!$C$110&lt;3,$MK310+(($MI310/10)-0.6)/(Control!$C$110*(Control!$C$110+3)), MAX(0.1, MIN(0.95,$MK310)))</f>
        <v>0.95</v>
      </c>
      <c r="MN310" s="173">
        <f ca="1">(1-$MM310)*(Control!$C$128-Control!$C$127)+Control!$C$127</f>
        <v>0.16</v>
      </c>
      <c r="MO310" s="170" t="e">
        <f ca="1">MAX(0,MIN(1,($MS310-Control!$C$127)/($MN310-Control!$C$127)))</f>
        <v>#DIV/0!</v>
      </c>
      <c r="MP310" s="173" t="e">
        <f ca="1">1/(0.76+1.5*$MI310)-(5-Control!$C$110)*0.1</f>
        <v>#N/A</v>
      </c>
      <c r="MQ310" s="172" t="e">
        <f t="shared" ca="1" si="1147"/>
        <v>#DIV/0!</v>
      </c>
      <c r="MR310" s="168" t="e">
        <f t="shared" ca="1" si="1119"/>
        <v>#DIV/0!</v>
      </c>
      <c r="MS310" s="173" t="e">
        <f ca="1">MAX(Control!$C$127, MIN(Control!$C$135, $MR310/MAX(0.0001,$CY310)))</f>
        <v>#DIV/0!</v>
      </c>
      <c r="MT310" s="168" t="e">
        <f ca="1">(Control!$C$128-$MS310)*Control!$C$74</f>
        <v>#DIV/0!</v>
      </c>
      <c r="MU310" s="168" t="e">
        <f ca="1">(Control!$C$135-$MS310)*Control!$C$74</f>
        <v>#DIV/0!</v>
      </c>
      <c r="MV310" s="168" t="e">
        <f t="shared" ca="1" si="1120"/>
        <v>#DIV/0!</v>
      </c>
      <c r="MW310" s="168" t="e">
        <f t="shared" ca="1" si="1121"/>
        <v>#DIV/0!</v>
      </c>
      <c r="MX310" s="171" t="e">
        <f ca="1">MAX(Control!$C$127, MIN(Control!$C$135, $MW310/MAX(0.0001,Control!$C$119-$CY310)))</f>
        <v>#DIV/0!</v>
      </c>
      <c r="MY310" s="54" t="e">
        <f ca="1">IF(Control!$C$114=1, $CX310*$MX310, 0)</f>
        <v>#DIV/0!</v>
      </c>
      <c r="MZ310" s="54" t="e">
        <f t="shared" ca="1" si="1122"/>
        <v>#N/A</v>
      </c>
      <c r="NA310" s="168" t="e">
        <f ca="1">(Control!$C$128-$MX310)*(Control!$C$119-Control!$C$74)</f>
        <v>#DIV/0!</v>
      </c>
      <c r="NB310" s="168" t="e">
        <f ca="1">(Control!$C$135-$MX310)*(Control!$C$119-Control!$C$74)</f>
        <v>#DIV/0!</v>
      </c>
      <c r="NC310" s="174" t="e">
        <f t="shared" ca="1" si="1123"/>
        <v>#DIV/0!</v>
      </c>
      <c r="ND310" s="54">
        <f ca="1">IF(Control!$C$58=2, IF(OR(Control!$B$218=$AH310,Control!$B$219=$AH310, Control!$B$220=$AH310, Control!$B$221=$AH310, Control!$B$222=$AH310, Control!$B$223=$AH310, Control!$B$224=$AH310, Control!$B$225=$AH310, Control!$B$226=$AH310, Control!$B$227=$AH310, Control!$B$228=$AH310), 1, 0), 0)</f>
        <v>0</v>
      </c>
      <c r="NE310" s="54">
        <f ca="1">IF($ND310=0,0, VLOOKUP($AH310,Control!$B$218:$C$228,2))</f>
        <v>0</v>
      </c>
      <c r="NF310" s="168" t="e">
        <f ca="1">$CY310*(Control!$C$128-Control!$C$127)</f>
        <v>#N/A</v>
      </c>
      <c r="NG310" s="54" t="e">
        <f ca="1">IF(Control!$C$58=2, $NI309-$NJ309, 0)</f>
        <v>#DIV/0!</v>
      </c>
      <c r="NH310" s="54" t="e">
        <f ca="1">IF(AND(Control!$C$58=1, $MS309&lt;= ($MN309+0.02), $I309&lt;10), 0, IF(Control!$C$58=2, $NG309, 0))</f>
        <v>#DIV/0!</v>
      </c>
      <c r="NI310" s="54" t="e">
        <f ca="1">IF(Control!$C$58=2, $NE310+$NH310,0)</f>
        <v>#DIV/0!</v>
      </c>
      <c r="NJ310" s="54" t="e">
        <f ca="1">IF(AND(Control!$C$58=1, $MS310&lt;= ($MN310+0.02), $I310&lt;10), MAX(0, MIN(10, 0.7*($NF310-$MV310))), IF(Control!$C$58=2, MIN(10,$NI310),0))</f>
        <v>#DIV/0!</v>
      </c>
      <c r="NK310" s="54" t="e">
        <f t="shared" ca="1" si="1031"/>
        <v>#DIV/0!</v>
      </c>
      <c r="NL310" s="173" t="e">
        <f ca="1">(1-Control!$C$73)*$I310+$NJ310</f>
        <v>#DIV/0!</v>
      </c>
      <c r="NM310" s="172" t="e">
        <f ca="1">IF($NL310&lt;0.5, $MB310* MAX(0, MIN(1, (SQRT($NC310)-SQRT($NC310-1))*Control!$C$71)),0)</f>
        <v>#DIV/0!</v>
      </c>
      <c r="NN310" s="170" t="e">
        <f ca="1">IF($NL310&gt;=5, $MB310, MAX(0,MIN($MB310, $NM310+$NL310,($MS310-Control!$C$129))))</f>
        <v>#DIV/0!</v>
      </c>
      <c r="NO310" s="54">
        <f>IF(Control!$C$133&lt;&gt;1, Control!$C$135-Control!$C$131, 0)</f>
        <v>0.38</v>
      </c>
      <c r="NP310" s="54" t="e">
        <f t="shared" ca="1" si="1032"/>
        <v>#DIV/0!</v>
      </c>
      <c r="NQ310" s="173" t="e">
        <f ca="1">MAX(0,MIN(1,(Control!$C$135-$MS310)/(Control!$C$135-$NO310)))</f>
        <v>#DIV/0!</v>
      </c>
      <c r="NR310" s="170" t="e">
        <f ca="1">IF(Control!$C$133&lt;&gt;1, $NQ310+((1-$NP310/4)*(1-$NQ310)),1)</f>
        <v>#DIV/0!</v>
      </c>
      <c r="NS310" s="170" t="e">
        <f ca="1">IF(Control!$B$31=0,$MJ310,MAX(0,MIN($MV310,$MO310*$NR310*$MJ310)))</f>
        <v>#DIV/0!</v>
      </c>
      <c r="NT310" s="170" t="e">
        <f t="shared" ca="1" si="1148"/>
        <v>#DIV/0!</v>
      </c>
      <c r="NU310" s="170" t="e">
        <f t="shared" ca="1" si="1124"/>
        <v>#N/A</v>
      </c>
      <c r="NV310" s="170" t="e">
        <f t="shared" ca="1" si="1033"/>
        <v>#N/A</v>
      </c>
      <c r="NW310" s="175" t="e">
        <f t="shared" ca="1" si="1034"/>
        <v>#DIV/0!</v>
      </c>
      <c r="NX310" s="170" t="e">
        <f ca="1">MIN(Control!$C$72+$MU310, $NW310)</f>
        <v>#DIV/0!</v>
      </c>
      <c r="NY310" s="170" t="e">
        <f ca="1">IF($MT310&lt;=$NX310,MIN(Control!$C$72+$NB310,$NX310-$MT310),0)</f>
        <v>#DIV/0!</v>
      </c>
      <c r="NZ310" s="54" t="e">
        <f ca="1">IF(Control!$C$114=1,  $CX310*($MX310-Control!$C$127), 0)</f>
        <v>#DIV/0!</v>
      </c>
      <c r="OA310" s="170" t="e">
        <f t="shared" ca="1" si="1035"/>
        <v>#DIV/0!</v>
      </c>
      <c r="OB310" s="170" t="e">
        <f ca="1">IF($NA310 &lt;=$NY310, MIN(Control!$C$72, $NY310-$NA310), 0)</f>
        <v>#DIV/0!</v>
      </c>
      <c r="OC310" s="168" t="e">
        <f t="shared" ca="1" si="1036"/>
        <v>#DIV/0!</v>
      </c>
      <c r="OD310" s="168" t="e">
        <f t="shared" ca="1" si="1125"/>
        <v>#DIV/0!</v>
      </c>
      <c r="OE310" s="170">
        <f ca="1">Control!$C$73*$I310</f>
        <v>0</v>
      </c>
      <c r="OF310" s="176" t="e">
        <f t="shared" ca="1" si="1037"/>
        <v>#DIV/0!</v>
      </c>
      <c r="OG310" s="168" t="e">
        <f t="shared" ca="1" si="1038"/>
        <v>#DIV/0!</v>
      </c>
      <c r="OH310" s="168" t="e">
        <f t="shared" ca="1" si="1039"/>
        <v>#DIV/0!</v>
      </c>
      <c r="OI310" s="168" t="e">
        <f t="shared" ca="1" si="1040"/>
        <v>#DIV/0!</v>
      </c>
      <c r="OJ310" s="168" t="e">
        <f t="shared" ca="1" si="1041"/>
        <v>#DIV/0!</v>
      </c>
      <c r="OK310" s="204" t="e">
        <f t="shared" ca="1" si="1042"/>
        <v>#DIV/0!</v>
      </c>
      <c r="OL310" s="177">
        <f>Control!$C$127</f>
        <v>0.15</v>
      </c>
      <c r="OM310" s="182" t="e">
        <f t="shared" ca="1" si="1043"/>
        <v>#N/A</v>
      </c>
      <c r="ON310" s="177">
        <f>Control!$C$128</f>
        <v>0.35</v>
      </c>
      <c r="OO310" s="182" t="e">
        <f t="shared" ca="1" si="1044"/>
        <v>#N/A</v>
      </c>
      <c r="OP310" s="138">
        <f t="shared" ca="1" si="1126"/>
        <v>0</v>
      </c>
      <c r="OQ310" s="138" t="e">
        <f t="shared" ca="1" si="1149"/>
        <v>#DIV/0!</v>
      </c>
      <c r="OR310" s="138" t="e">
        <f t="shared" ca="1" si="1127"/>
        <v>#DIV/0!</v>
      </c>
      <c r="OS310" s="137" t="e">
        <f t="shared" ca="1" si="1150"/>
        <v>#DIV/0!</v>
      </c>
      <c r="OT310" s="139" t="e">
        <f t="shared" ca="1" si="1151"/>
        <v>#DIV/0!</v>
      </c>
      <c r="OU310" s="138" t="e">
        <f t="shared" ca="1" si="1152"/>
        <v>#N/A</v>
      </c>
      <c r="OV310" s="138" t="e">
        <f t="shared" ca="1" si="1153"/>
        <v>#DIV/0!</v>
      </c>
      <c r="OW310" s="138" t="e">
        <f t="shared" ca="1" si="1128"/>
        <v>#DIV/0!</v>
      </c>
      <c r="OX310" s="138" t="e">
        <f t="shared" ca="1" si="1129"/>
        <v>#DIV/0!</v>
      </c>
      <c r="OY310" s="138" t="e">
        <f t="shared" ca="1" si="1130"/>
        <v>#DIV/0!</v>
      </c>
      <c r="OZ310" s="138" t="e">
        <f t="shared" ca="1" si="1045"/>
        <v>#DIV/0!</v>
      </c>
      <c r="PA310" s="138" t="e">
        <f t="shared" ca="1" si="1046"/>
        <v>#DIV/0!</v>
      </c>
      <c r="PB310" s="55">
        <f>IF(Control!$C$61="T", IF(Control!$C$65="F", IF($AH$6-Control!$C$60&lt;0,0,1), IF(365+$AH$6-Control!$C$60&lt;0,0,1)),0)</f>
        <v>0</v>
      </c>
      <c r="PC310" s="55">
        <f ca="1">IF(Control!$C$65="F", IF($AH$6-$HF310&lt;0,0,1), IF(365+$AH$6-$HF310&lt;0,0,1))</f>
        <v>1</v>
      </c>
      <c r="PD310" s="444">
        <f>Control!$C$118</f>
        <v>1500</v>
      </c>
      <c r="PE310" s="180" t="e">
        <f t="shared" ca="1" si="1047"/>
        <v>#N/A</v>
      </c>
      <c r="PF310" s="445">
        <f t="shared" ca="1" si="1131"/>
        <v>0.71612369323045078</v>
      </c>
      <c r="PT310" s="186"/>
      <c r="PU310" s="186"/>
      <c r="PV310" s="94"/>
      <c r="PW310" s="94"/>
      <c r="PX310" s="94"/>
      <c r="PY310" s="94"/>
      <c r="PZ310" s="94"/>
      <c r="QA310" s="94"/>
      <c r="QB310" s="94"/>
      <c r="QC310" s="94"/>
      <c r="QD310" s="94"/>
      <c r="QE310" s="94"/>
      <c r="QF310" s="94"/>
      <c r="QG310" s="94"/>
      <c r="QH310" s="94"/>
      <c r="QI310" s="94"/>
      <c r="QJ310" s="94"/>
      <c r="QK310" s="94"/>
      <c r="QL310" s="94"/>
      <c r="QM310" s="94"/>
      <c r="QN310" s="94"/>
      <c r="QO310" s="94"/>
      <c r="QP310" s="94"/>
    </row>
    <row r="311" spans="1:458" s="2" customFormat="1" x14ac:dyDescent="0.2">
      <c r="A311" s="395">
        <v>2</v>
      </c>
      <c r="B311" s="396">
        <v>11</v>
      </c>
      <c r="C311" s="387">
        <f ca="1">Weather_data!$B310</f>
        <v>0</v>
      </c>
      <c r="D311" s="388">
        <f ca="1">Weather_data!$F310</f>
        <v>0</v>
      </c>
      <c r="E311" s="388">
        <f ca="1">Weather_data!$E310</f>
        <v>0</v>
      </c>
      <c r="F311" s="388">
        <f t="shared" ca="1" si="1048"/>
        <v>0</v>
      </c>
      <c r="G311" s="388">
        <f ca="1">AVERAGE($D311:$E311)+Control!$B$9</f>
        <v>0</v>
      </c>
      <c r="H311" s="388">
        <f ca="1">Weather_data!$G310</f>
        <v>0</v>
      </c>
      <c r="I311" s="388">
        <f ca="1">Weather_data!$I310</f>
        <v>0</v>
      </c>
      <c r="J311" s="388">
        <f ca="1">Weather_data!$H310</f>
        <v>0</v>
      </c>
      <c r="K311" s="389">
        <f ca="1">Weather_data!$D310</f>
        <v>0</v>
      </c>
      <c r="L311" s="388" t="e">
        <f t="shared" ca="1" si="1049"/>
        <v>#N/A</v>
      </c>
      <c r="M311" s="388" t="e">
        <f t="shared" ca="1" si="927"/>
        <v>#N/A</v>
      </c>
      <c r="N311" s="388">
        <f t="shared" ca="1" si="928"/>
        <v>-5.532677849334656E-15</v>
      </c>
      <c r="O311" s="388">
        <f t="shared" ca="1" si="1050"/>
        <v>5.5326778493346557E-14</v>
      </c>
      <c r="P311" s="390">
        <v>3</v>
      </c>
      <c r="Q311" s="388">
        <f ca="1">MAX($G311-Control!$C$107,0)</f>
        <v>0</v>
      </c>
      <c r="R311" s="388">
        <f t="shared" ca="1" si="1051"/>
        <v>0</v>
      </c>
      <c r="S311" s="388">
        <f t="shared" ca="1" si="929"/>
        <v>0</v>
      </c>
      <c r="T311" s="388">
        <f t="shared" ca="1" si="930"/>
        <v>0</v>
      </c>
      <c r="U311" s="59">
        <f t="shared" ca="1" si="931"/>
        <v>0</v>
      </c>
      <c r="V311" s="391">
        <f ca="1">MAX(0,MIN(Control!$C$100-Control!$C$99,$G311-Control!$C$99)*Control!$C$63)</f>
        <v>0</v>
      </c>
      <c r="W311" s="388">
        <f t="shared" ca="1" si="1052"/>
        <v>0</v>
      </c>
      <c r="X311" s="388">
        <f t="shared" ca="1" si="1053"/>
        <v>0.6110000000000001</v>
      </c>
      <c r="Y311" s="388">
        <f t="shared" ca="1" si="932"/>
        <v>0</v>
      </c>
      <c r="Z311" s="388">
        <f t="shared" ca="1" si="1054"/>
        <v>0.61058800000000002</v>
      </c>
      <c r="AA311" s="388">
        <f t="shared" ca="1" si="933"/>
        <v>0.6018</v>
      </c>
      <c r="AB311" s="388">
        <f ca="1">101.3*EXP(-0.034*Control!$C$66/($G311+273))</f>
        <v>100.69623283836242</v>
      </c>
      <c r="AC311" s="392">
        <f t="shared" ca="1" si="934"/>
        <v>4.3460251046025113E-2</v>
      </c>
      <c r="AD311" s="392">
        <f t="shared" ca="1" si="935"/>
        <v>4.4450382862832649E-2</v>
      </c>
      <c r="AE311" s="388">
        <f t="shared" ca="1" si="936"/>
        <v>0</v>
      </c>
      <c r="AF311" s="388">
        <f ca="1">MAX(0,$G311-Control!$C$92)</f>
        <v>0</v>
      </c>
      <c r="AG311" s="393">
        <f t="shared" ca="1" si="937"/>
        <v>307</v>
      </c>
      <c r="AH311" s="389">
        <f t="shared" ca="1" si="938"/>
        <v>307</v>
      </c>
      <c r="AI311" s="388">
        <f t="shared" ca="1" si="1055"/>
        <v>-0.2730401496581274</v>
      </c>
      <c r="AJ311" s="388">
        <f ca="1">IF(Control!$C$60&lt;=0,$HH311,$HI311)</f>
        <v>1</v>
      </c>
      <c r="AK311" s="388">
        <f t="shared" ca="1" si="939"/>
        <v>3.9076248348760712</v>
      </c>
      <c r="AL311" s="388">
        <f t="shared" ca="1" si="940"/>
        <v>-5.4130484816727888E-19</v>
      </c>
      <c r="AM311" s="388">
        <f t="shared" ca="1" si="941"/>
        <v>3.9076248348760712</v>
      </c>
      <c r="AN311" s="388">
        <f t="shared" ca="1" si="942"/>
        <v>-0.27940864158559447</v>
      </c>
      <c r="AO311" s="388">
        <f ca="1">-0.10453/COS(Control!$B$8*PI()/180)*COS(AN311)</f>
        <v>-0.16320038571052031</v>
      </c>
      <c r="AP311" s="388">
        <f ca="1">ACOS(AO311-TAN(Control!$B$8*PI()/180)*TAN(AN311))</f>
        <v>1.3653204841696556</v>
      </c>
      <c r="AQ311" s="388">
        <f t="shared" ca="1" si="1056"/>
        <v>0</v>
      </c>
      <c r="AR311" s="394">
        <f t="shared" ca="1" si="943"/>
        <v>0</v>
      </c>
      <c r="AS311" s="436">
        <f ca="1">IF(Control!$B$18=2,(IF(OR($AH311=Control!$B$175,$AH311=Control!$B$176,$AH311=Control!$B$177,$AH311=Control!$B$178,$AH311=Control!$B$179,$AH311=Control!$B$180,$AH311=Control!$B$181,$AH311=Control!$B$182,$AH311=Control!$B$183,$AH311=Control!$B$184,$AH311=Control!$B$185),1,0)),0)</f>
        <v>0</v>
      </c>
      <c r="AT311" s="436">
        <f>IF(Control!$B$20=8,IF(AND($AH311&gt;=Control!$B$172,$AH311&lt;=Control!$B$173),1,0),0)</f>
        <v>0</v>
      </c>
      <c r="AU311" s="436">
        <f>IF(Control!$B$20=8,IF($AV310=1,1*$AT311,IF($AT311=1,$AU310+1,$AU310)),0)</f>
        <v>0</v>
      </c>
      <c r="AV311" s="436">
        <f>IF(Control!$B$20=8,IF($AU311&gt;=Control!$B$174,1,0),0)</f>
        <v>0</v>
      </c>
      <c r="AW311" s="436">
        <f ca="1">IF(AND(Control!$B$18=2,Control!$B$171=1), $AV311, $AS311)</f>
        <v>0</v>
      </c>
      <c r="AX311" s="436" t="e">
        <f ca="1">IF(AND(Control!$B$18=1,$EU311&gt;=Control!$B$19),-$AY311,IF(AND(Control!$B$18=2,$AW311=1,$EU311&gt;$DS311),-$AY311, IF(Control!$C$108=0,0, IF(Control!$C$108&lt;&gt;0,1))))</f>
        <v>#N/A</v>
      </c>
      <c r="AY311" s="436" t="e">
        <f t="shared" ca="1" si="1057"/>
        <v>#N/A</v>
      </c>
      <c r="AZ311" s="436" t="e">
        <f ca="1">IF(AND(Control!$B$18=1,$EB311&gt;Control!$B$19),$AZ310+1, IF(AND(Control!$B$18=2, $AW311=1, $EB311&gt;$DS311), $AZ310+1,$AZ310))</f>
        <v>#N/A</v>
      </c>
      <c r="BA311" s="587">
        <f>IF(Control!$C$81=0,1,IF($AH311&gt;=Control!$C$82,1,0))</f>
        <v>1</v>
      </c>
      <c r="BB311" s="140" t="e">
        <f ca="1">IF($BA311&gt;$BA310,Control!$C$83,IF($AW311&gt;0,$AW311*Control!$C$84,IF(AND(Control!$B$18=1,EN310&lt;&gt;0),Control!$C$84,0)))</f>
        <v>#N/A</v>
      </c>
      <c r="BC311" s="140" t="e">
        <f t="shared" ca="1" si="1058"/>
        <v>#N/A</v>
      </c>
      <c r="BD311" s="140" t="e">
        <f ca="1">BC311*IF(OR($G311&lt;Control!$C$92,$G311&gt;Control!$C$95),0,IF(AND($G311&gt;=Control!$C$92,$G311&lt;=Control!$C$93),$G311-Control!$C$92,IF(AND($G311&gt;Control!$C$93,$G311&lt;=Control!$C$94),Control!$C$93-Control!$C$92,IF(AND($G311&gt;Control!$C$94,$G311&lt;=Control!$C$95),(Control!$C$93-Control!$C$92)*(Control!$C$94-$G311)/(Control!$C$95-Control!$C$94)))))</f>
        <v>#N/A</v>
      </c>
      <c r="BE311" s="140" t="e">
        <f t="shared" ca="1" si="1059"/>
        <v>#N/A</v>
      </c>
      <c r="BF311" s="140" t="e">
        <f ca="1">IF($BE311&lt;=Control!$C$86,$BE311,Control!$C$86-$BE311)</f>
        <v>#N/A</v>
      </c>
      <c r="BG311" s="140" t="e">
        <f ca="1">IF(AND($AW311=1,Control!$C$84&lt;9),1,IF($BE311&gt;=Control!$C$86,0,$BC311))</f>
        <v>#N/A</v>
      </c>
      <c r="BH311" s="404" t="e">
        <f ca="1">IF($BG311=0,0,IF($BE311&lt;=Control!$C$86,$BC311*9*($BF311/Control!$C$86),0))</f>
        <v>#N/A</v>
      </c>
      <c r="BI311" s="140" t="e">
        <f ca="1">IF($BG311=1,0,IF($BE311&gt;=Control!$C$86,1,IF(AND($BB311&lt;21,$BB311&gt;=9),1,$BM310)))</f>
        <v>#N/A</v>
      </c>
      <c r="BJ311" s="140" t="e">
        <f ca="1">IF($BF311&lt;0,-$BF311,$BI311*IF(OR($G311&lt;Control!$C$92,$G311&gt;Control!$C$95),0,IF(AND($G311&gt;=Control!$C$92,$G311&lt;=Control!$C$93),$G311-Control!$C$92,IF(AND($G311&gt;Control!$C$93,$G311&lt;=Control!$C$94),Control!$C$93-Control!$C$92,IF(AND($G311&gt;Control!$C$94,$G311&lt;=Control!$C$95),(Control!$C$93-Control!$C$92)*(Control!$C$94-$G311)/(Control!$C$95-Control!$C$94))))))</f>
        <v>#N/A</v>
      </c>
      <c r="BK311" s="140" t="e">
        <f t="shared" ca="1" si="1060"/>
        <v>#N/A</v>
      </c>
      <c r="BL311" s="140" t="e">
        <f ca="1">IF($BK311&lt;=Control!$C$87,$BK311,Control!$C$87-$BK311)</f>
        <v>#N/A</v>
      </c>
      <c r="BM311" s="140" t="e">
        <f ca="1">IF(AND($BB311&gt;=9,$BB311&lt;21),1,IF($BK311&gt;=Control!$C$87,0,$BI311))</f>
        <v>#N/A</v>
      </c>
      <c r="BN311" s="404" t="e">
        <f ca="1">IF($BM311=0,0,IF($BK311&lt;=Control!$C$87,$BI311*(9+(21-9)*($BL311/Control!$C$87)),0))</f>
        <v>#N/A</v>
      </c>
      <c r="BO311" s="140" t="e">
        <f ca="1">IF($BM311=1,0,IF($BK311&gt;=Control!$C$87,1,IF(AND($BB311&lt;30,$BB311&gt;=21),1,$BS310)))</f>
        <v>#N/A</v>
      </c>
      <c r="BP311" s="140" t="e">
        <f ca="1">IF($BL311&lt;0,-$BL311,$BO311*IF(OR($G311&lt;Control!$C$92,$G311&gt;Control!$C$95),0,IF(AND($G311&gt;=Control!$C$92,$G311&lt;=Control!$C$93),$G311-Control!$C$92,IF(AND($G311&gt;Control!$C$93,$G311&lt;=Control!$C$94),Control!$C$93-Control!$C$92,IF(AND($G311&gt;Control!$C$94,$G311&lt;=Control!$C$95),(Control!$C$93-Control!$C$92)*(Control!$C$94-$G311)/(Control!$C$95-Control!$C$94))))))</f>
        <v>#N/A</v>
      </c>
      <c r="BQ311" s="140" t="e">
        <f t="shared" ca="1" si="944"/>
        <v>#N/A</v>
      </c>
      <c r="BR311" s="140" t="e">
        <f ca="1">IF($BQ311&lt;=Control!$C$88,$BQ311,Control!$C$88-$BQ311)</f>
        <v>#N/A</v>
      </c>
      <c r="BS311" s="140" t="e">
        <f ca="1">IF(AND($BB311&gt;=21,$BB311&lt;30),1,IF($BQ311&gt;=Control!$C$88,0,$BO311))</f>
        <v>#N/A</v>
      </c>
      <c r="BT311" s="404" t="e">
        <f ca="1">IF($BS311=0,0,IF($BQ311&lt;=Control!$C$88,$BO311*(21+(30-21)*(BR311/Control!$C$88)),0))</f>
        <v>#N/A</v>
      </c>
      <c r="BU311" s="140" t="e">
        <f ca="1">IF(BG311+BM311+BS311=1,0,IF(OR(AND($BB311&lt;60,$BB311&gt;=30),$BQ311&gt;=Control!$C$88),1*$BA311,$BY310))</f>
        <v>#N/A</v>
      </c>
      <c r="BV311" s="140" t="e">
        <f ca="1">IF($BR311&lt;0,-$BR311,$BU311*IF(OR($G311&lt;Control!$C$92,$G311&gt;Control!$C$95),0,IF(AND($G311&gt;=Control!$C$92,$G311&lt;=Control!$C$93),$G311-Control!$C$92,IF(AND($G311&gt;Control!$C$93,$G311&lt;=Control!$C$94),Control!$C$93-Control!$C$92,IF(AND($G311&gt;Control!$C$94,$G311&lt;=Control!$C$95),(Control!$C$93-Control!$C$92)*(Control!$C$94-$G311)/(Control!$C$95-Control!$C$94))))))</f>
        <v>#N/A</v>
      </c>
      <c r="BW311" s="140" t="e">
        <f t="shared" ca="1" si="945"/>
        <v>#N/A</v>
      </c>
      <c r="BX311" s="140" t="e">
        <f ca="1">IF($BW311&lt;=Control!$C$89,$BW311,Control!$C$89-$BW311)</f>
        <v>#N/A</v>
      </c>
      <c r="BY311" s="140" t="e">
        <f ca="1">IF(AND($AJ311&gt;=30,$AJ311&lt;60),1,IF($BW311&gt;=Control!$C$89,0,$BU311))</f>
        <v>#N/A</v>
      </c>
      <c r="BZ311" s="404" t="e">
        <f ca="1">IF($BY311=0,0,IF($BW311&lt;=Control!$C$89,$BU311*(30+(60-30)*(BX311/Control!$C$89)),0))</f>
        <v>#N/A</v>
      </c>
      <c r="CA311" s="140" t="e">
        <f ca="1">IF($BG311+$BM311+$BS311+$BY311=1,0,IF(OR(AND($BB311&lt;65,$BB311&gt;=60),$BW311&gt;=Control!$C$89),1*$BA311,$CE310))</f>
        <v>#N/A</v>
      </c>
      <c r="CB311" s="140" t="e">
        <f ca="1">IF($BX311&lt;0,-$BX311,$CA311*IF(OR($G311&lt;Control!$C$92,$G311&gt;Control!$C$95),0,IF(AND($G311&gt;=Control!$C$92,$G311&lt;=Control!$C$93),$G311-Control!$C$92,IF(AND($G311&gt;Control!$C$93,$G311&lt;=Control!$C$94),Control!$C$93-Control!$C$92,IF(AND($G311&gt;Control!$C$94,$G311&lt;=Control!$C$95),(Control!$C$93-Control!$C$92)*(Control!$C$94-$G311)/(Control!$C$95-Control!$C$94))))))</f>
        <v>#N/A</v>
      </c>
      <c r="CC311" s="140" t="e">
        <f t="shared" ca="1" si="1061"/>
        <v>#N/A</v>
      </c>
      <c r="CD311" s="140" t="e">
        <f ca="1">IF($CC311&lt;=Control!$C$90,$CC311,Control!$C$90-$CC311)</f>
        <v>#N/A</v>
      </c>
      <c r="CE311" s="140" t="e">
        <f ca="1">IF(AND($BB311&gt;=60,$BB311&lt;65),1,IF($CC311&gt;=Control!$C$90,0,$CA311))</f>
        <v>#N/A</v>
      </c>
      <c r="CF311" s="404" t="e">
        <f ca="1">IF($CE311=0,0,IF($CC311&lt;=Control!$C$90,$CA311*(60+(65-60)*(CD311/Control!$C$90)),0))</f>
        <v>#N/A</v>
      </c>
      <c r="CG311" s="140" t="e">
        <f ca="1">IF($BG311+$BM311+$BS311+$BY311+$CE311=1,0,IF(OR(AND($BB311&lt;90,$BB311&gt;=65),$CC311&gt;=Control!$C$90),$BA311,$CK310))</f>
        <v>#N/A</v>
      </c>
      <c r="CH311" s="140" t="e">
        <f ca="1">IF($CD311&lt;0,-$CD311,$CG311*IF(OR($G311&lt;Control!$C$92,$G311&gt;Control!$C$95),0,IF(AND($G311&gt;=Control!$C$92,$G311&lt;=Control!$C$93),$G311-Control!$C$92,IF(AND($G311&gt;Control!$C$93,$G311&lt;=Control!$C$94),Control!$C$93-Control!$C$92,IF(AND($G311&gt;Control!$C$94,$G311&lt;=Control!$C$95),(Control!$C$93-Control!$C$92)*(Control!$C$94-$G311)/(Control!$C$95-Control!$C$94))))))</f>
        <v>#N/A</v>
      </c>
      <c r="CI311" s="140" t="e">
        <f t="shared" ca="1" si="1062"/>
        <v>#N/A</v>
      </c>
      <c r="CJ311" s="140" t="e">
        <f ca="1">IF($CI311&lt;=Control!$C$91,$CI311,Control!$C$91-$CI311)</f>
        <v>#N/A</v>
      </c>
      <c r="CK311" s="140" t="e">
        <f ca="1">IF(AND($BB311&gt;=65,$BB311&lt;90),1,IF($CI311&gt;=Control!$C$91,0,$CG311))</f>
        <v>#N/A</v>
      </c>
      <c r="CL311" s="404" t="e">
        <f ca="1">IF($CK311=0,0,IF($CI311&lt;=Control!$C$91,$CG311*(65+(90-65)*($CJ311/Control!$C$91)),0))</f>
        <v>#N/A</v>
      </c>
      <c r="CM311" s="140" t="e">
        <f ca="1">IF($BG311+$BM311+$BS311+$BY311+$CE311+$CK311=1,0,IF(OR($BB311&gt;=90,$CI311&gt;=Control!$C$91),$BA311,$CM310))</f>
        <v>#N/A</v>
      </c>
      <c r="CN311" s="140" t="e">
        <f t="shared" ca="1" si="1063"/>
        <v>#N/A</v>
      </c>
      <c r="CO311" s="140" t="e">
        <f t="shared" ca="1" si="1064"/>
        <v>#N/A</v>
      </c>
      <c r="CP311" s="140" t="e">
        <f t="shared" ca="1" si="1065"/>
        <v>#N/A</v>
      </c>
      <c r="CQ311" s="141" t="e">
        <f ca="1">VLOOKUP($CP311,Control!$B$86:$G$91,6)</f>
        <v>#N/A</v>
      </c>
      <c r="CR311" s="141" t="e">
        <f ca="1">(1-$CQ311)*VLOOKUP($CP311,Control!$B$86:$D$91,3)</f>
        <v>#N/A</v>
      </c>
      <c r="CS311" s="141" t="e">
        <f ca="1">(1-$CQ311)*VLOOKUP($CP311,Control!$B$86:$E$91,4)</f>
        <v>#N/A</v>
      </c>
      <c r="CT311" s="141" t="e">
        <f ca="1">(1-$CQ311)*VLOOKUP($CP311,Control!$B$86:$F$91,5)</f>
        <v>#N/A</v>
      </c>
      <c r="CU311" s="141">
        <f t="shared" ca="1" si="1066"/>
        <v>0</v>
      </c>
      <c r="CV311" s="583">
        <f t="shared" ca="1" si="1067"/>
        <v>0</v>
      </c>
      <c r="CW311" s="142">
        <f t="shared" ca="1" si="1068"/>
        <v>307</v>
      </c>
      <c r="CX311" s="612" t="e">
        <f ca="1">IF(Control!$C$114=1,(MIN(Control!$C$120*(IF($NT311-0.01&lt;0,0,1)),Control!$C$119-$CY311)))</f>
        <v>#DIV/0!</v>
      </c>
      <c r="CY311" s="143" t="e">
        <f t="shared" ca="1" si="1069"/>
        <v>#N/A</v>
      </c>
      <c r="CZ311" s="144">
        <f t="shared" ca="1" si="946"/>
        <v>0</v>
      </c>
      <c r="DA311" s="144">
        <f t="shared" ca="1" si="947"/>
        <v>0</v>
      </c>
      <c r="DB311" s="144" t="e">
        <f t="shared" ca="1" si="948"/>
        <v>#N/A</v>
      </c>
      <c r="DC311" s="144" t="e">
        <f t="shared" ca="1" si="949"/>
        <v>#N/A</v>
      </c>
      <c r="DD311" s="144" t="e">
        <f t="shared" ca="1" si="1154"/>
        <v>#N/A</v>
      </c>
      <c r="DE311" s="143" t="e">
        <f t="shared" ca="1" si="1070"/>
        <v>#N/A</v>
      </c>
      <c r="DF311" s="145" t="e">
        <f ca="1">$DR311*EXP(-Control!$C$158*(1-$KH311))</f>
        <v>#N/A</v>
      </c>
      <c r="DG311" s="146" t="e">
        <f ca="1">IF(Control!$C$114=1, $DF311*$EY311, 0)</f>
        <v>#N/A</v>
      </c>
      <c r="DH311" s="147" t="e">
        <f t="shared" ca="1" si="1071"/>
        <v>#N/A</v>
      </c>
      <c r="DI311" s="144" t="e">
        <f t="shared" ca="1" si="1132"/>
        <v>#N/A</v>
      </c>
      <c r="DJ311" s="147" t="e">
        <f ca="1">$EF311*Control!$C$109</f>
        <v>#N/A</v>
      </c>
      <c r="DK311" s="144" t="e">
        <f t="shared" ca="1" si="1072"/>
        <v>#N/A</v>
      </c>
      <c r="DL311" s="144" t="e">
        <f t="shared" ca="1" si="950"/>
        <v>#N/A</v>
      </c>
      <c r="DM311" s="144" t="e">
        <f ca="1">IF(Control!$C$114=1, (1-EXP(-Control!$C$96*$DK311))*$AR311, 0)</f>
        <v>#N/A</v>
      </c>
      <c r="DN311" s="144">
        <f t="shared" ca="1" si="1073"/>
        <v>0</v>
      </c>
      <c r="DO311" s="148">
        <f>Control!$C$97</f>
        <v>4</v>
      </c>
      <c r="DP311" s="145" t="e">
        <f t="shared" ca="1" si="1074"/>
        <v>#N/A</v>
      </c>
      <c r="DQ311" s="145" t="e">
        <f ca="1">IF(AND($CP311&gt;=0,$CP311&lt;=90),Control!$C$111,Control!$C$111)</f>
        <v>#N/A</v>
      </c>
      <c r="DR311" s="145" t="e">
        <f t="shared" ca="1" si="951"/>
        <v>#N/A</v>
      </c>
      <c r="DS311" s="143" t="e">
        <f ca="1">Control!$B$22/$DR311</f>
        <v>#N/A</v>
      </c>
      <c r="DT311" s="149" t="e">
        <f ca="1">IF(AND(Control!$C$114=1,$KH311&lt;1),$IM311*$DF311, 0)</f>
        <v>#N/A</v>
      </c>
      <c r="DU311" s="144" t="e">
        <f t="shared" ca="1" si="1075"/>
        <v>#N/A</v>
      </c>
      <c r="DV311" s="144">
        <f ca="1">IF($G311-Control!$C$107&lt;=0, 0, 0.83*LN(MAX($G311, 3))-0.8924)</f>
        <v>0</v>
      </c>
      <c r="DW311" s="144" t="e">
        <f t="shared" ca="1" si="952"/>
        <v>#N/A</v>
      </c>
      <c r="DX311" s="150" t="e">
        <f ca="1">MAX(0.01*(1+$CU311/Control!$C$102),0.05*($DK311-Control!$C$97)/Control!$C$97)</f>
        <v>#N/A</v>
      </c>
      <c r="DY311" s="151" t="e">
        <f ca="1">IF(Control!$C$114=1, $DI311*$FS311, 0)</f>
        <v>#N/A</v>
      </c>
      <c r="DZ311" s="196" t="e">
        <f t="shared" ca="1" si="1076"/>
        <v>#N/A</v>
      </c>
      <c r="EA311" s="152">
        <f t="shared" ca="1" si="1077"/>
        <v>307</v>
      </c>
      <c r="EB311" s="153" t="e">
        <f t="shared" ca="1" si="1078"/>
        <v>#N/A</v>
      </c>
      <c r="EC311" s="153" t="e">
        <f t="shared" ca="1" si="1079"/>
        <v>#N/A</v>
      </c>
      <c r="ED311" s="154" t="e">
        <f ca="1">IF(Control!$C$114=1, $HM311*$FY311-$FD311, 0)</f>
        <v>#DIV/0!</v>
      </c>
      <c r="EE311" s="155" t="e">
        <f ca="1">IF(Control!$C$114=1, $HM311*$FZ311-$FF311, 0)</f>
        <v>#DIV/0!</v>
      </c>
      <c r="EF311" s="153" t="e">
        <f t="shared" ca="1" si="1133"/>
        <v>#N/A</v>
      </c>
      <c r="EG311" s="155" t="e">
        <f ca="1">IF(Control!$C$114=1, $GX311*$FW311-$FI311, 0)</f>
        <v>#DIV/0!</v>
      </c>
      <c r="EH311" s="153" t="e">
        <f t="shared" ca="1" si="1080"/>
        <v>#N/A</v>
      </c>
      <c r="EI311" s="156" t="e">
        <f t="shared" ca="1" si="1081"/>
        <v>#N/A</v>
      </c>
      <c r="EJ311" s="155" t="e">
        <f ca="1">IF(Control!$C$114=1, $HM311*$GB311, 0)</f>
        <v>#DIV/0!</v>
      </c>
      <c r="EK311" s="153" t="e">
        <f t="shared" ca="1" si="1134"/>
        <v>#N/A</v>
      </c>
      <c r="EL311" s="153" t="e">
        <f t="shared" ca="1" si="953"/>
        <v>#N/A</v>
      </c>
      <c r="EM311" s="153" t="e">
        <f t="shared" ca="1" si="954"/>
        <v>#N/A</v>
      </c>
      <c r="EN311" s="153" t="e">
        <f ca="1">IF(Control!$C$108=1,IF(AND(Control!$B$18=1,$EB311&gt;=Control!$B$19),$EB311-$DS311,IF(AND(Control!$B$18=2,$AW311=1,$EB311&gt;$DS311),$EB311-$DS311,0)))</f>
        <v>#N/A</v>
      </c>
      <c r="EO311" s="153" t="e">
        <f ca="1">IF(Control!$C$108=1,IF(AND(Control!$B$18=1,$EB311&gt;=Control!$B$19),$EF311,IF(AND(Control!$B$18=2,$AW311=1),$EF311,0)))</f>
        <v>#N/A</v>
      </c>
      <c r="EP311" s="153" t="e">
        <f ca="1">IF(Control!$C$108=1,IF(AND(Control!$B$18=1,$EB311&gt;=Control!$B$19),$EK311,IF(AND(Control!$B$18=2,$AW311=1),$EK311,0)))</f>
        <v>#N/A</v>
      </c>
      <c r="EQ311" s="153" t="e">
        <f t="shared" ca="1" si="1082"/>
        <v>#N/A</v>
      </c>
      <c r="ER311" s="153" t="e">
        <f t="shared" ca="1" si="1083"/>
        <v>#N/A</v>
      </c>
      <c r="ES311" s="153" t="e">
        <f t="shared" ca="1" si="1135"/>
        <v>#N/A</v>
      </c>
      <c r="ET311" s="153" t="e">
        <f t="shared" ca="1" si="1136"/>
        <v>#N/A</v>
      </c>
      <c r="EU311" s="153" t="e">
        <f t="shared" ca="1" si="1084"/>
        <v>#N/A</v>
      </c>
      <c r="EV311" s="153" t="e">
        <f t="shared" ca="1" si="955"/>
        <v>#N/A</v>
      </c>
      <c r="EW311" s="153" t="e">
        <f t="shared" ca="1" si="956"/>
        <v>#N/A</v>
      </c>
      <c r="EX311" s="153" t="e">
        <f t="shared" ca="1" si="957"/>
        <v>#N/A</v>
      </c>
      <c r="EY311" s="157" t="e">
        <f t="shared" ca="1" si="958"/>
        <v>#DIV/0!</v>
      </c>
      <c r="EZ311" s="154" t="e">
        <f t="shared" ca="1" si="959"/>
        <v>#DIV/0!</v>
      </c>
      <c r="FA311" s="153" t="e">
        <f t="shared" ca="1" si="1085"/>
        <v>#N/A</v>
      </c>
      <c r="FB311" s="153" t="e">
        <f t="shared" ca="1" si="960"/>
        <v>#N/A</v>
      </c>
      <c r="FC311" s="193" t="e">
        <f t="shared" ca="1" si="961"/>
        <v>#N/A</v>
      </c>
      <c r="FD311" s="158" t="e">
        <f t="shared" ca="1" si="1086"/>
        <v>#N/A</v>
      </c>
      <c r="FE311" s="158" t="e">
        <f t="shared" ca="1" si="1087"/>
        <v>#N/A</v>
      </c>
      <c r="FF311" s="159" t="e">
        <f t="shared" ca="1" si="962"/>
        <v>#N/A</v>
      </c>
      <c r="FG311" s="160" t="e">
        <f t="shared" ca="1" si="1088"/>
        <v>#N/A</v>
      </c>
      <c r="FH311" s="158" t="e">
        <f t="shared" ca="1" si="1089"/>
        <v>#N/A</v>
      </c>
      <c r="FI311" s="159" t="e">
        <f t="shared" ca="1" si="963"/>
        <v>#N/A</v>
      </c>
      <c r="FJ311" s="160" t="e">
        <f t="shared" ca="1" si="1090"/>
        <v>#N/A</v>
      </c>
      <c r="FK311" s="160" t="e">
        <f t="shared" ca="1" si="964"/>
        <v>#N/A</v>
      </c>
      <c r="FL311" s="160" t="e">
        <f t="shared" ca="1" si="1137"/>
        <v>#N/A</v>
      </c>
      <c r="FM311" s="160" t="e">
        <f t="shared" ca="1" si="965"/>
        <v>#N/A</v>
      </c>
      <c r="FN311" s="158">
        <f t="shared" ca="1" si="1091"/>
        <v>0.01</v>
      </c>
      <c r="FO311" s="160">
        <f>Control!$C$101</f>
        <v>50</v>
      </c>
      <c r="FP311" s="150" t="e">
        <f t="shared" ca="1" si="966"/>
        <v>#N/A</v>
      </c>
      <c r="FQ311" s="150" t="e">
        <f ca="1">MAX(0,(Control!$C$112*(($DK311-Control!$C$97)/Control!$C$97)))</f>
        <v>#N/A</v>
      </c>
      <c r="FR311" s="150" t="e">
        <f ca="1">(1-$NT311)*Control!$C$113</f>
        <v>#DIV/0!</v>
      </c>
      <c r="FS311" s="198" t="e">
        <f t="shared" ca="1" si="967"/>
        <v>#N/A</v>
      </c>
      <c r="FT311" s="161">
        <f t="shared" ca="1" si="1092"/>
        <v>307</v>
      </c>
      <c r="FU311" s="162" t="e">
        <f ca="1">IF(Control!$B$34=1,VLOOKUP($CP311,Control!$B$86:$G$91,6),Control!$B$35)</f>
        <v>#N/A</v>
      </c>
      <c r="FV311" s="162" t="e">
        <f t="shared" ca="1" si="968"/>
        <v>#DIV/0!</v>
      </c>
      <c r="FW311" s="162" t="e">
        <f ca="1">IF(Control!$B$31=1,$FU311*$FV311,  $FU311)</f>
        <v>#N/A</v>
      </c>
      <c r="FX311" s="162" t="e">
        <f ca="1">IF(Control!$B$34=1,VLOOKUP($CP311,Control!$B$86:$G$91,3),Control!$B$36)</f>
        <v>#N/A</v>
      </c>
      <c r="FY311" s="162" t="e">
        <f t="shared" ca="1" si="969"/>
        <v>#N/A</v>
      </c>
      <c r="FZ311" s="162" t="e">
        <f ca="1">IF(Control!$B$34=1,VLOOKUP($CP311,Control!$B$86:$G$91,4),Control!$B$37)</f>
        <v>#N/A</v>
      </c>
      <c r="GA311" s="162" t="e">
        <f t="shared" ca="1" si="970"/>
        <v>#N/A</v>
      </c>
      <c r="GB311" s="162" t="e">
        <f ca="1">IF(Control!$B$34=1,VLOOKUP($CP311,Control!$B$86:$G$91,5),Control!$B$38)</f>
        <v>#N/A</v>
      </c>
      <c r="GC311" s="162" t="e">
        <f t="shared" ca="1" si="1093"/>
        <v>#N/A</v>
      </c>
      <c r="GD311" s="162">
        <f t="shared" ca="1" si="971"/>
        <v>1</v>
      </c>
      <c r="GE311" s="162">
        <f t="shared" ca="1" si="972"/>
        <v>1</v>
      </c>
      <c r="GF311" s="162">
        <f ca="1">IF(AND(Control!$C$104=1, Control!$C$62="F"),$GE311,1)</f>
        <v>1</v>
      </c>
      <c r="GG311" s="162" t="e">
        <f ca="1">IF(Control!$B$16=40,0,IF(AND(Control!$B$16&gt;40,Control!$B$16&lt;=360),(Control!$B$16-40)*((1-0)/(360-40)),IF(AND(Control!$B$16&gt;360,Control!$B$16&lt;=720),(1+(Control!$B$16-360)*((1.25-1)/(720-360))),IF(AND(Control!$B$16&gt;720,Control!$B$16&lt;=1000),(1.25+(Control!$B$16-720)*((1.35-1.25)/(1000-720))),IF(AND(Control!$B$16&gt;1000,Control!$B$16&lt;=2000),(1.35+(Control!$B$16-1000)*0))))))</f>
        <v>#N/A</v>
      </c>
      <c r="GH311" s="162" t="e">
        <f t="shared" ca="1" si="973"/>
        <v>#N/A</v>
      </c>
      <c r="GI311" s="162">
        <f t="shared" ca="1" si="1094"/>
        <v>0</v>
      </c>
      <c r="GJ311" s="162">
        <f t="shared" ca="1" si="974"/>
        <v>0</v>
      </c>
      <c r="GK311" s="162">
        <f t="shared" ca="1" si="1095"/>
        <v>1</v>
      </c>
      <c r="GL311" s="162">
        <f t="shared" ca="1" si="975"/>
        <v>1</v>
      </c>
      <c r="GM311" s="162" t="e">
        <f ca="1">MAX(0,MIN(1,1-Control!$C$156*(1.0001-$KH311)^2))</f>
        <v>#N/A</v>
      </c>
      <c r="GN311" s="162" t="e">
        <f ca="1">IF(Control!$B$26=1,$KU311,$KX311)</f>
        <v>#N/A</v>
      </c>
      <c r="GO311" s="162" t="e">
        <f ca="1">IF($CP311&lt;=60,Control!$C$105,IF($CP311&gt;=90,Control!$C$106,Control!$C$105+($CP311-60)*((Control!$C$106-Control!$C$105)/(90-60))))</f>
        <v>#N/A</v>
      </c>
      <c r="GP311" s="162" t="e">
        <f t="shared" ca="1" si="976"/>
        <v>#N/A</v>
      </c>
      <c r="GQ311" s="162" t="e">
        <f t="shared" ca="1" si="1096"/>
        <v>#N/A</v>
      </c>
      <c r="GR311" s="163" t="e">
        <f t="shared" ca="1" si="977"/>
        <v>#DIV/0!</v>
      </c>
      <c r="GS311" s="162" t="e">
        <f t="shared" ca="1" si="978"/>
        <v>#DIV/0!</v>
      </c>
      <c r="GT311" s="164" t="e">
        <f t="shared" ca="1" si="1097"/>
        <v>#N/A</v>
      </c>
      <c r="GU311" s="162" t="e">
        <f t="shared" ca="1" si="1098"/>
        <v>#N/A</v>
      </c>
      <c r="GV311" s="162" t="e">
        <f t="shared" ca="1" si="979"/>
        <v>#N/A</v>
      </c>
      <c r="GW311" s="162" t="e">
        <f t="shared" ca="1" si="980"/>
        <v>#DIV/0!</v>
      </c>
      <c r="GX311" s="162" t="e">
        <f t="shared" ca="1" si="1099"/>
        <v>#DIV/0!</v>
      </c>
      <c r="GY311" s="162" t="e">
        <f t="shared" ca="1" si="1100"/>
        <v>#DIV/0!</v>
      </c>
      <c r="GZ311" s="165" t="e">
        <f t="shared" ca="1" si="981"/>
        <v>#N/A</v>
      </c>
      <c r="HA311" s="162" t="e">
        <f ca="1">IF(Control!$C$114=1, $DI311*$FS311, 0)</f>
        <v>#N/A</v>
      </c>
      <c r="HB311" s="162" t="e">
        <f ca="1">$FA311/Control!$C$64</f>
        <v>#N/A</v>
      </c>
      <c r="HC311" s="162" t="e">
        <f t="shared" ca="1" si="982"/>
        <v>#DIV/0!</v>
      </c>
      <c r="HD311" s="162">
        <f ca="1">-ASIN(SIN(23.45*Control!$C$139)*COS(2*Control!$C$138*($AH311+10)/365))</f>
        <v>-0.2730401496581274</v>
      </c>
      <c r="HE311" s="165">
        <f t="shared" ca="1" si="1101"/>
        <v>0</v>
      </c>
      <c r="HF311" s="166">
        <f ca="1">IF(AND(Control!$C$61="T",$HE311&gt;=Control!$C$103,Control!$C$114=0),$AH311,Control!$C$59)</f>
        <v>1</v>
      </c>
      <c r="HG311" s="166">
        <f ca="1">IF(AND(Control!$C$61="T",$HE311&gt;=Control!$C$103,Control!$C$114=0),$HF311,Control!$C$59)</f>
        <v>1</v>
      </c>
      <c r="HH311" s="165">
        <f ca="1">IF(AND(OR(Control!$C$60&lt;=0, $AH311= Control!$C$59, Control!$C$60 &gt;0, $AH311 = Control!$C$60)), Control!$C$59, IF(Control!$C$60&gt;0, 0))</f>
        <v>1</v>
      </c>
      <c r="HI311" s="165">
        <f ca="1">IF(AND(OR(Control!$C$60&lt;=0, $AH311= Control!$C$59, Control!$C$60 &gt;0, $AH311 = Control!$C$60)), Control!$C$60, IF(Control!$C$60&lt;=0, 0))</f>
        <v>0</v>
      </c>
      <c r="HJ311" s="166">
        <f ca="1">IF(AND(Control!$C$62="F",$CV311&gt;=Control!$C$102),$AH311,0)</f>
        <v>0</v>
      </c>
      <c r="HK311" s="165" t="e">
        <f t="shared" ca="1" si="1138"/>
        <v>#N/A</v>
      </c>
      <c r="HL311" s="166">
        <f ca="1">IF(AND(Control!$C$61="T",$HE311&gt;=Control!$C$103,Control!$C$114=0),$HF311,0)</f>
        <v>0</v>
      </c>
      <c r="HM311" s="201" t="e">
        <f t="shared" ca="1" si="983"/>
        <v>#DIV/0!</v>
      </c>
      <c r="HN311" s="215">
        <f t="shared" ca="1" si="1102"/>
        <v>307</v>
      </c>
      <c r="HO311" s="216" t="e">
        <f ca="1">IF(AND($CP311&gt;=0, $CP311&lt;=90), Control!$C$152, Control!$C$152)</f>
        <v>#N/A</v>
      </c>
      <c r="HP311" s="216" t="e">
        <f t="shared" ca="1" si="984"/>
        <v>#N/A</v>
      </c>
      <c r="HQ311" s="217" t="e">
        <f ca="1">IF(OR(Control!$B$26=1,Control!$B$26=2),$KV311,$KS311)</f>
        <v>#DIV/0!</v>
      </c>
      <c r="HR311" s="218" t="e">
        <f t="shared" ca="1" si="1139"/>
        <v>#DIV/0!</v>
      </c>
      <c r="HS311" s="216" t="e">
        <f ca="1">Control!$C$154*$HP311</f>
        <v>#N/A</v>
      </c>
      <c r="HT311" s="216" t="e">
        <f ca="1">Control!$C$155*$HP311</f>
        <v>#N/A</v>
      </c>
      <c r="HU311" s="217" t="e">
        <f ca="1">Control!$C$161*$FI311</f>
        <v>#N/A</v>
      </c>
      <c r="HV311" s="218" t="e">
        <f t="shared" ca="1" si="1103"/>
        <v>#N/A</v>
      </c>
      <c r="HW311" s="218" t="e">
        <f ca="1">Control!$C$160*$FF311+$IP311*$EO311</f>
        <v>#N/A</v>
      </c>
      <c r="HX311" s="218" t="e">
        <f t="shared" ca="1" si="1140"/>
        <v>#N/A</v>
      </c>
      <c r="HY311" s="219" t="e">
        <f ca="1">IF(Control!$C$114=1, $EB311*$FS311, 0)</f>
        <v>#N/A</v>
      </c>
      <c r="HZ311" s="91" t="e">
        <f t="shared" ca="1" si="985"/>
        <v>#N/A</v>
      </c>
      <c r="IA311" s="220" t="e">
        <f ca="1">Control!$C$153*$HO311</f>
        <v>#N/A</v>
      </c>
      <c r="IB311" s="218" t="e">
        <f t="shared" ca="1" si="986"/>
        <v>#N/A</v>
      </c>
      <c r="IC311" s="220" t="e">
        <f ca="1">Control!$C$153*$HT311</f>
        <v>#N/A</v>
      </c>
      <c r="ID311" s="218" t="e">
        <f t="shared" ca="1" si="987"/>
        <v>#N/A</v>
      </c>
      <c r="IE311" s="221" t="e">
        <f ca="1">($EB311*Control!$C$159+$EF311*Control!$C$160)/(IF($GZ311&lt;&gt;0,$GZ311,1))</f>
        <v>#N/A</v>
      </c>
      <c r="IF311" s="216" t="e">
        <f t="shared" ca="1" si="988"/>
        <v>#N/A</v>
      </c>
      <c r="IG311" s="91">
        <f ca="1">IF(OR(Control!$B$198=$AH311,Control!$B$199=$AH311, Control!$B$200=$AH311, Control!$B$201=$AH311, Control!$B$202=$AH311, Control!$B$203=$AH311, Control!$B$204=$AH311, Control!$B$205=$AH311, Control!$B$206=$AH311, Control!$B$207=$AH311), 1, 0)</f>
        <v>0</v>
      </c>
      <c r="IH311" s="91">
        <f ca="1">IF($IG311=0,0, VLOOKUP($AH311,Control!$B$198:$C$207,2))</f>
        <v>0</v>
      </c>
      <c r="II311" s="222">
        <f t="shared" ca="1" si="1104"/>
        <v>0</v>
      </c>
      <c r="IJ311" s="91">
        <f>Control!$C$121</f>
        <v>0.7</v>
      </c>
      <c r="IK311" s="218">
        <f t="shared" ca="1" si="989"/>
        <v>0</v>
      </c>
      <c r="IL311" s="217" t="e">
        <f t="shared" ca="1" si="1141"/>
        <v>#N/A</v>
      </c>
      <c r="IM311" s="223" t="e">
        <f ca="1">IF(AND(Control!$C$114=1,$KH311&lt;1),$EB311*Control!$C$148*(1-$KH311), 0)</f>
        <v>#N/A</v>
      </c>
      <c r="IN311" s="217" t="e">
        <f t="shared" ca="1" si="990"/>
        <v>#DIV/0!</v>
      </c>
      <c r="IO311" s="91" t="e">
        <f ca="1">MAX(0,$IL311-$EF311*Control!$C$160)</f>
        <v>#N/A</v>
      </c>
      <c r="IP311" s="220" t="e">
        <f t="shared" ca="1" si="991"/>
        <v>#N/A</v>
      </c>
      <c r="IQ311" s="217" t="e">
        <f t="shared" ca="1" si="1105"/>
        <v>#N/A</v>
      </c>
      <c r="IR311" s="218" t="e">
        <f t="shared" ca="1" si="992"/>
        <v>#N/A</v>
      </c>
      <c r="IS311" s="217" t="e">
        <f ca="1">Control!$C$159*MAX(0,$FD311-$EN311)</f>
        <v>#N/A</v>
      </c>
      <c r="IT311" s="217" t="e">
        <f t="shared" ca="1" si="1142"/>
        <v>#N/A</v>
      </c>
      <c r="IU311" s="217" t="e">
        <f t="shared" ca="1" si="1106"/>
        <v>#N/A</v>
      </c>
      <c r="IV311" s="217" t="e">
        <f t="shared" ca="1" si="1143"/>
        <v>#N/A</v>
      </c>
      <c r="IW311" s="217" t="e">
        <f ca="1">IF(OR($AW311=1,AND($AW311=0, Control!$B$18=1,$EN311&lt;&gt;0)), $IQ311-$IU311, $IQ311)</f>
        <v>#N/A</v>
      </c>
      <c r="IX311" s="218" t="e">
        <f t="shared" ca="1" si="993"/>
        <v>#N/A</v>
      </c>
      <c r="IY311" s="218" t="e">
        <f ca="1">MAX(0,$IQ311-$EB311*Control!$C$159)</f>
        <v>#N/A</v>
      </c>
      <c r="IZ311" s="218" t="e">
        <f t="shared" ca="1" si="994"/>
        <v>#N/A</v>
      </c>
      <c r="JA311" s="216" t="e">
        <f t="shared" ca="1" si="995"/>
        <v>#N/A</v>
      </c>
      <c r="JB311" s="217" t="e">
        <f t="shared" ca="1" si="996"/>
        <v>#N/A</v>
      </c>
      <c r="JC311" s="222" t="e">
        <f ca="1">MAX(Control!$C$157*$EK311-$JT311, 0)/Control!$C$162</f>
        <v>#N/A</v>
      </c>
      <c r="JD311" s="218" t="e">
        <f t="shared" ca="1" si="997"/>
        <v>#N/A</v>
      </c>
      <c r="JE311" s="218" t="e">
        <f t="shared" ca="1" si="998"/>
        <v>#N/A</v>
      </c>
      <c r="JF311" s="218" t="e">
        <f t="shared" ca="1" si="1107"/>
        <v>#N/A</v>
      </c>
      <c r="JG311" s="218" t="e">
        <f t="shared" ca="1" si="999"/>
        <v>#N/A</v>
      </c>
      <c r="JH311" s="217" t="e">
        <f t="shared" ca="1" si="1108"/>
        <v>#N/A</v>
      </c>
      <c r="JI311" s="217" t="e">
        <f t="shared" ca="1" si="1109"/>
        <v>#N/A</v>
      </c>
      <c r="JJ311" s="217" t="e">
        <f t="shared" ca="1" si="1144"/>
        <v>#N/A</v>
      </c>
      <c r="JK311" s="217" t="e">
        <f ca="1">IF(Control!$C$114=1,IF(Control!$B$24=0,MAX(0,$JI311)*$GN311/Control!$C$64,(MAX(0,MIN($JI311,$JJ311*$GN311/Control!$C$64),0))))</f>
        <v>#N/A</v>
      </c>
      <c r="JL311" s="217" t="e">
        <f ca="1">$IK311/Control!$C$64-$JK311+$HQ311</f>
        <v>#N/A</v>
      </c>
      <c r="JM311" s="217" t="e">
        <f ca="1">IF(Control!$C$114=1,($JB311/(IF($JI311&lt;&gt;0,$JI311,1)))*$JK311,0)</f>
        <v>#N/A</v>
      </c>
      <c r="JN311" s="217" t="e">
        <f ca="1">IF(Control!$C$114=1,($JG311/(IF($JI311&lt;&gt;0,$JI311,1)))*$JK311, 0)</f>
        <v>#N/A</v>
      </c>
      <c r="JO311" s="218" t="e">
        <f t="shared" ca="1" si="1000"/>
        <v>#N/A</v>
      </c>
      <c r="JP311" s="218" t="e">
        <f ca="1">MIN(($IY311+$IO311)*Control!$C$151, $JF311-$EH311*Control!$C$161)</f>
        <v>#N/A</v>
      </c>
      <c r="JQ311" s="218" t="e">
        <f t="shared" ca="1" si="1001"/>
        <v>#N/A</v>
      </c>
      <c r="JR311" s="217" t="e">
        <f ca="1">IF($CP311-Control!$C$150&lt;0, 0, $JQ311/Control!$C$162)</f>
        <v>#N/A</v>
      </c>
      <c r="JS311" s="218" t="e">
        <f t="shared" ca="1" si="1002"/>
        <v>#N/A</v>
      </c>
      <c r="JT311" s="218" t="e">
        <f t="shared" ca="1" si="1110"/>
        <v>#N/A</v>
      </c>
      <c r="JU311" s="218" t="e">
        <f t="shared" ca="1" si="1003"/>
        <v>#N/A</v>
      </c>
      <c r="JV311" s="218" t="e">
        <f t="shared" ca="1" si="1004"/>
        <v>#N/A</v>
      </c>
      <c r="JW311" s="216" t="e">
        <f t="shared" ca="1" si="1005"/>
        <v>#N/A</v>
      </c>
      <c r="JX311" s="91" t="e">
        <f t="shared" ca="1" si="1006"/>
        <v>#N/A</v>
      </c>
      <c r="JY311" s="218" t="e">
        <f t="shared" ca="1" si="1007"/>
        <v>#N/A</v>
      </c>
      <c r="JZ311" s="217" t="e">
        <f ca="1">IF(Control!$C$114=1,($IZ311/(IF($JI311&lt;&gt;0,$JI311,1)))*$JK311, 0)</f>
        <v>#N/A</v>
      </c>
      <c r="KA311" s="218" t="e">
        <f t="shared" ca="1" si="1145"/>
        <v>#N/A</v>
      </c>
      <c r="KB311" s="218" t="e">
        <f t="shared" ca="1" si="1111"/>
        <v>#N/A</v>
      </c>
      <c r="KC311" s="218" t="e">
        <f t="shared" ca="1" si="1008"/>
        <v>#N/A</v>
      </c>
      <c r="KD311" s="218" t="e">
        <f t="shared" ca="1" si="1009"/>
        <v>#N/A</v>
      </c>
      <c r="KE311" s="218" t="e">
        <f t="shared" ca="1" si="1010"/>
        <v>#N/A</v>
      </c>
      <c r="KF311" s="218" t="e">
        <f t="shared" ca="1" si="1011"/>
        <v>#N/A</v>
      </c>
      <c r="KG311" s="216" t="e">
        <f t="shared" ca="1" si="1012"/>
        <v>#N/A</v>
      </c>
      <c r="KH311" s="221" t="e">
        <f ca="1">IF(Control!$B$24=0,1,MAX(0.001,MIN(1,IF(($IF311-$IE311)&lt;&gt;0,($KG311-$IE311)/($IF311-$IE311),1))))</f>
        <v>#N/A</v>
      </c>
      <c r="KI311" s="222" t="e">
        <f ca="1">IF(Control!$C$114=1, $KI310+ $KH310, 0)</f>
        <v>#N/A</v>
      </c>
      <c r="KJ311" s="217" t="e">
        <f t="shared" ca="1" si="1013"/>
        <v>#N/A</v>
      </c>
      <c r="KK311" s="218" t="e">
        <f t="shared" ca="1" si="1014"/>
        <v>#N/A</v>
      </c>
      <c r="KL311" s="274" t="e">
        <f ca="1">IF(Control!$B$26=3,4000000000*EXP(-8400/($G311+273)),IF(Control!$B$26=4,4000000000*EXP(-8400/($G311+273))*($KT311),0))</f>
        <v>#DIV/0!</v>
      </c>
      <c r="KM311" s="274" t="e">
        <f ca="1">IF(Control!$B$26=3,5600000000000*EXP(-9800/($G311+273)),IF(Control!$B$26=4,5600000000000*EXP(-9800/($G311+273))*$KT311,0))</f>
        <v>#DIV/0!</v>
      </c>
      <c r="KN311" s="454" t="e">
        <f t="shared" ca="1" si="1112"/>
        <v>#DIV/0!</v>
      </c>
      <c r="KO311" s="274" t="e">
        <f t="shared" ca="1" si="1113"/>
        <v>#DIV/0!</v>
      </c>
      <c r="KP311" s="454" t="e">
        <f t="shared" ca="1" si="1015"/>
        <v>#DIV/0!</v>
      </c>
      <c r="KQ311" s="454" t="e">
        <f t="shared" ca="1" si="1016"/>
        <v>#DIV/0!</v>
      </c>
      <c r="KR311" s="454" t="e">
        <f t="shared" ca="1" si="1017"/>
        <v>#DIV/0!</v>
      </c>
      <c r="KS311" s="454" t="e">
        <f t="shared" ca="1" si="1018"/>
        <v>#DIV/0!</v>
      </c>
      <c r="KT311" s="455" t="e">
        <f t="shared" ca="1" si="1019"/>
        <v>#DIV/0!</v>
      </c>
      <c r="KU311" s="456" t="e">
        <f ca="1">IF($CP311-Control!$C$149&lt;0, IF($NT311-0.01&lt;0,0,1),0)</f>
        <v>#N/A</v>
      </c>
      <c r="KV311" s="456" t="e">
        <f ca="1">IF(Control!$C$114=1,MAX(0,MIN(Control!$C$125*$KW311*$GN311,$KW311)))</f>
        <v>#DIV/0!</v>
      </c>
      <c r="KW311" s="456" t="e">
        <f t="shared" ca="1" si="1146"/>
        <v>#DIV/0!</v>
      </c>
      <c r="KX311" s="457" t="e">
        <f ca="1">IF($CP311-Control!$C$149&lt;0, IF($MR311-$OM311&lt;0,0,1),0)</f>
        <v>#N/A</v>
      </c>
      <c r="KY311" s="167">
        <f t="shared" ca="1" si="1114"/>
        <v>307</v>
      </c>
      <c r="KZ311" s="168">
        <f ca="1">1370*(1+0.033*COS(2*Control!$C$138*$AH311/365))</f>
        <v>1394.4874634305379</v>
      </c>
      <c r="LA311" s="169">
        <f t="shared" ca="1" si="1115"/>
        <v>1.0178737180816473</v>
      </c>
      <c r="LB311" s="169">
        <f t="shared" ca="1" si="1116"/>
        <v>-0.27973711528701239</v>
      </c>
      <c r="LC311" s="169">
        <f ca="1">ACOS(-TAN((2*Control!$B$8/360))*TAN(Calculations!$LB311))</f>
        <v>1.4853147993652225</v>
      </c>
      <c r="LD311" s="169">
        <f ca="1">((24*60)/PI())*0.082*$LA311*(($LC311*SIN(Control!$B$8*2*PI()/360))*SIN($LB311)+COS(Control!$B$8*2*PI()/360)*COS($LB311)*SIN($LC311))</f>
        <v>10.192109551517062</v>
      </c>
      <c r="LE311" s="170">
        <f t="shared" ca="1" si="1020"/>
        <v>11.352104941052575</v>
      </c>
      <c r="LF311" s="170">
        <f ca="1">SIN(Control!$C$139*Control!$B$8)*SIN($HD311)</f>
        <v>-0.21249549551682889</v>
      </c>
      <c r="LG311" s="170">
        <f ca="1">COS(Control!$C$139*Control!$B$8)*COS($HD311)</f>
        <v>0.59285301817418234</v>
      </c>
      <c r="LH311" s="170">
        <f ca="1">12*(1+2*ASIN(MAX(-1,MIN(1,$LF311/$LG311))/Control!$C$138))</f>
        <v>9.2558378992408326</v>
      </c>
      <c r="LI311" s="170">
        <f ca="1">12*(1+2*ASIN(MAX(-1,MIN(1,(-SIN(-4*Control!$C$139)+$LF311)/$LG311))/Control!$C$138))</f>
        <v>10.158882155470918</v>
      </c>
      <c r="LJ311" s="168">
        <f ca="1">3600*($LH311*$LF311+24*$LG311*SQRT(1-$LK311*$LK311)/Control!$C$138)</f>
        <v>8140.7006077527531</v>
      </c>
      <c r="LK311" s="170">
        <f t="shared" ca="1" si="1021"/>
        <v>-0.35842863071061731</v>
      </c>
      <c r="LL311" s="170">
        <f t="shared" ca="1" si="1022"/>
        <v>0</v>
      </c>
      <c r="LM311" s="171">
        <f ca="1">Control!$C$145*$AB311</f>
        <v>6.6660906138995932E-2</v>
      </c>
      <c r="LN311" s="170">
        <f t="shared" ca="1" si="1117"/>
        <v>0.54</v>
      </c>
      <c r="LO311" s="170">
        <f t="shared" ca="1" si="1023"/>
        <v>0</v>
      </c>
      <c r="LP311" s="170">
        <f ca="1">Control!$C$140*((($D311+273.16)^4+($E311+273.16)^4)/2)*(0.34-0.14*SQRT($Y311))*(1.35*$AQ311/(0.75*$LD311)-0.35)</f>
        <v>-3.2464704755046001</v>
      </c>
      <c r="LQ311" s="170">
        <f ca="1">Control!$C$140*($G311+273)^4*(0.56-0.079*SQRT($Y311*10))*(0.1+0.9*$LO311)</f>
        <v>1.5241745131704001</v>
      </c>
      <c r="LR311" s="170">
        <f ca="1">$AQ311*(1-Control!$C$142)-$LQ311</f>
        <v>-1.5241745131704001</v>
      </c>
      <c r="LS311" s="170">
        <f ca="1">$AQ311*(1-Control!$C$143)-$LQ311</f>
        <v>-1.5241745131704001</v>
      </c>
      <c r="LT311" s="170">
        <f ca="1">$AQ311*(1-Control!$C$144)-$LQ311</f>
        <v>-1.5241745131704001</v>
      </c>
      <c r="LU311" s="169">
        <f ca="1">(1-Control!$C$144)*AQ311-LP311</f>
        <v>3.2464704755046001</v>
      </c>
      <c r="LV311" s="172">
        <f t="shared" ca="1" si="1024"/>
        <v>0.79430000000000012</v>
      </c>
      <c r="LW311" s="170">
        <f t="shared" ca="1" si="1025"/>
        <v>1.5886000000000002</v>
      </c>
      <c r="LX311" s="170">
        <f ca="1">($AC311*($LR311/Control!$C$141)+$LM311*$LV311)/($AC311+$LM311)</f>
        <v>0.23530094218323697</v>
      </c>
      <c r="LY311" s="170">
        <f ca="1">($AC311*($LS311/Control!$C$141)+$LM311*$LV311)/($AC311+$LM311)</f>
        <v>0.23530094218323697</v>
      </c>
      <c r="LZ311" s="170">
        <f t="shared" ca="1" si="1026"/>
        <v>0.23530094218323697</v>
      </c>
      <c r="MA311" s="170">
        <f t="shared" ca="1" si="1027"/>
        <v>0.23530094218323697</v>
      </c>
      <c r="MB311" s="170" t="e">
        <f t="shared" ca="1" si="1028"/>
        <v>#N/A</v>
      </c>
      <c r="MC311" s="170">
        <f t="shared" ca="1" si="1118"/>
        <v>0.6018</v>
      </c>
      <c r="MD311" s="170">
        <f t="shared" ca="1" si="1029"/>
        <v>0.52989392535414004</v>
      </c>
      <c r="ME311" s="170">
        <f ca="1">($AC311*($LT311/Control!$C$141)+$LM311*$LW311)/($AC311+$LM311)</f>
        <v>0.71612369323045078</v>
      </c>
      <c r="MF311" s="170" t="e">
        <f ca="1">IF(Control!$B$16&gt;=1000,0.92,IF(AND(720&lt;=Control!$B$16,1000&gt;Control!$B$16),(0.95+(Control!$B$16-720)*((0.92-0.95)/(1000-720))),IF(AND(360&lt;=Control!$B$16,720&gt;Control!$B$16),(1+(Control!$B$16-360)*((0.95-1)/(720-360))),IF(AND(40&lt;=Control!$B$16,360&gt;Control!$B$16),(1.05+(Control!$B$16-40)*((1.05-1)/(360-40)))))))</f>
        <v>#N/A</v>
      </c>
      <c r="MG311" s="170">
        <f t="shared" ca="1" si="1030"/>
        <v>0.71612369323045078</v>
      </c>
      <c r="MH311" s="170" t="e">
        <f t="shared" ca="1" si="1157"/>
        <v>#N/A</v>
      </c>
      <c r="MI311" s="170" t="e">
        <f t="shared" ca="1" si="1157"/>
        <v>#N/A</v>
      </c>
      <c r="MJ311" s="170" t="e">
        <f ca="1">MAX(0.0001, Control!$C$132*$MI311*$DL311)</f>
        <v>#N/A</v>
      </c>
      <c r="MK311" s="170">
        <f ca="1">1/(0.76+1.5*($MG311/10))-(5-Control!$C$110)*0.1</f>
        <v>1.002845988140797</v>
      </c>
      <c r="ML311" s="173">
        <f ca="1">IF(Control!$C$110&lt;3,$MK311+($MG311-0.6)/(Control!$C$110*(Control!$C$110+3)), MAX(0.1, MIN(0.95,$MK311)))</f>
        <v>0.95</v>
      </c>
      <c r="MM311" s="173">
        <f ca="1">IF(Control!$C$110&lt;3,$MK311+(($MI311/10)-0.6)/(Control!$C$110*(Control!$C$110+3)), MAX(0.1, MIN(0.95,$MK311)))</f>
        <v>0.95</v>
      </c>
      <c r="MN311" s="173">
        <f ca="1">(1-$MM311)*(Control!$C$128-Control!$C$127)+Control!$C$127</f>
        <v>0.16</v>
      </c>
      <c r="MO311" s="170" t="e">
        <f ca="1">MAX(0,MIN(1,($MS311-Control!$C$127)/($MN311-Control!$C$127)))</f>
        <v>#DIV/0!</v>
      </c>
      <c r="MP311" s="173" t="e">
        <f ca="1">1/(0.76+1.5*$MI311)-(5-Control!$C$110)*0.1</f>
        <v>#N/A</v>
      </c>
      <c r="MQ311" s="172" t="e">
        <f t="shared" ca="1" si="1147"/>
        <v>#DIV/0!</v>
      </c>
      <c r="MR311" s="168" t="e">
        <f t="shared" ca="1" si="1119"/>
        <v>#DIV/0!</v>
      </c>
      <c r="MS311" s="173" t="e">
        <f ca="1">MAX(Control!$C$127, MIN(Control!$C$135, $MR311/MAX(0.0001,$CY311)))</f>
        <v>#DIV/0!</v>
      </c>
      <c r="MT311" s="168" t="e">
        <f ca="1">(Control!$C$128-$MS311)*Control!$C$74</f>
        <v>#DIV/0!</v>
      </c>
      <c r="MU311" s="168" t="e">
        <f ca="1">(Control!$C$135-$MS311)*Control!$C$74</f>
        <v>#DIV/0!</v>
      </c>
      <c r="MV311" s="168" t="e">
        <f t="shared" ca="1" si="1120"/>
        <v>#DIV/0!</v>
      </c>
      <c r="MW311" s="168" t="e">
        <f t="shared" ca="1" si="1121"/>
        <v>#DIV/0!</v>
      </c>
      <c r="MX311" s="171" t="e">
        <f ca="1">MAX(Control!$C$127, MIN(Control!$C$135, $MW311/MAX(0.0001,Control!$C$119-$CY311)))</f>
        <v>#DIV/0!</v>
      </c>
      <c r="MY311" s="54" t="e">
        <f ca="1">IF(Control!$C$114=1, $CX311*$MX311, 0)</f>
        <v>#DIV/0!</v>
      </c>
      <c r="MZ311" s="54" t="e">
        <f t="shared" ca="1" si="1122"/>
        <v>#N/A</v>
      </c>
      <c r="NA311" s="168" t="e">
        <f ca="1">(Control!$C$128-$MX311)*(Control!$C$119-Control!$C$74)</f>
        <v>#DIV/0!</v>
      </c>
      <c r="NB311" s="168" t="e">
        <f ca="1">(Control!$C$135-$MX311)*(Control!$C$119-Control!$C$74)</f>
        <v>#DIV/0!</v>
      </c>
      <c r="NC311" s="174" t="e">
        <f t="shared" ca="1" si="1123"/>
        <v>#DIV/0!</v>
      </c>
      <c r="ND311" s="54">
        <f ca="1">IF(Control!$C$58=2, IF(OR(Control!$B$218=$AH311,Control!$B$219=$AH311, Control!$B$220=$AH311, Control!$B$221=$AH311, Control!$B$222=$AH311, Control!$B$223=$AH311, Control!$B$224=$AH311, Control!$B$225=$AH311, Control!$B$226=$AH311, Control!$B$227=$AH311, Control!$B$228=$AH311), 1, 0), 0)</f>
        <v>0</v>
      </c>
      <c r="NE311" s="54">
        <f ca="1">IF($ND311=0,0, VLOOKUP($AH311,Control!$B$218:$C$228,2))</f>
        <v>0</v>
      </c>
      <c r="NF311" s="168" t="e">
        <f ca="1">$CY311*(Control!$C$128-Control!$C$127)</f>
        <v>#N/A</v>
      </c>
      <c r="NG311" s="54" t="e">
        <f ca="1">IF(Control!$C$58=2, $NI310-$NJ310, 0)</f>
        <v>#DIV/0!</v>
      </c>
      <c r="NH311" s="54" t="e">
        <f ca="1">IF(AND(Control!$C$58=1, $MS310&lt;= ($MN310+0.02), $I310&lt;10), 0, IF(Control!$C$58=2, $NG310, 0))</f>
        <v>#DIV/0!</v>
      </c>
      <c r="NI311" s="54" t="e">
        <f ca="1">IF(Control!$C$58=2, $NE311+$NH311,0)</f>
        <v>#DIV/0!</v>
      </c>
      <c r="NJ311" s="54" t="e">
        <f ca="1">IF(AND(Control!$C$58=1, $MS311&lt;= ($MN311+0.02), $I311&lt;10), MAX(0, MIN(10, 0.7*($NF311-$MV311))), IF(Control!$C$58=2, MIN(10,$NI311),0))</f>
        <v>#DIV/0!</v>
      </c>
      <c r="NK311" s="54" t="e">
        <f t="shared" ca="1" si="1031"/>
        <v>#DIV/0!</v>
      </c>
      <c r="NL311" s="173" t="e">
        <f ca="1">(1-Control!$C$73)*$I311+$NJ311</f>
        <v>#DIV/0!</v>
      </c>
      <c r="NM311" s="172" t="e">
        <f ca="1">IF($NL311&lt;0.5, $MB311* MAX(0, MIN(1, (SQRT($NC311)-SQRT($NC311-1))*Control!$C$71)),0)</f>
        <v>#DIV/0!</v>
      </c>
      <c r="NN311" s="170" t="e">
        <f ca="1">IF($NL311&gt;=5, $MB311, MAX(0,MIN($MB311, $NM311+$NL311,($MS311-Control!$C$129))))</f>
        <v>#DIV/0!</v>
      </c>
      <c r="NO311" s="54">
        <f>IF(Control!$C$133&lt;&gt;1, Control!$C$135-Control!$C$131, 0)</f>
        <v>0.38</v>
      </c>
      <c r="NP311" s="54" t="e">
        <f t="shared" ca="1" si="1032"/>
        <v>#DIV/0!</v>
      </c>
      <c r="NQ311" s="173" t="e">
        <f ca="1">MAX(0,MIN(1,(Control!$C$135-$MS311)/(Control!$C$135-$NO311)))</f>
        <v>#DIV/0!</v>
      </c>
      <c r="NR311" s="170" t="e">
        <f ca="1">IF(Control!$C$133&lt;&gt;1, $NQ311+((1-$NP311/4)*(1-$NQ311)),1)</f>
        <v>#DIV/0!</v>
      </c>
      <c r="NS311" s="170" t="e">
        <f ca="1">IF(Control!$B$31=0,$MJ311,MAX(0,MIN($MV311,$MO311*$NR311*$MJ311)))</f>
        <v>#DIV/0!</v>
      </c>
      <c r="NT311" s="170" t="e">
        <f t="shared" ca="1" si="1148"/>
        <v>#DIV/0!</v>
      </c>
      <c r="NU311" s="170" t="e">
        <f t="shared" ca="1" si="1124"/>
        <v>#N/A</v>
      </c>
      <c r="NV311" s="170" t="e">
        <f t="shared" ca="1" si="1033"/>
        <v>#N/A</v>
      </c>
      <c r="NW311" s="175" t="e">
        <f t="shared" ca="1" si="1034"/>
        <v>#DIV/0!</v>
      </c>
      <c r="NX311" s="170" t="e">
        <f ca="1">MIN(Control!$C$72+$MU311, $NW311)</f>
        <v>#DIV/0!</v>
      </c>
      <c r="NY311" s="170" t="e">
        <f ca="1">IF($MT311&lt;=$NX311,MIN(Control!$C$72+$NB311,$NX311-$MT311),0)</f>
        <v>#DIV/0!</v>
      </c>
      <c r="NZ311" s="54" t="e">
        <f ca="1">IF(Control!$C$114=1,  $CX311*($MX311-Control!$C$127), 0)</f>
        <v>#DIV/0!</v>
      </c>
      <c r="OA311" s="170" t="e">
        <f t="shared" ca="1" si="1035"/>
        <v>#DIV/0!</v>
      </c>
      <c r="OB311" s="170" t="e">
        <f ca="1">IF($NA311 &lt;=$NY311, MIN(Control!$C$72, $NY311-$NA311), 0)</f>
        <v>#DIV/0!</v>
      </c>
      <c r="OC311" s="168" t="e">
        <f t="shared" ca="1" si="1036"/>
        <v>#DIV/0!</v>
      </c>
      <c r="OD311" s="168" t="e">
        <f t="shared" ca="1" si="1125"/>
        <v>#DIV/0!</v>
      </c>
      <c r="OE311" s="170">
        <f ca="1">Control!$C$73*$I311</f>
        <v>0</v>
      </c>
      <c r="OF311" s="176" t="e">
        <f t="shared" ca="1" si="1037"/>
        <v>#DIV/0!</v>
      </c>
      <c r="OG311" s="168" t="e">
        <f t="shared" ca="1" si="1038"/>
        <v>#DIV/0!</v>
      </c>
      <c r="OH311" s="168" t="e">
        <f t="shared" ca="1" si="1039"/>
        <v>#DIV/0!</v>
      </c>
      <c r="OI311" s="168" t="e">
        <f t="shared" ca="1" si="1040"/>
        <v>#DIV/0!</v>
      </c>
      <c r="OJ311" s="168" t="e">
        <f t="shared" ca="1" si="1041"/>
        <v>#DIV/0!</v>
      </c>
      <c r="OK311" s="204" t="e">
        <f t="shared" ca="1" si="1042"/>
        <v>#DIV/0!</v>
      </c>
      <c r="OL311" s="177">
        <f>Control!$C$127</f>
        <v>0.15</v>
      </c>
      <c r="OM311" s="182" t="e">
        <f t="shared" ca="1" si="1043"/>
        <v>#N/A</v>
      </c>
      <c r="ON311" s="177">
        <f>Control!$C$128</f>
        <v>0.35</v>
      </c>
      <c r="OO311" s="182" t="e">
        <f t="shared" ca="1" si="1044"/>
        <v>#N/A</v>
      </c>
      <c r="OP311" s="138">
        <f t="shared" ca="1" si="1126"/>
        <v>0</v>
      </c>
      <c r="OQ311" s="138" t="e">
        <f t="shared" ca="1" si="1149"/>
        <v>#DIV/0!</v>
      </c>
      <c r="OR311" s="138" t="e">
        <f t="shared" ca="1" si="1127"/>
        <v>#DIV/0!</v>
      </c>
      <c r="OS311" s="137" t="e">
        <f t="shared" ca="1" si="1150"/>
        <v>#DIV/0!</v>
      </c>
      <c r="OT311" s="139" t="e">
        <f t="shared" ca="1" si="1151"/>
        <v>#DIV/0!</v>
      </c>
      <c r="OU311" s="138" t="e">
        <f t="shared" ca="1" si="1152"/>
        <v>#N/A</v>
      </c>
      <c r="OV311" s="138" t="e">
        <f t="shared" ca="1" si="1153"/>
        <v>#DIV/0!</v>
      </c>
      <c r="OW311" s="138" t="e">
        <f t="shared" ca="1" si="1128"/>
        <v>#DIV/0!</v>
      </c>
      <c r="OX311" s="138" t="e">
        <f t="shared" ca="1" si="1129"/>
        <v>#DIV/0!</v>
      </c>
      <c r="OY311" s="138" t="e">
        <f t="shared" ca="1" si="1130"/>
        <v>#DIV/0!</v>
      </c>
      <c r="OZ311" s="138" t="e">
        <f t="shared" ca="1" si="1045"/>
        <v>#DIV/0!</v>
      </c>
      <c r="PA311" s="138" t="e">
        <f t="shared" ca="1" si="1046"/>
        <v>#DIV/0!</v>
      </c>
      <c r="PB311" s="55">
        <f>IF(Control!$C$61="T", IF(Control!$C$65="F", IF($AH$6-Control!$C$60&lt;0,0,1), IF(365+$AH$6-Control!$C$60&lt;0,0,1)),0)</f>
        <v>0</v>
      </c>
      <c r="PC311" s="55">
        <f ca="1">IF(Control!$C$65="F", IF($AH$6-$HF311&lt;0,0,1), IF(365+$AH$6-$HF311&lt;0,0,1))</f>
        <v>1</v>
      </c>
      <c r="PD311" s="444">
        <f>Control!$C$118</f>
        <v>1500</v>
      </c>
      <c r="PE311" s="180" t="e">
        <f t="shared" ca="1" si="1047"/>
        <v>#N/A</v>
      </c>
      <c r="PF311" s="445">
        <f t="shared" ca="1" si="1131"/>
        <v>0.71612369323045078</v>
      </c>
      <c r="PT311" s="186"/>
      <c r="PU311" s="186"/>
      <c r="PV311" s="94"/>
      <c r="PW311" s="94"/>
      <c r="PX311" s="94"/>
      <c r="PY311" s="94"/>
      <c r="PZ311" s="94"/>
      <c r="QA311" s="94"/>
      <c r="QB311" s="94"/>
      <c r="QC311" s="94"/>
      <c r="QD311" s="94"/>
      <c r="QE311" s="94"/>
      <c r="QF311" s="94"/>
      <c r="QG311" s="94"/>
      <c r="QH311" s="94"/>
      <c r="QI311" s="94"/>
      <c r="QJ311" s="94"/>
      <c r="QK311" s="94"/>
      <c r="QL311" s="94"/>
      <c r="QM311" s="94"/>
      <c r="QN311" s="94"/>
      <c r="QO311" s="94"/>
      <c r="QP311" s="94"/>
    </row>
    <row r="312" spans="1:458" s="2" customFormat="1" x14ac:dyDescent="0.2">
      <c r="A312" s="395">
        <v>3</v>
      </c>
      <c r="B312" s="396">
        <v>11</v>
      </c>
      <c r="C312" s="387">
        <f ca="1">Weather_data!$B311</f>
        <v>0</v>
      </c>
      <c r="D312" s="388">
        <f ca="1">Weather_data!$F311</f>
        <v>0</v>
      </c>
      <c r="E312" s="388">
        <f ca="1">Weather_data!$E311</f>
        <v>0</v>
      </c>
      <c r="F312" s="388">
        <f t="shared" ca="1" si="1048"/>
        <v>0</v>
      </c>
      <c r="G312" s="388">
        <f ca="1">AVERAGE($D312:$E312)+Control!$B$9</f>
        <v>0</v>
      </c>
      <c r="H312" s="388">
        <f ca="1">Weather_data!$G311</f>
        <v>0</v>
      </c>
      <c r="I312" s="388">
        <f ca="1">Weather_data!$I311</f>
        <v>0</v>
      </c>
      <c r="J312" s="388">
        <f ca="1">Weather_data!$H311</f>
        <v>0</v>
      </c>
      <c r="K312" s="389">
        <f ca="1">Weather_data!$D311</f>
        <v>0</v>
      </c>
      <c r="L312" s="388" t="e">
        <f t="shared" ca="1" si="1049"/>
        <v>#N/A</v>
      </c>
      <c r="M312" s="388" t="e">
        <f t="shared" ca="1" si="927"/>
        <v>#N/A</v>
      </c>
      <c r="N312" s="388">
        <f t="shared" ca="1" si="928"/>
        <v>-4.9794100644011901E-15</v>
      </c>
      <c r="O312" s="388">
        <f t="shared" ca="1" si="1050"/>
        <v>4.9794100644011902E-14</v>
      </c>
      <c r="P312" s="390">
        <v>3</v>
      </c>
      <c r="Q312" s="388">
        <f ca="1">MAX($G312-Control!$C$107,0)</f>
        <v>0</v>
      </c>
      <c r="R312" s="388">
        <f t="shared" ca="1" si="1051"/>
        <v>0</v>
      </c>
      <c r="S312" s="388">
        <f t="shared" ca="1" si="929"/>
        <v>0</v>
      </c>
      <c r="T312" s="388">
        <f t="shared" ca="1" si="930"/>
        <v>0</v>
      </c>
      <c r="U312" s="59">
        <f t="shared" ca="1" si="931"/>
        <v>0</v>
      </c>
      <c r="V312" s="391">
        <f ca="1">MAX(0,MIN(Control!$C$100-Control!$C$99,$G312-Control!$C$99)*Control!$C$63)</f>
        <v>0</v>
      </c>
      <c r="W312" s="388">
        <f t="shared" ca="1" si="1052"/>
        <v>0</v>
      </c>
      <c r="X312" s="388">
        <f t="shared" ca="1" si="1053"/>
        <v>0.6110000000000001</v>
      </c>
      <c r="Y312" s="388">
        <f t="shared" ca="1" si="932"/>
        <v>0</v>
      </c>
      <c r="Z312" s="388">
        <f t="shared" ca="1" si="1054"/>
        <v>0.61058800000000002</v>
      </c>
      <c r="AA312" s="388">
        <f t="shared" ca="1" si="933"/>
        <v>0.6018</v>
      </c>
      <c r="AB312" s="388">
        <f ca="1">101.3*EXP(-0.034*Control!$C$66/($G312+273))</f>
        <v>100.69623283836242</v>
      </c>
      <c r="AC312" s="392">
        <f t="shared" ca="1" si="934"/>
        <v>4.3460251046025113E-2</v>
      </c>
      <c r="AD312" s="392">
        <f t="shared" ca="1" si="935"/>
        <v>4.4450382862832649E-2</v>
      </c>
      <c r="AE312" s="388">
        <f t="shared" ca="1" si="936"/>
        <v>0</v>
      </c>
      <c r="AF312" s="388">
        <f ca="1">MAX(0,$G312-Control!$C$92)</f>
        <v>0</v>
      </c>
      <c r="AG312" s="393">
        <f t="shared" ca="1" si="937"/>
        <v>308</v>
      </c>
      <c r="AH312" s="389">
        <f t="shared" ca="1" si="938"/>
        <v>308</v>
      </c>
      <c r="AI312" s="388">
        <f t="shared" ca="1" si="1055"/>
        <v>-0.27823384701612563</v>
      </c>
      <c r="AJ312" s="388">
        <f ca="1">IF(Control!$C$60&lt;=0,$HH312,$HI312)</f>
        <v>1</v>
      </c>
      <c r="AK312" s="388">
        <f t="shared" ca="1" si="939"/>
        <v>3.924839041197111</v>
      </c>
      <c r="AL312" s="388">
        <f t="shared" ca="1" si="940"/>
        <v>-2.5249455304354741E-18</v>
      </c>
      <c r="AM312" s="388">
        <f t="shared" ca="1" si="941"/>
        <v>3.924839041197111</v>
      </c>
      <c r="AN312" s="388">
        <f t="shared" ca="1" si="942"/>
        <v>-0.28450372447430755</v>
      </c>
      <c r="AO312" s="388">
        <f ca="1">-0.10453/COS(Control!$B$8*PI()/180)*COS(AN312)</f>
        <v>-0.16295969368509389</v>
      </c>
      <c r="AP312" s="388">
        <f ca="1">ACOS(AO312-TAN(Control!$B$8*PI()/180)*TAN(AN312))</f>
        <v>1.3578481971366398</v>
      </c>
      <c r="AQ312" s="388">
        <f t="shared" ca="1" si="1056"/>
        <v>0</v>
      </c>
      <c r="AR312" s="394">
        <f t="shared" ca="1" si="943"/>
        <v>0</v>
      </c>
      <c r="AS312" s="436">
        <f ca="1">IF(Control!$B$18=2,(IF(OR($AH312=Control!$B$175,$AH312=Control!$B$176,$AH312=Control!$B$177,$AH312=Control!$B$178,$AH312=Control!$B$179,$AH312=Control!$B$180,$AH312=Control!$B$181,$AH312=Control!$B$182,$AH312=Control!$B$183,$AH312=Control!$B$184,$AH312=Control!$B$185),1,0)),0)</f>
        <v>0</v>
      </c>
      <c r="AT312" s="436">
        <f>IF(Control!$B$20=8,IF(AND($AH312&gt;=Control!$B$172,$AH312&lt;=Control!$B$173),1,0),0)</f>
        <v>0</v>
      </c>
      <c r="AU312" s="436">
        <f>IF(Control!$B$20=8,IF($AV311=1,1*$AT312,IF($AT312=1,$AU311+1,$AU311)),0)</f>
        <v>0</v>
      </c>
      <c r="AV312" s="436">
        <f>IF(Control!$B$20=8,IF($AU312&gt;=Control!$B$174,1,0),0)</f>
        <v>0</v>
      </c>
      <c r="AW312" s="436">
        <f ca="1">IF(AND(Control!$B$18=2,Control!$B$171=1), $AV312, $AS312)</f>
        <v>0</v>
      </c>
      <c r="AX312" s="436" t="e">
        <f ca="1">IF(AND(Control!$B$18=1,$EU312&gt;=Control!$B$19),-$AY312,IF(AND(Control!$B$18=2,$AW312=1,$EU312&gt;$DS312),-$AY312, IF(Control!$C$108=0,0, IF(Control!$C$108&lt;&gt;0,1))))</f>
        <v>#N/A</v>
      </c>
      <c r="AY312" s="436" t="e">
        <f t="shared" ca="1" si="1057"/>
        <v>#N/A</v>
      </c>
      <c r="AZ312" s="436" t="e">
        <f ca="1">IF(AND(Control!$B$18=1,$EB312&gt;Control!$B$19),$AZ311+1, IF(AND(Control!$B$18=2, $AW312=1, $EB312&gt;$DS312), $AZ311+1,$AZ311))</f>
        <v>#N/A</v>
      </c>
      <c r="BA312" s="587">
        <f>IF(Control!$C$81=0,1,IF($AH312&gt;=Control!$C$82,1,0))</f>
        <v>1</v>
      </c>
      <c r="BB312" s="140" t="e">
        <f ca="1">IF($BA312&gt;$BA311,Control!$C$83,IF($AW312&gt;0,$AW312*Control!$C$84,IF(AND(Control!$B$18=1,EN311&lt;&gt;0),Control!$C$84,0)))</f>
        <v>#N/A</v>
      </c>
      <c r="BC312" s="140" t="e">
        <f t="shared" ca="1" si="1058"/>
        <v>#N/A</v>
      </c>
      <c r="BD312" s="140" t="e">
        <f ca="1">BC312*IF(OR($G312&lt;Control!$C$92,$G312&gt;Control!$C$95),0,IF(AND($G312&gt;=Control!$C$92,$G312&lt;=Control!$C$93),$G312-Control!$C$92,IF(AND($G312&gt;Control!$C$93,$G312&lt;=Control!$C$94),Control!$C$93-Control!$C$92,IF(AND($G312&gt;Control!$C$94,$G312&lt;=Control!$C$95),(Control!$C$93-Control!$C$92)*(Control!$C$94-$G312)/(Control!$C$95-Control!$C$94)))))</f>
        <v>#N/A</v>
      </c>
      <c r="BE312" s="140" t="e">
        <f t="shared" ca="1" si="1059"/>
        <v>#N/A</v>
      </c>
      <c r="BF312" s="140" t="e">
        <f ca="1">IF($BE312&lt;=Control!$C$86,$BE312,Control!$C$86-$BE312)</f>
        <v>#N/A</v>
      </c>
      <c r="BG312" s="140" t="e">
        <f ca="1">IF(AND($AW312=1,Control!$C$84&lt;9),1,IF($BE312&gt;=Control!$C$86,0,$BC312))</f>
        <v>#N/A</v>
      </c>
      <c r="BH312" s="404" t="e">
        <f ca="1">IF($BG312=0,0,IF($BE312&lt;=Control!$C$86,$BC312*9*($BF312/Control!$C$86),0))</f>
        <v>#N/A</v>
      </c>
      <c r="BI312" s="140" t="e">
        <f ca="1">IF($BG312=1,0,IF($BE312&gt;=Control!$C$86,1,IF(AND($BB312&lt;21,$BB312&gt;=9),1,$BM311)))</f>
        <v>#N/A</v>
      </c>
      <c r="BJ312" s="140" t="e">
        <f ca="1">IF($BF312&lt;0,-$BF312,$BI312*IF(OR($G312&lt;Control!$C$92,$G312&gt;Control!$C$95),0,IF(AND($G312&gt;=Control!$C$92,$G312&lt;=Control!$C$93),$G312-Control!$C$92,IF(AND($G312&gt;Control!$C$93,$G312&lt;=Control!$C$94),Control!$C$93-Control!$C$92,IF(AND($G312&gt;Control!$C$94,$G312&lt;=Control!$C$95),(Control!$C$93-Control!$C$92)*(Control!$C$94-$G312)/(Control!$C$95-Control!$C$94))))))</f>
        <v>#N/A</v>
      </c>
      <c r="BK312" s="140" t="e">
        <f t="shared" ca="1" si="1060"/>
        <v>#N/A</v>
      </c>
      <c r="BL312" s="140" t="e">
        <f ca="1">IF($BK312&lt;=Control!$C$87,$BK312,Control!$C$87-$BK312)</f>
        <v>#N/A</v>
      </c>
      <c r="BM312" s="140" t="e">
        <f ca="1">IF(AND($BB312&gt;=9,$BB312&lt;21),1,IF($BK312&gt;=Control!$C$87,0,$BI312))</f>
        <v>#N/A</v>
      </c>
      <c r="BN312" s="404" t="e">
        <f ca="1">IF($BM312=0,0,IF($BK312&lt;=Control!$C$87,$BI312*(9+(21-9)*($BL312/Control!$C$87)),0))</f>
        <v>#N/A</v>
      </c>
      <c r="BO312" s="140" t="e">
        <f ca="1">IF($BM312=1,0,IF($BK312&gt;=Control!$C$87,1,IF(AND($BB312&lt;30,$BB312&gt;=21),1,$BS311)))</f>
        <v>#N/A</v>
      </c>
      <c r="BP312" s="140" t="e">
        <f ca="1">IF($BL312&lt;0,-$BL312,$BO312*IF(OR($G312&lt;Control!$C$92,$G312&gt;Control!$C$95),0,IF(AND($G312&gt;=Control!$C$92,$G312&lt;=Control!$C$93),$G312-Control!$C$92,IF(AND($G312&gt;Control!$C$93,$G312&lt;=Control!$C$94),Control!$C$93-Control!$C$92,IF(AND($G312&gt;Control!$C$94,$G312&lt;=Control!$C$95),(Control!$C$93-Control!$C$92)*(Control!$C$94-$G312)/(Control!$C$95-Control!$C$94))))))</f>
        <v>#N/A</v>
      </c>
      <c r="BQ312" s="140" t="e">
        <f t="shared" ca="1" si="944"/>
        <v>#N/A</v>
      </c>
      <c r="BR312" s="140" t="e">
        <f ca="1">IF($BQ312&lt;=Control!$C$88,$BQ312,Control!$C$88-$BQ312)</f>
        <v>#N/A</v>
      </c>
      <c r="BS312" s="140" t="e">
        <f ca="1">IF(AND($BB312&gt;=21,$BB312&lt;30),1,IF($BQ312&gt;=Control!$C$88,0,$BO312))</f>
        <v>#N/A</v>
      </c>
      <c r="BT312" s="404" t="e">
        <f ca="1">IF($BS312=0,0,IF($BQ312&lt;=Control!$C$88,$BO312*(21+(30-21)*(BR312/Control!$C$88)),0))</f>
        <v>#N/A</v>
      </c>
      <c r="BU312" s="140" t="e">
        <f ca="1">IF(BG312+BM312+BS312=1,0,IF(OR(AND($BB312&lt;60,$BB312&gt;=30),$BQ312&gt;=Control!$C$88),1*$BA312,$BY311))</f>
        <v>#N/A</v>
      </c>
      <c r="BV312" s="140" t="e">
        <f ca="1">IF($BR312&lt;0,-$BR312,$BU312*IF(OR($G312&lt;Control!$C$92,$G312&gt;Control!$C$95),0,IF(AND($G312&gt;=Control!$C$92,$G312&lt;=Control!$C$93),$G312-Control!$C$92,IF(AND($G312&gt;Control!$C$93,$G312&lt;=Control!$C$94),Control!$C$93-Control!$C$92,IF(AND($G312&gt;Control!$C$94,$G312&lt;=Control!$C$95),(Control!$C$93-Control!$C$92)*(Control!$C$94-$G312)/(Control!$C$95-Control!$C$94))))))</f>
        <v>#N/A</v>
      </c>
      <c r="BW312" s="140" t="e">
        <f t="shared" ca="1" si="945"/>
        <v>#N/A</v>
      </c>
      <c r="BX312" s="140" t="e">
        <f ca="1">IF($BW312&lt;=Control!$C$89,$BW312,Control!$C$89-$BW312)</f>
        <v>#N/A</v>
      </c>
      <c r="BY312" s="140" t="e">
        <f ca="1">IF(AND($AJ312&gt;=30,$AJ312&lt;60),1,IF($BW312&gt;=Control!$C$89,0,$BU312))</f>
        <v>#N/A</v>
      </c>
      <c r="BZ312" s="404" t="e">
        <f ca="1">IF($BY312=0,0,IF($BW312&lt;=Control!$C$89,$BU312*(30+(60-30)*(BX312/Control!$C$89)),0))</f>
        <v>#N/A</v>
      </c>
      <c r="CA312" s="140" t="e">
        <f ca="1">IF($BG312+$BM312+$BS312+$BY312=1,0,IF(OR(AND($BB312&lt;65,$BB312&gt;=60),$BW312&gt;=Control!$C$89),1*$BA312,$CE311))</f>
        <v>#N/A</v>
      </c>
      <c r="CB312" s="140" t="e">
        <f ca="1">IF($BX312&lt;0,-$BX312,$CA312*IF(OR($G312&lt;Control!$C$92,$G312&gt;Control!$C$95),0,IF(AND($G312&gt;=Control!$C$92,$G312&lt;=Control!$C$93),$G312-Control!$C$92,IF(AND($G312&gt;Control!$C$93,$G312&lt;=Control!$C$94),Control!$C$93-Control!$C$92,IF(AND($G312&gt;Control!$C$94,$G312&lt;=Control!$C$95),(Control!$C$93-Control!$C$92)*(Control!$C$94-$G312)/(Control!$C$95-Control!$C$94))))))</f>
        <v>#N/A</v>
      </c>
      <c r="CC312" s="140" t="e">
        <f t="shared" ca="1" si="1061"/>
        <v>#N/A</v>
      </c>
      <c r="CD312" s="140" t="e">
        <f ca="1">IF($CC312&lt;=Control!$C$90,$CC312,Control!$C$90-$CC312)</f>
        <v>#N/A</v>
      </c>
      <c r="CE312" s="140" t="e">
        <f ca="1">IF(AND($BB312&gt;=60,$BB312&lt;65),1,IF($CC312&gt;=Control!$C$90,0,$CA312))</f>
        <v>#N/A</v>
      </c>
      <c r="CF312" s="404" t="e">
        <f ca="1">IF($CE312=0,0,IF($CC312&lt;=Control!$C$90,$CA312*(60+(65-60)*(CD312/Control!$C$90)),0))</f>
        <v>#N/A</v>
      </c>
      <c r="CG312" s="140" t="e">
        <f ca="1">IF($BG312+$BM312+$BS312+$BY312+$CE312=1,0,IF(OR(AND($BB312&lt;90,$BB312&gt;=65),$CC312&gt;=Control!$C$90),$BA312,$CK311))</f>
        <v>#N/A</v>
      </c>
      <c r="CH312" s="140" t="e">
        <f ca="1">IF($CD312&lt;0,-$CD312,$CG312*IF(OR($G312&lt;Control!$C$92,$G312&gt;Control!$C$95),0,IF(AND($G312&gt;=Control!$C$92,$G312&lt;=Control!$C$93),$G312-Control!$C$92,IF(AND($G312&gt;Control!$C$93,$G312&lt;=Control!$C$94),Control!$C$93-Control!$C$92,IF(AND($G312&gt;Control!$C$94,$G312&lt;=Control!$C$95),(Control!$C$93-Control!$C$92)*(Control!$C$94-$G312)/(Control!$C$95-Control!$C$94))))))</f>
        <v>#N/A</v>
      </c>
      <c r="CI312" s="140" t="e">
        <f t="shared" ca="1" si="1062"/>
        <v>#N/A</v>
      </c>
      <c r="CJ312" s="140" t="e">
        <f ca="1">IF($CI312&lt;=Control!$C$91,$CI312,Control!$C$91-$CI312)</f>
        <v>#N/A</v>
      </c>
      <c r="CK312" s="140" t="e">
        <f ca="1">IF(AND($BB312&gt;=65,$BB312&lt;90),1,IF($CI312&gt;=Control!$C$91,0,$CG312))</f>
        <v>#N/A</v>
      </c>
      <c r="CL312" s="404" t="e">
        <f ca="1">IF($CK312=0,0,IF($CI312&lt;=Control!$C$91,$CG312*(65+(90-65)*($CJ312/Control!$C$91)),0))</f>
        <v>#N/A</v>
      </c>
      <c r="CM312" s="140" t="e">
        <f ca="1">IF($BG312+$BM312+$BS312+$BY312+$CE312+$CK312=1,0,IF(OR($BB312&gt;=90,$CI312&gt;=Control!$C$91),$BA312,$CM311))</f>
        <v>#N/A</v>
      </c>
      <c r="CN312" s="140" t="e">
        <f t="shared" ca="1" si="1063"/>
        <v>#N/A</v>
      </c>
      <c r="CO312" s="140" t="e">
        <f t="shared" ca="1" si="1064"/>
        <v>#N/A</v>
      </c>
      <c r="CP312" s="140" t="e">
        <f t="shared" ca="1" si="1065"/>
        <v>#N/A</v>
      </c>
      <c r="CQ312" s="141" t="e">
        <f ca="1">VLOOKUP($CP312,Control!$B$86:$G$91,6)</f>
        <v>#N/A</v>
      </c>
      <c r="CR312" s="141" t="e">
        <f ca="1">(1-$CQ312)*VLOOKUP($CP312,Control!$B$86:$D$91,3)</f>
        <v>#N/A</v>
      </c>
      <c r="CS312" s="141" t="e">
        <f ca="1">(1-$CQ312)*VLOOKUP($CP312,Control!$B$86:$E$91,4)</f>
        <v>#N/A</v>
      </c>
      <c r="CT312" s="141" t="e">
        <f ca="1">(1-$CQ312)*VLOOKUP($CP312,Control!$B$86:$F$91,5)</f>
        <v>#N/A</v>
      </c>
      <c r="CU312" s="141">
        <f t="shared" ca="1" si="1066"/>
        <v>0</v>
      </c>
      <c r="CV312" s="583">
        <f t="shared" ca="1" si="1067"/>
        <v>0</v>
      </c>
      <c r="CW312" s="142">
        <f t="shared" ca="1" si="1068"/>
        <v>308</v>
      </c>
      <c r="CX312" s="612" t="e">
        <f ca="1">IF(Control!$C$114=1,(MIN(Control!$C$120*(IF($NT312-0.01&lt;0,0,1)),Control!$C$119-$CY312)))</f>
        <v>#DIV/0!</v>
      </c>
      <c r="CY312" s="143" t="e">
        <f t="shared" ca="1" si="1069"/>
        <v>#N/A</v>
      </c>
      <c r="CZ312" s="144">
        <f t="shared" ca="1" si="946"/>
        <v>0</v>
      </c>
      <c r="DA312" s="144">
        <f t="shared" ca="1" si="947"/>
        <v>0</v>
      </c>
      <c r="DB312" s="144" t="e">
        <f t="shared" ca="1" si="948"/>
        <v>#N/A</v>
      </c>
      <c r="DC312" s="144" t="e">
        <f t="shared" ca="1" si="949"/>
        <v>#N/A</v>
      </c>
      <c r="DD312" s="144" t="e">
        <f t="shared" ca="1" si="1154"/>
        <v>#N/A</v>
      </c>
      <c r="DE312" s="143" t="e">
        <f t="shared" ca="1" si="1070"/>
        <v>#N/A</v>
      </c>
      <c r="DF312" s="145" t="e">
        <f ca="1">$DR312*EXP(-Control!$C$158*(1-$KH312))</f>
        <v>#N/A</v>
      </c>
      <c r="DG312" s="146" t="e">
        <f ca="1">IF(Control!$C$114=1, $DF312*$EY312, 0)</f>
        <v>#N/A</v>
      </c>
      <c r="DH312" s="147" t="e">
        <f t="shared" ca="1" si="1071"/>
        <v>#N/A</v>
      </c>
      <c r="DI312" s="144" t="e">
        <f t="shared" ca="1" si="1132"/>
        <v>#N/A</v>
      </c>
      <c r="DJ312" s="147" t="e">
        <f ca="1">$EF312*Control!$C$109</f>
        <v>#N/A</v>
      </c>
      <c r="DK312" s="144" t="e">
        <f t="shared" ca="1" si="1072"/>
        <v>#N/A</v>
      </c>
      <c r="DL312" s="144" t="e">
        <f t="shared" ca="1" si="950"/>
        <v>#N/A</v>
      </c>
      <c r="DM312" s="144" t="e">
        <f ca="1">IF(Control!$C$114=1, (1-EXP(-Control!$C$96*$DK312))*$AR312, 0)</f>
        <v>#N/A</v>
      </c>
      <c r="DN312" s="144">
        <f t="shared" ca="1" si="1073"/>
        <v>0</v>
      </c>
      <c r="DO312" s="148">
        <f>Control!$C$97</f>
        <v>4</v>
      </c>
      <c r="DP312" s="145" t="e">
        <f t="shared" ca="1" si="1074"/>
        <v>#N/A</v>
      </c>
      <c r="DQ312" s="145" t="e">
        <f ca="1">IF(AND($CP312&gt;=0,$CP312&lt;=90),Control!$C$111,Control!$C$111)</f>
        <v>#N/A</v>
      </c>
      <c r="DR312" s="145" t="e">
        <f t="shared" ca="1" si="951"/>
        <v>#N/A</v>
      </c>
      <c r="DS312" s="143" t="e">
        <f ca="1">Control!$B$22/$DR312</f>
        <v>#N/A</v>
      </c>
      <c r="DT312" s="149" t="e">
        <f ca="1">IF(AND(Control!$C$114=1,$KH312&lt;1),$IM312*$DF312, 0)</f>
        <v>#N/A</v>
      </c>
      <c r="DU312" s="144" t="e">
        <f t="shared" ca="1" si="1075"/>
        <v>#N/A</v>
      </c>
      <c r="DV312" s="144">
        <f ca="1">IF($G312-Control!$C$107&lt;=0, 0, 0.83*LN(MAX($G312, 3))-0.8924)</f>
        <v>0</v>
      </c>
      <c r="DW312" s="144" t="e">
        <f t="shared" ca="1" si="952"/>
        <v>#N/A</v>
      </c>
      <c r="DX312" s="150" t="e">
        <f ca="1">MAX(0.01*(1+$CU312/Control!$C$102),0.05*($DK312-Control!$C$97)/Control!$C$97)</f>
        <v>#N/A</v>
      </c>
      <c r="DY312" s="151" t="e">
        <f ca="1">IF(Control!$C$114=1, $DI312*$FS312, 0)</f>
        <v>#N/A</v>
      </c>
      <c r="DZ312" s="196" t="e">
        <f t="shared" ca="1" si="1076"/>
        <v>#N/A</v>
      </c>
      <c r="EA312" s="152">
        <f t="shared" ca="1" si="1077"/>
        <v>308</v>
      </c>
      <c r="EB312" s="153" t="e">
        <f t="shared" ca="1" si="1078"/>
        <v>#N/A</v>
      </c>
      <c r="EC312" s="153" t="e">
        <f t="shared" ca="1" si="1079"/>
        <v>#N/A</v>
      </c>
      <c r="ED312" s="154" t="e">
        <f ca="1">IF(Control!$C$114=1, $HM312*$FY312-$FD312, 0)</f>
        <v>#DIV/0!</v>
      </c>
      <c r="EE312" s="155" t="e">
        <f ca="1">IF(Control!$C$114=1, $HM312*$FZ312-$FF312, 0)</f>
        <v>#DIV/0!</v>
      </c>
      <c r="EF312" s="153" t="e">
        <f t="shared" ca="1" si="1133"/>
        <v>#N/A</v>
      </c>
      <c r="EG312" s="155" t="e">
        <f ca="1">IF(Control!$C$114=1, $GX312*$FW312-$FI312, 0)</f>
        <v>#DIV/0!</v>
      </c>
      <c r="EH312" s="153" t="e">
        <f t="shared" ca="1" si="1080"/>
        <v>#N/A</v>
      </c>
      <c r="EI312" s="156" t="e">
        <f t="shared" ca="1" si="1081"/>
        <v>#N/A</v>
      </c>
      <c r="EJ312" s="155" t="e">
        <f ca="1">IF(Control!$C$114=1, $HM312*$GB312, 0)</f>
        <v>#DIV/0!</v>
      </c>
      <c r="EK312" s="153" t="e">
        <f t="shared" ca="1" si="1134"/>
        <v>#N/A</v>
      </c>
      <c r="EL312" s="153" t="e">
        <f t="shared" ca="1" si="953"/>
        <v>#N/A</v>
      </c>
      <c r="EM312" s="153" t="e">
        <f t="shared" ca="1" si="954"/>
        <v>#N/A</v>
      </c>
      <c r="EN312" s="153" t="e">
        <f ca="1">IF(Control!$C$108=1,IF(AND(Control!$B$18=1,$EB312&gt;=Control!$B$19),$EB312-$DS312,IF(AND(Control!$B$18=2,$AW312=1,$EB312&gt;$DS312),$EB312-$DS312,0)))</f>
        <v>#N/A</v>
      </c>
      <c r="EO312" s="153" t="e">
        <f ca="1">IF(Control!$C$108=1,IF(AND(Control!$B$18=1,$EB312&gt;=Control!$B$19),$EF312,IF(AND(Control!$B$18=2,$AW312=1),$EF312,0)))</f>
        <v>#N/A</v>
      </c>
      <c r="EP312" s="153" t="e">
        <f ca="1">IF(Control!$C$108=1,IF(AND(Control!$B$18=1,$EB312&gt;=Control!$B$19),$EK312,IF(AND(Control!$B$18=2,$AW312=1),$EK312,0)))</f>
        <v>#N/A</v>
      </c>
      <c r="EQ312" s="153" t="e">
        <f t="shared" ca="1" si="1082"/>
        <v>#N/A</v>
      </c>
      <c r="ER312" s="153" t="e">
        <f t="shared" ca="1" si="1083"/>
        <v>#N/A</v>
      </c>
      <c r="ES312" s="153" t="e">
        <f t="shared" ca="1" si="1135"/>
        <v>#N/A</v>
      </c>
      <c r="ET312" s="153" t="e">
        <f t="shared" ca="1" si="1136"/>
        <v>#N/A</v>
      </c>
      <c r="EU312" s="153" t="e">
        <f t="shared" ca="1" si="1084"/>
        <v>#N/A</v>
      </c>
      <c r="EV312" s="153" t="e">
        <f t="shared" ca="1" si="955"/>
        <v>#N/A</v>
      </c>
      <c r="EW312" s="153" t="e">
        <f t="shared" ca="1" si="956"/>
        <v>#N/A</v>
      </c>
      <c r="EX312" s="153" t="e">
        <f t="shared" ca="1" si="957"/>
        <v>#N/A</v>
      </c>
      <c r="EY312" s="157" t="e">
        <f t="shared" ca="1" si="958"/>
        <v>#DIV/0!</v>
      </c>
      <c r="EZ312" s="154" t="e">
        <f t="shared" ca="1" si="959"/>
        <v>#DIV/0!</v>
      </c>
      <c r="FA312" s="153" t="e">
        <f t="shared" ca="1" si="1085"/>
        <v>#N/A</v>
      </c>
      <c r="FB312" s="153" t="e">
        <f t="shared" ca="1" si="960"/>
        <v>#N/A</v>
      </c>
      <c r="FC312" s="193" t="e">
        <f t="shared" ca="1" si="961"/>
        <v>#N/A</v>
      </c>
      <c r="FD312" s="158" t="e">
        <f t="shared" ca="1" si="1086"/>
        <v>#N/A</v>
      </c>
      <c r="FE312" s="158" t="e">
        <f t="shared" ca="1" si="1087"/>
        <v>#N/A</v>
      </c>
      <c r="FF312" s="159" t="e">
        <f t="shared" ca="1" si="962"/>
        <v>#N/A</v>
      </c>
      <c r="FG312" s="160" t="e">
        <f t="shared" ca="1" si="1088"/>
        <v>#N/A</v>
      </c>
      <c r="FH312" s="158" t="e">
        <f t="shared" ca="1" si="1089"/>
        <v>#N/A</v>
      </c>
      <c r="FI312" s="159" t="e">
        <f t="shared" ca="1" si="963"/>
        <v>#N/A</v>
      </c>
      <c r="FJ312" s="160" t="e">
        <f t="shared" ca="1" si="1090"/>
        <v>#N/A</v>
      </c>
      <c r="FK312" s="160" t="e">
        <f t="shared" ca="1" si="964"/>
        <v>#N/A</v>
      </c>
      <c r="FL312" s="160" t="e">
        <f t="shared" ca="1" si="1137"/>
        <v>#N/A</v>
      </c>
      <c r="FM312" s="160" t="e">
        <f t="shared" ca="1" si="965"/>
        <v>#N/A</v>
      </c>
      <c r="FN312" s="158">
        <f t="shared" ca="1" si="1091"/>
        <v>0.01</v>
      </c>
      <c r="FO312" s="160">
        <f>Control!$C$101</f>
        <v>50</v>
      </c>
      <c r="FP312" s="150" t="e">
        <f t="shared" ca="1" si="966"/>
        <v>#N/A</v>
      </c>
      <c r="FQ312" s="150" t="e">
        <f ca="1">MAX(0,(Control!$C$112*(($DK312-Control!$C$97)/Control!$C$97)))</f>
        <v>#N/A</v>
      </c>
      <c r="FR312" s="150" t="e">
        <f ca="1">(1-$NT312)*Control!$C$113</f>
        <v>#DIV/0!</v>
      </c>
      <c r="FS312" s="198" t="e">
        <f t="shared" ca="1" si="967"/>
        <v>#N/A</v>
      </c>
      <c r="FT312" s="161">
        <f t="shared" ca="1" si="1092"/>
        <v>308</v>
      </c>
      <c r="FU312" s="162" t="e">
        <f ca="1">IF(Control!$B$34=1,VLOOKUP($CP312,Control!$B$86:$G$91,6),Control!$B$35)</f>
        <v>#N/A</v>
      </c>
      <c r="FV312" s="162" t="e">
        <f t="shared" ca="1" si="968"/>
        <v>#DIV/0!</v>
      </c>
      <c r="FW312" s="162" t="e">
        <f ca="1">IF(Control!$B$31=1,$FU312*$FV312,  $FU312)</f>
        <v>#N/A</v>
      </c>
      <c r="FX312" s="162" t="e">
        <f ca="1">IF(Control!$B$34=1,VLOOKUP($CP312,Control!$B$86:$G$91,3),Control!$B$36)</f>
        <v>#N/A</v>
      </c>
      <c r="FY312" s="162" t="e">
        <f t="shared" ca="1" si="969"/>
        <v>#N/A</v>
      </c>
      <c r="FZ312" s="162" t="e">
        <f ca="1">IF(Control!$B$34=1,VLOOKUP($CP312,Control!$B$86:$G$91,4),Control!$B$37)</f>
        <v>#N/A</v>
      </c>
      <c r="GA312" s="162" t="e">
        <f t="shared" ca="1" si="970"/>
        <v>#N/A</v>
      </c>
      <c r="GB312" s="162" t="e">
        <f ca="1">IF(Control!$B$34=1,VLOOKUP($CP312,Control!$B$86:$G$91,5),Control!$B$38)</f>
        <v>#N/A</v>
      </c>
      <c r="GC312" s="162" t="e">
        <f t="shared" ca="1" si="1093"/>
        <v>#N/A</v>
      </c>
      <c r="GD312" s="162">
        <f t="shared" ca="1" si="971"/>
        <v>1</v>
      </c>
      <c r="GE312" s="162">
        <f t="shared" ca="1" si="972"/>
        <v>1</v>
      </c>
      <c r="GF312" s="162">
        <f ca="1">IF(AND(Control!$C$104=1, Control!$C$62="F"),$GE312,1)</f>
        <v>1</v>
      </c>
      <c r="GG312" s="162" t="e">
        <f ca="1">IF(Control!$B$16=40,0,IF(AND(Control!$B$16&gt;40,Control!$B$16&lt;=360),(Control!$B$16-40)*((1-0)/(360-40)),IF(AND(Control!$B$16&gt;360,Control!$B$16&lt;=720),(1+(Control!$B$16-360)*((1.25-1)/(720-360))),IF(AND(Control!$B$16&gt;720,Control!$B$16&lt;=1000),(1.25+(Control!$B$16-720)*((1.35-1.25)/(1000-720))),IF(AND(Control!$B$16&gt;1000,Control!$B$16&lt;=2000),(1.35+(Control!$B$16-1000)*0))))))</f>
        <v>#N/A</v>
      </c>
      <c r="GH312" s="162" t="e">
        <f t="shared" ca="1" si="973"/>
        <v>#N/A</v>
      </c>
      <c r="GI312" s="162">
        <f t="shared" ca="1" si="1094"/>
        <v>0</v>
      </c>
      <c r="GJ312" s="162">
        <f t="shared" ca="1" si="974"/>
        <v>0</v>
      </c>
      <c r="GK312" s="162">
        <f t="shared" ca="1" si="1095"/>
        <v>1</v>
      </c>
      <c r="GL312" s="162">
        <f t="shared" ca="1" si="975"/>
        <v>1</v>
      </c>
      <c r="GM312" s="162" t="e">
        <f ca="1">MAX(0,MIN(1,1-Control!$C$156*(1.0001-$KH312)^2))</f>
        <v>#N/A</v>
      </c>
      <c r="GN312" s="162" t="e">
        <f ca="1">IF(Control!$B$26=1,$KU312,$KX312)</f>
        <v>#N/A</v>
      </c>
      <c r="GO312" s="162" t="e">
        <f ca="1">IF($CP312&lt;=60,Control!$C$105,IF($CP312&gt;=90,Control!$C$106,Control!$C$105+($CP312-60)*((Control!$C$106-Control!$C$105)/(90-60))))</f>
        <v>#N/A</v>
      </c>
      <c r="GP312" s="162" t="e">
        <f t="shared" ca="1" si="976"/>
        <v>#N/A</v>
      </c>
      <c r="GQ312" s="162" t="e">
        <f t="shared" ca="1" si="1096"/>
        <v>#N/A</v>
      </c>
      <c r="GR312" s="163" t="e">
        <f t="shared" ca="1" si="977"/>
        <v>#DIV/0!</v>
      </c>
      <c r="GS312" s="162" t="e">
        <f t="shared" ca="1" si="978"/>
        <v>#DIV/0!</v>
      </c>
      <c r="GT312" s="164" t="e">
        <f t="shared" ca="1" si="1097"/>
        <v>#N/A</v>
      </c>
      <c r="GU312" s="162" t="e">
        <f t="shared" ca="1" si="1098"/>
        <v>#N/A</v>
      </c>
      <c r="GV312" s="162" t="e">
        <f t="shared" ca="1" si="979"/>
        <v>#N/A</v>
      </c>
      <c r="GW312" s="162" t="e">
        <f t="shared" ca="1" si="980"/>
        <v>#DIV/0!</v>
      </c>
      <c r="GX312" s="162" t="e">
        <f t="shared" ca="1" si="1099"/>
        <v>#DIV/0!</v>
      </c>
      <c r="GY312" s="162" t="e">
        <f t="shared" ca="1" si="1100"/>
        <v>#DIV/0!</v>
      </c>
      <c r="GZ312" s="165" t="e">
        <f t="shared" ca="1" si="981"/>
        <v>#N/A</v>
      </c>
      <c r="HA312" s="162" t="e">
        <f ca="1">IF(Control!$C$114=1, $DI312*$FS312, 0)</f>
        <v>#N/A</v>
      </c>
      <c r="HB312" s="162" t="e">
        <f ca="1">$FA312/Control!$C$64</f>
        <v>#N/A</v>
      </c>
      <c r="HC312" s="162" t="e">
        <f t="shared" ca="1" si="982"/>
        <v>#DIV/0!</v>
      </c>
      <c r="HD312" s="162">
        <f ca="1">-ASIN(SIN(23.45*Control!$C$139)*COS(2*Control!$C$138*($AH312+10)/365))</f>
        <v>-0.27823384701612563</v>
      </c>
      <c r="HE312" s="165">
        <f t="shared" ca="1" si="1101"/>
        <v>0</v>
      </c>
      <c r="HF312" s="166">
        <f ca="1">IF(AND(Control!$C$61="T",$HE312&gt;=Control!$C$103,Control!$C$114=0),$AH312,Control!$C$59)</f>
        <v>1</v>
      </c>
      <c r="HG312" s="166">
        <f ca="1">IF(AND(Control!$C$61="T",$HE312&gt;=Control!$C$103,Control!$C$114=0),$HF312,Control!$C$59)</f>
        <v>1</v>
      </c>
      <c r="HH312" s="165">
        <f ca="1">IF(AND(OR(Control!$C$60&lt;=0, $AH312= Control!$C$59, Control!$C$60 &gt;0, $AH312 = Control!$C$60)), Control!$C$59, IF(Control!$C$60&gt;0, 0))</f>
        <v>1</v>
      </c>
      <c r="HI312" s="165">
        <f ca="1">IF(AND(OR(Control!$C$60&lt;=0, $AH312= Control!$C$59, Control!$C$60 &gt;0, $AH312 = Control!$C$60)), Control!$C$60, IF(Control!$C$60&lt;=0, 0))</f>
        <v>0</v>
      </c>
      <c r="HJ312" s="166">
        <f ca="1">IF(AND(Control!$C$62="F",$CV312&gt;=Control!$C$102),$AH312,0)</f>
        <v>0</v>
      </c>
      <c r="HK312" s="165" t="e">
        <f t="shared" ca="1" si="1138"/>
        <v>#N/A</v>
      </c>
      <c r="HL312" s="166">
        <f ca="1">IF(AND(Control!$C$61="T",$HE312&gt;=Control!$C$103,Control!$C$114=0),$HF312,0)</f>
        <v>0</v>
      </c>
      <c r="HM312" s="201" t="e">
        <f t="shared" ca="1" si="983"/>
        <v>#DIV/0!</v>
      </c>
      <c r="HN312" s="215">
        <f t="shared" ca="1" si="1102"/>
        <v>308</v>
      </c>
      <c r="HO312" s="216" t="e">
        <f ca="1">IF(AND($CP312&gt;=0, $CP312&lt;=90), Control!$C$152, Control!$C$152)</f>
        <v>#N/A</v>
      </c>
      <c r="HP312" s="216" t="e">
        <f t="shared" ca="1" si="984"/>
        <v>#N/A</v>
      </c>
      <c r="HQ312" s="217" t="e">
        <f ca="1">IF(OR(Control!$B$26=1,Control!$B$26=2),$KV312,$KS312)</f>
        <v>#DIV/0!</v>
      </c>
      <c r="HR312" s="218" t="e">
        <f t="shared" ca="1" si="1139"/>
        <v>#DIV/0!</v>
      </c>
      <c r="HS312" s="216" t="e">
        <f ca="1">Control!$C$154*$HP312</f>
        <v>#N/A</v>
      </c>
      <c r="HT312" s="216" t="e">
        <f ca="1">Control!$C$155*$HP312</f>
        <v>#N/A</v>
      </c>
      <c r="HU312" s="217" t="e">
        <f ca="1">Control!$C$161*$FI312</f>
        <v>#N/A</v>
      </c>
      <c r="HV312" s="218" t="e">
        <f t="shared" ca="1" si="1103"/>
        <v>#N/A</v>
      </c>
      <c r="HW312" s="218" t="e">
        <f ca="1">Control!$C$160*$FF312+$IP312*$EO312</f>
        <v>#N/A</v>
      </c>
      <c r="HX312" s="218" t="e">
        <f t="shared" ca="1" si="1140"/>
        <v>#N/A</v>
      </c>
      <c r="HY312" s="219" t="e">
        <f ca="1">IF(Control!$C$114=1, $EB312*$FS312, 0)</f>
        <v>#N/A</v>
      </c>
      <c r="HZ312" s="91" t="e">
        <f t="shared" ca="1" si="985"/>
        <v>#N/A</v>
      </c>
      <c r="IA312" s="220" t="e">
        <f ca="1">Control!$C$153*$HO312</f>
        <v>#N/A</v>
      </c>
      <c r="IB312" s="218" t="e">
        <f t="shared" ca="1" si="986"/>
        <v>#N/A</v>
      </c>
      <c r="IC312" s="220" t="e">
        <f ca="1">Control!$C$153*$HT312</f>
        <v>#N/A</v>
      </c>
      <c r="ID312" s="218" t="e">
        <f t="shared" ca="1" si="987"/>
        <v>#N/A</v>
      </c>
      <c r="IE312" s="221" t="e">
        <f ca="1">($EB312*Control!$C$159+$EF312*Control!$C$160)/(IF($GZ312&lt;&gt;0,$GZ312,1))</f>
        <v>#N/A</v>
      </c>
      <c r="IF312" s="216" t="e">
        <f t="shared" ca="1" si="988"/>
        <v>#N/A</v>
      </c>
      <c r="IG312" s="91">
        <f ca="1">IF(OR(Control!$B$198=$AH312,Control!$B$199=$AH312, Control!$B$200=$AH312, Control!$B$201=$AH312, Control!$B$202=$AH312, Control!$B$203=$AH312, Control!$B$204=$AH312, Control!$B$205=$AH312, Control!$B$206=$AH312, Control!$B$207=$AH312), 1, 0)</f>
        <v>0</v>
      </c>
      <c r="IH312" s="91">
        <f ca="1">IF($IG312=0,0, VLOOKUP($AH312,Control!$B$198:$C$207,2))</f>
        <v>0</v>
      </c>
      <c r="II312" s="222">
        <f t="shared" ca="1" si="1104"/>
        <v>0</v>
      </c>
      <c r="IJ312" s="91">
        <f>Control!$C$121</f>
        <v>0.7</v>
      </c>
      <c r="IK312" s="218">
        <f t="shared" ca="1" si="989"/>
        <v>0</v>
      </c>
      <c r="IL312" s="217" t="e">
        <f t="shared" ca="1" si="1141"/>
        <v>#N/A</v>
      </c>
      <c r="IM312" s="223" t="e">
        <f ca="1">IF(AND(Control!$C$114=1,$KH312&lt;1),$EB312*Control!$C$148*(1-$KH312), 0)</f>
        <v>#N/A</v>
      </c>
      <c r="IN312" s="217" t="e">
        <f t="shared" ca="1" si="990"/>
        <v>#DIV/0!</v>
      </c>
      <c r="IO312" s="91" t="e">
        <f ca="1">MAX(0,$IL312-$EF312*Control!$C$160)</f>
        <v>#N/A</v>
      </c>
      <c r="IP312" s="220" t="e">
        <f t="shared" ca="1" si="991"/>
        <v>#N/A</v>
      </c>
      <c r="IQ312" s="217" t="e">
        <f t="shared" ca="1" si="1105"/>
        <v>#N/A</v>
      </c>
      <c r="IR312" s="218" t="e">
        <f t="shared" ca="1" si="992"/>
        <v>#N/A</v>
      </c>
      <c r="IS312" s="217" t="e">
        <f ca="1">Control!$C$159*MAX(0,$FD312-$EN312)</f>
        <v>#N/A</v>
      </c>
      <c r="IT312" s="217" t="e">
        <f t="shared" ca="1" si="1142"/>
        <v>#N/A</v>
      </c>
      <c r="IU312" s="217" t="e">
        <f t="shared" ca="1" si="1106"/>
        <v>#N/A</v>
      </c>
      <c r="IV312" s="217" t="e">
        <f t="shared" ca="1" si="1143"/>
        <v>#N/A</v>
      </c>
      <c r="IW312" s="217" t="e">
        <f ca="1">IF(OR($AW312=1,AND($AW312=0, Control!$B$18=1,$EN312&lt;&gt;0)), $IQ312-$IU312, $IQ312)</f>
        <v>#N/A</v>
      </c>
      <c r="IX312" s="218" t="e">
        <f t="shared" ca="1" si="993"/>
        <v>#N/A</v>
      </c>
      <c r="IY312" s="218" t="e">
        <f ca="1">MAX(0,$IQ312-$EB312*Control!$C$159)</f>
        <v>#N/A</v>
      </c>
      <c r="IZ312" s="218" t="e">
        <f t="shared" ca="1" si="994"/>
        <v>#N/A</v>
      </c>
      <c r="JA312" s="216" t="e">
        <f t="shared" ca="1" si="995"/>
        <v>#N/A</v>
      </c>
      <c r="JB312" s="217" t="e">
        <f t="shared" ca="1" si="996"/>
        <v>#N/A</v>
      </c>
      <c r="JC312" s="222" t="e">
        <f ca="1">MAX(Control!$C$157*$EK312-$JT312, 0)/Control!$C$162</f>
        <v>#N/A</v>
      </c>
      <c r="JD312" s="218" t="e">
        <f t="shared" ca="1" si="997"/>
        <v>#N/A</v>
      </c>
      <c r="JE312" s="218" t="e">
        <f t="shared" ca="1" si="998"/>
        <v>#N/A</v>
      </c>
      <c r="JF312" s="218" t="e">
        <f t="shared" ca="1" si="1107"/>
        <v>#N/A</v>
      </c>
      <c r="JG312" s="218" t="e">
        <f t="shared" ca="1" si="999"/>
        <v>#N/A</v>
      </c>
      <c r="JH312" s="217" t="e">
        <f t="shared" ca="1" si="1108"/>
        <v>#N/A</v>
      </c>
      <c r="JI312" s="217" t="e">
        <f t="shared" ca="1" si="1109"/>
        <v>#N/A</v>
      </c>
      <c r="JJ312" s="217" t="e">
        <f t="shared" ca="1" si="1144"/>
        <v>#N/A</v>
      </c>
      <c r="JK312" s="217" t="e">
        <f ca="1">IF(Control!$C$114=1,IF(Control!$B$24=0,MAX(0,$JI312)*$GN312/Control!$C$64,(MAX(0,MIN($JI312,$JJ312*$GN312/Control!$C$64),0))))</f>
        <v>#N/A</v>
      </c>
      <c r="JL312" s="217" t="e">
        <f ca="1">$IK312/Control!$C$64-$JK312+$HQ312</f>
        <v>#N/A</v>
      </c>
      <c r="JM312" s="217" t="e">
        <f ca="1">IF(Control!$C$114=1,($JB312/(IF($JI312&lt;&gt;0,$JI312,1)))*$JK312,0)</f>
        <v>#N/A</v>
      </c>
      <c r="JN312" s="217" t="e">
        <f ca="1">IF(Control!$C$114=1,($JG312/(IF($JI312&lt;&gt;0,$JI312,1)))*$JK312, 0)</f>
        <v>#N/A</v>
      </c>
      <c r="JO312" s="218" t="e">
        <f t="shared" ca="1" si="1000"/>
        <v>#N/A</v>
      </c>
      <c r="JP312" s="218" t="e">
        <f ca="1">MIN(($IY312+$IO312)*Control!$C$151, $JF312-$EH312*Control!$C$161)</f>
        <v>#N/A</v>
      </c>
      <c r="JQ312" s="218" t="e">
        <f t="shared" ca="1" si="1001"/>
        <v>#N/A</v>
      </c>
      <c r="JR312" s="217" t="e">
        <f ca="1">IF($CP312-Control!$C$150&lt;0, 0, $JQ312/Control!$C$162)</f>
        <v>#N/A</v>
      </c>
      <c r="JS312" s="218" t="e">
        <f t="shared" ca="1" si="1002"/>
        <v>#N/A</v>
      </c>
      <c r="JT312" s="218" t="e">
        <f t="shared" ca="1" si="1110"/>
        <v>#N/A</v>
      </c>
      <c r="JU312" s="218" t="e">
        <f t="shared" ca="1" si="1003"/>
        <v>#N/A</v>
      </c>
      <c r="JV312" s="218" t="e">
        <f t="shared" ca="1" si="1004"/>
        <v>#N/A</v>
      </c>
      <c r="JW312" s="216" t="e">
        <f t="shared" ca="1" si="1005"/>
        <v>#N/A</v>
      </c>
      <c r="JX312" s="91" t="e">
        <f t="shared" ca="1" si="1006"/>
        <v>#N/A</v>
      </c>
      <c r="JY312" s="218" t="e">
        <f t="shared" ca="1" si="1007"/>
        <v>#N/A</v>
      </c>
      <c r="JZ312" s="217" t="e">
        <f ca="1">IF(Control!$C$114=1,($IZ312/(IF($JI312&lt;&gt;0,$JI312,1)))*$JK312, 0)</f>
        <v>#N/A</v>
      </c>
      <c r="KA312" s="218" t="e">
        <f t="shared" ca="1" si="1145"/>
        <v>#N/A</v>
      </c>
      <c r="KB312" s="218" t="e">
        <f t="shared" ca="1" si="1111"/>
        <v>#N/A</v>
      </c>
      <c r="KC312" s="218" t="e">
        <f t="shared" ca="1" si="1008"/>
        <v>#N/A</v>
      </c>
      <c r="KD312" s="218" t="e">
        <f t="shared" ca="1" si="1009"/>
        <v>#N/A</v>
      </c>
      <c r="KE312" s="218" t="e">
        <f t="shared" ca="1" si="1010"/>
        <v>#N/A</v>
      </c>
      <c r="KF312" s="218" t="e">
        <f t="shared" ca="1" si="1011"/>
        <v>#N/A</v>
      </c>
      <c r="KG312" s="216" t="e">
        <f t="shared" ca="1" si="1012"/>
        <v>#N/A</v>
      </c>
      <c r="KH312" s="221" t="e">
        <f ca="1">IF(Control!$B$24=0,1,MAX(0.001,MIN(1,IF(($IF312-$IE312)&lt;&gt;0,($KG312-$IE312)/($IF312-$IE312),1))))</f>
        <v>#N/A</v>
      </c>
      <c r="KI312" s="222" t="e">
        <f ca="1">IF(Control!$C$114=1, $KI311+ $KH311, 0)</f>
        <v>#N/A</v>
      </c>
      <c r="KJ312" s="217" t="e">
        <f t="shared" ca="1" si="1013"/>
        <v>#N/A</v>
      </c>
      <c r="KK312" s="218" t="e">
        <f t="shared" ca="1" si="1014"/>
        <v>#N/A</v>
      </c>
      <c r="KL312" s="274" t="e">
        <f ca="1">IF(Control!$B$26=3,4000000000*EXP(-8400/($G312+273)),IF(Control!$B$26=4,4000000000*EXP(-8400/($G312+273))*($KT312),0))</f>
        <v>#DIV/0!</v>
      </c>
      <c r="KM312" s="274" t="e">
        <f ca="1">IF(Control!$B$26=3,5600000000000*EXP(-9800/($G312+273)),IF(Control!$B$26=4,5600000000000*EXP(-9800/($G312+273))*$KT312,0))</f>
        <v>#DIV/0!</v>
      </c>
      <c r="KN312" s="454" t="e">
        <f t="shared" ca="1" si="1112"/>
        <v>#DIV/0!</v>
      </c>
      <c r="KO312" s="274" t="e">
        <f t="shared" ca="1" si="1113"/>
        <v>#DIV/0!</v>
      </c>
      <c r="KP312" s="454" t="e">
        <f t="shared" ca="1" si="1015"/>
        <v>#DIV/0!</v>
      </c>
      <c r="KQ312" s="454" t="e">
        <f t="shared" ca="1" si="1016"/>
        <v>#DIV/0!</v>
      </c>
      <c r="KR312" s="454" t="e">
        <f t="shared" ca="1" si="1017"/>
        <v>#DIV/0!</v>
      </c>
      <c r="KS312" s="454" t="e">
        <f t="shared" ca="1" si="1018"/>
        <v>#DIV/0!</v>
      </c>
      <c r="KT312" s="455" t="e">
        <f t="shared" ca="1" si="1019"/>
        <v>#DIV/0!</v>
      </c>
      <c r="KU312" s="456" t="e">
        <f ca="1">IF($CP312-Control!$C$149&lt;0, IF($NT312-0.01&lt;0,0,1),0)</f>
        <v>#N/A</v>
      </c>
      <c r="KV312" s="456" t="e">
        <f ca="1">IF(Control!$C$114=1,MAX(0,MIN(Control!$C$125*$KW312*$GN312,$KW312)))</f>
        <v>#DIV/0!</v>
      </c>
      <c r="KW312" s="456" t="e">
        <f t="shared" ca="1" si="1146"/>
        <v>#DIV/0!</v>
      </c>
      <c r="KX312" s="457" t="e">
        <f ca="1">IF($CP312-Control!$C$149&lt;0, IF($MR312-$OM312&lt;0,0,1),0)</f>
        <v>#N/A</v>
      </c>
      <c r="KY312" s="167">
        <f t="shared" ca="1" si="1114"/>
        <v>308</v>
      </c>
      <c r="KZ312" s="168">
        <f ca="1">1370*(1+0.033*COS(2*Control!$C$138*$AH312/365))</f>
        <v>1395.1380142039752</v>
      </c>
      <c r="LA312" s="169">
        <f t="shared" ca="1" si="1115"/>
        <v>1.0183485754096824</v>
      </c>
      <c r="LB312" s="169">
        <f t="shared" ca="1" si="1116"/>
        <v>-0.28483171894492193</v>
      </c>
      <c r="LC312" s="169">
        <f ca="1">ACOS(-TAN((2*Control!$B$8/360))*TAN(Calculations!$LB312))</f>
        <v>1.4836671658721676</v>
      </c>
      <c r="LD312" s="169">
        <f ca="1">((24*60)/PI())*0.082*$LA312*(($LC312*SIN(Control!$B$8*2*PI()/360))*SIN($LB312)+COS(Control!$B$8*2*PI()/360)*COS($LB312)*SIN($LC312))</f>
        <v>9.9550953265716391</v>
      </c>
      <c r="LE312" s="170">
        <f t="shared" ca="1" si="1020"/>
        <v>11.13984129897</v>
      </c>
      <c r="LF312" s="170">
        <f ca="1">SIN(Control!$C$139*Control!$B$8)*SIN($HD312)</f>
        <v>-0.21643369626358067</v>
      </c>
      <c r="LG312" s="170">
        <f ca="1">COS(Control!$C$139*Control!$B$8)*COS($HD312)</f>
        <v>0.59198277393160437</v>
      </c>
      <c r="LH312" s="170">
        <f ca="1">12*(1+2*ASIN(MAX(-1,MIN(1,$LF312/$LG312))/Control!$C$138))</f>
        <v>9.2006231031154666</v>
      </c>
      <c r="LI312" s="170">
        <f ca="1">12*(1+2*ASIN(MAX(-1,MIN(1,(-SIN(-4*Control!$C$139)+$LF312)/$LG312))/Control!$C$138))</f>
        <v>10.105194035937966</v>
      </c>
      <c r="LJ312" s="168">
        <f ca="1">3600*($LH312*$LF312+24*$LG312*SQRT(1-$LK312*$LK312)/Control!$C$138)</f>
        <v>7984.7593467848164</v>
      </c>
      <c r="LK312" s="170">
        <f t="shared" ca="1" si="1021"/>
        <v>-0.36560809840150293</v>
      </c>
      <c r="LL312" s="170">
        <f t="shared" ca="1" si="1022"/>
        <v>0</v>
      </c>
      <c r="LM312" s="171">
        <f ca="1">Control!$C$145*$AB312</f>
        <v>6.6660906138995932E-2</v>
      </c>
      <c r="LN312" s="170">
        <f t="shared" ca="1" si="1117"/>
        <v>0.54</v>
      </c>
      <c r="LO312" s="170">
        <f t="shared" ca="1" si="1023"/>
        <v>0</v>
      </c>
      <c r="LP312" s="170">
        <f ca="1">Control!$C$140*((($D312+273.16)^4+($E312+273.16)^4)/2)*(0.34-0.14*SQRT($Y312))*(1.35*$AQ312/(0.75*$LD312)-0.35)</f>
        <v>-3.2464704755046001</v>
      </c>
      <c r="LQ312" s="170">
        <f ca="1">Control!$C$140*($G312+273)^4*(0.56-0.079*SQRT($Y312*10))*(0.1+0.9*$LO312)</f>
        <v>1.5241745131704001</v>
      </c>
      <c r="LR312" s="170">
        <f ca="1">$AQ312*(1-Control!$C$142)-$LQ312</f>
        <v>-1.5241745131704001</v>
      </c>
      <c r="LS312" s="170">
        <f ca="1">$AQ312*(1-Control!$C$143)-$LQ312</f>
        <v>-1.5241745131704001</v>
      </c>
      <c r="LT312" s="170">
        <f ca="1">$AQ312*(1-Control!$C$144)-$LQ312</f>
        <v>-1.5241745131704001</v>
      </c>
      <c r="LU312" s="169">
        <f ca="1">(1-Control!$C$144)*AQ312-LP312</f>
        <v>3.2464704755046001</v>
      </c>
      <c r="LV312" s="172">
        <f t="shared" ca="1" si="1024"/>
        <v>0.79430000000000012</v>
      </c>
      <c r="LW312" s="170">
        <f t="shared" ca="1" si="1025"/>
        <v>1.5886000000000002</v>
      </c>
      <c r="LX312" s="170">
        <f ca="1">($AC312*($LR312/Control!$C$141)+$LM312*$LV312)/($AC312+$LM312)</f>
        <v>0.23530094218323697</v>
      </c>
      <c r="LY312" s="170">
        <f ca="1">($AC312*($LS312/Control!$C$141)+$LM312*$LV312)/($AC312+$LM312)</f>
        <v>0.23530094218323697</v>
      </c>
      <c r="LZ312" s="170">
        <f t="shared" ca="1" si="1026"/>
        <v>0.23530094218323697</v>
      </c>
      <c r="MA312" s="170">
        <f t="shared" ca="1" si="1027"/>
        <v>0.23530094218323697</v>
      </c>
      <c r="MB312" s="170" t="e">
        <f t="shared" ca="1" si="1028"/>
        <v>#N/A</v>
      </c>
      <c r="MC312" s="170">
        <f t="shared" ca="1" si="1118"/>
        <v>0.6018</v>
      </c>
      <c r="MD312" s="170">
        <f t="shared" ca="1" si="1029"/>
        <v>0.52989392535414004</v>
      </c>
      <c r="ME312" s="170">
        <f ca="1">($AC312*($LT312/Control!$C$141)+$LM312*$LW312)/($AC312+$LM312)</f>
        <v>0.71612369323045078</v>
      </c>
      <c r="MF312" s="170" t="e">
        <f ca="1">IF(Control!$B$16&gt;=1000,0.92,IF(AND(720&lt;=Control!$B$16,1000&gt;Control!$B$16),(0.95+(Control!$B$16-720)*((0.92-0.95)/(1000-720))),IF(AND(360&lt;=Control!$B$16,720&gt;Control!$B$16),(1+(Control!$B$16-360)*((0.95-1)/(720-360))),IF(AND(40&lt;=Control!$B$16,360&gt;Control!$B$16),(1.05+(Control!$B$16-40)*((1.05-1)/(360-40)))))))</f>
        <v>#N/A</v>
      </c>
      <c r="MG312" s="170">
        <f t="shared" ca="1" si="1030"/>
        <v>0.71612369323045078</v>
      </c>
      <c r="MH312" s="170" t="e">
        <f t="shared" ca="1" si="1157"/>
        <v>#N/A</v>
      </c>
      <c r="MI312" s="170" t="e">
        <f t="shared" ca="1" si="1157"/>
        <v>#N/A</v>
      </c>
      <c r="MJ312" s="170" t="e">
        <f ca="1">MAX(0.0001, Control!$C$132*$MI312*$DL312)</f>
        <v>#N/A</v>
      </c>
      <c r="MK312" s="170">
        <f ca="1">1/(0.76+1.5*($MG312/10))-(5-Control!$C$110)*0.1</f>
        <v>1.002845988140797</v>
      </c>
      <c r="ML312" s="173">
        <f ca="1">IF(Control!$C$110&lt;3,$MK312+($MG312-0.6)/(Control!$C$110*(Control!$C$110+3)), MAX(0.1, MIN(0.95,$MK312)))</f>
        <v>0.95</v>
      </c>
      <c r="MM312" s="173">
        <f ca="1">IF(Control!$C$110&lt;3,$MK312+(($MI312/10)-0.6)/(Control!$C$110*(Control!$C$110+3)), MAX(0.1, MIN(0.95,$MK312)))</f>
        <v>0.95</v>
      </c>
      <c r="MN312" s="173">
        <f ca="1">(1-$MM312)*(Control!$C$128-Control!$C$127)+Control!$C$127</f>
        <v>0.16</v>
      </c>
      <c r="MO312" s="170" t="e">
        <f ca="1">MAX(0,MIN(1,($MS312-Control!$C$127)/($MN312-Control!$C$127)))</f>
        <v>#DIV/0!</v>
      </c>
      <c r="MP312" s="173" t="e">
        <f ca="1">1/(0.76+1.5*$MI312)-(5-Control!$C$110)*0.1</f>
        <v>#N/A</v>
      </c>
      <c r="MQ312" s="172" t="e">
        <f t="shared" ca="1" si="1147"/>
        <v>#DIV/0!</v>
      </c>
      <c r="MR312" s="168" t="e">
        <f t="shared" ca="1" si="1119"/>
        <v>#DIV/0!</v>
      </c>
      <c r="MS312" s="173" t="e">
        <f ca="1">MAX(Control!$C$127, MIN(Control!$C$135, $MR312/MAX(0.0001,$CY312)))</f>
        <v>#DIV/0!</v>
      </c>
      <c r="MT312" s="168" t="e">
        <f ca="1">(Control!$C$128-$MS312)*Control!$C$74</f>
        <v>#DIV/0!</v>
      </c>
      <c r="MU312" s="168" t="e">
        <f ca="1">(Control!$C$135-$MS312)*Control!$C$74</f>
        <v>#DIV/0!</v>
      </c>
      <c r="MV312" s="168" t="e">
        <f t="shared" ca="1" si="1120"/>
        <v>#DIV/0!</v>
      </c>
      <c r="MW312" s="168" t="e">
        <f t="shared" ca="1" si="1121"/>
        <v>#DIV/0!</v>
      </c>
      <c r="MX312" s="171" t="e">
        <f ca="1">MAX(Control!$C$127, MIN(Control!$C$135, $MW312/MAX(0.0001,Control!$C$119-$CY312)))</f>
        <v>#DIV/0!</v>
      </c>
      <c r="MY312" s="54" t="e">
        <f ca="1">IF(Control!$C$114=1, $CX312*$MX312, 0)</f>
        <v>#DIV/0!</v>
      </c>
      <c r="MZ312" s="54" t="e">
        <f t="shared" ca="1" si="1122"/>
        <v>#N/A</v>
      </c>
      <c r="NA312" s="168" t="e">
        <f ca="1">(Control!$C$128-$MX312)*(Control!$C$119-Control!$C$74)</f>
        <v>#DIV/0!</v>
      </c>
      <c r="NB312" s="168" t="e">
        <f ca="1">(Control!$C$135-$MX312)*(Control!$C$119-Control!$C$74)</f>
        <v>#DIV/0!</v>
      </c>
      <c r="NC312" s="174" t="e">
        <f t="shared" ca="1" si="1123"/>
        <v>#DIV/0!</v>
      </c>
      <c r="ND312" s="54">
        <f ca="1">IF(Control!$C$58=2, IF(OR(Control!$B$218=$AH312,Control!$B$219=$AH312, Control!$B$220=$AH312, Control!$B$221=$AH312, Control!$B$222=$AH312, Control!$B$223=$AH312, Control!$B$224=$AH312, Control!$B$225=$AH312, Control!$B$226=$AH312, Control!$B$227=$AH312, Control!$B$228=$AH312), 1, 0), 0)</f>
        <v>0</v>
      </c>
      <c r="NE312" s="54">
        <f ca="1">IF($ND312=0,0, VLOOKUP($AH312,Control!$B$218:$C$228,2))</f>
        <v>0</v>
      </c>
      <c r="NF312" s="168" t="e">
        <f ca="1">$CY312*(Control!$C$128-Control!$C$127)</f>
        <v>#N/A</v>
      </c>
      <c r="NG312" s="54" t="e">
        <f ca="1">IF(Control!$C$58=2, $NI311-$NJ311, 0)</f>
        <v>#DIV/0!</v>
      </c>
      <c r="NH312" s="54" t="e">
        <f ca="1">IF(AND(Control!$C$58=1, $MS311&lt;= ($MN311+0.02), $I311&lt;10), 0, IF(Control!$C$58=2, $NG311, 0))</f>
        <v>#DIV/0!</v>
      </c>
      <c r="NI312" s="54" t="e">
        <f ca="1">IF(Control!$C$58=2, $NE312+$NH312,0)</f>
        <v>#DIV/0!</v>
      </c>
      <c r="NJ312" s="54" t="e">
        <f ca="1">IF(AND(Control!$C$58=1, $MS312&lt;= ($MN312+0.02), $I312&lt;10), MAX(0, MIN(10, 0.7*($NF312-$MV312))), IF(Control!$C$58=2, MIN(10,$NI312),0))</f>
        <v>#DIV/0!</v>
      </c>
      <c r="NK312" s="54" t="e">
        <f t="shared" ca="1" si="1031"/>
        <v>#DIV/0!</v>
      </c>
      <c r="NL312" s="173" t="e">
        <f ca="1">(1-Control!$C$73)*$I312+$NJ312</f>
        <v>#DIV/0!</v>
      </c>
      <c r="NM312" s="172" t="e">
        <f ca="1">IF($NL312&lt;0.5, $MB312* MAX(0, MIN(1, (SQRT($NC312)-SQRT($NC312-1))*Control!$C$71)),0)</f>
        <v>#DIV/0!</v>
      </c>
      <c r="NN312" s="170" t="e">
        <f ca="1">IF($NL312&gt;=5, $MB312, MAX(0,MIN($MB312, $NM312+$NL312,($MS312-Control!$C$129))))</f>
        <v>#DIV/0!</v>
      </c>
      <c r="NO312" s="54">
        <f>IF(Control!$C$133&lt;&gt;1, Control!$C$135-Control!$C$131, 0)</f>
        <v>0.38</v>
      </c>
      <c r="NP312" s="54" t="e">
        <f t="shared" ca="1" si="1032"/>
        <v>#DIV/0!</v>
      </c>
      <c r="NQ312" s="173" t="e">
        <f ca="1">MAX(0,MIN(1,(Control!$C$135-$MS312)/(Control!$C$135-$NO312)))</f>
        <v>#DIV/0!</v>
      </c>
      <c r="NR312" s="170" t="e">
        <f ca="1">IF(Control!$C$133&lt;&gt;1, $NQ312+((1-$NP312/4)*(1-$NQ312)),1)</f>
        <v>#DIV/0!</v>
      </c>
      <c r="NS312" s="170" t="e">
        <f ca="1">IF(Control!$B$31=0,$MJ312,MAX(0,MIN($MV312,$MO312*$NR312*$MJ312)))</f>
        <v>#DIV/0!</v>
      </c>
      <c r="NT312" s="170" t="e">
        <f t="shared" ca="1" si="1148"/>
        <v>#DIV/0!</v>
      </c>
      <c r="NU312" s="170" t="e">
        <f t="shared" ca="1" si="1124"/>
        <v>#N/A</v>
      </c>
      <c r="NV312" s="170" t="e">
        <f t="shared" ca="1" si="1033"/>
        <v>#N/A</v>
      </c>
      <c r="NW312" s="175" t="e">
        <f t="shared" ca="1" si="1034"/>
        <v>#DIV/0!</v>
      </c>
      <c r="NX312" s="170" t="e">
        <f ca="1">MIN(Control!$C$72+$MU312, $NW312)</f>
        <v>#DIV/0!</v>
      </c>
      <c r="NY312" s="170" t="e">
        <f ca="1">IF($MT312&lt;=$NX312,MIN(Control!$C$72+$NB312,$NX312-$MT312),0)</f>
        <v>#DIV/0!</v>
      </c>
      <c r="NZ312" s="54" t="e">
        <f ca="1">IF(Control!$C$114=1,  $CX312*($MX312-Control!$C$127), 0)</f>
        <v>#DIV/0!</v>
      </c>
      <c r="OA312" s="170" t="e">
        <f t="shared" ca="1" si="1035"/>
        <v>#DIV/0!</v>
      </c>
      <c r="OB312" s="170" t="e">
        <f ca="1">IF($NA312 &lt;=$NY312, MIN(Control!$C$72, $NY312-$NA312), 0)</f>
        <v>#DIV/0!</v>
      </c>
      <c r="OC312" s="168" t="e">
        <f t="shared" ca="1" si="1036"/>
        <v>#DIV/0!</v>
      </c>
      <c r="OD312" s="168" t="e">
        <f t="shared" ca="1" si="1125"/>
        <v>#DIV/0!</v>
      </c>
      <c r="OE312" s="170">
        <f ca="1">Control!$C$73*$I312</f>
        <v>0</v>
      </c>
      <c r="OF312" s="176" t="e">
        <f t="shared" ca="1" si="1037"/>
        <v>#DIV/0!</v>
      </c>
      <c r="OG312" s="168" t="e">
        <f t="shared" ca="1" si="1038"/>
        <v>#DIV/0!</v>
      </c>
      <c r="OH312" s="168" t="e">
        <f t="shared" ca="1" si="1039"/>
        <v>#DIV/0!</v>
      </c>
      <c r="OI312" s="168" t="e">
        <f t="shared" ca="1" si="1040"/>
        <v>#DIV/0!</v>
      </c>
      <c r="OJ312" s="168" t="e">
        <f t="shared" ca="1" si="1041"/>
        <v>#DIV/0!</v>
      </c>
      <c r="OK312" s="204" t="e">
        <f t="shared" ca="1" si="1042"/>
        <v>#DIV/0!</v>
      </c>
      <c r="OL312" s="177">
        <f>Control!$C$127</f>
        <v>0.15</v>
      </c>
      <c r="OM312" s="182" t="e">
        <f t="shared" ca="1" si="1043"/>
        <v>#N/A</v>
      </c>
      <c r="ON312" s="177">
        <f>Control!$C$128</f>
        <v>0.35</v>
      </c>
      <c r="OO312" s="182" t="e">
        <f t="shared" ca="1" si="1044"/>
        <v>#N/A</v>
      </c>
      <c r="OP312" s="138">
        <f t="shared" ca="1" si="1126"/>
        <v>0</v>
      </c>
      <c r="OQ312" s="138" t="e">
        <f t="shared" ca="1" si="1149"/>
        <v>#DIV/0!</v>
      </c>
      <c r="OR312" s="138" t="e">
        <f t="shared" ca="1" si="1127"/>
        <v>#DIV/0!</v>
      </c>
      <c r="OS312" s="137" t="e">
        <f t="shared" ca="1" si="1150"/>
        <v>#DIV/0!</v>
      </c>
      <c r="OT312" s="139" t="e">
        <f t="shared" ca="1" si="1151"/>
        <v>#DIV/0!</v>
      </c>
      <c r="OU312" s="138" t="e">
        <f t="shared" ca="1" si="1152"/>
        <v>#N/A</v>
      </c>
      <c r="OV312" s="138" t="e">
        <f t="shared" ca="1" si="1153"/>
        <v>#DIV/0!</v>
      </c>
      <c r="OW312" s="138" t="e">
        <f t="shared" ca="1" si="1128"/>
        <v>#DIV/0!</v>
      </c>
      <c r="OX312" s="138" t="e">
        <f t="shared" ca="1" si="1129"/>
        <v>#DIV/0!</v>
      </c>
      <c r="OY312" s="138" t="e">
        <f t="shared" ca="1" si="1130"/>
        <v>#DIV/0!</v>
      </c>
      <c r="OZ312" s="138" t="e">
        <f t="shared" ca="1" si="1045"/>
        <v>#DIV/0!</v>
      </c>
      <c r="PA312" s="138" t="e">
        <f t="shared" ca="1" si="1046"/>
        <v>#DIV/0!</v>
      </c>
      <c r="PB312" s="55">
        <f>IF(Control!$C$61="T", IF(Control!$C$65="F", IF($AH$6-Control!$C$60&lt;0,0,1), IF(365+$AH$6-Control!$C$60&lt;0,0,1)),0)</f>
        <v>0</v>
      </c>
      <c r="PC312" s="55">
        <f ca="1">IF(Control!$C$65="F", IF($AH$6-$HF312&lt;0,0,1), IF(365+$AH$6-$HF312&lt;0,0,1))</f>
        <v>1</v>
      </c>
      <c r="PD312" s="444">
        <f>Control!$C$118</f>
        <v>1500</v>
      </c>
      <c r="PE312" s="180" t="e">
        <f t="shared" ca="1" si="1047"/>
        <v>#N/A</v>
      </c>
      <c r="PF312" s="445">
        <f t="shared" ca="1" si="1131"/>
        <v>0.71612369323045078</v>
      </c>
      <c r="PT312" s="186"/>
      <c r="PU312" s="186"/>
      <c r="PV312" s="94"/>
      <c r="PW312" s="94"/>
      <c r="PX312" s="94"/>
      <c r="PY312" s="94"/>
      <c r="PZ312" s="94"/>
      <c r="QA312" s="94"/>
      <c r="QB312" s="94"/>
      <c r="QC312" s="94"/>
      <c r="QD312" s="94"/>
      <c r="QE312" s="94"/>
      <c r="QF312" s="94"/>
      <c r="QG312" s="94"/>
      <c r="QH312" s="94"/>
      <c r="QI312" s="94"/>
      <c r="QJ312" s="94"/>
      <c r="QK312" s="94"/>
      <c r="QL312" s="94"/>
      <c r="QM312" s="94"/>
      <c r="QN312" s="94"/>
      <c r="QO312" s="94"/>
      <c r="QP312" s="94"/>
    </row>
    <row r="313" spans="1:458" s="2" customFormat="1" x14ac:dyDescent="0.2">
      <c r="A313" s="395">
        <v>4</v>
      </c>
      <c r="B313" s="396">
        <v>11</v>
      </c>
      <c r="C313" s="387">
        <f ca="1">Weather_data!$B312</f>
        <v>0</v>
      </c>
      <c r="D313" s="388">
        <f ca="1">Weather_data!$F312</f>
        <v>0</v>
      </c>
      <c r="E313" s="388">
        <f ca="1">Weather_data!$E312</f>
        <v>0</v>
      </c>
      <c r="F313" s="388">
        <f t="shared" ca="1" si="1048"/>
        <v>0</v>
      </c>
      <c r="G313" s="388">
        <f ca="1">AVERAGE($D313:$E313)+Control!$B$9</f>
        <v>0</v>
      </c>
      <c r="H313" s="388">
        <f ca="1">Weather_data!$G312</f>
        <v>0</v>
      </c>
      <c r="I313" s="388">
        <f ca="1">Weather_data!$I312</f>
        <v>0</v>
      </c>
      <c r="J313" s="388">
        <f ca="1">Weather_data!$H312</f>
        <v>0</v>
      </c>
      <c r="K313" s="389">
        <f ca="1">Weather_data!$D312</f>
        <v>0</v>
      </c>
      <c r="L313" s="388" t="e">
        <f t="shared" ca="1" si="1049"/>
        <v>#N/A</v>
      </c>
      <c r="M313" s="388" t="e">
        <f t="shared" ca="1" si="927"/>
        <v>#N/A</v>
      </c>
      <c r="N313" s="388">
        <f t="shared" ca="1" si="928"/>
        <v>-4.4814690579610714E-15</v>
      </c>
      <c r="O313" s="388">
        <f t="shared" ca="1" si="1050"/>
        <v>4.4814690579610711E-14</v>
      </c>
      <c r="P313" s="390">
        <v>3</v>
      </c>
      <c r="Q313" s="388">
        <f ca="1">MAX($G313-Control!$C$107,0)</f>
        <v>0</v>
      </c>
      <c r="R313" s="388">
        <f t="shared" ca="1" si="1051"/>
        <v>0</v>
      </c>
      <c r="S313" s="388">
        <f t="shared" ca="1" si="929"/>
        <v>0</v>
      </c>
      <c r="T313" s="388">
        <f t="shared" ca="1" si="930"/>
        <v>0</v>
      </c>
      <c r="U313" s="59">
        <f t="shared" ca="1" si="931"/>
        <v>0</v>
      </c>
      <c r="V313" s="391">
        <f ca="1">MAX(0,MIN(Control!$C$100-Control!$C$99,$G313-Control!$C$99)*Control!$C$63)</f>
        <v>0</v>
      </c>
      <c r="W313" s="388">
        <f t="shared" ca="1" si="1052"/>
        <v>0</v>
      </c>
      <c r="X313" s="388">
        <f t="shared" ca="1" si="1053"/>
        <v>0.6110000000000001</v>
      </c>
      <c r="Y313" s="388">
        <f t="shared" ca="1" si="932"/>
        <v>0</v>
      </c>
      <c r="Z313" s="388">
        <f t="shared" ca="1" si="1054"/>
        <v>0.61058800000000002</v>
      </c>
      <c r="AA313" s="388">
        <f t="shared" ca="1" si="933"/>
        <v>0.6018</v>
      </c>
      <c r="AB313" s="388">
        <f ca="1">101.3*EXP(-0.034*Control!$C$66/($G313+273))</f>
        <v>100.69623283836242</v>
      </c>
      <c r="AC313" s="392">
        <f t="shared" ca="1" si="934"/>
        <v>4.3460251046025113E-2</v>
      </c>
      <c r="AD313" s="392">
        <f t="shared" ca="1" si="935"/>
        <v>4.4450382862832649E-2</v>
      </c>
      <c r="AE313" s="388">
        <f t="shared" ca="1" si="936"/>
        <v>0</v>
      </c>
      <c r="AF313" s="388">
        <f ca="1">MAX(0,$G313-Control!$C$92)</f>
        <v>0</v>
      </c>
      <c r="AG313" s="393">
        <f t="shared" ca="1" si="937"/>
        <v>309</v>
      </c>
      <c r="AH313" s="389">
        <f t="shared" ca="1" si="938"/>
        <v>309</v>
      </c>
      <c r="AI313" s="388">
        <f t="shared" ca="1" si="1055"/>
        <v>-0.28335049233709653</v>
      </c>
      <c r="AJ313" s="388">
        <f ca="1">IF(Control!$C$60&lt;=0,$HH313,$HI313)</f>
        <v>1</v>
      </c>
      <c r="AK313" s="388">
        <f t="shared" ca="1" si="939"/>
        <v>3.9420532475181509</v>
      </c>
      <c r="AL313" s="388">
        <f t="shared" ca="1" si="940"/>
        <v>-4.5085862127036689E-18</v>
      </c>
      <c r="AM313" s="388">
        <f t="shared" ca="1" si="941"/>
        <v>3.9420532475181509</v>
      </c>
      <c r="AN313" s="388">
        <f t="shared" ca="1" si="942"/>
        <v>-0.28951962555577554</v>
      </c>
      <c r="AO313" s="388">
        <f ca="1">-0.10453/COS(Control!$B$8*PI()/180)*COS(AN313)</f>
        <v>-0.16271860988286685</v>
      </c>
      <c r="AP313" s="388">
        <f ca="1">ACOS(AO313-TAN(Control!$B$8*PI()/180)*TAN(AN313))</f>
        <v>1.3504548760366517</v>
      </c>
      <c r="AQ313" s="388">
        <f t="shared" ca="1" si="1056"/>
        <v>0</v>
      </c>
      <c r="AR313" s="394">
        <f t="shared" ca="1" si="943"/>
        <v>0</v>
      </c>
      <c r="AS313" s="436">
        <f ca="1">IF(Control!$B$18=2,(IF(OR($AH313=Control!$B$175,$AH313=Control!$B$176,$AH313=Control!$B$177,$AH313=Control!$B$178,$AH313=Control!$B$179,$AH313=Control!$B$180,$AH313=Control!$B$181,$AH313=Control!$B$182,$AH313=Control!$B$183,$AH313=Control!$B$184,$AH313=Control!$B$185),1,0)),0)</f>
        <v>0</v>
      </c>
      <c r="AT313" s="436">
        <f>IF(Control!$B$20=8,IF(AND($AH313&gt;=Control!$B$172,$AH313&lt;=Control!$B$173),1,0),0)</f>
        <v>0</v>
      </c>
      <c r="AU313" s="436">
        <f>IF(Control!$B$20=8,IF($AV312=1,1*$AT313,IF($AT313=1,$AU312+1,$AU312)),0)</f>
        <v>0</v>
      </c>
      <c r="AV313" s="436">
        <f>IF(Control!$B$20=8,IF($AU313&gt;=Control!$B$174,1,0),0)</f>
        <v>0</v>
      </c>
      <c r="AW313" s="436">
        <f ca="1">IF(AND(Control!$B$18=2,Control!$B$171=1), $AV313, $AS313)</f>
        <v>0</v>
      </c>
      <c r="AX313" s="436" t="e">
        <f ca="1">IF(AND(Control!$B$18=1,$EU313&gt;=Control!$B$19),-$AY313,IF(AND(Control!$B$18=2,$AW313=1,$EU313&gt;$DS313),-$AY313, IF(Control!$C$108=0,0, IF(Control!$C$108&lt;&gt;0,1))))</f>
        <v>#N/A</v>
      </c>
      <c r="AY313" s="436" t="e">
        <f t="shared" ca="1" si="1057"/>
        <v>#N/A</v>
      </c>
      <c r="AZ313" s="436" t="e">
        <f ca="1">IF(AND(Control!$B$18=1,$EB313&gt;Control!$B$19),$AZ312+1, IF(AND(Control!$B$18=2, $AW313=1, $EB313&gt;$DS313), $AZ312+1,$AZ312))</f>
        <v>#N/A</v>
      </c>
      <c r="BA313" s="587">
        <f>IF(Control!$C$81=0,1,IF($AH313&gt;=Control!$C$82,1,0))</f>
        <v>1</v>
      </c>
      <c r="BB313" s="140" t="e">
        <f ca="1">IF($BA313&gt;$BA312,Control!$C$83,IF($AW313&gt;0,$AW313*Control!$C$84,IF(AND(Control!$B$18=1,EN312&lt;&gt;0),Control!$C$84,0)))</f>
        <v>#N/A</v>
      </c>
      <c r="BC313" s="140" t="e">
        <f t="shared" ca="1" si="1058"/>
        <v>#N/A</v>
      </c>
      <c r="BD313" s="140" t="e">
        <f ca="1">BC313*IF(OR($G313&lt;Control!$C$92,$G313&gt;Control!$C$95),0,IF(AND($G313&gt;=Control!$C$92,$G313&lt;=Control!$C$93),$G313-Control!$C$92,IF(AND($G313&gt;Control!$C$93,$G313&lt;=Control!$C$94),Control!$C$93-Control!$C$92,IF(AND($G313&gt;Control!$C$94,$G313&lt;=Control!$C$95),(Control!$C$93-Control!$C$92)*(Control!$C$94-$G313)/(Control!$C$95-Control!$C$94)))))</f>
        <v>#N/A</v>
      </c>
      <c r="BE313" s="140" t="e">
        <f t="shared" ca="1" si="1059"/>
        <v>#N/A</v>
      </c>
      <c r="BF313" s="140" t="e">
        <f ca="1">IF($BE313&lt;=Control!$C$86,$BE313,Control!$C$86-$BE313)</f>
        <v>#N/A</v>
      </c>
      <c r="BG313" s="140" t="e">
        <f ca="1">IF(AND($AW313=1,Control!$C$84&lt;9),1,IF($BE313&gt;=Control!$C$86,0,$BC313))</f>
        <v>#N/A</v>
      </c>
      <c r="BH313" s="404" t="e">
        <f ca="1">IF($BG313=0,0,IF($BE313&lt;=Control!$C$86,$BC313*9*($BF313/Control!$C$86),0))</f>
        <v>#N/A</v>
      </c>
      <c r="BI313" s="140" t="e">
        <f ca="1">IF($BG313=1,0,IF($BE313&gt;=Control!$C$86,1,IF(AND($BB313&lt;21,$BB313&gt;=9),1,$BM312)))</f>
        <v>#N/A</v>
      </c>
      <c r="BJ313" s="140" t="e">
        <f ca="1">IF($BF313&lt;0,-$BF313,$BI313*IF(OR($G313&lt;Control!$C$92,$G313&gt;Control!$C$95),0,IF(AND($G313&gt;=Control!$C$92,$G313&lt;=Control!$C$93),$G313-Control!$C$92,IF(AND($G313&gt;Control!$C$93,$G313&lt;=Control!$C$94),Control!$C$93-Control!$C$92,IF(AND($G313&gt;Control!$C$94,$G313&lt;=Control!$C$95),(Control!$C$93-Control!$C$92)*(Control!$C$94-$G313)/(Control!$C$95-Control!$C$94))))))</f>
        <v>#N/A</v>
      </c>
      <c r="BK313" s="140" t="e">
        <f t="shared" ca="1" si="1060"/>
        <v>#N/A</v>
      </c>
      <c r="BL313" s="140" t="e">
        <f ca="1">IF($BK313&lt;=Control!$C$87,$BK313,Control!$C$87-$BK313)</f>
        <v>#N/A</v>
      </c>
      <c r="BM313" s="140" t="e">
        <f ca="1">IF(AND($BB313&gt;=9,$BB313&lt;21),1,IF($BK313&gt;=Control!$C$87,0,$BI313))</f>
        <v>#N/A</v>
      </c>
      <c r="BN313" s="404" t="e">
        <f ca="1">IF($BM313=0,0,IF($BK313&lt;=Control!$C$87,$BI313*(9+(21-9)*($BL313/Control!$C$87)),0))</f>
        <v>#N/A</v>
      </c>
      <c r="BO313" s="140" t="e">
        <f ca="1">IF($BM313=1,0,IF($BK313&gt;=Control!$C$87,1,IF(AND($BB313&lt;30,$BB313&gt;=21),1,$BS312)))</f>
        <v>#N/A</v>
      </c>
      <c r="BP313" s="140" t="e">
        <f ca="1">IF($BL313&lt;0,-$BL313,$BO313*IF(OR($G313&lt;Control!$C$92,$G313&gt;Control!$C$95),0,IF(AND($G313&gt;=Control!$C$92,$G313&lt;=Control!$C$93),$G313-Control!$C$92,IF(AND($G313&gt;Control!$C$93,$G313&lt;=Control!$C$94),Control!$C$93-Control!$C$92,IF(AND($G313&gt;Control!$C$94,$G313&lt;=Control!$C$95),(Control!$C$93-Control!$C$92)*(Control!$C$94-$G313)/(Control!$C$95-Control!$C$94))))))</f>
        <v>#N/A</v>
      </c>
      <c r="BQ313" s="140" t="e">
        <f t="shared" ca="1" si="944"/>
        <v>#N/A</v>
      </c>
      <c r="BR313" s="140" t="e">
        <f ca="1">IF($BQ313&lt;=Control!$C$88,$BQ313,Control!$C$88-$BQ313)</f>
        <v>#N/A</v>
      </c>
      <c r="BS313" s="140" t="e">
        <f ca="1">IF(AND($BB313&gt;=21,$BB313&lt;30),1,IF($BQ313&gt;=Control!$C$88,0,$BO313))</f>
        <v>#N/A</v>
      </c>
      <c r="BT313" s="404" t="e">
        <f ca="1">IF($BS313=0,0,IF($BQ313&lt;=Control!$C$88,$BO313*(21+(30-21)*(BR313/Control!$C$88)),0))</f>
        <v>#N/A</v>
      </c>
      <c r="BU313" s="140" t="e">
        <f ca="1">IF(BG313+BM313+BS313=1,0,IF(OR(AND($BB313&lt;60,$BB313&gt;=30),$BQ313&gt;=Control!$C$88),1*$BA313,$BY312))</f>
        <v>#N/A</v>
      </c>
      <c r="BV313" s="140" t="e">
        <f ca="1">IF($BR313&lt;0,-$BR313,$BU313*IF(OR($G313&lt;Control!$C$92,$G313&gt;Control!$C$95),0,IF(AND($G313&gt;=Control!$C$92,$G313&lt;=Control!$C$93),$G313-Control!$C$92,IF(AND($G313&gt;Control!$C$93,$G313&lt;=Control!$C$94),Control!$C$93-Control!$C$92,IF(AND($G313&gt;Control!$C$94,$G313&lt;=Control!$C$95),(Control!$C$93-Control!$C$92)*(Control!$C$94-$G313)/(Control!$C$95-Control!$C$94))))))</f>
        <v>#N/A</v>
      </c>
      <c r="BW313" s="140" t="e">
        <f t="shared" ca="1" si="945"/>
        <v>#N/A</v>
      </c>
      <c r="BX313" s="140" t="e">
        <f ca="1">IF($BW313&lt;=Control!$C$89,$BW313,Control!$C$89-$BW313)</f>
        <v>#N/A</v>
      </c>
      <c r="BY313" s="140" t="e">
        <f ca="1">IF(AND($AJ313&gt;=30,$AJ313&lt;60),1,IF($BW313&gt;=Control!$C$89,0,$BU313))</f>
        <v>#N/A</v>
      </c>
      <c r="BZ313" s="404" t="e">
        <f ca="1">IF($BY313=0,0,IF($BW313&lt;=Control!$C$89,$BU313*(30+(60-30)*(BX313/Control!$C$89)),0))</f>
        <v>#N/A</v>
      </c>
      <c r="CA313" s="140" t="e">
        <f ca="1">IF($BG313+$BM313+$BS313+$BY313=1,0,IF(OR(AND($BB313&lt;65,$BB313&gt;=60),$BW313&gt;=Control!$C$89),1*$BA313,$CE312))</f>
        <v>#N/A</v>
      </c>
      <c r="CB313" s="140" t="e">
        <f ca="1">IF($BX313&lt;0,-$BX313,$CA313*IF(OR($G313&lt;Control!$C$92,$G313&gt;Control!$C$95),0,IF(AND($G313&gt;=Control!$C$92,$G313&lt;=Control!$C$93),$G313-Control!$C$92,IF(AND($G313&gt;Control!$C$93,$G313&lt;=Control!$C$94),Control!$C$93-Control!$C$92,IF(AND($G313&gt;Control!$C$94,$G313&lt;=Control!$C$95),(Control!$C$93-Control!$C$92)*(Control!$C$94-$G313)/(Control!$C$95-Control!$C$94))))))</f>
        <v>#N/A</v>
      </c>
      <c r="CC313" s="140" t="e">
        <f t="shared" ca="1" si="1061"/>
        <v>#N/A</v>
      </c>
      <c r="CD313" s="140" t="e">
        <f ca="1">IF($CC313&lt;=Control!$C$90,$CC313,Control!$C$90-$CC313)</f>
        <v>#N/A</v>
      </c>
      <c r="CE313" s="140" t="e">
        <f ca="1">IF(AND($BB313&gt;=60,$BB313&lt;65),1,IF($CC313&gt;=Control!$C$90,0,$CA313))</f>
        <v>#N/A</v>
      </c>
      <c r="CF313" s="404" t="e">
        <f ca="1">IF($CE313=0,0,IF($CC313&lt;=Control!$C$90,$CA313*(60+(65-60)*(CD313/Control!$C$90)),0))</f>
        <v>#N/A</v>
      </c>
      <c r="CG313" s="140" t="e">
        <f ca="1">IF($BG313+$BM313+$BS313+$BY313+$CE313=1,0,IF(OR(AND($BB313&lt;90,$BB313&gt;=65),$CC313&gt;=Control!$C$90),$BA313,$CK312))</f>
        <v>#N/A</v>
      </c>
      <c r="CH313" s="140" t="e">
        <f ca="1">IF($CD313&lt;0,-$CD313,$CG313*IF(OR($G313&lt;Control!$C$92,$G313&gt;Control!$C$95),0,IF(AND($G313&gt;=Control!$C$92,$G313&lt;=Control!$C$93),$G313-Control!$C$92,IF(AND($G313&gt;Control!$C$93,$G313&lt;=Control!$C$94),Control!$C$93-Control!$C$92,IF(AND($G313&gt;Control!$C$94,$G313&lt;=Control!$C$95),(Control!$C$93-Control!$C$92)*(Control!$C$94-$G313)/(Control!$C$95-Control!$C$94))))))</f>
        <v>#N/A</v>
      </c>
      <c r="CI313" s="140" t="e">
        <f t="shared" ca="1" si="1062"/>
        <v>#N/A</v>
      </c>
      <c r="CJ313" s="140" t="e">
        <f ca="1">IF($CI313&lt;=Control!$C$91,$CI313,Control!$C$91-$CI313)</f>
        <v>#N/A</v>
      </c>
      <c r="CK313" s="140" t="e">
        <f ca="1">IF(AND($BB313&gt;=65,$BB313&lt;90),1,IF($CI313&gt;=Control!$C$91,0,$CG313))</f>
        <v>#N/A</v>
      </c>
      <c r="CL313" s="404" t="e">
        <f ca="1">IF($CK313=0,0,IF($CI313&lt;=Control!$C$91,$CG313*(65+(90-65)*($CJ313/Control!$C$91)),0))</f>
        <v>#N/A</v>
      </c>
      <c r="CM313" s="140" t="e">
        <f ca="1">IF($BG313+$BM313+$BS313+$BY313+$CE313+$CK313=1,0,IF(OR($BB313&gt;=90,$CI313&gt;=Control!$C$91),$BA313,$CM312))</f>
        <v>#N/A</v>
      </c>
      <c r="CN313" s="140" t="e">
        <f t="shared" ca="1" si="1063"/>
        <v>#N/A</v>
      </c>
      <c r="CO313" s="140" t="e">
        <f t="shared" ca="1" si="1064"/>
        <v>#N/A</v>
      </c>
      <c r="CP313" s="140" t="e">
        <f t="shared" ca="1" si="1065"/>
        <v>#N/A</v>
      </c>
      <c r="CQ313" s="141" t="e">
        <f ca="1">VLOOKUP($CP313,Control!$B$86:$G$91,6)</f>
        <v>#N/A</v>
      </c>
      <c r="CR313" s="141" t="e">
        <f ca="1">(1-$CQ313)*VLOOKUP($CP313,Control!$B$86:$D$91,3)</f>
        <v>#N/A</v>
      </c>
      <c r="CS313" s="141" t="e">
        <f ca="1">(1-$CQ313)*VLOOKUP($CP313,Control!$B$86:$E$91,4)</f>
        <v>#N/A</v>
      </c>
      <c r="CT313" s="141" t="e">
        <f ca="1">(1-$CQ313)*VLOOKUP($CP313,Control!$B$86:$F$91,5)</f>
        <v>#N/A</v>
      </c>
      <c r="CU313" s="141">
        <f t="shared" ca="1" si="1066"/>
        <v>0</v>
      </c>
      <c r="CV313" s="583">
        <f t="shared" ca="1" si="1067"/>
        <v>0</v>
      </c>
      <c r="CW313" s="142">
        <f t="shared" ca="1" si="1068"/>
        <v>309</v>
      </c>
      <c r="CX313" s="612" t="e">
        <f ca="1">IF(Control!$C$114=1,(MIN(Control!$C$120*(IF($NT313-0.01&lt;0,0,1)),Control!$C$119-$CY313)))</f>
        <v>#DIV/0!</v>
      </c>
      <c r="CY313" s="143" t="e">
        <f t="shared" ca="1" si="1069"/>
        <v>#N/A</v>
      </c>
      <c r="CZ313" s="144">
        <f t="shared" ca="1" si="946"/>
        <v>0</v>
      </c>
      <c r="DA313" s="144">
        <f t="shared" ca="1" si="947"/>
        <v>0</v>
      </c>
      <c r="DB313" s="144" t="e">
        <f t="shared" ca="1" si="948"/>
        <v>#N/A</v>
      </c>
      <c r="DC313" s="144" t="e">
        <f t="shared" ca="1" si="949"/>
        <v>#N/A</v>
      </c>
      <c r="DD313" s="144" t="e">
        <f t="shared" ca="1" si="1154"/>
        <v>#N/A</v>
      </c>
      <c r="DE313" s="143" t="e">
        <f t="shared" ca="1" si="1070"/>
        <v>#N/A</v>
      </c>
      <c r="DF313" s="145" t="e">
        <f ca="1">$DR313*EXP(-Control!$C$158*(1-$KH313))</f>
        <v>#N/A</v>
      </c>
      <c r="DG313" s="146" t="e">
        <f ca="1">IF(Control!$C$114=1, $DF313*$EY313, 0)</f>
        <v>#N/A</v>
      </c>
      <c r="DH313" s="147" t="e">
        <f t="shared" ca="1" si="1071"/>
        <v>#N/A</v>
      </c>
      <c r="DI313" s="144" t="e">
        <f t="shared" ca="1" si="1132"/>
        <v>#N/A</v>
      </c>
      <c r="DJ313" s="147" t="e">
        <f ca="1">$EF313*Control!$C$109</f>
        <v>#N/A</v>
      </c>
      <c r="DK313" s="144" t="e">
        <f t="shared" ca="1" si="1072"/>
        <v>#N/A</v>
      </c>
      <c r="DL313" s="144" t="e">
        <f t="shared" ca="1" si="950"/>
        <v>#N/A</v>
      </c>
      <c r="DM313" s="144" t="e">
        <f ca="1">IF(Control!$C$114=1, (1-EXP(-Control!$C$96*$DK313))*$AR313, 0)</f>
        <v>#N/A</v>
      </c>
      <c r="DN313" s="144">
        <f t="shared" ca="1" si="1073"/>
        <v>0</v>
      </c>
      <c r="DO313" s="148">
        <f>Control!$C$97</f>
        <v>4</v>
      </c>
      <c r="DP313" s="145" t="e">
        <f t="shared" ca="1" si="1074"/>
        <v>#N/A</v>
      </c>
      <c r="DQ313" s="145" t="e">
        <f ca="1">IF(AND($CP313&gt;=0,$CP313&lt;=90),Control!$C$111,Control!$C$111)</f>
        <v>#N/A</v>
      </c>
      <c r="DR313" s="145" t="e">
        <f t="shared" ca="1" si="951"/>
        <v>#N/A</v>
      </c>
      <c r="DS313" s="143" t="e">
        <f ca="1">Control!$B$22/$DR313</f>
        <v>#N/A</v>
      </c>
      <c r="DT313" s="149" t="e">
        <f ca="1">IF(AND(Control!$C$114=1,$KH313&lt;1),$IM313*$DF313, 0)</f>
        <v>#N/A</v>
      </c>
      <c r="DU313" s="144" t="e">
        <f t="shared" ca="1" si="1075"/>
        <v>#N/A</v>
      </c>
      <c r="DV313" s="144">
        <f ca="1">IF($G313-Control!$C$107&lt;=0, 0, 0.83*LN(MAX($G313, 3))-0.8924)</f>
        <v>0</v>
      </c>
      <c r="DW313" s="144" t="e">
        <f t="shared" ca="1" si="952"/>
        <v>#N/A</v>
      </c>
      <c r="DX313" s="150" t="e">
        <f ca="1">MAX(0.01*(1+$CU313/Control!$C$102),0.05*($DK313-Control!$C$97)/Control!$C$97)</f>
        <v>#N/A</v>
      </c>
      <c r="DY313" s="151" t="e">
        <f ca="1">IF(Control!$C$114=1, $DI313*$FS313, 0)</f>
        <v>#N/A</v>
      </c>
      <c r="DZ313" s="196" t="e">
        <f t="shared" ca="1" si="1076"/>
        <v>#N/A</v>
      </c>
      <c r="EA313" s="152">
        <f t="shared" ca="1" si="1077"/>
        <v>309</v>
      </c>
      <c r="EB313" s="153" t="e">
        <f t="shared" ca="1" si="1078"/>
        <v>#N/A</v>
      </c>
      <c r="EC313" s="153" t="e">
        <f t="shared" ca="1" si="1079"/>
        <v>#N/A</v>
      </c>
      <c r="ED313" s="154" t="e">
        <f ca="1">IF(Control!$C$114=1, $HM313*$FY313-$FD313, 0)</f>
        <v>#DIV/0!</v>
      </c>
      <c r="EE313" s="155" t="e">
        <f ca="1">IF(Control!$C$114=1, $HM313*$FZ313-$FF313, 0)</f>
        <v>#DIV/0!</v>
      </c>
      <c r="EF313" s="153" t="e">
        <f t="shared" ca="1" si="1133"/>
        <v>#N/A</v>
      </c>
      <c r="EG313" s="155" t="e">
        <f ca="1">IF(Control!$C$114=1, $GX313*$FW313-$FI313, 0)</f>
        <v>#DIV/0!</v>
      </c>
      <c r="EH313" s="153" t="e">
        <f t="shared" ca="1" si="1080"/>
        <v>#N/A</v>
      </c>
      <c r="EI313" s="156" t="e">
        <f t="shared" ca="1" si="1081"/>
        <v>#N/A</v>
      </c>
      <c r="EJ313" s="155" t="e">
        <f ca="1">IF(Control!$C$114=1, $HM313*$GB313, 0)</f>
        <v>#DIV/0!</v>
      </c>
      <c r="EK313" s="153" t="e">
        <f t="shared" ca="1" si="1134"/>
        <v>#N/A</v>
      </c>
      <c r="EL313" s="153" t="e">
        <f t="shared" ca="1" si="953"/>
        <v>#N/A</v>
      </c>
      <c r="EM313" s="153" t="e">
        <f t="shared" ca="1" si="954"/>
        <v>#N/A</v>
      </c>
      <c r="EN313" s="153" t="e">
        <f ca="1">IF(Control!$C$108=1,IF(AND(Control!$B$18=1,$EB313&gt;=Control!$B$19),$EB313-$DS313,IF(AND(Control!$B$18=2,$AW313=1,$EB313&gt;$DS313),$EB313-$DS313,0)))</f>
        <v>#N/A</v>
      </c>
      <c r="EO313" s="153" t="e">
        <f ca="1">IF(Control!$C$108=1,IF(AND(Control!$B$18=1,$EB313&gt;=Control!$B$19),$EF313,IF(AND(Control!$B$18=2,$AW313=1),$EF313,0)))</f>
        <v>#N/A</v>
      </c>
      <c r="EP313" s="153" t="e">
        <f ca="1">IF(Control!$C$108=1,IF(AND(Control!$B$18=1,$EB313&gt;=Control!$B$19),$EK313,IF(AND(Control!$B$18=2,$AW313=1),$EK313,0)))</f>
        <v>#N/A</v>
      </c>
      <c r="EQ313" s="153" t="e">
        <f t="shared" ca="1" si="1082"/>
        <v>#N/A</v>
      </c>
      <c r="ER313" s="153" t="e">
        <f t="shared" ca="1" si="1083"/>
        <v>#N/A</v>
      </c>
      <c r="ES313" s="153" t="e">
        <f t="shared" ca="1" si="1135"/>
        <v>#N/A</v>
      </c>
      <c r="ET313" s="153" t="e">
        <f t="shared" ca="1" si="1136"/>
        <v>#N/A</v>
      </c>
      <c r="EU313" s="153" t="e">
        <f t="shared" ca="1" si="1084"/>
        <v>#N/A</v>
      </c>
      <c r="EV313" s="153" t="e">
        <f t="shared" ca="1" si="955"/>
        <v>#N/A</v>
      </c>
      <c r="EW313" s="153" t="e">
        <f t="shared" ca="1" si="956"/>
        <v>#N/A</v>
      </c>
      <c r="EX313" s="153" t="e">
        <f t="shared" ca="1" si="957"/>
        <v>#N/A</v>
      </c>
      <c r="EY313" s="157" t="e">
        <f t="shared" ca="1" si="958"/>
        <v>#DIV/0!</v>
      </c>
      <c r="EZ313" s="154" t="e">
        <f t="shared" ca="1" si="959"/>
        <v>#DIV/0!</v>
      </c>
      <c r="FA313" s="153" t="e">
        <f t="shared" ca="1" si="1085"/>
        <v>#N/A</v>
      </c>
      <c r="FB313" s="153" t="e">
        <f t="shared" ca="1" si="960"/>
        <v>#N/A</v>
      </c>
      <c r="FC313" s="193" t="e">
        <f t="shared" ca="1" si="961"/>
        <v>#N/A</v>
      </c>
      <c r="FD313" s="158" t="e">
        <f t="shared" ca="1" si="1086"/>
        <v>#N/A</v>
      </c>
      <c r="FE313" s="158" t="e">
        <f t="shared" ca="1" si="1087"/>
        <v>#N/A</v>
      </c>
      <c r="FF313" s="159" t="e">
        <f t="shared" ca="1" si="962"/>
        <v>#N/A</v>
      </c>
      <c r="FG313" s="160" t="e">
        <f t="shared" ca="1" si="1088"/>
        <v>#N/A</v>
      </c>
      <c r="FH313" s="158" t="e">
        <f t="shared" ca="1" si="1089"/>
        <v>#N/A</v>
      </c>
      <c r="FI313" s="159" t="e">
        <f t="shared" ca="1" si="963"/>
        <v>#N/A</v>
      </c>
      <c r="FJ313" s="160" t="e">
        <f t="shared" ca="1" si="1090"/>
        <v>#N/A</v>
      </c>
      <c r="FK313" s="160" t="e">
        <f t="shared" ca="1" si="964"/>
        <v>#N/A</v>
      </c>
      <c r="FL313" s="160" t="e">
        <f t="shared" ca="1" si="1137"/>
        <v>#N/A</v>
      </c>
      <c r="FM313" s="160" t="e">
        <f t="shared" ca="1" si="965"/>
        <v>#N/A</v>
      </c>
      <c r="FN313" s="158">
        <f t="shared" ca="1" si="1091"/>
        <v>0.01</v>
      </c>
      <c r="FO313" s="160">
        <f>Control!$C$101</f>
        <v>50</v>
      </c>
      <c r="FP313" s="150" t="e">
        <f t="shared" ca="1" si="966"/>
        <v>#N/A</v>
      </c>
      <c r="FQ313" s="150" t="e">
        <f ca="1">MAX(0,(Control!$C$112*(($DK313-Control!$C$97)/Control!$C$97)))</f>
        <v>#N/A</v>
      </c>
      <c r="FR313" s="150" t="e">
        <f ca="1">(1-$NT313)*Control!$C$113</f>
        <v>#DIV/0!</v>
      </c>
      <c r="FS313" s="198" t="e">
        <f t="shared" ca="1" si="967"/>
        <v>#N/A</v>
      </c>
      <c r="FT313" s="161">
        <f t="shared" ca="1" si="1092"/>
        <v>309</v>
      </c>
      <c r="FU313" s="162" t="e">
        <f ca="1">IF(Control!$B$34=1,VLOOKUP($CP313,Control!$B$86:$G$91,6),Control!$B$35)</f>
        <v>#N/A</v>
      </c>
      <c r="FV313" s="162" t="e">
        <f t="shared" ca="1" si="968"/>
        <v>#DIV/0!</v>
      </c>
      <c r="FW313" s="162" t="e">
        <f ca="1">IF(Control!$B$31=1,$FU313*$FV313,  $FU313)</f>
        <v>#N/A</v>
      </c>
      <c r="FX313" s="162" t="e">
        <f ca="1">IF(Control!$B$34=1,VLOOKUP($CP313,Control!$B$86:$G$91,3),Control!$B$36)</f>
        <v>#N/A</v>
      </c>
      <c r="FY313" s="162" t="e">
        <f t="shared" ca="1" si="969"/>
        <v>#N/A</v>
      </c>
      <c r="FZ313" s="162" t="e">
        <f ca="1">IF(Control!$B$34=1,VLOOKUP($CP313,Control!$B$86:$G$91,4),Control!$B$37)</f>
        <v>#N/A</v>
      </c>
      <c r="GA313" s="162" t="e">
        <f t="shared" ca="1" si="970"/>
        <v>#N/A</v>
      </c>
      <c r="GB313" s="162" t="e">
        <f ca="1">IF(Control!$B$34=1,VLOOKUP($CP313,Control!$B$86:$G$91,5),Control!$B$38)</f>
        <v>#N/A</v>
      </c>
      <c r="GC313" s="162" t="e">
        <f t="shared" ca="1" si="1093"/>
        <v>#N/A</v>
      </c>
      <c r="GD313" s="162">
        <f t="shared" ca="1" si="971"/>
        <v>1</v>
      </c>
      <c r="GE313" s="162">
        <f t="shared" ca="1" si="972"/>
        <v>1</v>
      </c>
      <c r="GF313" s="162">
        <f ca="1">IF(AND(Control!$C$104=1, Control!$C$62="F"),$GE313,1)</f>
        <v>1</v>
      </c>
      <c r="GG313" s="162" t="e">
        <f ca="1">IF(Control!$B$16=40,0,IF(AND(Control!$B$16&gt;40,Control!$B$16&lt;=360),(Control!$B$16-40)*((1-0)/(360-40)),IF(AND(Control!$B$16&gt;360,Control!$B$16&lt;=720),(1+(Control!$B$16-360)*((1.25-1)/(720-360))),IF(AND(Control!$B$16&gt;720,Control!$B$16&lt;=1000),(1.25+(Control!$B$16-720)*((1.35-1.25)/(1000-720))),IF(AND(Control!$B$16&gt;1000,Control!$B$16&lt;=2000),(1.35+(Control!$B$16-1000)*0))))))</f>
        <v>#N/A</v>
      </c>
      <c r="GH313" s="162" t="e">
        <f t="shared" ca="1" si="973"/>
        <v>#N/A</v>
      </c>
      <c r="GI313" s="162">
        <f t="shared" ca="1" si="1094"/>
        <v>0</v>
      </c>
      <c r="GJ313" s="162">
        <f t="shared" ca="1" si="974"/>
        <v>0</v>
      </c>
      <c r="GK313" s="162">
        <f t="shared" ca="1" si="1095"/>
        <v>1</v>
      </c>
      <c r="GL313" s="162">
        <f t="shared" ca="1" si="975"/>
        <v>1</v>
      </c>
      <c r="GM313" s="162" t="e">
        <f ca="1">MAX(0,MIN(1,1-Control!$C$156*(1.0001-$KH313)^2))</f>
        <v>#N/A</v>
      </c>
      <c r="GN313" s="162" t="e">
        <f ca="1">IF(Control!$B$26=1,$KU313,$KX313)</f>
        <v>#N/A</v>
      </c>
      <c r="GO313" s="162" t="e">
        <f ca="1">IF($CP313&lt;=60,Control!$C$105,IF($CP313&gt;=90,Control!$C$106,Control!$C$105+($CP313-60)*((Control!$C$106-Control!$C$105)/(90-60))))</f>
        <v>#N/A</v>
      </c>
      <c r="GP313" s="162" t="e">
        <f t="shared" ca="1" si="976"/>
        <v>#N/A</v>
      </c>
      <c r="GQ313" s="162" t="e">
        <f t="shared" ca="1" si="1096"/>
        <v>#N/A</v>
      </c>
      <c r="GR313" s="163" t="e">
        <f t="shared" ca="1" si="977"/>
        <v>#DIV/0!</v>
      </c>
      <c r="GS313" s="162" t="e">
        <f t="shared" ca="1" si="978"/>
        <v>#DIV/0!</v>
      </c>
      <c r="GT313" s="164" t="e">
        <f t="shared" ca="1" si="1097"/>
        <v>#N/A</v>
      </c>
      <c r="GU313" s="162" t="e">
        <f t="shared" ca="1" si="1098"/>
        <v>#N/A</v>
      </c>
      <c r="GV313" s="162" t="e">
        <f t="shared" ca="1" si="979"/>
        <v>#N/A</v>
      </c>
      <c r="GW313" s="162" t="e">
        <f t="shared" ca="1" si="980"/>
        <v>#DIV/0!</v>
      </c>
      <c r="GX313" s="162" t="e">
        <f t="shared" ca="1" si="1099"/>
        <v>#DIV/0!</v>
      </c>
      <c r="GY313" s="162" t="e">
        <f t="shared" ca="1" si="1100"/>
        <v>#DIV/0!</v>
      </c>
      <c r="GZ313" s="165" t="e">
        <f t="shared" ca="1" si="981"/>
        <v>#N/A</v>
      </c>
      <c r="HA313" s="162" t="e">
        <f ca="1">IF(Control!$C$114=1, $DI313*$FS313, 0)</f>
        <v>#N/A</v>
      </c>
      <c r="HB313" s="162" t="e">
        <f ca="1">$FA313/Control!$C$64</f>
        <v>#N/A</v>
      </c>
      <c r="HC313" s="162" t="e">
        <f t="shared" ca="1" si="982"/>
        <v>#DIV/0!</v>
      </c>
      <c r="HD313" s="162">
        <f ca="1">-ASIN(SIN(23.45*Control!$C$139)*COS(2*Control!$C$138*($AH313+10)/365))</f>
        <v>-0.28335049233709653</v>
      </c>
      <c r="HE313" s="165">
        <f t="shared" ca="1" si="1101"/>
        <v>0</v>
      </c>
      <c r="HF313" s="166">
        <f ca="1">IF(AND(Control!$C$61="T",$HE313&gt;=Control!$C$103,Control!$C$114=0),$AH313,Control!$C$59)</f>
        <v>1</v>
      </c>
      <c r="HG313" s="166">
        <f ca="1">IF(AND(Control!$C$61="T",$HE313&gt;=Control!$C$103,Control!$C$114=0),$HF313,Control!$C$59)</f>
        <v>1</v>
      </c>
      <c r="HH313" s="165">
        <f ca="1">IF(AND(OR(Control!$C$60&lt;=0, $AH313= Control!$C$59, Control!$C$60 &gt;0, $AH313 = Control!$C$60)), Control!$C$59, IF(Control!$C$60&gt;0, 0))</f>
        <v>1</v>
      </c>
      <c r="HI313" s="165">
        <f ca="1">IF(AND(OR(Control!$C$60&lt;=0, $AH313= Control!$C$59, Control!$C$60 &gt;0, $AH313 = Control!$C$60)), Control!$C$60, IF(Control!$C$60&lt;=0, 0))</f>
        <v>0</v>
      </c>
      <c r="HJ313" s="166">
        <f ca="1">IF(AND(Control!$C$62="F",$CV313&gt;=Control!$C$102),$AH313,0)</f>
        <v>0</v>
      </c>
      <c r="HK313" s="165" t="e">
        <f t="shared" ca="1" si="1138"/>
        <v>#N/A</v>
      </c>
      <c r="HL313" s="166">
        <f ca="1">IF(AND(Control!$C$61="T",$HE313&gt;=Control!$C$103,Control!$C$114=0),$HF313,0)</f>
        <v>0</v>
      </c>
      <c r="HM313" s="201" t="e">
        <f t="shared" ca="1" si="983"/>
        <v>#DIV/0!</v>
      </c>
      <c r="HN313" s="215">
        <f t="shared" ca="1" si="1102"/>
        <v>309</v>
      </c>
      <c r="HO313" s="216" t="e">
        <f ca="1">IF(AND($CP313&gt;=0, $CP313&lt;=90), Control!$C$152, Control!$C$152)</f>
        <v>#N/A</v>
      </c>
      <c r="HP313" s="216" t="e">
        <f t="shared" ca="1" si="984"/>
        <v>#N/A</v>
      </c>
      <c r="HQ313" s="217" t="e">
        <f ca="1">IF(OR(Control!$B$26=1,Control!$B$26=2),$KV313,$KS313)</f>
        <v>#DIV/0!</v>
      </c>
      <c r="HR313" s="218" t="e">
        <f t="shared" ca="1" si="1139"/>
        <v>#DIV/0!</v>
      </c>
      <c r="HS313" s="216" t="e">
        <f ca="1">Control!$C$154*$HP313</f>
        <v>#N/A</v>
      </c>
      <c r="HT313" s="216" t="e">
        <f ca="1">Control!$C$155*$HP313</f>
        <v>#N/A</v>
      </c>
      <c r="HU313" s="217" t="e">
        <f ca="1">Control!$C$161*$FI313</f>
        <v>#N/A</v>
      </c>
      <c r="HV313" s="218" t="e">
        <f t="shared" ca="1" si="1103"/>
        <v>#N/A</v>
      </c>
      <c r="HW313" s="218" t="e">
        <f ca="1">Control!$C$160*$FF313+$IP313*$EO313</f>
        <v>#N/A</v>
      </c>
      <c r="HX313" s="218" t="e">
        <f t="shared" ca="1" si="1140"/>
        <v>#N/A</v>
      </c>
      <c r="HY313" s="219" t="e">
        <f ca="1">IF(Control!$C$114=1, $EB313*$FS313, 0)</f>
        <v>#N/A</v>
      </c>
      <c r="HZ313" s="91" t="e">
        <f t="shared" ca="1" si="985"/>
        <v>#N/A</v>
      </c>
      <c r="IA313" s="220" t="e">
        <f ca="1">Control!$C$153*$HO313</f>
        <v>#N/A</v>
      </c>
      <c r="IB313" s="218" t="e">
        <f t="shared" ca="1" si="986"/>
        <v>#N/A</v>
      </c>
      <c r="IC313" s="220" t="e">
        <f ca="1">Control!$C$153*$HT313</f>
        <v>#N/A</v>
      </c>
      <c r="ID313" s="218" t="e">
        <f t="shared" ca="1" si="987"/>
        <v>#N/A</v>
      </c>
      <c r="IE313" s="221" t="e">
        <f ca="1">($EB313*Control!$C$159+$EF313*Control!$C$160)/(IF($GZ313&lt;&gt;0,$GZ313,1))</f>
        <v>#N/A</v>
      </c>
      <c r="IF313" s="216" t="e">
        <f t="shared" ca="1" si="988"/>
        <v>#N/A</v>
      </c>
      <c r="IG313" s="91">
        <f ca="1">IF(OR(Control!$B$198=$AH313,Control!$B$199=$AH313, Control!$B$200=$AH313, Control!$B$201=$AH313, Control!$B$202=$AH313, Control!$B$203=$AH313, Control!$B$204=$AH313, Control!$B$205=$AH313, Control!$B$206=$AH313, Control!$B$207=$AH313), 1, 0)</f>
        <v>0</v>
      </c>
      <c r="IH313" s="91">
        <f ca="1">IF($IG313=0,0, VLOOKUP($AH313,Control!$B$198:$C$207,2))</f>
        <v>0</v>
      </c>
      <c r="II313" s="222">
        <f t="shared" ca="1" si="1104"/>
        <v>0</v>
      </c>
      <c r="IJ313" s="91">
        <f>Control!$C$121</f>
        <v>0.7</v>
      </c>
      <c r="IK313" s="218">
        <f t="shared" ca="1" si="989"/>
        <v>0</v>
      </c>
      <c r="IL313" s="217" t="e">
        <f t="shared" ca="1" si="1141"/>
        <v>#N/A</v>
      </c>
      <c r="IM313" s="223" t="e">
        <f ca="1">IF(AND(Control!$C$114=1,$KH313&lt;1),$EB313*Control!$C$148*(1-$KH313), 0)</f>
        <v>#N/A</v>
      </c>
      <c r="IN313" s="217" t="e">
        <f t="shared" ca="1" si="990"/>
        <v>#DIV/0!</v>
      </c>
      <c r="IO313" s="91" t="e">
        <f ca="1">MAX(0,$IL313-$EF313*Control!$C$160)</f>
        <v>#N/A</v>
      </c>
      <c r="IP313" s="220" t="e">
        <f t="shared" ca="1" si="991"/>
        <v>#N/A</v>
      </c>
      <c r="IQ313" s="217" t="e">
        <f t="shared" ca="1" si="1105"/>
        <v>#N/A</v>
      </c>
      <c r="IR313" s="218" t="e">
        <f t="shared" ca="1" si="992"/>
        <v>#N/A</v>
      </c>
      <c r="IS313" s="217" t="e">
        <f ca="1">Control!$C$159*MAX(0,$FD313-$EN313)</f>
        <v>#N/A</v>
      </c>
      <c r="IT313" s="217" t="e">
        <f t="shared" ca="1" si="1142"/>
        <v>#N/A</v>
      </c>
      <c r="IU313" s="217" t="e">
        <f t="shared" ca="1" si="1106"/>
        <v>#N/A</v>
      </c>
      <c r="IV313" s="217" t="e">
        <f t="shared" ca="1" si="1143"/>
        <v>#N/A</v>
      </c>
      <c r="IW313" s="217" t="e">
        <f ca="1">IF(OR($AW313=1,AND($AW313=0, Control!$B$18=1,$EN313&lt;&gt;0)), $IQ313-$IU313, $IQ313)</f>
        <v>#N/A</v>
      </c>
      <c r="IX313" s="218" t="e">
        <f t="shared" ca="1" si="993"/>
        <v>#N/A</v>
      </c>
      <c r="IY313" s="218" t="e">
        <f ca="1">MAX(0,$IQ313-$EB313*Control!$C$159)</f>
        <v>#N/A</v>
      </c>
      <c r="IZ313" s="218" t="e">
        <f t="shared" ca="1" si="994"/>
        <v>#N/A</v>
      </c>
      <c r="JA313" s="216" t="e">
        <f t="shared" ca="1" si="995"/>
        <v>#N/A</v>
      </c>
      <c r="JB313" s="217" t="e">
        <f t="shared" ca="1" si="996"/>
        <v>#N/A</v>
      </c>
      <c r="JC313" s="222" t="e">
        <f ca="1">MAX(Control!$C$157*$EK313-$JT313, 0)/Control!$C$162</f>
        <v>#N/A</v>
      </c>
      <c r="JD313" s="218" t="e">
        <f t="shared" ca="1" si="997"/>
        <v>#N/A</v>
      </c>
      <c r="JE313" s="218" t="e">
        <f t="shared" ca="1" si="998"/>
        <v>#N/A</v>
      </c>
      <c r="JF313" s="218" t="e">
        <f t="shared" ca="1" si="1107"/>
        <v>#N/A</v>
      </c>
      <c r="JG313" s="218" t="e">
        <f t="shared" ca="1" si="999"/>
        <v>#N/A</v>
      </c>
      <c r="JH313" s="217" t="e">
        <f t="shared" ca="1" si="1108"/>
        <v>#N/A</v>
      </c>
      <c r="JI313" s="217" t="e">
        <f t="shared" ca="1" si="1109"/>
        <v>#N/A</v>
      </c>
      <c r="JJ313" s="217" t="e">
        <f t="shared" ca="1" si="1144"/>
        <v>#N/A</v>
      </c>
      <c r="JK313" s="217" t="e">
        <f ca="1">IF(Control!$C$114=1,IF(Control!$B$24=0,MAX(0,$JI313)*$GN313/Control!$C$64,(MAX(0,MIN($JI313,$JJ313*$GN313/Control!$C$64),0))))</f>
        <v>#N/A</v>
      </c>
      <c r="JL313" s="217" t="e">
        <f ca="1">$IK313/Control!$C$64-$JK313+$HQ313</f>
        <v>#N/A</v>
      </c>
      <c r="JM313" s="217" t="e">
        <f ca="1">IF(Control!$C$114=1,($JB313/(IF($JI313&lt;&gt;0,$JI313,1)))*$JK313,0)</f>
        <v>#N/A</v>
      </c>
      <c r="JN313" s="217" t="e">
        <f ca="1">IF(Control!$C$114=1,($JG313/(IF($JI313&lt;&gt;0,$JI313,1)))*$JK313, 0)</f>
        <v>#N/A</v>
      </c>
      <c r="JO313" s="218" t="e">
        <f t="shared" ca="1" si="1000"/>
        <v>#N/A</v>
      </c>
      <c r="JP313" s="218" t="e">
        <f ca="1">MIN(($IY313+$IO313)*Control!$C$151, $JF313-$EH313*Control!$C$161)</f>
        <v>#N/A</v>
      </c>
      <c r="JQ313" s="218" t="e">
        <f t="shared" ca="1" si="1001"/>
        <v>#N/A</v>
      </c>
      <c r="JR313" s="217" t="e">
        <f ca="1">IF($CP313-Control!$C$150&lt;0, 0, $JQ313/Control!$C$162)</f>
        <v>#N/A</v>
      </c>
      <c r="JS313" s="218" t="e">
        <f t="shared" ca="1" si="1002"/>
        <v>#N/A</v>
      </c>
      <c r="JT313" s="218" t="e">
        <f t="shared" ca="1" si="1110"/>
        <v>#N/A</v>
      </c>
      <c r="JU313" s="218" t="e">
        <f t="shared" ca="1" si="1003"/>
        <v>#N/A</v>
      </c>
      <c r="JV313" s="218" t="e">
        <f t="shared" ca="1" si="1004"/>
        <v>#N/A</v>
      </c>
      <c r="JW313" s="216" t="e">
        <f t="shared" ca="1" si="1005"/>
        <v>#N/A</v>
      </c>
      <c r="JX313" s="91" t="e">
        <f t="shared" ca="1" si="1006"/>
        <v>#N/A</v>
      </c>
      <c r="JY313" s="218" t="e">
        <f t="shared" ca="1" si="1007"/>
        <v>#N/A</v>
      </c>
      <c r="JZ313" s="217" t="e">
        <f ca="1">IF(Control!$C$114=1,($IZ313/(IF($JI313&lt;&gt;0,$JI313,1)))*$JK313, 0)</f>
        <v>#N/A</v>
      </c>
      <c r="KA313" s="218" t="e">
        <f t="shared" ca="1" si="1145"/>
        <v>#N/A</v>
      </c>
      <c r="KB313" s="218" t="e">
        <f t="shared" ca="1" si="1111"/>
        <v>#N/A</v>
      </c>
      <c r="KC313" s="218" t="e">
        <f t="shared" ca="1" si="1008"/>
        <v>#N/A</v>
      </c>
      <c r="KD313" s="218" t="e">
        <f t="shared" ca="1" si="1009"/>
        <v>#N/A</v>
      </c>
      <c r="KE313" s="218" t="e">
        <f t="shared" ca="1" si="1010"/>
        <v>#N/A</v>
      </c>
      <c r="KF313" s="218" t="e">
        <f t="shared" ca="1" si="1011"/>
        <v>#N/A</v>
      </c>
      <c r="KG313" s="216" t="e">
        <f t="shared" ca="1" si="1012"/>
        <v>#N/A</v>
      </c>
      <c r="KH313" s="221" t="e">
        <f ca="1">IF(Control!$B$24=0,1,MAX(0.001,MIN(1,IF(($IF313-$IE313)&lt;&gt;0,($KG313-$IE313)/($IF313-$IE313),1))))</f>
        <v>#N/A</v>
      </c>
      <c r="KI313" s="222" t="e">
        <f ca="1">IF(Control!$C$114=1, $KI312+ $KH312, 0)</f>
        <v>#N/A</v>
      </c>
      <c r="KJ313" s="217" t="e">
        <f t="shared" ca="1" si="1013"/>
        <v>#N/A</v>
      </c>
      <c r="KK313" s="218" t="e">
        <f t="shared" ca="1" si="1014"/>
        <v>#N/A</v>
      </c>
      <c r="KL313" s="274" t="e">
        <f ca="1">IF(Control!$B$26=3,4000000000*EXP(-8400/($G313+273)),IF(Control!$B$26=4,4000000000*EXP(-8400/($G313+273))*($KT313),0))</f>
        <v>#DIV/0!</v>
      </c>
      <c r="KM313" s="274" t="e">
        <f ca="1">IF(Control!$B$26=3,5600000000000*EXP(-9800/($G313+273)),IF(Control!$B$26=4,5600000000000*EXP(-9800/($G313+273))*$KT313,0))</f>
        <v>#DIV/0!</v>
      </c>
      <c r="KN313" s="454" t="e">
        <f t="shared" ca="1" si="1112"/>
        <v>#DIV/0!</v>
      </c>
      <c r="KO313" s="274" t="e">
        <f t="shared" ca="1" si="1113"/>
        <v>#DIV/0!</v>
      </c>
      <c r="KP313" s="454" t="e">
        <f t="shared" ca="1" si="1015"/>
        <v>#DIV/0!</v>
      </c>
      <c r="KQ313" s="454" t="e">
        <f t="shared" ca="1" si="1016"/>
        <v>#DIV/0!</v>
      </c>
      <c r="KR313" s="454" t="e">
        <f t="shared" ca="1" si="1017"/>
        <v>#DIV/0!</v>
      </c>
      <c r="KS313" s="454" t="e">
        <f t="shared" ca="1" si="1018"/>
        <v>#DIV/0!</v>
      </c>
      <c r="KT313" s="455" t="e">
        <f t="shared" ca="1" si="1019"/>
        <v>#DIV/0!</v>
      </c>
      <c r="KU313" s="456" t="e">
        <f ca="1">IF($CP313-Control!$C$149&lt;0, IF($NT313-0.01&lt;0,0,1),0)</f>
        <v>#N/A</v>
      </c>
      <c r="KV313" s="456" t="e">
        <f ca="1">IF(Control!$C$114=1,MAX(0,MIN(Control!$C$125*$KW313*$GN313,$KW313)))</f>
        <v>#DIV/0!</v>
      </c>
      <c r="KW313" s="456" t="e">
        <f t="shared" ca="1" si="1146"/>
        <v>#DIV/0!</v>
      </c>
      <c r="KX313" s="457" t="e">
        <f ca="1">IF($CP313-Control!$C$149&lt;0, IF($MR313-$OM313&lt;0,0,1),0)</f>
        <v>#N/A</v>
      </c>
      <c r="KY313" s="167">
        <f t="shared" ca="1" si="1114"/>
        <v>309</v>
      </c>
      <c r="KZ313" s="168">
        <f ca="1">1370*(1+0.033*COS(2*Control!$C$138*$AH313/365))</f>
        <v>1395.7811160064446</v>
      </c>
      <c r="LA313" s="169">
        <f t="shared" ca="1" si="1115"/>
        <v>1.018817995658829</v>
      </c>
      <c r="LB313" s="169">
        <f t="shared" ca="1" si="1116"/>
        <v>-0.2898419208173359</v>
      </c>
      <c r="LC313" s="169">
        <f ca="1">ACOS(-TAN((2*Control!$B$8/360))*TAN(Calculations!$LB313))</f>
        <v>1.4820417956723169</v>
      </c>
      <c r="LD313" s="169">
        <f ca="1">((24*60)/PI())*0.082*$LA313*(($LC313*SIN(Control!$B$8*2*PI()/360))*SIN($LB313)+COS(Control!$B$8*2*PI()/360)*COS($LB313)*SIN($LC313))</f>
        <v>9.7220160795457407</v>
      </c>
      <c r="LE313" s="170">
        <f t="shared" ca="1" si="1020"/>
        <v>10.93115605509476</v>
      </c>
      <c r="LF313" s="170">
        <f ca="1">SIN(Control!$C$139*Control!$B$8)*SIN($HD313)</f>
        <v>-0.22030776273516861</v>
      </c>
      <c r="LG313" s="170">
        <f ca="1">COS(Control!$C$139*Control!$B$8)*COS($HD313)</f>
        <v>0.59110982543685386</v>
      </c>
      <c r="LH313" s="170">
        <f ca="1">12*(1+2*ASIN(MAX(-1,MIN(1,$LF313/$LG313))/Control!$C$138))</f>
        <v>9.1460524135056005</v>
      </c>
      <c r="LI313" s="170">
        <f ca="1">12*(1+2*ASIN(MAX(-1,MIN(1,(-SIN(-4*Control!$C$139)+$LF313)/$LG313))/Control!$C$138))</f>
        <v>10.052160956132427</v>
      </c>
      <c r="LJ313" s="168">
        <f ca="1">3600*($LH313*$LF313+24*$LG313*SQRT(1-$LK313*$LK313)/Control!$C$138)</f>
        <v>7831.5689542860164</v>
      </c>
      <c r="LK313" s="170">
        <f t="shared" ca="1" si="1021"/>
        <v>-0.37270191300297256</v>
      </c>
      <c r="LL313" s="170">
        <f t="shared" ca="1" si="1022"/>
        <v>0</v>
      </c>
      <c r="LM313" s="171">
        <f ca="1">Control!$C$145*$AB313</f>
        <v>6.6660906138995932E-2</v>
      </c>
      <c r="LN313" s="170">
        <f t="shared" ca="1" si="1117"/>
        <v>0.54</v>
      </c>
      <c r="LO313" s="170">
        <f t="shared" ca="1" si="1023"/>
        <v>0</v>
      </c>
      <c r="LP313" s="170">
        <f ca="1">Control!$C$140*((($D313+273.16)^4+($E313+273.16)^4)/2)*(0.34-0.14*SQRT($Y313))*(1.35*$AQ313/(0.75*$LD313)-0.35)</f>
        <v>-3.2464704755046001</v>
      </c>
      <c r="LQ313" s="170">
        <f ca="1">Control!$C$140*($G313+273)^4*(0.56-0.079*SQRT($Y313*10))*(0.1+0.9*$LO313)</f>
        <v>1.5241745131704001</v>
      </c>
      <c r="LR313" s="170">
        <f ca="1">$AQ313*(1-Control!$C$142)-$LQ313</f>
        <v>-1.5241745131704001</v>
      </c>
      <c r="LS313" s="170">
        <f ca="1">$AQ313*(1-Control!$C$143)-$LQ313</f>
        <v>-1.5241745131704001</v>
      </c>
      <c r="LT313" s="170">
        <f ca="1">$AQ313*(1-Control!$C$144)-$LQ313</f>
        <v>-1.5241745131704001</v>
      </c>
      <c r="LU313" s="169">
        <f ca="1">(1-Control!$C$144)*AQ313-LP313</f>
        <v>3.2464704755046001</v>
      </c>
      <c r="LV313" s="172">
        <f t="shared" ca="1" si="1024"/>
        <v>0.79430000000000012</v>
      </c>
      <c r="LW313" s="170">
        <f t="shared" ca="1" si="1025"/>
        <v>1.5886000000000002</v>
      </c>
      <c r="LX313" s="170">
        <f ca="1">($AC313*($LR313/Control!$C$141)+$LM313*$LV313)/($AC313+$LM313)</f>
        <v>0.23530094218323697</v>
      </c>
      <c r="LY313" s="170">
        <f ca="1">($AC313*($LS313/Control!$C$141)+$LM313*$LV313)/($AC313+$LM313)</f>
        <v>0.23530094218323697</v>
      </c>
      <c r="LZ313" s="170">
        <f t="shared" ca="1" si="1026"/>
        <v>0.23530094218323697</v>
      </c>
      <c r="MA313" s="170">
        <f t="shared" ca="1" si="1027"/>
        <v>0.23530094218323697</v>
      </c>
      <c r="MB313" s="170" t="e">
        <f t="shared" ca="1" si="1028"/>
        <v>#N/A</v>
      </c>
      <c r="MC313" s="170">
        <f t="shared" ca="1" si="1118"/>
        <v>0.6018</v>
      </c>
      <c r="MD313" s="170">
        <f t="shared" ca="1" si="1029"/>
        <v>0.52989392535414004</v>
      </c>
      <c r="ME313" s="170">
        <f ca="1">($AC313*($LT313/Control!$C$141)+$LM313*$LW313)/($AC313+$LM313)</f>
        <v>0.71612369323045078</v>
      </c>
      <c r="MF313" s="170" t="e">
        <f ca="1">IF(Control!$B$16&gt;=1000,0.92,IF(AND(720&lt;=Control!$B$16,1000&gt;Control!$B$16),(0.95+(Control!$B$16-720)*((0.92-0.95)/(1000-720))),IF(AND(360&lt;=Control!$B$16,720&gt;Control!$B$16),(1+(Control!$B$16-360)*((0.95-1)/(720-360))),IF(AND(40&lt;=Control!$B$16,360&gt;Control!$B$16),(1.05+(Control!$B$16-40)*((1.05-1)/(360-40)))))))</f>
        <v>#N/A</v>
      </c>
      <c r="MG313" s="170">
        <f t="shared" ca="1" si="1030"/>
        <v>0.71612369323045078</v>
      </c>
      <c r="MH313" s="170" t="e">
        <f t="shared" ca="1" si="1157"/>
        <v>#N/A</v>
      </c>
      <c r="MI313" s="170" t="e">
        <f t="shared" ca="1" si="1157"/>
        <v>#N/A</v>
      </c>
      <c r="MJ313" s="170" t="e">
        <f ca="1">MAX(0.0001, Control!$C$132*$MI313*$DL313)</f>
        <v>#N/A</v>
      </c>
      <c r="MK313" s="170">
        <f ca="1">1/(0.76+1.5*($MG313/10))-(5-Control!$C$110)*0.1</f>
        <v>1.002845988140797</v>
      </c>
      <c r="ML313" s="173">
        <f ca="1">IF(Control!$C$110&lt;3,$MK313+($MG313-0.6)/(Control!$C$110*(Control!$C$110+3)), MAX(0.1, MIN(0.95,$MK313)))</f>
        <v>0.95</v>
      </c>
      <c r="MM313" s="173">
        <f ca="1">IF(Control!$C$110&lt;3,$MK313+(($MI313/10)-0.6)/(Control!$C$110*(Control!$C$110+3)), MAX(0.1, MIN(0.95,$MK313)))</f>
        <v>0.95</v>
      </c>
      <c r="MN313" s="173">
        <f ca="1">(1-$MM313)*(Control!$C$128-Control!$C$127)+Control!$C$127</f>
        <v>0.16</v>
      </c>
      <c r="MO313" s="170" t="e">
        <f ca="1">MAX(0,MIN(1,($MS313-Control!$C$127)/($MN313-Control!$C$127)))</f>
        <v>#DIV/0!</v>
      </c>
      <c r="MP313" s="173" t="e">
        <f ca="1">1/(0.76+1.5*$MI313)-(5-Control!$C$110)*0.1</f>
        <v>#N/A</v>
      </c>
      <c r="MQ313" s="172" t="e">
        <f t="shared" ca="1" si="1147"/>
        <v>#DIV/0!</v>
      </c>
      <c r="MR313" s="168" t="e">
        <f t="shared" ca="1" si="1119"/>
        <v>#DIV/0!</v>
      </c>
      <c r="MS313" s="173" t="e">
        <f ca="1">MAX(Control!$C$127, MIN(Control!$C$135, $MR313/MAX(0.0001,$CY313)))</f>
        <v>#DIV/0!</v>
      </c>
      <c r="MT313" s="168" t="e">
        <f ca="1">(Control!$C$128-$MS313)*Control!$C$74</f>
        <v>#DIV/0!</v>
      </c>
      <c r="MU313" s="168" t="e">
        <f ca="1">(Control!$C$135-$MS313)*Control!$C$74</f>
        <v>#DIV/0!</v>
      </c>
      <c r="MV313" s="168" t="e">
        <f t="shared" ca="1" si="1120"/>
        <v>#DIV/0!</v>
      </c>
      <c r="MW313" s="168" t="e">
        <f t="shared" ca="1" si="1121"/>
        <v>#DIV/0!</v>
      </c>
      <c r="MX313" s="171" t="e">
        <f ca="1">MAX(Control!$C$127, MIN(Control!$C$135, $MW313/MAX(0.0001,Control!$C$119-$CY313)))</f>
        <v>#DIV/0!</v>
      </c>
      <c r="MY313" s="54" t="e">
        <f ca="1">IF(Control!$C$114=1, $CX313*$MX313, 0)</f>
        <v>#DIV/0!</v>
      </c>
      <c r="MZ313" s="54" t="e">
        <f t="shared" ca="1" si="1122"/>
        <v>#N/A</v>
      </c>
      <c r="NA313" s="168" t="e">
        <f ca="1">(Control!$C$128-$MX313)*(Control!$C$119-Control!$C$74)</f>
        <v>#DIV/0!</v>
      </c>
      <c r="NB313" s="168" t="e">
        <f ca="1">(Control!$C$135-$MX313)*(Control!$C$119-Control!$C$74)</f>
        <v>#DIV/0!</v>
      </c>
      <c r="NC313" s="174" t="e">
        <f t="shared" ca="1" si="1123"/>
        <v>#DIV/0!</v>
      </c>
      <c r="ND313" s="54">
        <f ca="1">IF(Control!$C$58=2, IF(OR(Control!$B$218=$AH313,Control!$B$219=$AH313, Control!$B$220=$AH313, Control!$B$221=$AH313, Control!$B$222=$AH313, Control!$B$223=$AH313, Control!$B$224=$AH313, Control!$B$225=$AH313, Control!$B$226=$AH313, Control!$B$227=$AH313, Control!$B$228=$AH313), 1, 0), 0)</f>
        <v>0</v>
      </c>
      <c r="NE313" s="54">
        <f ca="1">IF($ND313=0,0, VLOOKUP($AH313,Control!$B$218:$C$228,2))</f>
        <v>0</v>
      </c>
      <c r="NF313" s="168" t="e">
        <f ca="1">$CY313*(Control!$C$128-Control!$C$127)</f>
        <v>#N/A</v>
      </c>
      <c r="NG313" s="54" t="e">
        <f ca="1">IF(Control!$C$58=2, $NI312-$NJ312, 0)</f>
        <v>#DIV/0!</v>
      </c>
      <c r="NH313" s="54" t="e">
        <f ca="1">IF(AND(Control!$C$58=1, $MS312&lt;= ($MN312+0.02), $I312&lt;10), 0, IF(Control!$C$58=2, $NG312, 0))</f>
        <v>#DIV/0!</v>
      </c>
      <c r="NI313" s="54" t="e">
        <f ca="1">IF(Control!$C$58=2, $NE313+$NH313,0)</f>
        <v>#DIV/0!</v>
      </c>
      <c r="NJ313" s="54" t="e">
        <f ca="1">IF(AND(Control!$C$58=1, $MS313&lt;= ($MN313+0.02), $I313&lt;10), MAX(0, MIN(10, 0.7*($NF313-$MV313))), IF(Control!$C$58=2, MIN(10,$NI313),0))</f>
        <v>#DIV/0!</v>
      </c>
      <c r="NK313" s="54" t="e">
        <f t="shared" ca="1" si="1031"/>
        <v>#DIV/0!</v>
      </c>
      <c r="NL313" s="173" t="e">
        <f ca="1">(1-Control!$C$73)*$I313+$NJ313</f>
        <v>#DIV/0!</v>
      </c>
      <c r="NM313" s="172" t="e">
        <f ca="1">IF($NL313&lt;0.5, $MB313* MAX(0, MIN(1, (SQRT($NC313)-SQRT($NC313-1))*Control!$C$71)),0)</f>
        <v>#DIV/0!</v>
      </c>
      <c r="NN313" s="170" t="e">
        <f ca="1">IF($NL313&gt;=5, $MB313, MAX(0,MIN($MB313, $NM313+$NL313,($MS313-Control!$C$129))))</f>
        <v>#DIV/0!</v>
      </c>
      <c r="NO313" s="54">
        <f>IF(Control!$C$133&lt;&gt;1, Control!$C$135-Control!$C$131, 0)</f>
        <v>0.38</v>
      </c>
      <c r="NP313" s="54" t="e">
        <f t="shared" ca="1" si="1032"/>
        <v>#DIV/0!</v>
      </c>
      <c r="NQ313" s="173" t="e">
        <f ca="1">MAX(0,MIN(1,(Control!$C$135-$MS313)/(Control!$C$135-$NO313)))</f>
        <v>#DIV/0!</v>
      </c>
      <c r="NR313" s="170" t="e">
        <f ca="1">IF(Control!$C$133&lt;&gt;1, $NQ313+((1-$NP313/4)*(1-$NQ313)),1)</f>
        <v>#DIV/0!</v>
      </c>
      <c r="NS313" s="170" t="e">
        <f ca="1">IF(Control!$B$31=0,$MJ313,MAX(0,MIN($MV313,$MO313*$NR313*$MJ313)))</f>
        <v>#DIV/0!</v>
      </c>
      <c r="NT313" s="170" t="e">
        <f t="shared" ca="1" si="1148"/>
        <v>#DIV/0!</v>
      </c>
      <c r="NU313" s="170" t="e">
        <f t="shared" ca="1" si="1124"/>
        <v>#N/A</v>
      </c>
      <c r="NV313" s="170" t="e">
        <f t="shared" ca="1" si="1033"/>
        <v>#N/A</v>
      </c>
      <c r="NW313" s="175" t="e">
        <f t="shared" ca="1" si="1034"/>
        <v>#DIV/0!</v>
      </c>
      <c r="NX313" s="170" t="e">
        <f ca="1">MIN(Control!$C$72+$MU313, $NW313)</f>
        <v>#DIV/0!</v>
      </c>
      <c r="NY313" s="170" t="e">
        <f ca="1">IF($MT313&lt;=$NX313,MIN(Control!$C$72+$NB313,$NX313-$MT313),0)</f>
        <v>#DIV/0!</v>
      </c>
      <c r="NZ313" s="54" t="e">
        <f ca="1">IF(Control!$C$114=1,  $CX313*($MX313-Control!$C$127), 0)</f>
        <v>#DIV/0!</v>
      </c>
      <c r="OA313" s="170" t="e">
        <f t="shared" ca="1" si="1035"/>
        <v>#DIV/0!</v>
      </c>
      <c r="OB313" s="170" t="e">
        <f ca="1">IF($NA313 &lt;=$NY313, MIN(Control!$C$72, $NY313-$NA313), 0)</f>
        <v>#DIV/0!</v>
      </c>
      <c r="OC313" s="168" t="e">
        <f t="shared" ca="1" si="1036"/>
        <v>#DIV/0!</v>
      </c>
      <c r="OD313" s="168" t="e">
        <f t="shared" ca="1" si="1125"/>
        <v>#DIV/0!</v>
      </c>
      <c r="OE313" s="170">
        <f ca="1">Control!$C$73*$I313</f>
        <v>0</v>
      </c>
      <c r="OF313" s="176" t="e">
        <f t="shared" ca="1" si="1037"/>
        <v>#DIV/0!</v>
      </c>
      <c r="OG313" s="168" t="e">
        <f t="shared" ca="1" si="1038"/>
        <v>#DIV/0!</v>
      </c>
      <c r="OH313" s="168" t="e">
        <f t="shared" ca="1" si="1039"/>
        <v>#DIV/0!</v>
      </c>
      <c r="OI313" s="168" t="e">
        <f t="shared" ca="1" si="1040"/>
        <v>#DIV/0!</v>
      </c>
      <c r="OJ313" s="168" t="e">
        <f t="shared" ca="1" si="1041"/>
        <v>#DIV/0!</v>
      </c>
      <c r="OK313" s="204" t="e">
        <f t="shared" ca="1" si="1042"/>
        <v>#DIV/0!</v>
      </c>
      <c r="OL313" s="177">
        <f>Control!$C$127</f>
        <v>0.15</v>
      </c>
      <c r="OM313" s="182" t="e">
        <f t="shared" ca="1" si="1043"/>
        <v>#N/A</v>
      </c>
      <c r="ON313" s="177">
        <f>Control!$C$128</f>
        <v>0.35</v>
      </c>
      <c r="OO313" s="182" t="e">
        <f t="shared" ca="1" si="1044"/>
        <v>#N/A</v>
      </c>
      <c r="OP313" s="138">
        <f t="shared" ca="1" si="1126"/>
        <v>0</v>
      </c>
      <c r="OQ313" s="138" t="e">
        <f t="shared" ca="1" si="1149"/>
        <v>#DIV/0!</v>
      </c>
      <c r="OR313" s="138" t="e">
        <f t="shared" ca="1" si="1127"/>
        <v>#DIV/0!</v>
      </c>
      <c r="OS313" s="137" t="e">
        <f t="shared" ca="1" si="1150"/>
        <v>#DIV/0!</v>
      </c>
      <c r="OT313" s="139" t="e">
        <f t="shared" ca="1" si="1151"/>
        <v>#DIV/0!</v>
      </c>
      <c r="OU313" s="138" t="e">
        <f t="shared" ca="1" si="1152"/>
        <v>#N/A</v>
      </c>
      <c r="OV313" s="138" t="e">
        <f t="shared" ca="1" si="1153"/>
        <v>#DIV/0!</v>
      </c>
      <c r="OW313" s="138" t="e">
        <f t="shared" ca="1" si="1128"/>
        <v>#DIV/0!</v>
      </c>
      <c r="OX313" s="138" t="e">
        <f t="shared" ca="1" si="1129"/>
        <v>#DIV/0!</v>
      </c>
      <c r="OY313" s="138" t="e">
        <f t="shared" ca="1" si="1130"/>
        <v>#DIV/0!</v>
      </c>
      <c r="OZ313" s="138" t="e">
        <f t="shared" ca="1" si="1045"/>
        <v>#DIV/0!</v>
      </c>
      <c r="PA313" s="138" t="e">
        <f t="shared" ca="1" si="1046"/>
        <v>#DIV/0!</v>
      </c>
      <c r="PB313" s="55">
        <f>IF(Control!$C$61="T", IF(Control!$C$65="F", IF($AH$6-Control!$C$60&lt;0,0,1), IF(365+$AH$6-Control!$C$60&lt;0,0,1)),0)</f>
        <v>0</v>
      </c>
      <c r="PC313" s="55">
        <f ca="1">IF(Control!$C$65="F", IF($AH$6-$HF313&lt;0,0,1), IF(365+$AH$6-$HF313&lt;0,0,1))</f>
        <v>1</v>
      </c>
      <c r="PD313" s="444">
        <f>Control!$C$118</f>
        <v>1500</v>
      </c>
      <c r="PE313" s="180" t="e">
        <f t="shared" ca="1" si="1047"/>
        <v>#N/A</v>
      </c>
      <c r="PF313" s="445">
        <f t="shared" ca="1" si="1131"/>
        <v>0.71612369323045078</v>
      </c>
      <c r="PT313" s="186"/>
      <c r="PU313" s="186"/>
      <c r="PV313" s="94"/>
      <c r="PW313" s="94"/>
      <c r="PX313" s="94"/>
      <c r="PY313" s="94"/>
      <c r="PZ313" s="94"/>
      <c r="QA313" s="94"/>
      <c r="QB313" s="94"/>
      <c r="QC313" s="94"/>
      <c r="QD313" s="94"/>
      <c r="QE313" s="94"/>
      <c r="QF313" s="94"/>
      <c r="QG313" s="94"/>
      <c r="QH313" s="94"/>
      <c r="QI313" s="94"/>
      <c r="QJ313" s="94"/>
      <c r="QK313" s="94"/>
      <c r="QL313" s="94"/>
      <c r="QM313" s="94"/>
      <c r="QN313" s="94"/>
      <c r="QO313" s="94"/>
      <c r="QP313" s="94"/>
    </row>
    <row r="314" spans="1:458" s="2" customFormat="1" x14ac:dyDescent="0.2">
      <c r="A314" s="395">
        <v>5</v>
      </c>
      <c r="B314" s="396">
        <v>11</v>
      </c>
      <c r="C314" s="387">
        <f ca="1">Weather_data!$B313</f>
        <v>0</v>
      </c>
      <c r="D314" s="388">
        <f ca="1">Weather_data!$F313</f>
        <v>0</v>
      </c>
      <c r="E314" s="388">
        <f ca="1">Weather_data!$E313</f>
        <v>0</v>
      </c>
      <c r="F314" s="388">
        <f t="shared" ca="1" si="1048"/>
        <v>0</v>
      </c>
      <c r="G314" s="388">
        <f ca="1">AVERAGE($D314:$E314)+Control!$B$9</f>
        <v>0</v>
      </c>
      <c r="H314" s="388">
        <f ca="1">Weather_data!$G313</f>
        <v>0</v>
      </c>
      <c r="I314" s="388">
        <f ca="1">Weather_data!$I313</f>
        <v>0</v>
      </c>
      <c r="J314" s="388">
        <f ca="1">Weather_data!$H313</f>
        <v>0</v>
      </c>
      <c r="K314" s="389">
        <f ca="1">Weather_data!$D313</f>
        <v>0</v>
      </c>
      <c r="L314" s="388" t="e">
        <f t="shared" ca="1" si="1049"/>
        <v>#N/A</v>
      </c>
      <c r="M314" s="388" t="e">
        <f t="shared" ca="1" si="927"/>
        <v>#N/A</v>
      </c>
      <c r="N314" s="388">
        <f t="shared" ca="1" si="928"/>
        <v>-4.0333221521649635E-15</v>
      </c>
      <c r="O314" s="388">
        <f t="shared" ca="1" si="1050"/>
        <v>4.0333221521649638E-14</v>
      </c>
      <c r="P314" s="390">
        <v>3</v>
      </c>
      <c r="Q314" s="388">
        <f ca="1">MAX($G314-Control!$C$107,0)</f>
        <v>0</v>
      </c>
      <c r="R314" s="388">
        <f t="shared" ca="1" si="1051"/>
        <v>0</v>
      </c>
      <c r="S314" s="388">
        <f t="shared" ca="1" si="929"/>
        <v>0</v>
      </c>
      <c r="T314" s="388">
        <f t="shared" ca="1" si="930"/>
        <v>0</v>
      </c>
      <c r="U314" s="59">
        <f t="shared" ca="1" si="931"/>
        <v>0</v>
      </c>
      <c r="V314" s="391">
        <f ca="1">MAX(0,MIN(Control!$C$100-Control!$C$99,$G314-Control!$C$99)*Control!$C$63)</f>
        <v>0</v>
      </c>
      <c r="W314" s="388">
        <f t="shared" ca="1" si="1052"/>
        <v>0</v>
      </c>
      <c r="X314" s="388">
        <f t="shared" ca="1" si="1053"/>
        <v>0.6110000000000001</v>
      </c>
      <c r="Y314" s="388">
        <f t="shared" ca="1" si="932"/>
        <v>0</v>
      </c>
      <c r="Z314" s="388">
        <f t="shared" ca="1" si="1054"/>
        <v>0.61058800000000002</v>
      </c>
      <c r="AA314" s="388">
        <f t="shared" ca="1" si="933"/>
        <v>0.6018</v>
      </c>
      <c r="AB314" s="388">
        <f ca="1">101.3*EXP(-0.034*Control!$C$66/($G314+273))</f>
        <v>100.69623283836242</v>
      </c>
      <c r="AC314" s="392">
        <f t="shared" ca="1" si="934"/>
        <v>4.3460251046025113E-2</v>
      </c>
      <c r="AD314" s="392">
        <f t="shared" ca="1" si="935"/>
        <v>4.4450382862832649E-2</v>
      </c>
      <c r="AE314" s="388">
        <f t="shared" ca="1" si="936"/>
        <v>0</v>
      </c>
      <c r="AF314" s="388">
        <f ca="1">MAX(0,$G314-Control!$C$92)</f>
        <v>0</v>
      </c>
      <c r="AG314" s="393">
        <f t="shared" ca="1" si="937"/>
        <v>310</v>
      </c>
      <c r="AH314" s="389">
        <f t="shared" ca="1" si="938"/>
        <v>310</v>
      </c>
      <c r="AI314" s="388">
        <f t="shared" ca="1" si="1055"/>
        <v>-0.28838835849389755</v>
      </c>
      <c r="AJ314" s="388">
        <f ca="1">IF(Control!$C$60&lt;=0,$HH314,$HI314)</f>
        <v>1</v>
      </c>
      <c r="AK314" s="388">
        <f t="shared" ca="1" si="939"/>
        <v>3.9592674538391917</v>
      </c>
      <c r="AL314" s="388">
        <f t="shared" ca="1" si="940"/>
        <v>-6.4922268949718633E-18</v>
      </c>
      <c r="AM314" s="388">
        <f t="shared" ca="1" si="941"/>
        <v>3.9592674538391917</v>
      </c>
      <c r="AN314" s="388">
        <f t="shared" ca="1" si="942"/>
        <v>-0.29445462925556098</v>
      </c>
      <c r="AO314" s="388">
        <f ca="1">-0.10453/COS(Control!$B$8*PI()/180)*COS(AN314)</f>
        <v>-0.16247741892844239</v>
      </c>
      <c r="AP314" s="388">
        <f ca="1">ACOS(AO314-TAN(Control!$B$8*PI()/180)*TAN(AN314))</f>
        <v>1.3431438053942739</v>
      </c>
      <c r="AQ314" s="388">
        <f t="shared" ca="1" si="1056"/>
        <v>0</v>
      </c>
      <c r="AR314" s="394">
        <f t="shared" ca="1" si="943"/>
        <v>0</v>
      </c>
      <c r="AS314" s="436">
        <f ca="1">IF(Control!$B$18=2,(IF(OR($AH314=Control!$B$175,$AH314=Control!$B$176,$AH314=Control!$B$177,$AH314=Control!$B$178,$AH314=Control!$B$179,$AH314=Control!$B$180,$AH314=Control!$B$181,$AH314=Control!$B$182,$AH314=Control!$B$183,$AH314=Control!$B$184,$AH314=Control!$B$185),1,0)),0)</f>
        <v>0</v>
      </c>
      <c r="AT314" s="436">
        <f>IF(Control!$B$20=8,IF(AND($AH314&gt;=Control!$B$172,$AH314&lt;=Control!$B$173),1,0),0)</f>
        <v>0</v>
      </c>
      <c r="AU314" s="436">
        <f>IF(Control!$B$20=8,IF($AV313=1,1*$AT314,IF($AT314=1,$AU313+1,$AU313)),0)</f>
        <v>0</v>
      </c>
      <c r="AV314" s="436">
        <f>IF(Control!$B$20=8,IF($AU314&gt;=Control!$B$174,1,0),0)</f>
        <v>0</v>
      </c>
      <c r="AW314" s="436">
        <f ca="1">IF(AND(Control!$B$18=2,Control!$B$171=1), $AV314, $AS314)</f>
        <v>0</v>
      </c>
      <c r="AX314" s="436" t="e">
        <f ca="1">IF(AND(Control!$B$18=1,$EU314&gt;=Control!$B$19),-$AY314,IF(AND(Control!$B$18=2,$AW314=1,$EU314&gt;$DS314),-$AY314, IF(Control!$C$108=0,0, IF(Control!$C$108&lt;&gt;0,1))))</f>
        <v>#N/A</v>
      </c>
      <c r="AY314" s="436" t="e">
        <f t="shared" ca="1" si="1057"/>
        <v>#N/A</v>
      </c>
      <c r="AZ314" s="436" t="e">
        <f ca="1">IF(AND(Control!$B$18=1,$EB314&gt;Control!$B$19),$AZ313+1, IF(AND(Control!$B$18=2, $AW314=1, $EB314&gt;$DS314), $AZ313+1,$AZ313))</f>
        <v>#N/A</v>
      </c>
      <c r="BA314" s="587">
        <f>IF(Control!$C$81=0,1,IF($AH314&gt;=Control!$C$82,1,0))</f>
        <v>1</v>
      </c>
      <c r="BB314" s="140" t="e">
        <f ca="1">IF($BA314&gt;$BA313,Control!$C$83,IF($AW314&gt;0,$AW314*Control!$C$84,IF(AND(Control!$B$18=1,EN313&lt;&gt;0),Control!$C$84,0)))</f>
        <v>#N/A</v>
      </c>
      <c r="BC314" s="140" t="e">
        <f t="shared" ca="1" si="1058"/>
        <v>#N/A</v>
      </c>
      <c r="BD314" s="140" t="e">
        <f ca="1">BC314*IF(OR($G314&lt;Control!$C$92,$G314&gt;Control!$C$95),0,IF(AND($G314&gt;=Control!$C$92,$G314&lt;=Control!$C$93),$G314-Control!$C$92,IF(AND($G314&gt;Control!$C$93,$G314&lt;=Control!$C$94),Control!$C$93-Control!$C$92,IF(AND($G314&gt;Control!$C$94,$G314&lt;=Control!$C$95),(Control!$C$93-Control!$C$92)*(Control!$C$94-$G314)/(Control!$C$95-Control!$C$94)))))</f>
        <v>#N/A</v>
      </c>
      <c r="BE314" s="140" t="e">
        <f t="shared" ca="1" si="1059"/>
        <v>#N/A</v>
      </c>
      <c r="BF314" s="140" t="e">
        <f ca="1">IF($BE314&lt;=Control!$C$86,$BE314,Control!$C$86-$BE314)</f>
        <v>#N/A</v>
      </c>
      <c r="BG314" s="140" t="e">
        <f ca="1">IF(AND($AW314=1,Control!$C$84&lt;9),1,IF($BE314&gt;=Control!$C$86,0,$BC314))</f>
        <v>#N/A</v>
      </c>
      <c r="BH314" s="404" t="e">
        <f ca="1">IF($BG314=0,0,IF($BE314&lt;=Control!$C$86,$BC314*9*($BF314/Control!$C$86),0))</f>
        <v>#N/A</v>
      </c>
      <c r="BI314" s="140" t="e">
        <f ca="1">IF($BG314=1,0,IF($BE314&gt;=Control!$C$86,1,IF(AND($BB314&lt;21,$BB314&gt;=9),1,$BM313)))</f>
        <v>#N/A</v>
      </c>
      <c r="BJ314" s="140" t="e">
        <f ca="1">IF($BF314&lt;0,-$BF314,$BI314*IF(OR($G314&lt;Control!$C$92,$G314&gt;Control!$C$95),0,IF(AND($G314&gt;=Control!$C$92,$G314&lt;=Control!$C$93),$G314-Control!$C$92,IF(AND($G314&gt;Control!$C$93,$G314&lt;=Control!$C$94),Control!$C$93-Control!$C$92,IF(AND($G314&gt;Control!$C$94,$G314&lt;=Control!$C$95),(Control!$C$93-Control!$C$92)*(Control!$C$94-$G314)/(Control!$C$95-Control!$C$94))))))</f>
        <v>#N/A</v>
      </c>
      <c r="BK314" s="140" t="e">
        <f t="shared" ca="1" si="1060"/>
        <v>#N/A</v>
      </c>
      <c r="BL314" s="140" t="e">
        <f ca="1">IF($BK314&lt;=Control!$C$87,$BK314,Control!$C$87-$BK314)</f>
        <v>#N/A</v>
      </c>
      <c r="BM314" s="140" t="e">
        <f ca="1">IF(AND($BB314&gt;=9,$BB314&lt;21),1,IF($BK314&gt;=Control!$C$87,0,$BI314))</f>
        <v>#N/A</v>
      </c>
      <c r="BN314" s="404" t="e">
        <f ca="1">IF($BM314=0,0,IF($BK314&lt;=Control!$C$87,$BI314*(9+(21-9)*($BL314/Control!$C$87)),0))</f>
        <v>#N/A</v>
      </c>
      <c r="BO314" s="140" t="e">
        <f ca="1">IF($BM314=1,0,IF($BK314&gt;=Control!$C$87,1,IF(AND($BB314&lt;30,$BB314&gt;=21),1,$BS313)))</f>
        <v>#N/A</v>
      </c>
      <c r="BP314" s="140" t="e">
        <f ca="1">IF($BL314&lt;0,-$BL314,$BO314*IF(OR($G314&lt;Control!$C$92,$G314&gt;Control!$C$95),0,IF(AND($G314&gt;=Control!$C$92,$G314&lt;=Control!$C$93),$G314-Control!$C$92,IF(AND($G314&gt;Control!$C$93,$G314&lt;=Control!$C$94),Control!$C$93-Control!$C$92,IF(AND($G314&gt;Control!$C$94,$G314&lt;=Control!$C$95),(Control!$C$93-Control!$C$92)*(Control!$C$94-$G314)/(Control!$C$95-Control!$C$94))))))</f>
        <v>#N/A</v>
      </c>
      <c r="BQ314" s="140" t="e">
        <f t="shared" ca="1" si="944"/>
        <v>#N/A</v>
      </c>
      <c r="BR314" s="140" t="e">
        <f ca="1">IF($BQ314&lt;=Control!$C$88,$BQ314,Control!$C$88-$BQ314)</f>
        <v>#N/A</v>
      </c>
      <c r="BS314" s="140" t="e">
        <f ca="1">IF(AND($BB314&gt;=21,$BB314&lt;30),1,IF($BQ314&gt;=Control!$C$88,0,$BO314))</f>
        <v>#N/A</v>
      </c>
      <c r="BT314" s="404" t="e">
        <f ca="1">IF($BS314=0,0,IF($BQ314&lt;=Control!$C$88,$BO314*(21+(30-21)*(BR314/Control!$C$88)),0))</f>
        <v>#N/A</v>
      </c>
      <c r="BU314" s="140" t="e">
        <f ca="1">IF(BG314+BM314+BS314=1,0,IF(OR(AND($BB314&lt;60,$BB314&gt;=30),$BQ314&gt;=Control!$C$88),1*$BA314,$BY313))</f>
        <v>#N/A</v>
      </c>
      <c r="BV314" s="140" t="e">
        <f ca="1">IF($BR314&lt;0,-$BR314,$BU314*IF(OR($G314&lt;Control!$C$92,$G314&gt;Control!$C$95),0,IF(AND($G314&gt;=Control!$C$92,$G314&lt;=Control!$C$93),$G314-Control!$C$92,IF(AND($G314&gt;Control!$C$93,$G314&lt;=Control!$C$94),Control!$C$93-Control!$C$92,IF(AND($G314&gt;Control!$C$94,$G314&lt;=Control!$C$95),(Control!$C$93-Control!$C$92)*(Control!$C$94-$G314)/(Control!$C$95-Control!$C$94))))))</f>
        <v>#N/A</v>
      </c>
      <c r="BW314" s="140" t="e">
        <f t="shared" ca="1" si="945"/>
        <v>#N/A</v>
      </c>
      <c r="BX314" s="140" t="e">
        <f ca="1">IF($BW314&lt;=Control!$C$89,$BW314,Control!$C$89-$BW314)</f>
        <v>#N/A</v>
      </c>
      <c r="BY314" s="140" t="e">
        <f ca="1">IF(AND($AJ314&gt;=30,$AJ314&lt;60),1,IF($BW314&gt;=Control!$C$89,0,$BU314))</f>
        <v>#N/A</v>
      </c>
      <c r="BZ314" s="404" t="e">
        <f ca="1">IF($BY314=0,0,IF($BW314&lt;=Control!$C$89,$BU314*(30+(60-30)*(BX314/Control!$C$89)),0))</f>
        <v>#N/A</v>
      </c>
      <c r="CA314" s="140" t="e">
        <f ca="1">IF($BG314+$BM314+$BS314+$BY314=1,0,IF(OR(AND($BB314&lt;65,$BB314&gt;=60),$BW314&gt;=Control!$C$89),1*$BA314,$CE313))</f>
        <v>#N/A</v>
      </c>
      <c r="CB314" s="140" t="e">
        <f ca="1">IF($BX314&lt;0,-$BX314,$CA314*IF(OR($G314&lt;Control!$C$92,$G314&gt;Control!$C$95),0,IF(AND($G314&gt;=Control!$C$92,$G314&lt;=Control!$C$93),$G314-Control!$C$92,IF(AND($G314&gt;Control!$C$93,$G314&lt;=Control!$C$94),Control!$C$93-Control!$C$92,IF(AND($G314&gt;Control!$C$94,$G314&lt;=Control!$C$95),(Control!$C$93-Control!$C$92)*(Control!$C$94-$G314)/(Control!$C$95-Control!$C$94))))))</f>
        <v>#N/A</v>
      </c>
      <c r="CC314" s="140" t="e">
        <f t="shared" ca="1" si="1061"/>
        <v>#N/A</v>
      </c>
      <c r="CD314" s="140" t="e">
        <f ca="1">IF($CC314&lt;=Control!$C$90,$CC314,Control!$C$90-$CC314)</f>
        <v>#N/A</v>
      </c>
      <c r="CE314" s="140" t="e">
        <f ca="1">IF(AND($BB314&gt;=60,$BB314&lt;65),1,IF($CC314&gt;=Control!$C$90,0,$CA314))</f>
        <v>#N/A</v>
      </c>
      <c r="CF314" s="404" t="e">
        <f ca="1">IF($CE314=0,0,IF($CC314&lt;=Control!$C$90,$CA314*(60+(65-60)*(CD314/Control!$C$90)),0))</f>
        <v>#N/A</v>
      </c>
      <c r="CG314" s="140" t="e">
        <f ca="1">IF($BG314+$BM314+$BS314+$BY314+$CE314=1,0,IF(OR(AND($BB314&lt;90,$BB314&gt;=65),$CC314&gt;=Control!$C$90),$BA314,$CK313))</f>
        <v>#N/A</v>
      </c>
      <c r="CH314" s="140" t="e">
        <f ca="1">IF($CD314&lt;0,-$CD314,$CG314*IF(OR($G314&lt;Control!$C$92,$G314&gt;Control!$C$95),0,IF(AND($G314&gt;=Control!$C$92,$G314&lt;=Control!$C$93),$G314-Control!$C$92,IF(AND($G314&gt;Control!$C$93,$G314&lt;=Control!$C$94),Control!$C$93-Control!$C$92,IF(AND($G314&gt;Control!$C$94,$G314&lt;=Control!$C$95),(Control!$C$93-Control!$C$92)*(Control!$C$94-$G314)/(Control!$C$95-Control!$C$94))))))</f>
        <v>#N/A</v>
      </c>
      <c r="CI314" s="140" t="e">
        <f t="shared" ca="1" si="1062"/>
        <v>#N/A</v>
      </c>
      <c r="CJ314" s="140" t="e">
        <f ca="1">IF($CI314&lt;=Control!$C$91,$CI314,Control!$C$91-$CI314)</f>
        <v>#N/A</v>
      </c>
      <c r="CK314" s="140" t="e">
        <f ca="1">IF(AND($BB314&gt;=65,$BB314&lt;90),1,IF($CI314&gt;=Control!$C$91,0,$CG314))</f>
        <v>#N/A</v>
      </c>
      <c r="CL314" s="404" t="e">
        <f ca="1">IF($CK314=0,0,IF($CI314&lt;=Control!$C$91,$CG314*(65+(90-65)*($CJ314/Control!$C$91)),0))</f>
        <v>#N/A</v>
      </c>
      <c r="CM314" s="140" t="e">
        <f ca="1">IF($BG314+$BM314+$BS314+$BY314+$CE314+$CK314=1,0,IF(OR($BB314&gt;=90,$CI314&gt;=Control!$C$91),$BA314,$CM313))</f>
        <v>#N/A</v>
      </c>
      <c r="CN314" s="140" t="e">
        <f t="shared" ca="1" si="1063"/>
        <v>#N/A</v>
      </c>
      <c r="CO314" s="140" t="e">
        <f t="shared" ca="1" si="1064"/>
        <v>#N/A</v>
      </c>
      <c r="CP314" s="140" t="e">
        <f t="shared" ca="1" si="1065"/>
        <v>#N/A</v>
      </c>
      <c r="CQ314" s="141" t="e">
        <f ca="1">VLOOKUP($CP314,Control!$B$86:$G$91,6)</f>
        <v>#N/A</v>
      </c>
      <c r="CR314" s="141" t="e">
        <f ca="1">(1-$CQ314)*VLOOKUP($CP314,Control!$B$86:$D$91,3)</f>
        <v>#N/A</v>
      </c>
      <c r="CS314" s="141" t="e">
        <f ca="1">(1-$CQ314)*VLOOKUP($CP314,Control!$B$86:$E$91,4)</f>
        <v>#N/A</v>
      </c>
      <c r="CT314" s="141" t="e">
        <f ca="1">(1-$CQ314)*VLOOKUP($CP314,Control!$B$86:$F$91,5)</f>
        <v>#N/A</v>
      </c>
      <c r="CU314" s="141">
        <f t="shared" ca="1" si="1066"/>
        <v>0</v>
      </c>
      <c r="CV314" s="583">
        <f t="shared" ca="1" si="1067"/>
        <v>0</v>
      </c>
      <c r="CW314" s="142">
        <f t="shared" ca="1" si="1068"/>
        <v>310</v>
      </c>
      <c r="CX314" s="612" t="e">
        <f ca="1">IF(Control!$C$114=1,(MIN(Control!$C$120*(IF($NT314-0.01&lt;0,0,1)),Control!$C$119-$CY314)))</f>
        <v>#DIV/0!</v>
      </c>
      <c r="CY314" s="143" t="e">
        <f t="shared" ca="1" si="1069"/>
        <v>#N/A</v>
      </c>
      <c r="CZ314" s="144">
        <f t="shared" ca="1" si="946"/>
        <v>0</v>
      </c>
      <c r="DA314" s="144">
        <f t="shared" ca="1" si="947"/>
        <v>0</v>
      </c>
      <c r="DB314" s="144" t="e">
        <f t="shared" ca="1" si="948"/>
        <v>#N/A</v>
      </c>
      <c r="DC314" s="144" t="e">
        <f t="shared" ca="1" si="949"/>
        <v>#N/A</v>
      </c>
      <c r="DD314" s="144" t="e">
        <f t="shared" ca="1" si="1154"/>
        <v>#N/A</v>
      </c>
      <c r="DE314" s="143" t="e">
        <f t="shared" ca="1" si="1070"/>
        <v>#N/A</v>
      </c>
      <c r="DF314" s="145" t="e">
        <f ca="1">$DR314*EXP(-Control!$C$158*(1-$KH314))</f>
        <v>#N/A</v>
      </c>
      <c r="DG314" s="146" t="e">
        <f ca="1">IF(Control!$C$114=1, $DF314*$EY314, 0)</f>
        <v>#N/A</v>
      </c>
      <c r="DH314" s="147" t="e">
        <f t="shared" ca="1" si="1071"/>
        <v>#N/A</v>
      </c>
      <c r="DI314" s="144" t="e">
        <f t="shared" ca="1" si="1132"/>
        <v>#N/A</v>
      </c>
      <c r="DJ314" s="147" t="e">
        <f ca="1">$EF314*Control!$C$109</f>
        <v>#N/A</v>
      </c>
      <c r="DK314" s="144" t="e">
        <f t="shared" ca="1" si="1072"/>
        <v>#N/A</v>
      </c>
      <c r="DL314" s="144" t="e">
        <f t="shared" ca="1" si="950"/>
        <v>#N/A</v>
      </c>
      <c r="DM314" s="144" t="e">
        <f ca="1">IF(Control!$C$114=1, (1-EXP(-Control!$C$96*$DK314))*$AR314, 0)</f>
        <v>#N/A</v>
      </c>
      <c r="DN314" s="144">
        <f t="shared" ca="1" si="1073"/>
        <v>0</v>
      </c>
      <c r="DO314" s="148">
        <f>Control!$C$97</f>
        <v>4</v>
      </c>
      <c r="DP314" s="145" t="e">
        <f t="shared" ca="1" si="1074"/>
        <v>#N/A</v>
      </c>
      <c r="DQ314" s="145" t="e">
        <f ca="1">IF(AND($CP314&gt;=0,$CP314&lt;=90),Control!$C$111,Control!$C$111)</f>
        <v>#N/A</v>
      </c>
      <c r="DR314" s="145" t="e">
        <f t="shared" ca="1" si="951"/>
        <v>#N/A</v>
      </c>
      <c r="DS314" s="143" t="e">
        <f ca="1">Control!$B$22/$DR314</f>
        <v>#N/A</v>
      </c>
      <c r="DT314" s="149" t="e">
        <f ca="1">IF(AND(Control!$C$114=1,$KH314&lt;1),$IM314*$DF314, 0)</f>
        <v>#N/A</v>
      </c>
      <c r="DU314" s="144" t="e">
        <f t="shared" ca="1" si="1075"/>
        <v>#N/A</v>
      </c>
      <c r="DV314" s="144">
        <f ca="1">IF($G314-Control!$C$107&lt;=0, 0, 0.83*LN(MAX($G314, 3))-0.8924)</f>
        <v>0</v>
      </c>
      <c r="DW314" s="144" t="e">
        <f t="shared" ca="1" si="952"/>
        <v>#N/A</v>
      </c>
      <c r="DX314" s="150" t="e">
        <f ca="1">MAX(0.01*(1+$CU314/Control!$C$102),0.05*($DK314-Control!$C$97)/Control!$C$97)</f>
        <v>#N/A</v>
      </c>
      <c r="DY314" s="151" t="e">
        <f ca="1">IF(Control!$C$114=1, $DI314*$FS314, 0)</f>
        <v>#N/A</v>
      </c>
      <c r="DZ314" s="196" t="e">
        <f t="shared" ca="1" si="1076"/>
        <v>#N/A</v>
      </c>
      <c r="EA314" s="152">
        <f t="shared" ca="1" si="1077"/>
        <v>310</v>
      </c>
      <c r="EB314" s="153" t="e">
        <f t="shared" ca="1" si="1078"/>
        <v>#N/A</v>
      </c>
      <c r="EC314" s="153" t="e">
        <f t="shared" ca="1" si="1079"/>
        <v>#N/A</v>
      </c>
      <c r="ED314" s="154" t="e">
        <f ca="1">IF(Control!$C$114=1, $HM314*$FY314-$FD314, 0)</f>
        <v>#DIV/0!</v>
      </c>
      <c r="EE314" s="155" t="e">
        <f ca="1">IF(Control!$C$114=1, $HM314*$FZ314-$FF314, 0)</f>
        <v>#DIV/0!</v>
      </c>
      <c r="EF314" s="153" t="e">
        <f t="shared" ca="1" si="1133"/>
        <v>#N/A</v>
      </c>
      <c r="EG314" s="155" t="e">
        <f ca="1">IF(Control!$C$114=1, $GX314*$FW314-$FI314, 0)</f>
        <v>#DIV/0!</v>
      </c>
      <c r="EH314" s="153" t="e">
        <f t="shared" ca="1" si="1080"/>
        <v>#N/A</v>
      </c>
      <c r="EI314" s="156" t="e">
        <f t="shared" ca="1" si="1081"/>
        <v>#N/A</v>
      </c>
      <c r="EJ314" s="155" t="e">
        <f ca="1">IF(Control!$C$114=1, $HM314*$GB314, 0)</f>
        <v>#DIV/0!</v>
      </c>
      <c r="EK314" s="153" t="e">
        <f t="shared" ca="1" si="1134"/>
        <v>#N/A</v>
      </c>
      <c r="EL314" s="153" t="e">
        <f t="shared" ca="1" si="953"/>
        <v>#N/A</v>
      </c>
      <c r="EM314" s="153" t="e">
        <f t="shared" ca="1" si="954"/>
        <v>#N/A</v>
      </c>
      <c r="EN314" s="153" t="e">
        <f ca="1">IF(Control!$C$108=1,IF(AND(Control!$B$18=1,$EB314&gt;=Control!$B$19),$EB314-$DS314,IF(AND(Control!$B$18=2,$AW314=1,$EB314&gt;$DS314),$EB314-$DS314,0)))</f>
        <v>#N/A</v>
      </c>
      <c r="EO314" s="153" t="e">
        <f ca="1">IF(Control!$C$108=1,IF(AND(Control!$B$18=1,$EB314&gt;=Control!$B$19),$EF314,IF(AND(Control!$B$18=2,$AW314=1),$EF314,0)))</f>
        <v>#N/A</v>
      </c>
      <c r="EP314" s="153" t="e">
        <f ca="1">IF(Control!$C$108=1,IF(AND(Control!$B$18=1,$EB314&gt;=Control!$B$19),$EK314,IF(AND(Control!$B$18=2,$AW314=1),$EK314,0)))</f>
        <v>#N/A</v>
      </c>
      <c r="EQ314" s="153" t="e">
        <f t="shared" ca="1" si="1082"/>
        <v>#N/A</v>
      </c>
      <c r="ER314" s="153" t="e">
        <f t="shared" ca="1" si="1083"/>
        <v>#N/A</v>
      </c>
      <c r="ES314" s="153" t="e">
        <f t="shared" ca="1" si="1135"/>
        <v>#N/A</v>
      </c>
      <c r="ET314" s="153" t="e">
        <f t="shared" ca="1" si="1136"/>
        <v>#N/A</v>
      </c>
      <c r="EU314" s="153" t="e">
        <f t="shared" ca="1" si="1084"/>
        <v>#N/A</v>
      </c>
      <c r="EV314" s="153" t="e">
        <f t="shared" ca="1" si="955"/>
        <v>#N/A</v>
      </c>
      <c r="EW314" s="153" t="e">
        <f t="shared" ca="1" si="956"/>
        <v>#N/A</v>
      </c>
      <c r="EX314" s="153" t="e">
        <f t="shared" ca="1" si="957"/>
        <v>#N/A</v>
      </c>
      <c r="EY314" s="157" t="e">
        <f t="shared" ca="1" si="958"/>
        <v>#DIV/0!</v>
      </c>
      <c r="EZ314" s="154" t="e">
        <f t="shared" ca="1" si="959"/>
        <v>#DIV/0!</v>
      </c>
      <c r="FA314" s="153" t="e">
        <f t="shared" ca="1" si="1085"/>
        <v>#N/A</v>
      </c>
      <c r="FB314" s="153" t="e">
        <f t="shared" ca="1" si="960"/>
        <v>#N/A</v>
      </c>
      <c r="FC314" s="193" t="e">
        <f t="shared" ca="1" si="961"/>
        <v>#N/A</v>
      </c>
      <c r="FD314" s="158" t="e">
        <f t="shared" ca="1" si="1086"/>
        <v>#N/A</v>
      </c>
      <c r="FE314" s="158" t="e">
        <f t="shared" ca="1" si="1087"/>
        <v>#N/A</v>
      </c>
      <c r="FF314" s="159" t="e">
        <f t="shared" ca="1" si="962"/>
        <v>#N/A</v>
      </c>
      <c r="FG314" s="160" t="e">
        <f t="shared" ca="1" si="1088"/>
        <v>#N/A</v>
      </c>
      <c r="FH314" s="158" t="e">
        <f t="shared" ca="1" si="1089"/>
        <v>#N/A</v>
      </c>
      <c r="FI314" s="159" t="e">
        <f t="shared" ca="1" si="963"/>
        <v>#N/A</v>
      </c>
      <c r="FJ314" s="160" t="e">
        <f t="shared" ca="1" si="1090"/>
        <v>#N/A</v>
      </c>
      <c r="FK314" s="160" t="e">
        <f t="shared" ca="1" si="964"/>
        <v>#N/A</v>
      </c>
      <c r="FL314" s="160" t="e">
        <f t="shared" ca="1" si="1137"/>
        <v>#N/A</v>
      </c>
      <c r="FM314" s="160" t="e">
        <f t="shared" ca="1" si="965"/>
        <v>#N/A</v>
      </c>
      <c r="FN314" s="158">
        <f t="shared" ca="1" si="1091"/>
        <v>0.01</v>
      </c>
      <c r="FO314" s="160">
        <f>Control!$C$101</f>
        <v>50</v>
      </c>
      <c r="FP314" s="150" t="e">
        <f t="shared" ca="1" si="966"/>
        <v>#N/A</v>
      </c>
      <c r="FQ314" s="150" t="e">
        <f ca="1">MAX(0,(Control!$C$112*(($DK314-Control!$C$97)/Control!$C$97)))</f>
        <v>#N/A</v>
      </c>
      <c r="FR314" s="150" t="e">
        <f ca="1">(1-$NT314)*Control!$C$113</f>
        <v>#DIV/0!</v>
      </c>
      <c r="FS314" s="198" t="e">
        <f t="shared" ca="1" si="967"/>
        <v>#N/A</v>
      </c>
      <c r="FT314" s="161">
        <f t="shared" ca="1" si="1092"/>
        <v>310</v>
      </c>
      <c r="FU314" s="162" t="e">
        <f ca="1">IF(Control!$B$34=1,VLOOKUP($CP314,Control!$B$86:$G$91,6),Control!$B$35)</f>
        <v>#N/A</v>
      </c>
      <c r="FV314" s="162" t="e">
        <f t="shared" ca="1" si="968"/>
        <v>#DIV/0!</v>
      </c>
      <c r="FW314" s="162" t="e">
        <f ca="1">IF(Control!$B$31=1,$FU314*$FV314,  $FU314)</f>
        <v>#N/A</v>
      </c>
      <c r="FX314" s="162" t="e">
        <f ca="1">IF(Control!$B$34=1,VLOOKUP($CP314,Control!$B$86:$G$91,3),Control!$B$36)</f>
        <v>#N/A</v>
      </c>
      <c r="FY314" s="162" t="e">
        <f t="shared" ca="1" si="969"/>
        <v>#N/A</v>
      </c>
      <c r="FZ314" s="162" t="e">
        <f ca="1">IF(Control!$B$34=1,VLOOKUP($CP314,Control!$B$86:$G$91,4),Control!$B$37)</f>
        <v>#N/A</v>
      </c>
      <c r="GA314" s="162" t="e">
        <f t="shared" ca="1" si="970"/>
        <v>#N/A</v>
      </c>
      <c r="GB314" s="162" t="e">
        <f ca="1">IF(Control!$B$34=1,VLOOKUP($CP314,Control!$B$86:$G$91,5),Control!$B$38)</f>
        <v>#N/A</v>
      </c>
      <c r="GC314" s="162" t="e">
        <f t="shared" ca="1" si="1093"/>
        <v>#N/A</v>
      </c>
      <c r="GD314" s="162">
        <f t="shared" ca="1" si="971"/>
        <v>1</v>
      </c>
      <c r="GE314" s="162">
        <f t="shared" ca="1" si="972"/>
        <v>1</v>
      </c>
      <c r="GF314" s="162">
        <f ca="1">IF(AND(Control!$C$104=1, Control!$C$62="F"),$GE314,1)</f>
        <v>1</v>
      </c>
      <c r="GG314" s="162" t="e">
        <f ca="1">IF(Control!$B$16=40,0,IF(AND(Control!$B$16&gt;40,Control!$B$16&lt;=360),(Control!$B$16-40)*((1-0)/(360-40)),IF(AND(Control!$B$16&gt;360,Control!$B$16&lt;=720),(1+(Control!$B$16-360)*((1.25-1)/(720-360))),IF(AND(Control!$B$16&gt;720,Control!$B$16&lt;=1000),(1.25+(Control!$B$16-720)*((1.35-1.25)/(1000-720))),IF(AND(Control!$B$16&gt;1000,Control!$B$16&lt;=2000),(1.35+(Control!$B$16-1000)*0))))))</f>
        <v>#N/A</v>
      </c>
      <c r="GH314" s="162" t="e">
        <f t="shared" ca="1" si="973"/>
        <v>#N/A</v>
      </c>
      <c r="GI314" s="162">
        <f t="shared" ca="1" si="1094"/>
        <v>0</v>
      </c>
      <c r="GJ314" s="162">
        <f t="shared" ca="1" si="974"/>
        <v>0</v>
      </c>
      <c r="GK314" s="162">
        <f t="shared" ca="1" si="1095"/>
        <v>1</v>
      </c>
      <c r="GL314" s="162">
        <f t="shared" ca="1" si="975"/>
        <v>1</v>
      </c>
      <c r="GM314" s="162" t="e">
        <f ca="1">MAX(0,MIN(1,1-Control!$C$156*(1.0001-$KH314)^2))</f>
        <v>#N/A</v>
      </c>
      <c r="GN314" s="162" t="e">
        <f ca="1">IF(Control!$B$26=1,$KU314,$KX314)</f>
        <v>#N/A</v>
      </c>
      <c r="GO314" s="162" t="e">
        <f ca="1">IF($CP314&lt;=60,Control!$C$105,IF($CP314&gt;=90,Control!$C$106,Control!$C$105+($CP314-60)*((Control!$C$106-Control!$C$105)/(90-60))))</f>
        <v>#N/A</v>
      </c>
      <c r="GP314" s="162" t="e">
        <f t="shared" ca="1" si="976"/>
        <v>#N/A</v>
      </c>
      <c r="GQ314" s="162" t="e">
        <f t="shared" ca="1" si="1096"/>
        <v>#N/A</v>
      </c>
      <c r="GR314" s="163" t="e">
        <f t="shared" ca="1" si="977"/>
        <v>#DIV/0!</v>
      </c>
      <c r="GS314" s="162" t="e">
        <f t="shared" ca="1" si="978"/>
        <v>#DIV/0!</v>
      </c>
      <c r="GT314" s="164" t="e">
        <f t="shared" ca="1" si="1097"/>
        <v>#N/A</v>
      </c>
      <c r="GU314" s="162" t="e">
        <f t="shared" ca="1" si="1098"/>
        <v>#N/A</v>
      </c>
      <c r="GV314" s="162" t="e">
        <f t="shared" ca="1" si="979"/>
        <v>#N/A</v>
      </c>
      <c r="GW314" s="162" t="e">
        <f t="shared" ca="1" si="980"/>
        <v>#DIV/0!</v>
      </c>
      <c r="GX314" s="162" t="e">
        <f t="shared" ca="1" si="1099"/>
        <v>#DIV/0!</v>
      </c>
      <c r="GY314" s="162" t="e">
        <f t="shared" ca="1" si="1100"/>
        <v>#DIV/0!</v>
      </c>
      <c r="GZ314" s="165" t="e">
        <f t="shared" ca="1" si="981"/>
        <v>#N/A</v>
      </c>
      <c r="HA314" s="162" t="e">
        <f ca="1">IF(Control!$C$114=1, $DI314*$FS314, 0)</f>
        <v>#N/A</v>
      </c>
      <c r="HB314" s="162" t="e">
        <f ca="1">$FA314/Control!$C$64</f>
        <v>#N/A</v>
      </c>
      <c r="HC314" s="162" t="e">
        <f t="shared" ca="1" si="982"/>
        <v>#DIV/0!</v>
      </c>
      <c r="HD314" s="162">
        <f ca="1">-ASIN(SIN(23.45*Control!$C$139)*COS(2*Control!$C$138*($AH314+10)/365))</f>
        <v>-0.28838835849389755</v>
      </c>
      <c r="HE314" s="165">
        <f t="shared" ca="1" si="1101"/>
        <v>0</v>
      </c>
      <c r="HF314" s="166">
        <f ca="1">IF(AND(Control!$C$61="T",$HE314&gt;=Control!$C$103,Control!$C$114=0),$AH314,Control!$C$59)</f>
        <v>1</v>
      </c>
      <c r="HG314" s="166">
        <f ca="1">IF(AND(Control!$C$61="T",$HE314&gt;=Control!$C$103,Control!$C$114=0),$HF314,Control!$C$59)</f>
        <v>1</v>
      </c>
      <c r="HH314" s="165">
        <f ca="1">IF(AND(OR(Control!$C$60&lt;=0, $AH314= Control!$C$59, Control!$C$60 &gt;0, $AH314 = Control!$C$60)), Control!$C$59, IF(Control!$C$60&gt;0, 0))</f>
        <v>1</v>
      </c>
      <c r="HI314" s="165">
        <f ca="1">IF(AND(OR(Control!$C$60&lt;=0, $AH314= Control!$C$59, Control!$C$60 &gt;0, $AH314 = Control!$C$60)), Control!$C$60, IF(Control!$C$60&lt;=0, 0))</f>
        <v>0</v>
      </c>
      <c r="HJ314" s="166">
        <f ca="1">IF(AND(Control!$C$62="F",$CV314&gt;=Control!$C$102),$AH314,0)</f>
        <v>0</v>
      </c>
      <c r="HK314" s="165" t="e">
        <f t="shared" ca="1" si="1138"/>
        <v>#N/A</v>
      </c>
      <c r="HL314" s="166">
        <f ca="1">IF(AND(Control!$C$61="T",$HE314&gt;=Control!$C$103,Control!$C$114=0),$HF314,0)</f>
        <v>0</v>
      </c>
      <c r="HM314" s="201" t="e">
        <f t="shared" ca="1" si="983"/>
        <v>#DIV/0!</v>
      </c>
      <c r="HN314" s="215">
        <f t="shared" ca="1" si="1102"/>
        <v>310</v>
      </c>
      <c r="HO314" s="216" t="e">
        <f ca="1">IF(AND($CP314&gt;=0, $CP314&lt;=90), Control!$C$152, Control!$C$152)</f>
        <v>#N/A</v>
      </c>
      <c r="HP314" s="216" t="e">
        <f t="shared" ca="1" si="984"/>
        <v>#N/A</v>
      </c>
      <c r="HQ314" s="217" t="e">
        <f ca="1">IF(OR(Control!$B$26=1,Control!$B$26=2),$KV314,$KS314)</f>
        <v>#DIV/0!</v>
      </c>
      <c r="HR314" s="218" t="e">
        <f t="shared" ca="1" si="1139"/>
        <v>#DIV/0!</v>
      </c>
      <c r="HS314" s="216" t="e">
        <f ca="1">Control!$C$154*$HP314</f>
        <v>#N/A</v>
      </c>
      <c r="HT314" s="216" t="e">
        <f ca="1">Control!$C$155*$HP314</f>
        <v>#N/A</v>
      </c>
      <c r="HU314" s="217" t="e">
        <f ca="1">Control!$C$161*$FI314</f>
        <v>#N/A</v>
      </c>
      <c r="HV314" s="218" t="e">
        <f t="shared" ca="1" si="1103"/>
        <v>#N/A</v>
      </c>
      <c r="HW314" s="218" t="e">
        <f ca="1">Control!$C$160*$FF314+$IP314*$EO314</f>
        <v>#N/A</v>
      </c>
      <c r="HX314" s="218" t="e">
        <f t="shared" ca="1" si="1140"/>
        <v>#N/A</v>
      </c>
      <c r="HY314" s="219" t="e">
        <f ca="1">IF(Control!$C$114=1, $EB314*$FS314, 0)</f>
        <v>#N/A</v>
      </c>
      <c r="HZ314" s="91" t="e">
        <f t="shared" ca="1" si="985"/>
        <v>#N/A</v>
      </c>
      <c r="IA314" s="220" t="e">
        <f ca="1">Control!$C$153*$HO314</f>
        <v>#N/A</v>
      </c>
      <c r="IB314" s="218" t="e">
        <f t="shared" ca="1" si="986"/>
        <v>#N/A</v>
      </c>
      <c r="IC314" s="220" t="e">
        <f ca="1">Control!$C$153*$HT314</f>
        <v>#N/A</v>
      </c>
      <c r="ID314" s="218" t="e">
        <f t="shared" ca="1" si="987"/>
        <v>#N/A</v>
      </c>
      <c r="IE314" s="221" t="e">
        <f ca="1">($EB314*Control!$C$159+$EF314*Control!$C$160)/(IF($GZ314&lt;&gt;0,$GZ314,1))</f>
        <v>#N/A</v>
      </c>
      <c r="IF314" s="216" t="e">
        <f t="shared" ca="1" si="988"/>
        <v>#N/A</v>
      </c>
      <c r="IG314" s="91">
        <f ca="1">IF(OR(Control!$B$198=$AH314,Control!$B$199=$AH314, Control!$B$200=$AH314, Control!$B$201=$AH314, Control!$B$202=$AH314, Control!$B$203=$AH314, Control!$B$204=$AH314, Control!$B$205=$AH314, Control!$B$206=$AH314, Control!$B$207=$AH314), 1, 0)</f>
        <v>0</v>
      </c>
      <c r="IH314" s="91">
        <f ca="1">IF($IG314=0,0, VLOOKUP($AH314,Control!$B$198:$C$207,2))</f>
        <v>0</v>
      </c>
      <c r="II314" s="222">
        <f t="shared" ca="1" si="1104"/>
        <v>0</v>
      </c>
      <c r="IJ314" s="91">
        <f>Control!$C$121</f>
        <v>0.7</v>
      </c>
      <c r="IK314" s="218">
        <f t="shared" ca="1" si="989"/>
        <v>0</v>
      </c>
      <c r="IL314" s="217" t="e">
        <f t="shared" ca="1" si="1141"/>
        <v>#N/A</v>
      </c>
      <c r="IM314" s="223" t="e">
        <f ca="1">IF(AND(Control!$C$114=1,$KH314&lt;1),$EB314*Control!$C$148*(1-$KH314), 0)</f>
        <v>#N/A</v>
      </c>
      <c r="IN314" s="217" t="e">
        <f t="shared" ca="1" si="990"/>
        <v>#DIV/0!</v>
      </c>
      <c r="IO314" s="91" t="e">
        <f ca="1">MAX(0,$IL314-$EF314*Control!$C$160)</f>
        <v>#N/A</v>
      </c>
      <c r="IP314" s="220" t="e">
        <f t="shared" ca="1" si="991"/>
        <v>#N/A</v>
      </c>
      <c r="IQ314" s="217" t="e">
        <f t="shared" ca="1" si="1105"/>
        <v>#N/A</v>
      </c>
      <c r="IR314" s="218" t="e">
        <f t="shared" ca="1" si="992"/>
        <v>#N/A</v>
      </c>
      <c r="IS314" s="217" t="e">
        <f ca="1">Control!$C$159*MAX(0,$FD314-$EN314)</f>
        <v>#N/A</v>
      </c>
      <c r="IT314" s="217" t="e">
        <f t="shared" ca="1" si="1142"/>
        <v>#N/A</v>
      </c>
      <c r="IU314" s="217" t="e">
        <f t="shared" ca="1" si="1106"/>
        <v>#N/A</v>
      </c>
      <c r="IV314" s="217" t="e">
        <f t="shared" ca="1" si="1143"/>
        <v>#N/A</v>
      </c>
      <c r="IW314" s="217" t="e">
        <f ca="1">IF(OR($AW314=1,AND($AW314=0, Control!$B$18=1,$EN314&lt;&gt;0)), $IQ314-$IU314, $IQ314)</f>
        <v>#N/A</v>
      </c>
      <c r="IX314" s="218" t="e">
        <f t="shared" ca="1" si="993"/>
        <v>#N/A</v>
      </c>
      <c r="IY314" s="218" t="e">
        <f ca="1">MAX(0,$IQ314-$EB314*Control!$C$159)</f>
        <v>#N/A</v>
      </c>
      <c r="IZ314" s="218" t="e">
        <f t="shared" ca="1" si="994"/>
        <v>#N/A</v>
      </c>
      <c r="JA314" s="216" t="e">
        <f t="shared" ca="1" si="995"/>
        <v>#N/A</v>
      </c>
      <c r="JB314" s="217" t="e">
        <f t="shared" ca="1" si="996"/>
        <v>#N/A</v>
      </c>
      <c r="JC314" s="222" t="e">
        <f ca="1">MAX(Control!$C$157*$EK314-$JT314, 0)/Control!$C$162</f>
        <v>#N/A</v>
      </c>
      <c r="JD314" s="218" t="e">
        <f t="shared" ca="1" si="997"/>
        <v>#N/A</v>
      </c>
      <c r="JE314" s="218" t="e">
        <f t="shared" ca="1" si="998"/>
        <v>#N/A</v>
      </c>
      <c r="JF314" s="218" t="e">
        <f t="shared" ca="1" si="1107"/>
        <v>#N/A</v>
      </c>
      <c r="JG314" s="218" t="e">
        <f t="shared" ca="1" si="999"/>
        <v>#N/A</v>
      </c>
      <c r="JH314" s="217" t="e">
        <f t="shared" ca="1" si="1108"/>
        <v>#N/A</v>
      </c>
      <c r="JI314" s="217" t="e">
        <f t="shared" ca="1" si="1109"/>
        <v>#N/A</v>
      </c>
      <c r="JJ314" s="217" t="e">
        <f t="shared" ca="1" si="1144"/>
        <v>#N/A</v>
      </c>
      <c r="JK314" s="217" t="e">
        <f ca="1">IF(Control!$C$114=1,IF(Control!$B$24=0,MAX(0,$JI314)*$GN314/Control!$C$64,(MAX(0,MIN($JI314,$JJ314*$GN314/Control!$C$64),0))))</f>
        <v>#N/A</v>
      </c>
      <c r="JL314" s="217" t="e">
        <f ca="1">$IK314/Control!$C$64-$JK314+$HQ314</f>
        <v>#N/A</v>
      </c>
      <c r="JM314" s="217" t="e">
        <f ca="1">IF(Control!$C$114=1,($JB314/(IF($JI314&lt;&gt;0,$JI314,1)))*$JK314,0)</f>
        <v>#N/A</v>
      </c>
      <c r="JN314" s="217" t="e">
        <f ca="1">IF(Control!$C$114=1,($JG314/(IF($JI314&lt;&gt;0,$JI314,1)))*$JK314, 0)</f>
        <v>#N/A</v>
      </c>
      <c r="JO314" s="218" t="e">
        <f t="shared" ca="1" si="1000"/>
        <v>#N/A</v>
      </c>
      <c r="JP314" s="218" t="e">
        <f ca="1">MIN(($IY314+$IO314)*Control!$C$151, $JF314-$EH314*Control!$C$161)</f>
        <v>#N/A</v>
      </c>
      <c r="JQ314" s="218" t="e">
        <f t="shared" ca="1" si="1001"/>
        <v>#N/A</v>
      </c>
      <c r="JR314" s="217" t="e">
        <f ca="1">IF($CP314-Control!$C$150&lt;0, 0, $JQ314/Control!$C$162)</f>
        <v>#N/A</v>
      </c>
      <c r="JS314" s="218" t="e">
        <f t="shared" ca="1" si="1002"/>
        <v>#N/A</v>
      </c>
      <c r="JT314" s="218" t="e">
        <f t="shared" ca="1" si="1110"/>
        <v>#N/A</v>
      </c>
      <c r="JU314" s="218" t="e">
        <f t="shared" ca="1" si="1003"/>
        <v>#N/A</v>
      </c>
      <c r="JV314" s="218" t="e">
        <f t="shared" ca="1" si="1004"/>
        <v>#N/A</v>
      </c>
      <c r="JW314" s="216" t="e">
        <f t="shared" ca="1" si="1005"/>
        <v>#N/A</v>
      </c>
      <c r="JX314" s="91" t="e">
        <f t="shared" ca="1" si="1006"/>
        <v>#N/A</v>
      </c>
      <c r="JY314" s="218" t="e">
        <f t="shared" ca="1" si="1007"/>
        <v>#N/A</v>
      </c>
      <c r="JZ314" s="217" t="e">
        <f ca="1">IF(Control!$C$114=1,($IZ314/(IF($JI314&lt;&gt;0,$JI314,1)))*$JK314, 0)</f>
        <v>#N/A</v>
      </c>
      <c r="KA314" s="218" t="e">
        <f t="shared" ca="1" si="1145"/>
        <v>#N/A</v>
      </c>
      <c r="KB314" s="218" t="e">
        <f t="shared" ca="1" si="1111"/>
        <v>#N/A</v>
      </c>
      <c r="KC314" s="218" t="e">
        <f t="shared" ca="1" si="1008"/>
        <v>#N/A</v>
      </c>
      <c r="KD314" s="218" t="e">
        <f t="shared" ca="1" si="1009"/>
        <v>#N/A</v>
      </c>
      <c r="KE314" s="218" t="e">
        <f t="shared" ca="1" si="1010"/>
        <v>#N/A</v>
      </c>
      <c r="KF314" s="218" t="e">
        <f t="shared" ca="1" si="1011"/>
        <v>#N/A</v>
      </c>
      <c r="KG314" s="216" t="e">
        <f t="shared" ca="1" si="1012"/>
        <v>#N/A</v>
      </c>
      <c r="KH314" s="221" t="e">
        <f ca="1">IF(Control!$B$24=0,1,MAX(0.001,MIN(1,IF(($IF314-$IE314)&lt;&gt;0,($KG314-$IE314)/($IF314-$IE314),1))))</f>
        <v>#N/A</v>
      </c>
      <c r="KI314" s="222" t="e">
        <f ca="1">IF(Control!$C$114=1, $KI313+ $KH313, 0)</f>
        <v>#N/A</v>
      </c>
      <c r="KJ314" s="217" t="e">
        <f t="shared" ca="1" si="1013"/>
        <v>#N/A</v>
      </c>
      <c r="KK314" s="218" t="e">
        <f t="shared" ca="1" si="1014"/>
        <v>#N/A</v>
      </c>
      <c r="KL314" s="274" t="e">
        <f ca="1">IF(Control!$B$26=3,4000000000*EXP(-8400/($G314+273)),IF(Control!$B$26=4,4000000000*EXP(-8400/($G314+273))*($KT314),0))</f>
        <v>#DIV/0!</v>
      </c>
      <c r="KM314" s="274" t="e">
        <f ca="1">IF(Control!$B$26=3,5600000000000*EXP(-9800/($G314+273)),IF(Control!$B$26=4,5600000000000*EXP(-9800/($G314+273))*$KT314,0))</f>
        <v>#DIV/0!</v>
      </c>
      <c r="KN314" s="454" t="e">
        <f t="shared" ca="1" si="1112"/>
        <v>#DIV/0!</v>
      </c>
      <c r="KO314" s="274" t="e">
        <f t="shared" ca="1" si="1113"/>
        <v>#DIV/0!</v>
      </c>
      <c r="KP314" s="454" t="e">
        <f t="shared" ca="1" si="1015"/>
        <v>#DIV/0!</v>
      </c>
      <c r="KQ314" s="454" t="e">
        <f t="shared" ca="1" si="1016"/>
        <v>#DIV/0!</v>
      </c>
      <c r="KR314" s="454" t="e">
        <f t="shared" ca="1" si="1017"/>
        <v>#DIV/0!</v>
      </c>
      <c r="KS314" s="454" t="e">
        <f t="shared" ca="1" si="1018"/>
        <v>#DIV/0!</v>
      </c>
      <c r="KT314" s="455" t="e">
        <f t="shared" ca="1" si="1019"/>
        <v>#DIV/0!</v>
      </c>
      <c r="KU314" s="456" t="e">
        <f ca="1">IF($CP314-Control!$C$149&lt;0, IF($NT314-0.01&lt;0,0,1),0)</f>
        <v>#N/A</v>
      </c>
      <c r="KV314" s="456" t="e">
        <f ca="1">IF(Control!$C$114=1,MAX(0,MIN(Control!$C$125*$KW314*$GN314,$KW314)))</f>
        <v>#DIV/0!</v>
      </c>
      <c r="KW314" s="456" t="e">
        <f t="shared" ca="1" si="1146"/>
        <v>#DIV/0!</v>
      </c>
      <c r="KX314" s="457" t="e">
        <f ca="1">IF($CP314-Control!$C$149&lt;0, IF($MR314-$OM314&lt;0,0,1),0)</f>
        <v>#N/A</v>
      </c>
      <c r="KY314" s="167">
        <f t="shared" ca="1" si="1114"/>
        <v>310</v>
      </c>
      <c r="KZ314" s="168">
        <f ca="1">1370*(1+0.033*COS(2*Control!$C$138*$AH314/365))</f>
        <v>1396.4165782721104</v>
      </c>
      <c r="LA314" s="169">
        <f t="shared" ca="1" si="1115"/>
        <v>1.0192818397297361</v>
      </c>
      <c r="LB314" s="169">
        <f t="shared" ca="1" si="1116"/>
        <v>-0.294766236273311</v>
      </c>
      <c r="LC314" s="169">
        <f ca="1">ACOS(-TAN((2*Control!$B$8/360))*TAN(Calculations!$LB314))</f>
        <v>1.4804393181915003</v>
      </c>
      <c r="LD314" s="169">
        <f ca="1">((24*60)/PI())*0.082*$LA314*(($LC314*SIN(Control!$B$8*2*PI()/360))*SIN($LB314)+COS(Control!$B$8*2*PI()/360)*COS($LB314)*SIN($LC314))</f>
        <v>9.4929481297384104</v>
      </c>
      <c r="LE314" s="170">
        <f t="shared" ca="1" si="1020"/>
        <v>10.726098901873874</v>
      </c>
      <c r="LF314" s="170">
        <f ca="1">SIN(Control!$C$139*Control!$B$8)*SIN($HD314)</f>
        <v>-0.22411654695671929</v>
      </c>
      <c r="LG314" s="170">
        <f ca="1">COS(Control!$C$139*Control!$B$8)*COS($HD314)</f>
        <v>0.59023519761251331</v>
      </c>
      <c r="LH314" s="170">
        <f ca="1">12*(1+2*ASIN(MAX(-1,MIN(1,$LF314/$LG314))/Control!$C$138))</f>
        <v>9.0921482847893103</v>
      </c>
      <c r="LI314" s="170">
        <f ca="1">12*(1+2*ASIN(MAX(-1,MIN(1,(-SIN(-4*Control!$C$139)+$LF314)/$LG314))/Control!$C$138))</f>
        <v>9.9998036167497855</v>
      </c>
      <c r="LJ314" s="168">
        <f ca="1">3600*($LH314*$LF314+24*$LG314*SQRT(1-$LK314*$LK314)/Control!$C$138)</f>
        <v>7681.1598120283488</v>
      </c>
      <c r="LK314" s="170">
        <f t="shared" ca="1" si="1021"/>
        <v>-0.37970718768257999</v>
      </c>
      <c r="LL314" s="170">
        <f t="shared" ca="1" si="1022"/>
        <v>0</v>
      </c>
      <c r="LM314" s="171">
        <f ca="1">Control!$C$145*$AB314</f>
        <v>6.6660906138995932E-2</v>
      </c>
      <c r="LN314" s="170">
        <f t="shared" ca="1" si="1117"/>
        <v>0.54</v>
      </c>
      <c r="LO314" s="170">
        <f t="shared" ca="1" si="1023"/>
        <v>0</v>
      </c>
      <c r="LP314" s="170">
        <f ca="1">Control!$C$140*((($D314+273.16)^4+($E314+273.16)^4)/2)*(0.34-0.14*SQRT($Y314))*(1.35*$AQ314/(0.75*$LD314)-0.35)</f>
        <v>-3.2464704755046001</v>
      </c>
      <c r="LQ314" s="170">
        <f ca="1">Control!$C$140*($G314+273)^4*(0.56-0.079*SQRT($Y314*10))*(0.1+0.9*$LO314)</f>
        <v>1.5241745131704001</v>
      </c>
      <c r="LR314" s="170">
        <f ca="1">$AQ314*(1-Control!$C$142)-$LQ314</f>
        <v>-1.5241745131704001</v>
      </c>
      <c r="LS314" s="170">
        <f ca="1">$AQ314*(1-Control!$C$143)-$LQ314</f>
        <v>-1.5241745131704001</v>
      </c>
      <c r="LT314" s="170">
        <f ca="1">$AQ314*(1-Control!$C$144)-$LQ314</f>
        <v>-1.5241745131704001</v>
      </c>
      <c r="LU314" s="169">
        <f ca="1">(1-Control!$C$144)*AQ314-LP314</f>
        <v>3.2464704755046001</v>
      </c>
      <c r="LV314" s="172">
        <f t="shared" ca="1" si="1024"/>
        <v>0.79430000000000012</v>
      </c>
      <c r="LW314" s="170">
        <f t="shared" ca="1" si="1025"/>
        <v>1.5886000000000002</v>
      </c>
      <c r="LX314" s="170">
        <f ca="1">($AC314*($LR314/Control!$C$141)+$LM314*$LV314)/($AC314+$LM314)</f>
        <v>0.23530094218323697</v>
      </c>
      <c r="LY314" s="170">
        <f ca="1">($AC314*($LS314/Control!$C$141)+$LM314*$LV314)/($AC314+$LM314)</f>
        <v>0.23530094218323697</v>
      </c>
      <c r="LZ314" s="170">
        <f t="shared" ca="1" si="1026"/>
        <v>0.23530094218323697</v>
      </c>
      <c r="MA314" s="170">
        <f t="shared" ca="1" si="1027"/>
        <v>0.23530094218323697</v>
      </c>
      <c r="MB314" s="170" t="e">
        <f t="shared" ca="1" si="1028"/>
        <v>#N/A</v>
      </c>
      <c r="MC314" s="170">
        <f t="shared" ca="1" si="1118"/>
        <v>0.6018</v>
      </c>
      <c r="MD314" s="170">
        <f t="shared" ca="1" si="1029"/>
        <v>0.52989392535414004</v>
      </c>
      <c r="ME314" s="170">
        <f ca="1">($AC314*($LT314/Control!$C$141)+$LM314*$LW314)/($AC314+$LM314)</f>
        <v>0.71612369323045078</v>
      </c>
      <c r="MF314" s="170" t="e">
        <f ca="1">IF(Control!$B$16&gt;=1000,0.92,IF(AND(720&lt;=Control!$B$16,1000&gt;Control!$B$16),(0.95+(Control!$B$16-720)*((0.92-0.95)/(1000-720))),IF(AND(360&lt;=Control!$B$16,720&gt;Control!$B$16),(1+(Control!$B$16-360)*((0.95-1)/(720-360))),IF(AND(40&lt;=Control!$B$16,360&gt;Control!$B$16),(1.05+(Control!$B$16-40)*((1.05-1)/(360-40)))))))</f>
        <v>#N/A</v>
      </c>
      <c r="MG314" s="170">
        <f t="shared" ca="1" si="1030"/>
        <v>0.71612369323045078</v>
      </c>
      <c r="MH314" s="170" t="e">
        <f t="shared" ca="1" si="1157"/>
        <v>#N/A</v>
      </c>
      <c r="MI314" s="170" t="e">
        <f t="shared" ca="1" si="1157"/>
        <v>#N/A</v>
      </c>
      <c r="MJ314" s="170" t="e">
        <f ca="1">MAX(0.0001, Control!$C$132*$MI314*$DL314)</f>
        <v>#N/A</v>
      </c>
      <c r="MK314" s="170">
        <f ca="1">1/(0.76+1.5*($MG314/10))-(5-Control!$C$110)*0.1</f>
        <v>1.002845988140797</v>
      </c>
      <c r="ML314" s="173">
        <f ca="1">IF(Control!$C$110&lt;3,$MK314+($MG314-0.6)/(Control!$C$110*(Control!$C$110+3)), MAX(0.1, MIN(0.95,$MK314)))</f>
        <v>0.95</v>
      </c>
      <c r="MM314" s="173">
        <f ca="1">IF(Control!$C$110&lt;3,$MK314+(($MI314/10)-0.6)/(Control!$C$110*(Control!$C$110+3)), MAX(0.1, MIN(0.95,$MK314)))</f>
        <v>0.95</v>
      </c>
      <c r="MN314" s="173">
        <f ca="1">(1-$MM314)*(Control!$C$128-Control!$C$127)+Control!$C$127</f>
        <v>0.16</v>
      </c>
      <c r="MO314" s="170" t="e">
        <f ca="1">MAX(0,MIN(1,($MS314-Control!$C$127)/($MN314-Control!$C$127)))</f>
        <v>#DIV/0!</v>
      </c>
      <c r="MP314" s="173" t="e">
        <f ca="1">1/(0.76+1.5*$MI314)-(5-Control!$C$110)*0.1</f>
        <v>#N/A</v>
      </c>
      <c r="MQ314" s="172" t="e">
        <f t="shared" ca="1" si="1147"/>
        <v>#DIV/0!</v>
      </c>
      <c r="MR314" s="168" t="e">
        <f t="shared" ca="1" si="1119"/>
        <v>#DIV/0!</v>
      </c>
      <c r="MS314" s="173" t="e">
        <f ca="1">MAX(Control!$C$127, MIN(Control!$C$135, $MR314/MAX(0.0001,$CY314)))</f>
        <v>#DIV/0!</v>
      </c>
      <c r="MT314" s="168" t="e">
        <f ca="1">(Control!$C$128-$MS314)*Control!$C$74</f>
        <v>#DIV/0!</v>
      </c>
      <c r="MU314" s="168" t="e">
        <f ca="1">(Control!$C$135-$MS314)*Control!$C$74</f>
        <v>#DIV/0!</v>
      </c>
      <c r="MV314" s="168" t="e">
        <f t="shared" ca="1" si="1120"/>
        <v>#DIV/0!</v>
      </c>
      <c r="MW314" s="168" t="e">
        <f t="shared" ca="1" si="1121"/>
        <v>#DIV/0!</v>
      </c>
      <c r="MX314" s="171" t="e">
        <f ca="1">MAX(Control!$C$127, MIN(Control!$C$135, $MW314/MAX(0.0001,Control!$C$119-$CY314)))</f>
        <v>#DIV/0!</v>
      </c>
      <c r="MY314" s="54" t="e">
        <f ca="1">IF(Control!$C$114=1, $CX314*$MX314, 0)</f>
        <v>#DIV/0!</v>
      </c>
      <c r="MZ314" s="54" t="e">
        <f t="shared" ca="1" si="1122"/>
        <v>#N/A</v>
      </c>
      <c r="NA314" s="168" t="e">
        <f ca="1">(Control!$C$128-$MX314)*(Control!$C$119-Control!$C$74)</f>
        <v>#DIV/0!</v>
      </c>
      <c r="NB314" s="168" t="e">
        <f ca="1">(Control!$C$135-$MX314)*(Control!$C$119-Control!$C$74)</f>
        <v>#DIV/0!</v>
      </c>
      <c r="NC314" s="174" t="e">
        <f t="shared" ca="1" si="1123"/>
        <v>#DIV/0!</v>
      </c>
      <c r="ND314" s="54">
        <f ca="1">IF(Control!$C$58=2, IF(OR(Control!$B$218=$AH314,Control!$B$219=$AH314, Control!$B$220=$AH314, Control!$B$221=$AH314, Control!$B$222=$AH314, Control!$B$223=$AH314, Control!$B$224=$AH314, Control!$B$225=$AH314, Control!$B$226=$AH314, Control!$B$227=$AH314, Control!$B$228=$AH314), 1, 0), 0)</f>
        <v>0</v>
      </c>
      <c r="NE314" s="54">
        <f ca="1">IF($ND314=0,0, VLOOKUP($AH314,Control!$B$218:$C$228,2))</f>
        <v>0</v>
      </c>
      <c r="NF314" s="168" t="e">
        <f ca="1">$CY314*(Control!$C$128-Control!$C$127)</f>
        <v>#N/A</v>
      </c>
      <c r="NG314" s="54" t="e">
        <f ca="1">IF(Control!$C$58=2, $NI313-$NJ313, 0)</f>
        <v>#DIV/0!</v>
      </c>
      <c r="NH314" s="54" t="e">
        <f ca="1">IF(AND(Control!$C$58=1, $MS313&lt;= ($MN313+0.02), $I313&lt;10), 0, IF(Control!$C$58=2, $NG313, 0))</f>
        <v>#DIV/0!</v>
      </c>
      <c r="NI314" s="54" t="e">
        <f ca="1">IF(Control!$C$58=2, $NE314+$NH314,0)</f>
        <v>#DIV/0!</v>
      </c>
      <c r="NJ314" s="54" t="e">
        <f ca="1">IF(AND(Control!$C$58=1, $MS314&lt;= ($MN314+0.02), $I314&lt;10), MAX(0, MIN(10, 0.7*($NF314-$MV314))), IF(Control!$C$58=2, MIN(10,$NI314),0))</f>
        <v>#DIV/0!</v>
      </c>
      <c r="NK314" s="54" t="e">
        <f t="shared" ca="1" si="1031"/>
        <v>#DIV/0!</v>
      </c>
      <c r="NL314" s="173" t="e">
        <f ca="1">(1-Control!$C$73)*$I314+$NJ314</f>
        <v>#DIV/0!</v>
      </c>
      <c r="NM314" s="172" t="e">
        <f ca="1">IF($NL314&lt;0.5, $MB314* MAX(0, MIN(1, (SQRT($NC314)-SQRT($NC314-1))*Control!$C$71)),0)</f>
        <v>#DIV/0!</v>
      </c>
      <c r="NN314" s="170" t="e">
        <f ca="1">IF($NL314&gt;=5, $MB314, MAX(0,MIN($MB314, $NM314+$NL314,($MS314-Control!$C$129))))</f>
        <v>#DIV/0!</v>
      </c>
      <c r="NO314" s="54">
        <f>IF(Control!$C$133&lt;&gt;1, Control!$C$135-Control!$C$131, 0)</f>
        <v>0.38</v>
      </c>
      <c r="NP314" s="54" t="e">
        <f t="shared" ca="1" si="1032"/>
        <v>#DIV/0!</v>
      </c>
      <c r="NQ314" s="173" t="e">
        <f ca="1">MAX(0,MIN(1,(Control!$C$135-$MS314)/(Control!$C$135-$NO314)))</f>
        <v>#DIV/0!</v>
      </c>
      <c r="NR314" s="170" t="e">
        <f ca="1">IF(Control!$C$133&lt;&gt;1, $NQ314+((1-$NP314/4)*(1-$NQ314)),1)</f>
        <v>#DIV/0!</v>
      </c>
      <c r="NS314" s="170" t="e">
        <f ca="1">IF(Control!$B$31=0,$MJ314,MAX(0,MIN($MV314,$MO314*$NR314*$MJ314)))</f>
        <v>#DIV/0!</v>
      </c>
      <c r="NT314" s="170" t="e">
        <f t="shared" ca="1" si="1148"/>
        <v>#DIV/0!</v>
      </c>
      <c r="NU314" s="170" t="e">
        <f t="shared" ca="1" si="1124"/>
        <v>#N/A</v>
      </c>
      <c r="NV314" s="170" t="e">
        <f t="shared" ca="1" si="1033"/>
        <v>#N/A</v>
      </c>
      <c r="NW314" s="175" t="e">
        <f t="shared" ca="1" si="1034"/>
        <v>#DIV/0!</v>
      </c>
      <c r="NX314" s="170" t="e">
        <f ca="1">MIN(Control!$C$72+$MU314, $NW314)</f>
        <v>#DIV/0!</v>
      </c>
      <c r="NY314" s="170" t="e">
        <f ca="1">IF($MT314&lt;=$NX314,MIN(Control!$C$72+$NB314,$NX314-$MT314),0)</f>
        <v>#DIV/0!</v>
      </c>
      <c r="NZ314" s="54" t="e">
        <f ca="1">IF(Control!$C$114=1,  $CX314*($MX314-Control!$C$127), 0)</f>
        <v>#DIV/0!</v>
      </c>
      <c r="OA314" s="170" t="e">
        <f t="shared" ca="1" si="1035"/>
        <v>#DIV/0!</v>
      </c>
      <c r="OB314" s="170" t="e">
        <f ca="1">IF($NA314 &lt;=$NY314, MIN(Control!$C$72, $NY314-$NA314), 0)</f>
        <v>#DIV/0!</v>
      </c>
      <c r="OC314" s="168" t="e">
        <f t="shared" ca="1" si="1036"/>
        <v>#DIV/0!</v>
      </c>
      <c r="OD314" s="168" t="e">
        <f t="shared" ca="1" si="1125"/>
        <v>#DIV/0!</v>
      </c>
      <c r="OE314" s="170">
        <f ca="1">Control!$C$73*$I314</f>
        <v>0</v>
      </c>
      <c r="OF314" s="176" t="e">
        <f t="shared" ca="1" si="1037"/>
        <v>#DIV/0!</v>
      </c>
      <c r="OG314" s="168" t="e">
        <f t="shared" ca="1" si="1038"/>
        <v>#DIV/0!</v>
      </c>
      <c r="OH314" s="168" t="e">
        <f t="shared" ca="1" si="1039"/>
        <v>#DIV/0!</v>
      </c>
      <c r="OI314" s="168" t="e">
        <f t="shared" ca="1" si="1040"/>
        <v>#DIV/0!</v>
      </c>
      <c r="OJ314" s="168" t="e">
        <f t="shared" ca="1" si="1041"/>
        <v>#DIV/0!</v>
      </c>
      <c r="OK314" s="204" t="e">
        <f t="shared" ca="1" si="1042"/>
        <v>#DIV/0!</v>
      </c>
      <c r="OL314" s="177">
        <f>Control!$C$127</f>
        <v>0.15</v>
      </c>
      <c r="OM314" s="182" t="e">
        <f t="shared" ca="1" si="1043"/>
        <v>#N/A</v>
      </c>
      <c r="ON314" s="177">
        <f>Control!$C$128</f>
        <v>0.35</v>
      </c>
      <c r="OO314" s="182" t="e">
        <f t="shared" ca="1" si="1044"/>
        <v>#N/A</v>
      </c>
      <c r="OP314" s="138">
        <f t="shared" ca="1" si="1126"/>
        <v>0</v>
      </c>
      <c r="OQ314" s="138" t="e">
        <f t="shared" ca="1" si="1149"/>
        <v>#DIV/0!</v>
      </c>
      <c r="OR314" s="138" t="e">
        <f t="shared" ca="1" si="1127"/>
        <v>#DIV/0!</v>
      </c>
      <c r="OS314" s="137" t="e">
        <f t="shared" ca="1" si="1150"/>
        <v>#DIV/0!</v>
      </c>
      <c r="OT314" s="139" t="e">
        <f t="shared" ca="1" si="1151"/>
        <v>#DIV/0!</v>
      </c>
      <c r="OU314" s="138" t="e">
        <f t="shared" ca="1" si="1152"/>
        <v>#N/A</v>
      </c>
      <c r="OV314" s="138" t="e">
        <f t="shared" ca="1" si="1153"/>
        <v>#DIV/0!</v>
      </c>
      <c r="OW314" s="138" t="e">
        <f t="shared" ca="1" si="1128"/>
        <v>#DIV/0!</v>
      </c>
      <c r="OX314" s="138" t="e">
        <f t="shared" ca="1" si="1129"/>
        <v>#DIV/0!</v>
      </c>
      <c r="OY314" s="138" t="e">
        <f t="shared" ca="1" si="1130"/>
        <v>#DIV/0!</v>
      </c>
      <c r="OZ314" s="138" t="e">
        <f t="shared" ca="1" si="1045"/>
        <v>#DIV/0!</v>
      </c>
      <c r="PA314" s="138" t="e">
        <f t="shared" ca="1" si="1046"/>
        <v>#DIV/0!</v>
      </c>
      <c r="PB314" s="55">
        <f>IF(Control!$C$61="T", IF(Control!$C$65="F", IF($AH$6-Control!$C$60&lt;0,0,1), IF(365+$AH$6-Control!$C$60&lt;0,0,1)),0)</f>
        <v>0</v>
      </c>
      <c r="PC314" s="55">
        <f ca="1">IF(Control!$C$65="F", IF($AH$6-$HF314&lt;0,0,1), IF(365+$AH$6-$HF314&lt;0,0,1))</f>
        <v>1</v>
      </c>
      <c r="PD314" s="444">
        <f>Control!$C$118</f>
        <v>1500</v>
      </c>
      <c r="PE314" s="180" t="e">
        <f t="shared" ca="1" si="1047"/>
        <v>#N/A</v>
      </c>
      <c r="PF314" s="445">
        <f t="shared" ca="1" si="1131"/>
        <v>0.71612369323045078</v>
      </c>
      <c r="PT314" s="186"/>
      <c r="PU314" s="186"/>
      <c r="PV314" s="94"/>
      <c r="PW314" s="94"/>
      <c r="PX314" s="94"/>
      <c r="PY314" s="94"/>
      <c r="PZ314" s="94"/>
      <c r="QA314" s="94"/>
      <c r="QB314" s="94"/>
      <c r="QC314" s="94"/>
      <c r="QD314" s="94"/>
      <c r="QE314" s="94"/>
      <c r="QF314" s="94"/>
      <c r="QG314" s="94"/>
      <c r="QH314" s="94"/>
      <c r="QI314" s="94"/>
      <c r="QJ314" s="94"/>
      <c r="QK314" s="94"/>
      <c r="QL314" s="94"/>
      <c r="QM314" s="94"/>
      <c r="QN314" s="94"/>
      <c r="QO314" s="94"/>
      <c r="QP314" s="94"/>
    </row>
    <row r="315" spans="1:458" s="2" customFormat="1" x14ac:dyDescent="0.2">
      <c r="A315" s="395">
        <v>6</v>
      </c>
      <c r="B315" s="396">
        <v>11</v>
      </c>
      <c r="C315" s="387">
        <f ca="1">Weather_data!$B314</f>
        <v>0</v>
      </c>
      <c r="D315" s="388">
        <f ca="1">Weather_data!$F314</f>
        <v>0</v>
      </c>
      <c r="E315" s="388">
        <f ca="1">Weather_data!$E314</f>
        <v>0</v>
      </c>
      <c r="F315" s="388">
        <f t="shared" ca="1" si="1048"/>
        <v>0</v>
      </c>
      <c r="G315" s="388">
        <f ca="1">AVERAGE($D315:$E315)+Control!$B$9</f>
        <v>0</v>
      </c>
      <c r="H315" s="388">
        <f ca="1">Weather_data!$G314</f>
        <v>0</v>
      </c>
      <c r="I315" s="388">
        <f ca="1">Weather_data!$I314</f>
        <v>0</v>
      </c>
      <c r="J315" s="388">
        <f ca="1">Weather_data!$H314</f>
        <v>0</v>
      </c>
      <c r="K315" s="389">
        <f ca="1">Weather_data!$D314</f>
        <v>0</v>
      </c>
      <c r="L315" s="388" t="e">
        <f t="shared" ca="1" si="1049"/>
        <v>#N/A</v>
      </c>
      <c r="M315" s="388" t="e">
        <f t="shared" ca="1" si="927"/>
        <v>#N/A</v>
      </c>
      <c r="N315" s="388">
        <f t="shared" ca="1" si="928"/>
        <v>-3.629989936948468E-15</v>
      </c>
      <c r="O315" s="388">
        <f t="shared" ca="1" si="1050"/>
        <v>3.6299899369484676E-14</v>
      </c>
      <c r="P315" s="390">
        <v>3</v>
      </c>
      <c r="Q315" s="388">
        <f ca="1">MAX($G315-Control!$C$107,0)</f>
        <v>0</v>
      </c>
      <c r="R315" s="388">
        <f t="shared" ca="1" si="1051"/>
        <v>0</v>
      </c>
      <c r="S315" s="388">
        <f t="shared" ca="1" si="929"/>
        <v>0</v>
      </c>
      <c r="T315" s="388">
        <f t="shared" ca="1" si="930"/>
        <v>0</v>
      </c>
      <c r="U315" s="59">
        <f t="shared" ca="1" si="931"/>
        <v>0</v>
      </c>
      <c r="V315" s="391">
        <f ca="1">MAX(0,MIN(Control!$C$100-Control!$C$99,$G315-Control!$C$99)*Control!$C$63)</f>
        <v>0</v>
      </c>
      <c r="W315" s="388">
        <f t="shared" ca="1" si="1052"/>
        <v>0</v>
      </c>
      <c r="X315" s="388">
        <f t="shared" ca="1" si="1053"/>
        <v>0.6110000000000001</v>
      </c>
      <c r="Y315" s="388">
        <f t="shared" ca="1" si="932"/>
        <v>0</v>
      </c>
      <c r="Z315" s="388">
        <f t="shared" ca="1" si="1054"/>
        <v>0.61058800000000002</v>
      </c>
      <c r="AA315" s="388">
        <f t="shared" ca="1" si="933"/>
        <v>0.6018</v>
      </c>
      <c r="AB315" s="388">
        <f ca="1">101.3*EXP(-0.034*Control!$C$66/($G315+273))</f>
        <v>100.69623283836242</v>
      </c>
      <c r="AC315" s="392">
        <f t="shared" ca="1" si="934"/>
        <v>4.3460251046025113E-2</v>
      </c>
      <c r="AD315" s="392">
        <f t="shared" ca="1" si="935"/>
        <v>4.4450382862832649E-2</v>
      </c>
      <c r="AE315" s="388">
        <f t="shared" ca="1" si="936"/>
        <v>0</v>
      </c>
      <c r="AF315" s="388">
        <f ca="1">MAX(0,$G315-Control!$C$92)</f>
        <v>0</v>
      </c>
      <c r="AG315" s="393">
        <f t="shared" ca="1" si="937"/>
        <v>311</v>
      </c>
      <c r="AH315" s="389">
        <f t="shared" ca="1" si="938"/>
        <v>311</v>
      </c>
      <c r="AI315" s="388">
        <f t="shared" ca="1" si="1055"/>
        <v>-0.29334572678703158</v>
      </c>
      <c r="AJ315" s="388">
        <f ca="1">IF(Control!$C$60&lt;=0,$HH315,$HI315)</f>
        <v>1</v>
      </c>
      <c r="AK315" s="388">
        <f t="shared" ca="1" si="939"/>
        <v>3.9764816601602315</v>
      </c>
      <c r="AL315" s="388">
        <f t="shared" ca="1" si="940"/>
        <v>-8.4758675772400592E-18</v>
      </c>
      <c r="AM315" s="388">
        <f t="shared" ca="1" si="941"/>
        <v>3.9764816601602315</v>
      </c>
      <c r="AN315" s="388">
        <f t="shared" ca="1" si="942"/>
        <v>-0.29930702966889128</v>
      </c>
      <c r="AO315" s="388">
        <f ca="1">-0.10453/COS(Control!$B$8*PI()/180)*COS(AN315)</f>
        <v>-0.16223640684048665</v>
      </c>
      <c r="AP315" s="388">
        <f ca="1">ACOS(AO315-TAN(Control!$B$8*PI()/180)*TAN(AN315))</f>
        <v>1.3359183530084149</v>
      </c>
      <c r="AQ315" s="388">
        <f t="shared" ca="1" si="1056"/>
        <v>0</v>
      </c>
      <c r="AR315" s="394">
        <f t="shared" ca="1" si="943"/>
        <v>0</v>
      </c>
      <c r="AS315" s="436">
        <f ca="1">IF(Control!$B$18=2,(IF(OR($AH315=Control!$B$175,$AH315=Control!$B$176,$AH315=Control!$B$177,$AH315=Control!$B$178,$AH315=Control!$B$179,$AH315=Control!$B$180,$AH315=Control!$B$181,$AH315=Control!$B$182,$AH315=Control!$B$183,$AH315=Control!$B$184,$AH315=Control!$B$185),1,0)),0)</f>
        <v>0</v>
      </c>
      <c r="AT315" s="436">
        <f>IF(Control!$B$20=8,IF(AND($AH315&gt;=Control!$B$172,$AH315&lt;=Control!$B$173),1,0),0)</f>
        <v>0</v>
      </c>
      <c r="AU315" s="436">
        <f>IF(Control!$B$20=8,IF($AV314=1,1*$AT315,IF($AT315=1,$AU314+1,$AU314)),0)</f>
        <v>0</v>
      </c>
      <c r="AV315" s="436">
        <f>IF(Control!$B$20=8,IF($AU315&gt;=Control!$B$174,1,0),0)</f>
        <v>0</v>
      </c>
      <c r="AW315" s="436">
        <f ca="1">IF(AND(Control!$B$18=2,Control!$B$171=1), $AV315, $AS315)</f>
        <v>0</v>
      </c>
      <c r="AX315" s="436" t="e">
        <f ca="1">IF(AND(Control!$B$18=1,$EU315&gt;=Control!$B$19),-$AY315,IF(AND(Control!$B$18=2,$AW315=1,$EU315&gt;$DS315),-$AY315, IF(Control!$C$108=0,0, IF(Control!$C$108&lt;&gt;0,1))))</f>
        <v>#N/A</v>
      </c>
      <c r="AY315" s="436" t="e">
        <f t="shared" ca="1" si="1057"/>
        <v>#N/A</v>
      </c>
      <c r="AZ315" s="436" t="e">
        <f ca="1">IF(AND(Control!$B$18=1,$EB315&gt;Control!$B$19),$AZ314+1, IF(AND(Control!$B$18=2, $AW315=1, $EB315&gt;$DS315), $AZ314+1,$AZ314))</f>
        <v>#N/A</v>
      </c>
      <c r="BA315" s="587">
        <f>IF(Control!$C$81=0,1,IF($AH315&gt;=Control!$C$82,1,0))</f>
        <v>1</v>
      </c>
      <c r="BB315" s="140" t="e">
        <f ca="1">IF($BA315&gt;$BA314,Control!$C$83,IF($AW315&gt;0,$AW315*Control!$C$84,IF(AND(Control!$B$18=1,EN314&lt;&gt;0),Control!$C$84,0)))</f>
        <v>#N/A</v>
      </c>
      <c r="BC315" s="140" t="e">
        <f t="shared" ca="1" si="1058"/>
        <v>#N/A</v>
      </c>
      <c r="BD315" s="140" t="e">
        <f ca="1">BC315*IF(OR($G315&lt;Control!$C$92,$G315&gt;Control!$C$95),0,IF(AND($G315&gt;=Control!$C$92,$G315&lt;=Control!$C$93),$G315-Control!$C$92,IF(AND($G315&gt;Control!$C$93,$G315&lt;=Control!$C$94),Control!$C$93-Control!$C$92,IF(AND($G315&gt;Control!$C$94,$G315&lt;=Control!$C$95),(Control!$C$93-Control!$C$92)*(Control!$C$94-$G315)/(Control!$C$95-Control!$C$94)))))</f>
        <v>#N/A</v>
      </c>
      <c r="BE315" s="140" t="e">
        <f t="shared" ca="1" si="1059"/>
        <v>#N/A</v>
      </c>
      <c r="BF315" s="140" t="e">
        <f ca="1">IF($BE315&lt;=Control!$C$86,$BE315,Control!$C$86-$BE315)</f>
        <v>#N/A</v>
      </c>
      <c r="BG315" s="140" t="e">
        <f ca="1">IF(AND($AW315=1,Control!$C$84&lt;9),1,IF($BE315&gt;=Control!$C$86,0,$BC315))</f>
        <v>#N/A</v>
      </c>
      <c r="BH315" s="404" t="e">
        <f ca="1">IF($BG315=0,0,IF($BE315&lt;=Control!$C$86,$BC315*9*($BF315/Control!$C$86),0))</f>
        <v>#N/A</v>
      </c>
      <c r="BI315" s="140" t="e">
        <f ca="1">IF($BG315=1,0,IF($BE315&gt;=Control!$C$86,1,IF(AND($BB315&lt;21,$BB315&gt;=9),1,$BM314)))</f>
        <v>#N/A</v>
      </c>
      <c r="BJ315" s="140" t="e">
        <f ca="1">IF($BF315&lt;0,-$BF315,$BI315*IF(OR($G315&lt;Control!$C$92,$G315&gt;Control!$C$95),0,IF(AND($G315&gt;=Control!$C$92,$G315&lt;=Control!$C$93),$G315-Control!$C$92,IF(AND($G315&gt;Control!$C$93,$G315&lt;=Control!$C$94),Control!$C$93-Control!$C$92,IF(AND($G315&gt;Control!$C$94,$G315&lt;=Control!$C$95),(Control!$C$93-Control!$C$92)*(Control!$C$94-$G315)/(Control!$C$95-Control!$C$94))))))</f>
        <v>#N/A</v>
      </c>
      <c r="BK315" s="140" t="e">
        <f t="shared" ca="1" si="1060"/>
        <v>#N/A</v>
      </c>
      <c r="BL315" s="140" t="e">
        <f ca="1">IF($BK315&lt;=Control!$C$87,$BK315,Control!$C$87-$BK315)</f>
        <v>#N/A</v>
      </c>
      <c r="BM315" s="140" t="e">
        <f ca="1">IF(AND($BB315&gt;=9,$BB315&lt;21),1,IF($BK315&gt;=Control!$C$87,0,$BI315))</f>
        <v>#N/A</v>
      </c>
      <c r="BN315" s="404" t="e">
        <f ca="1">IF($BM315=0,0,IF($BK315&lt;=Control!$C$87,$BI315*(9+(21-9)*($BL315/Control!$C$87)),0))</f>
        <v>#N/A</v>
      </c>
      <c r="BO315" s="140" t="e">
        <f ca="1">IF($BM315=1,0,IF($BK315&gt;=Control!$C$87,1,IF(AND($BB315&lt;30,$BB315&gt;=21),1,$BS314)))</f>
        <v>#N/A</v>
      </c>
      <c r="BP315" s="140" t="e">
        <f ca="1">IF($BL315&lt;0,-$BL315,$BO315*IF(OR($G315&lt;Control!$C$92,$G315&gt;Control!$C$95),0,IF(AND($G315&gt;=Control!$C$92,$G315&lt;=Control!$C$93),$G315-Control!$C$92,IF(AND($G315&gt;Control!$C$93,$G315&lt;=Control!$C$94),Control!$C$93-Control!$C$92,IF(AND($G315&gt;Control!$C$94,$G315&lt;=Control!$C$95),(Control!$C$93-Control!$C$92)*(Control!$C$94-$G315)/(Control!$C$95-Control!$C$94))))))</f>
        <v>#N/A</v>
      </c>
      <c r="BQ315" s="140" t="e">
        <f t="shared" ca="1" si="944"/>
        <v>#N/A</v>
      </c>
      <c r="BR315" s="140" t="e">
        <f ca="1">IF($BQ315&lt;=Control!$C$88,$BQ315,Control!$C$88-$BQ315)</f>
        <v>#N/A</v>
      </c>
      <c r="BS315" s="140" t="e">
        <f ca="1">IF(AND($BB315&gt;=21,$BB315&lt;30),1,IF($BQ315&gt;=Control!$C$88,0,$BO315))</f>
        <v>#N/A</v>
      </c>
      <c r="BT315" s="404" t="e">
        <f ca="1">IF($BS315=0,0,IF($BQ315&lt;=Control!$C$88,$BO315*(21+(30-21)*(BR315/Control!$C$88)),0))</f>
        <v>#N/A</v>
      </c>
      <c r="BU315" s="140" t="e">
        <f ca="1">IF(BG315+BM315+BS315=1,0,IF(OR(AND($BB315&lt;60,$BB315&gt;=30),$BQ315&gt;=Control!$C$88),1*$BA315,$BY314))</f>
        <v>#N/A</v>
      </c>
      <c r="BV315" s="140" t="e">
        <f ca="1">IF($BR315&lt;0,-$BR315,$BU315*IF(OR($G315&lt;Control!$C$92,$G315&gt;Control!$C$95),0,IF(AND($G315&gt;=Control!$C$92,$G315&lt;=Control!$C$93),$G315-Control!$C$92,IF(AND($G315&gt;Control!$C$93,$G315&lt;=Control!$C$94),Control!$C$93-Control!$C$92,IF(AND($G315&gt;Control!$C$94,$G315&lt;=Control!$C$95),(Control!$C$93-Control!$C$92)*(Control!$C$94-$G315)/(Control!$C$95-Control!$C$94))))))</f>
        <v>#N/A</v>
      </c>
      <c r="BW315" s="140" t="e">
        <f t="shared" ca="1" si="945"/>
        <v>#N/A</v>
      </c>
      <c r="BX315" s="140" t="e">
        <f ca="1">IF($BW315&lt;=Control!$C$89,$BW315,Control!$C$89-$BW315)</f>
        <v>#N/A</v>
      </c>
      <c r="BY315" s="140" t="e">
        <f ca="1">IF(AND($AJ315&gt;=30,$AJ315&lt;60),1,IF($BW315&gt;=Control!$C$89,0,$BU315))</f>
        <v>#N/A</v>
      </c>
      <c r="BZ315" s="404" t="e">
        <f ca="1">IF($BY315=0,0,IF($BW315&lt;=Control!$C$89,$BU315*(30+(60-30)*(BX315/Control!$C$89)),0))</f>
        <v>#N/A</v>
      </c>
      <c r="CA315" s="140" t="e">
        <f ca="1">IF($BG315+$BM315+$BS315+$BY315=1,0,IF(OR(AND($BB315&lt;65,$BB315&gt;=60),$BW315&gt;=Control!$C$89),1*$BA315,$CE314))</f>
        <v>#N/A</v>
      </c>
      <c r="CB315" s="140" t="e">
        <f ca="1">IF($BX315&lt;0,-$BX315,$CA315*IF(OR($G315&lt;Control!$C$92,$G315&gt;Control!$C$95),0,IF(AND($G315&gt;=Control!$C$92,$G315&lt;=Control!$C$93),$G315-Control!$C$92,IF(AND($G315&gt;Control!$C$93,$G315&lt;=Control!$C$94),Control!$C$93-Control!$C$92,IF(AND($G315&gt;Control!$C$94,$G315&lt;=Control!$C$95),(Control!$C$93-Control!$C$92)*(Control!$C$94-$G315)/(Control!$C$95-Control!$C$94))))))</f>
        <v>#N/A</v>
      </c>
      <c r="CC315" s="140" t="e">
        <f t="shared" ca="1" si="1061"/>
        <v>#N/A</v>
      </c>
      <c r="CD315" s="140" t="e">
        <f ca="1">IF($CC315&lt;=Control!$C$90,$CC315,Control!$C$90-$CC315)</f>
        <v>#N/A</v>
      </c>
      <c r="CE315" s="140" t="e">
        <f ca="1">IF(AND($BB315&gt;=60,$BB315&lt;65),1,IF($CC315&gt;=Control!$C$90,0,$CA315))</f>
        <v>#N/A</v>
      </c>
      <c r="CF315" s="404" t="e">
        <f ca="1">IF($CE315=0,0,IF($CC315&lt;=Control!$C$90,$CA315*(60+(65-60)*(CD315/Control!$C$90)),0))</f>
        <v>#N/A</v>
      </c>
      <c r="CG315" s="140" t="e">
        <f ca="1">IF($BG315+$BM315+$BS315+$BY315+$CE315=1,0,IF(OR(AND($BB315&lt;90,$BB315&gt;=65),$CC315&gt;=Control!$C$90),$BA315,$CK314))</f>
        <v>#N/A</v>
      </c>
      <c r="CH315" s="140" t="e">
        <f ca="1">IF($CD315&lt;0,-$CD315,$CG315*IF(OR($G315&lt;Control!$C$92,$G315&gt;Control!$C$95),0,IF(AND($G315&gt;=Control!$C$92,$G315&lt;=Control!$C$93),$G315-Control!$C$92,IF(AND($G315&gt;Control!$C$93,$G315&lt;=Control!$C$94),Control!$C$93-Control!$C$92,IF(AND($G315&gt;Control!$C$94,$G315&lt;=Control!$C$95),(Control!$C$93-Control!$C$92)*(Control!$C$94-$G315)/(Control!$C$95-Control!$C$94))))))</f>
        <v>#N/A</v>
      </c>
      <c r="CI315" s="140" t="e">
        <f t="shared" ca="1" si="1062"/>
        <v>#N/A</v>
      </c>
      <c r="CJ315" s="140" t="e">
        <f ca="1">IF($CI315&lt;=Control!$C$91,$CI315,Control!$C$91-$CI315)</f>
        <v>#N/A</v>
      </c>
      <c r="CK315" s="140" t="e">
        <f ca="1">IF(AND($BB315&gt;=65,$BB315&lt;90),1,IF($CI315&gt;=Control!$C$91,0,$CG315))</f>
        <v>#N/A</v>
      </c>
      <c r="CL315" s="404" t="e">
        <f ca="1">IF($CK315=0,0,IF($CI315&lt;=Control!$C$91,$CG315*(65+(90-65)*($CJ315/Control!$C$91)),0))</f>
        <v>#N/A</v>
      </c>
      <c r="CM315" s="140" t="e">
        <f ca="1">IF($BG315+$BM315+$BS315+$BY315+$CE315+$CK315=1,0,IF(OR($BB315&gt;=90,$CI315&gt;=Control!$C$91),$BA315,$CM314))</f>
        <v>#N/A</v>
      </c>
      <c r="CN315" s="140" t="e">
        <f t="shared" ca="1" si="1063"/>
        <v>#N/A</v>
      </c>
      <c r="CO315" s="140" t="e">
        <f t="shared" ca="1" si="1064"/>
        <v>#N/A</v>
      </c>
      <c r="CP315" s="140" t="e">
        <f t="shared" ca="1" si="1065"/>
        <v>#N/A</v>
      </c>
      <c r="CQ315" s="141" t="e">
        <f ca="1">VLOOKUP($CP315,Control!$B$86:$G$91,6)</f>
        <v>#N/A</v>
      </c>
      <c r="CR315" s="141" t="e">
        <f ca="1">(1-$CQ315)*VLOOKUP($CP315,Control!$B$86:$D$91,3)</f>
        <v>#N/A</v>
      </c>
      <c r="CS315" s="141" t="e">
        <f ca="1">(1-$CQ315)*VLOOKUP($CP315,Control!$B$86:$E$91,4)</f>
        <v>#N/A</v>
      </c>
      <c r="CT315" s="141" t="e">
        <f ca="1">(1-$CQ315)*VLOOKUP($CP315,Control!$B$86:$F$91,5)</f>
        <v>#N/A</v>
      </c>
      <c r="CU315" s="141">
        <f t="shared" ca="1" si="1066"/>
        <v>0</v>
      </c>
      <c r="CV315" s="583">
        <f t="shared" ca="1" si="1067"/>
        <v>0</v>
      </c>
      <c r="CW315" s="142">
        <f t="shared" ca="1" si="1068"/>
        <v>311</v>
      </c>
      <c r="CX315" s="612" t="e">
        <f ca="1">IF(Control!$C$114=1,(MIN(Control!$C$120*(IF($NT315-0.01&lt;0,0,1)),Control!$C$119-$CY315)))</f>
        <v>#DIV/0!</v>
      </c>
      <c r="CY315" s="143" t="e">
        <f t="shared" ca="1" si="1069"/>
        <v>#N/A</v>
      </c>
      <c r="CZ315" s="144">
        <f t="shared" ca="1" si="946"/>
        <v>0</v>
      </c>
      <c r="DA315" s="144">
        <f t="shared" ca="1" si="947"/>
        <v>0</v>
      </c>
      <c r="DB315" s="144" t="e">
        <f t="shared" ca="1" si="948"/>
        <v>#N/A</v>
      </c>
      <c r="DC315" s="144" t="e">
        <f t="shared" ca="1" si="949"/>
        <v>#N/A</v>
      </c>
      <c r="DD315" s="144" t="e">
        <f t="shared" ca="1" si="1154"/>
        <v>#N/A</v>
      </c>
      <c r="DE315" s="143" t="e">
        <f t="shared" ca="1" si="1070"/>
        <v>#N/A</v>
      </c>
      <c r="DF315" s="145" t="e">
        <f ca="1">$DR315*EXP(-Control!$C$158*(1-$KH315))</f>
        <v>#N/A</v>
      </c>
      <c r="DG315" s="146" t="e">
        <f ca="1">IF(Control!$C$114=1, $DF315*$EY315, 0)</f>
        <v>#N/A</v>
      </c>
      <c r="DH315" s="147" t="e">
        <f t="shared" ca="1" si="1071"/>
        <v>#N/A</v>
      </c>
      <c r="DI315" s="144" t="e">
        <f t="shared" ca="1" si="1132"/>
        <v>#N/A</v>
      </c>
      <c r="DJ315" s="147" t="e">
        <f ca="1">$EF315*Control!$C$109</f>
        <v>#N/A</v>
      </c>
      <c r="DK315" s="144" t="e">
        <f t="shared" ca="1" si="1072"/>
        <v>#N/A</v>
      </c>
      <c r="DL315" s="144" t="e">
        <f t="shared" ca="1" si="950"/>
        <v>#N/A</v>
      </c>
      <c r="DM315" s="144" t="e">
        <f ca="1">IF(Control!$C$114=1, (1-EXP(-Control!$C$96*$DK315))*$AR315, 0)</f>
        <v>#N/A</v>
      </c>
      <c r="DN315" s="144">
        <f t="shared" ca="1" si="1073"/>
        <v>0</v>
      </c>
      <c r="DO315" s="148">
        <f>Control!$C$97</f>
        <v>4</v>
      </c>
      <c r="DP315" s="145" t="e">
        <f t="shared" ca="1" si="1074"/>
        <v>#N/A</v>
      </c>
      <c r="DQ315" s="145" t="e">
        <f ca="1">IF(AND($CP315&gt;=0,$CP315&lt;=90),Control!$C$111,Control!$C$111)</f>
        <v>#N/A</v>
      </c>
      <c r="DR315" s="145" t="e">
        <f t="shared" ca="1" si="951"/>
        <v>#N/A</v>
      </c>
      <c r="DS315" s="143" t="e">
        <f ca="1">Control!$B$22/$DR315</f>
        <v>#N/A</v>
      </c>
      <c r="DT315" s="149" t="e">
        <f ca="1">IF(AND(Control!$C$114=1,$KH315&lt;1),$IM315*$DF315, 0)</f>
        <v>#N/A</v>
      </c>
      <c r="DU315" s="144" t="e">
        <f t="shared" ca="1" si="1075"/>
        <v>#N/A</v>
      </c>
      <c r="DV315" s="144">
        <f ca="1">IF($G315-Control!$C$107&lt;=0, 0, 0.83*LN(MAX($G315, 3))-0.8924)</f>
        <v>0</v>
      </c>
      <c r="DW315" s="144" t="e">
        <f t="shared" ca="1" si="952"/>
        <v>#N/A</v>
      </c>
      <c r="DX315" s="150" t="e">
        <f ca="1">MAX(0.01*(1+$CU315/Control!$C$102),0.05*($DK315-Control!$C$97)/Control!$C$97)</f>
        <v>#N/A</v>
      </c>
      <c r="DY315" s="151" t="e">
        <f ca="1">IF(Control!$C$114=1, $DI315*$FS315, 0)</f>
        <v>#N/A</v>
      </c>
      <c r="DZ315" s="196" t="e">
        <f t="shared" ca="1" si="1076"/>
        <v>#N/A</v>
      </c>
      <c r="EA315" s="152">
        <f t="shared" ca="1" si="1077"/>
        <v>311</v>
      </c>
      <c r="EB315" s="153" t="e">
        <f t="shared" ca="1" si="1078"/>
        <v>#N/A</v>
      </c>
      <c r="EC315" s="153" t="e">
        <f t="shared" ca="1" si="1079"/>
        <v>#N/A</v>
      </c>
      <c r="ED315" s="154" t="e">
        <f ca="1">IF(Control!$C$114=1, $HM315*$FY315-$FD315, 0)</f>
        <v>#DIV/0!</v>
      </c>
      <c r="EE315" s="155" t="e">
        <f ca="1">IF(Control!$C$114=1, $HM315*$FZ315-$FF315, 0)</f>
        <v>#DIV/0!</v>
      </c>
      <c r="EF315" s="153" t="e">
        <f t="shared" ca="1" si="1133"/>
        <v>#N/A</v>
      </c>
      <c r="EG315" s="155" t="e">
        <f ca="1">IF(Control!$C$114=1, $GX315*$FW315-$FI315, 0)</f>
        <v>#DIV/0!</v>
      </c>
      <c r="EH315" s="153" t="e">
        <f t="shared" ca="1" si="1080"/>
        <v>#N/A</v>
      </c>
      <c r="EI315" s="156" t="e">
        <f t="shared" ca="1" si="1081"/>
        <v>#N/A</v>
      </c>
      <c r="EJ315" s="155" t="e">
        <f ca="1">IF(Control!$C$114=1, $HM315*$GB315, 0)</f>
        <v>#DIV/0!</v>
      </c>
      <c r="EK315" s="153" t="e">
        <f t="shared" ca="1" si="1134"/>
        <v>#N/A</v>
      </c>
      <c r="EL315" s="153" t="e">
        <f t="shared" ca="1" si="953"/>
        <v>#N/A</v>
      </c>
      <c r="EM315" s="153" t="e">
        <f t="shared" ca="1" si="954"/>
        <v>#N/A</v>
      </c>
      <c r="EN315" s="153" t="e">
        <f ca="1">IF(Control!$C$108=1,IF(AND(Control!$B$18=1,$EB315&gt;=Control!$B$19),$EB315-$DS315,IF(AND(Control!$B$18=2,$AW315=1,$EB315&gt;$DS315),$EB315-$DS315,0)))</f>
        <v>#N/A</v>
      </c>
      <c r="EO315" s="153" t="e">
        <f ca="1">IF(Control!$C$108=1,IF(AND(Control!$B$18=1,$EB315&gt;=Control!$B$19),$EF315,IF(AND(Control!$B$18=2,$AW315=1),$EF315,0)))</f>
        <v>#N/A</v>
      </c>
      <c r="EP315" s="153" t="e">
        <f ca="1">IF(Control!$C$108=1,IF(AND(Control!$B$18=1,$EB315&gt;=Control!$B$19),$EK315,IF(AND(Control!$B$18=2,$AW315=1),$EK315,0)))</f>
        <v>#N/A</v>
      </c>
      <c r="EQ315" s="153" t="e">
        <f t="shared" ca="1" si="1082"/>
        <v>#N/A</v>
      </c>
      <c r="ER315" s="153" t="e">
        <f t="shared" ca="1" si="1083"/>
        <v>#N/A</v>
      </c>
      <c r="ES315" s="153" t="e">
        <f t="shared" ca="1" si="1135"/>
        <v>#N/A</v>
      </c>
      <c r="ET315" s="153" t="e">
        <f t="shared" ca="1" si="1136"/>
        <v>#N/A</v>
      </c>
      <c r="EU315" s="153" t="e">
        <f t="shared" ca="1" si="1084"/>
        <v>#N/A</v>
      </c>
      <c r="EV315" s="153" t="e">
        <f t="shared" ca="1" si="955"/>
        <v>#N/A</v>
      </c>
      <c r="EW315" s="153" t="e">
        <f t="shared" ca="1" si="956"/>
        <v>#N/A</v>
      </c>
      <c r="EX315" s="153" t="e">
        <f t="shared" ca="1" si="957"/>
        <v>#N/A</v>
      </c>
      <c r="EY315" s="157" t="e">
        <f t="shared" ca="1" si="958"/>
        <v>#DIV/0!</v>
      </c>
      <c r="EZ315" s="154" t="e">
        <f t="shared" ca="1" si="959"/>
        <v>#DIV/0!</v>
      </c>
      <c r="FA315" s="153" t="e">
        <f t="shared" ca="1" si="1085"/>
        <v>#N/A</v>
      </c>
      <c r="FB315" s="153" t="e">
        <f t="shared" ca="1" si="960"/>
        <v>#N/A</v>
      </c>
      <c r="FC315" s="193" t="e">
        <f t="shared" ca="1" si="961"/>
        <v>#N/A</v>
      </c>
      <c r="FD315" s="158" t="e">
        <f t="shared" ca="1" si="1086"/>
        <v>#N/A</v>
      </c>
      <c r="FE315" s="158" t="e">
        <f t="shared" ca="1" si="1087"/>
        <v>#N/A</v>
      </c>
      <c r="FF315" s="159" t="e">
        <f t="shared" ca="1" si="962"/>
        <v>#N/A</v>
      </c>
      <c r="FG315" s="160" t="e">
        <f t="shared" ca="1" si="1088"/>
        <v>#N/A</v>
      </c>
      <c r="FH315" s="158" t="e">
        <f t="shared" ca="1" si="1089"/>
        <v>#N/A</v>
      </c>
      <c r="FI315" s="159" t="e">
        <f t="shared" ca="1" si="963"/>
        <v>#N/A</v>
      </c>
      <c r="FJ315" s="160" t="e">
        <f t="shared" ca="1" si="1090"/>
        <v>#N/A</v>
      </c>
      <c r="FK315" s="160" t="e">
        <f t="shared" ca="1" si="964"/>
        <v>#N/A</v>
      </c>
      <c r="FL315" s="160" t="e">
        <f t="shared" ca="1" si="1137"/>
        <v>#N/A</v>
      </c>
      <c r="FM315" s="160" t="e">
        <f t="shared" ca="1" si="965"/>
        <v>#N/A</v>
      </c>
      <c r="FN315" s="158">
        <f t="shared" ca="1" si="1091"/>
        <v>0.01</v>
      </c>
      <c r="FO315" s="160">
        <f>Control!$C$101</f>
        <v>50</v>
      </c>
      <c r="FP315" s="150" t="e">
        <f t="shared" ca="1" si="966"/>
        <v>#N/A</v>
      </c>
      <c r="FQ315" s="150" t="e">
        <f ca="1">MAX(0,(Control!$C$112*(($DK315-Control!$C$97)/Control!$C$97)))</f>
        <v>#N/A</v>
      </c>
      <c r="FR315" s="150" t="e">
        <f ca="1">(1-$NT315)*Control!$C$113</f>
        <v>#DIV/0!</v>
      </c>
      <c r="FS315" s="198" t="e">
        <f t="shared" ca="1" si="967"/>
        <v>#N/A</v>
      </c>
      <c r="FT315" s="161">
        <f t="shared" ca="1" si="1092"/>
        <v>311</v>
      </c>
      <c r="FU315" s="162" t="e">
        <f ca="1">IF(Control!$B$34=1,VLOOKUP($CP315,Control!$B$86:$G$91,6),Control!$B$35)</f>
        <v>#N/A</v>
      </c>
      <c r="FV315" s="162" t="e">
        <f t="shared" ca="1" si="968"/>
        <v>#DIV/0!</v>
      </c>
      <c r="FW315" s="162" t="e">
        <f ca="1">IF(Control!$B$31=1,$FU315*$FV315,  $FU315)</f>
        <v>#N/A</v>
      </c>
      <c r="FX315" s="162" t="e">
        <f ca="1">IF(Control!$B$34=1,VLOOKUP($CP315,Control!$B$86:$G$91,3),Control!$B$36)</f>
        <v>#N/A</v>
      </c>
      <c r="FY315" s="162" t="e">
        <f t="shared" ca="1" si="969"/>
        <v>#N/A</v>
      </c>
      <c r="FZ315" s="162" t="e">
        <f ca="1">IF(Control!$B$34=1,VLOOKUP($CP315,Control!$B$86:$G$91,4),Control!$B$37)</f>
        <v>#N/A</v>
      </c>
      <c r="GA315" s="162" t="e">
        <f t="shared" ca="1" si="970"/>
        <v>#N/A</v>
      </c>
      <c r="GB315" s="162" t="e">
        <f ca="1">IF(Control!$B$34=1,VLOOKUP($CP315,Control!$B$86:$G$91,5),Control!$B$38)</f>
        <v>#N/A</v>
      </c>
      <c r="GC315" s="162" t="e">
        <f t="shared" ca="1" si="1093"/>
        <v>#N/A</v>
      </c>
      <c r="GD315" s="162">
        <f t="shared" ca="1" si="971"/>
        <v>1</v>
      </c>
      <c r="GE315" s="162">
        <f t="shared" ca="1" si="972"/>
        <v>1</v>
      </c>
      <c r="GF315" s="162">
        <f ca="1">IF(AND(Control!$C$104=1, Control!$C$62="F"),$GE315,1)</f>
        <v>1</v>
      </c>
      <c r="GG315" s="162" t="e">
        <f ca="1">IF(Control!$B$16=40,0,IF(AND(Control!$B$16&gt;40,Control!$B$16&lt;=360),(Control!$B$16-40)*((1-0)/(360-40)),IF(AND(Control!$B$16&gt;360,Control!$B$16&lt;=720),(1+(Control!$B$16-360)*((1.25-1)/(720-360))),IF(AND(Control!$B$16&gt;720,Control!$B$16&lt;=1000),(1.25+(Control!$B$16-720)*((1.35-1.25)/(1000-720))),IF(AND(Control!$B$16&gt;1000,Control!$B$16&lt;=2000),(1.35+(Control!$B$16-1000)*0))))))</f>
        <v>#N/A</v>
      </c>
      <c r="GH315" s="162" t="e">
        <f t="shared" ca="1" si="973"/>
        <v>#N/A</v>
      </c>
      <c r="GI315" s="162">
        <f t="shared" ca="1" si="1094"/>
        <v>0</v>
      </c>
      <c r="GJ315" s="162">
        <f t="shared" ca="1" si="974"/>
        <v>0</v>
      </c>
      <c r="GK315" s="162">
        <f t="shared" ca="1" si="1095"/>
        <v>1</v>
      </c>
      <c r="GL315" s="162">
        <f t="shared" ca="1" si="975"/>
        <v>1</v>
      </c>
      <c r="GM315" s="162" t="e">
        <f ca="1">MAX(0,MIN(1,1-Control!$C$156*(1.0001-$KH315)^2))</f>
        <v>#N/A</v>
      </c>
      <c r="GN315" s="162" t="e">
        <f ca="1">IF(Control!$B$26=1,$KU315,$KX315)</f>
        <v>#N/A</v>
      </c>
      <c r="GO315" s="162" t="e">
        <f ca="1">IF($CP315&lt;=60,Control!$C$105,IF($CP315&gt;=90,Control!$C$106,Control!$C$105+($CP315-60)*((Control!$C$106-Control!$C$105)/(90-60))))</f>
        <v>#N/A</v>
      </c>
      <c r="GP315" s="162" t="e">
        <f t="shared" ca="1" si="976"/>
        <v>#N/A</v>
      </c>
      <c r="GQ315" s="162" t="e">
        <f t="shared" ca="1" si="1096"/>
        <v>#N/A</v>
      </c>
      <c r="GR315" s="163" t="e">
        <f t="shared" ca="1" si="977"/>
        <v>#DIV/0!</v>
      </c>
      <c r="GS315" s="162" t="e">
        <f t="shared" ca="1" si="978"/>
        <v>#DIV/0!</v>
      </c>
      <c r="GT315" s="164" t="e">
        <f t="shared" ca="1" si="1097"/>
        <v>#N/A</v>
      </c>
      <c r="GU315" s="162" t="e">
        <f t="shared" ca="1" si="1098"/>
        <v>#N/A</v>
      </c>
      <c r="GV315" s="162" t="e">
        <f t="shared" ca="1" si="979"/>
        <v>#N/A</v>
      </c>
      <c r="GW315" s="162" t="e">
        <f t="shared" ca="1" si="980"/>
        <v>#DIV/0!</v>
      </c>
      <c r="GX315" s="162" t="e">
        <f t="shared" ca="1" si="1099"/>
        <v>#DIV/0!</v>
      </c>
      <c r="GY315" s="162" t="e">
        <f t="shared" ca="1" si="1100"/>
        <v>#DIV/0!</v>
      </c>
      <c r="GZ315" s="165" t="e">
        <f t="shared" ca="1" si="981"/>
        <v>#N/A</v>
      </c>
      <c r="HA315" s="162" t="e">
        <f ca="1">IF(Control!$C$114=1, $DI315*$FS315, 0)</f>
        <v>#N/A</v>
      </c>
      <c r="HB315" s="162" t="e">
        <f ca="1">$FA315/Control!$C$64</f>
        <v>#N/A</v>
      </c>
      <c r="HC315" s="162" t="e">
        <f t="shared" ca="1" si="982"/>
        <v>#DIV/0!</v>
      </c>
      <c r="HD315" s="162">
        <f ca="1">-ASIN(SIN(23.45*Control!$C$139)*COS(2*Control!$C$138*($AH315+10)/365))</f>
        <v>-0.29334572678703158</v>
      </c>
      <c r="HE315" s="165">
        <f t="shared" ca="1" si="1101"/>
        <v>0</v>
      </c>
      <c r="HF315" s="166">
        <f ca="1">IF(AND(Control!$C$61="T",$HE315&gt;=Control!$C$103,Control!$C$114=0),$AH315,Control!$C$59)</f>
        <v>1</v>
      </c>
      <c r="HG315" s="166">
        <f ca="1">IF(AND(Control!$C$61="T",$HE315&gt;=Control!$C$103,Control!$C$114=0),$HF315,Control!$C$59)</f>
        <v>1</v>
      </c>
      <c r="HH315" s="165">
        <f ca="1">IF(AND(OR(Control!$C$60&lt;=0, $AH315= Control!$C$59, Control!$C$60 &gt;0, $AH315 = Control!$C$60)), Control!$C$59, IF(Control!$C$60&gt;0, 0))</f>
        <v>1</v>
      </c>
      <c r="HI315" s="165">
        <f ca="1">IF(AND(OR(Control!$C$60&lt;=0, $AH315= Control!$C$59, Control!$C$60 &gt;0, $AH315 = Control!$C$60)), Control!$C$60, IF(Control!$C$60&lt;=0, 0))</f>
        <v>0</v>
      </c>
      <c r="HJ315" s="166">
        <f ca="1">IF(AND(Control!$C$62="F",$CV315&gt;=Control!$C$102),$AH315,0)</f>
        <v>0</v>
      </c>
      <c r="HK315" s="165" t="e">
        <f t="shared" ca="1" si="1138"/>
        <v>#N/A</v>
      </c>
      <c r="HL315" s="166">
        <f ca="1">IF(AND(Control!$C$61="T",$HE315&gt;=Control!$C$103,Control!$C$114=0),$HF315,0)</f>
        <v>0</v>
      </c>
      <c r="HM315" s="201" t="e">
        <f t="shared" ca="1" si="983"/>
        <v>#DIV/0!</v>
      </c>
      <c r="HN315" s="215">
        <f t="shared" ca="1" si="1102"/>
        <v>311</v>
      </c>
      <c r="HO315" s="216" t="e">
        <f ca="1">IF(AND($CP315&gt;=0, $CP315&lt;=90), Control!$C$152, Control!$C$152)</f>
        <v>#N/A</v>
      </c>
      <c r="HP315" s="216" t="e">
        <f t="shared" ca="1" si="984"/>
        <v>#N/A</v>
      </c>
      <c r="HQ315" s="217" t="e">
        <f ca="1">IF(OR(Control!$B$26=1,Control!$B$26=2),$KV315,$KS315)</f>
        <v>#DIV/0!</v>
      </c>
      <c r="HR315" s="218" t="e">
        <f t="shared" ca="1" si="1139"/>
        <v>#DIV/0!</v>
      </c>
      <c r="HS315" s="216" t="e">
        <f ca="1">Control!$C$154*$HP315</f>
        <v>#N/A</v>
      </c>
      <c r="HT315" s="216" t="e">
        <f ca="1">Control!$C$155*$HP315</f>
        <v>#N/A</v>
      </c>
      <c r="HU315" s="217" t="e">
        <f ca="1">Control!$C$161*$FI315</f>
        <v>#N/A</v>
      </c>
      <c r="HV315" s="218" t="e">
        <f t="shared" ca="1" si="1103"/>
        <v>#N/A</v>
      </c>
      <c r="HW315" s="218" t="e">
        <f ca="1">Control!$C$160*$FF315+$IP315*$EO315</f>
        <v>#N/A</v>
      </c>
      <c r="HX315" s="218" t="e">
        <f t="shared" ca="1" si="1140"/>
        <v>#N/A</v>
      </c>
      <c r="HY315" s="219" t="e">
        <f ca="1">IF(Control!$C$114=1, $EB315*$FS315, 0)</f>
        <v>#N/A</v>
      </c>
      <c r="HZ315" s="91" t="e">
        <f t="shared" ca="1" si="985"/>
        <v>#N/A</v>
      </c>
      <c r="IA315" s="220" t="e">
        <f ca="1">Control!$C$153*$HO315</f>
        <v>#N/A</v>
      </c>
      <c r="IB315" s="218" t="e">
        <f t="shared" ca="1" si="986"/>
        <v>#N/A</v>
      </c>
      <c r="IC315" s="220" t="e">
        <f ca="1">Control!$C$153*$HT315</f>
        <v>#N/A</v>
      </c>
      <c r="ID315" s="218" t="e">
        <f t="shared" ca="1" si="987"/>
        <v>#N/A</v>
      </c>
      <c r="IE315" s="221" t="e">
        <f ca="1">($EB315*Control!$C$159+$EF315*Control!$C$160)/(IF($GZ315&lt;&gt;0,$GZ315,1))</f>
        <v>#N/A</v>
      </c>
      <c r="IF315" s="216" t="e">
        <f t="shared" ca="1" si="988"/>
        <v>#N/A</v>
      </c>
      <c r="IG315" s="91">
        <f ca="1">IF(OR(Control!$B$198=$AH315,Control!$B$199=$AH315, Control!$B$200=$AH315, Control!$B$201=$AH315, Control!$B$202=$AH315, Control!$B$203=$AH315, Control!$B$204=$AH315, Control!$B$205=$AH315, Control!$B$206=$AH315, Control!$B$207=$AH315), 1, 0)</f>
        <v>0</v>
      </c>
      <c r="IH315" s="91">
        <f ca="1">IF($IG315=0,0, VLOOKUP($AH315,Control!$B$198:$C$207,2))</f>
        <v>0</v>
      </c>
      <c r="II315" s="222">
        <f t="shared" ca="1" si="1104"/>
        <v>0</v>
      </c>
      <c r="IJ315" s="91">
        <f>Control!$C$121</f>
        <v>0.7</v>
      </c>
      <c r="IK315" s="218">
        <f t="shared" ca="1" si="989"/>
        <v>0</v>
      </c>
      <c r="IL315" s="217" t="e">
        <f t="shared" ca="1" si="1141"/>
        <v>#N/A</v>
      </c>
      <c r="IM315" s="223" t="e">
        <f ca="1">IF(AND(Control!$C$114=1,$KH315&lt;1),$EB315*Control!$C$148*(1-$KH315), 0)</f>
        <v>#N/A</v>
      </c>
      <c r="IN315" s="217" t="e">
        <f t="shared" ca="1" si="990"/>
        <v>#DIV/0!</v>
      </c>
      <c r="IO315" s="91" t="e">
        <f ca="1">MAX(0,$IL315-$EF315*Control!$C$160)</f>
        <v>#N/A</v>
      </c>
      <c r="IP315" s="220" t="e">
        <f t="shared" ca="1" si="991"/>
        <v>#N/A</v>
      </c>
      <c r="IQ315" s="217" t="e">
        <f t="shared" ca="1" si="1105"/>
        <v>#N/A</v>
      </c>
      <c r="IR315" s="218" t="e">
        <f t="shared" ca="1" si="992"/>
        <v>#N/A</v>
      </c>
      <c r="IS315" s="217" t="e">
        <f ca="1">Control!$C$159*MAX(0,$FD315-$EN315)</f>
        <v>#N/A</v>
      </c>
      <c r="IT315" s="217" t="e">
        <f t="shared" ca="1" si="1142"/>
        <v>#N/A</v>
      </c>
      <c r="IU315" s="217" t="e">
        <f t="shared" ca="1" si="1106"/>
        <v>#N/A</v>
      </c>
      <c r="IV315" s="217" t="e">
        <f t="shared" ca="1" si="1143"/>
        <v>#N/A</v>
      </c>
      <c r="IW315" s="217" t="e">
        <f ca="1">IF(OR($AW315=1,AND($AW315=0, Control!$B$18=1,$EN315&lt;&gt;0)), $IQ315-$IU315, $IQ315)</f>
        <v>#N/A</v>
      </c>
      <c r="IX315" s="218" t="e">
        <f t="shared" ca="1" si="993"/>
        <v>#N/A</v>
      </c>
      <c r="IY315" s="218" t="e">
        <f ca="1">MAX(0,$IQ315-$EB315*Control!$C$159)</f>
        <v>#N/A</v>
      </c>
      <c r="IZ315" s="218" t="e">
        <f t="shared" ca="1" si="994"/>
        <v>#N/A</v>
      </c>
      <c r="JA315" s="216" t="e">
        <f t="shared" ca="1" si="995"/>
        <v>#N/A</v>
      </c>
      <c r="JB315" s="217" t="e">
        <f t="shared" ca="1" si="996"/>
        <v>#N/A</v>
      </c>
      <c r="JC315" s="222" t="e">
        <f ca="1">MAX(Control!$C$157*$EK315-$JT315, 0)/Control!$C$162</f>
        <v>#N/A</v>
      </c>
      <c r="JD315" s="218" t="e">
        <f t="shared" ca="1" si="997"/>
        <v>#N/A</v>
      </c>
      <c r="JE315" s="218" t="e">
        <f t="shared" ca="1" si="998"/>
        <v>#N/A</v>
      </c>
      <c r="JF315" s="218" t="e">
        <f t="shared" ca="1" si="1107"/>
        <v>#N/A</v>
      </c>
      <c r="JG315" s="218" t="e">
        <f t="shared" ca="1" si="999"/>
        <v>#N/A</v>
      </c>
      <c r="JH315" s="217" t="e">
        <f t="shared" ca="1" si="1108"/>
        <v>#N/A</v>
      </c>
      <c r="JI315" s="217" t="e">
        <f t="shared" ca="1" si="1109"/>
        <v>#N/A</v>
      </c>
      <c r="JJ315" s="217" t="e">
        <f t="shared" ca="1" si="1144"/>
        <v>#N/A</v>
      </c>
      <c r="JK315" s="217" t="e">
        <f ca="1">IF(Control!$C$114=1,IF(Control!$B$24=0,MAX(0,$JI315)*$GN315/Control!$C$64,(MAX(0,MIN($JI315,$JJ315*$GN315/Control!$C$64),0))))</f>
        <v>#N/A</v>
      </c>
      <c r="JL315" s="217" t="e">
        <f ca="1">$IK315/Control!$C$64-$JK315+$HQ315</f>
        <v>#N/A</v>
      </c>
      <c r="JM315" s="217" t="e">
        <f ca="1">IF(Control!$C$114=1,($JB315/(IF($JI315&lt;&gt;0,$JI315,1)))*$JK315,0)</f>
        <v>#N/A</v>
      </c>
      <c r="JN315" s="217" t="e">
        <f ca="1">IF(Control!$C$114=1,($JG315/(IF($JI315&lt;&gt;0,$JI315,1)))*$JK315, 0)</f>
        <v>#N/A</v>
      </c>
      <c r="JO315" s="218" t="e">
        <f t="shared" ca="1" si="1000"/>
        <v>#N/A</v>
      </c>
      <c r="JP315" s="218" t="e">
        <f ca="1">MIN(($IY315+$IO315)*Control!$C$151, $JF315-$EH315*Control!$C$161)</f>
        <v>#N/A</v>
      </c>
      <c r="JQ315" s="218" t="e">
        <f t="shared" ca="1" si="1001"/>
        <v>#N/A</v>
      </c>
      <c r="JR315" s="217" t="e">
        <f ca="1">IF($CP315-Control!$C$150&lt;0, 0, $JQ315/Control!$C$162)</f>
        <v>#N/A</v>
      </c>
      <c r="JS315" s="218" t="e">
        <f t="shared" ca="1" si="1002"/>
        <v>#N/A</v>
      </c>
      <c r="JT315" s="218" t="e">
        <f t="shared" ca="1" si="1110"/>
        <v>#N/A</v>
      </c>
      <c r="JU315" s="218" t="e">
        <f t="shared" ca="1" si="1003"/>
        <v>#N/A</v>
      </c>
      <c r="JV315" s="218" t="e">
        <f t="shared" ca="1" si="1004"/>
        <v>#N/A</v>
      </c>
      <c r="JW315" s="216" t="e">
        <f t="shared" ca="1" si="1005"/>
        <v>#N/A</v>
      </c>
      <c r="JX315" s="91" t="e">
        <f t="shared" ca="1" si="1006"/>
        <v>#N/A</v>
      </c>
      <c r="JY315" s="218" t="e">
        <f t="shared" ca="1" si="1007"/>
        <v>#N/A</v>
      </c>
      <c r="JZ315" s="217" t="e">
        <f ca="1">IF(Control!$C$114=1,($IZ315/(IF($JI315&lt;&gt;0,$JI315,1)))*$JK315, 0)</f>
        <v>#N/A</v>
      </c>
      <c r="KA315" s="218" t="e">
        <f t="shared" ca="1" si="1145"/>
        <v>#N/A</v>
      </c>
      <c r="KB315" s="218" t="e">
        <f t="shared" ca="1" si="1111"/>
        <v>#N/A</v>
      </c>
      <c r="KC315" s="218" t="e">
        <f t="shared" ca="1" si="1008"/>
        <v>#N/A</v>
      </c>
      <c r="KD315" s="218" t="e">
        <f t="shared" ca="1" si="1009"/>
        <v>#N/A</v>
      </c>
      <c r="KE315" s="218" t="e">
        <f t="shared" ca="1" si="1010"/>
        <v>#N/A</v>
      </c>
      <c r="KF315" s="218" t="e">
        <f t="shared" ca="1" si="1011"/>
        <v>#N/A</v>
      </c>
      <c r="KG315" s="216" t="e">
        <f t="shared" ca="1" si="1012"/>
        <v>#N/A</v>
      </c>
      <c r="KH315" s="221" t="e">
        <f ca="1">IF(Control!$B$24=0,1,MAX(0.001,MIN(1,IF(($IF315-$IE315)&lt;&gt;0,($KG315-$IE315)/($IF315-$IE315),1))))</f>
        <v>#N/A</v>
      </c>
      <c r="KI315" s="222" t="e">
        <f ca="1">IF(Control!$C$114=1, $KI314+ $KH314, 0)</f>
        <v>#N/A</v>
      </c>
      <c r="KJ315" s="217" t="e">
        <f t="shared" ca="1" si="1013"/>
        <v>#N/A</v>
      </c>
      <c r="KK315" s="218" t="e">
        <f t="shared" ca="1" si="1014"/>
        <v>#N/A</v>
      </c>
      <c r="KL315" s="274" t="e">
        <f ca="1">IF(Control!$B$26=3,4000000000*EXP(-8400/($G315+273)),IF(Control!$B$26=4,4000000000*EXP(-8400/($G315+273))*($KT315),0))</f>
        <v>#DIV/0!</v>
      </c>
      <c r="KM315" s="274" t="e">
        <f ca="1">IF(Control!$B$26=3,5600000000000*EXP(-9800/($G315+273)),IF(Control!$B$26=4,5600000000000*EXP(-9800/($G315+273))*$KT315,0))</f>
        <v>#DIV/0!</v>
      </c>
      <c r="KN315" s="454" t="e">
        <f t="shared" ca="1" si="1112"/>
        <v>#DIV/0!</v>
      </c>
      <c r="KO315" s="274" t="e">
        <f t="shared" ca="1" si="1113"/>
        <v>#DIV/0!</v>
      </c>
      <c r="KP315" s="454" t="e">
        <f t="shared" ca="1" si="1015"/>
        <v>#DIV/0!</v>
      </c>
      <c r="KQ315" s="454" t="e">
        <f t="shared" ca="1" si="1016"/>
        <v>#DIV/0!</v>
      </c>
      <c r="KR315" s="454" t="e">
        <f t="shared" ca="1" si="1017"/>
        <v>#DIV/0!</v>
      </c>
      <c r="KS315" s="454" t="e">
        <f t="shared" ca="1" si="1018"/>
        <v>#DIV/0!</v>
      </c>
      <c r="KT315" s="455" t="e">
        <f t="shared" ca="1" si="1019"/>
        <v>#DIV/0!</v>
      </c>
      <c r="KU315" s="456" t="e">
        <f ca="1">IF($CP315-Control!$C$149&lt;0, IF($NT315-0.01&lt;0,0,1),0)</f>
        <v>#N/A</v>
      </c>
      <c r="KV315" s="456" t="e">
        <f ca="1">IF(Control!$C$114=1,MAX(0,MIN(Control!$C$125*$KW315*$GN315,$KW315)))</f>
        <v>#DIV/0!</v>
      </c>
      <c r="KW315" s="456" t="e">
        <f t="shared" ca="1" si="1146"/>
        <v>#DIV/0!</v>
      </c>
      <c r="KX315" s="457" t="e">
        <f ca="1">IF($CP315-Control!$C$149&lt;0, IF($MR315-$OM315&lt;0,0,1),0)</f>
        <v>#N/A</v>
      </c>
      <c r="KY315" s="167">
        <f t="shared" ca="1" si="1114"/>
        <v>311</v>
      </c>
      <c r="KZ315" s="168">
        <f ca="1">1370*(1+0.033*COS(2*Control!$C$138*$AH315/365))</f>
        <v>1397.0442126989094</v>
      </c>
      <c r="LA315" s="169">
        <f t="shared" ca="1" si="1115"/>
        <v>1.0197399701753953</v>
      </c>
      <c r="LB315" s="169">
        <f t="shared" ca="1" si="1116"/>
        <v>-0.29960320613190167</v>
      </c>
      <c r="LC315" s="169">
        <f ca="1">ACOS(-TAN((2*Control!$B$8/360))*TAN(Calculations!$LB315))</f>
        <v>1.4788603659398412</v>
      </c>
      <c r="LD315" s="169">
        <f ca="1">((24*60)/PI())*0.082*$LA315*(($LC315*SIN(Control!$B$8*2*PI()/360))*SIN($LB315)+COS(Control!$B$8*2*PI()/360)*COS($LB315)*SIN($LC315))</f>
        <v>9.2679658774383107</v>
      </c>
      <c r="LE315" s="170">
        <f t="shared" ca="1" si="1020"/>
        <v>10.524718622573367</v>
      </c>
      <c r="LF315" s="170">
        <f ca="1">SIN(Control!$C$139*Control!$B$8)*SIN($HD315)</f>
        <v>-0.22785892029798915</v>
      </c>
      <c r="LG315" s="170">
        <f ca="1">COS(Control!$C$139*Control!$B$8)*COS($HD315)</f>
        <v>0.5893599219040957</v>
      </c>
      <c r="LH315" s="170">
        <f ca="1">12*(1+2*ASIN(MAX(-1,MIN(1,$LF315/$LG315))/Control!$C$138))</f>
        <v>9.0389335105934947</v>
      </c>
      <c r="LI315" s="170">
        <f ca="1">12*(1+2*ASIN(MAX(-1,MIN(1,(-SIN(-4*Control!$C$139)+$LF315)/$LG315))/Control!$C$138))</f>
        <v>9.9481430199104821</v>
      </c>
      <c r="LJ315" s="168">
        <f ca="1">3600*($LH315*$LF315+24*$LG315*SQRT(1-$LK315*$LK315)/Control!$C$138)</f>
        <v>7533.5615916127417</v>
      </c>
      <c r="LK315" s="170">
        <f t="shared" ca="1" si="1021"/>
        <v>-0.38662099649026993</v>
      </c>
      <c r="LL315" s="170">
        <f t="shared" ca="1" si="1022"/>
        <v>0</v>
      </c>
      <c r="LM315" s="171">
        <f ca="1">Control!$C$145*$AB315</f>
        <v>6.6660906138995932E-2</v>
      </c>
      <c r="LN315" s="170">
        <f t="shared" ca="1" si="1117"/>
        <v>0.54</v>
      </c>
      <c r="LO315" s="170">
        <f t="shared" ca="1" si="1023"/>
        <v>0</v>
      </c>
      <c r="LP315" s="170">
        <f ca="1">Control!$C$140*((($D315+273.16)^4+($E315+273.16)^4)/2)*(0.34-0.14*SQRT($Y315))*(1.35*$AQ315/(0.75*$LD315)-0.35)</f>
        <v>-3.2464704755046001</v>
      </c>
      <c r="LQ315" s="170">
        <f ca="1">Control!$C$140*($G315+273)^4*(0.56-0.079*SQRT($Y315*10))*(0.1+0.9*$LO315)</f>
        <v>1.5241745131704001</v>
      </c>
      <c r="LR315" s="170">
        <f ca="1">$AQ315*(1-Control!$C$142)-$LQ315</f>
        <v>-1.5241745131704001</v>
      </c>
      <c r="LS315" s="170">
        <f ca="1">$AQ315*(1-Control!$C$143)-$LQ315</f>
        <v>-1.5241745131704001</v>
      </c>
      <c r="LT315" s="170">
        <f ca="1">$AQ315*(1-Control!$C$144)-$LQ315</f>
        <v>-1.5241745131704001</v>
      </c>
      <c r="LU315" s="169">
        <f ca="1">(1-Control!$C$144)*AQ315-LP315</f>
        <v>3.2464704755046001</v>
      </c>
      <c r="LV315" s="172">
        <f t="shared" ca="1" si="1024"/>
        <v>0.79430000000000012</v>
      </c>
      <c r="LW315" s="170">
        <f t="shared" ca="1" si="1025"/>
        <v>1.5886000000000002</v>
      </c>
      <c r="LX315" s="170">
        <f ca="1">($AC315*($LR315/Control!$C$141)+$LM315*$LV315)/($AC315+$LM315)</f>
        <v>0.23530094218323697</v>
      </c>
      <c r="LY315" s="170">
        <f ca="1">($AC315*($LS315/Control!$C$141)+$LM315*$LV315)/($AC315+$LM315)</f>
        <v>0.23530094218323697</v>
      </c>
      <c r="LZ315" s="170">
        <f t="shared" ca="1" si="1026"/>
        <v>0.23530094218323697</v>
      </c>
      <c r="MA315" s="170">
        <f t="shared" ca="1" si="1027"/>
        <v>0.23530094218323697</v>
      </c>
      <c r="MB315" s="170" t="e">
        <f t="shared" ca="1" si="1028"/>
        <v>#N/A</v>
      </c>
      <c r="MC315" s="170">
        <f t="shared" ca="1" si="1118"/>
        <v>0.6018</v>
      </c>
      <c r="MD315" s="170">
        <f t="shared" ca="1" si="1029"/>
        <v>0.52989392535414004</v>
      </c>
      <c r="ME315" s="170">
        <f ca="1">($AC315*($LT315/Control!$C$141)+$LM315*$LW315)/($AC315+$LM315)</f>
        <v>0.71612369323045078</v>
      </c>
      <c r="MF315" s="170" t="e">
        <f ca="1">IF(Control!$B$16&gt;=1000,0.92,IF(AND(720&lt;=Control!$B$16,1000&gt;Control!$B$16),(0.95+(Control!$B$16-720)*((0.92-0.95)/(1000-720))),IF(AND(360&lt;=Control!$B$16,720&gt;Control!$B$16),(1+(Control!$B$16-360)*((0.95-1)/(720-360))),IF(AND(40&lt;=Control!$B$16,360&gt;Control!$B$16),(1.05+(Control!$B$16-40)*((1.05-1)/(360-40)))))))</f>
        <v>#N/A</v>
      </c>
      <c r="MG315" s="170">
        <f t="shared" ca="1" si="1030"/>
        <v>0.71612369323045078</v>
      </c>
      <c r="MH315" s="170" t="e">
        <f t="shared" ca="1" si="1157"/>
        <v>#N/A</v>
      </c>
      <c r="MI315" s="170" t="e">
        <f t="shared" ca="1" si="1157"/>
        <v>#N/A</v>
      </c>
      <c r="MJ315" s="170" t="e">
        <f ca="1">MAX(0.0001, Control!$C$132*$MI315*$DL315)</f>
        <v>#N/A</v>
      </c>
      <c r="MK315" s="170">
        <f ca="1">1/(0.76+1.5*($MG315/10))-(5-Control!$C$110)*0.1</f>
        <v>1.002845988140797</v>
      </c>
      <c r="ML315" s="173">
        <f ca="1">IF(Control!$C$110&lt;3,$MK315+($MG315-0.6)/(Control!$C$110*(Control!$C$110+3)), MAX(0.1, MIN(0.95,$MK315)))</f>
        <v>0.95</v>
      </c>
      <c r="MM315" s="173">
        <f ca="1">IF(Control!$C$110&lt;3,$MK315+(($MI315/10)-0.6)/(Control!$C$110*(Control!$C$110+3)), MAX(0.1, MIN(0.95,$MK315)))</f>
        <v>0.95</v>
      </c>
      <c r="MN315" s="173">
        <f ca="1">(1-$MM315)*(Control!$C$128-Control!$C$127)+Control!$C$127</f>
        <v>0.16</v>
      </c>
      <c r="MO315" s="170" t="e">
        <f ca="1">MAX(0,MIN(1,($MS315-Control!$C$127)/($MN315-Control!$C$127)))</f>
        <v>#DIV/0!</v>
      </c>
      <c r="MP315" s="173" t="e">
        <f ca="1">1/(0.76+1.5*$MI315)-(5-Control!$C$110)*0.1</f>
        <v>#N/A</v>
      </c>
      <c r="MQ315" s="172" t="e">
        <f t="shared" ca="1" si="1147"/>
        <v>#DIV/0!</v>
      </c>
      <c r="MR315" s="168" t="e">
        <f t="shared" ca="1" si="1119"/>
        <v>#DIV/0!</v>
      </c>
      <c r="MS315" s="173" t="e">
        <f ca="1">MAX(Control!$C$127, MIN(Control!$C$135, $MR315/MAX(0.0001,$CY315)))</f>
        <v>#DIV/0!</v>
      </c>
      <c r="MT315" s="168" t="e">
        <f ca="1">(Control!$C$128-$MS315)*Control!$C$74</f>
        <v>#DIV/0!</v>
      </c>
      <c r="MU315" s="168" t="e">
        <f ca="1">(Control!$C$135-$MS315)*Control!$C$74</f>
        <v>#DIV/0!</v>
      </c>
      <c r="MV315" s="168" t="e">
        <f t="shared" ca="1" si="1120"/>
        <v>#DIV/0!</v>
      </c>
      <c r="MW315" s="168" t="e">
        <f t="shared" ca="1" si="1121"/>
        <v>#DIV/0!</v>
      </c>
      <c r="MX315" s="171" t="e">
        <f ca="1">MAX(Control!$C$127, MIN(Control!$C$135, $MW315/MAX(0.0001,Control!$C$119-$CY315)))</f>
        <v>#DIV/0!</v>
      </c>
      <c r="MY315" s="54" t="e">
        <f ca="1">IF(Control!$C$114=1, $CX315*$MX315, 0)</f>
        <v>#DIV/0!</v>
      </c>
      <c r="MZ315" s="54" t="e">
        <f t="shared" ca="1" si="1122"/>
        <v>#N/A</v>
      </c>
      <c r="NA315" s="168" t="e">
        <f ca="1">(Control!$C$128-$MX315)*(Control!$C$119-Control!$C$74)</f>
        <v>#DIV/0!</v>
      </c>
      <c r="NB315" s="168" t="e">
        <f ca="1">(Control!$C$135-$MX315)*(Control!$C$119-Control!$C$74)</f>
        <v>#DIV/0!</v>
      </c>
      <c r="NC315" s="174" t="e">
        <f t="shared" ca="1" si="1123"/>
        <v>#DIV/0!</v>
      </c>
      <c r="ND315" s="54">
        <f ca="1">IF(Control!$C$58=2, IF(OR(Control!$B$218=$AH315,Control!$B$219=$AH315, Control!$B$220=$AH315, Control!$B$221=$AH315, Control!$B$222=$AH315, Control!$B$223=$AH315, Control!$B$224=$AH315, Control!$B$225=$AH315, Control!$B$226=$AH315, Control!$B$227=$AH315, Control!$B$228=$AH315), 1, 0), 0)</f>
        <v>0</v>
      </c>
      <c r="NE315" s="54">
        <f ca="1">IF($ND315=0,0, VLOOKUP($AH315,Control!$B$218:$C$228,2))</f>
        <v>0</v>
      </c>
      <c r="NF315" s="168" t="e">
        <f ca="1">$CY315*(Control!$C$128-Control!$C$127)</f>
        <v>#N/A</v>
      </c>
      <c r="NG315" s="54" t="e">
        <f ca="1">IF(Control!$C$58=2, $NI314-$NJ314, 0)</f>
        <v>#DIV/0!</v>
      </c>
      <c r="NH315" s="54" t="e">
        <f ca="1">IF(AND(Control!$C$58=1, $MS314&lt;= ($MN314+0.02), $I314&lt;10), 0, IF(Control!$C$58=2, $NG314, 0))</f>
        <v>#DIV/0!</v>
      </c>
      <c r="NI315" s="54" t="e">
        <f ca="1">IF(Control!$C$58=2, $NE315+$NH315,0)</f>
        <v>#DIV/0!</v>
      </c>
      <c r="NJ315" s="54" t="e">
        <f ca="1">IF(AND(Control!$C$58=1, $MS315&lt;= ($MN315+0.02), $I315&lt;10), MAX(0, MIN(10, 0.7*($NF315-$MV315))), IF(Control!$C$58=2, MIN(10,$NI315),0))</f>
        <v>#DIV/0!</v>
      </c>
      <c r="NK315" s="54" t="e">
        <f t="shared" ca="1" si="1031"/>
        <v>#DIV/0!</v>
      </c>
      <c r="NL315" s="173" t="e">
        <f ca="1">(1-Control!$C$73)*$I315+$NJ315</f>
        <v>#DIV/0!</v>
      </c>
      <c r="NM315" s="172" t="e">
        <f ca="1">IF($NL315&lt;0.5, $MB315* MAX(0, MIN(1, (SQRT($NC315)-SQRT($NC315-1))*Control!$C$71)),0)</f>
        <v>#DIV/0!</v>
      </c>
      <c r="NN315" s="170" t="e">
        <f ca="1">IF($NL315&gt;=5, $MB315, MAX(0,MIN($MB315, $NM315+$NL315,($MS315-Control!$C$129))))</f>
        <v>#DIV/0!</v>
      </c>
      <c r="NO315" s="54">
        <f>IF(Control!$C$133&lt;&gt;1, Control!$C$135-Control!$C$131, 0)</f>
        <v>0.38</v>
      </c>
      <c r="NP315" s="54" t="e">
        <f t="shared" ca="1" si="1032"/>
        <v>#DIV/0!</v>
      </c>
      <c r="NQ315" s="173" t="e">
        <f ca="1">MAX(0,MIN(1,(Control!$C$135-$MS315)/(Control!$C$135-$NO315)))</f>
        <v>#DIV/0!</v>
      </c>
      <c r="NR315" s="170" t="e">
        <f ca="1">IF(Control!$C$133&lt;&gt;1, $NQ315+((1-$NP315/4)*(1-$NQ315)),1)</f>
        <v>#DIV/0!</v>
      </c>
      <c r="NS315" s="170" t="e">
        <f ca="1">IF(Control!$B$31=0,$MJ315,MAX(0,MIN($MV315,$MO315*$NR315*$MJ315)))</f>
        <v>#DIV/0!</v>
      </c>
      <c r="NT315" s="170" t="e">
        <f t="shared" ca="1" si="1148"/>
        <v>#DIV/0!</v>
      </c>
      <c r="NU315" s="170" t="e">
        <f t="shared" ca="1" si="1124"/>
        <v>#N/A</v>
      </c>
      <c r="NV315" s="170" t="e">
        <f t="shared" ca="1" si="1033"/>
        <v>#N/A</v>
      </c>
      <c r="NW315" s="175" t="e">
        <f t="shared" ca="1" si="1034"/>
        <v>#DIV/0!</v>
      </c>
      <c r="NX315" s="170" t="e">
        <f ca="1">MIN(Control!$C$72+$MU315, $NW315)</f>
        <v>#DIV/0!</v>
      </c>
      <c r="NY315" s="170" t="e">
        <f ca="1">IF($MT315&lt;=$NX315,MIN(Control!$C$72+$NB315,$NX315-$MT315),0)</f>
        <v>#DIV/0!</v>
      </c>
      <c r="NZ315" s="54" t="e">
        <f ca="1">IF(Control!$C$114=1,  $CX315*($MX315-Control!$C$127), 0)</f>
        <v>#DIV/0!</v>
      </c>
      <c r="OA315" s="170" t="e">
        <f t="shared" ca="1" si="1035"/>
        <v>#DIV/0!</v>
      </c>
      <c r="OB315" s="170" t="e">
        <f ca="1">IF($NA315 &lt;=$NY315, MIN(Control!$C$72, $NY315-$NA315), 0)</f>
        <v>#DIV/0!</v>
      </c>
      <c r="OC315" s="168" t="e">
        <f t="shared" ca="1" si="1036"/>
        <v>#DIV/0!</v>
      </c>
      <c r="OD315" s="168" t="e">
        <f t="shared" ca="1" si="1125"/>
        <v>#DIV/0!</v>
      </c>
      <c r="OE315" s="170">
        <f ca="1">Control!$C$73*$I315</f>
        <v>0</v>
      </c>
      <c r="OF315" s="176" t="e">
        <f t="shared" ca="1" si="1037"/>
        <v>#DIV/0!</v>
      </c>
      <c r="OG315" s="168" t="e">
        <f t="shared" ca="1" si="1038"/>
        <v>#DIV/0!</v>
      </c>
      <c r="OH315" s="168" t="e">
        <f t="shared" ca="1" si="1039"/>
        <v>#DIV/0!</v>
      </c>
      <c r="OI315" s="168" t="e">
        <f t="shared" ca="1" si="1040"/>
        <v>#DIV/0!</v>
      </c>
      <c r="OJ315" s="168" t="e">
        <f t="shared" ca="1" si="1041"/>
        <v>#DIV/0!</v>
      </c>
      <c r="OK315" s="204" t="e">
        <f t="shared" ca="1" si="1042"/>
        <v>#DIV/0!</v>
      </c>
      <c r="OL315" s="177">
        <f>Control!$C$127</f>
        <v>0.15</v>
      </c>
      <c r="OM315" s="182" t="e">
        <f t="shared" ca="1" si="1043"/>
        <v>#N/A</v>
      </c>
      <c r="ON315" s="177">
        <f>Control!$C$128</f>
        <v>0.35</v>
      </c>
      <c r="OO315" s="182" t="e">
        <f t="shared" ca="1" si="1044"/>
        <v>#N/A</v>
      </c>
      <c r="OP315" s="138">
        <f t="shared" ca="1" si="1126"/>
        <v>0</v>
      </c>
      <c r="OQ315" s="138" t="e">
        <f t="shared" ca="1" si="1149"/>
        <v>#DIV/0!</v>
      </c>
      <c r="OR315" s="138" t="e">
        <f t="shared" ca="1" si="1127"/>
        <v>#DIV/0!</v>
      </c>
      <c r="OS315" s="137" t="e">
        <f t="shared" ca="1" si="1150"/>
        <v>#DIV/0!</v>
      </c>
      <c r="OT315" s="139" t="e">
        <f t="shared" ca="1" si="1151"/>
        <v>#DIV/0!</v>
      </c>
      <c r="OU315" s="138" t="e">
        <f t="shared" ca="1" si="1152"/>
        <v>#N/A</v>
      </c>
      <c r="OV315" s="138" t="e">
        <f t="shared" ca="1" si="1153"/>
        <v>#DIV/0!</v>
      </c>
      <c r="OW315" s="138" t="e">
        <f t="shared" ca="1" si="1128"/>
        <v>#DIV/0!</v>
      </c>
      <c r="OX315" s="138" t="e">
        <f t="shared" ca="1" si="1129"/>
        <v>#DIV/0!</v>
      </c>
      <c r="OY315" s="138" t="e">
        <f t="shared" ca="1" si="1130"/>
        <v>#DIV/0!</v>
      </c>
      <c r="OZ315" s="138" t="e">
        <f t="shared" ca="1" si="1045"/>
        <v>#DIV/0!</v>
      </c>
      <c r="PA315" s="138" t="e">
        <f t="shared" ca="1" si="1046"/>
        <v>#DIV/0!</v>
      </c>
      <c r="PB315" s="55">
        <f>IF(Control!$C$61="T", IF(Control!$C$65="F", IF($AH$6-Control!$C$60&lt;0,0,1), IF(365+$AH$6-Control!$C$60&lt;0,0,1)),0)</f>
        <v>0</v>
      </c>
      <c r="PC315" s="55">
        <f ca="1">IF(Control!$C$65="F", IF($AH$6-$HF315&lt;0,0,1), IF(365+$AH$6-$HF315&lt;0,0,1))</f>
        <v>1</v>
      </c>
      <c r="PD315" s="444">
        <f>Control!$C$118</f>
        <v>1500</v>
      </c>
      <c r="PE315" s="180" t="e">
        <f t="shared" ca="1" si="1047"/>
        <v>#N/A</v>
      </c>
      <c r="PF315" s="445">
        <f t="shared" ca="1" si="1131"/>
        <v>0.71612369323045078</v>
      </c>
      <c r="PT315" s="186"/>
      <c r="PU315" s="186"/>
      <c r="PV315" s="94"/>
      <c r="PW315" s="94"/>
      <c r="PX315" s="94"/>
      <c r="PY315" s="94"/>
      <c r="PZ315" s="94"/>
      <c r="QA315" s="94"/>
      <c r="QB315" s="94"/>
      <c r="QC315" s="94"/>
      <c r="QD315" s="94"/>
      <c r="QE315" s="94"/>
      <c r="QF315" s="94"/>
      <c r="QG315" s="94"/>
      <c r="QH315" s="94"/>
      <c r="QI315" s="94"/>
      <c r="QJ315" s="94"/>
      <c r="QK315" s="94"/>
      <c r="QL315" s="94"/>
      <c r="QM315" s="94"/>
      <c r="QN315" s="94"/>
      <c r="QO315" s="94"/>
      <c r="QP315" s="94"/>
    </row>
    <row r="316" spans="1:458" s="2" customFormat="1" x14ac:dyDescent="0.2">
      <c r="A316" s="395">
        <v>7</v>
      </c>
      <c r="B316" s="396">
        <v>11</v>
      </c>
      <c r="C316" s="387">
        <f ca="1">Weather_data!$B315</f>
        <v>0</v>
      </c>
      <c r="D316" s="388">
        <f ca="1">Weather_data!$F315</f>
        <v>0</v>
      </c>
      <c r="E316" s="388">
        <f ca="1">Weather_data!$E315</f>
        <v>0</v>
      </c>
      <c r="F316" s="388">
        <f t="shared" ca="1" si="1048"/>
        <v>0</v>
      </c>
      <c r="G316" s="388">
        <f ca="1">AVERAGE($D316:$E316)+Control!$B$9</f>
        <v>0</v>
      </c>
      <c r="H316" s="388">
        <f ca="1">Weather_data!$G315</f>
        <v>0</v>
      </c>
      <c r="I316" s="388">
        <f ca="1">Weather_data!$I315</f>
        <v>0</v>
      </c>
      <c r="J316" s="388">
        <f ca="1">Weather_data!$H315</f>
        <v>0</v>
      </c>
      <c r="K316" s="389">
        <f ca="1">Weather_data!$D315</f>
        <v>0</v>
      </c>
      <c r="L316" s="388" t="e">
        <f t="shared" ca="1" si="1049"/>
        <v>#N/A</v>
      </c>
      <c r="M316" s="388" t="e">
        <f t="shared" ca="1" si="927"/>
        <v>#N/A</v>
      </c>
      <c r="N316" s="388">
        <f t="shared" ca="1" si="928"/>
        <v>-3.2669909432536206E-15</v>
      </c>
      <c r="O316" s="388">
        <f t="shared" ca="1" si="1050"/>
        <v>3.2669909432536207E-14</v>
      </c>
      <c r="P316" s="390">
        <v>3</v>
      </c>
      <c r="Q316" s="388">
        <f ca="1">MAX($G316-Control!$C$107,0)</f>
        <v>0</v>
      </c>
      <c r="R316" s="388">
        <f t="shared" ca="1" si="1051"/>
        <v>0</v>
      </c>
      <c r="S316" s="388">
        <f t="shared" ca="1" si="929"/>
        <v>0</v>
      </c>
      <c r="T316" s="388">
        <f t="shared" ca="1" si="930"/>
        <v>0</v>
      </c>
      <c r="U316" s="59">
        <f t="shared" ca="1" si="931"/>
        <v>0</v>
      </c>
      <c r="V316" s="391">
        <f ca="1">MAX(0,MIN(Control!$C$100-Control!$C$99,$G316-Control!$C$99)*Control!$C$63)</f>
        <v>0</v>
      </c>
      <c r="W316" s="388">
        <f t="shared" ca="1" si="1052"/>
        <v>0</v>
      </c>
      <c r="X316" s="388">
        <f t="shared" ca="1" si="1053"/>
        <v>0.6110000000000001</v>
      </c>
      <c r="Y316" s="388">
        <f t="shared" ca="1" si="932"/>
        <v>0</v>
      </c>
      <c r="Z316" s="388">
        <f t="shared" ca="1" si="1054"/>
        <v>0.61058800000000002</v>
      </c>
      <c r="AA316" s="388">
        <f t="shared" ca="1" si="933"/>
        <v>0.6018</v>
      </c>
      <c r="AB316" s="388">
        <f ca="1">101.3*EXP(-0.034*Control!$C$66/($G316+273))</f>
        <v>100.69623283836242</v>
      </c>
      <c r="AC316" s="392">
        <f t="shared" ca="1" si="934"/>
        <v>4.3460251046025113E-2</v>
      </c>
      <c r="AD316" s="392">
        <f t="shared" ca="1" si="935"/>
        <v>4.4450382862832649E-2</v>
      </c>
      <c r="AE316" s="388">
        <f t="shared" ca="1" si="936"/>
        <v>0</v>
      </c>
      <c r="AF316" s="388">
        <f ca="1">MAX(0,$G316-Control!$C$92)</f>
        <v>0</v>
      </c>
      <c r="AG316" s="393">
        <f t="shared" ca="1" si="937"/>
        <v>312</v>
      </c>
      <c r="AH316" s="389">
        <f t="shared" ca="1" si="938"/>
        <v>312</v>
      </c>
      <c r="AI316" s="388">
        <f t="shared" ca="1" si="1055"/>
        <v>-0.29822088792496598</v>
      </c>
      <c r="AJ316" s="388">
        <f ca="1">IF(Control!$C$60&lt;=0,$HH316,$HI316)</f>
        <v>1</v>
      </c>
      <c r="AK316" s="388">
        <f t="shared" ca="1" si="939"/>
        <v>3.9936958664812714</v>
      </c>
      <c r="AL316" s="388">
        <f t="shared" ca="1" si="940"/>
        <v>-1.0459508259508254E-17</v>
      </c>
      <c r="AM316" s="388">
        <f t="shared" ca="1" si="941"/>
        <v>3.9936958664812714</v>
      </c>
      <c r="AN316" s="388">
        <f t="shared" ca="1" si="942"/>
        <v>-0.30407513159442745</v>
      </c>
      <c r="AO316" s="388">
        <f ca="1">-0.10453/COS(Control!$B$8*PI()/180)*COS(AN316)</f>
        <v>-0.16199586070140198</v>
      </c>
      <c r="AP316" s="388">
        <f ca="1">ACOS(AO316-TAN(Control!$B$8*PI()/180)*TAN(AN316))</f>
        <v>1.3287819680936674</v>
      </c>
      <c r="AQ316" s="388">
        <f t="shared" ca="1" si="1056"/>
        <v>0</v>
      </c>
      <c r="AR316" s="394">
        <f t="shared" ca="1" si="943"/>
        <v>0</v>
      </c>
      <c r="AS316" s="436">
        <f ca="1">IF(Control!$B$18=2,(IF(OR($AH316=Control!$B$175,$AH316=Control!$B$176,$AH316=Control!$B$177,$AH316=Control!$B$178,$AH316=Control!$B$179,$AH316=Control!$B$180,$AH316=Control!$B$181,$AH316=Control!$B$182,$AH316=Control!$B$183,$AH316=Control!$B$184,$AH316=Control!$B$185),1,0)),0)</f>
        <v>0</v>
      </c>
      <c r="AT316" s="436">
        <f>IF(Control!$B$20=8,IF(AND($AH316&gt;=Control!$B$172,$AH316&lt;=Control!$B$173),1,0),0)</f>
        <v>0</v>
      </c>
      <c r="AU316" s="436">
        <f>IF(Control!$B$20=8,IF($AV315=1,1*$AT316,IF($AT316=1,$AU315+1,$AU315)),0)</f>
        <v>0</v>
      </c>
      <c r="AV316" s="436">
        <f>IF(Control!$B$20=8,IF($AU316&gt;=Control!$B$174,1,0),0)</f>
        <v>0</v>
      </c>
      <c r="AW316" s="436">
        <f ca="1">IF(AND(Control!$B$18=2,Control!$B$171=1), $AV316, $AS316)</f>
        <v>0</v>
      </c>
      <c r="AX316" s="436" t="e">
        <f ca="1">IF(AND(Control!$B$18=1,$EU316&gt;=Control!$B$19),-$AY316,IF(AND(Control!$B$18=2,$AW316=1,$EU316&gt;$DS316),-$AY316, IF(Control!$C$108=0,0, IF(Control!$C$108&lt;&gt;0,1))))</f>
        <v>#N/A</v>
      </c>
      <c r="AY316" s="436" t="e">
        <f t="shared" ca="1" si="1057"/>
        <v>#N/A</v>
      </c>
      <c r="AZ316" s="436" t="e">
        <f ca="1">IF(AND(Control!$B$18=1,$EB316&gt;Control!$B$19),$AZ315+1, IF(AND(Control!$B$18=2, $AW316=1, $EB316&gt;$DS316), $AZ315+1,$AZ315))</f>
        <v>#N/A</v>
      </c>
      <c r="BA316" s="587">
        <f>IF(Control!$C$81=0,1,IF($AH316&gt;=Control!$C$82,1,0))</f>
        <v>1</v>
      </c>
      <c r="BB316" s="140" t="e">
        <f ca="1">IF($BA316&gt;$BA315,Control!$C$83,IF($AW316&gt;0,$AW316*Control!$C$84,IF(AND(Control!$B$18=1,EN315&lt;&gt;0),Control!$C$84,0)))</f>
        <v>#N/A</v>
      </c>
      <c r="BC316" s="140" t="e">
        <f t="shared" ca="1" si="1058"/>
        <v>#N/A</v>
      </c>
      <c r="BD316" s="140" t="e">
        <f ca="1">BC316*IF(OR($G316&lt;Control!$C$92,$G316&gt;Control!$C$95),0,IF(AND($G316&gt;=Control!$C$92,$G316&lt;=Control!$C$93),$G316-Control!$C$92,IF(AND($G316&gt;Control!$C$93,$G316&lt;=Control!$C$94),Control!$C$93-Control!$C$92,IF(AND($G316&gt;Control!$C$94,$G316&lt;=Control!$C$95),(Control!$C$93-Control!$C$92)*(Control!$C$94-$G316)/(Control!$C$95-Control!$C$94)))))</f>
        <v>#N/A</v>
      </c>
      <c r="BE316" s="140" t="e">
        <f t="shared" ca="1" si="1059"/>
        <v>#N/A</v>
      </c>
      <c r="BF316" s="140" t="e">
        <f ca="1">IF($BE316&lt;=Control!$C$86,$BE316,Control!$C$86-$BE316)</f>
        <v>#N/A</v>
      </c>
      <c r="BG316" s="140" t="e">
        <f ca="1">IF(AND($AW316=1,Control!$C$84&lt;9),1,IF($BE316&gt;=Control!$C$86,0,$BC316))</f>
        <v>#N/A</v>
      </c>
      <c r="BH316" s="404" t="e">
        <f ca="1">IF($BG316=0,0,IF($BE316&lt;=Control!$C$86,$BC316*9*($BF316/Control!$C$86),0))</f>
        <v>#N/A</v>
      </c>
      <c r="BI316" s="140" t="e">
        <f ca="1">IF($BG316=1,0,IF($BE316&gt;=Control!$C$86,1,IF(AND($BB316&lt;21,$BB316&gt;=9),1,$BM315)))</f>
        <v>#N/A</v>
      </c>
      <c r="BJ316" s="140" t="e">
        <f ca="1">IF($BF316&lt;0,-$BF316,$BI316*IF(OR($G316&lt;Control!$C$92,$G316&gt;Control!$C$95),0,IF(AND($G316&gt;=Control!$C$92,$G316&lt;=Control!$C$93),$G316-Control!$C$92,IF(AND($G316&gt;Control!$C$93,$G316&lt;=Control!$C$94),Control!$C$93-Control!$C$92,IF(AND($G316&gt;Control!$C$94,$G316&lt;=Control!$C$95),(Control!$C$93-Control!$C$92)*(Control!$C$94-$G316)/(Control!$C$95-Control!$C$94))))))</f>
        <v>#N/A</v>
      </c>
      <c r="BK316" s="140" t="e">
        <f t="shared" ca="1" si="1060"/>
        <v>#N/A</v>
      </c>
      <c r="BL316" s="140" t="e">
        <f ca="1">IF($BK316&lt;=Control!$C$87,$BK316,Control!$C$87-$BK316)</f>
        <v>#N/A</v>
      </c>
      <c r="BM316" s="140" t="e">
        <f ca="1">IF(AND($BB316&gt;=9,$BB316&lt;21),1,IF($BK316&gt;=Control!$C$87,0,$BI316))</f>
        <v>#N/A</v>
      </c>
      <c r="BN316" s="404" t="e">
        <f ca="1">IF($BM316=0,0,IF($BK316&lt;=Control!$C$87,$BI316*(9+(21-9)*($BL316/Control!$C$87)),0))</f>
        <v>#N/A</v>
      </c>
      <c r="BO316" s="140" t="e">
        <f ca="1">IF($BM316=1,0,IF($BK316&gt;=Control!$C$87,1,IF(AND($BB316&lt;30,$BB316&gt;=21),1,$BS315)))</f>
        <v>#N/A</v>
      </c>
      <c r="BP316" s="140" t="e">
        <f ca="1">IF($BL316&lt;0,-$BL316,$BO316*IF(OR($G316&lt;Control!$C$92,$G316&gt;Control!$C$95),0,IF(AND($G316&gt;=Control!$C$92,$G316&lt;=Control!$C$93),$G316-Control!$C$92,IF(AND($G316&gt;Control!$C$93,$G316&lt;=Control!$C$94),Control!$C$93-Control!$C$92,IF(AND($G316&gt;Control!$C$94,$G316&lt;=Control!$C$95),(Control!$C$93-Control!$C$92)*(Control!$C$94-$G316)/(Control!$C$95-Control!$C$94))))))</f>
        <v>#N/A</v>
      </c>
      <c r="BQ316" s="140" t="e">
        <f t="shared" ca="1" si="944"/>
        <v>#N/A</v>
      </c>
      <c r="BR316" s="140" t="e">
        <f ca="1">IF($BQ316&lt;=Control!$C$88,$BQ316,Control!$C$88-$BQ316)</f>
        <v>#N/A</v>
      </c>
      <c r="BS316" s="140" t="e">
        <f ca="1">IF(AND($BB316&gt;=21,$BB316&lt;30),1,IF($BQ316&gt;=Control!$C$88,0,$BO316))</f>
        <v>#N/A</v>
      </c>
      <c r="BT316" s="404" t="e">
        <f ca="1">IF($BS316=0,0,IF($BQ316&lt;=Control!$C$88,$BO316*(21+(30-21)*(BR316/Control!$C$88)),0))</f>
        <v>#N/A</v>
      </c>
      <c r="BU316" s="140" t="e">
        <f ca="1">IF(BG316+BM316+BS316=1,0,IF(OR(AND($BB316&lt;60,$BB316&gt;=30),$BQ316&gt;=Control!$C$88),1*$BA316,$BY315))</f>
        <v>#N/A</v>
      </c>
      <c r="BV316" s="140" t="e">
        <f ca="1">IF($BR316&lt;0,-$BR316,$BU316*IF(OR($G316&lt;Control!$C$92,$G316&gt;Control!$C$95),0,IF(AND($G316&gt;=Control!$C$92,$G316&lt;=Control!$C$93),$G316-Control!$C$92,IF(AND($G316&gt;Control!$C$93,$G316&lt;=Control!$C$94),Control!$C$93-Control!$C$92,IF(AND($G316&gt;Control!$C$94,$G316&lt;=Control!$C$95),(Control!$C$93-Control!$C$92)*(Control!$C$94-$G316)/(Control!$C$95-Control!$C$94))))))</f>
        <v>#N/A</v>
      </c>
      <c r="BW316" s="140" t="e">
        <f t="shared" ca="1" si="945"/>
        <v>#N/A</v>
      </c>
      <c r="BX316" s="140" t="e">
        <f ca="1">IF($BW316&lt;=Control!$C$89,$BW316,Control!$C$89-$BW316)</f>
        <v>#N/A</v>
      </c>
      <c r="BY316" s="140" t="e">
        <f ca="1">IF(AND($AJ316&gt;=30,$AJ316&lt;60),1,IF($BW316&gt;=Control!$C$89,0,$BU316))</f>
        <v>#N/A</v>
      </c>
      <c r="BZ316" s="404" t="e">
        <f ca="1">IF($BY316=0,0,IF($BW316&lt;=Control!$C$89,$BU316*(30+(60-30)*(BX316/Control!$C$89)),0))</f>
        <v>#N/A</v>
      </c>
      <c r="CA316" s="140" t="e">
        <f ca="1">IF($BG316+$BM316+$BS316+$BY316=1,0,IF(OR(AND($BB316&lt;65,$BB316&gt;=60),$BW316&gt;=Control!$C$89),1*$BA316,$CE315))</f>
        <v>#N/A</v>
      </c>
      <c r="CB316" s="140" t="e">
        <f ca="1">IF($BX316&lt;0,-$BX316,$CA316*IF(OR($G316&lt;Control!$C$92,$G316&gt;Control!$C$95),0,IF(AND($G316&gt;=Control!$C$92,$G316&lt;=Control!$C$93),$G316-Control!$C$92,IF(AND($G316&gt;Control!$C$93,$G316&lt;=Control!$C$94),Control!$C$93-Control!$C$92,IF(AND($G316&gt;Control!$C$94,$G316&lt;=Control!$C$95),(Control!$C$93-Control!$C$92)*(Control!$C$94-$G316)/(Control!$C$95-Control!$C$94))))))</f>
        <v>#N/A</v>
      </c>
      <c r="CC316" s="140" t="e">
        <f t="shared" ca="1" si="1061"/>
        <v>#N/A</v>
      </c>
      <c r="CD316" s="140" t="e">
        <f ca="1">IF($CC316&lt;=Control!$C$90,$CC316,Control!$C$90-$CC316)</f>
        <v>#N/A</v>
      </c>
      <c r="CE316" s="140" t="e">
        <f ca="1">IF(AND($BB316&gt;=60,$BB316&lt;65),1,IF($CC316&gt;=Control!$C$90,0,$CA316))</f>
        <v>#N/A</v>
      </c>
      <c r="CF316" s="404" t="e">
        <f ca="1">IF($CE316=0,0,IF($CC316&lt;=Control!$C$90,$CA316*(60+(65-60)*(CD316/Control!$C$90)),0))</f>
        <v>#N/A</v>
      </c>
      <c r="CG316" s="140" t="e">
        <f ca="1">IF($BG316+$BM316+$BS316+$BY316+$CE316=1,0,IF(OR(AND($BB316&lt;90,$BB316&gt;=65),$CC316&gt;=Control!$C$90),$BA316,$CK315))</f>
        <v>#N/A</v>
      </c>
      <c r="CH316" s="140" t="e">
        <f ca="1">IF($CD316&lt;0,-$CD316,$CG316*IF(OR($G316&lt;Control!$C$92,$G316&gt;Control!$C$95),0,IF(AND($G316&gt;=Control!$C$92,$G316&lt;=Control!$C$93),$G316-Control!$C$92,IF(AND($G316&gt;Control!$C$93,$G316&lt;=Control!$C$94),Control!$C$93-Control!$C$92,IF(AND($G316&gt;Control!$C$94,$G316&lt;=Control!$C$95),(Control!$C$93-Control!$C$92)*(Control!$C$94-$G316)/(Control!$C$95-Control!$C$94))))))</f>
        <v>#N/A</v>
      </c>
      <c r="CI316" s="140" t="e">
        <f t="shared" ca="1" si="1062"/>
        <v>#N/A</v>
      </c>
      <c r="CJ316" s="140" t="e">
        <f ca="1">IF($CI316&lt;=Control!$C$91,$CI316,Control!$C$91-$CI316)</f>
        <v>#N/A</v>
      </c>
      <c r="CK316" s="140" t="e">
        <f ca="1">IF(AND($BB316&gt;=65,$BB316&lt;90),1,IF($CI316&gt;=Control!$C$91,0,$CG316))</f>
        <v>#N/A</v>
      </c>
      <c r="CL316" s="404" t="e">
        <f ca="1">IF($CK316=0,0,IF($CI316&lt;=Control!$C$91,$CG316*(65+(90-65)*($CJ316/Control!$C$91)),0))</f>
        <v>#N/A</v>
      </c>
      <c r="CM316" s="140" t="e">
        <f ca="1">IF($BG316+$BM316+$BS316+$BY316+$CE316+$CK316=1,0,IF(OR($BB316&gt;=90,$CI316&gt;=Control!$C$91),$BA316,$CM315))</f>
        <v>#N/A</v>
      </c>
      <c r="CN316" s="140" t="e">
        <f t="shared" ca="1" si="1063"/>
        <v>#N/A</v>
      </c>
      <c r="CO316" s="140" t="e">
        <f t="shared" ca="1" si="1064"/>
        <v>#N/A</v>
      </c>
      <c r="CP316" s="140" t="e">
        <f t="shared" ca="1" si="1065"/>
        <v>#N/A</v>
      </c>
      <c r="CQ316" s="141" t="e">
        <f ca="1">VLOOKUP($CP316,Control!$B$86:$G$91,6)</f>
        <v>#N/A</v>
      </c>
      <c r="CR316" s="141" t="e">
        <f ca="1">(1-$CQ316)*VLOOKUP($CP316,Control!$B$86:$D$91,3)</f>
        <v>#N/A</v>
      </c>
      <c r="CS316" s="141" t="e">
        <f ca="1">(1-$CQ316)*VLOOKUP($CP316,Control!$B$86:$E$91,4)</f>
        <v>#N/A</v>
      </c>
      <c r="CT316" s="141" t="e">
        <f ca="1">(1-$CQ316)*VLOOKUP($CP316,Control!$B$86:$F$91,5)</f>
        <v>#N/A</v>
      </c>
      <c r="CU316" s="141">
        <f t="shared" ca="1" si="1066"/>
        <v>0</v>
      </c>
      <c r="CV316" s="583">
        <f t="shared" ca="1" si="1067"/>
        <v>0</v>
      </c>
      <c r="CW316" s="142">
        <f t="shared" ca="1" si="1068"/>
        <v>312</v>
      </c>
      <c r="CX316" s="612" t="e">
        <f ca="1">IF(Control!$C$114=1,(MIN(Control!$C$120*(IF($NT316-0.01&lt;0,0,1)),Control!$C$119-$CY316)))</f>
        <v>#DIV/0!</v>
      </c>
      <c r="CY316" s="143" t="e">
        <f t="shared" ca="1" si="1069"/>
        <v>#N/A</v>
      </c>
      <c r="CZ316" s="144">
        <f t="shared" ca="1" si="946"/>
        <v>0</v>
      </c>
      <c r="DA316" s="144">
        <f t="shared" ca="1" si="947"/>
        <v>0</v>
      </c>
      <c r="DB316" s="144" t="e">
        <f t="shared" ca="1" si="948"/>
        <v>#N/A</v>
      </c>
      <c r="DC316" s="144" t="e">
        <f t="shared" ca="1" si="949"/>
        <v>#N/A</v>
      </c>
      <c r="DD316" s="144" t="e">
        <f t="shared" ca="1" si="1154"/>
        <v>#N/A</v>
      </c>
      <c r="DE316" s="143" t="e">
        <f t="shared" ca="1" si="1070"/>
        <v>#N/A</v>
      </c>
      <c r="DF316" s="145" t="e">
        <f ca="1">$DR316*EXP(-Control!$C$158*(1-$KH316))</f>
        <v>#N/A</v>
      </c>
      <c r="DG316" s="146" t="e">
        <f ca="1">IF(Control!$C$114=1, $DF316*$EY316, 0)</f>
        <v>#N/A</v>
      </c>
      <c r="DH316" s="147" t="e">
        <f t="shared" ca="1" si="1071"/>
        <v>#N/A</v>
      </c>
      <c r="DI316" s="144" t="e">
        <f t="shared" ca="1" si="1132"/>
        <v>#N/A</v>
      </c>
      <c r="DJ316" s="147" t="e">
        <f ca="1">$EF316*Control!$C$109</f>
        <v>#N/A</v>
      </c>
      <c r="DK316" s="144" t="e">
        <f t="shared" ca="1" si="1072"/>
        <v>#N/A</v>
      </c>
      <c r="DL316" s="144" t="e">
        <f t="shared" ca="1" si="950"/>
        <v>#N/A</v>
      </c>
      <c r="DM316" s="144" t="e">
        <f ca="1">IF(Control!$C$114=1, (1-EXP(-Control!$C$96*$DK316))*$AR316, 0)</f>
        <v>#N/A</v>
      </c>
      <c r="DN316" s="144">
        <f t="shared" ca="1" si="1073"/>
        <v>0</v>
      </c>
      <c r="DO316" s="148">
        <f>Control!$C$97</f>
        <v>4</v>
      </c>
      <c r="DP316" s="145" t="e">
        <f t="shared" ca="1" si="1074"/>
        <v>#N/A</v>
      </c>
      <c r="DQ316" s="145" t="e">
        <f ca="1">IF(AND($CP316&gt;=0,$CP316&lt;=90),Control!$C$111,Control!$C$111)</f>
        <v>#N/A</v>
      </c>
      <c r="DR316" s="145" t="e">
        <f t="shared" ca="1" si="951"/>
        <v>#N/A</v>
      </c>
      <c r="DS316" s="143" t="e">
        <f ca="1">Control!$B$22/$DR316</f>
        <v>#N/A</v>
      </c>
      <c r="DT316" s="149" t="e">
        <f ca="1">IF(AND(Control!$C$114=1,$KH316&lt;1),$IM316*$DF316, 0)</f>
        <v>#N/A</v>
      </c>
      <c r="DU316" s="144" t="e">
        <f t="shared" ca="1" si="1075"/>
        <v>#N/A</v>
      </c>
      <c r="DV316" s="144">
        <f ca="1">IF($G316-Control!$C$107&lt;=0, 0, 0.83*LN(MAX($G316, 3))-0.8924)</f>
        <v>0</v>
      </c>
      <c r="DW316" s="144" t="e">
        <f t="shared" ca="1" si="952"/>
        <v>#N/A</v>
      </c>
      <c r="DX316" s="150" t="e">
        <f ca="1">MAX(0.01*(1+$CU316/Control!$C$102),0.05*($DK316-Control!$C$97)/Control!$C$97)</f>
        <v>#N/A</v>
      </c>
      <c r="DY316" s="151" t="e">
        <f ca="1">IF(Control!$C$114=1, $DI316*$FS316, 0)</f>
        <v>#N/A</v>
      </c>
      <c r="DZ316" s="196" t="e">
        <f t="shared" ca="1" si="1076"/>
        <v>#N/A</v>
      </c>
      <c r="EA316" s="152">
        <f t="shared" ca="1" si="1077"/>
        <v>312</v>
      </c>
      <c r="EB316" s="153" t="e">
        <f t="shared" ca="1" si="1078"/>
        <v>#N/A</v>
      </c>
      <c r="EC316" s="153" t="e">
        <f t="shared" ca="1" si="1079"/>
        <v>#N/A</v>
      </c>
      <c r="ED316" s="154" t="e">
        <f ca="1">IF(Control!$C$114=1, $HM316*$FY316-$FD316, 0)</f>
        <v>#DIV/0!</v>
      </c>
      <c r="EE316" s="155" t="e">
        <f ca="1">IF(Control!$C$114=1, $HM316*$FZ316-$FF316, 0)</f>
        <v>#DIV/0!</v>
      </c>
      <c r="EF316" s="153" t="e">
        <f t="shared" ca="1" si="1133"/>
        <v>#N/A</v>
      </c>
      <c r="EG316" s="155" t="e">
        <f ca="1">IF(Control!$C$114=1, $GX316*$FW316-$FI316, 0)</f>
        <v>#DIV/0!</v>
      </c>
      <c r="EH316" s="153" t="e">
        <f t="shared" ca="1" si="1080"/>
        <v>#N/A</v>
      </c>
      <c r="EI316" s="156" t="e">
        <f t="shared" ca="1" si="1081"/>
        <v>#N/A</v>
      </c>
      <c r="EJ316" s="155" t="e">
        <f ca="1">IF(Control!$C$114=1, $HM316*$GB316, 0)</f>
        <v>#DIV/0!</v>
      </c>
      <c r="EK316" s="153" t="e">
        <f t="shared" ca="1" si="1134"/>
        <v>#N/A</v>
      </c>
      <c r="EL316" s="153" t="e">
        <f t="shared" ca="1" si="953"/>
        <v>#N/A</v>
      </c>
      <c r="EM316" s="153" t="e">
        <f t="shared" ca="1" si="954"/>
        <v>#N/A</v>
      </c>
      <c r="EN316" s="153" t="e">
        <f ca="1">IF(Control!$C$108=1,IF(AND(Control!$B$18=1,$EB316&gt;=Control!$B$19),$EB316-$DS316,IF(AND(Control!$B$18=2,$AW316=1,$EB316&gt;$DS316),$EB316-$DS316,0)))</f>
        <v>#N/A</v>
      </c>
      <c r="EO316" s="153" t="e">
        <f ca="1">IF(Control!$C$108=1,IF(AND(Control!$B$18=1,$EB316&gt;=Control!$B$19),$EF316,IF(AND(Control!$B$18=2,$AW316=1),$EF316,0)))</f>
        <v>#N/A</v>
      </c>
      <c r="EP316" s="153" t="e">
        <f ca="1">IF(Control!$C$108=1,IF(AND(Control!$B$18=1,$EB316&gt;=Control!$B$19),$EK316,IF(AND(Control!$B$18=2,$AW316=1),$EK316,0)))</f>
        <v>#N/A</v>
      </c>
      <c r="EQ316" s="153" t="e">
        <f t="shared" ca="1" si="1082"/>
        <v>#N/A</v>
      </c>
      <c r="ER316" s="153" t="e">
        <f t="shared" ca="1" si="1083"/>
        <v>#N/A</v>
      </c>
      <c r="ES316" s="153" t="e">
        <f t="shared" ca="1" si="1135"/>
        <v>#N/A</v>
      </c>
      <c r="ET316" s="153" t="e">
        <f t="shared" ca="1" si="1136"/>
        <v>#N/A</v>
      </c>
      <c r="EU316" s="153" t="e">
        <f t="shared" ca="1" si="1084"/>
        <v>#N/A</v>
      </c>
      <c r="EV316" s="153" t="e">
        <f t="shared" ca="1" si="955"/>
        <v>#N/A</v>
      </c>
      <c r="EW316" s="153" t="e">
        <f t="shared" ca="1" si="956"/>
        <v>#N/A</v>
      </c>
      <c r="EX316" s="153" t="e">
        <f t="shared" ca="1" si="957"/>
        <v>#N/A</v>
      </c>
      <c r="EY316" s="157" t="e">
        <f t="shared" ca="1" si="958"/>
        <v>#DIV/0!</v>
      </c>
      <c r="EZ316" s="154" t="e">
        <f t="shared" ca="1" si="959"/>
        <v>#DIV/0!</v>
      </c>
      <c r="FA316" s="153" t="e">
        <f t="shared" ca="1" si="1085"/>
        <v>#N/A</v>
      </c>
      <c r="FB316" s="153" t="e">
        <f t="shared" ca="1" si="960"/>
        <v>#N/A</v>
      </c>
      <c r="FC316" s="193" t="e">
        <f t="shared" ca="1" si="961"/>
        <v>#N/A</v>
      </c>
      <c r="FD316" s="158" t="e">
        <f t="shared" ca="1" si="1086"/>
        <v>#N/A</v>
      </c>
      <c r="FE316" s="158" t="e">
        <f t="shared" ca="1" si="1087"/>
        <v>#N/A</v>
      </c>
      <c r="FF316" s="159" t="e">
        <f t="shared" ca="1" si="962"/>
        <v>#N/A</v>
      </c>
      <c r="FG316" s="160" t="e">
        <f t="shared" ca="1" si="1088"/>
        <v>#N/A</v>
      </c>
      <c r="FH316" s="158" t="e">
        <f t="shared" ca="1" si="1089"/>
        <v>#N/A</v>
      </c>
      <c r="FI316" s="159" t="e">
        <f t="shared" ca="1" si="963"/>
        <v>#N/A</v>
      </c>
      <c r="FJ316" s="160" t="e">
        <f t="shared" ca="1" si="1090"/>
        <v>#N/A</v>
      </c>
      <c r="FK316" s="160" t="e">
        <f t="shared" ca="1" si="964"/>
        <v>#N/A</v>
      </c>
      <c r="FL316" s="160" t="e">
        <f t="shared" ca="1" si="1137"/>
        <v>#N/A</v>
      </c>
      <c r="FM316" s="160" t="e">
        <f t="shared" ca="1" si="965"/>
        <v>#N/A</v>
      </c>
      <c r="FN316" s="158">
        <f t="shared" ca="1" si="1091"/>
        <v>0.01</v>
      </c>
      <c r="FO316" s="160">
        <f>Control!$C$101</f>
        <v>50</v>
      </c>
      <c r="FP316" s="150" t="e">
        <f t="shared" ca="1" si="966"/>
        <v>#N/A</v>
      </c>
      <c r="FQ316" s="150" t="e">
        <f ca="1">MAX(0,(Control!$C$112*(($DK316-Control!$C$97)/Control!$C$97)))</f>
        <v>#N/A</v>
      </c>
      <c r="FR316" s="150" t="e">
        <f ca="1">(1-$NT316)*Control!$C$113</f>
        <v>#DIV/0!</v>
      </c>
      <c r="FS316" s="198" t="e">
        <f t="shared" ca="1" si="967"/>
        <v>#N/A</v>
      </c>
      <c r="FT316" s="161">
        <f t="shared" ca="1" si="1092"/>
        <v>312</v>
      </c>
      <c r="FU316" s="162" t="e">
        <f ca="1">IF(Control!$B$34=1,VLOOKUP($CP316,Control!$B$86:$G$91,6),Control!$B$35)</f>
        <v>#N/A</v>
      </c>
      <c r="FV316" s="162" t="e">
        <f t="shared" ca="1" si="968"/>
        <v>#DIV/0!</v>
      </c>
      <c r="FW316" s="162" t="e">
        <f ca="1">IF(Control!$B$31=1,$FU316*$FV316,  $FU316)</f>
        <v>#N/A</v>
      </c>
      <c r="FX316" s="162" t="e">
        <f ca="1">IF(Control!$B$34=1,VLOOKUP($CP316,Control!$B$86:$G$91,3),Control!$B$36)</f>
        <v>#N/A</v>
      </c>
      <c r="FY316" s="162" t="e">
        <f t="shared" ca="1" si="969"/>
        <v>#N/A</v>
      </c>
      <c r="FZ316" s="162" t="e">
        <f ca="1">IF(Control!$B$34=1,VLOOKUP($CP316,Control!$B$86:$G$91,4),Control!$B$37)</f>
        <v>#N/A</v>
      </c>
      <c r="GA316" s="162" t="e">
        <f t="shared" ca="1" si="970"/>
        <v>#N/A</v>
      </c>
      <c r="GB316" s="162" t="e">
        <f ca="1">IF(Control!$B$34=1,VLOOKUP($CP316,Control!$B$86:$G$91,5),Control!$B$38)</f>
        <v>#N/A</v>
      </c>
      <c r="GC316" s="162" t="e">
        <f t="shared" ca="1" si="1093"/>
        <v>#N/A</v>
      </c>
      <c r="GD316" s="162">
        <f t="shared" ca="1" si="971"/>
        <v>1</v>
      </c>
      <c r="GE316" s="162">
        <f t="shared" ca="1" si="972"/>
        <v>1</v>
      </c>
      <c r="GF316" s="162">
        <f ca="1">IF(AND(Control!$C$104=1, Control!$C$62="F"),$GE316,1)</f>
        <v>1</v>
      </c>
      <c r="GG316" s="162" t="e">
        <f ca="1">IF(Control!$B$16=40,0,IF(AND(Control!$B$16&gt;40,Control!$B$16&lt;=360),(Control!$B$16-40)*((1-0)/(360-40)),IF(AND(Control!$B$16&gt;360,Control!$B$16&lt;=720),(1+(Control!$B$16-360)*((1.25-1)/(720-360))),IF(AND(Control!$B$16&gt;720,Control!$B$16&lt;=1000),(1.25+(Control!$B$16-720)*((1.35-1.25)/(1000-720))),IF(AND(Control!$B$16&gt;1000,Control!$B$16&lt;=2000),(1.35+(Control!$B$16-1000)*0))))))</f>
        <v>#N/A</v>
      </c>
      <c r="GH316" s="162" t="e">
        <f t="shared" ca="1" si="973"/>
        <v>#N/A</v>
      </c>
      <c r="GI316" s="162">
        <f t="shared" ca="1" si="1094"/>
        <v>0</v>
      </c>
      <c r="GJ316" s="162">
        <f t="shared" ca="1" si="974"/>
        <v>0</v>
      </c>
      <c r="GK316" s="162">
        <f t="shared" ca="1" si="1095"/>
        <v>1</v>
      </c>
      <c r="GL316" s="162">
        <f t="shared" ca="1" si="975"/>
        <v>1</v>
      </c>
      <c r="GM316" s="162" t="e">
        <f ca="1">MAX(0,MIN(1,1-Control!$C$156*(1.0001-$KH316)^2))</f>
        <v>#N/A</v>
      </c>
      <c r="GN316" s="162" t="e">
        <f ca="1">IF(Control!$B$26=1,$KU316,$KX316)</f>
        <v>#N/A</v>
      </c>
      <c r="GO316" s="162" t="e">
        <f ca="1">IF($CP316&lt;=60,Control!$C$105,IF($CP316&gt;=90,Control!$C$106,Control!$C$105+($CP316-60)*((Control!$C$106-Control!$C$105)/(90-60))))</f>
        <v>#N/A</v>
      </c>
      <c r="GP316" s="162" t="e">
        <f t="shared" ca="1" si="976"/>
        <v>#N/A</v>
      </c>
      <c r="GQ316" s="162" t="e">
        <f t="shared" ca="1" si="1096"/>
        <v>#N/A</v>
      </c>
      <c r="GR316" s="163" t="e">
        <f t="shared" ca="1" si="977"/>
        <v>#DIV/0!</v>
      </c>
      <c r="GS316" s="162" t="e">
        <f t="shared" ca="1" si="978"/>
        <v>#DIV/0!</v>
      </c>
      <c r="GT316" s="164" t="e">
        <f t="shared" ca="1" si="1097"/>
        <v>#N/A</v>
      </c>
      <c r="GU316" s="162" t="e">
        <f t="shared" ca="1" si="1098"/>
        <v>#N/A</v>
      </c>
      <c r="GV316" s="162" t="e">
        <f t="shared" ca="1" si="979"/>
        <v>#N/A</v>
      </c>
      <c r="GW316" s="162" t="e">
        <f t="shared" ca="1" si="980"/>
        <v>#DIV/0!</v>
      </c>
      <c r="GX316" s="162" t="e">
        <f t="shared" ca="1" si="1099"/>
        <v>#DIV/0!</v>
      </c>
      <c r="GY316" s="162" t="e">
        <f t="shared" ca="1" si="1100"/>
        <v>#DIV/0!</v>
      </c>
      <c r="GZ316" s="165" t="e">
        <f t="shared" ca="1" si="981"/>
        <v>#N/A</v>
      </c>
      <c r="HA316" s="162" t="e">
        <f ca="1">IF(Control!$C$114=1, $DI316*$FS316, 0)</f>
        <v>#N/A</v>
      </c>
      <c r="HB316" s="162" t="e">
        <f ca="1">$FA316/Control!$C$64</f>
        <v>#N/A</v>
      </c>
      <c r="HC316" s="162" t="e">
        <f t="shared" ca="1" si="982"/>
        <v>#DIV/0!</v>
      </c>
      <c r="HD316" s="162">
        <f ca="1">-ASIN(SIN(23.45*Control!$C$139)*COS(2*Control!$C$138*($AH316+10)/365))</f>
        <v>-0.29822088792496598</v>
      </c>
      <c r="HE316" s="165">
        <f t="shared" ca="1" si="1101"/>
        <v>0</v>
      </c>
      <c r="HF316" s="166">
        <f ca="1">IF(AND(Control!$C$61="T",$HE316&gt;=Control!$C$103,Control!$C$114=0),$AH316,Control!$C$59)</f>
        <v>1</v>
      </c>
      <c r="HG316" s="166">
        <f ca="1">IF(AND(Control!$C$61="T",$HE316&gt;=Control!$C$103,Control!$C$114=0),$HF316,Control!$C$59)</f>
        <v>1</v>
      </c>
      <c r="HH316" s="165">
        <f ca="1">IF(AND(OR(Control!$C$60&lt;=0, $AH316= Control!$C$59, Control!$C$60 &gt;0, $AH316 = Control!$C$60)), Control!$C$59, IF(Control!$C$60&gt;0, 0))</f>
        <v>1</v>
      </c>
      <c r="HI316" s="165">
        <f ca="1">IF(AND(OR(Control!$C$60&lt;=0, $AH316= Control!$C$59, Control!$C$60 &gt;0, $AH316 = Control!$C$60)), Control!$C$60, IF(Control!$C$60&lt;=0, 0))</f>
        <v>0</v>
      </c>
      <c r="HJ316" s="166">
        <f ca="1">IF(AND(Control!$C$62="F",$CV316&gt;=Control!$C$102),$AH316,0)</f>
        <v>0</v>
      </c>
      <c r="HK316" s="165" t="e">
        <f t="shared" ca="1" si="1138"/>
        <v>#N/A</v>
      </c>
      <c r="HL316" s="166">
        <f ca="1">IF(AND(Control!$C$61="T",$HE316&gt;=Control!$C$103,Control!$C$114=0),$HF316,0)</f>
        <v>0</v>
      </c>
      <c r="HM316" s="201" t="e">
        <f t="shared" ca="1" si="983"/>
        <v>#DIV/0!</v>
      </c>
      <c r="HN316" s="215">
        <f t="shared" ca="1" si="1102"/>
        <v>312</v>
      </c>
      <c r="HO316" s="216" t="e">
        <f ca="1">IF(AND($CP316&gt;=0, $CP316&lt;=90), Control!$C$152, Control!$C$152)</f>
        <v>#N/A</v>
      </c>
      <c r="HP316" s="216" t="e">
        <f t="shared" ca="1" si="984"/>
        <v>#N/A</v>
      </c>
      <c r="HQ316" s="217" t="e">
        <f ca="1">IF(OR(Control!$B$26=1,Control!$B$26=2),$KV316,$KS316)</f>
        <v>#DIV/0!</v>
      </c>
      <c r="HR316" s="218" t="e">
        <f t="shared" ca="1" si="1139"/>
        <v>#DIV/0!</v>
      </c>
      <c r="HS316" s="216" t="e">
        <f ca="1">Control!$C$154*$HP316</f>
        <v>#N/A</v>
      </c>
      <c r="HT316" s="216" t="e">
        <f ca="1">Control!$C$155*$HP316</f>
        <v>#N/A</v>
      </c>
      <c r="HU316" s="217" t="e">
        <f ca="1">Control!$C$161*$FI316</f>
        <v>#N/A</v>
      </c>
      <c r="HV316" s="218" t="e">
        <f t="shared" ca="1" si="1103"/>
        <v>#N/A</v>
      </c>
      <c r="HW316" s="218" t="e">
        <f ca="1">Control!$C$160*$FF316+$IP316*$EO316</f>
        <v>#N/A</v>
      </c>
      <c r="HX316" s="218" t="e">
        <f t="shared" ca="1" si="1140"/>
        <v>#N/A</v>
      </c>
      <c r="HY316" s="219" t="e">
        <f ca="1">IF(Control!$C$114=1, $EB316*$FS316, 0)</f>
        <v>#N/A</v>
      </c>
      <c r="HZ316" s="91" t="e">
        <f t="shared" ca="1" si="985"/>
        <v>#N/A</v>
      </c>
      <c r="IA316" s="220" t="e">
        <f ca="1">Control!$C$153*$HO316</f>
        <v>#N/A</v>
      </c>
      <c r="IB316" s="218" t="e">
        <f t="shared" ca="1" si="986"/>
        <v>#N/A</v>
      </c>
      <c r="IC316" s="220" t="e">
        <f ca="1">Control!$C$153*$HT316</f>
        <v>#N/A</v>
      </c>
      <c r="ID316" s="218" t="e">
        <f t="shared" ca="1" si="987"/>
        <v>#N/A</v>
      </c>
      <c r="IE316" s="221" t="e">
        <f ca="1">($EB316*Control!$C$159+$EF316*Control!$C$160)/(IF($GZ316&lt;&gt;0,$GZ316,1))</f>
        <v>#N/A</v>
      </c>
      <c r="IF316" s="216" t="e">
        <f t="shared" ca="1" si="988"/>
        <v>#N/A</v>
      </c>
      <c r="IG316" s="91">
        <f ca="1">IF(OR(Control!$B$198=$AH316,Control!$B$199=$AH316, Control!$B$200=$AH316, Control!$B$201=$AH316, Control!$B$202=$AH316, Control!$B$203=$AH316, Control!$B$204=$AH316, Control!$B$205=$AH316, Control!$B$206=$AH316, Control!$B$207=$AH316), 1, 0)</f>
        <v>0</v>
      </c>
      <c r="IH316" s="91">
        <f ca="1">IF($IG316=0,0, VLOOKUP($AH316,Control!$B$198:$C$207,2))</f>
        <v>0</v>
      </c>
      <c r="II316" s="222">
        <f t="shared" ca="1" si="1104"/>
        <v>0</v>
      </c>
      <c r="IJ316" s="91">
        <f>Control!$C$121</f>
        <v>0.7</v>
      </c>
      <c r="IK316" s="218">
        <f t="shared" ca="1" si="989"/>
        <v>0</v>
      </c>
      <c r="IL316" s="217" t="e">
        <f t="shared" ca="1" si="1141"/>
        <v>#N/A</v>
      </c>
      <c r="IM316" s="223" t="e">
        <f ca="1">IF(AND(Control!$C$114=1,$KH316&lt;1),$EB316*Control!$C$148*(1-$KH316), 0)</f>
        <v>#N/A</v>
      </c>
      <c r="IN316" s="217" t="e">
        <f t="shared" ca="1" si="990"/>
        <v>#DIV/0!</v>
      </c>
      <c r="IO316" s="91" t="e">
        <f ca="1">MAX(0,$IL316-$EF316*Control!$C$160)</f>
        <v>#N/A</v>
      </c>
      <c r="IP316" s="220" t="e">
        <f t="shared" ca="1" si="991"/>
        <v>#N/A</v>
      </c>
      <c r="IQ316" s="217" t="e">
        <f t="shared" ca="1" si="1105"/>
        <v>#N/A</v>
      </c>
      <c r="IR316" s="218" t="e">
        <f t="shared" ca="1" si="992"/>
        <v>#N/A</v>
      </c>
      <c r="IS316" s="217" t="e">
        <f ca="1">Control!$C$159*MAX(0,$FD316-$EN316)</f>
        <v>#N/A</v>
      </c>
      <c r="IT316" s="217" t="e">
        <f t="shared" ca="1" si="1142"/>
        <v>#N/A</v>
      </c>
      <c r="IU316" s="217" t="e">
        <f t="shared" ca="1" si="1106"/>
        <v>#N/A</v>
      </c>
      <c r="IV316" s="217" t="e">
        <f t="shared" ca="1" si="1143"/>
        <v>#N/A</v>
      </c>
      <c r="IW316" s="217" t="e">
        <f ca="1">IF(OR($AW316=1,AND($AW316=0, Control!$B$18=1,$EN316&lt;&gt;0)), $IQ316-$IU316, $IQ316)</f>
        <v>#N/A</v>
      </c>
      <c r="IX316" s="218" t="e">
        <f t="shared" ca="1" si="993"/>
        <v>#N/A</v>
      </c>
      <c r="IY316" s="218" t="e">
        <f ca="1">MAX(0,$IQ316-$EB316*Control!$C$159)</f>
        <v>#N/A</v>
      </c>
      <c r="IZ316" s="218" t="e">
        <f t="shared" ca="1" si="994"/>
        <v>#N/A</v>
      </c>
      <c r="JA316" s="216" t="e">
        <f t="shared" ca="1" si="995"/>
        <v>#N/A</v>
      </c>
      <c r="JB316" s="217" t="e">
        <f t="shared" ca="1" si="996"/>
        <v>#N/A</v>
      </c>
      <c r="JC316" s="222" t="e">
        <f ca="1">MAX(Control!$C$157*$EK316-$JT316, 0)/Control!$C$162</f>
        <v>#N/A</v>
      </c>
      <c r="JD316" s="218" t="e">
        <f t="shared" ca="1" si="997"/>
        <v>#N/A</v>
      </c>
      <c r="JE316" s="218" t="e">
        <f t="shared" ca="1" si="998"/>
        <v>#N/A</v>
      </c>
      <c r="JF316" s="218" t="e">
        <f t="shared" ca="1" si="1107"/>
        <v>#N/A</v>
      </c>
      <c r="JG316" s="218" t="e">
        <f t="shared" ca="1" si="999"/>
        <v>#N/A</v>
      </c>
      <c r="JH316" s="217" t="e">
        <f t="shared" ca="1" si="1108"/>
        <v>#N/A</v>
      </c>
      <c r="JI316" s="217" t="e">
        <f t="shared" ca="1" si="1109"/>
        <v>#N/A</v>
      </c>
      <c r="JJ316" s="217" t="e">
        <f t="shared" ca="1" si="1144"/>
        <v>#N/A</v>
      </c>
      <c r="JK316" s="217" t="e">
        <f ca="1">IF(Control!$C$114=1,IF(Control!$B$24=0,MAX(0,$JI316)*$GN316/Control!$C$64,(MAX(0,MIN($JI316,$JJ316*$GN316/Control!$C$64),0))))</f>
        <v>#N/A</v>
      </c>
      <c r="JL316" s="217" t="e">
        <f ca="1">$IK316/Control!$C$64-$JK316+$HQ316</f>
        <v>#N/A</v>
      </c>
      <c r="JM316" s="217" t="e">
        <f ca="1">IF(Control!$C$114=1,($JB316/(IF($JI316&lt;&gt;0,$JI316,1)))*$JK316,0)</f>
        <v>#N/A</v>
      </c>
      <c r="JN316" s="217" t="e">
        <f ca="1">IF(Control!$C$114=1,($JG316/(IF($JI316&lt;&gt;0,$JI316,1)))*$JK316, 0)</f>
        <v>#N/A</v>
      </c>
      <c r="JO316" s="218" t="e">
        <f t="shared" ca="1" si="1000"/>
        <v>#N/A</v>
      </c>
      <c r="JP316" s="218" t="e">
        <f ca="1">MIN(($IY316+$IO316)*Control!$C$151, $JF316-$EH316*Control!$C$161)</f>
        <v>#N/A</v>
      </c>
      <c r="JQ316" s="218" t="e">
        <f t="shared" ca="1" si="1001"/>
        <v>#N/A</v>
      </c>
      <c r="JR316" s="217" t="e">
        <f ca="1">IF($CP316-Control!$C$150&lt;0, 0, $JQ316/Control!$C$162)</f>
        <v>#N/A</v>
      </c>
      <c r="JS316" s="218" t="e">
        <f t="shared" ca="1" si="1002"/>
        <v>#N/A</v>
      </c>
      <c r="JT316" s="218" t="e">
        <f t="shared" ca="1" si="1110"/>
        <v>#N/A</v>
      </c>
      <c r="JU316" s="218" t="e">
        <f t="shared" ca="1" si="1003"/>
        <v>#N/A</v>
      </c>
      <c r="JV316" s="218" t="e">
        <f t="shared" ca="1" si="1004"/>
        <v>#N/A</v>
      </c>
      <c r="JW316" s="216" t="e">
        <f t="shared" ca="1" si="1005"/>
        <v>#N/A</v>
      </c>
      <c r="JX316" s="91" t="e">
        <f t="shared" ca="1" si="1006"/>
        <v>#N/A</v>
      </c>
      <c r="JY316" s="218" t="e">
        <f t="shared" ca="1" si="1007"/>
        <v>#N/A</v>
      </c>
      <c r="JZ316" s="217" t="e">
        <f ca="1">IF(Control!$C$114=1,($IZ316/(IF($JI316&lt;&gt;0,$JI316,1)))*$JK316, 0)</f>
        <v>#N/A</v>
      </c>
      <c r="KA316" s="218" t="e">
        <f t="shared" ca="1" si="1145"/>
        <v>#N/A</v>
      </c>
      <c r="KB316" s="218" t="e">
        <f t="shared" ca="1" si="1111"/>
        <v>#N/A</v>
      </c>
      <c r="KC316" s="218" t="e">
        <f t="shared" ca="1" si="1008"/>
        <v>#N/A</v>
      </c>
      <c r="KD316" s="218" t="e">
        <f t="shared" ca="1" si="1009"/>
        <v>#N/A</v>
      </c>
      <c r="KE316" s="218" t="e">
        <f t="shared" ca="1" si="1010"/>
        <v>#N/A</v>
      </c>
      <c r="KF316" s="218" t="e">
        <f t="shared" ca="1" si="1011"/>
        <v>#N/A</v>
      </c>
      <c r="KG316" s="216" t="e">
        <f t="shared" ca="1" si="1012"/>
        <v>#N/A</v>
      </c>
      <c r="KH316" s="221" t="e">
        <f ca="1">IF(Control!$B$24=0,1,MAX(0.001,MIN(1,IF(($IF316-$IE316)&lt;&gt;0,($KG316-$IE316)/($IF316-$IE316),1))))</f>
        <v>#N/A</v>
      </c>
      <c r="KI316" s="222" t="e">
        <f ca="1">IF(Control!$C$114=1, $KI315+ $KH315, 0)</f>
        <v>#N/A</v>
      </c>
      <c r="KJ316" s="217" t="e">
        <f t="shared" ca="1" si="1013"/>
        <v>#N/A</v>
      </c>
      <c r="KK316" s="218" t="e">
        <f t="shared" ca="1" si="1014"/>
        <v>#N/A</v>
      </c>
      <c r="KL316" s="274" t="e">
        <f ca="1">IF(Control!$B$26=3,4000000000*EXP(-8400/($G316+273)),IF(Control!$B$26=4,4000000000*EXP(-8400/($G316+273))*($KT316),0))</f>
        <v>#DIV/0!</v>
      </c>
      <c r="KM316" s="274" t="e">
        <f ca="1">IF(Control!$B$26=3,5600000000000*EXP(-9800/($G316+273)),IF(Control!$B$26=4,5600000000000*EXP(-9800/($G316+273))*$KT316,0))</f>
        <v>#DIV/0!</v>
      </c>
      <c r="KN316" s="454" t="e">
        <f t="shared" ca="1" si="1112"/>
        <v>#DIV/0!</v>
      </c>
      <c r="KO316" s="274" t="e">
        <f t="shared" ca="1" si="1113"/>
        <v>#DIV/0!</v>
      </c>
      <c r="KP316" s="454" t="e">
        <f t="shared" ca="1" si="1015"/>
        <v>#DIV/0!</v>
      </c>
      <c r="KQ316" s="454" t="e">
        <f t="shared" ca="1" si="1016"/>
        <v>#DIV/0!</v>
      </c>
      <c r="KR316" s="454" t="e">
        <f t="shared" ca="1" si="1017"/>
        <v>#DIV/0!</v>
      </c>
      <c r="KS316" s="454" t="e">
        <f t="shared" ca="1" si="1018"/>
        <v>#DIV/0!</v>
      </c>
      <c r="KT316" s="455" t="e">
        <f t="shared" ca="1" si="1019"/>
        <v>#DIV/0!</v>
      </c>
      <c r="KU316" s="456" t="e">
        <f ca="1">IF($CP316-Control!$C$149&lt;0, IF($NT316-0.01&lt;0,0,1),0)</f>
        <v>#N/A</v>
      </c>
      <c r="KV316" s="456" t="e">
        <f ca="1">IF(Control!$C$114=1,MAX(0,MIN(Control!$C$125*$KW316*$GN316,$KW316)))</f>
        <v>#DIV/0!</v>
      </c>
      <c r="KW316" s="456" t="e">
        <f t="shared" ca="1" si="1146"/>
        <v>#DIV/0!</v>
      </c>
      <c r="KX316" s="457" t="e">
        <f ca="1">IF($CP316-Control!$C$149&lt;0, IF($MR316-$OM316&lt;0,0,1),0)</f>
        <v>#N/A</v>
      </c>
      <c r="KY316" s="167">
        <f t="shared" ca="1" si="1114"/>
        <v>312</v>
      </c>
      <c r="KZ316" s="168">
        <f ca="1">1370*(1+0.033*COS(2*Control!$C$138*$AH316/365))</f>
        <v>1397.6638333043452</v>
      </c>
      <c r="LA316" s="169">
        <f t="shared" ca="1" si="1115"/>
        <v>1.020192251241868</v>
      </c>
      <c r="LB316" s="169">
        <f t="shared" ca="1" si="1116"/>
        <v>-0.30435139709454895</v>
      </c>
      <c r="LC316" s="169">
        <f ca="1">ACOS(-TAN((2*Control!$B$8/360))*TAN(Calculations!$LB316))</f>
        <v>1.4773055739838434</v>
      </c>
      <c r="LD316" s="169">
        <f ca="1">((24*60)/PI())*0.082*$LA316*(($LC316*SIN(Control!$B$8*2*PI()/360))*SIN($LB316)+COS(Control!$B$8*2*PI()/360)*COS($LB316)*SIN($LC316))</f>
        <v>9.0471417901174398</v>
      </c>
      <c r="LE316" s="170">
        <f t="shared" ca="1" si="1020"/>
        <v>10.32706312285501</v>
      </c>
      <c r="LF316" s="170">
        <f ca="1">SIN(Control!$C$139*Control!$B$8)*SIN($HD316)</f>
        <v>-0.23153377380780382</v>
      </c>
      <c r="LG316" s="170">
        <f ca="1">COS(Control!$C$139*Control!$B$8)*COS($HD316)</f>
        <v>0.5884850351156895</v>
      </c>
      <c r="LH316" s="170">
        <f ca="1">12*(1+2*ASIN(MAX(-1,MIN(1,$LF316/$LG316))/Control!$C$138))</f>
        <v>8.9864312071253973</v>
      </c>
      <c r="LI316" s="170">
        <f ca="1">12*(1+2*ASIN(MAX(-1,MIN(1,(-SIN(-4*Control!$C$139)+$LF316)/$LG316))/Control!$C$138))</f>
        <v>9.8972004538922267</v>
      </c>
      <c r="LJ316" s="168">
        <f ca="1">3600*($LH316*$LF316+24*$LG316*SQRT(1-$LK316*$LK316)/Control!$C$138)</f>
        <v>7388.8032850072786</v>
      </c>
      <c r="LK316" s="170">
        <f t="shared" ca="1" si="1021"/>
        <v>-0.3934403765463414</v>
      </c>
      <c r="LL316" s="170">
        <f t="shared" ca="1" si="1022"/>
        <v>0</v>
      </c>
      <c r="LM316" s="171">
        <f ca="1">Control!$C$145*$AB316</f>
        <v>6.6660906138995932E-2</v>
      </c>
      <c r="LN316" s="170">
        <f t="shared" ca="1" si="1117"/>
        <v>0.54</v>
      </c>
      <c r="LO316" s="170">
        <f t="shared" ca="1" si="1023"/>
        <v>0</v>
      </c>
      <c r="LP316" s="170">
        <f ca="1">Control!$C$140*((($D316+273.16)^4+($E316+273.16)^4)/2)*(0.34-0.14*SQRT($Y316))*(1.35*$AQ316/(0.75*$LD316)-0.35)</f>
        <v>-3.2464704755046001</v>
      </c>
      <c r="LQ316" s="170">
        <f ca="1">Control!$C$140*($G316+273)^4*(0.56-0.079*SQRT($Y316*10))*(0.1+0.9*$LO316)</f>
        <v>1.5241745131704001</v>
      </c>
      <c r="LR316" s="170">
        <f ca="1">$AQ316*(1-Control!$C$142)-$LQ316</f>
        <v>-1.5241745131704001</v>
      </c>
      <c r="LS316" s="170">
        <f ca="1">$AQ316*(1-Control!$C$143)-$LQ316</f>
        <v>-1.5241745131704001</v>
      </c>
      <c r="LT316" s="170">
        <f ca="1">$AQ316*(1-Control!$C$144)-$LQ316</f>
        <v>-1.5241745131704001</v>
      </c>
      <c r="LU316" s="169">
        <f ca="1">(1-Control!$C$144)*AQ316-LP316</f>
        <v>3.2464704755046001</v>
      </c>
      <c r="LV316" s="172">
        <f t="shared" ca="1" si="1024"/>
        <v>0.79430000000000012</v>
      </c>
      <c r="LW316" s="170">
        <f t="shared" ca="1" si="1025"/>
        <v>1.5886000000000002</v>
      </c>
      <c r="LX316" s="170">
        <f ca="1">($AC316*($LR316/Control!$C$141)+$LM316*$LV316)/($AC316+$LM316)</f>
        <v>0.23530094218323697</v>
      </c>
      <c r="LY316" s="170">
        <f ca="1">($AC316*($LS316/Control!$C$141)+$LM316*$LV316)/($AC316+$LM316)</f>
        <v>0.23530094218323697</v>
      </c>
      <c r="LZ316" s="170">
        <f t="shared" ca="1" si="1026"/>
        <v>0.23530094218323697</v>
      </c>
      <c r="MA316" s="170">
        <f t="shared" ca="1" si="1027"/>
        <v>0.23530094218323697</v>
      </c>
      <c r="MB316" s="170" t="e">
        <f t="shared" ca="1" si="1028"/>
        <v>#N/A</v>
      </c>
      <c r="MC316" s="170">
        <f t="shared" ca="1" si="1118"/>
        <v>0.6018</v>
      </c>
      <c r="MD316" s="170">
        <f t="shared" ca="1" si="1029"/>
        <v>0.52989392535414004</v>
      </c>
      <c r="ME316" s="170">
        <f ca="1">($AC316*($LT316/Control!$C$141)+$LM316*$LW316)/($AC316+$LM316)</f>
        <v>0.71612369323045078</v>
      </c>
      <c r="MF316" s="170" t="e">
        <f ca="1">IF(Control!$B$16&gt;=1000,0.92,IF(AND(720&lt;=Control!$B$16,1000&gt;Control!$B$16),(0.95+(Control!$B$16-720)*((0.92-0.95)/(1000-720))),IF(AND(360&lt;=Control!$B$16,720&gt;Control!$B$16),(1+(Control!$B$16-360)*((0.95-1)/(720-360))),IF(AND(40&lt;=Control!$B$16,360&gt;Control!$B$16),(1.05+(Control!$B$16-40)*((1.05-1)/(360-40)))))))</f>
        <v>#N/A</v>
      </c>
      <c r="MG316" s="170">
        <f t="shared" ca="1" si="1030"/>
        <v>0.71612369323045078</v>
      </c>
      <c r="MH316" s="170" t="e">
        <f t="shared" ca="1" si="1157"/>
        <v>#N/A</v>
      </c>
      <c r="MI316" s="170" t="e">
        <f t="shared" ca="1" si="1157"/>
        <v>#N/A</v>
      </c>
      <c r="MJ316" s="170" t="e">
        <f ca="1">MAX(0.0001, Control!$C$132*$MI316*$DL316)</f>
        <v>#N/A</v>
      </c>
      <c r="MK316" s="170">
        <f ca="1">1/(0.76+1.5*($MG316/10))-(5-Control!$C$110)*0.1</f>
        <v>1.002845988140797</v>
      </c>
      <c r="ML316" s="173">
        <f ca="1">IF(Control!$C$110&lt;3,$MK316+($MG316-0.6)/(Control!$C$110*(Control!$C$110+3)), MAX(0.1, MIN(0.95,$MK316)))</f>
        <v>0.95</v>
      </c>
      <c r="MM316" s="173">
        <f ca="1">IF(Control!$C$110&lt;3,$MK316+(($MI316/10)-0.6)/(Control!$C$110*(Control!$C$110+3)), MAX(0.1, MIN(0.95,$MK316)))</f>
        <v>0.95</v>
      </c>
      <c r="MN316" s="173">
        <f ca="1">(1-$MM316)*(Control!$C$128-Control!$C$127)+Control!$C$127</f>
        <v>0.16</v>
      </c>
      <c r="MO316" s="170" t="e">
        <f ca="1">MAX(0,MIN(1,($MS316-Control!$C$127)/($MN316-Control!$C$127)))</f>
        <v>#DIV/0!</v>
      </c>
      <c r="MP316" s="173" t="e">
        <f ca="1">1/(0.76+1.5*$MI316)-(5-Control!$C$110)*0.1</f>
        <v>#N/A</v>
      </c>
      <c r="MQ316" s="172" t="e">
        <f t="shared" ca="1" si="1147"/>
        <v>#DIV/0!</v>
      </c>
      <c r="MR316" s="168" t="e">
        <f t="shared" ca="1" si="1119"/>
        <v>#DIV/0!</v>
      </c>
      <c r="MS316" s="173" t="e">
        <f ca="1">MAX(Control!$C$127, MIN(Control!$C$135, $MR316/MAX(0.0001,$CY316)))</f>
        <v>#DIV/0!</v>
      </c>
      <c r="MT316" s="168" t="e">
        <f ca="1">(Control!$C$128-$MS316)*Control!$C$74</f>
        <v>#DIV/0!</v>
      </c>
      <c r="MU316" s="168" t="e">
        <f ca="1">(Control!$C$135-$MS316)*Control!$C$74</f>
        <v>#DIV/0!</v>
      </c>
      <c r="MV316" s="168" t="e">
        <f t="shared" ca="1" si="1120"/>
        <v>#DIV/0!</v>
      </c>
      <c r="MW316" s="168" t="e">
        <f t="shared" ca="1" si="1121"/>
        <v>#DIV/0!</v>
      </c>
      <c r="MX316" s="171" t="e">
        <f ca="1">MAX(Control!$C$127, MIN(Control!$C$135, $MW316/MAX(0.0001,Control!$C$119-$CY316)))</f>
        <v>#DIV/0!</v>
      </c>
      <c r="MY316" s="54" t="e">
        <f ca="1">IF(Control!$C$114=1, $CX316*$MX316, 0)</f>
        <v>#DIV/0!</v>
      </c>
      <c r="MZ316" s="54" t="e">
        <f t="shared" ca="1" si="1122"/>
        <v>#N/A</v>
      </c>
      <c r="NA316" s="168" t="e">
        <f ca="1">(Control!$C$128-$MX316)*(Control!$C$119-Control!$C$74)</f>
        <v>#DIV/0!</v>
      </c>
      <c r="NB316" s="168" t="e">
        <f ca="1">(Control!$C$135-$MX316)*(Control!$C$119-Control!$C$74)</f>
        <v>#DIV/0!</v>
      </c>
      <c r="NC316" s="174" t="e">
        <f t="shared" ca="1" si="1123"/>
        <v>#DIV/0!</v>
      </c>
      <c r="ND316" s="54">
        <f ca="1">IF(Control!$C$58=2, IF(OR(Control!$B$218=$AH316,Control!$B$219=$AH316, Control!$B$220=$AH316, Control!$B$221=$AH316, Control!$B$222=$AH316, Control!$B$223=$AH316, Control!$B$224=$AH316, Control!$B$225=$AH316, Control!$B$226=$AH316, Control!$B$227=$AH316, Control!$B$228=$AH316), 1, 0), 0)</f>
        <v>0</v>
      </c>
      <c r="NE316" s="54">
        <f ca="1">IF($ND316=0,0, VLOOKUP($AH316,Control!$B$218:$C$228,2))</f>
        <v>0</v>
      </c>
      <c r="NF316" s="168" t="e">
        <f ca="1">$CY316*(Control!$C$128-Control!$C$127)</f>
        <v>#N/A</v>
      </c>
      <c r="NG316" s="54" t="e">
        <f ca="1">IF(Control!$C$58=2, $NI315-$NJ315, 0)</f>
        <v>#DIV/0!</v>
      </c>
      <c r="NH316" s="54" t="e">
        <f ca="1">IF(AND(Control!$C$58=1, $MS315&lt;= ($MN315+0.02), $I315&lt;10), 0, IF(Control!$C$58=2, $NG315, 0))</f>
        <v>#DIV/0!</v>
      </c>
      <c r="NI316" s="54" t="e">
        <f ca="1">IF(Control!$C$58=2, $NE316+$NH316,0)</f>
        <v>#DIV/0!</v>
      </c>
      <c r="NJ316" s="54" t="e">
        <f ca="1">IF(AND(Control!$C$58=1, $MS316&lt;= ($MN316+0.02), $I316&lt;10), MAX(0, MIN(10, 0.7*($NF316-$MV316))), IF(Control!$C$58=2, MIN(10,$NI316),0))</f>
        <v>#DIV/0!</v>
      </c>
      <c r="NK316" s="54" t="e">
        <f t="shared" ca="1" si="1031"/>
        <v>#DIV/0!</v>
      </c>
      <c r="NL316" s="173" t="e">
        <f ca="1">(1-Control!$C$73)*$I316+$NJ316</f>
        <v>#DIV/0!</v>
      </c>
      <c r="NM316" s="172" t="e">
        <f ca="1">IF($NL316&lt;0.5, $MB316* MAX(0, MIN(1, (SQRT($NC316)-SQRT($NC316-1))*Control!$C$71)),0)</f>
        <v>#DIV/0!</v>
      </c>
      <c r="NN316" s="170" t="e">
        <f ca="1">IF($NL316&gt;=5, $MB316, MAX(0,MIN($MB316, $NM316+$NL316,($MS316-Control!$C$129))))</f>
        <v>#DIV/0!</v>
      </c>
      <c r="NO316" s="54">
        <f>IF(Control!$C$133&lt;&gt;1, Control!$C$135-Control!$C$131, 0)</f>
        <v>0.38</v>
      </c>
      <c r="NP316" s="54" t="e">
        <f t="shared" ca="1" si="1032"/>
        <v>#DIV/0!</v>
      </c>
      <c r="NQ316" s="173" t="e">
        <f ca="1">MAX(0,MIN(1,(Control!$C$135-$MS316)/(Control!$C$135-$NO316)))</f>
        <v>#DIV/0!</v>
      </c>
      <c r="NR316" s="170" t="e">
        <f ca="1">IF(Control!$C$133&lt;&gt;1, $NQ316+((1-$NP316/4)*(1-$NQ316)),1)</f>
        <v>#DIV/0!</v>
      </c>
      <c r="NS316" s="170" t="e">
        <f ca="1">IF(Control!$B$31=0,$MJ316,MAX(0,MIN($MV316,$MO316*$NR316*$MJ316)))</f>
        <v>#DIV/0!</v>
      </c>
      <c r="NT316" s="170" t="e">
        <f t="shared" ca="1" si="1148"/>
        <v>#DIV/0!</v>
      </c>
      <c r="NU316" s="170" t="e">
        <f t="shared" ca="1" si="1124"/>
        <v>#N/A</v>
      </c>
      <c r="NV316" s="170" t="e">
        <f t="shared" ca="1" si="1033"/>
        <v>#N/A</v>
      </c>
      <c r="NW316" s="175" t="e">
        <f t="shared" ca="1" si="1034"/>
        <v>#DIV/0!</v>
      </c>
      <c r="NX316" s="170" t="e">
        <f ca="1">MIN(Control!$C$72+$MU316, $NW316)</f>
        <v>#DIV/0!</v>
      </c>
      <c r="NY316" s="170" t="e">
        <f ca="1">IF($MT316&lt;=$NX316,MIN(Control!$C$72+$NB316,$NX316-$MT316),0)</f>
        <v>#DIV/0!</v>
      </c>
      <c r="NZ316" s="54" t="e">
        <f ca="1">IF(Control!$C$114=1,  $CX316*($MX316-Control!$C$127), 0)</f>
        <v>#DIV/0!</v>
      </c>
      <c r="OA316" s="170" t="e">
        <f t="shared" ca="1" si="1035"/>
        <v>#DIV/0!</v>
      </c>
      <c r="OB316" s="170" t="e">
        <f ca="1">IF($NA316 &lt;=$NY316, MIN(Control!$C$72, $NY316-$NA316), 0)</f>
        <v>#DIV/0!</v>
      </c>
      <c r="OC316" s="168" t="e">
        <f t="shared" ca="1" si="1036"/>
        <v>#DIV/0!</v>
      </c>
      <c r="OD316" s="168" t="e">
        <f t="shared" ca="1" si="1125"/>
        <v>#DIV/0!</v>
      </c>
      <c r="OE316" s="170">
        <f ca="1">Control!$C$73*$I316</f>
        <v>0</v>
      </c>
      <c r="OF316" s="176" t="e">
        <f t="shared" ca="1" si="1037"/>
        <v>#DIV/0!</v>
      </c>
      <c r="OG316" s="168" t="e">
        <f t="shared" ca="1" si="1038"/>
        <v>#DIV/0!</v>
      </c>
      <c r="OH316" s="168" t="e">
        <f t="shared" ca="1" si="1039"/>
        <v>#DIV/0!</v>
      </c>
      <c r="OI316" s="168" t="e">
        <f t="shared" ca="1" si="1040"/>
        <v>#DIV/0!</v>
      </c>
      <c r="OJ316" s="168" t="e">
        <f t="shared" ca="1" si="1041"/>
        <v>#DIV/0!</v>
      </c>
      <c r="OK316" s="204" t="e">
        <f t="shared" ca="1" si="1042"/>
        <v>#DIV/0!</v>
      </c>
      <c r="OL316" s="177">
        <f>Control!$C$127</f>
        <v>0.15</v>
      </c>
      <c r="OM316" s="182" t="e">
        <f t="shared" ca="1" si="1043"/>
        <v>#N/A</v>
      </c>
      <c r="ON316" s="177">
        <f>Control!$C$128</f>
        <v>0.35</v>
      </c>
      <c r="OO316" s="182" t="e">
        <f t="shared" ca="1" si="1044"/>
        <v>#N/A</v>
      </c>
      <c r="OP316" s="138">
        <f t="shared" ca="1" si="1126"/>
        <v>0</v>
      </c>
      <c r="OQ316" s="138" t="e">
        <f t="shared" ca="1" si="1149"/>
        <v>#DIV/0!</v>
      </c>
      <c r="OR316" s="138" t="e">
        <f t="shared" ca="1" si="1127"/>
        <v>#DIV/0!</v>
      </c>
      <c r="OS316" s="137" t="e">
        <f t="shared" ca="1" si="1150"/>
        <v>#DIV/0!</v>
      </c>
      <c r="OT316" s="139" t="e">
        <f t="shared" ca="1" si="1151"/>
        <v>#DIV/0!</v>
      </c>
      <c r="OU316" s="138" t="e">
        <f t="shared" ca="1" si="1152"/>
        <v>#N/A</v>
      </c>
      <c r="OV316" s="138" t="e">
        <f t="shared" ca="1" si="1153"/>
        <v>#DIV/0!</v>
      </c>
      <c r="OW316" s="138" t="e">
        <f t="shared" ca="1" si="1128"/>
        <v>#DIV/0!</v>
      </c>
      <c r="OX316" s="138" t="e">
        <f t="shared" ca="1" si="1129"/>
        <v>#DIV/0!</v>
      </c>
      <c r="OY316" s="138" t="e">
        <f t="shared" ca="1" si="1130"/>
        <v>#DIV/0!</v>
      </c>
      <c r="OZ316" s="138" t="e">
        <f t="shared" ca="1" si="1045"/>
        <v>#DIV/0!</v>
      </c>
      <c r="PA316" s="138" t="e">
        <f t="shared" ca="1" si="1046"/>
        <v>#DIV/0!</v>
      </c>
      <c r="PB316" s="55">
        <f>IF(Control!$C$61="T", IF(Control!$C$65="F", IF($AH$6-Control!$C$60&lt;0,0,1), IF(365+$AH$6-Control!$C$60&lt;0,0,1)),0)</f>
        <v>0</v>
      </c>
      <c r="PC316" s="55">
        <f ca="1">IF(Control!$C$65="F", IF($AH$6-$HF316&lt;0,0,1), IF(365+$AH$6-$HF316&lt;0,0,1))</f>
        <v>1</v>
      </c>
      <c r="PD316" s="444">
        <f>Control!$C$118</f>
        <v>1500</v>
      </c>
      <c r="PE316" s="180" t="e">
        <f t="shared" ca="1" si="1047"/>
        <v>#N/A</v>
      </c>
      <c r="PF316" s="445">
        <f t="shared" ca="1" si="1131"/>
        <v>0.71612369323045078</v>
      </c>
      <c r="PT316" s="186"/>
      <c r="PU316" s="186"/>
      <c r="PV316" s="94"/>
      <c r="PW316" s="94"/>
      <c r="PX316" s="94"/>
      <c r="PY316" s="94"/>
      <c r="PZ316" s="94"/>
      <c r="QA316" s="94"/>
      <c r="QB316" s="94"/>
      <c r="QC316" s="94"/>
      <c r="QD316" s="94"/>
      <c r="QE316" s="94"/>
      <c r="QF316" s="94"/>
      <c r="QG316" s="94"/>
      <c r="QH316" s="94"/>
      <c r="QI316" s="94"/>
      <c r="QJ316" s="94"/>
      <c r="QK316" s="94"/>
      <c r="QL316" s="94"/>
      <c r="QM316" s="94"/>
      <c r="QN316" s="94"/>
      <c r="QO316" s="94"/>
      <c r="QP316" s="94"/>
    </row>
    <row r="317" spans="1:458" s="2" customFormat="1" x14ac:dyDescent="0.2">
      <c r="A317" s="395">
        <v>8</v>
      </c>
      <c r="B317" s="396">
        <v>11</v>
      </c>
      <c r="C317" s="387">
        <f ca="1">Weather_data!$B316</f>
        <v>0</v>
      </c>
      <c r="D317" s="388">
        <f ca="1">Weather_data!$F316</f>
        <v>0</v>
      </c>
      <c r="E317" s="388">
        <f ca="1">Weather_data!$E316</f>
        <v>0</v>
      </c>
      <c r="F317" s="388">
        <f t="shared" ca="1" si="1048"/>
        <v>0</v>
      </c>
      <c r="G317" s="388">
        <f ca="1">AVERAGE($D317:$E317)+Control!$B$9</f>
        <v>0</v>
      </c>
      <c r="H317" s="388">
        <f ca="1">Weather_data!$G316</f>
        <v>0</v>
      </c>
      <c r="I317" s="388">
        <f ca="1">Weather_data!$I316</f>
        <v>0</v>
      </c>
      <c r="J317" s="388">
        <f ca="1">Weather_data!$H316</f>
        <v>0</v>
      </c>
      <c r="K317" s="389">
        <f ca="1">Weather_data!$D316</f>
        <v>0</v>
      </c>
      <c r="L317" s="388" t="e">
        <f t="shared" ca="1" si="1049"/>
        <v>#N/A</v>
      </c>
      <c r="M317" s="388" t="e">
        <f t="shared" ca="1" si="927"/>
        <v>#N/A</v>
      </c>
      <c r="N317" s="388">
        <f t="shared" ca="1" si="928"/>
        <v>-2.9402918489282587E-15</v>
      </c>
      <c r="O317" s="388">
        <f t="shared" ca="1" si="1050"/>
        <v>2.9402918489282587E-14</v>
      </c>
      <c r="P317" s="390">
        <v>3</v>
      </c>
      <c r="Q317" s="388">
        <f ca="1">MAX($G317-Control!$C$107,0)</f>
        <v>0</v>
      </c>
      <c r="R317" s="388">
        <f t="shared" ca="1" si="1051"/>
        <v>0</v>
      </c>
      <c r="S317" s="388">
        <f t="shared" ca="1" si="929"/>
        <v>0</v>
      </c>
      <c r="T317" s="388">
        <f t="shared" ca="1" si="930"/>
        <v>0</v>
      </c>
      <c r="U317" s="59">
        <f t="shared" ca="1" si="931"/>
        <v>0</v>
      </c>
      <c r="V317" s="391">
        <f ca="1">MAX(0,MIN(Control!$C$100-Control!$C$99,$G317-Control!$C$99)*Control!$C$63)</f>
        <v>0</v>
      </c>
      <c r="W317" s="388">
        <f t="shared" ca="1" si="1052"/>
        <v>0</v>
      </c>
      <c r="X317" s="388">
        <f t="shared" ca="1" si="1053"/>
        <v>0.6110000000000001</v>
      </c>
      <c r="Y317" s="388">
        <f t="shared" ca="1" si="932"/>
        <v>0</v>
      </c>
      <c r="Z317" s="388">
        <f t="shared" ca="1" si="1054"/>
        <v>0.61058800000000002</v>
      </c>
      <c r="AA317" s="388">
        <f t="shared" ca="1" si="933"/>
        <v>0.6018</v>
      </c>
      <c r="AB317" s="388">
        <f ca="1">101.3*EXP(-0.034*Control!$C$66/($G317+273))</f>
        <v>100.69623283836242</v>
      </c>
      <c r="AC317" s="392">
        <f t="shared" ca="1" si="934"/>
        <v>4.3460251046025113E-2</v>
      </c>
      <c r="AD317" s="392">
        <f t="shared" ca="1" si="935"/>
        <v>4.4450382862832649E-2</v>
      </c>
      <c r="AE317" s="388">
        <f t="shared" ca="1" si="936"/>
        <v>0</v>
      </c>
      <c r="AF317" s="388">
        <f ca="1">MAX(0,$G317-Control!$C$92)</f>
        <v>0</v>
      </c>
      <c r="AG317" s="393">
        <f t="shared" ca="1" si="937"/>
        <v>313</v>
      </c>
      <c r="AH317" s="389">
        <f t="shared" ca="1" si="938"/>
        <v>313</v>
      </c>
      <c r="AI317" s="388">
        <f t="shared" ca="1" si="1055"/>
        <v>-0.30301214304790108</v>
      </c>
      <c r="AJ317" s="388">
        <f ca="1">IF(Control!$C$60&lt;=0,$HH317,$HI317)</f>
        <v>1</v>
      </c>
      <c r="AK317" s="388">
        <f t="shared" ca="1" si="939"/>
        <v>4.0109100728023117</v>
      </c>
      <c r="AL317" s="388">
        <f t="shared" ca="1" si="940"/>
        <v>-1.2443148941776448E-17</v>
      </c>
      <c r="AM317" s="388">
        <f t="shared" ca="1" si="941"/>
        <v>4.0109100728023117</v>
      </c>
      <c r="AN317" s="388">
        <f t="shared" ca="1" si="942"/>
        <v>-0.30875725161058254</v>
      </c>
      <c r="AO317" s="388">
        <f ca="1">-0.10453/COS(Control!$B$8*PI()/180)*COS(AN317)</f>
        <v>-0.16175606831971401</v>
      </c>
      <c r="AP317" s="388">
        <f ca="1">ACOS(AO317-TAN(Control!$B$8*PI()/180)*TAN(AN317))</f>
        <v>1.3217381790474629</v>
      </c>
      <c r="AQ317" s="388">
        <f t="shared" ca="1" si="1056"/>
        <v>0</v>
      </c>
      <c r="AR317" s="394">
        <f t="shared" ca="1" si="943"/>
        <v>0</v>
      </c>
      <c r="AS317" s="436">
        <f ca="1">IF(Control!$B$18=2,(IF(OR($AH317=Control!$B$175,$AH317=Control!$B$176,$AH317=Control!$B$177,$AH317=Control!$B$178,$AH317=Control!$B$179,$AH317=Control!$B$180,$AH317=Control!$B$181,$AH317=Control!$B$182,$AH317=Control!$B$183,$AH317=Control!$B$184,$AH317=Control!$B$185),1,0)),0)</f>
        <v>0</v>
      </c>
      <c r="AT317" s="436">
        <f>IF(Control!$B$20=8,IF(AND($AH317&gt;=Control!$B$172,$AH317&lt;=Control!$B$173),1,0),0)</f>
        <v>0</v>
      </c>
      <c r="AU317" s="436">
        <f>IF(Control!$B$20=8,IF($AV316=1,1*$AT317,IF($AT317=1,$AU316+1,$AU316)),0)</f>
        <v>0</v>
      </c>
      <c r="AV317" s="436">
        <f>IF(Control!$B$20=8,IF($AU317&gt;=Control!$B$174,1,0),0)</f>
        <v>0</v>
      </c>
      <c r="AW317" s="436">
        <f ca="1">IF(AND(Control!$B$18=2,Control!$B$171=1), $AV317, $AS317)</f>
        <v>0</v>
      </c>
      <c r="AX317" s="436" t="e">
        <f ca="1">IF(AND(Control!$B$18=1,$EU317&gt;=Control!$B$19),-$AY317,IF(AND(Control!$B$18=2,$AW317=1,$EU317&gt;$DS317),-$AY317, IF(Control!$C$108=0,0, IF(Control!$C$108&lt;&gt;0,1))))</f>
        <v>#N/A</v>
      </c>
      <c r="AY317" s="436" t="e">
        <f t="shared" ca="1" si="1057"/>
        <v>#N/A</v>
      </c>
      <c r="AZ317" s="436" t="e">
        <f ca="1">IF(AND(Control!$B$18=1,$EB317&gt;Control!$B$19),$AZ316+1, IF(AND(Control!$B$18=2, $AW317=1, $EB317&gt;$DS317), $AZ316+1,$AZ316))</f>
        <v>#N/A</v>
      </c>
      <c r="BA317" s="587">
        <f>IF(Control!$C$81=0,1,IF($AH317&gt;=Control!$C$82,1,0))</f>
        <v>1</v>
      </c>
      <c r="BB317" s="140" t="e">
        <f ca="1">IF($BA317&gt;$BA316,Control!$C$83,IF($AW317&gt;0,$AW317*Control!$C$84,IF(AND(Control!$B$18=1,EN316&lt;&gt;0),Control!$C$84,0)))</f>
        <v>#N/A</v>
      </c>
      <c r="BC317" s="140" t="e">
        <f t="shared" ca="1" si="1058"/>
        <v>#N/A</v>
      </c>
      <c r="BD317" s="140" t="e">
        <f ca="1">BC317*IF(OR($G317&lt;Control!$C$92,$G317&gt;Control!$C$95),0,IF(AND($G317&gt;=Control!$C$92,$G317&lt;=Control!$C$93),$G317-Control!$C$92,IF(AND($G317&gt;Control!$C$93,$G317&lt;=Control!$C$94),Control!$C$93-Control!$C$92,IF(AND($G317&gt;Control!$C$94,$G317&lt;=Control!$C$95),(Control!$C$93-Control!$C$92)*(Control!$C$94-$G317)/(Control!$C$95-Control!$C$94)))))</f>
        <v>#N/A</v>
      </c>
      <c r="BE317" s="140" t="e">
        <f t="shared" ca="1" si="1059"/>
        <v>#N/A</v>
      </c>
      <c r="BF317" s="140" t="e">
        <f ca="1">IF($BE317&lt;=Control!$C$86,$BE317,Control!$C$86-$BE317)</f>
        <v>#N/A</v>
      </c>
      <c r="BG317" s="140" t="e">
        <f ca="1">IF(AND($AW317=1,Control!$C$84&lt;9),1,IF($BE317&gt;=Control!$C$86,0,$BC317))</f>
        <v>#N/A</v>
      </c>
      <c r="BH317" s="404" t="e">
        <f ca="1">IF($BG317=0,0,IF($BE317&lt;=Control!$C$86,$BC317*9*($BF317/Control!$C$86),0))</f>
        <v>#N/A</v>
      </c>
      <c r="BI317" s="140" t="e">
        <f ca="1">IF($BG317=1,0,IF($BE317&gt;=Control!$C$86,1,IF(AND($BB317&lt;21,$BB317&gt;=9),1,$BM316)))</f>
        <v>#N/A</v>
      </c>
      <c r="BJ317" s="140" t="e">
        <f ca="1">IF($BF317&lt;0,-$BF317,$BI317*IF(OR($G317&lt;Control!$C$92,$G317&gt;Control!$C$95),0,IF(AND($G317&gt;=Control!$C$92,$G317&lt;=Control!$C$93),$G317-Control!$C$92,IF(AND($G317&gt;Control!$C$93,$G317&lt;=Control!$C$94),Control!$C$93-Control!$C$92,IF(AND($G317&gt;Control!$C$94,$G317&lt;=Control!$C$95),(Control!$C$93-Control!$C$92)*(Control!$C$94-$G317)/(Control!$C$95-Control!$C$94))))))</f>
        <v>#N/A</v>
      </c>
      <c r="BK317" s="140" t="e">
        <f t="shared" ca="1" si="1060"/>
        <v>#N/A</v>
      </c>
      <c r="BL317" s="140" t="e">
        <f ca="1">IF($BK317&lt;=Control!$C$87,$BK317,Control!$C$87-$BK317)</f>
        <v>#N/A</v>
      </c>
      <c r="BM317" s="140" t="e">
        <f ca="1">IF(AND($BB317&gt;=9,$BB317&lt;21),1,IF($BK317&gt;=Control!$C$87,0,$BI317))</f>
        <v>#N/A</v>
      </c>
      <c r="BN317" s="404" t="e">
        <f ca="1">IF($BM317=0,0,IF($BK317&lt;=Control!$C$87,$BI317*(9+(21-9)*($BL317/Control!$C$87)),0))</f>
        <v>#N/A</v>
      </c>
      <c r="BO317" s="140" t="e">
        <f ca="1">IF($BM317=1,0,IF($BK317&gt;=Control!$C$87,1,IF(AND($BB317&lt;30,$BB317&gt;=21),1,$BS316)))</f>
        <v>#N/A</v>
      </c>
      <c r="BP317" s="140" t="e">
        <f ca="1">IF($BL317&lt;0,-$BL317,$BO317*IF(OR($G317&lt;Control!$C$92,$G317&gt;Control!$C$95),0,IF(AND($G317&gt;=Control!$C$92,$G317&lt;=Control!$C$93),$G317-Control!$C$92,IF(AND($G317&gt;Control!$C$93,$G317&lt;=Control!$C$94),Control!$C$93-Control!$C$92,IF(AND($G317&gt;Control!$C$94,$G317&lt;=Control!$C$95),(Control!$C$93-Control!$C$92)*(Control!$C$94-$G317)/(Control!$C$95-Control!$C$94))))))</f>
        <v>#N/A</v>
      </c>
      <c r="BQ317" s="140" t="e">
        <f t="shared" ca="1" si="944"/>
        <v>#N/A</v>
      </c>
      <c r="BR317" s="140" t="e">
        <f ca="1">IF($BQ317&lt;=Control!$C$88,$BQ317,Control!$C$88-$BQ317)</f>
        <v>#N/A</v>
      </c>
      <c r="BS317" s="140" t="e">
        <f ca="1">IF(AND($BB317&gt;=21,$BB317&lt;30),1,IF($BQ317&gt;=Control!$C$88,0,$BO317))</f>
        <v>#N/A</v>
      </c>
      <c r="BT317" s="404" t="e">
        <f ca="1">IF($BS317=0,0,IF($BQ317&lt;=Control!$C$88,$BO317*(21+(30-21)*(BR317/Control!$C$88)),0))</f>
        <v>#N/A</v>
      </c>
      <c r="BU317" s="140" t="e">
        <f ca="1">IF(BG317+BM317+BS317=1,0,IF(OR(AND($BB317&lt;60,$BB317&gt;=30),$BQ317&gt;=Control!$C$88),1*$BA317,$BY316))</f>
        <v>#N/A</v>
      </c>
      <c r="BV317" s="140" t="e">
        <f ca="1">IF($BR317&lt;0,-$BR317,$BU317*IF(OR($G317&lt;Control!$C$92,$G317&gt;Control!$C$95),0,IF(AND($G317&gt;=Control!$C$92,$G317&lt;=Control!$C$93),$G317-Control!$C$92,IF(AND($G317&gt;Control!$C$93,$G317&lt;=Control!$C$94),Control!$C$93-Control!$C$92,IF(AND($G317&gt;Control!$C$94,$G317&lt;=Control!$C$95),(Control!$C$93-Control!$C$92)*(Control!$C$94-$G317)/(Control!$C$95-Control!$C$94))))))</f>
        <v>#N/A</v>
      </c>
      <c r="BW317" s="140" t="e">
        <f t="shared" ca="1" si="945"/>
        <v>#N/A</v>
      </c>
      <c r="BX317" s="140" t="e">
        <f ca="1">IF($BW317&lt;=Control!$C$89,$BW317,Control!$C$89-$BW317)</f>
        <v>#N/A</v>
      </c>
      <c r="BY317" s="140" t="e">
        <f ca="1">IF(AND($AJ317&gt;=30,$AJ317&lt;60),1,IF($BW317&gt;=Control!$C$89,0,$BU317))</f>
        <v>#N/A</v>
      </c>
      <c r="BZ317" s="404" t="e">
        <f ca="1">IF($BY317=0,0,IF($BW317&lt;=Control!$C$89,$BU317*(30+(60-30)*(BX317/Control!$C$89)),0))</f>
        <v>#N/A</v>
      </c>
      <c r="CA317" s="140" t="e">
        <f ca="1">IF($BG317+$BM317+$BS317+$BY317=1,0,IF(OR(AND($BB317&lt;65,$BB317&gt;=60),$BW317&gt;=Control!$C$89),1*$BA317,$CE316))</f>
        <v>#N/A</v>
      </c>
      <c r="CB317" s="140" t="e">
        <f ca="1">IF($BX317&lt;0,-$BX317,$CA317*IF(OR($G317&lt;Control!$C$92,$G317&gt;Control!$C$95),0,IF(AND($G317&gt;=Control!$C$92,$G317&lt;=Control!$C$93),$G317-Control!$C$92,IF(AND($G317&gt;Control!$C$93,$G317&lt;=Control!$C$94),Control!$C$93-Control!$C$92,IF(AND($G317&gt;Control!$C$94,$G317&lt;=Control!$C$95),(Control!$C$93-Control!$C$92)*(Control!$C$94-$G317)/(Control!$C$95-Control!$C$94))))))</f>
        <v>#N/A</v>
      </c>
      <c r="CC317" s="140" t="e">
        <f t="shared" ca="1" si="1061"/>
        <v>#N/A</v>
      </c>
      <c r="CD317" s="140" t="e">
        <f ca="1">IF($CC317&lt;=Control!$C$90,$CC317,Control!$C$90-$CC317)</f>
        <v>#N/A</v>
      </c>
      <c r="CE317" s="140" t="e">
        <f ca="1">IF(AND($BB317&gt;=60,$BB317&lt;65),1,IF($CC317&gt;=Control!$C$90,0,$CA317))</f>
        <v>#N/A</v>
      </c>
      <c r="CF317" s="404" t="e">
        <f ca="1">IF($CE317=0,0,IF($CC317&lt;=Control!$C$90,$CA317*(60+(65-60)*(CD317/Control!$C$90)),0))</f>
        <v>#N/A</v>
      </c>
      <c r="CG317" s="140" t="e">
        <f ca="1">IF($BG317+$BM317+$BS317+$BY317+$CE317=1,0,IF(OR(AND($BB317&lt;90,$BB317&gt;=65),$CC317&gt;=Control!$C$90),$BA317,$CK316))</f>
        <v>#N/A</v>
      </c>
      <c r="CH317" s="140" t="e">
        <f ca="1">IF($CD317&lt;0,-$CD317,$CG317*IF(OR($G317&lt;Control!$C$92,$G317&gt;Control!$C$95),0,IF(AND($G317&gt;=Control!$C$92,$G317&lt;=Control!$C$93),$G317-Control!$C$92,IF(AND($G317&gt;Control!$C$93,$G317&lt;=Control!$C$94),Control!$C$93-Control!$C$92,IF(AND($G317&gt;Control!$C$94,$G317&lt;=Control!$C$95),(Control!$C$93-Control!$C$92)*(Control!$C$94-$G317)/(Control!$C$95-Control!$C$94))))))</f>
        <v>#N/A</v>
      </c>
      <c r="CI317" s="140" t="e">
        <f t="shared" ca="1" si="1062"/>
        <v>#N/A</v>
      </c>
      <c r="CJ317" s="140" t="e">
        <f ca="1">IF($CI317&lt;=Control!$C$91,$CI317,Control!$C$91-$CI317)</f>
        <v>#N/A</v>
      </c>
      <c r="CK317" s="140" t="e">
        <f ca="1">IF(AND($BB317&gt;=65,$BB317&lt;90),1,IF($CI317&gt;=Control!$C$91,0,$CG317))</f>
        <v>#N/A</v>
      </c>
      <c r="CL317" s="404" t="e">
        <f ca="1">IF($CK317=0,0,IF($CI317&lt;=Control!$C$91,$CG317*(65+(90-65)*($CJ317/Control!$C$91)),0))</f>
        <v>#N/A</v>
      </c>
      <c r="CM317" s="140" t="e">
        <f ca="1">IF($BG317+$BM317+$BS317+$BY317+$CE317+$CK317=1,0,IF(OR($BB317&gt;=90,$CI317&gt;=Control!$C$91),$BA317,$CM316))</f>
        <v>#N/A</v>
      </c>
      <c r="CN317" s="140" t="e">
        <f t="shared" ca="1" si="1063"/>
        <v>#N/A</v>
      </c>
      <c r="CO317" s="140" t="e">
        <f t="shared" ca="1" si="1064"/>
        <v>#N/A</v>
      </c>
      <c r="CP317" s="140" t="e">
        <f t="shared" ca="1" si="1065"/>
        <v>#N/A</v>
      </c>
      <c r="CQ317" s="141" t="e">
        <f ca="1">VLOOKUP($CP317,Control!$B$86:$G$91,6)</f>
        <v>#N/A</v>
      </c>
      <c r="CR317" s="141" t="e">
        <f ca="1">(1-$CQ317)*VLOOKUP($CP317,Control!$B$86:$D$91,3)</f>
        <v>#N/A</v>
      </c>
      <c r="CS317" s="141" t="e">
        <f ca="1">(1-$CQ317)*VLOOKUP($CP317,Control!$B$86:$E$91,4)</f>
        <v>#N/A</v>
      </c>
      <c r="CT317" s="141" t="e">
        <f ca="1">(1-$CQ317)*VLOOKUP($CP317,Control!$B$86:$F$91,5)</f>
        <v>#N/A</v>
      </c>
      <c r="CU317" s="141">
        <f t="shared" ca="1" si="1066"/>
        <v>0</v>
      </c>
      <c r="CV317" s="583">
        <f t="shared" ca="1" si="1067"/>
        <v>0</v>
      </c>
      <c r="CW317" s="142">
        <f t="shared" ca="1" si="1068"/>
        <v>313</v>
      </c>
      <c r="CX317" s="612" t="e">
        <f ca="1">IF(Control!$C$114=1,(MIN(Control!$C$120*(IF($NT317-0.01&lt;0,0,1)),Control!$C$119-$CY317)))</f>
        <v>#DIV/0!</v>
      </c>
      <c r="CY317" s="143" t="e">
        <f t="shared" ca="1" si="1069"/>
        <v>#N/A</v>
      </c>
      <c r="CZ317" s="144">
        <f t="shared" ca="1" si="946"/>
        <v>0</v>
      </c>
      <c r="DA317" s="144">
        <f t="shared" ca="1" si="947"/>
        <v>0</v>
      </c>
      <c r="DB317" s="144" t="e">
        <f t="shared" ca="1" si="948"/>
        <v>#N/A</v>
      </c>
      <c r="DC317" s="144" t="e">
        <f t="shared" ca="1" si="949"/>
        <v>#N/A</v>
      </c>
      <c r="DD317" s="144" t="e">
        <f t="shared" ca="1" si="1154"/>
        <v>#N/A</v>
      </c>
      <c r="DE317" s="143" t="e">
        <f t="shared" ca="1" si="1070"/>
        <v>#N/A</v>
      </c>
      <c r="DF317" s="145" t="e">
        <f ca="1">$DR317*EXP(-Control!$C$158*(1-$KH317))</f>
        <v>#N/A</v>
      </c>
      <c r="DG317" s="146" t="e">
        <f ca="1">IF(Control!$C$114=1, $DF317*$EY317, 0)</f>
        <v>#N/A</v>
      </c>
      <c r="DH317" s="147" t="e">
        <f t="shared" ca="1" si="1071"/>
        <v>#N/A</v>
      </c>
      <c r="DI317" s="144" t="e">
        <f t="shared" ca="1" si="1132"/>
        <v>#N/A</v>
      </c>
      <c r="DJ317" s="147" t="e">
        <f ca="1">$EF317*Control!$C$109</f>
        <v>#N/A</v>
      </c>
      <c r="DK317" s="144" t="e">
        <f t="shared" ca="1" si="1072"/>
        <v>#N/A</v>
      </c>
      <c r="DL317" s="144" t="e">
        <f t="shared" ca="1" si="950"/>
        <v>#N/A</v>
      </c>
      <c r="DM317" s="144" t="e">
        <f ca="1">IF(Control!$C$114=1, (1-EXP(-Control!$C$96*$DK317))*$AR317, 0)</f>
        <v>#N/A</v>
      </c>
      <c r="DN317" s="144">
        <f t="shared" ca="1" si="1073"/>
        <v>0</v>
      </c>
      <c r="DO317" s="148">
        <f>Control!$C$97</f>
        <v>4</v>
      </c>
      <c r="DP317" s="145" t="e">
        <f t="shared" ca="1" si="1074"/>
        <v>#N/A</v>
      </c>
      <c r="DQ317" s="145" t="e">
        <f ca="1">IF(AND($CP317&gt;=0,$CP317&lt;=90),Control!$C$111,Control!$C$111)</f>
        <v>#N/A</v>
      </c>
      <c r="DR317" s="145" t="e">
        <f t="shared" ca="1" si="951"/>
        <v>#N/A</v>
      </c>
      <c r="DS317" s="143" t="e">
        <f ca="1">Control!$B$22/$DR317</f>
        <v>#N/A</v>
      </c>
      <c r="DT317" s="149" t="e">
        <f ca="1">IF(AND(Control!$C$114=1,$KH317&lt;1),$IM317*$DF317, 0)</f>
        <v>#N/A</v>
      </c>
      <c r="DU317" s="144" t="e">
        <f t="shared" ca="1" si="1075"/>
        <v>#N/A</v>
      </c>
      <c r="DV317" s="144">
        <f ca="1">IF($G317-Control!$C$107&lt;=0, 0, 0.83*LN(MAX($G317, 3))-0.8924)</f>
        <v>0</v>
      </c>
      <c r="DW317" s="144" t="e">
        <f t="shared" ca="1" si="952"/>
        <v>#N/A</v>
      </c>
      <c r="DX317" s="150" t="e">
        <f ca="1">MAX(0.01*(1+$CU317/Control!$C$102),0.05*($DK317-Control!$C$97)/Control!$C$97)</f>
        <v>#N/A</v>
      </c>
      <c r="DY317" s="151" t="e">
        <f ca="1">IF(Control!$C$114=1, $DI317*$FS317, 0)</f>
        <v>#N/A</v>
      </c>
      <c r="DZ317" s="196" t="e">
        <f t="shared" ca="1" si="1076"/>
        <v>#N/A</v>
      </c>
      <c r="EA317" s="152">
        <f t="shared" ca="1" si="1077"/>
        <v>313</v>
      </c>
      <c r="EB317" s="153" t="e">
        <f t="shared" ca="1" si="1078"/>
        <v>#N/A</v>
      </c>
      <c r="EC317" s="153" t="e">
        <f t="shared" ca="1" si="1079"/>
        <v>#N/A</v>
      </c>
      <c r="ED317" s="154" t="e">
        <f ca="1">IF(Control!$C$114=1, $HM317*$FY317-$FD317, 0)</f>
        <v>#DIV/0!</v>
      </c>
      <c r="EE317" s="155" t="e">
        <f ca="1">IF(Control!$C$114=1, $HM317*$FZ317-$FF317, 0)</f>
        <v>#DIV/0!</v>
      </c>
      <c r="EF317" s="153" t="e">
        <f t="shared" ca="1" si="1133"/>
        <v>#N/A</v>
      </c>
      <c r="EG317" s="155" t="e">
        <f ca="1">IF(Control!$C$114=1, $GX317*$FW317-$FI317, 0)</f>
        <v>#DIV/0!</v>
      </c>
      <c r="EH317" s="153" t="e">
        <f t="shared" ca="1" si="1080"/>
        <v>#N/A</v>
      </c>
      <c r="EI317" s="156" t="e">
        <f t="shared" ca="1" si="1081"/>
        <v>#N/A</v>
      </c>
      <c r="EJ317" s="155" t="e">
        <f ca="1">IF(Control!$C$114=1, $HM317*$GB317, 0)</f>
        <v>#DIV/0!</v>
      </c>
      <c r="EK317" s="153" t="e">
        <f t="shared" ca="1" si="1134"/>
        <v>#N/A</v>
      </c>
      <c r="EL317" s="153" t="e">
        <f t="shared" ca="1" si="953"/>
        <v>#N/A</v>
      </c>
      <c r="EM317" s="153" t="e">
        <f t="shared" ca="1" si="954"/>
        <v>#N/A</v>
      </c>
      <c r="EN317" s="153" t="e">
        <f ca="1">IF(Control!$C$108=1,IF(AND(Control!$B$18=1,$EB317&gt;=Control!$B$19),$EB317-$DS317,IF(AND(Control!$B$18=2,$AW317=1,$EB317&gt;$DS317),$EB317-$DS317,0)))</f>
        <v>#N/A</v>
      </c>
      <c r="EO317" s="153" t="e">
        <f ca="1">IF(Control!$C$108=1,IF(AND(Control!$B$18=1,$EB317&gt;=Control!$B$19),$EF317,IF(AND(Control!$B$18=2,$AW317=1),$EF317,0)))</f>
        <v>#N/A</v>
      </c>
      <c r="EP317" s="153" t="e">
        <f ca="1">IF(Control!$C$108=1,IF(AND(Control!$B$18=1,$EB317&gt;=Control!$B$19),$EK317,IF(AND(Control!$B$18=2,$AW317=1),$EK317,0)))</f>
        <v>#N/A</v>
      </c>
      <c r="EQ317" s="153" t="e">
        <f t="shared" ca="1" si="1082"/>
        <v>#N/A</v>
      </c>
      <c r="ER317" s="153" t="e">
        <f t="shared" ca="1" si="1083"/>
        <v>#N/A</v>
      </c>
      <c r="ES317" s="153" t="e">
        <f t="shared" ca="1" si="1135"/>
        <v>#N/A</v>
      </c>
      <c r="ET317" s="153" t="e">
        <f t="shared" ca="1" si="1136"/>
        <v>#N/A</v>
      </c>
      <c r="EU317" s="153" t="e">
        <f t="shared" ca="1" si="1084"/>
        <v>#N/A</v>
      </c>
      <c r="EV317" s="153" t="e">
        <f t="shared" ca="1" si="955"/>
        <v>#N/A</v>
      </c>
      <c r="EW317" s="153" t="e">
        <f t="shared" ca="1" si="956"/>
        <v>#N/A</v>
      </c>
      <c r="EX317" s="153" t="e">
        <f t="shared" ca="1" si="957"/>
        <v>#N/A</v>
      </c>
      <c r="EY317" s="157" t="e">
        <f t="shared" ca="1" si="958"/>
        <v>#DIV/0!</v>
      </c>
      <c r="EZ317" s="154" t="e">
        <f t="shared" ca="1" si="959"/>
        <v>#DIV/0!</v>
      </c>
      <c r="FA317" s="153" t="e">
        <f t="shared" ca="1" si="1085"/>
        <v>#N/A</v>
      </c>
      <c r="FB317" s="153" t="e">
        <f t="shared" ca="1" si="960"/>
        <v>#N/A</v>
      </c>
      <c r="FC317" s="193" t="e">
        <f t="shared" ca="1" si="961"/>
        <v>#N/A</v>
      </c>
      <c r="FD317" s="158" t="e">
        <f t="shared" ca="1" si="1086"/>
        <v>#N/A</v>
      </c>
      <c r="FE317" s="158" t="e">
        <f t="shared" ca="1" si="1087"/>
        <v>#N/A</v>
      </c>
      <c r="FF317" s="159" t="e">
        <f t="shared" ca="1" si="962"/>
        <v>#N/A</v>
      </c>
      <c r="FG317" s="160" t="e">
        <f t="shared" ca="1" si="1088"/>
        <v>#N/A</v>
      </c>
      <c r="FH317" s="158" t="e">
        <f t="shared" ca="1" si="1089"/>
        <v>#N/A</v>
      </c>
      <c r="FI317" s="159" t="e">
        <f t="shared" ca="1" si="963"/>
        <v>#N/A</v>
      </c>
      <c r="FJ317" s="160" t="e">
        <f t="shared" ca="1" si="1090"/>
        <v>#N/A</v>
      </c>
      <c r="FK317" s="160" t="e">
        <f t="shared" ca="1" si="964"/>
        <v>#N/A</v>
      </c>
      <c r="FL317" s="160" t="e">
        <f t="shared" ca="1" si="1137"/>
        <v>#N/A</v>
      </c>
      <c r="FM317" s="160" t="e">
        <f t="shared" ca="1" si="965"/>
        <v>#N/A</v>
      </c>
      <c r="FN317" s="158">
        <f t="shared" ca="1" si="1091"/>
        <v>0.01</v>
      </c>
      <c r="FO317" s="160">
        <f>Control!$C$101</f>
        <v>50</v>
      </c>
      <c r="FP317" s="150" t="e">
        <f t="shared" ca="1" si="966"/>
        <v>#N/A</v>
      </c>
      <c r="FQ317" s="150" t="e">
        <f ca="1">MAX(0,(Control!$C$112*(($DK317-Control!$C$97)/Control!$C$97)))</f>
        <v>#N/A</v>
      </c>
      <c r="FR317" s="150" t="e">
        <f ca="1">(1-$NT317)*Control!$C$113</f>
        <v>#DIV/0!</v>
      </c>
      <c r="FS317" s="198" t="e">
        <f t="shared" ca="1" si="967"/>
        <v>#N/A</v>
      </c>
      <c r="FT317" s="161">
        <f t="shared" ca="1" si="1092"/>
        <v>313</v>
      </c>
      <c r="FU317" s="162" t="e">
        <f ca="1">IF(Control!$B$34=1,VLOOKUP($CP317,Control!$B$86:$G$91,6),Control!$B$35)</f>
        <v>#N/A</v>
      </c>
      <c r="FV317" s="162" t="e">
        <f t="shared" ca="1" si="968"/>
        <v>#DIV/0!</v>
      </c>
      <c r="FW317" s="162" t="e">
        <f ca="1">IF(Control!$B$31=1,$FU317*$FV317,  $FU317)</f>
        <v>#N/A</v>
      </c>
      <c r="FX317" s="162" t="e">
        <f ca="1">IF(Control!$B$34=1,VLOOKUP($CP317,Control!$B$86:$G$91,3),Control!$B$36)</f>
        <v>#N/A</v>
      </c>
      <c r="FY317" s="162" t="e">
        <f t="shared" ca="1" si="969"/>
        <v>#N/A</v>
      </c>
      <c r="FZ317" s="162" t="e">
        <f ca="1">IF(Control!$B$34=1,VLOOKUP($CP317,Control!$B$86:$G$91,4),Control!$B$37)</f>
        <v>#N/A</v>
      </c>
      <c r="GA317" s="162" t="e">
        <f t="shared" ca="1" si="970"/>
        <v>#N/A</v>
      </c>
      <c r="GB317" s="162" t="e">
        <f ca="1">IF(Control!$B$34=1,VLOOKUP($CP317,Control!$B$86:$G$91,5),Control!$B$38)</f>
        <v>#N/A</v>
      </c>
      <c r="GC317" s="162" t="e">
        <f t="shared" ca="1" si="1093"/>
        <v>#N/A</v>
      </c>
      <c r="GD317" s="162">
        <f t="shared" ca="1" si="971"/>
        <v>1</v>
      </c>
      <c r="GE317" s="162">
        <f t="shared" ca="1" si="972"/>
        <v>1</v>
      </c>
      <c r="GF317" s="162">
        <f ca="1">IF(AND(Control!$C$104=1, Control!$C$62="F"),$GE317,1)</f>
        <v>1</v>
      </c>
      <c r="GG317" s="162" t="e">
        <f ca="1">IF(Control!$B$16=40,0,IF(AND(Control!$B$16&gt;40,Control!$B$16&lt;=360),(Control!$B$16-40)*((1-0)/(360-40)),IF(AND(Control!$B$16&gt;360,Control!$B$16&lt;=720),(1+(Control!$B$16-360)*((1.25-1)/(720-360))),IF(AND(Control!$B$16&gt;720,Control!$B$16&lt;=1000),(1.25+(Control!$B$16-720)*((1.35-1.25)/(1000-720))),IF(AND(Control!$B$16&gt;1000,Control!$B$16&lt;=2000),(1.35+(Control!$B$16-1000)*0))))))</f>
        <v>#N/A</v>
      </c>
      <c r="GH317" s="162" t="e">
        <f t="shared" ca="1" si="973"/>
        <v>#N/A</v>
      </c>
      <c r="GI317" s="162">
        <f t="shared" ca="1" si="1094"/>
        <v>0</v>
      </c>
      <c r="GJ317" s="162">
        <f t="shared" ca="1" si="974"/>
        <v>0</v>
      </c>
      <c r="GK317" s="162">
        <f t="shared" ca="1" si="1095"/>
        <v>1</v>
      </c>
      <c r="GL317" s="162">
        <f t="shared" ca="1" si="975"/>
        <v>1</v>
      </c>
      <c r="GM317" s="162" t="e">
        <f ca="1">MAX(0,MIN(1,1-Control!$C$156*(1.0001-$KH317)^2))</f>
        <v>#N/A</v>
      </c>
      <c r="GN317" s="162" t="e">
        <f ca="1">IF(Control!$B$26=1,$KU317,$KX317)</f>
        <v>#N/A</v>
      </c>
      <c r="GO317" s="162" t="e">
        <f ca="1">IF($CP317&lt;=60,Control!$C$105,IF($CP317&gt;=90,Control!$C$106,Control!$C$105+($CP317-60)*((Control!$C$106-Control!$C$105)/(90-60))))</f>
        <v>#N/A</v>
      </c>
      <c r="GP317" s="162" t="e">
        <f t="shared" ca="1" si="976"/>
        <v>#N/A</v>
      </c>
      <c r="GQ317" s="162" t="e">
        <f t="shared" ca="1" si="1096"/>
        <v>#N/A</v>
      </c>
      <c r="GR317" s="163" t="e">
        <f t="shared" ca="1" si="977"/>
        <v>#DIV/0!</v>
      </c>
      <c r="GS317" s="162" t="e">
        <f t="shared" ca="1" si="978"/>
        <v>#DIV/0!</v>
      </c>
      <c r="GT317" s="164" t="e">
        <f t="shared" ca="1" si="1097"/>
        <v>#N/A</v>
      </c>
      <c r="GU317" s="162" t="e">
        <f t="shared" ca="1" si="1098"/>
        <v>#N/A</v>
      </c>
      <c r="GV317" s="162" t="e">
        <f t="shared" ca="1" si="979"/>
        <v>#N/A</v>
      </c>
      <c r="GW317" s="162" t="e">
        <f t="shared" ca="1" si="980"/>
        <v>#DIV/0!</v>
      </c>
      <c r="GX317" s="162" t="e">
        <f t="shared" ca="1" si="1099"/>
        <v>#DIV/0!</v>
      </c>
      <c r="GY317" s="162" t="e">
        <f t="shared" ca="1" si="1100"/>
        <v>#DIV/0!</v>
      </c>
      <c r="GZ317" s="165" t="e">
        <f t="shared" ca="1" si="981"/>
        <v>#N/A</v>
      </c>
      <c r="HA317" s="162" t="e">
        <f ca="1">IF(Control!$C$114=1, $DI317*$FS317, 0)</f>
        <v>#N/A</v>
      </c>
      <c r="HB317" s="162" t="e">
        <f ca="1">$FA317/Control!$C$64</f>
        <v>#N/A</v>
      </c>
      <c r="HC317" s="162" t="e">
        <f t="shared" ca="1" si="982"/>
        <v>#DIV/0!</v>
      </c>
      <c r="HD317" s="162">
        <f ca="1">-ASIN(SIN(23.45*Control!$C$139)*COS(2*Control!$C$138*($AH317+10)/365))</f>
        <v>-0.30301214304790108</v>
      </c>
      <c r="HE317" s="165">
        <f t="shared" ca="1" si="1101"/>
        <v>0</v>
      </c>
      <c r="HF317" s="166">
        <f ca="1">IF(AND(Control!$C$61="T",$HE317&gt;=Control!$C$103,Control!$C$114=0),$AH317,Control!$C$59)</f>
        <v>1</v>
      </c>
      <c r="HG317" s="166">
        <f ca="1">IF(AND(Control!$C$61="T",$HE317&gt;=Control!$C$103,Control!$C$114=0),$HF317,Control!$C$59)</f>
        <v>1</v>
      </c>
      <c r="HH317" s="165">
        <f ca="1">IF(AND(OR(Control!$C$60&lt;=0, $AH317= Control!$C$59, Control!$C$60 &gt;0, $AH317 = Control!$C$60)), Control!$C$59, IF(Control!$C$60&gt;0, 0))</f>
        <v>1</v>
      </c>
      <c r="HI317" s="165">
        <f ca="1">IF(AND(OR(Control!$C$60&lt;=0, $AH317= Control!$C$59, Control!$C$60 &gt;0, $AH317 = Control!$C$60)), Control!$C$60, IF(Control!$C$60&lt;=0, 0))</f>
        <v>0</v>
      </c>
      <c r="HJ317" s="166">
        <f ca="1">IF(AND(Control!$C$62="F",$CV317&gt;=Control!$C$102),$AH317,0)</f>
        <v>0</v>
      </c>
      <c r="HK317" s="165" t="e">
        <f t="shared" ca="1" si="1138"/>
        <v>#N/A</v>
      </c>
      <c r="HL317" s="166">
        <f ca="1">IF(AND(Control!$C$61="T",$HE317&gt;=Control!$C$103,Control!$C$114=0),$HF317,0)</f>
        <v>0</v>
      </c>
      <c r="HM317" s="201" t="e">
        <f t="shared" ca="1" si="983"/>
        <v>#DIV/0!</v>
      </c>
      <c r="HN317" s="215">
        <f t="shared" ca="1" si="1102"/>
        <v>313</v>
      </c>
      <c r="HO317" s="216" t="e">
        <f ca="1">IF(AND($CP317&gt;=0, $CP317&lt;=90), Control!$C$152, Control!$C$152)</f>
        <v>#N/A</v>
      </c>
      <c r="HP317" s="216" t="e">
        <f t="shared" ca="1" si="984"/>
        <v>#N/A</v>
      </c>
      <c r="HQ317" s="217" t="e">
        <f ca="1">IF(OR(Control!$B$26=1,Control!$B$26=2),$KV317,$KS317)</f>
        <v>#DIV/0!</v>
      </c>
      <c r="HR317" s="218" t="e">
        <f t="shared" ca="1" si="1139"/>
        <v>#DIV/0!</v>
      </c>
      <c r="HS317" s="216" t="e">
        <f ca="1">Control!$C$154*$HP317</f>
        <v>#N/A</v>
      </c>
      <c r="HT317" s="216" t="e">
        <f ca="1">Control!$C$155*$HP317</f>
        <v>#N/A</v>
      </c>
      <c r="HU317" s="217" t="e">
        <f ca="1">Control!$C$161*$FI317</f>
        <v>#N/A</v>
      </c>
      <c r="HV317" s="218" t="e">
        <f t="shared" ca="1" si="1103"/>
        <v>#N/A</v>
      </c>
      <c r="HW317" s="218" t="e">
        <f ca="1">Control!$C$160*$FF317+$IP317*$EO317</f>
        <v>#N/A</v>
      </c>
      <c r="HX317" s="218" t="e">
        <f t="shared" ca="1" si="1140"/>
        <v>#N/A</v>
      </c>
      <c r="HY317" s="219" t="e">
        <f ca="1">IF(Control!$C$114=1, $EB317*$FS317, 0)</f>
        <v>#N/A</v>
      </c>
      <c r="HZ317" s="91" t="e">
        <f t="shared" ca="1" si="985"/>
        <v>#N/A</v>
      </c>
      <c r="IA317" s="220" t="e">
        <f ca="1">Control!$C$153*$HO317</f>
        <v>#N/A</v>
      </c>
      <c r="IB317" s="218" t="e">
        <f t="shared" ca="1" si="986"/>
        <v>#N/A</v>
      </c>
      <c r="IC317" s="220" t="e">
        <f ca="1">Control!$C$153*$HT317</f>
        <v>#N/A</v>
      </c>
      <c r="ID317" s="218" t="e">
        <f t="shared" ca="1" si="987"/>
        <v>#N/A</v>
      </c>
      <c r="IE317" s="221" t="e">
        <f ca="1">($EB317*Control!$C$159+$EF317*Control!$C$160)/(IF($GZ317&lt;&gt;0,$GZ317,1))</f>
        <v>#N/A</v>
      </c>
      <c r="IF317" s="216" t="e">
        <f t="shared" ca="1" si="988"/>
        <v>#N/A</v>
      </c>
      <c r="IG317" s="91">
        <f ca="1">IF(OR(Control!$B$198=$AH317,Control!$B$199=$AH317, Control!$B$200=$AH317, Control!$B$201=$AH317, Control!$B$202=$AH317, Control!$B$203=$AH317, Control!$B$204=$AH317, Control!$B$205=$AH317, Control!$B$206=$AH317, Control!$B$207=$AH317), 1, 0)</f>
        <v>0</v>
      </c>
      <c r="IH317" s="91">
        <f ca="1">IF($IG317=0,0, VLOOKUP($AH317,Control!$B$198:$C$207,2))</f>
        <v>0</v>
      </c>
      <c r="II317" s="222">
        <f t="shared" ca="1" si="1104"/>
        <v>0</v>
      </c>
      <c r="IJ317" s="91">
        <f>Control!$C$121</f>
        <v>0.7</v>
      </c>
      <c r="IK317" s="218">
        <f t="shared" ca="1" si="989"/>
        <v>0</v>
      </c>
      <c r="IL317" s="217" t="e">
        <f t="shared" ca="1" si="1141"/>
        <v>#N/A</v>
      </c>
      <c r="IM317" s="223" t="e">
        <f ca="1">IF(AND(Control!$C$114=1,$KH317&lt;1),$EB317*Control!$C$148*(1-$KH317), 0)</f>
        <v>#N/A</v>
      </c>
      <c r="IN317" s="217" t="e">
        <f t="shared" ca="1" si="990"/>
        <v>#DIV/0!</v>
      </c>
      <c r="IO317" s="91" t="e">
        <f ca="1">MAX(0,$IL317-$EF317*Control!$C$160)</f>
        <v>#N/A</v>
      </c>
      <c r="IP317" s="220" t="e">
        <f t="shared" ca="1" si="991"/>
        <v>#N/A</v>
      </c>
      <c r="IQ317" s="217" t="e">
        <f t="shared" ca="1" si="1105"/>
        <v>#N/A</v>
      </c>
      <c r="IR317" s="218" t="e">
        <f t="shared" ca="1" si="992"/>
        <v>#N/A</v>
      </c>
      <c r="IS317" s="217" t="e">
        <f ca="1">Control!$C$159*MAX(0,$FD317-$EN317)</f>
        <v>#N/A</v>
      </c>
      <c r="IT317" s="217" t="e">
        <f t="shared" ca="1" si="1142"/>
        <v>#N/A</v>
      </c>
      <c r="IU317" s="217" t="e">
        <f t="shared" ca="1" si="1106"/>
        <v>#N/A</v>
      </c>
      <c r="IV317" s="217" t="e">
        <f t="shared" ca="1" si="1143"/>
        <v>#N/A</v>
      </c>
      <c r="IW317" s="217" t="e">
        <f ca="1">IF(OR($AW317=1,AND($AW317=0, Control!$B$18=1,$EN317&lt;&gt;0)), $IQ317-$IU317, $IQ317)</f>
        <v>#N/A</v>
      </c>
      <c r="IX317" s="218" t="e">
        <f t="shared" ca="1" si="993"/>
        <v>#N/A</v>
      </c>
      <c r="IY317" s="218" t="e">
        <f ca="1">MAX(0,$IQ317-$EB317*Control!$C$159)</f>
        <v>#N/A</v>
      </c>
      <c r="IZ317" s="218" t="e">
        <f t="shared" ca="1" si="994"/>
        <v>#N/A</v>
      </c>
      <c r="JA317" s="216" t="e">
        <f t="shared" ca="1" si="995"/>
        <v>#N/A</v>
      </c>
      <c r="JB317" s="217" t="e">
        <f t="shared" ca="1" si="996"/>
        <v>#N/A</v>
      </c>
      <c r="JC317" s="222" t="e">
        <f ca="1">MAX(Control!$C$157*$EK317-$JT317, 0)/Control!$C$162</f>
        <v>#N/A</v>
      </c>
      <c r="JD317" s="218" t="e">
        <f t="shared" ca="1" si="997"/>
        <v>#N/A</v>
      </c>
      <c r="JE317" s="218" t="e">
        <f t="shared" ca="1" si="998"/>
        <v>#N/A</v>
      </c>
      <c r="JF317" s="218" t="e">
        <f t="shared" ca="1" si="1107"/>
        <v>#N/A</v>
      </c>
      <c r="JG317" s="218" t="e">
        <f t="shared" ca="1" si="999"/>
        <v>#N/A</v>
      </c>
      <c r="JH317" s="217" t="e">
        <f t="shared" ca="1" si="1108"/>
        <v>#N/A</v>
      </c>
      <c r="JI317" s="217" t="e">
        <f t="shared" ca="1" si="1109"/>
        <v>#N/A</v>
      </c>
      <c r="JJ317" s="217" t="e">
        <f t="shared" ca="1" si="1144"/>
        <v>#N/A</v>
      </c>
      <c r="JK317" s="217" t="e">
        <f ca="1">IF(Control!$C$114=1,IF(Control!$B$24=0,MAX(0,$JI317)*$GN317/Control!$C$64,(MAX(0,MIN($JI317,$JJ317*$GN317/Control!$C$64),0))))</f>
        <v>#N/A</v>
      </c>
      <c r="JL317" s="217" t="e">
        <f ca="1">$IK317/Control!$C$64-$JK317+$HQ317</f>
        <v>#N/A</v>
      </c>
      <c r="JM317" s="217" t="e">
        <f ca="1">IF(Control!$C$114=1,($JB317/(IF($JI317&lt;&gt;0,$JI317,1)))*$JK317,0)</f>
        <v>#N/A</v>
      </c>
      <c r="JN317" s="217" t="e">
        <f ca="1">IF(Control!$C$114=1,($JG317/(IF($JI317&lt;&gt;0,$JI317,1)))*$JK317, 0)</f>
        <v>#N/A</v>
      </c>
      <c r="JO317" s="218" t="e">
        <f t="shared" ca="1" si="1000"/>
        <v>#N/A</v>
      </c>
      <c r="JP317" s="218" t="e">
        <f ca="1">MIN(($IY317+$IO317)*Control!$C$151, $JF317-$EH317*Control!$C$161)</f>
        <v>#N/A</v>
      </c>
      <c r="JQ317" s="218" t="e">
        <f t="shared" ca="1" si="1001"/>
        <v>#N/A</v>
      </c>
      <c r="JR317" s="217" t="e">
        <f ca="1">IF($CP317-Control!$C$150&lt;0, 0, $JQ317/Control!$C$162)</f>
        <v>#N/A</v>
      </c>
      <c r="JS317" s="218" t="e">
        <f t="shared" ca="1" si="1002"/>
        <v>#N/A</v>
      </c>
      <c r="JT317" s="218" t="e">
        <f t="shared" ca="1" si="1110"/>
        <v>#N/A</v>
      </c>
      <c r="JU317" s="218" t="e">
        <f t="shared" ca="1" si="1003"/>
        <v>#N/A</v>
      </c>
      <c r="JV317" s="218" t="e">
        <f t="shared" ca="1" si="1004"/>
        <v>#N/A</v>
      </c>
      <c r="JW317" s="216" t="e">
        <f t="shared" ca="1" si="1005"/>
        <v>#N/A</v>
      </c>
      <c r="JX317" s="91" t="e">
        <f t="shared" ca="1" si="1006"/>
        <v>#N/A</v>
      </c>
      <c r="JY317" s="218" t="e">
        <f t="shared" ca="1" si="1007"/>
        <v>#N/A</v>
      </c>
      <c r="JZ317" s="217" t="e">
        <f ca="1">IF(Control!$C$114=1,($IZ317/(IF($JI317&lt;&gt;0,$JI317,1)))*$JK317, 0)</f>
        <v>#N/A</v>
      </c>
      <c r="KA317" s="218" t="e">
        <f t="shared" ca="1" si="1145"/>
        <v>#N/A</v>
      </c>
      <c r="KB317" s="218" t="e">
        <f t="shared" ca="1" si="1111"/>
        <v>#N/A</v>
      </c>
      <c r="KC317" s="218" t="e">
        <f t="shared" ca="1" si="1008"/>
        <v>#N/A</v>
      </c>
      <c r="KD317" s="218" t="e">
        <f t="shared" ca="1" si="1009"/>
        <v>#N/A</v>
      </c>
      <c r="KE317" s="218" t="e">
        <f t="shared" ca="1" si="1010"/>
        <v>#N/A</v>
      </c>
      <c r="KF317" s="218" t="e">
        <f t="shared" ca="1" si="1011"/>
        <v>#N/A</v>
      </c>
      <c r="KG317" s="216" t="e">
        <f t="shared" ca="1" si="1012"/>
        <v>#N/A</v>
      </c>
      <c r="KH317" s="221" t="e">
        <f ca="1">IF(Control!$B$24=0,1,MAX(0.001,MIN(1,IF(($IF317-$IE317)&lt;&gt;0,($KG317-$IE317)/($IF317-$IE317),1))))</f>
        <v>#N/A</v>
      </c>
      <c r="KI317" s="222" t="e">
        <f ca="1">IF(Control!$C$114=1, $KI316+ $KH316, 0)</f>
        <v>#N/A</v>
      </c>
      <c r="KJ317" s="217" t="e">
        <f t="shared" ca="1" si="1013"/>
        <v>#N/A</v>
      </c>
      <c r="KK317" s="218" t="e">
        <f t="shared" ca="1" si="1014"/>
        <v>#N/A</v>
      </c>
      <c r="KL317" s="274" t="e">
        <f ca="1">IF(Control!$B$26=3,4000000000*EXP(-8400/($G317+273)),IF(Control!$B$26=4,4000000000*EXP(-8400/($G317+273))*($KT317),0))</f>
        <v>#DIV/0!</v>
      </c>
      <c r="KM317" s="274" t="e">
        <f ca="1">IF(Control!$B$26=3,5600000000000*EXP(-9800/($G317+273)),IF(Control!$B$26=4,5600000000000*EXP(-9800/($G317+273))*$KT317,0))</f>
        <v>#DIV/0!</v>
      </c>
      <c r="KN317" s="454" t="e">
        <f t="shared" ca="1" si="1112"/>
        <v>#DIV/0!</v>
      </c>
      <c r="KO317" s="274" t="e">
        <f t="shared" ca="1" si="1113"/>
        <v>#DIV/0!</v>
      </c>
      <c r="KP317" s="454" t="e">
        <f t="shared" ca="1" si="1015"/>
        <v>#DIV/0!</v>
      </c>
      <c r="KQ317" s="454" t="e">
        <f t="shared" ca="1" si="1016"/>
        <v>#DIV/0!</v>
      </c>
      <c r="KR317" s="454" t="e">
        <f t="shared" ca="1" si="1017"/>
        <v>#DIV/0!</v>
      </c>
      <c r="KS317" s="454" t="e">
        <f t="shared" ca="1" si="1018"/>
        <v>#DIV/0!</v>
      </c>
      <c r="KT317" s="455" t="e">
        <f t="shared" ca="1" si="1019"/>
        <v>#DIV/0!</v>
      </c>
      <c r="KU317" s="456" t="e">
        <f ca="1">IF($CP317-Control!$C$149&lt;0, IF($NT317-0.01&lt;0,0,1),0)</f>
        <v>#N/A</v>
      </c>
      <c r="KV317" s="456" t="e">
        <f ca="1">IF(Control!$C$114=1,MAX(0,MIN(Control!$C$125*$KW317*$GN317,$KW317)))</f>
        <v>#DIV/0!</v>
      </c>
      <c r="KW317" s="456" t="e">
        <f t="shared" ca="1" si="1146"/>
        <v>#DIV/0!</v>
      </c>
      <c r="KX317" s="457" t="e">
        <f ca="1">IF($CP317-Control!$C$149&lt;0, IF($MR317-$OM317&lt;0,0,1),0)</f>
        <v>#N/A</v>
      </c>
      <c r="KY317" s="167">
        <f t="shared" ca="1" si="1114"/>
        <v>313</v>
      </c>
      <c r="KZ317" s="168">
        <f ca="1">1370*(1+0.033*COS(2*Control!$C$138*$AH317/365))</f>
        <v>1398.2752564806012</v>
      </c>
      <c r="LA317" s="169">
        <f t="shared" ca="1" si="1115"/>
        <v>1.020638548908513</v>
      </c>
      <c r="LB317" s="169">
        <f t="shared" ca="1" si="1116"/>
        <v>-0.30900940216979578</v>
      </c>
      <c r="LC317" s="169">
        <f ca="1">ACOS(-TAN((2*Control!$B$8/360))*TAN(Calculations!$LB317))</f>
        <v>1.4757755793865197</v>
      </c>
      <c r="LD317" s="169">
        <f ca="1">((24*60)/PI())*0.082*$LA317*(($LC317*SIN(Control!$B$8*2*PI()/360))*SIN($LB317)+COS(Control!$B$8*2*PI()/360)*COS($LB317)*SIN($LC317))</f>
        <v>8.8305463916254006</v>
      </c>
      <c r="LE317" s="170">
        <f t="shared" ca="1" si="1020"/>
        <v>10.133179463548126</v>
      </c>
      <c r="LF317" s="170">
        <f ca="1">SIN(Control!$C$139*Control!$B$8)*SIN($HD317)</f>
        <v>-0.23514001854266595</v>
      </c>
      <c r="LG317" s="170">
        <f ca="1">COS(Control!$C$139*Control!$B$8)*COS($HD317)</f>
        <v>0.58761157821802557</v>
      </c>
      <c r="LH317" s="170">
        <f ca="1">12*(1+2*ASIN(MAX(-1,MIN(1,$LF317/$LG317))/Control!$C$138))</f>
        <v>8.9346647946318836</v>
      </c>
      <c r="LI317" s="170">
        <f ca="1">12*(1+2*ASIN(MAX(-1,MIN(1,(-SIN(-4*Control!$C$139)+$LF317)/$LG317))/Control!$C$138))</f>
        <v>9.8469974761553836</v>
      </c>
      <c r="LJ317" s="168">
        <f ca="1">3600*($LH317*$LF317+24*$LG317*SQRT(1-$LK317*$LK317)/Control!$C$138)</f>
        <v>7246.9132358480711</v>
      </c>
      <c r="LK317" s="170">
        <f t="shared" ca="1" si="1021"/>
        <v>-0.40016233045602162</v>
      </c>
      <c r="LL317" s="170">
        <f t="shared" ca="1" si="1022"/>
        <v>0</v>
      </c>
      <c r="LM317" s="171">
        <f ca="1">Control!$C$145*$AB317</f>
        <v>6.6660906138995932E-2</v>
      </c>
      <c r="LN317" s="170">
        <f t="shared" ca="1" si="1117"/>
        <v>0.54</v>
      </c>
      <c r="LO317" s="170">
        <f t="shared" ca="1" si="1023"/>
        <v>0</v>
      </c>
      <c r="LP317" s="170">
        <f ca="1">Control!$C$140*((($D317+273.16)^4+($E317+273.16)^4)/2)*(0.34-0.14*SQRT($Y317))*(1.35*$AQ317/(0.75*$LD317)-0.35)</f>
        <v>-3.2464704755046001</v>
      </c>
      <c r="LQ317" s="170">
        <f ca="1">Control!$C$140*($G317+273)^4*(0.56-0.079*SQRT($Y317*10))*(0.1+0.9*$LO317)</f>
        <v>1.5241745131704001</v>
      </c>
      <c r="LR317" s="170">
        <f ca="1">$AQ317*(1-Control!$C$142)-$LQ317</f>
        <v>-1.5241745131704001</v>
      </c>
      <c r="LS317" s="170">
        <f ca="1">$AQ317*(1-Control!$C$143)-$LQ317</f>
        <v>-1.5241745131704001</v>
      </c>
      <c r="LT317" s="170">
        <f ca="1">$AQ317*(1-Control!$C$144)-$LQ317</f>
        <v>-1.5241745131704001</v>
      </c>
      <c r="LU317" s="169">
        <f ca="1">(1-Control!$C$144)*AQ317-LP317</f>
        <v>3.2464704755046001</v>
      </c>
      <c r="LV317" s="172">
        <f t="shared" ca="1" si="1024"/>
        <v>0.79430000000000012</v>
      </c>
      <c r="LW317" s="170">
        <f t="shared" ca="1" si="1025"/>
        <v>1.5886000000000002</v>
      </c>
      <c r="LX317" s="170">
        <f ca="1">($AC317*($LR317/Control!$C$141)+$LM317*$LV317)/($AC317+$LM317)</f>
        <v>0.23530094218323697</v>
      </c>
      <c r="LY317" s="170">
        <f ca="1">($AC317*($LS317/Control!$C$141)+$LM317*$LV317)/($AC317+$LM317)</f>
        <v>0.23530094218323697</v>
      </c>
      <c r="LZ317" s="170">
        <f t="shared" ca="1" si="1026"/>
        <v>0.23530094218323697</v>
      </c>
      <c r="MA317" s="170">
        <f t="shared" ca="1" si="1027"/>
        <v>0.23530094218323697</v>
      </c>
      <c r="MB317" s="170" t="e">
        <f t="shared" ca="1" si="1028"/>
        <v>#N/A</v>
      </c>
      <c r="MC317" s="170">
        <f t="shared" ca="1" si="1118"/>
        <v>0.6018</v>
      </c>
      <c r="MD317" s="170">
        <f t="shared" ca="1" si="1029"/>
        <v>0.52989392535414004</v>
      </c>
      <c r="ME317" s="170">
        <f ca="1">($AC317*($LT317/Control!$C$141)+$LM317*$LW317)/($AC317+$LM317)</f>
        <v>0.71612369323045078</v>
      </c>
      <c r="MF317" s="170" t="e">
        <f ca="1">IF(Control!$B$16&gt;=1000,0.92,IF(AND(720&lt;=Control!$B$16,1000&gt;Control!$B$16),(0.95+(Control!$B$16-720)*((0.92-0.95)/(1000-720))),IF(AND(360&lt;=Control!$B$16,720&gt;Control!$B$16),(1+(Control!$B$16-360)*((0.95-1)/(720-360))),IF(AND(40&lt;=Control!$B$16,360&gt;Control!$B$16),(1.05+(Control!$B$16-40)*((1.05-1)/(360-40)))))))</f>
        <v>#N/A</v>
      </c>
      <c r="MG317" s="170">
        <f t="shared" ca="1" si="1030"/>
        <v>0.71612369323045078</v>
      </c>
      <c r="MH317" s="170" t="e">
        <f t="shared" ca="1" si="1157"/>
        <v>#N/A</v>
      </c>
      <c r="MI317" s="170" t="e">
        <f t="shared" ca="1" si="1157"/>
        <v>#N/A</v>
      </c>
      <c r="MJ317" s="170" t="e">
        <f ca="1">MAX(0.0001, Control!$C$132*$MI317*$DL317)</f>
        <v>#N/A</v>
      </c>
      <c r="MK317" s="170">
        <f ca="1">1/(0.76+1.5*($MG317/10))-(5-Control!$C$110)*0.1</f>
        <v>1.002845988140797</v>
      </c>
      <c r="ML317" s="173">
        <f ca="1">IF(Control!$C$110&lt;3,$MK317+($MG317-0.6)/(Control!$C$110*(Control!$C$110+3)), MAX(0.1, MIN(0.95,$MK317)))</f>
        <v>0.95</v>
      </c>
      <c r="MM317" s="173">
        <f ca="1">IF(Control!$C$110&lt;3,$MK317+(($MI317/10)-0.6)/(Control!$C$110*(Control!$C$110+3)), MAX(0.1, MIN(0.95,$MK317)))</f>
        <v>0.95</v>
      </c>
      <c r="MN317" s="173">
        <f ca="1">(1-$MM317)*(Control!$C$128-Control!$C$127)+Control!$C$127</f>
        <v>0.16</v>
      </c>
      <c r="MO317" s="170" t="e">
        <f ca="1">MAX(0,MIN(1,($MS317-Control!$C$127)/($MN317-Control!$C$127)))</f>
        <v>#DIV/0!</v>
      </c>
      <c r="MP317" s="173" t="e">
        <f ca="1">1/(0.76+1.5*$MI317)-(5-Control!$C$110)*0.1</f>
        <v>#N/A</v>
      </c>
      <c r="MQ317" s="172" t="e">
        <f t="shared" ca="1" si="1147"/>
        <v>#DIV/0!</v>
      </c>
      <c r="MR317" s="168" t="e">
        <f t="shared" ca="1" si="1119"/>
        <v>#DIV/0!</v>
      </c>
      <c r="MS317" s="173" t="e">
        <f ca="1">MAX(Control!$C$127, MIN(Control!$C$135, $MR317/MAX(0.0001,$CY317)))</f>
        <v>#DIV/0!</v>
      </c>
      <c r="MT317" s="168" t="e">
        <f ca="1">(Control!$C$128-$MS317)*Control!$C$74</f>
        <v>#DIV/0!</v>
      </c>
      <c r="MU317" s="168" t="e">
        <f ca="1">(Control!$C$135-$MS317)*Control!$C$74</f>
        <v>#DIV/0!</v>
      </c>
      <c r="MV317" s="168" t="e">
        <f t="shared" ca="1" si="1120"/>
        <v>#DIV/0!</v>
      </c>
      <c r="MW317" s="168" t="e">
        <f t="shared" ca="1" si="1121"/>
        <v>#DIV/0!</v>
      </c>
      <c r="MX317" s="171" t="e">
        <f ca="1">MAX(Control!$C$127, MIN(Control!$C$135, $MW317/MAX(0.0001,Control!$C$119-$CY317)))</f>
        <v>#DIV/0!</v>
      </c>
      <c r="MY317" s="54" t="e">
        <f ca="1">IF(Control!$C$114=1, $CX317*$MX317, 0)</f>
        <v>#DIV/0!</v>
      </c>
      <c r="MZ317" s="54" t="e">
        <f t="shared" ca="1" si="1122"/>
        <v>#N/A</v>
      </c>
      <c r="NA317" s="168" t="e">
        <f ca="1">(Control!$C$128-$MX317)*(Control!$C$119-Control!$C$74)</f>
        <v>#DIV/0!</v>
      </c>
      <c r="NB317" s="168" t="e">
        <f ca="1">(Control!$C$135-$MX317)*(Control!$C$119-Control!$C$74)</f>
        <v>#DIV/0!</v>
      </c>
      <c r="NC317" s="174" t="e">
        <f t="shared" ca="1" si="1123"/>
        <v>#DIV/0!</v>
      </c>
      <c r="ND317" s="54">
        <f ca="1">IF(Control!$C$58=2, IF(OR(Control!$B$218=$AH317,Control!$B$219=$AH317, Control!$B$220=$AH317, Control!$B$221=$AH317, Control!$B$222=$AH317, Control!$B$223=$AH317, Control!$B$224=$AH317, Control!$B$225=$AH317, Control!$B$226=$AH317, Control!$B$227=$AH317, Control!$B$228=$AH317), 1, 0), 0)</f>
        <v>0</v>
      </c>
      <c r="NE317" s="54">
        <f ca="1">IF($ND317=0,0, VLOOKUP($AH317,Control!$B$218:$C$228,2))</f>
        <v>0</v>
      </c>
      <c r="NF317" s="168" t="e">
        <f ca="1">$CY317*(Control!$C$128-Control!$C$127)</f>
        <v>#N/A</v>
      </c>
      <c r="NG317" s="54" t="e">
        <f ca="1">IF(Control!$C$58=2, $NI316-$NJ316, 0)</f>
        <v>#DIV/0!</v>
      </c>
      <c r="NH317" s="54" t="e">
        <f ca="1">IF(AND(Control!$C$58=1, $MS316&lt;= ($MN316+0.02), $I316&lt;10), 0, IF(Control!$C$58=2, $NG316, 0))</f>
        <v>#DIV/0!</v>
      </c>
      <c r="NI317" s="54" t="e">
        <f ca="1">IF(Control!$C$58=2, $NE317+$NH317,0)</f>
        <v>#DIV/0!</v>
      </c>
      <c r="NJ317" s="54" t="e">
        <f ca="1">IF(AND(Control!$C$58=1, $MS317&lt;= ($MN317+0.02), $I317&lt;10), MAX(0, MIN(10, 0.7*($NF317-$MV317))), IF(Control!$C$58=2, MIN(10,$NI317),0))</f>
        <v>#DIV/0!</v>
      </c>
      <c r="NK317" s="54" t="e">
        <f t="shared" ca="1" si="1031"/>
        <v>#DIV/0!</v>
      </c>
      <c r="NL317" s="173" t="e">
        <f ca="1">(1-Control!$C$73)*$I317+$NJ317</f>
        <v>#DIV/0!</v>
      </c>
      <c r="NM317" s="172" t="e">
        <f ca="1">IF($NL317&lt;0.5, $MB317* MAX(0, MIN(1, (SQRT($NC317)-SQRT($NC317-1))*Control!$C$71)),0)</f>
        <v>#DIV/0!</v>
      </c>
      <c r="NN317" s="170" t="e">
        <f ca="1">IF($NL317&gt;=5, $MB317, MAX(0,MIN($MB317, $NM317+$NL317,($MS317-Control!$C$129))))</f>
        <v>#DIV/0!</v>
      </c>
      <c r="NO317" s="54">
        <f>IF(Control!$C$133&lt;&gt;1, Control!$C$135-Control!$C$131, 0)</f>
        <v>0.38</v>
      </c>
      <c r="NP317" s="54" t="e">
        <f t="shared" ca="1" si="1032"/>
        <v>#DIV/0!</v>
      </c>
      <c r="NQ317" s="173" t="e">
        <f ca="1">MAX(0,MIN(1,(Control!$C$135-$MS317)/(Control!$C$135-$NO317)))</f>
        <v>#DIV/0!</v>
      </c>
      <c r="NR317" s="170" t="e">
        <f ca="1">IF(Control!$C$133&lt;&gt;1, $NQ317+((1-$NP317/4)*(1-$NQ317)),1)</f>
        <v>#DIV/0!</v>
      </c>
      <c r="NS317" s="170" t="e">
        <f ca="1">IF(Control!$B$31=0,$MJ317,MAX(0,MIN($MV317,$MO317*$NR317*$MJ317)))</f>
        <v>#DIV/0!</v>
      </c>
      <c r="NT317" s="170" t="e">
        <f t="shared" ca="1" si="1148"/>
        <v>#DIV/0!</v>
      </c>
      <c r="NU317" s="170" t="e">
        <f t="shared" ca="1" si="1124"/>
        <v>#N/A</v>
      </c>
      <c r="NV317" s="170" t="e">
        <f t="shared" ca="1" si="1033"/>
        <v>#N/A</v>
      </c>
      <c r="NW317" s="175" t="e">
        <f t="shared" ca="1" si="1034"/>
        <v>#DIV/0!</v>
      </c>
      <c r="NX317" s="170" t="e">
        <f ca="1">MIN(Control!$C$72+$MU317, $NW317)</f>
        <v>#DIV/0!</v>
      </c>
      <c r="NY317" s="170" t="e">
        <f ca="1">IF($MT317&lt;=$NX317,MIN(Control!$C$72+$NB317,$NX317-$MT317),0)</f>
        <v>#DIV/0!</v>
      </c>
      <c r="NZ317" s="54" t="e">
        <f ca="1">IF(Control!$C$114=1,  $CX317*($MX317-Control!$C$127), 0)</f>
        <v>#DIV/0!</v>
      </c>
      <c r="OA317" s="170" t="e">
        <f t="shared" ca="1" si="1035"/>
        <v>#DIV/0!</v>
      </c>
      <c r="OB317" s="170" t="e">
        <f ca="1">IF($NA317 &lt;=$NY317, MIN(Control!$C$72, $NY317-$NA317), 0)</f>
        <v>#DIV/0!</v>
      </c>
      <c r="OC317" s="168" t="e">
        <f t="shared" ca="1" si="1036"/>
        <v>#DIV/0!</v>
      </c>
      <c r="OD317" s="168" t="e">
        <f t="shared" ca="1" si="1125"/>
        <v>#DIV/0!</v>
      </c>
      <c r="OE317" s="170">
        <f ca="1">Control!$C$73*$I317</f>
        <v>0</v>
      </c>
      <c r="OF317" s="176" t="e">
        <f t="shared" ca="1" si="1037"/>
        <v>#DIV/0!</v>
      </c>
      <c r="OG317" s="168" t="e">
        <f t="shared" ca="1" si="1038"/>
        <v>#DIV/0!</v>
      </c>
      <c r="OH317" s="168" t="e">
        <f t="shared" ca="1" si="1039"/>
        <v>#DIV/0!</v>
      </c>
      <c r="OI317" s="168" t="e">
        <f t="shared" ca="1" si="1040"/>
        <v>#DIV/0!</v>
      </c>
      <c r="OJ317" s="168" t="e">
        <f t="shared" ca="1" si="1041"/>
        <v>#DIV/0!</v>
      </c>
      <c r="OK317" s="204" t="e">
        <f t="shared" ca="1" si="1042"/>
        <v>#DIV/0!</v>
      </c>
      <c r="OL317" s="177">
        <f>Control!$C$127</f>
        <v>0.15</v>
      </c>
      <c r="OM317" s="182" t="e">
        <f t="shared" ca="1" si="1043"/>
        <v>#N/A</v>
      </c>
      <c r="ON317" s="177">
        <f>Control!$C$128</f>
        <v>0.35</v>
      </c>
      <c r="OO317" s="182" t="e">
        <f t="shared" ca="1" si="1044"/>
        <v>#N/A</v>
      </c>
      <c r="OP317" s="138">
        <f t="shared" ca="1" si="1126"/>
        <v>0</v>
      </c>
      <c r="OQ317" s="138" t="e">
        <f t="shared" ca="1" si="1149"/>
        <v>#DIV/0!</v>
      </c>
      <c r="OR317" s="138" t="e">
        <f t="shared" ca="1" si="1127"/>
        <v>#DIV/0!</v>
      </c>
      <c r="OS317" s="137" t="e">
        <f t="shared" ca="1" si="1150"/>
        <v>#DIV/0!</v>
      </c>
      <c r="OT317" s="139" t="e">
        <f t="shared" ca="1" si="1151"/>
        <v>#DIV/0!</v>
      </c>
      <c r="OU317" s="138" t="e">
        <f t="shared" ca="1" si="1152"/>
        <v>#N/A</v>
      </c>
      <c r="OV317" s="138" t="e">
        <f t="shared" ca="1" si="1153"/>
        <v>#DIV/0!</v>
      </c>
      <c r="OW317" s="138" t="e">
        <f t="shared" ca="1" si="1128"/>
        <v>#DIV/0!</v>
      </c>
      <c r="OX317" s="138" t="e">
        <f t="shared" ca="1" si="1129"/>
        <v>#DIV/0!</v>
      </c>
      <c r="OY317" s="138" t="e">
        <f t="shared" ca="1" si="1130"/>
        <v>#DIV/0!</v>
      </c>
      <c r="OZ317" s="138" t="e">
        <f t="shared" ca="1" si="1045"/>
        <v>#DIV/0!</v>
      </c>
      <c r="PA317" s="138" t="e">
        <f t="shared" ca="1" si="1046"/>
        <v>#DIV/0!</v>
      </c>
      <c r="PB317" s="55">
        <f>IF(Control!$C$61="T", IF(Control!$C$65="F", IF($AH$6-Control!$C$60&lt;0,0,1), IF(365+$AH$6-Control!$C$60&lt;0,0,1)),0)</f>
        <v>0</v>
      </c>
      <c r="PC317" s="55">
        <f ca="1">IF(Control!$C$65="F", IF($AH$6-$HF317&lt;0,0,1), IF(365+$AH$6-$HF317&lt;0,0,1))</f>
        <v>1</v>
      </c>
      <c r="PD317" s="444">
        <f>Control!$C$118</f>
        <v>1500</v>
      </c>
      <c r="PE317" s="180" t="e">
        <f t="shared" ca="1" si="1047"/>
        <v>#N/A</v>
      </c>
      <c r="PF317" s="445">
        <f t="shared" ca="1" si="1131"/>
        <v>0.71612369323045078</v>
      </c>
      <c r="PT317" s="186"/>
      <c r="PU317" s="186"/>
      <c r="PV317" s="94"/>
      <c r="PW317" s="94"/>
      <c r="PX317" s="94"/>
      <c r="PY317" s="94"/>
      <c r="PZ317" s="94"/>
      <c r="QA317" s="94"/>
      <c r="QB317" s="94"/>
      <c r="QC317" s="94"/>
      <c r="QD317" s="94"/>
      <c r="QE317" s="94"/>
      <c r="QF317" s="94"/>
      <c r="QG317" s="94"/>
      <c r="QH317" s="94"/>
      <c r="QI317" s="94"/>
      <c r="QJ317" s="94"/>
      <c r="QK317" s="94"/>
      <c r="QL317" s="94"/>
      <c r="QM317" s="94"/>
      <c r="QN317" s="94"/>
      <c r="QO317" s="94"/>
      <c r="QP317" s="94"/>
    </row>
    <row r="318" spans="1:458" s="2" customFormat="1" x14ac:dyDescent="0.2">
      <c r="A318" s="395">
        <v>9</v>
      </c>
      <c r="B318" s="396">
        <v>11</v>
      </c>
      <c r="C318" s="387">
        <f ca="1">Weather_data!$B317</f>
        <v>0</v>
      </c>
      <c r="D318" s="388">
        <f ca="1">Weather_data!$F317</f>
        <v>0</v>
      </c>
      <c r="E318" s="388">
        <f ca="1">Weather_data!$E317</f>
        <v>0</v>
      </c>
      <c r="F318" s="388">
        <f t="shared" ca="1" si="1048"/>
        <v>0</v>
      </c>
      <c r="G318" s="388">
        <f ca="1">AVERAGE($D318:$E318)+Control!$B$9</f>
        <v>0</v>
      </c>
      <c r="H318" s="388">
        <f ca="1">Weather_data!$G317</f>
        <v>0</v>
      </c>
      <c r="I318" s="388">
        <f ca="1">Weather_data!$I317</f>
        <v>0</v>
      </c>
      <c r="J318" s="388">
        <f ca="1">Weather_data!$H317</f>
        <v>0</v>
      </c>
      <c r="K318" s="389">
        <f ca="1">Weather_data!$D317</f>
        <v>0</v>
      </c>
      <c r="L318" s="388" t="e">
        <f t="shared" ca="1" si="1049"/>
        <v>#N/A</v>
      </c>
      <c r="M318" s="388" t="e">
        <f t="shared" ca="1" si="927"/>
        <v>#N/A</v>
      </c>
      <c r="N318" s="388">
        <f t="shared" ca="1" si="928"/>
        <v>-2.646262664035433E-15</v>
      </c>
      <c r="O318" s="388">
        <f t="shared" ca="1" si="1050"/>
        <v>2.646262664035433E-14</v>
      </c>
      <c r="P318" s="390">
        <v>3</v>
      </c>
      <c r="Q318" s="388">
        <f ca="1">MAX($G318-Control!$C$107,0)</f>
        <v>0</v>
      </c>
      <c r="R318" s="388">
        <f t="shared" ca="1" si="1051"/>
        <v>0</v>
      </c>
      <c r="S318" s="388">
        <f t="shared" ca="1" si="929"/>
        <v>0</v>
      </c>
      <c r="T318" s="388">
        <f t="shared" ca="1" si="930"/>
        <v>0</v>
      </c>
      <c r="U318" s="59">
        <f t="shared" ca="1" si="931"/>
        <v>0</v>
      </c>
      <c r="V318" s="391">
        <f ca="1">MAX(0,MIN(Control!$C$100-Control!$C$99,$G318-Control!$C$99)*Control!$C$63)</f>
        <v>0</v>
      </c>
      <c r="W318" s="388">
        <f t="shared" ca="1" si="1052"/>
        <v>0</v>
      </c>
      <c r="X318" s="388">
        <f t="shared" ca="1" si="1053"/>
        <v>0.6110000000000001</v>
      </c>
      <c r="Y318" s="388">
        <f t="shared" ca="1" si="932"/>
        <v>0</v>
      </c>
      <c r="Z318" s="388">
        <f t="shared" ca="1" si="1054"/>
        <v>0.61058800000000002</v>
      </c>
      <c r="AA318" s="388">
        <f t="shared" ca="1" si="933"/>
        <v>0.6018</v>
      </c>
      <c r="AB318" s="388">
        <f ca="1">101.3*EXP(-0.034*Control!$C$66/($G318+273))</f>
        <v>100.69623283836242</v>
      </c>
      <c r="AC318" s="392">
        <f t="shared" ca="1" si="934"/>
        <v>4.3460251046025113E-2</v>
      </c>
      <c r="AD318" s="392">
        <f t="shared" ca="1" si="935"/>
        <v>4.4450382862832649E-2</v>
      </c>
      <c r="AE318" s="388">
        <f t="shared" ca="1" si="936"/>
        <v>0</v>
      </c>
      <c r="AF318" s="388">
        <f ca="1">MAX(0,$G318-Control!$C$92)</f>
        <v>0</v>
      </c>
      <c r="AG318" s="393">
        <f t="shared" ca="1" si="937"/>
        <v>314</v>
      </c>
      <c r="AH318" s="389">
        <f t="shared" ca="1" si="938"/>
        <v>314</v>
      </c>
      <c r="AI318" s="388">
        <f t="shared" ca="1" si="1055"/>
        <v>-0.30771780479434574</v>
      </c>
      <c r="AJ318" s="388">
        <f ca="1">IF(Control!$C$60&lt;=0,$HH318,$HI318)</f>
        <v>1</v>
      </c>
      <c r="AK318" s="388">
        <f t="shared" ca="1" si="939"/>
        <v>4.0281242791233511</v>
      </c>
      <c r="AL318" s="388">
        <f t="shared" ca="1" si="940"/>
        <v>-1.4426789624044645E-17</v>
      </c>
      <c r="AM318" s="388">
        <f t="shared" ca="1" si="941"/>
        <v>4.0281242791233511</v>
      </c>
      <c r="AN318" s="388">
        <f t="shared" ca="1" si="942"/>
        <v>-0.31335171919352139</v>
      </c>
      <c r="AO318" s="388">
        <f ca="1">-0.10453/COS(Control!$B$8*PI()/180)*COS(AN318)</f>
        <v>-0.16151731788545842</v>
      </c>
      <c r="AP318" s="388">
        <f ca="1">ACOS(AO318-TAN(Control!$B$8*PI()/180)*TAN(AN318))</f>
        <v>1.3147905908248825</v>
      </c>
      <c r="AQ318" s="388">
        <f t="shared" ca="1" si="1056"/>
        <v>0</v>
      </c>
      <c r="AR318" s="394">
        <f t="shared" ca="1" si="943"/>
        <v>0</v>
      </c>
      <c r="AS318" s="436">
        <f ca="1">IF(Control!$B$18=2,(IF(OR($AH318=Control!$B$175,$AH318=Control!$B$176,$AH318=Control!$B$177,$AH318=Control!$B$178,$AH318=Control!$B$179,$AH318=Control!$B$180,$AH318=Control!$B$181,$AH318=Control!$B$182,$AH318=Control!$B$183,$AH318=Control!$B$184,$AH318=Control!$B$185),1,0)),0)</f>
        <v>0</v>
      </c>
      <c r="AT318" s="436">
        <f>IF(Control!$B$20=8,IF(AND($AH318&gt;=Control!$B$172,$AH318&lt;=Control!$B$173),1,0),0)</f>
        <v>0</v>
      </c>
      <c r="AU318" s="436">
        <f>IF(Control!$B$20=8,IF($AV317=1,1*$AT318,IF($AT318=1,$AU317+1,$AU317)),0)</f>
        <v>0</v>
      </c>
      <c r="AV318" s="436">
        <f>IF(Control!$B$20=8,IF($AU318&gt;=Control!$B$174,1,0),0)</f>
        <v>0</v>
      </c>
      <c r="AW318" s="436">
        <f ca="1">IF(AND(Control!$B$18=2,Control!$B$171=1), $AV318, $AS318)</f>
        <v>0</v>
      </c>
      <c r="AX318" s="436" t="e">
        <f ca="1">IF(AND(Control!$B$18=1,$EU318&gt;=Control!$B$19),-$AY318,IF(AND(Control!$B$18=2,$AW318=1,$EU318&gt;$DS318),-$AY318, IF(Control!$C$108=0,0, IF(Control!$C$108&lt;&gt;0,1))))</f>
        <v>#N/A</v>
      </c>
      <c r="AY318" s="436" t="e">
        <f t="shared" ca="1" si="1057"/>
        <v>#N/A</v>
      </c>
      <c r="AZ318" s="436" t="e">
        <f ca="1">IF(AND(Control!$B$18=1,$EB318&gt;Control!$B$19),$AZ317+1, IF(AND(Control!$B$18=2, $AW318=1, $EB318&gt;$DS318), $AZ317+1,$AZ317))</f>
        <v>#N/A</v>
      </c>
      <c r="BA318" s="587">
        <f>IF(Control!$C$81=0,1,IF($AH318&gt;=Control!$C$82,1,0))</f>
        <v>1</v>
      </c>
      <c r="BB318" s="140" t="e">
        <f ca="1">IF($BA318&gt;$BA317,Control!$C$83,IF($AW318&gt;0,$AW318*Control!$C$84,IF(AND(Control!$B$18=1,EN317&lt;&gt;0),Control!$C$84,0)))</f>
        <v>#N/A</v>
      </c>
      <c r="BC318" s="140" t="e">
        <f t="shared" ca="1" si="1058"/>
        <v>#N/A</v>
      </c>
      <c r="BD318" s="140" t="e">
        <f ca="1">BC318*IF(OR($G318&lt;Control!$C$92,$G318&gt;Control!$C$95),0,IF(AND($G318&gt;=Control!$C$92,$G318&lt;=Control!$C$93),$G318-Control!$C$92,IF(AND($G318&gt;Control!$C$93,$G318&lt;=Control!$C$94),Control!$C$93-Control!$C$92,IF(AND($G318&gt;Control!$C$94,$G318&lt;=Control!$C$95),(Control!$C$93-Control!$C$92)*(Control!$C$94-$G318)/(Control!$C$95-Control!$C$94)))))</f>
        <v>#N/A</v>
      </c>
      <c r="BE318" s="140" t="e">
        <f t="shared" ca="1" si="1059"/>
        <v>#N/A</v>
      </c>
      <c r="BF318" s="140" t="e">
        <f ca="1">IF($BE318&lt;=Control!$C$86,$BE318,Control!$C$86-$BE318)</f>
        <v>#N/A</v>
      </c>
      <c r="BG318" s="140" t="e">
        <f ca="1">IF(AND($AW318=1,Control!$C$84&lt;9),1,IF($BE318&gt;=Control!$C$86,0,$BC318))</f>
        <v>#N/A</v>
      </c>
      <c r="BH318" s="404" t="e">
        <f ca="1">IF($BG318=0,0,IF($BE318&lt;=Control!$C$86,$BC318*9*($BF318/Control!$C$86),0))</f>
        <v>#N/A</v>
      </c>
      <c r="BI318" s="140" t="e">
        <f ca="1">IF($BG318=1,0,IF($BE318&gt;=Control!$C$86,1,IF(AND($BB318&lt;21,$BB318&gt;=9),1,$BM317)))</f>
        <v>#N/A</v>
      </c>
      <c r="BJ318" s="140" t="e">
        <f ca="1">IF($BF318&lt;0,-$BF318,$BI318*IF(OR($G318&lt;Control!$C$92,$G318&gt;Control!$C$95),0,IF(AND($G318&gt;=Control!$C$92,$G318&lt;=Control!$C$93),$G318-Control!$C$92,IF(AND($G318&gt;Control!$C$93,$G318&lt;=Control!$C$94),Control!$C$93-Control!$C$92,IF(AND($G318&gt;Control!$C$94,$G318&lt;=Control!$C$95),(Control!$C$93-Control!$C$92)*(Control!$C$94-$G318)/(Control!$C$95-Control!$C$94))))))</f>
        <v>#N/A</v>
      </c>
      <c r="BK318" s="140" t="e">
        <f t="shared" ca="1" si="1060"/>
        <v>#N/A</v>
      </c>
      <c r="BL318" s="140" t="e">
        <f ca="1">IF($BK318&lt;=Control!$C$87,$BK318,Control!$C$87-$BK318)</f>
        <v>#N/A</v>
      </c>
      <c r="BM318" s="140" t="e">
        <f ca="1">IF(AND($BB318&gt;=9,$BB318&lt;21),1,IF($BK318&gt;=Control!$C$87,0,$BI318))</f>
        <v>#N/A</v>
      </c>
      <c r="BN318" s="404" t="e">
        <f ca="1">IF($BM318=0,0,IF($BK318&lt;=Control!$C$87,$BI318*(9+(21-9)*($BL318/Control!$C$87)),0))</f>
        <v>#N/A</v>
      </c>
      <c r="BO318" s="140" t="e">
        <f ca="1">IF($BM318=1,0,IF($BK318&gt;=Control!$C$87,1,IF(AND($BB318&lt;30,$BB318&gt;=21),1,$BS317)))</f>
        <v>#N/A</v>
      </c>
      <c r="BP318" s="140" t="e">
        <f ca="1">IF($BL318&lt;0,-$BL318,$BO318*IF(OR($G318&lt;Control!$C$92,$G318&gt;Control!$C$95),0,IF(AND($G318&gt;=Control!$C$92,$G318&lt;=Control!$C$93),$G318-Control!$C$92,IF(AND($G318&gt;Control!$C$93,$G318&lt;=Control!$C$94),Control!$C$93-Control!$C$92,IF(AND($G318&gt;Control!$C$94,$G318&lt;=Control!$C$95),(Control!$C$93-Control!$C$92)*(Control!$C$94-$G318)/(Control!$C$95-Control!$C$94))))))</f>
        <v>#N/A</v>
      </c>
      <c r="BQ318" s="140" t="e">
        <f t="shared" ca="1" si="944"/>
        <v>#N/A</v>
      </c>
      <c r="BR318" s="140" t="e">
        <f ca="1">IF($BQ318&lt;=Control!$C$88,$BQ318,Control!$C$88-$BQ318)</f>
        <v>#N/A</v>
      </c>
      <c r="BS318" s="140" t="e">
        <f ca="1">IF(AND($BB318&gt;=21,$BB318&lt;30),1,IF($BQ318&gt;=Control!$C$88,0,$BO318))</f>
        <v>#N/A</v>
      </c>
      <c r="BT318" s="404" t="e">
        <f ca="1">IF($BS318=0,0,IF($BQ318&lt;=Control!$C$88,$BO318*(21+(30-21)*(BR318/Control!$C$88)),0))</f>
        <v>#N/A</v>
      </c>
      <c r="BU318" s="140" t="e">
        <f ca="1">IF(BG318+BM318+BS318=1,0,IF(OR(AND($BB318&lt;60,$BB318&gt;=30),$BQ318&gt;=Control!$C$88),1*$BA318,$BY317))</f>
        <v>#N/A</v>
      </c>
      <c r="BV318" s="140" t="e">
        <f ca="1">IF($BR318&lt;0,-$BR318,$BU318*IF(OR($G318&lt;Control!$C$92,$G318&gt;Control!$C$95),0,IF(AND($G318&gt;=Control!$C$92,$G318&lt;=Control!$C$93),$G318-Control!$C$92,IF(AND($G318&gt;Control!$C$93,$G318&lt;=Control!$C$94),Control!$C$93-Control!$C$92,IF(AND($G318&gt;Control!$C$94,$G318&lt;=Control!$C$95),(Control!$C$93-Control!$C$92)*(Control!$C$94-$G318)/(Control!$C$95-Control!$C$94))))))</f>
        <v>#N/A</v>
      </c>
      <c r="BW318" s="140" t="e">
        <f t="shared" ca="1" si="945"/>
        <v>#N/A</v>
      </c>
      <c r="BX318" s="140" t="e">
        <f ca="1">IF($BW318&lt;=Control!$C$89,$BW318,Control!$C$89-$BW318)</f>
        <v>#N/A</v>
      </c>
      <c r="BY318" s="140" t="e">
        <f ca="1">IF(AND($AJ318&gt;=30,$AJ318&lt;60),1,IF($BW318&gt;=Control!$C$89,0,$BU318))</f>
        <v>#N/A</v>
      </c>
      <c r="BZ318" s="404" t="e">
        <f ca="1">IF($BY318=0,0,IF($BW318&lt;=Control!$C$89,$BU318*(30+(60-30)*(BX318/Control!$C$89)),0))</f>
        <v>#N/A</v>
      </c>
      <c r="CA318" s="140" t="e">
        <f ca="1">IF($BG318+$BM318+$BS318+$BY318=1,0,IF(OR(AND($BB318&lt;65,$BB318&gt;=60),$BW318&gt;=Control!$C$89),1*$BA318,$CE317))</f>
        <v>#N/A</v>
      </c>
      <c r="CB318" s="140" t="e">
        <f ca="1">IF($BX318&lt;0,-$BX318,$CA318*IF(OR($G318&lt;Control!$C$92,$G318&gt;Control!$C$95),0,IF(AND($G318&gt;=Control!$C$92,$G318&lt;=Control!$C$93),$G318-Control!$C$92,IF(AND($G318&gt;Control!$C$93,$G318&lt;=Control!$C$94),Control!$C$93-Control!$C$92,IF(AND($G318&gt;Control!$C$94,$G318&lt;=Control!$C$95),(Control!$C$93-Control!$C$92)*(Control!$C$94-$G318)/(Control!$C$95-Control!$C$94))))))</f>
        <v>#N/A</v>
      </c>
      <c r="CC318" s="140" t="e">
        <f t="shared" ca="1" si="1061"/>
        <v>#N/A</v>
      </c>
      <c r="CD318" s="140" t="e">
        <f ca="1">IF($CC318&lt;=Control!$C$90,$CC318,Control!$C$90-$CC318)</f>
        <v>#N/A</v>
      </c>
      <c r="CE318" s="140" t="e">
        <f ca="1">IF(AND($BB318&gt;=60,$BB318&lt;65),1,IF($CC318&gt;=Control!$C$90,0,$CA318))</f>
        <v>#N/A</v>
      </c>
      <c r="CF318" s="404" t="e">
        <f ca="1">IF($CE318=0,0,IF($CC318&lt;=Control!$C$90,$CA318*(60+(65-60)*(CD318/Control!$C$90)),0))</f>
        <v>#N/A</v>
      </c>
      <c r="CG318" s="140" t="e">
        <f ca="1">IF($BG318+$BM318+$BS318+$BY318+$CE318=1,0,IF(OR(AND($BB318&lt;90,$BB318&gt;=65),$CC318&gt;=Control!$C$90),$BA318,$CK317))</f>
        <v>#N/A</v>
      </c>
      <c r="CH318" s="140" t="e">
        <f ca="1">IF($CD318&lt;0,-$CD318,$CG318*IF(OR($G318&lt;Control!$C$92,$G318&gt;Control!$C$95),0,IF(AND($G318&gt;=Control!$C$92,$G318&lt;=Control!$C$93),$G318-Control!$C$92,IF(AND($G318&gt;Control!$C$93,$G318&lt;=Control!$C$94),Control!$C$93-Control!$C$92,IF(AND($G318&gt;Control!$C$94,$G318&lt;=Control!$C$95),(Control!$C$93-Control!$C$92)*(Control!$C$94-$G318)/(Control!$C$95-Control!$C$94))))))</f>
        <v>#N/A</v>
      </c>
      <c r="CI318" s="140" t="e">
        <f t="shared" ca="1" si="1062"/>
        <v>#N/A</v>
      </c>
      <c r="CJ318" s="140" t="e">
        <f ca="1">IF($CI318&lt;=Control!$C$91,$CI318,Control!$C$91-$CI318)</f>
        <v>#N/A</v>
      </c>
      <c r="CK318" s="140" t="e">
        <f ca="1">IF(AND($BB318&gt;=65,$BB318&lt;90),1,IF($CI318&gt;=Control!$C$91,0,$CG318))</f>
        <v>#N/A</v>
      </c>
      <c r="CL318" s="404" t="e">
        <f ca="1">IF($CK318=0,0,IF($CI318&lt;=Control!$C$91,$CG318*(65+(90-65)*($CJ318/Control!$C$91)),0))</f>
        <v>#N/A</v>
      </c>
      <c r="CM318" s="140" t="e">
        <f ca="1">IF($BG318+$BM318+$BS318+$BY318+$CE318+$CK318=1,0,IF(OR($BB318&gt;=90,$CI318&gt;=Control!$C$91),$BA318,$CM317))</f>
        <v>#N/A</v>
      </c>
      <c r="CN318" s="140" t="e">
        <f t="shared" ca="1" si="1063"/>
        <v>#N/A</v>
      </c>
      <c r="CO318" s="140" t="e">
        <f t="shared" ca="1" si="1064"/>
        <v>#N/A</v>
      </c>
      <c r="CP318" s="140" t="e">
        <f t="shared" ca="1" si="1065"/>
        <v>#N/A</v>
      </c>
      <c r="CQ318" s="141" t="e">
        <f ca="1">VLOOKUP($CP318,Control!$B$86:$G$91,6)</f>
        <v>#N/A</v>
      </c>
      <c r="CR318" s="141" t="e">
        <f ca="1">(1-$CQ318)*VLOOKUP($CP318,Control!$B$86:$D$91,3)</f>
        <v>#N/A</v>
      </c>
      <c r="CS318" s="141" t="e">
        <f ca="1">(1-$CQ318)*VLOOKUP($CP318,Control!$B$86:$E$91,4)</f>
        <v>#N/A</v>
      </c>
      <c r="CT318" s="141" t="e">
        <f ca="1">(1-$CQ318)*VLOOKUP($CP318,Control!$B$86:$F$91,5)</f>
        <v>#N/A</v>
      </c>
      <c r="CU318" s="141">
        <f t="shared" ca="1" si="1066"/>
        <v>0</v>
      </c>
      <c r="CV318" s="583">
        <f t="shared" ca="1" si="1067"/>
        <v>0</v>
      </c>
      <c r="CW318" s="142">
        <f t="shared" ca="1" si="1068"/>
        <v>314</v>
      </c>
      <c r="CX318" s="612" t="e">
        <f ca="1">IF(Control!$C$114=1,(MIN(Control!$C$120*(IF($NT318-0.01&lt;0,0,1)),Control!$C$119-$CY318)))</f>
        <v>#DIV/0!</v>
      </c>
      <c r="CY318" s="143" t="e">
        <f t="shared" ca="1" si="1069"/>
        <v>#N/A</v>
      </c>
      <c r="CZ318" s="144">
        <f t="shared" ca="1" si="946"/>
        <v>0</v>
      </c>
      <c r="DA318" s="144">
        <f t="shared" ca="1" si="947"/>
        <v>0</v>
      </c>
      <c r="DB318" s="144" t="e">
        <f t="shared" ca="1" si="948"/>
        <v>#N/A</v>
      </c>
      <c r="DC318" s="144" t="e">
        <f t="shared" ca="1" si="949"/>
        <v>#N/A</v>
      </c>
      <c r="DD318" s="144" t="e">
        <f t="shared" ca="1" si="1154"/>
        <v>#N/A</v>
      </c>
      <c r="DE318" s="143" t="e">
        <f t="shared" ca="1" si="1070"/>
        <v>#N/A</v>
      </c>
      <c r="DF318" s="145" t="e">
        <f ca="1">$DR318*EXP(-Control!$C$158*(1-$KH318))</f>
        <v>#N/A</v>
      </c>
      <c r="DG318" s="146" t="e">
        <f ca="1">IF(Control!$C$114=1, $DF318*$EY318, 0)</f>
        <v>#N/A</v>
      </c>
      <c r="DH318" s="147" t="e">
        <f t="shared" ca="1" si="1071"/>
        <v>#N/A</v>
      </c>
      <c r="DI318" s="144" t="e">
        <f t="shared" ca="1" si="1132"/>
        <v>#N/A</v>
      </c>
      <c r="DJ318" s="147" t="e">
        <f ca="1">$EF318*Control!$C$109</f>
        <v>#N/A</v>
      </c>
      <c r="DK318" s="144" t="e">
        <f t="shared" ca="1" si="1072"/>
        <v>#N/A</v>
      </c>
      <c r="DL318" s="144" t="e">
        <f t="shared" ca="1" si="950"/>
        <v>#N/A</v>
      </c>
      <c r="DM318" s="144" t="e">
        <f ca="1">IF(Control!$C$114=1, (1-EXP(-Control!$C$96*$DK318))*$AR318, 0)</f>
        <v>#N/A</v>
      </c>
      <c r="DN318" s="144">
        <f t="shared" ca="1" si="1073"/>
        <v>0</v>
      </c>
      <c r="DO318" s="148">
        <f>Control!$C$97</f>
        <v>4</v>
      </c>
      <c r="DP318" s="145" t="e">
        <f t="shared" ca="1" si="1074"/>
        <v>#N/A</v>
      </c>
      <c r="DQ318" s="145" t="e">
        <f ca="1">IF(AND($CP318&gt;=0,$CP318&lt;=90),Control!$C$111,Control!$C$111)</f>
        <v>#N/A</v>
      </c>
      <c r="DR318" s="145" t="e">
        <f t="shared" ca="1" si="951"/>
        <v>#N/A</v>
      </c>
      <c r="DS318" s="143" t="e">
        <f ca="1">Control!$B$22/$DR318</f>
        <v>#N/A</v>
      </c>
      <c r="DT318" s="149" t="e">
        <f ca="1">IF(AND(Control!$C$114=1,$KH318&lt;1),$IM318*$DF318, 0)</f>
        <v>#N/A</v>
      </c>
      <c r="DU318" s="144" t="e">
        <f t="shared" ca="1" si="1075"/>
        <v>#N/A</v>
      </c>
      <c r="DV318" s="144">
        <f ca="1">IF($G318-Control!$C$107&lt;=0, 0, 0.83*LN(MAX($G318, 3))-0.8924)</f>
        <v>0</v>
      </c>
      <c r="DW318" s="144" t="e">
        <f t="shared" ca="1" si="952"/>
        <v>#N/A</v>
      </c>
      <c r="DX318" s="150" t="e">
        <f ca="1">MAX(0.01*(1+$CU318/Control!$C$102),0.05*($DK318-Control!$C$97)/Control!$C$97)</f>
        <v>#N/A</v>
      </c>
      <c r="DY318" s="151" t="e">
        <f ca="1">IF(Control!$C$114=1, $DI318*$FS318, 0)</f>
        <v>#N/A</v>
      </c>
      <c r="DZ318" s="196" t="e">
        <f t="shared" ca="1" si="1076"/>
        <v>#N/A</v>
      </c>
      <c r="EA318" s="152">
        <f t="shared" ca="1" si="1077"/>
        <v>314</v>
      </c>
      <c r="EB318" s="153" t="e">
        <f t="shared" ca="1" si="1078"/>
        <v>#N/A</v>
      </c>
      <c r="EC318" s="153" t="e">
        <f t="shared" ca="1" si="1079"/>
        <v>#N/A</v>
      </c>
      <c r="ED318" s="154" t="e">
        <f ca="1">IF(Control!$C$114=1, $HM318*$FY318-$FD318, 0)</f>
        <v>#DIV/0!</v>
      </c>
      <c r="EE318" s="155" t="e">
        <f ca="1">IF(Control!$C$114=1, $HM318*$FZ318-$FF318, 0)</f>
        <v>#DIV/0!</v>
      </c>
      <c r="EF318" s="153" t="e">
        <f t="shared" ca="1" si="1133"/>
        <v>#N/A</v>
      </c>
      <c r="EG318" s="155" t="e">
        <f ca="1">IF(Control!$C$114=1, $GX318*$FW318-$FI318, 0)</f>
        <v>#DIV/0!</v>
      </c>
      <c r="EH318" s="153" t="e">
        <f t="shared" ca="1" si="1080"/>
        <v>#N/A</v>
      </c>
      <c r="EI318" s="156" t="e">
        <f t="shared" ca="1" si="1081"/>
        <v>#N/A</v>
      </c>
      <c r="EJ318" s="155" t="e">
        <f ca="1">IF(Control!$C$114=1, $HM318*$GB318, 0)</f>
        <v>#DIV/0!</v>
      </c>
      <c r="EK318" s="153" t="e">
        <f t="shared" ca="1" si="1134"/>
        <v>#N/A</v>
      </c>
      <c r="EL318" s="153" t="e">
        <f t="shared" ca="1" si="953"/>
        <v>#N/A</v>
      </c>
      <c r="EM318" s="153" t="e">
        <f t="shared" ca="1" si="954"/>
        <v>#N/A</v>
      </c>
      <c r="EN318" s="153" t="e">
        <f ca="1">IF(Control!$C$108=1,IF(AND(Control!$B$18=1,$EB318&gt;=Control!$B$19),$EB318-$DS318,IF(AND(Control!$B$18=2,$AW318=1,$EB318&gt;$DS318),$EB318-$DS318,0)))</f>
        <v>#N/A</v>
      </c>
      <c r="EO318" s="153" t="e">
        <f ca="1">IF(Control!$C$108=1,IF(AND(Control!$B$18=1,$EB318&gt;=Control!$B$19),$EF318,IF(AND(Control!$B$18=2,$AW318=1),$EF318,0)))</f>
        <v>#N/A</v>
      </c>
      <c r="EP318" s="153" t="e">
        <f ca="1">IF(Control!$C$108=1,IF(AND(Control!$B$18=1,$EB318&gt;=Control!$B$19),$EK318,IF(AND(Control!$B$18=2,$AW318=1),$EK318,0)))</f>
        <v>#N/A</v>
      </c>
      <c r="EQ318" s="153" t="e">
        <f t="shared" ca="1" si="1082"/>
        <v>#N/A</v>
      </c>
      <c r="ER318" s="153" t="e">
        <f t="shared" ca="1" si="1083"/>
        <v>#N/A</v>
      </c>
      <c r="ES318" s="153" t="e">
        <f t="shared" ca="1" si="1135"/>
        <v>#N/A</v>
      </c>
      <c r="ET318" s="153" t="e">
        <f t="shared" ca="1" si="1136"/>
        <v>#N/A</v>
      </c>
      <c r="EU318" s="153" t="e">
        <f t="shared" ca="1" si="1084"/>
        <v>#N/A</v>
      </c>
      <c r="EV318" s="153" t="e">
        <f t="shared" ca="1" si="955"/>
        <v>#N/A</v>
      </c>
      <c r="EW318" s="153" t="e">
        <f t="shared" ca="1" si="956"/>
        <v>#N/A</v>
      </c>
      <c r="EX318" s="153" t="e">
        <f t="shared" ca="1" si="957"/>
        <v>#N/A</v>
      </c>
      <c r="EY318" s="157" t="e">
        <f t="shared" ca="1" si="958"/>
        <v>#DIV/0!</v>
      </c>
      <c r="EZ318" s="154" t="e">
        <f t="shared" ca="1" si="959"/>
        <v>#DIV/0!</v>
      </c>
      <c r="FA318" s="153" t="e">
        <f t="shared" ca="1" si="1085"/>
        <v>#N/A</v>
      </c>
      <c r="FB318" s="153" t="e">
        <f t="shared" ca="1" si="960"/>
        <v>#N/A</v>
      </c>
      <c r="FC318" s="193" t="e">
        <f t="shared" ca="1" si="961"/>
        <v>#N/A</v>
      </c>
      <c r="FD318" s="158" t="e">
        <f t="shared" ca="1" si="1086"/>
        <v>#N/A</v>
      </c>
      <c r="FE318" s="158" t="e">
        <f t="shared" ca="1" si="1087"/>
        <v>#N/A</v>
      </c>
      <c r="FF318" s="159" t="e">
        <f t="shared" ca="1" si="962"/>
        <v>#N/A</v>
      </c>
      <c r="FG318" s="160" t="e">
        <f t="shared" ca="1" si="1088"/>
        <v>#N/A</v>
      </c>
      <c r="FH318" s="158" t="e">
        <f t="shared" ca="1" si="1089"/>
        <v>#N/A</v>
      </c>
      <c r="FI318" s="159" t="e">
        <f t="shared" ca="1" si="963"/>
        <v>#N/A</v>
      </c>
      <c r="FJ318" s="160" t="e">
        <f t="shared" ca="1" si="1090"/>
        <v>#N/A</v>
      </c>
      <c r="FK318" s="160" t="e">
        <f t="shared" ca="1" si="964"/>
        <v>#N/A</v>
      </c>
      <c r="FL318" s="160" t="e">
        <f t="shared" ca="1" si="1137"/>
        <v>#N/A</v>
      </c>
      <c r="FM318" s="160" t="e">
        <f t="shared" ca="1" si="965"/>
        <v>#N/A</v>
      </c>
      <c r="FN318" s="158">
        <f t="shared" ca="1" si="1091"/>
        <v>0.01</v>
      </c>
      <c r="FO318" s="160">
        <f>Control!$C$101</f>
        <v>50</v>
      </c>
      <c r="FP318" s="150" t="e">
        <f t="shared" ca="1" si="966"/>
        <v>#N/A</v>
      </c>
      <c r="FQ318" s="150" t="e">
        <f ca="1">MAX(0,(Control!$C$112*(($DK318-Control!$C$97)/Control!$C$97)))</f>
        <v>#N/A</v>
      </c>
      <c r="FR318" s="150" t="e">
        <f ca="1">(1-$NT318)*Control!$C$113</f>
        <v>#DIV/0!</v>
      </c>
      <c r="FS318" s="198" t="e">
        <f t="shared" ca="1" si="967"/>
        <v>#N/A</v>
      </c>
      <c r="FT318" s="161">
        <f t="shared" ca="1" si="1092"/>
        <v>314</v>
      </c>
      <c r="FU318" s="162" t="e">
        <f ca="1">IF(Control!$B$34=1,VLOOKUP($CP318,Control!$B$86:$G$91,6),Control!$B$35)</f>
        <v>#N/A</v>
      </c>
      <c r="FV318" s="162" t="e">
        <f t="shared" ca="1" si="968"/>
        <v>#DIV/0!</v>
      </c>
      <c r="FW318" s="162" t="e">
        <f ca="1">IF(Control!$B$31=1,$FU318*$FV318,  $FU318)</f>
        <v>#N/A</v>
      </c>
      <c r="FX318" s="162" t="e">
        <f ca="1">IF(Control!$B$34=1,VLOOKUP($CP318,Control!$B$86:$G$91,3),Control!$B$36)</f>
        <v>#N/A</v>
      </c>
      <c r="FY318" s="162" t="e">
        <f t="shared" ca="1" si="969"/>
        <v>#N/A</v>
      </c>
      <c r="FZ318" s="162" t="e">
        <f ca="1">IF(Control!$B$34=1,VLOOKUP($CP318,Control!$B$86:$G$91,4),Control!$B$37)</f>
        <v>#N/A</v>
      </c>
      <c r="GA318" s="162" t="e">
        <f t="shared" ca="1" si="970"/>
        <v>#N/A</v>
      </c>
      <c r="GB318" s="162" t="e">
        <f ca="1">IF(Control!$B$34=1,VLOOKUP($CP318,Control!$B$86:$G$91,5),Control!$B$38)</f>
        <v>#N/A</v>
      </c>
      <c r="GC318" s="162" t="e">
        <f t="shared" ca="1" si="1093"/>
        <v>#N/A</v>
      </c>
      <c r="GD318" s="162">
        <f t="shared" ca="1" si="971"/>
        <v>1</v>
      </c>
      <c r="GE318" s="162">
        <f t="shared" ca="1" si="972"/>
        <v>1</v>
      </c>
      <c r="GF318" s="162">
        <f ca="1">IF(AND(Control!$C$104=1, Control!$C$62="F"),$GE318,1)</f>
        <v>1</v>
      </c>
      <c r="GG318" s="162" t="e">
        <f ca="1">IF(Control!$B$16=40,0,IF(AND(Control!$B$16&gt;40,Control!$B$16&lt;=360),(Control!$B$16-40)*((1-0)/(360-40)),IF(AND(Control!$B$16&gt;360,Control!$B$16&lt;=720),(1+(Control!$B$16-360)*((1.25-1)/(720-360))),IF(AND(Control!$B$16&gt;720,Control!$B$16&lt;=1000),(1.25+(Control!$B$16-720)*((1.35-1.25)/(1000-720))),IF(AND(Control!$B$16&gt;1000,Control!$B$16&lt;=2000),(1.35+(Control!$B$16-1000)*0))))))</f>
        <v>#N/A</v>
      </c>
      <c r="GH318" s="162" t="e">
        <f t="shared" ca="1" si="973"/>
        <v>#N/A</v>
      </c>
      <c r="GI318" s="162">
        <f t="shared" ca="1" si="1094"/>
        <v>0</v>
      </c>
      <c r="GJ318" s="162">
        <f t="shared" ca="1" si="974"/>
        <v>0</v>
      </c>
      <c r="GK318" s="162">
        <f t="shared" ca="1" si="1095"/>
        <v>1</v>
      </c>
      <c r="GL318" s="162">
        <f t="shared" ca="1" si="975"/>
        <v>1</v>
      </c>
      <c r="GM318" s="162" t="e">
        <f ca="1">MAX(0,MIN(1,1-Control!$C$156*(1.0001-$KH318)^2))</f>
        <v>#N/A</v>
      </c>
      <c r="GN318" s="162" t="e">
        <f ca="1">IF(Control!$B$26=1,$KU318,$KX318)</f>
        <v>#N/A</v>
      </c>
      <c r="GO318" s="162" t="e">
        <f ca="1">IF($CP318&lt;=60,Control!$C$105,IF($CP318&gt;=90,Control!$C$106,Control!$C$105+($CP318-60)*((Control!$C$106-Control!$C$105)/(90-60))))</f>
        <v>#N/A</v>
      </c>
      <c r="GP318" s="162" t="e">
        <f t="shared" ca="1" si="976"/>
        <v>#N/A</v>
      </c>
      <c r="GQ318" s="162" t="e">
        <f t="shared" ca="1" si="1096"/>
        <v>#N/A</v>
      </c>
      <c r="GR318" s="163" t="e">
        <f t="shared" ca="1" si="977"/>
        <v>#DIV/0!</v>
      </c>
      <c r="GS318" s="162" t="e">
        <f t="shared" ca="1" si="978"/>
        <v>#DIV/0!</v>
      </c>
      <c r="GT318" s="164" t="e">
        <f t="shared" ca="1" si="1097"/>
        <v>#N/A</v>
      </c>
      <c r="GU318" s="162" t="e">
        <f t="shared" ca="1" si="1098"/>
        <v>#N/A</v>
      </c>
      <c r="GV318" s="162" t="e">
        <f t="shared" ca="1" si="979"/>
        <v>#N/A</v>
      </c>
      <c r="GW318" s="162" t="e">
        <f t="shared" ca="1" si="980"/>
        <v>#DIV/0!</v>
      </c>
      <c r="GX318" s="162" t="e">
        <f t="shared" ca="1" si="1099"/>
        <v>#DIV/0!</v>
      </c>
      <c r="GY318" s="162" t="e">
        <f t="shared" ca="1" si="1100"/>
        <v>#DIV/0!</v>
      </c>
      <c r="GZ318" s="165" t="e">
        <f t="shared" ca="1" si="981"/>
        <v>#N/A</v>
      </c>
      <c r="HA318" s="162" t="e">
        <f ca="1">IF(Control!$C$114=1, $DI318*$FS318, 0)</f>
        <v>#N/A</v>
      </c>
      <c r="HB318" s="162" t="e">
        <f ca="1">$FA318/Control!$C$64</f>
        <v>#N/A</v>
      </c>
      <c r="HC318" s="162" t="e">
        <f t="shared" ca="1" si="982"/>
        <v>#DIV/0!</v>
      </c>
      <c r="HD318" s="162">
        <f ca="1">-ASIN(SIN(23.45*Control!$C$139)*COS(2*Control!$C$138*($AH318+10)/365))</f>
        <v>-0.30771780479434574</v>
      </c>
      <c r="HE318" s="165">
        <f t="shared" ca="1" si="1101"/>
        <v>0</v>
      </c>
      <c r="HF318" s="166">
        <f ca="1">IF(AND(Control!$C$61="T",$HE318&gt;=Control!$C$103,Control!$C$114=0),$AH318,Control!$C$59)</f>
        <v>1</v>
      </c>
      <c r="HG318" s="166">
        <f ca="1">IF(AND(Control!$C$61="T",$HE318&gt;=Control!$C$103,Control!$C$114=0),$HF318,Control!$C$59)</f>
        <v>1</v>
      </c>
      <c r="HH318" s="165">
        <f ca="1">IF(AND(OR(Control!$C$60&lt;=0, $AH318= Control!$C$59, Control!$C$60 &gt;0, $AH318 = Control!$C$60)), Control!$C$59, IF(Control!$C$60&gt;0, 0))</f>
        <v>1</v>
      </c>
      <c r="HI318" s="165">
        <f ca="1">IF(AND(OR(Control!$C$60&lt;=0, $AH318= Control!$C$59, Control!$C$60 &gt;0, $AH318 = Control!$C$60)), Control!$C$60, IF(Control!$C$60&lt;=0, 0))</f>
        <v>0</v>
      </c>
      <c r="HJ318" s="166">
        <f ca="1">IF(AND(Control!$C$62="F",$CV318&gt;=Control!$C$102),$AH318,0)</f>
        <v>0</v>
      </c>
      <c r="HK318" s="165" t="e">
        <f t="shared" ca="1" si="1138"/>
        <v>#N/A</v>
      </c>
      <c r="HL318" s="166">
        <f ca="1">IF(AND(Control!$C$61="T",$HE318&gt;=Control!$C$103,Control!$C$114=0),$HF318,0)</f>
        <v>0</v>
      </c>
      <c r="HM318" s="201" t="e">
        <f t="shared" ca="1" si="983"/>
        <v>#DIV/0!</v>
      </c>
      <c r="HN318" s="215">
        <f t="shared" ca="1" si="1102"/>
        <v>314</v>
      </c>
      <c r="HO318" s="216" t="e">
        <f ca="1">IF(AND($CP318&gt;=0, $CP318&lt;=90), Control!$C$152, Control!$C$152)</f>
        <v>#N/A</v>
      </c>
      <c r="HP318" s="216" t="e">
        <f t="shared" ca="1" si="984"/>
        <v>#N/A</v>
      </c>
      <c r="HQ318" s="217" t="e">
        <f ca="1">IF(OR(Control!$B$26=1,Control!$B$26=2),$KV318,$KS318)</f>
        <v>#DIV/0!</v>
      </c>
      <c r="HR318" s="218" t="e">
        <f t="shared" ca="1" si="1139"/>
        <v>#DIV/0!</v>
      </c>
      <c r="HS318" s="216" t="e">
        <f ca="1">Control!$C$154*$HP318</f>
        <v>#N/A</v>
      </c>
      <c r="HT318" s="216" t="e">
        <f ca="1">Control!$C$155*$HP318</f>
        <v>#N/A</v>
      </c>
      <c r="HU318" s="217" t="e">
        <f ca="1">Control!$C$161*$FI318</f>
        <v>#N/A</v>
      </c>
      <c r="HV318" s="218" t="e">
        <f t="shared" ca="1" si="1103"/>
        <v>#N/A</v>
      </c>
      <c r="HW318" s="218" t="e">
        <f ca="1">Control!$C$160*$FF318+$IP318*$EO318</f>
        <v>#N/A</v>
      </c>
      <c r="HX318" s="218" t="e">
        <f t="shared" ca="1" si="1140"/>
        <v>#N/A</v>
      </c>
      <c r="HY318" s="219" t="e">
        <f ca="1">IF(Control!$C$114=1, $EB318*$FS318, 0)</f>
        <v>#N/A</v>
      </c>
      <c r="HZ318" s="91" t="e">
        <f t="shared" ca="1" si="985"/>
        <v>#N/A</v>
      </c>
      <c r="IA318" s="220" t="e">
        <f ca="1">Control!$C$153*$HO318</f>
        <v>#N/A</v>
      </c>
      <c r="IB318" s="218" t="e">
        <f t="shared" ca="1" si="986"/>
        <v>#N/A</v>
      </c>
      <c r="IC318" s="220" t="e">
        <f ca="1">Control!$C$153*$HT318</f>
        <v>#N/A</v>
      </c>
      <c r="ID318" s="218" t="e">
        <f t="shared" ca="1" si="987"/>
        <v>#N/A</v>
      </c>
      <c r="IE318" s="221" t="e">
        <f ca="1">($EB318*Control!$C$159+$EF318*Control!$C$160)/(IF($GZ318&lt;&gt;0,$GZ318,1))</f>
        <v>#N/A</v>
      </c>
      <c r="IF318" s="216" t="e">
        <f t="shared" ca="1" si="988"/>
        <v>#N/A</v>
      </c>
      <c r="IG318" s="91">
        <f ca="1">IF(OR(Control!$B$198=$AH318,Control!$B$199=$AH318, Control!$B$200=$AH318, Control!$B$201=$AH318, Control!$B$202=$AH318, Control!$B$203=$AH318, Control!$B$204=$AH318, Control!$B$205=$AH318, Control!$B$206=$AH318, Control!$B$207=$AH318), 1, 0)</f>
        <v>0</v>
      </c>
      <c r="IH318" s="91">
        <f ca="1">IF($IG318=0,0, VLOOKUP($AH318,Control!$B$198:$C$207,2))</f>
        <v>0</v>
      </c>
      <c r="II318" s="222">
        <f t="shared" ca="1" si="1104"/>
        <v>0</v>
      </c>
      <c r="IJ318" s="91">
        <f>Control!$C$121</f>
        <v>0.7</v>
      </c>
      <c r="IK318" s="218">
        <f t="shared" ca="1" si="989"/>
        <v>0</v>
      </c>
      <c r="IL318" s="217" t="e">
        <f t="shared" ca="1" si="1141"/>
        <v>#N/A</v>
      </c>
      <c r="IM318" s="223" t="e">
        <f ca="1">IF(AND(Control!$C$114=1,$KH318&lt;1),$EB318*Control!$C$148*(1-$KH318), 0)</f>
        <v>#N/A</v>
      </c>
      <c r="IN318" s="217" t="e">
        <f t="shared" ca="1" si="990"/>
        <v>#DIV/0!</v>
      </c>
      <c r="IO318" s="91" t="e">
        <f ca="1">MAX(0,$IL318-$EF318*Control!$C$160)</f>
        <v>#N/A</v>
      </c>
      <c r="IP318" s="220" t="e">
        <f t="shared" ca="1" si="991"/>
        <v>#N/A</v>
      </c>
      <c r="IQ318" s="217" t="e">
        <f t="shared" ca="1" si="1105"/>
        <v>#N/A</v>
      </c>
      <c r="IR318" s="218" t="e">
        <f t="shared" ca="1" si="992"/>
        <v>#N/A</v>
      </c>
      <c r="IS318" s="217" t="e">
        <f ca="1">Control!$C$159*MAX(0,$FD318-$EN318)</f>
        <v>#N/A</v>
      </c>
      <c r="IT318" s="217" t="e">
        <f t="shared" ca="1" si="1142"/>
        <v>#N/A</v>
      </c>
      <c r="IU318" s="217" t="e">
        <f t="shared" ca="1" si="1106"/>
        <v>#N/A</v>
      </c>
      <c r="IV318" s="217" t="e">
        <f t="shared" ca="1" si="1143"/>
        <v>#N/A</v>
      </c>
      <c r="IW318" s="217" t="e">
        <f ca="1">IF(OR($AW318=1,AND($AW318=0, Control!$B$18=1,$EN318&lt;&gt;0)), $IQ318-$IU318, $IQ318)</f>
        <v>#N/A</v>
      </c>
      <c r="IX318" s="218" t="e">
        <f t="shared" ca="1" si="993"/>
        <v>#N/A</v>
      </c>
      <c r="IY318" s="218" t="e">
        <f ca="1">MAX(0,$IQ318-$EB318*Control!$C$159)</f>
        <v>#N/A</v>
      </c>
      <c r="IZ318" s="218" t="e">
        <f t="shared" ca="1" si="994"/>
        <v>#N/A</v>
      </c>
      <c r="JA318" s="216" t="e">
        <f t="shared" ca="1" si="995"/>
        <v>#N/A</v>
      </c>
      <c r="JB318" s="217" t="e">
        <f t="shared" ca="1" si="996"/>
        <v>#N/A</v>
      </c>
      <c r="JC318" s="222" t="e">
        <f ca="1">MAX(Control!$C$157*$EK318-$JT318, 0)/Control!$C$162</f>
        <v>#N/A</v>
      </c>
      <c r="JD318" s="218" t="e">
        <f t="shared" ca="1" si="997"/>
        <v>#N/A</v>
      </c>
      <c r="JE318" s="218" t="e">
        <f t="shared" ca="1" si="998"/>
        <v>#N/A</v>
      </c>
      <c r="JF318" s="218" t="e">
        <f t="shared" ca="1" si="1107"/>
        <v>#N/A</v>
      </c>
      <c r="JG318" s="218" t="e">
        <f t="shared" ca="1" si="999"/>
        <v>#N/A</v>
      </c>
      <c r="JH318" s="217" t="e">
        <f t="shared" ca="1" si="1108"/>
        <v>#N/A</v>
      </c>
      <c r="JI318" s="217" t="e">
        <f t="shared" ca="1" si="1109"/>
        <v>#N/A</v>
      </c>
      <c r="JJ318" s="217" t="e">
        <f t="shared" ca="1" si="1144"/>
        <v>#N/A</v>
      </c>
      <c r="JK318" s="217" t="e">
        <f ca="1">IF(Control!$C$114=1,IF(Control!$B$24=0,MAX(0,$JI318)*$GN318/Control!$C$64,(MAX(0,MIN($JI318,$JJ318*$GN318/Control!$C$64),0))))</f>
        <v>#N/A</v>
      </c>
      <c r="JL318" s="217" t="e">
        <f ca="1">$IK318/Control!$C$64-$JK318+$HQ318</f>
        <v>#N/A</v>
      </c>
      <c r="JM318" s="217" t="e">
        <f ca="1">IF(Control!$C$114=1,($JB318/(IF($JI318&lt;&gt;0,$JI318,1)))*$JK318,0)</f>
        <v>#N/A</v>
      </c>
      <c r="JN318" s="217" t="e">
        <f ca="1">IF(Control!$C$114=1,($JG318/(IF($JI318&lt;&gt;0,$JI318,1)))*$JK318, 0)</f>
        <v>#N/A</v>
      </c>
      <c r="JO318" s="218" t="e">
        <f t="shared" ca="1" si="1000"/>
        <v>#N/A</v>
      </c>
      <c r="JP318" s="218" t="e">
        <f ca="1">MIN(($IY318+$IO318)*Control!$C$151, $JF318-$EH318*Control!$C$161)</f>
        <v>#N/A</v>
      </c>
      <c r="JQ318" s="218" t="e">
        <f t="shared" ca="1" si="1001"/>
        <v>#N/A</v>
      </c>
      <c r="JR318" s="217" t="e">
        <f ca="1">IF($CP318-Control!$C$150&lt;0, 0, $JQ318/Control!$C$162)</f>
        <v>#N/A</v>
      </c>
      <c r="JS318" s="218" t="e">
        <f t="shared" ca="1" si="1002"/>
        <v>#N/A</v>
      </c>
      <c r="JT318" s="218" t="e">
        <f t="shared" ca="1" si="1110"/>
        <v>#N/A</v>
      </c>
      <c r="JU318" s="218" t="e">
        <f t="shared" ca="1" si="1003"/>
        <v>#N/A</v>
      </c>
      <c r="JV318" s="218" t="e">
        <f t="shared" ca="1" si="1004"/>
        <v>#N/A</v>
      </c>
      <c r="JW318" s="216" t="e">
        <f t="shared" ca="1" si="1005"/>
        <v>#N/A</v>
      </c>
      <c r="JX318" s="91" t="e">
        <f t="shared" ca="1" si="1006"/>
        <v>#N/A</v>
      </c>
      <c r="JY318" s="218" t="e">
        <f t="shared" ca="1" si="1007"/>
        <v>#N/A</v>
      </c>
      <c r="JZ318" s="217" t="e">
        <f ca="1">IF(Control!$C$114=1,($IZ318/(IF($JI318&lt;&gt;0,$JI318,1)))*$JK318, 0)</f>
        <v>#N/A</v>
      </c>
      <c r="KA318" s="218" t="e">
        <f t="shared" ca="1" si="1145"/>
        <v>#N/A</v>
      </c>
      <c r="KB318" s="218" t="e">
        <f t="shared" ca="1" si="1111"/>
        <v>#N/A</v>
      </c>
      <c r="KC318" s="218" t="e">
        <f t="shared" ca="1" si="1008"/>
        <v>#N/A</v>
      </c>
      <c r="KD318" s="218" t="e">
        <f t="shared" ca="1" si="1009"/>
        <v>#N/A</v>
      </c>
      <c r="KE318" s="218" t="e">
        <f t="shared" ca="1" si="1010"/>
        <v>#N/A</v>
      </c>
      <c r="KF318" s="218" t="e">
        <f t="shared" ca="1" si="1011"/>
        <v>#N/A</v>
      </c>
      <c r="KG318" s="216" t="e">
        <f t="shared" ca="1" si="1012"/>
        <v>#N/A</v>
      </c>
      <c r="KH318" s="221" t="e">
        <f ca="1">IF(Control!$B$24=0,1,MAX(0.001,MIN(1,IF(($IF318-$IE318)&lt;&gt;0,($KG318-$IE318)/($IF318-$IE318),1))))</f>
        <v>#N/A</v>
      </c>
      <c r="KI318" s="222" t="e">
        <f ca="1">IF(Control!$C$114=1, $KI317+ $KH317, 0)</f>
        <v>#N/A</v>
      </c>
      <c r="KJ318" s="217" t="e">
        <f t="shared" ca="1" si="1013"/>
        <v>#N/A</v>
      </c>
      <c r="KK318" s="218" t="e">
        <f t="shared" ca="1" si="1014"/>
        <v>#N/A</v>
      </c>
      <c r="KL318" s="274" t="e">
        <f ca="1">IF(Control!$B$26=3,4000000000*EXP(-8400/($G318+273)),IF(Control!$B$26=4,4000000000*EXP(-8400/($G318+273))*($KT318),0))</f>
        <v>#DIV/0!</v>
      </c>
      <c r="KM318" s="274" t="e">
        <f ca="1">IF(Control!$B$26=3,5600000000000*EXP(-9800/($G318+273)),IF(Control!$B$26=4,5600000000000*EXP(-9800/($G318+273))*$KT318,0))</f>
        <v>#DIV/0!</v>
      </c>
      <c r="KN318" s="454" t="e">
        <f t="shared" ca="1" si="1112"/>
        <v>#DIV/0!</v>
      </c>
      <c r="KO318" s="274" t="e">
        <f t="shared" ca="1" si="1113"/>
        <v>#DIV/0!</v>
      </c>
      <c r="KP318" s="454" t="e">
        <f t="shared" ca="1" si="1015"/>
        <v>#DIV/0!</v>
      </c>
      <c r="KQ318" s="454" t="e">
        <f t="shared" ca="1" si="1016"/>
        <v>#DIV/0!</v>
      </c>
      <c r="KR318" s="454" t="e">
        <f t="shared" ca="1" si="1017"/>
        <v>#DIV/0!</v>
      </c>
      <c r="KS318" s="454" t="e">
        <f t="shared" ca="1" si="1018"/>
        <v>#DIV/0!</v>
      </c>
      <c r="KT318" s="455" t="e">
        <f t="shared" ca="1" si="1019"/>
        <v>#DIV/0!</v>
      </c>
      <c r="KU318" s="456" t="e">
        <f ca="1">IF($CP318-Control!$C$149&lt;0, IF($NT318-0.01&lt;0,0,1),0)</f>
        <v>#N/A</v>
      </c>
      <c r="KV318" s="456" t="e">
        <f ca="1">IF(Control!$C$114=1,MAX(0,MIN(Control!$C$125*$KW318*$GN318,$KW318)))</f>
        <v>#DIV/0!</v>
      </c>
      <c r="KW318" s="456" t="e">
        <f t="shared" ca="1" si="1146"/>
        <v>#DIV/0!</v>
      </c>
      <c r="KX318" s="457" t="e">
        <f ca="1">IF($CP318-Control!$C$149&lt;0, IF($MR318-$OM318&lt;0,0,1),0)</f>
        <v>#N/A</v>
      </c>
      <c r="KY318" s="167">
        <f t="shared" ca="1" si="1114"/>
        <v>314</v>
      </c>
      <c r="KZ318" s="168">
        <f ca="1">1370*(1+0.033*COS(2*Control!$C$138*$AH318/365))</f>
        <v>1398.8783010489474</v>
      </c>
      <c r="LA318" s="169">
        <f t="shared" ca="1" si="1115"/>
        <v>1.0210787309277003</v>
      </c>
      <c r="LB318" s="169">
        <f t="shared" ca="1" si="1116"/>
        <v>-0.31357584109021086</v>
      </c>
      <c r="LC318" s="169">
        <f ca="1">ACOS(-TAN((2*Control!$B$8/360))*TAN(Calculations!$LB318))</f>
        <v>1.4742710206160983</v>
      </c>
      <c r="LD318" s="169">
        <f ca="1">((24*60)/PI())*0.082*$LA318*(($LC318*SIN(Control!$B$8*2*PI()/360))*SIN($LB318)+COS(Control!$B$8*2*PI()/360)*COS($LB318)*SIN($LC318))</f>
        <v>8.6182482543347891</v>
      </c>
      <c r="LE318" s="170">
        <f t="shared" ca="1" si="1020"/>
        <v>9.9431138942938304</v>
      </c>
      <c r="LF318" s="170">
        <f ca="1">SIN(Control!$C$139*Control!$B$8)*SIN($HD318)</f>
        <v>-0.23867658588943375</v>
      </c>
      <c r="LG318" s="170">
        <f ca="1">COS(Control!$C$139*Control!$B$8)*COS($HD318)</f>
        <v>0.58674059512983801</v>
      </c>
      <c r="LH318" s="170">
        <f ca="1">12*(1+2*ASIN(MAX(-1,MIN(1,$LF318/$LG318))/Control!$C$138))</f>
        <v>8.8836579769548187</v>
      </c>
      <c r="LI318" s="170">
        <f ca="1">12*(1+2*ASIN(MAX(-1,MIN(1,(-SIN(-4*Control!$C$139)+$LF318)/$LG318))/Control!$C$138))</f>
        <v>9.7975558946349981</v>
      </c>
      <c r="LJ318" s="168">
        <f ca="1">3600*($LH318*$LF318+24*$LG318*SQRT(1-$LK318*$LK318)/Control!$C$138)</f>
        <v>7107.919171266004</v>
      </c>
      <c r="LK318" s="170">
        <f t="shared" ca="1" si="1021"/>
        <v>-0.40678382895360726</v>
      </c>
      <c r="LL318" s="170">
        <f t="shared" ca="1" si="1022"/>
        <v>0</v>
      </c>
      <c r="LM318" s="171">
        <f ca="1">Control!$C$145*$AB318</f>
        <v>6.6660906138995932E-2</v>
      </c>
      <c r="LN318" s="170">
        <f t="shared" ca="1" si="1117"/>
        <v>0.54</v>
      </c>
      <c r="LO318" s="170">
        <f t="shared" ca="1" si="1023"/>
        <v>0</v>
      </c>
      <c r="LP318" s="170">
        <f ca="1">Control!$C$140*((($D318+273.16)^4+($E318+273.16)^4)/2)*(0.34-0.14*SQRT($Y318))*(1.35*$AQ318/(0.75*$LD318)-0.35)</f>
        <v>-3.2464704755046001</v>
      </c>
      <c r="LQ318" s="170">
        <f ca="1">Control!$C$140*($G318+273)^4*(0.56-0.079*SQRT($Y318*10))*(0.1+0.9*$LO318)</f>
        <v>1.5241745131704001</v>
      </c>
      <c r="LR318" s="170">
        <f ca="1">$AQ318*(1-Control!$C$142)-$LQ318</f>
        <v>-1.5241745131704001</v>
      </c>
      <c r="LS318" s="170">
        <f ca="1">$AQ318*(1-Control!$C$143)-$LQ318</f>
        <v>-1.5241745131704001</v>
      </c>
      <c r="LT318" s="170">
        <f ca="1">$AQ318*(1-Control!$C$144)-$LQ318</f>
        <v>-1.5241745131704001</v>
      </c>
      <c r="LU318" s="169">
        <f ca="1">(1-Control!$C$144)*AQ318-LP318</f>
        <v>3.2464704755046001</v>
      </c>
      <c r="LV318" s="172">
        <f t="shared" ca="1" si="1024"/>
        <v>0.79430000000000012</v>
      </c>
      <c r="LW318" s="170">
        <f t="shared" ca="1" si="1025"/>
        <v>1.5886000000000002</v>
      </c>
      <c r="LX318" s="170">
        <f ca="1">($AC318*($LR318/Control!$C$141)+$LM318*$LV318)/($AC318+$LM318)</f>
        <v>0.23530094218323697</v>
      </c>
      <c r="LY318" s="170">
        <f ca="1">($AC318*($LS318/Control!$C$141)+$LM318*$LV318)/($AC318+$LM318)</f>
        <v>0.23530094218323697</v>
      </c>
      <c r="LZ318" s="170">
        <f t="shared" ca="1" si="1026"/>
        <v>0.23530094218323697</v>
      </c>
      <c r="MA318" s="170">
        <f t="shared" ca="1" si="1027"/>
        <v>0.23530094218323697</v>
      </c>
      <c r="MB318" s="170" t="e">
        <f t="shared" ca="1" si="1028"/>
        <v>#N/A</v>
      </c>
      <c r="MC318" s="170">
        <f t="shared" ca="1" si="1118"/>
        <v>0.6018</v>
      </c>
      <c r="MD318" s="170">
        <f t="shared" ca="1" si="1029"/>
        <v>0.52989392535414004</v>
      </c>
      <c r="ME318" s="170">
        <f ca="1">($AC318*($LT318/Control!$C$141)+$LM318*$LW318)/($AC318+$LM318)</f>
        <v>0.71612369323045078</v>
      </c>
      <c r="MF318" s="170" t="e">
        <f ca="1">IF(Control!$B$16&gt;=1000,0.92,IF(AND(720&lt;=Control!$B$16,1000&gt;Control!$B$16),(0.95+(Control!$B$16-720)*((0.92-0.95)/(1000-720))),IF(AND(360&lt;=Control!$B$16,720&gt;Control!$B$16),(1+(Control!$B$16-360)*((0.95-1)/(720-360))),IF(AND(40&lt;=Control!$B$16,360&gt;Control!$B$16),(1.05+(Control!$B$16-40)*((1.05-1)/(360-40)))))))</f>
        <v>#N/A</v>
      </c>
      <c r="MG318" s="170">
        <f t="shared" ca="1" si="1030"/>
        <v>0.71612369323045078</v>
      </c>
      <c r="MH318" s="170" t="e">
        <f t="shared" ca="1" si="1157"/>
        <v>#N/A</v>
      </c>
      <c r="MI318" s="170" t="e">
        <f t="shared" ca="1" si="1157"/>
        <v>#N/A</v>
      </c>
      <c r="MJ318" s="170" t="e">
        <f ca="1">MAX(0.0001, Control!$C$132*$MI318*$DL318)</f>
        <v>#N/A</v>
      </c>
      <c r="MK318" s="170">
        <f ca="1">1/(0.76+1.5*($MG318/10))-(5-Control!$C$110)*0.1</f>
        <v>1.002845988140797</v>
      </c>
      <c r="ML318" s="173">
        <f ca="1">IF(Control!$C$110&lt;3,$MK318+($MG318-0.6)/(Control!$C$110*(Control!$C$110+3)), MAX(0.1, MIN(0.95,$MK318)))</f>
        <v>0.95</v>
      </c>
      <c r="MM318" s="173">
        <f ca="1">IF(Control!$C$110&lt;3,$MK318+(($MI318/10)-0.6)/(Control!$C$110*(Control!$C$110+3)), MAX(0.1, MIN(0.95,$MK318)))</f>
        <v>0.95</v>
      </c>
      <c r="MN318" s="173">
        <f ca="1">(1-$MM318)*(Control!$C$128-Control!$C$127)+Control!$C$127</f>
        <v>0.16</v>
      </c>
      <c r="MO318" s="170" t="e">
        <f ca="1">MAX(0,MIN(1,($MS318-Control!$C$127)/($MN318-Control!$C$127)))</f>
        <v>#DIV/0!</v>
      </c>
      <c r="MP318" s="173" t="e">
        <f ca="1">1/(0.76+1.5*$MI318)-(5-Control!$C$110)*0.1</f>
        <v>#N/A</v>
      </c>
      <c r="MQ318" s="172" t="e">
        <f t="shared" ca="1" si="1147"/>
        <v>#DIV/0!</v>
      </c>
      <c r="MR318" s="168" t="e">
        <f t="shared" ca="1" si="1119"/>
        <v>#DIV/0!</v>
      </c>
      <c r="MS318" s="173" t="e">
        <f ca="1">MAX(Control!$C$127, MIN(Control!$C$135, $MR318/MAX(0.0001,$CY318)))</f>
        <v>#DIV/0!</v>
      </c>
      <c r="MT318" s="168" t="e">
        <f ca="1">(Control!$C$128-$MS318)*Control!$C$74</f>
        <v>#DIV/0!</v>
      </c>
      <c r="MU318" s="168" t="e">
        <f ca="1">(Control!$C$135-$MS318)*Control!$C$74</f>
        <v>#DIV/0!</v>
      </c>
      <c r="MV318" s="168" t="e">
        <f t="shared" ca="1" si="1120"/>
        <v>#DIV/0!</v>
      </c>
      <c r="MW318" s="168" t="e">
        <f t="shared" ca="1" si="1121"/>
        <v>#DIV/0!</v>
      </c>
      <c r="MX318" s="171" t="e">
        <f ca="1">MAX(Control!$C$127, MIN(Control!$C$135, $MW318/MAX(0.0001,Control!$C$119-$CY318)))</f>
        <v>#DIV/0!</v>
      </c>
      <c r="MY318" s="54" t="e">
        <f ca="1">IF(Control!$C$114=1, $CX318*$MX318, 0)</f>
        <v>#DIV/0!</v>
      </c>
      <c r="MZ318" s="54" t="e">
        <f t="shared" ca="1" si="1122"/>
        <v>#N/A</v>
      </c>
      <c r="NA318" s="168" t="e">
        <f ca="1">(Control!$C$128-$MX318)*(Control!$C$119-Control!$C$74)</f>
        <v>#DIV/0!</v>
      </c>
      <c r="NB318" s="168" t="e">
        <f ca="1">(Control!$C$135-$MX318)*(Control!$C$119-Control!$C$74)</f>
        <v>#DIV/0!</v>
      </c>
      <c r="NC318" s="174" t="e">
        <f t="shared" ca="1" si="1123"/>
        <v>#DIV/0!</v>
      </c>
      <c r="ND318" s="54">
        <f ca="1">IF(Control!$C$58=2, IF(OR(Control!$B$218=$AH318,Control!$B$219=$AH318, Control!$B$220=$AH318, Control!$B$221=$AH318, Control!$B$222=$AH318, Control!$B$223=$AH318, Control!$B$224=$AH318, Control!$B$225=$AH318, Control!$B$226=$AH318, Control!$B$227=$AH318, Control!$B$228=$AH318), 1, 0), 0)</f>
        <v>0</v>
      </c>
      <c r="NE318" s="54">
        <f ca="1">IF($ND318=0,0, VLOOKUP($AH318,Control!$B$218:$C$228,2))</f>
        <v>0</v>
      </c>
      <c r="NF318" s="168" t="e">
        <f ca="1">$CY318*(Control!$C$128-Control!$C$127)</f>
        <v>#N/A</v>
      </c>
      <c r="NG318" s="54" t="e">
        <f ca="1">IF(Control!$C$58=2, $NI317-$NJ317, 0)</f>
        <v>#DIV/0!</v>
      </c>
      <c r="NH318" s="54" t="e">
        <f ca="1">IF(AND(Control!$C$58=1, $MS317&lt;= ($MN317+0.02), $I317&lt;10), 0, IF(Control!$C$58=2, $NG317, 0))</f>
        <v>#DIV/0!</v>
      </c>
      <c r="NI318" s="54" t="e">
        <f ca="1">IF(Control!$C$58=2, $NE318+$NH318,0)</f>
        <v>#DIV/0!</v>
      </c>
      <c r="NJ318" s="54" t="e">
        <f ca="1">IF(AND(Control!$C$58=1, $MS318&lt;= ($MN318+0.02), $I318&lt;10), MAX(0, MIN(10, 0.7*($NF318-$MV318))), IF(Control!$C$58=2, MIN(10,$NI318),0))</f>
        <v>#DIV/0!</v>
      </c>
      <c r="NK318" s="54" t="e">
        <f t="shared" ca="1" si="1031"/>
        <v>#DIV/0!</v>
      </c>
      <c r="NL318" s="173" t="e">
        <f ca="1">(1-Control!$C$73)*$I318+$NJ318</f>
        <v>#DIV/0!</v>
      </c>
      <c r="NM318" s="172" t="e">
        <f ca="1">IF($NL318&lt;0.5, $MB318* MAX(0, MIN(1, (SQRT($NC318)-SQRT($NC318-1))*Control!$C$71)),0)</f>
        <v>#DIV/0!</v>
      </c>
      <c r="NN318" s="170" t="e">
        <f ca="1">IF($NL318&gt;=5, $MB318, MAX(0,MIN($MB318, $NM318+$NL318,($MS318-Control!$C$129))))</f>
        <v>#DIV/0!</v>
      </c>
      <c r="NO318" s="54">
        <f>IF(Control!$C$133&lt;&gt;1, Control!$C$135-Control!$C$131, 0)</f>
        <v>0.38</v>
      </c>
      <c r="NP318" s="54" t="e">
        <f t="shared" ca="1" si="1032"/>
        <v>#DIV/0!</v>
      </c>
      <c r="NQ318" s="173" t="e">
        <f ca="1">MAX(0,MIN(1,(Control!$C$135-$MS318)/(Control!$C$135-$NO318)))</f>
        <v>#DIV/0!</v>
      </c>
      <c r="NR318" s="170" t="e">
        <f ca="1">IF(Control!$C$133&lt;&gt;1, $NQ318+((1-$NP318/4)*(1-$NQ318)),1)</f>
        <v>#DIV/0!</v>
      </c>
      <c r="NS318" s="170" t="e">
        <f ca="1">IF(Control!$B$31=0,$MJ318,MAX(0,MIN($MV318,$MO318*$NR318*$MJ318)))</f>
        <v>#DIV/0!</v>
      </c>
      <c r="NT318" s="170" t="e">
        <f t="shared" ca="1" si="1148"/>
        <v>#DIV/0!</v>
      </c>
      <c r="NU318" s="170" t="e">
        <f t="shared" ca="1" si="1124"/>
        <v>#N/A</v>
      </c>
      <c r="NV318" s="170" t="e">
        <f t="shared" ca="1" si="1033"/>
        <v>#N/A</v>
      </c>
      <c r="NW318" s="175" t="e">
        <f t="shared" ca="1" si="1034"/>
        <v>#DIV/0!</v>
      </c>
      <c r="NX318" s="170" t="e">
        <f ca="1">MIN(Control!$C$72+$MU318, $NW318)</f>
        <v>#DIV/0!</v>
      </c>
      <c r="NY318" s="170" t="e">
        <f ca="1">IF($MT318&lt;=$NX318,MIN(Control!$C$72+$NB318,$NX318-$MT318),0)</f>
        <v>#DIV/0!</v>
      </c>
      <c r="NZ318" s="54" t="e">
        <f ca="1">IF(Control!$C$114=1,  $CX318*($MX318-Control!$C$127), 0)</f>
        <v>#DIV/0!</v>
      </c>
      <c r="OA318" s="170" t="e">
        <f t="shared" ca="1" si="1035"/>
        <v>#DIV/0!</v>
      </c>
      <c r="OB318" s="170" t="e">
        <f ca="1">IF($NA318 &lt;=$NY318, MIN(Control!$C$72, $NY318-$NA318), 0)</f>
        <v>#DIV/0!</v>
      </c>
      <c r="OC318" s="168" t="e">
        <f t="shared" ca="1" si="1036"/>
        <v>#DIV/0!</v>
      </c>
      <c r="OD318" s="168" t="e">
        <f t="shared" ca="1" si="1125"/>
        <v>#DIV/0!</v>
      </c>
      <c r="OE318" s="170">
        <f ca="1">Control!$C$73*$I318</f>
        <v>0</v>
      </c>
      <c r="OF318" s="176" t="e">
        <f t="shared" ca="1" si="1037"/>
        <v>#DIV/0!</v>
      </c>
      <c r="OG318" s="168" t="e">
        <f t="shared" ca="1" si="1038"/>
        <v>#DIV/0!</v>
      </c>
      <c r="OH318" s="168" t="e">
        <f t="shared" ca="1" si="1039"/>
        <v>#DIV/0!</v>
      </c>
      <c r="OI318" s="168" t="e">
        <f t="shared" ca="1" si="1040"/>
        <v>#DIV/0!</v>
      </c>
      <c r="OJ318" s="168" t="e">
        <f t="shared" ca="1" si="1041"/>
        <v>#DIV/0!</v>
      </c>
      <c r="OK318" s="204" t="e">
        <f t="shared" ca="1" si="1042"/>
        <v>#DIV/0!</v>
      </c>
      <c r="OL318" s="177">
        <f>Control!$C$127</f>
        <v>0.15</v>
      </c>
      <c r="OM318" s="182" t="e">
        <f t="shared" ca="1" si="1043"/>
        <v>#N/A</v>
      </c>
      <c r="ON318" s="177">
        <f>Control!$C$128</f>
        <v>0.35</v>
      </c>
      <c r="OO318" s="182" t="e">
        <f t="shared" ca="1" si="1044"/>
        <v>#N/A</v>
      </c>
      <c r="OP318" s="138">
        <f t="shared" ca="1" si="1126"/>
        <v>0</v>
      </c>
      <c r="OQ318" s="138" t="e">
        <f t="shared" ca="1" si="1149"/>
        <v>#DIV/0!</v>
      </c>
      <c r="OR318" s="138" t="e">
        <f t="shared" ca="1" si="1127"/>
        <v>#DIV/0!</v>
      </c>
      <c r="OS318" s="137" t="e">
        <f t="shared" ca="1" si="1150"/>
        <v>#DIV/0!</v>
      </c>
      <c r="OT318" s="139" t="e">
        <f t="shared" ca="1" si="1151"/>
        <v>#DIV/0!</v>
      </c>
      <c r="OU318" s="138" t="e">
        <f t="shared" ca="1" si="1152"/>
        <v>#N/A</v>
      </c>
      <c r="OV318" s="138" t="e">
        <f t="shared" ca="1" si="1153"/>
        <v>#DIV/0!</v>
      </c>
      <c r="OW318" s="138" t="e">
        <f t="shared" ca="1" si="1128"/>
        <v>#DIV/0!</v>
      </c>
      <c r="OX318" s="138" t="e">
        <f t="shared" ca="1" si="1129"/>
        <v>#DIV/0!</v>
      </c>
      <c r="OY318" s="138" t="e">
        <f t="shared" ca="1" si="1130"/>
        <v>#DIV/0!</v>
      </c>
      <c r="OZ318" s="138" t="e">
        <f t="shared" ca="1" si="1045"/>
        <v>#DIV/0!</v>
      </c>
      <c r="PA318" s="138" t="e">
        <f t="shared" ca="1" si="1046"/>
        <v>#DIV/0!</v>
      </c>
      <c r="PB318" s="55">
        <f>IF(Control!$C$61="T", IF(Control!$C$65="F", IF($AH$6-Control!$C$60&lt;0,0,1), IF(365+$AH$6-Control!$C$60&lt;0,0,1)),0)</f>
        <v>0</v>
      </c>
      <c r="PC318" s="55">
        <f ca="1">IF(Control!$C$65="F", IF($AH$6-$HF318&lt;0,0,1), IF(365+$AH$6-$HF318&lt;0,0,1))</f>
        <v>1</v>
      </c>
      <c r="PD318" s="444">
        <f>Control!$C$118</f>
        <v>1500</v>
      </c>
      <c r="PE318" s="180" t="e">
        <f t="shared" ca="1" si="1047"/>
        <v>#N/A</v>
      </c>
      <c r="PF318" s="445">
        <f t="shared" ca="1" si="1131"/>
        <v>0.71612369323045078</v>
      </c>
      <c r="PT318" s="186"/>
      <c r="PU318" s="186"/>
      <c r="PV318" s="94"/>
      <c r="PW318" s="94"/>
      <c r="PX318" s="94"/>
      <c r="PY318" s="94"/>
      <c r="PZ318" s="94"/>
      <c r="QA318" s="94"/>
      <c r="QB318" s="94"/>
      <c r="QC318" s="94"/>
      <c r="QD318" s="94"/>
      <c r="QE318" s="94"/>
      <c r="QF318" s="94"/>
      <c r="QG318" s="94"/>
      <c r="QH318" s="94"/>
      <c r="QI318" s="94"/>
      <c r="QJ318" s="94"/>
      <c r="QK318" s="94"/>
      <c r="QL318" s="94"/>
      <c r="QM318" s="94"/>
      <c r="QN318" s="94"/>
      <c r="QO318" s="94"/>
      <c r="QP318" s="94"/>
    </row>
    <row r="319" spans="1:458" s="2" customFormat="1" x14ac:dyDescent="0.2">
      <c r="A319" s="395">
        <v>10</v>
      </c>
      <c r="B319" s="396">
        <v>11</v>
      </c>
      <c r="C319" s="387">
        <f ca="1">Weather_data!$B318</f>
        <v>0</v>
      </c>
      <c r="D319" s="388">
        <f ca="1">Weather_data!$F318</f>
        <v>0</v>
      </c>
      <c r="E319" s="388">
        <f ca="1">Weather_data!$E318</f>
        <v>0</v>
      </c>
      <c r="F319" s="388">
        <f t="shared" ca="1" si="1048"/>
        <v>0</v>
      </c>
      <c r="G319" s="388">
        <f ca="1">AVERAGE($D319:$E319)+Control!$B$9</f>
        <v>0</v>
      </c>
      <c r="H319" s="388">
        <f ca="1">Weather_data!$G318</f>
        <v>0</v>
      </c>
      <c r="I319" s="388">
        <f ca="1">Weather_data!$I318</f>
        <v>0</v>
      </c>
      <c r="J319" s="388">
        <f ca="1">Weather_data!$H318</f>
        <v>0</v>
      </c>
      <c r="K319" s="389">
        <f ca="1">Weather_data!$D318</f>
        <v>0</v>
      </c>
      <c r="L319" s="388" t="e">
        <f t="shared" ca="1" si="1049"/>
        <v>#N/A</v>
      </c>
      <c r="M319" s="388" t="e">
        <f t="shared" ca="1" si="927"/>
        <v>#N/A</v>
      </c>
      <c r="N319" s="388">
        <f t="shared" ca="1" si="928"/>
        <v>-2.3816363976318897E-15</v>
      </c>
      <c r="O319" s="388">
        <f t="shared" ca="1" si="1050"/>
        <v>2.3816363976318899E-14</v>
      </c>
      <c r="P319" s="390">
        <v>3</v>
      </c>
      <c r="Q319" s="388">
        <f ca="1">MAX($G319-Control!$C$107,0)</f>
        <v>0</v>
      </c>
      <c r="R319" s="388">
        <f t="shared" ca="1" si="1051"/>
        <v>0</v>
      </c>
      <c r="S319" s="388">
        <f t="shared" ca="1" si="929"/>
        <v>0</v>
      </c>
      <c r="T319" s="388">
        <f t="shared" ca="1" si="930"/>
        <v>0</v>
      </c>
      <c r="U319" s="59">
        <f t="shared" ca="1" si="931"/>
        <v>0</v>
      </c>
      <c r="V319" s="391">
        <f ca="1">MAX(0,MIN(Control!$C$100-Control!$C$99,$G319-Control!$C$99)*Control!$C$63)</f>
        <v>0</v>
      </c>
      <c r="W319" s="388">
        <f t="shared" ca="1" si="1052"/>
        <v>0</v>
      </c>
      <c r="X319" s="388">
        <f t="shared" ca="1" si="1053"/>
        <v>0.6110000000000001</v>
      </c>
      <c r="Y319" s="388">
        <f t="shared" ca="1" si="932"/>
        <v>0</v>
      </c>
      <c r="Z319" s="388">
        <f t="shared" ca="1" si="1054"/>
        <v>0.61058800000000002</v>
      </c>
      <c r="AA319" s="388">
        <f t="shared" ca="1" si="933"/>
        <v>0.6018</v>
      </c>
      <c r="AB319" s="388">
        <f ca="1">101.3*EXP(-0.034*Control!$C$66/($G319+273))</f>
        <v>100.69623283836242</v>
      </c>
      <c r="AC319" s="392">
        <f t="shared" ca="1" si="934"/>
        <v>4.3460251046025113E-2</v>
      </c>
      <c r="AD319" s="392">
        <f t="shared" ca="1" si="935"/>
        <v>4.4450382862832649E-2</v>
      </c>
      <c r="AE319" s="388">
        <f t="shared" ca="1" si="936"/>
        <v>0</v>
      </c>
      <c r="AF319" s="388">
        <f ca="1">MAX(0,$G319-Control!$C$92)</f>
        <v>0</v>
      </c>
      <c r="AG319" s="393">
        <f t="shared" ca="1" si="937"/>
        <v>315</v>
      </c>
      <c r="AH319" s="389">
        <f t="shared" ca="1" si="938"/>
        <v>315</v>
      </c>
      <c r="AI319" s="388">
        <f t="shared" ca="1" si="1055"/>
        <v>-0.31233619840967736</v>
      </c>
      <c r="AJ319" s="388">
        <f ca="1">IF(Control!$C$60&lt;=0,$HH319,$HI319)</f>
        <v>1</v>
      </c>
      <c r="AK319" s="388">
        <f t="shared" ca="1" si="939"/>
        <v>4.0453384854443915</v>
      </c>
      <c r="AL319" s="388">
        <f t="shared" ca="1" si="940"/>
        <v>4.5079478344645095E-18</v>
      </c>
      <c r="AM319" s="388">
        <f t="shared" ca="1" si="941"/>
        <v>4.0453384854443915</v>
      </c>
      <c r="AN319" s="388">
        <f t="shared" ca="1" si="942"/>
        <v>-0.31785687787578804</v>
      </c>
      <c r="AO319" s="388">
        <f ca="1">-0.10453/COS(Control!$B$8*PI()/180)*COS(AN319)</f>
        <v>-0.16127989761888986</v>
      </c>
      <c r="AP319" s="388">
        <f ca="1">ACOS(AO319-TAN(Control!$B$8*PI()/180)*TAN(AN319))</f>
        <v>1.3079428819037027</v>
      </c>
      <c r="AQ319" s="388">
        <f t="shared" ca="1" si="1056"/>
        <v>0</v>
      </c>
      <c r="AR319" s="394">
        <f t="shared" ca="1" si="943"/>
        <v>0</v>
      </c>
      <c r="AS319" s="436">
        <f ca="1">IF(Control!$B$18=2,(IF(OR($AH319=Control!$B$175,$AH319=Control!$B$176,$AH319=Control!$B$177,$AH319=Control!$B$178,$AH319=Control!$B$179,$AH319=Control!$B$180,$AH319=Control!$B$181,$AH319=Control!$B$182,$AH319=Control!$B$183,$AH319=Control!$B$184,$AH319=Control!$B$185),1,0)),0)</f>
        <v>0</v>
      </c>
      <c r="AT319" s="436">
        <f>IF(Control!$B$20=8,IF(AND($AH319&gt;=Control!$B$172,$AH319&lt;=Control!$B$173),1,0),0)</f>
        <v>0</v>
      </c>
      <c r="AU319" s="436">
        <f>IF(Control!$B$20=8,IF($AV318=1,1*$AT319,IF($AT319=1,$AU318+1,$AU318)),0)</f>
        <v>0</v>
      </c>
      <c r="AV319" s="436">
        <f>IF(Control!$B$20=8,IF($AU319&gt;=Control!$B$174,1,0),0)</f>
        <v>0</v>
      </c>
      <c r="AW319" s="436">
        <f ca="1">IF(AND(Control!$B$18=2,Control!$B$171=1), $AV319, $AS319)</f>
        <v>0</v>
      </c>
      <c r="AX319" s="436" t="e">
        <f ca="1">IF(AND(Control!$B$18=1,$EU319&gt;=Control!$B$19),-$AY319,IF(AND(Control!$B$18=2,$AW319=1,$EU319&gt;$DS319),-$AY319, IF(Control!$C$108=0,0, IF(Control!$C$108&lt;&gt;0,1))))</f>
        <v>#N/A</v>
      </c>
      <c r="AY319" s="436" t="e">
        <f t="shared" ca="1" si="1057"/>
        <v>#N/A</v>
      </c>
      <c r="AZ319" s="436" t="e">
        <f ca="1">IF(AND(Control!$B$18=1,$EB319&gt;Control!$B$19),$AZ318+1, IF(AND(Control!$B$18=2, $AW319=1, $EB319&gt;$DS319), $AZ318+1,$AZ318))</f>
        <v>#N/A</v>
      </c>
      <c r="BA319" s="587">
        <f>IF(Control!$C$81=0,1,IF($AH319&gt;=Control!$C$82,1,0))</f>
        <v>1</v>
      </c>
      <c r="BB319" s="140" t="e">
        <f ca="1">IF($BA319&gt;$BA318,Control!$C$83,IF($AW319&gt;0,$AW319*Control!$C$84,IF(AND(Control!$B$18=1,EN318&lt;&gt;0),Control!$C$84,0)))</f>
        <v>#N/A</v>
      </c>
      <c r="BC319" s="140" t="e">
        <f t="shared" ca="1" si="1058"/>
        <v>#N/A</v>
      </c>
      <c r="BD319" s="140" t="e">
        <f ca="1">BC319*IF(OR($G319&lt;Control!$C$92,$G319&gt;Control!$C$95),0,IF(AND($G319&gt;=Control!$C$92,$G319&lt;=Control!$C$93),$G319-Control!$C$92,IF(AND($G319&gt;Control!$C$93,$G319&lt;=Control!$C$94),Control!$C$93-Control!$C$92,IF(AND($G319&gt;Control!$C$94,$G319&lt;=Control!$C$95),(Control!$C$93-Control!$C$92)*(Control!$C$94-$G319)/(Control!$C$95-Control!$C$94)))))</f>
        <v>#N/A</v>
      </c>
      <c r="BE319" s="140" t="e">
        <f t="shared" ca="1" si="1059"/>
        <v>#N/A</v>
      </c>
      <c r="BF319" s="140" t="e">
        <f ca="1">IF($BE319&lt;=Control!$C$86,$BE319,Control!$C$86-$BE319)</f>
        <v>#N/A</v>
      </c>
      <c r="BG319" s="140" t="e">
        <f ca="1">IF(AND($AW319=1,Control!$C$84&lt;9),1,IF($BE319&gt;=Control!$C$86,0,$BC319))</f>
        <v>#N/A</v>
      </c>
      <c r="BH319" s="404" t="e">
        <f ca="1">IF($BG319=0,0,IF($BE319&lt;=Control!$C$86,$BC319*9*($BF319/Control!$C$86),0))</f>
        <v>#N/A</v>
      </c>
      <c r="BI319" s="140" t="e">
        <f ca="1">IF($BG319=1,0,IF($BE319&gt;=Control!$C$86,1,IF(AND($BB319&lt;21,$BB319&gt;=9),1,$BM318)))</f>
        <v>#N/A</v>
      </c>
      <c r="BJ319" s="140" t="e">
        <f ca="1">IF($BF319&lt;0,-$BF319,$BI319*IF(OR($G319&lt;Control!$C$92,$G319&gt;Control!$C$95),0,IF(AND($G319&gt;=Control!$C$92,$G319&lt;=Control!$C$93),$G319-Control!$C$92,IF(AND($G319&gt;Control!$C$93,$G319&lt;=Control!$C$94),Control!$C$93-Control!$C$92,IF(AND($G319&gt;Control!$C$94,$G319&lt;=Control!$C$95),(Control!$C$93-Control!$C$92)*(Control!$C$94-$G319)/(Control!$C$95-Control!$C$94))))))</f>
        <v>#N/A</v>
      </c>
      <c r="BK319" s="140" t="e">
        <f t="shared" ca="1" si="1060"/>
        <v>#N/A</v>
      </c>
      <c r="BL319" s="140" t="e">
        <f ca="1">IF($BK319&lt;=Control!$C$87,$BK319,Control!$C$87-$BK319)</f>
        <v>#N/A</v>
      </c>
      <c r="BM319" s="140" t="e">
        <f ca="1">IF(AND($BB319&gt;=9,$BB319&lt;21),1,IF($BK319&gt;=Control!$C$87,0,$BI319))</f>
        <v>#N/A</v>
      </c>
      <c r="BN319" s="404" t="e">
        <f ca="1">IF($BM319=0,0,IF($BK319&lt;=Control!$C$87,$BI319*(9+(21-9)*($BL319/Control!$C$87)),0))</f>
        <v>#N/A</v>
      </c>
      <c r="BO319" s="140" t="e">
        <f ca="1">IF($BM319=1,0,IF($BK319&gt;=Control!$C$87,1,IF(AND($BB319&lt;30,$BB319&gt;=21),1,$BS318)))</f>
        <v>#N/A</v>
      </c>
      <c r="BP319" s="140" t="e">
        <f ca="1">IF($BL319&lt;0,-$BL319,$BO319*IF(OR($G319&lt;Control!$C$92,$G319&gt;Control!$C$95),0,IF(AND($G319&gt;=Control!$C$92,$G319&lt;=Control!$C$93),$G319-Control!$C$92,IF(AND($G319&gt;Control!$C$93,$G319&lt;=Control!$C$94),Control!$C$93-Control!$C$92,IF(AND($G319&gt;Control!$C$94,$G319&lt;=Control!$C$95),(Control!$C$93-Control!$C$92)*(Control!$C$94-$G319)/(Control!$C$95-Control!$C$94))))))</f>
        <v>#N/A</v>
      </c>
      <c r="BQ319" s="140" t="e">
        <f t="shared" ca="1" si="944"/>
        <v>#N/A</v>
      </c>
      <c r="BR319" s="140" t="e">
        <f ca="1">IF($BQ319&lt;=Control!$C$88,$BQ319,Control!$C$88-$BQ319)</f>
        <v>#N/A</v>
      </c>
      <c r="BS319" s="140" t="e">
        <f ca="1">IF(AND($BB319&gt;=21,$BB319&lt;30),1,IF($BQ319&gt;=Control!$C$88,0,$BO319))</f>
        <v>#N/A</v>
      </c>
      <c r="BT319" s="404" t="e">
        <f ca="1">IF($BS319=0,0,IF($BQ319&lt;=Control!$C$88,$BO319*(21+(30-21)*(BR319/Control!$C$88)),0))</f>
        <v>#N/A</v>
      </c>
      <c r="BU319" s="140" t="e">
        <f ca="1">IF(BG319+BM319+BS319=1,0,IF(OR(AND($BB319&lt;60,$BB319&gt;=30),$BQ319&gt;=Control!$C$88),1*$BA319,$BY318))</f>
        <v>#N/A</v>
      </c>
      <c r="BV319" s="140" t="e">
        <f ca="1">IF($BR319&lt;0,-$BR319,$BU319*IF(OR($G319&lt;Control!$C$92,$G319&gt;Control!$C$95),0,IF(AND($G319&gt;=Control!$C$92,$G319&lt;=Control!$C$93),$G319-Control!$C$92,IF(AND($G319&gt;Control!$C$93,$G319&lt;=Control!$C$94),Control!$C$93-Control!$C$92,IF(AND($G319&gt;Control!$C$94,$G319&lt;=Control!$C$95),(Control!$C$93-Control!$C$92)*(Control!$C$94-$G319)/(Control!$C$95-Control!$C$94))))))</f>
        <v>#N/A</v>
      </c>
      <c r="BW319" s="140" t="e">
        <f t="shared" ca="1" si="945"/>
        <v>#N/A</v>
      </c>
      <c r="BX319" s="140" t="e">
        <f ca="1">IF($BW319&lt;=Control!$C$89,$BW319,Control!$C$89-$BW319)</f>
        <v>#N/A</v>
      </c>
      <c r="BY319" s="140" t="e">
        <f ca="1">IF(AND($AJ319&gt;=30,$AJ319&lt;60),1,IF($BW319&gt;=Control!$C$89,0,$BU319))</f>
        <v>#N/A</v>
      </c>
      <c r="BZ319" s="404" t="e">
        <f ca="1">IF($BY319=0,0,IF($BW319&lt;=Control!$C$89,$BU319*(30+(60-30)*(BX319/Control!$C$89)),0))</f>
        <v>#N/A</v>
      </c>
      <c r="CA319" s="140" t="e">
        <f ca="1">IF($BG319+$BM319+$BS319+$BY319=1,0,IF(OR(AND($BB319&lt;65,$BB319&gt;=60),$BW319&gt;=Control!$C$89),1*$BA319,$CE318))</f>
        <v>#N/A</v>
      </c>
      <c r="CB319" s="140" t="e">
        <f ca="1">IF($BX319&lt;0,-$BX319,$CA319*IF(OR($G319&lt;Control!$C$92,$G319&gt;Control!$C$95),0,IF(AND($G319&gt;=Control!$C$92,$G319&lt;=Control!$C$93),$G319-Control!$C$92,IF(AND($G319&gt;Control!$C$93,$G319&lt;=Control!$C$94),Control!$C$93-Control!$C$92,IF(AND($G319&gt;Control!$C$94,$G319&lt;=Control!$C$95),(Control!$C$93-Control!$C$92)*(Control!$C$94-$G319)/(Control!$C$95-Control!$C$94))))))</f>
        <v>#N/A</v>
      </c>
      <c r="CC319" s="140" t="e">
        <f t="shared" ca="1" si="1061"/>
        <v>#N/A</v>
      </c>
      <c r="CD319" s="140" t="e">
        <f ca="1">IF($CC319&lt;=Control!$C$90,$CC319,Control!$C$90-$CC319)</f>
        <v>#N/A</v>
      </c>
      <c r="CE319" s="140" t="e">
        <f ca="1">IF(AND($BB319&gt;=60,$BB319&lt;65),1,IF($CC319&gt;=Control!$C$90,0,$CA319))</f>
        <v>#N/A</v>
      </c>
      <c r="CF319" s="404" t="e">
        <f ca="1">IF($CE319=0,0,IF($CC319&lt;=Control!$C$90,$CA319*(60+(65-60)*(CD319/Control!$C$90)),0))</f>
        <v>#N/A</v>
      </c>
      <c r="CG319" s="140" t="e">
        <f ca="1">IF($BG319+$BM319+$BS319+$BY319+$CE319=1,0,IF(OR(AND($BB319&lt;90,$BB319&gt;=65),$CC319&gt;=Control!$C$90),$BA319,$CK318))</f>
        <v>#N/A</v>
      </c>
      <c r="CH319" s="140" t="e">
        <f ca="1">IF($CD319&lt;0,-$CD319,$CG319*IF(OR($G319&lt;Control!$C$92,$G319&gt;Control!$C$95),0,IF(AND($G319&gt;=Control!$C$92,$G319&lt;=Control!$C$93),$G319-Control!$C$92,IF(AND($G319&gt;Control!$C$93,$G319&lt;=Control!$C$94),Control!$C$93-Control!$C$92,IF(AND($G319&gt;Control!$C$94,$G319&lt;=Control!$C$95),(Control!$C$93-Control!$C$92)*(Control!$C$94-$G319)/(Control!$C$95-Control!$C$94))))))</f>
        <v>#N/A</v>
      </c>
      <c r="CI319" s="140" t="e">
        <f t="shared" ca="1" si="1062"/>
        <v>#N/A</v>
      </c>
      <c r="CJ319" s="140" t="e">
        <f ca="1">IF($CI319&lt;=Control!$C$91,$CI319,Control!$C$91-$CI319)</f>
        <v>#N/A</v>
      </c>
      <c r="CK319" s="140" t="e">
        <f ca="1">IF(AND($BB319&gt;=65,$BB319&lt;90),1,IF($CI319&gt;=Control!$C$91,0,$CG319))</f>
        <v>#N/A</v>
      </c>
      <c r="CL319" s="404" t="e">
        <f ca="1">IF($CK319=0,0,IF($CI319&lt;=Control!$C$91,$CG319*(65+(90-65)*($CJ319/Control!$C$91)),0))</f>
        <v>#N/A</v>
      </c>
      <c r="CM319" s="140" t="e">
        <f ca="1">IF($BG319+$BM319+$BS319+$BY319+$CE319+$CK319=1,0,IF(OR($BB319&gt;=90,$CI319&gt;=Control!$C$91),$BA319,$CM318))</f>
        <v>#N/A</v>
      </c>
      <c r="CN319" s="140" t="e">
        <f t="shared" ca="1" si="1063"/>
        <v>#N/A</v>
      </c>
      <c r="CO319" s="140" t="e">
        <f t="shared" ca="1" si="1064"/>
        <v>#N/A</v>
      </c>
      <c r="CP319" s="140" t="e">
        <f t="shared" ca="1" si="1065"/>
        <v>#N/A</v>
      </c>
      <c r="CQ319" s="141" t="e">
        <f ca="1">VLOOKUP($CP319,Control!$B$86:$G$91,6)</f>
        <v>#N/A</v>
      </c>
      <c r="CR319" s="141" t="e">
        <f ca="1">(1-$CQ319)*VLOOKUP($CP319,Control!$B$86:$D$91,3)</f>
        <v>#N/A</v>
      </c>
      <c r="CS319" s="141" t="e">
        <f ca="1">(1-$CQ319)*VLOOKUP($CP319,Control!$B$86:$E$91,4)</f>
        <v>#N/A</v>
      </c>
      <c r="CT319" s="141" t="e">
        <f ca="1">(1-$CQ319)*VLOOKUP($CP319,Control!$B$86:$F$91,5)</f>
        <v>#N/A</v>
      </c>
      <c r="CU319" s="141">
        <f t="shared" ca="1" si="1066"/>
        <v>0</v>
      </c>
      <c r="CV319" s="583">
        <f t="shared" ca="1" si="1067"/>
        <v>0</v>
      </c>
      <c r="CW319" s="142">
        <f t="shared" ca="1" si="1068"/>
        <v>315</v>
      </c>
      <c r="CX319" s="612" t="e">
        <f ca="1">IF(Control!$C$114=1,(MIN(Control!$C$120*(IF($NT319-0.01&lt;0,0,1)),Control!$C$119-$CY319)))</f>
        <v>#DIV/0!</v>
      </c>
      <c r="CY319" s="143" t="e">
        <f t="shared" ca="1" si="1069"/>
        <v>#N/A</v>
      </c>
      <c r="CZ319" s="144">
        <f t="shared" ca="1" si="946"/>
        <v>0</v>
      </c>
      <c r="DA319" s="144">
        <f t="shared" ca="1" si="947"/>
        <v>0</v>
      </c>
      <c r="DB319" s="144" t="e">
        <f t="shared" ca="1" si="948"/>
        <v>#N/A</v>
      </c>
      <c r="DC319" s="144" t="e">
        <f t="shared" ca="1" si="949"/>
        <v>#N/A</v>
      </c>
      <c r="DD319" s="144" t="e">
        <f t="shared" ca="1" si="1154"/>
        <v>#N/A</v>
      </c>
      <c r="DE319" s="143" t="e">
        <f t="shared" ca="1" si="1070"/>
        <v>#N/A</v>
      </c>
      <c r="DF319" s="145" t="e">
        <f ca="1">$DR319*EXP(-Control!$C$158*(1-$KH319))</f>
        <v>#N/A</v>
      </c>
      <c r="DG319" s="146" t="e">
        <f ca="1">IF(Control!$C$114=1, $DF319*$EY319, 0)</f>
        <v>#N/A</v>
      </c>
      <c r="DH319" s="147" t="e">
        <f t="shared" ca="1" si="1071"/>
        <v>#N/A</v>
      </c>
      <c r="DI319" s="144" t="e">
        <f t="shared" ca="1" si="1132"/>
        <v>#N/A</v>
      </c>
      <c r="DJ319" s="147" t="e">
        <f ca="1">$EF319*Control!$C$109</f>
        <v>#N/A</v>
      </c>
      <c r="DK319" s="144" t="e">
        <f t="shared" ca="1" si="1072"/>
        <v>#N/A</v>
      </c>
      <c r="DL319" s="144" t="e">
        <f t="shared" ca="1" si="950"/>
        <v>#N/A</v>
      </c>
      <c r="DM319" s="144" t="e">
        <f ca="1">IF(Control!$C$114=1, (1-EXP(-Control!$C$96*$DK319))*$AR319, 0)</f>
        <v>#N/A</v>
      </c>
      <c r="DN319" s="144">
        <f t="shared" ca="1" si="1073"/>
        <v>0</v>
      </c>
      <c r="DO319" s="148">
        <f>Control!$C$97</f>
        <v>4</v>
      </c>
      <c r="DP319" s="145" t="e">
        <f t="shared" ca="1" si="1074"/>
        <v>#N/A</v>
      </c>
      <c r="DQ319" s="145" t="e">
        <f ca="1">IF(AND($CP319&gt;=0,$CP319&lt;=90),Control!$C$111,Control!$C$111)</f>
        <v>#N/A</v>
      </c>
      <c r="DR319" s="145" t="e">
        <f t="shared" ca="1" si="951"/>
        <v>#N/A</v>
      </c>
      <c r="DS319" s="143" t="e">
        <f ca="1">Control!$B$22/$DR319</f>
        <v>#N/A</v>
      </c>
      <c r="DT319" s="149" t="e">
        <f ca="1">IF(AND(Control!$C$114=1,$KH319&lt;1),$IM319*$DF319, 0)</f>
        <v>#N/A</v>
      </c>
      <c r="DU319" s="144" t="e">
        <f t="shared" ca="1" si="1075"/>
        <v>#N/A</v>
      </c>
      <c r="DV319" s="144">
        <f ca="1">IF($G319-Control!$C$107&lt;=0, 0, 0.83*LN(MAX($G319, 3))-0.8924)</f>
        <v>0</v>
      </c>
      <c r="DW319" s="144" t="e">
        <f t="shared" ca="1" si="952"/>
        <v>#N/A</v>
      </c>
      <c r="DX319" s="150" t="e">
        <f ca="1">MAX(0.01*(1+$CU319/Control!$C$102),0.05*($DK319-Control!$C$97)/Control!$C$97)</f>
        <v>#N/A</v>
      </c>
      <c r="DY319" s="151" t="e">
        <f ca="1">IF(Control!$C$114=1, $DI319*$FS319, 0)</f>
        <v>#N/A</v>
      </c>
      <c r="DZ319" s="196" t="e">
        <f t="shared" ca="1" si="1076"/>
        <v>#N/A</v>
      </c>
      <c r="EA319" s="152">
        <f t="shared" ca="1" si="1077"/>
        <v>315</v>
      </c>
      <c r="EB319" s="153" t="e">
        <f t="shared" ca="1" si="1078"/>
        <v>#N/A</v>
      </c>
      <c r="EC319" s="153" t="e">
        <f t="shared" ca="1" si="1079"/>
        <v>#N/A</v>
      </c>
      <c r="ED319" s="154" t="e">
        <f ca="1">IF(Control!$C$114=1, $HM319*$FY319-$FD319, 0)</f>
        <v>#DIV/0!</v>
      </c>
      <c r="EE319" s="155" t="e">
        <f ca="1">IF(Control!$C$114=1, $HM319*$FZ319-$FF319, 0)</f>
        <v>#DIV/0!</v>
      </c>
      <c r="EF319" s="153" t="e">
        <f t="shared" ca="1" si="1133"/>
        <v>#N/A</v>
      </c>
      <c r="EG319" s="155" t="e">
        <f ca="1">IF(Control!$C$114=1, $GX319*$FW319-$FI319, 0)</f>
        <v>#DIV/0!</v>
      </c>
      <c r="EH319" s="153" t="e">
        <f t="shared" ca="1" si="1080"/>
        <v>#N/A</v>
      </c>
      <c r="EI319" s="156" t="e">
        <f t="shared" ca="1" si="1081"/>
        <v>#N/A</v>
      </c>
      <c r="EJ319" s="155" t="e">
        <f ca="1">IF(Control!$C$114=1, $HM319*$GB319, 0)</f>
        <v>#DIV/0!</v>
      </c>
      <c r="EK319" s="153" t="e">
        <f t="shared" ca="1" si="1134"/>
        <v>#N/A</v>
      </c>
      <c r="EL319" s="153" t="e">
        <f t="shared" ca="1" si="953"/>
        <v>#N/A</v>
      </c>
      <c r="EM319" s="153" t="e">
        <f t="shared" ca="1" si="954"/>
        <v>#N/A</v>
      </c>
      <c r="EN319" s="153" t="e">
        <f ca="1">IF(Control!$C$108=1,IF(AND(Control!$B$18=1,$EB319&gt;=Control!$B$19),$EB319-$DS319,IF(AND(Control!$B$18=2,$AW319=1,$EB319&gt;$DS319),$EB319-$DS319,0)))</f>
        <v>#N/A</v>
      </c>
      <c r="EO319" s="153" t="e">
        <f ca="1">IF(Control!$C$108=1,IF(AND(Control!$B$18=1,$EB319&gt;=Control!$B$19),$EF319,IF(AND(Control!$B$18=2,$AW319=1),$EF319,0)))</f>
        <v>#N/A</v>
      </c>
      <c r="EP319" s="153" t="e">
        <f ca="1">IF(Control!$C$108=1,IF(AND(Control!$B$18=1,$EB319&gt;=Control!$B$19),$EK319,IF(AND(Control!$B$18=2,$AW319=1),$EK319,0)))</f>
        <v>#N/A</v>
      </c>
      <c r="EQ319" s="153" t="e">
        <f t="shared" ca="1" si="1082"/>
        <v>#N/A</v>
      </c>
      <c r="ER319" s="153" t="e">
        <f t="shared" ca="1" si="1083"/>
        <v>#N/A</v>
      </c>
      <c r="ES319" s="153" t="e">
        <f t="shared" ca="1" si="1135"/>
        <v>#N/A</v>
      </c>
      <c r="ET319" s="153" t="e">
        <f t="shared" ca="1" si="1136"/>
        <v>#N/A</v>
      </c>
      <c r="EU319" s="153" t="e">
        <f t="shared" ca="1" si="1084"/>
        <v>#N/A</v>
      </c>
      <c r="EV319" s="153" t="e">
        <f t="shared" ca="1" si="955"/>
        <v>#N/A</v>
      </c>
      <c r="EW319" s="153" t="e">
        <f t="shared" ca="1" si="956"/>
        <v>#N/A</v>
      </c>
      <c r="EX319" s="153" t="e">
        <f t="shared" ca="1" si="957"/>
        <v>#N/A</v>
      </c>
      <c r="EY319" s="157" t="e">
        <f t="shared" ca="1" si="958"/>
        <v>#DIV/0!</v>
      </c>
      <c r="EZ319" s="154" t="e">
        <f t="shared" ca="1" si="959"/>
        <v>#DIV/0!</v>
      </c>
      <c r="FA319" s="153" t="e">
        <f t="shared" ca="1" si="1085"/>
        <v>#N/A</v>
      </c>
      <c r="FB319" s="153" t="e">
        <f t="shared" ca="1" si="960"/>
        <v>#N/A</v>
      </c>
      <c r="FC319" s="193" t="e">
        <f t="shared" ca="1" si="961"/>
        <v>#N/A</v>
      </c>
      <c r="FD319" s="158" t="e">
        <f t="shared" ca="1" si="1086"/>
        <v>#N/A</v>
      </c>
      <c r="FE319" s="158" t="e">
        <f t="shared" ca="1" si="1087"/>
        <v>#N/A</v>
      </c>
      <c r="FF319" s="159" t="e">
        <f t="shared" ca="1" si="962"/>
        <v>#N/A</v>
      </c>
      <c r="FG319" s="160" t="e">
        <f t="shared" ca="1" si="1088"/>
        <v>#N/A</v>
      </c>
      <c r="FH319" s="158" t="e">
        <f t="shared" ca="1" si="1089"/>
        <v>#N/A</v>
      </c>
      <c r="FI319" s="159" t="e">
        <f t="shared" ca="1" si="963"/>
        <v>#N/A</v>
      </c>
      <c r="FJ319" s="160" t="e">
        <f t="shared" ca="1" si="1090"/>
        <v>#N/A</v>
      </c>
      <c r="FK319" s="160" t="e">
        <f t="shared" ca="1" si="964"/>
        <v>#N/A</v>
      </c>
      <c r="FL319" s="160" t="e">
        <f t="shared" ca="1" si="1137"/>
        <v>#N/A</v>
      </c>
      <c r="FM319" s="160" t="e">
        <f t="shared" ca="1" si="965"/>
        <v>#N/A</v>
      </c>
      <c r="FN319" s="158">
        <f t="shared" ca="1" si="1091"/>
        <v>0.01</v>
      </c>
      <c r="FO319" s="160">
        <f>Control!$C$101</f>
        <v>50</v>
      </c>
      <c r="FP319" s="150" t="e">
        <f t="shared" ca="1" si="966"/>
        <v>#N/A</v>
      </c>
      <c r="FQ319" s="150" t="e">
        <f ca="1">MAX(0,(Control!$C$112*(($DK319-Control!$C$97)/Control!$C$97)))</f>
        <v>#N/A</v>
      </c>
      <c r="FR319" s="150" t="e">
        <f ca="1">(1-$NT319)*Control!$C$113</f>
        <v>#DIV/0!</v>
      </c>
      <c r="FS319" s="198" t="e">
        <f t="shared" ca="1" si="967"/>
        <v>#N/A</v>
      </c>
      <c r="FT319" s="161">
        <f t="shared" ca="1" si="1092"/>
        <v>315</v>
      </c>
      <c r="FU319" s="162" t="e">
        <f ca="1">IF(Control!$B$34=1,VLOOKUP($CP319,Control!$B$86:$G$91,6),Control!$B$35)</f>
        <v>#N/A</v>
      </c>
      <c r="FV319" s="162" t="e">
        <f t="shared" ca="1" si="968"/>
        <v>#DIV/0!</v>
      </c>
      <c r="FW319" s="162" t="e">
        <f ca="1">IF(Control!$B$31=1,$FU319*$FV319,  $FU319)</f>
        <v>#N/A</v>
      </c>
      <c r="FX319" s="162" t="e">
        <f ca="1">IF(Control!$B$34=1,VLOOKUP($CP319,Control!$B$86:$G$91,3),Control!$B$36)</f>
        <v>#N/A</v>
      </c>
      <c r="FY319" s="162" t="e">
        <f t="shared" ca="1" si="969"/>
        <v>#N/A</v>
      </c>
      <c r="FZ319" s="162" t="e">
        <f ca="1">IF(Control!$B$34=1,VLOOKUP($CP319,Control!$B$86:$G$91,4),Control!$B$37)</f>
        <v>#N/A</v>
      </c>
      <c r="GA319" s="162" t="e">
        <f t="shared" ca="1" si="970"/>
        <v>#N/A</v>
      </c>
      <c r="GB319" s="162" t="e">
        <f ca="1">IF(Control!$B$34=1,VLOOKUP($CP319,Control!$B$86:$G$91,5),Control!$B$38)</f>
        <v>#N/A</v>
      </c>
      <c r="GC319" s="162" t="e">
        <f t="shared" ca="1" si="1093"/>
        <v>#N/A</v>
      </c>
      <c r="GD319" s="162">
        <f t="shared" ca="1" si="971"/>
        <v>1</v>
      </c>
      <c r="GE319" s="162">
        <f t="shared" ca="1" si="972"/>
        <v>1</v>
      </c>
      <c r="GF319" s="162">
        <f ca="1">IF(AND(Control!$C$104=1, Control!$C$62="F"),$GE319,1)</f>
        <v>1</v>
      </c>
      <c r="GG319" s="162" t="e">
        <f ca="1">IF(Control!$B$16=40,0,IF(AND(Control!$B$16&gt;40,Control!$B$16&lt;=360),(Control!$B$16-40)*((1-0)/(360-40)),IF(AND(Control!$B$16&gt;360,Control!$B$16&lt;=720),(1+(Control!$B$16-360)*((1.25-1)/(720-360))),IF(AND(Control!$B$16&gt;720,Control!$B$16&lt;=1000),(1.25+(Control!$B$16-720)*((1.35-1.25)/(1000-720))),IF(AND(Control!$B$16&gt;1000,Control!$B$16&lt;=2000),(1.35+(Control!$B$16-1000)*0))))))</f>
        <v>#N/A</v>
      </c>
      <c r="GH319" s="162" t="e">
        <f t="shared" ca="1" si="973"/>
        <v>#N/A</v>
      </c>
      <c r="GI319" s="162">
        <f t="shared" ca="1" si="1094"/>
        <v>0</v>
      </c>
      <c r="GJ319" s="162">
        <f t="shared" ca="1" si="974"/>
        <v>0</v>
      </c>
      <c r="GK319" s="162">
        <f t="shared" ca="1" si="1095"/>
        <v>1</v>
      </c>
      <c r="GL319" s="162">
        <f t="shared" ca="1" si="975"/>
        <v>1</v>
      </c>
      <c r="GM319" s="162" t="e">
        <f ca="1">MAX(0,MIN(1,1-Control!$C$156*(1.0001-$KH319)^2))</f>
        <v>#N/A</v>
      </c>
      <c r="GN319" s="162" t="e">
        <f ca="1">IF(Control!$B$26=1,$KU319,$KX319)</f>
        <v>#N/A</v>
      </c>
      <c r="GO319" s="162" t="e">
        <f ca="1">IF($CP319&lt;=60,Control!$C$105,IF($CP319&gt;=90,Control!$C$106,Control!$C$105+($CP319-60)*((Control!$C$106-Control!$C$105)/(90-60))))</f>
        <v>#N/A</v>
      </c>
      <c r="GP319" s="162" t="e">
        <f t="shared" ca="1" si="976"/>
        <v>#N/A</v>
      </c>
      <c r="GQ319" s="162" t="e">
        <f t="shared" ca="1" si="1096"/>
        <v>#N/A</v>
      </c>
      <c r="GR319" s="163" t="e">
        <f t="shared" ca="1" si="977"/>
        <v>#DIV/0!</v>
      </c>
      <c r="GS319" s="162" t="e">
        <f t="shared" ca="1" si="978"/>
        <v>#DIV/0!</v>
      </c>
      <c r="GT319" s="164" t="e">
        <f t="shared" ca="1" si="1097"/>
        <v>#N/A</v>
      </c>
      <c r="GU319" s="162" t="e">
        <f t="shared" ca="1" si="1098"/>
        <v>#N/A</v>
      </c>
      <c r="GV319" s="162" t="e">
        <f t="shared" ca="1" si="979"/>
        <v>#N/A</v>
      </c>
      <c r="GW319" s="162" t="e">
        <f t="shared" ca="1" si="980"/>
        <v>#DIV/0!</v>
      </c>
      <c r="GX319" s="162" t="e">
        <f t="shared" ca="1" si="1099"/>
        <v>#DIV/0!</v>
      </c>
      <c r="GY319" s="162" t="e">
        <f t="shared" ca="1" si="1100"/>
        <v>#DIV/0!</v>
      </c>
      <c r="GZ319" s="165" t="e">
        <f t="shared" ca="1" si="981"/>
        <v>#N/A</v>
      </c>
      <c r="HA319" s="162" t="e">
        <f ca="1">IF(Control!$C$114=1, $DI319*$FS319, 0)</f>
        <v>#N/A</v>
      </c>
      <c r="HB319" s="162" t="e">
        <f ca="1">$FA319/Control!$C$64</f>
        <v>#N/A</v>
      </c>
      <c r="HC319" s="162" t="e">
        <f t="shared" ca="1" si="982"/>
        <v>#DIV/0!</v>
      </c>
      <c r="HD319" s="162">
        <f ca="1">-ASIN(SIN(23.45*Control!$C$139)*COS(2*Control!$C$138*($AH319+10)/365))</f>
        <v>-0.31233619840967736</v>
      </c>
      <c r="HE319" s="165">
        <f t="shared" ca="1" si="1101"/>
        <v>0</v>
      </c>
      <c r="HF319" s="166">
        <f ca="1">IF(AND(Control!$C$61="T",$HE319&gt;=Control!$C$103,Control!$C$114=0),$AH319,Control!$C$59)</f>
        <v>1</v>
      </c>
      <c r="HG319" s="166">
        <f ca="1">IF(AND(Control!$C$61="T",$HE319&gt;=Control!$C$103,Control!$C$114=0),$HF319,Control!$C$59)</f>
        <v>1</v>
      </c>
      <c r="HH319" s="165">
        <f ca="1">IF(AND(OR(Control!$C$60&lt;=0, $AH319= Control!$C$59, Control!$C$60 &gt;0, $AH319 = Control!$C$60)), Control!$C$59, IF(Control!$C$60&gt;0, 0))</f>
        <v>1</v>
      </c>
      <c r="HI319" s="165">
        <f ca="1">IF(AND(OR(Control!$C$60&lt;=0, $AH319= Control!$C$59, Control!$C$60 &gt;0, $AH319 = Control!$C$60)), Control!$C$60, IF(Control!$C$60&lt;=0, 0))</f>
        <v>0</v>
      </c>
      <c r="HJ319" s="166">
        <f ca="1">IF(AND(Control!$C$62="F",$CV319&gt;=Control!$C$102),$AH319,0)</f>
        <v>0</v>
      </c>
      <c r="HK319" s="165" t="e">
        <f t="shared" ca="1" si="1138"/>
        <v>#N/A</v>
      </c>
      <c r="HL319" s="166">
        <f ca="1">IF(AND(Control!$C$61="T",$HE319&gt;=Control!$C$103,Control!$C$114=0),$HF319,0)</f>
        <v>0</v>
      </c>
      <c r="HM319" s="201" t="e">
        <f t="shared" ca="1" si="983"/>
        <v>#DIV/0!</v>
      </c>
      <c r="HN319" s="215">
        <f t="shared" ca="1" si="1102"/>
        <v>315</v>
      </c>
      <c r="HO319" s="216" t="e">
        <f ca="1">IF(AND($CP319&gt;=0, $CP319&lt;=90), Control!$C$152, Control!$C$152)</f>
        <v>#N/A</v>
      </c>
      <c r="HP319" s="216" t="e">
        <f t="shared" ca="1" si="984"/>
        <v>#N/A</v>
      </c>
      <c r="HQ319" s="217" t="e">
        <f ca="1">IF(OR(Control!$B$26=1,Control!$B$26=2),$KV319,$KS319)</f>
        <v>#DIV/0!</v>
      </c>
      <c r="HR319" s="218" t="e">
        <f t="shared" ca="1" si="1139"/>
        <v>#DIV/0!</v>
      </c>
      <c r="HS319" s="216" t="e">
        <f ca="1">Control!$C$154*$HP319</f>
        <v>#N/A</v>
      </c>
      <c r="HT319" s="216" t="e">
        <f ca="1">Control!$C$155*$HP319</f>
        <v>#N/A</v>
      </c>
      <c r="HU319" s="217" t="e">
        <f ca="1">Control!$C$161*$FI319</f>
        <v>#N/A</v>
      </c>
      <c r="HV319" s="218" t="e">
        <f t="shared" ca="1" si="1103"/>
        <v>#N/A</v>
      </c>
      <c r="HW319" s="218" t="e">
        <f ca="1">Control!$C$160*$FF319+$IP319*$EO319</f>
        <v>#N/A</v>
      </c>
      <c r="HX319" s="218" t="e">
        <f t="shared" ca="1" si="1140"/>
        <v>#N/A</v>
      </c>
      <c r="HY319" s="219" t="e">
        <f ca="1">IF(Control!$C$114=1, $EB319*$FS319, 0)</f>
        <v>#N/A</v>
      </c>
      <c r="HZ319" s="91" t="e">
        <f t="shared" ca="1" si="985"/>
        <v>#N/A</v>
      </c>
      <c r="IA319" s="220" t="e">
        <f ca="1">Control!$C$153*$HO319</f>
        <v>#N/A</v>
      </c>
      <c r="IB319" s="218" t="e">
        <f t="shared" ca="1" si="986"/>
        <v>#N/A</v>
      </c>
      <c r="IC319" s="220" t="e">
        <f ca="1">Control!$C$153*$HT319</f>
        <v>#N/A</v>
      </c>
      <c r="ID319" s="218" t="e">
        <f t="shared" ca="1" si="987"/>
        <v>#N/A</v>
      </c>
      <c r="IE319" s="221" t="e">
        <f ca="1">($EB319*Control!$C$159+$EF319*Control!$C$160)/(IF($GZ319&lt;&gt;0,$GZ319,1))</f>
        <v>#N/A</v>
      </c>
      <c r="IF319" s="216" t="e">
        <f t="shared" ca="1" si="988"/>
        <v>#N/A</v>
      </c>
      <c r="IG319" s="91">
        <f ca="1">IF(OR(Control!$B$198=$AH319,Control!$B$199=$AH319, Control!$B$200=$AH319, Control!$B$201=$AH319, Control!$B$202=$AH319, Control!$B$203=$AH319, Control!$B$204=$AH319, Control!$B$205=$AH319, Control!$B$206=$AH319, Control!$B$207=$AH319), 1, 0)</f>
        <v>0</v>
      </c>
      <c r="IH319" s="91">
        <f ca="1">IF($IG319=0,0, VLOOKUP($AH319,Control!$B$198:$C$207,2))</f>
        <v>0</v>
      </c>
      <c r="II319" s="222">
        <f t="shared" ca="1" si="1104"/>
        <v>0</v>
      </c>
      <c r="IJ319" s="91">
        <f>Control!$C$121</f>
        <v>0.7</v>
      </c>
      <c r="IK319" s="218">
        <f t="shared" ca="1" si="989"/>
        <v>0</v>
      </c>
      <c r="IL319" s="217" t="e">
        <f t="shared" ca="1" si="1141"/>
        <v>#N/A</v>
      </c>
      <c r="IM319" s="223" t="e">
        <f ca="1">IF(AND(Control!$C$114=1,$KH319&lt;1),$EB319*Control!$C$148*(1-$KH319), 0)</f>
        <v>#N/A</v>
      </c>
      <c r="IN319" s="217" t="e">
        <f t="shared" ca="1" si="990"/>
        <v>#DIV/0!</v>
      </c>
      <c r="IO319" s="91" t="e">
        <f ca="1">MAX(0,$IL319-$EF319*Control!$C$160)</f>
        <v>#N/A</v>
      </c>
      <c r="IP319" s="220" t="e">
        <f t="shared" ca="1" si="991"/>
        <v>#N/A</v>
      </c>
      <c r="IQ319" s="217" t="e">
        <f t="shared" ca="1" si="1105"/>
        <v>#N/A</v>
      </c>
      <c r="IR319" s="218" t="e">
        <f t="shared" ca="1" si="992"/>
        <v>#N/A</v>
      </c>
      <c r="IS319" s="217" t="e">
        <f ca="1">Control!$C$159*MAX(0,$FD319-$EN319)</f>
        <v>#N/A</v>
      </c>
      <c r="IT319" s="217" t="e">
        <f t="shared" ca="1" si="1142"/>
        <v>#N/A</v>
      </c>
      <c r="IU319" s="217" t="e">
        <f t="shared" ca="1" si="1106"/>
        <v>#N/A</v>
      </c>
      <c r="IV319" s="217" t="e">
        <f t="shared" ca="1" si="1143"/>
        <v>#N/A</v>
      </c>
      <c r="IW319" s="217" t="e">
        <f ca="1">IF(OR($AW319=1,AND($AW319=0, Control!$B$18=1,$EN319&lt;&gt;0)), $IQ319-$IU319, $IQ319)</f>
        <v>#N/A</v>
      </c>
      <c r="IX319" s="218" t="e">
        <f t="shared" ca="1" si="993"/>
        <v>#N/A</v>
      </c>
      <c r="IY319" s="218" t="e">
        <f ca="1">MAX(0,$IQ319-$EB319*Control!$C$159)</f>
        <v>#N/A</v>
      </c>
      <c r="IZ319" s="218" t="e">
        <f t="shared" ca="1" si="994"/>
        <v>#N/A</v>
      </c>
      <c r="JA319" s="216" t="e">
        <f t="shared" ca="1" si="995"/>
        <v>#N/A</v>
      </c>
      <c r="JB319" s="217" t="e">
        <f t="shared" ca="1" si="996"/>
        <v>#N/A</v>
      </c>
      <c r="JC319" s="222" t="e">
        <f ca="1">MAX(Control!$C$157*$EK319-$JT319, 0)/Control!$C$162</f>
        <v>#N/A</v>
      </c>
      <c r="JD319" s="218" t="e">
        <f t="shared" ca="1" si="997"/>
        <v>#N/A</v>
      </c>
      <c r="JE319" s="218" t="e">
        <f t="shared" ca="1" si="998"/>
        <v>#N/A</v>
      </c>
      <c r="JF319" s="218" t="e">
        <f t="shared" ca="1" si="1107"/>
        <v>#N/A</v>
      </c>
      <c r="JG319" s="218" t="e">
        <f t="shared" ca="1" si="999"/>
        <v>#N/A</v>
      </c>
      <c r="JH319" s="217" t="e">
        <f t="shared" ca="1" si="1108"/>
        <v>#N/A</v>
      </c>
      <c r="JI319" s="217" t="e">
        <f t="shared" ca="1" si="1109"/>
        <v>#N/A</v>
      </c>
      <c r="JJ319" s="217" t="e">
        <f t="shared" ca="1" si="1144"/>
        <v>#N/A</v>
      </c>
      <c r="JK319" s="217" t="e">
        <f ca="1">IF(Control!$C$114=1,IF(Control!$B$24=0,MAX(0,$JI319)*$GN319/Control!$C$64,(MAX(0,MIN($JI319,$JJ319*$GN319/Control!$C$64),0))))</f>
        <v>#N/A</v>
      </c>
      <c r="JL319" s="217" t="e">
        <f ca="1">$IK319/Control!$C$64-$JK319+$HQ319</f>
        <v>#N/A</v>
      </c>
      <c r="JM319" s="217" t="e">
        <f ca="1">IF(Control!$C$114=1,($JB319/(IF($JI319&lt;&gt;0,$JI319,1)))*$JK319,0)</f>
        <v>#N/A</v>
      </c>
      <c r="JN319" s="217" t="e">
        <f ca="1">IF(Control!$C$114=1,($JG319/(IF($JI319&lt;&gt;0,$JI319,1)))*$JK319, 0)</f>
        <v>#N/A</v>
      </c>
      <c r="JO319" s="218" t="e">
        <f t="shared" ca="1" si="1000"/>
        <v>#N/A</v>
      </c>
      <c r="JP319" s="218" t="e">
        <f ca="1">MIN(($IY319+$IO319)*Control!$C$151, $JF319-$EH319*Control!$C$161)</f>
        <v>#N/A</v>
      </c>
      <c r="JQ319" s="218" t="e">
        <f t="shared" ca="1" si="1001"/>
        <v>#N/A</v>
      </c>
      <c r="JR319" s="217" t="e">
        <f ca="1">IF($CP319-Control!$C$150&lt;0, 0, $JQ319/Control!$C$162)</f>
        <v>#N/A</v>
      </c>
      <c r="JS319" s="218" t="e">
        <f t="shared" ca="1" si="1002"/>
        <v>#N/A</v>
      </c>
      <c r="JT319" s="218" t="e">
        <f t="shared" ca="1" si="1110"/>
        <v>#N/A</v>
      </c>
      <c r="JU319" s="218" t="e">
        <f t="shared" ca="1" si="1003"/>
        <v>#N/A</v>
      </c>
      <c r="JV319" s="218" t="e">
        <f t="shared" ca="1" si="1004"/>
        <v>#N/A</v>
      </c>
      <c r="JW319" s="216" t="e">
        <f t="shared" ca="1" si="1005"/>
        <v>#N/A</v>
      </c>
      <c r="JX319" s="91" t="e">
        <f t="shared" ca="1" si="1006"/>
        <v>#N/A</v>
      </c>
      <c r="JY319" s="218" t="e">
        <f t="shared" ca="1" si="1007"/>
        <v>#N/A</v>
      </c>
      <c r="JZ319" s="217" t="e">
        <f ca="1">IF(Control!$C$114=1,($IZ319/(IF($JI319&lt;&gt;0,$JI319,1)))*$JK319, 0)</f>
        <v>#N/A</v>
      </c>
      <c r="KA319" s="218" t="e">
        <f t="shared" ca="1" si="1145"/>
        <v>#N/A</v>
      </c>
      <c r="KB319" s="218" t="e">
        <f t="shared" ca="1" si="1111"/>
        <v>#N/A</v>
      </c>
      <c r="KC319" s="218" t="e">
        <f t="shared" ca="1" si="1008"/>
        <v>#N/A</v>
      </c>
      <c r="KD319" s="218" t="e">
        <f t="shared" ca="1" si="1009"/>
        <v>#N/A</v>
      </c>
      <c r="KE319" s="218" t="e">
        <f t="shared" ca="1" si="1010"/>
        <v>#N/A</v>
      </c>
      <c r="KF319" s="218" t="e">
        <f t="shared" ca="1" si="1011"/>
        <v>#N/A</v>
      </c>
      <c r="KG319" s="216" t="e">
        <f t="shared" ca="1" si="1012"/>
        <v>#N/A</v>
      </c>
      <c r="KH319" s="221" t="e">
        <f ca="1">IF(Control!$B$24=0,1,MAX(0.001,MIN(1,IF(($IF319-$IE319)&lt;&gt;0,($KG319-$IE319)/($IF319-$IE319),1))))</f>
        <v>#N/A</v>
      </c>
      <c r="KI319" s="222" t="e">
        <f ca="1">IF(Control!$C$114=1, $KI318+ $KH318, 0)</f>
        <v>#N/A</v>
      </c>
      <c r="KJ319" s="217" t="e">
        <f t="shared" ca="1" si="1013"/>
        <v>#N/A</v>
      </c>
      <c r="KK319" s="218" t="e">
        <f t="shared" ca="1" si="1014"/>
        <v>#N/A</v>
      </c>
      <c r="KL319" s="274" t="e">
        <f ca="1">IF(Control!$B$26=3,4000000000*EXP(-8400/($G319+273)),IF(Control!$B$26=4,4000000000*EXP(-8400/($G319+273))*($KT319),0))</f>
        <v>#DIV/0!</v>
      </c>
      <c r="KM319" s="274" t="e">
        <f ca="1">IF(Control!$B$26=3,5600000000000*EXP(-9800/($G319+273)),IF(Control!$B$26=4,5600000000000*EXP(-9800/($G319+273))*$KT319,0))</f>
        <v>#DIV/0!</v>
      </c>
      <c r="KN319" s="454" t="e">
        <f t="shared" ca="1" si="1112"/>
        <v>#DIV/0!</v>
      </c>
      <c r="KO319" s="274" t="e">
        <f t="shared" ca="1" si="1113"/>
        <v>#DIV/0!</v>
      </c>
      <c r="KP319" s="454" t="e">
        <f t="shared" ca="1" si="1015"/>
        <v>#DIV/0!</v>
      </c>
      <c r="KQ319" s="454" t="e">
        <f t="shared" ca="1" si="1016"/>
        <v>#DIV/0!</v>
      </c>
      <c r="KR319" s="454" t="e">
        <f t="shared" ca="1" si="1017"/>
        <v>#DIV/0!</v>
      </c>
      <c r="KS319" s="454" t="e">
        <f t="shared" ca="1" si="1018"/>
        <v>#DIV/0!</v>
      </c>
      <c r="KT319" s="455" t="e">
        <f t="shared" ca="1" si="1019"/>
        <v>#DIV/0!</v>
      </c>
      <c r="KU319" s="456" t="e">
        <f ca="1">IF($CP319-Control!$C$149&lt;0, IF($NT319-0.01&lt;0,0,1),0)</f>
        <v>#N/A</v>
      </c>
      <c r="KV319" s="456" t="e">
        <f ca="1">IF(Control!$C$114=1,MAX(0,MIN(Control!$C$125*$KW319*$GN319,$KW319)))</f>
        <v>#DIV/0!</v>
      </c>
      <c r="KW319" s="456" t="e">
        <f t="shared" ca="1" si="1146"/>
        <v>#DIV/0!</v>
      </c>
      <c r="KX319" s="457" t="e">
        <f ca="1">IF($CP319-Control!$C$149&lt;0, IF($MR319-$OM319&lt;0,0,1),0)</f>
        <v>#N/A</v>
      </c>
      <c r="KY319" s="167">
        <f t="shared" ca="1" si="1114"/>
        <v>315</v>
      </c>
      <c r="KZ319" s="168">
        <f ca="1">1370*(1+0.033*COS(2*Control!$C$138*$AH319/365))</f>
        <v>1399.4727883134281</v>
      </c>
      <c r="LA319" s="169">
        <f t="shared" ca="1" si="1115"/>
        <v>1.0215126668639976</v>
      </c>
      <c r="LB319" s="169">
        <f t="shared" ca="1" si="1116"/>
        <v>-0.3180493607213899</v>
      </c>
      <c r="LC319" s="169">
        <f ca="1">ACOS(-TAN((2*Control!$B$8/360))*TAN(Calculations!$LB319))</f>
        <v>1.4727925369239732</v>
      </c>
      <c r="LD319" s="169">
        <f ca="1">((24*60)/PI())*0.082*$LA319*(($LC319*SIN(Control!$B$8*2*PI()/360))*SIN($LB319)+COS(Control!$B$8*2*PI()/360)*COS($LB319)*SIN($LC319))</f>
        <v>8.4103139941801022</v>
      </c>
      <c r="LE319" s="170">
        <f t="shared" ca="1" si="1020"/>
        <v>9.7569118877056997</v>
      </c>
      <c r="LF319" s="170">
        <f ca="1">SIN(Control!$C$139*Control!$B$8)*SIN($HD319)</f>
        <v>-0.24214242788197587</v>
      </c>
      <c r="LG319" s="170">
        <f ca="1">COS(Control!$C$139*Control!$B$8)*COS($HD319)</f>
        <v>0.58587313147352771</v>
      </c>
      <c r="LH319" s="170">
        <f ca="1">12*(1+2*ASIN(MAX(-1,MIN(1,$LF319/$LG319))/Control!$C$138))</f>
        <v>8.8334347191577063</v>
      </c>
      <c r="LI319" s="170">
        <f ca="1">12*(1+2*ASIN(MAX(-1,MIN(1,(-SIN(-4*Control!$C$139)+$LF319)/$LG319))/Control!$C$138))</f>
        <v>9.7488977472791589</v>
      </c>
      <c r="LJ319" s="168">
        <f ca="1">3600*($LH319*$LF319+24*$LG319*SQRT(1-$LK319*$LK319)/Control!$C$138)</f>
        <v>6971.8482339797574</v>
      </c>
      <c r="LK319" s="170">
        <f t="shared" ca="1" si="1021"/>
        <v>-0.41330181377829051</v>
      </c>
      <c r="LL319" s="170">
        <f t="shared" ca="1" si="1022"/>
        <v>0</v>
      </c>
      <c r="LM319" s="171">
        <f ca="1">Control!$C$145*$AB319</f>
        <v>6.6660906138995932E-2</v>
      </c>
      <c r="LN319" s="170">
        <f t="shared" ca="1" si="1117"/>
        <v>0.54</v>
      </c>
      <c r="LO319" s="170">
        <f t="shared" ca="1" si="1023"/>
        <v>0</v>
      </c>
      <c r="LP319" s="170">
        <f ca="1">Control!$C$140*((($D319+273.16)^4+($E319+273.16)^4)/2)*(0.34-0.14*SQRT($Y319))*(1.35*$AQ319/(0.75*$LD319)-0.35)</f>
        <v>-3.2464704755046001</v>
      </c>
      <c r="LQ319" s="170">
        <f ca="1">Control!$C$140*($G319+273)^4*(0.56-0.079*SQRT($Y319*10))*(0.1+0.9*$LO319)</f>
        <v>1.5241745131704001</v>
      </c>
      <c r="LR319" s="170">
        <f ca="1">$AQ319*(1-Control!$C$142)-$LQ319</f>
        <v>-1.5241745131704001</v>
      </c>
      <c r="LS319" s="170">
        <f ca="1">$AQ319*(1-Control!$C$143)-$LQ319</f>
        <v>-1.5241745131704001</v>
      </c>
      <c r="LT319" s="170">
        <f ca="1">$AQ319*(1-Control!$C$144)-$LQ319</f>
        <v>-1.5241745131704001</v>
      </c>
      <c r="LU319" s="169">
        <f ca="1">(1-Control!$C$144)*AQ319-LP319</f>
        <v>3.2464704755046001</v>
      </c>
      <c r="LV319" s="172">
        <f t="shared" ca="1" si="1024"/>
        <v>0.79430000000000012</v>
      </c>
      <c r="LW319" s="170">
        <f t="shared" ca="1" si="1025"/>
        <v>1.5886000000000002</v>
      </c>
      <c r="LX319" s="170">
        <f ca="1">($AC319*($LR319/Control!$C$141)+$LM319*$LV319)/($AC319+$LM319)</f>
        <v>0.23530094218323697</v>
      </c>
      <c r="LY319" s="170">
        <f ca="1">($AC319*($LS319/Control!$C$141)+$LM319*$LV319)/($AC319+$LM319)</f>
        <v>0.23530094218323697</v>
      </c>
      <c r="LZ319" s="170">
        <f t="shared" ca="1" si="1026"/>
        <v>0.23530094218323697</v>
      </c>
      <c r="MA319" s="170">
        <f t="shared" ca="1" si="1027"/>
        <v>0.23530094218323697</v>
      </c>
      <c r="MB319" s="170" t="e">
        <f t="shared" ca="1" si="1028"/>
        <v>#N/A</v>
      </c>
      <c r="MC319" s="170">
        <f t="shared" ca="1" si="1118"/>
        <v>0.6018</v>
      </c>
      <c r="MD319" s="170">
        <f t="shared" ca="1" si="1029"/>
        <v>0.52989392535414004</v>
      </c>
      <c r="ME319" s="170">
        <f ca="1">($AC319*($LT319/Control!$C$141)+$LM319*$LW319)/($AC319+$LM319)</f>
        <v>0.71612369323045078</v>
      </c>
      <c r="MF319" s="170" t="e">
        <f ca="1">IF(Control!$B$16&gt;=1000,0.92,IF(AND(720&lt;=Control!$B$16,1000&gt;Control!$B$16),(0.95+(Control!$B$16-720)*((0.92-0.95)/(1000-720))),IF(AND(360&lt;=Control!$B$16,720&gt;Control!$B$16),(1+(Control!$B$16-360)*((0.95-1)/(720-360))),IF(AND(40&lt;=Control!$B$16,360&gt;Control!$B$16),(1.05+(Control!$B$16-40)*((1.05-1)/(360-40)))))))</f>
        <v>#N/A</v>
      </c>
      <c r="MG319" s="170">
        <f t="shared" ca="1" si="1030"/>
        <v>0.71612369323045078</v>
      </c>
      <c r="MH319" s="170" t="e">
        <f t="shared" ca="1" si="1157"/>
        <v>#N/A</v>
      </c>
      <c r="MI319" s="170" t="e">
        <f t="shared" ca="1" si="1157"/>
        <v>#N/A</v>
      </c>
      <c r="MJ319" s="170" t="e">
        <f ca="1">MAX(0.0001, Control!$C$132*$MI319*$DL319)</f>
        <v>#N/A</v>
      </c>
      <c r="MK319" s="170">
        <f ca="1">1/(0.76+1.5*($MG319/10))-(5-Control!$C$110)*0.1</f>
        <v>1.002845988140797</v>
      </c>
      <c r="ML319" s="173">
        <f ca="1">IF(Control!$C$110&lt;3,$MK319+($MG319-0.6)/(Control!$C$110*(Control!$C$110+3)), MAX(0.1, MIN(0.95,$MK319)))</f>
        <v>0.95</v>
      </c>
      <c r="MM319" s="173">
        <f ca="1">IF(Control!$C$110&lt;3,$MK319+(($MI319/10)-0.6)/(Control!$C$110*(Control!$C$110+3)), MAX(0.1, MIN(0.95,$MK319)))</f>
        <v>0.95</v>
      </c>
      <c r="MN319" s="173">
        <f ca="1">(1-$MM319)*(Control!$C$128-Control!$C$127)+Control!$C$127</f>
        <v>0.16</v>
      </c>
      <c r="MO319" s="170" t="e">
        <f ca="1">MAX(0,MIN(1,($MS319-Control!$C$127)/($MN319-Control!$C$127)))</f>
        <v>#DIV/0!</v>
      </c>
      <c r="MP319" s="173" t="e">
        <f ca="1">1/(0.76+1.5*$MI319)-(5-Control!$C$110)*0.1</f>
        <v>#N/A</v>
      </c>
      <c r="MQ319" s="172" t="e">
        <f t="shared" ca="1" si="1147"/>
        <v>#DIV/0!</v>
      </c>
      <c r="MR319" s="168" t="e">
        <f t="shared" ca="1" si="1119"/>
        <v>#DIV/0!</v>
      </c>
      <c r="MS319" s="173" t="e">
        <f ca="1">MAX(Control!$C$127, MIN(Control!$C$135, $MR319/MAX(0.0001,$CY319)))</f>
        <v>#DIV/0!</v>
      </c>
      <c r="MT319" s="168" t="e">
        <f ca="1">(Control!$C$128-$MS319)*Control!$C$74</f>
        <v>#DIV/0!</v>
      </c>
      <c r="MU319" s="168" t="e">
        <f ca="1">(Control!$C$135-$MS319)*Control!$C$74</f>
        <v>#DIV/0!</v>
      </c>
      <c r="MV319" s="168" t="e">
        <f t="shared" ca="1" si="1120"/>
        <v>#DIV/0!</v>
      </c>
      <c r="MW319" s="168" t="e">
        <f t="shared" ca="1" si="1121"/>
        <v>#DIV/0!</v>
      </c>
      <c r="MX319" s="171" t="e">
        <f ca="1">MAX(Control!$C$127, MIN(Control!$C$135, $MW319/MAX(0.0001,Control!$C$119-$CY319)))</f>
        <v>#DIV/0!</v>
      </c>
      <c r="MY319" s="54" t="e">
        <f ca="1">IF(Control!$C$114=1, $CX319*$MX319, 0)</f>
        <v>#DIV/0!</v>
      </c>
      <c r="MZ319" s="54" t="e">
        <f t="shared" ca="1" si="1122"/>
        <v>#N/A</v>
      </c>
      <c r="NA319" s="168" t="e">
        <f ca="1">(Control!$C$128-$MX319)*(Control!$C$119-Control!$C$74)</f>
        <v>#DIV/0!</v>
      </c>
      <c r="NB319" s="168" t="e">
        <f ca="1">(Control!$C$135-$MX319)*(Control!$C$119-Control!$C$74)</f>
        <v>#DIV/0!</v>
      </c>
      <c r="NC319" s="174" t="e">
        <f t="shared" ca="1" si="1123"/>
        <v>#DIV/0!</v>
      </c>
      <c r="ND319" s="54">
        <f ca="1">IF(Control!$C$58=2, IF(OR(Control!$B$218=$AH319,Control!$B$219=$AH319, Control!$B$220=$AH319, Control!$B$221=$AH319, Control!$B$222=$AH319, Control!$B$223=$AH319, Control!$B$224=$AH319, Control!$B$225=$AH319, Control!$B$226=$AH319, Control!$B$227=$AH319, Control!$B$228=$AH319), 1, 0), 0)</f>
        <v>0</v>
      </c>
      <c r="NE319" s="54">
        <f ca="1">IF($ND319=0,0, VLOOKUP($AH319,Control!$B$218:$C$228,2))</f>
        <v>0</v>
      </c>
      <c r="NF319" s="168" t="e">
        <f ca="1">$CY319*(Control!$C$128-Control!$C$127)</f>
        <v>#N/A</v>
      </c>
      <c r="NG319" s="54" t="e">
        <f ca="1">IF(Control!$C$58=2, $NI318-$NJ318, 0)</f>
        <v>#DIV/0!</v>
      </c>
      <c r="NH319" s="54" t="e">
        <f ca="1">IF(AND(Control!$C$58=1, $MS318&lt;= ($MN318+0.02), $I318&lt;10), 0, IF(Control!$C$58=2, $NG318, 0))</f>
        <v>#DIV/0!</v>
      </c>
      <c r="NI319" s="54" t="e">
        <f ca="1">IF(Control!$C$58=2, $NE319+$NH319,0)</f>
        <v>#DIV/0!</v>
      </c>
      <c r="NJ319" s="54" t="e">
        <f ca="1">IF(AND(Control!$C$58=1, $MS319&lt;= ($MN319+0.02), $I319&lt;10), MAX(0, MIN(10, 0.7*($NF319-$MV319))), IF(Control!$C$58=2, MIN(10,$NI319),0))</f>
        <v>#DIV/0!</v>
      </c>
      <c r="NK319" s="54" t="e">
        <f t="shared" ca="1" si="1031"/>
        <v>#DIV/0!</v>
      </c>
      <c r="NL319" s="173" t="e">
        <f ca="1">(1-Control!$C$73)*$I319+$NJ319</f>
        <v>#DIV/0!</v>
      </c>
      <c r="NM319" s="172" t="e">
        <f ca="1">IF($NL319&lt;0.5, $MB319* MAX(0, MIN(1, (SQRT($NC319)-SQRT($NC319-1))*Control!$C$71)),0)</f>
        <v>#DIV/0!</v>
      </c>
      <c r="NN319" s="170" t="e">
        <f ca="1">IF($NL319&gt;=5, $MB319, MAX(0,MIN($MB319, $NM319+$NL319,($MS319-Control!$C$129))))</f>
        <v>#DIV/0!</v>
      </c>
      <c r="NO319" s="54">
        <f>IF(Control!$C$133&lt;&gt;1, Control!$C$135-Control!$C$131, 0)</f>
        <v>0.38</v>
      </c>
      <c r="NP319" s="54" t="e">
        <f t="shared" ca="1" si="1032"/>
        <v>#DIV/0!</v>
      </c>
      <c r="NQ319" s="173" t="e">
        <f ca="1">MAX(0,MIN(1,(Control!$C$135-$MS319)/(Control!$C$135-$NO319)))</f>
        <v>#DIV/0!</v>
      </c>
      <c r="NR319" s="170" t="e">
        <f ca="1">IF(Control!$C$133&lt;&gt;1, $NQ319+((1-$NP319/4)*(1-$NQ319)),1)</f>
        <v>#DIV/0!</v>
      </c>
      <c r="NS319" s="170" t="e">
        <f ca="1">IF(Control!$B$31=0,$MJ319,MAX(0,MIN($MV319,$MO319*$NR319*$MJ319)))</f>
        <v>#DIV/0!</v>
      </c>
      <c r="NT319" s="170" t="e">
        <f t="shared" ca="1" si="1148"/>
        <v>#DIV/0!</v>
      </c>
      <c r="NU319" s="170" t="e">
        <f t="shared" ca="1" si="1124"/>
        <v>#N/A</v>
      </c>
      <c r="NV319" s="170" t="e">
        <f t="shared" ca="1" si="1033"/>
        <v>#N/A</v>
      </c>
      <c r="NW319" s="175" t="e">
        <f t="shared" ca="1" si="1034"/>
        <v>#DIV/0!</v>
      </c>
      <c r="NX319" s="170" t="e">
        <f ca="1">MIN(Control!$C$72+$MU319, $NW319)</f>
        <v>#DIV/0!</v>
      </c>
      <c r="NY319" s="170" t="e">
        <f ca="1">IF($MT319&lt;=$NX319,MIN(Control!$C$72+$NB319,$NX319-$MT319),0)</f>
        <v>#DIV/0!</v>
      </c>
      <c r="NZ319" s="54" t="e">
        <f ca="1">IF(Control!$C$114=1,  $CX319*($MX319-Control!$C$127), 0)</f>
        <v>#DIV/0!</v>
      </c>
      <c r="OA319" s="170" t="e">
        <f t="shared" ca="1" si="1035"/>
        <v>#DIV/0!</v>
      </c>
      <c r="OB319" s="170" t="e">
        <f ca="1">IF($NA319 &lt;=$NY319, MIN(Control!$C$72, $NY319-$NA319), 0)</f>
        <v>#DIV/0!</v>
      </c>
      <c r="OC319" s="168" t="e">
        <f t="shared" ca="1" si="1036"/>
        <v>#DIV/0!</v>
      </c>
      <c r="OD319" s="168" t="e">
        <f t="shared" ca="1" si="1125"/>
        <v>#DIV/0!</v>
      </c>
      <c r="OE319" s="170">
        <f ca="1">Control!$C$73*$I319</f>
        <v>0</v>
      </c>
      <c r="OF319" s="176" t="e">
        <f t="shared" ca="1" si="1037"/>
        <v>#DIV/0!</v>
      </c>
      <c r="OG319" s="168" t="e">
        <f t="shared" ca="1" si="1038"/>
        <v>#DIV/0!</v>
      </c>
      <c r="OH319" s="168" t="e">
        <f t="shared" ca="1" si="1039"/>
        <v>#DIV/0!</v>
      </c>
      <c r="OI319" s="168" t="e">
        <f t="shared" ca="1" si="1040"/>
        <v>#DIV/0!</v>
      </c>
      <c r="OJ319" s="168" t="e">
        <f t="shared" ca="1" si="1041"/>
        <v>#DIV/0!</v>
      </c>
      <c r="OK319" s="204" t="e">
        <f t="shared" ca="1" si="1042"/>
        <v>#DIV/0!</v>
      </c>
      <c r="OL319" s="177">
        <f>Control!$C$127</f>
        <v>0.15</v>
      </c>
      <c r="OM319" s="182" t="e">
        <f t="shared" ca="1" si="1043"/>
        <v>#N/A</v>
      </c>
      <c r="ON319" s="177">
        <f>Control!$C$128</f>
        <v>0.35</v>
      </c>
      <c r="OO319" s="182" t="e">
        <f t="shared" ca="1" si="1044"/>
        <v>#N/A</v>
      </c>
      <c r="OP319" s="138">
        <f t="shared" ca="1" si="1126"/>
        <v>0</v>
      </c>
      <c r="OQ319" s="138" t="e">
        <f t="shared" ca="1" si="1149"/>
        <v>#DIV/0!</v>
      </c>
      <c r="OR319" s="138" t="e">
        <f t="shared" ca="1" si="1127"/>
        <v>#DIV/0!</v>
      </c>
      <c r="OS319" s="137" t="e">
        <f t="shared" ca="1" si="1150"/>
        <v>#DIV/0!</v>
      </c>
      <c r="OT319" s="139" t="e">
        <f t="shared" ca="1" si="1151"/>
        <v>#DIV/0!</v>
      </c>
      <c r="OU319" s="138" t="e">
        <f t="shared" ca="1" si="1152"/>
        <v>#N/A</v>
      </c>
      <c r="OV319" s="138" t="e">
        <f t="shared" ca="1" si="1153"/>
        <v>#DIV/0!</v>
      </c>
      <c r="OW319" s="138" t="e">
        <f t="shared" ca="1" si="1128"/>
        <v>#DIV/0!</v>
      </c>
      <c r="OX319" s="138" t="e">
        <f t="shared" ca="1" si="1129"/>
        <v>#DIV/0!</v>
      </c>
      <c r="OY319" s="138" t="e">
        <f t="shared" ca="1" si="1130"/>
        <v>#DIV/0!</v>
      </c>
      <c r="OZ319" s="138" t="e">
        <f t="shared" ca="1" si="1045"/>
        <v>#DIV/0!</v>
      </c>
      <c r="PA319" s="138" t="e">
        <f t="shared" ca="1" si="1046"/>
        <v>#DIV/0!</v>
      </c>
      <c r="PB319" s="55">
        <f>IF(Control!$C$61="T", IF(Control!$C$65="F", IF($AH$6-Control!$C$60&lt;0,0,1), IF(365+$AH$6-Control!$C$60&lt;0,0,1)),0)</f>
        <v>0</v>
      </c>
      <c r="PC319" s="55">
        <f ca="1">IF(Control!$C$65="F", IF($AH$6-$HF319&lt;0,0,1), IF(365+$AH$6-$HF319&lt;0,0,1))</f>
        <v>1</v>
      </c>
      <c r="PD319" s="444">
        <f>Control!$C$118</f>
        <v>1500</v>
      </c>
      <c r="PE319" s="180" t="e">
        <f t="shared" ca="1" si="1047"/>
        <v>#N/A</v>
      </c>
      <c r="PF319" s="445">
        <f t="shared" ca="1" si="1131"/>
        <v>0.71612369323045078</v>
      </c>
      <c r="PT319" s="186"/>
      <c r="PU319" s="186"/>
      <c r="PV319" s="94"/>
      <c r="PW319" s="94"/>
      <c r="PX319" s="94"/>
      <c r="PY319" s="94"/>
      <c r="PZ319" s="94"/>
      <c r="QA319" s="94"/>
      <c r="QB319" s="94"/>
      <c r="QC319" s="94"/>
      <c r="QD319" s="94"/>
      <c r="QE319" s="94"/>
      <c r="QF319" s="94"/>
      <c r="QG319" s="94"/>
      <c r="QH319" s="94"/>
      <c r="QI319" s="94"/>
      <c r="QJ319" s="94"/>
      <c r="QK319" s="94"/>
      <c r="QL319" s="94"/>
      <c r="QM319" s="94"/>
      <c r="QN319" s="94"/>
      <c r="QO319" s="94"/>
      <c r="QP319" s="94"/>
    </row>
    <row r="320" spans="1:458" s="2" customFormat="1" x14ac:dyDescent="0.2">
      <c r="A320" s="395">
        <v>11</v>
      </c>
      <c r="B320" s="396">
        <v>11</v>
      </c>
      <c r="C320" s="387">
        <f ca="1">Weather_data!$B319</f>
        <v>0</v>
      </c>
      <c r="D320" s="388">
        <f ca="1">Weather_data!$F319</f>
        <v>0</v>
      </c>
      <c r="E320" s="388">
        <f ca="1">Weather_data!$E319</f>
        <v>0</v>
      </c>
      <c r="F320" s="388">
        <f t="shared" ca="1" si="1048"/>
        <v>0</v>
      </c>
      <c r="G320" s="388">
        <f ca="1">AVERAGE($D320:$E320)+Control!$B$9</f>
        <v>0</v>
      </c>
      <c r="H320" s="388">
        <f ca="1">Weather_data!$G319</f>
        <v>0</v>
      </c>
      <c r="I320" s="388">
        <f ca="1">Weather_data!$I319</f>
        <v>0</v>
      </c>
      <c r="J320" s="388">
        <f ca="1">Weather_data!$H319</f>
        <v>0</v>
      </c>
      <c r="K320" s="389">
        <f ca="1">Weather_data!$D319</f>
        <v>0</v>
      </c>
      <c r="L320" s="388" t="e">
        <f t="shared" ca="1" si="1049"/>
        <v>#N/A</v>
      </c>
      <c r="M320" s="388" t="e">
        <f t="shared" ca="1" si="927"/>
        <v>#N/A</v>
      </c>
      <c r="N320" s="388">
        <f t="shared" ca="1" si="928"/>
        <v>-2.143472757868701E-15</v>
      </c>
      <c r="O320" s="388">
        <f t="shared" ca="1" si="1050"/>
        <v>2.1434727578687008E-14</v>
      </c>
      <c r="P320" s="390">
        <v>3</v>
      </c>
      <c r="Q320" s="388">
        <f ca="1">MAX($G320-Control!$C$107,0)</f>
        <v>0</v>
      </c>
      <c r="R320" s="388">
        <f t="shared" ca="1" si="1051"/>
        <v>0</v>
      </c>
      <c r="S320" s="388">
        <f t="shared" ca="1" si="929"/>
        <v>0</v>
      </c>
      <c r="T320" s="388">
        <f t="shared" ca="1" si="930"/>
        <v>0</v>
      </c>
      <c r="U320" s="59">
        <f t="shared" ca="1" si="931"/>
        <v>0</v>
      </c>
      <c r="V320" s="391">
        <f ca="1">MAX(0,MIN(Control!$C$100-Control!$C$99,$G320-Control!$C$99)*Control!$C$63)</f>
        <v>0</v>
      </c>
      <c r="W320" s="388">
        <f t="shared" ca="1" si="1052"/>
        <v>0</v>
      </c>
      <c r="X320" s="388">
        <f t="shared" ca="1" si="1053"/>
        <v>0.6110000000000001</v>
      </c>
      <c r="Y320" s="388">
        <f t="shared" ca="1" si="932"/>
        <v>0</v>
      </c>
      <c r="Z320" s="388">
        <f t="shared" ca="1" si="1054"/>
        <v>0.61058800000000002</v>
      </c>
      <c r="AA320" s="388">
        <f t="shared" ca="1" si="933"/>
        <v>0.6018</v>
      </c>
      <c r="AB320" s="388">
        <f ca="1">101.3*EXP(-0.034*Control!$C$66/($G320+273))</f>
        <v>100.69623283836242</v>
      </c>
      <c r="AC320" s="392">
        <f t="shared" ca="1" si="934"/>
        <v>4.3460251046025113E-2</v>
      </c>
      <c r="AD320" s="392">
        <f t="shared" ca="1" si="935"/>
        <v>4.4450382862832649E-2</v>
      </c>
      <c r="AE320" s="388">
        <f t="shared" ca="1" si="936"/>
        <v>0</v>
      </c>
      <c r="AF320" s="388">
        <f ca="1">MAX(0,$G320-Control!$C$92)</f>
        <v>0</v>
      </c>
      <c r="AG320" s="393">
        <f t="shared" ca="1" si="937"/>
        <v>316</v>
      </c>
      <c r="AH320" s="389">
        <f t="shared" ca="1" si="938"/>
        <v>316</v>
      </c>
      <c r="AI320" s="388">
        <f t="shared" ca="1" si="1055"/>
        <v>-0.31686566289567791</v>
      </c>
      <c r="AJ320" s="388">
        <f ca="1">IF(Control!$C$60&lt;=0,$HH320,$HI320)</f>
        <v>1</v>
      </c>
      <c r="AK320" s="388">
        <f t="shared" ca="1" si="939"/>
        <v>4.0625526917654309</v>
      </c>
      <c r="AL320" s="388">
        <f t="shared" ca="1" si="940"/>
        <v>2.5243071521963143E-18</v>
      </c>
      <c r="AM320" s="388">
        <f t="shared" ca="1" si="941"/>
        <v>4.0625526917654309</v>
      </c>
      <c r="AN320" s="388">
        <f t="shared" ca="1" si="942"/>
        <v>-0.32227108644430075</v>
      </c>
      <c r="AO320" s="388">
        <f ca="1">-0.10453/COS(Control!$B$8*PI()/180)*COS(AN320)</f>
        <v>-0.1610440954128731</v>
      </c>
      <c r="AP320" s="388">
        <f ca="1">ACOS(AO320-TAN(Control!$B$8*PI()/180)*TAN(AN320))</f>
        <v>1.3011988008232049</v>
      </c>
      <c r="AQ320" s="388">
        <f t="shared" ca="1" si="1056"/>
        <v>0</v>
      </c>
      <c r="AR320" s="394">
        <f t="shared" ca="1" si="943"/>
        <v>0</v>
      </c>
      <c r="AS320" s="436">
        <f ca="1">IF(Control!$B$18=2,(IF(OR($AH320=Control!$B$175,$AH320=Control!$B$176,$AH320=Control!$B$177,$AH320=Control!$B$178,$AH320=Control!$B$179,$AH320=Control!$B$180,$AH320=Control!$B$181,$AH320=Control!$B$182,$AH320=Control!$B$183,$AH320=Control!$B$184,$AH320=Control!$B$185),1,0)),0)</f>
        <v>0</v>
      </c>
      <c r="AT320" s="436">
        <f>IF(Control!$B$20=8,IF(AND($AH320&gt;=Control!$B$172,$AH320&lt;=Control!$B$173),1,0),0)</f>
        <v>0</v>
      </c>
      <c r="AU320" s="436">
        <f>IF(Control!$B$20=8,IF($AV319=1,1*$AT320,IF($AT320=1,$AU319+1,$AU319)),0)</f>
        <v>0</v>
      </c>
      <c r="AV320" s="436">
        <f>IF(Control!$B$20=8,IF($AU320&gt;=Control!$B$174,1,0),0)</f>
        <v>0</v>
      </c>
      <c r="AW320" s="436">
        <f ca="1">IF(AND(Control!$B$18=2,Control!$B$171=1), $AV320, $AS320)</f>
        <v>0</v>
      </c>
      <c r="AX320" s="436" t="e">
        <f ca="1">IF(AND(Control!$B$18=1,$EU320&gt;=Control!$B$19),-$AY320,IF(AND(Control!$B$18=2,$AW320=1,$EU320&gt;$DS320),-$AY320, IF(Control!$C$108=0,0, IF(Control!$C$108&lt;&gt;0,1))))</f>
        <v>#N/A</v>
      </c>
      <c r="AY320" s="436" t="e">
        <f t="shared" ca="1" si="1057"/>
        <v>#N/A</v>
      </c>
      <c r="AZ320" s="436" t="e">
        <f ca="1">IF(AND(Control!$B$18=1,$EB320&gt;Control!$B$19),$AZ319+1, IF(AND(Control!$B$18=2, $AW320=1, $EB320&gt;$DS320), $AZ319+1,$AZ319))</f>
        <v>#N/A</v>
      </c>
      <c r="BA320" s="587">
        <f>IF(Control!$C$81=0,1,IF($AH320&gt;=Control!$C$82,1,0))</f>
        <v>1</v>
      </c>
      <c r="BB320" s="140" t="e">
        <f ca="1">IF($BA320&gt;$BA319,Control!$C$83,IF($AW320&gt;0,$AW320*Control!$C$84,IF(AND(Control!$B$18=1,EN319&lt;&gt;0),Control!$C$84,0)))</f>
        <v>#N/A</v>
      </c>
      <c r="BC320" s="140" t="e">
        <f t="shared" ca="1" si="1058"/>
        <v>#N/A</v>
      </c>
      <c r="BD320" s="140" t="e">
        <f ca="1">BC320*IF(OR($G320&lt;Control!$C$92,$G320&gt;Control!$C$95),0,IF(AND($G320&gt;=Control!$C$92,$G320&lt;=Control!$C$93),$G320-Control!$C$92,IF(AND($G320&gt;Control!$C$93,$G320&lt;=Control!$C$94),Control!$C$93-Control!$C$92,IF(AND($G320&gt;Control!$C$94,$G320&lt;=Control!$C$95),(Control!$C$93-Control!$C$92)*(Control!$C$94-$G320)/(Control!$C$95-Control!$C$94)))))</f>
        <v>#N/A</v>
      </c>
      <c r="BE320" s="140" t="e">
        <f t="shared" ca="1" si="1059"/>
        <v>#N/A</v>
      </c>
      <c r="BF320" s="140" t="e">
        <f ca="1">IF($BE320&lt;=Control!$C$86,$BE320,Control!$C$86-$BE320)</f>
        <v>#N/A</v>
      </c>
      <c r="BG320" s="140" t="e">
        <f ca="1">IF(AND($AW320=1,Control!$C$84&lt;9),1,IF($BE320&gt;=Control!$C$86,0,$BC320))</f>
        <v>#N/A</v>
      </c>
      <c r="BH320" s="404" t="e">
        <f ca="1">IF($BG320=0,0,IF($BE320&lt;=Control!$C$86,$BC320*9*($BF320/Control!$C$86),0))</f>
        <v>#N/A</v>
      </c>
      <c r="BI320" s="140" t="e">
        <f ca="1">IF($BG320=1,0,IF($BE320&gt;=Control!$C$86,1,IF(AND($BB320&lt;21,$BB320&gt;=9),1,$BM319)))</f>
        <v>#N/A</v>
      </c>
      <c r="BJ320" s="140" t="e">
        <f ca="1">IF($BF320&lt;0,-$BF320,$BI320*IF(OR($G320&lt;Control!$C$92,$G320&gt;Control!$C$95),0,IF(AND($G320&gt;=Control!$C$92,$G320&lt;=Control!$C$93),$G320-Control!$C$92,IF(AND($G320&gt;Control!$C$93,$G320&lt;=Control!$C$94),Control!$C$93-Control!$C$92,IF(AND($G320&gt;Control!$C$94,$G320&lt;=Control!$C$95),(Control!$C$93-Control!$C$92)*(Control!$C$94-$G320)/(Control!$C$95-Control!$C$94))))))</f>
        <v>#N/A</v>
      </c>
      <c r="BK320" s="140" t="e">
        <f t="shared" ca="1" si="1060"/>
        <v>#N/A</v>
      </c>
      <c r="BL320" s="140" t="e">
        <f ca="1">IF($BK320&lt;=Control!$C$87,$BK320,Control!$C$87-$BK320)</f>
        <v>#N/A</v>
      </c>
      <c r="BM320" s="140" t="e">
        <f ca="1">IF(AND($BB320&gt;=9,$BB320&lt;21),1,IF($BK320&gt;=Control!$C$87,0,$BI320))</f>
        <v>#N/A</v>
      </c>
      <c r="BN320" s="404" t="e">
        <f ca="1">IF($BM320=0,0,IF($BK320&lt;=Control!$C$87,$BI320*(9+(21-9)*($BL320/Control!$C$87)),0))</f>
        <v>#N/A</v>
      </c>
      <c r="BO320" s="140" t="e">
        <f ca="1">IF($BM320=1,0,IF($BK320&gt;=Control!$C$87,1,IF(AND($BB320&lt;30,$BB320&gt;=21),1,$BS319)))</f>
        <v>#N/A</v>
      </c>
      <c r="BP320" s="140" t="e">
        <f ca="1">IF($BL320&lt;0,-$BL320,$BO320*IF(OR($G320&lt;Control!$C$92,$G320&gt;Control!$C$95),0,IF(AND($G320&gt;=Control!$C$92,$G320&lt;=Control!$C$93),$G320-Control!$C$92,IF(AND($G320&gt;Control!$C$93,$G320&lt;=Control!$C$94),Control!$C$93-Control!$C$92,IF(AND($G320&gt;Control!$C$94,$G320&lt;=Control!$C$95),(Control!$C$93-Control!$C$92)*(Control!$C$94-$G320)/(Control!$C$95-Control!$C$94))))))</f>
        <v>#N/A</v>
      </c>
      <c r="BQ320" s="140" t="e">
        <f t="shared" ca="1" si="944"/>
        <v>#N/A</v>
      </c>
      <c r="BR320" s="140" t="e">
        <f ca="1">IF($BQ320&lt;=Control!$C$88,$BQ320,Control!$C$88-$BQ320)</f>
        <v>#N/A</v>
      </c>
      <c r="BS320" s="140" t="e">
        <f ca="1">IF(AND($BB320&gt;=21,$BB320&lt;30),1,IF($BQ320&gt;=Control!$C$88,0,$BO320))</f>
        <v>#N/A</v>
      </c>
      <c r="BT320" s="404" t="e">
        <f ca="1">IF($BS320=0,0,IF($BQ320&lt;=Control!$C$88,$BO320*(21+(30-21)*(BR320/Control!$C$88)),0))</f>
        <v>#N/A</v>
      </c>
      <c r="BU320" s="140" t="e">
        <f ca="1">IF(BG320+BM320+BS320=1,0,IF(OR(AND($BB320&lt;60,$BB320&gt;=30),$BQ320&gt;=Control!$C$88),1*$BA320,$BY319))</f>
        <v>#N/A</v>
      </c>
      <c r="BV320" s="140" t="e">
        <f ca="1">IF($BR320&lt;0,-$BR320,$BU320*IF(OR($G320&lt;Control!$C$92,$G320&gt;Control!$C$95),0,IF(AND($G320&gt;=Control!$C$92,$G320&lt;=Control!$C$93),$G320-Control!$C$92,IF(AND($G320&gt;Control!$C$93,$G320&lt;=Control!$C$94),Control!$C$93-Control!$C$92,IF(AND($G320&gt;Control!$C$94,$G320&lt;=Control!$C$95),(Control!$C$93-Control!$C$92)*(Control!$C$94-$G320)/(Control!$C$95-Control!$C$94))))))</f>
        <v>#N/A</v>
      </c>
      <c r="BW320" s="140" t="e">
        <f t="shared" ca="1" si="945"/>
        <v>#N/A</v>
      </c>
      <c r="BX320" s="140" t="e">
        <f ca="1">IF($BW320&lt;=Control!$C$89,$BW320,Control!$C$89-$BW320)</f>
        <v>#N/A</v>
      </c>
      <c r="BY320" s="140" t="e">
        <f ca="1">IF(AND($AJ320&gt;=30,$AJ320&lt;60),1,IF($BW320&gt;=Control!$C$89,0,$BU320))</f>
        <v>#N/A</v>
      </c>
      <c r="BZ320" s="404" t="e">
        <f ca="1">IF($BY320=0,0,IF($BW320&lt;=Control!$C$89,$BU320*(30+(60-30)*(BX320/Control!$C$89)),0))</f>
        <v>#N/A</v>
      </c>
      <c r="CA320" s="140" t="e">
        <f ca="1">IF($BG320+$BM320+$BS320+$BY320=1,0,IF(OR(AND($BB320&lt;65,$BB320&gt;=60),$BW320&gt;=Control!$C$89),1*$BA320,$CE319))</f>
        <v>#N/A</v>
      </c>
      <c r="CB320" s="140" t="e">
        <f ca="1">IF($BX320&lt;0,-$BX320,$CA320*IF(OR($G320&lt;Control!$C$92,$G320&gt;Control!$C$95),0,IF(AND($G320&gt;=Control!$C$92,$G320&lt;=Control!$C$93),$G320-Control!$C$92,IF(AND($G320&gt;Control!$C$93,$G320&lt;=Control!$C$94),Control!$C$93-Control!$C$92,IF(AND($G320&gt;Control!$C$94,$G320&lt;=Control!$C$95),(Control!$C$93-Control!$C$92)*(Control!$C$94-$G320)/(Control!$C$95-Control!$C$94))))))</f>
        <v>#N/A</v>
      </c>
      <c r="CC320" s="140" t="e">
        <f t="shared" ca="1" si="1061"/>
        <v>#N/A</v>
      </c>
      <c r="CD320" s="140" t="e">
        <f ca="1">IF($CC320&lt;=Control!$C$90,$CC320,Control!$C$90-$CC320)</f>
        <v>#N/A</v>
      </c>
      <c r="CE320" s="140" t="e">
        <f ca="1">IF(AND($BB320&gt;=60,$BB320&lt;65),1,IF($CC320&gt;=Control!$C$90,0,$CA320))</f>
        <v>#N/A</v>
      </c>
      <c r="CF320" s="404" t="e">
        <f ca="1">IF($CE320=0,0,IF($CC320&lt;=Control!$C$90,$CA320*(60+(65-60)*(CD320/Control!$C$90)),0))</f>
        <v>#N/A</v>
      </c>
      <c r="CG320" s="140" t="e">
        <f ca="1">IF($BG320+$BM320+$BS320+$BY320+$CE320=1,0,IF(OR(AND($BB320&lt;90,$BB320&gt;=65),$CC320&gt;=Control!$C$90),$BA320,$CK319))</f>
        <v>#N/A</v>
      </c>
      <c r="CH320" s="140" t="e">
        <f ca="1">IF($CD320&lt;0,-$CD320,$CG320*IF(OR($G320&lt;Control!$C$92,$G320&gt;Control!$C$95),0,IF(AND($G320&gt;=Control!$C$92,$G320&lt;=Control!$C$93),$G320-Control!$C$92,IF(AND($G320&gt;Control!$C$93,$G320&lt;=Control!$C$94),Control!$C$93-Control!$C$92,IF(AND($G320&gt;Control!$C$94,$G320&lt;=Control!$C$95),(Control!$C$93-Control!$C$92)*(Control!$C$94-$G320)/(Control!$C$95-Control!$C$94))))))</f>
        <v>#N/A</v>
      </c>
      <c r="CI320" s="140" t="e">
        <f t="shared" ca="1" si="1062"/>
        <v>#N/A</v>
      </c>
      <c r="CJ320" s="140" t="e">
        <f ca="1">IF($CI320&lt;=Control!$C$91,$CI320,Control!$C$91-$CI320)</f>
        <v>#N/A</v>
      </c>
      <c r="CK320" s="140" t="e">
        <f ca="1">IF(AND($BB320&gt;=65,$BB320&lt;90),1,IF($CI320&gt;=Control!$C$91,0,$CG320))</f>
        <v>#N/A</v>
      </c>
      <c r="CL320" s="404" t="e">
        <f ca="1">IF($CK320=0,0,IF($CI320&lt;=Control!$C$91,$CG320*(65+(90-65)*($CJ320/Control!$C$91)),0))</f>
        <v>#N/A</v>
      </c>
      <c r="CM320" s="140" t="e">
        <f ca="1">IF($BG320+$BM320+$BS320+$BY320+$CE320+$CK320=1,0,IF(OR($BB320&gt;=90,$CI320&gt;=Control!$C$91),$BA320,$CM319))</f>
        <v>#N/A</v>
      </c>
      <c r="CN320" s="140" t="e">
        <f t="shared" ca="1" si="1063"/>
        <v>#N/A</v>
      </c>
      <c r="CO320" s="140" t="e">
        <f t="shared" ca="1" si="1064"/>
        <v>#N/A</v>
      </c>
      <c r="CP320" s="140" t="e">
        <f t="shared" ca="1" si="1065"/>
        <v>#N/A</v>
      </c>
      <c r="CQ320" s="141" t="e">
        <f ca="1">VLOOKUP($CP320,Control!$B$86:$G$91,6)</f>
        <v>#N/A</v>
      </c>
      <c r="CR320" s="141" t="e">
        <f ca="1">(1-$CQ320)*VLOOKUP($CP320,Control!$B$86:$D$91,3)</f>
        <v>#N/A</v>
      </c>
      <c r="CS320" s="141" t="e">
        <f ca="1">(1-$CQ320)*VLOOKUP($CP320,Control!$B$86:$E$91,4)</f>
        <v>#N/A</v>
      </c>
      <c r="CT320" s="141" t="e">
        <f ca="1">(1-$CQ320)*VLOOKUP($CP320,Control!$B$86:$F$91,5)</f>
        <v>#N/A</v>
      </c>
      <c r="CU320" s="141">
        <f t="shared" ca="1" si="1066"/>
        <v>0</v>
      </c>
      <c r="CV320" s="583">
        <f t="shared" ca="1" si="1067"/>
        <v>0</v>
      </c>
      <c r="CW320" s="142">
        <f t="shared" ca="1" si="1068"/>
        <v>316</v>
      </c>
      <c r="CX320" s="612" t="e">
        <f ca="1">IF(Control!$C$114=1,(MIN(Control!$C$120*(IF($NT320-0.01&lt;0,0,1)),Control!$C$119-$CY320)))</f>
        <v>#DIV/0!</v>
      </c>
      <c r="CY320" s="143" t="e">
        <f t="shared" ca="1" si="1069"/>
        <v>#N/A</v>
      </c>
      <c r="CZ320" s="144">
        <f t="shared" ca="1" si="946"/>
        <v>0</v>
      </c>
      <c r="DA320" s="144">
        <f t="shared" ca="1" si="947"/>
        <v>0</v>
      </c>
      <c r="DB320" s="144" t="e">
        <f t="shared" ca="1" si="948"/>
        <v>#N/A</v>
      </c>
      <c r="DC320" s="144" t="e">
        <f t="shared" ca="1" si="949"/>
        <v>#N/A</v>
      </c>
      <c r="DD320" s="144" t="e">
        <f t="shared" ca="1" si="1154"/>
        <v>#N/A</v>
      </c>
      <c r="DE320" s="143" t="e">
        <f t="shared" ca="1" si="1070"/>
        <v>#N/A</v>
      </c>
      <c r="DF320" s="145" t="e">
        <f ca="1">$DR320*EXP(-Control!$C$158*(1-$KH320))</f>
        <v>#N/A</v>
      </c>
      <c r="DG320" s="146" t="e">
        <f ca="1">IF(Control!$C$114=1, $DF320*$EY320, 0)</f>
        <v>#N/A</v>
      </c>
      <c r="DH320" s="147" t="e">
        <f t="shared" ca="1" si="1071"/>
        <v>#N/A</v>
      </c>
      <c r="DI320" s="144" t="e">
        <f t="shared" ca="1" si="1132"/>
        <v>#N/A</v>
      </c>
      <c r="DJ320" s="147" t="e">
        <f ca="1">$EF320*Control!$C$109</f>
        <v>#N/A</v>
      </c>
      <c r="DK320" s="144" t="e">
        <f t="shared" ca="1" si="1072"/>
        <v>#N/A</v>
      </c>
      <c r="DL320" s="144" t="e">
        <f t="shared" ca="1" si="950"/>
        <v>#N/A</v>
      </c>
      <c r="DM320" s="144" t="e">
        <f ca="1">IF(Control!$C$114=1, (1-EXP(-Control!$C$96*$DK320))*$AR320, 0)</f>
        <v>#N/A</v>
      </c>
      <c r="DN320" s="144">
        <f t="shared" ca="1" si="1073"/>
        <v>0</v>
      </c>
      <c r="DO320" s="148">
        <f>Control!$C$97</f>
        <v>4</v>
      </c>
      <c r="DP320" s="145" t="e">
        <f t="shared" ca="1" si="1074"/>
        <v>#N/A</v>
      </c>
      <c r="DQ320" s="145" t="e">
        <f ca="1">IF(AND($CP320&gt;=0,$CP320&lt;=90),Control!$C$111,Control!$C$111)</f>
        <v>#N/A</v>
      </c>
      <c r="DR320" s="145" t="e">
        <f t="shared" ca="1" si="951"/>
        <v>#N/A</v>
      </c>
      <c r="DS320" s="143" t="e">
        <f ca="1">Control!$B$22/$DR320</f>
        <v>#N/A</v>
      </c>
      <c r="DT320" s="149" t="e">
        <f ca="1">IF(AND(Control!$C$114=1,$KH320&lt;1),$IM320*$DF320, 0)</f>
        <v>#N/A</v>
      </c>
      <c r="DU320" s="144" t="e">
        <f t="shared" ca="1" si="1075"/>
        <v>#N/A</v>
      </c>
      <c r="DV320" s="144">
        <f ca="1">IF($G320-Control!$C$107&lt;=0, 0, 0.83*LN(MAX($G320, 3))-0.8924)</f>
        <v>0</v>
      </c>
      <c r="DW320" s="144" t="e">
        <f t="shared" ca="1" si="952"/>
        <v>#N/A</v>
      </c>
      <c r="DX320" s="150" t="e">
        <f ca="1">MAX(0.01*(1+$CU320/Control!$C$102),0.05*($DK320-Control!$C$97)/Control!$C$97)</f>
        <v>#N/A</v>
      </c>
      <c r="DY320" s="151" t="e">
        <f ca="1">IF(Control!$C$114=1, $DI320*$FS320, 0)</f>
        <v>#N/A</v>
      </c>
      <c r="DZ320" s="196" t="e">
        <f t="shared" ca="1" si="1076"/>
        <v>#N/A</v>
      </c>
      <c r="EA320" s="152">
        <f t="shared" ca="1" si="1077"/>
        <v>316</v>
      </c>
      <c r="EB320" s="153" t="e">
        <f t="shared" ca="1" si="1078"/>
        <v>#N/A</v>
      </c>
      <c r="EC320" s="153" t="e">
        <f t="shared" ca="1" si="1079"/>
        <v>#N/A</v>
      </c>
      <c r="ED320" s="154" t="e">
        <f ca="1">IF(Control!$C$114=1, $HM320*$FY320-$FD320, 0)</f>
        <v>#DIV/0!</v>
      </c>
      <c r="EE320" s="155" t="e">
        <f ca="1">IF(Control!$C$114=1, $HM320*$FZ320-$FF320, 0)</f>
        <v>#DIV/0!</v>
      </c>
      <c r="EF320" s="153" t="e">
        <f t="shared" ca="1" si="1133"/>
        <v>#N/A</v>
      </c>
      <c r="EG320" s="155" t="e">
        <f ca="1">IF(Control!$C$114=1, $GX320*$FW320-$FI320, 0)</f>
        <v>#DIV/0!</v>
      </c>
      <c r="EH320" s="153" t="e">
        <f t="shared" ca="1" si="1080"/>
        <v>#N/A</v>
      </c>
      <c r="EI320" s="156" t="e">
        <f t="shared" ca="1" si="1081"/>
        <v>#N/A</v>
      </c>
      <c r="EJ320" s="155" t="e">
        <f ca="1">IF(Control!$C$114=1, $HM320*$GB320, 0)</f>
        <v>#DIV/0!</v>
      </c>
      <c r="EK320" s="153" t="e">
        <f t="shared" ca="1" si="1134"/>
        <v>#N/A</v>
      </c>
      <c r="EL320" s="153" t="e">
        <f t="shared" ca="1" si="953"/>
        <v>#N/A</v>
      </c>
      <c r="EM320" s="153" t="e">
        <f t="shared" ca="1" si="954"/>
        <v>#N/A</v>
      </c>
      <c r="EN320" s="153" t="e">
        <f ca="1">IF(Control!$C$108=1,IF(AND(Control!$B$18=1,$EB320&gt;=Control!$B$19),$EB320-$DS320,IF(AND(Control!$B$18=2,$AW320=1,$EB320&gt;$DS320),$EB320-$DS320,0)))</f>
        <v>#N/A</v>
      </c>
      <c r="EO320" s="153" t="e">
        <f ca="1">IF(Control!$C$108=1,IF(AND(Control!$B$18=1,$EB320&gt;=Control!$B$19),$EF320,IF(AND(Control!$B$18=2,$AW320=1),$EF320,0)))</f>
        <v>#N/A</v>
      </c>
      <c r="EP320" s="153" t="e">
        <f ca="1">IF(Control!$C$108=1,IF(AND(Control!$B$18=1,$EB320&gt;=Control!$B$19),$EK320,IF(AND(Control!$B$18=2,$AW320=1),$EK320,0)))</f>
        <v>#N/A</v>
      </c>
      <c r="EQ320" s="153" t="e">
        <f t="shared" ca="1" si="1082"/>
        <v>#N/A</v>
      </c>
      <c r="ER320" s="153" t="e">
        <f t="shared" ca="1" si="1083"/>
        <v>#N/A</v>
      </c>
      <c r="ES320" s="153" t="e">
        <f t="shared" ca="1" si="1135"/>
        <v>#N/A</v>
      </c>
      <c r="ET320" s="153" t="e">
        <f t="shared" ca="1" si="1136"/>
        <v>#N/A</v>
      </c>
      <c r="EU320" s="153" t="e">
        <f t="shared" ca="1" si="1084"/>
        <v>#N/A</v>
      </c>
      <c r="EV320" s="153" t="e">
        <f t="shared" ca="1" si="955"/>
        <v>#N/A</v>
      </c>
      <c r="EW320" s="153" t="e">
        <f t="shared" ca="1" si="956"/>
        <v>#N/A</v>
      </c>
      <c r="EX320" s="153" t="e">
        <f t="shared" ca="1" si="957"/>
        <v>#N/A</v>
      </c>
      <c r="EY320" s="157" t="e">
        <f t="shared" ca="1" si="958"/>
        <v>#DIV/0!</v>
      </c>
      <c r="EZ320" s="154" t="e">
        <f t="shared" ca="1" si="959"/>
        <v>#DIV/0!</v>
      </c>
      <c r="FA320" s="153" t="e">
        <f t="shared" ca="1" si="1085"/>
        <v>#N/A</v>
      </c>
      <c r="FB320" s="153" t="e">
        <f t="shared" ca="1" si="960"/>
        <v>#N/A</v>
      </c>
      <c r="FC320" s="193" t="e">
        <f t="shared" ca="1" si="961"/>
        <v>#N/A</v>
      </c>
      <c r="FD320" s="158" t="e">
        <f t="shared" ca="1" si="1086"/>
        <v>#N/A</v>
      </c>
      <c r="FE320" s="158" t="e">
        <f t="shared" ca="1" si="1087"/>
        <v>#N/A</v>
      </c>
      <c r="FF320" s="159" t="e">
        <f t="shared" ca="1" si="962"/>
        <v>#N/A</v>
      </c>
      <c r="FG320" s="160" t="e">
        <f t="shared" ca="1" si="1088"/>
        <v>#N/A</v>
      </c>
      <c r="FH320" s="158" t="e">
        <f t="shared" ca="1" si="1089"/>
        <v>#N/A</v>
      </c>
      <c r="FI320" s="159" t="e">
        <f t="shared" ca="1" si="963"/>
        <v>#N/A</v>
      </c>
      <c r="FJ320" s="160" t="e">
        <f t="shared" ca="1" si="1090"/>
        <v>#N/A</v>
      </c>
      <c r="FK320" s="160" t="e">
        <f t="shared" ca="1" si="964"/>
        <v>#N/A</v>
      </c>
      <c r="FL320" s="160" t="e">
        <f t="shared" ca="1" si="1137"/>
        <v>#N/A</v>
      </c>
      <c r="FM320" s="160" t="e">
        <f t="shared" ca="1" si="965"/>
        <v>#N/A</v>
      </c>
      <c r="FN320" s="158">
        <f t="shared" ca="1" si="1091"/>
        <v>0.01</v>
      </c>
      <c r="FO320" s="160">
        <f>Control!$C$101</f>
        <v>50</v>
      </c>
      <c r="FP320" s="150" t="e">
        <f t="shared" ca="1" si="966"/>
        <v>#N/A</v>
      </c>
      <c r="FQ320" s="150" t="e">
        <f ca="1">MAX(0,(Control!$C$112*(($DK320-Control!$C$97)/Control!$C$97)))</f>
        <v>#N/A</v>
      </c>
      <c r="FR320" s="150" t="e">
        <f ca="1">(1-$NT320)*Control!$C$113</f>
        <v>#DIV/0!</v>
      </c>
      <c r="FS320" s="198" t="e">
        <f t="shared" ca="1" si="967"/>
        <v>#N/A</v>
      </c>
      <c r="FT320" s="161">
        <f t="shared" ca="1" si="1092"/>
        <v>316</v>
      </c>
      <c r="FU320" s="162" t="e">
        <f ca="1">IF(Control!$B$34=1,VLOOKUP($CP320,Control!$B$86:$G$91,6),Control!$B$35)</f>
        <v>#N/A</v>
      </c>
      <c r="FV320" s="162" t="e">
        <f t="shared" ca="1" si="968"/>
        <v>#DIV/0!</v>
      </c>
      <c r="FW320" s="162" t="e">
        <f ca="1">IF(Control!$B$31=1,$FU320*$FV320,  $FU320)</f>
        <v>#N/A</v>
      </c>
      <c r="FX320" s="162" t="e">
        <f ca="1">IF(Control!$B$34=1,VLOOKUP($CP320,Control!$B$86:$G$91,3),Control!$B$36)</f>
        <v>#N/A</v>
      </c>
      <c r="FY320" s="162" t="e">
        <f t="shared" ca="1" si="969"/>
        <v>#N/A</v>
      </c>
      <c r="FZ320" s="162" t="e">
        <f ca="1">IF(Control!$B$34=1,VLOOKUP($CP320,Control!$B$86:$G$91,4),Control!$B$37)</f>
        <v>#N/A</v>
      </c>
      <c r="GA320" s="162" t="e">
        <f t="shared" ca="1" si="970"/>
        <v>#N/A</v>
      </c>
      <c r="GB320" s="162" t="e">
        <f ca="1">IF(Control!$B$34=1,VLOOKUP($CP320,Control!$B$86:$G$91,5),Control!$B$38)</f>
        <v>#N/A</v>
      </c>
      <c r="GC320" s="162" t="e">
        <f t="shared" ca="1" si="1093"/>
        <v>#N/A</v>
      </c>
      <c r="GD320" s="162">
        <f t="shared" ca="1" si="971"/>
        <v>1</v>
      </c>
      <c r="GE320" s="162">
        <f t="shared" ca="1" si="972"/>
        <v>1</v>
      </c>
      <c r="GF320" s="162">
        <f ca="1">IF(AND(Control!$C$104=1, Control!$C$62="F"),$GE320,1)</f>
        <v>1</v>
      </c>
      <c r="GG320" s="162" t="e">
        <f ca="1">IF(Control!$B$16=40,0,IF(AND(Control!$B$16&gt;40,Control!$B$16&lt;=360),(Control!$B$16-40)*((1-0)/(360-40)),IF(AND(Control!$B$16&gt;360,Control!$B$16&lt;=720),(1+(Control!$B$16-360)*((1.25-1)/(720-360))),IF(AND(Control!$B$16&gt;720,Control!$B$16&lt;=1000),(1.25+(Control!$B$16-720)*((1.35-1.25)/(1000-720))),IF(AND(Control!$B$16&gt;1000,Control!$B$16&lt;=2000),(1.35+(Control!$B$16-1000)*0))))))</f>
        <v>#N/A</v>
      </c>
      <c r="GH320" s="162" t="e">
        <f t="shared" ca="1" si="973"/>
        <v>#N/A</v>
      </c>
      <c r="GI320" s="162">
        <f t="shared" ca="1" si="1094"/>
        <v>0</v>
      </c>
      <c r="GJ320" s="162">
        <f t="shared" ca="1" si="974"/>
        <v>0</v>
      </c>
      <c r="GK320" s="162">
        <f t="shared" ca="1" si="1095"/>
        <v>1</v>
      </c>
      <c r="GL320" s="162">
        <f t="shared" ca="1" si="975"/>
        <v>1</v>
      </c>
      <c r="GM320" s="162" t="e">
        <f ca="1">MAX(0,MIN(1,1-Control!$C$156*(1.0001-$KH320)^2))</f>
        <v>#N/A</v>
      </c>
      <c r="GN320" s="162" t="e">
        <f ca="1">IF(Control!$B$26=1,$KU320,$KX320)</f>
        <v>#N/A</v>
      </c>
      <c r="GO320" s="162" t="e">
        <f ca="1">IF($CP320&lt;=60,Control!$C$105,IF($CP320&gt;=90,Control!$C$106,Control!$C$105+($CP320-60)*((Control!$C$106-Control!$C$105)/(90-60))))</f>
        <v>#N/A</v>
      </c>
      <c r="GP320" s="162" t="e">
        <f t="shared" ca="1" si="976"/>
        <v>#N/A</v>
      </c>
      <c r="GQ320" s="162" t="e">
        <f t="shared" ca="1" si="1096"/>
        <v>#N/A</v>
      </c>
      <c r="GR320" s="163" t="e">
        <f t="shared" ca="1" si="977"/>
        <v>#DIV/0!</v>
      </c>
      <c r="GS320" s="162" t="e">
        <f t="shared" ca="1" si="978"/>
        <v>#DIV/0!</v>
      </c>
      <c r="GT320" s="164" t="e">
        <f t="shared" ca="1" si="1097"/>
        <v>#N/A</v>
      </c>
      <c r="GU320" s="162" t="e">
        <f t="shared" ca="1" si="1098"/>
        <v>#N/A</v>
      </c>
      <c r="GV320" s="162" t="e">
        <f t="shared" ca="1" si="979"/>
        <v>#N/A</v>
      </c>
      <c r="GW320" s="162" t="e">
        <f t="shared" ca="1" si="980"/>
        <v>#DIV/0!</v>
      </c>
      <c r="GX320" s="162" t="e">
        <f t="shared" ca="1" si="1099"/>
        <v>#DIV/0!</v>
      </c>
      <c r="GY320" s="162" t="e">
        <f t="shared" ca="1" si="1100"/>
        <v>#DIV/0!</v>
      </c>
      <c r="GZ320" s="165" t="e">
        <f t="shared" ca="1" si="981"/>
        <v>#N/A</v>
      </c>
      <c r="HA320" s="162" t="e">
        <f ca="1">IF(Control!$C$114=1, $DI320*$FS320, 0)</f>
        <v>#N/A</v>
      </c>
      <c r="HB320" s="162" t="e">
        <f ca="1">$FA320/Control!$C$64</f>
        <v>#N/A</v>
      </c>
      <c r="HC320" s="162" t="e">
        <f t="shared" ca="1" si="982"/>
        <v>#DIV/0!</v>
      </c>
      <c r="HD320" s="162">
        <f ca="1">-ASIN(SIN(23.45*Control!$C$139)*COS(2*Control!$C$138*($AH320+10)/365))</f>
        <v>-0.31686566289567791</v>
      </c>
      <c r="HE320" s="165">
        <f t="shared" ca="1" si="1101"/>
        <v>0</v>
      </c>
      <c r="HF320" s="166">
        <f ca="1">IF(AND(Control!$C$61="T",$HE320&gt;=Control!$C$103,Control!$C$114=0),$AH320,Control!$C$59)</f>
        <v>1</v>
      </c>
      <c r="HG320" s="166">
        <f ca="1">IF(AND(Control!$C$61="T",$HE320&gt;=Control!$C$103,Control!$C$114=0),$HF320,Control!$C$59)</f>
        <v>1</v>
      </c>
      <c r="HH320" s="165">
        <f ca="1">IF(AND(OR(Control!$C$60&lt;=0, $AH320= Control!$C$59, Control!$C$60 &gt;0, $AH320 = Control!$C$60)), Control!$C$59, IF(Control!$C$60&gt;0, 0))</f>
        <v>1</v>
      </c>
      <c r="HI320" s="165">
        <f ca="1">IF(AND(OR(Control!$C$60&lt;=0, $AH320= Control!$C$59, Control!$C$60 &gt;0, $AH320 = Control!$C$60)), Control!$C$60, IF(Control!$C$60&lt;=0, 0))</f>
        <v>0</v>
      </c>
      <c r="HJ320" s="166">
        <f ca="1">IF(AND(Control!$C$62="F",$CV320&gt;=Control!$C$102),$AH320,0)</f>
        <v>0</v>
      </c>
      <c r="HK320" s="165" t="e">
        <f t="shared" ca="1" si="1138"/>
        <v>#N/A</v>
      </c>
      <c r="HL320" s="166">
        <f ca="1">IF(AND(Control!$C$61="T",$HE320&gt;=Control!$C$103,Control!$C$114=0),$HF320,0)</f>
        <v>0</v>
      </c>
      <c r="HM320" s="201" t="e">
        <f t="shared" ca="1" si="983"/>
        <v>#DIV/0!</v>
      </c>
      <c r="HN320" s="215">
        <f t="shared" ca="1" si="1102"/>
        <v>316</v>
      </c>
      <c r="HO320" s="216" t="e">
        <f ca="1">IF(AND($CP320&gt;=0, $CP320&lt;=90), Control!$C$152, Control!$C$152)</f>
        <v>#N/A</v>
      </c>
      <c r="HP320" s="216" t="e">
        <f t="shared" ca="1" si="984"/>
        <v>#N/A</v>
      </c>
      <c r="HQ320" s="217" t="e">
        <f ca="1">IF(OR(Control!$B$26=1,Control!$B$26=2),$KV320,$KS320)</f>
        <v>#DIV/0!</v>
      </c>
      <c r="HR320" s="218" t="e">
        <f t="shared" ca="1" si="1139"/>
        <v>#DIV/0!</v>
      </c>
      <c r="HS320" s="216" t="e">
        <f ca="1">Control!$C$154*$HP320</f>
        <v>#N/A</v>
      </c>
      <c r="HT320" s="216" t="e">
        <f ca="1">Control!$C$155*$HP320</f>
        <v>#N/A</v>
      </c>
      <c r="HU320" s="217" t="e">
        <f ca="1">Control!$C$161*$FI320</f>
        <v>#N/A</v>
      </c>
      <c r="HV320" s="218" t="e">
        <f t="shared" ca="1" si="1103"/>
        <v>#N/A</v>
      </c>
      <c r="HW320" s="218" t="e">
        <f ca="1">Control!$C$160*$FF320+$IP320*$EO320</f>
        <v>#N/A</v>
      </c>
      <c r="HX320" s="218" t="e">
        <f t="shared" ca="1" si="1140"/>
        <v>#N/A</v>
      </c>
      <c r="HY320" s="219" t="e">
        <f ca="1">IF(Control!$C$114=1, $EB320*$FS320, 0)</f>
        <v>#N/A</v>
      </c>
      <c r="HZ320" s="91" t="e">
        <f t="shared" ca="1" si="985"/>
        <v>#N/A</v>
      </c>
      <c r="IA320" s="220" t="e">
        <f ca="1">Control!$C$153*$HO320</f>
        <v>#N/A</v>
      </c>
      <c r="IB320" s="218" t="e">
        <f t="shared" ca="1" si="986"/>
        <v>#N/A</v>
      </c>
      <c r="IC320" s="220" t="e">
        <f ca="1">Control!$C$153*$HT320</f>
        <v>#N/A</v>
      </c>
      <c r="ID320" s="218" t="e">
        <f t="shared" ca="1" si="987"/>
        <v>#N/A</v>
      </c>
      <c r="IE320" s="221" t="e">
        <f ca="1">($EB320*Control!$C$159+$EF320*Control!$C$160)/(IF($GZ320&lt;&gt;0,$GZ320,1))</f>
        <v>#N/A</v>
      </c>
      <c r="IF320" s="216" t="e">
        <f t="shared" ca="1" si="988"/>
        <v>#N/A</v>
      </c>
      <c r="IG320" s="91">
        <f ca="1">IF(OR(Control!$B$198=$AH320,Control!$B$199=$AH320, Control!$B$200=$AH320, Control!$B$201=$AH320, Control!$B$202=$AH320, Control!$B$203=$AH320, Control!$B$204=$AH320, Control!$B$205=$AH320, Control!$B$206=$AH320, Control!$B$207=$AH320), 1, 0)</f>
        <v>0</v>
      </c>
      <c r="IH320" s="91">
        <f ca="1">IF($IG320=0,0, VLOOKUP($AH320,Control!$B$198:$C$207,2))</f>
        <v>0</v>
      </c>
      <c r="II320" s="222">
        <f t="shared" ca="1" si="1104"/>
        <v>0</v>
      </c>
      <c r="IJ320" s="91">
        <f>Control!$C$121</f>
        <v>0.7</v>
      </c>
      <c r="IK320" s="218">
        <f t="shared" ca="1" si="989"/>
        <v>0</v>
      </c>
      <c r="IL320" s="217" t="e">
        <f t="shared" ca="1" si="1141"/>
        <v>#N/A</v>
      </c>
      <c r="IM320" s="223" t="e">
        <f ca="1">IF(AND(Control!$C$114=1,$KH320&lt;1),$EB320*Control!$C$148*(1-$KH320), 0)</f>
        <v>#N/A</v>
      </c>
      <c r="IN320" s="217" t="e">
        <f t="shared" ca="1" si="990"/>
        <v>#DIV/0!</v>
      </c>
      <c r="IO320" s="91" t="e">
        <f ca="1">MAX(0,$IL320-$EF320*Control!$C$160)</f>
        <v>#N/A</v>
      </c>
      <c r="IP320" s="220" t="e">
        <f t="shared" ca="1" si="991"/>
        <v>#N/A</v>
      </c>
      <c r="IQ320" s="217" t="e">
        <f t="shared" ca="1" si="1105"/>
        <v>#N/A</v>
      </c>
      <c r="IR320" s="218" t="e">
        <f t="shared" ca="1" si="992"/>
        <v>#N/A</v>
      </c>
      <c r="IS320" s="217" t="e">
        <f ca="1">Control!$C$159*MAX(0,$FD320-$EN320)</f>
        <v>#N/A</v>
      </c>
      <c r="IT320" s="217" t="e">
        <f t="shared" ca="1" si="1142"/>
        <v>#N/A</v>
      </c>
      <c r="IU320" s="217" t="e">
        <f t="shared" ca="1" si="1106"/>
        <v>#N/A</v>
      </c>
      <c r="IV320" s="217" t="e">
        <f t="shared" ca="1" si="1143"/>
        <v>#N/A</v>
      </c>
      <c r="IW320" s="217" t="e">
        <f ca="1">IF(OR($AW320=1,AND($AW320=0, Control!$B$18=1,$EN320&lt;&gt;0)), $IQ320-$IU320, $IQ320)</f>
        <v>#N/A</v>
      </c>
      <c r="IX320" s="218" t="e">
        <f t="shared" ca="1" si="993"/>
        <v>#N/A</v>
      </c>
      <c r="IY320" s="218" t="e">
        <f ca="1">MAX(0,$IQ320-$EB320*Control!$C$159)</f>
        <v>#N/A</v>
      </c>
      <c r="IZ320" s="218" t="e">
        <f t="shared" ca="1" si="994"/>
        <v>#N/A</v>
      </c>
      <c r="JA320" s="216" t="e">
        <f t="shared" ca="1" si="995"/>
        <v>#N/A</v>
      </c>
      <c r="JB320" s="217" t="e">
        <f t="shared" ca="1" si="996"/>
        <v>#N/A</v>
      </c>
      <c r="JC320" s="222" t="e">
        <f ca="1">MAX(Control!$C$157*$EK320-$JT320, 0)/Control!$C$162</f>
        <v>#N/A</v>
      </c>
      <c r="JD320" s="218" t="e">
        <f t="shared" ca="1" si="997"/>
        <v>#N/A</v>
      </c>
      <c r="JE320" s="218" t="e">
        <f t="shared" ca="1" si="998"/>
        <v>#N/A</v>
      </c>
      <c r="JF320" s="218" t="e">
        <f t="shared" ca="1" si="1107"/>
        <v>#N/A</v>
      </c>
      <c r="JG320" s="218" t="e">
        <f t="shared" ca="1" si="999"/>
        <v>#N/A</v>
      </c>
      <c r="JH320" s="217" t="e">
        <f t="shared" ca="1" si="1108"/>
        <v>#N/A</v>
      </c>
      <c r="JI320" s="217" t="e">
        <f t="shared" ca="1" si="1109"/>
        <v>#N/A</v>
      </c>
      <c r="JJ320" s="217" t="e">
        <f t="shared" ca="1" si="1144"/>
        <v>#N/A</v>
      </c>
      <c r="JK320" s="217" t="e">
        <f ca="1">IF(Control!$C$114=1,IF(Control!$B$24=0,MAX(0,$JI320)*$GN320/Control!$C$64,(MAX(0,MIN($JI320,$JJ320*$GN320/Control!$C$64),0))))</f>
        <v>#N/A</v>
      </c>
      <c r="JL320" s="217" t="e">
        <f ca="1">$IK320/Control!$C$64-$JK320+$HQ320</f>
        <v>#N/A</v>
      </c>
      <c r="JM320" s="217" t="e">
        <f ca="1">IF(Control!$C$114=1,($JB320/(IF($JI320&lt;&gt;0,$JI320,1)))*$JK320,0)</f>
        <v>#N/A</v>
      </c>
      <c r="JN320" s="217" t="e">
        <f ca="1">IF(Control!$C$114=1,($JG320/(IF($JI320&lt;&gt;0,$JI320,1)))*$JK320, 0)</f>
        <v>#N/A</v>
      </c>
      <c r="JO320" s="218" t="e">
        <f t="shared" ca="1" si="1000"/>
        <v>#N/A</v>
      </c>
      <c r="JP320" s="218" t="e">
        <f ca="1">MIN(($IY320+$IO320)*Control!$C$151, $JF320-$EH320*Control!$C$161)</f>
        <v>#N/A</v>
      </c>
      <c r="JQ320" s="218" t="e">
        <f t="shared" ca="1" si="1001"/>
        <v>#N/A</v>
      </c>
      <c r="JR320" s="217" t="e">
        <f ca="1">IF($CP320-Control!$C$150&lt;0, 0, $JQ320/Control!$C$162)</f>
        <v>#N/A</v>
      </c>
      <c r="JS320" s="218" t="e">
        <f t="shared" ca="1" si="1002"/>
        <v>#N/A</v>
      </c>
      <c r="JT320" s="218" t="e">
        <f t="shared" ca="1" si="1110"/>
        <v>#N/A</v>
      </c>
      <c r="JU320" s="218" t="e">
        <f t="shared" ca="1" si="1003"/>
        <v>#N/A</v>
      </c>
      <c r="JV320" s="218" t="e">
        <f t="shared" ca="1" si="1004"/>
        <v>#N/A</v>
      </c>
      <c r="JW320" s="216" t="e">
        <f t="shared" ca="1" si="1005"/>
        <v>#N/A</v>
      </c>
      <c r="JX320" s="91" t="e">
        <f t="shared" ca="1" si="1006"/>
        <v>#N/A</v>
      </c>
      <c r="JY320" s="218" t="e">
        <f t="shared" ca="1" si="1007"/>
        <v>#N/A</v>
      </c>
      <c r="JZ320" s="217" t="e">
        <f ca="1">IF(Control!$C$114=1,($IZ320/(IF($JI320&lt;&gt;0,$JI320,1)))*$JK320, 0)</f>
        <v>#N/A</v>
      </c>
      <c r="KA320" s="218" t="e">
        <f t="shared" ca="1" si="1145"/>
        <v>#N/A</v>
      </c>
      <c r="KB320" s="218" t="e">
        <f t="shared" ca="1" si="1111"/>
        <v>#N/A</v>
      </c>
      <c r="KC320" s="218" t="e">
        <f t="shared" ca="1" si="1008"/>
        <v>#N/A</v>
      </c>
      <c r="KD320" s="218" t="e">
        <f t="shared" ca="1" si="1009"/>
        <v>#N/A</v>
      </c>
      <c r="KE320" s="218" t="e">
        <f t="shared" ca="1" si="1010"/>
        <v>#N/A</v>
      </c>
      <c r="KF320" s="218" t="e">
        <f t="shared" ca="1" si="1011"/>
        <v>#N/A</v>
      </c>
      <c r="KG320" s="216" t="e">
        <f t="shared" ca="1" si="1012"/>
        <v>#N/A</v>
      </c>
      <c r="KH320" s="221" t="e">
        <f ca="1">IF(Control!$B$24=0,1,MAX(0.001,MIN(1,IF(($IF320-$IE320)&lt;&gt;0,($KG320-$IE320)/($IF320-$IE320),1))))</f>
        <v>#N/A</v>
      </c>
      <c r="KI320" s="222" t="e">
        <f ca="1">IF(Control!$C$114=1, $KI319+ $KH319, 0)</f>
        <v>#N/A</v>
      </c>
      <c r="KJ320" s="217" t="e">
        <f t="shared" ca="1" si="1013"/>
        <v>#N/A</v>
      </c>
      <c r="KK320" s="218" t="e">
        <f t="shared" ca="1" si="1014"/>
        <v>#N/A</v>
      </c>
      <c r="KL320" s="274" t="e">
        <f ca="1">IF(Control!$B$26=3,4000000000*EXP(-8400/($G320+273)),IF(Control!$B$26=4,4000000000*EXP(-8400/($G320+273))*($KT320),0))</f>
        <v>#DIV/0!</v>
      </c>
      <c r="KM320" s="274" t="e">
        <f ca="1">IF(Control!$B$26=3,5600000000000*EXP(-9800/($G320+273)),IF(Control!$B$26=4,5600000000000*EXP(-9800/($G320+273))*$KT320,0))</f>
        <v>#DIV/0!</v>
      </c>
      <c r="KN320" s="454" t="e">
        <f t="shared" ca="1" si="1112"/>
        <v>#DIV/0!</v>
      </c>
      <c r="KO320" s="274" t="e">
        <f t="shared" ca="1" si="1113"/>
        <v>#DIV/0!</v>
      </c>
      <c r="KP320" s="454" t="e">
        <f t="shared" ca="1" si="1015"/>
        <v>#DIV/0!</v>
      </c>
      <c r="KQ320" s="454" t="e">
        <f t="shared" ca="1" si="1016"/>
        <v>#DIV/0!</v>
      </c>
      <c r="KR320" s="454" t="e">
        <f t="shared" ca="1" si="1017"/>
        <v>#DIV/0!</v>
      </c>
      <c r="KS320" s="454" t="e">
        <f t="shared" ca="1" si="1018"/>
        <v>#DIV/0!</v>
      </c>
      <c r="KT320" s="455" t="e">
        <f t="shared" ca="1" si="1019"/>
        <v>#DIV/0!</v>
      </c>
      <c r="KU320" s="456" t="e">
        <f ca="1">IF($CP320-Control!$C$149&lt;0, IF($NT320-0.01&lt;0,0,1),0)</f>
        <v>#N/A</v>
      </c>
      <c r="KV320" s="456" t="e">
        <f ca="1">IF(Control!$C$114=1,MAX(0,MIN(Control!$C$125*$KW320*$GN320,$KW320)))</f>
        <v>#DIV/0!</v>
      </c>
      <c r="KW320" s="456" t="e">
        <f t="shared" ca="1" si="1146"/>
        <v>#DIV/0!</v>
      </c>
      <c r="KX320" s="457" t="e">
        <f ca="1">IF($CP320-Control!$C$149&lt;0, IF($MR320-$OM320&lt;0,0,1),0)</f>
        <v>#N/A</v>
      </c>
      <c r="KY320" s="167">
        <f t="shared" ca="1" si="1114"/>
        <v>316</v>
      </c>
      <c r="KZ320" s="168">
        <f ca="1">1370*(1+0.033*COS(2*Control!$C$138*$AH320/365))</f>
        <v>1400.0585421138119</v>
      </c>
      <c r="LA320" s="169">
        <f t="shared" ca="1" si="1115"/>
        <v>1.0219402281328214</v>
      </c>
      <c r="LB320" s="169">
        <f t="shared" ca="1" si="1116"/>
        <v>-0.32242863546291989</v>
      </c>
      <c r="LC320" s="169">
        <f ca="1">ACOS(-TAN((2*Control!$B$8/360))*TAN(Calculations!$LB320))</f>
        <v>1.4713407676926986</v>
      </c>
      <c r="LD320" s="169">
        <f ca="1">((24*60)/PI())*0.082*$LA320*(($LC320*SIN(Control!$B$8*2*PI()/360))*SIN($LB320)+COS(Control!$B$8*2*PI()/360)*COS($LB320)*SIN($LC320))</f>
        <v>8.2068082685226038</v>
      </c>
      <c r="LE320" s="170">
        <f t="shared" ca="1" si="1020"/>
        <v>9.5746181736578162</v>
      </c>
      <c r="LF320" s="170">
        <f ca="1">SIN(Control!$C$139*Control!$B$8)*SIN($HD320)</f>
        <v>-0.24553651751170805</v>
      </c>
      <c r="LG320" s="170">
        <f ca="1">COS(Control!$C$139*Control!$B$8)*COS($HD320)</f>
        <v>0.58501023330626145</v>
      </c>
      <c r="LH320" s="170">
        <f ca="1">12*(1+2*ASIN(MAX(-1,MIN(1,$LF320/$LG320))/Control!$C$138))</f>
        <v>8.7840192232060463</v>
      </c>
      <c r="LI320" s="170">
        <f ca="1">12*(1+2*ASIN(MAX(-1,MIN(1,(-SIN(-4*Control!$C$139)+$LF320)/$LG320))/Control!$C$138))</f>
        <v>9.7010452798200841</v>
      </c>
      <c r="LJ320" s="168">
        <f ca="1">3600*($LH320*$LF320+24*$LG320*SQRT(1-$LK320*$LK320)/Control!$C$138)</f>
        <v>6838.727014373294</v>
      </c>
      <c r="LK320" s="170">
        <f t="shared" ca="1" si="1021"/>
        <v>-0.41971320078287599</v>
      </c>
      <c r="LL320" s="170">
        <f t="shared" ca="1" si="1022"/>
        <v>0</v>
      </c>
      <c r="LM320" s="171">
        <f ca="1">Control!$C$145*$AB320</f>
        <v>6.6660906138995932E-2</v>
      </c>
      <c r="LN320" s="170">
        <f t="shared" ca="1" si="1117"/>
        <v>0.54</v>
      </c>
      <c r="LO320" s="170">
        <f t="shared" ca="1" si="1023"/>
        <v>0</v>
      </c>
      <c r="LP320" s="170">
        <f ca="1">Control!$C$140*((($D320+273.16)^4+($E320+273.16)^4)/2)*(0.34-0.14*SQRT($Y320))*(1.35*$AQ320/(0.75*$LD320)-0.35)</f>
        <v>-3.2464704755046001</v>
      </c>
      <c r="LQ320" s="170">
        <f ca="1">Control!$C$140*($G320+273)^4*(0.56-0.079*SQRT($Y320*10))*(0.1+0.9*$LO320)</f>
        <v>1.5241745131704001</v>
      </c>
      <c r="LR320" s="170">
        <f ca="1">$AQ320*(1-Control!$C$142)-$LQ320</f>
        <v>-1.5241745131704001</v>
      </c>
      <c r="LS320" s="170">
        <f ca="1">$AQ320*(1-Control!$C$143)-$LQ320</f>
        <v>-1.5241745131704001</v>
      </c>
      <c r="LT320" s="170">
        <f ca="1">$AQ320*(1-Control!$C$144)-$LQ320</f>
        <v>-1.5241745131704001</v>
      </c>
      <c r="LU320" s="169">
        <f ca="1">(1-Control!$C$144)*AQ320-LP320</f>
        <v>3.2464704755046001</v>
      </c>
      <c r="LV320" s="172">
        <f t="shared" ca="1" si="1024"/>
        <v>0.79430000000000012</v>
      </c>
      <c r="LW320" s="170">
        <f t="shared" ca="1" si="1025"/>
        <v>1.5886000000000002</v>
      </c>
      <c r="LX320" s="170">
        <f ca="1">($AC320*($LR320/Control!$C$141)+$LM320*$LV320)/($AC320+$LM320)</f>
        <v>0.23530094218323697</v>
      </c>
      <c r="LY320" s="170">
        <f ca="1">($AC320*($LS320/Control!$C$141)+$LM320*$LV320)/($AC320+$LM320)</f>
        <v>0.23530094218323697</v>
      </c>
      <c r="LZ320" s="170">
        <f t="shared" ca="1" si="1026"/>
        <v>0.23530094218323697</v>
      </c>
      <c r="MA320" s="170">
        <f t="shared" ca="1" si="1027"/>
        <v>0.23530094218323697</v>
      </c>
      <c r="MB320" s="170" t="e">
        <f t="shared" ca="1" si="1028"/>
        <v>#N/A</v>
      </c>
      <c r="MC320" s="170">
        <f t="shared" ca="1" si="1118"/>
        <v>0.6018</v>
      </c>
      <c r="MD320" s="170">
        <f t="shared" ca="1" si="1029"/>
        <v>0.52989392535414004</v>
      </c>
      <c r="ME320" s="170">
        <f ca="1">($AC320*($LT320/Control!$C$141)+$LM320*$LW320)/($AC320+$LM320)</f>
        <v>0.71612369323045078</v>
      </c>
      <c r="MF320" s="170" t="e">
        <f ca="1">IF(Control!$B$16&gt;=1000,0.92,IF(AND(720&lt;=Control!$B$16,1000&gt;Control!$B$16),(0.95+(Control!$B$16-720)*((0.92-0.95)/(1000-720))),IF(AND(360&lt;=Control!$B$16,720&gt;Control!$B$16),(1+(Control!$B$16-360)*((0.95-1)/(720-360))),IF(AND(40&lt;=Control!$B$16,360&gt;Control!$B$16),(1.05+(Control!$B$16-40)*((1.05-1)/(360-40)))))))</f>
        <v>#N/A</v>
      </c>
      <c r="MG320" s="170">
        <f t="shared" ca="1" si="1030"/>
        <v>0.71612369323045078</v>
      </c>
      <c r="MH320" s="170" t="e">
        <f t="shared" ca="1" si="1157"/>
        <v>#N/A</v>
      </c>
      <c r="MI320" s="170" t="e">
        <f t="shared" ca="1" si="1157"/>
        <v>#N/A</v>
      </c>
      <c r="MJ320" s="170" t="e">
        <f ca="1">MAX(0.0001, Control!$C$132*$MI320*$DL320)</f>
        <v>#N/A</v>
      </c>
      <c r="MK320" s="170">
        <f ca="1">1/(0.76+1.5*($MG320/10))-(5-Control!$C$110)*0.1</f>
        <v>1.002845988140797</v>
      </c>
      <c r="ML320" s="173">
        <f ca="1">IF(Control!$C$110&lt;3,$MK320+($MG320-0.6)/(Control!$C$110*(Control!$C$110+3)), MAX(0.1, MIN(0.95,$MK320)))</f>
        <v>0.95</v>
      </c>
      <c r="MM320" s="173">
        <f ca="1">IF(Control!$C$110&lt;3,$MK320+(($MI320/10)-0.6)/(Control!$C$110*(Control!$C$110+3)), MAX(0.1, MIN(0.95,$MK320)))</f>
        <v>0.95</v>
      </c>
      <c r="MN320" s="173">
        <f ca="1">(1-$MM320)*(Control!$C$128-Control!$C$127)+Control!$C$127</f>
        <v>0.16</v>
      </c>
      <c r="MO320" s="170" t="e">
        <f ca="1">MAX(0,MIN(1,($MS320-Control!$C$127)/($MN320-Control!$C$127)))</f>
        <v>#DIV/0!</v>
      </c>
      <c r="MP320" s="173" t="e">
        <f ca="1">1/(0.76+1.5*$MI320)-(5-Control!$C$110)*0.1</f>
        <v>#N/A</v>
      </c>
      <c r="MQ320" s="172" t="e">
        <f t="shared" ca="1" si="1147"/>
        <v>#DIV/0!</v>
      </c>
      <c r="MR320" s="168" t="e">
        <f t="shared" ca="1" si="1119"/>
        <v>#DIV/0!</v>
      </c>
      <c r="MS320" s="173" t="e">
        <f ca="1">MAX(Control!$C$127, MIN(Control!$C$135, $MR320/MAX(0.0001,$CY320)))</f>
        <v>#DIV/0!</v>
      </c>
      <c r="MT320" s="168" t="e">
        <f ca="1">(Control!$C$128-$MS320)*Control!$C$74</f>
        <v>#DIV/0!</v>
      </c>
      <c r="MU320" s="168" t="e">
        <f ca="1">(Control!$C$135-$MS320)*Control!$C$74</f>
        <v>#DIV/0!</v>
      </c>
      <c r="MV320" s="168" t="e">
        <f t="shared" ca="1" si="1120"/>
        <v>#DIV/0!</v>
      </c>
      <c r="MW320" s="168" t="e">
        <f t="shared" ca="1" si="1121"/>
        <v>#DIV/0!</v>
      </c>
      <c r="MX320" s="171" t="e">
        <f ca="1">MAX(Control!$C$127, MIN(Control!$C$135, $MW320/MAX(0.0001,Control!$C$119-$CY320)))</f>
        <v>#DIV/0!</v>
      </c>
      <c r="MY320" s="54" t="e">
        <f ca="1">IF(Control!$C$114=1, $CX320*$MX320, 0)</f>
        <v>#DIV/0!</v>
      </c>
      <c r="MZ320" s="54" t="e">
        <f t="shared" ca="1" si="1122"/>
        <v>#N/A</v>
      </c>
      <c r="NA320" s="168" t="e">
        <f ca="1">(Control!$C$128-$MX320)*(Control!$C$119-Control!$C$74)</f>
        <v>#DIV/0!</v>
      </c>
      <c r="NB320" s="168" t="e">
        <f ca="1">(Control!$C$135-$MX320)*(Control!$C$119-Control!$C$74)</f>
        <v>#DIV/0!</v>
      </c>
      <c r="NC320" s="174" t="e">
        <f t="shared" ca="1" si="1123"/>
        <v>#DIV/0!</v>
      </c>
      <c r="ND320" s="54">
        <f ca="1">IF(Control!$C$58=2, IF(OR(Control!$B$218=$AH320,Control!$B$219=$AH320, Control!$B$220=$AH320, Control!$B$221=$AH320, Control!$B$222=$AH320, Control!$B$223=$AH320, Control!$B$224=$AH320, Control!$B$225=$AH320, Control!$B$226=$AH320, Control!$B$227=$AH320, Control!$B$228=$AH320), 1, 0), 0)</f>
        <v>0</v>
      </c>
      <c r="NE320" s="54">
        <f ca="1">IF($ND320=0,0, VLOOKUP($AH320,Control!$B$218:$C$228,2))</f>
        <v>0</v>
      </c>
      <c r="NF320" s="168" t="e">
        <f ca="1">$CY320*(Control!$C$128-Control!$C$127)</f>
        <v>#N/A</v>
      </c>
      <c r="NG320" s="54" t="e">
        <f ca="1">IF(Control!$C$58=2, $NI319-$NJ319, 0)</f>
        <v>#DIV/0!</v>
      </c>
      <c r="NH320" s="54" t="e">
        <f ca="1">IF(AND(Control!$C$58=1, $MS319&lt;= ($MN319+0.02), $I319&lt;10), 0, IF(Control!$C$58=2, $NG319, 0))</f>
        <v>#DIV/0!</v>
      </c>
      <c r="NI320" s="54" t="e">
        <f ca="1">IF(Control!$C$58=2, $NE320+$NH320,0)</f>
        <v>#DIV/0!</v>
      </c>
      <c r="NJ320" s="54" t="e">
        <f ca="1">IF(AND(Control!$C$58=1, $MS320&lt;= ($MN320+0.02), $I320&lt;10), MAX(0, MIN(10, 0.7*($NF320-$MV320))), IF(Control!$C$58=2, MIN(10,$NI320),0))</f>
        <v>#DIV/0!</v>
      </c>
      <c r="NK320" s="54" t="e">
        <f t="shared" ca="1" si="1031"/>
        <v>#DIV/0!</v>
      </c>
      <c r="NL320" s="173" t="e">
        <f ca="1">(1-Control!$C$73)*$I320+$NJ320</f>
        <v>#DIV/0!</v>
      </c>
      <c r="NM320" s="172" t="e">
        <f ca="1">IF($NL320&lt;0.5, $MB320* MAX(0, MIN(1, (SQRT($NC320)-SQRT($NC320-1))*Control!$C$71)),0)</f>
        <v>#DIV/0!</v>
      </c>
      <c r="NN320" s="170" t="e">
        <f ca="1">IF($NL320&gt;=5, $MB320, MAX(0,MIN($MB320, $NM320+$NL320,($MS320-Control!$C$129))))</f>
        <v>#DIV/0!</v>
      </c>
      <c r="NO320" s="54">
        <f>IF(Control!$C$133&lt;&gt;1, Control!$C$135-Control!$C$131, 0)</f>
        <v>0.38</v>
      </c>
      <c r="NP320" s="54" t="e">
        <f t="shared" ca="1" si="1032"/>
        <v>#DIV/0!</v>
      </c>
      <c r="NQ320" s="173" t="e">
        <f ca="1">MAX(0,MIN(1,(Control!$C$135-$MS320)/(Control!$C$135-$NO320)))</f>
        <v>#DIV/0!</v>
      </c>
      <c r="NR320" s="170" t="e">
        <f ca="1">IF(Control!$C$133&lt;&gt;1, $NQ320+((1-$NP320/4)*(1-$NQ320)),1)</f>
        <v>#DIV/0!</v>
      </c>
      <c r="NS320" s="170" t="e">
        <f ca="1">IF(Control!$B$31=0,$MJ320,MAX(0,MIN($MV320,$MO320*$NR320*$MJ320)))</f>
        <v>#DIV/0!</v>
      </c>
      <c r="NT320" s="170" t="e">
        <f t="shared" ca="1" si="1148"/>
        <v>#DIV/0!</v>
      </c>
      <c r="NU320" s="170" t="e">
        <f t="shared" ca="1" si="1124"/>
        <v>#N/A</v>
      </c>
      <c r="NV320" s="170" t="e">
        <f t="shared" ca="1" si="1033"/>
        <v>#N/A</v>
      </c>
      <c r="NW320" s="175" t="e">
        <f t="shared" ca="1" si="1034"/>
        <v>#DIV/0!</v>
      </c>
      <c r="NX320" s="170" t="e">
        <f ca="1">MIN(Control!$C$72+$MU320, $NW320)</f>
        <v>#DIV/0!</v>
      </c>
      <c r="NY320" s="170" t="e">
        <f ca="1">IF($MT320&lt;=$NX320,MIN(Control!$C$72+$NB320,$NX320-$MT320),0)</f>
        <v>#DIV/0!</v>
      </c>
      <c r="NZ320" s="54" t="e">
        <f ca="1">IF(Control!$C$114=1,  $CX320*($MX320-Control!$C$127), 0)</f>
        <v>#DIV/0!</v>
      </c>
      <c r="OA320" s="170" t="e">
        <f t="shared" ca="1" si="1035"/>
        <v>#DIV/0!</v>
      </c>
      <c r="OB320" s="170" t="e">
        <f ca="1">IF($NA320 &lt;=$NY320, MIN(Control!$C$72, $NY320-$NA320), 0)</f>
        <v>#DIV/0!</v>
      </c>
      <c r="OC320" s="168" t="e">
        <f t="shared" ca="1" si="1036"/>
        <v>#DIV/0!</v>
      </c>
      <c r="OD320" s="168" t="e">
        <f t="shared" ca="1" si="1125"/>
        <v>#DIV/0!</v>
      </c>
      <c r="OE320" s="170">
        <f ca="1">Control!$C$73*$I320</f>
        <v>0</v>
      </c>
      <c r="OF320" s="176" t="e">
        <f t="shared" ca="1" si="1037"/>
        <v>#DIV/0!</v>
      </c>
      <c r="OG320" s="168" t="e">
        <f t="shared" ca="1" si="1038"/>
        <v>#DIV/0!</v>
      </c>
      <c r="OH320" s="168" t="e">
        <f t="shared" ca="1" si="1039"/>
        <v>#DIV/0!</v>
      </c>
      <c r="OI320" s="168" t="e">
        <f t="shared" ca="1" si="1040"/>
        <v>#DIV/0!</v>
      </c>
      <c r="OJ320" s="168" t="e">
        <f t="shared" ca="1" si="1041"/>
        <v>#DIV/0!</v>
      </c>
      <c r="OK320" s="204" t="e">
        <f t="shared" ca="1" si="1042"/>
        <v>#DIV/0!</v>
      </c>
      <c r="OL320" s="177">
        <f>Control!$C$127</f>
        <v>0.15</v>
      </c>
      <c r="OM320" s="182" t="e">
        <f t="shared" ca="1" si="1043"/>
        <v>#N/A</v>
      </c>
      <c r="ON320" s="177">
        <f>Control!$C$128</f>
        <v>0.35</v>
      </c>
      <c r="OO320" s="182" t="e">
        <f t="shared" ca="1" si="1044"/>
        <v>#N/A</v>
      </c>
      <c r="OP320" s="138">
        <f t="shared" ca="1" si="1126"/>
        <v>0</v>
      </c>
      <c r="OQ320" s="138" t="e">
        <f t="shared" ca="1" si="1149"/>
        <v>#DIV/0!</v>
      </c>
      <c r="OR320" s="138" t="e">
        <f t="shared" ca="1" si="1127"/>
        <v>#DIV/0!</v>
      </c>
      <c r="OS320" s="137" t="e">
        <f t="shared" ca="1" si="1150"/>
        <v>#DIV/0!</v>
      </c>
      <c r="OT320" s="139" t="e">
        <f t="shared" ca="1" si="1151"/>
        <v>#DIV/0!</v>
      </c>
      <c r="OU320" s="138" t="e">
        <f t="shared" ca="1" si="1152"/>
        <v>#N/A</v>
      </c>
      <c r="OV320" s="138" t="e">
        <f t="shared" ca="1" si="1153"/>
        <v>#DIV/0!</v>
      </c>
      <c r="OW320" s="138" t="e">
        <f t="shared" ca="1" si="1128"/>
        <v>#DIV/0!</v>
      </c>
      <c r="OX320" s="138" t="e">
        <f t="shared" ca="1" si="1129"/>
        <v>#DIV/0!</v>
      </c>
      <c r="OY320" s="138" t="e">
        <f t="shared" ca="1" si="1130"/>
        <v>#DIV/0!</v>
      </c>
      <c r="OZ320" s="138" t="e">
        <f t="shared" ca="1" si="1045"/>
        <v>#DIV/0!</v>
      </c>
      <c r="PA320" s="138" t="e">
        <f t="shared" ca="1" si="1046"/>
        <v>#DIV/0!</v>
      </c>
      <c r="PB320" s="55">
        <f>IF(Control!$C$61="T", IF(Control!$C$65="F", IF($AH$6-Control!$C$60&lt;0,0,1), IF(365+$AH$6-Control!$C$60&lt;0,0,1)),0)</f>
        <v>0</v>
      </c>
      <c r="PC320" s="55">
        <f ca="1">IF(Control!$C$65="F", IF($AH$6-$HF320&lt;0,0,1), IF(365+$AH$6-$HF320&lt;0,0,1))</f>
        <v>1</v>
      </c>
      <c r="PD320" s="444">
        <f>Control!$C$118</f>
        <v>1500</v>
      </c>
      <c r="PE320" s="180" t="e">
        <f t="shared" ca="1" si="1047"/>
        <v>#N/A</v>
      </c>
      <c r="PF320" s="445">
        <f t="shared" ca="1" si="1131"/>
        <v>0.71612369323045078</v>
      </c>
      <c r="PT320" s="186"/>
      <c r="PU320" s="186"/>
      <c r="PV320" s="94"/>
      <c r="PW320" s="94"/>
      <c r="PX320" s="94"/>
      <c r="PY320" s="94"/>
      <c r="PZ320" s="94"/>
      <c r="QA320" s="94"/>
      <c r="QB320" s="94"/>
      <c r="QC320" s="94"/>
      <c r="QD320" s="94"/>
      <c r="QE320" s="94"/>
      <c r="QF320" s="94"/>
      <c r="QG320" s="94"/>
      <c r="QH320" s="94"/>
      <c r="QI320" s="94"/>
      <c r="QJ320" s="94"/>
      <c r="QK320" s="94"/>
      <c r="QL320" s="94"/>
      <c r="QM320" s="94"/>
      <c r="QN320" s="94"/>
      <c r="QO320" s="94"/>
      <c r="QP320" s="94"/>
    </row>
    <row r="321" spans="1:458" s="2" customFormat="1" x14ac:dyDescent="0.2">
      <c r="A321" s="395">
        <v>12</v>
      </c>
      <c r="B321" s="396">
        <v>11</v>
      </c>
      <c r="C321" s="387">
        <f ca="1">Weather_data!$B320</f>
        <v>0</v>
      </c>
      <c r="D321" s="388">
        <f ca="1">Weather_data!$F320</f>
        <v>0</v>
      </c>
      <c r="E321" s="388">
        <f ca="1">Weather_data!$E320</f>
        <v>0</v>
      </c>
      <c r="F321" s="388">
        <f t="shared" ca="1" si="1048"/>
        <v>0</v>
      </c>
      <c r="G321" s="388">
        <f ca="1">AVERAGE($D321:$E321)+Control!$B$9</f>
        <v>0</v>
      </c>
      <c r="H321" s="388">
        <f ca="1">Weather_data!$G320</f>
        <v>0</v>
      </c>
      <c r="I321" s="388">
        <f ca="1">Weather_data!$I320</f>
        <v>0</v>
      </c>
      <c r="J321" s="388">
        <f ca="1">Weather_data!$H320</f>
        <v>0</v>
      </c>
      <c r="K321" s="389">
        <f ca="1">Weather_data!$D320</f>
        <v>0</v>
      </c>
      <c r="L321" s="388" t="e">
        <f t="shared" ca="1" si="1049"/>
        <v>#N/A</v>
      </c>
      <c r="M321" s="388" t="e">
        <f t="shared" ca="1" si="927"/>
        <v>#N/A</v>
      </c>
      <c r="N321" s="388">
        <f t="shared" ca="1" si="928"/>
        <v>-1.9291254820818306E-15</v>
      </c>
      <c r="O321" s="388">
        <f t="shared" ca="1" si="1050"/>
        <v>1.9291254820818308E-14</v>
      </c>
      <c r="P321" s="390">
        <v>3</v>
      </c>
      <c r="Q321" s="388">
        <f ca="1">MAX($G321-Control!$C$107,0)</f>
        <v>0</v>
      </c>
      <c r="R321" s="388">
        <f t="shared" ca="1" si="1051"/>
        <v>0</v>
      </c>
      <c r="S321" s="388">
        <f t="shared" ca="1" si="929"/>
        <v>0</v>
      </c>
      <c r="T321" s="388">
        <f t="shared" ca="1" si="930"/>
        <v>0</v>
      </c>
      <c r="U321" s="59">
        <f t="shared" ca="1" si="931"/>
        <v>0</v>
      </c>
      <c r="V321" s="391">
        <f ca="1">MAX(0,MIN(Control!$C$100-Control!$C$99,$G321-Control!$C$99)*Control!$C$63)</f>
        <v>0</v>
      </c>
      <c r="W321" s="388">
        <f t="shared" ca="1" si="1052"/>
        <v>0</v>
      </c>
      <c r="X321" s="388">
        <f t="shared" ca="1" si="1053"/>
        <v>0.6110000000000001</v>
      </c>
      <c r="Y321" s="388">
        <f t="shared" ca="1" si="932"/>
        <v>0</v>
      </c>
      <c r="Z321" s="388">
        <f t="shared" ca="1" si="1054"/>
        <v>0.61058800000000002</v>
      </c>
      <c r="AA321" s="388">
        <f t="shared" ca="1" si="933"/>
        <v>0.6018</v>
      </c>
      <c r="AB321" s="388">
        <f ca="1">101.3*EXP(-0.034*Control!$C$66/($G321+273))</f>
        <v>100.69623283836242</v>
      </c>
      <c r="AC321" s="392">
        <f t="shared" ca="1" si="934"/>
        <v>4.3460251046025113E-2</v>
      </c>
      <c r="AD321" s="392">
        <f t="shared" ca="1" si="935"/>
        <v>4.4450382862832649E-2</v>
      </c>
      <c r="AE321" s="388">
        <f t="shared" ca="1" si="936"/>
        <v>0</v>
      </c>
      <c r="AF321" s="388">
        <f ca="1">MAX(0,$G321-Control!$C$92)</f>
        <v>0</v>
      </c>
      <c r="AG321" s="393">
        <f t="shared" ca="1" si="937"/>
        <v>317</v>
      </c>
      <c r="AH321" s="389">
        <f t="shared" ca="1" si="938"/>
        <v>317</v>
      </c>
      <c r="AI321" s="388">
        <f t="shared" ca="1" si="1055"/>
        <v>-0.32130455219983994</v>
      </c>
      <c r="AJ321" s="388">
        <f ca="1">IF(Control!$C$60&lt;=0,$HH321,$HI321)</f>
        <v>1</v>
      </c>
      <c r="AK321" s="388">
        <f t="shared" ca="1" si="939"/>
        <v>4.0797668980864712</v>
      </c>
      <c r="AL321" s="388">
        <f t="shared" ca="1" si="940"/>
        <v>5.4066646992811936E-19</v>
      </c>
      <c r="AM321" s="388">
        <f t="shared" ca="1" si="941"/>
        <v>4.0797668980864712</v>
      </c>
      <c r="AN321" s="388">
        <f t="shared" ca="1" si="942"/>
        <v>-0.32659272017626462</v>
      </c>
      <c r="AO321" s="388">
        <f ca="1">-0.10453/COS(Control!$B$8*PI()/180)*COS(AN321)</f>
        <v>-0.16081019846935499</v>
      </c>
      <c r="AP321" s="388">
        <f ca="1">ACOS(AO321-TAN(Control!$B$8*PI()/180)*TAN(AN321))</f>
        <v>1.2945621622814598</v>
      </c>
      <c r="AQ321" s="388">
        <f t="shared" ca="1" si="1056"/>
        <v>0</v>
      </c>
      <c r="AR321" s="394">
        <f t="shared" ca="1" si="943"/>
        <v>0</v>
      </c>
      <c r="AS321" s="436">
        <f ca="1">IF(Control!$B$18=2,(IF(OR($AH321=Control!$B$175,$AH321=Control!$B$176,$AH321=Control!$B$177,$AH321=Control!$B$178,$AH321=Control!$B$179,$AH321=Control!$B$180,$AH321=Control!$B$181,$AH321=Control!$B$182,$AH321=Control!$B$183,$AH321=Control!$B$184,$AH321=Control!$B$185),1,0)),0)</f>
        <v>0</v>
      </c>
      <c r="AT321" s="436">
        <f>IF(Control!$B$20=8,IF(AND($AH321&gt;=Control!$B$172,$AH321&lt;=Control!$B$173),1,0),0)</f>
        <v>0</v>
      </c>
      <c r="AU321" s="436">
        <f>IF(Control!$B$20=8,IF($AV320=1,1*$AT321,IF($AT321=1,$AU320+1,$AU320)),0)</f>
        <v>0</v>
      </c>
      <c r="AV321" s="436">
        <f>IF(Control!$B$20=8,IF($AU321&gt;=Control!$B$174,1,0),0)</f>
        <v>0</v>
      </c>
      <c r="AW321" s="436">
        <f ca="1">IF(AND(Control!$B$18=2,Control!$B$171=1), $AV321, $AS321)</f>
        <v>0</v>
      </c>
      <c r="AX321" s="436" t="e">
        <f ca="1">IF(AND(Control!$B$18=1,$EU321&gt;=Control!$B$19),-$AY321,IF(AND(Control!$B$18=2,$AW321=1,$EU321&gt;$DS321),-$AY321, IF(Control!$C$108=0,0, IF(Control!$C$108&lt;&gt;0,1))))</f>
        <v>#N/A</v>
      </c>
      <c r="AY321" s="436" t="e">
        <f t="shared" ca="1" si="1057"/>
        <v>#N/A</v>
      </c>
      <c r="AZ321" s="436" t="e">
        <f ca="1">IF(AND(Control!$B$18=1,$EB321&gt;Control!$B$19),$AZ320+1, IF(AND(Control!$B$18=2, $AW321=1, $EB321&gt;$DS321), $AZ320+1,$AZ320))</f>
        <v>#N/A</v>
      </c>
      <c r="BA321" s="587">
        <f>IF(Control!$C$81=0,1,IF($AH321&gt;=Control!$C$82,1,0))</f>
        <v>1</v>
      </c>
      <c r="BB321" s="140" t="e">
        <f ca="1">IF($BA321&gt;$BA320,Control!$C$83,IF($AW321&gt;0,$AW321*Control!$C$84,IF(AND(Control!$B$18=1,EN320&lt;&gt;0),Control!$C$84,0)))</f>
        <v>#N/A</v>
      </c>
      <c r="BC321" s="140" t="e">
        <f t="shared" ca="1" si="1058"/>
        <v>#N/A</v>
      </c>
      <c r="BD321" s="140" t="e">
        <f ca="1">BC321*IF(OR($G321&lt;Control!$C$92,$G321&gt;Control!$C$95),0,IF(AND($G321&gt;=Control!$C$92,$G321&lt;=Control!$C$93),$G321-Control!$C$92,IF(AND($G321&gt;Control!$C$93,$G321&lt;=Control!$C$94),Control!$C$93-Control!$C$92,IF(AND($G321&gt;Control!$C$94,$G321&lt;=Control!$C$95),(Control!$C$93-Control!$C$92)*(Control!$C$94-$G321)/(Control!$C$95-Control!$C$94)))))</f>
        <v>#N/A</v>
      </c>
      <c r="BE321" s="140" t="e">
        <f t="shared" ca="1" si="1059"/>
        <v>#N/A</v>
      </c>
      <c r="BF321" s="140" t="e">
        <f ca="1">IF($BE321&lt;=Control!$C$86,$BE321,Control!$C$86-$BE321)</f>
        <v>#N/A</v>
      </c>
      <c r="BG321" s="140" t="e">
        <f ca="1">IF(AND($AW321=1,Control!$C$84&lt;9),1,IF($BE321&gt;=Control!$C$86,0,$BC321))</f>
        <v>#N/A</v>
      </c>
      <c r="BH321" s="404" t="e">
        <f ca="1">IF($BG321=0,0,IF($BE321&lt;=Control!$C$86,$BC321*9*($BF321/Control!$C$86),0))</f>
        <v>#N/A</v>
      </c>
      <c r="BI321" s="140" t="e">
        <f ca="1">IF($BG321=1,0,IF($BE321&gt;=Control!$C$86,1,IF(AND($BB321&lt;21,$BB321&gt;=9),1,$BM320)))</f>
        <v>#N/A</v>
      </c>
      <c r="BJ321" s="140" t="e">
        <f ca="1">IF($BF321&lt;0,-$BF321,$BI321*IF(OR($G321&lt;Control!$C$92,$G321&gt;Control!$C$95),0,IF(AND($G321&gt;=Control!$C$92,$G321&lt;=Control!$C$93),$G321-Control!$C$92,IF(AND($G321&gt;Control!$C$93,$G321&lt;=Control!$C$94),Control!$C$93-Control!$C$92,IF(AND($G321&gt;Control!$C$94,$G321&lt;=Control!$C$95),(Control!$C$93-Control!$C$92)*(Control!$C$94-$G321)/(Control!$C$95-Control!$C$94))))))</f>
        <v>#N/A</v>
      </c>
      <c r="BK321" s="140" t="e">
        <f t="shared" ca="1" si="1060"/>
        <v>#N/A</v>
      </c>
      <c r="BL321" s="140" t="e">
        <f ca="1">IF($BK321&lt;=Control!$C$87,$BK321,Control!$C$87-$BK321)</f>
        <v>#N/A</v>
      </c>
      <c r="BM321" s="140" t="e">
        <f ca="1">IF(AND($BB321&gt;=9,$BB321&lt;21),1,IF($BK321&gt;=Control!$C$87,0,$BI321))</f>
        <v>#N/A</v>
      </c>
      <c r="BN321" s="404" t="e">
        <f ca="1">IF($BM321=0,0,IF($BK321&lt;=Control!$C$87,$BI321*(9+(21-9)*($BL321/Control!$C$87)),0))</f>
        <v>#N/A</v>
      </c>
      <c r="BO321" s="140" t="e">
        <f ca="1">IF($BM321=1,0,IF($BK321&gt;=Control!$C$87,1,IF(AND($BB321&lt;30,$BB321&gt;=21),1,$BS320)))</f>
        <v>#N/A</v>
      </c>
      <c r="BP321" s="140" t="e">
        <f ca="1">IF($BL321&lt;0,-$BL321,$BO321*IF(OR($G321&lt;Control!$C$92,$G321&gt;Control!$C$95),0,IF(AND($G321&gt;=Control!$C$92,$G321&lt;=Control!$C$93),$G321-Control!$C$92,IF(AND($G321&gt;Control!$C$93,$G321&lt;=Control!$C$94),Control!$C$93-Control!$C$92,IF(AND($G321&gt;Control!$C$94,$G321&lt;=Control!$C$95),(Control!$C$93-Control!$C$92)*(Control!$C$94-$G321)/(Control!$C$95-Control!$C$94))))))</f>
        <v>#N/A</v>
      </c>
      <c r="BQ321" s="140" t="e">
        <f t="shared" ca="1" si="944"/>
        <v>#N/A</v>
      </c>
      <c r="BR321" s="140" t="e">
        <f ca="1">IF($BQ321&lt;=Control!$C$88,$BQ321,Control!$C$88-$BQ321)</f>
        <v>#N/A</v>
      </c>
      <c r="BS321" s="140" t="e">
        <f ca="1">IF(AND($BB321&gt;=21,$BB321&lt;30),1,IF($BQ321&gt;=Control!$C$88,0,$BO321))</f>
        <v>#N/A</v>
      </c>
      <c r="BT321" s="404" t="e">
        <f ca="1">IF($BS321=0,0,IF($BQ321&lt;=Control!$C$88,$BO321*(21+(30-21)*(BR321/Control!$C$88)),0))</f>
        <v>#N/A</v>
      </c>
      <c r="BU321" s="140" t="e">
        <f ca="1">IF(BG321+BM321+BS321=1,0,IF(OR(AND($BB321&lt;60,$BB321&gt;=30),$BQ321&gt;=Control!$C$88),1*$BA321,$BY320))</f>
        <v>#N/A</v>
      </c>
      <c r="BV321" s="140" t="e">
        <f ca="1">IF($BR321&lt;0,-$BR321,$BU321*IF(OR($G321&lt;Control!$C$92,$G321&gt;Control!$C$95),0,IF(AND($G321&gt;=Control!$C$92,$G321&lt;=Control!$C$93),$G321-Control!$C$92,IF(AND($G321&gt;Control!$C$93,$G321&lt;=Control!$C$94),Control!$C$93-Control!$C$92,IF(AND($G321&gt;Control!$C$94,$G321&lt;=Control!$C$95),(Control!$C$93-Control!$C$92)*(Control!$C$94-$G321)/(Control!$C$95-Control!$C$94))))))</f>
        <v>#N/A</v>
      </c>
      <c r="BW321" s="140" t="e">
        <f t="shared" ca="1" si="945"/>
        <v>#N/A</v>
      </c>
      <c r="BX321" s="140" t="e">
        <f ca="1">IF($BW321&lt;=Control!$C$89,$BW321,Control!$C$89-$BW321)</f>
        <v>#N/A</v>
      </c>
      <c r="BY321" s="140" t="e">
        <f ca="1">IF(AND($AJ321&gt;=30,$AJ321&lt;60),1,IF($BW321&gt;=Control!$C$89,0,$BU321))</f>
        <v>#N/A</v>
      </c>
      <c r="BZ321" s="404" t="e">
        <f ca="1">IF($BY321=0,0,IF($BW321&lt;=Control!$C$89,$BU321*(30+(60-30)*(BX321/Control!$C$89)),0))</f>
        <v>#N/A</v>
      </c>
      <c r="CA321" s="140" t="e">
        <f ca="1">IF($BG321+$BM321+$BS321+$BY321=1,0,IF(OR(AND($BB321&lt;65,$BB321&gt;=60),$BW321&gt;=Control!$C$89),1*$BA321,$CE320))</f>
        <v>#N/A</v>
      </c>
      <c r="CB321" s="140" t="e">
        <f ca="1">IF($BX321&lt;0,-$BX321,$CA321*IF(OR($G321&lt;Control!$C$92,$G321&gt;Control!$C$95),0,IF(AND($G321&gt;=Control!$C$92,$G321&lt;=Control!$C$93),$G321-Control!$C$92,IF(AND($G321&gt;Control!$C$93,$G321&lt;=Control!$C$94),Control!$C$93-Control!$C$92,IF(AND($G321&gt;Control!$C$94,$G321&lt;=Control!$C$95),(Control!$C$93-Control!$C$92)*(Control!$C$94-$G321)/(Control!$C$95-Control!$C$94))))))</f>
        <v>#N/A</v>
      </c>
      <c r="CC321" s="140" t="e">
        <f t="shared" ca="1" si="1061"/>
        <v>#N/A</v>
      </c>
      <c r="CD321" s="140" t="e">
        <f ca="1">IF($CC321&lt;=Control!$C$90,$CC321,Control!$C$90-$CC321)</f>
        <v>#N/A</v>
      </c>
      <c r="CE321" s="140" t="e">
        <f ca="1">IF(AND($BB321&gt;=60,$BB321&lt;65),1,IF($CC321&gt;=Control!$C$90,0,$CA321))</f>
        <v>#N/A</v>
      </c>
      <c r="CF321" s="404" t="e">
        <f ca="1">IF($CE321=0,0,IF($CC321&lt;=Control!$C$90,$CA321*(60+(65-60)*(CD321/Control!$C$90)),0))</f>
        <v>#N/A</v>
      </c>
      <c r="CG321" s="140" t="e">
        <f ca="1">IF($BG321+$BM321+$BS321+$BY321+$CE321=1,0,IF(OR(AND($BB321&lt;90,$BB321&gt;=65),$CC321&gt;=Control!$C$90),$BA321,$CK320))</f>
        <v>#N/A</v>
      </c>
      <c r="CH321" s="140" t="e">
        <f ca="1">IF($CD321&lt;0,-$CD321,$CG321*IF(OR($G321&lt;Control!$C$92,$G321&gt;Control!$C$95),0,IF(AND($G321&gt;=Control!$C$92,$G321&lt;=Control!$C$93),$G321-Control!$C$92,IF(AND($G321&gt;Control!$C$93,$G321&lt;=Control!$C$94),Control!$C$93-Control!$C$92,IF(AND($G321&gt;Control!$C$94,$G321&lt;=Control!$C$95),(Control!$C$93-Control!$C$92)*(Control!$C$94-$G321)/(Control!$C$95-Control!$C$94))))))</f>
        <v>#N/A</v>
      </c>
      <c r="CI321" s="140" t="e">
        <f t="shared" ca="1" si="1062"/>
        <v>#N/A</v>
      </c>
      <c r="CJ321" s="140" t="e">
        <f ca="1">IF($CI321&lt;=Control!$C$91,$CI321,Control!$C$91-$CI321)</f>
        <v>#N/A</v>
      </c>
      <c r="CK321" s="140" t="e">
        <f ca="1">IF(AND($BB321&gt;=65,$BB321&lt;90),1,IF($CI321&gt;=Control!$C$91,0,$CG321))</f>
        <v>#N/A</v>
      </c>
      <c r="CL321" s="404" t="e">
        <f ca="1">IF($CK321=0,0,IF($CI321&lt;=Control!$C$91,$CG321*(65+(90-65)*($CJ321/Control!$C$91)),0))</f>
        <v>#N/A</v>
      </c>
      <c r="CM321" s="140" t="e">
        <f ca="1">IF($BG321+$BM321+$BS321+$BY321+$CE321+$CK321=1,0,IF(OR($BB321&gt;=90,$CI321&gt;=Control!$C$91),$BA321,$CM320))</f>
        <v>#N/A</v>
      </c>
      <c r="CN321" s="140" t="e">
        <f t="shared" ca="1" si="1063"/>
        <v>#N/A</v>
      </c>
      <c r="CO321" s="140" t="e">
        <f t="shared" ca="1" si="1064"/>
        <v>#N/A</v>
      </c>
      <c r="CP321" s="140" t="e">
        <f t="shared" ca="1" si="1065"/>
        <v>#N/A</v>
      </c>
      <c r="CQ321" s="141" t="e">
        <f ca="1">VLOOKUP($CP321,Control!$B$86:$G$91,6)</f>
        <v>#N/A</v>
      </c>
      <c r="CR321" s="141" t="e">
        <f ca="1">(1-$CQ321)*VLOOKUP($CP321,Control!$B$86:$D$91,3)</f>
        <v>#N/A</v>
      </c>
      <c r="CS321" s="141" t="e">
        <f ca="1">(1-$CQ321)*VLOOKUP($CP321,Control!$B$86:$E$91,4)</f>
        <v>#N/A</v>
      </c>
      <c r="CT321" s="141" t="e">
        <f ca="1">(1-$CQ321)*VLOOKUP($CP321,Control!$B$86:$F$91,5)</f>
        <v>#N/A</v>
      </c>
      <c r="CU321" s="141">
        <f t="shared" ca="1" si="1066"/>
        <v>0</v>
      </c>
      <c r="CV321" s="583">
        <f t="shared" ca="1" si="1067"/>
        <v>0</v>
      </c>
      <c r="CW321" s="142">
        <f t="shared" ca="1" si="1068"/>
        <v>317</v>
      </c>
      <c r="CX321" s="612" t="e">
        <f ca="1">IF(Control!$C$114=1,(MIN(Control!$C$120*(IF($NT321-0.01&lt;0,0,1)),Control!$C$119-$CY321)))</f>
        <v>#DIV/0!</v>
      </c>
      <c r="CY321" s="143" t="e">
        <f t="shared" ca="1" si="1069"/>
        <v>#N/A</v>
      </c>
      <c r="CZ321" s="144">
        <f t="shared" ca="1" si="946"/>
        <v>0</v>
      </c>
      <c r="DA321" s="144">
        <f t="shared" ca="1" si="947"/>
        <v>0</v>
      </c>
      <c r="DB321" s="144" t="e">
        <f t="shared" ca="1" si="948"/>
        <v>#N/A</v>
      </c>
      <c r="DC321" s="144" t="e">
        <f t="shared" ca="1" si="949"/>
        <v>#N/A</v>
      </c>
      <c r="DD321" s="144" t="e">
        <f t="shared" ca="1" si="1154"/>
        <v>#N/A</v>
      </c>
      <c r="DE321" s="143" t="e">
        <f t="shared" ca="1" si="1070"/>
        <v>#N/A</v>
      </c>
      <c r="DF321" s="145" t="e">
        <f ca="1">$DR321*EXP(-Control!$C$158*(1-$KH321))</f>
        <v>#N/A</v>
      </c>
      <c r="DG321" s="146" t="e">
        <f ca="1">IF(Control!$C$114=1, $DF321*$EY321, 0)</f>
        <v>#N/A</v>
      </c>
      <c r="DH321" s="147" t="e">
        <f t="shared" ca="1" si="1071"/>
        <v>#N/A</v>
      </c>
      <c r="DI321" s="144" t="e">
        <f t="shared" ca="1" si="1132"/>
        <v>#N/A</v>
      </c>
      <c r="DJ321" s="147" t="e">
        <f ca="1">$EF321*Control!$C$109</f>
        <v>#N/A</v>
      </c>
      <c r="DK321" s="144" t="e">
        <f t="shared" ca="1" si="1072"/>
        <v>#N/A</v>
      </c>
      <c r="DL321" s="144" t="e">
        <f t="shared" ca="1" si="950"/>
        <v>#N/A</v>
      </c>
      <c r="DM321" s="144" t="e">
        <f ca="1">IF(Control!$C$114=1, (1-EXP(-Control!$C$96*$DK321))*$AR321, 0)</f>
        <v>#N/A</v>
      </c>
      <c r="DN321" s="144">
        <f t="shared" ca="1" si="1073"/>
        <v>0</v>
      </c>
      <c r="DO321" s="148">
        <f>Control!$C$97</f>
        <v>4</v>
      </c>
      <c r="DP321" s="145" t="e">
        <f t="shared" ca="1" si="1074"/>
        <v>#N/A</v>
      </c>
      <c r="DQ321" s="145" t="e">
        <f ca="1">IF(AND($CP321&gt;=0,$CP321&lt;=90),Control!$C$111,Control!$C$111)</f>
        <v>#N/A</v>
      </c>
      <c r="DR321" s="145" t="e">
        <f t="shared" ca="1" si="951"/>
        <v>#N/A</v>
      </c>
      <c r="DS321" s="143" t="e">
        <f ca="1">Control!$B$22/$DR321</f>
        <v>#N/A</v>
      </c>
      <c r="DT321" s="149" t="e">
        <f ca="1">IF(AND(Control!$C$114=1,$KH321&lt;1),$IM321*$DF321, 0)</f>
        <v>#N/A</v>
      </c>
      <c r="DU321" s="144" t="e">
        <f t="shared" ca="1" si="1075"/>
        <v>#N/A</v>
      </c>
      <c r="DV321" s="144">
        <f ca="1">IF($G321-Control!$C$107&lt;=0, 0, 0.83*LN(MAX($G321, 3))-0.8924)</f>
        <v>0</v>
      </c>
      <c r="DW321" s="144" t="e">
        <f t="shared" ca="1" si="952"/>
        <v>#N/A</v>
      </c>
      <c r="DX321" s="150" t="e">
        <f ca="1">MAX(0.01*(1+$CU321/Control!$C$102),0.05*($DK321-Control!$C$97)/Control!$C$97)</f>
        <v>#N/A</v>
      </c>
      <c r="DY321" s="151" t="e">
        <f ca="1">IF(Control!$C$114=1, $DI321*$FS321, 0)</f>
        <v>#N/A</v>
      </c>
      <c r="DZ321" s="196" t="e">
        <f t="shared" ca="1" si="1076"/>
        <v>#N/A</v>
      </c>
      <c r="EA321" s="152">
        <f t="shared" ca="1" si="1077"/>
        <v>317</v>
      </c>
      <c r="EB321" s="153" t="e">
        <f t="shared" ca="1" si="1078"/>
        <v>#N/A</v>
      </c>
      <c r="EC321" s="153" t="e">
        <f t="shared" ca="1" si="1079"/>
        <v>#N/A</v>
      </c>
      <c r="ED321" s="154" t="e">
        <f ca="1">IF(Control!$C$114=1, $HM321*$FY321-$FD321, 0)</f>
        <v>#DIV/0!</v>
      </c>
      <c r="EE321" s="155" t="e">
        <f ca="1">IF(Control!$C$114=1, $HM321*$FZ321-$FF321, 0)</f>
        <v>#DIV/0!</v>
      </c>
      <c r="EF321" s="153" t="e">
        <f t="shared" ca="1" si="1133"/>
        <v>#N/A</v>
      </c>
      <c r="EG321" s="155" t="e">
        <f ca="1">IF(Control!$C$114=1, $GX321*$FW321-$FI321, 0)</f>
        <v>#DIV/0!</v>
      </c>
      <c r="EH321" s="153" t="e">
        <f t="shared" ca="1" si="1080"/>
        <v>#N/A</v>
      </c>
      <c r="EI321" s="156" t="e">
        <f t="shared" ca="1" si="1081"/>
        <v>#N/A</v>
      </c>
      <c r="EJ321" s="155" t="e">
        <f ca="1">IF(Control!$C$114=1, $HM321*$GB321, 0)</f>
        <v>#DIV/0!</v>
      </c>
      <c r="EK321" s="153" t="e">
        <f t="shared" ca="1" si="1134"/>
        <v>#N/A</v>
      </c>
      <c r="EL321" s="153" t="e">
        <f t="shared" ca="1" si="953"/>
        <v>#N/A</v>
      </c>
      <c r="EM321" s="153" t="e">
        <f t="shared" ca="1" si="954"/>
        <v>#N/A</v>
      </c>
      <c r="EN321" s="153" t="e">
        <f ca="1">IF(Control!$C$108=1,IF(AND(Control!$B$18=1,$EB321&gt;=Control!$B$19),$EB321-$DS321,IF(AND(Control!$B$18=2,$AW321=1,$EB321&gt;$DS321),$EB321-$DS321,0)))</f>
        <v>#N/A</v>
      </c>
      <c r="EO321" s="153" t="e">
        <f ca="1">IF(Control!$C$108=1,IF(AND(Control!$B$18=1,$EB321&gt;=Control!$B$19),$EF321,IF(AND(Control!$B$18=2,$AW321=1),$EF321,0)))</f>
        <v>#N/A</v>
      </c>
      <c r="EP321" s="153" t="e">
        <f ca="1">IF(Control!$C$108=1,IF(AND(Control!$B$18=1,$EB321&gt;=Control!$B$19),$EK321,IF(AND(Control!$B$18=2,$AW321=1),$EK321,0)))</f>
        <v>#N/A</v>
      </c>
      <c r="EQ321" s="153" t="e">
        <f t="shared" ca="1" si="1082"/>
        <v>#N/A</v>
      </c>
      <c r="ER321" s="153" t="e">
        <f t="shared" ca="1" si="1083"/>
        <v>#N/A</v>
      </c>
      <c r="ES321" s="153" t="e">
        <f t="shared" ca="1" si="1135"/>
        <v>#N/A</v>
      </c>
      <c r="ET321" s="153" t="e">
        <f t="shared" ca="1" si="1136"/>
        <v>#N/A</v>
      </c>
      <c r="EU321" s="153" t="e">
        <f t="shared" ca="1" si="1084"/>
        <v>#N/A</v>
      </c>
      <c r="EV321" s="153" t="e">
        <f t="shared" ca="1" si="955"/>
        <v>#N/A</v>
      </c>
      <c r="EW321" s="153" t="e">
        <f t="shared" ca="1" si="956"/>
        <v>#N/A</v>
      </c>
      <c r="EX321" s="153" t="e">
        <f t="shared" ca="1" si="957"/>
        <v>#N/A</v>
      </c>
      <c r="EY321" s="157" t="e">
        <f t="shared" ca="1" si="958"/>
        <v>#DIV/0!</v>
      </c>
      <c r="EZ321" s="154" t="e">
        <f t="shared" ca="1" si="959"/>
        <v>#DIV/0!</v>
      </c>
      <c r="FA321" s="153" t="e">
        <f t="shared" ca="1" si="1085"/>
        <v>#N/A</v>
      </c>
      <c r="FB321" s="153" t="e">
        <f t="shared" ca="1" si="960"/>
        <v>#N/A</v>
      </c>
      <c r="FC321" s="193" t="e">
        <f t="shared" ca="1" si="961"/>
        <v>#N/A</v>
      </c>
      <c r="FD321" s="158" t="e">
        <f t="shared" ca="1" si="1086"/>
        <v>#N/A</v>
      </c>
      <c r="FE321" s="158" t="e">
        <f t="shared" ca="1" si="1087"/>
        <v>#N/A</v>
      </c>
      <c r="FF321" s="159" t="e">
        <f t="shared" ca="1" si="962"/>
        <v>#N/A</v>
      </c>
      <c r="FG321" s="160" t="e">
        <f t="shared" ca="1" si="1088"/>
        <v>#N/A</v>
      </c>
      <c r="FH321" s="158" t="e">
        <f t="shared" ca="1" si="1089"/>
        <v>#N/A</v>
      </c>
      <c r="FI321" s="159" t="e">
        <f t="shared" ca="1" si="963"/>
        <v>#N/A</v>
      </c>
      <c r="FJ321" s="160" t="e">
        <f t="shared" ca="1" si="1090"/>
        <v>#N/A</v>
      </c>
      <c r="FK321" s="160" t="e">
        <f t="shared" ca="1" si="964"/>
        <v>#N/A</v>
      </c>
      <c r="FL321" s="160" t="e">
        <f t="shared" ca="1" si="1137"/>
        <v>#N/A</v>
      </c>
      <c r="FM321" s="160" t="e">
        <f t="shared" ca="1" si="965"/>
        <v>#N/A</v>
      </c>
      <c r="FN321" s="158">
        <f t="shared" ca="1" si="1091"/>
        <v>0.01</v>
      </c>
      <c r="FO321" s="160">
        <f>Control!$C$101</f>
        <v>50</v>
      </c>
      <c r="FP321" s="150" t="e">
        <f t="shared" ca="1" si="966"/>
        <v>#N/A</v>
      </c>
      <c r="FQ321" s="150" t="e">
        <f ca="1">MAX(0,(Control!$C$112*(($DK321-Control!$C$97)/Control!$C$97)))</f>
        <v>#N/A</v>
      </c>
      <c r="FR321" s="150" t="e">
        <f ca="1">(1-$NT321)*Control!$C$113</f>
        <v>#DIV/0!</v>
      </c>
      <c r="FS321" s="198" t="e">
        <f t="shared" ca="1" si="967"/>
        <v>#N/A</v>
      </c>
      <c r="FT321" s="161">
        <f t="shared" ca="1" si="1092"/>
        <v>317</v>
      </c>
      <c r="FU321" s="162" t="e">
        <f ca="1">IF(Control!$B$34=1,VLOOKUP($CP321,Control!$B$86:$G$91,6),Control!$B$35)</f>
        <v>#N/A</v>
      </c>
      <c r="FV321" s="162" t="e">
        <f t="shared" ca="1" si="968"/>
        <v>#DIV/0!</v>
      </c>
      <c r="FW321" s="162" t="e">
        <f ca="1">IF(Control!$B$31=1,$FU321*$FV321,  $FU321)</f>
        <v>#N/A</v>
      </c>
      <c r="FX321" s="162" t="e">
        <f ca="1">IF(Control!$B$34=1,VLOOKUP($CP321,Control!$B$86:$G$91,3),Control!$B$36)</f>
        <v>#N/A</v>
      </c>
      <c r="FY321" s="162" t="e">
        <f t="shared" ca="1" si="969"/>
        <v>#N/A</v>
      </c>
      <c r="FZ321" s="162" t="e">
        <f ca="1">IF(Control!$B$34=1,VLOOKUP($CP321,Control!$B$86:$G$91,4),Control!$B$37)</f>
        <v>#N/A</v>
      </c>
      <c r="GA321" s="162" t="e">
        <f t="shared" ca="1" si="970"/>
        <v>#N/A</v>
      </c>
      <c r="GB321" s="162" t="e">
        <f ca="1">IF(Control!$B$34=1,VLOOKUP($CP321,Control!$B$86:$G$91,5),Control!$B$38)</f>
        <v>#N/A</v>
      </c>
      <c r="GC321" s="162" t="e">
        <f t="shared" ca="1" si="1093"/>
        <v>#N/A</v>
      </c>
      <c r="GD321" s="162">
        <f t="shared" ca="1" si="971"/>
        <v>1</v>
      </c>
      <c r="GE321" s="162">
        <f t="shared" ca="1" si="972"/>
        <v>1</v>
      </c>
      <c r="GF321" s="162">
        <f ca="1">IF(AND(Control!$C$104=1, Control!$C$62="F"),$GE321,1)</f>
        <v>1</v>
      </c>
      <c r="GG321" s="162" t="e">
        <f ca="1">IF(Control!$B$16=40,0,IF(AND(Control!$B$16&gt;40,Control!$B$16&lt;=360),(Control!$B$16-40)*((1-0)/(360-40)),IF(AND(Control!$B$16&gt;360,Control!$B$16&lt;=720),(1+(Control!$B$16-360)*((1.25-1)/(720-360))),IF(AND(Control!$B$16&gt;720,Control!$B$16&lt;=1000),(1.25+(Control!$B$16-720)*((1.35-1.25)/(1000-720))),IF(AND(Control!$B$16&gt;1000,Control!$B$16&lt;=2000),(1.35+(Control!$B$16-1000)*0))))))</f>
        <v>#N/A</v>
      </c>
      <c r="GH321" s="162" t="e">
        <f t="shared" ca="1" si="973"/>
        <v>#N/A</v>
      </c>
      <c r="GI321" s="162">
        <f t="shared" ca="1" si="1094"/>
        <v>0</v>
      </c>
      <c r="GJ321" s="162">
        <f t="shared" ca="1" si="974"/>
        <v>0</v>
      </c>
      <c r="GK321" s="162">
        <f t="shared" ca="1" si="1095"/>
        <v>1</v>
      </c>
      <c r="GL321" s="162">
        <f t="shared" ca="1" si="975"/>
        <v>1</v>
      </c>
      <c r="GM321" s="162" t="e">
        <f ca="1">MAX(0,MIN(1,1-Control!$C$156*(1.0001-$KH321)^2))</f>
        <v>#N/A</v>
      </c>
      <c r="GN321" s="162" t="e">
        <f ca="1">IF(Control!$B$26=1,$KU321,$KX321)</f>
        <v>#N/A</v>
      </c>
      <c r="GO321" s="162" t="e">
        <f ca="1">IF($CP321&lt;=60,Control!$C$105,IF($CP321&gt;=90,Control!$C$106,Control!$C$105+($CP321-60)*((Control!$C$106-Control!$C$105)/(90-60))))</f>
        <v>#N/A</v>
      </c>
      <c r="GP321" s="162" t="e">
        <f t="shared" ca="1" si="976"/>
        <v>#N/A</v>
      </c>
      <c r="GQ321" s="162" t="e">
        <f t="shared" ca="1" si="1096"/>
        <v>#N/A</v>
      </c>
      <c r="GR321" s="163" t="e">
        <f t="shared" ca="1" si="977"/>
        <v>#DIV/0!</v>
      </c>
      <c r="GS321" s="162" t="e">
        <f t="shared" ca="1" si="978"/>
        <v>#DIV/0!</v>
      </c>
      <c r="GT321" s="164" t="e">
        <f t="shared" ca="1" si="1097"/>
        <v>#N/A</v>
      </c>
      <c r="GU321" s="162" t="e">
        <f t="shared" ca="1" si="1098"/>
        <v>#N/A</v>
      </c>
      <c r="GV321" s="162" t="e">
        <f t="shared" ca="1" si="979"/>
        <v>#N/A</v>
      </c>
      <c r="GW321" s="162" t="e">
        <f t="shared" ca="1" si="980"/>
        <v>#DIV/0!</v>
      </c>
      <c r="GX321" s="162" t="e">
        <f t="shared" ca="1" si="1099"/>
        <v>#DIV/0!</v>
      </c>
      <c r="GY321" s="162" t="e">
        <f t="shared" ca="1" si="1100"/>
        <v>#DIV/0!</v>
      </c>
      <c r="GZ321" s="165" t="e">
        <f t="shared" ca="1" si="981"/>
        <v>#N/A</v>
      </c>
      <c r="HA321" s="162" t="e">
        <f ca="1">IF(Control!$C$114=1, $DI321*$FS321, 0)</f>
        <v>#N/A</v>
      </c>
      <c r="HB321" s="162" t="e">
        <f ca="1">$FA321/Control!$C$64</f>
        <v>#N/A</v>
      </c>
      <c r="HC321" s="162" t="e">
        <f t="shared" ca="1" si="982"/>
        <v>#DIV/0!</v>
      </c>
      <c r="HD321" s="162">
        <f ca="1">-ASIN(SIN(23.45*Control!$C$139)*COS(2*Control!$C$138*($AH321+10)/365))</f>
        <v>-0.32130455219983994</v>
      </c>
      <c r="HE321" s="165">
        <f t="shared" ca="1" si="1101"/>
        <v>0</v>
      </c>
      <c r="HF321" s="166">
        <f ca="1">IF(AND(Control!$C$61="T",$HE321&gt;=Control!$C$103,Control!$C$114=0),$AH321,Control!$C$59)</f>
        <v>1</v>
      </c>
      <c r="HG321" s="166">
        <f ca="1">IF(AND(Control!$C$61="T",$HE321&gt;=Control!$C$103,Control!$C$114=0),$HF321,Control!$C$59)</f>
        <v>1</v>
      </c>
      <c r="HH321" s="165">
        <f ca="1">IF(AND(OR(Control!$C$60&lt;=0, $AH321= Control!$C$59, Control!$C$60 &gt;0, $AH321 = Control!$C$60)), Control!$C$59, IF(Control!$C$60&gt;0, 0))</f>
        <v>1</v>
      </c>
      <c r="HI321" s="165">
        <f ca="1">IF(AND(OR(Control!$C$60&lt;=0, $AH321= Control!$C$59, Control!$C$60 &gt;0, $AH321 = Control!$C$60)), Control!$C$60, IF(Control!$C$60&lt;=0, 0))</f>
        <v>0</v>
      </c>
      <c r="HJ321" s="166">
        <f ca="1">IF(AND(Control!$C$62="F",$CV321&gt;=Control!$C$102),$AH321,0)</f>
        <v>0</v>
      </c>
      <c r="HK321" s="165" t="e">
        <f t="shared" ca="1" si="1138"/>
        <v>#N/A</v>
      </c>
      <c r="HL321" s="166">
        <f ca="1">IF(AND(Control!$C$61="T",$HE321&gt;=Control!$C$103,Control!$C$114=0),$HF321,0)</f>
        <v>0</v>
      </c>
      <c r="HM321" s="201" t="e">
        <f t="shared" ca="1" si="983"/>
        <v>#DIV/0!</v>
      </c>
      <c r="HN321" s="215">
        <f t="shared" ca="1" si="1102"/>
        <v>317</v>
      </c>
      <c r="HO321" s="216" t="e">
        <f ca="1">IF(AND($CP321&gt;=0, $CP321&lt;=90), Control!$C$152, Control!$C$152)</f>
        <v>#N/A</v>
      </c>
      <c r="HP321" s="216" t="e">
        <f t="shared" ca="1" si="984"/>
        <v>#N/A</v>
      </c>
      <c r="HQ321" s="217" t="e">
        <f ca="1">IF(OR(Control!$B$26=1,Control!$B$26=2),$KV321,$KS321)</f>
        <v>#DIV/0!</v>
      </c>
      <c r="HR321" s="218" t="e">
        <f t="shared" ca="1" si="1139"/>
        <v>#DIV/0!</v>
      </c>
      <c r="HS321" s="216" t="e">
        <f ca="1">Control!$C$154*$HP321</f>
        <v>#N/A</v>
      </c>
      <c r="HT321" s="216" t="e">
        <f ca="1">Control!$C$155*$HP321</f>
        <v>#N/A</v>
      </c>
      <c r="HU321" s="217" t="e">
        <f ca="1">Control!$C$161*$FI321</f>
        <v>#N/A</v>
      </c>
      <c r="HV321" s="218" t="e">
        <f t="shared" ca="1" si="1103"/>
        <v>#N/A</v>
      </c>
      <c r="HW321" s="218" t="e">
        <f ca="1">Control!$C$160*$FF321+$IP321*$EO321</f>
        <v>#N/A</v>
      </c>
      <c r="HX321" s="218" t="e">
        <f t="shared" ca="1" si="1140"/>
        <v>#N/A</v>
      </c>
      <c r="HY321" s="219" t="e">
        <f ca="1">IF(Control!$C$114=1, $EB321*$FS321, 0)</f>
        <v>#N/A</v>
      </c>
      <c r="HZ321" s="91" t="e">
        <f t="shared" ca="1" si="985"/>
        <v>#N/A</v>
      </c>
      <c r="IA321" s="220" t="e">
        <f ca="1">Control!$C$153*$HO321</f>
        <v>#N/A</v>
      </c>
      <c r="IB321" s="218" t="e">
        <f t="shared" ca="1" si="986"/>
        <v>#N/A</v>
      </c>
      <c r="IC321" s="220" t="e">
        <f ca="1">Control!$C$153*$HT321</f>
        <v>#N/A</v>
      </c>
      <c r="ID321" s="218" t="e">
        <f t="shared" ca="1" si="987"/>
        <v>#N/A</v>
      </c>
      <c r="IE321" s="221" t="e">
        <f ca="1">($EB321*Control!$C$159+$EF321*Control!$C$160)/(IF($GZ321&lt;&gt;0,$GZ321,1))</f>
        <v>#N/A</v>
      </c>
      <c r="IF321" s="216" t="e">
        <f t="shared" ca="1" si="988"/>
        <v>#N/A</v>
      </c>
      <c r="IG321" s="91">
        <f ca="1">IF(OR(Control!$B$198=$AH321,Control!$B$199=$AH321, Control!$B$200=$AH321, Control!$B$201=$AH321, Control!$B$202=$AH321, Control!$B$203=$AH321, Control!$B$204=$AH321, Control!$B$205=$AH321, Control!$B$206=$AH321, Control!$B$207=$AH321), 1, 0)</f>
        <v>0</v>
      </c>
      <c r="IH321" s="91">
        <f ca="1">IF($IG321=0,0, VLOOKUP($AH321,Control!$B$198:$C$207,2))</f>
        <v>0</v>
      </c>
      <c r="II321" s="222">
        <f t="shared" ca="1" si="1104"/>
        <v>0</v>
      </c>
      <c r="IJ321" s="91">
        <f>Control!$C$121</f>
        <v>0.7</v>
      </c>
      <c r="IK321" s="218">
        <f t="shared" ca="1" si="989"/>
        <v>0</v>
      </c>
      <c r="IL321" s="217" t="e">
        <f t="shared" ca="1" si="1141"/>
        <v>#N/A</v>
      </c>
      <c r="IM321" s="223" t="e">
        <f ca="1">IF(AND(Control!$C$114=1,$KH321&lt;1),$EB321*Control!$C$148*(1-$KH321), 0)</f>
        <v>#N/A</v>
      </c>
      <c r="IN321" s="217" t="e">
        <f t="shared" ca="1" si="990"/>
        <v>#DIV/0!</v>
      </c>
      <c r="IO321" s="91" t="e">
        <f ca="1">MAX(0,$IL321-$EF321*Control!$C$160)</f>
        <v>#N/A</v>
      </c>
      <c r="IP321" s="220" t="e">
        <f t="shared" ca="1" si="991"/>
        <v>#N/A</v>
      </c>
      <c r="IQ321" s="217" t="e">
        <f t="shared" ca="1" si="1105"/>
        <v>#N/A</v>
      </c>
      <c r="IR321" s="218" t="e">
        <f t="shared" ca="1" si="992"/>
        <v>#N/A</v>
      </c>
      <c r="IS321" s="217" t="e">
        <f ca="1">Control!$C$159*MAX(0,$FD321-$EN321)</f>
        <v>#N/A</v>
      </c>
      <c r="IT321" s="217" t="e">
        <f t="shared" ca="1" si="1142"/>
        <v>#N/A</v>
      </c>
      <c r="IU321" s="217" t="e">
        <f t="shared" ca="1" si="1106"/>
        <v>#N/A</v>
      </c>
      <c r="IV321" s="217" t="e">
        <f t="shared" ca="1" si="1143"/>
        <v>#N/A</v>
      </c>
      <c r="IW321" s="217" t="e">
        <f ca="1">IF(OR($AW321=1,AND($AW321=0, Control!$B$18=1,$EN321&lt;&gt;0)), $IQ321-$IU321, $IQ321)</f>
        <v>#N/A</v>
      </c>
      <c r="IX321" s="218" t="e">
        <f t="shared" ca="1" si="993"/>
        <v>#N/A</v>
      </c>
      <c r="IY321" s="218" t="e">
        <f ca="1">MAX(0,$IQ321-$EB321*Control!$C$159)</f>
        <v>#N/A</v>
      </c>
      <c r="IZ321" s="218" t="e">
        <f t="shared" ca="1" si="994"/>
        <v>#N/A</v>
      </c>
      <c r="JA321" s="216" t="e">
        <f t="shared" ca="1" si="995"/>
        <v>#N/A</v>
      </c>
      <c r="JB321" s="217" t="e">
        <f t="shared" ca="1" si="996"/>
        <v>#N/A</v>
      </c>
      <c r="JC321" s="222" t="e">
        <f ca="1">MAX(Control!$C$157*$EK321-$JT321, 0)/Control!$C$162</f>
        <v>#N/A</v>
      </c>
      <c r="JD321" s="218" t="e">
        <f t="shared" ca="1" si="997"/>
        <v>#N/A</v>
      </c>
      <c r="JE321" s="218" t="e">
        <f t="shared" ca="1" si="998"/>
        <v>#N/A</v>
      </c>
      <c r="JF321" s="218" t="e">
        <f t="shared" ca="1" si="1107"/>
        <v>#N/A</v>
      </c>
      <c r="JG321" s="218" t="e">
        <f t="shared" ca="1" si="999"/>
        <v>#N/A</v>
      </c>
      <c r="JH321" s="217" t="e">
        <f t="shared" ca="1" si="1108"/>
        <v>#N/A</v>
      </c>
      <c r="JI321" s="217" t="e">
        <f t="shared" ca="1" si="1109"/>
        <v>#N/A</v>
      </c>
      <c r="JJ321" s="217" t="e">
        <f t="shared" ca="1" si="1144"/>
        <v>#N/A</v>
      </c>
      <c r="JK321" s="217" t="e">
        <f ca="1">IF(Control!$C$114=1,IF(Control!$B$24=0,MAX(0,$JI321)*$GN321/Control!$C$64,(MAX(0,MIN($JI321,$JJ321*$GN321/Control!$C$64),0))))</f>
        <v>#N/A</v>
      </c>
      <c r="JL321" s="217" t="e">
        <f ca="1">$IK321/Control!$C$64-$JK321+$HQ321</f>
        <v>#N/A</v>
      </c>
      <c r="JM321" s="217" t="e">
        <f ca="1">IF(Control!$C$114=1,($JB321/(IF($JI321&lt;&gt;0,$JI321,1)))*$JK321,0)</f>
        <v>#N/A</v>
      </c>
      <c r="JN321" s="217" t="e">
        <f ca="1">IF(Control!$C$114=1,($JG321/(IF($JI321&lt;&gt;0,$JI321,1)))*$JK321, 0)</f>
        <v>#N/A</v>
      </c>
      <c r="JO321" s="218" t="e">
        <f t="shared" ca="1" si="1000"/>
        <v>#N/A</v>
      </c>
      <c r="JP321" s="218" t="e">
        <f ca="1">MIN(($IY321+$IO321)*Control!$C$151, $JF321-$EH321*Control!$C$161)</f>
        <v>#N/A</v>
      </c>
      <c r="JQ321" s="218" t="e">
        <f t="shared" ca="1" si="1001"/>
        <v>#N/A</v>
      </c>
      <c r="JR321" s="217" t="e">
        <f ca="1">IF($CP321-Control!$C$150&lt;0, 0, $JQ321/Control!$C$162)</f>
        <v>#N/A</v>
      </c>
      <c r="JS321" s="218" t="e">
        <f t="shared" ca="1" si="1002"/>
        <v>#N/A</v>
      </c>
      <c r="JT321" s="218" t="e">
        <f t="shared" ca="1" si="1110"/>
        <v>#N/A</v>
      </c>
      <c r="JU321" s="218" t="e">
        <f t="shared" ca="1" si="1003"/>
        <v>#N/A</v>
      </c>
      <c r="JV321" s="218" t="e">
        <f t="shared" ca="1" si="1004"/>
        <v>#N/A</v>
      </c>
      <c r="JW321" s="216" t="e">
        <f t="shared" ca="1" si="1005"/>
        <v>#N/A</v>
      </c>
      <c r="JX321" s="91" t="e">
        <f t="shared" ca="1" si="1006"/>
        <v>#N/A</v>
      </c>
      <c r="JY321" s="218" t="e">
        <f t="shared" ca="1" si="1007"/>
        <v>#N/A</v>
      </c>
      <c r="JZ321" s="217" t="e">
        <f ca="1">IF(Control!$C$114=1,($IZ321/(IF($JI321&lt;&gt;0,$JI321,1)))*$JK321, 0)</f>
        <v>#N/A</v>
      </c>
      <c r="KA321" s="218" t="e">
        <f t="shared" ca="1" si="1145"/>
        <v>#N/A</v>
      </c>
      <c r="KB321" s="218" t="e">
        <f t="shared" ca="1" si="1111"/>
        <v>#N/A</v>
      </c>
      <c r="KC321" s="218" t="e">
        <f t="shared" ca="1" si="1008"/>
        <v>#N/A</v>
      </c>
      <c r="KD321" s="218" t="e">
        <f t="shared" ca="1" si="1009"/>
        <v>#N/A</v>
      </c>
      <c r="KE321" s="218" t="e">
        <f t="shared" ca="1" si="1010"/>
        <v>#N/A</v>
      </c>
      <c r="KF321" s="218" t="e">
        <f t="shared" ca="1" si="1011"/>
        <v>#N/A</v>
      </c>
      <c r="KG321" s="216" t="e">
        <f t="shared" ca="1" si="1012"/>
        <v>#N/A</v>
      </c>
      <c r="KH321" s="221" t="e">
        <f ca="1">IF(Control!$B$24=0,1,MAX(0.001,MIN(1,IF(($IF321-$IE321)&lt;&gt;0,($KG321-$IE321)/($IF321-$IE321),1))))</f>
        <v>#N/A</v>
      </c>
      <c r="KI321" s="222" t="e">
        <f ca="1">IF(Control!$C$114=1, $KI320+ $KH320, 0)</f>
        <v>#N/A</v>
      </c>
      <c r="KJ321" s="217" t="e">
        <f t="shared" ca="1" si="1013"/>
        <v>#N/A</v>
      </c>
      <c r="KK321" s="218" t="e">
        <f t="shared" ca="1" si="1014"/>
        <v>#N/A</v>
      </c>
      <c r="KL321" s="274" t="e">
        <f ca="1">IF(Control!$B$26=3,4000000000*EXP(-8400/($G321+273)),IF(Control!$B$26=4,4000000000*EXP(-8400/($G321+273))*($KT321),0))</f>
        <v>#DIV/0!</v>
      </c>
      <c r="KM321" s="274" t="e">
        <f ca="1">IF(Control!$B$26=3,5600000000000*EXP(-9800/($G321+273)),IF(Control!$B$26=4,5600000000000*EXP(-9800/($G321+273))*$KT321,0))</f>
        <v>#DIV/0!</v>
      </c>
      <c r="KN321" s="454" t="e">
        <f t="shared" ca="1" si="1112"/>
        <v>#DIV/0!</v>
      </c>
      <c r="KO321" s="274" t="e">
        <f t="shared" ca="1" si="1113"/>
        <v>#DIV/0!</v>
      </c>
      <c r="KP321" s="454" t="e">
        <f t="shared" ca="1" si="1015"/>
        <v>#DIV/0!</v>
      </c>
      <c r="KQ321" s="454" t="e">
        <f t="shared" ca="1" si="1016"/>
        <v>#DIV/0!</v>
      </c>
      <c r="KR321" s="454" t="e">
        <f t="shared" ca="1" si="1017"/>
        <v>#DIV/0!</v>
      </c>
      <c r="KS321" s="454" t="e">
        <f t="shared" ca="1" si="1018"/>
        <v>#DIV/0!</v>
      </c>
      <c r="KT321" s="455" t="e">
        <f t="shared" ca="1" si="1019"/>
        <v>#DIV/0!</v>
      </c>
      <c r="KU321" s="456" t="e">
        <f ca="1">IF($CP321-Control!$C$149&lt;0, IF($NT321-0.01&lt;0,0,1),0)</f>
        <v>#N/A</v>
      </c>
      <c r="KV321" s="456" t="e">
        <f ca="1">IF(Control!$C$114=1,MAX(0,MIN(Control!$C$125*$KW321*$GN321,$KW321)))</f>
        <v>#DIV/0!</v>
      </c>
      <c r="KW321" s="456" t="e">
        <f t="shared" ca="1" si="1146"/>
        <v>#DIV/0!</v>
      </c>
      <c r="KX321" s="457" t="e">
        <f ca="1">IF($CP321-Control!$C$149&lt;0, IF($MR321-$OM321&lt;0,0,1),0)</f>
        <v>#N/A</v>
      </c>
      <c r="KY321" s="167">
        <f t="shared" ca="1" si="1114"/>
        <v>317</v>
      </c>
      <c r="KZ321" s="168">
        <f ca="1">1370*(1+0.033*COS(2*Control!$C$138*$AH321/365))</f>
        <v>1400.6353888777953</v>
      </c>
      <c r="LA321" s="169">
        <f t="shared" ca="1" si="1115"/>
        <v>1.0223612880385406</v>
      </c>
      <c r="LB321" s="169">
        <f t="shared" ca="1" si="1116"/>
        <v>-0.32671236764118211</v>
      </c>
      <c r="LC321" s="169">
        <f ca="1">ACOS(-TAN((2*Control!$B$8/360))*TAN(Calculations!$LB321))</f>
        <v>1.469916351754966</v>
      </c>
      <c r="LD321" s="169">
        <f ca="1">((24*60)/PI())*0.082*$LA321*(($LC321*SIN(Control!$B$8*2*PI()/360))*SIN($LB321)+COS(Control!$B$8*2*PI()/360)*COS($LB321)*SIN($LC321))</f>
        <v>8.0077937767653466</v>
      </c>
      <c r="LE321" s="170">
        <f t="shared" ca="1" si="1020"/>
        <v>9.3962767732804497</v>
      </c>
      <c r="LF321" s="170">
        <f ca="1">SIN(Control!$C$139*Control!$B$8)*SIN($HD321)</f>
        <v>-0.24885784903191902</v>
      </c>
      <c r="LG321" s="170">
        <f ca="1">COS(Control!$C$139*Control!$B$8)*COS($HD321)</f>
        <v>0.58415294582778066</v>
      </c>
      <c r="LH321" s="170">
        <f ca="1">12*(1+2*ASIN(MAX(-1,MIN(1,$LF321/$LG321))/Control!$C$138))</f>
        <v>8.7354359016921208</v>
      </c>
      <c r="LI321" s="170">
        <f ca="1">12*(1+2*ASIN(MAX(-1,MIN(1,(-SIN(-4*Control!$C$139)+$LF321)/$LG321))/Control!$C$138))</f>
        <v>9.6540209217717212</v>
      </c>
      <c r="LJ321" s="168">
        <f ca="1">3600*($LH321*$LF321+24*$LG321*SQRT(1-$LK321*$LK321)/Control!$C$138)</f>
        <v>6708.5815822552149</v>
      </c>
      <c r="LK321" s="170">
        <f t="shared" ca="1" si="1021"/>
        <v>-0.42601488327559855</v>
      </c>
      <c r="LL321" s="170">
        <f t="shared" ca="1" si="1022"/>
        <v>0</v>
      </c>
      <c r="LM321" s="171">
        <f ca="1">Control!$C$145*$AB321</f>
        <v>6.6660906138995932E-2</v>
      </c>
      <c r="LN321" s="170">
        <f t="shared" ca="1" si="1117"/>
        <v>0.54</v>
      </c>
      <c r="LO321" s="170">
        <f t="shared" ca="1" si="1023"/>
        <v>0</v>
      </c>
      <c r="LP321" s="170">
        <f ca="1">Control!$C$140*((($D321+273.16)^4+($E321+273.16)^4)/2)*(0.34-0.14*SQRT($Y321))*(1.35*$AQ321/(0.75*$LD321)-0.35)</f>
        <v>-3.2464704755046001</v>
      </c>
      <c r="LQ321" s="170">
        <f ca="1">Control!$C$140*($G321+273)^4*(0.56-0.079*SQRT($Y321*10))*(0.1+0.9*$LO321)</f>
        <v>1.5241745131704001</v>
      </c>
      <c r="LR321" s="170">
        <f ca="1">$AQ321*(1-Control!$C$142)-$LQ321</f>
        <v>-1.5241745131704001</v>
      </c>
      <c r="LS321" s="170">
        <f ca="1">$AQ321*(1-Control!$C$143)-$LQ321</f>
        <v>-1.5241745131704001</v>
      </c>
      <c r="LT321" s="170">
        <f ca="1">$AQ321*(1-Control!$C$144)-$LQ321</f>
        <v>-1.5241745131704001</v>
      </c>
      <c r="LU321" s="169">
        <f ca="1">(1-Control!$C$144)*AQ321-LP321</f>
        <v>3.2464704755046001</v>
      </c>
      <c r="LV321" s="172">
        <f t="shared" ca="1" si="1024"/>
        <v>0.79430000000000012</v>
      </c>
      <c r="LW321" s="170">
        <f t="shared" ca="1" si="1025"/>
        <v>1.5886000000000002</v>
      </c>
      <c r="LX321" s="170">
        <f ca="1">($AC321*($LR321/Control!$C$141)+$LM321*$LV321)/($AC321+$LM321)</f>
        <v>0.23530094218323697</v>
      </c>
      <c r="LY321" s="170">
        <f ca="1">($AC321*($LS321/Control!$C$141)+$LM321*$LV321)/($AC321+$LM321)</f>
        <v>0.23530094218323697</v>
      </c>
      <c r="LZ321" s="170">
        <f t="shared" ca="1" si="1026"/>
        <v>0.23530094218323697</v>
      </c>
      <c r="MA321" s="170">
        <f t="shared" ca="1" si="1027"/>
        <v>0.23530094218323697</v>
      </c>
      <c r="MB321" s="170" t="e">
        <f t="shared" ca="1" si="1028"/>
        <v>#N/A</v>
      </c>
      <c r="MC321" s="170">
        <f t="shared" ca="1" si="1118"/>
        <v>0.6018</v>
      </c>
      <c r="MD321" s="170">
        <f t="shared" ca="1" si="1029"/>
        <v>0.52989392535414004</v>
      </c>
      <c r="ME321" s="170">
        <f ca="1">($AC321*($LT321/Control!$C$141)+$LM321*$LW321)/($AC321+$LM321)</f>
        <v>0.71612369323045078</v>
      </c>
      <c r="MF321" s="170" t="e">
        <f ca="1">IF(Control!$B$16&gt;=1000,0.92,IF(AND(720&lt;=Control!$B$16,1000&gt;Control!$B$16),(0.95+(Control!$B$16-720)*((0.92-0.95)/(1000-720))),IF(AND(360&lt;=Control!$B$16,720&gt;Control!$B$16),(1+(Control!$B$16-360)*((0.95-1)/(720-360))),IF(AND(40&lt;=Control!$B$16,360&gt;Control!$B$16),(1.05+(Control!$B$16-40)*((1.05-1)/(360-40)))))))</f>
        <v>#N/A</v>
      </c>
      <c r="MG321" s="170">
        <f t="shared" ca="1" si="1030"/>
        <v>0.71612369323045078</v>
      </c>
      <c r="MH321" s="170" t="e">
        <f t="shared" ca="1" si="1157"/>
        <v>#N/A</v>
      </c>
      <c r="MI321" s="170" t="e">
        <f t="shared" ca="1" si="1157"/>
        <v>#N/A</v>
      </c>
      <c r="MJ321" s="170" t="e">
        <f ca="1">MAX(0.0001, Control!$C$132*$MI321*$DL321)</f>
        <v>#N/A</v>
      </c>
      <c r="MK321" s="170">
        <f ca="1">1/(0.76+1.5*($MG321/10))-(5-Control!$C$110)*0.1</f>
        <v>1.002845988140797</v>
      </c>
      <c r="ML321" s="173">
        <f ca="1">IF(Control!$C$110&lt;3,$MK321+($MG321-0.6)/(Control!$C$110*(Control!$C$110+3)), MAX(0.1, MIN(0.95,$MK321)))</f>
        <v>0.95</v>
      </c>
      <c r="MM321" s="173">
        <f ca="1">IF(Control!$C$110&lt;3,$MK321+(($MI321/10)-0.6)/(Control!$C$110*(Control!$C$110+3)), MAX(0.1, MIN(0.95,$MK321)))</f>
        <v>0.95</v>
      </c>
      <c r="MN321" s="173">
        <f ca="1">(1-$MM321)*(Control!$C$128-Control!$C$127)+Control!$C$127</f>
        <v>0.16</v>
      </c>
      <c r="MO321" s="170" t="e">
        <f ca="1">MAX(0,MIN(1,($MS321-Control!$C$127)/($MN321-Control!$C$127)))</f>
        <v>#DIV/0!</v>
      </c>
      <c r="MP321" s="173" t="e">
        <f ca="1">1/(0.76+1.5*$MI321)-(5-Control!$C$110)*0.1</f>
        <v>#N/A</v>
      </c>
      <c r="MQ321" s="172" t="e">
        <f t="shared" ca="1" si="1147"/>
        <v>#DIV/0!</v>
      </c>
      <c r="MR321" s="168" t="e">
        <f t="shared" ca="1" si="1119"/>
        <v>#DIV/0!</v>
      </c>
      <c r="MS321" s="173" t="e">
        <f ca="1">MAX(Control!$C$127, MIN(Control!$C$135, $MR321/MAX(0.0001,$CY321)))</f>
        <v>#DIV/0!</v>
      </c>
      <c r="MT321" s="168" t="e">
        <f ca="1">(Control!$C$128-$MS321)*Control!$C$74</f>
        <v>#DIV/0!</v>
      </c>
      <c r="MU321" s="168" t="e">
        <f ca="1">(Control!$C$135-$MS321)*Control!$C$74</f>
        <v>#DIV/0!</v>
      </c>
      <c r="MV321" s="168" t="e">
        <f t="shared" ca="1" si="1120"/>
        <v>#DIV/0!</v>
      </c>
      <c r="MW321" s="168" t="e">
        <f t="shared" ca="1" si="1121"/>
        <v>#DIV/0!</v>
      </c>
      <c r="MX321" s="171" t="e">
        <f ca="1">MAX(Control!$C$127, MIN(Control!$C$135, $MW321/MAX(0.0001,Control!$C$119-$CY321)))</f>
        <v>#DIV/0!</v>
      </c>
      <c r="MY321" s="54" t="e">
        <f ca="1">IF(Control!$C$114=1, $CX321*$MX321, 0)</f>
        <v>#DIV/0!</v>
      </c>
      <c r="MZ321" s="54" t="e">
        <f t="shared" ca="1" si="1122"/>
        <v>#N/A</v>
      </c>
      <c r="NA321" s="168" t="e">
        <f ca="1">(Control!$C$128-$MX321)*(Control!$C$119-Control!$C$74)</f>
        <v>#DIV/0!</v>
      </c>
      <c r="NB321" s="168" t="e">
        <f ca="1">(Control!$C$135-$MX321)*(Control!$C$119-Control!$C$74)</f>
        <v>#DIV/0!</v>
      </c>
      <c r="NC321" s="174" t="e">
        <f t="shared" ca="1" si="1123"/>
        <v>#DIV/0!</v>
      </c>
      <c r="ND321" s="54">
        <f ca="1">IF(Control!$C$58=2, IF(OR(Control!$B$218=$AH321,Control!$B$219=$AH321, Control!$B$220=$AH321, Control!$B$221=$AH321, Control!$B$222=$AH321, Control!$B$223=$AH321, Control!$B$224=$AH321, Control!$B$225=$AH321, Control!$B$226=$AH321, Control!$B$227=$AH321, Control!$B$228=$AH321), 1, 0), 0)</f>
        <v>0</v>
      </c>
      <c r="NE321" s="54">
        <f ca="1">IF($ND321=0,0, VLOOKUP($AH321,Control!$B$218:$C$228,2))</f>
        <v>0</v>
      </c>
      <c r="NF321" s="168" t="e">
        <f ca="1">$CY321*(Control!$C$128-Control!$C$127)</f>
        <v>#N/A</v>
      </c>
      <c r="NG321" s="54" t="e">
        <f ca="1">IF(Control!$C$58=2, $NI320-$NJ320, 0)</f>
        <v>#DIV/0!</v>
      </c>
      <c r="NH321" s="54" t="e">
        <f ca="1">IF(AND(Control!$C$58=1, $MS320&lt;= ($MN320+0.02), $I320&lt;10), 0, IF(Control!$C$58=2, $NG320, 0))</f>
        <v>#DIV/0!</v>
      </c>
      <c r="NI321" s="54" t="e">
        <f ca="1">IF(Control!$C$58=2, $NE321+$NH321,0)</f>
        <v>#DIV/0!</v>
      </c>
      <c r="NJ321" s="54" t="e">
        <f ca="1">IF(AND(Control!$C$58=1, $MS321&lt;= ($MN321+0.02), $I321&lt;10), MAX(0, MIN(10, 0.7*($NF321-$MV321))), IF(Control!$C$58=2, MIN(10,$NI321),0))</f>
        <v>#DIV/0!</v>
      </c>
      <c r="NK321" s="54" t="e">
        <f t="shared" ca="1" si="1031"/>
        <v>#DIV/0!</v>
      </c>
      <c r="NL321" s="173" t="e">
        <f ca="1">(1-Control!$C$73)*$I321+$NJ321</f>
        <v>#DIV/0!</v>
      </c>
      <c r="NM321" s="172" t="e">
        <f ca="1">IF($NL321&lt;0.5, $MB321* MAX(0, MIN(1, (SQRT($NC321)-SQRT($NC321-1))*Control!$C$71)),0)</f>
        <v>#DIV/0!</v>
      </c>
      <c r="NN321" s="170" t="e">
        <f ca="1">IF($NL321&gt;=5, $MB321, MAX(0,MIN($MB321, $NM321+$NL321,($MS321-Control!$C$129))))</f>
        <v>#DIV/0!</v>
      </c>
      <c r="NO321" s="54">
        <f>IF(Control!$C$133&lt;&gt;1, Control!$C$135-Control!$C$131, 0)</f>
        <v>0.38</v>
      </c>
      <c r="NP321" s="54" t="e">
        <f t="shared" ca="1" si="1032"/>
        <v>#DIV/0!</v>
      </c>
      <c r="NQ321" s="173" t="e">
        <f ca="1">MAX(0,MIN(1,(Control!$C$135-$MS321)/(Control!$C$135-$NO321)))</f>
        <v>#DIV/0!</v>
      </c>
      <c r="NR321" s="170" t="e">
        <f ca="1">IF(Control!$C$133&lt;&gt;1, $NQ321+((1-$NP321/4)*(1-$NQ321)),1)</f>
        <v>#DIV/0!</v>
      </c>
      <c r="NS321" s="170" t="e">
        <f ca="1">IF(Control!$B$31=0,$MJ321,MAX(0,MIN($MV321,$MO321*$NR321*$MJ321)))</f>
        <v>#DIV/0!</v>
      </c>
      <c r="NT321" s="170" t="e">
        <f t="shared" ca="1" si="1148"/>
        <v>#DIV/0!</v>
      </c>
      <c r="NU321" s="170" t="e">
        <f t="shared" ca="1" si="1124"/>
        <v>#N/A</v>
      </c>
      <c r="NV321" s="170" t="e">
        <f t="shared" ca="1" si="1033"/>
        <v>#N/A</v>
      </c>
      <c r="NW321" s="175" t="e">
        <f t="shared" ca="1" si="1034"/>
        <v>#DIV/0!</v>
      </c>
      <c r="NX321" s="170" t="e">
        <f ca="1">MIN(Control!$C$72+$MU321, $NW321)</f>
        <v>#DIV/0!</v>
      </c>
      <c r="NY321" s="170" t="e">
        <f ca="1">IF($MT321&lt;=$NX321,MIN(Control!$C$72+$NB321,$NX321-$MT321),0)</f>
        <v>#DIV/0!</v>
      </c>
      <c r="NZ321" s="54" t="e">
        <f ca="1">IF(Control!$C$114=1,  $CX321*($MX321-Control!$C$127), 0)</f>
        <v>#DIV/0!</v>
      </c>
      <c r="OA321" s="170" t="e">
        <f t="shared" ca="1" si="1035"/>
        <v>#DIV/0!</v>
      </c>
      <c r="OB321" s="170" t="e">
        <f ca="1">IF($NA321 &lt;=$NY321, MIN(Control!$C$72, $NY321-$NA321), 0)</f>
        <v>#DIV/0!</v>
      </c>
      <c r="OC321" s="168" t="e">
        <f t="shared" ca="1" si="1036"/>
        <v>#DIV/0!</v>
      </c>
      <c r="OD321" s="168" t="e">
        <f t="shared" ca="1" si="1125"/>
        <v>#DIV/0!</v>
      </c>
      <c r="OE321" s="170">
        <f ca="1">Control!$C$73*$I321</f>
        <v>0</v>
      </c>
      <c r="OF321" s="176" t="e">
        <f t="shared" ca="1" si="1037"/>
        <v>#DIV/0!</v>
      </c>
      <c r="OG321" s="168" t="e">
        <f t="shared" ca="1" si="1038"/>
        <v>#DIV/0!</v>
      </c>
      <c r="OH321" s="168" t="e">
        <f t="shared" ca="1" si="1039"/>
        <v>#DIV/0!</v>
      </c>
      <c r="OI321" s="168" t="e">
        <f t="shared" ca="1" si="1040"/>
        <v>#DIV/0!</v>
      </c>
      <c r="OJ321" s="168" t="e">
        <f t="shared" ca="1" si="1041"/>
        <v>#DIV/0!</v>
      </c>
      <c r="OK321" s="204" t="e">
        <f t="shared" ca="1" si="1042"/>
        <v>#DIV/0!</v>
      </c>
      <c r="OL321" s="177">
        <f>Control!$C$127</f>
        <v>0.15</v>
      </c>
      <c r="OM321" s="182" t="e">
        <f t="shared" ca="1" si="1043"/>
        <v>#N/A</v>
      </c>
      <c r="ON321" s="177">
        <f>Control!$C$128</f>
        <v>0.35</v>
      </c>
      <c r="OO321" s="182" t="e">
        <f t="shared" ca="1" si="1044"/>
        <v>#N/A</v>
      </c>
      <c r="OP321" s="138">
        <f t="shared" ca="1" si="1126"/>
        <v>0</v>
      </c>
      <c r="OQ321" s="138" t="e">
        <f t="shared" ca="1" si="1149"/>
        <v>#DIV/0!</v>
      </c>
      <c r="OR321" s="138" t="e">
        <f t="shared" ca="1" si="1127"/>
        <v>#DIV/0!</v>
      </c>
      <c r="OS321" s="137" t="e">
        <f t="shared" ca="1" si="1150"/>
        <v>#DIV/0!</v>
      </c>
      <c r="OT321" s="139" t="e">
        <f t="shared" ca="1" si="1151"/>
        <v>#DIV/0!</v>
      </c>
      <c r="OU321" s="138" t="e">
        <f t="shared" ca="1" si="1152"/>
        <v>#N/A</v>
      </c>
      <c r="OV321" s="138" t="e">
        <f t="shared" ca="1" si="1153"/>
        <v>#DIV/0!</v>
      </c>
      <c r="OW321" s="138" t="e">
        <f t="shared" ca="1" si="1128"/>
        <v>#DIV/0!</v>
      </c>
      <c r="OX321" s="138" t="e">
        <f t="shared" ca="1" si="1129"/>
        <v>#DIV/0!</v>
      </c>
      <c r="OY321" s="138" t="e">
        <f t="shared" ca="1" si="1130"/>
        <v>#DIV/0!</v>
      </c>
      <c r="OZ321" s="138" t="e">
        <f t="shared" ca="1" si="1045"/>
        <v>#DIV/0!</v>
      </c>
      <c r="PA321" s="138" t="e">
        <f t="shared" ca="1" si="1046"/>
        <v>#DIV/0!</v>
      </c>
      <c r="PB321" s="55">
        <f>IF(Control!$C$61="T", IF(Control!$C$65="F", IF($AH$6-Control!$C$60&lt;0,0,1), IF(365+$AH$6-Control!$C$60&lt;0,0,1)),0)</f>
        <v>0</v>
      </c>
      <c r="PC321" s="55">
        <f ca="1">IF(Control!$C$65="F", IF($AH$6-$HF321&lt;0,0,1), IF(365+$AH$6-$HF321&lt;0,0,1))</f>
        <v>1</v>
      </c>
      <c r="PD321" s="444">
        <f>Control!$C$118</f>
        <v>1500</v>
      </c>
      <c r="PE321" s="180" t="e">
        <f t="shared" ca="1" si="1047"/>
        <v>#N/A</v>
      </c>
      <c r="PF321" s="445">
        <f t="shared" ca="1" si="1131"/>
        <v>0.71612369323045078</v>
      </c>
      <c r="PT321" s="186"/>
      <c r="PU321" s="186"/>
      <c r="PV321" s="94"/>
      <c r="PW321" s="94"/>
      <c r="PX321" s="94"/>
      <c r="PY321" s="94"/>
      <c r="PZ321" s="94"/>
      <c r="QA321" s="94"/>
      <c r="QB321" s="94"/>
      <c r="QC321" s="94"/>
      <c r="QD321" s="94"/>
      <c r="QE321" s="94"/>
      <c r="QF321" s="94"/>
      <c r="QG321" s="94"/>
      <c r="QH321" s="94"/>
      <c r="QI321" s="94"/>
      <c r="QJ321" s="94"/>
      <c r="QK321" s="94"/>
      <c r="QL321" s="94"/>
      <c r="QM321" s="94"/>
      <c r="QN321" s="94"/>
      <c r="QO321" s="94"/>
      <c r="QP321" s="94"/>
    </row>
    <row r="322" spans="1:458" s="2" customFormat="1" x14ac:dyDescent="0.2">
      <c r="A322" s="395">
        <v>13</v>
      </c>
      <c r="B322" s="396">
        <v>11</v>
      </c>
      <c r="C322" s="387">
        <f ca="1">Weather_data!$B321</f>
        <v>0</v>
      </c>
      <c r="D322" s="388">
        <f ca="1">Weather_data!$F321</f>
        <v>0</v>
      </c>
      <c r="E322" s="388">
        <f ca="1">Weather_data!$E321</f>
        <v>0</v>
      </c>
      <c r="F322" s="388">
        <f t="shared" ca="1" si="1048"/>
        <v>0</v>
      </c>
      <c r="G322" s="388">
        <f ca="1">AVERAGE($D322:$E322)+Control!$B$9</f>
        <v>0</v>
      </c>
      <c r="H322" s="388">
        <f ca="1">Weather_data!$G321</f>
        <v>0</v>
      </c>
      <c r="I322" s="388">
        <f ca="1">Weather_data!$I321</f>
        <v>0</v>
      </c>
      <c r="J322" s="388">
        <f ca="1">Weather_data!$H321</f>
        <v>0</v>
      </c>
      <c r="K322" s="389">
        <f ca="1">Weather_data!$D321</f>
        <v>0</v>
      </c>
      <c r="L322" s="388" t="e">
        <f t="shared" ca="1" si="1049"/>
        <v>#N/A</v>
      </c>
      <c r="M322" s="388" t="e">
        <f t="shared" ca="1" si="927"/>
        <v>#N/A</v>
      </c>
      <c r="N322" s="388">
        <f t="shared" ca="1" si="928"/>
        <v>-1.7362129338736478E-15</v>
      </c>
      <c r="O322" s="388">
        <f t="shared" ca="1" si="1050"/>
        <v>1.7362129338736478E-14</v>
      </c>
      <c r="P322" s="390">
        <v>3</v>
      </c>
      <c r="Q322" s="388">
        <f ca="1">MAX($G322-Control!$C$107,0)</f>
        <v>0</v>
      </c>
      <c r="R322" s="388">
        <f t="shared" ca="1" si="1051"/>
        <v>0</v>
      </c>
      <c r="S322" s="388">
        <f t="shared" ca="1" si="929"/>
        <v>0</v>
      </c>
      <c r="T322" s="388">
        <f t="shared" ca="1" si="930"/>
        <v>0</v>
      </c>
      <c r="U322" s="59">
        <f t="shared" ca="1" si="931"/>
        <v>0</v>
      </c>
      <c r="V322" s="391">
        <f ca="1">MAX(0,MIN(Control!$C$100-Control!$C$99,$G322-Control!$C$99)*Control!$C$63)</f>
        <v>0</v>
      </c>
      <c r="W322" s="388">
        <f t="shared" ca="1" si="1052"/>
        <v>0</v>
      </c>
      <c r="X322" s="388">
        <f t="shared" ca="1" si="1053"/>
        <v>0.6110000000000001</v>
      </c>
      <c r="Y322" s="388">
        <f t="shared" ca="1" si="932"/>
        <v>0</v>
      </c>
      <c r="Z322" s="388">
        <f t="shared" ca="1" si="1054"/>
        <v>0.61058800000000002</v>
      </c>
      <c r="AA322" s="388">
        <f t="shared" ca="1" si="933"/>
        <v>0.6018</v>
      </c>
      <c r="AB322" s="388">
        <f ca="1">101.3*EXP(-0.034*Control!$C$66/($G322+273))</f>
        <v>100.69623283836242</v>
      </c>
      <c r="AC322" s="392">
        <f t="shared" ca="1" si="934"/>
        <v>4.3460251046025113E-2</v>
      </c>
      <c r="AD322" s="392">
        <f t="shared" ca="1" si="935"/>
        <v>4.4450382862832649E-2</v>
      </c>
      <c r="AE322" s="388">
        <f t="shared" ca="1" si="936"/>
        <v>0</v>
      </c>
      <c r="AF322" s="388">
        <f ca="1">MAX(0,$G322-Control!$C$92)</f>
        <v>0</v>
      </c>
      <c r="AG322" s="393">
        <f t="shared" ca="1" si="937"/>
        <v>318</v>
      </c>
      <c r="AH322" s="389">
        <f t="shared" ca="1" si="938"/>
        <v>318</v>
      </c>
      <c r="AI322" s="388">
        <f t="shared" ca="1" si="1055"/>
        <v>-0.32565123644303789</v>
      </c>
      <c r="AJ322" s="388">
        <f ca="1">IF(Control!$C$60&lt;=0,$HH322,$HI322)</f>
        <v>1</v>
      </c>
      <c r="AK322" s="388">
        <f t="shared" ca="1" si="939"/>
        <v>4.0969811044075106</v>
      </c>
      <c r="AL322" s="388">
        <f t="shared" ca="1" si="940"/>
        <v>-1.4429742123400756E-18</v>
      </c>
      <c r="AM322" s="388">
        <f t="shared" ca="1" si="941"/>
        <v>4.0969811044075106</v>
      </c>
      <c r="AN322" s="388">
        <f t="shared" ca="1" si="942"/>
        <v>-0.33082017211133641</v>
      </c>
      <c r="AO322" s="388">
        <f ca="1">-0.10453/COS(Control!$B$8*PI()/180)*COS(AN322)</f>
        <v>-0.16057849293035592</v>
      </c>
      <c r="AP322" s="388">
        <f ca="1">ACOS(AO322-TAN(Control!$B$8*PI()/180)*TAN(AN322))</f>
        <v>1.288036842777269</v>
      </c>
      <c r="AQ322" s="388">
        <f t="shared" ca="1" si="1056"/>
        <v>0</v>
      </c>
      <c r="AR322" s="394">
        <f t="shared" ca="1" si="943"/>
        <v>0</v>
      </c>
      <c r="AS322" s="436">
        <f ca="1">IF(Control!$B$18=2,(IF(OR($AH322=Control!$B$175,$AH322=Control!$B$176,$AH322=Control!$B$177,$AH322=Control!$B$178,$AH322=Control!$B$179,$AH322=Control!$B$180,$AH322=Control!$B$181,$AH322=Control!$B$182,$AH322=Control!$B$183,$AH322=Control!$B$184,$AH322=Control!$B$185),1,0)),0)</f>
        <v>0</v>
      </c>
      <c r="AT322" s="436">
        <f>IF(Control!$B$20=8,IF(AND($AH322&gt;=Control!$B$172,$AH322&lt;=Control!$B$173),1,0),0)</f>
        <v>0</v>
      </c>
      <c r="AU322" s="436">
        <f>IF(Control!$B$20=8,IF($AV321=1,1*$AT322,IF($AT322=1,$AU321+1,$AU321)),0)</f>
        <v>0</v>
      </c>
      <c r="AV322" s="436">
        <f>IF(Control!$B$20=8,IF($AU322&gt;=Control!$B$174,1,0),0)</f>
        <v>0</v>
      </c>
      <c r="AW322" s="436">
        <f ca="1">IF(AND(Control!$B$18=2,Control!$B$171=1), $AV322, $AS322)</f>
        <v>0</v>
      </c>
      <c r="AX322" s="436" t="e">
        <f ca="1">IF(AND(Control!$B$18=1,$EU322&gt;=Control!$B$19),-$AY322,IF(AND(Control!$B$18=2,$AW322=1,$EU322&gt;$DS322),-$AY322, IF(Control!$C$108=0,0, IF(Control!$C$108&lt;&gt;0,1))))</f>
        <v>#N/A</v>
      </c>
      <c r="AY322" s="436" t="e">
        <f t="shared" ca="1" si="1057"/>
        <v>#N/A</v>
      </c>
      <c r="AZ322" s="436" t="e">
        <f ca="1">IF(AND(Control!$B$18=1,$EB322&gt;Control!$B$19),$AZ321+1, IF(AND(Control!$B$18=2, $AW322=1, $EB322&gt;$DS322), $AZ321+1,$AZ321))</f>
        <v>#N/A</v>
      </c>
      <c r="BA322" s="587">
        <f>IF(Control!$C$81=0,1,IF($AH322&gt;=Control!$C$82,1,0))</f>
        <v>1</v>
      </c>
      <c r="BB322" s="140" t="e">
        <f ca="1">IF($BA322&gt;$BA321,Control!$C$83,IF($AW322&gt;0,$AW322*Control!$C$84,IF(AND(Control!$B$18=1,EN321&lt;&gt;0),Control!$C$84,0)))</f>
        <v>#N/A</v>
      </c>
      <c r="BC322" s="140" t="e">
        <f t="shared" ca="1" si="1058"/>
        <v>#N/A</v>
      </c>
      <c r="BD322" s="140" t="e">
        <f ca="1">BC322*IF(OR($G322&lt;Control!$C$92,$G322&gt;Control!$C$95),0,IF(AND($G322&gt;=Control!$C$92,$G322&lt;=Control!$C$93),$G322-Control!$C$92,IF(AND($G322&gt;Control!$C$93,$G322&lt;=Control!$C$94),Control!$C$93-Control!$C$92,IF(AND($G322&gt;Control!$C$94,$G322&lt;=Control!$C$95),(Control!$C$93-Control!$C$92)*(Control!$C$94-$G322)/(Control!$C$95-Control!$C$94)))))</f>
        <v>#N/A</v>
      </c>
      <c r="BE322" s="140" t="e">
        <f t="shared" ca="1" si="1059"/>
        <v>#N/A</v>
      </c>
      <c r="BF322" s="140" t="e">
        <f ca="1">IF($BE322&lt;=Control!$C$86,$BE322,Control!$C$86-$BE322)</f>
        <v>#N/A</v>
      </c>
      <c r="BG322" s="140" t="e">
        <f ca="1">IF(AND($AW322=1,Control!$C$84&lt;9),1,IF($BE322&gt;=Control!$C$86,0,$BC322))</f>
        <v>#N/A</v>
      </c>
      <c r="BH322" s="404" t="e">
        <f ca="1">IF($BG322=0,0,IF($BE322&lt;=Control!$C$86,$BC322*9*($BF322/Control!$C$86),0))</f>
        <v>#N/A</v>
      </c>
      <c r="BI322" s="140" t="e">
        <f ca="1">IF($BG322=1,0,IF($BE322&gt;=Control!$C$86,1,IF(AND($BB322&lt;21,$BB322&gt;=9),1,$BM321)))</f>
        <v>#N/A</v>
      </c>
      <c r="BJ322" s="140" t="e">
        <f ca="1">IF($BF322&lt;0,-$BF322,$BI322*IF(OR($G322&lt;Control!$C$92,$G322&gt;Control!$C$95),0,IF(AND($G322&gt;=Control!$C$92,$G322&lt;=Control!$C$93),$G322-Control!$C$92,IF(AND($G322&gt;Control!$C$93,$G322&lt;=Control!$C$94),Control!$C$93-Control!$C$92,IF(AND($G322&gt;Control!$C$94,$G322&lt;=Control!$C$95),(Control!$C$93-Control!$C$92)*(Control!$C$94-$G322)/(Control!$C$95-Control!$C$94))))))</f>
        <v>#N/A</v>
      </c>
      <c r="BK322" s="140" t="e">
        <f t="shared" ca="1" si="1060"/>
        <v>#N/A</v>
      </c>
      <c r="BL322" s="140" t="e">
        <f ca="1">IF($BK322&lt;=Control!$C$87,$BK322,Control!$C$87-$BK322)</f>
        <v>#N/A</v>
      </c>
      <c r="BM322" s="140" t="e">
        <f ca="1">IF(AND($BB322&gt;=9,$BB322&lt;21),1,IF($BK322&gt;=Control!$C$87,0,$BI322))</f>
        <v>#N/A</v>
      </c>
      <c r="BN322" s="404" t="e">
        <f ca="1">IF($BM322=0,0,IF($BK322&lt;=Control!$C$87,$BI322*(9+(21-9)*($BL322/Control!$C$87)),0))</f>
        <v>#N/A</v>
      </c>
      <c r="BO322" s="140" t="e">
        <f ca="1">IF($BM322=1,0,IF($BK322&gt;=Control!$C$87,1,IF(AND($BB322&lt;30,$BB322&gt;=21),1,$BS321)))</f>
        <v>#N/A</v>
      </c>
      <c r="BP322" s="140" t="e">
        <f ca="1">IF($BL322&lt;0,-$BL322,$BO322*IF(OR($G322&lt;Control!$C$92,$G322&gt;Control!$C$95),0,IF(AND($G322&gt;=Control!$C$92,$G322&lt;=Control!$C$93),$G322-Control!$C$92,IF(AND($G322&gt;Control!$C$93,$G322&lt;=Control!$C$94),Control!$C$93-Control!$C$92,IF(AND($G322&gt;Control!$C$94,$G322&lt;=Control!$C$95),(Control!$C$93-Control!$C$92)*(Control!$C$94-$G322)/(Control!$C$95-Control!$C$94))))))</f>
        <v>#N/A</v>
      </c>
      <c r="BQ322" s="140" t="e">
        <f t="shared" ca="1" si="944"/>
        <v>#N/A</v>
      </c>
      <c r="BR322" s="140" t="e">
        <f ca="1">IF($BQ322&lt;=Control!$C$88,$BQ322,Control!$C$88-$BQ322)</f>
        <v>#N/A</v>
      </c>
      <c r="BS322" s="140" t="e">
        <f ca="1">IF(AND($BB322&gt;=21,$BB322&lt;30),1,IF($BQ322&gt;=Control!$C$88,0,$BO322))</f>
        <v>#N/A</v>
      </c>
      <c r="BT322" s="404" t="e">
        <f ca="1">IF($BS322=0,0,IF($BQ322&lt;=Control!$C$88,$BO322*(21+(30-21)*(BR322/Control!$C$88)),0))</f>
        <v>#N/A</v>
      </c>
      <c r="BU322" s="140" t="e">
        <f ca="1">IF(BG322+BM322+BS322=1,0,IF(OR(AND($BB322&lt;60,$BB322&gt;=30),$BQ322&gt;=Control!$C$88),1*$BA322,$BY321))</f>
        <v>#N/A</v>
      </c>
      <c r="BV322" s="140" t="e">
        <f ca="1">IF($BR322&lt;0,-$BR322,$BU322*IF(OR($G322&lt;Control!$C$92,$G322&gt;Control!$C$95),0,IF(AND($G322&gt;=Control!$C$92,$G322&lt;=Control!$C$93),$G322-Control!$C$92,IF(AND($G322&gt;Control!$C$93,$G322&lt;=Control!$C$94),Control!$C$93-Control!$C$92,IF(AND($G322&gt;Control!$C$94,$G322&lt;=Control!$C$95),(Control!$C$93-Control!$C$92)*(Control!$C$94-$G322)/(Control!$C$95-Control!$C$94))))))</f>
        <v>#N/A</v>
      </c>
      <c r="BW322" s="140" t="e">
        <f t="shared" ca="1" si="945"/>
        <v>#N/A</v>
      </c>
      <c r="BX322" s="140" t="e">
        <f ca="1">IF($BW322&lt;=Control!$C$89,$BW322,Control!$C$89-$BW322)</f>
        <v>#N/A</v>
      </c>
      <c r="BY322" s="140" t="e">
        <f ca="1">IF(AND($AJ322&gt;=30,$AJ322&lt;60),1,IF($BW322&gt;=Control!$C$89,0,$BU322))</f>
        <v>#N/A</v>
      </c>
      <c r="BZ322" s="404" t="e">
        <f ca="1">IF($BY322=0,0,IF($BW322&lt;=Control!$C$89,$BU322*(30+(60-30)*(BX322/Control!$C$89)),0))</f>
        <v>#N/A</v>
      </c>
      <c r="CA322" s="140" t="e">
        <f ca="1">IF($BG322+$BM322+$BS322+$BY322=1,0,IF(OR(AND($BB322&lt;65,$BB322&gt;=60),$BW322&gt;=Control!$C$89),1*$BA322,$CE321))</f>
        <v>#N/A</v>
      </c>
      <c r="CB322" s="140" t="e">
        <f ca="1">IF($BX322&lt;0,-$BX322,$CA322*IF(OR($G322&lt;Control!$C$92,$G322&gt;Control!$C$95),0,IF(AND($G322&gt;=Control!$C$92,$G322&lt;=Control!$C$93),$G322-Control!$C$92,IF(AND($G322&gt;Control!$C$93,$G322&lt;=Control!$C$94),Control!$C$93-Control!$C$92,IF(AND($G322&gt;Control!$C$94,$G322&lt;=Control!$C$95),(Control!$C$93-Control!$C$92)*(Control!$C$94-$G322)/(Control!$C$95-Control!$C$94))))))</f>
        <v>#N/A</v>
      </c>
      <c r="CC322" s="140" t="e">
        <f t="shared" ca="1" si="1061"/>
        <v>#N/A</v>
      </c>
      <c r="CD322" s="140" t="e">
        <f ca="1">IF($CC322&lt;=Control!$C$90,$CC322,Control!$C$90-$CC322)</f>
        <v>#N/A</v>
      </c>
      <c r="CE322" s="140" t="e">
        <f ca="1">IF(AND($BB322&gt;=60,$BB322&lt;65),1,IF($CC322&gt;=Control!$C$90,0,$CA322))</f>
        <v>#N/A</v>
      </c>
      <c r="CF322" s="404" t="e">
        <f ca="1">IF($CE322=0,0,IF($CC322&lt;=Control!$C$90,$CA322*(60+(65-60)*(CD322/Control!$C$90)),0))</f>
        <v>#N/A</v>
      </c>
      <c r="CG322" s="140" t="e">
        <f ca="1">IF($BG322+$BM322+$BS322+$BY322+$CE322=1,0,IF(OR(AND($BB322&lt;90,$BB322&gt;=65),$CC322&gt;=Control!$C$90),$BA322,$CK321))</f>
        <v>#N/A</v>
      </c>
      <c r="CH322" s="140" t="e">
        <f ca="1">IF($CD322&lt;0,-$CD322,$CG322*IF(OR($G322&lt;Control!$C$92,$G322&gt;Control!$C$95),0,IF(AND($G322&gt;=Control!$C$92,$G322&lt;=Control!$C$93),$G322-Control!$C$92,IF(AND($G322&gt;Control!$C$93,$G322&lt;=Control!$C$94),Control!$C$93-Control!$C$92,IF(AND($G322&gt;Control!$C$94,$G322&lt;=Control!$C$95),(Control!$C$93-Control!$C$92)*(Control!$C$94-$G322)/(Control!$C$95-Control!$C$94))))))</f>
        <v>#N/A</v>
      </c>
      <c r="CI322" s="140" t="e">
        <f t="shared" ca="1" si="1062"/>
        <v>#N/A</v>
      </c>
      <c r="CJ322" s="140" t="e">
        <f ca="1">IF($CI322&lt;=Control!$C$91,$CI322,Control!$C$91-$CI322)</f>
        <v>#N/A</v>
      </c>
      <c r="CK322" s="140" t="e">
        <f ca="1">IF(AND($BB322&gt;=65,$BB322&lt;90),1,IF($CI322&gt;=Control!$C$91,0,$CG322))</f>
        <v>#N/A</v>
      </c>
      <c r="CL322" s="404" t="e">
        <f ca="1">IF($CK322=0,0,IF($CI322&lt;=Control!$C$91,$CG322*(65+(90-65)*($CJ322/Control!$C$91)),0))</f>
        <v>#N/A</v>
      </c>
      <c r="CM322" s="140" t="e">
        <f ca="1">IF($BG322+$BM322+$BS322+$BY322+$CE322+$CK322=1,0,IF(OR($BB322&gt;=90,$CI322&gt;=Control!$C$91),$BA322,$CM321))</f>
        <v>#N/A</v>
      </c>
      <c r="CN322" s="140" t="e">
        <f t="shared" ca="1" si="1063"/>
        <v>#N/A</v>
      </c>
      <c r="CO322" s="140" t="e">
        <f t="shared" ca="1" si="1064"/>
        <v>#N/A</v>
      </c>
      <c r="CP322" s="140" t="e">
        <f t="shared" ca="1" si="1065"/>
        <v>#N/A</v>
      </c>
      <c r="CQ322" s="141" t="e">
        <f ca="1">VLOOKUP($CP322,Control!$B$86:$G$91,6)</f>
        <v>#N/A</v>
      </c>
      <c r="CR322" s="141" t="e">
        <f ca="1">(1-$CQ322)*VLOOKUP($CP322,Control!$B$86:$D$91,3)</f>
        <v>#N/A</v>
      </c>
      <c r="CS322" s="141" t="e">
        <f ca="1">(1-$CQ322)*VLOOKUP($CP322,Control!$B$86:$E$91,4)</f>
        <v>#N/A</v>
      </c>
      <c r="CT322" s="141" t="e">
        <f ca="1">(1-$CQ322)*VLOOKUP($CP322,Control!$B$86:$F$91,5)</f>
        <v>#N/A</v>
      </c>
      <c r="CU322" s="141">
        <f t="shared" ca="1" si="1066"/>
        <v>0</v>
      </c>
      <c r="CV322" s="583">
        <f t="shared" ca="1" si="1067"/>
        <v>0</v>
      </c>
      <c r="CW322" s="142">
        <f t="shared" ca="1" si="1068"/>
        <v>318</v>
      </c>
      <c r="CX322" s="612" t="e">
        <f ca="1">IF(Control!$C$114=1,(MIN(Control!$C$120*(IF($NT322-0.01&lt;0,0,1)),Control!$C$119-$CY322)))</f>
        <v>#DIV/0!</v>
      </c>
      <c r="CY322" s="143" t="e">
        <f t="shared" ca="1" si="1069"/>
        <v>#N/A</v>
      </c>
      <c r="CZ322" s="144">
        <f t="shared" ca="1" si="946"/>
        <v>0</v>
      </c>
      <c r="DA322" s="144">
        <f t="shared" ca="1" si="947"/>
        <v>0</v>
      </c>
      <c r="DB322" s="144" t="e">
        <f t="shared" ca="1" si="948"/>
        <v>#N/A</v>
      </c>
      <c r="DC322" s="144" t="e">
        <f t="shared" ca="1" si="949"/>
        <v>#N/A</v>
      </c>
      <c r="DD322" s="144" t="e">
        <f t="shared" ca="1" si="1154"/>
        <v>#N/A</v>
      </c>
      <c r="DE322" s="143" t="e">
        <f t="shared" ca="1" si="1070"/>
        <v>#N/A</v>
      </c>
      <c r="DF322" s="145" t="e">
        <f ca="1">$DR322*EXP(-Control!$C$158*(1-$KH322))</f>
        <v>#N/A</v>
      </c>
      <c r="DG322" s="146" t="e">
        <f ca="1">IF(Control!$C$114=1, $DF322*$EY322, 0)</f>
        <v>#N/A</v>
      </c>
      <c r="DH322" s="147" t="e">
        <f t="shared" ca="1" si="1071"/>
        <v>#N/A</v>
      </c>
      <c r="DI322" s="144" t="e">
        <f t="shared" ca="1" si="1132"/>
        <v>#N/A</v>
      </c>
      <c r="DJ322" s="147" t="e">
        <f ca="1">$EF322*Control!$C$109</f>
        <v>#N/A</v>
      </c>
      <c r="DK322" s="144" t="e">
        <f t="shared" ca="1" si="1072"/>
        <v>#N/A</v>
      </c>
      <c r="DL322" s="144" t="e">
        <f t="shared" ca="1" si="950"/>
        <v>#N/A</v>
      </c>
      <c r="DM322" s="144" t="e">
        <f ca="1">IF(Control!$C$114=1, (1-EXP(-Control!$C$96*$DK322))*$AR322, 0)</f>
        <v>#N/A</v>
      </c>
      <c r="DN322" s="144">
        <f t="shared" ca="1" si="1073"/>
        <v>0</v>
      </c>
      <c r="DO322" s="148">
        <f>Control!$C$97</f>
        <v>4</v>
      </c>
      <c r="DP322" s="145" t="e">
        <f t="shared" ca="1" si="1074"/>
        <v>#N/A</v>
      </c>
      <c r="DQ322" s="145" t="e">
        <f ca="1">IF(AND($CP322&gt;=0,$CP322&lt;=90),Control!$C$111,Control!$C$111)</f>
        <v>#N/A</v>
      </c>
      <c r="DR322" s="145" t="e">
        <f t="shared" ca="1" si="951"/>
        <v>#N/A</v>
      </c>
      <c r="DS322" s="143" t="e">
        <f ca="1">Control!$B$22/$DR322</f>
        <v>#N/A</v>
      </c>
      <c r="DT322" s="149" t="e">
        <f ca="1">IF(AND(Control!$C$114=1,$KH322&lt;1),$IM322*$DF322, 0)</f>
        <v>#N/A</v>
      </c>
      <c r="DU322" s="144" t="e">
        <f t="shared" ca="1" si="1075"/>
        <v>#N/A</v>
      </c>
      <c r="DV322" s="144">
        <f ca="1">IF($G322-Control!$C$107&lt;=0, 0, 0.83*LN(MAX($G322, 3))-0.8924)</f>
        <v>0</v>
      </c>
      <c r="DW322" s="144" t="e">
        <f t="shared" ca="1" si="952"/>
        <v>#N/A</v>
      </c>
      <c r="DX322" s="150" t="e">
        <f ca="1">MAX(0.01*(1+$CU322/Control!$C$102),0.05*($DK322-Control!$C$97)/Control!$C$97)</f>
        <v>#N/A</v>
      </c>
      <c r="DY322" s="151" t="e">
        <f ca="1">IF(Control!$C$114=1, $DI322*$FS322, 0)</f>
        <v>#N/A</v>
      </c>
      <c r="DZ322" s="196" t="e">
        <f t="shared" ca="1" si="1076"/>
        <v>#N/A</v>
      </c>
      <c r="EA322" s="152">
        <f t="shared" ca="1" si="1077"/>
        <v>318</v>
      </c>
      <c r="EB322" s="153" t="e">
        <f t="shared" ca="1" si="1078"/>
        <v>#N/A</v>
      </c>
      <c r="EC322" s="153" t="e">
        <f t="shared" ca="1" si="1079"/>
        <v>#N/A</v>
      </c>
      <c r="ED322" s="154" t="e">
        <f ca="1">IF(Control!$C$114=1, $HM322*$FY322-$FD322, 0)</f>
        <v>#DIV/0!</v>
      </c>
      <c r="EE322" s="155" t="e">
        <f ca="1">IF(Control!$C$114=1, $HM322*$FZ322-$FF322, 0)</f>
        <v>#DIV/0!</v>
      </c>
      <c r="EF322" s="153" t="e">
        <f t="shared" ca="1" si="1133"/>
        <v>#N/A</v>
      </c>
      <c r="EG322" s="155" t="e">
        <f ca="1">IF(Control!$C$114=1, $GX322*$FW322-$FI322, 0)</f>
        <v>#DIV/0!</v>
      </c>
      <c r="EH322" s="153" t="e">
        <f t="shared" ca="1" si="1080"/>
        <v>#N/A</v>
      </c>
      <c r="EI322" s="156" t="e">
        <f t="shared" ca="1" si="1081"/>
        <v>#N/A</v>
      </c>
      <c r="EJ322" s="155" t="e">
        <f ca="1">IF(Control!$C$114=1, $HM322*$GB322, 0)</f>
        <v>#DIV/0!</v>
      </c>
      <c r="EK322" s="153" t="e">
        <f t="shared" ca="1" si="1134"/>
        <v>#N/A</v>
      </c>
      <c r="EL322" s="153" t="e">
        <f t="shared" ca="1" si="953"/>
        <v>#N/A</v>
      </c>
      <c r="EM322" s="153" t="e">
        <f t="shared" ca="1" si="954"/>
        <v>#N/A</v>
      </c>
      <c r="EN322" s="153" t="e">
        <f ca="1">IF(Control!$C$108=1,IF(AND(Control!$B$18=1,$EB322&gt;=Control!$B$19),$EB322-$DS322,IF(AND(Control!$B$18=2,$AW322=1,$EB322&gt;$DS322),$EB322-$DS322,0)))</f>
        <v>#N/A</v>
      </c>
      <c r="EO322" s="153" t="e">
        <f ca="1">IF(Control!$C$108=1,IF(AND(Control!$B$18=1,$EB322&gt;=Control!$B$19),$EF322,IF(AND(Control!$B$18=2,$AW322=1),$EF322,0)))</f>
        <v>#N/A</v>
      </c>
      <c r="EP322" s="153" t="e">
        <f ca="1">IF(Control!$C$108=1,IF(AND(Control!$B$18=1,$EB322&gt;=Control!$B$19),$EK322,IF(AND(Control!$B$18=2,$AW322=1),$EK322,0)))</f>
        <v>#N/A</v>
      </c>
      <c r="EQ322" s="153" t="e">
        <f t="shared" ca="1" si="1082"/>
        <v>#N/A</v>
      </c>
      <c r="ER322" s="153" t="e">
        <f t="shared" ca="1" si="1083"/>
        <v>#N/A</v>
      </c>
      <c r="ES322" s="153" t="e">
        <f t="shared" ca="1" si="1135"/>
        <v>#N/A</v>
      </c>
      <c r="ET322" s="153" t="e">
        <f t="shared" ca="1" si="1136"/>
        <v>#N/A</v>
      </c>
      <c r="EU322" s="153" t="e">
        <f t="shared" ca="1" si="1084"/>
        <v>#N/A</v>
      </c>
      <c r="EV322" s="153" t="e">
        <f t="shared" ca="1" si="955"/>
        <v>#N/A</v>
      </c>
      <c r="EW322" s="153" t="e">
        <f t="shared" ca="1" si="956"/>
        <v>#N/A</v>
      </c>
      <c r="EX322" s="153" t="e">
        <f t="shared" ca="1" si="957"/>
        <v>#N/A</v>
      </c>
      <c r="EY322" s="157" t="e">
        <f t="shared" ca="1" si="958"/>
        <v>#DIV/0!</v>
      </c>
      <c r="EZ322" s="154" t="e">
        <f t="shared" ca="1" si="959"/>
        <v>#DIV/0!</v>
      </c>
      <c r="FA322" s="153" t="e">
        <f t="shared" ca="1" si="1085"/>
        <v>#N/A</v>
      </c>
      <c r="FB322" s="153" t="e">
        <f t="shared" ca="1" si="960"/>
        <v>#N/A</v>
      </c>
      <c r="FC322" s="193" t="e">
        <f t="shared" ca="1" si="961"/>
        <v>#N/A</v>
      </c>
      <c r="FD322" s="158" t="e">
        <f t="shared" ca="1" si="1086"/>
        <v>#N/A</v>
      </c>
      <c r="FE322" s="158" t="e">
        <f t="shared" ca="1" si="1087"/>
        <v>#N/A</v>
      </c>
      <c r="FF322" s="159" t="e">
        <f t="shared" ca="1" si="962"/>
        <v>#N/A</v>
      </c>
      <c r="FG322" s="160" t="e">
        <f t="shared" ca="1" si="1088"/>
        <v>#N/A</v>
      </c>
      <c r="FH322" s="158" t="e">
        <f t="shared" ca="1" si="1089"/>
        <v>#N/A</v>
      </c>
      <c r="FI322" s="159" t="e">
        <f t="shared" ca="1" si="963"/>
        <v>#N/A</v>
      </c>
      <c r="FJ322" s="160" t="e">
        <f t="shared" ca="1" si="1090"/>
        <v>#N/A</v>
      </c>
      <c r="FK322" s="160" t="e">
        <f t="shared" ca="1" si="964"/>
        <v>#N/A</v>
      </c>
      <c r="FL322" s="160" t="e">
        <f t="shared" ca="1" si="1137"/>
        <v>#N/A</v>
      </c>
      <c r="FM322" s="160" t="e">
        <f t="shared" ca="1" si="965"/>
        <v>#N/A</v>
      </c>
      <c r="FN322" s="158">
        <f t="shared" ca="1" si="1091"/>
        <v>0.01</v>
      </c>
      <c r="FO322" s="160">
        <f>Control!$C$101</f>
        <v>50</v>
      </c>
      <c r="FP322" s="150" t="e">
        <f t="shared" ca="1" si="966"/>
        <v>#N/A</v>
      </c>
      <c r="FQ322" s="150" t="e">
        <f ca="1">MAX(0,(Control!$C$112*(($DK322-Control!$C$97)/Control!$C$97)))</f>
        <v>#N/A</v>
      </c>
      <c r="FR322" s="150" t="e">
        <f ca="1">(1-$NT322)*Control!$C$113</f>
        <v>#DIV/0!</v>
      </c>
      <c r="FS322" s="198" t="e">
        <f t="shared" ca="1" si="967"/>
        <v>#N/A</v>
      </c>
      <c r="FT322" s="161">
        <f t="shared" ca="1" si="1092"/>
        <v>318</v>
      </c>
      <c r="FU322" s="162" t="e">
        <f ca="1">IF(Control!$B$34=1,VLOOKUP($CP322,Control!$B$86:$G$91,6),Control!$B$35)</f>
        <v>#N/A</v>
      </c>
      <c r="FV322" s="162" t="e">
        <f t="shared" ca="1" si="968"/>
        <v>#DIV/0!</v>
      </c>
      <c r="FW322" s="162" t="e">
        <f ca="1">IF(Control!$B$31=1,$FU322*$FV322,  $FU322)</f>
        <v>#N/A</v>
      </c>
      <c r="FX322" s="162" t="e">
        <f ca="1">IF(Control!$B$34=1,VLOOKUP($CP322,Control!$B$86:$G$91,3),Control!$B$36)</f>
        <v>#N/A</v>
      </c>
      <c r="FY322" s="162" t="e">
        <f t="shared" ca="1" si="969"/>
        <v>#N/A</v>
      </c>
      <c r="FZ322" s="162" t="e">
        <f ca="1">IF(Control!$B$34=1,VLOOKUP($CP322,Control!$B$86:$G$91,4),Control!$B$37)</f>
        <v>#N/A</v>
      </c>
      <c r="GA322" s="162" t="e">
        <f t="shared" ca="1" si="970"/>
        <v>#N/A</v>
      </c>
      <c r="GB322" s="162" t="e">
        <f ca="1">IF(Control!$B$34=1,VLOOKUP($CP322,Control!$B$86:$G$91,5),Control!$B$38)</f>
        <v>#N/A</v>
      </c>
      <c r="GC322" s="162" t="e">
        <f t="shared" ca="1" si="1093"/>
        <v>#N/A</v>
      </c>
      <c r="GD322" s="162">
        <f t="shared" ca="1" si="971"/>
        <v>1</v>
      </c>
      <c r="GE322" s="162">
        <f t="shared" ca="1" si="972"/>
        <v>1</v>
      </c>
      <c r="GF322" s="162">
        <f ca="1">IF(AND(Control!$C$104=1, Control!$C$62="F"),$GE322,1)</f>
        <v>1</v>
      </c>
      <c r="GG322" s="162" t="e">
        <f ca="1">IF(Control!$B$16=40,0,IF(AND(Control!$B$16&gt;40,Control!$B$16&lt;=360),(Control!$B$16-40)*((1-0)/(360-40)),IF(AND(Control!$B$16&gt;360,Control!$B$16&lt;=720),(1+(Control!$B$16-360)*((1.25-1)/(720-360))),IF(AND(Control!$B$16&gt;720,Control!$B$16&lt;=1000),(1.25+(Control!$B$16-720)*((1.35-1.25)/(1000-720))),IF(AND(Control!$B$16&gt;1000,Control!$B$16&lt;=2000),(1.35+(Control!$B$16-1000)*0))))))</f>
        <v>#N/A</v>
      </c>
      <c r="GH322" s="162" t="e">
        <f t="shared" ca="1" si="973"/>
        <v>#N/A</v>
      </c>
      <c r="GI322" s="162">
        <f t="shared" ca="1" si="1094"/>
        <v>0</v>
      </c>
      <c r="GJ322" s="162">
        <f t="shared" ca="1" si="974"/>
        <v>0</v>
      </c>
      <c r="GK322" s="162">
        <f t="shared" ca="1" si="1095"/>
        <v>1</v>
      </c>
      <c r="GL322" s="162">
        <f t="shared" ca="1" si="975"/>
        <v>1</v>
      </c>
      <c r="GM322" s="162" t="e">
        <f ca="1">MAX(0,MIN(1,1-Control!$C$156*(1.0001-$KH322)^2))</f>
        <v>#N/A</v>
      </c>
      <c r="GN322" s="162" t="e">
        <f ca="1">IF(Control!$B$26=1,$KU322,$KX322)</f>
        <v>#N/A</v>
      </c>
      <c r="GO322" s="162" t="e">
        <f ca="1">IF($CP322&lt;=60,Control!$C$105,IF($CP322&gt;=90,Control!$C$106,Control!$C$105+($CP322-60)*((Control!$C$106-Control!$C$105)/(90-60))))</f>
        <v>#N/A</v>
      </c>
      <c r="GP322" s="162" t="e">
        <f t="shared" ca="1" si="976"/>
        <v>#N/A</v>
      </c>
      <c r="GQ322" s="162" t="e">
        <f t="shared" ca="1" si="1096"/>
        <v>#N/A</v>
      </c>
      <c r="GR322" s="163" t="e">
        <f t="shared" ca="1" si="977"/>
        <v>#DIV/0!</v>
      </c>
      <c r="GS322" s="162" t="e">
        <f t="shared" ca="1" si="978"/>
        <v>#DIV/0!</v>
      </c>
      <c r="GT322" s="164" t="e">
        <f t="shared" ca="1" si="1097"/>
        <v>#N/A</v>
      </c>
      <c r="GU322" s="162" t="e">
        <f t="shared" ca="1" si="1098"/>
        <v>#N/A</v>
      </c>
      <c r="GV322" s="162" t="e">
        <f t="shared" ca="1" si="979"/>
        <v>#N/A</v>
      </c>
      <c r="GW322" s="162" t="e">
        <f t="shared" ca="1" si="980"/>
        <v>#DIV/0!</v>
      </c>
      <c r="GX322" s="162" t="e">
        <f t="shared" ca="1" si="1099"/>
        <v>#DIV/0!</v>
      </c>
      <c r="GY322" s="162" t="e">
        <f t="shared" ca="1" si="1100"/>
        <v>#DIV/0!</v>
      </c>
      <c r="GZ322" s="165" t="e">
        <f t="shared" ca="1" si="981"/>
        <v>#N/A</v>
      </c>
      <c r="HA322" s="162" t="e">
        <f ca="1">IF(Control!$C$114=1, $DI322*$FS322, 0)</f>
        <v>#N/A</v>
      </c>
      <c r="HB322" s="162" t="e">
        <f ca="1">$FA322/Control!$C$64</f>
        <v>#N/A</v>
      </c>
      <c r="HC322" s="162" t="e">
        <f t="shared" ca="1" si="982"/>
        <v>#DIV/0!</v>
      </c>
      <c r="HD322" s="162">
        <f ca="1">-ASIN(SIN(23.45*Control!$C$139)*COS(2*Control!$C$138*($AH322+10)/365))</f>
        <v>-0.32565123644303789</v>
      </c>
      <c r="HE322" s="165">
        <f t="shared" ca="1" si="1101"/>
        <v>0</v>
      </c>
      <c r="HF322" s="166">
        <f ca="1">IF(AND(Control!$C$61="T",$HE322&gt;=Control!$C$103,Control!$C$114=0),$AH322,Control!$C$59)</f>
        <v>1</v>
      </c>
      <c r="HG322" s="166">
        <f ca="1">IF(AND(Control!$C$61="T",$HE322&gt;=Control!$C$103,Control!$C$114=0),$HF322,Control!$C$59)</f>
        <v>1</v>
      </c>
      <c r="HH322" s="165">
        <f ca="1">IF(AND(OR(Control!$C$60&lt;=0, $AH322= Control!$C$59, Control!$C$60 &gt;0, $AH322 = Control!$C$60)), Control!$C$59, IF(Control!$C$60&gt;0, 0))</f>
        <v>1</v>
      </c>
      <c r="HI322" s="165">
        <f ca="1">IF(AND(OR(Control!$C$60&lt;=0, $AH322= Control!$C$59, Control!$C$60 &gt;0, $AH322 = Control!$C$60)), Control!$C$60, IF(Control!$C$60&lt;=0, 0))</f>
        <v>0</v>
      </c>
      <c r="HJ322" s="166">
        <f ca="1">IF(AND(Control!$C$62="F",$CV322&gt;=Control!$C$102),$AH322,0)</f>
        <v>0</v>
      </c>
      <c r="HK322" s="165" t="e">
        <f t="shared" ca="1" si="1138"/>
        <v>#N/A</v>
      </c>
      <c r="HL322" s="166">
        <f ca="1">IF(AND(Control!$C$61="T",$HE322&gt;=Control!$C$103,Control!$C$114=0),$HF322,0)</f>
        <v>0</v>
      </c>
      <c r="HM322" s="201" t="e">
        <f t="shared" ca="1" si="983"/>
        <v>#DIV/0!</v>
      </c>
      <c r="HN322" s="215">
        <f t="shared" ca="1" si="1102"/>
        <v>318</v>
      </c>
      <c r="HO322" s="216" t="e">
        <f ca="1">IF(AND($CP322&gt;=0, $CP322&lt;=90), Control!$C$152, Control!$C$152)</f>
        <v>#N/A</v>
      </c>
      <c r="HP322" s="216" t="e">
        <f t="shared" ca="1" si="984"/>
        <v>#N/A</v>
      </c>
      <c r="HQ322" s="217" t="e">
        <f ca="1">IF(OR(Control!$B$26=1,Control!$B$26=2),$KV322,$KS322)</f>
        <v>#DIV/0!</v>
      </c>
      <c r="HR322" s="218" t="e">
        <f t="shared" ca="1" si="1139"/>
        <v>#DIV/0!</v>
      </c>
      <c r="HS322" s="216" t="e">
        <f ca="1">Control!$C$154*$HP322</f>
        <v>#N/A</v>
      </c>
      <c r="HT322" s="216" t="e">
        <f ca="1">Control!$C$155*$HP322</f>
        <v>#N/A</v>
      </c>
      <c r="HU322" s="217" t="e">
        <f ca="1">Control!$C$161*$FI322</f>
        <v>#N/A</v>
      </c>
      <c r="HV322" s="218" t="e">
        <f t="shared" ca="1" si="1103"/>
        <v>#N/A</v>
      </c>
      <c r="HW322" s="218" t="e">
        <f ca="1">Control!$C$160*$FF322+$IP322*$EO322</f>
        <v>#N/A</v>
      </c>
      <c r="HX322" s="218" t="e">
        <f t="shared" ca="1" si="1140"/>
        <v>#N/A</v>
      </c>
      <c r="HY322" s="219" t="e">
        <f ca="1">IF(Control!$C$114=1, $EB322*$FS322, 0)</f>
        <v>#N/A</v>
      </c>
      <c r="HZ322" s="91" t="e">
        <f t="shared" ca="1" si="985"/>
        <v>#N/A</v>
      </c>
      <c r="IA322" s="220" t="e">
        <f ca="1">Control!$C$153*$HO322</f>
        <v>#N/A</v>
      </c>
      <c r="IB322" s="218" t="e">
        <f t="shared" ca="1" si="986"/>
        <v>#N/A</v>
      </c>
      <c r="IC322" s="220" t="e">
        <f ca="1">Control!$C$153*$HT322</f>
        <v>#N/A</v>
      </c>
      <c r="ID322" s="218" t="e">
        <f t="shared" ca="1" si="987"/>
        <v>#N/A</v>
      </c>
      <c r="IE322" s="221" t="e">
        <f ca="1">($EB322*Control!$C$159+$EF322*Control!$C$160)/(IF($GZ322&lt;&gt;0,$GZ322,1))</f>
        <v>#N/A</v>
      </c>
      <c r="IF322" s="216" t="e">
        <f t="shared" ca="1" si="988"/>
        <v>#N/A</v>
      </c>
      <c r="IG322" s="91">
        <f ca="1">IF(OR(Control!$B$198=$AH322,Control!$B$199=$AH322, Control!$B$200=$AH322, Control!$B$201=$AH322, Control!$B$202=$AH322, Control!$B$203=$AH322, Control!$B$204=$AH322, Control!$B$205=$AH322, Control!$B$206=$AH322, Control!$B$207=$AH322), 1, 0)</f>
        <v>0</v>
      </c>
      <c r="IH322" s="91">
        <f ca="1">IF($IG322=0,0, VLOOKUP($AH322,Control!$B$198:$C$207,2))</f>
        <v>0</v>
      </c>
      <c r="II322" s="222">
        <f t="shared" ca="1" si="1104"/>
        <v>0</v>
      </c>
      <c r="IJ322" s="91">
        <f>Control!$C$121</f>
        <v>0.7</v>
      </c>
      <c r="IK322" s="218">
        <f t="shared" ca="1" si="989"/>
        <v>0</v>
      </c>
      <c r="IL322" s="217" t="e">
        <f t="shared" ca="1" si="1141"/>
        <v>#N/A</v>
      </c>
      <c r="IM322" s="223" t="e">
        <f ca="1">IF(AND(Control!$C$114=1,$KH322&lt;1),$EB322*Control!$C$148*(1-$KH322), 0)</f>
        <v>#N/A</v>
      </c>
      <c r="IN322" s="217" t="e">
        <f t="shared" ca="1" si="990"/>
        <v>#DIV/0!</v>
      </c>
      <c r="IO322" s="91" t="e">
        <f ca="1">MAX(0,$IL322-$EF322*Control!$C$160)</f>
        <v>#N/A</v>
      </c>
      <c r="IP322" s="220" t="e">
        <f t="shared" ca="1" si="991"/>
        <v>#N/A</v>
      </c>
      <c r="IQ322" s="217" t="e">
        <f t="shared" ca="1" si="1105"/>
        <v>#N/A</v>
      </c>
      <c r="IR322" s="218" t="e">
        <f t="shared" ca="1" si="992"/>
        <v>#N/A</v>
      </c>
      <c r="IS322" s="217" t="e">
        <f ca="1">Control!$C$159*MAX(0,$FD322-$EN322)</f>
        <v>#N/A</v>
      </c>
      <c r="IT322" s="217" t="e">
        <f t="shared" ca="1" si="1142"/>
        <v>#N/A</v>
      </c>
      <c r="IU322" s="217" t="e">
        <f t="shared" ca="1" si="1106"/>
        <v>#N/A</v>
      </c>
      <c r="IV322" s="217" t="e">
        <f t="shared" ca="1" si="1143"/>
        <v>#N/A</v>
      </c>
      <c r="IW322" s="217" t="e">
        <f ca="1">IF(OR($AW322=1,AND($AW322=0, Control!$B$18=1,$EN322&lt;&gt;0)), $IQ322-$IU322, $IQ322)</f>
        <v>#N/A</v>
      </c>
      <c r="IX322" s="218" t="e">
        <f t="shared" ca="1" si="993"/>
        <v>#N/A</v>
      </c>
      <c r="IY322" s="218" t="e">
        <f ca="1">MAX(0,$IQ322-$EB322*Control!$C$159)</f>
        <v>#N/A</v>
      </c>
      <c r="IZ322" s="218" t="e">
        <f t="shared" ca="1" si="994"/>
        <v>#N/A</v>
      </c>
      <c r="JA322" s="216" t="e">
        <f t="shared" ca="1" si="995"/>
        <v>#N/A</v>
      </c>
      <c r="JB322" s="217" t="e">
        <f t="shared" ca="1" si="996"/>
        <v>#N/A</v>
      </c>
      <c r="JC322" s="222" t="e">
        <f ca="1">MAX(Control!$C$157*$EK322-$JT322, 0)/Control!$C$162</f>
        <v>#N/A</v>
      </c>
      <c r="JD322" s="218" t="e">
        <f t="shared" ca="1" si="997"/>
        <v>#N/A</v>
      </c>
      <c r="JE322" s="218" t="e">
        <f t="shared" ca="1" si="998"/>
        <v>#N/A</v>
      </c>
      <c r="JF322" s="218" t="e">
        <f t="shared" ca="1" si="1107"/>
        <v>#N/A</v>
      </c>
      <c r="JG322" s="218" t="e">
        <f t="shared" ca="1" si="999"/>
        <v>#N/A</v>
      </c>
      <c r="JH322" s="217" t="e">
        <f t="shared" ca="1" si="1108"/>
        <v>#N/A</v>
      </c>
      <c r="JI322" s="217" t="e">
        <f t="shared" ca="1" si="1109"/>
        <v>#N/A</v>
      </c>
      <c r="JJ322" s="217" t="e">
        <f t="shared" ca="1" si="1144"/>
        <v>#N/A</v>
      </c>
      <c r="JK322" s="217" t="e">
        <f ca="1">IF(Control!$C$114=1,IF(Control!$B$24=0,MAX(0,$JI322)*$GN322/Control!$C$64,(MAX(0,MIN($JI322,$JJ322*$GN322/Control!$C$64),0))))</f>
        <v>#N/A</v>
      </c>
      <c r="JL322" s="217" t="e">
        <f ca="1">$IK322/Control!$C$64-$JK322+$HQ322</f>
        <v>#N/A</v>
      </c>
      <c r="JM322" s="217" t="e">
        <f ca="1">IF(Control!$C$114=1,($JB322/(IF($JI322&lt;&gt;0,$JI322,1)))*$JK322,0)</f>
        <v>#N/A</v>
      </c>
      <c r="JN322" s="217" t="e">
        <f ca="1">IF(Control!$C$114=1,($JG322/(IF($JI322&lt;&gt;0,$JI322,1)))*$JK322, 0)</f>
        <v>#N/A</v>
      </c>
      <c r="JO322" s="218" t="e">
        <f t="shared" ca="1" si="1000"/>
        <v>#N/A</v>
      </c>
      <c r="JP322" s="218" t="e">
        <f ca="1">MIN(($IY322+$IO322)*Control!$C$151, $JF322-$EH322*Control!$C$161)</f>
        <v>#N/A</v>
      </c>
      <c r="JQ322" s="218" t="e">
        <f t="shared" ca="1" si="1001"/>
        <v>#N/A</v>
      </c>
      <c r="JR322" s="217" t="e">
        <f ca="1">IF($CP322-Control!$C$150&lt;0, 0, $JQ322/Control!$C$162)</f>
        <v>#N/A</v>
      </c>
      <c r="JS322" s="218" t="e">
        <f t="shared" ca="1" si="1002"/>
        <v>#N/A</v>
      </c>
      <c r="JT322" s="218" t="e">
        <f t="shared" ca="1" si="1110"/>
        <v>#N/A</v>
      </c>
      <c r="JU322" s="218" t="e">
        <f t="shared" ca="1" si="1003"/>
        <v>#N/A</v>
      </c>
      <c r="JV322" s="218" t="e">
        <f t="shared" ca="1" si="1004"/>
        <v>#N/A</v>
      </c>
      <c r="JW322" s="216" t="e">
        <f t="shared" ca="1" si="1005"/>
        <v>#N/A</v>
      </c>
      <c r="JX322" s="91" t="e">
        <f t="shared" ca="1" si="1006"/>
        <v>#N/A</v>
      </c>
      <c r="JY322" s="218" t="e">
        <f t="shared" ca="1" si="1007"/>
        <v>#N/A</v>
      </c>
      <c r="JZ322" s="217" t="e">
        <f ca="1">IF(Control!$C$114=1,($IZ322/(IF($JI322&lt;&gt;0,$JI322,1)))*$JK322, 0)</f>
        <v>#N/A</v>
      </c>
      <c r="KA322" s="218" t="e">
        <f t="shared" ca="1" si="1145"/>
        <v>#N/A</v>
      </c>
      <c r="KB322" s="218" t="e">
        <f t="shared" ca="1" si="1111"/>
        <v>#N/A</v>
      </c>
      <c r="KC322" s="218" t="e">
        <f t="shared" ca="1" si="1008"/>
        <v>#N/A</v>
      </c>
      <c r="KD322" s="218" t="e">
        <f t="shared" ca="1" si="1009"/>
        <v>#N/A</v>
      </c>
      <c r="KE322" s="218" t="e">
        <f t="shared" ca="1" si="1010"/>
        <v>#N/A</v>
      </c>
      <c r="KF322" s="218" t="e">
        <f t="shared" ca="1" si="1011"/>
        <v>#N/A</v>
      </c>
      <c r="KG322" s="216" t="e">
        <f t="shared" ca="1" si="1012"/>
        <v>#N/A</v>
      </c>
      <c r="KH322" s="221" t="e">
        <f ca="1">IF(Control!$B$24=0,1,MAX(0.001,MIN(1,IF(($IF322-$IE322)&lt;&gt;0,($KG322-$IE322)/($IF322-$IE322),1))))</f>
        <v>#N/A</v>
      </c>
      <c r="KI322" s="222" t="e">
        <f ca="1">IF(Control!$C$114=1, $KI321+ $KH321, 0)</f>
        <v>#N/A</v>
      </c>
      <c r="KJ322" s="217" t="e">
        <f t="shared" ca="1" si="1013"/>
        <v>#N/A</v>
      </c>
      <c r="KK322" s="218" t="e">
        <f t="shared" ca="1" si="1014"/>
        <v>#N/A</v>
      </c>
      <c r="KL322" s="274" t="e">
        <f ca="1">IF(Control!$B$26=3,4000000000*EXP(-8400/($G322+273)),IF(Control!$B$26=4,4000000000*EXP(-8400/($G322+273))*($KT322),0))</f>
        <v>#DIV/0!</v>
      </c>
      <c r="KM322" s="274" t="e">
        <f ca="1">IF(Control!$B$26=3,5600000000000*EXP(-9800/($G322+273)),IF(Control!$B$26=4,5600000000000*EXP(-9800/($G322+273))*$KT322,0))</f>
        <v>#DIV/0!</v>
      </c>
      <c r="KN322" s="454" t="e">
        <f t="shared" ca="1" si="1112"/>
        <v>#DIV/0!</v>
      </c>
      <c r="KO322" s="274" t="e">
        <f t="shared" ca="1" si="1113"/>
        <v>#DIV/0!</v>
      </c>
      <c r="KP322" s="454" t="e">
        <f t="shared" ca="1" si="1015"/>
        <v>#DIV/0!</v>
      </c>
      <c r="KQ322" s="454" t="e">
        <f t="shared" ca="1" si="1016"/>
        <v>#DIV/0!</v>
      </c>
      <c r="KR322" s="454" t="e">
        <f t="shared" ca="1" si="1017"/>
        <v>#DIV/0!</v>
      </c>
      <c r="KS322" s="454" t="e">
        <f t="shared" ca="1" si="1018"/>
        <v>#DIV/0!</v>
      </c>
      <c r="KT322" s="455" t="e">
        <f t="shared" ca="1" si="1019"/>
        <v>#DIV/0!</v>
      </c>
      <c r="KU322" s="456" t="e">
        <f ca="1">IF($CP322-Control!$C$149&lt;0, IF($NT322-0.01&lt;0,0,1),0)</f>
        <v>#N/A</v>
      </c>
      <c r="KV322" s="456" t="e">
        <f ca="1">IF(Control!$C$114=1,MAX(0,MIN(Control!$C$125*$KW322*$GN322,$KW322)))</f>
        <v>#DIV/0!</v>
      </c>
      <c r="KW322" s="456" t="e">
        <f t="shared" ca="1" si="1146"/>
        <v>#DIV/0!</v>
      </c>
      <c r="KX322" s="457" t="e">
        <f ca="1">IF($CP322-Control!$C$149&lt;0, IF($MR322-$OM322&lt;0,0,1),0)</f>
        <v>#N/A</v>
      </c>
      <c r="KY322" s="167">
        <f t="shared" ca="1" si="1114"/>
        <v>318</v>
      </c>
      <c r="KZ322" s="168">
        <f ca="1">1370*(1+0.033*COS(2*Control!$C$138*$AH322/365))</f>
        <v>1401.2031576724335</v>
      </c>
      <c r="LA322" s="169">
        <f t="shared" ca="1" si="1115"/>
        <v>1.0227757218120181</v>
      </c>
      <c r="LB322" s="169">
        <f t="shared" ca="1" si="1116"/>
        <v>-0.33089928789388207</v>
      </c>
      <c r="LC322" s="169">
        <f ca="1">ACOS(-TAN((2*Control!$B$8/360))*TAN(Calculations!$LB322))</f>
        <v>1.4685199266846427</v>
      </c>
      <c r="LD322" s="169">
        <f ca="1">((24*60)/PI())*0.082*$LA322*(($LC322*SIN(Control!$B$8*2*PI()/360))*SIN($LB322)+COS(Control!$B$8*2*PI()/360)*COS($LB322)*SIN($LC322))</f>
        <v>7.8133312636331222</v>
      </c>
      <c r="LE322" s="170">
        <f t="shared" ca="1" si="1020"/>
        <v>9.2219310322148829</v>
      </c>
      <c r="LF322" s="170">
        <f ca="1">SIN(Control!$C$139*Control!$B$8)*SIN($HD322)</f>
        <v>-0.2521054382557959</v>
      </c>
      <c r="LG322" s="170">
        <f ca="1">COS(Control!$C$139*Control!$B$8)*COS($HD322)</f>
        <v>0.58330231206632865</v>
      </c>
      <c r="LH322" s="170">
        <f ca="1">12*(1+2*ASIN(MAX(-1,MIN(1,$LF322/$LG322))/Control!$C$138))</f>
        <v>8.6877093496035727</v>
      </c>
      <c r="LI322" s="170">
        <f ca="1">12*(1+2*ASIN(MAX(-1,MIN(1,(-SIN(-4*Control!$C$139)+$LF322)/$LG322))/Control!$C$138))</f>
        <v>9.6078472606555607</v>
      </c>
      <c r="LJ322" s="168">
        <f ca="1">3600*($LH322*$LF322+24*$LG322*SQRT(1-$LK322*$LK322)/Control!$C$138)</f>
        <v>6581.4375179782046</v>
      </c>
      <c r="LK322" s="170">
        <f t="shared" ca="1" si="1021"/>
        <v>-0.43220373559419117</v>
      </c>
      <c r="LL322" s="170">
        <f t="shared" ca="1" si="1022"/>
        <v>0</v>
      </c>
      <c r="LM322" s="171">
        <f ca="1">Control!$C$145*$AB322</f>
        <v>6.6660906138995932E-2</v>
      </c>
      <c r="LN322" s="170">
        <f t="shared" ca="1" si="1117"/>
        <v>0.54</v>
      </c>
      <c r="LO322" s="170">
        <f t="shared" ca="1" si="1023"/>
        <v>0</v>
      </c>
      <c r="LP322" s="170">
        <f ca="1">Control!$C$140*((($D322+273.16)^4+($E322+273.16)^4)/2)*(0.34-0.14*SQRT($Y322))*(1.35*$AQ322/(0.75*$LD322)-0.35)</f>
        <v>-3.2464704755046001</v>
      </c>
      <c r="LQ322" s="170">
        <f ca="1">Control!$C$140*($G322+273)^4*(0.56-0.079*SQRT($Y322*10))*(0.1+0.9*$LO322)</f>
        <v>1.5241745131704001</v>
      </c>
      <c r="LR322" s="170">
        <f ca="1">$AQ322*(1-Control!$C$142)-$LQ322</f>
        <v>-1.5241745131704001</v>
      </c>
      <c r="LS322" s="170">
        <f ca="1">$AQ322*(1-Control!$C$143)-$LQ322</f>
        <v>-1.5241745131704001</v>
      </c>
      <c r="LT322" s="170">
        <f ca="1">$AQ322*(1-Control!$C$144)-$LQ322</f>
        <v>-1.5241745131704001</v>
      </c>
      <c r="LU322" s="169">
        <f ca="1">(1-Control!$C$144)*AQ322-LP322</f>
        <v>3.2464704755046001</v>
      </c>
      <c r="LV322" s="172">
        <f t="shared" ca="1" si="1024"/>
        <v>0.79430000000000012</v>
      </c>
      <c r="LW322" s="170">
        <f t="shared" ca="1" si="1025"/>
        <v>1.5886000000000002</v>
      </c>
      <c r="LX322" s="170">
        <f ca="1">($AC322*($LR322/Control!$C$141)+$LM322*$LV322)/($AC322+$LM322)</f>
        <v>0.23530094218323697</v>
      </c>
      <c r="LY322" s="170">
        <f ca="1">($AC322*($LS322/Control!$C$141)+$LM322*$LV322)/($AC322+$LM322)</f>
        <v>0.23530094218323697</v>
      </c>
      <c r="LZ322" s="170">
        <f t="shared" ca="1" si="1026"/>
        <v>0.23530094218323697</v>
      </c>
      <c r="MA322" s="170">
        <f t="shared" ca="1" si="1027"/>
        <v>0.23530094218323697</v>
      </c>
      <c r="MB322" s="170" t="e">
        <f t="shared" ca="1" si="1028"/>
        <v>#N/A</v>
      </c>
      <c r="MC322" s="170">
        <f t="shared" ca="1" si="1118"/>
        <v>0.6018</v>
      </c>
      <c r="MD322" s="170">
        <f t="shared" ca="1" si="1029"/>
        <v>0.52989392535414004</v>
      </c>
      <c r="ME322" s="170">
        <f ca="1">($AC322*($LT322/Control!$C$141)+$LM322*$LW322)/($AC322+$LM322)</f>
        <v>0.71612369323045078</v>
      </c>
      <c r="MF322" s="170" t="e">
        <f ca="1">IF(Control!$B$16&gt;=1000,0.92,IF(AND(720&lt;=Control!$B$16,1000&gt;Control!$B$16),(0.95+(Control!$B$16-720)*((0.92-0.95)/(1000-720))),IF(AND(360&lt;=Control!$B$16,720&gt;Control!$B$16),(1+(Control!$B$16-360)*((0.95-1)/(720-360))),IF(AND(40&lt;=Control!$B$16,360&gt;Control!$B$16),(1.05+(Control!$B$16-40)*((1.05-1)/(360-40)))))))</f>
        <v>#N/A</v>
      </c>
      <c r="MG322" s="170">
        <f t="shared" ca="1" si="1030"/>
        <v>0.71612369323045078</v>
      </c>
      <c r="MH322" s="170" t="e">
        <f t="shared" ca="1" si="1157"/>
        <v>#N/A</v>
      </c>
      <c r="MI322" s="170" t="e">
        <f t="shared" ca="1" si="1157"/>
        <v>#N/A</v>
      </c>
      <c r="MJ322" s="170" t="e">
        <f ca="1">MAX(0.0001, Control!$C$132*$MI322*$DL322)</f>
        <v>#N/A</v>
      </c>
      <c r="MK322" s="170">
        <f ca="1">1/(0.76+1.5*($MG322/10))-(5-Control!$C$110)*0.1</f>
        <v>1.002845988140797</v>
      </c>
      <c r="ML322" s="173">
        <f ca="1">IF(Control!$C$110&lt;3,$MK322+($MG322-0.6)/(Control!$C$110*(Control!$C$110+3)), MAX(0.1, MIN(0.95,$MK322)))</f>
        <v>0.95</v>
      </c>
      <c r="MM322" s="173">
        <f ca="1">IF(Control!$C$110&lt;3,$MK322+(($MI322/10)-0.6)/(Control!$C$110*(Control!$C$110+3)), MAX(0.1, MIN(0.95,$MK322)))</f>
        <v>0.95</v>
      </c>
      <c r="MN322" s="173">
        <f ca="1">(1-$MM322)*(Control!$C$128-Control!$C$127)+Control!$C$127</f>
        <v>0.16</v>
      </c>
      <c r="MO322" s="170" t="e">
        <f ca="1">MAX(0,MIN(1,($MS322-Control!$C$127)/($MN322-Control!$C$127)))</f>
        <v>#DIV/0!</v>
      </c>
      <c r="MP322" s="173" t="e">
        <f ca="1">1/(0.76+1.5*$MI322)-(5-Control!$C$110)*0.1</f>
        <v>#N/A</v>
      </c>
      <c r="MQ322" s="172" t="e">
        <f t="shared" ca="1" si="1147"/>
        <v>#DIV/0!</v>
      </c>
      <c r="MR322" s="168" t="e">
        <f t="shared" ca="1" si="1119"/>
        <v>#DIV/0!</v>
      </c>
      <c r="MS322" s="173" t="e">
        <f ca="1">MAX(Control!$C$127, MIN(Control!$C$135, $MR322/MAX(0.0001,$CY322)))</f>
        <v>#DIV/0!</v>
      </c>
      <c r="MT322" s="168" t="e">
        <f ca="1">(Control!$C$128-$MS322)*Control!$C$74</f>
        <v>#DIV/0!</v>
      </c>
      <c r="MU322" s="168" t="e">
        <f ca="1">(Control!$C$135-$MS322)*Control!$C$74</f>
        <v>#DIV/0!</v>
      </c>
      <c r="MV322" s="168" t="e">
        <f t="shared" ca="1" si="1120"/>
        <v>#DIV/0!</v>
      </c>
      <c r="MW322" s="168" t="e">
        <f t="shared" ca="1" si="1121"/>
        <v>#DIV/0!</v>
      </c>
      <c r="MX322" s="171" t="e">
        <f ca="1">MAX(Control!$C$127, MIN(Control!$C$135, $MW322/MAX(0.0001,Control!$C$119-$CY322)))</f>
        <v>#DIV/0!</v>
      </c>
      <c r="MY322" s="54" t="e">
        <f ca="1">IF(Control!$C$114=1, $CX322*$MX322, 0)</f>
        <v>#DIV/0!</v>
      </c>
      <c r="MZ322" s="54" t="e">
        <f t="shared" ca="1" si="1122"/>
        <v>#N/A</v>
      </c>
      <c r="NA322" s="168" t="e">
        <f ca="1">(Control!$C$128-$MX322)*(Control!$C$119-Control!$C$74)</f>
        <v>#DIV/0!</v>
      </c>
      <c r="NB322" s="168" t="e">
        <f ca="1">(Control!$C$135-$MX322)*(Control!$C$119-Control!$C$74)</f>
        <v>#DIV/0!</v>
      </c>
      <c r="NC322" s="174" t="e">
        <f t="shared" ca="1" si="1123"/>
        <v>#DIV/0!</v>
      </c>
      <c r="ND322" s="54">
        <f ca="1">IF(Control!$C$58=2, IF(OR(Control!$B$218=$AH322,Control!$B$219=$AH322, Control!$B$220=$AH322, Control!$B$221=$AH322, Control!$B$222=$AH322, Control!$B$223=$AH322, Control!$B$224=$AH322, Control!$B$225=$AH322, Control!$B$226=$AH322, Control!$B$227=$AH322, Control!$B$228=$AH322), 1, 0), 0)</f>
        <v>0</v>
      </c>
      <c r="NE322" s="54">
        <f ca="1">IF($ND322=0,0, VLOOKUP($AH322,Control!$B$218:$C$228,2))</f>
        <v>0</v>
      </c>
      <c r="NF322" s="168" t="e">
        <f ca="1">$CY322*(Control!$C$128-Control!$C$127)</f>
        <v>#N/A</v>
      </c>
      <c r="NG322" s="54" t="e">
        <f ca="1">IF(Control!$C$58=2, $NI321-$NJ321, 0)</f>
        <v>#DIV/0!</v>
      </c>
      <c r="NH322" s="54" t="e">
        <f ca="1">IF(AND(Control!$C$58=1, $MS321&lt;= ($MN321+0.02), $I321&lt;10), 0, IF(Control!$C$58=2, $NG321, 0))</f>
        <v>#DIV/0!</v>
      </c>
      <c r="NI322" s="54" t="e">
        <f ca="1">IF(Control!$C$58=2, $NE322+$NH322,0)</f>
        <v>#DIV/0!</v>
      </c>
      <c r="NJ322" s="54" t="e">
        <f ca="1">IF(AND(Control!$C$58=1, $MS322&lt;= ($MN322+0.02), $I322&lt;10), MAX(0, MIN(10, 0.7*($NF322-$MV322))), IF(Control!$C$58=2, MIN(10,$NI322),0))</f>
        <v>#DIV/0!</v>
      </c>
      <c r="NK322" s="54" t="e">
        <f t="shared" ca="1" si="1031"/>
        <v>#DIV/0!</v>
      </c>
      <c r="NL322" s="173" t="e">
        <f ca="1">(1-Control!$C$73)*$I322+$NJ322</f>
        <v>#DIV/0!</v>
      </c>
      <c r="NM322" s="172" t="e">
        <f ca="1">IF($NL322&lt;0.5, $MB322* MAX(0, MIN(1, (SQRT($NC322)-SQRT($NC322-1))*Control!$C$71)),0)</f>
        <v>#DIV/0!</v>
      </c>
      <c r="NN322" s="170" t="e">
        <f ca="1">IF($NL322&gt;=5, $MB322, MAX(0,MIN($MB322, $NM322+$NL322,($MS322-Control!$C$129))))</f>
        <v>#DIV/0!</v>
      </c>
      <c r="NO322" s="54">
        <f>IF(Control!$C$133&lt;&gt;1, Control!$C$135-Control!$C$131, 0)</f>
        <v>0.38</v>
      </c>
      <c r="NP322" s="54" t="e">
        <f t="shared" ca="1" si="1032"/>
        <v>#DIV/0!</v>
      </c>
      <c r="NQ322" s="173" t="e">
        <f ca="1">MAX(0,MIN(1,(Control!$C$135-$MS322)/(Control!$C$135-$NO322)))</f>
        <v>#DIV/0!</v>
      </c>
      <c r="NR322" s="170" t="e">
        <f ca="1">IF(Control!$C$133&lt;&gt;1, $NQ322+((1-$NP322/4)*(1-$NQ322)),1)</f>
        <v>#DIV/0!</v>
      </c>
      <c r="NS322" s="170" t="e">
        <f ca="1">IF(Control!$B$31=0,$MJ322,MAX(0,MIN($MV322,$MO322*$NR322*$MJ322)))</f>
        <v>#DIV/0!</v>
      </c>
      <c r="NT322" s="170" t="e">
        <f t="shared" ca="1" si="1148"/>
        <v>#DIV/0!</v>
      </c>
      <c r="NU322" s="170" t="e">
        <f t="shared" ca="1" si="1124"/>
        <v>#N/A</v>
      </c>
      <c r="NV322" s="170" t="e">
        <f t="shared" ca="1" si="1033"/>
        <v>#N/A</v>
      </c>
      <c r="NW322" s="175" t="e">
        <f t="shared" ca="1" si="1034"/>
        <v>#DIV/0!</v>
      </c>
      <c r="NX322" s="170" t="e">
        <f ca="1">MIN(Control!$C$72+$MU322, $NW322)</f>
        <v>#DIV/0!</v>
      </c>
      <c r="NY322" s="170" t="e">
        <f ca="1">IF($MT322&lt;=$NX322,MIN(Control!$C$72+$NB322,$NX322-$MT322),0)</f>
        <v>#DIV/0!</v>
      </c>
      <c r="NZ322" s="54" t="e">
        <f ca="1">IF(Control!$C$114=1,  $CX322*($MX322-Control!$C$127), 0)</f>
        <v>#DIV/0!</v>
      </c>
      <c r="OA322" s="170" t="e">
        <f t="shared" ca="1" si="1035"/>
        <v>#DIV/0!</v>
      </c>
      <c r="OB322" s="170" t="e">
        <f ca="1">IF($NA322 &lt;=$NY322, MIN(Control!$C$72, $NY322-$NA322), 0)</f>
        <v>#DIV/0!</v>
      </c>
      <c r="OC322" s="168" t="e">
        <f t="shared" ca="1" si="1036"/>
        <v>#DIV/0!</v>
      </c>
      <c r="OD322" s="168" t="e">
        <f t="shared" ca="1" si="1125"/>
        <v>#DIV/0!</v>
      </c>
      <c r="OE322" s="170">
        <f ca="1">Control!$C$73*$I322</f>
        <v>0</v>
      </c>
      <c r="OF322" s="176" t="e">
        <f t="shared" ca="1" si="1037"/>
        <v>#DIV/0!</v>
      </c>
      <c r="OG322" s="168" t="e">
        <f t="shared" ca="1" si="1038"/>
        <v>#DIV/0!</v>
      </c>
      <c r="OH322" s="168" t="e">
        <f t="shared" ca="1" si="1039"/>
        <v>#DIV/0!</v>
      </c>
      <c r="OI322" s="168" t="e">
        <f t="shared" ca="1" si="1040"/>
        <v>#DIV/0!</v>
      </c>
      <c r="OJ322" s="168" t="e">
        <f t="shared" ca="1" si="1041"/>
        <v>#DIV/0!</v>
      </c>
      <c r="OK322" s="204" t="e">
        <f t="shared" ca="1" si="1042"/>
        <v>#DIV/0!</v>
      </c>
      <c r="OL322" s="177">
        <f>Control!$C$127</f>
        <v>0.15</v>
      </c>
      <c r="OM322" s="182" t="e">
        <f t="shared" ca="1" si="1043"/>
        <v>#N/A</v>
      </c>
      <c r="ON322" s="177">
        <f>Control!$C$128</f>
        <v>0.35</v>
      </c>
      <c r="OO322" s="182" t="e">
        <f t="shared" ca="1" si="1044"/>
        <v>#N/A</v>
      </c>
      <c r="OP322" s="138">
        <f t="shared" ca="1" si="1126"/>
        <v>0</v>
      </c>
      <c r="OQ322" s="138" t="e">
        <f t="shared" ca="1" si="1149"/>
        <v>#DIV/0!</v>
      </c>
      <c r="OR322" s="138" t="e">
        <f t="shared" ca="1" si="1127"/>
        <v>#DIV/0!</v>
      </c>
      <c r="OS322" s="137" t="e">
        <f t="shared" ca="1" si="1150"/>
        <v>#DIV/0!</v>
      </c>
      <c r="OT322" s="139" t="e">
        <f t="shared" ca="1" si="1151"/>
        <v>#DIV/0!</v>
      </c>
      <c r="OU322" s="138" t="e">
        <f t="shared" ca="1" si="1152"/>
        <v>#N/A</v>
      </c>
      <c r="OV322" s="138" t="e">
        <f t="shared" ca="1" si="1153"/>
        <v>#DIV/0!</v>
      </c>
      <c r="OW322" s="138" t="e">
        <f t="shared" ca="1" si="1128"/>
        <v>#DIV/0!</v>
      </c>
      <c r="OX322" s="138" t="e">
        <f t="shared" ca="1" si="1129"/>
        <v>#DIV/0!</v>
      </c>
      <c r="OY322" s="138" t="e">
        <f t="shared" ca="1" si="1130"/>
        <v>#DIV/0!</v>
      </c>
      <c r="OZ322" s="138" t="e">
        <f t="shared" ca="1" si="1045"/>
        <v>#DIV/0!</v>
      </c>
      <c r="PA322" s="138" t="e">
        <f t="shared" ca="1" si="1046"/>
        <v>#DIV/0!</v>
      </c>
      <c r="PB322" s="55">
        <f>IF(Control!$C$61="T", IF(Control!$C$65="F", IF($AH$6-Control!$C$60&lt;0,0,1), IF(365+$AH$6-Control!$C$60&lt;0,0,1)),0)</f>
        <v>0</v>
      </c>
      <c r="PC322" s="55">
        <f ca="1">IF(Control!$C$65="F", IF($AH$6-$HF322&lt;0,0,1), IF(365+$AH$6-$HF322&lt;0,0,1))</f>
        <v>1</v>
      </c>
      <c r="PD322" s="444">
        <f>Control!$C$118</f>
        <v>1500</v>
      </c>
      <c r="PE322" s="180" t="e">
        <f t="shared" ca="1" si="1047"/>
        <v>#N/A</v>
      </c>
      <c r="PF322" s="445">
        <f t="shared" ca="1" si="1131"/>
        <v>0.71612369323045078</v>
      </c>
      <c r="PT322" s="186"/>
      <c r="PU322" s="186"/>
      <c r="PV322" s="94"/>
      <c r="PW322" s="94"/>
      <c r="PX322" s="94"/>
      <c r="PY322" s="94"/>
      <c r="PZ322" s="94"/>
      <c r="QA322" s="94"/>
      <c r="QB322" s="94"/>
      <c r="QC322" s="94"/>
      <c r="QD322" s="94"/>
      <c r="QE322" s="94"/>
      <c r="QF322" s="94"/>
      <c r="QG322" s="94"/>
      <c r="QH322" s="94"/>
      <c r="QI322" s="94"/>
      <c r="QJ322" s="94"/>
      <c r="QK322" s="94"/>
      <c r="QL322" s="94"/>
      <c r="QM322" s="94"/>
      <c r="QN322" s="94"/>
      <c r="QO322" s="94"/>
      <c r="QP322" s="94"/>
    </row>
    <row r="323" spans="1:458" s="2" customFormat="1" x14ac:dyDescent="0.2">
      <c r="A323" s="395">
        <v>14</v>
      </c>
      <c r="B323" s="396">
        <v>11</v>
      </c>
      <c r="C323" s="387">
        <f ca="1">Weather_data!$B322</f>
        <v>0</v>
      </c>
      <c r="D323" s="388">
        <f ca="1">Weather_data!$F322</f>
        <v>0</v>
      </c>
      <c r="E323" s="388">
        <f ca="1">Weather_data!$E322</f>
        <v>0</v>
      </c>
      <c r="F323" s="388">
        <f t="shared" ca="1" si="1048"/>
        <v>0</v>
      </c>
      <c r="G323" s="388">
        <f ca="1">AVERAGE($D323:$E323)+Control!$B$9</f>
        <v>0</v>
      </c>
      <c r="H323" s="388">
        <f ca="1">Weather_data!$G322</f>
        <v>0</v>
      </c>
      <c r="I323" s="388">
        <f ca="1">Weather_data!$I322</f>
        <v>0</v>
      </c>
      <c r="J323" s="388">
        <f ca="1">Weather_data!$H322</f>
        <v>0</v>
      </c>
      <c r="K323" s="389">
        <f ca="1">Weather_data!$D322</f>
        <v>0</v>
      </c>
      <c r="L323" s="388" t="e">
        <f t="shared" ca="1" si="1049"/>
        <v>#N/A</v>
      </c>
      <c r="M323" s="388" t="e">
        <f t="shared" ca="1" si="927"/>
        <v>#N/A</v>
      </c>
      <c r="N323" s="388">
        <f t="shared" ca="1" si="928"/>
        <v>-1.5625916404862832E-15</v>
      </c>
      <c r="O323" s="388">
        <f t="shared" ca="1" si="1050"/>
        <v>1.5625916404862831E-14</v>
      </c>
      <c r="P323" s="390">
        <v>3</v>
      </c>
      <c r="Q323" s="388">
        <f ca="1">MAX($G323-Control!$C$107,0)</f>
        <v>0</v>
      </c>
      <c r="R323" s="388">
        <f t="shared" ca="1" si="1051"/>
        <v>0</v>
      </c>
      <c r="S323" s="388">
        <f t="shared" ca="1" si="929"/>
        <v>0</v>
      </c>
      <c r="T323" s="388">
        <f t="shared" ca="1" si="930"/>
        <v>0</v>
      </c>
      <c r="U323" s="59">
        <f t="shared" ca="1" si="931"/>
        <v>0</v>
      </c>
      <c r="V323" s="391">
        <f ca="1">MAX(0,MIN(Control!$C$100-Control!$C$99,$G323-Control!$C$99)*Control!$C$63)</f>
        <v>0</v>
      </c>
      <c r="W323" s="388">
        <f t="shared" ca="1" si="1052"/>
        <v>0</v>
      </c>
      <c r="X323" s="388">
        <f t="shared" ca="1" si="1053"/>
        <v>0.6110000000000001</v>
      </c>
      <c r="Y323" s="388">
        <f t="shared" ca="1" si="932"/>
        <v>0</v>
      </c>
      <c r="Z323" s="388">
        <f t="shared" ca="1" si="1054"/>
        <v>0.61058800000000002</v>
      </c>
      <c r="AA323" s="388">
        <f t="shared" ca="1" si="933"/>
        <v>0.6018</v>
      </c>
      <c r="AB323" s="388">
        <f ca="1">101.3*EXP(-0.034*Control!$C$66/($G323+273))</f>
        <v>100.69623283836242</v>
      </c>
      <c r="AC323" s="392">
        <f t="shared" ca="1" si="934"/>
        <v>4.3460251046025113E-2</v>
      </c>
      <c r="AD323" s="392">
        <f t="shared" ca="1" si="935"/>
        <v>4.4450382862832649E-2</v>
      </c>
      <c r="AE323" s="388">
        <f t="shared" ca="1" si="936"/>
        <v>0</v>
      </c>
      <c r="AF323" s="388">
        <f ca="1">MAX(0,$G323-Control!$C$92)</f>
        <v>0</v>
      </c>
      <c r="AG323" s="393">
        <f t="shared" ca="1" si="937"/>
        <v>319</v>
      </c>
      <c r="AH323" s="389">
        <f t="shared" ca="1" si="938"/>
        <v>319</v>
      </c>
      <c r="AI323" s="388">
        <f t="shared" ca="1" si="1055"/>
        <v>-0.32990410318395835</v>
      </c>
      <c r="AJ323" s="388">
        <f ca="1">IF(Control!$C$60&lt;=0,$HH323,$HI323)</f>
        <v>1</v>
      </c>
      <c r="AK323" s="388">
        <f t="shared" ca="1" si="939"/>
        <v>4.1141953107285509</v>
      </c>
      <c r="AL323" s="388">
        <f t="shared" ca="1" si="940"/>
        <v>-3.4266148946082704E-18</v>
      </c>
      <c r="AM323" s="388">
        <f t="shared" ca="1" si="941"/>
        <v>4.1141953107285509</v>
      </c>
      <c r="AN323" s="388">
        <f t="shared" ca="1" si="942"/>
        <v>-0.33495185435817265</v>
      </c>
      <c r="AO323" s="388">
        <f ca="1">-0.10453/COS(Control!$B$8*PI()/180)*COS(AN323)</f>
        <v>-0.16034926350395831</v>
      </c>
      <c r="AP323" s="388">
        <f ca="1">ACOS(AO323-TAN(Control!$B$8*PI()/180)*TAN(AN323))</f>
        <v>1.2816267757846791</v>
      </c>
      <c r="AQ323" s="388">
        <f t="shared" ca="1" si="1056"/>
        <v>0</v>
      </c>
      <c r="AR323" s="394">
        <f t="shared" ca="1" si="943"/>
        <v>0</v>
      </c>
      <c r="AS323" s="436">
        <f ca="1">IF(Control!$B$18=2,(IF(OR($AH323=Control!$B$175,$AH323=Control!$B$176,$AH323=Control!$B$177,$AH323=Control!$B$178,$AH323=Control!$B$179,$AH323=Control!$B$180,$AH323=Control!$B$181,$AH323=Control!$B$182,$AH323=Control!$B$183,$AH323=Control!$B$184,$AH323=Control!$B$185),1,0)),0)</f>
        <v>0</v>
      </c>
      <c r="AT323" s="436">
        <f>IF(Control!$B$20=8,IF(AND($AH323&gt;=Control!$B$172,$AH323&lt;=Control!$B$173),1,0),0)</f>
        <v>0</v>
      </c>
      <c r="AU323" s="436">
        <f>IF(Control!$B$20=8,IF($AV322=1,1*$AT323,IF($AT323=1,$AU322+1,$AU322)),0)</f>
        <v>0</v>
      </c>
      <c r="AV323" s="436">
        <f>IF(Control!$B$20=8,IF($AU323&gt;=Control!$B$174,1,0),0)</f>
        <v>0</v>
      </c>
      <c r="AW323" s="436">
        <f ca="1">IF(AND(Control!$B$18=2,Control!$B$171=1), $AV323, $AS323)</f>
        <v>0</v>
      </c>
      <c r="AX323" s="436" t="e">
        <f ca="1">IF(AND(Control!$B$18=1,$EU323&gt;=Control!$B$19),-$AY323,IF(AND(Control!$B$18=2,$AW323=1,$EU323&gt;$DS323),-$AY323, IF(Control!$C$108=0,0, IF(Control!$C$108&lt;&gt;0,1))))</f>
        <v>#N/A</v>
      </c>
      <c r="AY323" s="436" t="e">
        <f t="shared" ca="1" si="1057"/>
        <v>#N/A</v>
      </c>
      <c r="AZ323" s="436" t="e">
        <f ca="1">IF(AND(Control!$B$18=1,$EB323&gt;Control!$B$19),$AZ322+1, IF(AND(Control!$B$18=2, $AW323=1, $EB323&gt;$DS323), $AZ322+1,$AZ322))</f>
        <v>#N/A</v>
      </c>
      <c r="BA323" s="587">
        <f>IF(Control!$C$81=0,1,IF($AH323&gt;=Control!$C$82,1,0))</f>
        <v>1</v>
      </c>
      <c r="BB323" s="140" t="e">
        <f ca="1">IF($BA323&gt;$BA322,Control!$C$83,IF($AW323&gt;0,$AW323*Control!$C$84,IF(AND(Control!$B$18=1,EN322&lt;&gt;0),Control!$C$84,0)))</f>
        <v>#N/A</v>
      </c>
      <c r="BC323" s="140" t="e">
        <f t="shared" ca="1" si="1058"/>
        <v>#N/A</v>
      </c>
      <c r="BD323" s="140" t="e">
        <f ca="1">BC323*IF(OR($G323&lt;Control!$C$92,$G323&gt;Control!$C$95),0,IF(AND($G323&gt;=Control!$C$92,$G323&lt;=Control!$C$93),$G323-Control!$C$92,IF(AND($G323&gt;Control!$C$93,$G323&lt;=Control!$C$94),Control!$C$93-Control!$C$92,IF(AND($G323&gt;Control!$C$94,$G323&lt;=Control!$C$95),(Control!$C$93-Control!$C$92)*(Control!$C$94-$G323)/(Control!$C$95-Control!$C$94)))))</f>
        <v>#N/A</v>
      </c>
      <c r="BE323" s="140" t="e">
        <f t="shared" ca="1" si="1059"/>
        <v>#N/A</v>
      </c>
      <c r="BF323" s="140" t="e">
        <f ca="1">IF($BE323&lt;=Control!$C$86,$BE323,Control!$C$86-$BE323)</f>
        <v>#N/A</v>
      </c>
      <c r="BG323" s="140" t="e">
        <f ca="1">IF(AND($AW323=1,Control!$C$84&lt;9),1,IF($BE323&gt;=Control!$C$86,0,$BC323))</f>
        <v>#N/A</v>
      </c>
      <c r="BH323" s="404" t="e">
        <f ca="1">IF($BG323=0,0,IF($BE323&lt;=Control!$C$86,$BC323*9*($BF323/Control!$C$86),0))</f>
        <v>#N/A</v>
      </c>
      <c r="BI323" s="140" t="e">
        <f ca="1">IF($BG323=1,0,IF($BE323&gt;=Control!$C$86,1,IF(AND($BB323&lt;21,$BB323&gt;=9),1,$BM322)))</f>
        <v>#N/A</v>
      </c>
      <c r="BJ323" s="140" t="e">
        <f ca="1">IF($BF323&lt;0,-$BF323,$BI323*IF(OR($G323&lt;Control!$C$92,$G323&gt;Control!$C$95),0,IF(AND($G323&gt;=Control!$C$92,$G323&lt;=Control!$C$93),$G323-Control!$C$92,IF(AND($G323&gt;Control!$C$93,$G323&lt;=Control!$C$94),Control!$C$93-Control!$C$92,IF(AND($G323&gt;Control!$C$94,$G323&lt;=Control!$C$95),(Control!$C$93-Control!$C$92)*(Control!$C$94-$G323)/(Control!$C$95-Control!$C$94))))))</f>
        <v>#N/A</v>
      </c>
      <c r="BK323" s="140" t="e">
        <f t="shared" ca="1" si="1060"/>
        <v>#N/A</v>
      </c>
      <c r="BL323" s="140" t="e">
        <f ca="1">IF($BK323&lt;=Control!$C$87,$BK323,Control!$C$87-$BK323)</f>
        <v>#N/A</v>
      </c>
      <c r="BM323" s="140" t="e">
        <f ca="1">IF(AND($BB323&gt;=9,$BB323&lt;21),1,IF($BK323&gt;=Control!$C$87,0,$BI323))</f>
        <v>#N/A</v>
      </c>
      <c r="BN323" s="404" t="e">
        <f ca="1">IF($BM323=0,0,IF($BK323&lt;=Control!$C$87,$BI323*(9+(21-9)*($BL323/Control!$C$87)),0))</f>
        <v>#N/A</v>
      </c>
      <c r="BO323" s="140" t="e">
        <f ca="1">IF($BM323=1,0,IF($BK323&gt;=Control!$C$87,1,IF(AND($BB323&lt;30,$BB323&gt;=21),1,$BS322)))</f>
        <v>#N/A</v>
      </c>
      <c r="BP323" s="140" t="e">
        <f ca="1">IF($BL323&lt;0,-$BL323,$BO323*IF(OR($G323&lt;Control!$C$92,$G323&gt;Control!$C$95),0,IF(AND($G323&gt;=Control!$C$92,$G323&lt;=Control!$C$93),$G323-Control!$C$92,IF(AND($G323&gt;Control!$C$93,$G323&lt;=Control!$C$94),Control!$C$93-Control!$C$92,IF(AND($G323&gt;Control!$C$94,$G323&lt;=Control!$C$95),(Control!$C$93-Control!$C$92)*(Control!$C$94-$G323)/(Control!$C$95-Control!$C$94))))))</f>
        <v>#N/A</v>
      </c>
      <c r="BQ323" s="140" t="e">
        <f t="shared" ca="1" si="944"/>
        <v>#N/A</v>
      </c>
      <c r="BR323" s="140" t="e">
        <f ca="1">IF($BQ323&lt;=Control!$C$88,$BQ323,Control!$C$88-$BQ323)</f>
        <v>#N/A</v>
      </c>
      <c r="BS323" s="140" t="e">
        <f ca="1">IF(AND($BB323&gt;=21,$BB323&lt;30),1,IF($BQ323&gt;=Control!$C$88,0,$BO323))</f>
        <v>#N/A</v>
      </c>
      <c r="BT323" s="404" t="e">
        <f ca="1">IF($BS323=0,0,IF($BQ323&lt;=Control!$C$88,$BO323*(21+(30-21)*(BR323/Control!$C$88)),0))</f>
        <v>#N/A</v>
      </c>
      <c r="BU323" s="140" t="e">
        <f ca="1">IF(BG323+BM323+BS323=1,0,IF(OR(AND($BB323&lt;60,$BB323&gt;=30),$BQ323&gt;=Control!$C$88),1*$BA323,$BY322))</f>
        <v>#N/A</v>
      </c>
      <c r="BV323" s="140" t="e">
        <f ca="1">IF($BR323&lt;0,-$BR323,$BU323*IF(OR($G323&lt;Control!$C$92,$G323&gt;Control!$C$95),0,IF(AND($G323&gt;=Control!$C$92,$G323&lt;=Control!$C$93),$G323-Control!$C$92,IF(AND($G323&gt;Control!$C$93,$G323&lt;=Control!$C$94),Control!$C$93-Control!$C$92,IF(AND($G323&gt;Control!$C$94,$G323&lt;=Control!$C$95),(Control!$C$93-Control!$C$92)*(Control!$C$94-$G323)/(Control!$C$95-Control!$C$94))))))</f>
        <v>#N/A</v>
      </c>
      <c r="BW323" s="140" t="e">
        <f t="shared" ca="1" si="945"/>
        <v>#N/A</v>
      </c>
      <c r="BX323" s="140" t="e">
        <f ca="1">IF($BW323&lt;=Control!$C$89,$BW323,Control!$C$89-$BW323)</f>
        <v>#N/A</v>
      </c>
      <c r="BY323" s="140" t="e">
        <f ca="1">IF(AND($AJ323&gt;=30,$AJ323&lt;60),1,IF($BW323&gt;=Control!$C$89,0,$BU323))</f>
        <v>#N/A</v>
      </c>
      <c r="BZ323" s="404" t="e">
        <f ca="1">IF($BY323=0,0,IF($BW323&lt;=Control!$C$89,$BU323*(30+(60-30)*(BX323/Control!$C$89)),0))</f>
        <v>#N/A</v>
      </c>
      <c r="CA323" s="140" t="e">
        <f ca="1">IF($BG323+$BM323+$BS323+$BY323=1,0,IF(OR(AND($BB323&lt;65,$BB323&gt;=60),$BW323&gt;=Control!$C$89),1*$BA323,$CE322))</f>
        <v>#N/A</v>
      </c>
      <c r="CB323" s="140" t="e">
        <f ca="1">IF($BX323&lt;0,-$BX323,$CA323*IF(OR($G323&lt;Control!$C$92,$G323&gt;Control!$C$95),0,IF(AND($G323&gt;=Control!$C$92,$G323&lt;=Control!$C$93),$G323-Control!$C$92,IF(AND($G323&gt;Control!$C$93,$G323&lt;=Control!$C$94),Control!$C$93-Control!$C$92,IF(AND($G323&gt;Control!$C$94,$G323&lt;=Control!$C$95),(Control!$C$93-Control!$C$92)*(Control!$C$94-$G323)/(Control!$C$95-Control!$C$94))))))</f>
        <v>#N/A</v>
      </c>
      <c r="CC323" s="140" t="e">
        <f t="shared" ca="1" si="1061"/>
        <v>#N/A</v>
      </c>
      <c r="CD323" s="140" t="e">
        <f ca="1">IF($CC323&lt;=Control!$C$90,$CC323,Control!$C$90-$CC323)</f>
        <v>#N/A</v>
      </c>
      <c r="CE323" s="140" t="e">
        <f ca="1">IF(AND($BB323&gt;=60,$BB323&lt;65),1,IF($CC323&gt;=Control!$C$90,0,$CA323))</f>
        <v>#N/A</v>
      </c>
      <c r="CF323" s="404" t="e">
        <f ca="1">IF($CE323=0,0,IF($CC323&lt;=Control!$C$90,$CA323*(60+(65-60)*(CD323/Control!$C$90)),0))</f>
        <v>#N/A</v>
      </c>
      <c r="CG323" s="140" t="e">
        <f ca="1">IF($BG323+$BM323+$BS323+$BY323+$CE323=1,0,IF(OR(AND($BB323&lt;90,$BB323&gt;=65),$CC323&gt;=Control!$C$90),$BA323,$CK322))</f>
        <v>#N/A</v>
      </c>
      <c r="CH323" s="140" t="e">
        <f ca="1">IF($CD323&lt;0,-$CD323,$CG323*IF(OR($G323&lt;Control!$C$92,$G323&gt;Control!$C$95),0,IF(AND($G323&gt;=Control!$C$92,$G323&lt;=Control!$C$93),$G323-Control!$C$92,IF(AND($G323&gt;Control!$C$93,$G323&lt;=Control!$C$94),Control!$C$93-Control!$C$92,IF(AND($G323&gt;Control!$C$94,$G323&lt;=Control!$C$95),(Control!$C$93-Control!$C$92)*(Control!$C$94-$G323)/(Control!$C$95-Control!$C$94))))))</f>
        <v>#N/A</v>
      </c>
      <c r="CI323" s="140" t="e">
        <f t="shared" ca="1" si="1062"/>
        <v>#N/A</v>
      </c>
      <c r="CJ323" s="140" t="e">
        <f ca="1">IF($CI323&lt;=Control!$C$91,$CI323,Control!$C$91-$CI323)</f>
        <v>#N/A</v>
      </c>
      <c r="CK323" s="140" t="e">
        <f ca="1">IF(AND($BB323&gt;=65,$BB323&lt;90),1,IF($CI323&gt;=Control!$C$91,0,$CG323))</f>
        <v>#N/A</v>
      </c>
      <c r="CL323" s="404" t="e">
        <f ca="1">IF($CK323=0,0,IF($CI323&lt;=Control!$C$91,$CG323*(65+(90-65)*($CJ323/Control!$C$91)),0))</f>
        <v>#N/A</v>
      </c>
      <c r="CM323" s="140" t="e">
        <f ca="1">IF($BG323+$BM323+$BS323+$BY323+$CE323+$CK323=1,0,IF(OR($BB323&gt;=90,$CI323&gt;=Control!$C$91),$BA323,$CM322))</f>
        <v>#N/A</v>
      </c>
      <c r="CN323" s="140" t="e">
        <f t="shared" ca="1" si="1063"/>
        <v>#N/A</v>
      </c>
      <c r="CO323" s="140" t="e">
        <f t="shared" ca="1" si="1064"/>
        <v>#N/A</v>
      </c>
      <c r="CP323" s="140" t="e">
        <f t="shared" ca="1" si="1065"/>
        <v>#N/A</v>
      </c>
      <c r="CQ323" s="141" t="e">
        <f ca="1">VLOOKUP($CP323,Control!$B$86:$G$91,6)</f>
        <v>#N/A</v>
      </c>
      <c r="CR323" s="141" t="e">
        <f ca="1">(1-$CQ323)*VLOOKUP($CP323,Control!$B$86:$D$91,3)</f>
        <v>#N/A</v>
      </c>
      <c r="CS323" s="141" t="e">
        <f ca="1">(1-$CQ323)*VLOOKUP($CP323,Control!$B$86:$E$91,4)</f>
        <v>#N/A</v>
      </c>
      <c r="CT323" s="141" t="e">
        <f ca="1">(1-$CQ323)*VLOOKUP($CP323,Control!$B$86:$F$91,5)</f>
        <v>#N/A</v>
      </c>
      <c r="CU323" s="141">
        <f t="shared" ca="1" si="1066"/>
        <v>0</v>
      </c>
      <c r="CV323" s="583">
        <f t="shared" ca="1" si="1067"/>
        <v>0</v>
      </c>
      <c r="CW323" s="142">
        <f t="shared" ca="1" si="1068"/>
        <v>319</v>
      </c>
      <c r="CX323" s="612" t="e">
        <f ca="1">IF(Control!$C$114=1,(MIN(Control!$C$120*(IF($NT323-0.01&lt;0,0,1)),Control!$C$119-$CY323)))</f>
        <v>#DIV/0!</v>
      </c>
      <c r="CY323" s="143" t="e">
        <f t="shared" ca="1" si="1069"/>
        <v>#N/A</v>
      </c>
      <c r="CZ323" s="144">
        <f t="shared" ca="1" si="946"/>
        <v>0</v>
      </c>
      <c r="DA323" s="144">
        <f t="shared" ca="1" si="947"/>
        <v>0</v>
      </c>
      <c r="DB323" s="144" t="e">
        <f t="shared" ca="1" si="948"/>
        <v>#N/A</v>
      </c>
      <c r="DC323" s="144" t="e">
        <f t="shared" ca="1" si="949"/>
        <v>#N/A</v>
      </c>
      <c r="DD323" s="144" t="e">
        <f t="shared" ca="1" si="1154"/>
        <v>#N/A</v>
      </c>
      <c r="DE323" s="143" t="e">
        <f t="shared" ca="1" si="1070"/>
        <v>#N/A</v>
      </c>
      <c r="DF323" s="145" t="e">
        <f ca="1">$DR323*EXP(-Control!$C$158*(1-$KH323))</f>
        <v>#N/A</v>
      </c>
      <c r="DG323" s="146" t="e">
        <f ca="1">IF(Control!$C$114=1, $DF323*$EY323, 0)</f>
        <v>#N/A</v>
      </c>
      <c r="DH323" s="147" t="e">
        <f t="shared" ca="1" si="1071"/>
        <v>#N/A</v>
      </c>
      <c r="DI323" s="144" t="e">
        <f t="shared" ca="1" si="1132"/>
        <v>#N/A</v>
      </c>
      <c r="DJ323" s="147" t="e">
        <f ca="1">$EF323*Control!$C$109</f>
        <v>#N/A</v>
      </c>
      <c r="DK323" s="144" t="e">
        <f t="shared" ca="1" si="1072"/>
        <v>#N/A</v>
      </c>
      <c r="DL323" s="144" t="e">
        <f t="shared" ca="1" si="950"/>
        <v>#N/A</v>
      </c>
      <c r="DM323" s="144" t="e">
        <f ca="1">IF(Control!$C$114=1, (1-EXP(-Control!$C$96*$DK323))*$AR323, 0)</f>
        <v>#N/A</v>
      </c>
      <c r="DN323" s="144">
        <f t="shared" ca="1" si="1073"/>
        <v>0</v>
      </c>
      <c r="DO323" s="148">
        <f>Control!$C$97</f>
        <v>4</v>
      </c>
      <c r="DP323" s="145" t="e">
        <f t="shared" ca="1" si="1074"/>
        <v>#N/A</v>
      </c>
      <c r="DQ323" s="145" t="e">
        <f ca="1">IF(AND($CP323&gt;=0,$CP323&lt;=90),Control!$C$111,Control!$C$111)</f>
        <v>#N/A</v>
      </c>
      <c r="DR323" s="145" t="e">
        <f t="shared" ca="1" si="951"/>
        <v>#N/A</v>
      </c>
      <c r="DS323" s="143" t="e">
        <f ca="1">Control!$B$22/$DR323</f>
        <v>#N/A</v>
      </c>
      <c r="DT323" s="149" t="e">
        <f ca="1">IF(AND(Control!$C$114=1,$KH323&lt;1),$IM323*$DF323, 0)</f>
        <v>#N/A</v>
      </c>
      <c r="DU323" s="144" t="e">
        <f t="shared" ca="1" si="1075"/>
        <v>#N/A</v>
      </c>
      <c r="DV323" s="144">
        <f ca="1">IF($G323-Control!$C$107&lt;=0, 0, 0.83*LN(MAX($G323, 3))-0.8924)</f>
        <v>0</v>
      </c>
      <c r="DW323" s="144" t="e">
        <f t="shared" ca="1" si="952"/>
        <v>#N/A</v>
      </c>
      <c r="DX323" s="150" t="e">
        <f ca="1">MAX(0.01*(1+$CU323/Control!$C$102),0.05*($DK323-Control!$C$97)/Control!$C$97)</f>
        <v>#N/A</v>
      </c>
      <c r="DY323" s="151" t="e">
        <f ca="1">IF(Control!$C$114=1, $DI323*$FS323, 0)</f>
        <v>#N/A</v>
      </c>
      <c r="DZ323" s="196" t="e">
        <f t="shared" ca="1" si="1076"/>
        <v>#N/A</v>
      </c>
      <c r="EA323" s="152">
        <f t="shared" ca="1" si="1077"/>
        <v>319</v>
      </c>
      <c r="EB323" s="153" t="e">
        <f t="shared" ca="1" si="1078"/>
        <v>#N/A</v>
      </c>
      <c r="EC323" s="153" t="e">
        <f t="shared" ca="1" si="1079"/>
        <v>#N/A</v>
      </c>
      <c r="ED323" s="154" t="e">
        <f ca="1">IF(Control!$C$114=1, $HM323*$FY323-$FD323, 0)</f>
        <v>#DIV/0!</v>
      </c>
      <c r="EE323" s="155" t="e">
        <f ca="1">IF(Control!$C$114=1, $HM323*$FZ323-$FF323, 0)</f>
        <v>#DIV/0!</v>
      </c>
      <c r="EF323" s="153" t="e">
        <f t="shared" ca="1" si="1133"/>
        <v>#N/A</v>
      </c>
      <c r="EG323" s="155" t="e">
        <f ca="1">IF(Control!$C$114=1, $GX323*$FW323-$FI323, 0)</f>
        <v>#DIV/0!</v>
      </c>
      <c r="EH323" s="153" t="e">
        <f t="shared" ca="1" si="1080"/>
        <v>#N/A</v>
      </c>
      <c r="EI323" s="156" t="e">
        <f t="shared" ca="1" si="1081"/>
        <v>#N/A</v>
      </c>
      <c r="EJ323" s="155" t="e">
        <f ca="1">IF(Control!$C$114=1, $HM323*$GB323, 0)</f>
        <v>#DIV/0!</v>
      </c>
      <c r="EK323" s="153" t="e">
        <f t="shared" ca="1" si="1134"/>
        <v>#N/A</v>
      </c>
      <c r="EL323" s="153" t="e">
        <f t="shared" ca="1" si="953"/>
        <v>#N/A</v>
      </c>
      <c r="EM323" s="153" t="e">
        <f t="shared" ca="1" si="954"/>
        <v>#N/A</v>
      </c>
      <c r="EN323" s="153" t="e">
        <f ca="1">IF(Control!$C$108=1,IF(AND(Control!$B$18=1,$EB323&gt;=Control!$B$19),$EB323-$DS323,IF(AND(Control!$B$18=2,$AW323=1,$EB323&gt;$DS323),$EB323-$DS323,0)))</f>
        <v>#N/A</v>
      </c>
      <c r="EO323" s="153" t="e">
        <f ca="1">IF(Control!$C$108=1,IF(AND(Control!$B$18=1,$EB323&gt;=Control!$B$19),$EF323,IF(AND(Control!$B$18=2,$AW323=1),$EF323,0)))</f>
        <v>#N/A</v>
      </c>
      <c r="EP323" s="153" t="e">
        <f ca="1">IF(Control!$C$108=1,IF(AND(Control!$B$18=1,$EB323&gt;=Control!$B$19),$EK323,IF(AND(Control!$B$18=2,$AW323=1),$EK323,0)))</f>
        <v>#N/A</v>
      </c>
      <c r="EQ323" s="153" t="e">
        <f t="shared" ca="1" si="1082"/>
        <v>#N/A</v>
      </c>
      <c r="ER323" s="153" t="e">
        <f t="shared" ca="1" si="1083"/>
        <v>#N/A</v>
      </c>
      <c r="ES323" s="153" t="e">
        <f t="shared" ca="1" si="1135"/>
        <v>#N/A</v>
      </c>
      <c r="ET323" s="153" t="e">
        <f t="shared" ca="1" si="1136"/>
        <v>#N/A</v>
      </c>
      <c r="EU323" s="153" t="e">
        <f t="shared" ca="1" si="1084"/>
        <v>#N/A</v>
      </c>
      <c r="EV323" s="153" t="e">
        <f t="shared" ca="1" si="955"/>
        <v>#N/A</v>
      </c>
      <c r="EW323" s="153" t="e">
        <f t="shared" ca="1" si="956"/>
        <v>#N/A</v>
      </c>
      <c r="EX323" s="153" t="e">
        <f t="shared" ca="1" si="957"/>
        <v>#N/A</v>
      </c>
      <c r="EY323" s="157" t="e">
        <f t="shared" ca="1" si="958"/>
        <v>#DIV/0!</v>
      </c>
      <c r="EZ323" s="154" t="e">
        <f t="shared" ca="1" si="959"/>
        <v>#DIV/0!</v>
      </c>
      <c r="FA323" s="153" t="e">
        <f t="shared" ca="1" si="1085"/>
        <v>#N/A</v>
      </c>
      <c r="FB323" s="153" t="e">
        <f t="shared" ca="1" si="960"/>
        <v>#N/A</v>
      </c>
      <c r="FC323" s="193" t="e">
        <f t="shared" ca="1" si="961"/>
        <v>#N/A</v>
      </c>
      <c r="FD323" s="158" t="e">
        <f t="shared" ca="1" si="1086"/>
        <v>#N/A</v>
      </c>
      <c r="FE323" s="158" t="e">
        <f t="shared" ca="1" si="1087"/>
        <v>#N/A</v>
      </c>
      <c r="FF323" s="159" t="e">
        <f t="shared" ca="1" si="962"/>
        <v>#N/A</v>
      </c>
      <c r="FG323" s="160" t="e">
        <f t="shared" ca="1" si="1088"/>
        <v>#N/A</v>
      </c>
      <c r="FH323" s="158" t="e">
        <f t="shared" ca="1" si="1089"/>
        <v>#N/A</v>
      </c>
      <c r="FI323" s="159" t="e">
        <f t="shared" ca="1" si="963"/>
        <v>#N/A</v>
      </c>
      <c r="FJ323" s="160" t="e">
        <f t="shared" ca="1" si="1090"/>
        <v>#N/A</v>
      </c>
      <c r="FK323" s="160" t="e">
        <f t="shared" ca="1" si="964"/>
        <v>#N/A</v>
      </c>
      <c r="FL323" s="160" t="e">
        <f t="shared" ca="1" si="1137"/>
        <v>#N/A</v>
      </c>
      <c r="FM323" s="160" t="e">
        <f t="shared" ca="1" si="965"/>
        <v>#N/A</v>
      </c>
      <c r="FN323" s="158">
        <f t="shared" ca="1" si="1091"/>
        <v>0.01</v>
      </c>
      <c r="FO323" s="160">
        <f>Control!$C$101</f>
        <v>50</v>
      </c>
      <c r="FP323" s="150" t="e">
        <f t="shared" ca="1" si="966"/>
        <v>#N/A</v>
      </c>
      <c r="FQ323" s="150" t="e">
        <f ca="1">MAX(0,(Control!$C$112*(($DK323-Control!$C$97)/Control!$C$97)))</f>
        <v>#N/A</v>
      </c>
      <c r="FR323" s="150" t="e">
        <f ca="1">(1-$NT323)*Control!$C$113</f>
        <v>#DIV/0!</v>
      </c>
      <c r="FS323" s="198" t="e">
        <f t="shared" ca="1" si="967"/>
        <v>#N/A</v>
      </c>
      <c r="FT323" s="161">
        <f t="shared" ca="1" si="1092"/>
        <v>319</v>
      </c>
      <c r="FU323" s="162" t="e">
        <f ca="1">IF(Control!$B$34=1,VLOOKUP($CP323,Control!$B$86:$G$91,6),Control!$B$35)</f>
        <v>#N/A</v>
      </c>
      <c r="FV323" s="162" t="e">
        <f t="shared" ca="1" si="968"/>
        <v>#DIV/0!</v>
      </c>
      <c r="FW323" s="162" t="e">
        <f ca="1">IF(Control!$B$31=1,$FU323*$FV323,  $FU323)</f>
        <v>#N/A</v>
      </c>
      <c r="FX323" s="162" t="e">
        <f ca="1">IF(Control!$B$34=1,VLOOKUP($CP323,Control!$B$86:$G$91,3),Control!$B$36)</f>
        <v>#N/A</v>
      </c>
      <c r="FY323" s="162" t="e">
        <f t="shared" ca="1" si="969"/>
        <v>#N/A</v>
      </c>
      <c r="FZ323" s="162" t="e">
        <f ca="1">IF(Control!$B$34=1,VLOOKUP($CP323,Control!$B$86:$G$91,4),Control!$B$37)</f>
        <v>#N/A</v>
      </c>
      <c r="GA323" s="162" t="e">
        <f t="shared" ca="1" si="970"/>
        <v>#N/A</v>
      </c>
      <c r="GB323" s="162" t="e">
        <f ca="1">IF(Control!$B$34=1,VLOOKUP($CP323,Control!$B$86:$G$91,5),Control!$B$38)</f>
        <v>#N/A</v>
      </c>
      <c r="GC323" s="162" t="e">
        <f t="shared" ca="1" si="1093"/>
        <v>#N/A</v>
      </c>
      <c r="GD323" s="162">
        <f t="shared" ca="1" si="971"/>
        <v>1</v>
      </c>
      <c r="GE323" s="162">
        <f t="shared" ca="1" si="972"/>
        <v>1</v>
      </c>
      <c r="GF323" s="162">
        <f ca="1">IF(AND(Control!$C$104=1, Control!$C$62="F"),$GE323,1)</f>
        <v>1</v>
      </c>
      <c r="GG323" s="162" t="e">
        <f ca="1">IF(Control!$B$16=40,0,IF(AND(Control!$B$16&gt;40,Control!$B$16&lt;=360),(Control!$B$16-40)*((1-0)/(360-40)),IF(AND(Control!$B$16&gt;360,Control!$B$16&lt;=720),(1+(Control!$B$16-360)*((1.25-1)/(720-360))),IF(AND(Control!$B$16&gt;720,Control!$B$16&lt;=1000),(1.25+(Control!$B$16-720)*((1.35-1.25)/(1000-720))),IF(AND(Control!$B$16&gt;1000,Control!$B$16&lt;=2000),(1.35+(Control!$B$16-1000)*0))))))</f>
        <v>#N/A</v>
      </c>
      <c r="GH323" s="162" t="e">
        <f t="shared" ca="1" si="973"/>
        <v>#N/A</v>
      </c>
      <c r="GI323" s="162">
        <f t="shared" ca="1" si="1094"/>
        <v>0</v>
      </c>
      <c r="GJ323" s="162">
        <f t="shared" ca="1" si="974"/>
        <v>0</v>
      </c>
      <c r="GK323" s="162">
        <f t="shared" ca="1" si="1095"/>
        <v>1</v>
      </c>
      <c r="GL323" s="162">
        <f t="shared" ca="1" si="975"/>
        <v>1</v>
      </c>
      <c r="GM323" s="162" t="e">
        <f ca="1">MAX(0,MIN(1,1-Control!$C$156*(1.0001-$KH323)^2))</f>
        <v>#N/A</v>
      </c>
      <c r="GN323" s="162" t="e">
        <f ca="1">IF(Control!$B$26=1,$KU323,$KX323)</f>
        <v>#N/A</v>
      </c>
      <c r="GO323" s="162" t="e">
        <f ca="1">IF($CP323&lt;=60,Control!$C$105,IF($CP323&gt;=90,Control!$C$106,Control!$C$105+($CP323-60)*((Control!$C$106-Control!$C$105)/(90-60))))</f>
        <v>#N/A</v>
      </c>
      <c r="GP323" s="162" t="e">
        <f t="shared" ca="1" si="976"/>
        <v>#N/A</v>
      </c>
      <c r="GQ323" s="162" t="e">
        <f t="shared" ca="1" si="1096"/>
        <v>#N/A</v>
      </c>
      <c r="GR323" s="163" t="e">
        <f t="shared" ca="1" si="977"/>
        <v>#DIV/0!</v>
      </c>
      <c r="GS323" s="162" t="e">
        <f t="shared" ca="1" si="978"/>
        <v>#DIV/0!</v>
      </c>
      <c r="GT323" s="164" t="e">
        <f t="shared" ca="1" si="1097"/>
        <v>#N/A</v>
      </c>
      <c r="GU323" s="162" t="e">
        <f t="shared" ca="1" si="1098"/>
        <v>#N/A</v>
      </c>
      <c r="GV323" s="162" t="e">
        <f t="shared" ca="1" si="979"/>
        <v>#N/A</v>
      </c>
      <c r="GW323" s="162" t="e">
        <f t="shared" ca="1" si="980"/>
        <v>#DIV/0!</v>
      </c>
      <c r="GX323" s="162" t="e">
        <f t="shared" ca="1" si="1099"/>
        <v>#DIV/0!</v>
      </c>
      <c r="GY323" s="162" t="e">
        <f t="shared" ca="1" si="1100"/>
        <v>#DIV/0!</v>
      </c>
      <c r="GZ323" s="165" t="e">
        <f t="shared" ca="1" si="981"/>
        <v>#N/A</v>
      </c>
      <c r="HA323" s="162" t="e">
        <f ca="1">IF(Control!$C$114=1, $DI323*$FS323, 0)</f>
        <v>#N/A</v>
      </c>
      <c r="HB323" s="162" t="e">
        <f ca="1">$FA323/Control!$C$64</f>
        <v>#N/A</v>
      </c>
      <c r="HC323" s="162" t="e">
        <f t="shared" ca="1" si="982"/>
        <v>#DIV/0!</v>
      </c>
      <c r="HD323" s="162">
        <f ca="1">-ASIN(SIN(23.45*Control!$C$139)*COS(2*Control!$C$138*($AH323+10)/365))</f>
        <v>-0.32990410318395835</v>
      </c>
      <c r="HE323" s="165">
        <f t="shared" ca="1" si="1101"/>
        <v>0</v>
      </c>
      <c r="HF323" s="166">
        <f ca="1">IF(AND(Control!$C$61="T",$HE323&gt;=Control!$C$103,Control!$C$114=0),$AH323,Control!$C$59)</f>
        <v>1</v>
      </c>
      <c r="HG323" s="166">
        <f ca="1">IF(AND(Control!$C$61="T",$HE323&gt;=Control!$C$103,Control!$C$114=0),$HF323,Control!$C$59)</f>
        <v>1</v>
      </c>
      <c r="HH323" s="165">
        <f ca="1">IF(AND(OR(Control!$C$60&lt;=0, $AH323= Control!$C$59, Control!$C$60 &gt;0, $AH323 = Control!$C$60)), Control!$C$59, IF(Control!$C$60&gt;0, 0))</f>
        <v>1</v>
      </c>
      <c r="HI323" s="165">
        <f ca="1">IF(AND(OR(Control!$C$60&lt;=0, $AH323= Control!$C$59, Control!$C$60 &gt;0, $AH323 = Control!$C$60)), Control!$C$60, IF(Control!$C$60&lt;=0, 0))</f>
        <v>0</v>
      </c>
      <c r="HJ323" s="166">
        <f ca="1">IF(AND(Control!$C$62="F",$CV323&gt;=Control!$C$102),$AH323,0)</f>
        <v>0</v>
      </c>
      <c r="HK323" s="165" t="e">
        <f t="shared" ca="1" si="1138"/>
        <v>#N/A</v>
      </c>
      <c r="HL323" s="166">
        <f ca="1">IF(AND(Control!$C$61="T",$HE323&gt;=Control!$C$103,Control!$C$114=0),$HF323,0)</f>
        <v>0</v>
      </c>
      <c r="HM323" s="201" t="e">
        <f t="shared" ca="1" si="983"/>
        <v>#DIV/0!</v>
      </c>
      <c r="HN323" s="215">
        <f t="shared" ca="1" si="1102"/>
        <v>319</v>
      </c>
      <c r="HO323" s="216" t="e">
        <f ca="1">IF(AND($CP323&gt;=0, $CP323&lt;=90), Control!$C$152, Control!$C$152)</f>
        <v>#N/A</v>
      </c>
      <c r="HP323" s="216" t="e">
        <f t="shared" ca="1" si="984"/>
        <v>#N/A</v>
      </c>
      <c r="HQ323" s="217" t="e">
        <f ca="1">IF(OR(Control!$B$26=1,Control!$B$26=2),$KV323,$KS323)</f>
        <v>#DIV/0!</v>
      </c>
      <c r="HR323" s="218" t="e">
        <f t="shared" ca="1" si="1139"/>
        <v>#DIV/0!</v>
      </c>
      <c r="HS323" s="216" t="e">
        <f ca="1">Control!$C$154*$HP323</f>
        <v>#N/A</v>
      </c>
      <c r="HT323" s="216" t="e">
        <f ca="1">Control!$C$155*$HP323</f>
        <v>#N/A</v>
      </c>
      <c r="HU323" s="217" t="e">
        <f ca="1">Control!$C$161*$FI323</f>
        <v>#N/A</v>
      </c>
      <c r="HV323" s="218" t="e">
        <f t="shared" ca="1" si="1103"/>
        <v>#N/A</v>
      </c>
      <c r="HW323" s="218" t="e">
        <f ca="1">Control!$C$160*$FF323+$IP323*$EO323</f>
        <v>#N/A</v>
      </c>
      <c r="HX323" s="218" t="e">
        <f t="shared" ca="1" si="1140"/>
        <v>#N/A</v>
      </c>
      <c r="HY323" s="219" t="e">
        <f ca="1">IF(Control!$C$114=1, $EB323*$FS323, 0)</f>
        <v>#N/A</v>
      </c>
      <c r="HZ323" s="91" t="e">
        <f t="shared" ca="1" si="985"/>
        <v>#N/A</v>
      </c>
      <c r="IA323" s="220" t="e">
        <f ca="1">Control!$C$153*$HO323</f>
        <v>#N/A</v>
      </c>
      <c r="IB323" s="218" t="e">
        <f t="shared" ca="1" si="986"/>
        <v>#N/A</v>
      </c>
      <c r="IC323" s="220" t="e">
        <f ca="1">Control!$C$153*$HT323</f>
        <v>#N/A</v>
      </c>
      <c r="ID323" s="218" t="e">
        <f t="shared" ca="1" si="987"/>
        <v>#N/A</v>
      </c>
      <c r="IE323" s="221" t="e">
        <f ca="1">($EB323*Control!$C$159+$EF323*Control!$C$160)/(IF($GZ323&lt;&gt;0,$GZ323,1))</f>
        <v>#N/A</v>
      </c>
      <c r="IF323" s="216" t="e">
        <f t="shared" ca="1" si="988"/>
        <v>#N/A</v>
      </c>
      <c r="IG323" s="91">
        <f ca="1">IF(OR(Control!$B$198=$AH323,Control!$B$199=$AH323, Control!$B$200=$AH323, Control!$B$201=$AH323, Control!$B$202=$AH323, Control!$B$203=$AH323, Control!$B$204=$AH323, Control!$B$205=$AH323, Control!$B$206=$AH323, Control!$B$207=$AH323), 1, 0)</f>
        <v>0</v>
      </c>
      <c r="IH323" s="91">
        <f ca="1">IF($IG323=0,0, VLOOKUP($AH323,Control!$B$198:$C$207,2))</f>
        <v>0</v>
      </c>
      <c r="II323" s="222">
        <f t="shared" ca="1" si="1104"/>
        <v>0</v>
      </c>
      <c r="IJ323" s="91">
        <f>Control!$C$121</f>
        <v>0.7</v>
      </c>
      <c r="IK323" s="218">
        <f t="shared" ca="1" si="989"/>
        <v>0</v>
      </c>
      <c r="IL323" s="217" t="e">
        <f t="shared" ca="1" si="1141"/>
        <v>#N/A</v>
      </c>
      <c r="IM323" s="223" t="e">
        <f ca="1">IF(AND(Control!$C$114=1,$KH323&lt;1),$EB323*Control!$C$148*(1-$KH323), 0)</f>
        <v>#N/A</v>
      </c>
      <c r="IN323" s="217" t="e">
        <f t="shared" ca="1" si="990"/>
        <v>#DIV/0!</v>
      </c>
      <c r="IO323" s="91" t="e">
        <f ca="1">MAX(0,$IL323-$EF323*Control!$C$160)</f>
        <v>#N/A</v>
      </c>
      <c r="IP323" s="220" t="e">
        <f t="shared" ca="1" si="991"/>
        <v>#N/A</v>
      </c>
      <c r="IQ323" s="217" t="e">
        <f t="shared" ca="1" si="1105"/>
        <v>#N/A</v>
      </c>
      <c r="IR323" s="218" t="e">
        <f t="shared" ca="1" si="992"/>
        <v>#N/A</v>
      </c>
      <c r="IS323" s="217" t="e">
        <f ca="1">Control!$C$159*MAX(0,$FD323-$EN323)</f>
        <v>#N/A</v>
      </c>
      <c r="IT323" s="217" t="e">
        <f t="shared" ca="1" si="1142"/>
        <v>#N/A</v>
      </c>
      <c r="IU323" s="217" t="e">
        <f t="shared" ca="1" si="1106"/>
        <v>#N/A</v>
      </c>
      <c r="IV323" s="217" t="e">
        <f t="shared" ca="1" si="1143"/>
        <v>#N/A</v>
      </c>
      <c r="IW323" s="217" t="e">
        <f ca="1">IF(OR($AW323=1,AND($AW323=0, Control!$B$18=1,$EN323&lt;&gt;0)), $IQ323-$IU323, $IQ323)</f>
        <v>#N/A</v>
      </c>
      <c r="IX323" s="218" t="e">
        <f t="shared" ca="1" si="993"/>
        <v>#N/A</v>
      </c>
      <c r="IY323" s="218" t="e">
        <f ca="1">MAX(0,$IQ323-$EB323*Control!$C$159)</f>
        <v>#N/A</v>
      </c>
      <c r="IZ323" s="218" t="e">
        <f t="shared" ca="1" si="994"/>
        <v>#N/A</v>
      </c>
      <c r="JA323" s="216" t="e">
        <f t="shared" ca="1" si="995"/>
        <v>#N/A</v>
      </c>
      <c r="JB323" s="217" t="e">
        <f t="shared" ca="1" si="996"/>
        <v>#N/A</v>
      </c>
      <c r="JC323" s="222" t="e">
        <f ca="1">MAX(Control!$C$157*$EK323-$JT323, 0)/Control!$C$162</f>
        <v>#N/A</v>
      </c>
      <c r="JD323" s="218" t="e">
        <f t="shared" ca="1" si="997"/>
        <v>#N/A</v>
      </c>
      <c r="JE323" s="218" t="e">
        <f t="shared" ca="1" si="998"/>
        <v>#N/A</v>
      </c>
      <c r="JF323" s="218" t="e">
        <f t="shared" ca="1" si="1107"/>
        <v>#N/A</v>
      </c>
      <c r="JG323" s="218" t="e">
        <f t="shared" ca="1" si="999"/>
        <v>#N/A</v>
      </c>
      <c r="JH323" s="217" t="e">
        <f t="shared" ca="1" si="1108"/>
        <v>#N/A</v>
      </c>
      <c r="JI323" s="217" t="e">
        <f t="shared" ca="1" si="1109"/>
        <v>#N/A</v>
      </c>
      <c r="JJ323" s="217" t="e">
        <f t="shared" ca="1" si="1144"/>
        <v>#N/A</v>
      </c>
      <c r="JK323" s="217" t="e">
        <f ca="1">IF(Control!$C$114=1,IF(Control!$B$24=0,MAX(0,$JI323)*$GN323/Control!$C$64,(MAX(0,MIN($JI323,$JJ323*$GN323/Control!$C$64),0))))</f>
        <v>#N/A</v>
      </c>
      <c r="JL323" s="217" t="e">
        <f ca="1">$IK323/Control!$C$64-$JK323+$HQ323</f>
        <v>#N/A</v>
      </c>
      <c r="JM323" s="217" t="e">
        <f ca="1">IF(Control!$C$114=1,($JB323/(IF($JI323&lt;&gt;0,$JI323,1)))*$JK323,0)</f>
        <v>#N/A</v>
      </c>
      <c r="JN323" s="217" t="e">
        <f ca="1">IF(Control!$C$114=1,($JG323/(IF($JI323&lt;&gt;0,$JI323,1)))*$JK323, 0)</f>
        <v>#N/A</v>
      </c>
      <c r="JO323" s="218" t="e">
        <f t="shared" ca="1" si="1000"/>
        <v>#N/A</v>
      </c>
      <c r="JP323" s="218" t="e">
        <f ca="1">MIN(($IY323+$IO323)*Control!$C$151, $JF323-$EH323*Control!$C$161)</f>
        <v>#N/A</v>
      </c>
      <c r="JQ323" s="218" t="e">
        <f t="shared" ca="1" si="1001"/>
        <v>#N/A</v>
      </c>
      <c r="JR323" s="217" t="e">
        <f ca="1">IF($CP323-Control!$C$150&lt;0, 0, $JQ323/Control!$C$162)</f>
        <v>#N/A</v>
      </c>
      <c r="JS323" s="218" t="e">
        <f t="shared" ca="1" si="1002"/>
        <v>#N/A</v>
      </c>
      <c r="JT323" s="218" t="e">
        <f t="shared" ca="1" si="1110"/>
        <v>#N/A</v>
      </c>
      <c r="JU323" s="218" t="e">
        <f t="shared" ca="1" si="1003"/>
        <v>#N/A</v>
      </c>
      <c r="JV323" s="218" t="e">
        <f t="shared" ca="1" si="1004"/>
        <v>#N/A</v>
      </c>
      <c r="JW323" s="216" t="e">
        <f t="shared" ca="1" si="1005"/>
        <v>#N/A</v>
      </c>
      <c r="JX323" s="91" t="e">
        <f t="shared" ca="1" si="1006"/>
        <v>#N/A</v>
      </c>
      <c r="JY323" s="218" t="e">
        <f t="shared" ca="1" si="1007"/>
        <v>#N/A</v>
      </c>
      <c r="JZ323" s="217" t="e">
        <f ca="1">IF(Control!$C$114=1,($IZ323/(IF($JI323&lt;&gt;0,$JI323,1)))*$JK323, 0)</f>
        <v>#N/A</v>
      </c>
      <c r="KA323" s="218" t="e">
        <f t="shared" ca="1" si="1145"/>
        <v>#N/A</v>
      </c>
      <c r="KB323" s="218" t="e">
        <f t="shared" ca="1" si="1111"/>
        <v>#N/A</v>
      </c>
      <c r="KC323" s="218" t="e">
        <f t="shared" ca="1" si="1008"/>
        <v>#N/A</v>
      </c>
      <c r="KD323" s="218" t="e">
        <f t="shared" ca="1" si="1009"/>
        <v>#N/A</v>
      </c>
      <c r="KE323" s="218" t="e">
        <f t="shared" ca="1" si="1010"/>
        <v>#N/A</v>
      </c>
      <c r="KF323" s="218" t="e">
        <f t="shared" ca="1" si="1011"/>
        <v>#N/A</v>
      </c>
      <c r="KG323" s="216" t="e">
        <f t="shared" ca="1" si="1012"/>
        <v>#N/A</v>
      </c>
      <c r="KH323" s="221" t="e">
        <f ca="1">IF(Control!$B$24=0,1,MAX(0.001,MIN(1,IF(($IF323-$IE323)&lt;&gt;0,($KG323-$IE323)/($IF323-$IE323),1))))</f>
        <v>#N/A</v>
      </c>
      <c r="KI323" s="222" t="e">
        <f ca="1">IF(Control!$C$114=1, $KI322+ $KH322, 0)</f>
        <v>#N/A</v>
      </c>
      <c r="KJ323" s="217" t="e">
        <f t="shared" ca="1" si="1013"/>
        <v>#N/A</v>
      </c>
      <c r="KK323" s="218" t="e">
        <f t="shared" ca="1" si="1014"/>
        <v>#N/A</v>
      </c>
      <c r="KL323" s="274" t="e">
        <f ca="1">IF(Control!$B$26=3,4000000000*EXP(-8400/($G323+273)),IF(Control!$B$26=4,4000000000*EXP(-8400/($G323+273))*($KT323),0))</f>
        <v>#DIV/0!</v>
      </c>
      <c r="KM323" s="274" t="e">
        <f ca="1">IF(Control!$B$26=3,5600000000000*EXP(-9800/($G323+273)),IF(Control!$B$26=4,5600000000000*EXP(-9800/($G323+273))*$KT323,0))</f>
        <v>#DIV/0!</v>
      </c>
      <c r="KN323" s="454" t="e">
        <f t="shared" ca="1" si="1112"/>
        <v>#DIV/0!</v>
      </c>
      <c r="KO323" s="274" t="e">
        <f t="shared" ca="1" si="1113"/>
        <v>#DIV/0!</v>
      </c>
      <c r="KP323" s="454" t="e">
        <f t="shared" ca="1" si="1015"/>
        <v>#DIV/0!</v>
      </c>
      <c r="KQ323" s="454" t="e">
        <f t="shared" ca="1" si="1016"/>
        <v>#DIV/0!</v>
      </c>
      <c r="KR323" s="454" t="e">
        <f t="shared" ca="1" si="1017"/>
        <v>#DIV/0!</v>
      </c>
      <c r="KS323" s="454" t="e">
        <f t="shared" ca="1" si="1018"/>
        <v>#DIV/0!</v>
      </c>
      <c r="KT323" s="455" t="e">
        <f t="shared" ca="1" si="1019"/>
        <v>#DIV/0!</v>
      </c>
      <c r="KU323" s="456" t="e">
        <f ca="1">IF($CP323-Control!$C$149&lt;0, IF($NT323-0.01&lt;0,0,1),0)</f>
        <v>#N/A</v>
      </c>
      <c r="KV323" s="456" t="e">
        <f ca="1">IF(Control!$C$114=1,MAX(0,MIN(Control!$C$125*$KW323*$GN323,$KW323)))</f>
        <v>#DIV/0!</v>
      </c>
      <c r="KW323" s="456" t="e">
        <f t="shared" ca="1" si="1146"/>
        <v>#DIV/0!</v>
      </c>
      <c r="KX323" s="457" t="e">
        <f ca="1">IF($CP323-Control!$C$149&lt;0, IF($MR323-$OM323&lt;0,0,1),0)</f>
        <v>#N/A</v>
      </c>
      <c r="KY323" s="167">
        <f t="shared" ca="1" si="1114"/>
        <v>319</v>
      </c>
      <c r="KZ323" s="168">
        <f ca="1">1370*(1+0.033*COS(2*Control!$C$138*$AH323/365))</f>
        <v>1401.7616802547914</v>
      </c>
      <c r="LA323" s="169">
        <f t="shared" ca="1" si="1115"/>
        <v>1.0231834066475822</v>
      </c>
      <c r="LB323" s="169">
        <f t="shared" ca="1" si="1116"/>
        <v>-0.33498815554618733</v>
      </c>
      <c r="LC323" s="169">
        <f ca="1">ACOS(-TAN((2*Control!$B$8/360))*TAN(Calculations!$LB323))</f>
        <v>1.4671521280610944</v>
      </c>
      <c r="LD323" s="169">
        <f ca="1">((24*60)/PI())*0.082*$LA323*(($LC323*SIN(Control!$B$8*2*PI()/360))*SIN($LB323)+COS(Control!$B$8*2*PI()/360)*COS($LB323)*SIN($LC323))</f>
        <v>7.6234795250241101</v>
      </c>
      <c r="LE323" s="170">
        <f t="shared" ca="1" si="1020"/>
        <v>9.0516236526533831</v>
      </c>
      <c r="LF323" s="170">
        <f ca="1">SIN(Control!$C$139*Control!$B$8)*SIN($HD323)</f>
        <v>-0.25527832284806251</v>
      </c>
      <c r="LG323" s="170">
        <f ca="1">COS(Control!$C$139*Control!$B$8)*COS($HD323)</f>
        <v>0.58245937154425187</v>
      </c>
      <c r="LH323" s="170">
        <f ca="1">12*(1+2*ASIN(MAX(-1,MIN(1,$LF323/$LG323))/Control!$C$138))</f>
        <v>8.6408643141447197</v>
      </c>
      <c r="LI323" s="170">
        <f ca="1">12*(1+2*ASIN(MAX(-1,MIN(1,(-SIN(-4*Control!$C$139)+$LF323)/$LG323))/Control!$C$138))</f>
        <v>9.5625470144649061</v>
      </c>
      <c r="LJ323" s="168">
        <f ca="1">3600*($LH323*$LF323+24*$LG323*SQRT(1-$LK323*$LK323)/Control!$C$138)</f>
        <v>6457.3199425797648</v>
      </c>
      <c r="LK323" s="170">
        <f t="shared" ca="1" si="1021"/>
        <v>-0.4382766169102113</v>
      </c>
      <c r="LL323" s="170">
        <f t="shared" ca="1" si="1022"/>
        <v>0</v>
      </c>
      <c r="LM323" s="171">
        <f ca="1">Control!$C$145*$AB323</f>
        <v>6.6660906138995932E-2</v>
      </c>
      <c r="LN323" s="170">
        <f t="shared" ca="1" si="1117"/>
        <v>0.54</v>
      </c>
      <c r="LO323" s="170">
        <f t="shared" ca="1" si="1023"/>
        <v>0</v>
      </c>
      <c r="LP323" s="170">
        <f ca="1">Control!$C$140*((($D323+273.16)^4+($E323+273.16)^4)/2)*(0.34-0.14*SQRT($Y323))*(1.35*$AQ323/(0.75*$LD323)-0.35)</f>
        <v>-3.2464704755046001</v>
      </c>
      <c r="LQ323" s="170">
        <f ca="1">Control!$C$140*($G323+273)^4*(0.56-0.079*SQRT($Y323*10))*(0.1+0.9*$LO323)</f>
        <v>1.5241745131704001</v>
      </c>
      <c r="LR323" s="170">
        <f ca="1">$AQ323*(1-Control!$C$142)-$LQ323</f>
        <v>-1.5241745131704001</v>
      </c>
      <c r="LS323" s="170">
        <f ca="1">$AQ323*(1-Control!$C$143)-$LQ323</f>
        <v>-1.5241745131704001</v>
      </c>
      <c r="LT323" s="170">
        <f ca="1">$AQ323*(1-Control!$C$144)-$LQ323</f>
        <v>-1.5241745131704001</v>
      </c>
      <c r="LU323" s="169">
        <f ca="1">(1-Control!$C$144)*AQ323-LP323</f>
        <v>3.2464704755046001</v>
      </c>
      <c r="LV323" s="172">
        <f t="shared" ca="1" si="1024"/>
        <v>0.79430000000000012</v>
      </c>
      <c r="LW323" s="170">
        <f t="shared" ca="1" si="1025"/>
        <v>1.5886000000000002</v>
      </c>
      <c r="LX323" s="170">
        <f ca="1">($AC323*($LR323/Control!$C$141)+$LM323*$LV323)/($AC323+$LM323)</f>
        <v>0.23530094218323697</v>
      </c>
      <c r="LY323" s="170">
        <f ca="1">($AC323*($LS323/Control!$C$141)+$LM323*$LV323)/($AC323+$LM323)</f>
        <v>0.23530094218323697</v>
      </c>
      <c r="LZ323" s="170">
        <f t="shared" ca="1" si="1026"/>
        <v>0.23530094218323697</v>
      </c>
      <c r="MA323" s="170">
        <f t="shared" ca="1" si="1027"/>
        <v>0.23530094218323697</v>
      </c>
      <c r="MB323" s="170" t="e">
        <f t="shared" ca="1" si="1028"/>
        <v>#N/A</v>
      </c>
      <c r="MC323" s="170">
        <f t="shared" ca="1" si="1118"/>
        <v>0.6018</v>
      </c>
      <c r="MD323" s="170">
        <f t="shared" ca="1" si="1029"/>
        <v>0.52989392535414004</v>
      </c>
      <c r="ME323" s="170">
        <f ca="1">($AC323*($LT323/Control!$C$141)+$LM323*$LW323)/($AC323+$LM323)</f>
        <v>0.71612369323045078</v>
      </c>
      <c r="MF323" s="170" t="e">
        <f ca="1">IF(Control!$B$16&gt;=1000,0.92,IF(AND(720&lt;=Control!$B$16,1000&gt;Control!$B$16),(0.95+(Control!$B$16-720)*((0.92-0.95)/(1000-720))),IF(AND(360&lt;=Control!$B$16,720&gt;Control!$B$16),(1+(Control!$B$16-360)*((0.95-1)/(720-360))),IF(AND(40&lt;=Control!$B$16,360&gt;Control!$B$16),(1.05+(Control!$B$16-40)*((1.05-1)/(360-40)))))))</f>
        <v>#N/A</v>
      </c>
      <c r="MG323" s="170">
        <f t="shared" ca="1" si="1030"/>
        <v>0.71612369323045078</v>
      </c>
      <c r="MH323" s="170" t="e">
        <f t="shared" ca="1" si="1157"/>
        <v>#N/A</v>
      </c>
      <c r="MI323" s="170" t="e">
        <f t="shared" ca="1" si="1157"/>
        <v>#N/A</v>
      </c>
      <c r="MJ323" s="170" t="e">
        <f ca="1">MAX(0.0001, Control!$C$132*$MI323*$DL323)</f>
        <v>#N/A</v>
      </c>
      <c r="MK323" s="170">
        <f ca="1">1/(0.76+1.5*($MG323/10))-(5-Control!$C$110)*0.1</f>
        <v>1.002845988140797</v>
      </c>
      <c r="ML323" s="173">
        <f ca="1">IF(Control!$C$110&lt;3,$MK323+($MG323-0.6)/(Control!$C$110*(Control!$C$110+3)), MAX(0.1, MIN(0.95,$MK323)))</f>
        <v>0.95</v>
      </c>
      <c r="MM323" s="173">
        <f ca="1">IF(Control!$C$110&lt;3,$MK323+(($MI323/10)-0.6)/(Control!$C$110*(Control!$C$110+3)), MAX(0.1, MIN(0.95,$MK323)))</f>
        <v>0.95</v>
      </c>
      <c r="MN323" s="173">
        <f ca="1">(1-$MM323)*(Control!$C$128-Control!$C$127)+Control!$C$127</f>
        <v>0.16</v>
      </c>
      <c r="MO323" s="170" t="e">
        <f ca="1">MAX(0,MIN(1,($MS323-Control!$C$127)/($MN323-Control!$C$127)))</f>
        <v>#DIV/0!</v>
      </c>
      <c r="MP323" s="173" t="e">
        <f ca="1">1/(0.76+1.5*$MI323)-(5-Control!$C$110)*0.1</f>
        <v>#N/A</v>
      </c>
      <c r="MQ323" s="172" t="e">
        <f t="shared" ca="1" si="1147"/>
        <v>#DIV/0!</v>
      </c>
      <c r="MR323" s="168" t="e">
        <f t="shared" ca="1" si="1119"/>
        <v>#DIV/0!</v>
      </c>
      <c r="MS323" s="173" t="e">
        <f ca="1">MAX(Control!$C$127, MIN(Control!$C$135, $MR323/MAX(0.0001,$CY323)))</f>
        <v>#DIV/0!</v>
      </c>
      <c r="MT323" s="168" t="e">
        <f ca="1">(Control!$C$128-$MS323)*Control!$C$74</f>
        <v>#DIV/0!</v>
      </c>
      <c r="MU323" s="168" t="e">
        <f ca="1">(Control!$C$135-$MS323)*Control!$C$74</f>
        <v>#DIV/0!</v>
      </c>
      <c r="MV323" s="168" t="e">
        <f t="shared" ca="1" si="1120"/>
        <v>#DIV/0!</v>
      </c>
      <c r="MW323" s="168" t="e">
        <f t="shared" ca="1" si="1121"/>
        <v>#DIV/0!</v>
      </c>
      <c r="MX323" s="171" t="e">
        <f ca="1">MAX(Control!$C$127, MIN(Control!$C$135, $MW323/MAX(0.0001,Control!$C$119-$CY323)))</f>
        <v>#DIV/0!</v>
      </c>
      <c r="MY323" s="54" t="e">
        <f ca="1">IF(Control!$C$114=1, $CX323*$MX323, 0)</f>
        <v>#DIV/0!</v>
      </c>
      <c r="MZ323" s="54" t="e">
        <f t="shared" ca="1" si="1122"/>
        <v>#N/A</v>
      </c>
      <c r="NA323" s="168" t="e">
        <f ca="1">(Control!$C$128-$MX323)*(Control!$C$119-Control!$C$74)</f>
        <v>#DIV/0!</v>
      </c>
      <c r="NB323" s="168" t="e">
        <f ca="1">(Control!$C$135-$MX323)*(Control!$C$119-Control!$C$74)</f>
        <v>#DIV/0!</v>
      </c>
      <c r="NC323" s="174" t="e">
        <f t="shared" ca="1" si="1123"/>
        <v>#DIV/0!</v>
      </c>
      <c r="ND323" s="54">
        <f ca="1">IF(Control!$C$58=2, IF(OR(Control!$B$218=$AH323,Control!$B$219=$AH323, Control!$B$220=$AH323, Control!$B$221=$AH323, Control!$B$222=$AH323, Control!$B$223=$AH323, Control!$B$224=$AH323, Control!$B$225=$AH323, Control!$B$226=$AH323, Control!$B$227=$AH323, Control!$B$228=$AH323), 1, 0), 0)</f>
        <v>0</v>
      </c>
      <c r="NE323" s="54">
        <f ca="1">IF($ND323=0,0, VLOOKUP($AH323,Control!$B$218:$C$228,2))</f>
        <v>0</v>
      </c>
      <c r="NF323" s="168" t="e">
        <f ca="1">$CY323*(Control!$C$128-Control!$C$127)</f>
        <v>#N/A</v>
      </c>
      <c r="NG323" s="54" t="e">
        <f ca="1">IF(Control!$C$58=2, $NI322-$NJ322, 0)</f>
        <v>#DIV/0!</v>
      </c>
      <c r="NH323" s="54" t="e">
        <f ca="1">IF(AND(Control!$C$58=1, $MS322&lt;= ($MN322+0.02), $I322&lt;10), 0, IF(Control!$C$58=2, $NG322, 0))</f>
        <v>#DIV/0!</v>
      </c>
      <c r="NI323" s="54" t="e">
        <f ca="1">IF(Control!$C$58=2, $NE323+$NH323,0)</f>
        <v>#DIV/0!</v>
      </c>
      <c r="NJ323" s="54" t="e">
        <f ca="1">IF(AND(Control!$C$58=1, $MS323&lt;= ($MN323+0.02), $I323&lt;10), MAX(0, MIN(10, 0.7*($NF323-$MV323))), IF(Control!$C$58=2, MIN(10,$NI323),0))</f>
        <v>#DIV/0!</v>
      </c>
      <c r="NK323" s="54" t="e">
        <f t="shared" ca="1" si="1031"/>
        <v>#DIV/0!</v>
      </c>
      <c r="NL323" s="173" t="e">
        <f ca="1">(1-Control!$C$73)*$I323+$NJ323</f>
        <v>#DIV/0!</v>
      </c>
      <c r="NM323" s="172" t="e">
        <f ca="1">IF($NL323&lt;0.5, $MB323* MAX(0, MIN(1, (SQRT($NC323)-SQRT($NC323-1))*Control!$C$71)),0)</f>
        <v>#DIV/0!</v>
      </c>
      <c r="NN323" s="170" t="e">
        <f ca="1">IF($NL323&gt;=5, $MB323, MAX(0,MIN($MB323, $NM323+$NL323,($MS323-Control!$C$129))))</f>
        <v>#DIV/0!</v>
      </c>
      <c r="NO323" s="54">
        <f>IF(Control!$C$133&lt;&gt;1, Control!$C$135-Control!$C$131, 0)</f>
        <v>0.38</v>
      </c>
      <c r="NP323" s="54" t="e">
        <f t="shared" ca="1" si="1032"/>
        <v>#DIV/0!</v>
      </c>
      <c r="NQ323" s="173" t="e">
        <f ca="1">MAX(0,MIN(1,(Control!$C$135-$MS323)/(Control!$C$135-$NO323)))</f>
        <v>#DIV/0!</v>
      </c>
      <c r="NR323" s="170" t="e">
        <f ca="1">IF(Control!$C$133&lt;&gt;1, $NQ323+((1-$NP323/4)*(1-$NQ323)),1)</f>
        <v>#DIV/0!</v>
      </c>
      <c r="NS323" s="170" t="e">
        <f ca="1">IF(Control!$B$31=0,$MJ323,MAX(0,MIN($MV323,$MO323*$NR323*$MJ323)))</f>
        <v>#DIV/0!</v>
      </c>
      <c r="NT323" s="170" t="e">
        <f t="shared" ca="1" si="1148"/>
        <v>#DIV/0!</v>
      </c>
      <c r="NU323" s="170" t="e">
        <f t="shared" ca="1" si="1124"/>
        <v>#N/A</v>
      </c>
      <c r="NV323" s="170" t="e">
        <f t="shared" ca="1" si="1033"/>
        <v>#N/A</v>
      </c>
      <c r="NW323" s="175" t="e">
        <f t="shared" ca="1" si="1034"/>
        <v>#DIV/0!</v>
      </c>
      <c r="NX323" s="170" t="e">
        <f ca="1">MIN(Control!$C$72+$MU323, $NW323)</f>
        <v>#DIV/0!</v>
      </c>
      <c r="NY323" s="170" t="e">
        <f ca="1">IF($MT323&lt;=$NX323,MIN(Control!$C$72+$NB323,$NX323-$MT323),0)</f>
        <v>#DIV/0!</v>
      </c>
      <c r="NZ323" s="54" t="e">
        <f ca="1">IF(Control!$C$114=1,  $CX323*($MX323-Control!$C$127), 0)</f>
        <v>#DIV/0!</v>
      </c>
      <c r="OA323" s="170" t="e">
        <f t="shared" ca="1" si="1035"/>
        <v>#DIV/0!</v>
      </c>
      <c r="OB323" s="170" t="e">
        <f ca="1">IF($NA323 &lt;=$NY323, MIN(Control!$C$72, $NY323-$NA323), 0)</f>
        <v>#DIV/0!</v>
      </c>
      <c r="OC323" s="168" t="e">
        <f t="shared" ca="1" si="1036"/>
        <v>#DIV/0!</v>
      </c>
      <c r="OD323" s="168" t="e">
        <f t="shared" ca="1" si="1125"/>
        <v>#DIV/0!</v>
      </c>
      <c r="OE323" s="170">
        <f ca="1">Control!$C$73*$I323</f>
        <v>0</v>
      </c>
      <c r="OF323" s="176" t="e">
        <f t="shared" ca="1" si="1037"/>
        <v>#DIV/0!</v>
      </c>
      <c r="OG323" s="168" t="e">
        <f t="shared" ca="1" si="1038"/>
        <v>#DIV/0!</v>
      </c>
      <c r="OH323" s="168" t="e">
        <f t="shared" ca="1" si="1039"/>
        <v>#DIV/0!</v>
      </c>
      <c r="OI323" s="168" t="e">
        <f t="shared" ca="1" si="1040"/>
        <v>#DIV/0!</v>
      </c>
      <c r="OJ323" s="168" t="e">
        <f t="shared" ca="1" si="1041"/>
        <v>#DIV/0!</v>
      </c>
      <c r="OK323" s="204" t="e">
        <f t="shared" ca="1" si="1042"/>
        <v>#DIV/0!</v>
      </c>
      <c r="OL323" s="177">
        <f>Control!$C$127</f>
        <v>0.15</v>
      </c>
      <c r="OM323" s="182" t="e">
        <f t="shared" ca="1" si="1043"/>
        <v>#N/A</v>
      </c>
      <c r="ON323" s="177">
        <f>Control!$C$128</f>
        <v>0.35</v>
      </c>
      <c r="OO323" s="182" t="e">
        <f t="shared" ca="1" si="1044"/>
        <v>#N/A</v>
      </c>
      <c r="OP323" s="138">
        <f t="shared" ca="1" si="1126"/>
        <v>0</v>
      </c>
      <c r="OQ323" s="138" t="e">
        <f t="shared" ca="1" si="1149"/>
        <v>#DIV/0!</v>
      </c>
      <c r="OR323" s="138" t="e">
        <f t="shared" ca="1" si="1127"/>
        <v>#DIV/0!</v>
      </c>
      <c r="OS323" s="137" t="e">
        <f t="shared" ca="1" si="1150"/>
        <v>#DIV/0!</v>
      </c>
      <c r="OT323" s="139" t="e">
        <f t="shared" ca="1" si="1151"/>
        <v>#DIV/0!</v>
      </c>
      <c r="OU323" s="138" t="e">
        <f t="shared" ca="1" si="1152"/>
        <v>#N/A</v>
      </c>
      <c r="OV323" s="138" t="e">
        <f t="shared" ca="1" si="1153"/>
        <v>#DIV/0!</v>
      </c>
      <c r="OW323" s="138" t="e">
        <f t="shared" ca="1" si="1128"/>
        <v>#DIV/0!</v>
      </c>
      <c r="OX323" s="138" t="e">
        <f t="shared" ca="1" si="1129"/>
        <v>#DIV/0!</v>
      </c>
      <c r="OY323" s="138" t="e">
        <f t="shared" ca="1" si="1130"/>
        <v>#DIV/0!</v>
      </c>
      <c r="OZ323" s="138" t="e">
        <f t="shared" ca="1" si="1045"/>
        <v>#DIV/0!</v>
      </c>
      <c r="PA323" s="138" t="e">
        <f t="shared" ca="1" si="1046"/>
        <v>#DIV/0!</v>
      </c>
      <c r="PB323" s="55">
        <f>IF(Control!$C$61="T", IF(Control!$C$65="F", IF($AH$6-Control!$C$60&lt;0,0,1), IF(365+$AH$6-Control!$C$60&lt;0,0,1)),0)</f>
        <v>0</v>
      </c>
      <c r="PC323" s="55">
        <f ca="1">IF(Control!$C$65="F", IF($AH$6-$HF323&lt;0,0,1), IF(365+$AH$6-$HF323&lt;0,0,1))</f>
        <v>1</v>
      </c>
      <c r="PD323" s="444">
        <f>Control!$C$118</f>
        <v>1500</v>
      </c>
      <c r="PE323" s="180" t="e">
        <f t="shared" ca="1" si="1047"/>
        <v>#N/A</v>
      </c>
      <c r="PF323" s="445">
        <f t="shared" ca="1" si="1131"/>
        <v>0.71612369323045078</v>
      </c>
      <c r="PT323" s="186"/>
      <c r="PU323" s="186"/>
      <c r="PV323" s="94"/>
      <c r="PW323" s="94"/>
      <c r="PX323" s="94"/>
      <c r="PY323" s="94"/>
      <c r="PZ323" s="94"/>
      <c r="QA323" s="94"/>
      <c r="QB323" s="94"/>
      <c r="QC323" s="94"/>
      <c r="QD323" s="94"/>
      <c r="QE323" s="94"/>
      <c r="QF323" s="94"/>
      <c r="QG323" s="94"/>
      <c r="QH323" s="94"/>
      <c r="QI323" s="94"/>
      <c r="QJ323" s="94"/>
      <c r="QK323" s="94"/>
      <c r="QL323" s="94"/>
      <c r="QM323" s="94"/>
      <c r="QN323" s="94"/>
      <c r="QO323" s="94"/>
      <c r="QP323" s="94"/>
    </row>
    <row r="324" spans="1:458" s="2" customFormat="1" x14ac:dyDescent="0.2">
      <c r="A324" s="395">
        <v>15</v>
      </c>
      <c r="B324" s="396">
        <v>11</v>
      </c>
      <c r="C324" s="387">
        <f ca="1">Weather_data!$B323</f>
        <v>0</v>
      </c>
      <c r="D324" s="388">
        <f ca="1">Weather_data!$F323</f>
        <v>0</v>
      </c>
      <c r="E324" s="388">
        <f ca="1">Weather_data!$E323</f>
        <v>0</v>
      </c>
      <c r="F324" s="388">
        <f t="shared" ca="1" si="1048"/>
        <v>0</v>
      </c>
      <c r="G324" s="388">
        <f ca="1">AVERAGE($D324:$E324)+Control!$B$9</f>
        <v>0</v>
      </c>
      <c r="H324" s="388">
        <f ca="1">Weather_data!$G323</f>
        <v>0</v>
      </c>
      <c r="I324" s="388">
        <f ca="1">Weather_data!$I323</f>
        <v>0</v>
      </c>
      <c r="J324" s="388">
        <f ca="1">Weather_data!$H323</f>
        <v>0</v>
      </c>
      <c r="K324" s="389">
        <f ca="1">Weather_data!$D323</f>
        <v>0</v>
      </c>
      <c r="L324" s="388" t="e">
        <f t="shared" ca="1" si="1049"/>
        <v>#N/A</v>
      </c>
      <c r="M324" s="388" t="e">
        <f t="shared" ca="1" si="927"/>
        <v>#N/A</v>
      </c>
      <c r="N324" s="388">
        <f t="shared" ca="1" si="928"/>
        <v>-1.4063324764376549E-15</v>
      </c>
      <c r="O324" s="388">
        <f t="shared" ca="1" si="1050"/>
        <v>1.4063324764376548E-14</v>
      </c>
      <c r="P324" s="390">
        <v>3</v>
      </c>
      <c r="Q324" s="388">
        <f ca="1">MAX($G324-Control!$C$107,0)</f>
        <v>0</v>
      </c>
      <c r="R324" s="388">
        <f t="shared" ca="1" si="1051"/>
        <v>0</v>
      </c>
      <c r="S324" s="388">
        <f t="shared" ca="1" si="929"/>
        <v>0</v>
      </c>
      <c r="T324" s="388">
        <f t="shared" ca="1" si="930"/>
        <v>0</v>
      </c>
      <c r="U324" s="59">
        <f t="shared" ca="1" si="931"/>
        <v>0</v>
      </c>
      <c r="V324" s="391">
        <f ca="1">MAX(0,MIN(Control!$C$100-Control!$C$99,$G324-Control!$C$99)*Control!$C$63)</f>
        <v>0</v>
      </c>
      <c r="W324" s="388">
        <f t="shared" ca="1" si="1052"/>
        <v>0</v>
      </c>
      <c r="X324" s="388">
        <f t="shared" ca="1" si="1053"/>
        <v>0.6110000000000001</v>
      </c>
      <c r="Y324" s="388">
        <f t="shared" ca="1" si="932"/>
        <v>0</v>
      </c>
      <c r="Z324" s="388">
        <f t="shared" ca="1" si="1054"/>
        <v>0.61058800000000002</v>
      </c>
      <c r="AA324" s="388">
        <f t="shared" ca="1" si="933"/>
        <v>0.6018</v>
      </c>
      <c r="AB324" s="388">
        <f ca="1">101.3*EXP(-0.034*Control!$C$66/($G324+273))</f>
        <v>100.69623283836242</v>
      </c>
      <c r="AC324" s="392">
        <f t="shared" ca="1" si="934"/>
        <v>4.3460251046025113E-2</v>
      </c>
      <c r="AD324" s="392">
        <f t="shared" ca="1" si="935"/>
        <v>4.4450382862832649E-2</v>
      </c>
      <c r="AE324" s="388">
        <f t="shared" ca="1" si="936"/>
        <v>0</v>
      </c>
      <c r="AF324" s="388">
        <f ca="1">MAX(0,$G324-Control!$C$92)</f>
        <v>0</v>
      </c>
      <c r="AG324" s="393">
        <f t="shared" ca="1" si="937"/>
        <v>320</v>
      </c>
      <c r="AH324" s="389">
        <f t="shared" ca="1" si="938"/>
        <v>320</v>
      </c>
      <c r="AI324" s="388">
        <f t="shared" ca="1" si="1055"/>
        <v>-0.33406155871846166</v>
      </c>
      <c r="AJ324" s="388">
        <f ca="1">IF(Control!$C$60&lt;=0,$HH324,$HI324)</f>
        <v>1</v>
      </c>
      <c r="AK324" s="388">
        <f t="shared" ca="1" si="939"/>
        <v>4.1314095170495904</v>
      </c>
      <c r="AL324" s="388">
        <f t="shared" ca="1" si="940"/>
        <v>-5.4102555768764656E-18</v>
      </c>
      <c r="AM324" s="388">
        <f t="shared" ca="1" si="941"/>
        <v>4.1314095170495904</v>
      </c>
      <c r="AN324" s="388">
        <f t="shared" ca="1" si="942"/>
        <v>-0.33898619943326724</v>
      </c>
      <c r="AO324" s="388">
        <f ca="1">-0.10453/COS(Control!$B$8*PI()/180)*COS(AN324)</f>
        <v>-0.16012279308581129</v>
      </c>
      <c r="AP324" s="388">
        <f ca="1">ACOS(AO324-TAN(Control!$B$8*PI()/180)*TAN(AN324))</f>
        <v>1.275335946450036</v>
      </c>
      <c r="AQ324" s="388">
        <f t="shared" ca="1" si="1056"/>
        <v>0</v>
      </c>
      <c r="AR324" s="394">
        <f t="shared" ca="1" si="943"/>
        <v>0</v>
      </c>
      <c r="AS324" s="436">
        <f ca="1">IF(Control!$B$18=2,(IF(OR($AH324=Control!$B$175,$AH324=Control!$B$176,$AH324=Control!$B$177,$AH324=Control!$B$178,$AH324=Control!$B$179,$AH324=Control!$B$180,$AH324=Control!$B$181,$AH324=Control!$B$182,$AH324=Control!$B$183,$AH324=Control!$B$184,$AH324=Control!$B$185),1,0)),0)</f>
        <v>0</v>
      </c>
      <c r="AT324" s="436">
        <f>IF(Control!$B$20=8,IF(AND($AH324&gt;=Control!$B$172,$AH324&lt;=Control!$B$173),1,0),0)</f>
        <v>0</v>
      </c>
      <c r="AU324" s="436">
        <f>IF(Control!$B$20=8,IF($AV323=1,1*$AT324,IF($AT324=1,$AU323+1,$AU323)),0)</f>
        <v>0</v>
      </c>
      <c r="AV324" s="436">
        <f>IF(Control!$B$20=8,IF($AU324&gt;=Control!$B$174,1,0),0)</f>
        <v>0</v>
      </c>
      <c r="AW324" s="436">
        <f ca="1">IF(AND(Control!$B$18=2,Control!$B$171=1), $AV324, $AS324)</f>
        <v>0</v>
      </c>
      <c r="AX324" s="436" t="e">
        <f ca="1">IF(AND(Control!$B$18=1,$EU324&gt;=Control!$B$19),-$AY324,IF(AND(Control!$B$18=2,$AW324=1,$EU324&gt;$DS324),-$AY324, IF(Control!$C$108=0,0, IF(Control!$C$108&lt;&gt;0,1))))</f>
        <v>#N/A</v>
      </c>
      <c r="AY324" s="436" t="e">
        <f t="shared" ca="1" si="1057"/>
        <v>#N/A</v>
      </c>
      <c r="AZ324" s="436" t="e">
        <f ca="1">IF(AND(Control!$B$18=1,$EB324&gt;Control!$B$19),$AZ323+1, IF(AND(Control!$B$18=2, $AW324=1, $EB324&gt;$DS324), $AZ323+1,$AZ323))</f>
        <v>#N/A</v>
      </c>
      <c r="BA324" s="587">
        <f>IF(Control!$C$81=0,1,IF($AH324&gt;=Control!$C$82,1,0))</f>
        <v>1</v>
      </c>
      <c r="BB324" s="140" t="e">
        <f ca="1">IF($BA324&gt;$BA323,Control!$C$83,IF($AW324&gt;0,$AW324*Control!$C$84,IF(AND(Control!$B$18=1,EN323&lt;&gt;0),Control!$C$84,0)))</f>
        <v>#N/A</v>
      </c>
      <c r="BC324" s="140" t="e">
        <f t="shared" ca="1" si="1058"/>
        <v>#N/A</v>
      </c>
      <c r="BD324" s="140" t="e">
        <f ca="1">BC324*IF(OR($G324&lt;Control!$C$92,$G324&gt;Control!$C$95),0,IF(AND($G324&gt;=Control!$C$92,$G324&lt;=Control!$C$93),$G324-Control!$C$92,IF(AND($G324&gt;Control!$C$93,$G324&lt;=Control!$C$94),Control!$C$93-Control!$C$92,IF(AND($G324&gt;Control!$C$94,$G324&lt;=Control!$C$95),(Control!$C$93-Control!$C$92)*(Control!$C$94-$G324)/(Control!$C$95-Control!$C$94)))))</f>
        <v>#N/A</v>
      </c>
      <c r="BE324" s="140" t="e">
        <f t="shared" ca="1" si="1059"/>
        <v>#N/A</v>
      </c>
      <c r="BF324" s="140" t="e">
        <f ca="1">IF($BE324&lt;=Control!$C$86,$BE324,Control!$C$86-$BE324)</f>
        <v>#N/A</v>
      </c>
      <c r="BG324" s="140" t="e">
        <f ca="1">IF(AND($AW324=1,Control!$C$84&lt;9),1,IF($BE324&gt;=Control!$C$86,0,$BC324))</f>
        <v>#N/A</v>
      </c>
      <c r="BH324" s="404" t="e">
        <f ca="1">IF($BG324=0,0,IF($BE324&lt;=Control!$C$86,$BC324*9*($BF324/Control!$C$86),0))</f>
        <v>#N/A</v>
      </c>
      <c r="BI324" s="140" t="e">
        <f ca="1">IF($BG324=1,0,IF($BE324&gt;=Control!$C$86,1,IF(AND($BB324&lt;21,$BB324&gt;=9),1,$BM323)))</f>
        <v>#N/A</v>
      </c>
      <c r="BJ324" s="140" t="e">
        <f ca="1">IF($BF324&lt;0,-$BF324,$BI324*IF(OR($G324&lt;Control!$C$92,$G324&gt;Control!$C$95),0,IF(AND($G324&gt;=Control!$C$92,$G324&lt;=Control!$C$93),$G324-Control!$C$92,IF(AND($G324&gt;Control!$C$93,$G324&lt;=Control!$C$94),Control!$C$93-Control!$C$92,IF(AND($G324&gt;Control!$C$94,$G324&lt;=Control!$C$95),(Control!$C$93-Control!$C$92)*(Control!$C$94-$G324)/(Control!$C$95-Control!$C$94))))))</f>
        <v>#N/A</v>
      </c>
      <c r="BK324" s="140" t="e">
        <f t="shared" ca="1" si="1060"/>
        <v>#N/A</v>
      </c>
      <c r="BL324" s="140" t="e">
        <f ca="1">IF($BK324&lt;=Control!$C$87,$BK324,Control!$C$87-$BK324)</f>
        <v>#N/A</v>
      </c>
      <c r="BM324" s="140" t="e">
        <f ca="1">IF(AND($BB324&gt;=9,$BB324&lt;21),1,IF($BK324&gt;=Control!$C$87,0,$BI324))</f>
        <v>#N/A</v>
      </c>
      <c r="BN324" s="404" t="e">
        <f ca="1">IF($BM324=0,0,IF($BK324&lt;=Control!$C$87,$BI324*(9+(21-9)*($BL324/Control!$C$87)),0))</f>
        <v>#N/A</v>
      </c>
      <c r="BO324" s="140" t="e">
        <f ca="1">IF($BM324=1,0,IF($BK324&gt;=Control!$C$87,1,IF(AND($BB324&lt;30,$BB324&gt;=21),1,$BS323)))</f>
        <v>#N/A</v>
      </c>
      <c r="BP324" s="140" t="e">
        <f ca="1">IF($BL324&lt;0,-$BL324,$BO324*IF(OR($G324&lt;Control!$C$92,$G324&gt;Control!$C$95),0,IF(AND($G324&gt;=Control!$C$92,$G324&lt;=Control!$C$93),$G324-Control!$C$92,IF(AND($G324&gt;Control!$C$93,$G324&lt;=Control!$C$94),Control!$C$93-Control!$C$92,IF(AND($G324&gt;Control!$C$94,$G324&lt;=Control!$C$95),(Control!$C$93-Control!$C$92)*(Control!$C$94-$G324)/(Control!$C$95-Control!$C$94))))))</f>
        <v>#N/A</v>
      </c>
      <c r="BQ324" s="140" t="e">
        <f t="shared" ca="1" si="944"/>
        <v>#N/A</v>
      </c>
      <c r="BR324" s="140" t="e">
        <f ca="1">IF($BQ324&lt;=Control!$C$88,$BQ324,Control!$C$88-$BQ324)</f>
        <v>#N/A</v>
      </c>
      <c r="BS324" s="140" t="e">
        <f ca="1">IF(AND($BB324&gt;=21,$BB324&lt;30),1,IF($BQ324&gt;=Control!$C$88,0,$BO324))</f>
        <v>#N/A</v>
      </c>
      <c r="BT324" s="404" t="e">
        <f ca="1">IF($BS324=0,0,IF($BQ324&lt;=Control!$C$88,$BO324*(21+(30-21)*(BR324/Control!$C$88)),0))</f>
        <v>#N/A</v>
      </c>
      <c r="BU324" s="140" t="e">
        <f ca="1">IF(BG324+BM324+BS324=1,0,IF(OR(AND($BB324&lt;60,$BB324&gt;=30),$BQ324&gt;=Control!$C$88),1*$BA324,$BY323))</f>
        <v>#N/A</v>
      </c>
      <c r="BV324" s="140" t="e">
        <f ca="1">IF($BR324&lt;0,-$BR324,$BU324*IF(OR($G324&lt;Control!$C$92,$G324&gt;Control!$C$95),0,IF(AND($G324&gt;=Control!$C$92,$G324&lt;=Control!$C$93),$G324-Control!$C$92,IF(AND($G324&gt;Control!$C$93,$G324&lt;=Control!$C$94),Control!$C$93-Control!$C$92,IF(AND($G324&gt;Control!$C$94,$G324&lt;=Control!$C$95),(Control!$C$93-Control!$C$92)*(Control!$C$94-$G324)/(Control!$C$95-Control!$C$94))))))</f>
        <v>#N/A</v>
      </c>
      <c r="BW324" s="140" t="e">
        <f t="shared" ca="1" si="945"/>
        <v>#N/A</v>
      </c>
      <c r="BX324" s="140" t="e">
        <f ca="1">IF($BW324&lt;=Control!$C$89,$BW324,Control!$C$89-$BW324)</f>
        <v>#N/A</v>
      </c>
      <c r="BY324" s="140" t="e">
        <f ca="1">IF(AND($AJ324&gt;=30,$AJ324&lt;60),1,IF($BW324&gt;=Control!$C$89,0,$BU324))</f>
        <v>#N/A</v>
      </c>
      <c r="BZ324" s="404" t="e">
        <f ca="1">IF($BY324=0,0,IF($BW324&lt;=Control!$C$89,$BU324*(30+(60-30)*(BX324/Control!$C$89)),0))</f>
        <v>#N/A</v>
      </c>
      <c r="CA324" s="140" t="e">
        <f ca="1">IF($BG324+$BM324+$BS324+$BY324=1,0,IF(OR(AND($BB324&lt;65,$BB324&gt;=60),$BW324&gt;=Control!$C$89),1*$BA324,$CE323))</f>
        <v>#N/A</v>
      </c>
      <c r="CB324" s="140" t="e">
        <f ca="1">IF($BX324&lt;0,-$BX324,$CA324*IF(OR($G324&lt;Control!$C$92,$G324&gt;Control!$C$95),0,IF(AND($G324&gt;=Control!$C$92,$G324&lt;=Control!$C$93),$G324-Control!$C$92,IF(AND($G324&gt;Control!$C$93,$G324&lt;=Control!$C$94),Control!$C$93-Control!$C$92,IF(AND($G324&gt;Control!$C$94,$G324&lt;=Control!$C$95),(Control!$C$93-Control!$C$92)*(Control!$C$94-$G324)/(Control!$C$95-Control!$C$94))))))</f>
        <v>#N/A</v>
      </c>
      <c r="CC324" s="140" t="e">
        <f t="shared" ca="1" si="1061"/>
        <v>#N/A</v>
      </c>
      <c r="CD324" s="140" t="e">
        <f ca="1">IF($CC324&lt;=Control!$C$90,$CC324,Control!$C$90-$CC324)</f>
        <v>#N/A</v>
      </c>
      <c r="CE324" s="140" t="e">
        <f ca="1">IF(AND($BB324&gt;=60,$BB324&lt;65),1,IF($CC324&gt;=Control!$C$90,0,$CA324))</f>
        <v>#N/A</v>
      </c>
      <c r="CF324" s="404" t="e">
        <f ca="1">IF($CE324=0,0,IF($CC324&lt;=Control!$C$90,$CA324*(60+(65-60)*(CD324/Control!$C$90)),0))</f>
        <v>#N/A</v>
      </c>
      <c r="CG324" s="140" t="e">
        <f ca="1">IF($BG324+$BM324+$BS324+$BY324+$CE324=1,0,IF(OR(AND($BB324&lt;90,$BB324&gt;=65),$CC324&gt;=Control!$C$90),$BA324,$CK323))</f>
        <v>#N/A</v>
      </c>
      <c r="CH324" s="140" t="e">
        <f ca="1">IF($CD324&lt;0,-$CD324,$CG324*IF(OR($G324&lt;Control!$C$92,$G324&gt;Control!$C$95),0,IF(AND($G324&gt;=Control!$C$92,$G324&lt;=Control!$C$93),$G324-Control!$C$92,IF(AND($G324&gt;Control!$C$93,$G324&lt;=Control!$C$94),Control!$C$93-Control!$C$92,IF(AND($G324&gt;Control!$C$94,$G324&lt;=Control!$C$95),(Control!$C$93-Control!$C$92)*(Control!$C$94-$G324)/(Control!$C$95-Control!$C$94))))))</f>
        <v>#N/A</v>
      </c>
      <c r="CI324" s="140" t="e">
        <f t="shared" ca="1" si="1062"/>
        <v>#N/A</v>
      </c>
      <c r="CJ324" s="140" t="e">
        <f ca="1">IF($CI324&lt;=Control!$C$91,$CI324,Control!$C$91-$CI324)</f>
        <v>#N/A</v>
      </c>
      <c r="CK324" s="140" t="e">
        <f ca="1">IF(AND($BB324&gt;=65,$BB324&lt;90),1,IF($CI324&gt;=Control!$C$91,0,$CG324))</f>
        <v>#N/A</v>
      </c>
      <c r="CL324" s="404" t="e">
        <f ca="1">IF($CK324=0,0,IF($CI324&lt;=Control!$C$91,$CG324*(65+(90-65)*($CJ324/Control!$C$91)),0))</f>
        <v>#N/A</v>
      </c>
      <c r="CM324" s="140" t="e">
        <f ca="1">IF($BG324+$BM324+$BS324+$BY324+$CE324+$CK324=1,0,IF(OR($BB324&gt;=90,$CI324&gt;=Control!$C$91),$BA324,$CM323))</f>
        <v>#N/A</v>
      </c>
      <c r="CN324" s="140" t="e">
        <f t="shared" ca="1" si="1063"/>
        <v>#N/A</v>
      </c>
      <c r="CO324" s="140" t="e">
        <f t="shared" ca="1" si="1064"/>
        <v>#N/A</v>
      </c>
      <c r="CP324" s="140" t="e">
        <f t="shared" ca="1" si="1065"/>
        <v>#N/A</v>
      </c>
      <c r="CQ324" s="141" t="e">
        <f ca="1">VLOOKUP($CP324,Control!$B$86:$G$91,6)</f>
        <v>#N/A</v>
      </c>
      <c r="CR324" s="141" t="e">
        <f ca="1">(1-$CQ324)*VLOOKUP($CP324,Control!$B$86:$D$91,3)</f>
        <v>#N/A</v>
      </c>
      <c r="CS324" s="141" t="e">
        <f ca="1">(1-$CQ324)*VLOOKUP($CP324,Control!$B$86:$E$91,4)</f>
        <v>#N/A</v>
      </c>
      <c r="CT324" s="141" t="e">
        <f ca="1">(1-$CQ324)*VLOOKUP($CP324,Control!$B$86:$F$91,5)</f>
        <v>#N/A</v>
      </c>
      <c r="CU324" s="141">
        <f t="shared" ca="1" si="1066"/>
        <v>0</v>
      </c>
      <c r="CV324" s="583">
        <f t="shared" ca="1" si="1067"/>
        <v>0</v>
      </c>
      <c r="CW324" s="142">
        <f t="shared" ca="1" si="1068"/>
        <v>320</v>
      </c>
      <c r="CX324" s="612" t="e">
        <f ca="1">IF(Control!$C$114=1,(MIN(Control!$C$120*(IF($NT324-0.01&lt;0,0,1)),Control!$C$119-$CY324)))</f>
        <v>#DIV/0!</v>
      </c>
      <c r="CY324" s="143" t="e">
        <f t="shared" ca="1" si="1069"/>
        <v>#N/A</v>
      </c>
      <c r="CZ324" s="144">
        <f t="shared" ca="1" si="946"/>
        <v>0</v>
      </c>
      <c r="DA324" s="144">
        <f t="shared" ca="1" si="947"/>
        <v>0</v>
      </c>
      <c r="DB324" s="144" t="e">
        <f t="shared" ca="1" si="948"/>
        <v>#N/A</v>
      </c>
      <c r="DC324" s="144" t="e">
        <f t="shared" ca="1" si="949"/>
        <v>#N/A</v>
      </c>
      <c r="DD324" s="144" t="e">
        <f t="shared" ca="1" si="1154"/>
        <v>#N/A</v>
      </c>
      <c r="DE324" s="143" t="e">
        <f t="shared" ca="1" si="1070"/>
        <v>#N/A</v>
      </c>
      <c r="DF324" s="145" t="e">
        <f ca="1">$DR324*EXP(-Control!$C$158*(1-$KH324))</f>
        <v>#N/A</v>
      </c>
      <c r="DG324" s="146" t="e">
        <f ca="1">IF(Control!$C$114=1, $DF324*$EY324, 0)</f>
        <v>#N/A</v>
      </c>
      <c r="DH324" s="147" t="e">
        <f t="shared" ca="1" si="1071"/>
        <v>#N/A</v>
      </c>
      <c r="DI324" s="144" t="e">
        <f t="shared" ca="1" si="1132"/>
        <v>#N/A</v>
      </c>
      <c r="DJ324" s="147" t="e">
        <f ca="1">$EF324*Control!$C$109</f>
        <v>#N/A</v>
      </c>
      <c r="DK324" s="144" t="e">
        <f t="shared" ca="1" si="1072"/>
        <v>#N/A</v>
      </c>
      <c r="DL324" s="144" t="e">
        <f t="shared" ca="1" si="950"/>
        <v>#N/A</v>
      </c>
      <c r="DM324" s="144" t="e">
        <f ca="1">IF(Control!$C$114=1, (1-EXP(-Control!$C$96*$DK324))*$AR324, 0)</f>
        <v>#N/A</v>
      </c>
      <c r="DN324" s="144">
        <f t="shared" ca="1" si="1073"/>
        <v>0</v>
      </c>
      <c r="DO324" s="148">
        <f>Control!$C$97</f>
        <v>4</v>
      </c>
      <c r="DP324" s="145" t="e">
        <f t="shared" ca="1" si="1074"/>
        <v>#N/A</v>
      </c>
      <c r="DQ324" s="145" t="e">
        <f ca="1">IF(AND($CP324&gt;=0,$CP324&lt;=90),Control!$C$111,Control!$C$111)</f>
        <v>#N/A</v>
      </c>
      <c r="DR324" s="145" t="e">
        <f t="shared" ca="1" si="951"/>
        <v>#N/A</v>
      </c>
      <c r="DS324" s="143" t="e">
        <f ca="1">Control!$B$22/$DR324</f>
        <v>#N/A</v>
      </c>
      <c r="DT324" s="149" t="e">
        <f ca="1">IF(AND(Control!$C$114=1,$KH324&lt;1),$IM324*$DF324, 0)</f>
        <v>#N/A</v>
      </c>
      <c r="DU324" s="144" t="e">
        <f t="shared" ca="1" si="1075"/>
        <v>#N/A</v>
      </c>
      <c r="DV324" s="144">
        <f ca="1">IF($G324-Control!$C$107&lt;=0, 0, 0.83*LN(MAX($G324, 3))-0.8924)</f>
        <v>0</v>
      </c>
      <c r="DW324" s="144" t="e">
        <f t="shared" ca="1" si="952"/>
        <v>#N/A</v>
      </c>
      <c r="DX324" s="150" t="e">
        <f ca="1">MAX(0.01*(1+$CU324/Control!$C$102),0.05*($DK324-Control!$C$97)/Control!$C$97)</f>
        <v>#N/A</v>
      </c>
      <c r="DY324" s="151" t="e">
        <f ca="1">IF(Control!$C$114=1, $DI324*$FS324, 0)</f>
        <v>#N/A</v>
      </c>
      <c r="DZ324" s="196" t="e">
        <f t="shared" ca="1" si="1076"/>
        <v>#N/A</v>
      </c>
      <c r="EA324" s="152">
        <f t="shared" ca="1" si="1077"/>
        <v>320</v>
      </c>
      <c r="EB324" s="153" t="e">
        <f t="shared" ca="1" si="1078"/>
        <v>#N/A</v>
      </c>
      <c r="EC324" s="153" t="e">
        <f t="shared" ca="1" si="1079"/>
        <v>#N/A</v>
      </c>
      <c r="ED324" s="154" t="e">
        <f ca="1">IF(Control!$C$114=1, $HM324*$FY324-$FD324, 0)</f>
        <v>#DIV/0!</v>
      </c>
      <c r="EE324" s="155" t="e">
        <f ca="1">IF(Control!$C$114=1, $HM324*$FZ324-$FF324, 0)</f>
        <v>#DIV/0!</v>
      </c>
      <c r="EF324" s="153" t="e">
        <f t="shared" ca="1" si="1133"/>
        <v>#N/A</v>
      </c>
      <c r="EG324" s="155" t="e">
        <f ca="1">IF(Control!$C$114=1, $GX324*$FW324-$FI324, 0)</f>
        <v>#DIV/0!</v>
      </c>
      <c r="EH324" s="153" t="e">
        <f t="shared" ca="1" si="1080"/>
        <v>#N/A</v>
      </c>
      <c r="EI324" s="156" t="e">
        <f t="shared" ca="1" si="1081"/>
        <v>#N/A</v>
      </c>
      <c r="EJ324" s="155" t="e">
        <f ca="1">IF(Control!$C$114=1, $HM324*$GB324, 0)</f>
        <v>#DIV/0!</v>
      </c>
      <c r="EK324" s="153" t="e">
        <f t="shared" ca="1" si="1134"/>
        <v>#N/A</v>
      </c>
      <c r="EL324" s="153" t="e">
        <f t="shared" ca="1" si="953"/>
        <v>#N/A</v>
      </c>
      <c r="EM324" s="153" t="e">
        <f t="shared" ca="1" si="954"/>
        <v>#N/A</v>
      </c>
      <c r="EN324" s="153" t="e">
        <f ca="1">IF(Control!$C$108=1,IF(AND(Control!$B$18=1,$EB324&gt;=Control!$B$19),$EB324-$DS324,IF(AND(Control!$B$18=2,$AW324=1,$EB324&gt;$DS324),$EB324-$DS324,0)))</f>
        <v>#N/A</v>
      </c>
      <c r="EO324" s="153" t="e">
        <f ca="1">IF(Control!$C$108=1,IF(AND(Control!$B$18=1,$EB324&gt;=Control!$B$19),$EF324,IF(AND(Control!$B$18=2,$AW324=1),$EF324,0)))</f>
        <v>#N/A</v>
      </c>
      <c r="EP324" s="153" t="e">
        <f ca="1">IF(Control!$C$108=1,IF(AND(Control!$B$18=1,$EB324&gt;=Control!$B$19),$EK324,IF(AND(Control!$B$18=2,$AW324=1),$EK324,0)))</f>
        <v>#N/A</v>
      </c>
      <c r="EQ324" s="153" t="e">
        <f t="shared" ca="1" si="1082"/>
        <v>#N/A</v>
      </c>
      <c r="ER324" s="153" t="e">
        <f t="shared" ca="1" si="1083"/>
        <v>#N/A</v>
      </c>
      <c r="ES324" s="153" t="e">
        <f t="shared" ca="1" si="1135"/>
        <v>#N/A</v>
      </c>
      <c r="ET324" s="153" t="e">
        <f t="shared" ca="1" si="1136"/>
        <v>#N/A</v>
      </c>
      <c r="EU324" s="153" t="e">
        <f t="shared" ca="1" si="1084"/>
        <v>#N/A</v>
      </c>
      <c r="EV324" s="153" t="e">
        <f t="shared" ca="1" si="955"/>
        <v>#N/A</v>
      </c>
      <c r="EW324" s="153" t="e">
        <f t="shared" ca="1" si="956"/>
        <v>#N/A</v>
      </c>
      <c r="EX324" s="153" t="e">
        <f t="shared" ca="1" si="957"/>
        <v>#N/A</v>
      </c>
      <c r="EY324" s="157" t="e">
        <f t="shared" ca="1" si="958"/>
        <v>#DIV/0!</v>
      </c>
      <c r="EZ324" s="154" t="e">
        <f t="shared" ca="1" si="959"/>
        <v>#DIV/0!</v>
      </c>
      <c r="FA324" s="153" t="e">
        <f t="shared" ca="1" si="1085"/>
        <v>#N/A</v>
      </c>
      <c r="FB324" s="153" t="e">
        <f t="shared" ca="1" si="960"/>
        <v>#N/A</v>
      </c>
      <c r="FC324" s="193" t="e">
        <f t="shared" ca="1" si="961"/>
        <v>#N/A</v>
      </c>
      <c r="FD324" s="158" t="e">
        <f t="shared" ca="1" si="1086"/>
        <v>#N/A</v>
      </c>
      <c r="FE324" s="158" t="e">
        <f t="shared" ca="1" si="1087"/>
        <v>#N/A</v>
      </c>
      <c r="FF324" s="159" t="e">
        <f t="shared" ca="1" si="962"/>
        <v>#N/A</v>
      </c>
      <c r="FG324" s="160" t="e">
        <f t="shared" ca="1" si="1088"/>
        <v>#N/A</v>
      </c>
      <c r="FH324" s="158" t="e">
        <f t="shared" ca="1" si="1089"/>
        <v>#N/A</v>
      </c>
      <c r="FI324" s="159" t="e">
        <f t="shared" ca="1" si="963"/>
        <v>#N/A</v>
      </c>
      <c r="FJ324" s="160" t="e">
        <f t="shared" ca="1" si="1090"/>
        <v>#N/A</v>
      </c>
      <c r="FK324" s="160" t="e">
        <f t="shared" ca="1" si="964"/>
        <v>#N/A</v>
      </c>
      <c r="FL324" s="160" t="e">
        <f t="shared" ca="1" si="1137"/>
        <v>#N/A</v>
      </c>
      <c r="FM324" s="160" t="e">
        <f t="shared" ca="1" si="965"/>
        <v>#N/A</v>
      </c>
      <c r="FN324" s="158">
        <f t="shared" ca="1" si="1091"/>
        <v>0.01</v>
      </c>
      <c r="FO324" s="160">
        <f>Control!$C$101</f>
        <v>50</v>
      </c>
      <c r="FP324" s="150" t="e">
        <f t="shared" ca="1" si="966"/>
        <v>#N/A</v>
      </c>
      <c r="FQ324" s="150" t="e">
        <f ca="1">MAX(0,(Control!$C$112*(($DK324-Control!$C$97)/Control!$C$97)))</f>
        <v>#N/A</v>
      </c>
      <c r="FR324" s="150" t="e">
        <f ca="1">(1-$NT324)*Control!$C$113</f>
        <v>#DIV/0!</v>
      </c>
      <c r="FS324" s="198" t="e">
        <f t="shared" ca="1" si="967"/>
        <v>#N/A</v>
      </c>
      <c r="FT324" s="161">
        <f t="shared" ca="1" si="1092"/>
        <v>320</v>
      </c>
      <c r="FU324" s="162" t="e">
        <f ca="1">IF(Control!$B$34=1,VLOOKUP($CP324,Control!$B$86:$G$91,6),Control!$B$35)</f>
        <v>#N/A</v>
      </c>
      <c r="FV324" s="162" t="e">
        <f t="shared" ca="1" si="968"/>
        <v>#DIV/0!</v>
      </c>
      <c r="FW324" s="162" t="e">
        <f ca="1">IF(Control!$B$31=1,$FU324*$FV324,  $FU324)</f>
        <v>#N/A</v>
      </c>
      <c r="FX324" s="162" t="e">
        <f ca="1">IF(Control!$B$34=1,VLOOKUP($CP324,Control!$B$86:$G$91,3),Control!$B$36)</f>
        <v>#N/A</v>
      </c>
      <c r="FY324" s="162" t="e">
        <f t="shared" ca="1" si="969"/>
        <v>#N/A</v>
      </c>
      <c r="FZ324" s="162" t="e">
        <f ca="1">IF(Control!$B$34=1,VLOOKUP($CP324,Control!$B$86:$G$91,4),Control!$B$37)</f>
        <v>#N/A</v>
      </c>
      <c r="GA324" s="162" t="e">
        <f t="shared" ca="1" si="970"/>
        <v>#N/A</v>
      </c>
      <c r="GB324" s="162" t="e">
        <f ca="1">IF(Control!$B$34=1,VLOOKUP($CP324,Control!$B$86:$G$91,5),Control!$B$38)</f>
        <v>#N/A</v>
      </c>
      <c r="GC324" s="162" t="e">
        <f t="shared" ca="1" si="1093"/>
        <v>#N/A</v>
      </c>
      <c r="GD324" s="162">
        <f t="shared" ca="1" si="971"/>
        <v>1</v>
      </c>
      <c r="GE324" s="162">
        <f t="shared" ca="1" si="972"/>
        <v>1</v>
      </c>
      <c r="GF324" s="162">
        <f ca="1">IF(AND(Control!$C$104=1, Control!$C$62="F"),$GE324,1)</f>
        <v>1</v>
      </c>
      <c r="GG324" s="162" t="e">
        <f ca="1">IF(Control!$B$16=40,0,IF(AND(Control!$B$16&gt;40,Control!$B$16&lt;=360),(Control!$B$16-40)*((1-0)/(360-40)),IF(AND(Control!$B$16&gt;360,Control!$B$16&lt;=720),(1+(Control!$B$16-360)*((1.25-1)/(720-360))),IF(AND(Control!$B$16&gt;720,Control!$B$16&lt;=1000),(1.25+(Control!$B$16-720)*((1.35-1.25)/(1000-720))),IF(AND(Control!$B$16&gt;1000,Control!$B$16&lt;=2000),(1.35+(Control!$B$16-1000)*0))))))</f>
        <v>#N/A</v>
      </c>
      <c r="GH324" s="162" t="e">
        <f t="shared" ca="1" si="973"/>
        <v>#N/A</v>
      </c>
      <c r="GI324" s="162">
        <f t="shared" ca="1" si="1094"/>
        <v>0</v>
      </c>
      <c r="GJ324" s="162">
        <f t="shared" ca="1" si="974"/>
        <v>0</v>
      </c>
      <c r="GK324" s="162">
        <f t="shared" ca="1" si="1095"/>
        <v>1</v>
      </c>
      <c r="GL324" s="162">
        <f t="shared" ca="1" si="975"/>
        <v>1</v>
      </c>
      <c r="GM324" s="162" t="e">
        <f ca="1">MAX(0,MIN(1,1-Control!$C$156*(1.0001-$KH324)^2))</f>
        <v>#N/A</v>
      </c>
      <c r="GN324" s="162" t="e">
        <f ca="1">IF(Control!$B$26=1,$KU324,$KX324)</f>
        <v>#N/A</v>
      </c>
      <c r="GO324" s="162" t="e">
        <f ca="1">IF($CP324&lt;=60,Control!$C$105,IF($CP324&gt;=90,Control!$C$106,Control!$C$105+($CP324-60)*((Control!$C$106-Control!$C$105)/(90-60))))</f>
        <v>#N/A</v>
      </c>
      <c r="GP324" s="162" t="e">
        <f t="shared" ca="1" si="976"/>
        <v>#N/A</v>
      </c>
      <c r="GQ324" s="162" t="e">
        <f t="shared" ca="1" si="1096"/>
        <v>#N/A</v>
      </c>
      <c r="GR324" s="163" t="e">
        <f t="shared" ca="1" si="977"/>
        <v>#DIV/0!</v>
      </c>
      <c r="GS324" s="162" t="e">
        <f t="shared" ca="1" si="978"/>
        <v>#DIV/0!</v>
      </c>
      <c r="GT324" s="164" t="e">
        <f t="shared" ca="1" si="1097"/>
        <v>#N/A</v>
      </c>
      <c r="GU324" s="162" t="e">
        <f t="shared" ca="1" si="1098"/>
        <v>#N/A</v>
      </c>
      <c r="GV324" s="162" t="e">
        <f t="shared" ca="1" si="979"/>
        <v>#N/A</v>
      </c>
      <c r="GW324" s="162" t="e">
        <f t="shared" ca="1" si="980"/>
        <v>#DIV/0!</v>
      </c>
      <c r="GX324" s="162" t="e">
        <f t="shared" ca="1" si="1099"/>
        <v>#DIV/0!</v>
      </c>
      <c r="GY324" s="162" t="e">
        <f t="shared" ca="1" si="1100"/>
        <v>#DIV/0!</v>
      </c>
      <c r="GZ324" s="165" t="e">
        <f t="shared" ca="1" si="981"/>
        <v>#N/A</v>
      </c>
      <c r="HA324" s="162" t="e">
        <f ca="1">IF(Control!$C$114=1, $DI324*$FS324, 0)</f>
        <v>#N/A</v>
      </c>
      <c r="HB324" s="162" t="e">
        <f ca="1">$FA324/Control!$C$64</f>
        <v>#N/A</v>
      </c>
      <c r="HC324" s="162" t="e">
        <f t="shared" ca="1" si="982"/>
        <v>#DIV/0!</v>
      </c>
      <c r="HD324" s="162">
        <f ca="1">-ASIN(SIN(23.45*Control!$C$139)*COS(2*Control!$C$138*($AH324+10)/365))</f>
        <v>-0.33406155871846166</v>
      </c>
      <c r="HE324" s="165">
        <f t="shared" ca="1" si="1101"/>
        <v>0</v>
      </c>
      <c r="HF324" s="166">
        <f ca="1">IF(AND(Control!$C$61="T",$HE324&gt;=Control!$C$103,Control!$C$114=0),$AH324,Control!$C$59)</f>
        <v>1</v>
      </c>
      <c r="HG324" s="166">
        <f ca="1">IF(AND(Control!$C$61="T",$HE324&gt;=Control!$C$103,Control!$C$114=0),$HF324,Control!$C$59)</f>
        <v>1</v>
      </c>
      <c r="HH324" s="165">
        <f ca="1">IF(AND(OR(Control!$C$60&lt;=0, $AH324= Control!$C$59, Control!$C$60 &gt;0, $AH324 = Control!$C$60)), Control!$C$59, IF(Control!$C$60&gt;0, 0))</f>
        <v>1</v>
      </c>
      <c r="HI324" s="165">
        <f ca="1">IF(AND(OR(Control!$C$60&lt;=0, $AH324= Control!$C$59, Control!$C$60 &gt;0, $AH324 = Control!$C$60)), Control!$C$60, IF(Control!$C$60&lt;=0, 0))</f>
        <v>0</v>
      </c>
      <c r="HJ324" s="166">
        <f ca="1">IF(AND(Control!$C$62="F",$CV324&gt;=Control!$C$102),$AH324,0)</f>
        <v>0</v>
      </c>
      <c r="HK324" s="165" t="e">
        <f t="shared" ca="1" si="1138"/>
        <v>#N/A</v>
      </c>
      <c r="HL324" s="166">
        <f ca="1">IF(AND(Control!$C$61="T",$HE324&gt;=Control!$C$103,Control!$C$114=0),$HF324,0)</f>
        <v>0</v>
      </c>
      <c r="HM324" s="201" t="e">
        <f t="shared" ca="1" si="983"/>
        <v>#DIV/0!</v>
      </c>
      <c r="HN324" s="215">
        <f t="shared" ca="1" si="1102"/>
        <v>320</v>
      </c>
      <c r="HO324" s="216" t="e">
        <f ca="1">IF(AND($CP324&gt;=0, $CP324&lt;=90), Control!$C$152, Control!$C$152)</f>
        <v>#N/A</v>
      </c>
      <c r="HP324" s="216" t="e">
        <f t="shared" ca="1" si="984"/>
        <v>#N/A</v>
      </c>
      <c r="HQ324" s="217" t="e">
        <f ca="1">IF(OR(Control!$B$26=1,Control!$B$26=2),$KV324,$KS324)</f>
        <v>#DIV/0!</v>
      </c>
      <c r="HR324" s="218" t="e">
        <f t="shared" ca="1" si="1139"/>
        <v>#DIV/0!</v>
      </c>
      <c r="HS324" s="216" t="e">
        <f ca="1">Control!$C$154*$HP324</f>
        <v>#N/A</v>
      </c>
      <c r="HT324" s="216" t="e">
        <f ca="1">Control!$C$155*$HP324</f>
        <v>#N/A</v>
      </c>
      <c r="HU324" s="217" t="e">
        <f ca="1">Control!$C$161*$FI324</f>
        <v>#N/A</v>
      </c>
      <c r="HV324" s="218" t="e">
        <f t="shared" ca="1" si="1103"/>
        <v>#N/A</v>
      </c>
      <c r="HW324" s="218" t="e">
        <f ca="1">Control!$C$160*$FF324+$IP324*$EO324</f>
        <v>#N/A</v>
      </c>
      <c r="HX324" s="218" t="e">
        <f t="shared" ca="1" si="1140"/>
        <v>#N/A</v>
      </c>
      <c r="HY324" s="219" t="e">
        <f ca="1">IF(Control!$C$114=1, $EB324*$FS324, 0)</f>
        <v>#N/A</v>
      </c>
      <c r="HZ324" s="91" t="e">
        <f t="shared" ca="1" si="985"/>
        <v>#N/A</v>
      </c>
      <c r="IA324" s="220" t="e">
        <f ca="1">Control!$C$153*$HO324</f>
        <v>#N/A</v>
      </c>
      <c r="IB324" s="218" t="e">
        <f t="shared" ca="1" si="986"/>
        <v>#N/A</v>
      </c>
      <c r="IC324" s="220" t="e">
        <f ca="1">Control!$C$153*$HT324</f>
        <v>#N/A</v>
      </c>
      <c r="ID324" s="218" t="e">
        <f t="shared" ca="1" si="987"/>
        <v>#N/A</v>
      </c>
      <c r="IE324" s="221" t="e">
        <f ca="1">($EB324*Control!$C$159+$EF324*Control!$C$160)/(IF($GZ324&lt;&gt;0,$GZ324,1))</f>
        <v>#N/A</v>
      </c>
      <c r="IF324" s="216" t="e">
        <f t="shared" ca="1" si="988"/>
        <v>#N/A</v>
      </c>
      <c r="IG324" s="91">
        <f ca="1">IF(OR(Control!$B$198=$AH324,Control!$B$199=$AH324, Control!$B$200=$AH324, Control!$B$201=$AH324, Control!$B$202=$AH324, Control!$B$203=$AH324, Control!$B$204=$AH324, Control!$B$205=$AH324, Control!$B$206=$AH324, Control!$B$207=$AH324), 1, 0)</f>
        <v>0</v>
      </c>
      <c r="IH324" s="91">
        <f ca="1">IF($IG324=0,0, VLOOKUP($AH324,Control!$B$198:$C$207,2))</f>
        <v>0</v>
      </c>
      <c r="II324" s="222">
        <f t="shared" ca="1" si="1104"/>
        <v>0</v>
      </c>
      <c r="IJ324" s="91">
        <f>Control!$C$121</f>
        <v>0.7</v>
      </c>
      <c r="IK324" s="218">
        <f t="shared" ca="1" si="989"/>
        <v>0</v>
      </c>
      <c r="IL324" s="217" t="e">
        <f t="shared" ca="1" si="1141"/>
        <v>#N/A</v>
      </c>
      <c r="IM324" s="223" t="e">
        <f ca="1">IF(AND(Control!$C$114=1,$KH324&lt;1),$EB324*Control!$C$148*(1-$KH324), 0)</f>
        <v>#N/A</v>
      </c>
      <c r="IN324" s="217" t="e">
        <f t="shared" ca="1" si="990"/>
        <v>#DIV/0!</v>
      </c>
      <c r="IO324" s="91" t="e">
        <f ca="1">MAX(0,$IL324-$EF324*Control!$C$160)</f>
        <v>#N/A</v>
      </c>
      <c r="IP324" s="220" t="e">
        <f t="shared" ca="1" si="991"/>
        <v>#N/A</v>
      </c>
      <c r="IQ324" s="217" t="e">
        <f t="shared" ca="1" si="1105"/>
        <v>#N/A</v>
      </c>
      <c r="IR324" s="218" t="e">
        <f t="shared" ca="1" si="992"/>
        <v>#N/A</v>
      </c>
      <c r="IS324" s="217" t="e">
        <f ca="1">Control!$C$159*MAX(0,$FD324-$EN324)</f>
        <v>#N/A</v>
      </c>
      <c r="IT324" s="217" t="e">
        <f t="shared" ca="1" si="1142"/>
        <v>#N/A</v>
      </c>
      <c r="IU324" s="217" t="e">
        <f t="shared" ca="1" si="1106"/>
        <v>#N/A</v>
      </c>
      <c r="IV324" s="217" t="e">
        <f t="shared" ca="1" si="1143"/>
        <v>#N/A</v>
      </c>
      <c r="IW324" s="217" t="e">
        <f ca="1">IF(OR($AW324=1,AND($AW324=0, Control!$B$18=1,$EN324&lt;&gt;0)), $IQ324-$IU324, $IQ324)</f>
        <v>#N/A</v>
      </c>
      <c r="IX324" s="218" t="e">
        <f t="shared" ca="1" si="993"/>
        <v>#N/A</v>
      </c>
      <c r="IY324" s="218" t="e">
        <f ca="1">MAX(0,$IQ324-$EB324*Control!$C$159)</f>
        <v>#N/A</v>
      </c>
      <c r="IZ324" s="218" t="e">
        <f t="shared" ca="1" si="994"/>
        <v>#N/A</v>
      </c>
      <c r="JA324" s="216" t="e">
        <f t="shared" ca="1" si="995"/>
        <v>#N/A</v>
      </c>
      <c r="JB324" s="217" t="e">
        <f t="shared" ca="1" si="996"/>
        <v>#N/A</v>
      </c>
      <c r="JC324" s="222" t="e">
        <f ca="1">MAX(Control!$C$157*$EK324-$JT324, 0)/Control!$C$162</f>
        <v>#N/A</v>
      </c>
      <c r="JD324" s="218" t="e">
        <f t="shared" ca="1" si="997"/>
        <v>#N/A</v>
      </c>
      <c r="JE324" s="218" t="e">
        <f t="shared" ca="1" si="998"/>
        <v>#N/A</v>
      </c>
      <c r="JF324" s="218" t="e">
        <f t="shared" ca="1" si="1107"/>
        <v>#N/A</v>
      </c>
      <c r="JG324" s="218" t="e">
        <f t="shared" ca="1" si="999"/>
        <v>#N/A</v>
      </c>
      <c r="JH324" s="217" t="e">
        <f t="shared" ca="1" si="1108"/>
        <v>#N/A</v>
      </c>
      <c r="JI324" s="217" t="e">
        <f t="shared" ca="1" si="1109"/>
        <v>#N/A</v>
      </c>
      <c r="JJ324" s="217" t="e">
        <f t="shared" ca="1" si="1144"/>
        <v>#N/A</v>
      </c>
      <c r="JK324" s="217" t="e">
        <f ca="1">IF(Control!$C$114=1,IF(Control!$B$24=0,MAX(0,$JI324)*$GN324/Control!$C$64,(MAX(0,MIN($JI324,$JJ324*$GN324/Control!$C$64),0))))</f>
        <v>#N/A</v>
      </c>
      <c r="JL324" s="217" t="e">
        <f ca="1">$IK324/Control!$C$64-$JK324+$HQ324</f>
        <v>#N/A</v>
      </c>
      <c r="JM324" s="217" t="e">
        <f ca="1">IF(Control!$C$114=1,($JB324/(IF($JI324&lt;&gt;0,$JI324,1)))*$JK324,0)</f>
        <v>#N/A</v>
      </c>
      <c r="JN324" s="217" t="e">
        <f ca="1">IF(Control!$C$114=1,($JG324/(IF($JI324&lt;&gt;0,$JI324,1)))*$JK324, 0)</f>
        <v>#N/A</v>
      </c>
      <c r="JO324" s="218" t="e">
        <f t="shared" ca="1" si="1000"/>
        <v>#N/A</v>
      </c>
      <c r="JP324" s="218" t="e">
        <f ca="1">MIN(($IY324+$IO324)*Control!$C$151, $JF324-$EH324*Control!$C$161)</f>
        <v>#N/A</v>
      </c>
      <c r="JQ324" s="218" t="e">
        <f t="shared" ca="1" si="1001"/>
        <v>#N/A</v>
      </c>
      <c r="JR324" s="217" t="e">
        <f ca="1">IF($CP324-Control!$C$150&lt;0, 0, $JQ324/Control!$C$162)</f>
        <v>#N/A</v>
      </c>
      <c r="JS324" s="218" t="e">
        <f t="shared" ca="1" si="1002"/>
        <v>#N/A</v>
      </c>
      <c r="JT324" s="218" t="e">
        <f t="shared" ca="1" si="1110"/>
        <v>#N/A</v>
      </c>
      <c r="JU324" s="218" t="e">
        <f t="shared" ca="1" si="1003"/>
        <v>#N/A</v>
      </c>
      <c r="JV324" s="218" t="e">
        <f t="shared" ca="1" si="1004"/>
        <v>#N/A</v>
      </c>
      <c r="JW324" s="216" t="e">
        <f t="shared" ca="1" si="1005"/>
        <v>#N/A</v>
      </c>
      <c r="JX324" s="91" t="e">
        <f t="shared" ca="1" si="1006"/>
        <v>#N/A</v>
      </c>
      <c r="JY324" s="218" t="e">
        <f t="shared" ca="1" si="1007"/>
        <v>#N/A</v>
      </c>
      <c r="JZ324" s="217" t="e">
        <f ca="1">IF(Control!$C$114=1,($IZ324/(IF($JI324&lt;&gt;0,$JI324,1)))*$JK324, 0)</f>
        <v>#N/A</v>
      </c>
      <c r="KA324" s="218" t="e">
        <f t="shared" ca="1" si="1145"/>
        <v>#N/A</v>
      </c>
      <c r="KB324" s="218" t="e">
        <f t="shared" ca="1" si="1111"/>
        <v>#N/A</v>
      </c>
      <c r="KC324" s="218" t="e">
        <f t="shared" ca="1" si="1008"/>
        <v>#N/A</v>
      </c>
      <c r="KD324" s="218" t="e">
        <f t="shared" ca="1" si="1009"/>
        <v>#N/A</v>
      </c>
      <c r="KE324" s="218" t="e">
        <f t="shared" ca="1" si="1010"/>
        <v>#N/A</v>
      </c>
      <c r="KF324" s="218" t="e">
        <f t="shared" ca="1" si="1011"/>
        <v>#N/A</v>
      </c>
      <c r="KG324" s="216" t="e">
        <f t="shared" ca="1" si="1012"/>
        <v>#N/A</v>
      </c>
      <c r="KH324" s="221" t="e">
        <f ca="1">IF(Control!$B$24=0,1,MAX(0.001,MIN(1,IF(($IF324-$IE324)&lt;&gt;0,($KG324-$IE324)/($IF324-$IE324),1))))</f>
        <v>#N/A</v>
      </c>
      <c r="KI324" s="222" t="e">
        <f ca="1">IF(Control!$C$114=1, $KI323+ $KH323, 0)</f>
        <v>#N/A</v>
      </c>
      <c r="KJ324" s="217" t="e">
        <f t="shared" ca="1" si="1013"/>
        <v>#N/A</v>
      </c>
      <c r="KK324" s="218" t="e">
        <f t="shared" ca="1" si="1014"/>
        <v>#N/A</v>
      </c>
      <c r="KL324" s="274" t="e">
        <f ca="1">IF(Control!$B$26=3,4000000000*EXP(-8400/($G324+273)),IF(Control!$B$26=4,4000000000*EXP(-8400/($G324+273))*($KT324),0))</f>
        <v>#DIV/0!</v>
      </c>
      <c r="KM324" s="274" t="e">
        <f ca="1">IF(Control!$B$26=3,5600000000000*EXP(-9800/($G324+273)),IF(Control!$B$26=4,5600000000000*EXP(-9800/($G324+273))*$KT324,0))</f>
        <v>#DIV/0!</v>
      </c>
      <c r="KN324" s="454" t="e">
        <f t="shared" ca="1" si="1112"/>
        <v>#DIV/0!</v>
      </c>
      <c r="KO324" s="274" t="e">
        <f t="shared" ca="1" si="1113"/>
        <v>#DIV/0!</v>
      </c>
      <c r="KP324" s="454" t="e">
        <f t="shared" ca="1" si="1015"/>
        <v>#DIV/0!</v>
      </c>
      <c r="KQ324" s="454" t="e">
        <f t="shared" ca="1" si="1016"/>
        <v>#DIV/0!</v>
      </c>
      <c r="KR324" s="454" t="e">
        <f t="shared" ca="1" si="1017"/>
        <v>#DIV/0!</v>
      </c>
      <c r="KS324" s="454" t="e">
        <f t="shared" ca="1" si="1018"/>
        <v>#DIV/0!</v>
      </c>
      <c r="KT324" s="455" t="e">
        <f t="shared" ca="1" si="1019"/>
        <v>#DIV/0!</v>
      </c>
      <c r="KU324" s="456" t="e">
        <f ca="1">IF($CP324-Control!$C$149&lt;0, IF($NT324-0.01&lt;0,0,1),0)</f>
        <v>#N/A</v>
      </c>
      <c r="KV324" s="456" t="e">
        <f ca="1">IF(Control!$C$114=1,MAX(0,MIN(Control!$C$125*$KW324*$GN324,$KW324)))</f>
        <v>#DIV/0!</v>
      </c>
      <c r="KW324" s="456" t="e">
        <f t="shared" ca="1" si="1146"/>
        <v>#DIV/0!</v>
      </c>
      <c r="KX324" s="457" t="e">
        <f ca="1">IF($CP324-Control!$C$149&lt;0, IF($MR324-$OM324&lt;0,0,1),0)</f>
        <v>#N/A</v>
      </c>
      <c r="KY324" s="167">
        <f t="shared" ca="1" si="1114"/>
        <v>320</v>
      </c>
      <c r="KZ324" s="168">
        <f ca="1">1370*(1+0.033*COS(2*Control!$C$138*$AH324/365))</f>
        <v>1402.3107911218008</v>
      </c>
      <c r="LA324" s="169">
        <f t="shared" ca="1" si="1115"/>
        <v>1.0235842217394178</v>
      </c>
      <c r="LB324" s="169">
        <f t="shared" ca="1" si="1116"/>
        <v>-0.33897775897836802</v>
      </c>
      <c r="LC324" s="169">
        <f ca="1">ACOS(-TAN((2*Control!$B$8/360))*TAN(Calculations!$LB324))</f>
        <v>1.4658135887081547</v>
      </c>
      <c r="LD324" s="169">
        <f ca="1">((24*60)/PI())*0.082*$LA324*(($LC324*SIN(Control!$B$8*2*PI()/360))*SIN($LB324)+COS(Control!$B$8*2*PI()/360)*COS($LB324)*SIN($LC324))</f>
        <v>7.4382954163313535</v>
      </c>
      <c r="LE324" s="170">
        <f t="shared" ca="1" si="1020"/>
        <v>8.8853967236691123</v>
      </c>
      <c r="LF324" s="170">
        <f ca="1">SIN(Control!$C$139*Control!$B$8)*SIN($HD324)</f>
        <v>-0.25837556261014111</v>
      </c>
      <c r="LG324" s="170">
        <f ca="1">COS(Control!$C$139*Control!$B$8)*COS($HD324)</f>
        <v>0.58162515892497191</v>
      </c>
      <c r="LH324" s="170">
        <f ca="1">12*(1+2*ASIN(MAX(-1,MIN(1,$LF324/$LG324))/Control!$C$138))</f>
        <v>8.5949256626296613</v>
      </c>
      <c r="LI324" s="170">
        <f ca="1">12*(1+2*ASIN(MAX(-1,MIN(1,(-SIN(-4*Control!$C$139)+$LF324)/$LG324))/Control!$C$138))</f>
        <v>9.5181430023870153</v>
      </c>
      <c r="LJ324" s="168">
        <f ca="1">3600*($LH324*$LF324+24*$LG324*SQRT(1-$LK324*$LK324)/Control!$C$138)</f>
        <v>6336.2535465915489</v>
      </c>
      <c r="LK324" s="170">
        <f t="shared" ca="1" si="1021"/>
        <v>-0.44423037526041897</v>
      </c>
      <c r="LL324" s="170">
        <f t="shared" ca="1" si="1022"/>
        <v>0</v>
      </c>
      <c r="LM324" s="171">
        <f ca="1">Control!$C$145*$AB324</f>
        <v>6.6660906138995932E-2</v>
      </c>
      <c r="LN324" s="170">
        <f t="shared" ca="1" si="1117"/>
        <v>0.54</v>
      </c>
      <c r="LO324" s="170">
        <f t="shared" ca="1" si="1023"/>
        <v>0</v>
      </c>
      <c r="LP324" s="170">
        <f ca="1">Control!$C$140*((($D324+273.16)^4+($E324+273.16)^4)/2)*(0.34-0.14*SQRT($Y324))*(1.35*$AQ324/(0.75*$LD324)-0.35)</f>
        <v>-3.2464704755046001</v>
      </c>
      <c r="LQ324" s="170">
        <f ca="1">Control!$C$140*($G324+273)^4*(0.56-0.079*SQRT($Y324*10))*(0.1+0.9*$LO324)</f>
        <v>1.5241745131704001</v>
      </c>
      <c r="LR324" s="170">
        <f ca="1">$AQ324*(1-Control!$C$142)-$LQ324</f>
        <v>-1.5241745131704001</v>
      </c>
      <c r="LS324" s="170">
        <f ca="1">$AQ324*(1-Control!$C$143)-$LQ324</f>
        <v>-1.5241745131704001</v>
      </c>
      <c r="LT324" s="170">
        <f ca="1">$AQ324*(1-Control!$C$144)-$LQ324</f>
        <v>-1.5241745131704001</v>
      </c>
      <c r="LU324" s="169">
        <f ca="1">(1-Control!$C$144)*AQ324-LP324</f>
        <v>3.2464704755046001</v>
      </c>
      <c r="LV324" s="172">
        <f t="shared" ca="1" si="1024"/>
        <v>0.79430000000000012</v>
      </c>
      <c r="LW324" s="170">
        <f t="shared" ca="1" si="1025"/>
        <v>1.5886000000000002</v>
      </c>
      <c r="LX324" s="170">
        <f ca="1">($AC324*($LR324/Control!$C$141)+$LM324*$LV324)/($AC324+$LM324)</f>
        <v>0.23530094218323697</v>
      </c>
      <c r="LY324" s="170">
        <f ca="1">($AC324*($LS324/Control!$C$141)+$LM324*$LV324)/($AC324+$LM324)</f>
        <v>0.23530094218323697</v>
      </c>
      <c r="LZ324" s="170">
        <f t="shared" ca="1" si="1026"/>
        <v>0.23530094218323697</v>
      </c>
      <c r="MA324" s="170">
        <f t="shared" ca="1" si="1027"/>
        <v>0.23530094218323697</v>
      </c>
      <c r="MB324" s="170" t="e">
        <f t="shared" ca="1" si="1028"/>
        <v>#N/A</v>
      </c>
      <c r="MC324" s="170">
        <f t="shared" ca="1" si="1118"/>
        <v>0.6018</v>
      </c>
      <c r="MD324" s="170">
        <f t="shared" ca="1" si="1029"/>
        <v>0.52989392535414004</v>
      </c>
      <c r="ME324" s="170">
        <f ca="1">($AC324*($LT324/Control!$C$141)+$LM324*$LW324)/($AC324+$LM324)</f>
        <v>0.71612369323045078</v>
      </c>
      <c r="MF324" s="170" t="e">
        <f ca="1">IF(Control!$B$16&gt;=1000,0.92,IF(AND(720&lt;=Control!$B$16,1000&gt;Control!$B$16),(0.95+(Control!$B$16-720)*((0.92-0.95)/(1000-720))),IF(AND(360&lt;=Control!$B$16,720&gt;Control!$B$16),(1+(Control!$B$16-360)*((0.95-1)/(720-360))),IF(AND(40&lt;=Control!$B$16,360&gt;Control!$B$16),(1.05+(Control!$B$16-40)*((1.05-1)/(360-40)))))))</f>
        <v>#N/A</v>
      </c>
      <c r="MG324" s="170">
        <f t="shared" ca="1" si="1030"/>
        <v>0.71612369323045078</v>
      </c>
      <c r="MH324" s="170" t="e">
        <f t="shared" ca="1" si="1157"/>
        <v>#N/A</v>
      </c>
      <c r="MI324" s="170" t="e">
        <f t="shared" ca="1" si="1157"/>
        <v>#N/A</v>
      </c>
      <c r="MJ324" s="170" t="e">
        <f ca="1">MAX(0.0001, Control!$C$132*$MI324*$DL324)</f>
        <v>#N/A</v>
      </c>
      <c r="MK324" s="170">
        <f ca="1">1/(0.76+1.5*($MG324/10))-(5-Control!$C$110)*0.1</f>
        <v>1.002845988140797</v>
      </c>
      <c r="ML324" s="173">
        <f ca="1">IF(Control!$C$110&lt;3,$MK324+($MG324-0.6)/(Control!$C$110*(Control!$C$110+3)), MAX(0.1, MIN(0.95,$MK324)))</f>
        <v>0.95</v>
      </c>
      <c r="MM324" s="173">
        <f ca="1">IF(Control!$C$110&lt;3,$MK324+(($MI324/10)-0.6)/(Control!$C$110*(Control!$C$110+3)), MAX(0.1, MIN(0.95,$MK324)))</f>
        <v>0.95</v>
      </c>
      <c r="MN324" s="173">
        <f ca="1">(1-$MM324)*(Control!$C$128-Control!$C$127)+Control!$C$127</f>
        <v>0.16</v>
      </c>
      <c r="MO324" s="170" t="e">
        <f ca="1">MAX(0,MIN(1,($MS324-Control!$C$127)/($MN324-Control!$C$127)))</f>
        <v>#DIV/0!</v>
      </c>
      <c r="MP324" s="173" t="e">
        <f ca="1">1/(0.76+1.5*$MI324)-(5-Control!$C$110)*0.1</f>
        <v>#N/A</v>
      </c>
      <c r="MQ324" s="172" t="e">
        <f t="shared" ca="1" si="1147"/>
        <v>#DIV/0!</v>
      </c>
      <c r="MR324" s="168" t="e">
        <f t="shared" ca="1" si="1119"/>
        <v>#DIV/0!</v>
      </c>
      <c r="MS324" s="173" t="e">
        <f ca="1">MAX(Control!$C$127, MIN(Control!$C$135, $MR324/MAX(0.0001,$CY324)))</f>
        <v>#DIV/0!</v>
      </c>
      <c r="MT324" s="168" t="e">
        <f ca="1">(Control!$C$128-$MS324)*Control!$C$74</f>
        <v>#DIV/0!</v>
      </c>
      <c r="MU324" s="168" t="e">
        <f ca="1">(Control!$C$135-$MS324)*Control!$C$74</f>
        <v>#DIV/0!</v>
      </c>
      <c r="MV324" s="168" t="e">
        <f t="shared" ca="1" si="1120"/>
        <v>#DIV/0!</v>
      </c>
      <c r="MW324" s="168" t="e">
        <f t="shared" ca="1" si="1121"/>
        <v>#DIV/0!</v>
      </c>
      <c r="MX324" s="171" t="e">
        <f ca="1">MAX(Control!$C$127, MIN(Control!$C$135, $MW324/MAX(0.0001,Control!$C$119-$CY324)))</f>
        <v>#DIV/0!</v>
      </c>
      <c r="MY324" s="54" t="e">
        <f ca="1">IF(Control!$C$114=1, $CX324*$MX324, 0)</f>
        <v>#DIV/0!</v>
      </c>
      <c r="MZ324" s="54" t="e">
        <f t="shared" ca="1" si="1122"/>
        <v>#N/A</v>
      </c>
      <c r="NA324" s="168" t="e">
        <f ca="1">(Control!$C$128-$MX324)*(Control!$C$119-Control!$C$74)</f>
        <v>#DIV/0!</v>
      </c>
      <c r="NB324" s="168" t="e">
        <f ca="1">(Control!$C$135-$MX324)*(Control!$C$119-Control!$C$74)</f>
        <v>#DIV/0!</v>
      </c>
      <c r="NC324" s="174" t="e">
        <f t="shared" ca="1" si="1123"/>
        <v>#DIV/0!</v>
      </c>
      <c r="ND324" s="54">
        <f ca="1">IF(Control!$C$58=2, IF(OR(Control!$B$218=$AH324,Control!$B$219=$AH324, Control!$B$220=$AH324, Control!$B$221=$AH324, Control!$B$222=$AH324, Control!$B$223=$AH324, Control!$B$224=$AH324, Control!$B$225=$AH324, Control!$B$226=$AH324, Control!$B$227=$AH324, Control!$B$228=$AH324), 1, 0), 0)</f>
        <v>0</v>
      </c>
      <c r="NE324" s="54">
        <f ca="1">IF($ND324=0,0, VLOOKUP($AH324,Control!$B$218:$C$228,2))</f>
        <v>0</v>
      </c>
      <c r="NF324" s="168" t="e">
        <f ca="1">$CY324*(Control!$C$128-Control!$C$127)</f>
        <v>#N/A</v>
      </c>
      <c r="NG324" s="54" t="e">
        <f ca="1">IF(Control!$C$58=2, $NI323-$NJ323, 0)</f>
        <v>#DIV/0!</v>
      </c>
      <c r="NH324" s="54" t="e">
        <f ca="1">IF(AND(Control!$C$58=1, $MS323&lt;= ($MN323+0.02), $I323&lt;10), 0, IF(Control!$C$58=2, $NG323, 0))</f>
        <v>#DIV/0!</v>
      </c>
      <c r="NI324" s="54" t="e">
        <f ca="1">IF(Control!$C$58=2, $NE324+$NH324,0)</f>
        <v>#DIV/0!</v>
      </c>
      <c r="NJ324" s="54" t="e">
        <f ca="1">IF(AND(Control!$C$58=1, $MS324&lt;= ($MN324+0.02), $I324&lt;10), MAX(0, MIN(10, 0.7*($NF324-$MV324))), IF(Control!$C$58=2, MIN(10,$NI324),0))</f>
        <v>#DIV/0!</v>
      </c>
      <c r="NK324" s="54" t="e">
        <f t="shared" ca="1" si="1031"/>
        <v>#DIV/0!</v>
      </c>
      <c r="NL324" s="173" t="e">
        <f ca="1">(1-Control!$C$73)*$I324+$NJ324</f>
        <v>#DIV/0!</v>
      </c>
      <c r="NM324" s="172" t="e">
        <f ca="1">IF($NL324&lt;0.5, $MB324* MAX(0, MIN(1, (SQRT($NC324)-SQRT($NC324-1))*Control!$C$71)),0)</f>
        <v>#DIV/0!</v>
      </c>
      <c r="NN324" s="170" t="e">
        <f ca="1">IF($NL324&gt;=5, $MB324, MAX(0,MIN($MB324, $NM324+$NL324,($MS324-Control!$C$129))))</f>
        <v>#DIV/0!</v>
      </c>
      <c r="NO324" s="54">
        <f>IF(Control!$C$133&lt;&gt;1, Control!$C$135-Control!$C$131, 0)</f>
        <v>0.38</v>
      </c>
      <c r="NP324" s="54" t="e">
        <f t="shared" ca="1" si="1032"/>
        <v>#DIV/0!</v>
      </c>
      <c r="NQ324" s="173" t="e">
        <f ca="1">MAX(0,MIN(1,(Control!$C$135-$MS324)/(Control!$C$135-$NO324)))</f>
        <v>#DIV/0!</v>
      </c>
      <c r="NR324" s="170" t="e">
        <f ca="1">IF(Control!$C$133&lt;&gt;1, $NQ324+((1-$NP324/4)*(1-$NQ324)),1)</f>
        <v>#DIV/0!</v>
      </c>
      <c r="NS324" s="170" t="e">
        <f ca="1">IF(Control!$B$31=0,$MJ324,MAX(0,MIN($MV324,$MO324*$NR324*$MJ324)))</f>
        <v>#DIV/0!</v>
      </c>
      <c r="NT324" s="170" t="e">
        <f t="shared" ca="1" si="1148"/>
        <v>#DIV/0!</v>
      </c>
      <c r="NU324" s="170" t="e">
        <f t="shared" ca="1" si="1124"/>
        <v>#N/A</v>
      </c>
      <c r="NV324" s="170" t="e">
        <f t="shared" ca="1" si="1033"/>
        <v>#N/A</v>
      </c>
      <c r="NW324" s="175" t="e">
        <f t="shared" ca="1" si="1034"/>
        <v>#DIV/0!</v>
      </c>
      <c r="NX324" s="170" t="e">
        <f ca="1">MIN(Control!$C$72+$MU324, $NW324)</f>
        <v>#DIV/0!</v>
      </c>
      <c r="NY324" s="170" t="e">
        <f ca="1">IF($MT324&lt;=$NX324,MIN(Control!$C$72+$NB324,$NX324-$MT324),0)</f>
        <v>#DIV/0!</v>
      </c>
      <c r="NZ324" s="54" t="e">
        <f ca="1">IF(Control!$C$114=1,  $CX324*($MX324-Control!$C$127), 0)</f>
        <v>#DIV/0!</v>
      </c>
      <c r="OA324" s="170" t="e">
        <f t="shared" ca="1" si="1035"/>
        <v>#DIV/0!</v>
      </c>
      <c r="OB324" s="170" t="e">
        <f ca="1">IF($NA324 &lt;=$NY324, MIN(Control!$C$72, $NY324-$NA324), 0)</f>
        <v>#DIV/0!</v>
      </c>
      <c r="OC324" s="168" t="e">
        <f t="shared" ca="1" si="1036"/>
        <v>#DIV/0!</v>
      </c>
      <c r="OD324" s="168" t="e">
        <f t="shared" ca="1" si="1125"/>
        <v>#DIV/0!</v>
      </c>
      <c r="OE324" s="170">
        <f ca="1">Control!$C$73*$I324</f>
        <v>0</v>
      </c>
      <c r="OF324" s="176" t="e">
        <f t="shared" ca="1" si="1037"/>
        <v>#DIV/0!</v>
      </c>
      <c r="OG324" s="168" t="e">
        <f t="shared" ca="1" si="1038"/>
        <v>#DIV/0!</v>
      </c>
      <c r="OH324" s="168" t="e">
        <f t="shared" ca="1" si="1039"/>
        <v>#DIV/0!</v>
      </c>
      <c r="OI324" s="168" t="e">
        <f t="shared" ca="1" si="1040"/>
        <v>#DIV/0!</v>
      </c>
      <c r="OJ324" s="168" t="e">
        <f t="shared" ca="1" si="1041"/>
        <v>#DIV/0!</v>
      </c>
      <c r="OK324" s="204" t="e">
        <f t="shared" ca="1" si="1042"/>
        <v>#DIV/0!</v>
      </c>
      <c r="OL324" s="177">
        <f>Control!$C$127</f>
        <v>0.15</v>
      </c>
      <c r="OM324" s="182" t="e">
        <f t="shared" ca="1" si="1043"/>
        <v>#N/A</v>
      </c>
      <c r="ON324" s="177">
        <f>Control!$C$128</f>
        <v>0.35</v>
      </c>
      <c r="OO324" s="182" t="e">
        <f t="shared" ca="1" si="1044"/>
        <v>#N/A</v>
      </c>
      <c r="OP324" s="138">
        <f t="shared" ca="1" si="1126"/>
        <v>0</v>
      </c>
      <c r="OQ324" s="138" t="e">
        <f t="shared" ca="1" si="1149"/>
        <v>#DIV/0!</v>
      </c>
      <c r="OR324" s="138" t="e">
        <f t="shared" ca="1" si="1127"/>
        <v>#DIV/0!</v>
      </c>
      <c r="OS324" s="137" t="e">
        <f t="shared" ca="1" si="1150"/>
        <v>#DIV/0!</v>
      </c>
      <c r="OT324" s="139" t="e">
        <f t="shared" ca="1" si="1151"/>
        <v>#DIV/0!</v>
      </c>
      <c r="OU324" s="138" t="e">
        <f t="shared" ca="1" si="1152"/>
        <v>#N/A</v>
      </c>
      <c r="OV324" s="138" t="e">
        <f t="shared" ca="1" si="1153"/>
        <v>#DIV/0!</v>
      </c>
      <c r="OW324" s="138" t="e">
        <f t="shared" ca="1" si="1128"/>
        <v>#DIV/0!</v>
      </c>
      <c r="OX324" s="138" t="e">
        <f t="shared" ca="1" si="1129"/>
        <v>#DIV/0!</v>
      </c>
      <c r="OY324" s="138" t="e">
        <f t="shared" ca="1" si="1130"/>
        <v>#DIV/0!</v>
      </c>
      <c r="OZ324" s="138" t="e">
        <f t="shared" ca="1" si="1045"/>
        <v>#DIV/0!</v>
      </c>
      <c r="PA324" s="138" t="e">
        <f t="shared" ca="1" si="1046"/>
        <v>#DIV/0!</v>
      </c>
      <c r="PB324" s="55">
        <f>IF(Control!$C$61="T", IF(Control!$C$65="F", IF($AH$6-Control!$C$60&lt;0,0,1), IF(365+$AH$6-Control!$C$60&lt;0,0,1)),0)</f>
        <v>0</v>
      </c>
      <c r="PC324" s="55">
        <f ca="1">IF(Control!$C$65="F", IF($AH$6-$HF324&lt;0,0,1), IF(365+$AH$6-$HF324&lt;0,0,1))</f>
        <v>1</v>
      </c>
      <c r="PD324" s="444">
        <f>Control!$C$118</f>
        <v>1500</v>
      </c>
      <c r="PE324" s="180" t="e">
        <f t="shared" ca="1" si="1047"/>
        <v>#N/A</v>
      </c>
      <c r="PF324" s="445">
        <f t="shared" ca="1" si="1131"/>
        <v>0.71612369323045078</v>
      </c>
      <c r="PT324" s="186"/>
      <c r="PU324" s="186"/>
      <c r="PV324" s="94"/>
      <c r="PW324" s="94"/>
      <c r="PX324" s="94"/>
      <c r="PY324" s="94"/>
      <c r="PZ324" s="94"/>
      <c r="QA324" s="94"/>
      <c r="QB324" s="94"/>
      <c r="QC324" s="94"/>
      <c r="QD324" s="94"/>
      <c r="QE324" s="94"/>
      <c r="QF324" s="94"/>
      <c r="QG324" s="94"/>
      <c r="QH324" s="94"/>
      <c r="QI324" s="94"/>
      <c r="QJ324" s="94"/>
      <c r="QK324" s="94"/>
      <c r="QL324" s="94"/>
      <c r="QM324" s="94"/>
      <c r="QN324" s="94"/>
      <c r="QO324" s="94"/>
      <c r="QP324" s="94"/>
    </row>
    <row r="325" spans="1:458" s="2" customFormat="1" x14ac:dyDescent="0.2">
      <c r="A325" s="395">
        <v>16</v>
      </c>
      <c r="B325" s="396">
        <v>11</v>
      </c>
      <c r="C325" s="387">
        <f ca="1">Weather_data!$B324</f>
        <v>0</v>
      </c>
      <c r="D325" s="388">
        <f ca="1">Weather_data!$F324</f>
        <v>0</v>
      </c>
      <c r="E325" s="388">
        <f ca="1">Weather_data!$E324</f>
        <v>0</v>
      </c>
      <c r="F325" s="388">
        <f t="shared" ca="1" si="1048"/>
        <v>0</v>
      </c>
      <c r="G325" s="388">
        <f ca="1">AVERAGE($D325:$E325)+Control!$B$9</f>
        <v>0</v>
      </c>
      <c r="H325" s="388">
        <f ca="1">Weather_data!$G324</f>
        <v>0</v>
      </c>
      <c r="I325" s="388">
        <f ca="1">Weather_data!$I324</f>
        <v>0</v>
      </c>
      <c r="J325" s="388">
        <f ca="1">Weather_data!$H324</f>
        <v>0</v>
      </c>
      <c r="K325" s="389">
        <f ca="1">Weather_data!$D324</f>
        <v>0</v>
      </c>
      <c r="L325" s="388" t="e">
        <f t="shared" ca="1" si="1049"/>
        <v>#N/A</v>
      </c>
      <c r="M325" s="388" t="e">
        <f t="shared" ca="1" si="927"/>
        <v>#N/A</v>
      </c>
      <c r="N325" s="388">
        <f t="shared" ca="1" si="928"/>
        <v>-1.2656992287938892E-15</v>
      </c>
      <c r="O325" s="388">
        <f t="shared" ca="1" si="1050"/>
        <v>1.2656992287938893E-14</v>
      </c>
      <c r="P325" s="390">
        <v>3</v>
      </c>
      <c r="Q325" s="388">
        <f ca="1">MAX($G325-Control!$C$107,0)</f>
        <v>0</v>
      </c>
      <c r="R325" s="388">
        <f t="shared" ca="1" si="1051"/>
        <v>0</v>
      </c>
      <c r="S325" s="388">
        <f t="shared" ca="1" si="929"/>
        <v>0</v>
      </c>
      <c r="T325" s="388">
        <f t="shared" ca="1" si="930"/>
        <v>0</v>
      </c>
      <c r="U325" s="59">
        <f t="shared" ca="1" si="931"/>
        <v>0</v>
      </c>
      <c r="V325" s="391">
        <f ca="1">MAX(0,MIN(Control!$C$100-Control!$C$99,$G325-Control!$C$99)*Control!$C$63)</f>
        <v>0</v>
      </c>
      <c r="W325" s="388">
        <f t="shared" ca="1" si="1052"/>
        <v>0</v>
      </c>
      <c r="X325" s="388">
        <f t="shared" ca="1" si="1053"/>
        <v>0.6110000000000001</v>
      </c>
      <c r="Y325" s="388">
        <f t="shared" ca="1" si="932"/>
        <v>0</v>
      </c>
      <c r="Z325" s="388">
        <f t="shared" ca="1" si="1054"/>
        <v>0.61058800000000002</v>
      </c>
      <c r="AA325" s="388">
        <f t="shared" ca="1" si="933"/>
        <v>0.6018</v>
      </c>
      <c r="AB325" s="388">
        <f ca="1">101.3*EXP(-0.034*Control!$C$66/($G325+273))</f>
        <v>100.69623283836242</v>
      </c>
      <c r="AC325" s="392">
        <f t="shared" ca="1" si="934"/>
        <v>4.3460251046025113E-2</v>
      </c>
      <c r="AD325" s="392">
        <f t="shared" ca="1" si="935"/>
        <v>4.4450382862832649E-2</v>
      </c>
      <c r="AE325" s="388">
        <f t="shared" ca="1" si="936"/>
        <v>0</v>
      </c>
      <c r="AF325" s="388">
        <f ca="1">MAX(0,$G325-Control!$C$92)</f>
        <v>0</v>
      </c>
      <c r="AG325" s="393">
        <f t="shared" ca="1" si="937"/>
        <v>321</v>
      </c>
      <c r="AH325" s="389">
        <f t="shared" ca="1" si="938"/>
        <v>321</v>
      </c>
      <c r="AI325" s="388">
        <f t="shared" ca="1" si="1055"/>
        <v>-0.33812202941184272</v>
      </c>
      <c r="AJ325" s="388">
        <f ca="1">IF(Control!$C$60&lt;=0,$HH325,$HI325)</f>
        <v>1</v>
      </c>
      <c r="AK325" s="388">
        <f t="shared" ca="1" si="939"/>
        <v>4.1486237233706316</v>
      </c>
      <c r="AL325" s="388">
        <f t="shared" ca="1" si="940"/>
        <v>-7.39389625914466E-18</v>
      </c>
      <c r="AM325" s="388">
        <f t="shared" ca="1" si="941"/>
        <v>4.1486237233706316</v>
      </c>
      <c r="AN325" s="388">
        <f t="shared" ca="1" si="942"/>
        <v>-0.34292166162978371</v>
      </c>
      <c r="AO325" s="388">
        <f ca="1">-0.10453/COS(Control!$B$8*PI()/180)*COS(AN325)</f>
        <v>-0.15989936237671082</v>
      </c>
      <c r="AP325" s="388">
        <f ca="1">ACOS(AO325-TAN(Control!$B$8*PI()/180)*TAN(AN325))</f>
        <v>1.2691683858038671</v>
      </c>
      <c r="AQ325" s="388">
        <f t="shared" ca="1" si="1056"/>
        <v>0</v>
      </c>
      <c r="AR325" s="394">
        <f t="shared" ca="1" si="943"/>
        <v>0</v>
      </c>
      <c r="AS325" s="436">
        <f ca="1">IF(Control!$B$18=2,(IF(OR($AH325=Control!$B$175,$AH325=Control!$B$176,$AH325=Control!$B$177,$AH325=Control!$B$178,$AH325=Control!$B$179,$AH325=Control!$B$180,$AH325=Control!$B$181,$AH325=Control!$B$182,$AH325=Control!$B$183,$AH325=Control!$B$184,$AH325=Control!$B$185),1,0)),0)</f>
        <v>0</v>
      </c>
      <c r="AT325" s="436">
        <f>IF(Control!$B$20=8,IF(AND($AH325&gt;=Control!$B$172,$AH325&lt;=Control!$B$173),1,0),0)</f>
        <v>0</v>
      </c>
      <c r="AU325" s="436">
        <f>IF(Control!$B$20=8,IF($AV324=1,1*$AT325,IF($AT325=1,$AU324+1,$AU324)),0)</f>
        <v>0</v>
      </c>
      <c r="AV325" s="436">
        <f>IF(Control!$B$20=8,IF($AU325&gt;=Control!$B$174,1,0),0)</f>
        <v>0</v>
      </c>
      <c r="AW325" s="436">
        <f ca="1">IF(AND(Control!$B$18=2,Control!$B$171=1), $AV325, $AS325)</f>
        <v>0</v>
      </c>
      <c r="AX325" s="436" t="e">
        <f ca="1">IF(AND(Control!$B$18=1,$EU325&gt;=Control!$B$19),-$AY325,IF(AND(Control!$B$18=2,$AW325=1,$EU325&gt;$DS325),-$AY325, IF(Control!$C$108=0,0, IF(Control!$C$108&lt;&gt;0,1))))</f>
        <v>#N/A</v>
      </c>
      <c r="AY325" s="436" t="e">
        <f t="shared" ca="1" si="1057"/>
        <v>#N/A</v>
      </c>
      <c r="AZ325" s="436" t="e">
        <f ca="1">IF(AND(Control!$B$18=1,$EB325&gt;Control!$B$19),$AZ324+1, IF(AND(Control!$B$18=2, $AW325=1, $EB325&gt;$DS325), $AZ324+1,$AZ324))</f>
        <v>#N/A</v>
      </c>
      <c r="BA325" s="587">
        <f>IF(Control!$C$81=0,1,IF($AH325&gt;=Control!$C$82,1,0))</f>
        <v>1</v>
      </c>
      <c r="BB325" s="140" t="e">
        <f ca="1">IF($BA325&gt;$BA324,Control!$C$83,IF($AW325&gt;0,$AW325*Control!$C$84,IF(AND(Control!$B$18=1,EN324&lt;&gt;0),Control!$C$84,0)))</f>
        <v>#N/A</v>
      </c>
      <c r="BC325" s="140" t="e">
        <f t="shared" ca="1" si="1058"/>
        <v>#N/A</v>
      </c>
      <c r="BD325" s="140" t="e">
        <f ca="1">BC325*IF(OR($G325&lt;Control!$C$92,$G325&gt;Control!$C$95),0,IF(AND($G325&gt;=Control!$C$92,$G325&lt;=Control!$C$93),$G325-Control!$C$92,IF(AND($G325&gt;Control!$C$93,$G325&lt;=Control!$C$94),Control!$C$93-Control!$C$92,IF(AND($G325&gt;Control!$C$94,$G325&lt;=Control!$C$95),(Control!$C$93-Control!$C$92)*(Control!$C$94-$G325)/(Control!$C$95-Control!$C$94)))))</f>
        <v>#N/A</v>
      </c>
      <c r="BE325" s="140" t="e">
        <f t="shared" ca="1" si="1059"/>
        <v>#N/A</v>
      </c>
      <c r="BF325" s="140" t="e">
        <f ca="1">IF($BE325&lt;=Control!$C$86,$BE325,Control!$C$86-$BE325)</f>
        <v>#N/A</v>
      </c>
      <c r="BG325" s="140" t="e">
        <f ca="1">IF(AND($AW325=1,Control!$C$84&lt;9),1,IF($BE325&gt;=Control!$C$86,0,$BC325))</f>
        <v>#N/A</v>
      </c>
      <c r="BH325" s="404" t="e">
        <f ca="1">IF($BG325=0,0,IF($BE325&lt;=Control!$C$86,$BC325*9*($BF325/Control!$C$86),0))</f>
        <v>#N/A</v>
      </c>
      <c r="BI325" s="140" t="e">
        <f ca="1">IF($BG325=1,0,IF($BE325&gt;=Control!$C$86,1,IF(AND($BB325&lt;21,$BB325&gt;=9),1,$BM324)))</f>
        <v>#N/A</v>
      </c>
      <c r="BJ325" s="140" t="e">
        <f ca="1">IF($BF325&lt;0,-$BF325,$BI325*IF(OR($G325&lt;Control!$C$92,$G325&gt;Control!$C$95),0,IF(AND($G325&gt;=Control!$C$92,$G325&lt;=Control!$C$93),$G325-Control!$C$92,IF(AND($G325&gt;Control!$C$93,$G325&lt;=Control!$C$94),Control!$C$93-Control!$C$92,IF(AND($G325&gt;Control!$C$94,$G325&lt;=Control!$C$95),(Control!$C$93-Control!$C$92)*(Control!$C$94-$G325)/(Control!$C$95-Control!$C$94))))))</f>
        <v>#N/A</v>
      </c>
      <c r="BK325" s="140" t="e">
        <f t="shared" ca="1" si="1060"/>
        <v>#N/A</v>
      </c>
      <c r="BL325" s="140" t="e">
        <f ca="1">IF($BK325&lt;=Control!$C$87,$BK325,Control!$C$87-$BK325)</f>
        <v>#N/A</v>
      </c>
      <c r="BM325" s="140" t="e">
        <f ca="1">IF(AND($BB325&gt;=9,$BB325&lt;21),1,IF($BK325&gt;=Control!$C$87,0,$BI325))</f>
        <v>#N/A</v>
      </c>
      <c r="BN325" s="404" t="e">
        <f ca="1">IF($BM325=0,0,IF($BK325&lt;=Control!$C$87,$BI325*(9+(21-9)*($BL325/Control!$C$87)),0))</f>
        <v>#N/A</v>
      </c>
      <c r="BO325" s="140" t="e">
        <f ca="1">IF($BM325=1,0,IF($BK325&gt;=Control!$C$87,1,IF(AND($BB325&lt;30,$BB325&gt;=21),1,$BS324)))</f>
        <v>#N/A</v>
      </c>
      <c r="BP325" s="140" t="e">
        <f ca="1">IF($BL325&lt;0,-$BL325,$BO325*IF(OR($G325&lt;Control!$C$92,$G325&gt;Control!$C$95),0,IF(AND($G325&gt;=Control!$C$92,$G325&lt;=Control!$C$93),$G325-Control!$C$92,IF(AND($G325&gt;Control!$C$93,$G325&lt;=Control!$C$94),Control!$C$93-Control!$C$92,IF(AND($G325&gt;Control!$C$94,$G325&lt;=Control!$C$95),(Control!$C$93-Control!$C$92)*(Control!$C$94-$G325)/(Control!$C$95-Control!$C$94))))))</f>
        <v>#N/A</v>
      </c>
      <c r="BQ325" s="140" t="e">
        <f t="shared" ca="1" si="944"/>
        <v>#N/A</v>
      </c>
      <c r="BR325" s="140" t="e">
        <f ca="1">IF($BQ325&lt;=Control!$C$88,$BQ325,Control!$C$88-$BQ325)</f>
        <v>#N/A</v>
      </c>
      <c r="BS325" s="140" t="e">
        <f ca="1">IF(AND($BB325&gt;=21,$BB325&lt;30),1,IF($BQ325&gt;=Control!$C$88,0,$BO325))</f>
        <v>#N/A</v>
      </c>
      <c r="BT325" s="404" t="e">
        <f ca="1">IF($BS325=0,0,IF($BQ325&lt;=Control!$C$88,$BO325*(21+(30-21)*(BR325/Control!$C$88)),0))</f>
        <v>#N/A</v>
      </c>
      <c r="BU325" s="140" t="e">
        <f ca="1">IF(BG325+BM325+BS325=1,0,IF(OR(AND($BB325&lt;60,$BB325&gt;=30),$BQ325&gt;=Control!$C$88),1*$BA325,$BY324))</f>
        <v>#N/A</v>
      </c>
      <c r="BV325" s="140" t="e">
        <f ca="1">IF($BR325&lt;0,-$BR325,$BU325*IF(OR($G325&lt;Control!$C$92,$G325&gt;Control!$C$95),0,IF(AND($G325&gt;=Control!$C$92,$G325&lt;=Control!$C$93),$G325-Control!$C$92,IF(AND($G325&gt;Control!$C$93,$G325&lt;=Control!$C$94),Control!$C$93-Control!$C$92,IF(AND($G325&gt;Control!$C$94,$G325&lt;=Control!$C$95),(Control!$C$93-Control!$C$92)*(Control!$C$94-$G325)/(Control!$C$95-Control!$C$94))))))</f>
        <v>#N/A</v>
      </c>
      <c r="BW325" s="140" t="e">
        <f t="shared" ca="1" si="945"/>
        <v>#N/A</v>
      </c>
      <c r="BX325" s="140" t="e">
        <f ca="1">IF($BW325&lt;=Control!$C$89,$BW325,Control!$C$89-$BW325)</f>
        <v>#N/A</v>
      </c>
      <c r="BY325" s="140" t="e">
        <f ca="1">IF(AND($AJ325&gt;=30,$AJ325&lt;60),1,IF($BW325&gt;=Control!$C$89,0,$BU325))</f>
        <v>#N/A</v>
      </c>
      <c r="BZ325" s="404" t="e">
        <f ca="1">IF($BY325=0,0,IF($BW325&lt;=Control!$C$89,$BU325*(30+(60-30)*(BX325/Control!$C$89)),0))</f>
        <v>#N/A</v>
      </c>
      <c r="CA325" s="140" t="e">
        <f ca="1">IF($BG325+$BM325+$BS325+$BY325=1,0,IF(OR(AND($BB325&lt;65,$BB325&gt;=60),$BW325&gt;=Control!$C$89),1*$BA325,$CE324))</f>
        <v>#N/A</v>
      </c>
      <c r="CB325" s="140" t="e">
        <f ca="1">IF($BX325&lt;0,-$BX325,$CA325*IF(OR($G325&lt;Control!$C$92,$G325&gt;Control!$C$95),0,IF(AND($G325&gt;=Control!$C$92,$G325&lt;=Control!$C$93),$G325-Control!$C$92,IF(AND($G325&gt;Control!$C$93,$G325&lt;=Control!$C$94),Control!$C$93-Control!$C$92,IF(AND($G325&gt;Control!$C$94,$G325&lt;=Control!$C$95),(Control!$C$93-Control!$C$92)*(Control!$C$94-$G325)/(Control!$C$95-Control!$C$94))))))</f>
        <v>#N/A</v>
      </c>
      <c r="CC325" s="140" t="e">
        <f t="shared" ca="1" si="1061"/>
        <v>#N/A</v>
      </c>
      <c r="CD325" s="140" t="e">
        <f ca="1">IF($CC325&lt;=Control!$C$90,$CC325,Control!$C$90-$CC325)</f>
        <v>#N/A</v>
      </c>
      <c r="CE325" s="140" t="e">
        <f ca="1">IF(AND($BB325&gt;=60,$BB325&lt;65),1,IF($CC325&gt;=Control!$C$90,0,$CA325))</f>
        <v>#N/A</v>
      </c>
      <c r="CF325" s="404" t="e">
        <f ca="1">IF($CE325=0,0,IF($CC325&lt;=Control!$C$90,$CA325*(60+(65-60)*(CD325/Control!$C$90)),0))</f>
        <v>#N/A</v>
      </c>
      <c r="CG325" s="140" t="e">
        <f ca="1">IF($BG325+$BM325+$BS325+$BY325+$CE325=1,0,IF(OR(AND($BB325&lt;90,$BB325&gt;=65),$CC325&gt;=Control!$C$90),$BA325,$CK324))</f>
        <v>#N/A</v>
      </c>
      <c r="CH325" s="140" t="e">
        <f ca="1">IF($CD325&lt;0,-$CD325,$CG325*IF(OR($G325&lt;Control!$C$92,$G325&gt;Control!$C$95),0,IF(AND($G325&gt;=Control!$C$92,$G325&lt;=Control!$C$93),$G325-Control!$C$92,IF(AND($G325&gt;Control!$C$93,$G325&lt;=Control!$C$94),Control!$C$93-Control!$C$92,IF(AND($G325&gt;Control!$C$94,$G325&lt;=Control!$C$95),(Control!$C$93-Control!$C$92)*(Control!$C$94-$G325)/(Control!$C$95-Control!$C$94))))))</f>
        <v>#N/A</v>
      </c>
      <c r="CI325" s="140" t="e">
        <f t="shared" ca="1" si="1062"/>
        <v>#N/A</v>
      </c>
      <c r="CJ325" s="140" t="e">
        <f ca="1">IF($CI325&lt;=Control!$C$91,$CI325,Control!$C$91-$CI325)</f>
        <v>#N/A</v>
      </c>
      <c r="CK325" s="140" t="e">
        <f ca="1">IF(AND($BB325&gt;=65,$BB325&lt;90),1,IF($CI325&gt;=Control!$C$91,0,$CG325))</f>
        <v>#N/A</v>
      </c>
      <c r="CL325" s="404" t="e">
        <f ca="1">IF($CK325=0,0,IF($CI325&lt;=Control!$C$91,$CG325*(65+(90-65)*($CJ325/Control!$C$91)),0))</f>
        <v>#N/A</v>
      </c>
      <c r="CM325" s="140" t="e">
        <f ca="1">IF($BG325+$BM325+$BS325+$BY325+$CE325+$CK325=1,0,IF(OR($BB325&gt;=90,$CI325&gt;=Control!$C$91),$BA325,$CM324))</f>
        <v>#N/A</v>
      </c>
      <c r="CN325" s="140" t="e">
        <f t="shared" ca="1" si="1063"/>
        <v>#N/A</v>
      </c>
      <c r="CO325" s="140" t="e">
        <f t="shared" ca="1" si="1064"/>
        <v>#N/A</v>
      </c>
      <c r="CP325" s="140" t="e">
        <f t="shared" ca="1" si="1065"/>
        <v>#N/A</v>
      </c>
      <c r="CQ325" s="141" t="e">
        <f ca="1">VLOOKUP($CP325,Control!$B$86:$G$91,6)</f>
        <v>#N/A</v>
      </c>
      <c r="CR325" s="141" t="e">
        <f ca="1">(1-$CQ325)*VLOOKUP($CP325,Control!$B$86:$D$91,3)</f>
        <v>#N/A</v>
      </c>
      <c r="CS325" s="141" t="e">
        <f ca="1">(1-$CQ325)*VLOOKUP($CP325,Control!$B$86:$E$91,4)</f>
        <v>#N/A</v>
      </c>
      <c r="CT325" s="141" t="e">
        <f ca="1">(1-$CQ325)*VLOOKUP($CP325,Control!$B$86:$F$91,5)</f>
        <v>#N/A</v>
      </c>
      <c r="CU325" s="141">
        <f t="shared" ca="1" si="1066"/>
        <v>0</v>
      </c>
      <c r="CV325" s="583">
        <f t="shared" ca="1" si="1067"/>
        <v>0</v>
      </c>
      <c r="CW325" s="142">
        <f t="shared" ca="1" si="1068"/>
        <v>321</v>
      </c>
      <c r="CX325" s="612" t="e">
        <f ca="1">IF(Control!$C$114=1,(MIN(Control!$C$120*(IF($NT325-0.01&lt;0,0,1)),Control!$C$119-$CY325)))</f>
        <v>#DIV/0!</v>
      </c>
      <c r="CY325" s="143" t="e">
        <f t="shared" ca="1" si="1069"/>
        <v>#N/A</v>
      </c>
      <c r="CZ325" s="144">
        <f t="shared" ca="1" si="946"/>
        <v>0</v>
      </c>
      <c r="DA325" s="144">
        <f t="shared" ca="1" si="947"/>
        <v>0</v>
      </c>
      <c r="DB325" s="144" t="e">
        <f t="shared" ca="1" si="948"/>
        <v>#N/A</v>
      </c>
      <c r="DC325" s="144" t="e">
        <f t="shared" ca="1" si="949"/>
        <v>#N/A</v>
      </c>
      <c r="DD325" s="144" t="e">
        <f t="shared" ca="1" si="1154"/>
        <v>#N/A</v>
      </c>
      <c r="DE325" s="143" t="e">
        <f t="shared" ca="1" si="1070"/>
        <v>#N/A</v>
      </c>
      <c r="DF325" s="145" t="e">
        <f ca="1">$DR325*EXP(-Control!$C$158*(1-$KH325))</f>
        <v>#N/A</v>
      </c>
      <c r="DG325" s="146" t="e">
        <f ca="1">IF(Control!$C$114=1, $DF325*$EY325, 0)</f>
        <v>#N/A</v>
      </c>
      <c r="DH325" s="147" t="e">
        <f t="shared" ca="1" si="1071"/>
        <v>#N/A</v>
      </c>
      <c r="DI325" s="144" t="e">
        <f t="shared" ca="1" si="1132"/>
        <v>#N/A</v>
      </c>
      <c r="DJ325" s="147" t="e">
        <f ca="1">$EF325*Control!$C$109</f>
        <v>#N/A</v>
      </c>
      <c r="DK325" s="144" t="e">
        <f t="shared" ca="1" si="1072"/>
        <v>#N/A</v>
      </c>
      <c r="DL325" s="144" t="e">
        <f t="shared" ca="1" si="950"/>
        <v>#N/A</v>
      </c>
      <c r="DM325" s="144" t="e">
        <f ca="1">IF(Control!$C$114=1, (1-EXP(-Control!$C$96*$DK325))*$AR325, 0)</f>
        <v>#N/A</v>
      </c>
      <c r="DN325" s="144">
        <f t="shared" ca="1" si="1073"/>
        <v>0</v>
      </c>
      <c r="DO325" s="148">
        <f>Control!$C$97</f>
        <v>4</v>
      </c>
      <c r="DP325" s="145" t="e">
        <f t="shared" ca="1" si="1074"/>
        <v>#N/A</v>
      </c>
      <c r="DQ325" s="145" t="e">
        <f ca="1">IF(AND($CP325&gt;=0,$CP325&lt;=90),Control!$C$111,Control!$C$111)</f>
        <v>#N/A</v>
      </c>
      <c r="DR325" s="145" t="e">
        <f t="shared" ca="1" si="951"/>
        <v>#N/A</v>
      </c>
      <c r="DS325" s="143" t="e">
        <f ca="1">Control!$B$22/$DR325</f>
        <v>#N/A</v>
      </c>
      <c r="DT325" s="149" t="e">
        <f ca="1">IF(AND(Control!$C$114=1,$KH325&lt;1),$IM325*$DF325, 0)</f>
        <v>#N/A</v>
      </c>
      <c r="DU325" s="144" t="e">
        <f t="shared" ca="1" si="1075"/>
        <v>#N/A</v>
      </c>
      <c r="DV325" s="144">
        <f ca="1">IF($G325-Control!$C$107&lt;=0, 0, 0.83*LN(MAX($G325, 3))-0.8924)</f>
        <v>0</v>
      </c>
      <c r="DW325" s="144" t="e">
        <f t="shared" ca="1" si="952"/>
        <v>#N/A</v>
      </c>
      <c r="DX325" s="150" t="e">
        <f ca="1">MAX(0.01*(1+$CU325/Control!$C$102),0.05*($DK325-Control!$C$97)/Control!$C$97)</f>
        <v>#N/A</v>
      </c>
      <c r="DY325" s="151" t="e">
        <f ca="1">IF(Control!$C$114=1, $DI325*$FS325, 0)</f>
        <v>#N/A</v>
      </c>
      <c r="DZ325" s="196" t="e">
        <f t="shared" ca="1" si="1076"/>
        <v>#N/A</v>
      </c>
      <c r="EA325" s="152">
        <f t="shared" ca="1" si="1077"/>
        <v>321</v>
      </c>
      <c r="EB325" s="153" t="e">
        <f t="shared" ca="1" si="1078"/>
        <v>#N/A</v>
      </c>
      <c r="EC325" s="153" t="e">
        <f t="shared" ca="1" si="1079"/>
        <v>#N/A</v>
      </c>
      <c r="ED325" s="154" t="e">
        <f ca="1">IF(Control!$C$114=1, $HM325*$FY325-$FD325, 0)</f>
        <v>#DIV/0!</v>
      </c>
      <c r="EE325" s="155" t="e">
        <f ca="1">IF(Control!$C$114=1, $HM325*$FZ325-$FF325, 0)</f>
        <v>#DIV/0!</v>
      </c>
      <c r="EF325" s="153" t="e">
        <f t="shared" ca="1" si="1133"/>
        <v>#N/A</v>
      </c>
      <c r="EG325" s="155" t="e">
        <f ca="1">IF(Control!$C$114=1, $GX325*$FW325-$FI325, 0)</f>
        <v>#DIV/0!</v>
      </c>
      <c r="EH325" s="153" t="e">
        <f t="shared" ca="1" si="1080"/>
        <v>#N/A</v>
      </c>
      <c r="EI325" s="156" t="e">
        <f t="shared" ca="1" si="1081"/>
        <v>#N/A</v>
      </c>
      <c r="EJ325" s="155" t="e">
        <f ca="1">IF(Control!$C$114=1, $HM325*$GB325, 0)</f>
        <v>#DIV/0!</v>
      </c>
      <c r="EK325" s="153" t="e">
        <f t="shared" ca="1" si="1134"/>
        <v>#N/A</v>
      </c>
      <c r="EL325" s="153" t="e">
        <f t="shared" ca="1" si="953"/>
        <v>#N/A</v>
      </c>
      <c r="EM325" s="153" t="e">
        <f t="shared" ca="1" si="954"/>
        <v>#N/A</v>
      </c>
      <c r="EN325" s="153" t="e">
        <f ca="1">IF(Control!$C$108=1,IF(AND(Control!$B$18=1,$EB325&gt;=Control!$B$19),$EB325-$DS325,IF(AND(Control!$B$18=2,$AW325=1,$EB325&gt;$DS325),$EB325-$DS325,0)))</f>
        <v>#N/A</v>
      </c>
      <c r="EO325" s="153" t="e">
        <f ca="1">IF(Control!$C$108=1,IF(AND(Control!$B$18=1,$EB325&gt;=Control!$B$19),$EF325,IF(AND(Control!$B$18=2,$AW325=1),$EF325,0)))</f>
        <v>#N/A</v>
      </c>
      <c r="EP325" s="153" t="e">
        <f ca="1">IF(Control!$C$108=1,IF(AND(Control!$B$18=1,$EB325&gt;=Control!$B$19),$EK325,IF(AND(Control!$B$18=2,$AW325=1),$EK325,0)))</f>
        <v>#N/A</v>
      </c>
      <c r="EQ325" s="153" t="e">
        <f t="shared" ca="1" si="1082"/>
        <v>#N/A</v>
      </c>
      <c r="ER325" s="153" t="e">
        <f t="shared" ca="1" si="1083"/>
        <v>#N/A</v>
      </c>
      <c r="ES325" s="153" t="e">
        <f t="shared" ca="1" si="1135"/>
        <v>#N/A</v>
      </c>
      <c r="ET325" s="153" t="e">
        <f t="shared" ca="1" si="1136"/>
        <v>#N/A</v>
      </c>
      <c r="EU325" s="153" t="e">
        <f t="shared" ca="1" si="1084"/>
        <v>#N/A</v>
      </c>
      <c r="EV325" s="153" t="e">
        <f t="shared" ca="1" si="955"/>
        <v>#N/A</v>
      </c>
      <c r="EW325" s="153" t="e">
        <f t="shared" ca="1" si="956"/>
        <v>#N/A</v>
      </c>
      <c r="EX325" s="153" t="e">
        <f t="shared" ca="1" si="957"/>
        <v>#N/A</v>
      </c>
      <c r="EY325" s="157" t="e">
        <f t="shared" ca="1" si="958"/>
        <v>#DIV/0!</v>
      </c>
      <c r="EZ325" s="154" t="e">
        <f t="shared" ca="1" si="959"/>
        <v>#DIV/0!</v>
      </c>
      <c r="FA325" s="153" t="e">
        <f t="shared" ca="1" si="1085"/>
        <v>#N/A</v>
      </c>
      <c r="FB325" s="153" t="e">
        <f t="shared" ca="1" si="960"/>
        <v>#N/A</v>
      </c>
      <c r="FC325" s="193" t="e">
        <f t="shared" ca="1" si="961"/>
        <v>#N/A</v>
      </c>
      <c r="FD325" s="158" t="e">
        <f t="shared" ca="1" si="1086"/>
        <v>#N/A</v>
      </c>
      <c r="FE325" s="158" t="e">
        <f t="shared" ca="1" si="1087"/>
        <v>#N/A</v>
      </c>
      <c r="FF325" s="159" t="e">
        <f t="shared" ca="1" si="962"/>
        <v>#N/A</v>
      </c>
      <c r="FG325" s="160" t="e">
        <f t="shared" ca="1" si="1088"/>
        <v>#N/A</v>
      </c>
      <c r="FH325" s="158" t="e">
        <f t="shared" ca="1" si="1089"/>
        <v>#N/A</v>
      </c>
      <c r="FI325" s="159" t="e">
        <f t="shared" ca="1" si="963"/>
        <v>#N/A</v>
      </c>
      <c r="FJ325" s="160" t="e">
        <f t="shared" ca="1" si="1090"/>
        <v>#N/A</v>
      </c>
      <c r="FK325" s="160" t="e">
        <f t="shared" ca="1" si="964"/>
        <v>#N/A</v>
      </c>
      <c r="FL325" s="160" t="e">
        <f t="shared" ca="1" si="1137"/>
        <v>#N/A</v>
      </c>
      <c r="FM325" s="160" t="e">
        <f t="shared" ca="1" si="965"/>
        <v>#N/A</v>
      </c>
      <c r="FN325" s="158">
        <f t="shared" ca="1" si="1091"/>
        <v>0.01</v>
      </c>
      <c r="FO325" s="160">
        <f>Control!$C$101</f>
        <v>50</v>
      </c>
      <c r="FP325" s="150" t="e">
        <f t="shared" ca="1" si="966"/>
        <v>#N/A</v>
      </c>
      <c r="FQ325" s="150" t="e">
        <f ca="1">MAX(0,(Control!$C$112*(($DK325-Control!$C$97)/Control!$C$97)))</f>
        <v>#N/A</v>
      </c>
      <c r="FR325" s="150" t="e">
        <f ca="1">(1-$NT325)*Control!$C$113</f>
        <v>#DIV/0!</v>
      </c>
      <c r="FS325" s="198" t="e">
        <f t="shared" ca="1" si="967"/>
        <v>#N/A</v>
      </c>
      <c r="FT325" s="161">
        <f t="shared" ca="1" si="1092"/>
        <v>321</v>
      </c>
      <c r="FU325" s="162" t="e">
        <f ca="1">IF(Control!$B$34=1,VLOOKUP($CP325,Control!$B$86:$G$91,6),Control!$B$35)</f>
        <v>#N/A</v>
      </c>
      <c r="FV325" s="162" t="e">
        <f t="shared" ca="1" si="968"/>
        <v>#DIV/0!</v>
      </c>
      <c r="FW325" s="162" t="e">
        <f ca="1">IF(Control!$B$31=1,$FU325*$FV325,  $FU325)</f>
        <v>#N/A</v>
      </c>
      <c r="FX325" s="162" t="e">
        <f ca="1">IF(Control!$B$34=1,VLOOKUP($CP325,Control!$B$86:$G$91,3),Control!$B$36)</f>
        <v>#N/A</v>
      </c>
      <c r="FY325" s="162" t="e">
        <f t="shared" ca="1" si="969"/>
        <v>#N/A</v>
      </c>
      <c r="FZ325" s="162" t="e">
        <f ca="1">IF(Control!$B$34=1,VLOOKUP($CP325,Control!$B$86:$G$91,4),Control!$B$37)</f>
        <v>#N/A</v>
      </c>
      <c r="GA325" s="162" t="e">
        <f t="shared" ca="1" si="970"/>
        <v>#N/A</v>
      </c>
      <c r="GB325" s="162" t="e">
        <f ca="1">IF(Control!$B$34=1,VLOOKUP($CP325,Control!$B$86:$G$91,5),Control!$B$38)</f>
        <v>#N/A</v>
      </c>
      <c r="GC325" s="162" t="e">
        <f t="shared" ca="1" si="1093"/>
        <v>#N/A</v>
      </c>
      <c r="GD325" s="162">
        <f t="shared" ca="1" si="971"/>
        <v>1</v>
      </c>
      <c r="GE325" s="162">
        <f t="shared" ca="1" si="972"/>
        <v>1</v>
      </c>
      <c r="GF325" s="162">
        <f ca="1">IF(AND(Control!$C$104=1, Control!$C$62="F"),$GE325,1)</f>
        <v>1</v>
      </c>
      <c r="GG325" s="162" t="e">
        <f ca="1">IF(Control!$B$16=40,0,IF(AND(Control!$B$16&gt;40,Control!$B$16&lt;=360),(Control!$B$16-40)*((1-0)/(360-40)),IF(AND(Control!$B$16&gt;360,Control!$B$16&lt;=720),(1+(Control!$B$16-360)*((1.25-1)/(720-360))),IF(AND(Control!$B$16&gt;720,Control!$B$16&lt;=1000),(1.25+(Control!$B$16-720)*((1.35-1.25)/(1000-720))),IF(AND(Control!$B$16&gt;1000,Control!$B$16&lt;=2000),(1.35+(Control!$B$16-1000)*0))))))</f>
        <v>#N/A</v>
      </c>
      <c r="GH325" s="162" t="e">
        <f t="shared" ca="1" si="973"/>
        <v>#N/A</v>
      </c>
      <c r="GI325" s="162">
        <f t="shared" ca="1" si="1094"/>
        <v>0</v>
      </c>
      <c r="GJ325" s="162">
        <f t="shared" ca="1" si="974"/>
        <v>0</v>
      </c>
      <c r="GK325" s="162">
        <f t="shared" ca="1" si="1095"/>
        <v>1</v>
      </c>
      <c r="GL325" s="162">
        <f t="shared" ca="1" si="975"/>
        <v>1</v>
      </c>
      <c r="GM325" s="162" t="e">
        <f ca="1">MAX(0,MIN(1,1-Control!$C$156*(1.0001-$KH325)^2))</f>
        <v>#N/A</v>
      </c>
      <c r="GN325" s="162" t="e">
        <f ca="1">IF(Control!$B$26=1,$KU325,$KX325)</f>
        <v>#N/A</v>
      </c>
      <c r="GO325" s="162" t="e">
        <f ca="1">IF($CP325&lt;=60,Control!$C$105,IF($CP325&gt;=90,Control!$C$106,Control!$C$105+($CP325-60)*((Control!$C$106-Control!$C$105)/(90-60))))</f>
        <v>#N/A</v>
      </c>
      <c r="GP325" s="162" t="e">
        <f t="shared" ca="1" si="976"/>
        <v>#N/A</v>
      </c>
      <c r="GQ325" s="162" t="e">
        <f t="shared" ca="1" si="1096"/>
        <v>#N/A</v>
      </c>
      <c r="GR325" s="163" t="e">
        <f t="shared" ca="1" si="977"/>
        <v>#DIV/0!</v>
      </c>
      <c r="GS325" s="162" t="e">
        <f t="shared" ca="1" si="978"/>
        <v>#DIV/0!</v>
      </c>
      <c r="GT325" s="164" t="e">
        <f t="shared" ca="1" si="1097"/>
        <v>#N/A</v>
      </c>
      <c r="GU325" s="162" t="e">
        <f t="shared" ca="1" si="1098"/>
        <v>#N/A</v>
      </c>
      <c r="GV325" s="162" t="e">
        <f t="shared" ca="1" si="979"/>
        <v>#N/A</v>
      </c>
      <c r="GW325" s="162" t="e">
        <f t="shared" ca="1" si="980"/>
        <v>#DIV/0!</v>
      </c>
      <c r="GX325" s="162" t="e">
        <f t="shared" ca="1" si="1099"/>
        <v>#DIV/0!</v>
      </c>
      <c r="GY325" s="162" t="e">
        <f t="shared" ca="1" si="1100"/>
        <v>#DIV/0!</v>
      </c>
      <c r="GZ325" s="165" t="e">
        <f t="shared" ca="1" si="981"/>
        <v>#N/A</v>
      </c>
      <c r="HA325" s="162" t="e">
        <f ca="1">IF(Control!$C$114=1, $DI325*$FS325, 0)</f>
        <v>#N/A</v>
      </c>
      <c r="HB325" s="162" t="e">
        <f ca="1">$FA325/Control!$C$64</f>
        <v>#N/A</v>
      </c>
      <c r="HC325" s="162" t="e">
        <f t="shared" ca="1" si="982"/>
        <v>#DIV/0!</v>
      </c>
      <c r="HD325" s="162">
        <f ca="1">-ASIN(SIN(23.45*Control!$C$139)*COS(2*Control!$C$138*($AH325+10)/365))</f>
        <v>-0.33812202941184272</v>
      </c>
      <c r="HE325" s="165">
        <f t="shared" ca="1" si="1101"/>
        <v>0</v>
      </c>
      <c r="HF325" s="166">
        <f ca="1">IF(AND(Control!$C$61="T",$HE325&gt;=Control!$C$103,Control!$C$114=0),$AH325,Control!$C$59)</f>
        <v>1</v>
      </c>
      <c r="HG325" s="166">
        <f ca="1">IF(AND(Control!$C$61="T",$HE325&gt;=Control!$C$103,Control!$C$114=0),$HF325,Control!$C$59)</f>
        <v>1</v>
      </c>
      <c r="HH325" s="165">
        <f ca="1">IF(AND(OR(Control!$C$60&lt;=0, $AH325= Control!$C$59, Control!$C$60 &gt;0, $AH325 = Control!$C$60)), Control!$C$59, IF(Control!$C$60&gt;0, 0))</f>
        <v>1</v>
      </c>
      <c r="HI325" s="165">
        <f ca="1">IF(AND(OR(Control!$C$60&lt;=0, $AH325= Control!$C$59, Control!$C$60 &gt;0, $AH325 = Control!$C$60)), Control!$C$60, IF(Control!$C$60&lt;=0, 0))</f>
        <v>0</v>
      </c>
      <c r="HJ325" s="166">
        <f ca="1">IF(AND(Control!$C$62="F",$CV325&gt;=Control!$C$102),$AH325,0)</f>
        <v>0</v>
      </c>
      <c r="HK325" s="165" t="e">
        <f t="shared" ca="1" si="1138"/>
        <v>#N/A</v>
      </c>
      <c r="HL325" s="166">
        <f ca="1">IF(AND(Control!$C$61="T",$HE325&gt;=Control!$C$103,Control!$C$114=0),$HF325,0)</f>
        <v>0</v>
      </c>
      <c r="HM325" s="201" t="e">
        <f t="shared" ca="1" si="983"/>
        <v>#DIV/0!</v>
      </c>
      <c r="HN325" s="215">
        <f t="shared" ca="1" si="1102"/>
        <v>321</v>
      </c>
      <c r="HO325" s="216" t="e">
        <f ca="1">IF(AND($CP325&gt;=0, $CP325&lt;=90), Control!$C$152, Control!$C$152)</f>
        <v>#N/A</v>
      </c>
      <c r="HP325" s="216" t="e">
        <f t="shared" ca="1" si="984"/>
        <v>#N/A</v>
      </c>
      <c r="HQ325" s="217" t="e">
        <f ca="1">IF(OR(Control!$B$26=1,Control!$B$26=2),$KV325,$KS325)</f>
        <v>#DIV/0!</v>
      </c>
      <c r="HR325" s="218" t="e">
        <f t="shared" ca="1" si="1139"/>
        <v>#DIV/0!</v>
      </c>
      <c r="HS325" s="216" t="e">
        <f ca="1">Control!$C$154*$HP325</f>
        <v>#N/A</v>
      </c>
      <c r="HT325" s="216" t="e">
        <f ca="1">Control!$C$155*$HP325</f>
        <v>#N/A</v>
      </c>
      <c r="HU325" s="217" t="e">
        <f ca="1">Control!$C$161*$FI325</f>
        <v>#N/A</v>
      </c>
      <c r="HV325" s="218" t="e">
        <f t="shared" ca="1" si="1103"/>
        <v>#N/A</v>
      </c>
      <c r="HW325" s="218" t="e">
        <f ca="1">Control!$C$160*$FF325+$IP325*$EO325</f>
        <v>#N/A</v>
      </c>
      <c r="HX325" s="218" t="e">
        <f t="shared" ca="1" si="1140"/>
        <v>#N/A</v>
      </c>
      <c r="HY325" s="219" t="e">
        <f ca="1">IF(Control!$C$114=1, $EB325*$FS325, 0)</f>
        <v>#N/A</v>
      </c>
      <c r="HZ325" s="91" t="e">
        <f t="shared" ca="1" si="985"/>
        <v>#N/A</v>
      </c>
      <c r="IA325" s="220" t="e">
        <f ca="1">Control!$C$153*$HO325</f>
        <v>#N/A</v>
      </c>
      <c r="IB325" s="218" t="e">
        <f t="shared" ca="1" si="986"/>
        <v>#N/A</v>
      </c>
      <c r="IC325" s="220" t="e">
        <f ca="1">Control!$C$153*$HT325</f>
        <v>#N/A</v>
      </c>
      <c r="ID325" s="218" t="e">
        <f t="shared" ca="1" si="987"/>
        <v>#N/A</v>
      </c>
      <c r="IE325" s="221" t="e">
        <f ca="1">($EB325*Control!$C$159+$EF325*Control!$C$160)/(IF($GZ325&lt;&gt;0,$GZ325,1))</f>
        <v>#N/A</v>
      </c>
      <c r="IF325" s="216" t="e">
        <f t="shared" ca="1" si="988"/>
        <v>#N/A</v>
      </c>
      <c r="IG325" s="91">
        <f ca="1">IF(OR(Control!$B$198=$AH325,Control!$B$199=$AH325, Control!$B$200=$AH325, Control!$B$201=$AH325, Control!$B$202=$AH325, Control!$B$203=$AH325, Control!$B$204=$AH325, Control!$B$205=$AH325, Control!$B$206=$AH325, Control!$B$207=$AH325), 1, 0)</f>
        <v>0</v>
      </c>
      <c r="IH325" s="91">
        <f ca="1">IF($IG325=0,0, VLOOKUP($AH325,Control!$B$198:$C$207,2))</f>
        <v>0</v>
      </c>
      <c r="II325" s="222">
        <f t="shared" ca="1" si="1104"/>
        <v>0</v>
      </c>
      <c r="IJ325" s="91">
        <f>Control!$C$121</f>
        <v>0.7</v>
      </c>
      <c r="IK325" s="218">
        <f t="shared" ca="1" si="989"/>
        <v>0</v>
      </c>
      <c r="IL325" s="217" t="e">
        <f t="shared" ca="1" si="1141"/>
        <v>#N/A</v>
      </c>
      <c r="IM325" s="223" t="e">
        <f ca="1">IF(AND(Control!$C$114=1,$KH325&lt;1),$EB325*Control!$C$148*(1-$KH325), 0)</f>
        <v>#N/A</v>
      </c>
      <c r="IN325" s="217" t="e">
        <f t="shared" ca="1" si="990"/>
        <v>#DIV/0!</v>
      </c>
      <c r="IO325" s="91" t="e">
        <f ca="1">MAX(0,$IL325-$EF325*Control!$C$160)</f>
        <v>#N/A</v>
      </c>
      <c r="IP325" s="220" t="e">
        <f t="shared" ca="1" si="991"/>
        <v>#N/A</v>
      </c>
      <c r="IQ325" s="217" t="e">
        <f t="shared" ca="1" si="1105"/>
        <v>#N/A</v>
      </c>
      <c r="IR325" s="218" t="e">
        <f t="shared" ca="1" si="992"/>
        <v>#N/A</v>
      </c>
      <c r="IS325" s="217" t="e">
        <f ca="1">Control!$C$159*MAX(0,$FD325-$EN325)</f>
        <v>#N/A</v>
      </c>
      <c r="IT325" s="217" t="e">
        <f t="shared" ca="1" si="1142"/>
        <v>#N/A</v>
      </c>
      <c r="IU325" s="217" t="e">
        <f t="shared" ca="1" si="1106"/>
        <v>#N/A</v>
      </c>
      <c r="IV325" s="217" t="e">
        <f t="shared" ca="1" si="1143"/>
        <v>#N/A</v>
      </c>
      <c r="IW325" s="217" t="e">
        <f ca="1">IF(OR($AW325=1,AND($AW325=0, Control!$B$18=1,$EN325&lt;&gt;0)), $IQ325-$IU325, $IQ325)</f>
        <v>#N/A</v>
      </c>
      <c r="IX325" s="218" t="e">
        <f t="shared" ca="1" si="993"/>
        <v>#N/A</v>
      </c>
      <c r="IY325" s="218" t="e">
        <f ca="1">MAX(0,$IQ325-$EB325*Control!$C$159)</f>
        <v>#N/A</v>
      </c>
      <c r="IZ325" s="218" t="e">
        <f t="shared" ca="1" si="994"/>
        <v>#N/A</v>
      </c>
      <c r="JA325" s="216" t="e">
        <f t="shared" ca="1" si="995"/>
        <v>#N/A</v>
      </c>
      <c r="JB325" s="217" t="e">
        <f t="shared" ca="1" si="996"/>
        <v>#N/A</v>
      </c>
      <c r="JC325" s="222" t="e">
        <f ca="1">MAX(Control!$C$157*$EK325-$JT325, 0)/Control!$C$162</f>
        <v>#N/A</v>
      </c>
      <c r="JD325" s="218" t="e">
        <f t="shared" ca="1" si="997"/>
        <v>#N/A</v>
      </c>
      <c r="JE325" s="218" t="e">
        <f t="shared" ca="1" si="998"/>
        <v>#N/A</v>
      </c>
      <c r="JF325" s="218" t="e">
        <f t="shared" ca="1" si="1107"/>
        <v>#N/A</v>
      </c>
      <c r="JG325" s="218" t="e">
        <f t="shared" ca="1" si="999"/>
        <v>#N/A</v>
      </c>
      <c r="JH325" s="217" t="e">
        <f t="shared" ca="1" si="1108"/>
        <v>#N/A</v>
      </c>
      <c r="JI325" s="217" t="e">
        <f t="shared" ca="1" si="1109"/>
        <v>#N/A</v>
      </c>
      <c r="JJ325" s="217" t="e">
        <f t="shared" ca="1" si="1144"/>
        <v>#N/A</v>
      </c>
      <c r="JK325" s="217" t="e">
        <f ca="1">IF(Control!$C$114=1,IF(Control!$B$24=0,MAX(0,$JI325)*$GN325/Control!$C$64,(MAX(0,MIN($JI325,$JJ325*$GN325/Control!$C$64),0))))</f>
        <v>#N/A</v>
      </c>
      <c r="JL325" s="217" t="e">
        <f ca="1">$IK325/Control!$C$64-$JK325+$HQ325</f>
        <v>#N/A</v>
      </c>
      <c r="JM325" s="217" t="e">
        <f ca="1">IF(Control!$C$114=1,($JB325/(IF($JI325&lt;&gt;0,$JI325,1)))*$JK325,0)</f>
        <v>#N/A</v>
      </c>
      <c r="JN325" s="217" t="e">
        <f ca="1">IF(Control!$C$114=1,($JG325/(IF($JI325&lt;&gt;0,$JI325,1)))*$JK325, 0)</f>
        <v>#N/A</v>
      </c>
      <c r="JO325" s="218" t="e">
        <f t="shared" ca="1" si="1000"/>
        <v>#N/A</v>
      </c>
      <c r="JP325" s="218" t="e">
        <f ca="1">MIN(($IY325+$IO325)*Control!$C$151, $JF325-$EH325*Control!$C$161)</f>
        <v>#N/A</v>
      </c>
      <c r="JQ325" s="218" t="e">
        <f t="shared" ca="1" si="1001"/>
        <v>#N/A</v>
      </c>
      <c r="JR325" s="217" t="e">
        <f ca="1">IF($CP325-Control!$C$150&lt;0, 0, $JQ325/Control!$C$162)</f>
        <v>#N/A</v>
      </c>
      <c r="JS325" s="218" t="e">
        <f t="shared" ca="1" si="1002"/>
        <v>#N/A</v>
      </c>
      <c r="JT325" s="218" t="e">
        <f t="shared" ca="1" si="1110"/>
        <v>#N/A</v>
      </c>
      <c r="JU325" s="218" t="e">
        <f t="shared" ca="1" si="1003"/>
        <v>#N/A</v>
      </c>
      <c r="JV325" s="218" t="e">
        <f t="shared" ca="1" si="1004"/>
        <v>#N/A</v>
      </c>
      <c r="JW325" s="216" t="e">
        <f t="shared" ca="1" si="1005"/>
        <v>#N/A</v>
      </c>
      <c r="JX325" s="91" t="e">
        <f t="shared" ca="1" si="1006"/>
        <v>#N/A</v>
      </c>
      <c r="JY325" s="218" t="e">
        <f t="shared" ca="1" si="1007"/>
        <v>#N/A</v>
      </c>
      <c r="JZ325" s="217" t="e">
        <f ca="1">IF(Control!$C$114=1,($IZ325/(IF($JI325&lt;&gt;0,$JI325,1)))*$JK325, 0)</f>
        <v>#N/A</v>
      </c>
      <c r="KA325" s="218" t="e">
        <f t="shared" ca="1" si="1145"/>
        <v>#N/A</v>
      </c>
      <c r="KB325" s="218" t="e">
        <f t="shared" ca="1" si="1111"/>
        <v>#N/A</v>
      </c>
      <c r="KC325" s="218" t="e">
        <f t="shared" ca="1" si="1008"/>
        <v>#N/A</v>
      </c>
      <c r="KD325" s="218" t="e">
        <f t="shared" ca="1" si="1009"/>
        <v>#N/A</v>
      </c>
      <c r="KE325" s="218" t="e">
        <f t="shared" ca="1" si="1010"/>
        <v>#N/A</v>
      </c>
      <c r="KF325" s="218" t="e">
        <f t="shared" ca="1" si="1011"/>
        <v>#N/A</v>
      </c>
      <c r="KG325" s="216" t="e">
        <f t="shared" ca="1" si="1012"/>
        <v>#N/A</v>
      </c>
      <c r="KH325" s="221" t="e">
        <f ca="1">IF(Control!$B$24=0,1,MAX(0.001,MIN(1,IF(($IF325-$IE325)&lt;&gt;0,($KG325-$IE325)/($IF325-$IE325),1))))</f>
        <v>#N/A</v>
      </c>
      <c r="KI325" s="222" t="e">
        <f ca="1">IF(Control!$C$114=1, $KI324+ $KH324, 0)</f>
        <v>#N/A</v>
      </c>
      <c r="KJ325" s="217" t="e">
        <f t="shared" ca="1" si="1013"/>
        <v>#N/A</v>
      </c>
      <c r="KK325" s="218" t="e">
        <f t="shared" ca="1" si="1014"/>
        <v>#N/A</v>
      </c>
      <c r="KL325" s="274" t="e">
        <f ca="1">IF(Control!$B$26=3,4000000000*EXP(-8400/($G325+273)),IF(Control!$B$26=4,4000000000*EXP(-8400/($G325+273))*($KT325),0))</f>
        <v>#DIV/0!</v>
      </c>
      <c r="KM325" s="274" t="e">
        <f ca="1">IF(Control!$B$26=3,5600000000000*EXP(-9800/($G325+273)),IF(Control!$B$26=4,5600000000000*EXP(-9800/($G325+273))*$KT325,0))</f>
        <v>#DIV/0!</v>
      </c>
      <c r="KN325" s="454" t="e">
        <f t="shared" ca="1" si="1112"/>
        <v>#DIV/0!</v>
      </c>
      <c r="KO325" s="274" t="e">
        <f t="shared" ca="1" si="1113"/>
        <v>#DIV/0!</v>
      </c>
      <c r="KP325" s="454" t="e">
        <f t="shared" ca="1" si="1015"/>
        <v>#DIV/0!</v>
      </c>
      <c r="KQ325" s="454" t="e">
        <f t="shared" ca="1" si="1016"/>
        <v>#DIV/0!</v>
      </c>
      <c r="KR325" s="454" t="e">
        <f t="shared" ca="1" si="1017"/>
        <v>#DIV/0!</v>
      </c>
      <c r="KS325" s="454" t="e">
        <f t="shared" ca="1" si="1018"/>
        <v>#DIV/0!</v>
      </c>
      <c r="KT325" s="455" t="e">
        <f t="shared" ca="1" si="1019"/>
        <v>#DIV/0!</v>
      </c>
      <c r="KU325" s="456" t="e">
        <f ca="1">IF($CP325-Control!$C$149&lt;0, IF($NT325-0.01&lt;0,0,1),0)</f>
        <v>#N/A</v>
      </c>
      <c r="KV325" s="456" t="e">
        <f ca="1">IF(Control!$C$114=1,MAX(0,MIN(Control!$C$125*$KW325*$GN325,$KW325)))</f>
        <v>#DIV/0!</v>
      </c>
      <c r="KW325" s="456" t="e">
        <f t="shared" ca="1" si="1146"/>
        <v>#DIV/0!</v>
      </c>
      <c r="KX325" s="457" t="e">
        <f ca="1">IF($CP325-Control!$C$149&lt;0, IF($MR325-$OM325&lt;0,0,1),0)</f>
        <v>#N/A</v>
      </c>
      <c r="KY325" s="167">
        <f t="shared" ca="1" si="1114"/>
        <v>321</v>
      </c>
      <c r="KZ325" s="168">
        <f ca="1">1370*(1+0.033*COS(2*Control!$C$138*$AH325/365))</f>
        <v>1402.8503275592996</v>
      </c>
      <c r="LA325" s="169">
        <f t="shared" ca="1" si="1115"/>
        <v>1.0239780483173626</v>
      </c>
      <c r="LB325" s="169">
        <f t="shared" ca="1" si="1116"/>
        <v>-0.34286691598482394</v>
      </c>
      <c r="LC325" s="169">
        <f ca="1">ACOS(-TAN((2*Control!$B$8/360))*TAN(Calculations!$LB325))</f>
        <v>1.4645049379092532</v>
      </c>
      <c r="LD325" s="169">
        <f ca="1">((24*60)/PI())*0.082*$LA325*(($LC325*SIN(Control!$B$8*2*PI()/360))*SIN($LB325)+COS(Control!$B$8*2*PI()/360)*COS($LB325)*SIN($LC325))</f>
        <v>7.2578338631243344</v>
      </c>
      <c r="LE325" s="170">
        <f t="shared" ca="1" si="1020"/>
        <v>8.723291749323673</v>
      </c>
      <c r="LF325" s="170">
        <f ca="1">SIN(Control!$C$139*Control!$B$8)*SIN($HD325)</f>
        <v>-0.26139623975875359</v>
      </c>
      <c r="LG325" s="170">
        <f ca="1">COS(Control!$C$139*Control!$B$8)*COS($HD325)</f>
        <v>0.58080070264317607</v>
      </c>
      <c r="LH325" s="170">
        <f ca="1">12*(1+2*ASIN(MAX(-1,MIN(1,$LF325/$LG325))/Control!$C$138))</f>
        <v>8.5499183484769503</v>
      </c>
      <c r="LI325" s="170">
        <f ca="1">12*(1+2*ASIN(MAX(-1,MIN(1,(-SIN(-4*Control!$C$139)+$LF325)/$LG325))/Control!$C$138))</f>
        <v>9.4746581138121826</v>
      </c>
      <c r="LJ325" s="168">
        <f ca="1">3600*($LH325*$LF325+24*$LG325*SQRT(1-$LK325*$LK325)/Control!$C$138)</f>
        <v>6218.2626171535994</v>
      </c>
      <c r="LK325" s="170">
        <f t="shared" ca="1" si="1021"/>
        <v>-0.45006185180073111</v>
      </c>
      <c r="LL325" s="170">
        <f t="shared" ca="1" si="1022"/>
        <v>0</v>
      </c>
      <c r="LM325" s="171">
        <f ca="1">Control!$C$145*$AB325</f>
        <v>6.6660906138995932E-2</v>
      </c>
      <c r="LN325" s="170">
        <f t="shared" ca="1" si="1117"/>
        <v>0.54</v>
      </c>
      <c r="LO325" s="170">
        <f t="shared" ca="1" si="1023"/>
        <v>0</v>
      </c>
      <c r="LP325" s="170">
        <f ca="1">Control!$C$140*((($D325+273.16)^4+($E325+273.16)^4)/2)*(0.34-0.14*SQRT($Y325))*(1.35*$AQ325/(0.75*$LD325)-0.35)</f>
        <v>-3.2464704755046001</v>
      </c>
      <c r="LQ325" s="170">
        <f ca="1">Control!$C$140*($G325+273)^4*(0.56-0.079*SQRT($Y325*10))*(0.1+0.9*$LO325)</f>
        <v>1.5241745131704001</v>
      </c>
      <c r="LR325" s="170">
        <f ca="1">$AQ325*(1-Control!$C$142)-$LQ325</f>
        <v>-1.5241745131704001</v>
      </c>
      <c r="LS325" s="170">
        <f ca="1">$AQ325*(1-Control!$C$143)-$LQ325</f>
        <v>-1.5241745131704001</v>
      </c>
      <c r="LT325" s="170">
        <f ca="1">$AQ325*(1-Control!$C$144)-$LQ325</f>
        <v>-1.5241745131704001</v>
      </c>
      <c r="LU325" s="169">
        <f ca="1">(1-Control!$C$144)*AQ325-LP325</f>
        <v>3.2464704755046001</v>
      </c>
      <c r="LV325" s="172">
        <f t="shared" ca="1" si="1024"/>
        <v>0.79430000000000012</v>
      </c>
      <c r="LW325" s="170">
        <f t="shared" ca="1" si="1025"/>
        <v>1.5886000000000002</v>
      </c>
      <c r="LX325" s="170">
        <f ca="1">($AC325*($LR325/Control!$C$141)+$LM325*$LV325)/($AC325+$LM325)</f>
        <v>0.23530094218323697</v>
      </c>
      <c r="LY325" s="170">
        <f ca="1">($AC325*($LS325/Control!$C$141)+$LM325*$LV325)/($AC325+$LM325)</f>
        <v>0.23530094218323697</v>
      </c>
      <c r="LZ325" s="170">
        <f t="shared" ca="1" si="1026"/>
        <v>0.23530094218323697</v>
      </c>
      <c r="MA325" s="170">
        <f t="shared" ca="1" si="1027"/>
        <v>0.23530094218323697</v>
      </c>
      <c r="MB325" s="170" t="e">
        <f t="shared" ca="1" si="1028"/>
        <v>#N/A</v>
      </c>
      <c r="MC325" s="170">
        <f t="shared" ca="1" si="1118"/>
        <v>0.6018</v>
      </c>
      <c r="MD325" s="170">
        <f t="shared" ca="1" si="1029"/>
        <v>0.52989392535414004</v>
      </c>
      <c r="ME325" s="170">
        <f ca="1">($AC325*($LT325/Control!$C$141)+$LM325*$LW325)/($AC325+$LM325)</f>
        <v>0.71612369323045078</v>
      </c>
      <c r="MF325" s="170" t="e">
        <f ca="1">IF(Control!$B$16&gt;=1000,0.92,IF(AND(720&lt;=Control!$B$16,1000&gt;Control!$B$16),(0.95+(Control!$B$16-720)*((0.92-0.95)/(1000-720))),IF(AND(360&lt;=Control!$B$16,720&gt;Control!$B$16),(1+(Control!$B$16-360)*((0.95-1)/(720-360))),IF(AND(40&lt;=Control!$B$16,360&gt;Control!$B$16),(1.05+(Control!$B$16-40)*((1.05-1)/(360-40)))))))</f>
        <v>#N/A</v>
      </c>
      <c r="MG325" s="170">
        <f t="shared" ca="1" si="1030"/>
        <v>0.71612369323045078</v>
      </c>
      <c r="MH325" s="170" t="e">
        <f t="shared" ca="1" si="1157"/>
        <v>#N/A</v>
      </c>
      <c r="MI325" s="170" t="e">
        <f t="shared" ca="1" si="1157"/>
        <v>#N/A</v>
      </c>
      <c r="MJ325" s="170" t="e">
        <f ca="1">MAX(0.0001, Control!$C$132*$MI325*$DL325)</f>
        <v>#N/A</v>
      </c>
      <c r="MK325" s="170">
        <f ca="1">1/(0.76+1.5*($MG325/10))-(5-Control!$C$110)*0.1</f>
        <v>1.002845988140797</v>
      </c>
      <c r="ML325" s="173">
        <f ca="1">IF(Control!$C$110&lt;3,$MK325+($MG325-0.6)/(Control!$C$110*(Control!$C$110+3)), MAX(0.1, MIN(0.95,$MK325)))</f>
        <v>0.95</v>
      </c>
      <c r="MM325" s="173">
        <f ca="1">IF(Control!$C$110&lt;3,$MK325+(($MI325/10)-0.6)/(Control!$C$110*(Control!$C$110+3)), MAX(0.1, MIN(0.95,$MK325)))</f>
        <v>0.95</v>
      </c>
      <c r="MN325" s="173">
        <f ca="1">(1-$MM325)*(Control!$C$128-Control!$C$127)+Control!$C$127</f>
        <v>0.16</v>
      </c>
      <c r="MO325" s="170" t="e">
        <f ca="1">MAX(0,MIN(1,($MS325-Control!$C$127)/($MN325-Control!$C$127)))</f>
        <v>#DIV/0!</v>
      </c>
      <c r="MP325" s="173" t="e">
        <f ca="1">1/(0.76+1.5*$MI325)-(5-Control!$C$110)*0.1</f>
        <v>#N/A</v>
      </c>
      <c r="MQ325" s="172" t="e">
        <f t="shared" ca="1" si="1147"/>
        <v>#DIV/0!</v>
      </c>
      <c r="MR325" s="168" t="e">
        <f t="shared" ca="1" si="1119"/>
        <v>#DIV/0!</v>
      </c>
      <c r="MS325" s="173" t="e">
        <f ca="1">MAX(Control!$C$127, MIN(Control!$C$135, $MR325/MAX(0.0001,$CY325)))</f>
        <v>#DIV/0!</v>
      </c>
      <c r="MT325" s="168" t="e">
        <f ca="1">(Control!$C$128-$MS325)*Control!$C$74</f>
        <v>#DIV/0!</v>
      </c>
      <c r="MU325" s="168" t="e">
        <f ca="1">(Control!$C$135-$MS325)*Control!$C$74</f>
        <v>#DIV/0!</v>
      </c>
      <c r="MV325" s="168" t="e">
        <f t="shared" ca="1" si="1120"/>
        <v>#DIV/0!</v>
      </c>
      <c r="MW325" s="168" t="e">
        <f t="shared" ca="1" si="1121"/>
        <v>#DIV/0!</v>
      </c>
      <c r="MX325" s="171" t="e">
        <f ca="1">MAX(Control!$C$127, MIN(Control!$C$135, $MW325/MAX(0.0001,Control!$C$119-$CY325)))</f>
        <v>#DIV/0!</v>
      </c>
      <c r="MY325" s="54" t="e">
        <f ca="1">IF(Control!$C$114=1, $CX325*$MX325, 0)</f>
        <v>#DIV/0!</v>
      </c>
      <c r="MZ325" s="54" t="e">
        <f t="shared" ca="1" si="1122"/>
        <v>#N/A</v>
      </c>
      <c r="NA325" s="168" t="e">
        <f ca="1">(Control!$C$128-$MX325)*(Control!$C$119-Control!$C$74)</f>
        <v>#DIV/0!</v>
      </c>
      <c r="NB325" s="168" t="e">
        <f ca="1">(Control!$C$135-$MX325)*(Control!$C$119-Control!$C$74)</f>
        <v>#DIV/0!</v>
      </c>
      <c r="NC325" s="174" t="e">
        <f t="shared" ca="1" si="1123"/>
        <v>#DIV/0!</v>
      </c>
      <c r="ND325" s="54">
        <f ca="1">IF(Control!$C$58=2, IF(OR(Control!$B$218=$AH325,Control!$B$219=$AH325, Control!$B$220=$AH325, Control!$B$221=$AH325, Control!$B$222=$AH325, Control!$B$223=$AH325, Control!$B$224=$AH325, Control!$B$225=$AH325, Control!$B$226=$AH325, Control!$B$227=$AH325, Control!$B$228=$AH325), 1, 0), 0)</f>
        <v>0</v>
      </c>
      <c r="NE325" s="54">
        <f ca="1">IF($ND325=0,0, VLOOKUP($AH325,Control!$B$218:$C$228,2))</f>
        <v>0</v>
      </c>
      <c r="NF325" s="168" t="e">
        <f ca="1">$CY325*(Control!$C$128-Control!$C$127)</f>
        <v>#N/A</v>
      </c>
      <c r="NG325" s="54" t="e">
        <f ca="1">IF(Control!$C$58=2, $NI324-$NJ324, 0)</f>
        <v>#DIV/0!</v>
      </c>
      <c r="NH325" s="54" t="e">
        <f ca="1">IF(AND(Control!$C$58=1, $MS324&lt;= ($MN324+0.02), $I324&lt;10), 0, IF(Control!$C$58=2, $NG324, 0))</f>
        <v>#DIV/0!</v>
      </c>
      <c r="NI325" s="54" t="e">
        <f ca="1">IF(Control!$C$58=2, $NE325+$NH325,0)</f>
        <v>#DIV/0!</v>
      </c>
      <c r="NJ325" s="54" t="e">
        <f ca="1">IF(AND(Control!$C$58=1, $MS325&lt;= ($MN325+0.02), $I325&lt;10), MAX(0, MIN(10, 0.7*($NF325-$MV325))), IF(Control!$C$58=2, MIN(10,$NI325),0))</f>
        <v>#DIV/0!</v>
      </c>
      <c r="NK325" s="54" t="e">
        <f t="shared" ca="1" si="1031"/>
        <v>#DIV/0!</v>
      </c>
      <c r="NL325" s="173" t="e">
        <f ca="1">(1-Control!$C$73)*$I325+$NJ325</f>
        <v>#DIV/0!</v>
      </c>
      <c r="NM325" s="172" t="e">
        <f ca="1">IF($NL325&lt;0.5, $MB325* MAX(0, MIN(1, (SQRT($NC325)-SQRT($NC325-1))*Control!$C$71)),0)</f>
        <v>#DIV/0!</v>
      </c>
      <c r="NN325" s="170" t="e">
        <f ca="1">IF($NL325&gt;=5, $MB325, MAX(0,MIN($MB325, $NM325+$NL325,($MS325-Control!$C$129))))</f>
        <v>#DIV/0!</v>
      </c>
      <c r="NO325" s="54">
        <f>IF(Control!$C$133&lt;&gt;1, Control!$C$135-Control!$C$131, 0)</f>
        <v>0.38</v>
      </c>
      <c r="NP325" s="54" t="e">
        <f t="shared" ca="1" si="1032"/>
        <v>#DIV/0!</v>
      </c>
      <c r="NQ325" s="173" t="e">
        <f ca="1">MAX(0,MIN(1,(Control!$C$135-$MS325)/(Control!$C$135-$NO325)))</f>
        <v>#DIV/0!</v>
      </c>
      <c r="NR325" s="170" t="e">
        <f ca="1">IF(Control!$C$133&lt;&gt;1, $NQ325+((1-$NP325/4)*(1-$NQ325)),1)</f>
        <v>#DIV/0!</v>
      </c>
      <c r="NS325" s="170" t="e">
        <f ca="1">IF(Control!$B$31=0,$MJ325,MAX(0,MIN($MV325,$MO325*$NR325*$MJ325)))</f>
        <v>#DIV/0!</v>
      </c>
      <c r="NT325" s="170" t="e">
        <f t="shared" ca="1" si="1148"/>
        <v>#DIV/0!</v>
      </c>
      <c r="NU325" s="170" t="e">
        <f t="shared" ca="1" si="1124"/>
        <v>#N/A</v>
      </c>
      <c r="NV325" s="170" t="e">
        <f t="shared" ca="1" si="1033"/>
        <v>#N/A</v>
      </c>
      <c r="NW325" s="175" t="e">
        <f t="shared" ca="1" si="1034"/>
        <v>#DIV/0!</v>
      </c>
      <c r="NX325" s="170" t="e">
        <f ca="1">MIN(Control!$C$72+$MU325, $NW325)</f>
        <v>#DIV/0!</v>
      </c>
      <c r="NY325" s="170" t="e">
        <f ca="1">IF($MT325&lt;=$NX325,MIN(Control!$C$72+$NB325,$NX325-$MT325),0)</f>
        <v>#DIV/0!</v>
      </c>
      <c r="NZ325" s="54" t="e">
        <f ca="1">IF(Control!$C$114=1,  $CX325*($MX325-Control!$C$127), 0)</f>
        <v>#DIV/0!</v>
      </c>
      <c r="OA325" s="170" t="e">
        <f t="shared" ca="1" si="1035"/>
        <v>#DIV/0!</v>
      </c>
      <c r="OB325" s="170" t="e">
        <f ca="1">IF($NA325 &lt;=$NY325, MIN(Control!$C$72, $NY325-$NA325), 0)</f>
        <v>#DIV/0!</v>
      </c>
      <c r="OC325" s="168" t="e">
        <f t="shared" ca="1" si="1036"/>
        <v>#DIV/0!</v>
      </c>
      <c r="OD325" s="168" t="e">
        <f t="shared" ca="1" si="1125"/>
        <v>#DIV/0!</v>
      </c>
      <c r="OE325" s="170">
        <f ca="1">Control!$C$73*$I325</f>
        <v>0</v>
      </c>
      <c r="OF325" s="176" t="e">
        <f t="shared" ca="1" si="1037"/>
        <v>#DIV/0!</v>
      </c>
      <c r="OG325" s="168" t="e">
        <f t="shared" ca="1" si="1038"/>
        <v>#DIV/0!</v>
      </c>
      <c r="OH325" s="168" t="e">
        <f t="shared" ca="1" si="1039"/>
        <v>#DIV/0!</v>
      </c>
      <c r="OI325" s="168" t="e">
        <f t="shared" ca="1" si="1040"/>
        <v>#DIV/0!</v>
      </c>
      <c r="OJ325" s="168" t="e">
        <f t="shared" ca="1" si="1041"/>
        <v>#DIV/0!</v>
      </c>
      <c r="OK325" s="204" t="e">
        <f t="shared" ca="1" si="1042"/>
        <v>#DIV/0!</v>
      </c>
      <c r="OL325" s="177">
        <f>Control!$C$127</f>
        <v>0.15</v>
      </c>
      <c r="OM325" s="182" t="e">
        <f t="shared" ca="1" si="1043"/>
        <v>#N/A</v>
      </c>
      <c r="ON325" s="177">
        <f>Control!$C$128</f>
        <v>0.35</v>
      </c>
      <c r="OO325" s="182" t="e">
        <f t="shared" ca="1" si="1044"/>
        <v>#N/A</v>
      </c>
      <c r="OP325" s="138">
        <f t="shared" ca="1" si="1126"/>
        <v>0</v>
      </c>
      <c r="OQ325" s="138" t="e">
        <f t="shared" ca="1" si="1149"/>
        <v>#DIV/0!</v>
      </c>
      <c r="OR325" s="138" t="e">
        <f t="shared" ca="1" si="1127"/>
        <v>#DIV/0!</v>
      </c>
      <c r="OS325" s="137" t="e">
        <f t="shared" ca="1" si="1150"/>
        <v>#DIV/0!</v>
      </c>
      <c r="OT325" s="139" t="e">
        <f t="shared" ca="1" si="1151"/>
        <v>#DIV/0!</v>
      </c>
      <c r="OU325" s="138" t="e">
        <f t="shared" ca="1" si="1152"/>
        <v>#N/A</v>
      </c>
      <c r="OV325" s="138" t="e">
        <f t="shared" ca="1" si="1153"/>
        <v>#DIV/0!</v>
      </c>
      <c r="OW325" s="138" t="e">
        <f t="shared" ca="1" si="1128"/>
        <v>#DIV/0!</v>
      </c>
      <c r="OX325" s="138" t="e">
        <f t="shared" ca="1" si="1129"/>
        <v>#DIV/0!</v>
      </c>
      <c r="OY325" s="138" t="e">
        <f t="shared" ca="1" si="1130"/>
        <v>#DIV/0!</v>
      </c>
      <c r="OZ325" s="138" t="e">
        <f t="shared" ca="1" si="1045"/>
        <v>#DIV/0!</v>
      </c>
      <c r="PA325" s="138" t="e">
        <f t="shared" ca="1" si="1046"/>
        <v>#DIV/0!</v>
      </c>
      <c r="PB325" s="55">
        <f>IF(Control!$C$61="T", IF(Control!$C$65="F", IF($AH$6-Control!$C$60&lt;0,0,1), IF(365+$AH$6-Control!$C$60&lt;0,0,1)),0)</f>
        <v>0</v>
      </c>
      <c r="PC325" s="55">
        <f ca="1">IF(Control!$C$65="F", IF($AH$6-$HF325&lt;0,0,1), IF(365+$AH$6-$HF325&lt;0,0,1))</f>
        <v>1</v>
      </c>
      <c r="PD325" s="444">
        <f>Control!$C$118</f>
        <v>1500</v>
      </c>
      <c r="PE325" s="180" t="e">
        <f t="shared" ca="1" si="1047"/>
        <v>#N/A</v>
      </c>
      <c r="PF325" s="445">
        <f t="shared" ca="1" si="1131"/>
        <v>0.71612369323045078</v>
      </c>
      <c r="PT325" s="186"/>
      <c r="PU325" s="186"/>
      <c r="PV325" s="94"/>
      <c r="PW325" s="94"/>
      <c r="PX325" s="94"/>
      <c r="PY325" s="94"/>
      <c r="PZ325" s="94"/>
      <c r="QA325" s="94"/>
      <c r="QB325" s="94"/>
      <c r="QC325" s="94"/>
      <c r="QD325" s="94"/>
      <c r="QE325" s="94"/>
      <c r="QF325" s="94"/>
      <c r="QG325" s="94"/>
      <c r="QH325" s="94"/>
      <c r="QI325" s="94"/>
      <c r="QJ325" s="94"/>
      <c r="QK325" s="94"/>
      <c r="QL325" s="94"/>
      <c r="QM325" s="94"/>
      <c r="QN325" s="94"/>
      <c r="QO325" s="94"/>
      <c r="QP325" s="94"/>
    </row>
    <row r="326" spans="1:458" s="2" customFormat="1" x14ac:dyDescent="0.2">
      <c r="A326" s="395">
        <v>17</v>
      </c>
      <c r="B326" s="396">
        <v>11</v>
      </c>
      <c r="C326" s="387">
        <f ca="1">Weather_data!$B325</f>
        <v>0</v>
      </c>
      <c r="D326" s="388">
        <f ca="1">Weather_data!$F325</f>
        <v>0</v>
      </c>
      <c r="E326" s="388">
        <f ca="1">Weather_data!$E325</f>
        <v>0</v>
      </c>
      <c r="F326" s="388">
        <f t="shared" ca="1" si="1048"/>
        <v>0</v>
      </c>
      <c r="G326" s="388">
        <f ca="1">AVERAGE($D326:$E326)+Control!$B$9</f>
        <v>0</v>
      </c>
      <c r="H326" s="388">
        <f ca="1">Weather_data!$G325</f>
        <v>0</v>
      </c>
      <c r="I326" s="388">
        <f ca="1">Weather_data!$I325</f>
        <v>0</v>
      </c>
      <c r="J326" s="388">
        <f ca="1">Weather_data!$H325</f>
        <v>0</v>
      </c>
      <c r="K326" s="389">
        <f ca="1">Weather_data!$D325</f>
        <v>0</v>
      </c>
      <c r="L326" s="388" t="e">
        <f t="shared" ca="1" si="1049"/>
        <v>#N/A</v>
      </c>
      <c r="M326" s="388" t="e">
        <f t="shared" ref="M326:M370" ca="1" si="1158">($EX326/10)/IF($L326&lt;&gt;0, $L326, 1)</f>
        <v>#N/A</v>
      </c>
      <c r="N326" s="388">
        <f t="shared" ref="N326:N370" ca="1" si="1159">($G326-$O326)/10</f>
        <v>-1.1391293059145004E-15</v>
      </c>
      <c r="O326" s="388">
        <f t="shared" ca="1" si="1050"/>
        <v>1.1391293059145004E-14</v>
      </c>
      <c r="P326" s="390">
        <v>3</v>
      </c>
      <c r="Q326" s="388">
        <f ca="1">MAX($G326-Control!$C$107,0)</f>
        <v>0</v>
      </c>
      <c r="R326" s="388">
        <f t="shared" ca="1" si="1051"/>
        <v>0</v>
      </c>
      <c r="S326" s="388">
        <f t="shared" ref="S326:S370" ca="1" si="1160">MAX(0, $R326)</f>
        <v>0</v>
      </c>
      <c r="T326" s="388">
        <f t="shared" ref="T326:T370" ca="1" si="1161">$S326*$PC326</f>
        <v>0</v>
      </c>
      <c r="U326" s="59">
        <f t="shared" ref="U326:U370" ca="1" si="1162">$S326*$PC326*$GF326</f>
        <v>0</v>
      </c>
      <c r="V326" s="391">
        <f ca="1">MAX(0,MIN(Control!$C$100-Control!$C$99,$G326-Control!$C$99)*Control!$C$63)</f>
        <v>0</v>
      </c>
      <c r="W326" s="388">
        <f t="shared" ca="1" si="1052"/>
        <v>0</v>
      </c>
      <c r="X326" s="388">
        <f t="shared" ca="1" si="1053"/>
        <v>0.6110000000000001</v>
      </c>
      <c r="Y326" s="388">
        <f t="shared" ref="Y326:Y370" ca="1" si="1163">MIN($H326,$X326)</f>
        <v>0</v>
      </c>
      <c r="Z326" s="388">
        <f t="shared" ca="1" si="1054"/>
        <v>0.61058800000000002</v>
      </c>
      <c r="AA326" s="388">
        <f t="shared" ref="AA326:AA370" ca="1" si="1164">(0.6018*EXP((17.27*D326)/(D326+237.3))+0.6018*EXP((17.27*E326)/(E326+237.3)))/2</f>
        <v>0.6018</v>
      </c>
      <c r="AB326" s="388">
        <f ca="1">101.3*EXP(-0.034*Control!$C$66/($G326+273))</f>
        <v>100.69623283836242</v>
      </c>
      <c r="AC326" s="392">
        <f t="shared" ref="AC326:AC370" ca="1" si="1165">(239*17*$X326/($G326+239)^2)</f>
        <v>4.3460251046025113E-2</v>
      </c>
      <c r="AD326" s="392">
        <f t="shared" ref="AD326:AD370" ca="1" si="1166">4098*(0.6108*EXP((17.27*G326)/(G326+237.3)))/(G326+237.3)^2</f>
        <v>4.4450382862832649E-2</v>
      </c>
      <c r="AE326" s="388">
        <f t="shared" ref="AE326:AE370" ca="1" si="1167">$Y326/$Z326</f>
        <v>0</v>
      </c>
      <c r="AF326" s="388">
        <f ca="1">MAX(0,$G326-Control!$C$92)</f>
        <v>0</v>
      </c>
      <c r="AG326" s="393">
        <f t="shared" ref="AG326:AG370" ca="1" si="1168">DATE($C326,$B326,$A326)</f>
        <v>322</v>
      </c>
      <c r="AH326" s="389">
        <f t="shared" ref="AH326:AH370" ca="1" si="1169">$AG326+1-DATE($C326,1,1)</f>
        <v>322</v>
      </c>
      <c r="AI326" s="388">
        <f t="shared" ca="1" si="1055"/>
        <v>-0.34208396306174321</v>
      </c>
      <c r="AJ326" s="388">
        <f ca="1">IF(Control!$C$60&lt;=0,$HH326,$HI326)</f>
        <v>1</v>
      </c>
      <c r="AK326" s="388">
        <f t="shared" ref="AK326:AK370" ca="1" si="1170">(2*PI()*(AH326-80)/365)</f>
        <v>4.165837929691671</v>
      </c>
      <c r="AL326" s="388">
        <f t="shared" ref="AL326:AL370" ca="1" si="1171">0.03358*(SIN(2*PI()*AH326)-SIN(2*PI()*80))/365</f>
        <v>-9.3775369414128567E-18</v>
      </c>
      <c r="AM326" s="388">
        <f t="shared" ref="AM326:AM370" ca="1" si="1172">AK326+AL326</f>
        <v>4.165837929691671</v>
      </c>
      <c r="AN326" s="388">
        <f t="shared" ref="AN326:AN370" ca="1" si="1173">ASIN(0.3978*SIN(AM326))</f>
        <v>-0.34675671841385308</v>
      </c>
      <c r="AO326" s="388">
        <f ca="1">-0.10453/COS(Control!$B$8*PI()/180)*COS(AN326)</f>
        <v>-0.15967924949685541</v>
      </c>
      <c r="AP326" s="388">
        <f ca="1">ACOS(AO326-TAN(Control!$B$8*PI()/180)*TAN(AN326))</f>
        <v>1.2631281644825583</v>
      </c>
      <c r="AQ326" s="388">
        <f t="shared" ca="1" si="1056"/>
        <v>0</v>
      </c>
      <c r="AR326" s="394">
        <f t="shared" ref="AR326:AR370" ca="1" si="1174">$AQ326*0.5</f>
        <v>0</v>
      </c>
      <c r="AS326" s="436">
        <f ca="1">IF(Control!$B$18=2,(IF(OR($AH326=Control!$B$175,$AH326=Control!$B$176,$AH326=Control!$B$177,$AH326=Control!$B$178,$AH326=Control!$B$179,$AH326=Control!$B$180,$AH326=Control!$B$181,$AH326=Control!$B$182,$AH326=Control!$B$183,$AH326=Control!$B$184,$AH326=Control!$B$185),1,0)),0)</f>
        <v>0</v>
      </c>
      <c r="AT326" s="436">
        <f>IF(Control!$B$20=8,IF(AND($AH326&gt;=Control!$B$172,$AH326&lt;=Control!$B$173),1,0),0)</f>
        <v>0</v>
      </c>
      <c r="AU326" s="436">
        <f>IF(Control!$B$20=8,IF($AV325=1,1*$AT326,IF($AT326=1,$AU325+1,$AU325)),0)</f>
        <v>0</v>
      </c>
      <c r="AV326" s="436">
        <f>IF(Control!$B$20=8,IF($AU326&gt;=Control!$B$174,1,0),0)</f>
        <v>0</v>
      </c>
      <c r="AW326" s="436">
        <f ca="1">IF(AND(Control!$B$18=2,Control!$B$171=1), $AV326, $AS326)</f>
        <v>0</v>
      </c>
      <c r="AX326" s="436" t="e">
        <f ca="1">IF(AND(Control!$B$18=1,$EU326&gt;=Control!$B$19),-$AY326,IF(AND(Control!$B$18=2,$AW326=1,$EU326&gt;$DS326),-$AY326, IF(Control!$C$108=0,0, IF(Control!$C$108&lt;&gt;0,1))))</f>
        <v>#N/A</v>
      </c>
      <c r="AY326" s="436" t="e">
        <f t="shared" ca="1" si="1057"/>
        <v>#N/A</v>
      </c>
      <c r="AZ326" s="436" t="e">
        <f ca="1">IF(AND(Control!$B$18=1,$EB326&gt;Control!$B$19),$AZ325+1, IF(AND(Control!$B$18=2, $AW326=1, $EB326&gt;$DS326), $AZ325+1,$AZ325))</f>
        <v>#N/A</v>
      </c>
      <c r="BA326" s="587">
        <f>IF(Control!$C$81=0,1,IF($AH326&gt;=Control!$C$82,1,0))</f>
        <v>1</v>
      </c>
      <c r="BB326" s="140" t="e">
        <f ca="1">IF($BA326&gt;$BA325,Control!$C$83,IF($AW326&gt;0,$AW326*Control!$C$84,IF(AND(Control!$B$18=1,EN325&lt;&gt;0),Control!$C$84,0)))</f>
        <v>#N/A</v>
      </c>
      <c r="BC326" s="140" t="e">
        <f t="shared" ca="1" si="1058"/>
        <v>#N/A</v>
      </c>
      <c r="BD326" s="140" t="e">
        <f ca="1">BC326*IF(OR($G326&lt;Control!$C$92,$G326&gt;Control!$C$95),0,IF(AND($G326&gt;=Control!$C$92,$G326&lt;=Control!$C$93),$G326-Control!$C$92,IF(AND($G326&gt;Control!$C$93,$G326&lt;=Control!$C$94),Control!$C$93-Control!$C$92,IF(AND($G326&gt;Control!$C$94,$G326&lt;=Control!$C$95),(Control!$C$93-Control!$C$92)*(Control!$C$94-$G326)/(Control!$C$95-Control!$C$94)))))</f>
        <v>#N/A</v>
      </c>
      <c r="BE326" s="140" t="e">
        <f t="shared" ca="1" si="1059"/>
        <v>#N/A</v>
      </c>
      <c r="BF326" s="140" t="e">
        <f ca="1">IF($BE326&lt;=Control!$C$86,$BE326,Control!$C$86-$BE326)</f>
        <v>#N/A</v>
      </c>
      <c r="BG326" s="140" t="e">
        <f ca="1">IF(AND($AW326=1,Control!$C$84&lt;9),1,IF($BE326&gt;=Control!$C$86,0,$BC326))</f>
        <v>#N/A</v>
      </c>
      <c r="BH326" s="404" t="e">
        <f ca="1">IF($BG326=0,0,IF($BE326&lt;=Control!$C$86,$BC326*9*($BF326/Control!$C$86),0))</f>
        <v>#N/A</v>
      </c>
      <c r="BI326" s="140" t="e">
        <f ca="1">IF($BG326=1,0,IF($BE326&gt;=Control!$C$86,1,IF(AND($BB326&lt;21,$BB326&gt;=9),1,$BM325)))</f>
        <v>#N/A</v>
      </c>
      <c r="BJ326" s="140" t="e">
        <f ca="1">IF($BF326&lt;0,-$BF326,$BI326*IF(OR($G326&lt;Control!$C$92,$G326&gt;Control!$C$95),0,IF(AND($G326&gt;=Control!$C$92,$G326&lt;=Control!$C$93),$G326-Control!$C$92,IF(AND($G326&gt;Control!$C$93,$G326&lt;=Control!$C$94),Control!$C$93-Control!$C$92,IF(AND($G326&gt;Control!$C$94,$G326&lt;=Control!$C$95),(Control!$C$93-Control!$C$92)*(Control!$C$94-$G326)/(Control!$C$95-Control!$C$94))))))</f>
        <v>#N/A</v>
      </c>
      <c r="BK326" s="140" t="e">
        <f t="shared" ca="1" si="1060"/>
        <v>#N/A</v>
      </c>
      <c r="BL326" s="140" t="e">
        <f ca="1">IF($BK326&lt;=Control!$C$87,$BK326,Control!$C$87-$BK326)</f>
        <v>#N/A</v>
      </c>
      <c r="BM326" s="140" t="e">
        <f ca="1">IF(AND($BB326&gt;=9,$BB326&lt;21),1,IF($BK326&gt;=Control!$C$87,0,$BI326))</f>
        <v>#N/A</v>
      </c>
      <c r="BN326" s="404" t="e">
        <f ca="1">IF($BM326=0,0,IF($BK326&lt;=Control!$C$87,$BI326*(9+(21-9)*($BL326/Control!$C$87)),0))</f>
        <v>#N/A</v>
      </c>
      <c r="BO326" s="140" t="e">
        <f ca="1">IF($BM326=1,0,IF($BK326&gt;=Control!$C$87,1,IF(AND($BB326&lt;30,$BB326&gt;=21),1,$BS325)))</f>
        <v>#N/A</v>
      </c>
      <c r="BP326" s="140" t="e">
        <f ca="1">IF($BL326&lt;0,-$BL326,$BO326*IF(OR($G326&lt;Control!$C$92,$G326&gt;Control!$C$95),0,IF(AND($G326&gt;=Control!$C$92,$G326&lt;=Control!$C$93),$G326-Control!$C$92,IF(AND($G326&gt;Control!$C$93,$G326&lt;=Control!$C$94),Control!$C$93-Control!$C$92,IF(AND($G326&gt;Control!$C$94,$G326&lt;=Control!$C$95),(Control!$C$93-Control!$C$92)*(Control!$C$94-$G326)/(Control!$C$95-Control!$C$94))))))</f>
        <v>#N/A</v>
      </c>
      <c r="BQ326" s="140" t="e">
        <f t="shared" ref="BQ326:BQ370" ca="1" si="1175">IF(AND($BO326*$BB326&gt;=21,$BO326*$BB326&lt;30),$BP326,IF($BO326=1,$BQ325+$BP326,0))</f>
        <v>#N/A</v>
      </c>
      <c r="BR326" s="140" t="e">
        <f ca="1">IF($BQ326&lt;=Control!$C$88,$BQ326,Control!$C$88-$BQ326)</f>
        <v>#N/A</v>
      </c>
      <c r="BS326" s="140" t="e">
        <f ca="1">IF(AND($BB326&gt;=21,$BB326&lt;30),1,IF($BQ326&gt;=Control!$C$88,0,$BO326))</f>
        <v>#N/A</v>
      </c>
      <c r="BT326" s="404" t="e">
        <f ca="1">IF($BS326=0,0,IF($BQ326&lt;=Control!$C$88,$BO326*(21+(30-21)*(BR326/Control!$C$88)),0))</f>
        <v>#N/A</v>
      </c>
      <c r="BU326" s="140" t="e">
        <f ca="1">IF(BG326+BM326+BS326=1,0,IF(OR(AND($BB326&lt;60,$BB326&gt;=30),$BQ326&gt;=Control!$C$88),1*$BA326,$BY325))</f>
        <v>#N/A</v>
      </c>
      <c r="BV326" s="140" t="e">
        <f ca="1">IF($BR326&lt;0,-$BR326,$BU326*IF(OR($G326&lt;Control!$C$92,$G326&gt;Control!$C$95),0,IF(AND($G326&gt;=Control!$C$92,$G326&lt;=Control!$C$93),$G326-Control!$C$92,IF(AND($G326&gt;Control!$C$93,$G326&lt;=Control!$C$94),Control!$C$93-Control!$C$92,IF(AND($G326&gt;Control!$C$94,$G326&lt;=Control!$C$95),(Control!$C$93-Control!$C$92)*(Control!$C$94-$G326)/(Control!$C$95-Control!$C$94))))))</f>
        <v>#N/A</v>
      </c>
      <c r="BW326" s="140" t="e">
        <f t="shared" ref="BW326:BW370" ca="1" si="1176">IF(AND($BO326*$BB326&gt;=30,$BO326*$BB326&lt;60),$BV326,IF($BU326=1,$BW325+$BV326,0))</f>
        <v>#N/A</v>
      </c>
      <c r="BX326" s="140" t="e">
        <f ca="1">IF($BW326&lt;=Control!$C$89,$BW326,Control!$C$89-$BW326)</f>
        <v>#N/A</v>
      </c>
      <c r="BY326" s="140" t="e">
        <f ca="1">IF(AND($AJ326&gt;=30,$AJ326&lt;60),1,IF($BW326&gt;=Control!$C$89,0,$BU326))</f>
        <v>#N/A</v>
      </c>
      <c r="BZ326" s="404" t="e">
        <f ca="1">IF($BY326=0,0,IF($BW326&lt;=Control!$C$89,$BU326*(30+(60-30)*(BX326/Control!$C$89)),0))</f>
        <v>#N/A</v>
      </c>
      <c r="CA326" s="140" t="e">
        <f ca="1">IF($BG326+$BM326+$BS326+$BY326=1,0,IF(OR(AND($BB326&lt;65,$BB326&gt;=60),$BW326&gt;=Control!$C$89),1*$BA326,$CE325))</f>
        <v>#N/A</v>
      </c>
      <c r="CB326" s="140" t="e">
        <f ca="1">IF($BX326&lt;0,-$BX326,$CA326*IF(OR($G326&lt;Control!$C$92,$G326&gt;Control!$C$95),0,IF(AND($G326&gt;=Control!$C$92,$G326&lt;=Control!$C$93),$G326-Control!$C$92,IF(AND($G326&gt;Control!$C$93,$G326&lt;=Control!$C$94),Control!$C$93-Control!$C$92,IF(AND($G326&gt;Control!$C$94,$G326&lt;=Control!$C$95),(Control!$C$93-Control!$C$92)*(Control!$C$94-$G326)/(Control!$C$95-Control!$C$94))))))</f>
        <v>#N/A</v>
      </c>
      <c r="CC326" s="140" t="e">
        <f t="shared" ca="1" si="1061"/>
        <v>#N/A</v>
      </c>
      <c r="CD326" s="140" t="e">
        <f ca="1">IF($CC326&lt;=Control!$C$90,$CC326,Control!$C$90-$CC326)</f>
        <v>#N/A</v>
      </c>
      <c r="CE326" s="140" t="e">
        <f ca="1">IF(AND($BB326&gt;=60,$BB326&lt;65),1,IF($CC326&gt;=Control!$C$90,0,$CA326))</f>
        <v>#N/A</v>
      </c>
      <c r="CF326" s="404" t="e">
        <f ca="1">IF($CE326=0,0,IF($CC326&lt;=Control!$C$90,$CA326*(60+(65-60)*(CD326/Control!$C$90)),0))</f>
        <v>#N/A</v>
      </c>
      <c r="CG326" s="140" t="e">
        <f ca="1">IF($BG326+$BM326+$BS326+$BY326+$CE326=1,0,IF(OR(AND($BB326&lt;90,$BB326&gt;=65),$CC326&gt;=Control!$C$90),$BA326,$CK325))</f>
        <v>#N/A</v>
      </c>
      <c r="CH326" s="140" t="e">
        <f ca="1">IF($CD326&lt;0,-$CD326,$CG326*IF(OR($G326&lt;Control!$C$92,$G326&gt;Control!$C$95),0,IF(AND($G326&gt;=Control!$C$92,$G326&lt;=Control!$C$93),$G326-Control!$C$92,IF(AND($G326&gt;Control!$C$93,$G326&lt;=Control!$C$94),Control!$C$93-Control!$C$92,IF(AND($G326&gt;Control!$C$94,$G326&lt;=Control!$C$95),(Control!$C$93-Control!$C$92)*(Control!$C$94-$G326)/(Control!$C$95-Control!$C$94))))))</f>
        <v>#N/A</v>
      </c>
      <c r="CI326" s="140" t="e">
        <f t="shared" ca="1" si="1062"/>
        <v>#N/A</v>
      </c>
      <c r="CJ326" s="140" t="e">
        <f ca="1">IF($CI326&lt;=Control!$C$91,$CI326,Control!$C$91-$CI326)</f>
        <v>#N/A</v>
      </c>
      <c r="CK326" s="140" t="e">
        <f ca="1">IF(AND($BB326&gt;=65,$BB326&lt;90),1,IF($CI326&gt;=Control!$C$91,0,$CG326))</f>
        <v>#N/A</v>
      </c>
      <c r="CL326" s="404" t="e">
        <f ca="1">IF($CK326=0,0,IF($CI326&lt;=Control!$C$91,$CG326*(65+(90-65)*($CJ326/Control!$C$91)),0))</f>
        <v>#N/A</v>
      </c>
      <c r="CM326" s="140" t="e">
        <f ca="1">IF($BG326+$BM326+$BS326+$BY326+$CE326+$CK326=1,0,IF(OR($BB326&gt;=90,$CI326&gt;=Control!$C$91),$BA326,$CM325))</f>
        <v>#N/A</v>
      </c>
      <c r="CN326" s="140" t="e">
        <f t="shared" ca="1" si="1063"/>
        <v>#N/A</v>
      </c>
      <c r="CO326" s="140" t="e">
        <f t="shared" ca="1" si="1064"/>
        <v>#N/A</v>
      </c>
      <c r="CP326" s="140" t="e">
        <f t="shared" ca="1" si="1065"/>
        <v>#N/A</v>
      </c>
      <c r="CQ326" s="141" t="e">
        <f ca="1">VLOOKUP($CP326,Control!$B$86:$G$91,6)</f>
        <v>#N/A</v>
      </c>
      <c r="CR326" s="141" t="e">
        <f ca="1">(1-$CQ326)*VLOOKUP($CP326,Control!$B$86:$D$91,3)</f>
        <v>#N/A</v>
      </c>
      <c r="CS326" s="141" t="e">
        <f ca="1">(1-$CQ326)*VLOOKUP($CP326,Control!$B$86:$E$91,4)</f>
        <v>#N/A</v>
      </c>
      <c r="CT326" s="141" t="e">
        <f ca="1">(1-$CQ326)*VLOOKUP($CP326,Control!$B$86:$F$91,5)</f>
        <v>#N/A</v>
      </c>
      <c r="CU326" s="141">
        <f t="shared" ca="1" si="1066"/>
        <v>0</v>
      </c>
      <c r="CV326" s="583">
        <f t="shared" ca="1" si="1067"/>
        <v>0</v>
      </c>
      <c r="CW326" s="142">
        <f t="shared" ca="1" si="1068"/>
        <v>322</v>
      </c>
      <c r="CX326" s="612" t="e">
        <f ca="1">IF(Control!$C$114=1,(MIN(Control!$C$120*(IF($NT326-0.01&lt;0,0,1)),Control!$C$119-$CY326)))</f>
        <v>#DIV/0!</v>
      </c>
      <c r="CY326" s="143" t="e">
        <f t="shared" ca="1" si="1069"/>
        <v>#N/A</v>
      </c>
      <c r="CZ326" s="144">
        <f t="shared" ref="CZ326:CZ370" ca="1" si="1177">IF($O326&lt;=3,0,IF(AND($O326&gt;3,$O326&lt;=8),($O326-3)*((1-0)/(8-3)),IF(AND($O326&gt;8,$O326&lt;=30),1,IF(AND($O326&gt;30,$O326&lt;=35),(1+($O326-30)*((0-1)/(35-30))),IF(AND($O326&gt;35,$O326&lt;=40),0)))))</f>
        <v>0</v>
      </c>
      <c r="DA326" s="144">
        <f t="shared" ref="DA326:DA370" ca="1" si="1178">IF($CZ326&lt;=0, 0, $O326*0.01)</f>
        <v>0</v>
      </c>
      <c r="DB326" s="144" t="e">
        <f t="shared" ref="DB326:DB370" ca="1" si="1179">$KH326*0.693</f>
        <v>#N/A</v>
      </c>
      <c r="DC326" s="144" t="e">
        <f t="shared" ref="DC326:DC370" ca="1" si="1180">IF($AY326&lt;8,MAX(0,0.335-0.067*$DK326)*$CZ326,MAX(0,MIN($DB326,0.867-0.183*$DK326))*$CZ326)</f>
        <v>#N/A</v>
      </c>
      <c r="DD326" s="144" t="e">
        <f t="shared" ca="1" si="1154"/>
        <v>#N/A</v>
      </c>
      <c r="DE326" s="143" t="e">
        <f t="shared" ca="1" si="1070"/>
        <v>#N/A</v>
      </c>
      <c r="DF326" s="145" t="e">
        <f ca="1">$DR326*EXP(-Control!$C$158*(1-$KH326))</f>
        <v>#N/A</v>
      </c>
      <c r="DG326" s="146" t="e">
        <f ca="1">IF(Control!$C$114=1, $DF326*$EY326, 0)</f>
        <v>#N/A</v>
      </c>
      <c r="DH326" s="147" t="e">
        <f t="shared" ca="1" si="1071"/>
        <v>#N/A</v>
      </c>
      <c r="DI326" s="144" t="e">
        <f t="shared" ca="1" si="1132"/>
        <v>#N/A</v>
      </c>
      <c r="DJ326" s="147" t="e">
        <f ca="1">$EF326*Control!$C$109</f>
        <v>#N/A</v>
      </c>
      <c r="DK326" s="144" t="e">
        <f t="shared" ca="1" si="1072"/>
        <v>#N/A</v>
      </c>
      <c r="DL326" s="144" t="e">
        <f t="shared" ref="DL326:DL370" ca="1" si="1181">$DM326/$AR326</f>
        <v>#N/A</v>
      </c>
      <c r="DM326" s="144" t="e">
        <f ca="1">IF(Control!$C$114=1, (1-EXP(-Control!$C$96*$DK326))*$AR326, 0)</f>
        <v>#N/A</v>
      </c>
      <c r="DN326" s="144">
        <f t="shared" ca="1" si="1073"/>
        <v>0</v>
      </c>
      <c r="DO326" s="148">
        <f>Control!$C$97</f>
        <v>4</v>
      </c>
      <c r="DP326" s="145" t="e">
        <f t="shared" ca="1" si="1074"/>
        <v>#N/A</v>
      </c>
      <c r="DQ326" s="145" t="e">
        <f ca="1">IF(AND($CP326&gt;=0,$CP326&lt;=90),Control!$C$111,Control!$C$111)</f>
        <v>#N/A</v>
      </c>
      <c r="DR326" s="145" t="e">
        <f t="shared" ref="DR326:DR370" ca="1" si="1182">$DQ326</f>
        <v>#N/A</v>
      </c>
      <c r="DS326" s="143" t="e">
        <f ca="1">Control!$B$22/$DR326</f>
        <v>#N/A</v>
      </c>
      <c r="DT326" s="149" t="e">
        <f ca="1">IF(AND(Control!$C$114=1,$KH326&lt;1),$IM326*$DF326, 0)</f>
        <v>#N/A</v>
      </c>
      <c r="DU326" s="144" t="e">
        <f t="shared" ca="1" si="1075"/>
        <v>#N/A</v>
      </c>
      <c r="DV326" s="144">
        <f ca="1">IF($G326-Control!$C$107&lt;=0, 0, 0.83*LN(MAX($G326, 3))-0.8924)</f>
        <v>0</v>
      </c>
      <c r="DW326" s="144" t="e">
        <f t="shared" ref="DW326:DW370" ca="1" si="1183">IF(($EN326-0.1)&lt;0,$DV326,(-$DU326))</f>
        <v>#N/A</v>
      </c>
      <c r="DX326" s="150" t="e">
        <f ca="1">MAX(0.01*(1+$CU326/Control!$C$102),0.05*($DK326-Control!$C$97)/Control!$C$97)</f>
        <v>#N/A</v>
      </c>
      <c r="DY326" s="151" t="e">
        <f ca="1">IF(Control!$C$114=1, $DI326*$FS326, 0)</f>
        <v>#N/A</v>
      </c>
      <c r="DZ326" s="196" t="e">
        <f t="shared" ca="1" si="1076"/>
        <v>#N/A</v>
      </c>
      <c r="EA326" s="152">
        <f t="shared" ca="1" si="1077"/>
        <v>322</v>
      </c>
      <c r="EB326" s="153" t="e">
        <f t="shared" ca="1" si="1078"/>
        <v>#N/A</v>
      </c>
      <c r="EC326" s="153" t="e">
        <f t="shared" ca="1" si="1079"/>
        <v>#N/A</v>
      </c>
      <c r="ED326" s="154" t="e">
        <f ca="1">IF(Control!$C$114=1, $HM326*$FY326-$FD326, 0)</f>
        <v>#DIV/0!</v>
      </c>
      <c r="EE326" s="155" t="e">
        <f ca="1">IF(Control!$C$114=1, $HM326*$FZ326-$FF326, 0)</f>
        <v>#DIV/0!</v>
      </c>
      <c r="EF326" s="153" t="e">
        <f t="shared" ca="1" si="1133"/>
        <v>#N/A</v>
      </c>
      <c r="EG326" s="155" t="e">
        <f ca="1">IF(Control!$C$114=1, $GX326*$FW326-$FI326, 0)</f>
        <v>#DIV/0!</v>
      </c>
      <c r="EH326" s="153" t="e">
        <f t="shared" ca="1" si="1080"/>
        <v>#N/A</v>
      </c>
      <c r="EI326" s="156" t="e">
        <f t="shared" ca="1" si="1081"/>
        <v>#N/A</v>
      </c>
      <c r="EJ326" s="155" t="e">
        <f ca="1">IF(Control!$C$114=1, $HM326*$GB326, 0)</f>
        <v>#DIV/0!</v>
      </c>
      <c r="EK326" s="153" t="e">
        <f t="shared" ca="1" si="1134"/>
        <v>#N/A</v>
      </c>
      <c r="EL326" s="153" t="e">
        <f t="shared" ref="EL326:EL370" ca="1" si="1184">$EB326+$EF326+$EK326</f>
        <v>#N/A</v>
      </c>
      <c r="EM326" s="153" t="e">
        <f t="shared" ref="EM326:EM370" ca="1" si="1185">MAX(0,$EB326-$DS326)</f>
        <v>#N/A</v>
      </c>
      <c r="EN326" s="153" t="e">
        <f ca="1">IF(Control!$C$108=1,IF(AND(Control!$B$18=1,$EB326&gt;=Control!$B$19),$EB326-$DS326,IF(AND(Control!$B$18=2,$AW326=1,$EB326&gt;$DS326),$EB326-$DS326,0)))</f>
        <v>#N/A</v>
      </c>
      <c r="EO326" s="153" t="e">
        <f ca="1">IF(Control!$C$108=1,IF(AND(Control!$B$18=1,$EB326&gt;=Control!$B$19),$EF326,IF(AND(Control!$B$18=2,$AW326=1),$EF326,0)))</f>
        <v>#N/A</v>
      </c>
      <c r="EP326" s="153" t="e">
        <f ca="1">IF(Control!$C$108=1,IF(AND(Control!$B$18=1,$EB326&gt;=Control!$B$19),$EK326,IF(AND(Control!$B$18=2,$AW326=1),$EK326,0)))</f>
        <v>#N/A</v>
      </c>
      <c r="EQ326" s="153" t="e">
        <f t="shared" ca="1" si="1082"/>
        <v>#N/A</v>
      </c>
      <c r="ER326" s="153" t="e">
        <f t="shared" ca="1" si="1083"/>
        <v>#N/A</v>
      </c>
      <c r="ES326" s="153" t="e">
        <f t="shared" ca="1" si="1135"/>
        <v>#N/A</v>
      </c>
      <c r="ET326" s="153" t="e">
        <f t="shared" ca="1" si="1136"/>
        <v>#N/A</v>
      </c>
      <c r="EU326" s="153" t="e">
        <f t="shared" ca="1" si="1084"/>
        <v>#N/A</v>
      </c>
      <c r="EV326" s="153" t="e">
        <f t="shared" ref="EV326:EV370" ca="1" si="1186">ER326+EB326</f>
        <v>#N/A</v>
      </c>
      <c r="EW326" s="153" t="e">
        <f t="shared" ref="EW326:EW369" ca="1" si="1187">$ER326+MAX(0,$EM326)</f>
        <v>#N/A</v>
      </c>
      <c r="EX326" s="153" t="e">
        <f t="shared" ref="EX326:EX370" ca="1" si="1188">$ER326+$EC326</f>
        <v>#N/A</v>
      </c>
      <c r="EY326" s="157" t="e">
        <f t="shared" ref="EY326:EY370" ca="1" si="1189">$GX326*$FY326*(1-$FW326)</f>
        <v>#DIV/0!</v>
      </c>
      <c r="EZ326" s="154" t="e">
        <f t="shared" ref="EZ326:EZ370" ca="1" si="1190">$EY326-$FD326</f>
        <v>#DIV/0!</v>
      </c>
      <c r="FA326" s="153" t="e">
        <f t="shared" ca="1" si="1085"/>
        <v>#N/A</v>
      </c>
      <c r="FB326" s="153" t="e">
        <f t="shared" ref="FB326:FB370" ca="1" si="1191">$ER326+$EC326</f>
        <v>#N/A</v>
      </c>
      <c r="FC326" s="193" t="e">
        <f t="shared" ref="FC326:FC370" ca="1" si="1192">$EB326+$FM326</f>
        <v>#N/A</v>
      </c>
      <c r="FD326" s="158" t="e">
        <f t="shared" ca="1" si="1086"/>
        <v>#N/A</v>
      </c>
      <c r="FE326" s="158" t="e">
        <f t="shared" ca="1" si="1087"/>
        <v>#N/A</v>
      </c>
      <c r="FF326" s="159" t="e">
        <f t="shared" ref="FF326:FF370" ca="1" si="1193">$EF326*$FE326</f>
        <v>#N/A</v>
      </c>
      <c r="FG326" s="160" t="e">
        <f t="shared" ca="1" si="1088"/>
        <v>#N/A</v>
      </c>
      <c r="FH326" s="158" t="e">
        <f t="shared" ca="1" si="1089"/>
        <v>#N/A</v>
      </c>
      <c r="FI326" s="159" t="e">
        <f t="shared" ref="FI326:FI370" ca="1" si="1194">$FH326*$EH326</f>
        <v>#N/A</v>
      </c>
      <c r="FJ326" s="160" t="e">
        <f t="shared" ca="1" si="1090"/>
        <v>#N/A</v>
      </c>
      <c r="FK326" s="160" t="e">
        <f t="shared" ref="FK326:FK370" ca="1" si="1195">$EI326-$FG326</f>
        <v>#N/A</v>
      </c>
      <c r="FL326" s="160" t="e">
        <f t="shared" ca="1" si="1137"/>
        <v>#N/A</v>
      </c>
      <c r="FM326" s="160" t="e">
        <f t="shared" ref="FM326:FM370" ca="1" si="1196">$FL326-$ER326</f>
        <v>#N/A</v>
      </c>
      <c r="FN326" s="158">
        <f t="shared" ca="1" si="1091"/>
        <v>0.01</v>
      </c>
      <c r="FO326" s="160">
        <f>Control!$C$101</f>
        <v>50</v>
      </c>
      <c r="FP326" s="150" t="e">
        <f t="shared" ref="FP326:FP370" ca="1" si="1197">IF($CP326&lt;$FO326, 0, $FN326)</f>
        <v>#N/A</v>
      </c>
      <c r="FQ326" s="150" t="e">
        <f ca="1">MAX(0,(Control!$C$112*(($DK326-Control!$C$97)/Control!$C$97)))</f>
        <v>#N/A</v>
      </c>
      <c r="FR326" s="150" t="e">
        <f ca="1">(1-$NT326)*Control!$C$113</f>
        <v>#DIV/0!</v>
      </c>
      <c r="FS326" s="198" t="e">
        <f t="shared" ref="FS326:FS370" ca="1" si="1198">MAX($FP326,$FQ326,$FR326)</f>
        <v>#N/A</v>
      </c>
      <c r="FT326" s="161">
        <f t="shared" ca="1" si="1092"/>
        <v>322</v>
      </c>
      <c r="FU326" s="162" t="e">
        <f ca="1">IF(Control!$B$34=1,VLOOKUP($CP326,Control!$B$86:$G$91,6),Control!$B$35)</f>
        <v>#N/A</v>
      </c>
      <c r="FV326" s="162" t="e">
        <f t="shared" ref="FV326:FV370" ca="1" si="1199">IF(AND($NT326&lt;=0,$NT326&gt;=-1),1.6,IF(AND($NT326&lt;1,$NT326&gt;=1.2),1,(1.6+($NT326)*((1-1.6)/(1-0)))))</f>
        <v>#DIV/0!</v>
      </c>
      <c r="FW326" s="162" t="e">
        <f ca="1">IF(Control!$B$31=1,$FU326*$FV326,  $FU326)</f>
        <v>#N/A</v>
      </c>
      <c r="FX326" s="162" t="e">
        <f ca="1">IF(Control!$B$34=1,VLOOKUP($CP326,Control!$B$86:$G$91,3),Control!$B$36)</f>
        <v>#N/A</v>
      </c>
      <c r="FY326" s="162" t="e">
        <f t="shared" ref="FY326:FY370" ca="1" si="1200">$FX326</f>
        <v>#N/A</v>
      </c>
      <c r="FZ326" s="162" t="e">
        <f ca="1">IF(Control!$B$34=1,VLOOKUP($CP326,Control!$B$86:$G$91,4),Control!$B$37)</f>
        <v>#N/A</v>
      </c>
      <c r="GA326" s="162" t="e">
        <f t="shared" ref="GA326:GA370" ca="1" si="1201">$FZ326</f>
        <v>#N/A</v>
      </c>
      <c r="GB326" s="162" t="e">
        <f ca="1">IF(Control!$B$34=1,VLOOKUP($CP326,Control!$B$86:$G$91,5),Control!$B$38)</f>
        <v>#N/A</v>
      </c>
      <c r="GC326" s="162" t="e">
        <f t="shared" ca="1" si="1093"/>
        <v>#N/A</v>
      </c>
      <c r="GD326" s="162">
        <f t="shared" ref="GD326:GD370" ca="1" si="1202">IF(AND(0&lt;=$LI326, $LI326&lt;=18), 1, 0.5)</f>
        <v>1</v>
      </c>
      <c r="GE326" s="162">
        <f t="shared" ref="GE326:GE370" ca="1" si="1203">$GD326</f>
        <v>1</v>
      </c>
      <c r="GF326" s="162">
        <f ca="1">IF(AND(Control!$C$104=1, Control!$C$62="F"),$GE326,1)</f>
        <v>1</v>
      </c>
      <c r="GG326" s="162" t="e">
        <f ca="1">IF(Control!$B$16=40,0,IF(AND(Control!$B$16&gt;40,Control!$B$16&lt;=360),(Control!$B$16-40)*((1-0)/(360-40)),IF(AND(Control!$B$16&gt;360,Control!$B$16&lt;=720),(1+(Control!$B$16-360)*((1.25-1)/(720-360))),IF(AND(Control!$B$16&gt;720,Control!$B$16&lt;=1000),(1.25+(Control!$B$16-720)*((1.35-1.25)/(1000-720))),IF(AND(Control!$B$16&gt;1000,Control!$B$16&lt;=2000),(1.35+(Control!$B$16-1000)*0))))))</f>
        <v>#N/A</v>
      </c>
      <c r="GH326" s="162" t="e">
        <f t="shared" ref="GH326:GH370" ca="1" si="1204">$GG326</f>
        <v>#N/A</v>
      </c>
      <c r="GI326" s="162">
        <f t="shared" ca="1" si="1094"/>
        <v>0</v>
      </c>
      <c r="GJ326" s="162">
        <f t="shared" ref="GJ326:GJ370" ca="1" si="1205">$CZ326*$GI326</f>
        <v>0</v>
      </c>
      <c r="GK326" s="162">
        <f t="shared" ca="1" si="1095"/>
        <v>1</v>
      </c>
      <c r="GL326" s="162">
        <f t="shared" ref="GL326:GL370" ca="1" si="1206">$GK326</f>
        <v>1</v>
      </c>
      <c r="GM326" s="162" t="e">
        <f ca="1">MAX(0,MIN(1,1-Control!$C$156*(1.0001-$KH326)^2))</f>
        <v>#N/A</v>
      </c>
      <c r="GN326" s="162" t="e">
        <f ca="1">IF(Control!$B$26=1,$KU326,$KX326)</f>
        <v>#N/A</v>
      </c>
      <c r="GO326" s="162" t="e">
        <f ca="1">IF($CP326&lt;=60,Control!$C$105,IF($CP326&gt;=90,Control!$C$106,Control!$C$105+($CP326-60)*((Control!$C$106-Control!$C$105)/(90-60))))</f>
        <v>#N/A</v>
      </c>
      <c r="GP326" s="162" t="e">
        <f t="shared" ref="GP326:GP370" ca="1" si="1207">$GJ326*$GH326*$GL326</f>
        <v>#N/A</v>
      </c>
      <c r="GQ326" s="162" t="e">
        <f t="shared" ca="1" si="1096"/>
        <v>#N/A</v>
      </c>
      <c r="GR326" s="163" t="e">
        <f t="shared" ref="GR326:GR370" ca="1" si="1208">IF(AND($NT326&lt;=$GM326,$EN326=0),10*$GP326*$GO326*$DM326*$NT326,IF(AND($NT326&gt;$GM326,$EN326=0),10*$GP326*$GO326*$DM326*$GM326,0))</f>
        <v>#DIV/0!</v>
      </c>
      <c r="GS326" s="162" t="e">
        <f t="shared" ref="GS326:GS370" ca="1" si="1209">$GR326+$FA326</f>
        <v>#DIV/0!</v>
      </c>
      <c r="GT326" s="164" t="e">
        <f t="shared" ca="1" si="1097"/>
        <v>#N/A</v>
      </c>
      <c r="GU326" s="162" t="e">
        <f t="shared" ca="1" si="1098"/>
        <v>#N/A</v>
      </c>
      <c r="GV326" s="162" t="e">
        <f t="shared" ref="GV326:GV370" ca="1" si="1210">IF($EN326&lt;=0,$GT326*(1/$DF326)*(1/$FY326)*(1/(1-$FW326)),0)</f>
        <v>#N/A</v>
      </c>
      <c r="GW326" s="162" t="e">
        <f t="shared" ref="GW326:GW370" ca="1" si="1211">IF($GS326-$GV326&lt;=0,0,$GS326-$GV326)</f>
        <v>#DIV/0!</v>
      </c>
      <c r="GX326" s="162" t="e">
        <f t="shared" ca="1" si="1099"/>
        <v>#DIV/0!</v>
      </c>
      <c r="GY326" s="162" t="e">
        <f t="shared" ca="1" si="1100"/>
        <v>#DIV/0!</v>
      </c>
      <c r="GZ326" s="165" t="e">
        <f t="shared" ref="GZ326:GZ370" ca="1" si="1212">$EF326+$EB326</f>
        <v>#N/A</v>
      </c>
      <c r="HA326" s="162" t="e">
        <f ca="1">IF(Control!$C$114=1, $DI326*$FS326, 0)</f>
        <v>#N/A</v>
      </c>
      <c r="HB326" s="162" t="e">
        <f ca="1">$FA326/Control!$C$64</f>
        <v>#N/A</v>
      </c>
      <c r="HC326" s="162" t="e">
        <f t="shared" ref="HC326:HC370" ca="1" si="1213">$GW326-$HB326</f>
        <v>#DIV/0!</v>
      </c>
      <c r="HD326" s="162">
        <f ca="1">-ASIN(SIN(23.45*Control!$C$139)*COS(2*Control!$C$138*($AH326+10)/365))</f>
        <v>-0.34208396306174321</v>
      </c>
      <c r="HE326" s="165">
        <f t="shared" ca="1" si="1101"/>
        <v>0</v>
      </c>
      <c r="HF326" s="166">
        <f ca="1">IF(AND(Control!$C$61="T",$HE326&gt;=Control!$C$103,Control!$C$114=0),$AH326,Control!$C$59)</f>
        <v>1</v>
      </c>
      <c r="HG326" s="166">
        <f ca="1">IF(AND(Control!$C$61="T",$HE326&gt;=Control!$C$103,Control!$C$114=0),$HF326,Control!$C$59)</f>
        <v>1</v>
      </c>
      <c r="HH326" s="165">
        <f ca="1">IF(AND(OR(Control!$C$60&lt;=0, $AH326= Control!$C$59, Control!$C$60 &gt;0, $AH326 = Control!$C$60)), Control!$C$59, IF(Control!$C$60&gt;0, 0))</f>
        <v>1</v>
      </c>
      <c r="HI326" s="165">
        <f ca="1">IF(AND(OR(Control!$C$60&lt;=0, $AH326= Control!$C$59, Control!$C$60 &gt;0, $AH326 = Control!$C$60)), Control!$C$60, IF(Control!$C$60&lt;=0, 0))</f>
        <v>0</v>
      </c>
      <c r="HJ326" s="166">
        <f ca="1">IF(AND(Control!$C$62="F",$CV326&gt;=Control!$C$102),$AH326,0)</f>
        <v>0</v>
      </c>
      <c r="HK326" s="165" t="e">
        <f t="shared" ca="1" si="1138"/>
        <v>#N/A</v>
      </c>
      <c r="HL326" s="166">
        <f ca="1">IF(AND(Control!$C$61="T",$HE326&gt;=Control!$C$103,Control!$C$114=0),$HF326,0)</f>
        <v>0</v>
      </c>
      <c r="HM326" s="201" t="e">
        <f t="shared" ref="HM326:HM370" ca="1" si="1214">$GX326*(1-$FW326)</f>
        <v>#DIV/0!</v>
      </c>
      <c r="HN326" s="215">
        <f t="shared" ca="1" si="1102"/>
        <v>322</v>
      </c>
      <c r="HO326" s="216" t="e">
        <f ca="1">IF(AND($CP326&gt;=0, $CP326&lt;=90), Control!$C$152, Control!$C$152)</f>
        <v>#N/A</v>
      </c>
      <c r="HP326" s="216" t="e">
        <f t="shared" ref="HP326:HP370" ca="1" si="1215">$HO326</f>
        <v>#N/A</v>
      </c>
      <c r="HQ326" s="217" t="e">
        <f ca="1">IF(OR(Control!$B$26=1,Control!$B$26=2),$KV326,$KS326)</f>
        <v>#DIV/0!</v>
      </c>
      <c r="HR326" s="218" t="e">
        <f t="shared" ca="1" si="1139"/>
        <v>#DIV/0!</v>
      </c>
      <c r="HS326" s="216" t="e">
        <f ca="1">Control!$C$154*$HP326</f>
        <v>#N/A</v>
      </c>
      <c r="HT326" s="216" t="e">
        <f ca="1">Control!$C$155*$HP326</f>
        <v>#N/A</v>
      </c>
      <c r="HU326" s="217" t="e">
        <f ca="1">Control!$C$161*$FI326</f>
        <v>#N/A</v>
      </c>
      <c r="HV326" s="218" t="e">
        <f t="shared" ca="1" si="1103"/>
        <v>#N/A</v>
      </c>
      <c r="HW326" s="218" t="e">
        <f ca="1">Control!$C$160*$FF326+$IP326*$EO326</f>
        <v>#N/A</v>
      </c>
      <c r="HX326" s="218" t="e">
        <f t="shared" ca="1" si="1140"/>
        <v>#N/A</v>
      </c>
      <c r="HY326" s="219" t="e">
        <f ca="1">IF(Control!$C$114=1, $EB326*$FS326, 0)</f>
        <v>#N/A</v>
      </c>
      <c r="HZ326" s="91" t="e">
        <f t="shared" ref="HZ326:HZ370" ca="1" si="1216">$KA326</f>
        <v>#N/A</v>
      </c>
      <c r="IA326" s="220" t="e">
        <f ca="1">Control!$C$153*$HO326</f>
        <v>#N/A</v>
      </c>
      <c r="IB326" s="218" t="e">
        <f t="shared" ref="IB326:IB370" ca="1" si="1217">$IA326*$EB326</f>
        <v>#N/A</v>
      </c>
      <c r="IC326" s="220" t="e">
        <f ca="1">Control!$C$153*$HT326</f>
        <v>#N/A</v>
      </c>
      <c r="ID326" s="218" t="e">
        <f t="shared" ref="ID326:ID370" ca="1" si="1218">$IC326*$EF326</f>
        <v>#N/A</v>
      </c>
      <c r="IE326" s="221" t="e">
        <f ca="1">($EB326*Control!$C$159+$EF326*Control!$C$160)/(IF($GZ326&lt;&gt;0,$GZ326,1))</f>
        <v>#N/A</v>
      </c>
      <c r="IF326" s="216" t="e">
        <f t="shared" ref="IF326:IF370" ca="1" si="1219">($IB326+$ID326)/IF($GZ326&lt;&gt;0, $GZ326,1)</f>
        <v>#N/A</v>
      </c>
      <c r="IG326" s="91">
        <f ca="1">IF(OR(Control!$B$198=$AH326,Control!$B$199=$AH326, Control!$B$200=$AH326, Control!$B$201=$AH326, Control!$B$202=$AH326, Control!$B$203=$AH326, Control!$B$204=$AH326, Control!$B$205=$AH326, Control!$B$206=$AH326, Control!$B$207=$AH326), 1, 0)</f>
        <v>0</v>
      </c>
      <c r="IH326" s="91">
        <f ca="1">IF($IG326=0,0, VLOOKUP($AH326,Control!$B$198:$C$207,2))</f>
        <v>0</v>
      </c>
      <c r="II326" s="222">
        <f t="shared" ca="1" si="1104"/>
        <v>0</v>
      </c>
      <c r="IJ326" s="91">
        <f>Control!$C$121</f>
        <v>0.7</v>
      </c>
      <c r="IK326" s="218">
        <f t="shared" ref="IK326:IK368" ca="1" si="1220">$IH326*$IJ326</f>
        <v>0</v>
      </c>
      <c r="IL326" s="217" t="e">
        <f t="shared" ca="1" si="1141"/>
        <v>#N/A</v>
      </c>
      <c r="IM326" s="223" t="e">
        <f ca="1">IF(AND(Control!$C$114=1,$KH326&lt;1),$EB326*Control!$C$148*(1-$KH326), 0)</f>
        <v>#N/A</v>
      </c>
      <c r="IN326" s="217" t="e">
        <f t="shared" ref="IN326:IN370" ca="1" si="1221">MIN($NT326, $KH326)</f>
        <v>#DIV/0!</v>
      </c>
      <c r="IO326" s="91" t="e">
        <f ca="1">MAX(0,$IL326-$EF326*Control!$C$160)</f>
        <v>#N/A</v>
      </c>
      <c r="IP326" s="220" t="e">
        <f t="shared" ref="IP326:IP370" ca="1" si="1222">$IL326/IF($EF326&lt;&gt;0, $EF326, 1)</f>
        <v>#N/A</v>
      </c>
      <c r="IQ326" s="217" t="e">
        <f t="shared" ca="1" si="1105"/>
        <v>#N/A</v>
      </c>
      <c r="IR326" s="218" t="e">
        <f t="shared" ref="IR326:IR370" ca="1" si="1223">$IQ326+$IL326</f>
        <v>#N/A</v>
      </c>
      <c r="IS326" s="217" t="e">
        <f ca="1">Control!$C$159*MAX(0,$FD326-$EN326)</f>
        <v>#N/A</v>
      </c>
      <c r="IT326" s="217" t="e">
        <f t="shared" ca="1" si="1142"/>
        <v>#N/A</v>
      </c>
      <c r="IU326" s="217" t="e">
        <f t="shared" ca="1" si="1106"/>
        <v>#N/A</v>
      </c>
      <c r="IV326" s="217" t="e">
        <f t="shared" ca="1" si="1143"/>
        <v>#N/A</v>
      </c>
      <c r="IW326" s="217" t="e">
        <f ca="1">IF(OR($AW326=1,AND($AW326=0, Control!$B$18=1,$EN326&lt;&gt;0)), $IQ326-$IU326, $IQ326)</f>
        <v>#N/A</v>
      </c>
      <c r="IX326" s="218" t="e">
        <f t="shared" ref="IX326:IX370" ca="1" si="1224">$HX326+$HV326+$IV326</f>
        <v>#N/A</v>
      </c>
      <c r="IY326" s="218" t="e">
        <f ca="1">MAX(0,$IQ326-$EB326*Control!$C$159)</f>
        <v>#N/A</v>
      </c>
      <c r="IZ326" s="218" t="e">
        <f t="shared" ref="IZ326:IZ370" ca="1" si="1225">MAX($HO326*$EB326-$IQ326,0)</f>
        <v>#N/A</v>
      </c>
      <c r="JA326" s="216" t="e">
        <f t="shared" ref="JA326:JA370" ca="1" si="1226">$IQ326/IF($EB326&lt;&gt;0, $EB326, 1)</f>
        <v>#N/A</v>
      </c>
      <c r="JB326" s="217" t="e">
        <f t="shared" ref="JB326:JB370" ca="1" si="1227">MAX($HT326*$EF326-$IL326, 0)</f>
        <v>#N/A</v>
      </c>
      <c r="JC326" s="222" t="e">
        <f ca="1">MAX(Control!$C$157*$EK326-$JT326, 0)/Control!$C$162</f>
        <v>#N/A</v>
      </c>
      <c r="JD326" s="218" t="e">
        <f t="shared" ref="JD326:JD370" ca="1" si="1228">$JT326/IF($EK326&lt;&gt;0, $EK326, 1)</f>
        <v>#N/A</v>
      </c>
      <c r="JE326" s="218" t="e">
        <f t="shared" ref="JE326:JE370" ca="1" si="1229">$IQ326+$IL326+$JT326</f>
        <v>#N/A</v>
      </c>
      <c r="JF326" s="218" t="e">
        <f t="shared" ca="1" si="1107"/>
        <v>#N/A</v>
      </c>
      <c r="JG326" s="218" t="e">
        <f t="shared" ref="JG326:JG370" ca="1" si="1230">MAX($HS326*$EH326-$JF326, 0)</f>
        <v>#N/A</v>
      </c>
      <c r="JH326" s="217" t="e">
        <f t="shared" ca="1" si="1108"/>
        <v>#N/A</v>
      </c>
      <c r="JI326" s="217" t="e">
        <f t="shared" ca="1" si="1109"/>
        <v>#N/A</v>
      </c>
      <c r="JJ326" s="217" t="e">
        <f t="shared" ca="1" si="1144"/>
        <v>#N/A</v>
      </c>
      <c r="JK326" s="217" t="e">
        <f ca="1">IF(Control!$C$114=1,IF(Control!$B$24=0,MAX(0,$JI326)*$GN326/Control!$C$64,(MAX(0,MIN($JI326,$JJ326*$GN326/Control!$C$64),0))))</f>
        <v>#N/A</v>
      </c>
      <c r="JL326" s="217" t="e">
        <f ca="1">$IK326/Control!$C$64-$JK326+$HQ326</f>
        <v>#N/A</v>
      </c>
      <c r="JM326" s="217" t="e">
        <f ca="1">IF(Control!$C$114=1,($JB326/(IF($JI326&lt;&gt;0,$JI326,1)))*$JK326,0)</f>
        <v>#N/A</v>
      </c>
      <c r="JN326" s="217" t="e">
        <f ca="1">IF(Control!$C$114=1,($JG326/(IF($JI326&lt;&gt;0,$JI326,1)))*$JK326, 0)</f>
        <v>#N/A</v>
      </c>
      <c r="JO326" s="218" t="e">
        <f t="shared" ref="JO326:JO370" ca="1" si="1231">$IQ326+$IL326+$JF326+$JT326</f>
        <v>#N/A</v>
      </c>
      <c r="JP326" s="218" t="e">
        <f ca="1">MIN(($IY326+$IO326)*Control!$C$151, $JF326-$EH326*Control!$C$161)</f>
        <v>#N/A</v>
      </c>
      <c r="JQ326" s="218" t="e">
        <f t="shared" ref="JQ326:JQ370" ca="1" si="1232">$JP326+$IO326+$IY326</f>
        <v>#N/A</v>
      </c>
      <c r="JR326" s="217" t="e">
        <f ca="1">IF($CP326-Control!$C$150&lt;0, 0, $JQ326/Control!$C$162)</f>
        <v>#N/A</v>
      </c>
      <c r="JS326" s="218" t="e">
        <f t="shared" ref="JS326:JS370" ca="1" si="1233">MIN($JC326,$JR326)</f>
        <v>#N/A</v>
      </c>
      <c r="JT326" s="218" t="e">
        <f t="shared" ca="1" si="1110"/>
        <v>#N/A</v>
      </c>
      <c r="JU326" s="218" t="e">
        <f t="shared" ref="JU326:JU370" ca="1" si="1234">$JS326*$JP326/(IF($JQ326&lt;&gt;0,$JQ326,1))</f>
        <v>#N/A</v>
      </c>
      <c r="JV326" s="218" t="e">
        <f t="shared" ref="JV326:JV370" ca="1" si="1235">$JN326-$JU326-$HU326</f>
        <v>#N/A</v>
      </c>
      <c r="JW326" s="216" t="e">
        <f t="shared" ref="JW326:JW370" ca="1" si="1236">$JF326/IF($EH326&lt;&gt;0, $EH326, 1)</f>
        <v>#N/A</v>
      </c>
      <c r="JX326" s="91" t="e">
        <f t="shared" ref="JX326:JX370" ca="1" si="1237">$JE326/(IF($EL326&lt;&gt;0,$EL326,1))</f>
        <v>#N/A</v>
      </c>
      <c r="JY326" s="218" t="e">
        <f t="shared" ref="JY326:JY370" ca="1" si="1238">$JF326+$HV326</f>
        <v>#N/A</v>
      </c>
      <c r="JZ326" s="217" t="e">
        <f ca="1">IF(Control!$C$114=1,($IZ326/(IF($JI326&lt;&gt;0,$JI326,1)))*$JK326, 0)</f>
        <v>#N/A</v>
      </c>
      <c r="KA326" s="218" t="e">
        <f t="shared" ca="1" si="1145"/>
        <v>#N/A</v>
      </c>
      <c r="KB326" s="218" t="e">
        <f t="shared" ca="1" si="1111"/>
        <v>#N/A</v>
      </c>
      <c r="KC326" s="218" t="e">
        <f t="shared" ref="KC326:KC370" ca="1" si="1239">$JS326*$IO326/(IF($JQ326&lt;&gt;0,$JQ326,1))</f>
        <v>#N/A</v>
      </c>
      <c r="KD326" s="218" t="e">
        <f t="shared" ref="KD326:KD370" ca="1" si="1240">$JM326-$KC326-$HW326</f>
        <v>#N/A</v>
      </c>
      <c r="KE326" s="218" t="e">
        <f t="shared" ref="KE326:KE370" ca="1" si="1241">$JS326*$IY326/(IF($JQ326&lt;&gt;0,$JQ326,1))</f>
        <v>#N/A</v>
      </c>
      <c r="KF326" s="218" t="e">
        <f t="shared" ref="KF326:KF370" ca="1" si="1242">$JZ326-$KE326-$IU326</f>
        <v>#N/A</v>
      </c>
      <c r="KG326" s="216" t="e">
        <f t="shared" ref="KG326:KG370" ca="1" si="1243">$IR326/IF($GZ326&lt;&gt;0, $GZ326, 1)</f>
        <v>#N/A</v>
      </c>
      <c r="KH326" s="221" t="e">
        <f ca="1">IF(Control!$B$24=0,1,MAX(0.001,MIN(1,IF(($IF326-$IE326)&lt;&gt;0,($KG326-$IE326)/($IF326-$IE326),1))))</f>
        <v>#N/A</v>
      </c>
      <c r="KI326" s="222" t="e">
        <f ca="1">IF(Control!$C$114=1, $KI325+ $KH325, 0)</f>
        <v>#N/A</v>
      </c>
      <c r="KJ326" s="217" t="e">
        <f t="shared" ref="KJ326:KJ370" ca="1" si="1244">IF($AH326&gt;$HF326, $KI326/($AH326-$HF326), $KI326/($AH326+365-$HF326))</f>
        <v>#N/A</v>
      </c>
      <c r="KK326" s="218" t="e">
        <f t="shared" ref="KK326:KK370" ca="1" si="1245">$KA326+ ($IQ326+$IL326+$JF326+$JT326)-($IQ326+$IL326+$JF326+$JT326+$IV326+$HV326+$HX326)</f>
        <v>#N/A</v>
      </c>
      <c r="KL326" s="274" t="e">
        <f ca="1">IF(Control!$B$26=3,4000000000*EXP(-8400/($G326+273)),IF(Control!$B$26=4,4000000000*EXP(-8400/($G326+273))*($KT326),0))</f>
        <v>#DIV/0!</v>
      </c>
      <c r="KM326" s="274" t="e">
        <f ca="1">IF(Control!$B$26=3,5600000000000*EXP(-9800/($G326+273)),IF(Control!$B$26=4,5600000000000*EXP(-9800/($G326+273))*$KT326,0))</f>
        <v>#DIV/0!</v>
      </c>
      <c r="KN326" s="454" t="e">
        <f t="shared" ca="1" si="1112"/>
        <v>#DIV/0!</v>
      </c>
      <c r="KO326" s="274" t="e">
        <f t="shared" ca="1" si="1113"/>
        <v>#DIV/0!</v>
      </c>
      <c r="KP326" s="454" t="e">
        <f t="shared" ref="KP326:KP370" ca="1" si="1246">$KO326+$KN326</f>
        <v>#DIV/0!</v>
      </c>
      <c r="KQ326" s="454" t="e">
        <f t="shared" ref="KQ326:KQ369" ca="1" si="1247">$KN326-$KN327</f>
        <v>#DIV/0!</v>
      </c>
      <c r="KR326" s="454" t="e">
        <f t="shared" ref="KR326:KR369" ca="1" si="1248">$KO326-$KO327</f>
        <v>#DIV/0!</v>
      </c>
      <c r="KS326" s="454" t="e">
        <f t="shared" ref="KS326:KS370" ca="1" si="1249">$KQ326+$KR326</f>
        <v>#DIV/0!</v>
      </c>
      <c r="KT326" s="455" t="e">
        <f t="shared" ref="KT326:KT370" ca="1" si="1250">$MV326/$OO326</f>
        <v>#DIV/0!</v>
      </c>
      <c r="KU326" s="456" t="e">
        <f ca="1">IF($CP326-Control!$C$149&lt;0, IF($NT326-0.01&lt;0,0,1),0)</f>
        <v>#N/A</v>
      </c>
      <c r="KV326" s="456" t="e">
        <f ca="1">IF(Control!$C$114=1,MAX(0,MIN(Control!$C$125*$KW326*$GN326,$KW326)))</f>
        <v>#DIV/0!</v>
      </c>
      <c r="KW326" s="456" t="e">
        <f t="shared" ca="1" si="1146"/>
        <v>#DIV/0!</v>
      </c>
      <c r="KX326" s="457" t="e">
        <f ca="1">IF($CP326-Control!$C$149&lt;0, IF($MR326-$OM326&lt;0,0,1),0)</f>
        <v>#N/A</v>
      </c>
      <c r="KY326" s="167">
        <f t="shared" ca="1" si="1114"/>
        <v>322</v>
      </c>
      <c r="KZ326" s="168">
        <f ca="1">1370*(1+0.033*COS(2*Control!$C$138*$AH326/365))</f>
        <v>1403.3801296902498</v>
      </c>
      <c r="LA326" s="169">
        <f t="shared" ca="1" si="1115"/>
        <v>1.0243647696821025</v>
      </c>
      <c r="LB326" s="169">
        <f t="shared" ca="1" si="1116"/>
        <v>-0.3466544741243997</v>
      </c>
      <c r="LC326" s="169">
        <f ca="1">ACOS(-TAN((2*Control!$B$8/360))*TAN(Calculations!$LB326))</f>
        <v>1.4632268006003519</v>
      </c>
      <c r="LD326" s="169">
        <f ca="1">((24*60)/PI())*0.082*$LA326*(($LC326*SIN(Control!$B$8*2*PI()/360))*SIN($LB326)+COS(Control!$B$8*2*PI()/360)*COS($LB326)*SIN($LC326))</f>
        <v>7.0821478740730335</v>
      </c>
      <c r="LE326" s="170">
        <f t="shared" ref="LE326:LE370" ca="1" si="1251">(MAX(0.0001,$KZ326*$LJ326))/1000000</f>
        <v>8.5653496740285746</v>
      </c>
      <c r="LF326" s="170">
        <f ca="1">SIN(Control!$C$139*Control!$B$8)*SIN($HD326)</f>
        <v>-0.26433945919788299</v>
      </c>
      <c r="LG326" s="170">
        <f ca="1">COS(Control!$C$139*Control!$B$8)*COS($HD326)</f>
        <v>0.57998702352021847</v>
      </c>
      <c r="LH326" s="170">
        <f ca="1">12*(1+2*ASIN(MAX(-1,MIN(1,$LF326/$LG326))/Control!$C$138))</f>
        <v>8.5058673753469272</v>
      </c>
      <c r="LI326" s="170">
        <f ca="1">12*(1+2*ASIN(MAX(-1,MIN(1,(-SIN(-4*Control!$C$139)+$LF326)/$LG326))/Control!$C$138))</f>
        <v>9.4321152756689344</v>
      </c>
      <c r="LJ326" s="168">
        <f ca="1">3600*($LH326*$LF326+24*$LG326*SQRT(1-$LK326*$LK326)/Control!$C$138)</f>
        <v>6103.3710630626474</v>
      </c>
      <c r="LK326" s="170">
        <f t="shared" ref="LK326:LK370" ca="1" si="1252">MAX(-1,MIN(1,$LF326/$LG326))</f>
        <v>-0.45576788527695061</v>
      </c>
      <c r="LL326" s="170">
        <f t="shared" ref="LL326:LL370" ca="1" si="1253">$AQ326/$LE326</f>
        <v>0</v>
      </c>
      <c r="LM326" s="171">
        <f ca="1">Control!$C$145*$AB326</f>
        <v>6.6660906138995932E-2</v>
      </c>
      <c r="LN326" s="170">
        <f t="shared" ca="1" si="1117"/>
        <v>0.54</v>
      </c>
      <c r="LO326" s="170">
        <f t="shared" ref="LO326:LO370" ca="1" si="1254">MAX(0,MIN(1,($LL326-0.2)/0.56))</f>
        <v>0</v>
      </c>
      <c r="LP326" s="170">
        <f ca="1">Control!$C$140*((($D326+273.16)^4+($E326+273.16)^4)/2)*(0.34-0.14*SQRT($Y326))*(1.35*$AQ326/(0.75*$LD326)-0.35)</f>
        <v>-3.2464704755046001</v>
      </c>
      <c r="LQ326" s="170">
        <f ca="1">Control!$C$140*($G326+273)^4*(0.56-0.079*SQRT($Y326*10))*(0.1+0.9*$LO326)</f>
        <v>1.5241745131704001</v>
      </c>
      <c r="LR326" s="170">
        <f ca="1">$AQ326*(1-Control!$C$142)-$LQ326</f>
        <v>-1.5241745131704001</v>
      </c>
      <c r="LS326" s="170">
        <f ca="1">$AQ326*(1-Control!$C$143)-$LQ326</f>
        <v>-1.5241745131704001</v>
      </c>
      <c r="LT326" s="170">
        <f ca="1">$AQ326*(1-Control!$C$144)-$LQ326</f>
        <v>-1.5241745131704001</v>
      </c>
      <c r="LU326" s="169">
        <f ca="1">(1-Control!$C$144)*AQ326-LP326</f>
        <v>3.2464704755046001</v>
      </c>
      <c r="LV326" s="172">
        <f t="shared" ref="LV326:LV370" ca="1" si="1255">10*0.26*($X326-$Y326)*(0.5+$LN326*$J326)</f>
        <v>0.79430000000000012</v>
      </c>
      <c r="LW326" s="170">
        <f t="shared" ref="LW326:LW370" ca="1" si="1256">10*0.26*($X326-$Y326)*(1+$LN326*$J326)</f>
        <v>1.5886000000000002</v>
      </c>
      <c r="LX326" s="170">
        <f ca="1">($AC326*($LR326/Control!$C$141)+$LM326*$LV326)/($AC326+$LM326)</f>
        <v>0.23530094218323697</v>
      </c>
      <c r="LY326" s="170">
        <f ca="1">($AC326*($LS326/Control!$C$141)+$LM326*$LV326)/($AC326+$LM326)</f>
        <v>0.23530094218323697</v>
      </c>
      <c r="LZ326" s="170">
        <f t="shared" ref="LZ326:LZ370" ca="1" si="1257">MAX(0,$LX326)</f>
        <v>0.23530094218323697</v>
      </c>
      <c r="MA326" s="170">
        <f t="shared" ref="MA326:MA370" ca="1" si="1258">MAX(0,$LY326)</f>
        <v>0.23530094218323697</v>
      </c>
      <c r="MB326" s="170" t="e">
        <f t="shared" ref="MB326:MB370" ca="1" si="1259" xml:space="preserve"> $MA326*(1-$DL326)</f>
        <v>#N/A</v>
      </c>
      <c r="MC326" s="170">
        <f t="shared" ca="1" si="1118"/>
        <v>0.6018</v>
      </c>
      <c r="MD326" s="170">
        <f t="shared" ref="MD326:MD370" ca="1" si="1260">(0.408*AD326*$LU326+$LM326*(900/($G326+273)*$J326*$MC326))/($AD326+$LM326*(1+0.34*$J326))</f>
        <v>0.52989392535414004</v>
      </c>
      <c r="ME326" s="170">
        <f ca="1">($AC326*($LT326/Control!$C$141)+$LM326*$LW326)/($AC326+$LM326)</f>
        <v>0.71612369323045078</v>
      </c>
      <c r="MF326" s="170" t="e">
        <f ca="1">IF(Control!$B$16&gt;=1000,0.92,IF(AND(720&lt;=Control!$B$16,1000&gt;Control!$B$16),(0.95+(Control!$B$16-720)*((0.92-0.95)/(1000-720))),IF(AND(360&lt;=Control!$B$16,720&gt;Control!$B$16),(1+(Control!$B$16-360)*((0.95-1)/(720-360))),IF(AND(40&lt;=Control!$B$16,360&gt;Control!$B$16),(1.05+(Control!$B$16-40)*((1.05-1)/(360-40)))))))</f>
        <v>#N/A</v>
      </c>
      <c r="MG326" s="170">
        <f t="shared" ref="MG326:MG370" ca="1" si="1261">MAX(0,$ME326)</f>
        <v>0.71612369323045078</v>
      </c>
      <c r="MH326" s="170" t="e">
        <f t="shared" ref="MH326:MI345" ca="1" si="1262">$MG326*$MF326</f>
        <v>#N/A</v>
      </c>
      <c r="MI326" s="170" t="e">
        <f t="shared" ca="1" si="1262"/>
        <v>#N/A</v>
      </c>
      <c r="MJ326" s="170" t="e">
        <f ca="1">MAX(0.0001, Control!$C$132*$MI326*$DL326)</f>
        <v>#N/A</v>
      </c>
      <c r="MK326" s="170">
        <f ca="1">1/(0.76+1.5*($MG326/10))-(5-Control!$C$110)*0.1</f>
        <v>1.002845988140797</v>
      </c>
      <c r="ML326" s="173">
        <f ca="1">IF(Control!$C$110&lt;3,$MK326+($MG326-0.6)/(Control!$C$110*(Control!$C$110+3)), MAX(0.1, MIN(0.95,$MK326)))</f>
        <v>0.95</v>
      </c>
      <c r="MM326" s="173">
        <f ca="1">IF(Control!$C$110&lt;3,$MK326+(($MI326/10)-0.6)/(Control!$C$110*(Control!$C$110+3)), MAX(0.1, MIN(0.95,$MK326)))</f>
        <v>0.95</v>
      </c>
      <c r="MN326" s="173">
        <f ca="1">(1-$MM326)*(Control!$C$128-Control!$C$127)+Control!$C$127</f>
        <v>0.16</v>
      </c>
      <c r="MO326" s="170" t="e">
        <f ca="1">MAX(0,MIN(1,($MS326-Control!$C$127)/($MN326-Control!$C$127)))</f>
        <v>#DIV/0!</v>
      </c>
      <c r="MP326" s="173" t="e">
        <f ca="1">1/(0.76+1.5*$MI326)-(5-Control!$C$110)*0.1</f>
        <v>#N/A</v>
      </c>
      <c r="MQ326" s="172" t="e">
        <f t="shared" ca="1" si="1147"/>
        <v>#DIV/0!</v>
      </c>
      <c r="MR326" s="168" t="e">
        <f t="shared" ca="1" si="1119"/>
        <v>#DIV/0!</v>
      </c>
      <c r="MS326" s="173" t="e">
        <f ca="1">MAX(Control!$C$127, MIN(Control!$C$135, $MR326/MAX(0.0001,$CY326)))</f>
        <v>#DIV/0!</v>
      </c>
      <c r="MT326" s="168" t="e">
        <f ca="1">(Control!$C$128-$MS326)*Control!$C$74</f>
        <v>#DIV/0!</v>
      </c>
      <c r="MU326" s="168" t="e">
        <f ca="1">(Control!$C$135-$MS326)*Control!$C$74</f>
        <v>#DIV/0!</v>
      </c>
      <c r="MV326" s="168" t="e">
        <f t="shared" ca="1" si="1120"/>
        <v>#DIV/0!</v>
      </c>
      <c r="MW326" s="168" t="e">
        <f t="shared" ca="1" si="1121"/>
        <v>#DIV/0!</v>
      </c>
      <c r="MX326" s="171" t="e">
        <f ca="1">MAX(Control!$C$127, MIN(Control!$C$135, $MW326/MAX(0.0001,Control!$C$119-$CY326)))</f>
        <v>#DIV/0!</v>
      </c>
      <c r="MY326" s="54" t="e">
        <f ca="1">IF(Control!$C$114=1, $CX326*$MX326, 0)</f>
        <v>#DIV/0!</v>
      </c>
      <c r="MZ326" s="54" t="e">
        <f t="shared" ca="1" si="1122"/>
        <v>#N/A</v>
      </c>
      <c r="NA326" s="168" t="e">
        <f ca="1">(Control!$C$128-$MX326)*(Control!$C$119-Control!$C$74)</f>
        <v>#DIV/0!</v>
      </c>
      <c r="NB326" s="168" t="e">
        <f ca="1">(Control!$C$135-$MX326)*(Control!$C$119-Control!$C$74)</f>
        <v>#DIV/0!</v>
      </c>
      <c r="NC326" s="174" t="e">
        <f t="shared" ca="1" si="1123"/>
        <v>#DIV/0!</v>
      </c>
      <c r="ND326" s="54">
        <f ca="1">IF(Control!$C$58=2, IF(OR(Control!$B$218=$AH326,Control!$B$219=$AH326, Control!$B$220=$AH326, Control!$B$221=$AH326, Control!$B$222=$AH326, Control!$B$223=$AH326, Control!$B$224=$AH326, Control!$B$225=$AH326, Control!$B$226=$AH326, Control!$B$227=$AH326, Control!$B$228=$AH326), 1, 0), 0)</f>
        <v>0</v>
      </c>
      <c r="NE326" s="54">
        <f ca="1">IF($ND326=0,0, VLOOKUP($AH326,Control!$B$218:$C$228,2))</f>
        <v>0</v>
      </c>
      <c r="NF326" s="168" t="e">
        <f ca="1">$CY326*(Control!$C$128-Control!$C$127)</f>
        <v>#N/A</v>
      </c>
      <c r="NG326" s="54" t="e">
        <f ca="1">IF(Control!$C$58=2, $NI325-$NJ325, 0)</f>
        <v>#DIV/0!</v>
      </c>
      <c r="NH326" s="54" t="e">
        <f ca="1">IF(AND(Control!$C$58=1, $MS325&lt;= ($MN325+0.02), $I325&lt;10), 0, IF(Control!$C$58=2, $NG325, 0))</f>
        <v>#DIV/0!</v>
      </c>
      <c r="NI326" s="54" t="e">
        <f ca="1">IF(Control!$C$58=2, $NE326+$NH326,0)</f>
        <v>#DIV/0!</v>
      </c>
      <c r="NJ326" s="54" t="e">
        <f ca="1">IF(AND(Control!$C$58=1, $MS326&lt;= ($MN326+0.02), $I326&lt;10), MAX(0, MIN(10, 0.7*($NF326-$MV326))), IF(Control!$C$58=2, MIN(10,$NI326),0))</f>
        <v>#DIV/0!</v>
      </c>
      <c r="NK326" s="54" t="e">
        <f t="shared" ref="NK326:NK370" ca="1" si="1263">$NJ326+$NH326</f>
        <v>#DIV/0!</v>
      </c>
      <c r="NL326" s="173" t="e">
        <f ca="1">(1-Control!$C$73)*$I326+$NJ326</f>
        <v>#DIV/0!</v>
      </c>
      <c r="NM326" s="172" t="e">
        <f ca="1">IF($NL326&lt;0.5, $MB326* MAX(0, MIN(1, (SQRT($NC326)-SQRT($NC326-1))*Control!$C$71)),0)</f>
        <v>#DIV/0!</v>
      </c>
      <c r="NN326" s="170" t="e">
        <f ca="1">IF($NL326&gt;=5, $MB326, MAX(0,MIN($MB326, $NM326+$NL326,($MS326-Control!$C$129))))</f>
        <v>#DIV/0!</v>
      </c>
      <c r="NO326" s="54">
        <f>IF(Control!$C$133&lt;&gt;1, Control!$C$135-Control!$C$131, 0)</f>
        <v>0.38</v>
      </c>
      <c r="NP326" s="54" t="e">
        <f t="shared" ref="NP326:NP370" ca="1" si="1264">IF($MS326&gt;=$NO326,MIN($AH325+1,4),0)</f>
        <v>#DIV/0!</v>
      </c>
      <c r="NQ326" s="173" t="e">
        <f ca="1">MAX(0,MIN(1,(Control!$C$135-$MS326)/(Control!$C$135-$NO326)))</f>
        <v>#DIV/0!</v>
      </c>
      <c r="NR326" s="170" t="e">
        <f ca="1">IF(Control!$C$133&lt;&gt;1, $NQ326+((1-$NP326/4)*(1-$NQ326)),1)</f>
        <v>#DIV/0!</v>
      </c>
      <c r="NS326" s="170" t="e">
        <f ca="1">IF(Control!$B$31=0,$MJ326,MAX(0,MIN($MV326,$MO326*$NR326*$MJ326)))</f>
        <v>#DIV/0!</v>
      </c>
      <c r="NT326" s="170" t="e">
        <f t="shared" ca="1" si="1148"/>
        <v>#DIV/0!</v>
      </c>
      <c r="NU326" s="170" t="e">
        <f t="shared" ca="1" si="1124"/>
        <v>#N/A</v>
      </c>
      <c r="NV326" s="170" t="e">
        <f t="shared" ref="NV326:NV370" ca="1" si="1265">IF($AH326&gt;$HF326, $NU326/($AH326-$HF326), $NU326/($AH326+365-$HF326))</f>
        <v>#N/A</v>
      </c>
      <c r="NW326" s="175" t="e">
        <f t="shared" ref="NW326:NW370" ca="1" si="1266">$NL326-$NN326-$NS326</f>
        <v>#DIV/0!</v>
      </c>
      <c r="NX326" s="170" t="e">
        <f ca="1">MIN(Control!$C$72+$MU326, $NW326)</f>
        <v>#DIV/0!</v>
      </c>
      <c r="NY326" s="170" t="e">
        <f ca="1">IF($MT326&lt;=$NX326,MIN(Control!$C$72+$NB326,$NX326-$MT326),0)</f>
        <v>#DIV/0!</v>
      </c>
      <c r="NZ326" s="54" t="e">
        <f ca="1">IF(Control!$C$114=1,  $CX326*($MX326-Control!$C$127), 0)</f>
        <v>#DIV/0!</v>
      </c>
      <c r="OA326" s="170" t="e">
        <f t="shared" ref="OA326:OA370" ca="1" si="1267">$NX326-$NY326+$NZ326</f>
        <v>#DIV/0!</v>
      </c>
      <c r="OB326" s="170" t="e">
        <f ca="1">IF($NA326 &lt;=$NY326, MIN(Control!$C$72, $NY326-$NA326), 0)</f>
        <v>#DIV/0!</v>
      </c>
      <c r="OC326" s="168" t="e">
        <f t="shared" ref="OC326:OC370" ca="1" si="1268">$NY326-$OB326-$NZ326</f>
        <v>#DIV/0!</v>
      </c>
      <c r="OD326" s="168" t="e">
        <f t="shared" ca="1" si="1125"/>
        <v>#DIV/0!</v>
      </c>
      <c r="OE326" s="170">
        <f ca="1">Control!$C$73*$I326</f>
        <v>0</v>
      </c>
      <c r="OF326" s="176" t="e">
        <f t="shared" ref="OF326:OF370" ca="1" si="1269">$OE326+MAX(0,$NW326-$NX326)</f>
        <v>#DIV/0!</v>
      </c>
      <c r="OG326" s="168" t="e">
        <f t="shared" ref="OG326:OG370" ca="1" si="1270">$MV$6-$MV326</f>
        <v>#DIV/0!</v>
      </c>
      <c r="OH326" s="168" t="e">
        <f t="shared" ref="OH326:OH370" ca="1" si="1271">$OD$6-$OD326</f>
        <v>#DIV/0!</v>
      </c>
      <c r="OI326" s="168" t="e">
        <f t="shared" ref="OI326:OI370" ca="1" si="1272">$NX326-$NY326+$MY326</f>
        <v>#DIV/0!</v>
      </c>
      <c r="OJ326" s="168" t="e">
        <f t="shared" ref="OJ326:OJ370" ca="1" si="1273">$NY326-$OB326-$MY326</f>
        <v>#DIV/0!</v>
      </c>
      <c r="OK326" s="204" t="e">
        <f t="shared" ref="OK326:OK368" ca="1" si="1274">$OG326+$OH326</f>
        <v>#DIV/0!</v>
      </c>
      <c r="OL326" s="177">
        <f>Control!$C$127</f>
        <v>0.15</v>
      </c>
      <c r="OM326" s="182" t="e">
        <f t="shared" ref="OM326:OM370" ca="1" si="1275">$OL326*$CY326</f>
        <v>#N/A</v>
      </c>
      <c r="ON326" s="177">
        <f>Control!$C$128</f>
        <v>0.35</v>
      </c>
      <c r="OO326" s="182" t="e">
        <f t="shared" ref="OO326:OO370" ca="1" si="1276">$ON326*$CY326</f>
        <v>#N/A</v>
      </c>
      <c r="OP326" s="138">
        <f t="shared" ca="1" si="1126"/>
        <v>0</v>
      </c>
      <c r="OQ326" s="138" t="e">
        <f t="shared" ca="1" si="1149"/>
        <v>#DIV/0!</v>
      </c>
      <c r="OR326" s="138" t="e">
        <f t="shared" ca="1" si="1127"/>
        <v>#DIV/0!</v>
      </c>
      <c r="OS326" s="137" t="e">
        <f t="shared" ca="1" si="1150"/>
        <v>#DIV/0!</v>
      </c>
      <c r="OT326" s="139" t="e">
        <f t="shared" ca="1" si="1151"/>
        <v>#DIV/0!</v>
      </c>
      <c r="OU326" s="138" t="e">
        <f t="shared" ca="1" si="1152"/>
        <v>#N/A</v>
      </c>
      <c r="OV326" s="138" t="e">
        <f t="shared" ca="1" si="1153"/>
        <v>#DIV/0!</v>
      </c>
      <c r="OW326" s="138" t="e">
        <f t="shared" ca="1" si="1128"/>
        <v>#DIV/0!</v>
      </c>
      <c r="OX326" s="138" t="e">
        <f t="shared" ca="1" si="1129"/>
        <v>#DIV/0!</v>
      </c>
      <c r="OY326" s="138" t="e">
        <f t="shared" ca="1" si="1130"/>
        <v>#DIV/0!</v>
      </c>
      <c r="OZ326" s="138" t="e">
        <f t="shared" ref="OZ326:OZ370" ca="1" si="1277">ABS($MR326-$NS326-$NN326+$I326+$MY326+$NK326-$OF326-$NY326-$OX326)</f>
        <v>#DIV/0!</v>
      </c>
      <c r="PA326" s="138" t="e">
        <f t="shared" ref="PA326:PA370" ca="1" si="1278">ABS($MW326+$NY326-$OB326-$MY326-$OY326)</f>
        <v>#DIV/0!</v>
      </c>
      <c r="PB326" s="55">
        <f>IF(Control!$C$61="T", IF(Control!$C$65="F", IF($AH$6-Control!$C$60&lt;0,0,1), IF(365+$AH$6-Control!$C$60&lt;0,0,1)),0)</f>
        <v>0</v>
      </c>
      <c r="PC326" s="55">
        <f ca="1">IF(Control!$C$65="F", IF($AH$6-$HF326&lt;0,0,1), IF(365+$AH$6-$HF326&lt;0,0,1))</f>
        <v>1</v>
      </c>
      <c r="PD326" s="444">
        <f>Control!$C$118</f>
        <v>1500</v>
      </c>
      <c r="PE326" s="180" t="e">
        <f t="shared" ref="PE326:PE370" ca="1" si="1279">$CY326*($ON326-$MS326)</f>
        <v>#N/A</v>
      </c>
      <c r="PF326" s="445">
        <f t="shared" ca="1" si="1131"/>
        <v>0.71612369323045078</v>
      </c>
      <c r="PT326" s="186"/>
      <c r="PU326" s="186"/>
      <c r="PV326" s="94"/>
      <c r="PW326" s="94"/>
      <c r="PX326" s="94"/>
      <c r="PY326" s="94"/>
      <c r="PZ326" s="94"/>
      <c r="QA326" s="94"/>
      <c r="QB326" s="94"/>
      <c r="QC326" s="94"/>
      <c r="QD326" s="94"/>
      <c r="QE326" s="94"/>
      <c r="QF326" s="94"/>
      <c r="QG326" s="94"/>
      <c r="QH326" s="94"/>
      <c r="QI326" s="94"/>
      <c r="QJ326" s="94"/>
      <c r="QK326" s="94"/>
      <c r="QL326" s="94"/>
      <c r="QM326" s="94"/>
      <c r="QN326" s="94"/>
      <c r="QO326" s="94"/>
      <c r="QP326" s="94"/>
    </row>
    <row r="327" spans="1:458" s="2" customFormat="1" x14ac:dyDescent="0.2">
      <c r="A327" s="395">
        <v>18</v>
      </c>
      <c r="B327" s="396">
        <v>11</v>
      </c>
      <c r="C327" s="387">
        <f ca="1">Weather_data!$B326</f>
        <v>0</v>
      </c>
      <c r="D327" s="388">
        <f ca="1">Weather_data!$F326</f>
        <v>0</v>
      </c>
      <c r="E327" s="388">
        <f ca="1">Weather_data!$E326</f>
        <v>0</v>
      </c>
      <c r="F327" s="388">
        <f t="shared" ref="F327:F370" ca="1" si="1280">$D327-$E327</f>
        <v>0</v>
      </c>
      <c r="G327" s="388">
        <f ca="1">AVERAGE($D327:$E327)+Control!$B$9</f>
        <v>0</v>
      </c>
      <c r="H327" s="388">
        <f ca="1">Weather_data!$G326</f>
        <v>0</v>
      </c>
      <c r="I327" s="388">
        <f ca="1">Weather_data!$I326</f>
        <v>0</v>
      </c>
      <c r="J327" s="388">
        <f ca="1">Weather_data!$H326</f>
        <v>0</v>
      </c>
      <c r="K327" s="389">
        <f ca="1">Weather_data!$D326</f>
        <v>0</v>
      </c>
      <c r="L327" s="388" t="e">
        <f t="shared" ref="L327:L370" ca="1" si="1281">$L326+$DM326</f>
        <v>#N/A</v>
      </c>
      <c r="M327" s="388" t="e">
        <f t="shared" ca="1" si="1158"/>
        <v>#N/A</v>
      </c>
      <c r="N327" s="388">
        <f t="shared" ca="1" si="1159"/>
        <v>-1.0252163753230504E-15</v>
      </c>
      <c r="O327" s="388">
        <f t="shared" ref="O327:O370" ca="1" si="1282">$O326+$N326</f>
        <v>1.0252163753230504E-14</v>
      </c>
      <c r="P327" s="390">
        <v>3</v>
      </c>
      <c r="Q327" s="388">
        <f ca="1">MAX($G327-Control!$C$107,0)</f>
        <v>0</v>
      </c>
      <c r="R327" s="388">
        <f t="shared" ref="R327:R370" ca="1" si="1283">IF($G327&lt;=3,0,IF(33&gt;=$G327&gt;3,0+($G327-3)*((30-0)/(33-3)),IF($G327&gt;33,30)))</f>
        <v>0</v>
      </c>
      <c r="S327" s="388">
        <f t="shared" ca="1" si="1160"/>
        <v>0</v>
      </c>
      <c r="T327" s="388">
        <f t="shared" ca="1" si="1161"/>
        <v>0</v>
      </c>
      <c r="U327" s="59">
        <f t="shared" ca="1" si="1162"/>
        <v>0</v>
      </c>
      <c r="V327" s="391">
        <f ca="1">MAX(0,MIN(Control!$C$100-Control!$C$99,$G327-Control!$C$99)*Control!$C$63)</f>
        <v>0</v>
      </c>
      <c r="W327" s="388">
        <f t="shared" ref="W327:W370" ca="1" si="1284">$D327-0.25*($D327-$E327)</f>
        <v>0</v>
      </c>
      <c r="X327" s="388">
        <f t="shared" ref="X327:X370" ca="1" si="1285">6.11*0.1*EXP(17.4*$G327/($G327+239))</f>
        <v>0.6110000000000001</v>
      </c>
      <c r="Y327" s="388">
        <f t="shared" ca="1" si="1163"/>
        <v>0</v>
      </c>
      <c r="Z327" s="388">
        <f t="shared" ref="Z327:Z370" ca="1" si="1286">6.10588*0.1*EXP((17.32491*$G327)/($G327+238.102))</f>
        <v>0.61058800000000002</v>
      </c>
      <c r="AA327" s="388">
        <f t="shared" ca="1" si="1164"/>
        <v>0.6018</v>
      </c>
      <c r="AB327" s="388">
        <f ca="1">101.3*EXP(-0.034*Control!$C$66/($G327+273))</f>
        <v>100.69623283836242</v>
      </c>
      <c r="AC327" s="392">
        <f t="shared" ca="1" si="1165"/>
        <v>4.3460251046025113E-2</v>
      </c>
      <c r="AD327" s="392">
        <f t="shared" ca="1" si="1166"/>
        <v>4.4450382862832649E-2</v>
      </c>
      <c r="AE327" s="388">
        <f t="shared" ca="1" si="1167"/>
        <v>0</v>
      </c>
      <c r="AF327" s="388">
        <f ca="1">MAX(0,$G327-Control!$C$92)</f>
        <v>0</v>
      </c>
      <c r="AG327" s="393">
        <f t="shared" ca="1" si="1168"/>
        <v>323</v>
      </c>
      <c r="AH327" s="389">
        <f t="shared" ca="1" si="1169"/>
        <v>323</v>
      </c>
      <c r="AI327" s="388">
        <f t="shared" ref="AI327:AI370" ca="1" si="1287">$HD327</f>
        <v>-0.34594583028924308</v>
      </c>
      <c r="AJ327" s="388">
        <f ca="1">IF(Control!$C$60&lt;=0,$HH327,$HI327)</f>
        <v>1</v>
      </c>
      <c r="AK327" s="388">
        <f t="shared" ca="1" si="1170"/>
        <v>4.1830521360127113</v>
      </c>
      <c r="AL327" s="388">
        <f t="shared" ca="1" si="1171"/>
        <v>-1.1361177623681052E-17</v>
      </c>
      <c r="AM327" s="388">
        <f t="shared" ca="1" si="1172"/>
        <v>4.1830521360127113</v>
      </c>
      <c r="AN327" s="388">
        <f t="shared" ca="1" si="1173"/>
        <v>-0.35048987184561153</v>
      </c>
      <c r="AO327" s="388">
        <f ca="1">-0.10453/COS(Control!$B$8*PI()/180)*COS(AN327)</f>
        <v>-0.15946272959741678</v>
      </c>
      <c r="AP327" s="388">
        <f ca="1">ACOS(AO327-TAN(Control!$B$8*PI()/180)*TAN(AN327))</f>
        <v>1.2572193859577334</v>
      </c>
      <c r="AQ327" s="388">
        <f t="shared" ref="AQ327:AQ370" ca="1" si="1288">$K327/1000</f>
        <v>0</v>
      </c>
      <c r="AR327" s="394">
        <f t="shared" ca="1" si="1174"/>
        <v>0</v>
      </c>
      <c r="AS327" s="436">
        <f ca="1">IF(Control!$B$18=2,(IF(OR($AH327=Control!$B$175,$AH327=Control!$B$176,$AH327=Control!$B$177,$AH327=Control!$B$178,$AH327=Control!$B$179,$AH327=Control!$B$180,$AH327=Control!$B$181,$AH327=Control!$B$182,$AH327=Control!$B$183,$AH327=Control!$B$184,$AH327=Control!$B$185),1,0)),0)</f>
        <v>0</v>
      </c>
      <c r="AT327" s="436">
        <f>IF(Control!$B$20=8,IF(AND($AH327&gt;=Control!$B$172,$AH327&lt;=Control!$B$173),1,0),0)</f>
        <v>0</v>
      </c>
      <c r="AU327" s="436">
        <f>IF(Control!$B$20=8,IF($AV326=1,1*$AT327,IF($AT327=1,$AU326+1,$AU326)),0)</f>
        <v>0</v>
      </c>
      <c r="AV327" s="436">
        <f>IF(Control!$B$20=8,IF($AU327&gt;=Control!$B$174,1,0),0)</f>
        <v>0</v>
      </c>
      <c r="AW327" s="436">
        <f ca="1">IF(AND(Control!$B$18=2,Control!$B$171=1), $AV327, $AS327)</f>
        <v>0</v>
      </c>
      <c r="AX327" s="436" t="e">
        <f ca="1">IF(AND(Control!$B$18=1,$EU327&gt;=Control!$B$19),-$AY327,IF(AND(Control!$B$18=2,$AW327=1,$EU327&gt;$DS327),-$AY327, IF(Control!$C$108=0,0, IF(Control!$C$108&lt;&gt;0,1))))</f>
        <v>#N/A</v>
      </c>
      <c r="AY327" s="436" t="e">
        <f t="shared" ref="AY327:AY370" ca="1" si="1289">$AY326+$AX326</f>
        <v>#N/A</v>
      </c>
      <c r="AZ327" s="436" t="e">
        <f ca="1">IF(AND(Control!$B$18=1,$EB327&gt;Control!$B$19),$AZ326+1, IF(AND(Control!$B$18=2, $AW327=1, $EB327&gt;$DS327), $AZ326+1,$AZ326))</f>
        <v>#N/A</v>
      </c>
      <c r="BA327" s="587">
        <f>IF(Control!$C$81=0,1,IF($AH327&gt;=Control!$C$82,1,0))</f>
        <v>1</v>
      </c>
      <c r="BB327" s="140" t="e">
        <f ca="1">IF($BA327&gt;$BA326,Control!$C$83,IF($AW327&gt;0,$AW327*Control!$C$84,IF(AND(Control!$B$18=1,EN326&lt;&gt;0),Control!$C$84,0)))</f>
        <v>#N/A</v>
      </c>
      <c r="BC327" s="140" t="e">
        <f t="shared" ref="BC327:BC370" ca="1" si="1290">IF($BA327=0,0,IF(AND($BB327&gt;0,$BB327&lt;9),1,$BG326))</f>
        <v>#N/A</v>
      </c>
      <c r="BD327" s="140" t="e">
        <f ca="1">BC327*IF(OR($G327&lt;Control!$C$92,$G327&gt;Control!$C$95),0,IF(AND($G327&gt;=Control!$C$92,$G327&lt;=Control!$C$93),$G327-Control!$C$92,IF(AND($G327&gt;Control!$C$93,$G327&lt;=Control!$C$94),Control!$C$93-Control!$C$92,IF(AND($G327&gt;Control!$C$94,$G327&lt;=Control!$C$95),(Control!$C$93-Control!$C$92)*(Control!$C$94-$G327)/(Control!$C$95-Control!$C$94)))))</f>
        <v>#N/A</v>
      </c>
      <c r="BE327" s="140" t="e">
        <f t="shared" ref="BE327:BE370" ca="1" si="1291">IF($BC327=0,0,$BF326+$BD327)</f>
        <v>#N/A</v>
      </c>
      <c r="BF327" s="140" t="e">
        <f ca="1">IF($BE327&lt;=Control!$C$86,$BE327,Control!$C$86-$BE327)</f>
        <v>#N/A</v>
      </c>
      <c r="BG327" s="140" t="e">
        <f ca="1">IF(AND($AW327=1,Control!$C$84&lt;9),1,IF($BE327&gt;=Control!$C$86,0,$BC327))</f>
        <v>#N/A</v>
      </c>
      <c r="BH327" s="404" t="e">
        <f ca="1">IF($BG327=0,0,IF($BE327&lt;=Control!$C$86,$BC327*9*($BF327/Control!$C$86),0))</f>
        <v>#N/A</v>
      </c>
      <c r="BI327" s="140" t="e">
        <f ca="1">IF($BG327=1,0,IF($BE327&gt;=Control!$C$86,1,IF(AND($BB327&lt;21,$BB327&gt;=9),1,$BM326)))</f>
        <v>#N/A</v>
      </c>
      <c r="BJ327" s="140" t="e">
        <f ca="1">IF($BF327&lt;0,-$BF327,$BI327*IF(OR($G327&lt;Control!$C$92,$G327&gt;Control!$C$95),0,IF(AND($G327&gt;=Control!$C$92,$G327&lt;=Control!$C$93),$G327-Control!$C$92,IF(AND($G327&gt;Control!$C$93,$G327&lt;=Control!$C$94),Control!$C$93-Control!$C$92,IF(AND($G327&gt;Control!$C$94,$G327&lt;=Control!$C$95),(Control!$C$93-Control!$C$92)*(Control!$C$94-$G327)/(Control!$C$95-Control!$C$94))))))</f>
        <v>#N/A</v>
      </c>
      <c r="BK327" s="140" t="e">
        <f t="shared" ref="BK327:BK370" ca="1" si="1292">IF($BI327=0,0,IF($BF327&lt;0,$BL326+$BJ327-$BF327,$BL326+$BJ327))</f>
        <v>#N/A</v>
      </c>
      <c r="BL327" s="140" t="e">
        <f ca="1">IF($BK327&lt;=Control!$C$87,$BK327,Control!$C$87-$BK327)</f>
        <v>#N/A</v>
      </c>
      <c r="BM327" s="140" t="e">
        <f ca="1">IF(AND($BB327&gt;=9,$BB327&lt;21),1,IF($BK327&gt;=Control!$C$87,0,$BI327))</f>
        <v>#N/A</v>
      </c>
      <c r="BN327" s="404" t="e">
        <f ca="1">IF($BM327=0,0,IF($BK327&lt;=Control!$C$87,$BI327*(9+(21-9)*($BL327/Control!$C$87)),0))</f>
        <v>#N/A</v>
      </c>
      <c r="BO327" s="140" t="e">
        <f ca="1">IF($BM327=1,0,IF($BK327&gt;=Control!$C$87,1,IF(AND($BB327&lt;30,$BB327&gt;=21),1,$BS326)))</f>
        <v>#N/A</v>
      </c>
      <c r="BP327" s="140" t="e">
        <f ca="1">IF($BL327&lt;0,-$BL327,$BO327*IF(OR($G327&lt;Control!$C$92,$G327&gt;Control!$C$95),0,IF(AND($G327&gt;=Control!$C$92,$G327&lt;=Control!$C$93),$G327-Control!$C$92,IF(AND($G327&gt;Control!$C$93,$G327&lt;=Control!$C$94),Control!$C$93-Control!$C$92,IF(AND($G327&gt;Control!$C$94,$G327&lt;=Control!$C$95),(Control!$C$93-Control!$C$92)*(Control!$C$94-$G327)/(Control!$C$95-Control!$C$94))))))</f>
        <v>#N/A</v>
      </c>
      <c r="BQ327" s="140" t="e">
        <f t="shared" ca="1" si="1175"/>
        <v>#N/A</v>
      </c>
      <c r="BR327" s="140" t="e">
        <f ca="1">IF($BQ327&lt;=Control!$C$88,$BQ327,Control!$C$88-$BQ327)</f>
        <v>#N/A</v>
      </c>
      <c r="BS327" s="140" t="e">
        <f ca="1">IF(AND($BB327&gt;=21,$BB327&lt;30),1,IF($BQ327&gt;=Control!$C$88,0,$BO327))</f>
        <v>#N/A</v>
      </c>
      <c r="BT327" s="404" t="e">
        <f ca="1">IF($BS327=0,0,IF($BQ327&lt;=Control!$C$88,$BO327*(21+(30-21)*(BR327/Control!$C$88)),0))</f>
        <v>#N/A</v>
      </c>
      <c r="BU327" s="140" t="e">
        <f ca="1">IF(BG327+BM327+BS327=1,0,IF(OR(AND($BB327&lt;60,$BB327&gt;=30),$BQ327&gt;=Control!$C$88),1*$BA327,$BY326))</f>
        <v>#N/A</v>
      </c>
      <c r="BV327" s="140" t="e">
        <f ca="1">IF($BR327&lt;0,-$BR327,$BU327*IF(OR($G327&lt;Control!$C$92,$G327&gt;Control!$C$95),0,IF(AND($G327&gt;=Control!$C$92,$G327&lt;=Control!$C$93),$G327-Control!$C$92,IF(AND($G327&gt;Control!$C$93,$G327&lt;=Control!$C$94),Control!$C$93-Control!$C$92,IF(AND($G327&gt;Control!$C$94,$G327&lt;=Control!$C$95),(Control!$C$93-Control!$C$92)*(Control!$C$94-$G327)/(Control!$C$95-Control!$C$94))))))</f>
        <v>#N/A</v>
      </c>
      <c r="BW327" s="140" t="e">
        <f t="shared" ca="1" si="1176"/>
        <v>#N/A</v>
      </c>
      <c r="BX327" s="140" t="e">
        <f ca="1">IF($BW327&lt;=Control!$C$89,$BW327,Control!$C$89-$BW327)</f>
        <v>#N/A</v>
      </c>
      <c r="BY327" s="140" t="e">
        <f ca="1">IF(AND($AJ327&gt;=30,$AJ327&lt;60),1,IF($BW327&gt;=Control!$C$89,0,$BU327))</f>
        <v>#N/A</v>
      </c>
      <c r="BZ327" s="404" t="e">
        <f ca="1">IF($BY327=0,0,IF($BW327&lt;=Control!$C$89,$BU327*(30+(60-30)*(BX327/Control!$C$89)),0))</f>
        <v>#N/A</v>
      </c>
      <c r="CA327" s="140" t="e">
        <f ca="1">IF($BG327+$BM327+$BS327+$BY327=1,0,IF(OR(AND($BB327&lt;65,$BB327&gt;=60),$BW327&gt;=Control!$C$89),1*$BA327,$CE326))</f>
        <v>#N/A</v>
      </c>
      <c r="CB327" s="140" t="e">
        <f ca="1">IF($BX327&lt;0,-$BX327,$CA327*IF(OR($G327&lt;Control!$C$92,$G327&gt;Control!$C$95),0,IF(AND($G327&gt;=Control!$C$92,$G327&lt;=Control!$C$93),$G327-Control!$C$92,IF(AND($G327&gt;Control!$C$93,$G327&lt;=Control!$C$94),Control!$C$93-Control!$C$92,IF(AND($G327&gt;Control!$C$94,$G327&lt;=Control!$C$95),(Control!$C$93-Control!$C$92)*(Control!$C$94-$G327)/(Control!$C$95-Control!$C$94))))))</f>
        <v>#N/A</v>
      </c>
      <c r="CC327" s="140" t="e">
        <f t="shared" ref="CC327:CC370" ca="1" si="1293">IF($CA327=1,$CC326+$CB327,0)</f>
        <v>#N/A</v>
      </c>
      <c r="CD327" s="140" t="e">
        <f ca="1">IF($CC327&lt;=Control!$C$90,$CC327,Control!$C$90-$CC327)</f>
        <v>#N/A</v>
      </c>
      <c r="CE327" s="140" t="e">
        <f ca="1">IF(AND($BB327&gt;=60,$BB327&lt;65),1,IF($CC327&gt;=Control!$C$90,0,$CA327))</f>
        <v>#N/A</v>
      </c>
      <c r="CF327" s="404" t="e">
        <f ca="1">IF($CE327=0,0,IF($CC327&lt;=Control!$C$90,$CA327*(60+(65-60)*(CD327/Control!$C$90)),0))</f>
        <v>#N/A</v>
      </c>
      <c r="CG327" s="140" t="e">
        <f ca="1">IF($BG327+$BM327+$BS327+$BY327+$CE327=1,0,IF(OR(AND($BB327&lt;90,$BB327&gt;=65),$CC327&gt;=Control!$C$90),$BA327,$CK326))</f>
        <v>#N/A</v>
      </c>
      <c r="CH327" s="140" t="e">
        <f ca="1">IF($CD327&lt;0,-$CD327,$CG327*IF(OR($G327&lt;Control!$C$92,$G327&gt;Control!$C$95),0,IF(AND($G327&gt;=Control!$C$92,$G327&lt;=Control!$C$93),$G327-Control!$C$92,IF(AND($G327&gt;Control!$C$93,$G327&lt;=Control!$C$94),Control!$C$93-Control!$C$92,IF(AND($G327&gt;Control!$C$94,$G327&lt;=Control!$C$95),(Control!$C$93-Control!$C$92)*(Control!$C$94-$G327)/(Control!$C$95-Control!$C$94))))))</f>
        <v>#N/A</v>
      </c>
      <c r="CI327" s="140" t="e">
        <f t="shared" ref="CI327:CI370" ca="1" si="1294">IF($CG327=1,$CI326+$CH327,0)</f>
        <v>#N/A</v>
      </c>
      <c r="CJ327" s="140" t="e">
        <f ca="1">IF($CI327&lt;=Control!$C$91,$CI327,Control!$C$91-$CI327)</f>
        <v>#N/A</v>
      </c>
      <c r="CK327" s="140" t="e">
        <f ca="1">IF(AND($BB327&gt;=65,$BB327&lt;90),1,IF($CI327&gt;=Control!$C$91,0,$CG327))</f>
        <v>#N/A</v>
      </c>
      <c r="CL327" s="404" t="e">
        <f ca="1">IF($CK327=0,0,IF($CI327&lt;=Control!$C$91,$CG327*(65+(90-65)*($CJ327/Control!$C$91)),0))</f>
        <v>#N/A</v>
      </c>
      <c r="CM327" s="140" t="e">
        <f ca="1">IF($BG327+$BM327+$BS327+$BY327+$CE327+$CK327=1,0,IF(OR($BB327&gt;=90,$CI327&gt;=Control!$C$91),$BA327,$CM326))</f>
        <v>#N/A</v>
      </c>
      <c r="CN327" s="140" t="e">
        <f t="shared" ref="CN327:CN370" ca="1" si="1295">CM327*90</f>
        <v>#N/A</v>
      </c>
      <c r="CO327" s="140" t="e">
        <f t="shared" ref="CO327:CO370" ca="1" si="1296">MAX(0.0001,$BF327+$BL327+$BR327+$BX327+$CD327+$CJ327)</f>
        <v>#N/A</v>
      </c>
      <c r="CP327" s="140" t="e">
        <f t="shared" ref="CP327:CP370" ca="1" si="1297">BH327+BN327+BT327+BZ327+CF327+CL327+CN327</f>
        <v>#N/A</v>
      </c>
      <c r="CQ327" s="141" t="e">
        <f ca="1">VLOOKUP($CP327,Control!$B$86:$G$91,6)</f>
        <v>#N/A</v>
      </c>
      <c r="CR327" s="141" t="e">
        <f ca="1">(1-$CQ327)*VLOOKUP($CP327,Control!$B$86:$D$91,3)</f>
        <v>#N/A</v>
      </c>
      <c r="CS327" s="141" t="e">
        <f ca="1">(1-$CQ327)*VLOOKUP($CP327,Control!$B$86:$E$91,4)</f>
        <v>#N/A</v>
      </c>
      <c r="CT327" s="141" t="e">
        <f ca="1">(1-$CQ327)*VLOOKUP($CP327,Control!$B$86:$F$91,5)</f>
        <v>#N/A</v>
      </c>
      <c r="CU327" s="141">
        <f t="shared" ref="CU327:CU370" ca="1" si="1298">$CU326+$T326</f>
        <v>0</v>
      </c>
      <c r="CV327" s="583">
        <f t="shared" ref="CV327:CV370" ca="1" si="1299">$CV326+$U326</f>
        <v>0</v>
      </c>
      <c r="CW327" s="142">
        <f t="shared" ref="CW327:CW370" ca="1" si="1300">$AG327</f>
        <v>323</v>
      </c>
      <c r="CX327" s="612" t="e">
        <f ca="1">IF(Control!$C$114=1,(MIN(Control!$C$120*(IF($NT327-0.01&lt;0,0,1)),Control!$C$119-$CY327)))</f>
        <v>#DIV/0!</v>
      </c>
      <c r="CY327" s="143" t="e">
        <f t="shared" ref="CY327:CY370" ca="1" si="1301">$CY326+$CX326</f>
        <v>#N/A</v>
      </c>
      <c r="CZ327" s="144">
        <f t="shared" ca="1" si="1177"/>
        <v>0</v>
      </c>
      <c r="DA327" s="144">
        <f t="shared" ca="1" si="1178"/>
        <v>0</v>
      </c>
      <c r="DB327" s="144" t="e">
        <f t="shared" ca="1" si="1179"/>
        <v>#N/A</v>
      </c>
      <c r="DC327" s="144" t="e">
        <f t="shared" ca="1" si="1180"/>
        <v>#N/A</v>
      </c>
      <c r="DD327" s="144" t="e">
        <f t="shared" ca="1" si="1154"/>
        <v>#N/A</v>
      </c>
      <c r="DE327" s="143" t="e">
        <f t="shared" ref="DE327:DE370" ca="1" si="1302">$DE326+$DD326</f>
        <v>#N/A</v>
      </c>
      <c r="DF327" s="145" t="e">
        <f ca="1">$DR327*EXP(-Control!$C$158*(1-$KH327))</f>
        <v>#N/A</v>
      </c>
      <c r="DG327" s="146" t="e">
        <f ca="1">IF(Control!$C$114=1, $DF327*$EY327, 0)</f>
        <v>#N/A</v>
      </c>
      <c r="DH327" s="147" t="e">
        <f t="shared" ref="DH327:DH370" ca="1" si="1303">$DG327-$DZ327</f>
        <v>#N/A</v>
      </c>
      <c r="DI327" s="144" t="e">
        <f t="shared" ca="1" si="1132"/>
        <v>#N/A</v>
      </c>
      <c r="DJ327" s="147" t="e">
        <f ca="1">$EF327*Control!$C$109</f>
        <v>#N/A</v>
      </c>
      <c r="DK327" s="144" t="e">
        <f t="shared" ref="DK327:DK370" ca="1" si="1304">$DI327+$DJ327</f>
        <v>#N/A</v>
      </c>
      <c r="DL327" s="144" t="e">
        <f t="shared" ca="1" si="1181"/>
        <v>#N/A</v>
      </c>
      <c r="DM327" s="144" t="e">
        <f ca="1">IF(Control!$C$114=1, (1-EXP(-Control!$C$96*$DK327))*$AR327, 0)</f>
        <v>#N/A</v>
      </c>
      <c r="DN327" s="144">
        <f t="shared" ref="DN327:DN370" ca="1" si="1305">$DN326+$AR326</f>
        <v>0</v>
      </c>
      <c r="DO327" s="148">
        <f>Control!$C$97</f>
        <v>4</v>
      </c>
      <c r="DP327" s="145" t="e">
        <f t="shared" ref="DP327:DP370" ca="1" si="1306">$DI327/MAX(0.1,$EB327)</f>
        <v>#N/A</v>
      </c>
      <c r="DQ327" s="145" t="e">
        <f ca="1">IF(AND($CP327&gt;=0,$CP327&lt;=90),Control!$C$111,Control!$C$111)</f>
        <v>#N/A</v>
      </c>
      <c r="DR327" s="145" t="e">
        <f t="shared" ca="1" si="1182"/>
        <v>#N/A</v>
      </c>
      <c r="DS327" s="143" t="e">
        <f ca="1">Control!$B$22/$DR327</f>
        <v>#N/A</v>
      </c>
      <c r="DT327" s="149" t="e">
        <f ca="1">IF(AND(Control!$C$114=1,$KH327&lt;1),$IM327*$DF327, 0)</f>
        <v>#N/A</v>
      </c>
      <c r="DU327" s="144" t="e">
        <f t="shared" ref="DU327:DU370" ca="1" si="1307">$DU326+$DW326</f>
        <v>#N/A</v>
      </c>
      <c r="DV327" s="144">
        <f ca="1">IF($G327-Control!$C$107&lt;=0, 0, 0.83*LN(MAX($G327, 3))-0.8924)</f>
        <v>0</v>
      </c>
      <c r="DW327" s="144" t="e">
        <f t="shared" ca="1" si="1183"/>
        <v>#N/A</v>
      </c>
      <c r="DX327" s="150" t="e">
        <f ca="1">MAX(0.01*(1+$CU327/Control!$C$102),0.05*($DK327-Control!$C$97)/Control!$C$97)</f>
        <v>#N/A</v>
      </c>
      <c r="DY327" s="151" t="e">
        <f ca="1">IF(Control!$C$114=1, $DI327*$FS327, 0)</f>
        <v>#N/A</v>
      </c>
      <c r="DZ327" s="196" t="e">
        <f t="shared" ref="DZ327:DZ370" ca="1" si="1308">IF($EN327&lt;=0, MIN(($DI327-0.08), $DY327+$DT327), $EN327*$DP327)</f>
        <v>#N/A</v>
      </c>
      <c r="EA327" s="152">
        <f t="shared" ref="EA327:EA370" ca="1" si="1309">$AG327</f>
        <v>323</v>
      </c>
      <c r="EB327" s="153" t="e">
        <f t="shared" ref="EB327:EB370" ca="1" si="1310">$EB326+$ED326</f>
        <v>#N/A</v>
      </c>
      <c r="EC327" s="153" t="e">
        <f t="shared" ref="EC327:EC370" ca="1" si="1311">$EL327+$FM327+$FG327</f>
        <v>#N/A</v>
      </c>
      <c r="ED327" s="154" t="e">
        <f ca="1">IF(Control!$C$114=1, $HM327*$FY327-$FD327, 0)</f>
        <v>#DIV/0!</v>
      </c>
      <c r="EE327" s="155" t="e">
        <f ca="1">IF(Control!$C$114=1, $HM327*$FZ327-$FF327, 0)</f>
        <v>#DIV/0!</v>
      </c>
      <c r="EF327" s="153" t="e">
        <f t="shared" ca="1" si="1133"/>
        <v>#N/A</v>
      </c>
      <c r="EG327" s="155" t="e">
        <f ca="1">IF(Control!$C$114=1, $GX327*$FW327-$FI327, 0)</f>
        <v>#DIV/0!</v>
      </c>
      <c r="EH327" s="153" t="e">
        <f t="shared" ref="EH327:EH370" ca="1" si="1312">$EH326+$EG326</f>
        <v>#N/A</v>
      </c>
      <c r="EI327" s="156" t="e">
        <f t="shared" ref="EI327:EI370" ca="1" si="1313">-$EH327</f>
        <v>#N/A</v>
      </c>
      <c r="EJ327" s="155" t="e">
        <f ca="1">IF(Control!$C$114=1, $HM327*$GB327, 0)</f>
        <v>#DIV/0!</v>
      </c>
      <c r="EK327" s="153" t="e">
        <f t="shared" ca="1" si="1134"/>
        <v>#N/A</v>
      </c>
      <c r="EL327" s="153" t="e">
        <f t="shared" ca="1" si="1184"/>
        <v>#N/A</v>
      </c>
      <c r="EM327" s="153" t="e">
        <f t="shared" ca="1" si="1185"/>
        <v>#N/A</v>
      </c>
      <c r="EN327" s="153" t="e">
        <f ca="1">IF(Control!$C$108=1,IF(AND(Control!$B$18=1,$EB327&gt;=Control!$B$19),$EB327-$DS327,IF(AND(Control!$B$18=2,$AW327=1,$EB327&gt;$DS327),$EB327-$DS327,0)))</f>
        <v>#N/A</v>
      </c>
      <c r="EO327" s="153" t="e">
        <f ca="1">IF(Control!$C$108=1,IF(AND(Control!$B$18=1,$EB327&gt;=Control!$B$19),$EF327,IF(AND(Control!$B$18=2,$AW327=1),$EF327,0)))</f>
        <v>#N/A</v>
      </c>
      <c r="EP327" s="153" t="e">
        <f ca="1">IF(Control!$C$108=1,IF(AND(Control!$B$18=1,$EB327&gt;=Control!$B$19),$EK327,IF(AND(Control!$B$18=2,$AW327=1),$EK327,0)))</f>
        <v>#N/A</v>
      </c>
      <c r="EQ327" s="153" t="e">
        <f t="shared" ref="EQ327:EQ370" ca="1" si="1314">$EN327+$EO327+$EP327</f>
        <v>#N/A</v>
      </c>
      <c r="ER327" s="153" t="e">
        <f t="shared" ref="ER327:ER370" ca="1" si="1315">$ER326+$EN326</f>
        <v>#N/A</v>
      </c>
      <c r="ES327" s="153" t="e">
        <f t="shared" ca="1" si="1135"/>
        <v>#N/A</v>
      </c>
      <c r="ET327" s="153" t="e">
        <f t="shared" ca="1" si="1136"/>
        <v>#N/A</v>
      </c>
      <c r="EU327" s="153" t="e">
        <f t="shared" ref="EU327:EU370" ca="1" si="1316">ER327+ES327+ET327</f>
        <v>#N/A</v>
      </c>
      <c r="EV327" s="153" t="e">
        <f t="shared" ca="1" si="1186"/>
        <v>#N/A</v>
      </c>
      <c r="EW327" s="153" t="e">
        <f t="shared" ca="1" si="1187"/>
        <v>#N/A</v>
      </c>
      <c r="EX327" s="153" t="e">
        <f t="shared" ca="1" si="1188"/>
        <v>#N/A</v>
      </c>
      <c r="EY327" s="157" t="e">
        <f t="shared" ca="1" si="1189"/>
        <v>#DIV/0!</v>
      </c>
      <c r="EZ327" s="154" t="e">
        <f t="shared" ca="1" si="1190"/>
        <v>#DIV/0!</v>
      </c>
      <c r="FA327" s="153" t="e">
        <f t="shared" ref="FA327:FA370" ca="1" si="1317">$FA326+$HC326</f>
        <v>#N/A</v>
      </c>
      <c r="FB327" s="153" t="e">
        <f t="shared" ca="1" si="1191"/>
        <v>#N/A</v>
      </c>
      <c r="FC327" s="193" t="e">
        <f t="shared" ca="1" si="1192"/>
        <v>#N/A</v>
      </c>
      <c r="FD327" s="158" t="e">
        <f t="shared" ref="FD327:FD370" ca="1" si="1318">IF($EN327&lt;=0, MIN(($DI327-0.08)/$DF327, $HY327+$IM327), $EN327)</f>
        <v>#N/A</v>
      </c>
      <c r="FE327" s="158" t="e">
        <f t="shared" ref="FE327:FE370" ca="1" si="1319">IF(AND($CP327&gt;=0, $CP327&lt;=90),0,0)</f>
        <v>#N/A</v>
      </c>
      <c r="FF327" s="159" t="e">
        <f t="shared" ca="1" si="1193"/>
        <v>#N/A</v>
      </c>
      <c r="FG327" s="160" t="e">
        <f t="shared" ref="FG327:FG370" ca="1" si="1320">$FG326+$FF326</f>
        <v>#N/A</v>
      </c>
      <c r="FH327" s="158" t="e">
        <f t="shared" ref="FH327:FH370" ca="1" si="1321">IF(AND($CP327&gt;=0, $CP327&lt;=90), 0,0)</f>
        <v>#N/A</v>
      </c>
      <c r="FI327" s="159" t="e">
        <f t="shared" ca="1" si="1194"/>
        <v>#N/A</v>
      </c>
      <c r="FJ327" s="160" t="e">
        <f t="shared" ref="FJ327:FJ370" ca="1" si="1322">$FJ326+$FI326</f>
        <v>#N/A</v>
      </c>
      <c r="FK327" s="160" t="e">
        <f t="shared" ca="1" si="1195"/>
        <v>#N/A</v>
      </c>
      <c r="FL327" s="160" t="e">
        <f t="shared" ca="1" si="1137"/>
        <v>#N/A</v>
      </c>
      <c r="FM327" s="160" t="e">
        <f t="shared" ca="1" si="1196"/>
        <v>#N/A</v>
      </c>
      <c r="FN327" s="158">
        <f t="shared" ref="FN327:FN370" ca="1" si="1323">IF(AND($G327&lt;=50,$G327&gt;=30),(0.05+($G327-30)*((0.09-0.05)/(50-30))),IF(AND($G327&lt;30,$G327&gt;=15),(0.02+($G327-15)*((0.05-0.02)/(30-15))),IF(AND($G327&lt;15,$G327&gt;=10),(0.01+($G327-10)*((0.02-0.01)/(15-10))),IF(AND($G327&lt;10,$G327&gt;=-10),($G327+10)*((0.02-0)/(10+10)),IF($G327=-10,0)))))</f>
        <v>0.01</v>
      </c>
      <c r="FO327" s="160">
        <f>Control!$C$101</f>
        <v>50</v>
      </c>
      <c r="FP327" s="150" t="e">
        <f t="shared" ca="1" si="1197"/>
        <v>#N/A</v>
      </c>
      <c r="FQ327" s="150" t="e">
        <f ca="1">MAX(0,(Control!$C$112*(($DK327-Control!$C$97)/Control!$C$97)))</f>
        <v>#N/A</v>
      </c>
      <c r="FR327" s="150" t="e">
        <f ca="1">(1-$NT327)*Control!$C$113</f>
        <v>#DIV/0!</v>
      </c>
      <c r="FS327" s="198" t="e">
        <f t="shared" ca="1" si="1198"/>
        <v>#N/A</v>
      </c>
      <c r="FT327" s="161">
        <f t="shared" ref="FT327:FT370" ca="1" si="1324">$AG327</f>
        <v>323</v>
      </c>
      <c r="FU327" s="162" t="e">
        <f ca="1">IF(Control!$B$34=1,VLOOKUP($CP327,Control!$B$86:$G$91,6),Control!$B$35)</f>
        <v>#N/A</v>
      </c>
      <c r="FV327" s="162" t="e">
        <f t="shared" ca="1" si="1199"/>
        <v>#DIV/0!</v>
      </c>
      <c r="FW327" s="162" t="e">
        <f ca="1">IF(Control!$B$31=1,$FU327*$FV327,  $FU327)</f>
        <v>#N/A</v>
      </c>
      <c r="FX327" s="162" t="e">
        <f ca="1">IF(Control!$B$34=1,VLOOKUP($CP327,Control!$B$86:$G$91,3),Control!$B$36)</f>
        <v>#N/A</v>
      </c>
      <c r="FY327" s="162" t="e">
        <f t="shared" ca="1" si="1200"/>
        <v>#N/A</v>
      </c>
      <c r="FZ327" s="162" t="e">
        <f ca="1">IF(Control!$B$34=1,VLOOKUP($CP327,Control!$B$86:$G$91,4),Control!$B$37)</f>
        <v>#N/A</v>
      </c>
      <c r="GA327" s="162" t="e">
        <f t="shared" ca="1" si="1201"/>
        <v>#N/A</v>
      </c>
      <c r="GB327" s="162" t="e">
        <f ca="1">IF(Control!$B$34=1,VLOOKUP($CP327,Control!$B$86:$G$91,5),Control!$B$38)</f>
        <v>#N/A</v>
      </c>
      <c r="GC327" s="162" t="e">
        <f t="shared" ref="GC327:GC370" ca="1" si="1325">$GB327</f>
        <v>#N/A</v>
      </c>
      <c r="GD327" s="162">
        <f t="shared" ca="1" si="1202"/>
        <v>1</v>
      </c>
      <c r="GE327" s="162">
        <f t="shared" ca="1" si="1203"/>
        <v>1</v>
      </c>
      <c r="GF327" s="162">
        <f ca="1">IF(AND(Control!$C$104=1, Control!$C$62="F"),$GE327,1)</f>
        <v>1</v>
      </c>
      <c r="GG327" s="162" t="e">
        <f ca="1">IF(Control!$B$16=40,0,IF(AND(Control!$B$16&gt;40,Control!$B$16&lt;=360),(Control!$B$16-40)*((1-0)/(360-40)),IF(AND(Control!$B$16&gt;360,Control!$B$16&lt;=720),(1+(Control!$B$16-360)*((1.25-1)/(720-360))),IF(AND(Control!$B$16&gt;720,Control!$B$16&lt;=1000),(1.25+(Control!$B$16-720)*((1.35-1.25)/(1000-720))),IF(AND(Control!$B$16&gt;1000,Control!$B$16&lt;=2000),(1.35+(Control!$B$16-1000)*0))))))</f>
        <v>#N/A</v>
      </c>
      <c r="GH327" s="162" t="e">
        <f t="shared" ca="1" si="1204"/>
        <v>#N/A</v>
      </c>
      <c r="GI327" s="162">
        <f t="shared" ref="GI327:GI370" ca="1" si="1326">IF($E327&lt;=0,0,IF(AND($E327&gt;=3,$E327&lt;=30),1,(($E327-0)*((1-0)/(3-0)))))</f>
        <v>0</v>
      </c>
      <c r="GJ327" s="162">
        <f t="shared" ca="1" si="1205"/>
        <v>0</v>
      </c>
      <c r="GK327" s="162">
        <f t="shared" ref="GK327:GK370" ca="1" si="1327">IF(AND($AR327&gt;=0,$AR327&lt;=10),1,IF(AND($AR327&gt;=40,$AR327&lt;=42),0.33,((1+($AR327-10)*((0.33-1)/(40-10))))))</f>
        <v>1</v>
      </c>
      <c r="GL327" s="162">
        <f t="shared" ca="1" si="1206"/>
        <v>1</v>
      </c>
      <c r="GM327" s="162" t="e">
        <f ca="1">MAX(0,MIN(1,1-Control!$C$156*(1.0001-$KH327)^2))</f>
        <v>#N/A</v>
      </c>
      <c r="GN327" s="162" t="e">
        <f ca="1">IF(Control!$B$26=1,$KU327,$KX327)</f>
        <v>#N/A</v>
      </c>
      <c r="GO327" s="162" t="e">
        <f ca="1">IF($CP327&lt;=60,Control!$C$105,IF($CP327&gt;=90,Control!$C$106,Control!$C$105+($CP327-60)*((Control!$C$106-Control!$C$105)/(90-60))))</f>
        <v>#N/A</v>
      </c>
      <c r="GP327" s="162" t="e">
        <f t="shared" ca="1" si="1207"/>
        <v>#N/A</v>
      </c>
      <c r="GQ327" s="162" t="e">
        <f t="shared" ref="GQ327:GQ370" ca="1" si="1328">GN327*GO327*GP327</f>
        <v>#N/A</v>
      </c>
      <c r="GR327" s="163" t="e">
        <f t="shared" ca="1" si="1208"/>
        <v>#DIV/0!</v>
      </c>
      <c r="GS327" s="162" t="e">
        <f t="shared" ca="1" si="1209"/>
        <v>#DIV/0!</v>
      </c>
      <c r="GT327" s="164" t="e">
        <f t="shared" ref="GT327:GT370" ca="1" si="1329">($DE327*10000*($DV327*0.31))*0.00000001</f>
        <v>#N/A</v>
      </c>
      <c r="GU327" s="162" t="e">
        <f t="shared" ref="GU327:GU370" ca="1" si="1330">IF($EN327&lt;=0,$GT327*(1/$DF327),0)</f>
        <v>#N/A</v>
      </c>
      <c r="GV327" s="162" t="e">
        <f t="shared" ca="1" si="1210"/>
        <v>#N/A</v>
      </c>
      <c r="GW327" s="162" t="e">
        <f t="shared" ca="1" si="1211"/>
        <v>#DIV/0!</v>
      </c>
      <c r="GX327" s="162" t="e">
        <f t="shared" ref="GX327:GX370" ca="1" si="1331">IF($GS327-$GV327&lt;=0, $GS327, $GV327)</f>
        <v>#DIV/0!</v>
      </c>
      <c r="GY327" s="162" t="e">
        <f t="shared" ref="GY327:GY370" ca="1" si="1332">IF($GS327-$GU327&lt;=0, $GS327, $GU327)</f>
        <v>#DIV/0!</v>
      </c>
      <c r="GZ327" s="165" t="e">
        <f t="shared" ca="1" si="1212"/>
        <v>#N/A</v>
      </c>
      <c r="HA327" s="162" t="e">
        <f ca="1">IF(Control!$C$114=1, $DI327*$FS327, 0)</f>
        <v>#N/A</v>
      </c>
      <c r="HB327" s="162" t="e">
        <f ca="1">$FA327/Control!$C$64</f>
        <v>#N/A</v>
      </c>
      <c r="HC327" s="162" t="e">
        <f t="shared" ca="1" si="1213"/>
        <v>#DIV/0!</v>
      </c>
      <c r="HD327" s="162">
        <f ca="1">-ASIN(SIN(23.45*Control!$C$139)*COS(2*Control!$C$138*($AH327+10)/365))</f>
        <v>-0.34594583028924308</v>
      </c>
      <c r="HE327" s="165">
        <f t="shared" ref="HE327:HE370" ca="1" si="1333">$HE326+$V327</f>
        <v>0</v>
      </c>
      <c r="HF327" s="166">
        <f ca="1">IF(AND(Control!$C$61="T",$HE327&gt;=Control!$C$103,Control!$C$114=0),$AH327,Control!$C$59)</f>
        <v>1</v>
      </c>
      <c r="HG327" s="166">
        <f ca="1">IF(AND(Control!$C$61="T",$HE327&gt;=Control!$C$103,Control!$C$114=0),$HF327,Control!$C$59)</f>
        <v>1</v>
      </c>
      <c r="HH327" s="165">
        <f ca="1">IF(AND(OR(Control!$C$60&lt;=0, $AH327= Control!$C$59, Control!$C$60 &gt;0, $AH327 = Control!$C$60)), Control!$C$59, IF(Control!$C$60&gt;0, 0))</f>
        <v>1</v>
      </c>
      <c r="HI327" s="165">
        <f ca="1">IF(AND(OR(Control!$C$60&lt;=0, $AH327= Control!$C$59, Control!$C$60 &gt;0, $AH327 = Control!$C$60)), Control!$C$60, IF(Control!$C$60&lt;=0, 0))</f>
        <v>0</v>
      </c>
      <c r="HJ327" s="166">
        <f ca="1">IF(AND(Control!$C$62="F",$CV327&gt;=Control!$C$102),$AH327,0)</f>
        <v>0</v>
      </c>
      <c r="HK327" s="165" t="e">
        <f t="shared" ca="1" si="1138"/>
        <v>#N/A</v>
      </c>
      <c r="HL327" s="166">
        <f ca="1">IF(AND(Control!$C$61="T",$HE327&gt;=Control!$C$103,Control!$C$114=0),$HF327,0)</f>
        <v>0</v>
      </c>
      <c r="HM327" s="201" t="e">
        <f t="shared" ca="1" si="1214"/>
        <v>#DIV/0!</v>
      </c>
      <c r="HN327" s="215">
        <f t="shared" ref="HN327:HN370" ca="1" si="1334">$CW327</f>
        <v>323</v>
      </c>
      <c r="HO327" s="216" t="e">
        <f ca="1">IF(AND($CP327&gt;=0, $CP327&lt;=90), Control!$C$152, Control!$C$152)</f>
        <v>#N/A</v>
      </c>
      <c r="HP327" s="216" t="e">
        <f t="shared" ca="1" si="1215"/>
        <v>#N/A</v>
      </c>
      <c r="HQ327" s="217" t="e">
        <f ca="1">IF(OR(Control!$B$26=1,Control!$B$26=2),$KV327,$KS327)</f>
        <v>#DIV/0!</v>
      </c>
      <c r="HR327" s="218" t="e">
        <f t="shared" ca="1" si="1139"/>
        <v>#DIV/0!</v>
      </c>
      <c r="HS327" s="216" t="e">
        <f ca="1">Control!$C$154*$HP327</f>
        <v>#N/A</v>
      </c>
      <c r="HT327" s="216" t="e">
        <f ca="1">Control!$C$155*$HP327</f>
        <v>#N/A</v>
      </c>
      <c r="HU327" s="217" t="e">
        <f ca="1">Control!$C$161*$FI327</f>
        <v>#N/A</v>
      </c>
      <c r="HV327" s="218" t="e">
        <f t="shared" ref="HV327:HV370" ca="1" si="1335">$HV326+$HU326</f>
        <v>#N/A</v>
      </c>
      <c r="HW327" s="218" t="e">
        <f ca="1">Control!$C$160*$FF327+$IP327*$EO327</f>
        <v>#N/A</v>
      </c>
      <c r="HX327" s="218" t="e">
        <f t="shared" ca="1" si="1140"/>
        <v>#N/A</v>
      </c>
      <c r="HY327" s="219" t="e">
        <f ca="1">IF(Control!$C$114=1, $EB327*$FS327, 0)</f>
        <v>#N/A</v>
      </c>
      <c r="HZ327" s="91" t="e">
        <f t="shared" ca="1" si="1216"/>
        <v>#N/A</v>
      </c>
      <c r="IA327" s="220" t="e">
        <f ca="1">Control!$C$153*$HO327</f>
        <v>#N/A</v>
      </c>
      <c r="IB327" s="218" t="e">
        <f t="shared" ca="1" si="1217"/>
        <v>#N/A</v>
      </c>
      <c r="IC327" s="220" t="e">
        <f ca="1">Control!$C$153*$HT327</f>
        <v>#N/A</v>
      </c>
      <c r="ID327" s="218" t="e">
        <f t="shared" ca="1" si="1218"/>
        <v>#N/A</v>
      </c>
      <c r="IE327" s="221" t="e">
        <f ca="1">($EB327*Control!$C$159+$EF327*Control!$C$160)/(IF($GZ327&lt;&gt;0,$GZ327,1))</f>
        <v>#N/A</v>
      </c>
      <c r="IF327" s="216" t="e">
        <f t="shared" ca="1" si="1219"/>
        <v>#N/A</v>
      </c>
      <c r="IG327" s="91">
        <f ca="1">IF(OR(Control!$B$198=$AH327,Control!$B$199=$AH327, Control!$B$200=$AH327, Control!$B$201=$AH327, Control!$B$202=$AH327, Control!$B$203=$AH327, Control!$B$204=$AH327, Control!$B$205=$AH327, Control!$B$206=$AH327, Control!$B$207=$AH327), 1, 0)</f>
        <v>0</v>
      </c>
      <c r="IH327" s="91">
        <f ca="1">IF($IG327=0,0, VLOOKUP($AH327,Control!$B$198:$C$207,2))</f>
        <v>0</v>
      </c>
      <c r="II327" s="222">
        <f t="shared" ref="II327:II370" ca="1" si="1336">$II326+$IH327</f>
        <v>0</v>
      </c>
      <c r="IJ327" s="91">
        <f>Control!$C$121</f>
        <v>0.7</v>
      </c>
      <c r="IK327" s="218">
        <f t="shared" ca="1" si="1220"/>
        <v>0</v>
      </c>
      <c r="IL327" s="217" t="e">
        <f t="shared" ca="1" si="1141"/>
        <v>#N/A</v>
      </c>
      <c r="IM327" s="223" t="e">
        <f ca="1">IF(AND(Control!$C$114=1,$KH327&lt;1),$EB327*Control!$C$148*(1-$KH327), 0)</f>
        <v>#N/A</v>
      </c>
      <c r="IN327" s="217" t="e">
        <f t="shared" ca="1" si="1221"/>
        <v>#DIV/0!</v>
      </c>
      <c r="IO327" s="91" t="e">
        <f ca="1">MAX(0,$IL327-$EF327*Control!$C$160)</f>
        <v>#N/A</v>
      </c>
      <c r="IP327" s="220" t="e">
        <f t="shared" ca="1" si="1222"/>
        <v>#N/A</v>
      </c>
      <c r="IQ327" s="217" t="e">
        <f t="shared" ref="IQ327:IQ370" ca="1" si="1337">$IQ326+$KF326</f>
        <v>#N/A</v>
      </c>
      <c r="IR327" s="218" t="e">
        <f t="shared" ca="1" si="1223"/>
        <v>#N/A</v>
      </c>
      <c r="IS327" s="217" t="e">
        <f ca="1">Control!$C$159*MAX(0,$FD327-$EN327)</f>
        <v>#N/A</v>
      </c>
      <c r="IT327" s="217" t="e">
        <f t="shared" ca="1" si="1142"/>
        <v>#N/A</v>
      </c>
      <c r="IU327" s="217" t="e">
        <f t="shared" ref="IU327:IU370" ca="1" si="1338">$KG327*$EN327</f>
        <v>#N/A</v>
      </c>
      <c r="IV327" s="217" t="e">
        <f t="shared" ca="1" si="1143"/>
        <v>#N/A</v>
      </c>
      <c r="IW327" s="217" t="e">
        <f ca="1">IF(OR($AW327=1,AND($AW327=0, Control!$B$18=1,$EN327&lt;&gt;0)), $IQ327-$IU327, $IQ327)</f>
        <v>#N/A</v>
      </c>
      <c r="IX327" s="218" t="e">
        <f t="shared" ca="1" si="1224"/>
        <v>#N/A</v>
      </c>
      <c r="IY327" s="218" t="e">
        <f ca="1">MAX(0,$IQ327-$EB327*Control!$C$159)</f>
        <v>#N/A</v>
      </c>
      <c r="IZ327" s="218" t="e">
        <f t="shared" ca="1" si="1225"/>
        <v>#N/A</v>
      </c>
      <c r="JA327" s="216" t="e">
        <f t="shared" ca="1" si="1226"/>
        <v>#N/A</v>
      </c>
      <c r="JB327" s="217" t="e">
        <f t="shared" ca="1" si="1227"/>
        <v>#N/A</v>
      </c>
      <c r="JC327" s="222" t="e">
        <f ca="1">MAX(Control!$C$157*$EK327-$JT327, 0)/Control!$C$162</f>
        <v>#N/A</v>
      </c>
      <c r="JD327" s="218" t="e">
        <f t="shared" ca="1" si="1228"/>
        <v>#N/A</v>
      </c>
      <c r="JE327" s="218" t="e">
        <f t="shared" ca="1" si="1229"/>
        <v>#N/A</v>
      </c>
      <c r="JF327" s="218" t="e">
        <f t="shared" ref="JF327:JF370" ca="1" si="1339">$JF326+$JV326</f>
        <v>#N/A</v>
      </c>
      <c r="JG327" s="218" t="e">
        <f t="shared" ca="1" si="1230"/>
        <v>#N/A</v>
      </c>
      <c r="JH327" s="217" t="e">
        <f t="shared" ref="JH327:JH370" ca="1" si="1340">$IS327</f>
        <v>#N/A</v>
      </c>
      <c r="JI327" s="217" t="e">
        <f t="shared" ref="JI327:JI370" ca="1" si="1341">MAX(0, $IZ327+$JB327+$JG327-JH327)</f>
        <v>#N/A</v>
      </c>
      <c r="JJ327" s="217" t="e">
        <f t="shared" ca="1" si="1144"/>
        <v>#N/A</v>
      </c>
      <c r="JK327" s="217" t="e">
        <f ca="1">IF(Control!$C$114=1,IF(Control!$B$24=0,MAX(0,$JI327)*$GN327/Control!$C$64,(MAX(0,MIN($JI327,$JJ327*$GN327/Control!$C$64),0))))</f>
        <v>#N/A</v>
      </c>
      <c r="JL327" s="217" t="e">
        <f ca="1">$IK327/Control!$C$64-$JK327+$HQ327</f>
        <v>#N/A</v>
      </c>
      <c r="JM327" s="217" t="e">
        <f ca="1">IF(Control!$C$114=1,($JB327/(IF($JI327&lt;&gt;0,$JI327,1)))*$JK327,0)</f>
        <v>#N/A</v>
      </c>
      <c r="JN327" s="217" t="e">
        <f ca="1">IF(Control!$C$114=1,($JG327/(IF($JI327&lt;&gt;0,$JI327,1)))*$JK327, 0)</f>
        <v>#N/A</v>
      </c>
      <c r="JO327" s="218" t="e">
        <f t="shared" ca="1" si="1231"/>
        <v>#N/A</v>
      </c>
      <c r="JP327" s="218" t="e">
        <f ca="1">MIN(($IY327+$IO327)*Control!$C$151, $JF327-$EH327*Control!$C$161)</f>
        <v>#N/A</v>
      </c>
      <c r="JQ327" s="218" t="e">
        <f t="shared" ca="1" si="1232"/>
        <v>#N/A</v>
      </c>
      <c r="JR327" s="217" t="e">
        <f ca="1">IF($CP327-Control!$C$150&lt;0, 0, $JQ327/Control!$C$162)</f>
        <v>#N/A</v>
      </c>
      <c r="JS327" s="218" t="e">
        <f t="shared" ca="1" si="1233"/>
        <v>#N/A</v>
      </c>
      <c r="JT327" s="218" t="e">
        <f t="shared" ref="JT327:JT370" ca="1" si="1342">$JT326+$JS326</f>
        <v>#N/A</v>
      </c>
      <c r="JU327" s="218" t="e">
        <f t="shared" ca="1" si="1234"/>
        <v>#N/A</v>
      </c>
      <c r="JV327" s="218" t="e">
        <f t="shared" ca="1" si="1235"/>
        <v>#N/A</v>
      </c>
      <c r="JW327" s="216" t="e">
        <f t="shared" ca="1" si="1236"/>
        <v>#N/A</v>
      </c>
      <c r="JX327" s="91" t="e">
        <f t="shared" ca="1" si="1237"/>
        <v>#N/A</v>
      </c>
      <c r="JY327" s="218" t="e">
        <f t="shared" ca="1" si="1238"/>
        <v>#N/A</v>
      </c>
      <c r="JZ327" s="217" t="e">
        <f ca="1">IF(Control!$C$114=1,($IZ327/(IF($JI327&lt;&gt;0,$JI327,1)))*$JK327, 0)</f>
        <v>#N/A</v>
      </c>
      <c r="KA327" s="218" t="e">
        <f t="shared" ca="1" si="1145"/>
        <v>#N/A</v>
      </c>
      <c r="KB327" s="218" t="e">
        <f t="shared" ref="KB327:KB370" ca="1" si="1343">$IV327+$IW327+$HX327+$IL327+$JF327</f>
        <v>#N/A</v>
      </c>
      <c r="KC327" s="218" t="e">
        <f t="shared" ca="1" si="1239"/>
        <v>#N/A</v>
      </c>
      <c r="KD327" s="218" t="e">
        <f t="shared" ca="1" si="1240"/>
        <v>#N/A</v>
      </c>
      <c r="KE327" s="218" t="e">
        <f t="shared" ca="1" si="1241"/>
        <v>#N/A</v>
      </c>
      <c r="KF327" s="218" t="e">
        <f t="shared" ca="1" si="1242"/>
        <v>#N/A</v>
      </c>
      <c r="KG327" s="216" t="e">
        <f t="shared" ca="1" si="1243"/>
        <v>#N/A</v>
      </c>
      <c r="KH327" s="221" t="e">
        <f ca="1">IF(Control!$B$24=0,1,MAX(0.001,MIN(1,IF(($IF327-$IE327)&lt;&gt;0,($KG327-$IE327)/($IF327-$IE327),1))))</f>
        <v>#N/A</v>
      </c>
      <c r="KI327" s="222" t="e">
        <f ca="1">IF(Control!$C$114=1, $KI326+ $KH326, 0)</f>
        <v>#N/A</v>
      </c>
      <c r="KJ327" s="217" t="e">
        <f t="shared" ca="1" si="1244"/>
        <v>#N/A</v>
      </c>
      <c r="KK327" s="218" t="e">
        <f t="shared" ca="1" si="1245"/>
        <v>#N/A</v>
      </c>
      <c r="KL327" s="274" t="e">
        <f ca="1">IF(Control!$B$26=3,4000000000*EXP(-8400/($G327+273)),IF(Control!$B$26=4,4000000000*EXP(-8400/($G327+273))*($KT327),0))</f>
        <v>#DIV/0!</v>
      </c>
      <c r="KM327" s="274" t="e">
        <f ca="1">IF(Control!$B$26=3,5600000000000*EXP(-9800/($G327+273)),IF(Control!$B$26=4,5600000000000*EXP(-9800/($G327+273))*$KT327,0))</f>
        <v>#DIV/0!</v>
      </c>
      <c r="KN327" s="454" t="e">
        <f t="shared" ref="KN327:KN370" ca="1" si="1344">$KN326-$KN326*(1-EXP(-$KL326))</f>
        <v>#DIV/0!</v>
      </c>
      <c r="KO327" s="274" t="e">
        <f t="shared" ref="KO327:KO370" ca="1" si="1345">$KO326-$KO326*(1-EXP(-$KM326))</f>
        <v>#DIV/0!</v>
      </c>
      <c r="KP327" s="454" t="e">
        <f t="shared" ca="1" si="1246"/>
        <v>#DIV/0!</v>
      </c>
      <c r="KQ327" s="454" t="e">
        <f t="shared" ca="1" si="1247"/>
        <v>#DIV/0!</v>
      </c>
      <c r="KR327" s="454" t="e">
        <f t="shared" ca="1" si="1248"/>
        <v>#DIV/0!</v>
      </c>
      <c r="KS327" s="454" t="e">
        <f t="shared" ca="1" si="1249"/>
        <v>#DIV/0!</v>
      </c>
      <c r="KT327" s="455" t="e">
        <f t="shared" ca="1" si="1250"/>
        <v>#DIV/0!</v>
      </c>
      <c r="KU327" s="456" t="e">
        <f ca="1">IF($CP327-Control!$C$149&lt;0, IF($NT327-0.01&lt;0,0,1),0)</f>
        <v>#N/A</v>
      </c>
      <c r="KV327" s="456" t="e">
        <f ca="1">IF(Control!$C$114=1,MAX(0,MIN(Control!$C$125*$KW327*$GN327,$KW327)))</f>
        <v>#DIV/0!</v>
      </c>
      <c r="KW327" s="456" t="e">
        <f t="shared" ca="1" si="1146"/>
        <v>#DIV/0!</v>
      </c>
      <c r="KX327" s="457" t="e">
        <f ca="1">IF($CP327-Control!$C$149&lt;0, IF($MR327-$OM327&lt;0,0,1),0)</f>
        <v>#N/A</v>
      </c>
      <c r="KY327" s="167">
        <f t="shared" ref="KY327:KY370" ca="1" si="1346">$AG327</f>
        <v>323</v>
      </c>
      <c r="KZ327" s="168">
        <f ca="1">1370*(1+0.033*COS(2*Control!$C$138*$AH327/365))</f>
        <v>1403.9000405221113</v>
      </c>
      <c r="LA327" s="169">
        <f t="shared" ref="LA327:LA370" ca="1" si="1347">1+0.033*COS((2*PI()/365)*$AH327)</f>
        <v>1.0247442712397508</v>
      </c>
      <c r="LB327" s="169">
        <f t="shared" ref="LB327:LB370" ca="1" si="1348">0.409*SIN((2*PI()*$AH327/365)-1.39)</f>
        <v>-0.35033931106187588</v>
      </c>
      <c r="LC327" s="169">
        <f ca="1">ACOS(-TAN((2*Control!$B$8/360))*TAN(Calculations!$LB327))</f>
        <v>1.4619797965424892</v>
      </c>
      <c r="LD327" s="169">
        <f ca="1">((24*60)/PI())*0.082*$LA327*(($LC327*SIN(Control!$B$8*2*PI()/360))*SIN($LB327)+COS(Control!$B$8*2*PI()/360)*COS($LB327)*SIN($LC327))</f>
        <v>6.9112885559897794</v>
      </c>
      <c r="LE327" s="170">
        <f t="shared" ca="1" si="1251"/>
        <v>8.4116109046321625</v>
      </c>
      <c r="LF327" s="170">
        <f ca="1">SIN(Control!$C$139*Control!$B$8)*SIN($HD327)</f>
        <v>-0.26720434878401139</v>
      </c>
      <c r="LG327" s="170">
        <f ca="1">COS(Control!$C$139*Control!$B$8)*COS($HD327)</f>
        <v>0.57918513336687072</v>
      </c>
      <c r="LH327" s="170">
        <f ca="1">12*(1+2*ASIN(MAX(-1,MIN(1,$LF327/$LG327))/Control!$C$138))</f>
        <v>8.46279775947459</v>
      </c>
      <c r="LI327" s="170">
        <f ca="1">12*(1+2*ASIN(MAX(-1,MIN(1,(-SIN(-4*Control!$C$139)+$LF327)/$LG327))/Control!$C$138))</f>
        <v>9.3905374181351036</v>
      </c>
      <c r="LJ327" s="168">
        <f ca="1">3600*($LH327*$LF327+24*$LG327*SQRT(1-$LK327*$LK327)/Control!$C$138)</f>
        <v>5991.6024373814234</v>
      </c>
      <c r="LK327" s="170">
        <f t="shared" ca="1" si="1252"/>
        <v>-0.46134531670507728</v>
      </c>
      <c r="LL327" s="170">
        <f t="shared" ca="1" si="1253"/>
        <v>0</v>
      </c>
      <c r="LM327" s="171">
        <f ca="1">Control!$C$145*$AB327</f>
        <v>6.6660906138995932E-2</v>
      </c>
      <c r="LN327" s="170">
        <f t="shared" ref="LN327:LN370" ca="1" si="1349">0.54+0.35*MAX(0,MIN(1,$F327-12)/4)</f>
        <v>0.54</v>
      </c>
      <c r="LO327" s="170">
        <f t="shared" ca="1" si="1254"/>
        <v>0</v>
      </c>
      <c r="LP327" s="170">
        <f ca="1">Control!$C$140*((($D327+273.16)^4+($E327+273.16)^4)/2)*(0.34-0.14*SQRT($Y327))*(1.35*$AQ327/(0.75*$LD327)-0.35)</f>
        <v>-3.2464704755046001</v>
      </c>
      <c r="LQ327" s="170">
        <f ca="1">Control!$C$140*($G327+273)^4*(0.56-0.079*SQRT($Y327*10))*(0.1+0.9*$LO327)</f>
        <v>1.5241745131704001</v>
      </c>
      <c r="LR327" s="170">
        <f ca="1">$AQ327*(1-Control!$C$142)-$LQ327</f>
        <v>-1.5241745131704001</v>
      </c>
      <c r="LS327" s="170">
        <f ca="1">$AQ327*(1-Control!$C$143)-$LQ327</f>
        <v>-1.5241745131704001</v>
      </c>
      <c r="LT327" s="170">
        <f ca="1">$AQ327*(1-Control!$C$144)-$LQ327</f>
        <v>-1.5241745131704001</v>
      </c>
      <c r="LU327" s="169">
        <f ca="1">(1-Control!$C$144)*AQ327-LP327</f>
        <v>3.2464704755046001</v>
      </c>
      <c r="LV327" s="172">
        <f t="shared" ca="1" si="1255"/>
        <v>0.79430000000000012</v>
      </c>
      <c r="LW327" s="170">
        <f t="shared" ca="1" si="1256"/>
        <v>1.5886000000000002</v>
      </c>
      <c r="LX327" s="170">
        <f ca="1">($AC327*($LR327/Control!$C$141)+$LM327*$LV327)/($AC327+$LM327)</f>
        <v>0.23530094218323697</v>
      </c>
      <c r="LY327" s="170">
        <f ca="1">($AC327*($LS327/Control!$C$141)+$LM327*$LV327)/($AC327+$LM327)</f>
        <v>0.23530094218323697</v>
      </c>
      <c r="LZ327" s="170">
        <f t="shared" ca="1" si="1257"/>
        <v>0.23530094218323697</v>
      </c>
      <c r="MA327" s="170">
        <f t="shared" ca="1" si="1258"/>
        <v>0.23530094218323697</v>
      </c>
      <c r="MB327" s="170" t="e">
        <f t="shared" ca="1" si="1259"/>
        <v>#N/A</v>
      </c>
      <c r="MC327" s="170">
        <f t="shared" ref="MC327:MC370" ca="1" si="1350">$AA327-$Y327</f>
        <v>0.6018</v>
      </c>
      <c r="MD327" s="170">
        <f t="shared" ca="1" si="1260"/>
        <v>0.52989392535414004</v>
      </c>
      <c r="ME327" s="170">
        <f ca="1">($AC327*($LT327/Control!$C$141)+$LM327*$LW327)/($AC327+$LM327)</f>
        <v>0.71612369323045078</v>
      </c>
      <c r="MF327" s="170" t="e">
        <f ca="1">IF(Control!$B$16&gt;=1000,0.92,IF(AND(720&lt;=Control!$B$16,1000&gt;Control!$B$16),(0.95+(Control!$B$16-720)*((0.92-0.95)/(1000-720))),IF(AND(360&lt;=Control!$B$16,720&gt;Control!$B$16),(1+(Control!$B$16-360)*((0.95-1)/(720-360))),IF(AND(40&lt;=Control!$B$16,360&gt;Control!$B$16),(1.05+(Control!$B$16-40)*((1.05-1)/(360-40)))))))</f>
        <v>#N/A</v>
      </c>
      <c r="MG327" s="170">
        <f t="shared" ca="1" si="1261"/>
        <v>0.71612369323045078</v>
      </c>
      <c r="MH327" s="170" t="e">
        <f t="shared" ca="1" si="1262"/>
        <v>#N/A</v>
      </c>
      <c r="MI327" s="170" t="e">
        <f t="shared" ca="1" si="1262"/>
        <v>#N/A</v>
      </c>
      <c r="MJ327" s="170" t="e">
        <f ca="1">MAX(0.0001, Control!$C$132*$MI327*$DL327)</f>
        <v>#N/A</v>
      </c>
      <c r="MK327" s="170">
        <f ca="1">1/(0.76+1.5*($MG327/10))-(5-Control!$C$110)*0.1</f>
        <v>1.002845988140797</v>
      </c>
      <c r="ML327" s="173">
        <f ca="1">IF(Control!$C$110&lt;3,$MK327+($MG327-0.6)/(Control!$C$110*(Control!$C$110+3)), MAX(0.1, MIN(0.95,$MK327)))</f>
        <v>0.95</v>
      </c>
      <c r="MM327" s="173">
        <f ca="1">IF(Control!$C$110&lt;3,$MK327+(($MI327/10)-0.6)/(Control!$C$110*(Control!$C$110+3)), MAX(0.1, MIN(0.95,$MK327)))</f>
        <v>0.95</v>
      </c>
      <c r="MN327" s="173">
        <f ca="1">(1-$MM327)*(Control!$C$128-Control!$C$127)+Control!$C$127</f>
        <v>0.16</v>
      </c>
      <c r="MO327" s="170" t="e">
        <f ca="1">MAX(0,MIN(1,($MS327-Control!$C$127)/($MN327-Control!$C$127)))</f>
        <v>#DIV/0!</v>
      </c>
      <c r="MP327" s="173" t="e">
        <f ca="1">1/(0.76+1.5*$MI327)-(5-Control!$C$110)*0.1</f>
        <v>#N/A</v>
      </c>
      <c r="MQ327" s="172" t="e">
        <f t="shared" ca="1" si="1147"/>
        <v>#DIV/0!</v>
      </c>
      <c r="MR327" s="168" t="e">
        <f t="shared" ref="MR327:MR370" ca="1" si="1351">$MR326+$OI326</f>
        <v>#DIV/0!</v>
      </c>
      <c r="MS327" s="173" t="e">
        <f ca="1">MAX(Control!$C$127, MIN(Control!$C$135, $MR327/MAX(0.0001,$CY327)))</f>
        <v>#DIV/0!</v>
      </c>
      <c r="MT327" s="168" t="e">
        <f ca="1">(Control!$C$128-$MS327)*Control!$C$74</f>
        <v>#DIV/0!</v>
      </c>
      <c r="MU327" s="168" t="e">
        <f ca="1">(Control!$C$135-$MS327)*Control!$C$74</f>
        <v>#DIV/0!</v>
      </c>
      <c r="MV327" s="168" t="e">
        <f t="shared" ref="MV327:MV370" ca="1" si="1352">$MV326+$OA326</f>
        <v>#DIV/0!</v>
      </c>
      <c r="MW327" s="168" t="e">
        <f t="shared" ref="MW327:MW370" ca="1" si="1353">$MW326+$OJ326</f>
        <v>#DIV/0!</v>
      </c>
      <c r="MX327" s="171" t="e">
        <f ca="1">MAX(Control!$C$127, MIN(Control!$C$135, $MW327/MAX(0.0001,Control!$C$119-$CY327)))</f>
        <v>#DIV/0!</v>
      </c>
      <c r="MY327" s="54" t="e">
        <f ca="1">IF(Control!$C$114=1, $CX327*$MX327, 0)</f>
        <v>#DIV/0!</v>
      </c>
      <c r="MZ327" s="54" t="e">
        <f t="shared" ref="MZ327:MZ370" ca="1" si="1354">$MZ326+$MY326</f>
        <v>#N/A</v>
      </c>
      <c r="NA327" s="168" t="e">
        <f ca="1">(Control!$C$128-$MX327)*(Control!$C$119-Control!$C$74)</f>
        <v>#DIV/0!</v>
      </c>
      <c r="NB327" s="168" t="e">
        <f ca="1">(Control!$C$135-$MX327)*(Control!$C$119-Control!$C$74)</f>
        <v>#DIV/0!</v>
      </c>
      <c r="NC327" s="174" t="e">
        <f t="shared" ref="NC327:NC370" ca="1" si="1355">IF($NL326&gt;=5, 1, $NC326+1)</f>
        <v>#DIV/0!</v>
      </c>
      <c r="ND327" s="54">
        <f ca="1">IF(Control!$C$58=2, IF(OR(Control!$B$218=$AH327,Control!$B$219=$AH327, Control!$B$220=$AH327, Control!$B$221=$AH327, Control!$B$222=$AH327, Control!$B$223=$AH327, Control!$B$224=$AH327, Control!$B$225=$AH327, Control!$B$226=$AH327, Control!$B$227=$AH327, Control!$B$228=$AH327), 1, 0), 0)</f>
        <v>0</v>
      </c>
      <c r="NE327" s="54">
        <f ca="1">IF($ND327=0,0, VLOOKUP($AH327,Control!$B$218:$C$228,2))</f>
        <v>0</v>
      </c>
      <c r="NF327" s="168" t="e">
        <f ca="1">$CY327*(Control!$C$128-Control!$C$127)</f>
        <v>#N/A</v>
      </c>
      <c r="NG327" s="54" t="e">
        <f ca="1">IF(Control!$C$58=2, $NI326-$NJ326, 0)</f>
        <v>#DIV/0!</v>
      </c>
      <c r="NH327" s="54" t="e">
        <f ca="1">IF(AND(Control!$C$58=1, $MS326&lt;= ($MN326+0.02), $I326&lt;10), 0, IF(Control!$C$58=2, $NG326, 0))</f>
        <v>#DIV/0!</v>
      </c>
      <c r="NI327" s="54" t="e">
        <f ca="1">IF(Control!$C$58=2, $NE327+$NH327,0)</f>
        <v>#DIV/0!</v>
      </c>
      <c r="NJ327" s="54" t="e">
        <f ca="1">IF(AND(Control!$C$58=1, $MS327&lt;= ($MN327+0.02), $I327&lt;10), MAX(0, MIN(10, 0.7*($NF327-$MV327))), IF(Control!$C$58=2, MIN(10,$NI327),0))</f>
        <v>#DIV/0!</v>
      </c>
      <c r="NK327" s="54" t="e">
        <f t="shared" ca="1" si="1263"/>
        <v>#DIV/0!</v>
      </c>
      <c r="NL327" s="173" t="e">
        <f ca="1">(1-Control!$C$73)*$I327+$NJ327</f>
        <v>#DIV/0!</v>
      </c>
      <c r="NM327" s="172" t="e">
        <f ca="1">IF($NL327&lt;0.5, $MB327* MAX(0, MIN(1, (SQRT($NC327)-SQRT($NC327-1))*Control!$C$71)),0)</f>
        <v>#DIV/0!</v>
      </c>
      <c r="NN327" s="170" t="e">
        <f ca="1">IF($NL327&gt;=5, $MB327, MAX(0,MIN($MB327, $NM327+$NL327,($MS327-Control!$C$129))))</f>
        <v>#DIV/0!</v>
      </c>
      <c r="NO327" s="54">
        <f>IF(Control!$C$133&lt;&gt;1, Control!$C$135-Control!$C$131, 0)</f>
        <v>0.38</v>
      </c>
      <c r="NP327" s="54" t="e">
        <f t="shared" ca="1" si="1264"/>
        <v>#DIV/0!</v>
      </c>
      <c r="NQ327" s="173" t="e">
        <f ca="1">MAX(0,MIN(1,(Control!$C$135-$MS327)/(Control!$C$135-$NO327)))</f>
        <v>#DIV/0!</v>
      </c>
      <c r="NR327" s="170" t="e">
        <f ca="1">IF(Control!$C$133&lt;&gt;1, $NQ327+((1-$NP327/4)*(1-$NQ327)),1)</f>
        <v>#DIV/0!</v>
      </c>
      <c r="NS327" s="170" t="e">
        <f ca="1">IF(Control!$B$31=0,$MJ327,MAX(0,MIN($MV327,$MO327*$NR327*$MJ327)))</f>
        <v>#DIV/0!</v>
      </c>
      <c r="NT327" s="170" t="e">
        <f t="shared" ca="1" si="1148"/>
        <v>#DIV/0!</v>
      </c>
      <c r="NU327" s="170" t="e">
        <f t="shared" ref="NU327:NU370" ca="1" si="1356">$NU326+$NT327</f>
        <v>#N/A</v>
      </c>
      <c r="NV327" s="170" t="e">
        <f t="shared" ca="1" si="1265"/>
        <v>#N/A</v>
      </c>
      <c r="NW327" s="175" t="e">
        <f t="shared" ca="1" si="1266"/>
        <v>#DIV/0!</v>
      </c>
      <c r="NX327" s="170" t="e">
        <f ca="1">MIN(Control!$C$72+$MU327, $NW327)</f>
        <v>#DIV/0!</v>
      </c>
      <c r="NY327" s="170" t="e">
        <f ca="1">IF($MT327&lt;=$NX327,MIN(Control!$C$72+$NB327,$NX327-$MT327),0)</f>
        <v>#DIV/0!</v>
      </c>
      <c r="NZ327" s="54" t="e">
        <f ca="1">IF(Control!$C$114=1,  $CX327*($MX327-Control!$C$127), 0)</f>
        <v>#DIV/0!</v>
      </c>
      <c r="OA327" s="170" t="e">
        <f t="shared" ca="1" si="1267"/>
        <v>#DIV/0!</v>
      </c>
      <c r="OB327" s="170" t="e">
        <f ca="1">IF($NA327 &lt;=$NY327, MIN(Control!$C$72, $NY327-$NA327), 0)</f>
        <v>#DIV/0!</v>
      </c>
      <c r="OC327" s="168" t="e">
        <f t="shared" ca="1" si="1268"/>
        <v>#DIV/0!</v>
      </c>
      <c r="OD327" s="168" t="e">
        <f t="shared" ref="OD327:OD370" ca="1" si="1357">$OD326+$OC326</f>
        <v>#DIV/0!</v>
      </c>
      <c r="OE327" s="170">
        <f ca="1">Control!$C$73*$I327</f>
        <v>0</v>
      </c>
      <c r="OF327" s="176" t="e">
        <f t="shared" ca="1" si="1269"/>
        <v>#DIV/0!</v>
      </c>
      <c r="OG327" s="168" t="e">
        <f t="shared" ca="1" si="1270"/>
        <v>#DIV/0!</v>
      </c>
      <c r="OH327" s="168" t="e">
        <f t="shared" ca="1" si="1271"/>
        <v>#DIV/0!</v>
      </c>
      <c r="OI327" s="168" t="e">
        <f t="shared" ca="1" si="1272"/>
        <v>#DIV/0!</v>
      </c>
      <c r="OJ327" s="168" t="e">
        <f t="shared" ca="1" si="1273"/>
        <v>#DIV/0!</v>
      </c>
      <c r="OK327" s="204" t="e">
        <f t="shared" ca="1" si="1274"/>
        <v>#DIV/0!</v>
      </c>
      <c r="OL327" s="177">
        <f>Control!$C$127</f>
        <v>0.15</v>
      </c>
      <c r="OM327" s="182" t="e">
        <f t="shared" ca="1" si="1275"/>
        <v>#N/A</v>
      </c>
      <c r="ON327" s="177">
        <f>Control!$C$128</f>
        <v>0.35</v>
      </c>
      <c r="OO327" s="182" t="e">
        <f t="shared" ca="1" si="1276"/>
        <v>#N/A</v>
      </c>
      <c r="OP327" s="138">
        <f t="shared" ref="OP327:OP370" ca="1" si="1358">$OP326+$I326</f>
        <v>0</v>
      </c>
      <c r="OQ327" s="138" t="e">
        <f t="shared" ca="1" si="1149"/>
        <v>#DIV/0!</v>
      </c>
      <c r="OR327" s="138" t="e">
        <f t="shared" ref="OR327:OR370" ca="1" si="1359">$OP327+$OQ327</f>
        <v>#DIV/0!</v>
      </c>
      <c r="OS327" s="137" t="e">
        <f t="shared" ca="1" si="1150"/>
        <v>#DIV/0!</v>
      </c>
      <c r="OT327" s="139" t="e">
        <f t="shared" ca="1" si="1151"/>
        <v>#DIV/0!</v>
      </c>
      <c r="OU327" s="138" t="e">
        <f t="shared" ca="1" si="1152"/>
        <v>#N/A</v>
      </c>
      <c r="OV327" s="138" t="e">
        <f t="shared" ca="1" si="1153"/>
        <v>#DIV/0!</v>
      </c>
      <c r="OW327" s="138" t="e">
        <f t="shared" ref="OW327:OW370" ca="1" si="1360">$OW326+$OI327</f>
        <v>#DIV/0!</v>
      </c>
      <c r="OX327" s="138" t="e">
        <f t="shared" ref="OX327:OX370" ca="1" si="1361">$OX326+$OI326</f>
        <v>#DIV/0!</v>
      </c>
      <c r="OY327" s="138" t="e">
        <f t="shared" ref="OY327:OY370" ca="1" si="1362">$OY326+$OJ326</f>
        <v>#DIV/0!</v>
      </c>
      <c r="OZ327" s="138" t="e">
        <f t="shared" ca="1" si="1277"/>
        <v>#DIV/0!</v>
      </c>
      <c r="PA327" s="138" t="e">
        <f t="shared" ca="1" si="1278"/>
        <v>#DIV/0!</v>
      </c>
      <c r="PB327" s="55">
        <f>IF(Control!$C$61="T", IF(Control!$C$65="F", IF($AH$6-Control!$C$60&lt;0,0,1), IF(365+$AH$6-Control!$C$60&lt;0,0,1)),0)</f>
        <v>0</v>
      </c>
      <c r="PC327" s="55">
        <f ca="1">IF(Control!$C$65="F", IF($AH$6-$HF327&lt;0,0,1), IF(365+$AH$6-$HF327&lt;0,0,1))</f>
        <v>1</v>
      </c>
      <c r="PD327" s="444">
        <f>Control!$C$118</f>
        <v>1500</v>
      </c>
      <c r="PE327" s="180" t="e">
        <f t="shared" ca="1" si="1279"/>
        <v>#N/A</v>
      </c>
      <c r="PF327" s="445">
        <f t="shared" ref="PF327:PF370" ca="1" si="1363">$ME327</f>
        <v>0.71612369323045078</v>
      </c>
      <c r="PT327" s="186"/>
      <c r="PU327" s="186"/>
      <c r="PV327" s="94"/>
      <c r="PW327" s="94"/>
      <c r="PX327" s="94"/>
      <c r="PY327" s="94"/>
      <c r="PZ327" s="94"/>
      <c r="QA327" s="94"/>
      <c r="QB327" s="94"/>
      <c r="QC327" s="94"/>
      <c r="QD327" s="94"/>
      <c r="QE327" s="94"/>
      <c r="QF327" s="94"/>
      <c r="QG327" s="94"/>
      <c r="QH327" s="94"/>
      <c r="QI327" s="94"/>
      <c r="QJ327" s="94"/>
      <c r="QK327" s="94"/>
      <c r="QL327" s="94"/>
      <c r="QM327" s="94"/>
      <c r="QN327" s="94"/>
      <c r="QO327" s="94"/>
      <c r="QP327" s="94"/>
    </row>
    <row r="328" spans="1:458" s="2" customFormat="1" x14ac:dyDescent="0.2">
      <c r="A328" s="395">
        <v>19</v>
      </c>
      <c r="B328" s="396">
        <v>11</v>
      </c>
      <c r="C328" s="387">
        <f ca="1">Weather_data!$B327</f>
        <v>0</v>
      </c>
      <c r="D328" s="388">
        <f ca="1">Weather_data!$F327</f>
        <v>0</v>
      </c>
      <c r="E328" s="388">
        <f ca="1">Weather_data!$E327</f>
        <v>0</v>
      </c>
      <c r="F328" s="388">
        <f t="shared" ca="1" si="1280"/>
        <v>0</v>
      </c>
      <c r="G328" s="388">
        <f ca="1">AVERAGE($D328:$E328)+Control!$B$9</f>
        <v>0</v>
      </c>
      <c r="H328" s="388">
        <f ca="1">Weather_data!$G327</f>
        <v>0</v>
      </c>
      <c r="I328" s="388">
        <f ca="1">Weather_data!$I327</f>
        <v>0</v>
      </c>
      <c r="J328" s="388">
        <f ca="1">Weather_data!$H327</f>
        <v>0</v>
      </c>
      <c r="K328" s="389">
        <f ca="1">Weather_data!$D327</f>
        <v>0</v>
      </c>
      <c r="L328" s="388" t="e">
        <f t="shared" ca="1" si="1281"/>
        <v>#N/A</v>
      </c>
      <c r="M328" s="388" t="e">
        <f t="shared" ca="1" si="1158"/>
        <v>#N/A</v>
      </c>
      <c r="N328" s="388">
        <f t="shared" ca="1" si="1159"/>
        <v>-9.2269473779074548E-16</v>
      </c>
      <c r="O328" s="388">
        <f t="shared" ca="1" si="1282"/>
        <v>9.2269473779074544E-15</v>
      </c>
      <c r="P328" s="390">
        <v>3</v>
      </c>
      <c r="Q328" s="388">
        <f ca="1">MAX($G328-Control!$C$107,0)</f>
        <v>0</v>
      </c>
      <c r="R328" s="388">
        <f t="shared" ca="1" si="1283"/>
        <v>0</v>
      </c>
      <c r="S328" s="388">
        <f t="shared" ca="1" si="1160"/>
        <v>0</v>
      </c>
      <c r="T328" s="388">
        <f t="shared" ca="1" si="1161"/>
        <v>0</v>
      </c>
      <c r="U328" s="59">
        <f t="shared" ca="1" si="1162"/>
        <v>0</v>
      </c>
      <c r="V328" s="391">
        <f ca="1">MAX(0,MIN(Control!$C$100-Control!$C$99,$G328-Control!$C$99)*Control!$C$63)</f>
        <v>0</v>
      </c>
      <c r="W328" s="388">
        <f t="shared" ca="1" si="1284"/>
        <v>0</v>
      </c>
      <c r="X328" s="388">
        <f t="shared" ca="1" si="1285"/>
        <v>0.6110000000000001</v>
      </c>
      <c r="Y328" s="388">
        <f t="shared" ca="1" si="1163"/>
        <v>0</v>
      </c>
      <c r="Z328" s="388">
        <f t="shared" ca="1" si="1286"/>
        <v>0.61058800000000002</v>
      </c>
      <c r="AA328" s="388">
        <f t="shared" ca="1" si="1164"/>
        <v>0.6018</v>
      </c>
      <c r="AB328" s="388">
        <f ca="1">101.3*EXP(-0.034*Control!$C$66/($G328+273))</f>
        <v>100.69623283836242</v>
      </c>
      <c r="AC328" s="392">
        <f t="shared" ca="1" si="1165"/>
        <v>4.3460251046025113E-2</v>
      </c>
      <c r="AD328" s="392">
        <f t="shared" ca="1" si="1166"/>
        <v>4.4450382862832649E-2</v>
      </c>
      <c r="AE328" s="388">
        <f t="shared" ca="1" si="1167"/>
        <v>0</v>
      </c>
      <c r="AF328" s="388">
        <f ca="1">MAX(0,$G328-Control!$C$92)</f>
        <v>0</v>
      </c>
      <c r="AG328" s="393">
        <f t="shared" ca="1" si="1168"/>
        <v>324</v>
      </c>
      <c r="AH328" s="389">
        <f t="shared" ca="1" si="1169"/>
        <v>324</v>
      </c>
      <c r="AI328" s="388">
        <f t="shared" ca="1" si="1287"/>
        <v>-0.34970612595544537</v>
      </c>
      <c r="AJ328" s="388">
        <f ca="1">IF(Control!$C$60&lt;=0,$HH328,$HI328)</f>
        <v>1</v>
      </c>
      <c r="AK328" s="388">
        <f t="shared" ca="1" si="1170"/>
        <v>4.2002663423337507</v>
      </c>
      <c r="AL328" s="388">
        <f t="shared" ca="1" si="1171"/>
        <v>-1.3344818305949246E-17</v>
      </c>
      <c r="AM328" s="388">
        <f t="shared" ca="1" si="1172"/>
        <v>4.2002663423337507</v>
      </c>
      <c r="AN328" s="388">
        <f t="shared" ca="1" si="1173"/>
        <v>-0.35411965002201828</v>
      </c>
      <c r="AO328" s="388">
        <f ca="1">-0.10453/COS(Control!$B$8*PI()/180)*COS(AN328)</f>
        <v>-0.15925007447010622</v>
      </c>
      <c r="AP328" s="388">
        <f ca="1">ACOS(AO328-TAN(Control!$B$8*PI()/180)*TAN(AN328))</f>
        <v>1.2514461792745584</v>
      </c>
      <c r="AQ328" s="388">
        <f t="shared" ca="1" si="1288"/>
        <v>0</v>
      </c>
      <c r="AR328" s="394">
        <f t="shared" ca="1" si="1174"/>
        <v>0</v>
      </c>
      <c r="AS328" s="436">
        <f ca="1">IF(Control!$B$18=2,(IF(OR($AH328=Control!$B$175,$AH328=Control!$B$176,$AH328=Control!$B$177,$AH328=Control!$B$178,$AH328=Control!$B$179,$AH328=Control!$B$180,$AH328=Control!$B$181,$AH328=Control!$B$182,$AH328=Control!$B$183,$AH328=Control!$B$184,$AH328=Control!$B$185),1,0)),0)</f>
        <v>0</v>
      </c>
      <c r="AT328" s="436">
        <f>IF(Control!$B$20=8,IF(AND($AH328&gt;=Control!$B$172,$AH328&lt;=Control!$B$173),1,0),0)</f>
        <v>0</v>
      </c>
      <c r="AU328" s="436">
        <f>IF(Control!$B$20=8,IF($AV327=1,1*$AT328,IF($AT328=1,$AU327+1,$AU327)),0)</f>
        <v>0</v>
      </c>
      <c r="AV328" s="436">
        <f>IF(Control!$B$20=8,IF($AU328&gt;=Control!$B$174,1,0),0)</f>
        <v>0</v>
      </c>
      <c r="AW328" s="436">
        <f ca="1">IF(AND(Control!$B$18=2,Control!$B$171=1), $AV328, $AS328)</f>
        <v>0</v>
      </c>
      <c r="AX328" s="436" t="e">
        <f ca="1">IF(AND(Control!$B$18=1,$EU328&gt;=Control!$B$19),-$AY328,IF(AND(Control!$B$18=2,$AW328=1,$EU328&gt;$DS328),-$AY328, IF(Control!$C$108=0,0, IF(Control!$C$108&lt;&gt;0,1))))</f>
        <v>#N/A</v>
      </c>
      <c r="AY328" s="436" t="e">
        <f t="shared" ca="1" si="1289"/>
        <v>#N/A</v>
      </c>
      <c r="AZ328" s="436" t="e">
        <f ca="1">IF(AND(Control!$B$18=1,$EB328&gt;Control!$B$19),$AZ327+1, IF(AND(Control!$B$18=2, $AW328=1, $EB328&gt;$DS328), $AZ327+1,$AZ327))</f>
        <v>#N/A</v>
      </c>
      <c r="BA328" s="587">
        <f>IF(Control!$C$81=0,1,IF($AH328&gt;=Control!$C$82,1,0))</f>
        <v>1</v>
      </c>
      <c r="BB328" s="140" t="e">
        <f ca="1">IF($BA328&gt;$BA327,Control!$C$83,IF($AW328&gt;0,$AW328*Control!$C$84,IF(AND(Control!$B$18=1,EN327&lt;&gt;0),Control!$C$84,0)))</f>
        <v>#N/A</v>
      </c>
      <c r="BC328" s="140" t="e">
        <f t="shared" ca="1" si="1290"/>
        <v>#N/A</v>
      </c>
      <c r="BD328" s="140" t="e">
        <f ca="1">BC328*IF(OR($G328&lt;Control!$C$92,$G328&gt;Control!$C$95),0,IF(AND($G328&gt;=Control!$C$92,$G328&lt;=Control!$C$93),$G328-Control!$C$92,IF(AND($G328&gt;Control!$C$93,$G328&lt;=Control!$C$94),Control!$C$93-Control!$C$92,IF(AND($G328&gt;Control!$C$94,$G328&lt;=Control!$C$95),(Control!$C$93-Control!$C$92)*(Control!$C$94-$G328)/(Control!$C$95-Control!$C$94)))))</f>
        <v>#N/A</v>
      </c>
      <c r="BE328" s="140" t="e">
        <f t="shared" ca="1" si="1291"/>
        <v>#N/A</v>
      </c>
      <c r="BF328" s="140" t="e">
        <f ca="1">IF($BE328&lt;=Control!$C$86,$BE328,Control!$C$86-$BE328)</f>
        <v>#N/A</v>
      </c>
      <c r="BG328" s="140" t="e">
        <f ca="1">IF(AND($AW328=1,Control!$C$84&lt;9),1,IF($BE328&gt;=Control!$C$86,0,$BC328))</f>
        <v>#N/A</v>
      </c>
      <c r="BH328" s="404" t="e">
        <f ca="1">IF($BG328=0,0,IF($BE328&lt;=Control!$C$86,$BC328*9*($BF328/Control!$C$86),0))</f>
        <v>#N/A</v>
      </c>
      <c r="BI328" s="140" t="e">
        <f ca="1">IF($BG328=1,0,IF($BE328&gt;=Control!$C$86,1,IF(AND($BB328&lt;21,$BB328&gt;=9),1,$BM327)))</f>
        <v>#N/A</v>
      </c>
      <c r="BJ328" s="140" t="e">
        <f ca="1">IF($BF328&lt;0,-$BF328,$BI328*IF(OR($G328&lt;Control!$C$92,$G328&gt;Control!$C$95),0,IF(AND($G328&gt;=Control!$C$92,$G328&lt;=Control!$C$93),$G328-Control!$C$92,IF(AND($G328&gt;Control!$C$93,$G328&lt;=Control!$C$94),Control!$C$93-Control!$C$92,IF(AND($G328&gt;Control!$C$94,$G328&lt;=Control!$C$95),(Control!$C$93-Control!$C$92)*(Control!$C$94-$G328)/(Control!$C$95-Control!$C$94))))))</f>
        <v>#N/A</v>
      </c>
      <c r="BK328" s="140" t="e">
        <f t="shared" ca="1" si="1292"/>
        <v>#N/A</v>
      </c>
      <c r="BL328" s="140" t="e">
        <f ca="1">IF($BK328&lt;=Control!$C$87,$BK328,Control!$C$87-$BK328)</f>
        <v>#N/A</v>
      </c>
      <c r="BM328" s="140" t="e">
        <f ca="1">IF(AND($BB328&gt;=9,$BB328&lt;21),1,IF($BK328&gt;=Control!$C$87,0,$BI328))</f>
        <v>#N/A</v>
      </c>
      <c r="BN328" s="404" t="e">
        <f ca="1">IF($BM328=0,0,IF($BK328&lt;=Control!$C$87,$BI328*(9+(21-9)*($BL328/Control!$C$87)),0))</f>
        <v>#N/A</v>
      </c>
      <c r="BO328" s="140" t="e">
        <f ca="1">IF($BM328=1,0,IF($BK328&gt;=Control!$C$87,1,IF(AND($BB328&lt;30,$BB328&gt;=21),1,$BS327)))</f>
        <v>#N/A</v>
      </c>
      <c r="BP328" s="140" t="e">
        <f ca="1">IF($BL328&lt;0,-$BL328,$BO328*IF(OR($G328&lt;Control!$C$92,$G328&gt;Control!$C$95),0,IF(AND($G328&gt;=Control!$C$92,$G328&lt;=Control!$C$93),$G328-Control!$C$92,IF(AND($G328&gt;Control!$C$93,$G328&lt;=Control!$C$94),Control!$C$93-Control!$C$92,IF(AND($G328&gt;Control!$C$94,$G328&lt;=Control!$C$95),(Control!$C$93-Control!$C$92)*(Control!$C$94-$G328)/(Control!$C$95-Control!$C$94))))))</f>
        <v>#N/A</v>
      </c>
      <c r="BQ328" s="140" t="e">
        <f t="shared" ca="1" si="1175"/>
        <v>#N/A</v>
      </c>
      <c r="BR328" s="140" t="e">
        <f ca="1">IF($BQ328&lt;=Control!$C$88,$BQ328,Control!$C$88-$BQ328)</f>
        <v>#N/A</v>
      </c>
      <c r="BS328" s="140" t="e">
        <f ca="1">IF(AND($BB328&gt;=21,$BB328&lt;30),1,IF($BQ328&gt;=Control!$C$88,0,$BO328))</f>
        <v>#N/A</v>
      </c>
      <c r="BT328" s="404" t="e">
        <f ca="1">IF($BS328=0,0,IF($BQ328&lt;=Control!$C$88,$BO328*(21+(30-21)*(BR328/Control!$C$88)),0))</f>
        <v>#N/A</v>
      </c>
      <c r="BU328" s="140" t="e">
        <f ca="1">IF(BG328+BM328+BS328=1,0,IF(OR(AND($BB328&lt;60,$BB328&gt;=30),$BQ328&gt;=Control!$C$88),1*$BA328,$BY327))</f>
        <v>#N/A</v>
      </c>
      <c r="BV328" s="140" t="e">
        <f ca="1">IF($BR328&lt;0,-$BR328,$BU328*IF(OR($G328&lt;Control!$C$92,$G328&gt;Control!$C$95),0,IF(AND($G328&gt;=Control!$C$92,$G328&lt;=Control!$C$93),$G328-Control!$C$92,IF(AND($G328&gt;Control!$C$93,$G328&lt;=Control!$C$94),Control!$C$93-Control!$C$92,IF(AND($G328&gt;Control!$C$94,$G328&lt;=Control!$C$95),(Control!$C$93-Control!$C$92)*(Control!$C$94-$G328)/(Control!$C$95-Control!$C$94))))))</f>
        <v>#N/A</v>
      </c>
      <c r="BW328" s="140" t="e">
        <f t="shared" ca="1" si="1176"/>
        <v>#N/A</v>
      </c>
      <c r="BX328" s="140" t="e">
        <f ca="1">IF($BW328&lt;=Control!$C$89,$BW328,Control!$C$89-$BW328)</f>
        <v>#N/A</v>
      </c>
      <c r="BY328" s="140" t="e">
        <f ca="1">IF(AND($AJ328&gt;=30,$AJ328&lt;60),1,IF($BW328&gt;=Control!$C$89,0,$BU328))</f>
        <v>#N/A</v>
      </c>
      <c r="BZ328" s="404" t="e">
        <f ca="1">IF($BY328=0,0,IF($BW328&lt;=Control!$C$89,$BU328*(30+(60-30)*(BX328/Control!$C$89)),0))</f>
        <v>#N/A</v>
      </c>
      <c r="CA328" s="140" t="e">
        <f ca="1">IF($BG328+$BM328+$BS328+$BY328=1,0,IF(OR(AND($BB328&lt;65,$BB328&gt;=60),$BW328&gt;=Control!$C$89),1*$BA328,$CE327))</f>
        <v>#N/A</v>
      </c>
      <c r="CB328" s="140" t="e">
        <f ca="1">IF($BX328&lt;0,-$BX328,$CA328*IF(OR($G328&lt;Control!$C$92,$G328&gt;Control!$C$95),0,IF(AND($G328&gt;=Control!$C$92,$G328&lt;=Control!$C$93),$G328-Control!$C$92,IF(AND($G328&gt;Control!$C$93,$G328&lt;=Control!$C$94),Control!$C$93-Control!$C$92,IF(AND($G328&gt;Control!$C$94,$G328&lt;=Control!$C$95),(Control!$C$93-Control!$C$92)*(Control!$C$94-$G328)/(Control!$C$95-Control!$C$94))))))</f>
        <v>#N/A</v>
      </c>
      <c r="CC328" s="140" t="e">
        <f t="shared" ca="1" si="1293"/>
        <v>#N/A</v>
      </c>
      <c r="CD328" s="140" t="e">
        <f ca="1">IF($CC328&lt;=Control!$C$90,$CC328,Control!$C$90-$CC328)</f>
        <v>#N/A</v>
      </c>
      <c r="CE328" s="140" t="e">
        <f ca="1">IF(AND($BB328&gt;=60,$BB328&lt;65),1,IF($CC328&gt;=Control!$C$90,0,$CA328))</f>
        <v>#N/A</v>
      </c>
      <c r="CF328" s="404" t="e">
        <f ca="1">IF($CE328=0,0,IF($CC328&lt;=Control!$C$90,$CA328*(60+(65-60)*(CD328/Control!$C$90)),0))</f>
        <v>#N/A</v>
      </c>
      <c r="CG328" s="140" t="e">
        <f ca="1">IF($BG328+$BM328+$BS328+$BY328+$CE328=1,0,IF(OR(AND($BB328&lt;90,$BB328&gt;=65),$CC328&gt;=Control!$C$90),$BA328,$CK327))</f>
        <v>#N/A</v>
      </c>
      <c r="CH328" s="140" t="e">
        <f ca="1">IF($CD328&lt;0,-$CD328,$CG328*IF(OR($G328&lt;Control!$C$92,$G328&gt;Control!$C$95),0,IF(AND($G328&gt;=Control!$C$92,$G328&lt;=Control!$C$93),$G328-Control!$C$92,IF(AND($G328&gt;Control!$C$93,$G328&lt;=Control!$C$94),Control!$C$93-Control!$C$92,IF(AND($G328&gt;Control!$C$94,$G328&lt;=Control!$C$95),(Control!$C$93-Control!$C$92)*(Control!$C$94-$G328)/(Control!$C$95-Control!$C$94))))))</f>
        <v>#N/A</v>
      </c>
      <c r="CI328" s="140" t="e">
        <f t="shared" ca="1" si="1294"/>
        <v>#N/A</v>
      </c>
      <c r="CJ328" s="140" t="e">
        <f ca="1">IF($CI328&lt;=Control!$C$91,$CI328,Control!$C$91-$CI328)</f>
        <v>#N/A</v>
      </c>
      <c r="CK328" s="140" t="e">
        <f ca="1">IF(AND($BB328&gt;=65,$BB328&lt;90),1,IF($CI328&gt;=Control!$C$91,0,$CG328))</f>
        <v>#N/A</v>
      </c>
      <c r="CL328" s="404" t="e">
        <f ca="1">IF($CK328=0,0,IF($CI328&lt;=Control!$C$91,$CG328*(65+(90-65)*($CJ328/Control!$C$91)),0))</f>
        <v>#N/A</v>
      </c>
      <c r="CM328" s="140" t="e">
        <f ca="1">IF($BG328+$BM328+$BS328+$BY328+$CE328+$CK328=1,0,IF(OR($BB328&gt;=90,$CI328&gt;=Control!$C$91),$BA328,$CM327))</f>
        <v>#N/A</v>
      </c>
      <c r="CN328" s="140" t="e">
        <f t="shared" ca="1" si="1295"/>
        <v>#N/A</v>
      </c>
      <c r="CO328" s="140" t="e">
        <f t="shared" ca="1" si="1296"/>
        <v>#N/A</v>
      </c>
      <c r="CP328" s="140" t="e">
        <f t="shared" ca="1" si="1297"/>
        <v>#N/A</v>
      </c>
      <c r="CQ328" s="141" t="e">
        <f ca="1">VLOOKUP($CP328,Control!$B$86:$G$91,6)</f>
        <v>#N/A</v>
      </c>
      <c r="CR328" s="141" t="e">
        <f ca="1">(1-$CQ328)*VLOOKUP($CP328,Control!$B$86:$D$91,3)</f>
        <v>#N/A</v>
      </c>
      <c r="CS328" s="141" t="e">
        <f ca="1">(1-$CQ328)*VLOOKUP($CP328,Control!$B$86:$E$91,4)</f>
        <v>#N/A</v>
      </c>
      <c r="CT328" s="141" t="e">
        <f ca="1">(1-$CQ328)*VLOOKUP($CP328,Control!$B$86:$F$91,5)</f>
        <v>#N/A</v>
      </c>
      <c r="CU328" s="141">
        <f t="shared" ca="1" si="1298"/>
        <v>0</v>
      </c>
      <c r="CV328" s="583">
        <f t="shared" ca="1" si="1299"/>
        <v>0</v>
      </c>
      <c r="CW328" s="142">
        <f t="shared" ca="1" si="1300"/>
        <v>324</v>
      </c>
      <c r="CX328" s="612" t="e">
        <f ca="1">IF(Control!$C$114=1,(MIN(Control!$C$120*(IF($NT328-0.01&lt;0,0,1)),Control!$C$119-$CY328)))</f>
        <v>#DIV/0!</v>
      </c>
      <c r="CY328" s="143" t="e">
        <f t="shared" ca="1" si="1301"/>
        <v>#N/A</v>
      </c>
      <c r="CZ328" s="144">
        <f t="shared" ca="1" si="1177"/>
        <v>0</v>
      </c>
      <c r="DA328" s="144">
        <f t="shared" ca="1" si="1178"/>
        <v>0</v>
      </c>
      <c r="DB328" s="144" t="e">
        <f t="shared" ca="1" si="1179"/>
        <v>#N/A</v>
      </c>
      <c r="DC328" s="144" t="e">
        <f t="shared" ca="1" si="1180"/>
        <v>#N/A</v>
      </c>
      <c r="DD328" s="144" t="e">
        <f t="shared" ca="1" si="1154"/>
        <v>#N/A</v>
      </c>
      <c r="DE328" s="143" t="e">
        <f t="shared" ca="1" si="1302"/>
        <v>#N/A</v>
      </c>
      <c r="DF328" s="145" t="e">
        <f ca="1">$DR328*EXP(-Control!$C$158*(1-$KH328))</f>
        <v>#N/A</v>
      </c>
      <c r="DG328" s="146" t="e">
        <f ca="1">IF(Control!$C$114=1, $DF328*$EY328, 0)</f>
        <v>#N/A</v>
      </c>
      <c r="DH328" s="147" t="e">
        <f t="shared" ca="1" si="1303"/>
        <v>#N/A</v>
      </c>
      <c r="DI328" s="144" t="e">
        <f t="shared" ref="DI328:DI370" ca="1" si="1364">IF($DI327+$DH327&lt;0,0,$DI327+$DH327)</f>
        <v>#N/A</v>
      </c>
      <c r="DJ328" s="147" t="e">
        <f ca="1">$EF328*Control!$C$109</f>
        <v>#N/A</v>
      </c>
      <c r="DK328" s="144" t="e">
        <f t="shared" ca="1" si="1304"/>
        <v>#N/A</v>
      </c>
      <c r="DL328" s="144" t="e">
        <f t="shared" ca="1" si="1181"/>
        <v>#N/A</v>
      </c>
      <c r="DM328" s="144" t="e">
        <f ca="1">IF(Control!$C$114=1, (1-EXP(-Control!$C$96*$DK328))*$AR328, 0)</f>
        <v>#N/A</v>
      </c>
      <c r="DN328" s="144">
        <f t="shared" ca="1" si="1305"/>
        <v>0</v>
      </c>
      <c r="DO328" s="148">
        <f>Control!$C$97</f>
        <v>4</v>
      </c>
      <c r="DP328" s="145" t="e">
        <f t="shared" ca="1" si="1306"/>
        <v>#N/A</v>
      </c>
      <c r="DQ328" s="145" t="e">
        <f ca="1">IF(AND($CP328&gt;=0,$CP328&lt;=90),Control!$C$111,Control!$C$111)</f>
        <v>#N/A</v>
      </c>
      <c r="DR328" s="145" t="e">
        <f t="shared" ca="1" si="1182"/>
        <v>#N/A</v>
      </c>
      <c r="DS328" s="143" t="e">
        <f ca="1">Control!$B$22/$DR328</f>
        <v>#N/A</v>
      </c>
      <c r="DT328" s="149" t="e">
        <f ca="1">IF(AND(Control!$C$114=1,$KH328&lt;1),$IM328*$DF328, 0)</f>
        <v>#N/A</v>
      </c>
      <c r="DU328" s="144" t="e">
        <f t="shared" ca="1" si="1307"/>
        <v>#N/A</v>
      </c>
      <c r="DV328" s="144">
        <f ca="1">IF($G328-Control!$C$107&lt;=0, 0, 0.83*LN(MAX($G328, 3))-0.8924)</f>
        <v>0</v>
      </c>
      <c r="DW328" s="144" t="e">
        <f t="shared" ca="1" si="1183"/>
        <v>#N/A</v>
      </c>
      <c r="DX328" s="150" t="e">
        <f ca="1">MAX(0.01*(1+$CU328/Control!$C$102),0.05*($DK328-Control!$C$97)/Control!$C$97)</f>
        <v>#N/A</v>
      </c>
      <c r="DY328" s="151" t="e">
        <f ca="1">IF(Control!$C$114=1, $DI328*$FS328, 0)</f>
        <v>#N/A</v>
      </c>
      <c r="DZ328" s="196" t="e">
        <f t="shared" ca="1" si="1308"/>
        <v>#N/A</v>
      </c>
      <c r="EA328" s="152">
        <f t="shared" ca="1" si="1309"/>
        <v>324</v>
      </c>
      <c r="EB328" s="153" t="e">
        <f t="shared" ca="1" si="1310"/>
        <v>#N/A</v>
      </c>
      <c r="EC328" s="153" t="e">
        <f t="shared" ca="1" si="1311"/>
        <v>#N/A</v>
      </c>
      <c r="ED328" s="154" t="e">
        <f ca="1">IF(Control!$C$114=1, $HM328*$FY328-$FD328, 0)</f>
        <v>#DIV/0!</v>
      </c>
      <c r="EE328" s="155" t="e">
        <f ca="1">IF(Control!$C$114=1, $HM328*$FZ328-$FF328, 0)</f>
        <v>#DIV/0!</v>
      </c>
      <c r="EF328" s="153" t="e">
        <f t="shared" ref="EF328:EF370" ca="1" si="1365">$EF327+$EE327-$EO327</f>
        <v>#N/A</v>
      </c>
      <c r="EG328" s="155" t="e">
        <f ca="1">IF(Control!$C$114=1, $GX328*$FW328-$FI328, 0)</f>
        <v>#DIV/0!</v>
      </c>
      <c r="EH328" s="153" t="e">
        <f t="shared" ca="1" si="1312"/>
        <v>#N/A</v>
      </c>
      <c r="EI328" s="156" t="e">
        <f t="shared" ca="1" si="1313"/>
        <v>#N/A</v>
      </c>
      <c r="EJ328" s="155" t="e">
        <f ca="1">IF(Control!$C$114=1, $HM328*$GB328, 0)</f>
        <v>#DIV/0!</v>
      </c>
      <c r="EK328" s="153" t="e">
        <f t="shared" ref="EK328:EK370" ca="1" si="1366">$EK327+$EJ327-$EP327</f>
        <v>#N/A</v>
      </c>
      <c r="EL328" s="153" t="e">
        <f t="shared" ca="1" si="1184"/>
        <v>#N/A</v>
      </c>
      <c r="EM328" s="153" t="e">
        <f t="shared" ca="1" si="1185"/>
        <v>#N/A</v>
      </c>
      <c r="EN328" s="153" t="e">
        <f ca="1">IF(Control!$C$108=1,IF(AND(Control!$B$18=1,$EB328&gt;=Control!$B$19),$EB328-$DS328,IF(AND(Control!$B$18=2,$AW328=1,$EB328&gt;$DS328),$EB328-$DS328,0)))</f>
        <v>#N/A</v>
      </c>
      <c r="EO328" s="153" t="e">
        <f ca="1">IF(Control!$C$108=1,IF(AND(Control!$B$18=1,$EB328&gt;=Control!$B$19),$EF328,IF(AND(Control!$B$18=2,$AW328=1),$EF328,0)))</f>
        <v>#N/A</v>
      </c>
      <c r="EP328" s="153" t="e">
        <f ca="1">IF(Control!$C$108=1,IF(AND(Control!$B$18=1,$EB328&gt;=Control!$B$19),$EK328,IF(AND(Control!$B$18=2,$AW328=1),$EK328,0)))</f>
        <v>#N/A</v>
      </c>
      <c r="EQ328" s="153" t="e">
        <f t="shared" ca="1" si="1314"/>
        <v>#N/A</v>
      </c>
      <c r="ER328" s="153" t="e">
        <f t="shared" ca="1" si="1315"/>
        <v>#N/A</v>
      </c>
      <c r="ES328" s="153" t="e">
        <f t="shared" ref="ES328:ES370" ca="1" si="1367">$ES327+$EO327</f>
        <v>#N/A</v>
      </c>
      <c r="ET328" s="153" t="e">
        <f t="shared" ref="ET328:ET370" ca="1" si="1368">$ET327+$EP327</f>
        <v>#N/A</v>
      </c>
      <c r="EU328" s="153" t="e">
        <f t="shared" ca="1" si="1316"/>
        <v>#N/A</v>
      </c>
      <c r="EV328" s="153" t="e">
        <f t="shared" ca="1" si="1186"/>
        <v>#N/A</v>
      </c>
      <c r="EW328" s="153" t="e">
        <f t="shared" ca="1" si="1187"/>
        <v>#N/A</v>
      </c>
      <c r="EX328" s="153" t="e">
        <f t="shared" ca="1" si="1188"/>
        <v>#N/A</v>
      </c>
      <c r="EY328" s="157" t="e">
        <f t="shared" ca="1" si="1189"/>
        <v>#DIV/0!</v>
      </c>
      <c r="EZ328" s="154" t="e">
        <f t="shared" ca="1" si="1190"/>
        <v>#DIV/0!</v>
      </c>
      <c r="FA328" s="153" t="e">
        <f t="shared" ca="1" si="1317"/>
        <v>#N/A</v>
      </c>
      <c r="FB328" s="153" t="e">
        <f t="shared" ca="1" si="1191"/>
        <v>#N/A</v>
      </c>
      <c r="FC328" s="193" t="e">
        <f t="shared" ca="1" si="1192"/>
        <v>#N/A</v>
      </c>
      <c r="FD328" s="158" t="e">
        <f t="shared" ca="1" si="1318"/>
        <v>#N/A</v>
      </c>
      <c r="FE328" s="158" t="e">
        <f t="shared" ca="1" si="1319"/>
        <v>#N/A</v>
      </c>
      <c r="FF328" s="159" t="e">
        <f t="shared" ca="1" si="1193"/>
        <v>#N/A</v>
      </c>
      <c r="FG328" s="160" t="e">
        <f t="shared" ca="1" si="1320"/>
        <v>#N/A</v>
      </c>
      <c r="FH328" s="158" t="e">
        <f t="shared" ca="1" si="1321"/>
        <v>#N/A</v>
      </c>
      <c r="FI328" s="159" t="e">
        <f t="shared" ca="1" si="1194"/>
        <v>#N/A</v>
      </c>
      <c r="FJ328" s="160" t="e">
        <f t="shared" ca="1" si="1322"/>
        <v>#N/A</v>
      </c>
      <c r="FK328" s="160" t="e">
        <f t="shared" ca="1" si="1195"/>
        <v>#N/A</v>
      </c>
      <c r="FL328" s="160" t="e">
        <f t="shared" ref="FL328:FL370" ca="1" si="1369">$FL327+$FD327</f>
        <v>#N/A</v>
      </c>
      <c r="FM328" s="160" t="e">
        <f t="shared" ca="1" si="1196"/>
        <v>#N/A</v>
      </c>
      <c r="FN328" s="158">
        <f t="shared" ca="1" si="1323"/>
        <v>0.01</v>
      </c>
      <c r="FO328" s="160">
        <f>Control!$C$101</f>
        <v>50</v>
      </c>
      <c r="FP328" s="150" t="e">
        <f t="shared" ca="1" si="1197"/>
        <v>#N/A</v>
      </c>
      <c r="FQ328" s="150" t="e">
        <f ca="1">MAX(0,(Control!$C$112*(($DK328-Control!$C$97)/Control!$C$97)))</f>
        <v>#N/A</v>
      </c>
      <c r="FR328" s="150" t="e">
        <f ca="1">(1-$NT328)*Control!$C$113</f>
        <v>#DIV/0!</v>
      </c>
      <c r="FS328" s="198" t="e">
        <f t="shared" ca="1" si="1198"/>
        <v>#N/A</v>
      </c>
      <c r="FT328" s="161">
        <f t="shared" ca="1" si="1324"/>
        <v>324</v>
      </c>
      <c r="FU328" s="162" t="e">
        <f ca="1">IF(Control!$B$34=1,VLOOKUP($CP328,Control!$B$86:$G$91,6),Control!$B$35)</f>
        <v>#N/A</v>
      </c>
      <c r="FV328" s="162" t="e">
        <f t="shared" ca="1" si="1199"/>
        <v>#DIV/0!</v>
      </c>
      <c r="FW328" s="162" t="e">
        <f ca="1">IF(Control!$B$31=1,$FU328*$FV328,  $FU328)</f>
        <v>#N/A</v>
      </c>
      <c r="FX328" s="162" t="e">
        <f ca="1">IF(Control!$B$34=1,VLOOKUP($CP328,Control!$B$86:$G$91,3),Control!$B$36)</f>
        <v>#N/A</v>
      </c>
      <c r="FY328" s="162" t="e">
        <f t="shared" ca="1" si="1200"/>
        <v>#N/A</v>
      </c>
      <c r="FZ328" s="162" t="e">
        <f ca="1">IF(Control!$B$34=1,VLOOKUP($CP328,Control!$B$86:$G$91,4),Control!$B$37)</f>
        <v>#N/A</v>
      </c>
      <c r="GA328" s="162" t="e">
        <f t="shared" ca="1" si="1201"/>
        <v>#N/A</v>
      </c>
      <c r="GB328" s="162" t="e">
        <f ca="1">IF(Control!$B$34=1,VLOOKUP($CP328,Control!$B$86:$G$91,5),Control!$B$38)</f>
        <v>#N/A</v>
      </c>
      <c r="GC328" s="162" t="e">
        <f t="shared" ca="1" si="1325"/>
        <v>#N/A</v>
      </c>
      <c r="GD328" s="162">
        <f t="shared" ca="1" si="1202"/>
        <v>1</v>
      </c>
      <c r="GE328" s="162">
        <f t="shared" ca="1" si="1203"/>
        <v>1</v>
      </c>
      <c r="GF328" s="162">
        <f ca="1">IF(AND(Control!$C$104=1, Control!$C$62="F"),$GE328,1)</f>
        <v>1</v>
      </c>
      <c r="GG328" s="162" t="e">
        <f ca="1">IF(Control!$B$16=40,0,IF(AND(Control!$B$16&gt;40,Control!$B$16&lt;=360),(Control!$B$16-40)*((1-0)/(360-40)),IF(AND(Control!$B$16&gt;360,Control!$B$16&lt;=720),(1+(Control!$B$16-360)*((1.25-1)/(720-360))),IF(AND(Control!$B$16&gt;720,Control!$B$16&lt;=1000),(1.25+(Control!$B$16-720)*((1.35-1.25)/(1000-720))),IF(AND(Control!$B$16&gt;1000,Control!$B$16&lt;=2000),(1.35+(Control!$B$16-1000)*0))))))</f>
        <v>#N/A</v>
      </c>
      <c r="GH328" s="162" t="e">
        <f t="shared" ca="1" si="1204"/>
        <v>#N/A</v>
      </c>
      <c r="GI328" s="162">
        <f t="shared" ca="1" si="1326"/>
        <v>0</v>
      </c>
      <c r="GJ328" s="162">
        <f t="shared" ca="1" si="1205"/>
        <v>0</v>
      </c>
      <c r="GK328" s="162">
        <f t="shared" ca="1" si="1327"/>
        <v>1</v>
      </c>
      <c r="GL328" s="162">
        <f t="shared" ca="1" si="1206"/>
        <v>1</v>
      </c>
      <c r="GM328" s="162" t="e">
        <f ca="1">MAX(0,MIN(1,1-Control!$C$156*(1.0001-$KH328)^2))</f>
        <v>#N/A</v>
      </c>
      <c r="GN328" s="162" t="e">
        <f ca="1">IF(Control!$B$26=1,$KU328,$KX328)</f>
        <v>#N/A</v>
      </c>
      <c r="GO328" s="162" t="e">
        <f ca="1">IF($CP328&lt;=60,Control!$C$105,IF($CP328&gt;=90,Control!$C$106,Control!$C$105+($CP328-60)*((Control!$C$106-Control!$C$105)/(90-60))))</f>
        <v>#N/A</v>
      </c>
      <c r="GP328" s="162" t="e">
        <f t="shared" ca="1" si="1207"/>
        <v>#N/A</v>
      </c>
      <c r="GQ328" s="162" t="e">
        <f t="shared" ca="1" si="1328"/>
        <v>#N/A</v>
      </c>
      <c r="GR328" s="163" t="e">
        <f t="shared" ca="1" si="1208"/>
        <v>#DIV/0!</v>
      </c>
      <c r="GS328" s="162" t="e">
        <f t="shared" ca="1" si="1209"/>
        <v>#DIV/0!</v>
      </c>
      <c r="GT328" s="164" t="e">
        <f t="shared" ca="1" si="1329"/>
        <v>#N/A</v>
      </c>
      <c r="GU328" s="162" t="e">
        <f t="shared" ca="1" si="1330"/>
        <v>#N/A</v>
      </c>
      <c r="GV328" s="162" t="e">
        <f t="shared" ca="1" si="1210"/>
        <v>#N/A</v>
      </c>
      <c r="GW328" s="162" t="e">
        <f t="shared" ca="1" si="1211"/>
        <v>#DIV/0!</v>
      </c>
      <c r="GX328" s="162" t="e">
        <f t="shared" ca="1" si="1331"/>
        <v>#DIV/0!</v>
      </c>
      <c r="GY328" s="162" t="e">
        <f t="shared" ca="1" si="1332"/>
        <v>#DIV/0!</v>
      </c>
      <c r="GZ328" s="165" t="e">
        <f t="shared" ca="1" si="1212"/>
        <v>#N/A</v>
      </c>
      <c r="HA328" s="162" t="e">
        <f ca="1">IF(Control!$C$114=1, $DI328*$FS328, 0)</f>
        <v>#N/A</v>
      </c>
      <c r="HB328" s="162" t="e">
        <f ca="1">$FA328/Control!$C$64</f>
        <v>#N/A</v>
      </c>
      <c r="HC328" s="162" t="e">
        <f t="shared" ca="1" si="1213"/>
        <v>#DIV/0!</v>
      </c>
      <c r="HD328" s="162">
        <f ca="1">-ASIN(SIN(23.45*Control!$C$139)*COS(2*Control!$C$138*($AH328+10)/365))</f>
        <v>-0.34970612595544537</v>
      </c>
      <c r="HE328" s="165">
        <f t="shared" ca="1" si="1333"/>
        <v>0</v>
      </c>
      <c r="HF328" s="166">
        <f ca="1">IF(AND(Control!$C$61="T",$HE328&gt;=Control!$C$103,Control!$C$114=0),$AH328,Control!$C$59)</f>
        <v>1</v>
      </c>
      <c r="HG328" s="166">
        <f ca="1">IF(AND(Control!$C$61="T",$HE328&gt;=Control!$C$103,Control!$C$114=0),$HF328,Control!$C$59)</f>
        <v>1</v>
      </c>
      <c r="HH328" s="165">
        <f ca="1">IF(AND(OR(Control!$C$60&lt;=0, $AH328= Control!$C$59, Control!$C$60 &gt;0, $AH328 = Control!$C$60)), Control!$C$59, IF(Control!$C$60&gt;0, 0))</f>
        <v>1</v>
      </c>
      <c r="HI328" s="165">
        <f ca="1">IF(AND(OR(Control!$C$60&lt;=0, $AH328= Control!$C$59, Control!$C$60 &gt;0, $AH328 = Control!$C$60)), Control!$C$60, IF(Control!$C$60&lt;=0, 0))</f>
        <v>0</v>
      </c>
      <c r="HJ328" s="166">
        <f ca="1">IF(AND(Control!$C$62="F",$CV328&gt;=Control!$C$102),$AH328,0)</f>
        <v>0</v>
      </c>
      <c r="HK328" s="165" t="e">
        <f t="shared" ref="HK328:HK370" ca="1" si="1370">$HK327+$GX327</f>
        <v>#N/A</v>
      </c>
      <c r="HL328" s="166">
        <f ca="1">IF(AND(Control!$C$61="T",$HE328&gt;=Control!$C$103,Control!$C$114=0),$HF328,0)</f>
        <v>0</v>
      </c>
      <c r="HM328" s="201" t="e">
        <f t="shared" ca="1" si="1214"/>
        <v>#DIV/0!</v>
      </c>
      <c r="HN328" s="215">
        <f t="shared" ca="1" si="1334"/>
        <v>324</v>
      </c>
      <c r="HO328" s="216" t="e">
        <f ca="1">IF(AND($CP328&gt;=0, $CP328&lt;=90), Control!$C$152, Control!$C$152)</f>
        <v>#N/A</v>
      </c>
      <c r="HP328" s="216" t="e">
        <f t="shared" ca="1" si="1215"/>
        <v>#N/A</v>
      </c>
      <c r="HQ328" s="217" t="e">
        <f ca="1">IF(OR(Control!$B$26=1,Control!$B$26=2),$KV328,$KS328)</f>
        <v>#DIV/0!</v>
      </c>
      <c r="HR328" s="218" t="e">
        <f t="shared" ref="HR328:HR370" ca="1" si="1371">$HR327-$HQ327</f>
        <v>#DIV/0!</v>
      </c>
      <c r="HS328" s="216" t="e">
        <f ca="1">Control!$C$154*$HP328</f>
        <v>#N/A</v>
      </c>
      <c r="HT328" s="216" t="e">
        <f ca="1">Control!$C$155*$HP328</f>
        <v>#N/A</v>
      </c>
      <c r="HU328" s="217" t="e">
        <f ca="1">Control!$C$161*$FI328</f>
        <v>#N/A</v>
      </c>
      <c r="HV328" s="218" t="e">
        <f t="shared" ca="1" si="1335"/>
        <v>#N/A</v>
      </c>
      <c r="HW328" s="218" t="e">
        <f ca="1">Control!$C$160*$FF328+$IP328*$EO328</f>
        <v>#N/A</v>
      </c>
      <c r="HX328" s="218" t="e">
        <f t="shared" ref="HX328:HX370" ca="1" si="1372">$HX327+$HW327</f>
        <v>#N/A</v>
      </c>
      <c r="HY328" s="219" t="e">
        <f ca="1">IF(Control!$C$114=1, $EB328*$FS328, 0)</f>
        <v>#N/A</v>
      </c>
      <c r="HZ328" s="91" t="e">
        <f t="shared" ca="1" si="1216"/>
        <v>#N/A</v>
      </c>
      <c r="IA328" s="220" t="e">
        <f ca="1">Control!$C$153*$HO328</f>
        <v>#N/A</v>
      </c>
      <c r="IB328" s="218" t="e">
        <f t="shared" ca="1" si="1217"/>
        <v>#N/A</v>
      </c>
      <c r="IC328" s="220" t="e">
        <f ca="1">Control!$C$153*$HT328</f>
        <v>#N/A</v>
      </c>
      <c r="ID328" s="218" t="e">
        <f t="shared" ca="1" si="1218"/>
        <v>#N/A</v>
      </c>
      <c r="IE328" s="221" t="e">
        <f ca="1">($EB328*Control!$C$159+$EF328*Control!$C$160)/(IF($GZ328&lt;&gt;0,$GZ328,1))</f>
        <v>#N/A</v>
      </c>
      <c r="IF328" s="216" t="e">
        <f t="shared" ca="1" si="1219"/>
        <v>#N/A</v>
      </c>
      <c r="IG328" s="91">
        <f ca="1">IF(OR(Control!$B$198=$AH328,Control!$B$199=$AH328, Control!$B$200=$AH328, Control!$B$201=$AH328, Control!$B$202=$AH328, Control!$B$203=$AH328, Control!$B$204=$AH328, Control!$B$205=$AH328, Control!$B$206=$AH328, Control!$B$207=$AH328), 1, 0)</f>
        <v>0</v>
      </c>
      <c r="IH328" s="91">
        <f ca="1">IF($IG328=0,0, VLOOKUP($AH328,Control!$B$198:$C$207,2))</f>
        <v>0</v>
      </c>
      <c r="II328" s="222">
        <f t="shared" ca="1" si="1336"/>
        <v>0</v>
      </c>
      <c r="IJ328" s="91">
        <f>Control!$C$121</f>
        <v>0.7</v>
      </c>
      <c r="IK328" s="218">
        <f t="shared" ca="1" si="1220"/>
        <v>0</v>
      </c>
      <c r="IL328" s="217" t="e">
        <f t="shared" ref="IL328:IL370" ca="1" si="1373">$IL327+$KD327</f>
        <v>#N/A</v>
      </c>
      <c r="IM328" s="223" t="e">
        <f ca="1">IF(AND(Control!$C$114=1,$KH328&lt;1),$EB328*Control!$C$148*(1-$KH328), 0)</f>
        <v>#N/A</v>
      </c>
      <c r="IN328" s="217" t="e">
        <f t="shared" ca="1" si="1221"/>
        <v>#DIV/0!</v>
      </c>
      <c r="IO328" s="91" t="e">
        <f ca="1">MAX(0,$IL328-$EF328*Control!$C$160)</f>
        <v>#N/A</v>
      </c>
      <c r="IP328" s="220" t="e">
        <f t="shared" ca="1" si="1222"/>
        <v>#N/A</v>
      </c>
      <c r="IQ328" s="217" t="e">
        <f t="shared" ca="1" si="1337"/>
        <v>#N/A</v>
      </c>
      <c r="IR328" s="218" t="e">
        <f t="shared" ca="1" si="1223"/>
        <v>#N/A</v>
      </c>
      <c r="IS328" s="217" t="e">
        <f ca="1">Control!$C$159*MAX(0,$FD328-$EN328)</f>
        <v>#N/A</v>
      </c>
      <c r="IT328" s="217" t="e">
        <f t="shared" ref="IT328:IT370" ca="1" si="1374">$IT327+$IS328</f>
        <v>#N/A</v>
      </c>
      <c r="IU328" s="217" t="e">
        <f t="shared" ca="1" si="1338"/>
        <v>#N/A</v>
      </c>
      <c r="IV328" s="217" t="e">
        <f t="shared" ref="IV328:IV370" ca="1" si="1375">$IV327+$IU328</f>
        <v>#N/A</v>
      </c>
      <c r="IW328" s="217" t="e">
        <f ca="1">IF(OR($AW328=1,AND($AW328=0, Control!$B$18=1,$EN328&lt;&gt;0)), $IQ328-$IU328, $IQ328)</f>
        <v>#N/A</v>
      </c>
      <c r="IX328" s="218" t="e">
        <f t="shared" ca="1" si="1224"/>
        <v>#N/A</v>
      </c>
      <c r="IY328" s="218" t="e">
        <f ca="1">MAX(0,$IQ328-$EB328*Control!$C$159)</f>
        <v>#N/A</v>
      </c>
      <c r="IZ328" s="218" t="e">
        <f t="shared" ca="1" si="1225"/>
        <v>#N/A</v>
      </c>
      <c r="JA328" s="216" t="e">
        <f t="shared" ca="1" si="1226"/>
        <v>#N/A</v>
      </c>
      <c r="JB328" s="217" t="e">
        <f t="shared" ca="1" si="1227"/>
        <v>#N/A</v>
      </c>
      <c r="JC328" s="222" t="e">
        <f ca="1">MAX(Control!$C$157*$EK328-$JT328, 0)/Control!$C$162</f>
        <v>#N/A</v>
      </c>
      <c r="JD328" s="218" t="e">
        <f t="shared" ca="1" si="1228"/>
        <v>#N/A</v>
      </c>
      <c r="JE328" s="218" t="e">
        <f t="shared" ca="1" si="1229"/>
        <v>#N/A</v>
      </c>
      <c r="JF328" s="218" t="e">
        <f t="shared" ca="1" si="1339"/>
        <v>#N/A</v>
      </c>
      <c r="JG328" s="218" t="e">
        <f t="shared" ca="1" si="1230"/>
        <v>#N/A</v>
      </c>
      <c r="JH328" s="217" t="e">
        <f t="shared" ca="1" si="1340"/>
        <v>#N/A</v>
      </c>
      <c r="JI328" s="217" t="e">
        <f t="shared" ca="1" si="1341"/>
        <v>#N/A</v>
      </c>
      <c r="JJ328" s="217" t="e">
        <f t="shared" ref="JJ328:JJ370" ca="1" si="1376">$JJ327+$JL327</f>
        <v>#N/A</v>
      </c>
      <c r="JK328" s="217" t="e">
        <f ca="1">IF(Control!$C$114=1,IF(Control!$B$24=0,MAX(0,$JI328)*$GN328/Control!$C$64,(MAX(0,MIN($JI328,$JJ328*$GN328/Control!$C$64),0))))</f>
        <v>#N/A</v>
      </c>
      <c r="JL328" s="217" t="e">
        <f ca="1">$IK328/Control!$C$64-$JK328+$HQ328</f>
        <v>#N/A</v>
      </c>
      <c r="JM328" s="217" t="e">
        <f ca="1">IF(Control!$C$114=1,($JB328/(IF($JI328&lt;&gt;0,$JI328,1)))*$JK328,0)</f>
        <v>#N/A</v>
      </c>
      <c r="JN328" s="217" t="e">
        <f ca="1">IF(Control!$C$114=1,($JG328/(IF($JI328&lt;&gt;0,$JI328,1)))*$JK328, 0)</f>
        <v>#N/A</v>
      </c>
      <c r="JO328" s="218" t="e">
        <f t="shared" ca="1" si="1231"/>
        <v>#N/A</v>
      </c>
      <c r="JP328" s="218" t="e">
        <f ca="1">MIN(($IY328+$IO328)*Control!$C$151, $JF328-$EH328*Control!$C$161)</f>
        <v>#N/A</v>
      </c>
      <c r="JQ328" s="218" t="e">
        <f t="shared" ca="1" si="1232"/>
        <v>#N/A</v>
      </c>
      <c r="JR328" s="217" t="e">
        <f ca="1">IF($CP328-Control!$C$150&lt;0, 0, $JQ328/Control!$C$162)</f>
        <v>#N/A</v>
      </c>
      <c r="JS328" s="218" t="e">
        <f t="shared" ca="1" si="1233"/>
        <v>#N/A</v>
      </c>
      <c r="JT328" s="218" t="e">
        <f t="shared" ca="1" si="1342"/>
        <v>#N/A</v>
      </c>
      <c r="JU328" s="218" t="e">
        <f t="shared" ca="1" si="1234"/>
        <v>#N/A</v>
      </c>
      <c r="JV328" s="218" t="e">
        <f t="shared" ca="1" si="1235"/>
        <v>#N/A</v>
      </c>
      <c r="JW328" s="216" t="e">
        <f t="shared" ca="1" si="1236"/>
        <v>#N/A</v>
      </c>
      <c r="JX328" s="91" t="e">
        <f t="shared" ca="1" si="1237"/>
        <v>#N/A</v>
      </c>
      <c r="JY328" s="218" t="e">
        <f t="shared" ca="1" si="1238"/>
        <v>#N/A</v>
      </c>
      <c r="JZ328" s="217" t="e">
        <f ca="1">IF(Control!$C$114=1,($IZ328/(IF($JI328&lt;&gt;0,$JI328,1)))*$JK328, 0)</f>
        <v>#N/A</v>
      </c>
      <c r="KA328" s="218" t="e">
        <f t="shared" ref="KA328:KA370" ca="1" si="1377">KA327+JK327</f>
        <v>#N/A</v>
      </c>
      <c r="KB328" s="218" t="e">
        <f t="shared" ca="1" si="1343"/>
        <v>#N/A</v>
      </c>
      <c r="KC328" s="218" t="e">
        <f t="shared" ca="1" si="1239"/>
        <v>#N/A</v>
      </c>
      <c r="KD328" s="218" t="e">
        <f t="shared" ca="1" si="1240"/>
        <v>#N/A</v>
      </c>
      <c r="KE328" s="218" t="e">
        <f t="shared" ca="1" si="1241"/>
        <v>#N/A</v>
      </c>
      <c r="KF328" s="218" t="e">
        <f t="shared" ca="1" si="1242"/>
        <v>#N/A</v>
      </c>
      <c r="KG328" s="216" t="e">
        <f t="shared" ca="1" si="1243"/>
        <v>#N/A</v>
      </c>
      <c r="KH328" s="221" t="e">
        <f ca="1">IF(Control!$B$24=0,1,MAX(0.001,MIN(1,IF(($IF328-$IE328)&lt;&gt;0,($KG328-$IE328)/($IF328-$IE328),1))))</f>
        <v>#N/A</v>
      </c>
      <c r="KI328" s="222" t="e">
        <f ca="1">IF(Control!$C$114=1, $KI327+ $KH327, 0)</f>
        <v>#N/A</v>
      </c>
      <c r="KJ328" s="217" t="e">
        <f t="shared" ca="1" si="1244"/>
        <v>#N/A</v>
      </c>
      <c r="KK328" s="218" t="e">
        <f t="shared" ca="1" si="1245"/>
        <v>#N/A</v>
      </c>
      <c r="KL328" s="274" t="e">
        <f ca="1">IF(Control!$B$26=3,4000000000*EXP(-8400/($G328+273)),IF(Control!$B$26=4,4000000000*EXP(-8400/($G328+273))*($KT328),0))</f>
        <v>#DIV/0!</v>
      </c>
      <c r="KM328" s="274" t="e">
        <f ca="1">IF(Control!$B$26=3,5600000000000*EXP(-9800/($G328+273)),IF(Control!$B$26=4,5600000000000*EXP(-9800/($G328+273))*$KT328,0))</f>
        <v>#DIV/0!</v>
      </c>
      <c r="KN328" s="454" t="e">
        <f t="shared" ca="1" si="1344"/>
        <v>#DIV/0!</v>
      </c>
      <c r="KO328" s="274" t="e">
        <f t="shared" ca="1" si="1345"/>
        <v>#DIV/0!</v>
      </c>
      <c r="KP328" s="454" t="e">
        <f t="shared" ca="1" si="1246"/>
        <v>#DIV/0!</v>
      </c>
      <c r="KQ328" s="454" t="e">
        <f t="shared" ca="1" si="1247"/>
        <v>#DIV/0!</v>
      </c>
      <c r="KR328" s="454" t="e">
        <f t="shared" ca="1" si="1248"/>
        <v>#DIV/0!</v>
      </c>
      <c r="KS328" s="454" t="e">
        <f t="shared" ca="1" si="1249"/>
        <v>#DIV/0!</v>
      </c>
      <c r="KT328" s="455" t="e">
        <f t="shared" ca="1" si="1250"/>
        <v>#DIV/0!</v>
      </c>
      <c r="KU328" s="456" t="e">
        <f ca="1">IF($CP328-Control!$C$149&lt;0, IF($NT328-0.01&lt;0,0,1),0)</f>
        <v>#N/A</v>
      </c>
      <c r="KV328" s="456" t="e">
        <f ca="1">IF(Control!$C$114=1,MAX(0,MIN(Control!$C$125*$KW328*$GN328,$KW328)))</f>
        <v>#DIV/0!</v>
      </c>
      <c r="KW328" s="456" t="e">
        <f t="shared" ref="KW328:KW370" ca="1" si="1378">KW327-KV327</f>
        <v>#DIV/0!</v>
      </c>
      <c r="KX328" s="457" t="e">
        <f ca="1">IF($CP328-Control!$C$149&lt;0, IF($MR328-$OM328&lt;0,0,1),0)</f>
        <v>#N/A</v>
      </c>
      <c r="KY328" s="167">
        <f t="shared" ca="1" si="1346"/>
        <v>324</v>
      </c>
      <c r="KZ328" s="168">
        <f ca="1">1370*(1+0.033*COS(2*Control!$C$138*$AH328/365))</f>
        <v>1404.409905993364</v>
      </c>
      <c r="LA328" s="169">
        <f t="shared" ca="1" si="1347"/>
        <v>1.0251164405358055</v>
      </c>
      <c r="LB328" s="169">
        <f t="shared" ca="1" si="1348"/>
        <v>-0.35392033490054309</v>
      </c>
      <c r="LC328" s="169">
        <f ca="1">ACOS(-TAN((2*Control!$B$8/360))*TAN(Calculations!$LB328))</f>
        <v>1.4607645394758588</v>
      </c>
      <c r="LD328" s="169">
        <f ca="1">((24*60)/PI())*0.082*$LA328*(($LC328*SIN(Control!$B$8*2*PI()/360))*SIN($LB328)+COS(Control!$B$8*2*PI()/360)*COS($LB328)*SIN($LC328))</f>
        <v>6.7453051308569574</v>
      </c>
      <c r="LE328" s="170">
        <f t="shared" ca="1" si="1251"/>
        <v>8.2621153287057219</v>
      </c>
      <c r="LF328" s="170">
        <f ca="1">SIN(Control!$C$139*Control!$B$8)*SIN($HD328)</f>
        <v>-0.26999005958455435</v>
      </c>
      <c r="LG328" s="170">
        <f ca="1">COS(Control!$C$139*Control!$B$8)*COS($HD328)</f>
        <v>0.5783960335757129</v>
      </c>
      <c r="LH328" s="170">
        <f ca="1">12*(1+2*ASIN(MAX(-1,MIN(1,$LF328/$LG328))/Control!$C$138))</f>
        <v>8.420734490263257</v>
      </c>
      <c r="LI328" s="170">
        <f ca="1">12*(1+2*ASIN(MAX(-1,MIN(1,(-SIN(-4*Control!$C$139)+$LF328)/$LG328))/Control!$C$138))</f>
        <v>9.3499474387857227</v>
      </c>
      <c r="LJ328" s="168">
        <f ca="1">3600*($LH328*$LF328+24*$LG328*SQRT(1-$LK328*$LK328)/Control!$C$138)</f>
        <v>5882.9799572381835</v>
      </c>
      <c r="LK328" s="170">
        <f t="shared" ca="1" si="1252"/>
        <v>-0.46679099425257775</v>
      </c>
      <c r="LL328" s="170">
        <f t="shared" ca="1" si="1253"/>
        <v>0</v>
      </c>
      <c r="LM328" s="171">
        <f ca="1">Control!$C$145*$AB328</f>
        <v>6.6660906138995932E-2</v>
      </c>
      <c r="LN328" s="170">
        <f t="shared" ca="1" si="1349"/>
        <v>0.54</v>
      </c>
      <c r="LO328" s="170">
        <f t="shared" ca="1" si="1254"/>
        <v>0</v>
      </c>
      <c r="LP328" s="170">
        <f ca="1">Control!$C$140*((($D328+273.16)^4+($E328+273.16)^4)/2)*(0.34-0.14*SQRT($Y328))*(1.35*$AQ328/(0.75*$LD328)-0.35)</f>
        <v>-3.2464704755046001</v>
      </c>
      <c r="LQ328" s="170">
        <f ca="1">Control!$C$140*($G328+273)^4*(0.56-0.079*SQRT($Y328*10))*(0.1+0.9*$LO328)</f>
        <v>1.5241745131704001</v>
      </c>
      <c r="LR328" s="170">
        <f ca="1">$AQ328*(1-Control!$C$142)-$LQ328</f>
        <v>-1.5241745131704001</v>
      </c>
      <c r="LS328" s="170">
        <f ca="1">$AQ328*(1-Control!$C$143)-$LQ328</f>
        <v>-1.5241745131704001</v>
      </c>
      <c r="LT328" s="170">
        <f ca="1">$AQ328*(1-Control!$C$144)-$LQ328</f>
        <v>-1.5241745131704001</v>
      </c>
      <c r="LU328" s="169">
        <f ca="1">(1-Control!$C$144)*AQ328-LP328</f>
        <v>3.2464704755046001</v>
      </c>
      <c r="LV328" s="172">
        <f t="shared" ca="1" si="1255"/>
        <v>0.79430000000000012</v>
      </c>
      <c r="LW328" s="170">
        <f t="shared" ca="1" si="1256"/>
        <v>1.5886000000000002</v>
      </c>
      <c r="LX328" s="170">
        <f ca="1">($AC328*($LR328/Control!$C$141)+$LM328*$LV328)/($AC328+$LM328)</f>
        <v>0.23530094218323697</v>
      </c>
      <c r="LY328" s="170">
        <f ca="1">($AC328*($LS328/Control!$C$141)+$LM328*$LV328)/($AC328+$LM328)</f>
        <v>0.23530094218323697</v>
      </c>
      <c r="LZ328" s="170">
        <f t="shared" ca="1" si="1257"/>
        <v>0.23530094218323697</v>
      </c>
      <c r="MA328" s="170">
        <f t="shared" ca="1" si="1258"/>
        <v>0.23530094218323697</v>
      </c>
      <c r="MB328" s="170" t="e">
        <f t="shared" ca="1" si="1259"/>
        <v>#N/A</v>
      </c>
      <c r="MC328" s="170">
        <f t="shared" ca="1" si="1350"/>
        <v>0.6018</v>
      </c>
      <c r="MD328" s="170">
        <f t="shared" ca="1" si="1260"/>
        <v>0.52989392535414004</v>
      </c>
      <c r="ME328" s="170">
        <f ca="1">($AC328*($LT328/Control!$C$141)+$LM328*$LW328)/($AC328+$LM328)</f>
        <v>0.71612369323045078</v>
      </c>
      <c r="MF328" s="170" t="e">
        <f ca="1">IF(Control!$B$16&gt;=1000,0.92,IF(AND(720&lt;=Control!$B$16,1000&gt;Control!$B$16),(0.95+(Control!$B$16-720)*((0.92-0.95)/(1000-720))),IF(AND(360&lt;=Control!$B$16,720&gt;Control!$B$16),(1+(Control!$B$16-360)*((0.95-1)/(720-360))),IF(AND(40&lt;=Control!$B$16,360&gt;Control!$B$16),(1.05+(Control!$B$16-40)*((1.05-1)/(360-40)))))))</f>
        <v>#N/A</v>
      </c>
      <c r="MG328" s="170">
        <f t="shared" ca="1" si="1261"/>
        <v>0.71612369323045078</v>
      </c>
      <c r="MH328" s="170" t="e">
        <f t="shared" ca="1" si="1262"/>
        <v>#N/A</v>
      </c>
      <c r="MI328" s="170" t="e">
        <f t="shared" ca="1" si="1262"/>
        <v>#N/A</v>
      </c>
      <c r="MJ328" s="170" t="e">
        <f ca="1">MAX(0.0001, Control!$C$132*$MI328*$DL328)</f>
        <v>#N/A</v>
      </c>
      <c r="MK328" s="170">
        <f ca="1">1/(0.76+1.5*($MG328/10))-(5-Control!$C$110)*0.1</f>
        <v>1.002845988140797</v>
      </c>
      <c r="ML328" s="173">
        <f ca="1">IF(Control!$C$110&lt;3,$MK328+($MG328-0.6)/(Control!$C$110*(Control!$C$110+3)), MAX(0.1, MIN(0.95,$MK328)))</f>
        <v>0.95</v>
      </c>
      <c r="MM328" s="173">
        <f ca="1">IF(Control!$C$110&lt;3,$MK328+(($MI328/10)-0.6)/(Control!$C$110*(Control!$C$110+3)), MAX(0.1, MIN(0.95,$MK328)))</f>
        <v>0.95</v>
      </c>
      <c r="MN328" s="173">
        <f ca="1">(1-$MM328)*(Control!$C$128-Control!$C$127)+Control!$C$127</f>
        <v>0.16</v>
      </c>
      <c r="MO328" s="170" t="e">
        <f ca="1">MAX(0,MIN(1,($MS328-Control!$C$127)/($MN328-Control!$C$127)))</f>
        <v>#DIV/0!</v>
      </c>
      <c r="MP328" s="173" t="e">
        <f ca="1">1/(0.76+1.5*$MI328)-(5-Control!$C$110)*0.1</f>
        <v>#N/A</v>
      </c>
      <c r="MQ328" s="172" t="e">
        <f t="shared" ref="MQ328:MQ370" ca="1" si="1379">$MQ327+$NL327</f>
        <v>#DIV/0!</v>
      </c>
      <c r="MR328" s="168" t="e">
        <f t="shared" ca="1" si="1351"/>
        <v>#DIV/0!</v>
      </c>
      <c r="MS328" s="173" t="e">
        <f ca="1">MAX(Control!$C$127, MIN(Control!$C$135, $MR328/MAX(0.0001,$CY328)))</f>
        <v>#DIV/0!</v>
      </c>
      <c r="MT328" s="168" t="e">
        <f ca="1">(Control!$C$128-$MS328)*Control!$C$74</f>
        <v>#DIV/0!</v>
      </c>
      <c r="MU328" s="168" t="e">
        <f ca="1">(Control!$C$135-$MS328)*Control!$C$74</f>
        <v>#DIV/0!</v>
      </c>
      <c r="MV328" s="168" t="e">
        <f t="shared" ca="1" si="1352"/>
        <v>#DIV/0!</v>
      </c>
      <c r="MW328" s="168" t="e">
        <f t="shared" ca="1" si="1353"/>
        <v>#DIV/0!</v>
      </c>
      <c r="MX328" s="171" t="e">
        <f ca="1">MAX(Control!$C$127, MIN(Control!$C$135, $MW328/MAX(0.0001,Control!$C$119-$CY328)))</f>
        <v>#DIV/0!</v>
      </c>
      <c r="MY328" s="54" t="e">
        <f ca="1">IF(Control!$C$114=1, $CX328*$MX328, 0)</f>
        <v>#DIV/0!</v>
      </c>
      <c r="MZ328" s="54" t="e">
        <f t="shared" ca="1" si="1354"/>
        <v>#N/A</v>
      </c>
      <c r="NA328" s="168" t="e">
        <f ca="1">(Control!$C$128-$MX328)*(Control!$C$119-Control!$C$74)</f>
        <v>#DIV/0!</v>
      </c>
      <c r="NB328" s="168" t="e">
        <f ca="1">(Control!$C$135-$MX328)*(Control!$C$119-Control!$C$74)</f>
        <v>#DIV/0!</v>
      </c>
      <c r="NC328" s="174" t="e">
        <f t="shared" ca="1" si="1355"/>
        <v>#DIV/0!</v>
      </c>
      <c r="ND328" s="54">
        <f ca="1">IF(Control!$C$58=2, IF(OR(Control!$B$218=$AH328,Control!$B$219=$AH328, Control!$B$220=$AH328, Control!$B$221=$AH328, Control!$B$222=$AH328, Control!$B$223=$AH328, Control!$B$224=$AH328, Control!$B$225=$AH328, Control!$B$226=$AH328, Control!$B$227=$AH328, Control!$B$228=$AH328), 1, 0), 0)</f>
        <v>0</v>
      </c>
      <c r="NE328" s="54">
        <f ca="1">IF($ND328=0,0, VLOOKUP($AH328,Control!$B$218:$C$228,2))</f>
        <v>0</v>
      </c>
      <c r="NF328" s="168" t="e">
        <f ca="1">$CY328*(Control!$C$128-Control!$C$127)</f>
        <v>#N/A</v>
      </c>
      <c r="NG328" s="54" t="e">
        <f ca="1">IF(Control!$C$58=2, $NI327-$NJ327, 0)</f>
        <v>#DIV/0!</v>
      </c>
      <c r="NH328" s="54" t="e">
        <f ca="1">IF(AND(Control!$C$58=1, $MS327&lt;= ($MN327+0.02), $I327&lt;10), 0, IF(Control!$C$58=2, $NG327, 0))</f>
        <v>#DIV/0!</v>
      </c>
      <c r="NI328" s="54" t="e">
        <f ca="1">IF(Control!$C$58=2, $NE328+$NH328,0)</f>
        <v>#DIV/0!</v>
      </c>
      <c r="NJ328" s="54" t="e">
        <f ca="1">IF(AND(Control!$C$58=1, $MS328&lt;= ($MN328+0.02), $I328&lt;10), MAX(0, MIN(10, 0.7*($NF328-$MV328))), IF(Control!$C$58=2, MIN(10,$NI328),0))</f>
        <v>#DIV/0!</v>
      </c>
      <c r="NK328" s="54" t="e">
        <f t="shared" ca="1" si="1263"/>
        <v>#DIV/0!</v>
      </c>
      <c r="NL328" s="173" t="e">
        <f ca="1">(1-Control!$C$73)*$I328+$NJ328</f>
        <v>#DIV/0!</v>
      </c>
      <c r="NM328" s="172" t="e">
        <f ca="1">IF($NL328&lt;0.5, $MB328* MAX(0, MIN(1, (SQRT($NC328)-SQRT($NC328-1))*Control!$C$71)),0)</f>
        <v>#DIV/0!</v>
      </c>
      <c r="NN328" s="170" t="e">
        <f ca="1">IF($NL328&gt;=5, $MB328, MAX(0,MIN($MB328, $NM328+$NL328,($MS328-Control!$C$129))))</f>
        <v>#DIV/0!</v>
      </c>
      <c r="NO328" s="54">
        <f>IF(Control!$C$133&lt;&gt;1, Control!$C$135-Control!$C$131, 0)</f>
        <v>0.38</v>
      </c>
      <c r="NP328" s="54" t="e">
        <f t="shared" ca="1" si="1264"/>
        <v>#DIV/0!</v>
      </c>
      <c r="NQ328" s="173" t="e">
        <f ca="1">MAX(0,MIN(1,(Control!$C$135-$MS328)/(Control!$C$135-$NO328)))</f>
        <v>#DIV/0!</v>
      </c>
      <c r="NR328" s="170" t="e">
        <f ca="1">IF(Control!$C$133&lt;&gt;1, $NQ328+((1-$NP328/4)*(1-$NQ328)),1)</f>
        <v>#DIV/0!</v>
      </c>
      <c r="NS328" s="170" t="e">
        <f ca="1">IF(Control!$B$31=0,$MJ328,MAX(0,MIN($MV328,$MO328*$NR328*$MJ328)))</f>
        <v>#DIV/0!</v>
      </c>
      <c r="NT328" s="170" t="e">
        <f t="shared" ref="NT328:NT370" ca="1" si="1380">$NS328/$MJ328</f>
        <v>#DIV/0!</v>
      </c>
      <c r="NU328" s="170" t="e">
        <f t="shared" ca="1" si="1356"/>
        <v>#N/A</v>
      </c>
      <c r="NV328" s="170" t="e">
        <f t="shared" ca="1" si="1265"/>
        <v>#N/A</v>
      </c>
      <c r="NW328" s="175" t="e">
        <f t="shared" ca="1" si="1266"/>
        <v>#DIV/0!</v>
      </c>
      <c r="NX328" s="170" t="e">
        <f ca="1">MIN(Control!$C$72+$MU328, $NW328)</f>
        <v>#DIV/0!</v>
      </c>
      <c r="NY328" s="170" t="e">
        <f ca="1">IF($MT328&lt;=$NX328,MIN(Control!$C$72+$NB328,$NX328-$MT328),0)</f>
        <v>#DIV/0!</v>
      </c>
      <c r="NZ328" s="54" t="e">
        <f ca="1">IF(Control!$C$114=1,  $CX328*($MX328-Control!$C$127), 0)</f>
        <v>#DIV/0!</v>
      </c>
      <c r="OA328" s="170" t="e">
        <f t="shared" ca="1" si="1267"/>
        <v>#DIV/0!</v>
      </c>
      <c r="OB328" s="170" t="e">
        <f ca="1">IF($NA328 &lt;=$NY328, MIN(Control!$C$72, $NY328-$NA328), 0)</f>
        <v>#DIV/0!</v>
      </c>
      <c r="OC328" s="168" t="e">
        <f t="shared" ca="1" si="1268"/>
        <v>#DIV/0!</v>
      </c>
      <c r="OD328" s="168" t="e">
        <f t="shared" ca="1" si="1357"/>
        <v>#DIV/0!</v>
      </c>
      <c r="OE328" s="170">
        <f ca="1">Control!$C$73*$I328</f>
        <v>0</v>
      </c>
      <c r="OF328" s="176" t="e">
        <f t="shared" ca="1" si="1269"/>
        <v>#DIV/0!</v>
      </c>
      <c r="OG328" s="168" t="e">
        <f t="shared" ca="1" si="1270"/>
        <v>#DIV/0!</v>
      </c>
      <c r="OH328" s="168" t="e">
        <f t="shared" ca="1" si="1271"/>
        <v>#DIV/0!</v>
      </c>
      <c r="OI328" s="168" t="e">
        <f t="shared" ca="1" si="1272"/>
        <v>#DIV/0!</v>
      </c>
      <c r="OJ328" s="168" t="e">
        <f t="shared" ca="1" si="1273"/>
        <v>#DIV/0!</v>
      </c>
      <c r="OK328" s="204" t="e">
        <f t="shared" ca="1" si="1274"/>
        <v>#DIV/0!</v>
      </c>
      <c r="OL328" s="177">
        <f>Control!$C$127</f>
        <v>0.15</v>
      </c>
      <c r="OM328" s="182" t="e">
        <f t="shared" ca="1" si="1275"/>
        <v>#N/A</v>
      </c>
      <c r="ON328" s="177">
        <f>Control!$C$128</f>
        <v>0.35</v>
      </c>
      <c r="OO328" s="182" t="e">
        <f t="shared" ca="1" si="1276"/>
        <v>#N/A</v>
      </c>
      <c r="OP328" s="138">
        <f t="shared" ca="1" si="1358"/>
        <v>0</v>
      </c>
      <c r="OQ328" s="138" t="e">
        <f t="shared" ref="OQ328:OQ370" ca="1" si="1381">$OQ327+$NJ327</f>
        <v>#DIV/0!</v>
      </c>
      <c r="OR328" s="138" t="e">
        <f t="shared" ca="1" si="1359"/>
        <v>#DIV/0!</v>
      </c>
      <c r="OS328" s="137" t="e">
        <f t="shared" ref="OS328:OS370" ca="1" si="1382">$OS327+$OF327</f>
        <v>#DIV/0!</v>
      </c>
      <c r="OT328" s="139" t="e">
        <f t="shared" ref="OT328:OT370" ca="1" si="1383">$OT327+$OB327</f>
        <v>#DIV/0!</v>
      </c>
      <c r="OU328" s="138" t="e">
        <f t="shared" ref="OU328:OU370" ca="1" si="1384">$OU327+$NS327</f>
        <v>#N/A</v>
      </c>
      <c r="OV328" s="138" t="e">
        <f t="shared" ref="OV328:OV370" ca="1" si="1385">$OV327+$NN327</f>
        <v>#DIV/0!</v>
      </c>
      <c r="OW328" s="138" t="e">
        <f t="shared" ca="1" si="1360"/>
        <v>#DIV/0!</v>
      </c>
      <c r="OX328" s="138" t="e">
        <f t="shared" ca="1" si="1361"/>
        <v>#DIV/0!</v>
      </c>
      <c r="OY328" s="138" t="e">
        <f t="shared" ca="1" si="1362"/>
        <v>#DIV/0!</v>
      </c>
      <c r="OZ328" s="138" t="e">
        <f t="shared" ca="1" si="1277"/>
        <v>#DIV/0!</v>
      </c>
      <c r="PA328" s="138" t="e">
        <f t="shared" ca="1" si="1278"/>
        <v>#DIV/0!</v>
      </c>
      <c r="PB328" s="55">
        <f>IF(Control!$C$61="T", IF(Control!$C$65="F", IF($AH$6-Control!$C$60&lt;0,0,1), IF(365+$AH$6-Control!$C$60&lt;0,0,1)),0)</f>
        <v>0</v>
      </c>
      <c r="PC328" s="55">
        <f ca="1">IF(Control!$C$65="F", IF($AH$6-$HF328&lt;0,0,1), IF(365+$AH$6-$HF328&lt;0,0,1))</f>
        <v>1</v>
      </c>
      <c r="PD328" s="444">
        <f>Control!$C$118</f>
        <v>1500</v>
      </c>
      <c r="PE328" s="180" t="e">
        <f t="shared" ca="1" si="1279"/>
        <v>#N/A</v>
      </c>
      <c r="PF328" s="445">
        <f t="shared" ca="1" si="1363"/>
        <v>0.71612369323045078</v>
      </c>
      <c r="PT328" s="186"/>
      <c r="PU328" s="186"/>
      <c r="PV328" s="94"/>
      <c r="PW328" s="94"/>
      <c r="PX328" s="94"/>
      <c r="PY328" s="94"/>
      <c r="PZ328" s="94"/>
      <c r="QA328" s="94"/>
      <c r="QB328" s="94"/>
      <c r="QC328" s="94"/>
      <c r="QD328" s="94"/>
      <c r="QE328" s="94"/>
      <c r="QF328" s="94"/>
      <c r="QG328" s="94"/>
      <c r="QH328" s="94"/>
      <c r="QI328" s="94"/>
      <c r="QJ328" s="94"/>
      <c r="QK328" s="94"/>
      <c r="QL328" s="94"/>
      <c r="QM328" s="94"/>
      <c r="QN328" s="94"/>
      <c r="QO328" s="94"/>
      <c r="QP328" s="94"/>
    </row>
    <row r="329" spans="1:458" s="2" customFormat="1" x14ac:dyDescent="0.2">
      <c r="A329" s="395">
        <v>20</v>
      </c>
      <c r="B329" s="396">
        <v>11</v>
      </c>
      <c r="C329" s="387">
        <f ca="1">Weather_data!$B328</f>
        <v>0</v>
      </c>
      <c r="D329" s="388">
        <f ca="1">Weather_data!$F328</f>
        <v>0</v>
      </c>
      <c r="E329" s="388">
        <f ca="1">Weather_data!$E328</f>
        <v>0</v>
      </c>
      <c r="F329" s="388">
        <f t="shared" ca="1" si="1280"/>
        <v>0</v>
      </c>
      <c r="G329" s="388">
        <f ca="1">AVERAGE($D329:$E329)+Control!$B$9</f>
        <v>0</v>
      </c>
      <c r="H329" s="388">
        <f ca="1">Weather_data!$G328</f>
        <v>0</v>
      </c>
      <c r="I329" s="388">
        <f ca="1">Weather_data!$I328</f>
        <v>0</v>
      </c>
      <c r="J329" s="388">
        <f ca="1">Weather_data!$H328</f>
        <v>0</v>
      </c>
      <c r="K329" s="389">
        <f ca="1">Weather_data!$D328</f>
        <v>0</v>
      </c>
      <c r="L329" s="388" t="e">
        <f t="shared" ca="1" si="1281"/>
        <v>#N/A</v>
      </c>
      <c r="M329" s="388" t="e">
        <f t="shared" ca="1" si="1158"/>
        <v>#N/A</v>
      </c>
      <c r="N329" s="388">
        <f t="shared" ca="1" si="1159"/>
        <v>-8.3042526401167081E-16</v>
      </c>
      <c r="O329" s="388">
        <f t="shared" ca="1" si="1282"/>
        <v>8.3042526401167083E-15</v>
      </c>
      <c r="P329" s="390">
        <v>3</v>
      </c>
      <c r="Q329" s="388">
        <f ca="1">MAX($G329-Control!$C$107,0)</f>
        <v>0</v>
      </c>
      <c r="R329" s="388">
        <f t="shared" ca="1" si="1283"/>
        <v>0</v>
      </c>
      <c r="S329" s="388">
        <f t="shared" ca="1" si="1160"/>
        <v>0</v>
      </c>
      <c r="T329" s="388">
        <f t="shared" ca="1" si="1161"/>
        <v>0</v>
      </c>
      <c r="U329" s="59">
        <f t="shared" ca="1" si="1162"/>
        <v>0</v>
      </c>
      <c r="V329" s="391">
        <f ca="1">MAX(0,MIN(Control!$C$100-Control!$C$99,$G329-Control!$C$99)*Control!$C$63)</f>
        <v>0</v>
      </c>
      <c r="W329" s="388">
        <f t="shared" ca="1" si="1284"/>
        <v>0</v>
      </c>
      <c r="X329" s="388">
        <f t="shared" ca="1" si="1285"/>
        <v>0.6110000000000001</v>
      </c>
      <c r="Y329" s="388">
        <f t="shared" ca="1" si="1163"/>
        <v>0</v>
      </c>
      <c r="Z329" s="388">
        <f t="shared" ca="1" si="1286"/>
        <v>0.61058800000000002</v>
      </c>
      <c r="AA329" s="388">
        <f t="shared" ca="1" si="1164"/>
        <v>0.6018</v>
      </c>
      <c r="AB329" s="388">
        <f ca="1">101.3*EXP(-0.034*Control!$C$66/($G329+273))</f>
        <v>100.69623283836242</v>
      </c>
      <c r="AC329" s="392">
        <f t="shared" ca="1" si="1165"/>
        <v>4.3460251046025113E-2</v>
      </c>
      <c r="AD329" s="392">
        <f t="shared" ca="1" si="1166"/>
        <v>4.4450382862832649E-2</v>
      </c>
      <c r="AE329" s="388">
        <f t="shared" ca="1" si="1167"/>
        <v>0</v>
      </c>
      <c r="AF329" s="388">
        <f ca="1">MAX(0,$G329-Control!$C$92)</f>
        <v>0</v>
      </c>
      <c r="AG329" s="393">
        <f t="shared" ca="1" si="1168"/>
        <v>325</v>
      </c>
      <c r="AH329" s="389">
        <f t="shared" ca="1" si="1169"/>
        <v>325</v>
      </c>
      <c r="AI329" s="388">
        <f t="shared" ca="1" si="1287"/>
        <v>-0.35336337060066131</v>
      </c>
      <c r="AJ329" s="388">
        <f ca="1">IF(Control!$C$60&lt;=0,$HH329,$HI329)</f>
        <v>1</v>
      </c>
      <c r="AK329" s="388">
        <f t="shared" ca="1" si="1170"/>
        <v>4.2174805486547911</v>
      </c>
      <c r="AL329" s="388">
        <f t="shared" ca="1" si="1171"/>
        <v>-1.5328458988217441E-17</v>
      </c>
      <c r="AM329" s="388">
        <f t="shared" ca="1" si="1172"/>
        <v>4.2174805486547911</v>
      </c>
      <c r="AN329" s="388">
        <f t="shared" ca="1" si="1173"/>
        <v>-0.3576446085383026</v>
      </c>
      <c r="AO329" s="388">
        <f ca="1">-0.10453/COS(Control!$B$8*PI()/180)*COS(AN329)</f>
        <v>-0.15904155215545437</v>
      </c>
      <c r="AP329" s="388">
        <f ca="1">ACOS(AO329-TAN(Control!$B$8*PI()/180)*TAN(AN329))</f>
        <v>1.2458126913037475</v>
      </c>
      <c r="AQ329" s="388">
        <f t="shared" ca="1" si="1288"/>
        <v>0</v>
      </c>
      <c r="AR329" s="394">
        <f t="shared" ca="1" si="1174"/>
        <v>0</v>
      </c>
      <c r="AS329" s="436">
        <f ca="1">IF(Control!$B$18=2,(IF(OR($AH329=Control!$B$175,$AH329=Control!$B$176,$AH329=Control!$B$177,$AH329=Control!$B$178,$AH329=Control!$B$179,$AH329=Control!$B$180,$AH329=Control!$B$181,$AH329=Control!$B$182,$AH329=Control!$B$183,$AH329=Control!$B$184,$AH329=Control!$B$185),1,0)),0)</f>
        <v>0</v>
      </c>
      <c r="AT329" s="436">
        <f>IF(Control!$B$20=8,IF(AND($AH329&gt;=Control!$B$172,$AH329&lt;=Control!$B$173),1,0),0)</f>
        <v>0</v>
      </c>
      <c r="AU329" s="436">
        <f>IF(Control!$B$20=8,IF($AV328=1,1*$AT329,IF($AT329=1,$AU328+1,$AU328)),0)</f>
        <v>0</v>
      </c>
      <c r="AV329" s="436">
        <f>IF(Control!$B$20=8,IF($AU329&gt;=Control!$B$174,1,0),0)</f>
        <v>0</v>
      </c>
      <c r="AW329" s="436">
        <f ca="1">IF(AND(Control!$B$18=2,Control!$B$171=1), $AV329, $AS329)</f>
        <v>0</v>
      </c>
      <c r="AX329" s="436" t="e">
        <f ca="1">IF(AND(Control!$B$18=1,$EU329&gt;=Control!$B$19),-$AY329,IF(AND(Control!$B$18=2,$AW329=1,$EU329&gt;$DS329),-$AY329, IF(Control!$C$108=0,0, IF(Control!$C$108&lt;&gt;0,1))))</f>
        <v>#N/A</v>
      </c>
      <c r="AY329" s="436" t="e">
        <f t="shared" ca="1" si="1289"/>
        <v>#N/A</v>
      </c>
      <c r="AZ329" s="436" t="e">
        <f ca="1">IF(AND(Control!$B$18=1,$EB329&gt;Control!$B$19),$AZ328+1, IF(AND(Control!$B$18=2, $AW329=1, $EB329&gt;$DS329), $AZ328+1,$AZ328))</f>
        <v>#N/A</v>
      </c>
      <c r="BA329" s="587">
        <f>IF(Control!$C$81=0,1,IF($AH329&gt;=Control!$C$82,1,0))</f>
        <v>1</v>
      </c>
      <c r="BB329" s="140" t="e">
        <f ca="1">IF($BA329&gt;$BA328,Control!$C$83,IF($AW329&gt;0,$AW329*Control!$C$84,IF(AND(Control!$B$18=1,EN328&lt;&gt;0),Control!$C$84,0)))</f>
        <v>#N/A</v>
      </c>
      <c r="BC329" s="140" t="e">
        <f t="shared" ca="1" si="1290"/>
        <v>#N/A</v>
      </c>
      <c r="BD329" s="140" t="e">
        <f ca="1">BC329*IF(OR($G329&lt;Control!$C$92,$G329&gt;Control!$C$95),0,IF(AND($G329&gt;=Control!$C$92,$G329&lt;=Control!$C$93),$G329-Control!$C$92,IF(AND($G329&gt;Control!$C$93,$G329&lt;=Control!$C$94),Control!$C$93-Control!$C$92,IF(AND($G329&gt;Control!$C$94,$G329&lt;=Control!$C$95),(Control!$C$93-Control!$C$92)*(Control!$C$94-$G329)/(Control!$C$95-Control!$C$94)))))</f>
        <v>#N/A</v>
      </c>
      <c r="BE329" s="140" t="e">
        <f t="shared" ca="1" si="1291"/>
        <v>#N/A</v>
      </c>
      <c r="BF329" s="140" t="e">
        <f ca="1">IF($BE329&lt;=Control!$C$86,$BE329,Control!$C$86-$BE329)</f>
        <v>#N/A</v>
      </c>
      <c r="BG329" s="140" t="e">
        <f ca="1">IF(AND($AW329=1,Control!$C$84&lt;9),1,IF($BE329&gt;=Control!$C$86,0,$BC329))</f>
        <v>#N/A</v>
      </c>
      <c r="BH329" s="404" t="e">
        <f ca="1">IF($BG329=0,0,IF($BE329&lt;=Control!$C$86,$BC329*9*($BF329/Control!$C$86),0))</f>
        <v>#N/A</v>
      </c>
      <c r="BI329" s="140" t="e">
        <f ca="1">IF($BG329=1,0,IF($BE329&gt;=Control!$C$86,1,IF(AND($BB329&lt;21,$BB329&gt;=9),1,$BM328)))</f>
        <v>#N/A</v>
      </c>
      <c r="BJ329" s="140" t="e">
        <f ca="1">IF($BF329&lt;0,-$BF329,$BI329*IF(OR($G329&lt;Control!$C$92,$G329&gt;Control!$C$95),0,IF(AND($G329&gt;=Control!$C$92,$G329&lt;=Control!$C$93),$G329-Control!$C$92,IF(AND($G329&gt;Control!$C$93,$G329&lt;=Control!$C$94),Control!$C$93-Control!$C$92,IF(AND($G329&gt;Control!$C$94,$G329&lt;=Control!$C$95),(Control!$C$93-Control!$C$92)*(Control!$C$94-$G329)/(Control!$C$95-Control!$C$94))))))</f>
        <v>#N/A</v>
      </c>
      <c r="BK329" s="140" t="e">
        <f t="shared" ca="1" si="1292"/>
        <v>#N/A</v>
      </c>
      <c r="BL329" s="140" t="e">
        <f ca="1">IF($BK329&lt;=Control!$C$87,$BK329,Control!$C$87-$BK329)</f>
        <v>#N/A</v>
      </c>
      <c r="BM329" s="140" t="e">
        <f ca="1">IF(AND($BB329&gt;=9,$BB329&lt;21),1,IF($BK329&gt;=Control!$C$87,0,$BI329))</f>
        <v>#N/A</v>
      </c>
      <c r="BN329" s="404" t="e">
        <f ca="1">IF($BM329=0,0,IF($BK329&lt;=Control!$C$87,$BI329*(9+(21-9)*($BL329/Control!$C$87)),0))</f>
        <v>#N/A</v>
      </c>
      <c r="BO329" s="140" t="e">
        <f ca="1">IF($BM329=1,0,IF($BK329&gt;=Control!$C$87,1,IF(AND($BB329&lt;30,$BB329&gt;=21),1,$BS328)))</f>
        <v>#N/A</v>
      </c>
      <c r="BP329" s="140" t="e">
        <f ca="1">IF($BL329&lt;0,-$BL329,$BO329*IF(OR($G329&lt;Control!$C$92,$G329&gt;Control!$C$95),0,IF(AND($G329&gt;=Control!$C$92,$G329&lt;=Control!$C$93),$G329-Control!$C$92,IF(AND($G329&gt;Control!$C$93,$G329&lt;=Control!$C$94),Control!$C$93-Control!$C$92,IF(AND($G329&gt;Control!$C$94,$G329&lt;=Control!$C$95),(Control!$C$93-Control!$C$92)*(Control!$C$94-$G329)/(Control!$C$95-Control!$C$94))))))</f>
        <v>#N/A</v>
      </c>
      <c r="BQ329" s="140" t="e">
        <f t="shared" ca="1" si="1175"/>
        <v>#N/A</v>
      </c>
      <c r="BR329" s="140" t="e">
        <f ca="1">IF($BQ329&lt;=Control!$C$88,$BQ329,Control!$C$88-$BQ329)</f>
        <v>#N/A</v>
      </c>
      <c r="BS329" s="140" t="e">
        <f ca="1">IF(AND($BB329&gt;=21,$BB329&lt;30),1,IF($BQ329&gt;=Control!$C$88,0,$BO329))</f>
        <v>#N/A</v>
      </c>
      <c r="BT329" s="404" t="e">
        <f ca="1">IF($BS329=0,0,IF($BQ329&lt;=Control!$C$88,$BO329*(21+(30-21)*(BR329/Control!$C$88)),0))</f>
        <v>#N/A</v>
      </c>
      <c r="BU329" s="140" t="e">
        <f ca="1">IF(BG329+BM329+BS329=1,0,IF(OR(AND($BB329&lt;60,$BB329&gt;=30),$BQ329&gt;=Control!$C$88),1*$BA329,$BY328))</f>
        <v>#N/A</v>
      </c>
      <c r="BV329" s="140" t="e">
        <f ca="1">IF($BR329&lt;0,-$BR329,$BU329*IF(OR($G329&lt;Control!$C$92,$G329&gt;Control!$C$95),0,IF(AND($G329&gt;=Control!$C$92,$G329&lt;=Control!$C$93),$G329-Control!$C$92,IF(AND($G329&gt;Control!$C$93,$G329&lt;=Control!$C$94),Control!$C$93-Control!$C$92,IF(AND($G329&gt;Control!$C$94,$G329&lt;=Control!$C$95),(Control!$C$93-Control!$C$92)*(Control!$C$94-$G329)/(Control!$C$95-Control!$C$94))))))</f>
        <v>#N/A</v>
      </c>
      <c r="BW329" s="140" t="e">
        <f t="shared" ca="1" si="1176"/>
        <v>#N/A</v>
      </c>
      <c r="BX329" s="140" t="e">
        <f ca="1">IF($BW329&lt;=Control!$C$89,$BW329,Control!$C$89-$BW329)</f>
        <v>#N/A</v>
      </c>
      <c r="BY329" s="140" t="e">
        <f ca="1">IF(AND($AJ329&gt;=30,$AJ329&lt;60),1,IF($BW329&gt;=Control!$C$89,0,$BU329))</f>
        <v>#N/A</v>
      </c>
      <c r="BZ329" s="404" t="e">
        <f ca="1">IF($BY329=0,0,IF($BW329&lt;=Control!$C$89,$BU329*(30+(60-30)*(BX329/Control!$C$89)),0))</f>
        <v>#N/A</v>
      </c>
      <c r="CA329" s="140" t="e">
        <f ca="1">IF($BG329+$BM329+$BS329+$BY329=1,0,IF(OR(AND($BB329&lt;65,$BB329&gt;=60),$BW329&gt;=Control!$C$89),1*$BA329,$CE328))</f>
        <v>#N/A</v>
      </c>
      <c r="CB329" s="140" t="e">
        <f ca="1">IF($BX329&lt;0,-$BX329,$CA329*IF(OR($G329&lt;Control!$C$92,$G329&gt;Control!$C$95),0,IF(AND($G329&gt;=Control!$C$92,$G329&lt;=Control!$C$93),$G329-Control!$C$92,IF(AND($G329&gt;Control!$C$93,$G329&lt;=Control!$C$94),Control!$C$93-Control!$C$92,IF(AND($G329&gt;Control!$C$94,$G329&lt;=Control!$C$95),(Control!$C$93-Control!$C$92)*(Control!$C$94-$G329)/(Control!$C$95-Control!$C$94))))))</f>
        <v>#N/A</v>
      </c>
      <c r="CC329" s="140" t="e">
        <f t="shared" ca="1" si="1293"/>
        <v>#N/A</v>
      </c>
      <c r="CD329" s="140" t="e">
        <f ca="1">IF($CC329&lt;=Control!$C$90,$CC329,Control!$C$90-$CC329)</f>
        <v>#N/A</v>
      </c>
      <c r="CE329" s="140" t="e">
        <f ca="1">IF(AND($BB329&gt;=60,$BB329&lt;65),1,IF($CC329&gt;=Control!$C$90,0,$CA329))</f>
        <v>#N/A</v>
      </c>
      <c r="CF329" s="404" t="e">
        <f ca="1">IF($CE329=0,0,IF($CC329&lt;=Control!$C$90,$CA329*(60+(65-60)*(CD329/Control!$C$90)),0))</f>
        <v>#N/A</v>
      </c>
      <c r="CG329" s="140" t="e">
        <f ca="1">IF($BG329+$BM329+$BS329+$BY329+$CE329=1,0,IF(OR(AND($BB329&lt;90,$BB329&gt;=65),$CC329&gt;=Control!$C$90),$BA329,$CK328))</f>
        <v>#N/A</v>
      </c>
      <c r="CH329" s="140" t="e">
        <f ca="1">IF($CD329&lt;0,-$CD329,$CG329*IF(OR($G329&lt;Control!$C$92,$G329&gt;Control!$C$95),0,IF(AND($G329&gt;=Control!$C$92,$G329&lt;=Control!$C$93),$G329-Control!$C$92,IF(AND($G329&gt;Control!$C$93,$G329&lt;=Control!$C$94),Control!$C$93-Control!$C$92,IF(AND($G329&gt;Control!$C$94,$G329&lt;=Control!$C$95),(Control!$C$93-Control!$C$92)*(Control!$C$94-$G329)/(Control!$C$95-Control!$C$94))))))</f>
        <v>#N/A</v>
      </c>
      <c r="CI329" s="140" t="e">
        <f t="shared" ca="1" si="1294"/>
        <v>#N/A</v>
      </c>
      <c r="CJ329" s="140" t="e">
        <f ca="1">IF($CI329&lt;=Control!$C$91,$CI329,Control!$C$91-$CI329)</f>
        <v>#N/A</v>
      </c>
      <c r="CK329" s="140" t="e">
        <f ca="1">IF(AND($BB329&gt;=65,$BB329&lt;90),1,IF($CI329&gt;=Control!$C$91,0,$CG329))</f>
        <v>#N/A</v>
      </c>
      <c r="CL329" s="404" t="e">
        <f ca="1">IF($CK329=0,0,IF($CI329&lt;=Control!$C$91,$CG329*(65+(90-65)*($CJ329/Control!$C$91)),0))</f>
        <v>#N/A</v>
      </c>
      <c r="CM329" s="140" t="e">
        <f ca="1">IF($BG329+$BM329+$BS329+$BY329+$CE329+$CK329=1,0,IF(OR($BB329&gt;=90,$CI329&gt;=Control!$C$91),$BA329,$CM328))</f>
        <v>#N/A</v>
      </c>
      <c r="CN329" s="140" t="e">
        <f t="shared" ca="1" si="1295"/>
        <v>#N/A</v>
      </c>
      <c r="CO329" s="140" t="e">
        <f t="shared" ca="1" si="1296"/>
        <v>#N/A</v>
      </c>
      <c r="CP329" s="140" t="e">
        <f t="shared" ca="1" si="1297"/>
        <v>#N/A</v>
      </c>
      <c r="CQ329" s="141" t="e">
        <f ca="1">VLOOKUP($CP329,Control!$B$86:$G$91,6)</f>
        <v>#N/A</v>
      </c>
      <c r="CR329" s="141" t="e">
        <f ca="1">(1-$CQ329)*VLOOKUP($CP329,Control!$B$86:$D$91,3)</f>
        <v>#N/A</v>
      </c>
      <c r="CS329" s="141" t="e">
        <f ca="1">(1-$CQ329)*VLOOKUP($CP329,Control!$B$86:$E$91,4)</f>
        <v>#N/A</v>
      </c>
      <c r="CT329" s="141" t="e">
        <f ca="1">(1-$CQ329)*VLOOKUP($CP329,Control!$B$86:$F$91,5)</f>
        <v>#N/A</v>
      </c>
      <c r="CU329" s="141">
        <f t="shared" ca="1" si="1298"/>
        <v>0</v>
      </c>
      <c r="CV329" s="583">
        <f t="shared" ca="1" si="1299"/>
        <v>0</v>
      </c>
      <c r="CW329" s="142">
        <f t="shared" ca="1" si="1300"/>
        <v>325</v>
      </c>
      <c r="CX329" s="612" t="e">
        <f ca="1">IF(Control!$C$114=1,(MIN(Control!$C$120*(IF($NT329-0.01&lt;0,0,1)),Control!$C$119-$CY329)))</f>
        <v>#DIV/0!</v>
      </c>
      <c r="CY329" s="143" t="e">
        <f t="shared" ca="1" si="1301"/>
        <v>#N/A</v>
      </c>
      <c r="CZ329" s="144">
        <f t="shared" ca="1" si="1177"/>
        <v>0</v>
      </c>
      <c r="DA329" s="144">
        <f t="shared" ca="1" si="1178"/>
        <v>0</v>
      </c>
      <c r="DB329" s="144" t="e">
        <f t="shared" ca="1" si="1179"/>
        <v>#N/A</v>
      </c>
      <c r="DC329" s="144" t="e">
        <f t="shared" ca="1" si="1180"/>
        <v>#N/A</v>
      </c>
      <c r="DD329" s="144" t="e">
        <f t="shared" ref="DD329:DD370" ca="1" si="1386">IF($DE328&lt;14000,(($DC328-$DX328)*$DA328*$DE328),(-$DX328*$DA328*$DE328))</f>
        <v>#N/A</v>
      </c>
      <c r="DE329" s="143" t="e">
        <f t="shared" ca="1" si="1302"/>
        <v>#N/A</v>
      </c>
      <c r="DF329" s="145" t="e">
        <f ca="1">$DR329*EXP(-Control!$C$158*(1-$KH329))</f>
        <v>#N/A</v>
      </c>
      <c r="DG329" s="146" t="e">
        <f ca="1">IF(Control!$C$114=1, $DF329*$EY329, 0)</f>
        <v>#N/A</v>
      </c>
      <c r="DH329" s="147" t="e">
        <f t="shared" ca="1" si="1303"/>
        <v>#N/A</v>
      </c>
      <c r="DI329" s="144" t="e">
        <f t="shared" ca="1" si="1364"/>
        <v>#N/A</v>
      </c>
      <c r="DJ329" s="147" t="e">
        <f ca="1">$EF329*Control!$C$109</f>
        <v>#N/A</v>
      </c>
      <c r="DK329" s="144" t="e">
        <f t="shared" ca="1" si="1304"/>
        <v>#N/A</v>
      </c>
      <c r="DL329" s="144" t="e">
        <f t="shared" ca="1" si="1181"/>
        <v>#N/A</v>
      </c>
      <c r="DM329" s="144" t="e">
        <f ca="1">IF(Control!$C$114=1, (1-EXP(-Control!$C$96*$DK329))*$AR329, 0)</f>
        <v>#N/A</v>
      </c>
      <c r="DN329" s="144">
        <f t="shared" ca="1" si="1305"/>
        <v>0</v>
      </c>
      <c r="DO329" s="148">
        <f>Control!$C$97</f>
        <v>4</v>
      </c>
      <c r="DP329" s="145" t="e">
        <f t="shared" ca="1" si="1306"/>
        <v>#N/A</v>
      </c>
      <c r="DQ329" s="145" t="e">
        <f ca="1">IF(AND($CP329&gt;=0,$CP329&lt;=90),Control!$C$111,Control!$C$111)</f>
        <v>#N/A</v>
      </c>
      <c r="DR329" s="145" t="e">
        <f t="shared" ca="1" si="1182"/>
        <v>#N/A</v>
      </c>
      <c r="DS329" s="143" t="e">
        <f ca="1">Control!$B$22/$DR329</f>
        <v>#N/A</v>
      </c>
      <c r="DT329" s="149" t="e">
        <f ca="1">IF(AND(Control!$C$114=1,$KH329&lt;1),$IM329*$DF329, 0)</f>
        <v>#N/A</v>
      </c>
      <c r="DU329" s="144" t="e">
        <f t="shared" ca="1" si="1307"/>
        <v>#N/A</v>
      </c>
      <c r="DV329" s="144">
        <f ca="1">IF($G329-Control!$C$107&lt;=0, 0, 0.83*LN(MAX($G329, 3))-0.8924)</f>
        <v>0</v>
      </c>
      <c r="DW329" s="144" t="e">
        <f t="shared" ca="1" si="1183"/>
        <v>#N/A</v>
      </c>
      <c r="DX329" s="150" t="e">
        <f ca="1">MAX(0.01*(1+$CU329/Control!$C$102),0.05*($DK329-Control!$C$97)/Control!$C$97)</f>
        <v>#N/A</v>
      </c>
      <c r="DY329" s="151" t="e">
        <f ca="1">IF(Control!$C$114=1, $DI329*$FS329, 0)</f>
        <v>#N/A</v>
      </c>
      <c r="DZ329" s="196" t="e">
        <f t="shared" ca="1" si="1308"/>
        <v>#N/A</v>
      </c>
      <c r="EA329" s="152">
        <f t="shared" ca="1" si="1309"/>
        <v>325</v>
      </c>
      <c r="EB329" s="153" t="e">
        <f t="shared" ca="1" si="1310"/>
        <v>#N/A</v>
      </c>
      <c r="EC329" s="153" t="e">
        <f t="shared" ca="1" si="1311"/>
        <v>#N/A</v>
      </c>
      <c r="ED329" s="154" t="e">
        <f ca="1">IF(Control!$C$114=1, $HM329*$FY329-$FD329, 0)</f>
        <v>#DIV/0!</v>
      </c>
      <c r="EE329" s="155" t="e">
        <f ca="1">IF(Control!$C$114=1, $HM329*$FZ329-$FF329, 0)</f>
        <v>#DIV/0!</v>
      </c>
      <c r="EF329" s="153" t="e">
        <f t="shared" ca="1" si="1365"/>
        <v>#N/A</v>
      </c>
      <c r="EG329" s="155" t="e">
        <f ca="1">IF(Control!$C$114=1, $GX329*$FW329-$FI329, 0)</f>
        <v>#DIV/0!</v>
      </c>
      <c r="EH329" s="153" t="e">
        <f t="shared" ca="1" si="1312"/>
        <v>#N/A</v>
      </c>
      <c r="EI329" s="156" t="e">
        <f t="shared" ca="1" si="1313"/>
        <v>#N/A</v>
      </c>
      <c r="EJ329" s="155" t="e">
        <f ca="1">IF(Control!$C$114=1, $HM329*$GB329, 0)</f>
        <v>#DIV/0!</v>
      </c>
      <c r="EK329" s="153" t="e">
        <f t="shared" ca="1" si="1366"/>
        <v>#N/A</v>
      </c>
      <c r="EL329" s="153" t="e">
        <f t="shared" ca="1" si="1184"/>
        <v>#N/A</v>
      </c>
      <c r="EM329" s="153" t="e">
        <f t="shared" ca="1" si="1185"/>
        <v>#N/A</v>
      </c>
      <c r="EN329" s="153" t="e">
        <f ca="1">IF(Control!$C$108=1,IF(AND(Control!$B$18=1,$EB329&gt;=Control!$B$19),$EB329-$DS329,IF(AND(Control!$B$18=2,$AW329=1,$EB329&gt;$DS329),$EB329-$DS329,0)))</f>
        <v>#N/A</v>
      </c>
      <c r="EO329" s="153" t="e">
        <f ca="1">IF(Control!$C$108=1,IF(AND(Control!$B$18=1,$EB329&gt;=Control!$B$19),$EF329,IF(AND(Control!$B$18=2,$AW329=1),$EF329,0)))</f>
        <v>#N/A</v>
      </c>
      <c r="EP329" s="153" t="e">
        <f ca="1">IF(Control!$C$108=1,IF(AND(Control!$B$18=1,$EB329&gt;=Control!$B$19),$EK329,IF(AND(Control!$B$18=2,$AW329=1),$EK329,0)))</f>
        <v>#N/A</v>
      </c>
      <c r="EQ329" s="153" t="e">
        <f t="shared" ca="1" si="1314"/>
        <v>#N/A</v>
      </c>
      <c r="ER329" s="153" t="e">
        <f t="shared" ca="1" si="1315"/>
        <v>#N/A</v>
      </c>
      <c r="ES329" s="153" t="e">
        <f t="shared" ca="1" si="1367"/>
        <v>#N/A</v>
      </c>
      <c r="ET329" s="153" t="e">
        <f t="shared" ca="1" si="1368"/>
        <v>#N/A</v>
      </c>
      <c r="EU329" s="153" t="e">
        <f t="shared" ca="1" si="1316"/>
        <v>#N/A</v>
      </c>
      <c r="EV329" s="153" t="e">
        <f t="shared" ca="1" si="1186"/>
        <v>#N/A</v>
      </c>
      <c r="EW329" s="153" t="e">
        <f t="shared" ca="1" si="1187"/>
        <v>#N/A</v>
      </c>
      <c r="EX329" s="153" t="e">
        <f t="shared" ca="1" si="1188"/>
        <v>#N/A</v>
      </c>
      <c r="EY329" s="157" t="e">
        <f t="shared" ca="1" si="1189"/>
        <v>#DIV/0!</v>
      </c>
      <c r="EZ329" s="154" t="e">
        <f t="shared" ca="1" si="1190"/>
        <v>#DIV/0!</v>
      </c>
      <c r="FA329" s="153" t="e">
        <f t="shared" ca="1" si="1317"/>
        <v>#N/A</v>
      </c>
      <c r="FB329" s="153" t="e">
        <f t="shared" ca="1" si="1191"/>
        <v>#N/A</v>
      </c>
      <c r="FC329" s="193" t="e">
        <f t="shared" ca="1" si="1192"/>
        <v>#N/A</v>
      </c>
      <c r="FD329" s="158" t="e">
        <f t="shared" ca="1" si="1318"/>
        <v>#N/A</v>
      </c>
      <c r="FE329" s="158" t="e">
        <f t="shared" ca="1" si="1319"/>
        <v>#N/A</v>
      </c>
      <c r="FF329" s="159" t="e">
        <f t="shared" ca="1" si="1193"/>
        <v>#N/A</v>
      </c>
      <c r="FG329" s="160" t="e">
        <f t="shared" ca="1" si="1320"/>
        <v>#N/A</v>
      </c>
      <c r="FH329" s="158" t="e">
        <f t="shared" ca="1" si="1321"/>
        <v>#N/A</v>
      </c>
      <c r="FI329" s="159" t="e">
        <f t="shared" ca="1" si="1194"/>
        <v>#N/A</v>
      </c>
      <c r="FJ329" s="160" t="e">
        <f t="shared" ca="1" si="1322"/>
        <v>#N/A</v>
      </c>
      <c r="FK329" s="160" t="e">
        <f t="shared" ca="1" si="1195"/>
        <v>#N/A</v>
      </c>
      <c r="FL329" s="160" t="e">
        <f t="shared" ca="1" si="1369"/>
        <v>#N/A</v>
      </c>
      <c r="FM329" s="160" t="e">
        <f t="shared" ca="1" si="1196"/>
        <v>#N/A</v>
      </c>
      <c r="FN329" s="158">
        <f t="shared" ca="1" si="1323"/>
        <v>0.01</v>
      </c>
      <c r="FO329" s="160">
        <f>Control!$C$101</f>
        <v>50</v>
      </c>
      <c r="FP329" s="150" t="e">
        <f t="shared" ca="1" si="1197"/>
        <v>#N/A</v>
      </c>
      <c r="FQ329" s="150" t="e">
        <f ca="1">MAX(0,(Control!$C$112*(($DK329-Control!$C$97)/Control!$C$97)))</f>
        <v>#N/A</v>
      </c>
      <c r="FR329" s="150" t="e">
        <f ca="1">(1-$NT329)*Control!$C$113</f>
        <v>#DIV/0!</v>
      </c>
      <c r="FS329" s="198" t="e">
        <f t="shared" ca="1" si="1198"/>
        <v>#N/A</v>
      </c>
      <c r="FT329" s="161">
        <f t="shared" ca="1" si="1324"/>
        <v>325</v>
      </c>
      <c r="FU329" s="162" t="e">
        <f ca="1">IF(Control!$B$34=1,VLOOKUP($CP329,Control!$B$86:$G$91,6),Control!$B$35)</f>
        <v>#N/A</v>
      </c>
      <c r="FV329" s="162" t="e">
        <f t="shared" ca="1" si="1199"/>
        <v>#DIV/0!</v>
      </c>
      <c r="FW329" s="162" t="e">
        <f ca="1">IF(Control!$B$31=1,$FU329*$FV329,  $FU329)</f>
        <v>#N/A</v>
      </c>
      <c r="FX329" s="162" t="e">
        <f ca="1">IF(Control!$B$34=1,VLOOKUP($CP329,Control!$B$86:$G$91,3),Control!$B$36)</f>
        <v>#N/A</v>
      </c>
      <c r="FY329" s="162" t="e">
        <f t="shared" ca="1" si="1200"/>
        <v>#N/A</v>
      </c>
      <c r="FZ329" s="162" t="e">
        <f ca="1">IF(Control!$B$34=1,VLOOKUP($CP329,Control!$B$86:$G$91,4),Control!$B$37)</f>
        <v>#N/A</v>
      </c>
      <c r="GA329" s="162" t="e">
        <f t="shared" ca="1" si="1201"/>
        <v>#N/A</v>
      </c>
      <c r="GB329" s="162" t="e">
        <f ca="1">IF(Control!$B$34=1,VLOOKUP($CP329,Control!$B$86:$G$91,5),Control!$B$38)</f>
        <v>#N/A</v>
      </c>
      <c r="GC329" s="162" t="e">
        <f t="shared" ca="1" si="1325"/>
        <v>#N/A</v>
      </c>
      <c r="GD329" s="162">
        <f t="shared" ca="1" si="1202"/>
        <v>1</v>
      </c>
      <c r="GE329" s="162">
        <f t="shared" ca="1" si="1203"/>
        <v>1</v>
      </c>
      <c r="GF329" s="162">
        <f ca="1">IF(AND(Control!$C$104=1, Control!$C$62="F"),$GE329,1)</f>
        <v>1</v>
      </c>
      <c r="GG329" s="162" t="e">
        <f ca="1">IF(Control!$B$16=40,0,IF(AND(Control!$B$16&gt;40,Control!$B$16&lt;=360),(Control!$B$16-40)*((1-0)/(360-40)),IF(AND(Control!$B$16&gt;360,Control!$B$16&lt;=720),(1+(Control!$B$16-360)*((1.25-1)/(720-360))),IF(AND(Control!$B$16&gt;720,Control!$B$16&lt;=1000),(1.25+(Control!$B$16-720)*((1.35-1.25)/(1000-720))),IF(AND(Control!$B$16&gt;1000,Control!$B$16&lt;=2000),(1.35+(Control!$B$16-1000)*0))))))</f>
        <v>#N/A</v>
      </c>
      <c r="GH329" s="162" t="e">
        <f t="shared" ca="1" si="1204"/>
        <v>#N/A</v>
      </c>
      <c r="GI329" s="162">
        <f t="shared" ca="1" si="1326"/>
        <v>0</v>
      </c>
      <c r="GJ329" s="162">
        <f t="shared" ca="1" si="1205"/>
        <v>0</v>
      </c>
      <c r="GK329" s="162">
        <f t="shared" ca="1" si="1327"/>
        <v>1</v>
      </c>
      <c r="GL329" s="162">
        <f t="shared" ca="1" si="1206"/>
        <v>1</v>
      </c>
      <c r="GM329" s="162" t="e">
        <f ca="1">MAX(0,MIN(1,1-Control!$C$156*(1.0001-$KH329)^2))</f>
        <v>#N/A</v>
      </c>
      <c r="GN329" s="162" t="e">
        <f ca="1">IF(Control!$B$26=1,$KU329,$KX329)</f>
        <v>#N/A</v>
      </c>
      <c r="GO329" s="162" t="e">
        <f ca="1">IF($CP329&lt;=60,Control!$C$105,IF($CP329&gt;=90,Control!$C$106,Control!$C$105+($CP329-60)*((Control!$C$106-Control!$C$105)/(90-60))))</f>
        <v>#N/A</v>
      </c>
      <c r="GP329" s="162" t="e">
        <f t="shared" ca="1" si="1207"/>
        <v>#N/A</v>
      </c>
      <c r="GQ329" s="162" t="e">
        <f t="shared" ca="1" si="1328"/>
        <v>#N/A</v>
      </c>
      <c r="GR329" s="163" t="e">
        <f t="shared" ca="1" si="1208"/>
        <v>#DIV/0!</v>
      </c>
      <c r="GS329" s="162" t="e">
        <f t="shared" ca="1" si="1209"/>
        <v>#DIV/0!</v>
      </c>
      <c r="GT329" s="164" t="e">
        <f t="shared" ca="1" si="1329"/>
        <v>#N/A</v>
      </c>
      <c r="GU329" s="162" t="e">
        <f t="shared" ca="1" si="1330"/>
        <v>#N/A</v>
      </c>
      <c r="GV329" s="162" t="e">
        <f t="shared" ca="1" si="1210"/>
        <v>#N/A</v>
      </c>
      <c r="GW329" s="162" t="e">
        <f t="shared" ca="1" si="1211"/>
        <v>#DIV/0!</v>
      </c>
      <c r="GX329" s="162" t="e">
        <f t="shared" ca="1" si="1331"/>
        <v>#DIV/0!</v>
      </c>
      <c r="GY329" s="162" t="e">
        <f t="shared" ca="1" si="1332"/>
        <v>#DIV/0!</v>
      </c>
      <c r="GZ329" s="165" t="e">
        <f t="shared" ca="1" si="1212"/>
        <v>#N/A</v>
      </c>
      <c r="HA329" s="162" t="e">
        <f ca="1">IF(Control!$C$114=1, $DI329*$FS329, 0)</f>
        <v>#N/A</v>
      </c>
      <c r="HB329" s="162" t="e">
        <f ca="1">$FA329/Control!$C$64</f>
        <v>#N/A</v>
      </c>
      <c r="HC329" s="162" t="e">
        <f t="shared" ca="1" si="1213"/>
        <v>#DIV/0!</v>
      </c>
      <c r="HD329" s="162">
        <f ca="1">-ASIN(SIN(23.45*Control!$C$139)*COS(2*Control!$C$138*($AH329+10)/365))</f>
        <v>-0.35336337060066131</v>
      </c>
      <c r="HE329" s="165">
        <f t="shared" ca="1" si="1333"/>
        <v>0</v>
      </c>
      <c r="HF329" s="166">
        <f ca="1">IF(AND(Control!$C$61="T",$HE329&gt;=Control!$C$103,Control!$C$114=0),$AH329,Control!$C$59)</f>
        <v>1</v>
      </c>
      <c r="HG329" s="166">
        <f ca="1">IF(AND(Control!$C$61="T",$HE329&gt;=Control!$C$103,Control!$C$114=0),$HF329,Control!$C$59)</f>
        <v>1</v>
      </c>
      <c r="HH329" s="165">
        <f ca="1">IF(AND(OR(Control!$C$60&lt;=0, $AH329= Control!$C$59, Control!$C$60 &gt;0, $AH329 = Control!$C$60)), Control!$C$59, IF(Control!$C$60&gt;0, 0))</f>
        <v>1</v>
      </c>
      <c r="HI329" s="165">
        <f ca="1">IF(AND(OR(Control!$C$60&lt;=0, $AH329= Control!$C$59, Control!$C$60 &gt;0, $AH329 = Control!$C$60)), Control!$C$60, IF(Control!$C$60&lt;=0, 0))</f>
        <v>0</v>
      </c>
      <c r="HJ329" s="166">
        <f ca="1">IF(AND(Control!$C$62="F",$CV329&gt;=Control!$C$102),$AH329,0)</f>
        <v>0</v>
      </c>
      <c r="HK329" s="165" t="e">
        <f t="shared" ca="1" si="1370"/>
        <v>#N/A</v>
      </c>
      <c r="HL329" s="166">
        <f ca="1">IF(AND(Control!$C$61="T",$HE329&gt;=Control!$C$103,Control!$C$114=0),$HF329,0)</f>
        <v>0</v>
      </c>
      <c r="HM329" s="201" t="e">
        <f t="shared" ca="1" si="1214"/>
        <v>#DIV/0!</v>
      </c>
      <c r="HN329" s="215">
        <f t="shared" ca="1" si="1334"/>
        <v>325</v>
      </c>
      <c r="HO329" s="216" t="e">
        <f ca="1">IF(AND($CP329&gt;=0, $CP329&lt;=90), Control!$C$152, Control!$C$152)</f>
        <v>#N/A</v>
      </c>
      <c r="HP329" s="216" t="e">
        <f t="shared" ca="1" si="1215"/>
        <v>#N/A</v>
      </c>
      <c r="HQ329" s="217" t="e">
        <f ca="1">IF(OR(Control!$B$26=1,Control!$B$26=2),$KV329,$KS329)</f>
        <v>#DIV/0!</v>
      </c>
      <c r="HR329" s="218" t="e">
        <f t="shared" ca="1" si="1371"/>
        <v>#DIV/0!</v>
      </c>
      <c r="HS329" s="216" t="e">
        <f ca="1">Control!$C$154*$HP329</f>
        <v>#N/A</v>
      </c>
      <c r="HT329" s="216" t="e">
        <f ca="1">Control!$C$155*$HP329</f>
        <v>#N/A</v>
      </c>
      <c r="HU329" s="217" t="e">
        <f ca="1">Control!$C$161*$FI329</f>
        <v>#N/A</v>
      </c>
      <c r="HV329" s="218" t="e">
        <f t="shared" ca="1" si="1335"/>
        <v>#N/A</v>
      </c>
      <c r="HW329" s="218" t="e">
        <f ca="1">Control!$C$160*$FF329+$IP329*$EO329</f>
        <v>#N/A</v>
      </c>
      <c r="HX329" s="218" t="e">
        <f t="shared" ca="1" si="1372"/>
        <v>#N/A</v>
      </c>
      <c r="HY329" s="219" t="e">
        <f ca="1">IF(Control!$C$114=1, $EB329*$FS329, 0)</f>
        <v>#N/A</v>
      </c>
      <c r="HZ329" s="91" t="e">
        <f t="shared" ca="1" si="1216"/>
        <v>#N/A</v>
      </c>
      <c r="IA329" s="220" t="e">
        <f ca="1">Control!$C$153*$HO329</f>
        <v>#N/A</v>
      </c>
      <c r="IB329" s="218" t="e">
        <f t="shared" ca="1" si="1217"/>
        <v>#N/A</v>
      </c>
      <c r="IC329" s="220" t="e">
        <f ca="1">Control!$C$153*$HT329</f>
        <v>#N/A</v>
      </c>
      <c r="ID329" s="218" t="e">
        <f t="shared" ca="1" si="1218"/>
        <v>#N/A</v>
      </c>
      <c r="IE329" s="221" t="e">
        <f ca="1">($EB329*Control!$C$159+$EF329*Control!$C$160)/(IF($GZ329&lt;&gt;0,$GZ329,1))</f>
        <v>#N/A</v>
      </c>
      <c r="IF329" s="216" t="e">
        <f t="shared" ca="1" si="1219"/>
        <v>#N/A</v>
      </c>
      <c r="IG329" s="91">
        <f ca="1">IF(OR(Control!$B$198=$AH329,Control!$B$199=$AH329, Control!$B$200=$AH329, Control!$B$201=$AH329, Control!$B$202=$AH329, Control!$B$203=$AH329, Control!$B$204=$AH329, Control!$B$205=$AH329, Control!$B$206=$AH329, Control!$B$207=$AH329), 1, 0)</f>
        <v>0</v>
      </c>
      <c r="IH329" s="91">
        <f ca="1">IF($IG329=0,0, VLOOKUP($AH329,Control!$B$198:$C$207,2))</f>
        <v>0</v>
      </c>
      <c r="II329" s="222">
        <f t="shared" ca="1" si="1336"/>
        <v>0</v>
      </c>
      <c r="IJ329" s="91">
        <f>Control!$C$121</f>
        <v>0.7</v>
      </c>
      <c r="IK329" s="218">
        <f t="shared" ca="1" si="1220"/>
        <v>0</v>
      </c>
      <c r="IL329" s="217" t="e">
        <f t="shared" ca="1" si="1373"/>
        <v>#N/A</v>
      </c>
      <c r="IM329" s="223" t="e">
        <f ca="1">IF(AND(Control!$C$114=1,$KH329&lt;1),$EB329*Control!$C$148*(1-$KH329), 0)</f>
        <v>#N/A</v>
      </c>
      <c r="IN329" s="217" t="e">
        <f t="shared" ca="1" si="1221"/>
        <v>#DIV/0!</v>
      </c>
      <c r="IO329" s="91" t="e">
        <f ca="1">MAX(0,$IL329-$EF329*Control!$C$160)</f>
        <v>#N/A</v>
      </c>
      <c r="IP329" s="220" t="e">
        <f t="shared" ca="1" si="1222"/>
        <v>#N/A</v>
      </c>
      <c r="IQ329" s="217" t="e">
        <f t="shared" ca="1" si="1337"/>
        <v>#N/A</v>
      </c>
      <c r="IR329" s="218" t="e">
        <f t="shared" ca="1" si="1223"/>
        <v>#N/A</v>
      </c>
      <c r="IS329" s="217" t="e">
        <f ca="1">Control!$C$159*MAX(0,$FD329-$EN329)</f>
        <v>#N/A</v>
      </c>
      <c r="IT329" s="217" t="e">
        <f t="shared" ca="1" si="1374"/>
        <v>#N/A</v>
      </c>
      <c r="IU329" s="217" t="e">
        <f t="shared" ca="1" si="1338"/>
        <v>#N/A</v>
      </c>
      <c r="IV329" s="217" t="e">
        <f t="shared" ca="1" si="1375"/>
        <v>#N/A</v>
      </c>
      <c r="IW329" s="217" t="e">
        <f ca="1">IF(OR($AW329=1,AND($AW329=0, Control!$B$18=1,$EN329&lt;&gt;0)), $IQ329-$IU329, $IQ329)</f>
        <v>#N/A</v>
      </c>
      <c r="IX329" s="218" t="e">
        <f t="shared" ca="1" si="1224"/>
        <v>#N/A</v>
      </c>
      <c r="IY329" s="218" t="e">
        <f ca="1">MAX(0,$IQ329-$EB329*Control!$C$159)</f>
        <v>#N/A</v>
      </c>
      <c r="IZ329" s="218" t="e">
        <f t="shared" ca="1" si="1225"/>
        <v>#N/A</v>
      </c>
      <c r="JA329" s="216" t="e">
        <f t="shared" ca="1" si="1226"/>
        <v>#N/A</v>
      </c>
      <c r="JB329" s="217" t="e">
        <f t="shared" ca="1" si="1227"/>
        <v>#N/A</v>
      </c>
      <c r="JC329" s="222" t="e">
        <f ca="1">MAX(Control!$C$157*$EK329-$JT329, 0)/Control!$C$162</f>
        <v>#N/A</v>
      </c>
      <c r="JD329" s="218" t="e">
        <f t="shared" ca="1" si="1228"/>
        <v>#N/A</v>
      </c>
      <c r="JE329" s="218" t="e">
        <f t="shared" ca="1" si="1229"/>
        <v>#N/A</v>
      </c>
      <c r="JF329" s="218" t="e">
        <f t="shared" ca="1" si="1339"/>
        <v>#N/A</v>
      </c>
      <c r="JG329" s="218" t="e">
        <f t="shared" ca="1" si="1230"/>
        <v>#N/A</v>
      </c>
      <c r="JH329" s="217" t="e">
        <f t="shared" ca="1" si="1340"/>
        <v>#N/A</v>
      </c>
      <c r="JI329" s="217" t="e">
        <f t="shared" ca="1" si="1341"/>
        <v>#N/A</v>
      </c>
      <c r="JJ329" s="217" t="e">
        <f t="shared" ca="1" si="1376"/>
        <v>#N/A</v>
      </c>
      <c r="JK329" s="217" t="e">
        <f ca="1">IF(Control!$C$114=1,IF(Control!$B$24=0,MAX(0,$JI329)*$GN329/Control!$C$64,(MAX(0,MIN($JI329,$JJ329*$GN329/Control!$C$64),0))))</f>
        <v>#N/A</v>
      </c>
      <c r="JL329" s="217" t="e">
        <f ca="1">$IK329/Control!$C$64-$JK329+$HQ329</f>
        <v>#N/A</v>
      </c>
      <c r="JM329" s="217" t="e">
        <f ca="1">IF(Control!$C$114=1,($JB329/(IF($JI329&lt;&gt;0,$JI329,1)))*$JK329,0)</f>
        <v>#N/A</v>
      </c>
      <c r="JN329" s="217" t="e">
        <f ca="1">IF(Control!$C$114=1,($JG329/(IF($JI329&lt;&gt;0,$JI329,1)))*$JK329, 0)</f>
        <v>#N/A</v>
      </c>
      <c r="JO329" s="218" t="e">
        <f t="shared" ca="1" si="1231"/>
        <v>#N/A</v>
      </c>
      <c r="JP329" s="218" t="e">
        <f ca="1">MIN(($IY329+$IO329)*Control!$C$151, $JF329-$EH329*Control!$C$161)</f>
        <v>#N/A</v>
      </c>
      <c r="JQ329" s="218" t="e">
        <f t="shared" ca="1" si="1232"/>
        <v>#N/A</v>
      </c>
      <c r="JR329" s="217" t="e">
        <f ca="1">IF($CP329-Control!$C$150&lt;0, 0, $JQ329/Control!$C$162)</f>
        <v>#N/A</v>
      </c>
      <c r="JS329" s="218" t="e">
        <f t="shared" ca="1" si="1233"/>
        <v>#N/A</v>
      </c>
      <c r="JT329" s="218" t="e">
        <f t="shared" ca="1" si="1342"/>
        <v>#N/A</v>
      </c>
      <c r="JU329" s="218" t="e">
        <f t="shared" ca="1" si="1234"/>
        <v>#N/A</v>
      </c>
      <c r="JV329" s="218" t="e">
        <f t="shared" ca="1" si="1235"/>
        <v>#N/A</v>
      </c>
      <c r="JW329" s="216" t="e">
        <f t="shared" ca="1" si="1236"/>
        <v>#N/A</v>
      </c>
      <c r="JX329" s="91" t="e">
        <f t="shared" ca="1" si="1237"/>
        <v>#N/A</v>
      </c>
      <c r="JY329" s="218" t="e">
        <f t="shared" ca="1" si="1238"/>
        <v>#N/A</v>
      </c>
      <c r="JZ329" s="217" t="e">
        <f ca="1">IF(Control!$C$114=1,($IZ329/(IF($JI329&lt;&gt;0,$JI329,1)))*$JK329, 0)</f>
        <v>#N/A</v>
      </c>
      <c r="KA329" s="218" t="e">
        <f t="shared" ca="1" si="1377"/>
        <v>#N/A</v>
      </c>
      <c r="KB329" s="218" t="e">
        <f t="shared" ca="1" si="1343"/>
        <v>#N/A</v>
      </c>
      <c r="KC329" s="218" t="e">
        <f t="shared" ca="1" si="1239"/>
        <v>#N/A</v>
      </c>
      <c r="KD329" s="218" t="e">
        <f t="shared" ca="1" si="1240"/>
        <v>#N/A</v>
      </c>
      <c r="KE329" s="218" t="e">
        <f t="shared" ca="1" si="1241"/>
        <v>#N/A</v>
      </c>
      <c r="KF329" s="218" t="e">
        <f t="shared" ca="1" si="1242"/>
        <v>#N/A</v>
      </c>
      <c r="KG329" s="216" t="e">
        <f t="shared" ca="1" si="1243"/>
        <v>#N/A</v>
      </c>
      <c r="KH329" s="221" t="e">
        <f ca="1">IF(Control!$B$24=0,1,MAX(0.001,MIN(1,IF(($IF329-$IE329)&lt;&gt;0,($KG329-$IE329)/($IF329-$IE329),1))))</f>
        <v>#N/A</v>
      </c>
      <c r="KI329" s="222" t="e">
        <f ca="1">IF(Control!$C$114=1, $KI328+ $KH328, 0)</f>
        <v>#N/A</v>
      </c>
      <c r="KJ329" s="217" t="e">
        <f t="shared" ca="1" si="1244"/>
        <v>#N/A</v>
      </c>
      <c r="KK329" s="218" t="e">
        <f t="shared" ca="1" si="1245"/>
        <v>#N/A</v>
      </c>
      <c r="KL329" s="274" t="e">
        <f ca="1">IF(Control!$B$26=3,4000000000*EXP(-8400/($G329+273)),IF(Control!$B$26=4,4000000000*EXP(-8400/($G329+273))*($KT329),0))</f>
        <v>#DIV/0!</v>
      </c>
      <c r="KM329" s="274" t="e">
        <f ca="1">IF(Control!$B$26=3,5600000000000*EXP(-9800/($G329+273)),IF(Control!$B$26=4,5600000000000*EXP(-9800/($G329+273))*$KT329,0))</f>
        <v>#DIV/0!</v>
      </c>
      <c r="KN329" s="454" t="e">
        <f t="shared" ca="1" si="1344"/>
        <v>#DIV/0!</v>
      </c>
      <c r="KO329" s="274" t="e">
        <f t="shared" ca="1" si="1345"/>
        <v>#DIV/0!</v>
      </c>
      <c r="KP329" s="454" t="e">
        <f t="shared" ca="1" si="1246"/>
        <v>#DIV/0!</v>
      </c>
      <c r="KQ329" s="454" t="e">
        <f t="shared" ca="1" si="1247"/>
        <v>#DIV/0!</v>
      </c>
      <c r="KR329" s="454" t="e">
        <f t="shared" ca="1" si="1248"/>
        <v>#DIV/0!</v>
      </c>
      <c r="KS329" s="454" t="e">
        <f t="shared" ca="1" si="1249"/>
        <v>#DIV/0!</v>
      </c>
      <c r="KT329" s="455" t="e">
        <f t="shared" ca="1" si="1250"/>
        <v>#DIV/0!</v>
      </c>
      <c r="KU329" s="456" t="e">
        <f ca="1">IF($CP329-Control!$C$149&lt;0, IF($NT329-0.01&lt;0,0,1),0)</f>
        <v>#N/A</v>
      </c>
      <c r="KV329" s="456" t="e">
        <f ca="1">IF(Control!$C$114=1,MAX(0,MIN(Control!$C$125*$KW329*$GN329,$KW329)))</f>
        <v>#DIV/0!</v>
      </c>
      <c r="KW329" s="456" t="e">
        <f t="shared" ca="1" si="1378"/>
        <v>#DIV/0!</v>
      </c>
      <c r="KX329" s="457" t="e">
        <f ca="1">IF($CP329-Control!$C$149&lt;0, IF($MR329-$OM329&lt;0,0,1),0)</f>
        <v>#N/A</v>
      </c>
      <c r="KY329" s="167">
        <f t="shared" ca="1" si="1346"/>
        <v>325</v>
      </c>
      <c r="KZ329" s="168">
        <f ca="1">1370*(1+0.033*COS(2*Control!$C$138*$AH329/365))</f>
        <v>1404.9095750191577</v>
      </c>
      <c r="LA329" s="169">
        <f t="shared" ca="1" si="1347"/>
        <v>1.0254811672884725</v>
      </c>
      <c r="LB329" s="169">
        <f t="shared" ca="1" si="1348"/>
        <v>-0.35739648450575284</v>
      </c>
      <c r="LC329" s="169">
        <f ca="1">ACOS(-TAN((2*Control!$B$8/360))*TAN(Calculations!$LB329))</f>
        <v>1.4595816362575031</v>
      </c>
      <c r="LD329" s="169">
        <f ca="1">((24*60)/PI())*0.082*$LA329*(($LC329*SIN(Control!$B$8*2*PI()/360))*SIN($LB329)+COS(Control!$B$8*2*PI()/360)*COS($LB329)*SIN($LC329))</f>
        <v>6.5842449547024087</v>
      </c>
      <c r="LE329" s="170">
        <f t="shared" ca="1" si="1251"/>
        <v>8.1169023285119337</v>
      </c>
      <c r="LF329" s="170">
        <f ca="1">SIN(Control!$C$139*Control!$B$8)*SIN($HD329)</f>
        <v>-0.27269576612942059</v>
      </c>
      <c r="LG329" s="170">
        <f ca="1">COS(Control!$C$139*Control!$B$8)*COS($HD329)</f>
        <v>0.57762071370559231</v>
      </c>
      <c r="LH329" s="170">
        <f ca="1">12*(1+2*ASIN(MAX(-1,MIN(1,$LF329/$LG329))/Control!$C$138))</f>
        <v>8.3797024892167187</v>
      </c>
      <c r="LI329" s="170">
        <f ca="1">12*(1+2*ASIN(MAX(-1,MIN(1,(-SIN(-4*Control!$C$139)+$LF329)/$LG329))/Control!$C$138))</f>
        <v>9.3103681652495922</v>
      </c>
      <c r="LJ329" s="168">
        <f ca="1">3600*($LH329*$LF329+24*$LG329*SQRT(1-$LK329*$LK329)/Control!$C$138)</f>
        <v>5777.5265204532825</v>
      </c>
      <c r="LK329" s="170">
        <f t="shared" ca="1" si="1252"/>
        <v>-0.47210177831055239</v>
      </c>
      <c r="LL329" s="170">
        <f t="shared" ca="1" si="1253"/>
        <v>0</v>
      </c>
      <c r="LM329" s="171">
        <f ca="1">Control!$C$145*$AB329</f>
        <v>6.6660906138995932E-2</v>
      </c>
      <c r="LN329" s="170">
        <f t="shared" ca="1" si="1349"/>
        <v>0.54</v>
      </c>
      <c r="LO329" s="170">
        <f t="shared" ca="1" si="1254"/>
        <v>0</v>
      </c>
      <c r="LP329" s="170">
        <f ca="1">Control!$C$140*((($D329+273.16)^4+($E329+273.16)^4)/2)*(0.34-0.14*SQRT($Y329))*(1.35*$AQ329/(0.75*$LD329)-0.35)</f>
        <v>-3.2464704755046001</v>
      </c>
      <c r="LQ329" s="170">
        <f ca="1">Control!$C$140*($G329+273)^4*(0.56-0.079*SQRT($Y329*10))*(0.1+0.9*$LO329)</f>
        <v>1.5241745131704001</v>
      </c>
      <c r="LR329" s="170">
        <f ca="1">$AQ329*(1-Control!$C$142)-$LQ329</f>
        <v>-1.5241745131704001</v>
      </c>
      <c r="LS329" s="170">
        <f ca="1">$AQ329*(1-Control!$C$143)-$LQ329</f>
        <v>-1.5241745131704001</v>
      </c>
      <c r="LT329" s="170">
        <f ca="1">$AQ329*(1-Control!$C$144)-$LQ329</f>
        <v>-1.5241745131704001</v>
      </c>
      <c r="LU329" s="169">
        <f ca="1">(1-Control!$C$144)*AQ329-LP329</f>
        <v>3.2464704755046001</v>
      </c>
      <c r="LV329" s="172">
        <f t="shared" ca="1" si="1255"/>
        <v>0.79430000000000012</v>
      </c>
      <c r="LW329" s="170">
        <f t="shared" ca="1" si="1256"/>
        <v>1.5886000000000002</v>
      </c>
      <c r="LX329" s="170">
        <f ca="1">($AC329*($LR329/Control!$C$141)+$LM329*$LV329)/($AC329+$LM329)</f>
        <v>0.23530094218323697</v>
      </c>
      <c r="LY329" s="170">
        <f ca="1">($AC329*($LS329/Control!$C$141)+$LM329*$LV329)/($AC329+$LM329)</f>
        <v>0.23530094218323697</v>
      </c>
      <c r="LZ329" s="170">
        <f t="shared" ca="1" si="1257"/>
        <v>0.23530094218323697</v>
      </c>
      <c r="MA329" s="170">
        <f t="shared" ca="1" si="1258"/>
        <v>0.23530094218323697</v>
      </c>
      <c r="MB329" s="170" t="e">
        <f t="shared" ca="1" si="1259"/>
        <v>#N/A</v>
      </c>
      <c r="MC329" s="170">
        <f t="shared" ca="1" si="1350"/>
        <v>0.6018</v>
      </c>
      <c r="MD329" s="170">
        <f t="shared" ca="1" si="1260"/>
        <v>0.52989392535414004</v>
      </c>
      <c r="ME329" s="170">
        <f ca="1">($AC329*($LT329/Control!$C$141)+$LM329*$LW329)/($AC329+$LM329)</f>
        <v>0.71612369323045078</v>
      </c>
      <c r="MF329" s="170" t="e">
        <f ca="1">IF(Control!$B$16&gt;=1000,0.92,IF(AND(720&lt;=Control!$B$16,1000&gt;Control!$B$16),(0.95+(Control!$B$16-720)*((0.92-0.95)/(1000-720))),IF(AND(360&lt;=Control!$B$16,720&gt;Control!$B$16),(1+(Control!$B$16-360)*((0.95-1)/(720-360))),IF(AND(40&lt;=Control!$B$16,360&gt;Control!$B$16),(1.05+(Control!$B$16-40)*((1.05-1)/(360-40)))))))</f>
        <v>#N/A</v>
      </c>
      <c r="MG329" s="170">
        <f t="shared" ca="1" si="1261"/>
        <v>0.71612369323045078</v>
      </c>
      <c r="MH329" s="170" t="e">
        <f t="shared" ca="1" si="1262"/>
        <v>#N/A</v>
      </c>
      <c r="MI329" s="170" t="e">
        <f t="shared" ca="1" si="1262"/>
        <v>#N/A</v>
      </c>
      <c r="MJ329" s="170" t="e">
        <f ca="1">MAX(0.0001, Control!$C$132*$MI329*$DL329)</f>
        <v>#N/A</v>
      </c>
      <c r="MK329" s="170">
        <f ca="1">1/(0.76+1.5*($MG329/10))-(5-Control!$C$110)*0.1</f>
        <v>1.002845988140797</v>
      </c>
      <c r="ML329" s="173">
        <f ca="1">IF(Control!$C$110&lt;3,$MK329+($MG329-0.6)/(Control!$C$110*(Control!$C$110+3)), MAX(0.1, MIN(0.95,$MK329)))</f>
        <v>0.95</v>
      </c>
      <c r="MM329" s="173">
        <f ca="1">IF(Control!$C$110&lt;3,$MK329+(($MI329/10)-0.6)/(Control!$C$110*(Control!$C$110+3)), MAX(0.1, MIN(0.95,$MK329)))</f>
        <v>0.95</v>
      </c>
      <c r="MN329" s="173">
        <f ca="1">(1-$MM329)*(Control!$C$128-Control!$C$127)+Control!$C$127</f>
        <v>0.16</v>
      </c>
      <c r="MO329" s="170" t="e">
        <f ca="1">MAX(0,MIN(1,($MS329-Control!$C$127)/($MN329-Control!$C$127)))</f>
        <v>#DIV/0!</v>
      </c>
      <c r="MP329" s="173" t="e">
        <f ca="1">1/(0.76+1.5*$MI329)-(5-Control!$C$110)*0.1</f>
        <v>#N/A</v>
      </c>
      <c r="MQ329" s="172" t="e">
        <f t="shared" ca="1" si="1379"/>
        <v>#DIV/0!</v>
      </c>
      <c r="MR329" s="168" t="e">
        <f t="shared" ca="1" si="1351"/>
        <v>#DIV/0!</v>
      </c>
      <c r="MS329" s="173" t="e">
        <f ca="1">MAX(Control!$C$127, MIN(Control!$C$135, $MR329/MAX(0.0001,$CY329)))</f>
        <v>#DIV/0!</v>
      </c>
      <c r="MT329" s="168" t="e">
        <f ca="1">(Control!$C$128-$MS329)*Control!$C$74</f>
        <v>#DIV/0!</v>
      </c>
      <c r="MU329" s="168" t="e">
        <f ca="1">(Control!$C$135-$MS329)*Control!$C$74</f>
        <v>#DIV/0!</v>
      </c>
      <c r="MV329" s="168" t="e">
        <f t="shared" ca="1" si="1352"/>
        <v>#DIV/0!</v>
      </c>
      <c r="MW329" s="168" t="e">
        <f t="shared" ca="1" si="1353"/>
        <v>#DIV/0!</v>
      </c>
      <c r="MX329" s="171" t="e">
        <f ca="1">MAX(Control!$C$127, MIN(Control!$C$135, $MW329/MAX(0.0001,Control!$C$119-$CY329)))</f>
        <v>#DIV/0!</v>
      </c>
      <c r="MY329" s="54" t="e">
        <f ca="1">IF(Control!$C$114=1, $CX329*$MX329, 0)</f>
        <v>#DIV/0!</v>
      </c>
      <c r="MZ329" s="54" t="e">
        <f t="shared" ca="1" si="1354"/>
        <v>#N/A</v>
      </c>
      <c r="NA329" s="168" t="e">
        <f ca="1">(Control!$C$128-$MX329)*(Control!$C$119-Control!$C$74)</f>
        <v>#DIV/0!</v>
      </c>
      <c r="NB329" s="168" t="e">
        <f ca="1">(Control!$C$135-$MX329)*(Control!$C$119-Control!$C$74)</f>
        <v>#DIV/0!</v>
      </c>
      <c r="NC329" s="174" t="e">
        <f t="shared" ca="1" si="1355"/>
        <v>#DIV/0!</v>
      </c>
      <c r="ND329" s="54">
        <f ca="1">IF(Control!$C$58=2, IF(OR(Control!$B$218=$AH329,Control!$B$219=$AH329, Control!$B$220=$AH329, Control!$B$221=$AH329, Control!$B$222=$AH329, Control!$B$223=$AH329, Control!$B$224=$AH329, Control!$B$225=$AH329, Control!$B$226=$AH329, Control!$B$227=$AH329, Control!$B$228=$AH329), 1, 0), 0)</f>
        <v>0</v>
      </c>
      <c r="NE329" s="54">
        <f ca="1">IF($ND329=0,0, VLOOKUP($AH329,Control!$B$218:$C$228,2))</f>
        <v>0</v>
      </c>
      <c r="NF329" s="168" t="e">
        <f ca="1">$CY329*(Control!$C$128-Control!$C$127)</f>
        <v>#N/A</v>
      </c>
      <c r="NG329" s="54" t="e">
        <f ca="1">IF(Control!$C$58=2, $NI328-$NJ328, 0)</f>
        <v>#DIV/0!</v>
      </c>
      <c r="NH329" s="54" t="e">
        <f ca="1">IF(AND(Control!$C$58=1, $MS328&lt;= ($MN328+0.02), $I328&lt;10), 0, IF(Control!$C$58=2, $NG328, 0))</f>
        <v>#DIV/0!</v>
      </c>
      <c r="NI329" s="54" t="e">
        <f ca="1">IF(Control!$C$58=2, $NE329+$NH329,0)</f>
        <v>#DIV/0!</v>
      </c>
      <c r="NJ329" s="54" t="e">
        <f ca="1">IF(AND(Control!$C$58=1, $MS329&lt;= ($MN329+0.02), $I329&lt;10), MAX(0, MIN(10, 0.7*($NF329-$MV329))), IF(Control!$C$58=2, MIN(10,$NI329),0))</f>
        <v>#DIV/0!</v>
      </c>
      <c r="NK329" s="54" t="e">
        <f t="shared" ca="1" si="1263"/>
        <v>#DIV/0!</v>
      </c>
      <c r="NL329" s="173" t="e">
        <f ca="1">(1-Control!$C$73)*$I329+$NJ329</f>
        <v>#DIV/0!</v>
      </c>
      <c r="NM329" s="172" t="e">
        <f ca="1">IF($NL329&lt;0.5, $MB329* MAX(0, MIN(1, (SQRT($NC329)-SQRT($NC329-1))*Control!$C$71)),0)</f>
        <v>#DIV/0!</v>
      </c>
      <c r="NN329" s="170" t="e">
        <f ca="1">IF($NL329&gt;=5, $MB329, MAX(0,MIN($MB329, $NM329+$NL329,($MS329-Control!$C$129))))</f>
        <v>#DIV/0!</v>
      </c>
      <c r="NO329" s="54">
        <f>IF(Control!$C$133&lt;&gt;1, Control!$C$135-Control!$C$131, 0)</f>
        <v>0.38</v>
      </c>
      <c r="NP329" s="54" t="e">
        <f t="shared" ca="1" si="1264"/>
        <v>#DIV/0!</v>
      </c>
      <c r="NQ329" s="173" t="e">
        <f ca="1">MAX(0,MIN(1,(Control!$C$135-$MS329)/(Control!$C$135-$NO329)))</f>
        <v>#DIV/0!</v>
      </c>
      <c r="NR329" s="170" t="e">
        <f ca="1">IF(Control!$C$133&lt;&gt;1, $NQ329+((1-$NP329/4)*(1-$NQ329)),1)</f>
        <v>#DIV/0!</v>
      </c>
      <c r="NS329" s="170" t="e">
        <f ca="1">IF(Control!$B$31=0,$MJ329,MAX(0,MIN($MV329,$MO329*$NR329*$MJ329)))</f>
        <v>#DIV/0!</v>
      </c>
      <c r="NT329" s="170" t="e">
        <f t="shared" ca="1" si="1380"/>
        <v>#DIV/0!</v>
      </c>
      <c r="NU329" s="170" t="e">
        <f t="shared" ca="1" si="1356"/>
        <v>#N/A</v>
      </c>
      <c r="NV329" s="170" t="e">
        <f t="shared" ca="1" si="1265"/>
        <v>#N/A</v>
      </c>
      <c r="NW329" s="175" t="e">
        <f t="shared" ca="1" si="1266"/>
        <v>#DIV/0!</v>
      </c>
      <c r="NX329" s="170" t="e">
        <f ca="1">MIN(Control!$C$72+$MU329, $NW329)</f>
        <v>#DIV/0!</v>
      </c>
      <c r="NY329" s="170" t="e">
        <f ca="1">IF($MT329&lt;=$NX329,MIN(Control!$C$72+$NB329,$NX329-$MT329),0)</f>
        <v>#DIV/0!</v>
      </c>
      <c r="NZ329" s="54" t="e">
        <f ca="1">IF(Control!$C$114=1,  $CX329*($MX329-Control!$C$127), 0)</f>
        <v>#DIV/0!</v>
      </c>
      <c r="OA329" s="170" t="e">
        <f t="shared" ca="1" si="1267"/>
        <v>#DIV/0!</v>
      </c>
      <c r="OB329" s="170" t="e">
        <f ca="1">IF($NA329 &lt;=$NY329, MIN(Control!$C$72, $NY329-$NA329), 0)</f>
        <v>#DIV/0!</v>
      </c>
      <c r="OC329" s="168" t="e">
        <f t="shared" ca="1" si="1268"/>
        <v>#DIV/0!</v>
      </c>
      <c r="OD329" s="168" t="e">
        <f t="shared" ca="1" si="1357"/>
        <v>#DIV/0!</v>
      </c>
      <c r="OE329" s="170">
        <f ca="1">Control!$C$73*$I329</f>
        <v>0</v>
      </c>
      <c r="OF329" s="176" t="e">
        <f t="shared" ca="1" si="1269"/>
        <v>#DIV/0!</v>
      </c>
      <c r="OG329" s="168" t="e">
        <f t="shared" ca="1" si="1270"/>
        <v>#DIV/0!</v>
      </c>
      <c r="OH329" s="168" t="e">
        <f t="shared" ca="1" si="1271"/>
        <v>#DIV/0!</v>
      </c>
      <c r="OI329" s="168" t="e">
        <f t="shared" ca="1" si="1272"/>
        <v>#DIV/0!</v>
      </c>
      <c r="OJ329" s="168" t="e">
        <f t="shared" ca="1" si="1273"/>
        <v>#DIV/0!</v>
      </c>
      <c r="OK329" s="204" t="e">
        <f t="shared" ca="1" si="1274"/>
        <v>#DIV/0!</v>
      </c>
      <c r="OL329" s="177">
        <f>Control!$C$127</f>
        <v>0.15</v>
      </c>
      <c r="OM329" s="182" t="e">
        <f t="shared" ca="1" si="1275"/>
        <v>#N/A</v>
      </c>
      <c r="ON329" s="177">
        <f>Control!$C$128</f>
        <v>0.35</v>
      </c>
      <c r="OO329" s="182" t="e">
        <f t="shared" ca="1" si="1276"/>
        <v>#N/A</v>
      </c>
      <c r="OP329" s="138">
        <f t="shared" ca="1" si="1358"/>
        <v>0</v>
      </c>
      <c r="OQ329" s="138" t="e">
        <f t="shared" ca="1" si="1381"/>
        <v>#DIV/0!</v>
      </c>
      <c r="OR329" s="138" t="e">
        <f t="shared" ca="1" si="1359"/>
        <v>#DIV/0!</v>
      </c>
      <c r="OS329" s="137" t="e">
        <f t="shared" ca="1" si="1382"/>
        <v>#DIV/0!</v>
      </c>
      <c r="OT329" s="139" t="e">
        <f t="shared" ca="1" si="1383"/>
        <v>#DIV/0!</v>
      </c>
      <c r="OU329" s="138" t="e">
        <f t="shared" ca="1" si="1384"/>
        <v>#N/A</v>
      </c>
      <c r="OV329" s="138" t="e">
        <f t="shared" ca="1" si="1385"/>
        <v>#DIV/0!</v>
      </c>
      <c r="OW329" s="138" t="e">
        <f t="shared" ca="1" si="1360"/>
        <v>#DIV/0!</v>
      </c>
      <c r="OX329" s="138" t="e">
        <f t="shared" ca="1" si="1361"/>
        <v>#DIV/0!</v>
      </c>
      <c r="OY329" s="138" t="e">
        <f t="shared" ca="1" si="1362"/>
        <v>#DIV/0!</v>
      </c>
      <c r="OZ329" s="138" t="e">
        <f t="shared" ca="1" si="1277"/>
        <v>#DIV/0!</v>
      </c>
      <c r="PA329" s="138" t="e">
        <f t="shared" ca="1" si="1278"/>
        <v>#DIV/0!</v>
      </c>
      <c r="PB329" s="55">
        <f>IF(Control!$C$61="T", IF(Control!$C$65="F", IF($AH$6-Control!$C$60&lt;0,0,1), IF(365+$AH$6-Control!$C$60&lt;0,0,1)),0)</f>
        <v>0</v>
      </c>
      <c r="PC329" s="55">
        <f ca="1">IF(Control!$C$65="F", IF($AH$6-$HF329&lt;0,0,1), IF(365+$AH$6-$HF329&lt;0,0,1))</f>
        <v>1</v>
      </c>
      <c r="PD329" s="444">
        <f>Control!$C$118</f>
        <v>1500</v>
      </c>
      <c r="PE329" s="180" t="e">
        <f t="shared" ca="1" si="1279"/>
        <v>#N/A</v>
      </c>
      <c r="PF329" s="445">
        <f t="shared" ca="1" si="1363"/>
        <v>0.71612369323045078</v>
      </c>
      <c r="PT329" s="186"/>
      <c r="PU329" s="186"/>
      <c r="PV329" s="94"/>
      <c r="PW329" s="94"/>
      <c r="PX329" s="94"/>
      <c r="PY329" s="94"/>
      <c r="PZ329" s="94"/>
      <c r="QA329" s="94"/>
      <c r="QB329" s="94"/>
      <c r="QC329" s="94"/>
      <c r="QD329" s="94"/>
      <c r="QE329" s="94"/>
      <c r="QF329" s="94"/>
      <c r="QG329" s="94"/>
      <c r="QH329" s="94"/>
      <c r="QI329" s="94"/>
      <c r="QJ329" s="94"/>
      <c r="QK329" s="94"/>
      <c r="QL329" s="94"/>
      <c r="QM329" s="94"/>
      <c r="QN329" s="94"/>
      <c r="QO329" s="94"/>
      <c r="QP329" s="94"/>
    </row>
    <row r="330" spans="1:458" s="2" customFormat="1" x14ac:dyDescent="0.2">
      <c r="A330" s="395">
        <v>21</v>
      </c>
      <c r="B330" s="396">
        <v>11</v>
      </c>
      <c r="C330" s="387">
        <f ca="1">Weather_data!$B329</f>
        <v>0</v>
      </c>
      <c r="D330" s="388">
        <f ca="1">Weather_data!$F329</f>
        <v>0</v>
      </c>
      <c r="E330" s="388">
        <f ca="1">Weather_data!$E329</f>
        <v>0</v>
      </c>
      <c r="F330" s="388">
        <f t="shared" ca="1" si="1280"/>
        <v>0</v>
      </c>
      <c r="G330" s="388">
        <f ca="1">AVERAGE($D330:$E330)+Control!$B$9</f>
        <v>0</v>
      </c>
      <c r="H330" s="388">
        <f ca="1">Weather_data!$G329</f>
        <v>0</v>
      </c>
      <c r="I330" s="388">
        <f ca="1">Weather_data!$I329</f>
        <v>0</v>
      </c>
      <c r="J330" s="388">
        <f ca="1">Weather_data!$H329</f>
        <v>0</v>
      </c>
      <c r="K330" s="389">
        <f ca="1">Weather_data!$D329</f>
        <v>0</v>
      </c>
      <c r="L330" s="388" t="e">
        <f t="shared" ca="1" si="1281"/>
        <v>#N/A</v>
      </c>
      <c r="M330" s="388" t="e">
        <f t="shared" ca="1" si="1158"/>
        <v>#N/A</v>
      </c>
      <c r="N330" s="388">
        <f t="shared" ca="1" si="1159"/>
        <v>-7.4738273761050376E-16</v>
      </c>
      <c r="O330" s="388">
        <f t="shared" ca="1" si="1282"/>
        <v>7.4738273761050378E-15</v>
      </c>
      <c r="P330" s="390">
        <v>3</v>
      </c>
      <c r="Q330" s="388">
        <f ca="1">MAX($G330-Control!$C$107,0)</f>
        <v>0</v>
      </c>
      <c r="R330" s="388">
        <f t="shared" ca="1" si="1283"/>
        <v>0</v>
      </c>
      <c r="S330" s="388">
        <f t="shared" ca="1" si="1160"/>
        <v>0</v>
      </c>
      <c r="T330" s="388">
        <f t="shared" ca="1" si="1161"/>
        <v>0</v>
      </c>
      <c r="U330" s="59">
        <f t="shared" ca="1" si="1162"/>
        <v>0</v>
      </c>
      <c r="V330" s="391">
        <f ca="1">MAX(0,MIN(Control!$C$100-Control!$C$99,$G330-Control!$C$99)*Control!$C$63)</f>
        <v>0</v>
      </c>
      <c r="W330" s="388">
        <f t="shared" ca="1" si="1284"/>
        <v>0</v>
      </c>
      <c r="X330" s="388">
        <f t="shared" ca="1" si="1285"/>
        <v>0.6110000000000001</v>
      </c>
      <c r="Y330" s="388">
        <f t="shared" ca="1" si="1163"/>
        <v>0</v>
      </c>
      <c r="Z330" s="388">
        <f t="shared" ca="1" si="1286"/>
        <v>0.61058800000000002</v>
      </c>
      <c r="AA330" s="388">
        <f t="shared" ca="1" si="1164"/>
        <v>0.6018</v>
      </c>
      <c r="AB330" s="388">
        <f ca="1">101.3*EXP(-0.034*Control!$C$66/($G330+273))</f>
        <v>100.69623283836242</v>
      </c>
      <c r="AC330" s="392">
        <f t="shared" ca="1" si="1165"/>
        <v>4.3460251046025113E-2</v>
      </c>
      <c r="AD330" s="392">
        <f t="shared" ca="1" si="1166"/>
        <v>4.4450382862832649E-2</v>
      </c>
      <c r="AE330" s="388">
        <f t="shared" ca="1" si="1167"/>
        <v>0</v>
      </c>
      <c r="AF330" s="388">
        <f ca="1">MAX(0,$G330-Control!$C$92)</f>
        <v>0</v>
      </c>
      <c r="AG330" s="393">
        <f t="shared" ca="1" si="1168"/>
        <v>326</v>
      </c>
      <c r="AH330" s="389">
        <f t="shared" ca="1" si="1169"/>
        <v>326</v>
      </c>
      <c r="AI330" s="388">
        <f t="shared" ca="1" si="1287"/>
        <v>-0.35691611190307865</v>
      </c>
      <c r="AJ330" s="388">
        <f ca="1">IF(Control!$C$60&lt;=0,$HH330,$HI330)</f>
        <v>1</v>
      </c>
      <c r="AK330" s="388">
        <f t="shared" ca="1" si="1170"/>
        <v>4.2346947549758305</v>
      </c>
      <c r="AL330" s="388">
        <f t="shared" ca="1" si="1171"/>
        <v>-1.7312099670485637E-17</v>
      </c>
      <c r="AM330" s="388">
        <f t="shared" ca="1" si="1172"/>
        <v>4.2346947549758305</v>
      </c>
      <c r="AN330" s="388">
        <f t="shared" ca="1" si="1173"/>
        <v>-0.36106333196467005</v>
      </c>
      <c r="AO330" s="388">
        <f ca="1">-0.10453/COS(Control!$B$8*PI()/180)*COS(AN330)</f>
        <v>-0.15883742655055991</v>
      </c>
      <c r="AP330" s="388">
        <f ca="1">ACOS(AO330-TAN(Control!$B$8*PI()/180)*TAN(AN330))</f>
        <v>1.2403230785159602</v>
      </c>
      <c r="AQ330" s="388">
        <f t="shared" ca="1" si="1288"/>
        <v>0</v>
      </c>
      <c r="AR330" s="394">
        <f t="shared" ca="1" si="1174"/>
        <v>0</v>
      </c>
      <c r="AS330" s="436">
        <f ca="1">IF(Control!$B$18=2,(IF(OR($AH330=Control!$B$175,$AH330=Control!$B$176,$AH330=Control!$B$177,$AH330=Control!$B$178,$AH330=Control!$B$179,$AH330=Control!$B$180,$AH330=Control!$B$181,$AH330=Control!$B$182,$AH330=Control!$B$183,$AH330=Control!$B$184,$AH330=Control!$B$185),1,0)),0)</f>
        <v>0</v>
      </c>
      <c r="AT330" s="436">
        <f>IF(Control!$B$20=8,IF(AND($AH330&gt;=Control!$B$172,$AH330&lt;=Control!$B$173),1,0),0)</f>
        <v>0</v>
      </c>
      <c r="AU330" s="436">
        <f>IF(Control!$B$20=8,IF($AV329=1,1*$AT330,IF($AT330=1,$AU329+1,$AU329)),0)</f>
        <v>0</v>
      </c>
      <c r="AV330" s="436">
        <f>IF(Control!$B$20=8,IF($AU330&gt;=Control!$B$174,1,0),0)</f>
        <v>0</v>
      </c>
      <c r="AW330" s="436">
        <f ca="1">IF(AND(Control!$B$18=2,Control!$B$171=1), $AV330, $AS330)</f>
        <v>0</v>
      </c>
      <c r="AX330" s="436" t="e">
        <f ca="1">IF(AND(Control!$B$18=1,$EU330&gt;=Control!$B$19),-$AY330,IF(AND(Control!$B$18=2,$AW330=1,$EU330&gt;$DS330),-$AY330, IF(Control!$C$108=0,0, IF(Control!$C$108&lt;&gt;0,1))))</f>
        <v>#N/A</v>
      </c>
      <c r="AY330" s="436" t="e">
        <f t="shared" ca="1" si="1289"/>
        <v>#N/A</v>
      </c>
      <c r="AZ330" s="436" t="e">
        <f ca="1">IF(AND(Control!$B$18=1,$EB330&gt;Control!$B$19),$AZ329+1, IF(AND(Control!$B$18=2, $AW330=1, $EB330&gt;$DS330), $AZ329+1,$AZ329))</f>
        <v>#N/A</v>
      </c>
      <c r="BA330" s="587">
        <f>IF(Control!$C$81=0,1,IF($AH330&gt;=Control!$C$82,1,0))</f>
        <v>1</v>
      </c>
      <c r="BB330" s="140" t="e">
        <f ca="1">IF($BA330&gt;$BA329,Control!$C$83,IF($AW330&gt;0,$AW330*Control!$C$84,IF(AND(Control!$B$18=1,EN329&lt;&gt;0),Control!$C$84,0)))</f>
        <v>#N/A</v>
      </c>
      <c r="BC330" s="140" t="e">
        <f t="shared" ca="1" si="1290"/>
        <v>#N/A</v>
      </c>
      <c r="BD330" s="140" t="e">
        <f ca="1">BC330*IF(OR($G330&lt;Control!$C$92,$G330&gt;Control!$C$95),0,IF(AND($G330&gt;=Control!$C$92,$G330&lt;=Control!$C$93),$G330-Control!$C$92,IF(AND($G330&gt;Control!$C$93,$G330&lt;=Control!$C$94),Control!$C$93-Control!$C$92,IF(AND($G330&gt;Control!$C$94,$G330&lt;=Control!$C$95),(Control!$C$93-Control!$C$92)*(Control!$C$94-$G330)/(Control!$C$95-Control!$C$94)))))</f>
        <v>#N/A</v>
      </c>
      <c r="BE330" s="140" t="e">
        <f t="shared" ca="1" si="1291"/>
        <v>#N/A</v>
      </c>
      <c r="BF330" s="140" t="e">
        <f ca="1">IF($BE330&lt;=Control!$C$86,$BE330,Control!$C$86-$BE330)</f>
        <v>#N/A</v>
      </c>
      <c r="BG330" s="140" t="e">
        <f ca="1">IF(AND($AW330=1,Control!$C$84&lt;9),1,IF($BE330&gt;=Control!$C$86,0,$BC330))</f>
        <v>#N/A</v>
      </c>
      <c r="BH330" s="404" t="e">
        <f ca="1">IF($BG330=0,0,IF($BE330&lt;=Control!$C$86,$BC330*9*($BF330/Control!$C$86),0))</f>
        <v>#N/A</v>
      </c>
      <c r="BI330" s="140" t="e">
        <f ca="1">IF($BG330=1,0,IF($BE330&gt;=Control!$C$86,1,IF(AND($BB330&lt;21,$BB330&gt;=9),1,$BM329)))</f>
        <v>#N/A</v>
      </c>
      <c r="BJ330" s="140" t="e">
        <f ca="1">IF($BF330&lt;0,-$BF330,$BI330*IF(OR($G330&lt;Control!$C$92,$G330&gt;Control!$C$95),0,IF(AND($G330&gt;=Control!$C$92,$G330&lt;=Control!$C$93),$G330-Control!$C$92,IF(AND($G330&gt;Control!$C$93,$G330&lt;=Control!$C$94),Control!$C$93-Control!$C$92,IF(AND($G330&gt;Control!$C$94,$G330&lt;=Control!$C$95),(Control!$C$93-Control!$C$92)*(Control!$C$94-$G330)/(Control!$C$95-Control!$C$94))))))</f>
        <v>#N/A</v>
      </c>
      <c r="BK330" s="140" t="e">
        <f t="shared" ca="1" si="1292"/>
        <v>#N/A</v>
      </c>
      <c r="BL330" s="140" t="e">
        <f ca="1">IF($BK330&lt;=Control!$C$87,$BK330,Control!$C$87-$BK330)</f>
        <v>#N/A</v>
      </c>
      <c r="BM330" s="140" t="e">
        <f ca="1">IF(AND($BB330&gt;=9,$BB330&lt;21),1,IF($BK330&gt;=Control!$C$87,0,$BI330))</f>
        <v>#N/A</v>
      </c>
      <c r="BN330" s="404" t="e">
        <f ca="1">IF($BM330=0,0,IF($BK330&lt;=Control!$C$87,$BI330*(9+(21-9)*($BL330/Control!$C$87)),0))</f>
        <v>#N/A</v>
      </c>
      <c r="BO330" s="140" t="e">
        <f ca="1">IF($BM330=1,0,IF($BK330&gt;=Control!$C$87,1,IF(AND($BB330&lt;30,$BB330&gt;=21),1,$BS329)))</f>
        <v>#N/A</v>
      </c>
      <c r="BP330" s="140" t="e">
        <f ca="1">IF($BL330&lt;0,-$BL330,$BO330*IF(OR($G330&lt;Control!$C$92,$G330&gt;Control!$C$95),0,IF(AND($G330&gt;=Control!$C$92,$G330&lt;=Control!$C$93),$G330-Control!$C$92,IF(AND($G330&gt;Control!$C$93,$G330&lt;=Control!$C$94),Control!$C$93-Control!$C$92,IF(AND($G330&gt;Control!$C$94,$G330&lt;=Control!$C$95),(Control!$C$93-Control!$C$92)*(Control!$C$94-$G330)/(Control!$C$95-Control!$C$94))))))</f>
        <v>#N/A</v>
      </c>
      <c r="BQ330" s="140" t="e">
        <f t="shared" ca="1" si="1175"/>
        <v>#N/A</v>
      </c>
      <c r="BR330" s="140" t="e">
        <f ca="1">IF($BQ330&lt;=Control!$C$88,$BQ330,Control!$C$88-$BQ330)</f>
        <v>#N/A</v>
      </c>
      <c r="BS330" s="140" t="e">
        <f ca="1">IF(AND($BB330&gt;=21,$BB330&lt;30),1,IF($BQ330&gt;=Control!$C$88,0,$BO330))</f>
        <v>#N/A</v>
      </c>
      <c r="BT330" s="404" t="e">
        <f ca="1">IF($BS330=0,0,IF($BQ330&lt;=Control!$C$88,$BO330*(21+(30-21)*(BR330/Control!$C$88)),0))</f>
        <v>#N/A</v>
      </c>
      <c r="BU330" s="140" t="e">
        <f ca="1">IF(BG330+BM330+BS330=1,0,IF(OR(AND($BB330&lt;60,$BB330&gt;=30),$BQ330&gt;=Control!$C$88),1*$BA330,$BY329))</f>
        <v>#N/A</v>
      </c>
      <c r="BV330" s="140" t="e">
        <f ca="1">IF($BR330&lt;0,-$BR330,$BU330*IF(OR($G330&lt;Control!$C$92,$G330&gt;Control!$C$95),0,IF(AND($G330&gt;=Control!$C$92,$G330&lt;=Control!$C$93),$G330-Control!$C$92,IF(AND($G330&gt;Control!$C$93,$G330&lt;=Control!$C$94),Control!$C$93-Control!$C$92,IF(AND($G330&gt;Control!$C$94,$G330&lt;=Control!$C$95),(Control!$C$93-Control!$C$92)*(Control!$C$94-$G330)/(Control!$C$95-Control!$C$94))))))</f>
        <v>#N/A</v>
      </c>
      <c r="BW330" s="140" t="e">
        <f t="shared" ca="1" si="1176"/>
        <v>#N/A</v>
      </c>
      <c r="BX330" s="140" t="e">
        <f ca="1">IF($BW330&lt;=Control!$C$89,$BW330,Control!$C$89-$BW330)</f>
        <v>#N/A</v>
      </c>
      <c r="BY330" s="140" t="e">
        <f ca="1">IF(AND($AJ330&gt;=30,$AJ330&lt;60),1,IF($BW330&gt;=Control!$C$89,0,$BU330))</f>
        <v>#N/A</v>
      </c>
      <c r="BZ330" s="404" t="e">
        <f ca="1">IF($BY330=0,0,IF($BW330&lt;=Control!$C$89,$BU330*(30+(60-30)*(BX330/Control!$C$89)),0))</f>
        <v>#N/A</v>
      </c>
      <c r="CA330" s="140" t="e">
        <f ca="1">IF($BG330+$BM330+$BS330+$BY330=1,0,IF(OR(AND($BB330&lt;65,$BB330&gt;=60),$BW330&gt;=Control!$C$89),1*$BA330,$CE329))</f>
        <v>#N/A</v>
      </c>
      <c r="CB330" s="140" t="e">
        <f ca="1">IF($BX330&lt;0,-$BX330,$CA330*IF(OR($G330&lt;Control!$C$92,$G330&gt;Control!$C$95),0,IF(AND($G330&gt;=Control!$C$92,$G330&lt;=Control!$C$93),$G330-Control!$C$92,IF(AND($G330&gt;Control!$C$93,$G330&lt;=Control!$C$94),Control!$C$93-Control!$C$92,IF(AND($G330&gt;Control!$C$94,$G330&lt;=Control!$C$95),(Control!$C$93-Control!$C$92)*(Control!$C$94-$G330)/(Control!$C$95-Control!$C$94))))))</f>
        <v>#N/A</v>
      </c>
      <c r="CC330" s="140" t="e">
        <f t="shared" ca="1" si="1293"/>
        <v>#N/A</v>
      </c>
      <c r="CD330" s="140" t="e">
        <f ca="1">IF($CC330&lt;=Control!$C$90,$CC330,Control!$C$90-$CC330)</f>
        <v>#N/A</v>
      </c>
      <c r="CE330" s="140" t="e">
        <f ca="1">IF(AND($BB330&gt;=60,$BB330&lt;65),1,IF($CC330&gt;=Control!$C$90,0,$CA330))</f>
        <v>#N/A</v>
      </c>
      <c r="CF330" s="404" t="e">
        <f ca="1">IF($CE330=0,0,IF($CC330&lt;=Control!$C$90,$CA330*(60+(65-60)*(CD330/Control!$C$90)),0))</f>
        <v>#N/A</v>
      </c>
      <c r="CG330" s="140" t="e">
        <f ca="1">IF($BG330+$BM330+$BS330+$BY330+$CE330=1,0,IF(OR(AND($BB330&lt;90,$BB330&gt;=65),$CC330&gt;=Control!$C$90),$BA330,$CK329))</f>
        <v>#N/A</v>
      </c>
      <c r="CH330" s="140" t="e">
        <f ca="1">IF($CD330&lt;0,-$CD330,$CG330*IF(OR($G330&lt;Control!$C$92,$G330&gt;Control!$C$95),0,IF(AND($G330&gt;=Control!$C$92,$G330&lt;=Control!$C$93),$G330-Control!$C$92,IF(AND($G330&gt;Control!$C$93,$G330&lt;=Control!$C$94),Control!$C$93-Control!$C$92,IF(AND($G330&gt;Control!$C$94,$G330&lt;=Control!$C$95),(Control!$C$93-Control!$C$92)*(Control!$C$94-$G330)/(Control!$C$95-Control!$C$94))))))</f>
        <v>#N/A</v>
      </c>
      <c r="CI330" s="140" t="e">
        <f t="shared" ca="1" si="1294"/>
        <v>#N/A</v>
      </c>
      <c r="CJ330" s="140" t="e">
        <f ca="1">IF($CI330&lt;=Control!$C$91,$CI330,Control!$C$91-$CI330)</f>
        <v>#N/A</v>
      </c>
      <c r="CK330" s="140" t="e">
        <f ca="1">IF(AND($BB330&gt;=65,$BB330&lt;90),1,IF($CI330&gt;=Control!$C$91,0,$CG330))</f>
        <v>#N/A</v>
      </c>
      <c r="CL330" s="404" t="e">
        <f ca="1">IF($CK330=0,0,IF($CI330&lt;=Control!$C$91,$CG330*(65+(90-65)*($CJ330/Control!$C$91)),0))</f>
        <v>#N/A</v>
      </c>
      <c r="CM330" s="140" t="e">
        <f ca="1">IF($BG330+$BM330+$BS330+$BY330+$CE330+$CK330=1,0,IF(OR($BB330&gt;=90,$CI330&gt;=Control!$C$91),$BA330,$CM329))</f>
        <v>#N/A</v>
      </c>
      <c r="CN330" s="140" t="e">
        <f t="shared" ca="1" si="1295"/>
        <v>#N/A</v>
      </c>
      <c r="CO330" s="140" t="e">
        <f t="shared" ca="1" si="1296"/>
        <v>#N/A</v>
      </c>
      <c r="CP330" s="140" t="e">
        <f t="shared" ca="1" si="1297"/>
        <v>#N/A</v>
      </c>
      <c r="CQ330" s="141" t="e">
        <f ca="1">VLOOKUP($CP330,Control!$B$86:$G$91,6)</f>
        <v>#N/A</v>
      </c>
      <c r="CR330" s="141" t="e">
        <f ca="1">(1-$CQ330)*VLOOKUP($CP330,Control!$B$86:$D$91,3)</f>
        <v>#N/A</v>
      </c>
      <c r="CS330" s="141" t="e">
        <f ca="1">(1-$CQ330)*VLOOKUP($CP330,Control!$B$86:$E$91,4)</f>
        <v>#N/A</v>
      </c>
      <c r="CT330" s="141" t="e">
        <f ca="1">(1-$CQ330)*VLOOKUP($CP330,Control!$B$86:$F$91,5)</f>
        <v>#N/A</v>
      </c>
      <c r="CU330" s="141">
        <f t="shared" ca="1" si="1298"/>
        <v>0</v>
      </c>
      <c r="CV330" s="583">
        <f t="shared" ca="1" si="1299"/>
        <v>0</v>
      </c>
      <c r="CW330" s="142">
        <f t="shared" ca="1" si="1300"/>
        <v>326</v>
      </c>
      <c r="CX330" s="612" t="e">
        <f ca="1">IF(Control!$C$114=1,(MIN(Control!$C$120*(IF($NT330-0.01&lt;0,0,1)),Control!$C$119-$CY330)))</f>
        <v>#DIV/0!</v>
      </c>
      <c r="CY330" s="143" t="e">
        <f t="shared" ca="1" si="1301"/>
        <v>#N/A</v>
      </c>
      <c r="CZ330" s="144">
        <f t="shared" ca="1" si="1177"/>
        <v>0</v>
      </c>
      <c r="DA330" s="144">
        <f t="shared" ca="1" si="1178"/>
        <v>0</v>
      </c>
      <c r="DB330" s="144" t="e">
        <f t="shared" ca="1" si="1179"/>
        <v>#N/A</v>
      </c>
      <c r="DC330" s="144" t="e">
        <f t="shared" ca="1" si="1180"/>
        <v>#N/A</v>
      </c>
      <c r="DD330" s="144" t="e">
        <f t="shared" ca="1" si="1386"/>
        <v>#N/A</v>
      </c>
      <c r="DE330" s="143" t="e">
        <f t="shared" ca="1" si="1302"/>
        <v>#N/A</v>
      </c>
      <c r="DF330" s="145" t="e">
        <f ca="1">$DR330*EXP(-Control!$C$158*(1-$KH330))</f>
        <v>#N/A</v>
      </c>
      <c r="DG330" s="146" t="e">
        <f ca="1">IF(Control!$C$114=1, $DF330*$EY330, 0)</f>
        <v>#N/A</v>
      </c>
      <c r="DH330" s="147" t="e">
        <f t="shared" ca="1" si="1303"/>
        <v>#N/A</v>
      </c>
      <c r="DI330" s="144" t="e">
        <f t="shared" ca="1" si="1364"/>
        <v>#N/A</v>
      </c>
      <c r="DJ330" s="147" t="e">
        <f ca="1">$EF330*Control!$C$109</f>
        <v>#N/A</v>
      </c>
      <c r="DK330" s="144" t="e">
        <f t="shared" ca="1" si="1304"/>
        <v>#N/A</v>
      </c>
      <c r="DL330" s="144" t="e">
        <f t="shared" ca="1" si="1181"/>
        <v>#N/A</v>
      </c>
      <c r="DM330" s="144" t="e">
        <f ca="1">IF(Control!$C$114=1, (1-EXP(-Control!$C$96*$DK330))*$AR330, 0)</f>
        <v>#N/A</v>
      </c>
      <c r="DN330" s="144">
        <f t="shared" ca="1" si="1305"/>
        <v>0</v>
      </c>
      <c r="DO330" s="148">
        <f>Control!$C$97</f>
        <v>4</v>
      </c>
      <c r="DP330" s="145" t="e">
        <f t="shared" ca="1" si="1306"/>
        <v>#N/A</v>
      </c>
      <c r="DQ330" s="145" t="e">
        <f ca="1">IF(AND($CP330&gt;=0,$CP330&lt;=90),Control!$C$111,Control!$C$111)</f>
        <v>#N/A</v>
      </c>
      <c r="DR330" s="145" t="e">
        <f t="shared" ca="1" si="1182"/>
        <v>#N/A</v>
      </c>
      <c r="DS330" s="143" t="e">
        <f ca="1">Control!$B$22/$DR330</f>
        <v>#N/A</v>
      </c>
      <c r="DT330" s="149" t="e">
        <f ca="1">IF(AND(Control!$C$114=1,$KH330&lt;1),$IM330*$DF330, 0)</f>
        <v>#N/A</v>
      </c>
      <c r="DU330" s="144" t="e">
        <f t="shared" ca="1" si="1307"/>
        <v>#N/A</v>
      </c>
      <c r="DV330" s="144">
        <f ca="1">IF($G330-Control!$C$107&lt;=0, 0, 0.83*LN(MAX($G330, 3))-0.8924)</f>
        <v>0</v>
      </c>
      <c r="DW330" s="144" t="e">
        <f t="shared" ca="1" si="1183"/>
        <v>#N/A</v>
      </c>
      <c r="DX330" s="150" t="e">
        <f ca="1">MAX(0.01*(1+$CU330/Control!$C$102),0.05*($DK330-Control!$C$97)/Control!$C$97)</f>
        <v>#N/A</v>
      </c>
      <c r="DY330" s="151" t="e">
        <f ca="1">IF(Control!$C$114=1, $DI330*$FS330, 0)</f>
        <v>#N/A</v>
      </c>
      <c r="DZ330" s="196" t="e">
        <f t="shared" ca="1" si="1308"/>
        <v>#N/A</v>
      </c>
      <c r="EA330" s="152">
        <f t="shared" ca="1" si="1309"/>
        <v>326</v>
      </c>
      <c r="EB330" s="153" t="e">
        <f t="shared" ca="1" si="1310"/>
        <v>#N/A</v>
      </c>
      <c r="EC330" s="153" t="e">
        <f t="shared" ca="1" si="1311"/>
        <v>#N/A</v>
      </c>
      <c r="ED330" s="154" t="e">
        <f ca="1">IF(Control!$C$114=1, $HM330*$FY330-$FD330, 0)</f>
        <v>#DIV/0!</v>
      </c>
      <c r="EE330" s="155" t="e">
        <f ca="1">IF(Control!$C$114=1, $HM330*$FZ330-$FF330, 0)</f>
        <v>#DIV/0!</v>
      </c>
      <c r="EF330" s="153" t="e">
        <f t="shared" ca="1" si="1365"/>
        <v>#N/A</v>
      </c>
      <c r="EG330" s="155" t="e">
        <f ca="1">IF(Control!$C$114=1, $GX330*$FW330-$FI330, 0)</f>
        <v>#DIV/0!</v>
      </c>
      <c r="EH330" s="153" t="e">
        <f t="shared" ca="1" si="1312"/>
        <v>#N/A</v>
      </c>
      <c r="EI330" s="156" t="e">
        <f t="shared" ca="1" si="1313"/>
        <v>#N/A</v>
      </c>
      <c r="EJ330" s="155" t="e">
        <f ca="1">IF(Control!$C$114=1, $HM330*$GB330, 0)</f>
        <v>#DIV/0!</v>
      </c>
      <c r="EK330" s="153" t="e">
        <f t="shared" ca="1" si="1366"/>
        <v>#N/A</v>
      </c>
      <c r="EL330" s="153" t="e">
        <f t="shared" ca="1" si="1184"/>
        <v>#N/A</v>
      </c>
      <c r="EM330" s="153" t="e">
        <f t="shared" ca="1" si="1185"/>
        <v>#N/A</v>
      </c>
      <c r="EN330" s="153" t="e">
        <f ca="1">IF(Control!$C$108=1,IF(AND(Control!$B$18=1,$EB330&gt;=Control!$B$19),$EB330-$DS330,IF(AND(Control!$B$18=2,$AW330=1,$EB330&gt;$DS330),$EB330-$DS330,0)))</f>
        <v>#N/A</v>
      </c>
      <c r="EO330" s="153" t="e">
        <f ca="1">IF(Control!$C$108=1,IF(AND(Control!$B$18=1,$EB330&gt;=Control!$B$19),$EF330,IF(AND(Control!$B$18=2,$AW330=1),$EF330,0)))</f>
        <v>#N/A</v>
      </c>
      <c r="EP330" s="153" t="e">
        <f ca="1">IF(Control!$C$108=1,IF(AND(Control!$B$18=1,$EB330&gt;=Control!$B$19),$EK330,IF(AND(Control!$B$18=2,$AW330=1),$EK330,0)))</f>
        <v>#N/A</v>
      </c>
      <c r="EQ330" s="153" t="e">
        <f t="shared" ca="1" si="1314"/>
        <v>#N/A</v>
      </c>
      <c r="ER330" s="153" t="e">
        <f t="shared" ca="1" si="1315"/>
        <v>#N/A</v>
      </c>
      <c r="ES330" s="153" t="e">
        <f t="shared" ca="1" si="1367"/>
        <v>#N/A</v>
      </c>
      <c r="ET330" s="153" t="e">
        <f t="shared" ca="1" si="1368"/>
        <v>#N/A</v>
      </c>
      <c r="EU330" s="153" t="e">
        <f t="shared" ca="1" si="1316"/>
        <v>#N/A</v>
      </c>
      <c r="EV330" s="153" t="e">
        <f t="shared" ca="1" si="1186"/>
        <v>#N/A</v>
      </c>
      <c r="EW330" s="153" t="e">
        <f t="shared" ca="1" si="1187"/>
        <v>#N/A</v>
      </c>
      <c r="EX330" s="153" t="e">
        <f t="shared" ca="1" si="1188"/>
        <v>#N/A</v>
      </c>
      <c r="EY330" s="157" t="e">
        <f t="shared" ca="1" si="1189"/>
        <v>#DIV/0!</v>
      </c>
      <c r="EZ330" s="154" t="e">
        <f t="shared" ca="1" si="1190"/>
        <v>#DIV/0!</v>
      </c>
      <c r="FA330" s="153" t="e">
        <f t="shared" ca="1" si="1317"/>
        <v>#N/A</v>
      </c>
      <c r="FB330" s="153" t="e">
        <f t="shared" ca="1" si="1191"/>
        <v>#N/A</v>
      </c>
      <c r="FC330" s="193" t="e">
        <f t="shared" ca="1" si="1192"/>
        <v>#N/A</v>
      </c>
      <c r="FD330" s="158" t="e">
        <f t="shared" ca="1" si="1318"/>
        <v>#N/A</v>
      </c>
      <c r="FE330" s="158" t="e">
        <f t="shared" ca="1" si="1319"/>
        <v>#N/A</v>
      </c>
      <c r="FF330" s="159" t="e">
        <f t="shared" ca="1" si="1193"/>
        <v>#N/A</v>
      </c>
      <c r="FG330" s="160" t="e">
        <f t="shared" ca="1" si="1320"/>
        <v>#N/A</v>
      </c>
      <c r="FH330" s="158" t="e">
        <f t="shared" ca="1" si="1321"/>
        <v>#N/A</v>
      </c>
      <c r="FI330" s="159" t="e">
        <f t="shared" ca="1" si="1194"/>
        <v>#N/A</v>
      </c>
      <c r="FJ330" s="160" t="e">
        <f t="shared" ca="1" si="1322"/>
        <v>#N/A</v>
      </c>
      <c r="FK330" s="160" t="e">
        <f t="shared" ca="1" si="1195"/>
        <v>#N/A</v>
      </c>
      <c r="FL330" s="160" t="e">
        <f t="shared" ca="1" si="1369"/>
        <v>#N/A</v>
      </c>
      <c r="FM330" s="160" t="e">
        <f t="shared" ca="1" si="1196"/>
        <v>#N/A</v>
      </c>
      <c r="FN330" s="158">
        <f t="shared" ca="1" si="1323"/>
        <v>0.01</v>
      </c>
      <c r="FO330" s="160">
        <f>Control!$C$101</f>
        <v>50</v>
      </c>
      <c r="FP330" s="150" t="e">
        <f t="shared" ca="1" si="1197"/>
        <v>#N/A</v>
      </c>
      <c r="FQ330" s="150" t="e">
        <f ca="1">MAX(0,(Control!$C$112*(($DK330-Control!$C$97)/Control!$C$97)))</f>
        <v>#N/A</v>
      </c>
      <c r="FR330" s="150" t="e">
        <f ca="1">(1-$NT330)*Control!$C$113</f>
        <v>#DIV/0!</v>
      </c>
      <c r="FS330" s="198" t="e">
        <f t="shared" ca="1" si="1198"/>
        <v>#N/A</v>
      </c>
      <c r="FT330" s="161">
        <f t="shared" ca="1" si="1324"/>
        <v>326</v>
      </c>
      <c r="FU330" s="162" t="e">
        <f ca="1">IF(Control!$B$34=1,VLOOKUP($CP330,Control!$B$86:$G$91,6),Control!$B$35)</f>
        <v>#N/A</v>
      </c>
      <c r="FV330" s="162" t="e">
        <f t="shared" ca="1" si="1199"/>
        <v>#DIV/0!</v>
      </c>
      <c r="FW330" s="162" t="e">
        <f ca="1">IF(Control!$B$31=1,$FU330*$FV330,  $FU330)</f>
        <v>#N/A</v>
      </c>
      <c r="FX330" s="162" t="e">
        <f ca="1">IF(Control!$B$34=1,VLOOKUP($CP330,Control!$B$86:$G$91,3),Control!$B$36)</f>
        <v>#N/A</v>
      </c>
      <c r="FY330" s="162" t="e">
        <f t="shared" ca="1" si="1200"/>
        <v>#N/A</v>
      </c>
      <c r="FZ330" s="162" t="e">
        <f ca="1">IF(Control!$B$34=1,VLOOKUP($CP330,Control!$B$86:$G$91,4),Control!$B$37)</f>
        <v>#N/A</v>
      </c>
      <c r="GA330" s="162" t="e">
        <f t="shared" ca="1" si="1201"/>
        <v>#N/A</v>
      </c>
      <c r="GB330" s="162" t="e">
        <f ca="1">IF(Control!$B$34=1,VLOOKUP($CP330,Control!$B$86:$G$91,5),Control!$B$38)</f>
        <v>#N/A</v>
      </c>
      <c r="GC330" s="162" t="e">
        <f t="shared" ca="1" si="1325"/>
        <v>#N/A</v>
      </c>
      <c r="GD330" s="162">
        <f t="shared" ca="1" si="1202"/>
        <v>1</v>
      </c>
      <c r="GE330" s="162">
        <f t="shared" ca="1" si="1203"/>
        <v>1</v>
      </c>
      <c r="GF330" s="162">
        <f ca="1">IF(AND(Control!$C$104=1, Control!$C$62="F"),$GE330,1)</f>
        <v>1</v>
      </c>
      <c r="GG330" s="162" t="e">
        <f ca="1">IF(Control!$B$16=40,0,IF(AND(Control!$B$16&gt;40,Control!$B$16&lt;=360),(Control!$B$16-40)*((1-0)/(360-40)),IF(AND(Control!$B$16&gt;360,Control!$B$16&lt;=720),(1+(Control!$B$16-360)*((1.25-1)/(720-360))),IF(AND(Control!$B$16&gt;720,Control!$B$16&lt;=1000),(1.25+(Control!$B$16-720)*((1.35-1.25)/(1000-720))),IF(AND(Control!$B$16&gt;1000,Control!$B$16&lt;=2000),(1.35+(Control!$B$16-1000)*0))))))</f>
        <v>#N/A</v>
      </c>
      <c r="GH330" s="162" t="e">
        <f t="shared" ca="1" si="1204"/>
        <v>#N/A</v>
      </c>
      <c r="GI330" s="162">
        <f t="shared" ca="1" si="1326"/>
        <v>0</v>
      </c>
      <c r="GJ330" s="162">
        <f t="shared" ca="1" si="1205"/>
        <v>0</v>
      </c>
      <c r="GK330" s="162">
        <f t="shared" ca="1" si="1327"/>
        <v>1</v>
      </c>
      <c r="GL330" s="162">
        <f t="shared" ca="1" si="1206"/>
        <v>1</v>
      </c>
      <c r="GM330" s="162" t="e">
        <f ca="1">MAX(0,MIN(1,1-Control!$C$156*(1.0001-$KH330)^2))</f>
        <v>#N/A</v>
      </c>
      <c r="GN330" s="162" t="e">
        <f ca="1">IF(Control!$B$26=1,$KU330,$KX330)</f>
        <v>#N/A</v>
      </c>
      <c r="GO330" s="162" t="e">
        <f ca="1">IF($CP330&lt;=60,Control!$C$105,IF($CP330&gt;=90,Control!$C$106,Control!$C$105+($CP330-60)*((Control!$C$106-Control!$C$105)/(90-60))))</f>
        <v>#N/A</v>
      </c>
      <c r="GP330" s="162" t="e">
        <f t="shared" ca="1" si="1207"/>
        <v>#N/A</v>
      </c>
      <c r="GQ330" s="162" t="e">
        <f t="shared" ca="1" si="1328"/>
        <v>#N/A</v>
      </c>
      <c r="GR330" s="163" t="e">
        <f t="shared" ca="1" si="1208"/>
        <v>#DIV/0!</v>
      </c>
      <c r="GS330" s="162" t="e">
        <f t="shared" ca="1" si="1209"/>
        <v>#DIV/0!</v>
      </c>
      <c r="GT330" s="164" t="e">
        <f t="shared" ca="1" si="1329"/>
        <v>#N/A</v>
      </c>
      <c r="GU330" s="162" t="e">
        <f t="shared" ca="1" si="1330"/>
        <v>#N/A</v>
      </c>
      <c r="GV330" s="162" t="e">
        <f t="shared" ca="1" si="1210"/>
        <v>#N/A</v>
      </c>
      <c r="GW330" s="162" t="e">
        <f t="shared" ca="1" si="1211"/>
        <v>#DIV/0!</v>
      </c>
      <c r="GX330" s="162" t="e">
        <f t="shared" ca="1" si="1331"/>
        <v>#DIV/0!</v>
      </c>
      <c r="GY330" s="162" t="e">
        <f t="shared" ca="1" si="1332"/>
        <v>#DIV/0!</v>
      </c>
      <c r="GZ330" s="165" t="e">
        <f t="shared" ca="1" si="1212"/>
        <v>#N/A</v>
      </c>
      <c r="HA330" s="162" t="e">
        <f ca="1">IF(Control!$C$114=1, $DI330*$FS330, 0)</f>
        <v>#N/A</v>
      </c>
      <c r="HB330" s="162" t="e">
        <f ca="1">$FA330/Control!$C$64</f>
        <v>#N/A</v>
      </c>
      <c r="HC330" s="162" t="e">
        <f t="shared" ca="1" si="1213"/>
        <v>#DIV/0!</v>
      </c>
      <c r="HD330" s="162">
        <f ca="1">-ASIN(SIN(23.45*Control!$C$139)*COS(2*Control!$C$138*($AH330+10)/365))</f>
        <v>-0.35691611190307865</v>
      </c>
      <c r="HE330" s="165">
        <f t="shared" ca="1" si="1333"/>
        <v>0</v>
      </c>
      <c r="HF330" s="166">
        <f ca="1">IF(AND(Control!$C$61="T",$HE330&gt;=Control!$C$103,Control!$C$114=0),$AH330,Control!$C$59)</f>
        <v>1</v>
      </c>
      <c r="HG330" s="166">
        <f ca="1">IF(AND(Control!$C$61="T",$HE330&gt;=Control!$C$103,Control!$C$114=0),$HF330,Control!$C$59)</f>
        <v>1</v>
      </c>
      <c r="HH330" s="165">
        <f ca="1">IF(AND(OR(Control!$C$60&lt;=0, $AH330= Control!$C$59, Control!$C$60 &gt;0, $AH330 = Control!$C$60)), Control!$C$59, IF(Control!$C$60&gt;0, 0))</f>
        <v>1</v>
      </c>
      <c r="HI330" s="165">
        <f ca="1">IF(AND(OR(Control!$C$60&lt;=0, $AH330= Control!$C$59, Control!$C$60 &gt;0, $AH330 = Control!$C$60)), Control!$C$60, IF(Control!$C$60&lt;=0, 0))</f>
        <v>0</v>
      </c>
      <c r="HJ330" s="166">
        <f ca="1">IF(AND(Control!$C$62="F",$CV330&gt;=Control!$C$102),$AH330,0)</f>
        <v>0</v>
      </c>
      <c r="HK330" s="165" t="e">
        <f t="shared" ca="1" si="1370"/>
        <v>#N/A</v>
      </c>
      <c r="HL330" s="166">
        <f ca="1">IF(AND(Control!$C$61="T",$HE330&gt;=Control!$C$103,Control!$C$114=0),$HF330,0)</f>
        <v>0</v>
      </c>
      <c r="HM330" s="201" t="e">
        <f t="shared" ca="1" si="1214"/>
        <v>#DIV/0!</v>
      </c>
      <c r="HN330" s="215">
        <f t="shared" ca="1" si="1334"/>
        <v>326</v>
      </c>
      <c r="HO330" s="216" t="e">
        <f ca="1">IF(AND($CP330&gt;=0, $CP330&lt;=90), Control!$C$152, Control!$C$152)</f>
        <v>#N/A</v>
      </c>
      <c r="HP330" s="216" t="e">
        <f t="shared" ca="1" si="1215"/>
        <v>#N/A</v>
      </c>
      <c r="HQ330" s="217" t="e">
        <f ca="1">IF(OR(Control!$B$26=1,Control!$B$26=2),$KV330,$KS330)</f>
        <v>#DIV/0!</v>
      </c>
      <c r="HR330" s="218" t="e">
        <f t="shared" ca="1" si="1371"/>
        <v>#DIV/0!</v>
      </c>
      <c r="HS330" s="216" t="e">
        <f ca="1">Control!$C$154*$HP330</f>
        <v>#N/A</v>
      </c>
      <c r="HT330" s="216" t="e">
        <f ca="1">Control!$C$155*$HP330</f>
        <v>#N/A</v>
      </c>
      <c r="HU330" s="217" t="e">
        <f ca="1">Control!$C$161*$FI330</f>
        <v>#N/A</v>
      </c>
      <c r="HV330" s="218" t="e">
        <f t="shared" ca="1" si="1335"/>
        <v>#N/A</v>
      </c>
      <c r="HW330" s="218" t="e">
        <f ca="1">Control!$C$160*$FF330+$IP330*$EO330</f>
        <v>#N/A</v>
      </c>
      <c r="HX330" s="218" t="e">
        <f t="shared" ca="1" si="1372"/>
        <v>#N/A</v>
      </c>
      <c r="HY330" s="219" t="e">
        <f ca="1">IF(Control!$C$114=1, $EB330*$FS330, 0)</f>
        <v>#N/A</v>
      </c>
      <c r="HZ330" s="91" t="e">
        <f t="shared" ca="1" si="1216"/>
        <v>#N/A</v>
      </c>
      <c r="IA330" s="220" t="e">
        <f ca="1">Control!$C$153*$HO330</f>
        <v>#N/A</v>
      </c>
      <c r="IB330" s="218" t="e">
        <f t="shared" ca="1" si="1217"/>
        <v>#N/A</v>
      </c>
      <c r="IC330" s="220" t="e">
        <f ca="1">Control!$C$153*$HT330</f>
        <v>#N/A</v>
      </c>
      <c r="ID330" s="218" t="e">
        <f t="shared" ca="1" si="1218"/>
        <v>#N/A</v>
      </c>
      <c r="IE330" s="221" t="e">
        <f ca="1">($EB330*Control!$C$159+$EF330*Control!$C$160)/(IF($GZ330&lt;&gt;0,$GZ330,1))</f>
        <v>#N/A</v>
      </c>
      <c r="IF330" s="216" t="e">
        <f t="shared" ca="1" si="1219"/>
        <v>#N/A</v>
      </c>
      <c r="IG330" s="91">
        <f ca="1">IF(OR(Control!$B$198=$AH330,Control!$B$199=$AH330, Control!$B$200=$AH330, Control!$B$201=$AH330, Control!$B$202=$AH330, Control!$B$203=$AH330, Control!$B$204=$AH330, Control!$B$205=$AH330, Control!$B$206=$AH330, Control!$B$207=$AH330), 1, 0)</f>
        <v>0</v>
      </c>
      <c r="IH330" s="91">
        <f ca="1">IF($IG330=0,0, VLOOKUP($AH330,Control!$B$198:$C$207,2))</f>
        <v>0</v>
      </c>
      <c r="II330" s="222">
        <f t="shared" ca="1" si="1336"/>
        <v>0</v>
      </c>
      <c r="IJ330" s="91">
        <f>Control!$C$121</f>
        <v>0.7</v>
      </c>
      <c r="IK330" s="218">
        <f t="shared" ca="1" si="1220"/>
        <v>0</v>
      </c>
      <c r="IL330" s="217" t="e">
        <f t="shared" ca="1" si="1373"/>
        <v>#N/A</v>
      </c>
      <c r="IM330" s="223" t="e">
        <f ca="1">IF(AND(Control!$C$114=1,$KH330&lt;1),$EB330*Control!$C$148*(1-$KH330), 0)</f>
        <v>#N/A</v>
      </c>
      <c r="IN330" s="217" t="e">
        <f t="shared" ca="1" si="1221"/>
        <v>#DIV/0!</v>
      </c>
      <c r="IO330" s="91" t="e">
        <f ca="1">MAX(0,$IL330-$EF330*Control!$C$160)</f>
        <v>#N/A</v>
      </c>
      <c r="IP330" s="220" t="e">
        <f t="shared" ca="1" si="1222"/>
        <v>#N/A</v>
      </c>
      <c r="IQ330" s="217" t="e">
        <f t="shared" ca="1" si="1337"/>
        <v>#N/A</v>
      </c>
      <c r="IR330" s="218" t="e">
        <f t="shared" ca="1" si="1223"/>
        <v>#N/A</v>
      </c>
      <c r="IS330" s="217" t="e">
        <f ca="1">Control!$C$159*MAX(0,$FD330-$EN330)</f>
        <v>#N/A</v>
      </c>
      <c r="IT330" s="217" t="e">
        <f t="shared" ca="1" si="1374"/>
        <v>#N/A</v>
      </c>
      <c r="IU330" s="217" t="e">
        <f t="shared" ca="1" si="1338"/>
        <v>#N/A</v>
      </c>
      <c r="IV330" s="217" t="e">
        <f t="shared" ca="1" si="1375"/>
        <v>#N/A</v>
      </c>
      <c r="IW330" s="217" t="e">
        <f ca="1">IF(OR($AW330=1,AND($AW330=0, Control!$B$18=1,$EN330&lt;&gt;0)), $IQ330-$IU330, $IQ330)</f>
        <v>#N/A</v>
      </c>
      <c r="IX330" s="218" t="e">
        <f t="shared" ca="1" si="1224"/>
        <v>#N/A</v>
      </c>
      <c r="IY330" s="218" t="e">
        <f ca="1">MAX(0,$IQ330-$EB330*Control!$C$159)</f>
        <v>#N/A</v>
      </c>
      <c r="IZ330" s="218" t="e">
        <f t="shared" ca="1" si="1225"/>
        <v>#N/A</v>
      </c>
      <c r="JA330" s="216" t="e">
        <f t="shared" ca="1" si="1226"/>
        <v>#N/A</v>
      </c>
      <c r="JB330" s="217" t="e">
        <f t="shared" ca="1" si="1227"/>
        <v>#N/A</v>
      </c>
      <c r="JC330" s="222" t="e">
        <f ca="1">MAX(Control!$C$157*$EK330-$JT330, 0)/Control!$C$162</f>
        <v>#N/A</v>
      </c>
      <c r="JD330" s="218" t="e">
        <f t="shared" ca="1" si="1228"/>
        <v>#N/A</v>
      </c>
      <c r="JE330" s="218" t="e">
        <f t="shared" ca="1" si="1229"/>
        <v>#N/A</v>
      </c>
      <c r="JF330" s="218" t="e">
        <f t="shared" ca="1" si="1339"/>
        <v>#N/A</v>
      </c>
      <c r="JG330" s="218" t="e">
        <f t="shared" ca="1" si="1230"/>
        <v>#N/A</v>
      </c>
      <c r="JH330" s="217" t="e">
        <f t="shared" ca="1" si="1340"/>
        <v>#N/A</v>
      </c>
      <c r="JI330" s="217" t="e">
        <f t="shared" ca="1" si="1341"/>
        <v>#N/A</v>
      </c>
      <c r="JJ330" s="217" t="e">
        <f t="shared" ca="1" si="1376"/>
        <v>#N/A</v>
      </c>
      <c r="JK330" s="217" t="e">
        <f ca="1">IF(Control!$C$114=1,IF(Control!$B$24=0,MAX(0,$JI330)*$GN330/Control!$C$64,(MAX(0,MIN($JI330,$JJ330*$GN330/Control!$C$64),0))))</f>
        <v>#N/A</v>
      </c>
      <c r="JL330" s="217" t="e">
        <f ca="1">$IK330/Control!$C$64-$JK330+$HQ330</f>
        <v>#N/A</v>
      </c>
      <c r="JM330" s="217" t="e">
        <f ca="1">IF(Control!$C$114=1,($JB330/(IF($JI330&lt;&gt;0,$JI330,1)))*$JK330,0)</f>
        <v>#N/A</v>
      </c>
      <c r="JN330" s="217" t="e">
        <f ca="1">IF(Control!$C$114=1,($JG330/(IF($JI330&lt;&gt;0,$JI330,1)))*$JK330, 0)</f>
        <v>#N/A</v>
      </c>
      <c r="JO330" s="218" t="e">
        <f t="shared" ca="1" si="1231"/>
        <v>#N/A</v>
      </c>
      <c r="JP330" s="218" t="e">
        <f ca="1">MIN(($IY330+$IO330)*Control!$C$151, $JF330-$EH330*Control!$C$161)</f>
        <v>#N/A</v>
      </c>
      <c r="JQ330" s="218" t="e">
        <f t="shared" ca="1" si="1232"/>
        <v>#N/A</v>
      </c>
      <c r="JR330" s="217" t="e">
        <f ca="1">IF($CP330-Control!$C$150&lt;0, 0, $JQ330/Control!$C$162)</f>
        <v>#N/A</v>
      </c>
      <c r="JS330" s="218" t="e">
        <f t="shared" ca="1" si="1233"/>
        <v>#N/A</v>
      </c>
      <c r="JT330" s="218" t="e">
        <f t="shared" ca="1" si="1342"/>
        <v>#N/A</v>
      </c>
      <c r="JU330" s="218" t="e">
        <f t="shared" ca="1" si="1234"/>
        <v>#N/A</v>
      </c>
      <c r="JV330" s="218" t="e">
        <f t="shared" ca="1" si="1235"/>
        <v>#N/A</v>
      </c>
      <c r="JW330" s="216" t="e">
        <f t="shared" ca="1" si="1236"/>
        <v>#N/A</v>
      </c>
      <c r="JX330" s="91" t="e">
        <f t="shared" ca="1" si="1237"/>
        <v>#N/A</v>
      </c>
      <c r="JY330" s="218" t="e">
        <f t="shared" ca="1" si="1238"/>
        <v>#N/A</v>
      </c>
      <c r="JZ330" s="217" t="e">
        <f ca="1">IF(Control!$C$114=1,($IZ330/(IF($JI330&lt;&gt;0,$JI330,1)))*$JK330, 0)</f>
        <v>#N/A</v>
      </c>
      <c r="KA330" s="218" t="e">
        <f t="shared" ca="1" si="1377"/>
        <v>#N/A</v>
      </c>
      <c r="KB330" s="218" t="e">
        <f t="shared" ca="1" si="1343"/>
        <v>#N/A</v>
      </c>
      <c r="KC330" s="218" t="e">
        <f t="shared" ca="1" si="1239"/>
        <v>#N/A</v>
      </c>
      <c r="KD330" s="218" t="e">
        <f t="shared" ca="1" si="1240"/>
        <v>#N/A</v>
      </c>
      <c r="KE330" s="218" t="e">
        <f t="shared" ca="1" si="1241"/>
        <v>#N/A</v>
      </c>
      <c r="KF330" s="218" t="e">
        <f t="shared" ca="1" si="1242"/>
        <v>#N/A</v>
      </c>
      <c r="KG330" s="216" t="e">
        <f t="shared" ca="1" si="1243"/>
        <v>#N/A</v>
      </c>
      <c r="KH330" s="221" t="e">
        <f ca="1">IF(Control!$B$24=0,1,MAX(0.001,MIN(1,IF(($IF330-$IE330)&lt;&gt;0,($KG330-$IE330)/($IF330-$IE330),1))))</f>
        <v>#N/A</v>
      </c>
      <c r="KI330" s="222" t="e">
        <f ca="1">IF(Control!$C$114=1, $KI329+ $KH329, 0)</f>
        <v>#N/A</v>
      </c>
      <c r="KJ330" s="217" t="e">
        <f t="shared" ca="1" si="1244"/>
        <v>#N/A</v>
      </c>
      <c r="KK330" s="218" t="e">
        <f t="shared" ca="1" si="1245"/>
        <v>#N/A</v>
      </c>
      <c r="KL330" s="274" t="e">
        <f ca="1">IF(Control!$B$26=3,4000000000*EXP(-8400/($G330+273)),IF(Control!$B$26=4,4000000000*EXP(-8400/($G330+273))*($KT330),0))</f>
        <v>#DIV/0!</v>
      </c>
      <c r="KM330" s="274" t="e">
        <f ca="1">IF(Control!$B$26=3,5600000000000*EXP(-9800/($G330+273)),IF(Control!$B$26=4,5600000000000*EXP(-9800/($G330+273))*$KT330,0))</f>
        <v>#DIV/0!</v>
      </c>
      <c r="KN330" s="454" t="e">
        <f t="shared" ca="1" si="1344"/>
        <v>#DIV/0!</v>
      </c>
      <c r="KO330" s="274" t="e">
        <f t="shared" ca="1" si="1345"/>
        <v>#DIV/0!</v>
      </c>
      <c r="KP330" s="454" t="e">
        <f t="shared" ca="1" si="1246"/>
        <v>#DIV/0!</v>
      </c>
      <c r="KQ330" s="454" t="e">
        <f t="shared" ca="1" si="1247"/>
        <v>#DIV/0!</v>
      </c>
      <c r="KR330" s="454" t="e">
        <f t="shared" ca="1" si="1248"/>
        <v>#DIV/0!</v>
      </c>
      <c r="KS330" s="454" t="e">
        <f t="shared" ca="1" si="1249"/>
        <v>#DIV/0!</v>
      </c>
      <c r="KT330" s="455" t="e">
        <f t="shared" ca="1" si="1250"/>
        <v>#DIV/0!</v>
      </c>
      <c r="KU330" s="456" t="e">
        <f ca="1">IF($CP330-Control!$C$149&lt;0, IF($NT330-0.01&lt;0,0,1),0)</f>
        <v>#N/A</v>
      </c>
      <c r="KV330" s="456" t="e">
        <f ca="1">IF(Control!$C$114=1,MAX(0,MIN(Control!$C$125*$KW330*$GN330,$KW330)))</f>
        <v>#DIV/0!</v>
      </c>
      <c r="KW330" s="456" t="e">
        <f t="shared" ca="1" si="1378"/>
        <v>#DIV/0!</v>
      </c>
      <c r="KX330" s="457" t="e">
        <f ca="1">IF($CP330-Control!$C$149&lt;0, IF($MR330-$OM330&lt;0,0,1),0)</f>
        <v>#N/A</v>
      </c>
      <c r="KY330" s="167">
        <f t="shared" ca="1" si="1346"/>
        <v>326</v>
      </c>
      <c r="KZ330" s="168">
        <f ca="1">1370*(1+0.033*COS(2*Control!$C$138*$AH330/365))</f>
        <v>1405.3988995360851</v>
      </c>
      <c r="LA330" s="169">
        <f t="shared" ca="1" si="1347"/>
        <v>1.0258383434213432</v>
      </c>
      <c r="LB330" s="169">
        <f t="shared" ca="1" si="1348"/>
        <v>-0.36076672981935554</v>
      </c>
      <c r="LC330" s="169">
        <f ca="1">ACOS(-TAN((2*Control!$B$8/360))*TAN(Calculations!$LB330))</f>
        <v>1.4584316859848196</v>
      </c>
      <c r="LD330" s="169">
        <f ca="1">((24*60)/PI())*0.082*$LA330*(($LC330*SIN(Control!$B$8*2*PI()/360))*SIN($LB330)+COS(Control!$B$8*2*PI()/360)*COS($LB330)*SIN($LC330))</f>
        <v>6.4281535381778676</v>
      </c>
      <c r="LE330" s="170">
        <f t="shared" ca="1" si="1251"/>
        <v>7.9760107901581163</v>
      </c>
      <c r="LF330" s="170">
        <f ca="1">SIN(Control!$C$139*Control!$B$8)*SIN($HD330)</f>
        <v>-0.27532066665561772</v>
      </c>
      <c r="LG330" s="170">
        <f ca="1">COS(Control!$C$139*Control!$B$8)*COS($HD330)</f>
        <v>0.57686015006072644</v>
      </c>
      <c r="LH330" s="170">
        <f ca="1">12*(1+2*ASIN(MAX(-1,MIN(1,$LF330/$LG330))/Control!$C$138))</f>
        <v>8.3397265673006249</v>
      </c>
      <c r="LI330" s="170">
        <f ca="1">12*(1+2*ASIN(MAX(-1,MIN(1,(-SIN(-4*Control!$C$139)+$LF330)/$LG330))/Control!$C$138))</f>
        <v>9.2718223164582927</v>
      </c>
      <c r="LJ330" s="168">
        <f ca="1">3600*($LH330*$LF330+24*$LG330*SQRT(1-$LK330*$LK330)/Control!$C$138)</f>
        <v>5675.2647186439071</v>
      </c>
      <c r="LK330" s="170">
        <f t="shared" ca="1" si="1252"/>
        <v>-0.47727454674522851</v>
      </c>
      <c r="LL330" s="170">
        <f t="shared" ca="1" si="1253"/>
        <v>0</v>
      </c>
      <c r="LM330" s="171">
        <f ca="1">Control!$C$145*$AB330</f>
        <v>6.6660906138995932E-2</v>
      </c>
      <c r="LN330" s="170">
        <f t="shared" ca="1" si="1349"/>
        <v>0.54</v>
      </c>
      <c r="LO330" s="170">
        <f t="shared" ca="1" si="1254"/>
        <v>0</v>
      </c>
      <c r="LP330" s="170">
        <f ca="1">Control!$C$140*((($D330+273.16)^4+($E330+273.16)^4)/2)*(0.34-0.14*SQRT($Y330))*(1.35*$AQ330/(0.75*$LD330)-0.35)</f>
        <v>-3.2464704755046001</v>
      </c>
      <c r="LQ330" s="170">
        <f ca="1">Control!$C$140*($G330+273)^4*(0.56-0.079*SQRT($Y330*10))*(0.1+0.9*$LO330)</f>
        <v>1.5241745131704001</v>
      </c>
      <c r="LR330" s="170">
        <f ca="1">$AQ330*(1-Control!$C$142)-$LQ330</f>
        <v>-1.5241745131704001</v>
      </c>
      <c r="LS330" s="170">
        <f ca="1">$AQ330*(1-Control!$C$143)-$LQ330</f>
        <v>-1.5241745131704001</v>
      </c>
      <c r="LT330" s="170">
        <f ca="1">$AQ330*(1-Control!$C$144)-$LQ330</f>
        <v>-1.5241745131704001</v>
      </c>
      <c r="LU330" s="169">
        <f ca="1">(1-Control!$C$144)*AQ330-LP330</f>
        <v>3.2464704755046001</v>
      </c>
      <c r="LV330" s="172">
        <f t="shared" ca="1" si="1255"/>
        <v>0.79430000000000012</v>
      </c>
      <c r="LW330" s="170">
        <f t="shared" ca="1" si="1256"/>
        <v>1.5886000000000002</v>
      </c>
      <c r="LX330" s="170">
        <f ca="1">($AC330*($LR330/Control!$C$141)+$LM330*$LV330)/($AC330+$LM330)</f>
        <v>0.23530094218323697</v>
      </c>
      <c r="LY330" s="170">
        <f ca="1">($AC330*($LS330/Control!$C$141)+$LM330*$LV330)/($AC330+$LM330)</f>
        <v>0.23530094218323697</v>
      </c>
      <c r="LZ330" s="170">
        <f t="shared" ca="1" si="1257"/>
        <v>0.23530094218323697</v>
      </c>
      <c r="MA330" s="170">
        <f t="shared" ca="1" si="1258"/>
        <v>0.23530094218323697</v>
      </c>
      <c r="MB330" s="170" t="e">
        <f t="shared" ca="1" si="1259"/>
        <v>#N/A</v>
      </c>
      <c r="MC330" s="170">
        <f t="shared" ca="1" si="1350"/>
        <v>0.6018</v>
      </c>
      <c r="MD330" s="170">
        <f t="shared" ca="1" si="1260"/>
        <v>0.52989392535414004</v>
      </c>
      <c r="ME330" s="170">
        <f ca="1">($AC330*($LT330/Control!$C$141)+$LM330*$LW330)/($AC330+$LM330)</f>
        <v>0.71612369323045078</v>
      </c>
      <c r="MF330" s="170" t="e">
        <f ca="1">IF(Control!$B$16&gt;=1000,0.92,IF(AND(720&lt;=Control!$B$16,1000&gt;Control!$B$16),(0.95+(Control!$B$16-720)*((0.92-0.95)/(1000-720))),IF(AND(360&lt;=Control!$B$16,720&gt;Control!$B$16),(1+(Control!$B$16-360)*((0.95-1)/(720-360))),IF(AND(40&lt;=Control!$B$16,360&gt;Control!$B$16),(1.05+(Control!$B$16-40)*((1.05-1)/(360-40)))))))</f>
        <v>#N/A</v>
      </c>
      <c r="MG330" s="170">
        <f t="shared" ca="1" si="1261"/>
        <v>0.71612369323045078</v>
      </c>
      <c r="MH330" s="170" t="e">
        <f t="shared" ca="1" si="1262"/>
        <v>#N/A</v>
      </c>
      <c r="MI330" s="170" t="e">
        <f t="shared" ca="1" si="1262"/>
        <v>#N/A</v>
      </c>
      <c r="MJ330" s="170" t="e">
        <f ca="1">MAX(0.0001, Control!$C$132*$MI330*$DL330)</f>
        <v>#N/A</v>
      </c>
      <c r="MK330" s="170">
        <f ca="1">1/(0.76+1.5*($MG330/10))-(5-Control!$C$110)*0.1</f>
        <v>1.002845988140797</v>
      </c>
      <c r="ML330" s="173">
        <f ca="1">IF(Control!$C$110&lt;3,$MK330+($MG330-0.6)/(Control!$C$110*(Control!$C$110+3)), MAX(0.1, MIN(0.95,$MK330)))</f>
        <v>0.95</v>
      </c>
      <c r="MM330" s="173">
        <f ca="1">IF(Control!$C$110&lt;3,$MK330+(($MI330/10)-0.6)/(Control!$C$110*(Control!$C$110+3)), MAX(0.1, MIN(0.95,$MK330)))</f>
        <v>0.95</v>
      </c>
      <c r="MN330" s="173">
        <f ca="1">(1-$MM330)*(Control!$C$128-Control!$C$127)+Control!$C$127</f>
        <v>0.16</v>
      </c>
      <c r="MO330" s="170" t="e">
        <f ca="1">MAX(0,MIN(1,($MS330-Control!$C$127)/($MN330-Control!$C$127)))</f>
        <v>#DIV/0!</v>
      </c>
      <c r="MP330" s="173" t="e">
        <f ca="1">1/(0.76+1.5*$MI330)-(5-Control!$C$110)*0.1</f>
        <v>#N/A</v>
      </c>
      <c r="MQ330" s="172" t="e">
        <f t="shared" ca="1" si="1379"/>
        <v>#DIV/0!</v>
      </c>
      <c r="MR330" s="168" t="e">
        <f t="shared" ca="1" si="1351"/>
        <v>#DIV/0!</v>
      </c>
      <c r="MS330" s="173" t="e">
        <f ca="1">MAX(Control!$C$127, MIN(Control!$C$135, $MR330/MAX(0.0001,$CY330)))</f>
        <v>#DIV/0!</v>
      </c>
      <c r="MT330" s="168" t="e">
        <f ca="1">(Control!$C$128-$MS330)*Control!$C$74</f>
        <v>#DIV/0!</v>
      </c>
      <c r="MU330" s="168" t="e">
        <f ca="1">(Control!$C$135-$MS330)*Control!$C$74</f>
        <v>#DIV/0!</v>
      </c>
      <c r="MV330" s="168" t="e">
        <f t="shared" ca="1" si="1352"/>
        <v>#DIV/0!</v>
      </c>
      <c r="MW330" s="168" t="e">
        <f t="shared" ca="1" si="1353"/>
        <v>#DIV/0!</v>
      </c>
      <c r="MX330" s="171" t="e">
        <f ca="1">MAX(Control!$C$127, MIN(Control!$C$135, $MW330/MAX(0.0001,Control!$C$119-$CY330)))</f>
        <v>#DIV/0!</v>
      </c>
      <c r="MY330" s="54" t="e">
        <f ca="1">IF(Control!$C$114=1, $CX330*$MX330, 0)</f>
        <v>#DIV/0!</v>
      </c>
      <c r="MZ330" s="54" t="e">
        <f t="shared" ca="1" si="1354"/>
        <v>#N/A</v>
      </c>
      <c r="NA330" s="168" t="e">
        <f ca="1">(Control!$C$128-$MX330)*(Control!$C$119-Control!$C$74)</f>
        <v>#DIV/0!</v>
      </c>
      <c r="NB330" s="168" t="e">
        <f ca="1">(Control!$C$135-$MX330)*(Control!$C$119-Control!$C$74)</f>
        <v>#DIV/0!</v>
      </c>
      <c r="NC330" s="174" t="e">
        <f t="shared" ca="1" si="1355"/>
        <v>#DIV/0!</v>
      </c>
      <c r="ND330" s="54">
        <f ca="1">IF(Control!$C$58=2, IF(OR(Control!$B$218=$AH330,Control!$B$219=$AH330, Control!$B$220=$AH330, Control!$B$221=$AH330, Control!$B$222=$AH330, Control!$B$223=$AH330, Control!$B$224=$AH330, Control!$B$225=$AH330, Control!$B$226=$AH330, Control!$B$227=$AH330, Control!$B$228=$AH330), 1, 0), 0)</f>
        <v>0</v>
      </c>
      <c r="NE330" s="54">
        <f ca="1">IF($ND330=0,0, VLOOKUP($AH330,Control!$B$218:$C$228,2))</f>
        <v>0</v>
      </c>
      <c r="NF330" s="168" t="e">
        <f ca="1">$CY330*(Control!$C$128-Control!$C$127)</f>
        <v>#N/A</v>
      </c>
      <c r="NG330" s="54" t="e">
        <f ca="1">IF(Control!$C$58=2, $NI329-$NJ329, 0)</f>
        <v>#DIV/0!</v>
      </c>
      <c r="NH330" s="54" t="e">
        <f ca="1">IF(AND(Control!$C$58=1, $MS329&lt;= ($MN329+0.02), $I329&lt;10), 0, IF(Control!$C$58=2, $NG329, 0))</f>
        <v>#DIV/0!</v>
      </c>
      <c r="NI330" s="54" t="e">
        <f ca="1">IF(Control!$C$58=2, $NE330+$NH330,0)</f>
        <v>#DIV/0!</v>
      </c>
      <c r="NJ330" s="54" t="e">
        <f ca="1">IF(AND(Control!$C$58=1, $MS330&lt;= ($MN330+0.02), $I330&lt;10), MAX(0, MIN(10, 0.7*($NF330-$MV330))), IF(Control!$C$58=2, MIN(10,$NI330),0))</f>
        <v>#DIV/0!</v>
      </c>
      <c r="NK330" s="54" t="e">
        <f t="shared" ca="1" si="1263"/>
        <v>#DIV/0!</v>
      </c>
      <c r="NL330" s="173" t="e">
        <f ca="1">(1-Control!$C$73)*$I330+$NJ330</f>
        <v>#DIV/0!</v>
      </c>
      <c r="NM330" s="172" t="e">
        <f ca="1">IF($NL330&lt;0.5, $MB330* MAX(0, MIN(1, (SQRT($NC330)-SQRT($NC330-1))*Control!$C$71)),0)</f>
        <v>#DIV/0!</v>
      </c>
      <c r="NN330" s="170" t="e">
        <f ca="1">IF($NL330&gt;=5, $MB330, MAX(0,MIN($MB330, $NM330+$NL330,($MS330-Control!$C$129))))</f>
        <v>#DIV/0!</v>
      </c>
      <c r="NO330" s="54">
        <f>IF(Control!$C$133&lt;&gt;1, Control!$C$135-Control!$C$131, 0)</f>
        <v>0.38</v>
      </c>
      <c r="NP330" s="54" t="e">
        <f t="shared" ca="1" si="1264"/>
        <v>#DIV/0!</v>
      </c>
      <c r="NQ330" s="173" t="e">
        <f ca="1">MAX(0,MIN(1,(Control!$C$135-$MS330)/(Control!$C$135-$NO330)))</f>
        <v>#DIV/0!</v>
      </c>
      <c r="NR330" s="170" t="e">
        <f ca="1">IF(Control!$C$133&lt;&gt;1, $NQ330+((1-$NP330/4)*(1-$NQ330)),1)</f>
        <v>#DIV/0!</v>
      </c>
      <c r="NS330" s="170" t="e">
        <f ca="1">IF(Control!$B$31=0,$MJ330,MAX(0,MIN($MV330,$MO330*$NR330*$MJ330)))</f>
        <v>#DIV/0!</v>
      </c>
      <c r="NT330" s="170" t="e">
        <f t="shared" ca="1" si="1380"/>
        <v>#DIV/0!</v>
      </c>
      <c r="NU330" s="170" t="e">
        <f t="shared" ca="1" si="1356"/>
        <v>#N/A</v>
      </c>
      <c r="NV330" s="170" t="e">
        <f t="shared" ca="1" si="1265"/>
        <v>#N/A</v>
      </c>
      <c r="NW330" s="175" t="e">
        <f t="shared" ca="1" si="1266"/>
        <v>#DIV/0!</v>
      </c>
      <c r="NX330" s="170" t="e">
        <f ca="1">MIN(Control!$C$72+$MU330, $NW330)</f>
        <v>#DIV/0!</v>
      </c>
      <c r="NY330" s="170" t="e">
        <f ca="1">IF($MT330&lt;=$NX330,MIN(Control!$C$72+$NB330,$NX330-$MT330),0)</f>
        <v>#DIV/0!</v>
      </c>
      <c r="NZ330" s="54" t="e">
        <f ca="1">IF(Control!$C$114=1,  $CX330*($MX330-Control!$C$127), 0)</f>
        <v>#DIV/0!</v>
      </c>
      <c r="OA330" s="170" t="e">
        <f t="shared" ca="1" si="1267"/>
        <v>#DIV/0!</v>
      </c>
      <c r="OB330" s="170" t="e">
        <f ca="1">IF($NA330 &lt;=$NY330, MIN(Control!$C$72, $NY330-$NA330), 0)</f>
        <v>#DIV/0!</v>
      </c>
      <c r="OC330" s="168" t="e">
        <f t="shared" ca="1" si="1268"/>
        <v>#DIV/0!</v>
      </c>
      <c r="OD330" s="168" t="e">
        <f t="shared" ca="1" si="1357"/>
        <v>#DIV/0!</v>
      </c>
      <c r="OE330" s="170">
        <f ca="1">Control!$C$73*$I330</f>
        <v>0</v>
      </c>
      <c r="OF330" s="176" t="e">
        <f t="shared" ca="1" si="1269"/>
        <v>#DIV/0!</v>
      </c>
      <c r="OG330" s="168" t="e">
        <f t="shared" ca="1" si="1270"/>
        <v>#DIV/0!</v>
      </c>
      <c r="OH330" s="168" t="e">
        <f t="shared" ca="1" si="1271"/>
        <v>#DIV/0!</v>
      </c>
      <c r="OI330" s="168" t="e">
        <f t="shared" ca="1" si="1272"/>
        <v>#DIV/0!</v>
      </c>
      <c r="OJ330" s="168" t="e">
        <f t="shared" ca="1" si="1273"/>
        <v>#DIV/0!</v>
      </c>
      <c r="OK330" s="204" t="e">
        <f t="shared" ca="1" si="1274"/>
        <v>#DIV/0!</v>
      </c>
      <c r="OL330" s="177">
        <f>Control!$C$127</f>
        <v>0.15</v>
      </c>
      <c r="OM330" s="182" t="e">
        <f t="shared" ca="1" si="1275"/>
        <v>#N/A</v>
      </c>
      <c r="ON330" s="177">
        <f>Control!$C$128</f>
        <v>0.35</v>
      </c>
      <c r="OO330" s="182" t="e">
        <f t="shared" ca="1" si="1276"/>
        <v>#N/A</v>
      </c>
      <c r="OP330" s="138">
        <f t="shared" ca="1" si="1358"/>
        <v>0</v>
      </c>
      <c r="OQ330" s="138" t="e">
        <f t="shared" ca="1" si="1381"/>
        <v>#DIV/0!</v>
      </c>
      <c r="OR330" s="138" t="e">
        <f t="shared" ca="1" si="1359"/>
        <v>#DIV/0!</v>
      </c>
      <c r="OS330" s="137" t="e">
        <f t="shared" ca="1" si="1382"/>
        <v>#DIV/0!</v>
      </c>
      <c r="OT330" s="139" t="e">
        <f t="shared" ca="1" si="1383"/>
        <v>#DIV/0!</v>
      </c>
      <c r="OU330" s="138" t="e">
        <f t="shared" ca="1" si="1384"/>
        <v>#N/A</v>
      </c>
      <c r="OV330" s="138" t="e">
        <f t="shared" ca="1" si="1385"/>
        <v>#DIV/0!</v>
      </c>
      <c r="OW330" s="138" t="e">
        <f t="shared" ca="1" si="1360"/>
        <v>#DIV/0!</v>
      </c>
      <c r="OX330" s="138" t="e">
        <f t="shared" ca="1" si="1361"/>
        <v>#DIV/0!</v>
      </c>
      <c r="OY330" s="138" t="e">
        <f t="shared" ca="1" si="1362"/>
        <v>#DIV/0!</v>
      </c>
      <c r="OZ330" s="138" t="e">
        <f t="shared" ca="1" si="1277"/>
        <v>#DIV/0!</v>
      </c>
      <c r="PA330" s="138" t="e">
        <f t="shared" ca="1" si="1278"/>
        <v>#DIV/0!</v>
      </c>
      <c r="PB330" s="55">
        <f>IF(Control!$C$61="T", IF(Control!$C$65="F", IF($AH$6-Control!$C$60&lt;0,0,1), IF(365+$AH$6-Control!$C$60&lt;0,0,1)),0)</f>
        <v>0</v>
      </c>
      <c r="PC330" s="55">
        <f ca="1">IF(Control!$C$65="F", IF($AH$6-$HF330&lt;0,0,1), IF(365+$AH$6-$HF330&lt;0,0,1))</f>
        <v>1</v>
      </c>
      <c r="PD330" s="444">
        <f>Control!$C$118</f>
        <v>1500</v>
      </c>
      <c r="PE330" s="180" t="e">
        <f t="shared" ca="1" si="1279"/>
        <v>#N/A</v>
      </c>
      <c r="PF330" s="445">
        <f t="shared" ca="1" si="1363"/>
        <v>0.71612369323045078</v>
      </c>
      <c r="PT330" s="186"/>
      <c r="PU330" s="186"/>
      <c r="PV330" s="94"/>
      <c r="PW330" s="94"/>
      <c r="PX330" s="94"/>
      <c r="PY330" s="94"/>
      <c r="PZ330" s="94"/>
      <c r="QA330" s="94"/>
      <c r="QB330" s="94"/>
      <c r="QC330" s="94"/>
      <c r="QD330" s="94"/>
      <c r="QE330" s="94"/>
      <c r="QF330" s="94"/>
      <c r="QG330" s="94"/>
      <c r="QH330" s="94"/>
      <c r="QI330" s="94"/>
      <c r="QJ330" s="94"/>
      <c r="QK330" s="94"/>
      <c r="QL330" s="94"/>
      <c r="QM330" s="94"/>
      <c r="QN330" s="94"/>
      <c r="QO330" s="94"/>
      <c r="QP330" s="94"/>
    </row>
    <row r="331" spans="1:458" s="2" customFormat="1" x14ac:dyDescent="0.2">
      <c r="A331" s="395">
        <v>22</v>
      </c>
      <c r="B331" s="396">
        <v>11</v>
      </c>
      <c r="C331" s="387">
        <f ca="1">Weather_data!$B330</f>
        <v>0</v>
      </c>
      <c r="D331" s="388">
        <f ca="1">Weather_data!$F330</f>
        <v>0</v>
      </c>
      <c r="E331" s="388">
        <f ca="1">Weather_data!$E330</f>
        <v>0</v>
      </c>
      <c r="F331" s="388">
        <f t="shared" ca="1" si="1280"/>
        <v>0</v>
      </c>
      <c r="G331" s="388">
        <f ca="1">AVERAGE($D331:$E331)+Control!$B$9</f>
        <v>0</v>
      </c>
      <c r="H331" s="388">
        <f ca="1">Weather_data!$G330</f>
        <v>0</v>
      </c>
      <c r="I331" s="388">
        <f ca="1">Weather_data!$I330</f>
        <v>0</v>
      </c>
      <c r="J331" s="388">
        <f ca="1">Weather_data!$H330</f>
        <v>0</v>
      </c>
      <c r="K331" s="389">
        <f ca="1">Weather_data!$D330</f>
        <v>0</v>
      </c>
      <c r="L331" s="388" t="e">
        <f t="shared" ca="1" si="1281"/>
        <v>#N/A</v>
      </c>
      <c r="M331" s="388" t="e">
        <f t="shared" ca="1" si="1158"/>
        <v>#N/A</v>
      </c>
      <c r="N331" s="388">
        <f t="shared" ca="1" si="1159"/>
        <v>-6.7264446384945347E-16</v>
      </c>
      <c r="O331" s="388">
        <f t="shared" ca="1" si="1282"/>
        <v>6.7264446384945344E-15</v>
      </c>
      <c r="P331" s="390">
        <v>3</v>
      </c>
      <c r="Q331" s="388">
        <f ca="1">MAX($G331-Control!$C$107,0)</f>
        <v>0</v>
      </c>
      <c r="R331" s="388">
        <f t="shared" ca="1" si="1283"/>
        <v>0</v>
      </c>
      <c r="S331" s="388">
        <f t="shared" ca="1" si="1160"/>
        <v>0</v>
      </c>
      <c r="T331" s="388">
        <f t="shared" ca="1" si="1161"/>
        <v>0</v>
      </c>
      <c r="U331" s="59">
        <f t="shared" ca="1" si="1162"/>
        <v>0</v>
      </c>
      <c r="V331" s="391">
        <f ca="1">MAX(0,MIN(Control!$C$100-Control!$C$99,$G331-Control!$C$99)*Control!$C$63)</f>
        <v>0</v>
      </c>
      <c r="W331" s="388">
        <f t="shared" ca="1" si="1284"/>
        <v>0</v>
      </c>
      <c r="X331" s="388">
        <f t="shared" ca="1" si="1285"/>
        <v>0.6110000000000001</v>
      </c>
      <c r="Y331" s="388">
        <f t="shared" ca="1" si="1163"/>
        <v>0</v>
      </c>
      <c r="Z331" s="388">
        <f t="shared" ca="1" si="1286"/>
        <v>0.61058800000000002</v>
      </c>
      <c r="AA331" s="388">
        <f t="shared" ca="1" si="1164"/>
        <v>0.6018</v>
      </c>
      <c r="AB331" s="388">
        <f ca="1">101.3*EXP(-0.034*Control!$C$66/($G331+273))</f>
        <v>100.69623283836242</v>
      </c>
      <c r="AC331" s="392">
        <f t="shared" ca="1" si="1165"/>
        <v>4.3460251046025113E-2</v>
      </c>
      <c r="AD331" s="392">
        <f t="shared" ca="1" si="1166"/>
        <v>4.4450382862832649E-2</v>
      </c>
      <c r="AE331" s="388">
        <f t="shared" ca="1" si="1167"/>
        <v>0</v>
      </c>
      <c r="AF331" s="388">
        <f ca="1">MAX(0,$G331-Control!$C$92)</f>
        <v>0</v>
      </c>
      <c r="AG331" s="393">
        <f t="shared" ca="1" si="1168"/>
        <v>327</v>
      </c>
      <c r="AH331" s="389">
        <f t="shared" ca="1" si="1169"/>
        <v>327</v>
      </c>
      <c r="AI331" s="388">
        <f t="shared" ca="1" si="1287"/>
        <v>-0.3603629261535965</v>
      </c>
      <c r="AJ331" s="388">
        <f ca="1">IF(Control!$C$60&lt;=0,$HH331,$HI331)</f>
        <v>1</v>
      </c>
      <c r="AK331" s="388">
        <f t="shared" ca="1" si="1170"/>
        <v>4.2519089612968708</v>
      </c>
      <c r="AL331" s="388">
        <f t="shared" ca="1" si="1171"/>
        <v>1.6226377880235176E-18</v>
      </c>
      <c r="AM331" s="388">
        <f t="shared" ca="1" si="1172"/>
        <v>4.2519089612968708</v>
      </c>
      <c r="AN331" s="388">
        <f t="shared" ca="1" si="1173"/>
        <v>-0.36437443533471198</v>
      </c>
      <c r="AO331" s="388">
        <f ca="1">-0.10453/COS(Control!$B$8*PI()/180)*COS(AN331)</f>
        <v>-0.15863795701709918</v>
      </c>
      <c r="AP331" s="388">
        <f ca="1">ACOS(AO331-TAN(Control!$B$8*PI()/180)*TAN(AN331))</f>
        <v>1.2349814982914222</v>
      </c>
      <c r="AQ331" s="388">
        <f t="shared" ca="1" si="1288"/>
        <v>0</v>
      </c>
      <c r="AR331" s="394">
        <f t="shared" ca="1" si="1174"/>
        <v>0</v>
      </c>
      <c r="AS331" s="436">
        <f ca="1">IF(Control!$B$18=2,(IF(OR($AH331=Control!$B$175,$AH331=Control!$B$176,$AH331=Control!$B$177,$AH331=Control!$B$178,$AH331=Control!$B$179,$AH331=Control!$B$180,$AH331=Control!$B$181,$AH331=Control!$B$182,$AH331=Control!$B$183,$AH331=Control!$B$184,$AH331=Control!$B$185),1,0)),0)</f>
        <v>0</v>
      </c>
      <c r="AT331" s="436">
        <f>IF(Control!$B$20=8,IF(AND($AH331&gt;=Control!$B$172,$AH331&lt;=Control!$B$173),1,0),0)</f>
        <v>0</v>
      </c>
      <c r="AU331" s="436">
        <f>IF(Control!$B$20=8,IF($AV330=1,1*$AT331,IF($AT331=1,$AU330+1,$AU330)),0)</f>
        <v>0</v>
      </c>
      <c r="AV331" s="436">
        <f>IF(Control!$B$20=8,IF($AU331&gt;=Control!$B$174,1,0),0)</f>
        <v>0</v>
      </c>
      <c r="AW331" s="436">
        <f ca="1">IF(AND(Control!$B$18=2,Control!$B$171=1), $AV331, $AS331)</f>
        <v>0</v>
      </c>
      <c r="AX331" s="436" t="e">
        <f ca="1">IF(AND(Control!$B$18=1,$EU331&gt;=Control!$B$19),-$AY331,IF(AND(Control!$B$18=2,$AW331=1,$EU331&gt;$DS331),-$AY331, IF(Control!$C$108=0,0, IF(Control!$C$108&lt;&gt;0,1))))</f>
        <v>#N/A</v>
      </c>
      <c r="AY331" s="436" t="e">
        <f t="shared" ca="1" si="1289"/>
        <v>#N/A</v>
      </c>
      <c r="AZ331" s="436" t="e">
        <f ca="1">IF(AND(Control!$B$18=1,$EB331&gt;Control!$B$19),$AZ330+1, IF(AND(Control!$B$18=2, $AW331=1, $EB331&gt;$DS331), $AZ330+1,$AZ330))</f>
        <v>#N/A</v>
      </c>
      <c r="BA331" s="587">
        <f>IF(Control!$C$81=0,1,IF($AH331&gt;=Control!$C$82,1,0))</f>
        <v>1</v>
      </c>
      <c r="BB331" s="140" t="e">
        <f ca="1">IF($BA331&gt;$BA330,Control!$C$83,IF($AW331&gt;0,$AW331*Control!$C$84,IF(AND(Control!$B$18=1,EN330&lt;&gt;0),Control!$C$84,0)))</f>
        <v>#N/A</v>
      </c>
      <c r="BC331" s="140" t="e">
        <f t="shared" ca="1" si="1290"/>
        <v>#N/A</v>
      </c>
      <c r="BD331" s="140" t="e">
        <f ca="1">BC331*IF(OR($G331&lt;Control!$C$92,$G331&gt;Control!$C$95),0,IF(AND($G331&gt;=Control!$C$92,$G331&lt;=Control!$C$93),$G331-Control!$C$92,IF(AND($G331&gt;Control!$C$93,$G331&lt;=Control!$C$94),Control!$C$93-Control!$C$92,IF(AND($G331&gt;Control!$C$94,$G331&lt;=Control!$C$95),(Control!$C$93-Control!$C$92)*(Control!$C$94-$G331)/(Control!$C$95-Control!$C$94)))))</f>
        <v>#N/A</v>
      </c>
      <c r="BE331" s="140" t="e">
        <f t="shared" ca="1" si="1291"/>
        <v>#N/A</v>
      </c>
      <c r="BF331" s="140" t="e">
        <f ca="1">IF($BE331&lt;=Control!$C$86,$BE331,Control!$C$86-$BE331)</f>
        <v>#N/A</v>
      </c>
      <c r="BG331" s="140" t="e">
        <f ca="1">IF(AND($AW331=1,Control!$C$84&lt;9),1,IF($BE331&gt;=Control!$C$86,0,$BC331))</f>
        <v>#N/A</v>
      </c>
      <c r="BH331" s="404" t="e">
        <f ca="1">IF($BG331=0,0,IF($BE331&lt;=Control!$C$86,$BC331*9*($BF331/Control!$C$86),0))</f>
        <v>#N/A</v>
      </c>
      <c r="BI331" s="140" t="e">
        <f ca="1">IF($BG331=1,0,IF($BE331&gt;=Control!$C$86,1,IF(AND($BB331&lt;21,$BB331&gt;=9),1,$BM330)))</f>
        <v>#N/A</v>
      </c>
      <c r="BJ331" s="140" t="e">
        <f ca="1">IF($BF331&lt;0,-$BF331,$BI331*IF(OR($G331&lt;Control!$C$92,$G331&gt;Control!$C$95),0,IF(AND($G331&gt;=Control!$C$92,$G331&lt;=Control!$C$93),$G331-Control!$C$92,IF(AND($G331&gt;Control!$C$93,$G331&lt;=Control!$C$94),Control!$C$93-Control!$C$92,IF(AND($G331&gt;Control!$C$94,$G331&lt;=Control!$C$95),(Control!$C$93-Control!$C$92)*(Control!$C$94-$G331)/(Control!$C$95-Control!$C$94))))))</f>
        <v>#N/A</v>
      </c>
      <c r="BK331" s="140" t="e">
        <f t="shared" ca="1" si="1292"/>
        <v>#N/A</v>
      </c>
      <c r="BL331" s="140" t="e">
        <f ca="1">IF($BK331&lt;=Control!$C$87,$BK331,Control!$C$87-$BK331)</f>
        <v>#N/A</v>
      </c>
      <c r="BM331" s="140" t="e">
        <f ca="1">IF(AND($BB331&gt;=9,$BB331&lt;21),1,IF($BK331&gt;=Control!$C$87,0,$BI331))</f>
        <v>#N/A</v>
      </c>
      <c r="BN331" s="404" t="e">
        <f ca="1">IF($BM331=0,0,IF($BK331&lt;=Control!$C$87,$BI331*(9+(21-9)*($BL331/Control!$C$87)),0))</f>
        <v>#N/A</v>
      </c>
      <c r="BO331" s="140" t="e">
        <f ca="1">IF($BM331=1,0,IF($BK331&gt;=Control!$C$87,1,IF(AND($BB331&lt;30,$BB331&gt;=21),1,$BS330)))</f>
        <v>#N/A</v>
      </c>
      <c r="BP331" s="140" t="e">
        <f ca="1">IF($BL331&lt;0,-$BL331,$BO331*IF(OR($G331&lt;Control!$C$92,$G331&gt;Control!$C$95),0,IF(AND($G331&gt;=Control!$C$92,$G331&lt;=Control!$C$93),$G331-Control!$C$92,IF(AND($G331&gt;Control!$C$93,$G331&lt;=Control!$C$94),Control!$C$93-Control!$C$92,IF(AND($G331&gt;Control!$C$94,$G331&lt;=Control!$C$95),(Control!$C$93-Control!$C$92)*(Control!$C$94-$G331)/(Control!$C$95-Control!$C$94))))))</f>
        <v>#N/A</v>
      </c>
      <c r="BQ331" s="140" t="e">
        <f t="shared" ca="1" si="1175"/>
        <v>#N/A</v>
      </c>
      <c r="BR331" s="140" t="e">
        <f ca="1">IF($BQ331&lt;=Control!$C$88,$BQ331,Control!$C$88-$BQ331)</f>
        <v>#N/A</v>
      </c>
      <c r="BS331" s="140" t="e">
        <f ca="1">IF(AND($BB331&gt;=21,$BB331&lt;30),1,IF($BQ331&gt;=Control!$C$88,0,$BO331))</f>
        <v>#N/A</v>
      </c>
      <c r="BT331" s="404" t="e">
        <f ca="1">IF($BS331=0,0,IF($BQ331&lt;=Control!$C$88,$BO331*(21+(30-21)*(BR331/Control!$C$88)),0))</f>
        <v>#N/A</v>
      </c>
      <c r="BU331" s="140" t="e">
        <f ca="1">IF(BG331+BM331+BS331=1,0,IF(OR(AND($BB331&lt;60,$BB331&gt;=30),$BQ331&gt;=Control!$C$88),1*$BA331,$BY330))</f>
        <v>#N/A</v>
      </c>
      <c r="BV331" s="140" t="e">
        <f ca="1">IF($BR331&lt;0,-$BR331,$BU331*IF(OR($G331&lt;Control!$C$92,$G331&gt;Control!$C$95),0,IF(AND($G331&gt;=Control!$C$92,$G331&lt;=Control!$C$93),$G331-Control!$C$92,IF(AND($G331&gt;Control!$C$93,$G331&lt;=Control!$C$94),Control!$C$93-Control!$C$92,IF(AND($G331&gt;Control!$C$94,$G331&lt;=Control!$C$95),(Control!$C$93-Control!$C$92)*(Control!$C$94-$G331)/(Control!$C$95-Control!$C$94))))))</f>
        <v>#N/A</v>
      </c>
      <c r="BW331" s="140" t="e">
        <f t="shared" ca="1" si="1176"/>
        <v>#N/A</v>
      </c>
      <c r="BX331" s="140" t="e">
        <f ca="1">IF($BW331&lt;=Control!$C$89,$BW331,Control!$C$89-$BW331)</f>
        <v>#N/A</v>
      </c>
      <c r="BY331" s="140" t="e">
        <f ca="1">IF(AND($AJ331&gt;=30,$AJ331&lt;60),1,IF($BW331&gt;=Control!$C$89,0,$BU331))</f>
        <v>#N/A</v>
      </c>
      <c r="BZ331" s="404" t="e">
        <f ca="1">IF($BY331=0,0,IF($BW331&lt;=Control!$C$89,$BU331*(30+(60-30)*(BX331/Control!$C$89)),0))</f>
        <v>#N/A</v>
      </c>
      <c r="CA331" s="140" t="e">
        <f ca="1">IF($BG331+$BM331+$BS331+$BY331=1,0,IF(OR(AND($BB331&lt;65,$BB331&gt;=60),$BW331&gt;=Control!$C$89),1*$BA331,$CE330))</f>
        <v>#N/A</v>
      </c>
      <c r="CB331" s="140" t="e">
        <f ca="1">IF($BX331&lt;0,-$BX331,$CA331*IF(OR($G331&lt;Control!$C$92,$G331&gt;Control!$C$95),0,IF(AND($G331&gt;=Control!$C$92,$G331&lt;=Control!$C$93),$G331-Control!$C$92,IF(AND($G331&gt;Control!$C$93,$G331&lt;=Control!$C$94),Control!$C$93-Control!$C$92,IF(AND($G331&gt;Control!$C$94,$G331&lt;=Control!$C$95),(Control!$C$93-Control!$C$92)*(Control!$C$94-$G331)/(Control!$C$95-Control!$C$94))))))</f>
        <v>#N/A</v>
      </c>
      <c r="CC331" s="140" t="e">
        <f t="shared" ca="1" si="1293"/>
        <v>#N/A</v>
      </c>
      <c r="CD331" s="140" t="e">
        <f ca="1">IF($CC331&lt;=Control!$C$90,$CC331,Control!$C$90-$CC331)</f>
        <v>#N/A</v>
      </c>
      <c r="CE331" s="140" t="e">
        <f ca="1">IF(AND($BB331&gt;=60,$BB331&lt;65),1,IF($CC331&gt;=Control!$C$90,0,$CA331))</f>
        <v>#N/A</v>
      </c>
      <c r="CF331" s="404" t="e">
        <f ca="1">IF($CE331=0,0,IF($CC331&lt;=Control!$C$90,$CA331*(60+(65-60)*(CD331/Control!$C$90)),0))</f>
        <v>#N/A</v>
      </c>
      <c r="CG331" s="140" t="e">
        <f ca="1">IF($BG331+$BM331+$BS331+$BY331+$CE331=1,0,IF(OR(AND($BB331&lt;90,$BB331&gt;=65),$CC331&gt;=Control!$C$90),$BA331,$CK330))</f>
        <v>#N/A</v>
      </c>
      <c r="CH331" s="140" t="e">
        <f ca="1">IF($CD331&lt;0,-$CD331,$CG331*IF(OR($G331&lt;Control!$C$92,$G331&gt;Control!$C$95),0,IF(AND($G331&gt;=Control!$C$92,$G331&lt;=Control!$C$93),$G331-Control!$C$92,IF(AND($G331&gt;Control!$C$93,$G331&lt;=Control!$C$94),Control!$C$93-Control!$C$92,IF(AND($G331&gt;Control!$C$94,$G331&lt;=Control!$C$95),(Control!$C$93-Control!$C$92)*(Control!$C$94-$G331)/(Control!$C$95-Control!$C$94))))))</f>
        <v>#N/A</v>
      </c>
      <c r="CI331" s="140" t="e">
        <f t="shared" ca="1" si="1294"/>
        <v>#N/A</v>
      </c>
      <c r="CJ331" s="140" t="e">
        <f ca="1">IF($CI331&lt;=Control!$C$91,$CI331,Control!$C$91-$CI331)</f>
        <v>#N/A</v>
      </c>
      <c r="CK331" s="140" t="e">
        <f ca="1">IF(AND($BB331&gt;=65,$BB331&lt;90),1,IF($CI331&gt;=Control!$C$91,0,$CG331))</f>
        <v>#N/A</v>
      </c>
      <c r="CL331" s="404" t="e">
        <f ca="1">IF($CK331=0,0,IF($CI331&lt;=Control!$C$91,$CG331*(65+(90-65)*($CJ331/Control!$C$91)),0))</f>
        <v>#N/A</v>
      </c>
      <c r="CM331" s="140" t="e">
        <f ca="1">IF($BG331+$BM331+$BS331+$BY331+$CE331+$CK331=1,0,IF(OR($BB331&gt;=90,$CI331&gt;=Control!$C$91),$BA331,$CM330))</f>
        <v>#N/A</v>
      </c>
      <c r="CN331" s="140" t="e">
        <f t="shared" ca="1" si="1295"/>
        <v>#N/A</v>
      </c>
      <c r="CO331" s="140" t="e">
        <f t="shared" ca="1" si="1296"/>
        <v>#N/A</v>
      </c>
      <c r="CP331" s="140" t="e">
        <f t="shared" ca="1" si="1297"/>
        <v>#N/A</v>
      </c>
      <c r="CQ331" s="141" t="e">
        <f ca="1">VLOOKUP($CP331,Control!$B$86:$G$91,6)</f>
        <v>#N/A</v>
      </c>
      <c r="CR331" s="141" t="e">
        <f ca="1">(1-$CQ331)*VLOOKUP($CP331,Control!$B$86:$D$91,3)</f>
        <v>#N/A</v>
      </c>
      <c r="CS331" s="141" t="e">
        <f ca="1">(1-$CQ331)*VLOOKUP($CP331,Control!$B$86:$E$91,4)</f>
        <v>#N/A</v>
      </c>
      <c r="CT331" s="141" t="e">
        <f ca="1">(1-$CQ331)*VLOOKUP($CP331,Control!$B$86:$F$91,5)</f>
        <v>#N/A</v>
      </c>
      <c r="CU331" s="141">
        <f t="shared" ca="1" si="1298"/>
        <v>0</v>
      </c>
      <c r="CV331" s="583">
        <f t="shared" ca="1" si="1299"/>
        <v>0</v>
      </c>
      <c r="CW331" s="142">
        <f t="shared" ca="1" si="1300"/>
        <v>327</v>
      </c>
      <c r="CX331" s="612" t="e">
        <f ca="1">IF(Control!$C$114=1,(MIN(Control!$C$120*(IF($NT331-0.01&lt;0,0,1)),Control!$C$119-$CY331)))</f>
        <v>#DIV/0!</v>
      </c>
      <c r="CY331" s="143" t="e">
        <f t="shared" ca="1" si="1301"/>
        <v>#N/A</v>
      </c>
      <c r="CZ331" s="144">
        <f t="shared" ca="1" si="1177"/>
        <v>0</v>
      </c>
      <c r="DA331" s="144">
        <f t="shared" ca="1" si="1178"/>
        <v>0</v>
      </c>
      <c r="DB331" s="144" t="e">
        <f t="shared" ca="1" si="1179"/>
        <v>#N/A</v>
      </c>
      <c r="DC331" s="144" t="e">
        <f t="shared" ca="1" si="1180"/>
        <v>#N/A</v>
      </c>
      <c r="DD331" s="144" t="e">
        <f t="shared" ca="1" si="1386"/>
        <v>#N/A</v>
      </c>
      <c r="DE331" s="143" t="e">
        <f t="shared" ca="1" si="1302"/>
        <v>#N/A</v>
      </c>
      <c r="DF331" s="145" t="e">
        <f ca="1">$DR331*EXP(-Control!$C$158*(1-$KH331))</f>
        <v>#N/A</v>
      </c>
      <c r="DG331" s="146" t="e">
        <f ca="1">IF(Control!$C$114=1, $DF331*$EY331, 0)</f>
        <v>#N/A</v>
      </c>
      <c r="DH331" s="147" t="e">
        <f t="shared" ca="1" si="1303"/>
        <v>#N/A</v>
      </c>
      <c r="DI331" s="144" t="e">
        <f t="shared" ca="1" si="1364"/>
        <v>#N/A</v>
      </c>
      <c r="DJ331" s="147" t="e">
        <f ca="1">$EF331*Control!$C$109</f>
        <v>#N/A</v>
      </c>
      <c r="DK331" s="144" t="e">
        <f t="shared" ca="1" si="1304"/>
        <v>#N/A</v>
      </c>
      <c r="DL331" s="144" t="e">
        <f t="shared" ca="1" si="1181"/>
        <v>#N/A</v>
      </c>
      <c r="DM331" s="144" t="e">
        <f ca="1">IF(Control!$C$114=1, (1-EXP(-Control!$C$96*$DK331))*$AR331, 0)</f>
        <v>#N/A</v>
      </c>
      <c r="DN331" s="144">
        <f t="shared" ca="1" si="1305"/>
        <v>0</v>
      </c>
      <c r="DO331" s="148">
        <f>Control!$C$97</f>
        <v>4</v>
      </c>
      <c r="DP331" s="145" t="e">
        <f t="shared" ca="1" si="1306"/>
        <v>#N/A</v>
      </c>
      <c r="DQ331" s="145" t="e">
        <f ca="1">IF(AND($CP331&gt;=0,$CP331&lt;=90),Control!$C$111,Control!$C$111)</f>
        <v>#N/A</v>
      </c>
      <c r="DR331" s="145" t="e">
        <f t="shared" ca="1" si="1182"/>
        <v>#N/A</v>
      </c>
      <c r="DS331" s="143" t="e">
        <f ca="1">Control!$B$22/$DR331</f>
        <v>#N/A</v>
      </c>
      <c r="DT331" s="149" t="e">
        <f ca="1">IF(AND(Control!$C$114=1,$KH331&lt;1),$IM331*$DF331, 0)</f>
        <v>#N/A</v>
      </c>
      <c r="DU331" s="144" t="e">
        <f t="shared" ca="1" si="1307"/>
        <v>#N/A</v>
      </c>
      <c r="DV331" s="144">
        <f ca="1">IF($G331-Control!$C$107&lt;=0, 0, 0.83*LN(MAX($G331, 3))-0.8924)</f>
        <v>0</v>
      </c>
      <c r="DW331" s="144" t="e">
        <f t="shared" ca="1" si="1183"/>
        <v>#N/A</v>
      </c>
      <c r="DX331" s="150" t="e">
        <f ca="1">MAX(0.01*(1+$CU331/Control!$C$102),0.05*($DK331-Control!$C$97)/Control!$C$97)</f>
        <v>#N/A</v>
      </c>
      <c r="DY331" s="151" t="e">
        <f ca="1">IF(Control!$C$114=1, $DI331*$FS331, 0)</f>
        <v>#N/A</v>
      </c>
      <c r="DZ331" s="196" t="e">
        <f t="shared" ca="1" si="1308"/>
        <v>#N/A</v>
      </c>
      <c r="EA331" s="152">
        <f t="shared" ca="1" si="1309"/>
        <v>327</v>
      </c>
      <c r="EB331" s="153" t="e">
        <f t="shared" ca="1" si="1310"/>
        <v>#N/A</v>
      </c>
      <c r="EC331" s="153" t="e">
        <f t="shared" ca="1" si="1311"/>
        <v>#N/A</v>
      </c>
      <c r="ED331" s="154" t="e">
        <f ca="1">IF(Control!$C$114=1, $HM331*$FY331-$FD331, 0)</f>
        <v>#DIV/0!</v>
      </c>
      <c r="EE331" s="155" t="e">
        <f ca="1">IF(Control!$C$114=1, $HM331*$FZ331-$FF331, 0)</f>
        <v>#DIV/0!</v>
      </c>
      <c r="EF331" s="153" t="e">
        <f t="shared" ca="1" si="1365"/>
        <v>#N/A</v>
      </c>
      <c r="EG331" s="155" t="e">
        <f ca="1">IF(Control!$C$114=1, $GX331*$FW331-$FI331, 0)</f>
        <v>#DIV/0!</v>
      </c>
      <c r="EH331" s="153" t="e">
        <f t="shared" ca="1" si="1312"/>
        <v>#N/A</v>
      </c>
      <c r="EI331" s="156" t="e">
        <f t="shared" ca="1" si="1313"/>
        <v>#N/A</v>
      </c>
      <c r="EJ331" s="155" t="e">
        <f ca="1">IF(Control!$C$114=1, $HM331*$GB331, 0)</f>
        <v>#DIV/0!</v>
      </c>
      <c r="EK331" s="153" t="e">
        <f t="shared" ca="1" si="1366"/>
        <v>#N/A</v>
      </c>
      <c r="EL331" s="153" t="e">
        <f t="shared" ca="1" si="1184"/>
        <v>#N/A</v>
      </c>
      <c r="EM331" s="153" t="e">
        <f t="shared" ca="1" si="1185"/>
        <v>#N/A</v>
      </c>
      <c r="EN331" s="153" t="e">
        <f ca="1">IF(Control!$C$108=1,IF(AND(Control!$B$18=1,$EB331&gt;=Control!$B$19),$EB331-$DS331,IF(AND(Control!$B$18=2,$AW331=1,$EB331&gt;$DS331),$EB331-$DS331,0)))</f>
        <v>#N/A</v>
      </c>
      <c r="EO331" s="153" t="e">
        <f ca="1">IF(Control!$C$108=1,IF(AND(Control!$B$18=1,$EB331&gt;=Control!$B$19),$EF331,IF(AND(Control!$B$18=2,$AW331=1),$EF331,0)))</f>
        <v>#N/A</v>
      </c>
      <c r="EP331" s="153" t="e">
        <f ca="1">IF(Control!$C$108=1,IF(AND(Control!$B$18=1,$EB331&gt;=Control!$B$19),$EK331,IF(AND(Control!$B$18=2,$AW331=1),$EK331,0)))</f>
        <v>#N/A</v>
      </c>
      <c r="EQ331" s="153" t="e">
        <f t="shared" ca="1" si="1314"/>
        <v>#N/A</v>
      </c>
      <c r="ER331" s="153" t="e">
        <f t="shared" ca="1" si="1315"/>
        <v>#N/A</v>
      </c>
      <c r="ES331" s="153" t="e">
        <f t="shared" ca="1" si="1367"/>
        <v>#N/A</v>
      </c>
      <c r="ET331" s="153" t="e">
        <f t="shared" ca="1" si="1368"/>
        <v>#N/A</v>
      </c>
      <c r="EU331" s="153" t="e">
        <f t="shared" ca="1" si="1316"/>
        <v>#N/A</v>
      </c>
      <c r="EV331" s="153" t="e">
        <f t="shared" ca="1" si="1186"/>
        <v>#N/A</v>
      </c>
      <c r="EW331" s="153" t="e">
        <f t="shared" ca="1" si="1187"/>
        <v>#N/A</v>
      </c>
      <c r="EX331" s="153" t="e">
        <f t="shared" ca="1" si="1188"/>
        <v>#N/A</v>
      </c>
      <c r="EY331" s="157" t="e">
        <f t="shared" ca="1" si="1189"/>
        <v>#DIV/0!</v>
      </c>
      <c r="EZ331" s="154" t="e">
        <f t="shared" ca="1" si="1190"/>
        <v>#DIV/0!</v>
      </c>
      <c r="FA331" s="153" t="e">
        <f t="shared" ca="1" si="1317"/>
        <v>#N/A</v>
      </c>
      <c r="FB331" s="153" t="e">
        <f t="shared" ca="1" si="1191"/>
        <v>#N/A</v>
      </c>
      <c r="FC331" s="193" t="e">
        <f t="shared" ca="1" si="1192"/>
        <v>#N/A</v>
      </c>
      <c r="FD331" s="158" t="e">
        <f t="shared" ca="1" si="1318"/>
        <v>#N/A</v>
      </c>
      <c r="FE331" s="158" t="e">
        <f t="shared" ca="1" si="1319"/>
        <v>#N/A</v>
      </c>
      <c r="FF331" s="159" t="e">
        <f t="shared" ca="1" si="1193"/>
        <v>#N/A</v>
      </c>
      <c r="FG331" s="160" t="e">
        <f t="shared" ca="1" si="1320"/>
        <v>#N/A</v>
      </c>
      <c r="FH331" s="158" t="e">
        <f t="shared" ca="1" si="1321"/>
        <v>#N/A</v>
      </c>
      <c r="FI331" s="159" t="e">
        <f t="shared" ca="1" si="1194"/>
        <v>#N/A</v>
      </c>
      <c r="FJ331" s="160" t="e">
        <f t="shared" ca="1" si="1322"/>
        <v>#N/A</v>
      </c>
      <c r="FK331" s="160" t="e">
        <f t="shared" ca="1" si="1195"/>
        <v>#N/A</v>
      </c>
      <c r="FL331" s="160" t="e">
        <f t="shared" ca="1" si="1369"/>
        <v>#N/A</v>
      </c>
      <c r="FM331" s="160" t="e">
        <f t="shared" ca="1" si="1196"/>
        <v>#N/A</v>
      </c>
      <c r="FN331" s="158">
        <f t="shared" ca="1" si="1323"/>
        <v>0.01</v>
      </c>
      <c r="FO331" s="160">
        <f>Control!$C$101</f>
        <v>50</v>
      </c>
      <c r="FP331" s="150" t="e">
        <f t="shared" ca="1" si="1197"/>
        <v>#N/A</v>
      </c>
      <c r="FQ331" s="150" t="e">
        <f ca="1">MAX(0,(Control!$C$112*(($DK331-Control!$C$97)/Control!$C$97)))</f>
        <v>#N/A</v>
      </c>
      <c r="FR331" s="150" t="e">
        <f ca="1">(1-$NT331)*Control!$C$113</f>
        <v>#DIV/0!</v>
      </c>
      <c r="FS331" s="198" t="e">
        <f t="shared" ca="1" si="1198"/>
        <v>#N/A</v>
      </c>
      <c r="FT331" s="161">
        <f t="shared" ca="1" si="1324"/>
        <v>327</v>
      </c>
      <c r="FU331" s="162" t="e">
        <f ca="1">IF(Control!$B$34=1,VLOOKUP($CP331,Control!$B$86:$G$91,6),Control!$B$35)</f>
        <v>#N/A</v>
      </c>
      <c r="FV331" s="162" t="e">
        <f t="shared" ca="1" si="1199"/>
        <v>#DIV/0!</v>
      </c>
      <c r="FW331" s="162" t="e">
        <f ca="1">IF(Control!$B$31=1,$FU331*$FV331,  $FU331)</f>
        <v>#N/A</v>
      </c>
      <c r="FX331" s="162" t="e">
        <f ca="1">IF(Control!$B$34=1,VLOOKUP($CP331,Control!$B$86:$G$91,3),Control!$B$36)</f>
        <v>#N/A</v>
      </c>
      <c r="FY331" s="162" t="e">
        <f t="shared" ca="1" si="1200"/>
        <v>#N/A</v>
      </c>
      <c r="FZ331" s="162" t="e">
        <f ca="1">IF(Control!$B$34=1,VLOOKUP($CP331,Control!$B$86:$G$91,4),Control!$B$37)</f>
        <v>#N/A</v>
      </c>
      <c r="GA331" s="162" t="e">
        <f t="shared" ca="1" si="1201"/>
        <v>#N/A</v>
      </c>
      <c r="GB331" s="162" t="e">
        <f ca="1">IF(Control!$B$34=1,VLOOKUP($CP331,Control!$B$86:$G$91,5),Control!$B$38)</f>
        <v>#N/A</v>
      </c>
      <c r="GC331" s="162" t="e">
        <f t="shared" ca="1" si="1325"/>
        <v>#N/A</v>
      </c>
      <c r="GD331" s="162">
        <f t="shared" ca="1" si="1202"/>
        <v>1</v>
      </c>
      <c r="GE331" s="162">
        <f t="shared" ca="1" si="1203"/>
        <v>1</v>
      </c>
      <c r="GF331" s="162">
        <f ca="1">IF(AND(Control!$C$104=1, Control!$C$62="F"),$GE331,1)</f>
        <v>1</v>
      </c>
      <c r="GG331" s="162" t="e">
        <f ca="1">IF(Control!$B$16=40,0,IF(AND(Control!$B$16&gt;40,Control!$B$16&lt;=360),(Control!$B$16-40)*((1-0)/(360-40)),IF(AND(Control!$B$16&gt;360,Control!$B$16&lt;=720),(1+(Control!$B$16-360)*((1.25-1)/(720-360))),IF(AND(Control!$B$16&gt;720,Control!$B$16&lt;=1000),(1.25+(Control!$B$16-720)*((1.35-1.25)/(1000-720))),IF(AND(Control!$B$16&gt;1000,Control!$B$16&lt;=2000),(1.35+(Control!$B$16-1000)*0))))))</f>
        <v>#N/A</v>
      </c>
      <c r="GH331" s="162" t="e">
        <f t="shared" ca="1" si="1204"/>
        <v>#N/A</v>
      </c>
      <c r="GI331" s="162">
        <f t="shared" ca="1" si="1326"/>
        <v>0</v>
      </c>
      <c r="GJ331" s="162">
        <f t="shared" ca="1" si="1205"/>
        <v>0</v>
      </c>
      <c r="GK331" s="162">
        <f t="shared" ca="1" si="1327"/>
        <v>1</v>
      </c>
      <c r="GL331" s="162">
        <f t="shared" ca="1" si="1206"/>
        <v>1</v>
      </c>
      <c r="GM331" s="162" t="e">
        <f ca="1">MAX(0,MIN(1,1-Control!$C$156*(1.0001-$KH331)^2))</f>
        <v>#N/A</v>
      </c>
      <c r="GN331" s="162" t="e">
        <f ca="1">IF(Control!$B$26=1,$KU331,$KX331)</f>
        <v>#N/A</v>
      </c>
      <c r="GO331" s="162" t="e">
        <f ca="1">IF($CP331&lt;=60,Control!$C$105,IF($CP331&gt;=90,Control!$C$106,Control!$C$105+($CP331-60)*((Control!$C$106-Control!$C$105)/(90-60))))</f>
        <v>#N/A</v>
      </c>
      <c r="GP331" s="162" t="e">
        <f t="shared" ca="1" si="1207"/>
        <v>#N/A</v>
      </c>
      <c r="GQ331" s="162" t="e">
        <f t="shared" ca="1" si="1328"/>
        <v>#N/A</v>
      </c>
      <c r="GR331" s="163" t="e">
        <f t="shared" ca="1" si="1208"/>
        <v>#DIV/0!</v>
      </c>
      <c r="GS331" s="162" t="e">
        <f t="shared" ca="1" si="1209"/>
        <v>#DIV/0!</v>
      </c>
      <c r="GT331" s="164" t="e">
        <f t="shared" ca="1" si="1329"/>
        <v>#N/A</v>
      </c>
      <c r="GU331" s="162" t="e">
        <f t="shared" ca="1" si="1330"/>
        <v>#N/A</v>
      </c>
      <c r="GV331" s="162" t="e">
        <f t="shared" ca="1" si="1210"/>
        <v>#N/A</v>
      </c>
      <c r="GW331" s="162" t="e">
        <f t="shared" ca="1" si="1211"/>
        <v>#DIV/0!</v>
      </c>
      <c r="GX331" s="162" t="e">
        <f t="shared" ca="1" si="1331"/>
        <v>#DIV/0!</v>
      </c>
      <c r="GY331" s="162" t="e">
        <f t="shared" ca="1" si="1332"/>
        <v>#DIV/0!</v>
      </c>
      <c r="GZ331" s="165" t="e">
        <f t="shared" ca="1" si="1212"/>
        <v>#N/A</v>
      </c>
      <c r="HA331" s="162" t="e">
        <f ca="1">IF(Control!$C$114=1, $DI331*$FS331, 0)</f>
        <v>#N/A</v>
      </c>
      <c r="HB331" s="162" t="e">
        <f ca="1">$FA331/Control!$C$64</f>
        <v>#N/A</v>
      </c>
      <c r="HC331" s="162" t="e">
        <f t="shared" ca="1" si="1213"/>
        <v>#DIV/0!</v>
      </c>
      <c r="HD331" s="162">
        <f ca="1">-ASIN(SIN(23.45*Control!$C$139)*COS(2*Control!$C$138*($AH331+10)/365))</f>
        <v>-0.3603629261535965</v>
      </c>
      <c r="HE331" s="165">
        <f t="shared" ca="1" si="1333"/>
        <v>0</v>
      </c>
      <c r="HF331" s="166">
        <f ca="1">IF(AND(Control!$C$61="T",$HE331&gt;=Control!$C$103,Control!$C$114=0),$AH331,Control!$C$59)</f>
        <v>1</v>
      </c>
      <c r="HG331" s="166">
        <f ca="1">IF(AND(Control!$C$61="T",$HE331&gt;=Control!$C$103,Control!$C$114=0),$HF331,Control!$C$59)</f>
        <v>1</v>
      </c>
      <c r="HH331" s="165">
        <f ca="1">IF(AND(OR(Control!$C$60&lt;=0, $AH331= Control!$C$59, Control!$C$60 &gt;0, $AH331 = Control!$C$60)), Control!$C$59, IF(Control!$C$60&gt;0, 0))</f>
        <v>1</v>
      </c>
      <c r="HI331" s="165">
        <f ca="1">IF(AND(OR(Control!$C$60&lt;=0, $AH331= Control!$C$59, Control!$C$60 &gt;0, $AH331 = Control!$C$60)), Control!$C$60, IF(Control!$C$60&lt;=0, 0))</f>
        <v>0</v>
      </c>
      <c r="HJ331" s="166">
        <f ca="1">IF(AND(Control!$C$62="F",$CV331&gt;=Control!$C$102),$AH331,0)</f>
        <v>0</v>
      </c>
      <c r="HK331" s="165" t="e">
        <f t="shared" ca="1" si="1370"/>
        <v>#N/A</v>
      </c>
      <c r="HL331" s="166">
        <f ca="1">IF(AND(Control!$C$61="T",$HE331&gt;=Control!$C$103,Control!$C$114=0),$HF331,0)</f>
        <v>0</v>
      </c>
      <c r="HM331" s="201" t="e">
        <f t="shared" ca="1" si="1214"/>
        <v>#DIV/0!</v>
      </c>
      <c r="HN331" s="215">
        <f t="shared" ca="1" si="1334"/>
        <v>327</v>
      </c>
      <c r="HO331" s="216" t="e">
        <f ca="1">IF(AND($CP331&gt;=0, $CP331&lt;=90), Control!$C$152, Control!$C$152)</f>
        <v>#N/A</v>
      </c>
      <c r="HP331" s="216" t="e">
        <f t="shared" ca="1" si="1215"/>
        <v>#N/A</v>
      </c>
      <c r="HQ331" s="217" t="e">
        <f ca="1">IF(OR(Control!$B$26=1,Control!$B$26=2),$KV331,$KS331)</f>
        <v>#DIV/0!</v>
      </c>
      <c r="HR331" s="218" t="e">
        <f t="shared" ca="1" si="1371"/>
        <v>#DIV/0!</v>
      </c>
      <c r="HS331" s="216" t="e">
        <f ca="1">Control!$C$154*$HP331</f>
        <v>#N/A</v>
      </c>
      <c r="HT331" s="216" t="e">
        <f ca="1">Control!$C$155*$HP331</f>
        <v>#N/A</v>
      </c>
      <c r="HU331" s="217" t="e">
        <f ca="1">Control!$C$161*$FI331</f>
        <v>#N/A</v>
      </c>
      <c r="HV331" s="218" t="e">
        <f t="shared" ca="1" si="1335"/>
        <v>#N/A</v>
      </c>
      <c r="HW331" s="218" t="e">
        <f ca="1">Control!$C$160*$FF331+$IP331*$EO331</f>
        <v>#N/A</v>
      </c>
      <c r="HX331" s="218" t="e">
        <f t="shared" ca="1" si="1372"/>
        <v>#N/A</v>
      </c>
      <c r="HY331" s="219" t="e">
        <f ca="1">IF(Control!$C$114=1, $EB331*$FS331, 0)</f>
        <v>#N/A</v>
      </c>
      <c r="HZ331" s="91" t="e">
        <f t="shared" ca="1" si="1216"/>
        <v>#N/A</v>
      </c>
      <c r="IA331" s="220" t="e">
        <f ca="1">Control!$C$153*$HO331</f>
        <v>#N/A</v>
      </c>
      <c r="IB331" s="218" t="e">
        <f t="shared" ca="1" si="1217"/>
        <v>#N/A</v>
      </c>
      <c r="IC331" s="220" t="e">
        <f ca="1">Control!$C$153*$HT331</f>
        <v>#N/A</v>
      </c>
      <c r="ID331" s="218" t="e">
        <f t="shared" ca="1" si="1218"/>
        <v>#N/A</v>
      </c>
      <c r="IE331" s="221" t="e">
        <f ca="1">($EB331*Control!$C$159+$EF331*Control!$C$160)/(IF($GZ331&lt;&gt;0,$GZ331,1))</f>
        <v>#N/A</v>
      </c>
      <c r="IF331" s="216" t="e">
        <f t="shared" ca="1" si="1219"/>
        <v>#N/A</v>
      </c>
      <c r="IG331" s="91">
        <f ca="1">IF(OR(Control!$B$198=$AH331,Control!$B$199=$AH331, Control!$B$200=$AH331, Control!$B$201=$AH331, Control!$B$202=$AH331, Control!$B$203=$AH331, Control!$B$204=$AH331, Control!$B$205=$AH331, Control!$B$206=$AH331, Control!$B$207=$AH331), 1, 0)</f>
        <v>0</v>
      </c>
      <c r="IH331" s="91">
        <f ca="1">IF($IG331=0,0, VLOOKUP($AH331,Control!$B$198:$C$207,2))</f>
        <v>0</v>
      </c>
      <c r="II331" s="222">
        <f t="shared" ca="1" si="1336"/>
        <v>0</v>
      </c>
      <c r="IJ331" s="91">
        <f>Control!$C$121</f>
        <v>0.7</v>
      </c>
      <c r="IK331" s="218">
        <f t="shared" ca="1" si="1220"/>
        <v>0</v>
      </c>
      <c r="IL331" s="217" t="e">
        <f t="shared" ca="1" si="1373"/>
        <v>#N/A</v>
      </c>
      <c r="IM331" s="223" t="e">
        <f ca="1">IF(AND(Control!$C$114=1,$KH331&lt;1),$EB331*Control!$C$148*(1-$KH331), 0)</f>
        <v>#N/A</v>
      </c>
      <c r="IN331" s="217" t="e">
        <f t="shared" ca="1" si="1221"/>
        <v>#DIV/0!</v>
      </c>
      <c r="IO331" s="91" t="e">
        <f ca="1">MAX(0,$IL331-$EF331*Control!$C$160)</f>
        <v>#N/A</v>
      </c>
      <c r="IP331" s="220" t="e">
        <f t="shared" ca="1" si="1222"/>
        <v>#N/A</v>
      </c>
      <c r="IQ331" s="217" t="e">
        <f t="shared" ca="1" si="1337"/>
        <v>#N/A</v>
      </c>
      <c r="IR331" s="218" t="e">
        <f t="shared" ca="1" si="1223"/>
        <v>#N/A</v>
      </c>
      <c r="IS331" s="217" t="e">
        <f ca="1">Control!$C$159*MAX(0,$FD331-$EN331)</f>
        <v>#N/A</v>
      </c>
      <c r="IT331" s="217" t="e">
        <f t="shared" ca="1" si="1374"/>
        <v>#N/A</v>
      </c>
      <c r="IU331" s="217" t="e">
        <f t="shared" ca="1" si="1338"/>
        <v>#N/A</v>
      </c>
      <c r="IV331" s="217" t="e">
        <f t="shared" ca="1" si="1375"/>
        <v>#N/A</v>
      </c>
      <c r="IW331" s="217" t="e">
        <f ca="1">IF(OR($AW331=1,AND($AW331=0, Control!$B$18=1,$EN331&lt;&gt;0)), $IQ331-$IU331, $IQ331)</f>
        <v>#N/A</v>
      </c>
      <c r="IX331" s="218" t="e">
        <f t="shared" ca="1" si="1224"/>
        <v>#N/A</v>
      </c>
      <c r="IY331" s="218" t="e">
        <f ca="1">MAX(0,$IQ331-$EB331*Control!$C$159)</f>
        <v>#N/A</v>
      </c>
      <c r="IZ331" s="218" t="e">
        <f t="shared" ca="1" si="1225"/>
        <v>#N/A</v>
      </c>
      <c r="JA331" s="216" t="e">
        <f t="shared" ca="1" si="1226"/>
        <v>#N/A</v>
      </c>
      <c r="JB331" s="217" t="e">
        <f t="shared" ca="1" si="1227"/>
        <v>#N/A</v>
      </c>
      <c r="JC331" s="222" t="e">
        <f ca="1">MAX(Control!$C$157*$EK331-$JT331, 0)/Control!$C$162</f>
        <v>#N/A</v>
      </c>
      <c r="JD331" s="218" t="e">
        <f t="shared" ca="1" si="1228"/>
        <v>#N/A</v>
      </c>
      <c r="JE331" s="218" t="e">
        <f t="shared" ca="1" si="1229"/>
        <v>#N/A</v>
      </c>
      <c r="JF331" s="218" t="e">
        <f t="shared" ca="1" si="1339"/>
        <v>#N/A</v>
      </c>
      <c r="JG331" s="218" t="e">
        <f t="shared" ca="1" si="1230"/>
        <v>#N/A</v>
      </c>
      <c r="JH331" s="217" t="e">
        <f t="shared" ca="1" si="1340"/>
        <v>#N/A</v>
      </c>
      <c r="JI331" s="217" t="e">
        <f t="shared" ca="1" si="1341"/>
        <v>#N/A</v>
      </c>
      <c r="JJ331" s="217" t="e">
        <f t="shared" ca="1" si="1376"/>
        <v>#N/A</v>
      </c>
      <c r="JK331" s="217" t="e">
        <f ca="1">IF(Control!$C$114=1,IF(Control!$B$24=0,MAX(0,$JI331)*$GN331/Control!$C$64,(MAX(0,MIN($JI331,$JJ331*$GN331/Control!$C$64),0))))</f>
        <v>#N/A</v>
      </c>
      <c r="JL331" s="217" t="e">
        <f ca="1">$IK331/Control!$C$64-$JK331+$HQ331</f>
        <v>#N/A</v>
      </c>
      <c r="JM331" s="217" t="e">
        <f ca="1">IF(Control!$C$114=1,($JB331/(IF($JI331&lt;&gt;0,$JI331,1)))*$JK331,0)</f>
        <v>#N/A</v>
      </c>
      <c r="JN331" s="217" t="e">
        <f ca="1">IF(Control!$C$114=1,($JG331/(IF($JI331&lt;&gt;0,$JI331,1)))*$JK331, 0)</f>
        <v>#N/A</v>
      </c>
      <c r="JO331" s="218" t="e">
        <f t="shared" ca="1" si="1231"/>
        <v>#N/A</v>
      </c>
      <c r="JP331" s="218" t="e">
        <f ca="1">MIN(($IY331+$IO331)*Control!$C$151, $JF331-$EH331*Control!$C$161)</f>
        <v>#N/A</v>
      </c>
      <c r="JQ331" s="218" t="e">
        <f t="shared" ca="1" si="1232"/>
        <v>#N/A</v>
      </c>
      <c r="JR331" s="217" t="e">
        <f ca="1">IF($CP331-Control!$C$150&lt;0, 0, $JQ331/Control!$C$162)</f>
        <v>#N/A</v>
      </c>
      <c r="JS331" s="218" t="e">
        <f t="shared" ca="1" si="1233"/>
        <v>#N/A</v>
      </c>
      <c r="JT331" s="218" t="e">
        <f t="shared" ca="1" si="1342"/>
        <v>#N/A</v>
      </c>
      <c r="JU331" s="218" t="e">
        <f t="shared" ca="1" si="1234"/>
        <v>#N/A</v>
      </c>
      <c r="JV331" s="218" t="e">
        <f t="shared" ca="1" si="1235"/>
        <v>#N/A</v>
      </c>
      <c r="JW331" s="216" t="e">
        <f t="shared" ca="1" si="1236"/>
        <v>#N/A</v>
      </c>
      <c r="JX331" s="91" t="e">
        <f t="shared" ca="1" si="1237"/>
        <v>#N/A</v>
      </c>
      <c r="JY331" s="218" t="e">
        <f t="shared" ca="1" si="1238"/>
        <v>#N/A</v>
      </c>
      <c r="JZ331" s="217" t="e">
        <f ca="1">IF(Control!$C$114=1,($IZ331/(IF($JI331&lt;&gt;0,$JI331,1)))*$JK331, 0)</f>
        <v>#N/A</v>
      </c>
      <c r="KA331" s="218" t="e">
        <f t="shared" ca="1" si="1377"/>
        <v>#N/A</v>
      </c>
      <c r="KB331" s="218" t="e">
        <f t="shared" ca="1" si="1343"/>
        <v>#N/A</v>
      </c>
      <c r="KC331" s="218" t="e">
        <f t="shared" ca="1" si="1239"/>
        <v>#N/A</v>
      </c>
      <c r="KD331" s="218" t="e">
        <f t="shared" ca="1" si="1240"/>
        <v>#N/A</v>
      </c>
      <c r="KE331" s="218" t="e">
        <f t="shared" ca="1" si="1241"/>
        <v>#N/A</v>
      </c>
      <c r="KF331" s="218" t="e">
        <f t="shared" ca="1" si="1242"/>
        <v>#N/A</v>
      </c>
      <c r="KG331" s="216" t="e">
        <f t="shared" ca="1" si="1243"/>
        <v>#N/A</v>
      </c>
      <c r="KH331" s="221" t="e">
        <f ca="1">IF(Control!$B$24=0,1,MAX(0.001,MIN(1,IF(($IF331-$IE331)&lt;&gt;0,($KG331-$IE331)/($IF331-$IE331),1))))</f>
        <v>#N/A</v>
      </c>
      <c r="KI331" s="222" t="e">
        <f ca="1">IF(Control!$C$114=1, $KI330+ $KH330, 0)</f>
        <v>#N/A</v>
      </c>
      <c r="KJ331" s="217" t="e">
        <f t="shared" ca="1" si="1244"/>
        <v>#N/A</v>
      </c>
      <c r="KK331" s="218" t="e">
        <f t="shared" ca="1" si="1245"/>
        <v>#N/A</v>
      </c>
      <c r="KL331" s="274" t="e">
        <f ca="1">IF(Control!$B$26=3,4000000000*EXP(-8400/($G331+273)),IF(Control!$B$26=4,4000000000*EXP(-8400/($G331+273))*($KT331),0))</f>
        <v>#DIV/0!</v>
      </c>
      <c r="KM331" s="274" t="e">
        <f ca="1">IF(Control!$B$26=3,5600000000000*EXP(-9800/($G331+273)),IF(Control!$B$26=4,5600000000000*EXP(-9800/($G331+273))*$KT331,0))</f>
        <v>#DIV/0!</v>
      </c>
      <c r="KN331" s="454" t="e">
        <f t="shared" ca="1" si="1344"/>
        <v>#DIV/0!</v>
      </c>
      <c r="KO331" s="274" t="e">
        <f t="shared" ca="1" si="1345"/>
        <v>#DIV/0!</v>
      </c>
      <c r="KP331" s="454" t="e">
        <f t="shared" ca="1" si="1246"/>
        <v>#DIV/0!</v>
      </c>
      <c r="KQ331" s="454" t="e">
        <f t="shared" ca="1" si="1247"/>
        <v>#DIV/0!</v>
      </c>
      <c r="KR331" s="454" t="e">
        <f t="shared" ca="1" si="1248"/>
        <v>#DIV/0!</v>
      </c>
      <c r="KS331" s="454" t="e">
        <f t="shared" ca="1" si="1249"/>
        <v>#DIV/0!</v>
      </c>
      <c r="KT331" s="455" t="e">
        <f t="shared" ca="1" si="1250"/>
        <v>#DIV/0!</v>
      </c>
      <c r="KU331" s="456" t="e">
        <f ca="1">IF($CP331-Control!$C$149&lt;0, IF($NT331-0.01&lt;0,0,1),0)</f>
        <v>#N/A</v>
      </c>
      <c r="KV331" s="456" t="e">
        <f ca="1">IF(Control!$C$114=1,MAX(0,MIN(Control!$C$125*$KW331*$GN331,$KW331)))</f>
        <v>#DIV/0!</v>
      </c>
      <c r="KW331" s="456" t="e">
        <f t="shared" ca="1" si="1378"/>
        <v>#DIV/0!</v>
      </c>
      <c r="KX331" s="457" t="e">
        <f ca="1">IF($CP331-Control!$C$149&lt;0, IF($MR331-$OM331&lt;0,0,1),0)</f>
        <v>#N/A</v>
      </c>
      <c r="KY331" s="167">
        <f t="shared" ca="1" si="1346"/>
        <v>327</v>
      </c>
      <c r="KZ331" s="168">
        <f ca="1">1370*(1+0.033*COS(2*Control!$C$138*$AH331/365))</f>
        <v>1405.8777345460519</v>
      </c>
      <c r="LA331" s="169">
        <f t="shared" ca="1" si="1347"/>
        <v>1.0261878630954209</v>
      </c>
      <c r="LB331" s="169">
        <f t="shared" ca="1" si="1348"/>
        <v>-0.36403007216492916</v>
      </c>
      <c r="LC331" s="169">
        <f ca="1">ACOS(-TAN((2*Control!$B$8/360))*TAN(Calculations!$LB331))</f>
        <v>1.4573152791072073</v>
      </c>
      <c r="LD331" s="169">
        <f ca="1">((24*60)/PI())*0.082*$LA331*(($LC331*SIN(Control!$B$8*2*PI()/360))*SIN($LB331)+COS(Control!$B$8*2*PI()/360)*COS($LB331)*SIN($LC331))</f>
        <v>6.2770745686905975</v>
      </c>
      <c r="LE331" s="170">
        <f t="shared" ca="1" si="1251"/>
        <v>7.8394791074640624</v>
      </c>
      <c r="LF331" s="170">
        <f ca="1">SIN(Control!$C$139*Control!$B$8)*SIN($HD331)</f>
        <v>-0.27786398334483192</v>
      </c>
      <c r="LG331" s="170">
        <f ca="1">COS(Control!$C$139*Control!$B$8)*COS($HD331)</f>
        <v>0.57611530426715785</v>
      </c>
      <c r="LH331" s="170">
        <f ca="1">12*(1+2*ASIN(MAX(-1,MIN(1,$LF331/$LG331))/Control!$C$138))</f>
        <v>8.3008313808369216</v>
      </c>
      <c r="LI331" s="170">
        <f ca="1">12*(1+2*ASIN(MAX(-1,MIN(1,(-SIN(-4*Control!$C$139)+$LF331)/$LG331))/Control!$C$138))</f>
        <v>9.2343324625828558</v>
      </c>
      <c r="LJ331" s="168">
        <f ca="1">3600*($LH331*$LF331+24*$LG331*SQRT(1-$LK331*$LK331)/Control!$C$138)</f>
        <v>5576.2168464780298</v>
      </c>
      <c r="LK331" s="170">
        <f t="shared" ca="1" si="1252"/>
        <v>-0.48230620031572713</v>
      </c>
      <c r="LL331" s="170">
        <f t="shared" ca="1" si="1253"/>
        <v>0</v>
      </c>
      <c r="LM331" s="171">
        <f ca="1">Control!$C$145*$AB331</f>
        <v>6.6660906138995932E-2</v>
      </c>
      <c r="LN331" s="170">
        <f t="shared" ca="1" si="1349"/>
        <v>0.54</v>
      </c>
      <c r="LO331" s="170">
        <f t="shared" ca="1" si="1254"/>
        <v>0</v>
      </c>
      <c r="LP331" s="170">
        <f ca="1">Control!$C$140*((($D331+273.16)^4+($E331+273.16)^4)/2)*(0.34-0.14*SQRT($Y331))*(1.35*$AQ331/(0.75*$LD331)-0.35)</f>
        <v>-3.2464704755046001</v>
      </c>
      <c r="LQ331" s="170">
        <f ca="1">Control!$C$140*($G331+273)^4*(0.56-0.079*SQRT($Y331*10))*(0.1+0.9*$LO331)</f>
        <v>1.5241745131704001</v>
      </c>
      <c r="LR331" s="170">
        <f ca="1">$AQ331*(1-Control!$C$142)-$LQ331</f>
        <v>-1.5241745131704001</v>
      </c>
      <c r="LS331" s="170">
        <f ca="1">$AQ331*(1-Control!$C$143)-$LQ331</f>
        <v>-1.5241745131704001</v>
      </c>
      <c r="LT331" s="170">
        <f ca="1">$AQ331*(1-Control!$C$144)-$LQ331</f>
        <v>-1.5241745131704001</v>
      </c>
      <c r="LU331" s="169">
        <f ca="1">(1-Control!$C$144)*AQ331-LP331</f>
        <v>3.2464704755046001</v>
      </c>
      <c r="LV331" s="172">
        <f t="shared" ca="1" si="1255"/>
        <v>0.79430000000000012</v>
      </c>
      <c r="LW331" s="170">
        <f t="shared" ca="1" si="1256"/>
        <v>1.5886000000000002</v>
      </c>
      <c r="LX331" s="170">
        <f ca="1">($AC331*($LR331/Control!$C$141)+$LM331*$LV331)/($AC331+$LM331)</f>
        <v>0.23530094218323697</v>
      </c>
      <c r="LY331" s="170">
        <f ca="1">($AC331*($LS331/Control!$C$141)+$LM331*$LV331)/($AC331+$LM331)</f>
        <v>0.23530094218323697</v>
      </c>
      <c r="LZ331" s="170">
        <f t="shared" ca="1" si="1257"/>
        <v>0.23530094218323697</v>
      </c>
      <c r="MA331" s="170">
        <f t="shared" ca="1" si="1258"/>
        <v>0.23530094218323697</v>
      </c>
      <c r="MB331" s="170" t="e">
        <f t="shared" ca="1" si="1259"/>
        <v>#N/A</v>
      </c>
      <c r="MC331" s="170">
        <f t="shared" ca="1" si="1350"/>
        <v>0.6018</v>
      </c>
      <c r="MD331" s="170">
        <f t="shared" ca="1" si="1260"/>
        <v>0.52989392535414004</v>
      </c>
      <c r="ME331" s="170">
        <f ca="1">($AC331*($LT331/Control!$C$141)+$LM331*$LW331)/($AC331+$LM331)</f>
        <v>0.71612369323045078</v>
      </c>
      <c r="MF331" s="170" t="e">
        <f ca="1">IF(Control!$B$16&gt;=1000,0.92,IF(AND(720&lt;=Control!$B$16,1000&gt;Control!$B$16),(0.95+(Control!$B$16-720)*((0.92-0.95)/(1000-720))),IF(AND(360&lt;=Control!$B$16,720&gt;Control!$B$16),(1+(Control!$B$16-360)*((0.95-1)/(720-360))),IF(AND(40&lt;=Control!$B$16,360&gt;Control!$B$16),(1.05+(Control!$B$16-40)*((1.05-1)/(360-40)))))))</f>
        <v>#N/A</v>
      </c>
      <c r="MG331" s="170">
        <f t="shared" ca="1" si="1261"/>
        <v>0.71612369323045078</v>
      </c>
      <c r="MH331" s="170" t="e">
        <f t="shared" ca="1" si="1262"/>
        <v>#N/A</v>
      </c>
      <c r="MI331" s="170" t="e">
        <f t="shared" ca="1" si="1262"/>
        <v>#N/A</v>
      </c>
      <c r="MJ331" s="170" t="e">
        <f ca="1">MAX(0.0001, Control!$C$132*$MI331*$DL331)</f>
        <v>#N/A</v>
      </c>
      <c r="MK331" s="170">
        <f ca="1">1/(0.76+1.5*($MG331/10))-(5-Control!$C$110)*0.1</f>
        <v>1.002845988140797</v>
      </c>
      <c r="ML331" s="173">
        <f ca="1">IF(Control!$C$110&lt;3,$MK331+($MG331-0.6)/(Control!$C$110*(Control!$C$110+3)), MAX(0.1, MIN(0.95,$MK331)))</f>
        <v>0.95</v>
      </c>
      <c r="MM331" s="173">
        <f ca="1">IF(Control!$C$110&lt;3,$MK331+(($MI331/10)-0.6)/(Control!$C$110*(Control!$C$110+3)), MAX(0.1, MIN(0.95,$MK331)))</f>
        <v>0.95</v>
      </c>
      <c r="MN331" s="173">
        <f ca="1">(1-$MM331)*(Control!$C$128-Control!$C$127)+Control!$C$127</f>
        <v>0.16</v>
      </c>
      <c r="MO331" s="170" t="e">
        <f ca="1">MAX(0,MIN(1,($MS331-Control!$C$127)/($MN331-Control!$C$127)))</f>
        <v>#DIV/0!</v>
      </c>
      <c r="MP331" s="173" t="e">
        <f ca="1">1/(0.76+1.5*$MI331)-(5-Control!$C$110)*0.1</f>
        <v>#N/A</v>
      </c>
      <c r="MQ331" s="172" t="e">
        <f t="shared" ca="1" si="1379"/>
        <v>#DIV/0!</v>
      </c>
      <c r="MR331" s="168" t="e">
        <f t="shared" ca="1" si="1351"/>
        <v>#DIV/0!</v>
      </c>
      <c r="MS331" s="173" t="e">
        <f ca="1">MAX(Control!$C$127, MIN(Control!$C$135, $MR331/MAX(0.0001,$CY331)))</f>
        <v>#DIV/0!</v>
      </c>
      <c r="MT331" s="168" t="e">
        <f ca="1">(Control!$C$128-$MS331)*Control!$C$74</f>
        <v>#DIV/0!</v>
      </c>
      <c r="MU331" s="168" t="e">
        <f ca="1">(Control!$C$135-$MS331)*Control!$C$74</f>
        <v>#DIV/0!</v>
      </c>
      <c r="MV331" s="168" t="e">
        <f t="shared" ca="1" si="1352"/>
        <v>#DIV/0!</v>
      </c>
      <c r="MW331" s="168" t="e">
        <f t="shared" ca="1" si="1353"/>
        <v>#DIV/0!</v>
      </c>
      <c r="MX331" s="171" t="e">
        <f ca="1">MAX(Control!$C$127, MIN(Control!$C$135, $MW331/MAX(0.0001,Control!$C$119-$CY331)))</f>
        <v>#DIV/0!</v>
      </c>
      <c r="MY331" s="54" t="e">
        <f ca="1">IF(Control!$C$114=1, $CX331*$MX331, 0)</f>
        <v>#DIV/0!</v>
      </c>
      <c r="MZ331" s="54" t="e">
        <f t="shared" ca="1" si="1354"/>
        <v>#N/A</v>
      </c>
      <c r="NA331" s="168" t="e">
        <f ca="1">(Control!$C$128-$MX331)*(Control!$C$119-Control!$C$74)</f>
        <v>#DIV/0!</v>
      </c>
      <c r="NB331" s="168" t="e">
        <f ca="1">(Control!$C$135-$MX331)*(Control!$C$119-Control!$C$74)</f>
        <v>#DIV/0!</v>
      </c>
      <c r="NC331" s="174" t="e">
        <f t="shared" ca="1" si="1355"/>
        <v>#DIV/0!</v>
      </c>
      <c r="ND331" s="54">
        <f ca="1">IF(Control!$C$58=2, IF(OR(Control!$B$218=$AH331,Control!$B$219=$AH331, Control!$B$220=$AH331, Control!$B$221=$AH331, Control!$B$222=$AH331, Control!$B$223=$AH331, Control!$B$224=$AH331, Control!$B$225=$AH331, Control!$B$226=$AH331, Control!$B$227=$AH331, Control!$B$228=$AH331), 1, 0), 0)</f>
        <v>0</v>
      </c>
      <c r="NE331" s="54">
        <f ca="1">IF($ND331=0,0, VLOOKUP($AH331,Control!$B$218:$C$228,2))</f>
        <v>0</v>
      </c>
      <c r="NF331" s="168" t="e">
        <f ca="1">$CY331*(Control!$C$128-Control!$C$127)</f>
        <v>#N/A</v>
      </c>
      <c r="NG331" s="54" t="e">
        <f ca="1">IF(Control!$C$58=2, $NI330-$NJ330, 0)</f>
        <v>#DIV/0!</v>
      </c>
      <c r="NH331" s="54" t="e">
        <f ca="1">IF(AND(Control!$C$58=1, $MS330&lt;= ($MN330+0.02), $I330&lt;10), 0, IF(Control!$C$58=2, $NG330, 0))</f>
        <v>#DIV/0!</v>
      </c>
      <c r="NI331" s="54" t="e">
        <f ca="1">IF(Control!$C$58=2, $NE331+$NH331,0)</f>
        <v>#DIV/0!</v>
      </c>
      <c r="NJ331" s="54" t="e">
        <f ca="1">IF(AND(Control!$C$58=1, $MS331&lt;= ($MN331+0.02), $I331&lt;10), MAX(0, MIN(10, 0.7*($NF331-$MV331))), IF(Control!$C$58=2, MIN(10,$NI331),0))</f>
        <v>#DIV/0!</v>
      </c>
      <c r="NK331" s="54" t="e">
        <f t="shared" ca="1" si="1263"/>
        <v>#DIV/0!</v>
      </c>
      <c r="NL331" s="173" t="e">
        <f ca="1">(1-Control!$C$73)*$I331+$NJ331</f>
        <v>#DIV/0!</v>
      </c>
      <c r="NM331" s="172" t="e">
        <f ca="1">IF($NL331&lt;0.5, $MB331* MAX(0, MIN(1, (SQRT($NC331)-SQRT($NC331-1))*Control!$C$71)),0)</f>
        <v>#DIV/0!</v>
      </c>
      <c r="NN331" s="170" t="e">
        <f ca="1">IF($NL331&gt;=5, $MB331, MAX(0,MIN($MB331, $NM331+$NL331,($MS331-Control!$C$129))))</f>
        <v>#DIV/0!</v>
      </c>
      <c r="NO331" s="54">
        <f>IF(Control!$C$133&lt;&gt;1, Control!$C$135-Control!$C$131, 0)</f>
        <v>0.38</v>
      </c>
      <c r="NP331" s="54" t="e">
        <f t="shared" ca="1" si="1264"/>
        <v>#DIV/0!</v>
      </c>
      <c r="NQ331" s="173" t="e">
        <f ca="1">MAX(0,MIN(1,(Control!$C$135-$MS331)/(Control!$C$135-$NO331)))</f>
        <v>#DIV/0!</v>
      </c>
      <c r="NR331" s="170" t="e">
        <f ca="1">IF(Control!$C$133&lt;&gt;1, $NQ331+((1-$NP331/4)*(1-$NQ331)),1)</f>
        <v>#DIV/0!</v>
      </c>
      <c r="NS331" s="170" t="e">
        <f ca="1">IF(Control!$B$31=0,$MJ331,MAX(0,MIN($MV331,$MO331*$NR331*$MJ331)))</f>
        <v>#DIV/0!</v>
      </c>
      <c r="NT331" s="170" t="e">
        <f t="shared" ca="1" si="1380"/>
        <v>#DIV/0!</v>
      </c>
      <c r="NU331" s="170" t="e">
        <f t="shared" ca="1" si="1356"/>
        <v>#N/A</v>
      </c>
      <c r="NV331" s="170" t="e">
        <f t="shared" ca="1" si="1265"/>
        <v>#N/A</v>
      </c>
      <c r="NW331" s="175" t="e">
        <f t="shared" ca="1" si="1266"/>
        <v>#DIV/0!</v>
      </c>
      <c r="NX331" s="170" t="e">
        <f ca="1">MIN(Control!$C$72+$MU331, $NW331)</f>
        <v>#DIV/0!</v>
      </c>
      <c r="NY331" s="170" t="e">
        <f ca="1">IF($MT331&lt;=$NX331,MIN(Control!$C$72+$NB331,$NX331-$MT331),0)</f>
        <v>#DIV/0!</v>
      </c>
      <c r="NZ331" s="54" t="e">
        <f ca="1">IF(Control!$C$114=1,  $CX331*($MX331-Control!$C$127), 0)</f>
        <v>#DIV/0!</v>
      </c>
      <c r="OA331" s="170" t="e">
        <f t="shared" ca="1" si="1267"/>
        <v>#DIV/0!</v>
      </c>
      <c r="OB331" s="170" t="e">
        <f ca="1">IF($NA331 &lt;=$NY331, MIN(Control!$C$72, $NY331-$NA331), 0)</f>
        <v>#DIV/0!</v>
      </c>
      <c r="OC331" s="168" t="e">
        <f t="shared" ca="1" si="1268"/>
        <v>#DIV/0!</v>
      </c>
      <c r="OD331" s="168" t="e">
        <f t="shared" ca="1" si="1357"/>
        <v>#DIV/0!</v>
      </c>
      <c r="OE331" s="170">
        <f ca="1">Control!$C$73*$I331</f>
        <v>0</v>
      </c>
      <c r="OF331" s="176" t="e">
        <f t="shared" ca="1" si="1269"/>
        <v>#DIV/0!</v>
      </c>
      <c r="OG331" s="168" t="e">
        <f t="shared" ca="1" si="1270"/>
        <v>#DIV/0!</v>
      </c>
      <c r="OH331" s="168" t="e">
        <f t="shared" ca="1" si="1271"/>
        <v>#DIV/0!</v>
      </c>
      <c r="OI331" s="168" t="e">
        <f t="shared" ca="1" si="1272"/>
        <v>#DIV/0!</v>
      </c>
      <c r="OJ331" s="168" t="e">
        <f t="shared" ca="1" si="1273"/>
        <v>#DIV/0!</v>
      </c>
      <c r="OK331" s="204" t="e">
        <f t="shared" ca="1" si="1274"/>
        <v>#DIV/0!</v>
      </c>
      <c r="OL331" s="177">
        <f>Control!$C$127</f>
        <v>0.15</v>
      </c>
      <c r="OM331" s="182" t="e">
        <f t="shared" ca="1" si="1275"/>
        <v>#N/A</v>
      </c>
      <c r="ON331" s="177">
        <f>Control!$C$128</f>
        <v>0.35</v>
      </c>
      <c r="OO331" s="182" t="e">
        <f t="shared" ca="1" si="1276"/>
        <v>#N/A</v>
      </c>
      <c r="OP331" s="138">
        <f t="shared" ca="1" si="1358"/>
        <v>0</v>
      </c>
      <c r="OQ331" s="138" t="e">
        <f t="shared" ca="1" si="1381"/>
        <v>#DIV/0!</v>
      </c>
      <c r="OR331" s="138" t="e">
        <f t="shared" ca="1" si="1359"/>
        <v>#DIV/0!</v>
      </c>
      <c r="OS331" s="137" t="e">
        <f t="shared" ca="1" si="1382"/>
        <v>#DIV/0!</v>
      </c>
      <c r="OT331" s="139" t="e">
        <f t="shared" ca="1" si="1383"/>
        <v>#DIV/0!</v>
      </c>
      <c r="OU331" s="138" t="e">
        <f t="shared" ca="1" si="1384"/>
        <v>#N/A</v>
      </c>
      <c r="OV331" s="138" t="e">
        <f t="shared" ca="1" si="1385"/>
        <v>#DIV/0!</v>
      </c>
      <c r="OW331" s="138" t="e">
        <f t="shared" ca="1" si="1360"/>
        <v>#DIV/0!</v>
      </c>
      <c r="OX331" s="138" t="e">
        <f t="shared" ca="1" si="1361"/>
        <v>#DIV/0!</v>
      </c>
      <c r="OY331" s="138" t="e">
        <f t="shared" ca="1" si="1362"/>
        <v>#DIV/0!</v>
      </c>
      <c r="OZ331" s="138" t="e">
        <f t="shared" ca="1" si="1277"/>
        <v>#DIV/0!</v>
      </c>
      <c r="PA331" s="138" t="e">
        <f t="shared" ca="1" si="1278"/>
        <v>#DIV/0!</v>
      </c>
      <c r="PB331" s="55">
        <f>IF(Control!$C$61="T", IF(Control!$C$65="F", IF($AH$6-Control!$C$60&lt;0,0,1), IF(365+$AH$6-Control!$C$60&lt;0,0,1)),0)</f>
        <v>0</v>
      </c>
      <c r="PC331" s="55">
        <f ca="1">IF(Control!$C$65="F", IF($AH$6-$HF331&lt;0,0,1), IF(365+$AH$6-$HF331&lt;0,0,1))</f>
        <v>1</v>
      </c>
      <c r="PD331" s="444">
        <f>Control!$C$118</f>
        <v>1500</v>
      </c>
      <c r="PE331" s="180" t="e">
        <f t="shared" ca="1" si="1279"/>
        <v>#N/A</v>
      </c>
      <c r="PF331" s="445">
        <f t="shared" ca="1" si="1363"/>
        <v>0.71612369323045078</v>
      </c>
      <c r="PT331" s="186"/>
      <c r="PU331" s="186"/>
      <c r="PV331" s="94"/>
      <c r="PW331" s="94"/>
      <c r="PX331" s="94"/>
      <c r="PY331" s="94"/>
      <c r="PZ331" s="94"/>
      <c r="QA331" s="94"/>
      <c r="QB331" s="94"/>
      <c r="QC331" s="94"/>
      <c r="QD331" s="94"/>
      <c r="QE331" s="94"/>
      <c r="QF331" s="94"/>
      <c r="QG331" s="94"/>
      <c r="QH331" s="94"/>
      <c r="QI331" s="94"/>
      <c r="QJ331" s="94"/>
      <c r="QK331" s="94"/>
      <c r="QL331" s="94"/>
      <c r="QM331" s="94"/>
      <c r="QN331" s="94"/>
      <c r="QO331" s="94"/>
      <c r="QP331" s="94"/>
    </row>
    <row r="332" spans="1:458" s="2" customFormat="1" x14ac:dyDescent="0.2">
      <c r="A332" s="395">
        <v>23</v>
      </c>
      <c r="B332" s="396">
        <v>11</v>
      </c>
      <c r="C332" s="387">
        <f ca="1">Weather_data!$B331</f>
        <v>0</v>
      </c>
      <c r="D332" s="388">
        <f ca="1">Weather_data!$F331</f>
        <v>0</v>
      </c>
      <c r="E332" s="388">
        <f ca="1">Weather_data!$E331</f>
        <v>0</v>
      </c>
      <c r="F332" s="388">
        <f t="shared" ca="1" si="1280"/>
        <v>0</v>
      </c>
      <c r="G332" s="388">
        <f ca="1">AVERAGE($D332:$E332)+Control!$B$9</f>
        <v>0</v>
      </c>
      <c r="H332" s="388">
        <f ca="1">Weather_data!$G331</f>
        <v>0</v>
      </c>
      <c r="I332" s="388">
        <f ca="1">Weather_data!$I331</f>
        <v>0</v>
      </c>
      <c r="J332" s="388">
        <f ca="1">Weather_data!$H331</f>
        <v>0</v>
      </c>
      <c r="K332" s="389">
        <f ca="1">Weather_data!$D331</f>
        <v>0</v>
      </c>
      <c r="L332" s="388" t="e">
        <f t="shared" ca="1" si="1281"/>
        <v>#N/A</v>
      </c>
      <c r="M332" s="388" t="e">
        <f t="shared" ca="1" si="1158"/>
        <v>#N/A</v>
      </c>
      <c r="N332" s="388">
        <f t="shared" ca="1" si="1159"/>
        <v>-6.0538001746450815E-16</v>
      </c>
      <c r="O332" s="388">
        <f t="shared" ca="1" si="1282"/>
        <v>6.0538001746450811E-15</v>
      </c>
      <c r="P332" s="390">
        <v>3</v>
      </c>
      <c r="Q332" s="388">
        <f ca="1">MAX($G332-Control!$C$107,0)</f>
        <v>0</v>
      </c>
      <c r="R332" s="388">
        <f t="shared" ca="1" si="1283"/>
        <v>0</v>
      </c>
      <c r="S332" s="388">
        <f t="shared" ca="1" si="1160"/>
        <v>0</v>
      </c>
      <c r="T332" s="388">
        <f t="shared" ca="1" si="1161"/>
        <v>0</v>
      </c>
      <c r="U332" s="59">
        <f t="shared" ca="1" si="1162"/>
        <v>0</v>
      </c>
      <c r="V332" s="391">
        <f ca="1">MAX(0,MIN(Control!$C$100-Control!$C$99,$G332-Control!$C$99)*Control!$C$63)</f>
        <v>0</v>
      </c>
      <c r="W332" s="388">
        <f t="shared" ca="1" si="1284"/>
        <v>0</v>
      </c>
      <c r="X332" s="388">
        <f t="shared" ca="1" si="1285"/>
        <v>0.6110000000000001</v>
      </c>
      <c r="Y332" s="388">
        <f t="shared" ca="1" si="1163"/>
        <v>0</v>
      </c>
      <c r="Z332" s="388">
        <f t="shared" ca="1" si="1286"/>
        <v>0.61058800000000002</v>
      </c>
      <c r="AA332" s="388">
        <f t="shared" ca="1" si="1164"/>
        <v>0.6018</v>
      </c>
      <c r="AB332" s="388">
        <f ca="1">101.3*EXP(-0.034*Control!$C$66/($G332+273))</f>
        <v>100.69623283836242</v>
      </c>
      <c r="AC332" s="392">
        <f t="shared" ca="1" si="1165"/>
        <v>4.3460251046025113E-2</v>
      </c>
      <c r="AD332" s="392">
        <f t="shared" ca="1" si="1166"/>
        <v>4.4450382862832649E-2</v>
      </c>
      <c r="AE332" s="388">
        <f t="shared" ca="1" si="1167"/>
        <v>0</v>
      </c>
      <c r="AF332" s="388">
        <f ca="1">MAX(0,$G332-Control!$C$92)</f>
        <v>0</v>
      </c>
      <c r="AG332" s="393">
        <f t="shared" ca="1" si="1168"/>
        <v>328</v>
      </c>
      <c r="AH332" s="389">
        <f t="shared" ca="1" si="1169"/>
        <v>328</v>
      </c>
      <c r="AI332" s="388">
        <f t="shared" ca="1" si="1287"/>
        <v>-0.36370241974331374</v>
      </c>
      <c r="AJ332" s="388">
        <f ca="1">IF(Control!$C$60&lt;=0,$HH332,$HI332)</f>
        <v>1</v>
      </c>
      <c r="AK332" s="388">
        <f t="shared" ca="1" si="1170"/>
        <v>4.2691231676179102</v>
      </c>
      <c r="AL332" s="388">
        <f t="shared" ca="1" si="1171"/>
        <v>-2.1279381035022025E-17</v>
      </c>
      <c r="AM332" s="388">
        <f t="shared" ca="1" si="1172"/>
        <v>4.2691231676179102</v>
      </c>
      <c r="AN332" s="388">
        <f t="shared" ca="1" si="1173"/>
        <v>-0.36757656564176416</v>
      </c>
      <c r="AO332" s="388">
        <f ca="1">-0.10453/COS(Control!$B$8*PI()/180)*COS(AN332)</f>
        <v>-0.15844339799042192</v>
      </c>
      <c r="AP332" s="388">
        <f ca="1">ACOS(AO332-TAN(Control!$B$8*PI()/180)*TAN(AN332))</f>
        <v>1.2297920997820246</v>
      </c>
      <c r="AQ332" s="388">
        <f t="shared" ca="1" si="1288"/>
        <v>0</v>
      </c>
      <c r="AR332" s="394">
        <f t="shared" ca="1" si="1174"/>
        <v>0</v>
      </c>
      <c r="AS332" s="436">
        <f ca="1">IF(Control!$B$18=2,(IF(OR($AH332=Control!$B$175,$AH332=Control!$B$176,$AH332=Control!$B$177,$AH332=Control!$B$178,$AH332=Control!$B$179,$AH332=Control!$B$180,$AH332=Control!$B$181,$AH332=Control!$B$182,$AH332=Control!$B$183,$AH332=Control!$B$184,$AH332=Control!$B$185),1,0)),0)</f>
        <v>0</v>
      </c>
      <c r="AT332" s="436">
        <f>IF(Control!$B$20=8,IF(AND($AH332&gt;=Control!$B$172,$AH332&lt;=Control!$B$173),1,0),0)</f>
        <v>0</v>
      </c>
      <c r="AU332" s="436">
        <f>IF(Control!$B$20=8,IF($AV331=1,1*$AT332,IF($AT332=1,$AU331+1,$AU331)),0)</f>
        <v>0</v>
      </c>
      <c r="AV332" s="436">
        <f>IF(Control!$B$20=8,IF($AU332&gt;=Control!$B$174,1,0),0)</f>
        <v>0</v>
      </c>
      <c r="AW332" s="436">
        <f ca="1">IF(AND(Control!$B$18=2,Control!$B$171=1), $AV332, $AS332)</f>
        <v>0</v>
      </c>
      <c r="AX332" s="436" t="e">
        <f ca="1">IF(AND(Control!$B$18=1,$EU332&gt;=Control!$B$19),-$AY332,IF(AND(Control!$B$18=2,$AW332=1,$EU332&gt;$DS332),-$AY332, IF(Control!$C$108=0,0, IF(Control!$C$108&lt;&gt;0,1))))</f>
        <v>#N/A</v>
      </c>
      <c r="AY332" s="436" t="e">
        <f t="shared" ca="1" si="1289"/>
        <v>#N/A</v>
      </c>
      <c r="AZ332" s="436" t="e">
        <f ca="1">IF(AND(Control!$B$18=1,$EB332&gt;Control!$B$19),$AZ331+1, IF(AND(Control!$B$18=2, $AW332=1, $EB332&gt;$DS332), $AZ331+1,$AZ331))</f>
        <v>#N/A</v>
      </c>
      <c r="BA332" s="587">
        <f>IF(Control!$C$81=0,1,IF($AH332&gt;=Control!$C$82,1,0))</f>
        <v>1</v>
      </c>
      <c r="BB332" s="140" t="e">
        <f ca="1">IF($BA332&gt;$BA331,Control!$C$83,IF($AW332&gt;0,$AW332*Control!$C$84,IF(AND(Control!$B$18=1,EN331&lt;&gt;0),Control!$C$84,0)))</f>
        <v>#N/A</v>
      </c>
      <c r="BC332" s="140" t="e">
        <f t="shared" ca="1" si="1290"/>
        <v>#N/A</v>
      </c>
      <c r="BD332" s="140" t="e">
        <f ca="1">BC332*IF(OR($G332&lt;Control!$C$92,$G332&gt;Control!$C$95),0,IF(AND($G332&gt;=Control!$C$92,$G332&lt;=Control!$C$93),$G332-Control!$C$92,IF(AND($G332&gt;Control!$C$93,$G332&lt;=Control!$C$94),Control!$C$93-Control!$C$92,IF(AND($G332&gt;Control!$C$94,$G332&lt;=Control!$C$95),(Control!$C$93-Control!$C$92)*(Control!$C$94-$G332)/(Control!$C$95-Control!$C$94)))))</f>
        <v>#N/A</v>
      </c>
      <c r="BE332" s="140" t="e">
        <f t="shared" ca="1" si="1291"/>
        <v>#N/A</v>
      </c>
      <c r="BF332" s="140" t="e">
        <f ca="1">IF($BE332&lt;=Control!$C$86,$BE332,Control!$C$86-$BE332)</f>
        <v>#N/A</v>
      </c>
      <c r="BG332" s="140" t="e">
        <f ca="1">IF(AND($AW332=1,Control!$C$84&lt;9),1,IF($BE332&gt;=Control!$C$86,0,$BC332))</f>
        <v>#N/A</v>
      </c>
      <c r="BH332" s="404" t="e">
        <f ca="1">IF($BG332=0,0,IF($BE332&lt;=Control!$C$86,$BC332*9*($BF332/Control!$C$86),0))</f>
        <v>#N/A</v>
      </c>
      <c r="BI332" s="140" t="e">
        <f ca="1">IF($BG332=1,0,IF($BE332&gt;=Control!$C$86,1,IF(AND($BB332&lt;21,$BB332&gt;=9),1,$BM331)))</f>
        <v>#N/A</v>
      </c>
      <c r="BJ332" s="140" t="e">
        <f ca="1">IF($BF332&lt;0,-$BF332,$BI332*IF(OR($G332&lt;Control!$C$92,$G332&gt;Control!$C$95),0,IF(AND($G332&gt;=Control!$C$92,$G332&lt;=Control!$C$93),$G332-Control!$C$92,IF(AND($G332&gt;Control!$C$93,$G332&lt;=Control!$C$94),Control!$C$93-Control!$C$92,IF(AND($G332&gt;Control!$C$94,$G332&lt;=Control!$C$95),(Control!$C$93-Control!$C$92)*(Control!$C$94-$G332)/(Control!$C$95-Control!$C$94))))))</f>
        <v>#N/A</v>
      </c>
      <c r="BK332" s="140" t="e">
        <f t="shared" ca="1" si="1292"/>
        <v>#N/A</v>
      </c>
      <c r="BL332" s="140" t="e">
        <f ca="1">IF($BK332&lt;=Control!$C$87,$BK332,Control!$C$87-$BK332)</f>
        <v>#N/A</v>
      </c>
      <c r="BM332" s="140" t="e">
        <f ca="1">IF(AND($BB332&gt;=9,$BB332&lt;21),1,IF($BK332&gt;=Control!$C$87,0,$BI332))</f>
        <v>#N/A</v>
      </c>
      <c r="BN332" s="404" t="e">
        <f ca="1">IF($BM332=0,0,IF($BK332&lt;=Control!$C$87,$BI332*(9+(21-9)*($BL332/Control!$C$87)),0))</f>
        <v>#N/A</v>
      </c>
      <c r="BO332" s="140" t="e">
        <f ca="1">IF($BM332=1,0,IF($BK332&gt;=Control!$C$87,1,IF(AND($BB332&lt;30,$BB332&gt;=21),1,$BS331)))</f>
        <v>#N/A</v>
      </c>
      <c r="BP332" s="140" t="e">
        <f ca="1">IF($BL332&lt;0,-$BL332,$BO332*IF(OR($G332&lt;Control!$C$92,$G332&gt;Control!$C$95),0,IF(AND($G332&gt;=Control!$C$92,$G332&lt;=Control!$C$93),$G332-Control!$C$92,IF(AND($G332&gt;Control!$C$93,$G332&lt;=Control!$C$94),Control!$C$93-Control!$C$92,IF(AND($G332&gt;Control!$C$94,$G332&lt;=Control!$C$95),(Control!$C$93-Control!$C$92)*(Control!$C$94-$G332)/(Control!$C$95-Control!$C$94))))))</f>
        <v>#N/A</v>
      </c>
      <c r="BQ332" s="140" t="e">
        <f t="shared" ca="1" si="1175"/>
        <v>#N/A</v>
      </c>
      <c r="BR332" s="140" t="e">
        <f ca="1">IF($BQ332&lt;=Control!$C$88,$BQ332,Control!$C$88-$BQ332)</f>
        <v>#N/A</v>
      </c>
      <c r="BS332" s="140" t="e">
        <f ca="1">IF(AND($BB332&gt;=21,$BB332&lt;30),1,IF($BQ332&gt;=Control!$C$88,0,$BO332))</f>
        <v>#N/A</v>
      </c>
      <c r="BT332" s="404" t="e">
        <f ca="1">IF($BS332=0,0,IF($BQ332&lt;=Control!$C$88,$BO332*(21+(30-21)*(BR332/Control!$C$88)),0))</f>
        <v>#N/A</v>
      </c>
      <c r="BU332" s="140" t="e">
        <f ca="1">IF(BG332+BM332+BS332=1,0,IF(OR(AND($BB332&lt;60,$BB332&gt;=30),$BQ332&gt;=Control!$C$88),1*$BA332,$BY331))</f>
        <v>#N/A</v>
      </c>
      <c r="BV332" s="140" t="e">
        <f ca="1">IF($BR332&lt;0,-$BR332,$BU332*IF(OR($G332&lt;Control!$C$92,$G332&gt;Control!$C$95),0,IF(AND($G332&gt;=Control!$C$92,$G332&lt;=Control!$C$93),$G332-Control!$C$92,IF(AND($G332&gt;Control!$C$93,$G332&lt;=Control!$C$94),Control!$C$93-Control!$C$92,IF(AND($G332&gt;Control!$C$94,$G332&lt;=Control!$C$95),(Control!$C$93-Control!$C$92)*(Control!$C$94-$G332)/(Control!$C$95-Control!$C$94))))))</f>
        <v>#N/A</v>
      </c>
      <c r="BW332" s="140" t="e">
        <f t="shared" ca="1" si="1176"/>
        <v>#N/A</v>
      </c>
      <c r="BX332" s="140" t="e">
        <f ca="1">IF($BW332&lt;=Control!$C$89,$BW332,Control!$C$89-$BW332)</f>
        <v>#N/A</v>
      </c>
      <c r="BY332" s="140" t="e">
        <f ca="1">IF(AND($AJ332&gt;=30,$AJ332&lt;60),1,IF($BW332&gt;=Control!$C$89,0,$BU332))</f>
        <v>#N/A</v>
      </c>
      <c r="BZ332" s="404" t="e">
        <f ca="1">IF($BY332=0,0,IF($BW332&lt;=Control!$C$89,$BU332*(30+(60-30)*(BX332/Control!$C$89)),0))</f>
        <v>#N/A</v>
      </c>
      <c r="CA332" s="140" t="e">
        <f ca="1">IF($BG332+$BM332+$BS332+$BY332=1,0,IF(OR(AND($BB332&lt;65,$BB332&gt;=60),$BW332&gt;=Control!$C$89),1*$BA332,$CE331))</f>
        <v>#N/A</v>
      </c>
      <c r="CB332" s="140" t="e">
        <f ca="1">IF($BX332&lt;0,-$BX332,$CA332*IF(OR($G332&lt;Control!$C$92,$G332&gt;Control!$C$95),0,IF(AND($G332&gt;=Control!$C$92,$G332&lt;=Control!$C$93),$G332-Control!$C$92,IF(AND($G332&gt;Control!$C$93,$G332&lt;=Control!$C$94),Control!$C$93-Control!$C$92,IF(AND($G332&gt;Control!$C$94,$G332&lt;=Control!$C$95),(Control!$C$93-Control!$C$92)*(Control!$C$94-$G332)/(Control!$C$95-Control!$C$94))))))</f>
        <v>#N/A</v>
      </c>
      <c r="CC332" s="140" t="e">
        <f t="shared" ca="1" si="1293"/>
        <v>#N/A</v>
      </c>
      <c r="CD332" s="140" t="e">
        <f ca="1">IF($CC332&lt;=Control!$C$90,$CC332,Control!$C$90-$CC332)</f>
        <v>#N/A</v>
      </c>
      <c r="CE332" s="140" t="e">
        <f ca="1">IF(AND($BB332&gt;=60,$BB332&lt;65),1,IF($CC332&gt;=Control!$C$90,0,$CA332))</f>
        <v>#N/A</v>
      </c>
      <c r="CF332" s="404" t="e">
        <f ca="1">IF($CE332=0,0,IF($CC332&lt;=Control!$C$90,$CA332*(60+(65-60)*(CD332/Control!$C$90)),0))</f>
        <v>#N/A</v>
      </c>
      <c r="CG332" s="140" t="e">
        <f ca="1">IF($BG332+$BM332+$BS332+$BY332+$CE332=1,0,IF(OR(AND($BB332&lt;90,$BB332&gt;=65),$CC332&gt;=Control!$C$90),$BA332,$CK331))</f>
        <v>#N/A</v>
      </c>
      <c r="CH332" s="140" t="e">
        <f ca="1">IF($CD332&lt;0,-$CD332,$CG332*IF(OR($G332&lt;Control!$C$92,$G332&gt;Control!$C$95),0,IF(AND($G332&gt;=Control!$C$92,$G332&lt;=Control!$C$93),$G332-Control!$C$92,IF(AND($G332&gt;Control!$C$93,$G332&lt;=Control!$C$94),Control!$C$93-Control!$C$92,IF(AND($G332&gt;Control!$C$94,$G332&lt;=Control!$C$95),(Control!$C$93-Control!$C$92)*(Control!$C$94-$G332)/(Control!$C$95-Control!$C$94))))))</f>
        <v>#N/A</v>
      </c>
      <c r="CI332" s="140" t="e">
        <f t="shared" ca="1" si="1294"/>
        <v>#N/A</v>
      </c>
      <c r="CJ332" s="140" t="e">
        <f ca="1">IF($CI332&lt;=Control!$C$91,$CI332,Control!$C$91-$CI332)</f>
        <v>#N/A</v>
      </c>
      <c r="CK332" s="140" t="e">
        <f ca="1">IF(AND($BB332&gt;=65,$BB332&lt;90),1,IF($CI332&gt;=Control!$C$91,0,$CG332))</f>
        <v>#N/A</v>
      </c>
      <c r="CL332" s="404" t="e">
        <f ca="1">IF($CK332=0,0,IF($CI332&lt;=Control!$C$91,$CG332*(65+(90-65)*($CJ332/Control!$C$91)),0))</f>
        <v>#N/A</v>
      </c>
      <c r="CM332" s="140" t="e">
        <f ca="1">IF($BG332+$BM332+$BS332+$BY332+$CE332+$CK332=1,0,IF(OR($BB332&gt;=90,$CI332&gt;=Control!$C$91),$BA332,$CM331))</f>
        <v>#N/A</v>
      </c>
      <c r="CN332" s="140" t="e">
        <f t="shared" ca="1" si="1295"/>
        <v>#N/A</v>
      </c>
      <c r="CO332" s="140" t="e">
        <f t="shared" ca="1" si="1296"/>
        <v>#N/A</v>
      </c>
      <c r="CP332" s="140" t="e">
        <f t="shared" ca="1" si="1297"/>
        <v>#N/A</v>
      </c>
      <c r="CQ332" s="141" t="e">
        <f ca="1">VLOOKUP($CP332,Control!$B$86:$G$91,6)</f>
        <v>#N/A</v>
      </c>
      <c r="CR332" s="141" t="e">
        <f ca="1">(1-$CQ332)*VLOOKUP($CP332,Control!$B$86:$D$91,3)</f>
        <v>#N/A</v>
      </c>
      <c r="CS332" s="141" t="e">
        <f ca="1">(1-$CQ332)*VLOOKUP($CP332,Control!$B$86:$E$91,4)</f>
        <v>#N/A</v>
      </c>
      <c r="CT332" s="141" t="e">
        <f ca="1">(1-$CQ332)*VLOOKUP($CP332,Control!$B$86:$F$91,5)</f>
        <v>#N/A</v>
      </c>
      <c r="CU332" s="141">
        <f t="shared" ca="1" si="1298"/>
        <v>0</v>
      </c>
      <c r="CV332" s="583">
        <f t="shared" ca="1" si="1299"/>
        <v>0</v>
      </c>
      <c r="CW332" s="142">
        <f t="shared" ca="1" si="1300"/>
        <v>328</v>
      </c>
      <c r="CX332" s="612" t="e">
        <f ca="1">IF(Control!$C$114=1,(MIN(Control!$C$120*(IF($NT332-0.01&lt;0,0,1)),Control!$C$119-$CY332)))</f>
        <v>#DIV/0!</v>
      </c>
      <c r="CY332" s="143" t="e">
        <f t="shared" ca="1" si="1301"/>
        <v>#N/A</v>
      </c>
      <c r="CZ332" s="144">
        <f t="shared" ca="1" si="1177"/>
        <v>0</v>
      </c>
      <c r="DA332" s="144">
        <f t="shared" ca="1" si="1178"/>
        <v>0</v>
      </c>
      <c r="DB332" s="144" t="e">
        <f t="shared" ca="1" si="1179"/>
        <v>#N/A</v>
      </c>
      <c r="DC332" s="144" t="e">
        <f t="shared" ca="1" si="1180"/>
        <v>#N/A</v>
      </c>
      <c r="DD332" s="144" t="e">
        <f t="shared" ca="1" si="1386"/>
        <v>#N/A</v>
      </c>
      <c r="DE332" s="143" t="e">
        <f t="shared" ca="1" si="1302"/>
        <v>#N/A</v>
      </c>
      <c r="DF332" s="145" t="e">
        <f ca="1">$DR332*EXP(-Control!$C$158*(1-$KH332))</f>
        <v>#N/A</v>
      </c>
      <c r="DG332" s="146" t="e">
        <f ca="1">IF(Control!$C$114=1, $DF332*$EY332, 0)</f>
        <v>#N/A</v>
      </c>
      <c r="DH332" s="147" t="e">
        <f t="shared" ca="1" si="1303"/>
        <v>#N/A</v>
      </c>
      <c r="DI332" s="144" t="e">
        <f t="shared" ca="1" si="1364"/>
        <v>#N/A</v>
      </c>
      <c r="DJ332" s="147" t="e">
        <f ca="1">$EF332*Control!$C$109</f>
        <v>#N/A</v>
      </c>
      <c r="DK332" s="144" t="e">
        <f t="shared" ca="1" si="1304"/>
        <v>#N/A</v>
      </c>
      <c r="DL332" s="144" t="e">
        <f t="shared" ca="1" si="1181"/>
        <v>#N/A</v>
      </c>
      <c r="DM332" s="144" t="e">
        <f ca="1">IF(Control!$C$114=1, (1-EXP(-Control!$C$96*$DK332))*$AR332, 0)</f>
        <v>#N/A</v>
      </c>
      <c r="DN332" s="144">
        <f t="shared" ca="1" si="1305"/>
        <v>0</v>
      </c>
      <c r="DO332" s="148">
        <f>Control!$C$97</f>
        <v>4</v>
      </c>
      <c r="DP332" s="145" t="e">
        <f t="shared" ca="1" si="1306"/>
        <v>#N/A</v>
      </c>
      <c r="DQ332" s="145" t="e">
        <f ca="1">IF(AND($CP332&gt;=0,$CP332&lt;=90),Control!$C$111,Control!$C$111)</f>
        <v>#N/A</v>
      </c>
      <c r="DR332" s="145" t="e">
        <f t="shared" ca="1" si="1182"/>
        <v>#N/A</v>
      </c>
      <c r="DS332" s="143" t="e">
        <f ca="1">Control!$B$22/$DR332</f>
        <v>#N/A</v>
      </c>
      <c r="DT332" s="149" t="e">
        <f ca="1">IF(AND(Control!$C$114=1,$KH332&lt;1),$IM332*$DF332, 0)</f>
        <v>#N/A</v>
      </c>
      <c r="DU332" s="144" t="e">
        <f t="shared" ca="1" si="1307"/>
        <v>#N/A</v>
      </c>
      <c r="DV332" s="144">
        <f ca="1">IF($G332-Control!$C$107&lt;=0, 0, 0.83*LN(MAX($G332, 3))-0.8924)</f>
        <v>0</v>
      </c>
      <c r="DW332" s="144" t="e">
        <f t="shared" ca="1" si="1183"/>
        <v>#N/A</v>
      </c>
      <c r="DX332" s="150" t="e">
        <f ca="1">MAX(0.01*(1+$CU332/Control!$C$102),0.05*($DK332-Control!$C$97)/Control!$C$97)</f>
        <v>#N/A</v>
      </c>
      <c r="DY332" s="151" t="e">
        <f ca="1">IF(Control!$C$114=1, $DI332*$FS332, 0)</f>
        <v>#N/A</v>
      </c>
      <c r="DZ332" s="196" t="e">
        <f t="shared" ca="1" si="1308"/>
        <v>#N/A</v>
      </c>
      <c r="EA332" s="152">
        <f t="shared" ca="1" si="1309"/>
        <v>328</v>
      </c>
      <c r="EB332" s="153" t="e">
        <f t="shared" ca="1" si="1310"/>
        <v>#N/A</v>
      </c>
      <c r="EC332" s="153" t="e">
        <f t="shared" ca="1" si="1311"/>
        <v>#N/A</v>
      </c>
      <c r="ED332" s="154" t="e">
        <f ca="1">IF(Control!$C$114=1, $HM332*$FY332-$FD332, 0)</f>
        <v>#DIV/0!</v>
      </c>
      <c r="EE332" s="155" t="e">
        <f ca="1">IF(Control!$C$114=1, $HM332*$FZ332-$FF332, 0)</f>
        <v>#DIV/0!</v>
      </c>
      <c r="EF332" s="153" t="e">
        <f t="shared" ca="1" si="1365"/>
        <v>#N/A</v>
      </c>
      <c r="EG332" s="155" t="e">
        <f ca="1">IF(Control!$C$114=1, $GX332*$FW332-$FI332, 0)</f>
        <v>#DIV/0!</v>
      </c>
      <c r="EH332" s="153" t="e">
        <f t="shared" ca="1" si="1312"/>
        <v>#N/A</v>
      </c>
      <c r="EI332" s="156" t="e">
        <f t="shared" ca="1" si="1313"/>
        <v>#N/A</v>
      </c>
      <c r="EJ332" s="155" t="e">
        <f ca="1">IF(Control!$C$114=1, $HM332*$GB332, 0)</f>
        <v>#DIV/0!</v>
      </c>
      <c r="EK332" s="153" t="e">
        <f t="shared" ca="1" si="1366"/>
        <v>#N/A</v>
      </c>
      <c r="EL332" s="153" t="e">
        <f t="shared" ca="1" si="1184"/>
        <v>#N/A</v>
      </c>
      <c r="EM332" s="153" t="e">
        <f t="shared" ca="1" si="1185"/>
        <v>#N/A</v>
      </c>
      <c r="EN332" s="153" t="e">
        <f ca="1">IF(Control!$C$108=1,IF(AND(Control!$B$18=1,$EB332&gt;=Control!$B$19),$EB332-$DS332,IF(AND(Control!$B$18=2,$AW332=1,$EB332&gt;$DS332),$EB332-$DS332,0)))</f>
        <v>#N/A</v>
      </c>
      <c r="EO332" s="153" t="e">
        <f ca="1">IF(Control!$C$108=1,IF(AND(Control!$B$18=1,$EB332&gt;=Control!$B$19),$EF332,IF(AND(Control!$B$18=2,$AW332=1),$EF332,0)))</f>
        <v>#N/A</v>
      </c>
      <c r="EP332" s="153" t="e">
        <f ca="1">IF(Control!$C$108=1,IF(AND(Control!$B$18=1,$EB332&gt;=Control!$B$19),$EK332,IF(AND(Control!$B$18=2,$AW332=1),$EK332,0)))</f>
        <v>#N/A</v>
      </c>
      <c r="EQ332" s="153" t="e">
        <f t="shared" ca="1" si="1314"/>
        <v>#N/A</v>
      </c>
      <c r="ER332" s="153" t="e">
        <f t="shared" ca="1" si="1315"/>
        <v>#N/A</v>
      </c>
      <c r="ES332" s="153" t="e">
        <f t="shared" ca="1" si="1367"/>
        <v>#N/A</v>
      </c>
      <c r="ET332" s="153" t="e">
        <f t="shared" ca="1" si="1368"/>
        <v>#N/A</v>
      </c>
      <c r="EU332" s="153" t="e">
        <f t="shared" ca="1" si="1316"/>
        <v>#N/A</v>
      </c>
      <c r="EV332" s="153" t="e">
        <f t="shared" ca="1" si="1186"/>
        <v>#N/A</v>
      </c>
      <c r="EW332" s="153" t="e">
        <f t="shared" ca="1" si="1187"/>
        <v>#N/A</v>
      </c>
      <c r="EX332" s="153" t="e">
        <f t="shared" ca="1" si="1188"/>
        <v>#N/A</v>
      </c>
      <c r="EY332" s="157" t="e">
        <f t="shared" ca="1" si="1189"/>
        <v>#DIV/0!</v>
      </c>
      <c r="EZ332" s="154" t="e">
        <f t="shared" ca="1" si="1190"/>
        <v>#DIV/0!</v>
      </c>
      <c r="FA332" s="153" t="e">
        <f t="shared" ca="1" si="1317"/>
        <v>#N/A</v>
      </c>
      <c r="FB332" s="153" t="e">
        <f t="shared" ca="1" si="1191"/>
        <v>#N/A</v>
      </c>
      <c r="FC332" s="193" t="e">
        <f t="shared" ca="1" si="1192"/>
        <v>#N/A</v>
      </c>
      <c r="FD332" s="158" t="e">
        <f t="shared" ca="1" si="1318"/>
        <v>#N/A</v>
      </c>
      <c r="FE332" s="158" t="e">
        <f t="shared" ca="1" si="1319"/>
        <v>#N/A</v>
      </c>
      <c r="FF332" s="159" t="e">
        <f t="shared" ca="1" si="1193"/>
        <v>#N/A</v>
      </c>
      <c r="FG332" s="160" t="e">
        <f t="shared" ca="1" si="1320"/>
        <v>#N/A</v>
      </c>
      <c r="FH332" s="158" t="e">
        <f t="shared" ca="1" si="1321"/>
        <v>#N/A</v>
      </c>
      <c r="FI332" s="159" t="e">
        <f t="shared" ca="1" si="1194"/>
        <v>#N/A</v>
      </c>
      <c r="FJ332" s="160" t="e">
        <f t="shared" ca="1" si="1322"/>
        <v>#N/A</v>
      </c>
      <c r="FK332" s="160" t="e">
        <f t="shared" ca="1" si="1195"/>
        <v>#N/A</v>
      </c>
      <c r="FL332" s="160" t="e">
        <f t="shared" ca="1" si="1369"/>
        <v>#N/A</v>
      </c>
      <c r="FM332" s="160" t="e">
        <f t="shared" ca="1" si="1196"/>
        <v>#N/A</v>
      </c>
      <c r="FN332" s="158">
        <f t="shared" ca="1" si="1323"/>
        <v>0.01</v>
      </c>
      <c r="FO332" s="160">
        <f>Control!$C$101</f>
        <v>50</v>
      </c>
      <c r="FP332" s="150" t="e">
        <f t="shared" ca="1" si="1197"/>
        <v>#N/A</v>
      </c>
      <c r="FQ332" s="150" t="e">
        <f ca="1">MAX(0,(Control!$C$112*(($DK332-Control!$C$97)/Control!$C$97)))</f>
        <v>#N/A</v>
      </c>
      <c r="FR332" s="150" t="e">
        <f ca="1">(1-$NT332)*Control!$C$113</f>
        <v>#DIV/0!</v>
      </c>
      <c r="FS332" s="198" t="e">
        <f t="shared" ca="1" si="1198"/>
        <v>#N/A</v>
      </c>
      <c r="FT332" s="161">
        <f t="shared" ca="1" si="1324"/>
        <v>328</v>
      </c>
      <c r="FU332" s="162" t="e">
        <f ca="1">IF(Control!$B$34=1,VLOOKUP($CP332,Control!$B$86:$G$91,6),Control!$B$35)</f>
        <v>#N/A</v>
      </c>
      <c r="FV332" s="162" t="e">
        <f t="shared" ca="1" si="1199"/>
        <v>#DIV/0!</v>
      </c>
      <c r="FW332" s="162" t="e">
        <f ca="1">IF(Control!$B$31=1,$FU332*$FV332,  $FU332)</f>
        <v>#N/A</v>
      </c>
      <c r="FX332" s="162" t="e">
        <f ca="1">IF(Control!$B$34=1,VLOOKUP($CP332,Control!$B$86:$G$91,3),Control!$B$36)</f>
        <v>#N/A</v>
      </c>
      <c r="FY332" s="162" t="e">
        <f t="shared" ca="1" si="1200"/>
        <v>#N/A</v>
      </c>
      <c r="FZ332" s="162" t="e">
        <f ca="1">IF(Control!$B$34=1,VLOOKUP($CP332,Control!$B$86:$G$91,4),Control!$B$37)</f>
        <v>#N/A</v>
      </c>
      <c r="GA332" s="162" t="e">
        <f t="shared" ca="1" si="1201"/>
        <v>#N/A</v>
      </c>
      <c r="GB332" s="162" t="e">
        <f ca="1">IF(Control!$B$34=1,VLOOKUP($CP332,Control!$B$86:$G$91,5),Control!$B$38)</f>
        <v>#N/A</v>
      </c>
      <c r="GC332" s="162" t="e">
        <f t="shared" ca="1" si="1325"/>
        <v>#N/A</v>
      </c>
      <c r="GD332" s="162">
        <f t="shared" ca="1" si="1202"/>
        <v>1</v>
      </c>
      <c r="GE332" s="162">
        <f t="shared" ca="1" si="1203"/>
        <v>1</v>
      </c>
      <c r="GF332" s="162">
        <f ca="1">IF(AND(Control!$C$104=1, Control!$C$62="F"),$GE332,1)</f>
        <v>1</v>
      </c>
      <c r="GG332" s="162" t="e">
        <f ca="1">IF(Control!$B$16=40,0,IF(AND(Control!$B$16&gt;40,Control!$B$16&lt;=360),(Control!$B$16-40)*((1-0)/(360-40)),IF(AND(Control!$B$16&gt;360,Control!$B$16&lt;=720),(1+(Control!$B$16-360)*((1.25-1)/(720-360))),IF(AND(Control!$B$16&gt;720,Control!$B$16&lt;=1000),(1.25+(Control!$B$16-720)*((1.35-1.25)/(1000-720))),IF(AND(Control!$B$16&gt;1000,Control!$B$16&lt;=2000),(1.35+(Control!$B$16-1000)*0))))))</f>
        <v>#N/A</v>
      </c>
      <c r="GH332" s="162" t="e">
        <f t="shared" ca="1" si="1204"/>
        <v>#N/A</v>
      </c>
      <c r="GI332" s="162">
        <f t="shared" ca="1" si="1326"/>
        <v>0</v>
      </c>
      <c r="GJ332" s="162">
        <f t="shared" ca="1" si="1205"/>
        <v>0</v>
      </c>
      <c r="GK332" s="162">
        <f t="shared" ca="1" si="1327"/>
        <v>1</v>
      </c>
      <c r="GL332" s="162">
        <f t="shared" ca="1" si="1206"/>
        <v>1</v>
      </c>
      <c r="GM332" s="162" t="e">
        <f ca="1">MAX(0,MIN(1,1-Control!$C$156*(1.0001-$KH332)^2))</f>
        <v>#N/A</v>
      </c>
      <c r="GN332" s="162" t="e">
        <f ca="1">IF(Control!$B$26=1,$KU332,$KX332)</f>
        <v>#N/A</v>
      </c>
      <c r="GO332" s="162" t="e">
        <f ca="1">IF($CP332&lt;=60,Control!$C$105,IF($CP332&gt;=90,Control!$C$106,Control!$C$105+($CP332-60)*((Control!$C$106-Control!$C$105)/(90-60))))</f>
        <v>#N/A</v>
      </c>
      <c r="GP332" s="162" t="e">
        <f t="shared" ca="1" si="1207"/>
        <v>#N/A</v>
      </c>
      <c r="GQ332" s="162" t="e">
        <f t="shared" ca="1" si="1328"/>
        <v>#N/A</v>
      </c>
      <c r="GR332" s="163" t="e">
        <f t="shared" ca="1" si="1208"/>
        <v>#DIV/0!</v>
      </c>
      <c r="GS332" s="162" t="e">
        <f t="shared" ca="1" si="1209"/>
        <v>#DIV/0!</v>
      </c>
      <c r="GT332" s="164" t="e">
        <f t="shared" ca="1" si="1329"/>
        <v>#N/A</v>
      </c>
      <c r="GU332" s="162" t="e">
        <f t="shared" ca="1" si="1330"/>
        <v>#N/A</v>
      </c>
      <c r="GV332" s="162" t="e">
        <f t="shared" ca="1" si="1210"/>
        <v>#N/A</v>
      </c>
      <c r="GW332" s="162" t="e">
        <f t="shared" ca="1" si="1211"/>
        <v>#DIV/0!</v>
      </c>
      <c r="GX332" s="162" t="e">
        <f t="shared" ca="1" si="1331"/>
        <v>#DIV/0!</v>
      </c>
      <c r="GY332" s="162" t="e">
        <f t="shared" ca="1" si="1332"/>
        <v>#DIV/0!</v>
      </c>
      <c r="GZ332" s="165" t="e">
        <f t="shared" ca="1" si="1212"/>
        <v>#N/A</v>
      </c>
      <c r="HA332" s="162" t="e">
        <f ca="1">IF(Control!$C$114=1, $DI332*$FS332, 0)</f>
        <v>#N/A</v>
      </c>
      <c r="HB332" s="162" t="e">
        <f ca="1">$FA332/Control!$C$64</f>
        <v>#N/A</v>
      </c>
      <c r="HC332" s="162" t="e">
        <f t="shared" ca="1" si="1213"/>
        <v>#DIV/0!</v>
      </c>
      <c r="HD332" s="162">
        <f ca="1">-ASIN(SIN(23.45*Control!$C$139)*COS(2*Control!$C$138*($AH332+10)/365))</f>
        <v>-0.36370241974331374</v>
      </c>
      <c r="HE332" s="165">
        <f t="shared" ca="1" si="1333"/>
        <v>0</v>
      </c>
      <c r="HF332" s="166">
        <f ca="1">IF(AND(Control!$C$61="T",$HE332&gt;=Control!$C$103,Control!$C$114=0),$AH332,Control!$C$59)</f>
        <v>1</v>
      </c>
      <c r="HG332" s="166">
        <f ca="1">IF(AND(Control!$C$61="T",$HE332&gt;=Control!$C$103,Control!$C$114=0),$HF332,Control!$C$59)</f>
        <v>1</v>
      </c>
      <c r="HH332" s="165">
        <f ca="1">IF(AND(OR(Control!$C$60&lt;=0, $AH332= Control!$C$59, Control!$C$60 &gt;0, $AH332 = Control!$C$60)), Control!$C$59, IF(Control!$C$60&gt;0, 0))</f>
        <v>1</v>
      </c>
      <c r="HI332" s="165">
        <f ca="1">IF(AND(OR(Control!$C$60&lt;=0, $AH332= Control!$C$59, Control!$C$60 &gt;0, $AH332 = Control!$C$60)), Control!$C$60, IF(Control!$C$60&lt;=0, 0))</f>
        <v>0</v>
      </c>
      <c r="HJ332" s="166">
        <f ca="1">IF(AND(Control!$C$62="F",$CV332&gt;=Control!$C$102),$AH332,0)</f>
        <v>0</v>
      </c>
      <c r="HK332" s="165" t="e">
        <f t="shared" ca="1" si="1370"/>
        <v>#N/A</v>
      </c>
      <c r="HL332" s="166">
        <f ca="1">IF(AND(Control!$C$61="T",$HE332&gt;=Control!$C$103,Control!$C$114=0),$HF332,0)</f>
        <v>0</v>
      </c>
      <c r="HM332" s="201" t="e">
        <f t="shared" ca="1" si="1214"/>
        <v>#DIV/0!</v>
      </c>
      <c r="HN332" s="215">
        <f t="shared" ca="1" si="1334"/>
        <v>328</v>
      </c>
      <c r="HO332" s="216" t="e">
        <f ca="1">IF(AND($CP332&gt;=0, $CP332&lt;=90), Control!$C$152, Control!$C$152)</f>
        <v>#N/A</v>
      </c>
      <c r="HP332" s="216" t="e">
        <f t="shared" ca="1" si="1215"/>
        <v>#N/A</v>
      </c>
      <c r="HQ332" s="217" t="e">
        <f ca="1">IF(OR(Control!$B$26=1,Control!$B$26=2),$KV332,$KS332)</f>
        <v>#DIV/0!</v>
      </c>
      <c r="HR332" s="218" t="e">
        <f t="shared" ca="1" si="1371"/>
        <v>#DIV/0!</v>
      </c>
      <c r="HS332" s="216" t="e">
        <f ca="1">Control!$C$154*$HP332</f>
        <v>#N/A</v>
      </c>
      <c r="HT332" s="216" t="e">
        <f ca="1">Control!$C$155*$HP332</f>
        <v>#N/A</v>
      </c>
      <c r="HU332" s="217" t="e">
        <f ca="1">Control!$C$161*$FI332</f>
        <v>#N/A</v>
      </c>
      <c r="HV332" s="218" t="e">
        <f t="shared" ca="1" si="1335"/>
        <v>#N/A</v>
      </c>
      <c r="HW332" s="218" t="e">
        <f ca="1">Control!$C$160*$FF332+$IP332*$EO332</f>
        <v>#N/A</v>
      </c>
      <c r="HX332" s="218" t="e">
        <f t="shared" ca="1" si="1372"/>
        <v>#N/A</v>
      </c>
      <c r="HY332" s="219" t="e">
        <f ca="1">IF(Control!$C$114=1, $EB332*$FS332, 0)</f>
        <v>#N/A</v>
      </c>
      <c r="HZ332" s="91" t="e">
        <f t="shared" ca="1" si="1216"/>
        <v>#N/A</v>
      </c>
      <c r="IA332" s="220" t="e">
        <f ca="1">Control!$C$153*$HO332</f>
        <v>#N/A</v>
      </c>
      <c r="IB332" s="218" t="e">
        <f t="shared" ca="1" si="1217"/>
        <v>#N/A</v>
      </c>
      <c r="IC332" s="220" t="e">
        <f ca="1">Control!$C$153*$HT332</f>
        <v>#N/A</v>
      </c>
      <c r="ID332" s="218" t="e">
        <f t="shared" ca="1" si="1218"/>
        <v>#N/A</v>
      </c>
      <c r="IE332" s="221" t="e">
        <f ca="1">($EB332*Control!$C$159+$EF332*Control!$C$160)/(IF($GZ332&lt;&gt;0,$GZ332,1))</f>
        <v>#N/A</v>
      </c>
      <c r="IF332" s="216" t="e">
        <f t="shared" ca="1" si="1219"/>
        <v>#N/A</v>
      </c>
      <c r="IG332" s="91">
        <f ca="1">IF(OR(Control!$B$198=$AH332,Control!$B$199=$AH332, Control!$B$200=$AH332, Control!$B$201=$AH332, Control!$B$202=$AH332, Control!$B$203=$AH332, Control!$B$204=$AH332, Control!$B$205=$AH332, Control!$B$206=$AH332, Control!$B$207=$AH332), 1, 0)</f>
        <v>0</v>
      </c>
      <c r="IH332" s="91">
        <f ca="1">IF($IG332=0,0, VLOOKUP($AH332,Control!$B$198:$C$207,2))</f>
        <v>0</v>
      </c>
      <c r="II332" s="222">
        <f t="shared" ca="1" si="1336"/>
        <v>0</v>
      </c>
      <c r="IJ332" s="91">
        <f>Control!$C$121</f>
        <v>0.7</v>
      </c>
      <c r="IK332" s="218">
        <f t="shared" ca="1" si="1220"/>
        <v>0</v>
      </c>
      <c r="IL332" s="217" t="e">
        <f t="shared" ca="1" si="1373"/>
        <v>#N/A</v>
      </c>
      <c r="IM332" s="223" t="e">
        <f ca="1">IF(AND(Control!$C$114=1,$KH332&lt;1),$EB332*Control!$C$148*(1-$KH332), 0)</f>
        <v>#N/A</v>
      </c>
      <c r="IN332" s="217" t="e">
        <f t="shared" ca="1" si="1221"/>
        <v>#DIV/0!</v>
      </c>
      <c r="IO332" s="91" t="e">
        <f ca="1">MAX(0,$IL332-$EF332*Control!$C$160)</f>
        <v>#N/A</v>
      </c>
      <c r="IP332" s="220" t="e">
        <f t="shared" ca="1" si="1222"/>
        <v>#N/A</v>
      </c>
      <c r="IQ332" s="217" t="e">
        <f t="shared" ca="1" si="1337"/>
        <v>#N/A</v>
      </c>
      <c r="IR332" s="218" t="e">
        <f t="shared" ca="1" si="1223"/>
        <v>#N/A</v>
      </c>
      <c r="IS332" s="217" t="e">
        <f ca="1">Control!$C$159*MAX(0,$FD332-$EN332)</f>
        <v>#N/A</v>
      </c>
      <c r="IT332" s="217" t="e">
        <f t="shared" ca="1" si="1374"/>
        <v>#N/A</v>
      </c>
      <c r="IU332" s="217" t="e">
        <f t="shared" ca="1" si="1338"/>
        <v>#N/A</v>
      </c>
      <c r="IV332" s="217" t="e">
        <f t="shared" ca="1" si="1375"/>
        <v>#N/A</v>
      </c>
      <c r="IW332" s="217" t="e">
        <f ca="1">IF(OR($AW332=1,AND($AW332=0, Control!$B$18=1,$EN332&lt;&gt;0)), $IQ332-$IU332, $IQ332)</f>
        <v>#N/A</v>
      </c>
      <c r="IX332" s="218" t="e">
        <f t="shared" ca="1" si="1224"/>
        <v>#N/A</v>
      </c>
      <c r="IY332" s="218" t="e">
        <f ca="1">MAX(0,$IQ332-$EB332*Control!$C$159)</f>
        <v>#N/A</v>
      </c>
      <c r="IZ332" s="218" t="e">
        <f t="shared" ca="1" si="1225"/>
        <v>#N/A</v>
      </c>
      <c r="JA332" s="216" t="e">
        <f t="shared" ca="1" si="1226"/>
        <v>#N/A</v>
      </c>
      <c r="JB332" s="217" t="e">
        <f t="shared" ca="1" si="1227"/>
        <v>#N/A</v>
      </c>
      <c r="JC332" s="222" t="e">
        <f ca="1">MAX(Control!$C$157*$EK332-$JT332, 0)/Control!$C$162</f>
        <v>#N/A</v>
      </c>
      <c r="JD332" s="218" t="e">
        <f t="shared" ca="1" si="1228"/>
        <v>#N/A</v>
      </c>
      <c r="JE332" s="218" t="e">
        <f t="shared" ca="1" si="1229"/>
        <v>#N/A</v>
      </c>
      <c r="JF332" s="218" t="e">
        <f t="shared" ca="1" si="1339"/>
        <v>#N/A</v>
      </c>
      <c r="JG332" s="218" t="e">
        <f t="shared" ca="1" si="1230"/>
        <v>#N/A</v>
      </c>
      <c r="JH332" s="217" t="e">
        <f t="shared" ca="1" si="1340"/>
        <v>#N/A</v>
      </c>
      <c r="JI332" s="217" t="e">
        <f t="shared" ca="1" si="1341"/>
        <v>#N/A</v>
      </c>
      <c r="JJ332" s="217" t="e">
        <f t="shared" ca="1" si="1376"/>
        <v>#N/A</v>
      </c>
      <c r="JK332" s="217" t="e">
        <f ca="1">IF(Control!$C$114=1,IF(Control!$B$24=0,MAX(0,$JI332)*$GN332/Control!$C$64,(MAX(0,MIN($JI332,$JJ332*$GN332/Control!$C$64),0))))</f>
        <v>#N/A</v>
      </c>
      <c r="JL332" s="217" t="e">
        <f ca="1">$IK332/Control!$C$64-$JK332+$HQ332</f>
        <v>#N/A</v>
      </c>
      <c r="JM332" s="217" t="e">
        <f ca="1">IF(Control!$C$114=1,($JB332/(IF($JI332&lt;&gt;0,$JI332,1)))*$JK332,0)</f>
        <v>#N/A</v>
      </c>
      <c r="JN332" s="217" t="e">
        <f ca="1">IF(Control!$C$114=1,($JG332/(IF($JI332&lt;&gt;0,$JI332,1)))*$JK332, 0)</f>
        <v>#N/A</v>
      </c>
      <c r="JO332" s="218" t="e">
        <f t="shared" ca="1" si="1231"/>
        <v>#N/A</v>
      </c>
      <c r="JP332" s="218" t="e">
        <f ca="1">MIN(($IY332+$IO332)*Control!$C$151, $JF332-$EH332*Control!$C$161)</f>
        <v>#N/A</v>
      </c>
      <c r="JQ332" s="218" t="e">
        <f t="shared" ca="1" si="1232"/>
        <v>#N/A</v>
      </c>
      <c r="JR332" s="217" t="e">
        <f ca="1">IF($CP332-Control!$C$150&lt;0, 0, $JQ332/Control!$C$162)</f>
        <v>#N/A</v>
      </c>
      <c r="JS332" s="218" t="e">
        <f t="shared" ca="1" si="1233"/>
        <v>#N/A</v>
      </c>
      <c r="JT332" s="218" t="e">
        <f t="shared" ca="1" si="1342"/>
        <v>#N/A</v>
      </c>
      <c r="JU332" s="218" t="e">
        <f t="shared" ca="1" si="1234"/>
        <v>#N/A</v>
      </c>
      <c r="JV332" s="218" t="e">
        <f t="shared" ca="1" si="1235"/>
        <v>#N/A</v>
      </c>
      <c r="JW332" s="216" t="e">
        <f t="shared" ca="1" si="1236"/>
        <v>#N/A</v>
      </c>
      <c r="JX332" s="91" t="e">
        <f t="shared" ca="1" si="1237"/>
        <v>#N/A</v>
      </c>
      <c r="JY332" s="218" t="e">
        <f t="shared" ca="1" si="1238"/>
        <v>#N/A</v>
      </c>
      <c r="JZ332" s="217" t="e">
        <f ca="1">IF(Control!$C$114=1,($IZ332/(IF($JI332&lt;&gt;0,$JI332,1)))*$JK332, 0)</f>
        <v>#N/A</v>
      </c>
      <c r="KA332" s="218" t="e">
        <f t="shared" ca="1" si="1377"/>
        <v>#N/A</v>
      </c>
      <c r="KB332" s="218" t="e">
        <f t="shared" ca="1" si="1343"/>
        <v>#N/A</v>
      </c>
      <c r="KC332" s="218" t="e">
        <f t="shared" ca="1" si="1239"/>
        <v>#N/A</v>
      </c>
      <c r="KD332" s="218" t="e">
        <f t="shared" ca="1" si="1240"/>
        <v>#N/A</v>
      </c>
      <c r="KE332" s="218" t="e">
        <f t="shared" ca="1" si="1241"/>
        <v>#N/A</v>
      </c>
      <c r="KF332" s="218" t="e">
        <f t="shared" ca="1" si="1242"/>
        <v>#N/A</v>
      </c>
      <c r="KG332" s="216" t="e">
        <f t="shared" ca="1" si="1243"/>
        <v>#N/A</v>
      </c>
      <c r="KH332" s="221" t="e">
        <f ca="1">IF(Control!$B$24=0,1,MAX(0.001,MIN(1,IF(($IF332-$IE332)&lt;&gt;0,($KG332-$IE332)/($IF332-$IE332),1))))</f>
        <v>#N/A</v>
      </c>
      <c r="KI332" s="222" t="e">
        <f ca="1">IF(Control!$C$114=1, $KI331+ $KH331, 0)</f>
        <v>#N/A</v>
      </c>
      <c r="KJ332" s="217" t="e">
        <f t="shared" ca="1" si="1244"/>
        <v>#N/A</v>
      </c>
      <c r="KK332" s="218" t="e">
        <f t="shared" ca="1" si="1245"/>
        <v>#N/A</v>
      </c>
      <c r="KL332" s="274" t="e">
        <f ca="1">IF(Control!$B$26=3,4000000000*EXP(-8400/($G332+273)),IF(Control!$B$26=4,4000000000*EXP(-8400/($G332+273))*($KT332),0))</f>
        <v>#DIV/0!</v>
      </c>
      <c r="KM332" s="274" t="e">
        <f ca="1">IF(Control!$B$26=3,5600000000000*EXP(-9800/($G332+273)),IF(Control!$B$26=4,5600000000000*EXP(-9800/($G332+273))*$KT332,0))</f>
        <v>#DIV/0!</v>
      </c>
      <c r="KN332" s="454" t="e">
        <f t="shared" ca="1" si="1344"/>
        <v>#DIV/0!</v>
      </c>
      <c r="KO332" s="274" t="e">
        <f t="shared" ca="1" si="1345"/>
        <v>#DIV/0!</v>
      </c>
      <c r="KP332" s="454" t="e">
        <f t="shared" ca="1" si="1246"/>
        <v>#DIV/0!</v>
      </c>
      <c r="KQ332" s="454" t="e">
        <f t="shared" ca="1" si="1247"/>
        <v>#DIV/0!</v>
      </c>
      <c r="KR332" s="454" t="e">
        <f t="shared" ca="1" si="1248"/>
        <v>#DIV/0!</v>
      </c>
      <c r="KS332" s="454" t="e">
        <f t="shared" ca="1" si="1249"/>
        <v>#DIV/0!</v>
      </c>
      <c r="KT332" s="455" t="e">
        <f t="shared" ca="1" si="1250"/>
        <v>#DIV/0!</v>
      </c>
      <c r="KU332" s="456" t="e">
        <f ca="1">IF($CP332-Control!$C$149&lt;0, IF($NT332-0.01&lt;0,0,1),0)</f>
        <v>#N/A</v>
      </c>
      <c r="KV332" s="456" t="e">
        <f ca="1">IF(Control!$C$114=1,MAX(0,MIN(Control!$C$125*$KW332*$GN332,$KW332)))</f>
        <v>#DIV/0!</v>
      </c>
      <c r="KW332" s="456" t="e">
        <f t="shared" ca="1" si="1378"/>
        <v>#DIV/0!</v>
      </c>
      <c r="KX332" s="457" t="e">
        <f ca="1">IF($CP332-Control!$C$149&lt;0, IF($MR332-$OM332&lt;0,0,1),0)</f>
        <v>#N/A</v>
      </c>
      <c r="KY332" s="167">
        <f t="shared" ca="1" si="1346"/>
        <v>328</v>
      </c>
      <c r="KZ332" s="168">
        <f ca="1">1370*(1+0.033*COS(2*Control!$C$138*$AH332/365))</f>
        <v>1406.3459381592479</v>
      </c>
      <c r="LA332" s="169">
        <f t="shared" ca="1" si="1347"/>
        <v>1.026529622740483</v>
      </c>
      <c r="LB332" s="169">
        <f t="shared" ca="1" si="1348"/>
        <v>-0.36718554454370778</v>
      </c>
      <c r="LC332" s="169">
        <f ca="1">ACOS(-TAN((2*Control!$B$8/360))*TAN(Calculations!$LB332))</f>
        <v>1.4562329965283096</v>
      </c>
      <c r="LD332" s="169">
        <f ca="1">((24*60)/PI())*0.082*$LA332*(($LC332*SIN(Control!$B$8*2*PI()/360))*SIN($LB332)+COS(Control!$B$8*2*PI()/360)*COS($LB332)*SIN($LC332))</f>
        <v>6.1310499339331956</v>
      </c>
      <c r="LE332" s="170">
        <f t="shared" ca="1" si="1251"/>
        <v>7.7073451801115453</v>
      </c>
      <c r="LF332" s="170">
        <f ca="1">SIN(Control!$C$139*Control!$B$8)*SIN($HD332)</f>
        <v>-0.2803249625539142</v>
      </c>
      <c r="LG332" s="170">
        <f ca="1">COS(Control!$C$139*Control!$B$8)*COS($HD332)</f>
        <v>0.57538712184940333</v>
      </c>
      <c r="LH332" s="170">
        <f ca="1">12*(1+2*ASIN(MAX(-1,MIN(1,$LF332/$LG332))/Control!$C$138))</f>
        <v>8.2630413860481937</v>
      </c>
      <c r="LI332" s="170">
        <f ca="1">12*(1+2*ASIN(MAX(-1,MIN(1,(-SIN(-4*Control!$C$139)+$LF332)/$LG332))/Control!$C$138))</f>
        <v>9.1979209837650693</v>
      </c>
      <c r="LJ332" s="168">
        <f ca="1">3600*($LH332*$LF332+24*$LG332*SQRT(1-$LK332*$LK332)/Control!$C$138)</f>
        <v>5480.404906775364</v>
      </c>
      <c r="LK332" s="170">
        <f t="shared" ca="1" si="1252"/>
        <v>-0.48719366824355853</v>
      </c>
      <c r="LL332" s="170">
        <f t="shared" ca="1" si="1253"/>
        <v>0</v>
      </c>
      <c r="LM332" s="171">
        <f ca="1">Control!$C$145*$AB332</f>
        <v>6.6660906138995932E-2</v>
      </c>
      <c r="LN332" s="170">
        <f t="shared" ca="1" si="1349"/>
        <v>0.54</v>
      </c>
      <c r="LO332" s="170">
        <f t="shared" ca="1" si="1254"/>
        <v>0</v>
      </c>
      <c r="LP332" s="170">
        <f ca="1">Control!$C$140*((($D332+273.16)^4+($E332+273.16)^4)/2)*(0.34-0.14*SQRT($Y332))*(1.35*$AQ332/(0.75*$LD332)-0.35)</f>
        <v>-3.2464704755046001</v>
      </c>
      <c r="LQ332" s="170">
        <f ca="1">Control!$C$140*($G332+273)^4*(0.56-0.079*SQRT($Y332*10))*(0.1+0.9*$LO332)</f>
        <v>1.5241745131704001</v>
      </c>
      <c r="LR332" s="170">
        <f ca="1">$AQ332*(1-Control!$C$142)-$LQ332</f>
        <v>-1.5241745131704001</v>
      </c>
      <c r="LS332" s="170">
        <f ca="1">$AQ332*(1-Control!$C$143)-$LQ332</f>
        <v>-1.5241745131704001</v>
      </c>
      <c r="LT332" s="170">
        <f ca="1">$AQ332*(1-Control!$C$144)-$LQ332</f>
        <v>-1.5241745131704001</v>
      </c>
      <c r="LU332" s="169">
        <f ca="1">(1-Control!$C$144)*AQ332-LP332</f>
        <v>3.2464704755046001</v>
      </c>
      <c r="LV332" s="172">
        <f t="shared" ca="1" si="1255"/>
        <v>0.79430000000000012</v>
      </c>
      <c r="LW332" s="170">
        <f t="shared" ca="1" si="1256"/>
        <v>1.5886000000000002</v>
      </c>
      <c r="LX332" s="170">
        <f ca="1">($AC332*($LR332/Control!$C$141)+$LM332*$LV332)/($AC332+$LM332)</f>
        <v>0.23530094218323697</v>
      </c>
      <c r="LY332" s="170">
        <f ca="1">($AC332*($LS332/Control!$C$141)+$LM332*$LV332)/($AC332+$LM332)</f>
        <v>0.23530094218323697</v>
      </c>
      <c r="LZ332" s="170">
        <f t="shared" ca="1" si="1257"/>
        <v>0.23530094218323697</v>
      </c>
      <c r="MA332" s="170">
        <f t="shared" ca="1" si="1258"/>
        <v>0.23530094218323697</v>
      </c>
      <c r="MB332" s="170" t="e">
        <f t="shared" ca="1" si="1259"/>
        <v>#N/A</v>
      </c>
      <c r="MC332" s="170">
        <f t="shared" ca="1" si="1350"/>
        <v>0.6018</v>
      </c>
      <c r="MD332" s="170">
        <f t="shared" ca="1" si="1260"/>
        <v>0.52989392535414004</v>
      </c>
      <c r="ME332" s="170">
        <f ca="1">($AC332*($LT332/Control!$C$141)+$LM332*$LW332)/($AC332+$LM332)</f>
        <v>0.71612369323045078</v>
      </c>
      <c r="MF332" s="170" t="e">
        <f ca="1">IF(Control!$B$16&gt;=1000,0.92,IF(AND(720&lt;=Control!$B$16,1000&gt;Control!$B$16),(0.95+(Control!$B$16-720)*((0.92-0.95)/(1000-720))),IF(AND(360&lt;=Control!$B$16,720&gt;Control!$B$16),(1+(Control!$B$16-360)*((0.95-1)/(720-360))),IF(AND(40&lt;=Control!$B$16,360&gt;Control!$B$16),(1.05+(Control!$B$16-40)*((1.05-1)/(360-40)))))))</f>
        <v>#N/A</v>
      </c>
      <c r="MG332" s="170">
        <f t="shared" ca="1" si="1261"/>
        <v>0.71612369323045078</v>
      </c>
      <c r="MH332" s="170" t="e">
        <f t="shared" ca="1" si="1262"/>
        <v>#N/A</v>
      </c>
      <c r="MI332" s="170" t="e">
        <f t="shared" ca="1" si="1262"/>
        <v>#N/A</v>
      </c>
      <c r="MJ332" s="170" t="e">
        <f ca="1">MAX(0.0001, Control!$C$132*$MI332*$DL332)</f>
        <v>#N/A</v>
      </c>
      <c r="MK332" s="170">
        <f ca="1">1/(0.76+1.5*($MG332/10))-(5-Control!$C$110)*0.1</f>
        <v>1.002845988140797</v>
      </c>
      <c r="ML332" s="173">
        <f ca="1">IF(Control!$C$110&lt;3,$MK332+($MG332-0.6)/(Control!$C$110*(Control!$C$110+3)), MAX(0.1, MIN(0.95,$MK332)))</f>
        <v>0.95</v>
      </c>
      <c r="MM332" s="173">
        <f ca="1">IF(Control!$C$110&lt;3,$MK332+(($MI332/10)-0.6)/(Control!$C$110*(Control!$C$110+3)), MAX(0.1, MIN(0.95,$MK332)))</f>
        <v>0.95</v>
      </c>
      <c r="MN332" s="173">
        <f ca="1">(1-$MM332)*(Control!$C$128-Control!$C$127)+Control!$C$127</f>
        <v>0.16</v>
      </c>
      <c r="MO332" s="170" t="e">
        <f ca="1">MAX(0,MIN(1,($MS332-Control!$C$127)/($MN332-Control!$C$127)))</f>
        <v>#DIV/0!</v>
      </c>
      <c r="MP332" s="173" t="e">
        <f ca="1">1/(0.76+1.5*$MI332)-(5-Control!$C$110)*0.1</f>
        <v>#N/A</v>
      </c>
      <c r="MQ332" s="172" t="e">
        <f t="shared" ca="1" si="1379"/>
        <v>#DIV/0!</v>
      </c>
      <c r="MR332" s="168" t="e">
        <f t="shared" ca="1" si="1351"/>
        <v>#DIV/0!</v>
      </c>
      <c r="MS332" s="173" t="e">
        <f ca="1">MAX(Control!$C$127, MIN(Control!$C$135, $MR332/MAX(0.0001,$CY332)))</f>
        <v>#DIV/0!</v>
      </c>
      <c r="MT332" s="168" t="e">
        <f ca="1">(Control!$C$128-$MS332)*Control!$C$74</f>
        <v>#DIV/0!</v>
      </c>
      <c r="MU332" s="168" t="e">
        <f ca="1">(Control!$C$135-$MS332)*Control!$C$74</f>
        <v>#DIV/0!</v>
      </c>
      <c r="MV332" s="168" t="e">
        <f t="shared" ca="1" si="1352"/>
        <v>#DIV/0!</v>
      </c>
      <c r="MW332" s="168" t="e">
        <f t="shared" ca="1" si="1353"/>
        <v>#DIV/0!</v>
      </c>
      <c r="MX332" s="171" t="e">
        <f ca="1">MAX(Control!$C$127, MIN(Control!$C$135, $MW332/MAX(0.0001,Control!$C$119-$CY332)))</f>
        <v>#DIV/0!</v>
      </c>
      <c r="MY332" s="54" t="e">
        <f ca="1">IF(Control!$C$114=1, $CX332*$MX332, 0)</f>
        <v>#DIV/0!</v>
      </c>
      <c r="MZ332" s="54" t="e">
        <f t="shared" ca="1" si="1354"/>
        <v>#N/A</v>
      </c>
      <c r="NA332" s="168" t="e">
        <f ca="1">(Control!$C$128-$MX332)*(Control!$C$119-Control!$C$74)</f>
        <v>#DIV/0!</v>
      </c>
      <c r="NB332" s="168" t="e">
        <f ca="1">(Control!$C$135-$MX332)*(Control!$C$119-Control!$C$74)</f>
        <v>#DIV/0!</v>
      </c>
      <c r="NC332" s="174" t="e">
        <f t="shared" ca="1" si="1355"/>
        <v>#DIV/0!</v>
      </c>
      <c r="ND332" s="54">
        <f ca="1">IF(Control!$C$58=2, IF(OR(Control!$B$218=$AH332,Control!$B$219=$AH332, Control!$B$220=$AH332, Control!$B$221=$AH332, Control!$B$222=$AH332, Control!$B$223=$AH332, Control!$B$224=$AH332, Control!$B$225=$AH332, Control!$B$226=$AH332, Control!$B$227=$AH332, Control!$B$228=$AH332), 1, 0), 0)</f>
        <v>0</v>
      </c>
      <c r="NE332" s="54">
        <f ca="1">IF($ND332=0,0, VLOOKUP($AH332,Control!$B$218:$C$228,2))</f>
        <v>0</v>
      </c>
      <c r="NF332" s="168" t="e">
        <f ca="1">$CY332*(Control!$C$128-Control!$C$127)</f>
        <v>#N/A</v>
      </c>
      <c r="NG332" s="54" t="e">
        <f ca="1">IF(Control!$C$58=2, $NI331-$NJ331, 0)</f>
        <v>#DIV/0!</v>
      </c>
      <c r="NH332" s="54" t="e">
        <f ca="1">IF(AND(Control!$C$58=1, $MS331&lt;= ($MN331+0.02), $I331&lt;10), 0, IF(Control!$C$58=2, $NG331, 0))</f>
        <v>#DIV/0!</v>
      </c>
      <c r="NI332" s="54" t="e">
        <f ca="1">IF(Control!$C$58=2, $NE332+$NH332,0)</f>
        <v>#DIV/0!</v>
      </c>
      <c r="NJ332" s="54" t="e">
        <f ca="1">IF(AND(Control!$C$58=1, $MS332&lt;= ($MN332+0.02), $I332&lt;10), MAX(0, MIN(10, 0.7*($NF332-$MV332))), IF(Control!$C$58=2, MIN(10,$NI332),0))</f>
        <v>#DIV/0!</v>
      </c>
      <c r="NK332" s="54" t="e">
        <f t="shared" ca="1" si="1263"/>
        <v>#DIV/0!</v>
      </c>
      <c r="NL332" s="173" t="e">
        <f ca="1">(1-Control!$C$73)*$I332+$NJ332</f>
        <v>#DIV/0!</v>
      </c>
      <c r="NM332" s="172" t="e">
        <f ca="1">IF($NL332&lt;0.5, $MB332* MAX(0, MIN(1, (SQRT($NC332)-SQRT($NC332-1))*Control!$C$71)),0)</f>
        <v>#DIV/0!</v>
      </c>
      <c r="NN332" s="170" t="e">
        <f ca="1">IF($NL332&gt;=5, $MB332, MAX(0,MIN($MB332, $NM332+$NL332,($MS332-Control!$C$129))))</f>
        <v>#DIV/0!</v>
      </c>
      <c r="NO332" s="54">
        <f>IF(Control!$C$133&lt;&gt;1, Control!$C$135-Control!$C$131, 0)</f>
        <v>0.38</v>
      </c>
      <c r="NP332" s="54" t="e">
        <f t="shared" ca="1" si="1264"/>
        <v>#DIV/0!</v>
      </c>
      <c r="NQ332" s="173" t="e">
        <f ca="1">MAX(0,MIN(1,(Control!$C$135-$MS332)/(Control!$C$135-$NO332)))</f>
        <v>#DIV/0!</v>
      </c>
      <c r="NR332" s="170" t="e">
        <f ca="1">IF(Control!$C$133&lt;&gt;1, $NQ332+((1-$NP332/4)*(1-$NQ332)),1)</f>
        <v>#DIV/0!</v>
      </c>
      <c r="NS332" s="170" t="e">
        <f ca="1">IF(Control!$B$31=0,$MJ332,MAX(0,MIN($MV332,$MO332*$NR332*$MJ332)))</f>
        <v>#DIV/0!</v>
      </c>
      <c r="NT332" s="170" t="e">
        <f t="shared" ca="1" si="1380"/>
        <v>#DIV/0!</v>
      </c>
      <c r="NU332" s="170" t="e">
        <f t="shared" ca="1" si="1356"/>
        <v>#N/A</v>
      </c>
      <c r="NV332" s="170" t="e">
        <f t="shared" ca="1" si="1265"/>
        <v>#N/A</v>
      </c>
      <c r="NW332" s="175" t="e">
        <f t="shared" ca="1" si="1266"/>
        <v>#DIV/0!</v>
      </c>
      <c r="NX332" s="170" t="e">
        <f ca="1">MIN(Control!$C$72+$MU332, $NW332)</f>
        <v>#DIV/0!</v>
      </c>
      <c r="NY332" s="170" t="e">
        <f ca="1">IF($MT332&lt;=$NX332,MIN(Control!$C$72+$NB332,$NX332-$MT332),0)</f>
        <v>#DIV/0!</v>
      </c>
      <c r="NZ332" s="54" t="e">
        <f ca="1">IF(Control!$C$114=1,  $CX332*($MX332-Control!$C$127), 0)</f>
        <v>#DIV/0!</v>
      </c>
      <c r="OA332" s="170" t="e">
        <f t="shared" ca="1" si="1267"/>
        <v>#DIV/0!</v>
      </c>
      <c r="OB332" s="170" t="e">
        <f ca="1">IF($NA332 &lt;=$NY332, MIN(Control!$C$72, $NY332-$NA332), 0)</f>
        <v>#DIV/0!</v>
      </c>
      <c r="OC332" s="168" t="e">
        <f t="shared" ca="1" si="1268"/>
        <v>#DIV/0!</v>
      </c>
      <c r="OD332" s="168" t="e">
        <f t="shared" ca="1" si="1357"/>
        <v>#DIV/0!</v>
      </c>
      <c r="OE332" s="170">
        <f ca="1">Control!$C$73*$I332</f>
        <v>0</v>
      </c>
      <c r="OF332" s="176" t="e">
        <f t="shared" ca="1" si="1269"/>
        <v>#DIV/0!</v>
      </c>
      <c r="OG332" s="168" t="e">
        <f t="shared" ca="1" si="1270"/>
        <v>#DIV/0!</v>
      </c>
      <c r="OH332" s="168" t="e">
        <f t="shared" ca="1" si="1271"/>
        <v>#DIV/0!</v>
      </c>
      <c r="OI332" s="168" t="e">
        <f t="shared" ca="1" si="1272"/>
        <v>#DIV/0!</v>
      </c>
      <c r="OJ332" s="168" t="e">
        <f t="shared" ca="1" si="1273"/>
        <v>#DIV/0!</v>
      </c>
      <c r="OK332" s="204" t="e">
        <f t="shared" ca="1" si="1274"/>
        <v>#DIV/0!</v>
      </c>
      <c r="OL332" s="177">
        <f>Control!$C$127</f>
        <v>0.15</v>
      </c>
      <c r="OM332" s="182" t="e">
        <f t="shared" ca="1" si="1275"/>
        <v>#N/A</v>
      </c>
      <c r="ON332" s="177">
        <f>Control!$C$128</f>
        <v>0.35</v>
      </c>
      <c r="OO332" s="182" t="e">
        <f t="shared" ca="1" si="1276"/>
        <v>#N/A</v>
      </c>
      <c r="OP332" s="138">
        <f t="shared" ca="1" si="1358"/>
        <v>0</v>
      </c>
      <c r="OQ332" s="138" t="e">
        <f t="shared" ca="1" si="1381"/>
        <v>#DIV/0!</v>
      </c>
      <c r="OR332" s="138" t="e">
        <f t="shared" ca="1" si="1359"/>
        <v>#DIV/0!</v>
      </c>
      <c r="OS332" s="137" t="e">
        <f t="shared" ca="1" si="1382"/>
        <v>#DIV/0!</v>
      </c>
      <c r="OT332" s="139" t="e">
        <f t="shared" ca="1" si="1383"/>
        <v>#DIV/0!</v>
      </c>
      <c r="OU332" s="138" t="e">
        <f t="shared" ca="1" si="1384"/>
        <v>#N/A</v>
      </c>
      <c r="OV332" s="138" t="e">
        <f t="shared" ca="1" si="1385"/>
        <v>#DIV/0!</v>
      </c>
      <c r="OW332" s="138" t="e">
        <f t="shared" ca="1" si="1360"/>
        <v>#DIV/0!</v>
      </c>
      <c r="OX332" s="138" t="e">
        <f t="shared" ca="1" si="1361"/>
        <v>#DIV/0!</v>
      </c>
      <c r="OY332" s="138" t="e">
        <f t="shared" ca="1" si="1362"/>
        <v>#DIV/0!</v>
      </c>
      <c r="OZ332" s="138" t="e">
        <f t="shared" ca="1" si="1277"/>
        <v>#DIV/0!</v>
      </c>
      <c r="PA332" s="138" t="e">
        <f t="shared" ca="1" si="1278"/>
        <v>#DIV/0!</v>
      </c>
      <c r="PB332" s="55">
        <f>IF(Control!$C$61="T", IF(Control!$C$65="F", IF($AH$6-Control!$C$60&lt;0,0,1), IF(365+$AH$6-Control!$C$60&lt;0,0,1)),0)</f>
        <v>0</v>
      </c>
      <c r="PC332" s="55">
        <f ca="1">IF(Control!$C$65="F", IF($AH$6-$HF332&lt;0,0,1), IF(365+$AH$6-$HF332&lt;0,0,1))</f>
        <v>1</v>
      </c>
      <c r="PD332" s="444">
        <f>Control!$C$118</f>
        <v>1500</v>
      </c>
      <c r="PE332" s="180" t="e">
        <f t="shared" ca="1" si="1279"/>
        <v>#N/A</v>
      </c>
      <c r="PF332" s="445">
        <f t="shared" ca="1" si="1363"/>
        <v>0.71612369323045078</v>
      </c>
      <c r="PT332" s="186"/>
      <c r="PU332" s="186"/>
      <c r="PV332" s="94"/>
      <c r="PW332" s="94"/>
      <c r="PX332" s="94"/>
      <c r="PY332" s="94"/>
      <c r="PZ332" s="94"/>
      <c r="QA332" s="94"/>
      <c r="QB332" s="94"/>
      <c r="QC332" s="94"/>
      <c r="QD332" s="94"/>
      <c r="QE332" s="94"/>
      <c r="QF332" s="94"/>
      <c r="QG332" s="94"/>
      <c r="QH332" s="94"/>
      <c r="QI332" s="94"/>
      <c r="QJ332" s="94"/>
      <c r="QK332" s="94"/>
      <c r="QL332" s="94"/>
      <c r="QM332" s="94"/>
      <c r="QN332" s="94"/>
      <c r="QO332" s="94"/>
      <c r="QP332" s="94"/>
    </row>
    <row r="333" spans="1:458" s="2" customFormat="1" x14ac:dyDescent="0.2">
      <c r="A333" s="395">
        <v>24</v>
      </c>
      <c r="B333" s="396">
        <v>11</v>
      </c>
      <c r="C333" s="387">
        <f ca="1">Weather_data!$B332</f>
        <v>0</v>
      </c>
      <c r="D333" s="388">
        <f ca="1">Weather_data!$F332</f>
        <v>0</v>
      </c>
      <c r="E333" s="388">
        <f ca="1">Weather_data!$E332</f>
        <v>0</v>
      </c>
      <c r="F333" s="388">
        <f t="shared" ca="1" si="1280"/>
        <v>0</v>
      </c>
      <c r="G333" s="388">
        <f ca="1">AVERAGE($D333:$E333)+Control!$B$9</f>
        <v>0</v>
      </c>
      <c r="H333" s="388">
        <f ca="1">Weather_data!$G332</f>
        <v>0</v>
      </c>
      <c r="I333" s="388">
        <f ca="1">Weather_data!$I332</f>
        <v>0</v>
      </c>
      <c r="J333" s="388">
        <f ca="1">Weather_data!$H332</f>
        <v>0</v>
      </c>
      <c r="K333" s="389">
        <f ca="1">Weather_data!$D332</f>
        <v>0</v>
      </c>
      <c r="L333" s="388" t="e">
        <f t="shared" ca="1" si="1281"/>
        <v>#N/A</v>
      </c>
      <c r="M333" s="388" t="e">
        <f t="shared" ca="1" si="1158"/>
        <v>#N/A</v>
      </c>
      <c r="N333" s="388">
        <f t="shared" ca="1" si="1159"/>
        <v>-5.4484201571805731E-16</v>
      </c>
      <c r="O333" s="388">
        <f t="shared" ca="1" si="1282"/>
        <v>5.4484201571805727E-15</v>
      </c>
      <c r="P333" s="390">
        <v>3</v>
      </c>
      <c r="Q333" s="388">
        <f ca="1">MAX($G333-Control!$C$107,0)</f>
        <v>0</v>
      </c>
      <c r="R333" s="388">
        <f t="shared" ca="1" si="1283"/>
        <v>0</v>
      </c>
      <c r="S333" s="388">
        <f t="shared" ca="1" si="1160"/>
        <v>0</v>
      </c>
      <c r="T333" s="388">
        <f t="shared" ca="1" si="1161"/>
        <v>0</v>
      </c>
      <c r="U333" s="59">
        <f t="shared" ca="1" si="1162"/>
        <v>0</v>
      </c>
      <c r="V333" s="391">
        <f ca="1">MAX(0,MIN(Control!$C$100-Control!$C$99,$G333-Control!$C$99)*Control!$C$63)</f>
        <v>0</v>
      </c>
      <c r="W333" s="388">
        <f t="shared" ca="1" si="1284"/>
        <v>0</v>
      </c>
      <c r="X333" s="388">
        <f t="shared" ca="1" si="1285"/>
        <v>0.6110000000000001</v>
      </c>
      <c r="Y333" s="388">
        <f t="shared" ca="1" si="1163"/>
        <v>0</v>
      </c>
      <c r="Z333" s="388">
        <f t="shared" ca="1" si="1286"/>
        <v>0.61058800000000002</v>
      </c>
      <c r="AA333" s="388">
        <f t="shared" ca="1" si="1164"/>
        <v>0.6018</v>
      </c>
      <c r="AB333" s="388">
        <f ca="1">101.3*EXP(-0.034*Control!$C$66/($G333+273))</f>
        <v>100.69623283836242</v>
      </c>
      <c r="AC333" s="392">
        <f t="shared" ca="1" si="1165"/>
        <v>4.3460251046025113E-2</v>
      </c>
      <c r="AD333" s="392">
        <f t="shared" ca="1" si="1166"/>
        <v>4.4450382862832649E-2</v>
      </c>
      <c r="AE333" s="388">
        <f t="shared" ca="1" si="1167"/>
        <v>0</v>
      </c>
      <c r="AF333" s="388">
        <f ca="1">MAX(0,$G333-Control!$C$92)</f>
        <v>0</v>
      </c>
      <c r="AG333" s="393">
        <f t="shared" ca="1" si="1168"/>
        <v>329</v>
      </c>
      <c r="AH333" s="389">
        <f t="shared" ca="1" si="1169"/>
        <v>329</v>
      </c>
      <c r="AI333" s="388">
        <f t="shared" ca="1" si="1287"/>
        <v>-0.3669332306599597</v>
      </c>
      <c r="AJ333" s="388">
        <f ca="1">IF(Control!$C$60&lt;=0,$HH333,$HI333)</f>
        <v>1</v>
      </c>
      <c r="AK333" s="388">
        <f t="shared" ca="1" si="1170"/>
        <v>4.2863373739389505</v>
      </c>
      <c r="AL333" s="388">
        <f t="shared" ca="1" si="1171"/>
        <v>-2.3446435765128728E-18</v>
      </c>
      <c r="AM333" s="388">
        <f t="shared" ca="1" si="1172"/>
        <v>4.2863373739389505</v>
      </c>
      <c r="AN333" s="388">
        <f t="shared" ca="1" si="1173"/>
        <v>-0.37066840333929357</v>
      </c>
      <c r="AO333" s="388">
        <f ca="1">-0.10453/COS(Control!$B$8*PI()/180)*COS(AN333)</f>
        <v>-0.1582539985905895</v>
      </c>
      <c r="AP333" s="388">
        <f ca="1">ACOS(AO333-TAN(Control!$B$8*PI()/180)*TAN(AN333))</f>
        <v>1.2247590143477707</v>
      </c>
      <c r="AQ333" s="388">
        <f t="shared" ca="1" si="1288"/>
        <v>0</v>
      </c>
      <c r="AR333" s="394">
        <f t="shared" ca="1" si="1174"/>
        <v>0</v>
      </c>
      <c r="AS333" s="436">
        <f ca="1">IF(Control!$B$18=2,(IF(OR($AH333=Control!$B$175,$AH333=Control!$B$176,$AH333=Control!$B$177,$AH333=Control!$B$178,$AH333=Control!$B$179,$AH333=Control!$B$180,$AH333=Control!$B$181,$AH333=Control!$B$182,$AH333=Control!$B$183,$AH333=Control!$B$184,$AH333=Control!$B$185),1,0)),0)</f>
        <v>0</v>
      </c>
      <c r="AT333" s="436">
        <f>IF(Control!$B$20=8,IF(AND($AH333&gt;=Control!$B$172,$AH333&lt;=Control!$B$173),1,0),0)</f>
        <v>0</v>
      </c>
      <c r="AU333" s="436">
        <f>IF(Control!$B$20=8,IF($AV332=1,1*$AT333,IF($AT333=1,$AU332+1,$AU332)),0)</f>
        <v>0</v>
      </c>
      <c r="AV333" s="436">
        <f>IF(Control!$B$20=8,IF($AU333&gt;=Control!$B$174,1,0),0)</f>
        <v>0</v>
      </c>
      <c r="AW333" s="436">
        <f ca="1">IF(AND(Control!$B$18=2,Control!$B$171=1), $AV333, $AS333)</f>
        <v>0</v>
      </c>
      <c r="AX333" s="436" t="e">
        <f ca="1">IF(AND(Control!$B$18=1,$EU333&gt;=Control!$B$19),-$AY333,IF(AND(Control!$B$18=2,$AW333=1,$EU333&gt;$DS333),-$AY333, IF(Control!$C$108=0,0, IF(Control!$C$108&lt;&gt;0,1))))</f>
        <v>#N/A</v>
      </c>
      <c r="AY333" s="436" t="e">
        <f t="shared" ca="1" si="1289"/>
        <v>#N/A</v>
      </c>
      <c r="AZ333" s="436" t="e">
        <f ca="1">IF(AND(Control!$B$18=1,$EB333&gt;Control!$B$19),$AZ332+1, IF(AND(Control!$B$18=2, $AW333=1, $EB333&gt;$DS333), $AZ332+1,$AZ332))</f>
        <v>#N/A</v>
      </c>
      <c r="BA333" s="587">
        <f>IF(Control!$C$81=0,1,IF($AH333&gt;=Control!$C$82,1,0))</f>
        <v>1</v>
      </c>
      <c r="BB333" s="140" t="e">
        <f ca="1">IF($BA333&gt;$BA332,Control!$C$83,IF($AW333&gt;0,$AW333*Control!$C$84,IF(AND(Control!$B$18=1,EN332&lt;&gt;0),Control!$C$84,0)))</f>
        <v>#N/A</v>
      </c>
      <c r="BC333" s="140" t="e">
        <f t="shared" ca="1" si="1290"/>
        <v>#N/A</v>
      </c>
      <c r="BD333" s="140" t="e">
        <f ca="1">BC333*IF(OR($G333&lt;Control!$C$92,$G333&gt;Control!$C$95),0,IF(AND($G333&gt;=Control!$C$92,$G333&lt;=Control!$C$93),$G333-Control!$C$92,IF(AND($G333&gt;Control!$C$93,$G333&lt;=Control!$C$94),Control!$C$93-Control!$C$92,IF(AND($G333&gt;Control!$C$94,$G333&lt;=Control!$C$95),(Control!$C$93-Control!$C$92)*(Control!$C$94-$G333)/(Control!$C$95-Control!$C$94)))))</f>
        <v>#N/A</v>
      </c>
      <c r="BE333" s="140" t="e">
        <f t="shared" ca="1" si="1291"/>
        <v>#N/A</v>
      </c>
      <c r="BF333" s="140" t="e">
        <f ca="1">IF($BE333&lt;=Control!$C$86,$BE333,Control!$C$86-$BE333)</f>
        <v>#N/A</v>
      </c>
      <c r="BG333" s="140" t="e">
        <f ca="1">IF(AND($AW333=1,Control!$C$84&lt;9),1,IF($BE333&gt;=Control!$C$86,0,$BC333))</f>
        <v>#N/A</v>
      </c>
      <c r="BH333" s="404" t="e">
        <f ca="1">IF($BG333=0,0,IF($BE333&lt;=Control!$C$86,$BC333*9*($BF333/Control!$C$86),0))</f>
        <v>#N/A</v>
      </c>
      <c r="BI333" s="140" t="e">
        <f ca="1">IF($BG333=1,0,IF($BE333&gt;=Control!$C$86,1,IF(AND($BB333&lt;21,$BB333&gt;=9),1,$BM332)))</f>
        <v>#N/A</v>
      </c>
      <c r="BJ333" s="140" t="e">
        <f ca="1">IF($BF333&lt;0,-$BF333,$BI333*IF(OR($G333&lt;Control!$C$92,$G333&gt;Control!$C$95),0,IF(AND($G333&gt;=Control!$C$92,$G333&lt;=Control!$C$93),$G333-Control!$C$92,IF(AND($G333&gt;Control!$C$93,$G333&lt;=Control!$C$94),Control!$C$93-Control!$C$92,IF(AND($G333&gt;Control!$C$94,$G333&lt;=Control!$C$95),(Control!$C$93-Control!$C$92)*(Control!$C$94-$G333)/(Control!$C$95-Control!$C$94))))))</f>
        <v>#N/A</v>
      </c>
      <c r="BK333" s="140" t="e">
        <f t="shared" ca="1" si="1292"/>
        <v>#N/A</v>
      </c>
      <c r="BL333" s="140" t="e">
        <f ca="1">IF($BK333&lt;=Control!$C$87,$BK333,Control!$C$87-$BK333)</f>
        <v>#N/A</v>
      </c>
      <c r="BM333" s="140" t="e">
        <f ca="1">IF(AND($BB333&gt;=9,$BB333&lt;21),1,IF($BK333&gt;=Control!$C$87,0,$BI333))</f>
        <v>#N/A</v>
      </c>
      <c r="BN333" s="404" t="e">
        <f ca="1">IF($BM333=0,0,IF($BK333&lt;=Control!$C$87,$BI333*(9+(21-9)*($BL333/Control!$C$87)),0))</f>
        <v>#N/A</v>
      </c>
      <c r="BO333" s="140" t="e">
        <f ca="1">IF($BM333=1,0,IF($BK333&gt;=Control!$C$87,1,IF(AND($BB333&lt;30,$BB333&gt;=21),1,$BS332)))</f>
        <v>#N/A</v>
      </c>
      <c r="BP333" s="140" t="e">
        <f ca="1">IF($BL333&lt;0,-$BL333,$BO333*IF(OR($G333&lt;Control!$C$92,$G333&gt;Control!$C$95),0,IF(AND($G333&gt;=Control!$C$92,$G333&lt;=Control!$C$93),$G333-Control!$C$92,IF(AND($G333&gt;Control!$C$93,$G333&lt;=Control!$C$94),Control!$C$93-Control!$C$92,IF(AND($G333&gt;Control!$C$94,$G333&lt;=Control!$C$95),(Control!$C$93-Control!$C$92)*(Control!$C$94-$G333)/(Control!$C$95-Control!$C$94))))))</f>
        <v>#N/A</v>
      </c>
      <c r="BQ333" s="140" t="e">
        <f t="shared" ca="1" si="1175"/>
        <v>#N/A</v>
      </c>
      <c r="BR333" s="140" t="e">
        <f ca="1">IF($BQ333&lt;=Control!$C$88,$BQ333,Control!$C$88-$BQ333)</f>
        <v>#N/A</v>
      </c>
      <c r="BS333" s="140" t="e">
        <f ca="1">IF(AND($BB333&gt;=21,$BB333&lt;30),1,IF($BQ333&gt;=Control!$C$88,0,$BO333))</f>
        <v>#N/A</v>
      </c>
      <c r="BT333" s="404" t="e">
        <f ca="1">IF($BS333=0,0,IF($BQ333&lt;=Control!$C$88,$BO333*(21+(30-21)*(BR333/Control!$C$88)),0))</f>
        <v>#N/A</v>
      </c>
      <c r="BU333" s="140" t="e">
        <f ca="1">IF(BG333+BM333+BS333=1,0,IF(OR(AND($BB333&lt;60,$BB333&gt;=30),$BQ333&gt;=Control!$C$88),1*$BA333,$BY332))</f>
        <v>#N/A</v>
      </c>
      <c r="BV333" s="140" t="e">
        <f ca="1">IF($BR333&lt;0,-$BR333,$BU333*IF(OR($G333&lt;Control!$C$92,$G333&gt;Control!$C$95),0,IF(AND($G333&gt;=Control!$C$92,$G333&lt;=Control!$C$93),$G333-Control!$C$92,IF(AND($G333&gt;Control!$C$93,$G333&lt;=Control!$C$94),Control!$C$93-Control!$C$92,IF(AND($G333&gt;Control!$C$94,$G333&lt;=Control!$C$95),(Control!$C$93-Control!$C$92)*(Control!$C$94-$G333)/(Control!$C$95-Control!$C$94))))))</f>
        <v>#N/A</v>
      </c>
      <c r="BW333" s="140" t="e">
        <f t="shared" ca="1" si="1176"/>
        <v>#N/A</v>
      </c>
      <c r="BX333" s="140" t="e">
        <f ca="1">IF($BW333&lt;=Control!$C$89,$BW333,Control!$C$89-$BW333)</f>
        <v>#N/A</v>
      </c>
      <c r="BY333" s="140" t="e">
        <f ca="1">IF(AND($AJ333&gt;=30,$AJ333&lt;60),1,IF($BW333&gt;=Control!$C$89,0,$BU333))</f>
        <v>#N/A</v>
      </c>
      <c r="BZ333" s="404" t="e">
        <f ca="1">IF($BY333=0,0,IF($BW333&lt;=Control!$C$89,$BU333*(30+(60-30)*(BX333/Control!$C$89)),0))</f>
        <v>#N/A</v>
      </c>
      <c r="CA333" s="140" t="e">
        <f ca="1">IF($BG333+$BM333+$BS333+$BY333=1,0,IF(OR(AND($BB333&lt;65,$BB333&gt;=60),$BW333&gt;=Control!$C$89),1*$BA333,$CE332))</f>
        <v>#N/A</v>
      </c>
      <c r="CB333" s="140" t="e">
        <f ca="1">IF($BX333&lt;0,-$BX333,$CA333*IF(OR($G333&lt;Control!$C$92,$G333&gt;Control!$C$95),0,IF(AND($G333&gt;=Control!$C$92,$G333&lt;=Control!$C$93),$G333-Control!$C$92,IF(AND($G333&gt;Control!$C$93,$G333&lt;=Control!$C$94),Control!$C$93-Control!$C$92,IF(AND($G333&gt;Control!$C$94,$G333&lt;=Control!$C$95),(Control!$C$93-Control!$C$92)*(Control!$C$94-$G333)/(Control!$C$95-Control!$C$94))))))</f>
        <v>#N/A</v>
      </c>
      <c r="CC333" s="140" t="e">
        <f t="shared" ca="1" si="1293"/>
        <v>#N/A</v>
      </c>
      <c r="CD333" s="140" t="e">
        <f ca="1">IF($CC333&lt;=Control!$C$90,$CC333,Control!$C$90-$CC333)</f>
        <v>#N/A</v>
      </c>
      <c r="CE333" s="140" t="e">
        <f ca="1">IF(AND($BB333&gt;=60,$BB333&lt;65),1,IF($CC333&gt;=Control!$C$90,0,$CA333))</f>
        <v>#N/A</v>
      </c>
      <c r="CF333" s="404" t="e">
        <f ca="1">IF($CE333=0,0,IF($CC333&lt;=Control!$C$90,$CA333*(60+(65-60)*(CD333/Control!$C$90)),0))</f>
        <v>#N/A</v>
      </c>
      <c r="CG333" s="140" t="e">
        <f ca="1">IF($BG333+$BM333+$BS333+$BY333+$CE333=1,0,IF(OR(AND($BB333&lt;90,$BB333&gt;=65),$CC333&gt;=Control!$C$90),$BA333,$CK332))</f>
        <v>#N/A</v>
      </c>
      <c r="CH333" s="140" t="e">
        <f ca="1">IF($CD333&lt;0,-$CD333,$CG333*IF(OR($G333&lt;Control!$C$92,$G333&gt;Control!$C$95),0,IF(AND($G333&gt;=Control!$C$92,$G333&lt;=Control!$C$93),$G333-Control!$C$92,IF(AND($G333&gt;Control!$C$93,$G333&lt;=Control!$C$94),Control!$C$93-Control!$C$92,IF(AND($G333&gt;Control!$C$94,$G333&lt;=Control!$C$95),(Control!$C$93-Control!$C$92)*(Control!$C$94-$G333)/(Control!$C$95-Control!$C$94))))))</f>
        <v>#N/A</v>
      </c>
      <c r="CI333" s="140" t="e">
        <f t="shared" ca="1" si="1294"/>
        <v>#N/A</v>
      </c>
      <c r="CJ333" s="140" t="e">
        <f ca="1">IF($CI333&lt;=Control!$C$91,$CI333,Control!$C$91-$CI333)</f>
        <v>#N/A</v>
      </c>
      <c r="CK333" s="140" t="e">
        <f ca="1">IF(AND($BB333&gt;=65,$BB333&lt;90),1,IF($CI333&gt;=Control!$C$91,0,$CG333))</f>
        <v>#N/A</v>
      </c>
      <c r="CL333" s="404" t="e">
        <f ca="1">IF($CK333=0,0,IF($CI333&lt;=Control!$C$91,$CG333*(65+(90-65)*($CJ333/Control!$C$91)),0))</f>
        <v>#N/A</v>
      </c>
      <c r="CM333" s="140" t="e">
        <f ca="1">IF($BG333+$BM333+$BS333+$BY333+$CE333+$CK333=1,0,IF(OR($BB333&gt;=90,$CI333&gt;=Control!$C$91),$BA333,$CM332))</f>
        <v>#N/A</v>
      </c>
      <c r="CN333" s="140" t="e">
        <f t="shared" ca="1" si="1295"/>
        <v>#N/A</v>
      </c>
      <c r="CO333" s="140" t="e">
        <f t="shared" ca="1" si="1296"/>
        <v>#N/A</v>
      </c>
      <c r="CP333" s="140" t="e">
        <f t="shared" ca="1" si="1297"/>
        <v>#N/A</v>
      </c>
      <c r="CQ333" s="141" t="e">
        <f ca="1">VLOOKUP($CP333,Control!$B$86:$G$91,6)</f>
        <v>#N/A</v>
      </c>
      <c r="CR333" s="141" t="e">
        <f ca="1">(1-$CQ333)*VLOOKUP($CP333,Control!$B$86:$D$91,3)</f>
        <v>#N/A</v>
      </c>
      <c r="CS333" s="141" t="e">
        <f ca="1">(1-$CQ333)*VLOOKUP($CP333,Control!$B$86:$E$91,4)</f>
        <v>#N/A</v>
      </c>
      <c r="CT333" s="141" t="e">
        <f ca="1">(1-$CQ333)*VLOOKUP($CP333,Control!$B$86:$F$91,5)</f>
        <v>#N/A</v>
      </c>
      <c r="CU333" s="141">
        <f t="shared" ca="1" si="1298"/>
        <v>0</v>
      </c>
      <c r="CV333" s="583">
        <f t="shared" ca="1" si="1299"/>
        <v>0</v>
      </c>
      <c r="CW333" s="142">
        <f t="shared" ca="1" si="1300"/>
        <v>329</v>
      </c>
      <c r="CX333" s="612" t="e">
        <f ca="1">IF(Control!$C$114=1,(MIN(Control!$C$120*(IF($NT333-0.01&lt;0,0,1)),Control!$C$119-$CY333)))</f>
        <v>#DIV/0!</v>
      </c>
      <c r="CY333" s="143" t="e">
        <f t="shared" ca="1" si="1301"/>
        <v>#N/A</v>
      </c>
      <c r="CZ333" s="144">
        <f t="shared" ca="1" si="1177"/>
        <v>0</v>
      </c>
      <c r="DA333" s="144">
        <f t="shared" ca="1" si="1178"/>
        <v>0</v>
      </c>
      <c r="DB333" s="144" t="e">
        <f t="shared" ca="1" si="1179"/>
        <v>#N/A</v>
      </c>
      <c r="DC333" s="144" t="e">
        <f t="shared" ca="1" si="1180"/>
        <v>#N/A</v>
      </c>
      <c r="DD333" s="144" t="e">
        <f t="shared" ca="1" si="1386"/>
        <v>#N/A</v>
      </c>
      <c r="DE333" s="143" t="e">
        <f t="shared" ca="1" si="1302"/>
        <v>#N/A</v>
      </c>
      <c r="DF333" s="145" t="e">
        <f ca="1">$DR333*EXP(-Control!$C$158*(1-$KH333))</f>
        <v>#N/A</v>
      </c>
      <c r="DG333" s="146" t="e">
        <f ca="1">IF(Control!$C$114=1, $DF333*$EY333, 0)</f>
        <v>#N/A</v>
      </c>
      <c r="DH333" s="147" t="e">
        <f t="shared" ca="1" si="1303"/>
        <v>#N/A</v>
      </c>
      <c r="DI333" s="144" t="e">
        <f t="shared" ca="1" si="1364"/>
        <v>#N/A</v>
      </c>
      <c r="DJ333" s="147" t="e">
        <f ca="1">$EF333*Control!$C$109</f>
        <v>#N/A</v>
      </c>
      <c r="DK333" s="144" t="e">
        <f t="shared" ca="1" si="1304"/>
        <v>#N/A</v>
      </c>
      <c r="DL333" s="144" t="e">
        <f t="shared" ca="1" si="1181"/>
        <v>#N/A</v>
      </c>
      <c r="DM333" s="144" t="e">
        <f ca="1">IF(Control!$C$114=1, (1-EXP(-Control!$C$96*$DK333))*$AR333, 0)</f>
        <v>#N/A</v>
      </c>
      <c r="DN333" s="144">
        <f t="shared" ca="1" si="1305"/>
        <v>0</v>
      </c>
      <c r="DO333" s="148">
        <f>Control!$C$97</f>
        <v>4</v>
      </c>
      <c r="DP333" s="145" t="e">
        <f t="shared" ca="1" si="1306"/>
        <v>#N/A</v>
      </c>
      <c r="DQ333" s="145" t="e">
        <f ca="1">IF(AND($CP333&gt;=0,$CP333&lt;=90),Control!$C$111,Control!$C$111)</f>
        <v>#N/A</v>
      </c>
      <c r="DR333" s="145" t="e">
        <f t="shared" ca="1" si="1182"/>
        <v>#N/A</v>
      </c>
      <c r="DS333" s="143" t="e">
        <f ca="1">Control!$B$22/$DR333</f>
        <v>#N/A</v>
      </c>
      <c r="DT333" s="149" t="e">
        <f ca="1">IF(AND(Control!$C$114=1,$KH333&lt;1),$IM333*$DF333, 0)</f>
        <v>#N/A</v>
      </c>
      <c r="DU333" s="144" t="e">
        <f t="shared" ca="1" si="1307"/>
        <v>#N/A</v>
      </c>
      <c r="DV333" s="144">
        <f ca="1">IF($G333-Control!$C$107&lt;=0, 0, 0.83*LN(MAX($G333, 3))-0.8924)</f>
        <v>0</v>
      </c>
      <c r="DW333" s="144" t="e">
        <f t="shared" ca="1" si="1183"/>
        <v>#N/A</v>
      </c>
      <c r="DX333" s="150" t="e">
        <f ca="1">MAX(0.01*(1+$CU333/Control!$C$102),0.05*($DK333-Control!$C$97)/Control!$C$97)</f>
        <v>#N/A</v>
      </c>
      <c r="DY333" s="151" t="e">
        <f ca="1">IF(Control!$C$114=1, $DI333*$FS333, 0)</f>
        <v>#N/A</v>
      </c>
      <c r="DZ333" s="196" t="e">
        <f t="shared" ca="1" si="1308"/>
        <v>#N/A</v>
      </c>
      <c r="EA333" s="152">
        <f t="shared" ca="1" si="1309"/>
        <v>329</v>
      </c>
      <c r="EB333" s="153" t="e">
        <f t="shared" ca="1" si="1310"/>
        <v>#N/A</v>
      </c>
      <c r="EC333" s="153" t="e">
        <f t="shared" ca="1" si="1311"/>
        <v>#N/A</v>
      </c>
      <c r="ED333" s="154" t="e">
        <f ca="1">IF(Control!$C$114=1, $HM333*$FY333-$FD333, 0)</f>
        <v>#DIV/0!</v>
      </c>
      <c r="EE333" s="155" t="e">
        <f ca="1">IF(Control!$C$114=1, $HM333*$FZ333-$FF333, 0)</f>
        <v>#DIV/0!</v>
      </c>
      <c r="EF333" s="153" t="e">
        <f t="shared" ca="1" si="1365"/>
        <v>#N/A</v>
      </c>
      <c r="EG333" s="155" t="e">
        <f ca="1">IF(Control!$C$114=1, $GX333*$FW333-$FI333, 0)</f>
        <v>#DIV/0!</v>
      </c>
      <c r="EH333" s="153" t="e">
        <f t="shared" ca="1" si="1312"/>
        <v>#N/A</v>
      </c>
      <c r="EI333" s="156" t="e">
        <f t="shared" ca="1" si="1313"/>
        <v>#N/A</v>
      </c>
      <c r="EJ333" s="155" t="e">
        <f ca="1">IF(Control!$C$114=1, $HM333*$GB333, 0)</f>
        <v>#DIV/0!</v>
      </c>
      <c r="EK333" s="153" t="e">
        <f t="shared" ca="1" si="1366"/>
        <v>#N/A</v>
      </c>
      <c r="EL333" s="153" t="e">
        <f t="shared" ca="1" si="1184"/>
        <v>#N/A</v>
      </c>
      <c r="EM333" s="153" t="e">
        <f t="shared" ca="1" si="1185"/>
        <v>#N/A</v>
      </c>
      <c r="EN333" s="153" t="e">
        <f ca="1">IF(Control!$C$108=1,IF(AND(Control!$B$18=1,$EB333&gt;=Control!$B$19),$EB333-$DS333,IF(AND(Control!$B$18=2,$AW333=1,$EB333&gt;$DS333),$EB333-$DS333,0)))</f>
        <v>#N/A</v>
      </c>
      <c r="EO333" s="153" t="e">
        <f ca="1">IF(Control!$C$108=1,IF(AND(Control!$B$18=1,$EB333&gt;=Control!$B$19),$EF333,IF(AND(Control!$B$18=2,$AW333=1),$EF333,0)))</f>
        <v>#N/A</v>
      </c>
      <c r="EP333" s="153" t="e">
        <f ca="1">IF(Control!$C$108=1,IF(AND(Control!$B$18=1,$EB333&gt;=Control!$B$19),$EK333,IF(AND(Control!$B$18=2,$AW333=1),$EK333,0)))</f>
        <v>#N/A</v>
      </c>
      <c r="EQ333" s="153" t="e">
        <f t="shared" ca="1" si="1314"/>
        <v>#N/A</v>
      </c>
      <c r="ER333" s="153" t="e">
        <f t="shared" ca="1" si="1315"/>
        <v>#N/A</v>
      </c>
      <c r="ES333" s="153" t="e">
        <f t="shared" ca="1" si="1367"/>
        <v>#N/A</v>
      </c>
      <c r="ET333" s="153" t="e">
        <f t="shared" ca="1" si="1368"/>
        <v>#N/A</v>
      </c>
      <c r="EU333" s="153" t="e">
        <f t="shared" ca="1" si="1316"/>
        <v>#N/A</v>
      </c>
      <c r="EV333" s="153" t="e">
        <f t="shared" ca="1" si="1186"/>
        <v>#N/A</v>
      </c>
      <c r="EW333" s="153" t="e">
        <f t="shared" ca="1" si="1187"/>
        <v>#N/A</v>
      </c>
      <c r="EX333" s="153" t="e">
        <f t="shared" ca="1" si="1188"/>
        <v>#N/A</v>
      </c>
      <c r="EY333" s="157" t="e">
        <f t="shared" ca="1" si="1189"/>
        <v>#DIV/0!</v>
      </c>
      <c r="EZ333" s="154" t="e">
        <f t="shared" ca="1" si="1190"/>
        <v>#DIV/0!</v>
      </c>
      <c r="FA333" s="153" t="e">
        <f t="shared" ca="1" si="1317"/>
        <v>#N/A</v>
      </c>
      <c r="FB333" s="153" t="e">
        <f t="shared" ca="1" si="1191"/>
        <v>#N/A</v>
      </c>
      <c r="FC333" s="193" t="e">
        <f t="shared" ca="1" si="1192"/>
        <v>#N/A</v>
      </c>
      <c r="FD333" s="158" t="e">
        <f t="shared" ca="1" si="1318"/>
        <v>#N/A</v>
      </c>
      <c r="FE333" s="158" t="e">
        <f t="shared" ca="1" si="1319"/>
        <v>#N/A</v>
      </c>
      <c r="FF333" s="159" t="e">
        <f t="shared" ca="1" si="1193"/>
        <v>#N/A</v>
      </c>
      <c r="FG333" s="160" t="e">
        <f t="shared" ca="1" si="1320"/>
        <v>#N/A</v>
      </c>
      <c r="FH333" s="158" t="e">
        <f t="shared" ca="1" si="1321"/>
        <v>#N/A</v>
      </c>
      <c r="FI333" s="159" t="e">
        <f t="shared" ca="1" si="1194"/>
        <v>#N/A</v>
      </c>
      <c r="FJ333" s="160" t="e">
        <f t="shared" ca="1" si="1322"/>
        <v>#N/A</v>
      </c>
      <c r="FK333" s="160" t="e">
        <f t="shared" ca="1" si="1195"/>
        <v>#N/A</v>
      </c>
      <c r="FL333" s="160" t="e">
        <f t="shared" ca="1" si="1369"/>
        <v>#N/A</v>
      </c>
      <c r="FM333" s="160" t="e">
        <f t="shared" ca="1" si="1196"/>
        <v>#N/A</v>
      </c>
      <c r="FN333" s="158">
        <f t="shared" ca="1" si="1323"/>
        <v>0.01</v>
      </c>
      <c r="FO333" s="160">
        <f>Control!$C$101</f>
        <v>50</v>
      </c>
      <c r="FP333" s="150" t="e">
        <f t="shared" ca="1" si="1197"/>
        <v>#N/A</v>
      </c>
      <c r="FQ333" s="150" t="e">
        <f ca="1">MAX(0,(Control!$C$112*(($DK333-Control!$C$97)/Control!$C$97)))</f>
        <v>#N/A</v>
      </c>
      <c r="FR333" s="150" t="e">
        <f ca="1">(1-$NT333)*Control!$C$113</f>
        <v>#DIV/0!</v>
      </c>
      <c r="FS333" s="198" t="e">
        <f t="shared" ca="1" si="1198"/>
        <v>#N/A</v>
      </c>
      <c r="FT333" s="161">
        <f t="shared" ca="1" si="1324"/>
        <v>329</v>
      </c>
      <c r="FU333" s="162" t="e">
        <f ca="1">IF(Control!$B$34=1,VLOOKUP($CP333,Control!$B$86:$G$91,6),Control!$B$35)</f>
        <v>#N/A</v>
      </c>
      <c r="FV333" s="162" t="e">
        <f t="shared" ca="1" si="1199"/>
        <v>#DIV/0!</v>
      </c>
      <c r="FW333" s="162" t="e">
        <f ca="1">IF(Control!$B$31=1,$FU333*$FV333,  $FU333)</f>
        <v>#N/A</v>
      </c>
      <c r="FX333" s="162" t="e">
        <f ca="1">IF(Control!$B$34=1,VLOOKUP($CP333,Control!$B$86:$G$91,3),Control!$B$36)</f>
        <v>#N/A</v>
      </c>
      <c r="FY333" s="162" t="e">
        <f t="shared" ca="1" si="1200"/>
        <v>#N/A</v>
      </c>
      <c r="FZ333" s="162" t="e">
        <f ca="1">IF(Control!$B$34=1,VLOOKUP($CP333,Control!$B$86:$G$91,4),Control!$B$37)</f>
        <v>#N/A</v>
      </c>
      <c r="GA333" s="162" t="e">
        <f t="shared" ca="1" si="1201"/>
        <v>#N/A</v>
      </c>
      <c r="GB333" s="162" t="e">
        <f ca="1">IF(Control!$B$34=1,VLOOKUP($CP333,Control!$B$86:$G$91,5),Control!$B$38)</f>
        <v>#N/A</v>
      </c>
      <c r="GC333" s="162" t="e">
        <f t="shared" ca="1" si="1325"/>
        <v>#N/A</v>
      </c>
      <c r="GD333" s="162">
        <f t="shared" ca="1" si="1202"/>
        <v>1</v>
      </c>
      <c r="GE333" s="162">
        <f t="shared" ca="1" si="1203"/>
        <v>1</v>
      </c>
      <c r="GF333" s="162">
        <f ca="1">IF(AND(Control!$C$104=1, Control!$C$62="F"),$GE333,1)</f>
        <v>1</v>
      </c>
      <c r="GG333" s="162" t="e">
        <f ca="1">IF(Control!$B$16=40,0,IF(AND(Control!$B$16&gt;40,Control!$B$16&lt;=360),(Control!$B$16-40)*((1-0)/(360-40)),IF(AND(Control!$B$16&gt;360,Control!$B$16&lt;=720),(1+(Control!$B$16-360)*((1.25-1)/(720-360))),IF(AND(Control!$B$16&gt;720,Control!$B$16&lt;=1000),(1.25+(Control!$B$16-720)*((1.35-1.25)/(1000-720))),IF(AND(Control!$B$16&gt;1000,Control!$B$16&lt;=2000),(1.35+(Control!$B$16-1000)*0))))))</f>
        <v>#N/A</v>
      </c>
      <c r="GH333" s="162" t="e">
        <f t="shared" ca="1" si="1204"/>
        <v>#N/A</v>
      </c>
      <c r="GI333" s="162">
        <f t="shared" ca="1" si="1326"/>
        <v>0</v>
      </c>
      <c r="GJ333" s="162">
        <f t="shared" ca="1" si="1205"/>
        <v>0</v>
      </c>
      <c r="GK333" s="162">
        <f t="shared" ca="1" si="1327"/>
        <v>1</v>
      </c>
      <c r="GL333" s="162">
        <f t="shared" ca="1" si="1206"/>
        <v>1</v>
      </c>
      <c r="GM333" s="162" t="e">
        <f ca="1">MAX(0,MIN(1,1-Control!$C$156*(1.0001-$KH333)^2))</f>
        <v>#N/A</v>
      </c>
      <c r="GN333" s="162" t="e">
        <f ca="1">IF(Control!$B$26=1,$KU333,$KX333)</f>
        <v>#N/A</v>
      </c>
      <c r="GO333" s="162" t="e">
        <f ca="1">IF($CP333&lt;=60,Control!$C$105,IF($CP333&gt;=90,Control!$C$106,Control!$C$105+($CP333-60)*((Control!$C$106-Control!$C$105)/(90-60))))</f>
        <v>#N/A</v>
      </c>
      <c r="GP333" s="162" t="e">
        <f t="shared" ca="1" si="1207"/>
        <v>#N/A</v>
      </c>
      <c r="GQ333" s="162" t="e">
        <f t="shared" ca="1" si="1328"/>
        <v>#N/A</v>
      </c>
      <c r="GR333" s="163" t="e">
        <f t="shared" ca="1" si="1208"/>
        <v>#DIV/0!</v>
      </c>
      <c r="GS333" s="162" t="e">
        <f t="shared" ca="1" si="1209"/>
        <v>#DIV/0!</v>
      </c>
      <c r="GT333" s="164" t="e">
        <f t="shared" ca="1" si="1329"/>
        <v>#N/A</v>
      </c>
      <c r="GU333" s="162" t="e">
        <f t="shared" ca="1" si="1330"/>
        <v>#N/A</v>
      </c>
      <c r="GV333" s="162" t="e">
        <f t="shared" ca="1" si="1210"/>
        <v>#N/A</v>
      </c>
      <c r="GW333" s="162" t="e">
        <f t="shared" ca="1" si="1211"/>
        <v>#DIV/0!</v>
      </c>
      <c r="GX333" s="162" t="e">
        <f t="shared" ca="1" si="1331"/>
        <v>#DIV/0!</v>
      </c>
      <c r="GY333" s="162" t="e">
        <f t="shared" ca="1" si="1332"/>
        <v>#DIV/0!</v>
      </c>
      <c r="GZ333" s="165" t="e">
        <f t="shared" ca="1" si="1212"/>
        <v>#N/A</v>
      </c>
      <c r="HA333" s="162" t="e">
        <f ca="1">IF(Control!$C$114=1, $DI333*$FS333, 0)</f>
        <v>#N/A</v>
      </c>
      <c r="HB333" s="162" t="e">
        <f ca="1">$FA333/Control!$C$64</f>
        <v>#N/A</v>
      </c>
      <c r="HC333" s="162" t="e">
        <f t="shared" ca="1" si="1213"/>
        <v>#DIV/0!</v>
      </c>
      <c r="HD333" s="162">
        <f ca="1">-ASIN(SIN(23.45*Control!$C$139)*COS(2*Control!$C$138*($AH333+10)/365))</f>
        <v>-0.3669332306599597</v>
      </c>
      <c r="HE333" s="165">
        <f t="shared" ca="1" si="1333"/>
        <v>0</v>
      </c>
      <c r="HF333" s="166">
        <f ca="1">IF(AND(Control!$C$61="T",$HE333&gt;=Control!$C$103,Control!$C$114=0),$AH333,Control!$C$59)</f>
        <v>1</v>
      </c>
      <c r="HG333" s="166">
        <f ca="1">IF(AND(Control!$C$61="T",$HE333&gt;=Control!$C$103,Control!$C$114=0),$HF333,Control!$C$59)</f>
        <v>1</v>
      </c>
      <c r="HH333" s="165">
        <f ca="1">IF(AND(OR(Control!$C$60&lt;=0, $AH333= Control!$C$59, Control!$C$60 &gt;0, $AH333 = Control!$C$60)), Control!$C$59, IF(Control!$C$60&gt;0, 0))</f>
        <v>1</v>
      </c>
      <c r="HI333" s="165">
        <f ca="1">IF(AND(OR(Control!$C$60&lt;=0, $AH333= Control!$C$59, Control!$C$60 &gt;0, $AH333 = Control!$C$60)), Control!$C$60, IF(Control!$C$60&lt;=0, 0))</f>
        <v>0</v>
      </c>
      <c r="HJ333" s="166">
        <f ca="1">IF(AND(Control!$C$62="F",$CV333&gt;=Control!$C$102),$AH333,0)</f>
        <v>0</v>
      </c>
      <c r="HK333" s="165" t="e">
        <f t="shared" ca="1" si="1370"/>
        <v>#N/A</v>
      </c>
      <c r="HL333" s="166">
        <f ca="1">IF(AND(Control!$C$61="T",$HE333&gt;=Control!$C$103,Control!$C$114=0),$HF333,0)</f>
        <v>0</v>
      </c>
      <c r="HM333" s="201" t="e">
        <f t="shared" ca="1" si="1214"/>
        <v>#DIV/0!</v>
      </c>
      <c r="HN333" s="215">
        <f t="shared" ca="1" si="1334"/>
        <v>329</v>
      </c>
      <c r="HO333" s="216" t="e">
        <f ca="1">IF(AND($CP333&gt;=0, $CP333&lt;=90), Control!$C$152, Control!$C$152)</f>
        <v>#N/A</v>
      </c>
      <c r="HP333" s="216" t="e">
        <f t="shared" ca="1" si="1215"/>
        <v>#N/A</v>
      </c>
      <c r="HQ333" s="217" t="e">
        <f ca="1">IF(OR(Control!$B$26=1,Control!$B$26=2),$KV333,$KS333)</f>
        <v>#DIV/0!</v>
      </c>
      <c r="HR333" s="218" t="e">
        <f t="shared" ca="1" si="1371"/>
        <v>#DIV/0!</v>
      </c>
      <c r="HS333" s="216" t="e">
        <f ca="1">Control!$C$154*$HP333</f>
        <v>#N/A</v>
      </c>
      <c r="HT333" s="216" t="e">
        <f ca="1">Control!$C$155*$HP333</f>
        <v>#N/A</v>
      </c>
      <c r="HU333" s="217" t="e">
        <f ca="1">Control!$C$161*$FI333</f>
        <v>#N/A</v>
      </c>
      <c r="HV333" s="218" t="e">
        <f t="shared" ca="1" si="1335"/>
        <v>#N/A</v>
      </c>
      <c r="HW333" s="218" t="e">
        <f ca="1">Control!$C$160*$FF333+$IP333*$EO333</f>
        <v>#N/A</v>
      </c>
      <c r="HX333" s="218" t="e">
        <f t="shared" ca="1" si="1372"/>
        <v>#N/A</v>
      </c>
      <c r="HY333" s="219" t="e">
        <f ca="1">IF(Control!$C$114=1, $EB333*$FS333, 0)</f>
        <v>#N/A</v>
      </c>
      <c r="HZ333" s="91" t="e">
        <f t="shared" ca="1" si="1216"/>
        <v>#N/A</v>
      </c>
      <c r="IA333" s="220" t="e">
        <f ca="1">Control!$C$153*$HO333</f>
        <v>#N/A</v>
      </c>
      <c r="IB333" s="218" t="e">
        <f t="shared" ca="1" si="1217"/>
        <v>#N/A</v>
      </c>
      <c r="IC333" s="220" t="e">
        <f ca="1">Control!$C$153*$HT333</f>
        <v>#N/A</v>
      </c>
      <c r="ID333" s="218" t="e">
        <f t="shared" ca="1" si="1218"/>
        <v>#N/A</v>
      </c>
      <c r="IE333" s="221" t="e">
        <f ca="1">($EB333*Control!$C$159+$EF333*Control!$C$160)/(IF($GZ333&lt;&gt;0,$GZ333,1))</f>
        <v>#N/A</v>
      </c>
      <c r="IF333" s="216" t="e">
        <f t="shared" ca="1" si="1219"/>
        <v>#N/A</v>
      </c>
      <c r="IG333" s="91">
        <f ca="1">IF(OR(Control!$B$198=$AH333,Control!$B$199=$AH333, Control!$B$200=$AH333, Control!$B$201=$AH333, Control!$B$202=$AH333, Control!$B$203=$AH333, Control!$B$204=$AH333, Control!$B$205=$AH333, Control!$B$206=$AH333, Control!$B$207=$AH333), 1, 0)</f>
        <v>0</v>
      </c>
      <c r="IH333" s="91">
        <f ca="1">IF($IG333=0,0, VLOOKUP($AH333,Control!$B$198:$C$207,2))</f>
        <v>0</v>
      </c>
      <c r="II333" s="222">
        <f t="shared" ca="1" si="1336"/>
        <v>0</v>
      </c>
      <c r="IJ333" s="91">
        <f>Control!$C$121</f>
        <v>0.7</v>
      </c>
      <c r="IK333" s="218">
        <f t="shared" ca="1" si="1220"/>
        <v>0</v>
      </c>
      <c r="IL333" s="217" t="e">
        <f t="shared" ca="1" si="1373"/>
        <v>#N/A</v>
      </c>
      <c r="IM333" s="223" t="e">
        <f ca="1">IF(AND(Control!$C$114=1,$KH333&lt;1),$EB333*Control!$C$148*(1-$KH333), 0)</f>
        <v>#N/A</v>
      </c>
      <c r="IN333" s="217" t="e">
        <f t="shared" ca="1" si="1221"/>
        <v>#DIV/0!</v>
      </c>
      <c r="IO333" s="91" t="e">
        <f ca="1">MAX(0,$IL333-$EF333*Control!$C$160)</f>
        <v>#N/A</v>
      </c>
      <c r="IP333" s="220" t="e">
        <f t="shared" ca="1" si="1222"/>
        <v>#N/A</v>
      </c>
      <c r="IQ333" s="217" t="e">
        <f t="shared" ca="1" si="1337"/>
        <v>#N/A</v>
      </c>
      <c r="IR333" s="218" t="e">
        <f t="shared" ca="1" si="1223"/>
        <v>#N/A</v>
      </c>
      <c r="IS333" s="217" t="e">
        <f ca="1">Control!$C$159*MAX(0,$FD333-$EN333)</f>
        <v>#N/A</v>
      </c>
      <c r="IT333" s="217" t="e">
        <f t="shared" ca="1" si="1374"/>
        <v>#N/A</v>
      </c>
      <c r="IU333" s="217" t="e">
        <f t="shared" ca="1" si="1338"/>
        <v>#N/A</v>
      </c>
      <c r="IV333" s="217" t="e">
        <f t="shared" ca="1" si="1375"/>
        <v>#N/A</v>
      </c>
      <c r="IW333" s="217" t="e">
        <f ca="1">IF(OR($AW333=1,AND($AW333=0, Control!$B$18=1,$EN333&lt;&gt;0)), $IQ333-$IU333, $IQ333)</f>
        <v>#N/A</v>
      </c>
      <c r="IX333" s="218" t="e">
        <f t="shared" ca="1" si="1224"/>
        <v>#N/A</v>
      </c>
      <c r="IY333" s="218" t="e">
        <f ca="1">MAX(0,$IQ333-$EB333*Control!$C$159)</f>
        <v>#N/A</v>
      </c>
      <c r="IZ333" s="218" t="e">
        <f t="shared" ca="1" si="1225"/>
        <v>#N/A</v>
      </c>
      <c r="JA333" s="216" t="e">
        <f t="shared" ca="1" si="1226"/>
        <v>#N/A</v>
      </c>
      <c r="JB333" s="217" t="e">
        <f t="shared" ca="1" si="1227"/>
        <v>#N/A</v>
      </c>
      <c r="JC333" s="222" t="e">
        <f ca="1">MAX(Control!$C$157*$EK333-$JT333, 0)/Control!$C$162</f>
        <v>#N/A</v>
      </c>
      <c r="JD333" s="218" t="e">
        <f t="shared" ca="1" si="1228"/>
        <v>#N/A</v>
      </c>
      <c r="JE333" s="218" t="e">
        <f t="shared" ca="1" si="1229"/>
        <v>#N/A</v>
      </c>
      <c r="JF333" s="218" t="e">
        <f t="shared" ca="1" si="1339"/>
        <v>#N/A</v>
      </c>
      <c r="JG333" s="218" t="e">
        <f t="shared" ca="1" si="1230"/>
        <v>#N/A</v>
      </c>
      <c r="JH333" s="217" t="e">
        <f t="shared" ca="1" si="1340"/>
        <v>#N/A</v>
      </c>
      <c r="JI333" s="217" t="e">
        <f t="shared" ca="1" si="1341"/>
        <v>#N/A</v>
      </c>
      <c r="JJ333" s="217" t="e">
        <f t="shared" ca="1" si="1376"/>
        <v>#N/A</v>
      </c>
      <c r="JK333" s="217" t="e">
        <f ca="1">IF(Control!$C$114=1,IF(Control!$B$24=0,MAX(0,$JI333)*$GN333/Control!$C$64,(MAX(0,MIN($JI333,$JJ333*$GN333/Control!$C$64),0))))</f>
        <v>#N/A</v>
      </c>
      <c r="JL333" s="217" t="e">
        <f ca="1">$IK333/Control!$C$64-$JK333+$HQ333</f>
        <v>#N/A</v>
      </c>
      <c r="JM333" s="217" t="e">
        <f ca="1">IF(Control!$C$114=1,($JB333/(IF($JI333&lt;&gt;0,$JI333,1)))*$JK333,0)</f>
        <v>#N/A</v>
      </c>
      <c r="JN333" s="217" t="e">
        <f ca="1">IF(Control!$C$114=1,($JG333/(IF($JI333&lt;&gt;0,$JI333,1)))*$JK333, 0)</f>
        <v>#N/A</v>
      </c>
      <c r="JO333" s="218" t="e">
        <f t="shared" ca="1" si="1231"/>
        <v>#N/A</v>
      </c>
      <c r="JP333" s="218" t="e">
        <f ca="1">MIN(($IY333+$IO333)*Control!$C$151, $JF333-$EH333*Control!$C$161)</f>
        <v>#N/A</v>
      </c>
      <c r="JQ333" s="218" t="e">
        <f t="shared" ca="1" si="1232"/>
        <v>#N/A</v>
      </c>
      <c r="JR333" s="217" t="e">
        <f ca="1">IF($CP333-Control!$C$150&lt;0, 0, $JQ333/Control!$C$162)</f>
        <v>#N/A</v>
      </c>
      <c r="JS333" s="218" t="e">
        <f t="shared" ca="1" si="1233"/>
        <v>#N/A</v>
      </c>
      <c r="JT333" s="218" t="e">
        <f t="shared" ca="1" si="1342"/>
        <v>#N/A</v>
      </c>
      <c r="JU333" s="218" t="e">
        <f t="shared" ca="1" si="1234"/>
        <v>#N/A</v>
      </c>
      <c r="JV333" s="218" t="e">
        <f t="shared" ca="1" si="1235"/>
        <v>#N/A</v>
      </c>
      <c r="JW333" s="216" t="e">
        <f t="shared" ca="1" si="1236"/>
        <v>#N/A</v>
      </c>
      <c r="JX333" s="91" t="e">
        <f t="shared" ca="1" si="1237"/>
        <v>#N/A</v>
      </c>
      <c r="JY333" s="218" t="e">
        <f t="shared" ca="1" si="1238"/>
        <v>#N/A</v>
      </c>
      <c r="JZ333" s="217" t="e">
        <f ca="1">IF(Control!$C$114=1,($IZ333/(IF($JI333&lt;&gt;0,$JI333,1)))*$JK333, 0)</f>
        <v>#N/A</v>
      </c>
      <c r="KA333" s="218" t="e">
        <f t="shared" ca="1" si="1377"/>
        <v>#N/A</v>
      </c>
      <c r="KB333" s="218" t="e">
        <f t="shared" ca="1" si="1343"/>
        <v>#N/A</v>
      </c>
      <c r="KC333" s="218" t="e">
        <f t="shared" ca="1" si="1239"/>
        <v>#N/A</v>
      </c>
      <c r="KD333" s="218" t="e">
        <f t="shared" ca="1" si="1240"/>
        <v>#N/A</v>
      </c>
      <c r="KE333" s="218" t="e">
        <f t="shared" ca="1" si="1241"/>
        <v>#N/A</v>
      </c>
      <c r="KF333" s="218" t="e">
        <f t="shared" ca="1" si="1242"/>
        <v>#N/A</v>
      </c>
      <c r="KG333" s="216" t="e">
        <f t="shared" ca="1" si="1243"/>
        <v>#N/A</v>
      </c>
      <c r="KH333" s="221" t="e">
        <f ca="1">IF(Control!$B$24=0,1,MAX(0.001,MIN(1,IF(($IF333-$IE333)&lt;&gt;0,($KG333-$IE333)/($IF333-$IE333),1))))</f>
        <v>#N/A</v>
      </c>
      <c r="KI333" s="222" t="e">
        <f ca="1">IF(Control!$C$114=1, $KI332+ $KH332, 0)</f>
        <v>#N/A</v>
      </c>
      <c r="KJ333" s="217" t="e">
        <f t="shared" ca="1" si="1244"/>
        <v>#N/A</v>
      </c>
      <c r="KK333" s="218" t="e">
        <f t="shared" ca="1" si="1245"/>
        <v>#N/A</v>
      </c>
      <c r="KL333" s="274" t="e">
        <f ca="1">IF(Control!$B$26=3,4000000000*EXP(-8400/($G333+273)),IF(Control!$B$26=4,4000000000*EXP(-8400/($G333+273))*($KT333),0))</f>
        <v>#DIV/0!</v>
      </c>
      <c r="KM333" s="274" t="e">
        <f ca="1">IF(Control!$B$26=3,5600000000000*EXP(-9800/($G333+273)),IF(Control!$B$26=4,5600000000000*EXP(-9800/($G333+273))*$KT333,0))</f>
        <v>#DIV/0!</v>
      </c>
      <c r="KN333" s="454" t="e">
        <f t="shared" ca="1" si="1344"/>
        <v>#DIV/0!</v>
      </c>
      <c r="KO333" s="274" t="e">
        <f t="shared" ca="1" si="1345"/>
        <v>#DIV/0!</v>
      </c>
      <c r="KP333" s="454" t="e">
        <f t="shared" ca="1" si="1246"/>
        <v>#DIV/0!</v>
      </c>
      <c r="KQ333" s="454" t="e">
        <f t="shared" ca="1" si="1247"/>
        <v>#DIV/0!</v>
      </c>
      <c r="KR333" s="454" t="e">
        <f t="shared" ca="1" si="1248"/>
        <v>#DIV/0!</v>
      </c>
      <c r="KS333" s="454" t="e">
        <f t="shared" ca="1" si="1249"/>
        <v>#DIV/0!</v>
      </c>
      <c r="KT333" s="455" t="e">
        <f t="shared" ca="1" si="1250"/>
        <v>#DIV/0!</v>
      </c>
      <c r="KU333" s="456" t="e">
        <f ca="1">IF($CP333-Control!$C$149&lt;0, IF($NT333-0.01&lt;0,0,1),0)</f>
        <v>#N/A</v>
      </c>
      <c r="KV333" s="456" t="e">
        <f ca="1">IF(Control!$C$114=1,MAX(0,MIN(Control!$C$125*$KW333*$GN333,$KW333)))</f>
        <v>#DIV/0!</v>
      </c>
      <c r="KW333" s="456" t="e">
        <f t="shared" ca="1" si="1378"/>
        <v>#DIV/0!</v>
      </c>
      <c r="KX333" s="457" t="e">
        <f ca="1">IF($CP333-Control!$C$149&lt;0, IF($MR333-$OM333&lt;0,0,1),0)</f>
        <v>#N/A</v>
      </c>
      <c r="KY333" s="167">
        <f t="shared" ca="1" si="1346"/>
        <v>329</v>
      </c>
      <c r="KZ333" s="168">
        <f ca="1">1370*(1+0.033*COS(2*Control!$C$138*$AH333/365))</f>
        <v>1406.8033716361883</v>
      </c>
      <c r="LA333" s="169">
        <f t="shared" ca="1" si="1347"/>
        <v>1.0268635210857713</v>
      </c>
      <c r="LB333" s="169">
        <f t="shared" ca="1" si="1348"/>
        <v>-0.37023221192112515</v>
      </c>
      <c r="LC333" s="169">
        <f ca="1">ACOS(-TAN((2*Control!$B$8/360))*TAN(Calculations!$LB333))</f>
        <v>1.4551854087014104</v>
      </c>
      <c r="LD333" s="169">
        <f ca="1">((24*60)/PI())*0.082*$LA333*(($LC333*SIN(Control!$B$8*2*PI()/360))*SIN($LB333)+COS(Control!$B$8*2*PI()/360)*COS($LB333)*SIN($LC333))</f>
        <v>5.9901197466518443</v>
      </c>
      <c r="LE333" s="170">
        <f t="shared" ca="1" si="1251"/>
        <v>7.579646405690184</v>
      </c>
      <c r="LF333" s="170">
        <f ca="1">SIN(Control!$C$139*Control!$B$8)*SIN($HD333)</f>
        <v>-0.28270287503820235</v>
      </c>
      <c r="LG333" s="170">
        <f ca="1">COS(Control!$C$139*Control!$B$8)*COS($HD333)</f>
        <v>0.57467653081026338</v>
      </c>
      <c r="LH333" s="170">
        <f ca="1">12*(1+2*ASIN(MAX(-1,MIN(1,$LF333/$LG333))/Control!$C$138))</f>
        <v>8.2263807923820131</v>
      </c>
      <c r="LI333" s="170">
        <f ca="1">12*(1+2*ASIN(MAX(-1,MIN(1,(-SIN(-4*Control!$C$139)+$LF333)/$LG333))/Control!$C$138))</f>
        <v>9.1626100277620743</v>
      </c>
      <c r="LJ333" s="168">
        <f ca="1">3600*($LH333*$LF333+24*$LG333*SQRT(1-$LK333*$LK333)/Control!$C$138)</f>
        <v>5387.850611187152</v>
      </c>
      <c r="LK333" s="170">
        <f t="shared" ca="1" si="1252"/>
        <v>-0.49193391391781099</v>
      </c>
      <c r="LL333" s="170">
        <f t="shared" ca="1" si="1253"/>
        <v>0</v>
      </c>
      <c r="LM333" s="171">
        <f ca="1">Control!$C$145*$AB333</f>
        <v>6.6660906138995932E-2</v>
      </c>
      <c r="LN333" s="170">
        <f t="shared" ca="1" si="1349"/>
        <v>0.54</v>
      </c>
      <c r="LO333" s="170">
        <f t="shared" ca="1" si="1254"/>
        <v>0</v>
      </c>
      <c r="LP333" s="170">
        <f ca="1">Control!$C$140*((($D333+273.16)^4+($E333+273.16)^4)/2)*(0.34-0.14*SQRT($Y333))*(1.35*$AQ333/(0.75*$LD333)-0.35)</f>
        <v>-3.2464704755046001</v>
      </c>
      <c r="LQ333" s="170">
        <f ca="1">Control!$C$140*($G333+273)^4*(0.56-0.079*SQRT($Y333*10))*(0.1+0.9*$LO333)</f>
        <v>1.5241745131704001</v>
      </c>
      <c r="LR333" s="170">
        <f ca="1">$AQ333*(1-Control!$C$142)-$LQ333</f>
        <v>-1.5241745131704001</v>
      </c>
      <c r="LS333" s="170">
        <f ca="1">$AQ333*(1-Control!$C$143)-$LQ333</f>
        <v>-1.5241745131704001</v>
      </c>
      <c r="LT333" s="170">
        <f ca="1">$AQ333*(1-Control!$C$144)-$LQ333</f>
        <v>-1.5241745131704001</v>
      </c>
      <c r="LU333" s="169">
        <f ca="1">(1-Control!$C$144)*AQ333-LP333</f>
        <v>3.2464704755046001</v>
      </c>
      <c r="LV333" s="172">
        <f t="shared" ca="1" si="1255"/>
        <v>0.79430000000000012</v>
      </c>
      <c r="LW333" s="170">
        <f t="shared" ca="1" si="1256"/>
        <v>1.5886000000000002</v>
      </c>
      <c r="LX333" s="170">
        <f ca="1">($AC333*($LR333/Control!$C$141)+$LM333*$LV333)/($AC333+$LM333)</f>
        <v>0.23530094218323697</v>
      </c>
      <c r="LY333" s="170">
        <f ca="1">($AC333*($LS333/Control!$C$141)+$LM333*$LV333)/($AC333+$LM333)</f>
        <v>0.23530094218323697</v>
      </c>
      <c r="LZ333" s="170">
        <f t="shared" ca="1" si="1257"/>
        <v>0.23530094218323697</v>
      </c>
      <c r="MA333" s="170">
        <f t="shared" ca="1" si="1258"/>
        <v>0.23530094218323697</v>
      </c>
      <c r="MB333" s="170" t="e">
        <f t="shared" ca="1" si="1259"/>
        <v>#N/A</v>
      </c>
      <c r="MC333" s="170">
        <f t="shared" ca="1" si="1350"/>
        <v>0.6018</v>
      </c>
      <c r="MD333" s="170">
        <f t="shared" ca="1" si="1260"/>
        <v>0.52989392535414004</v>
      </c>
      <c r="ME333" s="170">
        <f ca="1">($AC333*($LT333/Control!$C$141)+$LM333*$LW333)/($AC333+$LM333)</f>
        <v>0.71612369323045078</v>
      </c>
      <c r="MF333" s="170" t="e">
        <f ca="1">IF(Control!$B$16&gt;=1000,0.92,IF(AND(720&lt;=Control!$B$16,1000&gt;Control!$B$16),(0.95+(Control!$B$16-720)*((0.92-0.95)/(1000-720))),IF(AND(360&lt;=Control!$B$16,720&gt;Control!$B$16),(1+(Control!$B$16-360)*((0.95-1)/(720-360))),IF(AND(40&lt;=Control!$B$16,360&gt;Control!$B$16),(1.05+(Control!$B$16-40)*((1.05-1)/(360-40)))))))</f>
        <v>#N/A</v>
      </c>
      <c r="MG333" s="170">
        <f t="shared" ca="1" si="1261"/>
        <v>0.71612369323045078</v>
      </c>
      <c r="MH333" s="170" t="e">
        <f t="shared" ca="1" si="1262"/>
        <v>#N/A</v>
      </c>
      <c r="MI333" s="170" t="e">
        <f t="shared" ca="1" si="1262"/>
        <v>#N/A</v>
      </c>
      <c r="MJ333" s="170" t="e">
        <f ca="1">MAX(0.0001, Control!$C$132*$MI333*$DL333)</f>
        <v>#N/A</v>
      </c>
      <c r="MK333" s="170">
        <f ca="1">1/(0.76+1.5*($MG333/10))-(5-Control!$C$110)*0.1</f>
        <v>1.002845988140797</v>
      </c>
      <c r="ML333" s="173">
        <f ca="1">IF(Control!$C$110&lt;3,$MK333+($MG333-0.6)/(Control!$C$110*(Control!$C$110+3)), MAX(0.1, MIN(0.95,$MK333)))</f>
        <v>0.95</v>
      </c>
      <c r="MM333" s="173">
        <f ca="1">IF(Control!$C$110&lt;3,$MK333+(($MI333/10)-0.6)/(Control!$C$110*(Control!$C$110+3)), MAX(0.1, MIN(0.95,$MK333)))</f>
        <v>0.95</v>
      </c>
      <c r="MN333" s="173">
        <f ca="1">(1-$MM333)*(Control!$C$128-Control!$C$127)+Control!$C$127</f>
        <v>0.16</v>
      </c>
      <c r="MO333" s="170" t="e">
        <f ca="1">MAX(0,MIN(1,($MS333-Control!$C$127)/($MN333-Control!$C$127)))</f>
        <v>#DIV/0!</v>
      </c>
      <c r="MP333" s="173" t="e">
        <f ca="1">1/(0.76+1.5*$MI333)-(5-Control!$C$110)*0.1</f>
        <v>#N/A</v>
      </c>
      <c r="MQ333" s="172" t="e">
        <f t="shared" ca="1" si="1379"/>
        <v>#DIV/0!</v>
      </c>
      <c r="MR333" s="168" t="e">
        <f t="shared" ca="1" si="1351"/>
        <v>#DIV/0!</v>
      </c>
      <c r="MS333" s="173" t="e">
        <f ca="1">MAX(Control!$C$127, MIN(Control!$C$135, $MR333/MAX(0.0001,$CY333)))</f>
        <v>#DIV/0!</v>
      </c>
      <c r="MT333" s="168" t="e">
        <f ca="1">(Control!$C$128-$MS333)*Control!$C$74</f>
        <v>#DIV/0!</v>
      </c>
      <c r="MU333" s="168" t="e">
        <f ca="1">(Control!$C$135-$MS333)*Control!$C$74</f>
        <v>#DIV/0!</v>
      </c>
      <c r="MV333" s="168" t="e">
        <f t="shared" ca="1" si="1352"/>
        <v>#DIV/0!</v>
      </c>
      <c r="MW333" s="168" t="e">
        <f t="shared" ca="1" si="1353"/>
        <v>#DIV/0!</v>
      </c>
      <c r="MX333" s="171" t="e">
        <f ca="1">MAX(Control!$C$127, MIN(Control!$C$135, $MW333/MAX(0.0001,Control!$C$119-$CY333)))</f>
        <v>#DIV/0!</v>
      </c>
      <c r="MY333" s="54" t="e">
        <f ca="1">IF(Control!$C$114=1, $CX333*$MX333, 0)</f>
        <v>#DIV/0!</v>
      </c>
      <c r="MZ333" s="54" t="e">
        <f t="shared" ca="1" si="1354"/>
        <v>#N/A</v>
      </c>
      <c r="NA333" s="168" t="e">
        <f ca="1">(Control!$C$128-$MX333)*(Control!$C$119-Control!$C$74)</f>
        <v>#DIV/0!</v>
      </c>
      <c r="NB333" s="168" t="e">
        <f ca="1">(Control!$C$135-$MX333)*(Control!$C$119-Control!$C$74)</f>
        <v>#DIV/0!</v>
      </c>
      <c r="NC333" s="174" t="e">
        <f t="shared" ca="1" si="1355"/>
        <v>#DIV/0!</v>
      </c>
      <c r="ND333" s="54">
        <f ca="1">IF(Control!$C$58=2, IF(OR(Control!$B$218=$AH333,Control!$B$219=$AH333, Control!$B$220=$AH333, Control!$B$221=$AH333, Control!$B$222=$AH333, Control!$B$223=$AH333, Control!$B$224=$AH333, Control!$B$225=$AH333, Control!$B$226=$AH333, Control!$B$227=$AH333, Control!$B$228=$AH333), 1, 0), 0)</f>
        <v>0</v>
      </c>
      <c r="NE333" s="54">
        <f ca="1">IF($ND333=0,0, VLOOKUP($AH333,Control!$B$218:$C$228,2))</f>
        <v>0</v>
      </c>
      <c r="NF333" s="168" t="e">
        <f ca="1">$CY333*(Control!$C$128-Control!$C$127)</f>
        <v>#N/A</v>
      </c>
      <c r="NG333" s="54" t="e">
        <f ca="1">IF(Control!$C$58=2, $NI332-$NJ332, 0)</f>
        <v>#DIV/0!</v>
      </c>
      <c r="NH333" s="54" t="e">
        <f ca="1">IF(AND(Control!$C$58=1, $MS332&lt;= ($MN332+0.02), $I332&lt;10), 0, IF(Control!$C$58=2, $NG332, 0))</f>
        <v>#DIV/0!</v>
      </c>
      <c r="NI333" s="54" t="e">
        <f ca="1">IF(Control!$C$58=2, $NE333+$NH333,0)</f>
        <v>#DIV/0!</v>
      </c>
      <c r="NJ333" s="54" t="e">
        <f ca="1">IF(AND(Control!$C$58=1, $MS333&lt;= ($MN333+0.02), $I333&lt;10), MAX(0, MIN(10, 0.7*($NF333-$MV333))), IF(Control!$C$58=2, MIN(10,$NI333),0))</f>
        <v>#DIV/0!</v>
      </c>
      <c r="NK333" s="54" t="e">
        <f t="shared" ca="1" si="1263"/>
        <v>#DIV/0!</v>
      </c>
      <c r="NL333" s="173" t="e">
        <f ca="1">(1-Control!$C$73)*$I333+$NJ333</f>
        <v>#DIV/0!</v>
      </c>
      <c r="NM333" s="172" t="e">
        <f ca="1">IF($NL333&lt;0.5, $MB333* MAX(0, MIN(1, (SQRT($NC333)-SQRT($NC333-1))*Control!$C$71)),0)</f>
        <v>#DIV/0!</v>
      </c>
      <c r="NN333" s="170" t="e">
        <f ca="1">IF($NL333&gt;=5, $MB333, MAX(0,MIN($MB333, $NM333+$NL333,($MS333-Control!$C$129))))</f>
        <v>#DIV/0!</v>
      </c>
      <c r="NO333" s="54">
        <f>IF(Control!$C$133&lt;&gt;1, Control!$C$135-Control!$C$131, 0)</f>
        <v>0.38</v>
      </c>
      <c r="NP333" s="54" t="e">
        <f t="shared" ca="1" si="1264"/>
        <v>#DIV/0!</v>
      </c>
      <c r="NQ333" s="173" t="e">
        <f ca="1">MAX(0,MIN(1,(Control!$C$135-$MS333)/(Control!$C$135-$NO333)))</f>
        <v>#DIV/0!</v>
      </c>
      <c r="NR333" s="170" t="e">
        <f ca="1">IF(Control!$C$133&lt;&gt;1, $NQ333+((1-$NP333/4)*(1-$NQ333)),1)</f>
        <v>#DIV/0!</v>
      </c>
      <c r="NS333" s="170" t="e">
        <f ca="1">IF(Control!$B$31=0,$MJ333,MAX(0,MIN($MV333,$MO333*$NR333*$MJ333)))</f>
        <v>#DIV/0!</v>
      </c>
      <c r="NT333" s="170" t="e">
        <f t="shared" ca="1" si="1380"/>
        <v>#DIV/0!</v>
      </c>
      <c r="NU333" s="170" t="e">
        <f t="shared" ca="1" si="1356"/>
        <v>#N/A</v>
      </c>
      <c r="NV333" s="170" t="e">
        <f t="shared" ca="1" si="1265"/>
        <v>#N/A</v>
      </c>
      <c r="NW333" s="175" t="e">
        <f t="shared" ca="1" si="1266"/>
        <v>#DIV/0!</v>
      </c>
      <c r="NX333" s="170" t="e">
        <f ca="1">MIN(Control!$C$72+$MU333, $NW333)</f>
        <v>#DIV/0!</v>
      </c>
      <c r="NY333" s="170" t="e">
        <f ca="1">IF($MT333&lt;=$NX333,MIN(Control!$C$72+$NB333,$NX333-$MT333),0)</f>
        <v>#DIV/0!</v>
      </c>
      <c r="NZ333" s="54" t="e">
        <f ca="1">IF(Control!$C$114=1,  $CX333*($MX333-Control!$C$127), 0)</f>
        <v>#DIV/0!</v>
      </c>
      <c r="OA333" s="170" t="e">
        <f t="shared" ca="1" si="1267"/>
        <v>#DIV/0!</v>
      </c>
      <c r="OB333" s="170" t="e">
        <f ca="1">IF($NA333 &lt;=$NY333, MIN(Control!$C$72, $NY333-$NA333), 0)</f>
        <v>#DIV/0!</v>
      </c>
      <c r="OC333" s="168" t="e">
        <f t="shared" ca="1" si="1268"/>
        <v>#DIV/0!</v>
      </c>
      <c r="OD333" s="168" t="e">
        <f t="shared" ca="1" si="1357"/>
        <v>#DIV/0!</v>
      </c>
      <c r="OE333" s="170">
        <f ca="1">Control!$C$73*$I333</f>
        <v>0</v>
      </c>
      <c r="OF333" s="176" t="e">
        <f t="shared" ca="1" si="1269"/>
        <v>#DIV/0!</v>
      </c>
      <c r="OG333" s="168" t="e">
        <f t="shared" ca="1" si="1270"/>
        <v>#DIV/0!</v>
      </c>
      <c r="OH333" s="168" t="e">
        <f t="shared" ca="1" si="1271"/>
        <v>#DIV/0!</v>
      </c>
      <c r="OI333" s="168" t="e">
        <f t="shared" ca="1" si="1272"/>
        <v>#DIV/0!</v>
      </c>
      <c r="OJ333" s="168" t="e">
        <f t="shared" ca="1" si="1273"/>
        <v>#DIV/0!</v>
      </c>
      <c r="OK333" s="204" t="e">
        <f t="shared" ca="1" si="1274"/>
        <v>#DIV/0!</v>
      </c>
      <c r="OL333" s="177">
        <f>Control!$C$127</f>
        <v>0.15</v>
      </c>
      <c r="OM333" s="182" t="e">
        <f t="shared" ca="1" si="1275"/>
        <v>#N/A</v>
      </c>
      <c r="ON333" s="177">
        <f>Control!$C$128</f>
        <v>0.35</v>
      </c>
      <c r="OO333" s="182" t="e">
        <f t="shared" ca="1" si="1276"/>
        <v>#N/A</v>
      </c>
      <c r="OP333" s="138">
        <f t="shared" ca="1" si="1358"/>
        <v>0</v>
      </c>
      <c r="OQ333" s="138" t="e">
        <f t="shared" ca="1" si="1381"/>
        <v>#DIV/0!</v>
      </c>
      <c r="OR333" s="138" t="e">
        <f t="shared" ca="1" si="1359"/>
        <v>#DIV/0!</v>
      </c>
      <c r="OS333" s="137" t="e">
        <f t="shared" ca="1" si="1382"/>
        <v>#DIV/0!</v>
      </c>
      <c r="OT333" s="139" t="e">
        <f t="shared" ca="1" si="1383"/>
        <v>#DIV/0!</v>
      </c>
      <c r="OU333" s="138" t="e">
        <f t="shared" ca="1" si="1384"/>
        <v>#N/A</v>
      </c>
      <c r="OV333" s="138" t="e">
        <f t="shared" ca="1" si="1385"/>
        <v>#DIV/0!</v>
      </c>
      <c r="OW333" s="138" t="e">
        <f t="shared" ca="1" si="1360"/>
        <v>#DIV/0!</v>
      </c>
      <c r="OX333" s="138" t="e">
        <f t="shared" ca="1" si="1361"/>
        <v>#DIV/0!</v>
      </c>
      <c r="OY333" s="138" t="e">
        <f t="shared" ca="1" si="1362"/>
        <v>#DIV/0!</v>
      </c>
      <c r="OZ333" s="138" t="e">
        <f t="shared" ca="1" si="1277"/>
        <v>#DIV/0!</v>
      </c>
      <c r="PA333" s="138" t="e">
        <f t="shared" ca="1" si="1278"/>
        <v>#DIV/0!</v>
      </c>
      <c r="PB333" s="55">
        <f>IF(Control!$C$61="T", IF(Control!$C$65="F", IF($AH$6-Control!$C$60&lt;0,0,1), IF(365+$AH$6-Control!$C$60&lt;0,0,1)),0)</f>
        <v>0</v>
      </c>
      <c r="PC333" s="55">
        <f ca="1">IF(Control!$C$65="F", IF($AH$6-$HF333&lt;0,0,1), IF(365+$AH$6-$HF333&lt;0,0,1))</f>
        <v>1</v>
      </c>
      <c r="PD333" s="444">
        <f>Control!$C$118</f>
        <v>1500</v>
      </c>
      <c r="PE333" s="180" t="e">
        <f t="shared" ca="1" si="1279"/>
        <v>#N/A</v>
      </c>
      <c r="PF333" s="445">
        <f t="shared" ca="1" si="1363"/>
        <v>0.71612369323045078</v>
      </c>
      <c r="PT333" s="186"/>
      <c r="PU333" s="186"/>
      <c r="PV333" s="94"/>
      <c r="PW333" s="94"/>
      <c r="PX333" s="94"/>
      <c r="PY333" s="94"/>
      <c r="PZ333" s="94"/>
      <c r="QA333" s="94"/>
      <c r="QB333" s="94"/>
      <c r="QC333" s="94"/>
      <c r="QD333" s="94"/>
      <c r="QE333" s="94"/>
      <c r="QF333" s="94"/>
      <c r="QG333" s="94"/>
      <c r="QH333" s="94"/>
      <c r="QI333" s="94"/>
      <c r="QJ333" s="94"/>
      <c r="QK333" s="94"/>
      <c r="QL333" s="94"/>
      <c r="QM333" s="94"/>
      <c r="QN333" s="94"/>
      <c r="QO333" s="94"/>
      <c r="QP333" s="94"/>
    </row>
    <row r="334" spans="1:458" s="2" customFormat="1" x14ac:dyDescent="0.2">
      <c r="A334" s="395">
        <v>25</v>
      </c>
      <c r="B334" s="396">
        <v>11</v>
      </c>
      <c r="C334" s="387">
        <f ca="1">Weather_data!$B333</f>
        <v>0</v>
      </c>
      <c r="D334" s="388">
        <f ca="1">Weather_data!$F333</f>
        <v>0</v>
      </c>
      <c r="E334" s="388">
        <f ca="1">Weather_data!$E333</f>
        <v>0</v>
      </c>
      <c r="F334" s="388">
        <f t="shared" ca="1" si="1280"/>
        <v>0</v>
      </c>
      <c r="G334" s="388">
        <f ca="1">AVERAGE($D334:$E334)+Control!$B$9</f>
        <v>0</v>
      </c>
      <c r="H334" s="388">
        <f ca="1">Weather_data!$G333</f>
        <v>0</v>
      </c>
      <c r="I334" s="388">
        <f ca="1">Weather_data!$I333</f>
        <v>0</v>
      </c>
      <c r="J334" s="388">
        <f ca="1">Weather_data!$H333</f>
        <v>0</v>
      </c>
      <c r="K334" s="389">
        <f ca="1">Weather_data!$D333</f>
        <v>0</v>
      </c>
      <c r="L334" s="388" t="e">
        <f t="shared" ca="1" si="1281"/>
        <v>#N/A</v>
      </c>
      <c r="M334" s="388" t="e">
        <f t="shared" ca="1" si="1158"/>
        <v>#N/A</v>
      </c>
      <c r="N334" s="388">
        <f t="shared" ca="1" si="1159"/>
        <v>-4.9035781414625148E-16</v>
      </c>
      <c r="O334" s="388">
        <f t="shared" ca="1" si="1282"/>
        <v>4.9035781414625152E-15</v>
      </c>
      <c r="P334" s="390">
        <v>3</v>
      </c>
      <c r="Q334" s="388">
        <f ca="1">MAX($G334-Control!$C$107,0)</f>
        <v>0</v>
      </c>
      <c r="R334" s="388">
        <f t="shared" ca="1" si="1283"/>
        <v>0</v>
      </c>
      <c r="S334" s="388">
        <f t="shared" ca="1" si="1160"/>
        <v>0</v>
      </c>
      <c r="T334" s="388">
        <f t="shared" ca="1" si="1161"/>
        <v>0</v>
      </c>
      <c r="U334" s="59">
        <f t="shared" ca="1" si="1162"/>
        <v>0</v>
      </c>
      <c r="V334" s="391">
        <f ca="1">MAX(0,MIN(Control!$C$100-Control!$C$99,$G334-Control!$C$99)*Control!$C$63)</f>
        <v>0</v>
      </c>
      <c r="W334" s="388">
        <f t="shared" ca="1" si="1284"/>
        <v>0</v>
      </c>
      <c r="X334" s="388">
        <f t="shared" ca="1" si="1285"/>
        <v>0.6110000000000001</v>
      </c>
      <c r="Y334" s="388">
        <f t="shared" ca="1" si="1163"/>
        <v>0</v>
      </c>
      <c r="Z334" s="388">
        <f t="shared" ca="1" si="1286"/>
        <v>0.61058800000000002</v>
      </c>
      <c r="AA334" s="388">
        <f t="shared" ca="1" si="1164"/>
        <v>0.6018</v>
      </c>
      <c r="AB334" s="388">
        <f ca="1">101.3*EXP(-0.034*Control!$C$66/($G334+273))</f>
        <v>100.69623283836242</v>
      </c>
      <c r="AC334" s="392">
        <f t="shared" ca="1" si="1165"/>
        <v>4.3460251046025113E-2</v>
      </c>
      <c r="AD334" s="392">
        <f t="shared" ca="1" si="1166"/>
        <v>4.4450382862832649E-2</v>
      </c>
      <c r="AE334" s="388">
        <f t="shared" ca="1" si="1167"/>
        <v>0</v>
      </c>
      <c r="AF334" s="388">
        <f ca="1">MAX(0,$G334-Control!$C$92)</f>
        <v>0</v>
      </c>
      <c r="AG334" s="393">
        <f t="shared" ca="1" si="1168"/>
        <v>330</v>
      </c>
      <c r="AH334" s="389">
        <f t="shared" ca="1" si="1169"/>
        <v>330</v>
      </c>
      <c r="AI334" s="388">
        <f t="shared" ca="1" si="1287"/>
        <v>-0.37005402998937709</v>
      </c>
      <c r="AJ334" s="388">
        <f ca="1">IF(Control!$C$60&lt;=0,$HH334,$HI334)</f>
        <v>1</v>
      </c>
      <c r="AK334" s="388">
        <f t="shared" ca="1" si="1170"/>
        <v>4.30355158025999</v>
      </c>
      <c r="AL334" s="388">
        <f t="shared" ca="1" si="1171"/>
        <v>-2.5246662399558418E-17</v>
      </c>
      <c r="AM334" s="388">
        <f t="shared" ca="1" si="1172"/>
        <v>4.30355158025999</v>
      </c>
      <c r="AN334" s="388">
        <f t="shared" ca="1" si="1173"/>
        <v>-0.37364866384121476</v>
      </c>
      <c r="AO334" s="388">
        <f ca="1">-0.10453/COS(Control!$B$8*PI()/180)*COS(AN334)</f>
        <v>-0.15807000223624246</v>
      </c>
      <c r="AP334" s="388">
        <f ca="1">ACOS(AO334-TAN(Control!$B$8*PI()/180)*TAN(AN334))</f>
        <v>1.2198863455942752</v>
      </c>
      <c r="AQ334" s="388">
        <f t="shared" ca="1" si="1288"/>
        <v>0</v>
      </c>
      <c r="AR334" s="394">
        <f t="shared" ca="1" si="1174"/>
        <v>0</v>
      </c>
      <c r="AS334" s="436">
        <f ca="1">IF(Control!$B$18=2,(IF(OR($AH334=Control!$B$175,$AH334=Control!$B$176,$AH334=Control!$B$177,$AH334=Control!$B$178,$AH334=Control!$B$179,$AH334=Control!$B$180,$AH334=Control!$B$181,$AH334=Control!$B$182,$AH334=Control!$B$183,$AH334=Control!$B$184,$AH334=Control!$B$185),1,0)),0)</f>
        <v>0</v>
      </c>
      <c r="AT334" s="436">
        <f>IF(Control!$B$20=8,IF(AND($AH334&gt;=Control!$B$172,$AH334&lt;=Control!$B$173),1,0),0)</f>
        <v>0</v>
      </c>
      <c r="AU334" s="436">
        <f>IF(Control!$B$20=8,IF($AV333=1,1*$AT334,IF($AT334=1,$AU333+1,$AU333)),0)</f>
        <v>0</v>
      </c>
      <c r="AV334" s="436">
        <f>IF(Control!$B$20=8,IF($AU334&gt;=Control!$B$174,1,0),0)</f>
        <v>0</v>
      </c>
      <c r="AW334" s="436">
        <f ca="1">IF(AND(Control!$B$18=2,Control!$B$171=1), $AV334, $AS334)</f>
        <v>0</v>
      </c>
      <c r="AX334" s="436" t="e">
        <f ca="1">IF(AND(Control!$B$18=1,$EU334&gt;=Control!$B$19),-$AY334,IF(AND(Control!$B$18=2,$AW334=1,$EU334&gt;$DS334),-$AY334, IF(Control!$C$108=0,0, IF(Control!$C$108&lt;&gt;0,1))))</f>
        <v>#N/A</v>
      </c>
      <c r="AY334" s="436" t="e">
        <f t="shared" ca="1" si="1289"/>
        <v>#N/A</v>
      </c>
      <c r="AZ334" s="436" t="e">
        <f ca="1">IF(AND(Control!$B$18=1,$EB334&gt;Control!$B$19),$AZ333+1, IF(AND(Control!$B$18=2, $AW334=1, $EB334&gt;$DS334), $AZ333+1,$AZ333))</f>
        <v>#N/A</v>
      </c>
      <c r="BA334" s="587">
        <f>IF(Control!$C$81=0,1,IF($AH334&gt;=Control!$C$82,1,0))</f>
        <v>1</v>
      </c>
      <c r="BB334" s="140" t="e">
        <f ca="1">IF($BA334&gt;$BA333,Control!$C$83,IF($AW334&gt;0,$AW334*Control!$C$84,IF(AND(Control!$B$18=1,EN333&lt;&gt;0),Control!$C$84,0)))</f>
        <v>#N/A</v>
      </c>
      <c r="BC334" s="140" t="e">
        <f t="shared" ca="1" si="1290"/>
        <v>#N/A</v>
      </c>
      <c r="BD334" s="140" t="e">
        <f ca="1">BC334*IF(OR($G334&lt;Control!$C$92,$G334&gt;Control!$C$95),0,IF(AND($G334&gt;=Control!$C$92,$G334&lt;=Control!$C$93),$G334-Control!$C$92,IF(AND($G334&gt;Control!$C$93,$G334&lt;=Control!$C$94),Control!$C$93-Control!$C$92,IF(AND($G334&gt;Control!$C$94,$G334&lt;=Control!$C$95),(Control!$C$93-Control!$C$92)*(Control!$C$94-$G334)/(Control!$C$95-Control!$C$94)))))</f>
        <v>#N/A</v>
      </c>
      <c r="BE334" s="140" t="e">
        <f t="shared" ca="1" si="1291"/>
        <v>#N/A</v>
      </c>
      <c r="BF334" s="140" t="e">
        <f ca="1">IF($BE334&lt;=Control!$C$86,$BE334,Control!$C$86-$BE334)</f>
        <v>#N/A</v>
      </c>
      <c r="BG334" s="140" t="e">
        <f ca="1">IF(AND($AW334=1,Control!$C$84&lt;9),1,IF($BE334&gt;=Control!$C$86,0,$BC334))</f>
        <v>#N/A</v>
      </c>
      <c r="BH334" s="404" t="e">
        <f ca="1">IF($BG334=0,0,IF($BE334&lt;=Control!$C$86,$BC334*9*($BF334/Control!$C$86),0))</f>
        <v>#N/A</v>
      </c>
      <c r="BI334" s="140" t="e">
        <f ca="1">IF($BG334=1,0,IF($BE334&gt;=Control!$C$86,1,IF(AND($BB334&lt;21,$BB334&gt;=9),1,$BM333)))</f>
        <v>#N/A</v>
      </c>
      <c r="BJ334" s="140" t="e">
        <f ca="1">IF($BF334&lt;0,-$BF334,$BI334*IF(OR($G334&lt;Control!$C$92,$G334&gt;Control!$C$95),0,IF(AND($G334&gt;=Control!$C$92,$G334&lt;=Control!$C$93),$G334-Control!$C$92,IF(AND($G334&gt;Control!$C$93,$G334&lt;=Control!$C$94),Control!$C$93-Control!$C$92,IF(AND($G334&gt;Control!$C$94,$G334&lt;=Control!$C$95),(Control!$C$93-Control!$C$92)*(Control!$C$94-$G334)/(Control!$C$95-Control!$C$94))))))</f>
        <v>#N/A</v>
      </c>
      <c r="BK334" s="140" t="e">
        <f t="shared" ca="1" si="1292"/>
        <v>#N/A</v>
      </c>
      <c r="BL334" s="140" t="e">
        <f ca="1">IF($BK334&lt;=Control!$C$87,$BK334,Control!$C$87-$BK334)</f>
        <v>#N/A</v>
      </c>
      <c r="BM334" s="140" t="e">
        <f ca="1">IF(AND($BB334&gt;=9,$BB334&lt;21),1,IF($BK334&gt;=Control!$C$87,0,$BI334))</f>
        <v>#N/A</v>
      </c>
      <c r="BN334" s="404" t="e">
        <f ca="1">IF($BM334=0,0,IF($BK334&lt;=Control!$C$87,$BI334*(9+(21-9)*($BL334/Control!$C$87)),0))</f>
        <v>#N/A</v>
      </c>
      <c r="BO334" s="140" t="e">
        <f ca="1">IF($BM334=1,0,IF($BK334&gt;=Control!$C$87,1,IF(AND($BB334&lt;30,$BB334&gt;=21),1,$BS333)))</f>
        <v>#N/A</v>
      </c>
      <c r="BP334" s="140" t="e">
        <f ca="1">IF($BL334&lt;0,-$BL334,$BO334*IF(OR($G334&lt;Control!$C$92,$G334&gt;Control!$C$95),0,IF(AND($G334&gt;=Control!$C$92,$G334&lt;=Control!$C$93),$G334-Control!$C$92,IF(AND($G334&gt;Control!$C$93,$G334&lt;=Control!$C$94),Control!$C$93-Control!$C$92,IF(AND($G334&gt;Control!$C$94,$G334&lt;=Control!$C$95),(Control!$C$93-Control!$C$92)*(Control!$C$94-$G334)/(Control!$C$95-Control!$C$94))))))</f>
        <v>#N/A</v>
      </c>
      <c r="BQ334" s="140" t="e">
        <f t="shared" ca="1" si="1175"/>
        <v>#N/A</v>
      </c>
      <c r="BR334" s="140" t="e">
        <f ca="1">IF($BQ334&lt;=Control!$C$88,$BQ334,Control!$C$88-$BQ334)</f>
        <v>#N/A</v>
      </c>
      <c r="BS334" s="140" t="e">
        <f ca="1">IF(AND($BB334&gt;=21,$BB334&lt;30),1,IF($BQ334&gt;=Control!$C$88,0,$BO334))</f>
        <v>#N/A</v>
      </c>
      <c r="BT334" s="404" t="e">
        <f ca="1">IF($BS334=0,0,IF($BQ334&lt;=Control!$C$88,$BO334*(21+(30-21)*(BR334/Control!$C$88)),0))</f>
        <v>#N/A</v>
      </c>
      <c r="BU334" s="140" t="e">
        <f ca="1">IF(BG334+BM334+BS334=1,0,IF(OR(AND($BB334&lt;60,$BB334&gt;=30),$BQ334&gt;=Control!$C$88),1*$BA334,$BY333))</f>
        <v>#N/A</v>
      </c>
      <c r="BV334" s="140" t="e">
        <f ca="1">IF($BR334&lt;0,-$BR334,$BU334*IF(OR($G334&lt;Control!$C$92,$G334&gt;Control!$C$95),0,IF(AND($G334&gt;=Control!$C$92,$G334&lt;=Control!$C$93),$G334-Control!$C$92,IF(AND($G334&gt;Control!$C$93,$G334&lt;=Control!$C$94),Control!$C$93-Control!$C$92,IF(AND($G334&gt;Control!$C$94,$G334&lt;=Control!$C$95),(Control!$C$93-Control!$C$92)*(Control!$C$94-$G334)/(Control!$C$95-Control!$C$94))))))</f>
        <v>#N/A</v>
      </c>
      <c r="BW334" s="140" t="e">
        <f t="shared" ca="1" si="1176"/>
        <v>#N/A</v>
      </c>
      <c r="BX334" s="140" t="e">
        <f ca="1">IF($BW334&lt;=Control!$C$89,$BW334,Control!$C$89-$BW334)</f>
        <v>#N/A</v>
      </c>
      <c r="BY334" s="140" t="e">
        <f ca="1">IF(AND($AJ334&gt;=30,$AJ334&lt;60),1,IF($BW334&gt;=Control!$C$89,0,$BU334))</f>
        <v>#N/A</v>
      </c>
      <c r="BZ334" s="404" t="e">
        <f ca="1">IF($BY334=0,0,IF($BW334&lt;=Control!$C$89,$BU334*(30+(60-30)*(BX334/Control!$C$89)),0))</f>
        <v>#N/A</v>
      </c>
      <c r="CA334" s="140" t="e">
        <f ca="1">IF($BG334+$BM334+$BS334+$BY334=1,0,IF(OR(AND($BB334&lt;65,$BB334&gt;=60),$BW334&gt;=Control!$C$89),1*$BA334,$CE333))</f>
        <v>#N/A</v>
      </c>
      <c r="CB334" s="140" t="e">
        <f ca="1">IF($BX334&lt;0,-$BX334,$CA334*IF(OR($G334&lt;Control!$C$92,$G334&gt;Control!$C$95),0,IF(AND($G334&gt;=Control!$C$92,$G334&lt;=Control!$C$93),$G334-Control!$C$92,IF(AND($G334&gt;Control!$C$93,$G334&lt;=Control!$C$94),Control!$C$93-Control!$C$92,IF(AND($G334&gt;Control!$C$94,$G334&lt;=Control!$C$95),(Control!$C$93-Control!$C$92)*(Control!$C$94-$G334)/(Control!$C$95-Control!$C$94))))))</f>
        <v>#N/A</v>
      </c>
      <c r="CC334" s="140" t="e">
        <f t="shared" ca="1" si="1293"/>
        <v>#N/A</v>
      </c>
      <c r="CD334" s="140" t="e">
        <f ca="1">IF($CC334&lt;=Control!$C$90,$CC334,Control!$C$90-$CC334)</f>
        <v>#N/A</v>
      </c>
      <c r="CE334" s="140" t="e">
        <f ca="1">IF(AND($BB334&gt;=60,$BB334&lt;65),1,IF($CC334&gt;=Control!$C$90,0,$CA334))</f>
        <v>#N/A</v>
      </c>
      <c r="CF334" s="404" t="e">
        <f ca="1">IF($CE334=0,0,IF($CC334&lt;=Control!$C$90,$CA334*(60+(65-60)*(CD334/Control!$C$90)),0))</f>
        <v>#N/A</v>
      </c>
      <c r="CG334" s="140" t="e">
        <f ca="1">IF($BG334+$BM334+$BS334+$BY334+$CE334=1,0,IF(OR(AND($BB334&lt;90,$BB334&gt;=65),$CC334&gt;=Control!$C$90),$BA334,$CK333))</f>
        <v>#N/A</v>
      </c>
      <c r="CH334" s="140" t="e">
        <f ca="1">IF($CD334&lt;0,-$CD334,$CG334*IF(OR($G334&lt;Control!$C$92,$G334&gt;Control!$C$95),0,IF(AND($G334&gt;=Control!$C$92,$G334&lt;=Control!$C$93),$G334-Control!$C$92,IF(AND($G334&gt;Control!$C$93,$G334&lt;=Control!$C$94),Control!$C$93-Control!$C$92,IF(AND($G334&gt;Control!$C$94,$G334&lt;=Control!$C$95),(Control!$C$93-Control!$C$92)*(Control!$C$94-$G334)/(Control!$C$95-Control!$C$94))))))</f>
        <v>#N/A</v>
      </c>
      <c r="CI334" s="140" t="e">
        <f t="shared" ca="1" si="1294"/>
        <v>#N/A</v>
      </c>
      <c r="CJ334" s="140" t="e">
        <f ca="1">IF($CI334&lt;=Control!$C$91,$CI334,Control!$C$91-$CI334)</f>
        <v>#N/A</v>
      </c>
      <c r="CK334" s="140" t="e">
        <f ca="1">IF(AND($BB334&gt;=65,$BB334&lt;90),1,IF($CI334&gt;=Control!$C$91,0,$CG334))</f>
        <v>#N/A</v>
      </c>
      <c r="CL334" s="404" t="e">
        <f ca="1">IF($CK334=0,0,IF($CI334&lt;=Control!$C$91,$CG334*(65+(90-65)*($CJ334/Control!$C$91)),0))</f>
        <v>#N/A</v>
      </c>
      <c r="CM334" s="140" t="e">
        <f ca="1">IF($BG334+$BM334+$BS334+$BY334+$CE334+$CK334=1,0,IF(OR($BB334&gt;=90,$CI334&gt;=Control!$C$91),$BA334,$CM333))</f>
        <v>#N/A</v>
      </c>
      <c r="CN334" s="140" t="e">
        <f t="shared" ca="1" si="1295"/>
        <v>#N/A</v>
      </c>
      <c r="CO334" s="140" t="e">
        <f t="shared" ca="1" si="1296"/>
        <v>#N/A</v>
      </c>
      <c r="CP334" s="140" t="e">
        <f t="shared" ca="1" si="1297"/>
        <v>#N/A</v>
      </c>
      <c r="CQ334" s="141" t="e">
        <f ca="1">VLOOKUP($CP334,Control!$B$86:$G$91,6)</f>
        <v>#N/A</v>
      </c>
      <c r="CR334" s="141" t="e">
        <f ca="1">(1-$CQ334)*VLOOKUP($CP334,Control!$B$86:$D$91,3)</f>
        <v>#N/A</v>
      </c>
      <c r="CS334" s="141" t="e">
        <f ca="1">(1-$CQ334)*VLOOKUP($CP334,Control!$B$86:$E$91,4)</f>
        <v>#N/A</v>
      </c>
      <c r="CT334" s="141" t="e">
        <f ca="1">(1-$CQ334)*VLOOKUP($CP334,Control!$B$86:$F$91,5)</f>
        <v>#N/A</v>
      </c>
      <c r="CU334" s="141">
        <f t="shared" ca="1" si="1298"/>
        <v>0</v>
      </c>
      <c r="CV334" s="583">
        <f t="shared" ca="1" si="1299"/>
        <v>0</v>
      </c>
      <c r="CW334" s="142">
        <f t="shared" ca="1" si="1300"/>
        <v>330</v>
      </c>
      <c r="CX334" s="612" t="e">
        <f ca="1">IF(Control!$C$114=1,(MIN(Control!$C$120*(IF($NT334-0.01&lt;0,0,1)),Control!$C$119-$CY334)))</f>
        <v>#DIV/0!</v>
      </c>
      <c r="CY334" s="143" t="e">
        <f t="shared" ca="1" si="1301"/>
        <v>#N/A</v>
      </c>
      <c r="CZ334" s="144">
        <f t="shared" ca="1" si="1177"/>
        <v>0</v>
      </c>
      <c r="DA334" s="144">
        <f t="shared" ca="1" si="1178"/>
        <v>0</v>
      </c>
      <c r="DB334" s="144" t="e">
        <f t="shared" ca="1" si="1179"/>
        <v>#N/A</v>
      </c>
      <c r="DC334" s="144" t="e">
        <f t="shared" ca="1" si="1180"/>
        <v>#N/A</v>
      </c>
      <c r="DD334" s="144" t="e">
        <f t="shared" ca="1" si="1386"/>
        <v>#N/A</v>
      </c>
      <c r="DE334" s="143" t="e">
        <f t="shared" ca="1" si="1302"/>
        <v>#N/A</v>
      </c>
      <c r="DF334" s="145" t="e">
        <f ca="1">$DR334*EXP(-Control!$C$158*(1-$KH334))</f>
        <v>#N/A</v>
      </c>
      <c r="DG334" s="146" t="e">
        <f ca="1">IF(Control!$C$114=1, $DF334*$EY334, 0)</f>
        <v>#N/A</v>
      </c>
      <c r="DH334" s="147" t="e">
        <f t="shared" ca="1" si="1303"/>
        <v>#N/A</v>
      </c>
      <c r="DI334" s="144" t="e">
        <f t="shared" ca="1" si="1364"/>
        <v>#N/A</v>
      </c>
      <c r="DJ334" s="147" t="e">
        <f ca="1">$EF334*Control!$C$109</f>
        <v>#N/A</v>
      </c>
      <c r="DK334" s="144" t="e">
        <f t="shared" ca="1" si="1304"/>
        <v>#N/A</v>
      </c>
      <c r="DL334" s="144" t="e">
        <f t="shared" ca="1" si="1181"/>
        <v>#N/A</v>
      </c>
      <c r="DM334" s="144" t="e">
        <f ca="1">IF(Control!$C$114=1, (1-EXP(-Control!$C$96*$DK334))*$AR334, 0)</f>
        <v>#N/A</v>
      </c>
      <c r="DN334" s="144">
        <f t="shared" ca="1" si="1305"/>
        <v>0</v>
      </c>
      <c r="DO334" s="148">
        <f>Control!$C$97</f>
        <v>4</v>
      </c>
      <c r="DP334" s="145" t="e">
        <f t="shared" ca="1" si="1306"/>
        <v>#N/A</v>
      </c>
      <c r="DQ334" s="145" t="e">
        <f ca="1">IF(AND($CP334&gt;=0,$CP334&lt;=90),Control!$C$111,Control!$C$111)</f>
        <v>#N/A</v>
      </c>
      <c r="DR334" s="145" t="e">
        <f t="shared" ca="1" si="1182"/>
        <v>#N/A</v>
      </c>
      <c r="DS334" s="143" t="e">
        <f ca="1">Control!$B$22/$DR334</f>
        <v>#N/A</v>
      </c>
      <c r="DT334" s="149" t="e">
        <f ca="1">IF(AND(Control!$C$114=1,$KH334&lt;1),$IM334*$DF334, 0)</f>
        <v>#N/A</v>
      </c>
      <c r="DU334" s="144" t="e">
        <f t="shared" ca="1" si="1307"/>
        <v>#N/A</v>
      </c>
      <c r="DV334" s="144">
        <f ca="1">IF($G334-Control!$C$107&lt;=0, 0, 0.83*LN(MAX($G334, 3))-0.8924)</f>
        <v>0</v>
      </c>
      <c r="DW334" s="144" t="e">
        <f t="shared" ca="1" si="1183"/>
        <v>#N/A</v>
      </c>
      <c r="DX334" s="150" t="e">
        <f ca="1">MAX(0.01*(1+$CU334/Control!$C$102),0.05*($DK334-Control!$C$97)/Control!$C$97)</f>
        <v>#N/A</v>
      </c>
      <c r="DY334" s="151" t="e">
        <f ca="1">IF(Control!$C$114=1, $DI334*$FS334, 0)</f>
        <v>#N/A</v>
      </c>
      <c r="DZ334" s="196" t="e">
        <f t="shared" ca="1" si="1308"/>
        <v>#N/A</v>
      </c>
      <c r="EA334" s="152">
        <f t="shared" ca="1" si="1309"/>
        <v>330</v>
      </c>
      <c r="EB334" s="153" t="e">
        <f t="shared" ca="1" si="1310"/>
        <v>#N/A</v>
      </c>
      <c r="EC334" s="153" t="e">
        <f t="shared" ca="1" si="1311"/>
        <v>#N/A</v>
      </c>
      <c r="ED334" s="154" t="e">
        <f ca="1">IF(Control!$C$114=1, $HM334*$FY334-$FD334, 0)</f>
        <v>#DIV/0!</v>
      </c>
      <c r="EE334" s="155" t="e">
        <f ca="1">IF(Control!$C$114=1, $HM334*$FZ334-$FF334, 0)</f>
        <v>#DIV/0!</v>
      </c>
      <c r="EF334" s="153" t="e">
        <f t="shared" ca="1" si="1365"/>
        <v>#N/A</v>
      </c>
      <c r="EG334" s="155" t="e">
        <f ca="1">IF(Control!$C$114=1, $GX334*$FW334-$FI334, 0)</f>
        <v>#DIV/0!</v>
      </c>
      <c r="EH334" s="153" t="e">
        <f t="shared" ca="1" si="1312"/>
        <v>#N/A</v>
      </c>
      <c r="EI334" s="156" t="e">
        <f t="shared" ca="1" si="1313"/>
        <v>#N/A</v>
      </c>
      <c r="EJ334" s="155" t="e">
        <f ca="1">IF(Control!$C$114=1, $HM334*$GB334, 0)</f>
        <v>#DIV/0!</v>
      </c>
      <c r="EK334" s="153" t="e">
        <f t="shared" ca="1" si="1366"/>
        <v>#N/A</v>
      </c>
      <c r="EL334" s="153" t="e">
        <f t="shared" ca="1" si="1184"/>
        <v>#N/A</v>
      </c>
      <c r="EM334" s="153" t="e">
        <f t="shared" ca="1" si="1185"/>
        <v>#N/A</v>
      </c>
      <c r="EN334" s="153" t="e">
        <f ca="1">IF(Control!$C$108=1,IF(AND(Control!$B$18=1,$EB334&gt;=Control!$B$19),$EB334-$DS334,IF(AND(Control!$B$18=2,$AW334=1,$EB334&gt;$DS334),$EB334-$DS334,0)))</f>
        <v>#N/A</v>
      </c>
      <c r="EO334" s="153" t="e">
        <f ca="1">IF(Control!$C$108=1,IF(AND(Control!$B$18=1,$EB334&gt;=Control!$B$19),$EF334,IF(AND(Control!$B$18=2,$AW334=1),$EF334,0)))</f>
        <v>#N/A</v>
      </c>
      <c r="EP334" s="153" t="e">
        <f ca="1">IF(Control!$C$108=1,IF(AND(Control!$B$18=1,$EB334&gt;=Control!$B$19),$EK334,IF(AND(Control!$B$18=2,$AW334=1),$EK334,0)))</f>
        <v>#N/A</v>
      </c>
      <c r="EQ334" s="153" t="e">
        <f t="shared" ca="1" si="1314"/>
        <v>#N/A</v>
      </c>
      <c r="ER334" s="153" t="e">
        <f t="shared" ca="1" si="1315"/>
        <v>#N/A</v>
      </c>
      <c r="ES334" s="153" t="e">
        <f t="shared" ca="1" si="1367"/>
        <v>#N/A</v>
      </c>
      <c r="ET334" s="153" t="e">
        <f t="shared" ca="1" si="1368"/>
        <v>#N/A</v>
      </c>
      <c r="EU334" s="153" t="e">
        <f t="shared" ca="1" si="1316"/>
        <v>#N/A</v>
      </c>
      <c r="EV334" s="153" t="e">
        <f t="shared" ca="1" si="1186"/>
        <v>#N/A</v>
      </c>
      <c r="EW334" s="153" t="e">
        <f t="shared" ca="1" si="1187"/>
        <v>#N/A</v>
      </c>
      <c r="EX334" s="153" t="e">
        <f t="shared" ca="1" si="1188"/>
        <v>#N/A</v>
      </c>
      <c r="EY334" s="157" t="e">
        <f t="shared" ca="1" si="1189"/>
        <v>#DIV/0!</v>
      </c>
      <c r="EZ334" s="154" t="e">
        <f t="shared" ca="1" si="1190"/>
        <v>#DIV/0!</v>
      </c>
      <c r="FA334" s="153" t="e">
        <f t="shared" ca="1" si="1317"/>
        <v>#N/A</v>
      </c>
      <c r="FB334" s="153" t="e">
        <f t="shared" ca="1" si="1191"/>
        <v>#N/A</v>
      </c>
      <c r="FC334" s="193" t="e">
        <f t="shared" ca="1" si="1192"/>
        <v>#N/A</v>
      </c>
      <c r="FD334" s="158" t="e">
        <f t="shared" ca="1" si="1318"/>
        <v>#N/A</v>
      </c>
      <c r="FE334" s="158" t="e">
        <f t="shared" ca="1" si="1319"/>
        <v>#N/A</v>
      </c>
      <c r="FF334" s="159" t="e">
        <f t="shared" ca="1" si="1193"/>
        <v>#N/A</v>
      </c>
      <c r="FG334" s="160" t="e">
        <f t="shared" ca="1" si="1320"/>
        <v>#N/A</v>
      </c>
      <c r="FH334" s="158" t="e">
        <f t="shared" ca="1" si="1321"/>
        <v>#N/A</v>
      </c>
      <c r="FI334" s="159" t="e">
        <f t="shared" ca="1" si="1194"/>
        <v>#N/A</v>
      </c>
      <c r="FJ334" s="160" t="e">
        <f t="shared" ca="1" si="1322"/>
        <v>#N/A</v>
      </c>
      <c r="FK334" s="160" t="e">
        <f t="shared" ca="1" si="1195"/>
        <v>#N/A</v>
      </c>
      <c r="FL334" s="160" t="e">
        <f t="shared" ca="1" si="1369"/>
        <v>#N/A</v>
      </c>
      <c r="FM334" s="160" t="e">
        <f t="shared" ca="1" si="1196"/>
        <v>#N/A</v>
      </c>
      <c r="FN334" s="158">
        <f t="shared" ca="1" si="1323"/>
        <v>0.01</v>
      </c>
      <c r="FO334" s="160">
        <f>Control!$C$101</f>
        <v>50</v>
      </c>
      <c r="FP334" s="150" t="e">
        <f t="shared" ca="1" si="1197"/>
        <v>#N/A</v>
      </c>
      <c r="FQ334" s="150" t="e">
        <f ca="1">MAX(0,(Control!$C$112*(($DK334-Control!$C$97)/Control!$C$97)))</f>
        <v>#N/A</v>
      </c>
      <c r="FR334" s="150" t="e">
        <f ca="1">(1-$NT334)*Control!$C$113</f>
        <v>#DIV/0!</v>
      </c>
      <c r="FS334" s="198" t="e">
        <f t="shared" ca="1" si="1198"/>
        <v>#N/A</v>
      </c>
      <c r="FT334" s="161">
        <f t="shared" ca="1" si="1324"/>
        <v>330</v>
      </c>
      <c r="FU334" s="162" t="e">
        <f ca="1">IF(Control!$B$34=1,VLOOKUP($CP334,Control!$B$86:$G$91,6),Control!$B$35)</f>
        <v>#N/A</v>
      </c>
      <c r="FV334" s="162" t="e">
        <f t="shared" ca="1" si="1199"/>
        <v>#DIV/0!</v>
      </c>
      <c r="FW334" s="162" t="e">
        <f ca="1">IF(Control!$B$31=1,$FU334*$FV334,  $FU334)</f>
        <v>#N/A</v>
      </c>
      <c r="FX334" s="162" t="e">
        <f ca="1">IF(Control!$B$34=1,VLOOKUP($CP334,Control!$B$86:$G$91,3),Control!$B$36)</f>
        <v>#N/A</v>
      </c>
      <c r="FY334" s="162" t="e">
        <f t="shared" ca="1" si="1200"/>
        <v>#N/A</v>
      </c>
      <c r="FZ334" s="162" t="e">
        <f ca="1">IF(Control!$B$34=1,VLOOKUP($CP334,Control!$B$86:$G$91,4),Control!$B$37)</f>
        <v>#N/A</v>
      </c>
      <c r="GA334" s="162" t="e">
        <f t="shared" ca="1" si="1201"/>
        <v>#N/A</v>
      </c>
      <c r="GB334" s="162" t="e">
        <f ca="1">IF(Control!$B$34=1,VLOOKUP($CP334,Control!$B$86:$G$91,5),Control!$B$38)</f>
        <v>#N/A</v>
      </c>
      <c r="GC334" s="162" t="e">
        <f t="shared" ca="1" si="1325"/>
        <v>#N/A</v>
      </c>
      <c r="GD334" s="162">
        <f t="shared" ca="1" si="1202"/>
        <v>1</v>
      </c>
      <c r="GE334" s="162">
        <f t="shared" ca="1" si="1203"/>
        <v>1</v>
      </c>
      <c r="GF334" s="162">
        <f ca="1">IF(AND(Control!$C$104=1, Control!$C$62="F"),$GE334,1)</f>
        <v>1</v>
      </c>
      <c r="GG334" s="162" t="e">
        <f ca="1">IF(Control!$B$16=40,0,IF(AND(Control!$B$16&gt;40,Control!$B$16&lt;=360),(Control!$B$16-40)*((1-0)/(360-40)),IF(AND(Control!$B$16&gt;360,Control!$B$16&lt;=720),(1+(Control!$B$16-360)*((1.25-1)/(720-360))),IF(AND(Control!$B$16&gt;720,Control!$B$16&lt;=1000),(1.25+(Control!$B$16-720)*((1.35-1.25)/(1000-720))),IF(AND(Control!$B$16&gt;1000,Control!$B$16&lt;=2000),(1.35+(Control!$B$16-1000)*0))))))</f>
        <v>#N/A</v>
      </c>
      <c r="GH334" s="162" t="e">
        <f t="shared" ca="1" si="1204"/>
        <v>#N/A</v>
      </c>
      <c r="GI334" s="162">
        <f t="shared" ca="1" si="1326"/>
        <v>0</v>
      </c>
      <c r="GJ334" s="162">
        <f t="shared" ca="1" si="1205"/>
        <v>0</v>
      </c>
      <c r="GK334" s="162">
        <f t="shared" ca="1" si="1327"/>
        <v>1</v>
      </c>
      <c r="GL334" s="162">
        <f t="shared" ca="1" si="1206"/>
        <v>1</v>
      </c>
      <c r="GM334" s="162" t="e">
        <f ca="1">MAX(0,MIN(1,1-Control!$C$156*(1.0001-$KH334)^2))</f>
        <v>#N/A</v>
      </c>
      <c r="GN334" s="162" t="e">
        <f ca="1">IF(Control!$B$26=1,$KU334,$KX334)</f>
        <v>#N/A</v>
      </c>
      <c r="GO334" s="162" t="e">
        <f ca="1">IF($CP334&lt;=60,Control!$C$105,IF($CP334&gt;=90,Control!$C$106,Control!$C$105+($CP334-60)*((Control!$C$106-Control!$C$105)/(90-60))))</f>
        <v>#N/A</v>
      </c>
      <c r="GP334" s="162" t="e">
        <f t="shared" ca="1" si="1207"/>
        <v>#N/A</v>
      </c>
      <c r="GQ334" s="162" t="e">
        <f t="shared" ca="1" si="1328"/>
        <v>#N/A</v>
      </c>
      <c r="GR334" s="163" t="e">
        <f t="shared" ca="1" si="1208"/>
        <v>#DIV/0!</v>
      </c>
      <c r="GS334" s="162" t="e">
        <f t="shared" ca="1" si="1209"/>
        <v>#DIV/0!</v>
      </c>
      <c r="GT334" s="164" t="e">
        <f t="shared" ca="1" si="1329"/>
        <v>#N/A</v>
      </c>
      <c r="GU334" s="162" t="e">
        <f t="shared" ca="1" si="1330"/>
        <v>#N/A</v>
      </c>
      <c r="GV334" s="162" t="e">
        <f t="shared" ca="1" si="1210"/>
        <v>#N/A</v>
      </c>
      <c r="GW334" s="162" t="e">
        <f t="shared" ca="1" si="1211"/>
        <v>#DIV/0!</v>
      </c>
      <c r="GX334" s="162" t="e">
        <f t="shared" ca="1" si="1331"/>
        <v>#DIV/0!</v>
      </c>
      <c r="GY334" s="162" t="e">
        <f t="shared" ca="1" si="1332"/>
        <v>#DIV/0!</v>
      </c>
      <c r="GZ334" s="165" t="e">
        <f t="shared" ca="1" si="1212"/>
        <v>#N/A</v>
      </c>
      <c r="HA334" s="162" t="e">
        <f ca="1">IF(Control!$C$114=1, $DI334*$FS334, 0)</f>
        <v>#N/A</v>
      </c>
      <c r="HB334" s="162" t="e">
        <f ca="1">$FA334/Control!$C$64</f>
        <v>#N/A</v>
      </c>
      <c r="HC334" s="162" t="e">
        <f t="shared" ca="1" si="1213"/>
        <v>#DIV/0!</v>
      </c>
      <c r="HD334" s="162">
        <f ca="1">-ASIN(SIN(23.45*Control!$C$139)*COS(2*Control!$C$138*($AH334+10)/365))</f>
        <v>-0.37005402998937709</v>
      </c>
      <c r="HE334" s="165">
        <f t="shared" ca="1" si="1333"/>
        <v>0</v>
      </c>
      <c r="HF334" s="166">
        <f ca="1">IF(AND(Control!$C$61="T",$HE334&gt;=Control!$C$103,Control!$C$114=0),$AH334,Control!$C$59)</f>
        <v>1</v>
      </c>
      <c r="HG334" s="166">
        <f ca="1">IF(AND(Control!$C$61="T",$HE334&gt;=Control!$C$103,Control!$C$114=0),$HF334,Control!$C$59)</f>
        <v>1</v>
      </c>
      <c r="HH334" s="165">
        <f ca="1">IF(AND(OR(Control!$C$60&lt;=0, $AH334= Control!$C$59, Control!$C$60 &gt;0, $AH334 = Control!$C$60)), Control!$C$59, IF(Control!$C$60&gt;0, 0))</f>
        <v>1</v>
      </c>
      <c r="HI334" s="165">
        <f ca="1">IF(AND(OR(Control!$C$60&lt;=0, $AH334= Control!$C$59, Control!$C$60 &gt;0, $AH334 = Control!$C$60)), Control!$C$60, IF(Control!$C$60&lt;=0, 0))</f>
        <v>0</v>
      </c>
      <c r="HJ334" s="166">
        <f ca="1">IF(AND(Control!$C$62="F",$CV334&gt;=Control!$C$102),$AH334,0)</f>
        <v>0</v>
      </c>
      <c r="HK334" s="165" t="e">
        <f t="shared" ca="1" si="1370"/>
        <v>#N/A</v>
      </c>
      <c r="HL334" s="166">
        <f ca="1">IF(AND(Control!$C$61="T",$HE334&gt;=Control!$C$103,Control!$C$114=0),$HF334,0)</f>
        <v>0</v>
      </c>
      <c r="HM334" s="201" t="e">
        <f t="shared" ca="1" si="1214"/>
        <v>#DIV/0!</v>
      </c>
      <c r="HN334" s="215">
        <f t="shared" ca="1" si="1334"/>
        <v>330</v>
      </c>
      <c r="HO334" s="216" t="e">
        <f ca="1">IF(AND($CP334&gt;=0, $CP334&lt;=90), Control!$C$152, Control!$C$152)</f>
        <v>#N/A</v>
      </c>
      <c r="HP334" s="216" t="e">
        <f t="shared" ca="1" si="1215"/>
        <v>#N/A</v>
      </c>
      <c r="HQ334" s="217" t="e">
        <f ca="1">IF(OR(Control!$B$26=1,Control!$B$26=2),$KV334,$KS334)</f>
        <v>#DIV/0!</v>
      </c>
      <c r="HR334" s="218" t="e">
        <f t="shared" ca="1" si="1371"/>
        <v>#DIV/0!</v>
      </c>
      <c r="HS334" s="216" t="e">
        <f ca="1">Control!$C$154*$HP334</f>
        <v>#N/A</v>
      </c>
      <c r="HT334" s="216" t="e">
        <f ca="1">Control!$C$155*$HP334</f>
        <v>#N/A</v>
      </c>
      <c r="HU334" s="217" t="e">
        <f ca="1">Control!$C$161*$FI334</f>
        <v>#N/A</v>
      </c>
      <c r="HV334" s="218" t="e">
        <f t="shared" ca="1" si="1335"/>
        <v>#N/A</v>
      </c>
      <c r="HW334" s="218" t="e">
        <f ca="1">Control!$C$160*$FF334+$IP334*$EO334</f>
        <v>#N/A</v>
      </c>
      <c r="HX334" s="218" t="e">
        <f t="shared" ca="1" si="1372"/>
        <v>#N/A</v>
      </c>
      <c r="HY334" s="219" t="e">
        <f ca="1">IF(Control!$C$114=1, $EB334*$FS334, 0)</f>
        <v>#N/A</v>
      </c>
      <c r="HZ334" s="91" t="e">
        <f t="shared" ca="1" si="1216"/>
        <v>#N/A</v>
      </c>
      <c r="IA334" s="220" t="e">
        <f ca="1">Control!$C$153*$HO334</f>
        <v>#N/A</v>
      </c>
      <c r="IB334" s="218" t="e">
        <f t="shared" ca="1" si="1217"/>
        <v>#N/A</v>
      </c>
      <c r="IC334" s="220" t="e">
        <f ca="1">Control!$C$153*$HT334</f>
        <v>#N/A</v>
      </c>
      <c r="ID334" s="218" t="e">
        <f t="shared" ca="1" si="1218"/>
        <v>#N/A</v>
      </c>
      <c r="IE334" s="221" t="e">
        <f ca="1">($EB334*Control!$C$159+$EF334*Control!$C$160)/(IF($GZ334&lt;&gt;0,$GZ334,1))</f>
        <v>#N/A</v>
      </c>
      <c r="IF334" s="216" t="e">
        <f t="shared" ca="1" si="1219"/>
        <v>#N/A</v>
      </c>
      <c r="IG334" s="91">
        <f ca="1">IF(OR(Control!$B$198=$AH334,Control!$B$199=$AH334, Control!$B$200=$AH334, Control!$B$201=$AH334, Control!$B$202=$AH334, Control!$B$203=$AH334, Control!$B$204=$AH334, Control!$B$205=$AH334, Control!$B$206=$AH334, Control!$B$207=$AH334), 1, 0)</f>
        <v>0</v>
      </c>
      <c r="IH334" s="91">
        <f ca="1">IF($IG334=0,0, VLOOKUP($AH334,Control!$B$198:$C$207,2))</f>
        <v>0</v>
      </c>
      <c r="II334" s="222">
        <f t="shared" ca="1" si="1336"/>
        <v>0</v>
      </c>
      <c r="IJ334" s="91">
        <f>Control!$C$121</f>
        <v>0.7</v>
      </c>
      <c r="IK334" s="218">
        <f t="shared" ca="1" si="1220"/>
        <v>0</v>
      </c>
      <c r="IL334" s="217" t="e">
        <f t="shared" ca="1" si="1373"/>
        <v>#N/A</v>
      </c>
      <c r="IM334" s="223" t="e">
        <f ca="1">IF(AND(Control!$C$114=1,$KH334&lt;1),$EB334*Control!$C$148*(1-$KH334), 0)</f>
        <v>#N/A</v>
      </c>
      <c r="IN334" s="217" t="e">
        <f t="shared" ca="1" si="1221"/>
        <v>#DIV/0!</v>
      </c>
      <c r="IO334" s="91" t="e">
        <f ca="1">MAX(0,$IL334-$EF334*Control!$C$160)</f>
        <v>#N/A</v>
      </c>
      <c r="IP334" s="220" t="e">
        <f t="shared" ca="1" si="1222"/>
        <v>#N/A</v>
      </c>
      <c r="IQ334" s="217" t="e">
        <f t="shared" ca="1" si="1337"/>
        <v>#N/A</v>
      </c>
      <c r="IR334" s="218" t="e">
        <f t="shared" ca="1" si="1223"/>
        <v>#N/A</v>
      </c>
      <c r="IS334" s="217" t="e">
        <f ca="1">Control!$C$159*MAX(0,$FD334-$EN334)</f>
        <v>#N/A</v>
      </c>
      <c r="IT334" s="217" t="e">
        <f t="shared" ca="1" si="1374"/>
        <v>#N/A</v>
      </c>
      <c r="IU334" s="217" t="e">
        <f t="shared" ca="1" si="1338"/>
        <v>#N/A</v>
      </c>
      <c r="IV334" s="217" t="e">
        <f t="shared" ca="1" si="1375"/>
        <v>#N/A</v>
      </c>
      <c r="IW334" s="217" t="e">
        <f ca="1">IF(OR($AW334=1,AND($AW334=0, Control!$B$18=1,$EN334&lt;&gt;0)), $IQ334-$IU334, $IQ334)</f>
        <v>#N/A</v>
      </c>
      <c r="IX334" s="218" t="e">
        <f t="shared" ca="1" si="1224"/>
        <v>#N/A</v>
      </c>
      <c r="IY334" s="218" t="e">
        <f ca="1">MAX(0,$IQ334-$EB334*Control!$C$159)</f>
        <v>#N/A</v>
      </c>
      <c r="IZ334" s="218" t="e">
        <f t="shared" ca="1" si="1225"/>
        <v>#N/A</v>
      </c>
      <c r="JA334" s="216" t="e">
        <f t="shared" ca="1" si="1226"/>
        <v>#N/A</v>
      </c>
      <c r="JB334" s="217" t="e">
        <f t="shared" ca="1" si="1227"/>
        <v>#N/A</v>
      </c>
      <c r="JC334" s="222" t="e">
        <f ca="1">MAX(Control!$C$157*$EK334-$JT334, 0)/Control!$C$162</f>
        <v>#N/A</v>
      </c>
      <c r="JD334" s="218" t="e">
        <f t="shared" ca="1" si="1228"/>
        <v>#N/A</v>
      </c>
      <c r="JE334" s="218" t="e">
        <f t="shared" ca="1" si="1229"/>
        <v>#N/A</v>
      </c>
      <c r="JF334" s="218" t="e">
        <f t="shared" ca="1" si="1339"/>
        <v>#N/A</v>
      </c>
      <c r="JG334" s="218" t="e">
        <f t="shared" ca="1" si="1230"/>
        <v>#N/A</v>
      </c>
      <c r="JH334" s="217" t="e">
        <f t="shared" ca="1" si="1340"/>
        <v>#N/A</v>
      </c>
      <c r="JI334" s="217" t="e">
        <f t="shared" ca="1" si="1341"/>
        <v>#N/A</v>
      </c>
      <c r="JJ334" s="217" t="e">
        <f t="shared" ca="1" si="1376"/>
        <v>#N/A</v>
      </c>
      <c r="JK334" s="217" t="e">
        <f ca="1">IF(Control!$C$114=1,IF(Control!$B$24=0,MAX(0,$JI334)*$GN334/Control!$C$64,(MAX(0,MIN($JI334,$JJ334*$GN334/Control!$C$64),0))))</f>
        <v>#N/A</v>
      </c>
      <c r="JL334" s="217" t="e">
        <f ca="1">$IK334/Control!$C$64-$JK334+$HQ334</f>
        <v>#N/A</v>
      </c>
      <c r="JM334" s="217" t="e">
        <f ca="1">IF(Control!$C$114=1,($JB334/(IF($JI334&lt;&gt;0,$JI334,1)))*$JK334,0)</f>
        <v>#N/A</v>
      </c>
      <c r="JN334" s="217" t="e">
        <f ca="1">IF(Control!$C$114=1,($JG334/(IF($JI334&lt;&gt;0,$JI334,1)))*$JK334, 0)</f>
        <v>#N/A</v>
      </c>
      <c r="JO334" s="218" t="e">
        <f t="shared" ca="1" si="1231"/>
        <v>#N/A</v>
      </c>
      <c r="JP334" s="218" t="e">
        <f ca="1">MIN(($IY334+$IO334)*Control!$C$151, $JF334-$EH334*Control!$C$161)</f>
        <v>#N/A</v>
      </c>
      <c r="JQ334" s="218" t="e">
        <f t="shared" ca="1" si="1232"/>
        <v>#N/A</v>
      </c>
      <c r="JR334" s="217" t="e">
        <f ca="1">IF($CP334-Control!$C$150&lt;0, 0, $JQ334/Control!$C$162)</f>
        <v>#N/A</v>
      </c>
      <c r="JS334" s="218" t="e">
        <f t="shared" ca="1" si="1233"/>
        <v>#N/A</v>
      </c>
      <c r="JT334" s="218" t="e">
        <f t="shared" ca="1" si="1342"/>
        <v>#N/A</v>
      </c>
      <c r="JU334" s="218" t="e">
        <f t="shared" ca="1" si="1234"/>
        <v>#N/A</v>
      </c>
      <c r="JV334" s="218" t="e">
        <f t="shared" ca="1" si="1235"/>
        <v>#N/A</v>
      </c>
      <c r="JW334" s="216" t="e">
        <f t="shared" ca="1" si="1236"/>
        <v>#N/A</v>
      </c>
      <c r="JX334" s="91" t="e">
        <f t="shared" ca="1" si="1237"/>
        <v>#N/A</v>
      </c>
      <c r="JY334" s="218" t="e">
        <f t="shared" ca="1" si="1238"/>
        <v>#N/A</v>
      </c>
      <c r="JZ334" s="217" t="e">
        <f ca="1">IF(Control!$C$114=1,($IZ334/(IF($JI334&lt;&gt;0,$JI334,1)))*$JK334, 0)</f>
        <v>#N/A</v>
      </c>
      <c r="KA334" s="218" t="e">
        <f t="shared" ca="1" si="1377"/>
        <v>#N/A</v>
      </c>
      <c r="KB334" s="218" t="e">
        <f t="shared" ca="1" si="1343"/>
        <v>#N/A</v>
      </c>
      <c r="KC334" s="218" t="e">
        <f t="shared" ca="1" si="1239"/>
        <v>#N/A</v>
      </c>
      <c r="KD334" s="218" t="e">
        <f t="shared" ca="1" si="1240"/>
        <v>#N/A</v>
      </c>
      <c r="KE334" s="218" t="e">
        <f t="shared" ca="1" si="1241"/>
        <v>#N/A</v>
      </c>
      <c r="KF334" s="218" t="e">
        <f t="shared" ca="1" si="1242"/>
        <v>#N/A</v>
      </c>
      <c r="KG334" s="216" t="e">
        <f t="shared" ca="1" si="1243"/>
        <v>#N/A</v>
      </c>
      <c r="KH334" s="221" t="e">
        <f ca="1">IF(Control!$B$24=0,1,MAX(0.001,MIN(1,IF(($IF334-$IE334)&lt;&gt;0,($KG334-$IE334)/($IF334-$IE334),1))))</f>
        <v>#N/A</v>
      </c>
      <c r="KI334" s="222" t="e">
        <f ca="1">IF(Control!$C$114=1, $KI333+ $KH333, 0)</f>
        <v>#N/A</v>
      </c>
      <c r="KJ334" s="217" t="e">
        <f t="shared" ca="1" si="1244"/>
        <v>#N/A</v>
      </c>
      <c r="KK334" s="218" t="e">
        <f t="shared" ca="1" si="1245"/>
        <v>#N/A</v>
      </c>
      <c r="KL334" s="274" t="e">
        <f ca="1">IF(Control!$B$26=3,4000000000*EXP(-8400/($G334+273)),IF(Control!$B$26=4,4000000000*EXP(-8400/($G334+273))*($KT334),0))</f>
        <v>#DIV/0!</v>
      </c>
      <c r="KM334" s="274" t="e">
        <f ca="1">IF(Control!$B$26=3,5600000000000*EXP(-9800/($G334+273)),IF(Control!$B$26=4,5600000000000*EXP(-9800/($G334+273))*$KT334,0))</f>
        <v>#DIV/0!</v>
      </c>
      <c r="KN334" s="454" t="e">
        <f t="shared" ca="1" si="1344"/>
        <v>#DIV/0!</v>
      </c>
      <c r="KO334" s="274" t="e">
        <f t="shared" ca="1" si="1345"/>
        <v>#DIV/0!</v>
      </c>
      <c r="KP334" s="454" t="e">
        <f t="shared" ca="1" si="1246"/>
        <v>#DIV/0!</v>
      </c>
      <c r="KQ334" s="454" t="e">
        <f t="shared" ca="1" si="1247"/>
        <v>#DIV/0!</v>
      </c>
      <c r="KR334" s="454" t="e">
        <f t="shared" ca="1" si="1248"/>
        <v>#DIV/0!</v>
      </c>
      <c r="KS334" s="454" t="e">
        <f t="shared" ca="1" si="1249"/>
        <v>#DIV/0!</v>
      </c>
      <c r="KT334" s="455" t="e">
        <f t="shared" ca="1" si="1250"/>
        <v>#DIV/0!</v>
      </c>
      <c r="KU334" s="456" t="e">
        <f ca="1">IF($CP334-Control!$C$149&lt;0, IF($NT334-0.01&lt;0,0,1),0)</f>
        <v>#N/A</v>
      </c>
      <c r="KV334" s="456" t="e">
        <f ca="1">IF(Control!$C$114=1,MAX(0,MIN(Control!$C$125*$KW334*$GN334,$KW334)))</f>
        <v>#DIV/0!</v>
      </c>
      <c r="KW334" s="456" t="e">
        <f t="shared" ca="1" si="1378"/>
        <v>#DIV/0!</v>
      </c>
      <c r="KX334" s="457" t="e">
        <f ca="1">IF($CP334-Control!$C$149&lt;0, IF($MR334-$OM334&lt;0,0,1),0)</f>
        <v>#N/A</v>
      </c>
      <c r="KY334" s="167">
        <f t="shared" ca="1" si="1346"/>
        <v>330</v>
      </c>
      <c r="KZ334" s="168">
        <f ca="1">1370*(1+0.033*COS(2*Control!$C$138*$AH334/365))</f>
        <v>1407.2498994288283</v>
      </c>
      <c r="LA334" s="169">
        <f t="shared" ca="1" si="1347"/>
        <v>1.0271894591899993</v>
      </c>
      <c r="LB334" s="169">
        <f t="shared" ca="1" si="1348"/>
        <v>-0.37316917150388462</v>
      </c>
      <c r="LC334" s="169">
        <f ca="1">ACOS(-TAN((2*Control!$B$8/360))*TAN(Calculations!$LB334))</f>
        <v>1.4541730747206514</v>
      </c>
      <c r="LD334" s="169">
        <f ca="1">((24*60)/PI())*0.082*$LA334*(($LC334*SIN(Control!$B$8*2*PI()/360))*SIN($LB334)+COS(Control!$B$8*2*PI()/360)*COS($LB334)*SIN($LC334))</f>
        <v>5.8543223704896876</v>
      </c>
      <c r="LE334" s="170">
        <f t="shared" ca="1" si="1251"/>
        <v>7.4564196653117172</v>
      </c>
      <c r="LF334" s="170">
        <f ca="1">SIN(Control!$C$139*Control!$B$8)*SIN($HD334)</f>
        <v>-0.28499701616761197</v>
      </c>
      <c r="LG334" s="170">
        <f ca="1">COS(Control!$C$139*Control!$B$8)*COS($HD334)</f>
        <v>0.57398444021687667</v>
      </c>
      <c r="LH334" s="170">
        <f ca="1">12*(1+2*ASIN(MAX(-1,MIN(1,$LF334/$LG334))/Control!$C$138))</f>
        <v>8.1908735147583034</v>
      </c>
      <c r="LI334" s="170">
        <f ca="1">12*(1+2*ASIN(MAX(-1,MIN(1,(-SIN(-4*Control!$C$139)+$LF334)/$LG334))/Control!$C$138))</f>
        <v>9.1284214666344585</v>
      </c>
      <c r="LJ334" s="168">
        <f ca="1">3600*($LH334*$LF334+24*$LG334*SQRT(1-$LK334*$LK334)/Control!$C$138)</f>
        <v>5298.5753762271461</v>
      </c>
      <c r="LK334" s="170">
        <f t="shared" ca="1" si="1252"/>
        <v>-0.49652394071854544</v>
      </c>
      <c r="LL334" s="170">
        <f t="shared" ca="1" si="1253"/>
        <v>0</v>
      </c>
      <c r="LM334" s="171">
        <f ca="1">Control!$C$145*$AB334</f>
        <v>6.6660906138995932E-2</v>
      </c>
      <c r="LN334" s="170">
        <f t="shared" ca="1" si="1349"/>
        <v>0.54</v>
      </c>
      <c r="LO334" s="170">
        <f t="shared" ca="1" si="1254"/>
        <v>0</v>
      </c>
      <c r="LP334" s="170">
        <f ca="1">Control!$C$140*((($D334+273.16)^4+($E334+273.16)^4)/2)*(0.34-0.14*SQRT($Y334))*(1.35*$AQ334/(0.75*$LD334)-0.35)</f>
        <v>-3.2464704755046001</v>
      </c>
      <c r="LQ334" s="170">
        <f ca="1">Control!$C$140*($G334+273)^4*(0.56-0.079*SQRT($Y334*10))*(0.1+0.9*$LO334)</f>
        <v>1.5241745131704001</v>
      </c>
      <c r="LR334" s="170">
        <f ca="1">$AQ334*(1-Control!$C$142)-$LQ334</f>
        <v>-1.5241745131704001</v>
      </c>
      <c r="LS334" s="170">
        <f ca="1">$AQ334*(1-Control!$C$143)-$LQ334</f>
        <v>-1.5241745131704001</v>
      </c>
      <c r="LT334" s="170">
        <f ca="1">$AQ334*(1-Control!$C$144)-$LQ334</f>
        <v>-1.5241745131704001</v>
      </c>
      <c r="LU334" s="169">
        <f ca="1">(1-Control!$C$144)*AQ334-LP334</f>
        <v>3.2464704755046001</v>
      </c>
      <c r="LV334" s="172">
        <f t="shared" ca="1" si="1255"/>
        <v>0.79430000000000012</v>
      </c>
      <c r="LW334" s="170">
        <f t="shared" ca="1" si="1256"/>
        <v>1.5886000000000002</v>
      </c>
      <c r="LX334" s="170">
        <f ca="1">($AC334*($LR334/Control!$C$141)+$LM334*$LV334)/($AC334+$LM334)</f>
        <v>0.23530094218323697</v>
      </c>
      <c r="LY334" s="170">
        <f ca="1">($AC334*($LS334/Control!$C$141)+$LM334*$LV334)/($AC334+$LM334)</f>
        <v>0.23530094218323697</v>
      </c>
      <c r="LZ334" s="170">
        <f t="shared" ca="1" si="1257"/>
        <v>0.23530094218323697</v>
      </c>
      <c r="MA334" s="170">
        <f t="shared" ca="1" si="1258"/>
        <v>0.23530094218323697</v>
      </c>
      <c r="MB334" s="170" t="e">
        <f t="shared" ca="1" si="1259"/>
        <v>#N/A</v>
      </c>
      <c r="MC334" s="170">
        <f t="shared" ca="1" si="1350"/>
        <v>0.6018</v>
      </c>
      <c r="MD334" s="170">
        <f t="shared" ca="1" si="1260"/>
        <v>0.52989392535414004</v>
      </c>
      <c r="ME334" s="170">
        <f ca="1">($AC334*($LT334/Control!$C$141)+$LM334*$LW334)/($AC334+$LM334)</f>
        <v>0.71612369323045078</v>
      </c>
      <c r="MF334" s="170" t="e">
        <f ca="1">IF(Control!$B$16&gt;=1000,0.92,IF(AND(720&lt;=Control!$B$16,1000&gt;Control!$B$16),(0.95+(Control!$B$16-720)*((0.92-0.95)/(1000-720))),IF(AND(360&lt;=Control!$B$16,720&gt;Control!$B$16),(1+(Control!$B$16-360)*((0.95-1)/(720-360))),IF(AND(40&lt;=Control!$B$16,360&gt;Control!$B$16),(1.05+(Control!$B$16-40)*((1.05-1)/(360-40)))))))</f>
        <v>#N/A</v>
      </c>
      <c r="MG334" s="170">
        <f t="shared" ca="1" si="1261"/>
        <v>0.71612369323045078</v>
      </c>
      <c r="MH334" s="170" t="e">
        <f t="shared" ca="1" si="1262"/>
        <v>#N/A</v>
      </c>
      <c r="MI334" s="170" t="e">
        <f t="shared" ca="1" si="1262"/>
        <v>#N/A</v>
      </c>
      <c r="MJ334" s="170" t="e">
        <f ca="1">MAX(0.0001, Control!$C$132*$MI334*$DL334)</f>
        <v>#N/A</v>
      </c>
      <c r="MK334" s="170">
        <f ca="1">1/(0.76+1.5*($MG334/10))-(5-Control!$C$110)*0.1</f>
        <v>1.002845988140797</v>
      </c>
      <c r="ML334" s="173">
        <f ca="1">IF(Control!$C$110&lt;3,$MK334+($MG334-0.6)/(Control!$C$110*(Control!$C$110+3)), MAX(0.1, MIN(0.95,$MK334)))</f>
        <v>0.95</v>
      </c>
      <c r="MM334" s="173">
        <f ca="1">IF(Control!$C$110&lt;3,$MK334+(($MI334/10)-0.6)/(Control!$C$110*(Control!$C$110+3)), MAX(0.1, MIN(0.95,$MK334)))</f>
        <v>0.95</v>
      </c>
      <c r="MN334" s="173">
        <f ca="1">(1-$MM334)*(Control!$C$128-Control!$C$127)+Control!$C$127</f>
        <v>0.16</v>
      </c>
      <c r="MO334" s="170" t="e">
        <f ca="1">MAX(0,MIN(1,($MS334-Control!$C$127)/($MN334-Control!$C$127)))</f>
        <v>#DIV/0!</v>
      </c>
      <c r="MP334" s="173" t="e">
        <f ca="1">1/(0.76+1.5*$MI334)-(5-Control!$C$110)*0.1</f>
        <v>#N/A</v>
      </c>
      <c r="MQ334" s="172" t="e">
        <f t="shared" ca="1" si="1379"/>
        <v>#DIV/0!</v>
      </c>
      <c r="MR334" s="168" t="e">
        <f t="shared" ca="1" si="1351"/>
        <v>#DIV/0!</v>
      </c>
      <c r="MS334" s="173" t="e">
        <f ca="1">MAX(Control!$C$127, MIN(Control!$C$135, $MR334/MAX(0.0001,$CY334)))</f>
        <v>#DIV/0!</v>
      </c>
      <c r="MT334" s="168" t="e">
        <f ca="1">(Control!$C$128-$MS334)*Control!$C$74</f>
        <v>#DIV/0!</v>
      </c>
      <c r="MU334" s="168" t="e">
        <f ca="1">(Control!$C$135-$MS334)*Control!$C$74</f>
        <v>#DIV/0!</v>
      </c>
      <c r="MV334" s="168" t="e">
        <f t="shared" ca="1" si="1352"/>
        <v>#DIV/0!</v>
      </c>
      <c r="MW334" s="168" t="e">
        <f t="shared" ca="1" si="1353"/>
        <v>#DIV/0!</v>
      </c>
      <c r="MX334" s="171" t="e">
        <f ca="1">MAX(Control!$C$127, MIN(Control!$C$135, $MW334/MAX(0.0001,Control!$C$119-$CY334)))</f>
        <v>#DIV/0!</v>
      </c>
      <c r="MY334" s="54" t="e">
        <f ca="1">IF(Control!$C$114=1, $CX334*$MX334, 0)</f>
        <v>#DIV/0!</v>
      </c>
      <c r="MZ334" s="54" t="e">
        <f t="shared" ca="1" si="1354"/>
        <v>#N/A</v>
      </c>
      <c r="NA334" s="168" t="e">
        <f ca="1">(Control!$C$128-$MX334)*(Control!$C$119-Control!$C$74)</f>
        <v>#DIV/0!</v>
      </c>
      <c r="NB334" s="168" t="e">
        <f ca="1">(Control!$C$135-$MX334)*(Control!$C$119-Control!$C$74)</f>
        <v>#DIV/0!</v>
      </c>
      <c r="NC334" s="174" t="e">
        <f t="shared" ca="1" si="1355"/>
        <v>#DIV/0!</v>
      </c>
      <c r="ND334" s="54">
        <f ca="1">IF(Control!$C$58=2, IF(OR(Control!$B$218=$AH334,Control!$B$219=$AH334, Control!$B$220=$AH334, Control!$B$221=$AH334, Control!$B$222=$AH334, Control!$B$223=$AH334, Control!$B$224=$AH334, Control!$B$225=$AH334, Control!$B$226=$AH334, Control!$B$227=$AH334, Control!$B$228=$AH334), 1, 0), 0)</f>
        <v>0</v>
      </c>
      <c r="NE334" s="54">
        <f ca="1">IF($ND334=0,0, VLOOKUP($AH334,Control!$B$218:$C$228,2))</f>
        <v>0</v>
      </c>
      <c r="NF334" s="168" t="e">
        <f ca="1">$CY334*(Control!$C$128-Control!$C$127)</f>
        <v>#N/A</v>
      </c>
      <c r="NG334" s="54" t="e">
        <f ca="1">IF(Control!$C$58=2, $NI333-$NJ333, 0)</f>
        <v>#DIV/0!</v>
      </c>
      <c r="NH334" s="54" t="e">
        <f ca="1">IF(AND(Control!$C$58=1, $MS333&lt;= ($MN333+0.02), $I333&lt;10), 0, IF(Control!$C$58=2, $NG333, 0))</f>
        <v>#DIV/0!</v>
      </c>
      <c r="NI334" s="54" t="e">
        <f ca="1">IF(Control!$C$58=2, $NE334+$NH334,0)</f>
        <v>#DIV/0!</v>
      </c>
      <c r="NJ334" s="54" t="e">
        <f ca="1">IF(AND(Control!$C$58=1, $MS334&lt;= ($MN334+0.02), $I334&lt;10), MAX(0, MIN(10, 0.7*($NF334-$MV334))), IF(Control!$C$58=2, MIN(10,$NI334),0))</f>
        <v>#DIV/0!</v>
      </c>
      <c r="NK334" s="54" t="e">
        <f t="shared" ca="1" si="1263"/>
        <v>#DIV/0!</v>
      </c>
      <c r="NL334" s="173" t="e">
        <f ca="1">(1-Control!$C$73)*$I334+$NJ334</f>
        <v>#DIV/0!</v>
      </c>
      <c r="NM334" s="172" t="e">
        <f ca="1">IF($NL334&lt;0.5, $MB334* MAX(0, MIN(1, (SQRT($NC334)-SQRT($NC334-1))*Control!$C$71)),0)</f>
        <v>#DIV/0!</v>
      </c>
      <c r="NN334" s="170" t="e">
        <f ca="1">IF($NL334&gt;=5, $MB334, MAX(0,MIN($MB334, $NM334+$NL334,($MS334-Control!$C$129))))</f>
        <v>#DIV/0!</v>
      </c>
      <c r="NO334" s="54">
        <f>IF(Control!$C$133&lt;&gt;1, Control!$C$135-Control!$C$131, 0)</f>
        <v>0.38</v>
      </c>
      <c r="NP334" s="54" t="e">
        <f t="shared" ca="1" si="1264"/>
        <v>#DIV/0!</v>
      </c>
      <c r="NQ334" s="173" t="e">
        <f ca="1">MAX(0,MIN(1,(Control!$C$135-$MS334)/(Control!$C$135-$NO334)))</f>
        <v>#DIV/0!</v>
      </c>
      <c r="NR334" s="170" t="e">
        <f ca="1">IF(Control!$C$133&lt;&gt;1, $NQ334+((1-$NP334/4)*(1-$NQ334)),1)</f>
        <v>#DIV/0!</v>
      </c>
      <c r="NS334" s="170" t="e">
        <f ca="1">IF(Control!$B$31=0,$MJ334,MAX(0,MIN($MV334,$MO334*$NR334*$MJ334)))</f>
        <v>#DIV/0!</v>
      </c>
      <c r="NT334" s="170" t="e">
        <f t="shared" ca="1" si="1380"/>
        <v>#DIV/0!</v>
      </c>
      <c r="NU334" s="170" t="e">
        <f t="shared" ca="1" si="1356"/>
        <v>#N/A</v>
      </c>
      <c r="NV334" s="170" t="e">
        <f t="shared" ca="1" si="1265"/>
        <v>#N/A</v>
      </c>
      <c r="NW334" s="175" t="e">
        <f t="shared" ca="1" si="1266"/>
        <v>#DIV/0!</v>
      </c>
      <c r="NX334" s="170" t="e">
        <f ca="1">MIN(Control!$C$72+$MU334, $NW334)</f>
        <v>#DIV/0!</v>
      </c>
      <c r="NY334" s="170" t="e">
        <f ca="1">IF($MT334&lt;=$NX334,MIN(Control!$C$72+$NB334,$NX334-$MT334),0)</f>
        <v>#DIV/0!</v>
      </c>
      <c r="NZ334" s="54" t="e">
        <f ca="1">IF(Control!$C$114=1,  $CX334*($MX334-Control!$C$127), 0)</f>
        <v>#DIV/0!</v>
      </c>
      <c r="OA334" s="170" t="e">
        <f t="shared" ca="1" si="1267"/>
        <v>#DIV/0!</v>
      </c>
      <c r="OB334" s="170" t="e">
        <f ca="1">IF($NA334 &lt;=$NY334, MIN(Control!$C$72, $NY334-$NA334), 0)</f>
        <v>#DIV/0!</v>
      </c>
      <c r="OC334" s="168" t="e">
        <f t="shared" ca="1" si="1268"/>
        <v>#DIV/0!</v>
      </c>
      <c r="OD334" s="168" t="e">
        <f t="shared" ca="1" si="1357"/>
        <v>#DIV/0!</v>
      </c>
      <c r="OE334" s="170">
        <f ca="1">Control!$C$73*$I334</f>
        <v>0</v>
      </c>
      <c r="OF334" s="176" t="e">
        <f t="shared" ca="1" si="1269"/>
        <v>#DIV/0!</v>
      </c>
      <c r="OG334" s="168" t="e">
        <f t="shared" ca="1" si="1270"/>
        <v>#DIV/0!</v>
      </c>
      <c r="OH334" s="168" t="e">
        <f t="shared" ca="1" si="1271"/>
        <v>#DIV/0!</v>
      </c>
      <c r="OI334" s="168" t="e">
        <f t="shared" ca="1" si="1272"/>
        <v>#DIV/0!</v>
      </c>
      <c r="OJ334" s="168" t="e">
        <f t="shared" ca="1" si="1273"/>
        <v>#DIV/0!</v>
      </c>
      <c r="OK334" s="204" t="e">
        <f t="shared" ca="1" si="1274"/>
        <v>#DIV/0!</v>
      </c>
      <c r="OL334" s="177">
        <f>Control!$C$127</f>
        <v>0.15</v>
      </c>
      <c r="OM334" s="182" t="e">
        <f t="shared" ca="1" si="1275"/>
        <v>#N/A</v>
      </c>
      <c r="ON334" s="177">
        <f>Control!$C$128</f>
        <v>0.35</v>
      </c>
      <c r="OO334" s="182" t="e">
        <f t="shared" ca="1" si="1276"/>
        <v>#N/A</v>
      </c>
      <c r="OP334" s="138">
        <f t="shared" ca="1" si="1358"/>
        <v>0</v>
      </c>
      <c r="OQ334" s="138" t="e">
        <f t="shared" ca="1" si="1381"/>
        <v>#DIV/0!</v>
      </c>
      <c r="OR334" s="138" t="e">
        <f t="shared" ca="1" si="1359"/>
        <v>#DIV/0!</v>
      </c>
      <c r="OS334" s="137" t="e">
        <f t="shared" ca="1" si="1382"/>
        <v>#DIV/0!</v>
      </c>
      <c r="OT334" s="139" t="e">
        <f t="shared" ca="1" si="1383"/>
        <v>#DIV/0!</v>
      </c>
      <c r="OU334" s="138" t="e">
        <f t="shared" ca="1" si="1384"/>
        <v>#N/A</v>
      </c>
      <c r="OV334" s="138" t="e">
        <f t="shared" ca="1" si="1385"/>
        <v>#DIV/0!</v>
      </c>
      <c r="OW334" s="138" t="e">
        <f t="shared" ca="1" si="1360"/>
        <v>#DIV/0!</v>
      </c>
      <c r="OX334" s="138" t="e">
        <f t="shared" ca="1" si="1361"/>
        <v>#DIV/0!</v>
      </c>
      <c r="OY334" s="138" t="e">
        <f t="shared" ca="1" si="1362"/>
        <v>#DIV/0!</v>
      </c>
      <c r="OZ334" s="138" t="e">
        <f t="shared" ca="1" si="1277"/>
        <v>#DIV/0!</v>
      </c>
      <c r="PA334" s="138" t="e">
        <f t="shared" ca="1" si="1278"/>
        <v>#DIV/0!</v>
      </c>
      <c r="PB334" s="55">
        <f>IF(Control!$C$61="T", IF(Control!$C$65="F", IF($AH$6-Control!$C$60&lt;0,0,1), IF(365+$AH$6-Control!$C$60&lt;0,0,1)),0)</f>
        <v>0</v>
      </c>
      <c r="PC334" s="55">
        <f ca="1">IF(Control!$C$65="F", IF($AH$6-$HF334&lt;0,0,1), IF(365+$AH$6-$HF334&lt;0,0,1))</f>
        <v>1</v>
      </c>
      <c r="PD334" s="444">
        <f>Control!$C$118</f>
        <v>1500</v>
      </c>
      <c r="PE334" s="180" t="e">
        <f t="shared" ca="1" si="1279"/>
        <v>#N/A</v>
      </c>
      <c r="PF334" s="445">
        <f t="shared" ca="1" si="1363"/>
        <v>0.71612369323045078</v>
      </c>
      <c r="PT334" s="186"/>
      <c r="PU334" s="186"/>
      <c r="PV334" s="94"/>
      <c r="PW334" s="94"/>
      <c r="PX334" s="94"/>
      <c r="PY334" s="94"/>
      <c r="PZ334" s="94"/>
      <c r="QA334" s="94"/>
      <c r="QB334" s="94"/>
      <c r="QC334" s="94"/>
      <c r="QD334" s="94"/>
      <c r="QE334" s="94"/>
      <c r="QF334" s="94"/>
      <c r="QG334" s="94"/>
      <c r="QH334" s="94"/>
      <c r="QI334" s="94"/>
      <c r="QJ334" s="94"/>
      <c r="QK334" s="94"/>
      <c r="QL334" s="94"/>
      <c r="QM334" s="94"/>
      <c r="QN334" s="94"/>
      <c r="QO334" s="94"/>
      <c r="QP334" s="94"/>
    </row>
    <row r="335" spans="1:458" s="2" customFormat="1" x14ac:dyDescent="0.2">
      <c r="A335" s="395">
        <v>26</v>
      </c>
      <c r="B335" s="396">
        <v>11</v>
      </c>
      <c r="C335" s="387">
        <f ca="1">Weather_data!$B334</f>
        <v>0</v>
      </c>
      <c r="D335" s="388">
        <f ca="1">Weather_data!$F334</f>
        <v>0</v>
      </c>
      <c r="E335" s="388">
        <f ca="1">Weather_data!$E334</f>
        <v>0</v>
      </c>
      <c r="F335" s="388">
        <f t="shared" ca="1" si="1280"/>
        <v>0</v>
      </c>
      <c r="G335" s="388">
        <f ca="1">AVERAGE($D335:$E335)+Control!$B$9</f>
        <v>0</v>
      </c>
      <c r="H335" s="388">
        <f ca="1">Weather_data!$G334</f>
        <v>0</v>
      </c>
      <c r="I335" s="388">
        <f ca="1">Weather_data!$I334</f>
        <v>0</v>
      </c>
      <c r="J335" s="388">
        <f ca="1">Weather_data!$H334</f>
        <v>0</v>
      </c>
      <c r="K335" s="389">
        <f ca="1">Weather_data!$D334</f>
        <v>0</v>
      </c>
      <c r="L335" s="388" t="e">
        <f t="shared" ca="1" si="1281"/>
        <v>#N/A</v>
      </c>
      <c r="M335" s="388" t="e">
        <f t="shared" ca="1" si="1158"/>
        <v>#N/A</v>
      </c>
      <c r="N335" s="388">
        <f t="shared" ca="1" si="1159"/>
        <v>-4.4132203273162639E-16</v>
      </c>
      <c r="O335" s="388">
        <f t="shared" ca="1" si="1282"/>
        <v>4.4132203273162639E-15</v>
      </c>
      <c r="P335" s="390">
        <v>3</v>
      </c>
      <c r="Q335" s="388">
        <f ca="1">MAX($G335-Control!$C$107,0)</f>
        <v>0</v>
      </c>
      <c r="R335" s="388">
        <f t="shared" ca="1" si="1283"/>
        <v>0</v>
      </c>
      <c r="S335" s="388">
        <f t="shared" ca="1" si="1160"/>
        <v>0</v>
      </c>
      <c r="T335" s="388">
        <f t="shared" ca="1" si="1161"/>
        <v>0</v>
      </c>
      <c r="U335" s="59">
        <f t="shared" ca="1" si="1162"/>
        <v>0</v>
      </c>
      <c r="V335" s="391">
        <f ca="1">MAX(0,MIN(Control!$C$100-Control!$C$99,$G335-Control!$C$99)*Control!$C$63)</f>
        <v>0</v>
      </c>
      <c r="W335" s="388">
        <f t="shared" ca="1" si="1284"/>
        <v>0</v>
      </c>
      <c r="X335" s="388">
        <f t="shared" ca="1" si="1285"/>
        <v>0.6110000000000001</v>
      </c>
      <c r="Y335" s="388">
        <f t="shared" ca="1" si="1163"/>
        <v>0</v>
      </c>
      <c r="Z335" s="388">
        <f t="shared" ca="1" si="1286"/>
        <v>0.61058800000000002</v>
      </c>
      <c r="AA335" s="388">
        <f t="shared" ca="1" si="1164"/>
        <v>0.6018</v>
      </c>
      <c r="AB335" s="388">
        <f ca="1">101.3*EXP(-0.034*Control!$C$66/($G335+273))</f>
        <v>100.69623283836242</v>
      </c>
      <c r="AC335" s="392">
        <f t="shared" ca="1" si="1165"/>
        <v>4.3460251046025113E-2</v>
      </c>
      <c r="AD335" s="392">
        <f t="shared" ca="1" si="1166"/>
        <v>4.4450382862832649E-2</v>
      </c>
      <c r="AE335" s="388">
        <f t="shared" ca="1" si="1167"/>
        <v>0</v>
      </c>
      <c r="AF335" s="388">
        <f ca="1">MAX(0,$G335-Control!$C$92)</f>
        <v>0</v>
      </c>
      <c r="AG335" s="393">
        <f t="shared" ca="1" si="1168"/>
        <v>331</v>
      </c>
      <c r="AH335" s="389">
        <f t="shared" ca="1" si="1169"/>
        <v>331</v>
      </c>
      <c r="AI335" s="388">
        <f t="shared" ca="1" si="1287"/>
        <v>-0.37306352341800569</v>
      </c>
      <c r="AJ335" s="388">
        <f ca="1">IF(Control!$C$60&lt;=0,$HH335,$HI335)</f>
        <v>1</v>
      </c>
      <c r="AK335" s="388">
        <f t="shared" ca="1" si="1170"/>
        <v>4.3207657865810312</v>
      </c>
      <c r="AL335" s="388">
        <f t="shared" ca="1" si="1171"/>
        <v>-6.3119249410492624E-18</v>
      </c>
      <c r="AM335" s="388">
        <f t="shared" ca="1" si="1172"/>
        <v>4.3207657865810312</v>
      </c>
      <c r="AN335" s="388">
        <f t="shared" ca="1" si="1173"/>
        <v>-0.37651609901790167</v>
      </c>
      <c r="AO335" s="388">
        <f ca="1">-0.10453/COS(Control!$B$8*PI()/180)*COS(AN335)</f>
        <v>-0.1578916462622085</v>
      </c>
      <c r="AP335" s="388">
        <f ca="1">ACOS(AO335-TAN(Control!$B$8*PI()/180)*TAN(AN335))</f>
        <v>1.2151781590429316</v>
      </c>
      <c r="AQ335" s="388">
        <f t="shared" ca="1" si="1288"/>
        <v>0</v>
      </c>
      <c r="AR335" s="394">
        <f t="shared" ca="1" si="1174"/>
        <v>0</v>
      </c>
      <c r="AS335" s="436">
        <f ca="1">IF(Control!$B$18=2,(IF(OR($AH335=Control!$B$175,$AH335=Control!$B$176,$AH335=Control!$B$177,$AH335=Control!$B$178,$AH335=Control!$B$179,$AH335=Control!$B$180,$AH335=Control!$B$181,$AH335=Control!$B$182,$AH335=Control!$B$183,$AH335=Control!$B$184,$AH335=Control!$B$185),1,0)),0)</f>
        <v>0</v>
      </c>
      <c r="AT335" s="436">
        <f>IF(Control!$B$20=8,IF(AND($AH335&gt;=Control!$B$172,$AH335&lt;=Control!$B$173),1,0),0)</f>
        <v>0</v>
      </c>
      <c r="AU335" s="436">
        <f>IF(Control!$B$20=8,IF($AV334=1,1*$AT335,IF($AT335=1,$AU334+1,$AU334)),0)</f>
        <v>0</v>
      </c>
      <c r="AV335" s="436">
        <f>IF(Control!$B$20=8,IF($AU335&gt;=Control!$B$174,1,0),0)</f>
        <v>0</v>
      </c>
      <c r="AW335" s="436">
        <f ca="1">IF(AND(Control!$B$18=2,Control!$B$171=1), $AV335, $AS335)</f>
        <v>0</v>
      </c>
      <c r="AX335" s="436" t="e">
        <f ca="1">IF(AND(Control!$B$18=1,$EU335&gt;=Control!$B$19),-$AY335,IF(AND(Control!$B$18=2,$AW335=1,$EU335&gt;$DS335),-$AY335, IF(Control!$C$108=0,0, IF(Control!$C$108&lt;&gt;0,1))))</f>
        <v>#N/A</v>
      </c>
      <c r="AY335" s="436" t="e">
        <f t="shared" ca="1" si="1289"/>
        <v>#N/A</v>
      </c>
      <c r="AZ335" s="436" t="e">
        <f ca="1">IF(AND(Control!$B$18=1,$EB335&gt;Control!$B$19),$AZ334+1, IF(AND(Control!$B$18=2, $AW335=1, $EB335&gt;$DS335), $AZ334+1,$AZ334))</f>
        <v>#N/A</v>
      </c>
      <c r="BA335" s="587">
        <f>IF(Control!$C$81=0,1,IF($AH335&gt;=Control!$C$82,1,0))</f>
        <v>1</v>
      </c>
      <c r="BB335" s="140" t="e">
        <f ca="1">IF($BA335&gt;$BA334,Control!$C$83,IF($AW335&gt;0,$AW335*Control!$C$84,IF(AND(Control!$B$18=1,EN334&lt;&gt;0),Control!$C$84,0)))</f>
        <v>#N/A</v>
      </c>
      <c r="BC335" s="140" t="e">
        <f t="shared" ca="1" si="1290"/>
        <v>#N/A</v>
      </c>
      <c r="BD335" s="140" t="e">
        <f ca="1">BC335*IF(OR($G335&lt;Control!$C$92,$G335&gt;Control!$C$95),0,IF(AND($G335&gt;=Control!$C$92,$G335&lt;=Control!$C$93),$G335-Control!$C$92,IF(AND($G335&gt;Control!$C$93,$G335&lt;=Control!$C$94),Control!$C$93-Control!$C$92,IF(AND($G335&gt;Control!$C$94,$G335&lt;=Control!$C$95),(Control!$C$93-Control!$C$92)*(Control!$C$94-$G335)/(Control!$C$95-Control!$C$94)))))</f>
        <v>#N/A</v>
      </c>
      <c r="BE335" s="140" t="e">
        <f t="shared" ca="1" si="1291"/>
        <v>#N/A</v>
      </c>
      <c r="BF335" s="140" t="e">
        <f ca="1">IF($BE335&lt;=Control!$C$86,$BE335,Control!$C$86-$BE335)</f>
        <v>#N/A</v>
      </c>
      <c r="BG335" s="140" t="e">
        <f ca="1">IF(AND($AW335=1,Control!$C$84&lt;9),1,IF($BE335&gt;=Control!$C$86,0,$BC335))</f>
        <v>#N/A</v>
      </c>
      <c r="BH335" s="404" t="e">
        <f ca="1">IF($BG335=0,0,IF($BE335&lt;=Control!$C$86,$BC335*9*($BF335/Control!$C$86),0))</f>
        <v>#N/A</v>
      </c>
      <c r="BI335" s="140" t="e">
        <f ca="1">IF($BG335=1,0,IF($BE335&gt;=Control!$C$86,1,IF(AND($BB335&lt;21,$BB335&gt;=9),1,$BM334)))</f>
        <v>#N/A</v>
      </c>
      <c r="BJ335" s="140" t="e">
        <f ca="1">IF($BF335&lt;0,-$BF335,$BI335*IF(OR($G335&lt;Control!$C$92,$G335&gt;Control!$C$95),0,IF(AND($G335&gt;=Control!$C$92,$G335&lt;=Control!$C$93),$G335-Control!$C$92,IF(AND($G335&gt;Control!$C$93,$G335&lt;=Control!$C$94),Control!$C$93-Control!$C$92,IF(AND($G335&gt;Control!$C$94,$G335&lt;=Control!$C$95),(Control!$C$93-Control!$C$92)*(Control!$C$94-$G335)/(Control!$C$95-Control!$C$94))))))</f>
        <v>#N/A</v>
      </c>
      <c r="BK335" s="140" t="e">
        <f t="shared" ca="1" si="1292"/>
        <v>#N/A</v>
      </c>
      <c r="BL335" s="140" t="e">
        <f ca="1">IF($BK335&lt;=Control!$C$87,$BK335,Control!$C$87-$BK335)</f>
        <v>#N/A</v>
      </c>
      <c r="BM335" s="140" t="e">
        <f ca="1">IF(AND($BB335&gt;=9,$BB335&lt;21),1,IF($BK335&gt;=Control!$C$87,0,$BI335))</f>
        <v>#N/A</v>
      </c>
      <c r="BN335" s="404" t="e">
        <f ca="1">IF($BM335=0,0,IF($BK335&lt;=Control!$C$87,$BI335*(9+(21-9)*($BL335/Control!$C$87)),0))</f>
        <v>#N/A</v>
      </c>
      <c r="BO335" s="140" t="e">
        <f ca="1">IF($BM335=1,0,IF($BK335&gt;=Control!$C$87,1,IF(AND($BB335&lt;30,$BB335&gt;=21),1,$BS334)))</f>
        <v>#N/A</v>
      </c>
      <c r="BP335" s="140" t="e">
        <f ca="1">IF($BL335&lt;0,-$BL335,$BO335*IF(OR($G335&lt;Control!$C$92,$G335&gt;Control!$C$95),0,IF(AND($G335&gt;=Control!$C$92,$G335&lt;=Control!$C$93),$G335-Control!$C$92,IF(AND($G335&gt;Control!$C$93,$G335&lt;=Control!$C$94),Control!$C$93-Control!$C$92,IF(AND($G335&gt;Control!$C$94,$G335&lt;=Control!$C$95),(Control!$C$93-Control!$C$92)*(Control!$C$94-$G335)/(Control!$C$95-Control!$C$94))))))</f>
        <v>#N/A</v>
      </c>
      <c r="BQ335" s="140" t="e">
        <f t="shared" ca="1" si="1175"/>
        <v>#N/A</v>
      </c>
      <c r="BR335" s="140" t="e">
        <f ca="1">IF($BQ335&lt;=Control!$C$88,$BQ335,Control!$C$88-$BQ335)</f>
        <v>#N/A</v>
      </c>
      <c r="BS335" s="140" t="e">
        <f ca="1">IF(AND($BB335&gt;=21,$BB335&lt;30),1,IF($BQ335&gt;=Control!$C$88,0,$BO335))</f>
        <v>#N/A</v>
      </c>
      <c r="BT335" s="404" t="e">
        <f ca="1">IF($BS335=0,0,IF($BQ335&lt;=Control!$C$88,$BO335*(21+(30-21)*(BR335/Control!$C$88)),0))</f>
        <v>#N/A</v>
      </c>
      <c r="BU335" s="140" t="e">
        <f ca="1">IF(BG335+BM335+BS335=1,0,IF(OR(AND($BB335&lt;60,$BB335&gt;=30),$BQ335&gt;=Control!$C$88),1*$BA335,$BY334))</f>
        <v>#N/A</v>
      </c>
      <c r="BV335" s="140" t="e">
        <f ca="1">IF($BR335&lt;0,-$BR335,$BU335*IF(OR($G335&lt;Control!$C$92,$G335&gt;Control!$C$95),0,IF(AND($G335&gt;=Control!$C$92,$G335&lt;=Control!$C$93),$G335-Control!$C$92,IF(AND($G335&gt;Control!$C$93,$G335&lt;=Control!$C$94),Control!$C$93-Control!$C$92,IF(AND($G335&gt;Control!$C$94,$G335&lt;=Control!$C$95),(Control!$C$93-Control!$C$92)*(Control!$C$94-$G335)/(Control!$C$95-Control!$C$94))))))</f>
        <v>#N/A</v>
      </c>
      <c r="BW335" s="140" t="e">
        <f t="shared" ca="1" si="1176"/>
        <v>#N/A</v>
      </c>
      <c r="BX335" s="140" t="e">
        <f ca="1">IF($BW335&lt;=Control!$C$89,$BW335,Control!$C$89-$BW335)</f>
        <v>#N/A</v>
      </c>
      <c r="BY335" s="140" t="e">
        <f ca="1">IF(AND($AJ335&gt;=30,$AJ335&lt;60),1,IF($BW335&gt;=Control!$C$89,0,$BU335))</f>
        <v>#N/A</v>
      </c>
      <c r="BZ335" s="404" t="e">
        <f ca="1">IF($BY335=0,0,IF($BW335&lt;=Control!$C$89,$BU335*(30+(60-30)*(BX335/Control!$C$89)),0))</f>
        <v>#N/A</v>
      </c>
      <c r="CA335" s="140" t="e">
        <f ca="1">IF($BG335+$BM335+$BS335+$BY335=1,0,IF(OR(AND($BB335&lt;65,$BB335&gt;=60),$BW335&gt;=Control!$C$89),1*$BA335,$CE334))</f>
        <v>#N/A</v>
      </c>
      <c r="CB335" s="140" t="e">
        <f ca="1">IF($BX335&lt;0,-$BX335,$CA335*IF(OR($G335&lt;Control!$C$92,$G335&gt;Control!$C$95),0,IF(AND($G335&gt;=Control!$C$92,$G335&lt;=Control!$C$93),$G335-Control!$C$92,IF(AND($G335&gt;Control!$C$93,$G335&lt;=Control!$C$94),Control!$C$93-Control!$C$92,IF(AND($G335&gt;Control!$C$94,$G335&lt;=Control!$C$95),(Control!$C$93-Control!$C$92)*(Control!$C$94-$G335)/(Control!$C$95-Control!$C$94))))))</f>
        <v>#N/A</v>
      </c>
      <c r="CC335" s="140" t="e">
        <f t="shared" ca="1" si="1293"/>
        <v>#N/A</v>
      </c>
      <c r="CD335" s="140" t="e">
        <f ca="1">IF($CC335&lt;=Control!$C$90,$CC335,Control!$C$90-$CC335)</f>
        <v>#N/A</v>
      </c>
      <c r="CE335" s="140" t="e">
        <f ca="1">IF(AND($BB335&gt;=60,$BB335&lt;65),1,IF($CC335&gt;=Control!$C$90,0,$CA335))</f>
        <v>#N/A</v>
      </c>
      <c r="CF335" s="404" t="e">
        <f ca="1">IF($CE335=0,0,IF($CC335&lt;=Control!$C$90,$CA335*(60+(65-60)*(CD335/Control!$C$90)),0))</f>
        <v>#N/A</v>
      </c>
      <c r="CG335" s="140" t="e">
        <f ca="1">IF($BG335+$BM335+$BS335+$BY335+$CE335=1,0,IF(OR(AND($BB335&lt;90,$BB335&gt;=65),$CC335&gt;=Control!$C$90),$BA335,$CK334))</f>
        <v>#N/A</v>
      </c>
      <c r="CH335" s="140" t="e">
        <f ca="1">IF($CD335&lt;0,-$CD335,$CG335*IF(OR($G335&lt;Control!$C$92,$G335&gt;Control!$C$95),0,IF(AND($G335&gt;=Control!$C$92,$G335&lt;=Control!$C$93),$G335-Control!$C$92,IF(AND($G335&gt;Control!$C$93,$G335&lt;=Control!$C$94),Control!$C$93-Control!$C$92,IF(AND($G335&gt;Control!$C$94,$G335&lt;=Control!$C$95),(Control!$C$93-Control!$C$92)*(Control!$C$94-$G335)/(Control!$C$95-Control!$C$94))))))</f>
        <v>#N/A</v>
      </c>
      <c r="CI335" s="140" t="e">
        <f t="shared" ca="1" si="1294"/>
        <v>#N/A</v>
      </c>
      <c r="CJ335" s="140" t="e">
        <f ca="1">IF($CI335&lt;=Control!$C$91,$CI335,Control!$C$91-$CI335)</f>
        <v>#N/A</v>
      </c>
      <c r="CK335" s="140" t="e">
        <f ca="1">IF(AND($BB335&gt;=65,$BB335&lt;90),1,IF($CI335&gt;=Control!$C$91,0,$CG335))</f>
        <v>#N/A</v>
      </c>
      <c r="CL335" s="404" t="e">
        <f ca="1">IF($CK335=0,0,IF($CI335&lt;=Control!$C$91,$CG335*(65+(90-65)*($CJ335/Control!$C$91)),0))</f>
        <v>#N/A</v>
      </c>
      <c r="CM335" s="140" t="e">
        <f ca="1">IF($BG335+$BM335+$BS335+$BY335+$CE335+$CK335=1,0,IF(OR($BB335&gt;=90,$CI335&gt;=Control!$C$91),$BA335,$CM334))</f>
        <v>#N/A</v>
      </c>
      <c r="CN335" s="140" t="e">
        <f t="shared" ca="1" si="1295"/>
        <v>#N/A</v>
      </c>
      <c r="CO335" s="140" t="e">
        <f t="shared" ca="1" si="1296"/>
        <v>#N/A</v>
      </c>
      <c r="CP335" s="140" t="e">
        <f t="shared" ca="1" si="1297"/>
        <v>#N/A</v>
      </c>
      <c r="CQ335" s="141" t="e">
        <f ca="1">VLOOKUP($CP335,Control!$B$86:$G$91,6)</f>
        <v>#N/A</v>
      </c>
      <c r="CR335" s="141" t="e">
        <f ca="1">(1-$CQ335)*VLOOKUP($CP335,Control!$B$86:$D$91,3)</f>
        <v>#N/A</v>
      </c>
      <c r="CS335" s="141" t="e">
        <f ca="1">(1-$CQ335)*VLOOKUP($CP335,Control!$B$86:$E$91,4)</f>
        <v>#N/A</v>
      </c>
      <c r="CT335" s="141" t="e">
        <f ca="1">(1-$CQ335)*VLOOKUP($CP335,Control!$B$86:$F$91,5)</f>
        <v>#N/A</v>
      </c>
      <c r="CU335" s="141">
        <f t="shared" ca="1" si="1298"/>
        <v>0</v>
      </c>
      <c r="CV335" s="583">
        <f t="shared" ca="1" si="1299"/>
        <v>0</v>
      </c>
      <c r="CW335" s="142">
        <f t="shared" ca="1" si="1300"/>
        <v>331</v>
      </c>
      <c r="CX335" s="612" t="e">
        <f ca="1">IF(Control!$C$114=1,(MIN(Control!$C$120*(IF($NT335-0.01&lt;0,0,1)),Control!$C$119-$CY335)))</f>
        <v>#DIV/0!</v>
      </c>
      <c r="CY335" s="143" t="e">
        <f t="shared" ca="1" si="1301"/>
        <v>#N/A</v>
      </c>
      <c r="CZ335" s="144">
        <f t="shared" ca="1" si="1177"/>
        <v>0</v>
      </c>
      <c r="DA335" s="144">
        <f t="shared" ca="1" si="1178"/>
        <v>0</v>
      </c>
      <c r="DB335" s="144" t="e">
        <f t="shared" ca="1" si="1179"/>
        <v>#N/A</v>
      </c>
      <c r="DC335" s="144" t="e">
        <f t="shared" ca="1" si="1180"/>
        <v>#N/A</v>
      </c>
      <c r="DD335" s="144" t="e">
        <f t="shared" ca="1" si="1386"/>
        <v>#N/A</v>
      </c>
      <c r="DE335" s="143" t="e">
        <f t="shared" ca="1" si="1302"/>
        <v>#N/A</v>
      </c>
      <c r="DF335" s="145" t="e">
        <f ca="1">$DR335*EXP(-Control!$C$158*(1-$KH335))</f>
        <v>#N/A</v>
      </c>
      <c r="DG335" s="146" t="e">
        <f ca="1">IF(Control!$C$114=1, $DF335*$EY335, 0)</f>
        <v>#N/A</v>
      </c>
      <c r="DH335" s="147" t="e">
        <f t="shared" ca="1" si="1303"/>
        <v>#N/A</v>
      </c>
      <c r="DI335" s="144" t="e">
        <f t="shared" ca="1" si="1364"/>
        <v>#N/A</v>
      </c>
      <c r="DJ335" s="147" t="e">
        <f ca="1">$EF335*Control!$C$109</f>
        <v>#N/A</v>
      </c>
      <c r="DK335" s="144" t="e">
        <f t="shared" ca="1" si="1304"/>
        <v>#N/A</v>
      </c>
      <c r="DL335" s="144" t="e">
        <f t="shared" ca="1" si="1181"/>
        <v>#N/A</v>
      </c>
      <c r="DM335" s="144" t="e">
        <f ca="1">IF(Control!$C$114=1, (1-EXP(-Control!$C$96*$DK335))*$AR335, 0)</f>
        <v>#N/A</v>
      </c>
      <c r="DN335" s="144">
        <f t="shared" ca="1" si="1305"/>
        <v>0</v>
      </c>
      <c r="DO335" s="148">
        <f>Control!$C$97</f>
        <v>4</v>
      </c>
      <c r="DP335" s="145" t="e">
        <f t="shared" ca="1" si="1306"/>
        <v>#N/A</v>
      </c>
      <c r="DQ335" s="145" t="e">
        <f ca="1">IF(AND($CP335&gt;=0,$CP335&lt;=90),Control!$C$111,Control!$C$111)</f>
        <v>#N/A</v>
      </c>
      <c r="DR335" s="145" t="e">
        <f t="shared" ca="1" si="1182"/>
        <v>#N/A</v>
      </c>
      <c r="DS335" s="143" t="e">
        <f ca="1">Control!$B$22/$DR335</f>
        <v>#N/A</v>
      </c>
      <c r="DT335" s="149" t="e">
        <f ca="1">IF(AND(Control!$C$114=1,$KH335&lt;1),$IM335*$DF335, 0)</f>
        <v>#N/A</v>
      </c>
      <c r="DU335" s="144" t="e">
        <f t="shared" ca="1" si="1307"/>
        <v>#N/A</v>
      </c>
      <c r="DV335" s="144">
        <f ca="1">IF($G335-Control!$C$107&lt;=0, 0, 0.83*LN(MAX($G335, 3))-0.8924)</f>
        <v>0</v>
      </c>
      <c r="DW335" s="144" t="e">
        <f t="shared" ca="1" si="1183"/>
        <v>#N/A</v>
      </c>
      <c r="DX335" s="150" t="e">
        <f ca="1">MAX(0.01*(1+$CU335/Control!$C$102),0.05*($DK335-Control!$C$97)/Control!$C$97)</f>
        <v>#N/A</v>
      </c>
      <c r="DY335" s="151" t="e">
        <f ca="1">IF(Control!$C$114=1, $DI335*$FS335, 0)</f>
        <v>#N/A</v>
      </c>
      <c r="DZ335" s="196" t="e">
        <f t="shared" ca="1" si="1308"/>
        <v>#N/A</v>
      </c>
      <c r="EA335" s="152">
        <f t="shared" ca="1" si="1309"/>
        <v>331</v>
      </c>
      <c r="EB335" s="153" t="e">
        <f t="shared" ca="1" si="1310"/>
        <v>#N/A</v>
      </c>
      <c r="EC335" s="153" t="e">
        <f t="shared" ca="1" si="1311"/>
        <v>#N/A</v>
      </c>
      <c r="ED335" s="154" t="e">
        <f ca="1">IF(Control!$C$114=1, $HM335*$FY335-$FD335, 0)</f>
        <v>#DIV/0!</v>
      </c>
      <c r="EE335" s="155" t="e">
        <f ca="1">IF(Control!$C$114=1, $HM335*$FZ335-$FF335, 0)</f>
        <v>#DIV/0!</v>
      </c>
      <c r="EF335" s="153" t="e">
        <f t="shared" ca="1" si="1365"/>
        <v>#N/A</v>
      </c>
      <c r="EG335" s="155" t="e">
        <f ca="1">IF(Control!$C$114=1, $GX335*$FW335-$FI335, 0)</f>
        <v>#DIV/0!</v>
      </c>
      <c r="EH335" s="153" t="e">
        <f t="shared" ca="1" si="1312"/>
        <v>#N/A</v>
      </c>
      <c r="EI335" s="156" t="e">
        <f t="shared" ca="1" si="1313"/>
        <v>#N/A</v>
      </c>
      <c r="EJ335" s="155" t="e">
        <f ca="1">IF(Control!$C$114=1, $HM335*$GB335, 0)</f>
        <v>#DIV/0!</v>
      </c>
      <c r="EK335" s="153" t="e">
        <f t="shared" ca="1" si="1366"/>
        <v>#N/A</v>
      </c>
      <c r="EL335" s="153" t="e">
        <f t="shared" ca="1" si="1184"/>
        <v>#N/A</v>
      </c>
      <c r="EM335" s="153" t="e">
        <f t="shared" ca="1" si="1185"/>
        <v>#N/A</v>
      </c>
      <c r="EN335" s="153" t="e">
        <f ca="1">IF(Control!$C$108=1,IF(AND(Control!$B$18=1,$EB335&gt;=Control!$B$19),$EB335-$DS335,IF(AND(Control!$B$18=2,$AW335=1,$EB335&gt;$DS335),$EB335-$DS335,0)))</f>
        <v>#N/A</v>
      </c>
      <c r="EO335" s="153" t="e">
        <f ca="1">IF(Control!$C$108=1,IF(AND(Control!$B$18=1,$EB335&gt;=Control!$B$19),$EF335,IF(AND(Control!$B$18=2,$AW335=1),$EF335,0)))</f>
        <v>#N/A</v>
      </c>
      <c r="EP335" s="153" t="e">
        <f ca="1">IF(Control!$C$108=1,IF(AND(Control!$B$18=1,$EB335&gt;=Control!$B$19),$EK335,IF(AND(Control!$B$18=2,$AW335=1),$EK335,0)))</f>
        <v>#N/A</v>
      </c>
      <c r="EQ335" s="153" t="e">
        <f t="shared" ca="1" si="1314"/>
        <v>#N/A</v>
      </c>
      <c r="ER335" s="153" t="e">
        <f t="shared" ca="1" si="1315"/>
        <v>#N/A</v>
      </c>
      <c r="ES335" s="153" t="e">
        <f t="shared" ca="1" si="1367"/>
        <v>#N/A</v>
      </c>
      <c r="ET335" s="153" t="e">
        <f t="shared" ca="1" si="1368"/>
        <v>#N/A</v>
      </c>
      <c r="EU335" s="153" t="e">
        <f t="shared" ca="1" si="1316"/>
        <v>#N/A</v>
      </c>
      <c r="EV335" s="153" t="e">
        <f t="shared" ca="1" si="1186"/>
        <v>#N/A</v>
      </c>
      <c r="EW335" s="153" t="e">
        <f t="shared" ca="1" si="1187"/>
        <v>#N/A</v>
      </c>
      <c r="EX335" s="153" t="e">
        <f t="shared" ca="1" si="1188"/>
        <v>#N/A</v>
      </c>
      <c r="EY335" s="157" t="e">
        <f t="shared" ca="1" si="1189"/>
        <v>#DIV/0!</v>
      </c>
      <c r="EZ335" s="154" t="e">
        <f t="shared" ca="1" si="1190"/>
        <v>#DIV/0!</v>
      </c>
      <c r="FA335" s="153" t="e">
        <f t="shared" ca="1" si="1317"/>
        <v>#N/A</v>
      </c>
      <c r="FB335" s="153" t="e">
        <f t="shared" ca="1" si="1191"/>
        <v>#N/A</v>
      </c>
      <c r="FC335" s="193" t="e">
        <f t="shared" ca="1" si="1192"/>
        <v>#N/A</v>
      </c>
      <c r="FD335" s="158" t="e">
        <f t="shared" ca="1" si="1318"/>
        <v>#N/A</v>
      </c>
      <c r="FE335" s="158" t="e">
        <f t="shared" ca="1" si="1319"/>
        <v>#N/A</v>
      </c>
      <c r="FF335" s="159" t="e">
        <f t="shared" ca="1" si="1193"/>
        <v>#N/A</v>
      </c>
      <c r="FG335" s="160" t="e">
        <f t="shared" ca="1" si="1320"/>
        <v>#N/A</v>
      </c>
      <c r="FH335" s="158" t="e">
        <f t="shared" ca="1" si="1321"/>
        <v>#N/A</v>
      </c>
      <c r="FI335" s="159" t="e">
        <f t="shared" ca="1" si="1194"/>
        <v>#N/A</v>
      </c>
      <c r="FJ335" s="160" t="e">
        <f t="shared" ca="1" si="1322"/>
        <v>#N/A</v>
      </c>
      <c r="FK335" s="160" t="e">
        <f t="shared" ca="1" si="1195"/>
        <v>#N/A</v>
      </c>
      <c r="FL335" s="160" t="e">
        <f t="shared" ca="1" si="1369"/>
        <v>#N/A</v>
      </c>
      <c r="FM335" s="160" t="e">
        <f t="shared" ca="1" si="1196"/>
        <v>#N/A</v>
      </c>
      <c r="FN335" s="158">
        <f t="shared" ca="1" si="1323"/>
        <v>0.01</v>
      </c>
      <c r="FO335" s="160">
        <f>Control!$C$101</f>
        <v>50</v>
      </c>
      <c r="FP335" s="150" t="e">
        <f t="shared" ca="1" si="1197"/>
        <v>#N/A</v>
      </c>
      <c r="FQ335" s="150" t="e">
        <f ca="1">MAX(0,(Control!$C$112*(($DK335-Control!$C$97)/Control!$C$97)))</f>
        <v>#N/A</v>
      </c>
      <c r="FR335" s="150" t="e">
        <f ca="1">(1-$NT335)*Control!$C$113</f>
        <v>#DIV/0!</v>
      </c>
      <c r="FS335" s="198" t="e">
        <f t="shared" ca="1" si="1198"/>
        <v>#N/A</v>
      </c>
      <c r="FT335" s="161">
        <f t="shared" ca="1" si="1324"/>
        <v>331</v>
      </c>
      <c r="FU335" s="162" t="e">
        <f ca="1">IF(Control!$B$34=1,VLOOKUP($CP335,Control!$B$86:$G$91,6),Control!$B$35)</f>
        <v>#N/A</v>
      </c>
      <c r="FV335" s="162" t="e">
        <f t="shared" ca="1" si="1199"/>
        <v>#DIV/0!</v>
      </c>
      <c r="FW335" s="162" t="e">
        <f ca="1">IF(Control!$B$31=1,$FU335*$FV335,  $FU335)</f>
        <v>#N/A</v>
      </c>
      <c r="FX335" s="162" t="e">
        <f ca="1">IF(Control!$B$34=1,VLOOKUP($CP335,Control!$B$86:$G$91,3),Control!$B$36)</f>
        <v>#N/A</v>
      </c>
      <c r="FY335" s="162" t="e">
        <f t="shared" ca="1" si="1200"/>
        <v>#N/A</v>
      </c>
      <c r="FZ335" s="162" t="e">
        <f ca="1">IF(Control!$B$34=1,VLOOKUP($CP335,Control!$B$86:$G$91,4),Control!$B$37)</f>
        <v>#N/A</v>
      </c>
      <c r="GA335" s="162" t="e">
        <f t="shared" ca="1" si="1201"/>
        <v>#N/A</v>
      </c>
      <c r="GB335" s="162" t="e">
        <f ca="1">IF(Control!$B$34=1,VLOOKUP($CP335,Control!$B$86:$G$91,5),Control!$B$38)</f>
        <v>#N/A</v>
      </c>
      <c r="GC335" s="162" t="e">
        <f t="shared" ca="1" si="1325"/>
        <v>#N/A</v>
      </c>
      <c r="GD335" s="162">
        <f t="shared" ca="1" si="1202"/>
        <v>1</v>
      </c>
      <c r="GE335" s="162">
        <f t="shared" ca="1" si="1203"/>
        <v>1</v>
      </c>
      <c r="GF335" s="162">
        <f ca="1">IF(AND(Control!$C$104=1, Control!$C$62="F"),$GE335,1)</f>
        <v>1</v>
      </c>
      <c r="GG335" s="162" t="e">
        <f ca="1">IF(Control!$B$16=40,0,IF(AND(Control!$B$16&gt;40,Control!$B$16&lt;=360),(Control!$B$16-40)*((1-0)/(360-40)),IF(AND(Control!$B$16&gt;360,Control!$B$16&lt;=720),(1+(Control!$B$16-360)*((1.25-1)/(720-360))),IF(AND(Control!$B$16&gt;720,Control!$B$16&lt;=1000),(1.25+(Control!$B$16-720)*((1.35-1.25)/(1000-720))),IF(AND(Control!$B$16&gt;1000,Control!$B$16&lt;=2000),(1.35+(Control!$B$16-1000)*0))))))</f>
        <v>#N/A</v>
      </c>
      <c r="GH335" s="162" t="e">
        <f t="shared" ca="1" si="1204"/>
        <v>#N/A</v>
      </c>
      <c r="GI335" s="162">
        <f t="shared" ca="1" si="1326"/>
        <v>0</v>
      </c>
      <c r="GJ335" s="162">
        <f t="shared" ca="1" si="1205"/>
        <v>0</v>
      </c>
      <c r="GK335" s="162">
        <f t="shared" ca="1" si="1327"/>
        <v>1</v>
      </c>
      <c r="GL335" s="162">
        <f t="shared" ca="1" si="1206"/>
        <v>1</v>
      </c>
      <c r="GM335" s="162" t="e">
        <f ca="1">MAX(0,MIN(1,1-Control!$C$156*(1.0001-$KH335)^2))</f>
        <v>#N/A</v>
      </c>
      <c r="GN335" s="162" t="e">
        <f ca="1">IF(Control!$B$26=1,$KU335,$KX335)</f>
        <v>#N/A</v>
      </c>
      <c r="GO335" s="162" t="e">
        <f ca="1">IF($CP335&lt;=60,Control!$C$105,IF($CP335&gt;=90,Control!$C$106,Control!$C$105+($CP335-60)*((Control!$C$106-Control!$C$105)/(90-60))))</f>
        <v>#N/A</v>
      </c>
      <c r="GP335" s="162" t="e">
        <f t="shared" ca="1" si="1207"/>
        <v>#N/A</v>
      </c>
      <c r="GQ335" s="162" t="e">
        <f t="shared" ca="1" si="1328"/>
        <v>#N/A</v>
      </c>
      <c r="GR335" s="163" t="e">
        <f t="shared" ca="1" si="1208"/>
        <v>#DIV/0!</v>
      </c>
      <c r="GS335" s="162" t="e">
        <f t="shared" ca="1" si="1209"/>
        <v>#DIV/0!</v>
      </c>
      <c r="GT335" s="164" t="e">
        <f t="shared" ca="1" si="1329"/>
        <v>#N/A</v>
      </c>
      <c r="GU335" s="162" t="e">
        <f t="shared" ca="1" si="1330"/>
        <v>#N/A</v>
      </c>
      <c r="GV335" s="162" t="e">
        <f t="shared" ca="1" si="1210"/>
        <v>#N/A</v>
      </c>
      <c r="GW335" s="162" t="e">
        <f t="shared" ca="1" si="1211"/>
        <v>#DIV/0!</v>
      </c>
      <c r="GX335" s="162" t="e">
        <f t="shared" ca="1" si="1331"/>
        <v>#DIV/0!</v>
      </c>
      <c r="GY335" s="162" t="e">
        <f t="shared" ca="1" si="1332"/>
        <v>#DIV/0!</v>
      </c>
      <c r="GZ335" s="165" t="e">
        <f t="shared" ca="1" si="1212"/>
        <v>#N/A</v>
      </c>
      <c r="HA335" s="162" t="e">
        <f ca="1">IF(Control!$C$114=1, $DI335*$FS335, 0)</f>
        <v>#N/A</v>
      </c>
      <c r="HB335" s="162" t="e">
        <f ca="1">$FA335/Control!$C$64</f>
        <v>#N/A</v>
      </c>
      <c r="HC335" s="162" t="e">
        <f t="shared" ca="1" si="1213"/>
        <v>#DIV/0!</v>
      </c>
      <c r="HD335" s="162">
        <f ca="1">-ASIN(SIN(23.45*Control!$C$139)*COS(2*Control!$C$138*($AH335+10)/365))</f>
        <v>-0.37306352341800569</v>
      </c>
      <c r="HE335" s="165">
        <f t="shared" ca="1" si="1333"/>
        <v>0</v>
      </c>
      <c r="HF335" s="166">
        <f ca="1">IF(AND(Control!$C$61="T",$HE335&gt;=Control!$C$103,Control!$C$114=0),$AH335,Control!$C$59)</f>
        <v>1</v>
      </c>
      <c r="HG335" s="166">
        <f ca="1">IF(AND(Control!$C$61="T",$HE335&gt;=Control!$C$103,Control!$C$114=0),$HF335,Control!$C$59)</f>
        <v>1</v>
      </c>
      <c r="HH335" s="165">
        <f ca="1">IF(AND(OR(Control!$C$60&lt;=0, $AH335= Control!$C$59, Control!$C$60 &gt;0, $AH335 = Control!$C$60)), Control!$C$59, IF(Control!$C$60&gt;0, 0))</f>
        <v>1</v>
      </c>
      <c r="HI335" s="165">
        <f ca="1">IF(AND(OR(Control!$C$60&lt;=0, $AH335= Control!$C$59, Control!$C$60 &gt;0, $AH335 = Control!$C$60)), Control!$C$60, IF(Control!$C$60&lt;=0, 0))</f>
        <v>0</v>
      </c>
      <c r="HJ335" s="166">
        <f ca="1">IF(AND(Control!$C$62="F",$CV335&gt;=Control!$C$102),$AH335,0)</f>
        <v>0</v>
      </c>
      <c r="HK335" s="165" t="e">
        <f t="shared" ca="1" si="1370"/>
        <v>#N/A</v>
      </c>
      <c r="HL335" s="166">
        <f ca="1">IF(AND(Control!$C$61="T",$HE335&gt;=Control!$C$103,Control!$C$114=0),$HF335,0)</f>
        <v>0</v>
      </c>
      <c r="HM335" s="201" t="e">
        <f t="shared" ca="1" si="1214"/>
        <v>#DIV/0!</v>
      </c>
      <c r="HN335" s="215">
        <f t="shared" ca="1" si="1334"/>
        <v>331</v>
      </c>
      <c r="HO335" s="216" t="e">
        <f ca="1">IF(AND($CP335&gt;=0, $CP335&lt;=90), Control!$C$152, Control!$C$152)</f>
        <v>#N/A</v>
      </c>
      <c r="HP335" s="216" t="e">
        <f t="shared" ca="1" si="1215"/>
        <v>#N/A</v>
      </c>
      <c r="HQ335" s="217" t="e">
        <f ca="1">IF(OR(Control!$B$26=1,Control!$B$26=2),$KV335,$KS335)</f>
        <v>#DIV/0!</v>
      </c>
      <c r="HR335" s="218" t="e">
        <f t="shared" ca="1" si="1371"/>
        <v>#DIV/0!</v>
      </c>
      <c r="HS335" s="216" t="e">
        <f ca="1">Control!$C$154*$HP335</f>
        <v>#N/A</v>
      </c>
      <c r="HT335" s="216" t="e">
        <f ca="1">Control!$C$155*$HP335</f>
        <v>#N/A</v>
      </c>
      <c r="HU335" s="217" t="e">
        <f ca="1">Control!$C$161*$FI335</f>
        <v>#N/A</v>
      </c>
      <c r="HV335" s="218" t="e">
        <f t="shared" ca="1" si="1335"/>
        <v>#N/A</v>
      </c>
      <c r="HW335" s="218" t="e">
        <f ca="1">Control!$C$160*$FF335+$IP335*$EO335</f>
        <v>#N/A</v>
      </c>
      <c r="HX335" s="218" t="e">
        <f t="shared" ca="1" si="1372"/>
        <v>#N/A</v>
      </c>
      <c r="HY335" s="219" t="e">
        <f ca="1">IF(Control!$C$114=1, $EB335*$FS335, 0)</f>
        <v>#N/A</v>
      </c>
      <c r="HZ335" s="91" t="e">
        <f t="shared" ca="1" si="1216"/>
        <v>#N/A</v>
      </c>
      <c r="IA335" s="220" t="e">
        <f ca="1">Control!$C$153*$HO335</f>
        <v>#N/A</v>
      </c>
      <c r="IB335" s="218" t="e">
        <f t="shared" ca="1" si="1217"/>
        <v>#N/A</v>
      </c>
      <c r="IC335" s="220" t="e">
        <f ca="1">Control!$C$153*$HT335</f>
        <v>#N/A</v>
      </c>
      <c r="ID335" s="218" t="e">
        <f t="shared" ca="1" si="1218"/>
        <v>#N/A</v>
      </c>
      <c r="IE335" s="221" t="e">
        <f ca="1">($EB335*Control!$C$159+$EF335*Control!$C$160)/(IF($GZ335&lt;&gt;0,$GZ335,1))</f>
        <v>#N/A</v>
      </c>
      <c r="IF335" s="216" t="e">
        <f t="shared" ca="1" si="1219"/>
        <v>#N/A</v>
      </c>
      <c r="IG335" s="91">
        <f ca="1">IF(OR(Control!$B$198=$AH335,Control!$B$199=$AH335, Control!$B$200=$AH335, Control!$B$201=$AH335, Control!$B$202=$AH335, Control!$B$203=$AH335, Control!$B$204=$AH335, Control!$B$205=$AH335, Control!$B$206=$AH335, Control!$B$207=$AH335), 1, 0)</f>
        <v>0</v>
      </c>
      <c r="IH335" s="91">
        <f ca="1">IF($IG335=0,0, VLOOKUP($AH335,Control!$B$198:$C$207,2))</f>
        <v>0</v>
      </c>
      <c r="II335" s="222">
        <f t="shared" ca="1" si="1336"/>
        <v>0</v>
      </c>
      <c r="IJ335" s="91">
        <f>Control!$C$121</f>
        <v>0.7</v>
      </c>
      <c r="IK335" s="218">
        <f t="shared" ca="1" si="1220"/>
        <v>0</v>
      </c>
      <c r="IL335" s="217" t="e">
        <f t="shared" ca="1" si="1373"/>
        <v>#N/A</v>
      </c>
      <c r="IM335" s="223" t="e">
        <f ca="1">IF(AND(Control!$C$114=1,$KH335&lt;1),$EB335*Control!$C$148*(1-$KH335), 0)</f>
        <v>#N/A</v>
      </c>
      <c r="IN335" s="217" t="e">
        <f t="shared" ca="1" si="1221"/>
        <v>#DIV/0!</v>
      </c>
      <c r="IO335" s="91" t="e">
        <f ca="1">MAX(0,$IL335-$EF335*Control!$C$160)</f>
        <v>#N/A</v>
      </c>
      <c r="IP335" s="220" t="e">
        <f t="shared" ca="1" si="1222"/>
        <v>#N/A</v>
      </c>
      <c r="IQ335" s="217" t="e">
        <f t="shared" ca="1" si="1337"/>
        <v>#N/A</v>
      </c>
      <c r="IR335" s="218" t="e">
        <f t="shared" ca="1" si="1223"/>
        <v>#N/A</v>
      </c>
      <c r="IS335" s="217" t="e">
        <f ca="1">Control!$C$159*MAX(0,$FD335-$EN335)</f>
        <v>#N/A</v>
      </c>
      <c r="IT335" s="217" t="e">
        <f t="shared" ca="1" si="1374"/>
        <v>#N/A</v>
      </c>
      <c r="IU335" s="217" t="e">
        <f t="shared" ca="1" si="1338"/>
        <v>#N/A</v>
      </c>
      <c r="IV335" s="217" t="e">
        <f t="shared" ca="1" si="1375"/>
        <v>#N/A</v>
      </c>
      <c r="IW335" s="217" t="e">
        <f ca="1">IF(OR($AW335=1,AND($AW335=0, Control!$B$18=1,$EN335&lt;&gt;0)), $IQ335-$IU335, $IQ335)</f>
        <v>#N/A</v>
      </c>
      <c r="IX335" s="218" t="e">
        <f t="shared" ca="1" si="1224"/>
        <v>#N/A</v>
      </c>
      <c r="IY335" s="218" t="e">
        <f ca="1">MAX(0,$IQ335-$EB335*Control!$C$159)</f>
        <v>#N/A</v>
      </c>
      <c r="IZ335" s="218" t="e">
        <f t="shared" ca="1" si="1225"/>
        <v>#N/A</v>
      </c>
      <c r="JA335" s="216" t="e">
        <f t="shared" ca="1" si="1226"/>
        <v>#N/A</v>
      </c>
      <c r="JB335" s="217" t="e">
        <f t="shared" ca="1" si="1227"/>
        <v>#N/A</v>
      </c>
      <c r="JC335" s="222" t="e">
        <f ca="1">MAX(Control!$C$157*$EK335-$JT335, 0)/Control!$C$162</f>
        <v>#N/A</v>
      </c>
      <c r="JD335" s="218" t="e">
        <f t="shared" ca="1" si="1228"/>
        <v>#N/A</v>
      </c>
      <c r="JE335" s="218" t="e">
        <f t="shared" ca="1" si="1229"/>
        <v>#N/A</v>
      </c>
      <c r="JF335" s="218" t="e">
        <f t="shared" ca="1" si="1339"/>
        <v>#N/A</v>
      </c>
      <c r="JG335" s="218" t="e">
        <f t="shared" ca="1" si="1230"/>
        <v>#N/A</v>
      </c>
      <c r="JH335" s="217" t="e">
        <f t="shared" ca="1" si="1340"/>
        <v>#N/A</v>
      </c>
      <c r="JI335" s="217" t="e">
        <f t="shared" ca="1" si="1341"/>
        <v>#N/A</v>
      </c>
      <c r="JJ335" s="217" t="e">
        <f t="shared" ca="1" si="1376"/>
        <v>#N/A</v>
      </c>
      <c r="JK335" s="217" t="e">
        <f ca="1">IF(Control!$C$114=1,IF(Control!$B$24=0,MAX(0,$JI335)*$GN335/Control!$C$64,(MAX(0,MIN($JI335,$JJ335*$GN335/Control!$C$64),0))))</f>
        <v>#N/A</v>
      </c>
      <c r="JL335" s="217" t="e">
        <f ca="1">$IK335/Control!$C$64-$JK335+$HQ335</f>
        <v>#N/A</v>
      </c>
      <c r="JM335" s="217" t="e">
        <f ca="1">IF(Control!$C$114=1,($JB335/(IF($JI335&lt;&gt;0,$JI335,1)))*$JK335,0)</f>
        <v>#N/A</v>
      </c>
      <c r="JN335" s="217" t="e">
        <f ca="1">IF(Control!$C$114=1,($JG335/(IF($JI335&lt;&gt;0,$JI335,1)))*$JK335, 0)</f>
        <v>#N/A</v>
      </c>
      <c r="JO335" s="218" t="e">
        <f t="shared" ca="1" si="1231"/>
        <v>#N/A</v>
      </c>
      <c r="JP335" s="218" t="e">
        <f ca="1">MIN(($IY335+$IO335)*Control!$C$151, $JF335-$EH335*Control!$C$161)</f>
        <v>#N/A</v>
      </c>
      <c r="JQ335" s="218" t="e">
        <f t="shared" ca="1" si="1232"/>
        <v>#N/A</v>
      </c>
      <c r="JR335" s="217" t="e">
        <f ca="1">IF($CP335-Control!$C$150&lt;0, 0, $JQ335/Control!$C$162)</f>
        <v>#N/A</v>
      </c>
      <c r="JS335" s="218" t="e">
        <f t="shared" ca="1" si="1233"/>
        <v>#N/A</v>
      </c>
      <c r="JT335" s="218" t="e">
        <f t="shared" ca="1" si="1342"/>
        <v>#N/A</v>
      </c>
      <c r="JU335" s="218" t="e">
        <f t="shared" ca="1" si="1234"/>
        <v>#N/A</v>
      </c>
      <c r="JV335" s="218" t="e">
        <f t="shared" ca="1" si="1235"/>
        <v>#N/A</v>
      </c>
      <c r="JW335" s="216" t="e">
        <f t="shared" ca="1" si="1236"/>
        <v>#N/A</v>
      </c>
      <c r="JX335" s="91" t="e">
        <f t="shared" ca="1" si="1237"/>
        <v>#N/A</v>
      </c>
      <c r="JY335" s="218" t="e">
        <f t="shared" ca="1" si="1238"/>
        <v>#N/A</v>
      </c>
      <c r="JZ335" s="217" t="e">
        <f ca="1">IF(Control!$C$114=1,($IZ335/(IF($JI335&lt;&gt;0,$JI335,1)))*$JK335, 0)</f>
        <v>#N/A</v>
      </c>
      <c r="KA335" s="218" t="e">
        <f t="shared" ca="1" si="1377"/>
        <v>#N/A</v>
      </c>
      <c r="KB335" s="218" t="e">
        <f t="shared" ca="1" si="1343"/>
        <v>#N/A</v>
      </c>
      <c r="KC335" s="218" t="e">
        <f t="shared" ca="1" si="1239"/>
        <v>#N/A</v>
      </c>
      <c r="KD335" s="218" t="e">
        <f t="shared" ca="1" si="1240"/>
        <v>#N/A</v>
      </c>
      <c r="KE335" s="218" t="e">
        <f t="shared" ca="1" si="1241"/>
        <v>#N/A</v>
      </c>
      <c r="KF335" s="218" t="e">
        <f t="shared" ca="1" si="1242"/>
        <v>#N/A</v>
      </c>
      <c r="KG335" s="216" t="e">
        <f t="shared" ca="1" si="1243"/>
        <v>#N/A</v>
      </c>
      <c r="KH335" s="221" t="e">
        <f ca="1">IF(Control!$B$24=0,1,MAX(0.001,MIN(1,IF(($IF335-$IE335)&lt;&gt;0,($KG335-$IE335)/($IF335-$IE335),1))))</f>
        <v>#N/A</v>
      </c>
      <c r="KI335" s="222" t="e">
        <f ca="1">IF(Control!$C$114=1, $KI334+ $KH334, 0)</f>
        <v>#N/A</v>
      </c>
      <c r="KJ335" s="217" t="e">
        <f t="shared" ca="1" si="1244"/>
        <v>#N/A</v>
      </c>
      <c r="KK335" s="218" t="e">
        <f t="shared" ca="1" si="1245"/>
        <v>#N/A</v>
      </c>
      <c r="KL335" s="274" t="e">
        <f ca="1">IF(Control!$B$26=3,4000000000*EXP(-8400/($G335+273)),IF(Control!$B$26=4,4000000000*EXP(-8400/($G335+273))*($KT335),0))</f>
        <v>#DIV/0!</v>
      </c>
      <c r="KM335" s="274" t="e">
        <f ca="1">IF(Control!$B$26=3,5600000000000*EXP(-9800/($G335+273)),IF(Control!$B$26=4,5600000000000*EXP(-9800/($G335+273))*$KT335,0))</f>
        <v>#DIV/0!</v>
      </c>
      <c r="KN335" s="454" t="e">
        <f t="shared" ca="1" si="1344"/>
        <v>#DIV/0!</v>
      </c>
      <c r="KO335" s="274" t="e">
        <f t="shared" ca="1" si="1345"/>
        <v>#DIV/0!</v>
      </c>
      <c r="KP335" s="454" t="e">
        <f t="shared" ca="1" si="1246"/>
        <v>#DIV/0!</v>
      </c>
      <c r="KQ335" s="454" t="e">
        <f t="shared" ca="1" si="1247"/>
        <v>#DIV/0!</v>
      </c>
      <c r="KR335" s="454" t="e">
        <f t="shared" ca="1" si="1248"/>
        <v>#DIV/0!</v>
      </c>
      <c r="KS335" s="454" t="e">
        <f t="shared" ca="1" si="1249"/>
        <v>#DIV/0!</v>
      </c>
      <c r="KT335" s="455" t="e">
        <f t="shared" ca="1" si="1250"/>
        <v>#DIV/0!</v>
      </c>
      <c r="KU335" s="456" t="e">
        <f ca="1">IF($CP335-Control!$C$149&lt;0, IF($NT335-0.01&lt;0,0,1),0)</f>
        <v>#N/A</v>
      </c>
      <c r="KV335" s="456" t="e">
        <f ca="1">IF(Control!$C$114=1,MAX(0,MIN(Control!$C$125*$KW335*$GN335,$KW335)))</f>
        <v>#DIV/0!</v>
      </c>
      <c r="KW335" s="456" t="e">
        <f t="shared" ca="1" si="1378"/>
        <v>#DIV/0!</v>
      </c>
      <c r="KX335" s="457" t="e">
        <f ca="1">IF($CP335-Control!$C$149&lt;0, IF($MR335-$OM335&lt;0,0,1),0)</f>
        <v>#N/A</v>
      </c>
      <c r="KY335" s="167">
        <f t="shared" ca="1" si="1346"/>
        <v>331</v>
      </c>
      <c r="KZ335" s="168">
        <f ca="1">1370*(1+0.033*COS(2*Control!$C$138*$AH335/365))</f>
        <v>1407.6853892207266</v>
      </c>
      <c r="LA335" s="169">
        <f t="shared" ca="1" si="1347"/>
        <v>1.0275073404706727</v>
      </c>
      <c r="LB335" s="169">
        <f t="shared" ca="1" si="1348"/>
        <v>-0.37599555300747733</v>
      </c>
      <c r="LC335" s="169">
        <f ca="1">ACOS(-TAN((2*Control!$B$8/360))*TAN(Calculations!$LB335))</f>
        <v>1.4531965414108294</v>
      </c>
      <c r="LD335" s="169">
        <f ca="1">((24*60)/PI())*0.082*$LA335*(($LC335*SIN(Control!$B$8*2*PI()/360))*SIN($LB335)+COS(Control!$B$8*2*PI()/360)*COS($LB335)*SIN($LC335))</f>
        <v>5.7236944467385449</v>
      </c>
      <c r="LE335" s="170">
        <f t="shared" ca="1" si="1251"/>
        <v>7.3377013025320057</v>
      </c>
      <c r="LF335" s="170">
        <f ca="1">SIN(Control!$C$139*Control!$B$8)*SIN($HD335)</f>
        <v>-0.28720670613543609</v>
      </c>
      <c r="LG335" s="170">
        <f ca="1">COS(Control!$C$139*Control!$B$8)*COS($HD335)</f>
        <v>0.57331173879620878</v>
      </c>
      <c r="LH335" s="170">
        <f ca="1">12*(1+2*ASIN(MAX(-1,MIN(1,$LF335/$LG335))/Control!$C$138))</f>
        <v>8.1565431248952649</v>
      </c>
      <c r="LI335" s="170">
        <f ca="1">12*(1+2*ASIN(MAX(-1,MIN(1,(-SIN(-4*Control!$C$139)+$LF335)/$LG335))/Control!$C$138))</f>
        <v>9.0953768526191308</v>
      </c>
      <c r="LJ335" s="168">
        <f ca="1">3600*($LH335*$LF335+24*$LG335*SQRT(1-$LK335*$LK335)/Control!$C$138)</f>
        <v>5212.6003144737097</v>
      </c>
      <c r="LK335" s="170">
        <f t="shared" ca="1" si="1252"/>
        <v>-0.50096079793950898</v>
      </c>
      <c r="LL335" s="170">
        <f t="shared" ca="1" si="1253"/>
        <v>0</v>
      </c>
      <c r="LM335" s="171">
        <f ca="1">Control!$C$145*$AB335</f>
        <v>6.6660906138995932E-2</v>
      </c>
      <c r="LN335" s="170">
        <f t="shared" ca="1" si="1349"/>
        <v>0.54</v>
      </c>
      <c r="LO335" s="170">
        <f t="shared" ca="1" si="1254"/>
        <v>0</v>
      </c>
      <c r="LP335" s="170">
        <f ca="1">Control!$C$140*((($D335+273.16)^4+($E335+273.16)^4)/2)*(0.34-0.14*SQRT($Y335))*(1.35*$AQ335/(0.75*$LD335)-0.35)</f>
        <v>-3.2464704755046001</v>
      </c>
      <c r="LQ335" s="170">
        <f ca="1">Control!$C$140*($G335+273)^4*(0.56-0.079*SQRT($Y335*10))*(0.1+0.9*$LO335)</f>
        <v>1.5241745131704001</v>
      </c>
      <c r="LR335" s="170">
        <f ca="1">$AQ335*(1-Control!$C$142)-$LQ335</f>
        <v>-1.5241745131704001</v>
      </c>
      <c r="LS335" s="170">
        <f ca="1">$AQ335*(1-Control!$C$143)-$LQ335</f>
        <v>-1.5241745131704001</v>
      </c>
      <c r="LT335" s="170">
        <f ca="1">$AQ335*(1-Control!$C$144)-$LQ335</f>
        <v>-1.5241745131704001</v>
      </c>
      <c r="LU335" s="169">
        <f ca="1">(1-Control!$C$144)*AQ335-LP335</f>
        <v>3.2464704755046001</v>
      </c>
      <c r="LV335" s="172">
        <f t="shared" ca="1" si="1255"/>
        <v>0.79430000000000012</v>
      </c>
      <c r="LW335" s="170">
        <f t="shared" ca="1" si="1256"/>
        <v>1.5886000000000002</v>
      </c>
      <c r="LX335" s="170">
        <f ca="1">($AC335*($LR335/Control!$C$141)+$LM335*$LV335)/($AC335+$LM335)</f>
        <v>0.23530094218323697</v>
      </c>
      <c r="LY335" s="170">
        <f ca="1">($AC335*($LS335/Control!$C$141)+$LM335*$LV335)/($AC335+$LM335)</f>
        <v>0.23530094218323697</v>
      </c>
      <c r="LZ335" s="170">
        <f t="shared" ca="1" si="1257"/>
        <v>0.23530094218323697</v>
      </c>
      <c r="MA335" s="170">
        <f t="shared" ca="1" si="1258"/>
        <v>0.23530094218323697</v>
      </c>
      <c r="MB335" s="170" t="e">
        <f t="shared" ca="1" si="1259"/>
        <v>#N/A</v>
      </c>
      <c r="MC335" s="170">
        <f t="shared" ca="1" si="1350"/>
        <v>0.6018</v>
      </c>
      <c r="MD335" s="170">
        <f t="shared" ca="1" si="1260"/>
        <v>0.52989392535414004</v>
      </c>
      <c r="ME335" s="170">
        <f ca="1">($AC335*($LT335/Control!$C$141)+$LM335*$LW335)/($AC335+$LM335)</f>
        <v>0.71612369323045078</v>
      </c>
      <c r="MF335" s="170" t="e">
        <f ca="1">IF(Control!$B$16&gt;=1000,0.92,IF(AND(720&lt;=Control!$B$16,1000&gt;Control!$B$16),(0.95+(Control!$B$16-720)*((0.92-0.95)/(1000-720))),IF(AND(360&lt;=Control!$B$16,720&gt;Control!$B$16),(1+(Control!$B$16-360)*((0.95-1)/(720-360))),IF(AND(40&lt;=Control!$B$16,360&gt;Control!$B$16),(1.05+(Control!$B$16-40)*((1.05-1)/(360-40)))))))</f>
        <v>#N/A</v>
      </c>
      <c r="MG335" s="170">
        <f t="shared" ca="1" si="1261"/>
        <v>0.71612369323045078</v>
      </c>
      <c r="MH335" s="170" t="e">
        <f t="shared" ca="1" si="1262"/>
        <v>#N/A</v>
      </c>
      <c r="MI335" s="170" t="e">
        <f t="shared" ca="1" si="1262"/>
        <v>#N/A</v>
      </c>
      <c r="MJ335" s="170" t="e">
        <f ca="1">MAX(0.0001, Control!$C$132*$MI335*$DL335)</f>
        <v>#N/A</v>
      </c>
      <c r="MK335" s="170">
        <f ca="1">1/(0.76+1.5*($MG335/10))-(5-Control!$C$110)*0.1</f>
        <v>1.002845988140797</v>
      </c>
      <c r="ML335" s="173">
        <f ca="1">IF(Control!$C$110&lt;3,$MK335+($MG335-0.6)/(Control!$C$110*(Control!$C$110+3)), MAX(0.1, MIN(0.95,$MK335)))</f>
        <v>0.95</v>
      </c>
      <c r="MM335" s="173">
        <f ca="1">IF(Control!$C$110&lt;3,$MK335+(($MI335/10)-0.6)/(Control!$C$110*(Control!$C$110+3)), MAX(0.1, MIN(0.95,$MK335)))</f>
        <v>0.95</v>
      </c>
      <c r="MN335" s="173">
        <f ca="1">(1-$MM335)*(Control!$C$128-Control!$C$127)+Control!$C$127</f>
        <v>0.16</v>
      </c>
      <c r="MO335" s="170" t="e">
        <f ca="1">MAX(0,MIN(1,($MS335-Control!$C$127)/($MN335-Control!$C$127)))</f>
        <v>#DIV/0!</v>
      </c>
      <c r="MP335" s="173" t="e">
        <f ca="1">1/(0.76+1.5*$MI335)-(5-Control!$C$110)*0.1</f>
        <v>#N/A</v>
      </c>
      <c r="MQ335" s="172" t="e">
        <f t="shared" ca="1" si="1379"/>
        <v>#DIV/0!</v>
      </c>
      <c r="MR335" s="168" t="e">
        <f t="shared" ca="1" si="1351"/>
        <v>#DIV/0!</v>
      </c>
      <c r="MS335" s="173" t="e">
        <f ca="1">MAX(Control!$C$127, MIN(Control!$C$135, $MR335/MAX(0.0001,$CY335)))</f>
        <v>#DIV/0!</v>
      </c>
      <c r="MT335" s="168" t="e">
        <f ca="1">(Control!$C$128-$MS335)*Control!$C$74</f>
        <v>#DIV/0!</v>
      </c>
      <c r="MU335" s="168" t="e">
        <f ca="1">(Control!$C$135-$MS335)*Control!$C$74</f>
        <v>#DIV/0!</v>
      </c>
      <c r="MV335" s="168" t="e">
        <f t="shared" ca="1" si="1352"/>
        <v>#DIV/0!</v>
      </c>
      <c r="MW335" s="168" t="e">
        <f t="shared" ca="1" si="1353"/>
        <v>#DIV/0!</v>
      </c>
      <c r="MX335" s="171" t="e">
        <f ca="1">MAX(Control!$C$127, MIN(Control!$C$135, $MW335/MAX(0.0001,Control!$C$119-$CY335)))</f>
        <v>#DIV/0!</v>
      </c>
      <c r="MY335" s="54" t="e">
        <f ca="1">IF(Control!$C$114=1, $CX335*$MX335, 0)</f>
        <v>#DIV/0!</v>
      </c>
      <c r="MZ335" s="54" t="e">
        <f t="shared" ca="1" si="1354"/>
        <v>#N/A</v>
      </c>
      <c r="NA335" s="168" t="e">
        <f ca="1">(Control!$C$128-$MX335)*(Control!$C$119-Control!$C$74)</f>
        <v>#DIV/0!</v>
      </c>
      <c r="NB335" s="168" t="e">
        <f ca="1">(Control!$C$135-$MX335)*(Control!$C$119-Control!$C$74)</f>
        <v>#DIV/0!</v>
      </c>
      <c r="NC335" s="174" t="e">
        <f t="shared" ca="1" si="1355"/>
        <v>#DIV/0!</v>
      </c>
      <c r="ND335" s="54">
        <f ca="1">IF(Control!$C$58=2, IF(OR(Control!$B$218=$AH335,Control!$B$219=$AH335, Control!$B$220=$AH335, Control!$B$221=$AH335, Control!$B$222=$AH335, Control!$B$223=$AH335, Control!$B$224=$AH335, Control!$B$225=$AH335, Control!$B$226=$AH335, Control!$B$227=$AH335, Control!$B$228=$AH335), 1, 0), 0)</f>
        <v>0</v>
      </c>
      <c r="NE335" s="54">
        <f ca="1">IF($ND335=0,0, VLOOKUP($AH335,Control!$B$218:$C$228,2))</f>
        <v>0</v>
      </c>
      <c r="NF335" s="168" t="e">
        <f ca="1">$CY335*(Control!$C$128-Control!$C$127)</f>
        <v>#N/A</v>
      </c>
      <c r="NG335" s="54" t="e">
        <f ca="1">IF(Control!$C$58=2, $NI334-$NJ334, 0)</f>
        <v>#DIV/0!</v>
      </c>
      <c r="NH335" s="54" t="e">
        <f ca="1">IF(AND(Control!$C$58=1, $MS334&lt;= ($MN334+0.02), $I334&lt;10), 0, IF(Control!$C$58=2, $NG334, 0))</f>
        <v>#DIV/0!</v>
      </c>
      <c r="NI335" s="54" t="e">
        <f ca="1">IF(Control!$C$58=2, $NE335+$NH335,0)</f>
        <v>#DIV/0!</v>
      </c>
      <c r="NJ335" s="54" t="e">
        <f ca="1">IF(AND(Control!$C$58=1, $MS335&lt;= ($MN335+0.02), $I335&lt;10), MAX(0, MIN(10, 0.7*($NF335-$MV335))), IF(Control!$C$58=2, MIN(10,$NI335),0))</f>
        <v>#DIV/0!</v>
      </c>
      <c r="NK335" s="54" t="e">
        <f t="shared" ca="1" si="1263"/>
        <v>#DIV/0!</v>
      </c>
      <c r="NL335" s="173" t="e">
        <f ca="1">(1-Control!$C$73)*$I335+$NJ335</f>
        <v>#DIV/0!</v>
      </c>
      <c r="NM335" s="172" t="e">
        <f ca="1">IF($NL335&lt;0.5, $MB335* MAX(0, MIN(1, (SQRT($NC335)-SQRT($NC335-1))*Control!$C$71)),0)</f>
        <v>#DIV/0!</v>
      </c>
      <c r="NN335" s="170" t="e">
        <f ca="1">IF($NL335&gt;=5, $MB335, MAX(0,MIN($MB335, $NM335+$NL335,($MS335-Control!$C$129))))</f>
        <v>#DIV/0!</v>
      </c>
      <c r="NO335" s="54">
        <f>IF(Control!$C$133&lt;&gt;1, Control!$C$135-Control!$C$131, 0)</f>
        <v>0.38</v>
      </c>
      <c r="NP335" s="54" t="e">
        <f t="shared" ca="1" si="1264"/>
        <v>#DIV/0!</v>
      </c>
      <c r="NQ335" s="173" t="e">
        <f ca="1">MAX(0,MIN(1,(Control!$C$135-$MS335)/(Control!$C$135-$NO335)))</f>
        <v>#DIV/0!</v>
      </c>
      <c r="NR335" s="170" t="e">
        <f ca="1">IF(Control!$C$133&lt;&gt;1, $NQ335+((1-$NP335/4)*(1-$NQ335)),1)</f>
        <v>#DIV/0!</v>
      </c>
      <c r="NS335" s="170" t="e">
        <f ca="1">IF(Control!$B$31=0,$MJ335,MAX(0,MIN($MV335,$MO335*$NR335*$MJ335)))</f>
        <v>#DIV/0!</v>
      </c>
      <c r="NT335" s="170" t="e">
        <f t="shared" ca="1" si="1380"/>
        <v>#DIV/0!</v>
      </c>
      <c r="NU335" s="170" t="e">
        <f t="shared" ca="1" si="1356"/>
        <v>#N/A</v>
      </c>
      <c r="NV335" s="170" t="e">
        <f t="shared" ca="1" si="1265"/>
        <v>#N/A</v>
      </c>
      <c r="NW335" s="175" t="e">
        <f t="shared" ca="1" si="1266"/>
        <v>#DIV/0!</v>
      </c>
      <c r="NX335" s="170" t="e">
        <f ca="1">MIN(Control!$C$72+$MU335, $NW335)</f>
        <v>#DIV/0!</v>
      </c>
      <c r="NY335" s="170" t="e">
        <f ca="1">IF($MT335&lt;=$NX335,MIN(Control!$C$72+$NB335,$NX335-$MT335),0)</f>
        <v>#DIV/0!</v>
      </c>
      <c r="NZ335" s="54" t="e">
        <f ca="1">IF(Control!$C$114=1,  $CX335*($MX335-Control!$C$127), 0)</f>
        <v>#DIV/0!</v>
      </c>
      <c r="OA335" s="170" t="e">
        <f t="shared" ca="1" si="1267"/>
        <v>#DIV/0!</v>
      </c>
      <c r="OB335" s="170" t="e">
        <f ca="1">IF($NA335 &lt;=$NY335, MIN(Control!$C$72, $NY335-$NA335), 0)</f>
        <v>#DIV/0!</v>
      </c>
      <c r="OC335" s="168" t="e">
        <f t="shared" ca="1" si="1268"/>
        <v>#DIV/0!</v>
      </c>
      <c r="OD335" s="168" t="e">
        <f t="shared" ca="1" si="1357"/>
        <v>#DIV/0!</v>
      </c>
      <c r="OE335" s="170">
        <f ca="1">Control!$C$73*$I335</f>
        <v>0</v>
      </c>
      <c r="OF335" s="176" t="e">
        <f t="shared" ca="1" si="1269"/>
        <v>#DIV/0!</v>
      </c>
      <c r="OG335" s="168" t="e">
        <f t="shared" ca="1" si="1270"/>
        <v>#DIV/0!</v>
      </c>
      <c r="OH335" s="168" t="e">
        <f t="shared" ca="1" si="1271"/>
        <v>#DIV/0!</v>
      </c>
      <c r="OI335" s="168" t="e">
        <f t="shared" ca="1" si="1272"/>
        <v>#DIV/0!</v>
      </c>
      <c r="OJ335" s="168" t="e">
        <f t="shared" ca="1" si="1273"/>
        <v>#DIV/0!</v>
      </c>
      <c r="OK335" s="204" t="e">
        <f t="shared" ca="1" si="1274"/>
        <v>#DIV/0!</v>
      </c>
      <c r="OL335" s="177">
        <f>Control!$C$127</f>
        <v>0.15</v>
      </c>
      <c r="OM335" s="182" t="e">
        <f t="shared" ca="1" si="1275"/>
        <v>#N/A</v>
      </c>
      <c r="ON335" s="177">
        <f>Control!$C$128</f>
        <v>0.35</v>
      </c>
      <c r="OO335" s="182" t="e">
        <f t="shared" ca="1" si="1276"/>
        <v>#N/A</v>
      </c>
      <c r="OP335" s="138">
        <f t="shared" ca="1" si="1358"/>
        <v>0</v>
      </c>
      <c r="OQ335" s="138" t="e">
        <f t="shared" ca="1" si="1381"/>
        <v>#DIV/0!</v>
      </c>
      <c r="OR335" s="138" t="e">
        <f t="shared" ca="1" si="1359"/>
        <v>#DIV/0!</v>
      </c>
      <c r="OS335" s="137" t="e">
        <f t="shared" ca="1" si="1382"/>
        <v>#DIV/0!</v>
      </c>
      <c r="OT335" s="139" t="e">
        <f t="shared" ca="1" si="1383"/>
        <v>#DIV/0!</v>
      </c>
      <c r="OU335" s="138" t="e">
        <f t="shared" ca="1" si="1384"/>
        <v>#N/A</v>
      </c>
      <c r="OV335" s="138" t="e">
        <f t="shared" ca="1" si="1385"/>
        <v>#DIV/0!</v>
      </c>
      <c r="OW335" s="138" t="e">
        <f t="shared" ca="1" si="1360"/>
        <v>#DIV/0!</v>
      </c>
      <c r="OX335" s="138" t="e">
        <f t="shared" ca="1" si="1361"/>
        <v>#DIV/0!</v>
      </c>
      <c r="OY335" s="138" t="e">
        <f t="shared" ca="1" si="1362"/>
        <v>#DIV/0!</v>
      </c>
      <c r="OZ335" s="138" t="e">
        <f t="shared" ca="1" si="1277"/>
        <v>#DIV/0!</v>
      </c>
      <c r="PA335" s="138" t="e">
        <f t="shared" ca="1" si="1278"/>
        <v>#DIV/0!</v>
      </c>
      <c r="PB335" s="55">
        <f>IF(Control!$C$61="T", IF(Control!$C$65="F", IF($AH$6-Control!$C$60&lt;0,0,1), IF(365+$AH$6-Control!$C$60&lt;0,0,1)),0)</f>
        <v>0</v>
      </c>
      <c r="PC335" s="55">
        <f ca="1">IF(Control!$C$65="F", IF($AH$6-$HF335&lt;0,0,1), IF(365+$AH$6-$HF335&lt;0,0,1))</f>
        <v>1</v>
      </c>
      <c r="PD335" s="444">
        <f>Control!$C$118</f>
        <v>1500</v>
      </c>
      <c r="PE335" s="180" t="e">
        <f t="shared" ca="1" si="1279"/>
        <v>#N/A</v>
      </c>
      <c r="PF335" s="445">
        <f t="shared" ca="1" si="1363"/>
        <v>0.71612369323045078</v>
      </c>
      <c r="PT335" s="186"/>
      <c r="PU335" s="186"/>
      <c r="PV335" s="94"/>
      <c r="PW335" s="94"/>
      <c r="PX335" s="94"/>
      <c r="PY335" s="94"/>
      <c r="PZ335" s="94"/>
      <c r="QA335" s="94"/>
      <c r="QB335" s="94"/>
      <c r="QC335" s="94"/>
      <c r="QD335" s="94"/>
      <c r="QE335" s="94"/>
      <c r="QF335" s="94"/>
      <c r="QG335" s="94"/>
      <c r="QH335" s="94"/>
      <c r="QI335" s="94"/>
      <c r="QJ335" s="94"/>
      <c r="QK335" s="94"/>
      <c r="QL335" s="94"/>
      <c r="QM335" s="94"/>
      <c r="QN335" s="94"/>
      <c r="QO335" s="94"/>
      <c r="QP335" s="94"/>
    </row>
    <row r="336" spans="1:458" s="2" customFormat="1" x14ac:dyDescent="0.2">
      <c r="A336" s="395">
        <v>27</v>
      </c>
      <c r="B336" s="396">
        <v>11</v>
      </c>
      <c r="C336" s="387">
        <f ca="1">Weather_data!$B335</f>
        <v>0</v>
      </c>
      <c r="D336" s="388">
        <f ca="1">Weather_data!$F335</f>
        <v>0</v>
      </c>
      <c r="E336" s="388">
        <f ca="1">Weather_data!$E335</f>
        <v>0</v>
      </c>
      <c r="F336" s="388">
        <f t="shared" ca="1" si="1280"/>
        <v>0</v>
      </c>
      <c r="G336" s="388">
        <f ca="1">AVERAGE($D336:$E336)+Control!$B$9</f>
        <v>0</v>
      </c>
      <c r="H336" s="388">
        <f ca="1">Weather_data!$G335</f>
        <v>0</v>
      </c>
      <c r="I336" s="388">
        <f ca="1">Weather_data!$I335</f>
        <v>0</v>
      </c>
      <c r="J336" s="388">
        <f ca="1">Weather_data!$H335</f>
        <v>0</v>
      </c>
      <c r="K336" s="389">
        <f ca="1">Weather_data!$D335</f>
        <v>0</v>
      </c>
      <c r="L336" s="388" t="e">
        <f t="shared" ca="1" si="1281"/>
        <v>#N/A</v>
      </c>
      <c r="M336" s="388" t="e">
        <f t="shared" ca="1" si="1158"/>
        <v>#N/A</v>
      </c>
      <c r="N336" s="388">
        <f t="shared" ca="1" si="1159"/>
        <v>-3.9718982945846373E-16</v>
      </c>
      <c r="O336" s="388">
        <f t="shared" ca="1" si="1282"/>
        <v>3.9718982945846371E-15</v>
      </c>
      <c r="P336" s="390">
        <v>3</v>
      </c>
      <c r="Q336" s="388">
        <f ca="1">MAX($G336-Control!$C$107,0)</f>
        <v>0</v>
      </c>
      <c r="R336" s="388">
        <f t="shared" ca="1" si="1283"/>
        <v>0</v>
      </c>
      <c r="S336" s="388">
        <f t="shared" ca="1" si="1160"/>
        <v>0</v>
      </c>
      <c r="T336" s="388">
        <f t="shared" ca="1" si="1161"/>
        <v>0</v>
      </c>
      <c r="U336" s="59">
        <f t="shared" ca="1" si="1162"/>
        <v>0</v>
      </c>
      <c r="V336" s="391">
        <f ca="1">MAX(0,MIN(Control!$C$100-Control!$C$99,$G336-Control!$C$99)*Control!$C$63)</f>
        <v>0</v>
      </c>
      <c r="W336" s="388">
        <f t="shared" ca="1" si="1284"/>
        <v>0</v>
      </c>
      <c r="X336" s="388">
        <f t="shared" ca="1" si="1285"/>
        <v>0.6110000000000001</v>
      </c>
      <c r="Y336" s="388">
        <f t="shared" ca="1" si="1163"/>
        <v>0</v>
      </c>
      <c r="Z336" s="388">
        <f t="shared" ca="1" si="1286"/>
        <v>0.61058800000000002</v>
      </c>
      <c r="AA336" s="388">
        <f t="shared" ca="1" si="1164"/>
        <v>0.6018</v>
      </c>
      <c r="AB336" s="388">
        <f ca="1">101.3*EXP(-0.034*Control!$C$66/($G336+273))</f>
        <v>100.69623283836242</v>
      </c>
      <c r="AC336" s="392">
        <f t="shared" ca="1" si="1165"/>
        <v>4.3460251046025113E-2</v>
      </c>
      <c r="AD336" s="392">
        <f t="shared" ca="1" si="1166"/>
        <v>4.4450382862832649E-2</v>
      </c>
      <c r="AE336" s="388">
        <f t="shared" ca="1" si="1167"/>
        <v>0</v>
      </c>
      <c r="AF336" s="388">
        <f ca="1">MAX(0,$G336-Control!$C$92)</f>
        <v>0</v>
      </c>
      <c r="AG336" s="393">
        <f t="shared" ca="1" si="1168"/>
        <v>332</v>
      </c>
      <c r="AH336" s="389">
        <f t="shared" ca="1" si="1169"/>
        <v>332</v>
      </c>
      <c r="AI336" s="388">
        <f t="shared" ca="1" si="1287"/>
        <v>-0.37596045273214662</v>
      </c>
      <c r="AJ336" s="388">
        <f ca="1">IF(Control!$C$60&lt;=0,$HH336,$HI336)</f>
        <v>1</v>
      </c>
      <c r="AK336" s="388">
        <f t="shared" ca="1" si="1170"/>
        <v>4.3379799929020706</v>
      </c>
      <c r="AL336" s="388">
        <f t="shared" ca="1" si="1171"/>
        <v>1.262281251745989E-17</v>
      </c>
      <c r="AM336" s="388">
        <f t="shared" ca="1" si="1172"/>
        <v>4.3379799929020706</v>
      </c>
      <c r="AN336" s="388">
        <f t="shared" ca="1" si="1173"/>
        <v>-0.37926949868351034</v>
      </c>
      <c r="AO336" s="388">
        <f ca="1">-0.10453/COS(Control!$B$8*PI()/180)*COS(AN336)</f>
        <v>-0.15771916154178636</v>
      </c>
      <c r="AP336" s="388">
        <f ca="1">ACOS(AO336-TAN(Control!$B$8*PI()/180)*TAN(AN336))</f>
        <v>1.2106384714704075</v>
      </c>
      <c r="AQ336" s="388">
        <f t="shared" ca="1" si="1288"/>
        <v>0</v>
      </c>
      <c r="AR336" s="394">
        <f t="shared" ca="1" si="1174"/>
        <v>0</v>
      </c>
      <c r="AS336" s="436">
        <f ca="1">IF(Control!$B$18=2,(IF(OR($AH336=Control!$B$175,$AH336=Control!$B$176,$AH336=Control!$B$177,$AH336=Control!$B$178,$AH336=Control!$B$179,$AH336=Control!$B$180,$AH336=Control!$B$181,$AH336=Control!$B$182,$AH336=Control!$B$183,$AH336=Control!$B$184,$AH336=Control!$B$185),1,0)),0)</f>
        <v>0</v>
      </c>
      <c r="AT336" s="436">
        <f>IF(Control!$B$20=8,IF(AND($AH336&gt;=Control!$B$172,$AH336&lt;=Control!$B$173),1,0),0)</f>
        <v>0</v>
      </c>
      <c r="AU336" s="436">
        <f>IF(Control!$B$20=8,IF($AV335=1,1*$AT336,IF($AT336=1,$AU335+1,$AU335)),0)</f>
        <v>0</v>
      </c>
      <c r="AV336" s="436">
        <f>IF(Control!$B$20=8,IF($AU336&gt;=Control!$B$174,1,0),0)</f>
        <v>0</v>
      </c>
      <c r="AW336" s="436">
        <f ca="1">IF(AND(Control!$B$18=2,Control!$B$171=1), $AV336, $AS336)</f>
        <v>0</v>
      </c>
      <c r="AX336" s="436" t="e">
        <f ca="1">IF(AND(Control!$B$18=1,$EU336&gt;=Control!$B$19),-$AY336,IF(AND(Control!$B$18=2,$AW336=1,$EU336&gt;$DS336),-$AY336, IF(Control!$C$108=0,0, IF(Control!$C$108&lt;&gt;0,1))))</f>
        <v>#N/A</v>
      </c>
      <c r="AY336" s="436" t="e">
        <f t="shared" ca="1" si="1289"/>
        <v>#N/A</v>
      </c>
      <c r="AZ336" s="436" t="e">
        <f ca="1">IF(AND(Control!$B$18=1,$EB336&gt;Control!$B$19),$AZ335+1, IF(AND(Control!$B$18=2, $AW336=1, $EB336&gt;$DS336), $AZ335+1,$AZ335))</f>
        <v>#N/A</v>
      </c>
      <c r="BA336" s="587">
        <f>IF(Control!$C$81=0,1,IF($AH336&gt;=Control!$C$82,1,0))</f>
        <v>1</v>
      </c>
      <c r="BB336" s="140" t="e">
        <f ca="1">IF($BA336&gt;$BA335,Control!$C$83,IF($AW336&gt;0,$AW336*Control!$C$84,IF(AND(Control!$B$18=1,EN335&lt;&gt;0),Control!$C$84,0)))</f>
        <v>#N/A</v>
      </c>
      <c r="BC336" s="140" t="e">
        <f t="shared" ca="1" si="1290"/>
        <v>#N/A</v>
      </c>
      <c r="BD336" s="140" t="e">
        <f ca="1">BC336*IF(OR($G336&lt;Control!$C$92,$G336&gt;Control!$C$95),0,IF(AND($G336&gt;=Control!$C$92,$G336&lt;=Control!$C$93),$G336-Control!$C$92,IF(AND($G336&gt;Control!$C$93,$G336&lt;=Control!$C$94),Control!$C$93-Control!$C$92,IF(AND($G336&gt;Control!$C$94,$G336&lt;=Control!$C$95),(Control!$C$93-Control!$C$92)*(Control!$C$94-$G336)/(Control!$C$95-Control!$C$94)))))</f>
        <v>#N/A</v>
      </c>
      <c r="BE336" s="140" t="e">
        <f t="shared" ca="1" si="1291"/>
        <v>#N/A</v>
      </c>
      <c r="BF336" s="140" t="e">
        <f ca="1">IF($BE336&lt;=Control!$C$86,$BE336,Control!$C$86-$BE336)</f>
        <v>#N/A</v>
      </c>
      <c r="BG336" s="140" t="e">
        <f ca="1">IF(AND($AW336=1,Control!$C$84&lt;9),1,IF($BE336&gt;=Control!$C$86,0,$BC336))</f>
        <v>#N/A</v>
      </c>
      <c r="BH336" s="404" t="e">
        <f ca="1">IF($BG336=0,0,IF($BE336&lt;=Control!$C$86,$BC336*9*($BF336/Control!$C$86),0))</f>
        <v>#N/A</v>
      </c>
      <c r="BI336" s="140" t="e">
        <f ca="1">IF($BG336=1,0,IF($BE336&gt;=Control!$C$86,1,IF(AND($BB336&lt;21,$BB336&gt;=9),1,$BM335)))</f>
        <v>#N/A</v>
      </c>
      <c r="BJ336" s="140" t="e">
        <f ca="1">IF($BF336&lt;0,-$BF336,$BI336*IF(OR($G336&lt;Control!$C$92,$G336&gt;Control!$C$95),0,IF(AND($G336&gt;=Control!$C$92,$G336&lt;=Control!$C$93),$G336-Control!$C$92,IF(AND($G336&gt;Control!$C$93,$G336&lt;=Control!$C$94),Control!$C$93-Control!$C$92,IF(AND($G336&gt;Control!$C$94,$G336&lt;=Control!$C$95),(Control!$C$93-Control!$C$92)*(Control!$C$94-$G336)/(Control!$C$95-Control!$C$94))))))</f>
        <v>#N/A</v>
      </c>
      <c r="BK336" s="140" t="e">
        <f t="shared" ca="1" si="1292"/>
        <v>#N/A</v>
      </c>
      <c r="BL336" s="140" t="e">
        <f ca="1">IF($BK336&lt;=Control!$C$87,$BK336,Control!$C$87-$BK336)</f>
        <v>#N/A</v>
      </c>
      <c r="BM336" s="140" t="e">
        <f ca="1">IF(AND($BB336&gt;=9,$BB336&lt;21),1,IF($BK336&gt;=Control!$C$87,0,$BI336))</f>
        <v>#N/A</v>
      </c>
      <c r="BN336" s="404" t="e">
        <f ca="1">IF($BM336=0,0,IF($BK336&lt;=Control!$C$87,$BI336*(9+(21-9)*($BL336/Control!$C$87)),0))</f>
        <v>#N/A</v>
      </c>
      <c r="BO336" s="140" t="e">
        <f ca="1">IF($BM336=1,0,IF($BK336&gt;=Control!$C$87,1,IF(AND($BB336&lt;30,$BB336&gt;=21),1,$BS335)))</f>
        <v>#N/A</v>
      </c>
      <c r="BP336" s="140" t="e">
        <f ca="1">IF($BL336&lt;0,-$BL336,$BO336*IF(OR($G336&lt;Control!$C$92,$G336&gt;Control!$C$95),0,IF(AND($G336&gt;=Control!$C$92,$G336&lt;=Control!$C$93),$G336-Control!$C$92,IF(AND($G336&gt;Control!$C$93,$G336&lt;=Control!$C$94),Control!$C$93-Control!$C$92,IF(AND($G336&gt;Control!$C$94,$G336&lt;=Control!$C$95),(Control!$C$93-Control!$C$92)*(Control!$C$94-$G336)/(Control!$C$95-Control!$C$94))))))</f>
        <v>#N/A</v>
      </c>
      <c r="BQ336" s="140" t="e">
        <f t="shared" ca="1" si="1175"/>
        <v>#N/A</v>
      </c>
      <c r="BR336" s="140" t="e">
        <f ca="1">IF($BQ336&lt;=Control!$C$88,$BQ336,Control!$C$88-$BQ336)</f>
        <v>#N/A</v>
      </c>
      <c r="BS336" s="140" t="e">
        <f ca="1">IF(AND($BB336&gt;=21,$BB336&lt;30),1,IF($BQ336&gt;=Control!$C$88,0,$BO336))</f>
        <v>#N/A</v>
      </c>
      <c r="BT336" s="404" t="e">
        <f ca="1">IF($BS336=0,0,IF($BQ336&lt;=Control!$C$88,$BO336*(21+(30-21)*(BR336/Control!$C$88)),0))</f>
        <v>#N/A</v>
      </c>
      <c r="BU336" s="140" t="e">
        <f ca="1">IF(BG336+BM336+BS336=1,0,IF(OR(AND($BB336&lt;60,$BB336&gt;=30),$BQ336&gt;=Control!$C$88),1*$BA336,$BY335))</f>
        <v>#N/A</v>
      </c>
      <c r="BV336" s="140" t="e">
        <f ca="1">IF($BR336&lt;0,-$BR336,$BU336*IF(OR($G336&lt;Control!$C$92,$G336&gt;Control!$C$95),0,IF(AND($G336&gt;=Control!$C$92,$G336&lt;=Control!$C$93),$G336-Control!$C$92,IF(AND($G336&gt;Control!$C$93,$G336&lt;=Control!$C$94),Control!$C$93-Control!$C$92,IF(AND($G336&gt;Control!$C$94,$G336&lt;=Control!$C$95),(Control!$C$93-Control!$C$92)*(Control!$C$94-$G336)/(Control!$C$95-Control!$C$94))))))</f>
        <v>#N/A</v>
      </c>
      <c r="BW336" s="140" t="e">
        <f t="shared" ca="1" si="1176"/>
        <v>#N/A</v>
      </c>
      <c r="BX336" s="140" t="e">
        <f ca="1">IF($BW336&lt;=Control!$C$89,$BW336,Control!$C$89-$BW336)</f>
        <v>#N/A</v>
      </c>
      <c r="BY336" s="140" t="e">
        <f ca="1">IF(AND($AJ336&gt;=30,$AJ336&lt;60),1,IF($BW336&gt;=Control!$C$89,0,$BU336))</f>
        <v>#N/A</v>
      </c>
      <c r="BZ336" s="404" t="e">
        <f ca="1">IF($BY336=0,0,IF($BW336&lt;=Control!$C$89,$BU336*(30+(60-30)*(BX336/Control!$C$89)),0))</f>
        <v>#N/A</v>
      </c>
      <c r="CA336" s="140" t="e">
        <f ca="1">IF($BG336+$BM336+$BS336+$BY336=1,0,IF(OR(AND($BB336&lt;65,$BB336&gt;=60),$BW336&gt;=Control!$C$89),1*$BA336,$CE335))</f>
        <v>#N/A</v>
      </c>
      <c r="CB336" s="140" t="e">
        <f ca="1">IF($BX336&lt;0,-$BX336,$CA336*IF(OR($G336&lt;Control!$C$92,$G336&gt;Control!$C$95),0,IF(AND($G336&gt;=Control!$C$92,$G336&lt;=Control!$C$93),$G336-Control!$C$92,IF(AND($G336&gt;Control!$C$93,$G336&lt;=Control!$C$94),Control!$C$93-Control!$C$92,IF(AND($G336&gt;Control!$C$94,$G336&lt;=Control!$C$95),(Control!$C$93-Control!$C$92)*(Control!$C$94-$G336)/(Control!$C$95-Control!$C$94))))))</f>
        <v>#N/A</v>
      </c>
      <c r="CC336" s="140" t="e">
        <f t="shared" ca="1" si="1293"/>
        <v>#N/A</v>
      </c>
      <c r="CD336" s="140" t="e">
        <f ca="1">IF($CC336&lt;=Control!$C$90,$CC336,Control!$C$90-$CC336)</f>
        <v>#N/A</v>
      </c>
      <c r="CE336" s="140" t="e">
        <f ca="1">IF(AND($BB336&gt;=60,$BB336&lt;65),1,IF($CC336&gt;=Control!$C$90,0,$CA336))</f>
        <v>#N/A</v>
      </c>
      <c r="CF336" s="404" t="e">
        <f ca="1">IF($CE336=0,0,IF($CC336&lt;=Control!$C$90,$CA336*(60+(65-60)*(CD336/Control!$C$90)),0))</f>
        <v>#N/A</v>
      </c>
      <c r="CG336" s="140" t="e">
        <f ca="1">IF($BG336+$BM336+$BS336+$BY336+$CE336=1,0,IF(OR(AND($BB336&lt;90,$BB336&gt;=65),$CC336&gt;=Control!$C$90),$BA336,$CK335))</f>
        <v>#N/A</v>
      </c>
      <c r="CH336" s="140" t="e">
        <f ca="1">IF($CD336&lt;0,-$CD336,$CG336*IF(OR($G336&lt;Control!$C$92,$G336&gt;Control!$C$95),0,IF(AND($G336&gt;=Control!$C$92,$G336&lt;=Control!$C$93),$G336-Control!$C$92,IF(AND($G336&gt;Control!$C$93,$G336&lt;=Control!$C$94),Control!$C$93-Control!$C$92,IF(AND($G336&gt;Control!$C$94,$G336&lt;=Control!$C$95),(Control!$C$93-Control!$C$92)*(Control!$C$94-$G336)/(Control!$C$95-Control!$C$94))))))</f>
        <v>#N/A</v>
      </c>
      <c r="CI336" s="140" t="e">
        <f t="shared" ca="1" si="1294"/>
        <v>#N/A</v>
      </c>
      <c r="CJ336" s="140" t="e">
        <f ca="1">IF($CI336&lt;=Control!$C$91,$CI336,Control!$C$91-$CI336)</f>
        <v>#N/A</v>
      </c>
      <c r="CK336" s="140" t="e">
        <f ca="1">IF(AND($BB336&gt;=65,$BB336&lt;90),1,IF($CI336&gt;=Control!$C$91,0,$CG336))</f>
        <v>#N/A</v>
      </c>
      <c r="CL336" s="404" t="e">
        <f ca="1">IF($CK336=0,0,IF($CI336&lt;=Control!$C$91,$CG336*(65+(90-65)*($CJ336/Control!$C$91)),0))</f>
        <v>#N/A</v>
      </c>
      <c r="CM336" s="140" t="e">
        <f ca="1">IF($BG336+$BM336+$BS336+$BY336+$CE336+$CK336=1,0,IF(OR($BB336&gt;=90,$CI336&gt;=Control!$C$91),$BA336,$CM335))</f>
        <v>#N/A</v>
      </c>
      <c r="CN336" s="140" t="e">
        <f t="shared" ca="1" si="1295"/>
        <v>#N/A</v>
      </c>
      <c r="CO336" s="140" t="e">
        <f t="shared" ca="1" si="1296"/>
        <v>#N/A</v>
      </c>
      <c r="CP336" s="140" t="e">
        <f t="shared" ca="1" si="1297"/>
        <v>#N/A</v>
      </c>
      <c r="CQ336" s="141" t="e">
        <f ca="1">VLOOKUP($CP336,Control!$B$86:$G$91,6)</f>
        <v>#N/A</v>
      </c>
      <c r="CR336" s="141" t="e">
        <f ca="1">(1-$CQ336)*VLOOKUP($CP336,Control!$B$86:$D$91,3)</f>
        <v>#N/A</v>
      </c>
      <c r="CS336" s="141" t="e">
        <f ca="1">(1-$CQ336)*VLOOKUP($CP336,Control!$B$86:$E$91,4)</f>
        <v>#N/A</v>
      </c>
      <c r="CT336" s="141" t="e">
        <f ca="1">(1-$CQ336)*VLOOKUP($CP336,Control!$B$86:$F$91,5)</f>
        <v>#N/A</v>
      </c>
      <c r="CU336" s="141">
        <f t="shared" ca="1" si="1298"/>
        <v>0</v>
      </c>
      <c r="CV336" s="583">
        <f t="shared" ca="1" si="1299"/>
        <v>0</v>
      </c>
      <c r="CW336" s="142">
        <f t="shared" ca="1" si="1300"/>
        <v>332</v>
      </c>
      <c r="CX336" s="612" t="e">
        <f ca="1">IF(Control!$C$114=1,(MIN(Control!$C$120*(IF($NT336-0.01&lt;0,0,1)),Control!$C$119-$CY336)))</f>
        <v>#DIV/0!</v>
      </c>
      <c r="CY336" s="143" t="e">
        <f t="shared" ca="1" si="1301"/>
        <v>#N/A</v>
      </c>
      <c r="CZ336" s="144">
        <f t="shared" ca="1" si="1177"/>
        <v>0</v>
      </c>
      <c r="DA336" s="144">
        <f t="shared" ca="1" si="1178"/>
        <v>0</v>
      </c>
      <c r="DB336" s="144" t="e">
        <f t="shared" ca="1" si="1179"/>
        <v>#N/A</v>
      </c>
      <c r="DC336" s="144" t="e">
        <f t="shared" ca="1" si="1180"/>
        <v>#N/A</v>
      </c>
      <c r="DD336" s="144" t="e">
        <f t="shared" ca="1" si="1386"/>
        <v>#N/A</v>
      </c>
      <c r="DE336" s="143" t="e">
        <f t="shared" ca="1" si="1302"/>
        <v>#N/A</v>
      </c>
      <c r="DF336" s="145" t="e">
        <f ca="1">$DR336*EXP(-Control!$C$158*(1-$KH336))</f>
        <v>#N/A</v>
      </c>
      <c r="DG336" s="146" t="e">
        <f ca="1">IF(Control!$C$114=1, $DF336*$EY336, 0)</f>
        <v>#N/A</v>
      </c>
      <c r="DH336" s="147" t="e">
        <f t="shared" ca="1" si="1303"/>
        <v>#N/A</v>
      </c>
      <c r="DI336" s="144" t="e">
        <f t="shared" ca="1" si="1364"/>
        <v>#N/A</v>
      </c>
      <c r="DJ336" s="147" t="e">
        <f ca="1">$EF336*Control!$C$109</f>
        <v>#N/A</v>
      </c>
      <c r="DK336" s="144" t="e">
        <f t="shared" ca="1" si="1304"/>
        <v>#N/A</v>
      </c>
      <c r="DL336" s="144" t="e">
        <f t="shared" ca="1" si="1181"/>
        <v>#N/A</v>
      </c>
      <c r="DM336" s="144" t="e">
        <f ca="1">IF(Control!$C$114=1, (1-EXP(-Control!$C$96*$DK336))*$AR336, 0)</f>
        <v>#N/A</v>
      </c>
      <c r="DN336" s="144">
        <f t="shared" ca="1" si="1305"/>
        <v>0</v>
      </c>
      <c r="DO336" s="148">
        <f>Control!$C$97</f>
        <v>4</v>
      </c>
      <c r="DP336" s="145" t="e">
        <f t="shared" ca="1" si="1306"/>
        <v>#N/A</v>
      </c>
      <c r="DQ336" s="145" t="e">
        <f ca="1">IF(AND($CP336&gt;=0,$CP336&lt;=90),Control!$C$111,Control!$C$111)</f>
        <v>#N/A</v>
      </c>
      <c r="DR336" s="145" t="e">
        <f t="shared" ca="1" si="1182"/>
        <v>#N/A</v>
      </c>
      <c r="DS336" s="143" t="e">
        <f ca="1">Control!$B$22/$DR336</f>
        <v>#N/A</v>
      </c>
      <c r="DT336" s="149" t="e">
        <f ca="1">IF(AND(Control!$C$114=1,$KH336&lt;1),$IM336*$DF336, 0)</f>
        <v>#N/A</v>
      </c>
      <c r="DU336" s="144" t="e">
        <f t="shared" ca="1" si="1307"/>
        <v>#N/A</v>
      </c>
      <c r="DV336" s="144">
        <f ca="1">IF($G336-Control!$C$107&lt;=0, 0, 0.83*LN(MAX($G336, 3))-0.8924)</f>
        <v>0</v>
      </c>
      <c r="DW336" s="144" t="e">
        <f t="shared" ca="1" si="1183"/>
        <v>#N/A</v>
      </c>
      <c r="DX336" s="150" t="e">
        <f ca="1">MAX(0.01*(1+$CU336/Control!$C$102),0.05*($DK336-Control!$C$97)/Control!$C$97)</f>
        <v>#N/A</v>
      </c>
      <c r="DY336" s="151" t="e">
        <f ca="1">IF(Control!$C$114=1, $DI336*$FS336, 0)</f>
        <v>#N/A</v>
      </c>
      <c r="DZ336" s="196" t="e">
        <f t="shared" ca="1" si="1308"/>
        <v>#N/A</v>
      </c>
      <c r="EA336" s="152">
        <f t="shared" ca="1" si="1309"/>
        <v>332</v>
      </c>
      <c r="EB336" s="153" t="e">
        <f t="shared" ca="1" si="1310"/>
        <v>#N/A</v>
      </c>
      <c r="EC336" s="153" t="e">
        <f t="shared" ca="1" si="1311"/>
        <v>#N/A</v>
      </c>
      <c r="ED336" s="154" t="e">
        <f ca="1">IF(Control!$C$114=1, $HM336*$FY336-$FD336, 0)</f>
        <v>#DIV/0!</v>
      </c>
      <c r="EE336" s="155" t="e">
        <f ca="1">IF(Control!$C$114=1, $HM336*$FZ336-$FF336, 0)</f>
        <v>#DIV/0!</v>
      </c>
      <c r="EF336" s="153" t="e">
        <f t="shared" ca="1" si="1365"/>
        <v>#N/A</v>
      </c>
      <c r="EG336" s="155" t="e">
        <f ca="1">IF(Control!$C$114=1, $GX336*$FW336-$FI336, 0)</f>
        <v>#DIV/0!</v>
      </c>
      <c r="EH336" s="153" t="e">
        <f t="shared" ca="1" si="1312"/>
        <v>#N/A</v>
      </c>
      <c r="EI336" s="156" t="e">
        <f t="shared" ca="1" si="1313"/>
        <v>#N/A</v>
      </c>
      <c r="EJ336" s="155" t="e">
        <f ca="1">IF(Control!$C$114=1, $HM336*$GB336, 0)</f>
        <v>#DIV/0!</v>
      </c>
      <c r="EK336" s="153" t="e">
        <f t="shared" ca="1" si="1366"/>
        <v>#N/A</v>
      </c>
      <c r="EL336" s="153" t="e">
        <f t="shared" ca="1" si="1184"/>
        <v>#N/A</v>
      </c>
      <c r="EM336" s="153" t="e">
        <f t="shared" ca="1" si="1185"/>
        <v>#N/A</v>
      </c>
      <c r="EN336" s="153" t="e">
        <f ca="1">IF(Control!$C$108=1,IF(AND(Control!$B$18=1,$EB336&gt;=Control!$B$19),$EB336-$DS336,IF(AND(Control!$B$18=2,$AW336=1,$EB336&gt;$DS336),$EB336-$DS336,0)))</f>
        <v>#N/A</v>
      </c>
      <c r="EO336" s="153" t="e">
        <f ca="1">IF(Control!$C$108=1,IF(AND(Control!$B$18=1,$EB336&gt;=Control!$B$19),$EF336,IF(AND(Control!$B$18=2,$AW336=1),$EF336,0)))</f>
        <v>#N/A</v>
      </c>
      <c r="EP336" s="153" t="e">
        <f ca="1">IF(Control!$C$108=1,IF(AND(Control!$B$18=1,$EB336&gt;=Control!$B$19),$EK336,IF(AND(Control!$B$18=2,$AW336=1),$EK336,0)))</f>
        <v>#N/A</v>
      </c>
      <c r="EQ336" s="153" t="e">
        <f t="shared" ca="1" si="1314"/>
        <v>#N/A</v>
      </c>
      <c r="ER336" s="153" t="e">
        <f t="shared" ca="1" si="1315"/>
        <v>#N/A</v>
      </c>
      <c r="ES336" s="153" t="e">
        <f t="shared" ca="1" si="1367"/>
        <v>#N/A</v>
      </c>
      <c r="ET336" s="153" t="e">
        <f t="shared" ca="1" si="1368"/>
        <v>#N/A</v>
      </c>
      <c r="EU336" s="153" t="e">
        <f t="shared" ca="1" si="1316"/>
        <v>#N/A</v>
      </c>
      <c r="EV336" s="153" t="e">
        <f t="shared" ca="1" si="1186"/>
        <v>#N/A</v>
      </c>
      <c r="EW336" s="153" t="e">
        <f t="shared" ca="1" si="1187"/>
        <v>#N/A</v>
      </c>
      <c r="EX336" s="153" t="e">
        <f t="shared" ca="1" si="1188"/>
        <v>#N/A</v>
      </c>
      <c r="EY336" s="157" t="e">
        <f t="shared" ca="1" si="1189"/>
        <v>#DIV/0!</v>
      </c>
      <c r="EZ336" s="154" t="e">
        <f t="shared" ca="1" si="1190"/>
        <v>#DIV/0!</v>
      </c>
      <c r="FA336" s="153" t="e">
        <f t="shared" ca="1" si="1317"/>
        <v>#N/A</v>
      </c>
      <c r="FB336" s="153" t="e">
        <f t="shared" ca="1" si="1191"/>
        <v>#N/A</v>
      </c>
      <c r="FC336" s="193" t="e">
        <f t="shared" ca="1" si="1192"/>
        <v>#N/A</v>
      </c>
      <c r="FD336" s="158" t="e">
        <f t="shared" ca="1" si="1318"/>
        <v>#N/A</v>
      </c>
      <c r="FE336" s="158" t="e">
        <f t="shared" ca="1" si="1319"/>
        <v>#N/A</v>
      </c>
      <c r="FF336" s="159" t="e">
        <f t="shared" ca="1" si="1193"/>
        <v>#N/A</v>
      </c>
      <c r="FG336" s="160" t="e">
        <f t="shared" ca="1" si="1320"/>
        <v>#N/A</v>
      </c>
      <c r="FH336" s="158" t="e">
        <f t="shared" ca="1" si="1321"/>
        <v>#N/A</v>
      </c>
      <c r="FI336" s="159" t="e">
        <f t="shared" ca="1" si="1194"/>
        <v>#N/A</v>
      </c>
      <c r="FJ336" s="160" t="e">
        <f t="shared" ca="1" si="1322"/>
        <v>#N/A</v>
      </c>
      <c r="FK336" s="160" t="e">
        <f t="shared" ca="1" si="1195"/>
        <v>#N/A</v>
      </c>
      <c r="FL336" s="160" t="e">
        <f t="shared" ca="1" si="1369"/>
        <v>#N/A</v>
      </c>
      <c r="FM336" s="160" t="e">
        <f t="shared" ca="1" si="1196"/>
        <v>#N/A</v>
      </c>
      <c r="FN336" s="158">
        <f t="shared" ca="1" si="1323"/>
        <v>0.01</v>
      </c>
      <c r="FO336" s="160">
        <f>Control!$C$101</f>
        <v>50</v>
      </c>
      <c r="FP336" s="150" t="e">
        <f t="shared" ca="1" si="1197"/>
        <v>#N/A</v>
      </c>
      <c r="FQ336" s="150" t="e">
        <f ca="1">MAX(0,(Control!$C$112*(($DK336-Control!$C$97)/Control!$C$97)))</f>
        <v>#N/A</v>
      </c>
      <c r="FR336" s="150" t="e">
        <f ca="1">(1-$NT336)*Control!$C$113</f>
        <v>#DIV/0!</v>
      </c>
      <c r="FS336" s="198" t="e">
        <f t="shared" ca="1" si="1198"/>
        <v>#N/A</v>
      </c>
      <c r="FT336" s="161">
        <f t="shared" ca="1" si="1324"/>
        <v>332</v>
      </c>
      <c r="FU336" s="162" t="e">
        <f ca="1">IF(Control!$B$34=1,VLOOKUP($CP336,Control!$B$86:$G$91,6),Control!$B$35)</f>
        <v>#N/A</v>
      </c>
      <c r="FV336" s="162" t="e">
        <f t="shared" ca="1" si="1199"/>
        <v>#DIV/0!</v>
      </c>
      <c r="FW336" s="162" t="e">
        <f ca="1">IF(Control!$B$31=1,$FU336*$FV336,  $FU336)</f>
        <v>#N/A</v>
      </c>
      <c r="FX336" s="162" t="e">
        <f ca="1">IF(Control!$B$34=1,VLOOKUP($CP336,Control!$B$86:$G$91,3),Control!$B$36)</f>
        <v>#N/A</v>
      </c>
      <c r="FY336" s="162" t="e">
        <f t="shared" ca="1" si="1200"/>
        <v>#N/A</v>
      </c>
      <c r="FZ336" s="162" t="e">
        <f ca="1">IF(Control!$B$34=1,VLOOKUP($CP336,Control!$B$86:$G$91,4),Control!$B$37)</f>
        <v>#N/A</v>
      </c>
      <c r="GA336" s="162" t="e">
        <f t="shared" ca="1" si="1201"/>
        <v>#N/A</v>
      </c>
      <c r="GB336" s="162" t="e">
        <f ca="1">IF(Control!$B$34=1,VLOOKUP($CP336,Control!$B$86:$G$91,5),Control!$B$38)</f>
        <v>#N/A</v>
      </c>
      <c r="GC336" s="162" t="e">
        <f t="shared" ca="1" si="1325"/>
        <v>#N/A</v>
      </c>
      <c r="GD336" s="162">
        <f t="shared" ca="1" si="1202"/>
        <v>1</v>
      </c>
      <c r="GE336" s="162">
        <f t="shared" ca="1" si="1203"/>
        <v>1</v>
      </c>
      <c r="GF336" s="162">
        <f ca="1">IF(AND(Control!$C$104=1, Control!$C$62="F"),$GE336,1)</f>
        <v>1</v>
      </c>
      <c r="GG336" s="162" t="e">
        <f ca="1">IF(Control!$B$16=40,0,IF(AND(Control!$B$16&gt;40,Control!$B$16&lt;=360),(Control!$B$16-40)*((1-0)/(360-40)),IF(AND(Control!$B$16&gt;360,Control!$B$16&lt;=720),(1+(Control!$B$16-360)*((1.25-1)/(720-360))),IF(AND(Control!$B$16&gt;720,Control!$B$16&lt;=1000),(1.25+(Control!$B$16-720)*((1.35-1.25)/(1000-720))),IF(AND(Control!$B$16&gt;1000,Control!$B$16&lt;=2000),(1.35+(Control!$B$16-1000)*0))))))</f>
        <v>#N/A</v>
      </c>
      <c r="GH336" s="162" t="e">
        <f t="shared" ca="1" si="1204"/>
        <v>#N/A</v>
      </c>
      <c r="GI336" s="162">
        <f t="shared" ca="1" si="1326"/>
        <v>0</v>
      </c>
      <c r="GJ336" s="162">
        <f t="shared" ca="1" si="1205"/>
        <v>0</v>
      </c>
      <c r="GK336" s="162">
        <f t="shared" ca="1" si="1327"/>
        <v>1</v>
      </c>
      <c r="GL336" s="162">
        <f t="shared" ca="1" si="1206"/>
        <v>1</v>
      </c>
      <c r="GM336" s="162" t="e">
        <f ca="1">MAX(0,MIN(1,1-Control!$C$156*(1.0001-$KH336)^2))</f>
        <v>#N/A</v>
      </c>
      <c r="GN336" s="162" t="e">
        <f ca="1">IF(Control!$B$26=1,$KU336,$KX336)</f>
        <v>#N/A</v>
      </c>
      <c r="GO336" s="162" t="e">
        <f ca="1">IF($CP336&lt;=60,Control!$C$105,IF($CP336&gt;=90,Control!$C$106,Control!$C$105+($CP336-60)*((Control!$C$106-Control!$C$105)/(90-60))))</f>
        <v>#N/A</v>
      </c>
      <c r="GP336" s="162" t="e">
        <f t="shared" ca="1" si="1207"/>
        <v>#N/A</v>
      </c>
      <c r="GQ336" s="162" t="e">
        <f t="shared" ca="1" si="1328"/>
        <v>#N/A</v>
      </c>
      <c r="GR336" s="163" t="e">
        <f t="shared" ca="1" si="1208"/>
        <v>#DIV/0!</v>
      </c>
      <c r="GS336" s="162" t="e">
        <f t="shared" ca="1" si="1209"/>
        <v>#DIV/0!</v>
      </c>
      <c r="GT336" s="164" t="e">
        <f t="shared" ca="1" si="1329"/>
        <v>#N/A</v>
      </c>
      <c r="GU336" s="162" t="e">
        <f t="shared" ca="1" si="1330"/>
        <v>#N/A</v>
      </c>
      <c r="GV336" s="162" t="e">
        <f t="shared" ca="1" si="1210"/>
        <v>#N/A</v>
      </c>
      <c r="GW336" s="162" t="e">
        <f t="shared" ca="1" si="1211"/>
        <v>#DIV/0!</v>
      </c>
      <c r="GX336" s="162" t="e">
        <f t="shared" ca="1" si="1331"/>
        <v>#DIV/0!</v>
      </c>
      <c r="GY336" s="162" t="e">
        <f t="shared" ca="1" si="1332"/>
        <v>#DIV/0!</v>
      </c>
      <c r="GZ336" s="165" t="e">
        <f t="shared" ca="1" si="1212"/>
        <v>#N/A</v>
      </c>
      <c r="HA336" s="162" t="e">
        <f ca="1">IF(Control!$C$114=1, $DI336*$FS336, 0)</f>
        <v>#N/A</v>
      </c>
      <c r="HB336" s="162" t="e">
        <f ca="1">$FA336/Control!$C$64</f>
        <v>#N/A</v>
      </c>
      <c r="HC336" s="162" t="e">
        <f t="shared" ca="1" si="1213"/>
        <v>#DIV/0!</v>
      </c>
      <c r="HD336" s="162">
        <f ca="1">-ASIN(SIN(23.45*Control!$C$139)*COS(2*Control!$C$138*($AH336+10)/365))</f>
        <v>-0.37596045273214662</v>
      </c>
      <c r="HE336" s="165">
        <f t="shared" ca="1" si="1333"/>
        <v>0</v>
      </c>
      <c r="HF336" s="166">
        <f ca="1">IF(AND(Control!$C$61="T",$HE336&gt;=Control!$C$103,Control!$C$114=0),$AH336,Control!$C$59)</f>
        <v>1</v>
      </c>
      <c r="HG336" s="166">
        <f ca="1">IF(AND(Control!$C$61="T",$HE336&gt;=Control!$C$103,Control!$C$114=0),$HF336,Control!$C$59)</f>
        <v>1</v>
      </c>
      <c r="HH336" s="165">
        <f ca="1">IF(AND(OR(Control!$C$60&lt;=0, $AH336= Control!$C$59, Control!$C$60 &gt;0, $AH336 = Control!$C$60)), Control!$C$59, IF(Control!$C$60&gt;0, 0))</f>
        <v>1</v>
      </c>
      <c r="HI336" s="165">
        <f ca="1">IF(AND(OR(Control!$C$60&lt;=0, $AH336= Control!$C$59, Control!$C$60 &gt;0, $AH336 = Control!$C$60)), Control!$C$60, IF(Control!$C$60&lt;=0, 0))</f>
        <v>0</v>
      </c>
      <c r="HJ336" s="166">
        <f ca="1">IF(AND(Control!$C$62="F",$CV336&gt;=Control!$C$102),$AH336,0)</f>
        <v>0</v>
      </c>
      <c r="HK336" s="165" t="e">
        <f t="shared" ca="1" si="1370"/>
        <v>#N/A</v>
      </c>
      <c r="HL336" s="166">
        <f ca="1">IF(AND(Control!$C$61="T",$HE336&gt;=Control!$C$103,Control!$C$114=0),$HF336,0)</f>
        <v>0</v>
      </c>
      <c r="HM336" s="201" t="e">
        <f t="shared" ca="1" si="1214"/>
        <v>#DIV/0!</v>
      </c>
      <c r="HN336" s="215">
        <f t="shared" ca="1" si="1334"/>
        <v>332</v>
      </c>
      <c r="HO336" s="216" t="e">
        <f ca="1">IF(AND($CP336&gt;=0, $CP336&lt;=90), Control!$C$152, Control!$C$152)</f>
        <v>#N/A</v>
      </c>
      <c r="HP336" s="216" t="e">
        <f t="shared" ca="1" si="1215"/>
        <v>#N/A</v>
      </c>
      <c r="HQ336" s="217" t="e">
        <f ca="1">IF(OR(Control!$B$26=1,Control!$B$26=2),$KV336,$KS336)</f>
        <v>#DIV/0!</v>
      </c>
      <c r="HR336" s="218" t="e">
        <f t="shared" ca="1" si="1371"/>
        <v>#DIV/0!</v>
      </c>
      <c r="HS336" s="216" t="e">
        <f ca="1">Control!$C$154*$HP336</f>
        <v>#N/A</v>
      </c>
      <c r="HT336" s="216" t="e">
        <f ca="1">Control!$C$155*$HP336</f>
        <v>#N/A</v>
      </c>
      <c r="HU336" s="217" t="e">
        <f ca="1">Control!$C$161*$FI336</f>
        <v>#N/A</v>
      </c>
      <c r="HV336" s="218" t="e">
        <f t="shared" ca="1" si="1335"/>
        <v>#N/A</v>
      </c>
      <c r="HW336" s="218" t="e">
        <f ca="1">Control!$C$160*$FF336+$IP336*$EO336</f>
        <v>#N/A</v>
      </c>
      <c r="HX336" s="218" t="e">
        <f t="shared" ca="1" si="1372"/>
        <v>#N/A</v>
      </c>
      <c r="HY336" s="219" t="e">
        <f ca="1">IF(Control!$C$114=1, $EB336*$FS336, 0)</f>
        <v>#N/A</v>
      </c>
      <c r="HZ336" s="91" t="e">
        <f t="shared" ca="1" si="1216"/>
        <v>#N/A</v>
      </c>
      <c r="IA336" s="220" t="e">
        <f ca="1">Control!$C$153*$HO336</f>
        <v>#N/A</v>
      </c>
      <c r="IB336" s="218" t="e">
        <f t="shared" ca="1" si="1217"/>
        <v>#N/A</v>
      </c>
      <c r="IC336" s="220" t="e">
        <f ca="1">Control!$C$153*$HT336</f>
        <v>#N/A</v>
      </c>
      <c r="ID336" s="218" t="e">
        <f t="shared" ca="1" si="1218"/>
        <v>#N/A</v>
      </c>
      <c r="IE336" s="221" t="e">
        <f ca="1">($EB336*Control!$C$159+$EF336*Control!$C$160)/(IF($GZ336&lt;&gt;0,$GZ336,1))</f>
        <v>#N/A</v>
      </c>
      <c r="IF336" s="216" t="e">
        <f t="shared" ca="1" si="1219"/>
        <v>#N/A</v>
      </c>
      <c r="IG336" s="91">
        <f ca="1">IF(OR(Control!$B$198=$AH336,Control!$B$199=$AH336, Control!$B$200=$AH336, Control!$B$201=$AH336, Control!$B$202=$AH336, Control!$B$203=$AH336, Control!$B$204=$AH336, Control!$B$205=$AH336, Control!$B$206=$AH336, Control!$B$207=$AH336), 1, 0)</f>
        <v>0</v>
      </c>
      <c r="IH336" s="91">
        <f ca="1">IF($IG336=0,0, VLOOKUP($AH336,Control!$B$198:$C$207,2))</f>
        <v>0</v>
      </c>
      <c r="II336" s="222">
        <f t="shared" ca="1" si="1336"/>
        <v>0</v>
      </c>
      <c r="IJ336" s="91">
        <f>Control!$C$121</f>
        <v>0.7</v>
      </c>
      <c r="IK336" s="218">
        <f t="shared" ca="1" si="1220"/>
        <v>0</v>
      </c>
      <c r="IL336" s="217" t="e">
        <f t="shared" ca="1" si="1373"/>
        <v>#N/A</v>
      </c>
      <c r="IM336" s="223" t="e">
        <f ca="1">IF(AND(Control!$C$114=1,$KH336&lt;1),$EB336*Control!$C$148*(1-$KH336), 0)</f>
        <v>#N/A</v>
      </c>
      <c r="IN336" s="217" t="e">
        <f t="shared" ca="1" si="1221"/>
        <v>#DIV/0!</v>
      </c>
      <c r="IO336" s="91" t="e">
        <f ca="1">MAX(0,$IL336-$EF336*Control!$C$160)</f>
        <v>#N/A</v>
      </c>
      <c r="IP336" s="220" t="e">
        <f t="shared" ca="1" si="1222"/>
        <v>#N/A</v>
      </c>
      <c r="IQ336" s="217" t="e">
        <f t="shared" ca="1" si="1337"/>
        <v>#N/A</v>
      </c>
      <c r="IR336" s="218" t="e">
        <f t="shared" ca="1" si="1223"/>
        <v>#N/A</v>
      </c>
      <c r="IS336" s="217" t="e">
        <f ca="1">Control!$C$159*MAX(0,$FD336-$EN336)</f>
        <v>#N/A</v>
      </c>
      <c r="IT336" s="217" t="e">
        <f t="shared" ca="1" si="1374"/>
        <v>#N/A</v>
      </c>
      <c r="IU336" s="217" t="e">
        <f t="shared" ca="1" si="1338"/>
        <v>#N/A</v>
      </c>
      <c r="IV336" s="217" t="e">
        <f t="shared" ca="1" si="1375"/>
        <v>#N/A</v>
      </c>
      <c r="IW336" s="217" t="e">
        <f ca="1">IF(OR($AW336=1,AND($AW336=0, Control!$B$18=1,$EN336&lt;&gt;0)), $IQ336-$IU336, $IQ336)</f>
        <v>#N/A</v>
      </c>
      <c r="IX336" s="218" t="e">
        <f t="shared" ca="1" si="1224"/>
        <v>#N/A</v>
      </c>
      <c r="IY336" s="218" t="e">
        <f ca="1">MAX(0,$IQ336-$EB336*Control!$C$159)</f>
        <v>#N/A</v>
      </c>
      <c r="IZ336" s="218" t="e">
        <f t="shared" ca="1" si="1225"/>
        <v>#N/A</v>
      </c>
      <c r="JA336" s="216" t="e">
        <f t="shared" ca="1" si="1226"/>
        <v>#N/A</v>
      </c>
      <c r="JB336" s="217" t="e">
        <f t="shared" ca="1" si="1227"/>
        <v>#N/A</v>
      </c>
      <c r="JC336" s="222" t="e">
        <f ca="1">MAX(Control!$C$157*$EK336-$JT336, 0)/Control!$C$162</f>
        <v>#N/A</v>
      </c>
      <c r="JD336" s="218" t="e">
        <f t="shared" ca="1" si="1228"/>
        <v>#N/A</v>
      </c>
      <c r="JE336" s="218" t="e">
        <f t="shared" ca="1" si="1229"/>
        <v>#N/A</v>
      </c>
      <c r="JF336" s="218" t="e">
        <f t="shared" ca="1" si="1339"/>
        <v>#N/A</v>
      </c>
      <c r="JG336" s="218" t="e">
        <f t="shared" ca="1" si="1230"/>
        <v>#N/A</v>
      </c>
      <c r="JH336" s="217" t="e">
        <f t="shared" ca="1" si="1340"/>
        <v>#N/A</v>
      </c>
      <c r="JI336" s="217" t="e">
        <f t="shared" ca="1" si="1341"/>
        <v>#N/A</v>
      </c>
      <c r="JJ336" s="217" t="e">
        <f t="shared" ca="1" si="1376"/>
        <v>#N/A</v>
      </c>
      <c r="JK336" s="217" t="e">
        <f ca="1">IF(Control!$C$114=1,IF(Control!$B$24=0,MAX(0,$JI336)*$GN336/Control!$C$64,(MAX(0,MIN($JI336,$JJ336*$GN336/Control!$C$64),0))))</f>
        <v>#N/A</v>
      </c>
      <c r="JL336" s="217" t="e">
        <f ca="1">$IK336/Control!$C$64-$JK336+$HQ336</f>
        <v>#N/A</v>
      </c>
      <c r="JM336" s="217" t="e">
        <f ca="1">IF(Control!$C$114=1,($JB336/(IF($JI336&lt;&gt;0,$JI336,1)))*$JK336,0)</f>
        <v>#N/A</v>
      </c>
      <c r="JN336" s="217" t="e">
        <f ca="1">IF(Control!$C$114=1,($JG336/(IF($JI336&lt;&gt;0,$JI336,1)))*$JK336, 0)</f>
        <v>#N/A</v>
      </c>
      <c r="JO336" s="218" t="e">
        <f t="shared" ca="1" si="1231"/>
        <v>#N/A</v>
      </c>
      <c r="JP336" s="218" t="e">
        <f ca="1">MIN(($IY336+$IO336)*Control!$C$151, $JF336-$EH336*Control!$C$161)</f>
        <v>#N/A</v>
      </c>
      <c r="JQ336" s="218" t="e">
        <f t="shared" ca="1" si="1232"/>
        <v>#N/A</v>
      </c>
      <c r="JR336" s="217" t="e">
        <f ca="1">IF($CP336-Control!$C$150&lt;0, 0, $JQ336/Control!$C$162)</f>
        <v>#N/A</v>
      </c>
      <c r="JS336" s="218" t="e">
        <f t="shared" ca="1" si="1233"/>
        <v>#N/A</v>
      </c>
      <c r="JT336" s="218" t="e">
        <f t="shared" ca="1" si="1342"/>
        <v>#N/A</v>
      </c>
      <c r="JU336" s="218" t="e">
        <f t="shared" ca="1" si="1234"/>
        <v>#N/A</v>
      </c>
      <c r="JV336" s="218" t="e">
        <f t="shared" ca="1" si="1235"/>
        <v>#N/A</v>
      </c>
      <c r="JW336" s="216" t="e">
        <f t="shared" ca="1" si="1236"/>
        <v>#N/A</v>
      </c>
      <c r="JX336" s="91" t="e">
        <f t="shared" ca="1" si="1237"/>
        <v>#N/A</v>
      </c>
      <c r="JY336" s="218" t="e">
        <f t="shared" ca="1" si="1238"/>
        <v>#N/A</v>
      </c>
      <c r="JZ336" s="217" t="e">
        <f ca="1">IF(Control!$C$114=1,($IZ336/(IF($JI336&lt;&gt;0,$JI336,1)))*$JK336, 0)</f>
        <v>#N/A</v>
      </c>
      <c r="KA336" s="218" t="e">
        <f t="shared" ca="1" si="1377"/>
        <v>#N/A</v>
      </c>
      <c r="KB336" s="218" t="e">
        <f t="shared" ca="1" si="1343"/>
        <v>#N/A</v>
      </c>
      <c r="KC336" s="218" t="e">
        <f t="shared" ca="1" si="1239"/>
        <v>#N/A</v>
      </c>
      <c r="KD336" s="218" t="e">
        <f t="shared" ca="1" si="1240"/>
        <v>#N/A</v>
      </c>
      <c r="KE336" s="218" t="e">
        <f t="shared" ca="1" si="1241"/>
        <v>#N/A</v>
      </c>
      <c r="KF336" s="218" t="e">
        <f t="shared" ca="1" si="1242"/>
        <v>#N/A</v>
      </c>
      <c r="KG336" s="216" t="e">
        <f t="shared" ca="1" si="1243"/>
        <v>#N/A</v>
      </c>
      <c r="KH336" s="221" t="e">
        <f ca="1">IF(Control!$B$24=0,1,MAX(0.001,MIN(1,IF(($IF336-$IE336)&lt;&gt;0,($KG336-$IE336)/($IF336-$IE336),1))))</f>
        <v>#N/A</v>
      </c>
      <c r="KI336" s="222" t="e">
        <f ca="1">IF(Control!$C$114=1, $KI335+ $KH335, 0)</f>
        <v>#N/A</v>
      </c>
      <c r="KJ336" s="217" t="e">
        <f t="shared" ca="1" si="1244"/>
        <v>#N/A</v>
      </c>
      <c r="KK336" s="218" t="e">
        <f t="shared" ca="1" si="1245"/>
        <v>#N/A</v>
      </c>
      <c r="KL336" s="274" t="e">
        <f ca="1">IF(Control!$B$26=3,4000000000*EXP(-8400/($G336+273)),IF(Control!$B$26=4,4000000000*EXP(-8400/($G336+273))*($KT336),0))</f>
        <v>#DIV/0!</v>
      </c>
      <c r="KM336" s="274" t="e">
        <f ca="1">IF(Control!$B$26=3,5600000000000*EXP(-9800/($G336+273)),IF(Control!$B$26=4,5600000000000*EXP(-9800/($G336+273))*$KT336,0))</f>
        <v>#DIV/0!</v>
      </c>
      <c r="KN336" s="454" t="e">
        <f t="shared" ca="1" si="1344"/>
        <v>#DIV/0!</v>
      </c>
      <c r="KO336" s="274" t="e">
        <f t="shared" ca="1" si="1345"/>
        <v>#DIV/0!</v>
      </c>
      <c r="KP336" s="454" t="e">
        <f t="shared" ca="1" si="1246"/>
        <v>#DIV/0!</v>
      </c>
      <c r="KQ336" s="454" t="e">
        <f t="shared" ca="1" si="1247"/>
        <v>#DIV/0!</v>
      </c>
      <c r="KR336" s="454" t="e">
        <f t="shared" ca="1" si="1248"/>
        <v>#DIV/0!</v>
      </c>
      <c r="KS336" s="454" t="e">
        <f t="shared" ca="1" si="1249"/>
        <v>#DIV/0!</v>
      </c>
      <c r="KT336" s="455" t="e">
        <f t="shared" ca="1" si="1250"/>
        <v>#DIV/0!</v>
      </c>
      <c r="KU336" s="456" t="e">
        <f ca="1">IF($CP336-Control!$C$149&lt;0, IF($NT336-0.01&lt;0,0,1),0)</f>
        <v>#N/A</v>
      </c>
      <c r="KV336" s="456" t="e">
        <f ca="1">IF(Control!$C$114=1,MAX(0,MIN(Control!$C$125*$KW336*$GN336,$KW336)))</f>
        <v>#DIV/0!</v>
      </c>
      <c r="KW336" s="456" t="e">
        <f t="shared" ca="1" si="1378"/>
        <v>#DIV/0!</v>
      </c>
      <c r="KX336" s="457" t="e">
        <f ca="1">IF($CP336-Control!$C$149&lt;0, IF($MR336-$OM336&lt;0,0,1),0)</f>
        <v>#N/A</v>
      </c>
      <c r="KY336" s="167">
        <f t="shared" ca="1" si="1346"/>
        <v>332</v>
      </c>
      <c r="KZ336" s="168">
        <f ca="1">1370*(1+0.033*COS(2*Control!$C$138*$AH336/365))</f>
        <v>1408.1097119662563</v>
      </c>
      <c r="LA336" s="169">
        <f t="shared" ca="1" si="1347"/>
        <v>1.0278170707327079</v>
      </c>
      <c r="LB336" s="169">
        <f t="shared" ca="1" si="1348"/>
        <v>-0.37871051891406543</v>
      </c>
      <c r="LC336" s="169">
        <f ca="1">ACOS(-TAN((2*Control!$B$8/360))*TAN(Calculations!$LB336))</f>
        <v>1.4522563424186197</v>
      </c>
      <c r="LD336" s="169">
        <f ca="1">((24*60)/PI())*0.082*$LA336*(($LC336*SIN(Control!$B$8*2*PI()/360))*SIN($LB336)+COS(Control!$B$8*2*PI()/360)*COS($LB336)*SIN($LC336))</f>
        <v>5.5982709218295232</v>
      </c>
      <c r="LE336" s="170">
        <f t="shared" ca="1" si="1251"/>
        <v>7.2235270953979356</v>
      </c>
      <c r="LF336" s="170">
        <f ca="1">SIN(Control!$C$139*Control!$B$8)*SIN($HD336)</f>
        <v>-0.2893312901597857</v>
      </c>
      <c r="LG336" s="170">
        <f ca="1">COS(Control!$C$139*Control!$B$8)*COS($HD336)</f>
        <v>0.5726592935432665</v>
      </c>
      <c r="LH336" s="170">
        <f ca="1">12*(1+2*ASIN(MAX(-1,MIN(1,$LF336/$LG336))/Control!$C$138))</f>
        <v>8.1234128018818055</v>
      </c>
      <c r="LI336" s="170">
        <f ca="1">12*(1+2*ASIN(MAX(-1,MIN(1,(-SIN(-4*Control!$C$139)+$LF336)/$LG336))/Control!$C$138))</f>
        <v>9.0634973733392385</v>
      </c>
      <c r="LJ336" s="168">
        <f ca="1">3600*($LH336*$LF336+24*$LG336*SQRT(1-$LK336*$LK336)/Control!$C$138)</f>
        <v>5129.9462208176565</v>
      </c>
      <c r="LK336" s="170">
        <f t="shared" ca="1" si="1252"/>
        <v>-0.5052415867899045</v>
      </c>
      <c r="LL336" s="170">
        <f t="shared" ca="1" si="1253"/>
        <v>0</v>
      </c>
      <c r="LM336" s="171">
        <f ca="1">Control!$C$145*$AB336</f>
        <v>6.6660906138995932E-2</v>
      </c>
      <c r="LN336" s="170">
        <f t="shared" ca="1" si="1349"/>
        <v>0.54</v>
      </c>
      <c r="LO336" s="170">
        <f t="shared" ca="1" si="1254"/>
        <v>0</v>
      </c>
      <c r="LP336" s="170">
        <f ca="1">Control!$C$140*((($D336+273.16)^4+($E336+273.16)^4)/2)*(0.34-0.14*SQRT($Y336))*(1.35*$AQ336/(0.75*$LD336)-0.35)</f>
        <v>-3.2464704755046001</v>
      </c>
      <c r="LQ336" s="170">
        <f ca="1">Control!$C$140*($G336+273)^4*(0.56-0.079*SQRT($Y336*10))*(0.1+0.9*$LO336)</f>
        <v>1.5241745131704001</v>
      </c>
      <c r="LR336" s="170">
        <f ca="1">$AQ336*(1-Control!$C$142)-$LQ336</f>
        <v>-1.5241745131704001</v>
      </c>
      <c r="LS336" s="170">
        <f ca="1">$AQ336*(1-Control!$C$143)-$LQ336</f>
        <v>-1.5241745131704001</v>
      </c>
      <c r="LT336" s="170">
        <f ca="1">$AQ336*(1-Control!$C$144)-$LQ336</f>
        <v>-1.5241745131704001</v>
      </c>
      <c r="LU336" s="169">
        <f ca="1">(1-Control!$C$144)*AQ336-LP336</f>
        <v>3.2464704755046001</v>
      </c>
      <c r="LV336" s="172">
        <f t="shared" ca="1" si="1255"/>
        <v>0.79430000000000012</v>
      </c>
      <c r="LW336" s="170">
        <f t="shared" ca="1" si="1256"/>
        <v>1.5886000000000002</v>
      </c>
      <c r="LX336" s="170">
        <f ca="1">($AC336*($LR336/Control!$C$141)+$LM336*$LV336)/($AC336+$LM336)</f>
        <v>0.23530094218323697</v>
      </c>
      <c r="LY336" s="170">
        <f ca="1">($AC336*($LS336/Control!$C$141)+$LM336*$LV336)/($AC336+$LM336)</f>
        <v>0.23530094218323697</v>
      </c>
      <c r="LZ336" s="170">
        <f t="shared" ca="1" si="1257"/>
        <v>0.23530094218323697</v>
      </c>
      <c r="MA336" s="170">
        <f t="shared" ca="1" si="1258"/>
        <v>0.23530094218323697</v>
      </c>
      <c r="MB336" s="170" t="e">
        <f t="shared" ca="1" si="1259"/>
        <v>#N/A</v>
      </c>
      <c r="MC336" s="170">
        <f t="shared" ca="1" si="1350"/>
        <v>0.6018</v>
      </c>
      <c r="MD336" s="170">
        <f t="shared" ca="1" si="1260"/>
        <v>0.52989392535414004</v>
      </c>
      <c r="ME336" s="170">
        <f ca="1">($AC336*($LT336/Control!$C$141)+$LM336*$LW336)/($AC336+$LM336)</f>
        <v>0.71612369323045078</v>
      </c>
      <c r="MF336" s="170" t="e">
        <f ca="1">IF(Control!$B$16&gt;=1000,0.92,IF(AND(720&lt;=Control!$B$16,1000&gt;Control!$B$16),(0.95+(Control!$B$16-720)*((0.92-0.95)/(1000-720))),IF(AND(360&lt;=Control!$B$16,720&gt;Control!$B$16),(1+(Control!$B$16-360)*((0.95-1)/(720-360))),IF(AND(40&lt;=Control!$B$16,360&gt;Control!$B$16),(1.05+(Control!$B$16-40)*((1.05-1)/(360-40)))))))</f>
        <v>#N/A</v>
      </c>
      <c r="MG336" s="170">
        <f t="shared" ca="1" si="1261"/>
        <v>0.71612369323045078</v>
      </c>
      <c r="MH336" s="170" t="e">
        <f t="shared" ca="1" si="1262"/>
        <v>#N/A</v>
      </c>
      <c r="MI336" s="170" t="e">
        <f t="shared" ca="1" si="1262"/>
        <v>#N/A</v>
      </c>
      <c r="MJ336" s="170" t="e">
        <f ca="1">MAX(0.0001, Control!$C$132*$MI336*$DL336)</f>
        <v>#N/A</v>
      </c>
      <c r="MK336" s="170">
        <f ca="1">1/(0.76+1.5*($MG336/10))-(5-Control!$C$110)*0.1</f>
        <v>1.002845988140797</v>
      </c>
      <c r="ML336" s="173">
        <f ca="1">IF(Control!$C$110&lt;3,$MK336+($MG336-0.6)/(Control!$C$110*(Control!$C$110+3)), MAX(0.1, MIN(0.95,$MK336)))</f>
        <v>0.95</v>
      </c>
      <c r="MM336" s="173">
        <f ca="1">IF(Control!$C$110&lt;3,$MK336+(($MI336/10)-0.6)/(Control!$C$110*(Control!$C$110+3)), MAX(0.1, MIN(0.95,$MK336)))</f>
        <v>0.95</v>
      </c>
      <c r="MN336" s="173">
        <f ca="1">(1-$MM336)*(Control!$C$128-Control!$C$127)+Control!$C$127</f>
        <v>0.16</v>
      </c>
      <c r="MO336" s="170" t="e">
        <f ca="1">MAX(0,MIN(1,($MS336-Control!$C$127)/($MN336-Control!$C$127)))</f>
        <v>#DIV/0!</v>
      </c>
      <c r="MP336" s="173" t="e">
        <f ca="1">1/(0.76+1.5*$MI336)-(5-Control!$C$110)*0.1</f>
        <v>#N/A</v>
      </c>
      <c r="MQ336" s="172" t="e">
        <f t="shared" ca="1" si="1379"/>
        <v>#DIV/0!</v>
      </c>
      <c r="MR336" s="168" t="e">
        <f t="shared" ca="1" si="1351"/>
        <v>#DIV/0!</v>
      </c>
      <c r="MS336" s="173" t="e">
        <f ca="1">MAX(Control!$C$127, MIN(Control!$C$135, $MR336/MAX(0.0001,$CY336)))</f>
        <v>#DIV/0!</v>
      </c>
      <c r="MT336" s="168" t="e">
        <f ca="1">(Control!$C$128-$MS336)*Control!$C$74</f>
        <v>#DIV/0!</v>
      </c>
      <c r="MU336" s="168" t="e">
        <f ca="1">(Control!$C$135-$MS336)*Control!$C$74</f>
        <v>#DIV/0!</v>
      </c>
      <c r="MV336" s="168" t="e">
        <f t="shared" ca="1" si="1352"/>
        <v>#DIV/0!</v>
      </c>
      <c r="MW336" s="168" t="e">
        <f t="shared" ca="1" si="1353"/>
        <v>#DIV/0!</v>
      </c>
      <c r="MX336" s="171" t="e">
        <f ca="1">MAX(Control!$C$127, MIN(Control!$C$135, $MW336/MAX(0.0001,Control!$C$119-$CY336)))</f>
        <v>#DIV/0!</v>
      </c>
      <c r="MY336" s="54" t="e">
        <f ca="1">IF(Control!$C$114=1, $CX336*$MX336, 0)</f>
        <v>#DIV/0!</v>
      </c>
      <c r="MZ336" s="54" t="e">
        <f t="shared" ca="1" si="1354"/>
        <v>#N/A</v>
      </c>
      <c r="NA336" s="168" t="e">
        <f ca="1">(Control!$C$128-$MX336)*(Control!$C$119-Control!$C$74)</f>
        <v>#DIV/0!</v>
      </c>
      <c r="NB336" s="168" t="e">
        <f ca="1">(Control!$C$135-$MX336)*(Control!$C$119-Control!$C$74)</f>
        <v>#DIV/0!</v>
      </c>
      <c r="NC336" s="174" t="e">
        <f t="shared" ca="1" si="1355"/>
        <v>#DIV/0!</v>
      </c>
      <c r="ND336" s="54">
        <f ca="1">IF(Control!$C$58=2, IF(OR(Control!$B$218=$AH336,Control!$B$219=$AH336, Control!$B$220=$AH336, Control!$B$221=$AH336, Control!$B$222=$AH336, Control!$B$223=$AH336, Control!$B$224=$AH336, Control!$B$225=$AH336, Control!$B$226=$AH336, Control!$B$227=$AH336, Control!$B$228=$AH336), 1, 0), 0)</f>
        <v>0</v>
      </c>
      <c r="NE336" s="54">
        <f ca="1">IF($ND336=0,0, VLOOKUP($AH336,Control!$B$218:$C$228,2))</f>
        <v>0</v>
      </c>
      <c r="NF336" s="168" t="e">
        <f ca="1">$CY336*(Control!$C$128-Control!$C$127)</f>
        <v>#N/A</v>
      </c>
      <c r="NG336" s="54" t="e">
        <f ca="1">IF(Control!$C$58=2, $NI335-$NJ335, 0)</f>
        <v>#DIV/0!</v>
      </c>
      <c r="NH336" s="54" t="e">
        <f ca="1">IF(AND(Control!$C$58=1, $MS335&lt;= ($MN335+0.02), $I335&lt;10), 0, IF(Control!$C$58=2, $NG335, 0))</f>
        <v>#DIV/0!</v>
      </c>
      <c r="NI336" s="54" t="e">
        <f ca="1">IF(Control!$C$58=2, $NE336+$NH336,0)</f>
        <v>#DIV/0!</v>
      </c>
      <c r="NJ336" s="54" t="e">
        <f ca="1">IF(AND(Control!$C$58=1, $MS336&lt;= ($MN336+0.02), $I336&lt;10), MAX(0, MIN(10, 0.7*($NF336-$MV336))), IF(Control!$C$58=2, MIN(10,$NI336),0))</f>
        <v>#DIV/0!</v>
      </c>
      <c r="NK336" s="54" t="e">
        <f t="shared" ca="1" si="1263"/>
        <v>#DIV/0!</v>
      </c>
      <c r="NL336" s="173" t="e">
        <f ca="1">(1-Control!$C$73)*$I336+$NJ336</f>
        <v>#DIV/0!</v>
      </c>
      <c r="NM336" s="172" t="e">
        <f ca="1">IF($NL336&lt;0.5, $MB336* MAX(0, MIN(1, (SQRT($NC336)-SQRT($NC336-1))*Control!$C$71)),0)</f>
        <v>#DIV/0!</v>
      </c>
      <c r="NN336" s="170" t="e">
        <f ca="1">IF($NL336&gt;=5, $MB336, MAX(0,MIN($MB336, $NM336+$NL336,($MS336-Control!$C$129))))</f>
        <v>#DIV/0!</v>
      </c>
      <c r="NO336" s="54">
        <f>IF(Control!$C$133&lt;&gt;1, Control!$C$135-Control!$C$131, 0)</f>
        <v>0.38</v>
      </c>
      <c r="NP336" s="54" t="e">
        <f t="shared" ca="1" si="1264"/>
        <v>#DIV/0!</v>
      </c>
      <c r="NQ336" s="173" t="e">
        <f ca="1">MAX(0,MIN(1,(Control!$C$135-$MS336)/(Control!$C$135-$NO336)))</f>
        <v>#DIV/0!</v>
      </c>
      <c r="NR336" s="170" t="e">
        <f ca="1">IF(Control!$C$133&lt;&gt;1, $NQ336+((1-$NP336/4)*(1-$NQ336)),1)</f>
        <v>#DIV/0!</v>
      </c>
      <c r="NS336" s="170" t="e">
        <f ca="1">IF(Control!$B$31=0,$MJ336,MAX(0,MIN($MV336,$MO336*$NR336*$MJ336)))</f>
        <v>#DIV/0!</v>
      </c>
      <c r="NT336" s="170" t="e">
        <f t="shared" ca="1" si="1380"/>
        <v>#DIV/0!</v>
      </c>
      <c r="NU336" s="170" t="e">
        <f t="shared" ca="1" si="1356"/>
        <v>#N/A</v>
      </c>
      <c r="NV336" s="170" t="e">
        <f t="shared" ca="1" si="1265"/>
        <v>#N/A</v>
      </c>
      <c r="NW336" s="175" t="e">
        <f t="shared" ca="1" si="1266"/>
        <v>#DIV/0!</v>
      </c>
      <c r="NX336" s="170" t="e">
        <f ca="1">MIN(Control!$C$72+$MU336, $NW336)</f>
        <v>#DIV/0!</v>
      </c>
      <c r="NY336" s="170" t="e">
        <f ca="1">IF($MT336&lt;=$NX336,MIN(Control!$C$72+$NB336,$NX336-$MT336),0)</f>
        <v>#DIV/0!</v>
      </c>
      <c r="NZ336" s="54" t="e">
        <f ca="1">IF(Control!$C$114=1,  $CX336*($MX336-Control!$C$127), 0)</f>
        <v>#DIV/0!</v>
      </c>
      <c r="OA336" s="170" t="e">
        <f t="shared" ca="1" si="1267"/>
        <v>#DIV/0!</v>
      </c>
      <c r="OB336" s="170" t="e">
        <f ca="1">IF($NA336 &lt;=$NY336, MIN(Control!$C$72, $NY336-$NA336), 0)</f>
        <v>#DIV/0!</v>
      </c>
      <c r="OC336" s="168" t="e">
        <f t="shared" ca="1" si="1268"/>
        <v>#DIV/0!</v>
      </c>
      <c r="OD336" s="168" t="e">
        <f t="shared" ca="1" si="1357"/>
        <v>#DIV/0!</v>
      </c>
      <c r="OE336" s="170">
        <f ca="1">Control!$C$73*$I336</f>
        <v>0</v>
      </c>
      <c r="OF336" s="176" t="e">
        <f t="shared" ca="1" si="1269"/>
        <v>#DIV/0!</v>
      </c>
      <c r="OG336" s="168" t="e">
        <f t="shared" ca="1" si="1270"/>
        <v>#DIV/0!</v>
      </c>
      <c r="OH336" s="168" t="e">
        <f t="shared" ca="1" si="1271"/>
        <v>#DIV/0!</v>
      </c>
      <c r="OI336" s="168" t="e">
        <f t="shared" ca="1" si="1272"/>
        <v>#DIV/0!</v>
      </c>
      <c r="OJ336" s="168" t="e">
        <f t="shared" ca="1" si="1273"/>
        <v>#DIV/0!</v>
      </c>
      <c r="OK336" s="204" t="e">
        <f t="shared" ca="1" si="1274"/>
        <v>#DIV/0!</v>
      </c>
      <c r="OL336" s="177">
        <f>Control!$C$127</f>
        <v>0.15</v>
      </c>
      <c r="OM336" s="182" t="e">
        <f t="shared" ca="1" si="1275"/>
        <v>#N/A</v>
      </c>
      <c r="ON336" s="177">
        <f>Control!$C$128</f>
        <v>0.35</v>
      </c>
      <c r="OO336" s="182" t="e">
        <f t="shared" ca="1" si="1276"/>
        <v>#N/A</v>
      </c>
      <c r="OP336" s="138">
        <f t="shared" ca="1" si="1358"/>
        <v>0</v>
      </c>
      <c r="OQ336" s="138" t="e">
        <f t="shared" ca="1" si="1381"/>
        <v>#DIV/0!</v>
      </c>
      <c r="OR336" s="138" t="e">
        <f t="shared" ca="1" si="1359"/>
        <v>#DIV/0!</v>
      </c>
      <c r="OS336" s="137" t="e">
        <f t="shared" ca="1" si="1382"/>
        <v>#DIV/0!</v>
      </c>
      <c r="OT336" s="139" t="e">
        <f t="shared" ca="1" si="1383"/>
        <v>#DIV/0!</v>
      </c>
      <c r="OU336" s="138" t="e">
        <f t="shared" ca="1" si="1384"/>
        <v>#N/A</v>
      </c>
      <c r="OV336" s="138" t="e">
        <f t="shared" ca="1" si="1385"/>
        <v>#DIV/0!</v>
      </c>
      <c r="OW336" s="138" t="e">
        <f t="shared" ca="1" si="1360"/>
        <v>#DIV/0!</v>
      </c>
      <c r="OX336" s="138" t="e">
        <f t="shared" ca="1" si="1361"/>
        <v>#DIV/0!</v>
      </c>
      <c r="OY336" s="138" t="e">
        <f t="shared" ca="1" si="1362"/>
        <v>#DIV/0!</v>
      </c>
      <c r="OZ336" s="138" t="e">
        <f t="shared" ca="1" si="1277"/>
        <v>#DIV/0!</v>
      </c>
      <c r="PA336" s="138" t="e">
        <f t="shared" ca="1" si="1278"/>
        <v>#DIV/0!</v>
      </c>
      <c r="PB336" s="55">
        <f>IF(Control!$C$61="T", IF(Control!$C$65="F", IF($AH$6-Control!$C$60&lt;0,0,1), IF(365+$AH$6-Control!$C$60&lt;0,0,1)),0)</f>
        <v>0</v>
      </c>
      <c r="PC336" s="55">
        <f ca="1">IF(Control!$C$65="F", IF($AH$6-$HF336&lt;0,0,1), IF(365+$AH$6-$HF336&lt;0,0,1))</f>
        <v>1</v>
      </c>
      <c r="PD336" s="444">
        <f>Control!$C$118</f>
        <v>1500</v>
      </c>
      <c r="PE336" s="180" t="e">
        <f t="shared" ca="1" si="1279"/>
        <v>#N/A</v>
      </c>
      <c r="PF336" s="445">
        <f t="shared" ca="1" si="1363"/>
        <v>0.71612369323045078</v>
      </c>
      <c r="PT336" s="186"/>
      <c r="PU336" s="186"/>
      <c r="PV336" s="94"/>
      <c r="PW336" s="94"/>
      <c r="PX336" s="94"/>
      <c r="PY336" s="94"/>
      <c r="PZ336" s="94"/>
      <c r="QA336" s="94"/>
      <c r="QB336" s="94"/>
      <c r="QC336" s="94"/>
      <c r="QD336" s="94"/>
      <c r="QE336" s="94"/>
      <c r="QF336" s="94"/>
      <c r="QG336" s="94"/>
      <c r="QH336" s="94"/>
      <c r="QI336" s="94"/>
      <c r="QJ336" s="94"/>
      <c r="QK336" s="94"/>
      <c r="QL336" s="94"/>
      <c r="QM336" s="94"/>
      <c r="QN336" s="94"/>
      <c r="QO336" s="94"/>
      <c r="QP336" s="94"/>
    </row>
    <row r="337" spans="1:458" s="2" customFormat="1" x14ac:dyDescent="0.2">
      <c r="A337" s="395">
        <v>28</v>
      </c>
      <c r="B337" s="396">
        <v>11</v>
      </c>
      <c r="C337" s="387">
        <f ca="1">Weather_data!$B336</f>
        <v>0</v>
      </c>
      <c r="D337" s="388">
        <f ca="1">Weather_data!$F336</f>
        <v>0</v>
      </c>
      <c r="E337" s="388">
        <f ca="1">Weather_data!$E336</f>
        <v>0</v>
      </c>
      <c r="F337" s="388">
        <f t="shared" ca="1" si="1280"/>
        <v>0</v>
      </c>
      <c r="G337" s="388">
        <f ca="1">AVERAGE($D337:$E337)+Control!$B$9</f>
        <v>0</v>
      </c>
      <c r="H337" s="388">
        <f ca="1">Weather_data!$G336</f>
        <v>0</v>
      </c>
      <c r="I337" s="388">
        <f ca="1">Weather_data!$I336</f>
        <v>0</v>
      </c>
      <c r="J337" s="388">
        <f ca="1">Weather_data!$H336</f>
        <v>0</v>
      </c>
      <c r="K337" s="389">
        <f ca="1">Weather_data!$D336</f>
        <v>0</v>
      </c>
      <c r="L337" s="388" t="e">
        <f t="shared" ca="1" si="1281"/>
        <v>#N/A</v>
      </c>
      <c r="M337" s="388" t="e">
        <f t="shared" ca="1" si="1158"/>
        <v>#N/A</v>
      </c>
      <c r="N337" s="388">
        <f t="shared" ca="1" si="1159"/>
        <v>-3.5747084651261733E-16</v>
      </c>
      <c r="O337" s="388">
        <f t="shared" ca="1" si="1282"/>
        <v>3.5747084651261731E-15</v>
      </c>
      <c r="P337" s="390">
        <v>3</v>
      </c>
      <c r="Q337" s="388">
        <f ca="1">MAX($G337-Control!$C$107,0)</f>
        <v>0</v>
      </c>
      <c r="R337" s="388">
        <f t="shared" ca="1" si="1283"/>
        <v>0</v>
      </c>
      <c r="S337" s="388">
        <f t="shared" ca="1" si="1160"/>
        <v>0</v>
      </c>
      <c r="T337" s="388">
        <f t="shared" ca="1" si="1161"/>
        <v>0</v>
      </c>
      <c r="U337" s="59">
        <f t="shared" ca="1" si="1162"/>
        <v>0</v>
      </c>
      <c r="V337" s="391">
        <f ca="1">MAX(0,MIN(Control!$C$100-Control!$C$99,$G337-Control!$C$99)*Control!$C$63)</f>
        <v>0</v>
      </c>
      <c r="W337" s="388">
        <f t="shared" ca="1" si="1284"/>
        <v>0</v>
      </c>
      <c r="X337" s="388">
        <f t="shared" ca="1" si="1285"/>
        <v>0.6110000000000001</v>
      </c>
      <c r="Y337" s="388">
        <f t="shared" ca="1" si="1163"/>
        <v>0</v>
      </c>
      <c r="Z337" s="388">
        <f t="shared" ca="1" si="1286"/>
        <v>0.61058800000000002</v>
      </c>
      <c r="AA337" s="388">
        <f t="shared" ca="1" si="1164"/>
        <v>0.6018</v>
      </c>
      <c r="AB337" s="388">
        <f ca="1">101.3*EXP(-0.034*Control!$C$66/($G337+273))</f>
        <v>100.69623283836242</v>
      </c>
      <c r="AC337" s="392">
        <f t="shared" ca="1" si="1165"/>
        <v>4.3460251046025113E-2</v>
      </c>
      <c r="AD337" s="392">
        <f t="shared" ca="1" si="1166"/>
        <v>4.4450382862832649E-2</v>
      </c>
      <c r="AE337" s="388">
        <f t="shared" ca="1" si="1167"/>
        <v>0</v>
      </c>
      <c r="AF337" s="388">
        <f ca="1">MAX(0,$G337-Control!$C$92)</f>
        <v>0</v>
      </c>
      <c r="AG337" s="393">
        <f t="shared" ca="1" si="1168"/>
        <v>333</v>
      </c>
      <c r="AH337" s="389">
        <f t="shared" ca="1" si="1169"/>
        <v>333</v>
      </c>
      <c r="AI337" s="388">
        <f t="shared" ca="1" si="1287"/>
        <v>-0.37874359730966289</v>
      </c>
      <c r="AJ337" s="388">
        <f ca="1">IF(Control!$C$60&lt;=0,$HH337,$HI337)</f>
        <v>1</v>
      </c>
      <c r="AK337" s="388">
        <f t="shared" ca="1" si="1170"/>
        <v>4.3551941992231109</v>
      </c>
      <c r="AL337" s="388">
        <f t="shared" ca="1" si="1171"/>
        <v>-1.0279206305585651E-17</v>
      </c>
      <c r="AM337" s="388">
        <f t="shared" ca="1" si="1172"/>
        <v>4.3551941992231109</v>
      </c>
      <c r="AN337" s="388">
        <f t="shared" ca="1" si="1173"/>
        <v>-0.38190769207012848</v>
      </c>
      <c r="AO337" s="388">
        <f ca="1">-0.10453/COS(Control!$B$8*PI()/180)*COS(AN337)</f>
        <v>-0.15755277211465885</v>
      </c>
      <c r="AP337" s="388">
        <f ca="1">ACOS(AO337-TAN(Control!$B$8*PI()/180)*TAN(AN337))</f>
        <v>1.2062712399591433</v>
      </c>
      <c r="AQ337" s="388">
        <f t="shared" ca="1" si="1288"/>
        <v>0</v>
      </c>
      <c r="AR337" s="394">
        <f t="shared" ca="1" si="1174"/>
        <v>0</v>
      </c>
      <c r="AS337" s="436">
        <f ca="1">IF(Control!$B$18=2,(IF(OR($AH337=Control!$B$175,$AH337=Control!$B$176,$AH337=Control!$B$177,$AH337=Control!$B$178,$AH337=Control!$B$179,$AH337=Control!$B$180,$AH337=Control!$B$181,$AH337=Control!$B$182,$AH337=Control!$B$183,$AH337=Control!$B$184,$AH337=Control!$B$185),1,0)),0)</f>
        <v>0</v>
      </c>
      <c r="AT337" s="436">
        <f>IF(Control!$B$20=8,IF(AND($AH337&gt;=Control!$B$172,$AH337&lt;=Control!$B$173),1,0),0)</f>
        <v>0</v>
      </c>
      <c r="AU337" s="436">
        <f>IF(Control!$B$20=8,IF($AV336=1,1*$AT337,IF($AT337=1,$AU336+1,$AU336)),0)</f>
        <v>0</v>
      </c>
      <c r="AV337" s="436">
        <f>IF(Control!$B$20=8,IF($AU337&gt;=Control!$B$174,1,0),0)</f>
        <v>0</v>
      </c>
      <c r="AW337" s="436">
        <f ca="1">IF(AND(Control!$B$18=2,Control!$B$171=1), $AV337, $AS337)</f>
        <v>0</v>
      </c>
      <c r="AX337" s="436" t="e">
        <f ca="1">IF(AND(Control!$B$18=1,$EU337&gt;=Control!$B$19),-$AY337,IF(AND(Control!$B$18=2,$AW337=1,$EU337&gt;$DS337),-$AY337, IF(Control!$C$108=0,0, IF(Control!$C$108&lt;&gt;0,1))))</f>
        <v>#N/A</v>
      </c>
      <c r="AY337" s="436" t="e">
        <f t="shared" ca="1" si="1289"/>
        <v>#N/A</v>
      </c>
      <c r="AZ337" s="436" t="e">
        <f ca="1">IF(AND(Control!$B$18=1,$EB337&gt;Control!$B$19),$AZ336+1, IF(AND(Control!$B$18=2, $AW337=1, $EB337&gt;$DS337), $AZ336+1,$AZ336))</f>
        <v>#N/A</v>
      </c>
      <c r="BA337" s="587">
        <f>IF(Control!$C$81=0,1,IF($AH337&gt;=Control!$C$82,1,0))</f>
        <v>1</v>
      </c>
      <c r="BB337" s="140" t="e">
        <f ca="1">IF($BA337&gt;$BA336,Control!$C$83,IF($AW337&gt;0,$AW337*Control!$C$84,IF(AND(Control!$B$18=1,EN336&lt;&gt;0),Control!$C$84,0)))</f>
        <v>#N/A</v>
      </c>
      <c r="BC337" s="140" t="e">
        <f t="shared" ca="1" si="1290"/>
        <v>#N/A</v>
      </c>
      <c r="BD337" s="140" t="e">
        <f ca="1">BC337*IF(OR($G337&lt;Control!$C$92,$G337&gt;Control!$C$95),0,IF(AND($G337&gt;=Control!$C$92,$G337&lt;=Control!$C$93),$G337-Control!$C$92,IF(AND($G337&gt;Control!$C$93,$G337&lt;=Control!$C$94),Control!$C$93-Control!$C$92,IF(AND($G337&gt;Control!$C$94,$G337&lt;=Control!$C$95),(Control!$C$93-Control!$C$92)*(Control!$C$94-$G337)/(Control!$C$95-Control!$C$94)))))</f>
        <v>#N/A</v>
      </c>
      <c r="BE337" s="140" t="e">
        <f t="shared" ca="1" si="1291"/>
        <v>#N/A</v>
      </c>
      <c r="BF337" s="140" t="e">
        <f ca="1">IF($BE337&lt;=Control!$C$86,$BE337,Control!$C$86-$BE337)</f>
        <v>#N/A</v>
      </c>
      <c r="BG337" s="140" t="e">
        <f ca="1">IF(AND($AW337=1,Control!$C$84&lt;9),1,IF($BE337&gt;=Control!$C$86,0,$BC337))</f>
        <v>#N/A</v>
      </c>
      <c r="BH337" s="404" t="e">
        <f ca="1">IF($BG337=0,0,IF($BE337&lt;=Control!$C$86,$BC337*9*($BF337/Control!$C$86),0))</f>
        <v>#N/A</v>
      </c>
      <c r="BI337" s="140" t="e">
        <f ca="1">IF($BG337=1,0,IF($BE337&gt;=Control!$C$86,1,IF(AND($BB337&lt;21,$BB337&gt;=9),1,$BM336)))</f>
        <v>#N/A</v>
      </c>
      <c r="BJ337" s="140" t="e">
        <f ca="1">IF($BF337&lt;0,-$BF337,$BI337*IF(OR($G337&lt;Control!$C$92,$G337&gt;Control!$C$95),0,IF(AND($G337&gt;=Control!$C$92,$G337&lt;=Control!$C$93),$G337-Control!$C$92,IF(AND($G337&gt;Control!$C$93,$G337&lt;=Control!$C$94),Control!$C$93-Control!$C$92,IF(AND($G337&gt;Control!$C$94,$G337&lt;=Control!$C$95),(Control!$C$93-Control!$C$92)*(Control!$C$94-$G337)/(Control!$C$95-Control!$C$94))))))</f>
        <v>#N/A</v>
      </c>
      <c r="BK337" s="140" t="e">
        <f t="shared" ca="1" si="1292"/>
        <v>#N/A</v>
      </c>
      <c r="BL337" s="140" t="e">
        <f ca="1">IF($BK337&lt;=Control!$C$87,$BK337,Control!$C$87-$BK337)</f>
        <v>#N/A</v>
      </c>
      <c r="BM337" s="140" t="e">
        <f ca="1">IF(AND($BB337&gt;=9,$BB337&lt;21),1,IF($BK337&gt;=Control!$C$87,0,$BI337))</f>
        <v>#N/A</v>
      </c>
      <c r="BN337" s="404" t="e">
        <f ca="1">IF($BM337=0,0,IF($BK337&lt;=Control!$C$87,$BI337*(9+(21-9)*($BL337/Control!$C$87)),0))</f>
        <v>#N/A</v>
      </c>
      <c r="BO337" s="140" t="e">
        <f ca="1">IF($BM337=1,0,IF($BK337&gt;=Control!$C$87,1,IF(AND($BB337&lt;30,$BB337&gt;=21),1,$BS336)))</f>
        <v>#N/A</v>
      </c>
      <c r="BP337" s="140" t="e">
        <f ca="1">IF($BL337&lt;0,-$BL337,$BO337*IF(OR($G337&lt;Control!$C$92,$G337&gt;Control!$C$95),0,IF(AND($G337&gt;=Control!$C$92,$G337&lt;=Control!$C$93),$G337-Control!$C$92,IF(AND($G337&gt;Control!$C$93,$G337&lt;=Control!$C$94),Control!$C$93-Control!$C$92,IF(AND($G337&gt;Control!$C$94,$G337&lt;=Control!$C$95),(Control!$C$93-Control!$C$92)*(Control!$C$94-$G337)/(Control!$C$95-Control!$C$94))))))</f>
        <v>#N/A</v>
      </c>
      <c r="BQ337" s="140" t="e">
        <f t="shared" ca="1" si="1175"/>
        <v>#N/A</v>
      </c>
      <c r="BR337" s="140" t="e">
        <f ca="1">IF($BQ337&lt;=Control!$C$88,$BQ337,Control!$C$88-$BQ337)</f>
        <v>#N/A</v>
      </c>
      <c r="BS337" s="140" t="e">
        <f ca="1">IF(AND($BB337&gt;=21,$BB337&lt;30),1,IF($BQ337&gt;=Control!$C$88,0,$BO337))</f>
        <v>#N/A</v>
      </c>
      <c r="BT337" s="404" t="e">
        <f ca="1">IF($BS337=0,0,IF($BQ337&lt;=Control!$C$88,$BO337*(21+(30-21)*(BR337/Control!$C$88)),0))</f>
        <v>#N/A</v>
      </c>
      <c r="BU337" s="140" t="e">
        <f ca="1">IF(BG337+BM337+BS337=1,0,IF(OR(AND($BB337&lt;60,$BB337&gt;=30),$BQ337&gt;=Control!$C$88),1*$BA337,$BY336))</f>
        <v>#N/A</v>
      </c>
      <c r="BV337" s="140" t="e">
        <f ca="1">IF($BR337&lt;0,-$BR337,$BU337*IF(OR($G337&lt;Control!$C$92,$G337&gt;Control!$C$95),0,IF(AND($G337&gt;=Control!$C$92,$G337&lt;=Control!$C$93),$G337-Control!$C$92,IF(AND($G337&gt;Control!$C$93,$G337&lt;=Control!$C$94),Control!$C$93-Control!$C$92,IF(AND($G337&gt;Control!$C$94,$G337&lt;=Control!$C$95),(Control!$C$93-Control!$C$92)*(Control!$C$94-$G337)/(Control!$C$95-Control!$C$94))))))</f>
        <v>#N/A</v>
      </c>
      <c r="BW337" s="140" t="e">
        <f t="shared" ca="1" si="1176"/>
        <v>#N/A</v>
      </c>
      <c r="BX337" s="140" t="e">
        <f ca="1">IF($BW337&lt;=Control!$C$89,$BW337,Control!$C$89-$BW337)</f>
        <v>#N/A</v>
      </c>
      <c r="BY337" s="140" t="e">
        <f ca="1">IF(AND($AJ337&gt;=30,$AJ337&lt;60),1,IF($BW337&gt;=Control!$C$89,0,$BU337))</f>
        <v>#N/A</v>
      </c>
      <c r="BZ337" s="404" t="e">
        <f ca="1">IF($BY337=0,0,IF($BW337&lt;=Control!$C$89,$BU337*(30+(60-30)*(BX337/Control!$C$89)),0))</f>
        <v>#N/A</v>
      </c>
      <c r="CA337" s="140" t="e">
        <f ca="1">IF($BG337+$BM337+$BS337+$BY337=1,0,IF(OR(AND($BB337&lt;65,$BB337&gt;=60),$BW337&gt;=Control!$C$89),1*$BA337,$CE336))</f>
        <v>#N/A</v>
      </c>
      <c r="CB337" s="140" t="e">
        <f ca="1">IF($BX337&lt;0,-$BX337,$CA337*IF(OR($G337&lt;Control!$C$92,$G337&gt;Control!$C$95),0,IF(AND($G337&gt;=Control!$C$92,$G337&lt;=Control!$C$93),$G337-Control!$C$92,IF(AND($G337&gt;Control!$C$93,$G337&lt;=Control!$C$94),Control!$C$93-Control!$C$92,IF(AND($G337&gt;Control!$C$94,$G337&lt;=Control!$C$95),(Control!$C$93-Control!$C$92)*(Control!$C$94-$G337)/(Control!$C$95-Control!$C$94))))))</f>
        <v>#N/A</v>
      </c>
      <c r="CC337" s="140" t="e">
        <f t="shared" ca="1" si="1293"/>
        <v>#N/A</v>
      </c>
      <c r="CD337" s="140" t="e">
        <f ca="1">IF($CC337&lt;=Control!$C$90,$CC337,Control!$C$90-$CC337)</f>
        <v>#N/A</v>
      </c>
      <c r="CE337" s="140" t="e">
        <f ca="1">IF(AND($BB337&gt;=60,$BB337&lt;65),1,IF($CC337&gt;=Control!$C$90,0,$CA337))</f>
        <v>#N/A</v>
      </c>
      <c r="CF337" s="404" t="e">
        <f ca="1">IF($CE337=0,0,IF($CC337&lt;=Control!$C$90,$CA337*(60+(65-60)*(CD337/Control!$C$90)),0))</f>
        <v>#N/A</v>
      </c>
      <c r="CG337" s="140" t="e">
        <f ca="1">IF($BG337+$BM337+$BS337+$BY337+$CE337=1,0,IF(OR(AND($BB337&lt;90,$BB337&gt;=65),$CC337&gt;=Control!$C$90),$BA337,$CK336))</f>
        <v>#N/A</v>
      </c>
      <c r="CH337" s="140" t="e">
        <f ca="1">IF($CD337&lt;0,-$CD337,$CG337*IF(OR($G337&lt;Control!$C$92,$G337&gt;Control!$C$95),0,IF(AND($G337&gt;=Control!$C$92,$G337&lt;=Control!$C$93),$G337-Control!$C$92,IF(AND($G337&gt;Control!$C$93,$G337&lt;=Control!$C$94),Control!$C$93-Control!$C$92,IF(AND($G337&gt;Control!$C$94,$G337&lt;=Control!$C$95),(Control!$C$93-Control!$C$92)*(Control!$C$94-$G337)/(Control!$C$95-Control!$C$94))))))</f>
        <v>#N/A</v>
      </c>
      <c r="CI337" s="140" t="e">
        <f t="shared" ca="1" si="1294"/>
        <v>#N/A</v>
      </c>
      <c r="CJ337" s="140" t="e">
        <f ca="1">IF($CI337&lt;=Control!$C$91,$CI337,Control!$C$91-$CI337)</f>
        <v>#N/A</v>
      </c>
      <c r="CK337" s="140" t="e">
        <f ca="1">IF(AND($BB337&gt;=65,$BB337&lt;90),1,IF($CI337&gt;=Control!$C$91,0,$CG337))</f>
        <v>#N/A</v>
      </c>
      <c r="CL337" s="404" t="e">
        <f ca="1">IF($CK337=0,0,IF($CI337&lt;=Control!$C$91,$CG337*(65+(90-65)*($CJ337/Control!$C$91)),0))</f>
        <v>#N/A</v>
      </c>
      <c r="CM337" s="140" t="e">
        <f ca="1">IF($BG337+$BM337+$BS337+$BY337+$CE337+$CK337=1,0,IF(OR($BB337&gt;=90,$CI337&gt;=Control!$C$91),$BA337,$CM336))</f>
        <v>#N/A</v>
      </c>
      <c r="CN337" s="140" t="e">
        <f t="shared" ca="1" si="1295"/>
        <v>#N/A</v>
      </c>
      <c r="CO337" s="140" t="e">
        <f t="shared" ca="1" si="1296"/>
        <v>#N/A</v>
      </c>
      <c r="CP337" s="140" t="e">
        <f t="shared" ca="1" si="1297"/>
        <v>#N/A</v>
      </c>
      <c r="CQ337" s="141" t="e">
        <f ca="1">VLOOKUP($CP337,Control!$B$86:$G$91,6)</f>
        <v>#N/A</v>
      </c>
      <c r="CR337" s="141" t="e">
        <f ca="1">(1-$CQ337)*VLOOKUP($CP337,Control!$B$86:$D$91,3)</f>
        <v>#N/A</v>
      </c>
      <c r="CS337" s="141" t="e">
        <f ca="1">(1-$CQ337)*VLOOKUP($CP337,Control!$B$86:$E$91,4)</f>
        <v>#N/A</v>
      </c>
      <c r="CT337" s="141" t="e">
        <f ca="1">(1-$CQ337)*VLOOKUP($CP337,Control!$B$86:$F$91,5)</f>
        <v>#N/A</v>
      </c>
      <c r="CU337" s="141">
        <f t="shared" ca="1" si="1298"/>
        <v>0</v>
      </c>
      <c r="CV337" s="583">
        <f t="shared" ca="1" si="1299"/>
        <v>0</v>
      </c>
      <c r="CW337" s="142">
        <f t="shared" ca="1" si="1300"/>
        <v>333</v>
      </c>
      <c r="CX337" s="612" t="e">
        <f ca="1">IF(Control!$C$114=1,(MIN(Control!$C$120*(IF($NT337-0.01&lt;0,0,1)),Control!$C$119-$CY337)))</f>
        <v>#DIV/0!</v>
      </c>
      <c r="CY337" s="143" t="e">
        <f t="shared" ca="1" si="1301"/>
        <v>#N/A</v>
      </c>
      <c r="CZ337" s="144">
        <f t="shared" ca="1" si="1177"/>
        <v>0</v>
      </c>
      <c r="DA337" s="144">
        <f t="shared" ca="1" si="1178"/>
        <v>0</v>
      </c>
      <c r="DB337" s="144" t="e">
        <f t="shared" ca="1" si="1179"/>
        <v>#N/A</v>
      </c>
      <c r="DC337" s="144" t="e">
        <f t="shared" ca="1" si="1180"/>
        <v>#N/A</v>
      </c>
      <c r="DD337" s="144" t="e">
        <f t="shared" ca="1" si="1386"/>
        <v>#N/A</v>
      </c>
      <c r="DE337" s="143" t="e">
        <f t="shared" ca="1" si="1302"/>
        <v>#N/A</v>
      </c>
      <c r="DF337" s="145" t="e">
        <f ca="1">$DR337*EXP(-Control!$C$158*(1-$KH337))</f>
        <v>#N/A</v>
      </c>
      <c r="DG337" s="146" t="e">
        <f ca="1">IF(Control!$C$114=1, $DF337*$EY337, 0)</f>
        <v>#N/A</v>
      </c>
      <c r="DH337" s="147" t="e">
        <f t="shared" ca="1" si="1303"/>
        <v>#N/A</v>
      </c>
      <c r="DI337" s="144" t="e">
        <f t="shared" ca="1" si="1364"/>
        <v>#N/A</v>
      </c>
      <c r="DJ337" s="147" t="e">
        <f ca="1">$EF337*Control!$C$109</f>
        <v>#N/A</v>
      </c>
      <c r="DK337" s="144" t="e">
        <f t="shared" ca="1" si="1304"/>
        <v>#N/A</v>
      </c>
      <c r="DL337" s="144" t="e">
        <f t="shared" ca="1" si="1181"/>
        <v>#N/A</v>
      </c>
      <c r="DM337" s="144" t="e">
        <f ca="1">IF(Control!$C$114=1, (1-EXP(-Control!$C$96*$DK337))*$AR337, 0)</f>
        <v>#N/A</v>
      </c>
      <c r="DN337" s="144">
        <f t="shared" ca="1" si="1305"/>
        <v>0</v>
      </c>
      <c r="DO337" s="148">
        <f>Control!$C$97</f>
        <v>4</v>
      </c>
      <c r="DP337" s="145" t="e">
        <f t="shared" ca="1" si="1306"/>
        <v>#N/A</v>
      </c>
      <c r="DQ337" s="145" t="e">
        <f ca="1">IF(AND($CP337&gt;=0,$CP337&lt;=90),Control!$C$111,Control!$C$111)</f>
        <v>#N/A</v>
      </c>
      <c r="DR337" s="145" t="e">
        <f t="shared" ca="1" si="1182"/>
        <v>#N/A</v>
      </c>
      <c r="DS337" s="143" t="e">
        <f ca="1">Control!$B$22/$DR337</f>
        <v>#N/A</v>
      </c>
      <c r="DT337" s="149" t="e">
        <f ca="1">IF(AND(Control!$C$114=1,$KH337&lt;1),$IM337*$DF337, 0)</f>
        <v>#N/A</v>
      </c>
      <c r="DU337" s="144" t="e">
        <f t="shared" ca="1" si="1307"/>
        <v>#N/A</v>
      </c>
      <c r="DV337" s="144">
        <f ca="1">IF($G337-Control!$C$107&lt;=0, 0, 0.83*LN(MAX($G337, 3))-0.8924)</f>
        <v>0</v>
      </c>
      <c r="DW337" s="144" t="e">
        <f t="shared" ca="1" si="1183"/>
        <v>#N/A</v>
      </c>
      <c r="DX337" s="150" t="e">
        <f ca="1">MAX(0.01*(1+$CU337/Control!$C$102),0.05*($DK337-Control!$C$97)/Control!$C$97)</f>
        <v>#N/A</v>
      </c>
      <c r="DY337" s="151" t="e">
        <f ca="1">IF(Control!$C$114=1, $DI337*$FS337, 0)</f>
        <v>#N/A</v>
      </c>
      <c r="DZ337" s="196" t="e">
        <f t="shared" ca="1" si="1308"/>
        <v>#N/A</v>
      </c>
      <c r="EA337" s="152">
        <f t="shared" ca="1" si="1309"/>
        <v>333</v>
      </c>
      <c r="EB337" s="153" t="e">
        <f t="shared" ca="1" si="1310"/>
        <v>#N/A</v>
      </c>
      <c r="EC337" s="153" t="e">
        <f t="shared" ca="1" si="1311"/>
        <v>#N/A</v>
      </c>
      <c r="ED337" s="154" t="e">
        <f ca="1">IF(Control!$C$114=1, $HM337*$FY337-$FD337, 0)</f>
        <v>#DIV/0!</v>
      </c>
      <c r="EE337" s="155" t="e">
        <f ca="1">IF(Control!$C$114=1, $HM337*$FZ337-$FF337, 0)</f>
        <v>#DIV/0!</v>
      </c>
      <c r="EF337" s="153" t="e">
        <f t="shared" ca="1" si="1365"/>
        <v>#N/A</v>
      </c>
      <c r="EG337" s="155" t="e">
        <f ca="1">IF(Control!$C$114=1, $GX337*$FW337-$FI337, 0)</f>
        <v>#DIV/0!</v>
      </c>
      <c r="EH337" s="153" t="e">
        <f t="shared" ca="1" si="1312"/>
        <v>#N/A</v>
      </c>
      <c r="EI337" s="156" t="e">
        <f t="shared" ca="1" si="1313"/>
        <v>#N/A</v>
      </c>
      <c r="EJ337" s="155" t="e">
        <f ca="1">IF(Control!$C$114=1, $HM337*$GB337, 0)</f>
        <v>#DIV/0!</v>
      </c>
      <c r="EK337" s="153" t="e">
        <f t="shared" ca="1" si="1366"/>
        <v>#N/A</v>
      </c>
      <c r="EL337" s="153" t="e">
        <f t="shared" ca="1" si="1184"/>
        <v>#N/A</v>
      </c>
      <c r="EM337" s="153" t="e">
        <f t="shared" ca="1" si="1185"/>
        <v>#N/A</v>
      </c>
      <c r="EN337" s="153" t="e">
        <f ca="1">IF(Control!$C$108=1,IF(AND(Control!$B$18=1,$EB337&gt;=Control!$B$19),$EB337-$DS337,IF(AND(Control!$B$18=2,$AW337=1,$EB337&gt;$DS337),$EB337-$DS337,0)))</f>
        <v>#N/A</v>
      </c>
      <c r="EO337" s="153" t="e">
        <f ca="1">IF(Control!$C$108=1,IF(AND(Control!$B$18=1,$EB337&gt;=Control!$B$19),$EF337,IF(AND(Control!$B$18=2,$AW337=1),$EF337,0)))</f>
        <v>#N/A</v>
      </c>
      <c r="EP337" s="153" t="e">
        <f ca="1">IF(Control!$C$108=1,IF(AND(Control!$B$18=1,$EB337&gt;=Control!$B$19),$EK337,IF(AND(Control!$B$18=2,$AW337=1),$EK337,0)))</f>
        <v>#N/A</v>
      </c>
      <c r="EQ337" s="153" t="e">
        <f t="shared" ca="1" si="1314"/>
        <v>#N/A</v>
      </c>
      <c r="ER337" s="153" t="e">
        <f t="shared" ca="1" si="1315"/>
        <v>#N/A</v>
      </c>
      <c r="ES337" s="153" t="e">
        <f t="shared" ca="1" si="1367"/>
        <v>#N/A</v>
      </c>
      <c r="ET337" s="153" t="e">
        <f t="shared" ca="1" si="1368"/>
        <v>#N/A</v>
      </c>
      <c r="EU337" s="153" t="e">
        <f t="shared" ca="1" si="1316"/>
        <v>#N/A</v>
      </c>
      <c r="EV337" s="153" t="e">
        <f t="shared" ca="1" si="1186"/>
        <v>#N/A</v>
      </c>
      <c r="EW337" s="153" t="e">
        <f t="shared" ca="1" si="1187"/>
        <v>#N/A</v>
      </c>
      <c r="EX337" s="153" t="e">
        <f t="shared" ca="1" si="1188"/>
        <v>#N/A</v>
      </c>
      <c r="EY337" s="157" t="e">
        <f t="shared" ca="1" si="1189"/>
        <v>#DIV/0!</v>
      </c>
      <c r="EZ337" s="154" t="e">
        <f t="shared" ca="1" si="1190"/>
        <v>#DIV/0!</v>
      </c>
      <c r="FA337" s="153" t="e">
        <f t="shared" ca="1" si="1317"/>
        <v>#N/A</v>
      </c>
      <c r="FB337" s="153" t="e">
        <f t="shared" ca="1" si="1191"/>
        <v>#N/A</v>
      </c>
      <c r="FC337" s="193" t="e">
        <f t="shared" ca="1" si="1192"/>
        <v>#N/A</v>
      </c>
      <c r="FD337" s="158" t="e">
        <f t="shared" ca="1" si="1318"/>
        <v>#N/A</v>
      </c>
      <c r="FE337" s="158" t="e">
        <f t="shared" ca="1" si="1319"/>
        <v>#N/A</v>
      </c>
      <c r="FF337" s="159" t="e">
        <f t="shared" ca="1" si="1193"/>
        <v>#N/A</v>
      </c>
      <c r="FG337" s="160" t="e">
        <f t="shared" ca="1" si="1320"/>
        <v>#N/A</v>
      </c>
      <c r="FH337" s="158" t="e">
        <f t="shared" ca="1" si="1321"/>
        <v>#N/A</v>
      </c>
      <c r="FI337" s="159" t="e">
        <f t="shared" ca="1" si="1194"/>
        <v>#N/A</v>
      </c>
      <c r="FJ337" s="160" t="e">
        <f t="shared" ca="1" si="1322"/>
        <v>#N/A</v>
      </c>
      <c r="FK337" s="160" t="e">
        <f t="shared" ca="1" si="1195"/>
        <v>#N/A</v>
      </c>
      <c r="FL337" s="160" t="e">
        <f t="shared" ca="1" si="1369"/>
        <v>#N/A</v>
      </c>
      <c r="FM337" s="160" t="e">
        <f t="shared" ca="1" si="1196"/>
        <v>#N/A</v>
      </c>
      <c r="FN337" s="158">
        <f t="shared" ca="1" si="1323"/>
        <v>0.01</v>
      </c>
      <c r="FO337" s="160">
        <f>Control!$C$101</f>
        <v>50</v>
      </c>
      <c r="FP337" s="150" t="e">
        <f t="shared" ca="1" si="1197"/>
        <v>#N/A</v>
      </c>
      <c r="FQ337" s="150" t="e">
        <f ca="1">MAX(0,(Control!$C$112*(($DK337-Control!$C$97)/Control!$C$97)))</f>
        <v>#N/A</v>
      </c>
      <c r="FR337" s="150" t="e">
        <f ca="1">(1-$NT337)*Control!$C$113</f>
        <v>#DIV/0!</v>
      </c>
      <c r="FS337" s="198" t="e">
        <f t="shared" ca="1" si="1198"/>
        <v>#N/A</v>
      </c>
      <c r="FT337" s="161">
        <f t="shared" ca="1" si="1324"/>
        <v>333</v>
      </c>
      <c r="FU337" s="162" t="e">
        <f ca="1">IF(Control!$B$34=1,VLOOKUP($CP337,Control!$B$86:$G$91,6),Control!$B$35)</f>
        <v>#N/A</v>
      </c>
      <c r="FV337" s="162" t="e">
        <f t="shared" ca="1" si="1199"/>
        <v>#DIV/0!</v>
      </c>
      <c r="FW337" s="162" t="e">
        <f ca="1">IF(Control!$B$31=1,$FU337*$FV337,  $FU337)</f>
        <v>#N/A</v>
      </c>
      <c r="FX337" s="162" t="e">
        <f ca="1">IF(Control!$B$34=1,VLOOKUP($CP337,Control!$B$86:$G$91,3),Control!$B$36)</f>
        <v>#N/A</v>
      </c>
      <c r="FY337" s="162" t="e">
        <f t="shared" ca="1" si="1200"/>
        <v>#N/A</v>
      </c>
      <c r="FZ337" s="162" t="e">
        <f ca="1">IF(Control!$B$34=1,VLOOKUP($CP337,Control!$B$86:$G$91,4),Control!$B$37)</f>
        <v>#N/A</v>
      </c>
      <c r="GA337" s="162" t="e">
        <f t="shared" ca="1" si="1201"/>
        <v>#N/A</v>
      </c>
      <c r="GB337" s="162" t="e">
        <f ca="1">IF(Control!$B$34=1,VLOOKUP($CP337,Control!$B$86:$G$91,5),Control!$B$38)</f>
        <v>#N/A</v>
      </c>
      <c r="GC337" s="162" t="e">
        <f t="shared" ca="1" si="1325"/>
        <v>#N/A</v>
      </c>
      <c r="GD337" s="162">
        <f t="shared" ca="1" si="1202"/>
        <v>1</v>
      </c>
      <c r="GE337" s="162">
        <f t="shared" ca="1" si="1203"/>
        <v>1</v>
      </c>
      <c r="GF337" s="162">
        <f ca="1">IF(AND(Control!$C$104=1, Control!$C$62="F"),$GE337,1)</f>
        <v>1</v>
      </c>
      <c r="GG337" s="162" t="e">
        <f ca="1">IF(Control!$B$16=40,0,IF(AND(Control!$B$16&gt;40,Control!$B$16&lt;=360),(Control!$B$16-40)*((1-0)/(360-40)),IF(AND(Control!$B$16&gt;360,Control!$B$16&lt;=720),(1+(Control!$B$16-360)*((1.25-1)/(720-360))),IF(AND(Control!$B$16&gt;720,Control!$B$16&lt;=1000),(1.25+(Control!$B$16-720)*((1.35-1.25)/(1000-720))),IF(AND(Control!$B$16&gt;1000,Control!$B$16&lt;=2000),(1.35+(Control!$B$16-1000)*0))))))</f>
        <v>#N/A</v>
      </c>
      <c r="GH337" s="162" t="e">
        <f t="shared" ca="1" si="1204"/>
        <v>#N/A</v>
      </c>
      <c r="GI337" s="162">
        <f t="shared" ca="1" si="1326"/>
        <v>0</v>
      </c>
      <c r="GJ337" s="162">
        <f t="shared" ca="1" si="1205"/>
        <v>0</v>
      </c>
      <c r="GK337" s="162">
        <f t="shared" ca="1" si="1327"/>
        <v>1</v>
      </c>
      <c r="GL337" s="162">
        <f t="shared" ca="1" si="1206"/>
        <v>1</v>
      </c>
      <c r="GM337" s="162" t="e">
        <f ca="1">MAX(0,MIN(1,1-Control!$C$156*(1.0001-$KH337)^2))</f>
        <v>#N/A</v>
      </c>
      <c r="GN337" s="162" t="e">
        <f ca="1">IF(Control!$B$26=1,$KU337,$KX337)</f>
        <v>#N/A</v>
      </c>
      <c r="GO337" s="162" t="e">
        <f ca="1">IF($CP337&lt;=60,Control!$C$105,IF($CP337&gt;=90,Control!$C$106,Control!$C$105+($CP337-60)*((Control!$C$106-Control!$C$105)/(90-60))))</f>
        <v>#N/A</v>
      </c>
      <c r="GP337" s="162" t="e">
        <f t="shared" ca="1" si="1207"/>
        <v>#N/A</v>
      </c>
      <c r="GQ337" s="162" t="e">
        <f t="shared" ca="1" si="1328"/>
        <v>#N/A</v>
      </c>
      <c r="GR337" s="163" t="e">
        <f t="shared" ca="1" si="1208"/>
        <v>#DIV/0!</v>
      </c>
      <c r="GS337" s="162" t="e">
        <f t="shared" ca="1" si="1209"/>
        <v>#DIV/0!</v>
      </c>
      <c r="GT337" s="164" t="e">
        <f t="shared" ca="1" si="1329"/>
        <v>#N/A</v>
      </c>
      <c r="GU337" s="162" t="e">
        <f t="shared" ca="1" si="1330"/>
        <v>#N/A</v>
      </c>
      <c r="GV337" s="162" t="e">
        <f t="shared" ca="1" si="1210"/>
        <v>#N/A</v>
      </c>
      <c r="GW337" s="162" t="e">
        <f t="shared" ca="1" si="1211"/>
        <v>#DIV/0!</v>
      </c>
      <c r="GX337" s="162" t="e">
        <f t="shared" ca="1" si="1331"/>
        <v>#DIV/0!</v>
      </c>
      <c r="GY337" s="162" t="e">
        <f t="shared" ca="1" si="1332"/>
        <v>#DIV/0!</v>
      </c>
      <c r="GZ337" s="165" t="e">
        <f t="shared" ca="1" si="1212"/>
        <v>#N/A</v>
      </c>
      <c r="HA337" s="162" t="e">
        <f ca="1">IF(Control!$C$114=1, $DI337*$FS337, 0)</f>
        <v>#N/A</v>
      </c>
      <c r="HB337" s="162" t="e">
        <f ca="1">$FA337/Control!$C$64</f>
        <v>#N/A</v>
      </c>
      <c r="HC337" s="162" t="e">
        <f t="shared" ca="1" si="1213"/>
        <v>#DIV/0!</v>
      </c>
      <c r="HD337" s="162">
        <f ca="1">-ASIN(SIN(23.45*Control!$C$139)*COS(2*Control!$C$138*($AH337+10)/365))</f>
        <v>-0.37874359730966289</v>
      </c>
      <c r="HE337" s="165">
        <f t="shared" ca="1" si="1333"/>
        <v>0</v>
      </c>
      <c r="HF337" s="166">
        <f ca="1">IF(AND(Control!$C$61="T",$HE337&gt;=Control!$C$103,Control!$C$114=0),$AH337,Control!$C$59)</f>
        <v>1</v>
      </c>
      <c r="HG337" s="166">
        <f ca="1">IF(AND(Control!$C$61="T",$HE337&gt;=Control!$C$103,Control!$C$114=0),$HF337,Control!$C$59)</f>
        <v>1</v>
      </c>
      <c r="HH337" s="165">
        <f ca="1">IF(AND(OR(Control!$C$60&lt;=0, $AH337= Control!$C$59, Control!$C$60 &gt;0, $AH337 = Control!$C$60)), Control!$C$59, IF(Control!$C$60&gt;0, 0))</f>
        <v>1</v>
      </c>
      <c r="HI337" s="165">
        <f ca="1">IF(AND(OR(Control!$C$60&lt;=0, $AH337= Control!$C$59, Control!$C$60 &gt;0, $AH337 = Control!$C$60)), Control!$C$60, IF(Control!$C$60&lt;=0, 0))</f>
        <v>0</v>
      </c>
      <c r="HJ337" s="166">
        <f ca="1">IF(AND(Control!$C$62="F",$CV337&gt;=Control!$C$102),$AH337,0)</f>
        <v>0</v>
      </c>
      <c r="HK337" s="165" t="e">
        <f t="shared" ca="1" si="1370"/>
        <v>#N/A</v>
      </c>
      <c r="HL337" s="166">
        <f ca="1">IF(AND(Control!$C$61="T",$HE337&gt;=Control!$C$103,Control!$C$114=0),$HF337,0)</f>
        <v>0</v>
      </c>
      <c r="HM337" s="201" t="e">
        <f t="shared" ca="1" si="1214"/>
        <v>#DIV/0!</v>
      </c>
      <c r="HN337" s="215">
        <f t="shared" ca="1" si="1334"/>
        <v>333</v>
      </c>
      <c r="HO337" s="216" t="e">
        <f ca="1">IF(AND($CP337&gt;=0, $CP337&lt;=90), Control!$C$152, Control!$C$152)</f>
        <v>#N/A</v>
      </c>
      <c r="HP337" s="216" t="e">
        <f t="shared" ca="1" si="1215"/>
        <v>#N/A</v>
      </c>
      <c r="HQ337" s="217" t="e">
        <f ca="1">IF(OR(Control!$B$26=1,Control!$B$26=2),$KV337,$KS337)</f>
        <v>#DIV/0!</v>
      </c>
      <c r="HR337" s="218" t="e">
        <f t="shared" ca="1" si="1371"/>
        <v>#DIV/0!</v>
      </c>
      <c r="HS337" s="216" t="e">
        <f ca="1">Control!$C$154*$HP337</f>
        <v>#N/A</v>
      </c>
      <c r="HT337" s="216" t="e">
        <f ca="1">Control!$C$155*$HP337</f>
        <v>#N/A</v>
      </c>
      <c r="HU337" s="217" t="e">
        <f ca="1">Control!$C$161*$FI337</f>
        <v>#N/A</v>
      </c>
      <c r="HV337" s="218" t="e">
        <f t="shared" ca="1" si="1335"/>
        <v>#N/A</v>
      </c>
      <c r="HW337" s="218" t="e">
        <f ca="1">Control!$C$160*$FF337+$IP337*$EO337</f>
        <v>#N/A</v>
      </c>
      <c r="HX337" s="218" t="e">
        <f t="shared" ca="1" si="1372"/>
        <v>#N/A</v>
      </c>
      <c r="HY337" s="219" t="e">
        <f ca="1">IF(Control!$C$114=1, $EB337*$FS337, 0)</f>
        <v>#N/A</v>
      </c>
      <c r="HZ337" s="91" t="e">
        <f t="shared" ca="1" si="1216"/>
        <v>#N/A</v>
      </c>
      <c r="IA337" s="220" t="e">
        <f ca="1">Control!$C$153*$HO337</f>
        <v>#N/A</v>
      </c>
      <c r="IB337" s="218" t="e">
        <f t="shared" ca="1" si="1217"/>
        <v>#N/A</v>
      </c>
      <c r="IC337" s="220" t="e">
        <f ca="1">Control!$C$153*$HT337</f>
        <v>#N/A</v>
      </c>
      <c r="ID337" s="218" t="e">
        <f t="shared" ca="1" si="1218"/>
        <v>#N/A</v>
      </c>
      <c r="IE337" s="221" t="e">
        <f ca="1">($EB337*Control!$C$159+$EF337*Control!$C$160)/(IF($GZ337&lt;&gt;0,$GZ337,1))</f>
        <v>#N/A</v>
      </c>
      <c r="IF337" s="216" t="e">
        <f t="shared" ca="1" si="1219"/>
        <v>#N/A</v>
      </c>
      <c r="IG337" s="91">
        <f ca="1">IF(OR(Control!$B$198=$AH337,Control!$B$199=$AH337, Control!$B$200=$AH337, Control!$B$201=$AH337, Control!$B$202=$AH337, Control!$B$203=$AH337, Control!$B$204=$AH337, Control!$B$205=$AH337, Control!$B$206=$AH337, Control!$B$207=$AH337), 1, 0)</f>
        <v>0</v>
      </c>
      <c r="IH337" s="91">
        <f ca="1">IF($IG337=0,0, VLOOKUP($AH337,Control!$B$198:$C$207,2))</f>
        <v>0</v>
      </c>
      <c r="II337" s="222">
        <f t="shared" ca="1" si="1336"/>
        <v>0</v>
      </c>
      <c r="IJ337" s="91">
        <f>Control!$C$121</f>
        <v>0.7</v>
      </c>
      <c r="IK337" s="218">
        <f t="shared" ca="1" si="1220"/>
        <v>0</v>
      </c>
      <c r="IL337" s="217" t="e">
        <f t="shared" ca="1" si="1373"/>
        <v>#N/A</v>
      </c>
      <c r="IM337" s="223" t="e">
        <f ca="1">IF(AND(Control!$C$114=1,$KH337&lt;1),$EB337*Control!$C$148*(1-$KH337), 0)</f>
        <v>#N/A</v>
      </c>
      <c r="IN337" s="217" t="e">
        <f t="shared" ca="1" si="1221"/>
        <v>#DIV/0!</v>
      </c>
      <c r="IO337" s="91" t="e">
        <f ca="1">MAX(0,$IL337-$EF337*Control!$C$160)</f>
        <v>#N/A</v>
      </c>
      <c r="IP337" s="220" t="e">
        <f t="shared" ca="1" si="1222"/>
        <v>#N/A</v>
      </c>
      <c r="IQ337" s="217" t="e">
        <f t="shared" ca="1" si="1337"/>
        <v>#N/A</v>
      </c>
      <c r="IR337" s="218" t="e">
        <f t="shared" ca="1" si="1223"/>
        <v>#N/A</v>
      </c>
      <c r="IS337" s="217" t="e">
        <f ca="1">Control!$C$159*MAX(0,$FD337-$EN337)</f>
        <v>#N/A</v>
      </c>
      <c r="IT337" s="217" t="e">
        <f t="shared" ca="1" si="1374"/>
        <v>#N/A</v>
      </c>
      <c r="IU337" s="217" t="e">
        <f t="shared" ca="1" si="1338"/>
        <v>#N/A</v>
      </c>
      <c r="IV337" s="217" t="e">
        <f t="shared" ca="1" si="1375"/>
        <v>#N/A</v>
      </c>
      <c r="IW337" s="217" t="e">
        <f ca="1">IF(OR($AW337=1,AND($AW337=0, Control!$B$18=1,$EN337&lt;&gt;0)), $IQ337-$IU337, $IQ337)</f>
        <v>#N/A</v>
      </c>
      <c r="IX337" s="218" t="e">
        <f t="shared" ca="1" si="1224"/>
        <v>#N/A</v>
      </c>
      <c r="IY337" s="218" t="e">
        <f ca="1">MAX(0,$IQ337-$EB337*Control!$C$159)</f>
        <v>#N/A</v>
      </c>
      <c r="IZ337" s="218" t="e">
        <f t="shared" ca="1" si="1225"/>
        <v>#N/A</v>
      </c>
      <c r="JA337" s="216" t="e">
        <f t="shared" ca="1" si="1226"/>
        <v>#N/A</v>
      </c>
      <c r="JB337" s="217" t="e">
        <f t="shared" ca="1" si="1227"/>
        <v>#N/A</v>
      </c>
      <c r="JC337" s="222" t="e">
        <f ca="1">MAX(Control!$C$157*$EK337-$JT337, 0)/Control!$C$162</f>
        <v>#N/A</v>
      </c>
      <c r="JD337" s="218" t="e">
        <f t="shared" ca="1" si="1228"/>
        <v>#N/A</v>
      </c>
      <c r="JE337" s="218" t="e">
        <f t="shared" ca="1" si="1229"/>
        <v>#N/A</v>
      </c>
      <c r="JF337" s="218" t="e">
        <f t="shared" ca="1" si="1339"/>
        <v>#N/A</v>
      </c>
      <c r="JG337" s="218" t="e">
        <f t="shared" ca="1" si="1230"/>
        <v>#N/A</v>
      </c>
      <c r="JH337" s="217" t="e">
        <f t="shared" ca="1" si="1340"/>
        <v>#N/A</v>
      </c>
      <c r="JI337" s="217" t="e">
        <f t="shared" ca="1" si="1341"/>
        <v>#N/A</v>
      </c>
      <c r="JJ337" s="217" t="e">
        <f t="shared" ca="1" si="1376"/>
        <v>#N/A</v>
      </c>
      <c r="JK337" s="217" t="e">
        <f ca="1">IF(Control!$C$114=1,IF(Control!$B$24=0,MAX(0,$JI337)*$GN337/Control!$C$64,(MAX(0,MIN($JI337,$JJ337*$GN337/Control!$C$64),0))))</f>
        <v>#N/A</v>
      </c>
      <c r="JL337" s="217" t="e">
        <f ca="1">$IK337/Control!$C$64-$JK337+$HQ337</f>
        <v>#N/A</v>
      </c>
      <c r="JM337" s="217" t="e">
        <f ca="1">IF(Control!$C$114=1,($JB337/(IF($JI337&lt;&gt;0,$JI337,1)))*$JK337,0)</f>
        <v>#N/A</v>
      </c>
      <c r="JN337" s="217" t="e">
        <f ca="1">IF(Control!$C$114=1,($JG337/(IF($JI337&lt;&gt;0,$JI337,1)))*$JK337, 0)</f>
        <v>#N/A</v>
      </c>
      <c r="JO337" s="218" t="e">
        <f t="shared" ca="1" si="1231"/>
        <v>#N/A</v>
      </c>
      <c r="JP337" s="218" t="e">
        <f ca="1">MIN(($IY337+$IO337)*Control!$C$151, $JF337-$EH337*Control!$C$161)</f>
        <v>#N/A</v>
      </c>
      <c r="JQ337" s="218" t="e">
        <f t="shared" ca="1" si="1232"/>
        <v>#N/A</v>
      </c>
      <c r="JR337" s="217" t="e">
        <f ca="1">IF($CP337-Control!$C$150&lt;0, 0, $JQ337/Control!$C$162)</f>
        <v>#N/A</v>
      </c>
      <c r="JS337" s="218" t="e">
        <f t="shared" ca="1" si="1233"/>
        <v>#N/A</v>
      </c>
      <c r="JT337" s="218" t="e">
        <f t="shared" ca="1" si="1342"/>
        <v>#N/A</v>
      </c>
      <c r="JU337" s="218" t="e">
        <f t="shared" ca="1" si="1234"/>
        <v>#N/A</v>
      </c>
      <c r="JV337" s="218" t="e">
        <f t="shared" ca="1" si="1235"/>
        <v>#N/A</v>
      </c>
      <c r="JW337" s="216" t="e">
        <f t="shared" ca="1" si="1236"/>
        <v>#N/A</v>
      </c>
      <c r="JX337" s="91" t="e">
        <f t="shared" ca="1" si="1237"/>
        <v>#N/A</v>
      </c>
      <c r="JY337" s="218" t="e">
        <f t="shared" ca="1" si="1238"/>
        <v>#N/A</v>
      </c>
      <c r="JZ337" s="217" t="e">
        <f ca="1">IF(Control!$C$114=1,($IZ337/(IF($JI337&lt;&gt;0,$JI337,1)))*$JK337, 0)</f>
        <v>#N/A</v>
      </c>
      <c r="KA337" s="218" t="e">
        <f t="shared" ca="1" si="1377"/>
        <v>#N/A</v>
      </c>
      <c r="KB337" s="218" t="e">
        <f t="shared" ca="1" si="1343"/>
        <v>#N/A</v>
      </c>
      <c r="KC337" s="218" t="e">
        <f t="shared" ca="1" si="1239"/>
        <v>#N/A</v>
      </c>
      <c r="KD337" s="218" t="e">
        <f t="shared" ca="1" si="1240"/>
        <v>#N/A</v>
      </c>
      <c r="KE337" s="218" t="e">
        <f t="shared" ca="1" si="1241"/>
        <v>#N/A</v>
      </c>
      <c r="KF337" s="218" t="e">
        <f t="shared" ca="1" si="1242"/>
        <v>#N/A</v>
      </c>
      <c r="KG337" s="216" t="e">
        <f t="shared" ca="1" si="1243"/>
        <v>#N/A</v>
      </c>
      <c r="KH337" s="221" t="e">
        <f ca="1">IF(Control!$B$24=0,1,MAX(0.001,MIN(1,IF(($IF337-$IE337)&lt;&gt;0,($KG337-$IE337)/($IF337-$IE337),1))))</f>
        <v>#N/A</v>
      </c>
      <c r="KI337" s="222" t="e">
        <f ca="1">IF(Control!$C$114=1, $KI336+ $KH336, 0)</f>
        <v>#N/A</v>
      </c>
      <c r="KJ337" s="217" t="e">
        <f t="shared" ca="1" si="1244"/>
        <v>#N/A</v>
      </c>
      <c r="KK337" s="218" t="e">
        <f t="shared" ca="1" si="1245"/>
        <v>#N/A</v>
      </c>
      <c r="KL337" s="274" t="e">
        <f ca="1">IF(Control!$B$26=3,4000000000*EXP(-8400/($G337+273)),IF(Control!$B$26=4,4000000000*EXP(-8400/($G337+273))*($KT337),0))</f>
        <v>#DIV/0!</v>
      </c>
      <c r="KM337" s="274" t="e">
        <f ca="1">IF(Control!$B$26=3,5600000000000*EXP(-9800/($G337+273)),IF(Control!$B$26=4,5600000000000*EXP(-9800/($G337+273))*$KT337,0))</f>
        <v>#DIV/0!</v>
      </c>
      <c r="KN337" s="454" t="e">
        <f t="shared" ca="1" si="1344"/>
        <v>#DIV/0!</v>
      </c>
      <c r="KO337" s="274" t="e">
        <f t="shared" ca="1" si="1345"/>
        <v>#DIV/0!</v>
      </c>
      <c r="KP337" s="454" t="e">
        <f t="shared" ca="1" si="1246"/>
        <v>#DIV/0!</v>
      </c>
      <c r="KQ337" s="454" t="e">
        <f t="shared" ca="1" si="1247"/>
        <v>#DIV/0!</v>
      </c>
      <c r="KR337" s="454" t="e">
        <f t="shared" ca="1" si="1248"/>
        <v>#DIV/0!</v>
      </c>
      <c r="KS337" s="454" t="e">
        <f t="shared" ca="1" si="1249"/>
        <v>#DIV/0!</v>
      </c>
      <c r="KT337" s="455" t="e">
        <f t="shared" ca="1" si="1250"/>
        <v>#DIV/0!</v>
      </c>
      <c r="KU337" s="456" t="e">
        <f ca="1">IF($CP337-Control!$C$149&lt;0, IF($NT337-0.01&lt;0,0,1),0)</f>
        <v>#N/A</v>
      </c>
      <c r="KV337" s="456" t="e">
        <f ca="1">IF(Control!$C$114=1,MAX(0,MIN(Control!$C$125*$KW337*$GN337,$KW337)))</f>
        <v>#DIV/0!</v>
      </c>
      <c r="KW337" s="456" t="e">
        <f t="shared" ca="1" si="1378"/>
        <v>#DIV/0!</v>
      </c>
      <c r="KX337" s="457" t="e">
        <f ca="1">IF($CP337-Control!$C$149&lt;0, IF($MR337-$OM337&lt;0,0,1),0)</f>
        <v>#N/A</v>
      </c>
      <c r="KY337" s="167">
        <f t="shared" ca="1" si="1346"/>
        <v>333</v>
      </c>
      <c r="KZ337" s="168">
        <f ca="1">1370*(1+0.033*COS(2*Control!$C$138*$AH337/365))</f>
        <v>1408.5227419288424</v>
      </c>
      <c r="LA337" s="169">
        <f t="shared" ca="1" si="1347"/>
        <v>1.0281185581963432</v>
      </c>
      <c r="LB337" s="169">
        <f t="shared" ca="1" si="1348"/>
        <v>-0.38131326472065658</v>
      </c>
      <c r="LC337" s="169">
        <f ca="1">ACOS(-TAN((2*Control!$B$8/360))*TAN(Calculations!$LB337))</f>
        <v>1.4513529973081378</v>
      </c>
      <c r="LD337" s="169">
        <f ca="1">((24*60)/PI())*0.082*$LA337*(($LC337*SIN(Control!$B$8*2*PI()/360))*SIN($LB337)+COS(Control!$B$8*2*PI()/360)*COS($LB337)*SIN($LC337))</f>
        <v>5.4780850753912009</v>
      </c>
      <c r="LE337" s="170">
        <f t="shared" ca="1" si="1251"/>
        <v>7.1139322215220604</v>
      </c>
      <c r="LF337" s="170">
        <f ca="1">SIN(Control!$C$139*Control!$B$8)*SIN($HD337)</f>
        <v>-0.29137013867761763</v>
      </c>
      <c r="LG337" s="170">
        <f ca="1">COS(Control!$C$139*Control!$B$8)*COS($HD337)</f>
        <v>0.57202794834541082</v>
      </c>
      <c r="LH337" s="170">
        <f ca="1">12*(1+2*ASIN(MAX(-1,MIN(1,$LF337/$LG337))/Control!$C$138))</f>
        <v>8.0915052821758113</v>
      </c>
      <c r="LI337" s="170">
        <f ca="1">12*(1+2*ASIN(MAX(-1,MIN(1,(-SIN(-4*Control!$C$139)+$LF337)/$LG337))/Control!$C$138))</f>
        <v>9.0328038065135132</v>
      </c>
      <c r="LJ337" s="168">
        <f ca="1">3600*($LH337*$LF337+24*$LG337*SQRT(1-$LK337*$LK337)/Control!$C$138)</f>
        <v>5050.6335536905735</v>
      </c>
      <c r="LK337" s="170">
        <f t="shared" ca="1" si="1252"/>
        <v>-0.50936346645370201</v>
      </c>
      <c r="LL337" s="170">
        <f t="shared" ca="1" si="1253"/>
        <v>0</v>
      </c>
      <c r="LM337" s="171">
        <f ca="1">Control!$C$145*$AB337</f>
        <v>6.6660906138995932E-2</v>
      </c>
      <c r="LN337" s="170">
        <f t="shared" ca="1" si="1349"/>
        <v>0.54</v>
      </c>
      <c r="LO337" s="170">
        <f t="shared" ca="1" si="1254"/>
        <v>0</v>
      </c>
      <c r="LP337" s="170">
        <f ca="1">Control!$C$140*((($D337+273.16)^4+($E337+273.16)^4)/2)*(0.34-0.14*SQRT($Y337))*(1.35*$AQ337/(0.75*$LD337)-0.35)</f>
        <v>-3.2464704755046001</v>
      </c>
      <c r="LQ337" s="170">
        <f ca="1">Control!$C$140*($G337+273)^4*(0.56-0.079*SQRT($Y337*10))*(0.1+0.9*$LO337)</f>
        <v>1.5241745131704001</v>
      </c>
      <c r="LR337" s="170">
        <f ca="1">$AQ337*(1-Control!$C$142)-$LQ337</f>
        <v>-1.5241745131704001</v>
      </c>
      <c r="LS337" s="170">
        <f ca="1">$AQ337*(1-Control!$C$143)-$LQ337</f>
        <v>-1.5241745131704001</v>
      </c>
      <c r="LT337" s="170">
        <f ca="1">$AQ337*(1-Control!$C$144)-$LQ337</f>
        <v>-1.5241745131704001</v>
      </c>
      <c r="LU337" s="169">
        <f ca="1">(1-Control!$C$144)*AQ337-LP337</f>
        <v>3.2464704755046001</v>
      </c>
      <c r="LV337" s="172">
        <f t="shared" ca="1" si="1255"/>
        <v>0.79430000000000012</v>
      </c>
      <c r="LW337" s="170">
        <f t="shared" ca="1" si="1256"/>
        <v>1.5886000000000002</v>
      </c>
      <c r="LX337" s="170">
        <f ca="1">($AC337*($LR337/Control!$C$141)+$LM337*$LV337)/($AC337+$LM337)</f>
        <v>0.23530094218323697</v>
      </c>
      <c r="LY337" s="170">
        <f ca="1">($AC337*($LS337/Control!$C$141)+$LM337*$LV337)/($AC337+$LM337)</f>
        <v>0.23530094218323697</v>
      </c>
      <c r="LZ337" s="170">
        <f t="shared" ca="1" si="1257"/>
        <v>0.23530094218323697</v>
      </c>
      <c r="MA337" s="170">
        <f t="shared" ca="1" si="1258"/>
        <v>0.23530094218323697</v>
      </c>
      <c r="MB337" s="170" t="e">
        <f t="shared" ca="1" si="1259"/>
        <v>#N/A</v>
      </c>
      <c r="MC337" s="170">
        <f t="shared" ca="1" si="1350"/>
        <v>0.6018</v>
      </c>
      <c r="MD337" s="170">
        <f t="shared" ca="1" si="1260"/>
        <v>0.52989392535414004</v>
      </c>
      <c r="ME337" s="170">
        <f ca="1">($AC337*($LT337/Control!$C$141)+$LM337*$LW337)/($AC337+$LM337)</f>
        <v>0.71612369323045078</v>
      </c>
      <c r="MF337" s="170" t="e">
        <f ca="1">IF(Control!$B$16&gt;=1000,0.92,IF(AND(720&lt;=Control!$B$16,1000&gt;Control!$B$16),(0.95+(Control!$B$16-720)*((0.92-0.95)/(1000-720))),IF(AND(360&lt;=Control!$B$16,720&gt;Control!$B$16),(1+(Control!$B$16-360)*((0.95-1)/(720-360))),IF(AND(40&lt;=Control!$B$16,360&gt;Control!$B$16),(1.05+(Control!$B$16-40)*((1.05-1)/(360-40)))))))</f>
        <v>#N/A</v>
      </c>
      <c r="MG337" s="170">
        <f t="shared" ca="1" si="1261"/>
        <v>0.71612369323045078</v>
      </c>
      <c r="MH337" s="170" t="e">
        <f t="shared" ca="1" si="1262"/>
        <v>#N/A</v>
      </c>
      <c r="MI337" s="170" t="e">
        <f t="shared" ca="1" si="1262"/>
        <v>#N/A</v>
      </c>
      <c r="MJ337" s="170" t="e">
        <f ca="1">MAX(0.0001, Control!$C$132*$MI337*$DL337)</f>
        <v>#N/A</v>
      </c>
      <c r="MK337" s="170">
        <f ca="1">1/(0.76+1.5*($MG337/10))-(5-Control!$C$110)*0.1</f>
        <v>1.002845988140797</v>
      </c>
      <c r="ML337" s="173">
        <f ca="1">IF(Control!$C$110&lt;3,$MK337+($MG337-0.6)/(Control!$C$110*(Control!$C$110+3)), MAX(0.1, MIN(0.95,$MK337)))</f>
        <v>0.95</v>
      </c>
      <c r="MM337" s="173">
        <f ca="1">IF(Control!$C$110&lt;3,$MK337+(($MI337/10)-0.6)/(Control!$C$110*(Control!$C$110+3)), MAX(0.1, MIN(0.95,$MK337)))</f>
        <v>0.95</v>
      </c>
      <c r="MN337" s="173">
        <f ca="1">(1-$MM337)*(Control!$C$128-Control!$C$127)+Control!$C$127</f>
        <v>0.16</v>
      </c>
      <c r="MO337" s="170" t="e">
        <f ca="1">MAX(0,MIN(1,($MS337-Control!$C$127)/($MN337-Control!$C$127)))</f>
        <v>#DIV/0!</v>
      </c>
      <c r="MP337" s="173" t="e">
        <f ca="1">1/(0.76+1.5*$MI337)-(5-Control!$C$110)*0.1</f>
        <v>#N/A</v>
      </c>
      <c r="MQ337" s="172" t="e">
        <f t="shared" ca="1" si="1379"/>
        <v>#DIV/0!</v>
      </c>
      <c r="MR337" s="168" t="e">
        <f t="shared" ca="1" si="1351"/>
        <v>#DIV/0!</v>
      </c>
      <c r="MS337" s="173" t="e">
        <f ca="1">MAX(Control!$C$127, MIN(Control!$C$135, $MR337/MAX(0.0001,$CY337)))</f>
        <v>#DIV/0!</v>
      </c>
      <c r="MT337" s="168" t="e">
        <f ca="1">(Control!$C$128-$MS337)*Control!$C$74</f>
        <v>#DIV/0!</v>
      </c>
      <c r="MU337" s="168" t="e">
        <f ca="1">(Control!$C$135-$MS337)*Control!$C$74</f>
        <v>#DIV/0!</v>
      </c>
      <c r="MV337" s="168" t="e">
        <f t="shared" ca="1" si="1352"/>
        <v>#DIV/0!</v>
      </c>
      <c r="MW337" s="168" t="e">
        <f t="shared" ca="1" si="1353"/>
        <v>#DIV/0!</v>
      </c>
      <c r="MX337" s="171" t="e">
        <f ca="1">MAX(Control!$C$127, MIN(Control!$C$135, $MW337/MAX(0.0001,Control!$C$119-$CY337)))</f>
        <v>#DIV/0!</v>
      </c>
      <c r="MY337" s="54" t="e">
        <f ca="1">IF(Control!$C$114=1, $CX337*$MX337, 0)</f>
        <v>#DIV/0!</v>
      </c>
      <c r="MZ337" s="54" t="e">
        <f t="shared" ca="1" si="1354"/>
        <v>#N/A</v>
      </c>
      <c r="NA337" s="168" t="e">
        <f ca="1">(Control!$C$128-$MX337)*(Control!$C$119-Control!$C$74)</f>
        <v>#DIV/0!</v>
      </c>
      <c r="NB337" s="168" t="e">
        <f ca="1">(Control!$C$135-$MX337)*(Control!$C$119-Control!$C$74)</f>
        <v>#DIV/0!</v>
      </c>
      <c r="NC337" s="174" t="e">
        <f t="shared" ca="1" si="1355"/>
        <v>#DIV/0!</v>
      </c>
      <c r="ND337" s="54">
        <f ca="1">IF(Control!$C$58=2, IF(OR(Control!$B$218=$AH337,Control!$B$219=$AH337, Control!$B$220=$AH337, Control!$B$221=$AH337, Control!$B$222=$AH337, Control!$B$223=$AH337, Control!$B$224=$AH337, Control!$B$225=$AH337, Control!$B$226=$AH337, Control!$B$227=$AH337, Control!$B$228=$AH337), 1, 0), 0)</f>
        <v>0</v>
      </c>
      <c r="NE337" s="54">
        <f ca="1">IF($ND337=0,0, VLOOKUP($AH337,Control!$B$218:$C$228,2))</f>
        <v>0</v>
      </c>
      <c r="NF337" s="168" t="e">
        <f ca="1">$CY337*(Control!$C$128-Control!$C$127)</f>
        <v>#N/A</v>
      </c>
      <c r="NG337" s="54" t="e">
        <f ca="1">IF(Control!$C$58=2, $NI336-$NJ336, 0)</f>
        <v>#DIV/0!</v>
      </c>
      <c r="NH337" s="54" t="e">
        <f ca="1">IF(AND(Control!$C$58=1, $MS336&lt;= ($MN336+0.02), $I336&lt;10), 0, IF(Control!$C$58=2, $NG336, 0))</f>
        <v>#DIV/0!</v>
      </c>
      <c r="NI337" s="54" t="e">
        <f ca="1">IF(Control!$C$58=2, $NE337+$NH337,0)</f>
        <v>#DIV/0!</v>
      </c>
      <c r="NJ337" s="54" t="e">
        <f ca="1">IF(AND(Control!$C$58=1, $MS337&lt;= ($MN337+0.02), $I337&lt;10), MAX(0, MIN(10, 0.7*($NF337-$MV337))), IF(Control!$C$58=2, MIN(10,$NI337),0))</f>
        <v>#DIV/0!</v>
      </c>
      <c r="NK337" s="54" t="e">
        <f t="shared" ca="1" si="1263"/>
        <v>#DIV/0!</v>
      </c>
      <c r="NL337" s="173" t="e">
        <f ca="1">(1-Control!$C$73)*$I337+$NJ337</f>
        <v>#DIV/0!</v>
      </c>
      <c r="NM337" s="172" t="e">
        <f ca="1">IF($NL337&lt;0.5, $MB337* MAX(0, MIN(1, (SQRT($NC337)-SQRT($NC337-1))*Control!$C$71)),0)</f>
        <v>#DIV/0!</v>
      </c>
      <c r="NN337" s="170" t="e">
        <f ca="1">IF($NL337&gt;=5, $MB337, MAX(0,MIN($MB337, $NM337+$NL337,($MS337-Control!$C$129))))</f>
        <v>#DIV/0!</v>
      </c>
      <c r="NO337" s="54">
        <f>IF(Control!$C$133&lt;&gt;1, Control!$C$135-Control!$C$131, 0)</f>
        <v>0.38</v>
      </c>
      <c r="NP337" s="54" t="e">
        <f t="shared" ca="1" si="1264"/>
        <v>#DIV/0!</v>
      </c>
      <c r="NQ337" s="173" t="e">
        <f ca="1">MAX(0,MIN(1,(Control!$C$135-$MS337)/(Control!$C$135-$NO337)))</f>
        <v>#DIV/0!</v>
      </c>
      <c r="NR337" s="170" t="e">
        <f ca="1">IF(Control!$C$133&lt;&gt;1, $NQ337+((1-$NP337/4)*(1-$NQ337)),1)</f>
        <v>#DIV/0!</v>
      </c>
      <c r="NS337" s="170" t="e">
        <f ca="1">IF(Control!$B$31=0,$MJ337,MAX(0,MIN($MV337,$MO337*$NR337*$MJ337)))</f>
        <v>#DIV/0!</v>
      </c>
      <c r="NT337" s="170" t="e">
        <f t="shared" ca="1" si="1380"/>
        <v>#DIV/0!</v>
      </c>
      <c r="NU337" s="170" t="e">
        <f t="shared" ca="1" si="1356"/>
        <v>#N/A</v>
      </c>
      <c r="NV337" s="170" t="e">
        <f t="shared" ca="1" si="1265"/>
        <v>#N/A</v>
      </c>
      <c r="NW337" s="175" t="e">
        <f t="shared" ca="1" si="1266"/>
        <v>#DIV/0!</v>
      </c>
      <c r="NX337" s="170" t="e">
        <f ca="1">MIN(Control!$C$72+$MU337, $NW337)</f>
        <v>#DIV/0!</v>
      </c>
      <c r="NY337" s="170" t="e">
        <f ca="1">IF($MT337&lt;=$NX337,MIN(Control!$C$72+$NB337,$NX337-$MT337),0)</f>
        <v>#DIV/0!</v>
      </c>
      <c r="NZ337" s="54" t="e">
        <f ca="1">IF(Control!$C$114=1,  $CX337*($MX337-Control!$C$127), 0)</f>
        <v>#DIV/0!</v>
      </c>
      <c r="OA337" s="170" t="e">
        <f t="shared" ca="1" si="1267"/>
        <v>#DIV/0!</v>
      </c>
      <c r="OB337" s="170" t="e">
        <f ca="1">IF($NA337 &lt;=$NY337, MIN(Control!$C$72, $NY337-$NA337), 0)</f>
        <v>#DIV/0!</v>
      </c>
      <c r="OC337" s="168" t="e">
        <f t="shared" ca="1" si="1268"/>
        <v>#DIV/0!</v>
      </c>
      <c r="OD337" s="168" t="e">
        <f t="shared" ca="1" si="1357"/>
        <v>#DIV/0!</v>
      </c>
      <c r="OE337" s="170">
        <f ca="1">Control!$C$73*$I337</f>
        <v>0</v>
      </c>
      <c r="OF337" s="176" t="e">
        <f t="shared" ca="1" si="1269"/>
        <v>#DIV/0!</v>
      </c>
      <c r="OG337" s="168" t="e">
        <f t="shared" ca="1" si="1270"/>
        <v>#DIV/0!</v>
      </c>
      <c r="OH337" s="168" t="e">
        <f t="shared" ca="1" si="1271"/>
        <v>#DIV/0!</v>
      </c>
      <c r="OI337" s="168" t="e">
        <f t="shared" ca="1" si="1272"/>
        <v>#DIV/0!</v>
      </c>
      <c r="OJ337" s="168" t="e">
        <f t="shared" ca="1" si="1273"/>
        <v>#DIV/0!</v>
      </c>
      <c r="OK337" s="204" t="e">
        <f t="shared" ca="1" si="1274"/>
        <v>#DIV/0!</v>
      </c>
      <c r="OL337" s="177">
        <f>Control!$C$127</f>
        <v>0.15</v>
      </c>
      <c r="OM337" s="182" t="e">
        <f t="shared" ca="1" si="1275"/>
        <v>#N/A</v>
      </c>
      <c r="ON337" s="177">
        <f>Control!$C$128</f>
        <v>0.35</v>
      </c>
      <c r="OO337" s="182" t="e">
        <f t="shared" ca="1" si="1276"/>
        <v>#N/A</v>
      </c>
      <c r="OP337" s="138">
        <f t="shared" ca="1" si="1358"/>
        <v>0</v>
      </c>
      <c r="OQ337" s="138" t="e">
        <f t="shared" ca="1" si="1381"/>
        <v>#DIV/0!</v>
      </c>
      <c r="OR337" s="138" t="e">
        <f t="shared" ca="1" si="1359"/>
        <v>#DIV/0!</v>
      </c>
      <c r="OS337" s="137" t="e">
        <f t="shared" ca="1" si="1382"/>
        <v>#DIV/0!</v>
      </c>
      <c r="OT337" s="139" t="e">
        <f t="shared" ca="1" si="1383"/>
        <v>#DIV/0!</v>
      </c>
      <c r="OU337" s="138" t="e">
        <f t="shared" ca="1" si="1384"/>
        <v>#N/A</v>
      </c>
      <c r="OV337" s="138" t="e">
        <f t="shared" ca="1" si="1385"/>
        <v>#DIV/0!</v>
      </c>
      <c r="OW337" s="138" t="e">
        <f t="shared" ca="1" si="1360"/>
        <v>#DIV/0!</v>
      </c>
      <c r="OX337" s="138" t="e">
        <f t="shared" ca="1" si="1361"/>
        <v>#DIV/0!</v>
      </c>
      <c r="OY337" s="138" t="e">
        <f t="shared" ca="1" si="1362"/>
        <v>#DIV/0!</v>
      </c>
      <c r="OZ337" s="138" t="e">
        <f t="shared" ca="1" si="1277"/>
        <v>#DIV/0!</v>
      </c>
      <c r="PA337" s="138" t="e">
        <f t="shared" ca="1" si="1278"/>
        <v>#DIV/0!</v>
      </c>
      <c r="PB337" s="55">
        <f>IF(Control!$C$61="T", IF(Control!$C$65="F", IF($AH$6-Control!$C$60&lt;0,0,1), IF(365+$AH$6-Control!$C$60&lt;0,0,1)),0)</f>
        <v>0</v>
      </c>
      <c r="PC337" s="55">
        <f ca="1">IF(Control!$C$65="F", IF($AH$6-$HF337&lt;0,0,1), IF(365+$AH$6-$HF337&lt;0,0,1))</f>
        <v>1</v>
      </c>
      <c r="PD337" s="444">
        <f>Control!$C$118</f>
        <v>1500</v>
      </c>
      <c r="PE337" s="180" t="e">
        <f t="shared" ca="1" si="1279"/>
        <v>#N/A</v>
      </c>
      <c r="PF337" s="445">
        <f t="shared" ca="1" si="1363"/>
        <v>0.71612369323045078</v>
      </c>
      <c r="PT337" s="186"/>
      <c r="PU337" s="186"/>
      <c r="PV337" s="94"/>
      <c r="PW337" s="94"/>
      <c r="PX337" s="94"/>
      <c r="PY337" s="94"/>
      <c r="PZ337" s="94"/>
      <c r="QA337" s="94"/>
      <c r="QB337" s="94"/>
      <c r="QC337" s="94"/>
      <c r="QD337" s="94"/>
      <c r="QE337" s="94"/>
      <c r="QF337" s="94"/>
      <c r="QG337" s="94"/>
      <c r="QH337" s="94"/>
      <c r="QI337" s="94"/>
      <c r="QJ337" s="94"/>
      <c r="QK337" s="94"/>
      <c r="QL337" s="94"/>
      <c r="QM337" s="94"/>
      <c r="QN337" s="94"/>
      <c r="QO337" s="94"/>
      <c r="QP337" s="94"/>
    </row>
    <row r="338" spans="1:458" s="2" customFormat="1" x14ac:dyDescent="0.2">
      <c r="A338" s="395">
        <v>29</v>
      </c>
      <c r="B338" s="396">
        <v>11</v>
      </c>
      <c r="C338" s="387">
        <f ca="1">Weather_data!$B337</f>
        <v>0</v>
      </c>
      <c r="D338" s="388">
        <f ca="1">Weather_data!$F337</f>
        <v>0</v>
      </c>
      <c r="E338" s="388">
        <f ca="1">Weather_data!$E337</f>
        <v>0</v>
      </c>
      <c r="F338" s="388">
        <f t="shared" ca="1" si="1280"/>
        <v>0</v>
      </c>
      <c r="G338" s="388">
        <f ca="1">AVERAGE($D338:$E338)+Control!$B$9</f>
        <v>0</v>
      </c>
      <c r="H338" s="388">
        <f ca="1">Weather_data!$G337</f>
        <v>0</v>
      </c>
      <c r="I338" s="388">
        <f ca="1">Weather_data!$I337</f>
        <v>0</v>
      </c>
      <c r="J338" s="388">
        <f ca="1">Weather_data!$H337</f>
        <v>0</v>
      </c>
      <c r="K338" s="389">
        <f ca="1">Weather_data!$D337</f>
        <v>0</v>
      </c>
      <c r="L338" s="388" t="e">
        <f t="shared" ca="1" si="1281"/>
        <v>#N/A</v>
      </c>
      <c r="M338" s="388" t="e">
        <f t="shared" ca="1" si="1158"/>
        <v>#N/A</v>
      </c>
      <c r="N338" s="388">
        <f t="shared" ca="1" si="1159"/>
        <v>-3.2172376186135561E-16</v>
      </c>
      <c r="O338" s="388">
        <f t="shared" ca="1" si="1282"/>
        <v>3.2172376186135559E-15</v>
      </c>
      <c r="P338" s="390">
        <v>3</v>
      </c>
      <c r="Q338" s="388">
        <f ca="1">MAX($G338-Control!$C$107,0)</f>
        <v>0</v>
      </c>
      <c r="R338" s="388">
        <f t="shared" ca="1" si="1283"/>
        <v>0</v>
      </c>
      <c r="S338" s="388">
        <f t="shared" ca="1" si="1160"/>
        <v>0</v>
      </c>
      <c r="T338" s="388">
        <f t="shared" ca="1" si="1161"/>
        <v>0</v>
      </c>
      <c r="U338" s="59">
        <f t="shared" ca="1" si="1162"/>
        <v>0</v>
      </c>
      <c r="V338" s="391">
        <f ca="1">MAX(0,MIN(Control!$C$100-Control!$C$99,$G338-Control!$C$99)*Control!$C$63)</f>
        <v>0</v>
      </c>
      <c r="W338" s="388">
        <f t="shared" ca="1" si="1284"/>
        <v>0</v>
      </c>
      <c r="X338" s="388">
        <f t="shared" ca="1" si="1285"/>
        <v>0.6110000000000001</v>
      </c>
      <c r="Y338" s="388">
        <f t="shared" ca="1" si="1163"/>
        <v>0</v>
      </c>
      <c r="Z338" s="388">
        <f t="shared" ca="1" si="1286"/>
        <v>0.61058800000000002</v>
      </c>
      <c r="AA338" s="388">
        <f t="shared" ca="1" si="1164"/>
        <v>0.6018</v>
      </c>
      <c r="AB338" s="388">
        <f ca="1">101.3*EXP(-0.034*Control!$C$66/($G338+273))</f>
        <v>100.69623283836242</v>
      </c>
      <c r="AC338" s="392">
        <f t="shared" ca="1" si="1165"/>
        <v>4.3460251046025113E-2</v>
      </c>
      <c r="AD338" s="392">
        <f t="shared" ca="1" si="1166"/>
        <v>4.4450382862832649E-2</v>
      </c>
      <c r="AE338" s="388">
        <f t="shared" ca="1" si="1167"/>
        <v>0</v>
      </c>
      <c r="AF338" s="388">
        <f ca="1">MAX(0,$G338-Control!$C$92)</f>
        <v>0</v>
      </c>
      <c r="AG338" s="393">
        <f t="shared" ca="1" si="1168"/>
        <v>334</v>
      </c>
      <c r="AH338" s="389">
        <f t="shared" ca="1" si="1169"/>
        <v>334</v>
      </c>
      <c r="AI338" s="388">
        <f t="shared" ca="1" si="1287"/>
        <v>-0.38141177559964318</v>
      </c>
      <c r="AJ338" s="388">
        <f ca="1">IF(Control!$C$60&lt;=0,$HH338,$HI338)</f>
        <v>1</v>
      </c>
      <c r="AK338" s="388">
        <f t="shared" ca="1" si="1170"/>
        <v>4.3724084055441503</v>
      </c>
      <c r="AL338" s="388">
        <f t="shared" ca="1" si="1171"/>
        <v>8.6555311529235016E-18</v>
      </c>
      <c r="AM338" s="388">
        <f t="shared" ca="1" si="1172"/>
        <v>4.3724084055441503</v>
      </c>
      <c r="AN338" s="388">
        <f t="shared" ca="1" si="1173"/>
        <v>-0.38442954928415385</v>
      </c>
      <c r="AO338" s="388">
        <f ca="1">-0.10453/COS(Control!$B$8*PI()/180)*COS(AN338)</f>
        <v>-0.15739269482140494</v>
      </c>
      <c r="AP338" s="388">
        <f ca="1">ACOS(AO338-TAN(Control!$B$8*PI()/180)*TAN(AN338))</f>
        <v>1.2020803507055273</v>
      </c>
      <c r="AQ338" s="388">
        <f t="shared" ca="1" si="1288"/>
        <v>0</v>
      </c>
      <c r="AR338" s="394">
        <f t="shared" ca="1" si="1174"/>
        <v>0</v>
      </c>
      <c r="AS338" s="436">
        <f ca="1">IF(Control!$B$18=2,(IF(OR($AH338=Control!$B$175,$AH338=Control!$B$176,$AH338=Control!$B$177,$AH338=Control!$B$178,$AH338=Control!$B$179,$AH338=Control!$B$180,$AH338=Control!$B$181,$AH338=Control!$B$182,$AH338=Control!$B$183,$AH338=Control!$B$184,$AH338=Control!$B$185),1,0)),0)</f>
        <v>0</v>
      </c>
      <c r="AT338" s="436">
        <f>IF(Control!$B$20=8,IF(AND($AH338&gt;=Control!$B$172,$AH338&lt;=Control!$B$173),1,0),0)</f>
        <v>0</v>
      </c>
      <c r="AU338" s="436">
        <f>IF(Control!$B$20=8,IF($AV337=1,1*$AT338,IF($AT338=1,$AU337+1,$AU337)),0)</f>
        <v>0</v>
      </c>
      <c r="AV338" s="436">
        <f>IF(Control!$B$20=8,IF($AU338&gt;=Control!$B$174,1,0),0)</f>
        <v>0</v>
      </c>
      <c r="AW338" s="436">
        <f ca="1">IF(AND(Control!$B$18=2,Control!$B$171=1), $AV338, $AS338)</f>
        <v>0</v>
      </c>
      <c r="AX338" s="436" t="e">
        <f ca="1">IF(AND(Control!$B$18=1,$EU338&gt;=Control!$B$19),-$AY338,IF(AND(Control!$B$18=2,$AW338=1,$EU338&gt;$DS338),-$AY338, IF(Control!$C$108=0,0, IF(Control!$C$108&lt;&gt;0,1))))</f>
        <v>#N/A</v>
      </c>
      <c r="AY338" s="436" t="e">
        <f t="shared" ca="1" si="1289"/>
        <v>#N/A</v>
      </c>
      <c r="AZ338" s="436" t="e">
        <f ca="1">IF(AND(Control!$B$18=1,$EB338&gt;Control!$B$19),$AZ337+1, IF(AND(Control!$B$18=2, $AW338=1, $EB338&gt;$DS338), $AZ337+1,$AZ337))</f>
        <v>#N/A</v>
      </c>
      <c r="BA338" s="587">
        <f>IF(Control!$C$81=0,1,IF($AH338&gt;=Control!$C$82,1,0))</f>
        <v>1</v>
      </c>
      <c r="BB338" s="140" t="e">
        <f ca="1">IF($BA338&gt;$BA337,Control!$C$83,IF($AW338&gt;0,$AW338*Control!$C$84,IF(AND(Control!$B$18=1,EN337&lt;&gt;0),Control!$C$84,0)))</f>
        <v>#N/A</v>
      </c>
      <c r="BC338" s="140" t="e">
        <f t="shared" ca="1" si="1290"/>
        <v>#N/A</v>
      </c>
      <c r="BD338" s="140" t="e">
        <f ca="1">BC338*IF(OR($G338&lt;Control!$C$92,$G338&gt;Control!$C$95),0,IF(AND($G338&gt;=Control!$C$92,$G338&lt;=Control!$C$93),$G338-Control!$C$92,IF(AND($G338&gt;Control!$C$93,$G338&lt;=Control!$C$94),Control!$C$93-Control!$C$92,IF(AND($G338&gt;Control!$C$94,$G338&lt;=Control!$C$95),(Control!$C$93-Control!$C$92)*(Control!$C$94-$G338)/(Control!$C$95-Control!$C$94)))))</f>
        <v>#N/A</v>
      </c>
      <c r="BE338" s="140" t="e">
        <f t="shared" ca="1" si="1291"/>
        <v>#N/A</v>
      </c>
      <c r="BF338" s="140" t="e">
        <f ca="1">IF($BE338&lt;=Control!$C$86,$BE338,Control!$C$86-$BE338)</f>
        <v>#N/A</v>
      </c>
      <c r="BG338" s="140" t="e">
        <f ca="1">IF(AND($AW338=1,Control!$C$84&lt;9),1,IF($BE338&gt;=Control!$C$86,0,$BC338))</f>
        <v>#N/A</v>
      </c>
      <c r="BH338" s="404" t="e">
        <f ca="1">IF($BG338=0,0,IF($BE338&lt;=Control!$C$86,$BC338*9*($BF338/Control!$C$86),0))</f>
        <v>#N/A</v>
      </c>
      <c r="BI338" s="140" t="e">
        <f ca="1">IF($BG338=1,0,IF($BE338&gt;=Control!$C$86,1,IF(AND($BB338&lt;21,$BB338&gt;=9),1,$BM337)))</f>
        <v>#N/A</v>
      </c>
      <c r="BJ338" s="140" t="e">
        <f ca="1">IF($BF338&lt;0,-$BF338,$BI338*IF(OR($G338&lt;Control!$C$92,$G338&gt;Control!$C$95),0,IF(AND($G338&gt;=Control!$C$92,$G338&lt;=Control!$C$93),$G338-Control!$C$92,IF(AND($G338&gt;Control!$C$93,$G338&lt;=Control!$C$94),Control!$C$93-Control!$C$92,IF(AND($G338&gt;Control!$C$94,$G338&lt;=Control!$C$95),(Control!$C$93-Control!$C$92)*(Control!$C$94-$G338)/(Control!$C$95-Control!$C$94))))))</f>
        <v>#N/A</v>
      </c>
      <c r="BK338" s="140" t="e">
        <f t="shared" ca="1" si="1292"/>
        <v>#N/A</v>
      </c>
      <c r="BL338" s="140" t="e">
        <f ca="1">IF($BK338&lt;=Control!$C$87,$BK338,Control!$C$87-$BK338)</f>
        <v>#N/A</v>
      </c>
      <c r="BM338" s="140" t="e">
        <f ca="1">IF(AND($BB338&gt;=9,$BB338&lt;21),1,IF($BK338&gt;=Control!$C$87,0,$BI338))</f>
        <v>#N/A</v>
      </c>
      <c r="BN338" s="404" t="e">
        <f ca="1">IF($BM338=0,0,IF($BK338&lt;=Control!$C$87,$BI338*(9+(21-9)*($BL338/Control!$C$87)),0))</f>
        <v>#N/A</v>
      </c>
      <c r="BO338" s="140" t="e">
        <f ca="1">IF($BM338=1,0,IF($BK338&gt;=Control!$C$87,1,IF(AND($BB338&lt;30,$BB338&gt;=21),1,$BS337)))</f>
        <v>#N/A</v>
      </c>
      <c r="BP338" s="140" t="e">
        <f ca="1">IF($BL338&lt;0,-$BL338,$BO338*IF(OR($G338&lt;Control!$C$92,$G338&gt;Control!$C$95),0,IF(AND($G338&gt;=Control!$C$92,$G338&lt;=Control!$C$93),$G338-Control!$C$92,IF(AND($G338&gt;Control!$C$93,$G338&lt;=Control!$C$94),Control!$C$93-Control!$C$92,IF(AND($G338&gt;Control!$C$94,$G338&lt;=Control!$C$95),(Control!$C$93-Control!$C$92)*(Control!$C$94-$G338)/(Control!$C$95-Control!$C$94))))))</f>
        <v>#N/A</v>
      </c>
      <c r="BQ338" s="140" t="e">
        <f t="shared" ca="1" si="1175"/>
        <v>#N/A</v>
      </c>
      <c r="BR338" s="140" t="e">
        <f ca="1">IF($BQ338&lt;=Control!$C$88,$BQ338,Control!$C$88-$BQ338)</f>
        <v>#N/A</v>
      </c>
      <c r="BS338" s="140" t="e">
        <f ca="1">IF(AND($BB338&gt;=21,$BB338&lt;30),1,IF($BQ338&gt;=Control!$C$88,0,$BO338))</f>
        <v>#N/A</v>
      </c>
      <c r="BT338" s="404" t="e">
        <f ca="1">IF($BS338=0,0,IF($BQ338&lt;=Control!$C$88,$BO338*(21+(30-21)*(BR338/Control!$C$88)),0))</f>
        <v>#N/A</v>
      </c>
      <c r="BU338" s="140" t="e">
        <f ca="1">IF(BG338+BM338+BS338=1,0,IF(OR(AND($BB338&lt;60,$BB338&gt;=30),$BQ338&gt;=Control!$C$88),1*$BA338,$BY337))</f>
        <v>#N/A</v>
      </c>
      <c r="BV338" s="140" t="e">
        <f ca="1">IF($BR338&lt;0,-$BR338,$BU338*IF(OR($G338&lt;Control!$C$92,$G338&gt;Control!$C$95),0,IF(AND($G338&gt;=Control!$C$92,$G338&lt;=Control!$C$93),$G338-Control!$C$92,IF(AND($G338&gt;Control!$C$93,$G338&lt;=Control!$C$94),Control!$C$93-Control!$C$92,IF(AND($G338&gt;Control!$C$94,$G338&lt;=Control!$C$95),(Control!$C$93-Control!$C$92)*(Control!$C$94-$G338)/(Control!$C$95-Control!$C$94))))))</f>
        <v>#N/A</v>
      </c>
      <c r="BW338" s="140" t="e">
        <f t="shared" ca="1" si="1176"/>
        <v>#N/A</v>
      </c>
      <c r="BX338" s="140" t="e">
        <f ca="1">IF($BW338&lt;=Control!$C$89,$BW338,Control!$C$89-$BW338)</f>
        <v>#N/A</v>
      </c>
      <c r="BY338" s="140" t="e">
        <f ca="1">IF(AND($AJ338&gt;=30,$AJ338&lt;60),1,IF($BW338&gt;=Control!$C$89,0,$BU338))</f>
        <v>#N/A</v>
      </c>
      <c r="BZ338" s="404" t="e">
        <f ca="1">IF($BY338=0,0,IF($BW338&lt;=Control!$C$89,$BU338*(30+(60-30)*(BX338/Control!$C$89)),0))</f>
        <v>#N/A</v>
      </c>
      <c r="CA338" s="140" t="e">
        <f ca="1">IF($BG338+$BM338+$BS338+$BY338=1,0,IF(OR(AND($BB338&lt;65,$BB338&gt;=60),$BW338&gt;=Control!$C$89),1*$BA338,$CE337))</f>
        <v>#N/A</v>
      </c>
      <c r="CB338" s="140" t="e">
        <f ca="1">IF($BX338&lt;0,-$BX338,$CA338*IF(OR($G338&lt;Control!$C$92,$G338&gt;Control!$C$95),0,IF(AND($G338&gt;=Control!$C$92,$G338&lt;=Control!$C$93),$G338-Control!$C$92,IF(AND($G338&gt;Control!$C$93,$G338&lt;=Control!$C$94),Control!$C$93-Control!$C$92,IF(AND($G338&gt;Control!$C$94,$G338&lt;=Control!$C$95),(Control!$C$93-Control!$C$92)*(Control!$C$94-$G338)/(Control!$C$95-Control!$C$94))))))</f>
        <v>#N/A</v>
      </c>
      <c r="CC338" s="140" t="e">
        <f t="shared" ca="1" si="1293"/>
        <v>#N/A</v>
      </c>
      <c r="CD338" s="140" t="e">
        <f ca="1">IF($CC338&lt;=Control!$C$90,$CC338,Control!$C$90-$CC338)</f>
        <v>#N/A</v>
      </c>
      <c r="CE338" s="140" t="e">
        <f ca="1">IF(AND($BB338&gt;=60,$BB338&lt;65),1,IF($CC338&gt;=Control!$C$90,0,$CA338))</f>
        <v>#N/A</v>
      </c>
      <c r="CF338" s="404" t="e">
        <f ca="1">IF($CE338=0,0,IF($CC338&lt;=Control!$C$90,$CA338*(60+(65-60)*(CD338/Control!$C$90)),0))</f>
        <v>#N/A</v>
      </c>
      <c r="CG338" s="140" t="e">
        <f ca="1">IF($BG338+$BM338+$BS338+$BY338+$CE338=1,0,IF(OR(AND($BB338&lt;90,$BB338&gt;=65),$CC338&gt;=Control!$C$90),$BA338,$CK337))</f>
        <v>#N/A</v>
      </c>
      <c r="CH338" s="140" t="e">
        <f ca="1">IF($CD338&lt;0,-$CD338,$CG338*IF(OR($G338&lt;Control!$C$92,$G338&gt;Control!$C$95),0,IF(AND($G338&gt;=Control!$C$92,$G338&lt;=Control!$C$93),$G338-Control!$C$92,IF(AND($G338&gt;Control!$C$93,$G338&lt;=Control!$C$94),Control!$C$93-Control!$C$92,IF(AND($G338&gt;Control!$C$94,$G338&lt;=Control!$C$95),(Control!$C$93-Control!$C$92)*(Control!$C$94-$G338)/(Control!$C$95-Control!$C$94))))))</f>
        <v>#N/A</v>
      </c>
      <c r="CI338" s="140" t="e">
        <f t="shared" ca="1" si="1294"/>
        <v>#N/A</v>
      </c>
      <c r="CJ338" s="140" t="e">
        <f ca="1">IF($CI338&lt;=Control!$C$91,$CI338,Control!$C$91-$CI338)</f>
        <v>#N/A</v>
      </c>
      <c r="CK338" s="140" t="e">
        <f ca="1">IF(AND($BB338&gt;=65,$BB338&lt;90),1,IF($CI338&gt;=Control!$C$91,0,$CG338))</f>
        <v>#N/A</v>
      </c>
      <c r="CL338" s="404" t="e">
        <f ca="1">IF($CK338=0,0,IF($CI338&lt;=Control!$C$91,$CG338*(65+(90-65)*($CJ338/Control!$C$91)),0))</f>
        <v>#N/A</v>
      </c>
      <c r="CM338" s="140" t="e">
        <f ca="1">IF($BG338+$BM338+$BS338+$BY338+$CE338+$CK338=1,0,IF(OR($BB338&gt;=90,$CI338&gt;=Control!$C$91),$BA338,$CM337))</f>
        <v>#N/A</v>
      </c>
      <c r="CN338" s="140" t="e">
        <f t="shared" ca="1" si="1295"/>
        <v>#N/A</v>
      </c>
      <c r="CO338" s="140" t="e">
        <f t="shared" ca="1" si="1296"/>
        <v>#N/A</v>
      </c>
      <c r="CP338" s="140" t="e">
        <f t="shared" ca="1" si="1297"/>
        <v>#N/A</v>
      </c>
      <c r="CQ338" s="141" t="e">
        <f ca="1">VLOOKUP($CP338,Control!$B$86:$G$91,6)</f>
        <v>#N/A</v>
      </c>
      <c r="CR338" s="141" t="e">
        <f ca="1">(1-$CQ338)*VLOOKUP($CP338,Control!$B$86:$D$91,3)</f>
        <v>#N/A</v>
      </c>
      <c r="CS338" s="141" t="e">
        <f ca="1">(1-$CQ338)*VLOOKUP($CP338,Control!$B$86:$E$91,4)</f>
        <v>#N/A</v>
      </c>
      <c r="CT338" s="141" t="e">
        <f ca="1">(1-$CQ338)*VLOOKUP($CP338,Control!$B$86:$F$91,5)</f>
        <v>#N/A</v>
      </c>
      <c r="CU338" s="141">
        <f t="shared" ca="1" si="1298"/>
        <v>0</v>
      </c>
      <c r="CV338" s="583">
        <f t="shared" ca="1" si="1299"/>
        <v>0</v>
      </c>
      <c r="CW338" s="142">
        <f t="shared" ca="1" si="1300"/>
        <v>334</v>
      </c>
      <c r="CX338" s="612" t="e">
        <f ca="1">IF(Control!$C$114=1,(MIN(Control!$C$120*(IF($NT338-0.01&lt;0,0,1)),Control!$C$119-$CY338)))</f>
        <v>#DIV/0!</v>
      </c>
      <c r="CY338" s="143" t="e">
        <f t="shared" ca="1" si="1301"/>
        <v>#N/A</v>
      </c>
      <c r="CZ338" s="144">
        <f t="shared" ca="1" si="1177"/>
        <v>0</v>
      </c>
      <c r="DA338" s="144">
        <f t="shared" ca="1" si="1178"/>
        <v>0</v>
      </c>
      <c r="DB338" s="144" t="e">
        <f t="shared" ca="1" si="1179"/>
        <v>#N/A</v>
      </c>
      <c r="DC338" s="144" t="e">
        <f t="shared" ca="1" si="1180"/>
        <v>#N/A</v>
      </c>
      <c r="DD338" s="144" t="e">
        <f t="shared" ca="1" si="1386"/>
        <v>#N/A</v>
      </c>
      <c r="DE338" s="143" t="e">
        <f t="shared" ca="1" si="1302"/>
        <v>#N/A</v>
      </c>
      <c r="DF338" s="145" t="e">
        <f ca="1">$DR338*EXP(-Control!$C$158*(1-$KH338))</f>
        <v>#N/A</v>
      </c>
      <c r="DG338" s="146" t="e">
        <f ca="1">IF(Control!$C$114=1, $DF338*$EY338, 0)</f>
        <v>#N/A</v>
      </c>
      <c r="DH338" s="147" t="e">
        <f t="shared" ca="1" si="1303"/>
        <v>#N/A</v>
      </c>
      <c r="DI338" s="144" t="e">
        <f t="shared" ca="1" si="1364"/>
        <v>#N/A</v>
      </c>
      <c r="DJ338" s="147" t="e">
        <f ca="1">$EF338*Control!$C$109</f>
        <v>#N/A</v>
      </c>
      <c r="DK338" s="144" t="e">
        <f t="shared" ca="1" si="1304"/>
        <v>#N/A</v>
      </c>
      <c r="DL338" s="144" t="e">
        <f t="shared" ca="1" si="1181"/>
        <v>#N/A</v>
      </c>
      <c r="DM338" s="144" t="e">
        <f ca="1">IF(Control!$C$114=1, (1-EXP(-Control!$C$96*$DK338))*$AR338, 0)</f>
        <v>#N/A</v>
      </c>
      <c r="DN338" s="144">
        <f t="shared" ca="1" si="1305"/>
        <v>0</v>
      </c>
      <c r="DO338" s="148">
        <f>Control!$C$97</f>
        <v>4</v>
      </c>
      <c r="DP338" s="145" t="e">
        <f t="shared" ca="1" si="1306"/>
        <v>#N/A</v>
      </c>
      <c r="DQ338" s="145" t="e">
        <f ca="1">IF(AND($CP338&gt;=0,$CP338&lt;=90),Control!$C$111,Control!$C$111)</f>
        <v>#N/A</v>
      </c>
      <c r="DR338" s="145" t="e">
        <f t="shared" ca="1" si="1182"/>
        <v>#N/A</v>
      </c>
      <c r="DS338" s="143" t="e">
        <f ca="1">Control!$B$22/$DR338</f>
        <v>#N/A</v>
      </c>
      <c r="DT338" s="149" t="e">
        <f ca="1">IF(AND(Control!$C$114=1,$KH338&lt;1),$IM338*$DF338, 0)</f>
        <v>#N/A</v>
      </c>
      <c r="DU338" s="144" t="e">
        <f t="shared" ca="1" si="1307"/>
        <v>#N/A</v>
      </c>
      <c r="DV338" s="144">
        <f ca="1">IF($G338-Control!$C$107&lt;=0, 0, 0.83*LN(MAX($G338, 3))-0.8924)</f>
        <v>0</v>
      </c>
      <c r="DW338" s="144" t="e">
        <f t="shared" ca="1" si="1183"/>
        <v>#N/A</v>
      </c>
      <c r="DX338" s="150" t="e">
        <f ca="1">MAX(0.01*(1+$CU338/Control!$C$102),0.05*($DK338-Control!$C$97)/Control!$C$97)</f>
        <v>#N/A</v>
      </c>
      <c r="DY338" s="151" t="e">
        <f ca="1">IF(Control!$C$114=1, $DI338*$FS338, 0)</f>
        <v>#N/A</v>
      </c>
      <c r="DZ338" s="196" t="e">
        <f t="shared" ca="1" si="1308"/>
        <v>#N/A</v>
      </c>
      <c r="EA338" s="152">
        <f t="shared" ca="1" si="1309"/>
        <v>334</v>
      </c>
      <c r="EB338" s="153" t="e">
        <f t="shared" ca="1" si="1310"/>
        <v>#N/A</v>
      </c>
      <c r="EC338" s="153" t="e">
        <f t="shared" ca="1" si="1311"/>
        <v>#N/A</v>
      </c>
      <c r="ED338" s="154" t="e">
        <f ca="1">IF(Control!$C$114=1, $HM338*$FY338-$FD338, 0)</f>
        <v>#DIV/0!</v>
      </c>
      <c r="EE338" s="155" t="e">
        <f ca="1">IF(Control!$C$114=1, $HM338*$FZ338-$FF338, 0)</f>
        <v>#DIV/0!</v>
      </c>
      <c r="EF338" s="153" t="e">
        <f t="shared" ca="1" si="1365"/>
        <v>#N/A</v>
      </c>
      <c r="EG338" s="155" t="e">
        <f ca="1">IF(Control!$C$114=1, $GX338*$FW338-$FI338, 0)</f>
        <v>#DIV/0!</v>
      </c>
      <c r="EH338" s="153" t="e">
        <f t="shared" ca="1" si="1312"/>
        <v>#N/A</v>
      </c>
      <c r="EI338" s="156" t="e">
        <f t="shared" ca="1" si="1313"/>
        <v>#N/A</v>
      </c>
      <c r="EJ338" s="155" t="e">
        <f ca="1">IF(Control!$C$114=1, $HM338*$GB338, 0)</f>
        <v>#DIV/0!</v>
      </c>
      <c r="EK338" s="153" t="e">
        <f t="shared" ca="1" si="1366"/>
        <v>#N/A</v>
      </c>
      <c r="EL338" s="153" t="e">
        <f t="shared" ca="1" si="1184"/>
        <v>#N/A</v>
      </c>
      <c r="EM338" s="153" t="e">
        <f t="shared" ca="1" si="1185"/>
        <v>#N/A</v>
      </c>
      <c r="EN338" s="153" t="e">
        <f ca="1">IF(Control!$C$108=1,IF(AND(Control!$B$18=1,$EB338&gt;=Control!$B$19),$EB338-$DS338,IF(AND(Control!$B$18=2,$AW338=1,$EB338&gt;$DS338),$EB338-$DS338,0)))</f>
        <v>#N/A</v>
      </c>
      <c r="EO338" s="153" t="e">
        <f ca="1">IF(Control!$C$108=1,IF(AND(Control!$B$18=1,$EB338&gt;=Control!$B$19),$EF338,IF(AND(Control!$B$18=2,$AW338=1),$EF338,0)))</f>
        <v>#N/A</v>
      </c>
      <c r="EP338" s="153" t="e">
        <f ca="1">IF(Control!$C$108=1,IF(AND(Control!$B$18=1,$EB338&gt;=Control!$B$19),$EK338,IF(AND(Control!$B$18=2,$AW338=1),$EK338,0)))</f>
        <v>#N/A</v>
      </c>
      <c r="EQ338" s="153" t="e">
        <f t="shared" ca="1" si="1314"/>
        <v>#N/A</v>
      </c>
      <c r="ER338" s="153" t="e">
        <f t="shared" ca="1" si="1315"/>
        <v>#N/A</v>
      </c>
      <c r="ES338" s="153" t="e">
        <f t="shared" ca="1" si="1367"/>
        <v>#N/A</v>
      </c>
      <c r="ET338" s="153" t="e">
        <f t="shared" ca="1" si="1368"/>
        <v>#N/A</v>
      </c>
      <c r="EU338" s="153" t="e">
        <f t="shared" ca="1" si="1316"/>
        <v>#N/A</v>
      </c>
      <c r="EV338" s="153" t="e">
        <f t="shared" ca="1" si="1186"/>
        <v>#N/A</v>
      </c>
      <c r="EW338" s="153" t="e">
        <f t="shared" ca="1" si="1187"/>
        <v>#N/A</v>
      </c>
      <c r="EX338" s="153" t="e">
        <f t="shared" ca="1" si="1188"/>
        <v>#N/A</v>
      </c>
      <c r="EY338" s="157" t="e">
        <f t="shared" ca="1" si="1189"/>
        <v>#DIV/0!</v>
      </c>
      <c r="EZ338" s="154" t="e">
        <f t="shared" ca="1" si="1190"/>
        <v>#DIV/0!</v>
      </c>
      <c r="FA338" s="153" t="e">
        <f t="shared" ca="1" si="1317"/>
        <v>#N/A</v>
      </c>
      <c r="FB338" s="153" t="e">
        <f t="shared" ca="1" si="1191"/>
        <v>#N/A</v>
      </c>
      <c r="FC338" s="193" t="e">
        <f t="shared" ca="1" si="1192"/>
        <v>#N/A</v>
      </c>
      <c r="FD338" s="158" t="e">
        <f t="shared" ca="1" si="1318"/>
        <v>#N/A</v>
      </c>
      <c r="FE338" s="158" t="e">
        <f t="shared" ca="1" si="1319"/>
        <v>#N/A</v>
      </c>
      <c r="FF338" s="159" t="e">
        <f t="shared" ca="1" si="1193"/>
        <v>#N/A</v>
      </c>
      <c r="FG338" s="160" t="e">
        <f t="shared" ca="1" si="1320"/>
        <v>#N/A</v>
      </c>
      <c r="FH338" s="158" t="e">
        <f t="shared" ca="1" si="1321"/>
        <v>#N/A</v>
      </c>
      <c r="FI338" s="159" t="e">
        <f t="shared" ca="1" si="1194"/>
        <v>#N/A</v>
      </c>
      <c r="FJ338" s="160" t="e">
        <f t="shared" ca="1" si="1322"/>
        <v>#N/A</v>
      </c>
      <c r="FK338" s="160" t="e">
        <f t="shared" ca="1" si="1195"/>
        <v>#N/A</v>
      </c>
      <c r="FL338" s="160" t="e">
        <f t="shared" ca="1" si="1369"/>
        <v>#N/A</v>
      </c>
      <c r="FM338" s="160" t="e">
        <f t="shared" ca="1" si="1196"/>
        <v>#N/A</v>
      </c>
      <c r="FN338" s="158">
        <f t="shared" ca="1" si="1323"/>
        <v>0.01</v>
      </c>
      <c r="FO338" s="160">
        <f>Control!$C$101</f>
        <v>50</v>
      </c>
      <c r="FP338" s="150" t="e">
        <f t="shared" ca="1" si="1197"/>
        <v>#N/A</v>
      </c>
      <c r="FQ338" s="150" t="e">
        <f ca="1">MAX(0,(Control!$C$112*(($DK338-Control!$C$97)/Control!$C$97)))</f>
        <v>#N/A</v>
      </c>
      <c r="FR338" s="150" t="e">
        <f ca="1">(1-$NT338)*Control!$C$113</f>
        <v>#DIV/0!</v>
      </c>
      <c r="FS338" s="198" t="e">
        <f t="shared" ca="1" si="1198"/>
        <v>#N/A</v>
      </c>
      <c r="FT338" s="161">
        <f t="shared" ca="1" si="1324"/>
        <v>334</v>
      </c>
      <c r="FU338" s="162" t="e">
        <f ca="1">IF(Control!$B$34=1,VLOOKUP($CP338,Control!$B$86:$G$91,6),Control!$B$35)</f>
        <v>#N/A</v>
      </c>
      <c r="FV338" s="162" t="e">
        <f t="shared" ca="1" si="1199"/>
        <v>#DIV/0!</v>
      </c>
      <c r="FW338" s="162" t="e">
        <f ca="1">IF(Control!$B$31=1,$FU338*$FV338,  $FU338)</f>
        <v>#N/A</v>
      </c>
      <c r="FX338" s="162" t="e">
        <f ca="1">IF(Control!$B$34=1,VLOOKUP($CP338,Control!$B$86:$G$91,3),Control!$B$36)</f>
        <v>#N/A</v>
      </c>
      <c r="FY338" s="162" t="e">
        <f t="shared" ca="1" si="1200"/>
        <v>#N/A</v>
      </c>
      <c r="FZ338" s="162" t="e">
        <f ca="1">IF(Control!$B$34=1,VLOOKUP($CP338,Control!$B$86:$G$91,4),Control!$B$37)</f>
        <v>#N/A</v>
      </c>
      <c r="GA338" s="162" t="e">
        <f t="shared" ca="1" si="1201"/>
        <v>#N/A</v>
      </c>
      <c r="GB338" s="162" t="e">
        <f ca="1">IF(Control!$B$34=1,VLOOKUP($CP338,Control!$B$86:$G$91,5),Control!$B$38)</f>
        <v>#N/A</v>
      </c>
      <c r="GC338" s="162" t="e">
        <f t="shared" ca="1" si="1325"/>
        <v>#N/A</v>
      </c>
      <c r="GD338" s="162">
        <f t="shared" ca="1" si="1202"/>
        <v>1</v>
      </c>
      <c r="GE338" s="162">
        <f t="shared" ca="1" si="1203"/>
        <v>1</v>
      </c>
      <c r="GF338" s="162">
        <f ca="1">IF(AND(Control!$C$104=1, Control!$C$62="F"),$GE338,1)</f>
        <v>1</v>
      </c>
      <c r="GG338" s="162" t="e">
        <f ca="1">IF(Control!$B$16=40,0,IF(AND(Control!$B$16&gt;40,Control!$B$16&lt;=360),(Control!$B$16-40)*((1-0)/(360-40)),IF(AND(Control!$B$16&gt;360,Control!$B$16&lt;=720),(1+(Control!$B$16-360)*((1.25-1)/(720-360))),IF(AND(Control!$B$16&gt;720,Control!$B$16&lt;=1000),(1.25+(Control!$B$16-720)*((1.35-1.25)/(1000-720))),IF(AND(Control!$B$16&gt;1000,Control!$B$16&lt;=2000),(1.35+(Control!$B$16-1000)*0))))))</f>
        <v>#N/A</v>
      </c>
      <c r="GH338" s="162" t="e">
        <f t="shared" ca="1" si="1204"/>
        <v>#N/A</v>
      </c>
      <c r="GI338" s="162">
        <f t="shared" ca="1" si="1326"/>
        <v>0</v>
      </c>
      <c r="GJ338" s="162">
        <f t="shared" ca="1" si="1205"/>
        <v>0</v>
      </c>
      <c r="GK338" s="162">
        <f t="shared" ca="1" si="1327"/>
        <v>1</v>
      </c>
      <c r="GL338" s="162">
        <f t="shared" ca="1" si="1206"/>
        <v>1</v>
      </c>
      <c r="GM338" s="162" t="e">
        <f ca="1">MAX(0,MIN(1,1-Control!$C$156*(1.0001-$KH338)^2))</f>
        <v>#N/A</v>
      </c>
      <c r="GN338" s="162" t="e">
        <f ca="1">IF(Control!$B$26=1,$KU338,$KX338)</f>
        <v>#N/A</v>
      </c>
      <c r="GO338" s="162" t="e">
        <f ca="1">IF($CP338&lt;=60,Control!$C$105,IF($CP338&gt;=90,Control!$C$106,Control!$C$105+($CP338-60)*((Control!$C$106-Control!$C$105)/(90-60))))</f>
        <v>#N/A</v>
      </c>
      <c r="GP338" s="162" t="e">
        <f t="shared" ca="1" si="1207"/>
        <v>#N/A</v>
      </c>
      <c r="GQ338" s="162" t="e">
        <f t="shared" ca="1" si="1328"/>
        <v>#N/A</v>
      </c>
      <c r="GR338" s="163" t="e">
        <f t="shared" ca="1" si="1208"/>
        <v>#DIV/0!</v>
      </c>
      <c r="GS338" s="162" t="e">
        <f t="shared" ca="1" si="1209"/>
        <v>#DIV/0!</v>
      </c>
      <c r="GT338" s="164" t="e">
        <f t="shared" ca="1" si="1329"/>
        <v>#N/A</v>
      </c>
      <c r="GU338" s="162" t="e">
        <f t="shared" ca="1" si="1330"/>
        <v>#N/A</v>
      </c>
      <c r="GV338" s="162" t="e">
        <f t="shared" ca="1" si="1210"/>
        <v>#N/A</v>
      </c>
      <c r="GW338" s="162" t="e">
        <f t="shared" ca="1" si="1211"/>
        <v>#DIV/0!</v>
      </c>
      <c r="GX338" s="162" t="e">
        <f t="shared" ca="1" si="1331"/>
        <v>#DIV/0!</v>
      </c>
      <c r="GY338" s="162" t="e">
        <f t="shared" ca="1" si="1332"/>
        <v>#DIV/0!</v>
      </c>
      <c r="GZ338" s="165" t="e">
        <f t="shared" ca="1" si="1212"/>
        <v>#N/A</v>
      </c>
      <c r="HA338" s="162" t="e">
        <f ca="1">IF(Control!$C$114=1, $DI338*$FS338, 0)</f>
        <v>#N/A</v>
      </c>
      <c r="HB338" s="162" t="e">
        <f ca="1">$FA338/Control!$C$64</f>
        <v>#N/A</v>
      </c>
      <c r="HC338" s="162" t="e">
        <f t="shared" ca="1" si="1213"/>
        <v>#DIV/0!</v>
      </c>
      <c r="HD338" s="162">
        <f ca="1">-ASIN(SIN(23.45*Control!$C$139)*COS(2*Control!$C$138*($AH338+10)/365))</f>
        <v>-0.38141177559964318</v>
      </c>
      <c r="HE338" s="165">
        <f t="shared" ca="1" si="1333"/>
        <v>0</v>
      </c>
      <c r="HF338" s="166">
        <f ca="1">IF(AND(Control!$C$61="T",$HE338&gt;=Control!$C$103,Control!$C$114=0),$AH338,Control!$C$59)</f>
        <v>1</v>
      </c>
      <c r="HG338" s="166">
        <f ca="1">IF(AND(Control!$C$61="T",$HE338&gt;=Control!$C$103,Control!$C$114=0),$HF338,Control!$C$59)</f>
        <v>1</v>
      </c>
      <c r="HH338" s="165">
        <f ca="1">IF(AND(OR(Control!$C$60&lt;=0, $AH338= Control!$C$59, Control!$C$60 &gt;0, $AH338 = Control!$C$60)), Control!$C$59, IF(Control!$C$60&gt;0, 0))</f>
        <v>1</v>
      </c>
      <c r="HI338" s="165">
        <f ca="1">IF(AND(OR(Control!$C$60&lt;=0, $AH338= Control!$C$59, Control!$C$60 &gt;0, $AH338 = Control!$C$60)), Control!$C$60, IF(Control!$C$60&lt;=0, 0))</f>
        <v>0</v>
      </c>
      <c r="HJ338" s="166">
        <f ca="1">IF(AND(Control!$C$62="F",$CV338&gt;=Control!$C$102),$AH338,0)</f>
        <v>0</v>
      </c>
      <c r="HK338" s="165" t="e">
        <f t="shared" ca="1" si="1370"/>
        <v>#N/A</v>
      </c>
      <c r="HL338" s="166">
        <f ca="1">IF(AND(Control!$C$61="T",$HE338&gt;=Control!$C$103,Control!$C$114=0),$HF338,0)</f>
        <v>0</v>
      </c>
      <c r="HM338" s="201" t="e">
        <f t="shared" ca="1" si="1214"/>
        <v>#DIV/0!</v>
      </c>
      <c r="HN338" s="215">
        <f t="shared" ca="1" si="1334"/>
        <v>334</v>
      </c>
      <c r="HO338" s="216" t="e">
        <f ca="1">IF(AND($CP338&gt;=0, $CP338&lt;=90), Control!$C$152, Control!$C$152)</f>
        <v>#N/A</v>
      </c>
      <c r="HP338" s="216" t="e">
        <f t="shared" ca="1" si="1215"/>
        <v>#N/A</v>
      </c>
      <c r="HQ338" s="217" t="e">
        <f ca="1">IF(OR(Control!$B$26=1,Control!$B$26=2),$KV338,$KS338)</f>
        <v>#DIV/0!</v>
      </c>
      <c r="HR338" s="218" t="e">
        <f t="shared" ca="1" si="1371"/>
        <v>#DIV/0!</v>
      </c>
      <c r="HS338" s="216" t="e">
        <f ca="1">Control!$C$154*$HP338</f>
        <v>#N/A</v>
      </c>
      <c r="HT338" s="216" t="e">
        <f ca="1">Control!$C$155*$HP338</f>
        <v>#N/A</v>
      </c>
      <c r="HU338" s="217" t="e">
        <f ca="1">Control!$C$161*$FI338</f>
        <v>#N/A</v>
      </c>
      <c r="HV338" s="218" t="e">
        <f t="shared" ca="1" si="1335"/>
        <v>#N/A</v>
      </c>
      <c r="HW338" s="218" t="e">
        <f ca="1">Control!$C$160*$FF338+$IP338*$EO338</f>
        <v>#N/A</v>
      </c>
      <c r="HX338" s="218" t="e">
        <f t="shared" ca="1" si="1372"/>
        <v>#N/A</v>
      </c>
      <c r="HY338" s="219" t="e">
        <f ca="1">IF(Control!$C$114=1, $EB338*$FS338, 0)</f>
        <v>#N/A</v>
      </c>
      <c r="HZ338" s="91" t="e">
        <f t="shared" ca="1" si="1216"/>
        <v>#N/A</v>
      </c>
      <c r="IA338" s="220" t="e">
        <f ca="1">Control!$C$153*$HO338</f>
        <v>#N/A</v>
      </c>
      <c r="IB338" s="218" t="e">
        <f t="shared" ca="1" si="1217"/>
        <v>#N/A</v>
      </c>
      <c r="IC338" s="220" t="e">
        <f ca="1">Control!$C$153*$HT338</f>
        <v>#N/A</v>
      </c>
      <c r="ID338" s="218" t="e">
        <f t="shared" ca="1" si="1218"/>
        <v>#N/A</v>
      </c>
      <c r="IE338" s="221" t="e">
        <f ca="1">($EB338*Control!$C$159+$EF338*Control!$C$160)/(IF($GZ338&lt;&gt;0,$GZ338,1))</f>
        <v>#N/A</v>
      </c>
      <c r="IF338" s="216" t="e">
        <f t="shared" ca="1" si="1219"/>
        <v>#N/A</v>
      </c>
      <c r="IG338" s="91">
        <f ca="1">IF(OR(Control!$B$198=$AH338,Control!$B$199=$AH338, Control!$B$200=$AH338, Control!$B$201=$AH338, Control!$B$202=$AH338, Control!$B$203=$AH338, Control!$B$204=$AH338, Control!$B$205=$AH338, Control!$B$206=$AH338, Control!$B$207=$AH338), 1, 0)</f>
        <v>0</v>
      </c>
      <c r="IH338" s="91">
        <f ca="1">IF($IG338=0,0, VLOOKUP($AH338,Control!$B$198:$C$207,2))</f>
        <v>0</v>
      </c>
      <c r="II338" s="222">
        <f t="shared" ca="1" si="1336"/>
        <v>0</v>
      </c>
      <c r="IJ338" s="91">
        <f>Control!$C$121</f>
        <v>0.7</v>
      </c>
      <c r="IK338" s="218">
        <f t="shared" ca="1" si="1220"/>
        <v>0</v>
      </c>
      <c r="IL338" s="217" t="e">
        <f t="shared" ca="1" si="1373"/>
        <v>#N/A</v>
      </c>
      <c r="IM338" s="223" t="e">
        <f ca="1">IF(AND(Control!$C$114=1,$KH338&lt;1),$EB338*Control!$C$148*(1-$KH338), 0)</f>
        <v>#N/A</v>
      </c>
      <c r="IN338" s="217" t="e">
        <f t="shared" ca="1" si="1221"/>
        <v>#DIV/0!</v>
      </c>
      <c r="IO338" s="91" t="e">
        <f ca="1">MAX(0,$IL338-$EF338*Control!$C$160)</f>
        <v>#N/A</v>
      </c>
      <c r="IP338" s="220" t="e">
        <f t="shared" ca="1" si="1222"/>
        <v>#N/A</v>
      </c>
      <c r="IQ338" s="217" t="e">
        <f t="shared" ca="1" si="1337"/>
        <v>#N/A</v>
      </c>
      <c r="IR338" s="218" t="e">
        <f t="shared" ca="1" si="1223"/>
        <v>#N/A</v>
      </c>
      <c r="IS338" s="217" t="e">
        <f ca="1">Control!$C$159*MAX(0,$FD338-$EN338)</f>
        <v>#N/A</v>
      </c>
      <c r="IT338" s="217" t="e">
        <f t="shared" ca="1" si="1374"/>
        <v>#N/A</v>
      </c>
      <c r="IU338" s="217" t="e">
        <f t="shared" ca="1" si="1338"/>
        <v>#N/A</v>
      </c>
      <c r="IV338" s="217" t="e">
        <f t="shared" ca="1" si="1375"/>
        <v>#N/A</v>
      </c>
      <c r="IW338" s="217" t="e">
        <f ca="1">IF(OR($AW338=1,AND($AW338=0, Control!$B$18=1,$EN338&lt;&gt;0)), $IQ338-$IU338, $IQ338)</f>
        <v>#N/A</v>
      </c>
      <c r="IX338" s="218" t="e">
        <f t="shared" ca="1" si="1224"/>
        <v>#N/A</v>
      </c>
      <c r="IY338" s="218" t="e">
        <f ca="1">MAX(0,$IQ338-$EB338*Control!$C$159)</f>
        <v>#N/A</v>
      </c>
      <c r="IZ338" s="218" t="e">
        <f t="shared" ca="1" si="1225"/>
        <v>#N/A</v>
      </c>
      <c r="JA338" s="216" t="e">
        <f t="shared" ca="1" si="1226"/>
        <v>#N/A</v>
      </c>
      <c r="JB338" s="217" t="e">
        <f t="shared" ca="1" si="1227"/>
        <v>#N/A</v>
      </c>
      <c r="JC338" s="222" t="e">
        <f ca="1">MAX(Control!$C$157*$EK338-$JT338, 0)/Control!$C$162</f>
        <v>#N/A</v>
      </c>
      <c r="JD338" s="218" t="e">
        <f t="shared" ca="1" si="1228"/>
        <v>#N/A</v>
      </c>
      <c r="JE338" s="218" t="e">
        <f t="shared" ca="1" si="1229"/>
        <v>#N/A</v>
      </c>
      <c r="JF338" s="218" t="e">
        <f t="shared" ca="1" si="1339"/>
        <v>#N/A</v>
      </c>
      <c r="JG338" s="218" t="e">
        <f t="shared" ca="1" si="1230"/>
        <v>#N/A</v>
      </c>
      <c r="JH338" s="217" t="e">
        <f t="shared" ca="1" si="1340"/>
        <v>#N/A</v>
      </c>
      <c r="JI338" s="217" t="e">
        <f t="shared" ca="1" si="1341"/>
        <v>#N/A</v>
      </c>
      <c r="JJ338" s="217" t="e">
        <f t="shared" ca="1" si="1376"/>
        <v>#N/A</v>
      </c>
      <c r="JK338" s="217" t="e">
        <f ca="1">IF(Control!$C$114=1,IF(Control!$B$24=0,MAX(0,$JI338)*$GN338/Control!$C$64,(MAX(0,MIN($JI338,$JJ338*$GN338/Control!$C$64),0))))</f>
        <v>#N/A</v>
      </c>
      <c r="JL338" s="217" t="e">
        <f ca="1">$IK338/Control!$C$64-$JK338+$HQ338</f>
        <v>#N/A</v>
      </c>
      <c r="JM338" s="217" t="e">
        <f ca="1">IF(Control!$C$114=1,($JB338/(IF($JI338&lt;&gt;0,$JI338,1)))*$JK338,0)</f>
        <v>#N/A</v>
      </c>
      <c r="JN338" s="217" t="e">
        <f ca="1">IF(Control!$C$114=1,($JG338/(IF($JI338&lt;&gt;0,$JI338,1)))*$JK338, 0)</f>
        <v>#N/A</v>
      </c>
      <c r="JO338" s="218" t="e">
        <f t="shared" ca="1" si="1231"/>
        <v>#N/A</v>
      </c>
      <c r="JP338" s="218" t="e">
        <f ca="1">MIN(($IY338+$IO338)*Control!$C$151, $JF338-$EH338*Control!$C$161)</f>
        <v>#N/A</v>
      </c>
      <c r="JQ338" s="218" t="e">
        <f t="shared" ca="1" si="1232"/>
        <v>#N/A</v>
      </c>
      <c r="JR338" s="217" t="e">
        <f ca="1">IF($CP338-Control!$C$150&lt;0, 0, $JQ338/Control!$C$162)</f>
        <v>#N/A</v>
      </c>
      <c r="JS338" s="218" t="e">
        <f t="shared" ca="1" si="1233"/>
        <v>#N/A</v>
      </c>
      <c r="JT338" s="218" t="e">
        <f t="shared" ca="1" si="1342"/>
        <v>#N/A</v>
      </c>
      <c r="JU338" s="218" t="e">
        <f t="shared" ca="1" si="1234"/>
        <v>#N/A</v>
      </c>
      <c r="JV338" s="218" t="e">
        <f t="shared" ca="1" si="1235"/>
        <v>#N/A</v>
      </c>
      <c r="JW338" s="216" t="e">
        <f t="shared" ca="1" si="1236"/>
        <v>#N/A</v>
      </c>
      <c r="JX338" s="91" t="e">
        <f t="shared" ca="1" si="1237"/>
        <v>#N/A</v>
      </c>
      <c r="JY338" s="218" t="e">
        <f t="shared" ca="1" si="1238"/>
        <v>#N/A</v>
      </c>
      <c r="JZ338" s="217" t="e">
        <f ca="1">IF(Control!$C$114=1,($IZ338/(IF($JI338&lt;&gt;0,$JI338,1)))*$JK338, 0)</f>
        <v>#N/A</v>
      </c>
      <c r="KA338" s="218" t="e">
        <f t="shared" ca="1" si="1377"/>
        <v>#N/A</v>
      </c>
      <c r="KB338" s="218" t="e">
        <f t="shared" ca="1" si="1343"/>
        <v>#N/A</v>
      </c>
      <c r="KC338" s="218" t="e">
        <f t="shared" ca="1" si="1239"/>
        <v>#N/A</v>
      </c>
      <c r="KD338" s="218" t="e">
        <f t="shared" ca="1" si="1240"/>
        <v>#N/A</v>
      </c>
      <c r="KE338" s="218" t="e">
        <f t="shared" ca="1" si="1241"/>
        <v>#N/A</v>
      </c>
      <c r="KF338" s="218" t="e">
        <f t="shared" ca="1" si="1242"/>
        <v>#N/A</v>
      </c>
      <c r="KG338" s="216" t="e">
        <f t="shared" ca="1" si="1243"/>
        <v>#N/A</v>
      </c>
      <c r="KH338" s="221" t="e">
        <f ca="1">IF(Control!$B$24=0,1,MAX(0.001,MIN(1,IF(($IF338-$IE338)&lt;&gt;0,($KG338-$IE338)/($IF338-$IE338),1))))</f>
        <v>#N/A</v>
      </c>
      <c r="KI338" s="222" t="e">
        <f ca="1">IF(Control!$C$114=1, $KI337+ $KH337, 0)</f>
        <v>#N/A</v>
      </c>
      <c r="KJ338" s="217" t="e">
        <f t="shared" ca="1" si="1244"/>
        <v>#N/A</v>
      </c>
      <c r="KK338" s="218" t="e">
        <f t="shared" ca="1" si="1245"/>
        <v>#N/A</v>
      </c>
      <c r="KL338" s="274" t="e">
        <f ca="1">IF(Control!$B$26=3,4000000000*EXP(-8400/($G338+273)),IF(Control!$B$26=4,4000000000*EXP(-8400/($G338+273))*($KT338),0))</f>
        <v>#DIV/0!</v>
      </c>
      <c r="KM338" s="274" t="e">
        <f ca="1">IF(Control!$B$26=3,5600000000000*EXP(-9800/($G338+273)),IF(Control!$B$26=4,5600000000000*EXP(-9800/($G338+273))*$KT338,0))</f>
        <v>#DIV/0!</v>
      </c>
      <c r="KN338" s="454" t="e">
        <f t="shared" ca="1" si="1344"/>
        <v>#DIV/0!</v>
      </c>
      <c r="KO338" s="274" t="e">
        <f t="shared" ca="1" si="1345"/>
        <v>#DIV/0!</v>
      </c>
      <c r="KP338" s="454" t="e">
        <f t="shared" ca="1" si="1246"/>
        <v>#DIV/0!</v>
      </c>
      <c r="KQ338" s="454" t="e">
        <f t="shared" ca="1" si="1247"/>
        <v>#DIV/0!</v>
      </c>
      <c r="KR338" s="454" t="e">
        <f t="shared" ca="1" si="1248"/>
        <v>#DIV/0!</v>
      </c>
      <c r="KS338" s="454" t="e">
        <f t="shared" ca="1" si="1249"/>
        <v>#DIV/0!</v>
      </c>
      <c r="KT338" s="455" t="e">
        <f t="shared" ca="1" si="1250"/>
        <v>#DIV/0!</v>
      </c>
      <c r="KU338" s="456" t="e">
        <f ca="1">IF($CP338-Control!$C$149&lt;0, IF($NT338-0.01&lt;0,0,1),0)</f>
        <v>#N/A</v>
      </c>
      <c r="KV338" s="456" t="e">
        <f ca="1">IF(Control!$C$114=1,MAX(0,MIN(Control!$C$125*$KW338*$GN338,$KW338)))</f>
        <v>#DIV/0!</v>
      </c>
      <c r="KW338" s="456" t="e">
        <f t="shared" ca="1" si="1378"/>
        <v>#DIV/0!</v>
      </c>
      <c r="KX338" s="457" t="e">
        <f ca="1">IF($CP338-Control!$C$149&lt;0, IF($MR338-$OM338&lt;0,0,1),0)</f>
        <v>#N/A</v>
      </c>
      <c r="KY338" s="167">
        <f t="shared" ca="1" si="1346"/>
        <v>334</v>
      </c>
      <c r="KZ338" s="168">
        <f ca="1">1370*(1+0.033*COS(2*Control!$C$138*$AH338/365))</f>
        <v>1408.9243567182202</v>
      </c>
      <c r="LA338" s="169">
        <f t="shared" ca="1" si="1347"/>
        <v>1.0284117135243369</v>
      </c>
      <c r="LB338" s="169">
        <f t="shared" ca="1" si="1348"/>
        <v>-0.38380301917749693</v>
      </c>
      <c r="LC338" s="169">
        <f ca="1">ACOS(-TAN((2*Control!$B$8/360))*TAN(Calculations!$LB338))</f>
        <v>1.4504870106638141</v>
      </c>
      <c r="LD338" s="169">
        <f ca="1">((24*60)/PI())*0.082*$LA338*(($LC338*SIN(Control!$B$8*2*PI()/360))*SIN($LB338)+COS(Control!$B$8*2*PI()/360)*COS($LB338)*SIN($LC338))</f>
        <v>5.3631685487027472</v>
      </c>
      <c r="LE338" s="170">
        <f t="shared" ca="1" si="1251"/>
        <v>7.0089512161833198</v>
      </c>
      <c r="LF338" s="170">
        <f ca="1">SIN(Control!$C$139*Control!$B$8)*SIN($HD338)</f>
        <v>-0.29332264753128884</v>
      </c>
      <c r="LG338" s="170">
        <f ca="1">COS(Control!$C$139*Control!$B$8)*COS($HD338)</f>
        <v>0.57141852262621617</v>
      </c>
      <c r="LH338" s="170">
        <f ca="1">12*(1+2*ASIN(MAX(-1,MIN(1,$LF338/$LG338))/Control!$C$138))</f>
        <v>8.060842809218677</v>
      </c>
      <c r="LI338" s="170">
        <f ca="1">12*(1+2*ASIN(MAX(-1,MIN(1,(-SIN(-4*Control!$C$139)+$LF338)/$LG338))/Control!$C$138))</f>
        <v>9.0033164743371419</v>
      </c>
      <c r="LJ338" s="168">
        <f ca="1">3600*($LH338*$LF338+24*$LG338*SQRT(1-$LK338*$LK338)/Control!$C$138)</f>
        <v>4974.6824112751747</v>
      </c>
      <c r="LK338" s="170">
        <f t="shared" ca="1" si="1252"/>
        <v>-0.51332366018376507</v>
      </c>
      <c r="LL338" s="170">
        <f t="shared" ca="1" si="1253"/>
        <v>0</v>
      </c>
      <c r="LM338" s="171">
        <f ca="1">Control!$C$145*$AB338</f>
        <v>6.6660906138995932E-2</v>
      </c>
      <c r="LN338" s="170">
        <f t="shared" ca="1" si="1349"/>
        <v>0.54</v>
      </c>
      <c r="LO338" s="170">
        <f t="shared" ca="1" si="1254"/>
        <v>0</v>
      </c>
      <c r="LP338" s="170">
        <f ca="1">Control!$C$140*((($D338+273.16)^4+($E338+273.16)^4)/2)*(0.34-0.14*SQRT($Y338))*(1.35*$AQ338/(0.75*$LD338)-0.35)</f>
        <v>-3.2464704755046001</v>
      </c>
      <c r="LQ338" s="170">
        <f ca="1">Control!$C$140*($G338+273)^4*(0.56-0.079*SQRT($Y338*10))*(0.1+0.9*$LO338)</f>
        <v>1.5241745131704001</v>
      </c>
      <c r="LR338" s="170">
        <f ca="1">$AQ338*(1-Control!$C$142)-$LQ338</f>
        <v>-1.5241745131704001</v>
      </c>
      <c r="LS338" s="170">
        <f ca="1">$AQ338*(1-Control!$C$143)-$LQ338</f>
        <v>-1.5241745131704001</v>
      </c>
      <c r="LT338" s="170">
        <f ca="1">$AQ338*(1-Control!$C$144)-$LQ338</f>
        <v>-1.5241745131704001</v>
      </c>
      <c r="LU338" s="169">
        <f ca="1">(1-Control!$C$144)*AQ338-LP338</f>
        <v>3.2464704755046001</v>
      </c>
      <c r="LV338" s="172">
        <f t="shared" ca="1" si="1255"/>
        <v>0.79430000000000012</v>
      </c>
      <c r="LW338" s="170">
        <f t="shared" ca="1" si="1256"/>
        <v>1.5886000000000002</v>
      </c>
      <c r="LX338" s="170">
        <f ca="1">($AC338*($LR338/Control!$C$141)+$LM338*$LV338)/($AC338+$LM338)</f>
        <v>0.23530094218323697</v>
      </c>
      <c r="LY338" s="170">
        <f ca="1">($AC338*($LS338/Control!$C$141)+$LM338*$LV338)/($AC338+$LM338)</f>
        <v>0.23530094218323697</v>
      </c>
      <c r="LZ338" s="170">
        <f t="shared" ca="1" si="1257"/>
        <v>0.23530094218323697</v>
      </c>
      <c r="MA338" s="170">
        <f t="shared" ca="1" si="1258"/>
        <v>0.23530094218323697</v>
      </c>
      <c r="MB338" s="170" t="e">
        <f t="shared" ca="1" si="1259"/>
        <v>#N/A</v>
      </c>
      <c r="MC338" s="170">
        <f t="shared" ca="1" si="1350"/>
        <v>0.6018</v>
      </c>
      <c r="MD338" s="170">
        <f t="shared" ca="1" si="1260"/>
        <v>0.52989392535414004</v>
      </c>
      <c r="ME338" s="170">
        <f ca="1">($AC338*($LT338/Control!$C$141)+$LM338*$LW338)/($AC338+$LM338)</f>
        <v>0.71612369323045078</v>
      </c>
      <c r="MF338" s="170" t="e">
        <f ca="1">IF(Control!$B$16&gt;=1000,0.92,IF(AND(720&lt;=Control!$B$16,1000&gt;Control!$B$16),(0.95+(Control!$B$16-720)*((0.92-0.95)/(1000-720))),IF(AND(360&lt;=Control!$B$16,720&gt;Control!$B$16),(1+(Control!$B$16-360)*((0.95-1)/(720-360))),IF(AND(40&lt;=Control!$B$16,360&gt;Control!$B$16),(1.05+(Control!$B$16-40)*((1.05-1)/(360-40)))))))</f>
        <v>#N/A</v>
      </c>
      <c r="MG338" s="170">
        <f t="shared" ca="1" si="1261"/>
        <v>0.71612369323045078</v>
      </c>
      <c r="MH338" s="170" t="e">
        <f t="shared" ca="1" si="1262"/>
        <v>#N/A</v>
      </c>
      <c r="MI338" s="170" t="e">
        <f t="shared" ca="1" si="1262"/>
        <v>#N/A</v>
      </c>
      <c r="MJ338" s="170" t="e">
        <f ca="1">MAX(0.0001, Control!$C$132*$MI338*$DL338)</f>
        <v>#N/A</v>
      </c>
      <c r="MK338" s="170">
        <f ca="1">1/(0.76+1.5*($MG338/10))-(5-Control!$C$110)*0.1</f>
        <v>1.002845988140797</v>
      </c>
      <c r="ML338" s="173">
        <f ca="1">IF(Control!$C$110&lt;3,$MK338+($MG338-0.6)/(Control!$C$110*(Control!$C$110+3)), MAX(0.1, MIN(0.95,$MK338)))</f>
        <v>0.95</v>
      </c>
      <c r="MM338" s="173">
        <f ca="1">IF(Control!$C$110&lt;3,$MK338+(($MI338/10)-0.6)/(Control!$C$110*(Control!$C$110+3)), MAX(0.1, MIN(0.95,$MK338)))</f>
        <v>0.95</v>
      </c>
      <c r="MN338" s="173">
        <f ca="1">(1-$MM338)*(Control!$C$128-Control!$C$127)+Control!$C$127</f>
        <v>0.16</v>
      </c>
      <c r="MO338" s="170" t="e">
        <f ca="1">MAX(0,MIN(1,($MS338-Control!$C$127)/($MN338-Control!$C$127)))</f>
        <v>#DIV/0!</v>
      </c>
      <c r="MP338" s="173" t="e">
        <f ca="1">1/(0.76+1.5*$MI338)-(5-Control!$C$110)*0.1</f>
        <v>#N/A</v>
      </c>
      <c r="MQ338" s="172" t="e">
        <f t="shared" ca="1" si="1379"/>
        <v>#DIV/0!</v>
      </c>
      <c r="MR338" s="168" t="e">
        <f t="shared" ca="1" si="1351"/>
        <v>#DIV/0!</v>
      </c>
      <c r="MS338" s="173" t="e">
        <f ca="1">MAX(Control!$C$127, MIN(Control!$C$135, $MR338/MAX(0.0001,$CY338)))</f>
        <v>#DIV/0!</v>
      </c>
      <c r="MT338" s="168" t="e">
        <f ca="1">(Control!$C$128-$MS338)*Control!$C$74</f>
        <v>#DIV/0!</v>
      </c>
      <c r="MU338" s="168" t="e">
        <f ca="1">(Control!$C$135-$MS338)*Control!$C$74</f>
        <v>#DIV/0!</v>
      </c>
      <c r="MV338" s="168" t="e">
        <f t="shared" ca="1" si="1352"/>
        <v>#DIV/0!</v>
      </c>
      <c r="MW338" s="168" t="e">
        <f t="shared" ca="1" si="1353"/>
        <v>#DIV/0!</v>
      </c>
      <c r="MX338" s="171" t="e">
        <f ca="1">MAX(Control!$C$127, MIN(Control!$C$135, $MW338/MAX(0.0001,Control!$C$119-$CY338)))</f>
        <v>#DIV/0!</v>
      </c>
      <c r="MY338" s="54" t="e">
        <f ca="1">IF(Control!$C$114=1, $CX338*$MX338, 0)</f>
        <v>#DIV/0!</v>
      </c>
      <c r="MZ338" s="54" t="e">
        <f t="shared" ca="1" si="1354"/>
        <v>#N/A</v>
      </c>
      <c r="NA338" s="168" t="e">
        <f ca="1">(Control!$C$128-$MX338)*(Control!$C$119-Control!$C$74)</f>
        <v>#DIV/0!</v>
      </c>
      <c r="NB338" s="168" t="e">
        <f ca="1">(Control!$C$135-$MX338)*(Control!$C$119-Control!$C$74)</f>
        <v>#DIV/0!</v>
      </c>
      <c r="NC338" s="174" t="e">
        <f t="shared" ca="1" si="1355"/>
        <v>#DIV/0!</v>
      </c>
      <c r="ND338" s="54">
        <f ca="1">IF(Control!$C$58=2, IF(OR(Control!$B$218=$AH338,Control!$B$219=$AH338, Control!$B$220=$AH338, Control!$B$221=$AH338, Control!$B$222=$AH338, Control!$B$223=$AH338, Control!$B$224=$AH338, Control!$B$225=$AH338, Control!$B$226=$AH338, Control!$B$227=$AH338, Control!$B$228=$AH338), 1, 0), 0)</f>
        <v>0</v>
      </c>
      <c r="NE338" s="54">
        <f ca="1">IF($ND338=0,0, VLOOKUP($AH338,Control!$B$218:$C$228,2))</f>
        <v>0</v>
      </c>
      <c r="NF338" s="168" t="e">
        <f ca="1">$CY338*(Control!$C$128-Control!$C$127)</f>
        <v>#N/A</v>
      </c>
      <c r="NG338" s="54" t="e">
        <f ca="1">IF(Control!$C$58=2, $NI337-$NJ337, 0)</f>
        <v>#DIV/0!</v>
      </c>
      <c r="NH338" s="54" t="e">
        <f ca="1">IF(AND(Control!$C$58=1, $MS337&lt;= ($MN337+0.02), $I337&lt;10), 0, IF(Control!$C$58=2, $NG337, 0))</f>
        <v>#DIV/0!</v>
      </c>
      <c r="NI338" s="54" t="e">
        <f ca="1">IF(Control!$C$58=2, $NE338+$NH338,0)</f>
        <v>#DIV/0!</v>
      </c>
      <c r="NJ338" s="54" t="e">
        <f ca="1">IF(AND(Control!$C$58=1, $MS338&lt;= ($MN338+0.02), $I338&lt;10), MAX(0, MIN(10, 0.7*($NF338-$MV338))), IF(Control!$C$58=2, MIN(10,$NI338),0))</f>
        <v>#DIV/0!</v>
      </c>
      <c r="NK338" s="54" t="e">
        <f t="shared" ca="1" si="1263"/>
        <v>#DIV/0!</v>
      </c>
      <c r="NL338" s="173" t="e">
        <f ca="1">(1-Control!$C$73)*$I338+$NJ338</f>
        <v>#DIV/0!</v>
      </c>
      <c r="NM338" s="172" t="e">
        <f ca="1">IF($NL338&lt;0.5, $MB338* MAX(0, MIN(1, (SQRT($NC338)-SQRT($NC338-1))*Control!$C$71)),0)</f>
        <v>#DIV/0!</v>
      </c>
      <c r="NN338" s="170" t="e">
        <f ca="1">IF($NL338&gt;=5, $MB338, MAX(0,MIN($MB338, $NM338+$NL338,($MS338-Control!$C$129))))</f>
        <v>#DIV/0!</v>
      </c>
      <c r="NO338" s="54">
        <f>IF(Control!$C$133&lt;&gt;1, Control!$C$135-Control!$C$131, 0)</f>
        <v>0.38</v>
      </c>
      <c r="NP338" s="54" t="e">
        <f t="shared" ca="1" si="1264"/>
        <v>#DIV/0!</v>
      </c>
      <c r="NQ338" s="173" t="e">
        <f ca="1">MAX(0,MIN(1,(Control!$C$135-$MS338)/(Control!$C$135-$NO338)))</f>
        <v>#DIV/0!</v>
      </c>
      <c r="NR338" s="170" t="e">
        <f ca="1">IF(Control!$C$133&lt;&gt;1, $NQ338+((1-$NP338/4)*(1-$NQ338)),1)</f>
        <v>#DIV/0!</v>
      </c>
      <c r="NS338" s="170" t="e">
        <f ca="1">IF(Control!$B$31=0,$MJ338,MAX(0,MIN($MV338,$MO338*$NR338*$MJ338)))</f>
        <v>#DIV/0!</v>
      </c>
      <c r="NT338" s="170" t="e">
        <f t="shared" ca="1" si="1380"/>
        <v>#DIV/0!</v>
      </c>
      <c r="NU338" s="170" t="e">
        <f t="shared" ca="1" si="1356"/>
        <v>#N/A</v>
      </c>
      <c r="NV338" s="170" t="e">
        <f t="shared" ca="1" si="1265"/>
        <v>#N/A</v>
      </c>
      <c r="NW338" s="175" t="e">
        <f t="shared" ca="1" si="1266"/>
        <v>#DIV/0!</v>
      </c>
      <c r="NX338" s="170" t="e">
        <f ca="1">MIN(Control!$C$72+$MU338, $NW338)</f>
        <v>#DIV/0!</v>
      </c>
      <c r="NY338" s="170" t="e">
        <f ca="1">IF($MT338&lt;=$NX338,MIN(Control!$C$72+$NB338,$NX338-$MT338),0)</f>
        <v>#DIV/0!</v>
      </c>
      <c r="NZ338" s="54" t="e">
        <f ca="1">IF(Control!$C$114=1,  $CX338*($MX338-Control!$C$127), 0)</f>
        <v>#DIV/0!</v>
      </c>
      <c r="OA338" s="170" t="e">
        <f t="shared" ca="1" si="1267"/>
        <v>#DIV/0!</v>
      </c>
      <c r="OB338" s="170" t="e">
        <f ca="1">IF($NA338 &lt;=$NY338, MIN(Control!$C$72, $NY338-$NA338), 0)</f>
        <v>#DIV/0!</v>
      </c>
      <c r="OC338" s="168" t="e">
        <f t="shared" ca="1" si="1268"/>
        <v>#DIV/0!</v>
      </c>
      <c r="OD338" s="168" t="e">
        <f t="shared" ca="1" si="1357"/>
        <v>#DIV/0!</v>
      </c>
      <c r="OE338" s="170">
        <f ca="1">Control!$C$73*$I338</f>
        <v>0</v>
      </c>
      <c r="OF338" s="176" t="e">
        <f t="shared" ca="1" si="1269"/>
        <v>#DIV/0!</v>
      </c>
      <c r="OG338" s="168" t="e">
        <f t="shared" ca="1" si="1270"/>
        <v>#DIV/0!</v>
      </c>
      <c r="OH338" s="168" t="e">
        <f t="shared" ca="1" si="1271"/>
        <v>#DIV/0!</v>
      </c>
      <c r="OI338" s="168" t="e">
        <f t="shared" ca="1" si="1272"/>
        <v>#DIV/0!</v>
      </c>
      <c r="OJ338" s="168" t="e">
        <f t="shared" ca="1" si="1273"/>
        <v>#DIV/0!</v>
      </c>
      <c r="OK338" s="204" t="e">
        <f t="shared" ca="1" si="1274"/>
        <v>#DIV/0!</v>
      </c>
      <c r="OL338" s="177">
        <f>Control!$C$127</f>
        <v>0.15</v>
      </c>
      <c r="OM338" s="182" t="e">
        <f t="shared" ca="1" si="1275"/>
        <v>#N/A</v>
      </c>
      <c r="ON338" s="177">
        <f>Control!$C$128</f>
        <v>0.35</v>
      </c>
      <c r="OO338" s="182" t="e">
        <f t="shared" ca="1" si="1276"/>
        <v>#N/A</v>
      </c>
      <c r="OP338" s="138">
        <f t="shared" ca="1" si="1358"/>
        <v>0</v>
      </c>
      <c r="OQ338" s="138" t="e">
        <f t="shared" ca="1" si="1381"/>
        <v>#DIV/0!</v>
      </c>
      <c r="OR338" s="138" t="e">
        <f t="shared" ca="1" si="1359"/>
        <v>#DIV/0!</v>
      </c>
      <c r="OS338" s="137" t="e">
        <f t="shared" ca="1" si="1382"/>
        <v>#DIV/0!</v>
      </c>
      <c r="OT338" s="139" t="e">
        <f t="shared" ca="1" si="1383"/>
        <v>#DIV/0!</v>
      </c>
      <c r="OU338" s="138" t="e">
        <f t="shared" ca="1" si="1384"/>
        <v>#N/A</v>
      </c>
      <c r="OV338" s="138" t="e">
        <f t="shared" ca="1" si="1385"/>
        <v>#DIV/0!</v>
      </c>
      <c r="OW338" s="138" t="e">
        <f t="shared" ca="1" si="1360"/>
        <v>#DIV/0!</v>
      </c>
      <c r="OX338" s="138" t="e">
        <f t="shared" ca="1" si="1361"/>
        <v>#DIV/0!</v>
      </c>
      <c r="OY338" s="138" t="e">
        <f t="shared" ca="1" si="1362"/>
        <v>#DIV/0!</v>
      </c>
      <c r="OZ338" s="138" t="e">
        <f t="shared" ca="1" si="1277"/>
        <v>#DIV/0!</v>
      </c>
      <c r="PA338" s="138" t="e">
        <f t="shared" ca="1" si="1278"/>
        <v>#DIV/0!</v>
      </c>
      <c r="PB338" s="55">
        <f>IF(Control!$C$61="T", IF(Control!$C$65="F", IF($AH$6-Control!$C$60&lt;0,0,1), IF(365+$AH$6-Control!$C$60&lt;0,0,1)),0)</f>
        <v>0</v>
      </c>
      <c r="PC338" s="55">
        <f ca="1">IF(Control!$C$65="F", IF($AH$6-$HF338&lt;0,0,1), IF(365+$AH$6-$HF338&lt;0,0,1))</f>
        <v>1</v>
      </c>
      <c r="PD338" s="444">
        <f>Control!$C$118</f>
        <v>1500</v>
      </c>
      <c r="PE338" s="180" t="e">
        <f t="shared" ca="1" si="1279"/>
        <v>#N/A</v>
      </c>
      <c r="PF338" s="445">
        <f t="shared" ca="1" si="1363"/>
        <v>0.71612369323045078</v>
      </c>
      <c r="PT338" s="186"/>
      <c r="PU338" s="186"/>
      <c r="PV338" s="94"/>
      <c r="PW338" s="94"/>
      <c r="PX338" s="94"/>
      <c r="PY338" s="94"/>
      <c r="PZ338" s="94"/>
      <c r="QA338" s="94"/>
      <c r="QB338" s="94"/>
      <c r="QC338" s="94"/>
      <c r="QD338" s="94"/>
      <c r="QE338" s="94"/>
      <c r="QF338" s="94"/>
      <c r="QG338" s="94"/>
      <c r="QH338" s="94"/>
      <c r="QI338" s="94"/>
      <c r="QJ338" s="94"/>
      <c r="QK338" s="94"/>
      <c r="QL338" s="94"/>
      <c r="QM338" s="94"/>
      <c r="QN338" s="94"/>
      <c r="QO338" s="94"/>
      <c r="QP338" s="94"/>
    </row>
    <row r="339" spans="1:458" s="2" customFormat="1" x14ac:dyDescent="0.2">
      <c r="A339" s="395">
        <v>30</v>
      </c>
      <c r="B339" s="396">
        <v>11</v>
      </c>
      <c r="C339" s="387">
        <f ca="1">Weather_data!$B338</f>
        <v>0</v>
      </c>
      <c r="D339" s="388">
        <f ca="1">Weather_data!$F338</f>
        <v>0</v>
      </c>
      <c r="E339" s="388">
        <f ca="1">Weather_data!$E338</f>
        <v>0</v>
      </c>
      <c r="F339" s="388">
        <f t="shared" ca="1" si="1280"/>
        <v>0</v>
      </c>
      <c r="G339" s="388">
        <f ca="1">AVERAGE($D339:$E339)+Control!$B$9</f>
        <v>0</v>
      </c>
      <c r="H339" s="388">
        <f ca="1">Weather_data!$G338</f>
        <v>0</v>
      </c>
      <c r="I339" s="388">
        <f ca="1">Weather_data!$I338</f>
        <v>0</v>
      </c>
      <c r="J339" s="388">
        <f ca="1">Weather_data!$H338</f>
        <v>0</v>
      </c>
      <c r="K339" s="389">
        <f ca="1">Weather_data!$D338</f>
        <v>0</v>
      </c>
      <c r="L339" s="388" t="e">
        <f t="shared" ca="1" si="1281"/>
        <v>#N/A</v>
      </c>
      <c r="M339" s="388" t="e">
        <f t="shared" ca="1" si="1158"/>
        <v>#N/A</v>
      </c>
      <c r="N339" s="388">
        <f t="shared" ca="1" si="1159"/>
        <v>-2.8955138567522001E-16</v>
      </c>
      <c r="O339" s="388">
        <f t="shared" ca="1" si="1282"/>
        <v>2.8955138567522002E-15</v>
      </c>
      <c r="P339" s="390">
        <v>3</v>
      </c>
      <c r="Q339" s="388">
        <f ca="1">MAX($G339-Control!$C$107,0)</f>
        <v>0</v>
      </c>
      <c r="R339" s="388">
        <f t="shared" ca="1" si="1283"/>
        <v>0</v>
      </c>
      <c r="S339" s="388">
        <f t="shared" ca="1" si="1160"/>
        <v>0</v>
      </c>
      <c r="T339" s="388">
        <f t="shared" ca="1" si="1161"/>
        <v>0</v>
      </c>
      <c r="U339" s="59">
        <f t="shared" ca="1" si="1162"/>
        <v>0</v>
      </c>
      <c r="V339" s="391">
        <f ca="1">MAX(0,MIN(Control!$C$100-Control!$C$99,$G339-Control!$C$99)*Control!$C$63)</f>
        <v>0</v>
      </c>
      <c r="W339" s="388">
        <f t="shared" ca="1" si="1284"/>
        <v>0</v>
      </c>
      <c r="X339" s="388">
        <f t="shared" ca="1" si="1285"/>
        <v>0.6110000000000001</v>
      </c>
      <c r="Y339" s="388">
        <f t="shared" ca="1" si="1163"/>
        <v>0</v>
      </c>
      <c r="Z339" s="388">
        <f t="shared" ca="1" si="1286"/>
        <v>0.61058800000000002</v>
      </c>
      <c r="AA339" s="388">
        <f t="shared" ca="1" si="1164"/>
        <v>0.6018</v>
      </c>
      <c r="AB339" s="388">
        <f ca="1">101.3*EXP(-0.034*Control!$C$66/($G339+273))</f>
        <v>100.69623283836242</v>
      </c>
      <c r="AC339" s="392">
        <f t="shared" ca="1" si="1165"/>
        <v>4.3460251046025113E-2</v>
      </c>
      <c r="AD339" s="392">
        <f t="shared" ca="1" si="1166"/>
        <v>4.4450382862832649E-2</v>
      </c>
      <c r="AE339" s="388">
        <f t="shared" ca="1" si="1167"/>
        <v>0</v>
      </c>
      <c r="AF339" s="388">
        <f ca="1">MAX(0,$G339-Control!$C$92)</f>
        <v>0</v>
      </c>
      <c r="AG339" s="393">
        <f t="shared" ca="1" si="1168"/>
        <v>335</v>
      </c>
      <c r="AH339" s="389">
        <f t="shared" ca="1" si="1169"/>
        <v>335</v>
      </c>
      <c r="AI339" s="388">
        <f t="shared" ca="1" si="1287"/>
        <v>-0.38396384658545013</v>
      </c>
      <c r="AJ339" s="388">
        <f ca="1">IF(Control!$C$60&lt;=0,$HH339,$HI339)</f>
        <v>1</v>
      </c>
      <c r="AK339" s="388">
        <f t="shared" ca="1" si="1170"/>
        <v>4.3896226118651906</v>
      </c>
      <c r="AL339" s="388">
        <f t="shared" ca="1" si="1171"/>
        <v>-1.4246487670122043E-17</v>
      </c>
      <c r="AM339" s="388">
        <f t="shared" ca="1" si="1172"/>
        <v>4.3896226118651906</v>
      </c>
      <c r="AN339" s="388">
        <f t="shared" ca="1" si="1173"/>
        <v>-0.38683398274024516</v>
      </c>
      <c r="AO339" s="388">
        <f ca="1">-0.10453/COS(Control!$B$8*PI()/180)*COS(AN339)</f>
        <v>-0.15723913894559033</v>
      </c>
      <c r="AP339" s="388">
        <f ca="1">ACOS(AO339-TAN(Control!$B$8*PI()/180)*TAN(AN339))</f>
        <v>1.1980696076372588</v>
      </c>
      <c r="AQ339" s="388">
        <f t="shared" ca="1" si="1288"/>
        <v>0</v>
      </c>
      <c r="AR339" s="394">
        <f t="shared" ca="1" si="1174"/>
        <v>0</v>
      </c>
      <c r="AS339" s="436">
        <f ca="1">IF(Control!$B$18=2,(IF(OR($AH339=Control!$B$175,$AH339=Control!$B$176,$AH339=Control!$B$177,$AH339=Control!$B$178,$AH339=Control!$B$179,$AH339=Control!$B$180,$AH339=Control!$B$181,$AH339=Control!$B$182,$AH339=Control!$B$183,$AH339=Control!$B$184,$AH339=Control!$B$185),1,0)),0)</f>
        <v>0</v>
      </c>
      <c r="AT339" s="436">
        <f>IF(Control!$B$20=8,IF(AND($AH339&gt;=Control!$B$172,$AH339&lt;=Control!$B$173),1,0),0)</f>
        <v>0</v>
      </c>
      <c r="AU339" s="436">
        <f>IF(Control!$B$20=8,IF($AV338=1,1*$AT339,IF($AT339=1,$AU338+1,$AU338)),0)</f>
        <v>0</v>
      </c>
      <c r="AV339" s="436">
        <f>IF(Control!$B$20=8,IF($AU339&gt;=Control!$B$174,1,0),0)</f>
        <v>0</v>
      </c>
      <c r="AW339" s="436">
        <f ca="1">IF(AND(Control!$B$18=2,Control!$B$171=1), $AV339, $AS339)</f>
        <v>0</v>
      </c>
      <c r="AX339" s="436" t="e">
        <f ca="1">IF(AND(Control!$B$18=1,$EU339&gt;=Control!$B$19),-$AY339,IF(AND(Control!$B$18=2,$AW339=1,$EU339&gt;$DS339),-$AY339, IF(Control!$C$108=0,0, IF(Control!$C$108&lt;&gt;0,1))))</f>
        <v>#N/A</v>
      </c>
      <c r="AY339" s="436" t="e">
        <f t="shared" ca="1" si="1289"/>
        <v>#N/A</v>
      </c>
      <c r="AZ339" s="436" t="e">
        <f ca="1">IF(AND(Control!$B$18=1,$EB339&gt;Control!$B$19),$AZ338+1, IF(AND(Control!$B$18=2, $AW339=1, $EB339&gt;$DS339), $AZ338+1,$AZ338))</f>
        <v>#N/A</v>
      </c>
      <c r="BA339" s="587">
        <f>IF(Control!$C$81=0,1,IF($AH339&gt;=Control!$C$82,1,0))</f>
        <v>1</v>
      </c>
      <c r="BB339" s="140" t="e">
        <f ca="1">IF($BA339&gt;$BA338,Control!$C$83,IF($AW339&gt;0,$AW339*Control!$C$84,IF(AND(Control!$B$18=1,EN338&lt;&gt;0),Control!$C$84,0)))</f>
        <v>#N/A</v>
      </c>
      <c r="BC339" s="140" t="e">
        <f t="shared" ca="1" si="1290"/>
        <v>#N/A</v>
      </c>
      <c r="BD339" s="140" t="e">
        <f ca="1">BC339*IF(OR($G339&lt;Control!$C$92,$G339&gt;Control!$C$95),0,IF(AND($G339&gt;=Control!$C$92,$G339&lt;=Control!$C$93),$G339-Control!$C$92,IF(AND($G339&gt;Control!$C$93,$G339&lt;=Control!$C$94),Control!$C$93-Control!$C$92,IF(AND($G339&gt;Control!$C$94,$G339&lt;=Control!$C$95),(Control!$C$93-Control!$C$92)*(Control!$C$94-$G339)/(Control!$C$95-Control!$C$94)))))</f>
        <v>#N/A</v>
      </c>
      <c r="BE339" s="140" t="e">
        <f t="shared" ca="1" si="1291"/>
        <v>#N/A</v>
      </c>
      <c r="BF339" s="140" t="e">
        <f ca="1">IF($BE339&lt;=Control!$C$86,$BE339,Control!$C$86-$BE339)</f>
        <v>#N/A</v>
      </c>
      <c r="BG339" s="140" t="e">
        <f ca="1">IF(AND($AW339=1,Control!$C$84&lt;9),1,IF($BE339&gt;=Control!$C$86,0,$BC339))</f>
        <v>#N/A</v>
      </c>
      <c r="BH339" s="404" t="e">
        <f ca="1">IF($BG339=0,0,IF($BE339&lt;=Control!$C$86,$BC339*9*($BF339/Control!$C$86),0))</f>
        <v>#N/A</v>
      </c>
      <c r="BI339" s="140" t="e">
        <f ca="1">IF($BG339=1,0,IF($BE339&gt;=Control!$C$86,1,IF(AND($BB339&lt;21,$BB339&gt;=9),1,$BM338)))</f>
        <v>#N/A</v>
      </c>
      <c r="BJ339" s="140" t="e">
        <f ca="1">IF($BF339&lt;0,-$BF339,$BI339*IF(OR($G339&lt;Control!$C$92,$G339&gt;Control!$C$95),0,IF(AND($G339&gt;=Control!$C$92,$G339&lt;=Control!$C$93),$G339-Control!$C$92,IF(AND($G339&gt;Control!$C$93,$G339&lt;=Control!$C$94),Control!$C$93-Control!$C$92,IF(AND($G339&gt;Control!$C$94,$G339&lt;=Control!$C$95),(Control!$C$93-Control!$C$92)*(Control!$C$94-$G339)/(Control!$C$95-Control!$C$94))))))</f>
        <v>#N/A</v>
      </c>
      <c r="BK339" s="140" t="e">
        <f t="shared" ca="1" si="1292"/>
        <v>#N/A</v>
      </c>
      <c r="BL339" s="140" t="e">
        <f ca="1">IF($BK339&lt;=Control!$C$87,$BK339,Control!$C$87-$BK339)</f>
        <v>#N/A</v>
      </c>
      <c r="BM339" s="140" t="e">
        <f ca="1">IF(AND($BB339&gt;=9,$BB339&lt;21),1,IF($BK339&gt;=Control!$C$87,0,$BI339))</f>
        <v>#N/A</v>
      </c>
      <c r="BN339" s="404" t="e">
        <f ca="1">IF($BM339=0,0,IF($BK339&lt;=Control!$C$87,$BI339*(9+(21-9)*($BL339/Control!$C$87)),0))</f>
        <v>#N/A</v>
      </c>
      <c r="BO339" s="140" t="e">
        <f ca="1">IF($BM339=1,0,IF($BK339&gt;=Control!$C$87,1,IF(AND($BB339&lt;30,$BB339&gt;=21),1,$BS338)))</f>
        <v>#N/A</v>
      </c>
      <c r="BP339" s="140" t="e">
        <f ca="1">IF($BL339&lt;0,-$BL339,$BO339*IF(OR($G339&lt;Control!$C$92,$G339&gt;Control!$C$95),0,IF(AND($G339&gt;=Control!$C$92,$G339&lt;=Control!$C$93),$G339-Control!$C$92,IF(AND($G339&gt;Control!$C$93,$G339&lt;=Control!$C$94),Control!$C$93-Control!$C$92,IF(AND($G339&gt;Control!$C$94,$G339&lt;=Control!$C$95),(Control!$C$93-Control!$C$92)*(Control!$C$94-$G339)/(Control!$C$95-Control!$C$94))))))</f>
        <v>#N/A</v>
      </c>
      <c r="BQ339" s="140" t="e">
        <f t="shared" ca="1" si="1175"/>
        <v>#N/A</v>
      </c>
      <c r="BR339" s="140" t="e">
        <f ca="1">IF($BQ339&lt;=Control!$C$88,$BQ339,Control!$C$88-$BQ339)</f>
        <v>#N/A</v>
      </c>
      <c r="BS339" s="140" t="e">
        <f ca="1">IF(AND($BB339&gt;=21,$BB339&lt;30),1,IF($BQ339&gt;=Control!$C$88,0,$BO339))</f>
        <v>#N/A</v>
      </c>
      <c r="BT339" s="404" t="e">
        <f ca="1">IF($BS339=0,0,IF($BQ339&lt;=Control!$C$88,$BO339*(21+(30-21)*(BR339/Control!$C$88)),0))</f>
        <v>#N/A</v>
      </c>
      <c r="BU339" s="140" t="e">
        <f ca="1">IF(BG339+BM339+BS339=1,0,IF(OR(AND($BB339&lt;60,$BB339&gt;=30),$BQ339&gt;=Control!$C$88),1*$BA339,$BY338))</f>
        <v>#N/A</v>
      </c>
      <c r="BV339" s="140" t="e">
        <f ca="1">IF($BR339&lt;0,-$BR339,$BU339*IF(OR($G339&lt;Control!$C$92,$G339&gt;Control!$C$95),0,IF(AND($G339&gt;=Control!$C$92,$G339&lt;=Control!$C$93),$G339-Control!$C$92,IF(AND($G339&gt;Control!$C$93,$G339&lt;=Control!$C$94),Control!$C$93-Control!$C$92,IF(AND($G339&gt;Control!$C$94,$G339&lt;=Control!$C$95),(Control!$C$93-Control!$C$92)*(Control!$C$94-$G339)/(Control!$C$95-Control!$C$94))))))</f>
        <v>#N/A</v>
      </c>
      <c r="BW339" s="140" t="e">
        <f t="shared" ca="1" si="1176"/>
        <v>#N/A</v>
      </c>
      <c r="BX339" s="140" t="e">
        <f ca="1">IF($BW339&lt;=Control!$C$89,$BW339,Control!$C$89-$BW339)</f>
        <v>#N/A</v>
      </c>
      <c r="BY339" s="140" t="e">
        <f ca="1">IF(AND($AJ339&gt;=30,$AJ339&lt;60),1,IF($BW339&gt;=Control!$C$89,0,$BU339))</f>
        <v>#N/A</v>
      </c>
      <c r="BZ339" s="404" t="e">
        <f ca="1">IF($BY339=0,0,IF($BW339&lt;=Control!$C$89,$BU339*(30+(60-30)*(BX339/Control!$C$89)),0))</f>
        <v>#N/A</v>
      </c>
      <c r="CA339" s="140" t="e">
        <f ca="1">IF($BG339+$BM339+$BS339+$BY339=1,0,IF(OR(AND($BB339&lt;65,$BB339&gt;=60),$BW339&gt;=Control!$C$89),1*$BA339,$CE338))</f>
        <v>#N/A</v>
      </c>
      <c r="CB339" s="140" t="e">
        <f ca="1">IF($BX339&lt;0,-$BX339,$CA339*IF(OR($G339&lt;Control!$C$92,$G339&gt;Control!$C$95),0,IF(AND($G339&gt;=Control!$C$92,$G339&lt;=Control!$C$93),$G339-Control!$C$92,IF(AND($G339&gt;Control!$C$93,$G339&lt;=Control!$C$94),Control!$C$93-Control!$C$92,IF(AND($G339&gt;Control!$C$94,$G339&lt;=Control!$C$95),(Control!$C$93-Control!$C$92)*(Control!$C$94-$G339)/(Control!$C$95-Control!$C$94))))))</f>
        <v>#N/A</v>
      </c>
      <c r="CC339" s="140" t="e">
        <f t="shared" ca="1" si="1293"/>
        <v>#N/A</v>
      </c>
      <c r="CD339" s="140" t="e">
        <f ca="1">IF($CC339&lt;=Control!$C$90,$CC339,Control!$C$90-$CC339)</f>
        <v>#N/A</v>
      </c>
      <c r="CE339" s="140" t="e">
        <f ca="1">IF(AND($BB339&gt;=60,$BB339&lt;65),1,IF($CC339&gt;=Control!$C$90,0,$CA339))</f>
        <v>#N/A</v>
      </c>
      <c r="CF339" s="404" t="e">
        <f ca="1">IF($CE339=0,0,IF($CC339&lt;=Control!$C$90,$CA339*(60+(65-60)*(CD339/Control!$C$90)),0))</f>
        <v>#N/A</v>
      </c>
      <c r="CG339" s="140" t="e">
        <f ca="1">IF($BG339+$BM339+$BS339+$BY339+$CE339=1,0,IF(OR(AND($BB339&lt;90,$BB339&gt;=65),$CC339&gt;=Control!$C$90),$BA339,$CK338))</f>
        <v>#N/A</v>
      </c>
      <c r="CH339" s="140" t="e">
        <f ca="1">IF($CD339&lt;0,-$CD339,$CG339*IF(OR($G339&lt;Control!$C$92,$G339&gt;Control!$C$95),0,IF(AND($G339&gt;=Control!$C$92,$G339&lt;=Control!$C$93),$G339-Control!$C$92,IF(AND($G339&gt;Control!$C$93,$G339&lt;=Control!$C$94),Control!$C$93-Control!$C$92,IF(AND($G339&gt;Control!$C$94,$G339&lt;=Control!$C$95),(Control!$C$93-Control!$C$92)*(Control!$C$94-$G339)/(Control!$C$95-Control!$C$94))))))</f>
        <v>#N/A</v>
      </c>
      <c r="CI339" s="140" t="e">
        <f t="shared" ca="1" si="1294"/>
        <v>#N/A</v>
      </c>
      <c r="CJ339" s="140" t="e">
        <f ca="1">IF($CI339&lt;=Control!$C$91,$CI339,Control!$C$91-$CI339)</f>
        <v>#N/A</v>
      </c>
      <c r="CK339" s="140" t="e">
        <f ca="1">IF(AND($BB339&gt;=65,$BB339&lt;90),1,IF($CI339&gt;=Control!$C$91,0,$CG339))</f>
        <v>#N/A</v>
      </c>
      <c r="CL339" s="404" t="e">
        <f ca="1">IF($CK339=0,0,IF($CI339&lt;=Control!$C$91,$CG339*(65+(90-65)*($CJ339/Control!$C$91)),0))</f>
        <v>#N/A</v>
      </c>
      <c r="CM339" s="140" t="e">
        <f ca="1">IF($BG339+$BM339+$BS339+$BY339+$CE339+$CK339=1,0,IF(OR($BB339&gt;=90,$CI339&gt;=Control!$C$91),$BA339,$CM338))</f>
        <v>#N/A</v>
      </c>
      <c r="CN339" s="140" t="e">
        <f t="shared" ca="1" si="1295"/>
        <v>#N/A</v>
      </c>
      <c r="CO339" s="140" t="e">
        <f t="shared" ca="1" si="1296"/>
        <v>#N/A</v>
      </c>
      <c r="CP339" s="140" t="e">
        <f t="shared" ca="1" si="1297"/>
        <v>#N/A</v>
      </c>
      <c r="CQ339" s="141" t="e">
        <f ca="1">VLOOKUP($CP339,Control!$B$86:$G$91,6)</f>
        <v>#N/A</v>
      </c>
      <c r="CR339" s="141" t="e">
        <f ca="1">(1-$CQ339)*VLOOKUP($CP339,Control!$B$86:$D$91,3)</f>
        <v>#N/A</v>
      </c>
      <c r="CS339" s="141" t="e">
        <f ca="1">(1-$CQ339)*VLOOKUP($CP339,Control!$B$86:$E$91,4)</f>
        <v>#N/A</v>
      </c>
      <c r="CT339" s="141" t="e">
        <f ca="1">(1-$CQ339)*VLOOKUP($CP339,Control!$B$86:$F$91,5)</f>
        <v>#N/A</v>
      </c>
      <c r="CU339" s="141">
        <f t="shared" ca="1" si="1298"/>
        <v>0</v>
      </c>
      <c r="CV339" s="583">
        <f t="shared" ca="1" si="1299"/>
        <v>0</v>
      </c>
      <c r="CW339" s="142">
        <f t="shared" ca="1" si="1300"/>
        <v>335</v>
      </c>
      <c r="CX339" s="612" t="e">
        <f ca="1">IF(Control!$C$114=1,(MIN(Control!$C$120*(IF($NT339-0.01&lt;0,0,1)),Control!$C$119-$CY339)))</f>
        <v>#DIV/0!</v>
      </c>
      <c r="CY339" s="143" t="e">
        <f t="shared" ca="1" si="1301"/>
        <v>#N/A</v>
      </c>
      <c r="CZ339" s="144">
        <f t="shared" ca="1" si="1177"/>
        <v>0</v>
      </c>
      <c r="DA339" s="144">
        <f t="shared" ca="1" si="1178"/>
        <v>0</v>
      </c>
      <c r="DB339" s="144" t="e">
        <f t="shared" ca="1" si="1179"/>
        <v>#N/A</v>
      </c>
      <c r="DC339" s="144" t="e">
        <f t="shared" ca="1" si="1180"/>
        <v>#N/A</v>
      </c>
      <c r="DD339" s="144" t="e">
        <f t="shared" ca="1" si="1386"/>
        <v>#N/A</v>
      </c>
      <c r="DE339" s="143" t="e">
        <f t="shared" ca="1" si="1302"/>
        <v>#N/A</v>
      </c>
      <c r="DF339" s="145" t="e">
        <f ca="1">$DR339*EXP(-Control!$C$158*(1-$KH339))</f>
        <v>#N/A</v>
      </c>
      <c r="DG339" s="146" t="e">
        <f ca="1">IF(Control!$C$114=1, $DF339*$EY339, 0)</f>
        <v>#N/A</v>
      </c>
      <c r="DH339" s="147" t="e">
        <f t="shared" ca="1" si="1303"/>
        <v>#N/A</v>
      </c>
      <c r="DI339" s="144" t="e">
        <f t="shared" ca="1" si="1364"/>
        <v>#N/A</v>
      </c>
      <c r="DJ339" s="147" t="e">
        <f ca="1">$EF339*Control!$C$109</f>
        <v>#N/A</v>
      </c>
      <c r="DK339" s="144" t="e">
        <f t="shared" ca="1" si="1304"/>
        <v>#N/A</v>
      </c>
      <c r="DL339" s="144" t="e">
        <f t="shared" ca="1" si="1181"/>
        <v>#N/A</v>
      </c>
      <c r="DM339" s="144" t="e">
        <f ca="1">IF(Control!$C$114=1, (1-EXP(-Control!$C$96*$DK339))*$AR339, 0)</f>
        <v>#N/A</v>
      </c>
      <c r="DN339" s="144">
        <f t="shared" ca="1" si="1305"/>
        <v>0</v>
      </c>
      <c r="DO339" s="148">
        <f>Control!$C$97</f>
        <v>4</v>
      </c>
      <c r="DP339" s="145" t="e">
        <f t="shared" ca="1" si="1306"/>
        <v>#N/A</v>
      </c>
      <c r="DQ339" s="145" t="e">
        <f ca="1">IF(AND($CP339&gt;=0,$CP339&lt;=90),Control!$C$111,Control!$C$111)</f>
        <v>#N/A</v>
      </c>
      <c r="DR339" s="145" t="e">
        <f t="shared" ca="1" si="1182"/>
        <v>#N/A</v>
      </c>
      <c r="DS339" s="143" t="e">
        <f ca="1">Control!$B$22/$DR339</f>
        <v>#N/A</v>
      </c>
      <c r="DT339" s="149" t="e">
        <f ca="1">IF(AND(Control!$C$114=1,$KH339&lt;1),$IM339*$DF339, 0)</f>
        <v>#N/A</v>
      </c>
      <c r="DU339" s="144" t="e">
        <f t="shared" ca="1" si="1307"/>
        <v>#N/A</v>
      </c>
      <c r="DV339" s="144">
        <f ca="1">IF($G339-Control!$C$107&lt;=0, 0, 0.83*LN(MAX($G339, 3))-0.8924)</f>
        <v>0</v>
      </c>
      <c r="DW339" s="144" t="e">
        <f t="shared" ca="1" si="1183"/>
        <v>#N/A</v>
      </c>
      <c r="DX339" s="150" t="e">
        <f ca="1">MAX(0.01*(1+$CU339/Control!$C$102),0.05*($DK339-Control!$C$97)/Control!$C$97)</f>
        <v>#N/A</v>
      </c>
      <c r="DY339" s="151" t="e">
        <f ca="1">IF(Control!$C$114=1, $DI339*$FS339, 0)</f>
        <v>#N/A</v>
      </c>
      <c r="DZ339" s="196" t="e">
        <f t="shared" ca="1" si="1308"/>
        <v>#N/A</v>
      </c>
      <c r="EA339" s="152">
        <f t="shared" ca="1" si="1309"/>
        <v>335</v>
      </c>
      <c r="EB339" s="153" t="e">
        <f t="shared" ca="1" si="1310"/>
        <v>#N/A</v>
      </c>
      <c r="EC339" s="153" t="e">
        <f t="shared" ca="1" si="1311"/>
        <v>#N/A</v>
      </c>
      <c r="ED339" s="154" t="e">
        <f ca="1">IF(Control!$C$114=1, $HM339*$FY339-$FD339, 0)</f>
        <v>#DIV/0!</v>
      </c>
      <c r="EE339" s="155" t="e">
        <f ca="1">IF(Control!$C$114=1, $HM339*$FZ339-$FF339, 0)</f>
        <v>#DIV/0!</v>
      </c>
      <c r="EF339" s="153" t="e">
        <f t="shared" ca="1" si="1365"/>
        <v>#N/A</v>
      </c>
      <c r="EG339" s="155" t="e">
        <f ca="1">IF(Control!$C$114=1, $GX339*$FW339-$FI339, 0)</f>
        <v>#DIV/0!</v>
      </c>
      <c r="EH339" s="153" t="e">
        <f t="shared" ca="1" si="1312"/>
        <v>#N/A</v>
      </c>
      <c r="EI339" s="156" t="e">
        <f t="shared" ca="1" si="1313"/>
        <v>#N/A</v>
      </c>
      <c r="EJ339" s="155" t="e">
        <f ca="1">IF(Control!$C$114=1, $HM339*$GB339, 0)</f>
        <v>#DIV/0!</v>
      </c>
      <c r="EK339" s="153" t="e">
        <f t="shared" ca="1" si="1366"/>
        <v>#N/A</v>
      </c>
      <c r="EL339" s="153" t="e">
        <f t="shared" ca="1" si="1184"/>
        <v>#N/A</v>
      </c>
      <c r="EM339" s="153" t="e">
        <f t="shared" ca="1" si="1185"/>
        <v>#N/A</v>
      </c>
      <c r="EN339" s="153" t="e">
        <f ca="1">IF(Control!$C$108=1,IF(AND(Control!$B$18=1,$EB339&gt;=Control!$B$19),$EB339-$DS339,IF(AND(Control!$B$18=2,$AW339=1,$EB339&gt;$DS339),$EB339-$DS339,0)))</f>
        <v>#N/A</v>
      </c>
      <c r="EO339" s="153" t="e">
        <f ca="1">IF(Control!$C$108=1,IF(AND(Control!$B$18=1,$EB339&gt;=Control!$B$19),$EF339,IF(AND(Control!$B$18=2,$AW339=1),$EF339,0)))</f>
        <v>#N/A</v>
      </c>
      <c r="EP339" s="153" t="e">
        <f ca="1">IF(Control!$C$108=1,IF(AND(Control!$B$18=1,$EB339&gt;=Control!$B$19),$EK339,IF(AND(Control!$B$18=2,$AW339=1),$EK339,0)))</f>
        <v>#N/A</v>
      </c>
      <c r="EQ339" s="153" t="e">
        <f t="shared" ca="1" si="1314"/>
        <v>#N/A</v>
      </c>
      <c r="ER339" s="153" t="e">
        <f t="shared" ca="1" si="1315"/>
        <v>#N/A</v>
      </c>
      <c r="ES339" s="153" t="e">
        <f t="shared" ca="1" si="1367"/>
        <v>#N/A</v>
      </c>
      <c r="ET339" s="153" t="e">
        <f t="shared" ca="1" si="1368"/>
        <v>#N/A</v>
      </c>
      <c r="EU339" s="153" t="e">
        <f t="shared" ca="1" si="1316"/>
        <v>#N/A</v>
      </c>
      <c r="EV339" s="153" t="e">
        <f t="shared" ca="1" si="1186"/>
        <v>#N/A</v>
      </c>
      <c r="EW339" s="153" t="e">
        <f t="shared" ca="1" si="1187"/>
        <v>#N/A</v>
      </c>
      <c r="EX339" s="153" t="e">
        <f t="shared" ca="1" si="1188"/>
        <v>#N/A</v>
      </c>
      <c r="EY339" s="157" t="e">
        <f t="shared" ca="1" si="1189"/>
        <v>#DIV/0!</v>
      </c>
      <c r="EZ339" s="154" t="e">
        <f t="shared" ca="1" si="1190"/>
        <v>#DIV/0!</v>
      </c>
      <c r="FA339" s="153" t="e">
        <f t="shared" ca="1" si="1317"/>
        <v>#N/A</v>
      </c>
      <c r="FB339" s="153" t="e">
        <f t="shared" ca="1" si="1191"/>
        <v>#N/A</v>
      </c>
      <c r="FC339" s="193" t="e">
        <f t="shared" ca="1" si="1192"/>
        <v>#N/A</v>
      </c>
      <c r="FD339" s="158" t="e">
        <f t="shared" ca="1" si="1318"/>
        <v>#N/A</v>
      </c>
      <c r="FE339" s="158" t="e">
        <f t="shared" ca="1" si="1319"/>
        <v>#N/A</v>
      </c>
      <c r="FF339" s="159" t="e">
        <f t="shared" ca="1" si="1193"/>
        <v>#N/A</v>
      </c>
      <c r="FG339" s="160" t="e">
        <f t="shared" ca="1" si="1320"/>
        <v>#N/A</v>
      </c>
      <c r="FH339" s="158" t="e">
        <f t="shared" ca="1" si="1321"/>
        <v>#N/A</v>
      </c>
      <c r="FI339" s="159" t="e">
        <f t="shared" ca="1" si="1194"/>
        <v>#N/A</v>
      </c>
      <c r="FJ339" s="160" t="e">
        <f t="shared" ca="1" si="1322"/>
        <v>#N/A</v>
      </c>
      <c r="FK339" s="160" t="e">
        <f t="shared" ca="1" si="1195"/>
        <v>#N/A</v>
      </c>
      <c r="FL339" s="160" t="e">
        <f t="shared" ca="1" si="1369"/>
        <v>#N/A</v>
      </c>
      <c r="FM339" s="160" t="e">
        <f t="shared" ca="1" si="1196"/>
        <v>#N/A</v>
      </c>
      <c r="FN339" s="158">
        <f t="shared" ca="1" si="1323"/>
        <v>0.01</v>
      </c>
      <c r="FO339" s="160">
        <f>Control!$C$101</f>
        <v>50</v>
      </c>
      <c r="FP339" s="150" t="e">
        <f t="shared" ca="1" si="1197"/>
        <v>#N/A</v>
      </c>
      <c r="FQ339" s="150" t="e">
        <f ca="1">MAX(0,(Control!$C$112*(($DK339-Control!$C$97)/Control!$C$97)))</f>
        <v>#N/A</v>
      </c>
      <c r="FR339" s="150" t="e">
        <f ca="1">(1-$NT339)*Control!$C$113</f>
        <v>#DIV/0!</v>
      </c>
      <c r="FS339" s="198" t="e">
        <f t="shared" ca="1" si="1198"/>
        <v>#N/A</v>
      </c>
      <c r="FT339" s="161">
        <f t="shared" ca="1" si="1324"/>
        <v>335</v>
      </c>
      <c r="FU339" s="162" t="e">
        <f ca="1">IF(Control!$B$34=1,VLOOKUP($CP339,Control!$B$86:$G$91,6),Control!$B$35)</f>
        <v>#N/A</v>
      </c>
      <c r="FV339" s="162" t="e">
        <f t="shared" ca="1" si="1199"/>
        <v>#DIV/0!</v>
      </c>
      <c r="FW339" s="162" t="e">
        <f ca="1">IF(Control!$B$31=1,$FU339*$FV339,  $FU339)</f>
        <v>#N/A</v>
      </c>
      <c r="FX339" s="162" t="e">
        <f ca="1">IF(Control!$B$34=1,VLOOKUP($CP339,Control!$B$86:$G$91,3),Control!$B$36)</f>
        <v>#N/A</v>
      </c>
      <c r="FY339" s="162" t="e">
        <f t="shared" ca="1" si="1200"/>
        <v>#N/A</v>
      </c>
      <c r="FZ339" s="162" t="e">
        <f ca="1">IF(Control!$B$34=1,VLOOKUP($CP339,Control!$B$86:$G$91,4),Control!$B$37)</f>
        <v>#N/A</v>
      </c>
      <c r="GA339" s="162" t="e">
        <f t="shared" ca="1" si="1201"/>
        <v>#N/A</v>
      </c>
      <c r="GB339" s="162" t="e">
        <f ca="1">IF(Control!$B$34=1,VLOOKUP($CP339,Control!$B$86:$G$91,5),Control!$B$38)</f>
        <v>#N/A</v>
      </c>
      <c r="GC339" s="162" t="e">
        <f t="shared" ca="1" si="1325"/>
        <v>#N/A</v>
      </c>
      <c r="GD339" s="162">
        <f t="shared" ca="1" si="1202"/>
        <v>1</v>
      </c>
      <c r="GE339" s="162">
        <f t="shared" ca="1" si="1203"/>
        <v>1</v>
      </c>
      <c r="GF339" s="162">
        <f ca="1">IF(AND(Control!$C$104=1, Control!$C$62="F"),$GE339,1)</f>
        <v>1</v>
      </c>
      <c r="GG339" s="162" t="e">
        <f ca="1">IF(Control!$B$16=40,0,IF(AND(Control!$B$16&gt;40,Control!$B$16&lt;=360),(Control!$B$16-40)*((1-0)/(360-40)),IF(AND(Control!$B$16&gt;360,Control!$B$16&lt;=720),(1+(Control!$B$16-360)*((1.25-1)/(720-360))),IF(AND(Control!$B$16&gt;720,Control!$B$16&lt;=1000),(1.25+(Control!$B$16-720)*((1.35-1.25)/(1000-720))),IF(AND(Control!$B$16&gt;1000,Control!$B$16&lt;=2000),(1.35+(Control!$B$16-1000)*0))))))</f>
        <v>#N/A</v>
      </c>
      <c r="GH339" s="162" t="e">
        <f t="shared" ca="1" si="1204"/>
        <v>#N/A</v>
      </c>
      <c r="GI339" s="162">
        <f t="shared" ca="1" si="1326"/>
        <v>0</v>
      </c>
      <c r="GJ339" s="162">
        <f t="shared" ca="1" si="1205"/>
        <v>0</v>
      </c>
      <c r="GK339" s="162">
        <f t="shared" ca="1" si="1327"/>
        <v>1</v>
      </c>
      <c r="GL339" s="162">
        <f t="shared" ca="1" si="1206"/>
        <v>1</v>
      </c>
      <c r="GM339" s="162" t="e">
        <f ca="1">MAX(0,MIN(1,1-Control!$C$156*(1.0001-$KH339)^2))</f>
        <v>#N/A</v>
      </c>
      <c r="GN339" s="162" t="e">
        <f ca="1">IF(Control!$B$26=1,$KU339,$KX339)</f>
        <v>#N/A</v>
      </c>
      <c r="GO339" s="162" t="e">
        <f ca="1">IF($CP339&lt;=60,Control!$C$105,IF($CP339&gt;=90,Control!$C$106,Control!$C$105+($CP339-60)*((Control!$C$106-Control!$C$105)/(90-60))))</f>
        <v>#N/A</v>
      </c>
      <c r="GP339" s="162" t="e">
        <f t="shared" ca="1" si="1207"/>
        <v>#N/A</v>
      </c>
      <c r="GQ339" s="162" t="e">
        <f t="shared" ca="1" si="1328"/>
        <v>#N/A</v>
      </c>
      <c r="GR339" s="163" t="e">
        <f t="shared" ca="1" si="1208"/>
        <v>#DIV/0!</v>
      </c>
      <c r="GS339" s="162" t="e">
        <f t="shared" ca="1" si="1209"/>
        <v>#DIV/0!</v>
      </c>
      <c r="GT339" s="164" t="e">
        <f t="shared" ca="1" si="1329"/>
        <v>#N/A</v>
      </c>
      <c r="GU339" s="162" t="e">
        <f t="shared" ca="1" si="1330"/>
        <v>#N/A</v>
      </c>
      <c r="GV339" s="162" t="e">
        <f t="shared" ca="1" si="1210"/>
        <v>#N/A</v>
      </c>
      <c r="GW339" s="162" t="e">
        <f t="shared" ca="1" si="1211"/>
        <v>#DIV/0!</v>
      </c>
      <c r="GX339" s="162" t="e">
        <f t="shared" ca="1" si="1331"/>
        <v>#DIV/0!</v>
      </c>
      <c r="GY339" s="162" t="e">
        <f t="shared" ca="1" si="1332"/>
        <v>#DIV/0!</v>
      </c>
      <c r="GZ339" s="165" t="e">
        <f t="shared" ca="1" si="1212"/>
        <v>#N/A</v>
      </c>
      <c r="HA339" s="162" t="e">
        <f ca="1">IF(Control!$C$114=1, $DI339*$FS339, 0)</f>
        <v>#N/A</v>
      </c>
      <c r="HB339" s="162" t="e">
        <f ca="1">$FA339/Control!$C$64</f>
        <v>#N/A</v>
      </c>
      <c r="HC339" s="162" t="e">
        <f t="shared" ca="1" si="1213"/>
        <v>#DIV/0!</v>
      </c>
      <c r="HD339" s="162">
        <f ca="1">-ASIN(SIN(23.45*Control!$C$139)*COS(2*Control!$C$138*($AH339+10)/365))</f>
        <v>-0.38396384658545013</v>
      </c>
      <c r="HE339" s="165">
        <f t="shared" ca="1" si="1333"/>
        <v>0</v>
      </c>
      <c r="HF339" s="166">
        <f ca="1">IF(AND(Control!$C$61="T",$HE339&gt;=Control!$C$103,Control!$C$114=0),$AH339,Control!$C$59)</f>
        <v>1</v>
      </c>
      <c r="HG339" s="166">
        <f ca="1">IF(AND(Control!$C$61="T",$HE339&gt;=Control!$C$103,Control!$C$114=0),$HF339,Control!$C$59)</f>
        <v>1</v>
      </c>
      <c r="HH339" s="165">
        <f ca="1">IF(AND(OR(Control!$C$60&lt;=0, $AH339= Control!$C$59, Control!$C$60 &gt;0, $AH339 = Control!$C$60)), Control!$C$59, IF(Control!$C$60&gt;0, 0))</f>
        <v>1</v>
      </c>
      <c r="HI339" s="165">
        <f ca="1">IF(AND(OR(Control!$C$60&lt;=0, $AH339= Control!$C$59, Control!$C$60 &gt;0, $AH339 = Control!$C$60)), Control!$C$60, IF(Control!$C$60&lt;=0, 0))</f>
        <v>0</v>
      </c>
      <c r="HJ339" s="166">
        <f ca="1">IF(AND(Control!$C$62="F",$CV339&gt;=Control!$C$102),$AH339,0)</f>
        <v>0</v>
      </c>
      <c r="HK339" s="165" t="e">
        <f t="shared" ca="1" si="1370"/>
        <v>#N/A</v>
      </c>
      <c r="HL339" s="166">
        <f ca="1">IF(AND(Control!$C$61="T",$HE339&gt;=Control!$C$103,Control!$C$114=0),$HF339,0)</f>
        <v>0</v>
      </c>
      <c r="HM339" s="201" t="e">
        <f t="shared" ca="1" si="1214"/>
        <v>#DIV/0!</v>
      </c>
      <c r="HN339" s="215">
        <f t="shared" ca="1" si="1334"/>
        <v>335</v>
      </c>
      <c r="HO339" s="216" t="e">
        <f ca="1">IF(AND($CP339&gt;=0, $CP339&lt;=90), Control!$C$152, Control!$C$152)</f>
        <v>#N/A</v>
      </c>
      <c r="HP339" s="216" t="e">
        <f t="shared" ca="1" si="1215"/>
        <v>#N/A</v>
      </c>
      <c r="HQ339" s="217" t="e">
        <f ca="1">IF(OR(Control!$B$26=1,Control!$B$26=2),$KV339,$KS339)</f>
        <v>#DIV/0!</v>
      </c>
      <c r="HR339" s="218" t="e">
        <f t="shared" ca="1" si="1371"/>
        <v>#DIV/0!</v>
      </c>
      <c r="HS339" s="216" t="e">
        <f ca="1">Control!$C$154*$HP339</f>
        <v>#N/A</v>
      </c>
      <c r="HT339" s="216" t="e">
        <f ca="1">Control!$C$155*$HP339</f>
        <v>#N/A</v>
      </c>
      <c r="HU339" s="217" t="e">
        <f ca="1">Control!$C$161*$FI339</f>
        <v>#N/A</v>
      </c>
      <c r="HV339" s="218" t="e">
        <f t="shared" ca="1" si="1335"/>
        <v>#N/A</v>
      </c>
      <c r="HW339" s="218" t="e">
        <f ca="1">Control!$C$160*$FF339+$IP339*$EO339</f>
        <v>#N/A</v>
      </c>
      <c r="HX339" s="218" t="e">
        <f t="shared" ca="1" si="1372"/>
        <v>#N/A</v>
      </c>
      <c r="HY339" s="219" t="e">
        <f ca="1">IF(Control!$C$114=1, $EB339*$FS339, 0)</f>
        <v>#N/A</v>
      </c>
      <c r="HZ339" s="91" t="e">
        <f t="shared" ca="1" si="1216"/>
        <v>#N/A</v>
      </c>
      <c r="IA339" s="220" t="e">
        <f ca="1">Control!$C$153*$HO339</f>
        <v>#N/A</v>
      </c>
      <c r="IB339" s="218" t="e">
        <f t="shared" ca="1" si="1217"/>
        <v>#N/A</v>
      </c>
      <c r="IC339" s="220" t="e">
        <f ca="1">Control!$C$153*$HT339</f>
        <v>#N/A</v>
      </c>
      <c r="ID339" s="218" t="e">
        <f t="shared" ca="1" si="1218"/>
        <v>#N/A</v>
      </c>
      <c r="IE339" s="221" t="e">
        <f ca="1">($EB339*Control!$C$159+$EF339*Control!$C$160)/(IF($GZ339&lt;&gt;0,$GZ339,1))</f>
        <v>#N/A</v>
      </c>
      <c r="IF339" s="216" t="e">
        <f t="shared" ca="1" si="1219"/>
        <v>#N/A</v>
      </c>
      <c r="IG339" s="91">
        <f ca="1">IF(OR(Control!$B$198=$AH339,Control!$B$199=$AH339, Control!$B$200=$AH339, Control!$B$201=$AH339, Control!$B$202=$AH339, Control!$B$203=$AH339, Control!$B$204=$AH339, Control!$B$205=$AH339, Control!$B$206=$AH339, Control!$B$207=$AH339), 1, 0)</f>
        <v>0</v>
      </c>
      <c r="IH339" s="91">
        <f ca="1">IF($IG339=0,0, VLOOKUP($AH339,Control!$B$198:$C$207,2))</f>
        <v>0</v>
      </c>
      <c r="II339" s="222">
        <f t="shared" ca="1" si="1336"/>
        <v>0</v>
      </c>
      <c r="IJ339" s="91">
        <f>Control!$C$121</f>
        <v>0.7</v>
      </c>
      <c r="IK339" s="218">
        <f t="shared" ca="1" si="1220"/>
        <v>0</v>
      </c>
      <c r="IL339" s="217" t="e">
        <f t="shared" ca="1" si="1373"/>
        <v>#N/A</v>
      </c>
      <c r="IM339" s="223" t="e">
        <f ca="1">IF(AND(Control!$C$114=1,$KH339&lt;1),$EB339*Control!$C$148*(1-$KH339), 0)</f>
        <v>#N/A</v>
      </c>
      <c r="IN339" s="217" t="e">
        <f t="shared" ca="1" si="1221"/>
        <v>#DIV/0!</v>
      </c>
      <c r="IO339" s="91" t="e">
        <f ca="1">MAX(0,$IL339-$EF339*Control!$C$160)</f>
        <v>#N/A</v>
      </c>
      <c r="IP339" s="220" t="e">
        <f t="shared" ca="1" si="1222"/>
        <v>#N/A</v>
      </c>
      <c r="IQ339" s="217" t="e">
        <f t="shared" ca="1" si="1337"/>
        <v>#N/A</v>
      </c>
      <c r="IR339" s="218" t="e">
        <f t="shared" ca="1" si="1223"/>
        <v>#N/A</v>
      </c>
      <c r="IS339" s="217" t="e">
        <f ca="1">Control!$C$159*MAX(0,$FD339-$EN339)</f>
        <v>#N/A</v>
      </c>
      <c r="IT339" s="217" t="e">
        <f t="shared" ca="1" si="1374"/>
        <v>#N/A</v>
      </c>
      <c r="IU339" s="217" t="e">
        <f t="shared" ca="1" si="1338"/>
        <v>#N/A</v>
      </c>
      <c r="IV339" s="217" t="e">
        <f t="shared" ca="1" si="1375"/>
        <v>#N/A</v>
      </c>
      <c r="IW339" s="217" t="e">
        <f ca="1">IF(OR($AW339=1,AND($AW339=0, Control!$B$18=1,$EN339&lt;&gt;0)), $IQ339-$IU339, $IQ339)</f>
        <v>#N/A</v>
      </c>
      <c r="IX339" s="218" t="e">
        <f t="shared" ca="1" si="1224"/>
        <v>#N/A</v>
      </c>
      <c r="IY339" s="218" t="e">
        <f ca="1">MAX(0,$IQ339-$EB339*Control!$C$159)</f>
        <v>#N/A</v>
      </c>
      <c r="IZ339" s="218" t="e">
        <f t="shared" ca="1" si="1225"/>
        <v>#N/A</v>
      </c>
      <c r="JA339" s="216" t="e">
        <f t="shared" ca="1" si="1226"/>
        <v>#N/A</v>
      </c>
      <c r="JB339" s="217" t="e">
        <f t="shared" ca="1" si="1227"/>
        <v>#N/A</v>
      </c>
      <c r="JC339" s="222" t="e">
        <f ca="1">MAX(Control!$C$157*$EK339-$JT339, 0)/Control!$C$162</f>
        <v>#N/A</v>
      </c>
      <c r="JD339" s="218" t="e">
        <f t="shared" ca="1" si="1228"/>
        <v>#N/A</v>
      </c>
      <c r="JE339" s="218" t="e">
        <f t="shared" ca="1" si="1229"/>
        <v>#N/A</v>
      </c>
      <c r="JF339" s="218" t="e">
        <f t="shared" ca="1" si="1339"/>
        <v>#N/A</v>
      </c>
      <c r="JG339" s="218" t="e">
        <f t="shared" ca="1" si="1230"/>
        <v>#N/A</v>
      </c>
      <c r="JH339" s="217" t="e">
        <f t="shared" ca="1" si="1340"/>
        <v>#N/A</v>
      </c>
      <c r="JI339" s="217" t="e">
        <f t="shared" ca="1" si="1341"/>
        <v>#N/A</v>
      </c>
      <c r="JJ339" s="217" t="e">
        <f t="shared" ca="1" si="1376"/>
        <v>#N/A</v>
      </c>
      <c r="JK339" s="217" t="e">
        <f ca="1">IF(Control!$C$114=1,IF(Control!$B$24=0,MAX(0,$JI339)*$GN339/Control!$C$64,(MAX(0,MIN($JI339,$JJ339*$GN339/Control!$C$64),0))))</f>
        <v>#N/A</v>
      </c>
      <c r="JL339" s="217" t="e">
        <f ca="1">$IK339/Control!$C$64-$JK339+$HQ339</f>
        <v>#N/A</v>
      </c>
      <c r="JM339" s="217" t="e">
        <f ca="1">IF(Control!$C$114=1,($JB339/(IF($JI339&lt;&gt;0,$JI339,1)))*$JK339,0)</f>
        <v>#N/A</v>
      </c>
      <c r="JN339" s="217" t="e">
        <f ca="1">IF(Control!$C$114=1,($JG339/(IF($JI339&lt;&gt;0,$JI339,1)))*$JK339, 0)</f>
        <v>#N/A</v>
      </c>
      <c r="JO339" s="218" t="e">
        <f t="shared" ca="1" si="1231"/>
        <v>#N/A</v>
      </c>
      <c r="JP339" s="218" t="e">
        <f ca="1">MIN(($IY339+$IO339)*Control!$C$151, $JF339-$EH339*Control!$C$161)</f>
        <v>#N/A</v>
      </c>
      <c r="JQ339" s="218" t="e">
        <f t="shared" ca="1" si="1232"/>
        <v>#N/A</v>
      </c>
      <c r="JR339" s="217" t="e">
        <f ca="1">IF($CP339-Control!$C$150&lt;0, 0, $JQ339/Control!$C$162)</f>
        <v>#N/A</v>
      </c>
      <c r="JS339" s="218" t="e">
        <f t="shared" ca="1" si="1233"/>
        <v>#N/A</v>
      </c>
      <c r="JT339" s="218" t="e">
        <f t="shared" ca="1" si="1342"/>
        <v>#N/A</v>
      </c>
      <c r="JU339" s="218" t="e">
        <f t="shared" ca="1" si="1234"/>
        <v>#N/A</v>
      </c>
      <c r="JV339" s="218" t="e">
        <f t="shared" ca="1" si="1235"/>
        <v>#N/A</v>
      </c>
      <c r="JW339" s="216" t="e">
        <f t="shared" ca="1" si="1236"/>
        <v>#N/A</v>
      </c>
      <c r="JX339" s="91" t="e">
        <f t="shared" ca="1" si="1237"/>
        <v>#N/A</v>
      </c>
      <c r="JY339" s="218" t="e">
        <f t="shared" ca="1" si="1238"/>
        <v>#N/A</v>
      </c>
      <c r="JZ339" s="217" t="e">
        <f ca="1">IF(Control!$C$114=1,($IZ339/(IF($JI339&lt;&gt;0,$JI339,1)))*$JK339, 0)</f>
        <v>#N/A</v>
      </c>
      <c r="KA339" s="218" t="e">
        <f t="shared" ca="1" si="1377"/>
        <v>#N/A</v>
      </c>
      <c r="KB339" s="218" t="e">
        <f t="shared" ca="1" si="1343"/>
        <v>#N/A</v>
      </c>
      <c r="KC339" s="218" t="e">
        <f t="shared" ca="1" si="1239"/>
        <v>#N/A</v>
      </c>
      <c r="KD339" s="218" t="e">
        <f t="shared" ca="1" si="1240"/>
        <v>#N/A</v>
      </c>
      <c r="KE339" s="218" t="e">
        <f t="shared" ca="1" si="1241"/>
        <v>#N/A</v>
      </c>
      <c r="KF339" s="218" t="e">
        <f t="shared" ca="1" si="1242"/>
        <v>#N/A</v>
      </c>
      <c r="KG339" s="216" t="e">
        <f t="shared" ca="1" si="1243"/>
        <v>#N/A</v>
      </c>
      <c r="KH339" s="221" t="e">
        <f ca="1">IF(Control!$B$24=0,1,MAX(0.001,MIN(1,IF(($IF339-$IE339)&lt;&gt;0,($KG339-$IE339)/($IF339-$IE339),1))))</f>
        <v>#N/A</v>
      </c>
      <c r="KI339" s="222" t="e">
        <f ca="1">IF(Control!$C$114=1, $KI338+ $KH338, 0)</f>
        <v>#N/A</v>
      </c>
      <c r="KJ339" s="217" t="e">
        <f t="shared" ca="1" si="1244"/>
        <v>#N/A</v>
      </c>
      <c r="KK339" s="218" t="e">
        <f t="shared" ca="1" si="1245"/>
        <v>#N/A</v>
      </c>
      <c r="KL339" s="274" t="e">
        <f ca="1">IF(Control!$B$26=3,4000000000*EXP(-8400/($G339+273)),IF(Control!$B$26=4,4000000000*EXP(-8400/($G339+273))*($KT339),0))</f>
        <v>#DIV/0!</v>
      </c>
      <c r="KM339" s="274" t="e">
        <f ca="1">IF(Control!$B$26=3,5600000000000*EXP(-9800/($G339+273)),IF(Control!$B$26=4,5600000000000*EXP(-9800/($G339+273))*$KT339,0))</f>
        <v>#DIV/0!</v>
      </c>
      <c r="KN339" s="454" t="e">
        <f t="shared" ca="1" si="1344"/>
        <v>#DIV/0!</v>
      </c>
      <c r="KO339" s="274" t="e">
        <f t="shared" ca="1" si="1345"/>
        <v>#DIV/0!</v>
      </c>
      <c r="KP339" s="454" t="e">
        <f t="shared" ca="1" si="1246"/>
        <v>#DIV/0!</v>
      </c>
      <c r="KQ339" s="454" t="e">
        <f t="shared" ca="1" si="1247"/>
        <v>#DIV/0!</v>
      </c>
      <c r="KR339" s="454" t="e">
        <f t="shared" ca="1" si="1248"/>
        <v>#DIV/0!</v>
      </c>
      <c r="KS339" s="454" t="e">
        <f t="shared" ca="1" si="1249"/>
        <v>#DIV/0!</v>
      </c>
      <c r="KT339" s="455" t="e">
        <f t="shared" ca="1" si="1250"/>
        <v>#DIV/0!</v>
      </c>
      <c r="KU339" s="456" t="e">
        <f ca="1">IF($CP339-Control!$C$149&lt;0, IF($NT339-0.01&lt;0,0,1),0)</f>
        <v>#N/A</v>
      </c>
      <c r="KV339" s="456" t="e">
        <f ca="1">IF(Control!$C$114=1,MAX(0,MIN(Control!$C$125*$KW339*$GN339,$KW339)))</f>
        <v>#DIV/0!</v>
      </c>
      <c r="KW339" s="456" t="e">
        <f t="shared" ca="1" si="1378"/>
        <v>#DIV/0!</v>
      </c>
      <c r="KX339" s="457" t="e">
        <f ca="1">IF($CP339-Control!$C$149&lt;0, IF($MR339-$OM339&lt;0,0,1),0)</f>
        <v>#N/A</v>
      </c>
      <c r="KY339" s="167">
        <f t="shared" ca="1" si="1346"/>
        <v>335</v>
      </c>
      <c r="KZ339" s="168">
        <f ca="1">1370*(1+0.033*COS(2*Control!$C$138*$AH339/365))</f>
        <v>1409.3144373267035</v>
      </c>
      <c r="LA339" s="169">
        <f t="shared" ca="1" si="1347"/>
        <v>1.0286964498484381</v>
      </c>
      <c r="LB339" s="169">
        <f t="shared" ca="1" si="1348"/>
        <v>-0.38617904451660728</v>
      </c>
      <c r="LC339" s="169">
        <f ca="1">ACOS(-TAN((2*Control!$B$8/360))*TAN(Calculations!$LB339))</f>
        <v>1.4496588712036049</v>
      </c>
      <c r="LD339" s="169">
        <f ca="1">((24*60)/PI())*0.082*$LA339*(($LC339*SIN(Control!$B$8*2*PI()/360))*SIN($LB339)+COS(Control!$B$8*2*PI()/360)*COS($LB339)*SIN($LC339))</f>
        <v>5.2535513733688521</v>
      </c>
      <c r="LE339" s="170">
        <f t="shared" ca="1" si="1251"/>
        <v>6.9086179235541438</v>
      </c>
      <c r="LF339" s="170">
        <f ca="1">SIN(Control!$C$139*Control!$B$8)*SIN($HD339)</f>
        <v>-0.29518823814758161</v>
      </c>
      <c r="LG339" s="170">
        <f ca="1">COS(Control!$C$139*Control!$B$8)*COS($HD339)</f>
        <v>0.57083181001238592</v>
      </c>
      <c r="LH339" s="170">
        <f ca="1">12*(1+2*ASIN(MAX(-1,MIN(1,$LF339/$LG339))/Control!$C$138))</f>
        <v>8.0314470828664462</v>
      </c>
      <c r="LI339" s="170">
        <f ca="1">12*(1+2*ASIN(MAX(-1,MIN(1,(-SIN(-4*Control!$C$139)+$LF339)/$LG339))/Control!$C$138))</f>
        <v>8.9750551977150597</v>
      </c>
      <c r="LJ339" s="168">
        <f ca="1">3600*($LH339*$LF339+24*$LG339*SQRT(1-$LK339*$LK339)/Control!$C$138)</f>
        <v>4902.1125027704566</v>
      </c>
      <c r="LK339" s="170">
        <f t="shared" ca="1" si="1252"/>
        <v>-0.51711946140698883</v>
      </c>
      <c r="LL339" s="170">
        <f t="shared" ca="1" si="1253"/>
        <v>0</v>
      </c>
      <c r="LM339" s="171">
        <f ca="1">Control!$C$145*$AB339</f>
        <v>6.6660906138995932E-2</v>
      </c>
      <c r="LN339" s="170">
        <f t="shared" ca="1" si="1349"/>
        <v>0.54</v>
      </c>
      <c r="LO339" s="170">
        <f t="shared" ca="1" si="1254"/>
        <v>0</v>
      </c>
      <c r="LP339" s="170">
        <f ca="1">Control!$C$140*((($D339+273.16)^4+($E339+273.16)^4)/2)*(0.34-0.14*SQRT($Y339))*(1.35*$AQ339/(0.75*$LD339)-0.35)</f>
        <v>-3.2464704755046001</v>
      </c>
      <c r="LQ339" s="170">
        <f ca="1">Control!$C$140*($G339+273)^4*(0.56-0.079*SQRT($Y339*10))*(0.1+0.9*$LO339)</f>
        <v>1.5241745131704001</v>
      </c>
      <c r="LR339" s="170">
        <f ca="1">$AQ339*(1-Control!$C$142)-$LQ339</f>
        <v>-1.5241745131704001</v>
      </c>
      <c r="LS339" s="170">
        <f ca="1">$AQ339*(1-Control!$C$143)-$LQ339</f>
        <v>-1.5241745131704001</v>
      </c>
      <c r="LT339" s="170">
        <f ca="1">$AQ339*(1-Control!$C$144)-$LQ339</f>
        <v>-1.5241745131704001</v>
      </c>
      <c r="LU339" s="169">
        <f ca="1">(1-Control!$C$144)*AQ339-LP339</f>
        <v>3.2464704755046001</v>
      </c>
      <c r="LV339" s="172">
        <f t="shared" ca="1" si="1255"/>
        <v>0.79430000000000012</v>
      </c>
      <c r="LW339" s="170">
        <f t="shared" ca="1" si="1256"/>
        <v>1.5886000000000002</v>
      </c>
      <c r="LX339" s="170">
        <f ca="1">($AC339*($LR339/Control!$C$141)+$LM339*$LV339)/($AC339+$LM339)</f>
        <v>0.23530094218323697</v>
      </c>
      <c r="LY339" s="170">
        <f ca="1">($AC339*($LS339/Control!$C$141)+$LM339*$LV339)/($AC339+$LM339)</f>
        <v>0.23530094218323697</v>
      </c>
      <c r="LZ339" s="170">
        <f t="shared" ca="1" si="1257"/>
        <v>0.23530094218323697</v>
      </c>
      <c r="MA339" s="170">
        <f t="shared" ca="1" si="1258"/>
        <v>0.23530094218323697</v>
      </c>
      <c r="MB339" s="170" t="e">
        <f t="shared" ca="1" si="1259"/>
        <v>#N/A</v>
      </c>
      <c r="MC339" s="170">
        <f t="shared" ca="1" si="1350"/>
        <v>0.6018</v>
      </c>
      <c r="MD339" s="170">
        <f t="shared" ca="1" si="1260"/>
        <v>0.52989392535414004</v>
      </c>
      <c r="ME339" s="170">
        <f ca="1">($AC339*($LT339/Control!$C$141)+$LM339*$LW339)/($AC339+$LM339)</f>
        <v>0.71612369323045078</v>
      </c>
      <c r="MF339" s="170" t="e">
        <f ca="1">IF(Control!$B$16&gt;=1000,0.92,IF(AND(720&lt;=Control!$B$16,1000&gt;Control!$B$16),(0.95+(Control!$B$16-720)*((0.92-0.95)/(1000-720))),IF(AND(360&lt;=Control!$B$16,720&gt;Control!$B$16),(1+(Control!$B$16-360)*((0.95-1)/(720-360))),IF(AND(40&lt;=Control!$B$16,360&gt;Control!$B$16),(1.05+(Control!$B$16-40)*((1.05-1)/(360-40)))))))</f>
        <v>#N/A</v>
      </c>
      <c r="MG339" s="170">
        <f t="shared" ca="1" si="1261"/>
        <v>0.71612369323045078</v>
      </c>
      <c r="MH339" s="170" t="e">
        <f t="shared" ca="1" si="1262"/>
        <v>#N/A</v>
      </c>
      <c r="MI339" s="170" t="e">
        <f t="shared" ca="1" si="1262"/>
        <v>#N/A</v>
      </c>
      <c r="MJ339" s="170" t="e">
        <f ca="1">MAX(0.0001, Control!$C$132*$MI339*$DL339)</f>
        <v>#N/A</v>
      </c>
      <c r="MK339" s="170">
        <f ca="1">1/(0.76+1.5*($MG339/10))-(5-Control!$C$110)*0.1</f>
        <v>1.002845988140797</v>
      </c>
      <c r="ML339" s="173">
        <f ca="1">IF(Control!$C$110&lt;3,$MK339+($MG339-0.6)/(Control!$C$110*(Control!$C$110+3)), MAX(0.1, MIN(0.95,$MK339)))</f>
        <v>0.95</v>
      </c>
      <c r="MM339" s="173">
        <f ca="1">IF(Control!$C$110&lt;3,$MK339+(($MI339/10)-0.6)/(Control!$C$110*(Control!$C$110+3)), MAX(0.1, MIN(0.95,$MK339)))</f>
        <v>0.95</v>
      </c>
      <c r="MN339" s="173">
        <f ca="1">(1-$MM339)*(Control!$C$128-Control!$C$127)+Control!$C$127</f>
        <v>0.16</v>
      </c>
      <c r="MO339" s="170" t="e">
        <f ca="1">MAX(0,MIN(1,($MS339-Control!$C$127)/($MN339-Control!$C$127)))</f>
        <v>#DIV/0!</v>
      </c>
      <c r="MP339" s="173" t="e">
        <f ca="1">1/(0.76+1.5*$MI339)-(5-Control!$C$110)*0.1</f>
        <v>#N/A</v>
      </c>
      <c r="MQ339" s="172" t="e">
        <f t="shared" ca="1" si="1379"/>
        <v>#DIV/0!</v>
      </c>
      <c r="MR339" s="168" t="e">
        <f t="shared" ca="1" si="1351"/>
        <v>#DIV/0!</v>
      </c>
      <c r="MS339" s="173" t="e">
        <f ca="1">MAX(Control!$C$127, MIN(Control!$C$135, $MR339/MAX(0.0001,$CY339)))</f>
        <v>#DIV/0!</v>
      </c>
      <c r="MT339" s="168" t="e">
        <f ca="1">(Control!$C$128-$MS339)*Control!$C$74</f>
        <v>#DIV/0!</v>
      </c>
      <c r="MU339" s="168" t="e">
        <f ca="1">(Control!$C$135-$MS339)*Control!$C$74</f>
        <v>#DIV/0!</v>
      </c>
      <c r="MV339" s="168" t="e">
        <f t="shared" ca="1" si="1352"/>
        <v>#DIV/0!</v>
      </c>
      <c r="MW339" s="168" t="e">
        <f t="shared" ca="1" si="1353"/>
        <v>#DIV/0!</v>
      </c>
      <c r="MX339" s="171" t="e">
        <f ca="1">MAX(Control!$C$127, MIN(Control!$C$135, $MW339/MAX(0.0001,Control!$C$119-$CY339)))</f>
        <v>#DIV/0!</v>
      </c>
      <c r="MY339" s="54" t="e">
        <f ca="1">IF(Control!$C$114=1, $CX339*$MX339, 0)</f>
        <v>#DIV/0!</v>
      </c>
      <c r="MZ339" s="54" t="e">
        <f t="shared" ca="1" si="1354"/>
        <v>#N/A</v>
      </c>
      <c r="NA339" s="168" t="e">
        <f ca="1">(Control!$C$128-$MX339)*(Control!$C$119-Control!$C$74)</f>
        <v>#DIV/0!</v>
      </c>
      <c r="NB339" s="168" t="e">
        <f ca="1">(Control!$C$135-$MX339)*(Control!$C$119-Control!$C$74)</f>
        <v>#DIV/0!</v>
      </c>
      <c r="NC339" s="174" t="e">
        <f t="shared" ca="1" si="1355"/>
        <v>#DIV/0!</v>
      </c>
      <c r="ND339" s="54">
        <f ca="1">IF(Control!$C$58=2, IF(OR(Control!$B$218=$AH339,Control!$B$219=$AH339, Control!$B$220=$AH339, Control!$B$221=$AH339, Control!$B$222=$AH339, Control!$B$223=$AH339, Control!$B$224=$AH339, Control!$B$225=$AH339, Control!$B$226=$AH339, Control!$B$227=$AH339, Control!$B$228=$AH339), 1, 0), 0)</f>
        <v>0</v>
      </c>
      <c r="NE339" s="54">
        <f ca="1">IF($ND339=0,0, VLOOKUP($AH339,Control!$B$218:$C$228,2))</f>
        <v>0</v>
      </c>
      <c r="NF339" s="168" t="e">
        <f ca="1">$CY339*(Control!$C$128-Control!$C$127)</f>
        <v>#N/A</v>
      </c>
      <c r="NG339" s="54" t="e">
        <f ca="1">IF(Control!$C$58=2, $NI338-$NJ338, 0)</f>
        <v>#DIV/0!</v>
      </c>
      <c r="NH339" s="54" t="e">
        <f ca="1">IF(AND(Control!$C$58=1, $MS338&lt;= ($MN338+0.02), $I338&lt;10), 0, IF(Control!$C$58=2, $NG338, 0))</f>
        <v>#DIV/0!</v>
      </c>
      <c r="NI339" s="54" t="e">
        <f ca="1">IF(Control!$C$58=2, $NE339+$NH339,0)</f>
        <v>#DIV/0!</v>
      </c>
      <c r="NJ339" s="54" t="e">
        <f ca="1">IF(AND(Control!$C$58=1, $MS339&lt;= ($MN339+0.02), $I339&lt;10), MAX(0, MIN(10, 0.7*($NF339-$MV339))), IF(Control!$C$58=2, MIN(10,$NI339),0))</f>
        <v>#DIV/0!</v>
      </c>
      <c r="NK339" s="54" t="e">
        <f t="shared" ca="1" si="1263"/>
        <v>#DIV/0!</v>
      </c>
      <c r="NL339" s="173" t="e">
        <f ca="1">(1-Control!$C$73)*$I339+$NJ339</f>
        <v>#DIV/0!</v>
      </c>
      <c r="NM339" s="172" t="e">
        <f ca="1">IF($NL339&lt;0.5, $MB339* MAX(0, MIN(1, (SQRT($NC339)-SQRT($NC339-1))*Control!$C$71)),0)</f>
        <v>#DIV/0!</v>
      </c>
      <c r="NN339" s="170" t="e">
        <f ca="1">IF($NL339&gt;=5, $MB339, MAX(0,MIN($MB339, $NM339+$NL339,($MS339-Control!$C$129))))</f>
        <v>#DIV/0!</v>
      </c>
      <c r="NO339" s="54">
        <f>IF(Control!$C$133&lt;&gt;1, Control!$C$135-Control!$C$131, 0)</f>
        <v>0.38</v>
      </c>
      <c r="NP339" s="54" t="e">
        <f t="shared" ca="1" si="1264"/>
        <v>#DIV/0!</v>
      </c>
      <c r="NQ339" s="173" t="e">
        <f ca="1">MAX(0,MIN(1,(Control!$C$135-$MS339)/(Control!$C$135-$NO339)))</f>
        <v>#DIV/0!</v>
      </c>
      <c r="NR339" s="170" t="e">
        <f ca="1">IF(Control!$C$133&lt;&gt;1, $NQ339+((1-$NP339/4)*(1-$NQ339)),1)</f>
        <v>#DIV/0!</v>
      </c>
      <c r="NS339" s="170" t="e">
        <f ca="1">IF(Control!$B$31=0,$MJ339,MAX(0,MIN($MV339,$MO339*$NR339*$MJ339)))</f>
        <v>#DIV/0!</v>
      </c>
      <c r="NT339" s="170" t="e">
        <f t="shared" ca="1" si="1380"/>
        <v>#DIV/0!</v>
      </c>
      <c r="NU339" s="170" t="e">
        <f t="shared" ca="1" si="1356"/>
        <v>#N/A</v>
      </c>
      <c r="NV339" s="170" t="e">
        <f t="shared" ca="1" si="1265"/>
        <v>#N/A</v>
      </c>
      <c r="NW339" s="175" t="e">
        <f t="shared" ca="1" si="1266"/>
        <v>#DIV/0!</v>
      </c>
      <c r="NX339" s="170" t="e">
        <f ca="1">MIN(Control!$C$72+$MU339, $NW339)</f>
        <v>#DIV/0!</v>
      </c>
      <c r="NY339" s="170" t="e">
        <f ca="1">IF($MT339&lt;=$NX339,MIN(Control!$C$72+$NB339,$NX339-$MT339),0)</f>
        <v>#DIV/0!</v>
      </c>
      <c r="NZ339" s="54" t="e">
        <f ca="1">IF(Control!$C$114=1,  $CX339*($MX339-Control!$C$127), 0)</f>
        <v>#DIV/0!</v>
      </c>
      <c r="OA339" s="170" t="e">
        <f t="shared" ca="1" si="1267"/>
        <v>#DIV/0!</v>
      </c>
      <c r="OB339" s="170" t="e">
        <f ca="1">IF($NA339 &lt;=$NY339, MIN(Control!$C$72, $NY339-$NA339), 0)</f>
        <v>#DIV/0!</v>
      </c>
      <c r="OC339" s="168" t="e">
        <f t="shared" ca="1" si="1268"/>
        <v>#DIV/0!</v>
      </c>
      <c r="OD339" s="168" t="e">
        <f t="shared" ca="1" si="1357"/>
        <v>#DIV/0!</v>
      </c>
      <c r="OE339" s="170">
        <f ca="1">Control!$C$73*$I339</f>
        <v>0</v>
      </c>
      <c r="OF339" s="176" t="e">
        <f t="shared" ca="1" si="1269"/>
        <v>#DIV/0!</v>
      </c>
      <c r="OG339" s="168" t="e">
        <f t="shared" ca="1" si="1270"/>
        <v>#DIV/0!</v>
      </c>
      <c r="OH339" s="168" t="e">
        <f t="shared" ca="1" si="1271"/>
        <v>#DIV/0!</v>
      </c>
      <c r="OI339" s="168" t="e">
        <f t="shared" ca="1" si="1272"/>
        <v>#DIV/0!</v>
      </c>
      <c r="OJ339" s="168" t="e">
        <f t="shared" ca="1" si="1273"/>
        <v>#DIV/0!</v>
      </c>
      <c r="OK339" s="204" t="e">
        <f t="shared" ca="1" si="1274"/>
        <v>#DIV/0!</v>
      </c>
      <c r="OL339" s="177">
        <f>Control!$C$127</f>
        <v>0.15</v>
      </c>
      <c r="OM339" s="182" t="e">
        <f t="shared" ca="1" si="1275"/>
        <v>#N/A</v>
      </c>
      <c r="ON339" s="177">
        <f>Control!$C$128</f>
        <v>0.35</v>
      </c>
      <c r="OO339" s="182" t="e">
        <f t="shared" ca="1" si="1276"/>
        <v>#N/A</v>
      </c>
      <c r="OP339" s="138">
        <f t="shared" ca="1" si="1358"/>
        <v>0</v>
      </c>
      <c r="OQ339" s="138" t="e">
        <f t="shared" ca="1" si="1381"/>
        <v>#DIV/0!</v>
      </c>
      <c r="OR339" s="138" t="e">
        <f t="shared" ca="1" si="1359"/>
        <v>#DIV/0!</v>
      </c>
      <c r="OS339" s="137" t="e">
        <f t="shared" ca="1" si="1382"/>
        <v>#DIV/0!</v>
      </c>
      <c r="OT339" s="139" t="e">
        <f t="shared" ca="1" si="1383"/>
        <v>#DIV/0!</v>
      </c>
      <c r="OU339" s="138" t="e">
        <f t="shared" ca="1" si="1384"/>
        <v>#N/A</v>
      </c>
      <c r="OV339" s="138" t="e">
        <f t="shared" ca="1" si="1385"/>
        <v>#DIV/0!</v>
      </c>
      <c r="OW339" s="138" t="e">
        <f t="shared" ca="1" si="1360"/>
        <v>#DIV/0!</v>
      </c>
      <c r="OX339" s="138" t="e">
        <f t="shared" ca="1" si="1361"/>
        <v>#DIV/0!</v>
      </c>
      <c r="OY339" s="138" t="e">
        <f t="shared" ca="1" si="1362"/>
        <v>#DIV/0!</v>
      </c>
      <c r="OZ339" s="138" t="e">
        <f t="shared" ca="1" si="1277"/>
        <v>#DIV/0!</v>
      </c>
      <c r="PA339" s="138" t="e">
        <f t="shared" ca="1" si="1278"/>
        <v>#DIV/0!</v>
      </c>
      <c r="PB339" s="55">
        <f>IF(Control!$C$61="T", IF(Control!$C$65="F", IF($AH$6-Control!$C$60&lt;0,0,1), IF(365+$AH$6-Control!$C$60&lt;0,0,1)),0)</f>
        <v>0</v>
      </c>
      <c r="PC339" s="55">
        <f ca="1">IF(Control!$C$65="F", IF($AH$6-$HF339&lt;0,0,1), IF(365+$AH$6-$HF339&lt;0,0,1))</f>
        <v>1</v>
      </c>
      <c r="PD339" s="444">
        <f>Control!$C$118</f>
        <v>1500</v>
      </c>
      <c r="PE339" s="180" t="e">
        <f t="shared" ca="1" si="1279"/>
        <v>#N/A</v>
      </c>
      <c r="PF339" s="445">
        <f t="shared" ca="1" si="1363"/>
        <v>0.71612369323045078</v>
      </c>
      <c r="PT339" s="186"/>
      <c r="PU339" s="186"/>
      <c r="PV339" s="94"/>
      <c r="PW339" s="94"/>
      <c r="PX339" s="94"/>
      <c r="PY339" s="94"/>
      <c r="PZ339" s="94"/>
      <c r="QA339" s="94"/>
      <c r="QB339" s="94"/>
      <c r="QC339" s="94"/>
      <c r="QD339" s="94"/>
      <c r="QE339" s="94"/>
      <c r="QF339" s="94"/>
      <c r="QG339" s="94"/>
      <c r="QH339" s="94"/>
      <c r="QI339" s="94"/>
      <c r="QJ339" s="94"/>
      <c r="QK339" s="94"/>
      <c r="QL339" s="94"/>
      <c r="QM339" s="94"/>
      <c r="QN339" s="94"/>
      <c r="QO339" s="94"/>
      <c r="QP339" s="94"/>
    </row>
    <row r="340" spans="1:458" s="2" customFormat="1" x14ac:dyDescent="0.2">
      <c r="A340" s="395">
        <v>1</v>
      </c>
      <c r="B340" s="396">
        <v>12</v>
      </c>
      <c r="C340" s="387">
        <f ca="1">Weather_data!$B339</f>
        <v>0</v>
      </c>
      <c r="D340" s="388">
        <f ca="1">Weather_data!$F339</f>
        <v>0</v>
      </c>
      <c r="E340" s="388">
        <f ca="1">Weather_data!$E339</f>
        <v>0</v>
      </c>
      <c r="F340" s="388">
        <f t="shared" ca="1" si="1280"/>
        <v>0</v>
      </c>
      <c r="G340" s="388">
        <f ca="1">AVERAGE($D340:$E340)+Control!$B$9</f>
        <v>0</v>
      </c>
      <c r="H340" s="388">
        <f ca="1">Weather_data!$G339</f>
        <v>0</v>
      </c>
      <c r="I340" s="388">
        <f ca="1">Weather_data!$I339</f>
        <v>0</v>
      </c>
      <c r="J340" s="388">
        <f ca="1">Weather_data!$H339</f>
        <v>0</v>
      </c>
      <c r="K340" s="389">
        <f ca="1">Weather_data!$D339</f>
        <v>0</v>
      </c>
      <c r="L340" s="388" t="e">
        <f t="shared" ca="1" si="1281"/>
        <v>#N/A</v>
      </c>
      <c r="M340" s="388" t="e">
        <f t="shared" ca="1" si="1158"/>
        <v>#N/A</v>
      </c>
      <c r="N340" s="388">
        <f t="shared" ca="1" si="1159"/>
        <v>-2.6059624710769801E-16</v>
      </c>
      <c r="O340" s="388">
        <f t="shared" ca="1" si="1282"/>
        <v>2.6059624710769803E-15</v>
      </c>
      <c r="P340" s="390">
        <v>3</v>
      </c>
      <c r="Q340" s="388">
        <f ca="1">MAX($G340-Control!$C$107,0)</f>
        <v>0</v>
      </c>
      <c r="R340" s="388">
        <f t="shared" ca="1" si="1283"/>
        <v>0</v>
      </c>
      <c r="S340" s="388">
        <f t="shared" ca="1" si="1160"/>
        <v>0</v>
      </c>
      <c r="T340" s="388">
        <f t="shared" ca="1" si="1161"/>
        <v>0</v>
      </c>
      <c r="U340" s="59">
        <f t="shared" ca="1" si="1162"/>
        <v>0</v>
      </c>
      <c r="V340" s="391">
        <f ca="1">MAX(0,MIN(Control!$C$100-Control!$C$99,$G340-Control!$C$99)*Control!$C$63)</f>
        <v>0</v>
      </c>
      <c r="W340" s="388">
        <f t="shared" ca="1" si="1284"/>
        <v>0</v>
      </c>
      <c r="X340" s="388">
        <f t="shared" ca="1" si="1285"/>
        <v>0.6110000000000001</v>
      </c>
      <c r="Y340" s="388">
        <f t="shared" ca="1" si="1163"/>
        <v>0</v>
      </c>
      <c r="Z340" s="388">
        <f t="shared" ca="1" si="1286"/>
        <v>0.61058800000000002</v>
      </c>
      <c r="AA340" s="388">
        <f t="shared" ca="1" si="1164"/>
        <v>0.6018</v>
      </c>
      <c r="AB340" s="388">
        <f ca="1">101.3*EXP(-0.034*Control!$C$66/($G340+273))</f>
        <v>100.69623283836242</v>
      </c>
      <c r="AC340" s="392">
        <f t="shared" ca="1" si="1165"/>
        <v>4.3460251046025113E-2</v>
      </c>
      <c r="AD340" s="392">
        <f t="shared" ca="1" si="1166"/>
        <v>4.4450382862832649E-2</v>
      </c>
      <c r="AE340" s="388">
        <f t="shared" ca="1" si="1167"/>
        <v>0</v>
      </c>
      <c r="AF340" s="388">
        <f ca="1">MAX(0,$G340-Control!$C$92)</f>
        <v>0</v>
      </c>
      <c r="AG340" s="393">
        <f t="shared" ca="1" si="1168"/>
        <v>336</v>
      </c>
      <c r="AH340" s="389">
        <f t="shared" ca="1" si="1169"/>
        <v>336</v>
      </c>
      <c r="AI340" s="388">
        <f t="shared" ca="1" si="1287"/>
        <v>-0.38639871122650277</v>
      </c>
      <c r="AJ340" s="388">
        <f ca="1">IF(Control!$C$60&lt;=0,$HH340,$HI340)</f>
        <v>1</v>
      </c>
      <c r="AK340" s="388">
        <f t="shared" ca="1" si="1170"/>
        <v>4.4068368181862301</v>
      </c>
      <c r="AL340" s="388">
        <f t="shared" ca="1" si="1171"/>
        <v>4.6882497883871105E-18</v>
      </c>
      <c r="AM340" s="388">
        <f t="shared" ca="1" si="1172"/>
        <v>4.4068368181862301</v>
      </c>
      <c r="AN340" s="388">
        <f t="shared" ca="1" si="1173"/>
        <v>-0.38911994856812032</v>
      </c>
      <c r="AO340" s="388">
        <f ca="1">-0.10453/COS(Control!$B$8*PI()/180)*COS(AN340)</f>
        <v>-0.15709230586442413</v>
      </c>
      <c r="AP340" s="388">
        <f ca="1">ACOS(AO340-TAN(Control!$B$8*PI()/180)*TAN(AN340))</f>
        <v>1.1942427208960746</v>
      </c>
      <c r="AQ340" s="388">
        <f t="shared" ca="1" si="1288"/>
        <v>0</v>
      </c>
      <c r="AR340" s="394">
        <f t="shared" ca="1" si="1174"/>
        <v>0</v>
      </c>
      <c r="AS340" s="436">
        <f ca="1">IF(Control!$B$18=2,(IF(OR($AH340=Control!$B$175,$AH340=Control!$B$176,$AH340=Control!$B$177,$AH340=Control!$B$178,$AH340=Control!$B$179,$AH340=Control!$B$180,$AH340=Control!$B$181,$AH340=Control!$B$182,$AH340=Control!$B$183,$AH340=Control!$B$184,$AH340=Control!$B$185),1,0)),0)</f>
        <v>0</v>
      </c>
      <c r="AT340" s="436">
        <f>IF(Control!$B$20=8,IF(AND($AH340&gt;=Control!$B$172,$AH340&lt;=Control!$B$173),1,0),0)</f>
        <v>0</v>
      </c>
      <c r="AU340" s="436">
        <f>IF(Control!$B$20=8,IF($AV339=1,1*$AT340,IF($AT340=1,$AU339+1,$AU339)),0)</f>
        <v>0</v>
      </c>
      <c r="AV340" s="436">
        <f>IF(Control!$B$20=8,IF($AU340&gt;=Control!$B$174,1,0),0)</f>
        <v>0</v>
      </c>
      <c r="AW340" s="436">
        <f ca="1">IF(AND(Control!$B$18=2,Control!$B$171=1), $AV340, $AS340)</f>
        <v>0</v>
      </c>
      <c r="AX340" s="436" t="e">
        <f ca="1">IF(AND(Control!$B$18=1,$EU340&gt;=Control!$B$19),-$AY340,IF(AND(Control!$B$18=2,$AW340=1,$EU340&gt;$DS340),-$AY340, IF(Control!$C$108=0,0, IF(Control!$C$108&lt;&gt;0,1))))</f>
        <v>#N/A</v>
      </c>
      <c r="AY340" s="436" t="e">
        <f t="shared" ca="1" si="1289"/>
        <v>#N/A</v>
      </c>
      <c r="AZ340" s="436" t="e">
        <f ca="1">IF(AND(Control!$B$18=1,$EB340&gt;Control!$B$19),$AZ339+1, IF(AND(Control!$B$18=2, $AW340=1, $EB340&gt;$DS340), $AZ339+1,$AZ339))</f>
        <v>#N/A</v>
      </c>
      <c r="BA340" s="587">
        <f>IF(Control!$C$81=0,1,IF($AH340&gt;=Control!$C$82,1,0))</f>
        <v>1</v>
      </c>
      <c r="BB340" s="140" t="e">
        <f ca="1">IF($BA340&gt;$BA339,Control!$C$83,IF($AW340&gt;0,$AW340*Control!$C$84,IF(AND(Control!$B$18=1,EN339&lt;&gt;0),Control!$C$84,0)))</f>
        <v>#N/A</v>
      </c>
      <c r="BC340" s="140" t="e">
        <f t="shared" ca="1" si="1290"/>
        <v>#N/A</v>
      </c>
      <c r="BD340" s="140" t="e">
        <f ca="1">BC340*IF(OR($G340&lt;Control!$C$92,$G340&gt;Control!$C$95),0,IF(AND($G340&gt;=Control!$C$92,$G340&lt;=Control!$C$93),$G340-Control!$C$92,IF(AND($G340&gt;Control!$C$93,$G340&lt;=Control!$C$94),Control!$C$93-Control!$C$92,IF(AND($G340&gt;Control!$C$94,$G340&lt;=Control!$C$95),(Control!$C$93-Control!$C$92)*(Control!$C$94-$G340)/(Control!$C$95-Control!$C$94)))))</f>
        <v>#N/A</v>
      </c>
      <c r="BE340" s="140" t="e">
        <f t="shared" ca="1" si="1291"/>
        <v>#N/A</v>
      </c>
      <c r="BF340" s="140" t="e">
        <f ca="1">IF($BE340&lt;=Control!$C$86,$BE340,Control!$C$86-$BE340)</f>
        <v>#N/A</v>
      </c>
      <c r="BG340" s="140" t="e">
        <f ca="1">IF(AND($AW340=1,Control!$C$84&lt;9),1,IF($BE340&gt;=Control!$C$86,0,$BC340))</f>
        <v>#N/A</v>
      </c>
      <c r="BH340" s="404" t="e">
        <f ca="1">IF($BG340=0,0,IF($BE340&lt;=Control!$C$86,$BC340*9*($BF340/Control!$C$86),0))</f>
        <v>#N/A</v>
      </c>
      <c r="BI340" s="140" t="e">
        <f ca="1">IF($BG340=1,0,IF($BE340&gt;=Control!$C$86,1,IF(AND($BB340&lt;21,$BB340&gt;=9),1,$BM339)))</f>
        <v>#N/A</v>
      </c>
      <c r="BJ340" s="140" t="e">
        <f ca="1">IF($BF340&lt;0,-$BF340,$BI340*IF(OR($G340&lt;Control!$C$92,$G340&gt;Control!$C$95),0,IF(AND($G340&gt;=Control!$C$92,$G340&lt;=Control!$C$93),$G340-Control!$C$92,IF(AND($G340&gt;Control!$C$93,$G340&lt;=Control!$C$94),Control!$C$93-Control!$C$92,IF(AND($G340&gt;Control!$C$94,$G340&lt;=Control!$C$95),(Control!$C$93-Control!$C$92)*(Control!$C$94-$G340)/(Control!$C$95-Control!$C$94))))))</f>
        <v>#N/A</v>
      </c>
      <c r="BK340" s="140" t="e">
        <f t="shared" ca="1" si="1292"/>
        <v>#N/A</v>
      </c>
      <c r="BL340" s="140" t="e">
        <f ca="1">IF($BK340&lt;=Control!$C$87,$BK340,Control!$C$87-$BK340)</f>
        <v>#N/A</v>
      </c>
      <c r="BM340" s="140" t="e">
        <f ca="1">IF(AND($BB340&gt;=9,$BB340&lt;21),1,IF($BK340&gt;=Control!$C$87,0,$BI340))</f>
        <v>#N/A</v>
      </c>
      <c r="BN340" s="404" t="e">
        <f ca="1">IF($BM340=0,0,IF($BK340&lt;=Control!$C$87,$BI340*(9+(21-9)*($BL340/Control!$C$87)),0))</f>
        <v>#N/A</v>
      </c>
      <c r="BO340" s="140" t="e">
        <f ca="1">IF($BM340=1,0,IF($BK340&gt;=Control!$C$87,1,IF(AND($BB340&lt;30,$BB340&gt;=21),1,$BS339)))</f>
        <v>#N/A</v>
      </c>
      <c r="BP340" s="140" t="e">
        <f ca="1">IF($BL340&lt;0,-$BL340,$BO340*IF(OR($G340&lt;Control!$C$92,$G340&gt;Control!$C$95),0,IF(AND($G340&gt;=Control!$C$92,$G340&lt;=Control!$C$93),$G340-Control!$C$92,IF(AND($G340&gt;Control!$C$93,$G340&lt;=Control!$C$94),Control!$C$93-Control!$C$92,IF(AND($G340&gt;Control!$C$94,$G340&lt;=Control!$C$95),(Control!$C$93-Control!$C$92)*(Control!$C$94-$G340)/(Control!$C$95-Control!$C$94))))))</f>
        <v>#N/A</v>
      </c>
      <c r="BQ340" s="140" t="e">
        <f t="shared" ca="1" si="1175"/>
        <v>#N/A</v>
      </c>
      <c r="BR340" s="140" t="e">
        <f ca="1">IF($BQ340&lt;=Control!$C$88,$BQ340,Control!$C$88-$BQ340)</f>
        <v>#N/A</v>
      </c>
      <c r="BS340" s="140" t="e">
        <f ca="1">IF(AND($BB340&gt;=21,$BB340&lt;30),1,IF($BQ340&gt;=Control!$C$88,0,$BO340))</f>
        <v>#N/A</v>
      </c>
      <c r="BT340" s="404" t="e">
        <f ca="1">IF($BS340=0,0,IF($BQ340&lt;=Control!$C$88,$BO340*(21+(30-21)*(BR340/Control!$C$88)),0))</f>
        <v>#N/A</v>
      </c>
      <c r="BU340" s="140" t="e">
        <f ca="1">IF(BG340+BM340+BS340=1,0,IF(OR(AND($BB340&lt;60,$BB340&gt;=30),$BQ340&gt;=Control!$C$88),1*$BA340,$BY339))</f>
        <v>#N/A</v>
      </c>
      <c r="BV340" s="140" t="e">
        <f ca="1">IF($BR340&lt;0,-$BR340,$BU340*IF(OR($G340&lt;Control!$C$92,$G340&gt;Control!$C$95),0,IF(AND($G340&gt;=Control!$C$92,$G340&lt;=Control!$C$93),$G340-Control!$C$92,IF(AND($G340&gt;Control!$C$93,$G340&lt;=Control!$C$94),Control!$C$93-Control!$C$92,IF(AND($G340&gt;Control!$C$94,$G340&lt;=Control!$C$95),(Control!$C$93-Control!$C$92)*(Control!$C$94-$G340)/(Control!$C$95-Control!$C$94))))))</f>
        <v>#N/A</v>
      </c>
      <c r="BW340" s="140" t="e">
        <f t="shared" ca="1" si="1176"/>
        <v>#N/A</v>
      </c>
      <c r="BX340" s="140" t="e">
        <f ca="1">IF($BW340&lt;=Control!$C$89,$BW340,Control!$C$89-$BW340)</f>
        <v>#N/A</v>
      </c>
      <c r="BY340" s="140" t="e">
        <f ca="1">IF(AND($AJ340&gt;=30,$AJ340&lt;60),1,IF($BW340&gt;=Control!$C$89,0,$BU340))</f>
        <v>#N/A</v>
      </c>
      <c r="BZ340" s="404" t="e">
        <f ca="1">IF($BY340=0,0,IF($BW340&lt;=Control!$C$89,$BU340*(30+(60-30)*(BX340/Control!$C$89)),0))</f>
        <v>#N/A</v>
      </c>
      <c r="CA340" s="140" t="e">
        <f ca="1">IF($BG340+$BM340+$BS340+$BY340=1,0,IF(OR(AND($BB340&lt;65,$BB340&gt;=60),$BW340&gt;=Control!$C$89),1*$BA340,$CE339))</f>
        <v>#N/A</v>
      </c>
      <c r="CB340" s="140" t="e">
        <f ca="1">IF($BX340&lt;0,-$BX340,$CA340*IF(OR($G340&lt;Control!$C$92,$G340&gt;Control!$C$95),0,IF(AND($G340&gt;=Control!$C$92,$G340&lt;=Control!$C$93),$G340-Control!$C$92,IF(AND($G340&gt;Control!$C$93,$G340&lt;=Control!$C$94),Control!$C$93-Control!$C$92,IF(AND($G340&gt;Control!$C$94,$G340&lt;=Control!$C$95),(Control!$C$93-Control!$C$92)*(Control!$C$94-$G340)/(Control!$C$95-Control!$C$94))))))</f>
        <v>#N/A</v>
      </c>
      <c r="CC340" s="140" t="e">
        <f t="shared" ca="1" si="1293"/>
        <v>#N/A</v>
      </c>
      <c r="CD340" s="140" t="e">
        <f ca="1">IF($CC340&lt;=Control!$C$90,$CC340,Control!$C$90-$CC340)</f>
        <v>#N/A</v>
      </c>
      <c r="CE340" s="140" t="e">
        <f ca="1">IF(AND($BB340&gt;=60,$BB340&lt;65),1,IF($CC340&gt;=Control!$C$90,0,$CA340))</f>
        <v>#N/A</v>
      </c>
      <c r="CF340" s="404" t="e">
        <f ca="1">IF($CE340=0,0,IF($CC340&lt;=Control!$C$90,$CA340*(60+(65-60)*(CD340/Control!$C$90)),0))</f>
        <v>#N/A</v>
      </c>
      <c r="CG340" s="140" t="e">
        <f ca="1">IF($BG340+$BM340+$BS340+$BY340+$CE340=1,0,IF(OR(AND($BB340&lt;90,$BB340&gt;=65),$CC340&gt;=Control!$C$90),$BA340,$CK339))</f>
        <v>#N/A</v>
      </c>
      <c r="CH340" s="140" t="e">
        <f ca="1">IF($CD340&lt;0,-$CD340,$CG340*IF(OR($G340&lt;Control!$C$92,$G340&gt;Control!$C$95),0,IF(AND($G340&gt;=Control!$C$92,$G340&lt;=Control!$C$93),$G340-Control!$C$92,IF(AND($G340&gt;Control!$C$93,$G340&lt;=Control!$C$94),Control!$C$93-Control!$C$92,IF(AND($G340&gt;Control!$C$94,$G340&lt;=Control!$C$95),(Control!$C$93-Control!$C$92)*(Control!$C$94-$G340)/(Control!$C$95-Control!$C$94))))))</f>
        <v>#N/A</v>
      </c>
      <c r="CI340" s="140" t="e">
        <f t="shared" ca="1" si="1294"/>
        <v>#N/A</v>
      </c>
      <c r="CJ340" s="140" t="e">
        <f ca="1">IF($CI340&lt;=Control!$C$91,$CI340,Control!$C$91-$CI340)</f>
        <v>#N/A</v>
      </c>
      <c r="CK340" s="140" t="e">
        <f ca="1">IF(AND($BB340&gt;=65,$BB340&lt;90),1,IF($CI340&gt;=Control!$C$91,0,$CG340))</f>
        <v>#N/A</v>
      </c>
      <c r="CL340" s="404" t="e">
        <f ca="1">IF($CK340=0,0,IF($CI340&lt;=Control!$C$91,$CG340*(65+(90-65)*($CJ340/Control!$C$91)),0))</f>
        <v>#N/A</v>
      </c>
      <c r="CM340" s="140" t="e">
        <f ca="1">IF($BG340+$BM340+$BS340+$BY340+$CE340+$CK340=1,0,IF(OR($BB340&gt;=90,$CI340&gt;=Control!$C$91),$BA340,$CM339))</f>
        <v>#N/A</v>
      </c>
      <c r="CN340" s="140" t="e">
        <f t="shared" ca="1" si="1295"/>
        <v>#N/A</v>
      </c>
      <c r="CO340" s="140" t="e">
        <f t="shared" ca="1" si="1296"/>
        <v>#N/A</v>
      </c>
      <c r="CP340" s="140" t="e">
        <f t="shared" ca="1" si="1297"/>
        <v>#N/A</v>
      </c>
      <c r="CQ340" s="141" t="e">
        <f ca="1">VLOOKUP($CP340,Control!$B$86:$G$91,6)</f>
        <v>#N/A</v>
      </c>
      <c r="CR340" s="141" t="e">
        <f ca="1">(1-$CQ340)*VLOOKUP($CP340,Control!$B$86:$D$91,3)</f>
        <v>#N/A</v>
      </c>
      <c r="CS340" s="141" t="e">
        <f ca="1">(1-$CQ340)*VLOOKUP($CP340,Control!$B$86:$E$91,4)</f>
        <v>#N/A</v>
      </c>
      <c r="CT340" s="141" t="e">
        <f ca="1">(1-$CQ340)*VLOOKUP($CP340,Control!$B$86:$F$91,5)</f>
        <v>#N/A</v>
      </c>
      <c r="CU340" s="141">
        <f t="shared" ca="1" si="1298"/>
        <v>0</v>
      </c>
      <c r="CV340" s="583">
        <f t="shared" ca="1" si="1299"/>
        <v>0</v>
      </c>
      <c r="CW340" s="142">
        <f t="shared" ca="1" si="1300"/>
        <v>336</v>
      </c>
      <c r="CX340" s="612" t="e">
        <f ca="1">IF(Control!$C$114=1,(MIN(Control!$C$120*(IF($NT340-0.01&lt;0,0,1)),Control!$C$119-$CY340)))</f>
        <v>#DIV/0!</v>
      </c>
      <c r="CY340" s="143" t="e">
        <f t="shared" ca="1" si="1301"/>
        <v>#N/A</v>
      </c>
      <c r="CZ340" s="144">
        <f t="shared" ca="1" si="1177"/>
        <v>0</v>
      </c>
      <c r="DA340" s="144">
        <f t="shared" ca="1" si="1178"/>
        <v>0</v>
      </c>
      <c r="DB340" s="144" t="e">
        <f t="shared" ca="1" si="1179"/>
        <v>#N/A</v>
      </c>
      <c r="DC340" s="144" t="e">
        <f t="shared" ca="1" si="1180"/>
        <v>#N/A</v>
      </c>
      <c r="DD340" s="144" t="e">
        <f t="shared" ca="1" si="1386"/>
        <v>#N/A</v>
      </c>
      <c r="DE340" s="143" t="e">
        <f t="shared" ca="1" si="1302"/>
        <v>#N/A</v>
      </c>
      <c r="DF340" s="145" t="e">
        <f ca="1">$DR340*EXP(-Control!$C$158*(1-$KH340))</f>
        <v>#N/A</v>
      </c>
      <c r="DG340" s="146" t="e">
        <f ca="1">IF(Control!$C$114=1, $DF340*$EY340, 0)</f>
        <v>#N/A</v>
      </c>
      <c r="DH340" s="147" t="e">
        <f t="shared" ca="1" si="1303"/>
        <v>#N/A</v>
      </c>
      <c r="DI340" s="144" t="e">
        <f t="shared" ca="1" si="1364"/>
        <v>#N/A</v>
      </c>
      <c r="DJ340" s="147" t="e">
        <f ca="1">$EF340*Control!$C$109</f>
        <v>#N/A</v>
      </c>
      <c r="DK340" s="144" t="e">
        <f t="shared" ca="1" si="1304"/>
        <v>#N/A</v>
      </c>
      <c r="DL340" s="144" t="e">
        <f t="shared" ca="1" si="1181"/>
        <v>#N/A</v>
      </c>
      <c r="DM340" s="144" t="e">
        <f ca="1">IF(Control!$C$114=1, (1-EXP(-Control!$C$96*$DK340))*$AR340, 0)</f>
        <v>#N/A</v>
      </c>
      <c r="DN340" s="144">
        <f t="shared" ca="1" si="1305"/>
        <v>0</v>
      </c>
      <c r="DO340" s="148">
        <f>Control!$C$97</f>
        <v>4</v>
      </c>
      <c r="DP340" s="145" t="e">
        <f t="shared" ca="1" si="1306"/>
        <v>#N/A</v>
      </c>
      <c r="DQ340" s="145" t="e">
        <f ca="1">IF(AND($CP340&gt;=0,$CP340&lt;=90),Control!$C$111,Control!$C$111)</f>
        <v>#N/A</v>
      </c>
      <c r="DR340" s="145" t="e">
        <f t="shared" ca="1" si="1182"/>
        <v>#N/A</v>
      </c>
      <c r="DS340" s="143" t="e">
        <f ca="1">Control!$B$22/$DR340</f>
        <v>#N/A</v>
      </c>
      <c r="DT340" s="149" t="e">
        <f ca="1">IF(AND(Control!$C$114=1,$KH340&lt;1),$IM340*$DF340, 0)</f>
        <v>#N/A</v>
      </c>
      <c r="DU340" s="144" t="e">
        <f t="shared" ca="1" si="1307"/>
        <v>#N/A</v>
      </c>
      <c r="DV340" s="144">
        <f ca="1">IF($G340-Control!$C$107&lt;=0, 0, 0.83*LN(MAX($G340, 3))-0.8924)</f>
        <v>0</v>
      </c>
      <c r="DW340" s="144" t="e">
        <f t="shared" ca="1" si="1183"/>
        <v>#N/A</v>
      </c>
      <c r="DX340" s="150" t="e">
        <f ca="1">MAX(0.01*(1+$CU340/Control!$C$102),0.05*($DK340-Control!$C$97)/Control!$C$97)</f>
        <v>#N/A</v>
      </c>
      <c r="DY340" s="151" t="e">
        <f ca="1">IF(Control!$C$114=1, $DI340*$FS340, 0)</f>
        <v>#N/A</v>
      </c>
      <c r="DZ340" s="196" t="e">
        <f t="shared" ca="1" si="1308"/>
        <v>#N/A</v>
      </c>
      <c r="EA340" s="152">
        <f t="shared" ca="1" si="1309"/>
        <v>336</v>
      </c>
      <c r="EB340" s="153" t="e">
        <f t="shared" ca="1" si="1310"/>
        <v>#N/A</v>
      </c>
      <c r="EC340" s="153" t="e">
        <f t="shared" ca="1" si="1311"/>
        <v>#N/A</v>
      </c>
      <c r="ED340" s="154" t="e">
        <f ca="1">IF(Control!$C$114=1, $HM340*$FY340-$FD340, 0)</f>
        <v>#DIV/0!</v>
      </c>
      <c r="EE340" s="155" t="e">
        <f ca="1">IF(Control!$C$114=1, $HM340*$FZ340-$FF340, 0)</f>
        <v>#DIV/0!</v>
      </c>
      <c r="EF340" s="153" t="e">
        <f t="shared" ca="1" si="1365"/>
        <v>#N/A</v>
      </c>
      <c r="EG340" s="155" t="e">
        <f ca="1">IF(Control!$C$114=1, $GX340*$FW340-$FI340, 0)</f>
        <v>#DIV/0!</v>
      </c>
      <c r="EH340" s="153" t="e">
        <f t="shared" ca="1" si="1312"/>
        <v>#N/A</v>
      </c>
      <c r="EI340" s="156" t="e">
        <f t="shared" ca="1" si="1313"/>
        <v>#N/A</v>
      </c>
      <c r="EJ340" s="155" t="e">
        <f ca="1">IF(Control!$C$114=1, $HM340*$GB340, 0)</f>
        <v>#DIV/0!</v>
      </c>
      <c r="EK340" s="153" t="e">
        <f t="shared" ca="1" si="1366"/>
        <v>#N/A</v>
      </c>
      <c r="EL340" s="153" t="e">
        <f t="shared" ca="1" si="1184"/>
        <v>#N/A</v>
      </c>
      <c r="EM340" s="153" t="e">
        <f t="shared" ca="1" si="1185"/>
        <v>#N/A</v>
      </c>
      <c r="EN340" s="153" t="e">
        <f ca="1">IF(Control!$C$108=1,IF(AND(Control!$B$18=1,$EB340&gt;=Control!$B$19),$EB340-$DS340,IF(AND(Control!$B$18=2,$AW340=1,$EB340&gt;$DS340),$EB340-$DS340,0)))</f>
        <v>#N/A</v>
      </c>
      <c r="EO340" s="153" t="e">
        <f ca="1">IF(Control!$C$108=1,IF(AND(Control!$B$18=1,$EB340&gt;=Control!$B$19),$EF340,IF(AND(Control!$B$18=2,$AW340=1),$EF340,0)))</f>
        <v>#N/A</v>
      </c>
      <c r="EP340" s="153" t="e">
        <f ca="1">IF(Control!$C$108=1,IF(AND(Control!$B$18=1,$EB340&gt;=Control!$B$19),$EK340,IF(AND(Control!$B$18=2,$AW340=1),$EK340,0)))</f>
        <v>#N/A</v>
      </c>
      <c r="EQ340" s="153" t="e">
        <f t="shared" ca="1" si="1314"/>
        <v>#N/A</v>
      </c>
      <c r="ER340" s="153" t="e">
        <f t="shared" ca="1" si="1315"/>
        <v>#N/A</v>
      </c>
      <c r="ES340" s="153" t="e">
        <f t="shared" ca="1" si="1367"/>
        <v>#N/A</v>
      </c>
      <c r="ET340" s="153" t="e">
        <f t="shared" ca="1" si="1368"/>
        <v>#N/A</v>
      </c>
      <c r="EU340" s="153" t="e">
        <f t="shared" ca="1" si="1316"/>
        <v>#N/A</v>
      </c>
      <c r="EV340" s="153" t="e">
        <f t="shared" ca="1" si="1186"/>
        <v>#N/A</v>
      </c>
      <c r="EW340" s="153" t="e">
        <f t="shared" ca="1" si="1187"/>
        <v>#N/A</v>
      </c>
      <c r="EX340" s="153" t="e">
        <f t="shared" ca="1" si="1188"/>
        <v>#N/A</v>
      </c>
      <c r="EY340" s="157" t="e">
        <f t="shared" ca="1" si="1189"/>
        <v>#DIV/0!</v>
      </c>
      <c r="EZ340" s="154" t="e">
        <f t="shared" ca="1" si="1190"/>
        <v>#DIV/0!</v>
      </c>
      <c r="FA340" s="153" t="e">
        <f t="shared" ca="1" si="1317"/>
        <v>#N/A</v>
      </c>
      <c r="FB340" s="153" t="e">
        <f t="shared" ca="1" si="1191"/>
        <v>#N/A</v>
      </c>
      <c r="FC340" s="193" t="e">
        <f t="shared" ca="1" si="1192"/>
        <v>#N/A</v>
      </c>
      <c r="FD340" s="158" t="e">
        <f t="shared" ca="1" si="1318"/>
        <v>#N/A</v>
      </c>
      <c r="FE340" s="158" t="e">
        <f t="shared" ca="1" si="1319"/>
        <v>#N/A</v>
      </c>
      <c r="FF340" s="159" t="e">
        <f t="shared" ca="1" si="1193"/>
        <v>#N/A</v>
      </c>
      <c r="FG340" s="160" t="e">
        <f t="shared" ca="1" si="1320"/>
        <v>#N/A</v>
      </c>
      <c r="FH340" s="158" t="e">
        <f t="shared" ca="1" si="1321"/>
        <v>#N/A</v>
      </c>
      <c r="FI340" s="159" t="e">
        <f t="shared" ca="1" si="1194"/>
        <v>#N/A</v>
      </c>
      <c r="FJ340" s="160" t="e">
        <f t="shared" ca="1" si="1322"/>
        <v>#N/A</v>
      </c>
      <c r="FK340" s="160" t="e">
        <f t="shared" ca="1" si="1195"/>
        <v>#N/A</v>
      </c>
      <c r="FL340" s="160" t="e">
        <f t="shared" ca="1" si="1369"/>
        <v>#N/A</v>
      </c>
      <c r="FM340" s="160" t="e">
        <f t="shared" ca="1" si="1196"/>
        <v>#N/A</v>
      </c>
      <c r="FN340" s="158">
        <f t="shared" ca="1" si="1323"/>
        <v>0.01</v>
      </c>
      <c r="FO340" s="160">
        <f>Control!$C$101</f>
        <v>50</v>
      </c>
      <c r="FP340" s="150" t="e">
        <f t="shared" ca="1" si="1197"/>
        <v>#N/A</v>
      </c>
      <c r="FQ340" s="150" t="e">
        <f ca="1">MAX(0,(Control!$C$112*(($DK340-Control!$C$97)/Control!$C$97)))</f>
        <v>#N/A</v>
      </c>
      <c r="FR340" s="150" t="e">
        <f ca="1">(1-$NT340)*Control!$C$113</f>
        <v>#DIV/0!</v>
      </c>
      <c r="FS340" s="198" t="e">
        <f t="shared" ca="1" si="1198"/>
        <v>#N/A</v>
      </c>
      <c r="FT340" s="161">
        <f t="shared" ca="1" si="1324"/>
        <v>336</v>
      </c>
      <c r="FU340" s="162" t="e">
        <f ca="1">IF(Control!$B$34=1,VLOOKUP($CP340,Control!$B$86:$G$91,6),Control!$B$35)</f>
        <v>#N/A</v>
      </c>
      <c r="FV340" s="162" t="e">
        <f t="shared" ca="1" si="1199"/>
        <v>#DIV/0!</v>
      </c>
      <c r="FW340" s="162" t="e">
        <f ca="1">IF(Control!$B$31=1,$FU340*$FV340,  $FU340)</f>
        <v>#N/A</v>
      </c>
      <c r="FX340" s="162" t="e">
        <f ca="1">IF(Control!$B$34=1,VLOOKUP($CP340,Control!$B$86:$G$91,3),Control!$B$36)</f>
        <v>#N/A</v>
      </c>
      <c r="FY340" s="162" t="e">
        <f t="shared" ca="1" si="1200"/>
        <v>#N/A</v>
      </c>
      <c r="FZ340" s="162" t="e">
        <f ca="1">IF(Control!$B$34=1,VLOOKUP($CP340,Control!$B$86:$G$91,4),Control!$B$37)</f>
        <v>#N/A</v>
      </c>
      <c r="GA340" s="162" t="e">
        <f t="shared" ca="1" si="1201"/>
        <v>#N/A</v>
      </c>
      <c r="GB340" s="162" t="e">
        <f ca="1">IF(Control!$B$34=1,VLOOKUP($CP340,Control!$B$86:$G$91,5),Control!$B$38)</f>
        <v>#N/A</v>
      </c>
      <c r="GC340" s="162" t="e">
        <f t="shared" ca="1" si="1325"/>
        <v>#N/A</v>
      </c>
      <c r="GD340" s="162">
        <f t="shared" ca="1" si="1202"/>
        <v>1</v>
      </c>
      <c r="GE340" s="162">
        <f t="shared" ca="1" si="1203"/>
        <v>1</v>
      </c>
      <c r="GF340" s="162">
        <f ca="1">IF(AND(Control!$C$104=1, Control!$C$62="F"),$GE340,1)</f>
        <v>1</v>
      </c>
      <c r="GG340" s="162" t="e">
        <f ca="1">IF(Control!$B$16=40,0,IF(AND(Control!$B$16&gt;40,Control!$B$16&lt;=360),(Control!$B$16-40)*((1-0)/(360-40)),IF(AND(Control!$B$16&gt;360,Control!$B$16&lt;=720),(1+(Control!$B$16-360)*((1.25-1)/(720-360))),IF(AND(Control!$B$16&gt;720,Control!$B$16&lt;=1000),(1.25+(Control!$B$16-720)*((1.35-1.25)/(1000-720))),IF(AND(Control!$B$16&gt;1000,Control!$B$16&lt;=2000),(1.35+(Control!$B$16-1000)*0))))))</f>
        <v>#N/A</v>
      </c>
      <c r="GH340" s="162" t="e">
        <f t="shared" ca="1" si="1204"/>
        <v>#N/A</v>
      </c>
      <c r="GI340" s="162">
        <f t="shared" ca="1" si="1326"/>
        <v>0</v>
      </c>
      <c r="GJ340" s="162">
        <f t="shared" ca="1" si="1205"/>
        <v>0</v>
      </c>
      <c r="GK340" s="162">
        <f t="shared" ca="1" si="1327"/>
        <v>1</v>
      </c>
      <c r="GL340" s="162">
        <f t="shared" ca="1" si="1206"/>
        <v>1</v>
      </c>
      <c r="GM340" s="162" t="e">
        <f ca="1">MAX(0,MIN(1,1-Control!$C$156*(1.0001-$KH340)^2))</f>
        <v>#N/A</v>
      </c>
      <c r="GN340" s="162" t="e">
        <f ca="1">IF(Control!$B$26=1,$KU340,$KX340)</f>
        <v>#N/A</v>
      </c>
      <c r="GO340" s="162" t="e">
        <f ca="1">IF($CP340&lt;=60,Control!$C$105,IF($CP340&gt;=90,Control!$C$106,Control!$C$105+($CP340-60)*((Control!$C$106-Control!$C$105)/(90-60))))</f>
        <v>#N/A</v>
      </c>
      <c r="GP340" s="162" t="e">
        <f t="shared" ca="1" si="1207"/>
        <v>#N/A</v>
      </c>
      <c r="GQ340" s="162" t="e">
        <f t="shared" ca="1" si="1328"/>
        <v>#N/A</v>
      </c>
      <c r="GR340" s="163" t="e">
        <f t="shared" ca="1" si="1208"/>
        <v>#DIV/0!</v>
      </c>
      <c r="GS340" s="162" t="e">
        <f t="shared" ca="1" si="1209"/>
        <v>#DIV/0!</v>
      </c>
      <c r="GT340" s="164" t="e">
        <f t="shared" ca="1" si="1329"/>
        <v>#N/A</v>
      </c>
      <c r="GU340" s="162" t="e">
        <f t="shared" ca="1" si="1330"/>
        <v>#N/A</v>
      </c>
      <c r="GV340" s="162" t="e">
        <f t="shared" ca="1" si="1210"/>
        <v>#N/A</v>
      </c>
      <c r="GW340" s="162" t="e">
        <f t="shared" ca="1" si="1211"/>
        <v>#DIV/0!</v>
      </c>
      <c r="GX340" s="162" t="e">
        <f t="shared" ca="1" si="1331"/>
        <v>#DIV/0!</v>
      </c>
      <c r="GY340" s="162" t="e">
        <f t="shared" ca="1" si="1332"/>
        <v>#DIV/0!</v>
      </c>
      <c r="GZ340" s="165" t="e">
        <f t="shared" ca="1" si="1212"/>
        <v>#N/A</v>
      </c>
      <c r="HA340" s="162" t="e">
        <f ca="1">IF(Control!$C$114=1, $DI340*$FS340, 0)</f>
        <v>#N/A</v>
      </c>
      <c r="HB340" s="162" t="e">
        <f ca="1">$FA340/Control!$C$64</f>
        <v>#N/A</v>
      </c>
      <c r="HC340" s="162" t="e">
        <f t="shared" ca="1" si="1213"/>
        <v>#DIV/0!</v>
      </c>
      <c r="HD340" s="162">
        <f ca="1">-ASIN(SIN(23.45*Control!$C$139)*COS(2*Control!$C$138*($AH340+10)/365))</f>
        <v>-0.38639871122650277</v>
      </c>
      <c r="HE340" s="165">
        <f t="shared" ca="1" si="1333"/>
        <v>0</v>
      </c>
      <c r="HF340" s="166">
        <f ca="1">IF(AND(Control!$C$61="T",$HE340&gt;=Control!$C$103,Control!$C$114=0),$AH340,Control!$C$59)</f>
        <v>1</v>
      </c>
      <c r="HG340" s="166">
        <f ca="1">IF(AND(Control!$C$61="T",$HE340&gt;=Control!$C$103,Control!$C$114=0),$HF340,Control!$C$59)</f>
        <v>1</v>
      </c>
      <c r="HH340" s="165">
        <f ca="1">IF(AND(OR(Control!$C$60&lt;=0, $AH340= Control!$C$59, Control!$C$60 &gt;0, $AH340 = Control!$C$60)), Control!$C$59, IF(Control!$C$60&gt;0, 0))</f>
        <v>1</v>
      </c>
      <c r="HI340" s="165">
        <f ca="1">IF(AND(OR(Control!$C$60&lt;=0, $AH340= Control!$C$59, Control!$C$60 &gt;0, $AH340 = Control!$C$60)), Control!$C$60, IF(Control!$C$60&lt;=0, 0))</f>
        <v>0</v>
      </c>
      <c r="HJ340" s="166">
        <f ca="1">IF(AND(Control!$C$62="F",$CV340&gt;=Control!$C$102),$AH340,0)</f>
        <v>0</v>
      </c>
      <c r="HK340" s="165" t="e">
        <f t="shared" ca="1" si="1370"/>
        <v>#N/A</v>
      </c>
      <c r="HL340" s="166">
        <f ca="1">IF(AND(Control!$C$61="T",$HE340&gt;=Control!$C$103,Control!$C$114=0),$HF340,0)</f>
        <v>0</v>
      </c>
      <c r="HM340" s="201" t="e">
        <f t="shared" ca="1" si="1214"/>
        <v>#DIV/0!</v>
      </c>
      <c r="HN340" s="215">
        <f t="shared" ca="1" si="1334"/>
        <v>336</v>
      </c>
      <c r="HO340" s="216" t="e">
        <f ca="1">IF(AND($CP340&gt;=0, $CP340&lt;=90), Control!$C$152, Control!$C$152)</f>
        <v>#N/A</v>
      </c>
      <c r="HP340" s="216" t="e">
        <f t="shared" ca="1" si="1215"/>
        <v>#N/A</v>
      </c>
      <c r="HQ340" s="217" t="e">
        <f ca="1">IF(OR(Control!$B$26=1,Control!$B$26=2),$KV340,$KS340)</f>
        <v>#DIV/0!</v>
      </c>
      <c r="HR340" s="218" t="e">
        <f t="shared" ca="1" si="1371"/>
        <v>#DIV/0!</v>
      </c>
      <c r="HS340" s="216" t="e">
        <f ca="1">Control!$C$154*$HP340</f>
        <v>#N/A</v>
      </c>
      <c r="HT340" s="216" t="e">
        <f ca="1">Control!$C$155*$HP340</f>
        <v>#N/A</v>
      </c>
      <c r="HU340" s="217" t="e">
        <f ca="1">Control!$C$161*$FI340</f>
        <v>#N/A</v>
      </c>
      <c r="HV340" s="218" t="e">
        <f t="shared" ca="1" si="1335"/>
        <v>#N/A</v>
      </c>
      <c r="HW340" s="218" t="e">
        <f ca="1">Control!$C$160*$FF340+$IP340*$EO340</f>
        <v>#N/A</v>
      </c>
      <c r="HX340" s="218" t="e">
        <f t="shared" ca="1" si="1372"/>
        <v>#N/A</v>
      </c>
      <c r="HY340" s="219" t="e">
        <f ca="1">IF(Control!$C$114=1, $EB340*$FS340, 0)</f>
        <v>#N/A</v>
      </c>
      <c r="HZ340" s="91" t="e">
        <f t="shared" ca="1" si="1216"/>
        <v>#N/A</v>
      </c>
      <c r="IA340" s="220" t="e">
        <f ca="1">Control!$C$153*$HO340</f>
        <v>#N/A</v>
      </c>
      <c r="IB340" s="218" t="e">
        <f t="shared" ca="1" si="1217"/>
        <v>#N/A</v>
      </c>
      <c r="IC340" s="220" t="e">
        <f ca="1">Control!$C$153*$HT340</f>
        <v>#N/A</v>
      </c>
      <c r="ID340" s="218" t="e">
        <f t="shared" ca="1" si="1218"/>
        <v>#N/A</v>
      </c>
      <c r="IE340" s="221" t="e">
        <f ca="1">($EB340*Control!$C$159+$EF340*Control!$C$160)/(IF($GZ340&lt;&gt;0,$GZ340,1))</f>
        <v>#N/A</v>
      </c>
      <c r="IF340" s="216" t="e">
        <f t="shared" ca="1" si="1219"/>
        <v>#N/A</v>
      </c>
      <c r="IG340" s="91">
        <f ca="1">IF(OR(Control!$B$198=$AH340,Control!$B$199=$AH340, Control!$B$200=$AH340, Control!$B$201=$AH340, Control!$B$202=$AH340, Control!$B$203=$AH340, Control!$B$204=$AH340, Control!$B$205=$AH340, Control!$B$206=$AH340, Control!$B$207=$AH340), 1, 0)</f>
        <v>0</v>
      </c>
      <c r="IH340" s="91">
        <f ca="1">IF($IG340=0,0, VLOOKUP($AH340,Control!$B$198:$C$207,2))</f>
        <v>0</v>
      </c>
      <c r="II340" s="222">
        <f t="shared" ca="1" si="1336"/>
        <v>0</v>
      </c>
      <c r="IJ340" s="91">
        <f>Control!$C$121</f>
        <v>0.7</v>
      </c>
      <c r="IK340" s="218">
        <f t="shared" ca="1" si="1220"/>
        <v>0</v>
      </c>
      <c r="IL340" s="217" t="e">
        <f t="shared" ca="1" si="1373"/>
        <v>#N/A</v>
      </c>
      <c r="IM340" s="223" t="e">
        <f ca="1">IF(AND(Control!$C$114=1,$KH340&lt;1),$EB340*Control!$C$148*(1-$KH340), 0)</f>
        <v>#N/A</v>
      </c>
      <c r="IN340" s="217" t="e">
        <f t="shared" ca="1" si="1221"/>
        <v>#DIV/0!</v>
      </c>
      <c r="IO340" s="91" t="e">
        <f ca="1">MAX(0,$IL340-$EF340*Control!$C$160)</f>
        <v>#N/A</v>
      </c>
      <c r="IP340" s="220" t="e">
        <f t="shared" ca="1" si="1222"/>
        <v>#N/A</v>
      </c>
      <c r="IQ340" s="217" t="e">
        <f t="shared" ca="1" si="1337"/>
        <v>#N/A</v>
      </c>
      <c r="IR340" s="218" t="e">
        <f t="shared" ca="1" si="1223"/>
        <v>#N/A</v>
      </c>
      <c r="IS340" s="217" t="e">
        <f ca="1">Control!$C$159*MAX(0,$FD340-$EN340)</f>
        <v>#N/A</v>
      </c>
      <c r="IT340" s="217" t="e">
        <f t="shared" ca="1" si="1374"/>
        <v>#N/A</v>
      </c>
      <c r="IU340" s="217" t="e">
        <f t="shared" ca="1" si="1338"/>
        <v>#N/A</v>
      </c>
      <c r="IV340" s="217" t="e">
        <f t="shared" ca="1" si="1375"/>
        <v>#N/A</v>
      </c>
      <c r="IW340" s="217" t="e">
        <f ca="1">IF(OR($AW340=1,AND($AW340=0, Control!$B$18=1,$EN340&lt;&gt;0)), $IQ340-$IU340, $IQ340)</f>
        <v>#N/A</v>
      </c>
      <c r="IX340" s="218" t="e">
        <f t="shared" ca="1" si="1224"/>
        <v>#N/A</v>
      </c>
      <c r="IY340" s="218" t="e">
        <f ca="1">MAX(0,$IQ340-$EB340*Control!$C$159)</f>
        <v>#N/A</v>
      </c>
      <c r="IZ340" s="218" t="e">
        <f t="shared" ca="1" si="1225"/>
        <v>#N/A</v>
      </c>
      <c r="JA340" s="216" t="e">
        <f t="shared" ca="1" si="1226"/>
        <v>#N/A</v>
      </c>
      <c r="JB340" s="217" t="e">
        <f t="shared" ca="1" si="1227"/>
        <v>#N/A</v>
      </c>
      <c r="JC340" s="222" t="e">
        <f ca="1">MAX(Control!$C$157*$EK340-$JT340, 0)/Control!$C$162</f>
        <v>#N/A</v>
      </c>
      <c r="JD340" s="218" t="e">
        <f t="shared" ca="1" si="1228"/>
        <v>#N/A</v>
      </c>
      <c r="JE340" s="218" t="e">
        <f t="shared" ca="1" si="1229"/>
        <v>#N/A</v>
      </c>
      <c r="JF340" s="218" t="e">
        <f t="shared" ca="1" si="1339"/>
        <v>#N/A</v>
      </c>
      <c r="JG340" s="218" t="e">
        <f t="shared" ca="1" si="1230"/>
        <v>#N/A</v>
      </c>
      <c r="JH340" s="217" t="e">
        <f t="shared" ca="1" si="1340"/>
        <v>#N/A</v>
      </c>
      <c r="JI340" s="217" t="e">
        <f t="shared" ca="1" si="1341"/>
        <v>#N/A</v>
      </c>
      <c r="JJ340" s="217" t="e">
        <f t="shared" ca="1" si="1376"/>
        <v>#N/A</v>
      </c>
      <c r="JK340" s="217" t="e">
        <f ca="1">IF(Control!$C$114=1,IF(Control!$B$24=0,MAX(0,$JI340)*$GN340/Control!$C$64,(MAX(0,MIN($JI340,$JJ340*$GN340/Control!$C$64),0))))</f>
        <v>#N/A</v>
      </c>
      <c r="JL340" s="217" t="e">
        <f ca="1">$IK340/Control!$C$64-$JK340+$HQ340</f>
        <v>#N/A</v>
      </c>
      <c r="JM340" s="217" t="e">
        <f ca="1">IF(Control!$C$114=1,($JB340/(IF($JI340&lt;&gt;0,$JI340,1)))*$JK340,0)</f>
        <v>#N/A</v>
      </c>
      <c r="JN340" s="217" t="e">
        <f ca="1">IF(Control!$C$114=1,($JG340/(IF($JI340&lt;&gt;0,$JI340,1)))*$JK340, 0)</f>
        <v>#N/A</v>
      </c>
      <c r="JO340" s="218" t="e">
        <f t="shared" ca="1" si="1231"/>
        <v>#N/A</v>
      </c>
      <c r="JP340" s="218" t="e">
        <f ca="1">MIN(($IY340+$IO340)*Control!$C$151, $JF340-$EH340*Control!$C$161)</f>
        <v>#N/A</v>
      </c>
      <c r="JQ340" s="218" t="e">
        <f t="shared" ca="1" si="1232"/>
        <v>#N/A</v>
      </c>
      <c r="JR340" s="217" t="e">
        <f ca="1">IF($CP340-Control!$C$150&lt;0, 0, $JQ340/Control!$C$162)</f>
        <v>#N/A</v>
      </c>
      <c r="JS340" s="218" t="e">
        <f t="shared" ca="1" si="1233"/>
        <v>#N/A</v>
      </c>
      <c r="JT340" s="218" t="e">
        <f t="shared" ca="1" si="1342"/>
        <v>#N/A</v>
      </c>
      <c r="JU340" s="218" t="e">
        <f t="shared" ca="1" si="1234"/>
        <v>#N/A</v>
      </c>
      <c r="JV340" s="218" t="e">
        <f t="shared" ca="1" si="1235"/>
        <v>#N/A</v>
      </c>
      <c r="JW340" s="216" t="e">
        <f t="shared" ca="1" si="1236"/>
        <v>#N/A</v>
      </c>
      <c r="JX340" s="91" t="e">
        <f t="shared" ca="1" si="1237"/>
        <v>#N/A</v>
      </c>
      <c r="JY340" s="218" t="e">
        <f t="shared" ca="1" si="1238"/>
        <v>#N/A</v>
      </c>
      <c r="JZ340" s="217" t="e">
        <f ca="1">IF(Control!$C$114=1,($IZ340/(IF($JI340&lt;&gt;0,$JI340,1)))*$JK340, 0)</f>
        <v>#N/A</v>
      </c>
      <c r="KA340" s="218" t="e">
        <f t="shared" ca="1" si="1377"/>
        <v>#N/A</v>
      </c>
      <c r="KB340" s="218" t="e">
        <f t="shared" ca="1" si="1343"/>
        <v>#N/A</v>
      </c>
      <c r="KC340" s="218" t="e">
        <f t="shared" ca="1" si="1239"/>
        <v>#N/A</v>
      </c>
      <c r="KD340" s="218" t="e">
        <f t="shared" ca="1" si="1240"/>
        <v>#N/A</v>
      </c>
      <c r="KE340" s="218" t="e">
        <f t="shared" ca="1" si="1241"/>
        <v>#N/A</v>
      </c>
      <c r="KF340" s="218" t="e">
        <f t="shared" ca="1" si="1242"/>
        <v>#N/A</v>
      </c>
      <c r="KG340" s="216" t="e">
        <f t="shared" ca="1" si="1243"/>
        <v>#N/A</v>
      </c>
      <c r="KH340" s="221" t="e">
        <f ca="1">IF(Control!$B$24=0,1,MAX(0.001,MIN(1,IF(($IF340-$IE340)&lt;&gt;0,($KG340-$IE340)/($IF340-$IE340),1))))</f>
        <v>#N/A</v>
      </c>
      <c r="KI340" s="222" t="e">
        <f ca="1">IF(Control!$C$114=1, $KI339+ $KH339, 0)</f>
        <v>#N/A</v>
      </c>
      <c r="KJ340" s="217" t="e">
        <f t="shared" ca="1" si="1244"/>
        <v>#N/A</v>
      </c>
      <c r="KK340" s="218" t="e">
        <f t="shared" ca="1" si="1245"/>
        <v>#N/A</v>
      </c>
      <c r="KL340" s="274" t="e">
        <f ca="1">IF(Control!$B$26=3,4000000000*EXP(-8400/($G340+273)),IF(Control!$B$26=4,4000000000*EXP(-8400/($G340+273))*($KT340),0))</f>
        <v>#DIV/0!</v>
      </c>
      <c r="KM340" s="274" t="e">
        <f ca="1">IF(Control!$B$26=3,5600000000000*EXP(-9800/($G340+273)),IF(Control!$B$26=4,5600000000000*EXP(-9800/($G340+273))*$KT340,0))</f>
        <v>#DIV/0!</v>
      </c>
      <c r="KN340" s="454" t="e">
        <f t="shared" ca="1" si="1344"/>
        <v>#DIV/0!</v>
      </c>
      <c r="KO340" s="274" t="e">
        <f t="shared" ca="1" si="1345"/>
        <v>#DIV/0!</v>
      </c>
      <c r="KP340" s="454" t="e">
        <f t="shared" ca="1" si="1246"/>
        <v>#DIV/0!</v>
      </c>
      <c r="KQ340" s="454" t="e">
        <f t="shared" ca="1" si="1247"/>
        <v>#DIV/0!</v>
      </c>
      <c r="KR340" s="454" t="e">
        <f t="shared" ca="1" si="1248"/>
        <v>#DIV/0!</v>
      </c>
      <c r="KS340" s="454" t="e">
        <f t="shared" ca="1" si="1249"/>
        <v>#DIV/0!</v>
      </c>
      <c r="KT340" s="455" t="e">
        <f t="shared" ca="1" si="1250"/>
        <v>#DIV/0!</v>
      </c>
      <c r="KU340" s="456" t="e">
        <f ca="1">IF($CP340-Control!$C$149&lt;0, IF($NT340-0.01&lt;0,0,1),0)</f>
        <v>#N/A</v>
      </c>
      <c r="KV340" s="456" t="e">
        <f ca="1">IF(Control!$C$114=1,MAX(0,MIN(Control!$C$125*$KW340*$GN340,$KW340)))</f>
        <v>#DIV/0!</v>
      </c>
      <c r="KW340" s="456" t="e">
        <f t="shared" ca="1" si="1378"/>
        <v>#DIV/0!</v>
      </c>
      <c r="KX340" s="457" t="e">
        <f ca="1">IF($CP340-Control!$C$149&lt;0, IF($MR340-$OM340&lt;0,0,1),0)</f>
        <v>#N/A</v>
      </c>
      <c r="KY340" s="167">
        <f t="shared" ca="1" si="1346"/>
        <v>336</v>
      </c>
      <c r="KZ340" s="168">
        <f ca="1">1370*(1+0.033*COS(2*Control!$C$138*$AH340/365))</f>
        <v>1409.692868164449</v>
      </c>
      <c r="LA340" s="169">
        <f t="shared" ca="1" si="1347"/>
        <v>1.0289726827951293</v>
      </c>
      <c r="LB340" s="169">
        <f t="shared" ca="1" si="1348"/>
        <v>-0.38844063667040113</v>
      </c>
      <c r="LC340" s="169">
        <f ca="1">ACOS(-TAN((2*Control!$B$8/360))*TAN(Calculations!$LB340))</f>
        <v>1.4488690509055853</v>
      </c>
      <c r="LD340" s="169">
        <f ca="1">((24*60)/PI())*0.082*$LA340*(($LC340*SIN(Control!$B$8*2*PI()/360))*SIN($LB340)+COS(Control!$B$8*2*PI()/360)*COS($LB340)*SIN($LC340))</f>
        <v>5.1492620000433469</v>
      </c>
      <c r="LE340" s="170">
        <f t="shared" ca="1" si="1251"/>
        <v>6.8129654412619782</v>
      </c>
      <c r="LF340" s="170">
        <f ca="1">SIN(Control!$C$139*Control!$B$8)*SIN($HD340)</f>
        <v>-0.29696635770914787</v>
      </c>
      <c r="LG340" s="170">
        <f ca="1">COS(Control!$C$139*Control!$B$8)*COS($HD340)</f>
        <v>0.57026857702727118</v>
      </c>
      <c r="LH340" s="170">
        <f ca="1">12*(1+2*ASIN(MAX(-1,MIN(1,$LF340/$LG340))/Control!$C$138))</f>
        <v>8.0033392088469135</v>
      </c>
      <c r="LI340" s="170">
        <f ca="1">12*(1+2*ASIN(MAX(-1,MIN(1,(-SIN(-4*Control!$C$139)+$LF340)/$LG340))/Control!$C$138))</f>
        <v>8.9480392505364961</v>
      </c>
      <c r="LJ340" s="168">
        <f ca="1">3600*($LH340*$LF340+24*$LG340*SQRT(1-$LK340*$LK340)/Control!$C$138)</f>
        <v>4832.9431148595449</v>
      </c>
      <c r="LK340" s="170">
        <f t="shared" ca="1" si="1252"/>
        <v>-0.52074823981568674</v>
      </c>
      <c r="LL340" s="170">
        <f t="shared" ca="1" si="1253"/>
        <v>0</v>
      </c>
      <c r="LM340" s="171">
        <f ca="1">Control!$C$145*$AB340</f>
        <v>6.6660906138995932E-2</v>
      </c>
      <c r="LN340" s="170">
        <f t="shared" ca="1" si="1349"/>
        <v>0.54</v>
      </c>
      <c r="LO340" s="170">
        <f t="shared" ca="1" si="1254"/>
        <v>0</v>
      </c>
      <c r="LP340" s="170">
        <f ca="1">Control!$C$140*((($D340+273.16)^4+($E340+273.16)^4)/2)*(0.34-0.14*SQRT($Y340))*(1.35*$AQ340/(0.75*$LD340)-0.35)</f>
        <v>-3.2464704755046001</v>
      </c>
      <c r="LQ340" s="170">
        <f ca="1">Control!$C$140*($G340+273)^4*(0.56-0.079*SQRT($Y340*10))*(0.1+0.9*$LO340)</f>
        <v>1.5241745131704001</v>
      </c>
      <c r="LR340" s="170">
        <f ca="1">$AQ340*(1-Control!$C$142)-$LQ340</f>
        <v>-1.5241745131704001</v>
      </c>
      <c r="LS340" s="170">
        <f ca="1">$AQ340*(1-Control!$C$143)-$LQ340</f>
        <v>-1.5241745131704001</v>
      </c>
      <c r="LT340" s="170">
        <f ca="1">$AQ340*(1-Control!$C$144)-$LQ340</f>
        <v>-1.5241745131704001</v>
      </c>
      <c r="LU340" s="169">
        <f ca="1">(1-Control!$C$144)*AQ340-LP340</f>
        <v>3.2464704755046001</v>
      </c>
      <c r="LV340" s="172">
        <f t="shared" ca="1" si="1255"/>
        <v>0.79430000000000012</v>
      </c>
      <c r="LW340" s="170">
        <f t="shared" ca="1" si="1256"/>
        <v>1.5886000000000002</v>
      </c>
      <c r="LX340" s="170">
        <f ca="1">($AC340*($LR340/Control!$C$141)+$LM340*$LV340)/($AC340+$LM340)</f>
        <v>0.23530094218323697</v>
      </c>
      <c r="LY340" s="170">
        <f ca="1">($AC340*($LS340/Control!$C$141)+$LM340*$LV340)/($AC340+$LM340)</f>
        <v>0.23530094218323697</v>
      </c>
      <c r="LZ340" s="170">
        <f t="shared" ca="1" si="1257"/>
        <v>0.23530094218323697</v>
      </c>
      <c r="MA340" s="170">
        <f t="shared" ca="1" si="1258"/>
        <v>0.23530094218323697</v>
      </c>
      <c r="MB340" s="170" t="e">
        <f t="shared" ca="1" si="1259"/>
        <v>#N/A</v>
      </c>
      <c r="MC340" s="170">
        <f t="shared" ca="1" si="1350"/>
        <v>0.6018</v>
      </c>
      <c r="MD340" s="170">
        <f t="shared" ca="1" si="1260"/>
        <v>0.52989392535414004</v>
      </c>
      <c r="ME340" s="170">
        <f ca="1">($AC340*($LT340/Control!$C$141)+$LM340*$LW340)/($AC340+$LM340)</f>
        <v>0.71612369323045078</v>
      </c>
      <c r="MF340" s="170" t="e">
        <f ca="1">IF(Control!$B$16&gt;=1000,0.92,IF(AND(720&lt;=Control!$B$16,1000&gt;Control!$B$16),(0.95+(Control!$B$16-720)*((0.92-0.95)/(1000-720))),IF(AND(360&lt;=Control!$B$16,720&gt;Control!$B$16),(1+(Control!$B$16-360)*((0.95-1)/(720-360))),IF(AND(40&lt;=Control!$B$16,360&gt;Control!$B$16),(1.05+(Control!$B$16-40)*((1.05-1)/(360-40)))))))</f>
        <v>#N/A</v>
      </c>
      <c r="MG340" s="170">
        <f t="shared" ca="1" si="1261"/>
        <v>0.71612369323045078</v>
      </c>
      <c r="MH340" s="170" t="e">
        <f t="shared" ca="1" si="1262"/>
        <v>#N/A</v>
      </c>
      <c r="MI340" s="170" t="e">
        <f t="shared" ca="1" si="1262"/>
        <v>#N/A</v>
      </c>
      <c r="MJ340" s="170" t="e">
        <f ca="1">MAX(0.0001, Control!$C$132*$MI340*$DL340)</f>
        <v>#N/A</v>
      </c>
      <c r="MK340" s="170">
        <f ca="1">1/(0.76+1.5*($MG340/10))-(5-Control!$C$110)*0.1</f>
        <v>1.002845988140797</v>
      </c>
      <c r="ML340" s="173">
        <f ca="1">IF(Control!$C$110&lt;3,$MK340+($MG340-0.6)/(Control!$C$110*(Control!$C$110+3)), MAX(0.1, MIN(0.95,$MK340)))</f>
        <v>0.95</v>
      </c>
      <c r="MM340" s="173">
        <f ca="1">IF(Control!$C$110&lt;3,$MK340+(($MI340/10)-0.6)/(Control!$C$110*(Control!$C$110+3)), MAX(0.1, MIN(0.95,$MK340)))</f>
        <v>0.95</v>
      </c>
      <c r="MN340" s="173">
        <f ca="1">(1-$MM340)*(Control!$C$128-Control!$C$127)+Control!$C$127</f>
        <v>0.16</v>
      </c>
      <c r="MO340" s="170" t="e">
        <f ca="1">MAX(0,MIN(1,($MS340-Control!$C$127)/($MN340-Control!$C$127)))</f>
        <v>#DIV/0!</v>
      </c>
      <c r="MP340" s="173" t="e">
        <f ca="1">1/(0.76+1.5*$MI340)-(5-Control!$C$110)*0.1</f>
        <v>#N/A</v>
      </c>
      <c r="MQ340" s="172" t="e">
        <f t="shared" ca="1" si="1379"/>
        <v>#DIV/0!</v>
      </c>
      <c r="MR340" s="168" t="e">
        <f t="shared" ca="1" si="1351"/>
        <v>#DIV/0!</v>
      </c>
      <c r="MS340" s="173" t="e">
        <f ca="1">MAX(Control!$C$127, MIN(Control!$C$135, $MR340/MAX(0.0001,$CY340)))</f>
        <v>#DIV/0!</v>
      </c>
      <c r="MT340" s="168" t="e">
        <f ca="1">(Control!$C$128-$MS340)*Control!$C$74</f>
        <v>#DIV/0!</v>
      </c>
      <c r="MU340" s="168" t="e">
        <f ca="1">(Control!$C$135-$MS340)*Control!$C$74</f>
        <v>#DIV/0!</v>
      </c>
      <c r="MV340" s="168" t="e">
        <f t="shared" ca="1" si="1352"/>
        <v>#DIV/0!</v>
      </c>
      <c r="MW340" s="168" t="e">
        <f t="shared" ca="1" si="1353"/>
        <v>#DIV/0!</v>
      </c>
      <c r="MX340" s="171" t="e">
        <f ca="1">MAX(Control!$C$127, MIN(Control!$C$135, $MW340/MAX(0.0001,Control!$C$119-$CY340)))</f>
        <v>#DIV/0!</v>
      </c>
      <c r="MY340" s="54" t="e">
        <f ca="1">IF(Control!$C$114=1, $CX340*$MX340, 0)</f>
        <v>#DIV/0!</v>
      </c>
      <c r="MZ340" s="54" t="e">
        <f t="shared" ca="1" si="1354"/>
        <v>#N/A</v>
      </c>
      <c r="NA340" s="168" t="e">
        <f ca="1">(Control!$C$128-$MX340)*(Control!$C$119-Control!$C$74)</f>
        <v>#DIV/0!</v>
      </c>
      <c r="NB340" s="168" t="e">
        <f ca="1">(Control!$C$135-$MX340)*(Control!$C$119-Control!$C$74)</f>
        <v>#DIV/0!</v>
      </c>
      <c r="NC340" s="174" t="e">
        <f t="shared" ca="1" si="1355"/>
        <v>#DIV/0!</v>
      </c>
      <c r="ND340" s="54">
        <f ca="1">IF(Control!$C$58=2, IF(OR(Control!$B$218=$AH340,Control!$B$219=$AH340, Control!$B$220=$AH340, Control!$B$221=$AH340, Control!$B$222=$AH340, Control!$B$223=$AH340, Control!$B$224=$AH340, Control!$B$225=$AH340, Control!$B$226=$AH340, Control!$B$227=$AH340, Control!$B$228=$AH340), 1, 0), 0)</f>
        <v>0</v>
      </c>
      <c r="NE340" s="54">
        <f ca="1">IF($ND340=0,0, VLOOKUP($AH340,Control!$B$218:$C$228,2))</f>
        <v>0</v>
      </c>
      <c r="NF340" s="168" t="e">
        <f ca="1">$CY340*(Control!$C$128-Control!$C$127)</f>
        <v>#N/A</v>
      </c>
      <c r="NG340" s="54" t="e">
        <f ca="1">IF(Control!$C$58=2, $NI339-$NJ339, 0)</f>
        <v>#DIV/0!</v>
      </c>
      <c r="NH340" s="54" t="e">
        <f ca="1">IF(AND(Control!$C$58=1, $MS339&lt;= ($MN339+0.02), $I339&lt;10), 0, IF(Control!$C$58=2, $NG339, 0))</f>
        <v>#DIV/0!</v>
      </c>
      <c r="NI340" s="54" t="e">
        <f ca="1">IF(Control!$C$58=2, $NE340+$NH340,0)</f>
        <v>#DIV/0!</v>
      </c>
      <c r="NJ340" s="54" t="e">
        <f ca="1">IF(AND(Control!$C$58=1, $MS340&lt;= ($MN340+0.02), $I340&lt;10), MAX(0, MIN(10, 0.7*($NF340-$MV340))), IF(Control!$C$58=2, MIN(10,$NI340),0))</f>
        <v>#DIV/0!</v>
      </c>
      <c r="NK340" s="54" t="e">
        <f t="shared" ca="1" si="1263"/>
        <v>#DIV/0!</v>
      </c>
      <c r="NL340" s="173" t="e">
        <f ca="1">(1-Control!$C$73)*$I340+$NJ340</f>
        <v>#DIV/0!</v>
      </c>
      <c r="NM340" s="172" t="e">
        <f ca="1">IF($NL340&lt;0.5, $MB340* MAX(0, MIN(1, (SQRT($NC340)-SQRT($NC340-1))*Control!$C$71)),0)</f>
        <v>#DIV/0!</v>
      </c>
      <c r="NN340" s="170" t="e">
        <f ca="1">IF($NL340&gt;=5, $MB340, MAX(0,MIN($MB340, $NM340+$NL340,($MS340-Control!$C$129))))</f>
        <v>#DIV/0!</v>
      </c>
      <c r="NO340" s="54">
        <f>IF(Control!$C$133&lt;&gt;1, Control!$C$135-Control!$C$131, 0)</f>
        <v>0.38</v>
      </c>
      <c r="NP340" s="54" t="e">
        <f t="shared" ca="1" si="1264"/>
        <v>#DIV/0!</v>
      </c>
      <c r="NQ340" s="173" t="e">
        <f ca="1">MAX(0,MIN(1,(Control!$C$135-$MS340)/(Control!$C$135-$NO340)))</f>
        <v>#DIV/0!</v>
      </c>
      <c r="NR340" s="170" t="e">
        <f ca="1">IF(Control!$C$133&lt;&gt;1, $NQ340+((1-$NP340/4)*(1-$NQ340)),1)</f>
        <v>#DIV/0!</v>
      </c>
      <c r="NS340" s="170" t="e">
        <f ca="1">IF(Control!$B$31=0,$MJ340,MAX(0,MIN($MV340,$MO340*$NR340*$MJ340)))</f>
        <v>#DIV/0!</v>
      </c>
      <c r="NT340" s="170" t="e">
        <f t="shared" ca="1" si="1380"/>
        <v>#DIV/0!</v>
      </c>
      <c r="NU340" s="170" t="e">
        <f t="shared" ca="1" si="1356"/>
        <v>#N/A</v>
      </c>
      <c r="NV340" s="170" t="e">
        <f t="shared" ca="1" si="1265"/>
        <v>#N/A</v>
      </c>
      <c r="NW340" s="175" t="e">
        <f t="shared" ca="1" si="1266"/>
        <v>#DIV/0!</v>
      </c>
      <c r="NX340" s="170" t="e">
        <f ca="1">MIN(Control!$C$72+$MU340, $NW340)</f>
        <v>#DIV/0!</v>
      </c>
      <c r="NY340" s="170" t="e">
        <f ca="1">IF($MT340&lt;=$NX340,MIN(Control!$C$72+$NB340,$NX340-$MT340),0)</f>
        <v>#DIV/0!</v>
      </c>
      <c r="NZ340" s="54" t="e">
        <f ca="1">IF(Control!$C$114=1,  $CX340*($MX340-Control!$C$127), 0)</f>
        <v>#DIV/0!</v>
      </c>
      <c r="OA340" s="170" t="e">
        <f t="shared" ca="1" si="1267"/>
        <v>#DIV/0!</v>
      </c>
      <c r="OB340" s="170" t="e">
        <f ca="1">IF($NA340 &lt;=$NY340, MIN(Control!$C$72, $NY340-$NA340), 0)</f>
        <v>#DIV/0!</v>
      </c>
      <c r="OC340" s="168" t="e">
        <f t="shared" ca="1" si="1268"/>
        <v>#DIV/0!</v>
      </c>
      <c r="OD340" s="168" t="e">
        <f t="shared" ca="1" si="1357"/>
        <v>#DIV/0!</v>
      </c>
      <c r="OE340" s="170">
        <f ca="1">Control!$C$73*$I340</f>
        <v>0</v>
      </c>
      <c r="OF340" s="176" t="e">
        <f t="shared" ca="1" si="1269"/>
        <v>#DIV/0!</v>
      </c>
      <c r="OG340" s="168" t="e">
        <f t="shared" ca="1" si="1270"/>
        <v>#DIV/0!</v>
      </c>
      <c r="OH340" s="168" t="e">
        <f t="shared" ca="1" si="1271"/>
        <v>#DIV/0!</v>
      </c>
      <c r="OI340" s="168" t="e">
        <f t="shared" ca="1" si="1272"/>
        <v>#DIV/0!</v>
      </c>
      <c r="OJ340" s="168" t="e">
        <f t="shared" ca="1" si="1273"/>
        <v>#DIV/0!</v>
      </c>
      <c r="OK340" s="204" t="e">
        <f t="shared" ca="1" si="1274"/>
        <v>#DIV/0!</v>
      </c>
      <c r="OL340" s="177">
        <f>Control!$C$127</f>
        <v>0.15</v>
      </c>
      <c r="OM340" s="182" t="e">
        <f t="shared" ca="1" si="1275"/>
        <v>#N/A</v>
      </c>
      <c r="ON340" s="177">
        <f>Control!$C$128</f>
        <v>0.35</v>
      </c>
      <c r="OO340" s="182" t="e">
        <f t="shared" ca="1" si="1276"/>
        <v>#N/A</v>
      </c>
      <c r="OP340" s="138">
        <f t="shared" ca="1" si="1358"/>
        <v>0</v>
      </c>
      <c r="OQ340" s="138" t="e">
        <f t="shared" ca="1" si="1381"/>
        <v>#DIV/0!</v>
      </c>
      <c r="OR340" s="138" t="e">
        <f t="shared" ca="1" si="1359"/>
        <v>#DIV/0!</v>
      </c>
      <c r="OS340" s="137" t="e">
        <f t="shared" ca="1" si="1382"/>
        <v>#DIV/0!</v>
      </c>
      <c r="OT340" s="139" t="e">
        <f t="shared" ca="1" si="1383"/>
        <v>#DIV/0!</v>
      </c>
      <c r="OU340" s="138" t="e">
        <f t="shared" ca="1" si="1384"/>
        <v>#N/A</v>
      </c>
      <c r="OV340" s="138" t="e">
        <f t="shared" ca="1" si="1385"/>
        <v>#DIV/0!</v>
      </c>
      <c r="OW340" s="138" t="e">
        <f t="shared" ca="1" si="1360"/>
        <v>#DIV/0!</v>
      </c>
      <c r="OX340" s="138" t="e">
        <f t="shared" ca="1" si="1361"/>
        <v>#DIV/0!</v>
      </c>
      <c r="OY340" s="138" t="e">
        <f t="shared" ca="1" si="1362"/>
        <v>#DIV/0!</v>
      </c>
      <c r="OZ340" s="138" t="e">
        <f t="shared" ca="1" si="1277"/>
        <v>#DIV/0!</v>
      </c>
      <c r="PA340" s="138" t="e">
        <f t="shared" ca="1" si="1278"/>
        <v>#DIV/0!</v>
      </c>
      <c r="PB340" s="55">
        <f>IF(Control!$C$61="T", IF(Control!$C$65="F", IF($AH$6-Control!$C$60&lt;0,0,1), IF(365+$AH$6-Control!$C$60&lt;0,0,1)),0)</f>
        <v>0</v>
      </c>
      <c r="PC340" s="55">
        <f ca="1">IF(Control!$C$65="F", IF($AH$6-$HF340&lt;0,0,1), IF(365+$AH$6-$HF340&lt;0,0,1))</f>
        <v>1</v>
      </c>
      <c r="PD340" s="444">
        <f>Control!$C$118</f>
        <v>1500</v>
      </c>
      <c r="PE340" s="180" t="e">
        <f t="shared" ca="1" si="1279"/>
        <v>#N/A</v>
      </c>
      <c r="PF340" s="445">
        <f t="shared" ca="1" si="1363"/>
        <v>0.71612369323045078</v>
      </c>
      <c r="PT340" s="186"/>
      <c r="PU340" s="186"/>
      <c r="PV340" s="94"/>
      <c r="PW340" s="94"/>
      <c r="PX340" s="94"/>
      <c r="PY340" s="94"/>
      <c r="PZ340" s="94"/>
      <c r="QA340" s="94"/>
      <c r="QB340" s="94"/>
      <c r="QC340" s="94"/>
      <c r="QD340" s="94"/>
      <c r="QE340" s="94"/>
      <c r="QF340" s="94"/>
      <c r="QG340" s="94"/>
      <c r="QH340" s="94"/>
      <c r="QI340" s="94"/>
      <c r="QJ340" s="94"/>
      <c r="QK340" s="94"/>
      <c r="QL340" s="94"/>
      <c r="QM340" s="94"/>
      <c r="QN340" s="94"/>
      <c r="QO340" s="94"/>
      <c r="QP340" s="94"/>
    </row>
    <row r="341" spans="1:458" s="2" customFormat="1" x14ac:dyDescent="0.2">
      <c r="A341" s="395">
        <v>2</v>
      </c>
      <c r="B341" s="396">
        <v>12</v>
      </c>
      <c r="C341" s="387">
        <f ca="1">Weather_data!$B340</f>
        <v>0</v>
      </c>
      <c r="D341" s="388">
        <f ca="1">Weather_data!$F340</f>
        <v>0</v>
      </c>
      <c r="E341" s="388">
        <f ca="1">Weather_data!$E340</f>
        <v>0</v>
      </c>
      <c r="F341" s="388">
        <f t="shared" ca="1" si="1280"/>
        <v>0</v>
      </c>
      <c r="G341" s="388">
        <f ca="1">AVERAGE($D341:$E341)+Control!$B$9</f>
        <v>0</v>
      </c>
      <c r="H341" s="388">
        <f ca="1">Weather_data!$G340</f>
        <v>0</v>
      </c>
      <c r="I341" s="388">
        <f ca="1">Weather_data!$I340</f>
        <v>0</v>
      </c>
      <c r="J341" s="388">
        <f ca="1">Weather_data!$H340</f>
        <v>0</v>
      </c>
      <c r="K341" s="389">
        <f ca="1">Weather_data!$D340</f>
        <v>0</v>
      </c>
      <c r="L341" s="388" t="e">
        <f t="shared" ca="1" si="1281"/>
        <v>#N/A</v>
      </c>
      <c r="M341" s="388" t="e">
        <f t="shared" ca="1" si="1158"/>
        <v>#N/A</v>
      </c>
      <c r="N341" s="388">
        <f t="shared" ca="1" si="1159"/>
        <v>-2.345366223969282E-16</v>
      </c>
      <c r="O341" s="388">
        <f t="shared" ca="1" si="1282"/>
        <v>2.3453662239692822E-15</v>
      </c>
      <c r="P341" s="390">
        <v>3</v>
      </c>
      <c r="Q341" s="388">
        <f ca="1">MAX($G341-Control!$C$107,0)</f>
        <v>0</v>
      </c>
      <c r="R341" s="388">
        <f t="shared" ca="1" si="1283"/>
        <v>0</v>
      </c>
      <c r="S341" s="388">
        <f t="shared" ca="1" si="1160"/>
        <v>0</v>
      </c>
      <c r="T341" s="388">
        <f t="shared" ca="1" si="1161"/>
        <v>0</v>
      </c>
      <c r="U341" s="59">
        <f t="shared" ca="1" si="1162"/>
        <v>0</v>
      </c>
      <c r="V341" s="391">
        <f ca="1">MAX(0,MIN(Control!$C$100-Control!$C$99,$G341-Control!$C$99)*Control!$C$63)</f>
        <v>0</v>
      </c>
      <c r="W341" s="388">
        <f t="shared" ca="1" si="1284"/>
        <v>0</v>
      </c>
      <c r="X341" s="388">
        <f t="shared" ca="1" si="1285"/>
        <v>0.6110000000000001</v>
      </c>
      <c r="Y341" s="388">
        <f t="shared" ca="1" si="1163"/>
        <v>0</v>
      </c>
      <c r="Z341" s="388">
        <f t="shared" ca="1" si="1286"/>
        <v>0.61058800000000002</v>
      </c>
      <c r="AA341" s="388">
        <f t="shared" ca="1" si="1164"/>
        <v>0.6018</v>
      </c>
      <c r="AB341" s="388">
        <f ca="1">101.3*EXP(-0.034*Control!$C$66/($G341+273))</f>
        <v>100.69623283836242</v>
      </c>
      <c r="AC341" s="392">
        <f t="shared" ca="1" si="1165"/>
        <v>4.3460251046025113E-2</v>
      </c>
      <c r="AD341" s="392">
        <f t="shared" ca="1" si="1166"/>
        <v>4.4450382862832649E-2</v>
      </c>
      <c r="AE341" s="388">
        <f t="shared" ca="1" si="1167"/>
        <v>0</v>
      </c>
      <c r="AF341" s="388">
        <f ca="1">MAX(0,$G341-Control!$C$92)</f>
        <v>0</v>
      </c>
      <c r="AG341" s="393">
        <f t="shared" ca="1" si="1168"/>
        <v>337</v>
      </c>
      <c r="AH341" s="389">
        <f t="shared" ca="1" si="1169"/>
        <v>337</v>
      </c>
      <c r="AI341" s="388">
        <f t="shared" ca="1" si="1287"/>
        <v>-0.38871531387407854</v>
      </c>
      <c r="AJ341" s="388">
        <f ca="1">IF(Control!$C$60&lt;=0,$HH341,$HI341)</f>
        <v>1</v>
      </c>
      <c r="AK341" s="388">
        <f t="shared" ca="1" si="1170"/>
        <v>4.4240510245072704</v>
      </c>
      <c r="AL341" s="388">
        <f t="shared" ca="1" si="1171"/>
        <v>-1.8213769034658433E-17</v>
      </c>
      <c r="AM341" s="388">
        <f t="shared" ca="1" si="1172"/>
        <v>4.4240510245072704</v>
      </c>
      <c r="AN341" s="388">
        <f t="shared" ca="1" si="1173"/>
        <v>-0.39128644798746365</v>
      </c>
      <c r="AO341" s="388">
        <f ca="1">-0.10453/COS(Control!$B$8*PI()/180)*COS(AN341)</f>
        <v>-0.15695238870896955</v>
      </c>
      <c r="AP341" s="388">
        <f ca="1">ACOS(AO341-TAN(Control!$B$8*PI()/180)*TAN(AN341))</f>
        <v>1.1906032952463561</v>
      </c>
      <c r="AQ341" s="388">
        <f t="shared" ca="1" si="1288"/>
        <v>0</v>
      </c>
      <c r="AR341" s="394">
        <f t="shared" ca="1" si="1174"/>
        <v>0</v>
      </c>
      <c r="AS341" s="436">
        <f ca="1">IF(Control!$B$18=2,(IF(OR($AH341=Control!$B$175,$AH341=Control!$B$176,$AH341=Control!$B$177,$AH341=Control!$B$178,$AH341=Control!$B$179,$AH341=Control!$B$180,$AH341=Control!$B$181,$AH341=Control!$B$182,$AH341=Control!$B$183,$AH341=Control!$B$184,$AH341=Control!$B$185),1,0)),0)</f>
        <v>0</v>
      </c>
      <c r="AT341" s="436">
        <f>IF(Control!$B$20=8,IF(AND($AH341&gt;=Control!$B$172,$AH341&lt;=Control!$B$173),1,0),0)</f>
        <v>0</v>
      </c>
      <c r="AU341" s="436">
        <f>IF(Control!$B$20=8,IF($AV340=1,1*$AT341,IF($AT341=1,$AU340+1,$AU340)),0)</f>
        <v>0</v>
      </c>
      <c r="AV341" s="436">
        <f>IF(Control!$B$20=8,IF($AU341&gt;=Control!$B$174,1,0),0)</f>
        <v>0</v>
      </c>
      <c r="AW341" s="436">
        <f ca="1">IF(AND(Control!$B$18=2,Control!$B$171=1), $AV341, $AS341)</f>
        <v>0</v>
      </c>
      <c r="AX341" s="436" t="e">
        <f ca="1">IF(AND(Control!$B$18=1,$EU341&gt;=Control!$B$19),-$AY341,IF(AND(Control!$B$18=2,$AW341=1,$EU341&gt;$DS341),-$AY341, IF(Control!$C$108=0,0, IF(Control!$C$108&lt;&gt;0,1))))</f>
        <v>#N/A</v>
      </c>
      <c r="AY341" s="436" t="e">
        <f t="shared" ca="1" si="1289"/>
        <v>#N/A</v>
      </c>
      <c r="AZ341" s="436" t="e">
        <f ca="1">IF(AND(Control!$B$18=1,$EB341&gt;Control!$B$19),$AZ340+1, IF(AND(Control!$B$18=2, $AW341=1, $EB341&gt;$DS341), $AZ340+1,$AZ340))</f>
        <v>#N/A</v>
      </c>
      <c r="BA341" s="587">
        <f>IF(Control!$C$81=0,1,IF($AH341&gt;=Control!$C$82,1,0))</f>
        <v>1</v>
      </c>
      <c r="BB341" s="140" t="e">
        <f ca="1">IF($BA341&gt;$BA340,Control!$C$83,IF($AW341&gt;0,$AW341*Control!$C$84,IF(AND(Control!$B$18=1,EN340&lt;&gt;0),Control!$C$84,0)))</f>
        <v>#N/A</v>
      </c>
      <c r="BC341" s="140" t="e">
        <f t="shared" ca="1" si="1290"/>
        <v>#N/A</v>
      </c>
      <c r="BD341" s="140" t="e">
        <f ca="1">BC341*IF(OR($G341&lt;Control!$C$92,$G341&gt;Control!$C$95),0,IF(AND($G341&gt;=Control!$C$92,$G341&lt;=Control!$C$93),$G341-Control!$C$92,IF(AND($G341&gt;Control!$C$93,$G341&lt;=Control!$C$94),Control!$C$93-Control!$C$92,IF(AND($G341&gt;Control!$C$94,$G341&lt;=Control!$C$95),(Control!$C$93-Control!$C$92)*(Control!$C$94-$G341)/(Control!$C$95-Control!$C$94)))))</f>
        <v>#N/A</v>
      </c>
      <c r="BE341" s="140" t="e">
        <f t="shared" ca="1" si="1291"/>
        <v>#N/A</v>
      </c>
      <c r="BF341" s="140" t="e">
        <f ca="1">IF($BE341&lt;=Control!$C$86,$BE341,Control!$C$86-$BE341)</f>
        <v>#N/A</v>
      </c>
      <c r="BG341" s="140" t="e">
        <f ca="1">IF(AND($AW341=1,Control!$C$84&lt;9),1,IF($BE341&gt;=Control!$C$86,0,$BC341))</f>
        <v>#N/A</v>
      </c>
      <c r="BH341" s="404" t="e">
        <f ca="1">IF($BG341=0,0,IF($BE341&lt;=Control!$C$86,$BC341*9*($BF341/Control!$C$86),0))</f>
        <v>#N/A</v>
      </c>
      <c r="BI341" s="140" t="e">
        <f ca="1">IF($BG341=1,0,IF($BE341&gt;=Control!$C$86,1,IF(AND($BB341&lt;21,$BB341&gt;=9),1,$BM340)))</f>
        <v>#N/A</v>
      </c>
      <c r="BJ341" s="140" t="e">
        <f ca="1">IF($BF341&lt;0,-$BF341,$BI341*IF(OR($G341&lt;Control!$C$92,$G341&gt;Control!$C$95),0,IF(AND($G341&gt;=Control!$C$92,$G341&lt;=Control!$C$93),$G341-Control!$C$92,IF(AND($G341&gt;Control!$C$93,$G341&lt;=Control!$C$94),Control!$C$93-Control!$C$92,IF(AND($G341&gt;Control!$C$94,$G341&lt;=Control!$C$95),(Control!$C$93-Control!$C$92)*(Control!$C$94-$G341)/(Control!$C$95-Control!$C$94))))))</f>
        <v>#N/A</v>
      </c>
      <c r="BK341" s="140" t="e">
        <f t="shared" ca="1" si="1292"/>
        <v>#N/A</v>
      </c>
      <c r="BL341" s="140" t="e">
        <f ca="1">IF($BK341&lt;=Control!$C$87,$BK341,Control!$C$87-$BK341)</f>
        <v>#N/A</v>
      </c>
      <c r="BM341" s="140" t="e">
        <f ca="1">IF(AND($BB341&gt;=9,$BB341&lt;21),1,IF($BK341&gt;=Control!$C$87,0,$BI341))</f>
        <v>#N/A</v>
      </c>
      <c r="BN341" s="404" t="e">
        <f ca="1">IF($BM341=0,0,IF($BK341&lt;=Control!$C$87,$BI341*(9+(21-9)*($BL341/Control!$C$87)),0))</f>
        <v>#N/A</v>
      </c>
      <c r="BO341" s="140" t="e">
        <f ca="1">IF($BM341=1,0,IF($BK341&gt;=Control!$C$87,1,IF(AND($BB341&lt;30,$BB341&gt;=21),1,$BS340)))</f>
        <v>#N/A</v>
      </c>
      <c r="BP341" s="140" t="e">
        <f ca="1">IF($BL341&lt;0,-$BL341,$BO341*IF(OR($G341&lt;Control!$C$92,$G341&gt;Control!$C$95),0,IF(AND($G341&gt;=Control!$C$92,$G341&lt;=Control!$C$93),$G341-Control!$C$92,IF(AND($G341&gt;Control!$C$93,$G341&lt;=Control!$C$94),Control!$C$93-Control!$C$92,IF(AND($G341&gt;Control!$C$94,$G341&lt;=Control!$C$95),(Control!$C$93-Control!$C$92)*(Control!$C$94-$G341)/(Control!$C$95-Control!$C$94))))))</f>
        <v>#N/A</v>
      </c>
      <c r="BQ341" s="140" t="e">
        <f t="shared" ca="1" si="1175"/>
        <v>#N/A</v>
      </c>
      <c r="BR341" s="140" t="e">
        <f ca="1">IF($BQ341&lt;=Control!$C$88,$BQ341,Control!$C$88-$BQ341)</f>
        <v>#N/A</v>
      </c>
      <c r="BS341" s="140" t="e">
        <f ca="1">IF(AND($BB341&gt;=21,$BB341&lt;30),1,IF($BQ341&gt;=Control!$C$88,0,$BO341))</f>
        <v>#N/A</v>
      </c>
      <c r="BT341" s="404" t="e">
        <f ca="1">IF($BS341=0,0,IF($BQ341&lt;=Control!$C$88,$BO341*(21+(30-21)*(BR341/Control!$C$88)),0))</f>
        <v>#N/A</v>
      </c>
      <c r="BU341" s="140" t="e">
        <f ca="1">IF(BG341+BM341+BS341=1,0,IF(OR(AND($BB341&lt;60,$BB341&gt;=30),$BQ341&gt;=Control!$C$88),1*$BA341,$BY340))</f>
        <v>#N/A</v>
      </c>
      <c r="BV341" s="140" t="e">
        <f ca="1">IF($BR341&lt;0,-$BR341,$BU341*IF(OR($G341&lt;Control!$C$92,$G341&gt;Control!$C$95),0,IF(AND($G341&gt;=Control!$C$92,$G341&lt;=Control!$C$93),$G341-Control!$C$92,IF(AND($G341&gt;Control!$C$93,$G341&lt;=Control!$C$94),Control!$C$93-Control!$C$92,IF(AND($G341&gt;Control!$C$94,$G341&lt;=Control!$C$95),(Control!$C$93-Control!$C$92)*(Control!$C$94-$G341)/(Control!$C$95-Control!$C$94))))))</f>
        <v>#N/A</v>
      </c>
      <c r="BW341" s="140" t="e">
        <f t="shared" ca="1" si="1176"/>
        <v>#N/A</v>
      </c>
      <c r="BX341" s="140" t="e">
        <f ca="1">IF($BW341&lt;=Control!$C$89,$BW341,Control!$C$89-$BW341)</f>
        <v>#N/A</v>
      </c>
      <c r="BY341" s="140" t="e">
        <f ca="1">IF(AND($AJ341&gt;=30,$AJ341&lt;60),1,IF($BW341&gt;=Control!$C$89,0,$BU341))</f>
        <v>#N/A</v>
      </c>
      <c r="BZ341" s="404" t="e">
        <f ca="1">IF($BY341=0,0,IF($BW341&lt;=Control!$C$89,$BU341*(30+(60-30)*(BX341/Control!$C$89)),0))</f>
        <v>#N/A</v>
      </c>
      <c r="CA341" s="140" t="e">
        <f ca="1">IF($BG341+$BM341+$BS341+$BY341=1,0,IF(OR(AND($BB341&lt;65,$BB341&gt;=60),$BW341&gt;=Control!$C$89),1*$BA341,$CE340))</f>
        <v>#N/A</v>
      </c>
      <c r="CB341" s="140" t="e">
        <f ca="1">IF($BX341&lt;0,-$BX341,$CA341*IF(OR($G341&lt;Control!$C$92,$G341&gt;Control!$C$95),0,IF(AND($G341&gt;=Control!$C$92,$G341&lt;=Control!$C$93),$G341-Control!$C$92,IF(AND($G341&gt;Control!$C$93,$G341&lt;=Control!$C$94),Control!$C$93-Control!$C$92,IF(AND($G341&gt;Control!$C$94,$G341&lt;=Control!$C$95),(Control!$C$93-Control!$C$92)*(Control!$C$94-$G341)/(Control!$C$95-Control!$C$94))))))</f>
        <v>#N/A</v>
      </c>
      <c r="CC341" s="140" t="e">
        <f t="shared" ca="1" si="1293"/>
        <v>#N/A</v>
      </c>
      <c r="CD341" s="140" t="e">
        <f ca="1">IF($CC341&lt;=Control!$C$90,$CC341,Control!$C$90-$CC341)</f>
        <v>#N/A</v>
      </c>
      <c r="CE341" s="140" t="e">
        <f ca="1">IF(AND($BB341&gt;=60,$BB341&lt;65),1,IF($CC341&gt;=Control!$C$90,0,$CA341))</f>
        <v>#N/A</v>
      </c>
      <c r="CF341" s="404" t="e">
        <f ca="1">IF($CE341=0,0,IF($CC341&lt;=Control!$C$90,$CA341*(60+(65-60)*(CD341/Control!$C$90)),0))</f>
        <v>#N/A</v>
      </c>
      <c r="CG341" s="140" t="e">
        <f ca="1">IF($BG341+$BM341+$BS341+$BY341+$CE341=1,0,IF(OR(AND($BB341&lt;90,$BB341&gt;=65),$CC341&gt;=Control!$C$90),$BA341,$CK340))</f>
        <v>#N/A</v>
      </c>
      <c r="CH341" s="140" t="e">
        <f ca="1">IF($CD341&lt;0,-$CD341,$CG341*IF(OR($G341&lt;Control!$C$92,$G341&gt;Control!$C$95),0,IF(AND($G341&gt;=Control!$C$92,$G341&lt;=Control!$C$93),$G341-Control!$C$92,IF(AND($G341&gt;Control!$C$93,$G341&lt;=Control!$C$94),Control!$C$93-Control!$C$92,IF(AND($G341&gt;Control!$C$94,$G341&lt;=Control!$C$95),(Control!$C$93-Control!$C$92)*(Control!$C$94-$G341)/(Control!$C$95-Control!$C$94))))))</f>
        <v>#N/A</v>
      </c>
      <c r="CI341" s="140" t="e">
        <f t="shared" ca="1" si="1294"/>
        <v>#N/A</v>
      </c>
      <c r="CJ341" s="140" t="e">
        <f ca="1">IF($CI341&lt;=Control!$C$91,$CI341,Control!$C$91-$CI341)</f>
        <v>#N/A</v>
      </c>
      <c r="CK341" s="140" t="e">
        <f ca="1">IF(AND($BB341&gt;=65,$BB341&lt;90),1,IF($CI341&gt;=Control!$C$91,0,$CG341))</f>
        <v>#N/A</v>
      </c>
      <c r="CL341" s="404" t="e">
        <f ca="1">IF($CK341=0,0,IF($CI341&lt;=Control!$C$91,$CG341*(65+(90-65)*($CJ341/Control!$C$91)),0))</f>
        <v>#N/A</v>
      </c>
      <c r="CM341" s="140" t="e">
        <f ca="1">IF($BG341+$BM341+$BS341+$BY341+$CE341+$CK341=1,0,IF(OR($BB341&gt;=90,$CI341&gt;=Control!$C$91),$BA341,$CM340))</f>
        <v>#N/A</v>
      </c>
      <c r="CN341" s="140" t="e">
        <f t="shared" ca="1" si="1295"/>
        <v>#N/A</v>
      </c>
      <c r="CO341" s="140" t="e">
        <f t="shared" ca="1" si="1296"/>
        <v>#N/A</v>
      </c>
      <c r="CP341" s="140" t="e">
        <f t="shared" ca="1" si="1297"/>
        <v>#N/A</v>
      </c>
      <c r="CQ341" s="141" t="e">
        <f ca="1">VLOOKUP($CP341,Control!$B$86:$G$91,6)</f>
        <v>#N/A</v>
      </c>
      <c r="CR341" s="141" t="e">
        <f ca="1">(1-$CQ341)*VLOOKUP($CP341,Control!$B$86:$D$91,3)</f>
        <v>#N/A</v>
      </c>
      <c r="CS341" s="141" t="e">
        <f ca="1">(1-$CQ341)*VLOOKUP($CP341,Control!$B$86:$E$91,4)</f>
        <v>#N/A</v>
      </c>
      <c r="CT341" s="141" t="e">
        <f ca="1">(1-$CQ341)*VLOOKUP($CP341,Control!$B$86:$F$91,5)</f>
        <v>#N/A</v>
      </c>
      <c r="CU341" s="141">
        <f t="shared" ca="1" si="1298"/>
        <v>0</v>
      </c>
      <c r="CV341" s="583">
        <f t="shared" ca="1" si="1299"/>
        <v>0</v>
      </c>
      <c r="CW341" s="142">
        <f t="shared" ca="1" si="1300"/>
        <v>337</v>
      </c>
      <c r="CX341" s="612" t="e">
        <f ca="1">IF(Control!$C$114=1,(MIN(Control!$C$120*(IF($NT341-0.01&lt;0,0,1)),Control!$C$119-$CY341)))</f>
        <v>#DIV/0!</v>
      </c>
      <c r="CY341" s="143" t="e">
        <f t="shared" ca="1" si="1301"/>
        <v>#N/A</v>
      </c>
      <c r="CZ341" s="144">
        <f t="shared" ca="1" si="1177"/>
        <v>0</v>
      </c>
      <c r="DA341" s="144">
        <f t="shared" ca="1" si="1178"/>
        <v>0</v>
      </c>
      <c r="DB341" s="144" t="e">
        <f t="shared" ca="1" si="1179"/>
        <v>#N/A</v>
      </c>
      <c r="DC341" s="144" t="e">
        <f t="shared" ca="1" si="1180"/>
        <v>#N/A</v>
      </c>
      <c r="DD341" s="144" t="e">
        <f t="shared" ca="1" si="1386"/>
        <v>#N/A</v>
      </c>
      <c r="DE341" s="143" t="e">
        <f t="shared" ca="1" si="1302"/>
        <v>#N/A</v>
      </c>
      <c r="DF341" s="145" t="e">
        <f ca="1">$DR341*EXP(-Control!$C$158*(1-$KH341))</f>
        <v>#N/A</v>
      </c>
      <c r="DG341" s="146" t="e">
        <f ca="1">IF(Control!$C$114=1, $DF341*$EY341, 0)</f>
        <v>#N/A</v>
      </c>
      <c r="DH341" s="147" t="e">
        <f t="shared" ca="1" si="1303"/>
        <v>#N/A</v>
      </c>
      <c r="DI341" s="144" t="e">
        <f t="shared" ca="1" si="1364"/>
        <v>#N/A</v>
      </c>
      <c r="DJ341" s="147" t="e">
        <f ca="1">$EF341*Control!$C$109</f>
        <v>#N/A</v>
      </c>
      <c r="DK341" s="144" t="e">
        <f t="shared" ca="1" si="1304"/>
        <v>#N/A</v>
      </c>
      <c r="DL341" s="144" t="e">
        <f t="shared" ca="1" si="1181"/>
        <v>#N/A</v>
      </c>
      <c r="DM341" s="144" t="e">
        <f ca="1">IF(Control!$C$114=1, (1-EXP(-Control!$C$96*$DK341))*$AR341, 0)</f>
        <v>#N/A</v>
      </c>
      <c r="DN341" s="144">
        <f t="shared" ca="1" si="1305"/>
        <v>0</v>
      </c>
      <c r="DO341" s="148">
        <f>Control!$C$97</f>
        <v>4</v>
      </c>
      <c r="DP341" s="145" t="e">
        <f t="shared" ca="1" si="1306"/>
        <v>#N/A</v>
      </c>
      <c r="DQ341" s="145" t="e">
        <f ca="1">IF(AND($CP341&gt;=0,$CP341&lt;=90),Control!$C$111,Control!$C$111)</f>
        <v>#N/A</v>
      </c>
      <c r="DR341" s="145" t="e">
        <f t="shared" ca="1" si="1182"/>
        <v>#N/A</v>
      </c>
      <c r="DS341" s="143" t="e">
        <f ca="1">Control!$B$22/$DR341</f>
        <v>#N/A</v>
      </c>
      <c r="DT341" s="149" t="e">
        <f ca="1">IF(AND(Control!$C$114=1,$KH341&lt;1),$IM341*$DF341, 0)</f>
        <v>#N/A</v>
      </c>
      <c r="DU341" s="144" t="e">
        <f t="shared" ca="1" si="1307"/>
        <v>#N/A</v>
      </c>
      <c r="DV341" s="144">
        <f ca="1">IF($G341-Control!$C$107&lt;=0, 0, 0.83*LN(MAX($G341, 3))-0.8924)</f>
        <v>0</v>
      </c>
      <c r="DW341" s="144" t="e">
        <f t="shared" ca="1" si="1183"/>
        <v>#N/A</v>
      </c>
      <c r="DX341" s="150" t="e">
        <f ca="1">MAX(0.01*(1+$CU341/Control!$C$102),0.05*($DK341-Control!$C$97)/Control!$C$97)</f>
        <v>#N/A</v>
      </c>
      <c r="DY341" s="151" t="e">
        <f ca="1">IF(Control!$C$114=1, $DI341*$FS341, 0)</f>
        <v>#N/A</v>
      </c>
      <c r="DZ341" s="196" t="e">
        <f t="shared" ca="1" si="1308"/>
        <v>#N/A</v>
      </c>
      <c r="EA341" s="152">
        <f t="shared" ca="1" si="1309"/>
        <v>337</v>
      </c>
      <c r="EB341" s="153" t="e">
        <f t="shared" ca="1" si="1310"/>
        <v>#N/A</v>
      </c>
      <c r="EC341" s="153" t="e">
        <f t="shared" ca="1" si="1311"/>
        <v>#N/A</v>
      </c>
      <c r="ED341" s="154" t="e">
        <f ca="1">IF(Control!$C$114=1, $HM341*$FY341-$FD341, 0)</f>
        <v>#DIV/0!</v>
      </c>
      <c r="EE341" s="155" t="e">
        <f ca="1">IF(Control!$C$114=1, $HM341*$FZ341-$FF341, 0)</f>
        <v>#DIV/0!</v>
      </c>
      <c r="EF341" s="153" t="e">
        <f t="shared" ca="1" si="1365"/>
        <v>#N/A</v>
      </c>
      <c r="EG341" s="155" t="e">
        <f ca="1">IF(Control!$C$114=1, $GX341*$FW341-$FI341, 0)</f>
        <v>#DIV/0!</v>
      </c>
      <c r="EH341" s="153" t="e">
        <f t="shared" ca="1" si="1312"/>
        <v>#N/A</v>
      </c>
      <c r="EI341" s="156" t="e">
        <f t="shared" ca="1" si="1313"/>
        <v>#N/A</v>
      </c>
      <c r="EJ341" s="155" t="e">
        <f ca="1">IF(Control!$C$114=1, $HM341*$GB341, 0)</f>
        <v>#DIV/0!</v>
      </c>
      <c r="EK341" s="153" t="e">
        <f t="shared" ca="1" si="1366"/>
        <v>#N/A</v>
      </c>
      <c r="EL341" s="153" t="e">
        <f t="shared" ca="1" si="1184"/>
        <v>#N/A</v>
      </c>
      <c r="EM341" s="153" t="e">
        <f t="shared" ca="1" si="1185"/>
        <v>#N/A</v>
      </c>
      <c r="EN341" s="153" t="e">
        <f ca="1">IF(Control!$C$108=1,IF(AND(Control!$B$18=1,$EB341&gt;=Control!$B$19),$EB341-$DS341,IF(AND(Control!$B$18=2,$AW341=1,$EB341&gt;$DS341),$EB341-$DS341,0)))</f>
        <v>#N/A</v>
      </c>
      <c r="EO341" s="153" t="e">
        <f ca="1">IF(Control!$C$108=1,IF(AND(Control!$B$18=1,$EB341&gt;=Control!$B$19),$EF341,IF(AND(Control!$B$18=2,$AW341=1),$EF341,0)))</f>
        <v>#N/A</v>
      </c>
      <c r="EP341" s="153" t="e">
        <f ca="1">IF(Control!$C$108=1,IF(AND(Control!$B$18=1,$EB341&gt;=Control!$B$19),$EK341,IF(AND(Control!$B$18=2,$AW341=1),$EK341,0)))</f>
        <v>#N/A</v>
      </c>
      <c r="EQ341" s="153" t="e">
        <f t="shared" ca="1" si="1314"/>
        <v>#N/A</v>
      </c>
      <c r="ER341" s="153" t="e">
        <f t="shared" ca="1" si="1315"/>
        <v>#N/A</v>
      </c>
      <c r="ES341" s="153" t="e">
        <f t="shared" ca="1" si="1367"/>
        <v>#N/A</v>
      </c>
      <c r="ET341" s="153" t="e">
        <f t="shared" ca="1" si="1368"/>
        <v>#N/A</v>
      </c>
      <c r="EU341" s="153" t="e">
        <f t="shared" ca="1" si="1316"/>
        <v>#N/A</v>
      </c>
      <c r="EV341" s="153" t="e">
        <f t="shared" ca="1" si="1186"/>
        <v>#N/A</v>
      </c>
      <c r="EW341" s="153" t="e">
        <f t="shared" ca="1" si="1187"/>
        <v>#N/A</v>
      </c>
      <c r="EX341" s="153" t="e">
        <f t="shared" ca="1" si="1188"/>
        <v>#N/A</v>
      </c>
      <c r="EY341" s="157" t="e">
        <f t="shared" ca="1" si="1189"/>
        <v>#DIV/0!</v>
      </c>
      <c r="EZ341" s="154" t="e">
        <f t="shared" ca="1" si="1190"/>
        <v>#DIV/0!</v>
      </c>
      <c r="FA341" s="153" t="e">
        <f t="shared" ca="1" si="1317"/>
        <v>#N/A</v>
      </c>
      <c r="FB341" s="153" t="e">
        <f t="shared" ca="1" si="1191"/>
        <v>#N/A</v>
      </c>
      <c r="FC341" s="193" t="e">
        <f t="shared" ca="1" si="1192"/>
        <v>#N/A</v>
      </c>
      <c r="FD341" s="158" t="e">
        <f t="shared" ca="1" si="1318"/>
        <v>#N/A</v>
      </c>
      <c r="FE341" s="158" t="e">
        <f t="shared" ca="1" si="1319"/>
        <v>#N/A</v>
      </c>
      <c r="FF341" s="159" t="e">
        <f t="shared" ca="1" si="1193"/>
        <v>#N/A</v>
      </c>
      <c r="FG341" s="160" t="e">
        <f t="shared" ca="1" si="1320"/>
        <v>#N/A</v>
      </c>
      <c r="FH341" s="158" t="e">
        <f t="shared" ca="1" si="1321"/>
        <v>#N/A</v>
      </c>
      <c r="FI341" s="159" t="e">
        <f t="shared" ca="1" si="1194"/>
        <v>#N/A</v>
      </c>
      <c r="FJ341" s="160" t="e">
        <f t="shared" ca="1" si="1322"/>
        <v>#N/A</v>
      </c>
      <c r="FK341" s="160" t="e">
        <f t="shared" ca="1" si="1195"/>
        <v>#N/A</v>
      </c>
      <c r="FL341" s="160" t="e">
        <f t="shared" ca="1" si="1369"/>
        <v>#N/A</v>
      </c>
      <c r="FM341" s="160" t="e">
        <f t="shared" ca="1" si="1196"/>
        <v>#N/A</v>
      </c>
      <c r="FN341" s="158">
        <f t="shared" ca="1" si="1323"/>
        <v>0.01</v>
      </c>
      <c r="FO341" s="160">
        <f>Control!$C$101</f>
        <v>50</v>
      </c>
      <c r="FP341" s="150" t="e">
        <f t="shared" ca="1" si="1197"/>
        <v>#N/A</v>
      </c>
      <c r="FQ341" s="150" t="e">
        <f ca="1">MAX(0,(Control!$C$112*(($DK341-Control!$C$97)/Control!$C$97)))</f>
        <v>#N/A</v>
      </c>
      <c r="FR341" s="150" t="e">
        <f ca="1">(1-$NT341)*Control!$C$113</f>
        <v>#DIV/0!</v>
      </c>
      <c r="FS341" s="198" t="e">
        <f t="shared" ca="1" si="1198"/>
        <v>#N/A</v>
      </c>
      <c r="FT341" s="161">
        <f t="shared" ca="1" si="1324"/>
        <v>337</v>
      </c>
      <c r="FU341" s="162" t="e">
        <f ca="1">IF(Control!$B$34=1,VLOOKUP($CP341,Control!$B$86:$G$91,6),Control!$B$35)</f>
        <v>#N/A</v>
      </c>
      <c r="FV341" s="162" t="e">
        <f t="shared" ca="1" si="1199"/>
        <v>#DIV/0!</v>
      </c>
      <c r="FW341" s="162" t="e">
        <f ca="1">IF(Control!$B$31=1,$FU341*$FV341,  $FU341)</f>
        <v>#N/A</v>
      </c>
      <c r="FX341" s="162" t="e">
        <f ca="1">IF(Control!$B$34=1,VLOOKUP($CP341,Control!$B$86:$G$91,3),Control!$B$36)</f>
        <v>#N/A</v>
      </c>
      <c r="FY341" s="162" t="e">
        <f t="shared" ca="1" si="1200"/>
        <v>#N/A</v>
      </c>
      <c r="FZ341" s="162" t="e">
        <f ca="1">IF(Control!$B$34=1,VLOOKUP($CP341,Control!$B$86:$G$91,4),Control!$B$37)</f>
        <v>#N/A</v>
      </c>
      <c r="GA341" s="162" t="e">
        <f t="shared" ca="1" si="1201"/>
        <v>#N/A</v>
      </c>
      <c r="GB341" s="162" t="e">
        <f ca="1">IF(Control!$B$34=1,VLOOKUP($CP341,Control!$B$86:$G$91,5),Control!$B$38)</f>
        <v>#N/A</v>
      </c>
      <c r="GC341" s="162" t="e">
        <f t="shared" ca="1" si="1325"/>
        <v>#N/A</v>
      </c>
      <c r="GD341" s="162">
        <f t="shared" ca="1" si="1202"/>
        <v>1</v>
      </c>
      <c r="GE341" s="162">
        <f t="shared" ca="1" si="1203"/>
        <v>1</v>
      </c>
      <c r="GF341" s="162">
        <f ca="1">IF(AND(Control!$C$104=1, Control!$C$62="F"),$GE341,1)</f>
        <v>1</v>
      </c>
      <c r="GG341" s="162" t="e">
        <f ca="1">IF(Control!$B$16=40,0,IF(AND(Control!$B$16&gt;40,Control!$B$16&lt;=360),(Control!$B$16-40)*((1-0)/(360-40)),IF(AND(Control!$B$16&gt;360,Control!$B$16&lt;=720),(1+(Control!$B$16-360)*((1.25-1)/(720-360))),IF(AND(Control!$B$16&gt;720,Control!$B$16&lt;=1000),(1.25+(Control!$B$16-720)*((1.35-1.25)/(1000-720))),IF(AND(Control!$B$16&gt;1000,Control!$B$16&lt;=2000),(1.35+(Control!$B$16-1000)*0))))))</f>
        <v>#N/A</v>
      </c>
      <c r="GH341" s="162" t="e">
        <f t="shared" ca="1" si="1204"/>
        <v>#N/A</v>
      </c>
      <c r="GI341" s="162">
        <f t="shared" ca="1" si="1326"/>
        <v>0</v>
      </c>
      <c r="GJ341" s="162">
        <f t="shared" ca="1" si="1205"/>
        <v>0</v>
      </c>
      <c r="GK341" s="162">
        <f t="shared" ca="1" si="1327"/>
        <v>1</v>
      </c>
      <c r="GL341" s="162">
        <f t="shared" ca="1" si="1206"/>
        <v>1</v>
      </c>
      <c r="GM341" s="162" t="e">
        <f ca="1">MAX(0,MIN(1,1-Control!$C$156*(1.0001-$KH341)^2))</f>
        <v>#N/A</v>
      </c>
      <c r="GN341" s="162" t="e">
        <f ca="1">IF(Control!$B$26=1,$KU341,$KX341)</f>
        <v>#N/A</v>
      </c>
      <c r="GO341" s="162" t="e">
        <f ca="1">IF($CP341&lt;=60,Control!$C$105,IF($CP341&gt;=90,Control!$C$106,Control!$C$105+($CP341-60)*((Control!$C$106-Control!$C$105)/(90-60))))</f>
        <v>#N/A</v>
      </c>
      <c r="GP341" s="162" t="e">
        <f t="shared" ca="1" si="1207"/>
        <v>#N/A</v>
      </c>
      <c r="GQ341" s="162" t="e">
        <f t="shared" ca="1" si="1328"/>
        <v>#N/A</v>
      </c>
      <c r="GR341" s="163" t="e">
        <f t="shared" ca="1" si="1208"/>
        <v>#DIV/0!</v>
      </c>
      <c r="GS341" s="162" t="e">
        <f t="shared" ca="1" si="1209"/>
        <v>#DIV/0!</v>
      </c>
      <c r="GT341" s="164" t="e">
        <f t="shared" ca="1" si="1329"/>
        <v>#N/A</v>
      </c>
      <c r="GU341" s="162" t="e">
        <f t="shared" ca="1" si="1330"/>
        <v>#N/A</v>
      </c>
      <c r="GV341" s="162" t="e">
        <f t="shared" ca="1" si="1210"/>
        <v>#N/A</v>
      </c>
      <c r="GW341" s="162" t="e">
        <f t="shared" ca="1" si="1211"/>
        <v>#DIV/0!</v>
      </c>
      <c r="GX341" s="162" t="e">
        <f t="shared" ca="1" si="1331"/>
        <v>#DIV/0!</v>
      </c>
      <c r="GY341" s="162" t="e">
        <f t="shared" ca="1" si="1332"/>
        <v>#DIV/0!</v>
      </c>
      <c r="GZ341" s="165" t="e">
        <f t="shared" ca="1" si="1212"/>
        <v>#N/A</v>
      </c>
      <c r="HA341" s="162" t="e">
        <f ca="1">IF(Control!$C$114=1, $DI341*$FS341, 0)</f>
        <v>#N/A</v>
      </c>
      <c r="HB341" s="162" t="e">
        <f ca="1">$FA341/Control!$C$64</f>
        <v>#N/A</v>
      </c>
      <c r="HC341" s="162" t="e">
        <f t="shared" ca="1" si="1213"/>
        <v>#DIV/0!</v>
      </c>
      <c r="HD341" s="162">
        <f ca="1">-ASIN(SIN(23.45*Control!$C$139)*COS(2*Control!$C$138*($AH341+10)/365))</f>
        <v>-0.38871531387407854</v>
      </c>
      <c r="HE341" s="165">
        <f t="shared" ca="1" si="1333"/>
        <v>0</v>
      </c>
      <c r="HF341" s="166">
        <f ca="1">IF(AND(Control!$C$61="T",$HE341&gt;=Control!$C$103,Control!$C$114=0),$AH341,Control!$C$59)</f>
        <v>1</v>
      </c>
      <c r="HG341" s="166">
        <f ca="1">IF(AND(Control!$C$61="T",$HE341&gt;=Control!$C$103,Control!$C$114=0),$HF341,Control!$C$59)</f>
        <v>1</v>
      </c>
      <c r="HH341" s="165">
        <f ca="1">IF(AND(OR(Control!$C$60&lt;=0, $AH341= Control!$C$59, Control!$C$60 &gt;0, $AH341 = Control!$C$60)), Control!$C$59, IF(Control!$C$60&gt;0, 0))</f>
        <v>1</v>
      </c>
      <c r="HI341" s="165">
        <f ca="1">IF(AND(OR(Control!$C$60&lt;=0, $AH341= Control!$C$59, Control!$C$60 &gt;0, $AH341 = Control!$C$60)), Control!$C$60, IF(Control!$C$60&lt;=0, 0))</f>
        <v>0</v>
      </c>
      <c r="HJ341" s="166">
        <f ca="1">IF(AND(Control!$C$62="F",$CV341&gt;=Control!$C$102),$AH341,0)</f>
        <v>0</v>
      </c>
      <c r="HK341" s="165" t="e">
        <f t="shared" ca="1" si="1370"/>
        <v>#N/A</v>
      </c>
      <c r="HL341" s="166">
        <f ca="1">IF(AND(Control!$C$61="T",$HE341&gt;=Control!$C$103,Control!$C$114=0),$HF341,0)</f>
        <v>0</v>
      </c>
      <c r="HM341" s="201" t="e">
        <f t="shared" ca="1" si="1214"/>
        <v>#DIV/0!</v>
      </c>
      <c r="HN341" s="215">
        <f t="shared" ca="1" si="1334"/>
        <v>337</v>
      </c>
      <c r="HO341" s="216" t="e">
        <f ca="1">IF(AND($CP341&gt;=0, $CP341&lt;=90), Control!$C$152, Control!$C$152)</f>
        <v>#N/A</v>
      </c>
      <c r="HP341" s="216" t="e">
        <f t="shared" ca="1" si="1215"/>
        <v>#N/A</v>
      </c>
      <c r="HQ341" s="217" t="e">
        <f ca="1">IF(OR(Control!$B$26=1,Control!$B$26=2),$KV341,$KS341)</f>
        <v>#DIV/0!</v>
      </c>
      <c r="HR341" s="218" t="e">
        <f t="shared" ca="1" si="1371"/>
        <v>#DIV/0!</v>
      </c>
      <c r="HS341" s="216" t="e">
        <f ca="1">Control!$C$154*$HP341</f>
        <v>#N/A</v>
      </c>
      <c r="HT341" s="216" t="e">
        <f ca="1">Control!$C$155*$HP341</f>
        <v>#N/A</v>
      </c>
      <c r="HU341" s="217" t="e">
        <f ca="1">Control!$C$161*$FI341</f>
        <v>#N/A</v>
      </c>
      <c r="HV341" s="218" t="e">
        <f t="shared" ca="1" si="1335"/>
        <v>#N/A</v>
      </c>
      <c r="HW341" s="218" t="e">
        <f ca="1">Control!$C$160*$FF341+$IP341*$EO341</f>
        <v>#N/A</v>
      </c>
      <c r="HX341" s="218" t="e">
        <f t="shared" ca="1" si="1372"/>
        <v>#N/A</v>
      </c>
      <c r="HY341" s="219" t="e">
        <f ca="1">IF(Control!$C$114=1, $EB341*$FS341, 0)</f>
        <v>#N/A</v>
      </c>
      <c r="HZ341" s="91" t="e">
        <f t="shared" ca="1" si="1216"/>
        <v>#N/A</v>
      </c>
      <c r="IA341" s="220" t="e">
        <f ca="1">Control!$C$153*$HO341</f>
        <v>#N/A</v>
      </c>
      <c r="IB341" s="218" t="e">
        <f t="shared" ca="1" si="1217"/>
        <v>#N/A</v>
      </c>
      <c r="IC341" s="220" t="e">
        <f ca="1">Control!$C$153*$HT341</f>
        <v>#N/A</v>
      </c>
      <c r="ID341" s="218" t="e">
        <f t="shared" ca="1" si="1218"/>
        <v>#N/A</v>
      </c>
      <c r="IE341" s="221" t="e">
        <f ca="1">($EB341*Control!$C$159+$EF341*Control!$C$160)/(IF($GZ341&lt;&gt;0,$GZ341,1))</f>
        <v>#N/A</v>
      </c>
      <c r="IF341" s="216" t="e">
        <f t="shared" ca="1" si="1219"/>
        <v>#N/A</v>
      </c>
      <c r="IG341" s="91">
        <f ca="1">IF(OR(Control!$B$198=$AH341,Control!$B$199=$AH341, Control!$B$200=$AH341, Control!$B$201=$AH341, Control!$B$202=$AH341, Control!$B$203=$AH341, Control!$B$204=$AH341, Control!$B$205=$AH341, Control!$B$206=$AH341, Control!$B$207=$AH341), 1, 0)</f>
        <v>0</v>
      </c>
      <c r="IH341" s="91">
        <f ca="1">IF($IG341=0,0, VLOOKUP($AH341,Control!$B$198:$C$207,2))</f>
        <v>0</v>
      </c>
      <c r="II341" s="222">
        <f t="shared" ca="1" si="1336"/>
        <v>0</v>
      </c>
      <c r="IJ341" s="91">
        <f>Control!$C$121</f>
        <v>0.7</v>
      </c>
      <c r="IK341" s="218">
        <f t="shared" ca="1" si="1220"/>
        <v>0</v>
      </c>
      <c r="IL341" s="217" t="e">
        <f t="shared" ca="1" si="1373"/>
        <v>#N/A</v>
      </c>
      <c r="IM341" s="223" t="e">
        <f ca="1">IF(AND(Control!$C$114=1,$KH341&lt;1),$EB341*Control!$C$148*(1-$KH341), 0)</f>
        <v>#N/A</v>
      </c>
      <c r="IN341" s="217" t="e">
        <f t="shared" ca="1" si="1221"/>
        <v>#DIV/0!</v>
      </c>
      <c r="IO341" s="91" t="e">
        <f ca="1">MAX(0,$IL341-$EF341*Control!$C$160)</f>
        <v>#N/A</v>
      </c>
      <c r="IP341" s="220" t="e">
        <f t="shared" ca="1" si="1222"/>
        <v>#N/A</v>
      </c>
      <c r="IQ341" s="217" t="e">
        <f t="shared" ca="1" si="1337"/>
        <v>#N/A</v>
      </c>
      <c r="IR341" s="218" t="e">
        <f t="shared" ca="1" si="1223"/>
        <v>#N/A</v>
      </c>
      <c r="IS341" s="217" t="e">
        <f ca="1">Control!$C$159*MAX(0,$FD341-$EN341)</f>
        <v>#N/A</v>
      </c>
      <c r="IT341" s="217" t="e">
        <f t="shared" ca="1" si="1374"/>
        <v>#N/A</v>
      </c>
      <c r="IU341" s="217" t="e">
        <f t="shared" ca="1" si="1338"/>
        <v>#N/A</v>
      </c>
      <c r="IV341" s="217" t="e">
        <f t="shared" ca="1" si="1375"/>
        <v>#N/A</v>
      </c>
      <c r="IW341" s="217" t="e">
        <f ca="1">IF(OR($AW341=1,AND($AW341=0, Control!$B$18=1,$EN341&lt;&gt;0)), $IQ341-$IU341, $IQ341)</f>
        <v>#N/A</v>
      </c>
      <c r="IX341" s="218" t="e">
        <f t="shared" ca="1" si="1224"/>
        <v>#N/A</v>
      </c>
      <c r="IY341" s="218" t="e">
        <f ca="1">MAX(0,$IQ341-$EB341*Control!$C$159)</f>
        <v>#N/A</v>
      </c>
      <c r="IZ341" s="218" t="e">
        <f t="shared" ca="1" si="1225"/>
        <v>#N/A</v>
      </c>
      <c r="JA341" s="216" t="e">
        <f t="shared" ca="1" si="1226"/>
        <v>#N/A</v>
      </c>
      <c r="JB341" s="217" t="e">
        <f t="shared" ca="1" si="1227"/>
        <v>#N/A</v>
      </c>
      <c r="JC341" s="222" t="e">
        <f ca="1">MAX(Control!$C$157*$EK341-$JT341, 0)/Control!$C$162</f>
        <v>#N/A</v>
      </c>
      <c r="JD341" s="218" t="e">
        <f t="shared" ca="1" si="1228"/>
        <v>#N/A</v>
      </c>
      <c r="JE341" s="218" t="e">
        <f t="shared" ca="1" si="1229"/>
        <v>#N/A</v>
      </c>
      <c r="JF341" s="218" t="e">
        <f t="shared" ca="1" si="1339"/>
        <v>#N/A</v>
      </c>
      <c r="JG341" s="218" t="e">
        <f t="shared" ca="1" si="1230"/>
        <v>#N/A</v>
      </c>
      <c r="JH341" s="217" t="e">
        <f t="shared" ca="1" si="1340"/>
        <v>#N/A</v>
      </c>
      <c r="JI341" s="217" t="e">
        <f t="shared" ca="1" si="1341"/>
        <v>#N/A</v>
      </c>
      <c r="JJ341" s="217" t="e">
        <f t="shared" ca="1" si="1376"/>
        <v>#N/A</v>
      </c>
      <c r="JK341" s="217" t="e">
        <f ca="1">IF(Control!$C$114=1,IF(Control!$B$24=0,MAX(0,$JI341)*$GN341/Control!$C$64,(MAX(0,MIN($JI341,$JJ341*$GN341/Control!$C$64),0))))</f>
        <v>#N/A</v>
      </c>
      <c r="JL341" s="217" t="e">
        <f ca="1">$IK341/Control!$C$64-$JK341+$HQ341</f>
        <v>#N/A</v>
      </c>
      <c r="JM341" s="217" t="e">
        <f ca="1">IF(Control!$C$114=1,($JB341/(IF($JI341&lt;&gt;0,$JI341,1)))*$JK341,0)</f>
        <v>#N/A</v>
      </c>
      <c r="JN341" s="217" t="e">
        <f ca="1">IF(Control!$C$114=1,($JG341/(IF($JI341&lt;&gt;0,$JI341,1)))*$JK341, 0)</f>
        <v>#N/A</v>
      </c>
      <c r="JO341" s="218" t="e">
        <f t="shared" ca="1" si="1231"/>
        <v>#N/A</v>
      </c>
      <c r="JP341" s="218" t="e">
        <f ca="1">MIN(($IY341+$IO341)*Control!$C$151, $JF341-$EH341*Control!$C$161)</f>
        <v>#N/A</v>
      </c>
      <c r="JQ341" s="218" t="e">
        <f t="shared" ca="1" si="1232"/>
        <v>#N/A</v>
      </c>
      <c r="JR341" s="217" t="e">
        <f ca="1">IF($CP341-Control!$C$150&lt;0, 0, $JQ341/Control!$C$162)</f>
        <v>#N/A</v>
      </c>
      <c r="JS341" s="218" t="e">
        <f t="shared" ca="1" si="1233"/>
        <v>#N/A</v>
      </c>
      <c r="JT341" s="218" t="e">
        <f t="shared" ca="1" si="1342"/>
        <v>#N/A</v>
      </c>
      <c r="JU341" s="218" t="e">
        <f t="shared" ca="1" si="1234"/>
        <v>#N/A</v>
      </c>
      <c r="JV341" s="218" t="e">
        <f t="shared" ca="1" si="1235"/>
        <v>#N/A</v>
      </c>
      <c r="JW341" s="216" t="e">
        <f t="shared" ca="1" si="1236"/>
        <v>#N/A</v>
      </c>
      <c r="JX341" s="91" t="e">
        <f t="shared" ca="1" si="1237"/>
        <v>#N/A</v>
      </c>
      <c r="JY341" s="218" t="e">
        <f t="shared" ca="1" si="1238"/>
        <v>#N/A</v>
      </c>
      <c r="JZ341" s="217" t="e">
        <f ca="1">IF(Control!$C$114=1,($IZ341/(IF($JI341&lt;&gt;0,$JI341,1)))*$JK341, 0)</f>
        <v>#N/A</v>
      </c>
      <c r="KA341" s="218" t="e">
        <f t="shared" ca="1" si="1377"/>
        <v>#N/A</v>
      </c>
      <c r="KB341" s="218" t="e">
        <f t="shared" ca="1" si="1343"/>
        <v>#N/A</v>
      </c>
      <c r="KC341" s="218" t="e">
        <f t="shared" ca="1" si="1239"/>
        <v>#N/A</v>
      </c>
      <c r="KD341" s="218" t="e">
        <f t="shared" ca="1" si="1240"/>
        <v>#N/A</v>
      </c>
      <c r="KE341" s="218" t="e">
        <f t="shared" ca="1" si="1241"/>
        <v>#N/A</v>
      </c>
      <c r="KF341" s="218" t="e">
        <f t="shared" ca="1" si="1242"/>
        <v>#N/A</v>
      </c>
      <c r="KG341" s="216" t="e">
        <f t="shared" ca="1" si="1243"/>
        <v>#N/A</v>
      </c>
      <c r="KH341" s="221" t="e">
        <f ca="1">IF(Control!$B$24=0,1,MAX(0.001,MIN(1,IF(($IF341-$IE341)&lt;&gt;0,($KG341-$IE341)/($IF341-$IE341),1))))</f>
        <v>#N/A</v>
      </c>
      <c r="KI341" s="222" t="e">
        <f ca="1">IF(Control!$C$114=1, $KI340+ $KH340, 0)</f>
        <v>#N/A</v>
      </c>
      <c r="KJ341" s="217" t="e">
        <f t="shared" ca="1" si="1244"/>
        <v>#N/A</v>
      </c>
      <c r="KK341" s="218" t="e">
        <f t="shared" ca="1" si="1245"/>
        <v>#N/A</v>
      </c>
      <c r="KL341" s="274" t="e">
        <f ca="1">IF(Control!$B$26=3,4000000000*EXP(-8400/($G341+273)),IF(Control!$B$26=4,4000000000*EXP(-8400/($G341+273))*($KT341),0))</f>
        <v>#DIV/0!</v>
      </c>
      <c r="KM341" s="274" t="e">
        <f ca="1">IF(Control!$B$26=3,5600000000000*EXP(-9800/($G341+273)),IF(Control!$B$26=4,5600000000000*EXP(-9800/($G341+273))*$KT341,0))</f>
        <v>#DIV/0!</v>
      </c>
      <c r="KN341" s="454" t="e">
        <f t="shared" ca="1" si="1344"/>
        <v>#DIV/0!</v>
      </c>
      <c r="KO341" s="274" t="e">
        <f t="shared" ca="1" si="1345"/>
        <v>#DIV/0!</v>
      </c>
      <c r="KP341" s="454" t="e">
        <f t="shared" ca="1" si="1246"/>
        <v>#DIV/0!</v>
      </c>
      <c r="KQ341" s="454" t="e">
        <f t="shared" ca="1" si="1247"/>
        <v>#DIV/0!</v>
      </c>
      <c r="KR341" s="454" t="e">
        <f t="shared" ca="1" si="1248"/>
        <v>#DIV/0!</v>
      </c>
      <c r="KS341" s="454" t="e">
        <f t="shared" ca="1" si="1249"/>
        <v>#DIV/0!</v>
      </c>
      <c r="KT341" s="455" t="e">
        <f t="shared" ca="1" si="1250"/>
        <v>#DIV/0!</v>
      </c>
      <c r="KU341" s="456" t="e">
        <f ca="1">IF($CP341-Control!$C$149&lt;0, IF($NT341-0.01&lt;0,0,1),0)</f>
        <v>#N/A</v>
      </c>
      <c r="KV341" s="456" t="e">
        <f ca="1">IF(Control!$C$114=1,MAX(0,MIN(Control!$C$125*$KW341*$GN341,$KW341)))</f>
        <v>#DIV/0!</v>
      </c>
      <c r="KW341" s="456" t="e">
        <f t="shared" ca="1" si="1378"/>
        <v>#DIV/0!</v>
      </c>
      <c r="KX341" s="457" t="e">
        <f ca="1">IF($CP341-Control!$C$149&lt;0, IF($MR341-$OM341&lt;0,0,1),0)</f>
        <v>#N/A</v>
      </c>
      <c r="KY341" s="167">
        <f t="shared" ca="1" si="1346"/>
        <v>337</v>
      </c>
      <c r="KZ341" s="168">
        <f ca="1">1370*(1+0.033*COS(2*Control!$C$138*$AH341/365))</f>
        <v>1410.0595370937076</v>
      </c>
      <c r="LA341" s="169">
        <f t="shared" ca="1" si="1347"/>
        <v>1.0292403305106266</v>
      </c>
      <c r="LB341" s="169">
        <f t="shared" ca="1" si="1348"/>
        <v>-0.39058712548031388</v>
      </c>
      <c r="LC341" s="169">
        <f ca="1">ACOS(-TAN((2*Control!$B$8/360))*TAN(Calculations!$LB341))</f>
        <v>1.4481180041509976</v>
      </c>
      <c r="LD341" s="169">
        <f ca="1">((24*60)/PI())*0.082*$LA341*(($LC341*SIN(Control!$B$8*2*PI()/360))*SIN($LB341)+COS(Control!$B$8*2*PI()/360)*COS($LB341)*SIN($LC341))</f>
        <v>5.0503273270295619</v>
      </c>
      <c r="LE341" s="170">
        <f t="shared" ca="1" si="1251"/>
        <v>6.7220260586055645</v>
      </c>
      <c r="LF341" s="170">
        <f ca="1">SIN(Control!$C$139*Control!$B$8)*SIN($HD341)</f>
        <v>-0.29865647931832279</v>
      </c>
      <c r="LG341" s="170">
        <f ca="1">COS(Control!$C$139*Control!$B$8)*COS($HD341)</f>
        <v>0.56972956181457535</v>
      </c>
      <c r="LH341" s="170">
        <f ca="1">12*(1+2*ASIN(MAX(-1,MIN(1,$LF341/$LG341))/Control!$C$138))</f>
        <v>7.97653964845993</v>
      </c>
      <c r="LI341" s="170">
        <f ca="1">12*(1+2*ASIN(MAX(-1,MIN(1,(-SIN(-4*Control!$C$139)+$LF341)/$LG341))/Control!$C$138))</f>
        <v>8.9222873141863808</v>
      </c>
      <c r="LJ341" s="168">
        <f ca="1">3600*($LH341*$LF341+24*$LG341*SQRT(1-$LK341*$LK341)/Control!$C$138)</f>
        <v>4767.193073606255</v>
      </c>
      <c r="LK341" s="170">
        <f t="shared" ca="1" si="1252"/>
        <v>-0.52420744741962988</v>
      </c>
      <c r="LL341" s="170">
        <f t="shared" ca="1" si="1253"/>
        <v>0</v>
      </c>
      <c r="LM341" s="171">
        <f ca="1">Control!$C$145*$AB341</f>
        <v>6.6660906138995932E-2</v>
      </c>
      <c r="LN341" s="170">
        <f t="shared" ca="1" si="1349"/>
        <v>0.54</v>
      </c>
      <c r="LO341" s="170">
        <f t="shared" ca="1" si="1254"/>
        <v>0</v>
      </c>
      <c r="LP341" s="170">
        <f ca="1">Control!$C$140*((($D341+273.16)^4+($E341+273.16)^4)/2)*(0.34-0.14*SQRT($Y341))*(1.35*$AQ341/(0.75*$LD341)-0.35)</f>
        <v>-3.2464704755046001</v>
      </c>
      <c r="LQ341" s="170">
        <f ca="1">Control!$C$140*($G341+273)^4*(0.56-0.079*SQRT($Y341*10))*(0.1+0.9*$LO341)</f>
        <v>1.5241745131704001</v>
      </c>
      <c r="LR341" s="170">
        <f ca="1">$AQ341*(1-Control!$C$142)-$LQ341</f>
        <v>-1.5241745131704001</v>
      </c>
      <c r="LS341" s="170">
        <f ca="1">$AQ341*(1-Control!$C$143)-$LQ341</f>
        <v>-1.5241745131704001</v>
      </c>
      <c r="LT341" s="170">
        <f ca="1">$AQ341*(1-Control!$C$144)-$LQ341</f>
        <v>-1.5241745131704001</v>
      </c>
      <c r="LU341" s="169">
        <f ca="1">(1-Control!$C$144)*AQ341-LP341</f>
        <v>3.2464704755046001</v>
      </c>
      <c r="LV341" s="172">
        <f t="shared" ca="1" si="1255"/>
        <v>0.79430000000000012</v>
      </c>
      <c r="LW341" s="170">
        <f t="shared" ca="1" si="1256"/>
        <v>1.5886000000000002</v>
      </c>
      <c r="LX341" s="170">
        <f ca="1">($AC341*($LR341/Control!$C$141)+$LM341*$LV341)/($AC341+$LM341)</f>
        <v>0.23530094218323697</v>
      </c>
      <c r="LY341" s="170">
        <f ca="1">($AC341*($LS341/Control!$C$141)+$LM341*$LV341)/($AC341+$LM341)</f>
        <v>0.23530094218323697</v>
      </c>
      <c r="LZ341" s="170">
        <f t="shared" ca="1" si="1257"/>
        <v>0.23530094218323697</v>
      </c>
      <c r="MA341" s="170">
        <f t="shared" ca="1" si="1258"/>
        <v>0.23530094218323697</v>
      </c>
      <c r="MB341" s="170" t="e">
        <f t="shared" ca="1" si="1259"/>
        <v>#N/A</v>
      </c>
      <c r="MC341" s="170">
        <f t="shared" ca="1" si="1350"/>
        <v>0.6018</v>
      </c>
      <c r="MD341" s="170">
        <f t="shared" ca="1" si="1260"/>
        <v>0.52989392535414004</v>
      </c>
      <c r="ME341" s="170">
        <f ca="1">($AC341*($LT341/Control!$C$141)+$LM341*$LW341)/($AC341+$LM341)</f>
        <v>0.71612369323045078</v>
      </c>
      <c r="MF341" s="170" t="e">
        <f ca="1">IF(Control!$B$16&gt;=1000,0.92,IF(AND(720&lt;=Control!$B$16,1000&gt;Control!$B$16),(0.95+(Control!$B$16-720)*((0.92-0.95)/(1000-720))),IF(AND(360&lt;=Control!$B$16,720&gt;Control!$B$16),(1+(Control!$B$16-360)*((0.95-1)/(720-360))),IF(AND(40&lt;=Control!$B$16,360&gt;Control!$B$16),(1.05+(Control!$B$16-40)*((1.05-1)/(360-40)))))))</f>
        <v>#N/A</v>
      </c>
      <c r="MG341" s="170">
        <f t="shared" ca="1" si="1261"/>
        <v>0.71612369323045078</v>
      </c>
      <c r="MH341" s="170" t="e">
        <f t="shared" ca="1" si="1262"/>
        <v>#N/A</v>
      </c>
      <c r="MI341" s="170" t="e">
        <f t="shared" ca="1" si="1262"/>
        <v>#N/A</v>
      </c>
      <c r="MJ341" s="170" t="e">
        <f ca="1">MAX(0.0001, Control!$C$132*$MI341*$DL341)</f>
        <v>#N/A</v>
      </c>
      <c r="MK341" s="170">
        <f ca="1">1/(0.76+1.5*($MG341/10))-(5-Control!$C$110)*0.1</f>
        <v>1.002845988140797</v>
      </c>
      <c r="ML341" s="173">
        <f ca="1">IF(Control!$C$110&lt;3,$MK341+($MG341-0.6)/(Control!$C$110*(Control!$C$110+3)), MAX(0.1, MIN(0.95,$MK341)))</f>
        <v>0.95</v>
      </c>
      <c r="MM341" s="173">
        <f ca="1">IF(Control!$C$110&lt;3,$MK341+(($MI341/10)-0.6)/(Control!$C$110*(Control!$C$110+3)), MAX(0.1, MIN(0.95,$MK341)))</f>
        <v>0.95</v>
      </c>
      <c r="MN341" s="173">
        <f ca="1">(1-$MM341)*(Control!$C$128-Control!$C$127)+Control!$C$127</f>
        <v>0.16</v>
      </c>
      <c r="MO341" s="170" t="e">
        <f ca="1">MAX(0,MIN(1,($MS341-Control!$C$127)/($MN341-Control!$C$127)))</f>
        <v>#DIV/0!</v>
      </c>
      <c r="MP341" s="173" t="e">
        <f ca="1">1/(0.76+1.5*$MI341)-(5-Control!$C$110)*0.1</f>
        <v>#N/A</v>
      </c>
      <c r="MQ341" s="172" t="e">
        <f t="shared" ca="1" si="1379"/>
        <v>#DIV/0!</v>
      </c>
      <c r="MR341" s="168" t="e">
        <f t="shared" ca="1" si="1351"/>
        <v>#DIV/0!</v>
      </c>
      <c r="MS341" s="173" t="e">
        <f ca="1">MAX(Control!$C$127, MIN(Control!$C$135, $MR341/MAX(0.0001,$CY341)))</f>
        <v>#DIV/0!</v>
      </c>
      <c r="MT341" s="168" t="e">
        <f ca="1">(Control!$C$128-$MS341)*Control!$C$74</f>
        <v>#DIV/0!</v>
      </c>
      <c r="MU341" s="168" t="e">
        <f ca="1">(Control!$C$135-$MS341)*Control!$C$74</f>
        <v>#DIV/0!</v>
      </c>
      <c r="MV341" s="168" t="e">
        <f t="shared" ca="1" si="1352"/>
        <v>#DIV/0!</v>
      </c>
      <c r="MW341" s="168" t="e">
        <f t="shared" ca="1" si="1353"/>
        <v>#DIV/0!</v>
      </c>
      <c r="MX341" s="171" t="e">
        <f ca="1">MAX(Control!$C$127, MIN(Control!$C$135, $MW341/MAX(0.0001,Control!$C$119-$CY341)))</f>
        <v>#DIV/0!</v>
      </c>
      <c r="MY341" s="54" t="e">
        <f ca="1">IF(Control!$C$114=1, $CX341*$MX341, 0)</f>
        <v>#DIV/0!</v>
      </c>
      <c r="MZ341" s="54" t="e">
        <f t="shared" ca="1" si="1354"/>
        <v>#N/A</v>
      </c>
      <c r="NA341" s="168" t="e">
        <f ca="1">(Control!$C$128-$MX341)*(Control!$C$119-Control!$C$74)</f>
        <v>#DIV/0!</v>
      </c>
      <c r="NB341" s="168" t="e">
        <f ca="1">(Control!$C$135-$MX341)*(Control!$C$119-Control!$C$74)</f>
        <v>#DIV/0!</v>
      </c>
      <c r="NC341" s="174" t="e">
        <f t="shared" ca="1" si="1355"/>
        <v>#DIV/0!</v>
      </c>
      <c r="ND341" s="54">
        <f ca="1">IF(Control!$C$58=2, IF(OR(Control!$B$218=$AH341,Control!$B$219=$AH341, Control!$B$220=$AH341, Control!$B$221=$AH341, Control!$B$222=$AH341, Control!$B$223=$AH341, Control!$B$224=$AH341, Control!$B$225=$AH341, Control!$B$226=$AH341, Control!$B$227=$AH341, Control!$B$228=$AH341), 1, 0), 0)</f>
        <v>0</v>
      </c>
      <c r="NE341" s="54">
        <f ca="1">IF($ND341=0,0, VLOOKUP($AH341,Control!$B$218:$C$228,2))</f>
        <v>0</v>
      </c>
      <c r="NF341" s="168" t="e">
        <f ca="1">$CY341*(Control!$C$128-Control!$C$127)</f>
        <v>#N/A</v>
      </c>
      <c r="NG341" s="54" t="e">
        <f ca="1">IF(Control!$C$58=2, $NI340-$NJ340, 0)</f>
        <v>#DIV/0!</v>
      </c>
      <c r="NH341" s="54" t="e">
        <f ca="1">IF(AND(Control!$C$58=1, $MS340&lt;= ($MN340+0.02), $I340&lt;10), 0, IF(Control!$C$58=2, $NG340, 0))</f>
        <v>#DIV/0!</v>
      </c>
      <c r="NI341" s="54" t="e">
        <f ca="1">IF(Control!$C$58=2, $NE341+$NH341,0)</f>
        <v>#DIV/0!</v>
      </c>
      <c r="NJ341" s="54" t="e">
        <f ca="1">IF(AND(Control!$C$58=1, $MS341&lt;= ($MN341+0.02), $I341&lt;10), MAX(0, MIN(10, 0.7*($NF341-$MV341))), IF(Control!$C$58=2, MIN(10,$NI341),0))</f>
        <v>#DIV/0!</v>
      </c>
      <c r="NK341" s="54" t="e">
        <f t="shared" ca="1" si="1263"/>
        <v>#DIV/0!</v>
      </c>
      <c r="NL341" s="173" t="e">
        <f ca="1">(1-Control!$C$73)*$I341+$NJ341</f>
        <v>#DIV/0!</v>
      </c>
      <c r="NM341" s="172" t="e">
        <f ca="1">IF($NL341&lt;0.5, $MB341* MAX(0, MIN(1, (SQRT($NC341)-SQRT($NC341-1))*Control!$C$71)),0)</f>
        <v>#DIV/0!</v>
      </c>
      <c r="NN341" s="170" t="e">
        <f ca="1">IF($NL341&gt;=5, $MB341, MAX(0,MIN($MB341, $NM341+$NL341,($MS341-Control!$C$129))))</f>
        <v>#DIV/0!</v>
      </c>
      <c r="NO341" s="54">
        <f>IF(Control!$C$133&lt;&gt;1, Control!$C$135-Control!$C$131, 0)</f>
        <v>0.38</v>
      </c>
      <c r="NP341" s="54" t="e">
        <f t="shared" ca="1" si="1264"/>
        <v>#DIV/0!</v>
      </c>
      <c r="NQ341" s="173" t="e">
        <f ca="1">MAX(0,MIN(1,(Control!$C$135-$MS341)/(Control!$C$135-$NO341)))</f>
        <v>#DIV/0!</v>
      </c>
      <c r="NR341" s="170" t="e">
        <f ca="1">IF(Control!$C$133&lt;&gt;1, $NQ341+((1-$NP341/4)*(1-$NQ341)),1)</f>
        <v>#DIV/0!</v>
      </c>
      <c r="NS341" s="170" t="e">
        <f ca="1">IF(Control!$B$31=0,$MJ341,MAX(0,MIN($MV341,$MO341*$NR341*$MJ341)))</f>
        <v>#DIV/0!</v>
      </c>
      <c r="NT341" s="170" t="e">
        <f t="shared" ca="1" si="1380"/>
        <v>#DIV/0!</v>
      </c>
      <c r="NU341" s="170" t="e">
        <f t="shared" ca="1" si="1356"/>
        <v>#N/A</v>
      </c>
      <c r="NV341" s="170" t="e">
        <f t="shared" ca="1" si="1265"/>
        <v>#N/A</v>
      </c>
      <c r="NW341" s="175" t="e">
        <f t="shared" ca="1" si="1266"/>
        <v>#DIV/0!</v>
      </c>
      <c r="NX341" s="170" t="e">
        <f ca="1">MIN(Control!$C$72+$MU341, $NW341)</f>
        <v>#DIV/0!</v>
      </c>
      <c r="NY341" s="170" t="e">
        <f ca="1">IF($MT341&lt;=$NX341,MIN(Control!$C$72+$NB341,$NX341-$MT341),0)</f>
        <v>#DIV/0!</v>
      </c>
      <c r="NZ341" s="54" t="e">
        <f ca="1">IF(Control!$C$114=1,  $CX341*($MX341-Control!$C$127), 0)</f>
        <v>#DIV/0!</v>
      </c>
      <c r="OA341" s="170" t="e">
        <f t="shared" ca="1" si="1267"/>
        <v>#DIV/0!</v>
      </c>
      <c r="OB341" s="170" t="e">
        <f ca="1">IF($NA341 &lt;=$NY341, MIN(Control!$C$72, $NY341-$NA341), 0)</f>
        <v>#DIV/0!</v>
      </c>
      <c r="OC341" s="168" t="e">
        <f t="shared" ca="1" si="1268"/>
        <v>#DIV/0!</v>
      </c>
      <c r="OD341" s="168" t="e">
        <f t="shared" ca="1" si="1357"/>
        <v>#DIV/0!</v>
      </c>
      <c r="OE341" s="170">
        <f ca="1">Control!$C$73*$I341</f>
        <v>0</v>
      </c>
      <c r="OF341" s="176" t="e">
        <f t="shared" ca="1" si="1269"/>
        <v>#DIV/0!</v>
      </c>
      <c r="OG341" s="168" t="e">
        <f t="shared" ca="1" si="1270"/>
        <v>#DIV/0!</v>
      </c>
      <c r="OH341" s="168" t="e">
        <f t="shared" ca="1" si="1271"/>
        <v>#DIV/0!</v>
      </c>
      <c r="OI341" s="168" t="e">
        <f t="shared" ca="1" si="1272"/>
        <v>#DIV/0!</v>
      </c>
      <c r="OJ341" s="168" t="e">
        <f t="shared" ca="1" si="1273"/>
        <v>#DIV/0!</v>
      </c>
      <c r="OK341" s="204" t="e">
        <f t="shared" ca="1" si="1274"/>
        <v>#DIV/0!</v>
      </c>
      <c r="OL341" s="177">
        <f>Control!$C$127</f>
        <v>0.15</v>
      </c>
      <c r="OM341" s="182" t="e">
        <f t="shared" ca="1" si="1275"/>
        <v>#N/A</v>
      </c>
      <c r="ON341" s="177">
        <f>Control!$C$128</f>
        <v>0.35</v>
      </c>
      <c r="OO341" s="182" t="e">
        <f t="shared" ca="1" si="1276"/>
        <v>#N/A</v>
      </c>
      <c r="OP341" s="138">
        <f t="shared" ca="1" si="1358"/>
        <v>0</v>
      </c>
      <c r="OQ341" s="138" t="e">
        <f t="shared" ca="1" si="1381"/>
        <v>#DIV/0!</v>
      </c>
      <c r="OR341" s="138" t="e">
        <f t="shared" ca="1" si="1359"/>
        <v>#DIV/0!</v>
      </c>
      <c r="OS341" s="137" t="e">
        <f t="shared" ca="1" si="1382"/>
        <v>#DIV/0!</v>
      </c>
      <c r="OT341" s="139" t="e">
        <f t="shared" ca="1" si="1383"/>
        <v>#DIV/0!</v>
      </c>
      <c r="OU341" s="138" t="e">
        <f t="shared" ca="1" si="1384"/>
        <v>#N/A</v>
      </c>
      <c r="OV341" s="138" t="e">
        <f t="shared" ca="1" si="1385"/>
        <v>#DIV/0!</v>
      </c>
      <c r="OW341" s="138" t="e">
        <f t="shared" ca="1" si="1360"/>
        <v>#DIV/0!</v>
      </c>
      <c r="OX341" s="138" t="e">
        <f t="shared" ca="1" si="1361"/>
        <v>#DIV/0!</v>
      </c>
      <c r="OY341" s="138" t="e">
        <f t="shared" ca="1" si="1362"/>
        <v>#DIV/0!</v>
      </c>
      <c r="OZ341" s="138" t="e">
        <f t="shared" ca="1" si="1277"/>
        <v>#DIV/0!</v>
      </c>
      <c r="PA341" s="138" t="e">
        <f t="shared" ca="1" si="1278"/>
        <v>#DIV/0!</v>
      </c>
      <c r="PB341" s="55">
        <f>IF(Control!$C$61="T", IF(Control!$C$65="F", IF($AH$6-Control!$C$60&lt;0,0,1), IF(365+$AH$6-Control!$C$60&lt;0,0,1)),0)</f>
        <v>0</v>
      </c>
      <c r="PC341" s="55">
        <f ca="1">IF(Control!$C$65="F", IF($AH$6-$HF341&lt;0,0,1), IF(365+$AH$6-$HF341&lt;0,0,1))</f>
        <v>1</v>
      </c>
      <c r="PD341" s="444">
        <f>Control!$C$118</f>
        <v>1500</v>
      </c>
      <c r="PE341" s="180" t="e">
        <f t="shared" ca="1" si="1279"/>
        <v>#N/A</v>
      </c>
      <c r="PF341" s="445">
        <f t="shared" ca="1" si="1363"/>
        <v>0.71612369323045078</v>
      </c>
      <c r="PT341" s="186"/>
      <c r="PU341" s="186"/>
      <c r="PV341" s="94"/>
      <c r="PW341" s="94"/>
      <c r="PX341" s="94"/>
      <c r="PY341" s="94"/>
      <c r="PZ341" s="94"/>
      <c r="QA341" s="94"/>
      <c r="QB341" s="94"/>
      <c r="QC341" s="94"/>
      <c r="QD341" s="94"/>
      <c r="QE341" s="94"/>
      <c r="QF341" s="94"/>
      <c r="QG341" s="94"/>
      <c r="QH341" s="94"/>
      <c r="QI341" s="94"/>
      <c r="QJ341" s="94"/>
      <c r="QK341" s="94"/>
      <c r="QL341" s="94"/>
      <c r="QM341" s="94"/>
      <c r="QN341" s="94"/>
      <c r="QO341" s="94"/>
      <c r="QP341" s="94"/>
    </row>
    <row r="342" spans="1:458" s="2" customFormat="1" x14ac:dyDescent="0.2">
      <c r="A342" s="395">
        <v>3</v>
      </c>
      <c r="B342" s="396">
        <v>12</v>
      </c>
      <c r="C342" s="387">
        <f ca="1">Weather_data!$B341</f>
        <v>0</v>
      </c>
      <c r="D342" s="388">
        <f ca="1">Weather_data!$F341</f>
        <v>0</v>
      </c>
      <c r="E342" s="388">
        <f ca="1">Weather_data!$E341</f>
        <v>0</v>
      </c>
      <c r="F342" s="388">
        <f t="shared" ca="1" si="1280"/>
        <v>0</v>
      </c>
      <c r="G342" s="388">
        <f ca="1">AVERAGE($D342:$E342)+Control!$B$9</f>
        <v>0</v>
      </c>
      <c r="H342" s="388">
        <f ca="1">Weather_data!$G341</f>
        <v>0</v>
      </c>
      <c r="I342" s="388">
        <f ca="1">Weather_data!$I341</f>
        <v>0</v>
      </c>
      <c r="J342" s="388">
        <f ca="1">Weather_data!$H341</f>
        <v>0</v>
      </c>
      <c r="K342" s="389">
        <f ca="1">Weather_data!$D341</f>
        <v>0</v>
      </c>
      <c r="L342" s="388" t="e">
        <f t="shared" ca="1" si="1281"/>
        <v>#N/A</v>
      </c>
      <c r="M342" s="388" t="e">
        <f t="shared" ca="1" si="1158"/>
        <v>#N/A</v>
      </c>
      <c r="N342" s="388">
        <f t="shared" ca="1" si="1159"/>
        <v>-2.1108296015723542E-16</v>
      </c>
      <c r="O342" s="388">
        <f t="shared" ca="1" si="1282"/>
        <v>2.1108296015723541E-15</v>
      </c>
      <c r="P342" s="390">
        <v>3</v>
      </c>
      <c r="Q342" s="388">
        <f ca="1">MAX($G342-Control!$C$107,0)</f>
        <v>0</v>
      </c>
      <c r="R342" s="388">
        <f t="shared" ca="1" si="1283"/>
        <v>0</v>
      </c>
      <c r="S342" s="388">
        <f t="shared" ca="1" si="1160"/>
        <v>0</v>
      </c>
      <c r="T342" s="388">
        <f t="shared" ca="1" si="1161"/>
        <v>0</v>
      </c>
      <c r="U342" s="59">
        <f t="shared" ca="1" si="1162"/>
        <v>0</v>
      </c>
      <c r="V342" s="391">
        <f ca="1">MAX(0,MIN(Control!$C$100-Control!$C$99,$G342-Control!$C$99)*Control!$C$63)</f>
        <v>0</v>
      </c>
      <c r="W342" s="388">
        <f t="shared" ca="1" si="1284"/>
        <v>0</v>
      </c>
      <c r="X342" s="388">
        <f t="shared" ca="1" si="1285"/>
        <v>0.6110000000000001</v>
      </c>
      <c r="Y342" s="388">
        <f t="shared" ca="1" si="1163"/>
        <v>0</v>
      </c>
      <c r="Z342" s="388">
        <f t="shared" ca="1" si="1286"/>
        <v>0.61058800000000002</v>
      </c>
      <c r="AA342" s="388">
        <f t="shared" ca="1" si="1164"/>
        <v>0.6018</v>
      </c>
      <c r="AB342" s="388">
        <f ca="1">101.3*EXP(-0.034*Control!$C$66/($G342+273))</f>
        <v>100.69623283836242</v>
      </c>
      <c r="AC342" s="392">
        <f t="shared" ca="1" si="1165"/>
        <v>4.3460251046025113E-2</v>
      </c>
      <c r="AD342" s="392">
        <f t="shared" ca="1" si="1166"/>
        <v>4.4450382862832649E-2</v>
      </c>
      <c r="AE342" s="388">
        <f t="shared" ca="1" si="1167"/>
        <v>0</v>
      </c>
      <c r="AF342" s="388">
        <f ca="1">MAX(0,$G342-Control!$C$92)</f>
        <v>0</v>
      </c>
      <c r="AG342" s="393">
        <f t="shared" ca="1" si="1168"/>
        <v>338</v>
      </c>
      <c r="AH342" s="389">
        <f t="shared" ca="1" si="1169"/>
        <v>338</v>
      </c>
      <c r="AI342" s="388">
        <f t="shared" ca="1" si="1287"/>
        <v>-0.39091264365638201</v>
      </c>
      <c r="AJ342" s="388">
        <f ca="1">IF(Control!$C$60&lt;=0,$HH342,$HI342)</f>
        <v>1</v>
      </c>
      <c r="AK342" s="388">
        <f t="shared" ca="1" si="1170"/>
        <v>4.4412652308283098</v>
      </c>
      <c r="AL342" s="388">
        <f t="shared" ca="1" si="1171"/>
        <v>7.2096842385072066E-19</v>
      </c>
      <c r="AM342" s="388">
        <f t="shared" ca="1" si="1172"/>
        <v>4.4412652308283098</v>
      </c>
      <c r="AN342" s="388">
        <f t="shared" ca="1" si="1173"/>
        <v>-0.3933325286461849</v>
      </c>
      <c r="AO342" s="388">
        <f ca="1">-0.10453/COS(Control!$B$8*PI()/180)*COS(AN342)</f>
        <v>-0.15681957203489488</v>
      </c>
      <c r="AP342" s="388">
        <f ca="1">ACOS(AO342-TAN(Control!$B$8*PI()/180)*TAN(AN342))</f>
        <v>1.1871548184741352</v>
      </c>
      <c r="AQ342" s="388">
        <f t="shared" ca="1" si="1288"/>
        <v>0</v>
      </c>
      <c r="AR342" s="394">
        <f t="shared" ca="1" si="1174"/>
        <v>0</v>
      </c>
      <c r="AS342" s="436">
        <f ca="1">IF(Control!$B$18=2,(IF(OR($AH342=Control!$B$175,$AH342=Control!$B$176,$AH342=Control!$B$177,$AH342=Control!$B$178,$AH342=Control!$B$179,$AH342=Control!$B$180,$AH342=Control!$B$181,$AH342=Control!$B$182,$AH342=Control!$B$183,$AH342=Control!$B$184,$AH342=Control!$B$185),1,0)),0)</f>
        <v>0</v>
      </c>
      <c r="AT342" s="436">
        <f>IF(Control!$B$20=8,IF(AND($AH342&gt;=Control!$B$172,$AH342&lt;=Control!$B$173),1,0),0)</f>
        <v>0</v>
      </c>
      <c r="AU342" s="436">
        <f>IF(Control!$B$20=8,IF($AV341=1,1*$AT342,IF($AT342=1,$AU341+1,$AU341)),0)</f>
        <v>0</v>
      </c>
      <c r="AV342" s="436">
        <f>IF(Control!$B$20=8,IF($AU342&gt;=Control!$B$174,1,0),0)</f>
        <v>0</v>
      </c>
      <c r="AW342" s="436">
        <f ca="1">IF(AND(Control!$B$18=2,Control!$B$171=1), $AV342, $AS342)</f>
        <v>0</v>
      </c>
      <c r="AX342" s="436" t="e">
        <f ca="1">IF(AND(Control!$B$18=1,$EU342&gt;=Control!$B$19),-$AY342,IF(AND(Control!$B$18=2,$AW342=1,$EU342&gt;$DS342),-$AY342, IF(Control!$C$108=0,0, IF(Control!$C$108&lt;&gt;0,1))))</f>
        <v>#N/A</v>
      </c>
      <c r="AY342" s="436" t="e">
        <f t="shared" ca="1" si="1289"/>
        <v>#N/A</v>
      </c>
      <c r="AZ342" s="436" t="e">
        <f ca="1">IF(AND(Control!$B$18=1,$EB342&gt;Control!$B$19),$AZ341+1, IF(AND(Control!$B$18=2, $AW342=1, $EB342&gt;$DS342), $AZ341+1,$AZ341))</f>
        <v>#N/A</v>
      </c>
      <c r="BA342" s="587">
        <f>IF(Control!$C$81=0,1,IF($AH342&gt;=Control!$C$82,1,0))</f>
        <v>1</v>
      </c>
      <c r="BB342" s="140" t="e">
        <f ca="1">IF($BA342&gt;$BA341,Control!$C$83,IF($AW342&gt;0,$AW342*Control!$C$84,IF(AND(Control!$B$18=1,EN341&lt;&gt;0),Control!$C$84,0)))</f>
        <v>#N/A</v>
      </c>
      <c r="BC342" s="140" t="e">
        <f t="shared" ca="1" si="1290"/>
        <v>#N/A</v>
      </c>
      <c r="BD342" s="140" t="e">
        <f ca="1">BC342*IF(OR($G342&lt;Control!$C$92,$G342&gt;Control!$C$95),0,IF(AND($G342&gt;=Control!$C$92,$G342&lt;=Control!$C$93),$G342-Control!$C$92,IF(AND($G342&gt;Control!$C$93,$G342&lt;=Control!$C$94),Control!$C$93-Control!$C$92,IF(AND($G342&gt;Control!$C$94,$G342&lt;=Control!$C$95),(Control!$C$93-Control!$C$92)*(Control!$C$94-$G342)/(Control!$C$95-Control!$C$94)))))</f>
        <v>#N/A</v>
      </c>
      <c r="BE342" s="140" t="e">
        <f t="shared" ca="1" si="1291"/>
        <v>#N/A</v>
      </c>
      <c r="BF342" s="140" t="e">
        <f ca="1">IF($BE342&lt;=Control!$C$86,$BE342,Control!$C$86-$BE342)</f>
        <v>#N/A</v>
      </c>
      <c r="BG342" s="140" t="e">
        <f ca="1">IF(AND($AW342=1,Control!$C$84&lt;9),1,IF($BE342&gt;=Control!$C$86,0,$BC342))</f>
        <v>#N/A</v>
      </c>
      <c r="BH342" s="404" t="e">
        <f ca="1">IF($BG342=0,0,IF($BE342&lt;=Control!$C$86,$BC342*9*($BF342/Control!$C$86),0))</f>
        <v>#N/A</v>
      </c>
      <c r="BI342" s="140" t="e">
        <f ca="1">IF($BG342=1,0,IF($BE342&gt;=Control!$C$86,1,IF(AND($BB342&lt;21,$BB342&gt;=9),1,$BM341)))</f>
        <v>#N/A</v>
      </c>
      <c r="BJ342" s="140" t="e">
        <f ca="1">IF($BF342&lt;0,-$BF342,$BI342*IF(OR($G342&lt;Control!$C$92,$G342&gt;Control!$C$95),0,IF(AND($G342&gt;=Control!$C$92,$G342&lt;=Control!$C$93),$G342-Control!$C$92,IF(AND($G342&gt;Control!$C$93,$G342&lt;=Control!$C$94),Control!$C$93-Control!$C$92,IF(AND($G342&gt;Control!$C$94,$G342&lt;=Control!$C$95),(Control!$C$93-Control!$C$92)*(Control!$C$94-$G342)/(Control!$C$95-Control!$C$94))))))</f>
        <v>#N/A</v>
      </c>
      <c r="BK342" s="140" t="e">
        <f t="shared" ca="1" si="1292"/>
        <v>#N/A</v>
      </c>
      <c r="BL342" s="140" t="e">
        <f ca="1">IF($BK342&lt;=Control!$C$87,$BK342,Control!$C$87-$BK342)</f>
        <v>#N/A</v>
      </c>
      <c r="BM342" s="140" t="e">
        <f ca="1">IF(AND($BB342&gt;=9,$BB342&lt;21),1,IF($BK342&gt;=Control!$C$87,0,$BI342))</f>
        <v>#N/A</v>
      </c>
      <c r="BN342" s="404" t="e">
        <f ca="1">IF($BM342=0,0,IF($BK342&lt;=Control!$C$87,$BI342*(9+(21-9)*($BL342/Control!$C$87)),0))</f>
        <v>#N/A</v>
      </c>
      <c r="BO342" s="140" t="e">
        <f ca="1">IF($BM342=1,0,IF($BK342&gt;=Control!$C$87,1,IF(AND($BB342&lt;30,$BB342&gt;=21),1,$BS341)))</f>
        <v>#N/A</v>
      </c>
      <c r="BP342" s="140" t="e">
        <f ca="1">IF($BL342&lt;0,-$BL342,$BO342*IF(OR($G342&lt;Control!$C$92,$G342&gt;Control!$C$95),0,IF(AND($G342&gt;=Control!$C$92,$G342&lt;=Control!$C$93),$G342-Control!$C$92,IF(AND($G342&gt;Control!$C$93,$G342&lt;=Control!$C$94),Control!$C$93-Control!$C$92,IF(AND($G342&gt;Control!$C$94,$G342&lt;=Control!$C$95),(Control!$C$93-Control!$C$92)*(Control!$C$94-$G342)/(Control!$C$95-Control!$C$94))))))</f>
        <v>#N/A</v>
      </c>
      <c r="BQ342" s="140" t="e">
        <f t="shared" ca="1" si="1175"/>
        <v>#N/A</v>
      </c>
      <c r="BR342" s="140" t="e">
        <f ca="1">IF($BQ342&lt;=Control!$C$88,$BQ342,Control!$C$88-$BQ342)</f>
        <v>#N/A</v>
      </c>
      <c r="BS342" s="140" t="e">
        <f ca="1">IF(AND($BB342&gt;=21,$BB342&lt;30),1,IF($BQ342&gt;=Control!$C$88,0,$BO342))</f>
        <v>#N/A</v>
      </c>
      <c r="BT342" s="404" t="e">
        <f ca="1">IF($BS342=0,0,IF($BQ342&lt;=Control!$C$88,$BO342*(21+(30-21)*(BR342/Control!$C$88)),0))</f>
        <v>#N/A</v>
      </c>
      <c r="BU342" s="140" t="e">
        <f ca="1">IF(BG342+BM342+BS342=1,0,IF(OR(AND($BB342&lt;60,$BB342&gt;=30),$BQ342&gt;=Control!$C$88),1*$BA342,$BY341))</f>
        <v>#N/A</v>
      </c>
      <c r="BV342" s="140" t="e">
        <f ca="1">IF($BR342&lt;0,-$BR342,$BU342*IF(OR($G342&lt;Control!$C$92,$G342&gt;Control!$C$95),0,IF(AND($G342&gt;=Control!$C$92,$G342&lt;=Control!$C$93),$G342-Control!$C$92,IF(AND($G342&gt;Control!$C$93,$G342&lt;=Control!$C$94),Control!$C$93-Control!$C$92,IF(AND($G342&gt;Control!$C$94,$G342&lt;=Control!$C$95),(Control!$C$93-Control!$C$92)*(Control!$C$94-$G342)/(Control!$C$95-Control!$C$94))))))</f>
        <v>#N/A</v>
      </c>
      <c r="BW342" s="140" t="e">
        <f t="shared" ca="1" si="1176"/>
        <v>#N/A</v>
      </c>
      <c r="BX342" s="140" t="e">
        <f ca="1">IF($BW342&lt;=Control!$C$89,$BW342,Control!$C$89-$BW342)</f>
        <v>#N/A</v>
      </c>
      <c r="BY342" s="140" t="e">
        <f ca="1">IF(AND($AJ342&gt;=30,$AJ342&lt;60),1,IF($BW342&gt;=Control!$C$89,0,$BU342))</f>
        <v>#N/A</v>
      </c>
      <c r="BZ342" s="404" t="e">
        <f ca="1">IF($BY342=0,0,IF($BW342&lt;=Control!$C$89,$BU342*(30+(60-30)*(BX342/Control!$C$89)),0))</f>
        <v>#N/A</v>
      </c>
      <c r="CA342" s="140" t="e">
        <f ca="1">IF($BG342+$BM342+$BS342+$BY342=1,0,IF(OR(AND($BB342&lt;65,$BB342&gt;=60),$BW342&gt;=Control!$C$89),1*$BA342,$CE341))</f>
        <v>#N/A</v>
      </c>
      <c r="CB342" s="140" t="e">
        <f ca="1">IF($BX342&lt;0,-$BX342,$CA342*IF(OR($G342&lt;Control!$C$92,$G342&gt;Control!$C$95),0,IF(AND($G342&gt;=Control!$C$92,$G342&lt;=Control!$C$93),$G342-Control!$C$92,IF(AND($G342&gt;Control!$C$93,$G342&lt;=Control!$C$94),Control!$C$93-Control!$C$92,IF(AND($G342&gt;Control!$C$94,$G342&lt;=Control!$C$95),(Control!$C$93-Control!$C$92)*(Control!$C$94-$G342)/(Control!$C$95-Control!$C$94))))))</f>
        <v>#N/A</v>
      </c>
      <c r="CC342" s="140" t="e">
        <f t="shared" ca="1" si="1293"/>
        <v>#N/A</v>
      </c>
      <c r="CD342" s="140" t="e">
        <f ca="1">IF($CC342&lt;=Control!$C$90,$CC342,Control!$C$90-$CC342)</f>
        <v>#N/A</v>
      </c>
      <c r="CE342" s="140" t="e">
        <f ca="1">IF(AND($BB342&gt;=60,$BB342&lt;65),1,IF($CC342&gt;=Control!$C$90,0,$CA342))</f>
        <v>#N/A</v>
      </c>
      <c r="CF342" s="404" t="e">
        <f ca="1">IF($CE342=0,0,IF($CC342&lt;=Control!$C$90,$CA342*(60+(65-60)*(CD342/Control!$C$90)),0))</f>
        <v>#N/A</v>
      </c>
      <c r="CG342" s="140" t="e">
        <f ca="1">IF($BG342+$BM342+$BS342+$BY342+$CE342=1,0,IF(OR(AND($BB342&lt;90,$BB342&gt;=65),$CC342&gt;=Control!$C$90),$BA342,$CK341))</f>
        <v>#N/A</v>
      </c>
      <c r="CH342" s="140" t="e">
        <f ca="1">IF($CD342&lt;0,-$CD342,$CG342*IF(OR($G342&lt;Control!$C$92,$G342&gt;Control!$C$95),0,IF(AND($G342&gt;=Control!$C$92,$G342&lt;=Control!$C$93),$G342-Control!$C$92,IF(AND($G342&gt;Control!$C$93,$G342&lt;=Control!$C$94),Control!$C$93-Control!$C$92,IF(AND($G342&gt;Control!$C$94,$G342&lt;=Control!$C$95),(Control!$C$93-Control!$C$92)*(Control!$C$94-$G342)/(Control!$C$95-Control!$C$94))))))</f>
        <v>#N/A</v>
      </c>
      <c r="CI342" s="140" t="e">
        <f t="shared" ca="1" si="1294"/>
        <v>#N/A</v>
      </c>
      <c r="CJ342" s="140" t="e">
        <f ca="1">IF($CI342&lt;=Control!$C$91,$CI342,Control!$C$91-$CI342)</f>
        <v>#N/A</v>
      </c>
      <c r="CK342" s="140" t="e">
        <f ca="1">IF(AND($BB342&gt;=65,$BB342&lt;90),1,IF($CI342&gt;=Control!$C$91,0,$CG342))</f>
        <v>#N/A</v>
      </c>
      <c r="CL342" s="404" t="e">
        <f ca="1">IF($CK342=0,0,IF($CI342&lt;=Control!$C$91,$CG342*(65+(90-65)*($CJ342/Control!$C$91)),0))</f>
        <v>#N/A</v>
      </c>
      <c r="CM342" s="140" t="e">
        <f ca="1">IF($BG342+$BM342+$BS342+$BY342+$CE342+$CK342=1,0,IF(OR($BB342&gt;=90,$CI342&gt;=Control!$C$91),$BA342,$CM341))</f>
        <v>#N/A</v>
      </c>
      <c r="CN342" s="140" t="e">
        <f t="shared" ca="1" si="1295"/>
        <v>#N/A</v>
      </c>
      <c r="CO342" s="140" t="e">
        <f t="shared" ca="1" si="1296"/>
        <v>#N/A</v>
      </c>
      <c r="CP342" s="140" t="e">
        <f t="shared" ca="1" si="1297"/>
        <v>#N/A</v>
      </c>
      <c r="CQ342" s="141" t="e">
        <f ca="1">VLOOKUP($CP342,Control!$B$86:$G$91,6)</f>
        <v>#N/A</v>
      </c>
      <c r="CR342" s="141" t="e">
        <f ca="1">(1-$CQ342)*VLOOKUP($CP342,Control!$B$86:$D$91,3)</f>
        <v>#N/A</v>
      </c>
      <c r="CS342" s="141" t="e">
        <f ca="1">(1-$CQ342)*VLOOKUP($CP342,Control!$B$86:$E$91,4)</f>
        <v>#N/A</v>
      </c>
      <c r="CT342" s="141" t="e">
        <f ca="1">(1-$CQ342)*VLOOKUP($CP342,Control!$B$86:$F$91,5)</f>
        <v>#N/A</v>
      </c>
      <c r="CU342" s="141">
        <f t="shared" ca="1" si="1298"/>
        <v>0</v>
      </c>
      <c r="CV342" s="583">
        <f t="shared" ca="1" si="1299"/>
        <v>0</v>
      </c>
      <c r="CW342" s="142">
        <f t="shared" ca="1" si="1300"/>
        <v>338</v>
      </c>
      <c r="CX342" s="612" t="e">
        <f ca="1">IF(Control!$C$114=1,(MIN(Control!$C$120*(IF($NT342-0.01&lt;0,0,1)),Control!$C$119-$CY342)))</f>
        <v>#DIV/0!</v>
      </c>
      <c r="CY342" s="143" t="e">
        <f t="shared" ca="1" si="1301"/>
        <v>#N/A</v>
      </c>
      <c r="CZ342" s="144">
        <f t="shared" ca="1" si="1177"/>
        <v>0</v>
      </c>
      <c r="DA342" s="144">
        <f t="shared" ca="1" si="1178"/>
        <v>0</v>
      </c>
      <c r="DB342" s="144" t="e">
        <f t="shared" ca="1" si="1179"/>
        <v>#N/A</v>
      </c>
      <c r="DC342" s="144" t="e">
        <f t="shared" ca="1" si="1180"/>
        <v>#N/A</v>
      </c>
      <c r="DD342" s="144" t="e">
        <f t="shared" ca="1" si="1386"/>
        <v>#N/A</v>
      </c>
      <c r="DE342" s="143" t="e">
        <f t="shared" ca="1" si="1302"/>
        <v>#N/A</v>
      </c>
      <c r="DF342" s="145" t="e">
        <f ca="1">$DR342*EXP(-Control!$C$158*(1-$KH342))</f>
        <v>#N/A</v>
      </c>
      <c r="DG342" s="146" t="e">
        <f ca="1">IF(Control!$C$114=1, $DF342*$EY342, 0)</f>
        <v>#N/A</v>
      </c>
      <c r="DH342" s="147" t="e">
        <f t="shared" ca="1" si="1303"/>
        <v>#N/A</v>
      </c>
      <c r="DI342" s="144" t="e">
        <f t="shared" ca="1" si="1364"/>
        <v>#N/A</v>
      </c>
      <c r="DJ342" s="147" t="e">
        <f ca="1">$EF342*Control!$C$109</f>
        <v>#N/A</v>
      </c>
      <c r="DK342" s="144" t="e">
        <f t="shared" ca="1" si="1304"/>
        <v>#N/A</v>
      </c>
      <c r="DL342" s="144" t="e">
        <f t="shared" ca="1" si="1181"/>
        <v>#N/A</v>
      </c>
      <c r="DM342" s="144" t="e">
        <f ca="1">IF(Control!$C$114=1, (1-EXP(-Control!$C$96*$DK342))*$AR342, 0)</f>
        <v>#N/A</v>
      </c>
      <c r="DN342" s="144">
        <f t="shared" ca="1" si="1305"/>
        <v>0</v>
      </c>
      <c r="DO342" s="148">
        <f>Control!$C$97</f>
        <v>4</v>
      </c>
      <c r="DP342" s="145" t="e">
        <f t="shared" ca="1" si="1306"/>
        <v>#N/A</v>
      </c>
      <c r="DQ342" s="145" t="e">
        <f ca="1">IF(AND($CP342&gt;=0,$CP342&lt;=90),Control!$C$111,Control!$C$111)</f>
        <v>#N/A</v>
      </c>
      <c r="DR342" s="145" t="e">
        <f t="shared" ca="1" si="1182"/>
        <v>#N/A</v>
      </c>
      <c r="DS342" s="143" t="e">
        <f ca="1">Control!$B$22/$DR342</f>
        <v>#N/A</v>
      </c>
      <c r="DT342" s="149" t="e">
        <f ca="1">IF(AND(Control!$C$114=1,$KH342&lt;1),$IM342*$DF342, 0)</f>
        <v>#N/A</v>
      </c>
      <c r="DU342" s="144" t="e">
        <f t="shared" ca="1" si="1307"/>
        <v>#N/A</v>
      </c>
      <c r="DV342" s="144">
        <f ca="1">IF($G342-Control!$C$107&lt;=0, 0, 0.83*LN(MAX($G342, 3))-0.8924)</f>
        <v>0</v>
      </c>
      <c r="DW342" s="144" t="e">
        <f t="shared" ca="1" si="1183"/>
        <v>#N/A</v>
      </c>
      <c r="DX342" s="150" t="e">
        <f ca="1">MAX(0.01*(1+$CU342/Control!$C$102),0.05*($DK342-Control!$C$97)/Control!$C$97)</f>
        <v>#N/A</v>
      </c>
      <c r="DY342" s="151" t="e">
        <f ca="1">IF(Control!$C$114=1, $DI342*$FS342, 0)</f>
        <v>#N/A</v>
      </c>
      <c r="DZ342" s="196" t="e">
        <f t="shared" ca="1" si="1308"/>
        <v>#N/A</v>
      </c>
      <c r="EA342" s="152">
        <f t="shared" ca="1" si="1309"/>
        <v>338</v>
      </c>
      <c r="EB342" s="153" t="e">
        <f t="shared" ca="1" si="1310"/>
        <v>#N/A</v>
      </c>
      <c r="EC342" s="153" t="e">
        <f t="shared" ca="1" si="1311"/>
        <v>#N/A</v>
      </c>
      <c r="ED342" s="154" t="e">
        <f ca="1">IF(Control!$C$114=1, $HM342*$FY342-$FD342, 0)</f>
        <v>#DIV/0!</v>
      </c>
      <c r="EE342" s="155" t="e">
        <f ca="1">IF(Control!$C$114=1, $HM342*$FZ342-$FF342, 0)</f>
        <v>#DIV/0!</v>
      </c>
      <c r="EF342" s="153" t="e">
        <f t="shared" ca="1" si="1365"/>
        <v>#N/A</v>
      </c>
      <c r="EG342" s="155" t="e">
        <f ca="1">IF(Control!$C$114=1, $GX342*$FW342-$FI342, 0)</f>
        <v>#DIV/0!</v>
      </c>
      <c r="EH342" s="153" t="e">
        <f t="shared" ca="1" si="1312"/>
        <v>#N/A</v>
      </c>
      <c r="EI342" s="156" t="e">
        <f t="shared" ca="1" si="1313"/>
        <v>#N/A</v>
      </c>
      <c r="EJ342" s="155" t="e">
        <f ca="1">IF(Control!$C$114=1, $HM342*$GB342, 0)</f>
        <v>#DIV/0!</v>
      </c>
      <c r="EK342" s="153" t="e">
        <f t="shared" ca="1" si="1366"/>
        <v>#N/A</v>
      </c>
      <c r="EL342" s="153" t="e">
        <f t="shared" ca="1" si="1184"/>
        <v>#N/A</v>
      </c>
      <c r="EM342" s="153" t="e">
        <f t="shared" ca="1" si="1185"/>
        <v>#N/A</v>
      </c>
      <c r="EN342" s="153" t="e">
        <f ca="1">IF(Control!$C$108=1,IF(AND(Control!$B$18=1,$EB342&gt;=Control!$B$19),$EB342-$DS342,IF(AND(Control!$B$18=2,$AW342=1,$EB342&gt;$DS342),$EB342-$DS342,0)))</f>
        <v>#N/A</v>
      </c>
      <c r="EO342" s="153" t="e">
        <f ca="1">IF(Control!$C$108=1,IF(AND(Control!$B$18=1,$EB342&gt;=Control!$B$19),$EF342,IF(AND(Control!$B$18=2,$AW342=1),$EF342,0)))</f>
        <v>#N/A</v>
      </c>
      <c r="EP342" s="153" t="e">
        <f ca="1">IF(Control!$C$108=1,IF(AND(Control!$B$18=1,$EB342&gt;=Control!$B$19),$EK342,IF(AND(Control!$B$18=2,$AW342=1),$EK342,0)))</f>
        <v>#N/A</v>
      </c>
      <c r="EQ342" s="153" t="e">
        <f t="shared" ca="1" si="1314"/>
        <v>#N/A</v>
      </c>
      <c r="ER342" s="153" t="e">
        <f t="shared" ca="1" si="1315"/>
        <v>#N/A</v>
      </c>
      <c r="ES342" s="153" t="e">
        <f t="shared" ca="1" si="1367"/>
        <v>#N/A</v>
      </c>
      <c r="ET342" s="153" t="e">
        <f t="shared" ca="1" si="1368"/>
        <v>#N/A</v>
      </c>
      <c r="EU342" s="153" t="e">
        <f t="shared" ca="1" si="1316"/>
        <v>#N/A</v>
      </c>
      <c r="EV342" s="153" t="e">
        <f t="shared" ca="1" si="1186"/>
        <v>#N/A</v>
      </c>
      <c r="EW342" s="153" t="e">
        <f t="shared" ca="1" si="1187"/>
        <v>#N/A</v>
      </c>
      <c r="EX342" s="153" t="e">
        <f t="shared" ca="1" si="1188"/>
        <v>#N/A</v>
      </c>
      <c r="EY342" s="157" t="e">
        <f t="shared" ca="1" si="1189"/>
        <v>#DIV/0!</v>
      </c>
      <c r="EZ342" s="154" t="e">
        <f t="shared" ca="1" si="1190"/>
        <v>#DIV/0!</v>
      </c>
      <c r="FA342" s="153" t="e">
        <f t="shared" ca="1" si="1317"/>
        <v>#N/A</v>
      </c>
      <c r="FB342" s="153" t="e">
        <f t="shared" ca="1" si="1191"/>
        <v>#N/A</v>
      </c>
      <c r="FC342" s="193" t="e">
        <f t="shared" ca="1" si="1192"/>
        <v>#N/A</v>
      </c>
      <c r="FD342" s="158" t="e">
        <f t="shared" ca="1" si="1318"/>
        <v>#N/A</v>
      </c>
      <c r="FE342" s="158" t="e">
        <f t="shared" ca="1" si="1319"/>
        <v>#N/A</v>
      </c>
      <c r="FF342" s="159" t="e">
        <f t="shared" ca="1" si="1193"/>
        <v>#N/A</v>
      </c>
      <c r="FG342" s="160" t="e">
        <f t="shared" ca="1" si="1320"/>
        <v>#N/A</v>
      </c>
      <c r="FH342" s="158" t="e">
        <f t="shared" ca="1" si="1321"/>
        <v>#N/A</v>
      </c>
      <c r="FI342" s="159" t="e">
        <f t="shared" ca="1" si="1194"/>
        <v>#N/A</v>
      </c>
      <c r="FJ342" s="160" t="e">
        <f t="shared" ca="1" si="1322"/>
        <v>#N/A</v>
      </c>
      <c r="FK342" s="160" t="e">
        <f t="shared" ca="1" si="1195"/>
        <v>#N/A</v>
      </c>
      <c r="FL342" s="160" t="e">
        <f t="shared" ca="1" si="1369"/>
        <v>#N/A</v>
      </c>
      <c r="FM342" s="160" t="e">
        <f t="shared" ca="1" si="1196"/>
        <v>#N/A</v>
      </c>
      <c r="FN342" s="158">
        <f t="shared" ca="1" si="1323"/>
        <v>0.01</v>
      </c>
      <c r="FO342" s="160">
        <f>Control!$C$101</f>
        <v>50</v>
      </c>
      <c r="FP342" s="150" t="e">
        <f t="shared" ca="1" si="1197"/>
        <v>#N/A</v>
      </c>
      <c r="FQ342" s="150" t="e">
        <f ca="1">MAX(0,(Control!$C$112*(($DK342-Control!$C$97)/Control!$C$97)))</f>
        <v>#N/A</v>
      </c>
      <c r="FR342" s="150" t="e">
        <f ca="1">(1-$NT342)*Control!$C$113</f>
        <v>#DIV/0!</v>
      </c>
      <c r="FS342" s="198" t="e">
        <f t="shared" ca="1" si="1198"/>
        <v>#N/A</v>
      </c>
      <c r="FT342" s="161">
        <f t="shared" ca="1" si="1324"/>
        <v>338</v>
      </c>
      <c r="FU342" s="162" t="e">
        <f ca="1">IF(Control!$B$34=1,VLOOKUP($CP342,Control!$B$86:$G$91,6),Control!$B$35)</f>
        <v>#N/A</v>
      </c>
      <c r="FV342" s="162" t="e">
        <f t="shared" ca="1" si="1199"/>
        <v>#DIV/0!</v>
      </c>
      <c r="FW342" s="162" t="e">
        <f ca="1">IF(Control!$B$31=1,$FU342*$FV342,  $FU342)</f>
        <v>#N/A</v>
      </c>
      <c r="FX342" s="162" t="e">
        <f ca="1">IF(Control!$B$34=1,VLOOKUP($CP342,Control!$B$86:$G$91,3),Control!$B$36)</f>
        <v>#N/A</v>
      </c>
      <c r="FY342" s="162" t="e">
        <f t="shared" ca="1" si="1200"/>
        <v>#N/A</v>
      </c>
      <c r="FZ342" s="162" t="e">
        <f ca="1">IF(Control!$B$34=1,VLOOKUP($CP342,Control!$B$86:$G$91,4),Control!$B$37)</f>
        <v>#N/A</v>
      </c>
      <c r="GA342" s="162" t="e">
        <f t="shared" ca="1" si="1201"/>
        <v>#N/A</v>
      </c>
      <c r="GB342" s="162" t="e">
        <f ca="1">IF(Control!$B$34=1,VLOOKUP($CP342,Control!$B$86:$G$91,5),Control!$B$38)</f>
        <v>#N/A</v>
      </c>
      <c r="GC342" s="162" t="e">
        <f t="shared" ca="1" si="1325"/>
        <v>#N/A</v>
      </c>
      <c r="GD342" s="162">
        <f t="shared" ca="1" si="1202"/>
        <v>1</v>
      </c>
      <c r="GE342" s="162">
        <f t="shared" ca="1" si="1203"/>
        <v>1</v>
      </c>
      <c r="GF342" s="162">
        <f ca="1">IF(AND(Control!$C$104=1, Control!$C$62="F"),$GE342,1)</f>
        <v>1</v>
      </c>
      <c r="GG342" s="162" t="e">
        <f ca="1">IF(Control!$B$16=40,0,IF(AND(Control!$B$16&gt;40,Control!$B$16&lt;=360),(Control!$B$16-40)*((1-0)/(360-40)),IF(AND(Control!$B$16&gt;360,Control!$B$16&lt;=720),(1+(Control!$B$16-360)*((1.25-1)/(720-360))),IF(AND(Control!$B$16&gt;720,Control!$B$16&lt;=1000),(1.25+(Control!$B$16-720)*((1.35-1.25)/(1000-720))),IF(AND(Control!$B$16&gt;1000,Control!$B$16&lt;=2000),(1.35+(Control!$B$16-1000)*0))))))</f>
        <v>#N/A</v>
      </c>
      <c r="GH342" s="162" t="e">
        <f t="shared" ca="1" si="1204"/>
        <v>#N/A</v>
      </c>
      <c r="GI342" s="162">
        <f t="shared" ca="1" si="1326"/>
        <v>0</v>
      </c>
      <c r="GJ342" s="162">
        <f t="shared" ca="1" si="1205"/>
        <v>0</v>
      </c>
      <c r="GK342" s="162">
        <f t="shared" ca="1" si="1327"/>
        <v>1</v>
      </c>
      <c r="GL342" s="162">
        <f t="shared" ca="1" si="1206"/>
        <v>1</v>
      </c>
      <c r="GM342" s="162" t="e">
        <f ca="1">MAX(0,MIN(1,1-Control!$C$156*(1.0001-$KH342)^2))</f>
        <v>#N/A</v>
      </c>
      <c r="GN342" s="162" t="e">
        <f ca="1">IF(Control!$B$26=1,$KU342,$KX342)</f>
        <v>#N/A</v>
      </c>
      <c r="GO342" s="162" t="e">
        <f ca="1">IF($CP342&lt;=60,Control!$C$105,IF($CP342&gt;=90,Control!$C$106,Control!$C$105+($CP342-60)*((Control!$C$106-Control!$C$105)/(90-60))))</f>
        <v>#N/A</v>
      </c>
      <c r="GP342" s="162" t="e">
        <f t="shared" ca="1" si="1207"/>
        <v>#N/A</v>
      </c>
      <c r="GQ342" s="162" t="e">
        <f t="shared" ca="1" si="1328"/>
        <v>#N/A</v>
      </c>
      <c r="GR342" s="163" t="e">
        <f t="shared" ca="1" si="1208"/>
        <v>#DIV/0!</v>
      </c>
      <c r="GS342" s="162" t="e">
        <f t="shared" ca="1" si="1209"/>
        <v>#DIV/0!</v>
      </c>
      <c r="GT342" s="164" t="e">
        <f t="shared" ca="1" si="1329"/>
        <v>#N/A</v>
      </c>
      <c r="GU342" s="162" t="e">
        <f t="shared" ca="1" si="1330"/>
        <v>#N/A</v>
      </c>
      <c r="GV342" s="162" t="e">
        <f t="shared" ca="1" si="1210"/>
        <v>#N/A</v>
      </c>
      <c r="GW342" s="162" t="e">
        <f t="shared" ca="1" si="1211"/>
        <v>#DIV/0!</v>
      </c>
      <c r="GX342" s="162" t="e">
        <f t="shared" ca="1" si="1331"/>
        <v>#DIV/0!</v>
      </c>
      <c r="GY342" s="162" t="e">
        <f t="shared" ca="1" si="1332"/>
        <v>#DIV/0!</v>
      </c>
      <c r="GZ342" s="165" t="e">
        <f t="shared" ca="1" si="1212"/>
        <v>#N/A</v>
      </c>
      <c r="HA342" s="162" t="e">
        <f ca="1">IF(Control!$C$114=1, $DI342*$FS342, 0)</f>
        <v>#N/A</v>
      </c>
      <c r="HB342" s="162" t="e">
        <f ca="1">$FA342/Control!$C$64</f>
        <v>#N/A</v>
      </c>
      <c r="HC342" s="162" t="e">
        <f t="shared" ca="1" si="1213"/>
        <v>#DIV/0!</v>
      </c>
      <c r="HD342" s="162">
        <f ca="1">-ASIN(SIN(23.45*Control!$C$139)*COS(2*Control!$C$138*($AH342+10)/365))</f>
        <v>-0.39091264365638201</v>
      </c>
      <c r="HE342" s="165">
        <f t="shared" ca="1" si="1333"/>
        <v>0</v>
      </c>
      <c r="HF342" s="166">
        <f ca="1">IF(AND(Control!$C$61="T",$HE342&gt;=Control!$C$103,Control!$C$114=0),$AH342,Control!$C$59)</f>
        <v>1</v>
      </c>
      <c r="HG342" s="166">
        <f ca="1">IF(AND(Control!$C$61="T",$HE342&gt;=Control!$C$103,Control!$C$114=0),$HF342,Control!$C$59)</f>
        <v>1</v>
      </c>
      <c r="HH342" s="165">
        <f ca="1">IF(AND(OR(Control!$C$60&lt;=0, $AH342= Control!$C$59, Control!$C$60 &gt;0, $AH342 = Control!$C$60)), Control!$C$59, IF(Control!$C$60&gt;0, 0))</f>
        <v>1</v>
      </c>
      <c r="HI342" s="165">
        <f ca="1">IF(AND(OR(Control!$C$60&lt;=0, $AH342= Control!$C$59, Control!$C$60 &gt;0, $AH342 = Control!$C$60)), Control!$C$60, IF(Control!$C$60&lt;=0, 0))</f>
        <v>0</v>
      </c>
      <c r="HJ342" s="166">
        <f ca="1">IF(AND(Control!$C$62="F",$CV342&gt;=Control!$C$102),$AH342,0)</f>
        <v>0</v>
      </c>
      <c r="HK342" s="165" t="e">
        <f t="shared" ca="1" si="1370"/>
        <v>#N/A</v>
      </c>
      <c r="HL342" s="166">
        <f ca="1">IF(AND(Control!$C$61="T",$HE342&gt;=Control!$C$103,Control!$C$114=0),$HF342,0)</f>
        <v>0</v>
      </c>
      <c r="HM342" s="201" t="e">
        <f t="shared" ca="1" si="1214"/>
        <v>#DIV/0!</v>
      </c>
      <c r="HN342" s="215">
        <f t="shared" ca="1" si="1334"/>
        <v>338</v>
      </c>
      <c r="HO342" s="216" t="e">
        <f ca="1">IF(AND($CP342&gt;=0, $CP342&lt;=90), Control!$C$152, Control!$C$152)</f>
        <v>#N/A</v>
      </c>
      <c r="HP342" s="216" t="e">
        <f t="shared" ca="1" si="1215"/>
        <v>#N/A</v>
      </c>
      <c r="HQ342" s="217" t="e">
        <f ca="1">IF(OR(Control!$B$26=1,Control!$B$26=2),$KV342,$KS342)</f>
        <v>#DIV/0!</v>
      </c>
      <c r="HR342" s="218" t="e">
        <f t="shared" ca="1" si="1371"/>
        <v>#DIV/0!</v>
      </c>
      <c r="HS342" s="216" t="e">
        <f ca="1">Control!$C$154*$HP342</f>
        <v>#N/A</v>
      </c>
      <c r="HT342" s="216" t="e">
        <f ca="1">Control!$C$155*$HP342</f>
        <v>#N/A</v>
      </c>
      <c r="HU342" s="217" t="e">
        <f ca="1">Control!$C$161*$FI342</f>
        <v>#N/A</v>
      </c>
      <c r="HV342" s="218" t="e">
        <f t="shared" ca="1" si="1335"/>
        <v>#N/A</v>
      </c>
      <c r="HW342" s="218" t="e">
        <f ca="1">Control!$C$160*$FF342+$IP342*$EO342</f>
        <v>#N/A</v>
      </c>
      <c r="HX342" s="218" t="e">
        <f t="shared" ca="1" si="1372"/>
        <v>#N/A</v>
      </c>
      <c r="HY342" s="219" t="e">
        <f ca="1">IF(Control!$C$114=1, $EB342*$FS342, 0)</f>
        <v>#N/A</v>
      </c>
      <c r="HZ342" s="91" t="e">
        <f t="shared" ca="1" si="1216"/>
        <v>#N/A</v>
      </c>
      <c r="IA342" s="220" t="e">
        <f ca="1">Control!$C$153*$HO342</f>
        <v>#N/A</v>
      </c>
      <c r="IB342" s="218" t="e">
        <f t="shared" ca="1" si="1217"/>
        <v>#N/A</v>
      </c>
      <c r="IC342" s="220" t="e">
        <f ca="1">Control!$C$153*$HT342</f>
        <v>#N/A</v>
      </c>
      <c r="ID342" s="218" t="e">
        <f t="shared" ca="1" si="1218"/>
        <v>#N/A</v>
      </c>
      <c r="IE342" s="221" t="e">
        <f ca="1">($EB342*Control!$C$159+$EF342*Control!$C$160)/(IF($GZ342&lt;&gt;0,$GZ342,1))</f>
        <v>#N/A</v>
      </c>
      <c r="IF342" s="216" t="e">
        <f t="shared" ca="1" si="1219"/>
        <v>#N/A</v>
      </c>
      <c r="IG342" s="91">
        <f ca="1">IF(OR(Control!$B$198=$AH342,Control!$B$199=$AH342, Control!$B$200=$AH342, Control!$B$201=$AH342, Control!$B$202=$AH342, Control!$B$203=$AH342, Control!$B$204=$AH342, Control!$B$205=$AH342, Control!$B$206=$AH342, Control!$B$207=$AH342), 1, 0)</f>
        <v>0</v>
      </c>
      <c r="IH342" s="91">
        <f ca="1">IF($IG342=0,0, VLOOKUP($AH342,Control!$B$198:$C$207,2))</f>
        <v>0</v>
      </c>
      <c r="II342" s="222">
        <f t="shared" ca="1" si="1336"/>
        <v>0</v>
      </c>
      <c r="IJ342" s="91">
        <f>Control!$C$121</f>
        <v>0.7</v>
      </c>
      <c r="IK342" s="218">
        <f t="shared" ca="1" si="1220"/>
        <v>0</v>
      </c>
      <c r="IL342" s="217" t="e">
        <f t="shared" ca="1" si="1373"/>
        <v>#N/A</v>
      </c>
      <c r="IM342" s="223" t="e">
        <f ca="1">IF(AND(Control!$C$114=1,$KH342&lt;1),$EB342*Control!$C$148*(1-$KH342), 0)</f>
        <v>#N/A</v>
      </c>
      <c r="IN342" s="217" t="e">
        <f t="shared" ca="1" si="1221"/>
        <v>#DIV/0!</v>
      </c>
      <c r="IO342" s="91" t="e">
        <f ca="1">MAX(0,$IL342-$EF342*Control!$C$160)</f>
        <v>#N/A</v>
      </c>
      <c r="IP342" s="220" t="e">
        <f t="shared" ca="1" si="1222"/>
        <v>#N/A</v>
      </c>
      <c r="IQ342" s="217" t="e">
        <f t="shared" ca="1" si="1337"/>
        <v>#N/A</v>
      </c>
      <c r="IR342" s="218" t="e">
        <f t="shared" ca="1" si="1223"/>
        <v>#N/A</v>
      </c>
      <c r="IS342" s="217" t="e">
        <f ca="1">Control!$C$159*MAX(0,$FD342-$EN342)</f>
        <v>#N/A</v>
      </c>
      <c r="IT342" s="217" t="e">
        <f t="shared" ca="1" si="1374"/>
        <v>#N/A</v>
      </c>
      <c r="IU342" s="217" t="e">
        <f t="shared" ca="1" si="1338"/>
        <v>#N/A</v>
      </c>
      <c r="IV342" s="217" t="e">
        <f t="shared" ca="1" si="1375"/>
        <v>#N/A</v>
      </c>
      <c r="IW342" s="217" t="e">
        <f ca="1">IF(OR($AW342=1,AND($AW342=0, Control!$B$18=1,$EN342&lt;&gt;0)), $IQ342-$IU342, $IQ342)</f>
        <v>#N/A</v>
      </c>
      <c r="IX342" s="218" t="e">
        <f t="shared" ca="1" si="1224"/>
        <v>#N/A</v>
      </c>
      <c r="IY342" s="218" t="e">
        <f ca="1">MAX(0,$IQ342-$EB342*Control!$C$159)</f>
        <v>#N/A</v>
      </c>
      <c r="IZ342" s="218" t="e">
        <f t="shared" ca="1" si="1225"/>
        <v>#N/A</v>
      </c>
      <c r="JA342" s="216" t="e">
        <f t="shared" ca="1" si="1226"/>
        <v>#N/A</v>
      </c>
      <c r="JB342" s="217" t="e">
        <f t="shared" ca="1" si="1227"/>
        <v>#N/A</v>
      </c>
      <c r="JC342" s="222" t="e">
        <f ca="1">MAX(Control!$C$157*$EK342-$JT342, 0)/Control!$C$162</f>
        <v>#N/A</v>
      </c>
      <c r="JD342" s="218" t="e">
        <f t="shared" ca="1" si="1228"/>
        <v>#N/A</v>
      </c>
      <c r="JE342" s="218" t="e">
        <f t="shared" ca="1" si="1229"/>
        <v>#N/A</v>
      </c>
      <c r="JF342" s="218" t="e">
        <f t="shared" ca="1" si="1339"/>
        <v>#N/A</v>
      </c>
      <c r="JG342" s="218" t="e">
        <f t="shared" ca="1" si="1230"/>
        <v>#N/A</v>
      </c>
      <c r="JH342" s="217" t="e">
        <f t="shared" ca="1" si="1340"/>
        <v>#N/A</v>
      </c>
      <c r="JI342" s="217" t="e">
        <f t="shared" ca="1" si="1341"/>
        <v>#N/A</v>
      </c>
      <c r="JJ342" s="217" t="e">
        <f t="shared" ca="1" si="1376"/>
        <v>#N/A</v>
      </c>
      <c r="JK342" s="217" t="e">
        <f ca="1">IF(Control!$C$114=1,IF(Control!$B$24=0,MAX(0,$JI342)*$GN342/Control!$C$64,(MAX(0,MIN($JI342,$JJ342*$GN342/Control!$C$64),0))))</f>
        <v>#N/A</v>
      </c>
      <c r="JL342" s="217" t="e">
        <f ca="1">$IK342/Control!$C$64-$JK342+$HQ342</f>
        <v>#N/A</v>
      </c>
      <c r="JM342" s="217" t="e">
        <f ca="1">IF(Control!$C$114=1,($JB342/(IF($JI342&lt;&gt;0,$JI342,1)))*$JK342,0)</f>
        <v>#N/A</v>
      </c>
      <c r="JN342" s="217" t="e">
        <f ca="1">IF(Control!$C$114=1,($JG342/(IF($JI342&lt;&gt;0,$JI342,1)))*$JK342, 0)</f>
        <v>#N/A</v>
      </c>
      <c r="JO342" s="218" t="e">
        <f t="shared" ca="1" si="1231"/>
        <v>#N/A</v>
      </c>
      <c r="JP342" s="218" t="e">
        <f ca="1">MIN(($IY342+$IO342)*Control!$C$151, $JF342-$EH342*Control!$C$161)</f>
        <v>#N/A</v>
      </c>
      <c r="JQ342" s="218" t="e">
        <f t="shared" ca="1" si="1232"/>
        <v>#N/A</v>
      </c>
      <c r="JR342" s="217" t="e">
        <f ca="1">IF($CP342-Control!$C$150&lt;0, 0, $JQ342/Control!$C$162)</f>
        <v>#N/A</v>
      </c>
      <c r="JS342" s="218" t="e">
        <f t="shared" ca="1" si="1233"/>
        <v>#N/A</v>
      </c>
      <c r="JT342" s="218" t="e">
        <f t="shared" ca="1" si="1342"/>
        <v>#N/A</v>
      </c>
      <c r="JU342" s="218" t="e">
        <f t="shared" ca="1" si="1234"/>
        <v>#N/A</v>
      </c>
      <c r="JV342" s="218" t="e">
        <f t="shared" ca="1" si="1235"/>
        <v>#N/A</v>
      </c>
      <c r="JW342" s="216" t="e">
        <f t="shared" ca="1" si="1236"/>
        <v>#N/A</v>
      </c>
      <c r="JX342" s="91" t="e">
        <f t="shared" ca="1" si="1237"/>
        <v>#N/A</v>
      </c>
      <c r="JY342" s="218" t="e">
        <f t="shared" ca="1" si="1238"/>
        <v>#N/A</v>
      </c>
      <c r="JZ342" s="217" t="e">
        <f ca="1">IF(Control!$C$114=1,($IZ342/(IF($JI342&lt;&gt;0,$JI342,1)))*$JK342, 0)</f>
        <v>#N/A</v>
      </c>
      <c r="KA342" s="218" t="e">
        <f t="shared" ca="1" si="1377"/>
        <v>#N/A</v>
      </c>
      <c r="KB342" s="218" t="e">
        <f t="shared" ca="1" si="1343"/>
        <v>#N/A</v>
      </c>
      <c r="KC342" s="218" t="e">
        <f t="shared" ca="1" si="1239"/>
        <v>#N/A</v>
      </c>
      <c r="KD342" s="218" t="e">
        <f t="shared" ca="1" si="1240"/>
        <v>#N/A</v>
      </c>
      <c r="KE342" s="218" t="e">
        <f t="shared" ca="1" si="1241"/>
        <v>#N/A</v>
      </c>
      <c r="KF342" s="218" t="e">
        <f t="shared" ca="1" si="1242"/>
        <v>#N/A</v>
      </c>
      <c r="KG342" s="216" t="e">
        <f t="shared" ca="1" si="1243"/>
        <v>#N/A</v>
      </c>
      <c r="KH342" s="221" t="e">
        <f ca="1">IF(Control!$B$24=0,1,MAX(0.001,MIN(1,IF(($IF342-$IE342)&lt;&gt;0,($KG342-$IE342)/($IF342-$IE342),1))))</f>
        <v>#N/A</v>
      </c>
      <c r="KI342" s="222" t="e">
        <f ca="1">IF(Control!$C$114=1, $KI341+ $KH341, 0)</f>
        <v>#N/A</v>
      </c>
      <c r="KJ342" s="217" t="e">
        <f t="shared" ca="1" si="1244"/>
        <v>#N/A</v>
      </c>
      <c r="KK342" s="218" t="e">
        <f t="shared" ca="1" si="1245"/>
        <v>#N/A</v>
      </c>
      <c r="KL342" s="274" t="e">
        <f ca="1">IF(Control!$B$26=3,4000000000*EXP(-8400/($G342+273)),IF(Control!$B$26=4,4000000000*EXP(-8400/($G342+273))*($KT342),0))</f>
        <v>#DIV/0!</v>
      </c>
      <c r="KM342" s="274" t="e">
        <f ca="1">IF(Control!$B$26=3,5600000000000*EXP(-9800/($G342+273)),IF(Control!$B$26=4,5600000000000*EXP(-9800/($G342+273))*$KT342,0))</f>
        <v>#DIV/0!</v>
      </c>
      <c r="KN342" s="454" t="e">
        <f t="shared" ca="1" si="1344"/>
        <v>#DIV/0!</v>
      </c>
      <c r="KO342" s="274" t="e">
        <f t="shared" ca="1" si="1345"/>
        <v>#DIV/0!</v>
      </c>
      <c r="KP342" s="454" t="e">
        <f t="shared" ca="1" si="1246"/>
        <v>#DIV/0!</v>
      </c>
      <c r="KQ342" s="454" t="e">
        <f t="shared" ca="1" si="1247"/>
        <v>#DIV/0!</v>
      </c>
      <c r="KR342" s="454" t="e">
        <f t="shared" ca="1" si="1248"/>
        <v>#DIV/0!</v>
      </c>
      <c r="KS342" s="454" t="e">
        <f t="shared" ca="1" si="1249"/>
        <v>#DIV/0!</v>
      </c>
      <c r="KT342" s="455" t="e">
        <f t="shared" ca="1" si="1250"/>
        <v>#DIV/0!</v>
      </c>
      <c r="KU342" s="456" t="e">
        <f ca="1">IF($CP342-Control!$C$149&lt;0, IF($NT342-0.01&lt;0,0,1),0)</f>
        <v>#N/A</v>
      </c>
      <c r="KV342" s="456" t="e">
        <f ca="1">IF(Control!$C$114=1,MAX(0,MIN(Control!$C$125*$KW342*$GN342,$KW342)))</f>
        <v>#DIV/0!</v>
      </c>
      <c r="KW342" s="456" t="e">
        <f t="shared" ca="1" si="1378"/>
        <v>#DIV/0!</v>
      </c>
      <c r="KX342" s="457" t="e">
        <f ca="1">IF($CP342-Control!$C$149&lt;0, IF($MR342-$OM342&lt;0,0,1),0)</f>
        <v>#N/A</v>
      </c>
      <c r="KY342" s="167">
        <f t="shared" ca="1" si="1346"/>
        <v>338</v>
      </c>
      <c r="KZ342" s="168">
        <f ca="1">1370*(1+0.033*COS(2*Control!$C$138*$AH342/365))</f>
        <v>1410.4143354620544</v>
      </c>
      <c r="LA342" s="169">
        <f t="shared" ca="1" si="1347"/>
        <v>1.0294993136851354</v>
      </c>
      <c r="LB342" s="169">
        <f t="shared" ca="1" si="1348"/>
        <v>-0.3926178748953863</v>
      </c>
      <c r="LC342" s="169">
        <f ca="1">ACOS(-TAN((2*Control!$B$8/360))*TAN(Calculations!$LB342))</f>
        <v>1.4474061668868206</v>
      </c>
      <c r="LD342" s="169">
        <f ca="1">((24*60)/PI())*0.082*$LA342*(($LC342*SIN(Control!$B$8*2*PI()/360))*SIN($LB342)+COS(Control!$B$8*2*PI()/360)*COS($LB342)*SIN($LC342))</f>
        <v>4.9567727285869729</v>
      </c>
      <c r="LE342" s="170">
        <f t="shared" ca="1" si="1251"/>
        <v>6.635831188860883</v>
      </c>
      <c r="LF342" s="170">
        <f ca="1">SIN(Control!$C$139*Control!$B$8)*SIN($HD342)</f>
        <v>-0.30025810215325544</v>
      </c>
      <c r="LG342" s="170">
        <f ca="1">COS(Control!$C$139*Control!$B$8)*COS($HD342)</f>
        <v>0.56921547289583452</v>
      </c>
      <c r="LH342" s="170">
        <f ca="1">12*(1+2*ASIN(MAX(-1,MIN(1,$LF342/$LG342))/Control!$C$138))</f>
        <v>7.951068168744734</v>
      </c>
      <c r="LI342" s="170">
        <f ca="1">12*(1+2*ASIN(MAX(-1,MIN(1,(-SIN(-4*Control!$C$139)+$LF342)/$LG342))/Control!$C$138))</f>
        <v>8.8978174324951453</v>
      </c>
      <c r="LJ342" s="168">
        <f ca="1">3600*($LH342*$LF342+24*$LG342*SQRT(1-$LK342*$LK342)/Control!$C$138)</f>
        <v>4704.8807020860095</v>
      </c>
      <c r="LK342" s="170">
        <f t="shared" ca="1" si="1252"/>
        <v>-0.52749462453246099</v>
      </c>
      <c r="LL342" s="170">
        <f t="shared" ca="1" si="1253"/>
        <v>0</v>
      </c>
      <c r="LM342" s="171">
        <f ca="1">Control!$C$145*$AB342</f>
        <v>6.6660906138995932E-2</v>
      </c>
      <c r="LN342" s="170">
        <f t="shared" ca="1" si="1349"/>
        <v>0.54</v>
      </c>
      <c r="LO342" s="170">
        <f t="shared" ca="1" si="1254"/>
        <v>0</v>
      </c>
      <c r="LP342" s="170">
        <f ca="1">Control!$C$140*((($D342+273.16)^4+($E342+273.16)^4)/2)*(0.34-0.14*SQRT($Y342))*(1.35*$AQ342/(0.75*$LD342)-0.35)</f>
        <v>-3.2464704755046001</v>
      </c>
      <c r="LQ342" s="170">
        <f ca="1">Control!$C$140*($G342+273)^4*(0.56-0.079*SQRT($Y342*10))*(0.1+0.9*$LO342)</f>
        <v>1.5241745131704001</v>
      </c>
      <c r="LR342" s="170">
        <f ca="1">$AQ342*(1-Control!$C$142)-$LQ342</f>
        <v>-1.5241745131704001</v>
      </c>
      <c r="LS342" s="170">
        <f ca="1">$AQ342*(1-Control!$C$143)-$LQ342</f>
        <v>-1.5241745131704001</v>
      </c>
      <c r="LT342" s="170">
        <f ca="1">$AQ342*(1-Control!$C$144)-$LQ342</f>
        <v>-1.5241745131704001</v>
      </c>
      <c r="LU342" s="169">
        <f ca="1">(1-Control!$C$144)*AQ342-LP342</f>
        <v>3.2464704755046001</v>
      </c>
      <c r="LV342" s="172">
        <f t="shared" ca="1" si="1255"/>
        <v>0.79430000000000012</v>
      </c>
      <c r="LW342" s="170">
        <f t="shared" ca="1" si="1256"/>
        <v>1.5886000000000002</v>
      </c>
      <c r="LX342" s="170">
        <f ca="1">($AC342*($LR342/Control!$C$141)+$LM342*$LV342)/($AC342+$LM342)</f>
        <v>0.23530094218323697</v>
      </c>
      <c r="LY342" s="170">
        <f ca="1">($AC342*($LS342/Control!$C$141)+$LM342*$LV342)/($AC342+$LM342)</f>
        <v>0.23530094218323697</v>
      </c>
      <c r="LZ342" s="170">
        <f t="shared" ca="1" si="1257"/>
        <v>0.23530094218323697</v>
      </c>
      <c r="MA342" s="170">
        <f t="shared" ca="1" si="1258"/>
        <v>0.23530094218323697</v>
      </c>
      <c r="MB342" s="170" t="e">
        <f t="shared" ca="1" si="1259"/>
        <v>#N/A</v>
      </c>
      <c r="MC342" s="170">
        <f t="shared" ca="1" si="1350"/>
        <v>0.6018</v>
      </c>
      <c r="MD342" s="170">
        <f t="shared" ca="1" si="1260"/>
        <v>0.52989392535414004</v>
      </c>
      <c r="ME342" s="170">
        <f ca="1">($AC342*($LT342/Control!$C$141)+$LM342*$LW342)/($AC342+$LM342)</f>
        <v>0.71612369323045078</v>
      </c>
      <c r="MF342" s="170" t="e">
        <f ca="1">IF(Control!$B$16&gt;=1000,0.92,IF(AND(720&lt;=Control!$B$16,1000&gt;Control!$B$16),(0.95+(Control!$B$16-720)*((0.92-0.95)/(1000-720))),IF(AND(360&lt;=Control!$B$16,720&gt;Control!$B$16),(1+(Control!$B$16-360)*((0.95-1)/(720-360))),IF(AND(40&lt;=Control!$B$16,360&gt;Control!$B$16),(1.05+(Control!$B$16-40)*((1.05-1)/(360-40)))))))</f>
        <v>#N/A</v>
      </c>
      <c r="MG342" s="170">
        <f t="shared" ca="1" si="1261"/>
        <v>0.71612369323045078</v>
      </c>
      <c r="MH342" s="170" t="e">
        <f t="shared" ca="1" si="1262"/>
        <v>#N/A</v>
      </c>
      <c r="MI342" s="170" t="e">
        <f t="shared" ca="1" si="1262"/>
        <v>#N/A</v>
      </c>
      <c r="MJ342" s="170" t="e">
        <f ca="1">MAX(0.0001, Control!$C$132*$MI342*$DL342)</f>
        <v>#N/A</v>
      </c>
      <c r="MK342" s="170">
        <f ca="1">1/(0.76+1.5*($MG342/10))-(5-Control!$C$110)*0.1</f>
        <v>1.002845988140797</v>
      </c>
      <c r="ML342" s="173">
        <f ca="1">IF(Control!$C$110&lt;3,$MK342+($MG342-0.6)/(Control!$C$110*(Control!$C$110+3)), MAX(0.1, MIN(0.95,$MK342)))</f>
        <v>0.95</v>
      </c>
      <c r="MM342" s="173">
        <f ca="1">IF(Control!$C$110&lt;3,$MK342+(($MI342/10)-0.6)/(Control!$C$110*(Control!$C$110+3)), MAX(0.1, MIN(0.95,$MK342)))</f>
        <v>0.95</v>
      </c>
      <c r="MN342" s="173">
        <f ca="1">(1-$MM342)*(Control!$C$128-Control!$C$127)+Control!$C$127</f>
        <v>0.16</v>
      </c>
      <c r="MO342" s="170" t="e">
        <f ca="1">MAX(0,MIN(1,($MS342-Control!$C$127)/($MN342-Control!$C$127)))</f>
        <v>#DIV/0!</v>
      </c>
      <c r="MP342" s="173" t="e">
        <f ca="1">1/(0.76+1.5*$MI342)-(5-Control!$C$110)*0.1</f>
        <v>#N/A</v>
      </c>
      <c r="MQ342" s="172" t="e">
        <f t="shared" ca="1" si="1379"/>
        <v>#DIV/0!</v>
      </c>
      <c r="MR342" s="168" t="e">
        <f t="shared" ca="1" si="1351"/>
        <v>#DIV/0!</v>
      </c>
      <c r="MS342" s="173" t="e">
        <f ca="1">MAX(Control!$C$127, MIN(Control!$C$135, $MR342/MAX(0.0001,$CY342)))</f>
        <v>#DIV/0!</v>
      </c>
      <c r="MT342" s="168" t="e">
        <f ca="1">(Control!$C$128-$MS342)*Control!$C$74</f>
        <v>#DIV/0!</v>
      </c>
      <c r="MU342" s="168" t="e">
        <f ca="1">(Control!$C$135-$MS342)*Control!$C$74</f>
        <v>#DIV/0!</v>
      </c>
      <c r="MV342" s="168" t="e">
        <f t="shared" ca="1" si="1352"/>
        <v>#DIV/0!</v>
      </c>
      <c r="MW342" s="168" t="e">
        <f t="shared" ca="1" si="1353"/>
        <v>#DIV/0!</v>
      </c>
      <c r="MX342" s="171" t="e">
        <f ca="1">MAX(Control!$C$127, MIN(Control!$C$135, $MW342/MAX(0.0001,Control!$C$119-$CY342)))</f>
        <v>#DIV/0!</v>
      </c>
      <c r="MY342" s="54" t="e">
        <f ca="1">IF(Control!$C$114=1, $CX342*$MX342, 0)</f>
        <v>#DIV/0!</v>
      </c>
      <c r="MZ342" s="54" t="e">
        <f t="shared" ca="1" si="1354"/>
        <v>#N/A</v>
      </c>
      <c r="NA342" s="168" t="e">
        <f ca="1">(Control!$C$128-$MX342)*(Control!$C$119-Control!$C$74)</f>
        <v>#DIV/0!</v>
      </c>
      <c r="NB342" s="168" t="e">
        <f ca="1">(Control!$C$135-$MX342)*(Control!$C$119-Control!$C$74)</f>
        <v>#DIV/0!</v>
      </c>
      <c r="NC342" s="174" t="e">
        <f t="shared" ca="1" si="1355"/>
        <v>#DIV/0!</v>
      </c>
      <c r="ND342" s="54">
        <f ca="1">IF(Control!$C$58=2, IF(OR(Control!$B$218=$AH342,Control!$B$219=$AH342, Control!$B$220=$AH342, Control!$B$221=$AH342, Control!$B$222=$AH342, Control!$B$223=$AH342, Control!$B$224=$AH342, Control!$B$225=$AH342, Control!$B$226=$AH342, Control!$B$227=$AH342, Control!$B$228=$AH342), 1, 0), 0)</f>
        <v>0</v>
      </c>
      <c r="NE342" s="54">
        <f ca="1">IF($ND342=0,0, VLOOKUP($AH342,Control!$B$218:$C$228,2))</f>
        <v>0</v>
      </c>
      <c r="NF342" s="168" t="e">
        <f ca="1">$CY342*(Control!$C$128-Control!$C$127)</f>
        <v>#N/A</v>
      </c>
      <c r="NG342" s="54" t="e">
        <f ca="1">IF(Control!$C$58=2, $NI341-$NJ341, 0)</f>
        <v>#DIV/0!</v>
      </c>
      <c r="NH342" s="54" t="e">
        <f ca="1">IF(AND(Control!$C$58=1, $MS341&lt;= ($MN341+0.02), $I341&lt;10), 0, IF(Control!$C$58=2, $NG341, 0))</f>
        <v>#DIV/0!</v>
      </c>
      <c r="NI342" s="54" t="e">
        <f ca="1">IF(Control!$C$58=2, $NE342+$NH342,0)</f>
        <v>#DIV/0!</v>
      </c>
      <c r="NJ342" s="54" t="e">
        <f ca="1">IF(AND(Control!$C$58=1, $MS342&lt;= ($MN342+0.02), $I342&lt;10), MAX(0, MIN(10, 0.7*($NF342-$MV342))), IF(Control!$C$58=2, MIN(10,$NI342),0))</f>
        <v>#DIV/0!</v>
      </c>
      <c r="NK342" s="54" t="e">
        <f t="shared" ca="1" si="1263"/>
        <v>#DIV/0!</v>
      </c>
      <c r="NL342" s="173" t="e">
        <f ca="1">(1-Control!$C$73)*$I342+$NJ342</f>
        <v>#DIV/0!</v>
      </c>
      <c r="NM342" s="172" t="e">
        <f ca="1">IF($NL342&lt;0.5, $MB342* MAX(0, MIN(1, (SQRT($NC342)-SQRT($NC342-1))*Control!$C$71)),0)</f>
        <v>#DIV/0!</v>
      </c>
      <c r="NN342" s="170" t="e">
        <f ca="1">IF($NL342&gt;=5, $MB342, MAX(0,MIN($MB342, $NM342+$NL342,($MS342-Control!$C$129))))</f>
        <v>#DIV/0!</v>
      </c>
      <c r="NO342" s="54">
        <f>IF(Control!$C$133&lt;&gt;1, Control!$C$135-Control!$C$131, 0)</f>
        <v>0.38</v>
      </c>
      <c r="NP342" s="54" t="e">
        <f t="shared" ca="1" si="1264"/>
        <v>#DIV/0!</v>
      </c>
      <c r="NQ342" s="173" t="e">
        <f ca="1">MAX(0,MIN(1,(Control!$C$135-$MS342)/(Control!$C$135-$NO342)))</f>
        <v>#DIV/0!</v>
      </c>
      <c r="NR342" s="170" t="e">
        <f ca="1">IF(Control!$C$133&lt;&gt;1, $NQ342+((1-$NP342/4)*(1-$NQ342)),1)</f>
        <v>#DIV/0!</v>
      </c>
      <c r="NS342" s="170" t="e">
        <f ca="1">IF(Control!$B$31=0,$MJ342,MAX(0,MIN($MV342,$MO342*$NR342*$MJ342)))</f>
        <v>#DIV/0!</v>
      </c>
      <c r="NT342" s="170" t="e">
        <f t="shared" ca="1" si="1380"/>
        <v>#DIV/0!</v>
      </c>
      <c r="NU342" s="170" t="e">
        <f t="shared" ca="1" si="1356"/>
        <v>#N/A</v>
      </c>
      <c r="NV342" s="170" t="e">
        <f t="shared" ca="1" si="1265"/>
        <v>#N/A</v>
      </c>
      <c r="NW342" s="175" t="e">
        <f t="shared" ca="1" si="1266"/>
        <v>#DIV/0!</v>
      </c>
      <c r="NX342" s="170" t="e">
        <f ca="1">MIN(Control!$C$72+$MU342, $NW342)</f>
        <v>#DIV/0!</v>
      </c>
      <c r="NY342" s="170" t="e">
        <f ca="1">IF($MT342&lt;=$NX342,MIN(Control!$C$72+$NB342,$NX342-$MT342),0)</f>
        <v>#DIV/0!</v>
      </c>
      <c r="NZ342" s="54" t="e">
        <f ca="1">IF(Control!$C$114=1,  $CX342*($MX342-Control!$C$127), 0)</f>
        <v>#DIV/0!</v>
      </c>
      <c r="OA342" s="170" t="e">
        <f t="shared" ca="1" si="1267"/>
        <v>#DIV/0!</v>
      </c>
      <c r="OB342" s="170" t="e">
        <f ca="1">IF($NA342 &lt;=$NY342, MIN(Control!$C$72, $NY342-$NA342), 0)</f>
        <v>#DIV/0!</v>
      </c>
      <c r="OC342" s="168" t="e">
        <f t="shared" ca="1" si="1268"/>
        <v>#DIV/0!</v>
      </c>
      <c r="OD342" s="168" t="e">
        <f t="shared" ca="1" si="1357"/>
        <v>#DIV/0!</v>
      </c>
      <c r="OE342" s="170">
        <f ca="1">Control!$C$73*$I342</f>
        <v>0</v>
      </c>
      <c r="OF342" s="176" t="e">
        <f t="shared" ca="1" si="1269"/>
        <v>#DIV/0!</v>
      </c>
      <c r="OG342" s="168" t="e">
        <f t="shared" ca="1" si="1270"/>
        <v>#DIV/0!</v>
      </c>
      <c r="OH342" s="168" t="e">
        <f t="shared" ca="1" si="1271"/>
        <v>#DIV/0!</v>
      </c>
      <c r="OI342" s="168" t="e">
        <f t="shared" ca="1" si="1272"/>
        <v>#DIV/0!</v>
      </c>
      <c r="OJ342" s="168" t="e">
        <f t="shared" ca="1" si="1273"/>
        <v>#DIV/0!</v>
      </c>
      <c r="OK342" s="204" t="e">
        <f t="shared" ca="1" si="1274"/>
        <v>#DIV/0!</v>
      </c>
      <c r="OL342" s="177">
        <f>Control!$C$127</f>
        <v>0.15</v>
      </c>
      <c r="OM342" s="182" t="e">
        <f t="shared" ca="1" si="1275"/>
        <v>#N/A</v>
      </c>
      <c r="ON342" s="177">
        <f>Control!$C$128</f>
        <v>0.35</v>
      </c>
      <c r="OO342" s="182" t="e">
        <f t="shared" ca="1" si="1276"/>
        <v>#N/A</v>
      </c>
      <c r="OP342" s="138">
        <f t="shared" ca="1" si="1358"/>
        <v>0</v>
      </c>
      <c r="OQ342" s="138" t="e">
        <f t="shared" ca="1" si="1381"/>
        <v>#DIV/0!</v>
      </c>
      <c r="OR342" s="138" t="e">
        <f t="shared" ca="1" si="1359"/>
        <v>#DIV/0!</v>
      </c>
      <c r="OS342" s="137" t="e">
        <f t="shared" ca="1" si="1382"/>
        <v>#DIV/0!</v>
      </c>
      <c r="OT342" s="139" t="e">
        <f t="shared" ca="1" si="1383"/>
        <v>#DIV/0!</v>
      </c>
      <c r="OU342" s="138" t="e">
        <f t="shared" ca="1" si="1384"/>
        <v>#N/A</v>
      </c>
      <c r="OV342" s="138" t="e">
        <f t="shared" ca="1" si="1385"/>
        <v>#DIV/0!</v>
      </c>
      <c r="OW342" s="138" t="e">
        <f t="shared" ca="1" si="1360"/>
        <v>#DIV/0!</v>
      </c>
      <c r="OX342" s="138" t="e">
        <f t="shared" ca="1" si="1361"/>
        <v>#DIV/0!</v>
      </c>
      <c r="OY342" s="138" t="e">
        <f t="shared" ca="1" si="1362"/>
        <v>#DIV/0!</v>
      </c>
      <c r="OZ342" s="138" t="e">
        <f t="shared" ca="1" si="1277"/>
        <v>#DIV/0!</v>
      </c>
      <c r="PA342" s="138" t="e">
        <f t="shared" ca="1" si="1278"/>
        <v>#DIV/0!</v>
      </c>
      <c r="PB342" s="55">
        <f>IF(Control!$C$61="T", IF(Control!$C$65="F", IF($AH$6-Control!$C$60&lt;0,0,1), IF(365+$AH$6-Control!$C$60&lt;0,0,1)),0)</f>
        <v>0</v>
      </c>
      <c r="PC342" s="55">
        <f ca="1">IF(Control!$C$65="F", IF($AH$6-$HF342&lt;0,0,1), IF(365+$AH$6-$HF342&lt;0,0,1))</f>
        <v>1</v>
      </c>
      <c r="PD342" s="444">
        <f>Control!$C$118</f>
        <v>1500</v>
      </c>
      <c r="PE342" s="180" t="e">
        <f t="shared" ca="1" si="1279"/>
        <v>#N/A</v>
      </c>
      <c r="PF342" s="445">
        <f t="shared" ca="1" si="1363"/>
        <v>0.71612369323045078</v>
      </c>
      <c r="PT342" s="186"/>
      <c r="PU342" s="186"/>
      <c r="PV342" s="94"/>
      <c r="PW342" s="94"/>
      <c r="PX342" s="94"/>
      <c r="PY342" s="94"/>
      <c r="PZ342" s="94"/>
      <c r="QA342" s="94"/>
      <c r="QB342" s="94"/>
      <c r="QC342" s="94"/>
      <c r="QD342" s="94"/>
      <c r="QE342" s="94"/>
      <c r="QF342" s="94"/>
      <c r="QG342" s="94"/>
      <c r="QH342" s="94"/>
      <c r="QI342" s="94"/>
      <c r="QJ342" s="94"/>
      <c r="QK342" s="94"/>
      <c r="QL342" s="94"/>
      <c r="QM342" s="94"/>
      <c r="QN342" s="94"/>
      <c r="QO342" s="94"/>
      <c r="QP342" s="94"/>
    </row>
    <row r="343" spans="1:458" s="2" customFormat="1" x14ac:dyDescent="0.2">
      <c r="A343" s="395">
        <v>4</v>
      </c>
      <c r="B343" s="396">
        <v>12</v>
      </c>
      <c r="C343" s="387">
        <f ca="1">Weather_data!$B342</f>
        <v>0</v>
      </c>
      <c r="D343" s="388">
        <f ca="1">Weather_data!$F342</f>
        <v>0</v>
      </c>
      <c r="E343" s="388">
        <f ca="1">Weather_data!$E342</f>
        <v>0</v>
      </c>
      <c r="F343" s="388">
        <f t="shared" ca="1" si="1280"/>
        <v>0</v>
      </c>
      <c r="G343" s="388">
        <f ca="1">AVERAGE($D343:$E343)+Control!$B$9</f>
        <v>0</v>
      </c>
      <c r="H343" s="388">
        <f ca="1">Weather_data!$G342</f>
        <v>0</v>
      </c>
      <c r="I343" s="388">
        <f ca="1">Weather_data!$I342</f>
        <v>0</v>
      </c>
      <c r="J343" s="388">
        <f ca="1">Weather_data!$H342</f>
        <v>0</v>
      </c>
      <c r="K343" s="389">
        <f ca="1">Weather_data!$D342</f>
        <v>0</v>
      </c>
      <c r="L343" s="388" t="e">
        <f t="shared" ca="1" si="1281"/>
        <v>#N/A</v>
      </c>
      <c r="M343" s="388" t="e">
        <f t="shared" ca="1" si="1158"/>
        <v>#N/A</v>
      </c>
      <c r="N343" s="388">
        <f t="shared" ca="1" si="1159"/>
        <v>-1.8997466414151187E-16</v>
      </c>
      <c r="O343" s="388">
        <f t="shared" ca="1" si="1282"/>
        <v>1.8997466414151186E-15</v>
      </c>
      <c r="P343" s="390">
        <v>3</v>
      </c>
      <c r="Q343" s="388">
        <f ca="1">MAX($G343-Control!$C$107,0)</f>
        <v>0</v>
      </c>
      <c r="R343" s="388">
        <f t="shared" ca="1" si="1283"/>
        <v>0</v>
      </c>
      <c r="S343" s="388">
        <f t="shared" ca="1" si="1160"/>
        <v>0</v>
      </c>
      <c r="T343" s="388">
        <f t="shared" ca="1" si="1161"/>
        <v>0</v>
      </c>
      <c r="U343" s="59">
        <f t="shared" ca="1" si="1162"/>
        <v>0</v>
      </c>
      <c r="V343" s="391">
        <f ca="1">MAX(0,MIN(Control!$C$100-Control!$C$99,$G343-Control!$C$99)*Control!$C$63)</f>
        <v>0</v>
      </c>
      <c r="W343" s="388">
        <f t="shared" ca="1" si="1284"/>
        <v>0</v>
      </c>
      <c r="X343" s="388">
        <f t="shared" ca="1" si="1285"/>
        <v>0.6110000000000001</v>
      </c>
      <c r="Y343" s="388">
        <f t="shared" ca="1" si="1163"/>
        <v>0</v>
      </c>
      <c r="Z343" s="388">
        <f t="shared" ca="1" si="1286"/>
        <v>0.61058800000000002</v>
      </c>
      <c r="AA343" s="388">
        <f t="shared" ca="1" si="1164"/>
        <v>0.6018</v>
      </c>
      <c r="AB343" s="388">
        <f ca="1">101.3*EXP(-0.034*Control!$C$66/($G343+273))</f>
        <v>100.69623283836242</v>
      </c>
      <c r="AC343" s="392">
        <f t="shared" ca="1" si="1165"/>
        <v>4.3460251046025113E-2</v>
      </c>
      <c r="AD343" s="392">
        <f t="shared" ca="1" si="1166"/>
        <v>4.4450382862832649E-2</v>
      </c>
      <c r="AE343" s="388">
        <f t="shared" ca="1" si="1167"/>
        <v>0</v>
      </c>
      <c r="AF343" s="388">
        <f ca="1">MAX(0,$G343-Control!$C$92)</f>
        <v>0</v>
      </c>
      <c r="AG343" s="393">
        <f t="shared" ca="1" si="1168"/>
        <v>339</v>
      </c>
      <c r="AH343" s="389">
        <f t="shared" ca="1" si="1169"/>
        <v>339</v>
      </c>
      <c r="AI343" s="388">
        <f t="shared" ca="1" si="1287"/>
        <v>-0.39298973582812574</v>
      </c>
      <c r="AJ343" s="388">
        <f ca="1">IF(Control!$C$60&lt;=0,$HH343,$HI343)</f>
        <v>1</v>
      </c>
      <c r="AK343" s="388">
        <f t="shared" ca="1" si="1170"/>
        <v>4.4584794371493501</v>
      </c>
      <c r="AL343" s="388">
        <f t="shared" ca="1" si="1171"/>
        <v>-2.2181050399194821E-17</v>
      </c>
      <c r="AM343" s="388">
        <f t="shared" ca="1" si="1172"/>
        <v>4.4584794371493501</v>
      </c>
      <c r="AN343" s="388">
        <f t="shared" ca="1" si="1173"/>
        <v>-0.39525728591731124</v>
      </c>
      <c r="AO343" s="388">
        <f ca="1">-0.10453/COS(Control!$B$8*PI()/180)*COS(AN343)</f>
        <v>-0.15669403150474165</v>
      </c>
      <c r="AP343" s="388">
        <f ca="1">ACOS(AO343-TAN(Control!$B$8*PI()/180)*TAN(AN343))</f>
        <v>1.1839006498445219</v>
      </c>
      <c r="AQ343" s="388">
        <f t="shared" ca="1" si="1288"/>
        <v>0</v>
      </c>
      <c r="AR343" s="394">
        <f t="shared" ca="1" si="1174"/>
        <v>0</v>
      </c>
      <c r="AS343" s="436">
        <f ca="1">IF(Control!$B$18=2,(IF(OR($AH343=Control!$B$175,$AH343=Control!$B$176,$AH343=Control!$B$177,$AH343=Control!$B$178,$AH343=Control!$B$179,$AH343=Control!$B$180,$AH343=Control!$B$181,$AH343=Control!$B$182,$AH343=Control!$B$183,$AH343=Control!$B$184,$AH343=Control!$B$185),1,0)),0)</f>
        <v>0</v>
      </c>
      <c r="AT343" s="436">
        <f>IF(Control!$B$20=8,IF(AND($AH343&gt;=Control!$B$172,$AH343&lt;=Control!$B$173),1,0),0)</f>
        <v>0</v>
      </c>
      <c r="AU343" s="436">
        <f>IF(Control!$B$20=8,IF($AV342=1,1*$AT343,IF($AT343=1,$AU342+1,$AU342)),0)</f>
        <v>0</v>
      </c>
      <c r="AV343" s="436">
        <f>IF(Control!$B$20=8,IF($AU343&gt;=Control!$B$174,1,0),0)</f>
        <v>0</v>
      </c>
      <c r="AW343" s="436">
        <f ca="1">IF(AND(Control!$B$18=2,Control!$B$171=1), $AV343, $AS343)</f>
        <v>0</v>
      </c>
      <c r="AX343" s="436" t="e">
        <f ca="1">IF(AND(Control!$B$18=1,$EU343&gt;=Control!$B$19),-$AY343,IF(AND(Control!$B$18=2,$AW343=1,$EU343&gt;$DS343),-$AY343, IF(Control!$C$108=0,0, IF(Control!$C$108&lt;&gt;0,1))))</f>
        <v>#N/A</v>
      </c>
      <c r="AY343" s="436" t="e">
        <f t="shared" ca="1" si="1289"/>
        <v>#N/A</v>
      </c>
      <c r="AZ343" s="436" t="e">
        <f ca="1">IF(AND(Control!$B$18=1,$EB343&gt;Control!$B$19),$AZ342+1, IF(AND(Control!$B$18=2, $AW343=1, $EB343&gt;$DS343), $AZ342+1,$AZ342))</f>
        <v>#N/A</v>
      </c>
      <c r="BA343" s="587">
        <f>IF(Control!$C$81=0,1,IF($AH343&gt;=Control!$C$82,1,0))</f>
        <v>1</v>
      </c>
      <c r="BB343" s="140" t="e">
        <f ca="1">IF($BA343&gt;$BA342,Control!$C$83,IF($AW343&gt;0,$AW343*Control!$C$84,IF(AND(Control!$B$18=1,EN342&lt;&gt;0),Control!$C$84,0)))</f>
        <v>#N/A</v>
      </c>
      <c r="BC343" s="140" t="e">
        <f t="shared" ca="1" si="1290"/>
        <v>#N/A</v>
      </c>
      <c r="BD343" s="140" t="e">
        <f ca="1">BC343*IF(OR($G343&lt;Control!$C$92,$G343&gt;Control!$C$95),0,IF(AND($G343&gt;=Control!$C$92,$G343&lt;=Control!$C$93),$G343-Control!$C$92,IF(AND($G343&gt;Control!$C$93,$G343&lt;=Control!$C$94),Control!$C$93-Control!$C$92,IF(AND($G343&gt;Control!$C$94,$G343&lt;=Control!$C$95),(Control!$C$93-Control!$C$92)*(Control!$C$94-$G343)/(Control!$C$95-Control!$C$94)))))</f>
        <v>#N/A</v>
      </c>
      <c r="BE343" s="140" t="e">
        <f t="shared" ca="1" si="1291"/>
        <v>#N/A</v>
      </c>
      <c r="BF343" s="140" t="e">
        <f ca="1">IF($BE343&lt;=Control!$C$86,$BE343,Control!$C$86-$BE343)</f>
        <v>#N/A</v>
      </c>
      <c r="BG343" s="140" t="e">
        <f ca="1">IF(AND($AW343=1,Control!$C$84&lt;9),1,IF($BE343&gt;=Control!$C$86,0,$BC343))</f>
        <v>#N/A</v>
      </c>
      <c r="BH343" s="404" t="e">
        <f ca="1">IF($BG343=0,0,IF($BE343&lt;=Control!$C$86,$BC343*9*($BF343/Control!$C$86),0))</f>
        <v>#N/A</v>
      </c>
      <c r="BI343" s="140" t="e">
        <f ca="1">IF($BG343=1,0,IF($BE343&gt;=Control!$C$86,1,IF(AND($BB343&lt;21,$BB343&gt;=9),1,$BM342)))</f>
        <v>#N/A</v>
      </c>
      <c r="BJ343" s="140" t="e">
        <f ca="1">IF($BF343&lt;0,-$BF343,$BI343*IF(OR($G343&lt;Control!$C$92,$G343&gt;Control!$C$95),0,IF(AND($G343&gt;=Control!$C$92,$G343&lt;=Control!$C$93),$G343-Control!$C$92,IF(AND($G343&gt;Control!$C$93,$G343&lt;=Control!$C$94),Control!$C$93-Control!$C$92,IF(AND($G343&gt;Control!$C$94,$G343&lt;=Control!$C$95),(Control!$C$93-Control!$C$92)*(Control!$C$94-$G343)/(Control!$C$95-Control!$C$94))))))</f>
        <v>#N/A</v>
      </c>
      <c r="BK343" s="140" t="e">
        <f t="shared" ca="1" si="1292"/>
        <v>#N/A</v>
      </c>
      <c r="BL343" s="140" t="e">
        <f ca="1">IF($BK343&lt;=Control!$C$87,$BK343,Control!$C$87-$BK343)</f>
        <v>#N/A</v>
      </c>
      <c r="BM343" s="140" t="e">
        <f ca="1">IF(AND($BB343&gt;=9,$BB343&lt;21),1,IF($BK343&gt;=Control!$C$87,0,$BI343))</f>
        <v>#N/A</v>
      </c>
      <c r="BN343" s="404" t="e">
        <f ca="1">IF($BM343=0,0,IF($BK343&lt;=Control!$C$87,$BI343*(9+(21-9)*($BL343/Control!$C$87)),0))</f>
        <v>#N/A</v>
      </c>
      <c r="BO343" s="140" t="e">
        <f ca="1">IF($BM343=1,0,IF($BK343&gt;=Control!$C$87,1,IF(AND($BB343&lt;30,$BB343&gt;=21),1,$BS342)))</f>
        <v>#N/A</v>
      </c>
      <c r="BP343" s="140" t="e">
        <f ca="1">IF($BL343&lt;0,-$BL343,$BO343*IF(OR($G343&lt;Control!$C$92,$G343&gt;Control!$C$95),0,IF(AND($G343&gt;=Control!$C$92,$G343&lt;=Control!$C$93),$G343-Control!$C$92,IF(AND($G343&gt;Control!$C$93,$G343&lt;=Control!$C$94),Control!$C$93-Control!$C$92,IF(AND($G343&gt;Control!$C$94,$G343&lt;=Control!$C$95),(Control!$C$93-Control!$C$92)*(Control!$C$94-$G343)/(Control!$C$95-Control!$C$94))))))</f>
        <v>#N/A</v>
      </c>
      <c r="BQ343" s="140" t="e">
        <f t="shared" ca="1" si="1175"/>
        <v>#N/A</v>
      </c>
      <c r="BR343" s="140" t="e">
        <f ca="1">IF($BQ343&lt;=Control!$C$88,$BQ343,Control!$C$88-$BQ343)</f>
        <v>#N/A</v>
      </c>
      <c r="BS343" s="140" t="e">
        <f ca="1">IF(AND($BB343&gt;=21,$BB343&lt;30),1,IF($BQ343&gt;=Control!$C$88,0,$BO343))</f>
        <v>#N/A</v>
      </c>
      <c r="BT343" s="404" t="e">
        <f ca="1">IF($BS343=0,0,IF($BQ343&lt;=Control!$C$88,$BO343*(21+(30-21)*(BR343/Control!$C$88)),0))</f>
        <v>#N/A</v>
      </c>
      <c r="BU343" s="140" t="e">
        <f ca="1">IF(BG343+BM343+BS343=1,0,IF(OR(AND($BB343&lt;60,$BB343&gt;=30),$BQ343&gt;=Control!$C$88),1*$BA343,$BY342))</f>
        <v>#N/A</v>
      </c>
      <c r="BV343" s="140" t="e">
        <f ca="1">IF($BR343&lt;0,-$BR343,$BU343*IF(OR($G343&lt;Control!$C$92,$G343&gt;Control!$C$95),0,IF(AND($G343&gt;=Control!$C$92,$G343&lt;=Control!$C$93),$G343-Control!$C$92,IF(AND($G343&gt;Control!$C$93,$G343&lt;=Control!$C$94),Control!$C$93-Control!$C$92,IF(AND($G343&gt;Control!$C$94,$G343&lt;=Control!$C$95),(Control!$C$93-Control!$C$92)*(Control!$C$94-$G343)/(Control!$C$95-Control!$C$94))))))</f>
        <v>#N/A</v>
      </c>
      <c r="BW343" s="140" t="e">
        <f t="shared" ca="1" si="1176"/>
        <v>#N/A</v>
      </c>
      <c r="BX343" s="140" t="e">
        <f ca="1">IF($BW343&lt;=Control!$C$89,$BW343,Control!$C$89-$BW343)</f>
        <v>#N/A</v>
      </c>
      <c r="BY343" s="140" t="e">
        <f ca="1">IF(AND($AJ343&gt;=30,$AJ343&lt;60),1,IF($BW343&gt;=Control!$C$89,0,$BU343))</f>
        <v>#N/A</v>
      </c>
      <c r="BZ343" s="404" t="e">
        <f ca="1">IF($BY343=0,0,IF($BW343&lt;=Control!$C$89,$BU343*(30+(60-30)*(BX343/Control!$C$89)),0))</f>
        <v>#N/A</v>
      </c>
      <c r="CA343" s="140" t="e">
        <f ca="1">IF($BG343+$BM343+$BS343+$BY343=1,0,IF(OR(AND($BB343&lt;65,$BB343&gt;=60),$BW343&gt;=Control!$C$89),1*$BA343,$CE342))</f>
        <v>#N/A</v>
      </c>
      <c r="CB343" s="140" t="e">
        <f ca="1">IF($BX343&lt;0,-$BX343,$CA343*IF(OR($G343&lt;Control!$C$92,$G343&gt;Control!$C$95),0,IF(AND($G343&gt;=Control!$C$92,$G343&lt;=Control!$C$93),$G343-Control!$C$92,IF(AND($G343&gt;Control!$C$93,$G343&lt;=Control!$C$94),Control!$C$93-Control!$C$92,IF(AND($G343&gt;Control!$C$94,$G343&lt;=Control!$C$95),(Control!$C$93-Control!$C$92)*(Control!$C$94-$G343)/(Control!$C$95-Control!$C$94))))))</f>
        <v>#N/A</v>
      </c>
      <c r="CC343" s="140" t="e">
        <f t="shared" ca="1" si="1293"/>
        <v>#N/A</v>
      </c>
      <c r="CD343" s="140" t="e">
        <f ca="1">IF($CC343&lt;=Control!$C$90,$CC343,Control!$C$90-$CC343)</f>
        <v>#N/A</v>
      </c>
      <c r="CE343" s="140" t="e">
        <f ca="1">IF(AND($BB343&gt;=60,$BB343&lt;65),1,IF($CC343&gt;=Control!$C$90,0,$CA343))</f>
        <v>#N/A</v>
      </c>
      <c r="CF343" s="404" t="e">
        <f ca="1">IF($CE343=0,0,IF($CC343&lt;=Control!$C$90,$CA343*(60+(65-60)*(CD343/Control!$C$90)),0))</f>
        <v>#N/A</v>
      </c>
      <c r="CG343" s="140" t="e">
        <f ca="1">IF($BG343+$BM343+$BS343+$BY343+$CE343=1,0,IF(OR(AND($BB343&lt;90,$BB343&gt;=65),$CC343&gt;=Control!$C$90),$BA343,$CK342))</f>
        <v>#N/A</v>
      </c>
      <c r="CH343" s="140" t="e">
        <f ca="1">IF($CD343&lt;0,-$CD343,$CG343*IF(OR($G343&lt;Control!$C$92,$G343&gt;Control!$C$95),0,IF(AND($G343&gt;=Control!$C$92,$G343&lt;=Control!$C$93),$G343-Control!$C$92,IF(AND($G343&gt;Control!$C$93,$G343&lt;=Control!$C$94),Control!$C$93-Control!$C$92,IF(AND($G343&gt;Control!$C$94,$G343&lt;=Control!$C$95),(Control!$C$93-Control!$C$92)*(Control!$C$94-$G343)/(Control!$C$95-Control!$C$94))))))</f>
        <v>#N/A</v>
      </c>
      <c r="CI343" s="140" t="e">
        <f t="shared" ca="1" si="1294"/>
        <v>#N/A</v>
      </c>
      <c r="CJ343" s="140" t="e">
        <f ca="1">IF($CI343&lt;=Control!$C$91,$CI343,Control!$C$91-$CI343)</f>
        <v>#N/A</v>
      </c>
      <c r="CK343" s="140" t="e">
        <f ca="1">IF(AND($BB343&gt;=65,$BB343&lt;90),1,IF($CI343&gt;=Control!$C$91,0,$CG343))</f>
        <v>#N/A</v>
      </c>
      <c r="CL343" s="404" t="e">
        <f ca="1">IF($CK343=0,0,IF($CI343&lt;=Control!$C$91,$CG343*(65+(90-65)*($CJ343/Control!$C$91)),0))</f>
        <v>#N/A</v>
      </c>
      <c r="CM343" s="140" t="e">
        <f ca="1">IF($BG343+$BM343+$BS343+$BY343+$CE343+$CK343=1,0,IF(OR($BB343&gt;=90,$CI343&gt;=Control!$C$91),$BA343,$CM342))</f>
        <v>#N/A</v>
      </c>
      <c r="CN343" s="140" t="e">
        <f t="shared" ca="1" si="1295"/>
        <v>#N/A</v>
      </c>
      <c r="CO343" s="140" t="e">
        <f t="shared" ca="1" si="1296"/>
        <v>#N/A</v>
      </c>
      <c r="CP343" s="140" t="e">
        <f t="shared" ca="1" si="1297"/>
        <v>#N/A</v>
      </c>
      <c r="CQ343" s="141" t="e">
        <f ca="1">VLOOKUP($CP343,Control!$B$86:$G$91,6)</f>
        <v>#N/A</v>
      </c>
      <c r="CR343" s="141" t="e">
        <f ca="1">(1-$CQ343)*VLOOKUP($CP343,Control!$B$86:$D$91,3)</f>
        <v>#N/A</v>
      </c>
      <c r="CS343" s="141" t="e">
        <f ca="1">(1-$CQ343)*VLOOKUP($CP343,Control!$B$86:$E$91,4)</f>
        <v>#N/A</v>
      </c>
      <c r="CT343" s="141" t="e">
        <f ca="1">(1-$CQ343)*VLOOKUP($CP343,Control!$B$86:$F$91,5)</f>
        <v>#N/A</v>
      </c>
      <c r="CU343" s="141">
        <f t="shared" ca="1" si="1298"/>
        <v>0</v>
      </c>
      <c r="CV343" s="583">
        <f t="shared" ca="1" si="1299"/>
        <v>0</v>
      </c>
      <c r="CW343" s="142">
        <f t="shared" ca="1" si="1300"/>
        <v>339</v>
      </c>
      <c r="CX343" s="612" t="e">
        <f ca="1">IF(Control!$C$114=1,(MIN(Control!$C$120*(IF($NT343-0.01&lt;0,0,1)),Control!$C$119-$CY343)))</f>
        <v>#DIV/0!</v>
      </c>
      <c r="CY343" s="143" t="e">
        <f t="shared" ca="1" si="1301"/>
        <v>#N/A</v>
      </c>
      <c r="CZ343" s="144">
        <f t="shared" ca="1" si="1177"/>
        <v>0</v>
      </c>
      <c r="DA343" s="144">
        <f t="shared" ca="1" si="1178"/>
        <v>0</v>
      </c>
      <c r="DB343" s="144" t="e">
        <f t="shared" ca="1" si="1179"/>
        <v>#N/A</v>
      </c>
      <c r="DC343" s="144" t="e">
        <f t="shared" ca="1" si="1180"/>
        <v>#N/A</v>
      </c>
      <c r="DD343" s="144" t="e">
        <f t="shared" ca="1" si="1386"/>
        <v>#N/A</v>
      </c>
      <c r="DE343" s="143" t="e">
        <f t="shared" ca="1" si="1302"/>
        <v>#N/A</v>
      </c>
      <c r="DF343" s="145" t="e">
        <f ca="1">$DR343*EXP(-Control!$C$158*(1-$KH343))</f>
        <v>#N/A</v>
      </c>
      <c r="DG343" s="146" t="e">
        <f ca="1">IF(Control!$C$114=1, $DF343*$EY343, 0)</f>
        <v>#N/A</v>
      </c>
      <c r="DH343" s="147" t="e">
        <f t="shared" ca="1" si="1303"/>
        <v>#N/A</v>
      </c>
      <c r="DI343" s="144" t="e">
        <f t="shared" ca="1" si="1364"/>
        <v>#N/A</v>
      </c>
      <c r="DJ343" s="147" t="e">
        <f ca="1">$EF343*Control!$C$109</f>
        <v>#N/A</v>
      </c>
      <c r="DK343" s="144" t="e">
        <f t="shared" ca="1" si="1304"/>
        <v>#N/A</v>
      </c>
      <c r="DL343" s="144" t="e">
        <f t="shared" ca="1" si="1181"/>
        <v>#N/A</v>
      </c>
      <c r="DM343" s="144" t="e">
        <f ca="1">IF(Control!$C$114=1, (1-EXP(-Control!$C$96*$DK343))*$AR343, 0)</f>
        <v>#N/A</v>
      </c>
      <c r="DN343" s="144">
        <f t="shared" ca="1" si="1305"/>
        <v>0</v>
      </c>
      <c r="DO343" s="148">
        <f>Control!$C$97</f>
        <v>4</v>
      </c>
      <c r="DP343" s="145" t="e">
        <f t="shared" ca="1" si="1306"/>
        <v>#N/A</v>
      </c>
      <c r="DQ343" s="145" t="e">
        <f ca="1">IF(AND($CP343&gt;=0,$CP343&lt;=90),Control!$C$111,Control!$C$111)</f>
        <v>#N/A</v>
      </c>
      <c r="DR343" s="145" t="e">
        <f t="shared" ca="1" si="1182"/>
        <v>#N/A</v>
      </c>
      <c r="DS343" s="143" t="e">
        <f ca="1">Control!$B$22/$DR343</f>
        <v>#N/A</v>
      </c>
      <c r="DT343" s="149" t="e">
        <f ca="1">IF(AND(Control!$C$114=1,$KH343&lt;1),$IM343*$DF343, 0)</f>
        <v>#N/A</v>
      </c>
      <c r="DU343" s="144" t="e">
        <f t="shared" ca="1" si="1307"/>
        <v>#N/A</v>
      </c>
      <c r="DV343" s="144">
        <f ca="1">IF($G343-Control!$C$107&lt;=0, 0, 0.83*LN(MAX($G343, 3))-0.8924)</f>
        <v>0</v>
      </c>
      <c r="DW343" s="144" t="e">
        <f t="shared" ca="1" si="1183"/>
        <v>#N/A</v>
      </c>
      <c r="DX343" s="150" t="e">
        <f ca="1">MAX(0.01*(1+$CU343/Control!$C$102),0.05*($DK343-Control!$C$97)/Control!$C$97)</f>
        <v>#N/A</v>
      </c>
      <c r="DY343" s="151" t="e">
        <f ca="1">IF(Control!$C$114=1, $DI343*$FS343, 0)</f>
        <v>#N/A</v>
      </c>
      <c r="DZ343" s="196" t="e">
        <f t="shared" ca="1" si="1308"/>
        <v>#N/A</v>
      </c>
      <c r="EA343" s="152">
        <f t="shared" ca="1" si="1309"/>
        <v>339</v>
      </c>
      <c r="EB343" s="153" t="e">
        <f t="shared" ca="1" si="1310"/>
        <v>#N/A</v>
      </c>
      <c r="EC343" s="153" t="e">
        <f t="shared" ca="1" si="1311"/>
        <v>#N/A</v>
      </c>
      <c r="ED343" s="154" t="e">
        <f ca="1">IF(Control!$C$114=1, $HM343*$FY343-$FD343, 0)</f>
        <v>#DIV/0!</v>
      </c>
      <c r="EE343" s="155" t="e">
        <f ca="1">IF(Control!$C$114=1, $HM343*$FZ343-$FF343, 0)</f>
        <v>#DIV/0!</v>
      </c>
      <c r="EF343" s="153" t="e">
        <f t="shared" ca="1" si="1365"/>
        <v>#N/A</v>
      </c>
      <c r="EG343" s="155" t="e">
        <f ca="1">IF(Control!$C$114=1, $GX343*$FW343-$FI343, 0)</f>
        <v>#DIV/0!</v>
      </c>
      <c r="EH343" s="153" t="e">
        <f t="shared" ca="1" si="1312"/>
        <v>#N/A</v>
      </c>
      <c r="EI343" s="156" t="e">
        <f t="shared" ca="1" si="1313"/>
        <v>#N/A</v>
      </c>
      <c r="EJ343" s="155" t="e">
        <f ca="1">IF(Control!$C$114=1, $HM343*$GB343, 0)</f>
        <v>#DIV/0!</v>
      </c>
      <c r="EK343" s="153" t="e">
        <f t="shared" ca="1" si="1366"/>
        <v>#N/A</v>
      </c>
      <c r="EL343" s="153" t="e">
        <f t="shared" ca="1" si="1184"/>
        <v>#N/A</v>
      </c>
      <c r="EM343" s="153" t="e">
        <f t="shared" ca="1" si="1185"/>
        <v>#N/A</v>
      </c>
      <c r="EN343" s="153" t="e">
        <f ca="1">IF(Control!$C$108=1,IF(AND(Control!$B$18=1,$EB343&gt;=Control!$B$19),$EB343-$DS343,IF(AND(Control!$B$18=2,$AW343=1,$EB343&gt;$DS343),$EB343-$DS343,0)))</f>
        <v>#N/A</v>
      </c>
      <c r="EO343" s="153" t="e">
        <f ca="1">IF(Control!$C$108=1,IF(AND(Control!$B$18=1,$EB343&gt;=Control!$B$19),$EF343,IF(AND(Control!$B$18=2,$AW343=1),$EF343,0)))</f>
        <v>#N/A</v>
      </c>
      <c r="EP343" s="153" t="e">
        <f ca="1">IF(Control!$C$108=1,IF(AND(Control!$B$18=1,$EB343&gt;=Control!$B$19),$EK343,IF(AND(Control!$B$18=2,$AW343=1),$EK343,0)))</f>
        <v>#N/A</v>
      </c>
      <c r="EQ343" s="153" t="e">
        <f t="shared" ca="1" si="1314"/>
        <v>#N/A</v>
      </c>
      <c r="ER343" s="153" t="e">
        <f t="shared" ca="1" si="1315"/>
        <v>#N/A</v>
      </c>
      <c r="ES343" s="153" t="e">
        <f t="shared" ca="1" si="1367"/>
        <v>#N/A</v>
      </c>
      <c r="ET343" s="153" t="e">
        <f t="shared" ca="1" si="1368"/>
        <v>#N/A</v>
      </c>
      <c r="EU343" s="153" t="e">
        <f t="shared" ca="1" si="1316"/>
        <v>#N/A</v>
      </c>
      <c r="EV343" s="153" t="e">
        <f t="shared" ca="1" si="1186"/>
        <v>#N/A</v>
      </c>
      <c r="EW343" s="153" t="e">
        <f t="shared" ca="1" si="1187"/>
        <v>#N/A</v>
      </c>
      <c r="EX343" s="153" t="e">
        <f t="shared" ca="1" si="1188"/>
        <v>#N/A</v>
      </c>
      <c r="EY343" s="157" t="e">
        <f t="shared" ca="1" si="1189"/>
        <v>#DIV/0!</v>
      </c>
      <c r="EZ343" s="154" t="e">
        <f t="shared" ca="1" si="1190"/>
        <v>#DIV/0!</v>
      </c>
      <c r="FA343" s="153" t="e">
        <f t="shared" ca="1" si="1317"/>
        <v>#N/A</v>
      </c>
      <c r="FB343" s="153" t="e">
        <f t="shared" ca="1" si="1191"/>
        <v>#N/A</v>
      </c>
      <c r="FC343" s="193" t="e">
        <f t="shared" ca="1" si="1192"/>
        <v>#N/A</v>
      </c>
      <c r="FD343" s="158" t="e">
        <f t="shared" ca="1" si="1318"/>
        <v>#N/A</v>
      </c>
      <c r="FE343" s="158" t="e">
        <f t="shared" ca="1" si="1319"/>
        <v>#N/A</v>
      </c>
      <c r="FF343" s="159" t="e">
        <f t="shared" ca="1" si="1193"/>
        <v>#N/A</v>
      </c>
      <c r="FG343" s="160" t="e">
        <f t="shared" ca="1" si="1320"/>
        <v>#N/A</v>
      </c>
      <c r="FH343" s="158" t="e">
        <f t="shared" ca="1" si="1321"/>
        <v>#N/A</v>
      </c>
      <c r="FI343" s="159" t="e">
        <f t="shared" ca="1" si="1194"/>
        <v>#N/A</v>
      </c>
      <c r="FJ343" s="160" t="e">
        <f t="shared" ca="1" si="1322"/>
        <v>#N/A</v>
      </c>
      <c r="FK343" s="160" t="e">
        <f t="shared" ca="1" si="1195"/>
        <v>#N/A</v>
      </c>
      <c r="FL343" s="160" t="e">
        <f t="shared" ca="1" si="1369"/>
        <v>#N/A</v>
      </c>
      <c r="FM343" s="160" t="e">
        <f t="shared" ca="1" si="1196"/>
        <v>#N/A</v>
      </c>
      <c r="FN343" s="158">
        <f t="shared" ca="1" si="1323"/>
        <v>0.01</v>
      </c>
      <c r="FO343" s="160">
        <f>Control!$C$101</f>
        <v>50</v>
      </c>
      <c r="FP343" s="150" t="e">
        <f t="shared" ca="1" si="1197"/>
        <v>#N/A</v>
      </c>
      <c r="FQ343" s="150" t="e">
        <f ca="1">MAX(0,(Control!$C$112*(($DK343-Control!$C$97)/Control!$C$97)))</f>
        <v>#N/A</v>
      </c>
      <c r="FR343" s="150" t="e">
        <f ca="1">(1-$NT343)*Control!$C$113</f>
        <v>#DIV/0!</v>
      </c>
      <c r="FS343" s="198" t="e">
        <f t="shared" ca="1" si="1198"/>
        <v>#N/A</v>
      </c>
      <c r="FT343" s="161">
        <f t="shared" ca="1" si="1324"/>
        <v>339</v>
      </c>
      <c r="FU343" s="162" t="e">
        <f ca="1">IF(Control!$B$34=1,VLOOKUP($CP343,Control!$B$86:$G$91,6),Control!$B$35)</f>
        <v>#N/A</v>
      </c>
      <c r="FV343" s="162" t="e">
        <f t="shared" ca="1" si="1199"/>
        <v>#DIV/0!</v>
      </c>
      <c r="FW343" s="162" t="e">
        <f ca="1">IF(Control!$B$31=1,$FU343*$FV343,  $FU343)</f>
        <v>#N/A</v>
      </c>
      <c r="FX343" s="162" t="e">
        <f ca="1">IF(Control!$B$34=1,VLOOKUP($CP343,Control!$B$86:$G$91,3),Control!$B$36)</f>
        <v>#N/A</v>
      </c>
      <c r="FY343" s="162" t="e">
        <f t="shared" ca="1" si="1200"/>
        <v>#N/A</v>
      </c>
      <c r="FZ343" s="162" t="e">
        <f ca="1">IF(Control!$B$34=1,VLOOKUP($CP343,Control!$B$86:$G$91,4),Control!$B$37)</f>
        <v>#N/A</v>
      </c>
      <c r="GA343" s="162" t="e">
        <f t="shared" ca="1" si="1201"/>
        <v>#N/A</v>
      </c>
      <c r="GB343" s="162" t="e">
        <f ca="1">IF(Control!$B$34=1,VLOOKUP($CP343,Control!$B$86:$G$91,5),Control!$B$38)</f>
        <v>#N/A</v>
      </c>
      <c r="GC343" s="162" t="e">
        <f t="shared" ca="1" si="1325"/>
        <v>#N/A</v>
      </c>
      <c r="GD343" s="162">
        <f t="shared" ca="1" si="1202"/>
        <v>1</v>
      </c>
      <c r="GE343" s="162">
        <f t="shared" ca="1" si="1203"/>
        <v>1</v>
      </c>
      <c r="GF343" s="162">
        <f ca="1">IF(AND(Control!$C$104=1, Control!$C$62="F"),$GE343,1)</f>
        <v>1</v>
      </c>
      <c r="GG343" s="162" t="e">
        <f ca="1">IF(Control!$B$16=40,0,IF(AND(Control!$B$16&gt;40,Control!$B$16&lt;=360),(Control!$B$16-40)*((1-0)/(360-40)),IF(AND(Control!$B$16&gt;360,Control!$B$16&lt;=720),(1+(Control!$B$16-360)*((1.25-1)/(720-360))),IF(AND(Control!$B$16&gt;720,Control!$B$16&lt;=1000),(1.25+(Control!$B$16-720)*((1.35-1.25)/(1000-720))),IF(AND(Control!$B$16&gt;1000,Control!$B$16&lt;=2000),(1.35+(Control!$B$16-1000)*0))))))</f>
        <v>#N/A</v>
      </c>
      <c r="GH343" s="162" t="e">
        <f t="shared" ca="1" si="1204"/>
        <v>#N/A</v>
      </c>
      <c r="GI343" s="162">
        <f t="shared" ca="1" si="1326"/>
        <v>0</v>
      </c>
      <c r="GJ343" s="162">
        <f t="shared" ca="1" si="1205"/>
        <v>0</v>
      </c>
      <c r="GK343" s="162">
        <f t="shared" ca="1" si="1327"/>
        <v>1</v>
      </c>
      <c r="GL343" s="162">
        <f t="shared" ca="1" si="1206"/>
        <v>1</v>
      </c>
      <c r="GM343" s="162" t="e">
        <f ca="1">MAX(0,MIN(1,1-Control!$C$156*(1.0001-$KH343)^2))</f>
        <v>#N/A</v>
      </c>
      <c r="GN343" s="162" t="e">
        <f ca="1">IF(Control!$B$26=1,$KU343,$KX343)</f>
        <v>#N/A</v>
      </c>
      <c r="GO343" s="162" t="e">
        <f ca="1">IF($CP343&lt;=60,Control!$C$105,IF($CP343&gt;=90,Control!$C$106,Control!$C$105+($CP343-60)*((Control!$C$106-Control!$C$105)/(90-60))))</f>
        <v>#N/A</v>
      </c>
      <c r="GP343" s="162" t="e">
        <f t="shared" ca="1" si="1207"/>
        <v>#N/A</v>
      </c>
      <c r="GQ343" s="162" t="e">
        <f t="shared" ca="1" si="1328"/>
        <v>#N/A</v>
      </c>
      <c r="GR343" s="163" t="e">
        <f t="shared" ca="1" si="1208"/>
        <v>#DIV/0!</v>
      </c>
      <c r="GS343" s="162" t="e">
        <f t="shared" ca="1" si="1209"/>
        <v>#DIV/0!</v>
      </c>
      <c r="GT343" s="164" t="e">
        <f t="shared" ca="1" si="1329"/>
        <v>#N/A</v>
      </c>
      <c r="GU343" s="162" t="e">
        <f t="shared" ca="1" si="1330"/>
        <v>#N/A</v>
      </c>
      <c r="GV343" s="162" t="e">
        <f t="shared" ca="1" si="1210"/>
        <v>#N/A</v>
      </c>
      <c r="GW343" s="162" t="e">
        <f t="shared" ca="1" si="1211"/>
        <v>#DIV/0!</v>
      </c>
      <c r="GX343" s="162" t="e">
        <f t="shared" ca="1" si="1331"/>
        <v>#DIV/0!</v>
      </c>
      <c r="GY343" s="162" t="e">
        <f t="shared" ca="1" si="1332"/>
        <v>#DIV/0!</v>
      </c>
      <c r="GZ343" s="165" t="e">
        <f t="shared" ca="1" si="1212"/>
        <v>#N/A</v>
      </c>
      <c r="HA343" s="162" t="e">
        <f ca="1">IF(Control!$C$114=1, $DI343*$FS343, 0)</f>
        <v>#N/A</v>
      </c>
      <c r="HB343" s="162" t="e">
        <f ca="1">$FA343/Control!$C$64</f>
        <v>#N/A</v>
      </c>
      <c r="HC343" s="162" t="e">
        <f t="shared" ca="1" si="1213"/>
        <v>#DIV/0!</v>
      </c>
      <c r="HD343" s="162">
        <f ca="1">-ASIN(SIN(23.45*Control!$C$139)*COS(2*Control!$C$138*($AH343+10)/365))</f>
        <v>-0.39298973582812574</v>
      </c>
      <c r="HE343" s="165">
        <f t="shared" ca="1" si="1333"/>
        <v>0</v>
      </c>
      <c r="HF343" s="166">
        <f ca="1">IF(AND(Control!$C$61="T",$HE343&gt;=Control!$C$103,Control!$C$114=0),$AH343,Control!$C$59)</f>
        <v>1</v>
      </c>
      <c r="HG343" s="166">
        <f ca="1">IF(AND(Control!$C$61="T",$HE343&gt;=Control!$C$103,Control!$C$114=0),$HF343,Control!$C$59)</f>
        <v>1</v>
      </c>
      <c r="HH343" s="165">
        <f ca="1">IF(AND(OR(Control!$C$60&lt;=0, $AH343= Control!$C$59, Control!$C$60 &gt;0, $AH343 = Control!$C$60)), Control!$C$59, IF(Control!$C$60&gt;0, 0))</f>
        <v>1</v>
      </c>
      <c r="HI343" s="165">
        <f ca="1">IF(AND(OR(Control!$C$60&lt;=0, $AH343= Control!$C$59, Control!$C$60 &gt;0, $AH343 = Control!$C$60)), Control!$C$60, IF(Control!$C$60&lt;=0, 0))</f>
        <v>0</v>
      </c>
      <c r="HJ343" s="166">
        <f ca="1">IF(AND(Control!$C$62="F",$CV343&gt;=Control!$C$102),$AH343,0)</f>
        <v>0</v>
      </c>
      <c r="HK343" s="165" t="e">
        <f t="shared" ca="1" si="1370"/>
        <v>#N/A</v>
      </c>
      <c r="HL343" s="166">
        <f ca="1">IF(AND(Control!$C$61="T",$HE343&gt;=Control!$C$103,Control!$C$114=0),$HF343,0)</f>
        <v>0</v>
      </c>
      <c r="HM343" s="201" t="e">
        <f t="shared" ca="1" si="1214"/>
        <v>#DIV/0!</v>
      </c>
      <c r="HN343" s="215">
        <f t="shared" ca="1" si="1334"/>
        <v>339</v>
      </c>
      <c r="HO343" s="216" t="e">
        <f ca="1">IF(AND($CP343&gt;=0, $CP343&lt;=90), Control!$C$152, Control!$C$152)</f>
        <v>#N/A</v>
      </c>
      <c r="HP343" s="216" t="e">
        <f t="shared" ca="1" si="1215"/>
        <v>#N/A</v>
      </c>
      <c r="HQ343" s="217" t="e">
        <f ca="1">IF(OR(Control!$B$26=1,Control!$B$26=2),$KV343,$KS343)</f>
        <v>#DIV/0!</v>
      </c>
      <c r="HR343" s="218" t="e">
        <f t="shared" ca="1" si="1371"/>
        <v>#DIV/0!</v>
      </c>
      <c r="HS343" s="216" t="e">
        <f ca="1">Control!$C$154*$HP343</f>
        <v>#N/A</v>
      </c>
      <c r="HT343" s="216" t="e">
        <f ca="1">Control!$C$155*$HP343</f>
        <v>#N/A</v>
      </c>
      <c r="HU343" s="217" t="e">
        <f ca="1">Control!$C$161*$FI343</f>
        <v>#N/A</v>
      </c>
      <c r="HV343" s="218" t="e">
        <f t="shared" ca="1" si="1335"/>
        <v>#N/A</v>
      </c>
      <c r="HW343" s="218" t="e">
        <f ca="1">Control!$C$160*$FF343+$IP343*$EO343</f>
        <v>#N/A</v>
      </c>
      <c r="HX343" s="218" t="e">
        <f t="shared" ca="1" si="1372"/>
        <v>#N/A</v>
      </c>
      <c r="HY343" s="219" t="e">
        <f ca="1">IF(Control!$C$114=1, $EB343*$FS343, 0)</f>
        <v>#N/A</v>
      </c>
      <c r="HZ343" s="91" t="e">
        <f t="shared" ca="1" si="1216"/>
        <v>#N/A</v>
      </c>
      <c r="IA343" s="220" t="e">
        <f ca="1">Control!$C$153*$HO343</f>
        <v>#N/A</v>
      </c>
      <c r="IB343" s="218" t="e">
        <f t="shared" ca="1" si="1217"/>
        <v>#N/A</v>
      </c>
      <c r="IC343" s="220" t="e">
        <f ca="1">Control!$C$153*$HT343</f>
        <v>#N/A</v>
      </c>
      <c r="ID343" s="218" t="e">
        <f t="shared" ca="1" si="1218"/>
        <v>#N/A</v>
      </c>
      <c r="IE343" s="221" t="e">
        <f ca="1">($EB343*Control!$C$159+$EF343*Control!$C$160)/(IF($GZ343&lt;&gt;0,$GZ343,1))</f>
        <v>#N/A</v>
      </c>
      <c r="IF343" s="216" t="e">
        <f t="shared" ca="1" si="1219"/>
        <v>#N/A</v>
      </c>
      <c r="IG343" s="91">
        <f ca="1">IF(OR(Control!$B$198=$AH343,Control!$B$199=$AH343, Control!$B$200=$AH343, Control!$B$201=$AH343, Control!$B$202=$AH343, Control!$B$203=$AH343, Control!$B$204=$AH343, Control!$B$205=$AH343, Control!$B$206=$AH343, Control!$B$207=$AH343), 1, 0)</f>
        <v>0</v>
      </c>
      <c r="IH343" s="91">
        <f ca="1">IF($IG343=0,0, VLOOKUP($AH343,Control!$B$198:$C$207,2))</f>
        <v>0</v>
      </c>
      <c r="II343" s="222">
        <f t="shared" ca="1" si="1336"/>
        <v>0</v>
      </c>
      <c r="IJ343" s="91">
        <f>Control!$C$121</f>
        <v>0.7</v>
      </c>
      <c r="IK343" s="218">
        <f t="shared" ca="1" si="1220"/>
        <v>0</v>
      </c>
      <c r="IL343" s="217" t="e">
        <f t="shared" ca="1" si="1373"/>
        <v>#N/A</v>
      </c>
      <c r="IM343" s="223" t="e">
        <f ca="1">IF(AND(Control!$C$114=1,$KH343&lt;1),$EB343*Control!$C$148*(1-$KH343), 0)</f>
        <v>#N/A</v>
      </c>
      <c r="IN343" s="217" t="e">
        <f t="shared" ca="1" si="1221"/>
        <v>#DIV/0!</v>
      </c>
      <c r="IO343" s="91" t="e">
        <f ca="1">MAX(0,$IL343-$EF343*Control!$C$160)</f>
        <v>#N/A</v>
      </c>
      <c r="IP343" s="220" t="e">
        <f t="shared" ca="1" si="1222"/>
        <v>#N/A</v>
      </c>
      <c r="IQ343" s="217" t="e">
        <f t="shared" ca="1" si="1337"/>
        <v>#N/A</v>
      </c>
      <c r="IR343" s="218" t="e">
        <f t="shared" ca="1" si="1223"/>
        <v>#N/A</v>
      </c>
      <c r="IS343" s="217" t="e">
        <f ca="1">Control!$C$159*MAX(0,$FD343-$EN343)</f>
        <v>#N/A</v>
      </c>
      <c r="IT343" s="217" t="e">
        <f t="shared" ca="1" si="1374"/>
        <v>#N/A</v>
      </c>
      <c r="IU343" s="217" t="e">
        <f t="shared" ca="1" si="1338"/>
        <v>#N/A</v>
      </c>
      <c r="IV343" s="217" t="e">
        <f t="shared" ca="1" si="1375"/>
        <v>#N/A</v>
      </c>
      <c r="IW343" s="217" t="e">
        <f ca="1">IF(OR($AW343=1,AND($AW343=0, Control!$B$18=1,$EN343&lt;&gt;0)), $IQ343-$IU343, $IQ343)</f>
        <v>#N/A</v>
      </c>
      <c r="IX343" s="218" t="e">
        <f t="shared" ca="1" si="1224"/>
        <v>#N/A</v>
      </c>
      <c r="IY343" s="218" t="e">
        <f ca="1">MAX(0,$IQ343-$EB343*Control!$C$159)</f>
        <v>#N/A</v>
      </c>
      <c r="IZ343" s="218" t="e">
        <f t="shared" ca="1" si="1225"/>
        <v>#N/A</v>
      </c>
      <c r="JA343" s="216" t="e">
        <f t="shared" ca="1" si="1226"/>
        <v>#N/A</v>
      </c>
      <c r="JB343" s="217" t="e">
        <f t="shared" ca="1" si="1227"/>
        <v>#N/A</v>
      </c>
      <c r="JC343" s="222" t="e">
        <f ca="1">MAX(Control!$C$157*$EK343-$JT343, 0)/Control!$C$162</f>
        <v>#N/A</v>
      </c>
      <c r="JD343" s="218" t="e">
        <f t="shared" ca="1" si="1228"/>
        <v>#N/A</v>
      </c>
      <c r="JE343" s="218" t="e">
        <f t="shared" ca="1" si="1229"/>
        <v>#N/A</v>
      </c>
      <c r="JF343" s="218" t="e">
        <f t="shared" ca="1" si="1339"/>
        <v>#N/A</v>
      </c>
      <c r="JG343" s="218" t="e">
        <f t="shared" ca="1" si="1230"/>
        <v>#N/A</v>
      </c>
      <c r="JH343" s="217" t="e">
        <f t="shared" ca="1" si="1340"/>
        <v>#N/A</v>
      </c>
      <c r="JI343" s="217" t="e">
        <f t="shared" ca="1" si="1341"/>
        <v>#N/A</v>
      </c>
      <c r="JJ343" s="217" t="e">
        <f t="shared" ca="1" si="1376"/>
        <v>#N/A</v>
      </c>
      <c r="JK343" s="217" t="e">
        <f ca="1">IF(Control!$C$114=1,IF(Control!$B$24=0,MAX(0,$JI343)*$GN343/Control!$C$64,(MAX(0,MIN($JI343,$JJ343*$GN343/Control!$C$64),0))))</f>
        <v>#N/A</v>
      </c>
      <c r="JL343" s="217" t="e">
        <f ca="1">$IK343/Control!$C$64-$JK343+$HQ343</f>
        <v>#N/A</v>
      </c>
      <c r="JM343" s="217" t="e">
        <f ca="1">IF(Control!$C$114=1,($JB343/(IF($JI343&lt;&gt;0,$JI343,1)))*$JK343,0)</f>
        <v>#N/A</v>
      </c>
      <c r="JN343" s="217" t="e">
        <f ca="1">IF(Control!$C$114=1,($JG343/(IF($JI343&lt;&gt;0,$JI343,1)))*$JK343, 0)</f>
        <v>#N/A</v>
      </c>
      <c r="JO343" s="218" t="e">
        <f t="shared" ca="1" si="1231"/>
        <v>#N/A</v>
      </c>
      <c r="JP343" s="218" t="e">
        <f ca="1">MIN(($IY343+$IO343)*Control!$C$151, $JF343-$EH343*Control!$C$161)</f>
        <v>#N/A</v>
      </c>
      <c r="JQ343" s="218" t="e">
        <f t="shared" ca="1" si="1232"/>
        <v>#N/A</v>
      </c>
      <c r="JR343" s="217" t="e">
        <f ca="1">IF($CP343-Control!$C$150&lt;0, 0, $JQ343/Control!$C$162)</f>
        <v>#N/A</v>
      </c>
      <c r="JS343" s="218" t="e">
        <f t="shared" ca="1" si="1233"/>
        <v>#N/A</v>
      </c>
      <c r="JT343" s="218" t="e">
        <f t="shared" ca="1" si="1342"/>
        <v>#N/A</v>
      </c>
      <c r="JU343" s="218" t="e">
        <f t="shared" ca="1" si="1234"/>
        <v>#N/A</v>
      </c>
      <c r="JV343" s="218" t="e">
        <f t="shared" ca="1" si="1235"/>
        <v>#N/A</v>
      </c>
      <c r="JW343" s="216" t="e">
        <f t="shared" ca="1" si="1236"/>
        <v>#N/A</v>
      </c>
      <c r="JX343" s="91" t="e">
        <f t="shared" ca="1" si="1237"/>
        <v>#N/A</v>
      </c>
      <c r="JY343" s="218" t="e">
        <f t="shared" ca="1" si="1238"/>
        <v>#N/A</v>
      </c>
      <c r="JZ343" s="217" t="e">
        <f ca="1">IF(Control!$C$114=1,($IZ343/(IF($JI343&lt;&gt;0,$JI343,1)))*$JK343, 0)</f>
        <v>#N/A</v>
      </c>
      <c r="KA343" s="218" t="e">
        <f t="shared" ca="1" si="1377"/>
        <v>#N/A</v>
      </c>
      <c r="KB343" s="218" t="e">
        <f t="shared" ca="1" si="1343"/>
        <v>#N/A</v>
      </c>
      <c r="KC343" s="218" t="e">
        <f t="shared" ca="1" si="1239"/>
        <v>#N/A</v>
      </c>
      <c r="KD343" s="218" t="e">
        <f t="shared" ca="1" si="1240"/>
        <v>#N/A</v>
      </c>
      <c r="KE343" s="218" t="e">
        <f t="shared" ca="1" si="1241"/>
        <v>#N/A</v>
      </c>
      <c r="KF343" s="218" t="e">
        <f t="shared" ca="1" si="1242"/>
        <v>#N/A</v>
      </c>
      <c r="KG343" s="216" t="e">
        <f t="shared" ca="1" si="1243"/>
        <v>#N/A</v>
      </c>
      <c r="KH343" s="221" t="e">
        <f ca="1">IF(Control!$B$24=0,1,MAX(0.001,MIN(1,IF(($IF343-$IE343)&lt;&gt;0,($KG343-$IE343)/($IF343-$IE343),1))))</f>
        <v>#N/A</v>
      </c>
      <c r="KI343" s="222" t="e">
        <f ca="1">IF(Control!$C$114=1, $KI342+ $KH342, 0)</f>
        <v>#N/A</v>
      </c>
      <c r="KJ343" s="217" t="e">
        <f t="shared" ca="1" si="1244"/>
        <v>#N/A</v>
      </c>
      <c r="KK343" s="218" t="e">
        <f t="shared" ca="1" si="1245"/>
        <v>#N/A</v>
      </c>
      <c r="KL343" s="274" t="e">
        <f ca="1">IF(Control!$B$26=3,4000000000*EXP(-8400/($G343+273)),IF(Control!$B$26=4,4000000000*EXP(-8400/($G343+273))*($KT343),0))</f>
        <v>#DIV/0!</v>
      </c>
      <c r="KM343" s="274" t="e">
        <f ca="1">IF(Control!$B$26=3,5600000000000*EXP(-9800/($G343+273)),IF(Control!$B$26=4,5600000000000*EXP(-9800/($G343+273))*$KT343,0))</f>
        <v>#DIV/0!</v>
      </c>
      <c r="KN343" s="454" t="e">
        <f t="shared" ca="1" si="1344"/>
        <v>#DIV/0!</v>
      </c>
      <c r="KO343" s="274" t="e">
        <f t="shared" ca="1" si="1345"/>
        <v>#DIV/0!</v>
      </c>
      <c r="KP343" s="454" t="e">
        <f t="shared" ca="1" si="1246"/>
        <v>#DIV/0!</v>
      </c>
      <c r="KQ343" s="454" t="e">
        <f t="shared" ca="1" si="1247"/>
        <v>#DIV/0!</v>
      </c>
      <c r="KR343" s="454" t="e">
        <f t="shared" ca="1" si="1248"/>
        <v>#DIV/0!</v>
      </c>
      <c r="KS343" s="454" t="e">
        <f t="shared" ca="1" si="1249"/>
        <v>#DIV/0!</v>
      </c>
      <c r="KT343" s="455" t="e">
        <f t="shared" ca="1" si="1250"/>
        <v>#DIV/0!</v>
      </c>
      <c r="KU343" s="456" t="e">
        <f ca="1">IF($CP343-Control!$C$149&lt;0, IF($NT343-0.01&lt;0,0,1),0)</f>
        <v>#N/A</v>
      </c>
      <c r="KV343" s="456" t="e">
        <f ca="1">IF(Control!$C$114=1,MAX(0,MIN(Control!$C$125*$KW343*$GN343,$KW343)))</f>
        <v>#DIV/0!</v>
      </c>
      <c r="KW343" s="456" t="e">
        <f t="shared" ca="1" si="1378"/>
        <v>#DIV/0!</v>
      </c>
      <c r="KX343" s="457" t="e">
        <f ca="1">IF($CP343-Control!$C$149&lt;0, IF($MR343-$OM343&lt;0,0,1),0)</f>
        <v>#N/A</v>
      </c>
      <c r="KY343" s="167">
        <f t="shared" ca="1" si="1346"/>
        <v>339</v>
      </c>
      <c r="KZ343" s="168">
        <f ca="1">1370*(1+0.033*COS(2*Control!$C$138*$AH343/365))</f>
        <v>1410.7571581345837</v>
      </c>
      <c r="LA343" s="169">
        <f t="shared" ca="1" si="1347"/>
        <v>1.0297495555763521</v>
      </c>
      <c r="LB343" s="169">
        <f t="shared" ca="1" si="1348"/>
        <v>-0.39453228316073946</v>
      </c>
      <c r="LC343" s="169">
        <f ca="1">ACOS(-TAN((2*Control!$B$8/360))*TAN(Calculations!$LB343))</f>
        <v>1.4467339558109134</v>
      </c>
      <c r="LD343" s="169">
        <f ca="1">((24*60)/PI())*0.082*$LA343*(($LC343*SIN(Control!$B$8*2*PI()/360))*SIN($LB343)+COS(Control!$B$8*2*PI()/360)*COS($LB343)*SIN($LC343))</f>
        <v>4.8686220827762714</v>
      </c>
      <c r="LE343" s="170">
        <f t="shared" ca="1" si="1251"/>
        <v>6.5544112962255276</v>
      </c>
      <c r="LF343" s="170">
        <f ca="1">SIN(Control!$C$139*Control!$B$8)*SIN($HD343)</f>
        <v>-0.30177075161631423</v>
      </c>
      <c r="LG343" s="170">
        <f ca="1">COS(Control!$C$139*Control!$B$8)*COS($HD343)</f>
        <v>0.56872698796525711</v>
      </c>
      <c r="LH343" s="170">
        <f ca="1">12*(1+2*ASIN(MAX(-1,MIN(1,$LF343/$LG343))/Control!$C$138))</f>
        <v>7.9269437933432076</v>
      </c>
      <c r="LI343" s="170">
        <f ca="1">12*(1+2*ASIN(MAX(-1,MIN(1,(-SIN(-4*Control!$C$139)+$LF343)/$LG343))/Control!$C$138))</f>
        <v>8.8746469673326231</v>
      </c>
      <c r="LJ343" s="168">
        <f ca="1">3600*($LH343*$LF343+24*$LG343*SQRT(1-$LK343*$LK343)/Control!$C$138)</f>
        <v>4646.0237741357951</v>
      </c>
      <c r="LK343" s="170">
        <f t="shared" ca="1" si="1252"/>
        <v>-0.53060740566570241</v>
      </c>
      <c r="LL343" s="170">
        <f t="shared" ca="1" si="1253"/>
        <v>0</v>
      </c>
      <c r="LM343" s="171">
        <f ca="1">Control!$C$145*$AB343</f>
        <v>6.6660906138995932E-2</v>
      </c>
      <c r="LN343" s="170">
        <f t="shared" ca="1" si="1349"/>
        <v>0.54</v>
      </c>
      <c r="LO343" s="170">
        <f t="shared" ca="1" si="1254"/>
        <v>0</v>
      </c>
      <c r="LP343" s="170">
        <f ca="1">Control!$C$140*((($D343+273.16)^4+($E343+273.16)^4)/2)*(0.34-0.14*SQRT($Y343))*(1.35*$AQ343/(0.75*$LD343)-0.35)</f>
        <v>-3.2464704755046001</v>
      </c>
      <c r="LQ343" s="170">
        <f ca="1">Control!$C$140*($G343+273)^4*(0.56-0.079*SQRT($Y343*10))*(0.1+0.9*$LO343)</f>
        <v>1.5241745131704001</v>
      </c>
      <c r="LR343" s="170">
        <f ca="1">$AQ343*(1-Control!$C$142)-$LQ343</f>
        <v>-1.5241745131704001</v>
      </c>
      <c r="LS343" s="170">
        <f ca="1">$AQ343*(1-Control!$C$143)-$LQ343</f>
        <v>-1.5241745131704001</v>
      </c>
      <c r="LT343" s="170">
        <f ca="1">$AQ343*(1-Control!$C$144)-$LQ343</f>
        <v>-1.5241745131704001</v>
      </c>
      <c r="LU343" s="169">
        <f ca="1">(1-Control!$C$144)*AQ343-LP343</f>
        <v>3.2464704755046001</v>
      </c>
      <c r="LV343" s="172">
        <f t="shared" ca="1" si="1255"/>
        <v>0.79430000000000012</v>
      </c>
      <c r="LW343" s="170">
        <f t="shared" ca="1" si="1256"/>
        <v>1.5886000000000002</v>
      </c>
      <c r="LX343" s="170">
        <f ca="1">($AC343*($LR343/Control!$C$141)+$LM343*$LV343)/($AC343+$LM343)</f>
        <v>0.23530094218323697</v>
      </c>
      <c r="LY343" s="170">
        <f ca="1">($AC343*($LS343/Control!$C$141)+$LM343*$LV343)/($AC343+$LM343)</f>
        <v>0.23530094218323697</v>
      </c>
      <c r="LZ343" s="170">
        <f t="shared" ca="1" si="1257"/>
        <v>0.23530094218323697</v>
      </c>
      <c r="MA343" s="170">
        <f t="shared" ca="1" si="1258"/>
        <v>0.23530094218323697</v>
      </c>
      <c r="MB343" s="170" t="e">
        <f t="shared" ca="1" si="1259"/>
        <v>#N/A</v>
      </c>
      <c r="MC343" s="170">
        <f t="shared" ca="1" si="1350"/>
        <v>0.6018</v>
      </c>
      <c r="MD343" s="170">
        <f t="shared" ca="1" si="1260"/>
        <v>0.52989392535414004</v>
      </c>
      <c r="ME343" s="170">
        <f ca="1">($AC343*($LT343/Control!$C$141)+$LM343*$LW343)/($AC343+$LM343)</f>
        <v>0.71612369323045078</v>
      </c>
      <c r="MF343" s="170" t="e">
        <f ca="1">IF(Control!$B$16&gt;=1000,0.92,IF(AND(720&lt;=Control!$B$16,1000&gt;Control!$B$16),(0.95+(Control!$B$16-720)*((0.92-0.95)/(1000-720))),IF(AND(360&lt;=Control!$B$16,720&gt;Control!$B$16),(1+(Control!$B$16-360)*((0.95-1)/(720-360))),IF(AND(40&lt;=Control!$B$16,360&gt;Control!$B$16),(1.05+(Control!$B$16-40)*((1.05-1)/(360-40)))))))</f>
        <v>#N/A</v>
      </c>
      <c r="MG343" s="170">
        <f t="shared" ca="1" si="1261"/>
        <v>0.71612369323045078</v>
      </c>
      <c r="MH343" s="170" t="e">
        <f t="shared" ca="1" si="1262"/>
        <v>#N/A</v>
      </c>
      <c r="MI343" s="170" t="e">
        <f t="shared" ca="1" si="1262"/>
        <v>#N/A</v>
      </c>
      <c r="MJ343" s="170" t="e">
        <f ca="1">MAX(0.0001, Control!$C$132*$MI343*$DL343)</f>
        <v>#N/A</v>
      </c>
      <c r="MK343" s="170">
        <f ca="1">1/(0.76+1.5*($MG343/10))-(5-Control!$C$110)*0.1</f>
        <v>1.002845988140797</v>
      </c>
      <c r="ML343" s="173">
        <f ca="1">IF(Control!$C$110&lt;3,$MK343+($MG343-0.6)/(Control!$C$110*(Control!$C$110+3)), MAX(0.1, MIN(0.95,$MK343)))</f>
        <v>0.95</v>
      </c>
      <c r="MM343" s="173">
        <f ca="1">IF(Control!$C$110&lt;3,$MK343+(($MI343/10)-0.6)/(Control!$C$110*(Control!$C$110+3)), MAX(0.1, MIN(0.95,$MK343)))</f>
        <v>0.95</v>
      </c>
      <c r="MN343" s="173">
        <f ca="1">(1-$MM343)*(Control!$C$128-Control!$C$127)+Control!$C$127</f>
        <v>0.16</v>
      </c>
      <c r="MO343" s="170" t="e">
        <f ca="1">MAX(0,MIN(1,($MS343-Control!$C$127)/($MN343-Control!$C$127)))</f>
        <v>#DIV/0!</v>
      </c>
      <c r="MP343" s="173" t="e">
        <f ca="1">1/(0.76+1.5*$MI343)-(5-Control!$C$110)*0.1</f>
        <v>#N/A</v>
      </c>
      <c r="MQ343" s="172" t="e">
        <f t="shared" ca="1" si="1379"/>
        <v>#DIV/0!</v>
      </c>
      <c r="MR343" s="168" t="e">
        <f t="shared" ca="1" si="1351"/>
        <v>#DIV/0!</v>
      </c>
      <c r="MS343" s="173" t="e">
        <f ca="1">MAX(Control!$C$127, MIN(Control!$C$135, $MR343/MAX(0.0001,$CY343)))</f>
        <v>#DIV/0!</v>
      </c>
      <c r="MT343" s="168" t="e">
        <f ca="1">(Control!$C$128-$MS343)*Control!$C$74</f>
        <v>#DIV/0!</v>
      </c>
      <c r="MU343" s="168" t="e">
        <f ca="1">(Control!$C$135-$MS343)*Control!$C$74</f>
        <v>#DIV/0!</v>
      </c>
      <c r="MV343" s="168" t="e">
        <f t="shared" ca="1" si="1352"/>
        <v>#DIV/0!</v>
      </c>
      <c r="MW343" s="168" t="e">
        <f t="shared" ca="1" si="1353"/>
        <v>#DIV/0!</v>
      </c>
      <c r="MX343" s="171" t="e">
        <f ca="1">MAX(Control!$C$127, MIN(Control!$C$135, $MW343/MAX(0.0001,Control!$C$119-$CY343)))</f>
        <v>#DIV/0!</v>
      </c>
      <c r="MY343" s="54" t="e">
        <f ca="1">IF(Control!$C$114=1, $CX343*$MX343, 0)</f>
        <v>#DIV/0!</v>
      </c>
      <c r="MZ343" s="54" t="e">
        <f t="shared" ca="1" si="1354"/>
        <v>#N/A</v>
      </c>
      <c r="NA343" s="168" t="e">
        <f ca="1">(Control!$C$128-$MX343)*(Control!$C$119-Control!$C$74)</f>
        <v>#DIV/0!</v>
      </c>
      <c r="NB343" s="168" t="e">
        <f ca="1">(Control!$C$135-$MX343)*(Control!$C$119-Control!$C$74)</f>
        <v>#DIV/0!</v>
      </c>
      <c r="NC343" s="174" t="e">
        <f t="shared" ca="1" si="1355"/>
        <v>#DIV/0!</v>
      </c>
      <c r="ND343" s="54">
        <f ca="1">IF(Control!$C$58=2, IF(OR(Control!$B$218=$AH343,Control!$B$219=$AH343, Control!$B$220=$AH343, Control!$B$221=$AH343, Control!$B$222=$AH343, Control!$B$223=$AH343, Control!$B$224=$AH343, Control!$B$225=$AH343, Control!$B$226=$AH343, Control!$B$227=$AH343, Control!$B$228=$AH343), 1, 0), 0)</f>
        <v>0</v>
      </c>
      <c r="NE343" s="54">
        <f ca="1">IF($ND343=0,0, VLOOKUP($AH343,Control!$B$218:$C$228,2))</f>
        <v>0</v>
      </c>
      <c r="NF343" s="168" t="e">
        <f ca="1">$CY343*(Control!$C$128-Control!$C$127)</f>
        <v>#N/A</v>
      </c>
      <c r="NG343" s="54" t="e">
        <f ca="1">IF(Control!$C$58=2, $NI342-$NJ342, 0)</f>
        <v>#DIV/0!</v>
      </c>
      <c r="NH343" s="54" t="e">
        <f ca="1">IF(AND(Control!$C$58=1, $MS342&lt;= ($MN342+0.02), $I342&lt;10), 0, IF(Control!$C$58=2, $NG342, 0))</f>
        <v>#DIV/0!</v>
      </c>
      <c r="NI343" s="54" t="e">
        <f ca="1">IF(Control!$C$58=2, $NE343+$NH343,0)</f>
        <v>#DIV/0!</v>
      </c>
      <c r="NJ343" s="54" t="e">
        <f ca="1">IF(AND(Control!$C$58=1, $MS343&lt;= ($MN343+0.02), $I343&lt;10), MAX(0, MIN(10, 0.7*($NF343-$MV343))), IF(Control!$C$58=2, MIN(10,$NI343),0))</f>
        <v>#DIV/0!</v>
      </c>
      <c r="NK343" s="54" t="e">
        <f t="shared" ca="1" si="1263"/>
        <v>#DIV/0!</v>
      </c>
      <c r="NL343" s="173" t="e">
        <f ca="1">(1-Control!$C$73)*$I343+$NJ343</f>
        <v>#DIV/0!</v>
      </c>
      <c r="NM343" s="172" t="e">
        <f ca="1">IF($NL343&lt;0.5, $MB343* MAX(0, MIN(1, (SQRT($NC343)-SQRT($NC343-1))*Control!$C$71)),0)</f>
        <v>#DIV/0!</v>
      </c>
      <c r="NN343" s="170" t="e">
        <f ca="1">IF($NL343&gt;=5, $MB343, MAX(0,MIN($MB343, $NM343+$NL343,($MS343-Control!$C$129))))</f>
        <v>#DIV/0!</v>
      </c>
      <c r="NO343" s="54">
        <f>IF(Control!$C$133&lt;&gt;1, Control!$C$135-Control!$C$131, 0)</f>
        <v>0.38</v>
      </c>
      <c r="NP343" s="54" t="e">
        <f t="shared" ca="1" si="1264"/>
        <v>#DIV/0!</v>
      </c>
      <c r="NQ343" s="173" t="e">
        <f ca="1">MAX(0,MIN(1,(Control!$C$135-$MS343)/(Control!$C$135-$NO343)))</f>
        <v>#DIV/0!</v>
      </c>
      <c r="NR343" s="170" t="e">
        <f ca="1">IF(Control!$C$133&lt;&gt;1, $NQ343+((1-$NP343/4)*(1-$NQ343)),1)</f>
        <v>#DIV/0!</v>
      </c>
      <c r="NS343" s="170" t="e">
        <f ca="1">IF(Control!$B$31=0,$MJ343,MAX(0,MIN($MV343,$MO343*$NR343*$MJ343)))</f>
        <v>#DIV/0!</v>
      </c>
      <c r="NT343" s="170" t="e">
        <f t="shared" ca="1" si="1380"/>
        <v>#DIV/0!</v>
      </c>
      <c r="NU343" s="170" t="e">
        <f t="shared" ca="1" si="1356"/>
        <v>#N/A</v>
      </c>
      <c r="NV343" s="170" t="e">
        <f t="shared" ca="1" si="1265"/>
        <v>#N/A</v>
      </c>
      <c r="NW343" s="175" t="e">
        <f t="shared" ca="1" si="1266"/>
        <v>#DIV/0!</v>
      </c>
      <c r="NX343" s="170" t="e">
        <f ca="1">MIN(Control!$C$72+$MU343, $NW343)</f>
        <v>#DIV/0!</v>
      </c>
      <c r="NY343" s="170" t="e">
        <f ca="1">IF($MT343&lt;=$NX343,MIN(Control!$C$72+$NB343,$NX343-$MT343),0)</f>
        <v>#DIV/0!</v>
      </c>
      <c r="NZ343" s="54" t="e">
        <f ca="1">IF(Control!$C$114=1,  $CX343*($MX343-Control!$C$127), 0)</f>
        <v>#DIV/0!</v>
      </c>
      <c r="OA343" s="170" t="e">
        <f t="shared" ca="1" si="1267"/>
        <v>#DIV/0!</v>
      </c>
      <c r="OB343" s="170" t="e">
        <f ca="1">IF($NA343 &lt;=$NY343, MIN(Control!$C$72, $NY343-$NA343), 0)</f>
        <v>#DIV/0!</v>
      </c>
      <c r="OC343" s="168" t="e">
        <f t="shared" ca="1" si="1268"/>
        <v>#DIV/0!</v>
      </c>
      <c r="OD343" s="168" t="e">
        <f t="shared" ca="1" si="1357"/>
        <v>#DIV/0!</v>
      </c>
      <c r="OE343" s="170">
        <f ca="1">Control!$C$73*$I343</f>
        <v>0</v>
      </c>
      <c r="OF343" s="176" t="e">
        <f t="shared" ca="1" si="1269"/>
        <v>#DIV/0!</v>
      </c>
      <c r="OG343" s="168" t="e">
        <f t="shared" ca="1" si="1270"/>
        <v>#DIV/0!</v>
      </c>
      <c r="OH343" s="168" t="e">
        <f t="shared" ca="1" si="1271"/>
        <v>#DIV/0!</v>
      </c>
      <c r="OI343" s="168" t="e">
        <f t="shared" ca="1" si="1272"/>
        <v>#DIV/0!</v>
      </c>
      <c r="OJ343" s="168" t="e">
        <f t="shared" ca="1" si="1273"/>
        <v>#DIV/0!</v>
      </c>
      <c r="OK343" s="204" t="e">
        <f t="shared" ca="1" si="1274"/>
        <v>#DIV/0!</v>
      </c>
      <c r="OL343" s="177">
        <f>Control!$C$127</f>
        <v>0.15</v>
      </c>
      <c r="OM343" s="182" t="e">
        <f t="shared" ca="1" si="1275"/>
        <v>#N/A</v>
      </c>
      <c r="ON343" s="177">
        <f>Control!$C$128</f>
        <v>0.35</v>
      </c>
      <c r="OO343" s="182" t="e">
        <f t="shared" ca="1" si="1276"/>
        <v>#N/A</v>
      </c>
      <c r="OP343" s="138">
        <f t="shared" ca="1" si="1358"/>
        <v>0</v>
      </c>
      <c r="OQ343" s="138" t="e">
        <f t="shared" ca="1" si="1381"/>
        <v>#DIV/0!</v>
      </c>
      <c r="OR343" s="138" t="e">
        <f t="shared" ca="1" si="1359"/>
        <v>#DIV/0!</v>
      </c>
      <c r="OS343" s="137" t="e">
        <f t="shared" ca="1" si="1382"/>
        <v>#DIV/0!</v>
      </c>
      <c r="OT343" s="139" t="e">
        <f t="shared" ca="1" si="1383"/>
        <v>#DIV/0!</v>
      </c>
      <c r="OU343" s="138" t="e">
        <f t="shared" ca="1" si="1384"/>
        <v>#N/A</v>
      </c>
      <c r="OV343" s="138" t="e">
        <f t="shared" ca="1" si="1385"/>
        <v>#DIV/0!</v>
      </c>
      <c r="OW343" s="138" t="e">
        <f t="shared" ca="1" si="1360"/>
        <v>#DIV/0!</v>
      </c>
      <c r="OX343" s="138" t="e">
        <f t="shared" ca="1" si="1361"/>
        <v>#DIV/0!</v>
      </c>
      <c r="OY343" s="138" t="e">
        <f t="shared" ca="1" si="1362"/>
        <v>#DIV/0!</v>
      </c>
      <c r="OZ343" s="138" t="e">
        <f t="shared" ca="1" si="1277"/>
        <v>#DIV/0!</v>
      </c>
      <c r="PA343" s="138" t="e">
        <f t="shared" ca="1" si="1278"/>
        <v>#DIV/0!</v>
      </c>
      <c r="PB343" s="55">
        <f>IF(Control!$C$61="T", IF(Control!$C$65="F", IF($AH$6-Control!$C$60&lt;0,0,1), IF(365+$AH$6-Control!$C$60&lt;0,0,1)),0)</f>
        <v>0</v>
      </c>
      <c r="PC343" s="55">
        <f ca="1">IF(Control!$C$65="F", IF($AH$6-$HF343&lt;0,0,1), IF(365+$AH$6-$HF343&lt;0,0,1))</f>
        <v>1</v>
      </c>
      <c r="PD343" s="444">
        <f>Control!$C$118</f>
        <v>1500</v>
      </c>
      <c r="PE343" s="180" t="e">
        <f t="shared" ca="1" si="1279"/>
        <v>#N/A</v>
      </c>
      <c r="PF343" s="445">
        <f t="shared" ca="1" si="1363"/>
        <v>0.71612369323045078</v>
      </c>
      <c r="PT343" s="186"/>
      <c r="PU343" s="186"/>
      <c r="PV343" s="94"/>
      <c r="PW343" s="94"/>
      <c r="PX343" s="94"/>
      <c r="PY343" s="94"/>
      <c r="PZ343" s="94"/>
      <c r="QA343" s="94"/>
      <c r="QB343" s="94"/>
      <c r="QC343" s="94"/>
      <c r="QD343" s="94"/>
      <c r="QE343" s="94"/>
      <c r="QF343" s="94"/>
      <c r="QG343" s="94"/>
      <c r="QH343" s="94"/>
      <c r="QI343" s="94"/>
      <c r="QJ343" s="94"/>
      <c r="QK343" s="94"/>
      <c r="QL343" s="94"/>
      <c r="QM343" s="94"/>
      <c r="QN343" s="94"/>
      <c r="QO343" s="94"/>
      <c r="QP343" s="94"/>
    </row>
    <row r="344" spans="1:458" s="2" customFormat="1" x14ac:dyDescent="0.2">
      <c r="A344" s="395">
        <v>5</v>
      </c>
      <c r="B344" s="396">
        <v>12</v>
      </c>
      <c r="C344" s="387">
        <f ca="1">Weather_data!$B343</f>
        <v>0</v>
      </c>
      <c r="D344" s="388">
        <f ca="1">Weather_data!$F343</f>
        <v>0</v>
      </c>
      <c r="E344" s="388">
        <f ca="1">Weather_data!$E343</f>
        <v>0</v>
      </c>
      <c r="F344" s="388">
        <f t="shared" ca="1" si="1280"/>
        <v>0</v>
      </c>
      <c r="G344" s="388">
        <f ca="1">AVERAGE($D344:$E344)+Control!$B$9</f>
        <v>0</v>
      </c>
      <c r="H344" s="388">
        <f ca="1">Weather_data!$G343</f>
        <v>0</v>
      </c>
      <c r="I344" s="388">
        <f ca="1">Weather_data!$I343</f>
        <v>0</v>
      </c>
      <c r="J344" s="388">
        <f ca="1">Weather_data!$H343</f>
        <v>0</v>
      </c>
      <c r="K344" s="389">
        <f ca="1">Weather_data!$D343</f>
        <v>0</v>
      </c>
      <c r="L344" s="388" t="e">
        <f t="shared" ca="1" si="1281"/>
        <v>#N/A</v>
      </c>
      <c r="M344" s="388" t="e">
        <f t="shared" ca="1" si="1158"/>
        <v>#N/A</v>
      </c>
      <c r="N344" s="388">
        <f t="shared" ca="1" si="1159"/>
        <v>-1.7097719772736069E-16</v>
      </c>
      <c r="O344" s="388">
        <f t="shared" ca="1" si="1282"/>
        <v>1.7097719772736068E-15</v>
      </c>
      <c r="P344" s="390">
        <v>3</v>
      </c>
      <c r="Q344" s="388">
        <f ca="1">MAX($G344-Control!$C$107,0)</f>
        <v>0</v>
      </c>
      <c r="R344" s="388">
        <f t="shared" ca="1" si="1283"/>
        <v>0</v>
      </c>
      <c r="S344" s="388">
        <f t="shared" ca="1" si="1160"/>
        <v>0</v>
      </c>
      <c r="T344" s="388">
        <f t="shared" ca="1" si="1161"/>
        <v>0</v>
      </c>
      <c r="U344" s="59">
        <f t="shared" ca="1" si="1162"/>
        <v>0</v>
      </c>
      <c r="V344" s="391">
        <f ca="1">MAX(0,MIN(Control!$C$100-Control!$C$99,$G344-Control!$C$99)*Control!$C$63)</f>
        <v>0</v>
      </c>
      <c r="W344" s="388">
        <f t="shared" ca="1" si="1284"/>
        <v>0</v>
      </c>
      <c r="X344" s="388">
        <f t="shared" ca="1" si="1285"/>
        <v>0.6110000000000001</v>
      </c>
      <c r="Y344" s="388">
        <f t="shared" ca="1" si="1163"/>
        <v>0</v>
      </c>
      <c r="Z344" s="388">
        <f t="shared" ca="1" si="1286"/>
        <v>0.61058800000000002</v>
      </c>
      <c r="AA344" s="388">
        <f t="shared" ca="1" si="1164"/>
        <v>0.6018</v>
      </c>
      <c r="AB344" s="388">
        <f ca="1">101.3*EXP(-0.034*Control!$C$66/($G344+273))</f>
        <v>100.69623283836242</v>
      </c>
      <c r="AC344" s="392">
        <f t="shared" ca="1" si="1165"/>
        <v>4.3460251046025113E-2</v>
      </c>
      <c r="AD344" s="392">
        <f t="shared" ca="1" si="1166"/>
        <v>4.4450382862832649E-2</v>
      </c>
      <c r="AE344" s="388">
        <f t="shared" ca="1" si="1167"/>
        <v>0</v>
      </c>
      <c r="AF344" s="388">
        <f ca="1">MAX(0,$G344-Control!$C$92)</f>
        <v>0</v>
      </c>
      <c r="AG344" s="393">
        <f t="shared" ca="1" si="1168"/>
        <v>340</v>
      </c>
      <c r="AH344" s="389">
        <f t="shared" ca="1" si="1169"/>
        <v>340</v>
      </c>
      <c r="AI344" s="388">
        <f t="shared" ca="1" si="1287"/>
        <v>-0.39494567307987966</v>
      </c>
      <c r="AJ344" s="388">
        <f ca="1">IF(Control!$C$60&lt;=0,$HH344,$HI344)</f>
        <v>1</v>
      </c>
      <c r="AK344" s="388">
        <f t="shared" ca="1" si="1170"/>
        <v>4.4756936434703896</v>
      </c>
      <c r="AL344" s="388">
        <f t="shared" ca="1" si="1171"/>
        <v>-3.2463129406856691E-18</v>
      </c>
      <c r="AM344" s="388">
        <f t="shared" ca="1" si="1172"/>
        <v>4.4756936434703896</v>
      </c>
      <c r="AN344" s="388">
        <f t="shared" ca="1" si="1173"/>
        <v>-0.3970598641498298</v>
      </c>
      <c r="AO344" s="388">
        <f ca="1">-0.10453/COS(Control!$B$8*PI()/180)*COS(AN344)</f>
        <v>-0.1565759335826741</v>
      </c>
      <c r="AP344" s="388">
        <f ca="1">ACOS(AO344-TAN(Control!$B$8*PI()/180)*TAN(AN344))</f>
        <v>1.1808440086885708</v>
      </c>
      <c r="AQ344" s="388">
        <f t="shared" ca="1" si="1288"/>
        <v>0</v>
      </c>
      <c r="AR344" s="394">
        <f t="shared" ca="1" si="1174"/>
        <v>0</v>
      </c>
      <c r="AS344" s="436">
        <f ca="1">IF(Control!$B$18=2,(IF(OR($AH344=Control!$B$175,$AH344=Control!$B$176,$AH344=Control!$B$177,$AH344=Control!$B$178,$AH344=Control!$B$179,$AH344=Control!$B$180,$AH344=Control!$B$181,$AH344=Control!$B$182,$AH344=Control!$B$183,$AH344=Control!$B$184,$AH344=Control!$B$185),1,0)),0)</f>
        <v>0</v>
      </c>
      <c r="AT344" s="436">
        <f>IF(Control!$B$20=8,IF(AND($AH344&gt;=Control!$B$172,$AH344&lt;=Control!$B$173),1,0),0)</f>
        <v>0</v>
      </c>
      <c r="AU344" s="436">
        <f>IF(Control!$B$20=8,IF($AV343=1,1*$AT344,IF($AT344=1,$AU343+1,$AU343)),0)</f>
        <v>0</v>
      </c>
      <c r="AV344" s="436">
        <f>IF(Control!$B$20=8,IF($AU344&gt;=Control!$B$174,1,0),0)</f>
        <v>0</v>
      </c>
      <c r="AW344" s="436">
        <f ca="1">IF(AND(Control!$B$18=2,Control!$B$171=1), $AV344, $AS344)</f>
        <v>0</v>
      </c>
      <c r="AX344" s="436" t="e">
        <f ca="1">IF(AND(Control!$B$18=1,$EU344&gt;=Control!$B$19),-$AY344,IF(AND(Control!$B$18=2,$AW344=1,$EU344&gt;$DS344),-$AY344, IF(Control!$C$108=0,0, IF(Control!$C$108&lt;&gt;0,1))))</f>
        <v>#N/A</v>
      </c>
      <c r="AY344" s="436" t="e">
        <f t="shared" ca="1" si="1289"/>
        <v>#N/A</v>
      </c>
      <c r="AZ344" s="436" t="e">
        <f ca="1">IF(AND(Control!$B$18=1,$EB344&gt;Control!$B$19),$AZ343+1, IF(AND(Control!$B$18=2, $AW344=1, $EB344&gt;$DS344), $AZ343+1,$AZ343))</f>
        <v>#N/A</v>
      </c>
      <c r="BA344" s="587">
        <f>IF(Control!$C$81=0,1,IF($AH344&gt;=Control!$C$82,1,0))</f>
        <v>1</v>
      </c>
      <c r="BB344" s="140" t="e">
        <f ca="1">IF($BA344&gt;$BA343,Control!$C$83,IF($AW344&gt;0,$AW344*Control!$C$84,IF(AND(Control!$B$18=1,EN343&lt;&gt;0),Control!$C$84,0)))</f>
        <v>#N/A</v>
      </c>
      <c r="BC344" s="140" t="e">
        <f t="shared" ca="1" si="1290"/>
        <v>#N/A</v>
      </c>
      <c r="BD344" s="140" t="e">
        <f ca="1">BC344*IF(OR($G344&lt;Control!$C$92,$G344&gt;Control!$C$95),0,IF(AND($G344&gt;=Control!$C$92,$G344&lt;=Control!$C$93),$G344-Control!$C$92,IF(AND($G344&gt;Control!$C$93,$G344&lt;=Control!$C$94),Control!$C$93-Control!$C$92,IF(AND($G344&gt;Control!$C$94,$G344&lt;=Control!$C$95),(Control!$C$93-Control!$C$92)*(Control!$C$94-$G344)/(Control!$C$95-Control!$C$94)))))</f>
        <v>#N/A</v>
      </c>
      <c r="BE344" s="140" t="e">
        <f t="shared" ca="1" si="1291"/>
        <v>#N/A</v>
      </c>
      <c r="BF344" s="140" t="e">
        <f ca="1">IF($BE344&lt;=Control!$C$86,$BE344,Control!$C$86-$BE344)</f>
        <v>#N/A</v>
      </c>
      <c r="BG344" s="140" t="e">
        <f ca="1">IF(AND($AW344=1,Control!$C$84&lt;9),1,IF($BE344&gt;=Control!$C$86,0,$BC344))</f>
        <v>#N/A</v>
      </c>
      <c r="BH344" s="404" t="e">
        <f ca="1">IF($BG344=0,0,IF($BE344&lt;=Control!$C$86,$BC344*9*($BF344/Control!$C$86),0))</f>
        <v>#N/A</v>
      </c>
      <c r="BI344" s="140" t="e">
        <f ca="1">IF($BG344=1,0,IF($BE344&gt;=Control!$C$86,1,IF(AND($BB344&lt;21,$BB344&gt;=9),1,$BM343)))</f>
        <v>#N/A</v>
      </c>
      <c r="BJ344" s="140" t="e">
        <f ca="1">IF($BF344&lt;0,-$BF344,$BI344*IF(OR($G344&lt;Control!$C$92,$G344&gt;Control!$C$95),0,IF(AND($G344&gt;=Control!$C$92,$G344&lt;=Control!$C$93),$G344-Control!$C$92,IF(AND($G344&gt;Control!$C$93,$G344&lt;=Control!$C$94),Control!$C$93-Control!$C$92,IF(AND($G344&gt;Control!$C$94,$G344&lt;=Control!$C$95),(Control!$C$93-Control!$C$92)*(Control!$C$94-$G344)/(Control!$C$95-Control!$C$94))))))</f>
        <v>#N/A</v>
      </c>
      <c r="BK344" s="140" t="e">
        <f t="shared" ca="1" si="1292"/>
        <v>#N/A</v>
      </c>
      <c r="BL344" s="140" t="e">
        <f ca="1">IF($BK344&lt;=Control!$C$87,$BK344,Control!$C$87-$BK344)</f>
        <v>#N/A</v>
      </c>
      <c r="BM344" s="140" t="e">
        <f ca="1">IF(AND($BB344&gt;=9,$BB344&lt;21),1,IF($BK344&gt;=Control!$C$87,0,$BI344))</f>
        <v>#N/A</v>
      </c>
      <c r="BN344" s="404" t="e">
        <f ca="1">IF($BM344=0,0,IF($BK344&lt;=Control!$C$87,$BI344*(9+(21-9)*($BL344/Control!$C$87)),0))</f>
        <v>#N/A</v>
      </c>
      <c r="BO344" s="140" t="e">
        <f ca="1">IF($BM344=1,0,IF($BK344&gt;=Control!$C$87,1,IF(AND($BB344&lt;30,$BB344&gt;=21),1,$BS343)))</f>
        <v>#N/A</v>
      </c>
      <c r="BP344" s="140" t="e">
        <f ca="1">IF($BL344&lt;0,-$BL344,$BO344*IF(OR($G344&lt;Control!$C$92,$G344&gt;Control!$C$95),0,IF(AND($G344&gt;=Control!$C$92,$G344&lt;=Control!$C$93),$G344-Control!$C$92,IF(AND($G344&gt;Control!$C$93,$G344&lt;=Control!$C$94),Control!$C$93-Control!$C$92,IF(AND($G344&gt;Control!$C$94,$G344&lt;=Control!$C$95),(Control!$C$93-Control!$C$92)*(Control!$C$94-$G344)/(Control!$C$95-Control!$C$94))))))</f>
        <v>#N/A</v>
      </c>
      <c r="BQ344" s="140" t="e">
        <f t="shared" ca="1" si="1175"/>
        <v>#N/A</v>
      </c>
      <c r="BR344" s="140" t="e">
        <f ca="1">IF($BQ344&lt;=Control!$C$88,$BQ344,Control!$C$88-$BQ344)</f>
        <v>#N/A</v>
      </c>
      <c r="BS344" s="140" t="e">
        <f ca="1">IF(AND($BB344&gt;=21,$BB344&lt;30),1,IF($BQ344&gt;=Control!$C$88,0,$BO344))</f>
        <v>#N/A</v>
      </c>
      <c r="BT344" s="404" t="e">
        <f ca="1">IF($BS344=0,0,IF($BQ344&lt;=Control!$C$88,$BO344*(21+(30-21)*(BR344/Control!$C$88)),0))</f>
        <v>#N/A</v>
      </c>
      <c r="BU344" s="140" t="e">
        <f ca="1">IF(BG344+BM344+BS344=1,0,IF(OR(AND($BB344&lt;60,$BB344&gt;=30),$BQ344&gt;=Control!$C$88),1*$BA344,$BY343))</f>
        <v>#N/A</v>
      </c>
      <c r="BV344" s="140" t="e">
        <f ca="1">IF($BR344&lt;0,-$BR344,$BU344*IF(OR($G344&lt;Control!$C$92,$G344&gt;Control!$C$95),0,IF(AND($G344&gt;=Control!$C$92,$G344&lt;=Control!$C$93),$G344-Control!$C$92,IF(AND($G344&gt;Control!$C$93,$G344&lt;=Control!$C$94),Control!$C$93-Control!$C$92,IF(AND($G344&gt;Control!$C$94,$G344&lt;=Control!$C$95),(Control!$C$93-Control!$C$92)*(Control!$C$94-$G344)/(Control!$C$95-Control!$C$94))))))</f>
        <v>#N/A</v>
      </c>
      <c r="BW344" s="140" t="e">
        <f t="shared" ca="1" si="1176"/>
        <v>#N/A</v>
      </c>
      <c r="BX344" s="140" t="e">
        <f ca="1">IF($BW344&lt;=Control!$C$89,$BW344,Control!$C$89-$BW344)</f>
        <v>#N/A</v>
      </c>
      <c r="BY344" s="140" t="e">
        <f ca="1">IF(AND($AJ344&gt;=30,$AJ344&lt;60),1,IF($BW344&gt;=Control!$C$89,0,$BU344))</f>
        <v>#N/A</v>
      </c>
      <c r="BZ344" s="404" t="e">
        <f ca="1">IF($BY344=0,0,IF($BW344&lt;=Control!$C$89,$BU344*(30+(60-30)*(BX344/Control!$C$89)),0))</f>
        <v>#N/A</v>
      </c>
      <c r="CA344" s="140" t="e">
        <f ca="1">IF($BG344+$BM344+$BS344+$BY344=1,0,IF(OR(AND($BB344&lt;65,$BB344&gt;=60),$BW344&gt;=Control!$C$89),1*$BA344,$CE343))</f>
        <v>#N/A</v>
      </c>
      <c r="CB344" s="140" t="e">
        <f ca="1">IF($BX344&lt;0,-$BX344,$CA344*IF(OR($G344&lt;Control!$C$92,$G344&gt;Control!$C$95),0,IF(AND($G344&gt;=Control!$C$92,$G344&lt;=Control!$C$93),$G344-Control!$C$92,IF(AND($G344&gt;Control!$C$93,$G344&lt;=Control!$C$94),Control!$C$93-Control!$C$92,IF(AND($G344&gt;Control!$C$94,$G344&lt;=Control!$C$95),(Control!$C$93-Control!$C$92)*(Control!$C$94-$G344)/(Control!$C$95-Control!$C$94))))))</f>
        <v>#N/A</v>
      </c>
      <c r="CC344" s="140" t="e">
        <f t="shared" ca="1" si="1293"/>
        <v>#N/A</v>
      </c>
      <c r="CD344" s="140" t="e">
        <f ca="1">IF($CC344&lt;=Control!$C$90,$CC344,Control!$C$90-$CC344)</f>
        <v>#N/A</v>
      </c>
      <c r="CE344" s="140" t="e">
        <f ca="1">IF(AND($BB344&gt;=60,$BB344&lt;65),1,IF($CC344&gt;=Control!$C$90,0,$CA344))</f>
        <v>#N/A</v>
      </c>
      <c r="CF344" s="404" t="e">
        <f ca="1">IF($CE344=0,0,IF($CC344&lt;=Control!$C$90,$CA344*(60+(65-60)*(CD344/Control!$C$90)),0))</f>
        <v>#N/A</v>
      </c>
      <c r="CG344" s="140" t="e">
        <f ca="1">IF($BG344+$BM344+$BS344+$BY344+$CE344=1,0,IF(OR(AND($BB344&lt;90,$BB344&gt;=65),$CC344&gt;=Control!$C$90),$BA344,$CK343))</f>
        <v>#N/A</v>
      </c>
      <c r="CH344" s="140" t="e">
        <f ca="1">IF($CD344&lt;0,-$CD344,$CG344*IF(OR($G344&lt;Control!$C$92,$G344&gt;Control!$C$95),0,IF(AND($G344&gt;=Control!$C$92,$G344&lt;=Control!$C$93),$G344-Control!$C$92,IF(AND($G344&gt;Control!$C$93,$G344&lt;=Control!$C$94),Control!$C$93-Control!$C$92,IF(AND($G344&gt;Control!$C$94,$G344&lt;=Control!$C$95),(Control!$C$93-Control!$C$92)*(Control!$C$94-$G344)/(Control!$C$95-Control!$C$94))))))</f>
        <v>#N/A</v>
      </c>
      <c r="CI344" s="140" t="e">
        <f t="shared" ca="1" si="1294"/>
        <v>#N/A</v>
      </c>
      <c r="CJ344" s="140" t="e">
        <f ca="1">IF($CI344&lt;=Control!$C$91,$CI344,Control!$C$91-$CI344)</f>
        <v>#N/A</v>
      </c>
      <c r="CK344" s="140" t="e">
        <f ca="1">IF(AND($BB344&gt;=65,$BB344&lt;90),1,IF($CI344&gt;=Control!$C$91,0,$CG344))</f>
        <v>#N/A</v>
      </c>
      <c r="CL344" s="404" t="e">
        <f ca="1">IF($CK344=0,0,IF($CI344&lt;=Control!$C$91,$CG344*(65+(90-65)*($CJ344/Control!$C$91)),0))</f>
        <v>#N/A</v>
      </c>
      <c r="CM344" s="140" t="e">
        <f ca="1">IF($BG344+$BM344+$BS344+$BY344+$CE344+$CK344=1,0,IF(OR($BB344&gt;=90,$CI344&gt;=Control!$C$91),$BA344,$CM343))</f>
        <v>#N/A</v>
      </c>
      <c r="CN344" s="140" t="e">
        <f t="shared" ca="1" si="1295"/>
        <v>#N/A</v>
      </c>
      <c r="CO344" s="140" t="e">
        <f t="shared" ca="1" si="1296"/>
        <v>#N/A</v>
      </c>
      <c r="CP344" s="140" t="e">
        <f t="shared" ca="1" si="1297"/>
        <v>#N/A</v>
      </c>
      <c r="CQ344" s="141" t="e">
        <f ca="1">VLOOKUP($CP344,Control!$B$86:$G$91,6)</f>
        <v>#N/A</v>
      </c>
      <c r="CR344" s="141" t="e">
        <f ca="1">(1-$CQ344)*VLOOKUP($CP344,Control!$B$86:$D$91,3)</f>
        <v>#N/A</v>
      </c>
      <c r="CS344" s="141" t="e">
        <f ca="1">(1-$CQ344)*VLOOKUP($CP344,Control!$B$86:$E$91,4)</f>
        <v>#N/A</v>
      </c>
      <c r="CT344" s="141" t="e">
        <f ca="1">(1-$CQ344)*VLOOKUP($CP344,Control!$B$86:$F$91,5)</f>
        <v>#N/A</v>
      </c>
      <c r="CU344" s="141">
        <f t="shared" ca="1" si="1298"/>
        <v>0</v>
      </c>
      <c r="CV344" s="583">
        <f t="shared" ca="1" si="1299"/>
        <v>0</v>
      </c>
      <c r="CW344" s="142">
        <f t="shared" ca="1" si="1300"/>
        <v>340</v>
      </c>
      <c r="CX344" s="612" t="e">
        <f ca="1">IF(Control!$C$114=1,(MIN(Control!$C$120*(IF($NT344-0.01&lt;0,0,1)),Control!$C$119-$CY344)))</f>
        <v>#DIV/0!</v>
      </c>
      <c r="CY344" s="143" t="e">
        <f t="shared" ca="1" si="1301"/>
        <v>#N/A</v>
      </c>
      <c r="CZ344" s="144">
        <f t="shared" ca="1" si="1177"/>
        <v>0</v>
      </c>
      <c r="DA344" s="144">
        <f t="shared" ca="1" si="1178"/>
        <v>0</v>
      </c>
      <c r="DB344" s="144" t="e">
        <f t="shared" ca="1" si="1179"/>
        <v>#N/A</v>
      </c>
      <c r="DC344" s="144" t="e">
        <f t="shared" ca="1" si="1180"/>
        <v>#N/A</v>
      </c>
      <c r="DD344" s="144" t="e">
        <f t="shared" ca="1" si="1386"/>
        <v>#N/A</v>
      </c>
      <c r="DE344" s="143" t="e">
        <f t="shared" ca="1" si="1302"/>
        <v>#N/A</v>
      </c>
      <c r="DF344" s="145" t="e">
        <f ca="1">$DR344*EXP(-Control!$C$158*(1-$KH344))</f>
        <v>#N/A</v>
      </c>
      <c r="DG344" s="146" t="e">
        <f ca="1">IF(Control!$C$114=1, $DF344*$EY344, 0)</f>
        <v>#N/A</v>
      </c>
      <c r="DH344" s="147" t="e">
        <f t="shared" ca="1" si="1303"/>
        <v>#N/A</v>
      </c>
      <c r="DI344" s="144" t="e">
        <f t="shared" ca="1" si="1364"/>
        <v>#N/A</v>
      </c>
      <c r="DJ344" s="147" t="e">
        <f ca="1">$EF344*Control!$C$109</f>
        <v>#N/A</v>
      </c>
      <c r="DK344" s="144" t="e">
        <f t="shared" ca="1" si="1304"/>
        <v>#N/A</v>
      </c>
      <c r="DL344" s="144" t="e">
        <f t="shared" ca="1" si="1181"/>
        <v>#N/A</v>
      </c>
      <c r="DM344" s="144" t="e">
        <f ca="1">IF(Control!$C$114=1, (1-EXP(-Control!$C$96*$DK344))*$AR344, 0)</f>
        <v>#N/A</v>
      </c>
      <c r="DN344" s="144">
        <f t="shared" ca="1" si="1305"/>
        <v>0</v>
      </c>
      <c r="DO344" s="148">
        <f>Control!$C$97</f>
        <v>4</v>
      </c>
      <c r="DP344" s="145" t="e">
        <f t="shared" ca="1" si="1306"/>
        <v>#N/A</v>
      </c>
      <c r="DQ344" s="145" t="e">
        <f ca="1">IF(AND($CP344&gt;=0,$CP344&lt;=90),Control!$C$111,Control!$C$111)</f>
        <v>#N/A</v>
      </c>
      <c r="DR344" s="145" t="e">
        <f t="shared" ca="1" si="1182"/>
        <v>#N/A</v>
      </c>
      <c r="DS344" s="143" t="e">
        <f ca="1">Control!$B$22/$DR344</f>
        <v>#N/A</v>
      </c>
      <c r="DT344" s="149" t="e">
        <f ca="1">IF(AND(Control!$C$114=1,$KH344&lt;1),$IM344*$DF344, 0)</f>
        <v>#N/A</v>
      </c>
      <c r="DU344" s="144" t="e">
        <f t="shared" ca="1" si="1307"/>
        <v>#N/A</v>
      </c>
      <c r="DV344" s="144">
        <f ca="1">IF($G344-Control!$C$107&lt;=0, 0, 0.83*LN(MAX($G344, 3))-0.8924)</f>
        <v>0</v>
      </c>
      <c r="DW344" s="144" t="e">
        <f t="shared" ca="1" si="1183"/>
        <v>#N/A</v>
      </c>
      <c r="DX344" s="150" t="e">
        <f ca="1">MAX(0.01*(1+$CU344/Control!$C$102),0.05*($DK344-Control!$C$97)/Control!$C$97)</f>
        <v>#N/A</v>
      </c>
      <c r="DY344" s="151" t="e">
        <f ca="1">IF(Control!$C$114=1, $DI344*$FS344, 0)</f>
        <v>#N/A</v>
      </c>
      <c r="DZ344" s="196" t="e">
        <f t="shared" ca="1" si="1308"/>
        <v>#N/A</v>
      </c>
      <c r="EA344" s="152">
        <f t="shared" ca="1" si="1309"/>
        <v>340</v>
      </c>
      <c r="EB344" s="153" t="e">
        <f t="shared" ca="1" si="1310"/>
        <v>#N/A</v>
      </c>
      <c r="EC344" s="153" t="e">
        <f t="shared" ca="1" si="1311"/>
        <v>#N/A</v>
      </c>
      <c r="ED344" s="154" t="e">
        <f ca="1">IF(Control!$C$114=1, $HM344*$FY344-$FD344, 0)</f>
        <v>#DIV/0!</v>
      </c>
      <c r="EE344" s="155" t="e">
        <f ca="1">IF(Control!$C$114=1, $HM344*$FZ344-$FF344, 0)</f>
        <v>#DIV/0!</v>
      </c>
      <c r="EF344" s="153" t="e">
        <f t="shared" ca="1" si="1365"/>
        <v>#N/A</v>
      </c>
      <c r="EG344" s="155" t="e">
        <f ca="1">IF(Control!$C$114=1, $GX344*$FW344-$FI344, 0)</f>
        <v>#DIV/0!</v>
      </c>
      <c r="EH344" s="153" t="e">
        <f t="shared" ca="1" si="1312"/>
        <v>#N/A</v>
      </c>
      <c r="EI344" s="156" t="e">
        <f t="shared" ca="1" si="1313"/>
        <v>#N/A</v>
      </c>
      <c r="EJ344" s="155" t="e">
        <f ca="1">IF(Control!$C$114=1, $HM344*$GB344, 0)</f>
        <v>#DIV/0!</v>
      </c>
      <c r="EK344" s="153" t="e">
        <f t="shared" ca="1" si="1366"/>
        <v>#N/A</v>
      </c>
      <c r="EL344" s="153" t="e">
        <f t="shared" ca="1" si="1184"/>
        <v>#N/A</v>
      </c>
      <c r="EM344" s="153" t="e">
        <f t="shared" ca="1" si="1185"/>
        <v>#N/A</v>
      </c>
      <c r="EN344" s="153" t="e">
        <f ca="1">IF(Control!$C$108=1,IF(AND(Control!$B$18=1,$EB344&gt;=Control!$B$19),$EB344-$DS344,IF(AND(Control!$B$18=2,$AW344=1,$EB344&gt;$DS344),$EB344-$DS344,0)))</f>
        <v>#N/A</v>
      </c>
      <c r="EO344" s="153" t="e">
        <f ca="1">IF(Control!$C$108=1,IF(AND(Control!$B$18=1,$EB344&gt;=Control!$B$19),$EF344,IF(AND(Control!$B$18=2,$AW344=1),$EF344,0)))</f>
        <v>#N/A</v>
      </c>
      <c r="EP344" s="153" t="e">
        <f ca="1">IF(Control!$C$108=1,IF(AND(Control!$B$18=1,$EB344&gt;=Control!$B$19),$EK344,IF(AND(Control!$B$18=2,$AW344=1),$EK344,0)))</f>
        <v>#N/A</v>
      </c>
      <c r="EQ344" s="153" t="e">
        <f t="shared" ca="1" si="1314"/>
        <v>#N/A</v>
      </c>
      <c r="ER344" s="153" t="e">
        <f t="shared" ca="1" si="1315"/>
        <v>#N/A</v>
      </c>
      <c r="ES344" s="153" t="e">
        <f t="shared" ca="1" si="1367"/>
        <v>#N/A</v>
      </c>
      <c r="ET344" s="153" t="e">
        <f t="shared" ca="1" si="1368"/>
        <v>#N/A</v>
      </c>
      <c r="EU344" s="153" t="e">
        <f t="shared" ca="1" si="1316"/>
        <v>#N/A</v>
      </c>
      <c r="EV344" s="153" t="e">
        <f t="shared" ca="1" si="1186"/>
        <v>#N/A</v>
      </c>
      <c r="EW344" s="153" t="e">
        <f t="shared" ca="1" si="1187"/>
        <v>#N/A</v>
      </c>
      <c r="EX344" s="153" t="e">
        <f t="shared" ca="1" si="1188"/>
        <v>#N/A</v>
      </c>
      <c r="EY344" s="157" t="e">
        <f t="shared" ca="1" si="1189"/>
        <v>#DIV/0!</v>
      </c>
      <c r="EZ344" s="154" t="e">
        <f t="shared" ca="1" si="1190"/>
        <v>#DIV/0!</v>
      </c>
      <c r="FA344" s="153" t="e">
        <f t="shared" ca="1" si="1317"/>
        <v>#N/A</v>
      </c>
      <c r="FB344" s="153" t="e">
        <f t="shared" ca="1" si="1191"/>
        <v>#N/A</v>
      </c>
      <c r="FC344" s="193" t="e">
        <f t="shared" ca="1" si="1192"/>
        <v>#N/A</v>
      </c>
      <c r="FD344" s="158" t="e">
        <f t="shared" ca="1" si="1318"/>
        <v>#N/A</v>
      </c>
      <c r="FE344" s="158" t="e">
        <f t="shared" ca="1" si="1319"/>
        <v>#N/A</v>
      </c>
      <c r="FF344" s="159" t="e">
        <f t="shared" ca="1" si="1193"/>
        <v>#N/A</v>
      </c>
      <c r="FG344" s="160" t="e">
        <f t="shared" ca="1" si="1320"/>
        <v>#N/A</v>
      </c>
      <c r="FH344" s="158" t="e">
        <f t="shared" ca="1" si="1321"/>
        <v>#N/A</v>
      </c>
      <c r="FI344" s="159" t="e">
        <f t="shared" ca="1" si="1194"/>
        <v>#N/A</v>
      </c>
      <c r="FJ344" s="160" t="e">
        <f t="shared" ca="1" si="1322"/>
        <v>#N/A</v>
      </c>
      <c r="FK344" s="160" t="e">
        <f t="shared" ca="1" si="1195"/>
        <v>#N/A</v>
      </c>
      <c r="FL344" s="160" t="e">
        <f t="shared" ca="1" si="1369"/>
        <v>#N/A</v>
      </c>
      <c r="FM344" s="160" t="e">
        <f t="shared" ca="1" si="1196"/>
        <v>#N/A</v>
      </c>
      <c r="FN344" s="158">
        <f t="shared" ca="1" si="1323"/>
        <v>0.01</v>
      </c>
      <c r="FO344" s="160">
        <f>Control!$C$101</f>
        <v>50</v>
      </c>
      <c r="FP344" s="150" t="e">
        <f t="shared" ca="1" si="1197"/>
        <v>#N/A</v>
      </c>
      <c r="FQ344" s="150" t="e">
        <f ca="1">MAX(0,(Control!$C$112*(($DK344-Control!$C$97)/Control!$C$97)))</f>
        <v>#N/A</v>
      </c>
      <c r="FR344" s="150" t="e">
        <f ca="1">(1-$NT344)*Control!$C$113</f>
        <v>#DIV/0!</v>
      </c>
      <c r="FS344" s="198" t="e">
        <f t="shared" ca="1" si="1198"/>
        <v>#N/A</v>
      </c>
      <c r="FT344" s="161">
        <f t="shared" ca="1" si="1324"/>
        <v>340</v>
      </c>
      <c r="FU344" s="162" t="e">
        <f ca="1">IF(Control!$B$34=1,VLOOKUP($CP344,Control!$B$86:$G$91,6),Control!$B$35)</f>
        <v>#N/A</v>
      </c>
      <c r="FV344" s="162" t="e">
        <f t="shared" ca="1" si="1199"/>
        <v>#DIV/0!</v>
      </c>
      <c r="FW344" s="162" t="e">
        <f ca="1">IF(Control!$B$31=1,$FU344*$FV344,  $FU344)</f>
        <v>#N/A</v>
      </c>
      <c r="FX344" s="162" t="e">
        <f ca="1">IF(Control!$B$34=1,VLOOKUP($CP344,Control!$B$86:$G$91,3),Control!$B$36)</f>
        <v>#N/A</v>
      </c>
      <c r="FY344" s="162" t="e">
        <f t="shared" ca="1" si="1200"/>
        <v>#N/A</v>
      </c>
      <c r="FZ344" s="162" t="e">
        <f ca="1">IF(Control!$B$34=1,VLOOKUP($CP344,Control!$B$86:$G$91,4),Control!$B$37)</f>
        <v>#N/A</v>
      </c>
      <c r="GA344" s="162" t="e">
        <f t="shared" ca="1" si="1201"/>
        <v>#N/A</v>
      </c>
      <c r="GB344" s="162" t="e">
        <f ca="1">IF(Control!$B$34=1,VLOOKUP($CP344,Control!$B$86:$G$91,5),Control!$B$38)</f>
        <v>#N/A</v>
      </c>
      <c r="GC344" s="162" t="e">
        <f t="shared" ca="1" si="1325"/>
        <v>#N/A</v>
      </c>
      <c r="GD344" s="162">
        <f t="shared" ca="1" si="1202"/>
        <v>1</v>
      </c>
      <c r="GE344" s="162">
        <f t="shared" ca="1" si="1203"/>
        <v>1</v>
      </c>
      <c r="GF344" s="162">
        <f ca="1">IF(AND(Control!$C$104=1, Control!$C$62="F"),$GE344,1)</f>
        <v>1</v>
      </c>
      <c r="GG344" s="162" t="e">
        <f ca="1">IF(Control!$B$16=40,0,IF(AND(Control!$B$16&gt;40,Control!$B$16&lt;=360),(Control!$B$16-40)*((1-0)/(360-40)),IF(AND(Control!$B$16&gt;360,Control!$B$16&lt;=720),(1+(Control!$B$16-360)*((1.25-1)/(720-360))),IF(AND(Control!$B$16&gt;720,Control!$B$16&lt;=1000),(1.25+(Control!$B$16-720)*((1.35-1.25)/(1000-720))),IF(AND(Control!$B$16&gt;1000,Control!$B$16&lt;=2000),(1.35+(Control!$B$16-1000)*0))))))</f>
        <v>#N/A</v>
      </c>
      <c r="GH344" s="162" t="e">
        <f t="shared" ca="1" si="1204"/>
        <v>#N/A</v>
      </c>
      <c r="GI344" s="162">
        <f t="shared" ca="1" si="1326"/>
        <v>0</v>
      </c>
      <c r="GJ344" s="162">
        <f t="shared" ca="1" si="1205"/>
        <v>0</v>
      </c>
      <c r="GK344" s="162">
        <f t="shared" ca="1" si="1327"/>
        <v>1</v>
      </c>
      <c r="GL344" s="162">
        <f t="shared" ca="1" si="1206"/>
        <v>1</v>
      </c>
      <c r="GM344" s="162" t="e">
        <f ca="1">MAX(0,MIN(1,1-Control!$C$156*(1.0001-$KH344)^2))</f>
        <v>#N/A</v>
      </c>
      <c r="GN344" s="162" t="e">
        <f ca="1">IF(Control!$B$26=1,$KU344,$KX344)</f>
        <v>#N/A</v>
      </c>
      <c r="GO344" s="162" t="e">
        <f ca="1">IF($CP344&lt;=60,Control!$C$105,IF($CP344&gt;=90,Control!$C$106,Control!$C$105+($CP344-60)*((Control!$C$106-Control!$C$105)/(90-60))))</f>
        <v>#N/A</v>
      </c>
      <c r="GP344" s="162" t="e">
        <f t="shared" ca="1" si="1207"/>
        <v>#N/A</v>
      </c>
      <c r="GQ344" s="162" t="e">
        <f t="shared" ca="1" si="1328"/>
        <v>#N/A</v>
      </c>
      <c r="GR344" s="163" t="e">
        <f t="shared" ca="1" si="1208"/>
        <v>#DIV/0!</v>
      </c>
      <c r="GS344" s="162" t="e">
        <f t="shared" ca="1" si="1209"/>
        <v>#DIV/0!</v>
      </c>
      <c r="GT344" s="164" t="e">
        <f t="shared" ca="1" si="1329"/>
        <v>#N/A</v>
      </c>
      <c r="GU344" s="162" t="e">
        <f t="shared" ca="1" si="1330"/>
        <v>#N/A</v>
      </c>
      <c r="GV344" s="162" t="e">
        <f t="shared" ca="1" si="1210"/>
        <v>#N/A</v>
      </c>
      <c r="GW344" s="162" t="e">
        <f t="shared" ca="1" si="1211"/>
        <v>#DIV/0!</v>
      </c>
      <c r="GX344" s="162" t="e">
        <f t="shared" ca="1" si="1331"/>
        <v>#DIV/0!</v>
      </c>
      <c r="GY344" s="162" t="e">
        <f t="shared" ca="1" si="1332"/>
        <v>#DIV/0!</v>
      </c>
      <c r="GZ344" s="165" t="e">
        <f t="shared" ca="1" si="1212"/>
        <v>#N/A</v>
      </c>
      <c r="HA344" s="162" t="e">
        <f ca="1">IF(Control!$C$114=1, $DI344*$FS344, 0)</f>
        <v>#N/A</v>
      </c>
      <c r="HB344" s="162" t="e">
        <f ca="1">$FA344/Control!$C$64</f>
        <v>#N/A</v>
      </c>
      <c r="HC344" s="162" t="e">
        <f t="shared" ca="1" si="1213"/>
        <v>#DIV/0!</v>
      </c>
      <c r="HD344" s="162">
        <f ca="1">-ASIN(SIN(23.45*Control!$C$139)*COS(2*Control!$C$138*($AH344+10)/365))</f>
        <v>-0.39494567307987966</v>
      </c>
      <c r="HE344" s="165">
        <f t="shared" ca="1" si="1333"/>
        <v>0</v>
      </c>
      <c r="HF344" s="166">
        <f ca="1">IF(AND(Control!$C$61="T",$HE344&gt;=Control!$C$103,Control!$C$114=0),$AH344,Control!$C$59)</f>
        <v>1</v>
      </c>
      <c r="HG344" s="166">
        <f ca="1">IF(AND(Control!$C$61="T",$HE344&gt;=Control!$C$103,Control!$C$114=0),$HF344,Control!$C$59)</f>
        <v>1</v>
      </c>
      <c r="HH344" s="165">
        <f ca="1">IF(AND(OR(Control!$C$60&lt;=0, $AH344= Control!$C$59, Control!$C$60 &gt;0, $AH344 = Control!$C$60)), Control!$C$59, IF(Control!$C$60&gt;0, 0))</f>
        <v>1</v>
      </c>
      <c r="HI344" s="165">
        <f ca="1">IF(AND(OR(Control!$C$60&lt;=0, $AH344= Control!$C$59, Control!$C$60 &gt;0, $AH344 = Control!$C$60)), Control!$C$60, IF(Control!$C$60&lt;=0, 0))</f>
        <v>0</v>
      </c>
      <c r="HJ344" s="166">
        <f ca="1">IF(AND(Control!$C$62="F",$CV344&gt;=Control!$C$102),$AH344,0)</f>
        <v>0</v>
      </c>
      <c r="HK344" s="165" t="e">
        <f t="shared" ca="1" si="1370"/>
        <v>#N/A</v>
      </c>
      <c r="HL344" s="166">
        <f ca="1">IF(AND(Control!$C$61="T",$HE344&gt;=Control!$C$103,Control!$C$114=0),$HF344,0)</f>
        <v>0</v>
      </c>
      <c r="HM344" s="201" t="e">
        <f t="shared" ca="1" si="1214"/>
        <v>#DIV/0!</v>
      </c>
      <c r="HN344" s="215">
        <f t="shared" ca="1" si="1334"/>
        <v>340</v>
      </c>
      <c r="HO344" s="216" t="e">
        <f ca="1">IF(AND($CP344&gt;=0, $CP344&lt;=90), Control!$C$152, Control!$C$152)</f>
        <v>#N/A</v>
      </c>
      <c r="HP344" s="216" t="e">
        <f t="shared" ca="1" si="1215"/>
        <v>#N/A</v>
      </c>
      <c r="HQ344" s="217" t="e">
        <f ca="1">IF(OR(Control!$B$26=1,Control!$B$26=2),$KV344,$KS344)</f>
        <v>#DIV/0!</v>
      </c>
      <c r="HR344" s="218" t="e">
        <f t="shared" ca="1" si="1371"/>
        <v>#DIV/0!</v>
      </c>
      <c r="HS344" s="216" t="e">
        <f ca="1">Control!$C$154*$HP344</f>
        <v>#N/A</v>
      </c>
      <c r="HT344" s="216" t="e">
        <f ca="1">Control!$C$155*$HP344</f>
        <v>#N/A</v>
      </c>
      <c r="HU344" s="217" t="e">
        <f ca="1">Control!$C$161*$FI344</f>
        <v>#N/A</v>
      </c>
      <c r="HV344" s="218" t="e">
        <f t="shared" ca="1" si="1335"/>
        <v>#N/A</v>
      </c>
      <c r="HW344" s="218" t="e">
        <f ca="1">Control!$C$160*$FF344+$IP344*$EO344</f>
        <v>#N/A</v>
      </c>
      <c r="HX344" s="218" t="e">
        <f t="shared" ca="1" si="1372"/>
        <v>#N/A</v>
      </c>
      <c r="HY344" s="219" t="e">
        <f ca="1">IF(Control!$C$114=1, $EB344*$FS344, 0)</f>
        <v>#N/A</v>
      </c>
      <c r="HZ344" s="91" t="e">
        <f t="shared" ca="1" si="1216"/>
        <v>#N/A</v>
      </c>
      <c r="IA344" s="220" t="e">
        <f ca="1">Control!$C$153*$HO344</f>
        <v>#N/A</v>
      </c>
      <c r="IB344" s="218" t="e">
        <f t="shared" ca="1" si="1217"/>
        <v>#N/A</v>
      </c>
      <c r="IC344" s="220" t="e">
        <f ca="1">Control!$C$153*$HT344</f>
        <v>#N/A</v>
      </c>
      <c r="ID344" s="218" t="e">
        <f t="shared" ca="1" si="1218"/>
        <v>#N/A</v>
      </c>
      <c r="IE344" s="221" t="e">
        <f ca="1">($EB344*Control!$C$159+$EF344*Control!$C$160)/(IF($GZ344&lt;&gt;0,$GZ344,1))</f>
        <v>#N/A</v>
      </c>
      <c r="IF344" s="216" t="e">
        <f t="shared" ca="1" si="1219"/>
        <v>#N/A</v>
      </c>
      <c r="IG344" s="91">
        <f ca="1">IF(OR(Control!$B$198=$AH344,Control!$B$199=$AH344, Control!$B$200=$AH344, Control!$B$201=$AH344, Control!$B$202=$AH344, Control!$B$203=$AH344, Control!$B$204=$AH344, Control!$B$205=$AH344, Control!$B$206=$AH344, Control!$B$207=$AH344), 1, 0)</f>
        <v>0</v>
      </c>
      <c r="IH344" s="91">
        <f ca="1">IF($IG344=0,0, VLOOKUP($AH344,Control!$B$198:$C$207,2))</f>
        <v>0</v>
      </c>
      <c r="II344" s="222">
        <f t="shared" ca="1" si="1336"/>
        <v>0</v>
      </c>
      <c r="IJ344" s="91">
        <f>Control!$C$121</f>
        <v>0.7</v>
      </c>
      <c r="IK344" s="218">
        <f t="shared" ca="1" si="1220"/>
        <v>0</v>
      </c>
      <c r="IL344" s="217" t="e">
        <f t="shared" ca="1" si="1373"/>
        <v>#N/A</v>
      </c>
      <c r="IM344" s="223" t="e">
        <f ca="1">IF(AND(Control!$C$114=1,$KH344&lt;1),$EB344*Control!$C$148*(1-$KH344), 0)</f>
        <v>#N/A</v>
      </c>
      <c r="IN344" s="217" t="e">
        <f t="shared" ca="1" si="1221"/>
        <v>#DIV/0!</v>
      </c>
      <c r="IO344" s="91" t="e">
        <f ca="1">MAX(0,$IL344-$EF344*Control!$C$160)</f>
        <v>#N/A</v>
      </c>
      <c r="IP344" s="220" t="e">
        <f t="shared" ca="1" si="1222"/>
        <v>#N/A</v>
      </c>
      <c r="IQ344" s="217" t="e">
        <f t="shared" ca="1" si="1337"/>
        <v>#N/A</v>
      </c>
      <c r="IR344" s="218" t="e">
        <f t="shared" ca="1" si="1223"/>
        <v>#N/A</v>
      </c>
      <c r="IS344" s="217" t="e">
        <f ca="1">Control!$C$159*MAX(0,$FD344-$EN344)</f>
        <v>#N/A</v>
      </c>
      <c r="IT344" s="217" t="e">
        <f t="shared" ca="1" si="1374"/>
        <v>#N/A</v>
      </c>
      <c r="IU344" s="217" t="e">
        <f t="shared" ca="1" si="1338"/>
        <v>#N/A</v>
      </c>
      <c r="IV344" s="217" t="e">
        <f t="shared" ca="1" si="1375"/>
        <v>#N/A</v>
      </c>
      <c r="IW344" s="217" t="e">
        <f ca="1">IF(OR($AW344=1,AND($AW344=0, Control!$B$18=1,$EN344&lt;&gt;0)), $IQ344-$IU344, $IQ344)</f>
        <v>#N/A</v>
      </c>
      <c r="IX344" s="218" t="e">
        <f t="shared" ca="1" si="1224"/>
        <v>#N/A</v>
      </c>
      <c r="IY344" s="218" t="e">
        <f ca="1">MAX(0,$IQ344-$EB344*Control!$C$159)</f>
        <v>#N/A</v>
      </c>
      <c r="IZ344" s="218" t="e">
        <f t="shared" ca="1" si="1225"/>
        <v>#N/A</v>
      </c>
      <c r="JA344" s="216" t="e">
        <f t="shared" ca="1" si="1226"/>
        <v>#N/A</v>
      </c>
      <c r="JB344" s="217" t="e">
        <f t="shared" ca="1" si="1227"/>
        <v>#N/A</v>
      </c>
      <c r="JC344" s="222" t="e">
        <f ca="1">MAX(Control!$C$157*$EK344-$JT344, 0)/Control!$C$162</f>
        <v>#N/A</v>
      </c>
      <c r="JD344" s="218" t="e">
        <f t="shared" ca="1" si="1228"/>
        <v>#N/A</v>
      </c>
      <c r="JE344" s="218" t="e">
        <f t="shared" ca="1" si="1229"/>
        <v>#N/A</v>
      </c>
      <c r="JF344" s="218" t="e">
        <f t="shared" ca="1" si="1339"/>
        <v>#N/A</v>
      </c>
      <c r="JG344" s="218" t="e">
        <f t="shared" ca="1" si="1230"/>
        <v>#N/A</v>
      </c>
      <c r="JH344" s="217" t="e">
        <f t="shared" ca="1" si="1340"/>
        <v>#N/A</v>
      </c>
      <c r="JI344" s="217" t="e">
        <f t="shared" ca="1" si="1341"/>
        <v>#N/A</v>
      </c>
      <c r="JJ344" s="217" t="e">
        <f t="shared" ca="1" si="1376"/>
        <v>#N/A</v>
      </c>
      <c r="JK344" s="217" t="e">
        <f ca="1">IF(Control!$C$114=1,IF(Control!$B$24=0,MAX(0,$JI344)*$GN344/Control!$C$64,(MAX(0,MIN($JI344,$JJ344*$GN344/Control!$C$64),0))))</f>
        <v>#N/A</v>
      </c>
      <c r="JL344" s="217" t="e">
        <f ca="1">$IK344/Control!$C$64-$JK344+$HQ344</f>
        <v>#N/A</v>
      </c>
      <c r="JM344" s="217" t="e">
        <f ca="1">IF(Control!$C$114=1,($JB344/(IF($JI344&lt;&gt;0,$JI344,1)))*$JK344,0)</f>
        <v>#N/A</v>
      </c>
      <c r="JN344" s="217" t="e">
        <f ca="1">IF(Control!$C$114=1,($JG344/(IF($JI344&lt;&gt;0,$JI344,1)))*$JK344, 0)</f>
        <v>#N/A</v>
      </c>
      <c r="JO344" s="218" t="e">
        <f t="shared" ca="1" si="1231"/>
        <v>#N/A</v>
      </c>
      <c r="JP344" s="218" t="e">
        <f ca="1">MIN(($IY344+$IO344)*Control!$C$151, $JF344-$EH344*Control!$C$161)</f>
        <v>#N/A</v>
      </c>
      <c r="JQ344" s="218" t="e">
        <f t="shared" ca="1" si="1232"/>
        <v>#N/A</v>
      </c>
      <c r="JR344" s="217" t="e">
        <f ca="1">IF($CP344-Control!$C$150&lt;0, 0, $JQ344/Control!$C$162)</f>
        <v>#N/A</v>
      </c>
      <c r="JS344" s="218" t="e">
        <f t="shared" ca="1" si="1233"/>
        <v>#N/A</v>
      </c>
      <c r="JT344" s="218" t="e">
        <f t="shared" ca="1" si="1342"/>
        <v>#N/A</v>
      </c>
      <c r="JU344" s="218" t="e">
        <f t="shared" ca="1" si="1234"/>
        <v>#N/A</v>
      </c>
      <c r="JV344" s="218" t="e">
        <f t="shared" ca="1" si="1235"/>
        <v>#N/A</v>
      </c>
      <c r="JW344" s="216" t="e">
        <f t="shared" ca="1" si="1236"/>
        <v>#N/A</v>
      </c>
      <c r="JX344" s="91" t="e">
        <f t="shared" ca="1" si="1237"/>
        <v>#N/A</v>
      </c>
      <c r="JY344" s="218" t="e">
        <f t="shared" ca="1" si="1238"/>
        <v>#N/A</v>
      </c>
      <c r="JZ344" s="217" t="e">
        <f ca="1">IF(Control!$C$114=1,($IZ344/(IF($JI344&lt;&gt;0,$JI344,1)))*$JK344, 0)</f>
        <v>#N/A</v>
      </c>
      <c r="KA344" s="218" t="e">
        <f t="shared" ca="1" si="1377"/>
        <v>#N/A</v>
      </c>
      <c r="KB344" s="218" t="e">
        <f t="shared" ca="1" si="1343"/>
        <v>#N/A</v>
      </c>
      <c r="KC344" s="218" t="e">
        <f t="shared" ca="1" si="1239"/>
        <v>#N/A</v>
      </c>
      <c r="KD344" s="218" t="e">
        <f t="shared" ca="1" si="1240"/>
        <v>#N/A</v>
      </c>
      <c r="KE344" s="218" t="e">
        <f t="shared" ca="1" si="1241"/>
        <v>#N/A</v>
      </c>
      <c r="KF344" s="218" t="e">
        <f t="shared" ca="1" si="1242"/>
        <v>#N/A</v>
      </c>
      <c r="KG344" s="216" t="e">
        <f t="shared" ca="1" si="1243"/>
        <v>#N/A</v>
      </c>
      <c r="KH344" s="221" t="e">
        <f ca="1">IF(Control!$B$24=0,1,MAX(0.001,MIN(1,IF(($IF344-$IE344)&lt;&gt;0,($KG344-$IE344)/($IF344-$IE344),1))))</f>
        <v>#N/A</v>
      </c>
      <c r="KI344" s="222" t="e">
        <f ca="1">IF(Control!$C$114=1, $KI343+ $KH343, 0)</f>
        <v>#N/A</v>
      </c>
      <c r="KJ344" s="217" t="e">
        <f t="shared" ca="1" si="1244"/>
        <v>#N/A</v>
      </c>
      <c r="KK344" s="218" t="e">
        <f t="shared" ca="1" si="1245"/>
        <v>#N/A</v>
      </c>
      <c r="KL344" s="274" t="e">
        <f ca="1">IF(Control!$B$26=3,4000000000*EXP(-8400/($G344+273)),IF(Control!$B$26=4,4000000000*EXP(-8400/($G344+273))*($KT344),0))</f>
        <v>#DIV/0!</v>
      </c>
      <c r="KM344" s="274" t="e">
        <f ca="1">IF(Control!$B$26=3,5600000000000*EXP(-9800/($G344+273)),IF(Control!$B$26=4,5600000000000*EXP(-9800/($G344+273))*$KT344,0))</f>
        <v>#DIV/0!</v>
      </c>
      <c r="KN344" s="454" t="e">
        <f t="shared" ca="1" si="1344"/>
        <v>#DIV/0!</v>
      </c>
      <c r="KO344" s="274" t="e">
        <f t="shared" ca="1" si="1345"/>
        <v>#DIV/0!</v>
      </c>
      <c r="KP344" s="454" t="e">
        <f t="shared" ca="1" si="1246"/>
        <v>#DIV/0!</v>
      </c>
      <c r="KQ344" s="454" t="e">
        <f t="shared" ca="1" si="1247"/>
        <v>#DIV/0!</v>
      </c>
      <c r="KR344" s="454" t="e">
        <f t="shared" ca="1" si="1248"/>
        <v>#DIV/0!</v>
      </c>
      <c r="KS344" s="454" t="e">
        <f t="shared" ca="1" si="1249"/>
        <v>#DIV/0!</v>
      </c>
      <c r="KT344" s="455" t="e">
        <f t="shared" ca="1" si="1250"/>
        <v>#DIV/0!</v>
      </c>
      <c r="KU344" s="456" t="e">
        <f ca="1">IF($CP344-Control!$C$149&lt;0, IF($NT344-0.01&lt;0,0,1),0)</f>
        <v>#N/A</v>
      </c>
      <c r="KV344" s="456" t="e">
        <f ca="1">IF(Control!$C$114=1,MAX(0,MIN(Control!$C$125*$KW344*$GN344,$KW344)))</f>
        <v>#DIV/0!</v>
      </c>
      <c r="KW344" s="456" t="e">
        <f t="shared" ca="1" si="1378"/>
        <v>#DIV/0!</v>
      </c>
      <c r="KX344" s="457" t="e">
        <f ca="1">IF($CP344-Control!$C$149&lt;0, IF($MR344-$OM344&lt;0,0,1),0)</f>
        <v>#N/A</v>
      </c>
      <c r="KY344" s="167">
        <f t="shared" ca="1" si="1346"/>
        <v>340</v>
      </c>
      <c r="KZ344" s="168">
        <f ca="1">1370*(1+0.033*COS(2*Control!$C$138*$AH344/365))</f>
        <v>1411.0879035250641</v>
      </c>
      <c r="LA344" s="169">
        <f t="shared" ca="1" si="1347"/>
        <v>1.0299909820322035</v>
      </c>
      <c r="LB344" s="169">
        <f t="shared" ca="1" si="1348"/>
        <v>-0.39632978299588817</v>
      </c>
      <c r="LC344" s="169">
        <f ca="1">ACOS(-TAN((2*Control!$B$8/360))*TAN(Calculations!$LB344))</f>
        <v>1.4461017675827583</v>
      </c>
      <c r="LD344" s="169">
        <f ca="1">((24*60)/PI())*0.082*$LA344*(($LC344*SIN(Control!$B$8*2*PI()/360))*SIN($LB344)+COS(Control!$B$8*2*PI()/360)*COS($LB344)*SIN($LC344))</f>
        <v>4.7858977986780502</v>
      </c>
      <c r="LE344" s="170">
        <f t="shared" ca="1" si="1251"/>
        <v>6.4777958180626261</v>
      </c>
      <c r="LF344" s="170">
        <f ca="1">SIN(Control!$C$139*Control!$B$8)*SIN($HD344)</f>
        <v>-0.30319397947472138</v>
      </c>
      <c r="LG344" s="170">
        <f ca="1">COS(Control!$C$139*Control!$B$8)*COS($HD344)</f>
        <v>0.56826475272548105</v>
      </c>
      <c r="LH344" s="170">
        <f ca="1">12*(1+2*ASIN(MAX(-1,MIN(1,$LF344/$LG344))/Control!$C$138))</f>
        <v>7.9041847542915971</v>
      </c>
      <c r="LI344" s="170">
        <f ca="1">12*(1+2*ASIN(MAX(-1,MIN(1,(-SIN(-4*Control!$C$139)+$LF344)/$LG344))/Control!$C$138))</f>
        <v>8.8527925550551068</v>
      </c>
      <c r="LJ344" s="168">
        <f ca="1">3600*($LH344*$LF344+24*$LG344*SQRT(1-$LK344*$LK344)/Control!$C$138)</f>
        <v>4590.6394646855997</v>
      </c>
      <c r="LK344" s="170">
        <f t="shared" ca="1" si="1252"/>
        <v>-0.5335435253032299</v>
      </c>
      <c r="LL344" s="170">
        <f t="shared" ca="1" si="1253"/>
        <v>0</v>
      </c>
      <c r="LM344" s="171">
        <f ca="1">Control!$C$145*$AB344</f>
        <v>6.6660906138995932E-2</v>
      </c>
      <c r="LN344" s="170">
        <f t="shared" ca="1" si="1349"/>
        <v>0.54</v>
      </c>
      <c r="LO344" s="170">
        <f t="shared" ca="1" si="1254"/>
        <v>0</v>
      </c>
      <c r="LP344" s="170">
        <f ca="1">Control!$C$140*((($D344+273.16)^4+($E344+273.16)^4)/2)*(0.34-0.14*SQRT($Y344))*(1.35*$AQ344/(0.75*$LD344)-0.35)</f>
        <v>-3.2464704755046001</v>
      </c>
      <c r="LQ344" s="170">
        <f ca="1">Control!$C$140*($G344+273)^4*(0.56-0.079*SQRT($Y344*10))*(0.1+0.9*$LO344)</f>
        <v>1.5241745131704001</v>
      </c>
      <c r="LR344" s="170">
        <f ca="1">$AQ344*(1-Control!$C$142)-$LQ344</f>
        <v>-1.5241745131704001</v>
      </c>
      <c r="LS344" s="170">
        <f ca="1">$AQ344*(1-Control!$C$143)-$LQ344</f>
        <v>-1.5241745131704001</v>
      </c>
      <c r="LT344" s="170">
        <f ca="1">$AQ344*(1-Control!$C$144)-$LQ344</f>
        <v>-1.5241745131704001</v>
      </c>
      <c r="LU344" s="169">
        <f ca="1">(1-Control!$C$144)*AQ344-LP344</f>
        <v>3.2464704755046001</v>
      </c>
      <c r="LV344" s="172">
        <f t="shared" ca="1" si="1255"/>
        <v>0.79430000000000012</v>
      </c>
      <c r="LW344" s="170">
        <f t="shared" ca="1" si="1256"/>
        <v>1.5886000000000002</v>
      </c>
      <c r="LX344" s="170">
        <f ca="1">($AC344*($LR344/Control!$C$141)+$LM344*$LV344)/($AC344+$LM344)</f>
        <v>0.23530094218323697</v>
      </c>
      <c r="LY344" s="170">
        <f ca="1">($AC344*($LS344/Control!$C$141)+$LM344*$LV344)/($AC344+$LM344)</f>
        <v>0.23530094218323697</v>
      </c>
      <c r="LZ344" s="170">
        <f t="shared" ca="1" si="1257"/>
        <v>0.23530094218323697</v>
      </c>
      <c r="MA344" s="170">
        <f t="shared" ca="1" si="1258"/>
        <v>0.23530094218323697</v>
      </c>
      <c r="MB344" s="170" t="e">
        <f t="shared" ca="1" si="1259"/>
        <v>#N/A</v>
      </c>
      <c r="MC344" s="170">
        <f t="shared" ca="1" si="1350"/>
        <v>0.6018</v>
      </c>
      <c r="MD344" s="170">
        <f t="shared" ca="1" si="1260"/>
        <v>0.52989392535414004</v>
      </c>
      <c r="ME344" s="170">
        <f ca="1">($AC344*($LT344/Control!$C$141)+$LM344*$LW344)/($AC344+$LM344)</f>
        <v>0.71612369323045078</v>
      </c>
      <c r="MF344" s="170" t="e">
        <f ca="1">IF(Control!$B$16&gt;=1000,0.92,IF(AND(720&lt;=Control!$B$16,1000&gt;Control!$B$16),(0.95+(Control!$B$16-720)*((0.92-0.95)/(1000-720))),IF(AND(360&lt;=Control!$B$16,720&gt;Control!$B$16),(1+(Control!$B$16-360)*((0.95-1)/(720-360))),IF(AND(40&lt;=Control!$B$16,360&gt;Control!$B$16),(1.05+(Control!$B$16-40)*((1.05-1)/(360-40)))))))</f>
        <v>#N/A</v>
      </c>
      <c r="MG344" s="170">
        <f t="shared" ca="1" si="1261"/>
        <v>0.71612369323045078</v>
      </c>
      <c r="MH344" s="170" t="e">
        <f t="shared" ca="1" si="1262"/>
        <v>#N/A</v>
      </c>
      <c r="MI344" s="170" t="e">
        <f t="shared" ca="1" si="1262"/>
        <v>#N/A</v>
      </c>
      <c r="MJ344" s="170" t="e">
        <f ca="1">MAX(0.0001, Control!$C$132*$MI344*$DL344)</f>
        <v>#N/A</v>
      </c>
      <c r="MK344" s="170">
        <f ca="1">1/(0.76+1.5*($MG344/10))-(5-Control!$C$110)*0.1</f>
        <v>1.002845988140797</v>
      </c>
      <c r="ML344" s="173">
        <f ca="1">IF(Control!$C$110&lt;3,$MK344+($MG344-0.6)/(Control!$C$110*(Control!$C$110+3)), MAX(0.1, MIN(0.95,$MK344)))</f>
        <v>0.95</v>
      </c>
      <c r="MM344" s="173">
        <f ca="1">IF(Control!$C$110&lt;3,$MK344+(($MI344/10)-0.6)/(Control!$C$110*(Control!$C$110+3)), MAX(0.1, MIN(0.95,$MK344)))</f>
        <v>0.95</v>
      </c>
      <c r="MN344" s="173">
        <f ca="1">(1-$MM344)*(Control!$C$128-Control!$C$127)+Control!$C$127</f>
        <v>0.16</v>
      </c>
      <c r="MO344" s="170" t="e">
        <f ca="1">MAX(0,MIN(1,($MS344-Control!$C$127)/($MN344-Control!$C$127)))</f>
        <v>#DIV/0!</v>
      </c>
      <c r="MP344" s="173" t="e">
        <f ca="1">1/(0.76+1.5*$MI344)-(5-Control!$C$110)*0.1</f>
        <v>#N/A</v>
      </c>
      <c r="MQ344" s="172" t="e">
        <f t="shared" ca="1" si="1379"/>
        <v>#DIV/0!</v>
      </c>
      <c r="MR344" s="168" t="e">
        <f t="shared" ca="1" si="1351"/>
        <v>#DIV/0!</v>
      </c>
      <c r="MS344" s="173" t="e">
        <f ca="1">MAX(Control!$C$127, MIN(Control!$C$135, $MR344/MAX(0.0001,$CY344)))</f>
        <v>#DIV/0!</v>
      </c>
      <c r="MT344" s="168" t="e">
        <f ca="1">(Control!$C$128-$MS344)*Control!$C$74</f>
        <v>#DIV/0!</v>
      </c>
      <c r="MU344" s="168" t="e">
        <f ca="1">(Control!$C$135-$MS344)*Control!$C$74</f>
        <v>#DIV/0!</v>
      </c>
      <c r="MV344" s="168" t="e">
        <f t="shared" ca="1" si="1352"/>
        <v>#DIV/0!</v>
      </c>
      <c r="MW344" s="168" t="e">
        <f t="shared" ca="1" si="1353"/>
        <v>#DIV/0!</v>
      </c>
      <c r="MX344" s="171" t="e">
        <f ca="1">MAX(Control!$C$127, MIN(Control!$C$135, $MW344/MAX(0.0001,Control!$C$119-$CY344)))</f>
        <v>#DIV/0!</v>
      </c>
      <c r="MY344" s="54" t="e">
        <f ca="1">IF(Control!$C$114=1, $CX344*$MX344, 0)</f>
        <v>#DIV/0!</v>
      </c>
      <c r="MZ344" s="54" t="e">
        <f t="shared" ca="1" si="1354"/>
        <v>#N/A</v>
      </c>
      <c r="NA344" s="168" t="e">
        <f ca="1">(Control!$C$128-$MX344)*(Control!$C$119-Control!$C$74)</f>
        <v>#DIV/0!</v>
      </c>
      <c r="NB344" s="168" t="e">
        <f ca="1">(Control!$C$135-$MX344)*(Control!$C$119-Control!$C$74)</f>
        <v>#DIV/0!</v>
      </c>
      <c r="NC344" s="174" t="e">
        <f t="shared" ca="1" si="1355"/>
        <v>#DIV/0!</v>
      </c>
      <c r="ND344" s="54">
        <f ca="1">IF(Control!$C$58=2, IF(OR(Control!$B$218=$AH344,Control!$B$219=$AH344, Control!$B$220=$AH344, Control!$B$221=$AH344, Control!$B$222=$AH344, Control!$B$223=$AH344, Control!$B$224=$AH344, Control!$B$225=$AH344, Control!$B$226=$AH344, Control!$B$227=$AH344, Control!$B$228=$AH344), 1, 0), 0)</f>
        <v>0</v>
      </c>
      <c r="NE344" s="54">
        <f ca="1">IF($ND344=0,0, VLOOKUP($AH344,Control!$B$218:$C$228,2))</f>
        <v>0</v>
      </c>
      <c r="NF344" s="168" t="e">
        <f ca="1">$CY344*(Control!$C$128-Control!$C$127)</f>
        <v>#N/A</v>
      </c>
      <c r="NG344" s="54" t="e">
        <f ca="1">IF(Control!$C$58=2, $NI343-$NJ343, 0)</f>
        <v>#DIV/0!</v>
      </c>
      <c r="NH344" s="54" t="e">
        <f ca="1">IF(AND(Control!$C$58=1, $MS343&lt;= ($MN343+0.02), $I343&lt;10), 0, IF(Control!$C$58=2, $NG343, 0))</f>
        <v>#DIV/0!</v>
      </c>
      <c r="NI344" s="54" t="e">
        <f ca="1">IF(Control!$C$58=2, $NE344+$NH344,0)</f>
        <v>#DIV/0!</v>
      </c>
      <c r="NJ344" s="54" t="e">
        <f ca="1">IF(AND(Control!$C$58=1, $MS344&lt;= ($MN344+0.02), $I344&lt;10), MAX(0, MIN(10, 0.7*($NF344-$MV344))), IF(Control!$C$58=2, MIN(10,$NI344),0))</f>
        <v>#DIV/0!</v>
      </c>
      <c r="NK344" s="54" t="e">
        <f t="shared" ca="1" si="1263"/>
        <v>#DIV/0!</v>
      </c>
      <c r="NL344" s="173" t="e">
        <f ca="1">(1-Control!$C$73)*$I344+$NJ344</f>
        <v>#DIV/0!</v>
      </c>
      <c r="NM344" s="172" t="e">
        <f ca="1">IF($NL344&lt;0.5, $MB344* MAX(0, MIN(1, (SQRT($NC344)-SQRT($NC344-1))*Control!$C$71)),0)</f>
        <v>#DIV/0!</v>
      </c>
      <c r="NN344" s="170" t="e">
        <f ca="1">IF($NL344&gt;=5, $MB344, MAX(0,MIN($MB344, $NM344+$NL344,($MS344-Control!$C$129))))</f>
        <v>#DIV/0!</v>
      </c>
      <c r="NO344" s="54">
        <f>IF(Control!$C$133&lt;&gt;1, Control!$C$135-Control!$C$131, 0)</f>
        <v>0.38</v>
      </c>
      <c r="NP344" s="54" t="e">
        <f t="shared" ca="1" si="1264"/>
        <v>#DIV/0!</v>
      </c>
      <c r="NQ344" s="173" t="e">
        <f ca="1">MAX(0,MIN(1,(Control!$C$135-$MS344)/(Control!$C$135-$NO344)))</f>
        <v>#DIV/0!</v>
      </c>
      <c r="NR344" s="170" t="e">
        <f ca="1">IF(Control!$C$133&lt;&gt;1, $NQ344+((1-$NP344/4)*(1-$NQ344)),1)</f>
        <v>#DIV/0!</v>
      </c>
      <c r="NS344" s="170" t="e">
        <f ca="1">IF(Control!$B$31=0,$MJ344,MAX(0,MIN($MV344,$MO344*$NR344*$MJ344)))</f>
        <v>#DIV/0!</v>
      </c>
      <c r="NT344" s="170" t="e">
        <f t="shared" ca="1" si="1380"/>
        <v>#DIV/0!</v>
      </c>
      <c r="NU344" s="170" t="e">
        <f t="shared" ca="1" si="1356"/>
        <v>#N/A</v>
      </c>
      <c r="NV344" s="170" t="e">
        <f t="shared" ca="1" si="1265"/>
        <v>#N/A</v>
      </c>
      <c r="NW344" s="175" t="e">
        <f t="shared" ca="1" si="1266"/>
        <v>#DIV/0!</v>
      </c>
      <c r="NX344" s="170" t="e">
        <f ca="1">MIN(Control!$C$72+$MU344, $NW344)</f>
        <v>#DIV/0!</v>
      </c>
      <c r="NY344" s="170" t="e">
        <f ca="1">IF($MT344&lt;=$NX344,MIN(Control!$C$72+$NB344,$NX344-$MT344),0)</f>
        <v>#DIV/0!</v>
      </c>
      <c r="NZ344" s="54" t="e">
        <f ca="1">IF(Control!$C$114=1,  $CX344*($MX344-Control!$C$127), 0)</f>
        <v>#DIV/0!</v>
      </c>
      <c r="OA344" s="170" t="e">
        <f t="shared" ca="1" si="1267"/>
        <v>#DIV/0!</v>
      </c>
      <c r="OB344" s="170" t="e">
        <f ca="1">IF($NA344 &lt;=$NY344, MIN(Control!$C$72, $NY344-$NA344), 0)</f>
        <v>#DIV/0!</v>
      </c>
      <c r="OC344" s="168" t="e">
        <f t="shared" ca="1" si="1268"/>
        <v>#DIV/0!</v>
      </c>
      <c r="OD344" s="168" t="e">
        <f t="shared" ca="1" si="1357"/>
        <v>#DIV/0!</v>
      </c>
      <c r="OE344" s="170">
        <f ca="1">Control!$C$73*$I344</f>
        <v>0</v>
      </c>
      <c r="OF344" s="176" t="e">
        <f t="shared" ca="1" si="1269"/>
        <v>#DIV/0!</v>
      </c>
      <c r="OG344" s="168" t="e">
        <f t="shared" ca="1" si="1270"/>
        <v>#DIV/0!</v>
      </c>
      <c r="OH344" s="168" t="e">
        <f t="shared" ca="1" si="1271"/>
        <v>#DIV/0!</v>
      </c>
      <c r="OI344" s="168" t="e">
        <f t="shared" ca="1" si="1272"/>
        <v>#DIV/0!</v>
      </c>
      <c r="OJ344" s="168" t="e">
        <f t="shared" ca="1" si="1273"/>
        <v>#DIV/0!</v>
      </c>
      <c r="OK344" s="204" t="e">
        <f t="shared" ca="1" si="1274"/>
        <v>#DIV/0!</v>
      </c>
      <c r="OL344" s="177">
        <f>Control!$C$127</f>
        <v>0.15</v>
      </c>
      <c r="OM344" s="182" t="e">
        <f t="shared" ca="1" si="1275"/>
        <v>#N/A</v>
      </c>
      <c r="ON344" s="177">
        <f>Control!$C$128</f>
        <v>0.35</v>
      </c>
      <c r="OO344" s="182" t="e">
        <f t="shared" ca="1" si="1276"/>
        <v>#N/A</v>
      </c>
      <c r="OP344" s="138">
        <f t="shared" ca="1" si="1358"/>
        <v>0</v>
      </c>
      <c r="OQ344" s="138" t="e">
        <f t="shared" ca="1" si="1381"/>
        <v>#DIV/0!</v>
      </c>
      <c r="OR344" s="138" t="e">
        <f t="shared" ca="1" si="1359"/>
        <v>#DIV/0!</v>
      </c>
      <c r="OS344" s="137" t="e">
        <f t="shared" ca="1" si="1382"/>
        <v>#DIV/0!</v>
      </c>
      <c r="OT344" s="139" t="e">
        <f t="shared" ca="1" si="1383"/>
        <v>#DIV/0!</v>
      </c>
      <c r="OU344" s="138" t="e">
        <f t="shared" ca="1" si="1384"/>
        <v>#N/A</v>
      </c>
      <c r="OV344" s="138" t="e">
        <f t="shared" ca="1" si="1385"/>
        <v>#DIV/0!</v>
      </c>
      <c r="OW344" s="138" t="e">
        <f t="shared" ca="1" si="1360"/>
        <v>#DIV/0!</v>
      </c>
      <c r="OX344" s="138" t="e">
        <f t="shared" ca="1" si="1361"/>
        <v>#DIV/0!</v>
      </c>
      <c r="OY344" s="138" t="e">
        <f t="shared" ca="1" si="1362"/>
        <v>#DIV/0!</v>
      </c>
      <c r="OZ344" s="138" t="e">
        <f t="shared" ca="1" si="1277"/>
        <v>#DIV/0!</v>
      </c>
      <c r="PA344" s="138" t="e">
        <f t="shared" ca="1" si="1278"/>
        <v>#DIV/0!</v>
      </c>
      <c r="PB344" s="55">
        <f>IF(Control!$C$61="T", IF(Control!$C$65="F", IF($AH$6-Control!$C$60&lt;0,0,1), IF(365+$AH$6-Control!$C$60&lt;0,0,1)),0)</f>
        <v>0</v>
      </c>
      <c r="PC344" s="55">
        <f ca="1">IF(Control!$C$65="F", IF($AH$6-$HF344&lt;0,0,1), IF(365+$AH$6-$HF344&lt;0,0,1))</f>
        <v>1</v>
      </c>
      <c r="PD344" s="444">
        <f>Control!$C$118</f>
        <v>1500</v>
      </c>
      <c r="PE344" s="180" t="e">
        <f t="shared" ca="1" si="1279"/>
        <v>#N/A</v>
      </c>
      <c r="PF344" s="445">
        <f t="shared" ca="1" si="1363"/>
        <v>0.71612369323045078</v>
      </c>
      <c r="PT344" s="186"/>
      <c r="PU344" s="186"/>
      <c r="PV344" s="94"/>
      <c r="PW344" s="94"/>
      <c r="PX344" s="94"/>
      <c r="PY344" s="94"/>
      <c r="PZ344" s="94"/>
      <c r="QA344" s="94"/>
      <c r="QB344" s="94"/>
      <c r="QC344" s="94"/>
      <c r="QD344" s="94"/>
      <c r="QE344" s="94"/>
      <c r="QF344" s="94"/>
      <c r="QG344" s="94"/>
      <c r="QH344" s="94"/>
      <c r="QI344" s="94"/>
      <c r="QJ344" s="94"/>
      <c r="QK344" s="94"/>
      <c r="QL344" s="94"/>
      <c r="QM344" s="94"/>
      <c r="QN344" s="94"/>
      <c r="QO344" s="94"/>
      <c r="QP344" s="94"/>
    </row>
    <row r="345" spans="1:458" s="2" customFormat="1" x14ac:dyDescent="0.2">
      <c r="A345" s="395">
        <v>6</v>
      </c>
      <c r="B345" s="396">
        <v>12</v>
      </c>
      <c r="C345" s="387">
        <f ca="1">Weather_data!$B344</f>
        <v>0</v>
      </c>
      <c r="D345" s="388">
        <f ca="1">Weather_data!$F344</f>
        <v>0</v>
      </c>
      <c r="E345" s="388">
        <f ca="1">Weather_data!$E344</f>
        <v>0</v>
      </c>
      <c r="F345" s="388">
        <f t="shared" ca="1" si="1280"/>
        <v>0</v>
      </c>
      <c r="G345" s="388">
        <f ca="1">AVERAGE($D345:$E345)+Control!$B$9</f>
        <v>0</v>
      </c>
      <c r="H345" s="388">
        <f ca="1">Weather_data!$G344</f>
        <v>0</v>
      </c>
      <c r="I345" s="388">
        <f ca="1">Weather_data!$I344</f>
        <v>0</v>
      </c>
      <c r="J345" s="388">
        <f ca="1">Weather_data!$H344</f>
        <v>0</v>
      </c>
      <c r="K345" s="389">
        <f ca="1">Weather_data!$D344</f>
        <v>0</v>
      </c>
      <c r="L345" s="388" t="e">
        <f t="shared" ca="1" si="1281"/>
        <v>#N/A</v>
      </c>
      <c r="M345" s="388" t="e">
        <f t="shared" ca="1" si="1158"/>
        <v>#N/A</v>
      </c>
      <c r="N345" s="388">
        <f t="shared" ca="1" si="1159"/>
        <v>-1.538794779546246E-16</v>
      </c>
      <c r="O345" s="388">
        <f t="shared" ca="1" si="1282"/>
        <v>1.5387947795462461E-15</v>
      </c>
      <c r="P345" s="390">
        <v>3</v>
      </c>
      <c r="Q345" s="388">
        <f ca="1">MAX($G345-Control!$C$107,0)</f>
        <v>0</v>
      </c>
      <c r="R345" s="388">
        <f t="shared" ca="1" si="1283"/>
        <v>0</v>
      </c>
      <c r="S345" s="388">
        <f t="shared" ca="1" si="1160"/>
        <v>0</v>
      </c>
      <c r="T345" s="388">
        <f t="shared" ca="1" si="1161"/>
        <v>0</v>
      </c>
      <c r="U345" s="59">
        <f t="shared" ca="1" si="1162"/>
        <v>0</v>
      </c>
      <c r="V345" s="391">
        <f ca="1">MAX(0,MIN(Control!$C$100-Control!$C$99,$G345-Control!$C$99)*Control!$C$63)</f>
        <v>0</v>
      </c>
      <c r="W345" s="388">
        <f t="shared" ca="1" si="1284"/>
        <v>0</v>
      </c>
      <c r="X345" s="388">
        <f t="shared" ca="1" si="1285"/>
        <v>0.6110000000000001</v>
      </c>
      <c r="Y345" s="388">
        <f t="shared" ca="1" si="1163"/>
        <v>0</v>
      </c>
      <c r="Z345" s="388">
        <f t="shared" ca="1" si="1286"/>
        <v>0.61058800000000002</v>
      </c>
      <c r="AA345" s="388">
        <f t="shared" ca="1" si="1164"/>
        <v>0.6018</v>
      </c>
      <c r="AB345" s="388">
        <f ca="1">101.3*EXP(-0.034*Control!$C$66/($G345+273))</f>
        <v>100.69623283836242</v>
      </c>
      <c r="AC345" s="392">
        <f t="shared" ca="1" si="1165"/>
        <v>4.3460251046025113E-2</v>
      </c>
      <c r="AD345" s="392">
        <f t="shared" ca="1" si="1166"/>
        <v>4.4450382862832649E-2</v>
      </c>
      <c r="AE345" s="388">
        <f t="shared" ca="1" si="1167"/>
        <v>0</v>
      </c>
      <c r="AF345" s="388">
        <f ca="1">MAX(0,$G345-Control!$C$92)</f>
        <v>0</v>
      </c>
      <c r="AG345" s="393">
        <f t="shared" ca="1" si="1168"/>
        <v>341</v>
      </c>
      <c r="AH345" s="389">
        <f t="shared" ca="1" si="1169"/>
        <v>341</v>
      </c>
      <c r="AI345" s="388">
        <f t="shared" ca="1" si="1287"/>
        <v>-0.39677958680248732</v>
      </c>
      <c r="AJ345" s="388">
        <f ca="1">IF(Control!$C$60&lt;=0,$HH345,$HI345)</f>
        <v>1</v>
      </c>
      <c r="AK345" s="388">
        <f t="shared" ca="1" si="1170"/>
        <v>4.4929078497914299</v>
      </c>
      <c r="AL345" s="388">
        <f t="shared" ca="1" si="1171"/>
        <v>-2.6148331763731214E-17</v>
      </c>
      <c r="AM345" s="388">
        <f t="shared" ca="1" si="1172"/>
        <v>4.4929078497914299</v>
      </c>
      <c r="AN345" s="388">
        <f t="shared" ca="1" si="1173"/>
        <v>-0.39873945786888559</v>
      </c>
      <c r="AO345" s="388">
        <f ca="1">-0.10453/COS(Control!$B$8*PI()/180)*COS(AN345)</f>
        <v>-0.1564654352426551</v>
      </c>
      <c r="AP345" s="388">
        <f ca="1">ACOS(AO345-TAN(Control!$B$8*PI()/180)*TAN(AN345))</f>
        <v>1.1779879631929409</v>
      </c>
      <c r="AQ345" s="388">
        <f t="shared" ca="1" si="1288"/>
        <v>0</v>
      </c>
      <c r="AR345" s="394">
        <f t="shared" ca="1" si="1174"/>
        <v>0</v>
      </c>
      <c r="AS345" s="436">
        <f ca="1">IF(Control!$B$18=2,(IF(OR($AH345=Control!$B$175,$AH345=Control!$B$176,$AH345=Control!$B$177,$AH345=Control!$B$178,$AH345=Control!$B$179,$AH345=Control!$B$180,$AH345=Control!$B$181,$AH345=Control!$B$182,$AH345=Control!$B$183,$AH345=Control!$B$184,$AH345=Control!$B$185),1,0)),0)</f>
        <v>0</v>
      </c>
      <c r="AT345" s="436">
        <f>IF(Control!$B$20=8,IF(AND($AH345&gt;=Control!$B$172,$AH345&lt;=Control!$B$173),1,0),0)</f>
        <v>0</v>
      </c>
      <c r="AU345" s="436">
        <f>IF(Control!$B$20=8,IF($AV344=1,1*$AT345,IF($AT345=1,$AU344+1,$AU344)),0)</f>
        <v>0</v>
      </c>
      <c r="AV345" s="436">
        <f>IF(Control!$B$20=8,IF($AU345&gt;=Control!$B$174,1,0),0)</f>
        <v>0</v>
      </c>
      <c r="AW345" s="436">
        <f ca="1">IF(AND(Control!$B$18=2,Control!$B$171=1), $AV345, $AS345)</f>
        <v>0</v>
      </c>
      <c r="AX345" s="436" t="e">
        <f ca="1">IF(AND(Control!$B$18=1,$EU345&gt;=Control!$B$19),-$AY345,IF(AND(Control!$B$18=2,$AW345=1,$EU345&gt;$DS345),-$AY345, IF(Control!$C$108=0,0, IF(Control!$C$108&lt;&gt;0,1))))</f>
        <v>#N/A</v>
      </c>
      <c r="AY345" s="436" t="e">
        <f t="shared" ca="1" si="1289"/>
        <v>#N/A</v>
      </c>
      <c r="AZ345" s="436" t="e">
        <f ca="1">IF(AND(Control!$B$18=1,$EB345&gt;Control!$B$19),$AZ344+1, IF(AND(Control!$B$18=2, $AW345=1, $EB345&gt;$DS345), $AZ344+1,$AZ344))</f>
        <v>#N/A</v>
      </c>
      <c r="BA345" s="587">
        <f>IF(Control!$C$81=0,1,IF($AH345&gt;=Control!$C$82,1,0))</f>
        <v>1</v>
      </c>
      <c r="BB345" s="140" t="e">
        <f ca="1">IF($BA345&gt;$BA344,Control!$C$83,IF($AW345&gt;0,$AW345*Control!$C$84,IF(AND(Control!$B$18=1,EN344&lt;&gt;0),Control!$C$84,0)))</f>
        <v>#N/A</v>
      </c>
      <c r="BC345" s="140" t="e">
        <f t="shared" ca="1" si="1290"/>
        <v>#N/A</v>
      </c>
      <c r="BD345" s="140" t="e">
        <f ca="1">BC345*IF(OR($G345&lt;Control!$C$92,$G345&gt;Control!$C$95),0,IF(AND($G345&gt;=Control!$C$92,$G345&lt;=Control!$C$93),$G345-Control!$C$92,IF(AND($G345&gt;Control!$C$93,$G345&lt;=Control!$C$94),Control!$C$93-Control!$C$92,IF(AND($G345&gt;Control!$C$94,$G345&lt;=Control!$C$95),(Control!$C$93-Control!$C$92)*(Control!$C$94-$G345)/(Control!$C$95-Control!$C$94)))))</f>
        <v>#N/A</v>
      </c>
      <c r="BE345" s="140" t="e">
        <f t="shared" ca="1" si="1291"/>
        <v>#N/A</v>
      </c>
      <c r="BF345" s="140" t="e">
        <f ca="1">IF($BE345&lt;=Control!$C$86,$BE345,Control!$C$86-$BE345)</f>
        <v>#N/A</v>
      </c>
      <c r="BG345" s="140" t="e">
        <f ca="1">IF(AND($AW345=1,Control!$C$84&lt;9),1,IF($BE345&gt;=Control!$C$86,0,$BC345))</f>
        <v>#N/A</v>
      </c>
      <c r="BH345" s="404" t="e">
        <f ca="1">IF($BG345=0,0,IF($BE345&lt;=Control!$C$86,$BC345*9*($BF345/Control!$C$86),0))</f>
        <v>#N/A</v>
      </c>
      <c r="BI345" s="140" t="e">
        <f ca="1">IF($BG345=1,0,IF($BE345&gt;=Control!$C$86,1,IF(AND($BB345&lt;21,$BB345&gt;=9),1,$BM344)))</f>
        <v>#N/A</v>
      </c>
      <c r="BJ345" s="140" t="e">
        <f ca="1">IF($BF345&lt;0,-$BF345,$BI345*IF(OR($G345&lt;Control!$C$92,$G345&gt;Control!$C$95),0,IF(AND($G345&gt;=Control!$C$92,$G345&lt;=Control!$C$93),$G345-Control!$C$92,IF(AND($G345&gt;Control!$C$93,$G345&lt;=Control!$C$94),Control!$C$93-Control!$C$92,IF(AND($G345&gt;Control!$C$94,$G345&lt;=Control!$C$95),(Control!$C$93-Control!$C$92)*(Control!$C$94-$G345)/(Control!$C$95-Control!$C$94))))))</f>
        <v>#N/A</v>
      </c>
      <c r="BK345" s="140" t="e">
        <f t="shared" ca="1" si="1292"/>
        <v>#N/A</v>
      </c>
      <c r="BL345" s="140" t="e">
        <f ca="1">IF($BK345&lt;=Control!$C$87,$BK345,Control!$C$87-$BK345)</f>
        <v>#N/A</v>
      </c>
      <c r="BM345" s="140" t="e">
        <f ca="1">IF(AND($BB345&gt;=9,$BB345&lt;21),1,IF($BK345&gt;=Control!$C$87,0,$BI345))</f>
        <v>#N/A</v>
      </c>
      <c r="BN345" s="404" t="e">
        <f ca="1">IF($BM345=0,0,IF($BK345&lt;=Control!$C$87,$BI345*(9+(21-9)*($BL345/Control!$C$87)),0))</f>
        <v>#N/A</v>
      </c>
      <c r="BO345" s="140" t="e">
        <f ca="1">IF($BM345=1,0,IF($BK345&gt;=Control!$C$87,1,IF(AND($BB345&lt;30,$BB345&gt;=21),1,$BS344)))</f>
        <v>#N/A</v>
      </c>
      <c r="BP345" s="140" t="e">
        <f ca="1">IF($BL345&lt;0,-$BL345,$BO345*IF(OR($G345&lt;Control!$C$92,$G345&gt;Control!$C$95),0,IF(AND($G345&gt;=Control!$C$92,$G345&lt;=Control!$C$93),$G345-Control!$C$92,IF(AND($G345&gt;Control!$C$93,$G345&lt;=Control!$C$94),Control!$C$93-Control!$C$92,IF(AND($G345&gt;Control!$C$94,$G345&lt;=Control!$C$95),(Control!$C$93-Control!$C$92)*(Control!$C$94-$G345)/(Control!$C$95-Control!$C$94))))))</f>
        <v>#N/A</v>
      </c>
      <c r="BQ345" s="140" t="e">
        <f t="shared" ca="1" si="1175"/>
        <v>#N/A</v>
      </c>
      <c r="BR345" s="140" t="e">
        <f ca="1">IF($BQ345&lt;=Control!$C$88,$BQ345,Control!$C$88-$BQ345)</f>
        <v>#N/A</v>
      </c>
      <c r="BS345" s="140" t="e">
        <f ca="1">IF(AND($BB345&gt;=21,$BB345&lt;30),1,IF($BQ345&gt;=Control!$C$88,0,$BO345))</f>
        <v>#N/A</v>
      </c>
      <c r="BT345" s="404" t="e">
        <f ca="1">IF($BS345=0,0,IF($BQ345&lt;=Control!$C$88,$BO345*(21+(30-21)*(BR345/Control!$C$88)),0))</f>
        <v>#N/A</v>
      </c>
      <c r="BU345" s="140" t="e">
        <f ca="1">IF(BG345+BM345+BS345=1,0,IF(OR(AND($BB345&lt;60,$BB345&gt;=30),$BQ345&gt;=Control!$C$88),1*$BA345,$BY344))</f>
        <v>#N/A</v>
      </c>
      <c r="BV345" s="140" t="e">
        <f ca="1">IF($BR345&lt;0,-$BR345,$BU345*IF(OR($G345&lt;Control!$C$92,$G345&gt;Control!$C$95),0,IF(AND($G345&gt;=Control!$C$92,$G345&lt;=Control!$C$93),$G345-Control!$C$92,IF(AND($G345&gt;Control!$C$93,$G345&lt;=Control!$C$94),Control!$C$93-Control!$C$92,IF(AND($G345&gt;Control!$C$94,$G345&lt;=Control!$C$95),(Control!$C$93-Control!$C$92)*(Control!$C$94-$G345)/(Control!$C$95-Control!$C$94))))))</f>
        <v>#N/A</v>
      </c>
      <c r="BW345" s="140" t="e">
        <f t="shared" ca="1" si="1176"/>
        <v>#N/A</v>
      </c>
      <c r="BX345" s="140" t="e">
        <f ca="1">IF($BW345&lt;=Control!$C$89,$BW345,Control!$C$89-$BW345)</f>
        <v>#N/A</v>
      </c>
      <c r="BY345" s="140" t="e">
        <f ca="1">IF(AND($AJ345&gt;=30,$AJ345&lt;60),1,IF($BW345&gt;=Control!$C$89,0,$BU345))</f>
        <v>#N/A</v>
      </c>
      <c r="BZ345" s="404" t="e">
        <f ca="1">IF($BY345=0,0,IF($BW345&lt;=Control!$C$89,$BU345*(30+(60-30)*(BX345/Control!$C$89)),0))</f>
        <v>#N/A</v>
      </c>
      <c r="CA345" s="140" t="e">
        <f ca="1">IF($BG345+$BM345+$BS345+$BY345=1,0,IF(OR(AND($BB345&lt;65,$BB345&gt;=60),$BW345&gt;=Control!$C$89),1*$BA345,$CE344))</f>
        <v>#N/A</v>
      </c>
      <c r="CB345" s="140" t="e">
        <f ca="1">IF($BX345&lt;0,-$BX345,$CA345*IF(OR($G345&lt;Control!$C$92,$G345&gt;Control!$C$95),0,IF(AND($G345&gt;=Control!$C$92,$G345&lt;=Control!$C$93),$G345-Control!$C$92,IF(AND($G345&gt;Control!$C$93,$G345&lt;=Control!$C$94),Control!$C$93-Control!$C$92,IF(AND($G345&gt;Control!$C$94,$G345&lt;=Control!$C$95),(Control!$C$93-Control!$C$92)*(Control!$C$94-$G345)/(Control!$C$95-Control!$C$94))))))</f>
        <v>#N/A</v>
      </c>
      <c r="CC345" s="140" t="e">
        <f t="shared" ca="1" si="1293"/>
        <v>#N/A</v>
      </c>
      <c r="CD345" s="140" t="e">
        <f ca="1">IF($CC345&lt;=Control!$C$90,$CC345,Control!$C$90-$CC345)</f>
        <v>#N/A</v>
      </c>
      <c r="CE345" s="140" t="e">
        <f ca="1">IF(AND($BB345&gt;=60,$BB345&lt;65),1,IF($CC345&gt;=Control!$C$90,0,$CA345))</f>
        <v>#N/A</v>
      </c>
      <c r="CF345" s="404" t="e">
        <f ca="1">IF($CE345=0,0,IF($CC345&lt;=Control!$C$90,$CA345*(60+(65-60)*(CD345/Control!$C$90)),0))</f>
        <v>#N/A</v>
      </c>
      <c r="CG345" s="140" t="e">
        <f ca="1">IF($BG345+$BM345+$BS345+$BY345+$CE345=1,0,IF(OR(AND($BB345&lt;90,$BB345&gt;=65),$CC345&gt;=Control!$C$90),$BA345,$CK344))</f>
        <v>#N/A</v>
      </c>
      <c r="CH345" s="140" t="e">
        <f ca="1">IF($CD345&lt;0,-$CD345,$CG345*IF(OR($G345&lt;Control!$C$92,$G345&gt;Control!$C$95),0,IF(AND($G345&gt;=Control!$C$92,$G345&lt;=Control!$C$93),$G345-Control!$C$92,IF(AND($G345&gt;Control!$C$93,$G345&lt;=Control!$C$94),Control!$C$93-Control!$C$92,IF(AND($G345&gt;Control!$C$94,$G345&lt;=Control!$C$95),(Control!$C$93-Control!$C$92)*(Control!$C$94-$G345)/(Control!$C$95-Control!$C$94))))))</f>
        <v>#N/A</v>
      </c>
      <c r="CI345" s="140" t="e">
        <f t="shared" ca="1" si="1294"/>
        <v>#N/A</v>
      </c>
      <c r="CJ345" s="140" t="e">
        <f ca="1">IF($CI345&lt;=Control!$C$91,$CI345,Control!$C$91-$CI345)</f>
        <v>#N/A</v>
      </c>
      <c r="CK345" s="140" t="e">
        <f ca="1">IF(AND($BB345&gt;=65,$BB345&lt;90),1,IF($CI345&gt;=Control!$C$91,0,$CG345))</f>
        <v>#N/A</v>
      </c>
      <c r="CL345" s="404" t="e">
        <f ca="1">IF($CK345=0,0,IF($CI345&lt;=Control!$C$91,$CG345*(65+(90-65)*($CJ345/Control!$C$91)),0))</f>
        <v>#N/A</v>
      </c>
      <c r="CM345" s="140" t="e">
        <f ca="1">IF($BG345+$BM345+$BS345+$BY345+$CE345+$CK345=1,0,IF(OR($BB345&gt;=90,$CI345&gt;=Control!$C$91),$BA345,$CM344))</f>
        <v>#N/A</v>
      </c>
      <c r="CN345" s="140" t="e">
        <f t="shared" ca="1" si="1295"/>
        <v>#N/A</v>
      </c>
      <c r="CO345" s="140" t="e">
        <f t="shared" ca="1" si="1296"/>
        <v>#N/A</v>
      </c>
      <c r="CP345" s="140" t="e">
        <f t="shared" ca="1" si="1297"/>
        <v>#N/A</v>
      </c>
      <c r="CQ345" s="141" t="e">
        <f ca="1">VLOOKUP($CP345,Control!$B$86:$G$91,6)</f>
        <v>#N/A</v>
      </c>
      <c r="CR345" s="141" t="e">
        <f ca="1">(1-$CQ345)*VLOOKUP($CP345,Control!$B$86:$D$91,3)</f>
        <v>#N/A</v>
      </c>
      <c r="CS345" s="141" t="e">
        <f ca="1">(1-$CQ345)*VLOOKUP($CP345,Control!$B$86:$E$91,4)</f>
        <v>#N/A</v>
      </c>
      <c r="CT345" s="141" t="e">
        <f ca="1">(1-$CQ345)*VLOOKUP($CP345,Control!$B$86:$F$91,5)</f>
        <v>#N/A</v>
      </c>
      <c r="CU345" s="141">
        <f t="shared" ca="1" si="1298"/>
        <v>0</v>
      </c>
      <c r="CV345" s="583">
        <f t="shared" ca="1" si="1299"/>
        <v>0</v>
      </c>
      <c r="CW345" s="142">
        <f t="shared" ca="1" si="1300"/>
        <v>341</v>
      </c>
      <c r="CX345" s="612" t="e">
        <f ca="1">IF(Control!$C$114=1,(MIN(Control!$C$120*(IF($NT345-0.01&lt;0,0,1)),Control!$C$119-$CY345)))</f>
        <v>#DIV/0!</v>
      </c>
      <c r="CY345" s="143" t="e">
        <f t="shared" ca="1" si="1301"/>
        <v>#N/A</v>
      </c>
      <c r="CZ345" s="144">
        <f t="shared" ca="1" si="1177"/>
        <v>0</v>
      </c>
      <c r="DA345" s="144">
        <f t="shared" ca="1" si="1178"/>
        <v>0</v>
      </c>
      <c r="DB345" s="144" t="e">
        <f t="shared" ca="1" si="1179"/>
        <v>#N/A</v>
      </c>
      <c r="DC345" s="144" t="e">
        <f t="shared" ca="1" si="1180"/>
        <v>#N/A</v>
      </c>
      <c r="DD345" s="144" t="e">
        <f t="shared" ca="1" si="1386"/>
        <v>#N/A</v>
      </c>
      <c r="DE345" s="143" t="e">
        <f t="shared" ca="1" si="1302"/>
        <v>#N/A</v>
      </c>
      <c r="DF345" s="145" t="e">
        <f ca="1">$DR345*EXP(-Control!$C$158*(1-$KH345))</f>
        <v>#N/A</v>
      </c>
      <c r="DG345" s="146" t="e">
        <f ca="1">IF(Control!$C$114=1, $DF345*$EY345, 0)</f>
        <v>#N/A</v>
      </c>
      <c r="DH345" s="147" t="e">
        <f t="shared" ca="1" si="1303"/>
        <v>#N/A</v>
      </c>
      <c r="DI345" s="144" t="e">
        <f t="shared" ca="1" si="1364"/>
        <v>#N/A</v>
      </c>
      <c r="DJ345" s="147" t="e">
        <f ca="1">$EF345*Control!$C$109</f>
        <v>#N/A</v>
      </c>
      <c r="DK345" s="144" t="e">
        <f t="shared" ca="1" si="1304"/>
        <v>#N/A</v>
      </c>
      <c r="DL345" s="144" t="e">
        <f t="shared" ca="1" si="1181"/>
        <v>#N/A</v>
      </c>
      <c r="DM345" s="144" t="e">
        <f ca="1">IF(Control!$C$114=1, (1-EXP(-Control!$C$96*$DK345))*$AR345, 0)</f>
        <v>#N/A</v>
      </c>
      <c r="DN345" s="144">
        <f t="shared" ca="1" si="1305"/>
        <v>0</v>
      </c>
      <c r="DO345" s="148">
        <f>Control!$C$97</f>
        <v>4</v>
      </c>
      <c r="DP345" s="145" t="e">
        <f t="shared" ca="1" si="1306"/>
        <v>#N/A</v>
      </c>
      <c r="DQ345" s="145" t="e">
        <f ca="1">IF(AND($CP345&gt;=0,$CP345&lt;=90),Control!$C$111,Control!$C$111)</f>
        <v>#N/A</v>
      </c>
      <c r="DR345" s="145" t="e">
        <f t="shared" ca="1" si="1182"/>
        <v>#N/A</v>
      </c>
      <c r="DS345" s="143" t="e">
        <f ca="1">Control!$B$22/$DR345</f>
        <v>#N/A</v>
      </c>
      <c r="DT345" s="149" t="e">
        <f ca="1">IF(AND(Control!$C$114=1,$KH345&lt;1),$IM345*$DF345, 0)</f>
        <v>#N/A</v>
      </c>
      <c r="DU345" s="144" t="e">
        <f t="shared" ca="1" si="1307"/>
        <v>#N/A</v>
      </c>
      <c r="DV345" s="144">
        <f ca="1">IF($G345-Control!$C$107&lt;=0, 0, 0.83*LN(MAX($G345, 3))-0.8924)</f>
        <v>0</v>
      </c>
      <c r="DW345" s="144" t="e">
        <f t="shared" ca="1" si="1183"/>
        <v>#N/A</v>
      </c>
      <c r="DX345" s="150" t="e">
        <f ca="1">MAX(0.01*(1+$CU345/Control!$C$102),0.05*($DK345-Control!$C$97)/Control!$C$97)</f>
        <v>#N/A</v>
      </c>
      <c r="DY345" s="151" t="e">
        <f ca="1">IF(Control!$C$114=1, $DI345*$FS345, 0)</f>
        <v>#N/A</v>
      </c>
      <c r="DZ345" s="196" t="e">
        <f t="shared" ca="1" si="1308"/>
        <v>#N/A</v>
      </c>
      <c r="EA345" s="152">
        <f t="shared" ca="1" si="1309"/>
        <v>341</v>
      </c>
      <c r="EB345" s="153" t="e">
        <f t="shared" ca="1" si="1310"/>
        <v>#N/A</v>
      </c>
      <c r="EC345" s="153" t="e">
        <f t="shared" ca="1" si="1311"/>
        <v>#N/A</v>
      </c>
      <c r="ED345" s="154" t="e">
        <f ca="1">IF(Control!$C$114=1, $HM345*$FY345-$FD345, 0)</f>
        <v>#DIV/0!</v>
      </c>
      <c r="EE345" s="155" t="e">
        <f ca="1">IF(Control!$C$114=1, $HM345*$FZ345-$FF345, 0)</f>
        <v>#DIV/0!</v>
      </c>
      <c r="EF345" s="153" t="e">
        <f t="shared" ca="1" si="1365"/>
        <v>#N/A</v>
      </c>
      <c r="EG345" s="155" t="e">
        <f ca="1">IF(Control!$C$114=1, $GX345*$FW345-$FI345, 0)</f>
        <v>#DIV/0!</v>
      </c>
      <c r="EH345" s="153" t="e">
        <f t="shared" ca="1" si="1312"/>
        <v>#N/A</v>
      </c>
      <c r="EI345" s="156" t="e">
        <f t="shared" ca="1" si="1313"/>
        <v>#N/A</v>
      </c>
      <c r="EJ345" s="155" t="e">
        <f ca="1">IF(Control!$C$114=1, $HM345*$GB345, 0)</f>
        <v>#DIV/0!</v>
      </c>
      <c r="EK345" s="153" t="e">
        <f t="shared" ca="1" si="1366"/>
        <v>#N/A</v>
      </c>
      <c r="EL345" s="153" t="e">
        <f t="shared" ca="1" si="1184"/>
        <v>#N/A</v>
      </c>
      <c r="EM345" s="153" t="e">
        <f t="shared" ca="1" si="1185"/>
        <v>#N/A</v>
      </c>
      <c r="EN345" s="153" t="e">
        <f ca="1">IF(Control!$C$108=1,IF(AND(Control!$B$18=1,$EB345&gt;=Control!$B$19),$EB345-$DS345,IF(AND(Control!$B$18=2,$AW345=1,$EB345&gt;$DS345),$EB345-$DS345,0)))</f>
        <v>#N/A</v>
      </c>
      <c r="EO345" s="153" t="e">
        <f ca="1">IF(Control!$C$108=1,IF(AND(Control!$B$18=1,$EB345&gt;=Control!$B$19),$EF345,IF(AND(Control!$B$18=2,$AW345=1),$EF345,0)))</f>
        <v>#N/A</v>
      </c>
      <c r="EP345" s="153" t="e">
        <f ca="1">IF(Control!$C$108=1,IF(AND(Control!$B$18=1,$EB345&gt;=Control!$B$19),$EK345,IF(AND(Control!$B$18=2,$AW345=1),$EK345,0)))</f>
        <v>#N/A</v>
      </c>
      <c r="EQ345" s="153" t="e">
        <f t="shared" ca="1" si="1314"/>
        <v>#N/A</v>
      </c>
      <c r="ER345" s="153" t="e">
        <f t="shared" ca="1" si="1315"/>
        <v>#N/A</v>
      </c>
      <c r="ES345" s="153" t="e">
        <f t="shared" ca="1" si="1367"/>
        <v>#N/A</v>
      </c>
      <c r="ET345" s="153" t="e">
        <f t="shared" ca="1" si="1368"/>
        <v>#N/A</v>
      </c>
      <c r="EU345" s="153" t="e">
        <f t="shared" ca="1" si="1316"/>
        <v>#N/A</v>
      </c>
      <c r="EV345" s="153" t="e">
        <f t="shared" ca="1" si="1186"/>
        <v>#N/A</v>
      </c>
      <c r="EW345" s="153" t="e">
        <f t="shared" ca="1" si="1187"/>
        <v>#N/A</v>
      </c>
      <c r="EX345" s="153" t="e">
        <f t="shared" ca="1" si="1188"/>
        <v>#N/A</v>
      </c>
      <c r="EY345" s="157" t="e">
        <f t="shared" ca="1" si="1189"/>
        <v>#DIV/0!</v>
      </c>
      <c r="EZ345" s="154" t="e">
        <f t="shared" ca="1" si="1190"/>
        <v>#DIV/0!</v>
      </c>
      <c r="FA345" s="153" t="e">
        <f t="shared" ca="1" si="1317"/>
        <v>#N/A</v>
      </c>
      <c r="FB345" s="153" t="e">
        <f t="shared" ca="1" si="1191"/>
        <v>#N/A</v>
      </c>
      <c r="FC345" s="193" t="e">
        <f t="shared" ca="1" si="1192"/>
        <v>#N/A</v>
      </c>
      <c r="FD345" s="158" t="e">
        <f t="shared" ca="1" si="1318"/>
        <v>#N/A</v>
      </c>
      <c r="FE345" s="158" t="e">
        <f t="shared" ca="1" si="1319"/>
        <v>#N/A</v>
      </c>
      <c r="FF345" s="159" t="e">
        <f t="shared" ca="1" si="1193"/>
        <v>#N/A</v>
      </c>
      <c r="FG345" s="160" t="e">
        <f t="shared" ca="1" si="1320"/>
        <v>#N/A</v>
      </c>
      <c r="FH345" s="158" t="e">
        <f t="shared" ca="1" si="1321"/>
        <v>#N/A</v>
      </c>
      <c r="FI345" s="159" t="e">
        <f t="shared" ca="1" si="1194"/>
        <v>#N/A</v>
      </c>
      <c r="FJ345" s="160" t="e">
        <f t="shared" ca="1" si="1322"/>
        <v>#N/A</v>
      </c>
      <c r="FK345" s="160" t="e">
        <f t="shared" ca="1" si="1195"/>
        <v>#N/A</v>
      </c>
      <c r="FL345" s="160" t="e">
        <f t="shared" ca="1" si="1369"/>
        <v>#N/A</v>
      </c>
      <c r="FM345" s="160" t="e">
        <f t="shared" ca="1" si="1196"/>
        <v>#N/A</v>
      </c>
      <c r="FN345" s="158">
        <f t="shared" ca="1" si="1323"/>
        <v>0.01</v>
      </c>
      <c r="FO345" s="160">
        <f>Control!$C$101</f>
        <v>50</v>
      </c>
      <c r="FP345" s="150" t="e">
        <f t="shared" ca="1" si="1197"/>
        <v>#N/A</v>
      </c>
      <c r="FQ345" s="150" t="e">
        <f ca="1">MAX(0,(Control!$C$112*(($DK345-Control!$C$97)/Control!$C$97)))</f>
        <v>#N/A</v>
      </c>
      <c r="FR345" s="150" t="e">
        <f ca="1">(1-$NT345)*Control!$C$113</f>
        <v>#DIV/0!</v>
      </c>
      <c r="FS345" s="198" t="e">
        <f t="shared" ca="1" si="1198"/>
        <v>#N/A</v>
      </c>
      <c r="FT345" s="161">
        <f t="shared" ca="1" si="1324"/>
        <v>341</v>
      </c>
      <c r="FU345" s="162" t="e">
        <f ca="1">IF(Control!$B$34=1,VLOOKUP($CP345,Control!$B$86:$G$91,6),Control!$B$35)</f>
        <v>#N/A</v>
      </c>
      <c r="FV345" s="162" t="e">
        <f t="shared" ca="1" si="1199"/>
        <v>#DIV/0!</v>
      </c>
      <c r="FW345" s="162" t="e">
        <f ca="1">IF(Control!$B$31=1,$FU345*$FV345,  $FU345)</f>
        <v>#N/A</v>
      </c>
      <c r="FX345" s="162" t="e">
        <f ca="1">IF(Control!$B$34=1,VLOOKUP($CP345,Control!$B$86:$G$91,3),Control!$B$36)</f>
        <v>#N/A</v>
      </c>
      <c r="FY345" s="162" t="e">
        <f t="shared" ca="1" si="1200"/>
        <v>#N/A</v>
      </c>
      <c r="FZ345" s="162" t="e">
        <f ca="1">IF(Control!$B$34=1,VLOOKUP($CP345,Control!$B$86:$G$91,4),Control!$B$37)</f>
        <v>#N/A</v>
      </c>
      <c r="GA345" s="162" t="e">
        <f t="shared" ca="1" si="1201"/>
        <v>#N/A</v>
      </c>
      <c r="GB345" s="162" t="e">
        <f ca="1">IF(Control!$B$34=1,VLOOKUP($CP345,Control!$B$86:$G$91,5),Control!$B$38)</f>
        <v>#N/A</v>
      </c>
      <c r="GC345" s="162" t="e">
        <f t="shared" ca="1" si="1325"/>
        <v>#N/A</v>
      </c>
      <c r="GD345" s="162">
        <f t="shared" ca="1" si="1202"/>
        <v>1</v>
      </c>
      <c r="GE345" s="162">
        <f t="shared" ca="1" si="1203"/>
        <v>1</v>
      </c>
      <c r="GF345" s="162">
        <f ca="1">IF(AND(Control!$C$104=1, Control!$C$62="F"),$GE345,1)</f>
        <v>1</v>
      </c>
      <c r="GG345" s="162" t="e">
        <f ca="1">IF(Control!$B$16=40,0,IF(AND(Control!$B$16&gt;40,Control!$B$16&lt;=360),(Control!$B$16-40)*((1-0)/(360-40)),IF(AND(Control!$B$16&gt;360,Control!$B$16&lt;=720),(1+(Control!$B$16-360)*((1.25-1)/(720-360))),IF(AND(Control!$B$16&gt;720,Control!$B$16&lt;=1000),(1.25+(Control!$B$16-720)*((1.35-1.25)/(1000-720))),IF(AND(Control!$B$16&gt;1000,Control!$B$16&lt;=2000),(1.35+(Control!$B$16-1000)*0))))))</f>
        <v>#N/A</v>
      </c>
      <c r="GH345" s="162" t="e">
        <f t="shared" ca="1" si="1204"/>
        <v>#N/A</v>
      </c>
      <c r="GI345" s="162">
        <f t="shared" ca="1" si="1326"/>
        <v>0</v>
      </c>
      <c r="GJ345" s="162">
        <f t="shared" ca="1" si="1205"/>
        <v>0</v>
      </c>
      <c r="GK345" s="162">
        <f t="shared" ca="1" si="1327"/>
        <v>1</v>
      </c>
      <c r="GL345" s="162">
        <f t="shared" ca="1" si="1206"/>
        <v>1</v>
      </c>
      <c r="GM345" s="162" t="e">
        <f ca="1">MAX(0,MIN(1,1-Control!$C$156*(1.0001-$KH345)^2))</f>
        <v>#N/A</v>
      </c>
      <c r="GN345" s="162" t="e">
        <f ca="1">IF(Control!$B$26=1,$KU345,$KX345)</f>
        <v>#N/A</v>
      </c>
      <c r="GO345" s="162" t="e">
        <f ca="1">IF($CP345&lt;=60,Control!$C$105,IF($CP345&gt;=90,Control!$C$106,Control!$C$105+($CP345-60)*((Control!$C$106-Control!$C$105)/(90-60))))</f>
        <v>#N/A</v>
      </c>
      <c r="GP345" s="162" t="e">
        <f t="shared" ca="1" si="1207"/>
        <v>#N/A</v>
      </c>
      <c r="GQ345" s="162" t="e">
        <f t="shared" ca="1" si="1328"/>
        <v>#N/A</v>
      </c>
      <c r="GR345" s="163" t="e">
        <f t="shared" ca="1" si="1208"/>
        <v>#DIV/0!</v>
      </c>
      <c r="GS345" s="162" t="e">
        <f t="shared" ca="1" si="1209"/>
        <v>#DIV/0!</v>
      </c>
      <c r="GT345" s="164" t="e">
        <f t="shared" ca="1" si="1329"/>
        <v>#N/A</v>
      </c>
      <c r="GU345" s="162" t="e">
        <f t="shared" ca="1" si="1330"/>
        <v>#N/A</v>
      </c>
      <c r="GV345" s="162" t="e">
        <f t="shared" ca="1" si="1210"/>
        <v>#N/A</v>
      </c>
      <c r="GW345" s="162" t="e">
        <f t="shared" ca="1" si="1211"/>
        <v>#DIV/0!</v>
      </c>
      <c r="GX345" s="162" t="e">
        <f t="shared" ca="1" si="1331"/>
        <v>#DIV/0!</v>
      </c>
      <c r="GY345" s="162" t="e">
        <f t="shared" ca="1" si="1332"/>
        <v>#DIV/0!</v>
      </c>
      <c r="GZ345" s="165" t="e">
        <f t="shared" ca="1" si="1212"/>
        <v>#N/A</v>
      </c>
      <c r="HA345" s="162" t="e">
        <f ca="1">IF(Control!$C$114=1, $DI345*$FS345, 0)</f>
        <v>#N/A</v>
      </c>
      <c r="HB345" s="162" t="e">
        <f ca="1">$FA345/Control!$C$64</f>
        <v>#N/A</v>
      </c>
      <c r="HC345" s="162" t="e">
        <f t="shared" ca="1" si="1213"/>
        <v>#DIV/0!</v>
      </c>
      <c r="HD345" s="162">
        <f ca="1">-ASIN(SIN(23.45*Control!$C$139)*COS(2*Control!$C$138*($AH345+10)/365))</f>
        <v>-0.39677958680248732</v>
      </c>
      <c r="HE345" s="165">
        <f t="shared" ca="1" si="1333"/>
        <v>0</v>
      </c>
      <c r="HF345" s="166">
        <f ca="1">IF(AND(Control!$C$61="T",$HE345&gt;=Control!$C$103,Control!$C$114=0),$AH345,Control!$C$59)</f>
        <v>1</v>
      </c>
      <c r="HG345" s="166">
        <f ca="1">IF(AND(Control!$C$61="T",$HE345&gt;=Control!$C$103,Control!$C$114=0),$HF345,Control!$C$59)</f>
        <v>1</v>
      </c>
      <c r="HH345" s="165">
        <f ca="1">IF(AND(OR(Control!$C$60&lt;=0, $AH345= Control!$C$59, Control!$C$60 &gt;0, $AH345 = Control!$C$60)), Control!$C$59, IF(Control!$C$60&gt;0, 0))</f>
        <v>1</v>
      </c>
      <c r="HI345" s="165">
        <f ca="1">IF(AND(OR(Control!$C$60&lt;=0, $AH345= Control!$C$59, Control!$C$60 &gt;0, $AH345 = Control!$C$60)), Control!$C$60, IF(Control!$C$60&lt;=0, 0))</f>
        <v>0</v>
      </c>
      <c r="HJ345" s="166">
        <f ca="1">IF(AND(Control!$C$62="F",$CV345&gt;=Control!$C$102),$AH345,0)</f>
        <v>0</v>
      </c>
      <c r="HK345" s="165" t="e">
        <f t="shared" ca="1" si="1370"/>
        <v>#N/A</v>
      </c>
      <c r="HL345" s="166">
        <f ca="1">IF(AND(Control!$C$61="T",$HE345&gt;=Control!$C$103,Control!$C$114=0),$HF345,0)</f>
        <v>0</v>
      </c>
      <c r="HM345" s="201" t="e">
        <f t="shared" ca="1" si="1214"/>
        <v>#DIV/0!</v>
      </c>
      <c r="HN345" s="215">
        <f t="shared" ca="1" si="1334"/>
        <v>341</v>
      </c>
      <c r="HO345" s="216" t="e">
        <f ca="1">IF(AND($CP345&gt;=0, $CP345&lt;=90), Control!$C$152, Control!$C$152)</f>
        <v>#N/A</v>
      </c>
      <c r="HP345" s="216" t="e">
        <f t="shared" ca="1" si="1215"/>
        <v>#N/A</v>
      </c>
      <c r="HQ345" s="217" t="e">
        <f ca="1">IF(OR(Control!$B$26=1,Control!$B$26=2),$KV345,$KS345)</f>
        <v>#DIV/0!</v>
      </c>
      <c r="HR345" s="218" t="e">
        <f t="shared" ca="1" si="1371"/>
        <v>#DIV/0!</v>
      </c>
      <c r="HS345" s="216" t="e">
        <f ca="1">Control!$C$154*$HP345</f>
        <v>#N/A</v>
      </c>
      <c r="HT345" s="216" t="e">
        <f ca="1">Control!$C$155*$HP345</f>
        <v>#N/A</v>
      </c>
      <c r="HU345" s="217" t="e">
        <f ca="1">Control!$C$161*$FI345</f>
        <v>#N/A</v>
      </c>
      <c r="HV345" s="218" t="e">
        <f t="shared" ca="1" si="1335"/>
        <v>#N/A</v>
      </c>
      <c r="HW345" s="218" t="e">
        <f ca="1">Control!$C$160*$FF345+$IP345*$EO345</f>
        <v>#N/A</v>
      </c>
      <c r="HX345" s="218" t="e">
        <f t="shared" ca="1" si="1372"/>
        <v>#N/A</v>
      </c>
      <c r="HY345" s="219" t="e">
        <f ca="1">IF(Control!$C$114=1, $EB345*$FS345, 0)</f>
        <v>#N/A</v>
      </c>
      <c r="HZ345" s="91" t="e">
        <f t="shared" ca="1" si="1216"/>
        <v>#N/A</v>
      </c>
      <c r="IA345" s="220" t="e">
        <f ca="1">Control!$C$153*$HO345</f>
        <v>#N/A</v>
      </c>
      <c r="IB345" s="218" t="e">
        <f t="shared" ca="1" si="1217"/>
        <v>#N/A</v>
      </c>
      <c r="IC345" s="220" t="e">
        <f ca="1">Control!$C$153*$HT345</f>
        <v>#N/A</v>
      </c>
      <c r="ID345" s="218" t="e">
        <f t="shared" ca="1" si="1218"/>
        <v>#N/A</v>
      </c>
      <c r="IE345" s="221" t="e">
        <f ca="1">($EB345*Control!$C$159+$EF345*Control!$C$160)/(IF($GZ345&lt;&gt;0,$GZ345,1))</f>
        <v>#N/A</v>
      </c>
      <c r="IF345" s="216" t="e">
        <f t="shared" ca="1" si="1219"/>
        <v>#N/A</v>
      </c>
      <c r="IG345" s="91">
        <f ca="1">IF(OR(Control!$B$198=$AH345,Control!$B$199=$AH345, Control!$B$200=$AH345, Control!$B$201=$AH345, Control!$B$202=$AH345, Control!$B$203=$AH345, Control!$B$204=$AH345, Control!$B$205=$AH345, Control!$B$206=$AH345, Control!$B$207=$AH345), 1, 0)</f>
        <v>0</v>
      </c>
      <c r="IH345" s="91">
        <f ca="1">IF($IG345=0,0, VLOOKUP($AH345,Control!$B$198:$C$207,2))</f>
        <v>0</v>
      </c>
      <c r="II345" s="222">
        <f t="shared" ca="1" si="1336"/>
        <v>0</v>
      </c>
      <c r="IJ345" s="91">
        <f>Control!$C$121</f>
        <v>0.7</v>
      </c>
      <c r="IK345" s="218">
        <f t="shared" ca="1" si="1220"/>
        <v>0</v>
      </c>
      <c r="IL345" s="217" t="e">
        <f t="shared" ca="1" si="1373"/>
        <v>#N/A</v>
      </c>
      <c r="IM345" s="223" t="e">
        <f ca="1">IF(AND(Control!$C$114=1,$KH345&lt;1),$EB345*Control!$C$148*(1-$KH345), 0)</f>
        <v>#N/A</v>
      </c>
      <c r="IN345" s="217" t="e">
        <f t="shared" ca="1" si="1221"/>
        <v>#DIV/0!</v>
      </c>
      <c r="IO345" s="91" t="e">
        <f ca="1">MAX(0,$IL345-$EF345*Control!$C$160)</f>
        <v>#N/A</v>
      </c>
      <c r="IP345" s="220" t="e">
        <f t="shared" ca="1" si="1222"/>
        <v>#N/A</v>
      </c>
      <c r="IQ345" s="217" t="e">
        <f t="shared" ca="1" si="1337"/>
        <v>#N/A</v>
      </c>
      <c r="IR345" s="218" t="e">
        <f t="shared" ca="1" si="1223"/>
        <v>#N/A</v>
      </c>
      <c r="IS345" s="217" t="e">
        <f ca="1">Control!$C$159*MAX(0,$FD345-$EN345)</f>
        <v>#N/A</v>
      </c>
      <c r="IT345" s="217" t="e">
        <f t="shared" ca="1" si="1374"/>
        <v>#N/A</v>
      </c>
      <c r="IU345" s="217" t="e">
        <f t="shared" ca="1" si="1338"/>
        <v>#N/A</v>
      </c>
      <c r="IV345" s="217" t="e">
        <f t="shared" ca="1" si="1375"/>
        <v>#N/A</v>
      </c>
      <c r="IW345" s="217" t="e">
        <f ca="1">IF(OR($AW345=1,AND($AW345=0, Control!$B$18=1,$EN345&lt;&gt;0)), $IQ345-$IU345, $IQ345)</f>
        <v>#N/A</v>
      </c>
      <c r="IX345" s="218" t="e">
        <f t="shared" ca="1" si="1224"/>
        <v>#N/A</v>
      </c>
      <c r="IY345" s="218" t="e">
        <f ca="1">MAX(0,$IQ345-$EB345*Control!$C$159)</f>
        <v>#N/A</v>
      </c>
      <c r="IZ345" s="218" t="e">
        <f t="shared" ca="1" si="1225"/>
        <v>#N/A</v>
      </c>
      <c r="JA345" s="216" t="e">
        <f t="shared" ca="1" si="1226"/>
        <v>#N/A</v>
      </c>
      <c r="JB345" s="217" t="e">
        <f t="shared" ca="1" si="1227"/>
        <v>#N/A</v>
      </c>
      <c r="JC345" s="222" t="e">
        <f ca="1">MAX(Control!$C$157*$EK345-$JT345, 0)/Control!$C$162</f>
        <v>#N/A</v>
      </c>
      <c r="JD345" s="218" t="e">
        <f t="shared" ca="1" si="1228"/>
        <v>#N/A</v>
      </c>
      <c r="JE345" s="218" t="e">
        <f t="shared" ca="1" si="1229"/>
        <v>#N/A</v>
      </c>
      <c r="JF345" s="218" t="e">
        <f t="shared" ca="1" si="1339"/>
        <v>#N/A</v>
      </c>
      <c r="JG345" s="218" t="e">
        <f t="shared" ca="1" si="1230"/>
        <v>#N/A</v>
      </c>
      <c r="JH345" s="217" t="e">
        <f t="shared" ca="1" si="1340"/>
        <v>#N/A</v>
      </c>
      <c r="JI345" s="217" t="e">
        <f t="shared" ca="1" si="1341"/>
        <v>#N/A</v>
      </c>
      <c r="JJ345" s="217" t="e">
        <f t="shared" ca="1" si="1376"/>
        <v>#N/A</v>
      </c>
      <c r="JK345" s="217" t="e">
        <f ca="1">IF(Control!$C$114=1,IF(Control!$B$24=0,MAX(0,$JI345)*$GN345/Control!$C$64,(MAX(0,MIN($JI345,$JJ345*$GN345/Control!$C$64),0))))</f>
        <v>#N/A</v>
      </c>
      <c r="JL345" s="217" t="e">
        <f ca="1">$IK345/Control!$C$64-$JK345+$HQ345</f>
        <v>#N/A</v>
      </c>
      <c r="JM345" s="217" t="e">
        <f ca="1">IF(Control!$C$114=1,($JB345/(IF($JI345&lt;&gt;0,$JI345,1)))*$JK345,0)</f>
        <v>#N/A</v>
      </c>
      <c r="JN345" s="217" t="e">
        <f ca="1">IF(Control!$C$114=1,($JG345/(IF($JI345&lt;&gt;0,$JI345,1)))*$JK345, 0)</f>
        <v>#N/A</v>
      </c>
      <c r="JO345" s="218" t="e">
        <f t="shared" ca="1" si="1231"/>
        <v>#N/A</v>
      </c>
      <c r="JP345" s="218" t="e">
        <f ca="1">MIN(($IY345+$IO345)*Control!$C$151, $JF345-$EH345*Control!$C$161)</f>
        <v>#N/A</v>
      </c>
      <c r="JQ345" s="218" t="e">
        <f t="shared" ca="1" si="1232"/>
        <v>#N/A</v>
      </c>
      <c r="JR345" s="217" t="e">
        <f ca="1">IF($CP345-Control!$C$150&lt;0, 0, $JQ345/Control!$C$162)</f>
        <v>#N/A</v>
      </c>
      <c r="JS345" s="218" t="e">
        <f t="shared" ca="1" si="1233"/>
        <v>#N/A</v>
      </c>
      <c r="JT345" s="218" t="e">
        <f t="shared" ca="1" si="1342"/>
        <v>#N/A</v>
      </c>
      <c r="JU345" s="218" t="e">
        <f t="shared" ca="1" si="1234"/>
        <v>#N/A</v>
      </c>
      <c r="JV345" s="218" t="e">
        <f t="shared" ca="1" si="1235"/>
        <v>#N/A</v>
      </c>
      <c r="JW345" s="216" t="e">
        <f t="shared" ca="1" si="1236"/>
        <v>#N/A</v>
      </c>
      <c r="JX345" s="91" t="e">
        <f t="shared" ca="1" si="1237"/>
        <v>#N/A</v>
      </c>
      <c r="JY345" s="218" t="e">
        <f t="shared" ca="1" si="1238"/>
        <v>#N/A</v>
      </c>
      <c r="JZ345" s="217" t="e">
        <f ca="1">IF(Control!$C$114=1,($IZ345/(IF($JI345&lt;&gt;0,$JI345,1)))*$JK345, 0)</f>
        <v>#N/A</v>
      </c>
      <c r="KA345" s="218" t="e">
        <f t="shared" ca="1" si="1377"/>
        <v>#N/A</v>
      </c>
      <c r="KB345" s="218" t="e">
        <f t="shared" ca="1" si="1343"/>
        <v>#N/A</v>
      </c>
      <c r="KC345" s="218" t="e">
        <f t="shared" ca="1" si="1239"/>
        <v>#N/A</v>
      </c>
      <c r="KD345" s="218" t="e">
        <f t="shared" ca="1" si="1240"/>
        <v>#N/A</v>
      </c>
      <c r="KE345" s="218" t="e">
        <f t="shared" ca="1" si="1241"/>
        <v>#N/A</v>
      </c>
      <c r="KF345" s="218" t="e">
        <f t="shared" ca="1" si="1242"/>
        <v>#N/A</v>
      </c>
      <c r="KG345" s="216" t="e">
        <f t="shared" ca="1" si="1243"/>
        <v>#N/A</v>
      </c>
      <c r="KH345" s="221" t="e">
        <f ca="1">IF(Control!$B$24=0,1,MAX(0.001,MIN(1,IF(($IF345-$IE345)&lt;&gt;0,($KG345-$IE345)/($IF345-$IE345),1))))</f>
        <v>#N/A</v>
      </c>
      <c r="KI345" s="222" t="e">
        <f ca="1">IF(Control!$C$114=1, $KI344+ $KH344, 0)</f>
        <v>#N/A</v>
      </c>
      <c r="KJ345" s="217" t="e">
        <f t="shared" ca="1" si="1244"/>
        <v>#N/A</v>
      </c>
      <c r="KK345" s="218" t="e">
        <f t="shared" ca="1" si="1245"/>
        <v>#N/A</v>
      </c>
      <c r="KL345" s="274" t="e">
        <f ca="1">IF(Control!$B$26=3,4000000000*EXP(-8400/($G345+273)),IF(Control!$B$26=4,4000000000*EXP(-8400/($G345+273))*($KT345),0))</f>
        <v>#DIV/0!</v>
      </c>
      <c r="KM345" s="274" t="e">
        <f ca="1">IF(Control!$B$26=3,5600000000000*EXP(-9800/($G345+273)),IF(Control!$B$26=4,5600000000000*EXP(-9800/($G345+273))*$KT345,0))</f>
        <v>#DIV/0!</v>
      </c>
      <c r="KN345" s="454" t="e">
        <f t="shared" ca="1" si="1344"/>
        <v>#DIV/0!</v>
      </c>
      <c r="KO345" s="274" t="e">
        <f t="shared" ca="1" si="1345"/>
        <v>#DIV/0!</v>
      </c>
      <c r="KP345" s="454" t="e">
        <f t="shared" ca="1" si="1246"/>
        <v>#DIV/0!</v>
      </c>
      <c r="KQ345" s="454" t="e">
        <f t="shared" ca="1" si="1247"/>
        <v>#DIV/0!</v>
      </c>
      <c r="KR345" s="454" t="e">
        <f t="shared" ca="1" si="1248"/>
        <v>#DIV/0!</v>
      </c>
      <c r="KS345" s="454" t="e">
        <f t="shared" ca="1" si="1249"/>
        <v>#DIV/0!</v>
      </c>
      <c r="KT345" s="455" t="e">
        <f t="shared" ca="1" si="1250"/>
        <v>#DIV/0!</v>
      </c>
      <c r="KU345" s="456" t="e">
        <f ca="1">IF($CP345-Control!$C$149&lt;0, IF($NT345-0.01&lt;0,0,1),0)</f>
        <v>#N/A</v>
      </c>
      <c r="KV345" s="456" t="e">
        <f ca="1">IF(Control!$C$114=1,MAX(0,MIN(Control!$C$125*$KW345*$GN345,$KW345)))</f>
        <v>#DIV/0!</v>
      </c>
      <c r="KW345" s="456" t="e">
        <f t="shared" ca="1" si="1378"/>
        <v>#DIV/0!</v>
      </c>
      <c r="KX345" s="457" t="e">
        <f ca="1">IF($CP345-Control!$C$149&lt;0, IF($MR345-$OM345&lt;0,0,1),0)</f>
        <v>#N/A</v>
      </c>
      <c r="KY345" s="167">
        <f t="shared" ca="1" si="1346"/>
        <v>341</v>
      </c>
      <c r="KZ345" s="168">
        <f ca="1">1370*(1+0.033*COS(2*Control!$C$138*$AH345/365))</f>
        <v>1411.4064736260395</v>
      </c>
      <c r="LA345" s="169">
        <f t="shared" ca="1" si="1347"/>
        <v>1.0302235215128204</v>
      </c>
      <c r="LB345" s="169">
        <f t="shared" ca="1" si="1348"/>
        <v>-0.39800984176283782</v>
      </c>
      <c r="LC345" s="169">
        <f ca="1">ACOS(-TAN((2*Control!$B$8/360))*TAN(Calculations!$LB345))</f>
        <v>1.4455099780627738</v>
      </c>
      <c r="LD345" s="169">
        <f ca="1">((24*60)/PI())*0.082*$LA345*(($LC345*SIN(Control!$B$8*2*PI()/360))*SIN($LB345)+COS(Control!$B$8*2*PI()/360)*COS($LB345)*SIN($LC345))</f>
        <v>4.7086208428245655</v>
      </c>
      <c r="LE345" s="170">
        <f t="shared" ca="1" si="1251"/>
        <v>6.4060130832123559</v>
      </c>
      <c r="LF345" s="170">
        <f ca="1">SIN(Control!$C$139*Control!$B$8)*SIN($HD345)</f>
        <v>-0.30452736399337454</v>
      </c>
      <c r="LG345" s="170">
        <f ca="1">COS(Control!$C$139*Control!$B$8)*COS($HD345)</f>
        <v>0.56782937976776593</v>
      </c>
      <c r="LH345" s="170">
        <f ca="1">12*(1+2*ASIN(MAX(-1,MIN(1,$LF345/$LG345))/Control!$C$138))</f>
        <v>7.8828084449753142</v>
      </c>
      <c r="LI345" s="170">
        <f ca="1">12*(1+2*ASIN(MAX(-1,MIN(1,(-SIN(-4*Control!$C$139)+$LF345)/$LG345))/Control!$C$138))</f>
        <v>8.8322700640160399</v>
      </c>
      <c r="LJ345" s="168">
        <f ca="1">3600*($LH345*$LF345+24*$LG345*SQRT(1-$LK345*$LK345)/Control!$C$138)</f>
        <v>4538.7442972077988</v>
      </c>
      <c r="LK345" s="170">
        <f t="shared" ca="1" si="1252"/>
        <v>-0.53630082352893027</v>
      </c>
      <c r="LL345" s="170">
        <f t="shared" ca="1" si="1253"/>
        <v>0</v>
      </c>
      <c r="LM345" s="171">
        <f ca="1">Control!$C$145*$AB345</f>
        <v>6.6660906138995932E-2</v>
      </c>
      <c r="LN345" s="170">
        <f t="shared" ca="1" si="1349"/>
        <v>0.54</v>
      </c>
      <c r="LO345" s="170">
        <f t="shared" ca="1" si="1254"/>
        <v>0</v>
      </c>
      <c r="LP345" s="170">
        <f ca="1">Control!$C$140*((($D345+273.16)^4+($E345+273.16)^4)/2)*(0.34-0.14*SQRT($Y345))*(1.35*$AQ345/(0.75*$LD345)-0.35)</f>
        <v>-3.2464704755046001</v>
      </c>
      <c r="LQ345" s="170">
        <f ca="1">Control!$C$140*($G345+273)^4*(0.56-0.079*SQRT($Y345*10))*(0.1+0.9*$LO345)</f>
        <v>1.5241745131704001</v>
      </c>
      <c r="LR345" s="170">
        <f ca="1">$AQ345*(1-Control!$C$142)-$LQ345</f>
        <v>-1.5241745131704001</v>
      </c>
      <c r="LS345" s="170">
        <f ca="1">$AQ345*(1-Control!$C$143)-$LQ345</f>
        <v>-1.5241745131704001</v>
      </c>
      <c r="LT345" s="170">
        <f ca="1">$AQ345*(1-Control!$C$144)-$LQ345</f>
        <v>-1.5241745131704001</v>
      </c>
      <c r="LU345" s="169">
        <f ca="1">(1-Control!$C$144)*AQ345-LP345</f>
        <v>3.2464704755046001</v>
      </c>
      <c r="LV345" s="172">
        <f t="shared" ca="1" si="1255"/>
        <v>0.79430000000000012</v>
      </c>
      <c r="LW345" s="170">
        <f t="shared" ca="1" si="1256"/>
        <v>1.5886000000000002</v>
      </c>
      <c r="LX345" s="170">
        <f ca="1">($AC345*($LR345/Control!$C$141)+$LM345*$LV345)/($AC345+$LM345)</f>
        <v>0.23530094218323697</v>
      </c>
      <c r="LY345" s="170">
        <f ca="1">($AC345*($LS345/Control!$C$141)+$LM345*$LV345)/($AC345+$LM345)</f>
        <v>0.23530094218323697</v>
      </c>
      <c r="LZ345" s="170">
        <f t="shared" ca="1" si="1257"/>
        <v>0.23530094218323697</v>
      </c>
      <c r="MA345" s="170">
        <f t="shared" ca="1" si="1258"/>
        <v>0.23530094218323697</v>
      </c>
      <c r="MB345" s="170" t="e">
        <f t="shared" ca="1" si="1259"/>
        <v>#N/A</v>
      </c>
      <c r="MC345" s="170">
        <f t="shared" ca="1" si="1350"/>
        <v>0.6018</v>
      </c>
      <c r="MD345" s="170">
        <f t="shared" ca="1" si="1260"/>
        <v>0.52989392535414004</v>
      </c>
      <c r="ME345" s="170">
        <f ca="1">($AC345*($LT345/Control!$C$141)+$LM345*$LW345)/($AC345+$LM345)</f>
        <v>0.71612369323045078</v>
      </c>
      <c r="MF345" s="170" t="e">
        <f ca="1">IF(Control!$B$16&gt;=1000,0.92,IF(AND(720&lt;=Control!$B$16,1000&gt;Control!$B$16),(0.95+(Control!$B$16-720)*((0.92-0.95)/(1000-720))),IF(AND(360&lt;=Control!$B$16,720&gt;Control!$B$16),(1+(Control!$B$16-360)*((0.95-1)/(720-360))),IF(AND(40&lt;=Control!$B$16,360&gt;Control!$B$16),(1.05+(Control!$B$16-40)*((1.05-1)/(360-40)))))))</f>
        <v>#N/A</v>
      </c>
      <c r="MG345" s="170">
        <f t="shared" ca="1" si="1261"/>
        <v>0.71612369323045078</v>
      </c>
      <c r="MH345" s="170" t="e">
        <f t="shared" ca="1" si="1262"/>
        <v>#N/A</v>
      </c>
      <c r="MI345" s="170" t="e">
        <f t="shared" ca="1" si="1262"/>
        <v>#N/A</v>
      </c>
      <c r="MJ345" s="170" t="e">
        <f ca="1">MAX(0.0001, Control!$C$132*$MI345*$DL345)</f>
        <v>#N/A</v>
      </c>
      <c r="MK345" s="170">
        <f ca="1">1/(0.76+1.5*($MG345/10))-(5-Control!$C$110)*0.1</f>
        <v>1.002845988140797</v>
      </c>
      <c r="ML345" s="173">
        <f ca="1">IF(Control!$C$110&lt;3,$MK345+($MG345-0.6)/(Control!$C$110*(Control!$C$110+3)), MAX(0.1, MIN(0.95,$MK345)))</f>
        <v>0.95</v>
      </c>
      <c r="MM345" s="173">
        <f ca="1">IF(Control!$C$110&lt;3,$MK345+(($MI345/10)-0.6)/(Control!$C$110*(Control!$C$110+3)), MAX(0.1, MIN(0.95,$MK345)))</f>
        <v>0.95</v>
      </c>
      <c r="MN345" s="173">
        <f ca="1">(1-$MM345)*(Control!$C$128-Control!$C$127)+Control!$C$127</f>
        <v>0.16</v>
      </c>
      <c r="MO345" s="170" t="e">
        <f ca="1">MAX(0,MIN(1,($MS345-Control!$C$127)/($MN345-Control!$C$127)))</f>
        <v>#DIV/0!</v>
      </c>
      <c r="MP345" s="173" t="e">
        <f ca="1">1/(0.76+1.5*$MI345)-(5-Control!$C$110)*0.1</f>
        <v>#N/A</v>
      </c>
      <c r="MQ345" s="172" t="e">
        <f t="shared" ca="1" si="1379"/>
        <v>#DIV/0!</v>
      </c>
      <c r="MR345" s="168" t="e">
        <f t="shared" ca="1" si="1351"/>
        <v>#DIV/0!</v>
      </c>
      <c r="MS345" s="173" t="e">
        <f ca="1">MAX(Control!$C$127, MIN(Control!$C$135, $MR345/MAX(0.0001,$CY345)))</f>
        <v>#DIV/0!</v>
      </c>
      <c r="MT345" s="168" t="e">
        <f ca="1">(Control!$C$128-$MS345)*Control!$C$74</f>
        <v>#DIV/0!</v>
      </c>
      <c r="MU345" s="168" t="e">
        <f ca="1">(Control!$C$135-$MS345)*Control!$C$74</f>
        <v>#DIV/0!</v>
      </c>
      <c r="MV345" s="168" t="e">
        <f t="shared" ca="1" si="1352"/>
        <v>#DIV/0!</v>
      </c>
      <c r="MW345" s="168" t="e">
        <f t="shared" ca="1" si="1353"/>
        <v>#DIV/0!</v>
      </c>
      <c r="MX345" s="171" t="e">
        <f ca="1">MAX(Control!$C$127, MIN(Control!$C$135, $MW345/MAX(0.0001,Control!$C$119-$CY345)))</f>
        <v>#DIV/0!</v>
      </c>
      <c r="MY345" s="54" t="e">
        <f ca="1">IF(Control!$C$114=1, $CX345*$MX345, 0)</f>
        <v>#DIV/0!</v>
      </c>
      <c r="MZ345" s="54" t="e">
        <f t="shared" ca="1" si="1354"/>
        <v>#N/A</v>
      </c>
      <c r="NA345" s="168" t="e">
        <f ca="1">(Control!$C$128-$MX345)*(Control!$C$119-Control!$C$74)</f>
        <v>#DIV/0!</v>
      </c>
      <c r="NB345" s="168" t="e">
        <f ca="1">(Control!$C$135-$MX345)*(Control!$C$119-Control!$C$74)</f>
        <v>#DIV/0!</v>
      </c>
      <c r="NC345" s="174" t="e">
        <f t="shared" ca="1" si="1355"/>
        <v>#DIV/0!</v>
      </c>
      <c r="ND345" s="54">
        <f ca="1">IF(Control!$C$58=2, IF(OR(Control!$B$218=$AH345,Control!$B$219=$AH345, Control!$B$220=$AH345, Control!$B$221=$AH345, Control!$B$222=$AH345, Control!$B$223=$AH345, Control!$B$224=$AH345, Control!$B$225=$AH345, Control!$B$226=$AH345, Control!$B$227=$AH345, Control!$B$228=$AH345), 1, 0), 0)</f>
        <v>0</v>
      </c>
      <c r="NE345" s="54">
        <f ca="1">IF($ND345=0,0, VLOOKUP($AH345,Control!$B$218:$C$228,2))</f>
        <v>0</v>
      </c>
      <c r="NF345" s="168" t="e">
        <f ca="1">$CY345*(Control!$C$128-Control!$C$127)</f>
        <v>#N/A</v>
      </c>
      <c r="NG345" s="54" t="e">
        <f ca="1">IF(Control!$C$58=2, $NI344-$NJ344, 0)</f>
        <v>#DIV/0!</v>
      </c>
      <c r="NH345" s="54" t="e">
        <f ca="1">IF(AND(Control!$C$58=1, $MS344&lt;= ($MN344+0.02), $I344&lt;10), 0, IF(Control!$C$58=2, $NG344, 0))</f>
        <v>#DIV/0!</v>
      </c>
      <c r="NI345" s="54" t="e">
        <f ca="1">IF(Control!$C$58=2, $NE345+$NH345,0)</f>
        <v>#DIV/0!</v>
      </c>
      <c r="NJ345" s="54" t="e">
        <f ca="1">IF(AND(Control!$C$58=1, $MS345&lt;= ($MN345+0.02), $I345&lt;10), MAX(0, MIN(10, 0.7*($NF345-$MV345))), IF(Control!$C$58=2, MIN(10,$NI345),0))</f>
        <v>#DIV/0!</v>
      </c>
      <c r="NK345" s="54" t="e">
        <f t="shared" ca="1" si="1263"/>
        <v>#DIV/0!</v>
      </c>
      <c r="NL345" s="173" t="e">
        <f ca="1">(1-Control!$C$73)*$I345+$NJ345</f>
        <v>#DIV/0!</v>
      </c>
      <c r="NM345" s="172" t="e">
        <f ca="1">IF($NL345&lt;0.5, $MB345* MAX(0, MIN(1, (SQRT($NC345)-SQRT($NC345-1))*Control!$C$71)),0)</f>
        <v>#DIV/0!</v>
      </c>
      <c r="NN345" s="170" t="e">
        <f ca="1">IF($NL345&gt;=5, $MB345, MAX(0,MIN($MB345, $NM345+$NL345,($MS345-Control!$C$129))))</f>
        <v>#DIV/0!</v>
      </c>
      <c r="NO345" s="54">
        <f>IF(Control!$C$133&lt;&gt;1, Control!$C$135-Control!$C$131, 0)</f>
        <v>0.38</v>
      </c>
      <c r="NP345" s="54" t="e">
        <f t="shared" ca="1" si="1264"/>
        <v>#DIV/0!</v>
      </c>
      <c r="NQ345" s="173" t="e">
        <f ca="1">MAX(0,MIN(1,(Control!$C$135-$MS345)/(Control!$C$135-$NO345)))</f>
        <v>#DIV/0!</v>
      </c>
      <c r="NR345" s="170" t="e">
        <f ca="1">IF(Control!$C$133&lt;&gt;1, $NQ345+((1-$NP345/4)*(1-$NQ345)),1)</f>
        <v>#DIV/0!</v>
      </c>
      <c r="NS345" s="170" t="e">
        <f ca="1">IF(Control!$B$31=0,$MJ345,MAX(0,MIN($MV345,$MO345*$NR345*$MJ345)))</f>
        <v>#DIV/0!</v>
      </c>
      <c r="NT345" s="170" t="e">
        <f t="shared" ca="1" si="1380"/>
        <v>#DIV/0!</v>
      </c>
      <c r="NU345" s="170" t="e">
        <f t="shared" ca="1" si="1356"/>
        <v>#N/A</v>
      </c>
      <c r="NV345" s="170" t="e">
        <f t="shared" ca="1" si="1265"/>
        <v>#N/A</v>
      </c>
      <c r="NW345" s="175" t="e">
        <f t="shared" ca="1" si="1266"/>
        <v>#DIV/0!</v>
      </c>
      <c r="NX345" s="170" t="e">
        <f ca="1">MIN(Control!$C$72+$MU345, $NW345)</f>
        <v>#DIV/0!</v>
      </c>
      <c r="NY345" s="170" t="e">
        <f ca="1">IF($MT345&lt;=$NX345,MIN(Control!$C$72+$NB345,$NX345-$MT345),0)</f>
        <v>#DIV/0!</v>
      </c>
      <c r="NZ345" s="54" t="e">
        <f ca="1">IF(Control!$C$114=1,  $CX345*($MX345-Control!$C$127), 0)</f>
        <v>#DIV/0!</v>
      </c>
      <c r="OA345" s="170" t="e">
        <f t="shared" ca="1" si="1267"/>
        <v>#DIV/0!</v>
      </c>
      <c r="OB345" s="170" t="e">
        <f ca="1">IF($NA345 &lt;=$NY345, MIN(Control!$C$72, $NY345-$NA345), 0)</f>
        <v>#DIV/0!</v>
      </c>
      <c r="OC345" s="168" t="e">
        <f t="shared" ca="1" si="1268"/>
        <v>#DIV/0!</v>
      </c>
      <c r="OD345" s="168" t="e">
        <f t="shared" ca="1" si="1357"/>
        <v>#DIV/0!</v>
      </c>
      <c r="OE345" s="170">
        <f ca="1">Control!$C$73*$I345</f>
        <v>0</v>
      </c>
      <c r="OF345" s="176" t="e">
        <f t="shared" ca="1" si="1269"/>
        <v>#DIV/0!</v>
      </c>
      <c r="OG345" s="168" t="e">
        <f t="shared" ca="1" si="1270"/>
        <v>#DIV/0!</v>
      </c>
      <c r="OH345" s="168" t="e">
        <f t="shared" ca="1" si="1271"/>
        <v>#DIV/0!</v>
      </c>
      <c r="OI345" s="168" t="e">
        <f t="shared" ca="1" si="1272"/>
        <v>#DIV/0!</v>
      </c>
      <c r="OJ345" s="168" t="e">
        <f t="shared" ca="1" si="1273"/>
        <v>#DIV/0!</v>
      </c>
      <c r="OK345" s="204" t="e">
        <f t="shared" ca="1" si="1274"/>
        <v>#DIV/0!</v>
      </c>
      <c r="OL345" s="177">
        <f>Control!$C$127</f>
        <v>0.15</v>
      </c>
      <c r="OM345" s="182" t="e">
        <f t="shared" ca="1" si="1275"/>
        <v>#N/A</v>
      </c>
      <c r="ON345" s="177">
        <f>Control!$C$128</f>
        <v>0.35</v>
      </c>
      <c r="OO345" s="182" t="e">
        <f t="shared" ca="1" si="1276"/>
        <v>#N/A</v>
      </c>
      <c r="OP345" s="138">
        <f t="shared" ca="1" si="1358"/>
        <v>0</v>
      </c>
      <c r="OQ345" s="138" t="e">
        <f t="shared" ca="1" si="1381"/>
        <v>#DIV/0!</v>
      </c>
      <c r="OR345" s="138" t="e">
        <f t="shared" ca="1" si="1359"/>
        <v>#DIV/0!</v>
      </c>
      <c r="OS345" s="137" t="e">
        <f t="shared" ca="1" si="1382"/>
        <v>#DIV/0!</v>
      </c>
      <c r="OT345" s="139" t="e">
        <f t="shared" ca="1" si="1383"/>
        <v>#DIV/0!</v>
      </c>
      <c r="OU345" s="138" t="e">
        <f t="shared" ca="1" si="1384"/>
        <v>#N/A</v>
      </c>
      <c r="OV345" s="138" t="e">
        <f t="shared" ca="1" si="1385"/>
        <v>#DIV/0!</v>
      </c>
      <c r="OW345" s="138" t="e">
        <f t="shared" ca="1" si="1360"/>
        <v>#DIV/0!</v>
      </c>
      <c r="OX345" s="138" t="e">
        <f t="shared" ca="1" si="1361"/>
        <v>#DIV/0!</v>
      </c>
      <c r="OY345" s="138" t="e">
        <f t="shared" ca="1" si="1362"/>
        <v>#DIV/0!</v>
      </c>
      <c r="OZ345" s="138" t="e">
        <f t="shared" ca="1" si="1277"/>
        <v>#DIV/0!</v>
      </c>
      <c r="PA345" s="138" t="e">
        <f t="shared" ca="1" si="1278"/>
        <v>#DIV/0!</v>
      </c>
      <c r="PB345" s="55">
        <f>IF(Control!$C$61="T", IF(Control!$C$65="F", IF($AH$6-Control!$C$60&lt;0,0,1), IF(365+$AH$6-Control!$C$60&lt;0,0,1)),0)</f>
        <v>0</v>
      </c>
      <c r="PC345" s="55">
        <f ca="1">IF(Control!$C$65="F", IF($AH$6-$HF345&lt;0,0,1), IF(365+$AH$6-$HF345&lt;0,0,1))</f>
        <v>1</v>
      </c>
      <c r="PD345" s="444">
        <f>Control!$C$118</f>
        <v>1500</v>
      </c>
      <c r="PE345" s="180" t="e">
        <f t="shared" ca="1" si="1279"/>
        <v>#N/A</v>
      </c>
      <c r="PF345" s="445">
        <f t="shared" ca="1" si="1363"/>
        <v>0.71612369323045078</v>
      </c>
      <c r="PT345" s="186"/>
      <c r="PU345" s="186"/>
      <c r="PV345" s="94"/>
      <c r="PW345" s="94"/>
      <c r="PX345" s="94"/>
      <c r="PY345" s="94"/>
      <c r="PZ345" s="94"/>
      <c r="QA345" s="94"/>
      <c r="QB345" s="94"/>
      <c r="QC345" s="94"/>
      <c r="QD345" s="94"/>
      <c r="QE345" s="94"/>
      <c r="QF345" s="94"/>
      <c r="QG345" s="94"/>
      <c r="QH345" s="94"/>
      <c r="QI345" s="94"/>
      <c r="QJ345" s="94"/>
      <c r="QK345" s="94"/>
      <c r="QL345" s="94"/>
      <c r="QM345" s="94"/>
      <c r="QN345" s="94"/>
      <c r="QO345" s="94"/>
      <c r="QP345" s="94"/>
    </row>
    <row r="346" spans="1:458" s="2" customFormat="1" x14ac:dyDescent="0.2">
      <c r="A346" s="395">
        <v>7</v>
      </c>
      <c r="B346" s="396">
        <v>12</v>
      </c>
      <c r="C346" s="387">
        <f ca="1">Weather_data!$B345</f>
        <v>0</v>
      </c>
      <c r="D346" s="388">
        <f ca="1">Weather_data!$F345</f>
        <v>0</v>
      </c>
      <c r="E346" s="388">
        <f ca="1">Weather_data!$E345</f>
        <v>0</v>
      </c>
      <c r="F346" s="388">
        <f t="shared" ca="1" si="1280"/>
        <v>0</v>
      </c>
      <c r="G346" s="388">
        <f ca="1">AVERAGE($D346:$E346)+Control!$B$9</f>
        <v>0</v>
      </c>
      <c r="H346" s="388">
        <f ca="1">Weather_data!$G345</f>
        <v>0</v>
      </c>
      <c r="I346" s="388">
        <f ca="1">Weather_data!$I345</f>
        <v>0</v>
      </c>
      <c r="J346" s="388">
        <f ca="1">Weather_data!$H345</f>
        <v>0</v>
      </c>
      <c r="K346" s="389">
        <f ca="1">Weather_data!$D345</f>
        <v>0</v>
      </c>
      <c r="L346" s="388" t="e">
        <f t="shared" ca="1" si="1281"/>
        <v>#N/A</v>
      </c>
      <c r="M346" s="388" t="e">
        <f t="shared" ca="1" si="1158"/>
        <v>#N/A</v>
      </c>
      <c r="N346" s="388">
        <f t="shared" ca="1" si="1159"/>
        <v>-1.3849153015916213E-16</v>
      </c>
      <c r="O346" s="388">
        <f t="shared" ca="1" si="1282"/>
        <v>1.3849153015916214E-15</v>
      </c>
      <c r="P346" s="390">
        <v>3</v>
      </c>
      <c r="Q346" s="388">
        <f ca="1">MAX($G346-Control!$C$107,0)</f>
        <v>0</v>
      </c>
      <c r="R346" s="388">
        <f t="shared" ca="1" si="1283"/>
        <v>0</v>
      </c>
      <c r="S346" s="388">
        <f t="shared" ca="1" si="1160"/>
        <v>0</v>
      </c>
      <c r="T346" s="388">
        <f t="shared" ca="1" si="1161"/>
        <v>0</v>
      </c>
      <c r="U346" s="59">
        <f t="shared" ca="1" si="1162"/>
        <v>0</v>
      </c>
      <c r="V346" s="391">
        <f ca="1">MAX(0,MIN(Control!$C$100-Control!$C$99,$G346-Control!$C$99)*Control!$C$63)</f>
        <v>0</v>
      </c>
      <c r="W346" s="388">
        <f t="shared" ca="1" si="1284"/>
        <v>0</v>
      </c>
      <c r="X346" s="388">
        <f t="shared" ca="1" si="1285"/>
        <v>0.6110000000000001</v>
      </c>
      <c r="Y346" s="388">
        <f t="shared" ca="1" si="1163"/>
        <v>0</v>
      </c>
      <c r="Z346" s="388">
        <f t="shared" ca="1" si="1286"/>
        <v>0.61058800000000002</v>
      </c>
      <c r="AA346" s="388">
        <f t="shared" ca="1" si="1164"/>
        <v>0.6018</v>
      </c>
      <c r="AB346" s="388">
        <f ca="1">101.3*EXP(-0.034*Control!$C$66/($G346+273))</f>
        <v>100.69623283836242</v>
      </c>
      <c r="AC346" s="392">
        <f t="shared" ca="1" si="1165"/>
        <v>4.3460251046025113E-2</v>
      </c>
      <c r="AD346" s="392">
        <f t="shared" ca="1" si="1166"/>
        <v>4.4450382862832649E-2</v>
      </c>
      <c r="AE346" s="388">
        <f t="shared" ca="1" si="1167"/>
        <v>0</v>
      </c>
      <c r="AF346" s="388">
        <f ca="1">MAX(0,$G346-Control!$C$92)</f>
        <v>0</v>
      </c>
      <c r="AG346" s="393">
        <f t="shared" ca="1" si="1168"/>
        <v>342</v>
      </c>
      <c r="AH346" s="389">
        <f t="shared" ca="1" si="1169"/>
        <v>342</v>
      </c>
      <c r="AI346" s="388">
        <f t="shared" ca="1" si="1287"/>
        <v>-0.39849065830192265</v>
      </c>
      <c r="AJ346" s="388">
        <f ca="1">IF(Control!$C$60&lt;=0,$HH346,$HI346)</f>
        <v>1</v>
      </c>
      <c r="AK346" s="388">
        <f t="shared" ca="1" si="1170"/>
        <v>4.5101220561124702</v>
      </c>
      <c r="AL346" s="388">
        <f t="shared" ca="1" si="1171"/>
        <v>-7.2135943052220599E-18</v>
      </c>
      <c r="AM346" s="388">
        <f t="shared" ca="1" si="1172"/>
        <v>4.5101220561124702</v>
      </c>
      <c r="AN346" s="388">
        <f t="shared" ca="1" si="1173"/>
        <v>-0.40029531292084064</v>
      </c>
      <c r="AO346" s="388">
        <f ca="1">-0.10453/COS(Control!$B$8*PI()/180)*COS(AN346)</f>
        <v>-0.15636268369096931</v>
      </c>
      <c r="AP346" s="388">
        <f ca="1">ACOS(AO346-TAN(Control!$B$8*PI()/180)*TAN(AN346))</f>
        <v>1.1753354194673578</v>
      </c>
      <c r="AQ346" s="388">
        <f t="shared" ca="1" si="1288"/>
        <v>0</v>
      </c>
      <c r="AR346" s="394">
        <f t="shared" ca="1" si="1174"/>
        <v>0</v>
      </c>
      <c r="AS346" s="436">
        <f ca="1">IF(Control!$B$18=2,(IF(OR($AH346=Control!$B$175,$AH346=Control!$B$176,$AH346=Control!$B$177,$AH346=Control!$B$178,$AH346=Control!$B$179,$AH346=Control!$B$180,$AH346=Control!$B$181,$AH346=Control!$B$182,$AH346=Control!$B$183,$AH346=Control!$B$184,$AH346=Control!$B$185),1,0)),0)</f>
        <v>0</v>
      </c>
      <c r="AT346" s="436">
        <f>IF(Control!$B$20=8,IF(AND($AH346&gt;=Control!$B$172,$AH346&lt;=Control!$B$173),1,0),0)</f>
        <v>0</v>
      </c>
      <c r="AU346" s="436">
        <f>IF(Control!$B$20=8,IF($AV345=1,1*$AT346,IF($AT346=1,$AU345+1,$AU345)),0)</f>
        <v>0</v>
      </c>
      <c r="AV346" s="436">
        <f>IF(Control!$B$20=8,IF($AU346&gt;=Control!$B$174,1,0),0)</f>
        <v>0</v>
      </c>
      <c r="AW346" s="436">
        <f ca="1">IF(AND(Control!$B$18=2,Control!$B$171=1), $AV346, $AS346)</f>
        <v>0</v>
      </c>
      <c r="AX346" s="436" t="e">
        <f ca="1">IF(AND(Control!$B$18=1,$EU346&gt;=Control!$B$19),-$AY346,IF(AND(Control!$B$18=2,$AW346=1,$EU346&gt;$DS346),-$AY346, IF(Control!$C$108=0,0, IF(Control!$C$108&lt;&gt;0,1))))</f>
        <v>#N/A</v>
      </c>
      <c r="AY346" s="436" t="e">
        <f t="shared" ca="1" si="1289"/>
        <v>#N/A</v>
      </c>
      <c r="AZ346" s="436" t="e">
        <f ca="1">IF(AND(Control!$B$18=1,$EB346&gt;Control!$B$19),$AZ345+1, IF(AND(Control!$B$18=2, $AW346=1, $EB346&gt;$DS346), $AZ345+1,$AZ345))</f>
        <v>#N/A</v>
      </c>
      <c r="BA346" s="587">
        <f>IF(Control!$C$81=0,1,IF($AH346&gt;=Control!$C$82,1,0))</f>
        <v>1</v>
      </c>
      <c r="BB346" s="140" t="e">
        <f ca="1">IF($BA346&gt;$BA345,Control!$C$83,IF($AW346&gt;0,$AW346*Control!$C$84,IF(AND(Control!$B$18=1,EN345&lt;&gt;0),Control!$C$84,0)))</f>
        <v>#N/A</v>
      </c>
      <c r="BC346" s="140" t="e">
        <f t="shared" ca="1" si="1290"/>
        <v>#N/A</v>
      </c>
      <c r="BD346" s="140" t="e">
        <f ca="1">BC346*IF(OR($G346&lt;Control!$C$92,$G346&gt;Control!$C$95),0,IF(AND($G346&gt;=Control!$C$92,$G346&lt;=Control!$C$93),$G346-Control!$C$92,IF(AND($G346&gt;Control!$C$93,$G346&lt;=Control!$C$94),Control!$C$93-Control!$C$92,IF(AND($G346&gt;Control!$C$94,$G346&lt;=Control!$C$95),(Control!$C$93-Control!$C$92)*(Control!$C$94-$G346)/(Control!$C$95-Control!$C$94)))))</f>
        <v>#N/A</v>
      </c>
      <c r="BE346" s="140" t="e">
        <f t="shared" ca="1" si="1291"/>
        <v>#N/A</v>
      </c>
      <c r="BF346" s="140" t="e">
        <f ca="1">IF($BE346&lt;=Control!$C$86,$BE346,Control!$C$86-$BE346)</f>
        <v>#N/A</v>
      </c>
      <c r="BG346" s="140" t="e">
        <f ca="1">IF(AND($AW346=1,Control!$C$84&lt;9),1,IF($BE346&gt;=Control!$C$86,0,$BC346))</f>
        <v>#N/A</v>
      </c>
      <c r="BH346" s="404" t="e">
        <f ca="1">IF($BG346=0,0,IF($BE346&lt;=Control!$C$86,$BC346*9*($BF346/Control!$C$86),0))</f>
        <v>#N/A</v>
      </c>
      <c r="BI346" s="140" t="e">
        <f ca="1">IF($BG346=1,0,IF($BE346&gt;=Control!$C$86,1,IF(AND($BB346&lt;21,$BB346&gt;=9),1,$BM345)))</f>
        <v>#N/A</v>
      </c>
      <c r="BJ346" s="140" t="e">
        <f ca="1">IF($BF346&lt;0,-$BF346,$BI346*IF(OR($G346&lt;Control!$C$92,$G346&gt;Control!$C$95),0,IF(AND($G346&gt;=Control!$C$92,$G346&lt;=Control!$C$93),$G346-Control!$C$92,IF(AND($G346&gt;Control!$C$93,$G346&lt;=Control!$C$94),Control!$C$93-Control!$C$92,IF(AND($G346&gt;Control!$C$94,$G346&lt;=Control!$C$95),(Control!$C$93-Control!$C$92)*(Control!$C$94-$G346)/(Control!$C$95-Control!$C$94))))))</f>
        <v>#N/A</v>
      </c>
      <c r="BK346" s="140" t="e">
        <f t="shared" ca="1" si="1292"/>
        <v>#N/A</v>
      </c>
      <c r="BL346" s="140" t="e">
        <f ca="1">IF($BK346&lt;=Control!$C$87,$BK346,Control!$C$87-$BK346)</f>
        <v>#N/A</v>
      </c>
      <c r="BM346" s="140" t="e">
        <f ca="1">IF(AND($BB346&gt;=9,$BB346&lt;21),1,IF($BK346&gt;=Control!$C$87,0,$BI346))</f>
        <v>#N/A</v>
      </c>
      <c r="BN346" s="404" t="e">
        <f ca="1">IF($BM346=0,0,IF($BK346&lt;=Control!$C$87,$BI346*(9+(21-9)*($BL346/Control!$C$87)),0))</f>
        <v>#N/A</v>
      </c>
      <c r="BO346" s="140" t="e">
        <f ca="1">IF($BM346=1,0,IF($BK346&gt;=Control!$C$87,1,IF(AND($BB346&lt;30,$BB346&gt;=21),1,$BS345)))</f>
        <v>#N/A</v>
      </c>
      <c r="BP346" s="140" t="e">
        <f ca="1">IF($BL346&lt;0,-$BL346,$BO346*IF(OR($G346&lt;Control!$C$92,$G346&gt;Control!$C$95),0,IF(AND($G346&gt;=Control!$C$92,$G346&lt;=Control!$C$93),$G346-Control!$C$92,IF(AND($G346&gt;Control!$C$93,$G346&lt;=Control!$C$94),Control!$C$93-Control!$C$92,IF(AND($G346&gt;Control!$C$94,$G346&lt;=Control!$C$95),(Control!$C$93-Control!$C$92)*(Control!$C$94-$G346)/(Control!$C$95-Control!$C$94))))))</f>
        <v>#N/A</v>
      </c>
      <c r="BQ346" s="140" t="e">
        <f t="shared" ca="1" si="1175"/>
        <v>#N/A</v>
      </c>
      <c r="BR346" s="140" t="e">
        <f ca="1">IF($BQ346&lt;=Control!$C$88,$BQ346,Control!$C$88-$BQ346)</f>
        <v>#N/A</v>
      </c>
      <c r="BS346" s="140" t="e">
        <f ca="1">IF(AND($BB346&gt;=21,$BB346&lt;30),1,IF($BQ346&gt;=Control!$C$88,0,$BO346))</f>
        <v>#N/A</v>
      </c>
      <c r="BT346" s="404" t="e">
        <f ca="1">IF($BS346=0,0,IF($BQ346&lt;=Control!$C$88,$BO346*(21+(30-21)*(BR346/Control!$C$88)),0))</f>
        <v>#N/A</v>
      </c>
      <c r="BU346" s="140" t="e">
        <f ca="1">IF(BG346+BM346+BS346=1,0,IF(OR(AND($BB346&lt;60,$BB346&gt;=30),$BQ346&gt;=Control!$C$88),1*$BA346,$BY345))</f>
        <v>#N/A</v>
      </c>
      <c r="BV346" s="140" t="e">
        <f ca="1">IF($BR346&lt;0,-$BR346,$BU346*IF(OR($G346&lt;Control!$C$92,$G346&gt;Control!$C$95),0,IF(AND($G346&gt;=Control!$C$92,$G346&lt;=Control!$C$93),$G346-Control!$C$92,IF(AND($G346&gt;Control!$C$93,$G346&lt;=Control!$C$94),Control!$C$93-Control!$C$92,IF(AND($G346&gt;Control!$C$94,$G346&lt;=Control!$C$95),(Control!$C$93-Control!$C$92)*(Control!$C$94-$G346)/(Control!$C$95-Control!$C$94))))))</f>
        <v>#N/A</v>
      </c>
      <c r="BW346" s="140" t="e">
        <f t="shared" ca="1" si="1176"/>
        <v>#N/A</v>
      </c>
      <c r="BX346" s="140" t="e">
        <f ca="1">IF($BW346&lt;=Control!$C$89,$BW346,Control!$C$89-$BW346)</f>
        <v>#N/A</v>
      </c>
      <c r="BY346" s="140" t="e">
        <f ca="1">IF(AND($AJ346&gt;=30,$AJ346&lt;60),1,IF($BW346&gt;=Control!$C$89,0,$BU346))</f>
        <v>#N/A</v>
      </c>
      <c r="BZ346" s="404" t="e">
        <f ca="1">IF($BY346=0,0,IF($BW346&lt;=Control!$C$89,$BU346*(30+(60-30)*(BX346/Control!$C$89)),0))</f>
        <v>#N/A</v>
      </c>
      <c r="CA346" s="140" t="e">
        <f ca="1">IF($BG346+$BM346+$BS346+$BY346=1,0,IF(OR(AND($BB346&lt;65,$BB346&gt;=60),$BW346&gt;=Control!$C$89),1*$BA346,$CE345))</f>
        <v>#N/A</v>
      </c>
      <c r="CB346" s="140" t="e">
        <f ca="1">IF($BX346&lt;0,-$BX346,$CA346*IF(OR($G346&lt;Control!$C$92,$G346&gt;Control!$C$95),0,IF(AND($G346&gt;=Control!$C$92,$G346&lt;=Control!$C$93),$G346-Control!$C$92,IF(AND($G346&gt;Control!$C$93,$G346&lt;=Control!$C$94),Control!$C$93-Control!$C$92,IF(AND($G346&gt;Control!$C$94,$G346&lt;=Control!$C$95),(Control!$C$93-Control!$C$92)*(Control!$C$94-$G346)/(Control!$C$95-Control!$C$94))))))</f>
        <v>#N/A</v>
      </c>
      <c r="CC346" s="140" t="e">
        <f t="shared" ca="1" si="1293"/>
        <v>#N/A</v>
      </c>
      <c r="CD346" s="140" t="e">
        <f ca="1">IF($CC346&lt;=Control!$C$90,$CC346,Control!$C$90-$CC346)</f>
        <v>#N/A</v>
      </c>
      <c r="CE346" s="140" t="e">
        <f ca="1">IF(AND($BB346&gt;=60,$BB346&lt;65),1,IF($CC346&gt;=Control!$C$90,0,$CA346))</f>
        <v>#N/A</v>
      </c>
      <c r="CF346" s="404" t="e">
        <f ca="1">IF($CE346=0,0,IF($CC346&lt;=Control!$C$90,$CA346*(60+(65-60)*(CD346/Control!$C$90)),0))</f>
        <v>#N/A</v>
      </c>
      <c r="CG346" s="140" t="e">
        <f ca="1">IF($BG346+$BM346+$BS346+$BY346+$CE346=1,0,IF(OR(AND($BB346&lt;90,$BB346&gt;=65),$CC346&gt;=Control!$C$90),$BA346,$CK345))</f>
        <v>#N/A</v>
      </c>
      <c r="CH346" s="140" t="e">
        <f ca="1">IF($CD346&lt;0,-$CD346,$CG346*IF(OR($G346&lt;Control!$C$92,$G346&gt;Control!$C$95),0,IF(AND($G346&gt;=Control!$C$92,$G346&lt;=Control!$C$93),$G346-Control!$C$92,IF(AND($G346&gt;Control!$C$93,$G346&lt;=Control!$C$94),Control!$C$93-Control!$C$92,IF(AND($G346&gt;Control!$C$94,$G346&lt;=Control!$C$95),(Control!$C$93-Control!$C$92)*(Control!$C$94-$G346)/(Control!$C$95-Control!$C$94))))))</f>
        <v>#N/A</v>
      </c>
      <c r="CI346" s="140" t="e">
        <f t="shared" ca="1" si="1294"/>
        <v>#N/A</v>
      </c>
      <c r="CJ346" s="140" t="e">
        <f ca="1">IF($CI346&lt;=Control!$C$91,$CI346,Control!$C$91-$CI346)</f>
        <v>#N/A</v>
      </c>
      <c r="CK346" s="140" t="e">
        <f ca="1">IF(AND($BB346&gt;=65,$BB346&lt;90),1,IF($CI346&gt;=Control!$C$91,0,$CG346))</f>
        <v>#N/A</v>
      </c>
      <c r="CL346" s="404" t="e">
        <f ca="1">IF($CK346=0,0,IF($CI346&lt;=Control!$C$91,$CG346*(65+(90-65)*($CJ346/Control!$C$91)),0))</f>
        <v>#N/A</v>
      </c>
      <c r="CM346" s="140" t="e">
        <f ca="1">IF($BG346+$BM346+$BS346+$BY346+$CE346+$CK346=1,0,IF(OR($BB346&gt;=90,$CI346&gt;=Control!$C$91),$BA346,$CM345))</f>
        <v>#N/A</v>
      </c>
      <c r="CN346" s="140" t="e">
        <f t="shared" ca="1" si="1295"/>
        <v>#N/A</v>
      </c>
      <c r="CO346" s="140" t="e">
        <f t="shared" ca="1" si="1296"/>
        <v>#N/A</v>
      </c>
      <c r="CP346" s="140" t="e">
        <f t="shared" ca="1" si="1297"/>
        <v>#N/A</v>
      </c>
      <c r="CQ346" s="141" t="e">
        <f ca="1">VLOOKUP($CP346,Control!$B$86:$G$91,6)</f>
        <v>#N/A</v>
      </c>
      <c r="CR346" s="141" t="e">
        <f ca="1">(1-$CQ346)*VLOOKUP($CP346,Control!$B$86:$D$91,3)</f>
        <v>#N/A</v>
      </c>
      <c r="CS346" s="141" t="e">
        <f ca="1">(1-$CQ346)*VLOOKUP($CP346,Control!$B$86:$E$91,4)</f>
        <v>#N/A</v>
      </c>
      <c r="CT346" s="141" t="e">
        <f ca="1">(1-$CQ346)*VLOOKUP($CP346,Control!$B$86:$F$91,5)</f>
        <v>#N/A</v>
      </c>
      <c r="CU346" s="141">
        <f t="shared" ca="1" si="1298"/>
        <v>0</v>
      </c>
      <c r="CV346" s="583">
        <f t="shared" ca="1" si="1299"/>
        <v>0</v>
      </c>
      <c r="CW346" s="142">
        <f t="shared" ca="1" si="1300"/>
        <v>342</v>
      </c>
      <c r="CX346" s="612" t="e">
        <f ca="1">IF(Control!$C$114=1,(MIN(Control!$C$120*(IF($NT346-0.01&lt;0,0,1)),Control!$C$119-$CY346)))</f>
        <v>#DIV/0!</v>
      </c>
      <c r="CY346" s="143" t="e">
        <f t="shared" ca="1" si="1301"/>
        <v>#N/A</v>
      </c>
      <c r="CZ346" s="144">
        <f t="shared" ca="1" si="1177"/>
        <v>0</v>
      </c>
      <c r="DA346" s="144">
        <f t="shared" ca="1" si="1178"/>
        <v>0</v>
      </c>
      <c r="DB346" s="144" t="e">
        <f t="shared" ca="1" si="1179"/>
        <v>#N/A</v>
      </c>
      <c r="DC346" s="144" t="e">
        <f t="shared" ca="1" si="1180"/>
        <v>#N/A</v>
      </c>
      <c r="DD346" s="144" t="e">
        <f t="shared" ca="1" si="1386"/>
        <v>#N/A</v>
      </c>
      <c r="DE346" s="143" t="e">
        <f t="shared" ca="1" si="1302"/>
        <v>#N/A</v>
      </c>
      <c r="DF346" s="145" t="e">
        <f ca="1">$DR346*EXP(-Control!$C$158*(1-$KH346))</f>
        <v>#N/A</v>
      </c>
      <c r="DG346" s="146" t="e">
        <f ca="1">IF(Control!$C$114=1, $DF346*$EY346, 0)</f>
        <v>#N/A</v>
      </c>
      <c r="DH346" s="147" t="e">
        <f t="shared" ca="1" si="1303"/>
        <v>#N/A</v>
      </c>
      <c r="DI346" s="144" t="e">
        <f t="shared" ca="1" si="1364"/>
        <v>#N/A</v>
      </c>
      <c r="DJ346" s="147" t="e">
        <f ca="1">$EF346*Control!$C$109</f>
        <v>#N/A</v>
      </c>
      <c r="DK346" s="144" t="e">
        <f t="shared" ca="1" si="1304"/>
        <v>#N/A</v>
      </c>
      <c r="DL346" s="144" t="e">
        <f t="shared" ca="1" si="1181"/>
        <v>#N/A</v>
      </c>
      <c r="DM346" s="144" t="e">
        <f ca="1">IF(Control!$C$114=1, (1-EXP(-Control!$C$96*$DK346))*$AR346, 0)</f>
        <v>#N/A</v>
      </c>
      <c r="DN346" s="144">
        <f t="shared" ca="1" si="1305"/>
        <v>0</v>
      </c>
      <c r="DO346" s="148">
        <f>Control!$C$97</f>
        <v>4</v>
      </c>
      <c r="DP346" s="145" t="e">
        <f t="shared" ca="1" si="1306"/>
        <v>#N/A</v>
      </c>
      <c r="DQ346" s="145" t="e">
        <f ca="1">IF(AND($CP346&gt;=0,$CP346&lt;=90),Control!$C$111,Control!$C$111)</f>
        <v>#N/A</v>
      </c>
      <c r="DR346" s="145" t="e">
        <f t="shared" ca="1" si="1182"/>
        <v>#N/A</v>
      </c>
      <c r="DS346" s="143" t="e">
        <f ca="1">Control!$B$22/$DR346</f>
        <v>#N/A</v>
      </c>
      <c r="DT346" s="149" t="e">
        <f ca="1">IF(AND(Control!$C$114=1,$KH346&lt;1),$IM346*$DF346, 0)</f>
        <v>#N/A</v>
      </c>
      <c r="DU346" s="144" t="e">
        <f t="shared" ca="1" si="1307"/>
        <v>#N/A</v>
      </c>
      <c r="DV346" s="144">
        <f ca="1">IF($G346-Control!$C$107&lt;=0, 0, 0.83*LN(MAX($G346, 3))-0.8924)</f>
        <v>0</v>
      </c>
      <c r="DW346" s="144" t="e">
        <f t="shared" ca="1" si="1183"/>
        <v>#N/A</v>
      </c>
      <c r="DX346" s="150" t="e">
        <f ca="1">MAX(0.01*(1+$CU346/Control!$C$102),0.05*($DK346-Control!$C$97)/Control!$C$97)</f>
        <v>#N/A</v>
      </c>
      <c r="DY346" s="151" t="e">
        <f ca="1">IF(Control!$C$114=1, $DI346*$FS346, 0)</f>
        <v>#N/A</v>
      </c>
      <c r="DZ346" s="196" t="e">
        <f t="shared" ca="1" si="1308"/>
        <v>#N/A</v>
      </c>
      <c r="EA346" s="152">
        <f t="shared" ca="1" si="1309"/>
        <v>342</v>
      </c>
      <c r="EB346" s="153" t="e">
        <f t="shared" ca="1" si="1310"/>
        <v>#N/A</v>
      </c>
      <c r="EC346" s="153" t="e">
        <f t="shared" ca="1" si="1311"/>
        <v>#N/A</v>
      </c>
      <c r="ED346" s="154" t="e">
        <f ca="1">IF(Control!$C$114=1, $HM346*$FY346-$FD346, 0)</f>
        <v>#DIV/0!</v>
      </c>
      <c r="EE346" s="155" t="e">
        <f ca="1">IF(Control!$C$114=1, $HM346*$FZ346-$FF346, 0)</f>
        <v>#DIV/0!</v>
      </c>
      <c r="EF346" s="153" t="e">
        <f t="shared" ca="1" si="1365"/>
        <v>#N/A</v>
      </c>
      <c r="EG346" s="155" t="e">
        <f ca="1">IF(Control!$C$114=1, $GX346*$FW346-$FI346, 0)</f>
        <v>#DIV/0!</v>
      </c>
      <c r="EH346" s="153" t="e">
        <f t="shared" ca="1" si="1312"/>
        <v>#N/A</v>
      </c>
      <c r="EI346" s="156" t="e">
        <f t="shared" ca="1" si="1313"/>
        <v>#N/A</v>
      </c>
      <c r="EJ346" s="155" t="e">
        <f ca="1">IF(Control!$C$114=1, $HM346*$GB346, 0)</f>
        <v>#DIV/0!</v>
      </c>
      <c r="EK346" s="153" t="e">
        <f t="shared" ca="1" si="1366"/>
        <v>#N/A</v>
      </c>
      <c r="EL346" s="153" t="e">
        <f t="shared" ca="1" si="1184"/>
        <v>#N/A</v>
      </c>
      <c r="EM346" s="153" t="e">
        <f t="shared" ca="1" si="1185"/>
        <v>#N/A</v>
      </c>
      <c r="EN346" s="153" t="e">
        <f ca="1">IF(Control!$C$108=1,IF(AND(Control!$B$18=1,$EB346&gt;=Control!$B$19),$EB346-$DS346,IF(AND(Control!$B$18=2,$AW346=1,$EB346&gt;$DS346),$EB346-$DS346,0)))</f>
        <v>#N/A</v>
      </c>
      <c r="EO346" s="153" t="e">
        <f ca="1">IF(Control!$C$108=1,IF(AND(Control!$B$18=1,$EB346&gt;=Control!$B$19),$EF346,IF(AND(Control!$B$18=2,$AW346=1),$EF346,0)))</f>
        <v>#N/A</v>
      </c>
      <c r="EP346" s="153" t="e">
        <f ca="1">IF(Control!$C$108=1,IF(AND(Control!$B$18=1,$EB346&gt;=Control!$B$19),$EK346,IF(AND(Control!$B$18=2,$AW346=1),$EK346,0)))</f>
        <v>#N/A</v>
      </c>
      <c r="EQ346" s="153" t="e">
        <f t="shared" ca="1" si="1314"/>
        <v>#N/A</v>
      </c>
      <c r="ER346" s="153" t="e">
        <f t="shared" ca="1" si="1315"/>
        <v>#N/A</v>
      </c>
      <c r="ES346" s="153" t="e">
        <f t="shared" ca="1" si="1367"/>
        <v>#N/A</v>
      </c>
      <c r="ET346" s="153" t="e">
        <f t="shared" ca="1" si="1368"/>
        <v>#N/A</v>
      </c>
      <c r="EU346" s="153" t="e">
        <f t="shared" ca="1" si="1316"/>
        <v>#N/A</v>
      </c>
      <c r="EV346" s="153" t="e">
        <f t="shared" ca="1" si="1186"/>
        <v>#N/A</v>
      </c>
      <c r="EW346" s="153" t="e">
        <f t="shared" ca="1" si="1187"/>
        <v>#N/A</v>
      </c>
      <c r="EX346" s="153" t="e">
        <f t="shared" ca="1" si="1188"/>
        <v>#N/A</v>
      </c>
      <c r="EY346" s="157" t="e">
        <f t="shared" ca="1" si="1189"/>
        <v>#DIV/0!</v>
      </c>
      <c r="EZ346" s="154" t="e">
        <f t="shared" ca="1" si="1190"/>
        <v>#DIV/0!</v>
      </c>
      <c r="FA346" s="153" t="e">
        <f t="shared" ca="1" si="1317"/>
        <v>#N/A</v>
      </c>
      <c r="FB346" s="153" t="e">
        <f t="shared" ca="1" si="1191"/>
        <v>#N/A</v>
      </c>
      <c r="FC346" s="193" t="e">
        <f t="shared" ca="1" si="1192"/>
        <v>#N/A</v>
      </c>
      <c r="FD346" s="158" t="e">
        <f t="shared" ca="1" si="1318"/>
        <v>#N/A</v>
      </c>
      <c r="FE346" s="158" t="e">
        <f t="shared" ca="1" si="1319"/>
        <v>#N/A</v>
      </c>
      <c r="FF346" s="159" t="e">
        <f t="shared" ca="1" si="1193"/>
        <v>#N/A</v>
      </c>
      <c r="FG346" s="160" t="e">
        <f t="shared" ca="1" si="1320"/>
        <v>#N/A</v>
      </c>
      <c r="FH346" s="158" t="e">
        <f t="shared" ca="1" si="1321"/>
        <v>#N/A</v>
      </c>
      <c r="FI346" s="159" t="e">
        <f t="shared" ca="1" si="1194"/>
        <v>#N/A</v>
      </c>
      <c r="FJ346" s="160" t="e">
        <f t="shared" ca="1" si="1322"/>
        <v>#N/A</v>
      </c>
      <c r="FK346" s="160" t="e">
        <f t="shared" ca="1" si="1195"/>
        <v>#N/A</v>
      </c>
      <c r="FL346" s="160" t="e">
        <f t="shared" ca="1" si="1369"/>
        <v>#N/A</v>
      </c>
      <c r="FM346" s="160" t="e">
        <f t="shared" ca="1" si="1196"/>
        <v>#N/A</v>
      </c>
      <c r="FN346" s="158">
        <f t="shared" ca="1" si="1323"/>
        <v>0.01</v>
      </c>
      <c r="FO346" s="160">
        <f>Control!$C$101</f>
        <v>50</v>
      </c>
      <c r="FP346" s="150" t="e">
        <f t="shared" ca="1" si="1197"/>
        <v>#N/A</v>
      </c>
      <c r="FQ346" s="150" t="e">
        <f ca="1">MAX(0,(Control!$C$112*(($DK346-Control!$C$97)/Control!$C$97)))</f>
        <v>#N/A</v>
      </c>
      <c r="FR346" s="150" t="e">
        <f ca="1">(1-$NT346)*Control!$C$113</f>
        <v>#DIV/0!</v>
      </c>
      <c r="FS346" s="198" t="e">
        <f t="shared" ca="1" si="1198"/>
        <v>#N/A</v>
      </c>
      <c r="FT346" s="161">
        <f t="shared" ca="1" si="1324"/>
        <v>342</v>
      </c>
      <c r="FU346" s="162" t="e">
        <f ca="1">IF(Control!$B$34=1,VLOOKUP($CP346,Control!$B$86:$G$91,6),Control!$B$35)</f>
        <v>#N/A</v>
      </c>
      <c r="FV346" s="162" t="e">
        <f t="shared" ca="1" si="1199"/>
        <v>#DIV/0!</v>
      </c>
      <c r="FW346" s="162" t="e">
        <f ca="1">IF(Control!$B$31=1,$FU346*$FV346,  $FU346)</f>
        <v>#N/A</v>
      </c>
      <c r="FX346" s="162" t="e">
        <f ca="1">IF(Control!$B$34=1,VLOOKUP($CP346,Control!$B$86:$G$91,3),Control!$B$36)</f>
        <v>#N/A</v>
      </c>
      <c r="FY346" s="162" t="e">
        <f t="shared" ca="1" si="1200"/>
        <v>#N/A</v>
      </c>
      <c r="FZ346" s="162" t="e">
        <f ca="1">IF(Control!$B$34=1,VLOOKUP($CP346,Control!$B$86:$G$91,4),Control!$B$37)</f>
        <v>#N/A</v>
      </c>
      <c r="GA346" s="162" t="e">
        <f t="shared" ca="1" si="1201"/>
        <v>#N/A</v>
      </c>
      <c r="GB346" s="162" t="e">
        <f ca="1">IF(Control!$B$34=1,VLOOKUP($CP346,Control!$B$86:$G$91,5),Control!$B$38)</f>
        <v>#N/A</v>
      </c>
      <c r="GC346" s="162" t="e">
        <f t="shared" ca="1" si="1325"/>
        <v>#N/A</v>
      </c>
      <c r="GD346" s="162">
        <f t="shared" ca="1" si="1202"/>
        <v>1</v>
      </c>
      <c r="GE346" s="162">
        <f t="shared" ca="1" si="1203"/>
        <v>1</v>
      </c>
      <c r="GF346" s="162">
        <f ca="1">IF(AND(Control!$C$104=1, Control!$C$62="F"),$GE346,1)</f>
        <v>1</v>
      </c>
      <c r="GG346" s="162" t="e">
        <f ca="1">IF(Control!$B$16=40,0,IF(AND(Control!$B$16&gt;40,Control!$B$16&lt;=360),(Control!$B$16-40)*((1-0)/(360-40)),IF(AND(Control!$B$16&gt;360,Control!$B$16&lt;=720),(1+(Control!$B$16-360)*((1.25-1)/(720-360))),IF(AND(Control!$B$16&gt;720,Control!$B$16&lt;=1000),(1.25+(Control!$B$16-720)*((1.35-1.25)/(1000-720))),IF(AND(Control!$B$16&gt;1000,Control!$B$16&lt;=2000),(1.35+(Control!$B$16-1000)*0))))))</f>
        <v>#N/A</v>
      </c>
      <c r="GH346" s="162" t="e">
        <f t="shared" ca="1" si="1204"/>
        <v>#N/A</v>
      </c>
      <c r="GI346" s="162">
        <f t="shared" ca="1" si="1326"/>
        <v>0</v>
      </c>
      <c r="GJ346" s="162">
        <f t="shared" ca="1" si="1205"/>
        <v>0</v>
      </c>
      <c r="GK346" s="162">
        <f t="shared" ca="1" si="1327"/>
        <v>1</v>
      </c>
      <c r="GL346" s="162">
        <f t="shared" ca="1" si="1206"/>
        <v>1</v>
      </c>
      <c r="GM346" s="162" t="e">
        <f ca="1">MAX(0,MIN(1,1-Control!$C$156*(1.0001-$KH346)^2))</f>
        <v>#N/A</v>
      </c>
      <c r="GN346" s="162" t="e">
        <f ca="1">IF(Control!$B$26=1,$KU346,$KX346)</f>
        <v>#N/A</v>
      </c>
      <c r="GO346" s="162" t="e">
        <f ca="1">IF($CP346&lt;=60,Control!$C$105,IF($CP346&gt;=90,Control!$C$106,Control!$C$105+($CP346-60)*((Control!$C$106-Control!$C$105)/(90-60))))</f>
        <v>#N/A</v>
      </c>
      <c r="GP346" s="162" t="e">
        <f t="shared" ca="1" si="1207"/>
        <v>#N/A</v>
      </c>
      <c r="GQ346" s="162" t="e">
        <f t="shared" ca="1" si="1328"/>
        <v>#N/A</v>
      </c>
      <c r="GR346" s="163" t="e">
        <f t="shared" ca="1" si="1208"/>
        <v>#DIV/0!</v>
      </c>
      <c r="GS346" s="162" t="e">
        <f t="shared" ca="1" si="1209"/>
        <v>#DIV/0!</v>
      </c>
      <c r="GT346" s="164" t="e">
        <f t="shared" ca="1" si="1329"/>
        <v>#N/A</v>
      </c>
      <c r="GU346" s="162" t="e">
        <f t="shared" ca="1" si="1330"/>
        <v>#N/A</v>
      </c>
      <c r="GV346" s="162" t="e">
        <f t="shared" ca="1" si="1210"/>
        <v>#N/A</v>
      </c>
      <c r="GW346" s="162" t="e">
        <f t="shared" ca="1" si="1211"/>
        <v>#DIV/0!</v>
      </c>
      <c r="GX346" s="162" t="e">
        <f t="shared" ca="1" si="1331"/>
        <v>#DIV/0!</v>
      </c>
      <c r="GY346" s="162" t="e">
        <f t="shared" ca="1" si="1332"/>
        <v>#DIV/0!</v>
      </c>
      <c r="GZ346" s="165" t="e">
        <f t="shared" ca="1" si="1212"/>
        <v>#N/A</v>
      </c>
      <c r="HA346" s="162" t="e">
        <f ca="1">IF(Control!$C$114=1, $DI346*$FS346, 0)</f>
        <v>#N/A</v>
      </c>
      <c r="HB346" s="162" t="e">
        <f ca="1">$FA346/Control!$C$64</f>
        <v>#N/A</v>
      </c>
      <c r="HC346" s="162" t="e">
        <f t="shared" ca="1" si="1213"/>
        <v>#DIV/0!</v>
      </c>
      <c r="HD346" s="162">
        <f ca="1">-ASIN(SIN(23.45*Control!$C$139)*COS(2*Control!$C$138*($AH346+10)/365))</f>
        <v>-0.39849065830192265</v>
      </c>
      <c r="HE346" s="165">
        <f t="shared" ca="1" si="1333"/>
        <v>0</v>
      </c>
      <c r="HF346" s="166">
        <f ca="1">IF(AND(Control!$C$61="T",$HE346&gt;=Control!$C$103,Control!$C$114=0),$AH346,Control!$C$59)</f>
        <v>1</v>
      </c>
      <c r="HG346" s="166">
        <f ca="1">IF(AND(Control!$C$61="T",$HE346&gt;=Control!$C$103,Control!$C$114=0),$HF346,Control!$C$59)</f>
        <v>1</v>
      </c>
      <c r="HH346" s="165">
        <f ca="1">IF(AND(OR(Control!$C$60&lt;=0, $AH346= Control!$C$59, Control!$C$60 &gt;0, $AH346 = Control!$C$60)), Control!$C$59, IF(Control!$C$60&gt;0, 0))</f>
        <v>1</v>
      </c>
      <c r="HI346" s="165">
        <f ca="1">IF(AND(OR(Control!$C$60&lt;=0, $AH346= Control!$C$59, Control!$C$60 &gt;0, $AH346 = Control!$C$60)), Control!$C$60, IF(Control!$C$60&lt;=0, 0))</f>
        <v>0</v>
      </c>
      <c r="HJ346" s="166">
        <f ca="1">IF(AND(Control!$C$62="F",$CV346&gt;=Control!$C$102),$AH346,0)</f>
        <v>0</v>
      </c>
      <c r="HK346" s="165" t="e">
        <f t="shared" ca="1" si="1370"/>
        <v>#N/A</v>
      </c>
      <c r="HL346" s="166">
        <f ca="1">IF(AND(Control!$C$61="T",$HE346&gt;=Control!$C$103,Control!$C$114=0),$HF346,0)</f>
        <v>0</v>
      </c>
      <c r="HM346" s="201" t="e">
        <f t="shared" ca="1" si="1214"/>
        <v>#DIV/0!</v>
      </c>
      <c r="HN346" s="215">
        <f t="shared" ca="1" si="1334"/>
        <v>342</v>
      </c>
      <c r="HO346" s="216" t="e">
        <f ca="1">IF(AND($CP346&gt;=0, $CP346&lt;=90), Control!$C$152, Control!$C$152)</f>
        <v>#N/A</v>
      </c>
      <c r="HP346" s="216" t="e">
        <f t="shared" ca="1" si="1215"/>
        <v>#N/A</v>
      </c>
      <c r="HQ346" s="217" t="e">
        <f ca="1">IF(OR(Control!$B$26=1,Control!$B$26=2),$KV346,$KS346)</f>
        <v>#DIV/0!</v>
      </c>
      <c r="HR346" s="218" t="e">
        <f t="shared" ca="1" si="1371"/>
        <v>#DIV/0!</v>
      </c>
      <c r="HS346" s="216" t="e">
        <f ca="1">Control!$C$154*$HP346</f>
        <v>#N/A</v>
      </c>
      <c r="HT346" s="216" t="e">
        <f ca="1">Control!$C$155*$HP346</f>
        <v>#N/A</v>
      </c>
      <c r="HU346" s="217" t="e">
        <f ca="1">Control!$C$161*$FI346</f>
        <v>#N/A</v>
      </c>
      <c r="HV346" s="218" t="e">
        <f t="shared" ca="1" si="1335"/>
        <v>#N/A</v>
      </c>
      <c r="HW346" s="218" t="e">
        <f ca="1">Control!$C$160*$FF346+$IP346*$EO346</f>
        <v>#N/A</v>
      </c>
      <c r="HX346" s="218" t="e">
        <f t="shared" ca="1" si="1372"/>
        <v>#N/A</v>
      </c>
      <c r="HY346" s="219" t="e">
        <f ca="1">IF(Control!$C$114=1, $EB346*$FS346, 0)</f>
        <v>#N/A</v>
      </c>
      <c r="HZ346" s="91" t="e">
        <f t="shared" ca="1" si="1216"/>
        <v>#N/A</v>
      </c>
      <c r="IA346" s="220" t="e">
        <f ca="1">Control!$C$153*$HO346</f>
        <v>#N/A</v>
      </c>
      <c r="IB346" s="218" t="e">
        <f t="shared" ca="1" si="1217"/>
        <v>#N/A</v>
      </c>
      <c r="IC346" s="220" t="e">
        <f ca="1">Control!$C$153*$HT346</f>
        <v>#N/A</v>
      </c>
      <c r="ID346" s="218" t="e">
        <f t="shared" ca="1" si="1218"/>
        <v>#N/A</v>
      </c>
      <c r="IE346" s="221" t="e">
        <f ca="1">($EB346*Control!$C$159+$EF346*Control!$C$160)/(IF($GZ346&lt;&gt;0,$GZ346,1))</f>
        <v>#N/A</v>
      </c>
      <c r="IF346" s="216" t="e">
        <f t="shared" ca="1" si="1219"/>
        <v>#N/A</v>
      </c>
      <c r="IG346" s="91">
        <f ca="1">IF(OR(Control!$B$198=$AH346,Control!$B$199=$AH346, Control!$B$200=$AH346, Control!$B$201=$AH346, Control!$B$202=$AH346, Control!$B$203=$AH346, Control!$B$204=$AH346, Control!$B$205=$AH346, Control!$B$206=$AH346, Control!$B$207=$AH346), 1, 0)</f>
        <v>0</v>
      </c>
      <c r="IH346" s="91">
        <f ca="1">IF($IG346=0,0, VLOOKUP($AH346,Control!$B$198:$C$207,2))</f>
        <v>0</v>
      </c>
      <c r="II346" s="222">
        <f t="shared" ca="1" si="1336"/>
        <v>0</v>
      </c>
      <c r="IJ346" s="91">
        <f>Control!$C$121</f>
        <v>0.7</v>
      </c>
      <c r="IK346" s="218">
        <f t="shared" ca="1" si="1220"/>
        <v>0</v>
      </c>
      <c r="IL346" s="217" t="e">
        <f t="shared" ca="1" si="1373"/>
        <v>#N/A</v>
      </c>
      <c r="IM346" s="223" t="e">
        <f ca="1">IF(AND(Control!$C$114=1,$KH346&lt;1),$EB346*Control!$C$148*(1-$KH346), 0)</f>
        <v>#N/A</v>
      </c>
      <c r="IN346" s="217" t="e">
        <f t="shared" ca="1" si="1221"/>
        <v>#DIV/0!</v>
      </c>
      <c r="IO346" s="91" t="e">
        <f ca="1">MAX(0,$IL346-$EF346*Control!$C$160)</f>
        <v>#N/A</v>
      </c>
      <c r="IP346" s="220" t="e">
        <f t="shared" ca="1" si="1222"/>
        <v>#N/A</v>
      </c>
      <c r="IQ346" s="217" t="e">
        <f t="shared" ca="1" si="1337"/>
        <v>#N/A</v>
      </c>
      <c r="IR346" s="218" t="e">
        <f t="shared" ca="1" si="1223"/>
        <v>#N/A</v>
      </c>
      <c r="IS346" s="217" t="e">
        <f ca="1">Control!$C$159*MAX(0,$FD346-$EN346)</f>
        <v>#N/A</v>
      </c>
      <c r="IT346" s="217" t="e">
        <f t="shared" ca="1" si="1374"/>
        <v>#N/A</v>
      </c>
      <c r="IU346" s="217" t="e">
        <f t="shared" ca="1" si="1338"/>
        <v>#N/A</v>
      </c>
      <c r="IV346" s="217" t="e">
        <f t="shared" ca="1" si="1375"/>
        <v>#N/A</v>
      </c>
      <c r="IW346" s="217" t="e">
        <f ca="1">IF(OR($AW346=1,AND($AW346=0, Control!$B$18=1,$EN346&lt;&gt;0)), $IQ346-$IU346, $IQ346)</f>
        <v>#N/A</v>
      </c>
      <c r="IX346" s="218" t="e">
        <f t="shared" ca="1" si="1224"/>
        <v>#N/A</v>
      </c>
      <c r="IY346" s="218" t="e">
        <f ca="1">MAX(0,$IQ346-$EB346*Control!$C$159)</f>
        <v>#N/A</v>
      </c>
      <c r="IZ346" s="218" t="e">
        <f t="shared" ca="1" si="1225"/>
        <v>#N/A</v>
      </c>
      <c r="JA346" s="216" t="e">
        <f t="shared" ca="1" si="1226"/>
        <v>#N/A</v>
      </c>
      <c r="JB346" s="217" t="e">
        <f t="shared" ca="1" si="1227"/>
        <v>#N/A</v>
      </c>
      <c r="JC346" s="222" t="e">
        <f ca="1">MAX(Control!$C$157*$EK346-$JT346, 0)/Control!$C$162</f>
        <v>#N/A</v>
      </c>
      <c r="JD346" s="218" t="e">
        <f t="shared" ca="1" si="1228"/>
        <v>#N/A</v>
      </c>
      <c r="JE346" s="218" t="e">
        <f t="shared" ca="1" si="1229"/>
        <v>#N/A</v>
      </c>
      <c r="JF346" s="218" t="e">
        <f t="shared" ca="1" si="1339"/>
        <v>#N/A</v>
      </c>
      <c r="JG346" s="218" t="e">
        <f t="shared" ca="1" si="1230"/>
        <v>#N/A</v>
      </c>
      <c r="JH346" s="217" t="e">
        <f t="shared" ca="1" si="1340"/>
        <v>#N/A</v>
      </c>
      <c r="JI346" s="217" t="e">
        <f t="shared" ca="1" si="1341"/>
        <v>#N/A</v>
      </c>
      <c r="JJ346" s="217" t="e">
        <f t="shared" ca="1" si="1376"/>
        <v>#N/A</v>
      </c>
      <c r="JK346" s="217" t="e">
        <f ca="1">IF(Control!$C$114=1,IF(Control!$B$24=0,MAX(0,$JI346)*$GN346/Control!$C$64,(MAX(0,MIN($JI346,$JJ346*$GN346/Control!$C$64),0))))</f>
        <v>#N/A</v>
      </c>
      <c r="JL346" s="217" t="e">
        <f ca="1">$IK346/Control!$C$64-$JK346+$HQ346</f>
        <v>#N/A</v>
      </c>
      <c r="JM346" s="217" t="e">
        <f ca="1">IF(Control!$C$114=1,($JB346/(IF($JI346&lt;&gt;0,$JI346,1)))*$JK346,0)</f>
        <v>#N/A</v>
      </c>
      <c r="JN346" s="217" t="e">
        <f ca="1">IF(Control!$C$114=1,($JG346/(IF($JI346&lt;&gt;0,$JI346,1)))*$JK346, 0)</f>
        <v>#N/A</v>
      </c>
      <c r="JO346" s="218" t="e">
        <f t="shared" ca="1" si="1231"/>
        <v>#N/A</v>
      </c>
      <c r="JP346" s="218" t="e">
        <f ca="1">MIN(($IY346+$IO346)*Control!$C$151, $JF346-$EH346*Control!$C$161)</f>
        <v>#N/A</v>
      </c>
      <c r="JQ346" s="218" t="e">
        <f t="shared" ca="1" si="1232"/>
        <v>#N/A</v>
      </c>
      <c r="JR346" s="217" t="e">
        <f ca="1">IF($CP346-Control!$C$150&lt;0, 0, $JQ346/Control!$C$162)</f>
        <v>#N/A</v>
      </c>
      <c r="JS346" s="218" t="e">
        <f t="shared" ca="1" si="1233"/>
        <v>#N/A</v>
      </c>
      <c r="JT346" s="218" t="e">
        <f t="shared" ca="1" si="1342"/>
        <v>#N/A</v>
      </c>
      <c r="JU346" s="218" t="e">
        <f t="shared" ca="1" si="1234"/>
        <v>#N/A</v>
      </c>
      <c r="JV346" s="218" t="e">
        <f t="shared" ca="1" si="1235"/>
        <v>#N/A</v>
      </c>
      <c r="JW346" s="216" t="e">
        <f t="shared" ca="1" si="1236"/>
        <v>#N/A</v>
      </c>
      <c r="JX346" s="91" t="e">
        <f t="shared" ca="1" si="1237"/>
        <v>#N/A</v>
      </c>
      <c r="JY346" s="218" t="e">
        <f t="shared" ca="1" si="1238"/>
        <v>#N/A</v>
      </c>
      <c r="JZ346" s="217" t="e">
        <f ca="1">IF(Control!$C$114=1,($IZ346/(IF($JI346&lt;&gt;0,$JI346,1)))*$JK346, 0)</f>
        <v>#N/A</v>
      </c>
      <c r="KA346" s="218" t="e">
        <f t="shared" ca="1" si="1377"/>
        <v>#N/A</v>
      </c>
      <c r="KB346" s="218" t="e">
        <f t="shared" ca="1" si="1343"/>
        <v>#N/A</v>
      </c>
      <c r="KC346" s="218" t="e">
        <f t="shared" ca="1" si="1239"/>
        <v>#N/A</v>
      </c>
      <c r="KD346" s="218" t="e">
        <f t="shared" ca="1" si="1240"/>
        <v>#N/A</v>
      </c>
      <c r="KE346" s="218" t="e">
        <f t="shared" ca="1" si="1241"/>
        <v>#N/A</v>
      </c>
      <c r="KF346" s="218" t="e">
        <f t="shared" ca="1" si="1242"/>
        <v>#N/A</v>
      </c>
      <c r="KG346" s="216" t="e">
        <f t="shared" ca="1" si="1243"/>
        <v>#N/A</v>
      </c>
      <c r="KH346" s="221" t="e">
        <f ca="1">IF(Control!$B$24=0,1,MAX(0.001,MIN(1,IF(($IF346-$IE346)&lt;&gt;0,($KG346-$IE346)/($IF346-$IE346),1))))</f>
        <v>#N/A</v>
      </c>
      <c r="KI346" s="222" t="e">
        <f ca="1">IF(Control!$C$114=1, $KI345+ $KH345, 0)</f>
        <v>#N/A</v>
      </c>
      <c r="KJ346" s="217" t="e">
        <f t="shared" ca="1" si="1244"/>
        <v>#N/A</v>
      </c>
      <c r="KK346" s="218" t="e">
        <f t="shared" ca="1" si="1245"/>
        <v>#N/A</v>
      </c>
      <c r="KL346" s="274" t="e">
        <f ca="1">IF(Control!$B$26=3,4000000000*EXP(-8400/($G346+273)),IF(Control!$B$26=4,4000000000*EXP(-8400/($G346+273))*($KT346),0))</f>
        <v>#DIV/0!</v>
      </c>
      <c r="KM346" s="274" t="e">
        <f ca="1">IF(Control!$B$26=3,5600000000000*EXP(-9800/($G346+273)),IF(Control!$B$26=4,5600000000000*EXP(-9800/($G346+273))*$KT346,0))</f>
        <v>#DIV/0!</v>
      </c>
      <c r="KN346" s="454" t="e">
        <f t="shared" ca="1" si="1344"/>
        <v>#DIV/0!</v>
      </c>
      <c r="KO346" s="274" t="e">
        <f t="shared" ca="1" si="1345"/>
        <v>#DIV/0!</v>
      </c>
      <c r="KP346" s="454" t="e">
        <f t="shared" ca="1" si="1246"/>
        <v>#DIV/0!</v>
      </c>
      <c r="KQ346" s="454" t="e">
        <f t="shared" ca="1" si="1247"/>
        <v>#DIV/0!</v>
      </c>
      <c r="KR346" s="454" t="e">
        <f t="shared" ca="1" si="1248"/>
        <v>#DIV/0!</v>
      </c>
      <c r="KS346" s="454" t="e">
        <f t="shared" ca="1" si="1249"/>
        <v>#DIV/0!</v>
      </c>
      <c r="KT346" s="455" t="e">
        <f t="shared" ca="1" si="1250"/>
        <v>#DIV/0!</v>
      </c>
      <c r="KU346" s="456" t="e">
        <f ca="1">IF($CP346-Control!$C$149&lt;0, IF($NT346-0.01&lt;0,0,1),0)</f>
        <v>#N/A</v>
      </c>
      <c r="KV346" s="456" t="e">
        <f ca="1">IF(Control!$C$114=1,MAX(0,MIN(Control!$C$125*$KW346*$GN346,$KW346)))</f>
        <v>#DIV/0!</v>
      </c>
      <c r="KW346" s="456" t="e">
        <f t="shared" ca="1" si="1378"/>
        <v>#DIV/0!</v>
      </c>
      <c r="KX346" s="457" t="e">
        <f ca="1">IF($CP346-Control!$C$149&lt;0, IF($MR346-$OM346&lt;0,0,1),0)</f>
        <v>#N/A</v>
      </c>
      <c r="KY346" s="167">
        <f t="shared" ca="1" si="1346"/>
        <v>342</v>
      </c>
      <c r="KZ346" s="168">
        <f ca="1">1370*(1+0.033*COS(2*Control!$C$138*$AH346/365))</f>
        <v>1411.7127740378728</v>
      </c>
      <c r="LA346" s="169">
        <f t="shared" ca="1" si="1347"/>
        <v>1.0304471051117361</v>
      </c>
      <c r="LB346" s="169">
        <f t="shared" ca="1" si="1348"/>
        <v>-0.39957196162391734</v>
      </c>
      <c r="LC346" s="169">
        <f ca="1">ACOS(-TAN((2*Control!$B$8/360))*TAN(Calculations!$LB346))</f>
        <v>1.4449589415831086</v>
      </c>
      <c r="LD346" s="169">
        <f ca="1">((24*60)/PI())*0.082*$LA346*(($LC346*SIN(Control!$B$8*2*PI()/360))*SIN($LB346)+COS(Control!$B$8*2*PI()/360)*COS($LB346)*SIN($LC346))</f>
        <v>4.6368107646883532</v>
      </c>
      <c r="LE346" s="170">
        <f t="shared" ca="1" si="1251"/>
        <v>6.3390902272383283</v>
      </c>
      <c r="LF346" s="170">
        <f ca="1">SIN(Control!$C$139*Control!$B$8)*SIN($HD346)</f>
        <v>-0.30577051005981609</v>
      </c>
      <c r="LG346" s="170">
        <f ca="1">COS(Control!$C$139*Control!$B$8)*COS($HD346)</f>
        <v>0.56742144750006973</v>
      </c>
      <c r="LH346" s="170">
        <f ca="1">12*(1+2*ASIN(MAX(-1,MIN(1,$LF346/$LG346))/Control!$C$138))</f>
        <v>7.8628313744815195</v>
      </c>
      <c r="LI346" s="170">
        <f ca="1">12*(1+2*ASIN(MAX(-1,MIN(1,(-SIN(-4*Control!$C$139)+$LF346)/$LG346))/Control!$C$138))</f>
        <v>8.8130945533510427</v>
      </c>
      <c r="LJ346" s="168">
        <f ca="1">3600*($LH346*$LF346+24*$LG346*SQRT(1-$LK346*$LK346)/Control!$C$138)</f>
        <v>4490.3540888893776</v>
      </c>
      <c r="LK346" s="170">
        <f t="shared" ca="1" si="1252"/>
        <v>-0.53887725148030907</v>
      </c>
      <c r="LL346" s="170">
        <f t="shared" ca="1" si="1253"/>
        <v>0</v>
      </c>
      <c r="LM346" s="171">
        <f ca="1">Control!$C$145*$AB346</f>
        <v>6.6660906138995932E-2</v>
      </c>
      <c r="LN346" s="170">
        <f t="shared" ca="1" si="1349"/>
        <v>0.54</v>
      </c>
      <c r="LO346" s="170">
        <f t="shared" ca="1" si="1254"/>
        <v>0</v>
      </c>
      <c r="LP346" s="170">
        <f ca="1">Control!$C$140*((($D346+273.16)^4+($E346+273.16)^4)/2)*(0.34-0.14*SQRT($Y346))*(1.35*$AQ346/(0.75*$LD346)-0.35)</f>
        <v>-3.2464704755046001</v>
      </c>
      <c r="LQ346" s="170">
        <f ca="1">Control!$C$140*($G346+273)^4*(0.56-0.079*SQRT($Y346*10))*(0.1+0.9*$LO346)</f>
        <v>1.5241745131704001</v>
      </c>
      <c r="LR346" s="170">
        <f ca="1">$AQ346*(1-Control!$C$142)-$LQ346</f>
        <v>-1.5241745131704001</v>
      </c>
      <c r="LS346" s="170">
        <f ca="1">$AQ346*(1-Control!$C$143)-$LQ346</f>
        <v>-1.5241745131704001</v>
      </c>
      <c r="LT346" s="170">
        <f ca="1">$AQ346*(1-Control!$C$144)-$LQ346</f>
        <v>-1.5241745131704001</v>
      </c>
      <c r="LU346" s="169">
        <f ca="1">(1-Control!$C$144)*AQ346-LP346</f>
        <v>3.2464704755046001</v>
      </c>
      <c r="LV346" s="172">
        <f t="shared" ca="1" si="1255"/>
        <v>0.79430000000000012</v>
      </c>
      <c r="LW346" s="170">
        <f t="shared" ca="1" si="1256"/>
        <v>1.5886000000000002</v>
      </c>
      <c r="LX346" s="170">
        <f ca="1">($AC346*($LR346/Control!$C$141)+$LM346*$LV346)/($AC346+$LM346)</f>
        <v>0.23530094218323697</v>
      </c>
      <c r="LY346" s="170">
        <f ca="1">($AC346*($LS346/Control!$C$141)+$LM346*$LV346)/($AC346+$LM346)</f>
        <v>0.23530094218323697</v>
      </c>
      <c r="LZ346" s="170">
        <f t="shared" ca="1" si="1257"/>
        <v>0.23530094218323697</v>
      </c>
      <c r="MA346" s="170">
        <f t="shared" ca="1" si="1258"/>
        <v>0.23530094218323697</v>
      </c>
      <c r="MB346" s="170" t="e">
        <f t="shared" ca="1" si="1259"/>
        <v>#N/A</v>
      </c>
      <c r="MC346" s="170">
        <f t="shared" ca="1" si="1350"/>
        <v>0.6018</v>
      </c>
      <c r="MD346" s="170">
        <f t="shared" ca="1" si="1260"/>
        <v>0.52989392535414004</v>
      </c>
      <c r="ME346" s="170">
        <f ca="1">($AC346*($LT346/Control!$C$141)+$LM346*$LW346)/($AC346+$LM346)</f>
        <v>0.71612369323045078</v>
      </c>
      <c r="MF346" s="170" t="e">
        <f ca="1">IF(Control!$B$16&gt;=1000,0.92,IF(AND(720&lt;=Control!$B$16,1000&gt;Control!$B$16),(0.95+(Control!$B$16-720)*((0.92-0.95)/(1000-720))),IF(AND(360&lt;=Control!$B$16,720&gt;Control!$B$16),(1+(Control!$B$16-360)*((0.95-1)/(720-360))),IF(AND(40&lt;=Control!$B$16,360&gt;Control!$B$16),(1.05+(Control!$B$16-40)*((1.05-1)/(360-40)))))))</f>
        <v>#N/A</v>
      </c>
      <c r="MG346" s="170">
        <f t="shared" ca="1" si="1261"/>
        <v>0.71612369323045078</v>
      </c>
      <c r="MH346" s="170" t="e">
        <f t="shared" ref="MH346:MI370" ca="1" si="1387">$MG346*$MF346</f>
        <v>#N/A</v>
      </c>
      <c r="MI346" s="170" t="e">
        <f t="shared" ca="1" si="1387"/>
        <v>#N/A</v>
      </c>
      <c r="MJ346" s="170" t="e">
        <f ca="1">MAX(0.0001, Control!$C$132*$MI346*$DL346)</f>
        <v>#N/A</v>
      </c>
      <c r="MK346" s="170">
        <f ca="1">1/(0.76+1.5*($MG346/10))-(5-Control!$C$110)*0.1</f>
        <v>1.002845988140797</v>
      </c>
      <c r="ML346" s="173">
        <f ca="1">IF(Control!$C$110&lt;3,$MK346+($MG346-0.6)/(Control!$C$110*(Control!$C$110+3)), MAX(0.1, MIN(0.95,$MK346)))</f>
        <v>0.95</v>
      </c>
      <c r="MM346" s="173">
        <f ca="1">IF(Control!$C$110&lt;3,$MK346+(($MI346/10)-0.6)/(Control!$C$110*(Control!$C$110+3)), MAX(0.1, MIN(0.95,$MK346)))</f>
        <v>0.95</v>
      </c>
      <c r="MN346" s="173">
        <f ca="1">(1-$MM346)*(Control!$C$128-Control!$C$127)+Control!$C$127</f>
        <v>0.16</v>
      </c>
      <c r="MO346" s="170" t="e">
        <f ca="1">MAX(0,MIN(1,($MS346-Control!$C$127)/($MN346-Control!$C$127)))</f>
        <v>#DIV/0!</v>
      </c>
      <c r="MP346" s="173" t="e">
        <f ca="1">1/(0.76+1.5*$MI346)-(5-Control!$C$110)*0.1</f>
        <v>#N/A</v>
      </c>
      <c r="MQ346" s="172" t="e">
        <f t="shared" ca="1" si="1379"/>
        <v>#DIV/0!</v>
      </c>
      <c r="MR346" s="168" t="e">
        <f t="shared" ca="1" si="1351"/>
        <v>#DIV/0!</v>
      </c>
      <c r="MS346" s="173" t="e">
        <f ca="1">MAX(Control!$C$127, MIN(Control!$C$135, $MR346/MAX(0.0001,$CY346)))</f>
        <v>#DIV/0!</v>
      </c>
      <c r="MT346" s="168" t="e">
        <f ca="1">(Control!$C$128-$MS346)*Control!$C$74</f>
        <v>#DIV/0!</v>
      </c>
      <c r="MU346" s="168" t="e">
        <f ca="1">(Control!$C$135-$MS346)*Control!$C$74</f>
        <v>#DIV/0!</v>
      </c>
      <c r="MV346" s="168" t="e">
        <f t="shared" ca="1" si="1352"/>
        <v>#DIV/0!</v>
      </c>
      <c r="MW346" s="168" t="e">
        <f t="shared" ca="1" si="1353"/>
        <v>#DIV/0!</v>
      </c>
      <c r="MX346" s="171" t="e">
        <f ca="1">MAX(Control!$C$127, MIN(Control!$C$135, $MW346/MAX(0.0001,Control!$C$119-$CY346)))</f>
        <v>#DIV/0!</v>
      </c>
      <c r="MY346" s="54" t="e">
        <f ca="1">IF(Control!$C$114=1, $CX346*$MX346, 0)</f>
        <v>#DIV/0!</v>
      </c>
      <c r="MZ346" s="54" t="e">
        <f t="shared" ca="1" si="1354"/>
        <v>#N/A</v>
      </c>
      <c r="NA346" s="168" t="e">
        <f ca="1">(Control!$C$128-$MX346)*(Control!$C$119-Control!$C$74)</f>
        <v>#DIV/0!</v>
      </c>
      <c r="NB346" s="168" t="e">
        <f ca="1">(Control!$C$135-$MX346)*(Control!$C$119-Control!$C$74)</f>
        <v>#DIV/0!</v>
      </c>
      <c r="NC346" s="174" t="e">
        <f t="shared" ca="1" si="1355"/>
        <v>#DIV/0!</v>
      </c>
      <c r="ND346" s="54">
        <f ca="1">IF(Control!$C$58=2, IF(OR(Control!$B$218=$AH346,Control!$B$219=$AH346, Control!$B$220=$AH346, Control!$B$221=$AH346, Control!$B$222=$AH346, Control!$B$223=$AH346, Control!$B$224=$AH346, Control!$B$225=$AH346, Control!$B$226=$AH346, Control!$B$227=$AH346, Control!$B$228=$AH346), 1, 0), 0)</f>
        <v>0</v>
      </c>
      <c r="NE346" s="54">
        <f ca="1">IF($ND346=0,0, VLOOKUP($AH346,Control!$B$218:$C$228,2))</f>
        <v>0</v>
      </c>
      <c r="NF346" s="168" t="e">
        <f ca="1">$CY346*(Control!$C$128-Control!$C$127)</f>
        <v>#N/A</v>
      </c>
      <c r="NG346" s="54" t="e">
        <f ca="1">IF(Control!$C$58=2, $NI345-$NJ345, 0)</f>
        <v>#DIV/0!</v>
      </c>
      <c r="NH346" s="54" t="e">
        <f ca="1">IF(AND(Control!$C$58=1, $MS345&lt;= ($MN345+0.02), $I345&lt;10), 0, IF(Control!$C$58=2, $NG345, 0))</f>
        <v>#DIV/0!</v>
      </c>
      <c r="NI346" s="54" t="e">
        <f ca="1">IF(Control!$C$58=2, $NE346+$NH346,0)</f>
        <v>#DIV/0!</v>
      </c>
      <c r="NJ346" s="54" t="e">
        <f ca="1">IF(AND(Control!$C$58=1, $MS346&lt;= ($MN346+0.02), $I346&lt;10), MAX(0, MIN(10, 0.7*($NF346-$MV346))), IF(Control!$C$58=2, MIN(10,$NI346),0))</f>
        <v>#DIV/0!</v>
      </c>
      <c r="NK346" s="54" t="e">
        <f t="shared" ca="1" si="1263"/>
        <v>#DIV/0!</v>
      </c>
      <c r="NL346" s="173" t="e">
        <f ca="1">(1-Control!$C$73)*$I346+$NJ346</f>
        <v>#DIV/0!</v>
      </c>
      <c r="NM346" s="172" t="e">
        <f ca="1">IF($NL346&lt;0.5, $MB346* MAX(0, MIN(1, (SQRT($NC346)-SQRT($NC346-1))*Control!$C$71)),0)</f>
        <v>#DIV/0!</v>
      </c>
      <c r="NN346" s="170" t="e">
        <f ca="1">IF($NL346&gt;=5, $MB346, MAX(0,MIN($MB346, $NM346+$NL346,($MS346-Control!$C$129))))</f>
        <v>#DIV/0!</v>
      </c>
      <c r="NO346" s="54">
        <f>IF(Control!$C$133&lt;&gt;1, Control!$C$135-Control!$C$131, 0)</f>
        <v>0.38</v>
      </c>
      <c r="NP346" s="54" t="e">
        <f t="shared" ca="1" si="1264"/>
        <v>#DIV/0!</v>
      </c>
      <c r="NQ346" s="173" t="e">
        <f ca="1">MAX(0,MIN(1,(Control!$C$135-$MS346)/(Control!$C$135-$NO346)))</f>
        <v>#DIV/0!</v>
      </c>
      <c r="NR346" s="170" t="e">
        <f ca="1">IF(Control!$C$133&lt;&gt;1, $NQ346+((1-$NP346/4)*(1-$NQ346)),1)</f>
        <v>#DIV/0!</v>
      </c>
      <c r="NS346" s="170" t="e">
        <f ca="1">IF(Control!$B$31=0,$MJ346,MAX(0,MIN($MV346,$MO346*$NR346*$MJ346)))</f>
        <v>#DIV/0!</v>
      </c>
      <c r="NT346" s="170" t="e">
        <f t="shared" ca="1" si="1380"/>
        <v>#DIV/0!</v>
      </c>
      <c r="NU346" s="170" t="e">
        <f t="shared" ca="1" si="1356"/>
        <v>#N/A</v>
      </c>
      <c r="NV346" s="170" t="e">
        <f t="shared" ca="1" si="1265"/>
        <v>#N/A</v>
      </c>
      <c r="NW346" s="175" t="e">
        <f t="shared" ca="1" si="1266"/>
        <v>#DIV/0!</v>
      </c>
      <c r="NX346" s="170" t="e">
        <f ca="1">MIN(Control!$C$72+$MU346, $NW346)</f>
        <v>#DIV/0!</v>
      </c>
      <c r="NY346" s="170" t="e">
        <f ca="1">IF($MT346&lt;=$NX346,MIN(Control!$C$72+$NB346,$NX346-$MT346),0)</f>
        <v>#DIV/0!</v>
      </c>
      <c r="NZ346" s="54" t="e">
        <f ca="1">IF(Control!$C$114=1,  $CX346*($MX346-Control!$C$127), 0)</f>
        <v>#DIV/0!</v>
      </c>
      <c r="OA346" s="170" t="e">
        <f t="shared" ca="1" si="1267"/>
        <v>#DIV/0!</v>
      </c>
      <c r="OB346" s="170" t="e">
        <f ca="1">IF($NA346 &lt;=$NY346, MIN(Control!$C$72, $NY346-$NA346), 0)</f>
        <v>#DIV/0!</v>
      </c>
      <c r="OC346" s="168" t="e">
        <f t="shared" ca="1" si="1268"/>
        <v>#DIV/0!</v>
      </c>
      <c r="OD346" s="168" t="e">
        <f t="shared" ca="1" si="1357"/>
        <v>#DIV/0!</v>
      </c>
      <c r="OE346" s="170">
        <f ca="1">Control!$C$73*$I346</f>
        <v>0</v>
      </c>
      <c r="OF346" s="176" t="e">
        <f t="shared" ca="1" si="1269"/>
        <v>#DIV/0!</v>
      </c>
      <c r="OG346" s="168" t="e">
        <f t="shared" ca="1" si="1270"/>
        <v>#DIV/0!</v>
      </c>
      <c r="OH346" s="168" t="e">
        <f t="shared" ca="1" si="1271"/>
        <v>#DIV/0!</v>
      </c>
      <c r="OI346" s="168" t="e">
        <f t="shared" ca="1" si="1272"/>
        <v>#DIV/0!</v>
      </c>
      <c r="OJ346" s="168" t="e">
        <f t="shared" ca="1" si="1273"/>
        <v>#DIV/0!</v>
      </c>
      <c r="OK346" s="204" t="e">
        <f t="shared" ca="1" si="1274"/>
        <v>#DIV/0!</v>
      </c>
      <c r="OL346" s="177">
        <f>Control!$C$127</f>
        <v>0.15</v>
      </c>
      <c r="OM346" s="182" t="e">
        <f t="shared" ca="1" si="1275"/>
        <v>#N/A</v>
      </c>
      <c r="ON346" s="177">
        <f>Control!$C$128</f>
        <v>0.35</v>
      </c>
      <c r="OO346" s="182" t="e">
        <f t="shared" ca="1" si="1276"/>
        <v>#N/A</v>
      </c>
      <c r="OP346" s="138">
        <f t="shared" ca="1" si="1358"/>
        <v>0</v>
      </c>
      <c r="OQ346" s="138" t="e">
        <f t="shared" ca="1" si="1381"/>
        <v>#DIV/0!</v>
      </c>
      <c r="OR346" s="138" t="e">
        <f t="shared" ca="1" si="1359"/>
        <v>#DIV/0!</v>
      </c>
      <c r="OS346" s="137" t="e">
        <f t="shared" ca="1" si="1382"/>
        <v>#DIV/0!</v>
      </c>
      <c r="OT346" s="139" t="e">
        <f t="shared" ca="1" si="1383"/>
        <v>#DIV/0!</v>
      </c>
      <c r="OU346" s="138" t="e">
        <f t="shared" ca="1" si="1384"/>
        <v>#N/A</v>
      </c>
      <c r="OV346" s="138" t="e">
        <f t="shared" ca="1" si="1385"/>
        <v>#DIV/0!</v>
      </c>
      <c r="OW346" s="138" t="e">
        <f t="shared" ca="1" si="1360"/>
        <v>#DIV/0!</v>
      </c>
      <c r="OX346" s="138" t="e">
        <f t="shared" ca="1" si="1361"/>
        <v>#DIV/0!</v>
      </c>
      <c r="OY346" s="138" t="e">
        <f t="shared" ca="1" si="1362"/>
        <v>#DIV/0!</v>
      </c>
      <c r="OZ346" s="138" t="e">
        <f t="shared" ca="1" si="1277"/>
        <v>#DIV/0!</v>
      </c>
      <c r="PA346" s="138" t="e">
        <f t="shared" ca="1" si="1278"/>
        <v>#DIV/0!</v>
      </c>
      <c r="PB346" s="55">
        <f>IF(Control!$C$61="T", IF(Control!$C$65="F", IF($AH$6-Control!$C$60&lt;0,0,1), IF(365+$AH$6-Control!$C$60&lt;0,0,1)),0)</f>
        <v>0</v>
      </c>
      <c r="PC346" s="55">
        <f ca="1">IF(Control!$C$65="F", IF($AH$6-$HF346&lt;0,0,1), IF(365+$AH$6-$HF346&lt;0,0,1))</f>
        <v>1</v>
      </c>
      <c r="PD346" s="444">
        <f>Control!$C$118</f>
        <v>1500</v>
      </c>
      <c r="PE346" s="180" t="e">
        <f t="shared" ca="1" si="1279"/>
        <v>#N/A</v>
      </c>
      <c r="PF346" s="445">
        <f t="shared" ca="1" si="1363"/>
        <v>0.71612369323045078</v>
      </c>
      <c r="PT346" s="186"/>
      <c r="PU346" s="186"/>
      <c r="PV346" s="94"/>
      <c r="PW346" s="94"/>
      <c r="PX346" s="94"/>
      <c r="PY346" s="94"/>
      <c r="PZ346" s="94"/>
      <c r="QA346" s="94"/>
      <c r="QB346" s="94"/>
      <c r="QC346" s="94"/>
      <c r="QD346" s="94"/>
      <c r="QE346" s="94"/>
      <c r="QF346" s="94"/>
      <c r="QG346" s="94"/>
      <c r="QH346" s="94"/>
      <c r="QI346" s="94"/>
      <c r="QJ346" s="94"/>
      <c r="QK346" s="94"/>
      <c r="QL346" s="94"/>
      <c r="QM346" s="94"/>
      <c r="QN346" s="94"/>
      <c r="QO346" s="94"/>
      <c r="QP346" s="94"/>
    </row>
    <row r="347" spans="1:458" s="2" customFormat="1" x14ac:dyDescent="0.2">
      <c r="A347" s="395">
        <v>8</v>
      </c>
      <c r="B347" s="396">
        <v>12</v>
      </c>
      <c r="C347" s="387">
        <f ca="1">Weather_data!$B346</f>
        <v>0</v>
      </c>
      <c r="D347" s="388">
        <f ca="1">Weather_data!$F346</f>
        <v>0</v>
      </c>
      <c r="E347" s="388">
        <f ca="1">Weather_data!$E346</f>
        <v>0</v>
      </c>
      <c r="F347" s="388">
        <f t="shared" ca="1" si="1280"/>
        <v>0</v>
      </c>
      <c r="G347" s="388">
        <f ca="1">AVERAGE($D347:$E347)+Control!$B$9</f>
        <v>0</v>
      </c>
      <c r="H347" s="388">
        <f ca="1">Weather_data!$G346</f>
        <v>0</v>
      </c>
      <c r="I347" s="388">
        <f ca="1">Weather_data!$I346</f>
        <v>0</v>
      </c>
      <c r="J347" s="388">
        <f ca="1">Weather_data!$H346</f>
        <v>0</v>
      </c>
      <c r="K347" s="389">
        <f ca="1">Weather_data!$D346</f>
        <v>0</v>
      </c>
      <c r="L347" s="388" t="e">
        <f t="shared" ca="1" si="1281"/>
        <v>#N/A</v>
      </c>
      <c r="M347" s="388" t="e">
        <f t="shared" ca="1" si="1158"/>
        <v>#N/A</v>
      </c>
      <c r="N347" s="388">
        <f t="shared" ca="1" si="1159"/>
        <v>-1.2464237714324594E-16</v>
      </c>
      <c r="O347" s="388">
        <f t="shared" ca="1" si="1282"/>
        <v>1.2464237714324593E-15</v>
      </c>
      <c r="P347" s="390">
        <v>3</v>
      </c>
      <c r="Q347" s="388">
        <f ca="1">MAX($G347-Control!$C$107,0)</f>
        <v>0</v>
      </c>
      <c r="R347" s="388">
        <f t="shared" ca="1" si="1283"/>
        <v>0</v>
      </c>
      <c r="S347" s="388">
        <f t="shared" ca="1" si="1160"/>
        <v>0</v>
      </c>
      <c r="T347" s="388">
        <f t="shared" ca="1" si="1161"/>
        <v>0</v>
      </c>
      <c r="U347" s="59">
        <f t="shared" ca="1" si="1162"/>
        <v>0</v>
      </c>
      <c r="V347" s="391">
        <f ca="1">MAX(0,MIN(Control!$C$100-Control!$C$99,$G347-Control!$C$99)*Control!$C$63)</f>
        <v>0</v>
      </c>
      <c r="W347" s="388">
        <f t="shared" ca="1" si="1284"/>
        <v>0</v>
      </c>
      <c r="X347" s="388">
        <f t="shared" ca="1" si="1285"/>
        <v>0.6110000000000001</v>
      </c>
      <c r="Y347" s="388">
        <f t="shared" ca="1" si="1163"/>
        <v>0</v>
      </c>
      <c r="Z347" s="388">
        <f t="shared" ca="1" si="1286"/>
        <v>0.61058800000000002</v>
      </c>
      <c r="AA347" s="388">
        <f t="shared" ca="1" si="1164"/>
        <v>0.6018</v>
      </c>
      <c r="AB347" s="388">
        <f ca="1">101.3*EXP(-0.034*Control!$C$66/($G347+273))</f>
        <v>100.69623283836242</v>
      </c>
      <c r="AC347" s="392">
        <f t="shared" ca="1" si="1165"/>
        <v>4.3460251046025113E-2</v>
      </c>
      <c r="AD347" s="392">
        <f t="shared" ca="1" si="1166"/>
        <v>4.4450382862832649E-2</v>
      </c>
      <c r="AE347" s="388">
        <f t="shared" ca="1" si="1167"/>
        <v>0</v>
      </c>
      <c r="AF347" s="388">
        <f ca="1">MAX(0,$G347-Control!$C$92)</f>
        <v>0</v>
      </c>
      <c r="AG347" s="393">
        <f t="shared" ca="1" si="1168"/>
        <v>343</v>
      </c>
      <c r="AH347" s="389">
        <f t="shared" ca="1" si="1169"/>
        <v>343</v>
      </c>
      <c r="AI347" s="388">
        <f t="shared" ca="1" si="1287"/>
        <v>-0.40007811996005599</v>
      </c>
      <c r="AJ347" s="388">
        <f ca="1">IF(Control!$C$60&lt;=0,$HH347,$HI347)</f>
        <v>1</v>
      </c>
      <c r="AK347" s="388">
        <f t="shared" ca="1" si="1170"/>
        <v>4.5273362624335105</v>
      </c>
      <c r="AL347" s="388">
        <f t="shared" ca="1" si="1171"/>
        <v>1.1721143153287094E-17</v>
      </c>
      <c r="AM347" s="388">
        <f t="shared" ca="1" si="1172"/>
        <v>4.5273362624335105</v>
      </c>
      <c r="AN347" s="388">
        <f t="shared" ca="1" si="1173"/>
        <v>-0.40172672755883487</v>
      </c>
      <c r="AO347" s="388">
        <f ca="1">-0.10453/COS(Control!$B$8*PI()/180)*COS(AN347)</f>
        <v>-0.15626781610398532</v>
      </c>
      <c r="AP347" s="388">
        <f ca="1">ACOS(AO347-TAN(Control!$B$8*PI()/180)*TAN(AN347))</f>
        <v>1.1728891109657709</v>
      </c>
      <c r="AQ347" s="388">
        <f t="shared" ca="1" si="1288"/>
        <v>0</v>
      </c>
      <c r="AR347" s="394">
        <f t="shared" ca="1" si="1174"/>
        <v>0</v>
      </c>
      <c r="AS347" s="436">
        <f ca="1">IF(Control!$B$18=2,(IF(OR($AH347=Control!$B$175,$AH347=Control!$B$176,$AH347=Control!$B$177,$AH347=Control!$B$178,$AH347=Control!$B$179,$AH347=Control!$B$180,$AH347=Control!$B$181,$AH347=Control!$B$182,$AH347=Control!$B$183,$AH347=Control!$B$184,$AH347=Control!$B$185),1,0)),0)</f>
        <v>0</v>
      </c>
      <c r="AT347" s="436">
        <f>IF(Control!$B$20=8,IF(AND($AH347&gt;=Control!$B$172,$AH347&lt;=Control!$B$173),1,0),0)</f>
        <v>0</v>
      </c>
      <c r="AU347" s="436">
        <f>IF(Control!$B$20=8,IF($AV346=1,1*$AT347,IF($AT347=1,$AU346+1,$AU346)),0)</f>
        <v>0</v>
      </c>
      <c r="AV347" s="436">
        <f>IF(Control!$B$20=8,IF($AU347&gt;=Control!$B$174,1,0),0)</f>
        <v>0</v>
      </c>
      <c r="AW347" s="436">
        <f ca="1">IF(AND(Control!$B$18=2,Control!$B$171=1), $AV347, $AS347)</f>
        <v>0</v>
      </c>
      <c r="AX347" s="436" t="e">
        <f ca="1">IF(AND(Control!$B$18=1,$EU347&gt;=Control!$B$19),-$AY347,IF(AND(Control!$B$18=2,$AW347=1,$EU347&gt;$DS347),-$AY347, IF(Control!$C$108=0,0, IF(Control!$C$108&lt;&gt;0,1))))</f>
        <v>#N/A</v>
      </c>
      <c r="AY347" s="436" t="e">
        <f t="shared" ca="1" si="1289"/>
        <v>#N/A</v>
      </c>
      <c r="AZ347" s="436" t="e">
        <f ca="1">IF(AND(Control!$B$18=1,$EB347&gt;Control!$B$19),$AZ346+1, IF(AND(Control!$B$18=2, $AW347=1, $EB347&gt;$DS347), $AZ346+1,$AZ346))</f>
        <v>#N/A</v>
      </c>
      <c r="BA347" s="587">
        <f>IF(Control!$C$81=0,1,IF($AH347&gt;=Control!$C$82,1,0))</f>
        <v>1</v>
      </c>
      <c r="BB347" s="140" t="e">
        <f ca="1">IF($BA347&gt;$BA346,Control!$C$83,IF($AW347&gt;0,$AW347*Control!$C$84,IF(AND(Control!$B$18=1,EN346&lt;&gt;0),Control!$C$84,0)))</f>
        <v>#N/A</v>
      </c>
      <c r="BC347" s="140" t="e">
        <f t="shared" ca="1" si="1290"/>
        <v>#N/A</v>
      </c>
      <c r="BD347" s="140" t="e">
        <f ca="1">BC347*IF(OR($G347&lt;Control!$C$92,$G347&gt;Control!$C$95),0,IF(AND($G347&gt;=Control!$C$92,$G347&lt;=Control!$C$93),$G347-Control!$C$92,IF(AND($G347&gt;Control!$C$93,$G347&lt;=Control!$C$94),Control!$C$93-Control!$C$92,IF(AND($G347&gt;Control!$C$94,$G347&lt;=Control!$C$95),(Control!$C$93-Control!$C$92)*(Control!$C$94-$G347)/(Control!$C$95-Control!$C$94)))))</f>
        <v>#N/A</v>
      </c>
      <c r="BE347" s="140" t="e">
        <f t="shared" ca="1" si="1291"/>
        <v>#N/A</v>
      </c>
      <c r="BF347" s="140" t="e">
        <f ca="1">IF($BE347&lt;=Control!$C$86,$BE347,Control!$C$86-$BE347)</f>
        <v>#N/A</v>
      </c>
      <c r="BG347" s="140" t="e">
        <f ca="1">IF(AND($AW347=1,Control!$C$84&lt;9),1,IF($BE347&gt;=Control!$C$86,0,$BC347))</f>
        <v>#N/A</v>
      </c>
      <c r="BH347" s="404" t="e">
        <f ca="1">IF($BG347=0,0,IF($BE347&lt;=Control!$C$86,$BC347*9*($BF347/Control!$C$86),0))</f>
        <v>#N/A</v>
      </c>
      <c r="BI347" s="140" t="e">
        <f ca="1">IF($BG347=1,0,IF($BE347&gt;=Control!$C$86,1,IF(AND($BB347&lt;21,$BB347&gt;=9),1,$BM346)))</f>
        <v>#N/A</v>
      </c>
      <c r="BJ347" s="140" t="e">
        <f ca="1">IF($BF347&lt;0,-$BF347,$BI347*IF(OR($G347&lt;Control!$C$92,$G347&gt;Control!$C$95),0,IF(AND($G347&gt;=Control!$C$92,$G347&lt;=Control!$C$93),$G347-Control!$C$92,IF(AND($G347&gt;Control!$C$93,$G347&lt;=Control!$C$94),Control!$C$93-Control!$C$92,IF(AND($G347&gt;Control!$C$94,$G347&lt;=Control!$C$95),(Control!$C$93-Control!$C$92)*(Control!$C$94-$G347)/(Control!$C$95-Control!$C$94))))))</f>
        <v>#N/A</v>
      </c>
      <c r="BK347" s="140" t="e">
        <f t="shared" ca="1" si="1292"/>
        <v>#N/A</v>
      </c>
      <c r="BL347" s="140" t="e">
        <f ca="1">IF($BK347&lt;=Control!$C$87,$BK347,Control!$C$87-$BK347)</f>
        <v>#N/A</v>
      </c>
      <c r="BM347" s="140" t="e">
        <f ca="1">IF(AND($BB347&gt;=9,$BB347&lt;21),1,IF($BK347&gt;=Control!$C$87,0,$BI347))</f>
        <v>#N/A</v>
      </c>
      <c r="BN347" s="404" t="e">
        <f ca="1">IF($BM347=0,0,IF($BK347&lt;=Control!$C$87,$BI347*(9+(21-9)*($BL347/Control!$C$87)),0))</f>
        <v>#N/A</v>
      </c>
      <c r="BO347" s="140" t="e">
        <f ca="1">IF($BM347=1,0,IF($BK347&gt;=Control!$C$87,1,IF(AND($BB347&lt;30,$BB347&gt;=21),1,$BS346)))</f>
        <v>#N/A</v>
      </c>
      <c r="BP347" s="140" t="e">
        <f ca="1">IF($BL347&lt;0,-$BL347,$BO347*IF(OR($G347&lt;Control!$C$92,$G347&gt;Control!$C$95),0,IF(AND($G347&gt;=Control!$C$92,$G347&lt;=Control!$C$93),$G347-Control!$C$92,IF(AND($G347&gt;Control!$C$93,$G347&lt;=Control!$C$94),Control!$C$93-Control!$C$92,IF(AND($G347&gt;Control!$C$94,$G347&lt;=Control!$C$95),(Control!$C$93-Control!$C$92)*(Control!$C$94-$G347)/(Control!$C$95-Control!$C$94))))))</f>
        <v>#N/A</v>
      </c>
      <c r="BQ347" s="140" t="e">
        <f t="shared" ca="1" si="1175"/>
        <v>#N/A</v>
      </c>
      <c r="BR347" s="140" t="e">
        <f ca="1">IF($BQ347&lt;=Control!$C$88,$BQ347,Control!$C$88-$BQ347)</f>
        <v>#N/A</v>
      </c>
      <c r="BS347" s="140" t="e">
        <f ca="1">IF(AND($BB347&gt;=21,$BB347&lt;30),1,IF($BQ347&gt;=Control!$C$88,0,$BO347))</f>
        <v>#N/A</v>
      </c>
      <c r="BT347" s="404" t="e">
        <f ca="1">IF($BS347=0,0,IF($BQ347&lt;=Control!$C$88,$BO347*(21+(30-21)*(BR347/Control!$C$88)),0))</f>
        <v>#N/A</v>
      </c>
      <c r="BU347" s="140" t="e">
        <f ca="1">IF(BG347+BM347+BS347=1,0,IF(OR(AND($BB347&lt;60,$BB347&gt;=30),$BQ347&gt;=Control!$C$88),1*$BA347,$BY346))</f>
        <v>#N/A</v>
      </c>
      <c r="BV347" s="140" t="e">
        <f ca="1">IF($BR347&lt;0,-$BR347,$BU347*IF(OR($G347&lt;Control!$C$92,$G347&gt;Control!$C$95),0,IF(AND($G347&gt;=Control!$C$92,$G347&lt;=Control!$C$93),$G347-Control!$C$92,IF(AND($G347&gt;Control!$C$93,$G347&lt;=Control!$C$94),Control!$C$93-Control!$C$92,IF(AND($G347&gt;Control!$C$94,$G347&lt;=Control!$C$95),(Control!$C$93-Control!$C$92)*(Control!$C$94-$G347)/(Control!$C$95-Control!$C$94))))))</f>
        <v>#N/A</v>
      </c>
      <c r="BW347" s="140" t="e">
        <f t="shared" ca="1" si="1176"/>
        <v>#N/A</v>
      </c>
      <c r="BX347" s="140" t="e">
        <f ca="1">IF($BW347&lt;=Control!$C$89,$BW347,Control!$C$89-$BW347)</f>
        <v>#N/A</v>
      </c>
      <c r="BY347" s="140" t="e">
        <f ca="1">IF(AND($AJ347&gt;=30,$AJ347&lt;60),1,IF($BW347&gt;=Control!$C$89,0,$BU347))</f>
        <v>#N/A</v>
      </c>
      <c r="BZ347" s="404" t="e">
        <f ca="1">IF($BY347=0,0,IF($BW347&lt;=Control!$C$89,$BU347*(30+(60-30)*(BX347/Control!$C$89)),0))</f>
        <v>#N/A</v>
      </c>
      <c r="CA347" s="140" t="e">
        <f ca="1">IF($BG347+$BM347+$BS347+$BY347=1,0,IF(OR(AND($BB347&lt;65,$BB347&gt;=60),$BW347&gt;=Control!$C$89),1*$BA347,$CE346))</f>
        <v>#N/A</v>
      </c>
      <c r="CB347" s="140" t="e">
        <f ca="1">IF($BX347&lt;0,-$BX347,$CA347*IF(OR($G347&lt;Control!$C$92,$G347&gt;Control!$C$95),0,IF(AND($G347&gt;=Control!$C$92,$G347&lt;=Control!$C$93),$G347-Control!$C$92,IF(AND($G347&gt;Control!$C$93,$G347&lt;=Control!$C$94),Control!$C$93-Control!$C$92,IF(AND($G347&gt;Control!$C$94,$G347&lt;=Control!$C$95),(Control!$C$93-Control!$C$92)*(Control!$C$94-$G347)/(Control!$C$95-Control!$C$94))))))</f>
        <v>#N/A</v>
      </c>
      <c r="CC347" s="140" t="e">
        <f t="shared" ca="1" si="1293"/>
        <v>#N/A</v>
      </c>
      <c r="CD347" s="140" t="e">
        <f ca="1">IF($CC347&lt;=Control!$C$90,$CC347,Control!$C$90-$CC347)</f>
        <v>#N/A</v>
      </c>
      <c r="CE347" s="140" t="e">
        <f ca="1">IF(AND($BB347&gt;=60,$BB347&lt;65),1,IF($CC347&gt;=Control!$C$90,0,$CA347))</f>
        <v>#N/A</v>
      </c>
      <c r="CF347" s="404" t="e">
        <f ca="1">IF($CE347=0,0,IF($CC347&lt;=Control!$C$90,$CA347*(60+(65-60)*(CD347/Control!$C$90)),0))</f>
        <v>#N/A</v>
      </c>
      <c r="CG347" s="140" t="e">
        <f ca="1">IF($BG347+$BM347+$BS347+$BY347+$CE347=1,0,IF(OR(AND($BB347&lt;90,$BB347&gt;=65),$CC347&gt;=Control!$C$90),$BA347,$CK346))</f>
        <v>#N/A</v>
      </c>
      <c r="CH347" s="140" t="e">
        <f ca="1">IF($CD347&lt;0,-$CD347,$CG347*IF(OR($G347&lt;Control!$C$92,$G347&gt;Control!$C$95),0,IF(AND($G347&gt;=Control!$C$92,$G347&lt;=Control!$C$93),$G347-Control!$C$92,IF(AND($G347&gt;Control!$C$93,$G347&lt;=Control!$C$94),Control!$C$93-Control!$C$92,IF(AND($G347&gt;Control!$C$94,$G347&lt;=Control!$C$95),(Control!$C$93-Control!$C$92)*(Control!$C$94-$G347)/(Control!$C$95-Control!$C$94))))))</f>
        <v>#N/A</v>
      </c>
      <c r="CI347" s="140" t="e">
        <f t="shared" ca="1" si="1294"/>
        <v>#N/A</v>
      </c>
      <c r="CJ347" s="140" t="e">
        <f ca="1">IF($CI347&lt;=Control!$C$91,$CI347,Control!$C$91-$CI347)</f>
        <v>#N/A</v>
      </c>
      <c r="CK347" s="140" t="e">
        <f ca="1">IF(AND($BB347&gt;=65,$BB347&lt;90),1,IF($CI347&gt;=Control!$C$91,0,$CG347))</f>
        <v>#N/A</v>
      </c>
      <c r="CL347" s="404" t="e">
        <f ca="1">IF($CK347=0,0,IF($CI347&lt;=Control!$C$91,$CG347*(65+(90-65)*($CJ347/Control!$C$91)),0))</f>
        <v>#N/A</v>
      </c>
      <c r="CM347" s="140" t="e">
        <f ca="1">IF($BG347+$BM347+$BS347+$BY347+$CE347+$CK347=1,0,IF(OR($BB347&gt;=90,$CI347&gt;=Control!$C$91),$BA347,$CM346))</f>
        <v>#N/A</v>
      </c>
      <c r="CN347" s="140" t="e">
        <f t="shared" ca="1" si="1295"/>
        <v>#N/A</v>
      </c>
      <c r="CO347" s="140" t="e">
        <f t="shared" ca="1" si="1296"/>
        <v>#N/A</v>
      </c>
      <c r="CP347" s="140" t="e">
        <f t="shared" ca="1" si="1297"/>
        <v>#N/A</v>
      </c>
      <c r="CQ347" s="141" t="e">
        <f ca="1">VLOOKUP($CP347,Control!$B$86:$G$91,6)</f>
        <v>#N/A</v>
      </c>
      <c r="CR347" s="141" t="e">
        <f ca="1">(1-$CQ347)*VLOOKUP($CP347,Control!$B$86:$D$91,3)</f>
        <v>#N/A</v>
      </c>
      <c r="CS347" s="141" t="e">
        <f ca="1">(1-$CQ347)*VLOOKUP($CP347,Control!$B$86:$E$91,4)</f>
        <v>#N/A</v>
      </c>
      <c r="CT347" s="141" t="e">
        <f ca="1">(1-$CQ347)*VLOOKUP($CP347,Control!$B$86:$F$91,5)</f>
        <v>#N/A</v>
      </c>
      <c r="CU347" s="141">
        <f t="shared" ca="1" si="1298"/>
        <v>0</v>
      </c>
      <c r="CV347" s="583">
        <f t="shared" ca="1" si="1299"/>
        <v>0</v>
      </c>
      <c r="CW347" s="142">
        <f t="shared" ca="1" si="1300"/>
        <v>343</v>
      </c>
      <c r="CX347" s="612" t="e">
        <f ca="1">IF(Control!$C$114=1,(MIN(Control!$C$120*(IF($NT347-0.01&lt;0,0,1)),Control!$C$119-$CY347)))</f>
        <v>#DIV/0!</v>
      </c>
      <c r="CY347" s="143" t="e">
        <f t="shared" ca="1" si="1301"/>
        <v>#N/A</v>
      </c>
      <c r="CZ347" s="144">
        <f t="shared" ca="1" si="1177"/>
        <v>0</v>
      </c>
      <c r="DA347" s="144">
        <f t="shared" ca="1" si="1178"/>
        <v>0</v>
      </c>
      <c r="DB347" s="144" t="e">
        <f t="shared" ca="1" si="1179"/>
        <v>#N/A</v>
      </c>
      <c r="DC347" s="144" t="e">
        <f t="shared" ca="1" si="1180"/>
        <v>#N/A</v>
      </c>
      <c r="DD347" s="144" t="e">
        <f t="shared" ca="1" si="1386"/>
        <v>#N/A</v>
      </c>
      <c r="DE347" s="143" t="e">
        <f t="shared" ca="1" si="1302"/>
        <v>#N/A</v>
      </c>
      <c r="DF347" s="145" t="e">
        <f ca="1">$DR347*EXP(-Control!$C$158*(1-$KH347))</f>
        <v>#N/A</v>
      </c>
      <c r="DG347" s="146" t="e">
        <f ca="1">IF(Control!$C$114=1, $DF347*$EY347, 0)</f>
        <v>#N/A</v>
      </c>
      <c r="DH347" s="147" t="e">
        <f t="shared" ca="1" si="1303"/>
        <v>#N/A</v>
      </c>
      <c r="DI347" s="144" t="e">
        <f t="shared" ca="1" si="1364"/>
        <v>#N/A</v>
      </c>
      <c r="DJ347" s="147" t="e">
        <f ca="1">$EF347*Control!$C$109</f>
        <v>#N/A</v>
      </c>
      <c r="DK347" s="144" t="e">
        <f t="shared" ca="1" si="1304"/>
        <v>#N/A</v>
      </c>
      <c r="DL347" s="144" t="e">
        <f t="shared" ca="1" si="1181"/>
        <v>#N/A</v>
      </c>
      <c r="DM347" s="144" t="e">
        <f ca="1">IF(Control!$C$114=1, (1-EXP(-Control!$C$96*$DK347))*$AR347, 0)</f>
        <v>#N/A</v>
      </c>
      <c r="DN347" s="144">
        <f t="shared" ca="1" si="1305"/>
        <v>0</v>
      </c>
      <c r="DO347" s="148">
        <f>Control!$C$97</f>
        <v>4</v>
      </c>
      <c r="DP347" s="145" t="e">
        <f t="shared" ca="1" si="1306"/>
        <v>#N/A</v>
      </c>
      <c r="DQ347" s="145" t="e">
        <f ca="1">IF(AND($CP347&gt;=0,$CP347&lt;=90),Control!$C$111,Control!$C$111)</f>
        <v>#N/A</v>
      </c>
      <c r="DR347" s="145" t="e">
        <f t="shared" ca="1" si="1182"/>
        <v>#N/A</v>
      </c>
      <c r="DS347" s="143" t="e">
        <f ca="1">Control!$B$22/$DR347</f>
        <v>#N/A</v>
      </c>
      <c r="DT347" s="149" t="e">
        <f ca="1">IF(AND(Control!$C$114=1,$KH347&lt;1),$IM347*$DF347, 0)</f>
        <v>#N/A</v>
      </c>
      <c r="DU347" s="144" t="e">
        <f t="shared" ca="1" si="1307"/>
        <v>#N/A</v>
      </c>
      <c r="DV347" s="144">
        <f ca="1">IF($G347-Control!$C$107&lt;=0, 0, 0.83*LN(MAX($G347, 3))-0.8924)</f>
        <v>0</v>
      </c>
      <c r="DW347" s="144" t="e">
        <f t="shared" ca="1" si="1183"/>
        <v>#N/A</v>
      </c>
      <c r="DX347" s="150" t="e">
        <f ca="1">MAX(0.01*(1+$CU347/Control!$C$102),0.05*($DK347-Control!$C$97)/Control!$C$97)</f>
        <v>#N/A</v>
      </c>
      <c r="DY347" s="151" t="e">
        <f ca="1">IF(Control!$C$114=1, $DI347*$FS347, 0)</f>
        <v>#N/A</v>
      </c>
      <c r="DZ347" s="196" t="e">
        <f t="shared" ca="1" si="1308"/>
        <v>#N/A</v>
      </c>
      <c r="EA347" s="152">
        <f t="shared" ca="1" si="1309"/>
        <v>343</v>
      </c>
      <c r="EB347" s="153" t="e">
        <f t="shared" ca="1" si="1310"/>
        <v>#N/A</v>
      </c>
      <c r="EC347" s="153" t="e">
        <f t="shared" ca="1" si="1311"/>
        <v>#N/A</v>
      </c>
      <c r="ED347" s="154" t="e">
        <f ca="1">IF(Control!$C$114=1, $HM347*$FY347-$FD347, 0)</f>
        <v>#DIV/0!</v>
      </c>
      <c r="EE347" s="155" t="e">
        <f ca="1">IF(Control!$C$114=1, $HM347*$FZ347-$FF347, 0)</f>
        <v>#DIV/0!</v>
      </c>
      <c r="EF347" s="153" t="e">
        <f t="shared" ca="1" si="1365"/>
        <v>#N/A</v>
      </c>
      <c r="EG347" s="155" t="e">
        <f ca="1">IF(Control!$C$114=1, $GX347*$FW347-$FI347, 0)</f>
        <v>#DIV/0!</v>
      </c>
      <c r="EH347" s="153" t="e">
        <f t="shared" ca="1" si="1312"/>
        <v>#N/A</v>
      </c>
      <c r="EI347" s="156" t="e">
        <f t="shared" ca="1" si="1313"/>
        <v>#N/A</v>
      </c>
      <c r="EJ347" s="155" t="e">
        <f ca="1">IF(Control!$C$114=1, $HM347*$GB347, 0)</f>
        <v>#DIV/0!</v>
      </c>
      <c r="EK347" s="153" t="e">
        <f t="shared" ca="1" si="1366"/>
        <v>#N/A</v>
      </c>
      <c r="EL347" s="153" t="e">
        <f t="shared" ca="1" si="1184"/>
        <v>#N/A</v>
      </c>
      <c r="EM347" s="153" t="e">
        <f t="shared" ca="1" si="1185"/>
        <v>#N/A</v>
      </c>
      <c r="EN347" s="153" t="e">
        <f ca="1">IF(Control!$C$108=1,IF(AND(Control!$B$18=1,$EB347&gt;=Control!$B$19),$EB347-$DS347,IF(AND(Control!$B$18=2,$AW347=1,$EB347&gt;$DS347),$EB347-$DS347,0)))</f>
        <v>#N/A</v>
      </c>
      <c r="EO347" s="153" t="e">
        <f ca="1">IF(Control!$C$108=1,IF(AND(Control!$B$18=1,$EB347&gt;=Control!$B$19),$EF347,IF(AND(Control!$B$18=2,$AW347=1),$EF347,0)))</f>
        <v>#N/A</v>
      </c>
      <c r="EP347" s="153" t="e">
        <f ca="1">IF(Control!$C$108=1,IF(AND(Control!$B$18=1,$EB347&gt;=Control!$B$19),$EK347,IF(AND(Control!$B$18=2,$AW347=1),$EK347,0)))</f>
        <v>#N/A</v>
      </c>
      <c r="EQ347" s="153" t="e">
        <f t="shared" ca="1" si="1314"/>
        <v>#N/A</v>
      </c>
      <c r="ER347" s="153" t="e">
        <f t="shared" ca="1" si="1315"/>
        <v>#N/A</v>
      </c>
      <c r="ES347" s="153" t="e">
        <f t="shared" ca="1" si="1367"/>
        <v>#N/A</v>
      </c>
      <c r="ET347" s="153" t="e">
        <f t="shared" ca="1" si="1368"/>
        <v>#N/A</v>
      </c>
      <c r="EU347" s="153" t="e">
        <f t="shared" ca="1" si="1316"/>
        <v>#N/A</v>
      </c>
      <c r="EV347" s="153" t="e">
        <f t="shared" ca="1" si="1186"/>
        <v>#N/A</v>
      </c>
      <c r="EW347" s="153" t="e">
        <f t="shared" ca="1" si="1187"/>
        <v>#N/A</v>
      </c>
      <c r="EX347" s="153" t="e">
        <f t="shared" ca="1" si="1188"/>
        <v>#N/A</v>
      </c>
      <c r="EY347" s="157" t="e">
        <f t="shared" ca="1" si="1189"/>
        <v>#DIV/0!</v>
      </c>
      <c r="EZ347" s="154" t="e">
        <f t="shared" ca="1" si="1190"/>
        <v>#DIV/0!</v>
      </c>
      <c r="FA347" s="153" t="e">
        <f t="shared" ca="1" si="1317"/>
        <v>#N/A</v>
      </c>
      <c r="FB347" s="153" t="e">
        <f t="shared" ca="1" si="1191"/>
        <v>#N/A</v>
      </c>
      <c r="FC347" s="193" t="e">
        <f t="shared" ca="1" si="1192"/>
        <v>#N/A</v>
      </c>
      <c r="FD347" s="158" t="e">
        <f t="shared" ca="1" si="1318"/>
        <v>#N/A</v>
      </c>
      <c r="FE347" s="158" t="e">
        <f t="shared" ca="1" si="1319"/>
        <v>#N/A</v>
      </c>
      <c r="FF347" s="159" t="e">
        <f t="shared" ca="1" si="1193"/>
        <v>#N/A</v>
      </c>
      <c r="FG347" s="160" t="e">
        <f t="shared" ca="1" si="1320"/>
        <v>#N/A</v>
      </c>
      <c r="FH347" s="158" t="e">
        <f t="shared" ca="1" si="1321"/>
        <v>#N/A</v>
      </c>
      <c r="FI347" s="159" t="e">
        <f t="shared" ca="1" si="1194"/>
        <v>#N/A</v>
      </c>
      <c r="FJ347" s="160" t="e">
        <f t="shared" ca="1" si="1322"/>
        <v>#N/A</v>
      </c>
      <c r="FK347" s="160" t="e">
        <f t="shared" ca="1" si="1195"/>
        <v>#N/A</v>
      </c>
      <c r="FL347" s="160" t="e">
        <f t="shared" ca="1" si="1369"/>
        <v>#N/A</v>
      </c>
      <c r="FM347" s="160" t="e">
        <f t="shared" ca="1" si="1196"/>
        <v>#N/A</v>
      </c>
      <c r="FN347" s="158">
        <f t="shared" ca="1" si="1323"/>
        <v>0.01</v>
      </c>
      <c r="FO347" s="160">
        <f>Control!$C$101</f>
        <v>50</v>
      </c>
      <c r="FP347" s="150" t="e">
        <f t="shared" ca="1" si="1197"/>
        <v>#N/A</v>
      </c>
      <c r="FQ347" s="150" t="e">
        <f ca="1">MAX(0,(Control!$C$112*(($DK347-Control!$C$97)/Control!$C$97)))</f>
        <v>#N/A</v>
      </c>
      <c r="FR347" s="150" t="e">
        <f ca="1">(1-$NT347)*Control!$C$113</f>
        <v>#DIV/0!</v>
      </c>
      <c r="FS347" s="198" t="e">
        <f t="shared" ca="1" si="1198"/>
        <v>#N/A</v>
      </c>
      <c r="FT347" s="161">
        <f t="shared" ca="1" si="1324"/>
        <v>343</v>
      </c>
      <c r="FU347" s="162" t="e">
        <f ca="1">IF(Control!$B$34=1,VLOOKUP($CP347,Control!$B$86:$G$91,6),Control!$B$35)</f>
        <v>#N/A</v>
      </c>
      <c r="FV347" s="162" t="e">
        <f t="shared" ca="1" si="1199"/>
        <v>#DIV/0!</v>
      </c>
      <c r="FW347" s="162" t="e">
        <f ca="1">IF(Control!$B$31=1,$FU347*$FV347,  $FU347)</f>
        <v>#N/A</v>
      </c>
      <c r="FX347" s="162" t="e">
        <f ca="1">IF(Control!$B$34=1,VLOOKUP($CP347,Control!$B$86:$G$91,3),Control!$B$36)</f>
        <v>#N/A</v>
      </c>
      <c r="FY347" s="162" t="e">
        <f t="shared" ca="1" si="1200"/>
        <v>#N/A</v>
      </c>
      <c r="FZ347" s="162" t="e">
        <f ca="1">IF(Control!$B$34=1,VLOOKUP($CP347,Control!$B$86:$G$91,4),Control!$B$37)</f>
        <v>#N/A</v>
      </c>
      <c r="GA347" s="162" t="e">
        <f t="shared" ca="1" si="1201"/>
        <v>#N/A</v>
      </c>
      <c r="GB347" s="162" t="e">
        <f ca="1">IF(Control!$B$34=1,VLOOKUP($CP347,Control!$B$86:$G$91,5),Control!$B$38)</f>
        <v>#N/A</v>
      </c>
      <c r="GC347" s="162" t="e">
        <f t="shared" ca="1" si="1325"/>
        <v>#N/A</v>
      </c>
      <c r="GD347" s="162">
        <f t="shared" ca="1" si="1202"/>
        <v>1</v>
      </c>
      <c r="GE347" s="162">
        <f t="shared" ca="1" si="1203"/>
        <v>1</v>
      </c>
      <c r="GF347" s="162">
        <f ca="1">IF(AND(Control!$C$104=1, Control!$C$62="F"),$GE347,1)</f>
        <v>1</v>
      </c>
      <c r="GG347" s="162" t="e">
        <f ca="1">IF(Control!$B$16=40,0,IF(AND(Control!$B$16&gt;40,Control!$B$16&lt;=360),(Control!$B$16-40)*((1-0)/(360-40)),IF(AND(Control!$B$16&gt;360,Control!$B$16&lt;=720),(1+(Control!$B$16-360)*((1.25-1)/(720-360))),IF(AND(Control!$B$16&gt;720,Control!$B$16&lt;=1000),(1.25+(Control!$B$16-720)*((1.35-1.25)/(1000-720))),IF(AND(Control!$B$16&gt;1000,Control!$B$16&lt;=2000),(1.35+(Control!$B$16-1000)*0))))))</f>
        <v>#N/A</v>
      </c>
      <c r="GH347" s="162" t="e">
        <f t="shared" ca="1" si="1204"/>
        <v>#N/A</v>
      </c>
      <c r="GI347" s="162">
        <f t="shared" ca="1" si="1326"/>
        <v>0</v>
      </c>
      <c r="GJ347" s="162">
        <f t="shared" ca="1" si="1205"/>
        <v>0</v>
      </c>
      <c r="GK347" s="162">
        <f t="shared" ca="1" si="1327"/>
        <v>1</v>
      </c>
      <c r="GL347" s="162">
        <f t="shared" ca="1" si="1206"/>
        <v>1</v>
      </c>
      <c r="GM347" s="162" t="e">
        <f ca="1">MAX(0,MIN(1,1-Control!$C$156*(1.0001-$KH347)^2))</f>
        <v>#N/A</v>
      </c>
      <c r="GN347" s="162" t="e">
        <f ca="1">IF(Control!$B$26=1,$KU347,$KX347)</f>
        <v>#N/A</v>
      </c>
      <c r="GO347" s="162" t="e">
        <f ca="1">IF($CP347&lt;=60,Control!$C$105,IF($CP347&gt;=90,Control!$C$106,Control!$C$105+($CP347-60)*((Control!$C$106-Control!$C$105)/(90-60))))</f>
        <v>#N/A</v>
      </c>
      <c r="GP347" s="162" t="e">
        <f t="shared" ca="1" si="1207"/>
        <v>#N/A</v>
      </c>
      <c r="GQ347" s="162" t="e">
        <f t="shared" ca="1" si="1328"/>
        <v>#N/A</v>
      </c>
      <c r="GR347" s="163" t="e">
        <f t="shared" ca="1" si="1208"/>
        <v>#DIV/0!</v>
      </c>
      <c r="GS347" s="162" t="e">
        <f t="shared" ca="1" si="1209"/>
        <v>#DIV/0!</v>
      </c>
      <c r="GT347" s="164" t="e">
        <f t="shared" ca="1" si="1329"/>
        <v>#N/A</v>
      </c>
      <c r="GU347" s="162" t="e">
        <f t="shared" ca="1" si="1330"/>
        <v>#N/A</v>
      </c>
      <c r="GV347" s="162" t="e">
        <f t="shared" ca="1" si="1210"/>
        <v>#N/A</v>
      </c>
      <c r="GW347" s="162" t="e">
        <f t="shared" ca="1" si="1211"/>
        <v>#DIV/0!</v>
      </c>
      <c r="GX347" s="162" t="e">
        <f t="shared" ca="1" si="1331"/>
        <v>#DIV/0!</v>
      </c>
      <c r="GY347" s="162" t="e">
        <f t="shared" ca="1" si="1332"/>
        <v>#DIV/0!</v>
      </c>
      <c r="GZ347" s="165" t="e">
        <f t="shared" ca="1" si="1212"/>
        <v>#N/A</v>
      </c>
      <c r="HA347" s="162" t="e">
        <f ca="1">IF(Control!$C$114=1, $DI347*$FS347, 0)</f>
        <v>#N/A</v>
      </c>
      <c r="HB347" s="162" t="e">
        <f ca="1">$FA347/Control!$C$64</f>
        <v>#N/A</v>
      </c>
      <c r="HC347" s="162" t="e">
        <f t="shared" ca="1" si="1213"/>
        <v>#DIV/0!</v>
      </c>
      <c r="HD347" s="162">
        <f ca="1">-ASIN(SIN(23.45*Control!$C$139)*COS(2*Control!$C$138*($AH347+10)/365))</f>
        <v>-0.40007811996005599</v>
      </c>
      <c r="HE347" s="165">
        <f t="shared" ca="1" si="1333"/>
        <v>0</v>
      </c>
      <c r="HF347" s="166">
        <f ca="1">IF(AND(Control!$C$61="T",$HE347&gt;=Control!$C$103,Control!$C$114=0),$AH347,Control!$C$59)</f>
        <v>1</v>
      </c>
      <c r="HG347" s="166">
        <f ca="1">IF(AND(Control!$C$61="T",$HE347&gt;=Control!$C$103,Control!$C$114=0),$HF347,Control!$C$59)</f>
        <v>1</v>
      </c>
      <c r="HH347" s="165">
        <f ca="1">IF(AND(OR(Control!$C$60&lt;=0, $AH347= Control!$C$59, Control!$C$60 &gt;0, $AH347 = Control!$C$60)), Control!$C$59, IF(Control!$C$60&gt;0, 0))</f>
        <v>1</v>
      </c>
      <c r="HI347" s="165">
        <f ca="1">IF(AND(OR(Control!$C$60&lt;=0, $AH347= Control!$C$59, Control!$C$60 &gt;0, $AH347 = Control!$C$60)), Control!$C$60, IF(Control!$C$60&lt;=0, 0))</f>
        <v>0</v>
      </c>
      <c r="HJ347" s="166">
        <f ca="1">IF(AND(Control!$C$62="F",$CV347&gt;=Control!$C$102),$AH347,0)</f>
        <v>0</v>
      </c>
      <c r="HK347" s="165" t="e">
        <f t="shared" ca="1" si="1370"/>
        <v>#N/A</v>
      </c>
      <c r="HL347" s="166">
        <f ca="1">IF(AND(Control!$C$61="T",$HE347&gt;=Control!$C$103,Control!$C$114=0),$HF347,0)</f>
        <v>0</v>
      </c>
      <c r="HM347" s="201" t="e">
        <f t="shared" ca="1" si="1214"/>
        <v>#DIV/0!</v>
      </c>
      <c r="HN347" s="215">
        <f t="shared" ca="1" si="1334"/>
        <v>343</v>
      </c>
      <c r="HO347" s="216" t="e">
        <f ca="1">IF(AND($CP347&gt;=0, $CP347&lt;=90), Control!$C$152, Control!$C$152)</f>
        <v>#N/A</v>
      </c>
      <c r="HP347" s="216" t="e">
        <f t="shared" ca="1" si="1215"/>
        <v>#N/A</v>
      </c>
      <c r="HQ347" s="217" t="e">
        <f ca="1">IF(OR(Control!$B$26=1,Control!$B$26=2),$KV347,$KS347)</f>
        <v>#DIV/0!</v>
      </c>
      <c r="HR347" s="218" t="e">
        <f t="shared" ca="1" si="1371"/>
        <v>#DIV/0!</v>
      </c>
      <c r="HS347" s="216" t="e">
        <f ca="1">Control!$C$154*$HP347</f>
        <v>#N/A</v>
      </c>
      <c r="HT347" s="216" t="e">
        <f ca="1">Control!$C$155*$HP347</f>
        <v>#N/A</v>
      </c>
      <c r="HU347" s="217" t="e">
        <f ca="1">Control!$C$161*$FI347</f>
        <v>#N/A</v>
      </c>
      <c r="HV347" s="218" t="e">
        <f t="shared" ca="1" si="1335"/>
        <v>#N/A</v>
      </c>
      <c r="HW347" s="218" t="e">
        <f ca="1">Control!$C$160*$FF347+$IP347*$EO347</f>
        <v>#N/A</v>
      </c>
      <c r="HX347" s="218" t="e">
        <f t="shared" ca="1" si="1372"/>
        <v>#N/A</v>
      </c>
      <c r="HY347" s="219" t="e">
        <f ca="1">IF(Control!$C$114=1, $EB347*$FS347, 0)</f>
        <v>#N/A</v>
      </c>
      <c r="HZ347" s="91" t="e">
        <f t="shared" ca="1" si="1216"/>
        <v>#N/A</v>
      </c>
      <c r="IA347" s="220" t="e">
        <f ca="1">Control!$C$153*$HO347</f>
        <v>#N/A</v>
      </c>
      <c r="IB347" s="218" t="e">
        <f t="shared" ca="1" si="1217"/>
        <v>#N/A</v>
      </c>
      <c r="IC347" s="220" t="e">
        <f ca="1">Control!$C$153*$HT347</f>
        <v>#N/A</v>
      </c>
      <c r="ID347" s="218" t="e">
        <f t="shared" ca="1" si="1218"/>
        <v>#N/A</v>
      </c>
      <c r="IE347" s="221" t="e">
        <f ca="1">($EB347*Control!$C$159+$EF347*Control!$C$160)/(IF($GZ347&lt;&gt;0,$GZ347,1))</f>
        <v>#N/A</v>
      </c>
      <c r="IF347" s="216" t="e">
        <f t="shared" ca="1" si="1219"/>
        <v>#N/A</v>
      </c>
      <c r="IG347" s="91">
        <f ca="1">IF(OR(Control!$B$198=$AH347,Control!$B$199=$AH347, Control!$B$200=$AH347, Control!$B$201=$AH347, Control!$B$202=$AH347, Control!$B$203=$AH347, Control!$B$204=$AH347, Control!$B$205=$AH347, Control!$B$206=$AH347, Control!$B$207=$AH347), 1, 0)</f>
        <v>0</v>
      </c>
      <c r="IH347" s="91">
        <f ca="1">IF($IG347=0,0, VLOOKUP($AH347,Control!$B$198:$C$207,2))</f>
        <v>0</v>
      </c>
      <c r="II347" s="222">
        <f t="shared" ca="1" si="1336"/>
        <v>0</v>
      </c>
      <c r="IJ347" s="91">
        <f>Control!$C$121</f>
        <v>0.7</v>
      </c>
      <c r="IK347" s="218">
        <f t="shared" ca="1" si="1220"/>
        <v>0</v>
      </c>
      <c r="IL347" s="217" t="e">
        <f t="shared" ca="1" si="1373"/>
        <v>#N/A</v>
      </c>
      <c r="IM347" s="223" t="e">
        <f ca="1">IF(AND(Control!$C$114=1,$KH347&lt;1),$EB347*Control!$C$148*(1-$KH347), 0)</f>
        <v>#N/A</v>
      </c>
      <c r="IN347" s="217" t="e">
        <f t="shared" ca="1" si="1221"/>
        <v>#DIV/0!</v>
      </c>
      <c r="IO347" s="91" t="e">
        <f ca="1">MAX(0,$IL347-$EF347*Control!$C$160)</f>
        <v>#N/A</v>
      </c>
      <c r="IP347" s="220" t="e">
        <f t="shared" ca="1" si="1222"/>
        <v>#N/A</v>
      </c>
      <c r="IQ347" s="217" t="e">
        <f t="shared" ca="1" si="1337"/>
        <v>#N/A</v>
      </c>
      <c r="IR347" s="218" t="e">
        <f t="shared" ca="1" si="1223"/>
        <v>#N/A</v>
      </c>
      <c r="IS347" s="217" t="e">
        <f ca="1">Control!$C$159*MAX(0,$FD347-$EN347)</f>
        <v>#N/A</v>
      </c>
      <c r="IT347" s="217" t="e">
        <f t="shared" ca="1" si="1374"/>
        <v>#N/A</v>
      </c>
      <c r="IU347" s="217" t="e">
        <f t="shared" ca="1" si="1338"/>
        <v>#N/A</v>
      </c>
      <c r="IV347" s="217" t="e">
        <f t="shared" ca="1" si="1375"/>
        <v>#N/A</v>
      </c>
      <c r="IW347" s="217" t="e">
        <f ca="1">IF(OR($AW347=1,AND($AW347=0, Control!$B$18=1,$EN347&lt;&gt;0)), $IQ347-$IU347, $IQ347)</f>
        <v>#N/A</v>
      </c>
      <c r="IX347" s="218" t="e">
        <f t="shared" ca="1" si="1224"/>
        <v>#N/A</v>
      </c>
      <c r="IY347" s="218" t="e">
        <f ca="1">MAX(0,$IQ347-$EB347*Control!$C$159)</f>
        <v>#N/A</v>
      </c>
      <c r="IZ347" s="218" t="e">
        <f t="shared" ca="1" si="1225"/>
        <v>#N/A</v>
      </c>
      <c r="JA347" s="216" t="e">
        <f t="shared" ca="1" si="1226"/>
        <v>#N/A</v>
      </c>
      <c r="JB347" s="217" t="e">
        <f t="shared" ca="1" si="1227"/>
        <v>#N/A</v>
      </c>
      <c r="JC347" s="222" t="e">
        <f ca="1">MAX(Control!$C$157*$EK347-$JT347, 0)/Control!$C$162</f>
        <v>#N/A</v>
      </c>
      <c r="JD347" s="218" t="e">
        <f t="shared" ca="1" si="1228"/>
        <v>#N/A</v>
      </c>
      <c r="JE347" s="218" t="e">
        <f t="shared" ca="1" si="1229"/>
        <v>#N/A</v>
      </c>
      <c r="JF347" s="218" t="e">
        <f t="shared" ca="1" si="1339"/>
        <v>#N/A</v>
      </c>
      <c r="JG347" s="218" t="e">
        <f t="shared" ca="1" si="1230"/>
        <v>#N/A</v>
      </c>
      <c r="JH347" s="217" t="e">
        <f t="shared" ca="1" si="1340"/>
        <v>#N/A</v>
      </c>
      <c r="JI347" s="217" t="e">
        <f t="shared" ca="1" si="1341"/>
        <v>#N/A</v>
      </c>
      <c r="JJ347" s="217" t="e">
        <f t="shared" ca="1" si="1376"/>
        <v>#N/A</v>
      </c>
      <c r="JK347" s="217" t="e">
        <f ca="1">IF(Control!$C$114=1,IF(Control!$B$24=0,MAX(0,$JI347)*$GN347/Control!$C$64,(MAX(0,MIN($JI347,$JJ347*$GN347/Control!$C$64),0))))</f>
        <v>#N/A</v>
      </c>
      <c r="JL347" s="217" t="e">
        <f ca="1">$IK347/Control!$C$64-$JK347+$HQ347</f>
        <v>#N/A</v>
      </c>
      <c r="JM347" s="217" t="e">
        <f ca="1">IF(Control!$C$114=1,($JB347/(IF($JI347&lt;&gt;0,$JI347,1)))*$JK347,0)</f>
        <v>#N/A</v>
      </c>
      <c r="JN347" s="217" t="e">
        <f ca="1">IF(Control!$C$114=1,($JG347/(IF($JI347&lt;&gt;0,$JI347,1)))*$JK347, 0)</f>
        <v>#N/A</v>
      </c>
      <c r="JO347" s="218" t="e">
        <f t="shared" ca="1" si="1231"/>
        <v>#N/A</v>
      </c>
      <c r="JP347" s="218" t="e">
        <f ca="1">MIN(($IY347+$IO347)*Control!$C$151, $JF347-$EH347*Control!$C$161)</f>
        <v>#N/A</v>
      </c>
      <c r="JQ347" s="218" t="e">
        <f t="shared" ca="1" si="1232"/>
        <v>#N/A</v>
      </c>
      <c r="JR347" s="217" t="e">
        <f ca="1">IF($CP347-Control!$C$150&lt;0, 0, $JQ347/Control!$C$162)</f>
        <v>#N/A</v>
      </c>
      <c r="JS347" s="218" t="e">
        <f t="shared" ca="1" si="1233"/>
        <v>#N/A</v>
      </c>
      <c r="JT347" s="218" t="e">
        <f t="shared" ca="1" si="1342"/>
        <v>#N/A</v>
      </c>
      <c r="JU347" s="218" t="e">
        <f t="shared" ca="1" si="1234"/>
        <v>#N/A</v>
      </c>
      <c r="JV347" s="218" t="e">
        <f t="shared" ca="1" si="1235"/>
        <v>#N/A</v>
      </c>
      <c r="JW347" s="216" t="e">
        <f t="shared" ca="1" si="1236"/>
        <v>#N/A</v>
      </c>
      <c r="JX347" s="91" t="e">
        <f t="shared" ca="1" si="1237"/>
        <v>#N/A</v>
      </c>
      <c r="JY347" s="218" t="e">
        <f t="shared" ca="1" si="1238"/>
        <v>#N/A</v>
      </c>
      <c r="JZ347" s="217" t="e">
        <f ca="1">IF(Control!$C$114=1,($IZ347/(IF($JI347&lt;&gt;0,$JI347,1)))*$JK347, 0)</f>
        <v>#N/A</v>
      </c>
      <c r="KA347" s="218" t="e">
        <f t="shared" ca="1" si="1377"/>
        <v>#N/A</v>
      </c>
      <c r="KB347" s="218" t="e">
        <f t="shared" ca="1" si="1343"/>
        <v>#N/A</v>
      </c>
      <c r="KC347" s="218" t="e">
        <f t="shared" ca="1" si="1239"/>
        <v>#N/A</v>
      </c>
      <c r="KD347" s="218" t="e">
        <f t="shared" ca="1" si="1240"/>
        <v>#N/A</v>
      </c>
      <c r="KE347" s="218" t="e">
        <f t="shared" ca="1" si="1241"/>
        <v>#N/A</v>
      </c>
      <c r="KF347" s="218" t="e">
        <f t="shared" ca="1" si="1242"/>
        <v>#N/A</v>
      </c>
      <c r="KG347" s="216" t="e">
        <f t="shared" ca="1" si="1243"/>
        <v>#N/A</v>
      </c>
      <c r="KH347" s="221" t="e">
        <f ca="1">IF(Control!$B$24=0,1,MAX(0.001,MIN(1,IF(($IF347-$IE347)&lt;&gt;0,($KG347-$IE347)/($IF347-$IE347),1))))</f>
        <v>#N/A</v>
      </c>
      <c r="KI347" s="222" t="e">
        <f ca="1">IF(Control!$C$114=1, $KI346+ $KH346, 0)</f>
        <v>#N/A</v>
      </c>
      <c r="KJ347" s="217" t="e">
        <f t="shared" ca="1" si="1244"/>
        <v>#N/A</v>
      </c>
      <c r="KK347" s="218" t="e">
        <f t="shared" ca="1" si="1245"/>
        <v>#N/A</v>
      </c>
      <c r="KL347" s="274" t="e">
        <f ca="1">IF(Control!$B$26=3,4000000000*EXP(-8400/($G347+273)),IF(Control!$B$26=4,4000000000*EXP(-8400/($G347+273))*($KT347),0))</f>
        <v>#DIV/0!</v>
      </c>
      <c r="KM347" s="274" t="e">
        <f ca="1">IF(Control!$B$26=3,5600000000000*EXP(-9800/($G347+273)),IF(Control!$B$26=4,5600000000000*EXP(-9800/($G347+273))*$KT347,0))</f>
        <v>#DIV/0!</v>
      </c>
      <c r="KN347" s="454" t="e">
        <f t="shared" ca="1" si="1344"/>
        <v>#DIV/0!</v>
      </c>
      <c r="KO347" s="274" t="e">
        <f t="shared" ca="1" si="1345"/>
        <v>#DIV/0!</v>
      </c>
      <c r="KP347" s="454" t="e">
        <f t="shared" ca="1" si="1246"/>
        <v>#DIV/0!</v>
      </c>
      <c r="KQ347" s="454" t="e">
        <f t="shared" ca="1" si="1247"/>
        <v>#DIV/0!</v>
      </c>
      <c r="KR347" s="454" t="e">
        <f t="shared" ca="1" si="1248"/>
        <v>#DIV/0!</v>
      </c>
      <c r="KS347" s="454" t="e">
        <f t="shared" ca="1" si="1249"/>
        <v>#DIV/0!</v>
      </c>
      <c r="KT347" s="455" t="e">
        <f t="shared" ca="1" si="1250"/>
        <v>#DIV/0!</v>
      </c>
      <c r="KU347" s="456" t="e">
        <f ca="1">IF($CP347-Control!$C$149&lt;0, IF($NT347-0.01&lt;0,0,1),0)</f>
        <v>#N/A</v>
      </c>
      <c r="KV347" s="456" t="e">
        <f ca="1">IF(Control!$C$114=1,MAX(0,MIN(Control!$C$125*$KW347*$GN347,$KW347)))</f>
        <v>#DIV/0!</v>
      </c>
      <c r="KW347" s="456" t="e">
        <f t="shared" ca="1" si="1378"/>
        <v>#DIV/0!</v>
      </c>
      <c r="KX347" s="457" t="e">
        <f ca="1">IF($CP347-Control!$C$149&lt;0, IF($MR347-$OM347&lt;0,0,1),0)</f>
        <v>#N/A</v>
      </c>
      <c r="KY347" s="167">
        <f t="shared" ca="1" si="1346"/>
        <v>343</v>
      </c>
      <c r="KZ347" s="168">
        <f ca="1">1370*(1+0.033*COS(2*Control!$C$138*$AH347/365))</f>
        <v>1412.0067139967166</v>
      </c>
      <c r="LA347" s="169">
        <f t="shared" ca="1" si="1347"/>
        <v>1.0306616665763046</v>
      </c>
      <c r="LB347" s="169">
        <f t="shared" ca="1" si="1348"/>
        <v>-0.40101567968929847</v>
      </c>
      <c r="LC347" s="169">
        <f ca="1">ACOS(-TAN((2*Control!$B$8/360))*TAN(Calculations!$LB347))</f>
        <v>1.4444489902527418</v>
      </c>
      <c r="LD347" s="169">
        <f ca="1">((24*60)/PI())*0.082*$LA347*(($LC347*SIN(Control!$B$8*2*PI()/360))*SIN($LB347)+COS(Control!$B$8*2*PI()/360)*COS($LB347)*SIN($LC347))</f>
        <v>4.5704857210774525</v>
      </c>
      <c r="LE347" s="170">
        <f t="shared" ca="1" si="1251"/>
        <v>6.2770531055653738</v>
      </c>
      <c r="LF347" s="170">
        <f ca="1">SIN(Control!$C$139*Control!$B$8)*SIN($HD347)</f>
        <v>-0.30692304930131437</v>
      </c>
      <c r="LG347" s="170">
        <f ca="1">COS(Control!$C$139*Control!$B$8)*COS($HD347)</f>
        <v>0.56704149912638013</v>
      </c>
      <c r="LH347" s="170">
        <f ca="1">12*(1+2*ASIN(MAX(-1,MIN(1,$LF347/$LG347))/Control!$C$138))</f>
        <v>7.8442691235827811</v>
      </c>
      <c r="LI347" s="170">
        <f ca="1">12*(1+2*ASIN(MAX(-1,MIN(1,(-SIN(-4*Control!$C$139)+$LF347)/$LG347))/Control!$C$138))</f>
        <v>8.7952802332463254</v>
      </c>
      <c r="LJ347" s="168">
        <f ca="1">3600*($LH347*$LF347+24*$LG347*SQRT(1-$LK347*$LK347)/Control!$C$138)</f>
        <v>4445.4838941934167</v>
      </c>
      <c r="LK347" s="170">
        <f t="shared" ca="1" si="1252"/>
        <v>-0.54127087660105888</v>
      </c>
      <c r="LL347" s="170">
        <f t="shared" ca="1" si="1253"/>
        <v>0</v>
      </c>
      <c r="LM347" s="171">
        <f ca="1">Control!$C$145*$AB347</f>
        <v>6.6660906138995932E-2</v>
      </c>
      <c r="LN347" s="170">
        <f t="shared" ca="1" si="1349"/>
        <v>0.54</v>
      </c>
      <c r="LO347" s="170">
        <f t="shared" ca="1" si="1254"/>
        <v>0</v>
      </c>
      <c r="LP347" s="170">
        <f ca="1">Control!$C$140*((($D347+273.16)^4+($E347+273.16)^4)/2)*(0.34-0.14*SQRT($Y347))*(1.35*$AQ347/(0.75*$LD347)-0.35)</f>
        <v>-3.2464704755046001</v>
      </c>
      <c r="LQ347" s="170">
        <f ca="1">Control!$C$140*($G347+273)^4*(0.56-0.079*SQRT($Y347*10))*(0.1+0.9*$LO347)</f>
        <v>1.5241745131704001</v>
      </c>
      <c r="LR347" s="170">
        <f ca="1">$AQ347*(1-Control!$C$142)-$LQ347</f>
        <v>-1.5241745131704001</v>
      </c>
      <c r="LS347" s="170">
        <f ca="1">$AQ347*(1-Control!$C$143)-$LQ347</f>
        <v>-1.5241745131704001</v>
      </c>
      <c r="LT347" s="170">
        <f ca="1">$AQ347*(1-Control!$C$144)-$LQ347</f>
        <v>-1.5241745131704001</v>
      </c>
      <c r="LU347" s="169">
        <f ca="1">(1-Control!$C$144)*AQ347-LP347</f>
        <v>3.2464704755046001</v>
      </c>
      <c r="LV347" s="172">
        <f t="shared" ca="1" si="1255"/>
        <v>0.79430000000000012</v>
      </c>
      <c r="LW347" s="170">
        <f t="shared" ca="1" si="1256"/>
        <v>1.5886000000000002</v>
      </c>
      <c r="LX347" s="170">
        <f ca="1">($AC347*($LR347/Control!$C$141)+$LM347*$LV347)/($AC347+$LM347)</f>
        <v>0.23530094218323697</v>
      </c>
      <c r="LY347" s="170">
        <f ca="1">($AC347*($LS347/Control!$C$141)+$LM347*$LV347)/($AC347+$LM347)</f>
        <v>0.23530094218323697</v>
      </c>
      <c r="LZ347" s="170">
        <f t="shared" ca="1" si="1257"/>
        <v>0.23530094218323697</v>
      </c>
      <c r="MA347" s="170">
        <f t="shared" ca="1" si="1258"/>
        <v>0.23530094218323697</v>
      </c>
      <c r="MB347" s="170" t="e">
        <f t="shared" ca="1" si="1259"/>
        <v>#N/A</v>
      </c>
      <c r="MC347" s="170">
        <f t="shared" ca="1" si="1350"/>
        <v>0.6018</v>
      </c>
      <c r="MD347" s="170">
        <f t="shared" ca="1" si="1260"/>
        <v>0.52989392535414004</v>
      </c>
      <c r="ME347" s="170">
        <f ca="1">($AC347*($LT347/Control!$C$141)+$LM347*$LW347)/($AC347+$LM347)</f>
        <v>0.71612369323045078</v>
      </c>
      <c r="MF347" s="170" t="e">
        <f ca="1">IF(Control!$B$16&gt;=1000,0.92,IF(AND(720&lt;=Control!$B$16,1000&gt;Control!$B$16),(0.95+(Control!$B$16-720)*((0.92-0.95)/(1000-720))),IF(AND(360&lt;=Control!$B$16,720&gt;Control!$B$16),(1+(Control!$B$16-360)*((0.95-1)/(720-360))),IF(AND(40&lt;=Control!$B$16,360&gt;Control!$B$16),(1.05+(Control!$B$16-40)*((1.05-1)/(360-40)))))))</f>
        <v>#N/A</v>
      </c>
      <c r="MG347" s="170">
        <f t="shared" ca="1" si="1261"/>
        <v>0.71612369323045078</v>
      </c>
      <c r="MH347" s="170" t="e">
        <f t="shared" ca="1" si="1387"/>
        <v>#N/A</v>
      </c>
      <c r="MI347" s="170" t="e">
        <f t="shared" ca="1" si="1387"/>
        <v>#N/A</v>
      </c>
      <c r="MJ347" s="170" t="e">
        <f ca="1">MAX(0.0001, Control!$C$132*$MI347*$DL347)</f>
        <v>#N/A</v>
      </c>
      <c r="MK347" s="170">
        <f ca="1">1/(0.76+1.5*($MG347/10))-(5-Control!$C$110)*0.1</f>
        <v>1.002845988140797</v>
      </c>
      <c r="ML347" s="173">
        <f ca="1">IF(Control!$C$110&lt;3,$MK347+($MG347-0.6)/(Control!$C$110*(Control!$C$110+3)), MAX(0.1, MIN(0.95,$MK347)))</f>
        <v>0.95</v>
      </c>
      <c r="MM347" s="173">
        <f ca="1">IF(Control!$C$110&lt;3,$MK347+(($MI347/10)-0.6)/(Control!$C$110*(Control!$C$110+3)), MAX(0.1, MIN(0.95,$MK347)))</f>
        <v>0.95</v>
      </c>
      <c r="MN347" s="173">
        <f ca="1">(1-$MM347)*(Control!$C$128-Control!$C$127)+Control!$C$127</f>
        <v>0.16</v>
      </c>
      <c r="MO347" s="170" t="e">
        <f ca="1">MAX(0,MIN(1,($MS347-Control!$C$127)/($MN347-Control!$C$127)))</f>
        <v>#DIV/0!</v>
      </c>
      <c r="MP347" s="173" t="e">
        <f ca="1">1/(0.76+1.5*$MI347)-(5-Control!$C$110)*0.1</f>
        <v>#N/A</v>
      </c>
      <c r="MQ347" s="172" t="e">
        <f t="shared" ca="1" si="1379"/>
        <v>#DIV/0!</v>
      </c>
      <c r="MR347" s="168" t="e">
        <f t="shared" ca="1" si="1351"/>
        <v>#DIV/0!</v>
      </c>
      <c r="MS347" s="173" t="e">
        <f ca="1">MAX(Control!$C$127, MIN(Control!$C$135, $MR347/MAX(0.0001,$CY347)))</f>
        <v>#DIV/0!</v>
      </c>
      <c r="MT347" s="168" t="e">
        <f ca="1">(Control!$C$128-$MS347)*Control!$C$74</f>
        <v>#DIV/0!</v>
      </c>
      <c r="MU347" s="168" t="e">
        <f ca="1">(Control!$C$135-$MS347)*Control!$C$74</f>
        <v>#DIV/0!</v>
      </c>
      <c r="MV347" s="168" t="e">
        <f t="shared" ca="1" si="1352"/>
        <v>#DIV/0!</v>
      </c>
      <c r="MW347" s="168" t="e">
        <f t="shared" ca="1" si="1353"/>
        <v>#DIV/0!</v>
      </c>
      <c r="MX347" s="171" t="e">
        <f ca="1">MAX(Control!$C$127, MIN(Control!$C$135, $MW347/MAX(0.0001,Control!$C$119-$CY347)))</f>
        <v>#DIV/0!</v>
      </c>
      <c r="MY347" s="54" t="e">
        <f ca="1">IF(Control!$C$114=1, $CX347*$MX347, 0)</f>
        <v>#DIV/0!</v>
      </c>
      <c r="MZ347" s="54" t="e">
        <f t="shared" ca="1" si="1354"/>
        <v>#N/A</v>
      </c>
      <c r="NA347" s="168" t="e">
        <f ca="1">(Control!$C$128-$MX347)*(Control!$C$119-Control!$C$74)</f>
        <v>#DIV/0!</v>
      </c>
      <c r="NB347" s="168" t="e">
        <f ca="1">(Control!$C$135-$MX347)*(Control!$C$119-Control!$C$74)</f>
        <v>#DIV/0!</v>
      </c>
      <c r="NC347" s="174" t="e">
        <f t="shared" ca="1" si="1355"/>
        <v>#DIV/0!</v>
      </c>
      <c r="ND347" s="54">
        <f ca="1">IF(Control!$C$58=2, IF(OR(Control!$B$218=$AH347,Control!$B$219=$AH347, Control!$B$220=$AH347, Control!$B$221=$AH347, Control!$B$222=$AH347, Control!$B$223=$AH347, Control!$B$224=$AH347, Control!$B$225=$AH347, Control!$B$226=$AH347, Control!$B$227=$AH347, Control!$B$228=$AH347), 1, 0), 0)</f>
        <v>0</v>
      </c>
      <c r="NE347" s="54">
        <f ca="1">IF($ND347=0,0, VLOOKUP($AH347,Control!$B$218:$C$228,2))</f>
        <v>0</v>
      </c>
      <c r="NF347" s="168" t="e">
        <f ca="1">$CY347*(Control!$C$128-Control!$C$127)</f>
        <v>#N/A</v>
      </c>
      <c r="NG347" s="54" t="e">
        <f ca="1">IF(Control!$C$58=2, $NI346-$NJ346, 0)</f>
        <v>#DIV/0!</v>
      </c>
      <c r="NH347" s="54" t="e">
        <f ca="1">IF(AND(Control!$C$58=1, $MS346&lt;= ($MN346+0.02), $I346&lt;10), 0, IF(Control!$C$58=2, $NG346, 0))</f>
        <v>#DIV/0!</v>
      </c>
      <c r="NI347" s="54" t="e">
        <f ca="1">IF(Control!$C$58=2, $NE347+$NH347,0)</f>
        <v>#DIV/0!</v>
      </c>
      <c r="NJ347" s="54" t="e">
        <f ca="1">IF(AND(Control!$C$58=1, $MS347&lt;= ($MN347+0.02), $I347&lt;10), MAX(0, MIN(10, 0.7*($NF347-$MV347))), IF(Control!$C$58=2, MIN(10,$NI347),0))</f>
        <v>#DIV/0!</v>
      </c>
      <c r="NK347" s="54" t="e">
        <f t="shared" ca="1" si="1263"/>
        <v>#DIV/0!</v>
      </c>
      <c r="NL347" s="173" t="e">
        <f ca="1">(1-Control!$C$73)*$I347+$NJ347</f>
        <v>#DIV/0!</v>
      </c>
      <c r="NM347" s="172" t="e">
        <f ca="1">IF($NL347&lt;0.5, $MB347* MAX(0, MIN(1, (SQRT($NC347)-SQRT($NC347-1))*Control!$C$71)),0)</f>
        <v>#DIV/0!</v>
      </c>
      <c r="NN347" s="170" t="e">
        <f ca="1">IF($NL347&gt;=5, $MB347, MAX(0,MIN($MB347, $NM347+$NL347,($MS347-Control!$C$129))))</f>
        <v>#DIV/0!</v>
      </c>
      <c r="NO347" s="54">
        <f>IF(Control!$C$133&lt;&gt;1, Control!$C$135-Control!$C$131, 0)</f>
        <v>0.38</v>
      </c>
      <c r="NP347" s="54" t="e">
        <f t="shared" ca="1" si="1264"/>
        <v>#DIV/0!</v>
      </c>
      <c r="NQ347" s="173" t="e">
        <f ca="1">MAX(0,MIN(1,(Control!$C$135-$MS347)/(Control!$C$135-$NO347)))</f>
        <v>#DIV/0!</v>
      </c>
      <c r="NR347" s="170" t="e">
        <f ca="1">IF(Control!$C$133&lt;&gt;1, $NQ347+((1-$NP347/4)*(1-$NQ347)),1)</f>
        <v>#DIV/0!</v>
      </c>
      <c r="NS347" s="170" t="e">
        <f ca="1">IF(Control!$B$31=0,$MJ347,MAX(0,MIN($MV347,$MO347*$NR347*$MJ347)))</f>
        <v>#DIV/0!</v>
      </c>
      <c r="NT347" s="170" t="e">
        <f t="shared" ca="1" si="1380"/>
        <v>#DIV/0!</v>
      </c>
      <c r="NU347" s="170" t="e">
        <f t="shared" ca="1" si="1356"/>
        <v>#N/A</v>
      </c>
      <c r="NV347" s="170" t="e">
        <f t="shared" ca="1" si="1265"/>
        <v>#N/A</v>
      </c>
      <c r="NW347" s="175" t="e">
        <f t="shared" ca="1" si="1266"/>
        <v>#DIV/0!</v>
      </c>
      <c r="NX347" s="170" t="e">
        <f ca="1">MIN(Control!$C$72+$MU347, $NW347)</f>
        <v>#DIV/0!</v>
      </c>
      <c r="NY347" s="170" t="e">
        <f ca="1">IF($MT347&lt;=$NX347,MIN(Control!$C$72+$NB347,$NX347-$MT347),0)</f>
        <v>#DIV/0!</v>
      </c>
      <c r="NZ347" s="54" t="e">
        <f ca="1">IF(Control!$C$114=1,  $CX347*($MX347-Control!$C$127), 0)</f>
        <v>#DIV/0!</v>
      </c>
      <c r="OA347" s="170" t="e">
        <f t="shared" ca="1" si="1267"/>
        <v>#DIV/0!</v>
      </c>
      <c r="OB347" s="170" t="e">
        <f ca="1">IF($NA347 &lt;=$NY347, MIN(Control!$C$72, $NY347-$NA347), 0)</f>
        <v>#DIV/0!</v>
      </c>
      <c r="OC347" s="168" t="e">
        <f t="shared" ca="1" si="1268"/>
        <v>#DIV/0!</v>
      </c>
      <c r="OD347" s="168" t="e">
        <f t="shared" ca="1" si="1357"/>
        <v>#DIV/0!</v>
      </c>
      <c r="OE347" s="170">
        <f ca="1">Control!$C$73*$I347</f>
        <v>0</v>
      </c>
      <c r="OF347" s="176" t="e">
        <f t="shared" ca="1" si="1269"/>
        <v>#DIV/0!</v>
      </c>
      <c r="OG347" s="168" t="e">
        <f t="shared" ca="1" si="1270"/>
        <v>#DIV/0!</v>
      </c>
      <c r="OH347" s="168" t="e">
        <f t="shared" ca="1" si="1271"/>
        <v>#DIV/0!</v>
      </c>
      <c r="OI347" s="168" t="e">
        <f t="shared" ca="1" si="1272"/>
        <v>#DIV/0!</v>
      </c>
      <c r="OJ347" s="168" t="e">
        <f t="shared" ca="1" si="1273"/>
        <v>#DIV/0!</v>
      </c>
      <c r="OK347" s="204" t="e">
        <f t="shared" ca="1" si="1274"/>
        <v>#DIV/0!</v>
      </c>
      <c r="OL347" s="177">
        <f>Control!$C$127</f>
        <v>0.15</v>
      </c>
      <c r="OM347" s="182" t="e">
        <f t="shared" ca="1" si="1275"/>
        <v>#N/A</v>
      </c>
      <c r="ON347" s="177">
        <f>Control!$C$128</f>
        <v>0.35</v>
      </c>
      <c r="OO347" s="182" t="e">
        <f t="shared" ca="1" si="1276"/>
        <v>#N/A</v>
      </c>
      <c r="OP347" s="138">
        <f t="shared" ca="1" si="1358"/>
        <v>0</v>
      </c>
      <c r="OQ347" s="138" t="e">
        <f t="shared" ca="1" si="1381"/>
        <v>#DIV/0!</v>
      </c>
      <c r="OR347" s="138" t="e">
        <f t="shared" ca="1" si="1359"/>
        <v>#DIV/0!</v>
      </c>
      <c r="OS347" s="137" t="e">
        <f t="shared" ca="1" si="1382"/>
        <v>#DIV/0!</v>
      </c>
      <c r="OT347" s="139" t="e">
        <f t="shared" ca="1" si="1383"/>
        <v>#DIV/0!</v>
      </c>
      <c r="OU347" s="138" t="e">
        <f t="shared" ca="1" si="1384"/>
        <v>#N/A</v>
      </c>
      <c r="OV347" s="138" t="e">
        <f t="shared" ca="1" si="1385"/>
        <v>#DIV/0!</v>
      </c>
      <c r="OW347" s="138" t="e">
        <f t="shared" ca="1" si="1360"/>
        <v>#DIV/0!</v>
      </c>
      <c r="OX347" s="138" t="e">
        <f t="shared" ca="1" si="1361"/>
        <v>#DIV/0!</v>
      </c>
      <c r="OY347" s="138" t="e">
        <f t="shared" ca="1" si="1362"/>
        <v>#DIV/0!</v>
      </c>
      <c r="OZ347" s="138" t="e">
        <f t="shared" ca="1" si="1277"/>
        <v>#DIV/0!</v>
      </c>
      <c r="PA347" s="138" t="e">
        <f t="shared" ca="1" si="1278"/>
        <v>#DIV/0!</v>
      </c>
      <c r="PB347" s="55">
        <f>IF(Control!$C$61="T", IF(Control!$C$65="F", IF($AH$6-Control!$C$60&lt;0,0,1), IF(365+$AH$6-Control!$C$60&lt;0,0,1)),0)</f>
        <v>0</v>
      </c>
      <c r="PC347" s="55">
        <f ca="1">IF(Control!$C$65="F", IF($AH$6-$HF347&lt;0,0,1), IF(365+$AH$6-$HF347&lt;0,0,1))</f>
        <v>1</v>
      </c>
      <c r="PD347" s="444">
        <f>Control!$C$118</f>
        <v>1500</v>
      </c>
      <c r="PE347" s="180" t="e">
        <f t="shared" ca="1" si="1279"/>
        <v>#N/A</v>
      </c>
      <c r="PF347" s="445">
        <f t="shared" ca="1" si="1363"/>
        <v>0.71612369323045078</v>
      </c>
      <c r="PT347" s="186"/>
      <c r="PU347" s="186"/>
      <c r="PV347" s="94"/>
      <c r="PW347" s="94"/>
      <c r="PX347" s="94"/>
      <c r="PY347" s="94"/>
      <c r="PZ347" s="94"/>
      <c r="QA347" s="94"/>
      <c r="QB347" s="94"/>
      <c r="QC347" s="94"/>
      <c r="QD347" s="94"/>
      <c r="QE347" s="94"/>
      <c r="QF347" s="94"/>
      <c r="QG347" s="94"/>
      <c r="QH347" s="94"/>
      <c r="QI347" s="94"/>
      <c r="QJ347" s="94"/>
      <c r="QK347" s="94"/>
      <c r="QL347" s="94"/>
      <c r="QM347" s="94"/>
      <c r="QN347" s="94"/>
      <c r="QO347" s="94"/>
      <c r="QP347" s="94"/>
    </row>
    <row r="348" spans="1:458" s="2" customFormat="1" x14ac:dyDescent="0.2">
      <c r="A348" s="395">
        <v>9</v>
      </c>
      <c r="B348" s="396">
        <v>12</v>
      </c>
      <c r="C348" s="387">
        <f ca="1">Weather_data!$B347</f>
        <v>0</v>
      </c>
      <c r="D348" s="388">
        <f ca="1">Weather_data!$F347</f>
        <v>0</v>
      </c>
      <c r="E348" s="388">
        <f ca="1">Weather_data!$E347</f>
        <v>0</v>
      </c>
      <c r="F348" s="388">
        <f t="shared" ca="1" si="1280"/>
        <v>0</v>
      </c>
      <c r="G348" s="388">
        <f ca="1">AVERAGE($D348:$E348)+Control!$B$9</f>
        <v>0</v>
      </c>
      <c r="H348" s="388">
        <f ca="1">Weather_data!$G347</f>
        <v>0</v>
      </c>
      <c r="I348" s="388">
        <f ca="1">Weather_data!$I347</f>
        <v>0</v>
      </c>
      <c r="J348" s="388">
        <f ca="1">Weather_data!$H347</f>
        <v>0</v>
      </c>
      <c r="K348" s="389">
        <f ca="1">Weather_data!$D347</f>
        <v>0</v>
      </c>
      <c r="L348" s="388" t="e">
        <f t="shared" ca="1" si="1281"/>
        <v>#N/A</v>
      </c>
      <c r="M348" s="388" t="e">
        <f t="shared" ca="1" si="1158"/>
        <v>#N/A</v>
      </c>
      <c r="N348" s="388">
        <f t="shared" ca="1" si="1159"/>
        <v>-1.1217813942892135E-16</v>
      </c>
      <c r="O348" s="388">
        <f t="shared" ca="1" si="1282"/>
        <v>1.1217813942892135E-15</v>
      </c>
      <c r="P348" s="390">
        <v>3</v>
      </c>
      <c r="Q348" s="388">
        <f ca="1">MAX($G348-Control!$C$107,0)</f>
        <v>0</v>
      </c>
      <c r="R348" s="388">
        <f t="shared" ca="1" si="1283"/>
        <v>0</v>
      </c>
      <c r="S348" s="388">
        <f t="shared" ca="1" si="1160"/>
        <v>0</v>
      </c>
      <c r="T348" s="388">
        <f t="shared" ca="1" si="1161"/>
        <v>0</v>
      </c>
      <c r="U348" s="59">
        <f t="shared" ca="1" si="1162"/>
        <v>0</v>
      </c>
      <c r="V348" s="391">
        <f ca="1">MAX(0,MIN(Control!$C$100-Control!$C$99,$G348-Control!$C$99)*Control!$C$63)</f>
        <v>0</v>
      </c>
      <c r="W348" s="388">
        <f t="shared" ca="1" si="1284"/>
        <v>0</v>
      </c>
      <c r="X348" s="388">
        <f t="shared" ca="1" si="1285"/>
        <v>0.6110000000000001</v>
      </c>
      <c r="Y348" s="388">
        <f t="shared" ca="1" si="1163"/>
        <v>0</v>
      </c>
      <c r="Z348" s="388">
        <f t="shared" ca="1" si="1286"/>
        <v>0.61058800000000002</v>
      </c>
      <c r="AA348" s="388">
        <f t="shared" ca="1" si="1164"/>
        <v>0.6018</v>
      </c>
      <c r="AB348" s="388">
        <f ca="1">101.3*EXP(-0.034*Control!$C$66/($G348+273))</f>
        <v>100.69623283836242</v>
      </c>
      <c r="AC348" s="392">
        <f t="shared" ca="1" si="1165"/>
        <v>4.3460251046025113E-2</v>
      </c>
      <c r="AD348" s="392">
        <f t="shared" ca="1" si="1166"/>
        <v>4.4450382862832649E-2</v>
      </c>
      <c r="AE348" s="388">
        <f t="shared" ca="1" si="1167"/>
        <v>0</v>
      </c>
      <c r="AF348" s="388">
        <f ca="1">MAX(0,$G348-Control!$C$92)</f>
        <v>0</v>
      </c>
      <c r="AG348" s="393">
        <f t="shared" ca="1" si="1168"/>
        <v>344</v>
      </c>
      <c r="AH348" s="389">
        <f t="shared" ca="1" si="1169"/>
        <v>344</v>
      </c>
      <c r="AI348" s="388">
        <f t="shared" ca="1" si="1287"/>
        <v>-0.40154125633692805</v>
      </c>
      <c r="AJ348" s="388">
        <f ca="1">IF(Control!$C$60&lt;=0,$HH348,$HI348)</f>
        <v>1</v>
      </c>
      <c r="AK348" s="388">
        <f t="shared" ca="1" si="1170"/>
        <v>4.5445504687545499</v>
      </c>
      <c r="AL348" s="388">
        <f t="shared" ca="1" si="1171"/>
        <v>-1.1180875669758449E-17</v>
      </c>
      <c r="AM348" s="388">
        <f t="shared" ca="1" si="1172"/>
        <v>4.5445504687545499</v>
      </c>
      <c r="AN348" s="388">
        <f t="shared" ca="1" si="1173"/>
        <v>-0.40303305346465296</v>
      </c>
      <c r="AO348" s="388">
        <f ca="1">-0.10453/COS(Control!$B$8*PI()/180)*COS(AN348)</f>
        <v>-0.1561809593820121</v>
      </c>
      <c r="AP348" s="388">
        <f ca="1">ACOS(AO348-TAN(Control!$B$8*PI()/180)*TAN(AN348))</f>
        <v>1.1706515883371311</v>
      </c>
      <c r="AQ348" s="388">
        <f t="shared" ca="1" si="1288"/>
        <v>0</v>
      </c>
      <c r="AR348" s="394">
        <f t="shared" ca="1" si="1174"/>
        <v>0</v>
      </c>
      <c r="AS348" s="436">
        <f ca="1">IF(Control!$B$18=2,(IF(OR($AH348=Control!$B$175,$AH348=Control!$B$176,$AH348=Control!$B$177,$AH348=Control!$B$178,$AH348=Control!$B$179,$AH348=Control!$B$180,$AH348=Control!$B$181,$AH348=Control!$B$182,$AH348=Control!$B$183,$AH348=Control!$B$184,$AH348=Control!$B$185),1,0)),0)</f>
        <v>0</v>
      </c>
      <c r="AT348" s="436">
        <f>IF(Control!$B$20=8,IF(AND($AH348&gt;=Control!$B$172,$AH348&lt;=Control!$B$173),1,0),0)</f>
        <v>0</v>
      </c>
      <c r="AU348" s="436">
        <f>IF(Control!$B$20=8,IF($AV347=1,1*$AT348,IF($AT348=1,$AU347+1,$AU347)),0)</f>
        <v>0</v>
      </c>
      <c r="AV348" s="436">
        <f>IF(Control!$B$20=8,IF($AU348&gt;=Control!$B$174,1,0),0)</f>
        <v>0</v>
      </c>
      <c r="AW348" s="436">
        <f ca="1">IF(AND(Control!$B$18=2,Control!$B$171=1), $AV348, $AS348)</f>
        <v>0</v>
      </c>
      <c r="AX348" s="436" t="e">
        <f ca="1">IF(AND(Control!$B$18=1,$EU348&gt;=Control!$B$19),-$AY348,IF(AND(Control!$B$18=2,$AW348=1,$EU348&gt;$DS348),-$AY348, IF(Control!$C$108=0,0, IF(Control!$C$108&lt;&gt;0,1))))</f>
        <v>#N/A</v>
      </c>
      <c r="AY348" s="436" t="e">
        <f t="shared" ca="1" si="1289"/>
        <v>#N/A</v>
      </c>
      <c r="AZ348" s="436" t="e">
        <f ca="1">IF(AND(Control!$B$18=1,$EB348&gt;Control!$B$19),$AZ347+1, IF(AND(Control!$B$18=2, $AW348=1, $EB348&gt;$DS348), $AZ347+1,$AZ347))</f>
        <v>#N/A</v>
      </c>
      <c r="BA348" s="587">
        <f>IF(Control!$C$81=0,1,IF($AH348&gt;=Control!$C$82,1,0))</f>
        <v>1</v>
      </c>
      <c r="BB348" s="140" t="e">
        <f ca="1">IF($BA348&gt;$BA347,Control!$C$83,IF($AW348&gt;0,$AW348*Control!$C$84,IF(AND(Control!$B$18=1,EN347&lt;&gt;0),Control!$C$84,0)))</f>
        <v>#N/A</v>
      </c>
      <c r="BC348" s="140" t="e">
        <f t="shared" ca="1" si="1290"/>
        <v>#N/A</v>
      </c>
      <c r="BD348" s="140" t="e">
        <f ca="1">BC348*IF(OR($G348&lt;Control!$C$92,$G348&gt;Control!$C$95),0,IF(AND($G348&gt;=Control!$C$92,$G348&lt;=Control!$C$93),$G348-Control!$C$92,IF(AND($G348&gt;Control!$C$93,$G348&lt;=Control!$C$94),Control!$C$93-Control!$C$92,IF(AND($G348&gt;Control!$C$94,$G348&lt;=Control!$C$95),(Control!$C$93-Control!$C$92)*(Control!$C$94-$G348)/(Control!$C$95-Control!$C$94)))))</f>
        <v>#N/A</v>
      </c>
      <c r="BE348" s="140" t="e">
        <f t="shared" ca="1" si="1291"/>
        <v>#N/A</v>
      </c>
      <c r="BF348" s="140" t="e">
        <f ca="1">IF($BE348&lt;=Control!$C$86,$BE348,Control!$C$86-$BE348)</f>
        <v>#N/A</v>
      </c>
      <c r="BG348" s="140" t="e">
        <f ca="1">IF(AND($AW348=1,Control!$C$84&lt;9),1,IF($BE348&gt;=Control!$C$86,0,$BC348))</f>
        <v>#N/A</v>
      </c>
      <c r="BH348" s="404" t="e">
        <f ca="1">IF($BG348=0,0,IF($BE348&lt;=Control!$C$86,$BC348*9*($BF348/Control!$C$86),0))</f>
        <v>#N/A</v>
      </c>
      <c r="BI348" s="140" t="e">
        <f ca="1">IF($BG348=1,0,IF($BE348&gt;=Control!$C$86,1,IF(AND($BB348&lt;21,$BB348&gt;=9),1,$BM347)))</f>
        <v>#N/A</v>
      </c>
      <c r="BJ348" s="140" t="e">
        <f ca="1">IF($BF348&lt;0,-$BF348,$BI348*IF(OR($G348&lt;Control!$C$92,$G348&gt;Control!$C$95),0,IF(AND($G348&gt;=Control!$C$92,$G348&lt;=Control!$C$93),$G348-Control!$C$92,IF(AND($G348&gt;Control!$C$93,$G348&lt;=Control!$C$94),Control!$C$93-Control!$C$92,IF(AND($G348&gt;Control!$C$94,$G348&lt;=Control!$C$95),(Control!$C$93-Control!$C$92)*(Control!$C$94-$G348)/(Control!$C$95-Control!$C$94))))))</f>
        <v>#N/A</v>
      </c>
      <c r="BK348" s="140" t="e">
        <f t="shared" ca="1" si="1292"/>
        <v>#N/A</v>
      </c>
      <c r="BL348" s="140" t="e">
        <f ca="1">IF($BK348&lt;=Control!$C$87,$BK348,Control!$C$87-$BK348)</f>
        <v>#N/A</v>
      </c>
      <c r="BM348" s="140" t="e">
        <f ca="1">IF(AND($BB348&gt;=9,$BB348&lt;21),1,IF($BK348&gt;=Control!$C$87,0,$BI348))</f>
        <v>#N/A</v>
      </c>
      <c r="BN348" s="404" t="e">
        <f ca="1">IF($BM348=0,0,IF($BK348&lt;=Control!$C$87,$BI348*(9+(21-9)*($BL348/Control!$C$87)),0))</f>
        <v>#N/A</v>
      </c>
      <c r="BO348" s="140" t="e">
        <f ca="1">IF($BM348=1,0,IF($BK348&gt;=Control!$C$87,1,IF(AND($BB348&lt;30,$BB348&gt;=21),1,$BS347)))</f>
        <v>#N/A</v>
      </c>
      <c r="BP348" s="140" t="e">
        <f ca="1">IF($BL348&lt;0,-$BL348,$BO348*IF(OR($G348&lt;Control!$C$92,$G348&gt;Control!$C$95),0,IF(AND($G348&gt;=Control!$C$92,$G348&lt;=Control!$C$93),$G348-Control!$C$92,IF(AND($G348&gt;Control!$C$93,$G348&lt;=Control!$C$94),Control!$C$93-Control!$C$92,IF(AND($G348&gt;Control!$C$94,$G348&lt;=Control!$C$95),(Control!$C$93-Control!$C$92)*(Control!$C$94-$G348)/(Control!$C$95-Control!$C$94))))))</f>
        <v>#N/A</v>
      </c>
      <c r="BQ348" s="140" t="e">
        <f t="shared" ca="1" si="1175"/>
        <v>#N/A</v>
      </c>
      <c r="BR348" s="140" t="e">
        <f ca="1">IF($BQ348&lt;=Control!$C$88,$BQ348,Control!$C$88-$BQ348)</f>
        <v>#N/A</v>
      </c>
      <c r="BS348" s="140" t="e">
        <f ca="1">IF(AND($BB348&gt;=21,$BB348&lt;30),1,IF($BQ348&gt;=Control!$C$88,0,$BO348))</f>
        <v>#N/A</v>
      </c>
      <c r="BT348" s="404" t="e">
        <f ca="1">IF($BS348=0,0,IF($BQ348&lt;=Control!$C$88,$BO348*(21+(30-21)*(BR348/Control!$C$88)),0))</f>
        <v>#N/A</v>
      </c>
      <c r="BU348" s="140" t="e">
        <f ca="1">IF(BG348+BM348+BS348=1,0,IF(OR(AND($BB348&lt;60,$BB348&gt;=30),$BQ348&gt;=Control!$C$88),1*$BA348,$BY347))</f>
        <v>#N/A</v>
      </c>
      <c r="BV348" s="140" t="e">
        <f ca="1">IF($BR348&lt;0,-$BR348,$BU348*IF(OR($G348&lt;Control!$C$92,$G348&gt;Control!$C$95),0,IF(AND($G348&gt;=Control!$C$92,$G348&lt;=Control!$C$93),$G348-Control!$C$92,IF(AND($G348&gt;Control!$C$93,$G348&lt;=Control!$C$94),Control!$C$93-Control!$C$92,IF(AND($G348&gt;Control!$C$94,$G348&lt;=Control!$C$95),(Control!$C$93-Control!$C$92)*(Control!$C$94-$G348)/(Control!$C$95-Control!$C$94))))))</f>
        <v>#N/A</v>
      </c>
      <c r="BW348" s="140" t="e">
        <f t="shared" ca="1" si="1176"/>
        <v>#N/A</v>
      </c>
      <c r="BX348" s="140" t="e">
        <f ca="1">IF($BW348&lt;=Control!$C$89,$BW348,Control!$C$89-$BW348)</f>
        <v>#N/A</v>
      </c>
      <c r="BY348" s="140" t="e">
        <f ca="1">IF(AND($AJ348&gt;=30,$AJ348&lt;60),1,IF($BW348&gt;=Control!$C$89,0,$BU348))</f>
        <v>#N/A</v>
      </c>
      <c r="BZ348" s="404" t="e">
        <f ca="1">IF($BY348=0,0,IF($BW348&lt;=Control!$C$89,$BU348*(30+(60-30)*(BX348/Control!$C$89)),0))</f>
        <v>#N/A</v>
      </c>
      <c r="CA348" s="140" t="e">
        <f ca="1">IF($BG348+$BM348+$BS348+$BY348=1,0,IF(OR(AND($BB348&lt;65,$BB348&gt;=60),$BW348&gt;=Control!$C$89),1*$BA348,$CE347))</f>
        <v>#N/A</v>
      </c>
      <c r="CB348" s="140" t="e">
        <f ca="1">IF($BX348&lt;0,-$BX348,$CA348*IF(OR($G348&lt;Control!$C$92,$G348&gt;Control!$C$95),0,IF(AND($G348&gt;=Control!$C$92,$G348&lt;=Control!$C$93),$G348-Control!$C$92,IF(AND($G348&gt;Control!$C$93,$G348&lt;=Control!$C$94),Control!$C$93-Control!$C$92,IF(AND($G348&gt;Control!$C$94,$G348&lt;=Control!$C$95),(Control!$C$93-Control!$C$92)*(Control!$C$94-$G348)/(Control!$C$95-Control!$C$94))))))</f>
        <v>#N/A</v>
      </c>
      <c r="CC348" s="140" t="e">
        <f t="shared" ca="1" si="1293"/>
        <v>#N/A</v>
      </c>
      <c r="CD348" s="140" t="e">
        <f ca="1">IF($CC348&lt;=Control!$C$90,$CC348,Control!$C$90-$CC348)</f>
        <v>#N/A</v>
      </c>
      <c r="CE348" s="140" t="e">
        <f ca="1">IF(AND($BB348&gt;=60,$BB348&lt;65),1,IF($CC348&gt;=Control!$C$90,0,$CA348))</f>
        <v>#N/A</v>
      </c>
      <c r="CF348" s="404" t="e">
        <f ca="1">IF($CE348=0,0,IF($CC348&lt;=Control!$C$90,$CA348*(60+(65-60)*(CD348/Control!$C$90)),0))</f>
        <v>#N/A</v>
      </c>
      <c r="CG348" s="140" t="e">
        <f ca="1">IF($BG348+$BM348+$BS348+$BY348+$CE348=1,0,IF(OR(AND($BB348&lt;90,$BB348&gt;=65),$CC348&gt;=Control!$C$90),$BA348,$CK347))</f>
        <v>#N/A</v>
      </c>
      <c r="CH348" s="140" t="e">
        <f ca="1">IF($CD348&lt;0,-$CD348,$CG348*IF(OR($G348&lt;Control!$C$92,$G348&gt;Control!$C$95),0,IF(AND($G348&gt;=Control!$C$92,$G348&lt;=Control!$C$93),$G348-Control!$C$92,IF(AND($G348&gt;Control!$C$93,$G348&lt;=Control!$C$94),Control!$C$93-Control!$C$92,IF(AND($G348&gt;Control!$C$94,$G348&lt;=Control!$C$95),(Control!$C$93-Control!$C$92)*(Control!$C$94-$G348)/(Control!$C$95-Control!$C$94))))))</f>
        <v>#N/A</v>
      </c>
      <c r="CI348" s="140" t="e">
        <f t="shared" ca="1" si="1294"/>
        <v>#N/A</v>
      </c>
      <c r="CJ348" s="140" t="e">
        <f ca="1">IF($CI348&lt;=Control!$C$91,$CI348,Control!$C$91-$CI348)</f>
        <v>#N/A</v>
      </c>
      <c r="CK348" s="140" t="e">
        <f ca="1">IF(AND($BB348&gt;=65,$BB348&lt;90),1,IF($CI348&gt;=Control!$C$91,0,$CG348))</f>
        <v>#N/A</v>
      </c>
      <c r="CL348" s="404" t="e">
        <f ca="1">IF($CK348=0,0,IF($CI348&lt;=Control!$C$91,$CG348*(65+(90-65)*($CJ348/Control!$C$91)),0))</f>
        <v>#N/A</v>
      </c>
      <c r="CM348" s="140" t="e">
        <f ca="1">IF($BG348+$BM348+$BS348+$BY348+$CE348+$CK348=1,0,IF(OR($BB348&gt;=90,$CI348&gt;=Control!$C$91),$BA348,$CM347))</f>
        <v>#N/A</v>
      </c>
      <c r="CN348" s="140" t="e">
        <f t="shared" ca="1" si="1295"/>
        <v>#N/A</v>
      </c>
      <c r="CO348" s="140" t="e">
        <f t="shared" ca="1" si="1296"/>
        <v>#N/A</v>
      </c>
      <c r="CP348" s="140" t="e">
        <f t="shared" ca="1" si="1297"/>
        <v>#N/A</v>
      </c>
      <c r="CQ348" s="141" t="e">
        <f ca="1">VLOOKUP($CP348,Control!$B$86:$G$91,6)</f>
        <v>#N/A</v>
      </c>
      <c r="CR348" s="141" t="e">
        <f ca="1">(1-$CQ348)*VLOOKUP($CP348,Control!$B$86:$D$91,3)</f>
        <v>#N/A</v>
      </c>
      <c r="CS348" s="141" t="e">
        <f ca="1">(1-$CQ348)*VLOOKUP($CP348,Control!$B$86:$E$91,4)</f>
        <v>#N/A</v>
      </c>
      <c r="CT348" s="141" t="e">
        <f ca="1">(1-$CQ348)*VLOOKUP($CP348,Control!$B$86:$F$91,5)</f>
        <v>#N/A</v>
      </c>
      <c r="CU348" s="141">
        <f t="shared" ca="1" si="1298"/>
        <v>0</v>
      </c>
      <c r="CV348" s="583">
        <f t="shared" ca="1" si="1299"/>
        <v>0</v>
      </c>
      <c r="CW348" s="142">
        <f t="shared" ca="1" si="1300"/>
        <v>344</v>
      </c>
      <c r="CX348" s="612" t="e">
        <f ca="1">IF(Control!$C$114=1,(MIN(Control!$C$120*(IF($NT348-0.01&lt;0,0,1)),Control!$C$119-$CY348)))</f>
        <v>#DIV/0!</v>
      </c>
      <c r="CY348" s="143" t="e">
        <f t="shared" ca="1" si="1301"/>
        <v>#N/A</v>
      </c>
      <c r="CZ348" s="144">
        <f t="shared" ca="1" si="1177"/>
        <v>0</v>
      </c>
      <c r="DA348" s="144">
        <f t="shared" ca="1" si="1178"/>
        <v>0</v>
      </c>
      <c r="DB348" s="144" t="e">
        <f t="shared" ca="1" si="1179"/>
        <v>#N/A</v>
      </c>
      <c r="DC348" s="144" t="e">
        <f t="shared" ca="1" si="1180"/>
        <v>#N/A</v>
      </c>
      <c r="DD348" s="144" t="e">
        <f t="shared" ca="1" si="1386"/>
        <v>#N/A</v>
      </c>
      <c r="DE348" s="143" t="e">
        <f t="shared" ca="1" si="1302"/>
        <v>#N/A</v>
      </c>
      <c r="DF348" s="145" t="e">
        <f ca="1">$DR348*EXP(-Control!$C$158*(1-$KH348))</f>
        <v>#N/A</v>
      </c>
      <c r="DG348" s="146" t="e">
        <f ca="1">IF(Control!$C$114=1, $DF348*$EY348, 0)</f>
        <v>#N/A</v>
      </c>
      <c r="DH348" s="147" t="e">
        <f t="shared" ca="1" si="1303"/>
        <v>#N/A</v>
      </c>
      <c r="DI348" s="144" t="e">
        <f t="shared" ca="1" si="1364"/>
        <v>#N/A</v>
      </c>
      <c r="DJ348" s="147" t="e">
        <f ca="1">$EF348*Control!$C$109</f>
        <v>#N/A</v>
      </c>
      <c r="DK348" s="144" t="e">
        <f t="shared" ca="1" si="1304"/>
        <v>#N/A</v>
      </c>
      <c r="DL348" s="144" t="e">
        <f t="shared" ca="1" si="1181"/>
        <v>#N/A</v>
      </c>
      <c r="DM348" s="144" t="e">
        <f ca="1">IF(Control!$C$114=1, (1-EXP(-Control!$C$96*$DK348))*$AR348, 0)</f>
        <v>#N/A</v>
      </c>
      <c r="DN348" s="144">
        <f t="shared" ca="1" si="1305"/>
        <v>0</v>
      </c>
      <c r="DO348" s="148">
        <f>Control!$C$97</f>
        <v>4</v>
      </c>
      <c r="DP348" s="145" t="e">
        <f t="shared" ca="1" si="1306"/>
        <v>#N/A</v>
      </c>
      <c r="DQ348" s="145" t="e">
        <f ca="1">IF(AND($CP348&gt;=0,$CP348&lt;=90),Control!$C$111,Control!$C$111)</f>
        <v>#N/A</v>
      </c>
      <c r="DR348" s="145" t="e">
        <f t="shared" ca="1" si="1182"/>
        <v>#N/A</v>
      </c>
      <c r="DS348" s="143" t="e">
        <f ca="1">Control!$B$22/$DR348</f>
        <v>#N/A</v>
      </c>
      <c r="DT348" s="149" t="e">
        <f ca="1">IF(AND(Control!$C$114=1,$KH348&lt;1),$IM348*$DF348, 0)</f>
        <v>#N/A</v>
      </c>
      <c r="DU348" s="144" t="e">
        <f t="shared" ca="1" si="1307"/>
        <v>#N/A</v>
      </c>
      <c r="DV348" s="144">
        <f ca="1">IF($G348-Control!$C$107&lt;=0, 0, 0.83*LN(MAX($G348, 3))-0.8924)</f>
        <v>0</v>
      </c>
      <c r="DW348" s="144" t="e">
        <f t="shared" ca="1" si="1183"/>
        <v>#N/A</v>
      </c>
      <c r="DX348" s="150" t="e">
        <f ca="1">MAX(0.01*(1+$CU348/Control!$C$102),0.05*($DK348-Control!$C$97)/Control!$C$97)</f>
        <v>#N/A</v>
      </c>
      <c r="DY348" s="151" t="e">
        <f ca="1">IF(Control!$C$114=1, $DI348*$FS348, 0)</f>
        <v>#N/A</v>
      </c>
      <c r="DZ348" s="196" t="e">
        <f t="shared" ca="1" si="1308"/>
        <v>#N/A</v>
      </c>
      <c r="EA348" s="152">
        <f t="shared" ca="1" si="1309"/>
        <v>344</v>
      </c>
      <c r="EB348" s="153" t="e">
        <f t="shared" ca="1" si="1310"/>
        <v>#N/A</v>
      </c>
      <c r="EC348" s="153" t="e">
        <f t="shared" ca="1" si="1311"/>
        <v>#N/A</v>
      </c>
      <c r="ED348" s="154" t="e">
        <f ca="1">IF(Control!$C$114=1, $HM348*$FY348-$FD348, 0)</f>
        <v>#DIV/0!</v>
      </c>
      <c r="EE348" s="155" t="e">
        <f ca="1">IF(Control!$C$114=1, $HM348*$FZ348-$FF348, 0)</f>
        <v>#DIV/0!</v>
      </c>
      <c r="EF348" s="153" t="e">
        <f t="shared" ca="1" si="1365"/>
        <v>#N/A</v>
      </c>
      <c r="EG348" s="155" t="e">
        <f ca="1">IF(Control!$C$114=1, $GX348*$FW348-$FI348, 0)</f>
        <v>#DIV/0!</v>
      </c>
      <c r="EH348" s="153" t="e">
        <f t="shared" ca="1" si="1312"/>
        <v>#N/A</v>
      </c>
      <c r="EI348" s="156" t="e">
        <f t="shared" ca="1" si="1313"/>
        <v>#N/A</v>
      </c>
      <c r="EJ348" s="155" t="e">
        <f ca="1">IF(Control!$C$114=1, $HM348*$GB348, 0)</f>
        <v>#DIV/0!</v>
      </c>
      <c r="EK348" s="153" t="e">
        <f t="shared" ca="1" si="1366"/>
        <v>#N/A</v>
      </c>
      <c r="EL348" s="153" t="e">
        <f t="shared" ca="1" si="1184"/>
        <v>#N/A</v>
      </c>
      <c r="EM348" s="153" t="e">
        <f t="shared" ca="1" si="1185"/>
        <v>#N/A</v>
      </c>
      <c r="EN348" s="153" t="e">
        <f ca="1">IF(Control!$C$108=1,IF(AND(Control!$B$18=1,$EB348&gt;=Control!$B$19),$EB348-$DS348,IF(AND(Control!$B$18=2,$AW348=1,$EB348&gt;$DS348),$EB348-$DS348,0)))</f>
        <v>#N/A</v>
      </c>
      <c r="EO348" s="153" t="e">
        <f ca="1">IF(Control!$C$108=1,IF(AND(Control!$B$18=1,$EB348&gt;=Control!$B$19),$EF348,IF(AND(Control!$B$18=2,$AW348=1),$EF348,0)))</f>
        <v>#N/A</v>
      </c>
      <c r="EP348" s="153" t="e">
        <f ca="1">IF(Control!$C$108=1,IF(AND(Control!$B$18=1,$EB348&gt;=Control!$B$19),$EK348,IF(AND(Control!$B$18=2,$AW348=1),$EK348,0)))</f>
        <v>#N/A</v>
      </c>
      <c r="EQ348" s="153" t="e">
        <f t="shared" ca="1" si="1314"/>
        <v>#N/A</v>
      </c>
      <c r="ER348" s="153" t="e">
        <f t="shared" ca="1" si="1315"/>
        <v>#N/A</v>
      </c>
      <c r="ES348" s="153" t="e">
        <f t="shared" ca="1" si="1367"/>
        <v>#N/A</v>
      </c>
      <c r="ET348" s="153" t="e">
        <f t="shared" ca="1" si="1368"/>
        <v>#N/A</v>
      </c>
      <c r="EU348" s="153" t="e">
        <f t="shared" ca="1" si="1316"/>
        <v>#N/A</v>
      </c>
      <c r="EV348" s="153" t="e">
        <f t="shared" ca="1" si="1186"/>
        <v>#N/A</v>
      </c>
      <c r="EW348" s="153" t="e">
        <f t="shared" ca="1" si="1187"/>
        <v>#N/A</v>
      </c>
      <c r="EX348" s="153" t="e">
        <f t="shared" ca="1" si="1188"/>
        <v>#N/A</v>
      </c>
      <c r="EY348" s="157" t="e">
        <f t="shared" ca="1" si="1189"/>
        <v>#DIV/0!</v>
      </c>
      <c r="EZ348" s="154" t="e">
        <f t="shared" ca="1" si="1190"/>
        <v>#DIV/0!</v>
      </c>
      <c r="FA348" s="153" t="e">
        <f t="shared" ca="1" si="1317"/>
        <v>#N/A</v>
      </c>
      <c r="FB348" s="153" t="e">
        <f t="shared" ca="1" si="1191"/>
        <v>#N/A</v>
      </c>
      <c r="FC348" s="193" t="e">
        <f t="shared" ca="1" si="1192"/>
        <v>#N/A</v>
      </c>
      <c r="FD348" s="158" t="e">
        <f t="shared" ca="1" si="1318"/>
        <v>#N/A</v>
      </c>
      <c r="FE348" s="158" t="e">
        <f t="shared" ca="1" si="1319"/>
        <v>#N/A</v>
      </c>
      <c r="FF348" s="159" t="e">
        <f t="shared" ca="1" si="1193"/>
        <v>#N/A</v>
      </c>
      <c r="FG348" s="160" t="e">
        <f t="shared" ca="1" si="1320"/>
        <v>#N/A</v>
      </c>
      <c r="FH348" s="158" t="e">
        <f t="shared" ca="1" si="1321"/>
        <v>#N/A</v>
      </c>
      <c r="FI348" s="159" t="e">
        <f t="shared" ca="1" si="1194"/>
        <v>#N/A</v>
      </c>
      <c r="FJ348" s="160" t="e">
        <f t="shared" ca="1" si="1322"/>
        <v>#N/A</v>
      </c>
      <c r="FK348" s="160" t="e">
        <f t="shared" ca="1" si="1195"/>
        <v>#N/A</v>
      </c>
      <c r="FL348" s="160" t="e">
        <f t="shared" ca="1" si="1369"/>
        <v>#N/A</v>
      </c>
      <c r="FM348" s="160" t="e">
        <f t="shared" ca="1" si="1196"/>
        <v>#N/A</v>
      </c>
      <c r="FN348" s="158">
        <f t="shared" ca="1" si="1323"/>
        <v>0.01</v>
      </c>
      <c r="FO348" s="160">
        <f>Control!$C$101</f>
        <v>50</v>
      </c>
      <c r="FP348" s="150" t="e">
        <f t="shared" ca="1" si="1197"/>
        <v>#N/A</v>
      </c>
      <c r="FQ348" s="150" t="e">
        <f ca="1">MAX(0,(Control!$C$112*(($DK348-Control!$C$97)/Control!$C$97)))</f>
        <v>#N/A</v>
      </c>
      <c r="FR348" s="150" t="e">
        <f ca="1">(1-$NT348)*Control!$C$113</f>
        <v>#DIV/0!</v>
      </c>
      <c r="FS348" s="198" t="e">
        <f t="shared" ca="1" si="1198"/>
        <v>#N/A</v>
      </c>
      <c r="FT348" s="161">
        <f t="shared" ca="1" si="1324"/>
        <v>344</v>
      </c>
      <c r="FU348" s="162" t="e">
        <f ca="1">IF(Control!$B$34=1,VLOOKUP($CP348,Control!$B$86:$G$91,6),Control!$B$35)</f>
        <v>#N/A</v>
      </c>
      <c r="FV348" s="162" t="e">
        <f t="shared" ca="1" si="1199"/>
        <v>#DIV/0!</v>
      </c>
      <c r="FW348" s="162" t="e">
        <f ca="1">IF(Control!$B$31=1,$FU348*$FV348,  $FU348)</f>
        <v>#N/A</v>
      </c>
      <c r="FX348" s="162" t="e">
        <f ca="1">IF(Control!$B$34=1,VLOOKUP($CP348,Control!$B$86:$G$91,3),Control!$B$36)</f>
        <v>#N/A</v>
      </c>
      <c r="FY348" s="162" t="e">
        <f t="shared" ca="1" si="1200"/>
        <v>#N/A</v>
      </c>
      <c r="FZ348" s="162" t="e">
        <f ca="1">IF(Control!$B$34=1,VLOOKUP($CP348,Control!$B$86:$G$91,4),Control!$B$37)</f>
        <v>#N/A</v>
      </c>
      <c r="GA348" s="162" t="e">
        <f t="shared" ca="1" si="1201"/>
        <v>#N/A</v>
      </c>
      <c r="GB348" s="162" t="e">
        <f ca="1">IF(Control!$B$34=1,VLOOKUP($CP348,Control!$B$86:$G$91,5),Control!$B$38)</f>
        <v>#N/A</v>
      </c>
      <c r="GC348" s="162" t="e">
        <f t="shared" ca="1" si="1325"/>
        <v>#N/A</v>
      </c>
      <c r="GD348" s="162">
        <f t="shared" ca="1" si="1202"/>
        <v>1</v>
      </c>
      <c r="GE348" s="162">
        <f t="shared" ca="1" si="1203"/>
        <v>1</v>
      </c>
      <c r="GF348" s="162">
        <f ca="1">IF(AND(Control!$C$104=1, Control!$C$62="F"),$GE348,1)</f>
        <v>1</v>
      </c>
      <c r="GG348" s="162" t="e">
        <f ca="1">IF(Control!$B$16=40,0,IF(AND(Control!$B$16&gt;40,Control!$B$16&lt;=360),(Control!$B$16-40)*((1-0)/(360-40)),IF(AND(Control!$B$16&gt;360,Control!$B$16&lt;=720),(1+(Control!$B$16-360)*((1.25-1)/(720-360))),IF(AND(Control!$B$16&gt;720,Control!$B$16&lt;=1000),(1.25+(Control!$B$16-720)*((1.35-1.25)/(1000-720))),IF(AND(Control!$B$16&gt;1000,Control!$B$16&lt;=2000),(1.35+(Control!$B$16-1000)*0))))))</f>
        <v>#N/A</v>
      </c>
      <c r="GH348" s="162" t="e">
        <f t="shared" ca="1" si="1204"/>
        <v>#N/A</v>
      </c>
      <c r="GI348" s="162">
        <f t="shared" ca="1" si="1326"/>
        <v>0</v>
      </c>
      <c r="GJ348" s="162">
        <f t="shared" ca="1" si="1205"/>
        <v>0</v>
      </c>
      <c r="GK348" s="162">
        <f t="shared" ca="1" si="1327"/>
        <v>1</v>
      </c>
      <c r="GL348" s="162">
        <f t="shared" ca="1" si="1206"/>
        <v>1</v>
      </c>
      <c r="GM348" s="162" t="e">
        <f ca="1">MAX(0,MIN(1,1-Control!$C$156*(1.0001-$KH348)^2))</f>
        <v>#N/A</v>
      </c>
      <c r="GN348" s="162" t="e">
        <f ca="1">IF(Control!$B$26=1,$KU348,$KX348)</f>
        <v>#N/A</v>
      </c>
      <c r="GO348" s="162" t="e">
        <f ca="1">IF($CP348&lt;=60,Control!$C$105,IF($CP348&gt;=90,Control!$C$106,Control!$C$105+($CP348-60)*((Control!$C$106-Control!$C$105)/(90-60))))</f>
        <v>#N/A</v>
      </c>
      <c r="GP348" s="162" t="e">
        <f t="shared" ca="1" si="1207"/>
        <v>#N/A</v>
      </c>
      <c r="GQ348" s="162" t="e">
        <f t="shared" ca="1" si="1328"/>
        <v>#N/A</v>
      </c>
      <c r="GR348" s="163" t="e">
        <f t="shared" ca="1" si="1208"/>
        <v>#DIV/0!</v>
      </c>
      <c r="GS348" s="162" t="e">
        <f t="shared" ca="1" si="1209"/>
        <v>#DIV/0!</v>
      </c>
      <c r="GT348" s="164" t="e">
        <f t="shared" ca="1" si="1329"/>
        <v>#N/A</v>
      </c>
      <c r="GU348" s="162" t="e">
        <f t="shared" ca="1" si="1330"/>
        <v>#N/A</v>
      </c>
      <c r="GV348" s="162" t="e">
        <f t="shared" ca="1" si="1210"/>
        <v>#N/A</v>
      </c>
      <c r="GW348" s="162" t="e">
        <f t="shared" ca="1" si="1211"/>
        <v>#DIV/0!</v>
      </c>
      <c r="GX348" s="162" t="e">
        <f t="shared" ca="1" si="1331"/>
        <v>#DIV/0!</v>
      </c>
      <c r="GY348" s="162" t="e">
        <f t="shared" ca="1" si="1332"/>
        <v>#DIV/0!</v>
      </c>
      <c r="GZ348" s="165" t="e">
        <f t="shared" ca="1" si="1212"/>
        <v>#N/A</v>
      </c>
      <c r="HA348" s="162" t="e">
        <f ca="1">IF(Control!$C$114=1, $DI348*$FS348, 0)</f>
        <v>#N/A</v>
      </c>
      <c r="HB348" s="162" t="e">
        <f ca="1">$FA348/Control!$C$64</f>
        <v>#N/A</v>
      </c>
      <c r="HC348" s="162" t="e">
        <f t="shared" ca="1" si="1213"/>
        <v>#DIV/0!</v>
      </c>
      <c r="HD348" s="162">
        <f ca="1">-ASIN(SIN(23.45*Control!$C$139)*COS(2*Control!$C$138*($AH348+10)/365))</f>
        <v>-0.40154125633692805</v>
      </c>
      <c r="HE348" s="165">
        <f t="shared" ca="1" si="1333"/>
        <v>0</v>
      </c>
      <c r="HF348" s="166">
        <f ca="1">IF(AND(Control!$C$61="T",$HE348&gt;=Control!$C$103,Control!$C$114=0),$AH348,Control!$C$59)</f>
        <v>1</v>
      </c>
      <c r="HG348" s="166">
        <f ca="1">IF(AND(Control!$C$61="T",$HE348&gt;=Control!$C$103,Control!$C$114=0),$HF348,Control!$C$59)</f>
        <v>1</v>
      </c>
      <c r="HH348" s="165">
        <f ca="1">IF(AND(OR(Control!$C$60&lt;=0, $AH348= Control!$C$59, Control!$C$60 &gt;0, $AH348 = Control!$C$60)), Control!$C$59, IF(Control!$C$60&gt;0, 0))</f>
        <v>1</v>
      </c>
      <c r="HI348" s="165">
        <f ca="1">IF(AND(OR(Control!$C$60&lt;=0, $AH348= Control!$C$59, Control!$C$60 &gt;0, $AH348 = Control!$C$60)), Control!$C$60, IF(Control!$C$60&lt;=0, 0))</f>
        <v>0</v>
      </c>
      <c r="HJ348" s="166">
        <f ca="1">IF(AND(Control!$C$62="F",$CV348&gt;=Control!$C$102),$AH348,0)</f>
        <v>0</v>
      </c>
      <c r="HK348" s="165" t="e">
        <f t="shared" ca="1" si="1370"/>
        <v>#N/A</v>
      </c>
      <c r="HL348" s="166">
        <f ca="1">IF(AND(Control!$C$61="T",$HE348&gt;=Control!$C$103,Control!$C$114=0),$HF348,0)</f>
        <v>0</v>
      </c>
      <c r="HM348" s="201" t="e">
        <f t="shared" ca="1" si="1214"/>
        <v>#DIV/0!</v>
      </c>
      <c r="HN348" s="215">
        <f t="shared" ca="1" si="1334"/>
        <v>344</v>
      </c>
      <c r="HO348" s="216" t="e">
        <f ca="1">IF(AND($CP348&gt;=0, $CP348&lt;=90), Control!$C$152, Control!$C$152)</f>
        <v>#N/A</v>
      </c>
      <c r="HP348" s="216" t="e">
        <f t="shared" ca="1" si="1215"/>
        <v>#N/A</v>
      </c>
      <c r="HQ348" s="217" t="e">
        <f ca="1">IF(OR(Control!$B$26=1,Control!$B$26=2),$KV348,$KS348)</f>
        <v>#DIV/0!</v>
      </c>
      <c r="HR348" s="218" t="e">
        <f t="shared" ca="1" si="1371"/>
        <v>#DIV/0!</v>
      </c>
      <c r="HS348" s="216" t="e">
        <f ca="1">Control!$C$154*$HP348</f>
        <v>#N/A</v>
      </c>
      <c r="HT348" s="216" t="e">
        <f ca="1">Control!$C$155*$HP348</f>
        <v>#N/A</v>
      </c>
      <c r="HU348" s="217" t="e">
        <f ca="1">Control!$C$161*$FI348</f>
        <v>#N/A</v>
      </c>
      <c r="HV348" s="218" t="e">
        <f t="shared" ca="1" si="1335"/>
        <v>#N/A</v>
      </c>
      <c r="HW348" s="218" t="e">
        <f ca="1">Control!$C$160*$FF348+$IP348*$EO348</f>
        <v>#N/A</v>
      </c>
      <c r="HX348" s="218" t="e">
        <f t="shared" ca="1" si="1372"/>
        <v>#N/A</v>
      </c>
      <c r="HY348" s="219" t="e">
        <f ca="1">IF(Control!$C$114=1, $EB348*$FS348, 0)</f>
        <v>#N/A</v>
      </c>
      <c r="HZ348" s="91" t="e">
        <f t="shared" ca="1" si="1216"/>
        <v>#N/A</v>
      </c>
      <c r="IA348" s="220" t="e">
        <f ca="1">Control!$C$153*$HO348</f>
        <v>#N/A</v>
      </c>
      <c r="IB348" s="218" t="e">
        <f t="shared" ca="1" si="1217"/>
        <v>#N/A</v>
      </c>
      <c r="IC348" s="220" t="e">
        <f ca="1">Control!$C$153*$HT348</f>
        <v>#N/A</v>
      </c>
      <c r="ID348" s="218" t="e">
        <f t="shared" ca="1" si="1218"/>
        <v>#N/A</v>
      </c>
      <c r="IE348" s="221" t="e">
        <f ca="1">($EB348*Control!$C$159+$EF348*Control!$C$160)/(IF($GZ348&lt;&gt;0,$GZ348,1))</f>
        <v>#N/A</v>
      </c>
      <c r="IF348" s="216" t="e">
        <f t="shared" ca="1" si="1219"/>
        <v>#N/A</v>
      </c>
      <c r="IG348" s="91">
        <f ca="1">IF(OR(Control!$B$198=$AH348,Control!$B$199=$AH348, Control!$B$200=$AH348, Control!$B$201=$AH348, Control!$B$202=$AH348, Control!$B$203=$AH348, Control!$B$204=$AH348, Control!$B$205=$AH348, Control!$B$206=$AH348, Control!$B$207=$AH348), 1, 0)</f>
        <v>0</v>
      </c>
      <c r="IH348" s="91">
        <f ca="1">IF($IG348=0,0, VLOOKUP($AH348,Control!$B$198:$C$207,2))</f>
        <v>0</v>
      </c>
      <c r="II348" s="222">
        <f t="shared" ca="1" si="1336"/>
        <v>0</v>
      </c>
      <c r="IJ348" s="91">
        <f>Control!$C$121</f>
        <v>0.7</v>
      </c>
      <c r="IK348" s="218">
        <f t="shared" ca="1" si="1220"/>
        <v>0</v>
      </c>
      <c r="IL348" s="217" t="e">
        <f t="shared" ca="1" si="1373"/>
        <v>#N/A</v>
      </c>
      <c r="IM348" s="223" t="e">
        <f ca="1">IF(AND(Control!$C$114=1,$KH348&lt;1),$EB348*Control!$C$148*(1-$KH348), 0)</f>
        <v>#N/A</v>
      </c>
      <c r="IN348" s="217" t="e">
        <f t="shared" ca="1" si="1221"/>
        <v>#DIV/0!</v>
      </c>
      <c r="IO348" s="91" t="e">
        <f ca="1">MAX(0,$IL348-$EF348*Control!$C$160)</f>
        <v>#N/A</v>
      </c>
      <c r="IP348" s="220" t="e">
        <f t="shared" ca="1" si="1222"/>
        <v>#N/A</v>
      </c>
      <c r="IQ348" s="217" t="e">
        <f t="shared" ca="1" si="1337"/>
        <v>#N/A</v>
      </c>
      <c r="IR348" s="218" t="e">
        <f t="shared" ca="1" si="1223"/>
        <v>#N/A</v>
      </c>
      <c r="IS348" s="217" t="e">
        <f ca="1">Control!$C$159*MAX(0,$FD348-$EN348)</f>
        <v>#N/A</v>
      </c>
      <c r="IT348" s="217" t="e">
        <f t="shared" ca="1" si="1374"/>
        <v>#N/A</v>
      </c>
      <c r="IU348" s="217" t="e">
        <f t="shared" ca="1" si="1338"/>
        <v>#N/A</v>
      </c>
      <c r="IV348" s="217" t="e">
        <f t="shared" ca="1" si="1375"/>
        <v>#N/A</v>
      </c>
      <c r="IW348" s="217" t="e">
        <f ca="1">IF(OR($AW348=1,AND($AW348=0, Control!$B$18=1,$EN348&lt;&gt;0)), $IQ348-$IU348, $IQ348)</f>
        <v>#N/A</v>
      </c>
      <c r="IX348" s="218" t="e">
        <f t="shared" ca="1" si="1224"/>
        <v>#N/A</v>
      </c>
      <c r="IY348" s="218" t="e">
        <f ca="1">MAX(0,$IQ348-$EB348*Control!$C$159)</f>
        <v>#N/A</v>
      </c>
      <c r="IZ348" s="218" t="e">
        <f t="shared" ca="1" si="1225"/>
        <v>#N/A</v>
      </c>
      <c r="JA348" s="216" t="e">
        <f t="shared" ca="1" si="1226"/>
        <v>#N/A</v>
      </c>
      <c r="JB348" s="217" t="e">
        <f t="shared" ca="1" si="1227"/>
        <v>#N/A</v>
      </c>
      <c r="JC348" s="222" t="e">
        <f ca="1">MAX(Control!$C$157*$EK348-$JT348, 0)/Control!$C$162</f>
        <v>#N/A</v>
      </c>
      <c r="JD348" s="218" t="e">
        <f t="shared" ca="1" si="1228"/>
        <v>#N/A</v>
      </c>
      <c r="JE348" s="218" t="e">
        <f t="shared" ca="1" si="1229"/>
        <v>#N/A</v>
      </c>
      <c r="JF348" s="218" t="e">
        <f t="shared" ca="1" si="1339"/>
        <v>#N/A</v>
      </c>
      <c r="JG348" s="218" t="e">
        <f t="shared" ca="1" si="1230"/>
        <v>#N/A</v>
      </c>
      <c r="JH348" s="217" t="e">
        <f t="shared" ca="1" si="1340"/>
        <v>#N/A</v>
      </c>
      <c r="JI348" s="217" t="e">
        <f t="shared" ca="1" si="1341"/>
        <v>#N/A</v>
      </c>
      <c r="JJ348" s="217" t="e">
        <f t="shared" ca="1" si="1376"/>
        <v>#N/A</v>
      </c>
      <c r="JK348" s="217" t="e">
        <f ca="1">IF(Control!$C$114=1,IF(Control!$B$24=0,MAX(0,$JI348)*$GN348/Control!$C$64,(MAX(0,MIN($JI348,$JJ348*$GN348/Control!$C$64),0))))</f>
        <v>#N/A</v>
      </c>
      <c r="JL348" s="217" t="e">
        <f ca="1">$IK348/Control!$C$64-$JK348+$HQ348</f>
        <v>#N/A</v>
      </c>
      <c r="JM348" s="217" t="e">
        <f ca="1">IF(Control!$C$114=1,($JB348/(IF($JI348&lt;&gt;0,$JI348,1)))*$JK348,0)</f>
        <v>#N/A</v>
      </c>
      <c r="JN348" s="217" t="e">
        <f ca="1">IF(Control!$C$114=1,($JG348/(IF($JI348&lt;&gt;0,$JI348,1)))*$JK348, 0)</f>
        <v>#N/A</v>
      </c>
      <c r="JO348" s="218" t="e">
        <f t="shared" ca="1" si="1231"/>
        <v>#N/A</v>
      </c>
      <c r="JP348" s="218" t="e">
        <f ca="1">MIN(($IY348+$IO348)*Control!$C$151, $JF348-$EH348*Control!$C$161)</f>
        <v>#N/A</v>
      </c>
      <c r="JQ348" s="218" t="e">
        <f t="shared" ca="1" si="1232"/>
        <v>#N/A</v>
      </c>
      <c r="JR348" s="217" t="e">
        <f ca="1">IF($CP348-Control!$C$150&lt;0, 0, $JQ348/Control!$C$162)</f>
        <v>#N/A</v>
      </c>
      <c r="JS348" s="218" t="e">
        <f t="shared" ca="1" si="1233"/>
        <v>#N/A</v>
      </c>
      <c r="JT348" s="218" t="e">
        <f t="shared" ca="1" si="1342"/>
        <v>#N/A</v>
      </c>
      <c r="JU348" s="218" t="e">
        <f t="shared" ca="1" si="1234"/>
        <v>#N/A</v>
      </c>
      <c r="JV348" s="218" t="e">
        <f t="shared" ca="1" si="1235"/>
        <v>#N/A</v>
      </c>
      <c r="JW348" s="216" t="e">
        <f t="shared" ca="1" si="1236"/>
        <v>#N/A</v>
      </c>
      <c r="JX348" s="91" t="e">
        <f t="shared" ca="1" si="1237"/>
        <v>#N/A</v>
      </c>
      <c r="JY348" s="218" t="e">
        <f t="shared" ca="1" si="1238"/>
        <v>#N/A</v>
      </c>
      <c r="JZ348" s="217" t="e">
        <f ca="1">IF(Control!$C$114=1,($IZ348/(IF($JI348&lt;&gt;0,$JI348,1)))*$JK348, 0)</f>
        <v>#N/A</v>
      </c>
      <c r="KA348" s="218" t="e">
        <f t="shared" ca="1" si="1377"/>
        <v>#N/A</v>
      </c>
      <c r="KB348" s="218" t="e">
        <f t="shared" ca="1" si="1343"/>
        <v>#N/A</v>
      </c>
      <c r="KC348" s="218" t="e">
        <f t="shared" ca="1" si="1239"/>
        <v>#N/A</v>
      </c>
      <c r="KD348" s="218" t="e">
        <f t="shared" ca="1" si="1240"/>
        <v>#N/A</v>
      </c>
      <c r="KE348" s="218" t="e">
        <f t="shared" ca="1" si="1241"/>
        <v>#N/A</v>
      </c>
      <c r="KF348" s="218" t="e">
        <f t="shared" ca="1" si="1242"/>
        <v>#N/A</v>
      </c>
      <c r="KG348" s="216" t="e">
        <f t="shared" ca="1" si="1243"/>
        <v>#N/A</v>
      </c>
      <c r="KH348" s="221" t="e">
        <f ca="1">IF(Control!$B$24=0,1,MAX(0.001,MIN(1,IF(($IF348-$IE348)&lt;&gt;0,($KG348-$IE348)/($IF348-$IE348),1))))</f>
        <v>#N/A</v>
      </c>
      <c r="KI348" s="222" t="e">
        <f ca="1">IF(Control!$C$114=1, $KI347+ $KH347, 0)</f>
        <v>#N/A</v>
      </c>
      <c r="KJ348" s="217" t="e">
        <f t="shared" ca="1" si="1244"/>
        <v>#N/A</v>
      </c>
      <c r="KK348" s="218" t="e">
        <f t="shared" ca="1" si="1245"/>
        <v>#N/A</v>
      </c>
      <c r="KL348" s="274" t="e">
        <f ca="1">IF(Control!$B$26=3,4000000000*EXP(-8400/($G348+273)),IF(Control!$B$26=4,4000000000*EXP(-8400/($G348+273))*($KT348),0))</f>
        <v>#DIV/0!</v>
      </c>
      <c r="KM348" s="274" t="e">
        <f ca="1">IF(Control!$B$26=3,5600000000000*EXP(-9800/($G348+273)),IF(Control!$B$26=4,5600000000000*EXP(-9800/($G348+273))*$KT348,0))</f>
        <v>#DIV/0!</v>
      </c>
      <c r="KN348" s="454" t="e">
        <f t="shared" ca="1" si="1344"/>
        <v>#DIV/0!</v>
      </c>
      <c r="KO348" s="274" t="e">
        <f t="shared" ca="1" si="1345"/>
        <v>#DIV/0!</v>
      </c>
      <c r="KP348" s="454" t="e">
        <f t="shared" ca="1" si="1246"/>
        <v>#DIV/0!</v>
      </c>
      <c r="KQ348" s="454" t="e">
        <f t="shared" ca="1" si="1247"/>
        <v>#DIV/0!</v>
      </c>
      <c r="KR348" s="454" t="e">
        <f t="shared" ca="1" si="1248"/>
        <v>#DIV/0!</v>
      </c>
      <c r="KS348" s="454" t="e">
        <f t="shared" ca="1" si="1249"/>
        <v>#DIV/0!</v>
      </c>
      <c r="KT348" s="455" t="e">
        <f t="shared" ca="1" si="1250"/>
        <v>#DIV/0!</v>
      </c>
      <c r="KU348" s="456" t="e">
        <f ca="1">IF($CP348-Control!$C$149&lt;0, IF($NT348-0.01&lt;0,0,1),0)</f>
        <v>#N/A</v>
      </c>
      <c r="KV348" s="456" t="e">
        <f ca="1">IF(Control!$C$114=1,MAX(0,MIN(Control!$C$125*$KW348*$GN348,$KW348)))</f>
        <v>#DIV/0!</v>
      </c>
      <c r="KW348" s="456" t="e">
        <f t="shared" ca="1" si="1378"/>
        <v>#DIV/0!</v>
      </c>
      <c r="KX348" s="457" t="e">
        <f ca="1">IF($CP348-Control!$C$149&lt;0, IF($MR348-$OM348&lt;0,0,1),0)</f>
        <v>#N/A</v>
      </c>
      <c r="KY348" s="167">
        <f t="shared" ca="1" si="1346"/>
        <v>344</v>
      </c>
      <c r="KZ348" s="168">
        <f ca="1">1370*(1+0.033*COS(2*Control!$C$138*$AH348/365))</f>
        <v>1412.28820640141</v>
      </c>
      <c r="LA348" s="169">
        <f t="shared" ca="1" si="1347"/>
        <v>1.0308671423273339</v>
      </c>
      <c r="LB348" s="169">
        <f t="shared" ca="1" si="1348"/>
        <v>-0.40234056815416047</v>
      </c>
      <c r="LC348" s="169">
        <f ca="1">ACOS(-TAN((2*Control!$B$8/360))*TAN(Calculations!$LB348))</f>
        <v>1.4439804332996211</v>
      </c>
      <c r="LD348" s="169">
        <f ca="1">((24*60)/PI())*0.082*$LA348*(($LC348*SIN(Control!$B$8*2*PI()/360))*SIN($LB348)+COS(Control!$B$8*2*PI()/360)*COS($LB348)*SIN($LC348))</f>
        <v>4.5096624992928431</v>
      </c>
      <c r="LE348" s="170">
        <f t="shared" ca="1" si="1251"/>
        <v>6.2199262055414151</v>
      </c>
      <c r="LF348" s="170">
        <f ca="1">SIN(Control!$C$139*Control!$B$8)*SIN($HD348)</f>
        <v>-0.30798464019402116</v>
      </c>
      <c r="LG348" s="170">
        <f ca="1">COS(Control!$C$139*Control!$B$8)*COS($HD348)</f>
        <v>0.56669004168056514</v>
      </c>
      <c r="LH348" s="170">
        <f ca="1">12*(1+2*ASIN(MAX(-1,MIN(1,$LF348/$LG348))/Control!$C$138))</f>
        <v>7.8271363025816507</v>
      </c>
      <c r="LI348" s="170">
        <f ca="1">12*(1+2*ASIN(MAX(-1,MIN(1,(-SIN(-4*Control!$C$139)+$LF348)/$LG348))/Control!$C$138))</f>
        <v>8.7788404268965365</v>
      </c>
      <c r="LJ348" s="168">
        <f ca="1">3600*($LH348*$LF348+24*$LG348*SQRT(1-$LK348*$LK348)/Control!$C$138)</f>
        <v>4404.1479475284568</v>
      </c>
      <c r="LK348" s="170">
        <f t="shared" ca="1" si="1252"/>
        <v>-0.54347988766604727</v>
      </c>
      <c r="LL348" s="170">
        <f t="shared" ca="1" si="1253"/>
        <v>0</v>
      </c>
      <c r="LM348" s="171">
        <f ca="1">Control!$C$145*$AB348</f>
        <v>6.6660906138995932E-2</v>
      </c>
      <c r="LN348" s="170">
        <f t="shared" ca="1" si="1349"/>
        <v>0.54</v>
      </c>
      <c r="LO348" s="170">
        <f t="shared" ca="1" si="1254"/>
        <v>0</v>
      </c>
      <c r="LP348" s="170">
        <f ca="1">Control!$C$140*((($D348+273.16)^4+($E348+273.16)^4)/2)*(0.34-0.14*SQRT($Y348))*(1.35*$AQ348/(0.75*$LD348)-0.35)</f>
        <v>-3.2464704755046001</v>
      </c>
      <c r="LQ348" s="170">
        <f ca="1">Control!$C$140*($G348+273)^4*(0.56-0.079*SQRT($Y348*10))*(0.1+0.9*$LO348)</f>
        <v>1.5241745131704001</v>
      </c>
      <c r="LR348" s="170">
        <f ca="1">$AQ348*(1-Control!$C$142)-$LQ348</f>
        <v>-1.5241745131704001</v>
      </c>
      <c r="LS348" s="170">
        <f ca="1">$AQ348*(1-Control!$C$143)-$LQ348</f>
        <v>-1.5241745131704001</v>
      </c>
      <c r="LT348" s="170">
        <f ca="1">$AQ348*(1-Control!$C$144)-$LQ348</f>
        <v>-1.5241745131704001</v>
      </c>
      <c r="LU348" s="169">
        <f ca="1">(1-Control!$C$144)*AQ348-LP348</f>
        <v>3.2464704755046001</v>
      </c>
      <c r="LV348" s="172">
        <f t="shared" ca="1" si="1255"/>
        <v>0.79430000000000012</v>
      </c>
      <c r="LW348" s="170">
        <f t="shared" ca="1" si="1256"/>
        <v>1.5886000000000002</v>
      </c>
      <c r="LX348" s="170">
        <f ca="1">($AC348*($LR348/Control!$C$141)+$LM348*$LV348)/($AC348+$LM348)</f>
        <v>0.23530094218323697</v>
      </c>
      <c r="LY348" s="170">
        <f ca="1">($AC348*($LS348/Control!$C$141)+$LM348*$LV348)/($AC348+$LM348)</f>
        <v>0.23530094218323697</v>
      </c>
      <c r="LZ348" s="170">
        <f t="shared" ca="1" si="1257"/>
        <v>0.23530094218323697</v>
      </c>
      <c r="MA348" s="170">
        <f t="shared" ca="1" si="1258"/>
        <v>0.23530094218323697</v>
      </c>
      <c r="MB348" s="170" t="e">
        <f t="shared" ca="1" si="1259"/>
        <v>#N/A</v>
      </c>
      <c r="MC348" s="170">
        <f t="shared" ca="1" si="1350"/>
        <v>0.6018</v>
      </c>
      <c r="MD348" s="170">
        <f t="shared" ca="1" si="1260"/>
        <v>0.52989392535414004</v>
      </c>
      <c r="ME348" s="170">
        <f ca="1">($AC348*($LT348/Control!$C$141)+$LM348*$LW348)/($AC348+$LM348)</f>
        <v>0.71612369323045078</v>
      </c>
      <c r="MF348" s="170" t="e">
        <f ca="1">IF(Control!$B$16&gt;=1000,0.92,IF(AND(720&lt;=Control!$B$16,1000&gt;Control!$B$16),(0.95+(Control!$B$16-720)*((0.92-0.95)/(1000-720))),IF(AND(360&lt;=Control!$B$16,720&gt;Control!$B$16),(1+(Control!$B$16-360)*((0.95-1)/(720-360))),IF(AND(40&lt;=Control!$B$16,360&gt;Control!$B$16),(1.05+(Control!$B$16-40)*((1.05-1)/(360-40)))))))</f>
        <v>#N/A</v>
      </c>
      <c r="MG348" s="170">
        <f t="shared" ca="1" si="1261"/>
        <v>0.71612369323045078</v>
      </c>
      <c r="MH348" s="170" t="e">
        <f t="shared" ca="1" si="1387"/>
        <v>#N/A</v>
      </c>
      <c r="MI348" s="170" t="e">
        <f t="shared" ca="1" si="1387"/>
        <v>#N/A</v>
      </c>
      <c r="MJ348" s="170" t="e">
        <f ca="1">MAX(0.0001, Control!$C$132*$MI348*$DL348)</f>
        <v>#N/A</v>
      </c>
      <c r="MK348" s="170">
        <f ca="1">1/(0.76+1.5*($MG348/10))-(5-Control!$C$110)*0.1</f>
        <v>1.002845988140797</v>
      </c>
      <c r="ML348" s="173">
        <f ca="1">IF(Control!$C$110&lt;3,$MK348+($MG348-0.6)/(Control!$C$110*(Control!$C$110+3)), MAX(0.1, MIN(0.95,$MK348)))</f>
        <v>0.95</v>
      </c>
      <c r="MM348" s="173">
        <f ca="1">IF(Control!$C$110&lt;3,$MK348+(($MI348/10)-0.6)/(Control!$C$110*(Control!$C$110+3)), MAX(0.1, MIN(0.95,$MK348)))</f>
        <v>0.95</v>
      </c>
      <c r="MN348" s="173">
        <f ca="1">(1-$MM348)*(Control!$C$128-Control!$C$127)+Control!$C$127</f>
        <v>0.16</v>
      </c>
      <c r="MO348" s="170" t="e">
        <f ca="1">MAX(0,MIN(1,($MS348-Control!$C$127)/($MN348-Control!$C$127)))</f>
        <v>#DIV/0!</v>
      </c>
      <c r="MP348" s="173" t="e">
        <f ca="1">1/(0.76+1.5*$MI348)-(5-Control!$C$110)*0.1</f>
        <v>#N/A</v>
      </c>
      <c r="MQ348" s="172" t="e">
        <f t="shared" ca="1" si="1379"/>
        <v>#DIV/0!</v>
      </c>
      <c r="MR348" s="168" t="e">
        <f t="shared" ca="1" si="1351"/>
        <v>#DIV/0!</v>
      </c>
      <c r="MS348" s="173" t="e">
        <f ca="1">MAX(Control!$C$127, MIN(Control!$C$135, $MR348/MAX(0.0001,$CY348)))</f>
        <v>#DIV/0!</v>
      </c>
      <c r="MT348" s="168" t="e">
        <f ca="1">(Control!$C$128-$MS348)*Control!$C$74</f>
        <v>#DIV/0!</v>
      </c>
      <c r="MU348" s="168" t="e">
        <f ca="1">(Control!$C$135-$MS348)*Control!$C$74</f>
        <v>#DIV/0!</v>
      </c>
      <c r="MV348" s="168" t="e">
        <f t="shared" ca="1" si="1352"/>
        <v>#DIV/0!</v>
      </c>
      <c r="MW348" s="168" t="e">
        <f t="shared" ca="1" si="1353"/>
        <v>#DIV/0!</v>
      </c>
      <c r="MX348" s="171" t="e">
        <f ca="1">MAX(Control!$C$127, MIN(Control!$C$135, $MW348/MAX(0.0001,Control!$C$119-$CY348)))</f>
        <v>#DIV/0!</v>
      </c>
      <c r="MY348" s="54" t="e">
        <f ca="1">IF(Control!$C$114=1, $CX348*$MX348, 0)</f>
        <v>#DIV/0!</v>
      </c>
      <c r="MZ348" s="54" t="e">
        <f t="shared" ca="1" si="1354"/>
        <v>#N/A</v>
      </c>
      <c r="NA348" s="168" t="e">
        <f ca="1">(Control!$C$128-$MX348)*(Control!$C$119-Control!$C$74)</f>
        <v>#DIV/0!</v>
      </c>
      <c r="NB348" s="168" t="e">
        <f ca="1">(Control!$C$135-$MX348)*(Control!$C$119-Control!$C$74)</f>
        <v>#DIV/0!</v>
      </c>
      <c r="NC348" s="174" t="e">
        <f t="shared" ca="1" si="1355"/>
        <v>#DIV/0!</v>
      </c>
      <c r="ND348" s="54">
        <f ca="1">IF(Control!$C$58=2, IF(OR(Control!$B$218=$AH348,Control!$B$219=$AH348, Control!$B$220=$AH348, Control!$B$221=$AH348, Control!$B$222=$AH348, Control!$B$223=$AH348, Control!$B$224=$AH348, Control!$B$225=$AH348, Control!$B$226=$AH348, Control!$B$227=$AH348, Control!$B$228=$AH348), 1, 0), 0)</f>
        <v>0</v>
      </c>
      <c r="NE348" s="54">
        <f ca="1">IF($ND348=0,0, VLOOKUP($AH348,Control!$B$218:$C$228,2))</f>
        <v>0</v>
      </c>
      <c r="NF348" s="168" t="e">
        <f ca="1">$CY348*(Control!$C$128-Control!$C$127)</f>
        <v>#N/A</v>
      </c>
      <c r="NG348" s="54" t="e">
        <f ca="1">IF(Control!$C$58=2, $NI347-$NJ347, 0)</f>
        <v>#DIV/0!</v>
      </c>
      <c r="NH348" s="54" t="e">
        <f ca="1">IF(AND(Control!$C$58=1, $MS347&lt;= ($MN347+0.02), $I347&lt;10), 0, IF(Control!$C$58=2, $NG347, 0))</f>
        <v>#DIV/0!</v>
      </c>
      <c r="NI348" s="54" t="e">
        <f ca="1">IF(Control!$C$58=2, $NE348+$NH348,0)</f>
        <v>#DIV/0!</v>
      </c>
      <c r="NJ348" s="54" t="e">
        <f ca="1">IF(AND(Control!$C$58=1, $MS348&lt;= ($MN348+0.02), $I348&lt;10), MAX(0, MIN(10, 0.7*($NF348-$MV348))), IF(Control!$C$58=2, MIN(10,$NI348),0))</f>
        <v>#DIV/0!</v>
      </c>
      <c r="NK348" s="54" t="e">
        <f t="shared" ca="1" si="1263"/>
        <v>#DIV/0!</v>
      </c>
      <c r="NL348" s="173" t="e">
        <f ca="1">(1-Control!$C$73)*$I348+$NJ348</f>
        <v>#DIV/0!</v>
      </c>
      <c r="NM348" s="172" t="e">
        <f ca="1">IF($NL348&lt;0.5, $MB348* MAX(0, MIN(1, (SQRT($NC348)-SQRT($NC348-1))*Control!$C$71)),0)</f>
        <v>#DIV/0!</v>
      </c>
      <c r="NN348" s="170" t="e">
        <f ca="1">IF($NL348&gt;=5, $MB348, MAX(0,MIN($MB348, $NM348+$NL348,($MS348-Control!$C$129))))</f>
        <v>#DIV/0!</v>
      </c>
      <c r="NO348" s="54">
        <f>IF(Control!$C$133&lt;&gt;1, Control!$C$135-Control!$C$131, 0)</f>
        <v>0.38</v>
      </c>
      <c r="NP348" s="54" t="e">
        <f t="shared" ca="1" si="1264"/>
        <v>#DIV/0!</v>
      </c>
      <c r="NQ348" s="173" t="e">
        <f ca="1">MAX(0,MIN(1,(Control!$C$135-$MS348)/(Control!$C$135-$NO348)))</f>
        <v>#DIV/0!</v>
      </c>
      <c r="NR348" s="170" t="e">
        <f ca="1">IF(Control!$C$133&lt;&gt;1, $NQ348+((1-$NP348/4)*(1-$NQ348)),1)</f>
        <v>#DIV/0!</v>
      </c>
      <c r="NS348" s="170" t="e">
        <f ca="1">IF(Control!$B$31=0,$MJ348,MAX(0,MIN($MV348,$MO348*$NR348*$MJ348)))</f>
        <v>#DIV/0!</v>
      </c>
      <c r="NT348" s="170" t="e">
        <f t="shared" ca="1" si="1380"/>
        <v>#DIV/0!</v>
      </c>
      <c r="NU348" s="170" t="e">
        <f t="shared" ca="1" si="1356"/>
        <v>#N/A</v>
      </c>
      <c r="NV348" s="170" t="e">
        <f t="shared" ca="1" si="1265"/>
        <v>#N/A</v>
      </c>
      <c r="NW348" s="175" t="e">
        <f t="shared" ca="1" si="1266"/>
        <v>#DIV/0!</v>
      </c>
      <c r="NX348" s="170" t="e">
        <f ca="1">MIN(Control!$C$72+$MU348, $NW348)</f>
        <v>#DIV/0!</v>
      </c>
      <c r="NY348" s="170" t="e">
        <f ca="1">IF($MT348&lt;=$NX348,MIN(Control!$C$72+$NB348,$NX348-$MT348),0)</f>
        <v>#DIV/0!</v>
      </c>
      <c r="NZ348" s="54" t="e">
        <f ca="1">IF(Control!$C$114=1,  $CX348*($MX348-Control!$C$127), 0)</f>
        <v>#DIV/0!</v>
      </c>
      <c r="OA348" s="170" t="e">
        <f t="shared" ca="1" si="1267"/>
        <v>#DIV/0!</v>
      </c>
      <c r="OB348" s="170" t="e">
        <f ca="1">IF($NA348 &lt;=$NY348, MIN(Control!$C$72, $NY348-$NA348), 0)</f>
        <v>#DIV/0!</v>
      </c>
      <c r="OC348" s="168" t="e">
        <f t="shared" ca="1" si="1268"/>
        <v>#DIV/0!</v>
      </c>
      <c r="OD348" s="168" t="e">
        <f t="shared" ca="1" si="1357"/>
        <v>#DIV/0!</v>
      </c>
      <c r="OE348" s="170">
        <f ca="1">Control!$C$73*$I348</f>
        <v>0</v>
      </c>
      <c r="OF348" s="176" t="e">
        <f t="shared" ca="1" si="1269"/>
        <v>#DIV/0!</v>
      </c>
      <c r="OG348" s="168" t="e">
        <f t="shared" ca="1" si="1270"/>
        <v>#DIV/0!</v>
      </c>
      <c r="OH348" s="168" t="e">
        <f t="shared" ca="1" si="1271"/>
        <v>#DIV/0!</v>
      </c>
      <c r="OI348" s="168" t="e">
        <f t="shared" ca="1" si="1272"/>
        <v>#DIV/0!</v>
      </c>
      <c r="OJ348" s="168" t="e">
        <f t="shared" ca="1" si="1273"/>
        <v>#DIV/0!</v>
      </c>
      <c r="OK348" s="204" t="e">
        <f t="shared" ca="1" si="1274"/>
        <v>#DIV/0!</v>
      </c>
      <c r="OL348" s="177">
        <f>Control!$C$127</f>
        <v>0.15</v>
      </c>
      <c r="OM348" s="182" t="e">
        <f t="shared" ca="1" si="1275"/>
        <v>#N/A</v>
      </c>
      <c r="ON348" s="177">
        <f>Control!$C$128</f>
        <v>0.35</v>
      </c>
      <c r="OO348" s="182" t="e">
        <f t="shared" ca="1" si="1276"/>
        <v>#N/A</v>
      </c>
      <c r="OP348" s="138">
        <f t="shared" ca="1" si="1358"/>
        <v>0</v>
      </c>
      <c r="OQ348" s="138" t="e">
        <f t="shared" ca="1" si="1381"/>
        <v>#DIV/0!</v>
      </c>
      <c r="OR348" s="138" t="e">
        <f t="shared" ca="1" si="1359"/>
        <v>#DIV/0!</v>
      </c>
      <c r="OS348" s="137" t="e">
        <f t="shared" ca="1" si="1382"/>
        <v>#DIV/0!</v>
      </c>
      <c r="OT348" s="139" t="e">
        <f t="shared" ca="1" si="1383"/>
        <v>#DIV/0!</v>
      </c>
      <c r="OU348" s="138" t="e">
        <f t="shared" ca="1" si="1384"/>
        <v>#N/A</v>
      </c>
      <c r="OV348" s="138" t="e">
        <f t="shared" ca="1" si="1385"/>
        <v>#DIV/0!</v>
      </c>
      <c r="OW348" s="138" t="e">
        <f t="shared" ca="1" si="1360"/>
        <v>#DIV/0!</v>
      </c>
      <c r="OX348" s="138" t="e">
        <f t="shared" ca="1" si="1361"/>
        <v>#DIV/0!</v>
      </c>
      <c r="OY348" s="138" t="e">
        <f t="shared" ca="1" si="1362"/>
        <v>#DIV/0!</v>
      </c>
      <c r="OZ348" s="138" t="e">
        <f t="shared" ca="1" si="1277"/>
        <v>#DIV/0!</v>
      </c>
      <c r="PA348" s="138" t="e">
        <f t="shared" ca="1" si="1278"/>
        <v>#DIV/0!</v>
      </c>
      <c r="PB348" s="55">
        <f>IF(Control!$C$61="T", IF(Control!$C$65="F", IF($AH$6-Control!$C$60&lt;0,0,1), IF(365+$AH$6-Control!$C$60&lt;0,0,1)),0)</f>
        <v>0</v>
      </c>
      <c r="PC348" s="55">
        <f ca="1">IF(Control!$C$65="F", IF($AH$6-$HF348&lt;0,0,1), IF(365+$AH$6-$HF348&lt;0,0,1))</f>
        <v>1</v>
      </c>
      <c r="PD348" s="444">
        <f>Control!$C$118</f>
        <v>1500</v>
      </c>
      <c r="PE348" s="180" t="e">
        <f t="shared" ca="1" si="1279"/>
        <v>#N/A</v>
      </c>
      <c r="PF348" s="445">
        <f t="shared" ca="1" si="1363"/>
        <v>0.71612369323045078</v>
      </c>
      <c r="PT348" s="186"/>
      <c r="PU348" s="186"/>
      <c r="PV348" s="94"/>
      <c r="PW348" s="94"/>
      <c r="PX348" s="94"/>
      <c r="PY348" s="94"/>
      <c r="PZ348" s="94"/>
      <c r="QA348" s="94"/>
      <c r="QB348" s="94"/>
      <c r="QC348" s="94"/>
      <c r="QD348" s="94"/>
      <c r="QE348" s="94"/>
      <c r="QF348" s="94"/>
      <c r="QG348" s="94"/>
      <c r="QH348" s="94"/>
      <c r="QI348" s="94"/>
      <c r="QJ348" s="94"/>
      <c r="QK348" s="94"/>
      <c r="QL348" s="94"/>
      <c r="QM348" s="94"/>
      <c r="QN348" s="94"/>
      <c r="QO348" s="94"/>
      <c r="QP348" s="94"/>
    </row>
    <row r="349" spans="1:458" s="2" customFormat="1" x14ac:dyDescent="0.2">
      <c r="A349" s="395">
        <v>10</v>
      </c>
      <c r="B349" s="396">
        <v>12</v>
      </c>
      <c r="C349" s="387">
        <f ca="1">Weather_data!$B348</f>
        <v>0</v>
      </c>
      <c r="D349" s="388">
        <f ca="1">Weather_data!$F348</f>
        <v>0</v>
      </c>
      <c r="E349" s="388">
        <f ca="1">Weather_data!$E348</f>
        <v>0</v>
      </c>
      <c r="F349" s="388">
        <f t="shared" ca="1" si="1280"/>
        <v>0</v>
      </c>
      <c r="G349" s="388">
        <f ca="1">AVERAGE($D349:$E349)+Control!$B$9</f>
        <v>0</v>
      </c>
      <c r="H349" s="388">
        <f ca="1">Weather_data!$G348</f>
        <v>0</v>
      </c>
      <c r="I349" s="388">
        <f ca="1">Weather_data!$I348</f>
        <v>0</v>
      </c>
      <c r="J349" s="388">
        <f ca="1">Weather_data!$H348</f>
        <v>0</v>
      </c>
      <c r="K349" s="389">
        <f ca="1">Weather_data!$D348</f>
        <v>0</v>
      </c>
      <c r="L349" s="388" t="e">
        <f t="shared" ca="1" si="1281"/>
        <v>#N/A</v>
      </c>
      <c r="M349" s="388" t="e">
        <f t="shared" ca="1" si="1158"/>
        <v>#N/A</v>
      </c>
      <c r="N349" s="388">
        <f t="shared" ca="1" si="1159"/>
        <v>-1.0096032548602921E-16</v>
      </c>
      <c r="O349" s="388">
        <f t="shared" ca="1" si="1282"/>
        <v>1.009603254860292E-15</v>
      </c>
      <c r="P349" s="390">
        <v>3</v>
      </c>
      <c r="Q349" s="388">
        <f ca="1">MAX($G349-Control!$C$107,0)</f>
        <v>0</v>
      </c>
      <c r="R349" s="388">
        <f t="shared" ca="1" si="1283"/>
        <v>0</v>
      </c>
      <c r="S349" s="388">
        <f t="shared" ca="1" si="1160"/>
        <v>0</v>
      </c>
      <c r="T349" s="388">
        <f t="shared" ca="1" si="1161"/>
        <v>0</v>
      </c>
      <c r="U349" s="59">
        <f t="shared" ca="1" si="1162"/>
        <v>0</v>
      </c>
      <c r="V349" s="391">
        <f ca="1">MAX(0,MIN(Control!$C$100-Control!$C$99,$G349-Control!$C$99)*Control!$C$63)</f>
        <v>0</v>
      </c>
      <c r="W349" s="388">
        <f t="shared" ca="1" si="1284"/>
        <v>0</v>
      </c>
      <c r="X349" s="388">
        <f t="shared" ca="1" si="1285"/>
        <v>0.6110000000000001</v>
      </c>
      <c r="Y349" s="388">
        <f t="shared" ca="1" si="1163"/>
        <v>0</v>
      </c>
      <c r="Z349" s="388">
        <f t="shared" ca="1" si="1286"/>
        <v>0.61058800000000002</v>
      </c>
      <c r="AA349" s="388">
        <f t="shared" ca="1" si="1164"/>
        <v>0.6018</v>
      </c>
      <c r="AB349" s="388">
        <f ca="1">101.3*EXP(-0.034*Control!$C$66/($G349+273))</f>
        <v>100.69623283836242</v>
      </c>
      <c r="AC349" s="392">
        <f t="shared" ca="1" si="1165"/>
        <v>4.3460251046025113E-2</v>
      </c>
      <c r="AD349" s="392">
        <f t="shared" ca="1" si="1166"/>
        <v>4.4450382862832649E-2</v>
      </c>
      <c r="AE349" s="388">
        <f t="shared" ca="1" si="1167"/>
        <v>0</v>
      </c>
      <c r="AF349" s="388">
        <f ca="1">MAX(0,$G349-Control!$C$92)</f>
        <v>0</v>
      </c>
      <c r="AG349" s="393">
        <f t="shared" ca="1" si="1168"/>
        <v>345</v>
      </c>
      <c r="AH349" s="389">
        <f t="shared" ca="1" si="1169"/>
        <v>345</v>
      </c>
      <c r="AI349" s="388">
        <f t="shared" ca="1" si="1287"/>
        <v>-0.40287940521028104</v>
      </c>
      <c r="AJ349" s="388">
        <f ca="1">IF(Control!$C$60&lt;=0,$HH349,$HI349)</f>
        <v>1</v>
      </c>
      <c r="AK349" s="388">
        <f t="shared" ca="1" si="1170"/>
        <v>4.5617646750755902</v>
      </c>
      <c r="AL349" s="388">
        <f t="shared" ca="1" si="1171"/>
        <v>7.7538617887507041E-18</v>
      </c>
      <c r="AM349" s="388">
        <f t="shared" ca="1" si="1172"/>
        <v>4.5617646750755902</v>
      </c>
      <c r="AN349" s="388">
        <f t="shared" ca="1" si="1173"/>
        <v>-0.40421369670288682</v>
      </c>
      <c r="AO349" s="388">
        <f ca="1">-0.10453/COS(Control!$B$8*PI()/180)*COS(AN349)</f>
        <v>-0.15610222992006678</v>
      </c>
      <c r="AP349" s="388">
        <f ca="1">ACOS(AO349-TAN(Control!$B$8*PI()/180)*TAN(AN349))</f>
        <v>1.1686252097809173</v>
      </c>
      <c r="AQ349" s="388">
        <f t="shared" ca="1" si="1288"/>
        <v>0</v>
      </c>
      <c r="AR349" s="394">
        <f t="shared" ca="1" si="1174"/>
        <v>0</v>
      </c>
      <c r="AS349" s="436">
        <f ca="1">IF(Control!$B$18=2,(IF(OR($AH349=Control!$B$175,$AH349=Control!$B$176,$AH349=Control!$B$177,$AH349=Control!$B$178,$AH349=Control!$B$179,$AH349=Control!$B$180,$AH349=Control!$B$181,$AH349=Control!$B$182,$AH349=Control!$B$183,$AH349=Control!$B$184,$AH349=Control!$B$185),1,0)),0)</f>
        <v>0</v>
      </c>
      <c r="AT349" s="436">
        <f>IF(Control!$B$20=8,IF(AND($AH349&gt;=Control!$B$172,$AH349&lt;=Control!$B$173),1,0),0)</f>
        <v>0</v>
      </c>
      <c r="AU349" s="436">
        <f>IF(Control!$B$20=8,IF($AV348=1,1*$AT349,IF($AT349=1,$AU348+1,$AU348)),0)</f>
        <v>0</v>
      </c>
      <c r="AV349" s="436">
        <f>IF(Control!$B$20=8,IF($AU349&gt;=Control!$B$174,1,0),0)</f>
        <v>0</v>
      </c>
      <c r="AW349" s="436">
        <f ca="1">IF(AND(Control!$B$18=2,Control!$B$171=1), $AV349, $AS349)</f>
        <v>0</v>
      </c>
      <c r="AX349" s="436" t="e">
        <f ca="1">IF(AND(Control!$B$18=1,$EU349&gt;=Control!$B$19),-$AY349,IF(AND(Control!$B$18=2,$AW349=1,$EU349&gt;$DS349),-$AY349, IF(Control!$C$108=0,0, IF(Control!$C$108&lt;&gt;0,1))))</f>
        <v>#N/A</v>
      </c>
      <c r="AY349" s="436" t="e">
        <f t="shared" ca="1" si="1289"/>
        <v>#N/A</v>
      </c>
      <c r="AZ349" s="436" t="e">
        <f ca="1">IF(AND(Control!$B$18=1,$EB349&gt;Control!$B$19),$AZ348+1, IF(AND(Control!$B$18=2, $AW349=1, $EB349&gt;$DS349), $AZ348+1,$AZ348))</f>
        <v>#N/A</v>
      </c>
      <c r="BA349" s="587">
        <f>IF(Control!$C$81=0,1,IF($AH349&gt;=Control!$C$82,1,0))</f>
        <v>1</v>
      </c>
      <c r="BB349" s="140" t="e">
        <f ca="1">IF($BA349&gt;$BA348,Control!$C$83,IF($AW349&gt;0,$AW349*Control!$C$84,IF(AND(Control!$B$18=1,EN348&lt;&gt;0),Control!$C$84,0)))</f>
        <v>#N/A</v>
      </c>
      <c r="BC349" s="140" t="e">
        <f t="shared" ca="1" si="1290"/>
        <v>#N/A</v>
      </c>
      <c r="BD349" s="140" t="e">
        <f ca="1">BC349*IF(OR($G349&lt;Control!$C$92,$G349&gt;Control!$C$95),0,IF(AND($G349&gt;=Control!$C$92,$G349&lt;=Control!$C$93),$G349-Control!$C$92,IF(AND($G349&gt;Control!$C$93,$G349&lt;=Control!$C$94),Control!$C$93-Control!$C$92,IF(AND($G349&gt;Control!$C$94,$G349&lt;=Control!$C$95),(Control!$C$93-Control!$C$92)*(Control!$C$94-$G349)/(Control!$C$95-Control!$C$94)))))</f>
        <v>#N/A</v>
      </c>
      <c r="BE349" s="140" t="e">
        <f t="shared" ca="1" si="1291"/>
        <v>#N/A</v>
      </c>
      <c r="BF349" s="140" t="e">
        <f ca="1">IF($BE349&lt;=Control!$C$86,$BE349,Control!$C$86-$BE349)</f>
        <v>#N/A</v>
      </c>
      <c r="BG349" s="140" t="e">
        <f ca="1">IF(AND($AW349=1,Control!$C$84&lt;9),1,IF($BE349&gt;=Control!$C$86,0,$BC349))</f>
        <v>#N/A</v>
      </c>
      <c r="BH349" s="404" t="e">
        <f ca="1">IF($BG349=0,0,IF($BE349&lt;=Control!$C$86,$BC349*9*($BF349/Control!$C$86),0))</f>
        <v>#N/A</v>
      </c>
      <c r="BI349" s="140" t="e">
        <f ca="1">IF($BG349=1,0,IF($BE349&gt;=Control!$C$86,1,IF(AND($BB349&lt;21,$BB349&gt;=9),1,$BM348)))</f>
        <v>#N/A</v>
      </c>
      <c r="BJ349" s="140" t="e">
        <f ca="1">IF($BF349&lt;0,-$BF349,$BI349*IF(OR($G349&lt;Control!$C$92,$G349&gt;Control!$C$95),0,IF(AND($G349&gt;=Control!$C$92,$G349&lt;=Control!$C$93),$G349-Control!$C$92,IF(AND($G349&gt;Control!$C$93,$G349&lt;=Control!$C$94),Control!$C$93-Control!$C$92,IF(AND($G349&gt;Control!$C$94,$G349&lt;=Control!$C$95),(Control!$C$93-Control!$C$92)*(Control!$C$94-$G349)/(Control!$C$95-Control!$C$94))))))</f>
        <v>#N/A</v>
      </c>
      <c r="BK349" s="140" t="e">
        <f t="shared" ca="1" si="1292"/>
        <v>#N/A</v>
      </c>
      <c r="BL349" s="140" t="e">
        <f ca="1">IF($BK349&lt;=Control!$C$87,$BK349,Control!$C$87-$BK349)</f>
        <v>#N/A</v>
      </c>
      <c r="BM349" s="140" t="e">
        <f ca="1">IF(AND($BB349&gt;=9,$BB349&lt;21),1,IF($BK349&gt;=Control!$C$87,0,$BI349))</f>
        <v>#N/A</v>
      </c>
      <c r="BN349" s="404" t="e">
        <f ca="1">IF($BM349=0,0,IF($BK349&lt;=Control!$C$87,$BI349*(9+(21-9)*($BL349/Control!$C$87)),0))</f>
        <v>#N/A</v>
      </c>
      <c r="BO349" s="140" t="e">
        <f ca="1">IF($BM349=1,0,IF($BK349&gt;=Control!$C$87,1,IF(AND($BB349&lt;30,$BB349&gt;=21),1,$BS348)))</f>
        <v>#N/A</v>
      </c>
      <c r="BP349" s="140" t="e">
        <f ca="1">IF($BL349&lt;0,-$BL349,$BO349*IF(OR($G349&lt;Control!$C$92,$G349&gt;Control!$C$95),0,IF(AND($G349&gt;=Control!$C$92,$G349&lt;=Control!$C$93),$G349-Control!$C$92,IF(AND($G349&gt;Control!$C$93,$G349&lt;=Control!$C$94),Control!$C$93-Control!$C$92,IF(AND($G349&gt;Control!$C$94,$G349&lt;=Control!$C$95),(Control!$C$93-Control!$C$92)*(Control!$C$94-$G349)/(Control!$C$95-Control!$C$94))))))</f>
        <v>#N/A</v>
      </c>
      <c r="BQ349" s="140" t="e">
        <f t="shared" ca="1" si="1175"/>
        <v>#N/A</v>
      </c>
      <c r="BR349" s="140" t="e">
        <f ca="1">IF($BQ349&lt;=Control!$C$88,$BQ349,Control!$C$88-$BQ349)</f>
        <v>#N/A</v>
      </c>
      <c r="BS349" s="140" t="e">
        <f ca="1">IF(AND($BB349&gt;=21,$BB349&lt;30),1,IF($BQ349&gt;=Control!$C$88,0,$BO349))</f>
        <v>#N/A</v>
      </c>
      <c r="BT349" s="404" t="e">
        <f ca="1">IF($BS349=0,0,IF($BQ349&lt;=Control!$C$88,$BO349*(21+(30-21)*(BR349/Control!$C$88)),0))</f>
        <v>#N/A</v>
      </c>
      <c r="BU349" s="140" t="e">
        <f ca="1">IF(BG349+BM349+BS349=1,0,IF(OR(AND($BB349&lt;60,$BB349&gt;=30),$BQ349&gt;=Control!$C$88),1*$BA349,$BY348))</f>
        <v>#N/A</v>
      </c>
      <c r="BV349" s="140" t="e">
        <f ca="1">IF($BR349&lt;0,-$BR349,$BU349*IF(OR($G349&lt;Control!$C$92,$G349&gt;Control!$C$95),0,IF(AND($G349&gt;=Control!$C$92,$G349&lt;=Control!$C$93),$G349-Control!$C$92,IF(AND($G349&gt;Control!$C$93,$G349&lt;=Control!$C$94),Control!$C$93-Control!$C$92,IF(AND($G349&gt;Control!$C$94,$G349&lt;=Control!$C$95),(Control!$C$93-Control!$C$92)*(Control!$C$94-$G349)/(Control!$C$95-Control!$C$94))))))</f>
        <v>#N/A</v>
      </c>
      <c r="BW349" s="140" t="e">
        <f t="shared" ca="1" si="1176"/>
        <v>#N/A</v>
      </c>
      <c r="BX349" s="140" t="e">
        <f ca="1">IF($BW349&lt;=Control!$C$89,$BW349,Control!$C$89-$BW349)</f>
        <v>#N/A</v>
      </c>
      <c r="BY349" s="140" t="e">
        <f ca="1">IF(AND($AJ349&gt;=30,$AJ349&lt;60),1,IF($BW349&gt;=Control!$C$89,0,$BU349))</f>
        <v>#N/A</v>
      </c>
      <c r="BZ349" s="404" t="e">
        <f ca="1">IF($BY349=0,0,IF($BW349&lt;=Control!$C$89,$BU349*(30+(60-30)*(BX349/Control!$C$89)),0))</f>
        <v>#N/A</v>
      </c>
      <c r="CA349" s="140" t="e">
        <f ca="1">IF($BG349+$BM349+$BS349+$BY349=1,0,IF(OR(AND($BB349&lt;65,$BB349&gt;=60),$BW349&gt;=Control!$C$89),1*$BA349,$CE348))</f>
        <v>#N/A</v>
      </c>
      <c r="CB349" s="140" t="e">
        <f ca="1">IF($BX349&lt;0,-$BX349,$CA349*IF(OR($G349&lt;Control!$C$92,$G349&gt;Control!$C$95),0,IF(AND($G349&gt;=Control!$C$92,$G349&lt;=Control!$C$93),$G349-Control!$C$92,IF(AND($G349&gt;Control!$C$93,$G349&lt;=Control!$C$94),Control!$C$93-Control!$C$92,IF(AND($G349&gt;Control!$C$94,$G349&lt;=Control!$C$95),(Control!$C$93-Control!$C$92)*(Control!$C$94-$G349)/(Control!$C$95-Control!$C$94))))))</f>
        <v>#N/A</v>
      </c>
      <c r="CC349" s="140" t="e">
        <f t="shared" ca="1" si="1293"/>
        <v>#N/A</v>
      </c>
      <c r="CD349" s="140" t="e">
        <f ca="1">IF($CC349&lt;=Control!$C$90,$CC349,Control!$C$90-$CC349)</f>
        <v>#N/A</v>
      </c>
      <c r="CE349" s="140" t="e">
        <f ca="1">IF(AND($BB349&gt;=60,$BB349&lt;65),1,IF($CC349&gt;=Control!$C$90,0,$CA349))</f>
        <v>#N/A</v>
      </c>
      <c r="CF349" s="404" t="e">
        <f ca="1">IF($CE349=0,0,IF($CC349&lt;=Control!$C$90,$CA349*(60+(65-60)*(CD349/Control!$C$90)),0))</f>
        <v>#N/A</v>
      </c>
      <c r="CG349" s="140" t="e">
        <f ca="1">IF($BG349+$BM349+$BS349+$BY349+$CE349=1,0,IF(OR(AND($BB349&lt;90,$BB349&gt;=65),$CC349&gt;=Control!$C$90),$BA349,$CK348))</f>
        <v>#N/A</v>
      </c>
      <c r="CH349" s="140" t="e">
        <f ca="1">IF($CD349&lt;0,-$CD349,$CG349*IF(OR($G349&lt;Control!$C$92,$G349&gt;Control!$C$95),0,IF(AND($G349&gt;=Control!$C$92,$G349&lt;=Control!$C$93),$G349-Control!$C$92,IF(AND($G349&gt;Control!$C$93,$G349&lt;=Control!$C$94),Control!$C$93-Control!$C$92,IF(AND($G349&gt;Control!$C$94,$G349&lt;=Control!$C$95),(Control!$C$93-Control!$C$92)*(Control!$C$94-$G349)/(Control!$C$95-Control!$C$94))))))</f>
        <v>#N/A</v>
      </c>
      <c r="CI349" s="140" t="e">
        <f t="shared" ca="1" si="1294"/>
        <v>#N/A</v>
      </c>
      <c r="CJ349" s="140" t="e">
        <f ca="1">IF($CI349&lt;=Control!$C$91,$CI349,Control!$C$91-$CI349)</f>
        <v>#N/A</v>
      </c>
      <c r="CK349" s="140" t="e">
        <f ca="1">IF(AND($BB349&gt;=65,$BB349&lt;90),1,IF($CI349&gt;=Control!$C$91,0,$CG349))</f>
        <v>#N/A</v>
      </c>
      <c r="CL349" s="404" t="e">
        <f ca="1">IF($CK349=0,0,IF($CI349&lt;=Control!$C$91,$CG349*(65+(90-65)*($CJ349/Control!$C$91)),0))</f>
        <v>#N/A</v>
      </c>
      <c r="CM349" s="140" t="e">
        <f ca="1">IF($BG349+$BM349+$BS349+$BY349+$CE349+$CK349=1,0,IF(OR($BB349&gt;=90,$CI349&gt;=Control!$C$91),$BA349,$CM348))</f>
        <v>#N/A</v>
      </c>
      <c r="CN349" s="140" t="e">
        <f t="shared" ca="1" si="1295"/>
        <v>#N/A</v>
      </c>
      <c r="CO349" s="140" t="e">
        <f t="shared" ca="1" si="1296"/>
        <v>#N/A</v>
      </c>
      <c r="CP349" s="140" t="e">
        <f t="shared" ca="1" si="1297"/>
        <v>#N/A</v>
      </c>
      <c r="CQ349" s="141" t="e">
        <f ca="1">VLOOKUP($CP349,Control!$B$86:$G$91,6)</f>
        <v>#N/A</v>
      </c>
      <c r="CR349" s="141" t="e">
        <f ca="1">(1-$CQ349)*VLOOKUP($CP349,Control!$B$86:$D$91,3)</f>
        <v>#N/A</v>
      </c>
      <c r="CS349" s="141" t="e">
        <f ca="1">(1-$CQ349)*VLOOKUP($CP349,Control!$B$86:$E$91,4)</f>
        <v>#N/A</v>
      </c>
      <c r="CT349" s="141" t="e">
        <f ca="1">(1-$CQ349)*VLOOKUP($CP349,Control!$B$86:$F$91,5)</f>
        <v>#N/A</v>
      </c>
      <c r="CU349" s="141">
        <f t="shared" ca="1" si="1298"/>
        <v>0</v>
      </c>
      <c r="CV349" s="583">
        <f t="shared" ca="1" si="1299"/>
        <v>0</v>
      </c>
      <c r="CW349" s="142">
        <f t="shared" ca="1" si="1300"/>
        <v>345</v>
      </c>
      <c r="CX349" s="612" t="e">
        <f ca="1">IF(Control!$C$114=1,(MIN(Control!$C$120*(IF($NT349-0.01&lt;0,0,1)),Control!$C$119-$CY349)))</f>
        <v>#DIV/0!</v>
      </c>
      <c r="CY349" s="143" t="e">
        <f t="shared" ca="1" si="1301"/>
        <v>#N/A</v>
      </c>
      <c r="CZ349" s="144">
        <f t="shared" ca="1" si="1177"/>
        <v>0</v>
      </c>
      <c r="DA349" s="144">
        <f t="shared" ca="1" si="1178"/>
        <v>0</v>
      </c>
      <c r="DB349" s="144" t="e">
        <f t="shared" ca="1" si="1179"/>
        <v>#N/A</v>
      </c>
      <c r="DC349" s="144" t="e">
        <f t="shared" ca="1" si="1180"/>
        <v>#N/A</v>
      </c>
      <c r="DD349" s="144" t="e">
        <f t="shared" ca="1" si="1386"/>
        <v>#N/A</v>
      </c>
      <c r="DE349" s="143" t="e">
        <f t="shared" ca="1" si="1302"/>
        <v>#N/A</v>
      </c>
      <c r="DF349" s="145" t="e">
        <f ca="1">$DR349*EXP(-Control!$C$158*(1-$KH349))</f>
        <v>#N/A</v>
      </c>
      <c r="DG349" s="146" t="e">
        <f ca="1">IF(Control!$C$114=1, $DF349*$EY349, 0)</f>
        <v>#N/A</v>
      </c>
      <c r="DH349" s="147" t="e">
        <f t="shared" ca="1" si="1303"/>
        <v>#N/A</v>
      </c>
      <c r="DI349" s="144" t="e">
        <f t="shared" ca="1" si="1364"/>
        <v>#N/A</v>
      </c>
      <c r="DJ349" s="147" t="e">
        <f ca="1">$EF349*Control!$C$109</f>
        <v>#N/A</v>
      </c>
      <c r="DK349" s="144" t="e">
        <f t="shared" ca="1" si="1304"/>
        <v>#N/A</v>
      </c>
      <c r="DL349" s="144" t="e">
        <f t="shared" ca="1" si="1181"/>
        <v>#N/A</v>
      </c>
      <c r="DM349" s="144" t="e">
        <f ca="1">IF(Control!$C$114=1, (1-EXP(-Control!$C$96*$DK349))*$AR349, 0)</f>
        <v>#N/A</v>
      </c>
      <c r="DN349" s="144">
        <f t="shared" ca="1" si="1305"/>
        <v>0</v>
      </c>
      <c r="DO349" s="148">
        <f>Control!$C$97</f>
        <v>4</v>
      </c>
      <c r="DP349" s="145" t="e">
        <f t="shared" ca="1" si="1306"/>
        <v>#N/A</v>
      </c>
      <c r="DQ349" s="145" t="e">
        <f ca="1">IF(AND($CP349&gt;=0,$CP349&lt;=90),Control!$C$111,Control!$C$111)</f>
        <v>#N/A</v>
      </c>
      <c r="DR349" s="145" t="e">
        <f t="shared" ca="1" si="1182"/>
        <v>#N/A</v>
      </c>
      <c r="DS349" s="143" t="e">
        <f ca="1">Control!$B$22/$DR349</f>
        <v>#N/A</v>
      </c>
      <c r="DT349" s="149" t="e">
        <f ca="1">IF(AND(Control!$C$114=1,$KH349&lt;1),$IM349*$DF349, 0)</f>
        <v>#N/A</v>
      </c>
      <c r="DU349" s="144" t="e">
        <f t="shared" ca="1" si="1307"/>
        <v>#N/A</v>
      </c>
      <c r="DV349" s="144">
        <f ca="1">IF($G349-Control!$C$107&lt;=0, 0, 0.83*LN(MAX($G349, 3))-0.8924)</f>
        <v>0</v>
      </c>
      <c r="DW349" s="144" t="e">
        <f t="shared" ca="1" si="1183"/>
        <v>#N/A</v>
      </c>
      <c r="DX349" s="150" t="e">
        <f ca="1">MAX(0.01*(1+$CU349/Control!$C$102),0.05*($DK349-Control!$C$97)/Control!$C$97)</f>
        <v>#N/A</v>
      </c>
      <c r="DY349" s="151" t="e">
        <f ca="1">IF(Control!$C$114=1, $DI349*$FS349, 0)</f>
        <v>#N/A</v>
      </c>
      <c r="DZ349" s="196" t="e">
        <f t="shared" ca="1" si="1308"/>
        <v>#N/A</v>
      </c>
      <c r="EA349" s="152">
        <f t="shared" ca="1" si="1309"/>
        <v>345</v>
      </c>
      <c r="EB349" s="153" t="e">
        <f t="shared" ca="1" si="1310"/>
        <v>#N/A</v>
      </c>
      <c r="EC349" s="153" t="e">
        <f t="shared" ca="1" si="1311"/>
        <v>#N/A</v>
      </c>
      <c r="ED349" s="154" t="e">
        <f ca="1">IF(Control!$C$114=1, $HM349*$FY349-$FD349, 0)</f>
        <v>#DIV/0!</v>
      </c>
      <c r="EE349" s="155" t="e">
        <f ca="1">IF(Control!$C$114=1, $HM349*$FZ349-$FF349, 0)</f>
        <v>#DIV/0!</v>
      </c>
      <c r="EF349" s="153" t="e">
        <f t="shared" ca="1" si="1365"/>
        <v>#N/A</v>
      </c>
      <c r="EG349" s="155" t="e">
        <f ca="1">IF(Control!$C$114=1, $GX349*$FW349-$FI349, 0)</f>
        <v>#DIV/0!</v>
      </c>
      <c r="EH349" s="153" t="e">
        <f t="shared" ca="1" si="1312"/>
        <v>#N/A</v>
      </c>
      <c r="EI349" s="156" t="e">
        <f t="shared" ca="1" si="1313"/>
        <v>#N/A</v>
      </c>
      <c r="EJ349" s="155" t="e">
        <f ca="1">IF(Control!$C$114=1, $HM349*$GB349, 0)</f>
        <v>#DIV/0!</v>
      </c>
      <c r="EK349" s="153" t="e">
        <f t="shared" ca="1" si="1366"/>
        <v>#N/A</v>
      </c>
      <c r="EL349" s="153" t="e">
        <f t="shared" ca="1" si="1184"/>
        <v>#N/A</v>
      </c>
      <c r="EM349" s="153" t="e">
        <f t="shared" ca="1" si="1185"/>
        <v>#N/A</v>
      </c>
      <c r="EN349" s="153" t="e">
        <f ca="1">IF(Control!$C$108=1,IF(AND(Control!$B$18=1,$EB349&gt;=Control!$B$19),$EB349-$DS349,IF(AND(Control!$B$18=2,$AW349=1,$EB349&gt;$DS349),$EB349-$DS349,0)))</f>
        <v>#N/A</v>
      </c>
      <c r="EO349" s="153" t="e">
        <f ca="1">IF(Control!$C$108=1,IF(AND(Control!$B$18=1,$EB349&gt;=Control!$B$19),$EF349,IF(AND(Control!$B$18=2,$AW349=1),$EF349,0)))</f>
        <v>#N/A</v>
      </c>
      <c r="EP349" s="153" t="e">
        <f ca="1">IF(Control!$C$108=1,IF(AND(Control!$B$18=1,$EB349&gt;=Control!$B$19),$EK349,IF(AND(Control!$B$18=2,$AW349=1),$EK349,0)))</f>
        <v>#N/A</v>
      </c>
      <c r="EQ349" s="153" t="e">
        <f t="shared" ca="1" si="1314"/>
        <v>#N/A</v>
      </c>
      <c r="ER349" s="153" t="e">
        <f t="shared" ca="1" si="1315"/>
        <v>#N/A</v>
      </c>
      <c r="ES349" s="153" t="e">
        <f t="shared" ca="1" si="1367"/>
        <v>#N/A</v>
      </c>
      <c r="ET349" s="153" t="e">
        <f t="shared" ca="1" si="1368"/>
        <v>#N/A</v>
      </c>
      <c r="EU349" s="153" t="e">
        <f t="shared" ca="1" si="1316"/>
        <v>#N/A</v>
      </c>
      <c r="EV349" s="153" t="e">
        <f t="shared" ca="1" si="1186"/>
        <v>#N/A</v>
      </c>
      <c r="EW349" s="153" t="e">
        <f t="shared" ca="1" si="1187"/>
        <v>#N/A</v>
      </c>
      <c r="EX349" s="153" t="e">
        <f t="shared" ca="1" si="1188"/>
        <v>#N/A</v>
      </c>
      <c r="EY349" s="157" t="e">
        <f t="shared" ca="1" si="1189"/>
        <v>#DIV/0!</v>
      </c>
      <c r="EZ349" s="154" t="e">
        <f t="shared" ca="1" si="1190"/>
        <v>#DIV/0!</v>
      </c>
      <c r="FA349" s="153" t="e">
        <f t="shared" ca="1" si="1317"/>
        <v>#N/A</v>
      </c>
      <c r="FB349" s="153" t="e">
        <f t="shared" ca="1" si="1191"/>
        <v>#N/A</v>
      </c>
      <c r="FC349" s="193" t="e">
        <f t="shared" ca="1" si="1192"/>
        <v>#N/A</v>
      </c>
      <c r="FD349" s="158" t="e">
        <f t="shared" ca="1" si="1318"/>
        <v>#N/A</v>
      </c>
      <c r="FE349" s="158" t="e">
        <f t="shared" ca="1" si="1319"/>
        <v>#N/A</v>
      </c>
      <c r="FF349" s="159" t="e">
        <f t="shared" ca="1" si="1193"/>
        <v>#N/A</v>
      </c>
      <c r="FG349" s="160" t="e">
        <f t="shared" ca="1" si="1320"/>
        <v>#N/A</v>
      </c>
      <c r="FH349" s="158" t="e">
        <f t="shared" ca="1" si="1321"/>
        <v>#N/A</v>
      </c>
      <c r="FI349" s="159" t="e">
        <f t="shared" ca="1" si="1194"/>
        <v>#N/A</v>
      </c>
      <c r="FJ349" s="160" t="e">
        <f t="shared" ca="1" si="1322"/>
        <v>#N/A</v>
      </c>
      <c r="FK349" s="160" t="e">
        <f t="shared" ca="1" si="1195"/>
        <v>#N/A</v>
      </c>
      <c r="FL349" s="160" t="e">
        <f t="shared" ca="1" si="1369"/>
        <v>#N/A</v>
      </c>
      <c r="FM349" s="160" t="e">
        <f t="shared" ca="1" si="1196"/>
        <v>#N/A</v>
      </c>
      <c r="FN349" s="158">
        <f t="shared" ca="1" si="1323"/>
        <v>0.01</v>
      </c>
      <c r="FO349" s="160">
        <f>Control!$C$101</f>
        <v>50</v>
      </c>
      <c r="FP349" s="150" t="e">
        <f t="shared" ca="1" si="1197"/>
        <v>#N/A</v>
      </c>
      <c r="FQ349" s="150" t="e">
        <f ca="1">MAX(0,(Control!$C$112*(($DK349-Control!$C$97)/Control!$C$97)))</f>
        <v>#N/A</v>
      </c>
      <c r="FR349" s="150" t="e">
        <f ca="1">(1-$NT349)*Control!$C$113</f>
        <v>#DIV/0!</v>
      </c>
      <c r="FS349" s="198" t="e">
        <f t="shared" ca="1" si="1198"/>
        <v>#N/A</v>
      </c>
      <c r="FT349" s="161">
        <f t="shared" ca="1" si="1324"/>
        <v>345</v>
      </c>
      <c r="FU349" s="162" t="e">
        <f ca="1">IF(Control!$B$34=1,VLOOKUP($CP349,Control!$B$86:$G$91,6),Control!$B$35)</f>
        <v>#N/A</v>
      </c>
      <c r="FV349" s="162" t="e">
        <f t="shared" ca="1" si="1199"/>
        <v>#DIV/0!</v>
      </c>
      <c r="FW349" s="162" t="e">
        <f ca="1">IF(Control!$B$31=1,$FU349*$FV349,  $FU349)</f>
        <v>#N/A</v>
      </c>
      <c r="FX349" s="162" t="e">
        <f ca="1">IF(Control!$B$34=1,VLOOKUP($CP349,Control!$B$86:$G$91,3),Control!$B$36)</f>
        <v>#N/A</v>
      </c>
      <c r="FY349" s="162" t="e">
        <f t="shared" ca="1" si="1200"/>
        <v>#N/A</v>
      </c>
      <c r="FZ349" s="162" t="e">
        <f ca="1">IF(Control!$B$34=1,VLOOKUP($CP349,Control!$B$86:$G$91,4),Control!$B$37)</f>
        <v>#N/A</v>
      </c>
      <c r="GA349" s="162" t="e">
        <f t="shared" ca="1" si="1201"/>
        <v>#N/A</v>
      </c>
      <c r="GB349" s="162" t="e">
        <f ca="1">IF(Control!$B$34=1,VLOOKUP($CP349,Control!$B$86:$G$91,5),Control!$B$38)</f>
        <v>#N/A</v>
      </c>
      <c r="GC349" s="162" t="e">
        <f t="shared" ca="1" si="1325"/>
        <v>#N/A</v>
      </c>
      <c r="GD349" s="162">
        <f t="shared" ca="1" si="1202"/>
        <v>1</v>
      </c>
      <c r="GE349" s="162">
        <f t="shared" ca="1" si="1203"/>
        <v>1</v>
      </c>
      <c r="GF349" s="162">
        <f ca="1">IF(AND(Control!$C$104=1, Control!$C$62="F"),$GE349,1)</f>
        <v>1</v>
      </c>
      <c r="GG349" s="162" t="e">
        <f ca="1">IF(Control!$B$16=40,0,IF(AND(Control!$B$16&gt;40,Control!$B$16&lt;=360),(Control!$B$16-40)*((1-0)/(360-40)),IF(AND(Control!$B$16&gt;360,Control!$B$16&lt;=720),(1+(Control!$B$16-360)*((1.25-1)/(720-360))),IF(AND(Control!$B$16&gt;720,Control!$B$16&lt;=1000),(1.25+(Control!$B$16-720)*((1.35-1.25)/(1000-720))),IF(AND(Control!$B$16&gt;1000,Control!$B$16&lt;=2000),(1.35+(Control!$B$16-1000)*0))))))</f>
        <v>#N/A</v>
      </c>
      <c r="GH349" s="162" t="e">
        <f t="shared" ca="1" si="1204"/>
        <v>#N/A</v>
      </c>
      <c r="GI349" s="162">
        <f t="shared" ca="1" si="1326"/>
        <v>0</v>
      </c>
      <c r="GJ349" s="162">
        <f t="shared" ca="1" si="1205"/>
        <v>0</v>
      </c>
      <c r="GK349" s="162">
        <f t="shared" ca="1" si="1327"/>
        <v>1</v>
      </c>
      <c r="GL349" s="162">
        <f t="shared" ca="1" si="1206"/>
        <v>1</v>
      </c>
      <c r="GM349" s="162" t="e">
        <f ca="1">MAX(0,MIN(1,1-Control!$C$156*(1.0001-$KH349)^2))</f>
        <v>#N/A</v>
      </c>
      <c r="GN349" s="162" t="e">
        <f ca="1">IF(Control!$B$26=1,$KU349,$KX349)</f>
        <v>#N/A</v>
      </c>
      <c r="GO349" s="162" t="e">
        <f ca="1">IF($CP349&lt;=60,Control!$C$105,IF($CP349&gt;=90,Control!$C$106,Control!$C$105+($CP349-60)*((Control!$C$106-Control!$C$105)/(90-60))))</f>
        <v>#N/A</v>
      </c>
      <c r="GP349" s="162" t="e">
        <f t="shared" ca="1" si="1207"/>
        <v>#N/A</v>
      </c>
      <c r="GQ349" s="162" t="e">
        <f t="shared" ca="1" si="1328"/>
        <v>#N/A</v>
      </c>
      <c r="GR349" s="163" t="e">
        <f t="shared" ca="1" si="1208"/>
        <v>#DIV/0!</v>
      </c>
      <c r="GS349" s="162" t="e">
        <f t="shared" ca="1" si="1209"/>
        <v>#DIV/0!</v>
      </c>
      <c r="GT349" s="164" t="e">
        <f t="shared" ca="1" si="1329"/>
        <v>#N/A</v>
      </c>
      <c r="GU349" s="162" t="e">
        <f t="shared" ca="1" si="1330"/>
        <v>#N/A</v>
      </c>
      <c r="GV349" s="162" t="e">
        <f t="shared" ca="1" si="1210"/>
        <v>#N/A</v>
      </c>
      <c r="GW349" s="162" t="e">
        <f t="shared" ca="1" si="1211"/>
        <v>#DIV/0!</v>
      </c>
      <c r="GX349" s="162" t="e">
        <f t="shared" ca="1" si="1331"/>
        <v>#DIV/0!</v>
      </c>
      <c r="GY349" s="162" t="e">
        <f t="shared" ca="1" si="1332"/>
        <v>#DIV/0!</v>
      </c>
      <c r="GZ349" s="165" t="e">
        <f t="shared" ca="1" si="1212"/>
        <v>#N/A</v>
      </c>
      <c r="HA349" s="162" t="e">
        <f ca="1">IF(Control!$C$114=1, $DI349*$FS349, 0)</f>
        <v>#N/A</v>
      </c>
      <c r="HB349" s="162" t="e">
        <f ca="1">$FA349/Control!$C$64</f>
        <v>#N/A</v>
      </c>
      <c r="HC349" s="162" t="e">
        <f t="shared" ca="1" si="1213"/>
        <v>#DIV/0!</v>
      </c>
      <c r="HD349" s="162">
        <f ca="1">-ASIN(SIN(23.45*Control!$C$139)*COS(2*Control!$C$138*($AH349+10)/365))</f>
        <v>-0.40287940521028104</v>
      </c>
      <c r="HE349" s="165">
        <f t="shared" ca="1" si="1333"/>
        <v>0</v>
      </c>
      <c r="HF349" s="166">
        <f ca="1">IF(AND(Control!$C$61="T",$HE349&gt;=Control!$C$103,Control!$C$114=0),$AH349,Control!$C$59)</f>
        <v>1</v>
      </c>
      <c r="HG349" s="166">
        <f ca="1">IF(AND(Control!$C$61="T",$HE349&gt;=Control!$C$103,Control!$C$114=0),$HF349,Control!$C$59)</f>
        <v>1</v>
      </c>
      <c r="HH349" s="165">
        <f ca="1">IF(AND(OR(Control!$C$60&lt;=0, $AH349= Control!$C$59, Control!$C$60 &gt;0, $AH349 = Control!$C$60)), Control!$C$59, IF(Control!$C$60&gt;0, 0))</f>
        <v>1</v>
      </c>
      <c r="HI349" s="165">
        <f ca="1">IF(AND(OR(Control!$C$60&lt;=0, $AH349= Control!$C$59, Control!$C$60 &gt;0, $AH349 = Control!$C$60)), Control!$C$60, IF(Control!$C$60&lt;=0, 0))</f>
        <v>0</v>
      </c>
      <c r="HJ349" s="166">
        <f ca="1">IF(AND(Control!$C$62="F",$CV349&gt;=Control!$C$102),$AH349,0)</f>
        <v>0</v>
      </c>
      <c r="HK349" s="165" t="e">
        <f t="shared" ca="1" si="1370"/>
        <v>#N/A</v>
      </c>
      <c r="HL349" s="166">
        <f ca="1">IF(AND(Control!$C$61="T",$HE349&gt;=Control!$C$103,Control!$C$114=0),$HF349,0)</f>
        <v>0</v>
      </c>
      <c r="HM349" s="201" t="e">
        <f t="shared" ca="1" si="1214"/>
        <v>#DIV/0!</v>
      </c>
      <c r="HN349" s="215">
        <f t="shared" ca="1" si="1334"/>
        <v>345</v>
      </c>
      <c r="HO349" s="216" t="e">
        <f ca="1">IF(AND($CP349&gt;=0, $CP349&lt;=90), Control!$C$152, Control!$C$152)</f>
        <v>#N/A</v>
      </c>
      <c r="HP349" s="216" t="e">
        <f t="shared" ca="1" si="1215"/>
        <v>#N/A</v>
      </c>
      <c r="HQ349" s="217" t="e">
        <f ca="1">IF(OR(Control!$B$26=1,Control!$B$26=2),$KV349,$KS349)</f>
        <v>#DIV/0!</v>
      </c>
      <c r="HR349" s="218" t="e">
        <f t="shared" ca="1" si="1371"/>
        <v>#DIV/0!</v>
      </c>
      <c r="HS349" s="216" t="e">
        <f ca="1">Control!$C$154*$HP349</f>
        <v>#N/A</v>
      </c>
      <c r="HT349" s="216" t="e">
        <f ca="1">Control!$C$155*$HP349</f>
        <v>#N/A</v>
      </c>
      <c r="HU349" s="217" t="e">
        <f ca="1">Control!$C$161*$FI349</f>
        <v>#N/A</v>
      </c>
      <c r="HV349" s="218" t="e">
        <f t="shared" ca="1" si="1335"/>
        <v>#N/A</v>
      </c>
      <c r="HW349" s="218" t="e">
        <f ca="1">Control!$C$160*$FF349+$IP349*$EO349</f>
        <v>#N/A</v>
      </c>
      <c r="HX349" s="218" t="e">
        <f t="shared" ca="1" si="1372"/>
        <v>#N/A</v>
      </c>
      <c r="HY349" s="219" t="e">
        <f ca="1">IF(Control!$C$114=1, $EB349*$FS349, 0)</f>
        <v>#N/A</v>
      </c>
      <c r="HZ349" s="91" t="e">
        <f t="shared" ca="1" si="1216"/>
        <v>#N/A</v>
      </c>
      <c r="IA349" s="220" t="e">
        <f ca="1">Control!$C$153*$HO349</f>
        <v>#N/A</v>
      </c>
      <c r="IB349" s="218" t="e">
        <f t="shared" ca="1" si="1217"/>
        <v>#N/A</v>
      </c>
      <c r="IC349" s="220" t="e">
        <f ca="1">Control!$C$153*$HT349</f>
        <v>#N/A</v>
      </c>
      <c r="ID349" s="218" t="e">
        <f t="shared" ca="1" si="1218"/>
        <v>#N/A</v>
      </c>
      <c r="IE349" s="221" t="e">
        <f ca="1">($EB349*Control!$C$159+$EF349*Control!$C$160)/(IF($GZ349&lt;&gt;0,$GZ349,1))</f>
        <v>#N/A</v>
      </c>
      <c r="IF349" s="216" t="e">
        <f t="shared" ca="1" si="1219"/>
        <v>#N/A</v>
      </c>
      <c r="IG349" s="91">
        <f ca="1">IF(OR(Control!$B$198=$AH349,Control!$B$199=$AH349, Control!$B$200=$AH349, Control!$B$201=$AH349, Control!$B$202=$AH349, Control!$B$203=$AH349, Control!$B$204=$AH349, Control!$B$205=$AH349, Control!$B$206=$AH349, Control!$B$207=$AH349), 1, 0)</f>
        <v>0</v>
      </c>
      <c r="IH349" s="91">
        <f ca="1">IF($IG349=0,0, VLOOKUP($AH349,Control!$B$198:$C$207,2))</f>
        <v>0</v>
      </c>
      <c r="II349" s="222">
        <f t="shared" ca="1" si="1336"/>
        <v>0</v>
      </c>
      <c r="IJ349" s="91">
        <f>Control!$C$121</f>
        <v>0.7</v>
      </c>
      <c r="IK349" s="218">
        <f t="shared" ca="1" si="1220"/>
        <v>0</v>
      </c>
      <c r="IL349" s="217" t="e">
        <f t="shared" ca="1" si="1373"/>
        <v>#N/A</v>
      </c>
      <c r="IM349" s="223" t="e">
        <f ca="1">IF(AND(Control!$C$114=1,$KH349&lt;1),$EB349*Control!$C$148*(1-$KH349), 0)</f>
        <v>#N/A</v>
      </c>
      <c r="IN349" s="217" t="e">
        <f t="shared" ca="1" si="1221"/>
        <v>#DIV/0!</v>
      </c>
      <c r="IO349" s="91" t="e">
        <f ca="1">MAX(0,$IL349-$EF349*Control!$C$160)</f>
        <v>#N/A</v>
      </c>
      <c r="IP349" s="220" t="e">
        <f t="shared" ca="1" si="1222"/>
        <v>#N/A</v>
      </c>
      <c r="IQ349" s="217" t="e">
        <f t="shared" ca="1" si="1337"/>
        <v>#N/A</v>
      </c>
      <c r="IR349" s="218" t="e">
        <f t="shared" ca="1" si="1223"/>
        <v>#N/A</v>
      </c>
      <c r="IS349" s="217" t="e">
        <f ca="1">Control!$C$159*MAX(0,$FD349-$EN349)</f>
        <v>#N/A</v>
      </c>
      <c r="IT349" s="217" t="e">
        <f t="shared" ca="1" si="1374"/>
        <v>#N/A</v>
      </c>
      <c r="IU349" s="217" t="e">
        <f t="shared" ca="1" si="1338"/>
        <v>#N/A</v>
      </c>
      <c r="IV349" s="217" t="e">
        <f t="shared" ca="1" si="1375"/>
        <v>#N/A</v>
      </c>
      <c r="IW349" s="217" t="e">
        <f ca="1">IF(OR($AW349=1,AND($AW349=0, Control!$B$18=1,$EN349&lt;&gt;0)), $IQ349-$IU349, $IQ349)</f>
        <v>#N/A</v>
      </c>
      <c r="IX349" s="218" t="e">
        <f t="shared" ca="1" si="1224"/>
        <v>#N/A</v>
      </c>
      <c r="IY349" s="218" t="e">
        <f ca="1">MAX(0,$IQ349-$EB349*Control!$C$159)</f>
        <v>#N/A</v>
      </c>
      <c r="IZ349" s="218" t="e">
        <f t="shared" ca="1" si="1225"/>
        <v>#N/A</v>
      </c>
      <c r="JA349" s="216" t="e">
        <f t="shared" ca="1" si="1226"/>
        <v>#N/A</v>
      </c>
      <c r="JB349" s="217" t="e">
        <f t="shared" ca="1" si="1227"/>
        <v>#N/A</v>
      </c>
      <c r="JC349" s="222" t="e">
        <f ca="1">MAX(Control!$C$157*$EK349-$JT349, 0)/Control!$C$162</f>
        <v>#N/A</v>
      </c>
      <c r="JD349" s="218" t="e">
        <f t="shared" ca="1" si="1228"/>
        <v>#N/A</v>
      </c>
      <c r="JE349" s="218" t="e">
        <f t="shared" ca="1" si="1229"/>
        <v>#N/A</v>
      </c>
      <c r="JF349" s="218" t="e">
        <f t="shared" ca="1" si="1339"/>
        <v>#N/A</v>
      </c>
      <c r="JG349" s="218" t="e">
        <f t="shared" ca="1" si="1230"/>
        <v>#N/A</v>
      </c>
      <c r="JH349" s="217" t="e">
        <f t="shared" ca="1" si="1340"/>
        <v>#N/A</v>
      </c>
      <c r="JI349" s="217" t="e">
        <f t="shared" ca="1" si="1341"/>
        <v>#N/A</v>
      </c>
      <c r="JJ349" s="217" t="e">
        <f t="shared" ca="1" si="1376"/>
        <v>#N/A</v>
      </c>
      <c r="JK349" s="217" t="e">
        <f ca="1">IF(Control!$C$114=1,IF(Control!$B$24=0,MAX(0,$JI349)*$GN349/Control!$C$64,(MAX(0,MIN($JI349,$JJ349*$GN349/Control!$C$64),0))))</f>
        <v>#N/A</v>
      </c>
      <c r="JL349" s="217" t="e">
        <f ca="1">$IK349/Control!$C$64-$JK349+$HQ349</f>
        <v>#N/A</v>
      </c>
      <c r="JM349" s="217" t="e">
        <f ca="1">IF(Control!$C$114=1,($JB349/(IF($JI349&lt;&gt;0,$JI349,1)))*$JK349,0)</f>
        <v>#N/A</v>
      </c>
      <c r="JN349" s="217" t="e">
        <f ca="1">IF(Control!$C$114=1,($JG349/(IF($JI349&lt;&gt;0,$JI349,1)))*$JK349, 0)</f>
        <v>#N/A</v>
      </c>
      <c r="JO349" s="218" t="e">
        <f t="shared" ca="1" si="1231"/>
        <v>#N/A</v>
      </c>
      <c r="JP349" s="218" t="e">
        <f ca="1">MIN(($IY349+$IO349)*Control!$C$151, $JF349-$EH349*Control!$C$161)</f>
        <v>#N/A</v>
      </c>
      <c r="JQ349" s="218" t="e">
        <f t="shared" ca="1" si="1232"/>
        <v>#N/A</v>
      </c>
      <c r="JR349" s="217" t="e">
        <f ca="1">IF($CP349-Control!$C$150&lt;0, 0, $JQ349/Control!$C$162)</f>
        <v>#N/A</v>
      </c>
      <c r="JS349" s="218" t="e">
        <f t="shared" ca="1" si="1233"/>
        <v>#N/A</v>
      </c>
      <c r="JT349" s="218" t="e">
        <f t="shared" ca="1" si="1342"/>
        <v>#N/A</v>
      </c>
      <c r="JU349" s="218" t="e">
        <f t="shared" ca="1" si="1234"/>
        <v>#N/A</v>
      </c>
      <c r="JV349" s="218" t="e">
        <f t="shared" ca="1" si="1235"/>
        <v>#N/A</v>
      </c>
      <c r="JW349" s="216" t="e">
        <f t="shared" ca="1" si="1236"/>
        <v>#N/A</v>
      </c>
      <c r="JX349" s="91" t="e">
        <f t="shared" ca="1" si="1237"/>
        <v>#N/A</v>
      </c>
      <c r="JY349" s="218" t="e">
        <f t="shared" ca="1" si="1238"/>
        <v>#N/A</v>
      </c>
      <c r="JZ349" s="217" t="e">
        <f ca="1">IF(Control!$C$114=1,($IZ349/(IF($JI349&lt;&gt;0,$JI349,1)))*$JK349, 0)</f>
        <v>#N/A</v>
      </c>
      <c r="KA349" s="218" t="e">
        <f t="shared" ca="1" si="1377"/>
        <v>#N/A</v>
      </c>
      <c r="KB349" s="218" t="e">
        <f t="shared" ca="1" si="1343"/>
        <v>#N/A</v>
      </c>
      <c r="KC349" s="218" t="e">
        <f t="shared" ca="1" si="1239"/>
        <v>#N/A</v>
      </c>
      <c r="KD349" s="218" t="e">
        <f t="shared" ca="1" si="1240"/>
        <v>#N/A</v>
      </c>
      <c r="KE349" s="218" t="e">
        <f t="shared" ca="1" si="1241"/>
        <v>#N/A</v>
      </c>
      <c r="KF349" s="218" t="e">
        <f t="shared" ca="1" si="1242"/>
        <v>#N/A</v>
      </c>
      <c r="KG349" s="216" t="e">
        <f t="shared" ca="1" si="1243"/>
        <v>#N/A</v>
      </c>
      <c r="KH349" s="221" t="e">
        <f ca="1">IF(Control!$B$24=0,1,MAX(0.001,MIN(1,IF(($IF349-$IE349)&lt;&gt;0,($KG349-$IE349)/($IF349-$IE349),1))))</f>
        <v>#N/A</v>
      </c>
      <c r="KI349" s="222" t="e">
        <f ca="1">IF(Control!$C$114=1, $KI348+ $KH348, 0)</f>
        <v>#N/A</v>
      </c>
      <c r="KJ349" s="217" t="e">
        <f t="shared" ca="1" si="1244"/>
        <v>#N/A</v>
      </c>
      <c r="KK349" s="218" t="e">
        <f t="shared" ca="1" si="1245"/>
        <v>#N/A</v>
      </c>
      <c r="KL349" s="274" t="e">
        <f ca="1">IF(Control!$B$26=3,4000000000*EXP(-8400/($G349+273)),IF(Control!$B$26=4,4000000000*EXP(-8400/($G349+273))*($KT349),0))</f>
        <v>#DIV/0!</v>
      </c>
      <c r="KM349" s="274" t="e">
        <f ca="1">IF(Control!$B$26=3,5600000000000*EXP(-9800/($G349+273)),IF(Control!$B$26=4,5600000000000*EXP(-9800/($G349+273))*$KT349,0))</f>
        <v>#DIV/0!</v>
      </c>
      <c r="KN349" s="454" t="e">
        <f t="shared" ca="1" si="1344"/>
        <v>#DIV/0!</v>
      </c>
      <c r="KO349" s="274" t="e">
        <f t="shared" ca="1" si="1345"/>
        <v>#DIV/0!</v>
      </c>
      <c r="KP349" s="454" t="e">
        <f t="shared" ca="1" si="1246"/>
        <v>#DIV/0!</v>
      </c>
      <c r="KQ349" s="454" t="e">
        <f t="shared" ca="1" si="1247"/>
        <v>#DIV/0!</v>
      </c>
      <c r="KR349" s="454" t="e">
        <f t="shared" ca="1" si="1248"/>
        <v>#DIV/0!</v>
      </c>
      <c r="KS349" s="454" t="e">
        <f t="shared" ca="1" si="1249"/>
        <v>#DIV/0!</v>
      </c>
      <c r="KT349" s="455" t="e">
        <f t="shared" ca="1" si="1250"/>
        <v>#DIV/0!</v>
      </c>
      <c r="KU349" s="456" t="e">
        <f ca="1">IF($CP349-Control!$C$149&lt;0, IF($NT349-0.01&lt;0,0,1),0)</f>
        <v>#N/A</v>
      </c>
      <c r="KV349" s="456" t="e">
        <f ca="1">IF(Control!$C$114=1,MAX(0,MIN(Control!$C$125*$KW349*$GN349,$KW349)))</f>
        <v>#DIV/0!</v>
      </c>
      <c r="KW349" s="456" t="e">
        <f t="shared" ca="1" si="1378"/>
        <v>#DIV/0!</v>
      </c>
      <c r="KX349" s="457" t="e">
        <f ca="1">IF($CP349-Control!$C$149&lt;0, IF($MR349-$OM349&lt;0,0,1),0)</f>
        <v>#N/A</v>
      </c>
      <c r="KY349" s="167">
        <f t="shared" ca="1" si="1346"/>
        <v>345</v>
      </c>
      <c r="KZ349" s="168">
        <f ca="1">1370*(1+0.033*COS(2*Control!$C$138*$AH349/365))</f>
        <v>1412.5571678392885</v>
      </c>
      <c r="LA349" s="169">
        <f t="shared" ca="1" si="1347"/>
        <v>1.0310634714779239</v>
      </c>
      <c r="LB349" s="169">
        <f t="shared" ca="1" si="1348"/>
        <v>-0.40354623442545778</v>
      </c>
      <c r="LC349" s="169">
        <f ca="1">ACOS(-TAN((2*Control!$B$8/360))*TAN(Calculations!$LB349))</f>
        <v>1.4435535564524462</v>
      </c>
      <c r="LD349" s="169">
        <f ca="1">((24*60)/PI())*0.082*$LA349*(($LC349*SIN(Control!$B$8*2*PI()/360))*SIN($LB349)+COS(Control!$B$8*2*PI()/360)*COS($LB349)*SIN($LC349))</f>
        <v>4.4543565389107913</v>
      </c>
      <c r="LE349" s="170">
        <f t="shared" ca="1" si="1251"/>
        <v>6.1677325585171383</v>
      </c>
      <c r="LF349" s="170">
        <f ca="1">SIN(Control!$C$139*Control!$B$8)*SIN($HD349)</f>
        <v>-0.30895496816417278</v>
      </c>
      <c r="LG349" s="170">
        <f ca="1">COS(Control!$C$139*Control!$B$8)*COS($HD349)</f>
        <v>0.56636754511788834</v>
      </c>
      <c r="LH349" s="170">
        <f ca="1">12*(1+2*ASIN(MAX(-1,MIN(1,$LF349/$LG349))/Control!$C$138))</f>
        <v>7.8114465112407672</v>
      </c>
      <c r="LI349" s="170">
        <f ca="1">12*(1+2*ASIN(MAX(-1,MIN(1,(-SIN(-4*Control!$C$139)+$LF349)/$LG349))/Control!$C$138))</f>
        <v>8.7637875343531242</v>
      </c>
      <c r="LJ349" s="168">
        <f ca="1">3600*($LH349*$LF349+24*$LG349*SQRT(1-$LK349*$LK349)/Control!$C$138)</f>
        <v>4366.3596057861378</v>
      </c>
      <c r="LK349" s="170">
        <f t="shared" ca="1" si="1252"/>
        <v>-0.54550259955284763</v>
      </c>
      <c r="LL349" s="170">
        <f t="shared" ca="1" si="1253"/>
        <v>0</v>
      </c>
      <c r="LM349" s="171">
        <f ca="1">Control!$C$145*$AB349</f>
        <v>6.6660906138995932E-2</v>
      </c>
      <c r="LN349" s="170">
        <f t="shared" ca="1" si="1349"/>
        <v>0.54</v>
      </c>
      <c r="LO349" s="170">
        <f t="shared" ca="1" si="1254"/>
        <v>0</v>
      </c>
      <c r="LP349" s="170">
        <f ca="1">Control!$C$140*((($D349+273.16)^4+($E349+273.16)^4)/2)*(0.34-0.14*SQRT($Y349))*(1.35*$AQ349/(0.75*$LD349)-0.35)</f>
        <v>-3.2464704755046001</v>
      </c>
      <c r="LQ349" s="170">
        <f ca="1">Control!$C$140*($G349+273)^4*(0.56-0.079*SQRT($Y349*10))*(0.1+0.9*$LO349)</f>
        <v>1.5241745131704001</v>
      </c>
      <c r="LR349" s="170">
        <f ca="1">$AQ349*(1-Control!$C$142)-$LQ349</f>
        <v>-1.5241745131704001</v>
      </c>
      <c r="LS349" s="170">
        <f ca="1">$AQ349*(1-Control!$C$143)-$LQ349</f>
        <v>-1.5241745131704001</v>
      </c>
      <c r="LT349" s="170">
        <f ca="1">$AQ349*(1-Control!$C$144)-$LQ349</f>
        <v>-1.5241745131704001</v>
      </c>
      <c r="LU349" s="169">
        <f ca="1">(1-Control!$C$144)*AQ349-LP349</f>
        <v>3.2464704755046001</v>
      </c>
      <c r="LV349" s="172">
        <f t="shared" ca="1" si="1255"/>
        <v>0.79430000000000012</v>
      </c>
      <c r="LW349" s="170">
        <f t="shared" ca="1" si="1256"/>
        <v>1.5886000000000002</v>
      </c>
      <c r="LX349" s="170">
        <f ca="1">($AC349*($LR349/Control!$C$141)+$LM349*$LV349)/($AC349+$LM349)</f>
        <v>0.23530094218323697</v>
      </c>
      <c r="LY349" s="170">
        <f ca="1">($AC349*($LS349/Control!$C$141)+$LM349*$LV349)/($AC349+$LM349)</f>
        <v>0.23530094218323697</v>
      </c>
      <c r="LZ349" s="170">
        <f t="shared" ca="1" si="1257"/>
        <v>0.23530094218323697</v>
      </c>
      <c r="MA349" s="170">
        <f t="shared" ca="1" si="1258"/>
        <v>0.23530094218323697</v>
      </c>
      <c r="MB349" s="170" t="e">
        <f t="shared" ca="1" si="1259"/>
        <v>#N/A</v>
      </c>
      <c r="MC349" s="170">
        <f t="shared" ca="1" si="1350"/>
        <v>0.6018</v>
      </c>
      <c r="MD349" s="170">
        <f t="shared" ca="1" si="1260"/>
        <v>0.52989392535414004</v>
      </c>
      <c r="ME349" s="170">
        <f ca="1">($AC349*($LT349/Control!$C$141)+$LM349*$LW349)/($AC349+$LM349)</f>
        <v>0.71612369323045078</v>
      </c>
      <c r="MF349" s="170" t="e">
        <f ca="1">IF(Control!$B$16&gt;=1000,0.92,IF(AND(720&lt;=Control!$B$16,1000&gt;Control!$B$16),(0.95+(Control!$B$16-720)*((0.92-0.95)/(1000-720))),IF(AND(360&lt;=Control!$B$16,720&gt;Control!$B$16),(1+(Control!$B$16-360)*((0.95-1)/(720-360))),IF(AND(40&lt;=Control!$B$16,360&gt;Control!$B$16),(1.05+(Control!$B$16-40)*((1.05-1)/(360-40)))))))</f>
        <v>#N/A</v>
      </c>
      <c r="MG349" s="170">
        <f t="shared" ca="1" si="1261"/>
        <v>0.71612369323045078</v>
      </c>
      <c r="MH349" s="170" t="e">
        <f t="shared" ca="1" si="1387"/>
        <v>#N/A</v>
      </c>
      <c r="MI349" s="170" t="e">
        <f t="shared" ca="1" si="1387"/>
        <v>#N/A</v>
      </c>
      <c r="MJ349" s="170" t="e">
        <f ca="1">MAX(0.0001, Control!$C$132*$MI349*$DL349)</f>
        <v>#N/A</v>
      </c>
      <c r="MK349" s="170">
        <f ca="1">1/(0.76+1.5*($MG349/10))-(5-Control!$C$110)*0.1</f>
        <v>1.002845988140797</v>
      </c>
      <c r="ML349" s="173">
        <f ca="1">IF(Control!$C$110&lt;3,$MK349+($MG349-0.6)/(Control!$C$110*(Control!$C$110+3)), MAX(0.1, MIN(0.95,$MK349)))</f>
        <v>0.95</v>
      </c>
      <c r="MM349" s="173">
        <f ca="1">IF(Control!$C$110&lt;3,$MK349+(($MI349/10)-0.6)/(Control!$C$110*(Control!$C$110+3)), MAX(0.1, MIN(0.95,$MK349)))</f>
        <v>0.95</v>
      </c>
      <c r="MN349" s="173">
        <f ca="1">(1-$MM349)*(Control!$C$128-Control!$C$127)+Control!$C$127</f>
        <v>0.16</v>
      </c>
      <c r="MO349" s="170" t="e">
        <f ca="1">MAX(0,MIN(1,($MS349-Control!$C$127)/($MN349-Control!$C$127)))</f>
        <v>#DIV/0!</v>
      </c>
      <c r="MP349" s="173" t="e">
        <f ca="1">1/(0.76+1.5*$MI349)-(5-Control!$C$110)*0.1</f>
        <v>#N/A</v>
      </c>
      <c r="MQ349" s="172" t="e">
        <f t="shared" ca="1" si="1379"/>
        <v>#DIV/0!</v>
      </c>
      <c r="MR349" s="168" t="e">
        <f t="shared" ca="1" si="1351"/>
        <v>#DIV/0!</v>
      </c>
      <c r="MS349" s="173" t="e">
        <f ca="1">MAX(Control!$C$127, MIN(Control!$C$135, $MR349/MAX(0.0001,$CY349)))</f>
        <v>#DIV/0!</v>
      </c>
      <c r="MT349" s="168" t="e">
        <f ca="1">(Control!$C$128-$MS349)*Control!$C$74</f>
        <v>#DIV/0!</v>
      </c>
      <c r="MU349" s="168" t="e">
        <f ca="1">(Control!$C$135-$MS349)*Control!$C$74</f>
        <v>#DIV/0!</v>
      </c>
      <c r="MV349" s="168" t="e">
        <f t="shared" ca="1" si="1352"/>
        <v>#DIV/0!</v>
      </c>
      <c r="MW349" s="168" t="e">
        <f t="shared" ca="1" si="1353"/>
        <v>#DIV/0!</v>
      </c>
      <c r="MX349" s="171" t="e">
        <f ca="1">MAX(Control!$C$127, MIN(Control!$C$135, $MW349/MAX(0.0001,Control!$C$119-$CY349)))</f>
        <v>#DIV/0!</v>
      </c>
      <c r="MY349" s="54" t="e">
        <f ca="1">IF(Control!$C$114=1, $CX349*$MX349, 0)</f>
        <v>#DIV/0!</v>
      </c>
      <c r="MZ349" s="54" t="e">
        <f t="shared" ca="1" si="1354"/>
        <v>#N/A</v>
      </c>
      <c r="NA349" s="168" t="e">
        <f ca="1">(Control!$C$128-$MX349)*(Control!$C$119-Control!$C$74)</f>
        <v>#DIV/0!</v>
      </c>
      <c r="NB349" s="168" t="e">
        <f ca="1">(Control!$C$135-$MX349)*(Control!$C$119-Control!$C$74)</f>
        <v>#DIV/0!</v>
      </c>
      <c r="NC349" s="174" t="e">
        <f t="shared" ca="1" si="1355"/>
        <v>#DIV/0!</v>
      </c>
      <c r="ND349" s="54">
        <f ca="1">IF(Control!$C$58=2, IF(OR(Control!$B$218=$AH349,Control!$B$219=$AH349, Control!$B$220=$AH349, Control!$B$221=$AH349, Control!$B$222=$AH349, Control!$B$223=$AH349, Control!$B$224=$AH349, Control!$B$225=$AH349, Control!$B$226=$AH349, Control!$B$227=$AH349, Control!$B$228=$AH349), 1, 0), 0)</f>
        <v>0</v>
      </c>
      <c r="NE349" s="54">
        <f ca="1">IF($ND349=0,0, VLOOKUP($AH349,Control!$B$218:$C$228,2))</f>
        <v>0</v>
      </c>
      <c r="NF349" s="168" t="e">
        <f ca="1">$CY349*(Control!$C$128-Control!$C$127)</f>
        <v>#N/A</v>
      </c>
      <c r="NG349" s="54" t="e">
        <f ca="1">IF(Control!$C$58=2, $NI348-$NJ348, 0)</f>
        <v>#DIV/0!</v>
      </c>
      <c r="NH349" s="54" t="e">
        <f ca="1">IF(AND(Control!$C$58=1, $MS348&lt;= ($MN348+0.02), $I348&lt;10), 0, IF(Control!$C$58=2, $NG348, 0))</f>
        <v>#DIV/0!</v>
      </c>
      <c r="NI349" s="54" t="e">
        <f ca="1">IF(Control!$C$58=2, $NE349+$NH349,0)</f>
        <v>#DIV/0!</v>
      </c>
      <c r="NJ349" s="54" t="e">
        <f ca="1">IF(AND(Control!$C$58=1, $MS349&lt;= ($MN349+0.02), $I349&lt;10), MAX(0, MIN(10, 0.7*($NF349-$MV349))), IF(Control!$C$58=2, MIN(10,$NI349),0))</f>
        <v>#DIV/0!</v>
      </c>
      <c r="NK349" s="54" t="e">
        <f t="shared" ca="1" si="1263"/>
        <v>#DIV/0!</v>
      </c>
      <c r="NL349" s="173" t="e">
        <f ca="1">(1-Control!$C$73)*$I349+$NJ349</f>
        <v>#DIV/0!</v>
      </c>
      <c r="NM349" s="172" t="e">
        <f ca="1">IF($NL349&lt;0.5, $MB349* MAX(0, MIN(1, (SQRT($NC349)-SQRT($NC349-1))*Control!$C$71)),0)</f>
        <v>#DIV/0!</v>
      </c>
      <c r="NN349" s="170" t="e">
        <f ca="1">IF($NL349&gt;=5, $MB349, MAX(0,MIN($MB349, $NM349+$NL349,($MS349-Control!$C$129))))</f>
        <v>#DIV/0!</v>
      </c>
      <c r="NO349" s="54">
        <f>IF(Control!$C$133&lt;&gt;1, Control!$C$135-Control!$C$131, 0)</f>
        <v>0.38</v>
      </c>
      <c r="NP349" s="54" t="e">
        <f t="shared" ca="1" si="1264"/>
        <v>#DIV/0!</v>
      </c>
      <c r="NQ349" s="173" t="e">
        <f ca="1">MAX(0,MIN(1,(Control!$C$135-$MS349)/(Control!$C$135-$NO349)))</f>
        <v>#DIV/0!</v>
      </c>
      <c r="NR349" s="170" t="e">
        <f ca="1">IF(Control!$C$133&lt;&gt;1, $NQ349+((1-$NP349/4)*(1-$NQ349)),1)</f>
        <v>#DIV/0!</v>
      </c>
      <c r="NS349" s="170" t="e">
        <f ca="1">IF(Control!$B$31=0,$MJ349,MAX(0,MIN($MV349,$MO349*$NR349*$MJ349)))</f>
        <v>#DIV/0!</v>
      </c>
      <c r="NT349" s="170" t="e">
        <f t="shared" ca="1" si="1380"/>
        <v>#DIV/0!</v>
      </c>
      <c r="NU349" s="170" t="e">
        <f t="shared" ca="1" si="1356"/>
        <v>#N/A</v>
      </c>
      <c r="NV349" s="170" t="e">
        <f t="shared" ca="1" si="1265"/>
        <v>#N/A</v>
      </c>
      <c r="NW349" s="175" t="e">
        <f t="shared" ca="1" si="1266"/>
        <v>#DIV/0!</v>
      </c>
      <c r="NX349" s="170" t="e">
        <f ca="1">MIN(Control!$C$72+$MU349, $NW349)</f>
        <v>#DIV/0!</v>
      </c>
      <c r="NY349" s="170" t="e">
        <f ca="1">IF($MT349&lt;=$NX349,MIN(Control!$C$72+$NB349,$NX349-$MT349),0)</f>
        <v>#DIV/0!</v>
      </c>
      <c r="NZ349" s="54" t="e">
        <f ca="1">IF(Control!$C$114=1,  $CX349*($MX349-Control!$C$127), 0)</f>
        <v>#DIV/0!</v>
      </c>
      <c r="OA349" s="170" t="e">
        <f t="shared" ca="1" si="1267"/>
        <v>#DIV/0!</v>
      </c>
      <c r="OB349" s="170" t="e">
        <f ca="1">IF($NA349 &lt;=$NY349, MIN(Control!$C$72, $NY349-$NA349), 0)</f>
        <v>#DIV/0!</v>
      </c>
      <c r="OC349" s="168" t="e">
        <f t="shared" ca="1" si="1268"/>
        <v>#DIV/0!</v>
      </c>
      <c r="OD349" s="168" t="e">
        <f t="shared" ca="1" si="1357"/>
        <v>#DIV/0!</v>
      </c>
      <c r="OE349" s="170">
        <f ca="1">Control!$C$73*$I349</f>
        <v>0</v>
      </c>
      <c r="OF349" s="176" t="e">
        <f t="shared" ca="1" si="1269"/>
        <v>#DIV/0!</v>
      </c>
      <c r="OG349" s="168" t="e">
        <f t="shared" ca="1" si="1270"/>
        <v>#DIV/0!</v>
      </c>
      <c r="OH349" s="168" t="e">
        <f t="shared" ca="1" si="1271"/>
        <v>#DIV/0!</v>
      </c>
      <c r="OI349" s="168" t="e">
        <f t="shared" ca="1" si="1272"/>
        <v>#DIV/0!</v>
      </c>
      <c r="OJ349" s="168" t="e">
        <f t="shared" ca="1" si="1273"/>
        <v>#DIV/0!</v>
      </c>
      <c r="OK349" s="204" t="e">
        <f t="shared" ca="1" si="1274"/>
        <v>#DIV/0!</v>
      </c>
      <c r="OL349" s="177">
        <f>Control!$C$127</f>
        <v>0.15</v>
      </c>
      <c r="OM349" s="182" t="e">
        <f t="shared" ca="1" si="1275"/>
        <v>#N/A</v>
      </c>
      <c r="ON349" s="177">
        <f>Control!$C$128</f>
        <v>0.35</v>
      </c>
      <c r="OO349" s="182" t="e">
        <f t="shared" ca="1" si="1276"/>
        <v>#N/A</v>
      </c>
      <c r="OP349" s="138">
        <f t="shared" ca="1" si="1358"/>
        <v>0</v>
      </c>
      <c r="OQ349" s="138" t="e">
        <f t="shared" ca="1" si="1381"/>
        <v>#DIV/0!</v>
      </c>
      <c r="OR349" s="138" t="e">
        <f t="shared" ca="1" si="1359"/>
        <v>#DIV/0!</v>
      </c>
      <c r="OS349" s="137" t="e">
        <f t="shared" ca="1" si="1382"/>
        <v>#DIV/0!</v>
      </c>
      <c r="OT349" s="139" t="e">
        <f t="shared" ca="1" si="1383"/>
        <v>#DIV/0!</v>
      </c>
      <c r="OU349" s="138" t="e">
        <f t="shared" ca="1" si="1384"/>
        <v>#N/A</v>
      </c>
      <c r="OV349" s="138" t="e">
        <f t="shared" ca="1" si="1385"/>
        <v>#DIV/0!</v>
      </c>
      <c r="OW349" s="138" t="e">
        <f t="shared" ca="1" si="1360"/>
        <v>#DIV/0!</v>
      </c>
      <c r="OX349" s="138" t="e">
        <f t="shared" ca="1" si="1361"/>
        <v>#DIV/0!</v>
      </c>
      <c r="OY349" s="138" t="e">
        <f t="shared" ca="1" si="1362"/>
        <v>#DIV/0!</v>
      </c>
      <c r="OZ349" s="138" t="e">
        <f t="shared" ca="1" si="1277"/>
        <v>#DIV/0!</v>
      </c>
      <c r="PA349" s="138" t="e">
        <f t="shared" ca="1" si="1278"/>
        <v>#DIV/0!</v>
      </c>
      <c r="PB349" s="55">
        <f>IF(Control!$C$61="T", IF(Control!$C$65="F", IF($AH$6-Control!$C$60&lt;0,0,1), IF(365+$AH$6-Control!$C$60&lt;0,0,1)),0)</f>
        <v>0</v>
      </c>
      <c r="PC349" s="55">
        <f ca="1">IF(Control!$C$65="F", IF($AH$6-$HF349&lt;0,0,1), IF(365+$AH$6-$HF349&lt;0,0,1))</f>
        <v>1</v>
      </c>
      <c r="PD349" s="444">
        <f>Control!$C$118</f>
        <v>1500</v>
      </c>
      <c r="PE349" s="180" t="e">
        <f t="shared" ca="1" si="1279"/>
        <v>#N/A</v>
      </c>
      <c r="PF349" s="445">
        <f t="shared" ca="1" si="1363"/>
        <v>0.71612369323045078</v>
      </c>
      <c r="PT349" s="186"/>
      <c r="PU349" s="186"/>
      <c r="PV349" s="94"/>
      <c r="PW349" s="94"/>
      <c r="PX349" s="94"/>
      <c r="PY349" s="94"/>
      <c r="PZ349" s="94"/>
      <c r="QA349" s="94"/>
      <c r="QB349" s="94"/>
      <c r="QC349" s="94"/>
      <c r="QD349" s="94"/>
      <c r="QE349" s="94"/>
      <c r="QF349" s="94"/>
      <c r="QG349" s="94"/>
      <c r="QH349" s="94"/>
      <c r="QI349" s="94"/>
      <c r="QJ349" s="94"/>
      <c r="QK349" s="94"/>
      <c r="QL349" s="94"/>
      <c r="QM349" s="94"/>
      <c r="QN349" s="94"/>
      <c r="QO349" s="94"/>
      <c r="QP349" s="94"/>
    </row>
    <row r="350" spans="1:458" s="2" customFormat="1" x14ac:dyDescent="0.2">
      <c r="A350" s="395">
        <v>11</v>
      </c>
      <c r="B350" s="396">
        <v>12</v>
      </c>
      <c r="C350" s="387">
        <f ca="1">Weather_data!$B349</f>
        <v>0</v>
      </c>
      <c r="D350" s="388">
        <f ca="1">Weather_data!$F349</f>
        <v>0</v>
      </c>
      <c r="E350" s="388">
        <f ca="1">Weather_data!$E349</f>
        <v>0</v>
      </c>
      <c r="F350" s="388">
        <f t="shared" ca="1" si="1280"/>
        <v>0</v>
      </c>
      <c r="G350" s="388">
        <f ca="1">AVERAGE($D350:$E350)+Control!$B$9</f>
        <v>0</v>
      </c>
      <c r="H350" s="388">
        <f ca="1">Weather_data!$G349</f>
        <v>0</v>
      </c>
      <c r="I350" s="388">
        <f ca="1">Weather_data!$I349</f>
        <v>0</v>
      </c>
      <c r="J350" s="388">
        <f ca="1">Weather_data!$H349</f>
        <v>0</v>
      </c>
      <c r="K350" s="389">
        <f ca="1">Weather_data!$D349</f>
        <v>0</v>
      </c>
      <c r="L350" s="388" t="e">
        <f t="shared" ca="1" si="1281"/>
        <v>#N/A</v>
      </c>
      <c r="M350" s="388" t="e">
        <f t="shared" ca="1" si="1158"/>
        <v>#N/A</v>
      </c>
      <c r="N350" s="388">
        <f t="shared" ca="1" si="1159"/>
        <v>-9.0864292937426283E-17</v>
      </c>
      <c r="O350" s="388">
        <f t="shared" ca="1" si="1282"/>
        <v>9.0864292937426288E-16</v>
      </c>
      <c r="P350" s="390">
        <v>3</v>
      </c>
      <c r="Q350" s="388">
        <f ca="1">MAX($G350-Control!$C$107,0)</f>
        <v>0</v>
      </c>
      <c r="R350" s="388">
        <f t="shared" ca="1" si="1283"/>
        <v>0</v>
      </c>
      <c r="S350" s="388">
        <f t="shared" ca="1" si="1160"/>
        <v>0</v>
      </c>
      <c r="T350" s="388">
        <f t="shared" ca="1" si="1161"/>
        <v>0</v>
      </c>
      <c r="U350" s="59">
        <f t="shared" ca="1" si="1162"/>
        <v>0</v>
      </c>
      <c r="V350" s="391">
        <f ca="1">MAX(0,MIN(Control!$C$100-Control!$C$99,$G350-Control!$C$99)*Control!$C$63)</f>
        <v>0</v>
      </c>
      <c r="W350" s="388">
        <f t="shared" ca="1" si="1284"/>
        <v>0</v>
      </c>
      <c r="X350" s="388">
        <f t="shared" ca="1" si="1285"/>
        <v>0.6110000000000001</v>
      </c>
      <c r="Y350" s="388">
        <f t="shared" ca="1" si="1163"/>
        <v>0</v>
      </c>
      <c r="Z350" s="388">
        <f t="shared" ca="1" si="1286"/>
        <v>0.61058800000000002</v>
      </c>
      <c r="AA350" s="388">
        <f t="shared" ca="1" si="1164"/>
        <v>0.6018</v>
      </c>
      <c r="AB350" s="388">
        <f ca="1">101.3*EXP(-0.034*Control!$C$66/($G350+273))</f>
        <v>100.69623283836242</v>
      </c>
      <c r="AC350" s="392">
        <f t="shared" ca="1" si="1165"/>
        <v>4.3460251046025113E-2</v>
      </c>
      <c r="AD350" s="392">
        <f t="shared" ca="1" si="1166"/>
        <v>4.4450382862832649E-2</v>
      </c>
      <c r="AE350" s="388">
        <f t="shared" ca="1" si="1167"/>
        <v>0</v>
      </c>
      <c r="AF350" s="388">
        <f ca="1">MAX(0,$G350-Control!$C$92)</f>
        <v>0</v>
      </c>
      <c r="AG350" s="393">
        <f t="shared" ca="1" si="1168"/>
        <v>346</v>
      </c>
      <c r="AH350" s="389">
        <f t="shared" ca="1" si="1169"/>
        <v>346</v>
      </c>
      <c r="AI350" s="388">
        <f t="shared" ca="1" si="1287"/>
        <v>-0.40409195854828489</v>
      </c>
      <c r="AJ350" s="388">
        <f ca="1">IF(Control!$C$60&lt;=0,$HH350,$HI350)</f>
        <v>1</v>
      </c>
      <c r="AK350" s="388">
        <f t="shared" ca="1" si="1170"/>
        <v>4.5789788813966297</v>
      </c>
      <c r="AL350" s="388">
        <f t="shared" ca="1" si="1171"/>
        <v>-1.5148157034294839E-17</v>
      </c>
      <c r="AM350" s="388">
        <f t="shared" ca="1" si="1172"/>
        <v>4.5789788813966297</v>
      </c>
      <c r="AN350" s="388">
        <f t="shared" ca="1" si="1173"/>
        <v>-0.40526811860360368</v>
      </c>
      <c r="AO350" s="388">
        <f ca="1">-0.10453/COS(Control!$B$8*PI()/180)*COS(AN350)</f>
        <v>-0.15603173339632384</v>
      </c>
      <c r="AP350" s="388">
        <f ca="1">ACOS(AO350-TAN(Control!$B$8*PI()/180)*TAN(AN350))</f>
        <v>1.1668121319807834</v>
      </c>
      <c r="AQ350" s="388">
        <f t="shared" ca="1" si="1288"/>
        <v>0</v>
      </c>
      <c r="AR350" s="394">
        <f t="shared" ca="1" si="1174"/>
        <v>0</v>
      </c>
      <c r="AS350" s="436">
        <f ca="1">IF(Control!$B$18=2,(IF(OR($AH350=Control!$B$175,$AH350=Control!$B$176,$AH350=Control!$B$177,$AH350=Control!$B$178,$AH350=Control!$B$179,$AH350=Control!$B$180,$AH350=Control!$B$181,$AH350=Control!$B$182,$AH350=Control!$B$183,$AH350=Control!$B$184,$AH350=Control!$B$185),1,0)),0)</f>
        <v>0</v>
      </c>
      <c r="AT350" s="436">
        <f>IF(Control!$B$20=8,IF(AND($AH350&gt;=Control!$B$172,$AH350&lt;=Control!$B$173),1,0),0)</f>
        <v>0</v>
      </c>
      <c r="AU350" s="436">
        <f>IF(Control!$B$20=8,IF($AV349=1,1*$AT350,IF($AT350=1,$AU349+1,$AU349)),0)</f>
        <v>0</v>
      </c>
      <c r="AV350" s="436">
        <f>IF(Control!$B$20=8,IF($AU350&gt;=Control!$B$174,1,0),0)</f>
        <v>0</v>
      </c>
      <c r="AW350" s="436">
        <f ca="1">IF(AND(Control!$B$18=2,Control!$B$171=1), $AV350, $AS350)</f>
        <v>0</v>
      </c>
      <c r="AX350" s="436" t="e">
        <f ca="1">IF(AND(Control!$B$18=1,$EU350&gt;=Control!$B$19),-$AY350,IF(AND(Control!$B$18=2,$AW350=1,$EU350&gt;$DS350),-$AY350, IF(Control!$C$108=0,0, IF(Control!$C$108&lt;&gt;0,1))))</f>
        <v>#N/A</v>
      </c>
      <c r="AY350" s="436" t="e">
        <f t="shared" ca="1" si="1289"/>
        <v>#N/A</v>
      </c>
      <c r="AZ350" s="436" t="e">
        <f ca="1">IF(AND(Control!$B$18=1,$EB350&gt;Control!$B$19),$AZ349+1, IF(AND(Control!$B$18=2, $AW350=1, $EB350&gt;$DS350), $AZ349+1,$AZ349))</f>
        <v>#N/A</v>
      </c>
      <c r="BA350" s="587">
        <f>IF(Control!$C$81=0,1,IF($AH350&gt;=Control!$C$82,1,0))</f>
        <v>1</v>
      </c>
      <c r="BB350" s="140" t="e">
        <f ca="1">IF($BA350&gt;$BA349,Control!$C$83,IF($AW350&gt;0,$AW350*Control!$C$84,IF(AND(Control!$B$18=1,EN349&lt;&gt;0),Control!$C$84,0)))</f>
        <v>#N/A</v>
      </c>
      <c r="BC350" s="140" t="e">
        <f t="shared" ca="1" si="1290"/>
        <v>#N/A</v>
      </c>
      <c r="BD350" s="140" t="e">
        <f ca="1">BC350*IF(OR($G350&lt;Control!$C$92,$G350&gt;Control!$C$95),0,IF(AND($G350&gt;=Control!$C$92,$G350&lt;=Control!$C$93),$G350-Control!$C$92,IF(AND($G350&gt;Control!$C$93,$G350&lt;=Control!$C$94),Control!$C$93-Control!$C$92,IF(AND($G350&gt;Control!$C$94,$G350&lt;=Control!$C$95),(Control!$C$93-Control!$C$92)*(Control!$C$94-$G350)/(Control!$C$95-Control!$C$94)))))</f>
        <v>#N/A</v>
      </c>
      <c r="BE350" s="140" t="e">
        <f t="shared" ca="1" si="1291"/>
        <v>#N/A</v>
      </c>
      <c r="BF350" s="140" t="e">
        <f ca="1">IF($BE350&lt;=Control!$C$86,$BE350,Control!$C$86-$BE350)</f>
        <v>#N/A</v>
      </c>
      <c r="BG350" s="140" t="e">
        <f ca="1">IF(AND($AW350=1,Control!$C$84&lt;9),1,IF($BE350&gt;=Control!$C$86,0,$BC350))</f>
        <v>#N/A</v>
      </c>
      <c r="BH350" s="404" t="e">
        <f ca="1">IF($BG350=0,0,IF($BE350&lt;=Control!$C$86,$BC350*9*($BF350/Control!$C$86),0))</f>
        <v>#N/A</v>
      </c>
      <c r="BI350" s="140" t="e">
        <f ca="1">IF($BG350=1,0,IF($BE350&gt;=Control!$C$86,1,IF(AND($BB350&lt;21,$BB350&gt;=9),1,$BM349)))</f>
        <v>#N/A</v>
      </c>
      <c r="BJ350" s="140" t="e">
        <f ca="1">IF($BF350&lt;0,-$BF350,$BI350*IF(OR($G350&lt;Control!$C$92,$G350&gt;Control!$C$95),0,IF(AND($G350&gt;=Control!$C$92,$G350&lt;=Control!$C$93),$G350-Control!$C$92,IF(AND($G350&gt;Control!$C$93,$G350&lt;=Control!$C$94),Control!$C$93-Control!$C$92,IF(AND($G350&gt;Control!$C$94,$G350&lt;=Control!$C$95),(Control!$C$93-Control!$C$92)*(Control!$C$94-$G350)/(Control!$C$95-Control!$C$94))))))</f>
        <v>#N/A</v>
      </c>
      <c r="BK350" s="140" t="e">
        <f t="shared" ca="1" si="1292"/>
        <v>#N/A</v>
      </c>
      <c r="BL350" s="140" t="e">
        <f ca="1">IF($BK350&lt;=Control!$C$87,$BK350,Control!$C$87-$BK350)</f>
        <v>#N/A</v>
      </c>
      <c r="BM350" s="140" t="e">
        <f ca="1">IF(AND($BB350&gt;=9,$BB350&lt;21),1,IF($BK350&gt;=Control!$C$87,0,$BI350))</f>
        <v>#N/A</v>
      </c>
      <c r="BN350" s="404" t="e">
        <f ca="1">IF($BM350=0,0,IF($BK350&lt;=Control!$C$87,$BI350*(9+(21-9)*($BL350/Control!$C$87)),0))</f>
        <v>#N/A</v>
      </c>
      <c r="BO350" s="140" t="e">
        <f ca="1">IF($BM350=1,0,IF($BK350&gt;=Control!$C$87,1,IF(AND($BB350&lt;30,$BB350&gt;=21),1,$BS349)))</f>
        <v>#N/A</v>
      </c>
      <c r="BP350" s="140" t="e">
        <f ca="1">IF($BL350&lt;0,-$BL350,$BO350*IF(OR($G350&lt;Control!$C$92,$G350&gt;Control!$C$95),0,IF(AND($G350&gt;=Control!$C$92,$G350&lt;=Control!$C$93),$G350-Control!$C$92,IF(AND($G350&gt;Control!$C$93,$G350&lt;=Control!$C$94),Control!$C$93-Control!$C$92,IF(AND($G350&gt;Control!$C$94,$G350&lt;=Control!$C$95),(Control!$C$93-Control!$C$92)*(Control!$C$94-$G350)/(Control!$C$95-Control!$C$94))))))</f>
        <v>#N/A</v>
      </c>
      <c r="BQ350" s="140" t="e">
        <f t="shared" ca="1" si="1175"/>
        <v>#N/A</v>
      </c>
      <c r="BR350" s="140" t="e">
        <f ca="1">IF($BQ350&lt;=Control!$C$88,$BQ350,Control!$C$88-$BQ350)</f>
        <v>#N/A</v>
      </c>
      <c r="BS350" s="140" t="e">
        <f ca="1">IF(AND($BB350&gt;=21,$BB350&lt;30),1,IF($BQ350&gt;=Control!$C$88,0,$BO350))</f>
        <v>#N/A</v>
      </c>
      <c r="BT350" s="404" t="e">
        <f ca="1">IF($BS350=0,0,IF($BQ350&lt;=Control!$C$88,$BO350*(21+(30-21)*(BR350/Control!$C$88)),0))</f>
        <v>#N/A</v>
      </c>
      <c r="BU350" s="140" t="e">
        <f ca="1">IF(BG350+BM350+BS350=1,0,IF(OR(AND($BB350&lt;60,$BB350&gt;=30),$BQ350&gt;=Control!$C$88),1*$BA350,$BY349))</f>
        <v>#N/A</v>
      </c>
      <c r="BV350" s="140" t="e">
        <f ca="1">IF($BR350&lt;0,-$BR350,$BU350*IF(OR($G350&lt;Control!$C$92,$G350&gt;Control!$C$95),0,IF(AND($G350&gt;=Control!$C$92,$G350&lt;=Control!$C$93),$G350-Control!$C$92,IF(AND($G350&gt;Control!$C$93,$G350&lt;=Control!$C$94),Control!$C$93-Control!$C$92,IF(AND($G350&gt;Control!$C$94,$G350&lt;=Control!$C$95),(Control!$C$93-Control!$C$92)*(Control!$C$94-$G350)/(Control!$C$95-Control!$C$94))))))</f>
        <v>#N/A</v>
      </c>
      <c r="BW350" s="140" t="e">
        <f t="shared" ca="1" si="1176"/>
        <v>#N/A</v>
      </c>
      <c r="BX350" s="140" t="e">
        <f ca="1">IF($BW350&lt;=Control!$C$89,$BW350,Control!$C$89-$BW350)</f>
        <v>#N/A</v>
      </c>
      <c r="BY350" s="140" t="e">
        <f ca="1">IF(AND($AJ350&gt;=30,$AJ350&lt;60),1,IF($BW350&gt;=Control!$C$89,0,$BU350))</f>
        <v>#N/A</v>
      </c>
      <c r="BZ350" s="404" t="e">
        <f ca="1">IF($BY350=0,0,IF($BW350&lt;=Control!$C$89,$BU350*(30+(60-30)*(BX350/Control!$C$89)),0))</f>
        <v>#N/A</v>
      </c>
      <c r="CA350" s="140" t="e">
        <f ca="1">IF($BG350+$BM350+$BS350+$BY350=1,0,IF(OR(AND($BB350&lt;65,$BB350&gt;=60),$BW350&gt;=Control!$C$89),1*$BA350,$CE349))</f>
        <v>#N/A</v>
      </c>
      <c r="CB350" s="140" t="e">
        <f ca="1">IF($BX350&lt;0,-$BX350,$CA350*IF(OR($G350&lt;Control!$C$92,$G350&gt;Control!$C$95),0,IF(AND($G350&gt;=Control!$C$92,$G350&lt;=Control!$C$93),$G350-Control!$C$92,IF(AND($G350&gt;Control!$C$93,$G350&lt;=Control!$C$94),Control!$C$93-Control!$C$92,IF(AND($G350&gt;Control!$C$94,$G350&lt;=Control!$C$95),(Control!$C$93-Control!$C$92)*(Control!$C$94-$G350)/(Control!$C$95-Control!$C$94))))))</f>
        <v>#N/A</v>
      </c>
      <c r="CC350" s="140" t="e">
        <f t="shared" ca="1" si="1293"/>
        <v>#N/A</v>
      </c>
      <c r="CD350" s="140" t="e">
        <f ca="1">IF($CC350&lt;=Control!$C$90,$CC350,Control!$C$90-$CC350)</f>
        <v>#N/A</v>
      </c>
      <c r="CE350" s="140" t="e">
        <f ca="1">IF(AND($BB350&gt;=60,$BB350&lt;65),1,IF($CC350&gt;=Control!$C$90,0,$CA350))</f>
        <v>#N/A</v>
      </c>
      <c r="CF350" s="404" t="e">
        <f ca="1">IF($CE350=0,0,IF($CC350&lt;=Control!$C$90,$CA350*(60+(65-60)*(CD350/Control!$C$90)),0))</f>
        <v>#N/A</v>
      </c>
      <c r="CG350" s="140" t="e">
        <f ca="1">IF($BG350+$BM350+$BS350+$BY350+$CE350=1,0,IF(OR(AND($BB350&lt;90,$BB350&gt;=65),$CC350&gt;=Control!$C$90),$BA350,$CK349))</f>
        <v>#N/A</v>
      </c>
      <c r="CH350" s="140" t="e">
        <f ca="1">IF($CD350&lt;0,-$CD350,$CG350*IF(OR($G350&lt;Control!$C$92,$G350&gt;Control!$C$95),0,IF(AND($G350&gt;=Control!$C$92,$G350&lt;=Control!$C$93),$G350-Control!$C$92,IF(AND($G350&gt;Control!$C$93,$G350&lt;=Control!$C$94),Control!$C$93-Control!$C$92,IF(AND($G350&gt;Control!$C$94,$G350&lt;=Control!$C$95),(Control!$C$93-Control!$C$92)*(Control!$C$94-$G350)/(Control!$C$95-Control!$C$94))))))</f>
        <v>#N/A</v>
      </c>
      <c r="CI350" s="140" t="e">
        <f t="shared" ca="1" si="1294"/>
        <v>#N/A</v>
      </c>
      <c r="CJ350" s="140" t="e">
        <f ca="1">IF($CI350&lt;=Control!$C$91,$CI350,Control!$C$91-$CI350)</f>
        <v>#N/A</v>
      </c>
      <c r="CK350" s="140" t="e">
        <f ca="1">IF(AND($BB350&gt;=65,$BB350&lt;90),1,IF($CI350&gt;=Control!$C$91,0,$CG350))</f>
        <v>#N/A</v>
      </c>
      <c r="CL350" s="404" t="e">
        <f ca="1">IF($CK350=0,0,IF($CI350&lt;=Control!$C$91,$CG350*(65+(90-65)*($CJ350/Control!$C$91)),0))</f>
        <v>#N/A</v>
      </c>
      <c r="CM350" s="140" t="e">
        <f ca="1">IF($BG350+$BM350+$BS350+$BY350+$CE350+$CK350=1,0,IF(OR($BB350&gt;=90,$CI350&gt;=Control!$C$91),$BA350,$CM349))</f>
        <v>#N/A</v>
      </c>
      <c r="CN350" s="140" t="e">
        <f t="shared" ca="1" si="1295"/>
        <v>#N/A</v>
      </c>
      <c r="CO350" s="140" t="e">
        <f t="shared" ca="1" si="1296"/>
        <v>#N/A</v>
      </c>
      <c r="CP350" s="140" t="e">
        <f t="shared" ca="1" si="1297"/>
        <v>#N/A</v>
      </c>
      <c r="CQ350" s="141" t="e">
        <f ca="1">VLOOKUP($CP350,Control!$B$86:$G$91,6)</f>
        <v>#N/A</v>
      </c>
      <c r="CR350" s="141" t="e">
        <f ca="1">(1-$CQ350)*VLOOKUP($CP350,Control!$B$86:$D$91,3)</f>
        <v>#N/A</v>
      </c>
      <c r="CS350" s="141" t="e">
        <f ca="1">(1-$CQ350)*VLOOKUP($CP350,Control!$B$86:$E$91,4)</f>
        <v>#N/A</v>
      </c>
      <c r="CT350" s="141" t="e">
        <f ca="1">(1-$CQ350)*VLOOKUP($CP350,Control!$B$86:$F$91,5)</f>
        <v>#N/A</v>
      </c>
      <c r="CU350" s="141">
        <f t="shared" ca="1" si="1298"/>
        <v>0</v>
      </c>
      <c r="CV350" s="583">
        <f t="shared" ca="1" si="1299"/>
        <v>0</v>
      </c>
      <c r="CW350" s="142">
        <f t="shared" ca="1" si="1300"/>
        <v>346</v>
      </c>
      <c r="CX350" s="612" t="e">
        <f ca="1">IF(Control!$C$114=1,(MIN(Control!$C$120*(IF($NT350-0.01&lt;0,0,1)),Control!$C$119-$CY350)))</f>
        <v>#DIV/0!</v>
      </c>
      <c r="CY350" s="143" t="e">
        <f t="shared" ca="1" si="1301"/>
        <v>#N/A</v>
      </c>
      <c r="CZ350" s="144">
        <f t="shared" ca="1" si="1177"/>
        <v>0</v>
      </c>
      <c r="DA350" s="144">
        <f t="shared" ca="1" si="1178"/>
        <v>0</v>
      </c>
      <c r="DB350" s="144" t="e">
        <f t="shared" ca="1" si="1179"/>
        <v>#N/A</v>
      </c>
      <c r="DC350" s="144" t="e">
        <f t="shared" ca="1" si="1180"/>
        <v>#N/A</v>
      </c>
      <c r="DD350" s="144" t="e">
        <f t="shared" ca="1" si="1386"/>
        <v>#N/A</v>
      </c>
      <c r="DE350" s="143" t="e">
        <f t="shared" ca="1" si="1302"/>
        <v>#N/A</v>
      </c>
      <c r="DF350" s="145" t="e">
        <f ca="1">$DR350*EXP(-Control!$C$158*(1-$KH350))</f>
        <v>#N/A</v>
      </c>
      <c r="DG350" s="146" t="e">
        <f ca="1">IF(Control!$C$114=1, $DF350*$EY350, 0)</f>
        <v>#N/A</v>
      </c>
      <c r="DH350" s="147" t="e">
        <f t="shared" ca="1" si="1303"/>
        <v>#N/A</v>
      </c>
      <c r="DI350" s="144" t="e">
        <f t="shared" ca="1" si="1364"/>
        <v>#N/A</v>
      </c>
      <c r="DJ350" s="147" t="e">
        <f ca="1">$EF350*Control!$C$109</f>
        <v>#N/A</v>
      </c>
      <c r="DK350" s="144" t="e">
        <f t="shared" ca="1" si="1304"/>
        <v>#N/A</v>
      </c>
      <c r="DL350" s="144" t="e">
        <f t="shared" ca="1" si="1181"/>
        <v>#N/A</v>
      </c>
      <c r="DM350" s="144" t="e">
        <f ca="1">IF(Control!$C$114=1, (1-EXP(-Control!$C$96*$DK350))*$AR350, 0)</f>
        <v>#N/A</v>
      </c>
      <c r="DN350" s="144">
        <f t="shared" ca="1" si="1305"/>
        <v>0</v>
      </c>
      <c r="DO350" s="148">
        <f>Control!$C$97</f>
        <v>4</v>
      </c>
      <c r="DP350" s="145" t="e">
        <f t="shared" ca="1" si="1306"/>
        <v>#N/A</v>
      </c>
      <c r="DQ350" s="145" t="e">
        <f ca="1">IF(AND($CP350&gt;=0,$CP350&lt;=90),Control!$C$111,Control!$C$111)</f>
        <v>#N/A</v>
      </c>
      <c r="DR350" s="145" t="e">
        <f t="shared" ca="1" si="1182"/>
        <v>#N/A</v>
      </c>
      <c r="DS350" s="143" t="e">
        <f ca="1">Control!$B$22/$DR350</f>
        <v>#N/A</v>
      </c>
      <c r="DT350" s="149" t="e">
        <f ca="1">IF(AND(Control!$C$114=1,$KH350&lt;1),$IM350*$DF350, 0)</f>
        <v>#N/A</v>
      </c>
      <c r="DU350" s="144" t="e">
        <f t="shared" ca="1" si="1307"/>
        <v>#N/A</v>
      </c>
      <c r="DV350" s="144">
        <f ca="1">IF($G350-Control!$C$107&lt;=0, 0, 0.83*LN(MAX($G350, 3))-0.8924)</f>
        <v>0</v>
      </c>
      <c r="DW350" s="144" t="e">
        <f t="shared" ca="1" si="1183"/>
        <v>#N/A</v>
      </c>
      <c r="DX350" s="150" t="e">
        <f ca="1">MAX(0.01*(1+$CU350/Control!$C$102),0.05*($DK350-Control!$C$97)/Control!$C$97)</f>
        <v>#N/A</v>
      </c>
      <c r="DY350" s="151" t="e">
        <f ca="1">IF(Control!$C$114=1, $DI350*$FS350, 0)</f>
        <v>#N/A</v>
      </c>
      <c r="DZ350" s="196" t="e">
        <f t="shared" ca="1" si="1308"/>
        <v>#N/A</v>
      </c>
      <c r="EA350" s="152">
        <f t="shared" ca="1" si="1309"/>
        <v>346</v>
      </c>
      <c r="EB350" s="153" t="e">
        <f t="shared" ca="1" si="1310"/>
        <v>#N/A</v>
      </c>
      <c r="EC350" s="153" t="e">
        <f t="shared" ca="1" si="1311"/>
        <v>#N/A</v>
      </c>
      <c r="ED350" s="154" t="e">
        <f ca="1">IF(Control!$C$114=1, $HM350*$FY350-$FD350, 0)</f>
        <v>#DIV/0!</v>
      </c>
      <c r="EE350" s="155" t="e">
        <f ca="1">IF(Control!$C$114=1, $HM350*$FZ350-$FF350, 0)</f>
        <v>#DIV/0!</v>
      </c>
      <c r="EF350" s="153" t="e">
        <f t="shared" ca="1" si="1365"/>
        <v>#N/A</v>
      </c>
      <c r="EG350" s="155" t="e">
        <f ca="1">IF(Control!$C$114=1, $GX350*$FW350-$FI350, 0)</f>
        <v>#DIV/0!</v>
      </c>
      <c r="EH350" s="153" t="e">
        <f t="shared" ca="1" si="1312"/>
        <v>#N/A</v>
      </c>
      <c r="EI350" s="156" t="e">
        <f t="shared" ca="1" si="1313"/>
        <v>#N/A</v>
      </c>
      <c r="EJ350" s="155" t="e">
        <f ca="1">IF(Control!$C$114=1, $HM350*$GB350, 0)</f>
        <v>#DIV/0!</v>
      </c>
      <c r="EK350" s="153" t="e">
        <f t="shared" ca="1" si="1366"/>
        <v>#N/A</v>
      </c>
      <c r="EL350" s="153" t="e">
        <f t="shared" ca="1" si="1184"/>
        <v>#N/A</v>
      </c>
      <c r="EM350" s="153" t="e">
        <f t="shared" ca="1" si="1185"/>
        <v>#N/A</v>
      </c>
      <c r="EN350" s="153" t="e">
        <f ca="1">IF(Control!$C$108=1,IF(AND(Control!$B$18=1,$EB350&gt;=Control!$B$19),$EB350-$DS350,IF(AND(Control!$B$18=2,$AW350=1,$EB350&gt;$DS350),$EB350-$DS350,0)))</f>
        <v>#N/A</v>
      </c>
      <c r="EO350" s="153" t="e">
        <f ca="1">IF(Control!$C$108=1,IF(AND(Control!$B$18=1,$EB350&gt;=Control!$B$19),$EF350,IF(AND(Control!$B$18=2,$AW350=1),$EF350,0)))</f>
        <v>#N/A</v>
      </c>
      <c r="EP350" s="153" t="e">
        <f ca="1">IF(Control!$C$108=1,IF(AND(Control!$B$18=1,$EB350&gt;=Control!$B$19),$EK350,IF(AND(Control!$B$18=2,$AW350=1),$EK350,0)))</f>
        <v>#N/A</v>
      </c>
      <c r="EQ350" s="153" t="e">
        <f t="shared" ca="1" si="1314"/>
        <v>#N/A</v>
      </c>
      <c r="ER350" s="153" t="e">
        <f t="shared" ca="1" si="1315"/>
        <v>#N/A</v>
      </c>
      <c r="ES350" s="153" t="e">
        <f t="shared" ca="1" si="1367"/>
        <v>#N/A</v>
      </c>
      <c r="ET350" s="153" t="e">
        <f t="shared" ca="1" si="1368"/>
        <v>#N/A</v>
      </c>
      <c r="EU350" s="153" t="e">
        <f t="shared" ca="1" si="1316"/>
        <v>#N/A</v>
      </c>
      <c r="EV350" s="153" t="e">
        <f t="shared" ca="1" si="1186"/>
        <v>#N/A</v>
      </c>
      <c r="EW350" s="153" t="e">
        <f t="shared" ca="1" si="1187"/>
        <v>#N/A</v>
      </c>
      <c r="EX350" s="153" t="e">
        <f t="shared" ca="1" si="1188"/>
        <v>#N/A</v>
      </c>
      <c r="EY350" s="157" t="e">
        <f t="shared" ca="1" si="1189"/>
        <v>#DIV/0!</v>
      </c>
      <c r="EZ350" s="154" t="e">
        <f t="shared" ca="1" si="1190"/>
        <v>#DIV/0!</v>
      </c>
      <c r="FA350" s="153" t="e">
        <f t="shared" ca="1" si="1317"/>
        <v>#N/A</v>
      </c>
      <c r="FB350" s="153" t="e">
        <f t="shared" ca="1" si="1191"/>
        <v>#N/A</v>
      </c>
      <c r="FC350" s="193" t="e">
        <f t="shared" ca="1" si="1192"/>
        <v>#N/A</v>
      </c>
      <c r="FD350" s="158" t="e">
        <f t="shared" ca="1" si="1318"/>
        <v>#N/A</v>
      </c>
      <c r="FE350" s="158" t="e">
        <f t="shared" ca="1" si="1319"/>
        <v>#N/A</v>
      </c>
      <c r="FF350" s="159" t="e">
        <f t="shared" ca="1" si="1193"/>
        <v>#N/A</v>
      </c>
      <c r="FG350" s="160" t="e">
        <f t="shared" ca="1" si="1320"/>
        <v>#N/A</v>
      </c>
      <c r="FH350" s="158" t="e">
        <f t="shared" ca="1" si="1321"/>
        <v>#N/A</v>
      </c>
      <c r="FI350" s="159" t="e">
        <f t="shared" ca="1" si="1194"/>
        <v>#N/A</v>
      </c>
      <c r="FJ350" s="160" t="e">
        <f t="shared" ca="1" si="1322"/>
        <v>#N/A</v>
      </c>
      <c r="FK350" s="160" t="e">
        <f t="shared" ca="1" si="1195"/>
        <v>#N/A</v>
      </c>
      <c r="FL350" s="160" t="e">
        <f t="shared" ca="1" si="1369"/>
        <v>#N/A</v>
      </c>
      <c r="FM350" s="160" t="e">
        <f t="shared" ca="1" si="1196"/>
        <v>#N/A</v>
      </c>
      <c r="FN350" s="158">
        <f t="shared" ca="1" si="1323"/>
        <v>0.01</v>
      </c>
      <c r="FO350" s="160">
        <f>Control!$C$101</f>
        <v>50</v>
      </c>
      <c r="FP350" s="150" t="e">
        <f t="shared" ca="1" si="1197"/>
        <v>#N/A</v>
      </c>
      <c r="FQ350" s="150" t="e">
        <f ca="1">MAX(0,(Control!$C$112*(($DK350-Control!$C$97)/Control!$C$97)))</f>
        <v>#N/A</v>
      </c>
      <c r="FR350" s="150" t="e">
        <f ca="1">(1-$NT350)*Control!$C$113</f>
        <v>#DIV/0!</v>
      </c>
      <c r="FS350" s="198" t="e">
        <f t="shared" ca="1" si="1198"/>
        <v>#N/A</v>
      </c>
      <c r="FT350" s="161">
        <f t="shared" ca="1" si="1324"/>
        <v>346</v>
      </c>
      <c r="FU350" s="162" t="e">
        <f ca="1">IF(Control!$B$34=1,VLOOKUP($CP350,Control!$B$86:$G$91,6),Control!$B$35)</f>
        <v>#N/A</v>
      </c>
      <c r="FV350" s="162" t="e">
        <f t="shared" ca="1" si="1199"/>
        <v>#DIV/0!</v>
      </c>
      <c r="FW350" s="162" t="e">
        <f ca="1">IF(Control!$B$31=1,$FU350*$FV350,  $FU350)</f>
        <v>#N/A</v>
      </c>
      <c r="FX350" s="162" t="e">
        <f ca="1">IF(Control!$B$34=1,VLOOKUP($CP350,Control!$B$86:$G$91,3),Control!$B$36)</f>
        <v>#N/A</v>
      </c>
      <c r="FY350" s="162" t="e">
        <f t="shared" ca="1" si="1200"/>
        <v>#N/A</v>
      </c>
      <c r="FZ350" s="162" t="e">
        <f ca="1">IF(Control!$B$34=1,VLOOKUP($CP350,Control!$B$86:$G$91,4),Control!$B$37)</f>
        <v>#N/A</v>
      </c>
      <c r="GA350" s="162" t="e">
        <f t="shared" ca="1" si="1201"/>
        <v>#N/A</v>
      </c>
      <c r="GB350" s="162" t="e">
        <f ca="1">IF(Control!$B$34=1,VLOOKUP($CP350,Control!$B$86:$G$91,5),Control!$B$38)</f>
        <v>#N/A</v>
      </c>
      <c r="GC350" s="162" t="e">
        <f t="shared" ca="1" si="1325"/>
        <v>#N/A</v>
      </c>
      <c r="GD350" s="162">
        <f t="shared" ca="1" si="1202"/>
        <v>1</v>
      </c>
      <c r="GE350" s="162">
        <f t="shared" ca="1" si="1203"/>
        <v>1</v>
      </c>
      <c r="GF350" s="162">
        <f ca="1">IF(AND(Control!$C$104=1, Control!$C$62="F"),$GE350,1)</f>
        <v>1</v>
      </c>
      <c r="GG350" s="162" t="e">
        <f ca="1">IF(Control!$B$16=40,0,IF(AND(Control!$B$16&gt;40,Control!$B$16&lt;=360),(Control!$B$16-40)*((1-0)/(360-40)),IF(AND(Control!$B$16&gt;360,Control!$B$16&lt;=720),(1+(Control!$B$16-360)*((1.25-1)/(720-360))),IF(AND(Control!$B$16&gt;720,Control!$B$16&lt;=1000),(1.25+(Control!$B$16-720)*((1.35-1.25)/(1000-720))),IF(AND(Control!$B$16&gt;1000,Control!$B$16&lt;=2000),(1.35+(Control!$B$16-1000)*0))))))</f>
        <v>#N/A</v>
      </c>
      <c r="GH350" s="162" t="e">
        <f t="shared" ca="1" si="1204"/>
        <v>#N/A</v>
      </c>
      <c r="GI350" s="162">
        <f t="shared" ca="1" si="1326"/>
        <v>0</v>
      </c>
      <c r="GJ350" s="162">
        <f t="shared" ca="1" si="1205"/>
        <v>0</v>
      </c>
      <c r="GK350" s="162">
        <f t="shared" ca="1" si="1327"/>
        <v>1</v>
      </c>
      <c r="GL350" s="162">
        <f t="shared" ca="1" si="1206"/>
        <v>1</v>
      </c>
      <c r="GM350" s="162" t="e">
        <f ca="1">MAX(0,MIN(1,1-Control!$C$156*(1.0001-$KH350)^2))</f>
        <v>#N/A</v>
      </c>
      <c r="GN350" s="162" t="e">
        <f ca="1">IF(Control!$B$26=1,$KU350,$KX350)</f>
        <v>#N/A</v>
      </c>
      <c r="GO350" s="162" t="e">
        <f ca="1">IF($CP350&lt;=60,Control!$C$105,IF($CP350&gt;=90,Control!$C$106,Control!$C$105+($CP350-60)*((Control!$C$106-Control!$C$105)/(90-60))))</f>
        <v>#N/A</v>
      </c>
      <c r="GP350" s="162" t="e">
        <f t="shared" ca="1" si="1207"/>
        <v>#N/A</v>
      </c>
      <c r="GQ350" s="162" t="e">
        <f t="shared" ca="1" si="1328"/>
        <v>#N/A</v>
      </c>
      <c r="GR350" s="163" t="e">
        <f t="shared" ca="1" si="1208"/>
        <v>#DIV/0!</v>
      </c>
      <c r="GS350" s="162" t="e">
        <f t="shared" ca="1" si="1209"/>
        <v>#DIV/0!</v>
      </c>
      <c r="GT350" s="164" t="e">
        <f t="shared" ca="1" si="1329"/>
        <v>#N/A</v>
      </c>
      <c r="GU350" s="162" t="e">
        <f t="shared" ca="1" si="1330"/>
        <v>#N/A</v>
      </c>
      <c r="GV350" s="162" t="e">
        <f t="shared" ca="1" si="1210"/>
        <v>#N/A</v>
      </c>
      <c r="GW350" s="162" t="e">
        <f t="shared" ca="1" si="1211"/>
        <v>#DIV/0!</v>
      </c>
      <c r="GX350" s="162" t="e">
        <f t="shared" ca="1" si="1331"/>
        <v>#DIV/0!</v>
      </c>
      <c r="GY350" s="162" t="e">
        <f t="shared" ca="1" si="1332"/>
        <v>#DIV/0!</v>
      </c>
      <c r="GZ350" s="165" t="e">
        <f t="shared" ca="1" si="1212"/>
        <v>#N/A</v>
      </c>
      <c r="HA350" s="162" t="e">
        <f ca="1">IF(Control!$C$114=1, $DI350*$FS350, 0)</f>
        <v>#N/A</v>
      </c>
      <c r="HB350" s="162" t="e">
        <f ca="1">$FA350/Control!$C$64</f>
        <v>#N/A</v>
      </c>
      <c r="HC350" s="162" t="e">
        <f t="shared" ca="1" si="1213"/>
        <v>#DIV/0!</v>
      </c>
      <c r="HD350" s="162">
        <f ca="1">-ASIN(SIN(23.45*Control!$C$139)*COS(2*Control!$C$138*($AH350+10)/365))</f>
        <v>-0.40409195854828489</v>
      </c>
      <c r="HE350" s="165">
        <f t="shared" ca="1" si="1333"/>
        <v>0</v>
      </c>
      <c r="HF350" s="166">
        <f ca="1">IF(AND(Control!$C$61="T",$HE350&gt;=Control!$C$103,Control!$C$114=0),$AH350,Control!$C$59)</f>
        <v>1</v>
      </c>
      <c r="HG350" s="166">
        <f ca="1">IF(AND(Control!$C$61="T",$HE350&gt;=Control!$C$103,Control!$C$114=0),$HF350,Control!$C$59)</f>
        <v>1</v>
      </c>
      <c r="HH350" s="165">
        <f ca="1">IF(AND(OR(Control!$C$60&lt;=0, $AH350= Control!$C$59, Control!$C$60 &gt;0, $AH350 = Control!$C$60)), Control!$C$59, IF(Control!$C$60&gt;0, 0))</f>
        <v>1</v>
      </c>
      <c r="HI350" s="165">
        <f ca="1">IF(AND(OR(Control!$C$60&lt;=0, $AH350= Control!$C$59, Control!$C$60 &gt;0, $AH350 = Control!$C$60)), Control!$C$60, IF(Control!$C$60&lt;=0, 0))</f>
        <v>0</v>
      </c>
      <c r="HJ350" s="166">
        <f ca="1">IF(AND(Control!$C$62="F",$CV350&gt;=Control!$C$102),$AH350,0)</f>
        <v>0</v>
      </c>
      <c r="HK350" s="165" t="e">
        <f t="shared" ca="1" si="1370"/>
        <v>#N/A</v>
      </c>
      <c r="HL350" s="166">
        <f ca="1">IF(AND(Control!$C$61="T",$HE350&gt;=Control!$C$103,Control!$C$114=0),$HF350,0)</f>
        <v>0</v>
      </c>
      <c r="HM350" s="201" t="e">
        <f t="shared" ca="1" si="1214"/>
        <v>#DIV/0!</v>
      </c>
      <c r="HN350" s="215">
        <f t="shared" ca="1" si="1334"/>
        <v>346</v>
      </c>
      <c r="HO350" s="216" t="e">
        <f ca="1">IF(AND($CP350&gt;=0, $CP350&lt;=90), Control!$C$152, Control!$C$152)</f>
        <v>#N/A</v>
      </c>
      <c r="HP350" s="216" t="e">
        <f t="shared" ca="1" si="1215"/>
        <v>#N/A</v>
      </c>
      <c r="HQ350" s="217" t="e">
        <f ca="1">IF(OR(Control!$B$26=1,Control!$B$26=2),$KV350,$KS350)</f>
        <v>#DIV/0!</v>
      </c>
      <c r="HR350" s="218" t="e">
        <f t="shared" ca="1" si="1371"/>
        <v>#DIV/0!</v>
      </c>
      <c r="HS350" s="216" t="e">
        <f ca="1">Control!$C$154*$HP350</f>
        <v>#N/A</v>
      </c>
      <c r="HT350" s="216" t="e">
        <f ca="1">Control!$C$155*$HP350</f>
        <v>#N/A</v>
      </c>
      <c r="HU350" s="217" t="e">
        <f ca="1">Control!$C$161*$FI350</f>
        <v>#N/A</v>
      </c>
      <c r="HV350" s="218" t="e">
        <f t="shared" ca="1" si="1335"/>
        <v>#N/A</v>
      </c>
      <c r="HW350" s="218" t="e">
        <f ca="1">Control!$C$160*$FF350+$IP350*$EO350</f>
        <v>#N/A</v>
      </c>
      <c r="HX350" s="218" t="e">
        <f t="shared" ca="1" si="1372"/>
        <v>#N/A</v>
      </c>
      <c r="HY350" s="219" t="e">
        <f ca="1">IF(Control!$C$114=1, $EB350*$FS350, 0)</f>
        <v>#N/A</v>
      </c>
      <c r="HZ350" s="91" t="e">
        <f t="shared" ca="1" si="1216"/>
        <v>#N/A</v>
      </c>
      <c r="IA350" s="220" t="e">
        <f ca="1">Control!$C$153*$HO350</f>
        <v>#N/A</v>
      </c>
      <c r="IB350" s="218" t="e">
        <f t="shared" ca="1" si="1217"/>
        <v>#N/A</v>
      </c>
      <c r="IC350" s="220" t="e">
        <f ca="1">Control!$C$153*$HT350</f>
        <v>#N/A</v>
      </c>
      <c r="ID350" s="218" t="e">
        <f t="shared" ca="1" si="1218"/>
        <v>#N/A</v>
      </c>
      <c r="IE350" s="221" t="e">
        <f ca="1">($EB350*Control!$C$159+$EF350*Control!$C$160)/(IF($GZ350&lt;&gt;0,$GZ350,1))</f>
        <v>#N/A</v>
      </c>
      <c r="IF350" s="216" t="e">
        <f t="shared" ca="1" si="1219"/>
        <v>#N/A</v>
      </c>
      <c r="IG350" s="91">
        <f ca="1">IF(OR(Control!$B$198=$AH350,Control!$B$199=$AH350, Control!$B$200=$AH350, Control!$B$201=$AH350, Control!$B$202=$AH350, Control!$B$203=$AH350, Control!$B$204=$AH350, Control!$B$205=$AH350, Control!$B$206=$AH350, Control!$B$207=$AH350), 1, 0)</f>
        <v>0</v>
      </c>
      <c r="IH350" s="91">
        <f ca="1">IF($IG350=0,0, VLOOKUP($AH350,Control!$B$198:$C$207,2))</f>
        <v>0</v>
      </c>
      <c r="II350" s="222">
        <f t="shared" ca="1" si="1336"/>
        <v>0</v>
      </c>
      <c r="IJ350" s="91">
        <f>Control!$C$121</f>
        <v>0.7</v>
      </c>
      <c r="IK350" s="218">
        <f t="shared" ca="1" si="1220"/>
        <v>0</v>
      </c>
      <c r="IL350" s="217" t="e">
        <f t="shared" ca="1" si="1373"/>
        <v>#N/A</v>
      </c>
      <c r="IM350" s="223" t="e">
        <f ca="1">IF(AND(Control!$C$114=1,$KH350&lt;1),$EB350*Control!$C$148*(1-$KH350), 0)</f>
        <v>#N/A</v>
      </c>
      <c r="IN350" s="217" t="e">
        <f t="shared" ca="1" si="1221"/>
        <v>#DIV/0!</v>
      </c>
      <c r="IO350" s="91" t="e">
        <f ca="1">MAX(0,$IL350-$EF350*Control!$C$160)</f>
        <v>#N/A</v>
      </c>
      <c r="IP350" s="220" t="e">
        <f t="shared" ca="1" si="1222"/>
        <v>#N/A</v>
      </c>
      <c r="IQ350" s="217" t="e">
        <f t="shared" ca="1" si="1337"/>
        <v>#N/A</v>
      </c>
      <c r="IR350" s="218" t="e">
        <f t="shared" ca="1" si="1223"/>
        <v>#N/A</v>
      </c>
      <c r="IS350" s="217" t="e">
        <f ca="1">Control!$C$159*MAX(0,$FD350-$EN350)</f>
        <v>#N/A</v>
      </c>
      <c r="IT350" s="217" t="e">
        <f t="shared" ca="1" si="1374"/>
        <v>#N/A</v>
      </c>
      <c r="IU350" s="217" t="e">
        <f t="shared" ca="1" si="1338"/>
        <v>#N/A</v>
      </c>
      <c r="IV350" s="217" t="e">
        <f t="shared" ca="1" si="1375"/>
        <v>#N/A</v>
      </c>
      <c r="IW350" s="217" t="e">
        <f ca="1">IF(OR($AW350=1,AND($AW350=0, Control!$B$18=1,$EN350&lt;&gt;0)), $IQ350-$IU350, $IQ350)</f>
        <v>#N/A</v>
      </c>
      <c r="IX350" s="218" t="e">
        <f t="shared" ca="1" si="1224"/>
        <v>#N/A</v>
      </c>
      <c r="IY350" s="218" t="e">
        <f ca="1">MAX(0,$IQ350-$EB350*Control!$C$159)</f>
        <v>#N/A</v>
      </c>
      <c r="IZ350" s="218" t="e">
        <f t="shared" ca="1" si="1225"/>
        <v>#N/A</v>
      </c>
      <c r="JA350" s="216" t="e">
        <f t="shared" ca="1" si="1226"/>
        <v>#N/A</v>
      </c>
      <c r="JB350" s="217" t="e">
        <f t="shared" ca="1" si="1227"/>
        <v>#N/A</v>
      </c>
      <c r="JC350" s="222" t="e">
        <f ca="1">MAX(Control!$C$157*$EK350-$JT350, 0)/Control!$C$162</f>
        <v>#N/A</v>
      </c>
      <c r="JD350" s="218" t="e">
        <f t="shared" ca="1" si="1228"/>
        <v>#N/A</v>
      </c>
      <c r="JE350" s="218" t="e">
        <f t="shared" ca="1" si="1229"/>
        <v>#N/A</v>
      </c>
      <c r="JF350" s="218" t="e">
        <f t="shared" ca="1" si="1339"/>
        <v>#N/A</v>
      </c>
      <c r="JG350" s="218" t="e">
        <f t="shared" ca="1" si="1230"/>
        <v>#N/A</v>
      </c>
      <c r="JH350" s="217" t="e">
        <f t="shared" ca="1" si="1340"/>
        <v>#N/A</v>
      </c>
      <c r="JI350" s="217" t="e">
        <f t="shared" ca="1" si="1341"/>
        <v>#N/A</v>
      </c>
      <c r="JJ350" s="217" t="e">
        <f t="shared" ca="1" si="1376"/>
        <v>#N/A</v>
      </c>
      <c r="JK350" s="217" t="e">
        <f ca="1">IF(Control!$C$114=1,IF(Control!$B$24=0,MAX(0,$JI350)*$GN350/Control!$C$64,(MAX(0,MIN($JI350,$JJ350*$GN350/Control!$C$64),0))))</f>
        <v>#N/A</v>
      </c>
      <c r="JL350" s="217" t="e">
        <f ca="1">$IK350/Control!$C$64-$JK350+$HQ350</f>
        <v>#N/A</v>
      </c>
      <c r="JM350" s="217" t="e">
        <f ca="1">IF(Control!$C$114=1,($JB350/(IF($JI350&lt;&gt;0,$JI350,1)))*$JK350,0)</f>
        <v>#N/A</v>
      </c>
      <c r="JN350" s="217" t="e">
        <f ca="1">IF(Control!$C$114=1,($JG350/(IF($JI350&lt;&gt;0,$JI350,1)))*$JK350, 0)</f>
        <v>#N/A</v>
      </c>
      <c r="JO350" s="218" t="e">
        <f t="shared" ca="1" si="1231"/>
        <v>#N/A</v>
      </c>
      <c r="JP350" s="218" t="e">
        <f ca="1">MIN(($IY350+$IO350)*Control!$C$151, $JF350-$EH350*Control!$C$161)</f>
        <v>#N/A</v>
      </c>
      <c r="JQ350" s="218" t="e">
        <f t="shared" ca="1" si="1232"/>
        <v>#N/A</v>
      </c>
      <c r="JR350" s="217" t="e">
        <f ca="1">IF($CP350-Control!$C$150&lt;0, 0, $JQ350/Control!$C$162)</f>
        <v>#N/A</v>
      </c>
      <c r="JS350" s="218" t="e">
        <f t="shared" ca="1" si="1233"/>
        <v>#N/A</v>
      </c>
      <c r="JT350" s="218" t="e">
        <f t="shared" ca="1" si="1342"/>
        <v>#N/A</v>
      </c>
      <c r="JU350" s="218" t="e">
        <f t="shared" ca="1" si="1234"/>
        <v>#N/A</v>
      </c>
      <c r="JV350" s="218" t="e">
        <f t="shared" ca="1" si="1235"/>
        <v>#N/A</v>
      </c>
      <c r="JW350" s="216" t="e">
        <f t="shared" ca="1" si="1236"/>
        <v>#N/A</v>
      </c>
      <c r="JX350" s="91" t="e">
        <f t="shared" ca="1" si="1237"/>
        <v>#N/A</v>
      </c>
      <c r="JY350" s="218" t="e">
        <f t="shared" ca="1" si="1238"/>
        <v>#N/A</v>
      </c>
      <c r="JZ350" s="217" t="e">
        <f ca="1">IF(Control!$C$114=1,($IZ350/(IF($JI350&lt;&gt;0,$JI350,1)))*$JK350, 0)</f>
        <v>#N/A</v>
      </c>
      <c r="KA350" s="218" t="e">
        <f t="shared" ca="1" si="1377"/>
        <v>#N/A</v>
      </c>
      <c r="KB350" s="218" t="e">
        <f t="shared" ca="1" si="1343"/>
        <v>#N/A</v>
      </c>
      <c r="KC350" s="218" t="e">
        <f t="shared" ca="1" si="1239"/>
        <v>#N/A</v>
      </c>
      <c r="KD350" s="218" t="e">
        <f t="shared" ca="1" si="1240"/>
        <v>#N/A</v>
      </c>
      <c r="KE350" s="218" t="e">
        <f t="shared" ca="1" si="1241"/>
        <v>#N/A</v>
      </c>
      <c r="KF350" s="218" t="e">
        <f t="shared" ca="1" si="1242"/>
        <v>#N/A</v>
      </c>
      <c r="KG350" s="216" t="e">
        <f t="shared" ca="1" si="1243"/>
        <v>#N/A</v>
      </c>
      <c r="KH350" s="221" t="e">
        <f ca="1">IF(Control!$B$24=0,1,MAX(0.001,MIN(1,IF(($IF350-$IE350)&lt;&gt;0,($KG350-$IE350)/($IF350-$IE350),1))))</f>
        <v>#N/A</v>
      </c>
      <c r="KI350" s="222" t="e">
        <f ca="1">IF(Control!$C$114=1, $KI349+ $KH349, 0)</f>
        <v>#N/A</v>
      </c>
      <c r="KJ350" s="217" t="e">
        <f t="shared" ca="1" si="1244"/>
        <v>#N/A</v>
      </c>
      <c r="KK350" s="218" t="e">
        <f t="shared" ca="1" si="1245"/>
        <v>#N/A</v>
      </c>
      <c r="KL350" s="274" t="e">
        <f ca="1">IF(Control!$B$26=3,4000000000*EXP(-8400/($G350+273)),IF(Control!$B$26=4,4000000000*EXP(-8400/($G350+273))*($KT350),0))</f>
        <v>#DIV/0!</v>
      </c>
      <c r="KM350" s="274" t="e">
        <f ca="1">IF(Control!$B$26=3,5600000000000*EXP(-9800/($G350+273)),IF(Control!$B$26=4,5600000000000*EXP(-9800/($G350+273))*$KT350,0))</f>
        <v>#DIV/0!</v>
      </c>
      <c r="KN350" s="454" t="e">
        <f t="shared" ca="1" si="1344"/>
        <v>#DIV/0!</v>
      </c>
      <c r="KO350" s="274" t="e">
        <f t="shared" ca="1" si="1345"/>
        <v>#DIV/0!</v>
      </c>
      <c r="KP350" s="454" t="e">
        <f t="shared" ca="1" si="1246"/>
        <v>#DIV/0!</v>
      </c>
      <c r="KQ350" s="454" t="e">
        <f t="shared" ca="1" si="1247"/>
        <v>#DIV/0!</v>
      </c>
      <c r="KR350" s="454" t="e">
        <f t="shared" ca="1" si="1248"/>
        <v>#DIV/0!</v>
      </c>
      <c r="KS350" s="454" t="e">
        <f t="shared" ca="1" si="1249"/>
        <v>#DIV/0!</v>
      </c>
      <c r="KT350" s="455" t="e">
        <f t="shared" ca="1" si="1250"/>
        <v>#DIV/0!</v>
      </c>
      <c r="KU350" s="456" t="e">
        <f ca="1">IF($CP350-Control!$C$149&lt;0, IF($NT350-0.01&lt;0,0,1),0)</f>
        <v>#N/A</v>
      </c>
      <c r="KV350" s="456" t="e">
        <f ca="1">IF(Control!$C$114=1,MAX(0,MIN(Control!$C$125*$KW350*$GN350,$KW350)))</f>
        <v>#DIV/0!</v>
      </c>
      <c r="KW350" s="456" t="e">
        <f t="shared" ca="1" si="1378"/>
        <v>#DIV/0!</v>
      </c>
      <c r="KX350" s="457" t="e">
        <f ca="1">IF($CP350-Control!$C$149&lt;0, IF($MR350-$OM350&lt;0,0,1),0)</f>
        <v>#N/A</v>
      </c>
      <c r="KY350" s="167">
        <f t="shared" ca="1" si="1346"/>
        <v>346</v>
      </c>
      <c r="KZ350" s="168">
        <f ca="1">1370*(1+0.033*COS(2*Control!$C$138*$AH350/365))</f>
        <v>1412.8135186109002</v>
      </c>
      <c r="LA350" s="169">
        <f t="shared" ca="1" si="1347"/>
        <v>1.0312505958515106</v>
      </c>
      <c r="LB350" s="169">
        <f t="shared" ca="1" si="1348"/>
        <v>-0.40463232123825377</v>
      </c>
      <c r="LC350" s="169">
        <f ca="1">ACOS(-TAN((2*Control!$B$8/360))*TAN(Calculations!$LB350))</f>
        <v>1.4431686213645878</v>
      </c>
      <c r="LD350" s="169">
        <f ca="1">((24*60)/PI())*0.082*$LA350*(($LC350*SIN(Control!$B$8*2*PI()/360))*SIN($LB350)+COS(Control!$B$8*2*PI()/360)*COS($LB350)*SIN($LC350))</f>
        <v>4.4045819520604423</v>
      </c>
      <c r="LE350" s="170">
        <f t="shared" ca="1" si="1251"/>
        <v>6.1204936530802367</v>
      </c>
      <c r="LF350" s="170">
        <f ca="1">SIN(Control!$C$139*Control!$B$8)*SIN($HD350)</f>
        <v>-0.30983374568130562</v>
      </c>
      <c r="LG350" s="170">
        <f ca="1">COS(Control!$C$139*Control!$B$8)*COS($HD350)</f>
        <v>0.5660744414671901</v>
      </c>
      <c r="LH350" s="170">
        <f ca="1">12*(1+2*ASIN(MAX(-1,MIN(1,$LF350/$LG350))/Control!$C$138))</f>
        <v>7.7972123010158771</v>
      </c>
      <c r="LI350" s="170">
        <f ca="1">12*(1+2*ASIN(MAX(-1,MIN(1,(-SIN(-4*Control!$C$139)+$LF350)/$LG350))/Control!$C$138))</f>
        <v>8.7501329984578771</v>
      </c>
      <c r="LJ350" s="168">
        <f ca="1">3600*($LH350*$LF350+24*$LG350*SQRT(1-$LK350*$LK350)/Control!$C$138)</f>
        <v>4332.1312915366207</v>
      </c>
      <c r="LK350" s="170">
        <f t="shared" ca="1" si="1252"/>
        <v>-0.54733745773481224</v>
      </c>
      <c r="LL350" s="170">
        <f t="shared" ca="1" si="1253"/>
        <v>0</v>
      </c>
      <c r="LM350" s="171">
        <f ca="1">Control!$C$145*$AB350</f>
        <v>6.6660906138995932E-2</v>
      </c>
      <c r="LN350" s="170">
        <f t="shared" ca="1" si="1349"/>
        <v>0.54</v>
      </c>
      <c r="LO350" s="170">
        <f t="shared" ca="1" si="1254"/>
        <v>0</v>
      </c>
      <c r="LP350" s="170">
        <f ca="1">Control!$C$140*((($D350+273.16)^4+($E350+273.16)^4)/2)*(0.34-0.14*SQRT($Y350))*(1.35*$AQ350/(0.75*$LD350)-0.35)</f>
        <v>-3.2464704755046001</v>
      </c>
      <c r="LQ350" s="170">
        <f ca="1">Control!$C$140*($G350+273)^4*(0.56-0.079*SQRT($Y350*10))*(0.1+0.9*$LO350)</f>
        <v>1.5241745131704001</v>
      </c>
      <c r="LR350" s="170">
        <f ca="1">$AQ350*(1-Control!$C$142)-$LQ350</f>
        <v>-1.5241745131704001</v>
      </c>
      <c r="LS350" s="170">
        <f ca="1">$AQ350*(1-Control!$C$143)-$LQ350</f>
        <v>-1.5241745131704001</v>
      </c>
      <c r="LT350" s="170">
        <f ca="1">$AQ350*(1-Control!$C$144)-$LQ350</f>
        <v>-1.5241745131704001</v>
      </c>
      <c r="LU350" s="169">
        <f ca="1">(1-Control!$C$144)*AQ350-LP350</f>
        <v>3.2464704755046001</v>
      </c>
      <c r="LV350" s="172">
        <f t="shared" ca="1" si="1255"/>
        <v>0.79430000000000012</v>
      </c>
      <c r="LW350" s="170">
        <f t="shared" ca="1" si="1256"/>
        <v>1.5886000000000002</v>
      </c>
      <c r="LX350" s="170">
        <f ca="1">($AC350*($LR350/Control!$C$141)+$LM350*$LV350)/($AC350+$LM350)</f>
        <v>0.23530094218323697</v>
      </c>
      <c r="LY350" s="170">
        <f ca="1">($AC350*($LS350/Control!$C$141)+$LM350*$LV350)/($AC350+$LM350)</f>
        <v>0.23530094218323697</v>
      </c>
      <c r="LZ350" s="170">
        <f t="shared" ca="1" si="1257"/>
        <v>0.23530094218323697</v>
      </c>
      <c r="MA350" s="170">
        <f t="shared" ca="1" si="1258"/>
        <v>0.23530094218323697</v>
      </c>
      <c r="MB350" s="170" t="e">
        <f t="shared" ca="1" si="1259"/>
        <v>#N/A</v>
      </c>
      <c r="MC350" s="170">
        <f t="shared" ca="1" si="1350"/>
        <v>0.6018</v>
      </c>
      <c r="MD350" s="170">
        <f t="shared" ca="1" si="1260"/>
        <v>0.52989392535414004</v>
      </c>
      <c r="ME350" s="170">
        <f ca="1">($AC350*($LT350/Control!$C$141)+$LM350*$LW350)/($AC350+$LM350)</f>
        <v>0.71612369323045078</v>
      </c>
      <c r="MF350" s="170" t="e">
        <f ca="1">IF(Control!$B$16&gt;=1000,0.92,IF(AND(720&lt;=Control!$B$16,1000&gt;Control!$B$16),(0.95+(Control!$B$16-720)*((0.92-0.95)/(1000-720))),IF(AND(360&lt;=Control!$B$16,720&gt;Control!$B$16),(1+(Control!$B$16-360)*((0.95-1)/(720-360))),IF(AND(40&lt;=Control!$B$16,360&gt;Control!$B$16),(1.05+(Control!$B$16-40)*((1.05-1)/(360-40)))))))</f>
        <v>#N/A</v>
      </c>
      <c r="MG350" s="170">
        <f t="shared" ca="1" si="1261"/>
        <v>0.71612369323045078</v>
      </c>
      <c r="MH350" s="170" t="e">
        <f t="shared" ca="1" si="1387"/>
        <v>#N/A</v>
      </c>
      <c r="MI350" s="170" t="e">
        <f t="shared" ca="1" si="1387"/>
        <v>#N/A</v>
      </c>
      <c r="MJ350" s="170" t="e">
        <f ca="1">MAX(0.0001, Control!$C$132*$MI350*$DL350)</f>
        <v>#N/A</v>
      </c>
      <c r="MK350" s="170">
        <f ca="1">1/(0.76+1.5*($MG350/10))-(5-Control!$C$110)*0.1</f>
        <v>1.002845988140797</v>
      </c>
      <c r="ML350" s="173">
        <f ca="1">IF(Control!$C$110&lt;3,$MK350+($MG350-0.6)/(Control!$C$110*(Control!$C$110+3)), MAX(0.1, MIN(0.95,$MK350)))</f>
        <v>0.95</v>
      </c>
      <c r="MM350" s="173">
        <f ca="1">IF(Control!$C$110&lt;3,$MK350+(($MI350/10)-0.6)/(Control!$C$110*(Control!$C$110+3)), MAX(0.1, MIN(0.95,$MK350)))</f>
        <v>0.95</v>
      </c>
      <c r="MN350" s="173">
        <f ca="1">(1-$MM350)*(Control!$C$128-Control!$C$127)+Control!$C$127</f>
        <v>0.16</v>
      </c>
      <c r="MO350" s="170" t="e">
        <f ca="1">MAX(0,MIN(1,($MS350-Control!$C$127)/($MN350-Control!$C$127)))</f>
        <v>#DIV/0!</v>
      </c>
      <c r="MP350" s="173" t="e">
        <f ca="1">1/(0.76+1.5*$MI350)-(5-Control!$C$110)*0.1</f>
        <v>#N/A</v>
      </c>
      <c r="MQ350" s="172" t="e">
        <f t="shared" ca="1" si="1379"/>
        <v>#DIV/0!</v>
      </c>
      <c r="MR350" s="168" t="e">
        <f t="shared" ca="1" si="1351"/>
        <v>#DIV/0!</v>
      </c>
      <c r="MS350" s="173" t="e">
        <f ca="1">MAX(Control!$C$127, MIN(Control!$C$135, $MR350/MAX(0.0001,$CY350)))</f>
        <v>#DIV/0!</v>
      </c>
      <c r="MT350" s="168" t="e">
        <f ca="1">(Control!$C$128-$MS350)*Control!$C$74</f>
        <v>#DIV/0!</v>
      </c>
      <c r="MU350" s="168" t="e">
        <f ca="1">(Control!$C$135-$MS350)*Control!$C$74</f>
        <v>#DIV/0!</v>
      </c>
      <c r="MV350" s="168" t="e">
        <f t="shared" ca="1" si="1352"/>
        <v>#DIV/0!</v>
      </c>
      <c r="MW350" s="168" t="e">
        <f t="shared" ca="1" si="1353"/>
        <v>#DIV/0!</v>
      </c>
      <c r="MX350" s="171" t="e">
        <f ca="1">MAX(Control!$C$127, MIN(Control!$C$135, $MW350/MAX(0.0001,Control!$C$119-$CY350)))</f>
        <v>#DIV/0!</v>
      </c>
      <c r="MY350" s="54" t="e">
        <f ca="1">IF(Control!$C$114=1, $CX350*$MX350, 0)</f>
        <v>#DIV/0!</v>
      </c>
      <c r="MZ350" s="54" t="e">
        <f t="shared" ca="1" si="1354"/>
        <v>#N/A</v>
      </c>
      <c r="NA350" s="168" t="e">
        <f ca="1">(Control!$C$128-$MX350)*(Control!$C$119-Control!$C$74)</f>
        <v>#DIV/0!</v>
      </c>
      <c r="NB350" s="168" t="e">
        <f ca="1">(Control!$C$135-$MX350)*(Control!$C$119-Control!$C$74)</f>
        <v>#DIV/0!</v>
      </c>
      <c r="NC350" s="174" t="e">
        <f t="shared" ca="1" si="1355"/>
        <v>#DIV/0!</v>
      </c>
      <c r="ND350" s="54">
        <f ca="1">IF(Control!$C$58=2, IF(OR(Control!$B$218=$AH350,Control!$B$219=$AH350, Control!$B$220=$AH350, Control!$B$221=$AH350, Control!$B$222=$AH350, Control!$B$223=$AH350, Control!$B$224=$AH350, Control!$B$225=$AH350, Control!$B$226=$AH350, Control!$B$227=$AH350, Control!$B$228=$AH350), 1, 0), 0)</f>
        <v>0</v>
      </c>
      <c r="NE350" s="54">
        <f ca="1">IF($ND350=0,0, VLOOKUP($AH350,Control!$B$218:$C$228,2))</f>
        <v>0</v>
      </c>
      <c r="NF350" s="168" t="e">
        <f ca="1">$CY350*(Control!$C$128-Control!$C$127)</f>
        <v>#N/A</v>
      </c>
      <c r="NG350" s="54" t="e">
        <f ca="1">IF(Control!$C$58=2, $NI349-$NJ349, 0)</f>
        <v>#DIV/0!</v>
      </c>
      <c r="NH350" s="54" t="e">
        <f ca="1">IF(AND(Control!$C$58=1, $MS349&lt;= ($MN349+0.02), $I349&lt;10), 0, IF(Control!$C$58=2, $NG349, 0))</f>
        <v>#DIV/0!</v>
      </c>
      <c r="NI350" s="54" t="e">
        <f ca="1">IF(Control!$C$58=2, $NE350+$NH350,0)</f>
        <v>#DIV/0!</v>
      </c>
      <c r="NJ350" s="54" t="e">
        <f ca="1">IF(AND(Control!$C$58=1, $MS350&lt;= ($MN350+0.02), $I350&lt;10), MAX(0, MIN(10, 0.7*($NF350-$MV350))), IF(Control!$C$58=2, MIN(10,$NI350),0))</f>
        <v>#DIV/0!</v>
      </c>
      <c r="NK350" s="54" t="e">
        <f t="shared" ca="1" si="1263"/>
        <v>#DIV/0!</v>
      </c>
      <c r="NL350" s="173" t="e">
        <f ca="1">(1-Control!$C$73)*$I350+$NJ350</f>
        <v>#DIV/0!</v>
      </c>
      <c r="NM350" s="172" t="e">
        <f ca="1">IF($NL350&lt;0.5, $MB350* MAX(0, MIN(1, (SQRT($NC350)-SQRT($NC350-1))*Control!$C$71)),0)</f>
        <v>#DIV/0!</v>
      </c>
      <c r="NN350" s="170" t="e">
        <f ca="1">IF($NL350&gt;=5, $MB350, MAX(0,MIN($MB350, $NM350+$NL350,($MS350-Control!$C$129))))</f>
        <v>#DIV/0!</v>
      </c>
      <c r="NO350" s="54">
        <f>IF(Control!$C$133&lt;&gt;1, Control!$C$135-Control!$C$131, 0)</f>
        <v>0.38</v>
      </c>
      <c r="NP350" s="54" t="e">
        <f t="shared" ca="1" si="1264"/>
        <v>#DIV/0!</v>
      </c>
      <c r="NQ350" s="173" t="e">
        <f ca="1">MAX(0,MIN(1,(Control!$C$135-$MS350)/(Control!$C$135-$NO350)))</f>
        <v>#DIV/0!</v>
      </c>
      <c r="NR350" s="170" t="e">
        <f ca="1">IF(Control!$C$133&lt;&gt;1, $NQ350+((1-$NP350/4)*(1-$NQ350)),1)</f>
        <v>#DIV/0!</v>
      </c>
      <c r="NS350" s="170" t="e">
        <f ca="1">IF(Control!$B$31=0,$MJ350,MAX(0,MIN($MV350,$MO350*$NR350*$MJ350)))</f>
        <v>#DIV/0!</v>
      </c>
      <c r="NT350" s="170" t="e">
        <f t="shared" ca="1" si="1380"/>
        <v>#DIV/0!</v>
      </c>
      <c r="NU350" s="170" t="e">
        <f t="shared" ca="1" si="1356"/>
        <v>#N/A</v>
      </c>
      <c r="NV350" s="170" t="e">
        <f t="shared" ca="1" si="1265"/>
        <v>#N/A</v>
      </c>
      <c r="NW350" s="175" t="e">
        <f t="shared" ca="1" si="1266"/>
        <v>#DIV/0!</v>
      </c>
      <c r="NX350" s="170" t="e">
        <f ca="1">MIN(Control!$C$72+$MU350, $NW350)</f>
        <v>#DIV/0!</v>
      </c>
      <c r="NY350" s="170" t="e">
        <f ca="1">IF($MT350&lt;=$NX350,MIN(Control!$C$72+$NB350,$NX350-$MT350),0)</f>
        <v>#DIV/0!</v>
      </c>
      <c r="NZ350" s="54" t="e">
        <f ca="1">IF(Control!$C$114=1,  $CX350*($MX350-Control!$C$127), 0)</f>
        <v>#DIV/0!</v>
      </c>
      <c r="OA350" s="170" t="e">
        <f t="shared" ca="1" si="1267"/>
        <v>#DIV/0!</v>
      </c>
      <c r="OB350" s="170" t="e">
        <f ca="1">IF($NA350 &lt;=$NY350, MIN(Control!$C$72, $NY350-$NA350), 0)</f>
        <v>#DIV/0!</v>
      </c>
      <c r="OC350" s="168" t="e">
        <f t="shared" ca="1" si="1268"/>
        <v>#DIV/0!</v>
      </c>
      <c r="OD350" s="168" t="e">
        <f t="shared" ca="1" si="1357"/>
        <v>#DIV/0!</v>
      </c>
      <c r="OE350" s="170">
        <f ca="1">Control!$C$73*$I350</f>
        <v>0</v>
      </c>
      <c r="OF350" s="176" t="e">
        <f t="shared" ca="1" si="1269"/>
        <v>#DIV/0!</v>
      </c>
      <c r="OG350" s="168" t="e">
        <f t="shared" ca="1" si="1270"/>
        <v>#DIV/0!</v>
      </c>
      <c r="OH350" s="168" t="e">
        <f t="shared" ca="1" si="1271"/>
        <v>#DIV/0!</v>
      </c>
      <c r="OI350" s="168" t="e">
        <f t="shared" ca="1" si="1272"/>
        <v>#DIV/0!</v>
      </c>
      <c r="OJ350" s="168" t="e">
        <f t="shared" ca="1" si="1273"/>
        <v>#DIV/0!</v>
      </c>
      <c r="OK350" s="204" t="e">
        <f t="shared" ca="1" si="1274"/>
        <v>#DIV/0!</v>
      </c>
      <c r="OL350" s="177">
        <f>Control!$C$127</f>
        <v>0.15</v>
      </c>
      <c r="OM350" s="182" t="e">
        <f t="shared" ca="1" si="1275"/>
        <v>#N/A</v>
      </c>
      <c r="ON350" s="177">
        <f>Control!$C$128</f>
        <v>0.35</v>
      </c>
      <c r="OO350" s="182" t="e">
        <f t="shared" ca="1" si="1276"/>
        <v>#N/A</v>
      </c>
      <c r="OP350" s="138">
        <f t="shared" ca="1" si="1358"/>
        <v>0</v>
      </c>
      <c r="OQ350" s="138" t="e">
        <f t="shared" ca="1" si="1381"/>
        <v>#DIV/0!</v>
      </c>
      <c r="OR350" s="138" t="e">
        <f t="shared" ca="1" si="1359"/>
        <v>#DIV/0!</v>
      </c>
      <c r="OS350" s="137" t="e">
        <f t="shared" ca="1" si="1382"/>
        <v>#DIV/0!</v>
      </c>
      <c r="OT350" s="139" t="e">
        <f t="shared" ca="1" si="1383"/>
        <v>#DIV/0!</v>
      </c>
      <c r="OU350" s="138" t="e">
        <f t="shared" ca="1" si="1384"/>
        <v>#N/A</v>
      </c>
      <c r="OV350" s="138" t="e">
        <f t="shared" ca="1" si="1385"/>
        <v>#DIV/0!</v>
      </c>
      <c r="OW350" s="138" t="e">
        <f t="shared" ca="1" si="1360"/>
        <v>#DIV/0!</v>
      </c>
      <c r="OX350" s="138" t="e">
        <f t="shared" ca="1" si="1361"/>
        <v>#DIV/0!</v>
      </c>
      <c r="OY350" s="138" t="e">
        <f t="shared" ca="1" si="1362"/>
        <v>#DIV/0!</v>
      </c>
      <c r="OZ350" s="138" t="e">
        <f t="shared" ca="1" si="1277"/>
        <v>#DIV/0!</v>
      </c>
      <c r="PA350" s="138" t="e">
        <f t="shared" ca="1" si="1278"/>
        <v>#DIV/0!</v>
      </c>
      <c r="PB350" s="55">
        <f>IF(Control!$C$61="T", IF(Control!$C$65="F", IF($AH$6-Control!$C$60&lt;0,0,1), IF(365+$AH$6-Control!$C$60&lt;0,0,1)),0)</f>
        <v>0</v>
      </c>
      <c r="PC350" s="55">
        <f ca="1">IF(Control!$C$65="F", IF($AH$6-$HF350&lt;0,0,1), IF(365+$AH$6-$HF350&lt;0,0,1))</f>
        <v>1</v>
      </c>
      <c r="PD350" s="444">
        <f>Control!$C$118</f>
        <v>1500</v>
      </c>
      <c r="PE350" s="180" t="e">
        <f t="shared" ca="1" si="1279"/>
        <v>#N/A</v>
      </c>
      <c r="PF350" s="445">
        <f t="shared" ca="1" si="1363"/>
        <v>0.71612369323045078</v>
      </c>
      <c r="PT350" s="186"/>
      <c r="PU350" s="186"/>
      <c r="PV350" s="94"/>
      <c r="PW350" s="94"/>
      <c r="PX350" s="94"/>
      <c r="PY350" s="94"/>
      <c r="PZ350" s="94"/>
      <c r="QA350" s="94"/>
      <c r="QB350" s="94"/>
      <c r="QC350" s="94"/>
      <c r="QD350" s="94"/>
      <c r="QE350" s="94"/>
      <c r="QF350" s="94"/>
      <c r="QG350" s="94"/>
      <c r="QH350" s="94"/>
      <c r="QI350" s="94"/>
      <c r="QJ350" s="94"/>
      <c r="QK350" s="94"/>
      <c r="QL350" s="94"/>
      <c r="QM350" s="94"/>
      <c r="QN350" s="94"/>
      <c r="QO350" s="94"/>
      <c r="QP350" s="94"/>
    </row>
    <row r="351" spans="1:458" s="2" customFormat="1" x14ac:dyDescent="0.2">
      <c r="A351" s="395">
        <v>12</v>
      </c>
      <c r="B351" s="396">
        <v>12</v>
      </c>
      <c r="C351" s="387">
        <f ca="1">Weather_data!$B350</f>
        <v>0</v>
      </c>
      <c r="D351" s="388">
        <f ca="1">Weather_data!$F350</f>
        <v>0</v>
      </c>
      <c r="E351" s="388">
        <f ca="1">Weather_data!$E350</f>
        <v>0</v>
      </c>
      <c r="F351" s="388">
        <f t="shared" ca="1" si="1280"/>
        <v>0</v>
      </c>
      <c r="G351" s="388">
        <f ca="1">AVERAGE($D351:$E351)+Control!$B$9</f>
        <v>0</v>
      </c>
      <c r="H351" s="388">
        <f ca="1">Weather_data!$G350</f>
        <v>0</v>
      </c>
      <c r="I351" s="388">
        <f ca="1">Weather_data!$I350</f>
        <v>0</v>
      </c>
      <c r="J351" s="388">
        <f ca="1">Weather_data!$H350</f>
        <v>0</v>
      </c>
      <c r="K351" s="389">
        <f ca="1">Weather_data!$D350</f>
        <v>0</v>
      </c>
      <c r="L351" s="388" t="e">
        <f t="shared" ca="1" si="1281"/>
        <v>#N/A</v>
      </c>
      <c r="M351" s="388" t="e">
        <f t="shared" ca="1" si="1158"/>
        <v>#N/A</v>
      </c>
      <c r="N351" s="388">
        <f t="shared" ca="1" si="1159"/>
        <v>-8.177786364368366E-17</v>
      </c>
      <c r="O351" s="388">
        <f t="shared" ca="1" si="1282"/>
        <v>8.1777863643683657E-16</v>
      </c>
      <c r="P351" s="390">
        <v>3</v>
      </c>
      <c r="Q351" s="388">
        <f ca="1">MAX($G351-Control!$C$107,0)</f>
        <v>0</v>
      </c>
      <c r="R351" s="388">
        <f t="shared" ca="1" si="1283"/>
        <v>0</v>
      </c>
      <c r="S351" s="388">
        <f t="shared" ca="1" si="1160"/>
        <v>0</v>
      </c>
      <c r="T351" s="388">
        <f t="shared" ca="1" si="1161"/>
        <v>0</v>
      </c>
      <c r="U351" s="59">
        <f t="shared" ca="1" si="1162"/>
        <v>0</v>
      </c>
      <c r="V351" s="391">
        <f ca="1">MAX(0,MIN(Control!$C$100-Control!$C$99,$G351-Control!$C$99)*Control!$C$63)</f>
        <v>0</v>
      </c>
      <c r="W351" s="388">
        <f t="shared" ca="1" si="1284"/>
        <v>0</v>
      </c>
      <c r="X351" s="388">
        <f t="shared" ca="1" si="1285"/>
        <v>0.6110000000000001</v>
      </c>
      <c r="Y351" s="388">
        <f t="shared" ca="1" si="1163"/>
        <v>0</v>
      </c>
      <c r="Z351" s="388">
        <f t="shared" ca="1" si="1286"/>
        <v>0.61058800000000002</v>
      </c>
      <c r="AA351" s="388">
        <f t="shared" ca="1" si="1164"/>
        <v>0.6018</v>
      </c>
      <c r="AB351" s="388">
        <f ca="1">101.3*EXP(-0.034*Control!$C$66/($G351+273))</f>
        <v>100.69623283836242</v>
      </c>
      <c r="AC351" s="392">
        <f t="shared" ca="1" si="1165"/>
        <v>4.3460251046025113E-2</v>
      </c>
      <c r="AD351" s="392">
        <f t="shared" ca="1" si="1166"/>
        <v>4.4450382862832649E-2</v>
      </c>
      <c r="AE351" s="388">
        <f t="shared" ca="1" si="1167"/>
        <v>0</v>
      </c>
      <c r="AF351" s="388">
        <f ca="1">MAX(0,$G351-Control!$C$92)</f>
        <v>0</v>
      </c>
      <c r="AG351" s="393">
        <f t="shared" ca="1" si="1168"/>
        <v>347</v>
      </c>
      <c r="AH351" s="389">
        <f t="shared" ca="1" si="1169"/>
        <v>347</v>
      </c>
      <c r="AI351" s="388">
        <f t="shared" ca="1" si="1287"/>
        <v>-0.40517836341160163</v>
      </c>
      <c r="AJ351" s="388">
        <f ca="1">IF(Control!$C$60&lt;=0,$HH351,$HI351)</f>
        <v>1</v>
      </c>
      <c r="AK351" s="388">
        <f t="shared" ca="1" si="1170"/>
        <v>4.59619308771767</v>
      </c>
      <c r="AL351" s="388">
        <f t="shared" ca="1" si="1171"/>
        <v>3.7865804242143145E-18</v>
      </c>
      <c r="AM351" s="388">
        <f t="shared" ca="1" si="1172"/>
        <v>4.59619308771767</v>
      </c>
      <c r="AN351" s="388">
        <f t="shared" ca="1" si="1173"/>
        <v>-0.40619583656997033</v>
      </c>
      <c r="AO351" s="388">
        <f ca="1">-0.10453/COS(Control!$B$8*PI()/180)*COS(AN351)</f>
        <v>-0.1559695645789656</v>
      </c>
      <c r="AP351" s="388">
        <f ca="1">ACOS(AO351-TAN(Control!$B$8*PI()/180)*TAN(AN351))</f>
        <v>1.1652143016870642</v>
      </c>
      <c r="AQ351" s="388">
        <f t="shared" ca="1" si="1288"/>
        <v>0</v>
      </c>
      <c r="AR351" s="394">
        <f t="shared" ca="1" si="1174"/>
        <v>0</v>
      </c>
      <c r="AS351" s="436">
        <f ca="1">IF(Control!$B$18=2,(IF(OR($AH351=Control!$B$175,$AH351=Control!$B$176,$AH351=Control!$B$177,$AH351=Control!$B$178,$AH351=Control!$B$179,$AH351=Control!$B$180,$AH351=Control!$B$181,$AH351=Control!$B$182,$AH351=Control!$B$183,$AH351=Control!$B$184,$AH351=Control!$B$185),1,0)),0)</f>
        <v>0</v>
      </c>
      <c r="AT351" s="436">
        <f>IF(Control!$B$20=8,IF(AND($AH351&gt;=Control!$B$172,$AH351&lt;=Control!$B$173),1,0),0)</f>
        <v>0</v>
      </c>
      <c r="AU351" s="436">
        <f>IF(Control!$B$20=8,IF($AV350=1,1*$AT351,IF($AT351=1,$AU350+1,$AU350)),0)</f>
        <v>0</v>
      </c>
      <c r="AV351" s="436">
        <f>IF(Control!$B$20=8,IF($AU351&gt;=Control!$B$174,1,0),0)</f>
        <v>0</v>
      </c>
      <c r="AW351" s="436">
        <f ca="1">IF(AND(Control!$B$18=2,Control!$B$171=1), $AV351, $AS351)</f>
        <v>0</v>
      </c>
      <c r="AX351" s="436" t="e">
        <f ca="1">IF(AND(Control!$B$18=1,$EU351&gt;=Control!$B$19),-$AY351,IF(AND(Control!$B$18=2,$AW351=1,$EU351&gt;$DS351),-$AY351, IF(Control!$C$108=0,0, IF(Control!$C$108&lt;&gt;0,1))))</f>
        <v>#N/A</v>
      </c>
      <c r="AY351" s="436" t="e">
        <f t="shared" ca="1" si="1289"/>
        <v>#N/A</v>
      </c>
      <c r="AZ351" s="436" t="e">
        <f ca="1">IF(AND(Control!$B$18=1,$EB351&gt;Control!$B$19),$AZ350+1, IF(AND(Control!$B$18=2, $AW351=1, $EB351&gt;$DS351), $AZ350+1,$AZ350))</f>
        <v>#N/A</v>
      </c>
      <c r="BA351" s="587">
        <f>IF(Control!$C$81=0,1,IF($AH351&gt;=Control!$C$82,1,0))</f>
        <v>1</v>
      </c>
      <c r="BB351" s="140" t="e">
        <f ca="1">IF($BA351&gt;$BA350,Control!$C$83,IF($AW351&gt;0,$AW351*Control!$C$84,IF(AND(Control!$B$18=1,EN350&lt;&gt;0),Control!$C$84,0)))</f>
        <v>#N/A</v>
      </c>
      <c r="BC351" s="140" t="e">
        <f t="shared" ca="1" si="1290"/>
        <v>#N/A</v>
      </c>
      <c r="BD351" s="140" t="e">
        <f ca="1">BC351*IF(OR($G351&lt;Control!$C$92,$G351&gt;Control!$C$95),0,IF(AND($G351&gt;=Control!$C$92,$G351&lt;=Control!$C$93),$G351-Control!$C$92,IF(AND($G351&gt;Control!$C$93,$G351&lt;=Control!$C$94),Control!$C$93-Control!$C$92,IF(AND($G351&gt;Control!$C$94,$G351&lt;=Control!$C$95),(Control!$C$93-Control!$C$92)*(Control!$C$94-$G351)/(Control!$C$95-Control!$C$94)))))</f>
        <v>#N/A</v>
      </c>
      <c r="BE351" s="140" t="e">
        <f t="shared" ca="1" si="1291"/>
        <v>#N/A</v>
      </c>
      <c r="BF351" s="140" t="e">
        <f ca="1">IF($BE351&lt;=Control!$C$86,$BE351,Control!$C$86-$BE351)</f>
        <v>#N/A</v>
      </c>
      <c r="BG351" s="140" t="e">
        <f ca="1">IF(AND($AW351=1,Control!$C$84&lt;9),1,IF($BE351&gt;=Control!$C$86,0,$BC351))</f>
        <v>#N/A</v>
      </c>
      <c r="BH351" s="404" t="e">
        <f ca="1">IF($BG351=0,0,IF($BE351&lt;=Control!$C$86,$BC351*9*($BF351/Control!$C$86),0))</f>
        <v>#N/A</v>
      </c>
      <c r="BI351" s="140" t="e">
        <f ca="1">IF($BG351=1,0,IF($BE351&gt;=Control!$C$86,1,IF(AND($BB351&lt;21,$BB351&gt;=9),1,$BM350)))</f>
        <v>#N/A</v>
      </c>
      <c r="BJ351" s="140" t="e">
        <f ca="1">IF($BF351&lt;0,-$BF351,$BI351*IF(OR($G351&lt;Control!$C$92,$G351&gt;Control!$C$95),0,IF(AND($G351&gt;=Control!$C$92,$G351&lt;=Control!$C$93),$G351-Control!$C$92,IF(AND($G351&gt;Control!$C$93,$G351&lt;=Control!$C$94),Control!$C$93-Control!$C$92,IF(AND($G351&gt;Control!$C$94,$G351&lt;=Control!$C$95),(Control!$C$93-Control!$C$92)*(Control!$C$94-$G351)/(Control!$C$95-Control!$C$94))))))</f>
        <v>#N/A</v>
      </c>
      <c r="BK351" s="140" t="e">
        <f t="shared" ca="1" si="1292"/>
        <v>#N/A</v>
      </c>
      <c r="BL351" s="140" t="e">
        <f ca="1">IF($BK351&lt;=Control!$C$87,$BK351,Control!$C$87-$BK351)</f>
        <v>#N/A</v>
      </c>
      <c r="BM351" s="140" t="e">
        <f ca="1">IF(AND($BB351&gt;=9,$BB351&lt;21),1,IF($BK351&gt;=Control!$C$87,0,$BI351))</f>
        <v>#N/A</v>
      </c>
      <c r="BN351" s="404" t="e">
        <f ca="1">IF($BM351=0,0,IF($BK351&lt;=Control!$C$87,$BI351*(9+(21-9)*($BL351/Control!$C$87)),0))</f>
        <v>#N/A</v>
      </c>
      <c r="BO351" s="140" t="e">
        <f ca="1">IF($BM351=1,0,IF($BK351&gt;=Control!$C$87,1,IF(AND($BB351&lt;30,$BB351&gt;=21),1,$BS350)))</f>
        <v>#N/A</v>
      </c>
      <c r="BP351" s="140" t="e">
        <f ca="1">IF($BL351&lt;0,-$BL351,$BO351*IF(OR($G351&lt;Control!$C$92,$G351&gt;Control!$C$95),0,IF(AND($G351&gt;=Control!$C$92,$G351&lt;=Control!$C$93),$G351-Control!$C$92,IF(AND($G351&gt;Control!$C$93,$G351&lt;=Control!$C$94),Control!$C$93-Control!$C$92,IF(AND($G351&gt;Control!$C$94,$G351&lt;=Control!$C$95),(Control!$C$93-Control!$C$92)*(Control!$C$94-$G351)/(Control!$C$95-Control!$C$94))))))</f>
        <v>#N/A</v>
      </c>
      <c r="BQ351" s="140" t="e">
        <f t="shared" ca="1" si="1175"/>
        <v>#N/A</v>
      </c>
      <c r="BR351" s="140" t="e">
        <f ca="1">IF($BQ351&lt;=Control!$C$88,$BQ351,Control!$C$88-$BQ351)</f>
        <v>#N/A</v>
      </c>
      <c r="BS351" s="140" t="e">
        <f ca="1">IF(AND($BB351&gt;=21,$BB351&lt;30),1,IF($BQ351&gt;=Control!$C$88,0,$BO351))</f>
        <v>#N/A</v>
      </c>
      <c r="BT351" s="404" t="e">
        <f ca="1">IF($BS351=0,0,IF($BQ351&lt;=Control!$C$88,$BO351*(21+(30-21)*(BR351/Control!$C$88)),0))</f>
        <v>#N/A</v>
      </c>
      <c r="BU351" s="140" t="e">
        <f ca="1">IF(BG351+BM351+BS351=1,0,IF(OR(AND($BB351&lt;60,$BB351&gt;=30),$BQ351&gt;=Control!$C$88),1*$BA351,$BY350))</f>
        <v>#N/A</v>
      </c>
      <c r="BV351" s="140" t="e">
        <f ca="1">IF($BR351&lt;0,-$BR351,$BU351*IF(OR($G351&lt;Control!$C$92,$G351&gt;Control!$C$95),0,IF(AND($G351&gt;=Control!$C$92,$G351&lt;=Control!$C$93),$G351-Control!$C$92,IF(AND($G351&gt;Control!$C$93,$G351&lt;=Control!$C$94),Control!$C$93-Control!$C$92,IF(AND($G351&gt;Control!$C$94,$G351&lt;=Control!$C$95),(Control!$C$93-Control!$C$92)*(Control!$C$94-$G351)/(Control!$C$95-Control!$C$94))))))</f>
        <v>#N/A</v>
      </c>
      <c r="BW351" s="140" t="e">
        <f t="shared" ca="1" si="1176"/>
        <v>#N/A</v>
      </c>
      <c r="BX351" s="140" t="e">
        <f ca="1">IF($BW351&lt;=Control!$C$89,$BW351,Control!$C$89-$BW351)</f>
        <v>#N/A</v>
      </c>
      <c r="BY351" s="140" t="e">
        <f ca="1">IF(AND($AJ351&gt;=30,$AJ351&lt;60),1,IF($BW351&gt;=Control!$C$89,0,$BU351))</f>
        <v>#N/A</v>
      </c>
      <c r="BZ351" s="404" t="e">
        <f ca="1">IF($BY351=0,0,IF($BW351&lt;=Control!$C$89,$BU351*(30+(60-30)*(BX351/Control!$C$89)),0))</f>
        <v>#N/A</v>
      </c>
      <c r="CA351" s="140" t="e">
        <f ca="1">IF($BG351+$BM351+$BS351+$BY351=1,0,IF(OR(AND($BB351&lt;65,$BB351&gt;=60),$BW351&gt;=Control!$C$89),1*$BA351,$CE350))</f>
        <v>#N/A</v>
      </c>
      <c r="CB351" s="140" t="e">
        <f ca="1">IF($BX351&lt;0,-$BX351,$CA351*IF(OR($G351&lt;Control!$C$92,$G351&gt;Control!$C$95),0,IF(AND($G351&gt;=Control!$C$92,$G351&lt;=Control!$C$93),$G351-Control!$C$92,IF(AND($G351&gt;Control!$C$93,$G351&lt;=Control!$C$94),Control!$C$93-Control!$C$92,IF(AND($G351&gt;Control!$C$94,$G351&lt;=Control!$C$95),(Control!$C$93-Control!$C$92)*(Control!$C$94-$G351)/(Control!$C$95-Control!$C$94))))))</f>
        <v>#N/A</v>
      </c>
      <c r="CC351" s="140" t="e">
        <f t="shared" ca="1" si="1293"/>
        <v>#N/A</v>
      </c>
      <c r="CD351" s="140" t="e">
        <f ca="1">IF($CC351&lt;=Control!$C$90,$CC351,Control!$C$90-$CC351)</f>
        <v>#N/A</v>
      </c>
      <c r="CE351" s="140" t="e">
        <f ca="1">IF(AND($BB351&gt;=60,$BB351&lt;65),1,IF($CC351&gt;=Control!$C$90,0,$CA351))</f>
        <v>#N/A</v>
      </c>
      <c r="CF351" s="404" t="e">
        <f ca="1">IF($CE351=0,0,IF($CC351&lt;=Control!$C$90,$CA351*(60+(65-60)*(CD351/Control!$C$90)),0))</f>
        <v>#N/A</v>
      </c>
      <c r="CG351" s="140" t="e">
        <f ca="1">IF($BG351+$BM351+$BS351+$BY351+$CE351=1,0,IF(OR(AND($BB351&lt;90,$BB351&gt;=65),$CC351&gt;=Control!$C$90),$BA351,$CK350))</f>
        <v>#N/A</v>
      </c>
      <c r="CH351" s="140" t="e">
        <f ca="1">IF($CD351&lt;0,-$CD351,$CG351*IF(OR($G351&lt;Control!$C$92,$G351&gt;Control!$C$95),0,IF(AND($G351&gt;=Control!$C$92,$G351&lt;=Control!$C$93),$G351-Control!$C$92,IF(AND($G351&gt;Control!$C$93,$G351&lt;=Control!$C$94),Control!$C$93-Control!$C$92,IF(AND($G351&gt;Control!$C$94,$G351&lt;=Control!$C$95),(Control!$C$93-Control!$C$92)*(Control!$C$94-$G351)/(Control!$C$95-Control!$C$94))))))</f>
        <v>#N/A</v>
      </c>
      <c r="CI351" s="140" t="e">
        <f t="shared" ca="1" si="1294"/>
        <v>#N/A</v>
      </c>
      <c r="CJ351" s="140" t="e">
        <f ca="1">IF($CI351&lt;=Control!$C$91,$CI351,Control!$C$91-$CI351)</f>
        <v>#N/A</v>
      </c>
      <c r="CK351" s="140" t="e">
        <f ca="1">IF(AND($BB351&gt;=65,$BB351&lt;90),1,IF($CI351&gt;=Control!$C$91,0,$CG351))</f>
        <v>#N/A</v>
      </c>
      <c r="CL351" s="404" t="e">
        <f ca="1">IF($CK351=0,0,IF($CI351&lt;=Control!$C$91,$CG351*(65+(90-65)*($CJ351/Control!$C$91)),0))</f>
        <v>#N/A</v>
      </c>
      <c r="CM351" s="140" t="e">
        <f ca="1">IF($BG351+$BM351+$BS351+$BY351+$CE351+$CK351=1,0,IF(OR($BB351&gt;=90,$CI351&gt;=Control!$C$91),$BA351,$CM350))</f>
        <v>#N/A</v>
      </c>
      <c r="CN351" s="140" t="e">
        <f t="shared" ca="1" si="1295"/>
        <v>#N/A</v>
      </c>
      <c r="CO351" s="140" t="e">
        <f t="shared" ca="1" si="1296"/>
        <v>#N/A</v>
      </c>
      <c r="CP351" s="140" t="e">
        <f t="shared" ca="1" si="1297"/>
        <v>#N/A</v>
      </c>
      <c r="CQ351" s="141" t="e">
        <f ca="1">VLOOKUP($CP351,Control!$B$86:$G$91,6)</f>
        <v>#N/A</v>
      </c>
      <c r="CR351" s="141" t="e">
        <f ca="1">(1-$CQ351)*VLOOKUP($CP351,Control!$B$86:$D$91,3)</f>
        <v>#N/A</v>
      </c>
      <c r="CS351" s="141" t="e">
        <f ca="1">(1-$CQ351)*VLOOKUP($CP351,Control!$B$86:$E$91,4)</f>
        <v>#N/A</v>
      </c>
      <c r="CT351" s="141" t="e">
        <f ca="1">(1-$CQ351)*VLOOKUP($CP351,Control!$B$86:$F$91,5)</f>
        <v>#N/A</v>
      </c>
      <c r="CU351" s="141">
        <f t="shared" ca="1" si="1298"/>
        <v>0</v>
      </c>
      <c r="CV351" s="583">
        <f t="shared" ca="1" si="1299"/>
        <v>0</v>
      </c>
      <c r="CW351" s="142">
        <f t="shared" ca="1" si="1300"/>
        <v>347</v>
      </c>
      <c r="CX351" s="612" t="e">
        <f ca="1">IF(Control!$C$114=1,(MIN(Control!$C$120*(IF($NT351-0.01&lt;0,0,1)),Control!$C$119-$CY351)))</f>
        <v>#DIV/0!</v>
      </c>
      <c r="CY351" s="143" t="e">
        <f t="shared" ca="1" si="1301"/>
        <v>#N/A</v>
      </c>
      <c r="CZ351" s="144">
        <f t="shared" ca="1" si="1177"/>
        <v>0</v>
      </c>
      <c r="DA351" s="144">
        <f t="shared" ca="1" si="1178"/>
        <v>0</v>
      </c>
      <c r="DB351" s="144" t="e">
        <f t="shared" ca="1" si="1179"/>
        <v>#N/A</v>
      </c>
      <c r="DC351" s="144" t="e">
        <f t="shared" ca="1" si="1180"/>
        <v>#N/A</v>
      </c>
      <c r="DD351" s="144" t="e">
        <f t="shared" ca="1" si="1386"/>
        <v>#N/A</v>
      </c>
      <c r="DE351" s="143" t="e">
        <f t="shared" ca="1" si="1302"/>
        <v>#N/A</v>
      </c>
      <c r="DF351" s="145" t="e">
        <f ca="1">$DR351*EXP(-Control!$C$158*(1-$KH351))</f>
        <v>#N/A</v>
      </c>
      <c r="DG351" s="146" t="e">
        <f ca="1">IF(Control!$C$114=1, $DF351*$EY351, 0)</f>
        <v>#N/A</v>
      </c>
      <c r="DH351" s="147" t="e">
        <f t="shared" ca="1" si="1303"/>
        <v>#N/A</v>
      </c>
      <c r="DI351" s="144" t="e">
        <f t="shared" ca="1" si="1364"/>
        <v>#N/A</v>
      </c>
      <c r="DJ351" s="147" t="e">
        <f ca="1">$EF351*Control!$C$109</f>
        <v>#N/A</v>
      </c>
      <c r="DK351" s="144" t="e">
        <f t="shared" ca="1" si="1304"/>
        <v>#N/A</v>
      </c>
      <c r="DL351" s="144" t="e">
        <f t="shared" ca="1" si="1181"/>
        <v>#N/A</v>
      </c>
      <c r="DM351" s="144" t="e">
        <f ca="1">IF(Control!$C$114=1, (1-EXP(-Control!$C$96*$DK351))*$AR351, 0)</f>
        <v>#N/A</v>
      </c>
      <c r="DN351" s="144">
        <f t="shared" ca="1" si="1305"/>
        <v>0</v>
      </c>
      <c r="DO351" s="148">
        <f>Control!$C$97</f>
        <v>4</v>
      </c>
      <c r="DP351" s="145" t="e">
        <f t="shared" ca="1" si="1306"/>
        <v>#N/A</v>
      </c>
      <c r="DQ351" s="145" t="e">
        <f ca="1">IF(AND($CP351&gt;=0,$CP351&lt;=90),Control!$C$111,Control!$C$111)</f>
        <v>#N/A</v>
      </c>
      <c r="DR351" s="145" t="e">
        <f t="shared" ca="1" si="1182"/>
        <v>#N/A</v>
      </c>
      <c r="DS351" s="143" t="e">
        <f ca="1">Control!$B$22/$DR351</f>
        <v>#N/A</v>
      </c>
      <c r="DT351" s="149" t="e">
        <f ca="1">IF(AND(Control!$C$114=1,$KH351&lt;1),$IM351*$DF351, 0)</f>
        <v>#N/A</v>
      </c>
      <c r="DU351" s="144" t="e">
        <f t="shared" ca="1" si="1307"/>
        <v>#N/A</v>
      </c>
      <c r="DV351" s="144">
        <f ca="1">IF($G351-Control!$C$107&lt;=0, 0, 0.83*LN(MAX($G351, 3))-0.8924)</f>
        <v>0</v>
      </c>
      <c r="DW351" s="144" t="e">
        <f t="shared" ca="1" si="1183"/>
        <v>#N/A</v>
      </c>
      <c r="DX351" s="150" t="e">
        <f ca="1">MAX(0.01*(1+$CU351/Control!$C$102),0.05*($DK351-Control!$C$97)/Control!$C$97)</f>
        <v>#N/A</v>
      </c>
      <c r="DY351" s="151" t="e">
        <f ca="1">IF(Control!$C$114=1, $DI351*$FS351, 0)</f>
        <v>#N/A</v>
      </c>
      <c r="DZ351" s="196" t="e">
        <f t="shared" ca="1" si="1308"/>
        <v>#N/A</v>
      </c>
      <c r="EA351" s="152">
        <f t="shared" ca="1" si="1309"/>
        <v>347</v>
      </c>
      <c r="EB351" s="153" t="e">
        <f t="shared" ca="1" si="1310"/>
        <v>#N/A</v>
      </c>
      <c r="EC351" s="153" t="e">
        <f t="shared" ca="1" si="1311"/>
        <v>#N/A</v>
      </c>
      <c r="ED351" s="154" t="e">
        <f ca="1">IF(Control!$C$114=1, $HM351*$FY351-$FD351, 0)</f>
        <v>#DIV/0!</v>
      </c>
      <c r="EE351" s="155" t="e">
        <f ca="1">IF(Control!$C$114=1, $HM351*$FZ351-$FF351, 0)</f>
        <v>#DIV/0!</v>
      </c>
      <c r="EF351" s="153" t="e">
        <f t="shared" ca="1" si="1365"/>
        <v>#N/A</v>
      </c>
      <c r="EG351" s="155" t="e">
        <f ca="1">IF(Control!$C$114=1, $GX351*$FW351-$FI351, 0)</f>
        <v>#DIV/0!</v>
      </c>
      <c r="EH351" s="153" t="e">
        <f t="shared" ca="1" si="1312"/>
        <v>#N/A</v>
      </c>
      <c r="EI351" s="156" t="e">
        <f t="shared" ca="1" si="1313"/>
        <v>#N/A</v>
      </c>
      <c r="EJ351" s="155" t="e">
        <f ca="1">IF(Control!$C$114=1, $HM351*$GB351, 0)</f>
        <v>#DIV/0!</v>
      </c>
      <c r="EK351" s="153" t="e">
        <f t="shared" ca="1" si="1366"/>
        <v>#N/A</v>
      </c>
      <c r="EL351" s="153" t="e">
        <f t="shared" ca="1" si="1184"/>
        <v>#N/A</v>
      </c>
      <c r="EM351" s="153" t="e">
        <f t="shared" ca="1" si="1185"/>
        <v>#N/A</v>
      </c>
      <c r="EN351" s="153" t="e">
        <f ca="1">IF(Control!$C$108=1,IF(AND(Control!$B$18=1,$EB351&gt;=Control!$B$19),$EB351-$DS351,IF(AND(Control!$B$18=2,$AW351=1,$EB351&gt;$DS351),$EB351-$DS351,0)))</f>
        <v>#N/A</v>
      </c>
      <c r="EO351" s="153" t="e">
        <f ca="1">IF(Control!$C$108=1,IF(AND(Control!$B$18=1,$EB351&gt;=Control!$B$19),$EF351,IF(AND(Control!$B$18=2,$AW351=1),$EF351,0)))</f>
        <v>#N/A</v>
      </c>
      <c r="EP351" s="153" t="e">
        <f ca="1">IF(Control!$C$108=1,IF(AND(Control!$B$18=1,$EB351&gt;=Control!$B$19),$EK351,IF(AND(Control!$B$18=2,$AW351=1),$EK351,0)))</f>
        <v>#N/A</v>
      </c>
      <c r="EQ351" s="153" t="e">
        <f t="shared" ca="1" si="1314"/>
        <v>#N/A</v>
      </c>
      <c r="ER351" s="153" t="e">
        <f t="shared" ca="1" si="1315"/>
        <v>#N/A</v>
      </c>
      <c r="ES351" s="153" t="e">
        <f t="shared" ca="1" si="1367"/>
        <v>#N/A</v>
      </c>
      <c r="ET351" s="153" t="e">
        <f t="shared" ca="1" si="1368"/>
        <v>#N/A</v>
      </c>
      <c r="EU351" s="153" t="e">
        <f t="shared" ca="1" si="1316"/>
        <v>#N/A</v>
      </c>
      <c r="EV351" s="153" t="e">
        <f t="shared" ca="1" si="1186"/>
        <v>#N/A</v>
      </c>
      <c r="EW351" s="153" t="e">
        <f t="shared" ca="1" si="1187"/>
        <v>#N/A</v>
      </c>
      <c r="EX351" s="153" t="e">
        <f t="shared" ca="1" si="1188"/>
        <v>#N/A</v>
      </c>
      <c r="EY351" s="157" t="e">
        <f t="shared" ca="1" si="1189"/>
        <v>#DIV/0!</v>
      </c>
      <c r="EZ351" s="154" t="e">
        <f t="shared" ca="1" si="1190"/>
        <v>#DIV/0!</v>
      </c>
      <c r="FA351" s="153" t="e">
        <f t="shared" ca="1" si="1317"/>
        <v>#N/A</v>
      </c>
      <c r="FB351" s="153" t="e">
        <f t="shared" ca="1" si="1191"/>
        <v>#N/A</v>
      </c>
      <c r="FC351" s="193" t="e">
        <f t="shared" ca="1" si="1192"/>
        <v>#N/A</v>
      </c>
      <c r="FD351" s="158" t="e">
        <f t="shared" ca="1" si="1318"/>
        <v>#N/A</v>
      </c>
      <c r="FE351" s="158" t="e">
        <f t="shared" ca="1" si="1319"/>
        <v>#N/A</v>
      </c>
      <c r="FF351" s="159" t="e">
        <f t="shared" ca="1" si="1193"/>
        <v>#N/A</v>
      </c>
      <c r="FG351" s="160" t="e">
        <f t="shared" ca="1" si="1320"/>
        <v>#N/A</v>
      </c>
      <c r="FH351" s="158" t="e">
        <f t="shared" ca="1" si="1321"/>
        <v>#N/A</v>
      </c>
      <c r="FI351" s="159" t="e">
        <f t="shared" ca="1" si="1194"/>
        <v>#N/A</v>
      </c>
      <c r="FJ351" s="160" t="e">
        <f t="shared" ca="1" si="1322"/>
        <v>#N/A</v>
      </c>
      <c r="FK351" s="160" t="e">
        <f t="shared" ca="1" si="1195"/>
        <v>#N/A</v>
      </c>
      <c r="FL351" s="160" t="e">
        <f t="shared" ca="1" si="1369"/>
        <v>#N/A</v>
      </c>
      <c r="FM351" s="160" t="e">
        <f t="shared" ca="1" si="1196"/>
        <v>#N/A</v>
      </c>
      <c r="FN351" s="158">
        <f t="shared" ca="1" si="1323"/>
        <v>0.01</v>
      </c>
      <c r="FO351" s="160">
        <f>Control!$C$101</f>
        <v>50</v>
      </c>
      <c r="FP351" s="150" t="e">
        <f t="shared" ca="1" si="1197"/>
        <v>#N/A</v>
      </c>
      <c r="FQ351" s="150" t="e">
        <f ca="1">MAX(0,(Control!$C$112*(($DK351-Control!$C$97)/Control!$C$97)))</f>
        <v>#N/A</v>
      </c>
      <c r="FR351" s="150" t="e">
        <f ca="1">(1-$NT351)*Control!$C$113</f>
        <v>#DIV/0!</v>
      </c>
      <c r="FS351" s="198" t="e">
        <f t="shared" ca="1" si="1198"/>
        <v>#N/A</v>
      </c>
      <c r="FT351" s="161">
        <f t="shared" ca="1" si="1324"/>
        <v>347</v>
      </c>
      <c r="FU351" s="162" t="e">
        <f ca="1">IF(Control!$B$34=1,VLOOKUP($CP351,Control!$B$86:$G$91,6),Control!$B$35)</f>
        <v>#N/A</v>
      </c>
      <c r="FV351" s="162" t="e">
        <f t="shared" ca="1" si="1199"/>
        <v>#DIV/0!</v>
      </c>
      <c r="FW351" s="162" t="e">
        <f ca="1">IF(Control!$B$31=1,$FU351*$FV351,  $FU351)</f>
        <v>#N/A</v>
      </c>
      <c r="FX351" s="162" t="e">
        <f ca="1">IF(Control!$B$34=1,VLOOKUP($CP351,Control!$B$86:$G$91,3),Control!$B$36)</f>
        <v>#N/A</v>
      </c>
      <c r="FY351" s="162" t="e">
        <f t="shared" ca="1" si="1200"/>
        <v>#N/A</v>
      </c>
      <c r="FZ351" s="162" t="e">
        <f ca="1">IF(Control!$B$34=1,VLOOKUP($CP351,Control!$B$86:$G$91,4),Control!$B$37)</f>
        <v>#N/A</v>
      </c>
      <c r="GA351" s="162" t="e">
        <f t="shared" ca="1" si="1201"/>
        <v>#N/A</v>
      </c>
      <c r="GB351" s="162" t="e">
        <f ca="1">IF(Control!$B$34=1,VLOOKUP($CP351,Control!$B$86:$G$91,5),Control!$B$38)</f>
        <v>#N/A</v>
      </c>
      <c r="GC351" s="162" t="e">
        <f t="shared" ca="1" si="1325"/>
        <v>#N/A</v>
      </c>
      <c r="GD351" s="162">
        <f t="shared" ca="1" si="1202"/>
        <v>1</v>
      </c>
      <c r="GE351" s="162">
        <f t="shared" ca="1" si="1203"/>
        <v>1</v>
      </c>
      <c r="GF351" s="162">
        <f ca="1">IF(AND(Control!$C$104=1, Control!$C$62="F"),$GE351,1)</f>
        <v>1</v>
      </c>
      <c r="GG351" s="162" t="e">
        <f ca="1">IF(Control!$B$16=40,0,IF(AND(Control!$B$16&gt;40,Control!$B$16&lt;=360),(Control!$B$16-40)*((1-0)/(360-40)),IF(AND(Control!$B$16&gt;360,Control!$B$16&lt;=720),(1+(Control!$B$16-360)*((1.25-1)/(720-360))),IF(AND(Control!$B$16&gt;720,Control!$B$16&lt;=1000),(1.25+(Control!$B$16-720)*((1.35-1.25)/(1000-720))),IF(AND(Control!$B$16&gt;1000,Control!$B$16&lt;=2000),(1.35+(Control!$B$16-1000)*0))))))</f>
        <v>#N/A</v>
      </c>
      <c r="GH351" s="162" t="e">
        <f t="shared" ca="1" si="1204"/>
        <v>#N/A</v>
      </c>
      <c r="GI351" s="162">
        <f t="shared" ca="1" si="1326"/>
        <v>0</v>
      </c>
      <c r="GJ351" s="162">
        <f t="shared" ca="1" si="1205"/>
        <v>0</v>
      </c>
      <c r="GK351" s="162">
        <f t="shared" ca="1" si="1327"/>
        <v>1</v>
      </c>
      <c r="GL351" s="162">
        <f t="shared" ca="1" si="1206"/>
        <v>1</v>
      </c>
      <c r="GM351" s="162" t="e">
        <f ca="1">MAX(0,MIN(1,1-Control!$C$156*(1.0001-$KH351)^2))</f>
        <v>#N/A</v>
      </c>
      <c r="GN351" s="162" t="e">
        <f ca="1">IF(Control!$B$26=1,$KU351,$KX351)</f>
        <v>#N/A</v>
      </c>
      <c r="GO351" s="162" t="e">
        <f ca="1">IF($CP351&lt;=60,Control!$C$105,IF($CP351&gt;=90,Control!$C$106,Control!$C$105+($CP351-60)*((Control!$C$106-Control!$C$105)/(90-60))))</f>
        <v>#N/A</v>
      </c>
      <c r="GP351" s="162" t="e">
        <f t="shared" ca="1" si="1207"/>
        <v>#N/A</v>
      </c>
      <c r="GQ351" s="162" t="e">
        <f t="shared" ca="1" si="1328"/>
        <v>#N/A</v>
      </c>
      <c r="GR351" s="163" t="e">
        <f t="shared" ca="1" si="1208"/>
        <v>#DIV/0!</v>
      </c>
      <c r="GS351" s="162" t="e">
        <f t="shared" ca="1" si="1209"/>
        <v>#DIV/0!</v>
      </c>
      <c r="GT351" s="164" t="e">
        <f t="shared" ca="1" si="1329"/>
        <v>#N/A</v>
      </c>
      <c r="GU351" s="162" t="e">
        <f t="shared" ca="1" si="1330"/>
        <v>#N/A</v>
      </c>
      <c r="GV351" s="162" t="e">
        <f t="shared" ca="1" si="1210"/>
        <v>#N/A</v>
      </c>
      <c r="GW351" s="162" t="e">
        <f t="shared" ca="1" si="1211"/>
        <v>#DIV/0!</v>
      </c>
      <c r="GX351" s="162" t="e">
        <f t="shared" ca="1" si="1331"/>
        <v>#DIV/0!</v>
      </c>
      <c r="GY351" s="162" t="e">
        <f t="shared" ca="1" si="1332"/>
        <v>#DIV/0!</v>
      </c>
      <c r="GZ351" s="165" t="e">
        <f t="shared" ca="1" si="1212"/>
        <v>#N/A</v>
      </c>
      <c r="HA351" s="162" t="e">
        <f ca="1">IF(Control!$C$114=1, $DI351*$FS351, 0)</f>
        <v>#N/A</v>
      </c>
      <c r="HB351" s="162" t="e">
        <f ca="1">$FA351/Control!$C$64</f>
        <v>#N/A</v>
      </c>
      <c r="HC351" s="162" t="e">
        <f t="shared" ca="1" si="1213"/>
        <v>#DIV/0!</v>
      </c>
      <c r="HD351" s="162">
        <f ca="1">-ASIN(SIN(23.45*Control!$C$139)*COS(2*Control!$C$138*($AH351+10)/365))</f>
        <v>-0.40517836341160163</v>
      </c>
      <c r="HE351" s="165">
        <f t="shared" ca="1" si="1333"/>
        <v>0</v>
      </c>
      <c r="HF351" s="166">
        <f ca="1">IF(AND(Control!$C$61="T",$HE351&gt;=Control!$C$103,Control!$C$114=0),$AH351,Control!$C$59)</f>
        <v>1</v>
      </c>
      <c r="HG351" s="166">
        <f ca="1">IF(AND(Control!$C$61="T",$HE351&gt;=Control!$C$103,Control!$C$114=0),$HF351,Control!$C$59)</f>
        <v>1</v>
      </c>
      <c r="HH351" s="165">
        <f ca="1">IF(AND(OR(Control!$C$60&lt;=0, $AH351= Control!$C$59, Control!$C$60 &gt;0, $AH351 = Control!$C$60)), Control!$C$59, IF(Control!$C$60&gt;0, 0))</f>
        <v>1</v>
      </c>
      <c r="HI351" s="165">
        <f ca="1">IF(AND(OR(Control!$C$60&lt;=0, $AH351= Control!$C$59, Control!$C$60 &gt;0, $AH351 = Control!$C$60)), Control!$C$60, IF(Control!$C$60&lt;=0, 0))</f>
        <v>0</v>
      </c>
      <c r="HJ351" s="166">
        <f ca="1">IF(AND(Control!$C$62="F",$CV351&gt;=Control!$C$102),$AH351,0)</f>
        <v>0</v>
      </c>
      <c r="HK351" s="165" t="e">
        <f t="shared" ca="1" si="1370"/>
        <v>#N/A</v>
      </c>
      <c r="HL351" s="166">
        <f ca="1">IF(AND(Control!$C$61="T",$HE351&gt;=Control!$C$103,Control!$C$114=0),$HF351,0)</f>
        <v>0</v>
      </c>
      <c r="HM351" s="201" t="e">
        <f t="shared" ca="1" si="1214"/>
        <v>#DIV/0!</v>
      </c>
      <c r="HN351" s="215">
        <f t="shared" ca="1" si="1334"/>
        <v>347</v>
      </c>
      <c r="HO351" s="216" t="e">
        <f ca="1">IF(AND($CP351&gt;=0, $CP351&lt;=90), Control!$C$152, Control!$C$152)</f>
        <v>#N/A</v>
      </c>
      <c r="HP351" s="216" t="e">
        <f t="shared" ca="1" si="1215"/>
        <v>#N/A</v>
      </c>
      <c r="HQ351" s="217" t="e">
        <f ca="1">IF(OR(Control!$B$26=1,Control!$B$26=2),$KV351,$KS351)</f>
        <v>#DIV/0!</v>
      </c>
      <c r="HR351" s="218" t="e">
        <f t="shared" ca="1" si="1371"/>
        <v>#DIV/0!</v>
      </c>
      <c r="HS351" s="216" t="e">
        <f ca="1">Control!$C$154*$HP351</f>
        <v>#N/A</v>
      </c>
      <c r="HT351" s="216" t="e">
        <f ca="1">Control!$C$155*$HP351</f>
        <v>#N/A</v>
      </c>
      <c r="HU351" s="217" t="e">
        <f ca="1">Control!$C$161*$FI351</f>
        <v>#N/A</v>
      </c>
      <c r="HV351" s="218" t="e">
        <f t="shared" ca="1" si="1335"/>
        <v>#N/A</v>
      </c>
      <c r="HW351" s="218" t="e">
        <f ca="1">Control!$C$160*$FF351+$IP351*$EO351</f>
        <v>#N/A</v>
      </c>
      <c r="HX351" s="218" t="e">
        <f t="shared" ca="1" si="1372"/>
        <v>#N/A</v>
      </c>
      <c r="HY351" s="219" t="e">
        <f ca="1">IF(Control!$C$114=1, $EB351*$FS351, 0)</f>
        <v>#N/A</v>
      </c>
      <c r="HZ351" s="91" t="e">
        <f t="shared" ca="1" si="1216"/>
        <v>#N/A</v>
      </c>
      <c r="IA351" s="220" t="e">
        <f ca="1">Control!$C$153*$HO351</f>
        <v>#N/A</v>
      </c>
      <c r="IB351" s="218" t="e">
        <f t="shared" ca="1" si="1217"/>
        <v>#N/A</v>
      </c>
      <c r="IC351" s="220" t="e">
        <f ca="1">Control!$C$153*$HT351</f>
        <v>#N/A</v>
      </c>
      <c r="ID351" s="218" t="e">
        <f t="shared" ca="1" si="1218"/>
        <v>#N/A</v>
      </c>
      <c r="IE351" s="221" t="e">
        <f ca="1">($EB351*Control!$C$159+$EF351*Control!$C$160)/(IF($GZ351&lt;&gt;0,$GZ351,1))</f>
        <v>#N/A</v>
      </c>
      <c r="IF351" s="216" t="e">
        <f t="shared" ca="1" si="1219"/>
        <v>#N/A</v>
      </c>
      <c r="IG351" s="91">
        <f ca="1">IF(OR(Control!$B$198=$AH351,Control!$B$199=$AH351, Control!$B$200=$AH351, Control!$B$201=$AH351, Control!$B$202=$AH351, Control!$B$203=$AH351, Control!$B$204=$AH351, Control!$B$205=$AH351, Control!$B$206=$AH351, Control!$B$207=$AH351), 1, 0)</f>
        <v>0</v>
      </c>
      <c r="IH351" s="91">
        <f ca="1">IF($IG351=0,0, VLOOKUP($AH351,Control!$B$198:$C$207,2))</f>
        <v>0</v>
      </c>
      <c r="II351" s="222">
        <f t="shared" ca="1" si="1336"/>
        <v>0</v>
      </c>
      <c r="IJ351" s="91">
        <f>Control!$C$121</f>
        <v>0.7</v>
      </c>
      <c r="IK351" s="218">
        <f t="shared" ca="1" si="1220"/>
        <v>0</v>
      </c>
      <c r="IL351" s="217" t="e">
        <f t="shared" ca="1" si="1373"/>
        <v>#N/A</v>
      </c>
      <c r="IM351" s="223" t="e">
        <f ca="1">IF(AND(Control!$C$114=1,$KH351&lt;1),$EB351*Control!$C$148*(1-$KH351), 0)</f>
        <v>#N/A</v>
      </c>
      <c r="IN351" s="217" t="e">
        <f t="shared" ca="1" si="1221"/>
        <v>#DIV/0!</v>
      </c>
      <c r="IO351" s="91" t="e">
        <f ca="1">MAX(0,$IL351-$EF351*Control!$C$160)</f>
        <v>#N/A</v>
      </c>
      <c r="IP351" s="220" t="e">
        <f t="shared" ca="1" si="1222"/>
        <v>#N/A</v>
      </c>
      <c r="IQ351" s="217" t="e">
        <f t="shared" ca="1" si="1337"/>
        <v>#N/A</v>
      </c>
      <c r="IR351" s="218" t="e">
        <f t="shared" ca="1" si="1223"/>
        <v>#N/A</v>
      </c>
      <c r="IS351" s="217" t="e">
        <f ca="1">Control!$C$159*MAX(0,$FD351-$EN351)</f>
        <v>#N/A</v>
      </c>
      <c r="IT351" s="217" t="e">
        <f t="shared" ca="1" si="1374"/>
        <v>#N/A</v>
      </c>
      <c r="IU351" s="217" t="e">
        <f t="shared" ca="1" si="1338"/>
        <v>#N/A</v>
      </c>
      <c r="IV351" s="217" t="e">
        <f t="shared" ca="1" si="1375"/>
        <v>#N/A</v>
      </c>
      <c r="IW351" s="217" t="e">
        <f ca="1">IF(OR($AW351=1,AND($AW351=0, Control!$B$18=1,$EN351&lt;&gt;0)), $IQ351-$IU351, $IQ351)</f>
        <v>#N/A</v>
      </c>
      <c r="IX351" s="218" t="e">
        <f t="shared" ca="1" si="1224"/>
        <v>#N/A</v>
      </c>
      <c r="IY351" s="218" t="e">
        <f ca="1">MAX(0,$IQ351-$EB351*Control!$C$159)</f>
        <v>#N/A</v>
      </c>
      <c r="IZ351" s="218" t="e">
        <f t="shared" ca="1" si="1225"/>
        <v>#N/A</v>
      </c>
      <c r="JA351" s="216" t="e">
        <f t="shared" ca="1" si="1226"/>
        <v>#N/A</v>
      </c>
      <c r="JB351" s="217" t="e">
        <f t="shared" ca="1" si="1227"/>
        <v>#N/A</v>
      </c>
      <c r="JC351" s="222" t="e">
        <f ca="1">MAX(Control!$C$157*$EK351-$JT351, 0)/Control!$C$162</f>
        <v>#N/A</v>
      </c>
      <c r="JD351" s="218" t="e">
        <f t="shared" ca="1" si="1228"/>
        <v>#N/A</v>
      </c>
      <c r="JE351" s="218" t="e">
        <f t="shared" ca="1" si="1229"/>
        <v>#N/A</v>
      </c>
      <c r="JF351" s="218" t="e">
        <f t="shared" ca="1" si="1339"/>
        <v>#N/A</v>
      </c>
      <c r="JG351" s="218" t="e">
        <f t="shared" ca="1" si="1230"/>
        <v>#N/A</v>
      </c>
      <c r="JH351" s="217" t="e">
        <f t="shared" ca="1" si="1340"/>
        <v>#N/A</v>
      </c>
      <c r="JI351" s="217" t="e">
        <f t="shared" ca="1" si="1341"/>
        <v>#N/A</v>
      </c>
      <c r="JJ351" s="217" t="e">
        <f t="shared" ca="1" si="1376"/>
        <v>#N/A</v>
      </c>
      <c r="JK351" s="217" t="e">
        <f ca="1">IF(Control!$C$114=1,IF(Control!$B$24=0,MAX(0,$JI351)*$GN351/Control!$C$64,(MAX(0,MIN($JI351,$JJ351*$GN351/Control!$C$64),0))))</f>
        <v>#N/A</v>
      </c>
      <c r="JL351" s="217" t="e">
        <f ca="1">$IK351/Control!$C$64-$JK351+$HQ351</f>
        <v>#N/A</v>
      </c>
      <c r="JM351" s="217" t="e">
        <f ca="1">IF(Control!$C$114=1,($JB351/(IF($JI351&lt;&gt;0,$JI351,1)))*$JK351,0)</f>
        <v>#N/A</v>
      </c>
      <c r="JN351" s="217" t="e">
        <f ca="1">IF(Control!$C$114=1,($JG351/(IF($JI351&lt;&gt;0,$JI351,1)))*$JK351, 0)</f>
        <v>#N/A</v>
      </c>
      <c r="JO351" s="218" t="e">
        <f t="shared" ca="1" si="1231"/>
        <v>#N/A</v>
      </c>
      <c r="JP351" s="218" t="e">
        <f ca="1">MIN(($IY351+$IO351)*Control!$C$151, $JF351-$EH351*Control!$C$161)</f>
        <v>#N/A</v>
      </c>
      <c r="JQ351" s="218" t="e">
        <f t="shared" ca="1" si="1232"/>
        <v>#N/A</v>
      </c>
      <c r="JR351" s="217" t="e">
        <f ca="1">IF($CP351-Control!$C$150&lt;0, 0, $JQ351/Control!$C$162)</f>
        <v>#N/A</v>
      </c>
      <c r="JS351" s="218" t="e">
        <f t="shared" ca="1" si="1233"/>
        <v>#N/A</v>
      </c>
      <c r="JT351" s="218" t="e">
        <f t="shared" ca="1" si="1342"/>
        <v>#N/A</v>
      </c>
      <c r="JU351" s="218" t="e">
        <f t="shared" ca="1" si="1234"/>
        <v>#N/A</v>
      </c>
      <c r="JV351" s="218" t="e">
        <f t="shared" ca="1" si="1235"/>
        <v>#N/A</v>
      </c>
      <c r="JW351" s="216" t="e">
        <f t="shared" ca="1" si="1236"/>
        <v>#N/A</v>
      </c>
      <c r="JX351" s="91" t="e">
        <f t="shared" ca="1" si="1237"/>
        <v>#N/A</v>
      </c>
      <c r="JY351" s="218" t="e">
        <f t="shared" ca="1" si="1238"/>
        <v>#N/A</v>
      </c>
      <c r="JZ351" s="217" t="e">
        <f ca="1">IF(Control!$C$114=1,($IZ351/(IF($JI351&lt;&gt;0,$JI351,1)))*$JK351, 0)</f>
        <v>#N/A</v>
      </c>
      <c r="KA351" s="218" t="e">
        <f t="shared" ca="1" si="1377"/>
        <v>#N/A</v>
      </c>
      <c r="KB351" s="218" t="e">
        <f t="shared" ca="1" si="1343"/>
        <v>#N/A</v>
      </c>
      <c r="KC351" s="218" t="e">
        <f t="shared" ca="1" si="1239"/>
        <v>#N/A</v>
      </c>
      <c r="KD351" s="218" t="e">
        <f t="shared" ca="1" si="1240"/>
        <v>#N/A</v>
      </c>
      <c r="KE351" s="218" t="e">
        <f t="shared" ca="1" si="1241"/>
        <v>#N/A</v>
      </c>
      <c r="KF351" s="218" t="e">
        <f t="shared" ca="1" si="1242"/>
        <v>#N/A</v>
      </c>
      <c r="KG351" s="216" t="e">
        <f t="shared" ca="1" si="1243"/>
        <v>#N/A</v>
      </c>
      <c r="KH351" s="221" t="e">
        <f ca="1">IF(Control!$B$24=0,1,MAX(0.001,MIN(1,IF(($IF351-$IE351)&lt;&gt;0,($KG351-$IE351)/($IF351-$IE351),1))))</f>
        <v>#N/A</v>
      </c>
      <c r="KI351" s="222" t="e">
        <f ca="1">IF(Control!$C$114=1, $KI350+ $KH350, 0)</f>
        <v>#N/A</v>
      </c>
      <c r="KJ351" s="217" t="e">
        <f t="shared" ca="1" si="1244"/>
        <v>#N/A</v>
      </c>
      <c r="KK351" s="218" t="e">
        <f t="shared" ca="1" si="1245"/>
        <v>#N/A</v>
      </c>
      <c r="KL351" s="274" t="e">
        <f ca="1">IF(Control!$B$26=3,4000000000*EXP(-8400/($G351+273)),IF(Control!$B$26=4,4000000000*EXP(-8400/($G351+273))*($KT351),0))</f>
        <v>#DIV/0!</v>
      </c>
      <c r="KM351" s="274" t="e">
        <f ca="1">IF(Control!$B$26=3,5600000000000*EXP(-9800/($G351+273)),IF(Control!$B$26=4,5600000000000*EXP(-9800/($G351+273))*$KT351,0))</f>
        <v>#DIV/0!</v>
      </c>
      <c r="KN351" s="454" t="e">
        <f t="shared" ca="1" si="1344"/>
        <v>#DIV/0!</v>
      </c>
      <c r="KO351" s="274" t="e">
        <f t="shared" ca="1" si="1345"/>
        <v>#DIV/0!</v>
      </c>
      <c r="KP351" s="454" t="e">
        <f t="shared" ca="1" si="1246"/>
        <v>#DIV/0!</v>
      </c>
      <c r="KQ351" s="454" t="e">
        <f t="shared" ca="1" si="1247"/>
        <v>#DIV/0!</v>
      </c>
      <c r="KR351" s="454" t="e">
        <f t="shared" ca="1" si="1248"/>
        <v>#DIV/0!</v>
      </c>
      <c r="KS351" s="454" t="e">
        <f t="shared" ca="1" si="1249"/>
        <v>#DIV/0!</v>
      </c>
      <c r="KT351" s="455" t="e">
        <f t="shared" ca="1" si="1250"/>
        <v>#DIV/0!</v>
      </c>
      <c r="KU351" s="456" t="e">
        <f ca="1">IF($CP351-Control!$C$149&lt;0, IF($NT351-0.01&lt;0,0,1),0)</f>
        <v>#N/A</v>
      </c>
      <c r="KV351" s="456" t="e">
        <f ca="1">IF(Control!$C$114=1,MAX(0,MIN(Control!$C$125*$KW351*$GN351,$KW351)))</f>
        <v>#DIV/0!</v>
      </c>
      <c r="KW351" s="456" t="e">
        <f t="shared" ca="1" si="1378"/>
        <v>#DIV/0!</v>
      </c>
      <c r="KX351" s="457" t="e">
        <f ca="1">IF($CP351-Control!$C$149&lt;0, IF($MR351-$OM351&lt;0,0,1),0)</f>
        <v>#N/A</v>
      </c>
      <c r="KY351" s="167">
        <f t="shared" ca="1" si="1346"/>
        <v>347</v>
      </c>
      <c r="KZ351" s="168">
        <f ca="1">1370*(1+0.033*COS(2*Control!$C$138*$AH351/365))</f>
        <v>1413.0571827536246</v>
      </c>
      <c r="LA351" s="169">
        <f t="shared" ca="1" si="1347"/>
        <v>1.031428459999103</v>
      </c>
      <c r="LB351" s="169">
        <f t="shared" ca="1" si="1348"/>
        <v>-0.40559850676158615</v>
      </c>
      <c r="LC351" s="169">
        <f ca="1">ACOS(-TAN((2*Control!$B$8/360))*TAN(Calculations!$LB351))</f>
        <v>1.4428258650824721</v>
      </c>
      <c r="LD351" s="169">
        <f ca="1">((24*60)/PI())*0.082*$LA351*(($LC351*SIN(Control!$B$8*2*PI()/360))*SIN($LB351)+COS(Control!$B$8*2*PI()/360)*COS($LB351)*SIN($LC351))</f>
        <v>4.3603515420751675</v>
      </c>
      <c r="LE351" s="170">
        <f t="shared" ca="1" si="1251"/>
        <v>6.0782293506051372</v>
      </c>
      <c r="LF351" s="170">
        <f ca="1">SIN(Control!$C$139*Control!$B$8)*SIN($HD351)</f>
        <v>-0.31062071234345784</v>
      </c>
      <c r="LG351" s="170">
        <f ca="1">COS(Control!$C$139*Control!$B$8)*COS($HD351)</f>
        <v>0.56581112404657741</v>
      </c>
      <c r="LH351" s="170">
        <f ca="1">12*(1+2*ASIN(MAX(-1,MIN(1,$LF351/$LG351))/Control!$C$138))</f>
        <v>7.7844451398001917</v>
      </c>
      <c r="LI351" s="170">
        <f ca="1">12*(1+2*ASIN(MAX(-1,MIN(1,(-SIN(-4*Control!$C$139)+$LF351)/$LG351))/Control!$C$138))</f>
        <v>8.7378872730480719</v>
      </c>
      <c r="LJ351" s="168">
        <f ca="1">3600*($LH351*$LF351+24*$LG351*SQRT(1-$LK351*$LK351)/Control!$C$138)</f>
        <v>4301.4744376872932</v>
      </c>
      <c r="LK351" s="170">
        <f t="shared" ca="1" si="1252"/>
        <v>-0.54898304247176244</v>
      </c>
      <c r="LL351" s="170">
        <f t="shared" ca="1" si="1253"/>
        <v>0</v>
      </c>
      <c r="LM351" s="171">
        <f ca="1">Control!$C$145*$AB351</f>
        <v>6.6660906138995932E-2</v>
      </c>
      <c r="LN351" s="170">
        <f t="shared" ca="1" si="1349"/>
        <v>0.54</v>
      </c>
      <c r="LO351" s="170">
        <f t="shared" ca="1" si="1254"/>
        <v>0</v>
      </c>
      <c r="LP351" s="170">
        <f ca="1">Control!$C$140*((($D351+273.16)^4+($E351+273.16)^4)/2)*(0.34-0.14*SQRT($Y351))*(1.35*$AQ351/(0.75*$LD351)-0.35)</f>
        <v>-3.2464704755046001</v>
      </c>
      <c r="LQ351" s="170">
        <f ca="1">Control!$C$140*($G351+273)^4*(0.56-0.079*SQRT($Y351*10))*(0.1+0.9*$LO351)</f>
        <v>1.5241745131704001</v>
      </c>
      <c r="LR351" s="170">
        <f ca="1">$AQ351*(1-Control!$C$142)-$LQ351</f>
        <v>-1.5241745131704001</v>
      </c>
      <c r="LS351" s="170">
        <f ca="1">$AQ351*(1-Control!$C$143)-$LQ351</f>
        <v>-1.5241745131704001</v>
      </c>
      <c r="LT351" s="170">
        <f ca="1">$AQ351*(1-Control!$C$144)-$LQ351</f>
        <v>-1.5241745131704001</v>
      </c>
      <c r="LU351" s="169">
        <f ca="1">(1-Control!$C$144)*AQ351-LP351</f>
        <v>3.2464704755046001</v>
      </c>
      <c r="LV351" s="172">
        <f t="shared" ca="1" si="1255"/>
        <v>0.79430000000000012</v>
      </c>
      <c r="LW351" s="170">
        <f t="shared" ca="1" si="1256"/>
        <v>1.5886000000000002</v>
      </c>
      <c r="LX351" s="170">
        <f ca="1">($AC351*($LR351/Control!$C$141)+$LM351*$LV351)/($AC351+$LM351)</f>
        <v>0.23530094218323697</v>
      </c>
      <c r="LY351" s="170">
        <f ca="1">($AC351*($LS351/Control!$C$141)+$LM351*$LV351)/($AC351+$LM351)</f>
        <v>0.23530094218323697</v>
      </c>
      <c r="LZ351" s="170">
        <f t="shared" ca="1" si="1257"/>
        <v>0.23530094218323697</v>
      </c>
      <c r="MA351" s="170">
        <f t="shared" ca="1" si="1258"/>
        <v>0.23530094218323697</v>
      </c>
      <c r="MB351" s="170" t="e">
        <f t="shared" ca="1" si="1259"/>
        <v>#N/A</v>
      </c>
      <c r="MC351" s="170">
        <f t="shared" ca="1" si="1350"/>
        <v>0.6018</v>
      </c>
      <c r="MD351" s="170">
        <f t="shared" ca="1" si="1260"/>
        <v>0.52989392535414004</v>
      </c>
      <c r="ME351" s="170">
        <f ca="1">($AC351*($LT351/Control!$C$141)+$LM351*$LW351)/($AC351+$LM351)</f>
        <v>0.71612369323045078</v>
      </c>
      <c r="MF351" s="170" t="e">
        <f ca="1">IF(Control!$B$16&gt;=1000,0.92,IF(AND(720&lt;=Control!$B$16,1000&gt;Control!$B$16),(0.95+(Control!$B$16-720)*((0.92-0.95)/(1000-720))),IF(AND(360&lt;=Control!$B$16,720&gt;Control!$B$16),(1+(Control!$B$16-360)*((0.95-1)/(720-360))),IF(AND(40&lt;=Control!$B$16,360&gt;Control!$B$16),(1.05+(Control!$B$16-40)*((1.05-1)/(360-40)))))))</f>
        <v>#N/A</v>
      </c>
      <c r="MG351" s="170">
        <f t="shared" ca="1" si="1261"/>
        <v>0.71612369323045078</v>
      </c>
      <c r="MH351" s="170" t="e">
        <f t="shared" ca="1" si="1387"/>
        <v>#N/A</v>
      </c>
      <c r="MI351" s="170" t="e">
        <f t="shared" ca="1" si="1387"/>
        <v>#N/A</v>
      </c>
      <c r="MJ351" s="170" t="e">
        <f ca="1">MAX(0.0001, Control!$C$132*$MI351*$DL351)</f>
        <v>#N/A</v>
      </c>
      <c r="MK351" s="170">
        <f ca="1">1/(0.76+1.5*($MG351/10))-(5-Control!$C$110)*0.1</f>
        <v>1.002845988140797</v>
      </c>
      <c r="ML351" s="173">
        <f ca="1">IF(Control!$C$110&lt;3,$MK351+($MG351-0.6)/(Control!$C$110*(Control!$C$110+3)), MAX(0.1, MIN(0.95,$MK351)))</f>
        <v>0.95</v>
      </c>
      <c r="MM351" s="173">
        <f ca="1">IF(Control!$C$110&lt;3,$MK351+(($MI351/10)-0.6)/(Control!$C$110*(Control!$C$110+3)), MAX(0.1, MIN(0.95,$MK351)))</f>
        <v>0.95</v>
      </c>
      <c r="MN351" s="173">
        <f ca="1">(1-$MM351)*(Control!$C$128-Control!$C$127)+Control!$C$127</f>
        <v>0.16</v>
      </c>
      <c r="MO351" s="170" t="e">
        <f ca="1">MAX(0,MIN(1,($MS351-Control!$C$127)/($MN351-Control!$C$127)))</f>
        <v>#DIV/0!</v>
      </c>
      <c r="MP351" s="173" t="e">
        <f ca="1">1/(0.76+1.5*$MI351)-(5-Control!$C$110)*0.1</f>
        <v>#N/A</v>
      </c>
      <c r="MQ351" s="172" t="e">
        <f t="shared" ca="1" si="1379"/>
        <v>#DIV/0!</v>
      </c>
      <c r="MR351" s="168" t="e">
        <f t="shared" ca="1" si="1351"/>
        <v>#DIV/0!</v>
      </c>
      <c r="MS351" s="173" t="e">
        <f ca="1">MAX(Control!$C$127, MIN(Control!$C$135, $MR351/MAX(0.0001,$CY351)))</f>
        <v>#DIV/0!</v>
      </c>
      <c r="MT351" s="168" t="e">
        <f ca="1">(Control!$C$128-$MS351)*Control!$C$74</f>
        <v>#DIV/0!</v>
      </c>
      <c r="MU351" s="168" t="e">
        <f ca="1">(Control!$C$135-$MS351)*Control!$C$74</f>
        <v>#DIV/0!</v>
      </c>
      <c r="MV351" s="168" t="e">
        <f t="shared" ca="1" si="1352"/>
        <v>#DIV/0!</v>
      </c>
      <c r="MW351" s="168" t="e">
        <f t="shared" ca="1" si="1353"/>
        <v>#DIV/0!</v>
      </c>
      <c r="MX351" s="171" t="e">
        <f ca="1">MAX(Control!$C$127, MIN(Control!$C$135, $MW351/MAX(0.0001,Control!$C$119-$CY351)))</f>
        <v>#DIV/0!</v>
      </c>
      <c r="MY351" s="54" t="e">
        <f ca="1">IF(Control!$C$114=1, $CX351*$MX351, 0)</f>
        <v>#DIV/0!</v>
      </c>
      <c r="MZ351" s="54" t="e">
        <f t="shared" ca="1" si="1354"/>
        <v>#N/A</v>
      </c>
      <c r="NA351" s="168" t="e">
        <f ca="1">(Control!$C$128-$MX351)*(Control!$C$119-Control!$C$74)</f>
        <v>#DIV/0!</v>
      </c>
      <c r="NB351" s="168" t="e">
        <f ca="1">(Control!$C$135-$MX351)*(Control!$C$119-Control!$C$74)</f>
        <v>#DIV/0!</v>
      </c>
      <c r="NC351" s="174" t="e">
        <f t="shared" ca="1" si="1355"/>
        <v>#DIV/0!</v>
      </c>
      <c r="ND351" s="54">
        <f ca="1">IF(Control!$C$58=2, IF(OR(Control!$B$218=$AH351,Control!$B$219=$AH351, Control!$B$220=$AH351, Control!$B$221=$AH351, Control!$B$222=$AH351, Control!$B$223=$AH351, Control!$B$224=$AH351, Control!$B$225=$AH351, Control!$B$226=$AH351, Control!$B$227=$AH351, Control!$B$228=$AH351), 1, 0), 0)</f>
        <v>0</v>
      </c>
      <c r="NE351" s="54">
        <f ca="1">IF($ND351=0,0, VLOOKUP($AH351,Control!$B$218:$C$228,2))</f>
        <v>0</v>
      </c>
      <c r="NF351" s="168" t="e">
        <f ca="1">$CY351*(Control!$C$128-Control!$C$127)</f>
        <v>#N/A</v>
      </c>
      <c r="NG351" s="54" t="e">
        <f ca="1">IF(Control!$C$58=2, $NI350-$NJ350, 0)</f>
        <v>#DIV/0!</v>
      </c>
      <c r="NH351" s="54" t="e">
        <f ca="1">IF(AND(Control!$C$58=1, $MS350&lt;= ($MN350+0.02), $I350&lt;10), 0, IF(Control!$C$58=2, $NG350, 0))</f>
        <v>#DIV/0!</v>
      </c>
      <c r="NI351" s="54" t="e">
        <f ca="1">IF(Control!$C$58=2, $NE351+$NH351,0)</f>
        <v>#DIV/0!</v>
      </c>
      <c r="NJ351" s="54" t="e">
        <f ca="1">IF(AND(Control!$C$58=1, $MS351&lt;= ($MN351+0.02), $I351&lt;10), MAX(0, MIN(10, 0.7*($NF351-$MV351))), IF(Control!$C$58=2, MIN(10,$NI351),0))</f>
        <v>#DIV/0!</v>
      </c>
      <c r="NK351" s="54" t="e">
        <f t="shared" ca="1" si="1263"/>
        <v>#DIV/0!</v>
      </c>
      <c r="NL351" s="173" t="e">
        <f ca="1">(1-Control!$C$73)*$I351+$NJ351</f>
        <v>#DIV/0!</v>
      </c>
      <c r="NM351" s="172" t="e">
        <f ca="1">IF($NL351&lt;0.5, $MB351* MAX(0, MIN(1, (SQRT($NC351)-SQRT($NC351-1))*Control!$C$71)),0)</f>
        <v>#DIV/0!</v>
      </c>
      <c r="NN351" s="170" t="e">
        <f ca="1">IF($NL351&gt;=5, $MB351, MAX(0,MIN($MB351, $NM351+$NL351,($MS351-Control!$C$129))))</f>
        <v>#DIV/0!</v>
      </c>
      <c r="NO351" s="54">
        <f>IF(Control!$C$133&lt;&gt;1, Control!$C$135-Control!$C$131, 0)</f>
        <v>0.38</v>
      </c>
      <c r="NP351" s="54" t="e">
        <f t="shared" ca="1" si="1264"/>
        <v>#DIV/0!</v>
      </c>
      <c r="NQ351" s="173" t="e">
        <f ca="1">MAX(0,MIN(1,(Control!$C$135-$MS351)/(Control!$C$135-$NO351)))</f>
        <v>#DIV/0!</v>
      </c>
      <c r="NR351" s="170" t="e">
        <f ca="1">IF(Control!$C$133&lt;&gt;1, $NQ351+((1-$NP351/4)*(1-$NQ351)),1)</f>
        <v>#DIV/0!</v>
      </c>
      <c r="NS351" s="170" t="e">
        <f ca="1">IF(Control!$B$31=0,$MJ351,MAX(0,MIN($MV351,$MO351*$NR351*$MJ351)))</f>
        <v>#DIV/0!</v>
      </c>
      <c r="NT351" s="170" t="e">
        <f t="shared" ca="1" si="1380"/>
        <v>#DIV/0!</v>
      </c>
      <c r="NU351" s="170" t="e">
        <f t="shared" ca="1" si="1356"/>
        <v>#N/A</v>
      </c>
      <c r="NV351" s="170" t="e">
        <f t="shared" ca="1" si="1265"/>
        <v>#N/A</v>
      </c>
      <c r="NW351" s="175" t="e">
        <f t="shared" ca="1" si="1266"/>
        <v>#DIV/0!</v>
      </c>
      <c r="NX351" s="170" t="e">
        <f ca="1">MIN(Control!$C$72+$MU351, $NW351)</f>
        <v>#DIV/0!</v>
      </c>
      <c r="NY351" s="170" t="e">
        <f ca="1">IF($MT351&lt;=$NX351,MIN(Control!$C$72+$NB351,$NX351-$MT351),0)</f>
        <v>#DIV/0!</v>
      </c>
      <c r="NZ351" s="54" t="e">
        <f ca="1">IF(Control!$C$114=1,  $CX351*($MX351-Control!$C$127), 0)</f>
        <v>#DIV/0!</v>
      </c>
      <c r="OA351" s="170" t="e">
        <f t="shared" ca="1" si="1267"/>
        <v>#DIV/0!</v>
      </c>
      <c r="OB351" s="170" t="e">
        <f ca="1">IF($NA351 &lt;=$NY351, MIN(Control!$C$72, $NY351-$NA351), 0)</f>
        <v>#DIV/0!</v>
      </c>
      <c r="OC351" s="168" t="e">
        <f t="shared" ca="1" si="1268"/>
        <v>#DIV/0!</v>
      </c>
      <c r="OD351" s="168" t="e">
        <f t="shared" ca="1" si="1357"/>
        <v>#DIV/0!</v>
      </c>
      <c r="OE351" s="170">
        <f ca="1">Control!$C$73*$I351</f>
        <v>0</v>
      </c>
      <c r="OF351" s="176" t="e">
        <f t="shared" ca="1" si="1269"/>
        <v>#DIV/0!</v>
      </c>
      <c r="OG351" s="168" t="e">
        <f t="shared" ca="1" si="1270"/>
        <v>#DIV/0!</v>
      </c>
      <c r="OH351" s="168" t="e">
        <f t="shared" ca="1" si="1271"/>
        <v>#DIV/0!</v>
      </c>
      <c r="OI351" s="168" t="e">
        <f t="shared" ca="1" si="1272"/>
        <v>#DIV/0!</v>
      </c>
      <c r="OJ351" s="168" t="e">
        <f t="shared" ca="1" si="1273"/>
        <v>#DIV/0!</v>
      </c>
      <c r="OK351" s="204" t="e">
        <f t="shared" ca="1" si="1274"/>
        <v>#DIV/0!</v>
      </c>
      <c r="OL351" s="177">
        <f>Control!$C$127</f>
        <v>0.15</v>
      </c>
      <c r="OM351" s="182" t="e">
        <f t="shared" ca="1" si="1275"/>
        <v>#N/A</v>
      </c>
      <c r="ON351" s="177">
        <f>Control!$C$128</f>
        <v>0.35</v>
      </c>
      <c r="OO351" s="182" t="e">
        <f t="shared" ca="1" si="1276"/>
        <v>#N/A</v>
      </c>
      <c r="OP351" s="138">
        <f t="shared" ca="1" si="1358"/>
        <v>0</v>
      </c>
      <c r="OQ351" s="138" t="e">
        <f t="shared" ca="1" si="1381"/>
        <v>#DIV/0!</v>
      </c>
      <c r="OR351" s="138" t="e">
        <f t="shared" ca="1" si="1359"/>
        <v>#DIV/0!</v>
      </c>
      <c r="OS351" s="137" t="e">
        <f t="shared" ca="1" si="1382"/>
        <v>#DIV/0!</v>
      </c>
      <c r="OT351" s="139" t="e">
        <f t="shared" ca="1" si="1383"/>
        <v>#DIV/0!</v>
      </c>
      <c r="OU351" s="138" t="e">
        <f t="shared" ca="1" si="1384"/>
        <v>#N/A</v>
      </c>
      <c r="OV351" s="138" t="e">
        <f t="shared" ca="1" si="1385"/>
        <v>#DIV/0!</v>
      </c>
      <c r="OW351" s="138" t="e">
        <f t="shared" ca="1" si="1360"/>
        <v>#DIV/0!</v>
      </c>
      <c r="OX351" s="138" t="e">
        <f t="shared" ca="1" si="1361"/>
        <v>#DIV/0!</v>
      </c>
      <c r="OY351" s="138" t="e">
        <f t="shared" ca="1" si="1362"/>
        <v>#DIV/0!</v>
      </c>
      <c r="OZ351" s="138" t="e">
        <f t="shared" ca="1" si="1277"/>
        <v>#DIV/0!</v>
      </c>
      <c r="PA351" s="138" t="e">
        <f t="shared" ca="1" si="1278"/>
        <v>#DIV/0!</v>
      </c>
      <c r="PB351" s="55">
        <f>IF(Control!$C$61="T", IF(Control!$C$65="F", IF($AH$6-Control!$C$60&lt;0,0,1), IF(365+$AH$6-Control!$C$60&lt;0,0,1)),0)</f>
        <v>0</v>
      </c>
      <c r="PC351" s="55">
        <f ca="1">IF(Control!$C$65="F", IF($AH$6-$HF351&lt;0,0,1), IF(365+$AH$6-$HF351&lt;0,0,1))</f>
        <v>1</v>
      </c>
      <c r="PD351" s="444">
        <f>Control!$C$118</f>
        <v>1500</v>
      </c>
      <c r="PE351" s="180" t="e">
        <f t="shared" ca="1" si="1279"/>
        <v>#N/A</v>
      </c>
      <c r="PF351" s="445">
        <f t="shared" ca="1" si="1363"/>
        <v>0.71612369323045078</v>
      </c>
      <c r="PT351" s="186"/>
      <c r="PU351" s="186"/>
      <c r="PV351" s="94"/>
      <c r="PW351" s="94"/>
      <c r="PX351" s="94"/>
      <c r="PY351" s="94"/>
      <c r="PZ351" s="94"/>
      <c r="QA351" s="94"/>
      <c r="QB351" s="94"/>
      <c r="QC351" s="94"/>
      <c r="QD351" s="94"/>
      <c r="QE351" s="94"/>
      <c r="QF351" s="94"/>
      <c r="QG351" s="94"/>
      <c r="QH351" s="94"/>
      <c r="QI351" s="94"/>
      <c r="QJ351" s="94"/>
      <c r="QK351" s="94"/>
      <c r="QL351" s="94"/>
      <c r="QM351" s="94"/>
      <c r="QN351" s="94"/>
      <c r="QO351" s="94"/>
      <c r="QP351" s="94"/>
    </row>
    <row r="352" spans="1:458" s="2" customFormat="1" x14ac:dyDescent="0.2">
      <c r="A352" s="395">
        <v>13</v>
      </c>
      <c r="B352" s="396">
        <v>12</v>
      </c>
      <c r="C352" s="387">
        <f ca="1">Weather_data!$B351</f>
        <v>0</v>
      </c>
      <c r="D352" s="388">
        <f ca="1">Weather_data!$F351</f>
        <v>0</v>
      </c>
      <c r="E352" s="388">
        <f ca="1">Weather_data!$E351</f>
        <v>0</v>
      </c>
      <c r="F352" s="388">
        <f t="shared" ca="1" si="1280"/>
        <v>0</v>
      </c>
      <c r="G352" s="388">
        <f ca="1">AVERAGE($D352:$E352)+Control!$B$9</f>
        <v>0</v>
      </c>
      <c r="H352" s="388">
        <f ca="1">Weather_data!$G351</f>
        <v>0</v>
      </c>
      <c r="I352" s="388">
        <f ca="1">Weather_data!$I351</f>
        <v>0</v>
      </c>
      <c r="J352" s="388">
        <f ca="1">Weather_data!$H351</f>
        <v>0</v>
      </c>
      <c r="K352" s="389">
        <f ca="1">Weather_data!$D351</f>
        <v>0</v>
      </c>
      <c r="L352" s="388" t="e">
        <f t="shared" ca="1" si="1281"/>
        <v>#N/A</v>
      </c>
      <c r="M352" s="388" t="e">
        <f t="shared" ca="1" si="1158"/>
        <v>#N/A</v>
      </c>
      <c r="N352" s="388">
        <f t="shared" ca="1" si="1159"/>
        <v>-7.3600077279315288E-17</v>
      </c>
      <c r="O352" s="388">
        <f t="shared" ca="1" si="1282"/>
        <v>7.3600077279315293E-16</v>
      </c>
      <c r="P352" s="390">
        <v>3</v>
      </c>
      <c r="Q352" s="388">
        <f ca="1">MAX($G352-Control!$C$107,0)</f>
        <v>0</v>
      </c>
      <c r="R352" s="388">
        <f t="shared" ca="1" si="1283"/>
        <v>0</v>
      </c>
      <c r="S352" s="388">
        <f t="shared" ca="1" si="1160"/>
        <v>0</v>
      </c>
      <c r="T352" s="388">
        <f t="shared" ca="1" si="1161"/>
        <v>0</v>
      </c>
      <c r="U352" s="59">
        <f t="shared" ca="1" si="1162"/>
        <v>0</v>
      </c>
      <c r="V352" s="391">
        <f ca="1">MAX(0,MIN(Control!$C$100-Control!$C$99,$G352-Control!$C$99)*Control!$C$63)</f>
        <v>0</v>
      </c>
      <c r="W352" s="388">
        <f t="shared" ca="1" si="1284"/>
        <v>0</v>
      </c>
      <c r="X352" s="388">
        <f t="shared" ca="1" si="1285"/>
        <v>0.6110000000000001</v>
      </c>
      <c r="Y352" s="388">
        <f t="shared" ca="1" si="1163"/>
        <v>0</v>
      </c>
      <c r="Z352" s="388">
        <f t="shared" ca="1" si="1286"/>
        <v>0.61058800000000002</v>
      </c>
      <c r="AA352" s="388">
        <f t="shared" ca="1" si="1164"/>
        <v>0.6018</v>
      </c>
      <c r="AB352" s="388">
        <f ca="1">101.3*EXP(-0.034*Control!$C$66/($G352+273))</f>
        <v>100.69623283836242</v>
      </c>
      <c r="AC352" s="392">
        <f t="shared" ca="1" si="1165"/>
        <v>4.3460251046025113E-2</v>
      </c>
      <c r="AD352" s="392">
        <f t="shared" ca="1" si="1166"/>
        <v>4.4450382862832649E-2</v>
      </c>
      <c r="AE352" s="388">
        <f t="shared" ca="1" si="1167"/>
        <v>0</v>
      </c>
      <c r="AF352" s="388">
        <f ca="1">MAX(0,$G352-Control!$C$92)</f>
        <v>0</v>
      </c>
      <c r="AG352" s="393">
        <f t="shared" ca="1" si="1168"/>
        <v>348</v>
      </c>
      <c r="AH352" s="389">
        <f t="shared" ca="1" si="1169"/>
        <v>348</v>
      </c>
      <c r="AI352" s="388">
        <f t="shared" ca="1" si="1287"/>
        <v>-0.40613812278116895</v>
      </c>
      <c r="AJ352" s="388">
        <f ca="1">IF(Control!$C$60&lt;=0,$HH352,$HI352)</f>
        <v>1</v>
      </c>
      <c r="AK352" s="388">
        <f t="shared" ca="1" si="1170"/>
        <v>4.6134072940387094</v>
      </c>
      <c r="AL352" s="388">
        <f t="shared" ca="1" si="1171"/>
        <v>-1.9115438398831229E-17</v>
      </c>
      <c r="AM352" s="388">
        <f t="shared" ca="1" si="1172"/>
        <v>4.6134072940387094</v>
      </c>
      <c r="AN352" s="388">
        <f t="shared" ca="1" si="1173"/>
        <v>-0.40699642480754816</v>
      </c>
      <c r="AO352" s="388">
        <f ca="1">-0.10453/COS(Control!$B$8*PI()/180)*COS(AN352)</f>
        <v>-0.15591580715209974</v>
      </c>
      <c r="AP352" s="388">
        <f ca="1">ACOS(AO352-TAN(Control!$B$8*PI()/180)*TAN(AN352))</f>
        <v>1.1638334480152983</v>
      </c>
      <c r="AQ352" s="388">
        <f t="shared" ca="1" si="1288"/>
        <v>0</v>
      </c>
      <c r="AR352" s="394">
        <f t="shared" ca="1" si="1174"/>
        <v>0</v>
      </c>
      <c r="AS352" s="436">
        <f ca="1">IF(Control!$B$18=2,(IF(OR($AH352=Control!$B$175,$AH352=Control!$B$176,$AH352=Control!$B$177,$AH352=Control!$B$178,$AH352=Control!$B$179,$AH352=Control!$B$180,$AH352=Control!$B$181,$AH352=Control!$B$182,$AH352=Control!$B$183,$AH352=Control!$B$184,$AH352=Control!$B$185),1,0)),0)</f>
        <v>0</v>
      </c>
      <c r="AT352" s="436">
        <f>IF(Control!$B$20=8,IF(AND($AH352&gt;=Control!$B$172,$AH352&lt;=Control!$B$173),1,0),0)</f>
        <v>0</v>
      </c>
      <c r="AU352" s="436">
        <f>IF(Control!$B$20=8,IF($AV351=1,1*$AT352,IF($AT352=1,$AU351+1,$AU351)),0)</f>
        <v>0</v>
      </c>
      <c r="AV352" s="436">
        <f>IF(Control!$B$20=8,IF($AU352&gt;=Control!$B$174,1,0),0)</f>
        <v>0</v>
      </c>
      <c r="AW352" s="436">
        <f ca="1">IF(AND(Control!$B$18=2,Control!$B$171=1), $AV352, $AS352)</f>
        <v>0</v>
      </c>
      <c r="AX352" s="436" t="e">
        <f ca="1">IF(AND(Control!$B$18=1,$EU352&gt;=Control!$B$19),-$AY352,IF(AND(Control!$B$18=2,$AW352=1,$EU352&gt;$DS352),-$AY352, IF(Control!$C$108=0,0, IF(Control!$C$108&lt;&gt;0,1))))</f>
        <v>#N/A</v>
      </c>
      <c r="AY352" s="436" t="e">
        <f t="shared" ca="1" si="1289"/>
        <v>#N/A</v>
      </c>
      <c r="AZ352" s="436" t="e">
        <f ca="1">IF(AND(Control!$B$18=1,$EB352&gt;Control!$B$19),$AZ351+1, IF(AND(Control!$B$18=2, $AW352=1, $EB352&gt;$DS352), $AZ351+1,$AZ351))</f>
        <v>#N/A</v>
      </c>
      <c r="BA352" s="587">
        <f>IF(Control!$C$81=0,1,IF($AH352&gt;=Control!$C$82,1,0))</f>
        <v>1</v>
      </c>
      <c r="BB352" s="140" t="e">
        <f ca="1">IF($BA352&gt;$BA351,Control!$C$83,IF($AW352&gt;0,$AW352*Control!$C$84,IF(AND(Control!$B$18=1,EN351&lt;&gt;0),Control!$C$84,0)))</f>
        <v>#N/A</v>
      </c>
      <c r="BC352" s="140" t="e">
        <f t="shared" ca="1" si="1290"/>
        <v>#N/A</v>
      </c>
      <c r="BD352" s="140" t="e">
        <f ca="1">BC352*IF(OR($G352&lt;Control!$C$92,$G352&gt;Control!$C$95),0,IF(AND($G352&gt;=Control!$C$92,$G352&lt;=Control!$C$93),$G352-Control!$C$92,IF(AND($G352&gt;Control!$C$93,$G352&lt;=Control!$C$94),Control!$C$93-Control!$C$92,IF(AND($G352&gt;Control!$C$94,$G352&lt;=Control!$C$95),(Control!$C$93-Control!$C$92)*(Control!$C$94-$G352)/(Control!$C$95-Control!$C$94)))))</f>
        <v>#N/A</v>
      </c>
      <c r="BE352" s="140" t="e">
        <f t="shared" ca="1" si="1291"/>
        <v>#N/A</v>
      </c>
      <c r="BF352" s="140" t="e">
        <f ca="1">IF($BE352&lt;=Control!$C$86,$BE352,Control!$C$86-$BE352)</f>
        <v>#N/A</v>
      </c>
      <c r="BG352" s="140" t="e">
        <f ca="1">IF(AND($AW352=1,Control!$C$84&lt;9),1,IF($BE352&gt;=Control!$C$86,0,$BC352))</f>
        <v>#N/A</v>
      </c>
      <c r="BH352" s="404" t="e">
        <f ca="1">IF($BG352=0,0,IF($BE352&lt;=Control!$C$86,$BC352*9*($BF352/Control!$C$86),0))</f>
        <v>#N/A</v>
      </c>
      <c r="BI352" s="140" t="e">
        <f ca="1">IF($BG352=1,0,IF($BE352&gt;=Control!$C$86,1,IF(AND($BB352&lt;21,$BB352&gt;=9),1,$BM351)))</f>
        <v>#N/A</v>
      </c>
      <c r="BJ352" s="140" t="e">
        <f ca="1">IF($BF352&lt;0,-$BF352,$BI352*IF(OR($G352&lt;Control!$C$92,$G352&gt;Control!$C$95),0,IF(AND($G352&gt;=Control!$C$92,$G352&lt;=Control!$C$93),$G352-Control!$C$92,IF(AND($G352&gt;Control!$C$93,$G352&lt;=Control!$C$94),Control!$C$93-Control!$C$92,IF(AND($G352&gt;Control!$C$94,$G352&lt;=Control!$C$95),(Control!$C$93-Control!$C$92)*(Control!$C$94-$G352)/(Control!$C$95-Control!$C$94))))))</f>
        <v>#N/A</v>
      </c>
      <c r="BK352" s="140" t="e">
        <f t="shared" ca="1" si="1292"/>
        <v>#N/A</v>
      </c>
      <c r="BL352" s="140" t="e">
        <f ca="1">IF($BK352&lt;=Control!$C$87,$BK352,Control!$C$87-$BK352)</f>
        <v>#N/A</v>
      </c>
      <c r="BM352" s="140" t="e">
        <f ca="1">IF(AND($BB352&gt;=9,$BB352&lt;21),1,IF($BK352&gt;=Control!$C$87,0,$BI352))</f>
        <v>#N/A</v>
      </c>
      <c r="BN352" s="404" t="e">
        <f ca="1">IF($BM352=0,0,IF($BK352&lt;=Control!$C$87,$BI352*(9+(21-9)*($BL352/Control!$C$87)),0))</f>
        <v>#N/A</v>
      </c>
      <c r="BO352" s="140" t="e">
        <f ca="1">IF($BM352=1,0,IF($BK352&gt;=Control!$C$87,1,IF(AND($BB352&lt;30,$BB352&gt;=21),1,$BS351)))</f>
        <v>#N/A</v>
      </c>
      <c r="BP352" s="140" t="e">
        <f ca="1">IF($BL352&lt;0,-$BL352,$BO352*IF(OR($G352&lt;Control!$C$92,$G352&gt;Control!$C$95),0,IF(AND($G352&gt;=Control!$C$92,$G352&lt;=Control!$C$93),$G352-Control!$C$92,IF(AND($G352&gt;Control!$C$93,$G352&lt;=Control!$C$94),Control!$C$93-Control!$C$92,IF(AND($G352&gt;Control!$C$94,$G352&lt;=Control!$C$95),(Control!$C$93-Control!$C$92)*(Control!$C$94-$G352)/(Control!$C$95-Control!$C$94))))))</f>
        <v>#N/A</v>
      </c>
      <c r="BQ352" s="140" t="e">
        <f t="shared" ca="1" si="1175"/>
        <v>#N/A</v>
      </c>
      <c r="BR352" s="140" t="e">
        <f ca="1">IF($BQ352&lt;=Control!$C$88,$BQ352,Control!$C$88-$BQ352)</f>
        <v>#N/A</v>
      </c>
      <c r="BS352" s="140" t="e">
        <f ca="1">IF(AND($BB352&gt;=21,$BB352&lt;30),1,IF($BQ352&gt;=Control!$C$88,0,$BO352))</f>
        <v>#N/A</v>
      </c>
      <c r="BT352" s="404" t="e">
        <f ca="1">IF($BS352=0,0,IF($BQ352&lt;=Control!$C$88,$BO352*(21+(30-21)*(BR352/Control!$C$88)),0))</f>
        <v>#N/A</v>
      </c>
      <c r="BU352" s="140" t="e">
        <f ca="1">IF(BG352+BM352+BS352=1,0,IF(OR(AND($BB352&lt;60,$BB352&gt;=30),$BQ352&gt;=Control!$C$88),1*$BA352,$BY351))</f>
        <v>#N/A</v>
      </c>
      <c r="BV352" s="140" t="e">
        <f ca="1">IF($BR352&lt;0,-$BR352,$BU352*IF(OR($G352&lt;Control!$C$92,$G352&gt;Control!$C$95),0,IF(AND($G352&gt;=Control!$C$92,$G352&lt;=Control!$C$93),$G352-Control!$C$92,IF(AND($G352&gt;Control!$C$93,$G352&lt;=Control!$C$94),Control!$C$93-Control!$C$92,IF(AND($G352&gt;Control!$C$94,$G352&lt;=Control!$C$95),(Control!$C$93-Control!$C$92)*(Control!$C$94-$G352)/(Control!$C$95-Control!$C$94))))))</f>
        <v>#N/A</v>
      </c>
      <c r="BW352" s="140" t="e">
        <f t="shared" ca="1" si="1176"/>
        <v>#N/A</v>
      </c>
      <c r="BX352" s="140" t="e">
        <f ca="1">IF($BW352&lt;=Control!$C$89,$BW352,Control!$C$89-$BW352)</f>
        <v>#N/A</v>
      </c>
      <c r="BY352" s="140" t="e">
        <f ca="1">IF(AND($AJ352&gt;=30,$AJ352&lt;60),1,IF($BW352&gt;=Control!$C$89,0,$BU352))</f>
        <v>#N/A</v>
      </c>
      <c r="BZ352" s="404" t="e">
        <f ca="1">IF($BY352=0,0,IF($BW352&lt;=Control!$C$89,$BU352*(30+(60-30)*(BX352/Control!$C$89)),0))</f>
        <v>#N/A</v>
      </c>
      <c r="CA352" s="140" t="e">
        <f ca="1">IF($BG352+$BM352+$BS352+$BY352=1,0,IF(OR(AND($BB352&lt;65,$BB352&gt;=60),$BW352&gt;=Control!$C$89),1*$BA352,$CE351))</f>
        <v>#N/A</v>
      </c>
      <c r="CB352" s="140" t="e">
        <f ca="1">IF($BX352&lt;0,-$BX352,$CA352*IF(OR($G352&lt;Control!$C$92,$G352&gt;Control!$C$95),0,IF(AND($G352&gt;=Control!$C$92,$G352&lt;=Control!$C$93),$G352-Control!$C$92,IF(AND($G352&gt;Control!$C$93,$G352&lt;=Control!$C$94),Control!$C$93-Control!$C$92,IF(AND($G352&gt;Control!$C$94,$G352&lt;=Control!$C$95),(Control!$C$93-Control!$C$92)*(Control!$C$94-$G352)/(Control!$C$95-Control!$C$94))))))</f>
        <v>#N/A</v>
      </c>
      <c r="CC352" s="140" t="e">
        <f t="shared" ca="1" si="1293"/>
        <v>#N/A</v>
      </c>
      <c r="CD352" s="140" t="e">
        <f ca="1">IF($CC352&lt;=Control!$C$90,$CC352,Control!$C$90-$CC352)</f>
        <v>#N/A</v>
      </c>
      <c r="CE352" s="140" t="e">
        <f ca="1">IF(AND($BB352&gt;=60,$BB352&lt;65),1,IF($CC352&gt;=Control!$C$90,0,$CA352))</f>
        <v>#N/A</v>
      </c>
      <c r="CF352" s="404" t="e">
        <f ca="1">IF($CE352=0,0,IF($CC352&lt;=Control!$C$90,$CA352*(60+(65-60)*(CD352/Control!$C$90)),0))</f>
        <v>#N/A</v>
      </c>
      <c r="CG352" s="140" t="e">
        <f ca="1">IF($BG352+$BM352+$BS352+$BY352+$CE352=1,0,IF(OR(AND($BB352&lt;90,$BB352&gt;=65),$CC352&gt;=Control!$C$90),$BA352,$CK351))</f>
        <v>#N/A</v>
      </c>
      <c r="CH352" s="140" t="e">
        <f ca="1">IF($CD352&lt;0,-$CD352,$CG352*IF(OR($G352&lt;Control!$C$92,$G352&gt;Control!$C$95),0,IF(AND($G352&gt;=Control!$C$92,$G352&lt;=Control!$C$93),$G352-Control!$C$92,IF(AND($G352&gt;Control!$C$93,$G352&lt;=Control!$C$94),Control!$C$93-Control!$C$92,IF(AND($G352&gt;Control!$C$94,$G352&lt;=Control!$C$95),(Control!$C$93-Control!$C$92)*(Control!$C$94-$G352)/(Control!$C$95-Control!$C$94))))))</f>
        <v>#N/A</v>
      </c>
      <c r="CI352" s="140" t="e">
        <f t="shared" ca="1" si="1294"/>
        <v>#N/A</v>
      </c>
      <c r="CJ352" s="140" t="e">
        <f ca="1">IF($CI352&lt;=Control!$C$91,$CI352,Control!$C$91-$CI352)</f>
        <v>#N/A</v>
      </c>
      <c r="CK352" s="140" t="e">
        <f ca="1">IF(AND($BB352&gt;=65,$BB352&lt;90),1,IF($CI352&gt;=Control!$C$91,0,$CG352))</f>
        <v>#N/A</v>
      </c>
      <c r="CL352" s="404" t="e">
        <f ca="1">IF($CK352=0,0,IF($CI352&lt;=Control!$C$91,$CG352*(65+(90-65)*($CJ352/Control!$C$91)),0))</f>
        <v>#N/A</v>
      </c>
      <c r="CM352" s="140" t="e">
        <f ca="1">IF($BG352+$BM352+$BS352+$BY352+$CE352+$CK352=1,0,IF(OR($BB352&gt;=90,$CI352&gt;=Control!$C$91),$BA352,$CM351))</f>
        <v>#N/A</v>
      </c>
      <c r="CN352" s="140" t="e">
        <f t="shared" ca="1" si="1295"/>
        <v>#N/A</v>
      </c>
      <c r="CO352" s="140" t="e">
        <f t="shared" ca="1" si="1296"/>
        <v>#N/A</v>
      </c>
      <c r="CP352" s="140" t="e">
        <f t="shared" ca="1" si="1297"/>
        <v>#N/A</v>
      </c>
      <c r="CQ352" s="141" t="e">
        <f ca="1">VLOOKUP($CP352,Control!$B$86:$G$91,6)</f>
        <v>#N/A</v>
      </c>
      <c r="CR352" s="141" t="e">
        <f ca="1">(1-$CQ352)*VLOOKUP($CP352,Control!$B$86:$D$91,3)</f>
        <v>#N/A</v>
      </c>
      <c r="CS352" s="141" t="e">
        <f ca="1">(1-$CQ352)*VLOOKUP($CP352,Control!$B$86:$E$91,4)</f>
        <v>#N/A</v>
      </c>
      <c r="CT352" s="141" t="e">
        <f ca="1">(1-$CQ352)*VLOOKUP($CP352,Control!$B$86:$F$91,5)</f>
        <v>#N/A</v>
      </c>
      <c r="CU352" s="141">
        <f t="shared" ca="1" si="1298"/>
        <v>0</v>
      </c>
      <c r="CV352" s="583">
        <f t="shared" ca="1" si="1299"/>
        <v>0</v>
      </c>
      <c r="CW352" s="142">
        <f t="shared" ca="1" si="1300"/>
        <v>348</v>
      </c>
      <c r="CX352" s="612" t="e">
        <f ca="1">IF(Control!$C$114=1,(MIN(Control!$C$120*(IF($NT352-0.01&lt;0,0,1)),Control!$C$119-$CY352)))</f>
        <v>#DIV/0!</v>
      </c>
      <c r="CY352" s="143" t="e">
        <f t="shared" ca="1" si="1301"/>
        <v>#N/A</v>
      </c>
      <c r="CZ352" s="144">
        <f t="shared" ca="1" si="1177"/>
        <v>0</v>
      </c>
      <c r="DA352" s="144">
        <f t="shared" ca="1" si="1178"/>
        <v>0</v>
      </c>
      <c r="DB352" s="144" t="e">
        <f t="shared" ca="1" si="1179"/>
        <v>#N/A</v>
      </c>
      <c r="DC352" s="144" t="e">
        <f t="shared" ca="1" si="1180"/>
        <v>#N/A</v>
      </c>
      <c r="DD352" s="144" t="e">
        <f t="shared" ca="1" si="1386"/>
        <v>#N/A</v>
      </c>
      <c r="DE352" s="143" t="e">
        <f t="shared" ca="1" si="1302"/>
        <v>#N/A</v>
      </c>
      <c r="DF352" s="145" t="e">
        <f ca="1">$DR352*EXP(-Control!$C$158*(1-$KH352))</f>
        <v>#N/A</v>
      </c>
      <c r="DG352" s="146" t="e">
        <f ca="1">IF(Control!$C$114=1, $DF352*$EY352, 0)</f>
        <v>#N/A</v>
      </c>
      <c r="DH352" s="147" t="e">
        <f t="shared" ca="1" si="1303"/>
        <v>#N/A</v>
      </c>
      <c r="DI352" s="144" t="e">
        <f t="shared" ca="1" si="1364"/>
        <v>#N/A</v>
      </c>
      <c r="DJ352" s="147" t="e">
        <f ca="1">$EF352*Control!$C$109</f>
        <v>#N/A</v>
      </c>
      <c r="DK352" s="144" t="e">
        <f t="shared" ca="1" si="1304"/>
        <v>#N/A</v>
      </c>
      <c r="DL352" s="144" t="e">
        <f t="shared" ca="1" si="1181"/>
        <v>#N/A</v>
      </c>
      <c r="DM352" s="144" t="e">
        <f ca="1">IF(Control!$C$114=1, (1-EXP(-Control!$C$96*$DK352))*$AR352, 0)</f>
        <v>#N/A</v>
      </c>
      <c r="DN352" s="144">
        <f t="shared" ca="1" si="1305"/>
        <v>0</v>
      </c>
      <c r="DO352" s="148">
        <f>Control!$C$97</f>
        <v>4</v>
      </c>
      <c r="DP352" s="145" t="e">
        <f t="shared" ca="1" si="1306"/>
        <v>#N/A</v>
      </c>
      <c r="DQ352" s="145" t="e">
        <f ca="1">IF(AND($CP352&gt;=0,$CP352&lt;=90),Control!$C$111,Control!$C$111)</f>
        <v>#N/A</v>
      </c>
      <c r="DR352" s="145" t="e">
        <f t="shared" ca="1" si="1182"/>
        <v>#N/A</v>
      </c>
      <c r="DS352" s="143" t="e">
        <f ca="1">Control!$B$22/$DR352</f>
        <v>#N/A</v>
      </c>
      <c r="DT352" s="149" t="e">
        <f ca="1">IF(AND(Control!$C$114=1,$KH352&lt;1),$IM352*$DF352, 0)</f>
        <v>#N/A</v>
      </c>
      <c r="DU352" s="144" t="e">
        <f t="shared" ca="1" si="1307"/>
        <v>#N/A</v>
      </c>
      <c r="DV352" s="144">
        <f ca="1">IF($G352-Control!$C$107&lt;=0, 0, 0.83*LN(MAX($G352, 3))-0.8924)</f>
        <v>0</v>
      </c>
      <c r="DW352" s="144" t="e">
        <f t="shared" ca="1" si="1183"/>
        <v>#N/A</v>
      </c>
      <c r="DX352" s="150" t="e">
        <f ca="1">MAX(0.01*(1+$CU352/Control!$C$102),0.05*($DK352-Control!$C$97)/Control!$C$97)</f>
        <v>#N/A</v>
      </c>
      <c r="DY352" s="151" t="e">
        <f ca="1">IF(Control!$C$114=1, $DI352*$FS352, 0)</f>
        <v>#N/A</v>
      </c>
      <c r="DZ352" s="196" t="e">
        <f t="shared" ca="1" si="1308"/>
        <v>#N/A</v>
      </c>
      <c r="EA352" s="152">
        <f t="shared" ca="1" si="1309"/>
        <v>348</v>
      </c>
      <c r="EB352" s="153" t="e">
        <f t="shared" ca="1" si="1310"/>
        <v>#N/A</v>
      </c>
      <c r="EC352" s="153" t="e">
        <f t="shared" ca="1" si="1311"/>
        <v>#N/A</v>
      </c>
      <c r="ED352" s="154" t="e">
        <f ca="1">IF(Control!$C$114=1, $HM352*$FY352-$FD352, 0)</f>
        <v>#DIV/0!</v>
      </c>
      <c r="EE352" s="155" t="e">
        <f ca="1">IF(Control!$C$114=1, $HM352*$FZ352-$FF352, 0)</f>
        <v>#DIV/0!</v>
      </c>
      <c r="EF352" s="153" t="e">
        <f t="shared" ca="1" si="1365"/>
        <v>#N/A</v>
      </c>
      <c r="EG352" s="155" t="e">
        <f ca="1">IF(Control!$C$114=1, $GX352*$FW352-$FI352, 0)</f>
        <v>#DIV/0!</v>
      </c>
      <c r="EH352" s="153" t="e">
        <f t="shared" ca="1" si="1312"/>
        <v>#N/A</v>
      </c>
      <c r="EI352" s="156" t="e">
        <f t="shared" ca="1" si="1313"/>
        <v>#N/A</v>
      </c>
      <c r="EJ352" s="155" t="e">
        <f ca="1">IF(Control!$C$114=1, $HM352*$GB352, 0)</f>
        <v>#DIV/0!</v>
      </c>
      <c r="EK352" s="153" t="e">
        <f t="shared" ca="1" si="1366"/>
        <v>#N/A</v>
      </c>
      <c r="EL352" s="153" t="e">
        <f t="shared" ca="1" si="1184"/>
        <v>#N/A</v>
      </c>
      <c r="EM352" s="153" t="e">
        <f t="shared" ca="1" si="1185"/>
        <v>#N/A</v>
      </c>
      <c r="EN352" s="153" t="e">
        <f ca="1">IF(Control!$C$108=1,IF(AND(Control!$B$18=1,$EB352&gt;=Control!$B$19),$EB352-$DS352,IF(AND(Control!$B$18=2,$AW352=1,$EB352&gt;$DS352),$EB352-$DS352,0)))</f>
        <v>#N/A</v>
      </c>
      <c r="EO352" s="153" t="e">
        <f ca="1">IF(Control!$C$108=1,IF(AND(Control!$B$18=1,$EB352&gt;=Control!$B$19),$EF352,IF(AND(Control!$B$18=2,$AW352=1),$EF352,0)))</f>
        <v>#N/A</v>
      </c>
      <c r="EP352" s="153" t="e">
        <f ca="1">IF(Control!$C$108=1,IF(AND(Control!$B$18=1,$EB352&gt;=Control!$B$19),$EK352,IF(AND(Control!$B$18=2,$AW352=1),$EK352,0)))</f>
        <v>#N/A</v>
      </c>
      <c r="EQ352" s="153" t="e">
        <f t="shared" ca="1" si="1314"/>
        <v>#N/A</v>
      </c>
      <c r="ER352" s="153" t="e">
        <f t="shared" ca="1" si="1315"/>
        <v>#N/A</v>
      </c>
      <c r="ES352" s="153" t="e">
        <f t="shared" ca="1" si="1367"/>
        <v>#N/A</v>
      </c>
      <c r="ET352" s="153" t="e">
        <f t="shared" ca="1" si="1368"/>
        <v>#N/A</v>
      </c>
      <c r="EU352" s="153" t="e">
        <f t="shared" ca="1" si="1316"/>
        <v>#N/A</v>
      </c>
      <c r="EV352" s="153" t="e">
        <f t="shared" ca="1" si="1186"/>
        <v>#N/A</v>
      </c>
      <c r="EW352" s="153" t="e">
        <f t="shared" ca="1" si="1187"/>
        <v>#N/A</v>
      </c>
      <c r="EX352" s="153" t="e">
        <f t="shared" ca="1" si="1188"/>
        <v>#N/A</v>
      </c>
      <c r="EY352" s="157" t="e">
        <f t="shared" ca="1" si="1189"/>
        <v>#DIV/0!</v>
      </c>
      <c r="EZ352" s="154" t="e">
        <f t="shared" ca="1" si="1190"/>
        <v>#DIV/0!</v>
      </c>
      <c r="FA352" s="153" t="e">
        <f t="shared" ca="1" si="1317"/>
        <v>#N/A</v>
      </c>
      <c r="FB352" s="153" t="e">
        <f t="shared" ca="1" si="1191"/>
        <v>#N/A</v>
      </c>
      <c r="FC352" s="193" t="e">
        <f t="shared" ca="1" si="1192"/>
        <v>#N/A</v>
      </c>
      <c r="FD352" s="158" t="e">
        <f t="shared" ca="1" si="1318"/>
        <v>#N/A</v>
      </c>
      <c r="FE352" s="158" t="e">
        <f t="shared" ca="1" si="1319"/>
        <v>#N/A</v>
      </c>
      <c r="FF352" s="159" t="e">
        <f t="shared" ca="1" si="1193"/>
        <v>#N/A</v>
      </c>
      <c r="FG352" s="160" t="e">
        <f t="shared" ca="1" si="1320"/>
        <v>#N/A</v>
      </c>
      <c r="FH352" s="158" t="e">
        <f t="shared" ca="1" si="1321"/>
        <v>#N/A</v>
      </c>
      <c r="FI352" s="159" t="e">
        <f t="shared" ca="1" si="1194"/>
        <v>#N/A</v>
      </c>
      <c r="FJ352" s="160" t="e">
        <f t="shared" ca="1" si="1322"/>
        <v>#N/A</v>
      </c>
      <c r="FK352" s="160" t="e">
        <f t="shared" ca="1" si="1195"/>
        <v>#N/A</v>
      </c>
      <c r="FL352" s="160" t="e">
        <f ca="1">$FL351+$FD351</f>
        <v>#N/A</v>
      </c>
      <c r="FM352" s="160" t="e">
        <f t="shared" ca="1" si="1196"/>
        <v>#N/A</v>
      </c>
      <c r="FN352" s="158">
        <f t="shared" ca="1" si="1323"/>
        <v>0.01</v>
      </c>
      <c r="FO352" s="160">
        <f>Control!$C$101</f>
        <v>50</v>
      </c>
      <c r="FP352" s="150" t="e">
        <f t="shared" ca="1" si="1197"/>
        <v>#N/A</v>
      </c>
      <c r="FQ352" s="150" t="e">
        <f ca="1">MAX(0,(Control!$C$112*(($DK352-Control!$C$97)/Control!$C$97)))</f>
        <v>#N/A</v>
      </c>
      <c r="FR352" s="150" t="e">
        <f ca="1">(1-$NT352)*Control!$C$113</f>
        <v>#DIV/0!</v>
      </c>
      <c r="FS352" s="198" t="e">
        <f t="shared" ca="1" si="1198"/>
        <v>#N/A</v>
      </c>
      <c r="FT352" s="161">
        <f t="shared" ca="1" si="1324"/>
        <v>348</v>
      </c>
      <c r="FU352" s="162" t="e">
        <f ca="1">IF(Control!$B$34=1,VLOOKUP($CP352,Control!$B$86:$G$91,6),Control!$B$35)</f>
        <v>#N/A</v>
      </c>
      <c r="FV352" s="162" t="e">
        <f t="shared" ca="1" si="1199"/>
        <v>#DIV/0!</v>
      </c>
      <c r="FW352" s="162" t="e">
        <f ca="1">IF(Control!$B$31=1,$FU352*$FV352,  $FU352)</f>
        <v>#N/A</v>
      </c>
      <c r="FX352" s="162" t="e">
        <f ca="1">IF(Control!$B$34=1,VLOOKUP($CP352,Control!$B$86:$G$91,3),Control!$B$36)</f>
        <v>#N/A</v>
      </c>
      <c r="FY352" s="162" t="e">
        <f t="shared" ca="1" si="1200"/>
        <v>#N/A</v>
      </c>
      <c r="FZ352" s="162" t="e">
        <f ca="1">IF(Control!$B$34=1,VLOOKUP($CP352,Control!$B$86:$G$91,4),Control!$B$37)</f>
        <v>#N/A</v>
      </c>
      <c r="GA352" s="162" t="e">
        <f t="shared" ca="1" si="1201"/>
        <v>#N/A</v>
      </c>
      <c r="GB352" s="162" t="e">
        <f ca="1">IF(Control!$B$34=1,VLOOKUP($CP352,Control!$B$86:$G$91,5),Control!$B$38)</f>
        <v>#N/A</v>
      </c>
      <c r="GC352" s="162" t="e">
        <f t="shared" ca="1" si="1325"/>
        <v>#N/A</v>
      </c>
      <c r="GD352" s="162">
        <f t="shared" ca="1" si="1202"/>
        <v>1</v>
      </c>
      <c r="GE352" s="162">
        <f t="shared" ca="1" si="1203"/>
        <v>1</v>
      </c>
      <c r="GF352" s="162">
        <f ca="1">IF(AND(Control!$C$104=1, Control!$C$62="F"),$GE352,1)</f>
        <v>1</v>
      </c>
      <c r="GG352" s="162" t="e">
        <f ca="1">IF(Control!$B$16=40,0,IF(AND(Control!$B$16&gt;40,Control!$B$16&lt;=360),(Control!$B$16-40)*((1-0)/(360-40)),IF(AND(Control!$B$16&gt;360,Control!$B$16&lt;=720),(1+(Control!$B$16-360)*((1.25-1)/(720-360))),IF(AND(Control!$B$16&gt;720,Control!$B$16&lt;=1000),(1.25+(Control!$B$16-720)*((1.35-1.25)/(1000-720))),IF(AND(Control!$B$16&gt;1000,Control!$B$16&lt;=2000),(1.35+(Control!$B$16-1000)*0))))))</f>
        <v>#N/A</v>
      </c>
      <c r="GH352" s="162" t="e">
        <f t="shared" ca="1" si="1204"/>
        <v>#N/A</v>
      </c>
      <c r="GI352" s="162">
        <f t="shared" ca="1" si="1326"/>
        <v>0</v>
      </c>
      <c r="GJ352" s="162">
        <f t="shared" ca="1" si="1205"/>
        <v>0</v>
      </c>
      <c r="GK352" s="162">
        <f t="shared" ca="1" si="1327"/>
        <v>1</v>
      </c>
      <c r="GL352" s="162">
        <f t="shared" ca="1" si="1206"/>
        <v>1</v>
      </c>
      <c r="GM352" s="162" t="e">
        <f ca="1">MAX(0,MIN(1,1-Control!$C$156*(1.0001-$KH352)^2))</f>
        <v>#N/A</v>
      </c>
      <c r="GN352" s="162" t="e">
        <f ca="1">IF(Control!$B$26=1,$KU352,$KX352)</f>
        <v>#N/A</v>
      </c>
      <c r="GO352" s="162" t="e">
        <f ca="1">IF($CP352&lt;=60,Control!$C$105,IF($CP352&gt;=90,Control!$C$106,Control!$C$105+($CP352-60)*((Control!$C$106-Control!$C$105)/(90-60))))</f>
        <v>#N/A</v>
      </c>
      <c r="GP352" s="162" t="e">
        <f t="shared" ca="1" si="1207"/>
        <v>#N/A</v>
      </c>
      <c r="GQ352" s="162" t="e">
        <f t="shared" ca="1" si="1328"/>
        <v>#N/A</v>
      </c>
      <c r="GR352" s="163" t="e">
        <f t="shared" ca="1" si="1208"/>
        <v>#DIV/0!</v>
      </c>
      <c r="GS352" s="162" t="e">
        <f t="shared" ca="1" si="1209"/>
        <v>#DIV/0!</v>
      </c>
      <c r="GT352" s="164" t="e">
        <f t="shared" ca="1" si="1329"/>
        <v>#N/A</v>
      </c>
      <c r="GU352" s="162" t="e">
        <f t="shared" ca="1" si="1330"/>
        <v>#N/A</v>
      </c>
      <c r="GV352" s="162" t="e">
        <f t="shared" ca="1" si="1210"/>
        <v>#N/A</v>
      </c>
      <c r="GW352" s="162" t="e">
        <f t="shared" ca="1" si="1211"/>
        <v>#DIV/0!</v>
      </c>
      <c r="GX352" s="162" t="e">
        <f t="shared" ca="1" si="1331"/>
        <v>#DIV/0!</v>
      </c>
      <c r="GY352" s="162" t="e">
        <f t="shared" ca="1" si="1332"/>
        <v>#DIV/0!</v>
      </c>
      <c r="GZ352" s="165" t="e">
        <f t="shared" ca="1" si="1212"/>
        <v>#N/A</v>
      </c>
      <c r="HA352" s="162" t="e">
        <f ca="1">IF(Control!$C$114=1, $DI352*$FS352, 0)</f>
        <v>#N/A</v>
      </c>
      <c r="HB352" s="162" t="e">
        <f ca="1">$FA352/Control!$C$64</f>
        <v>#N/A</v>
      </c>
      <c r="HC352" s="162" t="e">
        <f t="shared" ca="1" si="1213"/>
        <v>#DIV/0!</v>
      </c>
      <c r="HD352" s="162">
        <f ca="1">-ASIN(SIN(23.45*Control!$C$139)*COS(2*Control!$C$138*($AH352+10)/365))</f>
        <v>-0.40613812278116895</v>
      </c>
      <c r="HE352" s="165">
        <f t="shared" ca="1" si="1333"/>
        <v>0</v>
      </c>
      <c r="HF352" s="166">
        <f ca="1">IF(AND(Control!$C$61="T",$HE352&gt;=Control!$C$103,Control!$C$114=0),$AH352,Control!$C$59)</f>
        <v>1</v>
      </c>
      <c r="HG352" s="166">
        <f ca="1">IF(AND(Control!$C$61="T",$HE352&gt;=Control!$C$103,Control!$C$114=0),$HF352,Control!$C$59)</f>
        <v>1</v>
      </c>
      <c r="HH352" s="165">
        <f ca="1">IF(AND(OR(Control!$C$60&lt;=0, $AH352= Control!$C$59, Control!$C$60 &gt;0, $AH352 = Control!$C$60)), Control!$C$59, IF(Control!$C$60&gt;0, 0))</f>
        <v>1</v>
      </c>
      <c r="HI352" s="165">
        <f ca="1">IF(AND(OR(Control!$C$60&lt;=0, $AH352= Control!$C$59, Control!$C$60 &gt;0, $AH352 = Control!$C$60)), Control!$C$60, IF(Control!$C$60&lt;=0, 0))</f>
        <v>0</v>
      </c>
      <c r="HJ352" s="166">
        <f ca="1">IF(AND(Control!$C$62="F",$CV352&gt;=Control!$C$102),$AH352,0)</f>
        <v>0</v>
      </c>
      <c r="HK352" s="165" t="e">
        <f t="shared" ca="1" si="1370"/>
        <v>#N/A</v>
      </c>
      <c r="HL352" s="166">
        <f ca="1">IF(AND(Control!$C$61="T",$HE352&gt;=Control!$C$103,Control!$C$114=0),$HF352,0)</f>
        <v>0</v>
      </c>
      <c r="HM352" s="201" t="e">
        <f t="shared" ca="1" si="1214"/>
        <v>#DIV/0!</v>
      </c>
      <c r="HN352" s="215">
        <f t="shared" ca="1" si="1334"/>
        <v>348</v>
      </c>
      <c r="HO352" s="216" t="e">
        <f ca="1">IF(AND($CP352&gt;=0, $CP352&lt;=90), Control!$C$152, Control!$C$152)</f>
        <v>#N/A</v>
      </c>
      <c r="HP352" s="216" t="e">
        <f t="shared" ca="1" si="1215"/>
        <v>#N/A</v>
      </c>
      <c r="HQ352" s="217" t="e">
        <f ca="1">IF(OR(Control!$B$26=1,Control!$B$26=2),$KV352,$KS352)</f>
        <v>#DIV/0!</v>
      </c>
      <c r="HR352" s="218" t="e">
        <f t="shared" ca="1" si="1371"/>
        <v>#DIV/0!</v>
      </c>
      <c r="HS352" s="216" t="e">
        <f ca="1">Control!$C$154*$HP352</f>
        <v>#N/A</v>
      </c>
      <c r="HT352" s="216" t="e">
        <f ca="1">Control!$C$155*$HP352</f>
        <v>#N/A</v>
      </c>
      <c r="HU352" s="217" t="e">
        <f ca="1">Control!$C$161*$FI352</f>
        <v>#N/A</v>
      </c>
      <c r="HV352" s="218" t="e">
        <f t="shared" ca="1" si="1335"/>
        <v>#N/A</v>
      </c>
      <c r="HW352" s="218" t="e">
        <f ca="1">Control!$C$160*$FF352+$IP352*$EO352</f>
        <v>#N/A</v>
      </c>
      <c r="HX352" s="218" t="e">
        <f t="shared" ca="1" si="1372"/>
        <v>#N/A</v>
      </c>
      <c r="HY352" s="219" t="e">
        <f ca="1">IF(Control!$C$114=1, $EB352*$FS352, 0)</f>
        <v>#N/A</v>
      </c>
      <c r="HZ352" s="91" t="e">
        <f t="shared" ca="1" si="1216"/>
        <v>#N/A</v>
      </c>
      <c r="IA352" s="220" t="e">
        <f ca="1">Control!$C$153*$HO352</f>
        <v>#N/A</v>
      </c>
      <c r="IB352" s="218" t="e">
        <f t="shared" ca="1" si="1217"/>
        <v>#N/A</v>
      </c>
      <c r="IC352" s="220" t="e">
        <f ca="1">Control!$C$153*$HT352</f>
        <v>#N/A</v>
      </c>
      <c r="ID352" s="218" t="e">
        <f t="shared" ca="1" si="1218"/>
        <v>#N/A</v>
      </c>
      <c r="IE352" s="221" t="e">
        <f ca="1">($EB352*Control!$C$159+$EF352*Control!$C$160)/(IF($GZ352&lt;&gt;0,$GZ352,1))</f>
        <v>#N/A</v>
      </c>
      <c r="IF352" s="216" t="e">
        <f t="shared" ca="1" si="1219"/>
        <v>#N/A</v>
      </c>
      <c r="IG352" s="91">
        <f ca="1">IF(OR(Control!$B$198=$AH352,Control!$B$199=$AH352, Control!$B$200=$AH352, Control!$B$201=$AH352, Control!$B$202=$AH352, Control!$B$203=$AH352, Control!$B$204=$AH352, Control!$B$205=$AH352, Control!$B$206=$AH352, Control!$B$207=$AH352), 1, 0)</f>
        <v>0</v>
      </c>
      <c r="IH352" s="91">
        <f ca="1">IF($IG352=0,0, VLOOKUP($AH352,Control!$B$198:$C$207,2))</f>
        <v>0</v>
      </c>
      <c r="II352" s="222">
        <f t="shared" ca="1" si="1336"/>
        <v>0</v>
      </c>
      <c r="IJ352" s="91">
        <f>Control!$C$121</f>
        <v>0.7</v>
      </c>
      <c r="IK352" s="218">
        <f t="shared" ca="1" si="1220"/>
        <v>0</v>
      </c>
      <c r="IL352" s="217" t="e">
        <f t="shared" ca="1" si="1373"/>
        <v>#N/A</v>
      </c>
      <c r="IM352" s="223" t="e">
        <f ca="1">IF(AND(Control!$C$114=1,$KH352&lt;1),$EB352*Control!$C$148*(1-$KH352), 0)</f>
        <v>#N/A</v>
      </c>
      <c r="IN352" s="217" t="e">
        <f t="shared" ca="1" si="1221"/>
        <v>#DIV/0!</v>
      </c>
      <c r="IO352" s="91" t="e">
        <f ca="1">MAX(0,$IL352-$EF352*Control!$C$160)</f>
        <v>#N/A</v>
      </c>
      <c r="IP352" s="220" t="e">
        <f t="shared" ca="1" si="1222"/>
        <v>#N/A</v>
      </c>
      <c r="IQ352" s="217" t="e">
        <f t="shared" ca="1" si="1337"/>
        <v>#N/A</v>
      </c>
      <c r="IR352" s="218" t="e">
        <f t="shared" ca="1" si="1223"/>
        <v>#N/A</v>
      </c>
      <c r="IS352" s="217" t="e">
        <f ca="1">Control!$C$159*MAX(0,$FD352-$EN352)</f>
        <v>#N/A</v>
      </c>
      <c r="IT352" s="217" t="e">
        <f t="shared" ca="1" si="1374"/>
        <v>#N/A</v>
      </c>
      <c r="IU352" s="217" t="e">
        <f t="shared" ca="1" si="1338"/>
        <v>#N/A</v>
      </c>
      <c r="IV352" s="217" t="e">
        <f t="shared" ca="1" si="1375"/>
        <v>#N/A</v>
      </c>
      <c r="IW352" s="217" t="e">
        <f ca="1">IF(OR($AW352=1,AND($AW352=0, Control!$B$18=1,$EN352&lt;&gt;0)), $IQ352-$IU352, $IQ352)</f>
        <v>#N/A</v>
      </c>
      <c r="IX352" s="218" t="e">
        <f t="shared" ca="1" si="1224"/>
        <v>#N/A</v>
      </c>
      <c r="IY352" s="218" t="e">
        <f ca="1">MAX(0,$IQ352-$EB352*Control!$C$159)</f>
        <v>#N/A</v>
      </c>
      <c r="IZ352" s="218" t="e">
        <f t="shared" ca="1" si="1225"/>
        <v>#N/A</v>
      </c>
      <c r="JA352" s="216" t="e">
        <f t="shared" ca="1" si="1226"/>
        <v>#N/A</v>
      </c>
      <c r="JB352" s="217" t="e">
        <f t="shared" ca="1" si="1227"/>
        <v>#N/A</v>
      </c>
      <c r="JC352" s="222" t="e">
        <f ca="1">MAX(Control!$C$157*$EK352-$JT352, 0)/Control!$C$162</f>
        <v>#N/A</v>
      </c>
      <c r="JD352" s="218" t="e">
        <f t="shared" ca="1" si="1228"/>
        <v>#N/A</v>
      </c>
      <c r="JE352" s="218" t="e">
        <f t="shared" ca="1" si="1229"/>
        <v>#N/A</v>
      </c>
      <c r="JF352" s="218" t="e">
        <f t="shared" ca="1" si="1339"/>
        <v>#N/A</v>
      </c>
      <c r="JG352" s="218" t="e">
        <f t="shared" ca="1" si="1230"/>
        <v>#N/A</v>
      </c>
      <c r="JH352" s="217" t="e">
        <f t="shared" ca="1" si="1340"/>
        <v>#N/A</v>
      </c>
      <c r="JI352" s="217" t="e">
        <f t="shared" ca="1" si="1341"/>
        <v>#N/A</v>
      </c>
      <c r="JJ352" s="217" t="e">
        <f t="shared" ca="1" si="1376"/>
        <v>#N/A</v>
      </c>
      <c r="JK352" s="217" t="e">
        <f ca="1">IF(Control!$C$114=1,IF(Control!$B$24=0,MAX(0,$JI352)*$GN352/Control!$C$64,(MAX(0,MIN($JI352,$JJ352*$GN352/Control!$C$64),0))))</f>
        <v>#N/A</v>
      </c>
      <c r="JL352" s="217" t="e">
        <f ca="1">$IK352/Control!$C$64-$JK352+$HQ352</f>
        <v>#N/A</v>
      </c>
      <c r="JM352" s="217" t="e">
        <f ca="1">IF(Control!$C$114=1,($JB352/(IF($JI352&lt;&gt;0,$JI352,1)))*$JK352,0)</f>
        <v>#N/A</v>
      </c>
      <c r="JN352" s="217" t="e">
        <f ca="1">IF(Control!$C$114=1,($JG352/(IF($JI352&lt;&gt;0,$JI352,1)))*$JK352, 0)</f>
        <v>#N/A</v>
      </c>
      <c r="JO352" s="218" t="e">
        <f t="shared" ca="1" si="1231"/>
        <v>#N/A</v>
      </c>
      <c r="JP352" s="218" t="e">
        <f ca="1">MIN(($IY352+$IO352)*Control!$C$151, $JF352-$EH352*Control!$C$161)</f>
        <v>#N/A</v>
      </c>
      <c r="JQ352" s="218" t="e">
        <f t="shared" ca="1" si="1232"/>
        <v>#N/A</v>
      </c>
      <c r="JR352" s="217" t="e">
        <f ca="1">IF($CP352-Control!$C$150&lt;0, 0, $JQ352/Control!$C$162)</f>
        <v>#N/A</v>
      </c>
      <c r="JS352" s="218" t="e">
        <f t="shared" ca="1" si="1233"/>
        <v>#N/A</v>
      </c>
      <c r="JT352" s="218" t="e">
        <f t="shared" ca="1" si="1342"/>
        <v>#N/A</v>
      </c>
      <c r="JU352" s="218" t="e">
        <f t="shared" ca="1" si="1234"/>
        <v>#N/A</v>
      </c>
      <c r="JV352" s="218" t="e">
        <f t="shared" ca="1" si="1235"/>
        <v>#N/A</v>
      </c>
      <c r="JW352" s="216" t="e">
        <f t="shared" ca="1" si="1236"/>
        <v>#N/A</v>
      </c>
      <c r="JX352" s="91" t="e">
        <f t="shared" ca="1" si="1237"/>
        <v>#N/A</v>
      </c>
      <c r="JY352" s="218" t="e">
        <f t="shared" ca="1" si="1238"/>
        <v>#N/A</v>
      </c>
      <c r="JZ352" s="217" t="e">
        <f ca="1">IF(Control!$C$114=1,($IZ352/(IF($JI352&lt;&gt;0,$JI352,1)))*$JK352, 0)</f>
        <v>#N/A</v>
      </c>
      <c r="KA352" s="218" t="e">
        <f t="shared" ca="1" si="1377"/>
        <v>#N/A</v>
      </c>
      <c r="KB352" s="218" t="e">
        <f t="shared" ca="1" si="1343"/>
        <v>#N/A</v>
      </c>
      <c r="KC352" s="218" t="e">
        <f t="shared" ca="1" si="1239"/>
        <v>#N/A</v>
      </c>
      <c r="KD352" s="218" t="e">
        <f t="shared" ca="1" si="1240"/>
        <v>#N/A</v>
      </c>
      <c r="KE352" s="218" t="e">
        <f t="shared" ca="1" si="1241"/>
        <v>#N/A</v>
      </c>
      <c r="KF352" s="218" t="e">
        <f t="shared" ca="1" si="1242"/>
        <v>#N/A</v>
      </c>
      <c r="KG352" s="216" t="e">
        <f t="shared" ca="1" si="1243"/>
        <v>#N/A</v>
      </c>
      <c r="KH352" s="221" t="e">
        <f ca="1">IF(Control!$B$24=0,1,MAX(0.001,MIN(1,IF(($IF352-$IE352)&lt;&gt;0,($KG352-$IE352)/($IF352-$IE352),1))))</f>
        <v>#N/A</v>
      </c>
      <c r="KI352" s="222" t="e">
        <f ca="1">IF(Control!$C$114=1, $KI351+ $KH351, 0)</f>
        <v>#N/A</v>
      </c>
      <c r="KJ352" s="217" t="e">
        <f t="shared" ca="1" si="1244"/>
        <v>#N/A</v>
      </c>
      <c r="KK352" s="218" t="e">
        <f t="shared" ca="1" si="1245"/>
        <v>#N/A</v>
      </c>
      <c r="KL352" s="274" t="e">
        <f ca="1">IF(Control!$B$26=3,4000000000*EXP(-8400/($G352+273)),IF(Control!$B$26=4,4000000000*EXP(-8400/($G352+273))*($KT352),0))</f>
        <v>#DIV/0!</v>
      </c>
      <c r="KM352" s="274" t="e">
        <f ca="1">IF(Control!$B$26=3,5600000000000*EXP(-9800/($G352+273)),IF(Control!$B$26=4,5600000000000*EXP(-9800/($G352+273))*$KT352,0))</f>
        <v>#DIV/0!</v>
      </c>
      <c r="KN352" s="454" t="e">
        <f t="shared" ca="1" si="1344"/>
        <v>#DIV/0!</v>
      </c>
      <c r="KO352" s="274" t="e">
        <f t="shared" ca="1" si="1345"/>
        <v>#DIV/0!</v>
      </c>
      <c r="KP352" s="454" t="e">
        <f t="shared" ca="1" si="1246"/>
        <v>#DIV/0!</v>
      </c>
      <c r="KQ352" s="454" t="e">
        <f t="shared" ca="1" si="1247"/>
        <v>#DIV/0!</v>
      </c>
      <c r="KR352" s="454" t="e">
        <f t="shared" ca="1" si="1248"/>
        <v>#DIV/0!</v>
      </c>
      <c r="KS352" s="454" t="e">
        <f t="shared" ca="1" si="1249"/>
        <v>#DIV/0!</v>
      </c>
      <c r="KT352" s="455" t="e">
        <f t="shared" ca="1" si="1250"/>
        <v>#DIV/0!</v>
      </c>
      <c r="KU352" s="456" t="e">
        <f ca="1">IF($CP352-Control!$C$149&lt;0, IF($NT352-0.01&lt;0,0,1),0)</f>
        <v>#N/A</v>
      </c>
      <c r="KV352" s="456" t="e">
        <f ca="1">IF(Control!$C$114=1,MAX(0,MIN(Control!$C$125*$KW352*$GN352,$KW352)))</f>
        <v>#DIV/0!</v>
      </c>
      <c r="KW352" s="456" t="e">
        <f t="shared" ca="1" si="1378"/>
        <v>#DIV/0!</v>
      </c>
      <c r="KX352" s="457" t="e">
        <f ca="1">IF($CP352-Control!$C$149&lt;0, IF($MR352-$OM352&lt;0,0,1),0)</f>
        <v>#N/A</v>
      </c>
      <c r="KY352" s="167">
        <f t="shared" ca="1" si="1346"/>
        <v>348</v>
      </c>
      <c r="KZ352" s="168">
        <f ca="1">1370*(1+0.033*COS(2*Control!$C$138*$AH352/365))</f>
        <v>1413.2880880641787</v>
      </c>
      <c r="LA352" s="169">
        <f t="shared" ca="1" si="1347"/>
        <v>1.0315970112157162</v>
      </c>
      <c r="LB352" s="169">
        <f t="shared" ca="1" si="1348"/>
        <v>-0.40644450469383236</v>
      </c>
      <c r="LC352" s="169">
        <f ca="1">ACOS(-TAN((2*Control!$B$8/360))*TAN(Calculations!$LB352))</f>
        <v>1.4425254995606085</v>
      </c>
      <c r="LD352" s="169">
        <f ca="1">((24*60)/PI())*0.082*$LA352*(($LC352*SIN(Control!$B$8*2*PI()/360))*SIN($LB352)+COS(Control!$B$8*2*PI()/360)*COS($LB352)*SIN($LC352))</f>
        <v>4.3216768204051927</v>
      </c>
      <c r="LE352" s="170">
        <f t="shared" ca="1" si="1251"/>
        <v>6.0409578042816223</v>
      </c>
      <c r="LF352" s="170">
        <f ca="1">SIN(Control!$C$139*Control!$B$8)*SIN($HD352)</f>
        <v>-0.31131563495433273</v>
      </c>
      <c r="LG352" s="170">
        <f ca="1">COS(Control!$C$139*Control!$B$8)*COS($HD352)</f>
        <v>0.5655779467452835</v>
      </c>
      <c r="LH352" s="170">
        <f ca="1">12*(1+2*ASIN(MAX(-1,MIN(1,$LF352/$LG352))/Control!$C$138))</f>
        <v>7.7731553793775472</v>
      </c>
      <c r="LI352" s="170">
        <f ca="1">12*(1+2*ASIN(MAX(-1,MIN(1,(-SIN(-4*Control!$C$139)+$LF352)/$LG352))/Control!$C$138))</f>
        <v>8.7270597936099001</v>
      </c>
      <c r="LJ352" s="168">
        <f ca="1">3600*($LH352*$LF352+24*$LG352*SQRT(1-$LK352*$LK352)/Control!$C$138)</f>
        <v>4274.399434411207</v>
      </c>
      <c r="LK352" s="170">
        <f t="shared" ca="1" si="1252"/>
        <v>-0.55043807267566325</v>
      </c>
      <c r="LL352" s="170">
        <f t="shared" ca="1" si="1253"/>
        <v>0</v>
      </c>
      <c r="LM352" s="171">
        <f ca="1">Control!$C$145*$AB352</f>
        <v>6.6660906138995932E-2</v>
      </c>
      <c r="LN352" s="170">
        <f t="shared" ca="1" si="1349"/>
        <v>0.54</v>
      </c>
      <c r="LO352" s="170">
        <f t="shared" ca="1" si="1254"/>
        <v>0</v>
      </c>
      <c r="LP352" s="170">
        <f ca="1">Control!$C$140*((($D352+273.16)^4+($E352+273.16)^4)/2)*(0.34-0.14*SQRT($Y352))*(1.35*$AQ352/(0.75*$LD352)-0.35)</f>
        <v>-3.2464704755046001</v>
      </c>
      <c r="LQ352" s="170">
        <f ca="1">Control!$C$140*($G352+273)^4*(0.56-0.079*SQRT($Y352*10))*(0.1+0.9*$LO352)</f>
        <v>1.5241745131704001</v>
      </c>
      <c r="LR352" s="170">
        <f ca="1">$AQ352*(1-Control!$C$142)-$LQ352</f>
        <v>-1.5241745131704001</v>
      </c>
      <c r="LS352" s="170">
        <f ca="1">$AQ352*(1-Control!$C$143)-$LQ352</f>
        <v>-1.5241745131704001</v>
      </c>
      <c r="LT352" s="170">
        <f ca="1">$AQ352*(1-Control!$C$144)-$LQ352</f>
        <v>-1.5241745131704001</v>
      </c>
      <c r="LU352" s="169">
        <f ca="1">(1-Control!$C$144)*AQ352-LP352</f>
        <v>3.2464704755046001</v>
      </c>
      <c r="LV352" s="172">
        <f t="shared" ca="1" si="1255"/>
        <v>0.79430000000000012</v>
      </c>
      <c r="LW352" s="170">
        <f t="shared" ca="1" si="1256"/>
        <v>1.5886000000000002</v>
      </c>
      <c r="LX352" s="170">
        <f ca="1">($AC352*($LR352/Control!$C$141)+$LM352*$LV352)/($AC352+$LM352)</f>
        <v>0.23530094218323697</v>
      </c>
      <c r="LY352" s="170">
        <f ca="1">($AC352*($LS352/Control!$C$141)+$LM352*$LV352)/($AC352+$LM352)</f>
        <v>0.23530094218323697</v>
      </c>
      <c r="LZ352" s="170">
        <f t="shared" ca="1" si="1257"/>
        <v>0.23530094218323697</v>
      </c>
      <c r="MA352" s="170">
        <f t="shared" ca="1" si="1258"/>
        <v>0.23530094218323697</v>
      </c>
      <c r="MB352" s="170" t="e">
        <f t="shared" ca="1" si="1259"/>
        <v>#N/A</v>
      </c>
      <c r="MC352" s="170">
        <f t="shared" ca="1" si="1350"/>
        <v>0.6018</v>
      </c>
      <c r="MD352" s="170">
        <f t="shared" ca="1" si="1260"/>
        <v>0.52989392535414004</v>
      </c>
      <c r="ME352" s="170">
        <f ca="1">($AC352*($LT352/Control!$C$141)+$LM352*$LW352)/($AC352+$LM352)</f>
        <v>0.71612369323045078</v>
      </c>
      <c r="MF352" s="170" t="e">
        <f ca="1">IF(Control!$B$16&gt;=1000,0.92,IF(AND(720&lt;=Control!$B$16,1000&gt;Control!$B$16),(0.95+(Control!$B$16-720)*((0.92-0.95)/(1000-720))),IF(AND(360&lt;=Control!$B$16,720&gt;Control!$B$16),(1+(Control!$B$16-360)*((0.95-1)/(720-360))),IF(AND(40&lt;=Control!$B$16,360&gt;Control!$B$16),(1.05+(Control!$B$16-40)*((1.05-1)/(360-40)))))))</f>
        <v>#N/A</v>
      </c>
      <c r="MG352" s="170">
        <f t="shared" ca="1" si="1261"/>
        <v>0.71612369323045078</v>
      </c>
      <c r="MH352" s="170" t="e">
        <f t="shared" ca="1" si="1387"/>
        <v>#N/A</v>
      </c>
      <c r="MI352" s="170" t="e">
        <f t="shared" ca="1" si="1387"/>
        <v>#N/A</v>
      </c>
      <c r="MJ352" s="170" t="e">
        <f ca="1">MAX(0.0001, Control!$C$132*$MI352*$DL352)</f>
        <v>#N/A</v>
      </c>
      <c r="MK352" s="170">
        <f ca="1">1/(0.76+1.5*($MG352/10))-(5-Control!$C$110)*0.1</f>
        <v>1.002845988140797</v>
      </c>
      <c r="ML352" s="173">
        <f ca="1">IF(Control!$C$110&lt;3,$MK352+($MG352-0.6)/(Control!$C$110*(Control!$C$110+3)), MAX(0.1, MIN(0.95,$MK352)))</f>
        <v>0.95</v>
      </c>
      <c r="MM352" s="173">
        <f ca="1">IF(Control!$C$110&lt;3,$MK352+(($MI352/10)-0.6)/(Control!$C$110*(Control!$C$110+3)), MAX(0.1, MIN(0.95,$MK352)))</f>
        <v>0.95</v>
      </c>
      <c r="MN352" s="173">
        <f ca="1">(1-$MM352)*(Control!$C$128-Control!$C$127)+Control!$C$127</f>
        <v>0.16</v>
      </c>
      <c r="MO352" s="170" t="e">
        <f ca="1">MAX(0,MIN(1,($MS352-Control!$C$127)/($MN352-Control!$C$127)))</f>
        <v>#DIV/0!</v>
      </c>
      <c r="MP352" s="173" t="e">
        <f ca="1">1/(0.76+1.5*$MI352)-(5-Control!$C$110)*0.1</f>
        <v>#N/A</v>
      </c>
      <c r="MQ352" s="172" t="e">
        <f t="shared" ca="1" si="1379"/>
        <v>#DIV/0!</v>
      </c>
      <c r="MR352" s="168" t="e">
        <f t="shared" ca="1" si="1351"/>
        <v>#DIV/0!</v>
      </c>
      <c r="MS352" s="173" t="e">
        <f ca="1">MAX(Control!$C$127, MIN(Control!$C$135, $MR352/MAX(0.0001,$CY352)))</f>
        <v>#DIV/0!</v>
      </c>
      <c r="MT352" s="168" t="e">
        <f ca="1">(Control!$C$128-$MS352)*Control!$C$74</f>
        <v>#DIV/0!</v>
      </c>
      <c r="MU352" s="168" t="e">
        <f ca="1">(Control!$C$135-$MS352)*Control!$C$74</f>
        <v>#DIV/0!</v>
      </c>
      <c r="MV352" s="168" t="e">
        <f t="shared" ca="1" si="1352"/>
        <v>#DIV/0!</v>
      </c>
      <c r="MW352" s="168" t="e">
        <f t="shared" ca="1" si="1353"/>
        <v>#DIV/0!</v>
      </c>
      <c r="MX352" s="171" t="e">
        <f ca="1">MAX(Control!$C$127, MIN(Control!$C$135, $MW352/MAX(0.0001,Control!$C$119-$CY352)))</f>
        <v>#DIV/0!</v>
      </c>
      <c r="MY352" s="54" t="e">
        <f ca="1">IF(Control!$C$114=1, $CX352*$MX352, 0)</f>
        <v>#DIV/0!</v>
      </c>
      <c r="MZ352" s="54" t="e">
        <f t="shared" ca="1" si="1354"/>
        <v>#N/A</v>
      </c>
      <c r="NA352" s="168" t="e">
        <f ca="1">(Control!$C$128-$MX352)*(Control!$C$119-Control!$C$74)</f>
        <v>#DIV/0!</v>
      </c>
      <c r="NB352" s="168" t="e">
        <f ca="1">(Control!$C$135-$MX352)*(Control!$C$119-Control!$C$74)</f>
        <v>#DIV/0!</v>
      </c>
      <c r="NC352" s="174" t="e">
        <f t="shared" ca="1" si="1355"/>
        <v>#DIV/0!</v>
      </c>
      <c r="ND352" s="54">
        <f ca="1">IF(Control!$C$58=2, IF(OR(Control!$B$218=$AH352,Control!$B$219=$AH352, Control!$B$220=$AH352, Control!$B$221=$AH352, Control!$B$222=$AH352, Control!$B$223=$AH352, Control!$B$224=$AH352, Control!$B$225=$AH352, Control!$B$226=$AH352, Control!$B$227=$AH352, Control!$B$228=$AH352), 1, 0), 0)</f>
        <v>0</v>
      </c>
      <c r="NE352" s="54">
        <f ca="1">IF($ND352=0,0, VLOOKUP($AH352,Control!$B$218:$C$228,2))</f>
        <v>0</v>
      </c>
      <c r="NF352" s="168" t="e">
        <f ca="1">$CY352*(Control!$C$128-Control!$C$127)</f>
        <v>#N/A</v>
      </c>
      <c r="NG352" s="54" t="e">
        <f ca="1">IF(Control!$C$58=2, $NI351-$NJ351, 0)</f>
        <v>#DIV/0!</v>
      </c>
      <c r="NH352" s="54" t="e">
        <f ca="1">IF(AND(Control!$C$58=1, $MS351&lt;= ($MN351+0.02), $I351&lt;10), 0, IF(Control!$C$58=2, $NG351, 0))</f>
        <v>#DIV/0!</v>
      </c>
      <c r="NI352" s="54" t="e">
        <f ca="1">IF(Control!$C$58=2, $NE352+$NH352,0)</f>
        <v>#DIV/0!</v>
      </c>
      <c r="NJ352" s="54" t="e">
        <f ca="1">IF(AND(Control!$C$58=1, $MS352&lt;= ($MN352+0.02), $I352&lt;10), MAX(0, MIN(10, 0.7*($NF352-$MV352))), IF(Control!$C$58=2, MIN(10,$NI352),0))</f>
        <v>#DIV/0!</v>
      </c>
      <c r="NK352" s="54" t="e">
        <f t="shared" ca="1" si="1263"/>
        <v>#DIV/0!</v>
      </c>
      <c r="NL352" s="173" t="e">
        <f ca="1">(1-Control!$C$73)*$I352+$NJ352</f>
        <v>#DIV/0!</v>
      </c>
      <c r="NM352" s="172" t="e">
        <f ca="1">IF($NL352&lt;0.5, $MB352* MAX(0, MIN(1, (SQRT($NC352)-SQRT($NC352-1))*Control!$C$71)),0)</f>
        <v>#DIV/0!</v>
      </c>
      <c r="NN352" s="170" t="e">
        <f ca="1">IF($NL352&gt;=5, $MB352, MAX(0,MIN($MB352, $NM352+$NL352,($MS352-Control!$C$129))))</f>
        <v>#DIV/0!</v>
      </c>
      <c r="NO352" s="54">
        <f>IF(Control!$C$133&lt;&gt;1, Control!$C$135-Control!$C$131, 0)</f>
        <v>0.38</v>
      </c>
      <c r="NP352" s="54" t="e">
        <f t="shared" ca="1" si="1264"/>
        <v>#DIV/0!</v>
      </c>
      <c r="NQ352" s="173" t="e">
        <f ca="1">MAX(0,MIN(1,(Control!$C$135-$MS352)/(Control!$C$135-$NO352)))</f>
        <v>#DIV/0!</v>
      </c>
      <c r="NR352" s="170" t="e">
        <f ca="1">IF(Control!$C$133&lt;&gt;1, $NQ352+((1-$NP352/4)*(1-$NQ352)),1)</f>
        <v>#DIV/0!</v>
      </c>
      <c r="NS352" s="170" t="e">
        <f ca="1">IF(Control!$B$31=0,$MJ352,MAX(0,MIN($MV352,$MO352*$NR352*$MJ352)))</f>
        <v>#DIV/0!</v>
      </c>
      <c r="NT352" s="170" t="e">
        <f t="shared" ca="1" si="1380"/>
        <v>#DIV/0!</v>
      </c>
      <c r="NU352" s="170" t="e">
        <f t="shared" ca="1" si="1356"/>
        <v>#N/A</v>
      </c>
      <c r="NV352" s="170" t="e">
        <f t="shared" ca="1" si="1265"/>
        <v>#N/A</v>
      </c>
      <c r="NW352" s="175" t="e">
        <f t="shared" ca="1" si="1266"/>
        <v>#DIV/0!</v>
      </c>
      <c r="NX352" s="170" t="e">
        <f ca="1">MIN(Control!$C$72+$MU352, $NW352)</f>
        <v>#DIV/0!</v>
      </c>
      <c r="NY352" s="170" t="e">
        <f ca="1">IF($MT352&lt;=$NX352,MIN(Control!$C$72+$NB352,$NX352-$MT352),0)</f>
        <v>#DIV/0!</v>
      </c>
      <c r="NZ352" s="54" t="e">
        <f ca="1">IF(Control!$C$114=1,  $CX352*($MX352-Control!$C$127), 0)</f>
        <v>#DIV/0!</v>
      </c>
      <c r="OA352" s="170" t="e">
        <f t="shared" ca="1" si="1267"/>
        <v>#DIV/0!</v>
      </c>
      <c r="OB352" s="170" t="e">
        <f ca="1">IF($NA352 &lt;=$NY352, MIN(Control!$C$72, $NY352-$NA352), 0)</f>
        <v>#DIV/0!</v>
      </c>
      <c r="OC352" s="168" t="e">
        <f t="shared" ca="1" si="1268"/>
        <v>#DIV/0!</v>
      </c>
      <c r="OD352" s="168" t="e">
        <f t="shared" ca="1" si="1357"/>
        <v>#DIV/0!</v>
      </c>
      <c r="OE352" s="170">
        <f ca="1">Control!$C$73*$I352</f>
        <v>0</v>
      </c>
      <c r="OF352" s="176" t="e">
        <f t="shared" ca="1" si="1269"/>
        <v>#DIV/0!</v>
      </c>
      <c r="OG352" s="168" t="e">
        <f t="shared" ca="1" si="1270"/>
        <v>#DIV/0!</v>
      </c>
      <c r="OH352" s="168" t="e">
        <f t="shared" ca="1" si="1271"/>
        <v>#DIV/0!</v>
      </c>
      <c r="OI352" s="168" t="e">
        <f t="shared" ca="1" si="1272"/>
        <v>#DIV/0!</v>
      </c>
      <c r="OJ352" s="168" t="e">
        <f t="shared" ca="1" si="1273"/>
        <v>#DIV/0!</v>
      </c>
      <c r="OK352" s="204" t="e">
        <f t="shared" ca="1" si="1274"/>
        <v>#DIV/0!</v>
      </c>
      <c r="OL352" s="177">
        <f>Control!$C$127</f>
        <v>0.15</v>
      </c>
      <c r="OM352" s="182" t="e">
        <f t="shared" ca="1" si="1275"/>
        <v>#N/A</v>
      </c>
      <c r="ON352" s="177">
        <f>Control!$C$128</f>
        <v>0.35</v>
      </c>
      <c r="OO352" s="182" t="e">
        <f t="shared" ca="1" si="1276"/>
        <v>#N/A</v>
      </c>
      <c r="OP352" s="138">
        <f t="shared" ca="1" si="1358"/>
        <v>0</v>
      </c>
      <c r="OQ352" s="138" t="e">
        <f t="shared" ca="1" si="1381"/>
        <v>#DIV/0!</v>
      </c>
      <c r="OR352" s="138" t="e">
        <f t="shared" ca="1" si="1359"/>
        <v>#DIV/0!</v>
      </c>
      <c r="OS352" s="137" t="e">
        <f t="shared" ca="1" si="1382"/>
        <v>#DIV/0!</v>
      </c>
      <c r="OT352" s="139" t="e">
        <f t="shared" ca="1" si="1383"/>
        <v>#DIV/0!</v>
      </c>
      <c r="OU352" s="138" t="e">
        <f t="shared" ca="1" si="1384"/>
        <v>#N/A</v>
      </c>
      <c r="OV352" s="138" t="e">
        <f t="shared" ca="1" si="1385"/>
        <v>#DIV/0!</v>
      </c>
      <c r="OW352" s="138" t="e">
        <f t="shared" ca="1" si="1360"/>
        <v>#DIV/0!</v>
      </c>
      <c r="OX352" s="138" t="e">
        <f t="shared" ca="1" si="1361"/>
        <v>#DIV/0!</v>
      </c>
      <c r="OY352" s="138" t="e">
        <f t="shared" ca="1" si="1362"/>
        <v>#DIV/0!</v>
      </c>
      <c r="OZ352" s="138" t="e">
        <f t="shared" ca="1" si="1277"/>
        <v>#DIV/0!</v>
      </c>
      <c r="PA352" s="138" t="e">
        <f t="shared" ca="1" si="1278"/>
        <v>#DIV/0!</v>
      </c>
      <c r="PB352" s="55">
        <f>IF(Control!$C$61="T", IF(Control!$C$65="F", IF($AH$6-Control!$C$60&lt;0,0,1), IF(365+$AH$6-Control!$C$60&lt;0,0,1)),0)</f>
        <v>0</v>
      </c>
      <c r="PC352" s="55">
        <f ca="1">IF(Control!$C$65="F", IF($AH$6-$HF352&lt;0,0,1), IF(365+$AH$6-$HF352&lt;0,0,1))</f>
        <v>1</v>
      </c>
      <c r="PD352" s="444">
        <f>Control!$C$118</f>
        <v>1500</v>
      </c>
      <c r="PE352" s="180" t="e">
        <f t="shared" ca="1" si="1279"/>
        <v>#N/A</v>
      </c>
      <c r="PF352" s="445">
        <f t="shared" ca="1" si="1363"/>
        <v>0.71612369323045078</v>
      </c>
      <c r="PT352" s="186"/>
      <c r="PU352" s="186"/>
      <c r="PV352" s="94"/>
      <c r="PW352" s="94"/>
      <c r="PX352" s="94"/>
      <c r="PY352" s="94"/>
      <c r="PZ352" s="94"/>
      <c r="QA352" s="94"/>
      <c r="QB352" s="94"/>
      <c r="QC352" s="94"/>
      <c r="QD352" s="94"/>
      <c r="QE352" s="94"/>
      <c r="QF352" s="94"/>
      <c r="QG352" s="94"/>
      <c r="QH352" s="94"/>
      <c r="QI352" s="94"/>
      <c r="QJ352" s="94"/>
      <c r="QK352" s="94"/>
      <c r="QL352" s="94"/>
      <c r="QM352" s="94"/>
      <c r="QN352" s="94"/>
      <c r="QO352" s="94"/>
      <c r="QP352" s="94"/>
    </row>
    <row r="353" spans="1:458" s="2" customFormat="1" x14ac:dyDescent="0.2">
      <c r="A353" s="395">
        <v>14</v>
      </c>
      <c r="B353" s="396">
        <v>12</v>
      </c>
      <c r="C353" s="387">
        <f ca="1">Weather_data!$B352</f>
        <v>0</v>
      </c>
      <c r="D353" s="388">
        <f ca="1">Weather_data!$F352</f>
        <v>0</v>
      </c>
      <c r="E353" s="388">
        <f ca="1">Weather_data!$E352</f>
        <v>0</v>
      </c>
      <c r="F353" s="388">
        <f t="shared" ca="1" si="1280"/>
        <v>0</v>
      </c>
      <c r="G353" s="388">
        <f ca="1">AVERAGE($D353:$E353)+Control!$B$9</f>
        <v>0</v>
      </c>
      <c r="H353" s="388">
        <f ca="1">Weather_data!$G352</f>
        <v>0</v>
      </c>
      <c r="I353" s="388">
        <f ca="1">Weather_data!$I352</f>
        <v>0</v>
      </c>
      <c r="J353" s="388">
        <f ca="1">Weather_data!$H352</f>
        <v>0</v>
      </c>
      <c r="K353" s="389">
        <f ca="1">Weather_data!$D352</f>
        <v>0</v>
      </c>
      <c r="L353" s="388" t="e">
        <f t="shared" ca="1" si="1281"/>
        <v>#N/A</v>
      </c>
      <c r="M353" s="388" t="e">
        <f t="shared" ca="1" si="1158"/>
        <v>#N/A</v>
      </c>
      <c r="N353" s="388">
        <f t="shared" ca="1" si="1159"/>
        <v>-6.6240069551383757E-17</v>
      </c>
      <c r="O353" s="388">
        <f t="shared" ca="1" si="1282"/>
        <v>6.6240069551383761E-16</v>
      </c>
      <c r="P353" s="390">
        <v>3</v>
      </c>
      <c r="Q353" s="388">
        <f ca="1">MAX($G353-Control!$C$107,0)</f>
        <v>0</v>
      </c>
      <c r="R353" s="388">
        <f t="shared" ca="1" si="1283"/>
        <v>0</v>
      </c>
      <c r="S353" s="388">
        <f t="shared" ca="1" si="1160"/>
        <v>0</v>
      </c>
      <c r="T353" s="388">
        <f t="shared" ca="1" si="1161"/>
        <v>0</v>
      </c>
      <c r="U353" s="59">
        <f t="shared" ca="1" si="1162"/>
        <v>0</v>
      </c>
      <c r="V353" s="391">
        <f ca="1">MAX(0,MIN(Control!$C$100-Control!$C$99,$G353-Control!$C$99)*Control!$C$63)</f>
        <v>0</v>
      </c>
      <c r="W353" s="388">
        <f t="shared" ca="1" si="1284"/>
        <v>0</v>
      </c>
      <c r="X353" s="388">
        <f t="shared" ca="1" si="1285"/>
        <v>0.6110000000000001</v>
      </c>
      <c r="Y353" s="388">
        <f t="shared" ca="1" si="1163"/>
        <v>0</v>
      </c>
      <c r="Z353" s="388">
        <f t="shared" ca="1" si="1286"/>
        <v>0.61058800000000002</v>
      </c>
      <c r="AA353" s="388">
        <f t="shared" ca="1" si="1164"/>
        <v>0.6018</v>
      </c>
      <c r="AB353" s="388">
        <f ca="1">101.3*EXP(-0.034*Control!$C$66/($G353+273))</f>
        <v>100.69623283836242</v>
      </c>
      <c r="AC353" s="392">
        <f t="shared" ca="1" si="1165"/>
        <v>4.3460251046025113E-2</v>
      </c>
      <c r="AD353" s="392">
        <f t="shared" ca="1" si="1166"/>
        <v>4.4450382862832649E-2</v>
      </c>
      <c r="AE353" s="388">
        <f t="shared" ca="1" si="1167"/>
        <v>0</v>
      </c>
      <c r="AF353" s="388">
        <f ca="1">MAX(0,$G353-Control!$C$92)</f>
        <v>0</v>
      </c>
      <c r="AG353" s="393">
        <f t="shared" ca="1" si="1168"/>
        <v>349</v>
      </c>
      <c r="AH353" s="389">
        <f t="shared" ca="1" si="1169"/>
        <v>349</v>
      </c>
      <c r="AI353" s="388">
        <f t="shared" ca="1" si="1287"/>
        <v>-0.40697079630834565</v>
      </c>
      <c r="AJ353" s="388">
        <f ca="1">IF(Control!$C$60&lt;=0,$HH353,$HI353)</f>
        <v>1</v>
      </c>
      <c r="AK353" s="388">
        <f t="shared" ca="1" si="1170"/>
        <v>4.6306215003597497</v>
      </c>
      <c r="AL353" s="388">
        <f t="shared" ca="1" si="1171"/>
        <v>-1.8070094032207606E-19</v>
      </c>
      <c r="AM353" s="388">
        <f t="shared" ca="1" si="1172"/>
        <v>4.6306215003597497</v>
      </c>
      <c r="AN353" s="388">
        <f t="shared" ca="1" si="1173"/>
        <v>-0.40766951497226867</v>
      </c>
      <c r="AO353" s="388">
        <f ca="1">-0.10453/COS(Control!$B$8*PI()/180)*COS(AN353)</f>
        <v>-0.15587053356134878</v>
      </c>
      <c r="AP353" s="388">
        <f ca="1">ACOS(AO353-TAN(Control!$B$8*PI()/180)*TAN(AN353))</f>
        <v>1.1626710755234457</v>
      </c>
      <c r="AQ353" s="388">
        <f t="shared" ca="1" si="1288"/>
        <v>0</v>
      </c>
      <c r="AR353" s="394">
        <f t="shared" ca="1" si="1174"/>
        <v>0</v>
      </c>
      <c r="AS353" s="436">
        <f ca="1">IF(Control!$B$18=2,(IF(OR($AH353=Control!$B$175,$AH353=Control!$B$176,$AH353=Control!$B$177,$AH353=Control!$B$178,$AH353=Control!$B$179,$AH353=Control!$B$180,$AH353=Control!$B$181,$AH353=Control!$B$182,$AH353=Control!$B$183,$AH353=Control!$B$184,$AH353=Control!$B$185),1,0)),0)</f>
        <v>0</v>
      </c>
      <c r="AT353" s="436">
        <f>IF(Control!$B$20=8,IF(AND($AH353&gt;=Control!$B$172,$AH353&lt;=Control!$B$173),1,0),0)</f>
        <v>0</v>
      </c>
      <c r="AU353" s="436">
        <f>IF(Control!$B$20=8,IF($AV352=1,1*$AT353,IF($AT353=1,$AU352+1,$AU352)),0)</f>
        <v>0</v>
      </c>
      <c r="AV353" s="436">
        <f>IF(Control!$B$20=8,IF($AU353&gt;=Control!$B$174,1,0),0)</f>
        <v>0</v>
      </c>
      <c r="AW353" s="436">
        <f ca="1">IF(AND(Control!$B$18=2,Control!$B$171=1), $AV353, $AS353)</f>
        <v>0</v>
      </c>
      <c r="AX353" s="436" t="e">
        <f ca="1">IF(AND(Control!$B$18=1,$EU353&gt;=Control!$B$19),-$AY353,IF(AND(Control!$B$18=2,$AW353=1,$EU353&gt;$DS353),-$AY353, IF(Control!$C$108=0,0, IF(Control!$C$108&lt;&gt;0,1))))</f>
        <v>#N/A</v>
      </c>
      <c r="AY353" s="436" t="e">
        <f t="shared" ca="1" si="1289"/>
        <v>#N/A</v>
      </c>
      <c r="AZ353" s="436" t="e">
        <f ca="1">IF(AND(Control!$B$18=1,$EB353&gt;Control!$B$19),$AZ352+1, IF(AND(Control!$B$18=2, $AW353=1, $EB353&gt;$DS353), $AZ352+1,$AZ352))</f>
        <v>#N/A</v>
      </c>
      <c r="BA353" s="587">
        <f>IF(Control!$C$81=0,1,IF($AH353&gt;=Control!$C$82,1,0))</f>
        <v>1</v>
      </c>
      <c r="BB353" s="140" t="e">
        <f ca="1">IF($BA353&gt;$BA352,Control!$C$83,IF($AW353&gt;0,$AW353*Control!$C$84,IF(AND(Control!$B$18=1,EN352&lt;&gt;0),Control!$C$84,0)))</f>
        <v>#N/A</v>
      </c>
      <c r="BC353" s="140" t="e">
        <f t="shared" ca="1" si="1290"/>
        <v>#N/A</v>
      </c>
      <c r="BD353" s="140" t="e">
        <f ca="1">BC353*IF(OR($G353&lt;Control!$C$92,$G353&gt;Control!$C$95),0,IF(AND($G353&gt;=Control!$C$92,$G353&lt;=Control!$C$93),$G353-Control!$C$92,IF(AND($G353&gt;Control!$C$93,$G353&lt;=Control!$C$94),Control!$C$93-Control!$C$92,IF(AND($G353&gt;Control!$C$94,$G353&lt;=Control!$C$95),(Control!$C$93-Control!$C$92)*(Control!$C$94-$G353)/(Control!$C$95-Control!$C$94)))))</f>
        <v>#N/A</v>
      </c>
      <c r="BE353" s="140" t="e">
        <f t="shared" ca="1" si="1291"/>
        <v>#N/A</v>
      </c>
      <c r="BF353" s="140" t="e">
        <f ca="1">IF($BE353&lt;=Control!$C$86,$BE353,Control!$C$86-$BE353)</f>
        <v>#N/A</v>
      </c>
      <c r="BG353" s="140" t="e">
        <f ca="1">IF(AND($AW353=1,Control!$C$84&lt;9),1,IF($BE353&gt;=Control!$C$86,0,$BC353))</f>
        <v>#N/A</v>
      </c>
      <c r="BH353" s="404" t="e">
        <f ca="1">IF($BG353=0,0,IF($BE353&lt;=Control!$C$86,$BC353*9*($BF353/Control!$C$86),0))</f>
        <v>#N/A</v>
      </c>
      <c r="BI353" s="140" t="e">
        <f ca="1">IF($BG353=1,0,IF($BE353&gt;=Control!$C$86,1,IF(AND($BB353&lt;21,$BB353&gt;=9),1,$BM352)))</f>
        <v>#N/A</v>
      </c>
      <c r="BJ353" s="140" t="e">
        <f ca="1">IF($BF353&lt;0,-$BF353,$BI353*IF(OR($G353&lt;Control!$C$92,$G353&gt;Control!$C$95),0,IF(AND($G353&gt;=Control!$C$92,$G353&lt;=Control!$C$93),$G353-Control!$C$92,IF(AND($G353&gt;Control!$C$93,$G353&lt;=Control!$C$94),Control!$C$93-Control!$C$92,IF(AND($G353&gt;Control!$C$94,$G353&lt;=Control!$C$95),(Control!$C$93-Control!$C$92)*(Control!$C$94-$G353)/(Control!$C$95-Control!$C$94))))))</f>
        <v>#N/A</v>
      </c>
      <c r="BK353" s="140" t="e">
        <f t="shared" ca="1" si="1292"/>
        <v>#N/A</v>
      </c>
      <c r="BL353" s="140" t="e">
        <f ca="1">IF($BK353&lt;=Control!$C$87,$BK353,Control!$C$87-$BK353)</f>
        <v>#N/A</v>
      </c>
      <c r="BM353" s="140" t="e">
        <f ca="1">IF(AND($BB353&gt;=9,$BB353&lt;21),1,IF($BK353&gt;=Control!$C$87,0,$BI353))</f>
        <v>#N/A</v>
      </c>
      <c r="BN353" s="404" t="e">
        <f ca="1">IF($BM353=0,0,IF($BK353&lt;=Control!$C$87,$BI353*(9+(21-9)*($BL353/Control!$C$87)),0))</f>
        <v>#N/A</v>
      </c>
      <c r="BO353" s="140" t="e">
        <f ca="1">IF($BM353=1,0,IF($BK353&gt;=Control!$C$87,1,IF(AND($BB353&lt;30,$BB353&gt;=21),1,$BS352)))</f>
        <v>#N/A</v>
      </c>
      <c r="BP353" s="140" t="e">
        <f ca="1">IF($BL353&lt;0,-$BL353,$BO353*IF(OR($G353&lt;Control!$C$92,$G353&gt;Control!$C$95),0,IF(AND($G353&gt;=Control!$C$92,$G353&lt;=Control!$C$93),$G353-Control!$C$92,IF(AND($G353&gt;Control!$C$93,$G353&lt;=Control!$C$94),Control!$C$93-Control!$C$92,IF(AND($G353&gt;Control!$C$94,$G353&lt;=Control!$C$95),(Control!$C$93-Control!$C$92)*(Control!$C$94-$G353)/(Control!$C$95-Control!$C$94))))))</f>
        <v>#N/A</v>
      </c>
      <c r="BQ353" s="140" t="e">
        <f t="shared" ca="1" si="1175"/>
        <v>#N/A</v>
      </c>
      <c r="BR353" s="140" t="e">
        <f ca="1">IF($BQ353&lt;=Control!$C$88,$BQ353,Control!$C$88-$BQ353)</f>
        <v>#N/A</v>
      </c>
      <c r="BS353" s="140" t="e">
        <f ca="1">IF(AND($BB353&gt;=21,$BB353&lt;30),1,IF($BQ353&gt;=Control!$C$88,0,$BO353))</f>
        <v>#N/A</v>
      </c>
      <c r="BT353" s="404" t="e">
        <f ca="1">IF($BS353=0,0,IF($BQ353&lt;=Control!$C$88,$BO353*(21+(30-21)*(BR353/Control!$C$88)),0))</f>
        <v>#N/A</v>
      </c>
      <c r="BU353" s="140" t="e">
        <f ca="1">IF(BG353+BM353+BS353=1,0,IF(OR(AND($BB353&lt;60,$BB353&gt;=30),$BQ353&gt;=Control!$C$88),1*$BA353,$BY352))</f>
        <v>#N/A</v>
      </c>
      <c r="BV353" s="140" t="e">
        <f ca="1">IF($BR353&lt;0,-$BR353,$BU353*IF(OR($G353&lt;Control!$C$92,$G353&gt;Control!$C$95),0,IF(AND($G353&gt;=Control!$C$92,$G353&lt;=Control!$C$93),$G353-Control!$C$92,IF(AND($G353&gt;Control!$C$93,$G353&lt;=Control!$C$94),Control!$C$93-Control!$C$92,IF(AND($G353&gt;Control!$C$94,$G353&lt;=Control!$C$95),(Control!$C$93-Control!$C$92)*(Control!$C$94-$G353)/(Control!$C$95-Control!$C$94))))))</f>
        <v>#N/A</v>
      </c>
      <c r="BW353" s="140" t="e">
        <f t="shared" ca="1" si="1176"/>
        <v>#N/A</v>
      </c>
      <c r="BX353" s="140" t="e">
        <f ca="1">IF($BW353&lt;=Control!$C$89,$BW353,Control!$C$89-$BW353)</f>
        <v>#N/A</v>
      </c>
      <c r="BY353" s="140" t="e">
        <f ca="1">IF(AND($AJ353&gt;=30,$AJ353&lt;60),1,IF($BW353&gt;=Control!$C$89,0,$BU353))</f>
        <v>#N/A</v>
      </c>
      <c r="BZ353" s="404" t="e">
        <f ca="1">IF($BY353=0,0,IF($BW353&lt;=Control!$C$89,$BU353*(30+(60-30)*(BX353/Control!$C$89)),0))</f>
        <v>#N/A</v>
      </c>
      <c r="CA353" s="140" t="e">
        <f ca="1">IF($BG353+$BM353+$BS353+$BY353=1,0,IF(OR(AND($BB353&lt;65,$BB353&gt;=60),$BW353&gt;=Control!$C$89),1*$BA353,$CE352))</f>
        <v>#N/A</v>
      </c>
      <c r="CB353" s="140" t="e">
        <f ca="1">IF($BX353&lt;0,-$BX353,$CA353*IF(OR($G353&lt;Control!$C$92,$G353&gt;Control!$C$95),0,IF(AND($G353&gt;=Control!$C$92,$G353&lt;=Control!$C$93),$G353-Control!$C$92,IF(AND($G353&gt;Control!$C$93,$G353&lt;=Control!$C$94),Control!$C$93-Control!$C$92,IF(AND($G353&gt;Control!$C$94,$G353&lt;=Control!$C$95),(Control!$C$93-Control!$C$92)*(Control!$C$94-$G353)/(Control!$C$95-Control!$C$94))))))</f>
        <v>#N/A</v>
      </c>
      <c r="CC353" s="140" t="e">
        <f t="shared" ca="1" si="1293"/>
        <v>#N/A</v>
      </c>
      <c r="CD353" s="140" t="e">
        <f ca="1">IF($CC353&lt;=Control!$C$90,$CC353,Control!$C$90-$CC353)</f>
        <v>#N/A</v>
      </c>
      <c r="CE353" s="140" t="e">
        <f ca="1">IF(AND($BB353&gt;=60,$BB353&lt;65),1,IF($CC353&gt;=Control!$C$90,0,$CA353))</f>
        <v>#N/A</v>
      </c>
      <c r="CF353" s="404" t="e">
        <f ca="1">IF($CE353=0,0,IF($CC353&lt;=Control!$C$90,$CA353*(60+(65-60)*(CD353/Control!$C$90)),0))</f>
        <v>#N/A</v>
      </c>
      <c r="CG353" s="140" t="e">
        <f ca="1">IF($BG353+$BM353+$BS353+$BY353+$CE353=1,0,IF(OR(AND($BB353&lt;90,$BB353&gt;=65),$CC353&gt;=Control!$C$90),$BA353,$CK352))</f>
        <v>#N/A</v>
      </c>
      <c r="CH353" s="140" t="e">
        <f ca="1">IF($CD353&lt;0,-$CD353,$CG353*IF(OR($G353&lt;Control!$C$92,$G353&gt;Control!$C$95),0,IF(AND($G353&gt;=Control!$C$92,$G353&lt;=Control!$C$93),$G353-Control!$C$92,IF(AND($G353&gt;Control!$C$93,$G353&lt;=Control!$C$94),Control!$C$93-Control!$C$92,IF(AND($G353&gt;Control!$C$94,$G353&lt;=Control!$C$95),(Control!$C$93-Control!$C$92)*(Control!$C$94-$G353)/(Control!$C$95-Control!$C$94))))))</f>
        <v>#N/A</v>
      </c>
      <c r="CI353" s="140" t="e">
        <f t="shared" ca="1" si="1294"/>
        <v>#N/A</v>
      </c>
      <c r="CJ353" s="140" t="e">
        <f ca="1">IF($CI353&lt;=Control!$C$91,$CI353,Control!$C$91-$CI353)</f>
        <v>#N/A</v>
      </c>
      <c r="CK353" s="140" t="e">
        <f ca="1">IF(AND($BB353&gt;=65,$BB353&lt;90),1,IF($CI353&gt;=Control!$C$91,0,$CG353))</f>
        <v>#N/A</v>
      </c>
      <c r="CL353" s="404" t="e">
        <f ca="1">IF($CK353=0,0,IF($CI353&lt;=Control!$C$91,$CG353*(65+(90-65)*($CJ353/Control!$C$91)),0))</f>
        <v>#N/A</v>
      </c>
      <c r="CM353" s="140" t="e">
        <f ca="1">IF($BG353+$BM353+$BS353+$BY353+$CE353+$CK353=1,0,IF(OR($BB353&gt;=90,$CI353&gt;=Control!$C$91),$BA353,$CM352))</f>
        <v>#N/A</v>
      </c>
      <c r="CN353" s="140" t="e">
        <f t="shared" ca="1" si="1295"/>
        <v>#N/A</v>
      </c>
      <c r="CO353" s="140" t="e">
        <f t="shared" ca="1" si="1296"/>
        <v>#N/A</v>
      </c>
      <c r="CP353" s="140" t="e">
        <f t="shared" ca="1" si="1297"/>
        <v>#N/A</v>
      </c>
      <c r="CQ353" s="141" t="e">
        <f ca="1">VLOOKUP($CP353,Control!$B$86:$G$91,6)</f>
        <v>#N/A</v>
      </c>
      <c r="CR353" s="141" t="e">
        <f ca="1">(1-$CQ353)*VLOOKUP($CP353,Control!$B$86:$D$91,3)</f>
        <v>#N/A</v>
      </c>
      <c r="CS353" s="141" t="e">
        <f ca="1">(1-$CQ353)*VLOOKUP($CP353,Control!$B$86:$E$91,4)</f>
        <v>#N/A</v>
      </c>
      <c r="CT353" s="141" t="e">
        <f ca="1">(1-$CQ353)*VLOOKUP($CP353,Control!$B$86:$F$91,5)</f>
        <v>#N/A</v>
      </c>
      <c r="CU353" s="141">
        <f t="shared" ca="1" si="1298"/>
        <v>0</v>
      </c>
      <c r="CV353" s="583">
        <f t="shared" ca="1" si="1299"/>
        <v>0</v>
      </c>
      <c r="CW353" s="142">
        <f t="shared" ca="1" si="1300"/>
        <v>349</v>
      </c>
      <c r="CX353" s="612" t="e">
        <f ca="1">IF(Control!$C$114=1,(MIN(Control!$C$120*(IF($NT353-0.01&lt;0,0,1)),Control!$C$119-$CY353)))</f>
        <v>#DIV/0!</v>
      </c>
      <c r="CY353" s="143" t="e">
        <f t="shared" ca="1" si="1301"/>
        <v>#N/A</v>
      </c>
      <c r="CZ353" s="144">
        <f t="shared" ca="1" si="1177"/>
        <v>0</v>
      </c>
      <c r="DA353" s="144">
        <f t="shared" ca="1" si="1178"/>
        <v>0</v>
      </c>
      <c r="DB353" s="144" t="e">
        <f t="shared" ca="1" si="1179"/>
        <v>#N/A</v>
      </c>
      <c r="DC353" s="144" t="e">
        <f t="shared" ca="1" si="1180"/>
        <v>#N/A</v>
      </c>
      <c r="DD353" s="144" t="e">
        <f t="shared" ca="1" si="1386"/>
        <v>#N/A</v>
      </c>
      <c r="DE353" s="143" t="e">
        <f t="shared" ca="1" si="1302"/>
        <v>#N/A</v>
      </c>
      <c r="DF353" s="145" t="e">
        <f ca="1">$DR353*EXP(-Control!$C$158*(1-$KH353))</f>
        <v>#N/A</v>
      </c>
      <c r="DG353" s="146" t="e">
        <f ca="1">IF(Control!$C$114=1, $DF353*$EY353, 0)</f>
        <v>#N/A</v>
      </c>
      <c r="DH353" s="147" t="e">
        <f t="shared" ca="1" si="1303"/>
        <v>#N/A</v>
      </c>
      <c r="DI353" s="144" t="e">
        <f t="shared" ca="1" si="1364"/>
        <v>#N/A</v>
      </c>
      <c r="DJ353" s="147" t="e">
        <f ca="1">$EF353*Control!$C$109</f>
        <v>#N/A</v>
      </c>
      <c r="DK353" s="144" t="e">
        <f t="shared" ca="1" si="1304"/>
        <v>#N/A</v>
      </c>
      <c r="DL353" s="144" t="e">
        <f t="shared" ca="1" si="1181"/>
        <v>#N/A</v>
      </c>
      <c r="DM353" s="144" t="e">
        <f ca="1">IF(Control!$C$114=1, (1-EXP(-Control!$C$96*$DK353))*$AR353, 0)</f>
        <v>#N/A</v>
      </c>
      <c r="DN353" s="144">
        <f t="shared" ca="1" si="1305"/>
        <v>0</v>
      </c>
      <c r="DO353" s="148">
        <f>Control!$C$97</f>
        <v>4</v>
      </c>
      <c r="DP353" s="145" t="e">
        <f t="shared" ca="1" si="1306"/>
        <v>#N/A</v>
      </c>
      <c r="DQ353" s="145" t="e">
        <f ca="1">IF(AND($CP353&gt;=0,$CP353&lt;=90),Control!$C$111,Control!$C$111)</f>
        <v>#N/A</v>
      </c>
      <c r="DR353" s="145" t="e">
        <f t="shared" ca="1" si="1182"/>
        <v>#N/A</v>
      </c>
      <c r="DS353" s="143" t="e">
        <f ca="1">Control!$B$22/$DR353</f>
        <v>#N/A</v>
      </c>
      <c r="DT353" s="149" t="e">
        <f ca="1">IF(AND(Control!$C$114=1,$KH353&lt;1),$IM353*$DF353, 0)</f>
        <v>#N/A</v>
      </c>
      <c r="DU353" s="144" t="e">
        <f t="shared" ca="1" si="1307"/>
        <v>#N/A</v>
      </c>
      <c r="DV353" s="144">
        <f ca="1">IF($G353-Control!$C$107&lt;=0, 0, 0.83*LN(MAX($G353, 3))-0.8924)</f>
        <v>0</v>
      </c>
      <c r="DW353" s="144" t="e">
        <f t="shared" ca="1" si="1183"/>
        <v>#N/A</v>
      </c>
      <c r="DX353" s="150" t="e">
        <f ca="1">MAX(0.01*(1+$CU353/Control!$C$102),0.05*($DK353-Control!$C$97)/Control!$C$97)</f>
        <v>#N/A</v>
      </c>
      <c r="DY353" s="151" t="e">
        <f ca="1">IF(Control!$C$114=1, $DI353*$FS353, 0)</f>
        <v>#N/A</v>
      </c>
      <c r="DZ353" s="196" t="e">
        <f t="shared" ca="1" si="1308"/>
        <v>#N/A</v>
      </c>
      <c r="EA353" s="152">
        <f t="shared" ca="1" si="1309"/>
        <v>349</v>
      </c>
      <c r="EB353" s="153" t="e">
        <f t="shared" ca="1" si="1310"/>
        <v>#N/A</v>
      </c>
      <c r="EC353" s="153" t="e">
        <f t="shared" ca="1" si="1311"/>
        <v>#N/A</v>
      </c>
      <c r="ED353" s="154" t="e">
        <f ca="1">IF(Control!$C$114=1, $HM353*$FY353-$FD353, 0)</f>
        <v>#DIV/0!</v>
      </c>
      <c r="EE353" s="155" t="e">
        <f ca="1">IF(Control!$C$114=1, $HM353*$FZ353-$FF353, 0)</f>
        <v>#DIV/0!</v>
      </c>
      <c r="EF353" s="153" t="e">
        <f t="shared" ca="1" si="1365"/>
        <v>#N/A</v>
      </c>
      <c r="EG353" s="155" t="e">
        <f ca="1">IF(Control!$C$114=1, $GX353*$FW353-$FI353, 0)</f>
        <v>#DIV/0!</v>
      </c>
      <c r="EH353" s="153" t="e">
        <f t="shared" ca="1" si="1312"/>
        <v>#N/A</v>
      </c>
      <c r="EI353" s="156" t="e">
        <f t="shared" ca="1" si="1313"/>
        <v>#N/A</v>
      </c>
      <c r="EJ353" s="155" t="e">
        <f ca="1">IF(Control!$C$114=1, $HM353*$GB353, 0)</f>
        <v>#DIV/0!</v>
      </c>
      <c r="EK353" s="153" t="e">
        <f t="shared" ca="1" si="1366"/>
        <v>#N/A</v>
      </c>
      <c r="EL353" s="153" t="e">
        <f t="shared" ca="1" si="1184"/>
        <v>#N/A</v>
      </c>
      <c r="EM353" s="153" t="e">
        <f t="shared" ca="1" si="1185"/>
        <v>#N/A</v>
      </c>
      <c r="EN353" s="153" t="e">
        <f ca="1">IF(Control!$C$108=1,IF(AND(Control!$B$18=1,$EB353&gt;=Control!$B$19),$EB353-$DS353,IF(AND(Control!$B$18=2,$AW353=1,$EB353&gt;$DS353),$EB353-$DS353,0)))</f>
        <v>#N/A</v>
      </c>
      <c r="EO353" s="153" t="e">
        <f ca="1">IF(Control!$C$108=1,IF(AND(Control!$B$18=1,$EB353&gt;=Control!$B$19),$EF353,IF(AND(Control!$B$18=2,$AW353=1),$EF353,0)))</f>
        <v>#N/A</v>
      </c>
      <c r="EP353" s="153" t="e">
        <f ca="1">IF(Control!$C$108=1,IF(AND(Control!$B$18=1,$EB353&gt;=Control!$B$19),$EK353,IF(AND(Control!$B$18=2,$AW353=1),$EK353,0)))</f>
        <v>#N/A</v>
      </c>
      <c r="EQ353" s="153" t="e">
        <f t="shared" ca="1" si="1314"/>
        <v>#N/A</v>
      </c>
      <c r="ER353" s="153" t="e">
        <f t="shared" ca="1" si="1315"/>
        <v>#N/A</v>
      </c>
      <c r="ES353" s="153" t="e">
        <f t="shared" ca="1" si="1367"/>
        <v>#N/A</v>
      </c>
      <c r="ET353" s="153" t="e">
        <f t="shared" ca="1" si="1368"/>
        <v>#N/A</v>
      </c>
      <c r="EU353" s="153" t="e">
        <f t="shared" ca="1" si="1316"/>
        <v>#N/A</v>
      </c>
      <c r="EV353" s="153" t="e">
        <f t="shared" ca="1" si="1186"/>
        <v>#N/A</v>
      </c>
      <c r="EW353" s="153" t="e">
        <f t="shared" ca="1" si="1187"/>
        <v>#N/A</v>
      </c>
      <c r="EX353" s="153" t="e">
        <f t="shared" ca="1" si="1188"/>
        <v>#N/A</v>
      </c>
      <c r="EY353" s="157" t="e">
        <f t="shared" ca="1" si="1189"/>
        <v>#DIV/0!</v>
      </c>
      <c r="EZ353" s="154" t="e">
        <f t="shared" ca="1" si="1190"/>
        <v>#DIV/0!</v>
      </c>
      <c r="FA353" s="153" t="e">
        <f t="shared" ca="1" si="1317"/>
        <v>#N/A</v>
      </c>
      <c r="FB353" s="153" t="e">
        <f t="shared" ca="1" si="1191"/>
        <v>#N/A</v>
      </c>
      <c r="FC353" s="193" t="e">
        <f t="shared" ca="1" si="1192"/>
        <v>#N/A</v>
      </c>
      <c r="FD353" s="158" t="e">
        <f t="shared" ca="1" si="1318"/>
        <v>#N/A</v>
      </c>
      <c r="FE353" s="158" t="e">
        <f t="shared" ca="1" si="1319"/>
        <v>#N/A</v>
      </c>
      <c r="FF353" s="159" t="e">
        <f t="shared" ca="1" si="1193"/>
        <v>#N/A</v>
      </c>
      <c r="FG353" s="160" t="e">
        <f t="shared" ca="1" si="1320"/>
        <v>#N/A</v>
      </c>
      <c r="FH353" s="158" t="e">
        <f t="shared" ca="1" si="1321"/>
        <v>#N/A</v>
      </c>
      <c r="FI353" s="159" t="e">
        <f t="shared" ca="1" si="1194"/>
        <v>#N/A</v>
      </c>
      <c r="FJ353" s="160" t="e">
        <f t="shared" ca="1" si="1322"/>
        <v>#N/A</v>
      </c>
      <c r="FK353" s="160" t="e">
        <f t="shared" ca="1" si="1195"/>
        <v>#N/A</v>
      </c>
      <c r="FL353" s="160" t="e">
        <f t="shared" ca="1" si="1369"/>
        <v>#N/A</v>
      </c>
      <c r="FM353" s="160" t="e">
        <f t="shared" ca="1" si="1196"/>
        <v>#N/A</v>
      </c>
      <c r="FN353" s="158">
        <f t="shared" ca="1" si="1323"/>
        <v>0.01</v>
      </c>
      <c r="FO353" s="160">
        <f>Control!$C$101</f>
        <v>50</v>
      </c>
      <c r="FP353" s="150" t="e">
        <f t="shared" ca="1" si="1197"/>
        <v>#N/A</v>
      </c>
      <c r="FQ353" s="150" t="e">
        <f ca="1">MAX(0,(Control!$C$112*(($DK353-Control!$C$97)/Control!$C$97)))</f>
        <v>#N/A</v>
      </c>
      <c r="FR353" s="150" t="e">
        <f ca="1">(1-$NT353)*Control!$C$113</f>
        <v>#DIV/0!</v>
      </c>
      <c r="FS353" s="198" t="e">
        <f t="shared" ca="1" si="1198"/>
        <v>#N/A</v>
      </c>
      <c r="FT353" s="161">
        <f t="shared" ca="1" si="1324"/>
        <v>349</v>
      </c>
      <c r="FU353" s="162" t="e">
        <f ca="1">IF(Control!$B$34=1,VLOOKUP($CP353,Control!$B$86:$G$91,6),Control!$B$35)</f>
        <v>#N/A</v>
      </c>
      <c r="FV353" s="162" t="e">
        <f t="shared" ca="1" si="1199"/>
        <v>#DIV/0!</v>
      </c>
      <c r="FW353" s="162" t="e">
        <f ca="1">IF(Control!$B$31=1,$FU353*$FV353,  $FU353)</f>
        <v>#N/A</v>
      </c>
      <c r="FX353" s="162" t="e">
        <f ca="1">IF(Control!$B$34=1,VLOOKUP($CP353,Control!$B$86:$G$91,3),Control!$B$36)</f>
        <v>#N/A</v>
      </c>
      <c r="FY353" s="162" t="e">
        <f t="shared" ca="1" si="1200"/>
        <v>#N/A</v>
      </c>
      <c r="FZ353" s="162" t="e">
        <f ca="1">IF(Control!$B$34=1,VLOOKUP($CP353,Control!$B$86:$G$91,4),Control!$B$37)</f>
        <v>#N/A</v>
      </c>
      <c r="GA353" s="162" t="e">
        <f t="shared" ca="1" si="1201"/>
        <v>#N/A</v>
      </c>
      <c r="GB353" s="162" t="e">
        <f ca="1">IF(Control!$B$34=1,VLOOKUP($CP353,Control!$B$86:$G$91,5),Control!$B$38)</f>
        <v>#N/A</v>
      </c>
      <c r="GC353" s="162" t="e">
        <f t="shared" ca="1" si="1325"/>
        <v>#N/A</v>
      </c>
      <c r="GD353" s="162">
        <f t="shared" ca="1" si="1202"/>
        <v>1</v>
      </c>
      <c r="GE353" s="162">
        <f t="shared" ca="1" si="1203"/>
        <v>1</v>
      </c>
      <c r="GF353" s="162">
        <f ca="1">IF(AND(Control!$C$104=1, Control!$C$62="F"),$GE353,1)</f>
        <v>1</v>
      </c>
      <c r="GG353" s="162" t="e">
        <f ca="1">IF(Control!$B$16=40,0,IF(AND(Control!$B$16&gt;40,Control!$B$16&lt;=360),(Control!$B$16-40)*((1-0)/(360-40)),IF(AND(Control!$B$16&gt;360,Control!$B$16&lt;=720),(1+(Control!$B$16-360)*((1.25-1)/(720-360))),IF(AND(Control!$B$16&gt;720,Control!$B$16&lt;=1000),(1.25+(Control!$B$16-720)*((1.35-1.25)/(1000-720))),IF(AND(Control!$B$16&gt;1000,Control!$B$16&lt;=2000),(1.35+(Control!$B$16-1000)*0))))))</f>
        <v>#N/A</v>
      </c>
      <c r="GH353" s="162" t="e">
        <f t="shared" ca="1" si="1204"/>
        <v>#N/A</v>
      </c>
      <c r="GI353" s="162">
        <f t="shared" ca="1" si="1326"/>
        <v>0</v>
      </c>
      <c r="GJ353" s="162">
        <f t="shared" ca="1" si="1205"/>
        <v>0</v>
      </c>
      <c r="GK353" s="162">
        <f t="shared" ca="1" si="1327"/>
        <v>1</v>
      </c>
      <c r="GL353" s="162">
        <f t="shared" ca="1" si="1206"/>
        <v>1</v>
      </c>
      <c r="GM353" s="162" t="e">
        <f ca="1">MAX(0,MIN(1,1-Control!$C$156*(1.0001-$KH353)^2))</f>
        <v>#N/A</v>
      </c>
      <c r="GN353" s="162" t="e">
        <f ca="1">IF(Control!$B$26=1,$KU353,$KX353)</f>
        <v>#N/A</v>
      </c>
      <c r="GO353" s="162" t="e">
        <f ca="1">IF($CP353&lt;=60,Control!$C$105,IF($CP353&gt;=90,Control!$C$106,Control!$C$105+($CP353-60)*((Control!$C$106-Control!$C$105)/(90-60))))</f>
        <v>#N/A</v>
      </c>
      <c r="GP353" s="162" t="e">
        <f t="shared" ca="1" si="1207"/>
        <v>#N/A</v>
      </c>
      <c r="GQ353" s="162" t="e">
        <f t="shared" ca="1" si="1328"/>
        <v>#N/A</v>
      </c>
      <c r="GR353" s="163" t="e">
        <f t="shared" ca="1" si="1208"/>
        <v>#DIV/0!</v>
      </c>
      <c r="GS353" s="162" t="e">
        <f t="shared" ca="1" si="1209"/>
        <v>#DIV/0!</v>
      </c>
      <c r="GT353" s="164" t="e">
        <f t="shared" ca="1" si="1329"/>
        <v>#N/A</v>
      </c>
      <c r="GU353" s="162" t="e">
        <f t="shared" ca="1" si="1330"/>
        <v>#N/A</v>
      </c>
      <c r="GV353" s="162" t="e">
        <f t="shared" ca="1" si="1210"/>
        <v>#N/A</v>
      </c>
      <c r="GW353" s="162" t="e">
        <f t="shared" ca="1" si="1211"/>
        <v>#DIV/0!</v>
      </c>
      <c r="GX353" s="162" t="e">
        <f t="shared" ca="1" si="1331"/>
        <v>#DIV/0!</v>
      </c>
      <c r="GY353" s="162" t="e">
        <f t="shared" ca="1" si="1332"/>
        <v>#DIV/0!</v>
      </c>
      <c r="GZ353" s="165" t="e">
        <f t="shared" ca="1" si="1212"/>
        <v>#N/A</v>
      </c>
      <c r="HA353" s="162" t="e">
        <f ca="1">IF(Control!$C$114=1, $DI353*$FS353, 0)</f>
        <v>#N/A</v>
      </c>
      <c r="HB353" s="162" t="e">
        <f ca="1">$FA353/Control!$C$64</f>
        <v>#N/A</v>
      </c>
      <c r="HC353" s="162" t="e">
        <f t="shared" ca="1" si="1213"/>
        <v>#DIV/0!</v>
      </c>
      <c r="HD353" s="162">
        <f ca="1">-ASIN(SIN(23.45*Control!$C$139)*COS(2*Control!$C$138*($AH353+10)/365))</f>
        <v>-0.40697079630834565</v>
      </c>
      <c r="HE353" s="165">
        <f t="shared" ca="1" si="1333"/>
        <v>0</v>
      </c>
      <c r="HF353" s="166">
        <f ca="1">IF(AND(Control!$C$61="T",$HE353&gt;=Control!$C$103,Control!$C$114=0),$AH353,Control!$C$59)</f>
        <v>1</v>
      </c>
      <c r="HG353" s="166">
        <f ca="1">IF(AND(Control!$C$61="T",$HE353&gt;=Control!$C$103,Control!$C$114=0),$HF353,Control!$C$59)</f>
        <v>1</v>
      </c>
      <c r="HH353" s="165">
        <f ca="1">IF(AND(OR(Control!$C$60&lt;=0, $AH353= Control!$C$59, Control!$C$60 &gt;0, $AH353 = Control!$C$60)), Control!$C$59, IF(Control!$C$60&gt;0, 0))</f>
        <v>1</v>
      </c>
      <c r="HI353" s="165">
        <f ca="1">IF(AND(OR(Control!$C$60&lt;=0, $AH353= Control!$C$59, Control!$C$60 &gt;0, $AH353 = Control!$C$60)), Control!$C$60, IF(Control!$C$60&lt;=0, 0))</f>
        <v>0</v>
      </c>
      <c r="HJ353" s="166">
        <f ca="1">IF(AND(Control!$C$62="F",$CV353&gt;=Control!$C$102),$AH353,0)</f>
        <v>0</v>
      </c>
      <c r="HK353" s="165" t="e">
        <f t="shared" ca="1" si="1370"/>
        <v>#N/A</v>
      </c>
      <c r="HL353" s="166">
        <f ca="1">IF(AND(Control!$C$61="T",$HE353&gt;=Control!$C$103,Control!$C$114=0),$HF353,0)</f>
        <v>0</v>
      </c>
      <c r="HM353" s="201" t="e">
        <f t="shared" ca="1" si="1214"/>
        <v>#DIV/0!</v>
      </c>
      <c r="HN353" s="215">
        <f t="shared" ca="1" si="1334"/>
        <v>349</v>
      </c>
      <c r="HO353" s="216" t="e">
        <f ca="1">IF(AND($CP353&gt;=0, $CP353&lt;=90), Control!$C$152, Control!$C$152)</f>
        <v>#N/A</v>
      </c>
      <c r="HP353" s="216" t="e">
        <f t="shared" ca="1" si="1215"/>
        <v>#N/A</v>
      </c>
      <c r="HQ353" s="217" t="e">
        <f ca="1">IF(OR(Control!$B$26=1,Control!$B$26=2),$KV353,$KS353)</f>
        <v>#DIV/0!</v>
      </c>
      <c r="HR353" s="218" t="e">
        <f t="shared" ca="1" si="1371"/>
        <v>#DIV/0!</v>
      </c>
      <c r="HS353" s="216" t="e">
        <f ca="1">Control!$C$154*$HP353</f>
        <v>#N/A</v>
      </c>
      <c r="HT353" s="216" t="e">
        <f ca="1">Control!$C$155*$HP353</f>
        <v>#N/A</v>
      </c>
      <c r="HU353" s="217" t="e">
        <f ca="1">Control!$C$161*$FI353</f>
        <v>#N/A</v>
      </c>
      <c r="HV353" s="218" t="e">
        <f t="shared" ca="1" si="1335"/>
        <v>#N/A</v>
      </c>
      <c r="HW353" s="218" t="e">
        <f ca="1">Control!$C$160*$FF353+$IP353*$EO353</f>
        <v>#N/A</v>
      </c>
      <c r="HX353" s="218" t="e">
        <f t="shared" ca="1" si="1372"/>
        <v>#N/A</v>
      </c>
      <c r="HY353" s="219" t="e">
        <f ca="1">IF(Control!$C$114=1, $EB353*$FS353, 0)</f>
        <v>#N/A</v>
      </c>
      <c r="HZ353" s="91" t="e">
        <f t="shared" ca="1" si="1216"/>
        <v>#N/A</v>
      </c>
      <c r="IA353" s="220" t="e">
        <f ca="1">Control!$C$153*$HO353</f>
        <v>#N/A</v>
      </c>
      <c r="IB353" s="218" t="e">
        <f t="shared" ca="1" si="1217"/>
        <v>#N/A</v>
      </c>
      <c r="IC353" s="220" t="e">
        <f ca="1">Control!$C$153*$HT353</f>
        <v>#N/A</v>
      </c>
      <c r="ID353" s="218" t="e">
        <f t="shared" ca="1" si="1218"/>
        <v>#N/A</v>
      </c>
      <c r="IE353" s="221" t="e">
        <f ca="1">($EB353*Control!$C$159+$EF353*Control!$C$160)/(IF($GZ353&lt;&gt;0,$GZ353,1))</f>
        <v>#N/A</v>
      </c>
      <c r="IF353" s="216" t="e">
        <f t="shared" ca="1" si="1219"/>
        <v>#N/A</v>
      </c>
      <c r="IG353" s="91">
        <f ca="1">IF(OR(Control!$B$198=$AH353,Control!$B$199=$AH353, Control!$B$200=$AH353, Control!$B$201=$AH353, Control!$B$202=$AH353, Control!$B$203=$AH353, Control!$B$204=$AH353, Control!$B$205=$AH353, Control!$B$206=$AH353, Control!$B$207=$AH353), 1, 0)</f>
        <v>0</v>
      </c>
      <c r="IH353" s="91">
        <f ca="1">IF($IG353=0,0, VLOOKUP($AH353,Control!$B$198:$C$207,2))</f>
        <v>0</v>
      </c>
      <c r="II353" s="222">
        <f t="shared" ca="1" si="1336"/>
        <v>0</v>
      </c>
      <c r="IJ353" s="91">
        <f>Control!$C$121</f>
        <v>0.7</v>
      </c>
      <c r="IK353" s="218">
        <f t="shared" ca="1" si="1220"/>
        <v>0</v>
      </c>
      <c r="IL353" s="217" t="e">
        <f t="shared" ca="1" si="1373"/>
        <v>#N/A</v>
      </c>
      <c r="IM353" s="223" t="e">
        <f ca="1">IF(AND(Control!$C$114=1,$KH353&lt;1),$EB353*Control!$C$148*(1-$KH353), 0)</f>
        <v>#N/A</v>
      </c>
      <c r="IN353" s="217" t="e">
        <f t="shared" ca="1" si="1221"/>
        <v>#DIV/0!</v>
      </c>
      <c r="IO353" s="91" t="e">
        <f ca="1">MAX(0,$IL353-$EF353*Control!$C$160)</f>
        <v>#N/A</v>
      </c>
      <c r="IP353" s="220" t="e">
        <f t="shared" ca="1" si="1222"/>
        <v>#N/A</v>
      </c>
      <c r="IQ353" s="217" t="e">
        <f t="shared" ca="1" si="1337"/>
        <v>#N/A</v>
      </c>
      <c r="IR353" s="218" t="e">
        <f t="shared" ca="1" si="1223"/>
        <v>#N/A</v>
      </c>
      <c r="IS353" s="217" t="e">
        <f ca="1">Control!$C$159*MAX(0,$FD353-$EN353)</f>
        <v>#N/A</v>
      </c>
      <c r="IT353" s="217" t="e">
        <f t="shared" ca="1" si="1374"/>
        <v>#N/A</v>
      </c>
      <c r="IU353" s="217" t="e">
        <f t="shared" ca="1" si="1338"/>
        <v>#N/A</v>
      </c>
      <c r="IV353" s="217" t="e">
        <f t="shared" ca="1" si="1375"/>
        <v>#N/A</v>
      </c>
      <c r="IW353" s="217" t="e">
        <f ca="1">IF(OR($AW353=1,AND($AW353=0, Control!$B$18=1,$EN353&lt;&gt;0)), $IQ353-$IU353, $IQ353)</f>
        <v>#N/A</v>
      </c>
      <c r="IX353" s="218" t="e">
        <f t="shared" ca="1" si="1224"/>
        <v>#N/A</v>
      </c>
      <c r="IY353" s="218" t="e">
        <f ca="1">MAX(0,$IQ353-$EB353*Control!$C$159)</f>
        <v>#N/A</v>
      </c>
      <c r="IZ353" s="218" t="e">
        <f t="shared" ca="1" si="1225"/>
        <v>#N/A</v>
      </c>
      <c r="JA353" s="216" t="e">
        <f t="shared" ca="1" si="1226"/>
        <v>#N/A</v>
      </c>
      <c r="JB353" s="217" t="e">
        <f t="shared" ca="1" si="1227"/>
        <v>#N/A</v>
      </c>
      <c r="JC353" s="222" t="e">
        <f ca="1">MAX(Control!$C$157*$EK353-$JT353, 0)/Control!$C$162</f>
        <v>#N/A</v>
      </c>
      <c r="JD353" s="218" t="e">
        <f t="shared" ca="1" si="1228"/>
        <v>#N/A</v>
      </c>
      <c r="JE353" s="218" t="e">
        <f t="shared" ca="1" si="1229"/>
        <v>#N/A</v>
      </c>
      <c r="JF353" s="218" t="e">
        <f t="shared" ca="1" si="1339"/>
        <v>#N/A</v>
      </c>
      <c r="JG353" s="218" t="e">
        <f t="shared" ca="1" si="1230"/>
        <v>#N/A</v>
      </c>
      <c r="JH353" s="217" t="e">
        <f t="shared" ca="1" si="1340"/>
        <v>#N/A</v>
      </c>
      <c r="JI353" s="217" t="e">
        <f t="shared" ca="1" si="1341"/>
        <v>#N/A</v>
      </c>
      <c r="JJ353" s="217" t="e">
        <f t="shared" ca="1" si="1376"/>
        <v>#N/A</v>
      </c>
      <c r="JK353" s="217" t="e">
        <f ca="1">IF(Control!$C$114=1,IF(Control!$B$24=0,MAX(0,$JI353)*$GN353/Control!$C$64,(MAX(0,MIN($JI353,$JJ353*$GN353/Control!$C$64),0))))</f>
        <v>#N/A</v>
      </c>
      <c r="JL353" s="217" t="e">
        <f ca="1">$IK353/Control!$C$64-$JK353+$HQ353</f>
        <v>#N/A</v>
      </c>
      <c r="JM353" s="217" t="e">
        <f ca="1">IF(Control!$C$114=1,($JB353/(IF($JI353&lt;&gt;0,$JI353,1)))*$JK353,0)</f>
        <v>#N/A</v>
      </c>
      <c r="JN353" s="217" t="e">
        <f ca="1">IF(Control!$C$114=1,($JG353/(IF($JI353&lt;&gt;0,$JI353,1)))*$JK353, 0)</f>
        <v>#N/A</v>
      </c>
      <c r="JO353" s="218" t="e">
        <f t="shared" ca="1" si="1231"/>
        <v>#N/A</v>
      </c>
      <c r="JP353" s="218" t="e">
        <f ca="1">MIN(($IY353+$IO353)*Control!$C$151, $JF353-$EH353*Control!$C$161)</f>
        <v>#N/A</v>
      </c>
      <c r="JQ353" s="218" t="e">
        <f t="shared" ca="1" si="1232"/>
        <v>#N/A</v>
      </c>
      <c r="JR353" s="217" t="e">
        <f ca="1">IF($CP353-Control!$C$150&lt;0, 0, $JQ353/Control!$C$162)</f>
        <v>#N/A</v>
      </c>
      <c r="JS353" s="218" t="e">
        <f t="shared" ca="1" si="1233"/>
        <v>#N/A</v>
      </c>
      <c r="JT353" s="218" t="e">
        <f t="shared" ca="1" si="1342"/>
        <v>#N/A</v>
      </c>
      <c r="JU353" s="218" t="e">
        <f t="shared" ca="1" si="1234"/>
        <v>#N/A</v>
      </c>
      <c r="JV353" s="218" t="e">
        <f t="shared" ca="1" si="1235"/>
        <v>#N/A</v>
      </c>
      <c r="JW353" s="216" t="e">
        <f t="shared" ca="1" si="1236"/>
        <v>#N/A</v>
      </c>
      <c r="JX353" s="91" t="e">
        <f t="shared" ca="1" si="1237"/>
        <v>#N/A</v>
      </c>
      <c r="JY353" s="218" t="e">
        <f t="shared" ca="1" si="1238"/>
        <v>#N/A</v>
      </c>
      <c r="JZ353" s="217" t="e">
        <f ca="1">IF(Control!$C$114=1,($IZ353/(IF($JI353&lt;&gt;0,$JI353,1)))*$JK353, 0)</f>
        <v>#N/A</v>
      </c>
      <c r="KA353" s="218" t="e">
        <f t="shared" ca="1" si="1377"/>
        <v>#N/A</v>
      </c>
      <c r="KB353" s="218" t="e">
        <f t="shared" ca="1" si="1343"/>
        <v>#N/A</v>
      </c>
      <c r="KC353" s="218" t="e">
        <f t="shared" ca="1" si="1239"/>
        <v>#N/A</v>
      </c>
      <c r="KD353" s="218" t="e">
        <f t="shared" ca="1" si="1240"/>
        <v>#N/A</v>
      </c>
      <c r="KE353" s="218" t="e">
        <f t="shared" ca="1" si="1241"/>
        <v>#N/A</v>
      </c>
      <c r="KF353" s="218" t="e">
        <f t="shared" ca="1" si="1242"/>
        <v>#N/A</v>
      </c>
      <c r="KG353" s="216" t="e">
        <f t="shared" ca="1" si="1243"/>
        <v>#N/A</v>
      </c>
      <c r="KH353" s="221" t="e">
        <f ca="1">IF(Control!$B$24=0,1,MAX(0.001,MIN(1,IF(($IF353-$IE353)&lt;&gt;0,($KG353-$IE353)/($IF353-$IE353),1))))</f>
        <v>#N/A</v>
      </c>
      <c r="KI353" s="222" t="e">
        <f ca="1">IF(Control!$C$114=1, $KI352+ $KH352, 0)</f>
        <v>#N/A</v>
      </c>
      <c r="KJ353" s="217" t="e">
        <f t="shared" ca="1" si="1244"/>
        <v>#N/A</v>
      </c>
      <c r="KK353" s="218" t="e">
        <f t="shared" ca="1" si="1245"/>
        <v>#N/A</v>
      </c>
      <c r="KL353" s="274" t="e">
        <f ca="1">IF(Control!$B$26=3,4000000000*EXP(-8400/($G353+273)),IF(Control!$B$26=4,4000000000*EXP(-8400/($G353+273))*($KT353),0))</f>
        <v>#DIV/0!</v>
      </c>
      <c r="KM353" s="274" t="e">
        <f ca="1">IF(Control!$B$26=3,5600000000000*EXP(-9800/($G353+273)),IF(Control!$B$26=4,5600000000000*EXP(-9800/($G353+273))*$KT353,0))</f>
        <v>#DIV/0!</v>
      </c>
      <c r="KN353" s="454" t="e">
        <f t="shared" ca="1" si="1344"/>
        <v>#DIV/0!</v>
      </c>
      <c r="KO353" s="274" t="e">
        <f t="shared" ca="1" si="1345"/>
        <v>#DIV/0!</v>
      </c>
      <c r="KP353" s="454" t="e">
        <f t="shared" ca="1" si="1246"/>
        <v>#DIV/0!</v>
      </c>
      <c r="KQ353" s="454" t="e">
        <f t="shared" ca="1" si="1247"/>
        <v>#DIV/0!</v>
      </c>
      <c r="KR353" s="454" t="e">
        <f t="shared" ca="1" si="1248"/>
        <v>#DIV/0!</v>
      </c>
      <c r="KS353" s="454" t="e">
        <f t="shared" ca="1" si="1249"/>
        <v>#DIV/0!</v>
      </c>
      <c r="KT353" s="455" t="e">
        <f t="shared" ca="1" si="1250"/>
        <v>#DIV/0!</v>
      </c>
      <c r="KU353" s="456" t="e">
        <f ca="1">IF($CP353-Control!$C$149&lt;0, IF($NT353-0.01&lt;0,0,1),0)</f>
        <v>#N/A</v>
      </c>
      <c r="KV353" s="456" t="e">
        <f ca="1">IF(Control!$C$114=1,MAX(0,MIN(Control!$C$125*$KW353*$GN353,$KW353)))</f>
        <v>#DIV/0!</v>
      </c>
      <c r="KW353" s="456" t="e">
        <f t="shared" ca="1" si="1378"/>
        <v>#DIV/0!</v>
      </c>
      <c r="KX353" s="457" t="e">
        <f ca="1">IF($CP353-Control!$C$149&lt;0, IF($MR353-$OM353&lt;0,0,1),0)</f>
        <v>#N/A</v>
      </c>
      <c r="KY353" s="167">
        <f t="shared" ca="1" si="1346"/>
        <v>349</v>
      </c>
      <c r="KZ353" s="168">
        <f ca="1">1370*(1+0.033*COS(2*Control!$C$138*$AH353/365))</f>
        <v>1413.5061661200166</v>
      </c>
      <c r="LA353" s="169">
        <f t="shared" ca="1" si="1347"/>
        <v>1.031756199555987</v>
      </c>
      <c r="LB353" s="169">
        <f t="shared" ca="1" si="1348"/>
        <v>-0.40717006434754704</v>
      </c>
      <c r="LC353" s="169">
        <f ca="1">ACOS(-TAN((2*Control!$B$8/360))*TAN(Calculations!$LB353))</f>
        <v>1.4422677112252622</v>
      </c>
      <c r="LD353" s="169">
        <f ca="1">((24*60)/PI())*0.082*$LA353*(($LC353*SIN(Control!$B$8*2*PI()/360))*SIN($LB353)+COS(Control!$B$8*2*PI()/360)*COS($LB353)*SIN($LC353))</f>
        <v>4.2885680216883681</v>
      </c>
      <c r="LE353" s="170">
        <f t="shared" ca="1" si="1251"/>
        <v>6.0086953827668754</v>
      </c>
      <c r="LF353" s="170">
        <f ca="1">SIN(Control!$C$139*Control!$B$8)*SIN($HD353)</f>
        <v>-0.31191830759240002</v>
      </c>
      <c r="LG353" s="170">
        <f ca="1">COS(Control!$C$139*Control!$B$8)*COS($HD353)</f>
        <v>0.56537522337416812</v>
      </c>
      <c r="LH353" s="170">
        <f ca="1">12*(1+2*ASIN(MAX(-1,MIN(1,$LF353/$LG353))/Control!$C$138))</f>
        <v>7.7633522257692409</v>
      </c>
      <c r="LI353" s="170">
        <f ca="1">12*(1+2*ASIN(MAX(-1,MIN(1,(-SIN(-4*Control!$C$139)+$LF353)/$LG353))/Control!$C$138))</f>
        <v>8.7176589505454061</v>
      </c>
      <c r="LJ353" s="168">
        <f ca="1">3600*($LH353*$LF353+24*$LG353*SQRT(1-$LK353*$LK353)/Control!$C$138)</f>
        <v>4250.9155791377671</v>
      </c>
      <c r="LK353" s="170">
        <f t="shared" ca="1" si="1252"/>
        <v>-0.55170140943012447</v>
      </c>
      <c r="LL353" s="170">
        <f t="shared" ca="1" si="1253"/>
        <v>0</v>
      </c>
      <c r="LM353" s="171">
        <f ca="1">Control!$C$145*$AB353</f>
        <v>6.6660906138995932E-2</v>
      </c>
      <c r="LN353" s="170">
        <f t="shared" ca="1" si="1349"/>
        <v>0.54</v>
      </c>
      <c r="LO353" s="170">
        <f t="shared" ca="1" si="1254"/>
        <v>0</v>
      </c>
      <c r="LP353" s="170">
        <f ca="1">Control!$C$140*((($D353+273.16)^4+($E353+273.16)^4)/2)*(0.34-0.14*SQRT($Y353))*(1.35*$AQ353/(0.75*$LD353)-0.35)</f>
        <v>-3.2464704755046001</v>
      </c>
      <c r="LQ353" s="170">
        <f ca="1">Control!$C$140*($G353+273)^4*(0.56-0.079*SQRT($Y353*10))*(0.1+0.9*$LO353)</f>
        <v>1.5241745131704001</v>
      </c>
      <c r="LR353" s="170">
        <f ca="1">$AQ353*(1-Control!$C$142)-$LQ353</f>
        <v>-1.5241745131704001</v>
      </c>
      <c r="LS353" s="170">
        <f ca="1">$AQ353*(1-Control!$C$143)-$LQ353</f>
        <v>-1.5241745131704001</v>
      </c>
      <c r="LT353" s="170">
        <f ca="1">$AQ353*(1-Control!$C$144)-$LQ353</f>
        <v>-1.5241745131704001</v>
      </c>
      <c r="LU353" s="169">
        <f ca="1">(1-Control!$C$144)*AQ353-LP353</f>
        <v>3.2464704755046001</v>
      </c>
      <c r="LV353" s="172">
        <f t="shared" ca="1" si="1255"/>
        <v>0.79430000000000012</v>
      </c>
      <c r="LW353" s="170">
        <f t="shared" ca="1" si="1256"/>
        <v>1.5886000000000002</v>
      </c>
      <c r="LX353" s="170">
        <f ca="1">($AC353*($LR353/Control!$C$141)+$LM353*$LV353)/($AC353+$LM353)</f>
        <v>0.23530094218323697</v>
      </c>
      <c r="LY353" s="170">
        <f ca="1">($AC353*($LS353/Control!$C$141)+$LM353*$LV353)/($AC353+$LM353)</f>
        <v>0.23530094218323697</v>
      </c>
      <c r="LZ353" s="170">
        <f t="shared" ca="1" si="1257"/>
        <v>0.23530094218323697</v>
      </c>
      <c r="MA353" s="170">
        <f t="shared" ca="1" si="1258"/>
        <v>0.23530094218323697</v>
      </c>
      <c r="MB353" s="170" t="e">
        <f t="shared" ca="1" si="1259"/>
        <v>#N/A</v>
      </c>
      <c r="MC353" s="170">
        <f t="shared" ca="1" si="1350"/>
        <v>0.6018</v>
      </c>
      <c r="MD353" s="170">
        <f t="shared" ca="1" si="1260"/>
        <v>0.52989392535414004</v>
      </c>
      <c r="ME353" s="170">
        <f ca="1">($AC353*($LT353/Control!$C$141)+$LM353*$LW353)/($AC353+$LM353)</f>
        <v>0.71612369323045078</v>
      </c>
      <c r="MF353" s="170" t="e">
        <f ca="1">IF(Control!$B$16&gt;=1000,0.92,IF(AND(720&lt;=Control!$B$16,1000&gt;Control!$B$16),(0.95+(Control!$B$16-720)*((0.92-0.95)/(1000-720))),IF(AND(360&lt;=Control!$B$16,720&gt;Control!$B$16),(1+(Control!$B$16-360)*((0.95-1)/(720-360))),IF(AND(40&lt;=Control!$B$16,360&gt;Control!$B$16),(1.05+(Control!$B$16-40)*((1.05-1)/(360-40)))))))</f>
        <v>#N/A</v>
      </c>
      <c r="MG353" s="170">
        <f t="shared" ca="1" si="1261"/>
        <v>0.71612369323045078</v>
      </c>
      <c r="MH353" s="170" t="e">
        <f t="shared" ca="1" si="1387"/>
        <v>#N/A</v>
      </c>
      <c r="MI353" s="170" t="e">
        <f t="shared" ca="1" si="1387"/>
        <v>#N/A</v>
      </c>
      <c r="MJ353" s="170" t="e">
        <f ca="1">MAX(0.0001, Control!$C$132*$MI353*$DL353)</f>
        <v>#N/A</v>
      </c>
      <c r="MK353" s="170">
        <f ca="1">1/(0.76+1.5*($MG353/10))-(5-Control!$C$110)*0.1</f>
        <v>1.002845988140797</v>
      </c>
      <c r="ML353" s="173">
        <f ca="1">IF(Control!$C$110&lt;3,$MK353+($MG353-0.6)/(Control!$C$110*(Control!$C$110+3)), MAX(0.1, MIN(0.95,$MK353)))</f>
        <v>0.95</v>
      </c>
      <c r="MM353" s="173">
        <f ca="1">IF(Control!$C$110&lt;3,$MK353+(($MI353/10)-0.6)/(Control!$C$110*(Control!$C$110+3)), MAX(0.1, MIN(0.95,$MK353)))</f>
        <v>0.95</v>
      </c>
      <c r="MN353" s="173">
        <f ca="1">(1-$MM353)*(Control!$C$128-Control!$C$127)+Control!$C$127</f>
        <v>0.16</v>
      </c>
      <c r="MO353" s="170" t="e">
        <f ca="1">MAX(0,MIN(1,($MS353-Control!$C$127)/($MN353-Control!$C$127)))</f>
        <v>#DIV/0!</v>
      </c>
      <c r="MP353" s="173" t="e">
        <f ca="1">1/(0.76+1.5*$MI353)-(5-Control!$C$110)*0.1</f>
        <v>#N/A</v>
      </c>
      <c r="MQ353" s="172" t="e">
        <f t="shared" ca="1" si="1379"/>
        <v>#DIV/0!</v>
      </c>
      <c r="MR353" s="168" t="e">
        <f t="shared" ca="1" si="1351"/>
        <v>#DIV/0!</v>
      </c>
      <c r="MS353" s="173" t="e">
        <f ca="1">MAX(Control!$C$127, MIN(Control!$C$135, $MR353/MAX(0.0001,$CY353)))</f>
        <v>#DIV/0!</v>
      </c>
      <c r="MT353" s="168" t="e">
        <f ca="1">(Control!$C$128-$MS353)*Control!$C$74</f>
        <v>#DIV/0!</v>
      </c>
      <c r="MU353" s="168" t="e">
        <f ca="1">(Control!$C$135-$MS353)*Control!$C$74</f>
        <v>#DIV/0!</v>
      </c>
      <c r="MV353" s="168" t="e">
        <f t="shared" ca="1" si="1352"/>
        <v>#DIV/0!</v>
      </c>
      <c r="MW353" s="168" t="e">
        <f t="shared" ca="1" si="1353"/>
        <v>#DIV/0!</v>
      </c>
      <c r="MX353" s="171" t="e">
        <f ca="1">MAX(Control!$C$127, MIN(Control!$C$135, $MW353/MAX(0.0001,Control!$C$119-$CY353)))</f>
        <v>#DIV/0!</v>
      </c>
      <c r="MY353" s="54" t="e">
        <f ca="1">IF(Control!$C$114=1, $CX353*$MX353, 0)</f>
        <v>#DIV/0!</v>
      </c>
      <c r="MZ353" s="54" t="e">
        <f t="shared" ca="1" si="1354"/>
        <v>#N/A</v>
      </c>
      <c r="NA353" s="168" t="e">
        <f ca="1">(Control!$C$128-$MX353)*(Control!$C$119-Control!$C$74)</f>
        <v>#DIV/0!</v>
      </c>
      <c r="NB353" s="168" t="e">
        <f ca="1">(Control!$C$135-$MX353)*(Control!$C$119-Control!$C$74)</f>
        <v>#DIV/0!</v>
      </c>
      <c r="NC353" s="174" t="e">
        <f t="shared" ca="1" si="1355"/>
        <v>#DIV/0!</v>
      </c>
      <c r="ND353" s="54">
        <f ca="1">IF(Control!$C$58=2, IF(OR(Control!$B$218=$AH353,Control!$B$219=$AH353, Control!$B$220=$AH353, Control!$B$221=$AH353, Control!$B$222=$AH353, Control!$B$223=$AH353, Control!$B$224=$AH353, Control!$B$225=$AH353, Control!$B$226=$AH353, Control!$B$227=$AH353, Control!$B$228=$AH353), 1, 0), 0)</f>
        <v>0</v>
      </c>
      <c r="NE353" s="54">
        <f ca="1">IF($ND353=0,0, VLOOKUP($AH353,Control!$B$218:$C$228,2))</f>
        <v>0</v>
      </c>
      <c r="NF353" s="168" t="e">
        <f ca="1">$CY353*(Control!$C$128-Control!$C$127)</f>
        <v>#N/A</v>
      </c>
      <c r="NG353" s="54" t="e">
        <f ca="1">IF(Control!$C$58=2, $NI352-$NJ352, 0)</f>
        <v>#DIV/0!</v>
      </c>
      <c r="NH353" s="54" t="e">
        <f ca="1">IF(AND(Control!$C$58=1, $MS352&lt;= ($MN352+0.02), $I352&lt;10), 0, IF(Control!$C$58=2, $NG352, 0))</f>
        <v>#DIV/0!</v>
      </c>
      <c r="NI353" s="54" t="e">
        <f ca="1">IF(Control!$C$58=2, $NE353+$NH353,0)</f>
        <v>#DIV/0!</v>
      </c>
      <c r="NJ353" s="54" t="e">
        <f ca="1">IF(AND(Control!$C$58=1, $MS353&lt;= ($MN353+0.02), $I353&lt;10), MAX(0, MIN(10, 0.7*($NF353-$MV353))), IF(Control!$C$58=2, MIN(10,$NI353),0))</f>
        <v>#DIV/0!</v>
      </c>
      <c r="NK353" s="54" t="e">
        <f t="shared" ca="1" si="1263"/>
        <v>#DIV/0!</v>
      </c>
      <c r="NL353" s="173" t="e">
        <f ca="1">(1-Control!$C$73)*$I353+$NJ353</f>
        <v>#DIV/0!</v>
      </c>
      <c r="NM353" s="172" t="e">
        <f ca="1">IF($NL353&lt;0.5, $MB353* MAX(0, MIN(1, (SQRT($NC353)-SQRT($NC353-1))*Control!$C$71)),0)</f>
        <v>#DIV/0!</v>
      </c>
      <c r="NN353" s="170" t="e">
        <f ca="1">IF($NL353&gt;=5, $MB353, MAX(0,MIN($MB353, $NM353+$NL353,($MS353-Control!$C$129))))</f>
        <v>#DIV/0!</v>
      </c>
      <c r="NO353" s="54">
        <f>IF(Control!$C$133&lt;&gt;1, Control!$C$135-Control!$C$131, 0)</f>
        <v>0.38</v>
      </c>
      <c r="NP353" s="54" t="e">
        <f t="shared" ca="1" si="1264"/>
        <v>#DIV/0!</v>
      </c>
      <c r="NQ353" s="173" t="e">
        <f ca="1">MAX(0,MIN(1,(Control!$C$135-$MS353)/(Control!$C$135-$NO353)))</f>
        <v>#DIV/0!</v>
      </c>
      <c r="NR353" s="170" t="e">
        <f ca="1">IF(Control!$C$133&lt;&gt;1, $NQ353+((1-$NP353/4)*(1-$NQ353)),1)</f>
        <v>#DIV/0!</v>
      </c>
      <c r="NS353" s="170" t="e">
        <f ca="1">IF(Control!$B$31=0,$MJ353,MAX(0,MIN($MV353,$MO353*$NR353*$MJ353)))</f>
        <v>#DIV/0!</v>
      </c>
      <c r="NT353" s="170" t="e">
        <f t="shared" ca="1" si="1380"/>
        <v>#DIV/0!</v>
      </c>
      <c r="NU353" s="170" t="e">
        <f t="shared" ca="1" si="1356"/>
        <v>#N/A</v>
      </c>
      <c r="NV353" s="170" t="e">
        <f t="shared" ca="1" si="1265"/>
        <v>#N/A</v>
      </c>
      <c r="NW353" s="175" t="e">
        <f t="shared" ca="1" si="1266"/>
        <v>#DIV/0!</v>
      </c>
      <c r="NX353" s="170" t="e">
        <f ca="1">MIN(Control!$C$72+$MU353, $NW353)</f>
        <v>#DIV/0!</v>
      </c>
      <c r="NY353" s="170" t="e">
        <f ca="1">IF($MT353&lt;=$NX353,MIN(Control!$C$72+$NB353,$NX353-$MT353),0)</f>
        <v>#DIV/0!</v>
      </c>
      <c r="NZ353" s="54" t="e">
        <f ca="1">IF(Control!$C$114=1,  $CX353*($MX353-Control!$C$127), 0)</f>
        <v>#DIV/0!</v>
      </c>
      <c r="OA353" s="170" t="e">
        <f t="shared" ca="1" si="1267"/>
        <v>#DIV/0!</v>
      </c>
      <c r="OB353" s="170" t="e">
        <f ca="1">IF($NA353 &lt;=$NY353, MIN(Control!$C$72, $NY353-$NA353), 0)</f>
        <v>#DIV/0!</v>
      </c>
      <c r="OC353" s="168" t="e">
        <f t="shared" ca="1" si="1268"/>
        <v>#DIV/0!</v>
      </c>
      <c r="OD353" s="168" t="e">
        <f t="shared" ca="1" si="1357"/>
        <v>#DIV/0!</v>
      </c>
      <c r="OE353" s="170">
        <f ca="1">Control!$C$73*$I353</f>
        <v>0</v>
      </c>
      <c r="OF353" s="176" t="e">
        <f t="shared" ca="1" si="1269"/>
        <v>#DIV/0!</v>
      </c>
      <c r="OG353" s="168" t="e">
        <f t="shared" ca="1" si="1270"/>
        <v>#DIV/0!</v>
      </c>
      <c r="OH353" s="168" t="e">
        <f t="shared" ca="1" si="1271"/>
        <v>#DIV/0!</v>
      </c>
      <c r="OI353" s="168" t="e">
        <f t="shared" ca="1" si="1272"/>
        <v>#DIV/0!</v>
      </c>
      <c r="OJ353" s="168" t="e">
        <f t="shared" ca="1" si="1273"/>
        <v>#DIV/0!</v>
      </c>
      <c r="OK353" s="204" t="e">
        <f t="shared" ca="1" si="1274"/>
        <v>#DIV/0!</v>
      </c>
      <c r="OL353" s="177">
        <f>Control!$C$127</f>
        <v>0.15</v>
      </c>
      <c r="OM353" s="182" t="e">
        <f t="shared" ca="1" si="1275"/>
        <v>#N/A</v>
      </c>
      <c r="ON353" s="177">
        <f>Control!$C$128</f>
        <v>0.35</v>
      </c>
      <c r="OO353" s="182" t="e">
        <f t="shared" ca="1" si="1276"/>
        <v>#N/A</v>
      </c>
      <c r="OP353" s="138">
        <f t="shared" ca="1" si="1358"/>
        <v>0</v>
      </c>
      <c r="OQ353" s="138" t="e">
        <f t="shared" ca="1" si="1381"/>
        <v>#DIV/0!</v>
      </c>
      <c r="OR353" s="138" t="e">
        <f t="shared" ca="1" si="1359"/>
        <v>#DIV/0!</v>
      </c>
      <c r="OS353" s="137" t="e">
        <f t="shared" ca="1" si="1382"/>
        <v>#DIV/0!</v>
      </c>
      <c r="OT353" s="139" t="e">
        <f t="shared" ca="1" si="1383"/>
        <v>#DIV/0!</v>
      </c>
      <c r="OU353" s="138" t="e">
        <f t="shared" ca="1" si="1384"/>
        <v>#N/A</v>
      </c>
      <c r="OV353" s="138" t="e">
        <f t="shared" ca="1" si="1385"/>
        <v>#DIV/0!</v>
      </c>
      <c r="OW353" s="138" t="e">
        <f t="shared" ca="1" si="1360"/>
        <v>#DIV/0!</v>
      </c>
      <c r="OX353" s="138" t="e">
        <f t="shared" ca="1" si="1361"/>
        <v>#DIV/0!</v>
      </c>
      <c r="OY353" s="138" t="e">
        <f t="shared" ca="1" si="1362"/>
        <v>#DIV/0!</v>
      </c>
      <c r="OZ353" s="138" t="e">
        <f t="shared" ca="1" si="1277"/>
        <v>#DIV/0!</v>
      </c>
      <c r="PA353" s="138" t="e">
        <f t="shared" ca="1" si="1278"/>
        <v>#DIV/0!</v>
      </c>
      <c r="PB353" s="55">
        <f>IF(Control!$C$61="T", IF(Control!$C$65="F", IF($AH$6-Control!$C$60&lt;0,0,1), IF(365+$AH$6-Control!$C$60&lt;0,0,1)),0)</f>
        <v>0</v>
      </c>
      <c r="PC353" s="55">
        <f ca="1">IF(Control!$C$65="F", IF($AH$6-$HF353&lt;0,0,1), IF(365+$AH$6-$HF353&lt;0,0,1))</f>
        <v>1</v>
      </c>
      <c r="PD353" s="444">
        <f>Control!$C$118</f>
        <v>1500</v>
      </c>
      <c r="PE353" s="180" t="e">
        <f t="shared" ca="1" si="1279"/>
        <v>#N/A</v>
      </c>
      <c r="PF353" s="445">
        <f t="shared" ca="1" si="1363"/>
        <v>0.71612369323045078</v>
      </c>
      <c r="PT353" s="186"/>
      <c r="PU353" s="186"/>
      <c r="PV353" s="94"/>
      <c r="PW353" s="94"/>
      <c r="PX353" s="94"/>
      <c r="PY353" s="94"/>
      <c r="PZ353" s="94"/>
      <c r="QA353" s="94"/>
      <c r="QB353" s="94"/>
      <c r="QC353" s="94"/>
      <c r="QD353" s="94"/>
      <c r="QE353" s="94"/>
      <c r="QF353" s="94"/>
      <c r="QG353" s="94"/>
      <c r="QH353" s="94"/>
      <c r="QI353" s="94"/>
      <c r="QJ353" s="94"/>
      <c r="QK353" s="94"/>
      <c r="QL353" s="94"/>
      <c r="QM353" s="94"/>
      <c r="QN353" s="94"/>
      <c r="QO353" s="94"/>
      <c r="QP353" s="94"/>
    </row>
    <row r="354" spans="1:458" s="2" customFormat="1" x14ac:dyDescent="0.2">
      <c r="A354" s="395">
        <v>15</v>
      </c>
      <c r="B354" s="396">
        <v>12</v>
      </c>
      <c r="C354" s="387">
        <f ca="1">Weather_data!$B353</f>
        <v>0</v>
      </c>
      <c r="D354" s="388">
        <f ca="1">Weather_data!$F353</f>
        <v>0</v>
      </c>
      <c r="E354" s="388">
        <f ca="1">Weather_data!$E353</f>
        <v>0</v>
      </c>
      <c r="F354" s="388">
        <f t="shared" ca="1" si="1280"/>
        <v>0</v>
      </c>
      <c r="G354" s="388">
        <f ca="1">AVERAGE($D354:$E354)+Control!$B$9</f>
        <v>0</v>
      </c>
      <c r="H354" s="388">
        <f ca="1">Weather_data!$G353</f>
        <v>0</v>
      </c>
      <c r="I354" s="388">
        <f ca="1">Weather_data!$I353</f>
        <v>0</v>
      </c>
      <c r="J354" s="388">
        <f ca="1">Weather_data!$H353</f>
        <v>0</v>
      </c>
      <c r="K354" s="389">
        <f ca="1">Weather_data!$D353</f>
        <v>0</v>
      </c>
      <c r="L354" s="388" t="e">
        <f t="shared" ca="1" si="1281"/>
        <v>#N/A</v>
      </c>
      <c r="M354" s="388" t="e">
        <f t="shared" ca="1" si="1158"/>
        <v>#N/A</v>
      </c>
      <c r="N354" s="388">
        <f t="shared" ca="1" si="1159"/>
        <v>-5.9616062596245383E-17</v>
      </c>
      <c r="O354" s="388">
        <f t="shared" ca="1" si="1282"/>
        <v>5.9616062596245388E-16</v>
      </c>
      <c r="P354" s="390">
        <v>3</v>
      </c>
      <c r="Q354" s="388">
        <f ca="1">MAX($G354-Control!$C$107,0)</f>
        <v>0</v>
      </c>
      <c r="R354" s="388">
        <f t="shared" ca="1" si="1283"/>
        <v>0</v>
      </c>
      <c r="S354" s="388">
        <f t="shared" ca="1" si="1160"/>
        <v>0</v>
      </c>
      <c r="T354" s="388">
        <f t="shared" ca="1" si="1161"/>
        <v>0</v>
      </c>
      <c r="U354" s="59">
        <f t="shared" ca="1" si="1162"/>
        <v>0</v>
      </c>
      <c r="V354" s="391">
        <f ca="1">MAX(0,MIN(Control!$C$100-Control!$C$99,$G354-Control!$C$99)*Control!$C$63)</f>
        <v>0</v>
      </c>
      <c r="W354" s="388">
        <f t="shared" ca="1" si="1284"/>
        <v>0</v>
      </c>
      <c r="X354" s="388">
        <f t="shared" ca="1" si="1285"/>
        <v>0.6110000000000001</v>
      </c>
      <c r="Y354" s="388">
        <f t="shared" ca="1" si="1163"/>
        <v>0</v>
      </c>
      <c r="Z354" s="388">
        <f t="shared" ca="1" si="1286"/>
        <v>0.61058800000000002</v>
      </c>
      <c r="AA354" s="388">
        <f t="shared" ca="1" si="1164"/>
        <v>0.6018</v>
      </c>
      <c r="AB354" s="388">
        <f ca="1">101.3*EXP(-0.034*Control!$C$66/($G354+273))</f>
        <v>100.69623283836242</v>
      </c>
      <c r="AC354" s="392">
        <f t="shared" ca="1" si="1165"/>
        <v>4.3460251046025113E-2</v>
      </c>
      <c r="AD354" s="392">
        <f t="shared" ca="1" si="1166"/>
        <v>4.4450382862832649E-2</v>
      </c>
      <c r="AE354" s="388">
        <f t="shared" ca="1" si="1167"/>
        <v>0</v>
      </c>
      <c r="AF354" s="388">
        <f ca="1">MAX(0,$G354-Control!$C$92)</f>
        <v>0</v>
      </c>
      <c r="AG354" s="393">
        <f t="shared" ca="1" si="1168"/>
        <v>350</v>
      </c>
      <c r="AH354" s="389">
        <f t="shared" ca="1" si="1169"/>
        <v>350</v>
      </c>
      <c r="AI354" s="388">
        <f t="shared" ca="1" si="1287"/>
        <v>-0.40767600098434509</v>
      </c>
      <c r="AJ354" s="388">
        <f ca="1">IF(Control!$C$60&lt;=0,$HH354,$HI354)</f>
        <v>1</v>
      </c>
      <c r="AK354" s="388">
        <f t="shared" ca="1" si="1170"/>
        <v>4.64783570668079</v>
      </c>
      <c r="AL354" s="388">
        <f t="shared" ca="1" si="1171"/>
        <v>-2.308271976336762E-17</v>
      </c>
      <c r="AM354" s="388">
        <f t="shared" ca="1" si="1172"/>
        <v>4.64783570668079</v>
      </c>
      <c r="AN354" s="388">
        <f t="shared" ca="1" si="1173"/>
        <v>-0.40821479673440453</v>
      </c>
      <c r="AO354" s="388">
        <f ca="1">-0.10453/COS(Control!$B$8*PI()/180)*COS(AN354)</f>
        <v>-0.15583380487965409</v>
      </c>
      <c r="AP354" s="388">
        <f ca="1">ACOS(AO354-TAN(Control!$B$8*PI()/180)*TAN(AN354))</f>
        <v>1.1617284581251404</v>
      </c>
      <c r="AQ354" s="388">
        <f t="shared" ca="1" si="1288"/>
        <v>0</v>
      </c>
      <c r="AR354" s="394">
        <f t="shared" ca="1" si="1174"/>
        <v>0</v>
      </c>
      <c r="AS354" s="436">
        <f ca="1">IF(Control!$B$18=2,(IF(OR($AH354=Control!$B$175,$AH354=Control!$B$176,$AH354=Control!$B$177,$AH354=Control!$B$178,$AH354=Control!$B$179,$AH354=Control!$B$180,$AH354=Control!$B$181,$AH354=Control!$B$182,$AH354=Control!$B$183,$AH354=Control!$B$184,$AH354=Control!$B$185),1,0)),0)</f>
        <v>0</v>
      </c>
      <c r="AT354" s="436">
        <f>IF(Control!$B$20=8,IF(AND($AH354&gt;=Control!$B$172,$AH354&lt;=Control!$B$173),1,0),0)</f>
        <v>0</v>
      </c>
      <c r="AU354" s="436">
        <f>IF(Control!$B$20=8,IF($AV353=1,1*$AT354,IF($AT354=1,$AU353+1,$AU353)),0)</f>
        <v>0</v>
      </c>
      <c r="AV354" s="436">
        <f>IF(Control!$B$20=8,IF($AU354&gt;=Control!$B$174,1,0),0)</f>
        <v>0</v>
      </c>
      <c r="AW354" s="436">
        <f ca="1">IF(AND(Control!$B$18=2,Control!$B$171=1), $AV354, $AS354)</f>
        <v>0</v>
      </c>
      <c r="AX354" s="436" t="e">
        <f ca="1">IF(AND(Control!$B$18=1,$EU354&gt;=Control!$B$19),-$AY354,IF(AND(Control!$B$18=2,$AW354=1,$EU354&gt;$DS354),-$AY354, IF(Control!$C$108=0,0, IF(Control!$C$108&lt;&gt;0,1))))</f>
        <v>#N/A</v>
      </c>
      <c r="AY354" s="436" t="e">
        <f t="shared" ca="1" si="1289"/>
        <v>#N/A</v>
      </c>
      <c r="AZ354" s="436" t="e">
        <f ca="1">IF(AND(Control!$B$18=1,$EB354&gt;Control!$B$19),$AZ353+1, IF(AND(Control!$B$18=2, $AW354=1, $EB354&gt;$DS354), $AZ353+1,$AZ353))</f>
        <v>#N/A</v>
      </c>
      <c r="BA354" s="587">
        <f>IF(Control!$C$81=0,1,IF($AH354&gt;=Control!$C$82,1,0))</f>
        <v>1</v>
      </c>
      <c r="BB354" s="140" t="e">
        <f ca="1">IF($BA354&gt;$BA353,Control!$C$83,IF($AW354&gt;0,$AW354*Control!$C$84,IF(AND(Control!$B$18=1,EN353&lt;&gt;0),Control!$C$84,0)))</f>
        <v>#N/A</v>
      </c>
      <c r="BC354" s="140" t="e">
        <f t="shared" ca="1" si="1290"/>
        <v>#N/A</v>
      </c>
      <c r="BD354" s="140" t="e">
        <f ca="1">BC354*IF(OR($G354&lt;Control!$C$92,$G354&gt;Control!$C$95),0,IF(AND($G354&gt;=Control!$C$92,$G354&lt;=Control!$C$93),$G354-Control!$C$92,IF(AND($G354&gt;Control!$C$93,$G354&lt;=Control!$C$94),Control!$C$93-Control!$C$92,IF(AND($G354&gt;Control!$C$94,$G354&lt;=Control!$C$95),(Control!$C$93-Control!$C$92)*(Control!$C$94-$G354)/(Control!$C$95-Control!$C$94)))))</f>
        <v>#N/A</v>
      </c>
      <c r="BE354" s="140" t="e">
        <f t="shared" ca="1" si="1291"/>
        <v>#N/A</v>
      </c>
      <c r="BF354" s="140" t="e">
        <f ca="1">IF($BE354&lt;=Control!$C$86,$BE354,Control!$C$86-$BE354)</f>
        <v>#N/A</v>
      </c>
      <c r="BG354" s="140" t="e">
        <f ca="1">IF(AND($AW354=1,Control!$C$84&lt;9),1,IF($BE354&gt;=Control!$C$86,0,$BC354))</f>
        <v>#N/A</v>
      </c>
      <c r="BH354" s="404" t="e">
        <f ca="1">IF($BG354=0,0,IF($BE354&lt;=Control!$C$86,$BC354*9*($BF354/Control!$C$86),0))</f>
        <v>#N/A</v>
      </c>
      <c r="BI354" s="140" t="e">
        <f ca="1">IF($BG354=1,0,IF($BE354&gt;=Control!$C$86,1,IF(AND($BB354&lt;21,$BB354&gt;=9),1,$BM353)))</f>
        <v>#N/A</v>
      </c>
      <c r="BJ354" s="140" t="e">
        <f ca="1">IF($BF354&lt;0,-$BF354,$BI354*IF(OR($G354&lt;Control!$C$92,$G354&gt;Control!$C$95),0,IF(AND($G354&gt;=Control!$C$92,$G354&lt;=Control!$C$93),$G354-Control!$C$92,IF(AND($G354&gt;Control!$C$93,$G354&lt;=Control!$C$94),Control!$C$93-Control!$C$92,IF(AND($G354&gt;Control!$C$94,$G354&lt;=Control!$C$95),(Control!$C$93-Control!$C$92)*(Control!$C$94-$G354)/(Control!$C$95-Control!$C$94))))))</f>
        <v>#N/A</v>
      </c>
      <c r="BK354" s="140" t="e">
        <f t="shared" ca="1" si="1292"/>
        <v>#N/A</v>
      </c>
      <c r="BL354" s="140" t="e">
        <f ca="1">IF($BK354&lt;=Control!$C$87,$BK354,Control!$C$87-$BK354)</f>
        <v>#N/A</v>
      </c>
      <c r="BM354" s="140" t="e">
        <f ca="1">IF(AND($BB354&gt;=9,$BB354&lt;21),1,IF($BK354&gt;=Control!$C$87,0,$BI354))</f>
        <v>#N/A</v>
      </c>
      <c r="BN354" s="404" t="e">
        <f ca="1">IF($BM354=0,0,IF($BK354&lt;=Control!$C$87,$BI354*(9+(21-9)*($BL354/Control!$C$87)),0))</f>
        <v>#N/A</v>
      </c>
      <c r="BO354" s="140" t="e">
        <f ca="1">IF($BM354=1,0,IF($BK354&gt;=Control!$C$87,1,IF(AND($BB354&lt;30,$BB354&gt;=21),1,$BS353)))</f>
        <v>#N/A</v>
      </c>
      <c r="BP354" s="140" t="e">
        <f ca="1">IF($BL354&lt;0,-$BL354,$BO354*IF(OR($G354&lt;Control!$C$92,$G354&gt;Control!$C$95),0,IF(AND($G354&gt;=Control!$C$92,$G354&lt;=Control!$C$93),$G354-Control!$C$92,IF(AND($G354&gt;Control!$C$93,$G354&lt;=Control!$C$94),Control!$C$93-Control!$C$92,IF(AND($G354&gt;Control!$C$94,$G354&lt;=Control!$C$95),(Control!$C$93-Control!$C$92)*(Control!$C$94-$G354)/(Control!$C$95-Control!$C$94))))))</f>
        <v>#N/A</v>
      </c>
      <c r="BQ354" s="140" t="e">
        <f t="shared" ca="1" si="1175"/>
        <v>#N/A</v>
      </c>
      <c r="BR354" s="140" t="e">
        <f ca="1">IF($BQ354&lt;=Control!$C$88,$BQ354,Control!$C$88-$BQ354)</f>
        <v>#N/A</v>
      </c>
      <c r="BS354" s="140" t="e">
        <f ca="1">IF(AND($BB354&gt;=21,$BB354&lt;30),1,IF($BQ354&gt;=Control!$C$88,0,$BO354))</f>
        <v>#N/A</v>
      </c>
      <c r="BT354" s="404" t="e">
        <f ca="1">IF($BS354=0,0,IF($BQ354&lt;=Control!$C$88,$BO354*(21+(30-21)*(BR354/Control!$C$88)),0))</f>
        <v>#N/A</v>
      </c>
      <c r="BU354" s="140" t="e">
        <f ca="1">IF(BG354+BM354+BS354=1,0,IF(OR(AND($BB354&lt;60,$BB354&gt;=30),$BQ354&gt;=Control!$C$88),1*$BA354,$BY353))</f>
        <v>#N/A</v>
      </c>
      <c r="BV354" s="140" t="e">
        <f ca="1">IF($BR354&lt;0,-$BR354,$BU354*IF(OR($G354&lt;Control!$C$92,$G354&gt;Control!$C$95),0,IF(AND($G354&gt;=Control!$C$92,$G354&lt;=Control!$C$93),$G354-Control!$C$92,IF(AND($G354&gt;Control!$C$93,$G354&lt;=Control!$C$94),Control!$C$93-Control!$C$92,IF(AND($G354&gt;Control!$C$94,$G354&lt;=Control!$C$95),(Control!$C$93-Control!$C$92)*(Control!$C$94-$G354)/(Control!$C$95-Control!$C$94))))))</f>
        <v>#N/A</v>
      </c>
      <c r="BW354" s="140" t="e">
        <f t="shared" ca="1" si="1176"/>
        <v>#N/A</v>
      </c>
      <c r="BX354" s="140" t="e">
        <f ca="1">IF($BW354&lt;=Control!$C$89,$BW354,Control!$C$89-$BW354)</f>
        <v>#N/A</v>
      </c>
      <c r="BY354" s="140" t="e">
        <f ca="1">IF(AND($AJ354&gt;=30,$AJ354&lt;60),1,IF($BW354&gt;=Control!$C$89,0,$BU354))</f>
        <v>#N/A</v>
      </c>
      <c r="BZ354" s="404" t="e">
        <f ca="1">IF($BY354=0,0,IF($BW354&lt;=Control!$C$89,$BU354*(30+(60-30)*(BX354/Control!$C$89)),0))</f>
        <v>#N/A</v>
      </c>
      <c r="CA354" s="140" t="e">
        <f ca="1">IF($BG354+$BM354+$BS354+$BY354=1,0,IF(OR(AND($BB354&lt;65,$BB354&gt;=60),$BW354&gt;=Control!$C$89),1*$BA354,$CE353))</f>
        <v>#N/A</v>
      </c>
      <c r="CB354" s="140" t="e">
        <f ca="1">IF($BX354&lt;0,-$BX354,$CA354*IF(OR($G354&lt;Control!$C$92,$G354&gt;Control!$C$95),0,IF(AND($G354&gt;=Control!$C$92,$G354&lt;=Control!$C$93),$G354-Control!$C$92,IF(AND($G354&gt;Control!$C$93,$G354&lt;=Control!$C$94),Control!$C$93-Control!$C$92,IF(AND($G354&gt;Control!$C$94,$G354&lt;=Control!$C$95),(Control!$C$93-Control!$C$92)*(Control!$C$94-$G354)/(Control!$C$95-Control!$C$94))))))</f>
        <v>#N/A</v>
      </c>
      <c r="CC354" s="140" t="e">
        <f t="shared" ca="1" si="1293"/>
        <v>#N/A</v>
      </c>
      <c r="CD354" s="140" t="e">
        <f ca="1">IF($CC354&lt;=Control!$C$90,$CC354,Control!$C$90-$CC354)</f>
        <v>#N/A</v>
      </c>
      <c r="CE354" s="140" t="e">
        <f ca="1">IF(AND($BB354&gt;=60,$BB354&lt;65),1,IF($CC354&gt;=Control!$C$90,0,$CA354))</f>
        <v>#N/A</v>
      </c>
      <c r="CF354" s="404" t="e">
        <f ca="1">IF($CE354=0,0,IF($CC354&lt;=Control!$C$90,$CA354*(60+(65-60)*(CD354/Control!$C$90)),0))</f>
        <v>#N/A</v>
      </c>
      <c r="CG354" s="140" t="e">
        <f ca="1">IF($BG354+$BM354+$BS354+$BY354+$CE354=1,0,IF(OR(AND($BB354&lt;90,$BB354&gt;=65),$CC354&gt;=Control!$C$90),$BA354,$CK353))</f>
        <v>#N/A</v>
      </c>
      <c r="CH354" s="140" t="e">
        <f ca="1">IF($CD354&lt;0,-$CD354,$CG354*IF(OR($G354&lt;Control!$C$92,$G354&gt;Control!$C$95),0,IF(AND($G354&gt;=Control!$C$92,$G354&lt;=Control!$C$93),$G354-Control!$C$92,IF(AND($G354&gt;Control!$C$93,$G354&lt;=Control!$C$94),Control!$C$93-Control!$C$92,IF(AND($G354&gt;Control!$C$94,$G354&lt;=Control!$C$95),(Control!$C$93-Control!$C$92)*(Control!$C$94-$G354)/(Control!$C$95-Control!$C$94))))))</f>
        <v>#N/A</v>
      </c>
      <c r="CI354" s="140" t="e">
        <f t="shared" ca="1" si="1294"/>
        <v>#N/A</v>
      </c>
      <c r="CJ354" s="140" t="e">
        <f ca="1">IF($CI354&lt;=Control!$C$91,$CI354,Control!$C$91-$CI354)</f>
        <v>#N/A</v>
      </c>
      <c r="CK354" s="140" t="e">
        <f ca="1">IF(AND($BB354&gt;=65,$BB354&lt;90),1,IF($CI354&gt;=Control!$C$91,0,$CG354))</f>
        <v>#N/A</v>
      </c>
      <c r="CL354" s="404" t="e">
        <f ca="1">IF($CK354=0,0,IF($CI354&lt;=Control!$C$91,$CG354*(65+(90-65)*($CJ354/Control!$C$91)),0))</f>
        <v>#N/A</v>
      </c>
      <c r="CM354" s="140" t="e">
        <f ca="1">IF($BG354+$BM354+$BS354+$BY354+$CE354+$CK354=1,0,IF(OR($BB354&gt;=90,$CI354&gt;=Control!$C$91),$BA354,$CM353))</f>
        <v>#N/A</v>
      </c>
      <c r="CN354" s="140" t="e">
        <f t="shared" ca="1" si="1295"/>
        <v>#N/A</v>
      </c>
      <c r="CO354" s="140" t="e">
        <f t="shared" ca="1" si="1296"/>
        <v>#N/A</v>
      </c>
      <c r="CP354" s="140" t="e">
        <f t="shared" ca="1" si="1297"/>
        <v>#N/A</v>
      </c>
      <c r="CQ354" s="141" t="e">
        <f ca="1">VLOOKUP($CP354,Control!$B$86:$G$91,6)</f>
        <v>#N/A</v>
      </c>
      <c r="CR354" s="141" t="e">
        <f ca="1">(1-$CQ354)*VLOOKUP($CP354,Control!$B$86:$D$91,3)</f>
        <v>#N/A</v>
      </c>
      <c r="CS354" s="141" t="e">
        <f ca="1">(1-$CQ354)*VLOOKUP($CP354,Control!$B$86:$E$91,4)</f>
        <v>#N/A</v>
      </c>
      <c r="CT354" s="141" t="e">
        <f ca="1">(1-$CQ354)*VLOOKUP($CP354,Control!$B$86:$F$91,5)</f>
        <v>#N/A</v>
      </c>
      <c r="CU354" s="141">
        <f t="shared" ca="1" si="1298"/>
        <v>0</v>
      </c>
      <c r="CV354" s="583">
        <f t="shared" ca="1" si="1299"/>
        <v>0</v>
      </c>
      <c r="CW354" s="142">
        <f t="shared" ca="1" si="1300"/>
        <v>350</v>
      </c>
      <c r="CX354" s="612" t="e">
        <f ca="1">IF(Control!$C$114=1,(MIN(Control!$C$120*(IF($NT354-0.01&lt;0,0,1)),Control!$C$119-$CY354)))</f>
        <v>#DIV/0!</v>
      </c>
      <c r="CY354" s="143" t="e">
        <f t="shared" ca="1" si="1301"/>
        <v>#N/A</v>
      </c>
      <c r="CZ354" s="144">
        <f t="shared" ca="1" si="1177"/>
        <v>0</v>
      </c>
      <c r="DA354" s="144">
        <f t="shared" ca="1" si="1178"/>
        <v>0</v>
      </c>
      <c r="DB354" s="144" t="e">
        <f t="shared" ca="1" si="1179"/>
        <v>#N/A</v>
      </c>
      <c r="DC354" s="144" t="e">
        <f t="shared" ca="1" si="1180"/>
        <v>#N/A</v>
      </c>
      <c r="DD354" s="144" t="e">
        <f t="shared" ca="1" si="1386"/>
        <v>#N/A</v>
      </c>
      <c r="DE354" s="143" t="e">
        <f t="shared" ca="1" si="1302"/>
        <v>#N/A</v>
      </c>
      <c r="DF354" s="145" t="e">
        <f ca="1">$DR354*EXP(-Control!$C$158*(1-$KH354))</f>
        <v>#N/A</v>
      </c>
      <c r="DG354" s="146" t="e">
        <f ca="1">IF(Control!$C$114=1, $DF354*$EY354, 0)</f>
        <v>#N/A</v>
      </c>
      <c r="DH354" s="147" t="e">
        <f t="shared" ca="1" si="1303"/>
        <v>#N/A</v>
      </c>
      <c r="DI354" s="144" t="e">
        <f t="shared" ca="1" si="1364"/>
        <v>#N/A</v>
      </c>
      <c r="DJ354" s="147" t="e">
        <f ca="1">$EF354*Control!$C$109</f>
        <v>#N/A</v>
      </c>
      <c r="DK354" s="144" t="e">
        <f t="shared" ca="1" si="1304"/>
        <v>#N/A</v>
      </c>
      <c r="DL354" s="144" t="e">
        <f t="shared" ca="1" si="1181"/>
        <v>#N/A</v>
      </c>
      <c r="DM354" s="144" t="e">
        <f ca="1">IF(Control!$C$114=1, (1-EXP(-Control!$C$96*$DK354))*$AR354, 0)</f>
        <v>#N/A</v>
      </c>
      <c r="DN354" s="144">
        <f t="shared" ca="1" si="1305"/>
        <v>0</v>
      </c>
      <c r="DO354" s="148">
        <f>Control!$C$97</f>
        <v>4</v>
      </c>
      <c r="DP354" s="145" t="e">
        <f t="shared" ca="1" si="1306"/>
        <v>#N/A</v>
      </c>
      <c r="DQ354" s="145" t="e">
        <f ca="1">IF(AND($CP354&gt;=0,$CP354&lt;=90),Control!$C$111,Control!$C$111)</f>
        <v>#N/A</v>
      </c>
      <c r="DR354" s="145" t="e">
        <f t="shared" ca="1" si="1182"/>
        <v>#N/A</v>
      </c>
      <c r="DS354" s="143" t="e">
        <f ca="1">Control!$B$22/$DR354</f>
        <v>#N/A</v>
      </c>
      <c r="DT354" s="149" t="e">
        <f ca="1">IF(AND(Control!$C$114=1,$KH354&lt;1),$IM354*$DF354, 0)</f>
        <v>#N/A</v>
      </c>
      <c r="DU354" s="144" t="e">
        <f t="shared" ca="1" si="1307"/>
        <v>#N/A</v>
      </c>
      <c r="DV354" s="144">
        <f ca="1">IF($G354-Control!$C$107&lt;=0, 0, 0.83*LN(MAX($G354, 3))-0.8924)</f>
        <v>0</v>
      </c>
      <c r="DW354" s="144" t="e">
        <f t="shared" ca="1" si="1183"/>
        <v>#N/A</v>
      </c>
      <c r="DX354" s="150" t="e">
        <f ca="1">MAX(0.01*(1+$CU354/Control!$C$102),0.05*($DK354-Control!$C$97)/Control!$C$97)</f>
        <v>#N/A</v>
      </c>
      <c r="DY354" s="151" t="e">
        <f ca="1">IF(Control!$C$114=1, $DI354*$FS354, 0)</f>
        <v>#N/A</v>
      </c>
      <c r="DZ354" s="196" t="e">
        <f t="shared" ca="1" si="1308"/>
        <v>#N/A</v>
      </c>
      <c r="EA354" s="152">
        <f t="shared" ca="1" si="1309"/>
        <v>350</v>
      </c>
      <c r="EB354" s="153" t="e">
        <f t="shared" ca="1" si="1310"/>
        <v>#N/A</v>
      </c>
      <c r="EC354" s="153" t="e">
        <f t="shared" ca="1" si="1311"/>
        <v>#N/A</v>
      </c>
      <c r="ED354" s="154" t="e">
        <f ca="1">IF(Control!$C$114=1, $HM354*$FY354-$FD354, 0)</f>
        <v>#DIV/0!</v>
      </c>
      <c r="EE354" s="155" t="e">
        <f ca="1">IF(Control!$C$114=1, $HM354*$FZ354-$FF354, 0)</f>
        <v>#DIV/0!</v>
      </c>
      <c r="EF354" s="153" t="e">
        <f t="shared" ca="1" si="1365"/>
        <v>#N/A</v>
      </c>
      <c r="EG354" s="155" t="e">
        <f ca="1">IF(Control!$C$114=1, $GX354*$FW354-$FI354, 0)</f>
        <v>#DIV/0!</v>
      </c>
      <c r="EH354" s="153" t="e">
        <f t="shared" ca="1" si="1312"/>
        <v>#N/A</v>
      </c>
      <c r="EI354" s="156" t="e">
        <f t="shared" ca="1" si="1313"/>
        <v>#N/A</v>
      </c>
      <c r="EJ354" s="155" t="e">
        <f ca="1">IF(Control!$C$114=1, $HM354*$GB354, 0)</f>
        <v>#DIV/0!</v>
      </c>
      <c r="EK354" s="153" t="e">
        <f t="shared" ca="1" si="1366"/>
        <v>#N/A</v>
      </c>
      <c r="EL354" s="153" t="e">
        <f t="shared" ca="1" si="1184"/>
        <v>#N/A</v>
      </c>
      <c r="EM354" s="153" t="e">
        <f t="shared" ca="1" si="1185"/>
        <v>#N/A</v>
      </c>
      <c r="EN354" s="153" t="e">
        <f ca="1">IF(Control!$C$108=1,IF(AND(Control!$B$18=1,$EB354&gt;=Control!$B$19),$EB354-$DS354,IF(AND(Control!$B$18=2,$AW354=1,$EB354&gt;$DS354),$EB354-$DS354,0)))</f>
        <v>#N/A</v>
      </c>
      <c r="EO354" s="153" t="e">
        <f ca="1">IF(Control!$C$108=1,IF(AND(Control!$B$18=1,$EB354&gt;=Control!$B$19),$EF354,IF(AND(Control!$B$18=2,$AW354=1),$EF354,0)))</f>
        <v>#N/A</v>
      </c>
      <c r="EP354" s="153" t="e">
        <f ca="1">IF(Control!$C$108=1,IF(AND(Control!$B$18=1,$EB354&gt;=Control!$B$19),$EK354,IF(AND(Control!$B$18=2,$AW354=1),$EK354,0)))</f>
        <v>#N/A</v>
      </c>
      <c r="EQ354" s="153" t="e">
        <f t="shared" ca="1" si="1314"/>
        <v>#N/A</v>
      </c>
      <c r="ER354" s="153" t="e">
        <f t="shared" ca="1" si="1315"/>
        <v>#N/A</v>
      </c>
      <c r="ES354" s="153" t="e">
        <f t="shared" ca="1" si="1367"/>
        <v>#N/A</v>
      </c>
      <c r="ET354" s="153" t="e">
        <f t="shared" ca="1" si="1368"/>
        <v>#N/A</v>
      </c>
      <c r="EU354" s="153" t="e">
        <f t="shared" ca="1" si="1316"/>
        <v>#N/A</v>
      </c>
      <c r="EV354" s="153" t="e">
        <f t="shared" ca="1" si="1186"/>
        <v>#N/A</v>
      </c>
      <c r="EW354" s="153" t="e">
        <f t="shared" ca="1" si="1187"/>
        <v>#N/A</v>
      </c>
      <c r="EX354" s="153" t="e">
        <f t="shared" ca="1" si="1188"/>
        <v>#N/A</v>
      </c>
      <c r="EY354" s="157" t="e">
        <f t="shared" ca="1" si="1189"/>
        <v>#DIV/0!</v>
      </c>
      <c r="EZ354" s="154" t="e">
        <f t="shared" ca="1" si="1190"/>
        <v>#DIV/0!</v>
      </c>
      <c r="FA354" s="153" t="e">
        <f t="shared" ca="1" si="1317"/>
        <v>#N/A</v>
      </c>
      <c r="FB354" s="153" t="e">
        <f t="shared" ca="1" si="1191"/>
        <v>#N/A</v>
      </c>
      <c r="FC354" s="193" t="e">
        <f t="shared" ca="1" si="1192"/>
        <v>#N/A</v>
      </c>
      <c r="FD354" s="158" t="e">
        <f t="shared" ca="1" si="1318"/>
        <v>#N/A</v>
      </c>
      <c r="FE354" s="158" t="e">
        <f t="shared" ca="1" si="1319"/>
        <v>#N/A</v>
      </c>
      <c r="FF354" s="159" t="e">
        <f t="shared" ca="1" si="1193"/>
        <v>#N/A</v>
      </c>
      <c r="FG354" s="160" t="e">
        <f t="shared" ca="1" si="1320"/>
        <v>#N/A</v>
      </c>
      <c r="FH354" s="158" t="e">
        <f t="shared" ca="1" si="1321"/>
        <v>#N/A</v>
      </c>
      <c r="FI354" s="159" t="e">
        <f t="shared" ca="1" si="1194"/>
        <v>#N/A</v>
      </c>
      <c r="FJ354" s="160" t="e">
        <f t="shared" ca="1" si="1322"/>
        <v>#N/A</v>
      </c>
      <c r="FK354" s="160" t="e">
        <f t="shared" ca="1" si="1195"/>
        <v>#N/A</v>
      </c>
      <c r="FL354" s="160" t="e">
        <f t="shared" ca="1" si="1369"/>
        <v>#N/A</v>
      </c>
      <c r="FM354" s="160" t="e">
        <f t="shared" ca="1" si="1196"/>
        <v>#N/A</v>
      </c>
      <c r="FN354" s="158">
        <f t="shared" ca="1" si="1323"/>
        <v>0.01</v>
      </c>
      <c r="FO354" s="160">
        <f>Control!$C$101</f>
        <v>50</v>
      </c>
      <c r="FP354" s="150" t="e">
        <f t="shared" ca="1" si="1197"/>
        <v>#N/A</v>
      </c>
      <c r="FQ354" s="150" t="e">
        <f ca="1">MAX(0,(Control!$C$112*(($DK354-Control!$C$97)/Control!$C$97)))</f>
        <v>#N/A</v>
      </c>
      <c r="FR354" s="150" t="e">
        <f ca="1">(1-$NT354)*Control!$C$113</f>
        <v>#DIV/0!</v>
      </c>
      <c r="FS354" s="198" t="e">
        <f t="shared" ca="1" si="1198"/>
        <v>#N/A</v>
      </c>
      <c r="FT354" s="161">
        <f t="shared" ca="1" si="1324"/>
        <v>350</v>
      </c>
      <c r="FU354" s="162" t="e">
        <f ca="1">IF(Control!$B$34=1,VLOOKUP($CP354,Control!$B$86:$G$91,6),Control!$B$35)</f>
        <v>#N/A</v>
      </c>
      <c r="FV354" s="162" t="e">
        <f t="shared" ca="1" si="1199"/>
        <v>#DIV/0!</v>
      </c>
      <c r="FW354" s="162" t="e">
        <f ca="1">IF(Control!$B$31=1,$FU354*$FV354,  $FU354)</f>
        <v>#N/A</v>
      </c>
      <c r="FX354" s="162" t="e">
        <f ca="1">IF(Control!$B$34=1,VLOOKUP($CP354,Control!$B$86:$G$91,3),Control!$B$36)</f>
        <v>#N/A</v>
      </c>
      <c r="FY354" s="162" t="e">
        <f t="shared" ca="1" si="1200"/>
        <v>#N/A</v>
      </c>
      <c r="FZ354" s="162" t="e">
        <f ca="1">IF(Control!$B$34=1,VLOOKUP($CP354,Control!$B$86:$G$91,4),Control!$B$37)</f>
        <v>#N/A</v>
      </c>
      <c r="GA354" s="162" t="e">
        <f t="shared" ca="1" si="1201"/>
        <v>#N/A</v>
      </c>
      <c r="GB354" s="162" t="e">
        <f ca="1">IF(Control!$B$34=1,VLOOKUP($CP354,Control!$B$86:$G$91,5),Control!$B$38)</f>
        <v>#N/A</v>
      </c>
      <c r="GC354" s="162" t="e">
        <f t="shared" ca="1" si="1325"/>
        <v>#N/A</v>
      </c>
      <c r="GD354" s="162">
        <f t="shared" ca="1" si="1202"/>
        <v>1</v>
      </c>
      <c r="GE354" s="162">
        <f t="shared" ca="1" si="1203"/>
        <v>1</v>
      </c>
      <c r="GF354" s="162">
        <f ca="1">IF(AND(Control!$C$104=1, Control!$C$62="F"),$GE354,1)</f>
        <v>1</v>
      </c>
      <c r="GG354" s="162" t="e">
        <f ca="1">IF(Control!$B$16=40,0,IF(AND(Control!$B$16&gt;40,Control!$B$16&lt;=360),(Control!$B$16-40)*((1-0)/(360-40)),IF(AND(Control!$B$16&gt;360,Control!$B$16&lt;=720),(1+(Control!$B$16-360)*((1.25-1)/(720-360))),IF(AND(Control!$B$16&gt;720,Control!$B$16&lt;=1000),(1.25+(Control!$B$16-720)*((1.35-1.25)/(1000-720))),IF(AND(Control!$B$16&gt;1000,Control!$B$16&lt;=2000),(1.35+(Control!$B$16-1000)*0))))))</f>
        <v>#N/A</v>
      </c>
      <c r="GH354" s="162" t="e">
        <f t="shared" ca="1" si="1204"/>
        <v>#N/A</v>
      </c>
      <c r="GI354" s="162">
        <f t="shared" ca="1" si="1326"/>
        <v>0</v>
      </c>
      <c r="GJ354" s="162">
        <f t="shared" ca="1" si="1205"/>
        <v>0</v>
      </c>
      <c r="GK354" s="162">
        <f t="shared" ca="1" si="1327"/>
        <v>1</v>
      </c>
      <c r="GL354" s="162">
        <f t="shared" ca="1" si="1206"/>
        <v>1</v>
      </c>
      <c r="GM354" s="162" t="e">
        <f ca="1">MAX(0,MIN(1,1-Control!$C$156*(1.0001-$KH354)^2))</f>
        <v>#N/A</v>
      </c>
      <c r="GN354" s="162" t="e">
        <f ca="1">IF(Control!$B$26=1,$KU354,$KX354)</f>
        <v>#N/A</v>
      </c>
      <c r="GO354" s="162" t="e">
        <f ca="1">IF($CP354&lt;=60,Control!$C$105,IF($CP354&gt;=90,Control!$C$106,Control!$C$105+($CP354-60)*((Control!$C$106-Control!$C$105)/(90-60))))</f>
        <v>#N/A</v>
      </c>
      <c r="GP354" s="162" t="e">
        <f t="shared" ca="1" si="1207"/>
        <v>#N/A</v>
      </c>
      <c r="GQ354" s="162" t="e">
        <f t="shared" ca="1" si="1328"/>
        <v>#N/A</v>
      </c>
      <c r="GR354" s="163" t="e">
        <f t="shared" ca="1" si="1208"/>
        <v>#DIV/0!</v>
      </c>
      <c r="GS354" s="162" t="e">
        <f t="shared" ca="1" si="1209"/>
        <v>#DIV/0!</v>
      </c>
      <c r="GT354" s="164" t="e">
        <f t="shared" ca="1" si="1329"/>
        <v>#N/A</v>
      </c>
      <c r="GU354" s="162" t="e">
        <f t="shared" ca="1" si="1330"/>
        <v>#N/A</v>
      </c>
      <c r="GV354" s="162" t="e">
        <f t="shared" ca="1" si="1210"/>
        <v>#N/A</v>
      </c>
      <c r="GW354" s="162" t="e">
        <f t="shared" ca="1" si="1211"/>
        <v>#DIV/0!</v>
      </c>
      <c r="GX354" s="162" t="e">
        <f t="shared" ca="1" si="1331"/>
        <v>#DIV/0!</v>
      </c>
      <c r="GY354" s="162" t="e">
        <f t="shared" ca="1" si="1332"/>
        <v>#DIV/0!</v>
      </c>
      <c r="GZ354" s="165" t="e">
        <f t="shared" ca="1" si="1212"/>
        <v>#N/A</v>
      </c>
      <c r="HA354" s="162" t="e">
        <f ca="1">IF(Control!$C$114=1, $DI354*$FS354, 0)</f>
        <v>#N/A</v>
      </c>
      <c r="HB354" s="162" t="e">
        <f ca="1">$FA354/Control!$C$64</f>
        <v>#N/A</v>
      </c>
      <c r="HC354" s="162" t="e">
        <f t="shared" ca="1" si="1213"/>
        <v>#DIV/0!</v>
      </c>
      <c r="HD354" s="162">
        <f ca="1">-ASIN(SIN(23.45*Control!$C$139)*COS(2*Control!$C$138*($AH354+10)/365))</f>
        <v>-0.40767600098434509</v>
      </c>
      <c r="HE354" s="165">
        <f t="shared" ca="1" si="1333"/>
        <v>0</v>
      </c>
      <c r="HF354" s="166">
        <f ca="1">IF(AND(Control!$C$61="T",$HE354&gt;=Control!$C$103,Control!$C$114=0),$AH354,Control!$C$59)</f>
        <v>1</v>
      </c>
      <c r="HG354" s="166">
        <f ca="1">IF(AND(Control!$C$61="T",$HE354&gt;=Control!$C$103,Control!$C$114=0),$HF354,Control!$C$59)</f>
        <v>1</v>
      </c>
      <c r="HH354" s="165">
        <f ca="1">IF(AND(OR(Control!$C$60&lt;=0, $AH354= Control!$C$59, Control!$C$60 &gt;0, $AH354 = Control!$C$60)), Control!$C$59, IF(Control!$C$60&gt;0, 0))</f>
        <v>1</v>
      </c>
      <c r="HI354" s="165">
        <f ca="1">IF(AND(OR(Control!$C$60&lt;=0, $AH354= Control!$C$59, Control!$C$60 &gt;0, $AH354 = Control!$C$60)), Control!$C$60, IF(Control!$C$60&lt;=0, 0))</f>
        <v>0</v>
      </c>
      <c r="HJ354" s="166">
        <f ca="1">IF(AND(Control!$C$62="F",$CV354&gt;=Control!$C$102),$AH354,0)</f>
        <v>0</v>
      </c>
      <c r="HK354" s="165" t="e">
        <f t="shared" ca="1" si="1370"/>
        <v>#N/A</v>
      </c>
      <c r="HL354" s="166">
        <f ca="1">IF(AND(Control!$C$61="T",$HE354&gt;=Control!$C$103,Control!$C$114=0),$HF354,0)</f>
        <v>0</v>
      </c>
      <c r="HM354" s="201" t="e">
        <f t="shared" ca="1" si="1214"/>
        <v>#DIV/0!</v>
      </c>
      <c r="HN354" s="215">
        <f t="shared" ca="1" si="1334"/>
        <v>350</v>
      </c>
      <c r="HO354" s="216" t="e">
        <f ca="1">IF(AND($CP354&gt;=0, $CP354&lt;=90), Control!$C$152, Control!$C$152)</f>
        <v>#N/A</v>
      </c>
      <c r="HP354" s="216" t="e">
        <f t="shared" ca="1" si="1215"/>
        <v>#N/A</v>
      </c>
      <c r="HQ354" s="217" t="e">
        <f ca="1">IF(OR(Control!$B$26=1,Control!$B$26=2),$KV354,$KS354)</f>
        <v>#DIV/0!</v>
      </c>
      <c r="HR354" s="218" t="e">
        <f t="shared" ca="1" si="1371"/>
        <v>#DIV/0!</v>
      </c>
      <c r="HS354" s="216" t="e">
        <f ca="1">Control!$C$154*$HP354</f>
        <v>#N/A</v>
      </c>
      <c r="HT354" s="216" t="e">
        <f ca="1">Control!$C$155*$HP354</f>
        <v>#N/A</v>
      </c>
      <c r="HU354" s="217" t="e">
        <f ca="1">Control!$C$161*$FI354</f>
        <v>#N/A</v>
      </c>
      <c r="HV354" s="218" t="e">
        <f t="shared" ca="1" si="1335"/>
        <v>#N/A</v>
      </c>
      <c r="HW354" s="218" t="e">
        <f ca="1">Control!$C$160*$FF354+$IP354*$EO354</f>
        <v>#N/A</v>
      </c>
      <c r="HX354" s="218" t="e">
        <f t="shared" ca="1" si="1372"/>
        <v>#N/A</v>
      </c>
      <c r="HY354" s="219" t="e">
        <f ca="1">IF(Control!$C$114=1, $EB354*$FS354, 0)</f>
        <v>#N/A</v>
      </c>
      <c r="HZ354" s="91" t="e">
        <f t="shared" ca="1" si="1216"/>
        <v>#N/A</v>
      </c>
      <c r="IA354" s="220" t="e">
        <f ca="1">Control!$C$153*$HO354</f>
        <v>#N/A</v>
      </c>
      <c r="IB354" s="218" t="e">
        <f t="shared" ca="1" si="1217"/>
        <v>#N/A</v>
      </c>
      <c r="IC354" s="220" t="e">
        <f ca="1">Control!$C$153*$HT354</f>
        <v>#N/A</v>
      </c>
      <c r="ID354" s="218" t="e">
        <f t="shared" ca="1" si="1218"/>
        <v>#N/A</v>
      </c>
      <c r="IE354" s="221" t="e">
        <f ca="1">($EB354*Control!$C$159+$EF354*Control!$C$160)/(IF($GZ354&lt;&gt;0,$GZ354,1))</f>
        <v>#N/A</v>
      </c>
      <c r="IF354" s="216" t="e">
        <f t="shared" ca="1" si="1219"/>
        <v>#N/A</v>
      </c>
      <c r="IG354" s="91">
        <f ca="1">IF(OR(Control!$B$198=$AH354,Control!$B$199=$AH354, Control!$B$200=$AH354, Control!$B$201=$AH354, Control!$B$202=$AH354, Control!$B$203=$AH354, Control!$B$204=$AH354, Control!$B$205=$AH354, Control!$B$206=$AH354, Control!$B$207=$AH354), 1, 0)</f>
        <v>0</v>
      </c>
      <c r="IH354" s="91">
        <f ca="1">IF($IG354=0,0, VLOOKUP($AH354,Control!$B$198:$C$207,2))</f>
        <v>0</v>
      </c>
      <c r="II354" s="222">
        <f t="shared" ca="1" si="1336"/>
        <v>0</v>
      </c>
      <c r="IJ354" s="91">
        <f>Control!$C$121</f>
        <v>0.7</v>
      </c>
      <c r="IK354" s="218">
        <f t="shared" ca="1" si="1220"/>
        <v>0</v>
      </c>
      <c r="IL354" s="217" t="e">
        <f t="shared" ca="1" si="1373"/>
        <v>#N/A</v>
      </c>
      <c r="IM354" s="223" t="e">
        <f ca="1">IF(AND(Control!$C$114=1,$KH354&lt;1),$EB354*Control!$C$148*(1-$KH354), 0)</f>
        <v>#N/A</v>
      </c>
      <c r="IN354" s="217" t="e">
        <f t="shared" ca="1" si="1221"/>
        <v>#DIV/0!</v>
      </c>
      <c r="IO354" s="91" t="e">
        <f ca="1">MAX(0,$IL354-$EF354*Control!$C$160)</f>
        <v>#N/A</v>
      </c>
      <c r="IP354" s="220" t="e">
        <f t="shared" ca="1" si="1222"/>
        <v>#N/A</v>
      </c>
      <c r="IQ354" s="217" t="e">
        <f t="shared" ca="1" si="1337"/>
        <v>#N/A</v>
      </c>
      <c r="IR354" s="218" t="e">
        <f t="shared" ca="1" si="1223"/>
        <v>#N/A</v>
      </c>
      <c r="IS354" s="217" t="e">
        <f ca="1">Control!$C$159*MAX(0,$FD354-$EN354)</f>
        <v>#N/A</v>
      </c>
      <c r="IT354" s="217" t="e">
        <f t="shared" ca="1" si="1374"/>
        <v>#N/A</v>
      </c>
      <c r="IU354" s="217" t="e">
        <f t="shared" ca="1" si="1338"/>
        <v>#N/A</v>
      </c>
      <c r="IV354" s="217" t="e">
        <f t="shared" ca="1" si="1375"/>
        <v>#N/A</v>
      </c>
      <c r="IW354" s="217" t="e">
        <f ca="1">IF(OR($AW354=1,AND($AW354=0, Control!$B$18=1,$EN354&lt;&gt;0)), $IQ354-$IU354, $IQ354)</f>
        <v>#N/A</v>
      </c>
      <c r="IX354" s="218" t="e">
        <f t="shared" ca="1" si="1224"/>
        <v>#N/A</v>
      </c>
      <c r="IY354" s="218" t="e">
        <f ca="1">MAX(0,$IQ354-$EB354*Control!$C$159)</f>
        <v>#N/A</v>
      </c>
      <c r="IZ354" s="218" t="e">
        <f t="shared" ca="1" si="1225"/>
        <v>#N/A</v>
      </c>
      <c r="JA354" s="216" t="e">
        <f t="shared" ca="1" si="1226"/>
        <v>#N/A</v>
      </c>
      <c r="JB354" s="217" t="e">
        <f t="shared" ca="1" si="1227"/>
        <v>#N/A</v>
      </c>
      <c r="JC354" s="222" t="e">
        <f ca="1">MAX(Control!$C$157*$EK354-$JT354, 0)/Control!$C$162</f>
        <v>#N/A</v>
      </c>
      <c r="JD354" s="218" t="e">
        <f t="shared" ca="1" si="1228"/>
        <v>#N/A</v>
      </c>
      <c r="JE354" s="218" t="e">
        <f t="shared" ca="1" si="1229"/>
        <v>#N/A</v>
      </c>
      <c r="JF354" s="218" t="e">
        <f t="shared" ca="1" si="1339"/>
        <v>#N/A</v>
      </c>
      <c r="JG354" s="218" t="e">
        <f t="shared" ca="1" si="1230"/>
        <v>#N/A</v>
      </c>
      <c r="JH354" s="217" t="e">
        <f t="shared" ca="1" si="1340"/>
        <v>#N/A</v>
      </c>
      <c r="JI354" s="217" t="e">
        <f t="shared" ca="1" si="1341"/>
        <v>#N/A</v>
      </c>
      <c r="JJ354" s="217" t="e">
        <f t="shared" ca="1" si="1376"/>
        <v>#N/A</v>
      </c>
      <c r="JK354" s="217" t="e">
        <f ca="1">IF(Control!$C$114=1,IF(Control!$B$24=0,MAX(0,$JI354)*$GN354/Control!$C$64,(MAX(0,MIN($JI354,$JJ354*$GN354/Control!$C$64),0))))</f>
        <v>#N/A</v>
      </c>
      <c r="JL354" s="217" t="e">
        <f ca="1">$IK354/Control!$C$64-$JK354+$HQ354</f>
        <v>#N/A</v>
      </c>
      <c r="JM354" s="217" t="e">
        <f ca="1">IF(Control!$C$114=1,($JB354/(IF($JI354&lt;&gt;0,$JI354,1)))*$JK354,0)</f>
        <v>#N/A</v>
      </c>
      <c r="JN354" s="217" t="e">
        <f ca="1">IF(Control!$C$114=1,($JG354/(IF($JI354&lt;&gt;0,$JI354,1)))*$JK354, 0)</f>
        <v>#N/A</v>
      </c>
      <c r="JO354" s="218" t="e">
        <f t="shared" ca="1" si="1231"/>
        <v>#N/A</v>
      </c>
      <c r="JP354" s="218" t="e">
        <f ca="1">MIN(($IY354+$IO354)*Control!$C$151, $JF354-$EH354*Control!$C$161)</f>
        <v>#N/A</v>
      </c>
      <c r="JQ354" s="218" t="e">
        <f t="shared" ca="1" si="1232"/>
        <v>#N/A</v>
      </c>
      <c r="JR354" s="217" t="e">
        <f ca="1">IF($CP354-Control!$C$150&lt;0, 0, $JQ354/Control!$C$162)</f>
        <v>#N/A</v>
      </c>
      <c r="JS354" s="218" t="e">
        <f t="shared" ca="1" si="1233"/>
        <v>#N/A</v>
      </c>
      <c r="JT354" s="218" t="e">
        <f t="shared" ca="1" si="1342"/>
        <v>#N/A</v>
      </c>
      <c r="JU354" s="218" t="e">
        <f t="shared" ca="1" si="1234"/>
        <v>#N/A</v>
      </c>
      <c r="JV354" s="218" t="e">
        <f t="shared" ca="1" si="1235"/>
        <v>#N/A</v>
      </c>
      <c r="JW354" s="216" t="e">
        <f t="shared" ca="1" si="1236"/>
        <v>#N/A</v>
      </c>
      <c r="JX354" s="91" t="e">
        <f t="shared" ca="1" si="1237"/>
        <v>#N/A</v>
      </c>
      <c r="JY354" s="218" t="e">
        <f t="shared" ca="1" si="1238"/>
        <v>#N/A</v>
      </c>
      <c r="JZ354" s="217" t="e">
        <f ca="1">IF(Control!$C$114=1,($IZ354/(IF($JI354&lt;&gt;0,$JI354,1)))*$JK354, 0)</f>
        <v>#N/A</v>
      </c>
      <c r="KA354" s="218" t="e">
        <f t="shared" ca="1" si="1377"/>
        <v>#N/A</v>
      </c>
      <c r="KB354" s="218" t="e">
        <f t="shared" ca="1" si="1343"/>
        <v>#N/A</v>
      </c>
      <c r="KC354" s="218" t="e">
        <f t="shared" ca="1" si="1239"/>
        <v>#N/A</v>
      </c>
      <c r="KD354" s="218" t="e">
        <f t="shared" ca="1" si="1240"/>
        <v>#N/A</v>
      </c>
      <c r="KE354" s="218" t="e">
        <f t="shared" ca="1" si="1241"/>
        <v>#N/A</v>
      </c>
      <c r="KF354" s="218" t="e">
        <f t="shared" ca="1" si="1242"/>
        <v>#N/A</v>
      </c>
      <c r="KG354" s="216" t="e">
        <f t="shared" ca="1" si="1243"/>
        <v>#N/A</v>
      </c>
      <c r="KH354" s="221" t="e">
        <f ca="1">IF(Control!$B$24=0,1,MAX(0.001,MIN(1,IF(($IF354-$IE354)&lt;&gt;0,($KG354-$IE354)/($IF354-$IE354),1))))</f>
        <v>#N/A</v>
      </c>
      <c r="KI354" s="222" t="e">
        <f ca="1">IF(Control!$C$114=1, $KI353+ $KH353, 0)</f>
        <v>#N/A</v>
      </c>
      <c r="KJ354" s="217" t="e">
        <f t="shared" ca="1" si="1244"/>
        <v>#N/A</v>
      </c>
      <c r="KK354" s="218" t="e">
        <f t="shared" ca="1" si="1245"/>
        <v>#N/A</v>
      </c>
      <c r="KL354" s="274" t="e">
        <f ca="1">IF(Control!$B$26=3,4000000000*EXP(-8400/($G354+273)),IF(Control!$B$26=4,4000000000*EXP(-8400/($G354+273))*($KT354),0))</f>
        <v>#DIV/0!</v>
      </c>
      <c r="KM354" s="274" t="e">
        <f ca="1">IF(Control!$B$26=3,5600000000000*EXP(-9800/($G354+273)),IF(Control!$B$26=4,5600000000000*EXP(-9800/($G354+273))*$KT354,0))</f>
        <v>#DIV/0!</v>
      </c>
      <c r="KN354" s="454" t="e">
        <f t="shared" ca="1" si="1344"/>
        <v>#DIV/0!</v>
      </c>
      <c r="KO354" s="274" t="e">
        <f t="shared" ca="1" si="1345"/>
        <v>#DIV/0!</v>
      </c>
      <c r="KP354" s="454" t="e">
        <f t="shared" ca="1" si="1246"/>
        <v>#DIV/0!</v>
      </c>
      <c r="KQ354" s="454" t="e">
        <f t="shared" ca="1" si="1247"/>
        <v>#DIV/0!</v>
      </c>
      <c r="KR354" s="454" t="e">
        <f t="shared" ca="1" si="1248"/>
        <v>#DIV/0!</v>
      </c>
      <c r="KS354" s="454" t="e">
        <f t="shared" ca="1" si="1249"/>
        <v>#DIV/0!</v>
      </c>
      <c r="KT354" s="455" t="e">
        <f t="shared" ca="1" si="1250"/>
        <v>#DIV/0!</v>
      </c>
      <c r="KU354" s="456" t="e">
        <f ca="1">IF($CP354-Control!$C$149&lt;0, IF($NT354-0.01&lt;0,0,1),0)</f>
        <v>#N/A</v>
      </c>
      <c r="KV354" s="456" t="e">
        <f ca="1">IF(Control!$C$114=1,MAX(0,MIN(Control!$C$125*$KW354*$GN354,$KW354)))</f>
        <v>#DIV/0!</v>
      </c>
      <c r="KW354" s="456" t="e">
        <f t="shared" ca="1" si="1378"/>
        <v>#DIV/0!</v>
      </c>
      <c r="KX354" s="457" t="e">
        <f ca="1">IF($CP354-Control!$C$149&lt;0, IF($MR354-$OM354&lt;0,0,1),0)</f>
        <v>#N/A</v>
      </c>
      <c r="KY354" s="167">
        <f t="shared" ca="1" si="1346"/>
        <v>350</v>
      </c>
      <c r="KZ354" s="168">
        <f ca="1">1370*(1+0.033*COS(2*Control!$C$138*$AH354/365))</f>
        <v>1413.7113522996015</v>
      </c>
      <c r="LA354" s="169">
        <f t="shared" ca="1" si="1347"/>
        <v>1.0319059778489741</v>
      </c>
      <c r="LB354" s="169">
        <f t="shared" ca="1" si="1348"/>
        <v>-0.4077749707237458</v>
      </c>
      <c r="LC354" s="169">
        <f ca="1">ACOS(-TAN((2*Control!$B$8/360))*TAN(Calculations!$LB354))</f>
        <v>1.4420526605885824</v>
      </c>
      <c r="LD354" s="169">
        <f ca="1">((24*60)/PI())*0.082*$LA354*(($LC354*SIN(Control!$B$8*2*PI()/360))*SIN($LB354)+COS(Control!$B$8*2*PI()/360)*COS($LB354)*SIN($LC354))</f>
        <v>4.2610341168861945</v>
      </c>
      <c r="LE354" s="170">
        <f t="shared" ca="1" si="1251"/>
        <v>5.9814565995636579</v>
      </c>
      <c r="LF354" s="170">
        <f ca="1">SIN(Control!$C$139*Control!$B$8)*SIN($HD354)</f>
        <v>-0.31242855167191508</v>
      </c>
      <c r="LG354" s="170">
        <f ca="1">COS(Control!$C$139*Control!$B$8)*COS($HD354)</f>
        <v>0.5652032270871109</v>
      </c>
      <c r="LH354" s="170">
        <f ca="1">12*(1+2*ASIN(MAX(-1,MIN(1,$LF354/$LG354))/Control!$C$138))</f>
        <v>7.7550437126449623</v>
      </c>
      <c r="LI354" s="170">
        <f ca="1">12*(1+2*ASIN(MAX(-1,MIN(1,(-SIN(-4*Control!$C$139)+$LF354)/$LG354))/Control!$C$138))</f>
        <v>8.709692065205326</v>
      </c>
      <c r="LJ354" s="168">
        <f ca="1">3600*($LH354*$LF354+24*$LG354*SQRT(1-$LK354*$LK354)/Control!$C$138)</f>
        <v>4231.03103036838</v>
      </c>
      <c r="LK354" s="170">
        <f t="shared" ca="1" si="1252"/>
        <v>-0.55277205914424588</v>
      </c>
      <c r="LL354" s="170">
        <f t="shared" ca="1" si="1253"/>
        <v>0</v>
      </c>
      <c r="LM354" s="171">
        <f ca="1">Control!$C$145*$AB354</f>
        <v>6.6660906138995932E-2</v>
      </c>
      <c r="LN354" s="170">
        <f t="shared" ca="1" si="1349"/>
        <v>0.54</v>
      </c>
      <c r="LO354" s="170">
        <f t="shared" ca="1" si="1254"/>
        <v>0</v>
      </c>
      <c r="LP354" s="170">
        <f ca="1">Control!$C$140*((($D354+273.16)^4+($E354+273.16)^4)/2)*(0.34-0.14*SQRT($Y354))*(1.35*$AQ354/(0.75*$LD354)-0.35)</f>
        <v>-3.2464704755046001</v>
      </c>
      <c r="LQ354" s="170">
        <f ca="1">Control!$C$140*($G354+273)^4*(0.56-0.079*SQRT($Y354*10))*(0.1+0.9*$LO354)</f>
        <v>1.5241745131704001</v>
      </c>
      <c r="LR354" s="170">
        <f ca="1">$AQ354*(1-Control!$C$142)-$LQ354</f>
        <v>-1.5241745131704001</v>
      </c>
      <c r="LS354" s="170">
        <f ca="1">$AQ354*(1-Control!$C$143)-$LQ354</f>
        <v>-1.5241745131704001</v>
      </c>
      <c r="LT354" s="170">
        <f ca="1">$AQ354*(1-Control!$C$144)-$LQ354</f>
        <v>-1.5241745131704001</v>
      </c>
      <c r="LU354" s="169">
        <f ca="1">(1-Control!$C$144)*AQ354-LP354</f>
        <v>3.2464704755046001</v>
      </c>
      <c r="LV354" s="172">
        <f t="shared" ca="1" si="1255"/>
        <v>0.79430000000000012</v>
      </c>
      <c r="LW354" s="170">
        <f t="shared" ca="1" si="1256"/>
        <v>1.5886000000000002</v>
      </c>
      <c r="LX354" s="170">
        <f ca="1">($AC354*($LR354/Control!$C$141)+$LM354*$LV354)/($AC354+$LM354)</f>
        <v>0.23530094218323697</v>
      </c>
      <c r="LY354" s="170">
        <f ca="1">($AC354*($LS354/Control!$C$141)+$LM354*$LV354)/($AC354+$LM354)</f>
        <v>0.23530094218323697</v>
      </c>
      <c r="LZ354" s="170">
        <f t="shared" ca="1" si="1257"/>
        <v>0.23530094218323697</v>
      </c>
      <c r="MA354" s="170">
        <f t="shared" ca="1" si="1258"/>
        <v>0.23530094218323697</v>
      </c>
      <c r="MB354" s="170" t="e">
        <f t="shared" ca="1" si="1259"/>
        <v>#N/A</v>
      </c>
      <c r="MC354" s="170">
        <f t="shared" ca="1" si="1350"/>
        <v>0.6018</v>
      </c>
      <c r="MD354" s="170">
        <f t="shared" ca="1" si="1260"/>
        <v>0.52989392535414004</v>
      </c>
      <c r="ME354" s="170">
        <f ca="1">($AC354*($LT354/Control!$C$141)+$LM354*$LW354)/($AC354+$LM354)</f>
        <v>0.71612369323045078</v>
      </c>
      <c r="MF354" s="170" t="e">
        <f ca="1">IF(Control!$B$16&gt;=1000,0.92,IF(AND(720&lt;=Control!$B$16,1000&gt;Control!$B$16),(0.95+(Control!$B$16-720)*((0.92-0.95)/(1000-720))),IF(AND(360&lt;=Control!$B$16,720&gt;Control!$B$16),(1+(Control!$B$16-360)*((0.95-1)/(720-360))),IF(AND(40&lt;=Control!$B$16,360&gt;Control!$B$16),(1.05+(Control!$B$16-40)*((1.05-1)/(360-40)))))))</f>
        <v>#N/A</v>
      </c>
      <c r="MG354" s="170">
        <f t="shared" ca="1" si="1261"/>
        <v>0.71612369323045078</v>
      </c>
      <c r="MH354" s="170" t="e">
        <f t="shared" ca="1" si="1387"/>
        <v>#N/A</v>
      </c>
      <c r="MI354" s="170" t="e">
        <f t="shared" ca="1" si="1387"/>
        <v>#N/A</v>
      </c>
      <c r="MJ354" s="170" t="e">
        <f ca="1">MAX(0.0001, Control!$C$132*$MI354*$DL354)</f>
        <v>#N/A</v>
      </c>
      <c r="MK354" s="170">
        <f ca="1">1/(0.76+1.5*($MG354/10))-(5-Control!$C$110)*0.1</f>
        <v>1.002845988140797</v>
      </c>
      <c r="ML354" s="173">
        <f ca="1">IF(Control!$C$110&lt;3,$MK354+($MG354-0.6)/(Control!$C$110*(Control!$C$110+3)), MAX(0.1, MIN(0.95,$MK354)))</f>
        <v>0.95</v>
      </c>
      <c r="MM354" s="173">
        <f ca="1">IF(Control!$C$110&lt;3,$MK354+(($MI354/10)-0.6)/(Control!$C$110*(Control!$C$110+3)), MAX(0.1, MIN(0.95,$MK354)))</f>
        <v>0.95</v>
      </c>
      <c r="MN354" s="173">
        <f ca="1">(1-$MM354)*(Control!$C$128-Control!$C$127)+Control!$C$127</f>
        <v>0.16</v>
      </c>
      <c r="MO354" s="170" t="e">
        <f ca="1">MAX(0,MIN(1,($MS354-Control!$C$127)/($MN354-Control!$C$127)))</f>
        <v>#DIV/0!</v>
      </c>
      <c r="MP354" s="173" t="e">
        <f ca="1">1/(0.76+1.5*$MI354)-(5-Control!$C$110)*0.1</f>
        <v>#N/A</v>
      </c>
      <c r="MQ354" s="172" t="e">
        <f t="shared" ca="1" si="1379"/>
        <v>#DIV/0!</v>
      </c>
      <c r="MR354" s="168" t="e">
        <f t="shared" ca="1" si="1351"/>
        <v>#DIV/0!</v>
      </c>
      <c r="MS354" s="173" t="e">
        <f ca="1">MAX(Control!$C$127, MIN(Control!$C$135, $MR354/MAX(0.0001,$CY354)))</f>
        <v>#DIV/0!</v>
      </c>
      <c r="MT354" s="168" t="e">
        <f ca="1">(Control!$C$128-$MS354)*Control!$C$74</f>
        <v>#DIV/0!</v>
      </c>
      <c r="MU354" s="168" t="e">
        <f ca="1">(Control!$C$135-$MS354)*Control!$C$74</f>
        <v>#DIV/0!</v>
      </c>
      <c r="MV354" s="168" t="e">
        <f t="shared" ca="1" si="1352"/>
        <v>#DIV/0!</v>
      </c>
      <c r="MW354" s="168" t="e">
        <f t="shared" ca="1" si="1353"/>
        <v>#DIV/0!</v>
      </c>
      <c r="MX354" s="171" t="e">
        <f ca="1">MAX(Control!$C$127, MIN(Control!$C$135, $MW354/MAX(0.0001,Control!$C$119-$CY354)))</f>
        <v>#DIV/0!</v>
      </c>
      <c r="MY354" s="54" t="e">
        <f ca="1">IF(Control!$C$114=1, $CX354*$MX354, 0)</f>
        <v>#DIV/0!</v>
      </c>
      <c r="MZ354" s="54" t="e">
        <f t="shared" ca="1" si="1354"/>
        <v>#N/A</v>
      </c>
      <c r="NA354" s="168" t="e">
        <f ca="1">(Control!$C$128-$MX354)*(Control!$C$119-Control!$C$74)</f>
        <v>#DIV/0!</v>
      </c>
      <c r="NB354" s="168" t="e">
        <f ca="1">(Control!$C$135-$MX354)*(Control!$C$119-Control!$C$74)</f>
        <v>#DIV/0!</v>
      </c>
      <c r="NC354" s="174" t="e">
        <f t="shared" ca="1" si="1355"/>
        <v>#DIV/0!</v>
      </c>
      <c r="ND354" s="54">
        <f ca="1">IF(Control!$C$58=2, IF(OR(Control!$B$218=$AH354,Control!$B$219=$AH354, Control!$B$220=$AH354, Control!$B$221=$AH354, Control!$B$222=$AH354, Control!$B$223=$AH354, Control!$B$224=$AH354, Control!$B$225=$AH354, Control!$B$226=$AH354, Control!$B$227=$AH354, Control!$B$228=$AH354), 1, 0), 0)</f>
        <v>0</v>
      </c>
      <c r="NE354" s="54">
        <f ca="1">IF($ND354=0,0, VLOOKUP($AH354,Control!$B$218:$C$228,2))</f>
        <v>0</v>
      </c>
      <c r="NF354" s="168" t="e">
        <f ca="1">$CY354*(Control!$C$128-Control!$C$127)</f>
        <v>#N/A</v>
      </c>
      <c r="NG354" s="54" t="e">
        <f ca="1">IF(Control!$C$58=2, $NI353-$NJ353, 0)</f>
        <v>#DIV/0!</v>
      </c>
      <c r="NH354" s="54" t="e">
        <f ca="1">IF(AND(Control!$C$58=1, $MS353&lt;= ($MN353+0.02), $I353&lt;10), 0, IF(Control!$C$58=2, $NG353, 0))</f>
        <v>#DIV/0!</v>
      </c>
      <c r="NI354" s="54" t="e">
        <f ca="1">IF(Control!$C$58=2, $NE354+$NH354,0)</f>
        <v>#DIV/0!</v>
      </c>
      <c r="NJ354" s="54" t="e">
        <f ca="1">IF(AND(Control!$C$58=1, $MS354&lt;= ($MN354+0.02), $I354&lt;10), MAX(0, MIN(10, 0.7*($NF354-$MV354))), IF(Control!$C$58=2, MIN(10,$NI354),0))</f>
        <v>#DIV/0!</v>
      </c>
      <c r="NK354" s="54" t="e">
        <f t="shared" ca="1" si="1263"/>
        <v>#DIV/0!</v>
      </c>
      <c r="NL354" s="173" t="e">
        <f ca="1">(1-Control!$C$73)*$I354+$NJ354</f>
        <v>#DIV/0!</v>
      </c>
      <c r="NM354" s="172" t="e">
        <f ca="1">IF($NL354&lt;0.5, $MB354* MAX(0, MIN(1, (SQRT($NC354)-SQRT($NC354-1))*Control!$C$71)),0)</f>
        <v>#DIV/0!</v>
      </c>
      <c r="NN354" s="170" t="e">
        <f ca="1">IF($NL354&gt;=5, $MB354, MAX(0,MIN($MB354, $NM354+$NL354,($MS354-Control!$C$129))))</f>
        <v>#DIV/0!</v>
      </c>
      <c r="NO354" s="54">
        <f>IF(Control!$C$133&lt;&gt;1, Control!$C$135-Control!$C$131, 0)</f>
        <v>0.38</v>
      </c>
      <c r="NP354" s="54" t="e">
        <f t="shared" ca="1" si="1264"/>
        <v>#DIV/0!</v>
      </c>
      <c r="NQ354" s="173" t="e">
        <f ca="1">MAX(0,MIN(1,(Control!$C$135-$MS354)/(Control!$C$135-$NO354)))</f>
        <v>#DIV/0!</v>
      </c>
      <c r="NR354" s="170" t="e">
        <f ca="1">IF(Control!$C$133&lt;&gt;1, $NQ354+((1-$NP354/4)*(1-$NQ354)),1)</f>
        <v>#DIV/0!</v>
      </c>
      <c r="NS354" s="170" t="e">
        <f ca="1">IF(Control!$B$31=0,$MJ354,MAX(0,MIN($MV354,$MO354*$NR354*$MJ354)))</f>
        <v>#DIV/0!</v>
      </c>
      <c r="NT354" s="170" t="e">
        <f t="shared" ca="1" si="1380"/>
        <v>#DIV/0!</v>
      </c>
      <c r="NU354" s="170" t="e">
        <f t="shared" ca="1" si="1356"/>
        <v>#N/A</v>
      </c>
      <c r="NV354" s="170" t="e">
        <f t="shared" ca="1" si="1265"/>
        <v>#N/A</v>
      </c>
      <c r="NW354" s="175" t="e">
        <f t="shared" ca="1" si="1266"/>
        <v>#DIV/0!</v>
      </c>
      <c r="NX354" s="170" t="e">
        <f ca="1">MIN(Control!$C$72+$MU354, $NW354)</f>
        <v>#DIV/0!</v>
      </c>
      <c r="NY354" s="170" t="e">
        <f ca="1">IF($MT354&lt;=$NX354,MIN(Control!$C$72+$NB354,$NX354-$MT354),0)</f>
        <v>#DIV/0!</v>
      </c>
      <c r="NZ354" s="54" t="e">
        <f ca="1">IF(Control!$C$114=1,  $CX354*($MX354-Control!$C$127), 0)</f>
        <v>#DIV/0!</v>
      </c>
      <c r="OA354" s="170" t="e">
        <f t="shared" ca="1" si="1267"/>
        <v>#DIV/0!</v>
      </c>
      <c r="OB354" s="170" t="e">
        <f ca="1">IF($NA354 &lt;=$NY354, MIN(Control!$C$72, $NY354-$NA354), 0)</f>
        <v>#DIV/0!</v>
      </c>
      <c r="OC354" s="168" t="e">
        <f t="shared" ca="1" si="1268"/>
        <v>#DIV/0!</v>
      </c>
      <c r="OD354" s="168" t="e">
        <f t="shared" ca="1" si="1357"/>
        <v>#DIV/0!</v>
      </c>
      <c r="OE354" s="170">
        <f ca="1">Control!$C$73*$I354</f>
        <v>0</v>
      </c>
      <c r="OF354" s="176" t="e">
        <f t="shared" ca="1" si="1269"/>
        <v>#DIV/0!</v>
      </c>
      <c r="OG354" s="168" t="e">
        <f t="shared" ca="1" si="1270"/>
        <v>#DIV/0!</v>
      </c>
      <c r="OH354" s="168" t="e">
        <f t="shared" ca="1" si="1271"/>
        <v>#DIV/0!</v>
      </c>
      <c r="OI354" s="168" t="e">
        <f t="shared" ca="1" si="1272"/>
        <v>#DIV/0!</v>
      </c>
      <c r="OJ354" s="168" t="e">
        <f t="shared" ca="1" si="1273"/>
        <v>#DIV/0!</v>
      </c>
      <c r="OK354" s="204" t="e">
        <f t="shared" ca="1" si="1274"/>
        <v>#DIV/0!</v>
      </c>
      <c r="OL354" s="177">
        <f>Control!$C$127</f>
        <v>0.15</v>
      </c>
      <c r="OM354" s="182" t="e">
        <f t="shared" ca="1" si="1275"/>
        <v>#N/A</v>
      </c>
      <c r="ON354" s="177">
        <f>Control!$C$128</f>
        <v>0.35</v>
      </c>
      <c r="OO354" s="182" t="e">
        <f t="shared" ca="1" si="1276"/>
        <v>#N/A</v>
      </c>
      <c r="OP354" s="138">
        <f t="shared" ca="1" si="1358"/>
        <v>0</v>
      </c>
      <c r="OQ354" s="138" t="e">
        <f t="shared" ca="1" si="1381"/>
        <v>#DIV/0!</v>
      </c>
      <c r="OR354" s="138" t="e">
        <f t="shared" ca="1" si="1359"/>
        <v>#DIV/0!</v>
      </c>
      <c r="OS354" s="137" t="e">
        <f t="shared" ca="1" si="1382"/>
        <v>#DIV/0!</v>
      </c>
      <c r="OT354" s="139" t="e">
        <f t="shared" ca="1" si="1383"/>
        <v>#DIV/0!</v>
      </c>
      <c r="OU354" s="138" t="e">
        <f t="shared" ca="1" si="1384"/>
        <v>#N/A</v>
      </c>
      <c r="OV354" s="138" t="e">
        <f t="shared" ca="1" si="1385"/>
        <v>#DIV/0!</v>
      </c>
      <c r="OW354" s="138" t="e">
        <f t="shared" ca="1" si="1360"/>
        <v>#DIV/0!</v>
      </c>
      <c r="OX354" s="138" t="e">
        <f t="shared" ca="1" si="1361"/>
        <v>#DIV/0!</v>
      </c>
      <c r="OY354" s="138" t="e">
        <f t="shared" ca="1" si="1362"/>
        <v>#DIV/0!</v>
      </c>
      <c r="OZ354" s="138" t="e">
        <f t="shared" ca="1" si="1277"/>
        <v>#DIV/0!</v>
      </c>
      <c r="PA354" s="138" t="e">
        <f t="shared" ca="1" si="1278"/>
        <v>#DIV/0!</v>
      </c>
      <c r="PB354" s="55">
        <f>IF(Control!$C$61="T", IF(Control!$C$65="F", IF($AH$6-Control!$C$60&lt;0,0,1), IF(365+$AH$6-Control!$C$60&lt;0,0,1)),0)</f>
        <v>0</v>
      </c>
      <c r="PC354" s="55">
        <f ca="1">IF(Control!$C$65="F", IF($AH$6-$HF354&lt;0,0,1), IF(365+$AH$6-$HF354&lt;0,0,1))</f>
        <v>1</v>
      </c>
      <c r="PD354" s="444">
        <f>Control!$C$118</f>
        <v>1500</v>
      </c>
      <c r="PE354" s="180" t="e">
        <f t="shared" ca="1" si="1279"/>
        <v>#N/A</v>
      </c>
      <c r="PF354" s="445">
        <f t="shared" ca="1" si="1363"/>
        <v>0.71612369323045078</v>
      </c>
      <c r="PT354" s="186"/>
      <c r="PU354" s="186"/>
      <c r="PV354" s="94"/>
      <c r="PW354" s="94"/>
      <c r="PX354" s="94"/>
      <c r="PY354" s="94"/>
      <c r="PZ354" s="94"/>
      <c r="QA354" s="94"/>
      <c r="QB354" s="94"/>
      <c r="QC354" s="94"/>
      <c r="QD354" s="94"/>
      <c r="QE354" s="94"/>
      <c r="QF354" s="94"/>
      <c r="QG354" s="94"/>
      <c r="QH354" s="94"/>
      <c r="QI354" s="94"/>
      <c r="QJ354" s="94"/>
      <c r="QK354" s="94"/>
      <c r="QL354" s="94"/>
      <c r="QM354" s="94"/>
      <c r="QN354" s="94"/>
      <c r="QO354" s="94"/>
      <c r="QP354" s="94"/>
    </row>
    <row r="355" spans="1:458" s="2" customFormat="1" x14ac:dyDescent="0.2">
      <c r="A355" s="395">
        <v>16</v>
      </c>
      <c r="B355" s="396">
        <v>12</v>
      </c>
      <c r="C355" s="387">
        <f ca="1">Weather_data!$B354</f>
        <v>0</v>
      </c>
      <c r="D355" s="388">
        <f ca="1">Weather_data!$F354</f>
        <v>0</v>
      </c>
      <c r="E355" s="388">
        <f ca="1">Weather_data!$E354</f>
        <v>0</v>
      </c>
      <c r="F355" s="388">
        <f t="shared" ca="1" si="1280"/>
        <v>0</v>
      </c>
      <c r="G355" s="388">
        <f ca="1">AVERAGE($D355:$E355)+Control!$B$9</f>
        <v>0</v>
      </c>
      <c r="H355" s="388">
        <f ca="1">Weather_data!$G354</f>
        <v>0</v>
      </c>
      <c r="I355" s="388">
        <f ca="1">Weather_data!$I354</f>
        <v>0</v>
      </c>
      <c r="J355" s="388">
        <f ca="1">Weather_data!$H354</f>
        <v>0</v>
      </c>
      <c r="K355" s="389">
        <f ca="1">Weather_data!$D354</f>
        <v>0</v>
      </c>
      <c r="L355" s="388" t="e">
        <f t="shared" ca="1" si="1281"/>
        <v>#N/A</v>
      </c>
      <c r="M355" s="388" t="e">
        <f t="shared" ca="1" si="1158"/>
        <v>#N/A</v>
      </c>
      <c r="N355" s="388">
        <f t="shared" ca="1" si="1159"/>
        <v>-5.3654456336620852E-17</v>
      </c>
      <c r="O355" s="388">
        <f t="shared" ca="1" si="1282"/>
        <v>5.3654456336620852E-16</v>
      </c>
      <c r="P355" s="390">
        <v>3</v>
      </c>
      <c r="Q355" s="388">
        <f ca="1">MAX($G355-Control!$C$107,0)</f>
        <v>0</v>
      </c>
      <c r="R355" s="388">
        <f t="shared" ca="1" si="1283"/>
        <v>0</v>
      </c>
      <c r="S355" s="388">
        <f t="shared" ca="1" si="1160"/>
        <v>0</v>
      </c>
      <c r="T355" s="388">
        <f t="shared" ca="1" si="1161"/>
        <v>0</v>
      </c>
      <c r="U355" s="59">
        <f t="shared" ca="1" si="1162"/>
        <v>0</v>
      </c>
      <c r="V355" s="391">
        <f ca="1">MAX(0,MIN(Control!$C$100-Control!$C$99,$G355-Control!$C$99)*Control!$C$63)</f>
        <v>0</v>
      </c>
      <c r="W355" s="388">
        <f t="shared" ca="1" si="1284"/>
        <v>0</v>
      </c>
      <c r="X355" s="388">
        <f t="shared" ca="1" si="1285"/>
        <v>0.6110000000000001</v>
      </c>
      <c r="Y355" s="388">
        <f t="shared" ca="1" si="1163"/>
        <v>0</v>
      </c>
      <c r="Z355" s="388">
        <f t="shared" ca="1" si="1286"/>
        <v>0.61058800000000002</v>
      </c>
      <c r="AA355" s="388">
        <f t="shared" ca="1" si="1164"/>
        <v>0.6018</v>
      </c>
      <c r="AB355" s="388">
        <f ca="1">101.3*EXP(-0.034*Control!$C$66/($G355+273))</f>
        <v>100.69623283836242</v>
      </c>
      <c r="AC355" s="392">
        <f t="shared" ca="1" si="1165"/>
        <v>4.3460251046025113E-2</v>
      </c>
      <c r="AD355" s="392">
        <f t="shared" ca="1" si="1166"/>
        <v>4.4450382862832649E-2</v>
      </c>
      <c r="AE355" s="388">
        <f t="shared" ca="1" si="1167"/>
        <v>0</v>
      </c>
      <c r="AF355" s="388">
        <f ca="1">MAX(0,$G355-Control!$C$92)</f>
        <v>0</v>
      </c>
      <c r="AG355" s="393">
        <f t="shared" ca="1" si="1168"/>
        <v>351</v>
      </c>
      <c r="AH355" s="389">
        <f t="shared" ca="1" si="1169"/>
        <v>351</v>
      </c>
      <c r="AI355" s="388">
        <f t="shared" ca="1" si="1287"/>
        <v>-0.40825341172619001</v>
      </c>
      <c r="AJ355" s="388">
        <f ca="1">IF(Control!$C$60&lt;=0,$HH355,$HI355)</f>
        <v>1</v>
      </c>
      <c r="AK355" s="388">
        <f t="shared" ca="1" si="1170"/>
        <v>4.6650499130018295</v>
      </c>
      <c r="AL355" s="388">
        <f t="shared" ca="1" si="1171"/>
        <v>-4.1479823048584663E-18</v>
      </c>
      <c r="AM355" s="388">
        <f t="shared" ca="1" si="1172"/>
        <v>4.6650499130018295</v>
      </c>
      <c r="AN355" s="388">
        <f t="shared" ca="1" si="1173"/>
        <v>-0.40863201825618695</v>
      </c>
      <c r="AO355" s="388">
        <f ca="1">-0.10453/COS(Control!$B$8*PI()/180)*COS(AN355)</f>
        <v>-0.15580567069376874</v>
      </c>
      <c r="AP355" s="388">
        <f ca="1">ACOS(AO355-TAN(Control!$B$8*PI()/180)*TAN(AN355))</f>
        <v>1.1610066338901497</v>
      </c>
      <c r="AQ355" s="388">
        <f t="shared" ca="1" si="1288"/>
        <v>0</v>
      </c>
      <c r="AR355" s="394">
        <f t="shared" ca="1" si="1174"/>
        <v>0</v>
      </c>
      <c r="AS355" s="436">
        <f ca="1">IF(Control!$B$18=2,(IF(OR($AH355=Control!$B$175,$AH355=Control!$B$176,$AH355=Control!$B$177,$AH355=Control!$B$178,$AH355=Control!$B$179,$AH355=Control!$B$180,$AH355=Control!$B$181,$AH355=Control!$B$182,$AH355=Control!$B$183,$AH355=Control!$B$184,$AH355=Control!$B$185),1,0)),0)</f>
        <v>0</v>
      </c>
      <c r="AT355" s="436">
        <f>IF(Control!$B$20=8,IF(AND($AH355&gt;=Control!$B$172,$AH355&lt;=Control!$B$173),1,0),0)</f>
        <v>0</v>
      </c>
      <c r="AU355" s="436">
        <f>IF(Control!$B$20=8,IF($AV354=1,1*$AT355,IF($AT355=1,$AU354+1,$AU354)),0)</f>
        <v>0</v>
      </c>
      <c r="AV355" s="436">
        <f>IF(Control!$B$20=8,IF($AU355&gt;=Control!$B$174,1,0),0)</f>
        <v>0</v>
      </c>
      <c r="AW355" s="436">
        <f ca="1">IF(AND(Control!$B$18=2,Control!$B$171=1), $AV355, $AS355)</f>
        <v>0</v>
      </c>
      <c r="AX355" s="436" t="e">
        <f ca="1">IF(AND(Control!$B$18=1,$EU355&gt;=Control!$B$19),-$AY355,IF(AND(Control!$B$18=2,$AW355=1,$EU355&gt;$DS355),-$AY355, IF(Control!$C$108=0,0, IF(Control!$C$108&lt;&gt;0,1))))</f>
        <v>#N/A</v>
      </c>
      <c r="AY355" s="436" t="e">
        <f t="shared" ca="1" si="1289"/>
        <v>#N/A</v>
      </c>
      <c r="AZ355" s="436" t="e">
        <f ca="1">IF(AND(Control!$B$18=1,$EB355&gt;Control!$B$19),$AZ354+1, IF(AND(Control!$B$18=2, $AW355=1, $EB355&gt;$DS355), $AZ354+1,$AZ354))</f>
        <v>#N/A</v>
      </c>
      <c r="BA355" s="587">
        <f>IF(Control!$C$81=0,1,IF($AH355&gt;=Control!$C$82,1,0))</f>
        <v>1</v>
      </c>
      <c r="BB355" s="140" t="e">
        <f ca="1">IF($BA355&gt;$BA354,Control!$C$83,IF($AW355&gt;0,$AW355*Control!$C$84,IF(AND(Control!$B$18=1,EN354&lt;&gt;0),Control!$C$84,0)))</f>
        <v>#N/A</v>
      </c>
      <c r="BC355" s="140" t="e">
        <f t="shared" ca="1" si="1290"/>
        <v>#N/A</v>
      </c>
      <c r="BD355" s="140" t="e">
        <f ca="1">BC355*IF(OR($G355&lt;Control!$C$92,$G355&gt;Control!$C$95),0,IF(AND($G355&gt;=Control!$C$92,$G355&lt;=Control!$C$93),$G355-Control!$C$92,IF(AND($G355&gt;Control!$C$93,$G355&lt;=Control!$C$94),Control!$C$93-Control!$C$92,IF(AND($G355&gt;Control!$C$94,$G355&lt;=Control!$C$95),(Control!$C$93-Control!$C$92)*(Control!$C$94-$G355)/(Control!$C$95-Control!$C$94)))))</f>
        <v>#N/A</v>
      </c>
      <c r="BE355" s="140" t="e">
        <f t="shared" ca="1" si="1291"/>
        <v>#N/A</v>
      </c>
      <c r="BF355" s="140" t="e">
        <f ca="1">IF($BE355&lt;=Control!$C$86,$BE355,Control!$C$86-$BE355)</f>
        <v>#N/A</v>
      </c>
      <c r="BG355" s="140" t="e">
        <f ca="1">IF(AND($AW355=1,Control!$C$84&lt;9),1,IF($BE355&gt;=Control!$C$86,0,$BC355))</f>
        <v>#N/A</v>
      </c>
      <c r="BH355" s="404" t="e">
        <f ca="1">IF($BG355=0,0,IF($BE355&lt;=Control!$C$86,$BC355*9*($BF355/Control!$C$86),0))</f>
        <v>#N/A</v>
      </c>
      <c r="BI355" s="140" t="e">
        <f ca="1">IF($BG355=1,0,IF($BE355&gt;=Control!$C$86,1,IF(AND($BB355&lt;21,$BB355&gt;=9),1,$BM354)))</f>
        <v>#N/A</v>
      </c>
      <c r="BJ355" s="140" t="e">
        <f ca="1">IF($BF355&lt;0,-$BF355,$BI355*IF(OR($G355&lt;Control!$C$92,$G355&gt;Control!$C$95),0,IF(AND($G355&gt;=Control!$C$92,$G355&lt;=Control!$C$93),$G355-Control!$C$92,IF(AND($G355&gt;Control!$C$93,$G355&lt;=Control!$C$94),Control!$C$93-Control!$C$92,IF(AND($G355&gt;Control!$C$94,$G355&lt;=Control!$C$95),(Control!$C$93-Control!$C$92)*(Control!$C$94-$G355)/(Control!$C$95-Control!$C$94))))))</f>
        <v>#N/A</v>
      </c>
      <c r="BK355" s="140" t="e">
        <f t="shared" ca="1" si="1292"/>
        <v>#N/A</v>
      </c>
      <c r="BL355" s="140" t="e">
        <f ca="1">IF($BK355&lt;=Control!$C$87,$BK355,Control!$C$87-$BK355)</f>
        <v>#N/A</v>
      </c>
      <c r="BM355" s="140" t="e">
        <f ca="1">IF(AND($BB355&gt;=9,$BB355&lt;21),1,IF($BK355&gt;=Control!$C$87,0,$BI355))</f>
        <v>#N/A</v>
      </c>
      <c r="BN355" s="404" t="e">
        <f ca="1">IF($BM355=0,0,IF($BK355&lt;=Control!$C$87,$BI355*(9+(21-9)*($BL355/Control!$C$87)),0))</f>
        <v>#N/A</v>
      </c>
      <c r="BO355" s="140" t="e">
        <f ca="1">IF($BM355=1,0,IF($BK355&gt;=Control!$C$87,1,IF(AND($BB355&lt;30,$BB355&gt;=21),1,$BS354)))</f>
        <v>#N/A</v>
      </c>
      <c r="BP355" s="140" t="e">
        <f ca="1">IF($BL355&lt;0,-$BL355,$BO355*IF(OR($G355&lt;Control!$C$92,$G355&gt;Control!$C$95),0,IF(AND($G355&gt;=Control!$C$92,$G355&lt;=Control!$C$93),$G355-Control!$C$92,IF(AND($G355&gt;Control!$C$93,$G355&lt;=Control!$C$94),Control!$C$93-Control!$C$92,IF(AND($G355&gt;Control!$C$94,$G355&lt;=Control!$C$95),(Control!$C$93-Control!$C$92)*(Control!$C$94-$G355)/(Control!$C$95-Control!$C$94))))))</f>
        <v>#N/A</v>
      </c>
      <c r="BQ355" s="140" t="e">
        <f t="shared" ca="1" si="1175"/>
        <v>#N/A</v>
      </c>
      <c r="BR355" s="140" t="e">
        <f ca="1">IF($BQ355&lt;=Control!$C$88,$BQ355,Control!$C$88-$BQ355)</f>
        <v>#N/A</v>
      </c>
      <c r="BS355" s="140" t="e">
        <f ca="1">IF(AND($BB355&gt;=21,$BB355&lt;30),1,IF($BQ355&gt;=Control!$C$88,0,$BO355))</f>
        <v>#N/A</v>
      </c>
      <c r="BT355" s="404" t="e">
        <f ca="1">IF($BS355=0,0,IF($BQ355&lt;=Control!$C$88,$BO355*(21+(30-21)*(BR355/Control!$C$88)),0))</f>
        <v>#N/A</v>
      </c>
      <c r="BU355" s="140" t="e">
        <f ca="1">IF(BG355+BM355+BS355=1,0,IF(OR(AND($BB355&lt;60,$BB355&gt;=30),$BQ355&gt;=Control!$C$88),1*$BA355,$BY354))</f>
        <v>#N/A</v>
      </c>
      <c r="BV355" s="140" t="e">
        <f ca="1">IF($BR355&lt;0,-$BR355,$BU355*IF(OR($G355&lt;Control!$C$92,$G355&gt;Control!$C$95),0,IF(AND($G355&gt;=Control!$C$92,$G355&lt;=Control!$C$93),$G355-Control!$C$92,IF(AND($G355&gt;Control!$C$93,$G355&lt;=Control!$C$94),Control!$C$93-Control!$C$92,IF(AND($G355&gt;Control!$C$94,$G355&lt;=Control!$C$95),(Control!$C$93-Control!$C$92)*(Control!$C$94-$G355)/(Control!$C$95-Control!$C$94))))))</f>
        <v>#N/A</v>
      </c>
      <c r="BW355" s="140" t="e">
        <f t="shared" ca="1" si="1176"/>
        <v>#N/A</v>
      </c>
      <c r="BX355" s="140" t="e">
        <f ca="1">IF($BW355&lt;=Control!$C$89,$BW355,Control!$C$89-$BW355)</f>
        <v>#N/A</v>
      </c>
      <c r="BY355" s="140" t="e">
        <f ca="1">IF(AND($AJ355&gt;=30,$AJ355&lt;60),1,IF($BW355&gt;=Control!$C$89,0,$BU355))</f>
        <v>#N/A</v>
      </c>
      <c r="BZ355" s="404" t="e">
        <f ca="1">IF($BY355=0,0,IF($BW355&lt;=Control!$C$89,$BU355*(30+(60-30)*(BX355/Control!$C$89)),0))</f>
        <v>#N/A</v>
      </c>
      <c r="CA355" s="140" t="e">
        <f ca="1">IF($BG355+$BM355+$BS355+$BY355=1,0,IF(OR(AND($BB355&lt;65,$BB355&gt;=60),$BW355&gt;=Control!$C$89),1*$BA355,$CE354))</f>
        <v>#N/A</v>
      </c>
      <c r="CB355" s="140" t="e">
        <f ca="1">IF($BX355&lt;0,-$BX355,$CA355*IF(OR($G355&lt;Control!$C$92,$G355&gt;Control!$C$95),0,IF(AND($G355&gt;=Control!$C$92,$G355&lt;=Control!$C$93),$G355-Control!$C$92,IF(AND($G355&gt;Control!$C$93,$G355&lt;=Control!$C$94),Control!$C$93-Control!$C$92,IF(AND($G355&gt;Control!$C$94,$G355&lt;=Control!$C$95),(Control!$C$93-Control!$C$92)*(Control!$C$94-$G355)/(Control!$C$95-Control!$C$94))))))</f>
        <v>#N/A</v>
      </c>
      <c r="CC355" s="140" t="e">
        <f t="shared" ca="1" si="1293"/>
        <v>#N/A</v>
      </c>
      <c r="CD355" s="140" t="e">
        <f ca="1">IF($CC355&lt;=Control!$C$90,$CC355,Control!$C$90-$CC355)</f>
        <v>#N/A</v>
      </c>
      <c r="CE355" s="140" t="e">
        <f ca="1">IF(AND($BB355&gt;=60,$BB355&lt;65),1,IF($CC355&gt;=Control!$C$90,0,$CA355))</f>
        <v>#N/A</v>
      </c>
      <c r="CF355" s="404" t="e">
        <f ca="1">IF($CE355=0,0,IF($CC355&lt;=Control!$C$90,$CA355*(60+(65-60)*(CD355/Control!$C$90)),0))</f>
        <v>#N/A</v>
      </c>
      <c r="CG355" s="140" t="e">
        <f ca="1">IF($BG355+$BM355+$BS355+$BY355+$CE355=1,0,IF(OR(AND($BB355&lt;90,$BB355&gt;=65),$CC355&gt;=Control!$C$90),$BA355,$CK354))</f>
        <v>#N/A</v>
      </c>
      <c r="CH355" s="140" t="e">
        <f ca="1">IF($CD355&lt;0,-$CD355,$CG355*IF(OR($G355&lt;Control!$C$92,$G355&gt;Control!$C$95),0,IF(AND($G355&gt;=Control!$C$92,$G355&lt;=Control!$C$93),$G355-Control!$C$92,IF(AND($G355&gt;Control!$C$93,$G355&lt;=Control!$C$94),Control!$C$93-Control!$C$92,IF(AND($G355&gt;Control!$C$94,$G355&lt;=Control!$C$95),(Control!$C$93-Control!$C$92)*(Control!$C$94-$G355)/(Control!$C$95-Control!$C$94))))))</f>
        <v>#N/A</v>
      </c>
      <c r="CI355" s="140" t="e">
        <f t="shared" ca="1" si="1294"/>
        <v>#N/A</v>
      </c>
      <c r="CJ355" s="140" t="e">
        <f ca="1">IF($CI355&lt;=Control!$C$91,$CI355,Control!$C$91-$CI355)</f>
        <v>#N/A</v>
      </c>
      <c r="CK355" s="140" t="e">
        <f ca="1">IF(AND($BB355&gt;=65,$BB355&lt;90),1,IF($CI355&gt;=Control!$C$91,0,$CG355))</f>
        <v>#N/A</v>
      </c>
      <c r="CL355" s="404" t="e">
        <f ca="1">IF($CK355=0,0,IF($CI355&lt;=Control!$C$91,$CG355*(65+(90-65)*($CJ355/Control!$C$91)),0))</f>
        <v>#N/A</v>
      </c>
      <c r="CM355" s="140" t="e">
        <f ca="1">IF($BG355+$BM355+$BS355+$BY355+$CE355+$CK355=1,0,IF(OR($BB355&gt;=90,$CI355&gt;=Control!$C$91),$BA355,$CM354))</f>
        <v>#N/A</v>
      </c>
      <c r="CN355" s="140" t="e">
        <f t="shared" ca="1" si="1295"/>
        <v>#N/A</v>
      </c>
      <c r="CO355" s="140" t="e">
        <f t="shared" ca="1" si="1296"/>
        <v>#N/A</v>
      </c>
      <c r="CP355" s="140" t="e">
        <f t="shared" ca="1" si="1297"/>
        <v>#N/A</v>
      </c>
      <c r="CQ355" s="141" t="e">
        <f ca="1">VLOOKUP($CP355,Control!$B$86:$G$91,6)</f>
        <v>#N/A</v>
      </c>
      <c r="CR355" s="141" t="e">
        <f ca="1">(1-$CQ355)*VLOOKUP($CP355,Control!$B$86:$D$91,3)</f>
        <v>#N/A</v>
      </c>
      <c r="CS355" s="141" t="e">
        <f ca="1">(1-$CQ355)*VLOOKUP($CP355,Control!$B$86:$E$91,4)</f>
        <v>#N/A</v>
      </c>
      <c r="CT355" s="141" t="e">
        <f ca="1">(1-$CQ355)*VLOOKUP($CP355,Control!$B$86:$F$91,5)</f>
        <v>#N/A</v>
      </c>
      <c r="CU355" s="141">
        <f t="shared" ca="1" si="1298"/>
        <v>0</v>
      </c>
      <c r="CV355" s="583">
        <f t="shared" ca="1" si="1299"/>
        <v>0</v>
      </c>
      <c r="CW355" s="142">
        <f t="shared" ca="1" si="1300"/>
        <v>351</v>
      </c>
      <c r="CX355" s="612" t="e">
        <f ca="1">IF(Control!$C$114=1,(MIN(Control!$C$120*(IF($NT355-0.01&lt;0,0,1)),Control!$C$119-$CY355)))</f>
        <v>#DIV/0!</v>
      </c>
      <c r="CY355" s="143" t="e">
        <f t="shared" ca="1" si="1301"/>
        <v>#N/A</v>
      </c>
      <c r="CZ355" s="144">
        <f t="shared" ca="1" si="1177"/>
        <v>0</v>
      </c>
      <c r="DA355" s="144">
        <f t="shared" ca="1" si="1178"/>
        <v>0</v>
      </c>
      <c r="DB355" s="144" t="e">
        <f t="shared" ca="1" si="1179"/>
        <v>#N/A</v>
      </c>
      <c r="DC355" s="144" t="e">
        <f t="shared" ca="1" si="1180"/>
        <v>#N/A</v>
      </c>
      <c r="DD355" s="144" t="e">
        <f t="shared" ca="1" si="1386"/>
        <v>#N/A</v>
      </c>
      <c r="DE355" s="143" t="e">
        <f t="shared" ca="1" si="1302"/>
        <v>#N/A</v>
      </c>
      <c r="DF355" s="145" t="e">
        <f ca="1">$DR355*EXP(-Control!$C$158*(1-$KH355))</f>
        <v>#N/A</v>
      </c>
      <c r="DG355" s="146" t="e">
        <f ca="1">IF(Control!$C$114=1, $DF355*$EY355, 0)</f>
        <v>#N/A</v>
      </c>
      <c r="DH355" s="147" t="e">
        <f t="shared" ca="1" si="1303"/>
        <v>#N/A</v>
      </c>
      <c r="DI355" s="144" t="e">
        <f t="shared" ca="1" si="1364"/>
        <v>#N/A</v>
      </c>
      <c r="DJ355" s="147" t="e">
        <f ca="1">$EF355*Control!$C$109</f>
        <v>#N/A</v>
      </c>
      <c r="DK355" s="144" t="e">
        <f t="shared" ca="1" si="1304"/>
        <v>#N/A</v>
      </c>
      <c r="DL355" s="144" t="e">
        <f t="shared" ca="1" si="1181"/>
        <v>#N/A</v>
      </c>
      <c r="DM355" s="144" t="e">
        <f ca="1">IF(Control!$C$114=1, (1-EXP(-Control!$C$96*$DK355))*$AR355, 0)</f>
        <v>#N/A</v>
      </c>
      <c r="DN355" s="144">
        <f t="shared" ca="1" si="1305"/>
        <v>0</v>
      </c>
      <c r="DO355" s="148">
        <f>Control!$C$97</f>
        <v>4</v>
      </c>
      <c r="DP355" s="145" t="e">
        <f t="shared" ca="1" si="1306"/>
        <v>#N/A</v>
      </c>
      <c r="DQ355" s="145" t="e">
        <f ca="1">IF(AND($CP355&gt;=0,$CP355&lt;=90),Control!$C$111,Control!$C$111)</f>
        <v>#N/A</v>
      </c>
      <c r="DR355" s="145" t="e">
        <f t="shared" ca="1" si="1182"/>
        <v>#N/A</v>
      </c>
      <c r="DS355" s="143" t="e">
        <f ca="1">Control!$B$22/$DR355</f>
        <v>#N/A</v>
      </c>
      <c r="DT355" s="149" t="e">
        <f ca="1">IF(AND(Control!$C$114=1,$KH355&lt;1),$IM355*$DF355, 0)</f>
        <v>#N/A</v>
      </c>
      <c r="DU355" s="144" t="e">
        <f t="shared" ca="1" si="1307"/>
        <v>#N/A</v>
      </c>
      <c r="DV355" s="144">
        <f ca="1">IF($G355-Control!$C$107&lt;=0, 0, 0.83*LN(MAX($G355, 3))-0.8924)</f>
        <v>0</v>
      </c>
      <c r="DW355" s="144" t="e">
        <f t="shared" ca="1" si="1183"/>
        <v>#N/A</v>
      </c>
      <c r="DX355" s="150" t="e">
        <f ca="1">MAX(0.01*(1+$CU355/Control!$C$102),0.05*($DK355-Control!$C$97)/Control!$C$97)</f>
        <v>#N/A</v>
      </c>
      <c r="DY355" s="151" t="e">
        <f ca="1">IF(Control!$C$114=1, $DI355*$FS355, 0)</f>
        <v>#N/A</v>
      </c>
      <c r="DZ355" s="196" t="e">
        <f t="shared" ca="1" si="1308"/>
        <v>#N/A</v>
      </c>
      <c r="EA355" s="152">
        <f t="shared" ca="1" si="1309"/>
        <v>351</v>
      </c>
      <c r="EB355" s="153" t="e">
        <f t="shared" ca="1" si="1310"/>
        <v>#N/A</v>
      </c>
      <c r="EC355" s="153" t="e">
        <f t="shared" ca="1" si="1311"/>
        <v>#N/A</v>
      </c>
      <c r="ED355" s="154" t="e">
        <f ca="1">IF(Control!$C$114=1, $HM355*$FY355-$FD355, 0)</f>
        <v>#DIV/0!</v>
      </c>
      <c r="EE355" s="155" t="e">
        <f ca="1">IF(Control!$C$114=1, $HM355*$FZ355-$FF355, 0)</f>
        <v>#DIV/0!</v>
      </c>
      <c r="EF355" s="153" t="e">
        <f t="shared" ca="1" si="1365"/>
        <v>#N/A</v>
      </c>
      <c r="EG355" s="155" t="e">
        <f ca="1">IF(Control!$C$114=1, $GX355*$FW355-$FI355, 0)</f>
        <v>#DIV/0!</v>
      </c>
      <c r="EH355" s="153" t="e">
        <f t="shared" ca="1" si="1312"/>
        <v>#N/A</v>
      </c>
      <c r="EI355" s="156" t="e">
        <f t="shared" ca="1" si="1313"/>
        <v>#N/A</v>
      </c>
      <c r="EJ355" s="155" t="e">
        <f ca="1">IF(Control!$C$114=1, $HM355*$GB355, 0)</f>
        <v>#DIV/0!</v>
      </c>
      <c r="EK355" s="153" t="e">
        <f t="shared" ca="1" si="1366"/>
        <v>#N/A</v>
      </c>
      <c r="EL355" s="153" t="e">
        <f t="shared" ca="1" si="1184"/>
        <v>#N/A</v>
      </c>
      <c r="EM355" s="153" t="e">
        <f t="shared" ca="1" si="1185"/>
        <v>#N/A</v>
      </c>
      <c r="EN355" s="153" t="e">
        <f ca="1">IF(Control!$C$108=1,IF(AND(Control!$B$18=1,$EB355&gt;=Control!$B$19),$EB355-$DS355,IF(AND(Control!$B$18=2,$AW355=1,$EB355&gt;$DS355),$EB355-$DS355,0)))</f>
        <v>#N/A</v>
      </c>
      <c r="EO355" s="153" t="e">
        <f ca="1">IF(Control!$C$108=1,IF(AND(Control!$B$18=1,$EB355&gt;=Control!$B$19),$EF355,IF(AND(Control!$B$18=2,$AW355=1),$EF355,0)))</f>
        <v>#N/A</v>
      </c>
      <c r="EP355" s="153" t="e">
        <f ca="1">IF(Control!$C$108=1,IF(AND(Control!$B$18=1,$EB355&gt;=Control!$B$19),$EK355,IF(AND(Control!$B$18=2,$AW355=1),$EK355,0)))</f>
        <v>#N/A</v>
      </c>
      <c r="EQ355" s="153" t="e">
        <f t="shared" ca="1" si="1314"/>
        <v>#N/A</v>
      </c>
      <c r="ER355" s="153" t="e">
        <f t="shared" ca="1" si="1315"/>
        <v>#N/A</v>
      </c>
      <c r="ES355" s="153" t="e">
        <f t="shared" ca="1" si="1367"/>
        <v>#N/A</v>
      </c>
      <c r="ET355" s="153" t="e">
        <f t="shared" ca="1" si="1368"/>
        <v>#N/A</v>
      </c>
      <c r="EU355" s="153" t="e">
        <f t="shared" ca="1" si="1316"/>
        <v>#N/A</v>
      </c>
      <c r="EV355" s="153" t="e">
        <f t="shared" ca="1" si="1186"/>
        <v>#N/A</v>
      </c>
      <c r="EW355" s="153" t="e">
        <f t="shared" ca="1" si="1187"/>
        <v>#N/A</v>
      </c>
      <c r="EX355" s="153" t="e">
        <f t="shared" ca="1" si="1188"/>
        <v>#N/A</v>
      </c>
      <c r="EY355" s="157" t="e">
        <f t="shared" ca="1" si="1189"/>
        <v>#DIV/0!</v>
      </c>
      <c r="EZ355" s="154" t="e">
        <f t="shared" ca="1" si="1190"/>
        <v>#DIV/0!</v>
      </c>
      <c r="FA355" s="153" t="e">
        <f t="shared" ca="1" si="1317"/>
        <v>#N/A</v>
      </c>
      <c r="FB355" s="153" t="e">
        <f t="shared" ca="1" si="1191"/>
        <v>#N/A</v>
      </c>
      <c r="FC355" s="193" t="e">
        <f t="shared" ca="1" si="1192"/>
        <v>#N/A</v>
      </c>
      <c r="FD355" s="158" t="e">
        <f t="shared" ca="1" si="1318"/>
        <v>#N/A</v>
      </c>
      <c r="FE355" s="158" t="e">
        <f t="shared" ca="1" si="1319"/>
        <v>#N/A</v>
      </c>
      <c r="FF355" s="159" t="e">
        <f t="shared" ca="1" si="1193"/>
        <v>#N/A</v>
      </c>
      <c r="FG355" s="160" t="e">
        <f t="shared" ca="1" si="1320"/>
        <v>#N/A</v>
      </c>
      <c r="FH355" s="158" t="e">
        <f t="shared" ca="1" si="1321"/>
        <v>#N/A</v>
      </c>
      <c r="FI355" s="159" t="e">
        <f t="shared" ca="1" si="1194"/>
        <v>#N/A</v>
      </c>
      <c r="FJ355" s="160" t="e">
        <f t="shared" ca="1" si="1322"/>
        <v>#N/A</v>
      </c>
      <c r="FK355" s="160" t="e">
        <f t="shared" ca="1" si="1195"/>
        <v>#N/A</v>
      </c>
      <c r="FL355" s="160" t="e">
        <f t="shared" ca="1" si="1369"/>
        <v>#N/A</v>
      </c>
      <c r="FM355" s="160" t="e">
        <f t="shared" ca="1" si="1196"/>
        <v>#N/A</v>
      </c>
      <c r="FN355" s="158">
        <f t="shared" ca="1" si="1323"/>
        <v>0.01</v>
      </c>
      <c r="FO355" s="160">
        <f>Control!$C$101</f>
        <v>50</v>
      </c>
      <c r="FP355" s="150" t="e">
        <f t="shared" ca="1" si="1197"/>
        <v>#N/A</v>
      </c>
      <c r="FQ355" s="150" t="e">
        <f ca="1">MAX(0,(Control!$C$112*(($DK355-Control!$C$97)/Control!$C$97)))</f>
        <v>#N/A</v>
      </c>
      <c r="FR355" s="150" t="e">
        <f ca="1">(1-$NT355)*Control!$C$113</f>
        <v>#DIV/0!</v>
      </c>
      <c r="FS355" s="198" t="e">
        <f t="shared" ca="1" si="1198"/>
        <v>#N/A</v>
      </c>
      <c r="FT355" s="161">
        <f t="shared" ca="1" si="1324"/>
        <v>351</v>
      </c>
      <c r="FU355" s="162" t="e">
        <f ca="1">IF(Control!$B$34=1,VLOOKUP($CP355,Control!$B$86:$G$91,6),Control!$B$35)</f>
        <v>#N/A</v>
      </c>
      <c r="FV355" s="162" t="e">
        <f t="shared" ca="1" si="1199"/>
        <v>#DIV/0!</v>
      </c>
      <c r="FW355" s="162" t="e">
        <f ca="1">IF(Control!$B$31=1,$FU355*$FV355,  $FU355)</f>
        <v>#N/A</v>
      </c>
      <c r="FX355" s="162" t="e">
        <f ca="1">IF(Control!$B$34=1,VLOOKUP($CP355,Control!$B$86:$G$91,3),Control!$B$36)</f>
        <v>#N/A</v>
      </c>
      <c r="FY355" s="162" t="e">
        <f t="shared" ca="1" si="1200"/>
        <v>#N/A</v>
      </c>
      <c r="FZ355" s="162" t="e">
        <f ca="1">IF(Control!$B$34=1,VLOOKUP($CP355,Control!$B$86:$G$91,4),Control!$B$37)</f>
        <v>#N/A</v>
      </c>
      <c r="GA355" s="162" t="e">
        <f t="shared" ca="1" si="1201"/>
        <v>#N/A</v>
      </c>
      <c r="GB355" s="162" t="e">
        <f ca="1">IF(Control!$B$34=1,VLOOKUP($CP355,Control!$B$86:$G$91,5),Control!$B$38)</f>
        <v>#N/A</v>
      </c>
      <c r="GC355" s="162" t="e">
        <f t="shared" ca="1" si="1325"/>
        <v>#N/A</v>
      </c>
      <c r="GD355" s="162">
        <f t="shared" ca="1" si="1202"/>
        <v>1</v>
      </c>
      <c r="GE355" s="162">
        <f t="shared" ca="1" si="1203"/>
        <v>1</v>
      </c>
      <c r="GF355" s="162">
        <f ca="1">IF(AND(Control!$C$104=1, Control!$C$62="F"),$GE355,1)</f>
        <v>1</v>
      </c>
      <c r="GG355" s="162" t="e">
        <f ca="1">IF(Control!$B$16=40,0,IF(AND(Control!$B$16&gt;40,Control!$B$16&lt;=360),(Control!$B$16-40)*((1-0)/(360-40)),IF(AND(Control!$B$16&gt;360,Control!$B$16&lt;=720),(1+(Control!$B$16-360)*((1.25-1)/(720-360))),IF(AND(Control!$B$16&gt;720,Control!$B$16&lt;=1000),(1.25+(Control!$B$16-720)*((1.35-1.25)/(1000-720))),IF(AND(Control!$B$16&gt;1000,Control!$B$16&lt;=2000),(1.35+(Control!$B$16-1000)*0))))))</f>
        <v>#N/A</v>
      </c>
      <c r="GH355" s="162" t="e">
        <f t="shared" ca="1" si="1204"/>
        <v>#N/A</v>
      </c>
      <c r="GI355" s="162">
        <f t="shared" ca="1" si="1326"/>
        <v>0</v>
      </c>
      <c r="GJ355" s="162">
        <f t="shared" ca="1" si="1205"/>
        <v>0</v>
      </c>
      <c r="GK355" s="162">
        <f t="shared" ca="1" si="1327"/>
        <v>1</v>
      </c>
      <c r="GL355" s="162">
        <f t="shared" ca="1" si="1206"/>
        <v>1</v>
      </c>
      <c r="GM355" s="162" t="e">
        <f ca="1">MAX(0,MIN(1,1-Control!$C$156*(1.0001-$KH355)^2))</f>
        <v>#N/A</v>
      </c>
      <c r="GN355" s="162" t="e">
        <f ca="1">IF(Control!$B$26=1,$KU355,$KX355)</f>
        <v>#N/A</v>
      </c>
      <c r="GO355" s="162" t="e">
        <f ca="1">IF($CP355&lt;=60,Control!$C$105,IF($CP355&gt;=90,Control!$C$106,Control!$C$105+($CP355-60)*((Control!$C$106-Control!$C$105)/(90-60))))</f>
        <v>#N/A</v>
      </c>
      <c r="GP355" s="162" t="e">
        <f t="shared" ca="1" si="1207"/>
        <v>#N/A</v>
      </c>
      <c r="GQ355" s="162" t="e">
        <f t="shared" ca="1" si="1328"/>
        <v>#N/A</v>
      </c>
      <c r="GR355" s="163" t="e">
        <f t="shared" ca="1" si="1208"/>
        <v>#DIV/0!</v>
      </c>
      <c r="GS355" s="162" t="e">
        <f t="shared" ca="1" si="1209"/>
        <v>#DIV/0!</v>
      </c>
      <c r="GT355" s="164" t="e">
        <f t="shared" ca="1" si="1329"/>
        <v>#N/A</v>
      </c>
      <c r="GU355" s="162" t="e">
        <f t="shared" ca="1" si="1330"/>
        <v>#N/A</v>
      </c>
      <c r="GV355" s="162" t="e">
        <f t="shared" ca="1" si="1210"/>
        <v>#N/A</v>
      </c>
      <c r="GW355" s="162" t="e">
        <f t="shared" ca="1" si="1211"/>
        <v>#DIV/0!</v>
      </c>
      <c r="GX355" s="162" t="e">
        <f t="shared" ca="1" si="1331"/>
        <v>#DIV/0!</v>
      </c>
      <c r="GY355" s="162" t="e">
        <f t="shared" ca="1" si="1332"/>
        <v>#DIV/0!</v>
      </c>
      <c r="GZ355" s="165" t="e">
        <f t="shared" ca="1" si="1212"/>
        <v>#N/A</v>
      </c>
      <c r="HA355" s="162" t="e">
        <f ca="1">IF(Control!$C$114=1, $DI355*$FS355, 0)</f>
        <v>#N/A</v>
      </c>
      <c r="HB355" s="162" t="e">
        <f ca="1">$FA355/Control!$C$64</f>
        <v>#N/A</v>
      </c>
      <c r="HC355" s="162" t="e">
        <f t="shared" ca="1" si="1213"/>
        <v>#DIV/0!</v>
      </c>
      <c r="HD355" s="162">
        <f ca="1">-ASIN(SIN(23.45*Control!$C$139)*COS(2*Control!$C$138*($AH355+10)/365))</f>
        <v>-0.40825341172619001</v>
      </c>
      <c r="HE355" s="165">
        <f t="shared" ca="1" si="1333"/>
        <v>0</v>
      </c>
      <c r="HF355" s="166">
        <f ca="1">IF(AND(Control!$C$61="T",$HE355&gt;=Control!$C$103,Control!$C$114=0),$AH355,Control!$C$59)</f>
        <v>1</v>
      </c>
      <c r="HG355" s="166">
        <f ca="1">IF(AND(Control!$C$61="T",$HE355&gt;=Control!$C$103,Control!$C$114=0),$HF355,Control!$C$59)</f>
        <v>1</v>
      </c>
      <c r="HH355" s="165">
        <f ca="1">IF(AND(OR(Control!$C$60&lt;=0, $AH355= Control!$C$59, Control!$C$60 &gt;0, $AH355 = Control!$C$60)), Control!$C$59, IF(Control!$C$60&gt;0, 0))</f>
        <v>1</v>
      </c>
      <c r="HI355" s="165">
        <f ca="1">IF(AND(OR(Control!$C$60&lt;=0, $AH355= Control!$C$59, Control!$C$60 &gt;0, $AH355 = Control!$C$60)), Control!$C$60, IF(Control!$C$60&lt;=0, 0))</f>
        <v>0</v>
      </c>
      <c r="HJ355" s="166">
        <f ca="1">IF(AND(Control!$C$62="F",$CV355&gt;=Control!$C$102),$AH355,0)</f>
        <v>0</v>
      </c>
      <c r="HK355" s="165" t="e">
        <f t="shared" ca="1" si="1370"/>
        <v>#N/A</v>
      </c>
      <c r="HL355" s="166">
        <f ca="1">IF(AND(Control!$C$61="T",$HE355&gt;=Control!$C$103,Control!$C$114=0),$HF355,0)</f>
        <v>0</v>
      </c>
      <c r="HM355" s="201" t="e">
        <f t="shared" ca="1" si="1214"/>
        <v>#DIV/0!</v>
      </c>
      <c r="HN355" s="215">
        <f t="shared" ca="1" si="1334"/>
        <v>351</v>
      </c>
      <c r="HO355" s="216" t="e">
        <f ca="1">IF(AND($CP355&gt;=0, $CP355&lt;=90), Control!$C$152, Control!$C$152)</f>
        <v>#N/A</v>
      </c>
      <c r="HP355" s="216" t="e">
        <f t="shared" ca="1" si="1215"/>
        <v>#N/A</v>
      </c>
      <c r="HQ355" s="217" t="e">
        <f ca="1">IF(OR(Control!$B$26=1,Control!$B$26=2),$KV355,$KS355)</f>
        <v>#DIV/0!</v>
      </c>
      <c r="HR355" s="218" t="e">
        <f t="shared" ca="1" si="1371"/>
        <v>#DIV/0!</v>
      </c>
      <c r="HS355" s="216" t="e">
        <f ca="1">Control!$C$154*$HP355</f>
        <v>#N/A</v>
      </c>
      <c r="HT355" s="216" t="e">
        <f ca="1">Control!$C$155*$HP355</f>
        <v>#N/A</v>
      </c>
      <c r="HU355" s="217" t="e">
        <f ca="1">Control!$C$161*$FI355</f>
        <v>#N/A</v>
      </c>
      <c r="HV355" s="218" t="e">
        <f t="shared" ca="1" si="1335"/>
        <v>#N/A</v>
      </c>
      <c r="HW355" s="218" t="e">
        <f ca="1">Control!$C$160*$FF355+$IP355*$EO355</f>
        <v>#N/A</v>
      </c>
      <c r="HX355" s="218" t="e">
        <f t="shared" ca="1" si="1372"/>
        <v>#N/A</v>
      </c>
      <c r="HY355" s="219" t="e">
        <f ca="1">IF(Control!$C$114=1, $EB355*$FS355, 0)</f>
        <v>#N/A</v>
      </c>
      <c r="HZ355" s="91" t="e">
        <f t="shared" ca="1" si="1216"/>
        <v>#N/A</v>
      </c>
      <c r="IA355" s="220" t="e">
        <f ca="1">Control!$C$153*$HO355</f>
        <v>#N/A</v>
      </c>
      <c r="IB355" s="218" t="e">
        <f t="shared" ca="1" si="1217"/>
        <v>#N/A</v>
      </c>
      <c r="IC355" s="220" t="e">
        <f ca="1">Control!$C$153*$HT355</f>
        <v>#N/A</v>
      </c>
      <c r="ID355" s="218" t="e">
        <f t="shared" ca="1" si="1218"/>
        <v>#N/A</v>
      </c>
      <c r="IE355" s="221" t="e">
        <f ca="1">($EB355*Control!$C$159+$EF355*Control!$C$160)/(IF($GZ355&lt;&gt;0,$GZ355,1))</f>
        <v>#N/A</v>
      </c>
      <c r="IF355" s="216" t="e">
        <f t="shared" ca="1" si="1219"/>
        <v>#N/A</v>
      </c>
      <c r="IG355" s="91">
        <f ca="1">IF(OR(Control!$B$198=$AH355,Control!$B$199=$AH355, Control!$B$200=$AH355, Control!$B$201=$AH355, Control!$B$202=$AH355, Control!$B$203=$AH355, Control!$B$204=$AH355, Control!$B$205=$AH355, Control!$B$206=$AH355, Control!$B$207=$AH355), 1, 0)</f>
        <v>0</v>
      </c>
      <c r="IH355" s="91">
        <f ca="1">IF($IG355=0,0, VLOOKUP($AH355,Control!$B$198:$C$207,2))</f>
        <v>0</v>
      </c>
      <c r="II355" s="222">
        <f t="shared" ca="1" si="1336"/>
        <v>0</v>
      </c>
      <c r="IJ355" s="91">
        <f>Control!$C$121</f>
        <v>0.7</v>
      </c>
      <c r="IK355" s="218">
        <f t="shared" ca="1" si="1220"/>
        <v>0</v>
      </c>
      <c r="IL355" s="217" t="e">
        <f t="shared" ca="1" si="1373"/>
        <v>#N/A</v>
      </c>
      <c r="IM355" s="223" t="e">
        <f ca="1">IF(AND(Control!$C$114=1,$KH355&lt;1),$EB355*Control!$C$148*(1-$KH355), 0)</f>
        <v>#N/A</v>
      </c>
      <c r="IN355" s="217" t="e">
        <f t="shared" ca="1" si="1221"/>
        <v>#DIV/0!</v>
      </c>
      <c r="IO355" s="91" t="e">
        <f ca="1">MAX(0,$IL355-$EF355*Control!$C$160)</f>
        <v>#N/A</v>
      </c>
      <c r="IP355" s="220" t="e">
        <f t="shared" ca="1" si="1222"/>
        <v>#N/A</v>
      </c>
      <c r="IQ355" s="217" t="e">
        <f t="shared" ca="1" si="1337"/>
        <v>#N/A</v>
      </c>
      <c r="IR355" s="218" t="e">
        <f t="shared" ca="1" si="1223"/>
        <v>#N/A</v>
      </c>
      <c r="IS355" s="217" t="e">
        <f ca="1">Control!$C$159*MAX(0,$FD355-$EN355)</f>
        <v>#N/A</v>
      </c>
      <c r="IT355" s="217" t="e">
        <f t="shared" ca="1" si="1374"/>
        <v>#N/A</v>
      </c>
      <c r="IU355" s="217" t="e">
        <f t="shared" ca="1" si="1338"/>
        <v>#N/A</v>
      </c>
      <c r="IV355" s="217" t="e">
        <f t="shared" ca="1" si="1375"/>
        <v>#N/A</v>
      </c>
      <c r="IW355" s="217" t="e">
        <f ca="1">IF(OR($AW355=1,AND($AW355=0, Control!$B$18=1,$EN355&lt;&gt;0)), $IQ355-$IU355, $IQ355)</f>
        <v>#N/A</v>
      </c>
      <c r="IX355" s="218" t="e">
        <f t="shared" ca="1" si="1224"/>
        <v>#N/A</v>
      </c>
      <c r="IY355" s="218" t="e">
        <f ca="1">MAX(0,$IQ355-$EB355*Control!$C$159)</f>
        <v>#N/A</v>
      </c>
      <c r="IZ355" s="218" t="e">
        <f t="shared" ca="1" si="1225"/>
        <v>#N/A</v>
      </c>
      <c r="JA355" s="216" t="e">
        <f t="shared" ca="1" si="1226"/>
        <v>#N/A</v>
      </c>
      <c r="JB355" s="217" t="e">
        <f t="shared" ca="1" si="1227"/>
        <v>#N/A</v>
      </c>
      <c r="JC355" s="222" t="e">
        <f ca="1">MAX(Control!$C$157*$EK355-$JT355, 0)/Control!$C$162</f>
        <v>#N/A</v>
      </c>
      <c r="JD355" s="218" t="e">
        <f t="shared" ca="1" si="1228"/>
        <v>#N/A</v>
      </c>
      <c r="JE355" s="218" t="e">
        <f t="shared" ca="1" si="1229"/>
        <v>#N/A</v>
      </c>
      <c r="JF355" s="218" t="e">
        <f t="shared" ca="1" si="1339"/>
        <v>#N/A</v>
      </c>
      <c r="JG355" s="218" t="e">
        <f t="shared" ca="1" si="1230"/>
        <v>#N/A</v>
      </c>
      <c r="JH355" s="217" t="e">
        <f t="shared" ca="1" si="1340"/>
        <v>#N/A</v>
      </c>
      <c r="JI355" s="217" t="e">
        <f t="shared" ca="1" si="1341"/>
        <v>#N/A</v>
      </c>
      <c r="JJ355" s="217" t="e">
        <f t="shared" ca="1" si="1376"/>
        <v>#N/A</v>
      </c>
      <c r="JK355" s="217" t="e">
        <f ca="1">IF(Control!$C$114=1,IF(Control!$B$24=0,MAX(0,$JI355)*$GN355/Control!$C$64,(MAX(0,MIN($JI355,$JJ355*$GN355/Control!$C$64),0))))</f>
        <v>#N/A</v>
      </c>
      <c r="JL355" s="217" t="e">
        <f ca="1">$IK355/Control!$C$64-$JK355+$HQ355</f>
        <v>#N/A</v>
      </c>
      <c r="JM355" s="217" t="e">
        <f ca="1">IF(Control!$C$114=1,($JB355/(IF($JI355&lt;&gt;0,$JI355,1)))*$JK355,0)</f>
        <v>#N/A</v>
      </c>
      <c r="JN355" s="217" t="e">
        <f ca="1">IF(Control!$C$114=1,($JG355/(IF($JI355&lt;&gt;0,$JI355,1)))*$JK355, 0)</f>
        <v>#N/A</v>
      </c>
      <c r="JO355" s="218" t="e">
        <f t="shared" ca="1" si="1231"/>
        <v>#N/A</v>
      </c>
      <c r="JP355" s="218" t="e">
        <f ca="1">MIN(($IY355+$IO355)*Control!$C$151, $JF355-$EH355*Control!$C$161)</f>
        <v>#N/A</v>
      </c>
      <c r="JQ355" s="218" t="e">
        <f t="shared" ca="1" si="1232"/>
        <v>#N/A</v>
      </c>
      <c r="JR355" s="217" t="e">
        <f ca="1">IF($CP355-Control!$C$150&lt;0, 0, $JQ355/Control!$C$162)</f>
        <v>#N/A</v>
      </c>
      <c r="JS355" s="218" t="e">
        <f t="shared" ca="1" si="1233"/>
        <v>#N/A</v>
      </c>
      <c r="JT355" s="218" t="e">
        <f t="shared" ca="1" si="1342"/>
        <v>#N/A</v>
      </c>
      <c r="JU355" s="218" t="e">
        <f t="shared" ca="1" si="1234"/>
        <v>#N/A</v>
      </c>
      <c r="JV355" s="218" t="e">
        <f t="shared" ca="1" si="1235"/>
        <v>#N/A</v>
      </c>
      <c r="JW355" s="216" t="e">
        <f t="shared" ca="1" si="1236"/>
        <v>#N/A</v>
      </c>
      <c r="JX355" s="91" t="e">
        <f t="shared" ca="1" si="1237"/>
        <v>#N/A</v>
      </c>
      <c r="JY355" s="218" t="e">
        <f t="shared" ca="1" si="1238"/>
        <v>#N/A</v>
      </c>
      <c r="JZ355" s="217" t="e">
        <f ca="1">IF(Control!$C$114=1,($IZ355/(IF($JI355&lt;&gt;0,$JI355,1)))*$JK355, 0)</f>
        <v>#N/A</v>
      </c>
      <c r="KA355" s="218" t="e">
        <f t="shared" ca="1" si="1377"/>
        <v>#N/A</v>
      </c>
      <c r="KB355" s="218" t="e">
        <f t="shared" ca="1" si="1343"/>
        <v>#N/A</v>
      </c>
      <c r="KC355" s="218" t="e">
        <f t="shared" ca="1" si="1239"/>
        <v>#N/A</v>
      </c>
      <c r="KD355" s="218" t="e">
        <f t="shared" ca="1" si="1240"/>
        <v>#N/A</v>
      </c>
      <c r="KE355" s="218" t="e">
        <f t="shared" ca="1" si="1241"/>
        <v>#N/A</v>
      </c>
      <c r="KF355" s="218" t="e">
        <f t="shared" ca="1" si="1242"/>
        <v>#N/A</v>
      </c>
      <c r="KG355" s="216" t="e">
        <f t="shared" ca="1" si="1243"/>
        <v>#N/A</v>
      </c>
      <c r="KH355" s="221" t="e">
        <f ca="1">IF(Control!$B$24=0,1,MAX(0.001,MIN(1,IF(($IF355-$IE355)&lt;&gt;0,($KG355-$IE355)/($IF355-$IE355),1))))</f>
        <v>#N/A</v>
      </c>
      <c r="KI355" s="222" t="e">
        <f ca="1">IF(Control!$C$114=1, $KI354+ $KH354, 0)</f>
        <v>#N/A</v>
      </c>
      <c r="KJ355" s="217" t="e">
        <f t="shared" ca="1" si="1244"/>
        <v>#N/A</v>
      </c>
      <c r="KK355" s="218" t="e">
        <f t="shared" ca="1" si="1245"/>
        <v>#N/A</v>
      </c>
      <c r="KL355" s="274" t="e">
        <f ca="1">IF(Control!$B$26=3,4000000000*EXP(-8400/($G355+273)),IF(Control!$B$26=4,4000000000*EXP(-8400/($G355+273))*($KT355),0))</f>
        <v>#DIV/0!</v>
      </c>
      <c r="KM355" s="274" t="e">
        <f ca="1">IF(Control!$B$26=3,5600000000000*EXP(-9800/($G355+273)),IF(Control!$B$26=4,5600000000000*EXP(-9800/($G355+273))*$KT355,0))</f>
        <v>#DIV/0!</v>
      </c>
      <c r="KN355" s="454" t="e">
        <f t="shared" ca="1" si="1344"/>
        <v>#DIV/0!</v>
      </c>
      <c r="KO355" s="274" t="e">
        <f t="shared" ca="1" si="1345"/>
        <v>#DIV/0!</v>
      </c>
      <c r="KP355" s="454" t="e">
        <f t="shared" ca="1" si="1246"/>
        <v>#DIV/0!</v>
      </c>
      <c r="KQ355" s="454" t="e">
        <f t="shared" ca="1" si="1247"/>
        <v>#DIV/0!</v>
      </c>
      <c r="KR355" s="454" t="e">
        <f t="shared" ca="1" si="1248"/>
        <v>#DIV/0!</v>
      </c>
      <c r="KS355" s="454" t="e">
        <f t="shared" ca="1" si="1249"/>
        <v>#DIV/0!</v>
      </c>
      <c r="KT355" s="455" t="e">
        <f t="shared" ca="1" si="1250"/>
        <v>#DIV/0!</v>
      </c>
      <c r="KU355" s="456" t="e">
        <f ca="1">IF($CP355-Control!$C$149&lt;0, IF($NT355-0.01&lt;0,0,1),0)</f>
        <v>#N/A</v>
      </c>
      <c r="KV355" s="456" t="e">
        <f ca="1">IF(Control!$C$114=1,MAX(0,MIN(Control!$C$125*$KW355*$GN355,$KW355)))</f>
        <v>#DIV/0!</v>
      </c>
      <c r="KW355" s="456" t="e">
        <f t="shared" ca="1" si="1378"/>
        <v>#DIV/0!</v>
      </c>
      <c r="KX355" s="457" t="e">
        <f ca="1">IF($CP355-Control!$C$149&lt;0, IF($MR355-$OM355&lt;0,0,1),0)</f>
        <v>#N/A</v>
      </c>
      <c r="KY355" s="167">
        <f t="shared" ca="1" si="1346"/>
        <v>351</v>
      </c>
      <c r="KZ355" s="168">
        <f ca="1">1370*(1+0.033*COS(2*Control!$C$138*$AH355/365))</f>
        <v>1413.9035858015548</v>
      </c>
      <c r="LA355" s="169">
        <f t="shared" ca="1" si="1347"/>
        <v>1.0320463017121373</v>
      </c>
      <c r="LB355" s="169">
        <f t="shared" ca="1" si="1348"/>
        <v>-0.40825904457561446</v>
      </c>
      <c r="LC355" s="169">
        <f ca="1">ACOS(-TAN((2*Control!$B$8/360))*TAN(Calculations!$LB355))</f>
        <v>1.4418804819147986</v>
      </c>
      <c r="LD355" s="169">
        <f ca="1">((24*60)/PI())*0.082*$LA355*(($LC355*SIN(Control!$B$8*2*PI()/360))*SIN($LB355)+COS(Control!$B$8*2*PI()/360)*COS($LB355)*SIN($LC355))</f>
        <v>4.2390828244023533</v>
      </c>
      <c r="LE355" s="170">
        <f t="shared" ca="1" si="1251"/>
        <v>5.9592540491631061</v>
      </c>
      <c r="LF355" s="170">
        <f ca="1">SIN(Control!$C$139*Control!$B$8)*SIN($HD355)</f>
        <v>-0.31284621599583812</v>
      </c>
      <c r="LG355" s="170">
        <f ca="1">COS(Control!$C$139*Control!$B$8)*COS($HD355)</f>
        <v>0.56506218987532519</v>
      </c>
      <c r="LH355" s="170">
        <f ca="1">12*(1+2*ASIN(MAX(-1,MIN(1,$LF355/$LG355))/Control!$C$138))</f>
        <v>7.7482366779523453</v>
      </c>
      <c r="LI355" s="170">
        <f ca="1">12*(1+2*ASIN(MAX(-1,MIN(1,(-SIN(-4*Control!$C$139)+$LF355)/$LG355))/Control!$C$138))</f>
        <v>8.7031653688258253</v>
      </c>
      <c r="LJ355" s="168">
        <f ca="1">3600*($LH355*$LF355+24*$LG355*SQRT(1-$LK355*$LK355)/Control!$C$138)</f>
        <v>4214.7527660344331</v>
      </c>
      <c r="LK355" s="170">
        <f t="shared" ca="1" si="1252"/>
        <v>-0.55364917632316579</v>
      </c>
      <c r="LL355" s="170">
        <f t="shared" ca="1" si="1253"/>
        <v>0</v>
      </c>
      <c r="LM355" s="171">
        <f ca="1">Control!$C$145*$AB355</f>
        <v>6.6660906138995932E-2</v>
      </c>
      <c r="LN355" s="170">
        <f t="shared" ca="1" si="1349"/>
        <v>0.54</v>
      </c>
      <c r="LO355" s="170">
        <f t="shared" ca="1" si="1254"/>
        <v>0</v>
      </c>
      <c r="LP355" s="170">
        <f ca="1">Control!$C$140*((($D355+273.16)^4+($E355+273.16)^4)/2)*(0.34-0.14*SQRT($Y355))*(1.35*$AQ355/(0.75*$LD355)-0.35)</f>
        <v>-3.2464704755046001</v>
      </c>
      <c r="LQ355" s="170">
        <f ca="1">Control!$C$140*($G355+273)^4*(0.56-0.079*SQRT($Y355*10))*(0.1+0.9*$LO355)</f>
        <v>1.5241745131704001</v>
      </c>
      <c r="LR355" s="170">
        <f ca="1">$AQ355*(1-Control!$C$142)-$LQ355</f>
        <v>-1.5241745131704001</v>
      </c>
      <c r="LS355" s="170">
        <f ca="1">$AQ355*(1-Control!$C$143)-$LQ355</f>
        <v>-1.5241745131704001</v>
      </c>
      <c r="LT355" s="170">
        <f ca="1">$AQ355*(1-Control!$C$144)-$LQ355</f>
        <v>-1.5241745131704001</v>
      </c>
      <c r="LU355" s="169">
        <f ca="1">(1-Control!$C$144)*AQ355-LP355</f>
        <v>3.2464704755046001</v>
      </c>
      <c r="LV355" s="172">
        <f t="shared" ca="1" si="1255"/>
        <v>0.79430000000000012</v>
      </c>
      <c r="LW355" s="170">
        <f t="shared" ca="1" si="1256"/>
        <v>1.5886000000000002</v>
      </c>
      <c r="LX355" s="170">
        <f ca="1">($AC355*($LR355/Control!$C$141)+$LM355*$LV355)/($AC355+$LM355)</f>
        <v>0.23530094218323697</v>
      </c>
      <c r="LY355" s="170">
        <f ca="1">($AC355*($LS355/Control!$C$141)+$LM355*$LV355)/($AC355+$LM355)</f>
        <v>0.23530094218323697</v>
      </c>
      <c r="LZ355" s="170">
        <f t="shared" ca="1" si="1257"/>
        <v>0.23530094218323697</v>
      </c>
      <c r="MA355" s="170">
        <f t="shared" ca="1" si="1258"/>
        <v>0.23530094218323697</v>
      </c>
      <c r="MB355" s="170" t="e">
        <f t="shared" ca="1" si="1259"/>
        <v>#N/A</v>
      </c>
      <c r="MC355" s="170">
        <f t="shared" ca="1" si="1350"/>
        <v>0.6018</v>
      </c>
      <c r="MD355" s="170">
        <f t="shared" ca="1" si="1260"/>
        <v>0.52989392535414004</v>
      </c>
      <c r="ME355" s="170">
        <f ca="1">($AC355*($LT355/Control!$C$141)+$LM355*$LW355)/($AC355+$LM355)</f>
        <v>0.71612369323045078</v>
      </c>
      <c r="MF355" s="170" t="e">
        <f ca="1">IF(Control!$B$16&gt;=1000,0.92,IF(AND(720&lt;=Control!$B$16,1000&gt;Control!$B$16),(0.95+(Control!$B$16-720)*((0.92-0.95)/(1000-720))),IF(AND(360&lt;=Control!$B$16,720&gt;Control!$B$16),(1+(Control!$B$16-360)*((0.95-1)/(720-360))),IF(AND(40&lt;=Control!$B$16,360&gt;Control!$B$16),(1.05+(Control!$B$16-40)*((1.05-1)/(360-40)))))))</f>
        <v>#N/A</v>
      </c>
      <c r="MG355" s="170">
        <f t="shared" ca="1" si="1261"/>
        <v>0.71612369323045078</v>
      </c>
      <c r="MH355" s="170" t="e">
        <f t="shared" ca="1" si="1387"/>
        <v>#N/A</v>
      </c>
      <c r="MI355" s="170" t="e">
        <f t="shared" ca="1" si="1387"/>
        <v>#N/A</v>
      </c>
      <c r="MJ355" s="170" t="e">
        <f ca="1">MAX(0.0001, Control!$C$132*$MI355*$DL355)</f>
        <v>#N/A</v>
      </c>
      <c r="MK355" s="170">
        <f ca="1">1/(0.76+1.5*($MG355/10))-(5-Control!$C$110)*0.1</f>
        <v>1.002845988140797</v>
      </c>
      <c r="ML355" s="173">
        <f ca="1">IF(Control!$C$110&lt;3,$MK355+($MG355-0.6)/(Control!$C$110*(Control!$C$110+3)), MAX(0.1, MIN(0.95,$MK355)))</f>
        <v>0.95</v>
      </c>
      <c r="MM355" s="173">
        <f ca="1">IF(Control!$C$110&lt;3,$MK355+(($MI355/10)-0.6)/(Control!$C$110*(Control!$C$110+3)), MAX(0.1, MIN(0.95,$MK355)))</f>
        <v>0.95</v>
      </c>
      <c r="MN355" s="173">
        <f ca="1">(1-$MM355)*(Control!$C$128-Control!$C$127)+Control!$C$127</f>
        <v>0.16</v>
      </c>
      <c r="MO355" s="170" t="e">
        <f ca="1">MAX(0,MIN(1,($MS355-Control!$C$127)/($MN355-Control!$C$127)))</f>
        <v>#DIV/0!</v>
      </c>
      <c r="MP355" s="173" t="e">
        <f ca="1">1/(0.76+1.5*$MI355)-(5-Control!$C$110)*0.1</f>
        <v>#N/A</v>
      </c>
      <c r="MQ355" s="172" t="e">
        <f t="shared" ca="1" si="1379"/>
        <v>#DIV/0!</v>
      </c>
      <c r="MR355" s="168" t="e">
        <f t="shared" ca="1" si="1351"/>
        <v>#DIV/0!</v>
      </c>
      <c r="MS355" s="173" t="e">
        <f ca="1">MAX(Control!$C$127, MIN(Control!$C$135, $MR355/MAX(0.0001,$CY355)))</f>
        <v>#DIV/0!</v>
      </c>
      <c r="MT355" s="168" t="e">
        <f ca="1">(Control!$C$128-$MS355)*Control!$C$74</f>
        <v>#DIV/0!</v>
      </c>
      <c r="MU355" s="168" t="e">
        <f ca="1">(Control!$C$135-$MS355)*Control!$C$74</f>
        <v>#DIV/0!</v>
      </c>
      <c r="MV355" s="168" t="e">
        <f t="shared" ca="1" si="1352"/>
        <v>#DIV/0!</v>
      </c>
      <c r="MW355" s="168" t="e">
        <f t="shared" ca="1" si="1353"/>
        <v>#DIV/0!</v>
      </c>
      <c r="MX355" s="171" t="e">
        <f ca="1">MAX(Control!$C$127, MIN(Control!$C$135, $MW355/MAX(0.0001,Control!$C$119-$CY355)))</f>
        <v>#DIV/0!</v>
      </c>
      <c r="MY355" s="54" t="e">
        <f ca="1">IF(Control!$C$114=1, $CX355*$MX355, 0)</f>
        <v>#DIV/0!</v>
      </c>
      <c r="MZ355" s="54" t="e">
        <f t="shared" ca="1" si="1354"/>
        <v>#N/A</v>
      </c>
      <c r="NA355" s="168" t="e">
        <f ca="1">(Control!$C$128-$MX355)*(Control!$C$119-Control!$C$74)</f>
        <v>#DIV/0!</v>
      </c>
      <c r="NB355" s="168" t="e">
        <f ca="1">(Control!$C$135-$MX355)*(Control!$C$119-Control!$C$74)</f>
        <v>#DIV/0!</v>
      </c>
      <c r="NC355" s="174" t="e">
        <f t="shared" ca="1" si="1355"/>
        <v>#DIV/0!</v>
      </c>
      <c r="ND355" s="54">
        <f ca="1">IF(Control!$C$58=2, IF(OR(Control!$B$218=$AH355,Control!$B$219=$AH355, Control!$B$220=$AH355, Control!$B$221=$AH355, Control!$B$222=$AH355, Control!$B$223=$AH355, Control!$B$224=$AH355, Control!$B$225=$AH355, Control!$B$226=$AH355, Control!$B$227=$AH355, Control!$B$228=$AH355), 1, 0), 0)</f>
        <v>0</v>
      </c>
      <c r="NE355" s="54">
        <f ca="1">IF($ND355=0,0, VLOOKUP($AH355,Control!$B$218:$C$228,2))</f>
        <v>0</v>
      </c>
      <c r="NF355" s="168" t="e">
        <f ca="1">$CY355*(Control!$C$128-Control!$C$127)</f>
        <v>#N/A</v>
      </c>
      <c r="NG355" s="54" t="e">
        <f ca="1">IF(Control!$C$58=2, $NI354-$NJ354, 0)</f>
        <v>#DIV/0!</v>
      </c>
      <c r="NH355" s="54" t="e">
        <f ca="1">IF(AND(Control!$C$58=1, $MS354&lt;= ($MN354+0.02), $I354&lt;10), 0, IF(Control!$C$58=2, $NG354, 0))</f>
        <v>#DIV/0!</v>
      </c>
      <c r="NI355" s="54" t="e">
        <f ca="1">IF(Control!$C$58=2, $NE355+$NH355,0)</f>
        <v>#DIV/0!</v>
      </c>
      <c r="NJ355" s="54" t="e">
        <f ca="1">IF(AND(Control!$C$58=1, $MS355&lt;= ($MN355+0.02), $I355&lt;10), MAX(0, MIN(10, 0.7*($NF355-$MV355))), IF(Control!$C$58=2, MIN(10,$NI355),0))</f>
        <v>#DIV/0!</v>
      </c>
      <c r="NK355" s="54" t="e">
        <f t="shared" ca="1" si="1263"/>
        <v>#DIV/0!</v>
      </c>
      <c r="NL355" s="173" t="e">
        <f ca="1">(1-Control!$C$73)*$I355+$NJ355</f>
        <v>#DIV/0!</v>
      </c>
      <c r="NM355" s="172" t="e">
        <f ca="1">IF($NL355&lt;0.5, $MB355* MAX(0, MIN(1, (SQRT($NC355)-SQRT($NC355-1))*Control!$C$71)),0)</f>
        <v>#DIV/0!</v>
      </c>
      <c r="NN355" s="170" t="e">
        <f ca="1">IF($NL355&gt;=5, $MB355, MAX(0,MIN($MB355, $NM355+$NL355,($MS355-Control!$C$129))))</f>
        <v>#DIV/0!</v>
      </c>
      <c r="NO355" s="54">
        <f>IF(Control!$C$133&lt;&gt;1, Control!$C$135-Control!$C$131, 0)</f>
        <v>0.38</v>
      </c>
      <c r="NP355" s="54" t="e">
        <f t="shared" ca="1" si="1264"/>
        <v>#DIV/0!</v>
      </c>
      <c r="NQ355" s="173" t="e">
        <f ca="1">MAX(0,MIN(1,(Control!$C$135-$MS355)/(Control!$C$135-$NO355)))</f>
        <v>#DIV/0!</v>
      </c>
      <c r="NR355" s="170" t="e">
        <f ca="1">IF(Control!$C$133&lt;&gt;1, $NQ355+((1-$NP355/4)*(1-$NQ355)),1)</f>
        <v>#DIV/0!</v>
      </c>
      <c r="NS355" s="170" t="e">
        <f ca="1">IF(Control!$B$31=0,$MJ355,MAX(0,MIN($MV355,$MO355*$NR355*$MJ355)))</f>
        <v>#DIV/0!</v>
      </c>
      <c r="NT355" s="170" t="e">
        <f t="shared" ca="1" si="1380"/>
        <v>#DIV/0!</v>
      </c>
      <c r="NU355" s="170" t="e">
        <f t="shared" ca="1" si="1356"/>
        <v>#N/A</v>
      </c>
      <c r="NV355" s="170" t="e">
        <f t="shared" ca="1" si="1265"/>
        <v>#N/A</v>
      </c>
      <c r="NW355" s="175" t="e">
        <f t="shared" ca="1" si="1266"/>
        <v>#DIV/0!</v>
      </c>
      <c r="NX355" s="170" t="e">
        <f ca="1">MIN(Control!$C$72+$MU355, $NW355)</f>
        <v>#DIV/0!</v>
      </c>
      <c r="NY355" s="170" t="e">
        <f ca="1">IF($MT355&lt;=$NX355,MIN(Control!$C$72+$NB355,$NX355-$MT355),0)</f>
        <v>#DIV/0!</v>
      </c>
      <c r="NZ355" s="54" t="e">
        <f ca="1">IF(Control!$C$114=1,  $CX355*($MX355-Control!$C$127), 0)</f>
        <v>#DIV/0!</v>
      </c>
      <c r="OA355" s="170" t="e">
        <f t="shared" ca="1" si="1267"/>
        <v>#DIV/0!</v>
      </c>
      <c r="OB355" s="170" t="e">
        <f ca="1">IF($NA355 &lt;=$NY355, MIN(Control!$C$72, $NY355-$NA355), 0)</f>
        <v>#DIV/0!</v>
      </c>
      <c r="OC355" s="168" t="e">
        <f t="shared" ca="1" si="1268"/>
        <v>#DIV/0!</v>
      </c>
      <c r="OD355" s="168" t="e">
        <f t="shared" ca="1" si="1357"/>
        <v>#DIV/0!</v>
      </c>
      <c r="OE355" s="170">
        <f ca="1">Control!$C$73*$I355</f>
        <v>0</v>
      </c>
      <c r="OF355" s="176" t="e">
        <f t="shared" ca="1" si="1269"/>
        <v>#DIV/0!</v>
      </c>
      <c r="OG355" s="168" t="e">
        <f t="shared" ca="1" si="1270"/>
        <v>#DIV/0!</v>
      </c>
      <c r="OH355" s="168" t="e">
        <f t="shared" ca="1" si="1271"/>
        <v>#DIV/0!</v>
      </c>
      <c r="OI355" s="168" t="e">
        <f t="shared" ca="1" si="1272"/>
        <v>#DIV/0!</v>
      </c>
      <c r="OJ355" s="168" t="e">
        <f t="shared" ca="1" si="1273"/>
        <v>#DIV/0!</v>
      </c>
      <c r="OK355" s="204" t="e">
        <f t="shared" ca="1" si="1274"/>
        <v>#DIV/0!</v>
      </c>
      <c r="OL355" s="177">
        <f>Control!$C$127</f>
        <v>0.15</v>
      </c>
      <c r="OM355" s="182" t="e">
        <f t="shared" ca="1" si="1275"/>
        <v>#N/A</v>
      </c>
      <c r="ON355" s="177">
        <f>Control!$C$128</f>
        <v>0.35</v>
      </c>
      <c r="OO355" s="182" t="e">
        <f t="shared" ca="1" si="1276"/>
        <v>#N/A</v>
      </c>
      <c r="OP355" s="138">
        <f t="shared" ca="1" si="1358"/>
        <v>0</v>
      </c>
      <c r="OQ355" s="138" t="e">
        <f t="shared" ca="1" si="1381"/>
        <v>#DIV/0!</v>
      </c>
      <c r="OR355" s="138" t="e">
        <f t="shared" ca="1" si="1359"/>
        <v>#DIV/0!</v>
      </c>
      <c r="OS355" s="137" t="e">
        <f t="shared" ca="1" si="1382"/>
        <v>#DIV/0!</v>
      </c>
      <c r="OT355" s="139" t="e">
        <f t="shared" ca="1" si="1383"/>
        <v>#DIV/0!</v>
      </c>
      <c r="OU355" s="138" t="e">
        <f t="shared" ca="1" si="1384"/>
        <v>#N/A</v>
      </c>
      <c r="OV355" s="138" t="e">
        <f t="shared" ca="1" si="1385"/>
        <v>#DIV/0!</v>
      </c>
      <c r="OW355" s="138" t="e">
        <f t="shared" ca="1" si="1360"/>
        <v>#DIV/0!</v>
      </c>
      <c r="OX355" s="138" t="e">
        <f t="shared" ca="1" si="1361"/>
        <v>#DIV/0!</v>
      </c>
      <c r="OY355" s="138" t="e">
        <f t="shared" ca="1" si="1362"/>
        <v>#DIV/0!</v>
      </c>
      <c r="OZ355" s="138" t="e">
        <f t="shared" ca="1" si="1277"/>
        <v>#DIV/0!</v>
      </c>
      <c r="PA355" s="138" t="e">
        <f t="shared" ca="1" si="1278"/>
        <v>#DIV/0!</v>
      </c>
      <c r="PB355" s="55">
        <f>IF(Control!$C$61="T", IF(Control!$C$65="F", IF($AH$6-Control!$C$60&lt;0,0,1), IF(365+$AH$6-Control!$C$60&lt;0,0,1)),0)</f>
        <v>0</v>
      </c>
      <c r="PC355" s="55">
        <f ca="1">IF(Control!$C$65="F", IF($AH$6-$HF355&lt;0,0,1), IF(365+$AH$6-$HF355&lt;0,0,1))</f>
        <v>1</v>
      </c>
      <c r="PD355" s="444">
        <f>Control!$C$118</f>
        <v>1500</v>
      </c>
      <c r="PE355" s="180" t="e">
        <f t="shared" ca="1" si="1279"/>
        <v>#N/A</v>
      </c>
      <c r="PF355" s="445">
        <f t="shared" ca="1" si="1363"/>
        <v>0.71612369323045078</v>
      </c>
      <c r="PT355" s="186"/>
      <c r="PU355" s="186"/>
      <c r="PV355" s="94"/>
      <c r="PW355" s="94"/>
      <c r="PX355" s="94"/>
      <c r="PY355" s="94"/>
      <c r="PZ355" s="94"/>
      <c r="QA355" s="94"/>
      <c r="QB355" s="94"/>
      <c r="QC355" s="94"/>
      <c r="QD355" s="94"/>
      <c r="QE355" s="94"/>
      <c r="QF355" s="94"/>
      <c r="QG355" s="94"/>
      <c r="QH355" s="94"/>
      <c r="QI355" s="94"/>
      <c r="QJ355" s="94"/>
      <c r="QK355" s="94"/>
      <c r="QL355" s="94"/>
      <c r="QM355" s="94"/>
      <c r="QN355" s="94"/>
      <c r="QO355" s="94"/>
      <c r="QP355" s="94"/>
    </row>
    <row r="356" spans="1:458" s="2" customFormat="1" x14ac:dyDescent="0.2">
      <c r="A356" s="395">
        <v>17</v>
      </c>
      <c r="B356" s="396">
        <v>12</v>
      </c>
      <c r="C356" s="387">
        <f ca="1">Weather_data!$B355</f>
        <v>0</v>
      </c>
      <c r="D356" s="388">
        <f ca="1">Weather_data!$F355</f>
        <v>0</v>
      </c>
      <c r="E356" s="388">
        <f ca="1">Weather_data!$E355</f>
        <v>0</v>
      </c>
      <c r="F356" s="388">
        <f t="shared" ca="1" si="1280"/>
        <v>0</v>
      </c>
      <c r="G356" s="388">
        <f ca="1">AVERAGE($D356:$E356)+Control!$B$9</f>
        <v>0</v>
      </c>
      <c r="H356" s="388">
        <f ca="1">Weather_data!$G355</f>
        <v>0</v>
      </c>
      <c r="I356" s="388">
        <f ca="1">Weather_data!$I355</f>
        <v>0</v>
      </c>
      <c r="J356" s="388">
        <f ca="1">Weather_data!$H355</f>
        <v>0</v>
      </c>
      <c r="K356" s="389">
        <f ca="1">Weather_data!$D355</f>
        <v>0</v>
      </c>
      <c r="L356" s="388" t="e">
        <f t="shared" ca="1" si="1281"/>
        <v>#N/A</v>
      </c>
      <c r="M356" s="388" t="e">
        <f t="shared" ca="1" si="1158"/>
        <v>#N/A</v>
      </c>
      <c r="N356" s="388">
        <f t="shared" ca="1" si="1159"/>
        <v>-4.828901070295877E-17</v>
      </c>
      <c r="O356" s="388">
        <f t="shared" ca="1" si="1282"/>
        <v>4.8289010702958767E-16</v>
      </c>
      <c r="P356" s="390">
        <v>3</v>
      </c>
      <c r="Q356" s="388">
        <f ca="1">MAX($G356-Control!$C$107,0)</f>
        <v>0</v>
      </c>
      <c r="R356" s="388">
        <f t="shared" ca="1" si="1283"/>
        <v>0</v>
      </c>
      <c r="S356" s="388">
        <f t="shared" ca="1" si="1160"/>
        <v>0</v>
      </c>
      <c r="T356" s="388">
        <f t="shared" ca="1" si="1161"/>
        <v>0</v>
      </c>
      <c r="U356" s="59">
        <f t="shared" ca="1" si="1162"/>
        <v>0</v>
      </c>
      <c r="V356" s="391">
        <f ca="1">MAX(0,MIN(Control!$C$100-Control!$C$99,$G356-Control!$C$99)*Control!$C$63)</f>
        <v>0</v>
      </c>
      <c r="W356" s="388">
        <f t="shared" ca="1" si="1284"/>
        <v>0</v>
      </c>
      <c r="X356" s="388">
        <f t="shared" ca="1" si="1285"/>
        <v>0.6110000000000001</v>
      </c>
      <c r="Y356" s="388">
        <f t="shared" ca="1" si="1163"/>
        <v>0</v>
      </c>
      <c r="Z356" s="388">
        <f t="shared" ca="1" si="1286"/>
        <v>0.61058800000000002</v>
      </c>
      <c r="AA356" s="388">
        <f t="shared" ca="1" si="1164"/>
        <v>0.6018</v>
      </c>
      <c r="AB356" s="388">
        <f ca="1">101.3*EXP(-0.034*Control!$C$66/($G356+273))</f>
        <v>100.69623283836242</v>
      </c>
      <c r="AC356" s="392">
        <f t="shared" ca="1" si="1165"/>
        <v>4.3460251046025113E-2</v>
      </c>
      <c r="AD356" s="392">
        <f t="shared" ca="1" si="1166"/>
        <v>4.4450382862832649E-2</v>
      </c>
      <c r="AE356" s="388">
        <f t="shared" ca="1" si="1167"/>
        <v>0</v>
      </c>
      <c r="AF356" s="388">
        <f ca="1">MAX(0,$G356-Control!$C$92)</f>
        <v>0</v>
      </c>
      <c r="AG356" s="393">
        <f t="shared" ca="1" si="1168"/>
        <v>352</v>
      </c>
      <c r="AH356" s="389">
        <f t="shared" ca="1" si="1169"/>
        <v>352</v>
      </c>
      <c r="AI356" s="388">
        <f t="shared" ca="1" si="1287"/>
        <v>-0.40870276187674781</v>
      </c>
      <c r="AJ356" s="388">
        <f ca="1">IF(Control!$C$60&lt;=0,$HH356,$HI356)</f>
        <v>1</v>
      </c>
      <c r="AK356" s="388">
        <f t="shared" ca="1" si="1170"/>
        <v>4.6822641193228698</v>
      </c>
      <c r="AL356" s="388">
        <f t="shared" ca="1" si="1171"/>
        <v>-2.7050001127904013E-17</v>
      </c>
      <c r="AM356" s="388">
        <f t="shared" ca="1" si="1172"/>
        <v>4.6822641193228698</v>
      </c>
      <c r="AN356" s="388">
        <f t="shared" ca="1" si="1173"/>
        <v>-0.40892098658106263</v>
      </c>
      <c r="AO356" s="388">
        <f ca="1">-0.10453/COS(Control!$B$8*PI()/180)*COS(AN356)</f>
        <v>-0.15578616901184411</v>
      </c>
      <c r="AP356" s="388">
        <f ca="1">ACOS(AO356-TAN(Control!$B$8*PI()/180)*TAN(AN356))</f>
        <v>1.1605064007763315</v>
      </c>
      <c r="AQ356" s="388">
        <f t="shared" ca="1" si="1288"/>
        <v>0</v>
      </c>
      <c r="AR356" s="394">
        <f t="shared" ca="1" si="1174"/>
        <v>0</v>
      </c>
      <c r="AS356" s="436">
        <f ca="1">IF(Control!$B$18=2,(IF(OR($AH356=Control!$B$175,$AH356=Control!$B$176,$AH356=Control!$B$177,$AH356=Control!$B$178,$AH356=Control!$B$179,$AH356=Control!$B$180,$AH356=Control!$B$181,$AH356=Control!$B$182,$AH356=Control!$B$183,$AH356=Control!$B$184,$AH356=Control!$B$185),1,0)),0)</f>
        <v>0</v>
      </c>
      <c r="AT356" s="436">
        <f>IF(Control!$B$20=8,IF(AND($AH356&gt;=Control!$B$172,$AH356&lt;=Control!$B$173),1,0),0)</f>
        <v>0</v>
      </c>
      <c r="AU356" s="436">
        <f>IF(Control!$B$20=8,IF($AV355=1,1*$AT356,IF($AT356=1,$AU355+1,$AU355)),0)</f>
        <v>0</v>
      </c>
      <c r="AV356" s="436">
        <f>IF(Control!$B$20=8,IF($AU356&gt;=Control!$B$174,1,0),0)</f>
        <v>0</v>
      </c>
      <c r="AW356" s="436">
        <f ca="1">IF(AND(Control!$B$18=2,Control!$B$171=1), $AV356, $AS356)</f>
        <v>0</v>
      </c>
      <c r="AX356" s="436" t="e">
        <f ca="1">IF(AND(Control!$B$18=1,$EU356&gt;=Control!$B$19),-$AY356,IF(AND(Control!$B$18=2,$AW356=1,$EU356&gt;$DS356),-$AY356, IF(Control!$C$108=0,0, IF(Control!$C$108&lt;&gt;0,1))))</f>
        <v>#N/A</v>
      </c>
      <c r="AY356" s="436" t="e">
        <f t="shared" ca="1" si="1289"/>
        <v>#N/A</v>
      </c>
      <c r="AZ356" s="436" t="e">
        <f ca="1">IF(AND(Control!$B$18=1,$EB356&gt;Control!$B$19),$AZ355+1, IF(AND(Control!$B$18=2, $AW356=1, $EB356&gt;$DS356), $AZ355+1,$AZ355))</f>
        <v>#N/A</v>
      </c>
      <c r="BA356" s="587">
        <f>IF(Control!$C$81=0,1,IF($AH356&gt;=Control!$C$82,1,0))</f>
        <v>1</v>
      </c>
      <c r="BB356" s="140" t="e">
        <f ca="1">IF($BA356&gt;$BA355,Control!$C$83,IF($AW356&gt;0,$AW356*Control!$C$84,IF(AND(Control!$B$18=1,EN355&lt;&gt;0),Control!$C$84,0)))</f>
        <v>#N/A</v>
      </c>
      <c r="BC356" s="140" t="e">
        <f t="shared" ca="1" si="1290"/>
        <v>#N/A</v>
      </c>
      <c r="BD356" s="140" t="e">
        <f ca="1">BC356*IF(OR($G356&lt;Control!$C$92,$G356&gt;Control!$C$95),0,IF(AND($G356&gt;=Control!$C$92,$G356&lt;=Control!$C$93),$G356-Control!$C$92,IF(AND($G356&gt;Control!$C$93,$G356&lt;=Control!$C$94),Control!$C$93-Control!$C$92,IF(AND($G356&gt;Control!$C$94,$G356&lt;=Control!$C$95),(Control!$C$93-Control!$C$92)*(Control!$C$94-$G356)/(Control!$C$95-Control!$C$94)))))</f>
        <v>#N/A</v>
      </c>
      <c r="BE356" s="140" t="e">
        <f t="shared" ca="1" si="1291"/>
        <v>#N/A</v>
      </c>
      <c r="BF356" s="140" t="e">
        <f ca="1">IF($BE356&lt;=Control!$C$86,$BE356,Control!$C$86-$BE356)</f>
        <v>#N/A</v>
      </c>
      <c r="BG356" s="140" t="e">
        <f ca="1">IF(AND($AW356=1,Control!$C$84&lt;9),1,IF($BE356&gt;=Control!$C$86,0,$BC356))</f>
        <v>#N/A</v>
      </c>
      <c r="BH356" s="404" t="e">
        <f ca="1">IF($BG356=0,0,IF($BE356&lt;=Control!$C$86,$BC356*9*($BF356/Control!$C$86),0))</f>
        <v>#N/A</v>
      </c>
      <c r="BI356" s="140" t="e">
        <f ca="1">IF($BG356=1,0,IF($BE356&gt;=Control!$C$86,1,IF(AND($BB356&lt;21,$BB356&gt;=9),1,$BM355)))</f>
        <v>#N/A</v>
      </c>
      <c r="BJ356" s="140" t="e">
        <f ca="1">IF($BF356&lt;0,-$BF356,$BI356*IF(OR($G356&lt;Control!$C$92,$G356&gt;Control!$C$95),0,IF(AND($G356&gt;=Control!$C$92,$G356&lt;=Control!$C$93),$G356-Control!$C$92,IF(AND($G356&gt;Control!$C$93,$G356&lt;=Control!$C$94),Control!$C$93-Control!$C$92,IF(AND($G356&gt;Control!$C$94,$G356&lt;=Control!$C$95),(Control!$C$93-Control!$C$92)*(Control!$C$94-$G356)/(Control!$C$95-Control!$C$94))))))</f>
        <v>#N/A</v>
      </c>
      <c r="BK356" s="140" t="e">
        <f t="shared" ca="1" si="1292"/>
        <v>#N/A</v>
      </c>
      <c r="BL356" s="140" t="e">
        <f ca="1">IF($BK356&lt;=Control!$C$87,$BK356,Control!$C$87-$BK356)</f>
        <v>#N/A</v>
      </c>
      <c r="BM356" s="140" t="e">
        <f ca="1">IF(AND($BB356&gt;=9,$BB356&lt;21),1,IF($BK356&gt;=Control!$C$87,0,$BI356))</f>
        <v>#N/A</v>
      </c>
      <c r="BN356" s="404" t="e">
        <f ca="1">IF($BM356=0,0,IF($BK356&lt;=Control!$C$87,$BI356*(9+(21-9)*($BL356/Control!$C$87)),0))</f>
        <v>#N/A</v>
      </c>
      <c r="BO356" s="140" t="e">
        <f ca="1">IF($BM356=1,0,IF($BK356&gt;=Control!$C$87,1,IF(AND($BB356&lt;30,$BB356&gt;=21),1,$BS355)))</f>
        <v>#N/A</v>
      </c>
      <c r="BP356" s="140" t="e">
        <f ca="1">IF($BL356&lt;0,-$BL356,$BO356*IF(OR($G356&lt;Control!$C$92,$G356&gt;Control!$C$95),0,IF(AND($G356&gt;=Control!$C$92,$G356&lt;=Control!$C$93),$G356-Control!$C$92,IF(AND($G356&gt;Control!$C$93,$G356&lt;=Control!$C$94),Control!$C$93-Control!$C$92,IF(AND($G356&gt;Control!$C$94,$G356&lt;=Control!$C$95),(Control!$C$93-Control!$C$92)*(Control!$C$94-$G356)/(Control!$C$95-Control!$C$94))))))</f>
        <v>#N/A</v>
      </c>
      <c r="BQ356" s="140" t="e">
        <f t="shared" ca="1" si="1175"/>
        <v>#N/A</v>
      </c>
      <c r="BR356" s="140" t="e">
        <f ca="1">IF($BQ356&lt;=Control!$C$88,$BQ356,Control!$C$88-$BQ356)</f>
        <v>#N/A</v>
      </c>
      <c r="BS356" s="140" t="e">
        <f ca="1">IF(AND($BB356&gt;=21,$BB356&lt;30),1,IF($BQ356&gt;=Control!$C$88,0,$BO356))</f>
        <v>#N/A</v>
      </c>
      <c r="BT356" s="404" t="e">
        <f ca="1">IF($BS356=0,0,IF($BQ356&lt;=Control!$C$88,$BO356*(21+(30-21)*(BR356/Control!$C$88)),0))</f>
        <v>#N/A</v>
      </c>
      <c r="BU356" s="140" t="e">
        <f ca="1">IF(BG356+BM356+BS356=1,0,IF(OR(AND($BB356&lt;60,$BB356&gt;=30),$BQ356&gt;=Control!$C$88),1*$BA356,$BY355))</f>
        <v>#N/A</v>
      </c>
      <c r="BV356" s="140" t="e">
        <f ca="1">IF($BR356&lt;0,-$BR356,$BU356*IF(OR($G356&lt;Control!$C$92,$G356&gt;Control!$C$95),0,IF(AND($G356&gt;=Control!$C$92,$G356&lt;=Control!$C$93),$G356-Control!$C$92,IF(AND($G356&gt;Control!$C$93,$G356&lt;=Control!$C$94),Control!$C$93-Control!$C$92,IF(AND($G356&gt;Control!$C$94,$G356&lt;=Control!$C$95),(Control!$C$93-Control!$C$92)*(Control!$C$94-$G356)/(Control!$C$95-Control!$C$94))))))</f>
        <v>#N/A</v>
      </c>
      <c r="BW356" s="140" t="e">
        <f t="shared" ca="1" si="1176"/>
        <v>#N/A</v>
      </c>
      <c r="BX356" s="140" t="e">
        <f ca="1">IF($BW356&lt;=Control!$C$89,$BW356,Control!$C$89-$BW356)</f>
        <v>#N/A</v>
      </c>
      <c r="BY356" s="140" t="e">
        <f ca="1">IF(AND($AJ356&gt;=30,$AJ356&lt;60),1,IF($BW356&gt;=Control!$C$89,0,$BU356))</f>
        <v>#N/A</v>
      </c>
      <c r="BZ356" s="404" t="e">
        <f ca="1">IF($BY356=0,0,IF($BW356&lt;=Control!$C$89,$BU356*(30+(60-30)*(BX356/Control!$C$89)),0))</f>
        <v>#N/A</v>
      </c>
      <c r="CA356" s="140" t="e">
        <f ca="1">IF($BG356+$BM356+$BS356+$BY356=1,0,IF(OR(AND($BB356&lt;65,$BB356&gt;=60),$BW356&gt;=Control!$C$89),1*$BA356,$CE355))</f>
        <v>#N/A</v>
      </c>
      <c r="CB356" s="140" t="e">
        <f ca="1">IF($BX356&lt;0,-$BX356,$CA356*IF(OR($G356&lt;Control!$C$92,$G356&gt;Control!$C$95),0,IF(AND($G356&gt;=Control!$C$92,$G356&lt;=Control!$C$93),$G356-Control!$C$92,IF(AND($G356&gt;Control!$C$93,$G356&lt;=Control!$C$94),Control!$C$93-Control!$C$92,IF(AND($G356&gt;Control!$C$94,$G356&lt;=Control!$C$95),(Control!$C$93-Control!$C$92)*(Control!$C$94-$G356)/(Control!$C$95-Control!$C$94))))))</f>
        <v>#N/A</v>
      </c>
      <c r="CC356" s="140" t="e">
        <f t="shared" ca="1" si="1293"/>
        <v>#N/A</v>
      </c>
      <c r="CD356" s="140" t="e">
        <f ca="1">IF($CC356&lt;=Control!$C$90,$CC356,Control!$C$90-$CC356)</f>
        <v>#N/A</v>
      </c>
      <c r="CE356" s="140" t="e">
        <f ca="1">IF(AND($BB356&gt;=60,$BB356&lt;65),1,IF($CC356&gt;=Control!$C$90,0,$CA356))</f>
        <v>#N/A</v>
      </c>
      <c r="CF356" s="404" t="e">
        <f ca="1">IF($CE356=0,0,IF($CC356&lt;=Control!$C$90,$CA356*(60+(65-60)*(CD356/Control!$C$90)),0))</f>
        <v>#N/A</v>
      </c>
      <c r="CG356" s="140" t="e">
        <f ca="1">IF($BG356+$BM356+$BS356+$BY356+$CE356=1,0,IF(OR(AND($BB356&lt;90,$BB356&gt;=65),$CC356&gt;=Control!$C$90),$BA356,$CK355))</f>
        <v>#N/A</v>
      </c>
      <c r="CH356" s="140" t="e">
        <f ca="1">IF($CD356&lt;0,-$CD356,$CG356*IF(OR($G356&lt;Control!$C$92,$G356&gt;Control!$C$95),0,IF(AND($G356&gt;=Control!$C$92,$G356&lt;=Control!$C$93),$G356-Control!$C$92,IF(AND($G356&gt;Control!$C$93,$G356&lt;=Control!$C$94),Control!$C$93-Control!$C$92,IF(AND($G356&gt;Control!$C$94,$G356&lt;=Control!$C$95),(Control!$C$93-Control!$C$92)*(Control!$C$94-$G356)/(Control!$C$95-Control!$C$94))))))</f>
        <v>#N/A</v>
      </c>
      <c r="CI356" s="140" t="e">
        <f t="shared" ca="1" si="1294"/>
        <v>#N/A</v>
      </c>
      <c r="CJ356" s="140" t="e">
        <f ca="1">IF($CI356&lt;=Control!$C$91,$CI356,Control!$C$91-$CI356)</f>
        <v>#N/A</v>
      </c>
      <c r="CK356" s="140" t="e">
        <f ca="1">IF(AND($BB356&gt;=65,$BB356&lt;90),1,IF($CI356&gt;=Control!$C$91,0,$CG356))</f>
        <v>#N/A</v>
      </c>
      <c r="CL356" s="404" t="e">
        <f ca="1">IF($CK356=0,0,IF($CI356&lt;=Control!$C$91,$CG356*(65+(90-65)*($CJ356/Control!$C$91)),0))</f>
        <v>#N/A</v>
      </c>
      <c r="CM356" s="140" t="e">
        <f ca="1">IF($BG356+$BM356+$BS356+$BY356+$CE356+$CK356=1,0,IF(OR($BB356&gt;=90,$CI356&gt;=Control!$C$91),$BA356,$CM355))</f>
        <v>#N/A</v>
      </c>
      <c r="CN356" s="140" t="e">
        <f t="shared" ca="1" si="1295"/>
        <v>#N/A</v>
      </c>
      <c r="CO356" s="140" t="e">
        <f t="shared" ca="1" si="1296"/>
        <v>#N/A</v>
      </c>
      <c r="CP356" s="140" t="e">
        <f t="shared" ca="1" si="1297"/>
        <v>#N/A</v>
      </c>
      <c r="CQ356" s="141" t="e">
        <f ca="1">VLOOKUP($CP356,Control!$B$86:$G$91,6)</f>
        <v>#N/A</v>
      </c>
      <c r="CR356" s="141" t="e">
        <f ca="1">(1-$CQ356)*VLOOKUP($CP356,Control!$B$86:$D$91,3)</f>
        <v>#N/A</v>
      </c>
      <c r="CS356" s="141" t="e">
        <f ca="1">(1-$CQ356)*VLOOKUP($CP356,Control!$B$86:$E$91,4)</f>
        <v>#N/A</v>
      </c>
      <c r="CT356" s="141" t="e">
        <f ca="1">(1-$CQ356)*VLOOKUP($CP356,Control!$B$86:$F$91,5)</f>
        <v>#N/A</v>
      </c>
      <c r="CU356" s="141">
        <f t="shared" ca="1" si="1298"/>
        <v>0</v>
      </c>
      <c r="CV356" s="583">
        <f t="shared" ca="1" si="1299"/>
        <v>0</v>
      </c>
      <c r="CW356" s="142">
        <f t="shared" ca="1" si="1300"/>
        <v>352</v>
      </c>
      <c r="CX356" s="612" t="e">
        <f ca="1">IF(Control!$C$114=1,(MIN(Control!$C$120*(IF($NT356-0.01&lt;0,0,1)),Control!$C$119-$CY356)))</f>
        <v>#DIV/0!</v>
      </c>
      <c r="CY356" s="143" t="e">
        <f t="shared" ca="1" si="1301"/>
        <v>#N/A</v>
      </c>
      <c r="CZ356" s="144">
        <f t="shared" ca="1" si="1177"/>
        <v>0</v>
      </c>
      <c r="DA356" s="144">
        <f t="shared" ca="1" si="1178"/>
        <v>0</v>
      </c>
      <c r="DB356" s="144" t="e">
        <f t="shared" ca="1" si="1179"/>
        <v>#N/A</v>
      </c>
      <c r="DC356" s="144" t="e">
        <f t="shared" ca="1" si="1180"/>
        <v>#N/A</v>
      </c>
      <c r="DD356" s="144" t="e">
        <f t="shared" ca="1" si="1386"/>
        <v>#N/A</v>
      </c>
      <c r="DE356" s="143" t="e">
        <f t="shared" ca="1" si="1302"/>
        <v>#N/A</v>
      </c>
      <c r="DF356" s="145" t="e">
        <f ca="1">$DR356*EXP(-Control!$C$158*(1-$KH356))</f>
        <v>#N/A</v>
      </c>
      <c r="DG356" s="146" t="e">
        <f ca="1">IF(Control!$C$114=1, $DF356*$EY356, 0)</f>
        <v>#N/A</v>
      </c>
      <c r="DH356" s="147" t="e">
        <f t="shared" ca="1" si="1303"/>
        <v>#N/A</v>
      </c>
      <c r="DI356" s="144" t="e">
        <f t="shared" ca="1" si="1364"/>
        <v>#N/A</v>
      </c>
      <c r="DJ356" s="147" t="e">
        <f ca="1">$EF356*Control!$C$109</f>
        <v>#N/A</v>
      </c>
      <c r="DK356" s="144" t="e">
        <f t="shared" ca="1" si="1304"/>
        <v>#N/A</v>
      </c>
      <c r="DL356" s="144" t="e">
        <f t="shared" ca="1" si="1181"/>
        <v>#N/A</v>
      </c>
      <c r="DM356" s="144" t="e">
        <f ca="1">IF(Control!$C$114=1, (1-EXP(-Control!$C$96*$DK356))*$AR356, 0)</f>
        <v>#N/A</v>
      </c>
      <c r="DN356" s="144">
        <f t="shared" ca="1" si="1305"/>
        <v>0</v>
      </c>
      <c r="DO356" s="148">
        <f>Control!$C$97</f>
        <v>4</v>
      </c>
      <c r="DP356" s="145" t="e">
        <f t="shared" ca="1" si="1306"/>
        <v>#N/A</v>
      </c>
      <c r="DQ356" s="145" t="e">
        <f ca="1">IF(AND($CP356&gt;=0,$CP356&lt;=90),Control!$C$111,Control!$C$111)</f>
        <v>#N/A</v>
      </c>
      <c r="DR356" s="145" t="e">
        <f t="shared" ca="1" si="1182"/>
        <v>#N/A</v>
      </c>
      <c r="DS356" s="143" t="e">
        <f ca="1">Control!$B$22/$DR356</f>
        <v>#N/A</v>
      </c>
      <c r="DT356" s="149" t="e">
        <f ca="1">IF(AND(Control!$C$114=1,$KH356&lt;1),$IM356*$DF356, 0)</f>
        <v>#N/A</v>
      </c>
      <c r="DU356" s="144" t="e">
        <f t="shared" ca="1" si="1307"/>
        <v>#N/A</v>
      </c>
      <c r="DV356" s="144">
        <f ca="1">IF($G356-Control!$C$107&lt;=0, 0, 0.83*LN(MAX($G356, 3))-0.8924)</f>
        <v>0</v>
      </c>
      <c r="DW356" s="144" t="e">
        <f t="shared" ca="1" si="1183"/>
        <v>#N/A</v>
      </c>
      <c r="DX356" s="150" t="e">
        <f ca="1">MAX(0.01*(1+$CU356/Control!$C$102),0.05*($DK356-Control!$C$97)/Control!$C$97)</f>
        <v>#N/A</v>
      </c>
      <c r="DY356" s="151" t="e">
        <f ca="1">IF(Control!$C$114=1, $DI356*$FS356, 0)</f>
        <v>#N/A</v>
      </c>
      <c r="DZ356" s="196" t="e">
        <f t="shared" ca="1" si="1308"/>
        <v>#N/A</v>
      </c>
      <c r="EA356" s="152">
        <f t="shared" ca="1" si="1309"/>
        <v>352</v>
      </c>
      <c r="EB356" s="153" t="e">
        <f t="shared" ca="1" si="1310"/>
        <v>#N/A</v>
      </c>
      <c r="EC356" s="153" t="e">
        <f t="shared" ca="1" si="1311"/>
        <v>#N/A</v>
      </c>
      <c r="ED356" s="154" t="e">
        <f ca="1">IF(Control!$C$114=1, $HM356*$FY356-$FD356, 0)</f>
        <v>#DIV/0!</v>
      </c>
      <c r="EE356" s="155" t="e">
        <f ca="1">IF(Control!$C$114=1, $HM356*$FZ356-$FF356, 0)</f>
        <v>#DIV/0!</v>
      </c>
      <c r="EF356" s="153" t="e">
        <f t="shared" ca="1" si="1365"/>
        <v>#N/A</v>
      </c>
      <c r="EG356" s="155" t="e">
        <f ca="1">IF(Control!$C$114=1, $GX356*$FW356-$FI356, 0)</f>
        <v>#DIV/0!</v>
      </c>
      <c r="EH356" s="153" t="e">
        <f t="shared" ca="1" si="1312"/>
        <v>#N/A</v>
      </c>
      <c r="EI356" s="156" t="e">
        <f t="shared" ca="1" si="1313"/>
        <v>#N/A</v>
      </c>
      <c r="EJ356" s="155" t="e">
        <f ca="1">IF(Control!$C$114=1, $HM356*$GB356, 0)</f>
        <v>#DIV/0!</v>
      </c>
      <c r="EK356" s="153" t="e">
        <f t="shared" ca="1" si="1366"/>
        <v>#N/A</v>
      </c>
      <c r="EL356" s="153" t="e">
        <f t="shared" ca="1" si="1184"/>
        <v>#N/A</v>
      </c>
      <c r="EM356" s="153" t="e">
        <f t="shared" ca="1" si="1185"/>
        <v>#N/A</v>
      </c>
      <c r="EN356" s="153" t="e">
        <f ca="1">IF(Control!$C$108=1,IF(AND(Control!$B$18=1,$EB356&gt;=Control!$B$19),$EB356-$DS356,IF(AND(Control!$B$18=2,$AW356=1,$EB356&gt;$DS356),$EB356-$DS356,0)))</f>
        <v>#N/A</v>
      </c>
      <c r="EO356" s="153" t="e">
        <f ca="1">IF(Control!$C$108=1,IF(AND(Control!$B$18=1,$EB356&gt;=Control!$B$19),$EF356,IF(AND(Control!$B$18=2,$AW356=1),$EF356,0)))</f>
        <v>#N/A</v>
      </c>
      <c r="EP356" s="153" t="e">
        <f ca="1">IF(Control!$C$108=1,IF(AND(Control!$B$18=1,$EB356&gt;=Control!$B$19),$EK356,IF(AND(Control!$B$18=2,$AW356=1),$EK356,0)))</f>
        <v>#N/A</v>
      </c>
      <c r="EQ356" s="153" t="e">
        <f t="shared" ca="1" si="1314"/>
        <v>#N/A</v>
      </c>
      <c r="ER356" s="153" t="e">
        <f t="shared" ca="1" si="1315"/>
        <v>#N/A</v>
      </c>
      <c r="ES356" s="153" t="e">
        <f t="shared" ca="1" si="1367"/>
        <v>#N/A</v>
      </c>
      <c r="ET356" s="153" t="e">
        <f t="shared" ca="1" si="1368"/>
        <v>#N/A</v>
      </c>
      <c r="EU356" s="153" t="e">
        <f t="shared" ca="1" si="1316"/>
        <v>#N/A</v>
      </c>
      <c r="EV356" s="153" t="e">
        <f t="shared" ca="1" si="1186"/>
        <v>#N/A</v>
      </c>
      <c r="EW356" s="153" t="e">
        <f t="shared" ca="1" si="1187"/>
        <v>#N/A</v>
      </c>
      <c r="EX356" s="153" t="e">
        <f t="shared" ca="1" si="1188"/>
        <v>#N/A</v>
      </c>
      <c r="EY356" s="157" t="e">
        <f t="shared" ca="1" si="1189"/>
        <v>#DIV/0!</v>
      </c>
      <c r="EZ356" s="154" t="e">
        <f t="shared" ca="1" si="1190"/>
        <v>#DIV/0!</v>
      </c>
      <c r="FA356" s="153" t="e">
        <f t="shared" ca="1" si="1317"/>
        <v>#N/A</v>
      </c>
      <c r="FB356" s="153" t="e">
        <f t="shared" ca="1" si="1191"/>
        <v>#N/A</v>
      </c>
      <c r="FC356" s="193" t="e">
        <f t="shared" ca="1" si="1192"/>
        <v>#N/A</v>
      </c>
      <c r="FD356" s="158" t="e">
        <f t="shared" ca="1" si="1318"/>
        <v>#N/A</v>
      </c>
      <c r="FE356" s="158" t="e">
        <f t="shared" ca="1" si="1319"/>
        <v>#N/A</v>
      </c>
      <c r="FF356" s="159" t="e">
        <f t="shared" ca="1" si="1193"/>
        <v>#N/A</v>
      </c>
      <c r="FG356" s="160" t="e">
        <f t="shared" ca="1" si="1320"/>
        <v>#N/A</v>
      </c>
      <c r="FH356" s="158" t="e">
        <f t="shared" ca="1" si="1321"/>
        <v>#N/A</v>
      </c>
      <c r="FI356" s="159" t="e">
        <f t="shared" ca="1" si="1194"/>
        <v>#N/A</v>
      </c>
      <c r="FJ356" s="160" t="e">
        <f t="shared" ca="1" si="1322"/>
        <v>#N/A</v>
      </c>
      <c r="FK356" s="160" t="e">
        <f t="shared" ca="1" si="1195"/>
        <v>#N/A</v>
      </c>
      <c r="FL356" s="160" t="e">
        <f t="shared" ca="1" si="1369"/>
        <v>#N/A</v>
      </c>
      <c r="FM356" s="160" t="e">
        <f t="shared" ca="1" si="1196"/>
        <v>#N/A</v>
      </c>
      <c r="FN356" s="158">
        <f t="shared" ca="1" si="1323"/>
        <v>0.01</v>
      </c>
      <c r="FO356" s="160">
        <f>Control!$C$101</f>
        <v>50</v>
      </c>
      <c r="FP356" s="150" t="e">
        <f t="shared" ca="1" si="1197"/>
        <v>#N/A</v>
      </c>
      <c r="FQ356" s="150" t="e">
        <f ca="1">MAX(0,(Control!$C$112*(($DK356-Control!$C$97)/Control!$C$97)))</f>
        <v>#N/A</v>
      </c>
      <c r="FR356" s="150" t="e">
        <f ca="1">(1-$NT356)*Control!$C$113</f>
        <v>#DIV/0!</v>
      </c>
      <c r="FS356" s="198" t="e">
        <f t="shared" ca="1" si="1198"/>
        <v>#N/A</v>
      </c>
      <c r="FT356" s="161">
        <f t="shared" ca="1" si="1324"/>
        <v>352</v>
      </c>
      <c r="FU356" s="162" t="e">
        <f ca="1">IF(Control!$B$34=1,VLOOKUP($CP356,Control!$B$86:$G$91,6),Control!$B$35)</f>
        <v>#N/A</v>
      </c>
      <c r="FV356" s="162" t="e">
        <f t="shared" ca="1" si="1199"/>
        <v>#DIV/0!</v>
      </c>
      <c r="FW356" s="162" t="e">
        <f ca="1">IF(Control!$B$31=1,$FU356*$FV356,  $FU356)</f>
        <v>#N/A</v>
      </c>
      <c r="FX356" s="162" t="e">
        <f ca="1">IF(Control!$B$34=1,VLOOKUP($CP356,Control!$B$86:$G$91,3),Control!$B$36)</f>
        <v>#N/A</v>
      </c>
      <c r="FY356" s="162" t="e">
        <f t="shared" ca="1" si="1200"/>
        <v>#N/A</v>
      </c>
      <c r="FZ356" s="162" t="e">
        <f ca="1">IF(Control!$B$34=1,VLOOKUP($CP356,Control!$B$86:$G$91,4),Control!$B$37)</f>
        <v>#N/A</v>
      </c>
      <c r="GA356" s="162" t="e">
        <f t="shared" ca="1" si="1201"/>
        <v>#N/A</v>
      </c>
      <c r="GB356" s="162" t="e">
        <f ca="1">IF(Control!$B$34=1,VLOOKUP($CP356,Control!$B$86:$G$91,5),Control!$B$38)</f>
        <v>#N/A</v>
      </c>
      <c r="GC356" s="162" t="e">
        <f t="shared" ca="1" si="1325"/>
        <v>#N/A</v>
      </c>
      <c r="GD356" s="162">
        <f t="shared" ca="1" si="1202"/>
        <v>1</v>
      </c>
      <c r="GE356" s="162">
        <f t="shared" ca="1" si="1203"/>
        <v>1</v>
      </c>
      <c r="GF356" s="162">
        <f ca="1">IF(AND(Control!$C$104=1, Control!$C$62="F"),$GE356,1)</f>
        <v>1</v>
      </c>
      <c r="GG356" s="162" t="e">
        <f ca="1">IF(Control!$B$16=40,0,IF(AND(Control!$B$16&gt;40,Control!$B$16&lt;=360),(Control!$B$16-40)*((1-0)/(360-40)),IF(AND(Control!$B$16&gt;360,Control!$B$16&lt;=720),(1+(Control!$B$16-360)*((1.25-1)/(720-360))),IF(AND(Control!$B$16&gt;720,Control!$B$16&lt;=1000),(1.25+(Control!$B$16-720)*((1.35-1.25)/(1000-720))),IF(AND(Control!$B$16&gt;1000,Control!$B$16&lt;=2000),(1.35+(Control!$B$16-1000)*0))))))</f>
        <v>#N/A</v>
      </c>
      <c r="GH356" s="162" t="e">
        <f t="shared" ca="1" si="1204"/>
        <v>#N/A</v>
      </c>
      <c r="GI356" s="162">
        <f t="shared" ca="1" si="1326"/>
        <v>0</v>
      </c>
      <c r="GJ356" s="162">
        <f t="shared" ca="1" si="1205"/>
        <v>0</v>
      </c>
      <c r="GK356" s="162">
        <f t="shared" ca="1" si="1327"/>
        <v>1</v>
      </c>
      <c r="GL356" s="162">
        <f t="shared" ca="1" si="1206"/>
        <v>1</v>
      </c>
      <c r="GM356" s="162" t="e">
        <f ca="1">MAX(0,MIN(1,1-Control!$C$156*(1.0001-$KH356)^2))</f>
        <v>#N/A</v>
      </c>
      <c r="GN356" s="162" t="e">
        <f ca="1">IF(Control!$B$26=1,$KU356,$KX356)</f>
        <v>#N/A</v>
      </c>
      <c r="GO356" s="162" t="e">
        <f ca="1">IF($CP356&lt;=60,Control!$C$105,IF($CP356&gt;=90,Control!$C$106,Control!$C$105+($CP356-60)*((Control!$C$106-Control!$C$105)/(90-60))))</f>
        <v>#N/A</v>
      </c>
      <c r="GP356" s="162" t="e">
        <f t="shared" ca="1" si="1207"/>
        <v>#N/A</v>
      </c>
      <c r="GQ356" s="162" t="e">
        <f t="shared" ca="1" si="1328"/>
        <v>#N/A</v>
      </c>
      <c r="GR356" s="163" t="e">
        <f t="shared" ca="1" si="1208"/>
        <v>#DIV/0!</v>
      </c>
      <c r="GS356" s="162" t="e">
        <f t="shared" ca="1" si="1209"/>
        <v>#DIV/0!</v>
      </c>
      <c r="GT356" s="164" t="e">
        <f t="shared" ca="1" si="1329"/>
        <v>#N/A</v>
      </c>
      <c r="GU356" s="162" t="e">
        <f t="shared" ca="1" si="1330"/>
        <v>#N/A</v>
      </c>
      <c r="GV356" s="162" t="e">
        <f t="shared" ca="1" si="1210"/>
        <v>#N/A</v>
      </c>
      <c r="GW356" s="162" t="e">
        <f t="shared" ca="1" si="1211"/>
        <v>#DIV/0!</v>
      </c>
      <c r="GX356" s="162" t="e">
        <f t="shared" ca="1" si="1331"/>
        <v>#DIV/0!</v>
      </c>
      <c r="GY356" s="162" t="e">
        <f t="shared" ca="1" si="1332"/>
        <v>#DIV/0!</v>
      </c>
      <c r="GZ356" s="165" t="e">
        <f t="shared" ca="1" si="1212"/>
        <v>#N/A</v>
      </c>
      <c r="HA356" s="162" t="e">
        <f ca="1">IF(Control!$C$114=1, $DI356*$FS356, 0)</f>
        <v>#N/A</v>
      </c>
      <c r="HB356" s="162" t="e">
        <f ca="1">$FA356/Control!$C$64</f>
        <v>#N/A</v>
      </c>
      <c r="HC356" s="162" t="e">
        <f t="shared" ca="1" si="1213"/>
        <v>#DIV/0!</v>
      </c>
      <c r="HD356" s="162">
        <f ca="1">-ASIN(SIN(23.45*Control!$C$139)*COS(2*Control!$C$138*($AH356+10)/365))</f>
        <v>-0.40870276187674781</v>
      </c>
      <c r="HE356" s="165">
        <f t="shared" ca="1" si="1333"/>
        <v>0</v>
      </c>
      <c r="HF356" s="166">
        <f ca="1">IF(AND(Control!$C$61="T",$HE356&gt;=Control!$C$103,Control!$C$114=0),$AH356,Control!$C$59)</f>
        <v>1</v>
      </c>
      <c r="HG356" s="166">
        <f ca="1">IF(AND(Control!$C$61="T",$HE356&gt;=Control!$C$103,Control!$C$114=0),$HF356,Control!$C$59)</f>
        <v>1</v>
      </c>
      <c r="HH356" s="165">
        <f ca="1">IF(AND(OR(Control!$C$60&lt;=0, $AH356= Control!$C$59, Control!$C$60 &gt;0, $AH356 = Control!$C$60)), Control!$C$59, IF(Control!$C$60&gt;0, 0))</f>
        <v>1</v>
      </c>
      <c r="HI356" s="165">
        <f ca="1">IF(AND(OR(Control!$C$60&lt;=0, $AH356= Control!$C$59, Control!$C$60 &gt;0, $AH356 = Control!$C$60)), Control!$C$60, IF(Control!$C$60&lt;=0, 0))</f>
        <v>0</v>
      </c>
      <c r="HJ356" s="166">
        <f ca="1">IF(AND(Control!$C$62="F",$CV356&gt;=Control!$C$102),$AH356,0)</f>
        <v>0</v>
      </c>
      <c r="HK356" s="165" t="e">
        <f t="shared" ca="1" si="1370"/>
        <v>#N/A</v>
      </c>
      <c r="HL356" s="166">
        <f ca="1">IF(AND(Control!$C$61="T",$HE356&gt;=Control!$C$103,Control!$C$114=0),$HF356,0)</f>
        <v>0</v>
      </c>
      <c r="HM356" s="201" t="e">
        <f t="shared" ca="1" si="1214"/>
        <v>#DIV/0!</v>
      </c>
      <c r="HN356" s="215">
        <f t="shared" ca="1" si="1334"/>
        <v>352</v>
      </c>
      <c r="HO356" s="216" t="e">
        <f ca="1">IF(AND($CP356&gt;=0, $CP356&lt;=90), Control!$C$152, Control!$C$152)</f>
        <v>#N/A</v>
      </c>
      <c r="HP356" s="216" t="e">
        <f t="shared" ca="1" si="1215"/>
        <v>#N/A</v>
      </c>
      <c r="HQ356" s="217" t="e">
        <f ca="1">IF(OR(Control!$B$26=1,Control!$B$26=2),$KV356,$KS356)</f>
        <v>#DIV/0!</v>
      </c>
      <c r="HR356" s="218" t="e">
        <f t="shared" ca="1" si="1371"/>
        <v>#DIV/0!</v>
      </c>
      <c r="HS356" s="216" t="e">
        <f ca="1">Control!$C$154*$HP356</f>
        <v>#N/A</v>
      </c>
      <c r="HT356" s="216" t="e">
        <f ca="1">Control!$C$155*$HP356</f>
        <v>#N/A</v>
      </c>
      <c r="HU356" s="217" t="e">
        <f ca="1">Control!$C$161*$FI356</f>
        <v>#N/A</v>
      </c>
      <c r="HV356" s="218" t="e">
        <f t="shared" ca="1" si="1335"/>
        <v>#N/A</v>
      </c>
      <c r="HW356" s="218" t="e">
        <f ca="1">Control!$C$160*$FF356+$IP356*$EO356</f>
        <v>#N/A</v>
      </c>
      <c r="HX356" s="218" t="e">
        <f t="shared" ca="1" si="1372"/>
        <v>#N/A</v>
      </c>
      <c r="HY356" s="219" t="e">
        <f ca="1">IF(Control!$C$114=1, $EB356*$FS356, 0)</f>
        <v>#N/A</v>
      </c>
      <c r="HZ356" s="91" t="e">
        <f t="shared" ca="1" si="1216"/>
        <v>#N/A</v>
      </c>
      <c r="IA356" s="220" t="e">
        <f ca="1">Control!$C$153*$HO356</f>
        <v>#N/A</v>
      </c>
      <c r="IB356" s="218" t="e">
        <f t="shared" ca="1" si="1217"/>
        <v>#N/A</v>
      </c>
      <c r="IC356" s="220" t="e">
        <f ca="1">Control!$C$153*$HT356</f>
        <v>#N/A</v>
      </c>
      <c r="ID356" s="218" t="e">
        <f t="shared" ca="1" si="1218"/>
        <v>#N/A</v>
      </c>
      <c r="IE356" s="221" t="e">
        <f ca="1">($EB356*Control!$C$159+$EF356*Control!$C$160)/(IF($GZ356&lt;&gt;0,$GZ356,1))</f>
        <v>#N/A</v>
      </c>
      <c r="IF356" s="216" t="e">
        <f t="shared" ca="1" si="1219"/>
        <v>#N/A</v>
      </c>
      <c r="IG356" s="91">
        <f ca="1">IF(OR(Control!$B$198=$AH356,Control!$B$199=$AH356, Control!$B$200=$AH356, Control!$B$201=$AH356, Control!$B$202=$AH356, Control!$B$203=$AH356, Control!$B$204=$AH356, Control!$B$205=$AH356, Control!$B$206=$AH356, Control!$B$207=$AH356), 1, 0)</f>
        <v>0</v>
      </c>
      <c r="IH356" s="91">
        <f ca="1">IF($IG356=0,0, VLOOKUP($AH356,Control!$B$198:$C$207,2))</f>
        <v>0</v>
      </c>
      <c r="II356" s="222">
        <f t="shared" ca="1" si="1336"/>
        <v>0</v>
      </c>
      <c r="IJ356" s="91">
        <f>Control!$C$121</f>
        <v>0.7</v>
      </c>
      <c r="IK356" s="218">
        <f t="shared" ca="1" si="1220"/>
        <v>0</v>
      </c>
      <c r="IL356" s="217" t="e">
        <f t="shared" ca="1" si="1373"/>
        <v>#N/A</v>
      </c>
      <c r="IM356" s="223" t="e">
        <f ca="1">IF(AND(Control!$C$114=1,$KH356&lt;1),$EB356*Control!$C$148*(1-$KH356), 0)</f>
        <v>#N/A</v>
      </c>
      <c r="IN356" s="217" t="e">
        <f t="shared" ca="1" si="1221"/>
        <v>#DIV/0!</v>
      </c>
      <c r="IO356" s="91" t="e">
        <f ca="1">MAX(0,$IL356-$EF356*Control!$C$160)</f>
        <v>#N/A</v>
      </c>
      <c r="IP356" s="220" t="e">
        <f t="shared" ca="1" si="1222"/>
        <v>#N/A</v>
      </c>
      <c r="IQ356" s="217" t="e">
        <f t="shared" ca="1" si="1337"/>
        <v>#N/A</v>
      </c>
      <c r="IR356" s="218" t="e">
        <f t="shared" ca="1" si="1223"/>
        <v>#N/A</v>
      </c>
      <c r="IS356" s="217" t="e">
        <f ca="1">Control!$C$159*MAX(0,$FD356-$EN356)</f>
        <v>#N/A</v>
      </c>
      <c r="IT356" s="217" t="e">
        <f t="shared" ca="1" si="1374"/>
        <v>#N/A</v>
      </c>
      <c r="IU356" s="217" t="e">
        <f t="shared" ca="1" si="1338"/>
        <v>#N/A</v>
      </c>
      <c r="IV356" s="217" t="e">
        <f t="shared" ca="1" si="1375"/>
        <v>#N/A</v>
      </c>
      <c r="IW356" s="217" t="e">
        <f ca="1">IF(OR($AW356=1,AND($AW356=0, Control!$B$18=1,$EN356&lt;&gt;0)), $IQ356-$IU356, $IQ356)</f>
        <v>#N/A</v>
      </c>
      <c r="IX356" s="218" t="e">
        <f t="shared" ca="1" si="1224"/>
        <v>#N/A</v>
      </c>
      <c r="IY356" s="218" t="e">
        <f ca="1">MAX(0,$IQ356-$EB356*Control!$C$159)</f>
        <v>#N/A</v>
      </c>
      <c r="IZ356" s="218" t="e">
        <f t="shared" ca="1" si="1225"/>
        <v>#N/A</v>
      </c>
      <c r="JA356" s="216" t="e">
        <f t="shared" ca="1" si="1226"/>
        <v>#N/A</v>
      </c>
      <c r="JB356" s="217" t="e">
        <f t="shared" ca="1" si="1227"/>
        <v>#N/A</v>
      </c>
      <c r="JC356" s="222" t="e">
        <f ca="1">MAX(Control!$C$157*$EK356-$JT356, 0)/Control!$C$162</f>
        <v>#N/A</v>
      </c>
      <c r="JD356" s="218" t="e">
        <f t="shared" ca="1" si="1228"/>
        <v>#N/A</v>
      </c>
      <c r="JE356" s="218" t="e">
        <f t="shared" ca="1" si="1229"/>
        <v>#N/A</v>
      </c>
      <c r="JF356" s="218" t="e">
        <f t="shared" ca="1" si="1339"/>
        <v>#N/A</v>
      </c>
      <c r="JG356" s="218" t="e">
        <f t="shared" ca="1" si="1230"/>
        <v>#N/A</v>
      </c>
      <c r="JH356" s="217" t="e">
        <f t="shared" ca="1" si="1340"/>
        <v>#N/A</v>
      </c>
      <c r="JI356" s="217" t="e">
        <f t="shared" ca="1" si="1341"/>
        <v>#N/A</v>
      </c>
      <c r="JJ356" s="217" t="e">
        <f t="shared" ca="1" si="1376"/>
        <v>#N/A</v>
      </c>
      <c r="JK356" s="217" t="e">
        <f ca="1">IF(Control!$C$114=1,IF(Control!$B$24=0,MAX(0,$JI356)*$GN356/Control!$C$64,(MAX(0,MIN($JI356,$JJ356*$GN356/Control!$C$64),0))))</f>
        <v>#N/A</v>
      </c>
      <c r="JL356" s="217" t="e">
        <f ca="1">$IK356/Control!$C$64-$JK356+$HQ356</f>
        <v>#N/A</v>
      </c>
      <c r="JM356" s="217" t="e">
        <f ca="1">IF(Control!$C$114=1,($JB356/(IF($JI356&lt;&gt;0,$JI356,1)))*$JK356,0)</f>
        <v>#N/A</v>
      </c>
      <c r="JN356" s="217" t="e">
        <f ca="1">IF(Control!$C$114=1,($JG356/(IF($JI356&lt;&gt;0,$JI356,1)))*$JK356, 0)</f>
        <v>#N/A</v>
      </c>
      <c r="JO356" s="218" t="e">
        <f t="shared" ca="1" si="1231"/>
        <v>#N/A</v>
      </c>
      <c r="JP356" s="218" t="e">
        <f ca="1">MIN(($IY356+$IO356)*Control!$C$151, $JF356-$EH356*Control!$C$161)</f>
        <v>#N/A</v>
      </c>
      <c r="JQ356" s="218" t="e">
        <f t="shared" ca="1" si="1232"/>
        <v>#N/A</v>
      </c>
      <c r="JR356" s="217" t="e">
        <f ca="1">IF($CP356-Control!$C$150&lt;0, 0, $JQ356/Control!$C$162)</f>
        <v>#N/A</v>
      </c>
      <c r="JS356" s="218" t="e">
        <f t="shared" ca="1" si="1233"/>
        <v>#N/A</v>
      </c>
      <c r="JT356" s="218" t="e">
        <f t="shared" ca="1" si="1342"/>
        <v>#N/A</v>
      </c>
      <c r="JU356" s="218" t="e">
        <f t="shared" ca="1" si="1234"/>
        <v>#N/A</v>
      </c>
      <c r="JV356" s="218" t="e">
        <f t="shared" ca="1" si="1235"/>
        <v>#N/A</v>
      </c>
      <c r="JW356" s="216" t="e">
        <f t="shared" ca="1" si="1236"/>
        <v>#N/A</v>
      </c>
      <c r="JX356" s="91" t="e">
        <f t="shared" ca="1" si="1237"/>
        <v>#N/A</v>
      </c>
      <c r="JY356" s="218" t="e">
        <f t="shared" ca="1" si="1238"/>
        <v>#N/A</v>
      </c>
      <c r="JZ356" s="217" t="e">
        <f ca="1">IF(Control!$C$114=1,($IZ356/(IF($JI356&lt;&gt;0,$JI356,1)))*$JK356, 0)</f>
        <v>#N/A</v>
      </c>
      <c r="KA356" s="218" t="e">
        <f t="shared" ca="1" si="1377"/>
        <v>#N/A</v>
      </c>
      <c r="KB356" s="218" t="e">
        <f t="shared" ca="1" si="1343"/>
        <v>#N/A</v>
      </c>
      <c r="KC356" s="218" t="e">
        <f t="shared" ca="1" si="1239"/>
        <v>#N/A</v>
      </c>
      <c r="KD356" s="218" t="e">
        <f t="shared" ca="1" si="1240"/>
        <v>#N/A</v>
      </c>
      <c r="KE356" s="218" t="e">
        <f t="shared" ca="1" si="1241"/>
        <v>#N/A</v>
      </c>
      <c r="KF356" s="218" t="e">
        <f t="shared" ca="1" si="1242"/>
        <v>#N/A</v>
      </c>
      <c r="KG356" s="216" t="e">
        <f t="shared" ca="1" si="1243"/>
        <v>#N/A</v>
      </c>
      <c r="KH356" s="221" t="e">
        <f ca="1">IF(Control!$B$24=0,1,MAX(0.001,MIN(1,IF(($IF356-$IE356)&lt;&gt;0,($KG356-$IE356)/($IF356-$IE356),1))))</f>
        <v>#N/A</v>
      </c>
      <c r="KI356" s="222" t="e">
        <f ca="1">IF(Control!$C$114=1, $KI355+ $KH355, 0)</f>
        <v>#N/A</v>
      </c>
      <c r="KJ356" s="217" t="e">
        <f t="shared" ca="1" si="1244"/>
        <v>#N/A</v>
      </c>
      <c r="KK356" s="218" t="e">
        <f t="shared" ca="1" si="1245"/>
        <v>#N/A</v>
      </c>
      <c r="KL356" s="274" t="e">
        <f ca="1">IF(Control!$B$26=3,4000000000*EXP(-8400/($G356+273)),IF(Control!$B$26=4,4000000000*EXP(-8400/($G356+273))*($KT356),0))</f>
        <v>#DIV/0!</v>
      </c>
      <c r="KM356" s="274" t="e">
        <f ca="1">IF(Control!$B$26=3,5600000000000*EXP(-9800/($G356+273)),IF(Control!$B$26=4,5600000000000*EXP(-9800/($G356+273))*$KT356,0))</f>
        <v>#DIV/0!</v>
      </c>
      <c r="KN356" s="454" t="e">
        <f t="shared" ca="1" si="1344"/>
        <v>#DIV/0!</v>
      </c>
      <c r="KO356" s="274" t="e">
        <f t="shared" ca="1" si="1345"/>
        <v>#DIV/0!</v>
      </c>
      <c r="KP356" s="454" t="e">
        <f t="shared" ca="1" si="1246"/>
        <v>#DIV/0!</v>
      </c>
      <c r="KQ356" s="454" t="e">
        <f t="shared" ca="1" si="1247"/>
        <v>#DIV/0!</v>
      </c>
      <c r="KR356" s="454" t="e">
        <f t="shared" ca="1" si="1248"/>
        <v>#DIV/0!</v>
      </c>
      <c r="KS356" s="454" t="e">
        <f t="shared" ca="1" si="1249"/>
        <v>#DIV/0!</v>
      </c>
      <c r="KT356" s="455" t="e">
        <f t="shared" ca="1" si="1250"/>
        <v>#DIV/0!</v>
      </c>
      <c r="KU356" s="456" t="e">
        <f ca="1">IF($CP356-Control!$C$149&lt;0, IF($NT356-0.01&lt;0,0,1),0)</f>
        <v>#N/A</v>
      </c>
      <c r="KV356" s="456" t="e">
        <f ca="1">IF(Control!$C$114=1,MAX(0,MIN(Control!$C$125*$KW356*$GN356,$KW356)))</f>
        <v>#DIV/0!</v>
      </c>
      <c r="KW356" s="456" t="e">
        <f t="shared" ca="1" si="1378"/>
        <v>#DIV/0!</v>
      </c>
      <c r="KX356" s="457" t="e">
        <f ca="1">IF($CP356-Control!$C$149&lt;0, IF($MR356-$OM356&lt;0,0,1),0)</f>
        <v>#N/A</v>
      </c>
      <c r="KY356" s="167">
        <f t="shared" ca="1" si="1346"/>
        <v>352</v>
      </c>
      <c r="KZ356" s="168">
        <f ca="1">1370*(1+0.033*COS(2*Control!$C$138*$AH356/365))</f>
        <v>1414.0828096626758</v>
      </c>
      <c r="LA356" s="169">
        <f t="shared" ca="1" si="1347"/>
        <v>1.0321771295644875</v>
      </c>
      <c r="LB356" s="169">
        <f t="shared" ca="1" si="1348"/>
        <v>-0.40862214246162354</v>
      </c>
      <c r="LC356" s="169">
        <f ca="1">ACOS(-TAN((2*Control!$B$8/360))*TAN(Calculations!$LB356))</f>
        <v>1.4417512829398915</v>
      </c>
      <c r="LD356" s="169">
        <f ca="1">((24*60)/PI())*0.082*$LA356*(($LC356*SIN(Control!$B$8*2*PI()/360))*SIN($LB356)+COS(Control!$B$8*2*PI()/360)*COS($LB356)*SIN($LC356))</f>
        <v>4.2227206191124216</v>
      </c>
      <c r="LE356" s="170">
        <f t="shared" ca="1" si="1251"/>
        <v>5.9420983509052672</v>
      </c>
      <c r="LF356" s="170">
        <f ca="1">SIN(Control!$C$139*Control!$B$8)*SIN($HD356)</f>
        <v>-0.31317117680063716</v>
      </c>
      <c r="LG356" s="170">
        <f ca="1">COS(Control!$C$139*Control!$B$8)*COS($HD356)</f>
        <v>0.56495230213638314</v>
      </c>
      <c r="LH356" s="170">
        <f ca="1">12*(1+2*ASIN(MAX(-1,MIN(1,$LF356/$LG356))/Control!$C$138))</f>
        <v>7.7429367439022254</v>
      </c>
      <c r="LI356" s="170">
        <f ca="1">12*(1+2*ASIN(MAX(-1,MIN(1,(-SIN(-4*Control!$C$139)+$LF356)/$LG356))/Control!$C$138))</f>
        <v>8.6980839844916868</v>
      </c>
      <c r="LJ356" s="168">
        <f ca="1">3600*($LH356*$LF356+24*$LG356*SQRT(1-$LK356*$LK356)/Control!$C$138)</f>
        <v>4202.0865470550007</v>
      </c>
      <c r="LK356" s="170">
        <f t="shared" ca="1" si="1252"/>
        <v>-0.55433206593967577</v>
      </c>
      <c r="LL356" s="170">
        <f t="shared" ca="1" si="1253"/>
        <v>0</v>
      </c>
      <c r="LM356" s="171">
        <f ca="1">Control!$C$145*$AB356</f>
        <v>6.6660906138995932E-2</v>
      </c>
      <c r="LN356" s="170">
        <f t="shared" ca="1" si="1349"/>
        <v>0.54</v>
      </c>
      <c r="LO356" s="170">
        <f t="shared" ca="1" si="1254"/>
        <v>0</v>
      </c>
      <c r="LP356" s="170">
        <f ca="1">Control!$C$140*((($D356+273.16)^4+($E356+273.16)^4)/2)*(0.34-0.14*SQRT($Y356))*(1.35*$AQ356/(0.75*$LD356)-0.35)</f>
        <v>-3.2464704755046001</v>
      </c>
      <c r="LQ356" s="170">
        <f ca="1">Control!$C$140*($G356+273)^4*(0.56-0.079*SQRT($Y356*10))*(0.1+0.9*$LO356)</f>
        <v>1.5241745131704001</v>
      </c>
      <c r="LR356" s="170">
        <f ca="1">$AQ356*(1-Control!$C$142)-$LQ356</f>
        <v>-1.5241745131704001</v>
      </c>
      <c r="LS356" s="170">
        <f ca="1">$AQ356*(1-Control!$C$143)-$LQ356</f>
        <v>-1.5241745131704001</v>
      </c>
      <c r="LT356" s="170">
        <f ca="1">$AQ356*(1-Control!$C$144)-$LQ356</f>
        <v>-1.5241745131704001</v>
      </c>
      <c r="LU356" s="169">
        <f ca="1">(1-Control!$C$144)*AQ356-LP356</f>
        <v>3.2464704755046001</v>
      </c>
      <c r="LV356" s="172">
        <f t="shared" ca="1" si="1255"/>
        <v>0.79430000000000012</v>
      </c>
      <c r="LW356" s="170">
        <f t="shared" ca="1" si="1256"/>
        <v>1.5886000000000002</v>
      </c>
      <c r="LX356" s="170">
        <f ca="1">($AC356*($LR356/Control!$C$141)+$LM356*$LV356)/($AC356+$LM356)</f>
        <v>0.23530094218323697</v>
      </c>
      <c r="LY356" s="170">
        <f ca="1">($AC356*($LS356/Control!$C$141)+$LM356*$LV356)/($AC356+$LM356)</f>
        <v>0.23530094218323697</v>
      </c>
      <c r="LZ356" s="170">
        <f t="shared" ca="1" si="1257"/>
        <v>0.23530094218323697</v>
      </c>
      <c r="MA356" s="170">
        <f t="shared" ca="1" si="1258"/>
        <v>0.23530094218323697</v>
      </c>
      <c r="MB356" s="170" t="e">
        <f t="shared" ca="1" si="1259"/>
        <v>#N/A</v>
      </c>
      <c r="MC356" s="170">
        <f t="shared" ca="1" si="1350"/>
        <v>0.6018</v>
      </c>
      <c r="MD356" s="170">
        <f t="shared" ca="1" si="1260"/>
        <v>0.52989392535414004</v>
      </c>
      <c r="ME356" s="170">
        <f ca="1">($AC356*($LT356/Control!$C$141)+$LM356*$LW356)/($AC356+$LM356)</f>
        <v>0.71612369323045078</v>
      </c>
      <c r="MF356" s="170" t="e">
        <f ca="1">IF(Control!$B$16&gt;=1000,0.92,IF(AND(720&lt;=Control!$B$16,1000&gt;Control!$B$16),(0.95+(Control!$B$16-720)*((0.92-0.95)/(1000-720))),IF(AND(360&lt;=Control!$B$16,720&gt;Control!$B$16),(1+(Control!$B$16-360)*((0.95-1)/(720-360))),IF(AND(40&lt;=Control!$B$16,360&gt;Control!$B$16),(1.05+(Control!$B$16-40)*((1.05-1)/(360-40)))))))</f>
        <v>#N/A</v>
      </c>
      <c r="MG356" s="170">
        <f t="shared" ca="1" si="1261"/>
        <v>0.71612369323045078</v>
      </c>
      <c r="MH356" s="170" t="e">
        <f t="shared" ca="1" si="1387"/>
        <v>#N/A</v>
      </c>
      <c r="MI356" s="170" t="e">
        <f t="shared" ca="1" si="1387"/>
        <v>#N/A</v>
      </c>
      <c r="MJ356" s="170" t="e">
        <f ca="1">MAX(0.0001, Control!$C$132*$MI356*$DL356)</f>
        <v>#N/A</v>
      </c>
      <c r="MK356" s="170">
        <f ca="1">1/(0.76+1.5*($MG356/10))-(5-Control!$C$110)*0.1</f>
        <v>1.002845988140797</v>
      </c>
      <c r="ML356" s="173">
        <f ca="1">IF(Control!$C$110&lt;3,$MK356+($MG356-0.6)/(Control!$C$110*(Control!$C$110+3)), MAX(0.1, MIN(0.95,$MK356)))</f>
        <v>0.95</v>
      </c>
      <c r="MM356" s="173">
        <f ca="1">IF(Control!$C$110&lt;3,$MK356+(($MI356/10)-0.6)/(Control!$C$110*(Control!$C$110+3)), MAX(0.1, MIN(0.95,$MK356)))</f>
        <v>0.95</v>
      </c>
      <c r="MN356" s="173">
        <f ca="1">(1-$MM356)*(Control!$C$128-Control!$C$127)+Control!$C$127</f>
        <v>0.16</v>
      </c>
      <c r="MO356" s="170" t="e">
        <f ca="1">MAX(0,MIN(1,($MS356-Control!$C$127)/($MN356-Control!$C$127)))</f>
        <v>#DIV/0!</v>
      </c>
      <c r="MP356" s="173" t="e">
        <f ca="1">1/(0.76+1.5*$MI356)-(5-Control!$C$110)*0.1</f>
        <v>#N/A</v>
      </c>
      <c r="MQ356" s="172" t="e">
        <f t="shared" ca="1" si="1379"/>
        <v>#DIV/0!</v>
      </c>
      <c r="MR356" s="168" t="e">
        <f t="shared" ca="1" si="1351"/>
        <v>#DIV/0!</v>
      </c>
      <c r="MS356" s="173" t="e">
        <f ca="1">MAX(Control!$C$127, MIN(Control!$C$135, $MR356/MAX(0.0001,$CY356)))</f>
        <v>#DIV/0!</v>
      </c>
      <c r="MT356" s="168" t="e">
        <f ca="1">(Control!$C$128-$MS356)*Control!$C$74</f>
        <v>#DIV/0!</v>
      </c>
      <c r="MU356" s="168" t="e">
        <f ca="1">(Control!$C$135-$MS356)*Control!$C$74</f>
        <v>#DIV/0!</v>
      </c>
      <c r="MV356" s="168" t="e">
        <f t="shared" ca="1" si="1352"/>
        <v>#DIV/0!</v>
      </c>
      <c r="MW356" s="168" t="e">
        <f t="shared" ca="1" si="1353"/>
        <v>#DIV/0!</v>
      </c>
      <c r="MX356" s="171" t="e">
        <f ca="1">MAX(Control!$C$127, MIN(Control!$C$135, $MW356/MAX(0.0001,Control!$C$119-$CY356)))</f>
        <v>#DIV/0!</v>
      </c>
      <c r="MY356" s="54" t="e">
        <f ca="1">IF(Control!$C$114=1, $CX356*$MX356, 0)</f>
        <v>#DIV/0!</v>
      </c>
      <c r="MZ356" s="54" t="e">
        <f t="shared" ca="1" si="1354"/>
        <v>#N/A</v>
      </c>
      <c r="NA356" s="168" t="e">
        <f ca="1">(Control!$C$128-$MX356)*(Control!$C$119-Control!$C$74)</f>
        <v>#DIV/0!</v>
      </c>
      <c r="NB356" s="168" t="e">
        <f ca="1">(Control!$C$135-$MX356)*(Control!$C$119-Control!$C$74)</f>
        <v>#DIV/0!</v>
      </c>
      <c r="NC356" s="174" t="e">
        <f t="shared" ca="1" si="1355"/>
        <v>#DIV/0!</v>
      </c>
      <c r="ND356" s="54">
        <f ca="1">IF(Control!$C$58=2, IF(OR(Control!$B$218=$AH356,Control!$B$219=$AH356, Control!$B$220=$AH356, Control!$B$221=$AH356, Control!$B$222=$AH356, Control!$B$223=$AH356, Control!$B$224=$AH356, Control!$B$225=$AH356, Control!$B$226=$AH356, Control!$B$227=$AH356, Control!$B$228=$AH356), 1, 0), 0)</f>
        <v>0</v>
      </c>
      <c r="NE356" s="54">
        <f ca="1">IF($ND356=0,0, VLOOKUP($AH356,Control!$B$218:$C$228,2))</f>
        <v>0</v>
      </c>
      <c r="NF356" s="168" t="e">
        <f ca="1">$CY356*(Control!$C$128-Control!$C$127)</f>
        <v>#N/A</v>
      </c>
      <c r="NG356" s="54" t="e">
        <f ca="1">IF(Control!$C$58=2, $NI355-$NJ355, 0)</f>
        <v>#DIV/0!</v>
      </c>
      <c r="NH356" s="54" t="e">
        <f ca="1">IF(AND(Control!$C$58=1, $MS355&lt;= ($MN355+0.02), $I355&lt;10), 0, IF(Control!$C$58=2, $NG355, 0))</f>
        <v>#DIV/0!</v>
      </c>
      <c r="NI356" s="54" t="e">
        <f ca="1">IF(Control!$C$58=2, $NE356+$NH356,0)</f>
        <v>#DIV/0!</v>
      </c>
      <c r="NJ356" s="54" t="e">
        <f ca="1">IF(AND(Control!$C$58=1, $MS356&lt;= ($MN356+0.02), $I356&lt;10), MAX(0, MIN(10, 0.7*($NF356-$MV356))), IF(Control!$C$58=2, MIN(10,$NI356),0))</f>
        <v>#DIV/0!</v>
      </c>
      <c r="NK356" s="54" t="e">
        <f t="shared" ca="1" si="1263"/>
        <v>#DIV/0!</v>
      </c>
      <c r="NL356" s="173" t="e">
        <f ca="1">(1-Control!$C$73)*$I356+$NJ356</f>
        <v>#DIV/0!</v>
      </c>
      <c r="NM356" s="172" t="e">
        <f ca="1">IF($NL356&lt;0.5, $MB356* MAX(0, MIN(1, (SQRT($NC356)-SQRT($NC356-1))*Control!$C$71)),0)</f>
        <v>#DIV/0!</v>
      </c>
      <c r="NN356" s="170" t="e">
        <f ca="1">IF($NL356&gt;=5, $MB356, MAX(0,MIN($MB356, $NM356+$NL356,($MS356-Control!$C$129))))</f>
        <v>#DIV/0!</v>
      </c>
      <c r="NO356" s="54">
        <f>IF(Control!$C$133&lt;&gt;1, Control!$C$135-Control!$C$131, 0)</f>
        <v>0.38</v>
      </c>
      <c r="NP356" s="54" t="e">
        <f t="shared" ca="1" si="1264"/>
        <v>#DIV/0!</v>
      </c>
      <c r="NQ356" s="173" t="e">
        <f ca="1">MAX(0,MIN(1,(Control!$C$135-$MS356)/(Control!$C$135-$NO356)))</f>
        <v>#DIV/0!</v>
      </c>
      <c r="NR356" s="170" t="e">
        <f ca="1">IF(Control!$C$133&lt;&gt;1, $NQ356+((1-$NP356/4)*(1-$NQ356)),1)</f>
        <v>#DIV/0!</v>
      </c>
      <c r="NS356" s="170" t="e">
        <f ca="1">IF(Control!$B$31=0,$MJ356,MAX(0,MIN($MV356,$MO356*$NR356*$MJ356)))</f>
        <v>#DIV/0!</v>
      </c>
      <c r="NT356" s="170" t="e">
        <f t="shared" ca="1" si="1380"/>
        <v>#DIV/0!</v>
      </c>
      <c r="NU356" s="170" t="e">
        <f t="shared" ca="1" si="1356"/>
        <v>#N/A</v>
      </c>
      <c r="NV356" s="170" t="e">
        <f t="shared" ca="1" si="1265"/>
        <v>#N/A</v>
      </c>
      <c r="NW356" s="175" t="e">
        <f t="shared" ca="1" si="1266"/>
        <v>#DIV/0!</v>
      </c>
      <c r="NX356" s="170" t="e">
        <f ca="1">MIN(Control!$C$72+$MU356, $NW356)</f>
        <v>#DIV/0!</v>
      </c>
      <c r="NY356" s="170" t="e">
        <f ca="1">IF($MT356&lt;=$NX356,MIN(Control!$C$72+$NB356,$NX356-$MT356),0)</f>
        <v>#DIV/0!</v>
      </c>
      <c r="NZ356" s="54" t="e">
        <f ca="1">IF(Control!$C$114=1,  $CX356*($MX356-Control!$C$127), 0)</f>
        <v>#DIV/0!</v>
      </c>
      <c r="OA356" s="170" t="e">
        <f t="shared" ca="1" si="1267"/>
        <v>#DIV/0!</v>
      </c>
      <c r="OB356" s="170" t="e">
        <f ca="1">IF($NA356 &lt;=$NY356, MIN(Control!$C$72, $NY356-$NA356), 0)</f>
        <v>#DIV/0!</v>
      </c>
      <c r="OC356" s="168" t="e">
        <f t="shared" ca="1" si="1268"/>
        <v>#DIV/0!</v>
      </c>
      <c r="OD356" s="168" t="e">
        <f t="shared" ca="1" si="1357"/>
        <v>#DIV/0!</v>
      </c>
      <c r="OE356" s="170">
        <f ca="1">Control!$C$73*$I356</f>
        <v>0</v>
      </c>
      <c r="OF356" s="176" t="e">
        <f t="shared" ca="1" si="1269"/>
        <v>#DIV/0!</v>
      </c>
      <c r="OG356" s="168" t="e">
        <f t="shared" ca="1" si="1270"/>
        <v>#DIV/0!</v>
      </c>
      <c r="OH356" s="168" t="e">
        <f t="shared" ca="1" si="1271"/>
        <v>#DIV/0!</v>
      </c>
      <c r="OI356" s="168" t="e">
        <f t="shared" ca="1" si="1272"/>
        <v>#DIV/0!</v>
      </c>
      <c r="OJ356" s="168" t="e">
        <f t="shared" ca="1" si="1273"/>
        <v>#DIV/0!</v>
      </c>
      <c r="OK356" s="204" t="e">
        <f t="shared" ca="1" si="1274"/>
        <v>#DIV/0!</v>
      </c>
      <c r="OL356" s="177">
        <f>Control!$C$127</f>
        <v>0.15</v>
      </c>
      <c r="OM356" s="182" t="e">
        <f t="shared" ca="1" si="1275"/>
        <v>#N/A</v>
      </c>
      <c r="ON356" s="177">
        <f>Control!$C$128</f>
        <v>0.35</v>
      </c>
      <c r="OO356" s="182" t="e">
        <f t="shared" ca="1" si="1276"/>
        <v>#N/A</v>
      </c>
      <c r="OP356" s="138">
        <f t="shared" ca="1" si="1358"/>
        <v>0</v>
      </c>
      <c r="OQ356" s="138" t="e">
        <f t="shared" ca="1" si="1381"/>
        <v>#DIV/0!</v>
      </c>
      <c r="OR356" s="138" t="e">
        <f t="shared" ca="1" si="1359"/>
        <v>#DIV/0!</v>
      </c>
      <c r="OS356" s="137" t="e">
        <f t="shared" ca="1" si="1382"/>
        <v>#DIV/0!</v>
      </c>
      <c r="OT356" s="139" t="e">
        <f t="shared" ca="1" si="1383"/>
        <v>#DIV/0!</v>
      </c>
      <c r="OU356" s="138" t="e">
        <f t="shared" ca="1" si="1384"/>
        <v>#N/A</v>
      </c>
      <c r="OV356" s="138" t="e">
        <f t="shared" ca="1" si="1385"/>
        <v>#DIV/0!</v>
      </c>
      <c r="OW356" s="138" t="e">
        <f t="shared" ca="1" si="1360"/>
        <v>#DIV/0!</v>
      </c>
      <c r="OX356" s="138" t="e">
        <f t="shared" ca="1" si="1361"/>
        <v>#DIV/0!</v>
      </c>
      <c r="OY356" s="138" t="e">
        <f t="shared" ca="1" si="1362"/>
        <v>#DIV/0!</v>
      </c>
      <c r="OZ356" s="138" t="e">
        <f t="shared" ca="1" si="1277"/>
        <v>#DIV/0!</v>
      </c>
      <c r="PA356" s="138" t="e">
        <f t="shared" ca="1" si="1278"/>
        <v>#DIV/0!</v>
      </c>
      <c r="PB356" s="55">
        <f>IF(Control!$C$61="T", IF(Control!$C$65="F", IF($AH$6-Control!$C$60&lt;0,0,1), IF(365+$AH$6-Control!$C$60&lt;0,0,1)),0)</f>
        <v>0</v>
      </c>
      <c r="PC356" s="55">
        <f ca="1">IF(Control!$C$65="F", IF($AH$6-$HF356&lt;0,0,1), IF(365+$AH$6-$HF356&lt;0,0,1))</f>
        <v>1</v>
      </c>
      <c r="PD356" s="444">
        <f>Control!$C$118</f>
        <v>1500</v>
      </c>
      <c r="PE356" s="180" t="e">
        <f t="shared" ca="1" si="1279"/>
        <v>#N/A</v>
      </c>
      <c r="PF356" s="445">
        <f t="shared" ca="1" si="1363"/>
        <v>0.71612369323045078</v>
      </c>
      <c r="PT356" s="186"/>
      <c r="PU356" s="186"/>
      <c r="PV356" s="94"/>
      <c r="PW356" s="94"/>
      <c r="PX356" s="94"/>
      <c r="PY356" s="94"/>
      <c r="PZ356" s="94"/>
      <c r="QA356" s="94"/>
      <c r="QB356" s="94"/>
      <c r="QC356" s="94"/>
      <c r="QD356" s="94"/>
      <c r="QE356" s="94"/>
      <c r="QF356" s="94"/>
      <c r="QG356" s="94"/>
      <c r="QH356" s="94"/>
      <c r="QI356" s="94"/>
      <c r="QJ356" s="94"/>
      <c r="QK356" s="94"/>
      <c r="QL356" s="94"/>
      <c r="QM356" s="94"/>
      <c r="QN356" s="94"/>
      <c r="QO356" s="94"/>
      <c r="QP356" s="94"/>
    </row>
    <row r="357" spans="1:458" s="2" customFormat="1" x14ac:dyDescent="0.2">
      <c r="A357" s="395">
        <v>18</v>
      </c>
      <c r="B357" s="396">
        <v>12</v>
      </c>
      <c r="C357" s="387">
        <f ca="1">Weather_data!$B356</f>
        <v>0</v>
      </c>
      <c r="D357" s="388">
        <f ca="1">Weather_data!$F356</f>
        <v>0</v>
      </c>
      <c r="E357" s="388">
        <f ca="1">Weather_data!$E356</f>
        <v>0</v>
      </c>
      <c r="F357" s="388">
        <f t="shared" ca="1" si="1280"/>
        <v>0</v>
      </c>
      <c r="G357" s="388">
        <f ca="1">AVERAGE($D357:$E357)+Control!$B$9</f>
        <v>0</v>
      </c>
      <c r="H357" s="388">
        <f ca="1">Weather_data!$G356</f>
        <v>0</v>
      </c>
      <c r="I357" s="388">
        <f ca="1">Weather_data!$I356</f>
        <v>0</v>
      </c>
      <c r="J357" s="388">
        <f ca="1">Weather_data!$H356</f>
        <v>0</v>
      </c>
      <c r="K357" s="389">
        <f ca="1">Weather_data!$D356</f>
        <v>0</v>
      </c>
      <c r="L357" s="388" t="e">
        <f t="shared" ca="1" si="1281"/>
        <v>#N/A</v>
      </c>
      <c r="M357" s="388" t="e">
        <f t="shared" ca="1" si="1158"/>
        <v>#N/A</v>
      </c>
      <c r="N357" s="388">
        <f t="shared" ca="1" si="1159"/>
        <v>-4.3460109632662889E-17</v>
      </c>
      <c r="O357" s="388">
        <f t="shared" ca="1" si="1282"/>
        <v>4.3460109632662891E-16</v>
      </c>
      <c r="P357" s="390">
        <v>3</v>
      </c>
      <c r="Q357" s="388">
        <f ca="1">MAX($G357-Control!$C$107,0)</f>
        <v>0</v>
      </c>
      <c r="R357" s="388">
        <f t="shared" ca="1" si="1283"/>
        <v>0</v>
      </c>
      <c r="S357" s="388">
        <f t="shared" ca="1" si="1160"/>
        <v>0</v>
      </c>
      <c r="T357" s="388">
        <f t="shared" ca="1" si="1161"/>
        <v>0</v>
      </c>
      <c r="U357" s="59">
        <f t="shared" ca="1" si="1162"/>
        <v>0</v>
      </c>
      <c r="V357" s="391">
        <f ca="1">MAX(0,MIN(Control!$C$100-Control!$C$99,$G357-Control!$C$99)*Control!$C$63)</f>
        <v>0</v>
      </c>
      <c r="W357" s="388">
        <f t="shared" ca="1" si="1284"/>
        <v>0</v>
      </c>
      <c r="X357" s="388">
        <f t="shared" ca="1" si="1285"/>
        <v>0.6110000000000001</v>
      </c>
      <c r="Y357" s="388">
        <f t="shared" ca="1" si="1163"/>
        <v>0</v>
      </c>
      <c r="Z357" s="388">
        <f t="shared" ca="1" si="1286"/>
        <v>0.61058800000000002</v>
      </c>
      <c r="AA357" s="388">
        <f t="shared" ca="1" si="1164"/>
        <v>0.6018</v>
      </c>
      <c r="AB357" s="388">
        <f ca="1">101.3*EXP(-0.034*Control!$C$66/($G357+273))</f>
        <v>100.69623283836242</v>
      </c>
      <c r="AC357" s="392">
        <f t="shared" ca="1" si="1165"/>
        <v>4.3460251046025113E-2</v>
      </c>
      <c r="AD357" s="392">
        <f t="shared" ca="1" si="1166"/>
        <v>4.4450382862832649E-2</v>
      </c>
      <c r="AE357" s="388">
        <f t="shared" ca="1" si="1167"/>
        <v>0</v>
      </c>
      <c r="AF357" s="388">
        <f ca="1">MAX(0,$G357-Control!$C$92)</f>
        <v>0</v>
      </c>
      <c r="AG357" s="393">
        <f t="shared" ca="1" si="1168"/>
        <v>353</v>
      </c>
      <c r="AH357" s="389">
        <f t="shared" ca="1" si="1169"/>
        <v>353</v>
      </c>
      <c r="AI357" s="388">
        <f t="shared" ca="1" si="1287"/>
        <v>-0.4090238436167512</v>
      </c>
      <c r="AJ357" s="388">
        <f ca="1">IF(Control!$C$60&lt;=0,$HH357,$HI357)</f>
        <v>1</v>
      </c>
      <c r="AK357" s="388">
        <f t="shared" ca="1" si="1170"/>
        <v>4.6994783256439101</v>
      </c>
      <c r="AL357" s="388">
        <f t="shared" ca="1" si="1171"/>
        <v>-8.1152636693948558E-18</v>
      </c>
      <c r="AM357" s="388">
        <f t="shared" ca="1" si="1172"/>
        <v>4.6994783256439101</v>
      </c>
      <c r="AN357" s="388">
        <f t="shared" ca="1" si="1173"/>
        <v>-0.40908156793295081</v>
      </c>
      <c r="AO357" s="388">
        <f ca="1">-0.10453/COS(Control!$B$8*PI()/180)*COS(AN357)</f>
        <v>-0.15577532619244008</v>
      </c>
      <c r="AP357" s="388">
        <f ca="1">ACOS(AO357-TAN(Control!$B$8*PI()/180)*TAN(AN357))</f>
        <v>1.1602283133298106</v>
      </c>
      <c r="AQ357" s="388">
        <f t="shared" ca="1" si="1288"/>
        <v>0</v>
      </c>
      <c r="AR357" s="394">
        <f t="shared" ca="1" si="1174"/>
        <v>0</v>
      </c>
      <c r="AS357" s="436">
        <f ca="1">IF(Control!$B$18=2,(IF(OR($AH357=Control!$B$175,$AH357=Control!$B$176,$AH357=Control!$B$177,$AH357=Control!$B$178,$AH357=Control!$B$179,$AH357=Control!$B$180,$AH357=Control!$B$181,$AH357=Control!$B$182,$AH357=Control!$B$183,$AH357=Control!$B$184,$AH357=Control!$B$185),1,0)),0)</f>
        <v>0</v>
      </c>
      <c r="AT357" s="436">
        <f>IF(Control!$B$20=8,IF(AND($AH357&gt;=Control!$B$172,$AH357&lt;=Control!$B$173),1,0),0)</f>
        <v>0</v>
      </c>
      <c r="AU357" s="436">
        <f>IF(Control!$B$20=8,IF($AV356=1,1*$AT357,IF($AT357=1,$AU356+1,$AU356)),0)</f>
        <v>0</v>
      </c>
      <c r="AV357" s="436">
        <f>IF(Control!$B$20=8,IF($AU357&gt;=Control!$B$174,1,0),0)</f>
        <v>0</v>
      </c>
      <c r="AW357" s="436">
        <f ca="1">IF(AND(Control!$B$18=2,Control!$B$171=1), $AV357, $AS357)</f>
        <v>0</v>
      </c>
      <c r="AX357" s="436" t="e">
        <f ca="1">IF(AND(Control!$B$18=1,$EU357&gt;=Control!$B$19),-$AY357,IF(AND(Control!$B$18=2,$AW357=1,$EU357&gt;$DS357),-$AY357, IF(Control!$C$108=0,0, IF(Control!$C$108&lt;&gt;0,1))))</f>
        <v>#N/A</v>
      </c>
      <c r="AY357" s="436" t="e">
        <f t="shared" ca="1" si="1289"/>
        <v>#N/A</v>
      </c>
      <c r="AZ357" s="436" t="e">
        <f ca="1">IF(AND(Control!$B$18=1,$EB357&gt;Control!$B$19),$AZ356+1, IF(AND(Control!$B$18=2, $AW357=1, $EB357&gt;$DS357), $AZ356+1,$AZ356))</f>
        <v>#N/A</v>
      </c>
      <c r="BA357" s="587">
        <f>IF(Control!$C$81=0,1,IF($AH357&gt;=Control!$C$82,1,0))</f>
        <v>1</v>
      </c>
      <c r="BB357" s="140" t="e">
        <f ca="1">IF($BA357&gt;$BA356,Control!$C$83,IF($AW357&gt;0,$AW357*Control!$C$84,IF(AND(Control!$B$18=1,EN356&lt;&gt;0),Control!$C$84,0)))</f>
        <v>#N/A</v>
      </c>
      <c r="BC357" s="140" t="e">
        <f t="shared" ca="1" si="1290"/>
        <v>#N/A</v>
      </c>
      <c r="BD357" s="140" t="e">
        <f ca="1">BC357*IF(OR($G357&lt;Control!$C$92,$G357&gt;Control!$C$95),0,IF(AND($G357&gt;=Control!$C$92,$G357&lt;=Control!$C$93),$G357-Control!$C$92,IF(AND($G357&gt;Control!$C$93,$G357&lt;=Control!$C$94),Control!$C$93-Control!$C$92,IF(AND($G357&gt;Control!$C$94,$G357&lt;=Control!$C$95),(Control!$C$93-Control!$C$92)*(Control!$C$94-$G357)/(Control!$C$95-Control!$C$94)))))</f>
        <v>#N/A</v>
      </c>
      <c r="BE357" s="140" t="e">
        <f t="shared" ca="1" si="1291"/>
        <v>#N/A</v>
      </c>
      <c r="BF357" s="140" t="e">
        <f ca="1">IF($BE357&lt;=Control!$C$86,$BE357,Control!$C$86-$BE357)</f>
        <v>#N/A</v>
      </c>
      <c r="BG357" s="140" t="e">
        <f ca="1">IF(AND($AW357=1,Control!$C$84&lt;9),1,IF($BE357&gt;=Control!$C$86,0,$BC357))</f>
        <v>#N/A</v>
      </c>
      <c r="BH357" s="404" t="e">
        <f ca="1">IF($BG357=0,0,IF($BE357&lt;=Control!$C$86,$BC357*9*($BF357/Control!$C$86),0))</f>
        <v>#N/A</v>
      </c>
      <c r="BI357" s="140" t="e">
        <f ca="1">IF($BG357=1,0,IF($BE357&gt;=Control!$C$86,1,IF(AND($BB357&lt;21,$BB357&gt;=9),1,$BM356)))</f>
        <v>#N/A</v>
      </c>
      <c r="BJ357" s="140" t="e">
        <f ca="1">IF($BF357&lt;0,-$BF357,$BI357*IF(OR($G357&lt;Control!$C$92,$G357&gt;Control!$C$95),0,IF(AND($G357&gt;=Control!$C$92,$G357&lt;=Control!$C$93),$G357-Control!$C$92,IF(AND($G357&gt;Control!$C$93,$G357&lt;=Control!$C$94),Control!$C$93-Control!$C$92,IF(AND($G357&gt;Control!$C$94,$G357&lt;=Control!$C$95),(Control!$C$93-Control!$C$92)*(Control!$C$94-$G357)/(Control!$C$95-Control!$C$94))))))</f>
        <v>#N/A</v>
      </c>
      <c r="BK357" s="140" t="e">
        <f t="shared" ca="1" si="1292"/>
        <v>#N/A</v>
      </c>
      <c r="BL357" s="140" t="e">
        <f ca="1">IF($BK357&lt;=Control!$C$87,$BK357,Control!$C$87-$BK357)</f>
        <v>#N/A</v>
      </c>
      <c r="BM357" s="140" t="e">
        <f ca="1">IF(AND($BB357&gt;=9,$BB357&lt;21),1,IF($BK357&gt;=Control!$C$87,0,$BI357))</f>
        <v>#N/A</v>
      </c>
      <c r="BN357" s="404" t="e">
        <f ca="1">IF($BM357=0,0,IF($BK357&lt;=Control!$C$87,$BI357*(9+(21-9)*($BL357/Control!$C$87)),0))</f>
        <v>#N/A</v>
      </c>
      <c r="BO357" s="140" t="e">
        <f ca="1">IF($BM357=1,0,IF($BK357&gt;=Control!$C$87,1,IF(AND($BB357&lt;30,$BB357&gt;=21),1,$BS356)))</f>
        <v>#N/A</v>
      </c>
      <c r="BP357" s="140" t="e">
        <f ca="1">IF($BL357&lt;0,-$BL357,$BO357*IF(OR($G357&lt;Control!$C$92,$G357&gt;Control!$C$95),0,IF(AND($G357&gt;=Control!$C$92,$G357&lt;=Control!$C$93),$G357-Control!$C$92,IF(AND($G357&gt;Control!$C$93,$G357&lt;=Control!$C$94),Control!$C$93-Control!$C$92,IF(AND($G357&gt;Control!$C$94,$G357&lt;=Control!$C$95),(Control!$C$93-Control!$C$92)*(Control!$C$94-$G357)/(Control!$C$95-Control!$C$94))))))</f>
        <v>#N/A</v>
      </c>
      <c r="BQ357" s="140" t="e">
        <f t="shared" ca="1" si="1175"/>
        <v>#N/A</v>
      </c>
      <c r="BR357" s="140" t="e">
        <f ca="1">IF($BQ357&lt;=Control!$C$88,$BQ357,Control!$C$88-$BQ357)</f>
        <v>#N/A</v>
      </c>
      <c r="BS357" s="140" t="e">
        <f ca="1">IF(AND($BB357&gt;=21,$BB357&lt;30),1,IF($BQ357&gt;=Control!$C$88,0,$BO357))</f>
        <v>#N/A</v>
      </c>
      <c r="BT357" s="404" t="e">
        <f ca="1">IF($BS357=0,0,IF($BQ357&lt;=Control!$C$88,$BO357*(21+(30-21)*(BR357/Control!$C$88)),0))</f>
        <v>#N/A</v>
      </c>
      <c r="BU357" s="140" t="e">
        <f ca="1">IF(BG357+BM357+BS357=1,0,IF(OR(AND($BB357&lt;60,$BB357&gt;=30),$BQ357&gt;=Control!$C$88),1*$BA357,$BY356))</f>
        <v>#N/A</v>
      </c>
      <c r="BV357" s="140" t="e">
        <f ca="1">IF($BR357&lt;0,-$BR357,$BU357*IF(OR($G357&lt;Control!$C$92,$G357&gt;Control!$C$95),0,IF(AND($G357&gt;=Control!$C$92,$G357&lt;=Control!$C$93),$G357-Control!$C$92,IF(AND($G357&gt;Control!$C$93,$G357&lt;=Control!$C$94),Control!$C$93-Control!$C$92,IF(AND($G357&gt;Control!$C$94,$G357&lt;=Control!$C$95),(Control!$C$93-Control!$C$92)*(Control!$C$94-$G357)/(Control!$C$95-Control!$C$94))))))</f>
        <v>#N/A</v>
      </c>
      <c r="BW357" s="140" t="e">
        <f t="shared" ca="1" si="1176"/>
        <v>#N/A</v>
      </c>
      <c r="BX357" s="140" t="e">
        <f ca="1">IF($BW357&lt;=Control!$C$89,$BW357,Control!$C$89-$BW357)</f>
        <v>#N/A</v>
      </c>
      <c r="BY357" s="140" t="e">
        <f ca="1">IF(AND($AJ357&gt;=30,$AJ357&lt;60),1,IF($BW357&gt;=Control!$C$89,0,$BU357))</f>
        <v>#N/A</v>
      </c>
      <c r="BZ357" s="404" t="e">
        <f ca="1">IF($BY357=0,0,IF($BW357&lt;=Control!$C$89,$BU357*(30+(60-30)*(BX357/Control!$C$89)),0))</f>
        <v>#N/A</v>
      </c>
      <c r="CA357" s="140" t="e">
        <f ca="1">IF($BG357+$BM357+$BS357+$BY357=1,0,IF(OR(AND($BB357&lt;65,$BB357&gt;=60),$BW357&gt;=Control!$C$89),1*$BA357,$CE356))</f>
        <v>#N/A</v>
      </c>
      <c r="CB357" s="140" t="e">
        <f ca="1">IF($BX357&lt;0,-$BX357,$CA357*IF(OR($G357&lt;Control!$C$92,$G357&gt;Control!$C$95),0,IF(AND($G357&gt;=Control!$C$92,$G357&lt;=Control!$C$93),$G357-Control!$C$92,IF(AND($G357&gt;Control!$C$93,$G357&lt;=Control!$C$94),Control!$C$93-Control!$C$92,IF(AND($G357&gt;Control!$C$94,$G357&lt;=Control!$C$95),(Control!$C$93-Control!$C$92)*(Control!$C$94-$G357)/(Control!$C$95-Control!$C$94))))))</f>
        <v>#N/A</v>
      </c>
      <c r="CC357" s="140" t="e">
        <f t="shared" ca="1" si="1293"/>
        <v>#N/A</v>
      </c>
      <c r="CD357" s="140" t="e">
        <f ca="1">IF($CC357&lt;=Control!$C$90,$CC357,Control!$C$90-$CC357)</f>
        <v>#N/A</v>
      </c>
      <c r="CE357" s="140" t="e">
        <f ca="1">IF(AND($BB357&gt;=60,$BB357&lt;65),1,IF($CC357&gt;=Control!$C$90,0,$CA357))</f>
        <v>#N/A</v>
      </c>
      <c r="CF357" s="404" t="e">
        <f ca="1">IF($CE357=0,0,IF($CC357&lt;=Control!$C$90,$CA357*(60+(65-60)*(CD357/Control!$C$90)),0))</f>
        <v>#N/A</v>
      </c>
      <c r="CG357" s="140" t="e">
        <f ca="1">IF($BG357+$BM357+$BS357+$BY357+$CE357=1,0,IF(OR(AND($BB357&lt;90,$BB357&gt;=65),$CC357&gt;=Control!$C$90),$BA357,$CK356))</f>
        <v>#N/A</v>
      </c>
      <c r="CH357" s="140" t="e">
        <f ca="1">IF($CD357&lt;0,-$CD357,$CG357*IF(OR($G357&lt;Control!$C$92,$G357&gt;Control!$C$95),0,IF(AND($G357&gt;=Control!$C$92,$G357&lt;=Control!$C$93),$G357-Control!$C$92,IF(AND($G357&gt;Control!$C$93,$G357&lt;=Control!$C$94),Control!$C$93-Control!$C$92,IF(AND($G357&gt;Control!$C$94,$G357&lt;=Control!$C$95),(Control!$C$93-Control!$C$92)*(Control!$C$94-$G357)/(Control!$C$95-Control!$C$94))))))</f>
        <v>#N/A</v>
      </c>
      <c r="CI357" s="140" t="e">
        <f t="shared" ca="1" si="1294"/>
        <v>#N/A</v>
      </c>
      <c r="CJ357" s="140" t="e">
        <f ca="1">IF($CI357&lt;=Control!$C$91,$CI357,Control!$C$91-$CI357)</f>
        <v>#N/A</v>
      </c>
      <c r="CK357" s="140" t="e">
        <f ca="1">IF(AND($BB357&gt;=65,$BB357&lt;90),1,IF($CI357&gt;=Control!$C$91,0,$CG357))</f>
        <v>#N/A</v>
      </c>
      <c r="CL357" s="404" t="e">
        <f ca="1">IF($CK357=0,0,IF($CI357&lt;=Control!$C$91,$CG357*(65+(90-65)*($CJ357/Control!$C$91)),0))</f>
        <v>#N/A</v>
      </c>
      <c r="CM357" s="140" t="e">
        <f ca="1">IF($BG357+$BM357+$BS357+$BY357+$CE357+$CK357=1,0,IF(OR($BB357&gt;=90,$CI357&gt;=Control!$C$91),$BA357,$CM356))</f>
        <v>#N/A</v>
      </c>
      <c r="CN357" s="140" t="e">
        <f t="shared" ca="1" si="1295"/>
        <v>#N/A</v>
      </c>
      <c r="CO357" s="140" t="e">
        <f t="shared" ca="1" si="1296"/>
        <v>#N/A</v>
      </c>
      <c r="CP357" s="140" t="e">
        <f t="shared" ca="1" si="1297"/>
        <v>#N/A</v>
      </c>
      <c r="CQ357" s="141" t="e">
        <f ca="1">VLOOKUP($CP357,Control!$B$86:$G$91,6)</f>
        <v>#N/A</v>
      </c>
      <c r="CR357" s="141" t="e">
        <f ca="1">(1-$CQ357)*VLOOKUP($CP357,Control!$B$86:$D$91,3)</f>
        <v>#N/A</v>
      </c>
      <c r="CS357" s="141" t="e">
        <f ca="1">(1-$CQ357)*VLOOKUP($CP357,Control!$B$86:$E$91,4)</f>
        <v>#N/A</v>
      </c>
      <c r="CT357" s="141" t="e">
        <f ca="1">(1-$CQ357)*VLOOKUP($CP357,Control!$B$86:$F$91,5)</f>
        <v>#N/A</v>
      </c>
      <c r="CU357" s="141">
        <f t="shared" ca="1" si="1298"/>
        <v>0</v>
      </c>
      <c r="CV357" s="583">
        <f t="shared" ca="1" si="1299"/>
        <v>0</v>
      </c>
      <c r="CW357" s="142">
        <f t="shared" ca="1" si="1300"/>
        <v>353</v>
      </c>
      <c r="CX357" s="612" t="e">
        <f ca="1">IF(Control!$C$114=1,(MIN(Control!$C$120*(IF($NT357-0.01&lt;0,0,1)),Control!$C$119-$CY357)))</f>
        <v>#DIV/0!</v>
      </c>
      <c r="CY357" s="143" t="e">
        <f t="shared" ca="1" si="1301"/>
        <v>#N/A</v>
      </c>
      <c r="CZ357" s="144">
        <f t="shared" ca="1" si="1177"/>
        <v>0</v>
      </c>
      <c r="DA357" s="144">
        <f t="shared" ca="1" si="1178"/>
        <v>0</v>
      </c>
      <c r="DB357" s="144" t="e">
        <f t="shared" ca="1" si="1179"/>
        <v>#N/A</v>
      </c>
      <c r="DC357" s="144" t="e">
        <f t="shared" ca="1" si="1180"/>
        <v>#N/A</v>
      </c>
      <c r="DD357" s="144" t="e">
        <f t="shared" ca="1" si="1386"/>
        <v>#N/A</v>
      </c>
      <c r="DE357" s="143" t="e">
        <f t="shared" ca="1" si="1302"/>
        <v>#N/A</v>
      </c>
      <c r="DF357" s="145" t="e">
        <f ca="1">$DR357*EXP(-Control!$C$158*(1-$KH357))</f>
        <v>#N/A</v>
      </c>
      <c r="DG357" s="146" t="e">
        <f ca="1">IF(Control!$C$114=1, $DF357*$EY357, 0)</f>
        <v>#N/A</v>
      </c>
      <c r="DH357" s="147" t="e">
        <f t="shared" ca="1" si="1303"/>
        <v>#N/A</v>
      </c>
      <c r="DI357" s="144" t="e">
        <f t="shared" ca="1" si="1364"/>
        <v>#N/A</v>
      </c>
      <c r="DJ357" s="147" t="e">
        <f ca="1">$EF357*Control!$C$109</f>
        <v>#N/A</v>
      </c>
      <c r="DK357" s="144" t="e">
        <f t="shared" ca="1" si="1304"/>
        <v>#N/A</v>
      </c>
      <c r="DL357" s="144" t="e">
        <f t="shared" ca="1" si="1181"/>
        <v>#N/A</v>
      </c>
      <c r="DM357" s="144" t="e">
        <f ca="1">IF(Control!$C$114=1, (1-EXP(-Control!$C$96*$DK357))*$AR357, 0)</f>
        <v>#N/A</v>
      </c>
      <c r="DN357" s="144">
        <f t="shared" ca="1" si="1305"/>
        <v>0</v>
      </c>
      <c r="DO357" s="148">
        <f>Control!$C$97</f>
        <v>4</v>
      </c>
      <c r="DP357" s="145" t="e">
        <f t="shared" ca="1" si="1306"/>
        <v>#N/A</v>
      </c>
      <c r="DQ357" s="145" t="e">
        <f ca="1">IF(AND($CP357&gt;=0,$CP357&lt;=90),Control!$C$111,Control!$C$111)</f>
        <v>#N/A</v>
      </c>
      <c r="DR357" s="145" t="e">
        <f t="shared" ca="1" si="1182"/>
        <v>#N/A</v>
      </c>
      <c r="DS357" s="143" t="e">
        <f ca="1">Control!$B$22/$DR357</f>
        <v>#N/A</v>
      </c>
      <c r="DT357" s="149" t="e">
        <f ca="1">IF(AND(Control!$C$114=1,$KH357&lt;1),$IM357*$DF357, 0)</f>
        <v>#N/A</v>
      </c>
      <c r="DU357" s="144" t="e">
        <f t="shared" ca="1" si="1307"/>
        <v>#N/A</v>
      </c>
      <c r="DV357" s="144">
        <f ca="1">IF($G357-Control!$C$107&lt;=0, 0, 0.83*LN(MAX($G357, 3))-0.8924)</f>
        <v>0</v>
      </c>
      <c r="DW357" s="144" t="e">
        <f t="shared" ca="1" si="1183"/>
        <v>#N/A</v>
      </c>
      <c r="DX357" s="150" t="e">
        <f ca="1">MAX(0.01*(1+$CU357/Control!$C$102),0.05*($DK357-Control!$C$97)/Control!$C$97)</f>
        <v>#N/A</v>
      </c>
      <c r="DY357" s="151" t="e">
        <f ca="1">IF(Control!$C$114=1, $DI357*$FS357, 0)</f>
        <v>#N/A</v>
      </c>
      <c r="DZ357" s="196" t="e">
        <f t="shared" ca="1" si="1308"/>
        <v>#N/A</v>
      </c>
      <c r="EA357" s="152">
        <f t="shared" ca="1" si="1309"/>
        <v>353</v>
      </c>
      <c r="EB357" s="153" t="e">
        <f t="shared" ca="1" si="1310"/>
        <v>#N/A</v>
      </c>
      <c r="EC357" s="153" t="e">
        <f t="shared" ca="1" si="1311"/>
        <v>#N/A</v>
      </c>
      <c r="ED357" s="154" t="e">
        <f ca="1">IF(Control!$C$114=1, $HM357*$FY357-$FD357, 0)</f>
        <v>#DIV/0!</v>
      </c>
      <c r="EE357" s="155" t="e">
        <f ca="1">IF(Control!$C$114=1, $HM357*$FZ357-$FF357, 0)</f>
        <v>#DIV/0!</v>
      </c>
      <c r="EF357" s="153" t="e">
        <f t="shared" ca="1" si="1365"/>
        <v>#N/A</v>
      </c>
      <c r="EG357" s="155" t="e">
        <f ca="1">IF(Control!$C$114=1, $GX357*$FW357-$FI357, 0)</f>
        <v>#DIV/0!</v>
      </c>
      <c r="EH357" s="153" t="e">
        <f t="shared" ca="1" si="1312"/>
        <v>#N/A</v>
      </c>
      <c r="EI357" s="156" t="e">
        <f t="shared" ca="1" si="1313"/>
        <v>#N/A</v>
      </c>
      <c r="EJ357" s="155" t="e">
        <f ca="1">IF(Control!$C$114=1, $HM357*$GB357, 0)</f>
        <v>#DIV/0!</v>
      </c>
      <c r="EK357" s="153" t="e">
        <f t="shared" ca="1" si="1366"/>
        <v>#N/A</v>
      </c>
      <c r="EL357" s="153" t="e">
        <f t="shared" ca="1" si="1184"/>
        <v>#N/A</v>
      </c>
      <c r="EM357" s="153" t="e">
        <f t="shared" ca="1" si="1185"/>
        <v>#N/A</v>
      </c>
      <c r="EN357" s="153" t="e">
        <f ca="1">IF(Control!$C$108=1,IF(AND(Control!$B$18=1,$EB357&gt;=Control!$B$19),$EB357-$DS357,IF(AND(Control!$B$18=2,$AW357=1,$EB357&gt;$DS357),$EB357-$DS357,0)))</f>
        <v>#N/A</v>
      </c>
      <c r="EO357" s="153" t="e">
        <f ca="1">IF(Control!$C$108=1,IF(AND(Control!$B$18=1,$EB357&gt;=Control!$B$19),$EF357,IF(AND(Control!$B$18=2,$AW357=1),$EF357,0)))</f>
        <v>#N/A</v>
      </c>
      <c r="EP357" s="153" t="e">
        <f ca="1">IF(Control!$C$108=1,IF(AND(Control!$B$18=1,$EB357&gt;=Control!$B$19),$EK357,IF(AND(Control!$B$18=2,$AW357=1),$EK357,0)))</f>
        <v>#N/A</v>
      </c>
      <c r="EQ357" s="153" t="e">
        <f t="shared" ca="1" si="1314"/>
        <v>#N/A</v>
      </c>
      <c r="ER357" s="153" t="e">
        <f t="shared" ca="1" si="1315"/>
        <v>#N/A</v>
      </c>
      <c r="ES357" s="153" t="e">
        <f t="shared" ca="1" si="1367"/>
        <v>#N/A</v>
      </c>
      <c r="ET357" s="153" t="e">
        <f t="shared" ca="1" si="1368"/>
        <v>#N/A</v>
      </c>
      <c r="EU357" s="153" t="e">
        <f t="shared" ca="1" si="1316"/>
        <v>#N/A</v>
      </c>
      <c r="EV357" s="153" t="e">
        <f t="shared" ca="1" si="1186"/>
        <v>#N/A</v>
      </c>
      <c r="EW357" s="153" t="e">
        <f t="shared" ca="1" si="1187"/>
        <v>#N/A</v>
      </c>
      <c r="EX357" s="153" t="e">
        <f t="shared" ca="1" si="1188"/>
        <v>#N/A</v>
      </c>
      <c r="EY357" s="157" t="e">
        <f t="shared" ca="1" si="1189"/>
        <v>#DIV/0!</v>
      </c>
      <c r="EZ357" s="154" t="e">
        <f t="shared" ca="1" si="1190"/>
        <v>#DIV/0!</v>
      </c>
      <c r="FA357" s="153" t="e">
        <f t="shared" ca="1" si="1317"/>
        <v>#N/A</v>
      </c>
      <c r="FB357" s="153" t="e">
        <f t="shared" ca="1" si="1191"/>
        <v>#N/A</v>
      </c>
      <c r="FC357" s="193" t="e">
        <f t="shared" ca="1" si="1192"/>
        <v>#N/A</v>
      </c>
      <c r="FD357" s="158" t="e">
        <f t="shared" ca="1" si="1318"/>
        <v>#N/A</v>
      </c>
      <c r="FE357" s="158" t="e">
        <f t="shared" ca="1" si="1319"/>
        <v>#N/A</v>
      </c>
      <c r="FF357" s="159" t="e">
        <f t="shared" ca="1" si="1193"/>
        <v>#N/A</v>
      </c>
      <c r="FG357" s="160" t="e">
        <f t="shared" ca="1" si="1320"/>
        <v>#N/A</v>
      </c>
      <c r="FH357" s="158" t="e">
        <f t="shared" ca="1" si="1321"/>
        <v>#N/A</v>
      </c>
      <c r="FI357" s="159" t="e">
        <f t="shared" ca="1" si="1194"/>
        <v>#N/A</v>
      </c>
      <c r="FJ357" s="160" t="e">
        <f t="shared" ca="1" si="1322"/>
        <v>#N/A</v>
      </c>
      <c r="FK357" s="160" t="e">
        <f t="shared" ca="1" si="1195"/>
        <v>#N/A</v>
      </c>
      <c r="FL357" s="160" t="e">
        <f t="shared" ca="1" si="1369"/>
        <v>#N/A</v>
      </c>
      <c r="FM357" s="160" t="e">
        <f t="shared" ca="1" si="1196"/>
        <v>#N/A</v>
      </c>
      <c r="FN357" s="158">
        <f t="shared" ca="1" si="1323"/>
        <v>0.01</v>
      </c>
      <c r="FO357" s="160">
        <f>Control!$C$101</f>
        <v>50</v>
      </c>
      <c r="FP357" s="150" t="e">
        <f t="shared" ca="1" si="1197"/>
        <v>#N/A</v>
      </c>
      <c r="FQ357" s="150" t="e">
        <f ca="1">MAX(0,(Control!$C$112*(($DK357-Control!$C$97)/Control!$C$97)))</f>
        <v>#N/A</v>
      </c>
      <c r="FR357" s="150" t="e">
        <f ca="1">(1-$NT357)*Control!$C$113</f>
        <v>#DIV/0!</v>
      </c>
      <c r="FS357" s="198" t="e">
        <f t="shared" ca="1" si="1198"/>
        <v>#N/A</v>
      </c>
      <c r="FT357" s="161">
        <f t="shared" ca="1" si="1324"/>
        <v>353</v>
      </c>
      <c r="FU357" s="162" t="e">
        <f ca="1">IF(Control!$B$34=1,VLOOKUP($CP357,Control!$B$86:$G$91,6),Control!$B$35)</f>
        <v>#N/A</v>
      </c>
      <c r="FV357" s="162" t="e">
        <f t="shared" ca="1" si="1199"/>
        <v>#DIV/0!</v>
      </c>
      <c r="FW357" s="162" t="e">
        <f ca="1">IF(Control!$B$31=1,$FU357*$FV357,  $FU357)</f>
        <v>#N/A</v>
      </c>
      <c r="FX357" s="162" t="e">
        <f ca="1">IF(Control!$B$34=1,VLOOKUP($CP357,Control!$B$86:$G$91,3),Control!$B$36)</f>
        <v>#N/A</v>
      </c>
      <c r="FY357" s="162" t="e">
        <f t="shared" ca="1" si="1200"/>
        <v>#N/A</v>
      </c>
      <c r="FZ357" s="162" t="e">
        <f ca="1">IF(Control!$B$34=1,VLOOKUP($CP357,Control!$B$86:$G$91,4),Control!$B$37)</f>
        <v>#N/A</v>
      </c>
      <c r="GA357" s="162" t="e">
        <f t="shared" ca="1" si="1201"/>
        <v>#N/A</v>
      </c>
      <c r="GB357" s="162" t="e">
        <f ca="1">IF(Control!$B$34=1,VLOOKUP($CP357,Control!$B$86:$G$91,5),Control!$B$38)</f>
        <v>#N/A</v>
      </c>
      <c r="GC357" s="162" t="e">
        <f t="shared" ca="1" si="1325"/>
        <v>#N/A</v>
      </c>
      <c r="GD357" s="162">
        <f t="shared" ca="1" si="1202"/>
        <v>1</v>
      </c>
      <c r="GE357" s="162">
        <f t="shared" ca="1" si="1203"/>
        <v>1</v>
      </c>
      <c r="GF357" s="162">
        <f ca="1">IF(AND(Control!$C$104=1, Control!$C$62="F"),$GE357,1)</f>
        <v>1</v>
      </c>
      <c r="GG357" s="162" t="e">
        <f ca="1">IF(Control!$B$16=40,0,IF(AND(Control!$B$16&gt;40,Control!$B$16&lt;=360),(Control!$B$16-40)*((1-0)/(360-40)),IF(AND(Control!$B$16&gt;360,Control!$B$16&lt;=720),(1+(Control!$B$16-360)*((1.25-1)/(720-360))),IF(AND(Control!$B$16&gt;720,Control!$B$16&lt;=1000),(1.25+(Control!$B$16-720)*((1.35-1.25)/(1000-720))),IF(AND(Control!$B$16&gt;1000,Control!$B$16&lt;=2000),(1.35+(Control!$B$16-1000)*0))))))</f>
        <v>#N/A</v>
      </c>
      <c r="GH357" s="162" t="e">
        <f t="shared" ca="1" si="1204"/>
        <v>#N/A</v>
      </c>
      <c r="GI357" s="162">
        <f t="shared" ca="1" si="1326"/>
        <v>0</v>
      </c>
      <c r="GJ357" s="162">
        <f t="shared" ca="1" si="1205"/>
        <v>0</v>
      </c>
      <c r="GK357" s="162">
        <f t="shared" ca="1" si="1327"/>
        <v>1</v>
      </c>
      <c r="GL357" s="162">
        <f t="shared" ca="1" si="1206"/>
        <v>1</v>
      </c>
      <c r="GM357" s="162" t="e">
        <f ca="1">MAX(0,MIN(1,1-Control!$C$156*(1.0001-$KH357)^2))</f>
        <v>#N/A</v>
      </c>
      <c r="GN357" s="162" t="e">
        <f ca="1">IF(Control!$B$26=1,$KU357,$KX357)</f>
        <v>#N/A</v>
      </c>
      <c r="GO357" s="162" t="e">
        <f ca="1">IF($CP357&lt;=60,Control!$C$105,IF($CP357&gt;=90,Control!$C$106,Control!$C$105+($CP357-60)*((Control!$C$106-Control!$C$105)/(90-60))))</f>
        <v>#N/A</v>
      </c>
      <c r="GP357" s="162" t="e">
        <f t="shared" ca="1" si="1207"/>
        <v>#N/A</v>
      </c>
      <c r="GQ357" s="162" t="e">
        <f t="shared" ca="1" si="1328"/>
        <v>#N/A</v>
      </c>
      <c r="GR357" s="163" t="e">
        <f t="shared" ca="1" si="1208"/>
        <v>#DIV/0!</v>
      </c>
      <c r="GS357" s="162" t="e">
        <f t="shared" ca="1" si="1209"/>
        <v>#DIV/0!</v>
      </c>
      <c r="GT357" s="164" t="e">
        <f t="shared" ca="1" si="1329"/>
        <v>#N/A</v>
      </c>
      <c r="GU357" s="162" t="e">
        <f t="shared" ca="1" si="1330"/>
        <v>#N/A</v>
      </c>
      <c r="GV357" s="162" t="e">
        <f t="shared" ca="1" si="1210"/>
        <v>#N/A</v>
      </c>
      <c r="GW357" s="162" t="e">
        <f t="shared" ca="1" si="1211"/>
        <v>#DIV/0!</v>
      </c>
      <c r="GX357" s="162" t="e">
        <f t="shared" ca="1" si="1331"/>
        <v>#DIV/0!</v>
      </c>
      <c r="GY357" s="162" t="e">
        <f t="shared" ca="1" si="1332"/>
        <v>#DIV/0!</v>
      </c>
      <c r="GZ357" s="165" t="e">
        <f t="shared" ca="1" si="1212"/>
        <v>#N/A</v>
      </c>
      <c r="HA357" s="162" t="e">
        <f ca="1">IF(Control!$C$114=1, $DI357*$FS357, 0)</f>
        <v>#N/A</v>
      </c>
      <c r="HB357" s="162" t="e">
        <f ca="1">$FA357/Control!$C$64</f>
        <v>#N/A</v>
      </c>
      <c r="HC357" s="162" t="e">
        <f t="shared" ca="1" si="1213"/>
        <v>#DIV/0!</v>
      </c>
      <c r="HD357" s="162">
        <f ca="1">-ASIN(SIN(23.45*Control!$C$139)*COS(2*Control!$C$138*($AH357+10)/365))</f>
        <v>-0.4090238436167512</v>
      </c>
      <c r="HE357" s="165">
        <f t="shared" ca="1" si="1333"/>
        <v>0</v>
      </c>
      <c r="HF357" s="166">
        <f ca="1">IF(AND(Control!$C$61="T",$HE357&gt;=Control!$C$103,Control!$C$114=0),$AH357,Control!$C$59)</f>
        <v>1</v>
      </c>
      <c r="HG357" s="166">
        <f ca="1">IF(AND(Control!$C$61="T",$HE357&gt;=Control!$C$103,Control!$C$114=0),$HF357,Control!$C$59)</f>
        <v>1</v>
      </c>
      <c r="HH357" s="165">
        <f ca="1">IF(AND(OR(Control!$C$60&lt;=0, $AH357= Control!$C$59, Control!$C$60 &gt;0, $AH357 = Control!$C$60)), Control!$C$59, IF(Control!$C$60&gt;0, 0))</f>
        <v>1</v>
      </c>
      <c r="HI357" s="165">
        <f ca="1">IF(AND(OR(Control!$C$60&lt;=0, $AH357= Control!$C$59, Control!$C$60 &gt;0, $AH357 = Control!$C$60)), Control!$C$60, IF(Control!$C$60&lt;=0, 0))</f>
        <v>0</v>
      </c>
      <c r="HJ357" s="166">
        <f ca="1">IF(AND(Control!$C$62="F",$CV357&gt;=Control!$C$102),$AH357,0)</f>
        <v>0</v>
      </c>
      <c r="HK357" s="165" t="e">
        <f t="shared" ca="1" si="1370"/>
        <v>#N/A</v>
      </c>
      <c r="HL357" s="166">
        <f ca="1">IF(AND(Control!$C$61="T",$HE357&gt;=Control!$C$103,Control!$C$114=0),$HF357,0)</f>
        <v>0</v>
      </c>
      <c r="HM357" s="201" t="e">
        <f t="shared" ca="1" si="1214"/>
        <v>#DIV/0!</v>
      </c>
      <c r="HN357" s="215">
        <f t="shared" ca="1" si="1334"/>
        <v>353</v>
      </c>
      <c r="HO357" s="216" t="e">
        <f ca="1">IF(AND($CP357&gt;=0, $CP357&lt;=90), Control!$C$152, Control!$C$152)</f>
        <v>#N/A</v>
      </c>
      <c r="HP357" s="216" t="e">
        <f t="shared" ca="1" si="1215"/>
        <v>#N/A</v>
      </c>
      <c r="HQ357" s="217" t="e">
        <f ca="1">IF(OR(Control!$B$26=1,Control!$B$26=2),$KV357,$KS357)</f>
        <v>#DIV/0!</v>
      </c>
      <c r="HR357" s="218" t="e">
        <f t="shared" ca="1" si="1371"/>
        <v>#DIV/0!</v>
      </c>
      <c r="HS357" s="216" t="e">
        <f ca="1">Control!$C$154*$HP357</f>
        <v>#N/A</v>
      </c>
      <c r="HT357" s="216" t="e">
        <f ca="1">Control!$C$155*$HP357</f>
        <v>#N/A</v>
      </c>
      <c r="HU357" s="217" t="e">
        <f ca="1">Control!$C$161*$FI357</f>
        <v>#N/A</v>
      </c>
      <c r="HV357" s="218" t="e">
        <f t="shared" ca="1" si="1335"/>
        <v>#N/A</v>
      </c>
      <c r="HW357" s="218" t="e">
        <f ca="1">Control!$C$160*$FF357+$IP357*$EO357</f>
        <v>#N/A</v>
      </c>
      <c r="HX357" s="218" t="e">
        <f t="shared" ca="1" si="1372"/>
        <v>#N/A</v>
      </c>
      <c r="HY357" s="219" t="e">
        <f ca="1">IF(Control!$C$114=1, $EB357*$FS357, 0)</f>
        <v>#N/A</v>
      </c>
      <c r="HZ357" s="91" t="e">
        <f t="shared" ca="1" si="1216"/>
        <v>#N/A</v>
      </c>
      <c r="IA357" s="220" t="e">
        <f ca="1">Control!$C$153*$HO357</f>
        <v>#N/A</v>
      </c>
      <c r="IB357" s="218" t="e">
        <f t="shared" ca="1" si="1217"/>
        <v>#N/A</v>
      </c>
      <c r="IC357" s="220" t="e">
        <f ca="1">Control!$C$153*$HT357</f>
        <v>#N/A</v>
      </c>
      <c r="ID357" s="218" t="e">
        <f t="shared" ca="1" si="1218"/>
        <v>#N/A</v>
      </c>
      <c r="IE357" s="221" t="e">
        <f ca="1">($EB357*Control!$C$159+$EF357*Control!$C$160)/(IF($GZ357&lt;&gt;0,$GZ357,1))</f>
        <v>#N/A</v>
      </c>
      <c r="IF357" s="216" t="e">
        <f t="shared" ca="1" si="1219"/>
        <v>#N/A</v>
      </c>
      <c r="IG357" s="91">
        <f ca="1">IF(OR(Control!$B$198=$AH357,Control!$B$199=$AH357, Control!$B$200=$AH357, Control!$B$201=$AH357, Control!$B$202=$AH357, Control!$B$203=$AH357, Control!$B$204=$AH357, Control!$B$205=$AH357, Control!$B$206=$AH357, Control!$B$207=$AH357), 1, 0)</f>
        <v>0</v>
      </c>
      <c r="IH357" s="91">
        <f ca="1">IF($IG357=0,0, VLOOKUP($AH357,Control!$B$198:$C$207,2))</f>
        <v>0</v>
      </c>
      <c r="II357" s="222">
        <f t="shared" ca="1" si="1336"/>
        <v>0</v>
      </c>
      <c r="IJ357" s="91">
        <f>Control!$C$121</f>
        <v>0.7</v>
      </c>
      <c r="IK357" s="218">
        <f t="shared" ca="1" si="1220"/>
        <v>0</v>
      </c>
      <c r="IL357" s="217" t="e">
        <f t="shared" ca="1" si="1373"/>
        <v>#N/A</v>
      </c>
      <c r="IM357" s="223" t="e">
        <f ca="1">IF(AND(Control!$C$114=1,$KH357&lt;1),$EB357*Control!$C$148*(1-$KH357), 0)</f>
        <v>#N/A</v>
      </c>
      <c r="IN357" s="217" t="e">
        <f t="shared" ca="1" si="1221"/>
        <v>#DIV/0!</v>
      </c>
      <c r="IO357" s="91" t="e">
        <f ca="1">MAX(0,$IL357-$EF357*Control!$C$160)</f>
        <v>#N/A</v>
      </c>
      <c r="IP357" s="220" t="e">
        <f t="shared" ca="1" si="1222"/>
        <v>#N/A</v>
      </c>
      <c r="IQ357" s="217" t="e">
        <f t="shared" ca="1" si="1337"/>
        <v>#N/A</v>
      </c>
      <c r="IR357" s="218" t="e">
        <f t="shared" ca="1" si="1223"/>
        <v>#N/A</v>
      </c>
      <c r="IS357" s="217" t="e">
        <f ca="1">Control!$C$159*MAX(0,$FD357-$EN357)</f>
        <v>#N/A</v>
      </c>
      <c r="IT357" s="217" t="e">
        <f t="shared" ca="1" si="1374"/>
        <v>#N/A</v>
      </c>
      <c r="IU357" s="217" t="e">
        <f t="shared" ca="1" si="1338"/>
        <v>#N/A</v>
      </c>
      <c r="IV357" s="217" t="e">
        <f t="shared" ca="1" si="1375"/>
        <v>#N/A</v>
      </c>
      <c r="IW357" s="217" t="e">
        <f ca="1">IF(OR($AW357=1,AND($AW357=0, Control!$B$18=1,$EN357&lt;&gt;0)), $IQ357-$IU357, $IQ357)</f>
        <v>#N/A</v>
      </c>
      <c r="IX357" s="218" t="e">
        <f t="shared" ca="1" si="1224"/>
        <v>#N/A</v>
      </c>
      <c r="IY357" s="218" t="e">
        <f ca="1">MAX(0,$IQ357-$EB357*Control!$C$159)</f>
        <v>#N/A</v>
      </c>
      <c r="IZ357" s="218" t="e">
        <f t="shared" ca="1" si="1225"/>
        <v>#N/A</v>
      </c>
      <c r="JA357" s="216" t="e">
        <f t="shared" ca="1" si="1226"/>
        <v>#N/A</v>
      </c>
      <c r="JB357" s="217" t="e">
        <f t="shared" ca="1" si="1227"/>
        <v>#N/A</v>
      </c>
      <c r="JC357" s="222" t="e">
        <f ca="1">MAX(Control!$C$157*$EK357-$JT357, 0)/Control!$C$162</f>
        <v>#N/A</v>
      </c>
      <c r="JD357" s="218" t="e">
        <f t="shared" ca="1" si="1228"/>
        <v>#N/A</v>
      </c>
      <c r="JE357" s="218" t="e">
        <f t="shared" ca="1" si="1229"/>
        <v>#N/A</v>
      </c>
      <c r="JF357" s="218" t="e">
        <f t="shared" ca="1" si="1339"/>
        <v>#N/A</v>
      </c>
      <c r="JG357" s="218" t="e">
        <f t="shared" ca="1" si="1230"/>
        <v>#N/A</v>
      </c>
      <c r="JH357" s="217" t="e">
        <f t="shared" ca="1" si="1340"/>
        <v>#N/A</v>
      </c>
      <c r="JI357" s="217" t="e">
        <f t="shared" ca="1" si="1341"/>
        <v>#N/A</v>
      </c>
      <c r="JJ357" s="217" t="e">
        <f t="shared" ca="1" si="1376"/>
        <v>#N/A</v>
      </c>
      <c r="JK357" s="217" t="e">
        <f ca="1">IF(Control!$C$114=1,IF(Control!$B$24=0,MAX(0,$JI357)*$GN357/Control!$C$64,(MAX(0,MIN($JI357,$JJ357*$GN357/Control!$C$64),0))))</f>
        <v>#N/A</v>
      </c>
      <c r="JL357" s="217" t="e">
        <f ca="1">$IK357/Control!$C$64-$JK357+$HQ357</f>
        <v>#N/A</v>
      </c>
      <c r="JM357" s="217" t="e">
        <f ca="1">IF(Control!$C$114=1,($JB357/(IF($JI357&lt;&gt;0,$JI357,1)))*$JK357,0)</f>
        <v>#N/A</v>
      </c>
      <c r="JN357" s="217" t="e">
        <f ca="1">IF(Control!$C$114=1,($JG357/(IF($JI357&lt;&gt;0,$JI357,1)))*$JK357, 0)</f>
        <v>#N/A</v>
      </c>
      <c r="JO357" s="218" t="e">
        <f t="shared" ca="1" si="1231"/>
        <v>#N/A</v>
      </c>
      <c r="JP357" s="218" t="e">
        <f ca="1">MIN(($IY357+$IO357)*Control!$C$151, $JF357-$EH357*Control!$C$161)</f>
        <v>#N/A</v>
      </c>
      <c r="JQ357" s="218" t="e">
        <f t="shared" ca="1" si="1232"/>
        <v>#N/A</v>
      </c>
      <c r="JR357" s="217" t="e">
        <f ca="1">IF($CP357-Control!$C$150&lt;0, 0, $JQ357/Control!$C$162)</f>
        <v>#N/A</v>
      </c>
      <c r="JS357" s="218" t="e">
        <f t="shared" ca="1" si="1233"/>
        <v>#N/A</v>
      </c>
      <c r="JT357" s="218" t="e">
        <f t="shared" ca="1" si="1342"/>
        <v>#N/A</v>
      </c>
      <c r="JU357" s="218" t="e">
        <f t="shared" ca="1" si="1234"/>
        <v>#N/A</v>
      </c>
      <c r="JV357" s="218" t="e">
        <f t="shared" ca="1" si="1235"/>
        <v>#N/A</v>
      </c>
      <c r="JW357" s="216" t="e">
        <f t="shared" ca="1" si="1236"/>
        <v>#N/A</v>
      </c>
      <c r="JX357" s="91" t="e">
        <f t="shared" ca="1" si="1237"/>
        <v>#N/A</v>
      </c>
      <c r="JY357" s="218" t="e">
        <f t="shared" ca="1" si="1238"/>
        <v>#N/A</v>
      </c>
      <c r="JZ357" s="217" t="e">
        <f ca="1">IF(Control!$C$114=1,($IZ357/(IF($JI357&lt;&gt;0,$JI357,1)))*$JK357, 0)</f>
        <v>#N/A</v>
      </c>
      <c r="KA357" s="218" t="e">
        <f t="shared" ca="1" si="1377"/>
        <v>#N/A</v>
      </c>
      <c r="KB357" s="218" t="e">
        <f t="shared" ca="1" si="1343"/>
        <v>#N/A</v>
      </c>
      <c r="KC357" s="218" t="e">
        <f t="shared" ca="1" si="1239"/>
        <v>#N/A</v>
      </c>
      <c r="KD357" s="218" t="e">
        <f t="shared" ca="1" si="1240"/>
        <v>#N/A</v>
      </c>
      <c r="KE357" s="218" t="e">
        <f t="shared" ca="1" si="1241"/>
        <v>#N/A</v>
      </c>
      <c r="KF357" s="218" t="e">
        <f t="shared" ca="1" si="1242"/>
        <v>#N/A</v>
      </c>
      <c r="KG357" s="216" t="e">
        <f t="shared" ca="1" si="1243"/>
        <v>#N/A</v>
      </c>
      <c r="KH357" s="221" t="e">
        <f ca="1">IF(Control!$B$24=0,1,MAX(0.001,MIN(1,IF(($IF357-$IE357)&lt;&gt;0,($KG357-$IE357)/($IF357-$IE357),1))))</f>
        <v>#N/A</v>
      </c>
      <c r="KI357" s="222" t="e">
        <f ca="1">IF(Control!$C$114=1, $KI356+ $KH356, 0)</f>
        <v>#N/A</v>
      </c>
      <c r="KJ357" s="217" t="e">
        <f t="shared" ca="1" si="1244"/>
        <v>#N/A</v>
      </c>
      <c r="KK357" s="218" t="e">
        <f t="shared" ca="1" si="1245"/>
        <v>#N/A</v>
      </c>
      <c r="KL357" s="274" t="e">
        <f ca="1">IF(Control!$B$26=3,4000000000*EXP(-8400/($G357+273)),IF(Control!$B$26=4,4000000000*EXP(-8400/($G357+273))*($KT357),0))</f>
        <v>#DIV/0!</v>
      </c>
      <c r="KM357" s="274" t="e">
        <f ca="1">IF(Control!$B$26=3,5600000000000*EXP(-9800/($G357+273)),IF(Control!$B$26=4,5600000000000*EXP(-9800/($G357+273))*$KT357,0))</f>
        <v>#DIV/0!</v>
      </c>
      <c r="KN357" s="454" t="e">
        <f t="shared" ca="1" si="1344"/>
        <v>#DIV/0!</v>
      </c>
      <c r="KO357" s="274" t="e">
        <f t="shared" ca="1" si="1345"/>
        <v>#DIV/0!</v>
      </c>
      <c r="KP357" s="454" t="e">
        <f t="shared" ca="1" si="1246"/>
        <v>#DIV/0!</v>
      </c>
      <c r="KQ357" s="454" t="e">
        <f t="shared" ca="1" si="1247"/>
        <v>#DIV/0!</v>
      </c>
      <c r="KR357" s="454" t="e">
        <f t="shared" ca="1" si="1248"/>
        <v>#DIV/0!</v>
      </c>
      <c r="KS357" s="454" t="e">
        <f t="shared" ca="1" si="1249"/>
        <v>#DIV/0!</v>
      </c>
      <c r="KT357" s="455" t="e">
        <f t="shared" ca="1" si="1250"/>
        <v>#DIV/0!</v>
      </c>
      <c r="KU357" s="456" t="e">
        <f ca="1">IF($CP357-Control!$C$149&lt;0, IF($NT357-0.01&lt;0,0,1),0)</f>
        <v>#N/A</v>
      </c>
      <c r="KV357" s="456" t="e">
        <f ca="1">IF(Control!$C$114=1,MAX(0,MIN(Control!$C$125*$KW357*$GN357,$KW357)))</f>
        <v>#DIV/0!</v>
      </c>
      <c r="KW357" s="456" t="e">
        <f t="shared" ca="1" si="1378"/>
        <v>#DIV/0!</v>
      </c>
      <c r="KX357" s="457" t="e">
        <f ca="1">IF($CP357-Control!$C$149&lt;0, IF($MR357-$OM357&lt;0,0,1),0)</f>
        <v>#N/A</v>
      </c>
      <c r="KY357" s="167">
        <f t="shared" ca="1" si="1346"/>
        <v>353</v>
      </c>
      <c r="KZ357" s="168">
        <f ca="1">1370*(1+0.033*COS(2*Control!$C$138*$AH357/365))</f>
        <v>1414.2489707748175</v>
      </c>
      <c r="LA357" s="169">
        <f t="shared" ca="1" si="1347"/>
        <v>1.0322984226389083</v>
      </c>
      <c r="LB357" s="169">
        <f t="shared" ca="1" si="1348"/>
        <v>-0.40886415678803323</v>
      </c>
      <c r="LC357" s="169">
        <f ca="1">ACOS(-TAN((2*Control!$B$8/360))*TAN(Calculations!$LB357))</f>
        <v>1.4416651446459186</v>
      </c>
      <c r="LD357" s="169">
        <f ca="1">((24*60)/PI())*0.082*$LA357*(($LC357*SIN(Control!$B$8*2*PI()/360))*SIN($LB357)+COS(Control!$B$8*2*PI()/360)*COS($LB357)*SIN($LC357))</f>
        <v>4.2119527392443183</v>
      </c>
      <c r="LE357" s="170">
        <f t="shared" ca="1" si="1251"/>
        <v>5.9299981014036058</v>
      </c>
      <c r="LF357" s="170">
        <f ca="1">SIN(Control!$C$139*Control!$B$8)*SIN($HD357)</f>
        <v>-0.31340333779296226</v>
      </c>
      <c r="LG357" s="170">
        <f ca="1">COS(Control!$C$139*Control!$B$8)*COS($HD357)</f>
        <v>0.56487371231948014</v>
      </c>
      <c r="LH357" s="170">
        <f ca="1">12*(1+2*ASIN(MAX(-1,MIN(1,$LF357/$LG357))/Control!$C$138))</f>
        <v>7.7391483004279049</v>
      </c>
      <c r="LI357" s="170">
        <f ca="1">12*(1+2*ASIN(MAX(-1,MIN(1,(-SIN(-4*Control!$C$139)+$LF357)/$LG357))/Control!$C$138))</f>
        <v>8.6944519122315338</v>
      </c>
      <c r="LJ357" s="168">
        <f ca="1">3600*($LH357*$LF357+24*$LG357*SQRT(1-$LK357*$LK357)/Control!$C$138)</f>
        <v>4193.0368866768686</v>
      </c>
      <c r="LK357" s="170">
        <f t="shared" ca="1" si="1252"/>
        <v>-0.55482018539341804</v>
      </c>
      <c r="LL357" s="170">
        <f t="shared" ca="1" si="1253"/>
        <v>0</v>
      </c>
      <c r="LM357" s="171">
        <f ca="1">Control!$C$145*$AB357</f>
        <v>6.6660906138995932E-2</v>
      </c>
      <c r="LN357" s="170">
        <f t="shared" ca="1" si="1349"/>
        <v>0.54</v>
      </c>
      <c r="LO357" s="170">
        <f t="shared" ca="1" si="1254"/>
        <v>0</v>
      </c>
      <c r="LP357" s="170">
        <f ca="1">Control!$C$140*((($D357+273.16)^4+($E357+273.16)^4)/2)*(0.34-0.14*SQRT($Y357))*(1.35*$AQ357/(0.75*$LD357)-0.35)</f>
        <v>-3.2464704755046001</v>
      </c>
      <c r="LQ357" s="170">
        <f ca="1">Control!$C$140*($G357+273)^4*(0.56-0.079*SQRT($Y357*10))*(0.1+0.9*$LO357)</f>
        <v>1.5241745131704001</v>
      </c>
      <c r="LR357" s="170">
        <f ca="1">$AQ357*(1-Control!$C$142)-$LQ357</f>
        <v>-1.5241745131704001</v>
      </c>
      <c r="LS357" s="170">
        <f ca="1">$AQ357*(1-Control!$C$143)-$LQ357</f>
        <v>-1.5241745131704001</v>
      </c>
      <c r="LT357" s="170">
        <f ca="1">$AQ357*(1-Control!$C$144)-$LQ357</f>
        <v>-1.5241745131704001</v>
      </c>
      <c r="LU357" s="169">
        <f ca="1">(1-Control!$C$144)*AQ357-LP357</f>
        <v>3.2464704755046001</v>
      </c>
      <c r="LV357" s="172">
        <f t="shared" ca="1" si="1255"/>
        <v>0.79430000000000012</v>
      </c>
      <c r="LW357" s="170">
        <f t="shared" ca="1" si="1256"/>
        <v>1.5886000000000002</v>
      </c>
      <c r="LX357" s="170">
        <f ca="1">($AC357*($LR357/Control!$C$141)+$LM357*$LV357)/($AC357+$LM357)</f>
        <v>0.23530094218323697</v>
      </c>
      <c r="LY357" s="170">
        <f ca="1">($AC357*($LS357/Control!$C$141)+$LM357*$LV357)/($AC357+$LM357)</f>
        <v>0.23530094218323697</v>
      </c>
      <c r="LZ357" s="170">
        <f t="shared" ca="1" si="1257"/>
        <v>0.23530094218323697</v>
      </c>
      <c r="MA357" s="170">
        <f t="shared" ca="1" si="1258"/>
        <v>0.23530094218323697</v>
      </c>
      <c r="MB357" s="170" t="e">
        <f t="shared" ca="1" si="1259"/>
        <v>#N/A</v>
      </c>
      <c r="MC357" s="170">
        <f t="shared" ca="1" si="1350"/>
        <v>0.6018</v>
      </c>
      <c r="MD357" s="170">
        <f t="shared" ca="1" si="1260"/>
        <v>0.52989392535414004</v>
      </c>
      <c r="ME357" s="170">
        <f ca="1">($AC357*($LT357/Control!$C$141)+$LM357*$LW357)/($AC357+$LM357)</f>
        <v>0.71612369323045078</v>
      </c>
      <c r="MF357" s="170" t="e">
        <f ca="1">IF(Control!$B$16&gt;=1000,0.92,IF(AND(720&lt;=Control!$B$16,1000&gt;Control!$B$16),(0.95+(Control!$B$16-720)*((0.92-0.95)/(1000-720))),IF(AND(360&lt;=Control!$B$16,720&gt;Control!$B$16),(1+(Control!$B$16-360)*((0.95-1)/(720-360))),IF(AND(40&lt;=Control!$B$16,360&gt;Control!$B$16),(1.05+(Control!$B$16-40)*((1.05-1)/(360-40)))))))</f>
        <v>#N/A</v>
      </c>
      <c r="MG357" s="170">
        <f t="shared" ca="1" si="1261"/>
        <v>0.71612369323045078</v>
      </c>
      <c r="MH357" s="170" t="e">
        <f t="shared" ca="1" si="1387"/>
        <v>#N/A</v>
      </c>
      <c r="MI357" s="170" t="e">
        <f t="shared" ca="1" si="1387"/>
        <v>#N/A</v>
      </c>
      <c r="MJ357" s="170" t="e">
        <f ca="1">MAX(0.0001, Control!$C$132*$MI357*$DL357)</f>
        <v>#N/A</v>
      </c>
      <c r="MK357" s="170">
        <f ca="1">1/(0.76+1.5*($MG357/10))-(5-Control!$C$110)*0.1</f>
        <v>1.002845988140797</v>
      </c>
      <c r="ML357" s="173">
        <f ca="1">IF(Control!$C$110&lt;3,$MK357+($MG357-0.6)/(Control!$C$110*(Control!$C$110+3)), MAX(0.1, MIN(0.95,$MK357)))</f>
        <v>0.95</v>
      </c>
      <c r="MM357" s="173">
        <f ca="1">IF(Control!$C$110&lt;3,$MK357+(($MI357/10)-0.6)/(Control!$C$110*(Control!$C$110+3)), MAX(0.1, MIN(0.95,$MK357)))</f>
        <v>0.95</v>
      </c>
      <c r="MN357" s="173">
        <f ca="1">(1-$MM357)*(Control!$C$128-Control!$C$127)+Control!$C$127</f>
        <v>0.16</v>
      </c>
      <c r="MO357" s="170" t="e">
        <f ca="1">MAX(0,MIN(1,($MS357-Control!$C$127)/($MN357-Control!$C$127)))</f>
        <v>#DIV/0!</v>
      </c>
      <c r="MP357" s="173" t="e">
        <f ca="1">1/(0.76+1.5*$MI357)-(5-Control!$C$110)*0.1</f>
        <v>#N/A</v>
      </c>
      <c r="MQ357" s="172" t="e">
        <f t="shared" ca="1" si="1379"/>
        <v>#DIV/0!</v>
      </c>
      <c r="MR357" s="168" t="e">
        <f t="shared" ca="1" si="1351"/>
        <v>#DIV/0!</v>
      </c>
      <c r="MS357" s="173" t="e">
        <f ca="1">MAX(Control!$C$127, MIN(Control!$C$135, $MR357/MAX(0.0001,$CY357)))</f>
        <v>#DIV/0!</v>
      </c>
      <c r="MT357" s="168" t="e">
        <f ca="1">(Control!$C$128-$MS357)*Control!$C$74</f>
        <v>#DIV/0!</v>
      </c>
      <c r="MU357" s="168" t="e">
        <f ca="1">(Control!$C$135-$MS357)*Control!$C$74</f>
        <v>#DIV/0!</v>
      </c>
      <c r="MV357" s="168" t="e">
        <f t="shared" ca="1" si="1352"/>
        <v>#DIV/0!</v>
      </c>
      <c r="MW357" s="168" t="e">
        <f t="shared" ca="1" si="1353"/>
        <v>#DIV/0!</v>
      </c>
      <c r="MX357" s="171" t="e">
        <f ca="1">MAX(Control!$C$127, MIN(Control!$C$135, $MW357/MAX(0.0001,Control!$C$119-$CY357)))</f>
        <v>#DIV/0!</v>
      </c>
      <c r="MY357" s="54" t="e">
        <f ca="1">IF(Control!$C$114=1, $CX357*$MX357, 0)</f>
        <v>#DIV/0!</v>
      </c>
      <c r="MZ357" s="54" t="e">
        <f t="shared" ca="1" si="1354"/>
        <v>#N/A</v>
      </c>
      <c r="NA357" s="168" t="e">
        <f ca="1">(Control!$C$128-$MX357)*(Control!$C$119-Control!$C$74)</f>
        <v>#DIV/0!</v>
      </c>
      <c r="NB357" s="168" t="e">
        <f ca="1">(Control!$C$135-$MX357)*(Control!$C$119-Control!$C$74)</f>
        <v>#DIV/0!</v>
      </c>
      <c r="NC357" s="174" t="e">
        <f t="shared" ca="1" si="1355"/>
        <v>#DIV/0!</v>
      </c>
      <c r="ND357" s="54">
        <f ca="1">IF(Control!$C$58=2, IF(OR(Control!$B$218=$AH357,Control!$B$219=$AH357, Control!$B$220=$AH357, Control!$B$221=$AH357, Control!$B$222=$AH357, Control!$B$223=$AH357, Control!$B$224=$AH357, Control!$B$225=$AH357, Control!$B$226=$AH357, Control!$B$227=$AH357, Control!$B$228=$AH357), 1, 0), 0)</f>
        <v>0</v>
      </c>
      <c r="NE357" s="54">
        <f ca="1">IF($ND357=0,0, VLOOKUP($AH357,Control!$B$218:$C$228,2))</f>
        <v>0</v>
      </c>
      <c r="NF357" s="168" t="e">
        <f ca="1">$CY357*(Control!$C$128-Control!$C$127)</f>
        <v>#N/A</v>
      </c>
      <c r="NG357" s="54" t="e">
        <f ca="1">IF(Control!$C$58=2, $NI356-$NJ356, 0)</f>
        <v>#DIV/0!</v>
      </c>
      <c r="NH357" s="54" t="e">
        <f ca="1">IF(AND(Control!$C$58=1, $MS356&lt;= ($MN356+0.02), $I356&lt;10), 0, IF(Control!$C$58=2, $NG356, 0))</f>
        <v>#DIV/0!</v>
      </c>
      <c r="NI357" s="54" t="e">
        <f ca="1">IF(Control!$C$58=2, $NE357+$NH357,0)</f>
        <v>#DIV/0!</v>
      </c>
      <c r="NJ357" s="54" t="e">
        <f ca="1">IF(AND(Control!$C$58=1, $MS357&lt;= ($MN357+0.02), $I357&lt;10), MAX(0, MIN(10, 0.7*($NF357-$MV357))), IF(Control!$C$58=2, MIN(10,$NI357),0))</f>
        <v>#DIV/0!</v>
      </c>
      <c r="NK357" s="54" t="e">
        <f t="shared" ca="1" si="1263"/>
        <v>#DIV/0!</v>
      </c>
      <c r="NL357" s="173" t="e">
        <f ca="1">(1-Control!$C$73)*$I357+$NJ357</f>
        <v>#DIV/0!</v>
      </c>
      <c r="NM357" s="172" t="e">
        <f ca="1">IF($NL357&lt;0.5, $MB357* MAX(0, MIN(1, (SQRT($NC357)-SQRT($NC357-1))*Control!$C$71)),0)</f>
        <v>#DIV/0!</v>
      </c>
      <c r="NN357" s="170" t="e">
        <f ca="1">IF($NL357&gt;=5, $MB357, MAX(0,MIN($MB357, $NM357+$NL357,($MS357-Control!$C$129))))</f>
        <v>#DIV/0!</v>
      </c>
      <c r="NO357" s="54">
        <f>IF(Control!$C$133&lt;&gt;1, Control!$C$135-Control!$C$131, 0)</f>
        <v>0.38</v>
      </c>
      <c r="NP357" s="54" t="e">
        <f t="shared" ca="1" si="1264"/>
        <v>#DIV/0!</v>
      </c>
      <c r="NQ357" s="173" t="e">
        <f ca="1">MAX(0,MIN(1,(Control!$C$135-$MS357)/(Control!$C$135-$NO357)))</f>
        <v>#DIV/0!</v>
      </c>
      <c r="NR357" s="170" t="e">
        <f ca="1">IF(Control!$C$133&lt;&gt;1, $NQ357+((1-$NP357/4)*(1-$NQ357)),1)</f>
        <v>#DIV/0!</v>
      </c>
      <c r="NS357" s="170" t="e">
        <f ca="1">IF(Control!$B$31=0,$MJ357,MAX(0,MIN($MV357,$MO357*$NR357*$MJ357)))</f>
        <v>#DIV/0!</v>
      </c>
      <c r="NT357" s="170" t="e">
        <f t="shared" ca="1" si="1380"/>
        <v>#DIV/0!</v>
      </c>
      <c r="NU357" s="170" t="e">
        <f t="shared" ca="1" si="1356"/>
        <v>#N/A</v>
      </c>
      <c r="NV357" s="170" t="e">
        <f t="shared" ca="1" si="1265"/>
        <v>#N/A</v>
      </c>
      <c r="NW357" s="175" t="e">
        <f t="shared" ca="1" si="1266"/>
        <v>#DIV/0!</v>
      </c>
      <c r="NX357" s="170" t="e">
        <f ca="1">MIN(Control!$C$72+$MU357, $NW357)</f>
        <v>#DIV/0!</v>
      </c>
      <c r="NY357" s="170" t="e">
        <f ca="1">IF($MT357&lt;=$NX357,MIN(Control!$C$72+$NB357,$NX357-$MT357),0)</f>
        <v>#DIV/0!</v>
      </c>
      <c r="NZ357" s="54" t="e">
        <f ca="1">IF(Control!$C$114=1,  $CX357*($MX357-Control!$C$127), 0)</f>
        <v>#DIV/0!</v>
      </c>
      <c r="OA357" s="170" t="e">
        <f t="shared" ca="1" si="1267"/>
        <v>#DIV/0!</v>
      </c>
      <c r="OB357" s="170" t="e">
        <f ca="1">IF($NA357 &lt;=$NY357, MIN(Control!$C$72, $NY357-$NA357), 0)</f>
        <v>#DIV/0!</v>
      </c>
      <c r="OC357" s="168" t="e">
        <f t="shared" ca="1" si="1268"/>
        <v>#DIV/0!</v>
      </c>
      <c r="OD357" s="168" t="e">
        <f t="shared" ca="1" si="1357"/>
        <v>#DIV/0!</v>
      </c>
      <c r="OE357" s="170">
        <f ca="1">Control!$C$73*$I357</f>
        <v>0</v>
      </c>
      <c r="OF357" s="176" t="e">
        <f t="shared" ca="1" si="1269"/>
        <v>#DIV/0!</v>
      </c>
      <c r="OG357" s="168" t="e">
        <f t="shared" ca="1" si="1270"/>
        <v>#DIV/0!</v>
      </c>
      <c r="OH357" s="168" t="e">
        <f t="shared" ca="1" si="1271"/>
        <v>#DIV/0!</v>
      </c>
      <c r="OI357" s="168" t="e">
        <f t="shared" ca="1" si="1272"/>
        <v>#DIV/0!</v>
      </c>
      <c r="OJ357" s="168" t="e">
        <f t="shared" ca="1" si="1273"/>
        <v>#DIV/0!</v>
      </c>
      <c r="OK357" s="204" t="e">
        <f t="shared" ca="1" si="1274"/>
        <v>#DIV/0!</v>
      </c>
      <c r="OL357" s="177">
        <f>Control!$C$127</f>
        <v>0.15</v>
      </c>
      <c r="OM357" s="182" t="e">
        <f t="shared" ca="1" si="1275"/>
        <v>#N/A</v>
      </c>
      <c r="ON357" s="177">
        <f>Control!$C$128</f>
        <v>0.35</v>
      </c>
      <c r="OO357" s="182" t="e">
        <f t="shared" ca="1" si="1276"/>
        <v>#N/A</v>
      </c>
      <c r="OP357" s="138">
        <f t="shared" ca="1" si="1358"/>
        <v>0</v>
      </c>
      <c r="OQ357" s="138" t="e">
        <f t="shared" ca="1" si="1381"/>
        <v>#DIV/0!</v>
      </c>
      <c r="OR357" s="138" t="e">
        <f t="shared" ca="1" si="1359"/>
        <v>#DIV/0!</v>
      </c>
      <c r="OS357" s="137" t="e">
        <f t="shared" ca="1" si="1382"/>
        <v>#DIV/0!</v>
      </c>
      <c r="OT357" s="139" t="e">
        <f t="shared" ca="1" si="1383"/>
        <v>#DIV/0!</v>
      </c>
      <c r="OU357" s="138" t="e">
        <f t="shared" ca="1" si="1384"/>
        <v>#N/A</v>
      </c>
      <c r="OV357" s="138" t="e">
        <f t="shared" ca="1" si="1385"/>
        <v>#DIV/0!</v>
      </c>
      <c r="OW357" s="138" t="e">
        <f t="shared" ca="1" si="1360"/>
        <v>#DIV/0!</v>
      </c>
      <c r="OX357" s="138" t="e">
        <f t="shared" ca="1" si="1361"/>
        <v>#DIV/0!</v>
      </c>
      <c r="OY357" s="138" t="e">
        <f t="shared" ca="1" si="1362"/>
        <v>#DIV/0!</v>
      </c>
      <c r="OZ357" s="138" t="e">
        <f t="shared" ca="1" si="1277"/>
        <v>#DIV/0!</v>
      </c>
      <c r="PA357" s="138" t="e">
        <f t="shared" ca="1" si="1278"/>
        <v>#DIV/0!</v>
      </c>
      <c r="PB357" s="55">
        <f>IF(Control!$C$61="T", IF(Control!$C$65="F", IF($AH$6-Control!$C$60&lt;0,0,1), IF(365+$AH$6-Control!$C$60&lt;0,0,1)),0)</f>
        <v>0</v>
      </c>
      <c r="PC357" s="55">
        <f ca="1">IF(Control!$C$65="F", IF($AH$6-$HF357&lt;0,0,1), IF(365+$AH$6-$HF357&lt;0,0,1))</f>
        <v>1</v>
      </c>
      <c r="PD357" s="444">
        <f>Control!$C$118</f>
        <v>1500</v>
      </c>
      <c r="PE357" s="180" t="e">
        <f t="shared" ca="1" si="1279"/>
        <v>#N/A</v>
      </c>
      <c r="PF357" s="445">
        <f t="shared" ca="1" si="1363"/>
        <v>0.71612369323045078</v>
      </c>
      <c r="PT357" s="186"/>
      <c r="PU357" s="186"/>
      <c r="PV357" s="94"/>
      <c r="PW357" s="94"/>
      <c r="PX357" s="94"/>
      <c r="PY357" s="94"/>
      <c r="PZ357" s="94"/>
      <c r="QA357" s="94"/>
      <c r="QB357" s="94"/>
      <c r="QC357" s="94"/>
      <c r="QD357" s="94"/>
      <c r="QE357" s="94"/>
      <c r="QF357" s="94"/>
      <c r="QG357" s="94"/>
      <c r="QH357" s="94"/>
      <c r="QI357" s="94"/>
      <c r="QJ357" s="94"/>
      <c r="QK357" s="94"/>
      <c r="QL357" s="94"/>
      <c r="QM357" s="94"/>
      <c r="QN357" s="94"/>
      <c r="QO357" s="94"/>
      <c r="QP357" s="94"/>
    </row>
    <row r="358" spans="1:458" s="2" customFormat="1" x14ac:dyDescent="0.2">
      <c r="A358" s="395">
        <v>19</v>
      </c>
      <c r="B358" s="396">
        <v>12</v>
      </c>
      <c r="C358" s="387">
        <f ca="1">Weather_data!$B357</f>
        <v>0</v>
      </c>
      <c r="D358" s="388">
        <f ca="1">Weather_data!$F357</f>
        <v>0</v>
      </c>
      <c r="E358" s="388">
        <f ca="1">Weather_data!$E357</f>
        <v>0</v>
      </c>
      <c r="F358" s="388">
        <f t="shared" ca="1" si="1280"/>
        <v>0</v>
      </c>
      <c r="G358" s="388">
        <f ca="1">AVERAGE($D358:$E358)+Control!$B$9</f>
        <v>0</v>
      </c>
      <c r="H358" s="388">
        <f ca="1">Weather_data!$G357</f>
        <v>0</v>
      </c>
      <c r="I358" s="388">
        <f ca="1">Weather_data!$I357</f>
        <v>0</v>
      </c>
      <c r="J358" s="388">
        <f ca="1">Weather_data!$H357</f>
        <v>0</v>
      </c>
      <c r="K358" s="389">
        <f ca="1">Weather_data!$D357</f>
        <v>0</v>
      </c>
      <c r="L358" s="388" t="e">
        <f t="shared" ca="1" si="1281"/>
        <v>#N/A</v>
      </c>
      <c r="M358" s="388" t="e">
        <f t="shared" ca="1" si="1158"/>
        <v>#N/A</v>
      </c>
      <c r="N358" s="388">
        <f t="shared" ca="1" si="1159"/>
        <v>-3.9114098669396606E-17</v>
      </c>
      <c r="O358" s="388">
        <f t="shared" ca="1" si="1282"/>
        <v>3.9114098669396604E-16</v>
      </c>
      <c r="P358" s="390">
        <v>3</v>
      </c>
      <c r="Q358" s="388">
        <f ca="1">MAX($G358-Control!$C$107,0)</f>
        <v>0</v>
      </c>
      <c r="R358" s="388">
        <f t="shared" ca="1" si="1283"/>
        <v>0</v>
      </c>
      <c r="S358" s="388">
        <f t="shared" ca="1" si="1160"/>
        <v>0</v>
      </c>
      <c r="T358" s="388">
        <f t="shared" ca="1" si="1161"/>
        <v>0</v>
      </c>
      <c r="U358" s="59">
        <f t="shared" ca="1" si="1162"/>
        <v>0</v>
      </c>
      <c r="V358" s="391">
        <f ca="1">MAX(0,MIN(Control!$C$100-Control!$C$99,$G358-Control!$C$99)*Control!$C$63)</f>
        <v>0</v>
      </c>
      <c r="W358" s="388">
        <f t="shared" ca="1" si="1284"/>
        <v>0</v>
      </c>
      <c r="X358" s="388">
        <f t="shared" ca="1" si="1285"/>
        <v>0.6110000000000001</v>
      </c>
      <c r="Y358" s="388">
        <f t="shared" ca="1" si="1163"/>
        <v>0</v>
      </c>
      <c r="Z358" s="388">
        <f t="shared" ca="1" si="1286"/>
        <v>0.61058800000000002</v>
      </c>
      <c r="AA358" s="388">
        <f t="shared" ca="1" si="1164"/>
        <v>0.6018</v>
      </c>
      <c r="AB358" s="388">
        <f ca="1">101.3*EXP(-0.034*Control!$C$66/($G358+273))</f>
        <v>100.69623283836242</v>
      </c>
      <c r="AC358" s="392">
        <f t="shared" ca="1" si="1165"/>
        <v>4.3460251046025113E-2</v>
      </c>
      <c r="AD358" s="392">
        <f t="shared" ca="1" si="1166"/>
        <v>4.4450382862832649E-2</v>
      </c>
      <c r="AE358" s="388">
        <f t="shared" ca="1" si="1167"/>
        <v>0</v>
      </c>
      <c r="AF358" s="388">
        <f ca="1">MAX(0,$G358-Control!$C$92)</f>
        <v>0</v>
      </c>
      <c r="AG358" s="393">
        <f t="shared" ca="1" si="1168"/>
        <v>354</v>
      </c>
      <c r="AH358" s="389">
        <f t="shared" ca="1" si="1169"/>
        <v>354</v>
      </c>
      <c r="AI358" s="388">
        <f t="shared" ca="1" si="1287"/>
        <v>-0.40921650828706646</v>
      </c>
      <c r="AJ358" s="388">
        <f ca="1">IF(Control!$C$60&lt;=0,$HH358,$HI358)</f>
        <v>1</v>
      </c>
      <c r="AK358" s="388">
        <f t="shared" ca="1" si="1170"/>
        <v>4.7166925319649495</v>
      </c>
      <c r="AL358" s="388">
        <f t="shared" ca="1" si="1171"/>
        <v>1.0819473789114297E-17</v>
      </c>
      <c r="AM358" s="388">
        <f t="shared" ca="1" si="1172"/>
        <v>4.7166925319649495</v>
      </c>
      <c r="AN358" s="388">
        <f t="shared" ca="1" si="1173"/>
        <v>-0.40911368792423147</v>
      </c>
      <c r="AO358" s="388">
        <f ca="1">-0.10453/COS(Control!$B$8*PI()/180)*COS(AN358)</f>
        <v>-0.15577315689521568</v>
      </c>
      <c r="AP358" s="388">
        <f ca="1">ACOS(AO358-TAN(Control!$B$8*PI()/180)*TAN(AN358))</f>
        <v>1.1601726803820165</v>
      </c>
      <c r="AQ358" s="388">
        <f t="shared" ca="1" si="1288"/>
        <v>0</v>
      </c>
      <c r="AR358" s="394">
        <f t="shared" ca="1" si="1174"/>
        <v>0</v>
      </c>
      <c r="AS358" s="436">
        <f ca="1">IF(Control!$B$18=2,(IF(OR($AH358=Control!$B$175,$AH358=Control!$B$176,$AH358=Control!$B$177,$AH358=Control!$B$178,$AH358=Control!$B$179,$AH358=Control!$B$180,$AH358=Control!$B$181,$AH358=Control!$B$182,$AH358=Control!$B$183,$AH358=Control!$B$184,$AH358=Control!$B$185),1,0)),0)</f>
        <v>0</v>
      </c>
      <c r="AT358" s="436">
        <f>IF(Control!$B$20=8,IF(AND($AH358&gt;=Control!$B$172,$AH358&lt;=Control!$B$173),1,0),0)</f>
        <v>0</v>
      </c>
      <c r="AU358" s="436">
        <f>IF(Control!$B$20=8,IF($AV357=1,1*$AT358,IF($AT358=1,$AU357+1,$AU357)),0)</f>
        <v>0</v>
      </c>
      <c r="AV358" s="436">
        <f>IF(Control!$B$20=8,IF($AU358&gt;=Control!$B$174,1,0),0)</f>
        <v>0</v>
      </c>
      <c r="AW358" s="436">
        <f ca="1">IF(AND(Control!$B$18=2,Control!$B$171=1), $AV358, $AS358)</f>
        <v>0</v>
      </c>
      <c r="AX358" s="436" t="e">
        <f ca="1">IF(AND(Control!$B$18=1,$EU358&gt;=Control!$B$19),-$AY358,IF(AND(Control!$B$18=2,$AW358=1,$EU358&gt;$DS358),-$AY358, IF(Control!$C$108=0,0, IF(Control!$C$108&lt;&gt;0,1))))</f>
        <v>#N/A</v>
      </c>
      <c r="AY358" s="436" t="e">
        <f t="shared" ca="1" si="1289"/>
        <v>#N/A</v>
      </c>
      <c r="AZ358" s="436" t="e">
        <f ca="1">IF(AND(Control!$B$18=1,$EB358&gt;Control!$B$19),$AZ357+1, IF(AND(Control!$B$18=2, $AW358=1, $EB358&gt;$DS358), $AZ357+1,$AZ357))</f>
        <v>#N/A</v>
      </c>
      <c r="BA358" s="587">
        <f>IF(Control!$C$81=0,1,IF($AH358&gt;=Control!$C$82,1,0))</f>
        <v>1</v>
      </c>
      <c r="BB358" s="140" t="e">
        <f ca="1">IF($BA358&gt;$BA357,Control!$C$83,IF($AW358&gt;0,$AW358*Control!$C$84,IF(AND(Control!$B$18=1,EN357&lt;&gt;0),Control!$C$84,0)))</f>
        <v>#N/A</v>
      </c>
      <c r="BC358" s="140" t="e">
        <f t="shared" ca="1" si="1290"/>
        <v>#N/A</v>
      </c>
      <c r="BD358" s="140" t="e">
        <f ca="1">BC358*IF(OR($G358&lt;Control!$C$92,$G358&gt;Control!$C$95),0,IF(AND($G358&gt;=Control!$C$92,$G358&lt;=Control!$C$93),$G358-Control!$C$92,IF(AND($G358&gt;Control!$C$93,$G358&lt;=Control!$C$94),Control!$C$93-Control!$C$92,IF(AND($G358&gt;Control!$C$94,$G358&lt;=Control!$C$95),(Control!$C$93-Control!$C$92)*(Control!$C$94-$G358)/(Control!$C$95-Control!$C$94)))))</f>
        <v>#N/A</v>
      </c>
      <c r="BE358" s="140" t="e">
        <f t="shared" ca="1" si="1291"/>
        <v>#N/A</v>
      </c>
      <c r="BF358" s="140" t="e">
        <f ca="1">IF($BE358&lt;=Control!$C$86,$BE358,Control!$C$86-$BE358)</f>
        <v>#N/A</v>
      </c>
      <c r="BG358" s="140" t="e">
        <f ca="1">IF(AND($AW358=1,Control!$C$84&lt;9),1,IF($BE358&gt;=Control!$C$86,0,$BC358))</f>
        <v>#N/A</v>
      </c>
      <c r="BH358" s="404" t="e">
        <f ca="1">IF($BG358=0,0,IF($BE358&lt;=Control!$C$86,$BC358*9*($BF358/Control!$C$86),0))</f>
        <v>#N/A</v>
      </c>
      <c r="BI358" s="140" t="e">
        <f ca="1">IF($BG358=1,0,IF($BE358&gt;=Control!$C$86,1,IF(AND($BB358&lt;21,$BB358&gt;=9),1,$BM357)))</f>
        <v>#N/A</v>
      </c>
      <c r="BJ358" s="140" t="e">
        <f ca="1">IF($BF358&lt;0,-$BF358,$BI358*IF(OR($G358&lt;Control!$C$92,$G358&gt;Control!$C$95),0,IF(AND($G358&gt;=Control!$C$92,$G358&lt;=Control!$C$93),$G358-Control!$C$92,IF(AND($G358&gt;Control!$C$93,$G358&lt;=Control!$C$94),Control!$C$93-Control!$C$92,IF(AND($G358&gt;Control!$C$94,$G358&lt;=Control!$C$95),(Control!$C$93-Control!$C$92)*(Control!$C$94-$G358)/(Control!$C$95-Control!$C$94))))))</f>
        <v>#N/A</v>
      </c>
      <c r="BK358" s="140" t="e">
        <f t="shared" ca="1" si="1292"/>
        <v>#N/A</v>
      </c>
      <c r="BL358" s="140" t="e">
        <f ca="1">IF($BK358&lt;=Control!$C$87,$BK358,Control!$C$87-$BK358)</f>
        <v>#N/A</v>
      </c>
      <c r="BM358" s="140" t="e">
        <f ca="1">IF(AND($BB358&gt;=9,$BB358&lt;21),1,IF($BK358&gt;=Control!$C$87,0,$BI358))</f>
        <v>#N/A</v>
      </c>
      <c r="BN358" s="404" t="e">
        <f ca="1">IF($BM358=0,0,IF($BK358&lt;=Control!$C$87,$BI358*(9+(21-9)*($BL358/Control!$C$87)),0))</f>
        <v>#N/A</v>
      </c>
      <c r="BO358" s="140" t="e">
        <f ca="1">IF($BM358=1,0,IF($BK358&gt;=Control!$C$87,1,IF(AND($BB358&lt;30,$BB358&gt;=21),1,$BS357)))</f>
        <v>#N/A</v>
      </c>
      <c r="BP358" s="140" t="e">
        <f ca="1">IF($BL358&lt;0,-$BL358,$BO358*IF(OR($G358&lt;Control!$C$92,$G358&gt;Control!$C$95),0,IF(AND($G358&gt;=Control!$C$92,$G358&lt;=Control!$C$93),$G358-Control!$C$92,IF(AND($G358&gt;Control!$C$93,$G358&lt;=Control!$C$94),Control!$C$93-Control!$C$92,IF(AND($G358&gt;Control!$C$94,$G358&lt;=Control!$C$95),(Control!$C$93-Control!$C$92)*(Control!$C$94-$G358)/(Control!$C$95-Control!$C$94))))))</f>
        <v>#N/A</v>
      </c>
      <c r="BQ358" s="140" t="e">
        <f t="shared" ca="1" si="1175"/>
        <v>#N/A</v>
      </c>
      <c r="BR358" s="140" t="e">
        <f ca="1">IF($BQ358&lt;=Control!$C$88,$BQ358,Control!$C$88-$BQ358)</f>
        <v>#N/A</v>
      </c>
      <c r="BS358" s="140" t="e">
        <f ca="1">IF(AND($BB358&gt;=21,$BB358&lt;30),1,IF($BQ358&gt;=Control!$C$88,0,$BO358))</f>
        <v>#N/A</v>
      </c>
      <c r="BT358" s="404" t="e">
        <f ca="1">IF($BS358=0,0,IF($BQ358&lt;=Control!$C$88,$BO358*(21+(30-21)*(BR358/Control!$C$88)),0))</f>
        <v>#N/A</v>
      </c>
      <c r="BU358" s="140" t="e">
        <f ca="1">IF(BG358+BM358+BS358=1,0,IF(OR(AND($BB358&lt;60,$BB358&gt;=30),$BQ358&gt;=Control!$C$88),1*$BA358,$BY357))</f>
        <v>#N/A</v>
      </c>
      <c r="BV358" s="140" t="e">
        <f ca="1">IF($BR358&lt;0,-$BR358,$BU358*IF(OR($G358&lt;Control!$C$92,$G358&gt;Control!$C$95),0,IF(AND($G358&gt;=Control!$C$92,$G358&lt;=Control!$C$93),$G358-Control!$C$92,IF(AND($G358&gt;Control!$C$93,$G358&lt;=Control!$C$94),Control!$C$93-Control!$C$92,IF(AND($G358&gt;Control!$C$94,$G358&lt;=Control!$C$95),(Control!$C$93-Control!$C$92)*(Control!$C$94-$G358)/(Control!$C$95-Control!$C$94))))))</f>
        <v>#N/A</v>
      </c>
      <c r="BW358" s="140" t="e">
        <f t="shared" ca="1" si="1176"/>
        <v>#N/A</v>
      </c>
      <c r="BX358" s="140" t="e">
        <f ca="1">IF($BW358&lt;=Control!$C$89,$BW358,Control!$C$89-$BW358)</f>
        <v>#N/A</v>
      </c>
      <c r="BY358" s="140" t="e">
        <f ca="1">IF(AND($AJ358&gt;=30,$AJ358&lt;60),1,IF($BW358&gt;=Control!$C$89,0,$BU358))</f>
        <v>#N/A</v>
      </c>
      <c r="BZ358" s="404" t="e">
        <f ca="1">IF($BY358=0,0,IF($BW358&lt;=Control!$C$89,$BU358*(30+(60-30)*(BX358/Control!$C$89)),0))</f>
        <v>#N/A</v>
      </c>
      <c r="CA358" s="140" t="e">
        <f ca="1">IF($BG358+$BM358+$BS358+$BY358=1,0,IF(OR(AND($BB358&lt;65,$BB358&gt;=60),$BW358&gt;=Control!$C$89),1*$BA358,$CE357))</f>
        <v>#N/A</v>
      </c>
      <c r="CB358" s="140" t="e">
        <f ca="1">IF($BX358&lt;0,-$BX358,$CA358*IF(OR($G358&lt;Control!$C$92,$G358&gt;Control!$C$95),0,IF(AND($G358&gt;=Control!$C$92,$G358&lt;=Control!$C$93),$G358-Control!$C$92,IF(AND($G358&gt;Control!$C$93,$G358&lt;=Control!$C$94),Control!$C$93-Control!$C$92,IF(AND($G358&gt;Control!$C$94,$G358&lt;=Control!$C$95),(Control!$C$93-Control!$C$92)*(Control!$C$94-$G358)/(Control!$C$95-Control!$C$94))))))</f>
        <v>#N/A</v>
      </c>
      <c r="CC358" s="140" t="e">
        <f t="shared" ca="1" si="1293"/>
        <v>#N/A</v>
      </c>
      <c r="CD358" s="140" t="e">
        <f ca="1">IF($CC358&lt;=Control!$C$90,$CC358,Control!$C$90-$CC358)</f>
        <v>#N/A</v>
      </c>
      <c r="CE358" s="140" t="e">
        <f ca="1">IF(AND($BB358&gt;=60,$BB358&lt;65),1,IF($CC358&gt;=Control!$C$90,0,$CA358))</f>
        <v>#N/A</v>
      </c>
      <c r="CF358" s="404" t="e">
        <f ca="1">IF($CE358=0,0,IF($CC358&lt;=Control!$C$90,$CA358*(60+(65-60)*(CD358/Control!$C$90)),0))</f>
        <v>#N/A</v>
      </c>
      <c r="CG358" s="140" t="e">
        <f ca="1">IF($BG358+$BM358+$BS358+$BY358+$CE358=1,0,IF(OR(AND($BB358&lt;90,$BB358&gt;=65),$CC358&gt;=Control!$C$90),$BA358,$CK357))</f>
        <v>#N/A</v>
      </c>
      <c r="CH358" s="140" t="e">
        <f ca="1">IF($CD358&lt;0,-$CD358,$CG358*IF(OR($G358&lt;Control!$C$92,$G358&gt;Control!$C$95),0,IF(AND($G358&gt;=Control!$C$92,$G358&lt;=Control!$C$93),$G358-Control!$C$92,IF(AND($G358&gt;Control!$C$93,$G358&lt;=Control!$C$94),Control!$C$93-Control!$C$92,IF(AND($G358&gt;Control!$C$94,$G358&lt;=Control!$C$95),(Control!$C$93-Control!$C$92)*(Control!$C$94-$G358)/(Control!$C$95-Control!$C$94))))))</f>
        <v>#N/A</v>
      </c>
      <c r="CI358" s="140" t="e">
        <f t="shared" ca="1" si="1294"/>
        <v>#N/A</v>
      </c>
      <c r="CJ358" s="140" t="e">
        <f ca="1">IF($CI358&lt;=Control!$C$91,$CI358,Control!$C$91-$CI358)</f>
        <v>#N/A</v>
      </c>
      <c r="CK358" s="140" t="e">
        <f ca="1">IF(AND($BB358&gt;=65,$BB358&lt;90),1,IF($CI358&gt;=Control!$C$91,0,$CG358))</f>
        <v>#N/A</v>
      </c>
      <c r="CL358" s="404" t="e">
        <f ca="1">IF($CK358=0,0,IF($CI358&lt;=Control!$C$91,$CG358*(65+(90-65)*($CJ358/Control!$C$91)),0))</f>
        <v>#N/A</v>
      </c>
      <c r="CM358" s="140" t="e">
        <f ca="1">IF($BG358+$BM358+$BS358+$BY358+$CE358+$CK358=1,0,IF(OR($BB358&gt;=90,$CI358&gt;=Control!$C$91),$BA358,$CM357))</f>
        <v>#N/A</v>
      </c>
      <c r="CN358" s="140" t="e">
        <f t="shared" ca="1" si="1295"/>
        <v>#N/A</v>
      </c>
      <c r="CO358" s="140" t="e">
        <f t="shared" ca="1" si="1296"/>
        <v>#N/A</v>
      </c>
      <c r="CP358" s="140" t="e">
        <f t="shared" ca="1" si="1297"/>
        <v>#N/A</v>
      </c>
      <c r="CQ358" s="141" t="e">
        <f ca="1">VLOOKUP($CP358,Control!$B$86:$G$91,6)</f>
        <v>#N/A</v>
      </c>
      <c r="CR358" s="141" t="e">
        <f ca="1">(1-$CQ358)*VLOOKUP($CP358,Control!$B$86:$D$91,3)</f>
        <v>#N/A</v>
      </c>
      <c r="CS358" s="141" t="e">
        <f ca="1">(1-$CQ358)*VLOOKUP($CP358,Control!$B$86:$E$91,4)</f>
        <v>#N/A</v>
      </c>
      <c r="CT358" s="141" t="e">
        <f ca="1">(1-$CQ358)*VLOOKUP($CP358,Control!$B$86:$F$91,5)</f>
        <v>#N/A</v>
      </c>
      <c r="CU358" s="141">
        <f t="shared" ca="1" si="1298"/>
        <v>0</v>
      </c>
      <c r="CV358" s="583">
        <f t="shared" ca="1" si="1299"/>
        <v>0</v>
      </c>
      <c r="CW358" s="142">
        <f t="shared" ca="1" si="1300"/>
        <v>354</v>
      </c>
      <c r="CX358" s="612" t="e">
        <f ca="1">IF(Control!$C$114=1,(MIN(Control!$C$120*(IF($NT358-0.01&lt;0,0,1)),Control!$C$119-$CY358)))</f>
        <v>#DIV/0!</v>
      </c>
      <c r="CY358" s="143" t="e">
        <f t="shared" ca="1" si="1301"/>
        <v>#N/A</v>
      </c>
      <c r="CZ358" s="144">
        <f t="shared" ca="1" si="1177"/>
        <v>0</v>
      </c>
      <c r="DA358" s="144">
        <f t="shared" ca="1" si="1178"/>
        <v>0</v>
      </c>
      <c r="DB358" s="144" t="e">
        <f t="shared" ca="1" si="1179"/>
        <v>#N/A</v>
      </c>
      <c r="DC358" s="144" t="e">
        <f t="shared" ca="1" si="1180"/>
        <v>#N/A</v>
      </c>
      <c r="DD358" s="144" t="e">
        <f t="shared" ca="1" si="1386"/>
        <v>#N/A</v>
      </c>
      <c r="DE358" s="143" t="e">
        <f t="shared" ca="1" si="1302"/>
        <v>#N/A</v>
      </c>
      <c r="DF358" s="145" t="e">
        <f ca="1">$DR358*EXP(-Control!$C$158*(1-$KH358))</f>
        <v>#N/A</v>
      </c>
      <c r="DG358" s="146" t="e">
        <f ca="1">IF(Control!$C$114=1, $DF358*$EY358, 0)</f>
        <v>#N/A</v>
      </c>
      <c r="DH358" s="147" t="e">
        <f t="shared" ca="1" si="1303"/>
        <v>#N/A</v>
      </c>
      <c r="DI358" s="144" t="e">
        <f t="shared" ca="1" si="1364"/>
        <v>#N/A</v>
      </c>
      <c r="DJ358" s="147" t="e">
        <f ca="1">$EF358*Control!$C$109</f>
        <v>#N/A</v>
      </c>
      <c r="DK358" s="144" t="e">
        <f t="shared" ca="1" si="1304"/>
        <v>#N/A</v>
      </c>
      <c r="DL358" s="144" t="e">
        <f t="shared" ca="1" si="1181"/>
        <v>#N/A</v>
      </c>
      <c r="DM358" s="144" t="e">
        <f ca="1">IF(Control!$C$114=1, (1-EXP(-Control!$C$96*$DK358))*$AR358, 0)</f>
        <v>#N/A</v>
      </c>
      <c r="DN358" s="144">
        <f t="shared" ca="1" si="1305"/>
        <v>0</v>
      </c>
      <c r="DO358" s="148">
        <f>Control!$C$97</f>
        <v>4</v>
      </c>
      <c r="DP358" s="145" t="e">
        <f t="shared" ca="1" si="1306"/>
        <v>#N/A</v>
      </c>
      <c r="DQ358" s="145" t="e">
        <f ca="1">IF(AND($CP358&gt;=0,$CP358&lt;=90),Control!$C$111,Control!$C$111)</f>
        <v>#N/A</v>
      </c>
      <c r="DR358" s="145" t="e">
        <f t="shared" ca="1" si="1182"/>
        <v>#N/A</v>
      </c>
      <c r="DS358" s="143" t="e">
        <f ca="1">Control!$B$22/$DR358</f>
        <v>#N/A</v>
      </c>
      <c r="DT358" s="149" t="e">
        <f ca="1">IF(AND(Control!$C$114=1,$KH358&lt;1),$IM358*$DF358, 0)</f>
        <v>#N/A</v>
      </c>
      <c r="DU358" s="144" t="e">
        <f t="shared" ca="1" si="1307"/>
        <v>#N/A</v>
      </c>
      <c r="DV358" s="144">
        <f ca="1">IF($G358-Control!$C$107&lt;=0, 0, 0.83*LN(MAX($G358, 3))-0.8924)</f>
        <v>0</v>
      </c>
      <c r="DW358" s="144" t="e">
        <f t="shared" ca="1" si="1183"/>
        <v>#N/A</v>
      </c>
      <c r="DX358" s="150" t="e">
        <f ca="1">MAX(0.01*(1+$CU358/Control!$C$102),0.05*($DK358-Control!$C$97)/Control!$C$97)</f>
        <v>#N/A</v>
      </c>
      <c r="DY358" s="151" t="e">
        <f ca="1">IF(Control!$C$114=1, $DI358*$FS358, 0)</f>
        <v>#N/A</v>
      </c>
      <c r="DZ358" s="196" t="e">
        <f t="shared" ca="1" si="1308"/>
        <v>#N/A</v>
      </c>
      <c r="EA358" s="152">
        <f t="shared" ca="1" si="1309"/>
        <v>354</v>
      </c>
      <c r="EB358" s="153" t="e">
        <f t="shared" ca="1" si="1310"/>
        <v>#N/A</v>
      </c>
      <c r="EC358" s="153" t="e">
        <f t="shared" ca="1" si="1311"/>
        <v>#N/A</v>
      </c>
      <c r="ED358" s="154" t="e">
        <f ca="1">IF(Control!$C$114=1, $HM358*$FY358-$FD358, 0)</f>
        <v>#DIV/0!</v>
      </c>
      <c r="EE358" s="155" t="e">
        <f ca="1">IF(Control!$C$114=1, $HM358*$FZ358-$FF358, 0)</f>
        <v>#DIV/0!</v>
      </c>
      <c r="EF358" s="153" t="e">
        <f t="shared" ca="1" si="1365"/>
        <v>#N/A</v>
      </c>
      <c r="EG358" s="155" t="e">
        <f ca="1">IF(Control!$C$114=1, $GX358*$FW358-$FI358, 0)</f>
        <v>#DIV/0!</v>
      </c>
      <c r="EH358" s="153" t="e">
        <f t="shared" ca="1" si="1312"/>
        <v>#N/A</v>
      </c>
      <c r="EI358" s="156" t="e">
        <f t="shared" ca="1" si="1313"/>
        <v>#N/A</v>
      </c>
      <c r="EJ358" s="155" t="e">
        <f ca="1">IF(Control!$C$114=1, $HM358*$GB358, 0)</f>
        <v>#DIV/0!</v>
      </c>
      <c r="EK358" s="153" t="e">
        <f t="shared" ca="1" si="1366"/>
        <v>#N/A</v>
      </c>
      <c r="EL358" s="153" t="e">
        <f t="shared" ca="1" si="1184"/>
        <v>#N/A</v>
      </c>
      <c r="EM358" s="153" t="e">
        <f t="shared" ca="1" si="1185"/>
        <v>#N/A</v>
      </c>
      <c r="EN358" s="153" t="e">
        <f ca="1">IF(Control!$C$108=1,IF(AND(Control!$B$18=1,$EB358&gt;=Control!$B$19),$EB358-$DS358,IF(AND(Control!$B$18=2,$AW358=1,$EB358&gt;$DS358),$EB358-$DS358,0)))</f>
        <v>#N/A</v>
      </c>
      <c r="EO358" s="153" t="e">
        <f ca="1">IF(Control!$C$108=1,IF(AND(Control!$B$18=1,$EB358&gt;=Control!$B$19),$EF358,IF(AND(Control!$B$18=2,$AW358=1),$EF358,0)))</f>
        <v>#N/A</v>
      </c>
      <c r="EP358" s="153" t="e">
        <f ca="1">IF(Control!$C$108=1,IF(AND(Control!$B$18=1,$EB358&gt;=Control!$B$19),$EK358,IF(AND(Control!$B$18=2,$AW358=1),$EK358,0)))</f>
        <v>#N/A</v>
      </c>
      <c r="EQ358" s="153" t="e">
        <f t="shared" ca="1" si="1314"/>
        <v>#N/A</v>
      </c>
      <c r="ER358" s="153" t="e">
        <f t="shared" ca="1" si="1315"/>
        <v>#N/A</v>
      </c>
      <c r="ES358" s="153" t="e">
        <f t="shared" ca="1" si="1367"/>
        <v>#N/A</v>
      </c>
      <c r="ET358" s="153" t="e">
        <f t="shared" ca="1" si="1368"/>
        <v>#N/A</v>
      </c>
      <c r="EU358" s="153" t="e">
        <f t="shared" ca="1" si="1316"/>
        <v>#N/A</v>
      </c>
      <c r="EV358" s="153" t="e">
        <f t="shared" ca="1" si="1186"/>
        <v>#N/A</v>
      </c>
      <c r="EW358" s="153" t="e">
        <f t="shared" ca="1" si="1187"/>
        <v>#N/A</v>
      </c>
      <c r="EX358" s="153" t="e">
        <f t="shared" ca="1" si="1188"/>
        <v>#N/A</v>
      </c>
      <c r="EY358" s="157" t="e">
        <f t="shared" ca="1" si="1189"/>
        <v>#DIV/0!</v>
      </c>
      <c r="EZ358" s="154" t="e">
        <f t="shared" ca="1" si="1190"/>
        <v>#DIV/0!</v>
      </c>
      <c r="FA358" s="153" t="e">
        <f t="shared" ca="1" si="1317"/>
        <v>#N/A</v>
      </c>
      <c r="FB358" s="153" t="e">
        <f t="shared" ca="1" si="1191"/>
        <v>#N/A</v>
      </c>
      <c r="FC358" s="193" t="e">
        <f t="shared" ca="1" si="1192"/>
        <v>#N/A</v>
      </c>
      <c r="FD358" s="158" t="e">
        <f t="shared" ca="1" si="1318"/>
        <v>#N/A</v>
      </c>
      <c r="FE358" s="158" t="e">
        <f t="shared" ca="1" si="1319"/>
        <v>#N/A</v>
      </c>
      <c r="FF358" s="159" t="e">
        <f t="shared" ca="1" si="1193"/>
        <v>#N/A</v>
      </c>
      <c r="FG358" s="160" t="e">
        <f t="shared" ca="1" si="1320"/>
        <v>#N/A</v>
      </c>
      <c r="FH358" s="158" t="e">
        <f t="shared" ca="1" si="1321"/>
        <v>#N/A</v>
      </c>
      <c r="FI358" s="159" t="e">
        <f t="shared" ca="1" si="1194"/>
        <v>#N/A</v>
      </c>
      <c r="FJ358" s="160" t="e">
        <f t="shared" ca="1" si="1322"/>
        <v>#N/A</v>
      </c>
      <c r="FK358" s="160" t="e">
        <f t="shared" ca="1" si="1195"/>
        <v>#N/A</v>
      </c>
      <c r="FL358" s="160" t="e">
        <f t="shared" ca="1" si="1369"/>
        <v>#N/A</v>
      </c>
      <c r="FM358" s="160" t="e">
        <f t="shared" ca="1" si="1196"/>
        <v>#N/A</v>
      </c>
      <c r="FN358" s="158">
        <f t="shared" ca="1" si="1323"/>
        <v>0.01</v>
      </c>
      <c r="FO358" s="160">
        <f>Control!$C$101</f>
        <v>50</v>
      </c>
      <c r="FP358" s="150" t="e">
        <f t="shared" ca="1" si="1197"/>
        <v>#N/A</v>
      </c>
      <c r="FQ358" s="150" t="e">
        <f ca="1">MAX(0,(Control!$C$112*(($DK358-Control!$C$97)/Control!$C$97)))</f>
        <v>#N/A</v>
      </c>
      <c r="FR358" s="150" t="e">
        <f ca="1">(1-$NT358)*Control!$C$113</f>
        <v>#DIV/0!</v>
      </c>
      <c r="FS358" s="198" t="e">
        <f t="shared" ca="1" si="1198"/>
        <v>#N/A</v>
      </c>
      <c r="FT358" s="161">
        <f t="shared" ca="1" si="1324"/>
        <v>354</v>
      </c>
      <c r="FU358" s="162" t="e">
        <f ca="1">IF(Control!$B$34=1,VLOOKUP($CP358,Control!$B$86:$G$91,6),Control!$B$35)</f>
        <v>#N/A</v>
      </c>
      <c r="FV358" s="162" t="e">
        <f t="shared" ca="1" si="1199"/>
        <v>#DIV/0!</v>
      </c>
      <c r="FW358" s="162" t="e">
        <f ca="1">IF(Control!$B$31=1,$FU358*$FV358,  $FU358)</f>
        <v>#N/A</v>
      </c>
      <c r="FX358" s="162" t="e">
        <f ca="1">IF(Control!$B$34=1,VLOOKUP($CP358,Control!$B$86:$G$91,3),Control!$B$36)</f>
        <v>#N/A</v>
      </c>
      <c r="FY358" s="162" t="e">
        <f t="shared" ca="1" si="1200"/>
        <v>#N/A</v>
      </c>
      <c r="FZ358" s="162" t="e">
        <f ca="1">IF(Control!$B$34=1,VLOOKUP($CP358,Control!$B$86:$G$91,4),Control!$B$37)</f>
        <v>#N/A</v>
      </c>
      <c r="GA358" s="162" t="e">
        <f t="shared" ca="1" si="1201"/>
        <v>#N/A</v>
      </c>
      <c r="GB358" s="162" t="e">
        <f ca="1">IF(Control!$B$34=1,VLOOKUP($CP358,Control!$B$86:$G$91,5),Control!$B$38)</f>
        <v>#N/A</v>
      </c>
      <c r="GC358" s="162" t="e">
        <f t="shared" ca="1" si="1325"/>
        <v>#N/A</v>
      </c>
      <c r="GD358" s="162">
        <f t="shared" ca="1" si="1202"/>
        <v>1</v>
      </c>
      <c r="GE358" s="162">
        <f t="shared" ca="1" si="1203"/>
        <v>1</v>
      </c>
      <c r="GF358" s="162">
        <f ca="1">IF(AND(Control!$C$104=1, Control!$C$62="F"),$GE358,1)</f>
        <v>1</v>
      </c>
      <c r="GG358" s="162" t="e">
        <f ca="1">IF(Control!$B$16=40,0,IF(AND(Control!$B$16&gt;40,Control!$B$16&lt;=360),(Control!$B$16-40)*((1-0)/(360-40)),IF(AND(Control!$B$16&gt;360,Control!$B$16&lt;=720),(1+(Control!$B$16-360)*((1.25-1)/(720-360))),IF(AND(Control!$B$16&gt;720,Control!$B$16&lt;=1000),(1.25+(Control!$B$16-720)*((1.35-1.25)/(1000-720))),IF(AND(Control!$B$16&gt;1000,Control!$B$16&lt;=2000),(1.35+(Control!$B$16-1000)*0))))))</f>
        <v>#N/A</v>
      </c>
      <c r="GH358" s="162" t="e">
        <f t="shared" ca="1" si="1204"/>
        <v>#N/A</v>
      </c>
      <c r="GI358" s="162">
        <f t="shared" ca="1" si="1326"/>
        <v>0</v>
      </c>
      <c r="GJ358" s="162">
        <f t="shared" ca="1" si="1205"/>
        <v>0</v>
      </c>
      <c r="GK358" s="162">
        <f t="shared" ca="1" si="1327"/>
        <v>1</v>
      </c>
      <c r="GL358" s="162">
        <f t="shared" ca="1" si="1206"/>
        <v>1</v>
      </c>
      <c r="GM358" s="162" t="e">
        <f ca="1">MAX(0,MIN(1,1-Control!$C$156*(1.0001-$KH358)^2))</f>
        <v>#N/A</v>
      </c>
      <c r="GN358" s="162" t="e">
        <f ca="1">IF(Control!$B$26=1,$KU358,$KX358)</f>
        <v>#N/A</v>
      </c>
      <c r="GO358" s="162" t="e">
        <f ca="1">IF($CP358&lt;=60,Control!$C$105,IF($CP358&gt;=90,Control!$C$106,Control!$C$105+($CP358-60)*((Control!$C$106-Control!$C$105)/(90-60))))</f>
        <v>#N/A</v>
      </c>
      <c r="GP358" s="162" t="e">
        <f t="shared" ca="1" si="1207"/>
        <v>#N/A</v>
      </c>
      <c r="GQ358" s="162" t="e">
        <f t="shared" ca="1" si="1328"/>
        <v>#N/A</v>
      </c>
      <c r="GR358" s="163" t="e">
        <f t="shared" ca="1" si="1208"/>
        <v>#DIV/0!</v>
      </c>
      <c r="GS358" s="162" t="e">
        <f t="shared" ca="1" si="1209"/>
        <v>#DIV/0!</v>
      </c>
      <c r="GT358" s="164" t="e">
        <f t="shared" ca="1" si="1329"/>
        <v>#N/A</v>
      </c>
      <c r="GU358" s="162" t="e">
        <f t="shared" ca="1" si="1330"/>
        <v>#N/A</v>
      </c>
      <c r="GV358" s="162" t="e">
        <f t="shared" ca="1" si="1210"/>
        <v>#N/A</v>
      </c>
      <c r="GW358" s="162" t="e">
        <f t="shared" ca="1" si="1211"/>
        <v>#DIV/0!</v>
      </c>
      <c r="GX358" s="162" t="e">
        <f t="shared" ca="1" si="1331"/>
        <v>#DIV/0!</v>
      </c>
      <c r="GY358" s="162" t="e">
        <f t="shared" ca="1" si="1332"/>
        <v>#DIV/0!</v>
      </c>
      <c r="GZ358" s="165" t="e">
        <f t="shared" ca="1" si="1212"/>
        <v>#N/A</v>
      </c>
      <c r="HA358" s="162" t="e">
        <f ca="1">IF(Control!$C$114=1, $DI358*$FS358, 0)</f>
        <v>#N/A</v>
      </c>
      <c r="HB358" s="162" t="e">
        <f ca="1">$FA358/Control!$C$64</f>
        <v>#N/A</v>
      </c>
      <c r="HC358" s="162" t="e">
        <f t="shared" ca="1" si="1213"/>
        <v>#DIV/0!</v>
      </c>
      <c r="HD358" s="162">
        <f ca="1">-ASIN(SIN(23.45*Control!$C$139)*COS(2*Control!$C$138*($AH358+10)/365))</f>
        <v>-0.40921650828706646</v>
      </c>
      <c r="HE358" s="165">
        <f t="shared" ca="1" si="1333"/>
        <v>0</v>
      </c>
      <c r="HF358" s="166">
        <f ca="1">IF(AND(Control!$C$61="T",$HE358&gt;=Control!$C$103,Control!$C$114=0),$AH358,Control!$C$59)</f>
        <v>1</v>
      </c>
      <c r="HG358" s="166">
        <f ca="1">IF(AND(Control!$C$61="T",$HE358&gt;=Control!$C$103,Control!$C$114=0),$HF358,Control!$C$59)</f>
        <v>1</v>
      </c>
      <c r="HH358" s="165">
        <f ca="1">IF(AND(OR(Control!$C$60&lt;=0, $AH358= Control!$C$59, Control!$C$60 &gt;0, $AH358 = Control!$C$60)), Control!$C$59, IF(Control!$C$60&gt;0, 0))</f>
        <v>1</v>
      </c>
      <c r="HI358" s="165">
        <f ca="1">IF(AND(OR(Control!$C$60&lt;=0, $AH358= Control!$C$59, Control!$C$60 &gt;0, $AH358 = Control!$C$60)), Control!$C$60, IF(Control!$C$60&lt;=0, 0))</f>
        <v>0</v>
      </c>
      <c r="HJ358" s="166">
        <f ca="1">IF(AND(Control!$C$62="F",$CV358&gt;=Control!$C$102),$AH358,0)</f>
        <v>0</v>
      </c>
      <c r="HK358" s="165" t="e">
        <f t="shared" ca="1" si="1370"/>
        <v>#N/A</v>
      </c>
      <c r="HL358" s="166">
        <f ca="1">IF(AND(Control!$C$61="T",$HE358&gt;=Control!$C$103,Control!$C$114=0),$HF358,0)</f>
        <v>0</v>
      </c>
      <c r="HM358" s="201" t="e">
        <f t="shared" ca="1" si="1214"/>
        <v>#DIV/0!</v>
      </c>
      <c r="HN358" s="215">
        <f t="shared" ca="1" si="1334"/>
        <v>354</v>
      </c>
      <c r="HO358" s="216" t="e">
        <f ca="1">IF(AND($CP358&gt;=0, $CP358&lt;=90), Control!$C$152, Control!$C$152)</f>
        <v>#N/A</v>
      </c>
      <c r="HP358" s="216" t="e">
        <f t="shared" ca="1" si="1215"/>
        <v>#N/A</v>
      </c>
      <c r="HQ358" s="217" t="e">
        <f ca="1">IF(OR(Control!$B$26=1,Control!$B$26=2),$KV358,$KS358)</f>
        <v>#DIV/0!</v>
      </c>
      <c r="HR358" s="218" t="e">
        <f t="shared" ca="1" si="1371"/>
        <v>#DIV/0!</v>
      </c>
      <c r="HS358" s="216" t="e">
        <f ca="1">Control!$C$154*$HP358</f>
        <v>#N/A</v>
      </c>
      <c r="HT358" s="216" t="e">
        <f ca="1">Control!$C$155*$HP358</f>
        <v>#N/A</v>
      </c>
      <c r="HU358" s="217" t="e">
        <f ca="1">Control!$C$161*$FI358</f>
        <v>#N/A</v>
      </c>
      <c r="HV358" s="218" t="e">
        <f t="shared" ca="1" si="1335"/>
        <v>#N/A</v>
      </c>
      <c r="HW358" s="218" t="e">
        <f ca="1">Control!$C$160*$FF358+$IP358*$EO358</f>
        <v>#N/A</v>
      </c>
      <c r="HX358" s="218" t="e">
        <f t="shared" ca="1" si="1372"/>
        <v>#N/A</v>
      </c>
      <c r="HY358" s="219" t="e">
        <f ca="1">IF(Control!$C$114=1, $EB358*$FS358, 0)</f>
        <v>#N/A</v>
      </c>
      <c r="HZ358" s="91" t="e">
        <f t="shared" ca="1" si="1216"/>
        <v>#N/A</v>
      </c>
      <c r="IA358" s="220" t="e">
        <f ca="1">Control!$C$153*$HO358</f>
        <v>#N/A</v>
      </c>
      <c r="IB358" s="218" t="e">
        <f t="shared" ca="1" si="1217"/>
        <v>#N/A</v>
      </c>
      <c r="IC358" s="220" t="e">
        <f ca="1">Control!$C$153*$HT358</f>
        <v>#N/A</v>
      </c>
      <c r="ID358" s="218" t="e">
        <f t="shared" ca="1" si="1218"/>
        <v>#N/A</v>
      </c>
      <c r="IE358" s="221" t="e">
        <f ca="1">($EB358*Control!$C$159+$EF358*Control!$C$160)/(IF($GZ358&lt;&gt;0,$GZ358,1))</f>
        <v>#N/A</v>
      </c>
      <c r="IF358" s="216" t="e">
        <f t="shared" ca="1" si="1219"/>
        <v>#N/A</v>
      </c>
      <c r="IG358" s="91">
        <f ca="1">IF(OR(Control!$B$198=$AH358,Control!$B$199=$AH358, Control!$B$200=$AH358, Control!$B$201=$AH358, Control!$B$202=$AH358, Control!$B$203=$AH358, Control!$B$204=$AH358, Control!$B$205=$AH358, Control!$B$206=$AH358, Control!$B$207=$AH358), 1, 0)</f>
        <v>0</v>
      </c>
      <c r="IH358" s="91">
        <f ca="1">IF($IG358=0,0, VLOOKUP($AH358,Control!$B$198:$C$207,2))</f>
        <v>0</v>
      </c>
      <c r="II358" s="222">
        <f t="shared" ca="1" si="1336"/>
        <v>0</v>
      </c>
      <c r="IJ358" s="91">
        <f>Control!$C$121</f>
        <v>0.7</v>
      </c>
      <c r="IK358" s="218">
        <f t="shared" ca="1" si="1220"/>
        <v>0</v>
      </c>
      <c r="IL358" s="217" t="e">
        <f t="shared" ca="1" si="1373"/>
        <v>#N/A</v>
      </c>
      <c r="IM358" s="223" t="e">
        <f ca="1">IF(AND(Control!$C$114=1,$KH358&lt;1),$EB358*Control!$C$148*(1-$KH358), 0)</f>
        <v>#N/A</v>
      </c>
      <c r="IN358" s="217" t="e">
        <f t="shared" ca="1" si="1221"/>
        <v>#DIV/0!</v>
      </c>
      <c r="IO358" s="91" t="e">
        <f ca="1">MAX(0,$IL358-$EF358*Control!$C$160)</f>
        <v>#N/A</v>
      </c>
      <c r="IP358" s="220" t="e">
        <f t="shared" ca="1" si="1222"/>
        <v>#N/A</v>
      </c>
      <c r="IQ358" s="217" t="e">
        <f t="shared" ca="1" si="1337"/>
        <v>#N/A</v>
      </c>
      <c r="IR358" s="218" t="e">
        <f t="shared" ca="1" si="1223"/>
        <v>#N/A</v>
      </c>
      <c r="IS358" s="217" t="e">
        <f ca="1">Control!$C$159*MAX(0,$FD358-$EN358)</f>
        <v>#N/A</v>
      </c>
      <c r="IT358" s="217" t="e">
        <f t="shared" ca="1" si="1374"/>
        <v>#N/A</v>
      </c>
      <c r="IU358" s="217" t="e">
        <f t="shared" ca="1" si="1338"/>
        <v>#N/A</v>
      </c>
      <c r="IV358" s="217" t="e">
        <f t="shared" ca="1" si="1375"/>
        <v>#N/A</v>
      </c>
      <c r="IW358" s="217" t="e">
        <f ca="1">IF(OR($AW358=1,AND($AW358=0, Control!$B$18=1,$EN358&lt;&gt;0)), $IQ358-$IU358, $IQ358)</f>
        <v>#N/A</v>
      </c>
      <c r="IX358" s="218" t="e">
        <f t="shared" ca="1" si="1224"/>
        <v>#N/A</v>
      </c>
      <c r="IY358" s="218" t="e">
        <f ca="1">MAX(0,$IQ358-$EB358*Control!$C$159)</f>
        <v>#N/A</v>
      </c>
      <c r="IZ358" s="218" t="e">
        <f t="shared" ca="1" si="1225"/>
        <v>#N/A</v>
      </c>
      <c r="JA358" s="216" t="e">
        <f t="shared" ca="1" si="1226"/>
        <v>#N/A</v>
      </c>
      <c r="JB358" s="217" t="e">
        <f t="shared" ca="1" si="1227"/>
        <v>#N/A</v>
      </c>
      <c r="JC358" s="222" t="e">
        <f ca="1">MAX(Control!$C$157*$EK358-$JT358, 0)/Control!$C$162</f>
        <v>#N/A</v>
      </c>
      <c r="JD358" s="218" t="e">
        <f t="shared" ca="1" si="1228"/>
        <v>#N/A</v>
      </c>
      <c r="JE358" s="218" t="e">
        <f t="shared" ca="1" si="1229"/>
        <v>#N/A</v>
      </c>
      <c r="JF358" s="218" t="e">
        <f t="shared" ca="1" si="1339"/>
        <v>#N/A</v>
      </c>
      <c r="JG358" s="218" t="e">
        <f t="shared" ca="1" si="1230"/>
        <v>#N/A</v>
      </c>
      <c r="JH358" s="217" t="e">
        <f t="shared" ca="1" si="1340"/>
        <v>#N/A</v>
      </c>
      <c r="JI358" s="217" t="e">
        <f t="shared" ca="1" si="1341"/>
        <v>#N/A</v>
      </c>
      <c r="JJ358" s="217" t="e">
        <f t="shared" ca="1" si="1376"/>
        <v>#N/A</v>
      </c>
      <c r="JK358" s="217" t="e">
        <f ca="1">IF(Control!$C$114=1,IF(Control!$B$24=0,MAX(0,$JI358)*$GN358/Control!$C$64,(MAX(0,MIN($JI358,$JJ358*$GN358/Control!$C$64),0))))</f>
        <v>#N/A</v>
      </c>
      <c r="JL358" s="217" t="e">
        <f ca="1">$IK358/Control!$C$64-$JK358+$HQ358</f>
        <v>#N/A</v>
      </c>
      <c r="JM358" s="217" t="e">
        <f ca="1">IF(Control!$C$114=1,($JB358/(IF($JI358&lt;&gt;0,$JI358,1)))*$JK358,0)</f>
        <v>#N/A</v>
      </c>
      <c r="JN358" s="217" t="e">
        <f ca="1">IF(Control!$C$114=1,($JG358/(IF($JI358&lt;&gt;0,$JI358,1)))*$JK358, 0)</f>
        <v>#N/A</v>
      </c>
      <c r="JO358" s="218" t="e">
        <f t="shared" ca="1" si="1231"/>
        <v>#N/A</v>
      </c>
      <c r="JP358" s="218" t="e">
        <f ca="1">MIN(($IY358+$IO358)*Control!$C$151, $JF358-$EH358*Control!$C$161)</f>
        <v>#N/A</v>
      </c>
      <c r="JQ358" s="218" t="e">
        <f t="shared" ca="1" si="1232"/>
        <v>#N/A</v>
      </c>
      <c r="JR358" s="217" t="e">
        <f ca="1">IF($CP358-Control!$C$150&lt;0, 0, $JQ358/Control!$C$162)</f>
        <v>#N/A</v>
      </c>
      <c r="JS358" s="218" t="e">
        <f t="shared" ca="1" si="1233"/>
        <v>#N/A</v>
      </c>
      <c r="JT358" s="218" t="e">
        <f t="shared" ca="1" si="1342"/>
        <v>#N/A</v>
      </c>
      <c r="JU358" s="218" t="e">
        <f t="shared" ca="1" si="1234"/>
        <v>#N/A</v>
      </c>
      <c r="JV358" s="218" t="e">
        <f t="shared" ca="1" si="1235"/>
        <v>#N/A</v>
      </c>
      <c r="JW358" s="216" t="e">
        <f t="shared" ca="1" si="1236"/>
        <v>#N/A</v>
      </c>
      <c r="JX358" s="91" t="e">
        <f t="shared" ca="1" si="1237"/>
        <v>#N/A</v>
      </c>
      <c r="JY358" s="218" t="e">
        <f t="shared" ca="1" si="1238"/>
        <v>#N/A</v>
      </c>
      <c r="JZ358" s="217" t="e">
        <f ca="1">IF(Control!$C$114=1,($IZ358/(IF($JI358&lt;&gt;0,$JI358,1)))*$JK358, 0)</f>
        <v>#N/A</v>
      </c>
      <c r="KA358" s="218" t="e">
        <f t="shared" ca="1" si="1377"/>
        <v>#N/A</v>
      </c>
      <c r="KB358" s="218" t="e">
        <f t="shared" ca="1" si="1343"/>
        <v>#N/A</v>
      </c>
      <c r="KC358" s="218" t="e">
        <f t="shared" ca="1" si="1239"/>
        <v>#N/A</v>
      </c>
      <c r="KD358" s="218" t="e">
        <f t="shared" ca="1" si="1240"/>
        <v>#N/A</v>
      </c>
      <c r="KE358" s="218" t="e">
        <f t="shared" ca="1" si="1241"/>
        <v>#N/A</v>
      </c>
      <c r="KF358" s="218" t="e">
        <f t="shared" ca="1" si="1242"/>
        <v>#N/A</v>
      </c>
      <c r="KG358" s="216" t="e">
        <f t="shared" ca="1" si="1243"/>
        <v>#N/A</v>
      </c>
      <c r="KH358" s="221" t="e">
        <f ca="1">IF(Control!$B$24=0,1,MAX(0.001,MIN(1,IF(($IF358-$IE358)&lt;&gt;0,($KG358-$IE358)/($IF358-$IE358),1))))</f>
        <v>#N/A</v>
      </c>
      <c r="KI358" s="222" t="e">
        <f ca="1">IF(Control!$C$114=1, $KI357+ $KH357, 0)</f>
        <v>#N/A</v>
      </c>
      <c r="KJ358" s="217" t="e">
        <f t="shared" ca="1" si="1244"/>
        <v>#N/A</v>
      </c>
      <c r="KK358" s="218" t="e">
        <f t="shared" ca="1" si="1245"/>
        <v>#N/A</v>
      </c>
      <c r="KL358" s="274" t="e">
        <f ca="1">IF(Control!$B$26=3,4000000000*EXP(-8400/($G358+273)),IF(Control!$B$26=4,4000000000*EXP(-8400/($G358+273))*($KT358),0))</f>
        <v>#DIV/0!</v>
      </c>
      <c r="KM358" s="274" t="e">
        <f ca="1">IF(Control!$B$26=3,5600000000000*EXP(-9800/($G358+273)),IF(Control!$B$26=4,5600000000000*EXP(-9800/($G358+273))*$KT358,0))</f>
        <v>#DIV/0!</v>
      </c>
      <c r="KN358" s="454" t="e">
        <f t="shared" ca="1" si="1344"/>
        <v>#DIV/0!</v>
      </c>
      <c r="KO358" s="274" t="e">
        <f t="shared" ca="1" si="1345"/>
        <v>#DIV/0!</v>
      </c>
      <c r="KP358" s="454" t="e">
        <f t="shared" ca="1" si="1246"/>
        <v>#DIV/0!</v>
      </c>
      <c r="KQ358" s="454" t="e">
        <f t="shared" ca="1" si="1247"/>
        <v>#DIV/0!</v>
      </c>
      <c r="KR358" s="454" t="e">
        <f t="shared" ca="1" si="1248"/>
        <v>#DIV/0!</v>
      </c>
      <c r="KS358" s="454" t="e">
        <f t="shared" ca="1" si="1249"/>
        <v>#DIV/0!</v>
      </c>
      <c r="KT358" s="455" t="e">
        <f t="shared" ca="1" si="1250"/>
        <v>#DIV/0!</v>
      </c>
      <c r="KU358" s="456" t="e">
        <f ca="1">IF($CP358-Control!$C$149&lt;0, IF($NT358-0.01&lt;0,0,1),0)</f>
        <v>#N/A</v>
      </c>
      <c r="KV358" s="456" t="e">
        <f ca="1">IF(Control!$C$114=1,MAX(0,MIN(Control!$C$125*$KW358*$GN358,$KW358)))</f>
        <v>#DIV/0!</v>
      </c>
      <c r="KW358" s="456" t="e">
        <f t="shared" ca="1" si="1378"/>
        <v>#DIV/0!</v>
      </c>
      <c r="KX358" s="457" t="e">
        <f ca="1">IF($CP358-Control!$C$149&lt;0, IF($MR358-$OM358&lt;0,0,1),0)</f>
        <v>#N/A</v>
      </c>
      <c r="KY358" s="167">
        <f t="shared" ca="1" si="1346"/>
        <v>354</v>
      </c>
      <c r="KZ358" s="168">
        <f ca="1">1370*(1+0.033*COS(2*Control!$C$138*$AH358/365))</f>
        <v>1414.4020199006266</v>
      </c>
      <c r="LA358" s="169">
        <f t="shared" ca="1" si="1347"/>
        <v>1.032410144993644</v>
      </c>
      <c r="LB358" s="169">
        <f t="shared" ca="1" si="1348"/>
        <v>-0.40898501584077535</v>
      </c>
      <c r="LC358" s="169">
        <f ca="1">ACOS(-TAN((2*Control!$B$8/360))*TAN(Calculations!$LB358))</f>
        <v>1.4416221210909523</v>
      </c>
      <c r="LD358" s="169">
        <f ca="1">((24*60)/PI())*0.082*$LA358*(($LC358*SIN(Control!$B$8*2*PI()/360))*SIN($LB358)+COS(Control!$B$8*2*PI()/360)*COS($LB358)*SIN($LC358))</f>
        <v>4.2067831910610245</v>
      </c>
      <c r="LE358" s="170">
        <f t="shared" ca="1" si="1251"/>
        <v>5.9229598362558722</v>
      </c>
      <c r="LF358" s="170">
        <f ca="1">SIN(Control!$C$139*Control!$B$8)*SIN($HD358)</f>
        <v>-0.31354263017817924</v>
      </c>
      <c r="LG358" s="170">
        <f ca="1">COS(Control!$C$139*Control!$B$8)*COS($HD358)</f>
        <v>0.56482652664821209</v>
      </c>
      <c r="LH358" s="170">
        <f ca="1">12*(1+2*ASIN(MAX(-1,MIN(1,$LF358/$LG358))/Control!$C$138))</f>
        <v>7.7368744922168968</v>
      </c>
      <c r="LI358" s="170">
        <f ca="1">12*(1+2*ASIN(MAX(-1,MIN(1,(-SIN(-4*Control!$C$139)+$LF358)/$LG358))/Control!$C$138))</f>
        <v>8.6922720173330656</v>
      </c>
      <c r="LJ358" s="168">
        <f ca="1">3600*($LH358*$LF358+24*$LG358*SQRT(1-$LK358*$LK358)/Control!$C$138)</f>
        <v>4187.6070260929137</v>
      </c>
      <c r="LK358" s="170">
        <f t="shared" ca="1" si="1252"/>
        <v>-0.55511314604645212</v>
      </c>
      <c r="LL358" s="170">
        <f t="shared" ca="1" si="1253"/>
        <v>0</v>
      </c>
      <c r="LM358" s="171">
        <f ca="1">Control!$C$145*$AB358</f>
        <v>6.6660906138995932E-2</v>
      </c>
      <c r="LN358" s="170">
        <f t="shared" ca="1" si="1349"/>
        <v>0.54</v>
      </c>
      <c r="LO358" s="170">
        <f t="shared" ca="1" si="1254"/>
        <v>0</v>
      </c>
      <c r="LP358" s="170">
        <f ca="1">Control!$C$140*((($D358+273.16)^4+($E358+273.16)^4)/2)*(0.34-0.14*SQRT($Y358))*(1.35*$AQ358/(0.75*$LD358)-0.35)</f>
        <v>-3.2464704755046001</v>
      </c>
      <c r="LQ358" s="170">
        <f ca="1">Control!$C$140*($G358+273)^4*(0.56-0.079*SQRT($Y358*10))*(0.1+0.9*$LO358)</f>
        <v>1.5241745131704001</v>
      </c>
      <c r="LR358" s="170">
        <f ca="1">$AQ358*(1-Control!$C$142)-$LQ358</f>
        <v>-1.5241745131704001</v>
      </c>
      <c r="LS358" s="170">
        <f ca="1">$AQ358*(1-Control!$C$143)-$LQ358</f>
        <v>-1.5241745131704001</v>
      </c>
      <c r="LT358" s="170">
        <f ca="1">$AQ358*(1-Control!$C$144)-$LQ358</f>
        <v>-1.5241745131704001</v>
      </c>
      <c r="LU358" s="169">
        <f ca="1">(1-Control!$C$144)*AQ358-LP358</f>
        <v>3.2464704755046001</v>
      </c>
      <c r="LV358" s="172">
        <f t="shared" ca="1" si="1255"/>
        <v>0.79430000000000012</v>
      </c>
      <c r="LW358" s="170">
        <f t="shared" ca="1" si="1256"/>
        <v>1.5886000000000002</v>
      </c>
      <c r="LX358" s="170">
        <f ca="1">($AC358*($LR358/Control!$C$141)+$LM358*$LV358)/($AC358+$LM358)</f>
        <v>0.23530094218323697</v>
      </c>
      <c r="LY358" s="170">
        <f ca="1">($AC358*($LS358/Control!$C$141)+$LM358*$LV358)/($AC358+$LM358)</f>
        <v>0.23530094218323697</v>
      </c>
      <c r="LZ358" s="170">
        <f t="shared" ca="1" si="1257"/>
        <v>0.23530094218323697</v>
      </c>
      <c r="MA358" s="170">
        <f t="shared" ca="1" si="1258"/>
        <v>0.23530094218323697</v>
      </c>
      <c r="MB358" s="170" t="e">
        <f t="shared" ca="1" si="1259"/>
        <v>#N/A</v>
      </c>
      <c r="MC358" s="170">
        <f t="shared" ca="1" si="1350"/>
        <v>0.6018</v>
      </c>
      <c r="MD358" s="170">
        <f t="shared" ca="1" si="1260"/>
        <v>0.52989392535414004</v>
      </c>
      <c r="ME358" s="170">
        <f ca="1">($AC358*($LT358/Control!$C$141)+$LM358*$LW358)/($AC358+$LM358)</f>
        <v>0.71612369323045078</v>
      </c>
      <c r="MF358" s="170" t="e">
        <f ca="1">IF(Control!$B$16&gt;=1000,0.92,IF(AND(720&lt;=Control!$B$16,1000&gt;Control!$B$16),(0.95+(Control!$B$16-720)*((0.92-0.95)/(1000-720))),IF(AND(360&lt;=Control!$B$16,720&gt;Control!$B$16),(1+(Control!$B$16-360)*((0.95-1)/(720-360))),IF(AND(40&lt;=Control!$B$16,360&gt;Control!$B$16),(1.05+(Control!$B$16-40)*((1.05-1)/(360-40)))))))</f>
        <v>#N/A</v>
      </c>
      <c r="MG358" s="170">
        <f t="shared" ca="1" si="1261"/>
        <v>0.71612369323045078</v>
      </c>
      <c r="MH358" s="170" t="e">
        <f t="shared" ca="1" si="1387"/>
        <v>#N/A</v>
      </c>
      <c r="MI358" s="170" t="e">
        <f t="shared" ca="1" si="1387"/>
        <v>#N/A</v>
      </c>
      <c r="MJ358" s="170" t="e">
        <f ca="1">MAX(0.0001, Control!$C$132*$MI358*$DL358)</f>
        <v>#N/A</v>
      </c>
      <c r="MK358" s="170">
        <f ca="1">1/(0.76+1.5*($MG358/10))-(5-Control!$C$110)*0.1</f>
        <v>1.002845988140797</v>
      </c>
      <c r="ML358" s="173">
        <f ca="1">IF(Control!$C$110&lt;3,$MK358+($MG358-0.6)/(Control!$C$110*(Control!$C$110+3)), MAX(0.1, MIN(0.95,$MK358)))</f>
        <v>0.95</v>
      </c>
      <c r="MM358" s="173">
        <f ca="1">IF(Control!$C$110&lt;3,$MK358+(($MI358/10)-0.6)/(Control!$C$110*(Control!$C$110+3)), MAX(0.1, MIN(0.95,$MK358)))</f>
        <v>0.95</v>
      </c>
      <c r="MN358" s="173">
        <f ca="1">(1-$MM358)*(Control!$C$128-Control!$C$127)+Control!$C$127</f>
        <v>0.16</v>
      </c>
      <c r="MO358" s="170" t="e">
        <f ca="1">MAX(0,MIN(1,($MS358-Control!$C$127)/($MN358-Control!$C$127)))</f>
        <v>#DIV/0!</v>
      </c>
      <c r="MP358" s="173" t="e">
        <f ca="1">1/(0.76+1.5*$MI358)-(5-Control!$C$110)*0.1</f>
        <v>#N/A</v>
      </c>
      <c r="MQ358" s="172" t="e">
        <f t="shared" ca="1" si="1379"/>
        <v>#DIV/0!</v>
      </c>
      <c r="MR358" s="168" t="e">
        <f t="shared" ca="1" si="1351"/>
        <v>#DIV/0!</v>
      </c>
      <c r="MS358" s="173" t="e">
        <f ca="1">MAX(Control!$C$127, MIN(Control!$C$135, $MR358/MAX(0.0001,$CY358)))</f>
        <v>#DIV/0!</v>
      </c>
      <c r="MT358" s="168" t="e">
        <f ca="1">(Control!$C$128-$MS358)*Control!$C$74</f>
        <v>#DIV/0!</v>
      </c>
      <c r="MU358" s="168" t="e">
        <f ca="1">(Control!$C$135-$MS358)*Control!$C$74</f>
        <v>#DIV/0!</v>
      </c>
      <c r="MV358" s="168" t="e">
        <f t="shared" ca="1" si="1352"/>
        <v>#DIV/0!</v>
      </c>
      <c r="MW358" s="168" t="e">
        <f t="shared" ca="1" si="1353"/>
        <v>#DIV/0!</v>
      </c>
      <c r="MX358" s="171" t="e">
        <f ca="1">MAX(Control!$C$127, MIN(Control!$C$135, $MW358/MAX(0.0001,Control!$C$119-$CY358)))</f>
        <v>#DIV/0!</v>
      </c>
      <c r="MY358" s="54" t="e">
        <f ca="1">IF(Control!$C$114=1, $CX358*$MX358, 0)</f>
        <v>#DIV/0!</v>
      </c>
      <c r="MZ358" s="54" t="e">
        <f t="shared" ca="1" si="1354"/>
        <v>#N/A</v>
      </c>
      <c r="NA358" s="168" t="e">
        <f ca="1">(Control!$C$128-$MX358)*(Control!$C$119-Control!$C$74)</f>
        <v>#DIV/0!</v>
      </c>
      <c r="NB358" s="168" t="e">
        <f ca="1">(Control!$C$135-$MX358)*(Control!$C$119-Control!$C$74)</f>
        <v>#DIV/0!</v>
      </c>
      <c r="NC358" s="174" t="e">
        <f t="shared" ca="1" si="1355"/>
        <v>#DIV/0!</v>
      </c>
      <c r="ND358" s="54">
        <f ca="1">IF(Control!$C$58=2, IF(OR(Control!$B$218=$AH358,Control!$B$219=$AH358, Control!$B$220=$AH358, Control!$B$221=$AH358, Control!$B$222=$AH358, Control!$B$223=$AH358, Control!$B$224=$AH358, Control!$B$225=$AH358, Control!$B$226=$AH358, Control!$B$227=$AH358, Control!$B$228=$AH358), 1, 0), 0)</f>
        <v>0</v>
      </c>
      <c r="NE358" s="54">
        <f ca="1">IF($ND358=0,0, VLOOKUP($AH358,Control!$B$218:$C$228,2))</f>
        <v>0</v>
      </c>
      <c r="NF358" s="168" t="e">
        <f ca="1">$CY358*(Control!$C$128-Control!$C$127)</f>
        <v>#N/A</v>
      </c>
      <c r="NG358" s="54" t="e">
        <f ca="1">IF(Control!$C$58=2, $NI357-$NJ357, 0)</f>
        <v>#DIV/0!</v>
      </c>
      <c r="NH358" s="54" t="e">
        <f ca="1">IF(AND(Control!$C$58=1, $MS357&lt;= ($MN357+0.02), $I357&lt;10), 0, IF(Control!$C$58=2, $NG357, 0))</f>
        <v>#DIV/0!</v>
      </c>
      <c r="NI358" s="54" t="e">
        <f ca="1">IF(Control!$C$58=2, $NE358+$NH358,0)</f>
        <v>#DIV/0!</v>
      </c>
      <c r="NJ358" s="54" t="e">
        <f ca="1">IF(AND(Control!$C$58=1, $MS358&lt;= ($MN358+0.02), $I358&lt;10), MAX(0, MIN(10, 0.7*($NF358-$MV358))), IF(Control!$C$58=2, MIN(10,$NI358),0))</f>
        <v>#DIV/0!</v>
      </c>
      <c r="NK358" s="54" t="e">
        <f t="shared" ca="1" si="1263"/>
        <v>#DIV/0!</v>
      </c>
      <c r="NL358" s="173" t="e">
        <f ca="1">(1-Control!$C$73)*$I358+$NJ358</f>
        <v>#DIV/0!</v>
      </c>
      <c r="NM358" s="172" t="e">
        <f ca="1">IF($NL358&lt;0.5, $MB358* MAX(0, MIN(1, (SQRT($NC358)-SQRT($NC358-1))*Control!$C$71)),0)</f>
        <v>#DIV/0!</v>
      </c>
      <c r="NN358" s="170" t="e">
        <f ca="1">IF($NL358&gt;=5, $MB358, MAX(0,MIN($MB358, $NM358+$NL358,($MS358-Control!$C$129))))</f>
        <v>#DIV/0!</v>
      </c>
      <c r="NO358" s="54">
        <f>IF(Control!$C$133&lt;&gt;1, Control!$C$135-Control!$C$131, 0)</f>
        <v>0.38</v>
      </c>
      <c r="NP358" s="54" t="e">
        <f t="shared" ca="1" si="1264"/>
        <v>#DIV/0!</v>
      </c>
      <c r="NQ358" s="173" t="e">
        <f ca="1">MAX(0,MIN(1,(Control!$C$135-$MS358)/(Control!$C$135-$NO358)))</f>
        <v>#DIV/0!</v>
      </c>
      <c r="NR358" s="170" t="e">
        <f ca="1">IF(Control!$C$133&lt;&gt;1, $NQ358+((1-$NP358/4)*(1-$NQ358)),1)</f>
        <v>#DIV/0!</v>
      </c>
      <c r="NS358" s="170" t="e">
        <f ca="1">IF(Control!$B$31=0,$MJ358,MAX(0,MIN($MV358,$MO358*$NR358*$MJ358)))</f>
        <v>#DIV/0!</v>
      </c>
      <c r="NT358" s="170" t="e">
        <f t="shared" ca="1" si="1380"/>
        <v>#DIV/0!</v>
      </c>
      <c r="NU358" s="170" t="e">
        <f t="shared" ca="1" si="1356"/>
        <v>#N/A</v>
      </c>
      <c r="NV358" s="170" t="e">
        <f t="shared" ca="1" si="1265"/>
        <v>#N/A</v>
      </c>
      <c r="NW358" s="175" t="e">
        <f t="shared" ca="1" si="1266"/>
        <v>#DIV/0!</v>
      </c>
      <c r="NX358" s="170" t="e">
        <f ca="1">MIN(Control!$C$72+$MU358, $NW358)</f>
        <v>#DIV/0!</v>
      </c>
      <c r="NY358" s="170" t="e">
        <f ca="1">IF($MT358&lt;=$NX358,MIN(Control!$C$72+$NB358,$NX358-$MT358),0)</f>
        <v>#DIV/0!</v>
      </c>
      <c r="NZ358" s="54" t="e">
        <f ca="1">IF(Control!$C$114=1,  $CX358*($MX358-Control!$C$127), 0)</f>
        <v>#DIV/0!</v>
      </c>
      <c r="OA358" s="170" t="e">
        <f t="shared" ca="1" si="1267"/>
        <v>#DIV/0!</v>
      </c>
      <c r="OB358" s="170" t="e">
        <f ca="1">IF($NA358 &lt;=$NY358, MIN(Control!$C$72, $NY358-$NA358), 0)</f>
        <v>#DIV/0!</v>
      </c>
      <c r="OC358" s="168" t="e">
        <f t="shared" ca="1" si="1268"/>
        <v>#DIV/0!</v>
      </c>
      <c r="OD358" s="168" t="e">
        <f t="shared" ca="1" si="1357"/>
        <v>#DIV/0!</v>
      </c>
      <c r="OE358" s="170">
        <f ca="1">Control!$C$73*$I358</f>
        <v>0</v>
      </c>
      <c r="OF358" s="176" t="e">
        <f t="shared" ca="1" si="1269"/>
        <v>#DIV/0!</v>
      </c>
      <c r="OG358" s="168" t="e">
        <f t="shared" ca="1" si="1270"/>
        <v>#DIV/0!</v>
      </c>
      <c r="OH358" s="168" t="e">
        <f t="shared" ca="1" si="1271"/>
        <v>#DIV/0!</v>
      </c>
      <c r="OI358" s="168" t="e">
        <f t="shared" ca="1" si="1272"/>
        <v>#DIV/0!</v>
      </c>
      <c r="OJ358" s="168" t="e">
        <f t="shared" ca="1" si="1273"/>
        <v>#DIV/0!</v>
      </c>
      <c r="OK358" s="204" t="e">
        <f t="shared" ca="1" si="1274"/>
        <v>#DIV/0!</v>
      </c>
      <c r="OL358" s="177">
        <f>Control!$C$127</f>
        <v>0.15</v>
      </c>
      <c r="OM358" s="182" t="e">
        <f t="shared" ca="1" si="1275"/>
        <v>#N/A</v>
      </c>
      <c r="ON358" s="177">
        <f>Control!$C$128</f>
        <v>0.35</v>
      </c>
      <c r="OO358" s="182" t="e">
        <f t="shared" ca="1" si="1276"/>
        <v>#N/A</v>
      </c>
      <c r="OP358" s="138">
        <f t="shared" ca="1" si="1358"/>
        <v>0</v>
      </c>
      <c r="OQ358" s="138" t="e">
        <f t="shared" ca="1" si="1381"/>
        <v>#DIV/0!</v>
      </c>
      <c r="OR358" s="138" t="e">
        <f t="shared" ca="1" si="1359"/>
        <v>#DIV/0!</v>
      </c>
      <c r="OS358" s="137" t="e">
        <f t="shared" ca="1" si="1382"/>
        <v>#DIV/0!</v>
      </c>
      <c r="OT358" s="139" t="e">
        <f t="shared" ca="1" si="1383"/>
        <v>#DIV/0!</v>
      </c>
      <c r="OU358" s="138" t="e">
        <f t="shared" ca="1" si="1384"/>
        <v>#N/A</v>
      </c>
      <c r="OV358" s="138" t="e">
        <f t="shared" ca="1" si="1385"/>
        <v>#DIV/0!</v>
      </c>
      <c r="OW358" s="138" t="e">
        <f t="shared" ca="1" si="1360"/>
        <v>#DIV/0!</v>
      </c>
      <c r="OX358" s="138" t="e">
        <f t="shared" ca="1" si="1361"/>
        <v>#DIV/0!</v>
      </c>
      <c r="OY358" s="138" t="e">
        <f t="shared" ca="1" si="1362"/>
        <v>#DIV/0!</v>
      </c>
      <c r="OZ358" s="138" t="e">
        <f t="shared" ca="1" si="1277"/>
        <v>#DIV/0!</v>
      </c>
      <c r="PA358" s="138" t="e">
        <f t="shared" ca="1" si="1278"/>
        <v>#DIV/0!</v>
      </c>
      <c r="PB358" s="55">
        <f>IF(Control!$C$61="T", IF(Control!$C$65="F", IF($AH$6-Control!$C$60&lt;0,0,1), IF(365+$AH$6-Control!$C$60&lt;0,0,1)),0)</f>
        <v>0</v>
      </c>
      <c r="PC358" s="55">
        <f ca="1">IF(Control!$C$65="F", IF($AH$6-$HF358&lt;0,0,1), IF(365+$AH$6-$HF358&lt;0,0,1))</f>
        <v>1</v>
      </c>
      <c r="PD358" s="444">
        <f>Control!$C$118</f>
        <v>1500</v>
      </c>
      <c r="PE358" s="180" t="e">
        <f t="shared" ca="1" si="1279"/>
        <v>#N/A</v>
      </c>
      <c r="PF358" s="445">
        <f t="shared" ca="1" si="1363"/>
        <v>0.71612369323045078</v>
      </c>
      <c r="PT358" s="186"/>
      <c r="PU358" s="186"/>
      <c r="PV358" s="94"/>
      <c r="PW358" s="94"/>
      <c r="PX358" s="94"/>
      <c r="PY358" s="94"/>
      <c r="PZ358" s="94"/>
      <c r="QA358" s="94"/>
      <c r="QB358" s="94"/>
      <c r="QC358" s="94"/>
      <c r="QD358" s="94"/>
      <c r="QE358" s="94"/>
      <c r="QF358" s="94"/>
      <c r="QG358" s="94"/>
      <c r="QH358" s="94"/>
      <c r="QI358" s="94"/>
      <c r="QJ358" s="94"/>
      <c r="QK358" s="94"/>
      <c r="QL358" s="94"/>
      <c r="QM358" s="94"/>
      <c r="QN358" s="94"/>
      <c r="QO358" s="94"/>
      <c r="QP358" s="94"/>
    </row>
    <row r="359" spans="1:458" s="2" customFormat="1" x14ac:dyDescent="0.2">
      <c r="A359" s="395">
        <v>20</v>
      </c>
      <c r="B359" s="396">
        <v>12</v>
      </c>
      <c r="C359" s="387">
        <f ca="1">Weather_data!$B358</f>
        <v>0</v>
      </c>
      <c r="D359" s="388">
        <f ca="1">Weather_data!$F358</f>
        <v>0</v>
      </c>
      <c r="E359" s="388">
        <f ca="1">Weather_data!$E358</f>
        <v>0</v>
      </c>
      <c r="F359" s="388">
        <f t="shared" ca="1" si="1280"/>
        <v>0</v>
      </c>
      <c r="G359" s="388">
        <f ca="1">AVERAGE($D359:$E359)+Control!$B$9</f>
        <v>0</v>
      </c>
      <c r="H359" s="388">
        <f ca="1">Weather_data!$G358</f>
        <v>0</v>
      </c>
      <c r="I359" s="388">
        <f ca="1">Weather_data!$I358</f>
        <v>0</v>
      </c>
      <c r="J359" s="388">
        <f ca="1">Weather_data!$H358</f>
        <v>0</v>
      </c>
      <c r="K359" s="389">
        <f ca="1">Weather_data!$D358</f>
        <v>0</v>
      </c>
      <c r="L359" s="388" t="e">
        <f t="shared" ca="1" si="1281"/>
        <v>#N/A</v>
      </c>
      <c r="M359" s="388" t="e">
        <f t="shared" ca="1" si="1158"/>
        <v>#N/A</v>
      </c>
      <c r="N359" s="388">
        <f t="shared" ca="1" si="1159"/>
        <v>-3.5202688802456939E-17</v>
      </c>
      <c r="O359" s="388">
        <f t="shared" ca="1" si="1282"/>
        <v>3.5202688802456942E-16</v>
      </c>
      <c r="P359" s="390">
        <v>3</v>
      </c>
      <c r="Q359" s="388">
        <f ca="1">MAX($G359-Control!$C$107,0)</f>
        <v>0</v>
      </c>
      <c r="R359" s="388">
        <f t="shared" ca="1" si="1283"/>
        <v>0</v>
      </c>
      <c r="S359" s="388">
        <f t="shared" ca="1" si="1160"/>
        <v>0</v>
      </c>
      <c r="T359" s="388">
        <f t="shared" ca="1" si="1161"/>
        <v>0</v>
      </c>
      <c r="U359" s="59">
        <f t="shared" ca="1" si="1162"/>
        <v>0</v>
      </c>
      <c r="V359" s="391">
        <f ca="1">MAX(0,MIN(Control!$C$100-Control!$C$99,$G359-Control!$C$99)*Control!$C$63)</f>
        <v>0</v>
      </c>
      <c r="W359" s="388">
        <f t="shared" ca="1" si="1284"/>
        <v>0</v>
      </c>
      <c r="X359" s="388">
        <f t="shared" ca="1" si="1285"/>
        <v>0.6110000000000001</v>
      </c>
      <c r="Y359" s="388">
        <f t="shared" ca="1" si="1163"/>
        <v>0</v>
      </c>
      <c r="Z359" s="388">
        <f t="shared" ca="1" si="1286"/>
        <v>0.61058800000000002</v>
      </c>
      <c r="AA359" s="388">
        <f t="shared" ca="1" si="1164"/>
        <v>0.6018</v>
      </c>
      <c r="AB359" s="388">
        <f ca="1">101.3*EXP(-0.034*Control!$C$66/($G359+273))</f>
        <v>100.69623283836242</v>
      </c>
      <c r="AC359" s="392">
        <f t="shared" ca="1" si="1165"/>
        <v>4.3460251046025113E-2</v>
      </c>
      <c r="AD359" s="392">
        <f t="shared" ca="1" si="1166"/>
        <v>4.4450382862832649E-2</v>
      </c>
      <c r="AE359" s="388">
        <f t="shared" ca="1" si="1167"/>
        <v>0</v>
      </c>
      <c r="AF359" s="388">
        <f ca="1">MAX(0,$G359-Control!$C$92)</f>
        <v>0</v>
      </c>
      <c r="AG359" s="393">
        <f t="shared" ca="1" si="1168"/>
        <v>355</v>
      </c>
      <c r="AH359" s="389">
        <f t="shared" ca="1" si="1169"/>
        <v>355</v>
      </c>
      <c r="AI359" s="388">
        <f t="shared" ca="1" si="1287"/>
        <v>-0.40928066661984508</v>
      </c>
      <c r="AJ359" s="388">
        <f ca="1">IF(Control!$C$60&lt;=0,$HH359,$HI359)</f>
        <v>1</v>
      </c>
      <c r="AK359" s="388">
        <f t="shared" ca="1" si="1170"/>
        <v>4.7339067382859898</v>
      </c>
      <c r="AL359" s="388">
        <f t="shared" ca="1" si="1171"/>
        <v>-1.2082545033931246E-17</v>
      </c>
      <c r="AM359" s="388">
        <f t="shared" ca="1" si="1172"/>
        <v>4.7339067382859898</v>
      </c>
      <c r="AN359" s="388">
        <f t="shared" ca="1" si="1173"/>
        <v>-0.4090173316715825</v>
      </c>
      <c r="AO359" s="388">
        <f ca="1">-0.10453/COS(Control!$B$8*PI()/180)*COS(AN359)</f>
        <v>-0.15577966405347657</v>
      </c>
      <c r="AP359" s="388">
        <f ca="1">ACOS(AO359-TAN(Control!$B$8*PI()/180)*TAN(AN359))</f>
        <v>1.1603395637636833</v>
      </c>
      <c r="AQ359" s="388">
        <f t="shared" ca="1" si="1288"/>
        <v>0</v>
      </c>
      <c r="AR359" s="394">
        <f t="shared" ca="1" si="1174"/>
        <v>0</v>
      </c>
      <c r="AS359" s="436">
        <f ca="1">IF(Control!$B$18=2,(IF(OR($AH359=Control!$B$175,$AH359=Control!$B$176,$AH359=Control!$B$177,$AH359=Control!$B$178,$AH359=Control!$B$179,$AH359=Control!$B$180,$AH359=Control!$B$181,$AH359=Control!$B$182,$AH359=Control!$B$183,$AH359=Control!$B$184,$AH359=Control!$B$185),1,0)),0)</f>
        <v>0</v>
      </c>
      <c r="AT359" s="436">
        <f>IF(Control!$B$20=8,IF(AND($AH359&gt;=Control!$B$172,$AH359&lt;=Control!$B$173),1,0),0)</f>
        <v>0</v>
      </c>
      <c r="AU359" s="436">
        <f>IF(Control!$B$20=8,IF($AV358=1,1*$AT359,IF($AT359=1,$AU358+1,$AU358)),0)</f>
        <v>0</v>
      </c>
      <c r="AV359" s="436">
        <f>IF(Control!$B$20=8,IF($AU359&gt;=Control!$B$174,1,0),0)</f>
        <v>0</v>
      </c>
      <c r="AW359" s="436">
        <f ca="1">IF(AND(Control!$B$18=2,Control!$B$171=1), $AV359, $AS359)</f>
        <v>0</v>
      </c>
      <c r="AX359" s="436" t="e">
        <f ca="1">IF(AND(Control!$B$18=1,$EU359&gt;=Control!$B$19),-$AY359,IF(AND(Control!$B$18=2,$AW359=1,$EU359&gt;$DS359),-$AY359, IF(Control!$C$108=0,0, IF(Control!$C$108&lt;&gt;0,1))))</f>
        <v>#N/A</v>
      </c>
      <c r="AY359" s="436" t="e">
        <f t="shared" ca="1" si="1289"/>
        <v>#N/A</v>
      </c>
      <c r="AZ359" s="436" t="e">
        <f ca="1">IF(AND(Control!$B$18=1,$EB359&gt;Control!$B$19),$AZ358+1, IF(AND(Control!$B$18=2, $AW359=1, $EB359&gt;$DS359), $AZ358+1,$AZ358))</f>
        <v>#N/A</v>
      </c>
      <c r="BA359" s="587">
        <f>IF(Control!$C$81=0,1,IF($AH359&gt;=Control!$C$82,1,0))</f>
        <v>1</v>
      </c>
      <c r="BB359" s="140" t="e">
        <f ca="1">IF($BA359&gt;$BA358,Control!$C$83,IF($AW359&gt;0,$AW359*Control!$C$84,IF(AND(Control!$B$18=1,EN358&lt;&gt;0),Control!$C$84,0)))</f>
        <v>#N/A</v>
      </c>
      <c r="BC359" s="140" t="e">
        <f t="shared" ca="1" si="1290"/>
        <v>#N/A</v>
      </c>
      <c r="BD359" s="140" t="e">
        <f ca="1">BC359*IF(OR($G359&lt;Control!$C$92,$G359&gt;Control!$C$95),0,IF(AND($G359&gt;=Control!$C$92,$G359&lt;=Control!$C$93),$G359-Control!$C$92,IF(AND($G359&gt;Control!$C$93,$G359&lt;=Control!$C$94),Control!$C$93-Control!$C$92,IF(AND($G359&gt;Control!$C$94,$G359&lt;=Control!$C$95),(Control!$C$93-Control!$C$92)*(Control!$C$94-$G359)/(Control!$C$95-Control!$C$94)))))</f>
        <v>#N/A</v>
      </c>
      <c r="BE359" s="140" t="e">
        <f t="shared" ca="1" si="1291"/>
        <v>#N/A</v>
      </c>
      <c r="BF359" s="140" t="e">
        <f ca="1">IF($BE359&lt;=Control!$C$86,$BE359,Control!$C$86-$BE359)</f>
        <v>#N/A</v>
      </c>
      <c r="BG359" s="140" t="e">
        <f ca="1">IF(AND($AW359=1,Control!$C$84&lt;9),1,IF($BE359&gt;=Control!$C$86,0,$BC359))</f>
        <v>#N/A</v>
      </c>
      <c r="BH359" s="404" t="e">
        <f ca="1">IF($BG359=0,0,IF($BE359&lt;=Control!$C$86,$BC359*9*($BF359/Control!$C$86),0))</f>
        <v>#N/A</v>
      </c>
      <c r="BI359" s="140" t="e">
        <f ca="1">IF($BG359=1,0,IF($BE359&gt;=Control!$C$86,1,IF(AND($BB359&lt;21,$BB359&gt;=9),1,$BM358)))</f>
        <v>#N/A</v>
      </c>
      <c r="BJ359" s="140" t="e">
        <f ca="1">IF($BF359&lt;0,-$BF359,$BI359*IF(OR($G359&lt;Control!$C$92,$G359&gt;Control!$C$95),0,IF(AND($G359&gt;=Control!$C$92,$G359&lt;=Control!$C$93),$G359-Control!$C$92,IF(AND($G359&gt;Control!$C$93,$G359&lt;=Control!$C$94),Control!$C$93-Control!$C$92,IF(AND($G359&gt;Control!$C$94,$G359&lt;=Control!$C$95),(Control!$C$93-Control!$C$92)*(Control!$C$94-$G359)/(Control!$C$95-Control!$C$94))))))</f>
        <v>#N/A</v>
      </c>
      <c r="BK359" s="140" t="e">
        <f t="shared" ca="1" si="1292"/>
        <v>#N/A</v>
      </c>
      <c r="BL359" s="140" t="e">
        <f ca="1">IF($BK359&lt;=Control!$C$87,$BK359,Control!$C$87-$BK359)</f>
        <v>#N/A</v>
      </c>
      <c r="BM359" s="140" t="e">
        <f ca="1">IF(AND($BB359&gt;=9,$BB359&lt;21),1,IF($BK359&gt;=Control!$C$87,0,$BI359))</f>
        <v>#N/A</v>
      </c>
      <c r="BN359" s="404" t="e">
        <f ca="1">IF($BM359=0,0,IF($BK359&lt;=Control!$C$87,$BI359*(9+(21-9)*($BL359/Control!$C$87)),0))</f>
        <v>#N/A</v>
      </c>
      <c r="BO359" s="140" t="e">
        <f ca="1">IF($BM359=1,0,IF($BK359&gt;=Control!$C$87,1,IF(AND($BB359&lt;30,$BB359&gt;=21),1,$BS358)))</f>
        <v>#N/A</v>
      </c>
      <c r="BP359" s="140" t="e">
        <f ca="1">IF($BL359&lt;0,-$BL359,$BO359*IF(OR($G359&lt;Control!$C$92,$G359&gt;Control!$C$95),0,IF(AND($G359&gt;=Control!$C$92,$G359&lt;=Control!$C$93),$G359-Control!$C$92,IF(AND($G359&gt;Control!$C$93,$G359&lt;=Control!$C$94),Control!$C$93-Control!$C$92,IF(AND($G359&gt;Control!$C$94,$G359&lt;=Control!$C$95),(Control!$C$93-Control!$C$92)*(Control!$C$94-$G359)/(Control!$C$95-Control!$C$94))))))</f>
        <v>#N/A</v>
      </c>
      <c r="BQ359" s="140" t="e">
        <f t="shared" ca="1" si="1175"/>
        <v>#N/A</v>
      </c>
      <c r="BR359" s="140" t="e">
        <f ca="1">IF($BQ359&lt;=Control!$C$88,$BQ359,Control!$C$88-$BQ359)</f>
        <v>#N/A</v>
      </c>
      <c r="BS359" s="140" t="e">
        <f ca="1">IF(AND($BB359&gt;=21,$BB359&lt;30),1,IF($BQ359&gt;=Control!$C$88,0,$BO359))</f>
        <v>#N/A</v>
      </c>
      <c r="BT359" s="404" t="e">
        <f ca="1">IF($BS359=0,0,IF($BQ359&lt;=Control!$C$88,$BO359*(21+(30-21)*(BR359/Control!$C$88)),0))</f>
        <v>#N/A</v>
      </c>
      <c r="BU359" s="140" t="e">
        <f ca="1">IF(BG359+BM359+BS359=1,0,IF(OR(AND($BB359&lt;60,$BB359&gt;=30),$BQ359&gt;=Control!$C$88),1*$BA359,$BY358))</f>
        <v>#N/A</v>
      </c>
      <c r="BV359" s="140" t="e">
        <f ca="1">IF($BR359&lt;0,-$BR359,$BU359*IF(OR($G359&lt;Control!$C$92,$G359&gt;Control!$C$95),0,IF(AND($G359&gt;=Control!$C$92,$G359&lt;=Control!$C$93),$G359-Control!$C$92,IF(AND($G359&gt;Control!$C$93,$G359&lt;=Control!$C$94),Control!$C$93-Control!$C$92,IF(AND($G359&gt;Control!$C$94,$G359&lt;=Control!$C$95),(Control!$C$93-Control!$C$92)*(Control!$C$94-$G359)/(Control!$C$95-Control!$C$94))))))</f>
        <v>#N/A</v>
      </c>
      <c r="BW359" s="140" t="e">
        <f t="shared" ca="1" si="1176"/>
        <v>#N/A</v>
      </c>
      <c r="BX359" s="140" t="e">
        <f ca="1">IF($BW359&lt;=Control!$C$89,$BW359,Control!$C$89-$BW359)</f>
        <v>#N/A</v>
      </c>
      <c r="BY359" s="140" t="e">
        <f ca="1">IF(AND($AJ359&gt;=30,$AJ359&lt;60),1,IF($BW359&gt;=Control!$C$89,0,$BU359))</f>
        <v>#N/A</v>
      </c>
      <c r="BZ359" s="404" t="e">
        <f ca="1">IF($BY359=0,0,IF($BW359&lt;=Control!$C$89,$BU359*(30+(60-30)*(BX359/Control!$C$89)),0))</f>
        <v>#N/A</v>
      </c>
      <c r="CA359" s="140" t="e">
        <f ca="1">IF($BG359+$BM359+$BS359+$BY359=1,0,IF(OR(AND($BB359&lt;65,$BB359&gt;=60),$BW359&gt;=Control!$C$89),1*$BA359,$CE358))</f>
        <v>#N/A</v>
      </c>
      <c r="CB359" s="140" t="e">
        <f ca="1">IF($BX359&lt;0,-$BX359,$CA359*IF(OR($G359&lt;Control!$C$92,$G359&gt;Control!$C$95),0,IF(AND($G359&gt;=Control!$C$92,$G359&lt;=Control!$C$93),$G359-Control!$C$92,IF(AND($G359&gt;Control!$C$93,$G359&lt;=Control!$C$94),Control!$C$93-Control!$C$92,IF(AND($G359&gt;Control!$C$94,$G359&lt;=Control!$C$95),(Control!$C$93-Control!$C$92)*(Control!$C$94-$G359)/(Control!$C$95-Control!$C$94))))))</f>
        <v>#N/A</v>
      </c>
      <c r="CC359" s="140" t="e">
        <f t="shared" ca="1" si="1293"/>
        <v>#N/A</v>
      </c>
      <c r="CD359" s="140" t="e">
        <f ca="1">IF($CC359&lt;=Control!$C$90,$CC359,Control!$C$90-$CC359)</f>
        <v>#N/A</v>
      </c>
      <c r="CE359" s="140" t="e">
        <f ca="1">IF(AND($BB359&gt;=60,$BB359&lt;65),1,IF($CC359&gt;=Control!$C$90,0,$CA359))</f>
        <v>#N/A</v>
      </c>
      <c r="CF359" s="404" t="e">
        <f ca="1">IF($CE359=0,0,IF($CC359&lt;=Control!$C$90,$CA359*(60+(65-60)*(CD359/Control!$C$90)),0))</f>
        <v>#N/A</v>
      </c>
      <c r="CG359" s="140" t="e">
        <f ca="1">IF($BG359+$BM359+$BS359+$BY359+$CE359=1,0,IF(OR(AND($BB359&lt;90,$BB359&gt;=65),$CC359&gt;=Control!$C$90),$BA359,$CK358))</f>
        <v>#N/A</v>
      </c>
      <c r="CH359" s="140" t="e">
        <f ca="1">IF($CD359&lt;0,-$CD359,$CG359*IF(OR($G359&lt;Control!$C$92,$G359&gt;Control!$C$95),0,IF(AND($G359&gt;=Control!$C$92,$G359&lt;=Control!$C$93),$G359-Control!$C$92,IF(AND($G359&gt;Control!$C$93,$G359&lt;=Control!$C$94),Control!$C$93-Control!$C$92,IF(AND($G359&gt;Control!$C$94,$G359&lt;=Control!$C$95),(Control!$C$93-Control!$C$92)*(Control!$C$94-$G359)/(Control!$C$95-Control!$C$94))))))</f>
        <v>#N/A</v>
      </c>
      <c r="CI359" s="140" t="e">
        <f t="shared" ca="1" si="1294"/>
        <v>#N/A</v>
      </c>
      <c r="CJ359" s="140" t="e">
        <f ca="1">IF($CI359&lt;=Control!$C$91,$CI359,Control!$C$91-$CI359)</f>
        <v>#N/A</v>
      </c>
      <c r="CK359" s="140" t="e">
        <f ca="1">IF(AND($BB359&gt;=65,$BB359&lt;90),1,IF($CI359&gt;=Control!$C$91,0,$CG359))</f>
        <v>#N/A</v>
      </c>
      <c r="CL359" s="404" t="e">
        <f ca="1">IF($CK359=0,0,IF($CI359&lt;=Control!$C$91,$CG359*(65+(90-65)*($CJ359/Control!$C$91)),0))</f>
        <v>#N/A</v>
      </c>
      <c r="CM359" s="140" t="e">
        <f ca="1">IF($BG359+$BM359+$BS359+$BY359+$CE359+$CK359=1,0,IF(OR($BB359&gt;=90,$CI359&gt;=Control!$C$91),$BA359,$CM358))</f>
        <v>#N/A</v>
      </c>
      <c r="CN359" s="140" t="e">
        <f t="shared" ca="1" si="1295"/>
        <v>#N/A</v>
      </c>
      <c r="CO359" s="140" t="e">
        <f t="shared" ca="1" si="1296"/>
        <v>#N/A</v>
      </c>
      <c r="CP359" s="140" t="e">
        <f t="shared" ca="1" si="1297"/>
        <v>#N/A</v>
      </c>
      <c r="CQ359" s="141" t="e">
        <f ca="1">VLOOKUP($CP359,Control!$B$86:$G$91,6)</f>
        <v>#N/A</v>
      </c>
      <c r="CR359" s="141" t="e">
        <f ca="1">(1-$CQ359)*VLOOKUP($CP359,Control!$B$86:$D$91,3)</f>
        <v>#N/A</v>
      </c>
      <c r="CS359" s="141" t="e">
        <f ca="1">(1-$CQ359)*VLOOKUP($CP359,Control!$B$86:$E$91,4)</f>
        <v>#N/A</v>
      </c>
      <c r="CT359" s="141" t="e">
        <f ca="1">(1-$CQ359)*VLOOKUP($CP359,Control!$B$86:$F$91,5)</f>
        <v>#N/A</v>
      </c>
      <c r="CU359" s="141">
        <f t="shared" ca="1" si="1298"/>
        <v>0</v>
      </c>
      <c r="CV359" s="583">
        <f t="shared" ca="1" si="1299"/>
        <v>0</v>
      </c>
      <c r="CW359" s="142">
        <f t="shared" ca="1" si="1300"/>
        <v>355</v>
      </c>
      <c r="CX359" s="612" t="e">
        <f ca="1">IF(Control!$C$114=1,(MIN(Control!$C$120*(IF($NT359-0.01&lt;0,0,1)),Control!$C$119-$CY359)))</f>
        <v>#DIV/0!</v>
      </c>
      <c r="CY359" s="143" t="e">
        <f t="shared" ca="1" si="1301"/>
        <v>#N/A</v>
      </c>
      <c r="CZ359" s="144">
        <f t="shared" ca="1" si="1177"/>
        <v>0</v>
      </c>
      <c r="DA359" s="144">
        <f t="shared" ca="1" si="1178"/>
        <v>0</v>
      </c>
      <c r="DB359" s="144" t="e">
        <f t="shared" ca="1" si="1179"/>
        <v>#N/A</v>
      </c>
      <c r="DC359" s="144" t="e">
        <f t="shared" ca="1" si="1180"/>
        <v>#N/A</v>
      </c>
      <c r="DD359" s="144" t="e">
        <f t="shared" ca="1" si="1386"/>
        <v>#N/A</v>
      </c>
      <c r="DE359" s="143" t="e">
        <f t="shared" ca="1" si="1302"/>
        <v>#N/A</v>
      </c>
      <c r="DF359" s="145" t="e">
        <f ca="1">$DR359*EXP(-Control!$C$158*(1-$KH359))</f>
        <v>#N/A</v>
      </c>
      <c r="DG359" s="146" t="e">
        <f ca="1">IF(Control!$C$114=1, $DF359*$EY359, 0)</f>
        <v>#N/A</v>
      </c>
      <c r="DH359" s="147" t="e">
        <f t="shared" ca="1" si="1303"/>
        <v>#N/A</v>
      </c>
      <c r="DI359" s="144" t="e">
        <f t="shared" ca="1" si="1364"/>
        <v>#N/A</v>
      </c>
      <c r="DJ359" s="147" t="e">
        <f ca="1">$EF359*Control!$C$109</f>
        <v>#N/A</v>
      </c>
      <c r="DK359" s="144" t="e">
        <f t="shared" ca="1" si="1304"/>
        <v>#N/A</v>
      </c>
      <c r="DL359" s="144" t="e">
        <f t="shared" ca="1" si="1181"/>
        <v>#N/A</v>
      </c>
      <c r="DM359" s="144" t="e">
        <f ca="1">IF(Control!$C$114=1, (1-EXP(-Control!$C$96*$DK359))*$AR359, 0)</f>
        <v>#N/A</v>
      </c>
      <c r="DN359" s="144">
        <f t="shared" ca="1" si="1305"/>
        <v>0</v>
      </c>
      <c r="DO359" s="148">
        <f>Control!$C$97</f>
        <v>4</v>
      </c>
      <c r="DP359" s="145" t="e">
        <f t="shared" ca="1" si="1306"/>
        <v>#N/A</v>
      </c>
      <c r="DQ359" s="145" t="e">
        <f ca="1">IF(AND($CP359&gt;=0,$CP359&lt;=90),Control!$C$111,Control!$C$111)</f>
        <v>#N/A</v>
      </c>
      <c r="DR359" s="145" t="e">
        <f t="shared" ca="1" si="1182"/>
        <v>#N/A</v>
      </c>
      <c r="DS359" s="143" t="e">
        <f ca="1">Control!$B$22/$DR359</f>
        <v>#N/A</v>
      </c>
      <c r="DT359" s="149" t="e">
        <f ca="1">IF(AND(Control!$C$114=1,$KH359&lt;1),$IM359*$DF359, 0)</f>
        <v>#N/A</v>
      </c>
      <c r="DU359" s="144" t="e">
        <f t="shared" ca="1" si="1307"/>
        <v>#N/A</v>
      </c>
      <c r="DV359" s="144">
        <f ca="1">IF($G359-Control!$C$107&lt;=0, 0, 0.83*LN(MAX($G359, 3))-0.8924)</f>
        <v>0</v>
      </c>
      <c r="DW359" s="144" t="e">
        <f t="shared" ca="1" si="1183"/>
        <v>#N/A</v>
      </c>
      <c r="DX359" s="150" t="e">
        <f ca="1">MAX(0.01*(1+$CU359/Control!$C$102),0.05*($DK359-Control!$C$97)/Control!$C$97)</f>
        <v>#N/A</v>
      </c>
      <c r="DY359" s="151" t="e">
        <f ca="1">IF(Control!$C$114=1, $DI359*$FS359, 0)</f>
        <v>#N/A</v>
      </c>
      <c r="DZ359" s="196" t="e">
        <f t="shared" ca="1" si="1308"/>
        <v>#N/A</v>
      </c>
      <c r="EA359" s="152">
        <f t="shared" ca="1" si="1309"/>
        <v>355</v>
      </c>
      <c r="EB359" s="153" t="e">
        <f t="shared" ca="1" si="1310"/>
        <v>#N/A</v>
      </c>
      <c r="EC359" s="153" t="e">
        <f t="shared" ca="1" si="1311"/>
        <v>#N/A</v>
      </c>
      <c r="ED359" s="154" t="e">
        <f ca="1">IF(Control!$C$114=1, $HM359*$FY359-$FD359, 0)</f>
        <v>#DIV/0!</v>
      </c>
      <c r="EE359" s="155" t="e">
        <f ca="1">IF(Control!$C$114=1, $HM359*$FZ359-$FF359, 0)</f>
        <v>#DIV/0!</v>
      </c>
      <c r="EF359" s="153" t="e">
        <f t="shared" ca="1" si="1365"/>
        <v>#N/A</v>
      </c>
      <c r="EG359" s="155" t="e">
        <f ca="1">IF(Control!$C$114=1, $GX359*$FW359-$FI359, 0)</f>
        <v>#DIV/0!</v>
      </c>
      <c r="EH359" s="153" t="e">
        <f t="shared" ca="1" si="1312"/>
        <v>#N/A</v>
      </c>
      <c r="EI359" s="156" t="e">
        <f t="shared" ca="1" si="1313"/>
        <v>#N/A</v>
      </c>
      <c r="EJ359" s="155" t="e">
        <f ca="1">IF(Control!$C$114=1, $HM359*$GB359, 0)</f>
        <v>#DIV/0!</v>
      </c>
      <c r="EK359" s="153" t="e">
        <f t="shared" ca="1" si="1366"/>
        <v>#N/A</v>
      </c>
      <c r="EL359" s="153" t="e">
        <f t="shared" ca="1" si="1184"/>
        <v>#N/A</v>
      </c>
      <c r="EM359" s="153" t="e">
        <f t="shared" ca="1" si="1185"/>
        <v>#N/A</v>
      </c>
      <c r="EN359" s="153" t="e">
        <f ca="1">IF(Control!$C$108=1,IF(AND(Control!$B$18=1,$EB359&gt;=Control!$B$19),$EB359-$DS359,IF(AND(Control!$B$18=2,$AW359=1,$EB359&gt;$DS359),$EB359-$DS359,0)))</f>
        <v>#N/A</v>
      </c>
      <c r="EO359" s="153" t="e">
        <f ca="1">IF(Control!$C$108=1,IF(AND(Control!$B$18=1,$EB359&gt;=Control!$B$19),$EF359,IF(AND(Control!$B$18=2,$AW359=1),$EF359,0)))</f>
        <v>#N/A</v>
      </c>
      <c r="EP359" s="153" t="e">
        <f ca="1">IF(Control!$C$108=1,IF(AND(Control!$B$18=1,$EB359&gt;=Control!$B$19),$EK359,IF(AND(Control!$B$18=2,$AW359=1),$EK359,0)))</f>
        <v>#N/A</v>
      </c>
      <c r="EQ359" s="153" t="e">
        <f t="shared" ca="1" si="1314"/>
        <v>#N/A</v>
      </c>
      <c r="ER359" s="153" t="e">
        <f t="shared" ca="1" si="1315"/>
        <v>#N/A</v>
      </c>
      <c r="ES359" s="153" t="e">
        <f t="shared" ca="1" si="1367"/>
        <v>#N/A</v>
      </c>
      <c r="ET359" s="153" t="e">
        <f t="shared" ca="1" si="1368"/>
        <v>#N/A</v>
      </c>
      <c r="EU359" s="153" t="e">
        <f t="shared" ca="1" si="1316"/>
        <v>#N/A</v>
      </c>
      <c r="EV359" s="153" t="e">
        <f t="shared" ca="1" si="1186"/>
        <v>#N/A</v>
      </c>
      <c r="EW359" s="153" t="e">
        <f t="shared" ca="1" si="1187"/>
        <v>#N/A</v>
      </c>
      <c r="EX359" s="153" t="e">
        <f t="shared" ca="1" si="1188"/>
        <v>#N/A</v>
      </c>
      <c r="EY359" s="157" t="e">
        <f t="shared" ca="1" si="1189"/>
        <v>#DIV/0!</v>
      </c>
      <c r="EZ359" s="154" t="e">
        <f t="shared" ca="1" si="1190"/>
        <v>#DIV/0!</v>
      </c>
      <c r="FA359" s="153" t="e">
        <f t="shared" ca="1" si="1317"/>
        <v>#N/A</v>
      </c>
      <c r="FB359" s="153" t="e">
        <f t="shared" ca="1" si="1191"/>
        <v>#N/A</v>
      </c>
      <c r="FC359" s="193" t="e">
        <f t="shared" ca="1" si="1192"/>
        <v>#N/A</v>
      </c>
      <c r="FD359" s="158" t="e">
        <f t="shared" ca="1" si="1318"/>
        <v>#N/A</v>
      </c>
      <c r="FE359" s="158" t="e">
        <f t="shared" ca="1" si="1319"/>
        <v>#N/A</v>
      </c>
      <c r="FF359" s="159" t="e">
        <f t="shared" ca="1" si="1193"/>
        <v>#N/A</v>
      </c>
      <c r="FG359" s="160" t="e">
        <f t="shared" ca="1" si="1320"/>
        <v>#N/A</v>
      </c>
      <c r="FH359" s="158" t="e">
        <f t="shared" ca="1" si="1321"/>
        <v>#N/A</v>
      </c>
      <c r="FI359" s="159" t="e">
        <f t="shared" ca="1" si="1194"/>
        <v>#N/A</v>
      </c>
      <c r="FJ359" s="160" t="e">
        <f t="shared" ca="1" si="1322"/>
        <v>#N/A</v>
      </c>
      <c r="FK359" s="160" t="e">
        <f t="shared" ca="1" si="1195"/>
        <v>#N/A</v>
      </c>
      <c r="FL359" s="160" t="e">
        <f t="shared" ca="1" si="1369"/>
        <v>#N/A</v>
      </c>
      <c r="FM359" s="160" t="e">
        <f t="shared" ca="1" si="1196"/>
        <v>#N/A</v>
      </c>
      <c r="FN359" s="158">
        <f t="shared" ca="1" si="1323"/>
        <v>0.01</v>
      </c>
      <c r="FO359" s="160">
        <f>Control!$C$101</f>
        <v>50</v>
      </c>
      <c r="FP359" s="150" t="e">
        <f t="shared" ca="1" si="1197"/>
        <v>#N/A</v>
      </c>
      <c r="FQ359" s="150" t="e">
        <f ca="1">MAX(0,(Control!$C$112*(($DK359-Control!$C$97)/Control!$C$97)))</f>
        <v>#N/A</v>
      </c>
      <c r="FR359" s="150" t="e">
        <f ca="1">(1-$NT359)*Control!$C$113</f>
        <v>#DIV/0!</v>
      </c>
      <c r="FS359" s="198" t="e">
        <f t="shared" ca="1" si="1198"/>
        <v>#N/A</v>
      </c>
      <c r="FT359" s="161">
        <f t="shared" ca="1" si="1324"/>
        <v>355</v>
      </c>
      <c r="FU359" s="162" t="e">
        <f ca="1">IF(Control!$B$34=1,VLOOKUP($CP359,Control!$B$86:$G$91,6),Control!$B$35)</f>
        <v>#N/A</v>
      </c>
      <c r="FV359" s="162" t="e">
        <f t="shared" ca="1" si="1199"/>
        <v>#DIV/0!</v>
      </c>
      <c r="FW359" s="162" t="e">
        <f ca="1">IF(Control!$B$31=1,$FU359*$FV359,  $FU359)</f>
        <v>#N/A</v>
      </c>
      <c r="FX359" s="162" t="e">
        <f ca="1">IF(Control!$B$34=1,VLOOKUP($CP359,Control!$B$86:$G$91,3),Control!$B$36)</f>
        <v>#N/A</v>
      </c>
      <c r="FY359" s="162" t="e">
        <f t="shared" ca="1" si="1200"/>
        <v>#N/A</v>
      </c>
      <c r="FZ359" s="162" t="e">
        <f ca="1">IF(Control!$B$34=1,VLOOKUP($CP359,Control!$B$86:$G$91,4),Control!$B$37)</f>
        <v>#N/A</v>
      </c>
      <c r="GA359" s="162" t="e">
        <f t="shared" ca="1" si="1201"/>
        <v>#N/A</v>
      </c>
      <c r="GB359" s="162" t="e">
        <f ca="1">IF(Control!$B$34=1,VLOOKUP($CP359,Control!$B$86:$G$91,5),Control!$B$38)</f>
        <v>#N/A</v>
      </c>
      <c r="GC359" s="162" t="e">
        <f t="shared" ca="1" si="1325"/>
        <v>#N/A</v>
      </c>
      <c r="GD359" s="162">
        <f t="shared" ca="1" si="1202"/>
        <v>1</v>
      </c>
      <c r="GE359" s="162">
        <f t="shared" ca="1" si="1203"/>
        <v>1</v>
      </c>
      <c r="GF359" s="162">
        <f ca="1">IF(AND(Control!$C$104=1, Control!$C$62="F"),$GE359,1)</f>
        <v>1</v>
      </c>
      <c r="GG359" s="162" t="e">
        <f ca="1">IF(Control!$B$16=40,0,IF(AND(Control!$B$16&gt;40,Control!$B$16&lt;=360),(Control!$B$16-40)*((1-0)/(360-40)),IF(AND(Control!$B$16&gt;360,Control!$B$16&lt;=720),(1+(Control!$B$16-360)*((1.25-1)/(720-360))),IF(AND(Control!$B$16&gt;720,Control!$B$16&lt;=1000),(1.25+(Control!$B$16-720)*((1.35-1.25)/(1000-720))),IF(AND(Control!$B$16&gt;1000,Control!$B$16&lt;=2000),(1.35+(Control!$B$16-1000)*0))))))</f>
        <v>#N/A</v>
      </c>
      <c r="GH359" s="162" t="e">
        <f t="shared" ca="1" si="1204"/>
        <v>#N/A</v>
      </c>
      <c r="GI359" s="162">
        <f t="shared" ca="1" si="1326"/>
        <v>0</v>
      </c>
      <c r="GJ359" s="162">
        <f t="shared" ca="1" si="1205"/>
        <v>0</v>
      </c>
      <c r="GK359" s="162">
        <f t="shared" ca="1" si="1327"/>
        <v>1</v>
      </c>
      <c r="GL359" s="162">
        <f t="shared" ca="1" si="1206"/>
        <v>1</v>
      </c>
      <c r="GM359" s="162" t="e">
        <f ca="1">MAX(0,MIN(1,1-Control!$C$156*(1.0001-$KH359)^2))</f>
        <v>#N/A</v>
      </c>
      <c r="GN359" s="162" t="e">
        <f ca="1">IF(Control!$B$26=1,$KU359,$KX359)</f>
        <v>#N/A</v>
      </c>
      <c r="GO359" s="162" t="e">
        <f ca="1">IF($CP359&lt;=60,Control!$C$105,IF($CP359&gt;=90,Control!$C$106,Control!$C$105+($CP359-60)*((Control!$C$106-Control!$C$105)/(90-60))))</f>
        <v>#N/A</v>
      </c>
      <c r="GP359" s="162" t="e">
        <f t="shared" ca="1" si="1207"/>
        <v>#N/A</v>
      </c>
      <c r="GQ359" s="162" t="e">
        <f t="shared" ca="1" si="1328"/>
        <v>#N/A</v>
      </c>
      <c r="GR359" s="163" t="e">
        <f t="shared" ca="1" si="1208"/>
        <v>#DIV/0!</v>
      </c>
      <c r="GS359" s="162" t="e">
        <f t="shared" ca="1" si="1209"/>
        <v>#DIV/0!</v>
      </c>
      <c r="GT359" s="164" t="e">
        <f t="shared" ca="1" si="1329"/>
        <v>#N/A</v>
      </c>
      <c r="GU359" s="162" t="e">
        <f t="shared" ca="1" si="1330"/>
        <v>#N/A</v>
      </c>
      <c r="GV359" s="162" t="e">
        <f t="shared" ca="1" si="1210"/>
        <v>#N/A</v>
      </c>
      <c r="GW359" s="162" t="e">
        <f t="shared" ca="1" si="1211"/>
        <v>#DIV/0!</v>
      </c>
      <c r="GX359" s="162" t="e">
        <f t="shared" ca="1" si="1331"/>
        <v>#DIV/0!</v>
      </c>
      <c r="GY359" s="162" t="e">
        <f t="shared" ca="1" si="1332"/>
        <v>#DIV/0!</v>
      </c>
      <c r="GZ359" s="165" t="e">
        <f t="shared" ca="1" si="1212"/>
        <v>#N/A</v>
      </c>
      <c r="HA359" s="162" t="e">
        <f ca="1">IF(Control!$C$114=1, $DI359*$FS359, 0)</f>
        <v>#N/A</v>
      </c>
      <c r="HB359" s="162" t="e">
        <f ca="1">$FA359/Control!$C$64</f>
        <v>#N/A</v>
      </c>
      <c r="HC359" s="162" t="e">
        <f t="shared" ca="1" si="1213"/>
        <v>#DIV/0!</v>
      </c>
      <c r="HD359" s="162">
        <f ca="1">-ASIN(SIN(23.45*Control!$C$139)*COS(2*Control!$C$138*($AH359+10)/365))</f>
        <v>-0.40928066661984508</v>
      </c>
      <c r="HE359" s="165">
        <f t="shared" ca="1" si="1333"/>
        <v>0</v>
      </c>
      <c r="HF359" s="166">
        <f ca="1">IF(AND(Control!$C$61="T",$HE359&gt;=Control!$C$103,Control!$C$114=0),$AH359,Control!$C$59)</f>
        <v>1</v>
      </c>
      <c r="HG359" s="166">
        <f ca="1">IF(AND(Control!$C$61="T",$HE359&gt;=Control!$C$103,Control!$C$114=0),$HF359,Control!$C$59)</f>
        <v>1</v>
      </c>
      <c r="HH359" s="165">
        <f ca="1">IF(AND(OR(Control!$C$60&lt;=0, $AH359= Control!$C$59, Control!$C$60 &gt;0, $AH359 = Control!$C$60)), Control!$C$59, IF(Control!$C$60&gt;0, 0))</f>
        <v>1</v>
      </c>
      <c r="HI359" s="165">
        <f ca="1">IF(AND(OR(Control!$C$60&lt;=0, $AH359= Control!$C$59, Control!$C$60 &gt;0, $AH359 = Control!$C$60)), Control!$C$60, IF(Control!$C$60&lt;=0, 0))</f>
        <v>0</v>
      </c>
      <c r="HJ359" s="166">
        <f ca="1">IF(AND(Control!$C$62="F",$CV359&gt;=Control!$C$102),$AH359,0)</f>
        <v>0</v>
      </c>
      <c r="HK359" s="165" t="e">
        <f t="shared" ca="1" si="1370"/>
        <v>#N/A</v>
      </c>
      <c r="HL359" s="166">
        <f ca="1">IF(AND(Control!$C$61="T",$HE359&gt;=Control!$C$103,Control!$C$114=0),$HF359,0)</f>
        <v>0</v>
      </c>
      <c r="HM359" s="201" t="e">
        <f t="shared" ca="1" si="1214"/>
        <v>#DIV/0!</v>
      </c>
      <c r="HN359" s="215">
        <f t="shared" ca="1" si="1334"/>
        <v>355</v>
      </c>
      <c r="HO359" s="216" t="e">
        <f ca="1">IF(AND($CP359&gt;=0, $CP359&lt;=90), Control!$C$152, Control!$C$152)</f>
        <v>#N/A</v>
      </c>
      <c r="HP359" s="216" t="e">
        <f t="shared" ca="1" si="1215"/>
        <v>#N/A</v>
      </c>
      <c r="HQ359" s="217" t="e">
        <f ca="1">IF(OR(Control!$B$26=1,Control!$B$26=2),$KV359,$KS359)</f>
        <v>#DIV/0!</v>
      </c>
      <c r="HR359" s="218" t="e">
        <f t="shared" ca="1" si="1371"/>
        <v>#DIV/0!</v>
      </c>
      <c r="HS359" s="216" t="e">
        <f ca="1">Control!$C$154*$HP359</f>
        <v>#N/A</v>
      </c>
      <c r="HT359" s="216" t="e">
        <f ca="1">Control!$C$155*$HP359</f>
        <v>#N/A</v>
      </c>
      <c r="HU359" s="217" t="e">
        <f ca="1">Control!$C$161*$FI359</f>
        <v>#N/A</v>
      </c>
      <c r="HV359" s="218" t="e">
        <f t="shared" ca="1" si="1335"/>
        <v>#N/A</v>
      </c>
      <c r="HW359" s="218" t="e">
        <f ca="1">Control!$C$160*$FF359+$IP359*$EO359</f>
        <v>#N/A</v>
      </c>
      <c r="HX359" s="218" t="e">
        <f t="shared" ca="1" si="1372"/>
        <v>#N/A</v>
      </c>
      <c r="HY359" s="219" t="e">
        <f ca="1">IF(Control!$C$114=1, $EB359*$FS359, 0)</f>
        <v>#N/A</v>
      </c>
      <c r="HZ359" s="91" t="e">
        <f t="shared" ca="1" si="1216"/>
        <v>#N/A</v>
      </c>
      <c r="IA359" s="220" t="e">
        <f ca="1">Control!$C$153*$HO359</f>
        <v>#N/A</v>
      </c>
      <c r="IB359" s="218" t="e">
        <f t="shared" ca="1" si="1217"/>
        <v>#N/A</v>
      </c>
      <c r="IC359" s="220" t="e">
        <f ca="1">Control!$C$153*$HT359</f>
        <v>#N/A</v>
      </c>
      <c r="ID359" s="218" t="e">
        <f t="shared" ca="1" si="1218"/>
        <v>#N/A</v>
      </c>
      <c r="IE359" s="221" t="e">
        <f ca="1">($EB359*Control!$C$159+$EF359*Control!$C$160)/(IF($GZ359&lt;&gt;0,$GZ359,1))</f>
        <v>#N/A</v>
      </c>
      <c r="IF359" s="216" t="e">
        <f t="shared" ca="1" si="1219"/>
        <v>#N/A</v>
      </c>
      <c r="IG359" s="91">
        <f ca="1">IF(OR(Control!$B$198=$AH359,Control!$B$199=$AH359, Control!$B$200=$AH359, Control!$B$201=$AH359, Control!$B$202=$AH359, Control!$B$203=$AH359, Control!$B$204=$AH359, Control!$B$205=$AH359, Control!$B$206=$AH359, Control!$B$207=$AH359), 1, 0)</f>
        <v>0</v>
      </c>
      <c r="IH359" s="91">
        <f ca="1">IF($IG359=0,0, VLOOKUP($AH359,Control!$B$198:$C$207,2))</f>
        <v>0</v>
      </c>
      <c r="II359" s="222">
        <f t="shared" ca="1" si="1336"/>
        <v>0</v>
      </c>
      <c r="IJ359" s="91">
        <f>Control!$C$121</f>
        <v>0.7</v>
      </c>
      <c r="IK359" s="218">
        <f t="shared" ca="1" si="1220"/>
        <v>0</v>
      </c>
      <c r="IL359" s="217" t="e">
        <f t="shared" ca="1" si="1373"/>
        <v>#N/A</v>
      </c>
      <c r="IM359" s="223" t="e">
        <f ca="1">IF(AND(Control!$C$114=1,$KH359&lt;1),$EB359*Control!$C$148*(1-$KH359), 0)</f>
        <v>#N/A</v>
      </c>
      <c r="IN359" s="217" t="e">
        <f t="shared" ca="1" si="1221"/>
        <v>#DIV/0!</v>
      </c>
      <c r="IO359" s="91" t="e">
        <f ca="1">MAX(0,$IL359-$EF359*Control!$C$160)</f>
        <v>#N/A</v>
      </c>
      <c r="IP359" s="220" t="e">
        <f t="shared" ca="1" si="1222"/>
        <v>#N/A</v>
      </c>
      <c r="IQ359" s="217" t="e">
        <f t="shared" ca="1" si="1337"/>
        <v>#N/A</v>
      </c>
      <c r="IR359" s="218" t="e">
        <f t="shared" ca="1" si="1223"/>
        <v>#N/A</v>
      </c>
      <c r="IS359" s="217" t="e">
        <f ca="1">Control!$C$159*MAX(0,$FD359-$EN359)</f>
        <v>#N/A</v>
      </c>
      <c r="IT359" s="217" t="e">
        <f t="shared" ca="1" si="1374"/>
        <v>#N/A</v>
      </c>
      <c r="IU359" s="217" t="e">
        <f t="shared" ca="1" si="1338"/>
        <v>#N/A</v>
      </c>
      <c r="IV359" s="217" t="e">
        <f t="shared" ca="1" si="1375"/>
        <v>#N/A</v>
      </c>
      <c r="IW359" s="217" t="e">
        <f ca="1">IF(OR($AW359=1,AND($AW359=0, Control!$B$18=1,$EN359&lt;&gt;0)), $IQ359-$IU359, $IQ359)</f>
        <v>#N/A</v>
      </c>
      <c r="IX359" s="218" t="e">
        <f t="shared" ca="1" si="1224"/>
        <v>#N/A</v>
      </c>
      <c r="IY359" s="218" t="e">
        <f ca="1">MAX(0,$IQ359-$EB359*Control!$C$159)</f>
        <v>#N/A</v>
      </c>
      <c r="IZ359" s="218" t="e">
        <f t="shared" ca="1" si="1225"/>
        <v>#N/A</v>
      </c>
      <c r="JA359" s="216" t="e">
        <f t="shared" ca="1" si="1226"/>
        <v>#N/A</v>
      </c>
      <c r="JB359" s="217" t="e">
        <f t="shared" ca="1" si="1227"/>
        <v>#N/A</v>
      </c>
      <c r="JC359" s="222" t="e">
        <f ca="1">MAX(Control!$C$157*$EK359-$JT359, 0)/Control!$C$162</f>
        <v>#N/A</v>
      </c>
      <c r="JD359" s="218" t="e">
        <f t="shared" ca="1" si="1228"/>
        <v>#N/A</v>
      </c>
      <c r="JE359" s="218" t="e">
        <f t="shared" ca="1" si="1229"/>
        <v>#N/A</v>
      </c>
      <c r="JF359" s="218" t="e">
        <f t="shared" ca="1" si="1339"/>
        <v>#N/A</v>
      </c>
      <c r="JG359" s="218" t="e">
        <f t="shared" ca="1" si="1230"/>
        <v>#N/A</v>
      </c>
      <c r="JH359" s="217" t="e">
        <f t="shared" ca="1" si="1340"/>
        <v>#N/A</v>
      </c>
      <c r="JI359" s="217" t="e">
        <f t="shared" ca="1" si="1341"/>
        <v>#N/A</v>
      </c>
      <c r="JJ359" s="217" t="e">
        <f t="shared" ca="1" si="1376"/>
        <v>#N/A</v>
      </c>
      <c r="JK359" s="217" t="e">
        <f ca="1">IF(Control!$C$114=1,IF(Control!$B$24=0,MAX(0,$JI359)*$GN359/Control!$C$64,(MAX(0,MIN($JI359,$JJ359*$GN359/Control!$C$64),0))))</f>
        <v>#N/A</v>
      </c>
      <c r="JL359" s="217" t="e">
        <f ca="1">$IK359/Control!$C$64-$JK359+$HQ359</f>
        <v>#N/A</v>
      </c>
      <c r="JM359" s="217" t="e">
        <f ca="1">IF(Control!$C$114=1,($JB359/(IF($JI359&lt;&gt;0,$JI359,1)))*$JK359,0)</f>
        <v>#N/A</v>
      </c>
      <c r="JN359" s="217" t="e">
        <f ca="1">IF(Control!$C$114=1,($JG359/(IF($JI359&lt;&gt;0,$JI359,1)))*$JK359, 0)</f>
        <v>#N/A</v>
      </c>
      <c r="JO359" s="218" t="e">
        <f t="shared" ca="1" si="1231"/>
        <v>#N/A</v>
      </c>
      <c r="JP359" s="218" t="e">
        <f ca="1">MIN(($IY359+$IO359)*Control!$C$151, $JF359-$EH359*Control!$C$161)</f>
        <v>#N/A</v>
      </c>
      <c r="JQ359" s="218" t="e">
        <f t="shared" ca="1" si="1232"/>
        <v>#N/A</v>
      </c>
      <c r="JR359" s="217" t="e">
        <f ca="1">IF($CP359-Control!$C$150&lt;0, 0, $JQ359/Control!$C$162)</f>
        <v>#N/A</v>
      </c>
      <c r="JS359" s="218" t="e">
        <f t="shared" ca="1" si="1233"/>
        <v>#N/A</v>
      </c>
      <c r="JT359" s="218" t="e">
        <f t="shared" ca="1" si="1342"/>
        <v>#N/A</v>
      </c>
      <c r="JU359" s="218" t="e">
        <f t="shared" ca="1" si="1234"/>
        <v>#N/A</v>
      </c>
      <c r="JV359" s="218" t="e">
        <f t="shared" ca="1" si="1235"/>
        <v>#N/A</v>
      </c>
      <c r="JW359" s="216" t="e">
        <f t="shared" ca="1" si="1236"/>
        <v>#N/A</v>
      </c>
      <c r="JX359" s="91" t="e">
        <f t="shared" ca="1" si="1237"/>
        <v>#N/A</v>
      </c>
      <c r="JY359" s="218" t="e">
        <f t="shared" ca="1" si="1238"/>
        <v>#N/A</v>
      </c>
      <c r="JZ359" s="217" t="e">
        <f ca="1">IF(Control!$C$114=1,($IZ359/(IF($JI359&lt;&gt;0,$JI359,1)))*$JK359, 0)</f>
        <v>#N/A</v>
      </c>
      <c r="KA359" s="218" t="e">
        <f t="shared" ca="1" si="1377"/>
        <v>#N/A</v>
      </c>
      <c r="KB359" s="218" t="e">
        <f t="shared" ca="1" si="1343"/>
        <v>#N/A</v>
      </c>
      <c r="KC359" s="218" t="e">
        <f t="shared" ca="1" si="1239"/>
        <v>#N/A</v>
      </c>
      <c r="KD359" s="218" t="e">
        <f t="shared" ca="1" si="1240"/>
        <v>#N/A</v>
      </c>
      <c r="KE359" s="218" t="e">
        <f t="shared" ca="1" si="1241"/>
        <v>#N/A</v>
      </c>
      <c r="KF359" s="218" t="e">
        <f t="shared" ca="1" si="1242"/>
        <v>#N/A</v>
      </c>
      <c r="KG359" s="216" t="e">
        <f t="shared" ca="1" si="1243"/>
        <v>#N/A</v>
      </c>
      <c r="KH359" s="221" t="e">
        <f ca="1">IF(Control!$B$24=0,1,MAX(0.001,MIN(1,IF(($IF359-$IE359)&lt;&gt;0,($KG359-$IE359)/($IF359-$IE359),1))))</f>
        <v>#N/A</v>
      </c>
      <c r="KI359" s="222" t="e">
        <f ca="1">IF(Control!$C$114=1, $KI358+ $KH358, 0)</f>
        <v>#N/A</v>
      </c>
      <c r="KJ359" s="217" t="e">
        <f t="shared" ca="1" si="1244"/>
        <v>#N/A</v>
      </c>
      <c r="KK359" s="218" t="e">
        <f t="shared" ca="1" si="1245"/>
        <v>#N/A</v>
      </c>
      <c r="KL359" s="274" t="e">
        <f ca="1">IF(Control!$B$26=3,4000000000*EXP(-8400/($G359+273)),IF(Control!$B$26=4,4000000000*EXP(-8400/($G359+273))*($KT359),0))</f>
        <v>#DIV/0!</v>
      </c>
      <c r="KM359" s="274" t="e">
        <f ca="1">IF(Control!$B$26=3,5600000000000*EXP(-9800/($G359+273)),IF(Control!$B$26=4,5600000000000*EXP(-9800/($G359+273))*$KT359,0))</f>
        <v>#DIV/0!</v>
      </c>
      <c r="KN359" s="454" t="e">
        <f t="shared" ca="1" si="1344"/>
        <v>#DIV/0!</v>
      </c>
      <c r="KO359" s="274" t="e">
        <f t="shared" ca="1" si="1345"/>
        <v>#DIV/0!</v>
      </c>
      <c r="KP359" s="454" t="e">
        <f t="shared" ca="1" si="1246"/>
        <v>#DIV/0!</v>
      </c>
      <c r="KQ359" s="454" t="e">
        <f t="shared" ca="1" si="1247"/>
        <v>#DIV/0!</v>
      </c>
      <c r="KR359" s="454" t="e">
        <f t="shared" ca="1" si="1248"/>
        <v>#DIV/0!</v>
      </c>
      <c r="KS359" s="454" t="e">
        <f t="shared" ca="1" si="1249"/>
        <v>#DIV/0!</v>
      </c>
      <c r="KT359" s="455" t="e">
        <f t="shared" ca="1" si="1250"/>
        <v>#DIV/0!</v>
      </c>
      <c r="KU359" s="456" t="e">
        <f ca="1">IF($CP359-Control!$C$149&lt;0, IF($NT359-0.01&lt;0,0,1),0)</f>
        <v>#N/A</v>
      </c>
      <c r="KV359" s="456" t="e">
        <f ca="1">IF(Control!$C$114=1,MAX(0,MIN(Control!$C$125*$KW359*$GN359,$KW359)))</f>
        <v>#DIV/0!</v>
      </c>
      <c r="KW359" s="456" t="e">
        <f t="shared" ca="1" si="1378"/>
        <v>#DIV/0!</v>
      </c>
      <c r="KX359" s="457" t="e">
        <f ca="1">IF($CP359-Control!$C$149&lt;0, IF($MR359-$OM359&lt;0,0,1),0)</f>
        <v>#N/A</v>
      </c>
      <c r="KY359" s="167">
        <f t="shared" ca="1" si="1346"/>
        <v>355</v>
      </c>
      <c r="KZ359" s="168">
        <f ca="1">1370*(1+0.033*COS(2*Control!$C$138*$AH359/365))</f>
        <v>1414.5419116881317</v>
      </c>
      <c r="LA359" s="169">
        <f t="shared" ca="1" si="1347"/>
        <v>1.03251226352295</v>
      </c>
      <c r="LB359" s="169">
        <f t="shared" ca="1" si="1348"/>
        <v>-0.40898468380670427</v>
      </c>
      <c r="LC359" s="169">
        <f ca="1">ACOS(-TAN((2*Control!$B$8/360))*TAN(Calculations!$LB359))</f>
        <v>1.4416222392953548</v>
      </c>
      <c r="LD359" s="169">
        <f ca="1">((24*60)/PI())*0.082*$LA359*(($LC359*SIN(Control!$B$8*2*PI()/360))*SIN($LB359)+COS(Control!$B$8*2*PI()/360)*COS($LB359)*SIN($LC359))</f>
        <v>4.2072147513089568</v>
      </c>
      <c r="LE359" s="170">
        <f t="shared" ca="1" si="1251"/>
        <v>5.9209880016224092</v>
      </c>
      <c r="LF359" s="170">
        <f ca="1">SIN(Control!$C$139*Control!$B$8)*SIN($HD359)</f>
        <v>-0.3135890126807549</v>
      </c>
      <c r="LG359" s="170">
        <f ca="1">COS(Control!$C$139*Control!$B$8)*COS($HD359)</f>
        <v>0.5648108089218612</v>
      </c>
      <c r="LH359" s="170">
        <f ca="1">12*(1+2*ASIN(MAX(-1,MIN(1,$LF359/$LG359))/Control!$C$138))</f>
        <v>7.7361172093927228</v>
      </c>
      <c r="LI359" s="170">
        <f ca="1">12*(1+2*ASIN(MAX(-1,MIN(1,(-SIN(-4*Control!$C$139)+$LF359)/$LG359))/Control!$C$138))</f>
        <v>8.691546021947552</v>
      </c>
      <c r="LJ359" s="168">
        <f ca="1">3600*($LH359*$LF359+24*$LG359*SQRT(1-$LK359*$LK359)/Control!$C$138)</f>
        <v>4185.7989167363939</v>
      </c>
      <c r="LK359" s="170">
        <f t="shared" ca="1" si="1252"/>
        <v>-0.55521071432635849</v>
      </c>
      <c r="LL359" s="170">
        <f t="shared" ca="1" si="1253"/>
        <v>0</v>
      </c>
      <c r="LM359" s="171">
        <f ca="1">Control!$C$145*$AB359</f>
        <v>6.6660906138995932E-2</v>
      </c>
      <c r="LN359" s="170">
        <f t="shared" ca="1" si="1349"/>
        <v>0.54</v>
      </c>
      <c r="LO359" s="170">
        <f t="shared" ca="1" si="1254"/>
        <v>0</v>
      </c>
      <c r="LP359" s="170">
        <f ca="1">Control!$C$140*((($D359+273.16)^4+($E359+273.16)^4)/2)*(0.34-0.14*SQRT($Y359))*(1.35*$AQ359/(0.75*$LD359)-0.35)</f>
        <v>-3.2464704755046001</v>
      </c>
      <c r="LQ359" s="170">
        <f ca="1">Control!$C$140*($G359+273)^4*(0.56-0.079*SQRT($Y359*10))*(0.1+0.9*$LO359)</f>
        <v>1.5241745131704001</v>
      </c>
      <c r="LR359" s="170">
        <f ca="1">$AQ359*(1-Control!$C$142)-$LQ359</f>
        <v>-1.5241745131704001</v>
      </c>
      <c r="LS359" s="170">
        <f ca="1">$AQ359*(1-Control!$C$143)-$LQ359</f>
        <v>-1.5241745131704001</v>
      </c>
      <c r="LT359" s="170">
        <f ca="1">$AQ359*(1-Control!$C$144)-$LQ359</f>
        <v>-1.5241745131704001</v>
      </c>
      <c r="LU359" s="169">
        <f ca="1">(1-Control!$C$144)*AQ359-LP359</f>
        <v>3.2464704755046001</v>
      </c>
      <c r="LV359" s="172">
        <f t="shared" ca="1" si="1255"/>
        <v>0.79430000000000012</v>
      </c>
      <c r="LW359" s="170">
        <f t="shared" ca="1" si="1256"/>
        <v>1.5886000000000002</v>
      </c>
      <c r="LX359" s="170">
        <f ca="1">($AC359*($LR359/Control!$C$141)+$LM359*$LV359)/($AC359+$LM359)</f>
        <v>0.23530094218323697</v>
      </c>
      <c r="LY359" s="170">
        <f ca="1">($AC359*($LS359/Control!$C$141)+$LM359*$LV359)/($AC359+$LM359)</f>
        <v>0.23530094218323697</v>
      </c>
      <c r="LZ359" s="170">
        <f t="shared" ca="1" si="1257"/>
        <v>0.23530094218323697</v>
      </c>
      <c r="MA359" s="170">
        <f t="shared" ca="1" si="1258"/>
        <v>0.23530094218323697</v>
      </c>
      <c r="MB359" s="170" t="e">
        <f t="shared" ca="1" si="1259"/>
        <v>#N/A</v>
      </c>
      <c r="MC359" s="170">
        <f t="shared" ca="1" si="1350"/>
        <v>0.6018</v>
      </c>
      <c r="MD359" s="170">
        <f t="shared" ca="1" si="1260"/>
        <v>0.52989392535414004</v>
      </c>
      <c r="ME359" s="170">
        <f ca="1">($AC359*($LT359/Control!$C$141)+$LM359*$LW359)/($AC359+$LM359)</f>
        <v>0.71612369323045078</v>
      </c>
      <c r="MF359" s="170" t="e">
        <f ca="1">IF(Control!$B$16&gt;=1000,0.92,IF(AND(720&lt;=Control!$B$16,1000&gt;Control!$B$16),(0.95+(Control!$B$16-720)*((0.92-0.95)/(1000-720))),IF(AND(360&lt;=Control!$B$16,720&gt;Control!$B$16),(1+(Control!$B$16-360)*((0.95-1)/(720-360))),IF(AND(40&lt;=Control!$B$16,360&gt;Control!$B$16),(1.05+(Control!$B$16-40)*((1.05-1)/(360-40)))))))</f>
        <v>#N/A</v>
      </c>
      <c r="MG359" s="170">
        <f t="shared" ca="1" si="1261"/>
        <v>0.71612369323045078</v>
      </c>
      <c r="MH359" s="170" t="e">
        <f t="shared" ca="1" si="1387"/>
        <v>#N/A</v>
      </c>
      <c r="MI359" s="170" t="e">
        <f t="shared" ca="1" si="1387"/>
        <v>#N/A</v>
      </c>
      <c r="MJ359" s="170" t="e">
        <f ca="1">MAX(0.0001, Control!$C$132*$MI359*$DL359)</f>
        <v>#N/A</v>
      </c>
      <c r="MK359" s="170">
        <f ca="1">1/(0.76+1.5*($MG359/10))-(5-Control!$C$110)*0.1</f>
        <v>1.002845988140797</v>
      </c>
      <c r="ML359" s="173">
        <f ca="1">IF(Control!$C$110&lt;3,$MK359+($MG359-0.6)/(Control!$C$110*(Control!$C$110+3)), MAX(0.1, MIN(0.95,$MK359)))</f>
        <v>0.95</v>
      </c>
      <c r="MM359" s="173">
        <f ca="1">IF(Control!$C$110&lt;3,$MK359+(($MI359/10)-0.6)/(Control!$C$110*(Control!$C$110+3)), MAX(0.1, MIN(0.95,$MK359)))</f>
        <v>0.95</v>
      </c>
      <c r="MN359" s="173">
        <f ca="1">(1-$MM359)*(Control!$C$128-Control!$C$127)+Control!$C$127</f>
        <v>0.16</v>
      </c>
      <c r="MO359" s="170" t="e">
        <f ca="1">MAX(0,MIN(1,($MS359-Control!$C$127)/($MN359-Control!$C$127)))</f>
        <v>#DIV/0!</v>
      </c>
      <c r="MP359" s="173" t="e">
        <f ca="1">1/(0.76+1.5*$MI359)-(5-Control!$C$110)*0.1</f>
        <v>#N/A</v>
      </c>
      <c r="MQ359" s="172" t="e">
        <f t="shared" ca="1" si="1379"/>
        <v>#DIV/0!</v>
      </c>
      <c r="MR359" s="168" t="e">
        <f t="shared" ca="1" si="1351"/>
        <v>#DIV/0!</v>
      </c>
      <c r="MS359" s="173" t="e">
        <f ca="1">MAX(Control!$C$127, MIN(Control!$C$135, $MR359/MAX(0.0001,$CY359)))</f>
        <v>#DIV/0!</v>
      </c>
      <c r="MT359" s="168" t="e">
        <f ca="1">(Control!$C$128-$MS359)*Control!$C$74</f>
        <v>#DIV/0!</v>
      </c>
      <c r="MU359" s="168" t="e">
        <f ca="1">(Control!$C$135-$MS359)*Control!$C$74</f>
        <v>#DIV/0!</v>
      </c>
      <c r="MV359" s="168" t="e">
        <f t="shared" ca="1" si="1352"/>
        <v>#DIV/0!</v>
      </c>
      <c r="MW359" s="168" t="e">
        <f t="shared" ca="1" si="1353"/>
        <v>#DIV/0!</v>
      </c>
      <c r="MX359" s="171" t="e">
        <f ca="1">MAX(Control!$C$127, MIN(Control!$C$135, $MW359/MAX(0.0001,Control!$C$119-$CY359)))</f>
        <v>#DIV/0!</v>
      </c>
      <c r="MY359" s="54" t="e">
        <f ca="1">IF(Control!$C$114=1, $CX359*$MX359, 0)</f>
        <v>#DIV/0!</v>
      </c>
      <c r="MZ359" s="54" t="e">
        <f t="shared" ca="1" si="1354"/>
        <v>#N/A</v>
      </c>
      <c r="NA359" s="168" t="e">
        <f ca="1">(Control!$C$128-$MX359)*(Control!$C$119-Control!$C$74)</f>
        <v>#DIV/0!</v>
      </c>
      <c r="NB359" s="168" t="e">
        <f ca="1">(Control!$C$135-$MX359)*(Control!$C$119-Control!$C$74)</f>
        <v>#DIV/0!</v>
      </c>
      <c r="NC359" s="174" t="e">
        <f t="shared" ca="1" si="1355"/>
        <v>#DIV/0!</v>
      </c>
      <c r="ND359" s="54">
        <f ca="1">IF(Control!$C$58=2, IF(OR(Control!$B$218=$AH359,Control!$B$219=$AH359, Control!$B$220=$AH359, Control!$B$221=$AH359, Control!$B$222=$AH359, Control!$B$223=$AH359, Control!$B$224=$AH359, Control!$B$225=$AH359, Control!$B$226=$AH359, Control!$B$227=$AH359, Control!$B$228=$AH359), 1, 0), 0)</f>
        <v>0</v>
      </c>
      <c r="NE359" s="54">
        <f ca="1">IF($ND359=0,0, VLOOKUP($AH359,Control!$B$218:$C$228,2))</f>
        <v>0</v>
      </c>
      <c r="NF359" s="168" t="e">
        <f ca="1">$CY359*(Control!$C$128-Control!$C$127)</f>
        <v>#N/A</v>
      </c>
      <c r="NG359" s="54" t="e">
        <f ca="1">IF(Control!$C$58=2, $NI358-$NJ358, 0)</f>
        <v>#DIV/0!</v>
      </c>
      <c r="NH359" s="54" t="e">
        <f ca="1">IF(AND(Control!$C$58=1, $MS358&lt;= ($MN358+0.02), $I358&lt;10), 0, IF(Control!$C$58=2, $NG358, 0))</f>
        <v>#DIV/0!</v>
      </c>
      <c r="NI359" s="54" t="e">
        <f ca="1">IF(Control!$C$58=2, $NE359+$NH359,0)</f>
        <v>#DIV/0!</v>
      </c>
      <c r="NJ359" s="54" t="e">
        <f ca="1">IF(AND(Control!$C$58=1, $MS359&lt;= ($MN359+0.02), $I359&lt;10), MAX(0, MIN(10, 0.7*($NF359-$MV359))), IF(Control!$C$58=2, MIN(10,$NI359),0))</f>
        <v>#DIV/0!</v>
      </c>
      <c r="NK359" s="54" t="e">
        <f t="shared" ca="1" si="1263"/>
        <v>#DIV/0!</v>
      </c>
      <c r="NL359" s="173" t="e">
        <f ca="1">(1-Control!$C$73)*$I359+$NJ359</f>
        <v>#DIV/0!</v>
      </c>
      <c r="NM359" s="172" t="e">
        <f ca="1">IF($NL359&lt;0.5, $MB359* MAX(0, MIN(1, (SQRT($NC359)-SQRT($NC359-1))*Control!$C$71)),0)</f>
        <v>#DIV/0!</v>
      </c>
      <c r="NN359" s="170" t="e">
        <f ca="1">IF($NL359&gt;=5, $MB359, MAX(0,MIN($MB359, $NM359+$NL359,($MS359-Control!$C$129))))</f>
        <v>#DIV/0!</v>
      </c>
      <c r="NO359" s="54">
        <f>IF(Control!$C$133&lt;&gt;1, Control!$C$135-Control!$C$131, 0)</f>
        <v>0.38</v>
      </c>
      <c r="NP359" s="54" t="e">
        <f t="shared" ca="1" si="1264"/>
        <v>#DIV/0!</v>
      </c>
      <c r="NQ359" s="173" t="e">
        <f ca="1">MAX(0,MIN(1,(Control!$C$135-$MS359)/(Control!$C$135-$NO359)))</f>
        <v>#DIV/0!</v>
      </c>
      <c r="NR359" s="170" t="e">
        <f ca="1">IF(Control!$C$133&lt;&gt;1, $NQ359+((1-$NP359/4)*(1-$NQ359)),1)</f>
        <v>#DIV/0!</v>
      </c>
      <c r="NS359" s="170" t="e">
        <f ca="1">IF(Control!$B$31=0,$MJ359,MAX(0,MIN($MV359,$MO359*$NR359*$MJ359)))</f>
        <v>#DIV/0!</v>
      </c>
      <c r="NT359" s="170" t="e">
        <f t="shared" ca="1" si="1380"/>
        <v>#DIV/0!</v>
      </c>
      <c r="NU359" s="170" t="e">
        <f t="shared" ca="1" si="1356"/>
        <v>#N/A</v>
      </c>
      <c r="NV359" s="170" t="e">
        <f t="shared" ca="1" si="1265"/>
        <v>#N/A</v>
      </c>
      <c r="NW359" s="175" t="e">
        <f t="shared" ca="1" si="1266"/>
        <v>#DIV/0!</v>
      </c>
      <c r="NX359" s="170" t="e">
        <f ca="1">MIN(Control!$C$72+$MU359, $NW359)</f>
        <v>#DIV/0!</v>
      </c>
      <c r="NY359" s="170" t="e">
        <f ca="1">IF($MT359&lt;=$NX359,MIN(Control!$C$72+$NB359,$NX359-$MT359),0)</f>
        <v>#DIV/0!</v>
      </c>
      <c r="NZ359" s="54" t="e">
        <f ca="1">IF(Control!$C$114=1,  $CX359*($MX359-Control!$C$127), 0)</f>
        <v>#DIV/0!</v>
      </c>
      <c r="OA359" s="170" t="e">
        <f t="shared" ca="1" si="1267"/>
        <v>#DIV/0!</v>
      </c>
      <c r="OB359" s="170" t="e">
        <f ca="1">IF($NA359 &lt;=$NY359, MIN(Control!$C$72, $NY359-$NA359), 0)</f>
        <v>#DIV/0!</v>
      </c>
      <c r="OC359" s="168" t="e">
        <f t="shared" ca="1" si="1268"/>
        <v>#DIV/0!</v>
      </c>
      <c r="OD359" s="168" t="e">
        <f t="shared" ca="1" si="1357"/>
        <v>#DIV/0!</v>
      </c>
      <c r="OE359" s="170">
        <f ca="1">Control!$C$73*$I359</f>
        <v>0</v>
      </c>
      <c r="OF359" s="176" t="e">
        <f t="shared" ca="1" si="1269"/>
        <v>#DIV/0!</v>
      </c>
      <c r="OG359" s="168" t="e">
        <f t="shared" ca="1" si="1270"/>
        <v>#DIV/0!</v>
      </c>
      <c r="OH359" s="168" t="e">
        <f t="shared" ca="1" si="1271"/>
        <v>#DIV/0!</v>
      </c>
      <c r="OI359" s="168" t="e">
        <f t="shared" ca="1" si="1272"/>
        <v>#DIV/0!</v>
      </c>
      <c r="OJ359" s="168" t="e">
        <f t="shared" ca="1" si="1273"/>
        <v>#DIV/0!</v>
      </c>
      <c r="OK359" s="204" t="e">
        <f t="shared" ca="1" si="1274"/>
        <v>#DIV/0!</v>
      </c>
      <c r="OL359" s="177">
        <f>Control!$C$127</f>
        <v>0.15</v>
      </c>
      <c r="OM359" s="182" t="e">
        <f t="shared" ca="1" si="1275"/>
        <v>#N/A</v>
      </c>
      <c r="ON359" s="177">
        <f>Control!$C$128</f>
        <v>0.35</v>
      </c>
      <c r="OO359" s="182" t="e">
        <f t="shared" ca="1" si="1276"/>
        <v>#N/A</v>
      </c>
      <c r="OP359" s="138">
        <f t="shared" ca="1" si="1358"/>
        <v>0</v>
      </c>
      <c r="OQ359" s="138" t="e">
        <f t="shared" ca="1" si="1381"/>
        <v>#DIV/0!</v>
      </c>
      <c r="OR359" s="138" t="e">
        <f t="shared" ca="1" si="1359"/>
        <v>#DIV/0!</v>
      </c>
      <c r="OS359" s="137" t="e">
        <f t="shared" ca="1" si="1382"/>
        <v>#DIV/0!</v>
      </c>
      <c r="OT359" s="139" t="e">
        <f t="shared" ca="1" si="1383"/>
        <v>#DIV/0!</v>
      </c>
      <c r="OU359" s="138" t="e">
        <f t="shared" ca="1" si="1384"/>
        <v>#N/A</v>
      </c>
      <c r="OV359" s="138" t="e">
        <f t="shared" ca="1" si="1385"/>
        <v>#DIV/0!</v>
      </c>
      <c r="OW359" s="138" t="e">
        <f t="shared" ca="1" si="1360"/>
        <v>#DIV/0!</v>
      </c>
      <c r="OX359" s="138" t="e">
        <f t="shared" ca="1" si="1361"/>
        <v>#DIV/0!</v>
      </c>
      <c r="OY359" s="138" t="e">
        <f t="shared" ca="1" si="1362"/>
        <v>#DIV/0!</v>
      </c>
      <c r="OZ359" s="138" t="e">
        <f t="shared" ca="1" si="1277"/>
        <v>#DIV/0!</v>
      </c>
      <c r="PA359" s="138" t="e">
        <f t="shared" ca="1" si="1278"/>
        <v>#DIV/0!</v>
      </c>
      <c r="PB359" s="55">
        <f>IF(Control!$C$61="T", IF(Control!$C$65="F", IF($AH$6-Control!$C$60&lt;0,0,1), IF(365+$AH$6-Control!$C$60&lt;0,0,1)),0)</f>
        <v>0</v>
      </c>
      <c r="PC359" s="55">
        <f ca="1">IF(Control!$C$65="F", IF($AH$6-$HF359&lt;0,0,1), IF(365+$AH$6-$HF359&lt;0,0,1))</f>
        <v>1</v>
      </c>
      <c r="PD359" s="444">
        <f>Control!$C$118</f>
        <v>1500</v>
      </c>
      <c r="PE359" s="180" t="e">
        <f t="shared" ca="1" si="1279"/>
        <v>#N/A</v>
      </c>
      <c r="PF359" s="445">
        <f t="shared" ca="1" si="1363"/>
        <v>0.71612369323045078</v>
      </c>
      <c r="PT359" s="186"/>
      <c r="PU359" s="186"/>
      <c r="PV359" s="94"/>
      <c r="PW359" s="94"/>
      <c r="PX359" s="94"/>
      <c r="PY359" s="94"/>
      <c r="PZ359" s="94"/>
      <c r="QA359" s="94"/>
      <c r="QB359" s="94"/>
      <c r="QC359" s="94"/>
      <c r="QD359" s="94"/>
      <c r="QE359" s="94"/>
      <c r="QF359" s="94"/>
      <c r="QG359" s="94"/>
      <c r="QH359" s="94"/>
      <c r="QI359" s="94"/>
      <c r="QJ359" s="94"/>
      <c r="QK359" s="94"/>
      <c r="QL359" s="94"/>
      <c r="QM359" s="94"/>
      <c r="QN359" s="94"/>
      <c r="QO359" s="94"/>
      <c r="QP359" s="94"/>
    </row>
    <row r="360" spans="1:458" s="2" customFormat="1" x14ac:dyDescent="0.2">
      <c r="A360" s="395">
        <v>21</v>
      </c>
      <c r="B360" s="396">
        <v>12</v>
      </c>
      <c r="C360" s="387">
        <f ca="1">Weather_data!$B359</f>
        <v>0</v>
      </c>
      <c r="D360" s="388">
        <f ca="1">Weather_data!$F359</f>
        <v>0</v>
      </c>
      <c r="E360" s="388">
        <f ca="1">Weather_data!$E359</f>
        <v>0</v>
      </c>
      <c r="F360" s="388">
        <f t="shared" ca="1" si="1280"/>
        <v>0</v>
      </c>
      <c r="G360" s="388">
        <f ca="1">AVERAGE($D360:$E360)+Control!$B$9</f>
        <v>0</v>
      </c>
      <c r="H360" s="388">
        <f ca="1">Weather_data!$G359</f>
        <v>0</v>
      </c>
      <c r="I360" s="388">
        <f ca="1">Weather_data!$I359</f>
        <v>0</v>
      </c>
      <c r="J360" s="388">
        <f ca="1">Weather_data!$H359</f>
        <v>0</v>
      </c>
      <c r="K360" s="389">
        <f ca="1">Weather_data!$D359</f>
        <v>0</v>
      </c>
      <c r="L360" s="388" t="e">
        <f t="shared" ca="1" si="1281"/>
        <v>#N/A</v>
      </c>
      <c r="M360" s="388" t="e">
        <f t="shared" ca="1" si="1158"/>
        <v>#N/A</v>
      </c>
      <c r="N360" s="388">
        <f t="shared" ca="1" si="1159"/>
        <v>-3.1682419922211246E-17</v>
      </c>
      <c r="O360" s="388">
        <f t="shared" ca="1" si="1282"/>
        <v>3.1682419922211247E-16</v>
      </c>
      <c r="P360" s="390">
        <v>3</v>
      </c>
      <c r="Q360" s="388">
        <f ca="1">MAX($G360-Control!$C$107,0)</f>
        <v>0</v>
      </c>
      <c r="R360" s="388">
        <f t="shared" ca="1" si="1283"/>
        <v>0</v>
      </c>
      <c r="S360" s="388">
        <f t="shared" ca="1" si="1160"/>
        <v>0</v>
      </c>
      <c r="T360" s="388">
        <f t="shared" ca="1" si="1161"/>
        <v>0</v>
      </c>
      <c r="U360" s="59">
        <f t="shared" ca="1" si="1162"/>
        <v>0</v>
      </c>
      <c r="V360" s="391">
        <f ca="1">MAX(0,MIN(Control!$C$100-Control!$C$99,$G360-Control!$C$99)*Control!$C$63)</f>
        <v>0</v>
      </c>
      <c r="W360" s="388">
        <f t="shared" ca="1" si="1284"/>
        <v>0</v>
      </c>
      <c r="X360" s="388">
        <f t="shared" ca="1" si="1285"/>
        <v>0.6110000000000001</v>
      </c>
      <c r="Y360" s="388">
        <f t="shared" ca="1" si="1163"/>
        <v>0</v>
      </c>
      <c r="Z360" s="388">
        <f t="shared" ca="1" si="1286"/>
        <v>0.61058800000000002</v>
      </c>
      <c r="AA360" s="388">
        <f t="shared" ca="1" si="1164"/>
        <v>0.6018</v>
      </c>
      <c r="AB360" s="388">
        <f ca="1">101.3*EXP(-0.034*Control!$C$66/($G360+273))</f>
        <v>100.69623283836242</v>
      </c>
      <c r="AC360" s="392">
        <f t="shared" ca="1" si="1165"/>
        <v>4.3460251046025113E-2</v>
      </c>
      <c r="AD360" s="392">
        <f t="shared" ca="1" si="1166"/>
        <v>4.4450382862832649E-2</v>
      </c>
      <c r="AE360" s="388">
        <f t="shared" ca="1" si="1167"/>
        <v>0</v>
      </c>
      <c r="AF360" s="388">
        <f ca="1">MAX(0,$G360-Control!$C$92)</f>
        <v>0</v>
      </c>
      <c r="AG360" s="393">
        <f t="shared" ca="1" si="1168"/>
        <v>356</v>
      </c>
      <c r="AH360" s="389">
        <f t="shared" ca="1" si="1169"/>
        <v>356</v>
      </c>
      <c r="AI360" s="388">
        <f t="shared" ca="1" si="1287"/>
        <v>-0.40921628887757883</v>
      </c>
      <c r="AJ360" s="388">
        <f ca="1">IF(Control!$C$60&lt;=0,$HH360,$HI360)</f>
        <v>1</v>
      </c>
      <c r="AK360" s="388">
        <f t="shared" ca="1" si="1170"/>
        <v>4.7511209446070293</v>
      </c>
      <c r="AL360" s="388">
        <f t="shared" ca="1" si="1171"/>
        <v>6.8521924245779073E-18</v>
      </c>
      <c r="AM360" s="388">
        <f t="shared" ca="1" si="1172"/>
        <v>4.7511209446070293</v>
      </c>
      <c r="AN360" s="388">
        <f t="shared" ca="1" si="1173"/>
        <v>-0.40879254381917113</v>
      </c>
      <c r="AO360" s="388">
        <f ca="1">-0.10453/COS(Control!$B$8*PI()/180)*COS(AN360)</f>
        <v>-0.15579483886867981</v>
      </c>
      <c r="AP360" s="388">
        <f ca="1">ACOS(AO360-TAN(Control!$B$8*PI()/180)*TAN(AN360))</f>
        <v>1.160728778047085</v>
      </c>
      <c r="AQ360" s="388">
        <f t="shared" ca="1" si="1288"/>
        <v>0</v>
      </c>
      <c r="AR360" s="394">
        <f t="shared" ca="1" si="1174"/>
        <v>0</v>
      </c>
      <c r="AS360" s="436">
        <f ca="1">IF(Control!$B$18=2,(IF(OR($AH360=Control!$B$175,$AH360=Control!$B$176,$AH360=Control!$B$177,$AH360=Control!$B$178,$AH360=Control!$B$179,$AH360=Control!$B$180,$AH360=Control!$B$181,$AH360=Control!$B$182,$AH360=Control!$B$183,$AH360=Control!$B$184,$AH360=Control!$B$185),1,0)),0)</f>
        <v>0</v>
      </c>
      <c r="AT360" s="436">
        <f>IF(Control!$B$20=8,IF(AND($AH360&gt;=Control!$B$172,$AH360&lt;=Control!$B$173),1,0),0)</f>
        <v>0</v>
      </c>
      <c r="AU360" s="436">
        <f>IF(Control!$B$20=8,IF($AV359=1,1*$AT360,IF($AT360=1,$AU359+1,$AU359)),0)</f>
        <v>0</v>
      </c>
      <c r="AV360" s="436">
        <f>IF(Control!$B$20=8,IF($AU360&gt;=Control!$B$174,1,0),0)</f>
        <v>0</v>
      </c>
      <c r="AW360" s="436">
        <f ca="1">IF(AND(Control!$B$18=2,Control!$B$171=1), $AV360, $AS360)</f>
        <v>0</v>
      </c>
      <c r="AX360" s="436" t="e">
        <f ca="1">IF(AND(Control!$B$18=1,$EU360&gt;=Control!$B$19),-$AY360,IF(AND(Control!$B$18=2,$AW360=1,$EU360&gt;$DS360),-$AY360, IF(Control!$C$108=0,0, IF(Control!$C$108&lt;&gt;0,1))))</f>
        <v>#N/A</v>
      </c>
      <c r="AY360" s="436" t="e">
        <f t="shared" ca="1" si="1289"/>
        <v>#N/A</v>
      </c>
      <c r="AZ360" s="436" t="e">
        <f ca="1">IF(AND(Control!$B$18=1,$EB360&gt;Control!$B$19),$AZ359+1, IF(AND(Control!$B$18=2, $AW360=1, $EB360&gt;$DS360), $AZ359+1,$AZ359))</f>
        <v>#N/A</v>
      </c>
      <c r="BA360" s="587">
        <f>IF(Control!$C$81=0,1,IF($AH360&gt;=Control!$C$82,1,0))</f>
        <v>1</v>
      </c>
      <c r="BB360" s="140" t="e">
        <f ca="1">IF($BA360&gt;$BA359,Control!$C$83,IF($AW360&gt;0,$AW360*Control!$C$84,IF(AND(Control!$B$18=1,EN359&lt;&gt;0),Control!$C$84,0)))</f>
        <v>#N/A</v>
      </c>
      <c r="BC360" s="140" t="e">
        <f t="shared" ca="1" si="1290"/>
        <v>#N/A</v>
      </c>
      <c r="BD360" s="140" t="e">
        <f ca="1">BC360*IF(OR($G360&lt;Control!$C$92,$G360&gt;Control!$C$95),0,IF(AND($G360&gt;=Control!$C$92,$G360&lt;=Control!$C$93),$G360-Control!$C$92,IF(AND($G360&gt;Control!$C$93,$G360&lt;=Control!$C$94),Control!$C$93-Control!$C$92,IF(AND($G360&gt;Control!$C$94,$G360&lt;=Control!$C$95),(Control!$C$93-Control!$C$92)*(Control!$C$94-$G360)/(Control!$C$95-Control!$C$94)))))</f>
        <v>#N/A</v>
      </c>
      <c r="BE360" s="140" t="e">
        <f t="shared" ca="1" si="1291"/>
        <v>#N/A</v>
      </c>
      <c r="BF360" s="140" t="e">
        <f ca="1">IF($BE360&lt;=Control!$C$86,$BE360,Control!$C$86-$BE360)</f>
        <v>#N/A</v>
      </c>
      <c r="BG360" s="140" t="e">
        <f ca="1">IF(AND($AW360=1,Control!$C$84&lt;9),1,IF($BE360&gt;=Control!$C$86,0,$BC360))</f>
        <v>#N/A</v>
      </c>
      <c r="BH360" s="404" t="e">
        <f ca="1">IF($BG360=0,0,IF($BE360&lt;=Control!$C$86,$BC360*9*($BF360/Control!$C$86),0))</f>
        <v>#N/A</v>
      </c>
      <c r="BI360" s="140" t="e">
        <f ca="1">IF($BG360=1,0,IF($BE360&gt;=Control!$C$86,1,IF(AND($BB360&lt;21,$BB360&gt;=9),1,$BM359)))</f>
        <v>#N/A</v>
      </c>
      <c r="BJ360" s="140" t="e">
        <f ca="1">IF($BF360&lt;0,-$BF360,$BI360*IF(OR($G360&lt;Control!$C$92,$G360&gt;Control!$C$95),0,IF(AND($G360&gt;=Control!$C$92,$G360&lt;=Control!$C$93),$G360-Control!$C$92,IF(AND($G360&gt;Control!$C$93,$G360&lt;=Control!$C$94),Control!$C$93-Control!$C$92,IF(AND($G360&gt;Control!$C$94,$G360&lt;=Control!$C$95),(Control!$C$93-Control!$C$92)*(Control!$C$94-$G360)/(Control!$C$95-Control!$C$94))))))</f>
        <v>#N/A</v>
      </c>
      <c r="BK360" s="140" t="e">
        <f t="shared" ca="1" si="1292"/>
        <v>#N/A</v>
      </c>
      <c r="BL360" s="140" t="e">
        <f ca="1">IF($BK360&lt;=Control!$C$87,$BK360,Control!$C$87-$BK360)</f>
        <v>#N/A</v>
      </c>
      <c r="BM360" s="140" t="e">
        <f ca="1">IF(AND($BB360&gt;=9,$BB360&lt;21),1,IF($BK360&gt;=Control!$C$87,0,$BI360))</f>
        <v>#N/A</v>
      </c>
      <c r="BN360" s="404" t="e">
        <f ca="1">IF($BM360=0,0,IF($BK360&lt;=Control!$C$87,$BI360*(9+(21-9)*($BL360/Control!$C$87)),0))</f>
        <v>#N/A</v>
      </c>
      <c r="BO360" s="140" t="e">
        <f ca="1">IF($BM360=1,0,IF($BK360&gt;=Control!$C$87,1,IF(AND($BB360&lt;30,$BB360&gt;=21),1,$BS359)))</f>
        <v>#N/A</v>
      </c>
      <c r="BP360" s="140" t="e">
        <f ca="1">IF($BL360&lt;0,-$BL360,$BO360*IF(OR($G360&lt;Control!$C$92,$G360&gt;Control!$C$95),0,IF(AND($G360&gt;=Control!$C$92,$G360&lt;=Control!$C$93),$G360-Control!$C$92,IF(AND($G360&gt;Control!$C$93,$G360&lt;=Control!$C$94),Control!$C$93-Control!$C$92,IF(AND($G360&gt;Control!$C$94,$G360&lt;=Control!$C$95),(Control!$C$93-Control!$C$92)*(Control!$C$94-$G360)/(Control!$C$95-Control!$C$94))))))</f>
        <v>#N/A</v>
      </c>
      <c r="BQ360" s="140" t="e">
        <f t="shared" ca="1" si="1175"/>
        <v>#N/A</v>
      </c>
      <c r="BR360" s="140" t="e">
        <f ca="1">IF($BQ360&lt;=Control!$C$88,$BQ360,Control!$C$88-$BQ360)</f>
        <v>#N/A</v>
      </c>
      <c r="BS360" s="140" t="e">
        <f ca="1">IF(AND($BB360&gt;=21,$BB360&lt;30),1,IF($BQ360&gt;=Control!$C$88,0,$BO360))</f>
        <v>#N/A</v>
      </c>
      <c r="BT360" s="404" t="e">
        <f ca="1">IF($BS360=0,0,IF($BQ360&lt;=Control!$C$88,$BO360*(21+(30-21)*(BR360/Control!$C$88)),0))</f>
        <v>#N/A</v>
      </c>
      <c r="BU360" s="140" t="e">
        <f ca="1">IF(BG360+BM360+BS360=1,0,IF(OR(AND($BB360&lt;60,$BB360&gt;=30),$BQ360&gt;=Control!$C$88),1*$BA360,$BY359))</f>
        <v>#N/A</v>
      </c>
      <c r="BV360" s="140" t="e">
        <f ca="1">IF($BR360&lt;0,-$BR360,$BU360*IF(OR($G360&lt;Control!$C$92,$G360&gt;Control!$C$95),0,IF(AND($G360&gt;=Control!$C$92,$G360&lt;=Control!$C$93),$G360-Control!$C$92,IF(AND($G360&gt;Control!$C$93,$G360&lt;=Control!$C$94),Control!$C$93-Control!$C$92,IF(AND($G360&gt;Control!$C$94,$G360&lt;=Control!$C$95),(Control!$C$93-Control!$C$92)*(Control!$C$94-$G360)/(Control!$C$95-Control!$C$94))))))</f>
        <v>#N/A</v>
      </c>
      <c r="BW360" s="140" t="e">
        <f t="shared" ca="1" si="1176"/>
        <v>#N/A</v>
      </c>
      <c r="BX360" s="140" t="e">
        <f ca="1">IF($BW360&lt;=Control!$C$89,$BW360,Control!$C$89-$BW360)</f>
        <v>#N/A</v>
      </c>
      <c r="BY360" s="140" t="e">
        <f ca="1">IF(AND($AJ360&gt;=30,$AJ360&lt;60),1,IF($BW360&gt;=Control!$C$89,0,$BU360))</f>
        <v>#N/A</v>
      </c>
      <c r="BZ360" s="404" t="e">
        <f ca="1">IF($BY360=0,0,IF($BW360&lt;=Control!$C$89,$BU360*(30+(60-30)*(BX360/Control!$C$89)),0))</f>
        <v>#N/A</v>
      </c>
      <c r="CA360" s="140" t="e">
        <f ca="1">IF($BG360+$BM360+$BS360+$BY360=1,0,IF(OR(AND($BB360&lt;65,$BB360&gt;=60),$BW360&gt;=Control!$C$89),1*$BA360,$CE359))</f>
        <v>#N/A</v>
      </c>
      <c r="CB360" s="140" t="e">
        <f ca="1">IF($BX360&lt;0,-$BX360,$CA360*IF(OR($G360&lt;Control!$C$92,$G360&gt;Control!$C$95),0,IF(AND($G360&gt;=Control!$C$92,$G360&lt;=Control!$C$93),$G360-Control!$C$92,IF(AND($G360&gt;Control!$C$93,$G360&lt;=Control!$C$94),Control!$C$93-Control!$C$92,IF(AND($G360&gt;Control!$C$94,$G360&lt;=Control!$C$95),(Control!$C$93-Control!$C$92)*(Control!$C$94-$G360)/(Control!$C$95-Control!$C$94))))))</f>
        <v>#N/A</v>
      </c>
      <c r="CC360" s="140" t="e">
        <f t="shared" ca="1" si="1293"/>
        <v>#N/A</v>
      </c>
      <c r="CD360" s="140" t="e">
        <f ca="1">IF($CC360&lt;=Control!$C$90,$CC360,Control!$C$90-$CC360)</f>
        <v>#N/A</v>
      </c>
      <c r="CE360" s="140" t="e">
        <f ca="1">IF(AND($BB360&gt;=60,$BB360&lt;65),1,IF($CC360&gt;=Control!$C$90,0,$CA360))</f>
        <v>#N/A</v>
      </c>
      <c r="CF360" s="404" t="e">
        <f ca="1">IF($CE360=0,0,IF($CC360&lt;=Control!$C$90,$CA360*(60+(65-60)*(CD360/Control!$C$90)),0))</f>
        <v>#N/A</v>
      </c>
      <c r="CG360" s="140" t="e">
        <f ca="1">IF($BG360+$BM360+$BS360+$BY360+$CE360=1,0,IF(OR(AND($BB360&lt;90,$BB360&gt;=65),$CC360&gt;=Control!$C$90),$BA360,$CK359))</f>
        <v>#N/A</v>
      </c>
      <c r="CH360" s="140" t="e">
        <f ca="1">IF($CD360&lt;0,-$CD360,$CG360*IF(OR($G360&lt;Control!$C$92,$G360&gt;Control!$C$95),0,IF(AND($G360&gt;=Control!$C$92,$G360&lt;=Control!$C$93),$G360-Control!$C$92,IF(AND($G360&gt;Control!$C$93,$G360&lt;=Control!$C$94),Control!$C$93-Control!$C$92,IF(AND($G360&gt;Control!$C$94,$G360&lt;=Control!$C$95),(Control!$C$93-Control!$C$92)*(Control!$C$94-$G360)/(Control!$C$95-Control!$C$94))))))</f>
        <v>#N/A</v>
      </c>
      <c r="CI360" s="140" t="e">
        <f t="shared" ca="1" si="1294"/>
        <v>#N/A</v>
      </c>
      <c r="CJ360" s="140" t="e">
        <f ca="1">IF($CI360&lt;=Control!$C$91,$CI360,Control!$C$91-$CI360)</f>
        <v>#N/A</v>
      </c>
      <c r="CK360" s="140" t="e">
        <f ca="1">IF(AND($BB360&gt;=65,$BB360&lt;90),1,IF($CI360&gt;=Control!$C$91,0,$CG360))</f>
        <v>#N/A</v>
      </c>
      <c r="CL360" s="404" t="e">
        <f ca="1">IF($CK360=0,0,IF($CI360&lt;=Control!$C$91,$CG360*(65+(90-65)*($CJ360/Control!$C$91)),0))</f>
        <v>#N/A</v>
      </c>
      <c r="CM360" s="140" t="e">
        <f ca="1">IF($BG360+$BM360+$BS360+$BY360+$CE360+$CK360=1,0,IF(OR($BB360&gt;=90,$CI360&gt;=Control!$C$91),$BA360,$CM359))</f>
        <v>#N/A</v>
      </c>
      <c r="CN360" s="140" t="e">
        <f t="shared" ca="1" si="1295"/>
        <v>#N/A</v>
      </c>
      <c r="CO360" s="140" t="e">
        <f t="shared" ca="1" si="1296"/>
        <v>#N/A</v>
      </c>
      <c r="CP360" s="140" t="e">
        <f t="shared" ca="1" si="1297"/>
        <v>#N/A</v>
      </c>
      <c r="CQ360" s="141" t="e">
        <f ca="1">VLOOKUP($CP360,Control!$B$86:$G$91,6)</f>
        <v>#N/A</v>
      </c>
      <c r="CR360" s="141" t="e">
        <f ca="1">(1-$CQ360)*VLOOKUP($CP360,Control!$B$86:$D$91,3)</f>
        <v>#N/A</v>
      </c>
      <c r="CS360" s="141" t="e">
        <f ca="1">(1-$CQ360)*VLOOKUP($CP360,Control!$B$86:$E$91,4)</f>
        <v>#N/A</v>
      </c>
      <c r="CT360" s="141" t="e">
        <f ca="1">(1-$CQ360)*VLOOKUP($CP360,Control!$B$86:$F$91,5)</f>
        <v>#N/A</v>
      </c>
      <c r="CU360" s="141">
        <f t="shared" ca="1" si="1298"/>
        <v>0</v>
      </c>
      <c r="CV360" s="583">
        <f t="shared" ca="1" si="1299"/>
        <v>0</v>
      </c>
      <c r="CW360" s="142">
        <f t="shared" ca="1" si="1300"/>
        <v>356</v>
      </c>
      <c r="CX360" s="612" t="e">
        <f ca="1">IF(Control!$C$114=1,(MIN(Control!$C$120*(IF($NT360-0.01&lt;0,0,1)),Control!$C$119-$CY360)))</f>
        <v>#DIV/0!</v>
      </c>
      <c r="CY360" s="143" t="e">
        <f t="shared" ca="1" si="1301"/>
        <v>#N/A</v>
      </c>
      <c r="CZ360" s="144">
        <f t="shared" ca="1" si="1177"/>
        <v>0</v>
      </c>
      <c r="DA360" s="144">
        <f t="shared" ca="1" si="1178"/>
        <v>0</v>
      </c>
      <c r="DB360" s="144" t="e">
        <f t="shared" ca="1" si="1179"/>
        <v>#N/A</v>
      </c>
      <c r="DC360" s="144" t="e">
        <f t="shared" ca="1" si="1180"/>
        <v>#N/A</v>
      </c>
      <c r="DD360" s="144" t="e">
        <f t="shared" ca="1" si="1386"/>
        <v>#N/A</v>
      </c>
      <c r="DE360" s="143" t="e">
        <f t="shared" ca="1" si="1302"/>
        <v>#N/A</v>
      </c>
      <c r="DF360" s="145" t="e">
        <f ca="1">$DR360*EXP(-Control!$C$158*(1-$KH360))</f>
        <v>#N/A</v>
      </c>
      <c r="DG360" s="146" t="e">
        <f ca="1">IF(Control!$C$114=1, $DF360*$EY360, 0)</f>
        <v>#N/A</v>
      </c>
      <c r="DH360" s="147" t="e">
        <f t="shared" ca="1" si="1303"/>
        <v>#N/A</v>
      </c>
      <c r="DI360" s="144" t="e">
        <f t="shared" ca="1" si="1364"/>
        <v>#N/A</v>
      </c>
      <c r="DJ360" s="147" t="e">
        <f ca="1">$EF360*Control!$C$109</f>
        <v>#N/A</v>
      </c>
      <c r="DK360" s="144" t="e">
        <f t="shared" ca="1" si="1304"/>
        <v>#N/A</v>
      </c>
      <c r="DL360" s="144" t="e">
        <f t="shared" ca="1" si="1181"/>
        <v>#N/A</v>
      </c>
      <c r="DM360" s="144" t="e">
        <f ca="1">IF(Control!$C$114=1, (1-EXP(-Control!$C$96*$DK360))*$AR360, 0)</f>
        <v>#N/A</v>
      </c>
      <c r="DN360" s="144">
        <f t="shared" ca="1" si="1305"/>
        <v>0</v>
      </c>
      <c r="DO360" s="148">
        <f>Control!$C$97</f>
        <v>4</v>
      </c>
      <c r="DP360" s="145" t="e">
        <f t="shared" ca="1" si="1306"/>
        <v>#N/A</v>
      </c>
      <c r="DQ360" s="145" t="e">
        <f ca="1">IF(AND($CP360&gt;=0,$CP360&lt;=90),Control!$C$111,Control!$C$111)</f>
        <v>#N/A</v>
      </c>
      <c r="DR360" s="145" t="e">
        <f t="shared" ca="1" si="1182"/>
        <v>#N/A</v>
      </c>
      <c r="DS360" s="143" t="e">
        <f ca="1">Control!$B$22/$DR360</f>
        <v>#N/A</v>
      </c>
      <c r="DT360" s="149" t="e">
        <f ca="1">IF(AND(Control!$C$114=1,$KH360&lt;1),$IM360*$DF360, 0)</f>
        <v>#N/A</v>
      </c>
      <c r="DU360" s="144" t="e">
        <f t="shared" ca="1" si="1307"/>
        <v>#N/A</v>
      </c>
      <c r="DV360" s="144">
        <f ca="1">IF($G360-Control!$C$107&lt;=0, 0, 0.83*LN(MAX($G360, 3))-0.8924)</f>
        <v>0</v>
      </c>
      <c r="DW360" s="144" t="e">
        <f t="shared" ca="1" si="1183"/>
        <v>#N/A</v>
      </c>
      <c r="DX360" s="150" t="e">
        <f ca="1">MAX(0.01*(1+$CU360/Control!$C$102),0.05*($DK360-Control!$C$97)/Control!$C$97)</f>
        <v>#N/A</v>
      </c>
      <c r="DY360" s="151" t="e">
        <f ca="1">IF(Control!$C$114=1, $DI360*$FS360, 0)</f>
        <v>#N/A</v>
      </c>
      <c r="DZ360" s="196" t="e">
        <f t="shared" ca="1" si="1308"/>
        <v>#N/A</v>
      </c>
      <c r="EA360" s="152">
        <f t="shared" ca="1" si="1309"/>
        <v>356</v>
      </c>
      <c r="EB360" s="153" t="e">
        <f t="shared" ca="1" si="1310"/>
        <v>#N/A</v>
      </c>
      <c r="EC360" s="153" t="e">
        <f t="shared" ca="1" si="1311"/>
        <v>#N/A</v>
      </c>
      <c r="ED360" s="154" t="e">
        <f ca="1">IF(Control!$C$114=1, $HM360*$FY360-$FD360, 0)</f>
        <v>#DIV/0!</v>
      </c>
      <c r="EE360" s="155" t="e">
        <f ca="1">IF(Control!$C$114=1, $HM360*$FZ360-$FF360, 0)</f>
        <v>#DIV/0!</v>
      </c>
      <c r="EF360" s="153" t="e">
        <f t="shared" ca="1" si="1365"/>
        <v>#N/A</v>
      </c>
      <c r="EG360" s="155" t="e">
        <f ca="1">IF(Control!$C$114=1, $GX360*$FW360-$FI360, 0)</f>
        <v>#DIV/0!</v>
      </c>
      <c r="EH360" s="153" t="e">
        <f t="shared" ca="1" si="1312"/>
        <v>#N/A</v>
      </c>
      <c r="EI360" s="156" t="e">
        <f t="shared" ca="1" si="1313"/>
        <v>#N/A</v>
      </c>
      <c r="EJ360" s="155" t="e">
        <f ca="1">IF(Control!$C$114=1, $HM360*$GB360, 0)</f>
        <v>#DIV/0!</v>
      </c>
      <c r="EK360" s="153" t="e">
        <f t="shared" ca="1" si="1366"/>
        <v>#N/A</v>
      </c>
      <c r="EL360" s="153" t="e">
        <f t="shared" ca="1" si="1184"/>
        <v>#N/A</v>
      </c>
      <c r="EM360" s="153" t="e">
        <f t="shared" ca="1" si="1185"/>
        <v>#N/A</v>
      </c>
      <c r="EN360" s="153" t="e">
        <f ca="1">IF(Control!$C$108=1,IF(AND(Control!$B$18=1,$EB360&gt;=Control!$B$19),$EB360-$DS360,IF(AND(Control!$B$18=2,$AW360=1,$EB360&gt;$DS360),$EB360-$DS360,0)))</f>
        <v>#N/A</v>
      </c>
      <c r="EO360" s="153" t="e">
        <f ca="1">IF(Control!$C$108=1,IF(AND(Control!$B$18=1,$EB360&gt;=Control!$B$19),$EF360,IF(AND(Control!$B$18=2,$AW360=1),$EF360,0)))</f>
        <v>#N/A</v>
      </c>
      <c r="EP360" s="153" t="e">
        <f ca="1">IF(Control!$C$108=1,IF(AND(Control!$B$18=1,$EB360&gt;=Control!$B$19),$EK360,IF(AND(Control!$B$18=2,$AW360=1),$EK360,0)))</f>
        <v>#N/A</v>
      </c>
      <c r="EQ360" s="153" t="e">
        <f t="shared" ca="1" si="1314"/>
        <v>#N/A</v>
      </c>
      <c r="ER360" s="153" t="e">
        <f t="shared" ca="1" si="1315"/>
        <v>#N/A</v>
      </c>
      <c r="ES360" s="153" t="e">
        <f t="shared" ca="1" si="1367"/>
        <v>#N/A</v>
      </c>
      <c r="ET360" s="153" t="e">
        <f t="shared" ca="1" si="1368"/>
        <v>#N/A</v>
      </c>
      <c r="EU360" s="153" t="e">
        <f t="shared" ca="1" si="1316"/>
        <v>#N/A</v>
      </c>
      <c r="EV360" s="153" t="e">
        <f t="shared" ca="1" si="1186"/>
        <v>#N/A</v>
      </c>
      <c r="EW360" s="153" t="e">
        <f t="shared" ca="1" si="1187"/>
        <v>#N/A</v>
      </c>
      <c r="EX360" s="153" t="e">
        <f t="shared" ca="1" si="1188"/>
        <v>#N/A</v>
      </c>
      <c r="EY360" s="157" t="e">
        <f t="shared" ca="1" si="1189"/>
        <v>#DIV/0!</v>
      </c>
      <c r="EZ360" s="154" t="e">
        <f t="shared" ca="1" si="1190"/>
        <v>#DIV/0!</v>
      </c>
      <c r="FA360" s="153" t="e">
        <f t="shared" ca="1" si="1317"/>
        <v>#N/A</v>
      </c>
      <c r="FB360" s="153" t="e">
        <f t="shared" ca="1" si="1191"/>
        <v>#N/A</v>
      </c>
      <c r="FC360" s="193" t="e">
        <f t="shared" ca="1" si="1192"/>
        <v>#N/A</v>
      </c>
      <c r="FD360" s="158" t="e">
        <f t="shared" ca="1" si="1318"/>
        <v>#N/A</v>
      </c>
      <c r="FE360" s="158" t="e">
        <f t="shared" ca="1" si="1319"/>
        <v>#N/A</v>
      </c>
      <c r="FF360" s="159" t="e">
        <f t="shared" ca="1" si="1193"/>
        <v>#N/A</v>
      </c>
      <c r="FG360" s="160" t="e">
        <f t="shared" ca="1" si="1320"/>
        <v>#N/A</v>
      </c>
      <c r="FH360" s="158" t="e">
        <f t="shared" ca="1" si="1321"/>
        <v>#N/A</v>
      </c>
      <c r="FI360" s="159" t="e">
        <f t="shared" ca="1" si="1194"/>
        <v>#N/A</v>
      </c>
      <c r="FJ360" s="160" t="e">
        <f t="shared" ca="1" si="1322"/>
        <v>#N/A</v>
      </c>
      <c r="FK360" s="160" t="e">
        <f t="shared" ca="1" si="1195"/>
        <v>#N/A</v>
      </c>
      <c r="FL360" s="160" t="e">
        <f t="shared" ca="1" si="1369"/>
        <v>#N/A</v>
      </c>
      <c r="FM360" s="160" t="e">
        <f t="shared" ca="1" si="1196"/>
        <v>#N/A</v>
      </c>
      <c r="FN360" s="158">
        <f t="shared" ca="1" si="1323"/>
        <v>0.01</v>
      </c>
      <c r="FO360" s="160">
        <f>Control!$C$101</f>
        <v>50</v>
      </c>
      <c r="FP360" s="150" t="e">
        <f t="shared" ca="1" si="1197"/>
        <v>#N/A</v>
      </c>
      <c r="FQ360" s="150" t="e">
        <f ca="1">MAX(0,(Control!$C$112*(($DK360-Control!$C$97)/Control!$C$97)))</f>
        <v>#N/A</v>
      </c>
      <c r="FR360" s="150" t="e">
        <f ca="1">(1-$NT360)*Control!$C$113</f>
        <v>#DIV/0!</v>
      </c>
      <c r="FS360" s="198" t="e">
        <f t="shared" ca="1" si="1198"/>
        <v>#N/A</v>
      </c>
      <c r="FT360" s="161">
        <f t="shared" ca="1" si="1324"/>
        <v>356</v>
      </c>
      <c r="FU360" s="162" t="e">
        <f ca="1">IF(Control!$B$34=1,VLOOKUP($CP360,Control!$B$86:$G$91,6),Control!$B$35)</f>
        <v>#N/A</v>
      </c>
      <c r="FV360" s="162" t="e">
        <f t="shared" ca="1" si="1199"/>
        <v>#DIV/0!</v>
      </c>
      <c r="FW360" s="162" t="e">
        <f ca="1">IF(Control!$B$31=1,$FU360*$FV360,  $FU360)</f>
        <v>#N/A</v>
      </c>
      <c r="FX360" s="162" t="e">
        <f ca="1">IF(Control!$B$34=1,VLOOKUP($CP360,Control!$B$86:$G$91,3),Control!$B$36)</f>
        <v>#N/A</v>
      </c>
      <c r="FY360" s="162" t="e">
        <f t="shared" ca="1" si="1200"/>
        <v>#N/A</v>
      </c>
      <c r="FZ360" s="162" t="e">
        <f ca="1">IF(Control!$B$34=1,VLOOKUP($CP360,Control!$B$86:$G$91,4),Control!$B$37)</f>
        <v>#N/A</v>
      </c>
      <c r="GA360" s="162" t="e">
        <f t="shared" ca="1" si="1201"/>
        <v>#N/A</v>
      </c>
      <c r="GB360" s="162" t="e">
        <f ca="1">IF(Control!$B$34=1,VLOOKUP($CP360,Control!$B$86:$G$91,5),Control!$B$38)</f>
        <v>#N/A</v>
      </c>
      <c r="GC360" s="162" t="e">
        <f t="shared" ca="1" si="1325"/>
        <v>#N/A</v>
      </c>
      <c r="GD360" s="162">
        <f t="shared" ca="1" si="1202"/>
        <v>1</v>
      </c>
      <c r="GE360" s="162">
        <f t="shared" ca="1" si="1203"/>
        <v>1</v>
      </c>
      <c r="GF360" s="162">
        <f ca="1">IF(AND(Control!$C$104=1, Control!$C$62="F"),$GE360,1)</f>
        <v>1</v>
      </c>
      <c r="GG360" s="162" t="e">
        <f ca="1">IF(Control!$B$16=40,0,IF(AND(Control!$B$16&gt;40,Control!$B$16&lt;=360),(Control!$B$16-40)*((1-0)/(360-40)),IF(AND(Control!$B$16&gt;360,Control!$B$16&lt;=720),(1+(Control!$B$16-360)*((1.25-1)/(720-360))),IF(AND(Control!$B$16&gt;720,Control!$B$16&lt;=1000),(1.25+(Control!$B$16-720)*((1.35-1.25)/(1000-720))),IF(AND(Control!$B$16&gt;1000,Control!$B$16&lt;=2000),(1.35+(Control!$B$16-1000)*0))))))</f>
        <v>#N/A</v>
      </c>
      <c r="GH360" s="162" t="e">
        <f t="shared" ca="1" si="1204"/>
        <v>#N/A</v>
      </c>
      <c r="GI360" s="162">
        <f t="shared" ca="1" si="1326"/>
        <v>0</v>
      </c>
      <c r="GJ360" s="162">
        <f t="shared" ca="1" si="1205"/>
        <v>0</v>
      </c>
      <c r="GK360" s="162">
        <f t="shared" ca="1" si="1327"/>
        <v>1</v>
      </c>
      <c r="GL360" s="162">
        <f t="shared" ca="1" si="1206"/>
        <v>1</v>
      </c>
      <c r="GM360" s="162" t="e">
        <f ca="1">MAX(0,MIN(1,1-Control!$C$156*(1.0001-$KH360)^2))</f>
        <v>#N/A</v>
      </c>
      <c r="GN360" s="162" t="e">
        <f ca="1">IF(Control!$B$26=1,$KU360,$KX360)</f>
        <v>#N/A</v>
      </c>
      <c r="GO360" s="162" t="e">
        <f ca="1">IF($CP360&lt;=60,Control!$C$105,IF($CP360&gt;=90,Control!$C$106,Control!$C$105+($CP360-60)*((Control!$C$106-Control!$C$105)/(90-60))))</f>
        <v>#N/A</v>
      </c>
      <c r="GP360" s="162" t="e">
        <f t="shared" ca="1" si="1207"/>
        <v>#N/A</v>
      </c>
      <c r="GQ360" s="162" t="e">
        <f t="shared" ca="1" si="1328"/>
        <v>#N/A</v>
      </c>
      <c r="GR360" s="163" t="e">
        <f t="shared" ca="1" si="1208"/>
        <v>#DIV/0!</v>
      </c>
      <c r="GS360" s="162" t="e">
        <f t="shared" ca="1" si="1209"/>
        <v>#DIV/0!</v>
      </c>
      <c r="GT360" s="164" t="e">
        <f t="shared" ca="1" si="1329"/>
        <v>#N/A</v>
      </c>
      <c r="GU360" s="162" t="e">
        <f t="shared" ca="1" si="1330"/>
        <v>#N/A</v>
      </c>
      <c r="GV360" s="162" t="e">
        <f t="shared" ca="1" si="1210"/>
        <v>#N/A</v>
      </c>
      <c r="GW360" s="162" t="e">
        <f t="shared" ca="1" si="1211"/>
        <v>#DIV/0!</v>
      </c>
      <c r="GX360" s="162" t="e">
        <f t="shared" ca="1" si="1331"/>
        <v>#DIV/0!</v>
      </c>
      <c r="GY360" s="162" t="e">
        <f t="shared" ca="1" si="1332"/>
        <v>#DIV/0!</v>
      </c>
      <c r="GZ360" s="165" t="e">
        <f t="shared" ca="1" si="1212"/>
        <v>#N/A</v>
      </c>
      <c r="HA360" s="162" t="e">
        <f ca="1">IF(Control!$C$114=1, $DI360*$FS360, 0)</f>
        <v>#N/A</v>
      </c>
      <c r="HB360" s="162" t="e">
        <f ca="1">$FA360/Control!$C$64</f>
        <v>#N/A</v>
      </c>
      <c r="HC360" s="162" t="e">
        <f t="shared" ca="1" si="1213"/>
        <v>#DIV/0!</v>
      </c>
      <c r="HD360" s="162">
        <f ca="1">-ASIN(SIN(23.45*Control!$C$139)*COS(2*Control!$C$138*($AH360+10)/365))</f>
        <v>-0.40921628887757883</v>
      </c>
      <c r="HE360" s="165">
        <f t="shared" ca="1" si="1333"/>
        <v>0</v>
      </c>
      <c r="HF360" s="166">
        <f ca="1">IF(AND(Control!$C$61="T",$HE360&gt;=Control!$C$103,Control!$C$114=0),$AH360,Control!$C$59)</f>
        <v>1</v>
      </c>
      <c r="HG360" s="166">
        <f ca="1">IF(AND(Control!$C$61="T",$HE360&gt;=Control!$C$103,Control!$C$114=0),$HF360,Control!$C$59)</f>
        <v>1</v>
      </c>
      <c r="HH360" s="165">
        <f ca="1">IF(AND(OR(Control!$C$60&lt;=0, $AH360= Control!$C$59, Control!$C$60 &gt;0, $AH360 = Control!$C$60)), Control!$C$59, IF(Control!$C$60&gt;0, 0))</f>
        <v>1</v>
      </c>
      <c r="HI360" s="165">
        <f ca="1">IF(AND(OR(Control!$C$60&lt;=0, $AH360= Control!$C$59, Control!$C$60 &gt;0, $AH360 = Control!$C$60)), Control!$C$60, IF(Control!$C$60&lt;=0, 0))</f>
        <v>0</v>
      </c>
      <c r="HJ360" s="166">
        <f ca="1">IF(AND(Control!$C$62="F",$CV360&gt;=Control!$C$102),$AH360,0)</f>
        <v>0</v>
      </c>
      <c r="HK360" s="165" t="e">
        <f t="shared" ca="1" si="1370"/>
        <v>#N/A</v>
      </c>
      <c r="HL360" s="166">
        <f ca="1">IF(AND(Control!$C$61="T",$HE360&gt;=Control!$C$103,Control!$C$114=0),$HF360,0)</f>
        <v>0</v>
      </c>
      <c r="HM360" s="201" t="e">
        <f t="shared" ca="1" si="1214"/>
        <v>#DIV/0!</v>
      </c>
      <c r="HN360" s="215">
        <f t="shared" ca="1" si="1334"/>
        <v>356</v>
      </c>
      <c r="HO360" s="216" t="e">
        <f ca="1">IF(AND($CP360&gt;=0, $CP360&lt;=90), Control!$C$152, Control!$C$152)</f>
        <v>#N/A</v>
      </c>
      <c r="HP360" s="216" t="e">
        <f t="shared" ca="1" si="1215"/>
        <v>#N/A</v>
      </c>
      <c r="HQ360" s="217" t="e">
        <f ca="1">IF(OR(Control!$B$26=1,Control!$B$26=2),$KV360,$KS360)</f>
        <v>#DIV/0!</v>
      </c>
      <c r="HR360" s="218" t="e">
        <f t="shared" ca="1" si="1371"/>
        <v>#DIV/0!</v>
      </c>
      <c r="HS360" s="216" t="e">
        <f ca="1">Control!$C$154*$HP360</f>
        <v>#N/A</v>
      </c>
      <c r="HT360" s="216" t="e">
        <f ca="1">Control!$C$155*$HP360</f>
        <v>#N/A</v>
      </c>
      <c r="HU360" s="217" t="e">
        <f ca="1">Control!$C$161*$FI360</f>
        <v>#N/A</v>
      </c>
      <c r="HV360" s="218" t="e">
        <f t="shared" ca="1" si="1335"/>
        <v>#N/A</v>
      </c>
      <c r="HW360" s="218" t="e">
        <f ca="1">Control!$C$160*$FF360+$IP360*$EO360</f>
        <v>#N/A</v>
      </c>
      <c r="HX360" s="218" t="e">
        <f t="shared" ca="1" si="1372"/>
        <v>#N/A</v>
      </c>
      <c r="HY360" s="219" t="e">
        <f ca="1">IF(Control!$C$114=1, $EB360*$FS360, 0)</f>
        <v>#N/A</v>
      </c>
      <c r="HZ360" s="91" t="e">
        <f t="shared" ca="1" si="1216"/>
        <v>#N/A</v>
      </c>
      <c r="IA360" s="220" t="e">
        <f ca="1">Control!$C$153*$HO360</f>
        <v>#N/A</v>
      </c>
      <c r="IB360" s="218" t="e">
        <f t="shared" ca="1" si="1217"/>
        <v>#N/A</v>
      </c>
      <c r="IC360" s="220" t="e">
        <f ca="1">Control!$C$153*$HT360</f>
        <v>#N/A</v>
      </c>
      <c r="ID360" s="218" t="e">
        <f t="shared" ca="1" si="1218"/>
        <v>#N/A</v>
      </c>
      <c r="IE360" s="221" t="e">
        <f ca="1">($EB360*Control!$C$159+$EF360*Control!$C$160)/(IF($GZ360&lt;&gt;0,$GZ360,1))</f>
        <v>#N/A</v>
      </c>
      <c r="IF360" s="216" t="e">
        <f t="shared" ca="1" si="1219"/>
        <v>#N/A</v>
      </c>
      <c r="IG360" s="91">
        <f ca="1">IF(OR(Control!$B$198=$AH360,Control!$B$199=$AH360, Control!$B$200=$AH360, Control!$B$201=$AH360, Control!$B$202=$AH360, Control!$B$203=$AH360, Control!$B$204=$AH360, Control!$B$205=$AH360, Control!$B$206=$AH360, Control!$B$207=$AH360), 1, 0)</f>
        <v>0</v>
      </c>
      <c r="IH360" s="91">
        <f ca="1">IF($IG360=0,0, VLOOKUP($AH360,Control!$B$198:$C$207,2))</f>
        <v>0</v>
      </c>
      <c r="II360" s="222">
        <f t="shared" ca="1" si="1336"/>
        <v>0</v>
      </c>
      <c r="IJ360" s="91">
        <f>Control!$C$121</f>
        <v>0.7</v>
      </c>
      <c r="IK360" s="218">
        <f t="shared" ca="1" si="1220"/>
        <v>0</v>
      </c>
      <c r="IL360" s="217" t="e">
        <f t="shared" ca="1" si="1373"/>
        <v>#N/A</v>
      </c>
      <c r="IM360" s="223" t="e">
        <f ca="1">IF(AND(Control!$C$114=1,$KH360&lt;1),$EB360*Control!$C$148*(1-$KH360), 0)</f>
        <v>#N/A</v>
      </c>
      <c r="IN360" s="217" t="e">
        <f t="shared" ca="1" si="1221"/>
        <v>#DIV/0!</v>
      </c>
      <c r="IO360" s="91" t="e">
        <f ca="1">MAX(0,$IL360-$EF360*Control!$C$160)</f>
        <v>#N/A</v>
      </c>
      <c r="IP360" s="220" t="e">
        <f t="shared" ca="1" si="1222"/>
        <v>#N/A</v>
      </c>
      <c r="IQ360" s="217" t="e">
        <f t="shared" ca="1" si="1337"/>
        <v>#N/A</v>
      </c>
      <c r="IR360" s="218" t="e">
        <f t="shared" ca="1" si="1223"/>
        <v>#N/A</v>
      </c>
      <c r="IS360" s="217" t="e">
        <f ca="1">Control!$C$159*MAX(0,$FD360-$EN360)</f>
        <v>#N/A</v>
      </c>
      <c r="IT360" s="217" t="e">
        <f t="shared" ca="1" si="1374"/>
        <v>#N/A</v>
      </c>
      <c r="IU360" s="217" t="e">
        <f t="shared" ca="1" si="1338"/>
        <v>#N/A</v>
      </c>
      <c r="IV360" s="217" t="e">
        <f t="shared" ca="1" si="1375"/>
        <v>#N/A</v>
      </c>
      <c r="IW360" s="217" t="e">
        <f ca="1">IF(OR($AW360=1,AND($AW360=0, Control!$B$18=1,$EN360&lt;&gt;0)), $IQ360-$IU360, $IQ360)</f>
        <v>#N/A</v>
      </c>
      <c r="IX360" s="218" t="e">
        <f t="shared" ca="1" si="1224"/>
        <v>#N/A</v>
      </c>
      <c r="IY360" s="218" t="e">
        <f ca="1">MAX(0,$IQ360-$EB360*Control!$C$159)</f>
        <v>#N/A</v>
      </c>
      <c r="IZ360" s="218" t="e">
        <f t="shared" ca="1" si="1225"/>
        <v>#N/A</v>
      </c>
      <c r="JA360" s="216" t="e">
        <f t="shared" ca="1" si="1226"/>
        <v>#N/A</v>
      </c>
      <c r="JB360" s="217" t="e">
        <f t="shared" ca="1" si="1227"/>
        <v>#N/A</v>
      </c>
      <c r="JC360" s="222" t="e">
        <f ca="1">MAX(Control!$C$157*$EK360-$JT360, 0)/Control!$C$162</f>
        <v>#N/A</v>
      </c>
      <c r="JD360" s="218" t="e">
        <f t="shared" ca="1" si="1228"/>
        <v>#N/A</v>
      </c>
      <c r="JE360" s="218" t="e">
        <f t="shared" ca="1" si="1229"/>
        <v>#N/A</v>
      </c>
      <c r="JF360" s="218" t="e">
        <f t="shared" ca="1" si="1339"/>
        <v>#N/A</v>
      </c>
      <c r="JG360" s="218" t="e">
        <f t="shared" ca="1" si="1230"/>
        <v>#N/A</v>
      </c>
      <c r="JH360" s="217" t="e">
        <f t="shared" ca="1" si="1340"/>
        <v>#N/A</v>
      </c>
      <c r="JI360" s="217" t="e">
        <f t="shared" ca="1" si="1341"/>
        <v>#N/A</v>
      </c>
      <c r="JJ360" s="217" t="e">
        <f t="shared" ca="1" si="1376"/>
        <v>#N/A</v>
      </c>
      <c r="JK360" s="217" t="e">
        <f ca="1">IF(Control!$C$114=1,IF(Control!$B$24=0,MAX(0,$JI360)*$GN360/Control!$C$64,(MAX(0,MIN($JI360,$JJ360*$GN360/Control!$C$64),0))))</f>
        <v>#N/A</v>
      </c>
      <c r="JL360" s="217" t="e">
        <f ca="1">$IK360/Control!$C$64-$JK360+$HQ360</f>
        <v>#N/A</v>
      </c>
      <c r="JM360" s="217" t="e">
        <f ca="1">IF(Control!$C$114=1,($JB360/(IF($JI360&lt;&gt;0,$JI360,1)))*$JK360,0)</f>
        <v>#N/A</v>
      </c>
      <c r="JN360" s="217" t="e">
        <f ca="1">IF(Control!$C$114=1,($JG360/(IF($JI360&lt;&gt;0,$JI360,1)))*$JK360, 0)</f>
        <v>#N/A</v>
      </c>
      <c r="JO360" s="218" t="e">
        <f t="shared" ca="1" si="1231"/>
        <v>#N/A</v>
      </c>
      <c r="JP360" s="218" t="e">
        <f ca="1">MIN(($IY360+$IO360)*Control!$C$151, $JF360-$EH360*Control!$C$161)</f>
        <v>#N/A</v>
      </c>
      <c r="JQ360" s="218" t="e">
        <f t="shared" ca="1" si="1232"/>
        <v>#N/A</v>
      </c>
      <c r="JR360" s="217" t="e">
        <f ca="1">IF($CP360-Control!$C$150&lt;0, 0, $JQ360/Control!$C$162)</f>
        <v>#N/A</v>
      </c>
      <c r="JS360" s="218" t="e">
        <f t="shared" ca="1" si="1233"/>
        <v>#N/A</v>
      </c>
      <c r="JT360" s="218" t="e">
        <f t="shared" ca="1" si="1342"/>
        <v>#N/A</v>
      </c>
      <c r="JU360" s="218" t="e">
        <f t="shared" ca="1" si="1234"/>
        <v>#N/A</v>
      </c>
      <c r="JV360" s="218" t="e">
        <f t="shared" ca="1" si="1235"/>
        <v>#N/A</v>
      </c>
      <c r="JW360" s="216" t="e">
        <f t="shared" ca="1" si="1236"/>
        <v>#N/A</v>
      </c>
      <c r="JX360" s="91" t="e">
        <f t="shared" ca="1" si="1237"/>
        <v>#N/A</v>
      </c>
      <c r="JY360" s="218" t="e">
        <f t="shared" ca="1" si="1238"/>
        <v>#N/A</v>
      </c>
      <c r="JZ360" s="217" t="e">
        <f ca="1">IF(Control!$C$114=1,($IZ360/(IF($JI360&lt;&gt;0,$JI360,1)))*$JK360, 0)</f>
        <v>#N/A</v>
      </c>
      <c r="KA360" s="218" t="e">
        <f t="shared" ca="1" si="1377"/>
        <v>#N/A</v>
      </c>
      <c r="KB360" s="218" t="e">
        <f t="shared" ca="1" si="1343"/>
        <v>#N/A</v>
      </c>
      <c r="KC360" s="218" t="e">
        <f t="shared" ca="1" si="1239"/>
        <v>#N/A</v>
      </c>
      <c r="KD360" s="218" t="e">
        <f t="shared" ca="1" si="1240"/>
        <v>#N/A</v>
      </c>
      <c r="KE360" s="218" t="e">
        <f t="shared" ca="1" si="1241"/>
        <v>#N/A</v>
      </c>
      <c r="KF360" s="218" t="e">
        <f t="shared" ca="1" si="1242"/>
        <v>#N/A</v>
      </c>
      <c r="KG360" s="216" t="e">
        <f t="shared" ca="1" si="1243"/>
        <v>#N/A</v>
      </c>
      <c r="KH360" s="221" t="e">
        <f ca="1">IF(Control!$B$24=0,1,MAX(0.001,MIN(1,IF(($IF360-$IE360)&lt;&gt;0,($KG360-$IE360)/($IF360-$IE360),1))))</f>
        <v>#N/A</v>
      </c>
      <c r="KI360" s="222" t="e">
        <f ca="1">IF(Control!$C$114=1, $KI359+ $KH359, 0)</f>
        <v>#N/A</v>
      </c>
      <c r="KJ360" s="217" t="e">
        <f t="shared" ca="1" si="1244"/>
        <v>#N/A</v>
      </c>
      <c r="KK360" s="218" t="e">
        <f t="shared" ca="1" si="1245"/>
        <v>#N/A</v>
      </c>
      <c r="KL360" s="274" t="e">
        <f ca="1">IF(Control!$B$26=3,4000000000*EXP(-8400/($G360+273)),IF(Control!$B$26=4,4000000000*EXP(-8400/($G360+273))*($KT360),0))</f>
        <v>#DIV/0!</v>
      </c>
      <c r="KM360" s="274" t="e">
        <f ca="1">IF(Control!$B$26=3,5600000000000*EXP(-9800/($G360+273)),IF(Control!$B$26=4,5600000000000*EXP(-9800/($G360+273))*$KT360,0))</f>
        <v>#DIV/0!</v>
      </c>
      <c r="KN360" s="454" t="e">
        <f t="shared" ca="1" si="1344"/>
        <v>#DIV/0!</v>
      </c>
      <c r="KO360" s="274" t="e">
        <f t="shared" ca="1" si="1345"/>
        <v>#DIV/0!</v>
      </c>
      <c r="KP360" s="454" t="e">
        <f t="shared" ca="1" si="1246"/>
        <v>#DIV/0!</v>
      </c>
      <c r="KQ360" s="454" t="e">
        <f t="shared" ca="1" si="1247"/>
        <v>#DIV/0!</v>
      </c>
      <c r="KR360" s="454" t="e">
        <f t="shared" ca="1" si="1248"/>
        <v>#DIV/0!</v>
      </c>
      <c r="KS360" s="454" t="e">
        <f t="shared" ca="1" si="1249"/>
        <v>#DIV/0!</v>
      </c>
      <c r="KT360" s="455" t="e">
        <f t="shared" ca="1" si="1250"/>
        <v>#DIV/0!</v>
      </c>
      <c r="KU360" s="456" t="e">
        <f ca="1">IF($CP360-Control!$C$149&lt;0, IF($NT360-0.01&lt;0,0,1),0)</f>
        <v>#N/A</v>
      </c>
      <c r="KV360" s="456" t="e">
        <f ca="1">IF(Control!$C$114=1,MAX(0,MIN(Control!$C$125*$KW360*$GN360,$KW360)))</f>
        <v>#DIV/0!</v>
      </c>
      <c r="KW360" s="456" t="e">
        <f t="shared" ca="1" si="1378"/>
        <v>#DIV/0!</v>
      </c>
      <c r="KX360" s="457" t="e">
        <f ca="1">IF($CP360-Control!$C$149&lt;0, IF($MR360-$OM360&lt;0,0,1),0)</f>
        <v>#N/A</v>
      </c>
      <c r="KY360" s="167">
        <f t="shared" ca="1" si="1346"/>
        <v>356</v>
      </c>
      <c r="KZ360" s="168">
        <f ca="1">1370*(1+0.033*COS(2*Control!$C$138*$AH360/365))</f>
        <v>1414.6686046841828</v>
      </c>
      <c r="LA360" s="169">
        <f t="shared" ca="1" si="1347"/>
        <v>1.032604747966902</v>
      </c>
      <c r="LB360" s="169">
        <f t="shared" ca="1" si="1348"/>
        <v>-0.40886316078420892</v>
      </c>
      <c r="LC360" s="169">
        <f ca="1">ACOS(-TAN((2*Control!$B$8/360))*TAN(Calculations!$LB360))</f>
        <v>1.4416654991848707</v>
      </c>
      <c r="LD360" s="169">
        <f ca="1">((24*60)/PI())*0.082*$LA360*(($LC360*SIN(Control!$B$8*2*PI()/360))*SIN($LB360)+COS(Control!$B$8*2*PI()/360)*COS($LB360)*SIN($LC360))</f>
        <v>4.2132489674074076</v>
      </c>
      <c r="LE360" s="170">
        <f t="shared" ca="1" si="1251"/>
        <v>5.9240849360995451</v>
      </c>
      <c r="LF360" s="170">
        <f ca="1">SIN(Control!$C$139*Control!$B$8)*SIN($HD360)</f>
        <v>-0.31354247155648873</v>
      </c>
      <c r="LG360" s="170">
        <f ca="1">COS(Control!$C$139*Control!$B$8)*COS($HD360)</f>
        <v>0.56482658039590483</v>
      </c>
      <c r="LH360" s="170">
        <f ca="1">12*(1+2*ASIN(MAX(-1,MIN(1,$LF360/$LG360))/Control!$C$138))</f>
        <v>7.7368770819027199</v>
      </c>
      <c r="LI360" s="170">
        <f ca="1">12*(1+2*ASIN(MAX(-1,MIN(1,(-SIN(-4*Control!$C$139)+$LF360)/$LG360))/Control!$C$138))</f>
        <v>8.6922745000335553</v>
      </c>
      <c r="LJ360" s="168">
        <f ca="1">3600*($LH360*$LF360+24*$LG360*SQRT(1-$LK360*$LK360)/Control!$C$138)</f>
        <v>4187.6132095417961</v>
      </c>
      <c r="LK360" s="170">
        <f t="shared" ca="1" si="1252"/>
        <v>-0.55511281239051624</v>
      </c>
      <c r="LL360" s="170">
        <f t="shared" ca="1" si="1253"/>
        <v>0</v>
      </c>
      <c r="LM360" s="171">
        <f ca="1">Control!$C$145*$AB360</f>
        <v>6.6660906138995932E-2</v>
      </c>
      <c r="LN360" s="170">
        <f t="shared" ca="1" si="1349"/>
        <v>0.54</v>
      </c>
      <c r="LO360" s="170">
        <f t="shared" ca="1" si="1254"/>
        <v>0</v>
      </c>
      <c r="LP360" s="170">
        <f ca="1">Control!$C$140*((($D360+273.16)^4+($E360+273.16)^4)/2)*(0.34-0.14*SQRT($Y360))*(1.35*$AQ360/(0.75*$LD360)-0.35)</f>
        <v>-3.2464704755046001</v>
      </c>
      <c r="LQ360" s="170">
        <f ca="1">Control!$C$140*($G360+273)^4*(0.56-0.079*SQRT($Y360*10))*(0.1+0.9*$LO360)</f>
        <v>1.5241745131704001</v>
      </c>
      <c r="LR360" s="170">
        <f ca="1">$AQ360*(1-Control!$C$142)-$LQ360</f>
        <v>-1.5241745131704001</v>
      </c>
      <c r="LS360" s="170">
        <f ca="1">$AQ360*(1-Control!$C$143)-$LQ360</f>
        <v>-1.5241745131704001</v>
      </c>
      <c r="LT360" s="170">
        <f ca="1">$AQ360*(1-Control!$C$144)-$LQ360</f>
        <v>-1.5241745131704001</v>
      </c>
      <c r="LU360" s="169">
        <f ca="1">(1-Control!$C$144)*AQ360-LP360</f>
        <v>3.2464704755046001</v>
      </c>
      <c r="LV360" s="172">
        <f t="shared" ca="1" si="1255"/>
        <v>0.79430000000000012</v>
      </c>
      <c r="LW360" s="170">
        <f t="shared" ca="1" si="1256"/>
        <v>1.5886000000000002</v>
      </c>
      <c r="LX360" s="170">
        <f ca="1">($AC360*($LR360/Control!$C$141)+$LM360*$LV360)/($AC360+$LM360)</f>
        <v>0.23530094218323697</v>
      </c>
      <c r="LY360" s="170">
        <f ca="1">($AC360*($LS360/Control!$C$141)+$LM360*$LV360)/($AC360+$LM360)</f>
        <v>0.23530094218323697</v>
      </c>
      <c r="LZ360" s="170">
        <f t="shared" ca="1" si="1257"/>
        <v>0.23530094218323697</v>
      </c>
      <c r="MA360" s="170">
        <f t="shared" ca="1" si="1258"/>
        <v>0.23530094218323697</v>
      </c>
      <c r="MB360" s="170" t="e">
        <f t="shared" ca="1" si="1259"/>
        <v>#N/A</v>
      </c>
      <c r="MC360" s="170">
        <f t="shared" ca="1" si="1350"/>
        <v>0.6018</v>
      </c>
      <c r="MD360" s="170">
        <f t="shared" ca="1" si="1260"/>
        <v>0.52989392535414004</v>
      </c>
      <c r="ME360" s="170">
        <f ca="1">($AC360*($LT360/Control!$C$141)+$LM360*$LW360)/($AC360+$LM360)</f>
        <v>0.71612369323045078</v>
      </c>
      <c r="MF360" s="170" t="e">
        <f ca="1">IF(Control!$B$16&gt;=1000,0.92,IF(AND(720&lt;=Control!$B$16,1000&gt;Control!$B$16),(0.95+(Control!$B$16-720)*((0.92-0.95)/(1000-720))),IF(AND(360&lt;=Control!$B$16,720&gt;Control!$B$16),(1+(Control!$B$16-360)*((0.95-1)/(720-360))),IF(AND(40&lt;=Control!$B$16,360&gt;Control!$B$16),(1.05+(Control!$B$16-40)*((1.05-1)/(360-40)))))))</f>
        <v>#N/A</v>
      </c>
      <c r="MG360" s="170">
        <f t="shared" ca="1" si="1261"/>
        <v>0.71612369323045078</v>
      </c>
      <c r="MH360" s="170" t="e">
        <f t="shared" ca="1" si="1387"/>
        <v>#N/A</v>
      </c>
      <c r="MI360" s="170" t="e">
        <f t="shared" ca="1" si="1387"/>
        <v>#N/A</v>
      </c>
      <c r="MJ360" s="170" t="e">
        <f ca="1">MAX(0.0001, Control!$C$132*$MI360*$DL360)</f>
        <v>#N/A</v>
      </c>
      <c r="MK360" s="170">
        <f ca="1">1/(0.76+1.5*($MG360/10))-(5-Control!$C$110)*0.1</f>
        <v>1.002845988140797</v>
      </c>
      <c r="ML360" s="173">
        <f ca="1">IF(Control!$C$110&lt;3,$MK360+($MG360-0.6)/(Control!$C$110*(Control!$C$110+3)), MAX(0.1, MIN(0.95,$MK360)))</f>
        <v>0.95</v>
      </c>
      <c r="MM360" s="173">
        <f ca="1">IF(Control!$C$110&lt;3,$MK360+(($MI360/10)-0.6)/(Control!$C$110*(Control!$C$110+3)), MAX(0.1, MIN(0.95,$MK360)))</f>
        <v>0.95</v>
      </c>
      <c r="MN360" s="173">
        <f ca="1">(1-$MM360)*(Control!$C$128-Control!$C$127)+Control!$C$127</f>
        <v>0.16</v>
      </c>
      <c r="MO360" s="170" t="e">
        <f ca="1">MAX(0,MIN(1,($MS360-Control!$C$127)/($MN360-Control!$C$127)))</f>
        <v>#DIV/0!</v>
      </c>
      <c r="MP360" s="173" t="e">
        <f ca="1">1/(0.76+1.5*$MI360)-(5-Control!$C$110)*0.1</f>
        <v>#N/A</v>
      </c>
      <c r="MQ360" s="172" t="e">
        <f t="shared" ca="1" si="1379"/>
        <v>#DIV/0!</v>
      </c>
      <c r="MR360" s="168" t="e">
        <f t="shared" ca="1" si="1351"/>
        <v>#DIV/0!</v>
      </c>
      <c r="MS360" s="173" t="e">
        <f ca="1">MAX(Control!$C$127, MIN(Control!$C$135, $MR360/MAX(0.0001,$CY360)))</f>
        <v>#DIV/0!</v>
      </c>
      <c r="MT360" s="168" t="e">
        <f ca="1">(Control!$C$128-$MS360)*Control!$C$74</f>
        <v>#DIV/0!</v>
      </c>
      <c r="MU360" s="168" t="e">
        <f ca="1">(Control!$C$135-$MS360)*Control!$C$74</f>
        <v>#DIV/0!</v>
      </c>
      <c r="MV360" s="168" t="e">
        <f t="shared" ca="1" si="1352"/>
        <v>#DIV/0!</v>
      </c>
      <c r="MW360" s="168" t="e">
        <f t="shared" ca="1" si="1353"/>
        <v>#DIV/0!</v>
      </c>
      <c r="MX360" s="171" t="e">
        <f ca="1">MAX(Control!$C$127, MIN(Control!$C$135, $MW360/MAX(0.0001,Control!$C$119-$CY360)))</f>
        <v>#DIV/0!</v>
      </c>
      <c r="MY360" s="54" t="e">
        <f ca="1">IF(Control!$C$114=1, $CX360*$MX360, 0)</f>
        <v>#DIV/0!</v>
      </c>
      <c r="MZ360" s="54" t="e">
        <f t="shared" ca="1" si="1354"/>
        <v>#N/A</v>
      </c>
      <c r="NA360" s="168" t="e">
        <f ca="1">(Control!$C$128-$MX360)*(Control!$C$119-Control!$C$74)</f>
        <v>#DIV/0!</v>
      </c>
      <c r="NB360" s="168" t="e">
        <f ca="1">(Control!$C$135-$MX360)*(Control!$C$119-Control!$C$74)</f>
        <v>#DIV/0!</v>
      </c>
      <c r="NC360" s="174" t="e">
        <f t="shared" ca="1" si="1355"/>
        <v>#DIV/0!</v>
      </c>
      <c r="ND360" s="54">
        <f ca="1">IF(Control!$C$58=2, IF(OR(Control!$B$218=$AH360,Control!$B$219=$AH360, Control!$B$220=$AH360, Control!$B$221=$AH360, Control!$B$222=$AH360, Control!$B$223=$AH360, Control!$B$224=$AH360, Control!$B$225=$AH360, Control!$B$226=$AH360, Control!$B$227=$AH360, Control!$B$228=$AH360), 1, 0), 0)</f>
        <v>0</v>
      </c>
      <c r="NE360" s="54">
        <f ca="1">IF($ND360=0,0, VLOOKUP($AH360,Control!$B$218:$C$228,2))</f>
        <v>0</v>
      </c>
      <c r="NF360" s="168" t="e">
        <f ca="1">$CY360*(Control!$C$128-Control!$C$127)</f>
        <v>#N/A</v>
      </c>
      <c r="NG360" s="54" t="e">
        <f ca="1">IF(Control!$C$58=2, $NI359-$NJ359, 0)</f>
        <v>#DIV/0!</v>
      </c>
      <c r="NH360" s="54" t="e">
        <f ca="1">IF(AND(Control!$C$58=1, $MS359&lt;= ($MN359+0.02), $I359&lt;10), 0, IF(Control!$C$58=2, $NG359, 0))</f>
        <v>#DIV/0!</v>
      </c>
      <c r="NI360" s="54" t="e">
        <f ca="1">IF(Control!$C$58=2, $NE360+$NH360,0)</f>
        <v>#DIV/0!</v>
      </c>
      <c r="NJ360" s="54" t="e">
        <f ca="1">IF(AND(Control!$C$58=1, $MS360&lt;= ($MN360+0.02), $I360&lt;10), MAX(0, MIN(10, 0.7*($NF360-$MV360))), IF(Control!$C$58=2, MIN(10,$NI360),0))</f>
        <v>#DIV/0!</v>
      </c>
      <c r="NK360" s="54" t="e">
        <f t="shared" ca="1" si="1263"/>
        <v>#DIV/0!</v>
      </c>
      <c r="NL360" s="173" t="e">
        <f ca="1">(1-Control!$C$73)*$I360+$NJ360</f>
        <v>#DIV/0!</v>
      </c>
      <c r="NM360" s="172" t="e">
        <f ca="1">IF($NL360&lt;0.5, $MB360* MAX(0, MIN(1, (SQRT($NC360)-SQRT($NC360-1))*Control!$C$71)),0)</f>
        <v>#DIV/0!</v>
      </c>
      <c r="NN360" s="170" t="e">
        <f ca="1">IF($NL360&gt;=5, $MB360, MAX(0,MIN($MB360, $NM360+$NL360,($MS360-Control!$C$129))))</f>
        <v>#DIV/0!</v>
      </c>
      <c r="NO360" s="54">
        <f>IF(Control!$C$133&lt;&gt;1, Control!$C$135-Control!$C$131, 0)</f>
        <v>0.38</v>
      </c>
      <c r="NP360" s="54" t="e">
        <f t="shared" ca="1" si="1264"/>
        <v>#DIV/0!</v>
      </c>
      <c r="NQ360" s="173" t="e">
        <f ca="1">MAX(0,MIN(1,(Control!$C$135-$MS360)/(Control!$C$135-$NO360)))</f>
        <v>#DIV/0!</v>
      </c>
      <c r="NR360" s="170" t="e">
        <f ca="1">IF(Control!$C$133&lt;&gt;1, $NQ360+((1-$NP360/4)*(1-$NQ360)),1)</f>
        <v>#DIV/0!</v>
      </c>
      <c r="NS360" s="170" t="e">
        <f ca="1">IF(Control!$B$31=0,$MJ360,MAX(0,MIN($MV360,$MO360*$NR360*$MJ360)))</f>
        <v>#DIV/0!</v>
      </c>
      <c r="NT360" s="170" t="e">
        <f t="shared" ca="1" si="1380"/>
        <v>#DIV/0!</v>
      </c>
      <c r="NU360" s="170" t="e">
        <f t="shared" ca="1" si="1356"/>
        <v>#N/A</v>
      </c>
      <c r="NV360" s="170" t="e">
        <f t="shared" ca="1" si="1265"/>
        <v>#N/A</v>
      </c>
      <c r="NW360" s="175" t="e">
        <f t="shared" ca="1" si="1266"/>
        <v>#DIV/0!</v>
      </c>
      <c r="NX360" s="170" t="e">
        <f ca="1">MIN(Control!$C$72+$MU360, $NW360)</f>
        <v>#DIV/0!</v>
      </c>
      <c r="NY360" s="170" t="e">
        <f ca="1">IF($MT360&lt;=$NX360,MIN(Control!$C$72+$NB360,$NX360-$MT360),0)</f>
        <v>#DIV/0!</v>
      </c>
      <c r="NZ360" s="54" t="e">
        <f ca="1">IF(Control!$C$114=1,  $CX360*($MX360-Control!$C$127), 0)</f>
        <v>#DIV/0!</v>
      </c>
      <c r="OA360" s="170" t="e">
        <f t="shared" ca="1" si="1267"/>
        <v>#DIV/0!</v>
      </c>
      <c r="OB360" s="170" t="e">
        <f ca="1">IF($NA360 &lt;=$NY360, MIN(Control!$C$72, $NY360-$NA360), 0)</f>
        <v>#DIV/0!</v>
      </c>
      <c r="OC360" s="168" t="e">
        <f t="shared" ca="1" si="1268"/>
        <v>#DIV/0!</v>
      </c>
      <c r="OD360" s="168" t="e">
        <f t="shared" ca="1" si="1357"/>
        <v>#DIV/0!</v>
      </c>
      <c r="OE360" s="170">
        <f ca="1">Control!$C$73*$I360</f>
        <v>0</v>
      </c>
      <c r="OF360" s="176" t="e">
        <f t="shared" ca="1" si="1269"/>
        <v>#DIV/0!</v>
      </c>
      <c r="OG360" s="168" t="e">
        <f t="shared" ca="1" si="1270"/>
        <v>#DIV/0!</v>
      </c>
      <c r="OH360" s="168" t="e">
        <f t="shared" ca="1" si="1271"/>
        <v>#DIV/0!</v>
      </c>
      <c r="OI360" s="168" t="e">
        <f t="shared" ca="1" si="1272"/>
        <v>#DIV/0!</v>
      </c>
      <c r="OJ360" s="168" t="e">
        <f t="shared" ca="1" si="1273"/>
        <v>#DIV/0!</v>
      </c>
      <c r="OK360" s="204" t="e">
        <f t="shared" ca="1" si="1274"/>
        <v>#DIV/0!</v>
      </c>
      <c r="OL360" s="177">
        <f>Control!$C$127</f>
        <v>0.15</v>
      </c>
      <c r="OM360" s="182" t="e">
        <f t="shared" ca="1" si="1275"/>
        <v>#N/A</v>
      </c>
      <c r="ON360" s="177">
        <f>Control!$C$128</f>
        <v>0.35</v>
      </c>
      <c r="OO360" s="182" t="e">
        <f t="shared" ca="1" si="1276"/>
        <v>#N/A</v>
      </c>
      <c r="OP360" s="138">
        <f t="shared" ca="1" si="1358"/>
        <v>0</v>
      </c>
      <c r="OQ360" s="138" t="e">
        <f t="shared" ca="1" si="1381"/>
        <v>#DIV/0!</v>
      </c>
      <c r="OR360" s="138" t="e">
        <f t="shared" ca="1" si="1359"/>
        <v>#DIV/0!</v>
      </c>
      <c r="OS360" s="137" t="e">
        <f t="shared" ca="1" si="1382"/>
        <v>#DIV/0!</v>
      </c>
      <c r="OT360" s="139" t="e">
        <f t="shared" ca="1" si="1383"/>
        <v>#DIV/0!</v>
      </c>
      <c r="OU360" s="138" t="e">
        <f t="shared" ca="1" si="1384"/>
        <v>#N/A</v>
      </c>
      <c r="OV360" s="138" t="e">
        <f t="shared" ca="1" si="1385"/>
        <v>#DIV/0!</v>
      </c>
      <c r="OW360" s="138" t="e">
        <f t="shared" ca="1" si="1360"/>
        <v>#DIV/0!</v>
      </c>
      <c r="OX360" s="138" t="e">
        <f t="shared" ca="1" si="1361"/>
        <v>#DIV/0!</v>
      </c>
      <c r="OY360" s="138" t="e">
        <f t="shared" ca="1" si="1362"/>
        <v>#DIV/0!</v>
      </c>
      <c r="OZ360" s="138" t="e">
        <f t="shared" ca="1" si="1277"/>
        <v>#DIV/0!</v>
      </c>
      <c r="PA360" s="138" t="e">
        <f t="shared" ca="1" si="1278"/>
        <v>#DIV/0!</v>
      </c>
      <c r="PB360" s="55">
        <f>IF(Control!$C$61="T", IF(Control!$C$65="F", IF($AH$6-Control!$C$60&lt;0,0,1), IF(365+$AH$6-Control!$C$60&lt;0,0,1)),0)</f>
        <v>0</v>
      </c>
      <c r="PC360" s="55">
        <f ca="1">IF(Control!$C$65="F", IF($AH$6-$HF360&lt;0,0,1), IF(365+$AH$6-$HF360&lt;0,0,1))</f>
        <v>1</v>
      </c>
      <c r="PD360" s="444">
        <f>Control!$C$118</f>
        <v>1500</v>
      </c>
      <c r="PE360" s="180" t="e">
        <f t="shared" ca="1" si="1279"/>
        <v>#N/A</v>
      </c>
      <c r="PF360" s="445">
        <f t="shared" ca="1" si="1363"/>
        <v>0.71612369323045078</v>
      </c>
      <c r="PT360" s="186"/>
      <c r="PU360" s="186"/>
      <c r="PV360" s="94"/>
      <c r="PW360" s="94"/>
      <c r="PX360" s="94"/>
      <c r="PY360" s="94"/>
      <c r="PZ360" s="94"/>
      <c r="QA360" s="94"/>
      <c r="QB360" s="94"/>
      <c r="QC360" s="94"/>
      <c r="QD360" s="94"/>
      <c r="QE360" s="94"/>
      <c r="QF360" s="94"/>
      <c r="QG360" s="94"/>
      <c r="QH360" s="94"/>
      <c r="QI360" s="94"/>
      <c r="QJ360" s="94"/>
      <c r="QK360" s="94"/>
      <c r="QL360" s="94"/>
      <c r="QM360" s="94"/>
      <c r="QN360" s="94"/>
      <c r="QO360" s="94"/>
      <c r="QP360" s="94"/>
    </row>
    <row r="361" spans="1:458" s="2" customFormat="1" x14ac:dyDescent="0.2">
      <c r="A361" s="395">
        <v>22</v>
      </c>
      <c r="B361" s="396">
        <v>12</v>
      </c>
      <c r="C361" s="387">
        <f ca="1">Weather_data!$B360</f>
        <v>0</v>
      </c>
      <c r="D361" s="388">
        <f ca="1">Weather_data!$F360</f>
        <v>0</v>
      </c>
      <c r="E361" s="388">
        <f ca="1">Weather_data!$E360</f>
        <v>0</v>
      </c>
      <c r="F361" s="388">
        <f t="shared" ca="1" si="1280"/>
        <v>0</v>
      </c>
      <c r="G361" s="388">
        <f ca="1">AVERAGE($D361:$E361)+Control!$B$9</f>
        <v>0</v>
      </c>
      <c r="H361" s="388">
        <f ca="1">Weather_data!$G360</f>
        <v>0</v>
      </c>
      <c r="I361" s="388">
        <f ca="1">Weather_data!$I360</f>
        <v>0</v>
      </c>
      <c r="J361" s="388">
        <f ca="1">Weather_data!$H360</f>
        <v>0</v>
      </c>
      <c r="K361" s="389">
        <f ca="1">Weather_data!$D360</f>
        <v>0</v>
      </c>
      <c r="L361" s="388" t="e">
        <f t="shared" ca="1" si="1281"/>
        <v>#N/A</v>
      </c>
      <c r="M361" s="388" t="e">
        <f t="shared" ca="1" si="1158"/>
        <v>#N/A</v>
      </c>
      <c r="N361" s="388">
        <f t="shared" ca="1" si="1159"/>
        <v>-2.8514177929990127E-17</v>
      </c>
      <c r="O361" s="388">
        <f t="shared" ca="1" si="1282"/>
        <v>2.8514177929990124E-16</v>
      </c>
      <c r="P361" s="390">
        <v>3</v>
      </c>
      <c r="Q361" s="388">
        <f ca="1">MAX($G361-Control!$C$107,0)</f>
        <v>0</v>
      </c>
      <c r="R361" s="388">
        <f t="shared" ca="1" si="1283"/>
        <v>0</v>
      </c>
      <c r="S361" s="388">
        <f t="shared" ca="1" si="1160"/>
        <v>0</v>
      </c>
      <c r="T361" s="388">
        <f t="shared" ca="1" si="1161"/>
        <v>0</v>
      </c>
      <c r="U361" s="59">
        <f t="shared" ca="1" si="1162"/>
        <v>0</v>
      </c>
      <c r="V361" s="391">
        <f ca="1">MAX(0,MIN(Control!$C$100-Control!$C$99,$G361-Control!$C$99)*Control!$C$63)</f>
        <v>0</v>
      </c>
      <c r="W361" s="388">
        <f t="shared" ca="1" si="1284"/>
        <v>0</v>
      </c>
      <c r="X361" s="388">
        <f t="shared" ca="1" si="1285"/>
        <v>0.6110000000000001</v>
      </c>
      <c r="Y361" s="388">
        <f t="shared" ca="1" si="1163"/>
        <v>0</v>
      </c>
      <c r="Z361" s="388">
        <f t="shared" ca="1" si="1286"/>
        <v>0.61058800000000002</v>
      </c>
      <c r="AA361" s="388">
        <f t="shared" ca="1" si="1164"/>
        <v>0.6018</v>
      </c>
      <c r="AB361" s="388">
        <f ca="1">101.3*EXP(-0.034*Control!$C$66/($G361+273))</f>
        <v>100.69623283836242</v>
      </c>
      <c r="AC361" s="392">
        <f t="shared" ca="1" si="1165"/>
        <v>4.3460251046025113E-2</v>
      </c>
      <c r="AD361" s="392">
        <f t="shared" ca="1" si="1166"/>
        <v>4.4450382862832649E-2</v>
      </c>
      <c r="AE361" s="388">
        <f t="shared" ca="1" si="1167"/>
        <v>0</v>
      </c>
      <c r="AF361" s="388">
        <f ca="1">MAX(0,$G361-Control!$C$92)</f>
        <v>0</v>
      </c>
      <c r="AG361" s="393">
        <f t="shared" ca="1" si="1168"/>
        <v>357</v>
      </c>
      <c r="AH361" s="389">
        <f t="shared" ca="1" si="1169"/>
        <v>357</v>
      </c>
      <c r="AI361" s="388">
        <f t="shared" ca="1" si="1287"/>
        <v>-0.40902340489946348</v>
      </c>
      <c r="AJ361" s="388">
        <f ca="1">IF(Control!$C$60&lt;=0,$HH361,$HI361)</f>
        <v>1</v>
      </c>
      <c r="AK361" s="388">
        <f t="shared" ca="1" si="1170"/>
        <v>4.7683351509280696</v>
      </c>
      <c r="AL361" s="388">
        <f t="shared" ca="1" si="1171"/>
        <v>-1.6049826398467635E-17</v>
      </c>
      <c r="AM361" s="388">
        <f t="shared" ca="1" si="1172"/>
        <v>4.7683351509280696</v>
      </c>
      <c r="AN361" s="388">
        <f t="shared" ca="1" si="1173"/>
        <v>-0.40843942846910292</v>
      </c>
      <c r="AO361" s="388">
        <f ca="1">-0.10453/COS(Control!$B$8*PI()/180)*COS(AN361)</f>
        <v>-0.15581866082691509</v>
      </c>
      <c r="AP361" s="388">
        <f ca="1">ACOS(AO361-TAN(Control!$B$8*PI()/180)*TAN(AN361))</f>
        <v>1.1613398913187654</v>
      </c>
      <c r="AQ361" s="388">
        <f t="shared" ca="1" si="1288"/>
        <v>0</v>
      </c>
      <c r="AR361" s="394">
        <f t="shared" ca="1" si="1174"/>
        <v>0</v>
      </c>
      <c r="AS361" s="436">
        <f ca="1">IF(Control!$B$18=2,(IF(OR($AH361=Control!$B$175,$AH361=Control!$B$176,$AH361=Control!$B$177,$AH361=Control!$B$178,$AH361=Control!$B$179,$AH361=Control!$B$180,$AH361=Control!$B$181,$AH361=Control!$B$182,$AH361=Control!$B$183,$AH361=Control!$B$184,$AH361=Control!$B$185),1,0)),0)</f>
        <v>0</v>
      </c>
      <c r="AT361" s="436">
        <f>IF(Control!$B$20=8,IF(AND($AH361&gt;=Control!$B$172,$AH361&lt;=Control!$B$173),1,0),0)</f>
        <v>0</v>
      </c>
      <c r="AU361" s="436">
        <f>IF(Control!$B$20=8,IF($AV360=1,1*$AT361,IF($AT361=1,$AU360+1,$AU360)),0)</f>
        <v>0</v>
      </c>
      <c r="AV361" s="436">
        <f>IF(Control!$B$20=8,IF($AU361&gt;=Control!$B$174,1,0),0)</f>
        <v>0</v>
      </c>
      <c r="AW361" s="436">
        <f ca="1">IF(AND(Control!$B$18=2,Control!$B$171=1), $AV361, $AS361)</f>
        <v>0</v>
      </c>
      <c r="AX361" s="436" t="e">
        <f ca="1">IF(AND(Control!$B$18=1,$EU361&gt;=Control!$B$19),-$AY361,IF(AND(Control!$B$18=2,$AW361=1,$EU361&gt;$DS361),-$AY361, IF(Control!$C$108=0,0, IF(Control!$C$108&lt;&gt;0,1))))</f>
        <v>#N/A</v>
      </c>
      <c r="AY361" s="436" t="e">
        <f t="shared" ca="1" si="1289"/>
        <v>#N/A</v>
      </c>
      <c r="AZ361" s="436" t="e">
        <f ca="1">IF(AND(Control!$B$18=1,$EB361&gt;Control!$B$19),$AZ360+1, IF(AND(Control!$B$18=2, $AW361=1, $EB361&gt;$DS361), $AZ360+1,$AZ360))</f>
        <v>#N/A</v>
      </c>
      <c r="BA361" s="587">
        <f>IF(Control!$C$81=0,1,IF($AH361&gt;=Control!$C$82,1,0))</f>
        <v>1</v>
      </c>
      <c r="BB361" s="140" t="e">
        <f ca="1">IF($BA361&gt;$BA360,Control!$C$83,IF($AW361&gt;0,$AW361*Control!$C$84,IF(AND(Control!$B$18=1,EN360&lt;&gt;0),Control!$C$84,0)))</f>
        <v>#N/A</v>
      </c>
      <c r="BC361" s="140" t="e">
        <f t="shared" ca="1" si="1290"/>
        <v>#N/A</v>
      </c>
      <c r="BD361" s="140" t="e">
        <f ca="1">BC361*IF(OR($G361&lt;Control!$C$92,$G361&gt;Control!$C$95),0,IF(AND($G361&gt;=Control!$C$92,$G361&lt;=Control!$C$93),$G361-Control!$C$92,IF(AND($G361&gt;Control!$C$93,$G361&lt;=Control!$C$94),Control!$C$93-Control!$C$92,IF(AND($G361&gt;Control!$C$94,$G361&lt;=Control!$C$95),(Control!$C$93-Control!$C$92)*(Control!$C$94-$G361)/(Control!$C$95-Control!$C$94)))))</f>
        <v>#N/A</v>
      </c>
      <c r="BE361" s="140" t="e">
        <f t="shared" ca="1" si="1291"/>
        <v>#N/A</v>
      </c>
      <c r="BF361" s="140" t="e">
        <f ca="1">IF($BE361&lt;=Control!$C$86,$BE361,Control!$C$86-$BE361)</f>
        <v>#N/A</v>
      </c>
      <c r="BG361" s="140" t="e">
        <f ca="1">IF(AND($AW361=1,Control!$C$84&lt;9),1,IF($BE361&gt;=Control!$C$86,0,$BC361))</f>
        <v>#N/A</v>
      </c>
      <c r="BH361" s="404" t="e">
        <f ca="1">IF($BG361=0,0,IF($BE361&lt;=Control!$C$86,$BC361*9*($BF361/Control!$C$86),0))</f>
        <v>#N/A</v>
      </c>
      <c r="BI361" s="140" t="e">
        <f ca="1">IF($BG361=1,0,IF($BE361&gt;=Control!$C$86,1,IF(AND($BB361&lt;21,$BB361&gt;=9),1,$BM360)))</f>
        <v>#N/A</v>
      </c>
      <c r="BJ361" s="140" t="e">
        <f ca="1">IF($BF361&lt;0,-$BF361,$BI361*IF(OR($G361&lt;Control!$C$92,$G361&gt;Control!$C$95),0,IF(AND($G361&gt;=Control!$C$92,$G361&lt;=Control!$C$93),$G361-Control!$C$92,IF(AND($G361&gt;Control!$C$93,$G361&lt;=Control!$C$94),Control!$C$93-Control!$C$92,IF(AND($G361&gt;Control!$C$94,$G361&lt;=Control!$C$95),(Control!$C$93-Control!$C$92)*(Control!$C$94-$G361)/(Control!$C$95-Control!$C$94))))))</f>
        <v>#N/A</v>
      </c>
      <c r="BK361" s="140" t="e">
        <f t="shared" ca="1" si="1292"/>
        <v>#N/A</v>
      </c>
      <c r="BL361" s="140" t="e">
        <f ca="1">IF($BK361&lt;=Control!$C$87,$BK361,Control!$C$87-$BK361)</f>
        <v>#N/A</v>
      </c>
      <c r="BM361" s="140" t="e">
        <f ca="1">IF(AND($BB361&gt;=9,$BB361&lt;21),1,IF($BK361&gt;=Control!$C$87,0,$BI361))</f>
        <v>#N/A</v>
      </c>
      <c r="BN361" s="404" t="e">
        <f ca="1">IF($BM361=0,0,IF($BK361&lt;=Control!$C$87,$BI361*(9+(21-9)*($BL361/Control!$C$87)),0))</f>
        <v>#N/A</v>
      </c>
      <c r="BO361" s="140" t="e">
        <f ca="1">IF($BM361=1,0,IF($BK361&gt;=Control!$C$87,1,IF(AND($BB361&lt;30,$BB361&gt;=21),1,$BS360)))</f>
        <v>#N/A</v>
      </c>
      <c r="BP361" s="140" t="e">
        <f ca="1">IF($BL361&lt;0,-$BL361,$BO361*IF(OR($G361&lt;Control!$C$92,$G361&gt;Control!$C$95),0,IF(AND($G361&gt;=Control!$C$92,$G361&lt;=Control!$C$93),$G361-Control!$C$92,IF(AND($G361&gt;Control!$C$93,$G361&lt;=Control!$C$94),Control!$C$93-Control!$C$92,IF(AND($G361&gt;Control!$C$94,$G361&lt;=Control!$C$95),(Control!$C$93-Control!$C$92)*(Control!$C$94-$G361)/(Control!$C$95-Control!$C$94))))))</f>
        <v>#N/A</v>
      </c>
      <c r="BQ361" s="140" t="e">
        <f t="shared" ca="1" si="1175"/>
        <v>#N/A</v>
      </c>
      <c r="BR361" s="140" t="e">
        <f ca="1">IF($BQ361&lt;=Control!$C$88,$BQ361,Control!$C$88-$BQ361)</f>
        <v>#N/A</v>
      </c>
      <c r="BS361" s="140" t="e">
        <f ca="1">IF(AND($BB361&gt;=21,$BB361&lt;30),1,IF($BQ361&gt;=Control!$C$88,0,$BO361))</f>
        <v>#N/A</v>
      </c>
      <c r="BT361" s="404" t="e">
        <f ca="1">IF($BS361=0,0,IF($BQ361&lt;=Control!$C$88,$BO361*(21+(30-21)*(BR361/Control!$C$88)),0))</f>
        <v>#N/A</v>
      </c>
      <c r="BU361" s="140" t="e">
        <f ca="1">IF(BG361+BM361+BS361=1,0,IF(OR(AND($BB361&lt;60,$BB361&gt;=30),$BQ361&gt;=Control!$C$88),1*$BA361,$BY360))</f>
        <v>#N/A</v>
      </c>
      <c r="BV361" s="140" t="e">
        <f ca="1">IF($BR361&lt;0,-$BR361,$BU361*IF(OR($G361&lt;Control!$C$92,$G361&gt;Control!$C$95),0,IF(AND($G361&gt;=Control!$C$92,$G361&lt;=Control!$C$93),$G361-Control!$C$92,IF(AND($G361&gt;Control!$C$93,$G361&lt;=Control!$C$94),Control!$C$93-Control!$C$92,IF(AND($G361&gt;Control!$C$94,$G361&lt;=Control!$C$95),(Control!$C$93-Control!$C$92)*(Control!$C$94-$G361)/(Control!$C$95-Control!$C$94))))))</f>
        <v>#N/A</v>
      </c>
      <c r="BW361" s="140" t="e">
        <f t="shared" ca="1" si="1176"/>
        <v>#N/A</v>
      </c>
      <c r="BX361" s="140" t="e">
        <f ca="1">IF($BW361&lt;=Control!$C$89,$BW361,Control!$C$89-$BW361)</f>
        <v>#N/A</v>
      </c>
      <c r="BY361" s="140" t="e">
        <f ca="1">IF(AND($AJ361&gt;=30,$AJ361&lt;60),1,IF($BW361&gt;=Control!$C$89,0,$BU361))</f>
        <v>#N/A</v>
      </c>
      <c r="BZ361" s="404" t="e">
        <f ca="1">IF($BY361=0,0,IF($BW361&lt;=Control!$C$89,$BU361*(30+(60-30)*(BX361/Control!$C$89)),0))</f>
        <v>#N/A</v>
      </c>
      <c r="CA361" s="140" t="e">
        <f ca="1">IF($BG361+$BM361+$BS361+$BY361=1,0,IF(OR(AND($BB361&lt;65,$BB361&gt;=60),$BW361&gt;=Control!$C$89),1*$BA361,$CE360))</f>
        <v>#N/A</v>
      </c>
      <c r="CB361" s="140" t="e">
        <f ca="1">IF($BX361&lt;0,-$BX361,$CA361*IF(OR($G361&lt;Control!$C$92,$G361&gt;Control!$C$95),0,IF(AND($G361&gt;=Control!$C$92,$G361&lt;=Control!$C$93),$G361-Control!$C$92,IF(AND($G361&gt;Control!$C$93,$G361&lt;=Control!$C$94),Control!$C$93-Control!$C$92,IF(AND($G361&gt;Control!$C$94,$G361&lt;=Control!$C$95),(Control!$C$93-Control!$C$92)*(Control!$C$94-$G361)/(Control!$C$95-Control!$C$94))))))</f>
        <v>#N/A</v>
      </c>
      <c r="CC361" s="140" t="e">
        <f t="shared" ca="1" si="1293"/>
        <v>#N/A</v>
      </c>
      <c r="CD361" s="140" t="e">
        <f ca="1">IF($CC361&lt;=Control!$C$90,$CC361,Control!$C$90-$CC361)</f>
        <v>#N/A</v>
      </c>
      <c r="CE361" s="140" t="e">
        <f ca="1">IF(AND($BB361&gt;=60,$BB361&lt;65),1,IF($CC361&gt;=Control!$C$90,0,$CA361))</f>
        <v>#N/A</v>
      </c>
      <c r="CF361" s="404" t="e">
        <f ca="1">IF($CE361=0,0,IF($CC361&lt;=Control!$C$90,$CA361*(60+(65-60)*(CD361/Control!$C$90)),0))</f>
        <v>#N/A</v>
      </c>
      <c r="CG361" s="140" t="e">
        <f ca="1">IF($BG361+$BM361+$BS361+$BY361+$CE361=1,0,IF(OR(AND($BB361&lt;90,$BB361&gt;=65),$CC361&gt;=Control!$C$90),$BA361,$CK360))</f>
        <v>#N/A</v>
      </c>
      <c r="CH361" s="140" t="e">
        <f ca="1">IF($CD361&lt;0,-$CD361,$CG361*IF(OR($G361&lt;Control!$C$92,$G361&gt;Control!$C$95),0,IF(AND($G361&gt;=Control!$C$92,$G361&lt;=Control!$C$93),$G361-Control!$C$92,IF(AND($G361&gt;Control!$C$93,$G361&lt;=Control!$C$94),Control!$C$93-Control!$C$92,IF(AND($G361&gt;Control!$C$94,$G361&lt;=Control!$C$95),(Control!$C$93-Control!$C$92)*(Control!$C$94-$G361)/(Control!$C$95-Control!$C$94))))))</f>
        <v>#N/A</v>
      </c>
      <c r="CI361" s="140" t="e">
        <f t="shared" ca="1" si="1294"/>
        <v>#N/A</v>
      </c>
      <c r="CJ361" s="140" t="e">
        <f ca="1">IF($CI361&lt;=Control!$C$91,$CI361,Control!$C$91-$CI361)</f>
        <v>#N/A</v>
      </c>
      <c r="CK361" s="140" t="e">
        <f ca="1">IF(AND($BB361&gt;=65,$BB361&lt;90),1,IF($CI361&gt;=Control!$C$91,0,$CG361))</f>
        <v>#N/A</v>
      </c>
      <c r="CL361" s="404" t="e">
        <f ca="1">IF($CK361=0,0,IF($CI361&lt;=Control!$C$91,$CG361*(65+(90-65)*($CJ361/Control!$C$91)),0))</f>
        <v>#N/A</v>
      </c>
      <c r="CM361" s="140" t="e">
        <f ca="1">IF($BG361+$BM361+$BS361+$BY361+$CE361+$CK361=1,0,IF(OR($BB361&gt;=90,$CI361&gt;=Control!$C$91),$BA361,$CM360))</f>
        <v>#N/A</v>
      </c>
      <c r="CN361" s="140" t="e">
        <f t="shared" ca="1" si="1295"/>
        <v>#N/A</v>
      </c>
      <c r="CO361" s="140" t="e">
        <f t="shared" ca="1" si="1296"/>
        <v>#N/A</v>
      </c>
      <c r="CP361" s="140" t="e">
        <f ca="1">BH361+BN361+BT361+BZ361+CF361+CL361+CN361</f>
        <v>#N/A</v>
      </c>
      <c r="CQ361" s="141" t="e">
        <f ca="1">VLOOKUP($CP361,Control!$B$86:$G$91,6)</f>
        <v>#N/A</v>
      </c>
      <c r="CR361" s="141" t="e">
        <f ca="1">(1-$CQ361)*VLOOKUP($CP361,Control!$B$86:$D$91,3)</f>
        <v>#N/A</v>
      </c>
      <c r="CS361" s="141" t="e">
        <f ca="1">(1-$CQ361)*VLOOKUP($CP361,Control!$B$86:$E$91,4)</f>
        <v>#N/A</v>
      </c>
      <c r="CT361" s="141" t="e">
        <f ca="1">(1-$CQ361)*VLOOKUP($CP361,Control!$B$86:$F$91,5)</f>
        <v>#N/A</v>
      </c>
      <c r="CU361" s="141">
        <f t="shared" ca="1" si="1298"/>
        <v>0</v>
      </c>
      <c r="CV361" s="583">
        <f t="shared" ca="1" si="1299"/>
        <v>0</v>
      </c>
      <c r="CW361" s="142">
        <f t="shared" ca="1" si="1300"/>
        <v>357</v>
      </c>
      <c r="CX361" s="612" t="e">
        <f ca="1">IF(Control!$C$114=1,(MIN(Control!$C$120*(IF($NT361-0.01&lt;0,0,1)),Control!$C$119-$CY361)))</f>
        <v>#DIV/0!</v>
      </c>
      <c r="CY361" s="143" t="e">
        <f t="shared" ca="1" si="1301"/>
        <v>#N/A</v>
      </c>
      <c r="CZ361" s="144">
        <f t="shared" ca="1" si="1177"/>
        <v>0</v>
      </c>
      <c r="DA361" s="144">
        <f t="shared" ca="1" si="1178"/>
        <v>0</v>
      </c>
      <c r="DB361" s="144" t="e">
        <f t="shared" ca="1" si="1179"/>
        <v>#N/A</v>
      </c>
      <c r="DC361" s="144" t="e">
        <f t="shared" ca="1" si="1180"/>
        <v>#N/A</v>
      </c>
      <c r="DD361" s="144" t="e">
        <f t="shared" ca="1" si="1386"/>
        <v>#N/A</v>
      </c>
      <c r="DE361" s="143" t="e">
        <f t="shared" ca="1" si="1302"/>
        <v>#N/A</v>
      </c>
      <c r="DF361" s="145" t="e">
        <f ca="1">$DR361*EXP(-Control!$C$158*(1-$KH361))</f>
        <v>#N/A</v>
      </c>
      <c r="DG361" s="146" t="e">
        <f ca="1">IF(Control!$C$114=1, $DF361*$EY361, 0)</f>
        <v>#N/A</v>
      </c>
      <c r="DH361" s="147" t="e">
        <f t="shared" ca="1" si="1303"/>
        <v>#N/A</v>
      </c>
      <c r="DI361" s="144" t="e">
        <f t="shared" ca="1" si="1364"/>
        <v>#N/A</v>
      </c>
      <c r="DJ361" s="147" t="e">
        <f ca="1">$EF361*Control!$C$109</f>
        <v>#N/A</v>
      </c>
      <c r="DK361" s="144" t="e">
        <f t="shared" ca="1" si="1304"/>
        <v>#N/A</v>
      </c>
      <c r="DL361" s="144" t="e">
        <f t="shared" ca="1" si="1181"/>
        <v>#N/A</v>
      </c>
      <c r="DM361" s="144" t="e">
        <f ca="1">IF(Control!$C$114=1, (1-EXP(-Control!$C$96*$DK361))*$AR361, 0)</f>
        <v>#N/A</v>
      </c>
      <c r="DN361" s="144">
        <f t="shared" ca="1" si="1305"/>
        <v>0</v>
      </c>
      <c r="DO361" s="148">
        <f>Control!$C$97</f>
        <v>4</v>
      </c>
      <c r="DP361" s="145" t="e">
        <f t="shared" ca="1" si="1306"/>
        <v>#N/A</v>
      </c>
      <c r="DQ361" s="145" t="e">
        <f ca="1">IF(AND($CP361&gt;=0,$CP361&lt;=90),Control!$C$111,Control!$C$111)</f>
        <v>#N/A</v>
      </c>
      <c r="DR361" s="145" t="e">
        <f t="shared" ca="1" si="1182"/>
        <v>#N/A</v>
      </c>
      <c r="DS361" s="143" t="e">
        <f ca="1">Control!$B$22/$DR361</f>
        <v>#N/A</v>
      </c>
      <c r="DT361" s="149" t="e">
        <f ca="1">IF(AND(Control!$C$114=1,$KH361&lt;1),$IM361*$DF361, 0)</f>
        <v>#N/A</v>
      </c>
      <c r="DU361" s="144" t="e">
        <f t="shared" ca="1" si="1307"/>
        <v>#N/A</v>
      </c>
      <c r="DV361" s="144">
        <f ca="1">IF($G361-Control!$C$107&lt;=0, 0, 0.83*LN(MAX($G361, 3))-0.8924)</f>
        <v>0</v>
      </c>
      <c r="DW361" s="144" t="e">
        <f t="shared" ca="1" si="1183"/>
        <v>#N/A</v>
      </c>
      <c r="DX361" s="150" t="e">
        <f ca="1">MAX(0.01*(1+$CU361/Control!$C$102),0.05*($DK361-Control!$C$97)/Control!$C$97)</f>
        <v>#N/A</v>
      </c>
      <c r="DY361" s="151" t="e">
        <f ca="1">IF(Control!$C$114=1, $DI361*$FS361, 0)</f>
        <v>#N/A</v>
      </c>
      <c r="DZ361" s="196" t="e">
        <f t="shared" ca="1" si="1308"/>
        <v>#N/A</v>
      </c>
      <c r="EA361" s="152">
        <f t="shared" ca="1" si="1309"/>
        <v>357</v>
      </c>
      <c r="EB361" s="153" t="e">
        <f t="shared" ca="1" si="1310"/>
        <v>#N/A</v>
      </c>
      <c r="EC361" s="153" t="e">
        <f t="shared" ca="1" si="1311"/>
        <v>#N/A</v>
      </c>
      <c r="ED361" s="154" t="e">
        <f ca="1">IF(Control!$C$114=1, $HM361*$FY361-$FD361, 0)</f>
        <v>#DIV/0!</v>
      </c>
      <c r="EE361" s="155" t="e">
        <f ca="1">IF(Control!$C$114=1, $HM361*$FZ361-$FF361, 0)</f>
        <v>#DIV/0!</v>
      </c>
      <c r="EF361" s="153" t="e">
        <f t="shared" ca="1" si="1365"/>
        <v>#N/A</v>
      </c>
      <c r="EG361" s="155" t="e">
        <f ca="1">IF(Control!$C$114=1, $GX361*$FW361-$FI361, 0)</f>
        <v>#DIV/0!</v>
      </c>
      <c r="EH361" s="153" t="e">
        <f t="shared" ca="1" si="1312"/>
        <v>#N/A</v>
      </c>
      <c r="EI361" s="156" t="e">
        <f t="shared" ca="1" si="1313"/>
        <v>#N/A</v>
      </c>
      <c r="EJ361" s="155" t="e">
        <f ca="1">IF(Control!$C$114=1, $HM361*$GB361, 0)</f>
        <v>#DIV/0!</v>
      </c>
      <c r="EK361" s="153" t="e">
        <f t="shared" ca="1" si="1366"/>
        <v>#N/A</v>
      </c>
      <c r="EL361" s="153" t="e">
        <f t="shared" ca="1" si="1184"/>
        <v>#N/A</v>
      </c>
      <c r="EM361" s="153" t="e">
        <f t="shared" ca="1" si="1185"/>
        <v>#N/A</v>
      </c>
      <c r="EN361" s="153" t="e">
        <f ca="1">IF(Control!$C$108=1,IF(AND(Control!$B$18=1,$EB361&gt;=Control!$B$19),$EB361-$DS361,IF(AND(Control!$B$18=2,$AW361=1,$EB361&gt;$DS361),$EB361-$DS361,0)))</f>
        <v>#N/A</v>
      </c>
      <c r="EO361" s="153" t="e">
        <f ca="1">IF(Control!$C$108=1,IF(AND(Control!$B$18=1,$EB361&gt;=Control!$B$19),$EF361,IF(AND(Control!$B$18=2,$AW361=1),$EF361,0)))</f>
        <v>#N/A</v>
      </c>
      <c r="EP361" s="153" t="e">
        <f ca="1">IF(Control!$C$108=1,IF(AND(Control!$B$18=1,$EB361&gt;=Control!$B$19),$EK361,IF(AND(Control!$B$18=2,$AW361=1),$EK361,0)))</f>
        <v>#N/A</v>
      </c>
      <c r="EQ361" s="153" t="e">
        <f t="shared" ca="1" si="1314"/>
        <v>#N/A</v>
      </c>
      <c r="ER361" s="153" t="e">
        <f t="shared" ca="1" si="1315"/>
        <v>#N/A</v>
      </c>
      <c r="ES361" s="153" t="e">
        <f t="shared" ca="1" si="1367"/>
        <v>#N/A</v>
      </c>
      <c r="ET361" s="153" t="e">
        <f t="shared" ca="1" si="1368"/>
        <v>#N/A</v>
      </c>
      <c r="EU361" s="153" t="e">
        <f t="shared" ca="1" si="1316"/>
        <v>#N/A</v>
      </c>
      <c r="EV361" s="153" t="e">
        <f t="shared" ca="1" si="1186"/>
        <v>#N/A</v>
      </c>
      <c r="EW361" s="153" t="e">
        <f t="shared" ca="1" si="1187"/>
        <v>#N/A</v>
      </c>
      <c r="EX361" s="153" t="e">
        <f t="shared" ca="1" si="1188"/>
        <v>#N/A</v>
      </c>
      <c r="EY361" s="157" t="e">
        <f t="shared" ca="1" si="1189"/>
        <v>#DIV/0!</v>
      </c>
      <c r="EZ361" s="154" t="e">
        <f t="shared" ca="1" si="1190"/>
        <v>#DIV/0!</v>
      </c>
      <c r="FA361" s="153" t="e">
        <f t="shared" ca="1" si="1317"/>
        <v>#N/A</v>
      </c>
      <c r="FB361" s="153" t="e">
        <f t="shared" ca="1" si="1191"/>
        <v>#N/A</v>
      </c>
      <c r="FC361" s="193" t="e">
        <f t="shared" ca="1" si="1192"/>
        <v>#N/A</v>
      </c>
      <c r="FD361" s="158" t="e">
        <f t="shared" ca="1" si="1318"/>
        <v>#N/A</v>
      </c>
      <c r="FE361" s="158" t="e">
        <f t="shared" ca="1" si="1319"/>
        <v>#N/A</v>
      </c>
      <c r="FF361" s="159" t="e">
        <f t="shared" ca="1" si="1193"/>
        <v>#N/A</v>
      </c>
      <c r="FG361" s="160" t="e">
        <f t="shared" ca="1" si="1320"/>
        <v>#N/A</v>
      </c>
      <c r="FH361" s="158" t="e">
        <f t="shared" ca="1" si="1321"/>
        <v>#N/A</v>
      </c>
      <c r="FI361" s="159" t="e">
        <f t="shared" ca="1" si="1194"/>
        <v>#N/A</v>
      </c>
      <c r="FJ361" s="160" t="e">
        <f t="shared" ca="1" si="1322"/>
        <v>#N/A</v>
      </c>
      <c r="FK361" s="160" t="e">
        <f t="shared" ca="1" si="1195"/>
        <v>#N/A</v>
      </c>
      <c r="FL361" s="160" t="e">
        <f t="shared" ca="1" si="1369"/>
        <v>#N/A</v>
      </c>
      <c r="FM361" s="160" t="e">
        <f t="shared" ca="1" si="1196"/>
        <v>#N/A</v>
      </c>
      <c r="FN361" s="158">
        <f t="shared" ca="1" si="1323"/>
        <v>0.01</v>
      </c>
      <c r="FO361" s="160">
        <f>Control!$C$101</f>
        <v>50</v>
      </c>
      <c r="FP361" s="150" t="e">
        <f t="shared" ca="1" si="1197"/>
        <v>#N/A</v>
      </c>
      <c r="FQ361" s="150" t="e">
        <f ca="1">MAX(0,(Control!$C$112*(($DK361-Control!$C$97)/Control!$C$97)))</f>
        <v>#N/A</v>
      </c>
      <c r="FR361" s="150" t="e">
        <f ca="1">(1-$NT361)*Control!$C$113</f>
        <v>#DIV/0!</v>
      </c>
      <c r="FS361" s="198" t="e">
        <f t="shared" ca="1" si="1198"/>
        <v>#N/A</v>
      </c>
      <c r="FT361" s="161">
        <f t="shared" ca="1" si="1324"/>
        <v>357</v>
      </c>
      <c r="FU361" s="162" t="e">
        <f ca="1">IF(Control!$B$34=1,VLOOKUP($CP361,Control!$B$86:$G$91,6),Control!$B$35)</f>
        <v>#N/A</v>
      </c>
      <c r="FV361" s="162" t="e">
        <f t="shared" ca="1" si="1199"/>
        <v>#DIV/0!</v>
      </c>
      <c r="FW361" s="162" t="e">
        <f ca="1">IF(Control!$B$31=1,$FU361*$FV361,  $FU361)</f>
        <v>#N/A</v>
      </c>
      <c r="FX361" s="162" t="e">
        <f ca="1">IF(Control!$B$34=1,VLOOKUP($CP361,Control!$B$86:$G$91,3),Control!$B$36)</f>
        <v>#N/A</v>
      </c>
      <c r="FY361" s="162" t="e">
        <f t="shared" ca="1" si="1200"/>
        <v>#N/A</v>
      </c>
      <c r="FZ361" s="162" t="e">
        <f ca="1">IF(Control!$B$34=1,VLOOKUP($CP361,Control!$B$86:$G$91,4),Control!$B$37)</f>
        <v>#N/A</v>
      </c>
      <c r="GA361" s="162" t="e">
        <f t="shared" ca="1" si="1201"/>
        <v>#N/A</v>
      </c>
      <c r="GB361" s="162" t="e">
        <f ca="1">IF(Control!$B$34=1,VLOOKUP($CP361,Control!$B$86:$G$91,5),Control!$B$38)</f>
        <v>#N/A</v>
      </c>
      <c r="GC361" s="162" t="e">
        <f t="shared" ca="1" si="1325"/>
        <v>#N/A</v>
      </c>
      <c r="GD361" s="162">
        <f t="shared" ca="1" si="1202"/>
        <v>1</v>
      </c>
      <c r="GE361" s="162">
        <f t="shared" ca="1" si="1203"/>
        <v>1</v>
      </c>
      <c r="GF361" s="162">
        <f ca="1">IF(AND(Control!$C$104=1, Control!$C$62="F"),$GE361,1)</f>
        <v>1</v>
      </c>
      <c r="GG361" s="162" t="e">
        <f ca="1">IF(Control!$B$16=40,0,IF(AND(Control!$B$16&gt;40,Control!$B$16&lt;=360),(Control!$B$16-40)*((1-0)/(360-40)),IF(AND(Control!$B$16&gt;360,Control!$B$16&lt;=720),(1+(Control!$B$16-360)*((1.25-1)/(720-360))),IF(AND(Control!$B$16&gt;720,Control!$B$16&lt;=1000),(1.25+(Control!$B$16-720)*((1.35-1.25)/(1000-720))),IF(AND(Control!$B$16&gt;1000,Control!$B$16&lt;=2000),(1.35+(Control!$B$16-1000)*0))))))</f>
        <v>#N/A</v>
      </c>
      <c r="GH361" s="162" t="e">
        <f t="shared" ca="1" si="1204"/>
        <v>#N/A</v>
      </c>
      <c r="GI361" s="162">
        <f t="shared" ca="1" si="1326"/>
        <v>0</v>
      </c>
      <c r="GJ361" s="162">
        <f t="shared" ca="1" si="1205"/>
        <v>0</v>
      </c>
      <c r="GK361" s="162">
        <f t="shared" ca="1" si="1327"/>
        <v>1</v>
      </c>
      <c r="GL361" s="162">
        <f t="shared" ca="1" si="1206"/>
        <v>1</v>
      </c>
      <c r="GM361" s="162" t="e">
        <f ca="1">MAX(0,MIN(1,1-Control!$C$156*(1.0001-$KH361)^2))</f>
        <v>#N/A</v>
      </c>
      <c r="GN361" s="162" t="e">
        <f ca="1">IF(Control!$B$26=1,$KU361,$KX361)</f>
        <v>#N/A</v>
      </c>
      <c r="GO361" s="162" t="e">
        <f ca="1">IF($CP361&lt;=60,Control!$C$105,IF($CP361&gt;=90,Control!$C$106,Control!$C$105+($CP361-60)*((Control!$C$106-Control!$C$105)/(90-60))))</f>
        <v>#N/A</v>
      </c>
      <c r="GP361" s="162" t="e">
        <f t="shared" ca="1" si="1207"/>
        <v>#N/A</v>
      </c>
      <c r="GQ361" s="162" t="e">
        <f t="shared" ca="1" si="1328"/>
        <v>#N/A</v>
      </c>
      <c r="GR361" s="163" t="e">
        <f t="shared" ca="1" si="1208"/>
        <v>#DIV/0!</v>
      </c>
      <c r="GS361" s="162" t="e">
        <f t="shared" ca="1" si="1209"/>
        <v>#DIV/0!</v>
      </c>
      <c r="GT361" s="164" t="e">
        <f t="shared" ca="1" si="1329"/>
        <v>#N/A</v>
      </c>
      <c r="GU361" s="162" t="e">
        <f t="shared" ca="1" si="1330"/>
        <v>#N/A</v>
      </c>
      <c r="GV361" s="162" t="e">
        <f t="shared" ca="1" si="1210"/>
        <v>#N/A</v>
      </c>
      <c r="GW361" s="162" t="e">
        <f t="shared" ca="1" si="1211"/>
        <v>#DIV/0!</v>
      </c>
      <c r="GX361" s="162" t="e">
        <f t="shared" ca="1" si="1331"/>
        <v>#DIV/0!</v>
      </c>
      <c r="GY361" s="162" t="e">
        <f t="shared" ca="1" si="1332"/>
        <v>#DIV/0!</v>
      </c>
      <c r="GZ361" s="165" t="e">
        <f t="shared" ca="1" si="1212"/>
        <v>#N/A</v>
      </c>
      <c r="HA361" s="162" t="e">
        <f ca="1">IF(Control!$C$114=1, $DI361*$FS361, 0)</f>
        <v>#N/A</v>
      </c>
      <c r="HB361" s="162" t="e">
        <f ca="1">$FA361/Control!$C$64</f>
        <v>#N/A</v>
      </c>
      <c r="HC361" s="162" t="e">
        <f t="shared" ca="1" si="1213"/>
        <v>#DIV/0!</v>
      </c>
      <c r="HD361" s="162">
        <f ca="1">-ASIN(SIN(23.45*Control!$C$139)*COS(2*Control!$C$138*($AH361+10)/365))</f>
        <v>-0.40902340489946348</v>
      </c>
      <c r="HE361" s="165">
        <f t="shared" ca="1" si="1333"/>
        <v>0</v>
      </c>
      <c r="HF361" s="166">
        <f ca="1">IF(AND(Control!$C$61="T",$HE361&gt;=Control!$C$103,Control!$C$114=0),$AH361,Control!$C$59)</f>
        <v>1</v>
      </c>
      <c r="HG361" s="166">
        <f ca="1">IF(AND(Control!$C$61="T",$HE361&gt;=Control!$C$103,Control!$C$114=0),$HF361,Control!$C$59)</f>
        <v>1</v>
      </c>
      <c r="HH361" s="165">
        <f ca="1">IF(AND(OR(Control!$C$60&lt;=0, $AH361= Control!$C$59, Control!$C$60 &gt;0, $AH361 = Control!$C$60)), Control!$C$59, IF(Control!$C$60&gt;0, 0))</f>
        <v>1</v>
      </c>
      <c r="HI361" s="165">
        <f ca="1">IF(AND(OR(Control!$C$60&lt;=0, $AH361= Control!$C$59, Control!$C$60 &gt;0, $AH361 = Control!$C$60)), Control!$C$60, IF(Control!$C$60&lt;=0, 0))</f>
        <v>0</v>
      </c>
      <c r="HJ361" s="166">
        <f ca="1">IF(AND(Control!$C$62="F",$CV361&gt;=Control!$C$102),$AH361,0)</f>
        <v>0</v>
      </c>
      <c r="HK361" s="165" t="e">
        <f t="shared" ca="1" si="1370"/>
        <v>#N/A</v>
      </c>
      <c r="HL361" s="166">
        <f ca="1">IF(AND(Control!$C$61="T",$HE361&gt;=Control!$C$103,Control!$C$114=0),$HF361,0)</f>
        <v>0</v>
      </c>
      <c r="HM361" s="201" t="e">
        <f t="shared" ca="1" si="1214"/>
        <v>#DIV/0!</v>
      </c>
      <c r="HN361" s="215">
        <f t="shared" ca="1" si="1334"/>
        <v>357</v>
      </c>
      <c r="HO361" s="216" t="e">
        <f ca="1">IF(AND($CP361&gt;=0, $CP361&lt;=90), Control!$C$152, Control!$C$152)</f>
        <v>#N/A</v>
      </c>
      <c r="HP361" s="216" t="e">
        <f t="shared" ca="1" si="1215"/>
        <v>#N/A</v>
      </c>
      <c r="HQ361" s="217" t="e">
        <f ca="1">IF(OR(Control!$B$26=1,Control!$B$26=2),$KV361,$KS361)</f>
        <v>#DIV/0!</v>
      </c>
      <c r="HR361" s="218" t="e">
        <f t="shared" ca="1" si="1371"/>
        <v>#DIV/0!</v>
      </c>
      <c r="HS361" s="216" t="e">
        <f ca="1">Control!$C$154*$HP361</f>
        <v>#N/A</v>
      </c>
      <c r="HT361" s="216" t="e">
        <f ca="1">Control!$C$155*$HP361</f>
        <v>#N/A</v>
      </c>
      <c r="HU361" s="217" t="e">
        <f ca="1">Control!$C$161*$FI361</f>
        <v>#N/A</v>
      </c>
      <c r="HV361" s="218" t="e">
        <f t="shared" ca="1" si="1335"/>
        <v>#N/A</v>
      </c>
      <c r="HW361" s="218" t="e">
        <f ca="1">Control!$C$160*$FF361+$IP361*$EO361</f>
        <v>#N/A</v>
      </c>
      <c r="HX361" s="218" t="e">
        <f t="shared" ca="1" si="1372"/>
        <v>#N/A</v>
      </c>
      <c r="HY361" s="219" t="e">
        <f ca="1">IF(Control!$C$114=1, $EB361*$FS361, 0)</f>
        <v>#N/A</v>
      </c>
      <c r="HZ361" s="91" t="e">
        <f t="shared" ca="1" si="1216"/>
        <v>#N/A</v>
      </c>
      <c r="IA361" s="220" t="e">
        <f ca="1">Control!$C$153*$HO361</f>
        <v>#N/A</v>
      </c>
      <c r="IB361" s="218" t="e">
        <f t="shared" ca="1" si="1217"/>
        <v>#N/A</v>
      </c>
      <c r="IC361" s="220" t="e">
        <f ca="1">Control!$C$153*$HT361</f>
        <v>#N/A</v>
      </c>
      <c r="ID361" s="218" t="e">
        <f t="shared" ca="1" si="1218"/>
        <v>#N/A</v>
      </c>
      <c r="IE361" s="221" t="e">
        <f ca="1">($EB361*Control!$C$159+$EF361*Control!$C$160)/(IF($GZ361&lt;&gt;0,$GZ361,1))</f>
        <v>#N/A</v>
      </c>
      <c r="IF361" s="216" t="e">
        <f t="shared" ca="1" si="1219"/>
        <v>#N/A</v>
      </c>
      <c r="IG361" s="91">
        <f ca="1">IF(OR(Control!$B$198=$AH361,Control!$B$199=$AH361, Control!$B$200=$AH361, Control!$B$201=$AH361, Control!$B$202=$AH361, Control!$B$203=$AH361, Control!$B$204=$AH361, Control!$B$205=$AH361, Control!$B$206=$AH361, Control!$B$207=$AH361), 1, 0)</f>
        <v>0</v>
      </c>
      <c r="IH361" s="91">
        <f ca="1">IF($IG361=0,0, VLOOKUP($AH361,Control!$B$198:$C$207,2))</f>
        <v>0</v>
      </c>
      <c r="II361" s="222">
        <f t="shared" ca="1" si="1336"/>
        <v>0</v>
      </c>
      <c r="IJ361" s="91">
        <f>Control!$C$121</f>
        <v>0.7</v>
      </c>
      <c r="IK361" s="218">
        <f t="shared" ca="1" si="1220"/>
        <v>0</v>
      </c>
      <c r="IL361" s="217" t="e">
        <f t="shared" ca="1" si="1373"/>
        <v>#N/A</v>
      </c>
      <c r="IM361" s="223" t="e">
        <f ca="1">IF(AND(Control!$C$114=1,$KH361&lt;1),$EB361*Control!$C$148*(1-$KH361), 0)</f>
        <v>#N/A</v>
      </c>
      <c r="IN361" s="217" t="e">
        <f t="shared" ca="1" si="1221"/>
        <v>#DIV/0!</v>
      </c>
      <c r="IO361" s="91" t="e">
        <f ca="1">MAX(0,$IL361-$EF361*Control!$C$160)</f>
        <v>#N/A</v>
      </c>
      <c r="IP361" s="220" t="e">
        <f t="shared" ca="1" si="1222"/>
        <v>#N/A</v>
      </c>
      <c r="IQ361" s="217" t="e">
        <f t="shared" ca="1" si="1337"/>
        <v>#N/A</v>
      </c>
      <c r="IR361" s="218" t="e">
        <f t="shared" ca="1" si="1223"/>
        <v>#N/A</v>
      </c>
      <c r="IS361" s="217" t="e">
        <f ca="1">Control!$C$159*MAX(0,$FD361-$EN361)</f>
        <v>#N/A</v>
      </c>
      <c r="IT361" s="217" t="e">
        <f t="shared" ca="1" si="1374"/>
        <v>#N/A</v>
      </c>
      <c r="IU361" s="217" t="e">
        <f t="shared" ca="1" si="1338"/>
        <v>#N/A</v>
      </c>
      <c r="IV361" s="217" t="e">
        <f t="shared" ca="1" si="1375"/>
        <v>#N/A</v>
      </c>
      <c r="IW361" s="217" t="e">
        <f ca="1">IF(OR($AW361=1,AND($AW361=0, Control!$B$18=1,$EN361&lt;&gt;0)), $IQ361-$IU361, $IQ361)</f>
        <v>#N/A</v>
      </c>
      <c r="IX361" s="218" t="e">
        <f t="shared" ca="1" si="1224"/>
        <v>#N/A</v>
      </c>
      <c r="IY361" s="218" t="e">
        <f ca="1">MAX(0,$IQ361-$EB361*Control!$C$159)</f>
        <v>#N/A</v>
      </c>
      <c r="IZ361" s="218" t="e">
        <f t="shared" ca="1" si="1225"/>
        <v>#N/A</v>
      </c>
      <c r="JA361" s="216" t="e">
        <f t="shared" ca="1" si="1226"/>
        <v>#N/A</v>
      </c>
      <c r="JB361" s="217" t="e">
        <f t="shared" ca="1" si="1227"/>
        <v>#N/A</v>
      </c>
      <c r="JC361" s="222" t="e">
        <f ca="1">MAX(Control!$C$157*$EK361-$JT361, 0)/Control!$C$162</f>
        <v>#N/A</v>
      </c>
      <c r="JD361" s="218" t="e">
        <f t="shared" ca="1" si="1228"/>
        <v>#N/A</v>
      </c>
      <c r="JE361" s="218" t="e">
        <f t="shared" ca="1" si="1229"/>
        <v>#N/A</v>
      </c>
      <c r="JF361" s="218" t="e">
        <f t="shared" ca="1" si="1339"/>
        <v>#N/A</v>
      </c>
      <c r="JG361" s="218" t="e">
        <f t="shared" ca="1" si="1230"/>
        <v>#N/A</v>
      </c>
      <c r="JH361" s="217" t="e">
        <f t="shared" ca="1" si="1340"/>
        <v>#N/A</v>
      </c>
      <c r="JI361" s="217" t="e">
        <f t="shared" ca="1" si="1341"/>
        <v>#N/A</v>
      </c>
      <c r="JJ361" s="217" t="e">
        <f t="shared" ca="1" si="1376"/>
        <v>#N/A</v>
      </c>
      <c r="JK361" s="217" t="e">
        <f ca="1">IF(Control!$C$114=1,IF(Control!$B$24=0,MAX(0,$JI361)*$GN361/Control!$C$64,(MAX(0,MIN($JI361,$JJ361*$GN361/Control!$C$64),0))))</f>
        <v>#N/A</v>
      </c>
      <c r="JL361" s="217" t="e">
        <f ca="1">$IK361/Control!$C$64-$JK361+$HQ361</f>
        <v>#N/A</v>
      </c>
      <c r="JM361" s="217" t="e">
        <f ca="1">IF(Control!$C$114=1,($JB361/(IF($JI361&lt;&gt;0,$JI361,1)))*$JK361,0)</f>
        <v>#N/A</v>
      </c>
      <c r="JN361" s="217" t="e">
        <f ca="1">IF(Control!$C$114=1,($JG361/(IF($JI361&lt;&gt;0,$JI361,1)))*$JK361, 0)</f>
        <v>#N/A</v>
      </c>
      <c r="JO361" s="218" t="e">
        <f t="shared" ca="1" si="1231"/>
        <v>#N/A</v>
      </c>
      <c r="JP361" s="218" t="e">
        <f ca="1">MIN(($IY361+$IO361)*Control!$C$151, $JF361-$EH361*Control!$C$161)</f>
        <v>#N/A</v>
      </c>
      <c r="JQ361" s="218" t="e">
        <f t="shared" ca="1" si="1232"/>
        <v>#N/A</v>
      </c>
      <c r="JR361" s="217" t="e">
        <f ca="1">IF($CP361-Control!$C$150&lt;0, 0, $JQ361/Control!$C$162)</f>
        <v>#N/A</v>
      </c>
      <c r="JS361" s="218" t="e">
        <f t="shared" ca="1" si="1233"/>
        <v>#N/A</v>
      </c>
      <c r="JT361" s="218" t="e">
        <f t="shared" ca="1" si="1342"/>
        <v>#N/A</v>
      </c>
      <c r="JU361" s="218" t="e">
        <f t="shared" ca="1" si="1234"/>
        <v>#N/A</v>
      </c>
      <c r="JV361" s="218" t="e">
        <f t="shared" ca="1" si="1235"/>
        <v>#N/A</v>
      </c>
      <c r="JW361" s="216" t="e">
        <f t="shared" ca="1" si="1236"/>
        <v>#N/A</v>
      </c>
      <c r="JX361" s="91" t="e">
        <f t="shared" ca="1" si="1237"/>
        <v>#N/A</v>
      </c>
      <c r="JY361" s="218" t="e">
        <f t="shared" ca="1" si="1238"/>
        <v>#N/A</v>
      </c>
      <c r="JZ361" s="217" t="e">
        <f ca="1">IF(Control!$C$114=1,($IZ361/(IF($JI361&lt;&gt;0,$JI361,1)))*$JK361, 0)</f>
        <v>#N/A</v>
      </c>
      <c r="KA361" s="218" t="e">
        <f t="shared" ca="1" si="1377"/>
        <v>#N/A</v>
      </c>
      <c r="KB361" s="218" t="e">
        <f t="shared" ca="1" si="1343"/>
        <v>#N/A</v>
      </c>
      <c r="KC361" s="218" t="e">
        <f t="shared" ca="1" si="1239"/>
        <v>#N/A</v>
      </c>
      <c r="KD361" s="218" t="e">
        <f t="shared" ca="1" si="1240"/>
        <v>#N/A</v>
      </c>
      <c r="KE361" s="218" t="e">
        <f t="shared" ca="1" si="1241"/>
        <v>#N/A</v>
      </c>
      <c r="KF361" s="218" t="e">
        <f t="shared" ca="1" si="1242"/>
        <v>#N/A</v>
      </c>
      <c r="KG361" s="216" t="e">
        <f t="shared" ca="1" si="1243"/>
        <v>#N/A</v>
      </c>
      <c r="KH361" s="221" t="e">
        <f ca="1">IF(Control!$B$24=0,1,MAX(0.001,MIN(1,IF(($IF361-$IE361)&lt;&gt;0,($KG361-$IE361)/($IF361-$IE361),1))))</f>
        <v>#N/A</v>
      </c>
      <c r="KI361" s="222" t="e">
        <f ca="1">IF(Control!$C$114=1, $KI360+ $KH360, 0)</f>
        <v>#N/A</v>
      </c>
      <c r="KJ361" s="217" t="e">
        <f t="shared" ca="1" si="1244"/>
        <v>#N/A</v>
      </c>
      <c r="KK361" s="218" t="e">
        <f t="shared" ca="1" si="1245"/>
        <v>#N/A</v>
      </c>
      <c r="KL361" s="274" t="e">
        <f ca="1">IF(Control!$B$26=3,4000000000*EXP(-8400/($G361+273)),IF(Control!$B$26=4,4000000000*EXP(-8400/($G361+273))*($KT361),0))</f>
        <v>#DIV/0!</v>
      </c>
      <c r="KM361" s="274" t="e">
        <f ca="1">IF(Control!$B$26=3,5600000000000*EXP(-9800/($G361+273)),IF(Control!$B$26=4,5600000000000*EXP(-9800/($G361+273))*$KT361,0))</f>
        <v>#DIV/0!</v>
      </c>
      <c r="KN361" s="454" t="e">
        <f t="shared" ca="1" si="1344"/>
        <v>#DIV/0!</v>
      </c>
      <c r="KO361" s="274" t="e">
        <f t="shared" ca="1" si="1345"/>
        <v>#DIV/0!</v>
      </c>
      <c r="KP361" s="454" t="e">
        <f t="shared" ca="1" si="1246"/>
        <v>#DIV/0!</v>
      </c>
      <c r="KQ361" s="454" t="e">
        <f t="shared" ca="1" si="1247"/>
        <v>#DIV/0!</v>
      </c>
      <c r="KR361" s="454" t="e">
        <f t="shared" ca="1" si="1248"/>
        <v>#DIV/0!</v>
      </c>
      <c r="KS361" s="454" t="e">
        <f t="shared" ca="1" si="1249"/>
        <v>#DIV/0!</v>
      </c>
      <c r="KT361" s="455" t="e">
        <f t="shared" ca="1" si="1250"/>
        <v>#DIV/0!</v>
      </c>
      <c r="KU361" s="456" t="e">
        <f ca="1">IF($CP361-Control!$C$149&lt;0, IF($NT361-0.01&lt;0,0,1),0)</f>
        <v>#N/A</v>
      </c>
      <c r="KV361" s="456" t="e">
        <f ca="1">IF(Control!$C$114=1,MAX(0,MIN(Control!$C$125*$KW361*$GN361,$KW361)))</f>
        <v>#DIV/0!</v>
      </c>
      <c r="KW361" s="456" t="e">
        <f t="shared" ca="1" si="1378"/>
        <v>#DIV/0!</v>
      </c>
      <c r="KX361" s="457" t="e">
        <f ca="1">IF($CP361-Control!$C$149&lt;0, IF($MR361-$OM361&lt;0,0,1),0)</f>
        <v>#N/A</v>
      </c>
      <c r="KY361" s="167">
        <f t="shared" ca="1" si="1346"/>
        <v>357</v>
      </c>
      <c r="KZ361" s="168">
        <f ca="1">1370*(1+0.033*COS(2*Control!$C$138*$AH361/365))</f>
        <v>1414.7820613467359</v>
      </c>
      <c r="LA361" s="169">
        <f t="shared" ca="1" si="1347"/>
        <v>1.0326875709203633</v>
      </c>
      <c r="LB361" s="169">
        <f t="shared" ca="1" si="1348"/>
        <v>-0.40862048278318358</v>
      </c>
      <c r="LC361" s="169">
        <f ca="1">ACOS(-TAN((2*Control!$B$8/360))*TAN(Calculations!$LB361))</f>
        <v>1.4417518735907853</v>
      </c>
      <c r="LD361" s="169">
        <f ca="1">((24*60)/PI())*0.082*$LA361*(($LC361*SIN(Control!$B$8*2*PI()/360))*SIN($LB361)+COS(Control!$B$8*2*PI()/360)*COS($LB361)*SIN($LC361))</f>
        <v>4.2248861553670229</v>
      </c>
      <c r="LE361" s="170">
        <f t="shared" ca="1" si="1251"/>
        <v>5.9322508631526141</v>
      </c>
      <c r="LF361" s="170">
        <f ca="1">SIN(Control!$C$139*Control!$B$8)*SIN($HD361)</f>
        <v>-0.31340302059658459</v>
      </c>
      <c r="LG361" s="170">
        <f ca="1">COS(Control!$C$139*Control!$B$8)*COS($HD361)</f>
        <v>0.5648738197421842</v>
      </c>
      <c r="LH361" s="170">
        <f ca="1">12*(1+2*ASIN(MAX(-1,MIN(1,$LF361/$LG361))/Control!$C$138))</f>
        <v>7.7391534776456981</v>
      </c>
      <c r="LI361" s="170">
        <f ca="1">12*(1+2*ASIN(MAX(-1,MIN(1,(-SIN(-4*Control!$C$139)+$LF361)/$LG361))/Control!$C$138))</f>
        <v>8.6944568756700846</v>
      </c>
      <c r="LJ361" s="168">
        <f ca="1">3600*($LH361*$LF361+24*$LG361*SQRT(1-$LK361*$LK361)/Control!$C$138)</f>
        <v>4193.0492513494864</v>
      </c>
      <c r="LK361" s="170">
        <f t="shared" ca="1" si="1252"/>
        <v>-0.55481951834770082</v>
      </c>
      <c r="LL361" s="170">
        <f t="shared" ca="1" si="1253"/>
        <v>0</v>
      </c>
      <c r="LM361" s="171">
        <f ca="1">Control!$C$145*$AB361</f>
        <v>6.6660906138995932E-2</v>
      </c>
      <c r="LN361" s="170">
        <f t="shared" ca="1" si="1349"/>
        <v>0.54</v>
      </c>
      <c r="LO361" s="170">
        <f t="shared" ca="1" si="1254"/>
        <v>0</v>
      </c>
      <c r="LP361" s="170">
        <f ca="1">Control!$C$140*((($D361+273.16)^4+($E361+273.16)^4)/2)*(0.34-0.14*SQRT($Y361))*(1.35*$AQ361/(0.75*$LD361)-0.35)</f>
        <v>-3.2464704755046001</v>
      </c>
      <c r="LQ361" s="170">
        <f ca="1">Control!$C$140*($G361+273)^4*(0.56-0.079*SQRT($Y361*10))*(0.1+0.9*$LO361)</f>
        <v>1.5241745131704001</v>
      </c>
      <c r="LR361" s="170">
        <f ca="1">$AQ361*(1-Control!$C$142)-$LQ361</f>
        <v>-1.5241745131704001</v>
      </c>
      <c r="LS361" s="170">
        <f ca="1">$AQ361*(1-Control!$C$143)-$LQ361</f>
        <v>-1.5241745131704001</v>
      </c>
      <c r="LT361" s="170">
        <f ca="1">$AQ361*(1-Control!$C$144)-$LQ361</f>
        <v>-1.5241745131704001</v>
      </c>
      <c r="LU361" s="169">
        <f ca="1">(1-Control!$C$144)*AQ361-LP361</f>
        <v>3.2464704755046001</v>
      </c>
      <c r="LV361" s="172">
        <f t="shared" ca="1" si="1255"/>
        <v>0.79430000000000012</v>
      </c>
      <c r="LW361" s="170">
        <f t="shared" ca="1" si="1256"/>
        <v>1.5886000000000002</v>
      </c>
      <c r="LX361" s="170">
        <f ca="1">($AC361*($LR361/Control!$C$141)+$LM361*$LV361)/($AC361+$LM361)</f>
        <v>0.23530094218323697</v>
      </c>
      <c r="LY361" s="170">
        <f ca="1">($AC361*($LS361/Control!$C$141)+$LM361*$LV361)/($AC361+$LM361)</f>
        <v>0.23530094218323697</v>
      </c>
      <c r="LZ361" s="170">
        <f t="shared" ca="1" si="1257"/>
        <v>0.23530094218323697</v>
      </c>
      <c r="MA361" s="170">
        <f t="shared" ca="1" si="1258"/>
        <v>0.23530094218323697</v>
      </c>
      <c r="MB361" s="170" t="e">
        <f t="shared" ca="1" si="1259"/>
        <v>#N/A</v>
      </c>
      <c r="MC361" s="170">
        <f t="shared" ca="1" si="1350"/>
        <v>0.6018</v>
      </c>
      <c r="MD361" s="170">
        <f t="shared" ca="1" si="1260"/>
        <v>0.52989392535414004</v>
      </c>
      <c r="ME361" s="170">
        <f ca="1">($AC361*($LT361/Control!$C$141)+$LM361*$LW361)/($AC361+$LM361)</f>
        <v>0.71612369323045078</v>
      </c>
      <c r="MF361" s="170" t="e">
        <f ca="1">IF(Control!$B$16&gt;=1000,0.92,IF(AND(720&lt;=Control!$B$16,1000&gt;Control!$B$16),(0.95+(Control!$B$16-720)*((0.92-0.95)/(1000-720))),IF(AND(360&lt;=Control!$B$16,720&gt;Control!$B$16),(1+(Control!$B$16-360)*((0.95-1)/(720-360))),IF(AND(40&lt;=Control!$B$16,360&gt;Control!$B$16),(1.05+(Control!$B$16-40)*((1.05-1)/(360-40)))))))</f>
        <v>#N/A</v>
      </c>
      <c r="MG361" s="170">
        <f t="shared" ca="1" si="1261"/>
        <v>0.71612369323045078</v>
      </c>
      <c r="MH361" s="170" t="e">
        <f t="shared" ca="1" si="1387"/>
        <v>#N/A</v>
      </c>
      <c r="MI361" s="170" t="e">
        <f t="shared" ca="1" si="1387"/>
        <v>#N/A</v>
      </c>
      <c r="MJ361" s="170" t="e">
        <f ca="1">MAX(0.0001, Control!$C$132*$MI361*$DL361)</f>
        <v>#N/A</v>
      </c>
      <c r="MK361" s="170">
        <f ca="1">1/(0.76+1.5*($MG361/10))-(5-Control!$C$110)*0.1</f>
        <v>1.002845988140797</v>
      </c>
      <c r="ML361" s="173">
        <f ca="1">IF(Control!$C$110&lt;3,$MK361+($MG361-0.6)/(Control!$C$110*(Control!$C$110+3)), MAX(0.1, MIN(0.95,$MK361)))</f>
        <v>0.95</v>
      </c>
      <c r="MM361" s="173">
        <f ca="1">IF(Control!$C$110&lt;3,$MK361+(($MI361/10)-0.6)/(Control!$C$110*(Control!$C$110+3)), MAX(0.1, MIN(0.95,$MK361)))</f>
        <v>0.95</v>
      </c>
      <c r="MN361" s="173">
        <f ca="1">(1-$MM361)*(Control!$C$128-Control!$C$127)+Control!$C$127</f>
        <v>0.16</v>
      </c>
      <c r="MO361" s="170" t="e">
        <f ca="1">MAX(0,MIN(1,($MS361-Control!$C$127)/($MN361-Control!$C$127)))</f>
        <v>#DIV/0!</v>
      </c>
      <c r="MP361" s="173" t="e">
        <f ca="1">1/(0.76+1.5*$MI361)-(5-Control!$C$110)*0.1</f>
        <v>#N/A</v>
      </c>
      <c r="MQ361" s="172" t="e">
        <f t="shared" ca="1" si="1379"/>
        <v>#DIV/0!</v>
      </c>
      <c r="MR361" s="168" t="e">
        <f t="shared" ca="1" si="1351"/>
        <v>#DIV/0!</v>
      </c>
      <c r="MS361" s="173" t="e">
        <f ca="1">MAX(Control!$C$127, MIN(Control!$C$135, $MR361/MAX(0.0001,$CY361)))</f>
        <v>#DIV/0!</v>
      </c>
      <c r="MT361" s="168" t="e">
        <f ca="1">(Control!$C$128-$MS361)*Control!$C$74</f>
        <v>#DIV/0!</v>
      </c>
      <c r="MU361" s="168" t="e">
        <f ca="1">(Control!$C$135-$MS361)*Control!$C$74</f>
        <v>#DIV/0!</v>
      </c>
      <c r="MV361" s="168" t="e">
        <f t="shared" ca="1" si="1352"/>
        <v>#DIV/0!</v>
      </c>
      <c r="MW361" s="168" t="e">
        <f t="shared" ca="1" si="1353"/>
        <v>#DIV/0!</v>
      </c>
      <c r="MX361" s="171" t="e">
        <f ca="1">MAX(Control!$C$127, MIN(Control!$C$135, $MW361/MAX(0.0001,Control!$C$119-$CY361)))</f>
        <v>#DIV/0!</v>
      </c>
      <c r="MY361" s="54" t="e">
        <f ca="1">IF(Control!$C$114=1, $CX361*$MX361, 0)</f>
        <v>#DIV/0!</v>
      </c>
      <c r="MZ361" s="54" t="e">
        <f t="shared" ca="1" si="1354"/>
        <v>#N/A</v>
      </c>
      <c r="NA361" s="168" t="e">
        <f ca="1">(Control!$C$128-$MX361)*(Control!$C$119-Control!$C$74)</f>
        <v>#DIV/0!</v>
      </c>
      <c r="NB361" s="168" t="e">
        <f ca="1">(Control!$C$135-$MX361)*(Control!$C$119-Control!$C$74)</f>
        <v>#DIV/0!</v>
      </c>
      <c r="NC361" s="174" t="e">
        <f t="shared" ca="1" si="1355"/>
        <v>#DIV/0!</v>
      </c>
      <c r="ND361" s="54">
        <f ca="1">IF(Control!$C$58=2, IF(OR(Control!$B$218=$AH361,Control!$B$219=$AH361, Control!$B$220=$AH361, Control!$B$221=$AH361, Control!$B$222=$AH361, Control!$B$223=$AH361, Control!$B$224=$AH361, Control!$B$225=$AH361, Control!$B$226=$AH361, Control!$B$227=$AH361, Control!$B$228=$AH361), 1, 0), 0)</f>
        <v>0</v>
      </c>
      <c r="NE361" s="54">
        <f ca="1">IF($ND361=0,0, VLOOKUP($AH361,Control!$B$218:$C$228,2))</f>
        <v>0</v>
      </c>
      <c r="NF361" s="168" t="e">
        <f ca="1">$CY361*(Control!$C$128-Control!$C$127)</f>
        <v>#N/A</v>
      </c>
      <c r="NG361" s="54" t="e">
        <f ca="1">IF(Control!$C$58=2, $NI360-$NJ360, 0)</f>
        <v>#DIV/0!</v>
      </c>
      <c r="NH361" s="54" t="e">
        <f ca="1">IF(AND(Control!$C$58=1, $MS360&lt;= ($MN360+0.02), $I360&lt;10), 0, IF(Control!$C$58=2, $NG360, 0))</f>
        <v>#DIV/0!</v>
      </c>
      <c r="NI361" s="54" t="e">
        <f ca="1">IF(Control!$C$58=2, $NE361+$NH361,0)</f>
        <v>#DIV/0!</v>
      </c>
      <c r="NJ361" s="54" t="e">
        <f ca="1">IF(AND(Control!$C$58=1, $MS361&lt;= ($MN361+0.02), $I361&lt;10), MAX(0, MIN(10, 0.7*($NF361-$MV361))), IF(Control!$C$58=2, MIN(10,$NI361),0))</f>
        <v>#DIV/0!</v>
      </c>
      <c r="NK361" s="54" t="e">
        <f t="shared" ca="1" si="1263"/>
        <v>#DIV/0!</v>
      </c>
      <c r="NL361" s="173" t="e">
        <f ca="1">(1-Control!$C$73)*$I361+$NJ361</f>
        <v>#DIV/0!</v>
      </c>
      <c r="NM361" s="172" t="e">
        <f ca="1">IF($NL361&lt;0.5, $MB361* MAX(0, MIN(1, (SQRT($NC361)-SQRT($NC361-1))*Control!$C$71)),0)</f>
        <v>#DIV/0!</v>
      </c>
      <c r="NN361" s="170" t="e">
        <f ca="1">IF($NL361&gt;=5, $MB361, MAX(0,MIN($MB361, $NM361+$NL361,($MS361-Control!$C$129))))</f>
        <v>#DIV/0!</v>
      </c>
      <c r="NO361" s="54">
        <f>IF(Control!$C$133&lt;&gt;1, Control!$C$135-Control!$C$131, 0)</f>
        <v>0.38</v>
      </c>
      <c r="NP361" s="54" t="e">
        <f t="shared" ca="1" si="1264"/>
        <v>#DIV/0!</v>
      </c>
      <c r="NQ361" s="173" t="e">
        <f ca="1">MAX(0,MIN(1,(Control!$C$135-$MS361)/(Control!$C$135-$NO361)))</f>
        <v>#DIV/0!</v>
      </c>
      <c r="NR361" s="170" t="e">
        <f ca="1">IF(Control!$C$133&lt;&gt;1, $NQ361+((1-$NP361/4)*(1-$NQ361)),1)</f>
        <v>#DIV/0!</v>
      </c>
      <c r="NS361" s="170" t="e">
        <f ca="1">IF(Control!$B$31=0,$MJ361,MAX(0,MIN($MV361,$MO361*$NR361*$MJ361)))</f>
        <v>#DIV/0!</v>
      </c>
      <c r="NT361" s="170" t="e">
        <f t="shared" ca="1" si="1380"/>
        <v>#DIV/0!</v>
      </c>
      <c r="NU361" s="170" t="e">
        <f t="shared" ca="1" si="1356"/>
        <v>#N/A</v>
      </c>
      <c r="NV361" s="170" t="e">
        <f t="shared" ca="1" si="1265"/>
        <v>#N/A</v>
      </c>
      <c r="NW361" s="175" t="e">
        <f t="shared" ca="1" si="1266"/>
        <v>#DIV/0!</v>
      </c>
      <c r="NX361" s="170" t="e">
        <f ca="1">MIN(Control!$C$72+$MU361, $NW361)</f>
        <v>#DIV/0!</v>
      </c>
      <c r="NY361" s="170" t="e">
        <f ca="1">IF($MT361&lt;=$NX361,MIN(Control!$C$72+$NB361,$NX361-$MT361),0)</f>
        <v>#DIV/0!</v>
      </c>
      <c r="NZ361" s="54" t="e">
        <f ca="1">IF(Control!$C$114=1,  $CX361*($MX361-Control!$C$127), 0)</f>
        <v>#DIV/0!</v>
      </c>
      <c r="OA361" s="170" t="e">
        <f t="shared" ca="1" si="1267"/>
        <v>#DIV/0!</v>
      </c>
      <c r="OB361" s="170" t="e">
        <f ca="1">IF($NA361 &lt;=$NY361, MIN(Control!$C$72, $NY361-$NA361), 0)</f>
        <v>#DIV/0!</v>
      </c>
      <c r="OC361" s="168" t="e">
        <f t="shared" ca="1" si="1268"/>
        <v>#DIV/0!</v>
      </c>
      <c r="OD361" s="168" t="e">
        <f t="shared" ca="1" si="1357"/>
        <v>#DIV/0!</v>
      </c>
      <c r="OE361" s="170">
        <f ca="1">Control!$C$73*$I361</f>
        <v>0</v>
      </c>
      <c r="OF361" s="176" t="e">
        <f t="shared" ca="1" si="1269"/>
        <v>#DIV/0!</v>
      </c>
      <c r="OG361" s="168" t="e">
        <f t="shared" ca="1" si="1270"/>
        <v>#DIV/0!</v>
      </c>
      <c r="OH361" s="168" t="e">
        <f t="shared" ca="1" si="1271"/>
        <v>#DIV/0!</v>
      </c>
      <c r="OI361" s="168" t="e">
        <f t="shared" ca="1" si="1272"/>
        <v>#DIV/0!</v>
      </c>
      <c r="OJ361" s="168" t="e">
        <f t="shared" ca="1" si="1273"/>
        <v>#DIV/0!</v>
      </c>
      <c r="OK361" s="204" t="e">
        <f t="shared" ca="1" si="1274"/>
        <v>#DIV/0!</v>
      </c>
      <c r="OL361" s="177">
        <f>Control!$C$127</f>
        <v>0.15</v>
      </c>
      <c r="OM361" s="182" t="e">
        <f t="shared" ca="1" si="1275"/>
        <v>#N/A</v>
      </c>
      <c r="ON361" s="177">
        <f>Control!$C$128</f>
        <v>0.35</v>
      </c>
      <c r="OO361" s="182" t="e">
        <f t="shared" ca="1" si="1276"/>
        <v>#N/A</v>
      </c>
      <c r="OP361" s="138">
        <f t="shared" ca="1" si="1358"/>
        <v>0</v>
      </c>
      <c r="OQ361" s="138" t="e">
        <f t="shared" ca="1" si="1381"/>
        <v>#DIV/0!</v>
      </c>
      <c r="OR361" s="138" t="e">
        <f t="shared" ca="1" si="1359"/>
        <v>#DIV/0!</v>
      </c>
      <c r="OS361" s="137" t="e">
        <f t="shared" ca="1" si="1382"/>
        <v>#DIV/0!</v>
      </c>
      <c r="OT361" s="139" t="e">
        <f t="shared" ca="1" si="1383"/>
        <v>#DIV/0!</v>
      </c>
      <c r="OU361" s="138" t="e">
        <f t="shared" ca="1" si="1384"/>
        <v>#N/A</v>
      </c>
      <c r="OV361" s="138" t="e">
        <f t="shared" ca="1" si="1385"/>
        <v>#DIV/0!</v>
      </c>
      <c r="OW361" s="138" t="e">
        <f t="shared" ca="1" si="1360"/>
        <v>#DIV/0!</v>
      </c>
      <c r="OX361" s="138" t="e">
        <f t="shared" ca="1" si="1361"/>
        <v>#DIV/0!</v>
      </c>
      <c r="OY361" s="138" t="e">
        <f t="shared" ca="1" si="1362"/>
        <v>#DIV/0!</v>
      </c>
      <c r="OZ361" s="138" t="e">
        <f t="shared" ca="1" si="1277"/>
        <v>#DIV/0!</v>
      </c>
      <c r="PA361" s="138" t="e">
        <f t="shared" ca="1" si="1278"/>
        <v>#DIV/0!</v>
      </c>
      <c r="PB361" s="55">
        <f>IF(Control!$C$61="T", IF(Control!$C$65="F", IF($AH$6-Control!$C$60&lt;0,0,1), IF(365+$AH$6-Control!$C$60&lt;0,0,1)),0)</f>
        <v>0</v>
      </c>
      <c r="PC361" s="55">
        <f ca="1">IF(Control!$C$65="F", IF($AH$6-$HF361&lt;0,0,1), IF(365+$AH$6-$HF361&lt;0,0,1))</f>
        <v>1</v>
      </c>
      <c r="PD361" s="444">
        <f>Control!$C$118</f>
        <v>1500</v>
      </c>
      <c r="PE361" s="180" t="e">
        <f t="shared" ca="1" si="1279"/>
        <v>#N/A</v>
      </c>
      <c r="PF361" s="445">
        <f t="shared" ca="1" si="1363"/>
        <v>0.71612369323045078</v>
      </c>
      <c r="PT361" s="186"/>
      <c r="PU361" s="186"/>
      <c r="PV361" s="94"/>
      <c r="PW361" s="94"/>
      <c r="PX361" s="94"/>
      <c r="PY361" s="94"/>
      <c r="PZ361" s="94"/>
      <c r="QA361" s="94"/>
      <c r="QB361" s="94"/>
      <c r="QC361" s="94"/>
      <c r="QD361" s="94"/>
      <c r="QE361" s="94"/>
      <c r="QF361" s="94"/>
      <c r="QG361" s="94"/>
      <c r="QH361" s="94"/>
      <c r="QI361" s="94"/>
      <c r="QJ361" s="94"/>
      <c r="QK361" s="94"/>
      <c r="QL361" s="94"/>
      <c r="QM361" s="94"/>
      <c r="QN361" s="94"/>
      <c r="QO361" s="94"/>
      <c r="QP361" s="94"/>
    </row>
    <row r="362" spans="1:458" s="2" customFormat="1" x14ac:dyDescent="0.2">
      <c r="A362" s="395">
        <v>23</v>
      </c>
      <c r="B362" s="396">
        <v>12</v>
      </c>
      <c r="C362" s="387">
        <f ca="1">Weather_data!$B361</f>
        <v>0</v>
      </c>
      <c r="D362" s="388">
        <f ca="1">Weather_data!$F361</f>
        <v>0</v>
      </c>
      <c r="E362" s="388">
        <f ca="1">Weather_data!$E361</f>
        <v>0</v>
      </c>
      <c r="F362" s="388">
        <f t="shared" ca="1" si="1280"/>
        <v>0</v>
      </c>
      <c r="G362" s="388">
        <f ca="1">AVERAGE($D362:$E362)+Control!$B$9</f>
        <v>0</v>
      </c>
      <c r="H362" s="388">
        <f ca="1">Weather_data!$G361</f>
        <v>0</v>
      </c>
      <c r="I362" s="388">
        <f ca="1">Weather_data!$I361</f>
        <v>0</v>
      </c>
      <c r="J362" s="388">
        <f ca="1">Weather_data!$H361</f>
        <v>0</v>
      </c>
      <c r="K362" s="389">
        <f ca="1">Weather_data!$D361</f>
        <v>0</v>
      </c>
      <c r="L362" s="388" t="e">
        <f t="shared" ca="1" si="1281"/>
        <v>#N/A</v>
      </c>
      <c r="M362" s="388" t="e">
        <f t="shared" ca="1" si="1158"/>
        <v>#N/A</v>
      </c>
      <c r="N362" s="388">
        <f t="shared" ca="1" si="1159"/>
        <v>-2.5662760136991113E-17</v>
      </c>
      <c r="O362" s="388">
        <f t="shared" ca="1" si="1282"/>
        <v>2.5662760136991113E-16</v>
      </c>
      <c r="P362" s="390">
        <v>3</v>
      </c>
      <c r="Q362" s="388">
        <f ca="1">MAX($G362-Control!$C$107,0)</f>
        <v>0</v>
      </c>
      <c r="R362" s="388">
        <f t="shared" ca="1" si="1283"/>
        <v>0</v>
      </c>
      <c r="S362" s="388">
        <f t="shared" ca="1" si="1160"/>
        <v>0</v>
      </c>
      <c r="T362" s="388">
        <f t="shared" ca="1" si="1161"/>
        <v>0</v>
      </c>
      <c r="U362" s="59">
        <f t="shared" ca="1" si="1162"/>
        <v>0</v>
      </c>
      <c r="V362" s="391">
        <f ca="1">MAX(0,MIN(Control!$C$100-Control!$C$99,$G362-Control!$C$99)*Control!$C$63)</f>
        <v>0</v>
      </c>
      <c r="W362" s="388">
        <f t="shared" ca="1" si="1284"/>
        <v>0</v>
      </c>
      <c r="X362" s="388">
        <f t="shared" ca="1" si="1285"/>
        <v>0.6110000000000001</v>
      </c>
      <c r="Y362" s="388">
        <f t="shared" ca="1" si="1163"/>
        <v>0</v>
      </c>
      <c r="Z362" s="388">
        <f t="shared" ca="1" si="1286"/>
        <v>0.61058800000000002</v>
      </c>
      <c r="AA362" s="388">
        <f t="shared" ca="1" si="1164"/>
        <v>0.6018</v>
      </c>
      <c r="AB362" s="388">
        <f ca="1">101.3*EXP(-0.034*Control!$C$66/($G362+273))</f>
        <v>100.69623283836242</v>
      </c>
      <c r="AC362" s="392">
        <f t="shared" ca="1" si="1165"/>
        <v>4.3460251046025113E-2</v>
      </c>
      <c r="AD362" s="392">
        <f t="shared" ca="1" si="1166"/>
        <v>4.4450382862832649E-2</v>
      </c>
      <c r="AE362" s="388">
        <f t="shared" ca="1" si="1167"/>
        <v>0</v>
      </c>
      <c r="AF362" s="388">
        <f ca="1">MAX(0,$G362-Control!$C$92)</f>
        <v>0</v>
      </c>
      <c r="AG362" s="393">
        <f t="shared" ca="1" si="1168"/>
        <v>358</v>
      </c>
      <c r="AH362" s="389">
        <f t="shared" ca="1" si="1169"/>
        <v>358</v>
      </c>
      <c r="AI362" s="388">
        <f t="shared" ca="1" si="1287"/>
        <v>-0.40870210405487611</v>
      </c>
      <c r="AJ362" s="388">
        <f ca="1">IF(Control!$C$60&lt;=0,$HH362,$HI362)</f>
        <v>1</v>
      </c>
      <c r="AK362" s="388">
        <f t="shared" ca="1" si="1170"/>
        <v>4.7855493572491099</v>
      </c>
      <c r="AL362" s="388">
        <f t="shared" ca="1" si="1171"/>
        <v>2.8849110600415173E-18</v>
      </c>
      <c r="AM362" s="388">
        <f t="shared" ca="1" si="1172"/>
        <v>4.7855493572491099</v>
      </c>
      <c r="AN362" s="388">
        <f t="shared" ca="1" si="1173"/>
        <v>-0.40795814901942296</v>
      </c>
      <c r="AO362" s="388">
        <f ca="1">-0.10453/COS(Control!$B$8*PI()/180)*COS(AN362)</f>
        <v>-0.15585109773730293</v>
      </c>
      <c r="AP362" s="388">
        <f ca="1">ACOS(AO362-TAN(Control!$B$8*PI()/180)*TAN(AN362))</f>
        <v>1.162172226975986</v>
      </c>
      <c r="AQ362" s="388">
        <f t="shared" ca="1" si="1288"/>
        <v>0</v>
      </c>
      <c r="AR362" s="394">
        <f t="shared" ca="1" si="1174"/>
        <v>0</v>
      </c>
      <c r="AS362" s="436">
        <f ca="1">IF(Control!$B$18=2,(IF(OR($AH362=Control!$B$175,$AH362=Control!$B$176,$AH362=Control!$B$177,$AH362=Control!$B$178,$AH362=Control!$B$179,$AH362=Control!$B$180,$AH362=Control!$B$181,$AH362=Control!$B$182,$AH362=Control!$B$183,$AH362=Control!$B$184,$AH362=Control!$B$185),1,0)),0)</f>
        <v>0</v>
      </c>
      <c r="AT362" s="436">
        <f>IF(Control!$B$20=8,IF(AND($AH362&gt;=Control!$B$172,$AH362&lt;=Control!$B$173),1,0),0)</f>
        <v>0</v>
      </c>
      <c r="AU362" s="436">
        <f>IF(Control!$B$20=8,IF($AV361=1,1*$AT362,IF($AT362=1,$AU361+1,$AU361)),0)</f>
        <v>0</v>
      </c>
      <c r="AV362" s="436">
        <f>IF(Control!$B$20=8,IF($AU362&gt;=Control!$B$174,1,0),0)</f>
        <v>0</v>
      </c>
      <c r="AW362" s="436">
        <f ca="1">IF(AND(Control!$B$18=2,Control!$B$171=1), $AV362, $AS362)</f>
        <v>0</v>
      </c>
      <c r="AX362" s="436" t="e">
        <f ca="1">IF(AND(Control!$B$18=1,$EU362&gt;=Control!$B$19),-$AY362,IF(AND(Control!$B$18=2,$AW362=1,$EU362&gt;$DS362),-$AY362, IF(Control!$C$108=0,0, IF(Control!$C$108&lt;&gt;0,1))))</f>
        <v>#N/A</v>
      </c>
      <c r="AY362" s="436" t="e">
        <f t="shared" ca="1" si="1289"/>
        <v>#N/A</v>
      </c>
      <c r="AZ362" s="436" t="e">
        <f ca="1">IF(AND(Control!$B$18=1,$EB362&gt;Control!$B$19),$AZ361+1, IF(AND(Control!$B$18=2, $AW362=1, $EB362&gt;$DS362), $AZ361+1,$AZ361))</f>
        <v>#N/A</v>
      </c>
      <c r="BA362" s="587">
        <f>IF(Control!$C$81=0,1,IF($AH362&gt;=Control!$C$82,1,0))</f>
        <v>1</v>
      </c>
      <c r="BB362" s="140" t="e">
        <f ca="1">IF($BA362&gt;$BA361,Control!$C$83,IF($AW362&gt;0,$AW362*Control!$C$84,IF(AND(Control!$B$18=1,EN361&lt;&gt;0),Control!$C$84,0)))</f>
        <v>#N/A</v>
      </c>
      <c r="BC362" s="140" t="e">
        <f t="shared" ca="1" si="1290"/>
        <v>#N/A</v>
      </c>
      <c r="BD362" s="140" t="e">
        <f ca="1">BC362*IF(OR($G362&lt;Control!$C$92,$G362&gt;Control!$C$95),0,IF(AND($G362&gt;=Control!$C$92,$G362&lt;=Control!$C$93),$G362-Control!$C$92,IF(AND($G362&gt;Control!$C$93,$G362&lt;=Control!$C$94),Control!$C$93-Control!$C$92,IF(AND($G362&gt;Control!$C$94,$G362&lt;=Control!$C$95),(Control!$C$93-Control!$C$92)*(Control!$C$94-$G362)/(Control!$C$95-Control!$C$94)))))</f>
        <v>#N/A</v>
      </c>
      <c r="BE362" s="140" t="e">
        <f t="shared" ca="1" si="1291"/>
        <v>#N/A</v>
      </c>
      <c r="BF362" s="140" t="e">
        <f ca="1">IF($BE362&lt;=Control!$C$86,$BE362,Control!$C$86-$BE362)</f>
        <v>#N/A</v>
      </c>
      <c r="BG362" s="140" t="e">
        <f ca="1">IF(AND($AW362=1,Control!$C$84&lt;9),1,IF($BE362&gt;=Control!$C$86,0,$BC362))</f>
        <v>#N/A</v>
      </c>
      <c r="BH362" s="404" t="e">
        <f ca="1">IF($BG362=0,0,IF($BE362&lt;=Control!$C$86,$BC362*9*($BF362/Control!$C$86),0))</f>
        <v>#N/A</v>
      </c>
      <c r="BI362" s="140" t="e">
        <f ca="1">IF($BG362=1,0,IF($BE362&gt;=Control!$C$86,1,IF(AND($BB362&lt;21,$BB362&gt;=9),1,$BM361)))</f>
        <v>#N/A</v>
      </c>
      <c r="BJ362" s="140" t="e">
        <f ca="1">IF($BF362&lt;0,-$BF362,$BI362*IF(OR($G362&lt;Control!$C$92,$G362&gt;Control!$C$95),0,IF(AND($G362&gt;=Control!$C$92,$G362&lt;=Control!$C$93),$G362-Control!$C$92,IF(AND($G362&gt;Control!$C$93,$G362&lt;=Control!$C$94),Control!$C$93-Control!$C$92,IF(AND($G362&gt;Control!$C$94,$G362&lt;=Control!$C$95),(Control!$C$93-Control!$C$92)*(Control!$C$94-$G362)/(Control!$C$95-Control!$C$94))))))</f>
        <v>#N/A</v>
      </c>
      <c r="BK362" s="140" t="e">
        <f t="shared" ca="1" si="1292"/>
        <v>#N/A</v>
      </c>
      <c r="BL362" s="140" t="e">
        <f ca="1">IF($BK362&lt;=Control!$C$87,$BK362,Control!$C$87-$BK362)</f>
        <v>#N/A</v>
      </c>
      <c r="BM362" s="140" t="e">
        <f ca="1">IF(AND($BB362&gt;=9,$BB362&lt;21),1,IF($BK362&gt;=Control!$C$87,0,$BI362))</f>
        <v>#N/A</v>
      </c>
      <c r="BN362" s="404" t="e">
        <f ca="1">IF($BM362=0,0,IF($BK362&lt;=Control!$C$87,$BI362*(9+(21-9)*($BL362/Control!$C$87)),0))</f>
        <v>#N/A</v>
      </c>
      <c r="BO362" s="140" t="e">
        <f ca="1">IF($BM362=1,0,IF($BK362&gt;=Control!$C$87,1,IF(AND($BB362&lt;30,$BB362&gt;=21),1,$BS361)))</f>
        <v>#N/A</v>
      </c>
      <c r="BP362" s="140" t="e">
        <f ca="1">IF($BL362&lt;0,-$BL362,$BO362*IF(OR($G362&lt;Control!$C$92,$G362&gt;Control!$C$95),0,IF(AND($G362&gt;=Control!$C$92,$G362&lt;=Control!$C$93),$G362-Control!$C$92,IF(AND($G362&gt;Control!$C$93,$G362&lt;=Control!$C$94),Control!$C$93-Control!$C$92,IF(AND($G362&gt;Control!$C$94,$G362&lt;=Control!$C$95),(Control!$C$93-Control!$C$92)*(Control!$C$94-$G362)/(Control!$C$95-Control!$C$94))))))</f>
        <v>#N/A</v>
      </c>
      <c r="BQ362" s="140" t="e">
        <f t="shared" ca="1" si="1175"/>
        <v>#N/A</v>
      </c>
      <c r="BR362" s="140" t="e">
        <f ca="1">IF($BQ362&lt;=Control!$C$88,$BQ362,Control!$C$88-$BQ362)</f>
        <v>#N/A</v>
      </c>
      <c r="BS362" s="140" t="e">
        <f ca="1">IF(AND($BB362&gt;=21,$BB362&lt;30),1,IF($BQ362&gt;=Control!$C$88,0,$BO362))</f>
        <v>#N/A</v>
      </c>
      <c r="BT362" s="404" t="e">
        <f ca="1">IF($BS362=0,0,IF($BQ362&lt;=Control!$C$88,$BO362*(21+(30-21)*(BR362/Control!$C$88)),0))</f>
        <v>#N/A</v>
      </c>
      <c r="BU362" s="140" t="e">
        <f ca="1">IF(BG362+BM362+BS362=1,0,IF(OR(AND($BB362&lt;60,$BB362&gt;=30),$BQ362&gt;=Control!$C$88),1*$BA362,$BY361))</f>
        <v>#N/A</v>
      </c>
      <c r="BV362" s="140" t="e">
        <f ca="1">IF($BR362&lt;0,-$BR362,$BU362*IF(OR($G362&lt;Control!$C$92,$G362&gt;Control!$C$95),0,IF(AND($G362&gt;=Control!$C$92,$G362&lt;=Control!$C$93),$G362-Control!$C$92,IF(AND($G362&gt;Control!$C$93,$G362&lt;=Control!$C$94),Control!$C$93-Control!$C$92,IF(AND($G362&gt;Control!$C$94,$G362&lt;=Control!$C$95),(Control!$C$93-Control!$C$92)*(Control!$C$94-$G362)/(Control!$C$95-Control!$C$94))))))</f>
        <v>#N/A</v>
      </c>
      <c r="BW362" s="140" t="e">
        <f t="shared" ca="1" si="1176"/>
        <v>#N/A</v>
      </c>
      <c r="BX362" s="140" t="e">
        <f ca="1">IF($BW362&lt;=Control!$C$89,$BW362,Control!$C$89-$BW362)</f>
        <v>#N/A</v>
      </c>
      <c r="BY362" s="140" t="e">
        <f ca="1">IF(AND($AJ362&gt;=30,$AJ362&lt;60),1,IF($BW362&gt;=Control!$C$89,0,$BU362))</f>
        <v>#N/A</v>
      </c>
      <c r="BZ362" s="404" t="e">
        <f ca="1">IF($BY362=0,0,IF($BW362&lt;=Control!$C$89,$BU362*(30+(60-30)*(BX362/Control!$C$89)),0))</f>
        <v>#N/A</v>
      </c>
      <c r="CA362" s="140" t="e">
        <f ca="1">IF($BG362+$BM362+$BS362+$BY362=1,0,IF(OR(AND($BB362&lt;65,$BB362&gt;=60),$BW362&gt;=Control!$C$89),1*$BA362,$CE361))</f>
        <v>#N/A</v>
      </c>
      <c r="CB362" s="140" t="e">
        <f ca="1">IF($BX362&lt;0,-$BX362,$CA362*IF(OR($G362&lt;Control!$C$92,$G362&gt;Control!$C$95),0,IF(AND($G362&gt;=Control!$C$92,$G362&lt;=Control!$C$93),$G362-Control!$C$92,IF(AND($G362&gt;Control!$C$93,$G362&lt;=Control!$C$94),Control!$C$93-Control!$C$92,IF(AND($G362&gt;Control!$C$94,$G362&lt;=Control!$C$95),(Control!$C$93-Control!$C$92)*(Control!$C$94-$G362)/(Control!$C$95-Control!$C$94))))))</f>
        <v>#N/A</v>
      </c>
      <c r="CC362" s="140" t="e">
        <f t="shared" ca="1" si="1293"/>
        <v>#N/A</v>
      </c>
      <c r="CD362" s="140" t="e">
        <f ca="1">IF($CC362&lt;=Control!$C$90,$CC362,Control!$C$90-$CC362)</f>
        <v>#N/A</v>
      </c>
      <c r="CE362" s="140" t="e">
        <f ca="1">IF(AND($BB362&gt;=60,$BB362&lt;65),1,IF($CC362&gt;=Control!$C$90,0,$CA362))</f>
        <v>#N/A</v>
      </c>
      <c r="CF362" s="404" t="e">
        <f ca="1">IF($CE362=0,0,IF($CC362&lt;=Control!$C$90,$CA362*(60+(65-60)*(CD362/Control!$C$90)),0))</f>
        <v>#N/A</v>
      </c>
      <c r="CG362" s="140" t="e">
        <f ca="1">IF($BG362+$BM362+$BS362+$BY362+$CE362=1,0,IF(OR(AND($BB362&lt;90,$BB362&gt;=65),$CC362&gt;=Control!$C$90),$BA362,$CK361))</f>
        <v>#N/A</v>
      </c>
      <c r="CH362" s="140" t="e">
        <f ca="1">IF($CD362&lt;0,-$CD362,$CG362*IF(OR($G362&lt;Control!$C$92,$G362&gt;Control!$C$95),0,IF(AND($G362&gt;=Control!$C$92,$G362&lt;=Control!$C$93),$G362-Control!$C$92,IF(AND($G362&gt;Control!$C$93,$G362&lt;=Control!$C$94),Control!$C$93-Control!$C$92,IF(AND($G362&gt;Control!$C$94,$G362&lt;=Control!$C$95),(Control!$C$93-Control!$C$92)*(Control!$C$94-$G362)/(Control!$C$95-Control!$C$94))))))</f>
        <v>#N/A</v>
      </c>
      <c r="CI362" s="140" t="e">
        <f t="shared" ca="1" si="1294"/>
        <v>#N/A</v>
      </c>
      <c r="CJ362" s="140" t="e">
        <f ca="1">IF($CI362&lt;=Control!$C$91,$CI362,Control!$C$91-$CI362)</f>
        <v>#N/A</v>
      </c>
      <c r="CK362" s="140" t="e">
        <f ca="1">IF(AND($BB362&gt;=65,$BB362&lt;90),1,IF($CI362&gt;=Control!$C$91,0,$CG362))</f>
        <v>#N/A</v>
      </c>
      <c r="CL362" s="404" t="e">
        <f ca="1">IF($CK362=0,0,IF($CI362&lt;=Control!$C$91,$CG362*(65+(90-65)*($CJ362/Control!$C$91)),0))</f>
        <v>#N/A</v>
      </c>
      <c r="CM362" s="140" t="e">
        <f ca="1">IF($BG362+$BM362+$BS362+$BY362+$CE362+$CK362=1,0,IF(OR($BB362&gt;=90,$CI362&gt;=Control!$C$91),$BA362,$CM361))</f>
        <v>#N/A</v>
      </c>
      <c r="CN362" s="140" t="e">
        <f t="shared" ca="1" si="1295"/>
        <v>#N/A</v>
      </c>
      <c r="CO362" s="140" t="e">
        <f t="shared" ca="1" si="1296"/>
        <v>#N/A</v>
      </c>
      <c r="CP362" s="140" t="e">
        <f t="shared" ca="1" si="1297"/>
        <v>#N/A</v>
      </c>
      <c r="CQ362" s="141" t="e">
        <f ca="1">VLOOKUP($CP362,Control!$B$86:$G$91,6)</f>
        <v>#N/A</v>
      </c>
      <c r="CR362" s="141" t="e">
        <f ca="1">(1-$CQ362)*VLOOKUP($CP362,Control!$B$86:$D$91,3)</f>
        <v>#N/A</v>
      </c>
      <c r="CS362" s="141" t="e">
        <f ca="1">(1-$CQ362)*VLOOKUP($CP362,Control!$B$86:$E$91,4)</f>
        <v>#N/A</v>
      </c>
      <c r="CT362" s="141" t="e">
        <f ca="1">(1-$CQ362)*VLOOKUP($CP362,Control!$B$86:$F$91,5)</f>
        <v>#N/A</v>
      </c>
      <c r="CU362" s="141">
        <f t="shared" ca="1" si="1298"/>
        <v>0</v>
      </c>
      <c r="CV362" s="583">
        <f t="shared" ca="1" si="1299"/>
        <v>0</v>
      </c>
      <c r="CW362" s="142">
        <f t="shared" ca="1" si="1300"/>
        <v>358</v>
      </c>
      <c r="CX362" s="612" t="e">
        <f ca="1">IF(Control!$C$114=1,(MIN(Control!$C$120*(IF($NT362-0.01&lt;0,0,1)),Control!$C$119-$CY362)))</f>
        <v>#DIV/0!</v>
      </c>
      <c r="CY362" s="143" t="e">
        <f t="shared" ca="1" si="1301"/>
        <v>#N/A</v>
      </c>
      <c r="CZ362" s="144">
        <f t="shared" ca="1" si="1177"/>
        <v>0</v>
      </c>
      <c r="DA362" s="144">
        <f t="shared" ca="1" si="1178"/>
        <v>0</v>
      </c>
      <c r="DB362" s="144" t="e">
        <f t="shared" ca="1" si="1179"/>
        <v>#N/A</v>
      </c>
      <c r="DC362" s="144" t="e">
        <f t="shared" ca="1" si="1180"/>
        <v>#N/A</v>
      </c>
      <c r="DD362" s="144" t="e">
        <f t="shared" ca="1" si="1386"/>
        <v>#N/A</v>
      </c>
      <c r="DE362" s="143" t="e">
        <f t="shared" ca="1" si="1302"/>
        <v>#N/A</v>
      </c>
      <c r="DF362" s="145" t="e">
        <f ca="1">$DR362*EXP(-Control!$C$158*(1-$KH362))</f>
        <v>#N/A</v>
      </c>
      <c r="DG362" s="146" t="e">
        <f ca="1">IF(Control!$C$114=1, $DF362*$EY362, 0)</f>
        <v>#N/A</v>
      </c>
      <c r="DH362" s="147" t="e">
        <f t="shared" ca="1" si="1303"/>
        <v>#N/A</v>
      </c>
      <c r="DI362" s="144" t="e">
        <f t="shared" ca="1" si="1364"/>
        <v>#N/A</v>
      </c>
      <c r="DJ362" s="147" t="e">
        <f ca="1">$EF362*Control!$C$109</f>
        <v>#N/A</v>
      </c>
      <c r="DK362" s="144" t="e">
        <f t="shared" ca="1" si="1304"/>
        <v>#N/A</v>
      </c>
      <c r="DL362" s="144" t="e">
        <f t="shared" ca="1" si="1181"/>
        <v>#N/A</v>
      </c>
      <c r="DM362" s="144" t="e">
        <f ca="1">IF(Control!$C$114=1, (1-EXP(-Control!$C$96*$DK362))*$AR362, 0)</f>
        <v>#N/A</v>
      </c>
      <c r="DN362" s="144">
        <f t="shared" ca="1" si="1305"/>
        <v>0</v>
      </c>
      <c r="DO362" s="148">
        <f>Control!$C$97</f>
        <v>4</v>
      </c>
      <c r="DP362" s="145" t="e">
        <f t="shared" ca="1" si="1306"/>
        <v>#N/A</v>
      </c>
      <c r="DQ362" s="145" t="e">
        <f ca="1">IF(AND($CP362&gt;=0,$CP362&lt;=90),Control!$C$111,Control!$C$111)</f>
        <v>#N/A</v>
      </c>
      <c r="DR362" s="145" t="e">
        <f t="shared" ca="1" si="1182"/>
        <v>#N/A</v>
      </c>
      <c r="DS362" s="143" t="e">
        <f ca="1">Control!$B$22/$DR362</f>
        <v>#N/A</v>
      </c>
      <c r="DT362" s="149" t="e">
        <f ca="1">IF(AND(Control!$C$114=1,$KH362&lt;1),$IM362*$DF362, 0)</f>
        <v>#N/A</v>
      </c>
      <c r="DU362" s="144" t="e">
        <f t="shared" ca="1" si="1307"/>
        <v>#N/A</v>
      </c>
      <c r="DV362" s="144">
        <f ca="1">IF($G362-Control!$C$107&lt;=0, 0, 0.83*LN(MAX($G362, 3))-0.8924)</f>
        <v>0</v>
      </c>
      <c r="DW362" s="144" t="e">
        <f t="shared" ca="1" si="1183"/>
        <v>#N/A</v>
      </c>
      <c r="DX362" s="150" t="e">
        <f ca="1">MAX(0.01*(1+$CU362/Control!$C$102),0.05*($DK362-Control!$C$97)/Control!$C$97)</f>
        <v>#N/A</v>
      </c>
      <c r="DY362" s="151" t="e">
        <f ca="1">IF(Control!$C$114=1, $DI362*$FS362, 0)</f>
        <v>#N/A</v>
      </c>
      <c r="DZ362" s="196" t="e">
        <f t="shared" ca="1" si="1308"/>
        <v>#N/A</v>
      </c>
      <c r="EA362" s="152">
        <f t="shared" ca="1" si="1309"/>
        <v>358</v>
      </c>
      <c r="EB362" s="153" t="e">
        <f t="shared" ca="1" si="1310"/>
        <v>#N/A</v>
      </c>
      <c r="EC362" s="153" t="e">
        <f t="shared" ca="1" si="1311"/>
        <v>#N/A</v>
      </c>
      <c r="ED362" s="154" t="e">
        <f ca="1">IF(Control!$C$114=1, $HM362*$FY362-$FD362, 0)</f>
        <v>#DIV/0!</v>
      </c>
      <c r="EE362" s="155" t="e">
        <f ca="1">IF(Control!$C$114=1, $HM362*$FZ362-$FF362, 0)</f>
        <v>#DIV/0!</v>
      </c>
      <c r="EF362" s="153" t="e">
        <f t="shared" ca="1" si="1365"/>
        <v>#N/A</v>
      </c>
      <c r="EG362" s="155" t="e">
        <f ca="1">IF(Control!$C$114=1, $GX362*$FW362-$FI362, 0)</f>
        <v>#DIV/0!</v>
      </c>
      <c r="EH362" s="153" t="e">
        <f t="shared" ca="1" si="1312"/>
        <v>#N/A</v>
      </c>
      <c r="EI362" s="156" t="e">
        <f t="shared" ca="1" si="1313"/>
        <v>#N/A</v>
      </c>
      <c r="EJ362" s="155" t="e">
        <f ca="1">IF(Control!$C$114=1, $HM362*$GB362, 0)</f>
        <v>#DIV/0!</v>
      </c>
      <c r="EK362" s="153" t="e">
        <f t="shared" ca="1" si="1366"/>
        <v>#N/A</v>
      </c>
      <c r="EL362" s="153" t="e">
        <f t="shared" ca="1" si="1184"/>
        <v>#N/A</v>
      </c>
      <c r="EM362" s="153" t="e">
        <f t="shared" ca="1" si="1185"/>
        <v>#N/A</v>
      </c>
      <c r="EN362" s="153" t="e">
        <f ca="1">IF(Control!$C$108=1,IF(AND(Control!$B$18=1,$EB362&gt;=Control!$B$19),$EB362-$DS362,IF(AND(Control!$B$18=2,$AW362=1,$EB362&gt;$DS362),$EB362-$DS362,0)))</f>
        <v>#N/A</v>
      </c>
      <c r="EO362" s="153" t="e">
        <f ca="1">IF(Control!$C$108=1,IF(AND(Control!$B$18=1,$EB362&gt;=Control!$B$19),$EF362,IF(AND(Control!$B$18=2,$AW362=1),$EF362,0)))</f>
        <v>#N/A</v>
      </c>
      <c r="EP362" s="153" t="e">
        <f ca="1">IF(Control!$C$108=1,IF(AND(Control!$B$18=1,$EB362&gt;=Control!$B$19),$EK362,IF(AND(Control!$B$18=2,$AW362=1),$EK362,0)))</f>
        <v>#N/A</v>
      </c>
      <c r="EQ362" s="153" t="e">
        <f t="shared" ca="1" si="1314"/>
        <v>#N/A</v>
      </c>
      <c r="ER362" s="153" t="e">
        <f t="shared" ca="1" si="1315"/>
        <v>#N/A</v>
      </c>
      <c r="ES362" s="153" t="e">
        <f t="shared" ca="1" si="1367"/>
        <v>#N/A</v>
      </c>
      <c r="ET362" s="153" t="e">
        <f t="shared" ca="1" si="1368"/>
        <v>#N/A</v>
      </c>
      <c r="EU362" s="153" t="e">
        <f t="shared" ca="1" si="1316"/>
        <v>#N/A</v>
      </c>
      <c r="EV362" s="153" t="e">
        <f t="shared" ca="1" si="1186"/>
        <v>#N/A</v>
      </c>
      <c r="EW362" s="153" t="e">
        <f t="shared" ca="1" si="1187"/>
        <v>#N/A</v>
      </c>
      <c r="EX362" s="153" t="e">
        <f t="shared" ca="1" si="1188"/>
        <v>#N/A</v>
      </c>
      <c r="EY362" s="157" t="e">
        <f t="shared" ca="1" si="1189"/>
        <v>#DIV/0!</v>
      </c>
      <c r="EZ362" s="154" t="e">
        <f t="shared" ca="1" si="1190"/>
        <v>#DIV/0!</v>
      </c>
      <c r="FA362" s="153" t="e">
        <f t="shared" ca="1" si="1317"/>
        <v>#N/A</v>
      </c>
      <c r="FB362" s="153" t="e">
        <f t="shared" ca="1" si="1191"/>
        <v>#N/A</v>
      </c>
      <c r="FC362" s="193" t="e">
        <f t="shared" ca="1" si="1192"/>
        <v>#N/A</v>
      </c>
      <c r="FD362" s="158" t="e">
        <f t="shared" ca="1" si="1318"/>
        <v>#N/A</v>
      </c>
      <c r="FE362" s="158" t="e">
        <f t="shared" ca="1" si="1319"/>
        <v>#N/A</v>
      </c>
      <c r="FF362" s="159" t="e">
        <f t="shared" ca="1" si="1193"/>
        <v>#N/A</v>
      </c>
      <c r="FG362" s="160" t="e">
        <f t="shared" ca="1" si="1320"/>
        <v>#N/A</v>
      </c>
      <c r="FH362" s="158" t="e">
        <f t="shared" ca="1" si="1321"/>
        <v>#N/A</v>
      </c>
      <c r="FI362" s="159" t="e">
        <f t="shared" ca="1" si="1194"/>
        <v>#N/A</v>
      </c>
      <c r="FJ362" s="160" t="e">
        <f t="shared" ca="1" si="1322"/>
        <v>#N/A</v>
      </c>
      <c r="FK362" s="160" t="e">
        <f t="shared" ca="1" si="1195"/>
        <v>#N/A</v>
      </c>
      <c r="FL362" s="160" t="e">
        <f t="shared" ca="1" si="1369"/>
        <v>#N/A</v>
      </c>
      <c r="FM362" s="160" t="e">
        <f t="shared" ca="1" si="1196"/>
        <v>#N/A</v>
      </c>
      <c r="FN362" s="158">
        <f t="shared" ca="1" si="1323"/>
        <v>0.01</v>
      </c>
      <c r="FO362" s="160">
        <f>Control!$C$101</f>
        <v>50</v>
      </c>
      <c r="FP362" s="150" t="e">
        <f t="shared" ca="1" si="1197"/>
        <v>#N/A</v>
      </c>
      <c r="FQ362" s="150" t="e">
        <f ca="1">MAX(0,(Control!$C$112*(($DK362-Control!$C$97)/Control!$C$97)))</f>
        <v>#N/A</v>
      </c>
      <c r="FR362" s="150" t="e">
        <f ca="1">(1-$NT362)*Control!$C$113</f>
        <v>#DIV/0!</v>
      </c>
      <c r="FS362" s="198" t="e">
        <f t="shared" ca="1" si="1198"/>
        <v>#N/A</v>
      </c>
      <c r="FT362" s="161">
        <f t="shared" ca="1" si="1324"/>
        <v>358</v>
      </c>
      <c r="FU362" s="162" t="e">
        <f ca="1">IF(Control!$B$34=1,VLOOKUP($CP362,Control!$B$86:$G$91,6),Control!$B$35)</f>
        <v>#N/A</v>
      </c>
      <c r="FV362" s="162" t="e">
        <f t="shared" ca="1" si="1199"/>
        <v>#DIV/0!</v>
      </c>
      <c r="FW362" s="162" t="e">
        <f ca="1">IF(Control!$B$31=1,$FU362*$FV362,  $FU362)</f>
        <v>#N/A</v>
      </c>
      <c r="FX362" s="162" t="e">
        <f ca="1">IF(Control!$B$34=1,VLOOKUP($CP362,Control!$B$86:$G$91,3),Control!$B$36)</f>
        <v>#N/A</v>
      </c>
      <c r="FY362" s="162" t="e">
        <f t="shared" ca="1" si="1200"/>
        <v>#N/A</v>
      </c>
      <c r="FZ362" s="162" t="e">
        <f ca="1">IF(Control!$B$34=1,VLOOKUP($CP362,Control!$B$86:$G$91,4),Control!$B$37)</f>
        <v>#N/A</v>
      </c>
      <c r="GA362" s="162" t="e">
        <f t="shared" ca="1" si="1201"/>
        <v>#N/A</v>
      </c>
      <c r="GB362" s="162" t="e">
        <f ca="1">IF(Control!$B$34=1,VLOOKUP($CP362,Control!$B$86:$G$91,5),Control!$B$38)</f>
        <v>#N/A</v>
      </c>
      <c r="GC362" s="162" t="e">
        <f t="shared" ca="1" si="1325"/>
        <v>#N/A</v>
      </c>
      <c r="GD362" s="162">
        <f t="shared" ca="1" si="1202"/>
        <v>1</v>
      </c>
      <c r="GE362" s="162">
        <f t="shared" ca="1" si="1203"/>
        <v>1</v>
      </c>
      <c r="GF362" s="162">
        <f ca="1">IF(AND(Control!$C$104=1, Control!$C$62="F"),$GE362,1)</f>
        <v>1</v>
      </c>
      <c r="GG362" s="162" t="e">
        <f ca="1">IF(Control!$B$16=40,0,IF(AND(Control!$B$16&gt;40,Control!$B$16&lt;=360),(Control!$B$16-40)*((1-0)/(360-40)),IF(AND(Control!$B$16&gt;360,Control!$B$16&lt;=720),(1+(Control!$B$16-360)*((1.25-1)/(720-360))),IF(AND(Control!$B$16&gt;720,Control!$B$16&lt;=1000),(1.25+(Control!$B$16-720)*((1.35-1.25)/(1000-720))),IF(AND(Control!$B$16&gt;1000,Control!$B$16&lt;=2000),(1.35+(Control!$B$16-1000)*0))))))</f>
        <v>#N/A</v>
      </c>
      <c r="GH362" s="162" t="e">
        <f t="shared" ca="1" si="1204"/>
        <v>#N/A</v>
      </c>
      <c r="GI362" s="162">
        <f t="shared" ca="1" si="1326"/>
        <v>0</v>
      </c>
      <c r="GJ362" s="162">
        <f t="shared" ca="1" si="1205"/>
        <v>0</v>
      </c>
      <c r="GK362" s="162">
        <f t="shared" ca="1" si="1327"/>
        <v>1</v>
      </c>
      <c r="GL362" s="162">
        <f t="shared" ca="1" si="1206"/>
        <v>1</v>
      </c>
      <c r="GM362" s="162" t="e">
        <f ca="1">MAX(0,MIN(1,1-Control!$C$156*(1.0001-$KH362)^2))</f>
        <v>#N/A</v>
      </c>
      <c r="GN362" s="162" t="e">
        <f ca="1">IF(Control!$B$26=1,$KU362,$KX362)</f>
        <v>#N/A</v>
      </c>
      <c r="GO362" s="162" t="e">
        <f ca="1">IF($CP362&lt;=60,Control!$C$105,IF($CP362&gt;=90,Control!$C$106,Control!$C$105+($CP362-60)*((Control!$C$106-Control!$C$105)/(90-60))))</f>
        <v>#N/A</v>
      </c>
      <c r="GP362" s="162" t="e">
        <f t="shared" ca="1" si="1207"/>
        <v>#N/A</v>
      </c>
      <c r="GQ362" s="162" t="e">
        <f t="shared" ca="1" si="1328"/>
        <v>#N/A</v>
      </c>
      <c r="GR362" s="163" t="e">
        <f t="shared" ca="1" si="1208"/>
        <v>#DIV/0!</v>
      </c>
      <c r="GS362" s="162" t="e">
        <f t="shared" ca="1" si="1209"/>
        <v>#DIV/0!</v>
      </c>
      <c r="GT362" s="164" t="e">
        <f t="shared" ca="1" si="1329"/>
        <v>#N/A</v>
      </c>
      <c r="GU362" s="162" t="e">
        <f t="shared" ca="1" si="1330"/>
        <v>#N/A</v>
      </c>
      <c r="GV362" s="162" t="e">
        <f t="shared" ca="1" si="1210"/>
        <v>#N/A</v>
      </c>
      <c r="GW362" s="162" t="e">
        <f t="shared" ca="1" si="1211"/>
        <v>#DIV/0!</v>
      </c>
      <c r="GX362" s="162" t="e">
        <f t="shared" ca="1" si="1331"/>
        <v>#DIV/0!</v>
      </c>
      <c r="GY362" s="162" t="e">
        <f t="shared" ca="1" si="1332"/>
        <v>#DIV/0!</v>
      </c>
      <c r="GZ362" s="165" t="e">
        <f t="shared" ca="1" si="1212"/>
        <v>#N/A</v>
      </c>
      <c r="HA362" s="162" t="e">
        <f ca="1">IF(Control!$C$114=1, $DI362*$FS362, 0)</f>
        <v>#N/A</v>
      </c>
      <c r="HB362" s="162" t="e">
        <f ca="1">$FA362/Control!$C$64</f>
        <v>#N/A</v>
      </c>
      <c r="HC362" s="162" t="e">
        <f t="shared" ca="1" si="1213"/>
        <v>#DIV/0!</v>
      </c>
      <c r="HD362" s="162">
        <f ca="1">-ASIN(SIN(23.45*Control!$C$139)*COS(2*Control!$C$138*($AH362+10)/365))</f>
        <v>-0.40870210405487611</v>
      </c>
      <c r="HE362" s="165">
        <f t="shared" ca="1" si="1333"/>
        <v>0</v>
      </c>
      <c r="HF362" s="166">
        <f ca="1">IF(AND(Control!$C$61="T",$HE362&gt;=Control!$C$103,Control!$C$114=0),$AH362,Control!$C$59)</f>
        <v>1</v>
      </c>
      <c r="HG362" s="166">
        <f ca="1">IF(AND(Control!$C$61="T",$HE362&gt;=Control!$C$103,Control!$C$114=0),$HF362,Control!$C$59)</f>
        <v>1</v>
      </c>
      <c r="HH362" s="165">
        <f ca="1">IF(AND(OR(Control!$C$60&lt;=0, $AH362= Control!$C$59, Control!$C$60 &gt;0, $AH362 = Control!$C$60)), Control!$C$59, IF(Control!$C$60&gt;0, 0))</f>
        <v>1</v>
      </c>
      <c r="HI362" s="165">
        <f ca="1">IF(AND(OR(Control!$C$60&lt;=0, $AH362= Control!$C$59, Control!$C$60 &gt;0, $AH362 = Control!$C$60)), Control!$C$60, IF(Control!$C$60&lt;=0, 0))</f>
        <v>0</v>
      </c>
      <c r="HJ362" s="166">
        <f ca="1">IF(AND(Control!$C$62="F",$CV362&gt;=Control!$C$102),$AH362,0)</f>
        <v>0</v>
      </c>
      <c r="HK362" s="165" t="e">
        <f t="shared" ca="1" si="1370"/>
        <v>#N/A</v>
      </c>
      <c r="HL362" s="166">
        <f ca="1">IF(AND(Control!$C$61="T",$HE362&gt;=Control!$C$103,Control!$C$114=0),$HF362,0)</f>
        <v>0</v>
      </c>
      <c r="HM362" s="201" t="e">
        <f t="shared" ca="1" si="1214"/>
        <v>#DIV/0!</v>
      </c>
      <c r="HN362" s="215">
        <f t="shared" ca="1" si="1334"/>
        <v>358</v>
      </c>
      <c r="HO362" s="216" t="e">
        <f ca="1">IF(AND($CP362&gt;=0, $CP362&lt;=90), Control!$C$152, Control!$C$152)</f>
        <v>#N/A</v>
      </c>
      <c r="HP362" s="216" t="e">
        <f t="shared" ca="1" si="1215"/>
        <v>#N/A</v>
      </c>
      <c r="HQ362" s="217" t="e">
        <f ca="1">IF(OR(Control!$B$26=1,Control!$B$26=2),$KV362,$KS362)</f>
        <v>#DIV/0!</v>
      </c>
      <c r="HR362" s="218" t="e">
        <f t="shared" ca="1" si="1371"/>
        <v>#DIV/0!</v>
      </c>
      <c r="HS362" s="216" t="e">
        <f ca="1">Control!$C$154*$HP362</f>
        <v>#N/A</v>
      </c>
      <c r="HT362" s="216" t="e">
        <f ca="1">Control!$C$155*$HP362</f>
        <v>#N/A</v>
      </c>
      <c r="HU362" s="217" t="e">
        <f ca="1">Control!$C$161*$FI362</f>
        <v>#N/A</v>
      </c>
      <c r="HV362" s="218" t="e">
        <f t="shared" ca="1" si="1335"/>
        <v>#N/A</v>
      </c>
      <c r="HW362" s="218" t="e">
        <f ca="1">Control!$C$160*$FF362+$IP362*$EO362</f>
        <v>#N/A</v>
      </c>
      <c r="HX362" s="218" t="e">
        <f t="shared" ca="1" si="1372"/>
        <v>#N/A</v>
      </c>
      <c r="HY362" s="219" t="e">
        <f ca="1">IF(Control!$C$114=1, $EB362*$FS362, 0)</f>
        <v>#N/A</v>
      </c>
      <c r="HZ362" s="91" t="e">
        <f t="shared" ca="1" si="1216"/>
        <v>#N/A</v>
      </c>
      <c r="IA362" s="220" t="e">
        <f ca="1">Control!$C$153*$HO362</f>
        <v>#N/A</v>
      </c>
      <c r="IB362" s="218" t="e">
        <f t="shared" ca="1" si="1217"/>
        <v>#N/A</v>
      </c>
      <c r="IC362" s="220" t="e">
        <f ca="1">Control!$C$153*$HT362</f>
        <v>#N/A</v>
      </c>
      <c r="ID362" s="218" t="e">
        <f t="shared" ca="1" si="1218"/>
        <v>#N/A</v>
      </c>
      <c r="IE362" s="221" t="e">
        <f ca="1">($EB362*Control!$C$159+$EF362*Control!$C$160)/(IF($GZ362&lt;&gt;0,$GZ362,1))</f>
        <v>#N/A</v>
      </c>
      <c r="IF362" s="216" t="e">
        <f t="shared" ca="1" si="1219"/>
        <v>#N/A</v>
      </c>
      <c r="IG362" s="91">
        <f ca="1">IF(OR(Control!$B$198=$AH362,Control!$B$199=$AH362, Control!$B$200=$AH362, Control!$B$201=$AH362, Control!$B$202=$AH362, Control!$B$203=$AH362, Control!$B$204=$AH362, Control!$B$205=$AH362, Control!$B$206=$AH362, Control!$B$207=$AH362), 1, 0)</f>
        <v>0</v>
      </c>
      <c r="IH362" s="91">
        <f ca="1">IF($IG362=0,0, VLOOKUP($AH362,Control!$B$198:$C$207,2))</f>
        <v>0</v>
      </c>
      <c r="II362" s="222">
        <f t="shared" ca="1" si="1336"/>
        <v>0</v>
      </c>
      <c r="IJ362" s="91">
        <f>Control!$C$121</f>
        <v>0.7</v>
      </c>
      <c r="IK362" s="218">
        <f t="shared" ca="1" si="1220"/>
        <v>0</v>
      </c>
      <c r="IL362" s="217" t="e">
        <f t="shared" ca="1" si="1373"/>
        <v>#N/A</v>
      </c>
      <c r="IM362" s="223" t="e">
        <f ca="1">IF(AND(Control!$C$114=1,$KH362&lt;1),$EB362*Control!$C$148*(1-$KH362), 0)</f>
        <v>#N/A</v>
      </c>
      <c r="IN362" s="217" t="e">
        <f t="shared" ca="1" si="1221"/>
        <v>#DIV/0!</v>
      </c>
      <c r="IO362" s="91" t="e">
        <f ca="1">MAX(0,$IL362-$EF362*Control!$C$160)</f>
        <v>#N/A</v>
      </c>
      <c r="IP362" s="220" t="e">
        <f t="shared" ca="1" si="1222"/>
        <v>#N/A</v>
      </c>
      <c r="IQ362" s="217" t="e">
        <f t="shared" ca="1" si="1337"/>
        <v>#N/A</v>
      </c>
      <c r="IR362" s="218" t="e">
        <f t="shared" ca="1" si="1223"/>
        <v>#N/A</v>
      </c>
      <c r="IS362" s="217" t="e">
        <f ca="1">Control!$C$159*MAX(0,$FD362-$EN362)</f>
        <v>#N/A</v>
      </c>
      <c r="IT362" s="217" t="e">
        <f t="shared" ca="1" si="1374"/>
        <v>#N/A</v>
      </c>
      <c r="IU362" s="217" t="e">
        <f t="shared" ca="1" si="1338"/>
        <v>#N/A</v>
      </c>
      <c r="IV362" s="217" t="e">
        <f t="shared" ca="1" si="1375"/>
        <v>#N/A</v>
      </c>
      <c r="IW362" s="217" t="e">
        <f ca="1">IF(OR($AW362=1,AND($AW362=0, Control!$B$18=1,$EN362&lt;&gt;0)), $IQ362-$IU362, $IQ362)</f>
        <v>#N/A</v>
      </c>
      <c r="IX362" s="218" t="e">
        <f t="shared" ca="1" si="1224"/>
        <v>#N/A</v>
      </c>
      <c r="IY362" s="218" t="e">
        <f ca="1">MAX(0,$IQ362-$EB362*Control!$C$159)</f>
        <v>#N/A</v>
      </c>
      <c r="IZ362" s="218" t="e">
        <f t="shared" ca="1" si="1225"/>
        <v>#N/A</v>
      </c>
      <c r="JA362" s="216" t="e">
        <f t="shared" ca="1" si="1226"/>
        <v>#N/A</v>
      </c>
      <c r="JB362" s="217" t="e">
        <f t="shared" ca="1" si="1227"/>
        <v>#N/A</v>
      </c>
      <c r="JC362" s="222" t="e">
        <f ca="1">MAX(Control!$C$157*$EK362-$JT362, 0)/Control!$C$162</f>
        <v>#N/A</v>
      </c>
      <c r="JD362" s="218" t="e">
        <f t="shared" ca="1" si="1228"/>
        <v>#N/A</v>
      </c>
      <c r="JE362" s="218" t="e">
        <f t="shared" ca="1" si="1229"/>
        <v>#N/A</v>
      </c>
      <c r="JF362" s="218" t="e">
        <f t="shared" ca="1" si="1339"/>
        <v>#N/A</v>
      </c>
      <c r="JG362" s="218" t="e">
        <f t="shared" ca="1" si="1230"/>
        <v>#N/A</v>
      </c>
      <c r="JH362" s="217" t="e">
        <f t="shared" ca="1" si="1340"/>
        <v>#N/A</v>
      </c>
      <c r="JI362" s="217" t="e">
        <f t="shared" ca="1" si="1341"/>
        <v>#N/A</v>
      </c>
      <c r="JJ362" s="217" t="e">
        <f t="shared" ca="1" si="1376"/>
        <v>#N/A</v>
      </c>
      <c r="JK362" s="217" t="e">
        <f ca="1">IF(Control!$C$114=1,IF(Control!$B$24=0,MAX(0,$JI362)*$GN362/Control!$C$64,(MAX(0,MIN($JI362,$JJ362*$GN362/Control!$C$64),0))))</f>
        <v>#N/A</v>
      </c>
      <c r="JL362" s="217" t="e">
        <f ca="1">$IK362/Control!$C$64-$JK362+$HQ362</f>
        <v>#N/A</v>
      </c>
      <c r="JM362" s="217" t="e">
        <f ca="1">IF(Control!$C$114=1,($JB362/(IF($JI362&lt;&gt;0,$JI362,1)))*$JK362,0)</f>
        <v>#N/A</v>
      </c>
      <c r="JN362" s="217" t="e">
        <f ca="1">IF(Control!$C$114=1,($JG362/(IF($JI362&lt;&gt;0,$JI362,1)))*$JK362, 0)</f>
        <v>#N/A</v>
      </c>
      <c r="JO362" s="218" t="e">
        <f t="shared" ca="1" si="1231"/>
        <v>#N/A</v>
      </c>
      <c r="JP362" s="218" t="e">
        <f ca="1">MIN(($IY362+$IO362)*Control!$C$151, $JF362-$EH362*Control!$C$161)</f>
        <v>#N/A</v>
      </c>
      <c r="JQ362" s="218" t="e">
        <f t="shared" ca="1" si="1232"/>
        <v>#N/A</v>
      </c>
      <c r="JR362" s="217" t="e">
        <f ca="1">IF($CP362-Control!$C$150&lt;0, 0, $JQ362/Control!$C$162)</f>
        <v>#N/A</v>
      </c>
      <c r="JS362" s="218" t="e">
        <f t="shared" ca="1" si="1233"/>
        <v>#N/A</v>
      </c>
      <c r="JT362" s="218" t="e">
        <f t="shared" ca="1" si="1342"/>
        <v>#N/A</v>
      </c>
      <c r="JU362" s="218" t="e">
        <f t="shared" ca="1" si="1234"/>
        <v>#N/A</v>
      </c>
      <c r="JV362" s="218" t="e">
        <f t="shared" ca="1" si="1235"/>
        <v>#N/A</v>
      </c>
      <c r="JW362" s="216" t="e">
        <f t="shared" ca="1" si="1236"/>
        <v>#N/A</v>
      </c>
      <c r="JX362" s="91" t="e">
        <f t="shared" ca="1" si="1237"/>
        <v>#N/A</v>
      </c>
      <c r="JY362" s="218" t="e">
        <f t="shared" ca="1" si="1238"/>
        <v>#N/A</v>
      </c>
      <c r="JZ362" s="217" t="e">
        <f ca="1">IF(Control!$C$114=1,($IZ362/(IF($JI362&lt;&gt;0,$JI362,1)))*$JK362, 0)</f>
        <v>#N/A</v>
      </c>
      <c r="KA362" s="218" t="e">
        <f t="shared" ca="1" si="1377"/>
        <v>#N/A</v>
      </c>
      <c r="KB362" s="218" t="e">
        <f t="shared" ca="1" si="1343"/>
        <v>#N/A</v>
      </c>
      <c r="KC362" s="218" t="e">
        <f t="shared" ca="1" si="1239"/>
        <v>#N/A</v>
      </c>
      <c r="KD362" s="218" t="e">
        <f t="shared" ca="1" si="1240"/>
        <v>#N/A</v>
      </c>
      <c r="KE362" s="218" t="e">
        <f t="shared" ca="1" si="1241"/>
        <v>#N/A</v>
      </c>
      <c r="KF362" s="218" t="e">
        <f t="shared" ca="1" si="1242"/>
        <v>#N/A</v>
      </c>
      <c r="KG362" s="216" t="e">
        <f t="shared" ca="1" si="1243"/>
        <v>#N/A</v>
      </c>
      <c r="KH362" s="221" t="e">
        <f ca="1">IF(Control!$B$24=0,1,MAX(0.001,MIN(1,IF(($IF362-$IE362)&lt;&gt;0,($KG362-$IE362)/($IF362-$IE362),1))))</f>
        <v>#N/A</v>
      </c>
      <c r="KI362" s="222" t="e">
        <f ca="1">IF(Control!$C$114=1, $KI361+ $KH361, 0)</f>
        <v>#N/A</v>
      </c>
      <c r="KJ362" s="217" t="e">
        <f t="shared" ca="1" si="1244"/>
        <v>#N/A</v>
      </c>
      <c r="KK362" s="218" t="e">
        <f t="shared" ca="1" si="1245"/>
        <v>#N/A</v>
      </c>
      <c r="KL362" s="274" t="e">
        <f ca="1">IF(Control!$B$26=3,4000000000*EXP(-8400/($G362+273)),IF(Control!$B$26=4,4000000000*EXP(-8400/($G362+273))*($KT362),0))</f>
        <v>#DIV/0!</v>
      </c>
      <c r="KM362" s="274" t="e">
        <f ca="1">IF(Control!$B$26=3,5600000000000*EXP(-9800/($G362+273)),IF(Control!$B$26=4,5600000000000*EXP(-9800/($G362+273))*$KT362,0))</f>
        <v>#DIV/0!</v>
      </c>
      <c r="KN362" s="454" t="e">
        <f t="shared" ca="1" si="1344"/>
        <v>#DIV/0!</v>
      </c>
      <c r="KO362" s="274" t="e">
        <f t="shared" ca="1" si="1345"/>
        <v>#DIV/0!</v>
      </c>
      <c r="KP362" s="454" t="e">
        <f t="shared" ca="1" si="1246"/>
        <v>#DIV/0!</v>
      </c>
      <c r="KQ362" s="454" t="e">
        <f t="shared" ca="1" si="1247"/>
        <v>#DIV/0!</v>
      </c>
      <c r="KR362" s="454" t="e">
        <f t="shared" ca="1" si="1248"/>
        <v>#DIV/0!</v>
      </c>
      <c r="KS362" s="454" t="e">
        <f t="shared" ca="1" si="1249"/>
        <v>#DIV/0!</v>
      </c>
      <c r="KT362" s="455" t="e">
        <f t="shared" ca="1" si="1250"/>
        <v>#DIV/0!</v>
      </c>
      <c r="KU362" s="456" t="e">
        <f ca="1">IF($CP362-Control!$C$149&lt;0, IF($NT362-0.01&lt;0,0,1),0)</f>
        <v>#N/A</v>
      </c>
      <c r="KV362" s="456" t="e">
        <f ca="1">IF(Control!$C$114=1,MAX(0,MIN(Control!$C$125*$KW362*$GN362,$KW362)))</f>
        <v>#DIV/0!</v>
      </c>
      <c r="KW362" s="456" t="e">
        <f t="shared" ca="1" si="1378"/>
        <v>#DIV/0!</v>
      </c>
      <c r="KX362" s="457" t="e">
        <f ca="1">IF($CP362-Control!$C$149&lt;0, IF($MR362-$OM362&lt;0,0,1),0)</f>
        <v>#N/A</v>
      </c>
      <c r="KY362" s="167">
        <f t="shared" ca="1" si="1346"/>
        <v>358</v>
      </c>
      <c r="KZ362" s="168">
        <f ca="1">1370*(1+0.033*COS(2*Control!$C$138*$AH362/365))</f>
        <v>1414.8822480559759</v>
      </c>
      <c r="LA362" s="169">
        <f t="shared" ca="1" si="1347"/>
        <v>1.0327607078411054</v>
      </c>
      <c r="LB362" s="169">
        <f t="shared" ca="1" si="1348"/>
        <v>-0.40825672171435723</v>
      </c>
      <c r="LC362" s="169">
        <f ca="1">ACOS(-TAN((2*Control!$B$8/360))*TAN(Calculations!$LB362))</f>
        <v>1.4418813083071411</v>
      </c>
      <c r="LD362" s="169">
        <f ca="1">((24*60)/PI())*0.082*$LA362*(($LC362*SIN(Control!$B$8*2*PI()/360))*SIN($LB362)+COS(Control!$B$8*2*PI()/360)*COS($LB362)*SIN($LC362))</f>
        <v>4.2421253954372951</v>
      </c>
      <c r="LE362" s="170">
        <f t="shared" ca="1" si="1251"/>
        <v>5.9454838942032602</v>
      </c>
      <c r="LF362" s="170">
        <f ca="1">SIN(Control!$C$139*Control!$B$8)*SIN($HD362)</f>
        <v>-0.31317070112356482</v>
      </c>
      <c r="LG362" s="170">
        <f ca="1">COS(Control!$C$139*Control!$B$8)*COS($HD362)</f>
        <v>0.56495246308887248</v>
      </c>
      <c r="LH362" s="170">
        <f ca="1">12*(1+2*ASIN(MAX(-1,MIN(1,$LF362/$LG362))/Control!$C$138))</f>
        <v>7.7429445043506906</v>
      </c>
      <c r="LI362" s="170">
        <f ca="1">12*(1+2*ASIN(MAX(-1,MIN(1,(-SIN(-4*Control!$C$139)+$LF362)/$LG362))/Control!$C$138))</f>
        <v>8.6980914247492169</v>
      </c>
      <c r="LJ362" s="168">
        <f ca="1">3600*($LH362*$LF362+24*$LG362*SQRT(1-$LK362*$LK362)/Control!$C$138)</f>
        <v>4202.1050885133754</v>
      </c>
      <c r="LK362" s="170">
        <f t="shared" ca="1" si="1252"/>
        <v>-0.55433106603572779</v>
      </c>
      <c r="LL362" s="170">
        <f t="shared" ca="1" si="1253"/>
        <v>0</v>
      </c>
      <c r="LM362" s="171">
        <f ca="1">Control!$C$145*$AB362</f>
        <v>6.6660906138995932E-2</v>
      </c>
      <c r="LN362" s="170">
        <f t="shared" ca="1" si="1349"/>
        <v>0.54</v>
      </c>
      <c r="LO362" s="170">
        <f t="shared" ca="1" si="1254"/>
        <v>0</v>
      </c>
      <c r="LP362" s="170">
        <f ca="1">Control!$C$140*((($D362+273.16)^4+($E362+273.16)^4)/2)*(0.34-0.14*SQRT($Y362))*(1.35*$AQ362/(0.75*$LD362)-0.35)</f>
        <v>-3.2464704755046001</v>
      </c>
      <c r="LQ362" s="170">
        <f ca="1">Control!$C$140*($G362+273)^4*(0.56-0.079*SQRT($Y362*10))*(0.1+0.9*$LO362)</f>
        <v>1.5241745131704001</v>
      </c>
      <c r="LR362" s="170">
        <f ca="1">$AQ362*(1-Control!$C$142)-$LQ362</f>
        <v>-1.5241745131704001</v>
      </c>
      <c r="LS362" s="170">
        <f ca="1">$AQ362*(1-Control!$C$143)-$LQ362</f>
        <v>-1.5241745131704001</v>
      </c>
      <c r="LT362" s="170">
        <f ca="1">$AQ362*(1-Control!$C$144)-$LQ362</f>
        <v>-1.5241745131704001</v>
      </c>
      <c r="LU362" s="169">
        <f ca="1">(1-Control!$C$144)*AQ362-LP362</f>
        <v>3.2464704755046001</v>
      </c>
      <c r="LV362" s="172">
        <f t="shared" ca="1" si="1255"/>
        <v>0.79430000000000012</v>
      </c>
      <c r="LW362" s="170">
        <f t="shared" ca="1" si="1256"/>
        <v>1.5886000000000002</v>
      </c>
      <c r="LX362" s="170">
        <f ca="1">($AC362*($LR362/Control!$C$141)+$LM362*$LV362)/($AC362+$LM362)</f>
        <v>0.23530094218323697</v>
      </c>
      <c r="LY362" s="170">
        <f ca="1">($AC362*($LS362/Control!$C$141)+$LM362*$LV362)/($AC362+$LM362)</f>
        <v>0.23530094218323697</v>
      </c>
      <c r="LZ362" s="170">
        <f t="shared" ca="1" si="1257"/>
        <v>0.23530094218323697</v>
      </c>
      <c r="MA362" s="170">
        <f t="shared" ca="1" si="1258"/>
        <v>0.23530094218323697</v>
      </c>
      <c r="MB362" s="170" t="e">
        <f t="shared" ca="1" si="1259"/>
        <v>#N/A</v>
      </c>
      <c r="MC362" s="170">
        <f t="shared" ca="1" si="1350"/>
        <v>0.6018</v>
      </c>
      <c r="MD362" s="170">
        <f t="shared" ca="1" si="1260"/>
        <v>0.52989392535414004</v>
      </c>
      <c r="ME362" s="170">
        <f ca="1">($AC362*($LT362/Control!$C$141)+$LM362*$LW362)/($AC362+$LM362)</f>
        <v>0.71612369323045078</v>
      </c>
      <c r="MF362" s="170" t="e">
        <f ca="1">IF(Control!$B$16&gt;=1000,0.92,IF(AND(720&lt;=Control!$B$16,1000&gt;Control!$B$16),(0.95+(Control!$B$16-720)*((0.92-0.95)/(1000-720))),IF(AND(360&lt;=Control!$B$16,720&gt;Control!$B$16),(1+(Control!$B$16-360)*((0.95-1)/(720-360))),IF(AND(40&lt;=Control!$B$16,360&gt;Control!$B$16),(1.05+(Control!$B$16-40)*((1.05-1)/(360-40)))))))</f>
        <v>#N/A</v>
      </c>
      <c r="MG362" s="170">
        <f t="shared" ca="1" si="1261"/>
        <v>0.71612369323045078</v>
      </c>
      <c r="MH362" s="170" t="e">
        <f t="shared" ca="1" si="1387"/>
        <v>#N/A</v>
      </c>
      <c r="MI362" s="170" t="e">
        <f t="shared" ca="1" si="1387"/>
        <v>#N/A</v>
      </c>
      <c r="MJ362" s="170" t="e">
        <f ca="1">MAX(0.0001, Control!$C$132*$MI362*$DL362)</f>
        <v>#N/A</v>
      </c>
      <c r="MK362" s="170">
        <f ca="1">1/(0.76+1.5*($MG362/10))-(5-Control!$C$110)*0.1</f>
        <v>1.002845988140797</v>
      </c>
      <c r="ML362" s="173">
        <f ca="1">IF(Control!$C$110&lt;3,$MK362+($MG362-0.6)/(Control!$C$110*(Control!$C$110+3)), MAX(0.1, MIN(0.95,$MK362)))</f>
        <v>0.95</v>
      </c>
      <c r="MM362" s="173">
        <f ca="1">IF(Control!$C$110&lt;3,$MK362+(($MI362/10)-0.6)/(Control!$C$110*(Control!$C$110+3)), MAX(0.1, MIN(0.95,$MK362)))</f>
        <v>0.95</v>
      </c>
      <c r="MN362" s="173">
        <f ca="1">(1-$MM362)*(Control!$C$128-Control!$C$127)+Control!$C$127</f>
        <v>0.16</v>
      </c>
      <c r="MO362" s="170" t="e">
        <f ca="1">MAX(0,MIN(1,($MS362-Control!$C$127)/($MN362-Control!$C$127)))</f>
        <v>#DIV/0!</v>
      </c>
      <c r="MP362" s="173" t="e">
        <f ca="1">1/(0.76+1.5*$MI362)-(5-Control!$C$110)*0.1</f>
        <v>#N/A</v>
      </c>
      <c r="MQ362" s="172" t="e">
        <f t="shared" ca="1" si="1379"/>
        <v>#DIV/0!</v>
      </c>
      <c r="MR362" s="168" t="e">
        <f t="shared" ca="1" si="1351"/>
        <v>#DIV/0!</v>
      </c>
      <c r="MS362" s="173" t="e">
        <f ca="1">MAX(Control!$C$127, MIN(Control!$C$135, $MR362/MAX(0.0001,$CY362)))</f>
        <v>#DIV/0!</v>
      </c>
      <c r="MT362" s="168" t="e">
        <f ca="1">(Control!$C$128-$MS362)*Control!$C$74</f>
        <v>#DIV/0!</v>
      </c>
      <c r="MU362" s="168" t="e">
        <f ca="1">(Control!$C$135-$MS362)*Control!$C$74</f>
        <v>#DIV/0!</v>
      </c>
      <c r="MV362" s="168" t="e">
        <f t="shared" ca="1" si="1352"/>
        <v>#DIV/0!</v>
      </c>
      <c r="MW362" s="168" t="e">
        <f t="shared" ca="1" si="1353"/>
        <v>#DIV/0!</v>
      </c>
      <c r="MX362" s="171" t="e">
        <f ca="1">MAX(Control!$C$127, MIN(Control!$C$135, $MW362/MAX(0.0001,Control!$C$119-$CY362)))</f>
        <v>#DIV/0!</v>
      </c>
      <c r="MY362" s="54" t="e">
        <f ca="1">IF(Control!$C$114=1, $CX362*$MX362, 0)</f>
        <v>#DIV/0!</v>
      </c>
      <c r="MZ362" s="54" t="e">
        <f t="shared" ca="1" si="1354"/>
        <v>#N/A</v>
      </c>
      <c r="NA362" s="168" t="e">
        <f ca="1">(Control!$C$128-$MX362)*(Control!$C$119-Control!$C$74)</f>
        <v>#DIV/0!</v>
      </c>
      <c r="NB362" s="168" t="e">
        <f ca="1">(Control!$C$135-$MX362)*(Control!$C$119-Control!$C$74)</f>
        <v>#DIV/0!</v>
      </c>
      <c r="NC362" s="174" t="e">
        <f t="shared" ca="1" si="1355"/>
        <v>#DIV/0!</v>
      </c>
      <c r="ND362" s="54">
        <f ca="1">IF(Control!$C$58=2, IF(OR(Control!$B$218=$AH362,Control!$B$219=$AH362, Control!$B$220=$AH362, Control!$B$221=$AH362, Control!$B$222=$AH362, Control!$B$223=$AH362, Control!$B$224=$AH362, Control!$B$225=$AH362, Control!$B$226=$AH362, Control!$B$227=$AH362, Control!$B$228=$AH362), 1, 0), 0)</f>
        <v>0</v>
      </c>
      <c r="NE362" s="54">
        <f ca="1">IF($ND362=0,0, VLOOKUP($AH362,Control!$B$218:$C$228,2))</f>
        <v>0</v>
      </c>
      <c r="NF362" s="168" t="e">
        <f ca="1">$CY362*(Control!$C$128-Control!$C$127)</f>
        <v>#N/A</v>
      </c>
      <c r="NG362" s="54" t="e">
        <f ca="1">IF(Control!$C$58=2, $NI361-$NJ361, 0)</f>
        <v>#DIV/0!</v>
      </c>
      <c r="NH362" s="54" t="e">
        <f ca="1">IF(AND(Control!$C$58=1, $MS361&lt;= ($MN361+0.02), $I361&lt;10), 0, IF(Control!$C$58=2, $NG361, 0))</f>
        <v>#DIV/0!</v>
      </c>
      <c r="NI362" s="54" t="e">
        <f ca="1">IF(Control!$C$58=2, $NE362+$NH362,0)</f>
        <v>#DIV/0!</v>
      </c>
      <c r="NJ362" s="54" t="e">
        <f ca="1">IF(AND(Control!$C$58=1, $MS362&lt;= ($MN362+0.02), $I362&lt;10), MAX(0, MIN(10, 0.7*($NF362-$MV362))), IF(Control!$C$58=2, MIN(10,$NI362),0))</f>
        <v>#DIV/0!</v>
      </c>
      <c r="NK362" s="54" t="e">
        <f t="shared" ca="1" si="1263"/>
        <v>#DIV/0!</v>
      </c>
      <c r="NL362" s="173" t="e">
        <f ca="1">(1-Control!$C$73)*$I362+$NJ362</f>
        <v>#DIV/0!</v>
      </c>
      <c r="NM362" s="172" t="e">
        <f ca="1">IF($NL362&lt;0.5, $MB362* MAX(0, MIN(1, (SQRT($NC362)-SQRT($NC362-1))*Control!$C$71)),0)</f>
        <v>#DIV/0!</v>
      </c>
      <c r="NN362" s="170" t="e">
        <f ca="1">IF($NL362&gt;=5, $MB362, MAX(0,MIN($MB362, $NM362+$NL362,($MS362-Control!$C$129))))</f>
        <v>#DIV/0!</v>
      </c>
      <c r="NO362" s="54">
        <f>IF(Control!$C$133&lt;&gt;1, Control!$C$135-Control!$C$131, 0)</f>
        <v>0.38</v>
      </c>
      <c r="NP362" s="54" t="e">
        <f t="shared" ca="1" si="1264"/>
        <v>#DIV/0!</v>
      </c>
      <c r="NQ362" s="173" t="e">
        <f ca="1">MAX(0,MIN(1,(Control!$C$135-$MS362)/(Control!$C$135-$NO362)))</f>
        <v>#DIV/0!</v>
      </c>
      <c r="NR362" s="170" t="e">
        <f ca="1">IF(Control!$C$133&lt;&gt;1, $NQ362+((1-$NP362/4)*(1-$NQ362)),1)</f>
        <v>#DIV/0!</v>
      </c>
      <c r="NS362" s="170" t="e">
        <f ca="1">IF(Control!$B$31=0,$MJ362,MAX(0,MIN($MV362,$MO362*$NR362*$MJ362)))</f>
        <v>#DIV/0!</v>
      </c>
      <c r="NT362" s="170" t="e">
        <f t="shared" ca="1" si="1380"/>
        <v>#DIV/0!</v>
      </c>
      <c r="NU362" s="170" t="e">
        <f t="shared" ca="1" si="1356"/>
        <v>#N/A</v>
      </c>
      <c r="NV362" s="170" t="e">
        <f t="shared" ca="1" si="1265"/>
        <v>#N/A</v>
      </c>
      <c r="NW362" s="175" t="e">
        <f t="shared" ca="1" si="1266"/>
        <v>#DIV/0!</v>
      </c>
      <c r="NX362" s="170" t="e">
        <f ca="1">MIN(Control!$C$72+$MU362, $NW362)</f>
        <v>#DIV/0!</v>
      </c>
      <c r="NY362" s="170" t="e">
        <f ca="1">IF($MT362&lt;=$NX362,MIN(Control!$C$72+$NB362,$NX362-$MT362),0)</f>
        <v>#DIV/0!</v>
      </c>
      <c r="NZ362" s="54" t="e">
        <f ca="1">IF(Control!$C$114=1,  $CX362*($MX362-Control!$C$127), 0)</f>
        <v>#DIV/0!</v>
      </c>
      <c r="OA362" s="170" t="e">
        <f t="shared" ca="1" si="1267"/>
        <v>#DIV/0!</v>
      </c>
      <c r="OB362" s="170" t="e">
        <f ca="1">IF($NA362 &lt;=$NY362, MIN(Control!$C$72, $NY362-$NA362), 0)</f>
        <v>#DIV/0!</v>
      </c>
      <c r="OC362" s="168" t="e">
        <f t="shared" ca="1" si="1268"/>
        <v>#DIV/0!</v>
      </c>
      <c r="OD362" s="168" t="e">
        <f t="shared" ca="1" si="1357"/>
        <v>#DIV/0!</v>
      </c>
      <c r="OE362" s="170">
        <f ca="1">Control!$C$73*$I362</f>
        <v>0</v>
      </c>
      <c r="OF362" s="176" t="e">
        <f t="shared" ca="1" si="1269"/>
        <v>#DIV/0!</v>
      </c>
      <c r="OG362" s="168" t="e">
        <f t="shared" ca="1" si="1270"/>
        <v>#DIV/0!</v>
      </c>
      <c r="OH362" s="168" t="e">
        <f t="shared" ca="1" si="1271"/>
        <v>#DIV/0!</v>
      </c>
      <c r="OI362" s="168" t="e">
        <f t="shared" ca="1" si="1272"/>
        <v>#DIV/0!</v>
      </c>
      <c r="OJ362" s="168" t="e">
        <f t="shared" ca="1" si="1273"/>
        <v>#DIV/0!</v>
      </c>
      <c r="OK362" s="204" t="e">
        <f t="shared" ca="1" si="1274"/>
        <v>#DIV/0!</v>
      </c>
      <c r="OL362" s="177">
        <f>Control!$C$127</f>
        <v>0.15</v>
      </c>
      <c r="OM362" s="182" t="e">
        <f t="shared" ca="1" si="1275"/>
        <v>#N/A</v>
      </c>
      <c r="ON362" s="177">
        <f>Control!$C$128</f>
        <v>0.35</v>
      </c>
      <c r="OO362" s="182" t="e">
        <f t="shared" ca="1" si="1276"/>
        <v>#N/A</v>
      </c>
      <c r="OP362" s="138">
        <f t="shared" ca="1" si="1358"/>
        <v>0</v>
      </c>
      <c r="OQ362" s="138" t="e">
        <f t="shared" ca="1" si="1381"/>
        <v>#DIV/0!</v>
      </c>
      <c r="OR362" s="138" t="e">
        <f t="shared" ca="1" si="1359"/>
        <v>#DIV/0!</v>
      </c>
      <c r="OS362" s="137" t="e">
        <f t="shared" ca="1" si="1382"/>
        <v>#DIV/0!</v>
      </c>
      <c r="OT362" s="139" t="e">
        <f t="shared" ca="1" si="1383"/>
        <v>#DIV/0!</v>
      </c>
      <c r="OU362" s="138" t="e">
        <f t="shared" ca="1" si="1384"/>
        <v>#N/A</v>
      </c>
      <c r="OV362" s="138" t="e">
        <f t="shared" ca="1" si="1385"/>
        <v>#DIV/0!</v>
      </c>
      <c r="OW362" s="138" t="e">
        <f t="shared" ca="1" si="1360"/>
        <v>#DIV/0!</v>
      </c>
      <c r="OX362" s="138" t="e">
        <f t="shared" ca="1" si="1361"/>
        <v>#DIV/0!</v>
      </c>
      <c r="OY362" s="138" t="e">
        <f t="shared" ca="1" si="1362"/>
        <v>#DIV/0!</v>
      </c>
      <c r="OZ362" s="138" t="e">
        <f t="shared" ca="1" si="1277"/>
        <v>#DIV/0!</v>
      </c>
      <c r="PA362" s="138" t="e">
        <f t="shared" ca="1" si="1278"/>
        <v>#DIV/0!</v>
      </c>
      <c r="PB362" s="55">
        <f>IF(Control!$C$61="T", IF(Control!$C$65="F", IF($AH$6-Control!$C$60&lt;0,0,1), IF(365+$AH$6-Control!$C$60&lt;0,0,1)),0)</f>
        <v>0</v>
      </c>
      <c r="PC362" s="55">
        <f ca="1">IF(Control!$C$65="F", IF($AH$6-$HF362&lt;0,0,1), IF(365+$AH$6-$HF362&lt;0,0,1))</f>
        <v>1</v>
      </c>
      <c r="PD362" s="444">
        <f>Control!$C$118</f>
        <v>1500</v>
      </c>
      <c r="PE362" s="180" t="e">
        <f t="shared" ca="1" si="1279"/>
        <v>#N/A</v>
      </c>
      <c r="PF362" s="445">
        <f t="shared" ca="1" si="1363"/>
        <v>0.71612369323045078</v>
      </c>
      <c r="PT362" s="186"/>
      <c r="PU362" s="186"/>
      <c r="PV362" s="94"/>
      <c r="PW362" s="94"/>
      <c r="PX362" s="94"/>
      <c r="PY362" s="94"/>
      <c r="PZ362" s="94"/>
      <c r="QA362" s="94"/>
      <c r="QB362" s="94"/>
      <c r="QC362" s="94"/>
      <c r="QD362" s="94"/>
      <c r="QE362" s="94"/>
      <c r="QF362" s="94"/>
      <c r="QG362" s="94"/>
      <c r="QH362" s="94"/>
      <c r="QI362" s="94"/>
      <c r="QJ362" s="94"/>
      <c r="QK362" s="94"/>
      <c r="QL362" s="94"/>
      <c r="QM362" s="94"/>
      <c r="QN362" s="94"/>
      <c r="QO362" s="94"/>
      <c r="QP362" s="94"/>
    </row>
    <row r="363" spans="1:458" s="2" customFormat="1" x14ac:dyDescent="0.2">
      <c r="A363" s="395">
        <v>24</v>
      </c>
      <c r="B363" s="396">
        <v>12</v>
      </c>
      <c r="C363" s="387">
        <f ca="1">Weather_data!$B362</f>
        <v>0</v>
      </c>
      <c r="D363" s="388">
        <f ca="1">Weather_data!$F362</f>
        <v>0</v>
      </c>
      <c r="E363" s="388">
        <f ca="1">Weather_data!$E362</f>
        <v>0</v>
      </c>
      <c r="F363" s="388">
        <f t="shared" ca="1" si="1280"/>
        <v>0</v>
      </c>
      <c r="G363" s="388">
        <f ca="1">AVERAGE($D363:$E363)+Control!$B$9</f>
        <v>0</v>
      </c>
      <c r="H363" s="388">
        <f ca="1">Weather_data!$G362</f>
        <v>0</v>
      </c>
      <c r="I363" s="388">
        <f ca="1">Weather_data!$I362</f>
        <v>0</v>
      </c>
      <c r="J363" s="388">
        <f ca="1">Weather_data!$H362</f>
        <v>0</v>
      </c>
      <c r="K363" s="389">
        <f ca="1">Weather_data!$D362</f>
        <v>0</v>
      </c>
      <c r="L363" s="388" t="e">
        <f t="shared" ca="1" si="1281"/>
        <v>#N/A</v>
      </c>
      <c r="M363" s="388" t="e">
        <f t="shared" ca="1" si="1158"/>
        <v>#N/A</v>
      </c>
      <c r="N363" s="388">
        <f t="shared" ca="1" si="1159"/>
        <v>-2.3096484123292E-17</v>
      </c>
      <c r="O363" s="388">
        <f t="shared" ca="1" si="1282"/>
        <v>2.3096484123292E-16</v>
      </c>
      <c r="P363" s="390">
        <v>3</v>
      </c>
      <c r="Q363" s="388">
        <f ca="1">MAX($G363-Control!$C$107,0)</f>
        <v>0</v>
      </c>
      <c r="R363" s="388">
        <f t="shared" ca="1" si="1283"/>
        <v>0</v>
      </c>
      <c r="S363" s="388">
        <f t="shared" ca="1" si="1160"/>
        <v>0</v>
      </c>
      <c r="T363" s="388">
        <f t="shared" ca="1" si="1161"/>
        <v>0</v>
      </c>
      <c r="U363" s="59">
        <f t="shared" ca="1" si="1162"/>
        <v>0</v>
      </c>
      <c r="V363" s="391">
        <f ca="1">MAX(0,MIN(Control!$C$100-Control!$C$99,$G363-Control!$C$99)*Control!$C$63)</f>
        <v>0</v>
      </c>
      <c r="W363" s="388">
        <f t="shared" ca="1" si="1284"/>
        <v>0</v>
      </c>
      <c r="X363" s="388">
        <f t="shared" ca="1" si="1285"/>
        <v>0.6110000000000001</v>
      </c>
      <c r="Y363" s="388">
        <f t="shared" ca="1" si="1163"/>
        <v>0</v>
      </c>
      <c r="Z363" s="388">
        <f t="shared" ca="1" si="1286"/>
        <v>0.61058800000000002</v>
      </c>
      <c r="AA363" s="388">
        <f t="shared" ca="1" si="1164"/>
        <v>0.6018</v>
      </c>
      <c r="AB363" s="388">
        <f ca="1">101.3*EXP(-0.034*Control!$C$66/($G363+273))</f>
        <v>100.69623283836242</v>
      </c>
      <c r="AC363" s="392">
        <f t="shared" ca="1" si="1165"/>
        <v>4.3460251046025113E-2</v>
      </c>
      <c r="AD363" s="392">
        <f t="shared" ca="1" si="1166"/>
        <v>4.4450382862832649E-2</v>
      </c>
      <c r="AE363" s="388">
        <f t="shared" ca="1" si="1167"/>
        <v>0</v>
      </c>
      <c r="AF363" s="388">
        <f ca="1">MAX(0,$G363-Control!$C$92)</f>
        <v>0</v>
      </c>
      <c r="AG363" s="393">
        <f t="shared" ca="1" si="1168"/>
        <v>359</v>
      </c>
      <c r="AH363" s="389">
        <f t="shared" ca="1" si="1169"/>
        <v>359</v>
      </c>
      <c r="AI363" s="388">
        <f t="shared" ca="1" si="1287"/>
        <v>-0.40825253510416332</v>
      </c>
      <c r="AJ363" s="388">
        <f ca="1">IF(Control!$C$60&lt;=0,$HH363,$HI363)</f>
        <v>1</v>
      </c>
      <c r="AK363" s="388">
        <f t="shared" ca="1" si="1170"/>
        <v>4.8027635635701493</v>
      </c>
      <c r="AL363" s="388">
        <f t="shared" ca="1" si="1171"/>
        <v>-2.0017107763004028E-17</v>
      </c>
      <c r="AM363" s="388">
        <f t="shared" ca="1" si="1172"/>
        <v>4.8027635635701493</v>
      </c>
      <c r="AN363" s="388">
        <f t="shared" ca="1" si="1173"/>
        <v>-0.4073489279103587</v>
      </c>
      <c r="AO363" s="388">
        <f ca="1">-0.10453/COS(Control!$B$8*PI()/180)*COS(AN363)</f>
        <v>-0.15589210579217161</v>
      </c>
      <c r="AP363" s="388">
        <f ca="1">ACOS(AO363-TAN(Control!$B$8*PI()/180)*TAN(AN363))</f>
        <v>1.1632248665311744</v>
      </c>
      <c r="AQ363" s="388">
        <f t="shared" ca="1" si="1288"/>
        <v>0</v>
      </c>
      <c r="AR363" s="394">
        <f t="shared" ca="1" si="1174"/>
        <v>0</v>
      </c>
      <c r="AS363" s="436">
        <f ca="1">IF(Control!$B$18=2,(IF(OR($AH363=Control!$B$175,$AH363=Control!$B$176,$AH363=Control!$B$177,$AH363=Control!$B$178,$AH363=Control!$B$179,$AH363=Control!$B$180,$AH363=Control!$B$181,$AH363=Control!$B$182,$AH363=Control!$B$183,$AH363=Control!$B$184,$AH363=Control!$B$185),1,0)),0)</f>
        <v>0</v>
      </c>
      <c r="AT363" s="436">
        <f>IF(Control!$B$20=8,IF(AND($AH363&gt;=Control!$B$172,$AH363&lt;=Control!$B$173),1,0),0)</f>
        <v>0</v>
      </c>
      <c r="AU363" s="436">
        <f>IF(Control!$B$20=8,IF($AV362=1,1*$AT363,IF($AT363=1,$AU362+1,$AU362)),0)</f>
        <v>0</v>
      </c>
      <c r="AV363" s="436">
        <f>IF(Control!$B$20=8,IF($AU363&gt;=Control!$B$174,1,0),0)</f>
        <v>0</v>
      </c>
      <c r="AW363" s="436">
        <f ca="1">IF(AND(Control!$B$18=2,Control!$B$171=1), $AV363, $AS363)</f>
        <v>0</v>
      </c>
      <c r="AX363" s="436" t="e">
        <f ca="1">IF(AND(Control!$B$18=1,$EU363&gt;=Control!$B$19),-$AY363,IF(AND(Control!$B$18=2,$AW363=1,$EU363&gt;$DS363),-$AY363, IF(Control!$C$108=0,0, IF(Control!$C$108&lt;&gt;0,1))))</f>
        <v>#N/A</v>
      </c>
      <c r="AY363" s="436" t="e">
        <f t="shared" ca="1" si="1289"/>
        <v>#N/A</v>
      </c>
      <c r="AZ363" s="436" t="e">
        <f ca="1">IF(AND(Control!$B$18=1,$EB363&gt;Control!$B$19),$AZ362+1, IF(AND(Control!$B$18=2, $AW363=1, $EB363&gt;$DS363), $AZ362+1,$AZ362))</f>
        <v>#N/A</v>
      </c>
      <c r="BA363" s="587">
        <f>IF(Control!$C$81=0,1,IF($AH363&gt;=Control!$C$82,1,0))</f>
        <v>1</v>
      </c>
      <c r="BB363" s="140" t="e">
        <f ca="1">IF($BA363&gt;$BA362,Control!$C$83,IF($AW363&gt;0,$AW363*Control!$C$84,IF(AND(Control!$B$18=1,EN362&lt;&gt;0),Control!$C$84,0)))</f>
        <v>#N/A</v>
      </c>
      <c r="BC363" s="140" t="e">
        <f t="shared" ca="1" si="1290"/>
        <v>#N/A</v>
      </c>
      <c r="BD363" s="140" t="e">
        <f ca="1">BC363*IF(OR($G363&lt;Control!$C$92,$G363&gt;Control!$C$95),0,IF(AND($G363&gt;=Control!$C$92,$G363&lt;=Control!$C$93),$G363-Control!$C$92,IF(AND($G363&gt;Control!$C$93,$G363&lt;=Control!$C$94),Control!$C$93-Control!$C$92,IF(AND($G363&gt;Control!$C$94,$G363&lt;=Control!$C$95),(Control!$C$93-Control!$C$92)*(Control!$C$94-$G363)/(Control!$C$95-Control!$C$94)))))</f>
        <v>#N/A</v>
      </c>
      <c r="BE363" s="140" t="e">
        <f t="shared" ca="1" si="1291"/>
        <v>#N/A</v>
      </c>
      <c r="BF363" s="140" t="e">
        <f ca="1">IF($BE363&lt;=Control!$C$86,$BE363,Control!$C$86-$BE363)</f>
        <v>#N/A</v>
      </c>
      <c r="BG363" s="140" t="e">
        <f ca="1">IF(AND($AW363=1,Control!$C$84&lt;9),1,IF($BE363&gt;=Control!$C$86,0,$BC363))</f>
        <v>#N/A</v>
      </c>
      <c r="BH363" s="404" t="e">
        <f ca="1">IF($BG363=0,0,IF($BE363&lt;=Control!$C$86,$BC363*9*($BF363/Control!$C$86),0))</f>
        <v>#N/A</v>
      </c>
      <c r="BI363" s="140" t="e">
        <f ca="1">IF($BG363=1,0,IF($BE363&gt;=Control!$C$86,1,IF(AND($BB363&lt;21,$BB363&gt;=9),1,$BM362)))</f>
        <v>#N/A</v>
      </c>
      <c r="BJ363" s="140" t="e">
        <f ca="1">IF($BF363&lt;0,-$BF363,$BI363*IF(OR($G363&lt;Control!$C$92,$G363&gt;Control!$C$95),0,IF(AND($G363&gt;=Control!$C$92,$G363&lt;=Control!$C$93),$G363-Control!$C$92,IF(AND($G363&gt;Control!$C$93,$G363&lt;=Control!$C$94),Control!$C$93-Control!$C$92,IF(AND($G363&gt;Control!$C$94,$G363&lt;=Control!$C$95),(Control!$C$93-Control!$C$92)*(Control!$C$94-$G363)/(Control!$C$95-Control!$C$94))))))</f>
        <v>#N/A</v>
      </c>
      <c r="BK363" s="140" t="e">
        <f t="shared" ca="1" si="1292"/>
        <v>#N/A</v>
      </c>
      <c r="BL363" s="140" t="e">
        <f ca="1">IF($BK363&lt;=Control!$C$87,$BK363,Control!$C$87-$BK363)</f>
        <v>#N/A</v>
      </c>
      <c r="BM363" s="140" t="e">
        <f ca="1">IF(AND($BB363&gt;=9,$BB363&lt;21),1,IF($BK363&gt;=Control!$C$87,0,$BI363))</f>
        <v>#N/A</v>
      </c>
      <c r="BN363" s="404" t="e">
        <f ca="1">IF($BM363=0,0,IF($BK363&lt;=Control!$C$87,$BI363*(9+(21-9)*($BL363/Control!$C$87)),0))</f>
        <v>#N/A</v>
      </c>
      <c r="BO363" s="140" t="e">
        <f ca="1">IF($BM363=1,0,IF($BK363&gt;=Control!$C$87,1,IF(AND($BB363&lt;30,$BB363&gt;=21),1,$BS362)))</f>
        <v>#N/A</v>
      </c>
      <c r="BP363" s="140" t="e">
        <f ca="1">IF($BL363&lt;0,-$BL363,$BO363*IF(OR($G363&lt;Control!$C$92,$G363&gt;Control!$C$95),0,IF(AND($G363&gt;=Control!$C$92,$G363&lt;=Control!$C$93),$G363-Control!$C$92,IF(AND($G363&gt;Control!$C$93,$G363&lt;=Control!$C$94),Control!$C$93-Control!$C$92,IF(AND($G363&gt;Control!$C$94,$G363&lt;=Control!$C$95),(Control!$C$93-Control!$C$92)*(Control!$C$94-$G363)/(Control!$C$95-Control!$C$94))))))</f>
        <v>#N/A</v>
      </c>
      <c r="BQ363" s="140" t="e">
        <f t="shared" ca="1" si="1175"/>
        <v>#N/A</v>
      </c>
      <c r="BR363" s="140" t="e">
        <f ca="1">IF($BQ363&lt;=Control!$C$88,$BQ363,Control!$C$88-$BQ363)</f>
        <v>#N/A</v>
      </c>
      <c r="BS363" s="140" t="e">
        <f ca="1">IF(AND($BB363&gt;=21,$BB363&lt;30),1,IF($BQ363&gt;=Control!$C$88,0,$BO363))</f>
        <v>#N/A</v>
      </c>
      <c r="BT363" s="404" t="e">
        <f ca="1">IF($BS363=0,0,IF($BQ363&lt;=Control!$C$88,$BO363*(21+(30-21)*(BR363/Control!$C$88)),0))</f>
        <v>#N/A</v>
      </c>
      <c r="BU363" s="140" t="e">
        <f ca="1">IF(BG363+BM363+BS363=1,0,IF(OR(AND($BB363&lt;60,$BB363&gt;=30),$BQ363&gt;=Control!$C$88),1*$BA363,$BY362))</f>
        <v>#N/A</v>
      </c>
      <c r="BV363" s="140" t="e">
        <f ca="1">IF($BR363&lt;0,-$BR363,$BU363*IF(OR($G363&lt;Control!$C$92,$G363&gt;Control!$C$95),0,IF(AND($G363&gt;=Control!$C$92,$G363&lt;=Control!$C$93),$G363-Control!$C$92,IF(AND($G363&gt;Control!$C$93,$G363&lt;=Control!$C$94),Control!$C$93-Control!$C$92,IF(AND($G363&gt;Control!$C$94,$G363&lt;=Control!$C$95),(Control!$C$93-Control!$C$92)*(Control!$C$94-$G363)/(Control!$C$95-Control!$C$94))))))</f>
        <v>#N/A</v>
      </c>
      <c r="BW363" s="140" t="e">
        <f t="shared" ca="1" si="1176"/>
        <v>#N/A</v>
      </c>
      <c r="BX363" s="140" t="e">
        <f ca="1">IF($BW363&lt;=Control!$C$89,$BW363,Control!$C$89-$BW363)</f>
        <v>#N/A</v>
      </c>
      <c r="BY363" s="140" t="e">
        <f ca="1">IF(AND($AJ363&gt;=30,$AJ363&lt;60),1,IF($BW363&gt;=Control!$C$89,0,$BU363))</f>
        <v>#N/A</v>
      </c>
      <c r="BZ363" s="404" t="e">
        <f ca="1">IF($BY363=0,0,IF($BW363&lt;=Control!$C$89,$BU363*(30+(60-30)*(BX363/Control!$C$89)),0))</f>
        <v>#N/A</v>
      </c>
      <c r="CA363" s="140" t="e">
        <f ca="1">IF($BG363+$BM363+$BS363+$BY363=1,0,IF(OR(AND($BB363&lt;65,$BB363&gt;=60),$BW363&gt;=Control!$C$89),1*$BA363,$CE362))</f>
        <v>#N/A</v>
      </c>
      <c r="CB363" s="140" t="e">
        <f ca="1">IF($BX363&lt;0,-$BX363,$CA363*IF(OR($G363&lt;Control!$C$92,$G363&gt;Control!$C$95),0,IF(AND($G363&gt;=Control!$C$92,$G363&lt;=Control!$C$93),$G363-Control!$C$92,IF(AND($G363&gt;Control!$C$93,$G363&lt;=Control!$C$94),Control!$C$93-Control!$C$92,IF(AND($G363&gt;Control!$C$94,$G363&lt;=Control!$C$95),(Control!$C$93-Control!$C$92)*(Control!$C$94-$G363)/(Control!$C$95-Control!$C$94))))))</f>
        <v>#N/A</v>
      </c>
      <c r="CC363" s="140" t="e">
        <f t="shared" ca="1" si="1293"/>
        <v>#N/A</v>
      </c>
      <c r="CD363" s="140" t="e">
        <f ca="1">IF($CC363&lt;=Control!$C$90,$CC363,Control!$C$90-$CC363)</f>
        <v>#N/A</v>
      </c>
      <c r="CE363" s="140" t="e">
        <f ca="1">IF(AND($BB363&gt;=60,$BB363&lt;65),1,IF($CC363&gt;=Control!$C$90,0,$CA363))</f>
        <v>#N/A</v>
      </c>
      <c r="CF363" s="404" t="e">
        <f ca="1">IF($CE363=0,0,IF($CC363&lt;=Control!$C$90,$CA363*(60+(65-60)*(CD363/Control!$C$90)),0))</f>
        <v>#N/A</v>
      </c>
      <c r="CG363" s="140" t="e">
        <f ca="1">IF($BG363+$BM363+$BS363+$BY363+$CE363=1,0,IF(OR(AND($BB363&lt;90,$BB363&gt;=65),$CC363&gt;=Control!$C$90),$BA363,$CK362))</f>
        <v>#N/A</v>
      </c>
      <c r="CH363" s="140" t="e">
        <f ca="1">IF($CD363&lt;0,-$CD363,$CG363*IF(OR($G363&lt;Control!$C$92,$G363&gt;Control!$C$95),0,IF(AND($G363&gt;=Control!$C$92,$G363&lt;=Control!$C$93),$G363-Control!$C$92,IF(AND($G363&gt;Control!$C$93,$G363&lt;=Control!$C$94),Control!$C$93-Control!$C$92,IF(AND($G363&gt;Control!$C$94,$G363&lt;=Control!$C$95),(Control!$C$93-Control!$C$92)*(Control!$C$94-$G363)/(Control!$C$95-Control!$C$94))))))</f>
        <v>#N/A</v>
      </c>
      <c r="CI363" s="140" t="e">
        <f t="shared" ca="1" si="1294"/>
        <v>#N/A</v>
      </c>
      <c r="CJ363" s="140" t="e">
        <f ca="1">IF($CI363&lt;=Control!$C$91,$CI363,Control!$C$91-$CI363)</f>
        <v>#N/A</v>
      </c>
      <c r="CK363" s="140" t="e">
        <f ca="1">IF(AND($BB363&gt;=65,$BB363&lt;90),1,IF($CI363&gt;=Control!$C$91,0,$CG363))</f>
        <v>#N/A</v>
      </c>
      <c r="CL363" s="404" t="e">
        <f ca="1">IF($CK363=0,0,IF($CI363&lt;=Control!$C$91,$CG363*(65+(90-65)*($CJ363/Control!$C$91)),0))</f>
        <v>#N/A</v>
      </c>
      <c r="CM363" s="140" t="e">
        <f ca="1">IF($BG363+$BM363+$BS363+$BY363+$CE363+$CK363=1,0,IF(OR($BB363&gt;=90,$CI363&gt;=Control!$C$91),$BA363,$CM362))</f>
        <v>#N/A</v>
      </c>
      <c r="CN363" s="140" t="e">
        <f ca="1">CM363*90</f>
        <v>#N/A</v>
      </c>
      <c r="CO363" s="140" t="e">
        <f t="shared" ca="1" si="1296"/>
        <v>#N/A</v>
      </c>
      <c r="CP363" s="140" t="e">
        <f t="shared" ca="1" si="1297"/>
        <v>#N/A</v>
      </c>
      <c r="CQ363" s="141" t="e">
        <f ca="1">VLOOKUP($CP363,Control!$B$86:$G$91,6)</f>
        <v>#N/A</v>
      </c>
      <c r="CR363" s="141" t="e">
        <f ca="1">(1-$CQ363)*VLOOKUP($CP363,Control!$B$86:$D$91,3)</f>
        <v>#N/A</v>
      </c>
      <c r="CS363" s="141" t="e">
        <f ca="1">(1-$CQ363)*VLOOKUP($CP363,Control!$B$86:$E$91,4)</f>
        <v>#N/A</v>
      </c>
      <c r="CT363" s="141" t="e">
        <f ca="1">(1-$CQ363)*VLOOKUP($CP363,Control!$B$86:$F$91,5)</f>
        <v>#N/A</v>
      </c>
      <c r="CU363" s="141">
        <f t="shared" ca="1" si="1298"/>
        <v>0</v>
      </c>
      <c r="CV363" s="583">
        <f t="shared" ca="1" si="1299"/>
        <v>0</v>
      </c>
      <c r="CW363" s="142">
        <f t="shared" ca="1" si="1300"/>
        <v>359</v>
      </c>
      <c r="CX363" s="612" t="e">
        <f ca="1">IF(Control!$C$114=1,(MIN(Control!$C$120*(IF($NT363-0.01&lt;0,0,1)),Control!$C$119-$CY363)))</f>
        <v>#DIV/0!</v>
      </c>
      <c r="CY363" s="143" t="e">
        <f t="shared" ca="1" si="1301"/>
        <v>#N/A</v>
      </c>
      <c r="CZ363" s="144">
        <f t="shared" ca="1" si="1177"/>
        <v>0</v>
      </c>
      <c r="DA363" s="144">
        <f t="shared" ca="1" si="1178"/>
        <v>0</v>
      </c>
      <c r="DB363" s="144" t="e">
        <f t="shared" ca="1" si="1179"/>
        <v>#N/A</v>
      </c>
      <c r="DC363" s="144" t="e">
        <f t="shared" ca="1" si="1180"/>
        <v>#N/A</v>
      </c>
      <c r="DD363" s="144" t="e">
        <f t="shared" ca="1" si="1386"/>
        <v>#N/A</v>
      </c>
      <c r="DE363" s="143" t="e">
        <f t="shared" ca="1" si="1302"/>
        <v>#N/A</v>
      </c>
      <c r="DF363" s="145" t="e">
        <f ca="1">$DR363*EXP(-Control!$C$158*(1-$KH363))</f>
        <v>#N/A</v>
      </c>
      <c r="DG363" s="146" t="e">
        <f ca="1">IF(Control!$C$114=1, $DF363*$EY363, 0)</f>
        <v>#N/A</v>
      </c>
      <c r="DH363" s="147" t="e">
        <f t="shared" ca="1" si="1303"/>
        <v>#N/A</v>
      </c>
      <c r="DI363" s="144" t="e">
        <f t="shared" ca="1" si="1364"/>
        <v>#N/A</v>
      </c>
      <c r="DJ363" s="147" t="e">
        <f ca="1">$EF363*Control!$C$109</f>
        <v>#N/A</v>
      </c>
      <c r="DK363" s="144" t="e">
        <f t="shared" ca="1" si="1304"/>
        <v>#N/A</v>
      </c>
      <c r="DL363" s="144" t="e">
        <f t="shared" ca="1" si="1181"/>
        <v>#N/A</v>
      </c>
      <c r="DM363" s="144" t="e">
        <f ca="1">IF(Control!$C$114=1, (1-EXP(-Control!$C$96*$DK363))*$AR363, 0)</f>
        <v>#N/A</v>
      </c>
      <c r="DN363" s="144">
        <f t="shared" ca="1" si="1305"/>
        <v>0</v>
      </c>
      <c r="DO363" s="148">
        <f>Control!$C$97</f>
        <v>4</v>
      </c>
      <c r="DP363" s="145" t="e">
        <f t="shared" ca="1" si="1306"/>
        <v>#N/A</v>
      </c>
      <c r="DQ363" s="145" t="e">
        <f ca="1">IF(AND($CP363&gt;=0,$CP363&lt;=90),Control!$C$111,Control!$C$111)</f>
        <v>#N/A</v>
      </c>
      <c r="DR363" s="145" t="e">
        <f t="shared" ca="1" si="1182"/>
        <v>#N/A</v>
      </c>
      <c r="DS363" s="143" t="e">
        <f ca="1">Control!$B$22/$DR363</f>
        <v>#N/A</v>
      </c>
      <c r="DT363" s="149" t="e">
        <f ca="1">IF(AND(Control!$C$114=1,$KH363&lt;1),$IM363*$DF363, 0)</f>
        <v>#N/A</v>
      </c>
      <c r="DU363" s="144" t="e">
        <f t="shared" ca="1" si="1307"/>
        <v>#N/A</v>
      </c>
      <c r="DV363" s="144">
        <f ca="1">IF($G363-Control!$C$107&lt;=0, 0, 0.83*LN(MAX($G363, 3))-0.8924)</f>
        <v>0</v>
      </c>
      <c r="DW363" s="144" t="e">
        <f t="shared" ca="1" si="1183"/>
        <v>#N/A</v>
      </c>
      <c r="DX363" s="150" t="e">
        <f ca="1">MAX(0.01*(1+$CU363/Control!$C$102),0.05*($DK363-Control!$C$97)/Control!$C$97)</f>
        <v>#N/A</v>
      </c>
      <c r="DY363" s="151" t="e">
        <f ca="1">IF(Control!$C$114=1, $DI363*$FS363, 0)</f>
        <v>#N/A</v>
      </c>
      <c r="DZ363" s="196" t="e">
        <f t="shared" ca="1" si="1308"/>
        <v>#N/A</v>
      </c>
      <c r="EA363" s="152">
        <f t="shared" ca="1" si="1309"/>
        <v>359</v>
      </c>
      <c r="EB363" s="153" t="e">
        <f t="shared" ca="1" si="1310"/>
        <v>#N/A</v>
      </c>
      <c r="EC363" s="153" t="e">
        <f t="shared" ca="1" si="1311"/>
        <v>#N/A</v>
      </c>
      <c r="ED363" s="154" t="e">
        <f ca="1">IF(Control!$C$114=1, $HM363*$FY363-$FD363, 0)</f>
        <v>#DIV/0!</v>
      </c>
      <c r="EE363" s="155" t="e">
        <f ca="1">IF(Control!$C$114=1, $HM363*$FZ363-$FF363, 0)</f>
        <v>#DIV/0!</v>
      </c>
      <c r="EF363" s="153" t="e">
        <f t="shared" ca="1" si="1365"/>
        <v>#N/A</v>
      </c>
      <c r="EG363" s="155" t="e">
        <f ca="1">IF(Control!$C$114=1, $GX363*$FW363-$FI363, 0)</f>
        <v>#DIV/0!</v>
      </c>
      <c r="EH363" s="153" t="e">
        <f t="shared" ca="1" si="1312"/>
        <v>#N/A</v>
      </c>
      <c r="EI363" s="156" t="e">
        <f t="shared" ca="1" si="1313"/>
        <v>#N/A</v>
      </c>
      <c r="EJ363" s="155" t="e">
        <f ca="1">IF(Control!$C$114=1, $HM363*$GB363, 0)</f>
        <v>#DIV/0!</v>
      </c>
      <c r="EK363" s="153" t="e">
        <f t="shared" ca="1" si="1366"/>
        <v>#N/A</v>
      </c>
      <c r="EL363" s="153" t="e">
        <f t="shared" ca="1" si="1184"/>
        <v>#N/A</v>
      </c>
      <c r="EM363" s="153" t="e">
        <f t="shared" ca="1" si="1185"/>
        <v>#N/A</v>
      </c>
      <c r="EN363" s="153" t="e">
        <f ca="1">IF(Control!$C$108=1,IF(AND(Control!$B$18=1,$EB363&gt;=Control!$B$19),$EB363-$DS363,IF(AND(Control!$B$18=2,$AW363=1,$EB363&gt;$DS363),$EB363-$DS363,0)))</f>
        <v>#N/A</v>
      </c>
      <c r="EO363" s="153" t="e">
        <f ca="1">IF(Control!$C$108=1,IF(AND(Control!$B$18=1,$EB363&gt;=Control!$B$19),$EF363,IF(AND(Control!$B$18=2,$AW363=1),$EF363,0)))</f>
        <v>#N/A</v>
      </c>
      <c r="EP363" s="153" t="e">
        <f ca="1">IF(Control!$C$108=1,IF(AND(Control!$B$18=1,$EB363&gt;=Control!$B$19),$EK363,IF(AND(Control!$B$18=2,$AW363=1),$EK363,0)))</f>
        <v>#N/A</v>
      </c>
      <c r="EQ363" s="153" t="e">
        <f t="shared" ca="1" si="1314"/>
        <v>#N/A</v>
      </c>
      <c r="ER363" s="153" t="e">
        <f t="shared" ca="1" si="1315"/>
        <v>#N/A</v>
      </c>
      <c r="ES363" s="153" t="e">
        <f t="shared" ca="1" si="1367"/>
        <v>#N/A</v>
      </c>
      <c r="ET363" s="153" t="e">
        <f t="shared" ca="1" si="1368"/>
        <v>#N/A</v>
      </c>
      <c r="EU363" s="153" t="e">
        <f t="shared" ca="1" si="1316"/>
        <v>#N/A</v>
      </c>
      <c r="EV363" s="153" t="e">
        <f t="shared" ca="1" si="1186"/>
        <v>#N/A</v>
      </c>
      <c r="EW363" s="153" t="e">
        <f t="shared" ca="1" si="1187"/>
        <v>#N/A</v>
      </c>
      <c r="EX363" s="153" t="e">
        <f t="shared" ca="1" si="1188"/>
        <v>#N/A</v>
      </c>
      <c r="EY363" s="157" t="e">
        <f t="shared" ca="1" si="1189"/>
        <v>#DIV/0!</v>
      </c>
      <c r="EZ363" s="154" t="e">
        <f t="shared" ca="1" si="1190"/>
        <v>#DIV/0!</v>
      </c>
      <c r="FA363" s="153" t="e">
        <f t="shared" ca="1" si="1317"/>
        <v>#N/A</v>
      </c>
      <c r="FB363" s="153" t="e">
        <f t="shared" ca="1" si="1191"/>
        <v>#N/A</v>
      </c>
      <c r="FC363" s="193" t="e">
        <f t="shared" ca="1" si="1192"/>
        <v>#N/A</v>
      </c>
      <c r="FD363" s="158" t="e">
        <f t="shared" ca="1" si="1318"/>
        <v>#N/A</v>
      </c>
      <c r="FE363" s="158" t="e">
        <f t="shared" ca="1" si="1319"/>
        <v>#N/A</v>
      </c>
      <c r="FF363" s="159" t="e">
        <f t="shared" ca="1" si="1193"/>
        <v>#N/A</v>
      </c>
      <c r="FG363" s="160" t="e">
        <f t="shared" ca="1" si="1320"/>
        <v>#N/A</v>
      </c>
      <c r="FH363" s="158" t="e">
        <f t="shared" ca="1" si="1321"/>
        <v>#N/A</v>
      </c>
      <c r="FI363" s="159" t="e">
        <f t="shared" ca="1" si="1194"/>
        <v>#N/A</v>
      </c>
      <c r="FJ363" s="160" t="e">
        <f t="shared" ca="1" si="1322"/>
        <v>#N/A</v>
      </c>
      <c r="FK363" s="160" t="e">
        <f t="shared" ca="1" si="1195"/>
        <v>#N/A</v>
      </c>
      <c r="FL363" s="160" t="e">
        <f t="shared" ca="1" si="1369"/>
        <v>#N/A</v>
      </c>
      <c r="FM363" s="160" t="e">
        <f t="shared" ca="1" si="1196"/>
        <v>#N/A</v>
      </c>
      <c r="FN363" s="158">
        <f t="shared" ca="1" si="1323"/>
        <v>0.01</v>
      </c>
      <c r="FO363" s="160">
        <f>Control!$C$101</f>
        <v>50</v>
      </c>
      <c r="FP363" s="150" t="e">
        <f t="shared" ca="1" si="1197"/>
        <v>#N/A</v>
      </c>
      <c r="FQ363" s="150" t="e">
        <f ca="1">MAX(0,(Control!$C$112*(($DK363-Control!$C$97)/Control!$C$97)))</f>
        <v>#N/A</v>
      </c>
      <c r="FR363" s="150" t="e">
        <f ca="1">(1-$NT363)*Control!$C$113</f>
        <v>#DIV/0!</v>
      </c>
      <c r="FS363" s="198" t="e">
        <f t="shared" ca="1" si="1198"/>
        <v>#N/A</v>
      </c>
      <c r="FT363" s="161">
        <f t="shared" ca="1" si="1324"/>
        <v>359</v>
      </c>
      <c r="FU363" s="162" t="e">
        <f ca="1">IF(Control!$B$34=1,VLOOKUP($CP363,Control!$B$86:$G$91,6),Control!$B$35)</f>
        <v>#N/A</v>
      </c>
      <c r="FV363" s="162" t="e">
        <f t="shared" ca="1" si="1199"/>
        <v>#DIV/0!</v>
      </c>
      <c r="FW363" s="162" t="e">
        <f ca="1">IF(Control!$B$31=1,$FU363*$FV363,  $FU363)</f>
        <v>#N/A</v>
      </c>
      <c r="FX363" s="162" t="e">
        <f ca="1">IF(Control!$B$34=1,VLOOKUP($CP363,Control!$B$86:$G$91,3),Control!$B$36)</f>
        <v>#N/A</v>
      </c>
      <c r="FY363" s="162" t="e">
        <f t="shared" ca="1" si="1200"/>
        <v>#N/A</v>
      </c>
      <c r="FZ363" s="162" t="e">
        <f ca="1">IF(Control!$B$34=1,VLOOKUP($CP363,Control!$B$86:$G$91,4),Control!$B$37)</f>
        <v>#N/A</v>
      </c>
      <c r="GA363" s="162" t="e">
        <f t="shared" ca="1" si="1201"/>
        <v>#N/A</v>
      </c>
      <c r="GB363" s="162" t="e">
        <f ca="1">IF(Control!$B$34=1,VLOOKUP($CP363,Control!$B$86:$G$91,5),Control!$B$38)</f>
        <v>#N/A</v>
      </c>
      <c r="GC363" s="162" t="e">
        <f t="shared" ca="1" si="1325"/>
        <v>#N/A</v>
      </c>
      <c r="GD363" s="162">
        <f t="shared" ca="1" si="1202"/>
        <v>1</v>
      </c>
      <c r="GE363" s="162">
        <f t="shared" ca="1" si="1203"/>
        <v>1</v>
      </c>
      <c r="GF363" s="162">
        <f ca="1">IF(AND(Control!$C$104=1, Control!$C$62="F"),$GE363,1)</f>
        <v>1</v>
      </c>
      <c r="GG363" s="162" t="e">
        <f ca="1">IF(Control!$B$16=40,0,IF(AND(Control!$B$16&gt;40,Control!$B$16&lt;=360),(Control!$B$16-40)*((1-0)/(360-40)),IF(AND(Control!$B$16&gt;360,Control!$B$16&lt;=720),(1+(Control!$B$16-360)*((1.25-1)/(720-360))),IF(AND(Control!$B$16&gt;720,Control!$B$16&lt;=1000),(1.25+(Control!$B$16-720)*((1.35-1.25)/(1000-720))),IF(AND(Control!$B$16&gt;1000,Control!$B$16&lt;=2000),(1.35+(Control!$B$16-1000)*0))))))</f>
        <v>#N/A</v>
      </c>
      <c r="GH363" s="162" t="e">
        <f t="shared" ca="1" si="1204"/>
        <v>#N/A</v>
      </c>
      <c r="GI363" s="162">
        <f t="shared" ca="1" si="1326"/>
        <v>0</v>
      </c>
      <c r="GJ363" s="162">
        <f t="shared" ca="1" si="1205"/>
        <v>0</v>
      </c>
      <c r="GK363" s="162">
        <f t="shared" ca="1" si="1327"/>
        <v>1</v>
      </c>
      <c r="GL363" s="162">
        <f t="shared" ca="1" si="1206"/>
        <v>1</v>
      </c>
      <c r="GM363" s="162" t="e">
        <f ca="1">MAX(0,MIN(1,1-Control!$C$156*(1.0001-$KH363)^2))</f>
        <v>#N/A</v>
      </c>
      <c r="GN363" s="162" t="e">
        <f ca="1">IF(Control!$B$26=1,$KU363,$KX363)</f>
        <v>#N/A</v>
      </c>
      <c r="GO363" s="162" t="e">
        <f ca="1">IF($CP363&lt;=60,Control!$C$105,IF($CP363&gt;=90,Control!$C$106,Control!$C$105+($CP363-60)*((Control!$C$106-Control!$C$105)/(90-60))))</f>
        <v>#N/A</v>
      </c>
      <c r="GP363" s="162" t="e">
        <f t="shared" ca="1" si="1207"/>
        <v>#N/A</v>
      </c>
      <c r="GQ363" s="162" t="e">
        <f t="shared" ca="1" si="1328"/>
        <v>#N/A</v>
      </c>
      <c r="GR363" s="163" t="e">
        <f t="shared" ca="1" si="1208"/>
        <v>#DIV/0!</v>
      </c>
      <c r="GS363" s="162" t="e">
        <f t="shared" ca="1" si="1209"/>
        <v>#DIV/0!</v>
      </c>
      <c r="GT363" s="164" t="e">
        <f t="shared" ca="1" si="1329"/>
        <v>#N/A</v>
      </c>
      <c r="GU363" s="162" t="e">
        <f t="shared" ca="1" si="1330"/>
        <v>#N/A</v>
      </c>
      <c r="GV363" s="162" t="e">
        <f t="shared" ca="1" si="1210"/>
        <v>#N/A</v>
      </c>
      <c r="GW363" s="162" t="e">
        <f t="shared" ca="1" si="1211"/>
        <v>#DIV/0!</v>
      </c>
      <c r="GX363" s="162" t="e">
        <f t="shared" ca="1" si="1331"/>
        <v>#DIV/0!</v>
      </c>
      <c r="GY363" s="162" t="e">
        <f t="shared" ca="1" si="1332"/>
        <v>#DIV/0!</v>
      </c>
      <c r="GZ363" s="165" t="e">
        <f t="shared" ca="1" si="1212"/>
        <v>#N/A</v>
      </c>
      <c r="HA363" s="162" t="e">
        <f ca="1">IF(Control!$C$114=1, $DI363*$FS363, 0)</f>
        <v>#N/A</v>
      </c>
      <c r="HB363" s="162" t="e">
        <f ca="1">$FA363/Control!$C$64</f>
        <v>#N/A</v>
      </c>
      <c r="HC363" s="162" t="e">
        <f t="shared" ca="1" si="1213"/>
        <v>#DIV/0!</v>
      </c>
      <c r="HD363" s="162">
        <f ca="1">-ASIN(SIN(23.45*Control!$C$139)*COS(2*Control!$C$138*($AH363+10)/365))</f>
        <v>-0.40825253510416332</v>
      </c>
      <c r="HE363" s="165">
        <f t="shared" ca="1" si="1333"/>
        <v>0</v>
      </c>
      <c r="HF363" s="166">
        <f ca="1">IF(AND(Control!$C$61="T",$HE363&gt;=Control!$C$103,Control!$C$114=0),$AH363,Control!$C$59)</f>
        <v>1</v>
      </c>
      <c r="HG363" s="166">
        <f ca="1">IF(AND(Control!$C$61="T",$HE363&gt;=Control!$C$103,Control!$C$114=0),$HF363,Control!$C$59)</f>
        <v>1</v>
      </c>
      <c r="HH363" s="165">
        <f ca="1">IF(AND(OR(Control!$C$60&lt;=0, $AH363= Control!$C$59, Control!$C$60 &gt;0, $AH363 = Control!$C$60)), Control!$C$59, IF(Control!$C$60&gt;0, 0))</f>
        <v>1</v>
      </c>
      <c r="HI363" s="165">
        <f ca="1">IF(AND(OR(Control!$C$60&lt;=0, $AH363= Control!$C$59, Control!$C$60 &gt;0, $AH363 = Control!$C$60)), Control!$C$60, IF(Control!$C$60&lt;=0, 0))</f>
        <v>0</v>
      </c>
      <c r="HJ363" s="166">
        <f ca="1">IF(AND(Control!$C$62="F",$CV363&gt;=Control!$C$102),$AH363,0)</f>
        <v>0</v>
      </c>
      <c r="HK363" s="165" t="e">
        <f t="shared" ca="1" si="1370"/>
        <v>#N/A</v>
      </c>
      <c r="HL363" s="166">
        <f ca="1">IF(AND(Control!$C$61="T",$HE363&gt;=Control!$C$103,Control!$C$114=0),$HF363,0)</f>
        <v>0</v>
      </c>
      <c r="HM363" s="201" t="e">
        <f t="shared" ca="1" si="1214"/>
        <v>#DIV/0!</v>
      </c>
      <c r="HN363" s="215">
        <f t="shared" ca="1" si="1334"/>
        <v>359</v>
      </c>
      <c r="HO363" s="216" t="e">
        <f ca="1">IF(AND($CP363&gt;=0, $CP363&lt;=90), Control!$C$152, Control!$C$152)</f>
        <v>#N/A</v>
      </c>
      <c r="HP363" s="216" t="e">
        <f t="shared" ca="1" si="1215"/>
        <v>#N/A</v>
      </c>
      <c r="HQ363" s="217" t="e">
        <f ca="1">IF(OR(Control!$B$26=1,Control!$B$26=2),$KV363,$KS363)</f>
        <v>#DIV/0!</v>
      </c>
      <c r="HR363" s="218" t="e">
        <f t="shared" ca="1" si="1371"/>
        <v>#DIV/0!</v>
      </c>
      <c r="HS363" s="216" t="e">
        <f ca="1">Control!$C$154*$HP363</f>
        <v>#N/A</v>
      </c>
      <c r="HT363" s="216" t="e">
        <f ca="1">Control!$C$155*$HP363</f>
        <v>#N/A</v>
      </c>
      <c r="HU363" s="217" t="e">
        <f ca="1">Control!$C$161*$FI363</f>
        <v>#N/A</v>
      </c>
      <c r="HV363" s="218" t="e">
        <f t="shared" ca="1" si="1335"/>
        <v>#N/A</v>
      </c>
      <c r="HW363" s="218" t="e">
        <f ca="1">Control!$C$160*$FF363+$IP363*$EO363</f>
        <v>#N/A</v>
      </c>
      <c r="HX363" s="218" t="e">
        <f t="shared" ca="1" si="1372"/>
        <v>#N/A</v>
      </c>
      <c r="HY363" s="219" t="e">
        <f ca="1">IF(Control!$C$114=1, $EB363*$FS363, 0)</f>
        <v>#N/A</v>
      </c>
      <c r="HZ363" s="91" t="e">
        <f t="shared" ca="1" si="1216"/>
        <v>#N/A</v>
      </c>
      <c r="IA363" s="220" t="e">
        <f ca="1">Control!$C$153*$HO363</f>
        <v>#N/A</v>
      </c>
      <c r="IB363" s="218" t="e">
        <f t="shared" ca="1" si="1217"/>
        <v>#N/A</v>
      </c>
      <c r="IC363" s="220" t="e">
        <f ca="1">Control!$C$153*$HT363</f>
        <v>#N/A</v>
      </c>
      <c r="ID363" s="218" t="e">
        <f t="shared" ca="1" si="1218"/>
        <v>#N/A</v>
      </c>
      <c r="IE363" s="221" t="e">
        <f ca="1">($EB363*Control!$C$159+$EF363*Control!$C$160)/(IF($GZ363&lt;&gt;0,$GZ363,1))</f>
        <v>#N/A</v>
      </c>
      <c r="IF363" s="216" t="e">
        <f t="shared" ca="1" si="1219"/>
        <v>#N/A</v>
      </c>
      <c r="IG363" s="91">
        <f ca="1">IF(OR(Control!$B$198=$AH363,Control!$B$199=$AH363, Control!$B$200=$AH363, Control!$B$201=$AH363, Control!$B$202=$AH363, Control!$B$203=$AH363, Control!$B$204=$AH363, Control!$B$205=$AH363, Control!$B$206=$AH363, Control!$B$207=$AH363), 1, 0)</f>
        <v>0</v>
      </c>
      <c r="IH363" s="91">
        <f ca="1">IF($IG363=0,0, VLOOKUP($AH363,Control!$B$198:$C$207,2))</f>
        <v>0</v>
      </c>
      <c r="II363" s="222">
        <f t="shared" ca="1" si="1336"/>
        <v>0</v>
      </c>
      <c r="IJ363" s="91">
        <f>Control!$C$121</f>
        <v>0.7</v>
      </c>
      <c r="IK363" s="218">
        <f t="shared" ca="1" si="1220"/>
        <v>0</v>
      </c>
      <c r="IL363" s="217" t="e">
        <f t="shared" ca="1" si="1373"/>
        <v>#N/A</v>
      </c>
      <c r="IM363" s="223" t="e">
        <f ca="1">IF(AND(Control!$C$114=1,$KH363&lt;1),$EB363*Control!$C$148*(1-$KH363), 0)</f>
        <v>#N/A</v>
      </c>
      <c r="IN363" s="217" t="e">
        <f t="shared" ca="1" si="1221"/>
        <v>#DIV/0!</v>
      </c>
      <c r="IO363" s="91" t="e">
        <f ca="1">MAX(0,$IL363-$EF363*Control!$C$160)</f>
        <v>#N/A</v>
      </c>
      <c r="IP363" s="220" t="e">
        <f t="shared" ca="1" si="1222"/>
        <v>#N/A</v>
      </c>
      <c r="IQ363" s="217" t="e">
        <f t="shared" ca="1" si="1337"/>
        <v>#N/A</v>
      </c>
      <c r="IR363" s="218" t="e">
        <f t="shared" ca="1" si="1223"/>
        <v>#N/A</v>
      </c>
      <c r="IS363" s="217" t="e">
        <f ca="1">Control!$C$159*MAX(0,$FD363-$EN363)</f>
        <v>#N/A</v>
      </c>
      <c r="IT363" s="217" t="e">
        <f t="shared" ca="1" si="1374"/>
        <v>#N/A</v>
      </c>
      <c r="IU363" s="217" t="e">
        <f t="shared" ca="1" si="1338"/>
        <v>#N/A</v>
      </c>
      <c r="IV363" s="217" t="e">
        <f t="shared" ca="1" si="1375"/>
        <v>#N/A</v>
      </c>
      <c r="IW363" s="217" t="e">
        <f ca="1">IF(OR($AW363=1,AND($AW363=0, Control!$B$18=1,$EN363&lt;&gt;0)), $IQ363-$IU363, $IQ363)</f>
        <v>#N/A</v>
      </c>
      <c r="IX363" s="218" t="e">
        <f t="shared" ca="1" si="1224"/>
        <v>#N/A</v>
      </c>
      <c r="IY363" s="218" t="e">
        <f ca="1">MAX(0,$IQ363-$EB363*Control!$C$159)</f>
        <v>#N/A</v>
      </c>
      <c r="IZ363" s="218" t="e">
        <f t="shared" ca="1" si="1225"/>
        <v>#N/A</v>
      </c>
      <c r="JA363" s="216" t="e">
        <f t="shared" ca="1" si="1226"/>
        <v>#N/A</v>
      </c>
      <c r="JB363" s="217" t="e">
        <f t="shared" ca="1" si="1227"/>
        <v>#N/A</v>
      </c>
      <c r="JC363" s="222" t="e">
        <f ca="1">MAX(Control!$C$157*$EK363-$JT363, 0)/Control!$C$162</f>
        <v>#N/A</v>
      </c>
      <c r="JD363" s="218" t="e">
        <f t="shared" ca="1" si="1228"/>
        <v>#N/A</v>
      </c>
      <c r="JE363" s="218" t="e">
        <f t="shared" ca="1" si="1229"/>
        <v>#N/A</v>
      </c>
      <c r="JF363" s="218" t="e">
        <f t="shared" ca="1" si="1339"/>
        <v>#N/A</v>
      </c>
      <c r="JG363" s="218" t="e">
        <f t="shared" ca="1" si="1230"/>
        <v>#N/A</v>
      </c>
      <c r="JH363" s="217" t="e">
        <f t="shared" ca="1" si="1340"/>
        <v>#N/A</v>
      </c>
      <c r="JI363" s="217" t="e">
        <f t="shared" ca="1" si="1341"/>
        <v>#N/A</v>
      </c>
      <c r="JJ363" s="217" t="e">
        <f t="shared" ca="1" si="1376"/>
        <v>#N/A</v>
      </c>
      <c r="JK363" s="217" t="e">
        <f ca="1">IF(Control!$C$114=1,IF(Control!$B$24=0,MAX(0,$JI363)*$GN363/Control!$C$64,(MAX(0,MIN($JI363,$JJ363*$GN363/Control!$C$64),0))))</f>
        <v>#N/A</v>
      </c>
      <c r="JL363" s="217" t="e">
        <f ca="1">$IK363/Control!$C$64-$JK363+$HQ363</f>
        <v>#N/A</v>
      </c>
      <c r="JM363" s="217" t="e">
        <f ca="1">IF(Control!$C$114=1,($JB363/(IF($JI363&lt;&gt;0,$JI363,1)))*$JK363,0)</f>
        <v>#N/A</v>
      </c>
      <c r="JN363" s="217" t="e">
        <f ca="1">IF(Control!$C$114=1,($JG363/(IF($JI363&lt;&gt;0,$JI363,1)))*$JK363, 0)</f>
        <v>#N/A</v>
      </c>
      <c r="JO363" s="218" t="e">
        <f t="shared" ca="1" si="1231"/>
        <v>#N/A</v>
      </c>
      <c r="JP363" s="218" t="e">
        <f ca="1">MIN(($IY363+$IO363)*Control!$C$151, $JF363-$EH363*Control!$C$161)</f>
        <v>#N/A</v>
      </c>
      <c r="JQ363" s="218" t="e">
        <f t="shared" ca="1" si="1232"/>
        <v>#N/A</v>
      </c>
      <c r="JR363" s="217" t="e">
        <f ca="1">IF($CP363-Control!$C$150&lt;0, 0, $JQ363/Control!$C$162)</f>
        <v>#N/A</v>
      </c>
      <c r="JS363" s="218" t="e">
        <f t="shared" ca="1" si="1233"/>
        <v>#N/A</v>
      </c>
      <c r="JT363" s="218" t="e">
        <f t="shared" ca="1" si="1342"/>
        <v>#N/A</v>
      </c>
      <c r="JU363" s="218" t="e">
        <f t="shared" ca="1" si="1234"/>
        <v>#N/A</v>
      </c>
      <c r="JV363" s="218" t="e">
        <f t="shared" ca="1" si="1235"/>
        <v>#N/A</v>
      </c>
      <c r="JW363" s="216" t="e">
        <f t="shared" ca="1" si="1236"/>
        <v>#N/A</v>
      </c>
      <c r="JX363" s="91" t="e">
        <f t="shared" ca="1" si="1237"/>
        <v>#N/A</v>
      </c>
      <c r="JY363" s="218" t="e">
        <f t="shared" ca="1" si="1238"/>
        <v>#N/A</v>
      </c>
      <c r="JZ363" s="217" t="e">
        <f ca="1">IF(Control!$C$114=1,($IZ363/(IF($JI363&lt;&gt;0,$JI363,1)))*$JK363, 0)</f>
        <v>#N/A</v>
      </c>
      <c r="KA363" s="218" t="e">
        <f t="shared" ca="1" si="1377"/>
        <v>#N/A</v>
      </c>
      <c r="KB363" s="218" t="e">
        <f t="shared" ca="1" si="1343"/>
        <v>#N/A</v>
      </c>
      <c r="KC363" s="218" t="e">
        <f t="shared" ca="1" si="1239"/>
        <v>#N/A</v>
      </c>
      <c r="KD363" s="218" t="e">
        <f t="shared" ca="1" si="1240"/>
        <v>#N/A</v>
      </c>
      <c r="KE363" s="218" t="e">
        <f t="shared" ca="1" si="1241"/>
        <v>#N/A</v>
      </c>
      <c r="KF363" s="218" t="e">
        <f t="shared" ca="1" si="1242"/>
        <v>#N/A</v>
      </c>
      <c r="KG363" s="216" t="e">
        <f t="shared" ca="1" si="1243"/>
        <v>#N/A</v>
      </c>
      <c r="KH363" s="221" t="e">
        <f ca="1">IF(Control!$B$24=0,1,MAX(0.001,MIN(1,IF(($IF363-$IE363)&lt;&gt;0,($KG363-$IE363)/($IF363-$IE363),1))))</f>
        <v>#N/A</v>
      </c>
      <c r="KI363" s="222" t="e">
        <f ca="1">IF(Control!$C$114=1, $KI362+ $KH362, 0)</f>
        <v>#N/A</v>
      </c>
      <c r="KJ363" s="217" t="e">
        <f t="shared" ca="1" si="1244"/>
        <v>#N/A</v>
      </c>
      <c r="KK363" s="218" t="e">
        <f t="shared" ca="1" si="1245"/>
        <v>#N/A</v>
      </c>
      <c r="KL363" s="274" t="e">
        <f ca="1">IF(Control!$B$26=3,4000000000*EXP(-8400/($G363+273)),IF(Control!$B$26=4,4000000000*EXP(-8400/($G363+273))*($KT363),0))</f>
        <v>#DIV/0!</v>
      </c>
      <c r="KM363" s="274" t="e">
        <f ca="1">IF(Control!$B$26=3,5600000000000*EXP(-9800/($G363+273)),IF(Control!$B$26=4,5600000000000*EXP(-9800/($G363+273))*$KT363,0))</f>
        <v>#DIV/0!</v>
      </c>
      <c r="KN363" s="454" t="e">
        <f t="shared" ca="1" si="1344"/>
        <v>#DIV/0!</v>
      </c>
      <c r="KO363" s="274" t="e">
        <f t="shared" ca="1" si="1345"/>
        <v>#DIV/0!</v>
      </c>
      <c r="KP363" s="454" t="e">
        <f t="shared" ca="1" si="1246"/>
        <v>#DIV/0!</v>
      </c>
      <c r="KQ363" s="454" t="e">
        <f t="shared" ca="1" si="1247"/>
        <v>#DIV/0!</v>
      </c>
      <c r="KR363" s="454" t="e">
        <f t="shared" ca="1" si="1248"/>
        <v>#DIV/0!</v>
      </c>
      <c r="KS363" s="454" t="e">
        <f t="shared" ca="1" si="1249"/>
        <v>#DIV/0!</v>
      </c>
      <c r="KT363" s="455" t="e">
        <f t="shared" ca="1" si="1250"/>
        <v>#DIV/0!</v>
      </c>
      <c r="KU363" s="456" t="e">
        <f ca="1">IF($CP363-Control!$C$149&lt;0, IF($NT363-0.01&lt;0,0,1),0)</f>
        <v>#N/A</v>
      </c>
      <c r="KV363" s="456" t="e">
        <f ca="1">IF(Control!$C$114=1,MAX(0,MIN(Control!$C$125*$KW363*$GN363,$KW363)))</f>
        <v>#DIV/0!</v>
      </c>
      <c r="KW363" s="456" t="e">
        <f t="shared" ca="1" si="1378"/>
        <v>#DIV/0!</v>
      </c>
      <c r="KX363" s="457" t="e">
        <f ca="1">IF($CP363-Control!$C$149&lt;0, IF($MR363-$OM363&lt;0,0,1),0)</f>
        <v>#N/A</v>
      </c>
      <c r="KY363" s="167">
        <f t="shared" ca="1" si="1346"/>
        <v>359</v>
      </c>
      <c r="KZ363" s="168">
        <f ca="1">1370*(1+0.033*COS(2*Control!$C$138*$AH363/365))</f>
        <v>1414.9691351242795</v>
      </c>
      <c r="LA363" s="169">
        <f t="shared" ca="1" si="1347"/>
        <v>1.0328241370570801</v>
      </c>
      <c r="LB363" s="169">
        <f t="shared" ca="1" si="1348"/>
        <v>-0.4077719853679852</v>
      </c>
      <c r="LC363" s="169">
        <f ca="1">ACOS(-TAN((2*Control!$B$8/360))*TAN(Calculations!$LB363))</f>
        <v>1.4420537222047749</v>
      </c>
      <c r="LD363" s="169">
        <f ca="1">((24*60)/PI())*0.082*$LA363*(($LC363*SIN(Control!$B$8*2*PI()/360))*SIN($LB363)+COS(Control!$B$8*2*PI()/360)*COS($LB363)*SIN($LC363))</f>
        <v>4.2649645254958815</v>
      </c>
      <c r="LE363" s="170">
        <f t="shared" ca="1" si="1251"/>
        <v>5.9637800422946627</v>
      </c>
      <c r="LF363" s="170">
        <f ca="1">SIN(Control!$C$139*Control!$B$8)*SIN($HD363)</f>
        <v>-0.31284558197902518</v>
      </c>
      <c r="LG363" s="170">
        <f ca="1">COS(Control!$C$139*Control!$B$8)*COS($HD363)</f>
        <v>0.56506240414010056</v>
      </c>
      <c r="LH363" s="170">
        <f ca="1">12*(1+2*ASIN(MAX(-1,MIN(1,$LF363/$LG363))/Control!$C$138))</f>
        <v>7.7482470151954947</v>
      </c>
      <c r="LI363" s="170">
        <f ca="1">12*(1+2*ASIN(MAX(-1,MIN(1,(-SIN(-4*Control!$C$139)+$LF363)/$LG363))/Control!$C$138))</f>
        <v>8.7031752800380886</v>
      </c>
      <c r="LJ363" s="168">
        <f ca="1">3600*($LH363*$LF363+24*$LG363*SQRT(1-$LK363*$LK363)/Control!$C$138)</f>
        <v>4214.7774776520846</v>
      </c>
      <c r="LK363" s="170">
        <f t="shared" ca="1" si="1252"/>
        <v>-0.553647844356424</v>
      </c>
      <c r="LL363" s="170">
        <f t="shared" ca="1" si="1253"/>
        <v>0</v>
      </c>
      <c r="LM363" s="171">
        <f ca="1">Control!$C$145*$AB363</f>
        <v>6.6660906138995932E-2</v>
      </c>
      <c r="LN363" s="170">
        <f t="shared" ca="1" si="1349"/>
        <v>0.54</v>
      </c>
      <c r="LO363" s="170">
        <f t="shared" ca="1" si="1254"/>
        <v>0</v>
      </c>
      <c r="LP363" s="170">
        <f ca="1">Control!$C$140*((($D363+273.16)^4+($E363+273.16)^4)/2)*(0.34-0.14*SQRT($Y363))*(1.35*$AQ363/(0.75*$LD363)-0.35)</f>
        <v>-3.2464704755046001</v>
      </c>
      <c r="LQ363" s="170">
        <f ca="1">Control!$C$140*($G363+273)^4*(0.56-0.079*SQRT($Y363*10))*(0.1+0.9*$LO363)</f>
        <v>1.5241745131704001</v>
      </c>
      <c r="LR363" s="170">
        <f ca="1">$AQ363*(1-Control!$C$142)-$LQ363</f>
        <v>-1.5241745131704001</v>
      </c>
      <c r="LS363" s="170">
        <f ca="1">$AQ363*(1-Control!$C$143)-$LQ363</f>
        <v>-1.5241745131704001</v>
      </c>
      <c r="LT363" s="170">
        <f ca="1">$AQ363*(1-Control!$C$144)-$LQ363</f>
        <v>-1.5241745131704001</v>
      </c>
      <c r="LU363" s="169">
        <f ca="1">(1-Control!$C$144)*AQ363-LP363</f>
        <v>3.2464704755046001</v>
      </c>
      <c r="LV363" s="172">
        <f t="shared" ca="1" si="1255"/>
        <v>0.79430000000000012</v>
      </c>
      <c r="LW363" s="170">
        <f t="shared" ca="1" si="1256"/>
        <v>1.5886000000000002</v>
      </c>
      <c r="LX363" s="170">
        <f ca="1">($AC363*($LR363/Control!$C$141)+$LM363*$LV363)/($AC363+$LM363)</f>
        <v>0.23530094218323697</v>
      </c>
      <c r="LY363" s="170">
        <f ca="1">($AC363*($LS363/Control!$C$141)+$LM363*$LV363)/($AC363+$LM363)</f>
        <v>0.23530094218323697</v>
      </c>
      <c r="LZ363" s="170">
        <f t="shared" ca="1" si="1257"/>
        <v>0.23530094218323697</v>
      </c>
      <c r="MA363" s="170">
        <f t="shared" ca="1" si="1258"/>
        <v>0.23530094218323697</v>
      </c>
      <c r="MB363" s="170" t="e">
        <f t="shared" ca="1" si="1259"/>
        <v>#N/A</v>
      </c>
      <c r="MC363" s="170">
        <f t="shared" ca="1" si="1350"/>
        <v>0.6018</v>
      </c>
      <c r="MD363" s="170">
        <f t="shared" ca="1" si="1260"/>
        <v>0.52989392535414004</v>
      </c>
      <c r="ME363" s="170">
        <f ca="1">($AC363*($LT363/Control!$C$141)+$LM363*$LW363)/($AC363+$LM363)</f>
        <v>0.71612369323045078</v>
      </c>
      <c r="MF363" s="170" t="e">
        <f ca="1">IF(Control!$B$16&gt;=1000,0.92,IF(AND(720&lt;=Control!$B$16,1000&gt;Control!$B$16),(0.95+(Control!$B$16-720)*((0.92-0.95)/(1000-720))),IF(AND(360&lt;=Control!$B$16,720&gt;Control!$B$16),(1+(Control!$B$16-360)*((0.95-1)/(720-360))),IF(AND(40&lt;=Control!$B$16,360&gt;Control!$B$16),(1.05+(Control!$B$16-40)*((1.05-1)/(360-40)))))))</f>
        <v>#N/A</v>
      </c>
      <c r="MG363" s="170">
        <f t="shared" ca="1" si="1261"/>
        <v>0.71612369323045078</v>
      </c>
      <c r="MH363" s="170" t="e">
        <f t="shared" ca="1" si="1387"/>
        <v>#N/A</v>
      </c>
      <c r="MI363" s="170" t="e">
        <f t="shared" ca="1" si="1387"/>
        <v>#N/A</v>
      </c>
      <c r="MJ363" s="170" t="e">
        <f ca="1">MAX(0.0001, Control!$C$132*$MI363*$DL363)</f>
        <v>#N/A</v>
      </c>
      <c r="MK363" s="170">
        <f ca="1">1/(0.76+1.5*($MG363/10))-(5-Control!$C$110)*0.1</f>
        <v>1.002845988140797</v>
      </c>
      <c r="ML363" s="173">
        <f ca="1">IF(Control!$C$110&lt;3,$MK363+($MG363-0.6)/(Control!$C$110*(Control!$C$110+3)), MAX(0.1, MIN(0.95,$MK363)))</f>
        <v>0.95</v>
      </c>
      <c r="MM363" s="173">
        <f ca="1">IF(Control!$C$110&lt;3,$MK363+(($MI363/10)-0.6)/(Control!$C$110*(Control!$C$110+3)), MAX(0.1, MIN(0.95,$MK363)))</f>
        <v>0.95</v>
      </c>
      <c r="MN363" s="173">
        <f ca="1">(1-$MM363)*(Control!$C$128-Control!$C$127)+Control!$C$127</f>
        <v>0.16</v>
      </c>
      <c r="MO363" s="170" t="e">
        <f ca="1">MAX(0,MIN(1,($MS363-Control!$C$127)/($MN363-Control!$C$127)))</f>
        <v>#DIV/0!</v>
      </c>
      <c r="MP363" s="173" t="e">
        <f ca="1">1/(0.76+1.5*$MI363)-(5-Control!$C$110)*0.1</f>
        <v>#N/A</v>
      </c>
      <c r="MQ363" s="172" t="e">
        <f t="shared" ca="1" si="1379"/>
        <v>#DIV/0!</v>
      </c>
      <c r="MR363" s="168" t="e">
        <f t="shared" ca="1" si="1351"/>
        <v>#DIV/0!</v>
      </c>
      <c r="MS363" s="173" t="e">
        <f ca="1">MAX(Control!$C$127, MIN(Control!$C$135, $MR363/MAX(0.0001,$CY363)))</f>
        <v>#DIV/0!</v>
      </c>
      <c r="MT363" s="168" t="e">
        <f ca="1">(Control!$C$128-$MS363)*Control!$C$74</f>
        <v>#DIV/0!</v>
      </c>
      <c r="MU363" s="168" t="e">
        <f ca="1">(Control!$C$135-$MS363)*Control!$C$74</f>
        <v>#DIV/0!</v>
      </c>
      <c r="MV363" s="168" t="e">
        <f t="shared" ca="1" si="1352"/>
        <v>#DIV/0!</v>
      </c>
      <c r="MW363" s="168" t="e">
        <f t="shared" ca="1" si="1353"/>
        <v>#DIV/0!</v>
      </c>
      <c r="MX363" s="171" t="e">
        <f ca="1">MAX(Control!$C$127, MIN(Control!$C$135, $MW363/MAX(0.0001,Control!$C$119-$CY363)))</f>
        <v>#DIV/0!</v>
      </c>
      <c r="MY363" s="54" t="e">
        <f ca="1">IF(Control!$C$114=1, $CX363*$MX363, 0)</f>
        <v>#DIV/0!</v>
      </c>
      <c r="MZ363" s="54" t="e">
        <f t="shared" ca="1" si="1354"/>
        <v>#N/A</v>
      </c>
      <c r="NA363" s="168" t="e">
        <f ca="1">(Control!$C$128-$MX363)*(Control!$C$119-Control!$C$74)</f>
        <v>#DIV/0!</v>
      </c>
      <c r="NB363" s="168" t="e">
        <f ca="1">(Control!$C$135-$MX363)*(Control!$C$119-Control!$C$74)</f>
        <v>#DIV/0!</v>
      </c>
      <c r="NC363" s="174" t="e">
        <f t="shared" ca="1" si="1355"/>
        <v>#DIV/0!</v>
      </c>
      <c r="ND363" s="54">
        <f ca="1">IF(Control!$C$58=2, IF(OR(Control!$B$218=$AH363,Control!$B$219=$AH363, Control!$B$220=$AH363, Control!$B$221=$AH363, Control!$B$222=$AH363, Control!$B$223=$AH363, Control!$B$224=$AH363, Control!$B$225=$AH363, Control!$B$226=$AH363, Control!$B$227=$AH363, Control!$B$228=$AH363), 1, 0), 0)</f>
        <v>0</v>
      </c>
      <c r="NE363" s="54">
        <f ca="1">IF($ND363=0,0, VLOOKUP($AH363,Control!$B$218:$C$228,2))</f>
        <v>0</v>
      </c>
      <c r="NF363" s="168" t="e">
        <f ca="1">$CY363*(Control!$C$128-Control!$C$127)</f>
        <v>#N/A</v>
      </c>
      <c r="NG363" s="54" t="e">
        <f ca="1">IF(Control!$C$58=2, $NI362-$NJ362, 0)</f>
        <v>#DIV/0!</v>
      </c>
      <c r="NH363" s="54" t="e">
        <f ca="1">IF(AND(Control!$C$58=1, $MS362&lt;= ($MN362+0.02), $I362&lt;10), 0, IF(Control!$C$58=2, $NG362, 0))</f>
        <v>#DIV/0!</v>
      </c>
      <c r="NI363" s="54" t="e">
        <f ca="1">IF(Control!$C$58=2, $NE363+$NH363,0)</f>
        <v>#DIV/0!</v>
      </c>
      <c r="NJ363" s="54" t="e">
        <f ca="1">IF(AND(Control!$C$58=1, $MS363&lt;= ($MN363+0.02), $I363&lt;10), MAX(0, MIN(10, 0.7*($NF363-$MV363))), IF(Control!$C$58=2, MIN(10,$NI363),0))</f>
        <v>#DIV/0!</v>
      </c>
      <c r="NK363" s="54" t="e">
        <f t="shared" ca="1" si="1263"/>
        <v>#DIV/0!</v>
      </c>
      <c r="NL363" s="173" t="e">
        <f ca="1">(1-Control!$C$73)*$I363+$NJ363</f>
        <v>#DIV/0!</v>
      </c>
      <c r="NM363" s="172" t="e">
        <f ca="1">IF($NL363&lt;0.5, $MB363* MAX(0, MIN(1, (SQRT($NC363)-SQRT($NC363-1))*Control!$C$71)),0)</f>
        <v>#DIV/0!</v>
      </c>
      <c r="NN363" s="170" t="e">
        <f ca="1">IF($NL363&gt;=5, $MB363, MAX(0,MIN($MB363, $NM363+$NL363,($MS363-Control!$C$129))))</f>
        <v>#DIV/0!</v>
      </c>
      <c r="NO363" s="54">
        <f>IF(Control!$C$133&lt;&gt;1, Control!$C$135-Control!$C$131, 0)</f>
        <v>0.38</v>
      </c>
      <c r="NP363" s="54" t="e">
        <f t="shared" ca="1" si="1264"/>
        <v>#DIV/0!</v>
      </c>
      <c r="NQ363" s="173" t="e">
        <f ca="1">MAX(0,MIN(1,(Control!$C$135-$MS363)/(Control!$C$135-$NO363)))</f>
        <v>#DIV/0!</v>
      </c>
      <c r="NR363" s="170" t="e">
        <f ca="1">IF(Control!$C$133&lt;&gt;1, $NQ363+((1-$NP363/4)*(1-$NQ363)),1)</f>
        <v>#DIV/0!</v>
      </c>
      <c r="NS363" s="170" t="e">
        <f ca="1">IF(Control!$B$31=0,$MJ363,MAX(0,MIN($MV363,$MO363*$NR363*$MJ363)))</f>
        <v>#DIV/0!</v>
      </c>
      <c r="NT363" s="170" t="e">
        <f t="shared" ca="1" si="1380"/>
        <v>#DIV/0!</v>
      </c>
      <c r="NU363" s="170" t="e">
        <f t="shared" ca="1" si="1356"/>
        <v>#N/A</v>
      </c>
      <c r="NV363" s="170" t="e">
        <f t="shared" ca="1" si="1265"/>
        <v>#N/A</v>
      </c>
      <c r="NW363" s="175" t="e">
        <f t="shared" ca="1" si="1266"/>
        <v>#DIV/0!</v>
      </c>
      <c r="NX363" s="170" t="e">
        <f ca="1">MIN(Control!$C$72+$MU363, $NW363)</f>
        <v>#DIV/0!</v>
      </c>
      <c r="NY363" s="170" t="e">
        <f ca="1">IF($MT363&lt;=$NX363,MIN(Control!$C$72+$NB363,$NX363-$MT363),0)</f>
        <v>#DIV/0!</v>
      </c>
      <c r="NZ363" s="54" t="e">
        <f ca="1">IF(Control!$C$114=1,  $CX363*($MX363-Control!$C$127), 0)</f>
        <v>#DIV/0!</v>
      </c>
      <c r="OA363" s="170" t="e">
        <f t="shared" ca="1" si="1267"/>
        <v>#DIV/0!</v>
      </c>
      <c r="OB363" s="170" t="e">
        <f ca="1">IF($NA363 &lt;=$NY363, MIN(Control!$C$72, $NY363-$NA363), 0)</f>
        <v>#DIV/0!</v>
      </c>
      <c r="OC363" s="168" t="e">
        <f t="shared" ca="1" si="1268"/>
        <v>#DIV/0!</v>
      </c>
      <c r="OD363" s="168" t="e">
        <f t="shared" ca="1" si="1357"/>
        <v>#DIV/0!</v>
      </c>
      <c r="OE363" s="170">
        <f ca="1">Control!$C$73*$I363</f>
        <v>0</v>
      </c>
      <c r="OF363" s="176" t="e">
        <f t="shared" ca="1" si="1269"/>
        <v>#DIV/0!</v>
      </c>
      <c r="OG363" s="168" t="e">
        <f t="shared" ca="1" si="1270"/>
        <v>#DIV/0!</v>
      </c>
      <c r="OH363" s="168" t="e">
        <f t="shared" ca="1" si="1271"/>
        <v>#DIV/0!</v>
      </c>
      <c r="OI363" s="168" t="e">
        <f t="shared" ca="1" si="1272"/>
        <v>#DIV/0!</v>
      </c>
      <c r="OJ363" s="168" t="e">
        <f t="shared" ca="1" si="1273"/>
        <v>#DIV/0!</v>
      </c>
      <c r="OK363" s="204" t="e">
        <f t="shared" ca="1" si="1274"/>
        <v>#DIV/0!</v>
      </c>
      <c r="OL363" s="177">
        <f>Control!$C$127</f>
        <v>0.15</v>
      </c>
      <c r="OM363" s="182" t="e">
        <f t="shared" ca="1" si="1275"/>
        <v>#N/A</v>
      </c>
      <c r="ON363" s="177">
        <f>Control!$C$128</f>
        <v>0.35</v>
      </c>
      <c r="OO363" s="182" t="e">
        <f t="shared" ca="1" si="1276"/>
        <v>#N/A</v>
      </c>
      <c r="OP363" s="138">
        <f t="shared" ca="1" si="1358"/>
        <v>0</v>
      </c>
      <c r="OQ363" s="138" t="e">
        <f t="shared" ca="1" si="1381"/>
        <v>#DIV/0!</v>
      </c>
      <c r="OR363" s="138" t="e">
        <f t="shared" ca="1" si="1359"/>
        <v>#DIV/0!</v>
      </c>
      <c r="OS363" s="137" t="e">
        <f t="shared" ca="1" si="1382"/>
        <v>#DIV/0!</v>
      </c>
      <c r="OT363" s="139" t="e">
        <f t="shared" ca="1" si="1383"/>
        <v>#DIV/0!</v>
      </c>
      <c r="OU363" s="138" t="e">
        <f t="shared" ca="1" si="1384"/>
        <v>#N/A</v>
      </c>
      <c r="OV363" s="138" t="e">
        <f t="shared" ca="1" si="1385"/>
        <v>#DIV/0!</v>
      </c>
      <c r="OW363" s="138" t="e">
        <f t="shared" ca="1" si="1360"/>
        <v>#DIV/0!</v>
      </c>
      <c r="OX363" s="138" t="e">
        <f t="shared" ca="1" si="1361"/>
        <v>#DIV/0!</v>
      </c>
      <c r="OY363" s="138" t="e">
        <f t="shared" ca="1" si="1362"/>
        <v>#DIV/0!</v>
      </c>
      <c r="OZ363" s="138" t="e">
        <f t="shared" ca="1" si="1277"/>
        <v>#DIV/0!</v>
      </c>
      <c r="PA363" s="138" t="e">
        <f t="shared" ca="1" si="1278"/>
        <v>#DIV/0!</v>
      </c>
      <c r="PB363" s="55">
        <f>IF(Control!$C$61="T", IF(Control!$C$65="F", IF($AH$6-Control!$C$60&lt;0,0,1), IF(365+$AH$6-Control!$C$60&lt;0,0,1)),0)</f>
        <v>0</v>
      </c>
      <c r="PC363" s="55">
        <f ca="1">IF(Control!$C$65="F", IF($AH$6-$HF363&lt;0,0,1), IF(365+$AH$6-$HF363&lt;0,0,1))</f>
        <v>1</v>
      </c>
      <c r="PD363" s="444">
        <f>Control!$C$118</f>
        <v>1500</v>
      </c>
      <c r="PE363" s="180" t="e">
        <f t="shared" ca="1" si="1279"/>
        <v>#N/A</v>
      </c>
      <c r="PF363" s="445">
        <f t="shared" ca="1" si="1363"/>
        <v>0.71612369323045078</v>
      </c>
      <c r="PT363" s="186"/>
      <c r="PU363" s="186"/>
      <c r="PV363" s="94"/>
      <c r="PW363" s="94"/>
      <c r="PX363" s="94"/>
      <c r="PY363" s="94"/>
      <c r="PZ363" s="94"/>
      <c r="QA363" s="94"/>
      <c r="QB363" s="94"/>
      <c r="QC363" s="94"/>
      <c r="QD363" s="94"/>
      <c r="QE363" s="94"/>
      <c r="QF363" s="94"/>
      <c r="QG363" s="94"/>
      <c r="QH363" s="94"/>
      <c r="QI363" s="94"/>
      <c r="QJ363" s="94"/>
      <c r="QK363" s="94"/>
      <c r="QL363" s="94"/>
      <c r="QM363" s="94"/>
      <c r="QN363" s="94"/>
      <c r="QO363" s="94"/>
      <c r="QP363" s="94"/>
    </row>
    <row r="364" spans="1:458" s="2" customFormat="1" x14ac:dyDescent="0.2">
      <c r="A364" s="395">
        <v>25</v>
      </c>
      <c r="B364" s="396">
        <v>12</v>
      </c>
      <c r="C364" s="387">
        <f ca="1">Weather_data!$B363</f>
        <v>0</v>
      </c>
      <c r="D364" s="388">
        <f ca="1">Weather_data!$F363</f>
        <v>0</v>
      </c>
      <c r="E364" s="388">
        <f ca="1">Weather_data!$E363</f>
        <v>0</v>
      </c>
      <c r="F364" s="388">
        <f t="shared" ca="1" si="1280"/>
        <v>0</v>
      </c>
      <c r="G364" s="388">
        <f ca="1">AVERAGE($D364:$E364)+Control!$B$9</f>
        <v>0</v>
      </c>
      <c r="H364" s="388">
        <f ca="1">Weather_data!$G363</f>
        <v>0</v>
      </c>
      <c r="I364" s="388">
        <f ca="1">Weather_data!$I363</f>
        <v>0</v>
      </c>
      <c r="J364" s="388">
        <f ca="1">Weather_data!$H363</f>
        <v>0</v>
      </c>
      <c r="K364" s="389">
        <f ca="1">Weather_data!$D363</f>
        <v>0</v>
      </c>
      <c r="L364" s="388" t="e">
        <f t="shared" ca="1" si="1281"/>
        <v>#N/A</v>
      </c>
      <c r="M364" s="388" t="e">
        <f t="shared" ca="1" si="1158"/>
        <v>#N/A</v>
      </c>
      <c r="N364" s="388">
        <f t="shared" ca="1" si="1159"/>
        <v>-2.0786835710962799E-17</v>
      </c>
      <c r="O364" s="388">
        <f t="shared" ca="1" si="1282"/>
        <v>2.07868357109628E-16</v>
      </c>
      <c r="P364" s="390">
        <v>3</v>
      </c>
      <c r="Q364" s="388">
        <f ca="1">MAX($G364-Control!$C$107,0)</f>
        <v>0</v>
      </c>
      <c r="R364" s="388">
        <f t="shared" ca="1" si="1283"/>
        <v>0</v>
      </c>
      <c r="S364" s="388">
        <f t="shared" ca="1" si="1160"/>
        <v>0</v>
      </c>
      <c r="T364" s="388">
        <f t="shared" ca="1" si="1161"/>
        <v>0</v>
      </c>
      <c r="U364" s="59">
        <f t="shared" ca="1" si="1162"/>
        <v>0</v>
      </c>
      <c r="V364" s="391">
        <f ca="1">MAX(0,MIN(Control!$C$100-Control!$C$99,$G364-Control!$C$99)*Control!$C$63)</f>
        <v>0</v>
      </c>
      <c r="W364" s="388">
        <f t="shared" ca="1" si="1284"/>
        <v>0</v>
      </c>
      <c r="X364" s="388">
        <f t="shared" ca="1" si="1285"/>
        <v>0.6110000000000001</v>
      </c>
      <c r="Y364" s="388">
        <f t="shared" ca="1" si="1163"/>
        <v>0</v>
      </c>
      <c r="Z364" s="388">
        <f t="shared" ca="1" si="1286"/>
        <v>0.61058800000000002</v>
      </c>
      <c r="AA364" s="388">
        <f t="shared" ca="1" si="1164"/>
        <v>0.6018</v>
      </c>
      <c r="AB364" s="388">
        <f ca="1">101.3*EXP(-0.034*Control!$C$66/($G364+273))</f>
        <v>100.69623283836242</v>
      </c>
      <c r="AC364" s="392">
        <f t="shared" ca="1" si="1165"/>
        <v>4.3460251046025113E-2</v>
      </c>
      <c r="AD364" s="392">
        <f t="shared" ca="1" si="1166"/>
        <v>4.4450382862832649E-2</v>
      </c>
      <c r="AE364" s="388">
        <f t="shared" ca="1" si="1167"/>
        <v>0</v>
      </c>
      <c r="AF364" s="388">
        <f ca="1">MAX(0,$G364-Control!$C$92)</f>
        <v>0</v>
      </c>
      <c r="AG364" s="393">
        <f t="shared" ca="1" si="1168"/>
        <v>360</v>
      </c>
      <c r="AH364" s="389">
        <f t="shared" ca="1" si="1169"/>
        <v>360</v>
      </c>
      <c r="AI364" s="388">
        <f t="shared" ca="1" si="1287"/>
        <v>-0.40767490596733197</v>
      </c>
      <c r="AJ364" s="388">
        <f ca="1">IF(Control!$C$60&lt;=0,$HH364,$HI364)</f>
        <v>1</v>
      </c>
      <c r="AK364" s="388">
        <f t="shared" ca="1" si="1170"/>
        <v>4.8199777698911896</v>
      </c>
      <c r="AL364" s="388">
        <f t="shared" ca="1" si="1171"/>
        <v>-1.0823703044948728E-18</v>
      </c>
      <c r="AM364" s="388">
        <f t="shared" ca="1" si="1172"/>
        <v>4.8199777698911896</v>
      </c>
      <c r="AN364" s="388">
        <f t="shared" ca="1" si="1173"/>
        <v>-0.40661204627988057</v>
      </c>
      <c r="AO364" s="388">
        <f ca="1">-0.10453/COS(Control!$B$8*PI()/180)*COS(AN364)</f>
        <v>-0.15594162964879518</v>
      </c>
      <c r="AP364" s="388">
        <f ca="1">ACOS(AO364-TAN(Control!$B$8*PI()/180)*TAN(AN364))</f>
        <v>1.164496653399953</v>
      </c>
      <c r="AQ364" s="388">
        <f t="shared" ca="1" si="1288"/>
        <v>0</v>
      </c>
      <c r="AR364" s="394">
        <f t="shared" ca="1" si="1174"/>
        <v>0</v>
      </c>
      <c r="AS364" s="436">
        <f ca="1">IF(Control!$B$18=2,(IF(OR($AH364=Control!$B$175,$AH364=Control!$B$176,$AH364=Control!$B$177,$AH364=Control!$B$178,$AH364=Control!$B$179,$AH364=Control!$B$180,$AH364=Control!$B$181,$AH364=Control!$B$182,$AH364=Control!$B$183,$AH364=Control!$B$184,$AH364=Control!$B$185),1,0)),0)</f>
        <v>0</v>
      </c>
      <c r="AT364" s="436">
        <f>IF(Control!$B$20=8,IF(AND($AH364&gt;=Control!$B$172,$AH364&lt;=Control!$B$173),1,0),0)</f>
        <v>0</v>
      </c>
      <c r="AU364" s="436">
        <f>IF(Control!$B$20=8,IF($AV363=1,1*$AT364,IF($AT364=1,$AU363+1,$AU363)),0)</f>
        <v>0</v>
      </c>
      <c r="AV364" s="436">
        <f>IF(Control!$B$20=8,IF($AU364&gt;=Control!$B$174,1,0),0)</f>
        <v>0</v>
      </c>
      <c r="AW364" s="436">
        <f ca="1">IF(AND(Control!$B$18=2,Control!$B$171=1), $AV364, $AS364)</f>
        <v>0</v>
      </c>
      <c r="AX364" s="436" t="e">
        <f ca="1">IF(AND(Control!$B$18=1,$EU364&gt;=Control!$B$19),-$AY364,IF(AND(Control!$B$18=2,$AW364=1,$EU364&gt;$DS364),-$AY364, IF(Control!$C$108=0,0, IF(Control!$C$108&lt;&gt;0,1))))</f>
        <v>#N/A</v>
      </c>
      <c r="AY364" s="436" t="e">
        <f t="shared" ca="1" si="1289"/>
        <v>#N/A</v>
      </c>
      <c r="AZ364" s="436" t="e">
        <f ca="1">IF(AND(Control!$B$18=1,$EB364&gt;Control!$B$19),$AZ363+1, IF(AND(Control!$B$18=2, $AW364=1, $EB364&gt;$DS364), $AZ363+1,$AZ363))</f>
        <v>#N/A</v>
      </c>
      <c r="BA364" s="587">
        <f>IF(Control!$C$81=0,1,IF($AH364&gt;=Control!$C$82,1,0))</f>
        <v>1</v>
      </c>
      <c r="BB364" s="140" t="e">
        <f ca="1">IF($BA364&gt;$BA363,Control!$C$83,IF($AW364&gt;0,$AW364*Control!$C$84,IF(AND(Control!$B$18=1,EN363&lt;&gt;0),Control!$C$84,0)))</f>
        <v>#N/A</v>
      </c>
      <c r="BC364" s="140" t="e">
        <f t="shared" ca="1" si="1290"/>
        <v>#N/A</v>
      </c>
      <c r="BD364" s="140" t="e">
        <f ca="1">BC364*IF(OR($G364&lt;Control!$C$92,$G364&gt;Control!$C$95),0,IF(AND($G364&gt;=Control!$C$92,$G364&lt;=Control!$C$93),$G364-Control!$C$92,IF(AND($G364&gt;Control!$C$93,$G364&lt;=Control!$C$94),Control!$C$93-Control!$C$92,IF(AND($G364&gt;Control!$C$94,$G364&lt;=Control!$C$95),(Control!$C$93-Control!$C$92)*(Control!$C$94-$G364)/(Control!$C$95-Control!$C$94)))))</f>
        <v>#N/A</v>
      </c>
      <c r="BE364" s="140" t="e">
        <f t="shared" ca="1" si="1291"/>
        <v>#N/A</v>
      </c>
      <c r="BF364" s="140" t="e">
        <f ca="1">IF($BE364&lt;=Control!$C$86,$BE364,Control!$C$86-$BE364)</f>
        <v>#N/A</v>
      </c>
      <c r="BG364" s="140" t="e">
        <f ca="1">IF(AND($AW364=1,Control!$C$84&lt;9),1,IF($BE364&gt;=Control!$C$86,0,$BC364))</f>
        <v>#N/A</v>
      </c>
      <c r="BH364" s="404" t="e">
        <f ca="1">IF($BG364=0,0,IF($BE364&lt;=Control!$C$86,$BC364*9*($BF364/Control!$C$86),0))</f>
        <v>#N/A</v>
      </c>
      <c r="BI364" s="140" t="e">
        <f ca="1">IF($BG364=1,0,IF($BE364&gt;=Control!$C$86,1,IF(AND($BB364&lt;21,$BB364&gt;=9),1,$BM363)))</f>
        <v>#N/A</v>
      </c>
      <c r="BJ364" s="140" t="e">
        <f ca="1">IF($BF364&lt;0,-$BF364,$BI364*IF(OR($G364&lt;Control!$C$92,$G364&gt;Control!$C$95),0,IF(AND($G364&gt;=Control!$C$92,$G364&lt;=Control!$C$93),$G364-Control!$C$92,IF(AND($G364&gt;Control!$C$93,$G364&lt;=Control!$C$94),Control!$C$93-Control!$C$92,IF(AND($G364&gt;Control!$C$94,$G364&lt;=Control!$C$95),(Control!$C$93-Control!$C$92)*(Control!$C$94-$G364)/(Control!$C$95-Control!$C$94))))))</f>
        <v>#N/A</v>
      </c>
      <c r="BK364" s="140" t="e">
        <f t="shared" ca="1" si="1292"/>
        <v>#N/A</v>
      </c>
      <c r="BL364" s="140" t="e">
        <f ca="1">IF($BK364&lt;=Control!$C$87,$BK364,Control!$C$87-$BK364)</f>
        <v>#N/A</v>
      </c>
      <c r="BM364" s="140" t="e">
        <f ca="1">IF(AND($BB364&gt;=9,$BB364&lt;21),1,IF($BK364&gt;=Control!$C$87,0,$BI364))</f>
        <v>#N/A</v>
      </c>
      <c r="BN364" s="404" t="e">
        <f ca="1">IF($BM364=0,0,IF($BK364&lt;=Control!$C$87,$BI364*(9+(21-9)*($BL364/Control!$C$87)),0))</f>
        <v>#N/A</v>
      </c>
      <c r="BO364" s="140" t="e">
        <f ca="1">IF($BM364=1,0,IF($BK364&gt;=Control!$C$87,1,IF(AND($BB364&lt;30,$BB364&gt;=21),1,$BS363)))</f>
        <v>#N/A</v>
      </c>
      <c r="BP364" s="140" t="e">
        <f ca="1">IF($BL364&lt;0,-$BL364,$BO364*IF(OR($G364&lt;Control!$C$92,$G364&gt;Control!$C$95),0,IF(AND($G364&gt;=Control!$C$92,$G364&lt;=Control!$C$93),$G364-Control!$C$92,IF(AND($G364&gt;Control!$C$93,$G364&lt;=Control!$C$94),Control!$C$93-Control!$C$92,IF(AND($G364&gt;Control!$C$94,$G364&lt;=Control!$C$95),(Control!$C$93-Control!$C$92)*(Control!$C$94-$G364)/(Control!$C$95-Control!$C$94))))))</f>
        <v>#N/A</v>
      </c>
      <c r="BQ364" s="140" t="e">
        <f t="shared" ca="1" si="1175"/>
        <v>#N/A</v>
      </c>
      <c r="BR364" s="140" t="e">
        <f ca="1">IF($BQ364&lt;=Control!$C$88,$BQ364,Control!$C$88-$BQ364)</f>
        <v>#N/A</v>
      </c>
      <c r="BS364" s="140" t="e">
        <f ca="1">IF(AND($BB364&gt;=21,$BB364&lt;30),1,IF($BQ364&gt;=Control!$C$88,0,$BO364))</f>
        <v>#N/A</v>
      </c>
      <c r="BT364" s="404" t="e">
        <f ca="1">IF($BS364=0,0,IF($BQ364&lt;=Control!$C$88,$BO364*(21+(30-21)*(BR364/Control!$C$88)),0))</f>
        <v>#N/A</v>
      </c>
      <c r="BU364" s="140" t="e">
        <f ca="1">IF(BG364+BM364+BS364=1,0,IF(OR(AND($BB364&lt;60,$BB364&gt;=30),$BQ364&gt;=Control!$C$88),1*$BA364,$BY363))</f>
        <v>#N/A</v>
      </c>
      <c r="BV364" s="140" t="e">
        <f ca="1">IF($BR364&lt;0,-$BR364,$BU364*IF(OR($G364&lt;Control!$C$92,$G364&gt;Control!$C$95),0,IF(AND($G364&gt;=Control!$C$92,$G364&lt;=Control!$C$93),$G364-Control!$C$92,IF(AND($G364&gt;Control!$C$93,$G364&lt;=Control!$C$94),Control!$C$93-Control!$C$92,IF(AND($G364&gt;Control!$C$94,$G364&lt;=Control!$C$95),(Control!$C$93-Control!$C$92)*(Control!$C$94-$G364)/(Control!$C$95-Control!$C$94))))))</f>
        <v>#N/A</v>
      </c>
      <c r="BW364" s="140" t="e">
        <f t="shared" ca="1" si="1176"/>
        <v>#N/A</v>
      </c>
      <c r="BX364" s="140" t="e">
        <f ca="1">IF($BW364&lt;=Control!$C$89,$BW364,Control!$C$89-$BW364)</f>
        <v>#N/A</v>
      </c>
      <c r="BY364" s="140" t="e">
        <f ca="1">IF(AND($AJ364&gt;=30,$AJ364&lt;60),1,IF($BW364&gt;=Control!$C$89,0,$BU364))</f>
        <v>#N/A</v>
      </c>
      <c r="BZ364" s="404" t="e">
        <f ca="1">IF($BY364=0,0,IF($BW364&lt;=Control!$C$89,$BU364*(30+(60-30)*(BX364/Control!$C$89)),0))</f>
        <v>#N/A</v>
      </c>
      <c r="CA364" s="140" t="e">
        <f ca="1">IF($BG364+$BM364+$BS364+$BY364=1,0,IF(OR(AND($BB364&lt;65,$BB364&gt;=60),$BW364&gt;=Control!$C$89),1*$BA364,$CE363))</f>
        <v>#N/A</v>
      </c>
      <c r="CB364" s="140" t="e">
        <f ca="1">IF($BX364&lt;0,-$BX364,$CA364*IF(OR($G364&lt;Control!$C$92,$G364&gt;Control!$C$95),0,IF(AND($G364&gt;=Control!$C$92,$G364&lt;=Control!$C$93),$G364-Control!$C$92,IF(AND($G364&gt;Control!$C$93,$G364&lt;=Control!$C$94),Control!$C$93-Control!$C$92,IF(AND($G364&gt;Control!$C$94,$G364&lt;=Control!$C$95),(Control!$C$93-Control!$C$92)*(Control!$C$94-$G364)/(Control!$C$95-Control!$C$94))))))</f>
        <v>#N/A</v>
      </c>
      <c r="CC364" s="140" t="e">
        <f t="shared" ca="1" si="1293"/>
        <v>#N/A</v>
      </c>
      <c r="CD364" s="140" t="e">
        <f ca="1">IF($CC364&lt;=Control!$C$90,$CC364,Control!$C$90-$CC364)</f>
        <v>#N/A</v>
      </c>
      <c r="CE364" s="140" t="e">
        <f ca="1">IF(AND($BB364&gt;=60,$BB364&lt;65),1,IF($CC364&gt;=Control!$C$90,0,$CA364))</f>
        <v>#N/A</v>
      </c>
      <c r="CF364" s="404" t="e">
        <f ca="1">IF($CE364=0,0,IF($CC364&lt;=Control!$C$90,$CA364*(60+(65-60)*(CD364/Control!$C$90)),0))</f>
        <v>#N/A</v>
      </c>
      <c r="CG364" s="140" t="e">
        <f ca="1">IF($BG364+$BM364+$BS364+$BY364+$CE364=1,0,IF(OR(AND($BB364&lt;90,$BB364&gt;=65),$CC364&gt;=Control!$C$90),$BA364,$CK363))</f>
        <v>#N/A</v>
      </c>
      <c r="CH364" s="140" t="e">
        <f ca="1">IF($CD364&lt;0,-$CD364,$CG364*IF(OR($G364&lt;Control!$C$92,$G364&gt;Control!$C$95),0,IF(AND($G364&gt;=Control!$C$92,$G364&lt;=Control!$C$93),$G364-Control!$C$92,IF(AND($G364&gt;Control!$C$93,$G364&lt;=Control!$C$94),Control!$C$93-Control!$C$92,IF(AND($G364&gt;Control!$C$94,$G364&lt;=Control!$C$95),(Control!$C$93-Control!$C$92)*(Control!$C$94-$G364)/(Control!$C$95-Control!$C$94))))))</f>
        <v>#N/A</v>
      </c>
      <c r="CI364" s="140" t="e">
        <f t="shared" ca="1" si="1294"/>
        <v>#N/A</v>
      </c>
      <c r="CJ364" s="140" t="e">
        <f ca="1">IF($CI364&lt;=Control!$C$91,$CI364,Control!$C$91-$CI364)</f>
        <v>#N/A</v>
      </c>
      <c r="CK364" s="140" t="e">
        <f ca="1">IF(AND($BB364&gt;=65,$BB364&lt;90),1,IF($CI364&gt;=Control!$C$91,0,$CG364))</f>
        <v>#N/A</v>
      </c>
      <c r="CL364" s="404" t="e">
        <f ca="1">IF($CK364=0,0,IF($CI364&lt;=Control!$C$91,$CG364*(65+(90-65)*($CJ364/Control!$C$91)),0))</f>
        <v>#N/A</v>
      </c>
      <c r="CM364" s="140" t="e">
        <f ca="1">IF($BG364+$BM364+$BS364+$BY364+$CE364+$CK364=1,0,IF(OR($BB364&gt;=90,$CI364&gt;=Control!$C$91),$BA364,$CM363))</f>
        <v>#N/A</v>
      </c>
      <c r="CN364" s="140" t="e">
        <f t="shared" ca="1" si="1295"/>
        <v>#N/A</v>
      </c>
      <c r="CO364" s="140" t="e">
        <f t="shared" ca="1" si="1296"/>
        <v>#N/A</v>
      </c>
      <c r="CP364" s="140" t="e">
        <f t="shared" ca="1" si="1297"/>
        <v>#N/A</v>
      </c>
      <c r="CQ364" s="141" t="e">
        <f ca="1">VLOOKUP($CP364,Control!$B$86:$G$91,6)</f>
        <v>#N/A</v>
      </c>
      <c r="CR364" s="141" t="e">
        <f ca="1">(1-$CQ364)*VLOOKUP($CP364,Control!$B$86:$D$91,3)</f>
        <v>#N/A</v>
      </c>
      <c r="CS364" s="141" t="e">
        <f ca="1">(1-$CQ364)*VLOOKUP($CP364,Control!$B$86:$E$91,4)</f>
        <v>#N/A</v>
      </c>
      <c r="CT364" s="141" t="e">
        <f ca="1">(1-$CQ364)*VLOOKUP($CP364,Control!$B$86:$F$91,5)</f>
        <v>#N/A</v>
      </c>
      <c r="CU364" s="141">
        <f t="shared" ca="1" si="1298"/>
        <v>0</v>
      </c>
      <c r="CV364" s="583">
        <f t="shared" ca="1" si="1299"/>
        <v>0</v>
      </c>
      <c r="CW364" s="142">
        <f t="shared" ca="1" si="1300"/>
        <v>360</v>
      </c>
      <c r="CX364" s="612" t="e">
        <f ca="1">IF(Control!$C$114=1,(MIN(Control!$C$120*(IF($NT364-0.01&lt;0,0,1)),Control!$C$119-$CY364)))</f>
        <v>#DIV/0!</v>
      </c>
      <c r="CY364" s="143" t="e">
        <f t="shared" ca="1" si="1301"/>
        <v>#N/A</v>
      </c>
      <c r="CZ364" s="144">
        <f t="shared" ca="1" si="1177"/>
        <v>0</v>
      </c>
      <c r="DA364" s="144">
        <f t="shared" ca="1" si="1178"/>
        <v>0</v>
      </c>
      <c r="DB364" s="144" t="e">
        <f t="shared" ca="1" si="1179"/>
        <v>#N/A</v>
      </c>
      <c r="DC364" s="144" t="e">
        <f t="shared" ca="1" si="1180"/>
        <v>#N/A</v>
      </c>
      <c r="DD364" s="144" t="e">
        <f t="shared" ca="1" si="1386"/>
        <v>#N/A</v>
      </c>
      <c r="DE364" s="143" t="e">
        <f t="shared" ca="1" si="1302"/>
        <v>#N/A</v>
      </c>
      <c r="DF364" s="145" t="e">
        <f ca="1">$DR364*EXP(-Control!$C$158*(1-$KH364))</f>
        <v>#N/A</v>
      </c>
      <c r="DG364" s="146" t="e">
        <f ca="1">IF(Control!$C$114=1, $DF364*$EY364, 0)</f>
        <v>#N/A</v>
      </c>
      <c r="DH364" s="147" t="e">
        <f t="shared" ca="1" si="1303"/>
        <v>#N/A</v>
      </c>
      <c r="DI364" s="144" t="e">
        <f t="shared" ca="1" si="1364"/>
        <v>#N/A</v>
      </c>
      <c r="DJ364" s="147" t="e">
        <f ca="1">$EF364*Control!$C$109</f>
        <v>#N/A</v>
      </c>
      <c r="DK364" s="144" t="e">
        <f t="shared" ca="1" si="1304"/>
        <v>#N/A</v>
      </c>
      <c r="DL364" s="144" t="e">
        <f t="shared" ca="1" si="1181"/>
        <v>#N/A</v>
      </c>
      <c r="DM364" s="144" t="e">
        <f ca="1">IF(Control!$C$114=1, (1-EXP(-Control!$C$96*$DK364))*$AR364, 0)</f>
        <v>#N/A</v>
      </c>
      <c r="DN364" s="144">
        <f t="shared" ca="1" si="1305"/>
        <v>0</v>
      </c>
      <c r="DO364" s="148">
        <f>Control!$C$97</f>
        <v>4</v>
      </c>
      <c r="DP364" s="145" t="e">
        <f t="shared" ca="1" si="1306"/>
        <v>#N/A</v>
      </c>
      <c r="DQ364" s="145" t="e">
        <f ca="1">IF(AND($CP364&gt;=0,$CP364&lt;=90),Control!$C$111,Control!$C$111)</f>
        <v>#N/A</v>
      </c>
      <c r="DR364" s="145" t="e">
        <f t="shared" ca="1" si="1182"/>
        <v>#N/A</v>
      </c>
      <c r="DS364" s="143" t="e">
        <f ca="1">Control!$B$22/$DR364</f>
        <v>#N/A</v>
      </c>
      <c r="DT364" s="149" t="e">
        <f ca="1">IF(AND(Control!$C$114=1,$KH364&lt;1),$IM364*$DF364, 0)</f>
        <v>#N/A</v>
      </c>
      <c r="DU364" s="144" t="e">
        <f t="shared" ca="1" si="1307"/>
        <v>#N/A</v>
      </c>
      <c r="DV364" s="144">
        <f ca="1">IF($G364-Control!$C$107&lt;=0, 0, 0.83*LN(MAX($G364, 3))-0.8924)</f>
        <v>0</v>
      </c>
      <c r="DW364" s="144" t="e">
        <f t="shared" ca="1" si="1183"/>
        <v>#N/A</v>
      </c>
      <c r="DX364" s="150" t="e">
        <f ca="1">MAX(0.01*(1+$CU364/Control!$C$102),0.05*($DK364-Control!$C$97)/Control!$C$97)</f>
        <v>#N/A</v>
      </c>
      <c r="DY364" s="151" t="e">
        <f ca="1">IF(Control!$C$114=1, $DI364*$FS364, 0)</f>
        <v>#N/A</v>
      </c>
      <c r="DZ364" s="196" t="e">
        <f t="shared" ca="1" si="1308"/>
        <v>#N/A</v>
      </c>
      <c r="EA364" s="152">
        <f t="shared" ca="1" si="1309"/>
        <v>360</v>
      </c>
      <c r="EB364" s="153" t="e">
        <f t="shared" ca="1" si="1310"/>
        <v>#N/A</v>
      </c>
      <c r="EC364" s="153" t="e">
        <f t="shared" ca="1" si="1311"/>
        <v>#N/A</v>
      </c>
      <c r="ED364" s="154" t="e">
        <f ca="1">IF(Control!$C$114=1, $HM364*$FY364-$FD364, 0)</f>
        <v>#DIV/0!</v>
      </c>
      <c r="EE364" s="155" t="e">
        <f ca="1">IF(Control!$C$114=1, $HM364*$FZ364-$FF364, 0)</f>
        <v>#DIV/0!</v>
      </c>
      <c r="EF364" s="153" t="e">
        <f t="shared" ca="1" si="1365"/>
        <v>#N/A</v>
      </c>
      <c r="EG364" s="155" t="e">
        <f ca="1">IF(Control!$C$114=1, $GX364*$FW364-$FI364, 0)</f>
        <v>#DIV/0!</v>
      </c>
      <c r="EH364" s="153" t="e">
        <f t="shared" ca="1" si="1312"/>
        <v>#N/A</v>
      </c>
      <c r="EI364" s="156" t="e">
        <f t="shared" ca="1" si="1313"/>
        <v>#N/A</v>
      </c>
      <c r="EJ364" s="155" t="e">
        <f ca="1">IF(Control!$C$114=1, $HM364*$GB364, 0)</f>
        <v>#DIV/0!</v>
      </c>
      <c r="EK364" s="153" t="e">
        <f t="shared" ca="1" si="1366"/>
        <v>#N/A</v>
      </c>
      <c r="EL364" s="153" t="e">
        <f t="shared" ca="1" si="1184"/>
        <v>#N/A</v>
      </c>
      <c r="EM364" s="153" t="e">
        <f t="shared" ca="1" si="1185"/>
        <v>#N/A</v>
      </c>
      <c r="EN364" s="153" t="e">
        <f ca="1">IF(Control!$C$108=1,IF(AND(Control!$B$18=1,$EB364&gt;=Control!$B$19),$EB364-$DS364,IF(AND(Control!$B$18=2,$AW364=1,$EB364&gt;$DS364),$EB364-$DS364,0)))</f>
        <v>#N/A</v>
      </c>
      <c r="EO364" s="153" t="e">
        <f ca="1">IF(Control!$C$108=1,IF(AND(Control!$B$18=1,$EB364&gt;=Control!$B$19),$EF364,IF(AND(Control!$B$18=2,$AW364=1),$EF364,0)))</f>
        <v>#N/A</v>
      </c>
      <c r="EP364" s="153" t="e">
        <f ca="1">IF(Control!$C$108=1,IF(AND(Control!$B$18=1,$EB364&gt;=Control!$B$19),$EK364,IF(AND(Control!$B$18=2,$AW364=1),$EK364,0)))</f>
        <v>#N/A</v>
      </c>
      <c r="EQ364" s="153" t="e">
        <f t="shared" ca="1" si="1314"/>
        <v>#N/A</v>
      </c>
      <c r="ER364" s="153" t="e">
        <f t="shared" ca="1" si="1315"/>
        <v>#N/A</v>
      </c>
      <c r="ES364" s="153" t="e">
        <f t="shared" ca="1" si="1367"/>
        <v>#N/A</v>
      </c>
      <c r="ET364" s="153" t="e">
        <f t="shared" ca="1" si="1368"/>
        <v>#N/A</v>
      </c>
      <c r="EU364" s="153" t="e">
        <f t="shared" ca="1" si="1316"/>
        <v>#N/A</v>
      </c>
      <c r="EV364" s="153" t="e">
        <f t="shared" ca="1" si="1186"/>
        <v>#N/A</v>
      </c>
      <c r="EW364" s="153" t="e">
        <f t="shared" ca="1" si="1187"/>
        <v>#N/A</v>
      </c>
      <c r="EX364" s="153" t="e">
        <f t="shared" ca="1" si="1188"/>
        <v>#N/A</v>
      </c>
      <c r="EY364" s="157" t="e">
        <f t="shared" ca="1" si="1189"/>
        <v>#DIV/0!</v>
      </c>
      <c r="EZ364" s="154" t="e">
        <f t="shared" ca="1" si="1190"/>
        <v>#DIV/0!</v>
      </c>
      <c r="FA364" s="153" t="e">
        <f t="shared" ca="1" si="1317"/>
        <v>#N/A</v>
      </c>
      <c r="FB364" s="153" t="e">
        <f t="shared" ca="1" si="1191"/>
        <v>#N/A</v>
      </c>
      <c r="FC364" s="193" t="e">
        <f t="shared" ca="1" si="1192"/>
        <v>#N/A</v>
      </c>
      <c r="FD364" s="158" t="e">
        <f t="shared" ca="1" si="1318"/>
        <v>#N/A</v>
      </c>
      <c r="FE364" s="158" t="e">
        <f t="shared" ca="1" si="1319"/>
        <v>#N/A</v>
      </c>
      <c r="FF364" s="159" t="e">
        <f t="shared" ca="1" si="1193"/>
        <v>#N/A</v>
      </c>
      <c r="FG364" s="160" t="e">
        <f t="shared" ca="1" si="1320"/>
        <v>#N/A</v>
      </c>
      <c r="FH364" s="158" t="e">
        <f t="shared" ca="1" si="1321"/>
        <v>#N/A</v>
      </c>
      <c r="FI364" s="159" t="e">
        <f t="shared" ca="1" si="1194"/>
        <v>#N/A</v>
      </c>
      <c r="FJ364" s="160" t="e">
        <f t="shared" ca="1" si="1322"/>
        <v>#N/A</v>
      </c>
      <c r="FK364" s="160" t="e">
        <f t="shared" ca="1" si="1195"/>
        <v>#N/A</v>
      </c>
      <c r="FL364" s="160" t="e">
        <f t="shared" ca="1" si="1369"/>
        <v>#N/A</v>
      </c>
      <c r="FM364" s="160" t="e">
        <f t="shared" ca="1" si="1196"/>
        <v>#N/A</v>
      </c>
      <c r="FN364" s="158">
        <f t="shared" ca="1" si="1323"/>
        <v>0.01</v>
      </c>
      <c r="FO364" s="160">
        <f>Control!$C$101</f>
        <v>50</v>
      </c>
      <c r="FP364" s="150" t="e">
        <f t="shared" ca="1" si="1197"/>
        <v>#N/A</v>
      </c>
      <c r="FQ364" s="150" t="e">
        <f ca="1">MAX(0,(Control!$C$112*(($DK364-Control!$C$97)/Control!$C$97)))</f>
        <v>#N/A</v>
      </c>
      <c r="FR364" s="150" t="e">
        <f ca="1">(1-$NT364)*Control!$C$113</f>
        <v>#DIV/0!</v>
      </c>
      <c r="FS364" s="198" t="e">
        <f t="shared" ca="1" si="1198"/>
        <v>#N/A</v>
      </c>
      <c r="FT364" s="161">
        <f t="shared" ca="1" si="1324"/>
        <v>360</v>
      </c>
      <c r="FU364" s="162" t="e">
        <f ca="1">IF(Control!$B$34=1,VLOOKUP($CP364,Control!$B$86:$G$91,6),Control!$B$35)</f>
        <v>#N/A</v>
      </c>
      <c r="FV364" s="162" t="e">
        <f t="shared" ca="1" si="1199"/>
        <v>#DIV/0!</v>
      </c>
      <c r="FW364" s="162" t="e">
        <f ca="1">IF(Control!$B$31=1,$FU364*$FV364,  $FU364)</f>
        <v>#N/A</v>
      </c>
      <c r="FX364" s="162" t="e">
        <f ca="1">IF(Control!$B$34=1,VLOOKUP($CP364,Control!$B$86:$G$91,3),Control!$B$36)</f>
        <v>#N/A</v>
      </c>
      <c r="FY364" s="162" t="e">
        <f t="shared" ca="1" si="1200"/>
        <v>#N/A</v>
      </c>
      <c r="FZ364" s="162" t="e">
        <f ca="1">IF(Control!$B$34=1,VLOOKUP($CP364,Control!$B$86:$G$91,4),Control!$B$37)</f>
        <v>#N/A</v>
      </c>
      <c r="GA364" s="162" t="e">
        <f t="shared" ca="1" si="1201"/>
        <v>#N/A</v>
      </c>
      <c r="GB364" s="162" t="e">
        <f ca="1">IF(Control!$B$34=1,VLOOKUP($CP364,Control!$B$86:$G$91,5),Control!$B$38)</f>
        <v>#N/A</v>
      </c>
      <c r="GC364" s="162" t="e">
        <f t="shared" ca="1" si="1325"/>
        <v>#N/A</v>
      </c>
      <c r="GD364" s="162">
        <f t="shared" ca="1" si="1202"/>
        <v>1</v>
      </c>
      <c r="GE364" s="162">
        <f t="shared" ca="1" si="1203"/>
        <v>1</v>
      </c>
      <c r="GF364" s="162">
        <f ca="1">IF(AND(Control!$C$104=1, Control!$C$62="F"),$GE364,1)</f>
        <v>1</v>
      </c>
      <c r="GG364" s="162" t="e">
        <f ca="1">IF(Control!$B$16=40,0,IF(AND(Control!$B$16&gt;40,Control!$B$16&lt;=360),(Control!$B$16-40)*((1-0)/(360-40)),IF(AND(Control!$B$16&gt;360,Control!$B$16&lt;=720),(1+(Control!$B$16-360)*((1.25-1)/(720-360))),IF(AND(Control!$B$16&gt;720,Control!$B$16&lt;=1000),(1.25+(Control!$B$16-720)*((1.35-1.25)/(1000-720))),IF(AND(Control!$B$16&gt;1000,Control!$B$16&lt;=2000),(1.35+(Control!$B$16-1000)*0))))))</f>
        <v>#N/A</v>
      </c>
      <c r="GH364" s="162" t="e">
        <f t="shared" ca="1" si="1204"/>
        <v>#N/A</v>
      </c>
      <c r="GI364" s="162">
        <f t="shared" ca="1" si="1326"/>
        <v>0</v>
      </c>
      <c r="GJ364" s="162">
        <f t="shared" ca="1" si="1205"/>
        <v>0</v>
      </c>
      <c r="GK364" s="162">
        <f t="shared" ca="1" si="1327"/>
        <v>1</v>
      </c>
      <c r="GL364" s="162">
        <f t="shared" ca="1" si="1206"/>
        <v>1</v>
      </c>
      <c r="GM364" s="162" t="e">
        <f ca="1">MAX(0,MIN(1,1-Control!$C$156*(1.0001-$KH364)^2))</f>
        <v>#N/A</v>
      </c>
      <c r="GN364" s="162" t="e">
        <f ca="1">IF(Control!$B$26=1,$KU364,$KX364)</f>
        <v>#N/A</v>
      </c>
      <c r="GO364" s="162" t="e">
        <f ca="1">IF($CP364&lt;=60,Control!$C$105,IF($CP364&gt;=90,Control!$C$106,Control!$C$105+($CP364-60)*((Control!$C$106-Control!$C$105)/(90-60))))</f>
        <v>#N/A</v>
      </c>
      <c r="GP364" s="162" t="e">
        <f t="shared" ca="1" si="1207"/>
        <v>#N/A</v>
      </c>
      <c r="GQ364" s="162" t="e">
        <f t="shared" ca="1" si="1328"/>
        <v>#N/A</v>
      </c>
      <c r="GR364" s="163" t="e">
        <f t="shared" ca="1" si="1208"/>
        <v>#DIV/0!</v>
      </c>
      <c r="GS364" s="162" t="e">
        <f t="shared" ca="1" si="1209"/>
        <v>#DIV/0!</v>
      </c>
      <c r="GT364" s="164" t="e">
        <f t="shared" ca="1" si="1329"/>
        <v>#N/A</v>
      </c>
      <c r="GU364" s="162" t="e">
        <f t="shared" ca="1" si="1330"/>
        <v>#N/A</v>
      </c>
      <c r="GV364" s="162" t="e">
        <f t="shared" ca="1" si="1210"/>
        <v>#N/A</v>
      </c>
      <c r="GW364" s="162" t="e">
        <f t="shared" ca="1" si="1211"/>
        <v>#DIV/0!</v>
      </c>
      <c r="GX364" s="162" t="e">
        <f t="shared" ca="1" si="1331"/>
        <v>#DIV/0!</v>
      </c>
      <c r="GY364" s="162" t="e">
        <f t="shared" ca="1" si="1332"/>
        <v>#DIV/0!</v>
      </c>
      <c r="GZ364" s="165" t="e">
        <f t="shared" ca="1" si="1212"/>
        <v>#N/A</v>
      </c>
      <c r="HA364" s="162" t="e">
        <f ca="1">IF(Control!$C$114=1, $DI364*$FS364, 0)</f>
        <v>#N/A</v>
      </c>
      <c r="HB364" s="162" t="e">
        <f ca="1">$FA364/Control!$C$64</f>
        <v>#N/A</v>
      </c>
      <c r="HC364" s="162" t="e">
        <f t="shared" ca="1" si="1213"/>
        <v>#DIV/0!</v>
      </c>
      <c r="HD364" s="162">
        <f ca="1">-ASIN(SIN(23.45*Control!$C$139)*COS(2*Control!$C$138*($AH364+10)/365))</f>
        <v>-0.40767490596733197</v>
      </c>
      <c r="HE364" s="165">
        <f t="shared" ca="1" si="1333"/>
        <v>0</v>
      </c>
      <c r="HF364" s="166">
        <f ca="1">IF(AND(Control!$C$61="T",$HE364&gt;=Control!$C$103,Control!$C$114=0),$AH364,Control!$C$59)</f>
        <v>1</v>
      </c>
      <c r="HG364" s="166">
        <f ca="1">IF(AND(Control!$C$61="T",$HE364&gt;=Control!$C$103,Control!$C$114=0),$HF364,Control!$C$59)</f>
        <v>1</v>
      </c>
      <c r="HH364" s="165">
        <f ca="1">IF(AND(OR(Control!$C$60&lt;=0, $AH364= Control!$C$59, Control!$C$60 &gt;0, $AH364 = Control!$C$60)), Control!$C$59, IF(Control!$C$60&gt;0, 0))</f>
        <v>1</v>
      </c>
      <c r="HI364" s="165">
        <f ca="1">IF(AND(OR(Control!$C$60&lt;=0, $AH364= Control!$C$59, Control!$C$60 &gt;0, $AH364 = Control!$C$60)), Control!$C$60, IF(Control!$C$60&lt;=0, 0))</f>
        <v>0</v>
      </c>
      <c r="HJ364" s="166">
        <f ca="1">IF(AND(Control!$C$62="F",$CV364&gt;=Control!$C$102),$AH364,0)</f>
        <v>0</v>
      </c>
      <c r="HK364" s="165" t="e">
        <f t="shared" ca="1" si="1370"/>
        <v>#N/A</v>
      </c>
      <c r="HL364" s="166">
        <f ca="1">IF(AND(Control!$C$61="T",$HE364&gt;=Control!$C$103,Control!$C$114=0),$HF364,0)</f>
        <v>0</v>
      </c>
      <c r="HM364" s="201" t="e">
        <f t="shared" ca="1" si="1214"/>
        <v>#DIV/0!</v>
      </c>
      <c r="HN364" s="215">
        <f t="shared" ca="1" si="1334"/>
        <v>360</v>
      </c>
      <c r="HO364" s="216" t="e">
        <f ca="1">IF(AND($CP364&gt;=0, $CP364&lt;=90), Control!$C$152, Control!$C$152)</f>
        <v>#N/A</v>
      </c>
      <c r="HP364" s="216" t="e">
        <f t="shared" ca="1" si="1215"/>
        <v>#N/A</v>
      </c>
      <c r="HQ364" s="217" t="e">
        <f ca="1">IF(OR(Control!$B$26=1,Control!$B$26=2),$KV364,$KS364)</f>
        <v>#DIV/0!</v>
      </c>
      <c r="HR364" s="218" t="e">
        <f t="shared" ca="1" si="1371"/>
        <v>#DIV/0!</v>
      </c>
      <c r="HS364" s="216" t="e">
        <f ca="1">Control!$C$154*$HP364</f>
        <v>#N/A</v>
      </c>
      <c r="HT364" s="216" t="e">
        <f ca="1">Control!$C$155*$HP364</f>
        <v>#N/A</v>
      </c>
      <c r="HU364" s="217" t="e">
        <f ca="1">Control!$C$161*$FI364</f>
        <v>#N/A</v>
      </c>
      <c r="HV364" s="218" t="e">
        <f t="shared" ca="1" si="1335"/>
        <v>#N/A</v>
      </c>
      <c r="HW364" s="218" t="e">
        <f ca="1">Control!$C$160*$FF364+$IP364*$EO364</f>
        <v>#N/A</v>
      </c>
      <c r="HX364" s="218" t="e">
        <f t="shared" ca="1" si="1372"/>
        <v>#N/A</v>
      </c>
      <c r="HY364" s="219" t="e">
        <f ca="1">IF(Control!$C$114=1, $EB364*$FS364, 0)</f>
        <v>#N/A</v>
      </c>
      <c r="HZ364" s="91" t="e">
        <f t="shared" ca="1" si="1216"/>
        <v>#N/A</v>
      </c>
      <c r="IA364" s="220" t="e">
        <f ca="1">Control!$C$153*$HO364</f>
        <v>#N/A</v>
      </c>
      <c r="IB364" s="218" t="e">
        <f t="shared" ca="1" si="1217"/>
        <v>#N/A</v>
      </c>
      <c r="IC364" s="220" t="e">
        <f ca="1">Control!$C$153*$HT364</f>
        <v>#N/A</v>
      </c>
      <c r="ID364" s="218" t="e">
        <f t="shared" ca="1" si="1218"/>
        <v>#N/A</v>
      </c>
      <c r="IE364" s="221" t="e">
        <f ca="1">($EB364*Control!$C$159+$EF364*Control!$C$160)/(IF($GZ364&lt;&gt;0,$GZ364,1))</f>
        <v>#N/A</v>
      </c>
      <c r="IF364" s="216" t="e">
        <f t="shared" ca="1" si="1219"/>
        <v>#N/A</v>
      </c>
      <c r="IG364" s="91">
        <f ca="1">IF(OR(Control!$B$198=$AH364,Control!$B$199=$AH364, Control!$B$200=$AH364, Control!$B$201=$AH364, Control!$B$202=$AH364, Control!$B$203=$AH364, Control!$B$204=$AH364, Control!$B$205=$AH364, Control!$B$206=$AH364, Control!$B$207=$AH364), 1, 0)</f>
        <v>0</v>
      </c>
      <c r="IH364" s="91">
        <f ca="1">IF($IG364=0,0, VLOOKUP($AH364,Control!$B$198:$C$207,2))</f>
        <v>0</v>
      </c>
      <c r="II364" s="222">
        <f t="shared" ca="1" si="1336"/>
        <v>0</v>
      </c>
      <c r="IJ364" s="91">
        <f>Control!$C$121</f>
        <v>0.7</v>
      </c>
      <c r="IK364" s="218">
        <f t="shared" ca="1" si="1220"/>
        <v>0</v>
      </c>
      <c r="IL364" s="217" t="e">
        <f t="shared" ca="1" si="1373"/>
        <v>#N/A</v>
      </c>
      <c r="IM364" s="223" t="e">
        <f ca="1">IF(AND(Control!$C$114=1,$KH364&lt;1),$EB364*Control!$C$148*(1-$KH364), 0)</f>
        <v>#N/A</v>
      </c>
      <c r="IN364" s="217" t="e">
        <f t="shared" ca="1" si="1221"/>
        <v>#DIV/0!</v>
      </c>
      <c r="IO364" s="91" t="e">
        <f ca="1">MAX(0,$IL364-$EF364*Control!$C$160)</f>
        <v>#N/A</v>
      </c>
      <c r="IP364" s="220" t="e">
        <f t="shared" ca="1" si="1222"/>
        <v>#N/A</v>
      </c>
      <c r="IQ364" s="217" t="e">
        <f t="shared" ca="1" si="1337"/>
        <v>#N/A</v>
      </c>
      <c r="IR364" s="218" t="e">
        <f t="shared" ca="1" si="1223"/>
        <v>#N/A</v>
      </c>
      <c r="IS364" s="217" t="e">
        <f ca="1">Control!$C$159*MAX(0,$FD364-$EN364)</f>
        <v>#N/A</v>
      </c>
      <c r="IT364" s="217" t="e">
        <f t="shared" ca="1" si="1374"/>
        <v>#N/A</v>
      </c>
      <c r="IU364" s="217" t="e">
        <f t="shared" ca="1" si="1338"/>
        <v>#N/A</v>
      </c>
      <c r="IV364" s="217" t="e">
        <f t="shared" ca="1" si="1375"/>
        <v>#N/A</v>
      </c>
      <c r="IW364" s="217" t="e">
        <f ca="1">IF(OR($AW364=1,AND($AW364=0, Control!$B$18=1,$EN364&lt;&gt;0)), $IQ364-$IU364, $IQ364)</f>
        <v>#N/A</v>
      </c>
      <c r="IX364" s="218" t="e">
        <f t="shared" ca="1" si="1224"/>
        <v>#N/A</v>
      </c>
      <c r="IY364" s="218" t="e">
        <f ca="1">MAX(0,$IQ364-$EB364*Control!$C$159)</f>
        <v>#N/A</v>
      </c>
      <c r="IZ364" s="218" t="e">
        <f t="shared" ca="1" si="1225"/>
        <v>#N/A</v>
      </c>
      <c r="JA364" s="216" t="e">
        <f t="shared" ca="1" si="1226"/>
        <v>#N/A</v>
      </c>
      <c r="JB364" s="217" t="e">
        <f t="shared" ca="1" si="1227"/>
        <v>#N/A</v>
      </c>
      <c r="JC364" s="222" t="e">
        <f ca="1">MAX(Control!$C$157*$EK364-$JT364, 0)/Control!$C$162</f>
        <v>#N/A</v>
      </c>
      <c r="JD364" s="218" t="e">
        <f t="shared" ca="1" si="1228"/>
        <v>#N/A</v>
      </c>
      <c r="JE364" s="218" t="e">
        <f t="shared" ca="1" si="1229"/>
        <v>#N/A</v>
      </c>
      <c r="JF364" s="218" t="e">
        <f t="shared" ca="1" si="1339"/>
        <v>#N/A</v>
      </c>
      <c r="JG364" s="218" t="e">
        <f t="shared" ca="1" si="1230"/>
        <v>#N/A</v>
      </c>
      <c r="JH364" s="217" t="e">
        <f t="shared" ca="1" si="1340"/>
        <v>#N/A</v>
      </c>
      <c r="JI364" s="217" t="e">
        <f t="shared" ca="1" si="1341"/>
        <v>#N/A</v>
      </c>
      <c r="JJ364" s="217" t="e">
        <f t="shared" ca="1" si="1376"/>
        <v>#N/A</v>
      </c>
      <c r="JK364" s="217" t="e">
        <f ca="1">IF(Control!$C$114=1,IF(Control!$B$24=0,MAX(0,$JI364)*$GN364/Control!$C$64,(MAX(0,MIN($JI364,$JJ364*$GN364/Control!$C$64),0))))</f>
        <v>#N/A</v>
      </c>
      <c r="JL364" s="217" t="e">
        <f ca="1">$IK364/Control!$C$64-$JK364+$HQ364</f>
        <v>#N/A</v>
      </c>
      <c r="JM364" s="217" t="e">
        <f ca="1">IF(Control!$C$114=1,($JB364/(IF($JI364&lt;&gt;0,$JI364,1)))*$JK364,0)</f>
        <v>#N/A</v>
      </c>
      <c r="JN364" s="217" t="e">
        <f ca="1">IF(Control!$C$114=1,($JG364/(IF($JI364&lt;&gt;0,$JI364,1)))*$JK364, 0)</f>
        <v>#N/A</v>
      </c>
      <c r="JO364" s="218" t="e">
        <f t="shared" ca="1" si="1231"/>
        <v>#N/A</v>
      </c>
      <c r="JP364" s="218" t="e">
        <f ca="1">MIN(($IY364+$IO364)*Control!$C$151, $JF364-$EH364*Control!$C$161)</f>
        <v>#N/A</v>
      </c>
      <c r="JQ364" s="218" t="e">
        <f t="shared" ca="1" si="1232"/>
        <v>#N/A</v>
      </c>
      <c r="JR364" s="217" t="e">
        <f ca="1">IF($CP364-Control!$C$150&lt;0, 0, $JQ364/Control!$C$162)</f>
        <v>#N/A</v>
      </c>
      <c r="JS364" s="218" t="e">
        <f t="shared" ca="1" si="1233"/>
        <v>#N/A</v>
      </c>
      <c r="JT364" s="218" t="e">
        <f t="shared" ca="1" si="1342"/>
        <v>#N/A</v>
      </c>
      <c r="JU364" s="218" t="e">
        <f t="shared" ca="1" si="1234"/>
        <v>#N/A</v>
      </c>
      <c r="JV364" s="218" t="e">
        <f t="shared" ca="1" si="1235"/>
        <v>#N/A</v>
      </c>
      <c r="JW364" s="216" t="e">
        <f t="shared" ca="1" si="1236"/>
        <v>#N/A</v>
      </c>
      <c r="JX364" s="91" t="e">
        <f t="shared" ca="1" si="1237"/>
        <v>#N/A</v>
      </c>
      <c r="JY364" s="218" t="e">
        <f t="shared" ca="1" si="1238"/>
        <v>#N/A</v>
      </c>
      <c r="JZ364" s="217" t="e">
        <f ca="1">IF(Control!$C$114=1,($IZ364/(IF($JI364&lt;&gt;0,$JI364,1)))*$JK364, 0)</f>
        <v>#N/A</v>
      </c>
      <c r="KA364" s="218" t="e">
        <f t="shared" ca="1" si="1377"/>
        <v>#N/A</v>
      </c>
      <c r="KB364" s="218" t="e">
        <f t="shared" ca="1" si="1343"/>
        <v>#N/A</v>
      </c>
      <c r="KC364" s="218" t="e">
        <f t="shared" ca="1" si="1239"/>
        <v>#N/A</v>
      </c>
      <c r="KD364" s="218" t="e">
        <f t="shared" ca="1" si="1240"/>
        <v>#N/A</v>
      </c>
      <c r="KE364" s="218" t="e">
        <f t="shared" ca="1" si="1241"/>
        <v>#N/A</v>
      </c>
      <c r="KF364" s="218" t="e">
        <f t="shared" ca="1" si="1242"/>
        <v>#N/A</v>
      </c>
      <c r="KG364" s="216" t="e">
        <f t="shared" ca="1" si="1243"/>
        <v>#N/A</v>
      </c>
      <c r="KH364" s="221" t="e">
        <f ca="1">IF(Control!$B$24=0,1,MAX(0.001,MIN(1,IF(($IF364-$IE364)&lt;&gt;0,($KG364-$IE364)/($IF364-$IE364),1))))</f>
        <v>#N/A</v>
      </c>
      <c r="KI364" s="222" t="e">
        <f ca="1">IF(Control!$C$114=1, $KI363+ $KH363, 0)</f>
        <v>#N/A</v>
      </c>
      <c r="KJ364" s="217" t="e">
        <f t="shared" ca="1" si="1244"/>
        <v>#N/A</v>
      </c>
      <c r="KK364" s="218" t="e">
        <f t="shared" ca="1" si="1245"/>
        <v>#N/A</v>
      </c>
      <c r="KL364" s="274" t="e">
        <f ca="1">IF(Control!$B$26=3,4000000000*EXP(-8400/($G364+273)),IF(Control!$B$26=4,4000000000*EXP(-8400/($G364+273))*($KT364),0))</f>
        <v>#DIV/0!</v>
      </c>
      <c r="KM364" s="274" t="e">
        <f ca="1">IF(Control!$B$26=3,5600000000000*EXP(-9800/($G364+273)),IF(Control!$B$26=4,5600000000000*EXP(-9800/($G364+273))*$KT364,0))</f>
        <v>#DIV/0!</v>
      </c>
      <c r="KN364" s="454" t="e">
        <f t="shared" ca="1" si="1344"/>
        <v>#DIV/0!</v>
      </c>
      <c r="KO364" s="274" t="e">
        <f t="shared" ca="1" si="1345"/>
        <v>#DIV/0!</v>
      </c>
      <c r="KP364" s="454" t="e">
        <f t="shared" ca="1" si="1246"/>
        <v>#DIV/0!</v>
      </c>
      <c r="KQ364" s="454" t="e">
        <f t="shared" ca="1" si="1247"/>
        <v>#DIV/0!</v>
      </c>
      <c r="KR364" s="454" t="e">
        <f t="shared" ca="1" si="1248"/>
        <v>#DIV/0!</v>
      </c>
      <c r="KS364" s="454" t="e">
        <f t="shared" ca="1" si="1249"/>
        <v>#DIV/0!</v>
      </c>
      <c r="KT364" s="455" t="e">
        <f t="shared" ca="1" si="1250"/>
        <v>#DIV/0!</v>
      </c>
      <c r="KU364" s="456" t="e">
        <f ca="1">IF($CP364-Control!$C$149&lt;0, IF($NT364-0.01&lt;0,0,1),0)</f>
        <v>#N/A</v>
      </c>
      <c r="KV364" s="456" t="e">
        <f ca="1">IF(Control!$C$114=1,MAX(0,MIN(Control!$C$125*$KW364*$GN364,$KW364)))</f>
        <v>#DIV/0!</v>
      </c>
      <c r="KW364" s="456" t="e">
        <f t="shared" ca="1" si="1378"/>
        <v>#DIV/0!</v>
      </c>
      <c r="KX364" s="457" t="e">
        <f ca="1">IF($CP364-Control!$C$149&lt;0, IF($MR364-$OM364&lt;0,0,1),0)</f>
        <v>#N/A</v>
      </c>
      <c r="KY364" s="167">
        <f t="shared" ca="1" si="1346"/>
        <v>360</v>
      </c>
      <c r="KZ364" s="168">
        <f ca="1">1370*(1+0.033*COS(2*Control!$C$138*$AH364/365))</f>
        <v>1415.0426968050131</v>
      </c>
      <c r="LA364" s="169">
        <f t="shared" ca="1" si="1347"/>
        <v>1.032877839772842</v>
      </c>
      <c r="LB364" s="169">
        <f t="shared" ca="1" si="1348"/>
        <v>-0.40716641738190851</v>
      </c>
      <c r="LC364" s="169">
        <f ca="1">ACOS(-TAN((2*Control!$B$8/360))*TAN(Calculations!$LB364))</f>
        <v>1.4422690074016862</v>
      </c>
      <c r="LD364" s="169">
        <f ca="1">((24*60)/PI())*0.082*$LA364*(($LC364*SIN(Control!$B$8*2*PI()/360))*SIN($LB364)+COS(Control!$B$8*2*PI()/360)*COS($LB364)*SIN($LC364))</f>
        <v>4.2934001322044111</v>
      </c>
      <c r="LE364" s="170">
        <f t="shared" ca="1" si="1251"/>
        <v>5.9871332460884776</v>
      </c>
      <c r="LF364" s="170">
        <f ca="1">SIN(Control!$C$139*Control!$B$8)*SIN($HD364)</f>
        <v>-0.31242775950323526</v>
      </c>
      <c r="LG364" s="170">
        <f ca="1">COS(Control!$C$139*Control!$B$8)*COS($HD364)</f>
        <v>0.56520349437480633</v>
      </c>
      <c r="LH364" s="170">
        <f ca="1">12*(1+2*ASIN(MAX(-1,MIN(1,$LF364/$LG364))/Control!$C$138))</f>
        <v>7.755056618131162</v>
      </c>
      <c r="LI364" s="170">
        <f ca="1">12*(1+2*ASIN(MAX(-1,MIN(1,(-SIN(-4*Control!$C$139)+$LF364)/$LG364))/Control!$C$138))</f>
        <v>8.7097044395800793</v>
      </c>
      <c r="LJ364" s="168">
        <f ca="1">3600*($LH364*$LF364+24*$LG364*SQRT(1-$LK364*$LK364)/Control!$C$138)</f>
        <v>4231.0619033663543</v>
      </c>
      <c r="LK364" s="170">
        <f t="shared" ca="1" si="1252"/>
        <v>-0.55277039617177848</v>
      </c>
      <c r="LL364" s="170">
        <f t="shared" ca="1" si="1253"/>
        <v>0</v>
      </c>
      <c r="LM364" s="171">
        <f ca="1">Control!$C$145*$AB364</f>
        <v>6.6660906138995932E-2</v>
      </c>
      <c r="LN364" s="170">
        <f t="shared" ca="1" si="1349"/>
        <v>0.54</v>
      </c>
      <c r="LO364" s="170">
        <f t="shared" ca="1" si="1254"/>
        <v>0</v>
      </c>
      <c r="LP364" s="170">
        <f ca="1">Control!$C$140*((($D364+273.16)^4+($E364+273.16)^4)/2)*(0.34-0.14*SQRT($Y364))*(1.35*$AQ364/(0.75*$LD364)-0.35)</f>
        <v>-3.2464704755046001</v>
      </c>
      <c r="LQ364" s="170">
        <f ca="1">Control!$C$140*($G364+273)^4*(0.56-0.079*SQRT($Y364*10))*(0.1+0.9*$LO364)</f>
        <v>1.5241745131704001</v>
      </c>
      <c r="LR364" s="170">
        <f ca="1">$AQ364*(1-Control!$C$142)-$LQ364</f>
        <v>-1.5241745131704001</v>
      </c>
      <c r="LS364" s="170">
        <f ca="1">$AQ364*(1-Control!$C$143)-$LQ364</f>
        <v>-1.5241745131704001</v>
      </c>
      <c r="LT364" s="170">
        <f ca="1">$AQ364*(1-Control!$C$144)-$LQ364</f>
        <v>-1.5241745131704001</v>
      </c>
      <c r="LU364" s="169">
        <f ca="1">(1-Control!$C$144)*AQ364-LP364</f>
        <v>3.2464704755046001</v>
      </c>
      <c r="LV364" s="172">
        <f t="shared" ca="1" si="1255"/>
        <v>0.79430000000000012</v>
      </c>
      <c r="LW364" s="170">
        <f t="shared" ca="1" si="1256"/>
        <v>1.5886000000000002</v>
      </c>
      <c r="LX364" s="170">
        <f ca="1">($AC364*($LR364/Control!$C$141)+$LM364*$LV364)/($AC364+$LM364)</f>
        <v>0.23530094218323697</v>
      </c>
      <c r="LY364" s="170">
        <f ca="1">($AC364*($LS364/Control!$C$141)+$LM364*$LV364)/($AC364+$LM364)</f>
        <v>0.23530094218323697</v>
      </c>
      <c r="LZ364" s="170">
        <f t="shared" ca="1" si="1257"/>
        <v>0.23530094218323697</v>
      </c>
      <c r="MA364" s="170">
        <f t="shared" ca="1" si="1258"/>
        <v>0.23530094218323697</v>
      </c>
      <c r="MB364" s="170" t="e">
        <f t="shared" ca="1" si="1259"/>
        <v>#N/A</v>
      </c>
      <c r="MC364" s="170">
        <f t="shared" ca="1" si="1350"/>
        <v>0.6018</v>
      </c>
      <c r="MD364" s="170">
        <f t="shared" ca="1" si="1260"/>
        <v>0.52989392535414004</v>
      </c>
      <c r="ME364" s="170">
        <f ca="1">($AC364*($LT364/Control!$C$141)+$LM364*$LW364)/($AC364+$LM364)</f>
        <v>0.71612369323045078</v>
      </c>
      <c r="MF364" s="170" t="e">
        <f ca="1">IF(Control!$B$16&gt;=1000,0.92,IF(AND(720&lt;=Control!$B$16,1000&gt;Control!$B$16),(0.95+(Control!$B$16-720)*((0.92-0.95)/(1000-720))),IF(AND(360&lt;=Control!$B$16,720&gt;Control!$B$16),(1+(Control!$B$16-360)*((0.95-1)/(720-360))),IF(AND(40&lt;=Control!$B$16,360&gt;Control!$B$16),(1.05+(Control!$B$16-40)*((1.05-1)/(360-40)))))))</f>
        <v>#N/A</v>
      </c>
      <c r="MG364" s="170">
        <f t="shared" ca="1" si="1261"/>
        <v>0.71612369323045078</v>
      </c>
      <c r="MH364" s="170" t="e">
        <f t="shared" ca="1" si="1387"/>
        <v>#N/A</v>
      </c>
      <c r="MI364" s="170" t="e">
        <f t="shared" ca="1" si="1387"/>
        <v>#N/A</v>
      </c>
      <c r="MJ364" s="170" t="e">
        <f ca="1">MAX(0.0001, Control!$C$132*$MI364*$DL364)</f>
        <v>#N/A</v>
      </c>
      <c r="MK364" s="170">
        <f ca="1">1/(0.76+1.5*($MG364/10))-(5-Control!$C$110)*0.1</f>
        <v>1.002845988140797</v>
      </c>
      <c r="ML364" s="173">
        <f ca="1">IF(Control!$C$110&lt;3,$MK364+($MG364-0.6)/(Control!$C$110*(Control!$C$110+3)), MAX(0.1, MIN(0.95,$MK364)))</f>
        <v>0.95</v>
      </c>
      <c r="MM364" s="173">
        <f ca="1">IF(Control!$C$110&lt;3,$MK364+(($MI364/10)-0.6)/(Control!$C$110*(Control!$C$110+3)), MAX(0.1, MIN(0.95,$MK364)))</f>
        <v>0.95</v>
      </c>
      <c r="MN364" s="173">
        <f ca="1">(1-$MM364)*(Control!$C$128-Control!$C$127)+Control!$C$127</f>
        <v>0.16</v>
      </c>
      <c r="MO364" s="170" t="e">
        <f ca="1">MAX(0,MIN(1,($MS364-Control!$C$127)/($MN364-Control!$C$127)))</f>
        <v>#DIV/0!</v>
      </c>
      <c r="MP364" s="173" t="e">
        <f ca="1">1/(0.76+1.5*$MI364)-(5-Control!$C$110)*0.1</f>
        <v>#N/A</v>
      </c>
      <c r="MQ364" s="172" t="e">
        <f t="shared" ca="1" si="1379"/>
        <v>#DIV/0!</v>
      </c>
      <c r="MR364" s="168" t="e">
        <f t="shared" ca="1" si="1351"/>
        <v>#DIV/0!</v>
      </c>
      <c r="MS364" s="173" t="e">
        <f ca="1">MAX(Control!$C$127, MIN(Control!$C$135, $MR364/MAX(0.0001,$CY364)))</f>
        <v>#DIV/0!</v>
      </c>
      <c r="MT364" s="168" t="e">
        <f ca="1">(Control!$C$128-$MS364)*Control!$C$74</f>
        <v>#DIV/0!</v>
      </c>
      <c r="MU364" s="168" t="e">
        <f ca="1">(Control!$C$135-$MS364)*Control!$C$74</f>
        <v>#DIV/0!</v>
      </c>
      <c r="MV364" s="168" t="e">
        <f t="shared" ca="1" si="1352"/>
        <v>#DIV/0!</v>
      </c>
      <c r="MW364" s="168" t="e">
        <f t="shared" ca="1" si="1353"/>
        <v>#DIV/0!</v>
      </c>
      <c r="MX364" s="171" t="e">
        <f ca="1">MAX(Control!$C$127, MIN(Control!$C$135, $MW364/MAX(0.0001,Control!$C$119-$CY364)))</f>
        <v>#DIV/0!</v>
      </c>
      <c r="MY364" s="54" t="e">
        <f ca="1">IF(Control!$C$114=1, $CX364*$MX364, 0)</f>
        <v>#DIV/0!</v>
      </c>
      <c r="MZ364" s="54" t="e">
        <f t="shared" ca="1" si="1354"/>
        <v>#N/A</v>
      </c>
      <c r="NA364" s="168" t="e">
        <f ca="1">(Control!$C$128-$MX364)*(Control!$C$119-Control!$C$74)</f>
        <v>#DIV/0!</v>
      </c>
      <c r="NB364" s="168" t="e">
        <f ca="1">(Control!$C$135-$MX364)*(Control!$C$119-Control!$C$74)</f>
        <v>#DIV/0!</v>
      </c>
      <c r="NC364" s="174" t="e">
        <f t="shared" ca="1" si="1355"/>
        <v>#DIV/0!</v>
      </c>
      <c r="ND364" s="54">
        <f ca="1">IF(Control!$C$58=2, IF(OR(Control!$B$218=$AH364,Control!$B$219=$AH364, Control!$B$220=$AH364, Control!$B$221=$AH364, Control!$B$222=$AH364, Control!$B$223=$AH364, Control!$B$224=$AH364, Control!$B$225=$AH364, Control!$B$226=$AH364, Control!$B$227=$AH364, Control!$B$228=$AH364), 1, 0), 0)</f>
        <v>0</v>
      </c>
      <c r="NE364" s="54">
        <f ca="1">IF($ND364=0,0, VLOOKUP($AH364,Control!$B$218:$C$228,2))</f>
        <v>0</v>
      </c>
      <c r="NF364" s="168" t="e">
        <f ca="1">$CY364*(Control!$C$128-Control!$C$127)</f>
        <v>#N/A</v>
      </c>
      <c r="NG364" s="54" t="e">
        <f ca="1">IF(Control!$C$58=2, $NI363-$NJ363, 0)</f>
        <v>#DIV/0!</v>
      </c>
      <c r="NH364" s="54" t="e">
        <f ca="1">IF(AND(Control!$C$58=1, $MS363&lt;= ($MN363+0.02), $I363&lt;10), 0, IF(Control!$C$58=2, $NG363, 0))</f>
        <v>#DIV/0!</v>
      </c>
      <c r="NI364" s="54" t="e">
        <f ca="1">IF(Control!$C$58=2, $NE364+$NH364,0)</f>
        <v>#DIV/0!</v>
      </c>
      <c r="NJ364" s="54" t="e">
        <f ca="1">IF(AND(Control!$C$58=1, $MS364&lt;= ($MN364+0.02), $I364&lt;10), MAX(0, MIN(10, 0.7*($NF364-$MV364))), IF(Control!$C$58=2, MIN(10,$NI364),0))</f>
        <v>#DIV/0!</v>
      </c>
      <c r="NK364" s="54" t="e">
        <f t="shared" ca="1" si="1263"/>
        <v>#DIV/0!</v>
      </c>
      <c r="NL364" s="173" t="e">
        <f ca="1">(1-Control!$C$73)*$I364+$NJ364</f>
        <v>#DIV/0!</v>
      </c>
      <c r="NM364" s="172" t="e">
        <f ca="1">IF($NL364&lt;0.5, $MB364* MAX(0, MIN(1, (SQRT($NC364)-SQRT($NC364-1))*Control!$C$71)),0)</f>
        <v>#DIV/0!</v>
      </c>
      <c r="NN364" s="170" t="e">
        <f ca="1">IF($NL364&gt;=5, $MB364, MAX(0,MIN($MB364, $NM364+$NL364,($MS364-Control!$C$129))))</f>
        <v>#DIV/0!</v>
      </c>
      <c r="NO364" s="54">
        <f>IF(Control!$C$133&lt;&gt;1, Control!$C$135-Control!$C$131, 0)</f>
        <v>0.38</v>
      </c>
      <c r="NP364" s="54" t="e">
        <f t="shared" ca="1" si="1264"/>
        <v>#DIV/0!</v>
      </c>
      <c r="NQ364" s="173" t="e">
        <f ca="1">MAX(0,MIN(1,(Control!$C$135-$MS364)/(Control!$C$135-$NO364)))</f>
        <v>#DIV/0!</v>
      </c>
      <c r="NR364" s="170" t="e">
        <f ca="1">IF(Control!$C$133&lt;&gt;1, $NQ364+((1-$NP364/4)*(1-$NQ364)),1)</f>
        <v>#DIV/0!</v>
      </c>
      <c r="NS364" s="170" t="e">
        <f ca="1">IF(Control!$B$31=0,$MJ364,MAX(0,MIN($MV364,$MO364*$NR364*$MJ364)))</f>
        <v>#DIV/0!</v>
      </c>
      <c r="NT364" s="170" t="e">
        <f t="shared" ca="1" si="1380"/>
        <v>#DIV/0!</v>
      </c>
      <c r="NU364" s="170" t="e">
        <f t="shared" ca="1" si="1356"/>
        <v>#N/A</v>
      </c>
      <c r="NV364" s="170" t="e">
        <f t="shared" ca="1" si="1265"/>
        <v>#N/A</v>
      </c>
      <c r="NW364" s="175" t="e">
        <f t="shared" ca="1" si="1266"/>
        <v>#DIV/0!</v>
      </c>
      <c r="NX364" s="170" t="e">
        <f ca="1">MIN(Control!$C$72+$MU364, $NW364)</f>
        <v>#DIV/0!</v>
      </c>
      <c r="NY364" s="170" t="e">
        <f ca="1">IF($MT364&lt;=$NX364,MIN(Control!$C$72+$NB364,$NX364-$MT364),0)</f>
        <v>#DIV/0!</v>
      </c>
      <c r="NZ364" s="54" t="e">
        <f ca="1">IF(Control!$C$114=1,  $CX364*($MX364-Control!$C$127), 0)</f>
        <v>#DIV/0!</v>
      </c>
      <c r="OA364" s="170" t="e">
        <f t="shared" ca="1" si="1267"/>
        <v>#DIV/0!</v>
      </c>
      <c r="OB364" s="170" t="e">
        <f ca="1">IF($NA364 &lt;=$NY364, MIN(Control!$C$72, $NY364-$NA364), 0)</f>
        <v>#DIV/0!</v>
      </c>
      <c r="OC364" s="168" t="e">
        <f t="shared" ca="1" si="1268"/>
        <v>#DIV/0!</v>
      </c>
      <c r="OD364" s="168" t="e">
        <f t="shared" ca="1" si="1357"/>
        <v>#DIV/0!</v>
      </c>
      <c r="OE364" s="170">
        <f ca="1">Control!$C$73*$I364</f>
        <v>0</v>
      </c>
      <c r="OF364" s="176" t="e">
        <f t="shared" ca="1" si="1269"/>
        <v>#DIV/0!</v>
      </c>
      <c r="OG364" s="168" t="e">
        <f t="shared" ca="1" si="1270"/>
        <v>#DIV/0!</v>
      </c>
      <c r="OH364" s="168" t="e">
        <f t="shared" ca="1" si="1271"/>
        <v>#DIV/0!</v>
      </c>
      <c r="OI364" s="168" t="e">
        <f t="shared" ca="1" si="1272"/>
        <v>#DIV/0!</v>
      </c>
      <c r="OJ364" s="168" t="e">
        <f t="shared" ca="1" si="1273"/>
        <v>#DIV/0!</v>
      </c>
      <c r="OK364" s="204" t="e">
        <f t="shared" ca="1" si="1274"/>
        <v>#DIV/0!</v>
      </c>
      <c r="OL364" s="177">
        <f>Control!$C$127</f>
        <v>0.15</v>
      </c>
      <c r="OM364" s="182" t="e">
        <f t="shared" ca="1" si="1275"/>
        <v>#N/A</v>
      </c>
      <c r="ON364" s="177">
        <f>Control!$C$128</f>
        <v>0.35</v>
      </c>
      <c r="OO364" s="182" t="e">
        <f t="shared" ca="1" si="1276"/>
        <v>#N/A</v>
      </c>
      <c r="OP364" s="138">
        <f t="shared" ca="1" si="1358"/>
        <v>0</v>
      </c>
      <c r="OQ364" s="138" t="e">
        <f t="shared" ca="1" si="1381"/>
        <v>#DIV/0!</v>
      </c>
      <c r="OR364" s="138" t="e">
        <f t="shared" ca="1" si="1359"/>
        <v>#DIV/0!</v>
      </c>
      <c r="OS364" s="137" t="e">
        <f t="shared" ca="1" si="1382"/>
        <v>#DIV/0!</v>
      </c>
      <c r="OT364" s="139" t="e">
        <f t="shared" ca="1" si="1383"/>
        <v>#DIV/0!</v>
      </c>
      <c r="OU364" s="138" t="e">
        <f t="shared" ca="1" si="1384"/>
        <v>#N/A</v>
      </c>
      <c r="OV364" s="138" t="e">
        <f t="shared" ca="1" si="1385"/>
        <v>#DIV/0!</v>
      </c>
      <c r="OW364" s="138" t="e">
        <f t="shared" ca="1" si="1360"/>
        <v>#DIV/0!</v>
      </c>
      <c r="OX364" s="138" t="e">
        <f t="shared" ca="1" si="1361"/>
        <v>#DIV/0!</v>
      </c>
      <c r="OY364" s="138" t="e">
        <f t="shared" ca="1" si="1362"/>
        <v>#DIV/0!</v>
      </c>
      <c r="OZ364" s="138" t="e">
        <f t="shared" ca="1" si="1277"/>
        <v>#DIV/0!</v>
      </c>
      <c r="PA364" s="138" t="e">
        <f t="shared" ca="1" si="1278"/>
        <v>#DIV/0!</v>
      </c>
      <c r="PB364" s="55">
        <f>IF(Control!$C$61="T", IF(Control!$C$65="F", IF($AH$6-Control!$C$60&lt;0,0,1), IF(365+$AH$6-Control!$C$60&lt;0,0,1)),0)</f>
        <v>0</v>
      </c>
      <c r="PC364" s="55">
        <f ca="1">IF(Control!$C$65="F", IF($AH$6-$HF364&lt;0,0,1), IF(365+$AH$6-$HF364&lt;0,0,1))</f>
        <v>1</v>
      </c>
      <c r="PD364" s="444">
        <f>Control!$C$118</f>
        <v>1500</v>
      </c>
      <c r="PE364" s="180" t="e">
        <f t="shared" ca="1" si="1279"/>
        <v>#N/A</v>
      </c>
      <c r="PF364" s="445">
        <f t="shared" ca="1" si="1363"/>
        <v>0.71612369323045078</v>
      </c>
      <c r="PT364" s="186"/>
      <c r="PU364" s="186"/>
      <c r="PV364" s="94"/>
      <c r="PW364" s="94"/>
      <c r="PX364" s="94"/>
      <c r="PY364" s="94"/>
      <c r="PZ364" s="94"/>
      <c r="QA364" s="94"/>
      <c r="QB364" s="94"/>
      <c r="QC364" s="94"/>
      <c r="QD364" s="94"/>
      <c r="QE364" s="94"/>
      <c r="QF364" s="94"/>
      <c r="QG364" s="94"/>
      <c r="QH364" s="94"/>
      <c r="QI364" s="94"/>
      <c r="QJ364" s="94"/>
      <c r="QK364" s="94"/>
      <c r="QL364" s="94"/>
      <c r="QM364" s="94"/>
      <c r="QN364" s="94"/>
      <c r="QO364" s="94"/>
      <c r="QP364" s="94"/>
    </row>
    <row r="365" spans="1:458" s="2" customFormat="1" x14ac:dyDescent="0.2">
      <c r="A365" s="395">
        <v>26</v>
      </c>
      <c r="B365" s="396">
        <v>12</v>
      </c>
      <c r="C365" s="387">
        <f ca="1">Weather_data!$B364</f>
        <v>0</v>
      </c>
      <c r="D365" s="388">
        <f ca="1">Weather_data!$F364</f>
        <v>0</v>
      </c>
      <c r="E365" s="388">
        <f ca="1">Weather_data!$E364</f>
        <v>0</v>
      </c>
      <c r="F365" s="388">
        <f t="shared" ca="1" si="1280"/>
        <v>0</v>
      </c>
      <c r="G365" s="388">
        <f ca="1">AVERAGE($D365:$E365)+Control!$B$9</f>
        <v>0</v>
      </c>
      <c r="H365" s="388">
        <f ca="1">Weather_data!$G364</f>
        <v>0</v>
      </c>
      <c r="I365" s="388">
        <f ca="1">Weather_data!$I364</f>
        <v>0</v>
      </c>
      <c r="J365" s="388">
        <f ca="1">Weather_data!$H364</f>
        <v>0</v>
      </c>
      <c r="K365" s="389">
        <f ca="1">Weather_data!$D364</f>
        <v>0</v>
      </c>
      <c r="L365" s="388" t="e">
        <f t="shared" ca="1" si="1281"/>
        <v>#N/A</v>
      </c>
      <c r="M365" s="388" t="e">
        <f t="shared" ca="1" si="1158"/>
        <v>#N/A</v>
      </c>
      <c r="N365" s="388">
        <f t="shared" ca="1" si="1159"/>
        <v>-1.870815213986652E-17</v>
      </c>
      <c r="O365" s="388">
        <f t="shared" ca="1" si="1282"/>
        <v>1.870815213986652E-16</v>
      </c>
      <c r="P365" s="390">
        <v>3</v>
      </c>
      <c r="Q365" s="388">
        <f ca="1">MAX($G365-Control!$C$107,0)</f>
        <v>0</v>
      </c>
      <c r="R365" s="388">
        <f t="shared" ca="1" si="1283"/>
        <v>0</v>
      </c>
      <c r="S365" s="388">
        <f t="shared" ca="1" si="1160"/>
        <v>0</v>
      </c>
      <c r="T365" s="388">
        <f t="shared" ca="1" si="1161"/>
        <v>0</v>
      </c>
      <c r="U365" s="59">
        <f t="shared" ca="1" si="1162"/>
        <v>0</v>
      </c>
      <c r="V365" s="391">
        <f ca="1">MAX(0,MIN(Control!$C$100-Control!$C$99,$G365-Control!$C$99)*Control!$C$63)</f>
        <v>0</v>
      </c>
      <c r="W365" s="388">
        <f t="shared" ca="1" si="1284"/>
        <v>0</v>
      </c>
      <c r="X365" s="388">
        <f t="shared" ca="1" si="1285"/>
        <v>0.6110000000000001</v>
      </c>
      <c r="Y365" s="388">
        <f t="shared" ca="1" si="1163"/>
        <v>0</v>
      </c>
      <c r="Z365" s="388">
        <f t="shared" ca="1" si="1286"/>
        <v>0.61058800000000002</v>
      </c>
      <c r="AA365" s="388">
        <f t="shared" ca="1" si="1164"/>
        <v>0.6018</v>
      </c>
      <c r="AB365" s="388">
        <f ca="1">101.3*EXP(-0.034*Control!$C$66/($G365+273))</f>
        <v>100.69623283836242</v>
      </c>
      <c r="AC365" s="392">
        <f t="shared" ca="1" si="1165"/>
        <v>4.3460251046025113E-2</v>
      </c>
      <c r="AD365" s="392">
        <f t="shared" ca="1" si="1166"/>
        <v>4.4450382862832649E-2</v>
      </c>
      <c r="AE365" s="388">
        <f t="shared" ca="1" si="1167"/>
        <v>0</v>
      </c>
      <c r="AF365" s="388">
        <f ca="1">MAX(0,$G365-Control!$C$92)</f>
        <v>0</v>
      </c>
      <c r="AG365" s="393">
        <f t="shared" ca="1" si="1168"/>
        <v>361</v>
      </c>
      <c r="AH365" s="389">
        <f t="shared" ca="1" si="1169"/>
        <v>361</v>
      </c>
      <c r="AI365" s="388">
        <f t="shared" ca="1" si="1287"/>
        <v>-0.40696948340162703</v>
      </c>
      <c r="AJ365" s="388">
        <f ca="1">IF(Control!$C$60&lt;=0,$HH365,$HI365)</f>
        <v>1</v>
      </c>
      <c r="AK365" s="388">
        <f t="shared" ca="1" si="1170"/>
        <v>4.8371919762122291</v>
      </c>
      <c r="AL365" s="388">
        <f t="shared" ca="1" si="1171"/>
        <v>-2.3984389127540416E-17</v>
      </c>
      <c r="AM365" s="388">
        <f t="shared" ca="1" si="1172"/>
        <v>4.8371919762122291</v>
      </c>
      <c r="AN365" s="388">
        <f t="shared" ca="1" si="1173"/>
        <v>-0.40574784353003684</v>
      </c>
      <c r="AO365" s="388">
        <f ca="1">-0.10453/COS(Control!$B$8*PI()/180)*COS(AN365)</f>
        <v>-0.15599960253239994</v>
      </c>
      <c r="AP365" s="388">
        <f ca="1">ACOS(AO365-TAN(Control!$B$8*PI()/180)*TAN(AN365))</f>
        <v>1.1659861976400103</v>
      </c>
      <c r="AQ365" s="388">
        <f t="shared" ca="1" si="1288"/>
        <v>0</v>
      </c>
      <c r="AR365" s="394">
        <f t="shared" ca="1" si="1174"/>
        <v>0</v>
      </c>
      <c r="AS365" s="436">
        <f ca="1">IF(Control!$B$18=2,(IF(OR($AH365=Control!$B$175,$AH365=Control!$B$176,$AH365=Control!$B$177,$AH365=Control!$B$178,$AH365=Control!$B$179,$AH365=Control!$B$180,$AH365=Control!$B$181,$AH365=Control!$B$182,$AH365=Control!$B$183,$AH365=Control!$B$184,$AH365=Control!$B$185),1,0)),0)</f>
        <v>0</v>
      </c>
      <c r="AT365" s="436">
        <f>IF(Control!$B$20=8,IF(AND($AH365&gt;=Control!$B$172,$AH365&lt;=Control!$B$173),1,0),0)</f>
        <v>0</v>
      </c>
      <c r="AU365" s="436">
        <f>IF(Control!$B$20=8,IF($AV364=1,1*$AT365,IF($AT365=1,$AU364+1,$AU364)),0)</f>
        <v>0</v>
      </c>
      <c r="AV365" s="436">
        <f>IF(Control!$B$20=8,IF($AU365&gt;=Control!$B$174,1,0),0)</f>
        <v>0</v>
      </c>
      <c r="AW365" s="436">
        <f ca="1">IF(AND(Control!$B$18=2,Control!$B$171=1), $AV365, $AS365)</f>
        <v>0</v>
      </c>
      <c r="AX365" s="436" t="e">
        <f ca="1">IF(AND(Control!$B$18=1,$EU365&gt;=Control!$B$19),-$AY365,IF(AND(Control!$B$18=2,$AW365=1,$EU365&gt;$DS365),-$AY365, IF(Control!$C$108=0,0, IF(Control!$C$108&lt;&gt;0,1))))</f>
        <v>#N/A</v>
      </c>
      <c r="AY365" s="436" t="e">
        <f t="shared" ca="1" si="1289"/>
        <v>#N/A</v>
      </c>
      <c r="AZ365" s="436" t="e">
        <f ca="1">IF(AND(Control!$B$18=1,$EB365&gt;Control!$B$19),$AZ364+1, IF(AND(Control!$B$18=2, $AW365=1, $EB365&gt;$DS365), $AZ364+1,$AZ364))</f>
        <v>#N/A</v>
      </c>
      <c r="BA365" s="587">
        <f>IF(Control!$C$81=0,1,IF($AH365&gt;=Control!$C$82,1,0))</f>
        <v>1</v>
      </c>
      <c r="BB365" s="140" t="e">
        <f ca="1">IF($BA365&gt;$BA364,Control!$C$83,IF($AW365&gt;0,$AW365*Control!$C$84,IF(AND(Control!$B$18=1,EN364&lt;&gt;0),Control!$C$84,0)))</f>
        <v>#N/A</v>
      </c>
      <c r="BC365" s="140" t="e">
        <f t="shared" ca="1" si="1290"/>
        <v>#N/A</v>
      </c>
      <c r="BD365" s="140" t="e">
        <f ca="1">BC365*IF(OR($G365&lt;Control!$C$92,$G365&gt;Control!$C$95),0,IF(AND($G365&gt;=Control!$C$92,$G365&lt;=Control!$C$93),$G365-Control!$C$92,IF(AND($G365&gt;Control!$C$93,$G365&lt;=Control!$C$94),Control!$C$93-Control!$C$92,IF(AND($G365&gt;Control!$C$94,$G365&lt;=Control!$C$95),(Control!$C$93-Control!$C$92)*(Control!$C$94-$G365)/(Control!$C$95-Control!$C$94)))))</f>
        <v>#N/A</v>
      </c>
      <c r="BE365" s="140" t="e">
        <f t="shared" ca="1" si="1291"/>
        <v>#N/A</v>
      </c>
      <c r="BF365" s="140" t="e">
        <f ca="1">IF($BE365&lt;=Control!$C$86,$BE365,Control!$C$86-$BE365)</f>
        <v>#N/A</v>
      </c>
      <c r="BG365" s="140" t="e">
        <f ca="1">IF(AND($AW365=1,Control!$C$84&lt;9),1,IF($BE365&gt;=Control!$C$86,0,$BC365))</f>
        <v>#N/A</v>
      </c>
      <c r="BH365" s="404" t="e">
        <f ca="1">IF($BG365=0,0,IF($BE365&lt;=Control!$C$86,$BC365*9*($BF365/Control!$C$86),0))</f>
        <v>#N/A</v>
      </c>
      <c r="BI365" s="140" t="e">
        <f ca="1">IF($BG365=1,0,IF($BE365&gt;=Control!$C$86,1,IF(AND($BB365&lt;21,$BB365&gt;=9),1,$BM364)))</f>
        <v>#N/A</v>
      </c>
      <c r="BJ365" s="140" t="e">
        <f ca="1">IF($BF365&lt;0,-$BF365,$BI365*IF(OR($G365&lt;Control!$C$92,$G365&gt;Control!$C$95),0,IF(AND($G365&gt;=Control!$C$92,$G365&lt;=Control!$C$93),$G365-Control!$C$92,IF(AND($G365&gt;Control!$C$93,$G365&lt;=Control!$C$94),Control!$C$93-Control!$C$92,IF(AND($G365&gt;Control!$C$94,$G365&lt;=Control!$C$95),(Control!$C$93-Control!$C$92)*(Control!$C$94-$G365)/(Control!$C$95-Control!$C$94))))))</f>
        <v>#N/A</v>
      </c>
      <c r="BK365" s="140" t="e">
        <f t="shared" ca="1" si="1292"/>
        <v>#N/A</v>
      </c>
      <c r="BL365" s="140" t="e">
        <f ca="1">IF($BK365&lt;=Control!$C$87,$BK365,Control!$C$87-$BK365)</f>
        <v>#N/A</v>
      </c>
      <c r="BM365" s="140" t="e">
        <f ca="1">IF(AND($BB365&gt;=9,$BB365&lt;21),1,IF($BK365&gt;=Control!$C$87,0,$BI365))</f>
        <v>#N/A</v>
      </c>
      <c r="BN365" s="404" t="e">
        <f ca="1">IF($BM365=0,0,IF($BK365&lt;=Control!$C$87,$BI365*(9+(21-9)*($BL365/Control!$C$87)),0))</f>
        <v>#N/A</v>
      </c>
      <c r="BO365" s="140" t="e">
        <f ca="1">IF($BM365=1,0,IF($BK365&gt;=Control!$C$87,1,IF(AND($BB365&lt;30,$BB365&gt;=21),1,$BS364)))</f>
        <v>#N/A</v>
      </c>
      <c r="BP365" s="140" t="e">
        <f ca="1">IF($BL365&lt;0,-$BL365,$BO365*IF(OR($G365&lt;Control!$C$92,$G365&gt;Control!$C$95),0,IF(AND($G365&gt;=Control!$C$92,$G365&lt;=Control!$C$93),$G365-Control!$C$92,IF(AND($G365&gt;Control!$C$93,$G365&lt;=Control!$C$94),Control!$C$93-Control!$C$92,IF(AND($G365&gt;Control!$C$94,$G365&lt;=Control!$C$95),(Control!$C$93-Control!$C$92)*(Control!$C$94-$G365)/(Control!$C$95-Control!$C$94))))))</f>
        <v>#N/A</v>
      </c>
      <c r="BQ365" s="140" t="e">
        <f t="shared" ca="1" si="1175"/>
        <v>#N/A</v>
      </c>
      <c r="BR365" s="140" t="e">
        <f ca="1">IF($BQ365&lt;=Control!$C$88,$BQ365,Control!$C$88-$BQ365)</f>
        <v>#N/A</v>
      </c>
      <c r="BS365" s="140" t="e">
        <f ca="1">IF(AND($BB365&gt;=21,$BB365&lt;30),1,IF($BQ365&gt;=Control!$C$88,0,$BO365))</f>
        <v>#N/A</v>
      </c>
      <c r="BT365" s="404" t="e">
        <f ca="1">IF($BS365=0,0,IF($BQ365&lt;=Control!$C$88,$BO365*(21+(30-21)*(BR365/Control!$C$88)),0))</f>
        <v>#N/A</v>
      </c>
      <c r="BU365" s="140" t="e">
        <f ca="1">IF(BG365+BM365+BS365=1,0,IF(OR(AND($BB365&lt;60,$BB365&gt;=30),$BQ365&gt;=Control!$C$88),1*$BA365,$BY364))</f>
        <v>#N/A</v>
      </c>
      <c r="BV365" s="140" t="e">
        <f ca="1">IF($BR365&lt;0,-$BR365,$BU365*IF(OR($G365&lt;Control!$C$92,$G365&gt;Control!$C$95),0,IF(AND($G365&gt;=Control!$C$92,$G365&lt;=Control!$C$93),$G365-Control!$C$92,IF(AND($G365&gt;Control!$C$93,$G365&lt;=Control!$C$94),Control!$C$93-Control!$C$92,IF(AND($G365&gt;Control!$C$94,$G365&lt;=Control!$C$95),(Control!$C$93-Control!$C$92)*(Control!$C$94-$G365)/(Control!$C$95-Control!$C$94))))))</f>
        <v>#N/A</v>
      </c>
      <c r="BW365" s="140" t="e">
        <f t="shared" ca="1" si="1176"/>
        <v>#N/A</v>
      </c>
      <c r="BX365" s="140" t="e">
        <f ca="1">IF($BW365&lt;=Control!$C$89,$BW365,Control!$C$89-$BW365)</f>
        <v>#N/A</v>
      </c>
      <c r="BY365" s="140" t="e">
        <f ca="1">IF(AND($AJ365&gt;=30,$AJ365&lt;60),1,IF($BW365&gt;=Control!$C$89,0,$BU365))</f>
        <v>#N/A</v>
      </c>
      <c r="BZ365" s="404" t="e">
        <f ca="1">IF($BY365=0,0,IF($BW365&lt;=Control!$C$89,$BU365*(30+(60-30)*(BX365/Control!$C$89)),0))</f>
        <v>#N/A</v>
      </c>
      <c r="CA365" s="140" t="e">
        <f ca="1">IF($BG365+$BM365+$BS365+$BY365=1,0,IF(OR(AND($BB365&lt;65,$BB365&gt;=60),$BW365&gt;=Control!$C$89),1*$BA365,$CE364))</f>
        <v>#N/A</v>
      </c>
      <c r="CB365" s="140" t="e">
        <f ca="1">IF($BX365&lt;0,-$BX365,$CA365*IF(OR($G365&lt;Control!$C$92,$G365&gt;Control!$C$95),0,IF(AND($G365&gt;=Control!$C$92,$G365&lt;=Control!$C$93),$G365-Control!$C$92,IF(AND($G365&gt;Control!$C$93,$G365&lt;=Control!$C$94),Control!$C$93-Control!$C$92,IF(AND($G365&gt;Control!$C$94,$G365&lt;=Control!$C$95),(Control!$C$93-Control!$C$92)*(Control!$C$94-$G365)/(Control!$C$95-Control!$C$94))))))</f>
        <v>#N/A</v>
      </c>
      <c r="CC365" s="140" t="e">
        <f t="shared" ca="1" si="1293"/>
        <v>#N/A</v>
      </c>
      <c r="CD365" s="140" t="e">
        <f ca="1">IF($CC365&lt;=Control!$C$90,$CC365,Control!$C$90-$CC365)</f>
        <v>#N/A</v>
      </c>
      <c r="CE365" s="140" t="e">
        <f ca="1">IF(AND($BB365&gt;=60,$BB365&lt;65),1,IF($CC365&gt;=Control!$C$90,0,$CA365))</f>
        <v>#N/A</v>
      </c>
      <c r="CF365" s="404" t="e">
        <f ca="1">IF($CE365=0,0,IF($CC365&lt;=Control!$C$90,$CA365*(60+(65-60)*(CD365/Control!$C$90)),0))</f>
        <v>#N/A</v>
      </c>
      <c r="CG365" s="140" t="e">
        <f ca="1">IF($BG365+$BM365+$BS365+$BY365+$CE365=1,0,IF(OR(AND($BB365&lt;90,$BB365&gt;=65),$CC365&gt;=Control!$C$90),$BA365,$CK364))</f>
        <v>#N/A</v>
      </c>
      <c r="CH365" s="140" t="e">
        <f ca="1">IF($CD365&lt;0,-$CD365,$CG365*IF(OR($G365&lt;Control!$C$92,$G365&gt;Control!$C$95),0,IF(AND($G365&gt;=Control!$C$92,$G365&lt;=Control!$C$93),$G365-Control!$C$92,IF(AND($G365&gt;Control!$C$93,$G365&lt;=Control!$C$94),Control!$C$93-Control!$C$92,IF(AND($G365&gt;Control!$C$94,$G365&lt;=Control!$C$95),(Control!$C$93-Control!$C$92)*(Control!$C$94-$G365)/(Control!$C$95-Control!$C$94))))))</f>
        <v>#N/A</v>
      </c>
      <c r="CI365" s="140" t="e">
        <f t="shared" ca="1" si="1294"/>
        <v>#N/A</v>
      </c>
      <c r="CJ365" s="140" t="e">
        <f ca="1">IF($CI365&lt;=Control!$C$91,$CI365,Control!$C$91-$CI365)</f>
        <v>#N/A</v>
      </c>
      <c r="CK365" s="140" t="e">
        <f ca="1">IF(AND($BB365&gt;=65,$BB365&lt;90),1,IF($CI365&gt;=Control!$C$91,0,$CG365))</f>
        <v>#N/A</v>
      </c>
      <c r="CL365" s="404" t="e">
        <f ca="1">IF($CK365=0,0,IF($CI365&lt;=Control!$C$91,$CG365*(65+(90-65)*($CJ365/Control!$C$91)),0))</f>
        <v>#N/A</v>
      </c>
      <c r="CM365" s="140" t="e">
        <f ca="1">IF($BG365+$BM365+$BS365+$BY365+$CE365+$CK365=1,0,IF(OR($BB365&gt;=90,$CI365&gt;=Control!$C$91),$BA365,$CM364))</f>
        <v>#N/A</v>
      </c>
      <c r="CN365" s="140" t="e">
        <f t="shared" ca="1" si="1295"/>
        <v>#N/A</v>
      </c>
      <c r="CO365" s="140" t="e">
        <f t="shared" ca="1" si="1296"/>
        <v>#N/A</v>
      </c>
      <c r="CP365" s="140" t="e">
        <f t="shared" ca="1" si="1297"/>
        <v>#N/A</v>
      </c>
      <c r="CQ365" s="141" t="e">
        <f ca="1">VLOOKUP($CP365,Control!$B$86:$G$91,6)</f>
        <v>#N/A</v>
      </c>
      <c r="CR365" s="141" t="e">
        <f ca="1">(1-$CQ365)*VLOOKUP($CP365,Control!$B$86:$D$91,3)</f>
        <v>#N/A</v>
      </c>
      <c r="CS365" s="141" t="e">
        <f ca="1">(1-$CQ365)*VLOOKUP($CP365,Control!$B$86:$E$91,4)</f>
        <v>#N/A</v>
      </c>
      <c r="CT365" s="141" t="e">
        <f ca="1">(1-$CQ365)*VLOOKUP($CP365,Control!$B$86:$F$91,5)</f>
        <v>#N/A</v>
      </c>
      <c r="CU365" s="141">
        <f t="shared" ca="1" si="1298"/>
        <v>0</v>
      </c>
      <c r="CV365" s="583">
        <f t="shared" ca="1" si="1299"/>
        <v>0</v>
      </c>
      <c r="CW365" s="142">
        <f t="shared" ca="1" si="1300"/>
        <v>361</v>
      </c>
      <c r="CX365" s="612" t="e">
        <f ca="1">IF(Control!$C$114=1,(MIN(Control!$C$120*(IF($NT365-0.01&lt;0,0,1)),Control!$C$119-$CY365)))</f>
        <v>#DIV/0!</v>
      </c>
      <c r="CY365" s="143" t="e">
        <f t="shared" ca="1" si="1301"/>
        <v>#N/A</v>
      </c>
      <c r="CZ365" s="144">
        <f t="shared" ca="1" si="1177"/>
        <v>0</v>
      </c>
      <c r="DA365" s="144">
        <f t="shared" ca="1" si="1178"/>
        <v>0</v>
      </c>
      <c r="DB365" s="144" t="e">
        <f t="shared" ca="1" si="1179"/>
        <v>#N/A</v>
      </c>
      <c r="DC365" s="144" t="e">
        <f t="shared" ca="1" si="1180"/>
        <v>#N/A</v>
      </c>
      <c r="DD365" s="144" t="e">
        <f t="shared" ca="1" si="1386"/>
        <v>#N/A</v>
      </c>
      <c r="DE365" s="143" t="e">
        <f t="shared" ca="1" si="1302"/>
        <v>#N/A</v>
      </c>
      <c r="DF365" s="145" t="e">
        <f ca="1">$DR365*EXP(-Control!$C$158*(1-$KH365))</f>
        <v>#N/A</v>
      </c>
      <c r="DG365" s="146" t="e">
        <f ca="1">IF(Control!$C$114=1, $DF365*$EY365, 0)</f>
        <v>#N/A</v>
      </c>
      <c r="DH365" s="147" t="e">
        <f t="shared" ca="1" si="1303"/>
        <v>#N/A</v>
      </c>
      <c r="DI365" s="144" t="e">
        <f t="shared" ca="1" si="1364"/>
        <v>#N/A</v>
      </c>
      <c r="DJ365" s="147" t="e">
        <f ca="1">$EF365*Control!$C$109</f>
        <v>#N/A</v>
      </c>
      <c r="DK365" s="144" t="e">
        <f t="shared" ca="1" si="1304"/>
        <v>#N/A</v>
      </c>
      <c r="DL365" s="144" t="e">
        <f t="shared" ca="1" si="1181"/>
        <v>#N/A</v>
      </c>
      <c r="DM365" s="144" t="e">
        <f ca="1">IF(Control!$C$114=1, (1-EXP(-Control!$C$96*$DK365))*$AR365, 0)</f>
        <v>#N/A</v>
      </c>
      <c r="DN365" s="144">
        <f t="shared" ca="1" si="1305"/>
        <v>0</v>
      </c>
      <c r="DO365" s="148">
        <f>Control!$C$97</f>
        <v>4</v>
      </c>
      <c r="DP365" s="145" t="e">
        <f t="shared" ca="1" si="1306"/>
        <v>#N/A</v>
      </c>
      <c r="DQ365" s="145" t="e">
        <f ca="1">IF(AND($CP365&gt;=0,$CP365&lt;=90),Control!$C$111,Control!$C$111)</f>
        <v>#N/A</v>
      </c>
      <c r="DR365" s="145" t="e">
        <f t="shared" ca="1" si="1182"/>
        <v>#N/A</v>
      </c>
      <c r="DS365" s="143" t="e">
        <f ca="1">Control!$B$22/$DR365</f>
        <v>#N/A</v>
      </c>
      <c r="DT365" s="149" t="e">
        <f ca="1">IF(AND(Control!$C$114=1,$KH365&lt;1),$IM365*$DF365, 0)</f>
        <v>#N/A</v>
      </c>
      <c r="DU365" s="144" t="e">
        <f t="shared" ca="1" si="1307"/>
        <v>#N/A</v>
      </c>
      <c r="DV365" s="144">
        <f ca="1">IF($G365-Control!$C$107&lt;=0, 0, 0.83*LN(MAX($G365, 3))-0.8924)</f>
        <v>0</v>
      </c>
      <c r="DW365" s="144" t="e">
        <f t="shared" ca="1" si="1183"/>
        <v>#N/A</v>
      </c>
      <c r="DX365" s="150" t="e">
        <f ca="1">MAX(0.01*(1+$CU365/Control!$C$102),0.05*($DK365-Control!$C$97)/Control!$C$97)</f>
        <v>#N/A</v>
      </c>
      <c r="DY365" s="151" t="e">
        <f ca="1">IF(Control!$C$114=1, $DI365*$FS365, 0)</f>
        <v>#N/A</v>
      </c>
      <c r="DZ365" s="196" t="e">
        <f t="shared" ca="1" si="1308"/>
        <v>#N/A</v>
      </c>
      <c r="EA365" s="152">
        <f t="shared" ca="1" si="1309"/>
        <v>361</v>
      </c>
      <c r="EB365" s="153" t="e">
        <f t="shared" ca="1" si="1310"/>
        <v>#N/A</v>
      </c>
      <c r="EC365" s="153" t="e">
        <f t="shared" ca="1" si="1311"/>
        <v>#N/A</v>
      </c>
      <c r="ED365" s="154" t="e">
        <f ca="1">IF(Control!$C$114=1, $HM365*$FY365-$FD365, 0)</f>
        <v>#DIV/0!</v>
      </c>
      <c r="EE365" s="155" t="e">
        <f ca="1">IF(Control!$C$114=1, $HM365*$FZ365-$FF365, 0)</f>
        <v>#DIV/0!</v>
      </c>
      <c r="EF365" s="153" t="e">
        <f t="shared" ca="1" si="1365"/>
        <v>#N/A</v>
      </c>
      <c r="EG365" s="155" t="e">
        <f ca="1">IF(Control!$C$114=1, $GX365*$FW365-$FI365, 0)</f>
        <v>#DIV/0!</v>
      </c>
      <c r="EH365" s="153" t="e">
        <f t="shared" ca="1" si="1312"/>
        <v>#N/A</v>
      </c>
      <c r="EI365" s="156" t="e">
        <f t="shared" ca="1" si="1313"/>
        <v>#N/A</v>
      </c>
      <c r="EJ365" s="155" t="e">
        <f ca="1">IF(Control!$C$114=1, $HM365*$GB365, 0)</f>
        <v>#DIV/0!</v>
      </c>
      <c r="EK365" s="153" t="e">
        <f t="shared" ca="1" si="1366"/>
        <v>#N/A</v>
      </c>
      <c r="EL365" s="153" t="e">
        <f t="shared" ca="1" si="1184"/>
        <v>#N/A</v>
      </c>
      <c r="EM365" s="153" t="e">
        <f t="shared" ca="1" si="1185"/>
        <v>#N/A</v>
      </c>
      <c r="EN365" s="153" t="e">
        <f ca="1">IF(Control!$C$108=1,IF(AND(Control!$B$18=1,$EB365&gt;=Control!$B$19),$EB365-$DS365,IF(AND(Control!$B$18=2,$AW365=1,$EB365&gt;$DS365),$EB365-$DS365,0)))</f>
        <v>#N/A</v>
      </c>
      <c r="EO365" s="153" t="e">
        <f ca="1">IF(Control!$C$108=1,IF(AND(Control!$B$18=1,$EB365&gt;=Control!$B$19),$EF365,IF(AND(Control!$B$18=2,$AW365=1),$EF365,0)))</f>
        <v>#N/A</v>
      </c>
      <c r="EP365" s="153" t="e">
        <f ca="1">IF(Control!$C$108=1,IF(AND(Control!$B$18=1,$EB365&gt;=Control!$B$19),$EK365,IF(AND(Control!$B$18=2,$AW365=1),$EK365,0)))</f>
        <v>#N/A</v>
      </c>
      <c r="EQ365" s="153" t="e">
        <f t="shared" ca="1" si="1314"/>
        <v>#N/A</v>
      </c>
      <c r="ER365" s="153" t="e">
        <f t="shared" ca="1" si="1315"/>
        <v>#N/A</v>
      </c>
      <c r="ES365" s="153" t="e">
        <f t="shared" ca="1" si="1367"/>
        <v>#N/A</v>
      </c>
      <c r="ET365" s="153" t="e">
        <f t="shared" ca="1" si="1368"/>
        <v>#N/A</v>
      </c>
      <c r="EU365" s="153" t="e">
        <f t="shared" ca="1" si="1316"/>
        <v>#N/A</v>
      </c>
      <c r="EV365" s="153" t="e">
        <f t="shared" ca="1" si="1186"/>
        <v>#N/A</v>
      </c>
      <c r="EW365" s="153" t="e">
        <f t="shared" ca="1" si="1187"/>
        <v>#N/A</v>
      </c>
      <c r="EX365" s="153" t="e">
        <f t="shared" ca="1" si="1188"/>
        <v>#N/A</v>
      </c>
      <c r="EY365" s="157" t="e">
        <f t="shared" ca="1" si="1189"/>
        <v>#DIV/0!</v>
      </c>
      <c r="EZ365" s="154" t="e">
        <f t="shared" ca="1" si="1190"/>
        <v>#DIV/0!</v>
      </c>
      <c r="FA365" s="153" t="e">
        <f t="shared" ca="1" si="1317"/>
        <v>#N/A</v>
      </c>
      <c r="FB365" s="153" t="e">
        <f t="shared" ca="1" si="1191"/>
        <v>#N/A</v>
      </c>
      <c r="FC365" s="193" t="e">
        <f t="shared" ca="1" si="1192"/>
        <v>#N/A</v>
      </c>
      <c r="FD365" s="158" t="e">
        <f t="shared" ca="1" si="1318"/>
        <v>#N/A</v>
      </c>
      <c r="FE365" s="158" t="e">
        <f t="shared" ca="1" si="1319"/>
        <v>#N/A</v>
      </c>
      <c r="FF365" s="159" t="e">
        <f t="shared" ca="1" si="1193"/>
        <v>#N/A</v>
      </c>
      <c r="FG365" s="160" t="e">
        <f t="shared" ca="1" si="1320"/>
        <v>#N/A</v>
      </c>
      <c r="FH365" s="158" t="e">
        <f t="shared" ca="1" si="1321"/>
        <v>#N/A</v>
      </c>
      <c r="FI365" s="159" t="e">
        <f t="shared" ca="1" si="1194"/>
        <v>#N/A</v>
      </c>
      <c r="FJ365" s="160" t="e">
        <f t="shared" ca="1" si="1322"/>
        <v>#N/A</v>
      </c>
      <c r="FK365" s="160" t="e">
        <f t="shared" ca="1" si="1195"/>
        <v>#N/A</v>
      </c>
      <c r="FL365" s="160" t="e">
        <f t="shared" ca="1" si="1369"/>
        <v>#N/A</v>
      </c>
      <c r="FM365" s="160" t="e">
        <f t="shared" ca="1" si="1196"/>
        <v>#N/A</v>
      </c>
      <c r="FN365" s="158">
        <f t="shared" ca="1" si="1323"/>
        <v>0.01</v>
      </c>
      <c r="FO365" s="160">
        <f>Control!$C$101</f>
        <v>50</v>
      </c>
      <c r="FP365" s="150" t="e">
        <f t="shared" ca="1" si="1197"/>
        <v>#N/A</v>
      </c>
      <c r="FQ365" s="150" t="e">
        <f ca="1">MAX(0,(Control!$C$112*(($DK365-Control!$C$97)/Control!$C$97)))</f>
        <v>#N/A</v>
      </c>
      <c r="FR365" s="150" t="e">
        <f ca="1">(1-$NT365)*Control!$C$113</f>
        <v>#DIV/0!</v>
      </c>
      <c r="FS365" s="198" t="e">
        <f t="shared" ca="1" si="1198"/>
        <v>#N/A</v>
      </c>
      <c r="FT365" s="161">
        <f t="shared" ca="1" si="1324"/>
        <v>361</v>
      </c>
      <c r="FU365" s="162" t="e">
        <f ca="1">IF(Control!$B$34=1,VLOOKUP($CP365,Control!$B$86:$G$91,6),Control!$B$35)</f>
        <v>#N/A</v>
      </c>
      <c r="FV365" s="162" t="e">
        <f t="shared" ca="1" si="1199"/>
        <v>#DIV/0!</v>
      </c>
      <c r="FW365" s="162" t="e">
        <f ca="1">IF(Control!$B$31=1,$FU365*$FV365,  $FU365)</f>
        <v>#N/A</v>
      </c>
      <c r="FX365" s="162" t="e">
        <f ca="1">IF(Control!$B$34=1,VLOOKUP($CP365,Control!$B$86:$G$91,3),Control!$B$36)</f>
        <v>#N/A</v>
      </c>
      <c r="FY365" s="162" t="e">
        <f t="shared" ca="1" si="1200"/>
        <v>#N/A</v>
      </c>
      <c r="FZ365" s="162" t="e">
        <f ca="1">IF(Control!$B$34=1,VLOOKUP($CP365,Control!$B$86:$G$91,4),Control!$B$37)</f>
        <v>#N/A</v>
      </c>
      <c r="GA365" s="162" t="e">
        <f t="shared" ca="1" si="1201"/>
        <v>#N/A</v>
      </c>
      <c r="GB365" s="162" t="e">
        <f ca="1">IF(Control!$B$34=1,VLOOKUP($CP365,Control!$B$86:$G$91,5),Control!$B$38)</f>
        <v>#N/A</v>
      </c>
      <c r="GC365" s="162" t="e">
        <f t="shared" ca="1" si="1325"/>
        <v>#N/A</v>
      </c>
      <c r="GD365" s="162">
        <f t="shared" ca="1" si="1202"/>
        <v>1</v>
      </c>
      <c r="GE365" s="162">
        <f t="shared" ca="1" si="1203"/>
        <v>1</v>
      </c>
      <c r="GF365" s="162">
        <f ca="1">IF(AND(Control!$C$104=1, Control!$C$62="F"),$GE365,1)</f>
        <v>1</v>
      </c>
      <c r="GG365" s="162" t="e">
        <f ca="1">IF(Control!$B$16=40,0,IF(AND(Control!$B$16&gt;40,Control!$B$16&lt;=360),(Control!$B$16-40)*((1-0)/(360-40)),IF(AND(Control!$B$16&gt;360,Control!$B$16&lt;=720),(1+(Control!$B$16-360)*((1.25-1)/(720-360))),IF(AND(Control!$B$16&gt;720,Control!$B$16&lt;=1000),(1.25+(Control!$B$16-720)*((1.35-1.25)/(1000-720))),IF(AND(Control!$B$16&gt;1000,Control!$B$16&lt;=2000),(1.35+(Control!$B$16-1000)*0))))))</f>
        <v>#N/A</v>
      </c>
      <c r="GH365" s="162" t="e">
        <f t="shared" ca="1" si="1204"/>
        <v>#N/A</v>
      </c>
      <c r="GI365" s="162">
        <f t="shared" ca="1" si="1326"/>
        <v>0</v>
      </c>
      <c r="GJ365" s="162">
        <f t="shared" ca="1" si="1205"/>
        <v>0</v>
      </c>
      <c r="GK365" s="162">
        <f t="shared" ca="1" si="1327"/>
        <v>1</v>
      </c>
      <c r="GL365" s="162">
        <f t="shared" ca="1" si="1206"/>
        <v>1</v>
      </c>
      <c r="GM365" s="162" t="e">
        <f ca="1">MAX(0,MIN(1,1-Control!$C$156*(1.0001-$KH365)^2))</f>
        <v>#N/A</v>
      </c>
      <c r="GN365" s="162" t="e">
        <f ca="1">IF(Control!$B$26=1,$KU365,$KX365)</f>
        <v>#N/A</v>
      </c>
      <c r="GO365" s="162" t="e">
        <f ca="1">IF($CP365&lt;=60,Control!$C$105,IF($CP365&gt;=90,Control!$C$106,Control!$C$105+($CP365-60)*((Control!$C$106-Control!$C$105)/(90-60))))</f>
        <v>#N/A</v>
      </c>
      <c r="GP365" s="162" t="e">
        <f t="shared" ca="1" si="1207"/>
        <v>#N/A</v>
      </c>
      <c r="GQ365" s="162" t="e">
        <f t="shared" ca="1" si="1328"/>
        <v>#N/A</v>
      </c>
      <c r="GR365" s="163" t="e">
        <f t="shared" ca="1" si="1208"/>
        <v>#DIV/0!</v>
      </c>
      <c r="GS365" s="162" t="e">
        <f t="shared" ca="1" si="1209"/>
        <v>#DIV/0!</v>
      </c>
      <c r="GT365" s="164" t="e">
        <f t="shared" ca="1" si="1329"/>
        <v>#N/A</v>
      </c>
      <c r="GU365" s="162" t="e">
        <f t="shared" ca="1" si="1330"/>
        <v>#N/A</v>
      </c>
      <c r="GV365" s="162" t="e">
        <f t="shared" ca="1" si="1210"/>
        <v>#N/A</v>
      </c>
      <c r="GW365" s="162" t="e">
        <f t="shared" ca="1" si="1211"/>
        <v>#DIV/0!</v>
      </c>
      <c r="GX365" s="162" t="e">
        <f t="shared" ca="1" si="1331"/>
        <v>#DIV/0!</v>
      </c>
      <c r="GY365" s="162" t="e">
        <f t="shared" ca="1" si="1332"/>
        <v>#DIV/0!</v>
      </c>
      <c r="GZ365" s="165" t="e">
        <f t="shared" ca="1" si="1212"/>
        <v>#N/A</v>
      </c>
      <c r="HA365" s="162" t="e">
        <f ca="1">IF(Control!$C$114=1, $DI365*$FS365, 0)</f>
        <v>#N/A</v>
      </c>
      <c r="HB365" s="162" t="e">
        <f ca="1">$FA365/Control!$C$64</f>
        <v>#N/A</v>
      </c>
      <c r="HC365" s="162" t="e">
        <f t="shared" ca="1" si="1213"/>
        <v>#DIV/0!</v>
      </c>
      <c r="HD365" s="162">
        <f ca="1">-ASIN(SIN(23.45*Control!$C$139)*COS(2*Control!$C$138*($AH365+10)/365))</f>
        <v>-0.40696948340162703</v>
      </c>
      <c r="HE365" s="165">
        <f t="shared" ca="1" si="1333"/>
        <v>0</v>
      </c>
      <c r="HF365" s="166">
        <f ca="1">IF(AND(Control!$C$61="T",$HE365&gt;=Control!$C$103,Control!$C$114=0),$AH365,Control!$C$59)</f>
        <v>1</v>
      </c>
      <c r="HG365" s="166">
        <f ca="1">IF(AND(Control!$C$61="T",$HE365&gt;=Control!$C$103,Control!$C$114=0),$HF365,Control!$C$59)</f>
        <v>1</v>
      </c>
      <c r="HH365" s="165">
        <f ca="1">IF(AND(OR(Control!$C$60&lt;=0, $AH365= Control!$C$59, Control!$C$60 &gt;0, $AH365 = Control!$C$60)), Control!$C$59, IF(Control!$C$60&gt;0, 0))</f>
        <v>1</v>
      </c>
      <c r="HI365" s="165">
        <f ca="1">IF(AND(OR(Control!$C$60&lt;=0, $AH365= Control!$C$59, Control!$C$60 &gt;0, $AH365 = Control!$C$60)), Control!$C$60, IF(Control!$C$60&lt;=0, 0))</f>
        <v>0</v>
      </c>
      <c r="HJ365" s="166">
        <f ca="1">IF(AND(Control!$C$62="F",$CV365&gt;=Control!$C$102),$AH365,0)</f>
        <v>0</v>
      </c>
      <c r="HK365" s="165" t="e">
        <f t="shared" ca="1" si="1370"/>
        <v>#N/A</v>
      </c>
      <c r="HL365" s="166">
        <f ca="1">IF(AND(Control!$C$61="T",$HE365&gt;=Control!$C$103,Control!$C$114=0),$HF365,0)</f>
        <v>0</v>
      </c>
      <c r="HM365" s="201" t="e">
        <f t="shared" ca="1" si="1214"/>
        <v>#DIV/0!</v>
      </c>
      <c r="HN365" s="215">
        <f t="shared" ca="1" si="1334"/>
        <v>361</v>
      </c>
      <c r="HO365" s="216" t="e">
        <f ca="1">IF(AND($CP365&gt;=0, $CP365&lt;=90), Control!$C$152, Control!$C$152)</f>
        <v>#N/A</v>
      </c>
      <c r="HP365" s="216" t="e">
        <f t="shared" ca="1" si="1215"/>
        <v>#N/A</v>
      </c>
      <c r="HQ365" s="217" t="e">
        <f ca="1">IF(OR(Control!$B$26=1,Control!$B$26=2),$KV365,$KS365)</f>
        <v>#DIV/0!</v>
      </c>
      <c r="HR365" s="218" t="e">
        <f t="shared" ca="1" si="1371"/>
        <v>#DIV/0!</v>
      </c>
      <c r="HS365" s="216" t="e">
        <f ca="1">Control!$C$154*$HP365</f>
        <v>#N/A</v>
      </c>
      <c r="HT365" s="216" t="e">
        <f ca="1">Control!$C$155*$HP365</f>
        <v>#N/A</v>
      </c>
      <c r="HU365" s="217" t="e">
        <f ca="1">Control!$C$161*$FI365</f>
        <v>#N/A</v>
      </c>
      <c r="HV365" s="218" t="e">
        <f t="shared" ca="1" si="1335"/>
        <v>#N/A</v>
      </c>
      <c r="HW365" s="218" t="e">
        <f ca="1">Control!$C$160*$FF365+$IP365*$EO365</f>
        <v>#N/A</v>
      </c>
      <c r="HX365" s="218" t="e">
        <f t="shared" ca="1" si="1372"/>
        <v>#N/A</v>
      </c>
      <c r="HY365" s="219" t="e">
        <f ca="1">IF(Control!$C$114=1, $EB365*$FS365, 0)</f>
        <v>#N/A</v>
      </c>
      <c r="HZ365" s="91" t="e">
        <f t="shared" ca="1" si="1216"/>
        <v>#N/A</v>
      </c>
      <c r="IA365" s="220" t="e">
        <f ca="1">Control!$C$153*$HO365</f>
        <v>#N/A</v>
      </c>
      <c r="IB365" s="218" t="e">
        <f t="shared" ca="1" si="1217"/>
        <v>#N/A</v>
      </c>
      <c r="IC365" s="220" t="e">
        <f ca="1">Control!$C$153*$HT365</f>
        <v>#N/A</v>
      </c>
      <c r="ID365" s="218" t="e">
        <f t="shared" ca="1" si="1218"/>
        <v>#N/A</v>
      </c>
      <c r="IE365" s="221" t="e">
        <f ca="1">($EB365*Control!$C$159+$EF365*Control!$C$160)/(IF($GZ365&lt;&gt;0,$GZ365,1))</f>
        <v>#N/A</v>
      </c>
      <c r="IF365" s="216" t="e">
        <f t="shared" ca="1" si="1219"/>
        <v>#N/A</v>
      </c>
      <c r="IG365" s="91">
        <f ca="1">IF(OR(Control!$B$198=$AH365,Control!$B$199=$AH365, Control!$B$200=$AH365, Control!$B$201=$AH365, Control!$B$202=$AH365, Control!$B$203=$AH365, Control!$B$204=$AH365, Control!$B$205=$AH365, Control!$B$206=$AH365, Control!$B$207=$AH365), 1, 0)</f>
        <v>0</v>
      </c>
      <c r="IH365" s="91">
        <f ca="1">IF($IG365=0,0, VLOOKUP($AH365,Control!$B$198:$C$207,2))</f>
        <v>0</v>
      </c>
      <c r="II365" s="222">
        <f t="shared" ca="1" si="1336"/>
        <v>0</v>
      </c>
      <c r="IJ365" s="91">
        <f>Control!$C$121</f>
        <v>0.7</v>
      </c>
      <c r="IK365" s="218">
        <f t="shared" ca="1" si="1220"/>
        <v>0</v>
      </c>
      <c r="IL365" s="217" t="e">
        <f t="shared" ca="1" si="1373"/>
        <v>#N/A</v>
      </c>
      <c r="IM365" s="223" t="e">
        <f ca="1">IF(AND(Control!$C$114=1,$KH365&lt;1),$EB365*Control!$C$148*(1-$KH365), 0)</f>
        <v>#N/A</v>
      </c>
      <c r="IN365" s="217" t="e">
        <f t="shared" ca="1" si="1221"/>
        <v>#DIV/0!</v>
      </c>
      <c r="IO365" s="91" t="e">
        <f ca="1">MAX(0,$IL365-$EF365*Control!$C$160)</f>
        <v>#N/A</v>
      </c>
      <c r="IP365" s="220" t="e">
        <f t="shared" ca="1" si="1222"/>
        <v>#N/A</v>
      </c>
      <c r="IQ365" s="217" t="e">
        <f t="shared" ca="1" si="1337"/>
        <v>#N/A</v>
      </c>
      <c r="IR365" s="218" t="e">
        <f t="shared" ca="1" si="1223"/>
        <v>#N/A</v>
      </c>
      <c r="IS365" s="217" t="e">
        <f ca="1">Control!$C$159*MAX(0,$FD365-$EN365)</f>
        <v>#N/A</v>
      </c>
      <c r="IT365" s="217" t="e">
        <f t="shared" ca="1" si="1374"/>
        <v>#N/A</v>
      </c>
      <c r="IU365" s="217" t="e">
        <f t="shared" ca="1" si="1338"/>
        <v>#N/A</v>
      </c>
      <c r="IV365" s="217" t="e">
        <f t="shared" ca="1" si="1375"/>
        <v>#N/A</v>
      </c>
      <c r="IW365" s="217" t="e">
        <f ca="1">IF(OR($AW365=1,AND($AW365=0, Control!$B$18=1,$EN365&lt;&gt;0)), $IQ365-$IU365, $IQ365)</f>
        <v>#N/A</v>
      </c>
      <c r="IX365" s="218" t="e">
        <f t="shared" ca="1" si="1224"/>
        <v>#N/A</v>
      </c>
      <c r="IY365" s="218" t="e">
        <f ca="1">MAX(0,$IQ365-$EB365*Control!$C$159)</f>
        <v>#N/A</v>
      </c>
      <c r="IZ365" s="218" t="e">
        <f t="shared" ca="1" si="1225"/>
        <v>#N/A</v>
      </c>
      <c r="JA365" s="216" t="e">
        <f t="shared" ca="1" si="1226"/>
        <v>#N/A</v>
      </c>
      <c r="JB365" s="217" t="e">
        <f t="shared" ca="1" si="1227"/>
        <v>#N/A</v>
      </c>
      <c r="JC365" s="222" t="e">
        <f ca="1">MAX(Control!$C$157*$EK365-$JT365, 0)/Control!$C$162</f>
        <v>#N/A</v>
      </c>
      <c r="JD365" s="218" t="e">
        <f t="shared" ca="1" si="1228"/>
        <v>#N/A</v>
      </c>
      <c r="JE365" s="218" t="e">
        <f t="shared" ca="1" si="1229"/>
        <v>#N/A</v>
      </c>
      <c r="JF365" s="218" t="e">
        <f t="shared" ca="1" si="1339"/>
        <v>#N/A</v>
      </c>
      <c r="JG365" s="218" t="e">
        <f t="shared" ca="1" si="1230"/>
        <v>#N/A</v>
      </c>
      <c r="JH365" s="217" t="e">
        <f t="shared" ca="1" si="1340"/>
        <v>#N/A</v>
      </c>
      <c r="JI365" s="217" t="e">
        <f t="shared" ca="1" si="1341"/>
        <v>#N/A</v>
      </c>
      <c r="JJ365" s="217" t="e">
        <f t="shared" ca="1" si="1376"/>
        <v>#N/A</v>
      </c>
      <c r="JK365" s="217" t="e">
        <f ca="1">IF(Control!$C$114=1,IF(Control!$B$24=0,MAX(0,$JI365)*$GN365/Control!$C$64,(MAX(0,MIN($JI365,$JJ365*$GN365/Control!$C$64),0))))</f>
        <v>#N/A</v>
      </c>
      <c r="JL365" s="217" t="e">
        <f ca="1">$IK365/Control!$C$64-$JK365+$HQ365</f>
        <v>#N/A</v>
      </c>
      <c r="JM365" s="217" t="e">
        <f ca="1">IF(Control!$C$114=1,($JB365/(IF($JI365&lt;&gt;0,$JI365,1)))*$JK365,0)</f>
        <v>#N/A</v>
      </c>
      <c r="JN365" s="217" t="e">
        <f ca="1">IF(Control!$C$114=1,($JG365/(IF($JI365&lt;&gt;0,$JI365,1)))*$JK365, 0)</f>
        <v>#N/A</v>
      </c>
      <c r="JO365" s="218" t="e">
        <f t="shared" ca="1" si="1231"/>
        <v>#N/A</v>
      </c>
      <c r="JP365" s="218" t="e">
        <f ca="1">MIN(($IY365+$IO365)*Control!$C$151, $JF365-$EH365*Control!$C$161)</f>
        <v>#N/A</v>
      </c>
      <c r="JQ365" s="218" t="e">
        <f t="shared" ca="1" si="1232"/>
        <v>#N/A</v>
      </c>
      <c r="JR365" s="217" t="e">
        <f ca="1">IF($CP365-Control!$C$150&lt;0, 0, $JQ365/Control!$C$162)</f>
        <v>#N/A</v>
      </c>
      <c r="JS365" s="218" t="e">
        <f t="shared" ca="1" si="1233"/>
        <v>#N/A</v>
      </c>
      <c r="JT365" s="218" t="e">
        <f t="shared" ca="1" si="1342"/>
        <v>#N/A</v>
      </c>
      <c r="JU365" s="218" t="e">
        <f t="shared" ca="1" si="1234"/>
        <v>#N/A</v>
      </c>
      <c r="JV365" s="218" t="e">
        <f t="shared" ca="1" si="1235"/>
        <v>#N/A</v>
      </c>
      <c r="JW365" s="216" t="e">
        <f t="shared" ca="1" si="1236"/>
        <v>#N/A</v>
      </c>
      <c r="JX365" s="91" t="e">
        <f t="shared" ca="1" si="1237"/>
        <v>#N/A</v>
      </c>
      <c r="JY365" s="218" t="e">
        <f t="shared" ca="1" si="1238"/>
        <v>#N/A</v>
      </c>
      <c r="JZ365" s="217" t="e">
        <f ca="1">IF(Control!$C$114=1,($IZ365/(IF($JI365&lt;&gt;0,$JI365,1)))*$JK365, 0)</f>
        <v>#N/A</v>
      </c>
      <c r="KA365" s="218" t="e">
        <f t="shared" ca="1" si="1377"/>
        <v>#N/A</v>
      </c>
      <c r="KB365" s="218" t="e">
        <f t="shared" ca="1" si="1343"/>
        <v>#N/A</v>
      </c>
      <c r="KC365" s="218" t="e">
        <f t="shared" ca="1" si="1239"/>
        <v>#N/A</v>
      </c>
      <c r="KD365" s="218" t="e">
        <f t="shared" ca="1" si="1240"/>
        <v>#N/A</v>
      </c>
      <c r="KE365" s="218" t="e">
        <f t="shared" ca="1" si="1241"/>
        <v>#N/A</v>
      </c>
      <c r="KF365" s="218" t="e">
        <f t="shared" ca="1" si="1242"/>
        <v>#N/A</v>
      </c>
      <c r="KG365" s="216" t="e">
        <f t="shared" ca="1" si="1243"/>
        <v>#N/A</v>
      </c>
      <c r="KH365" s="221" t="e">
        <f ca="1">IF(Control!$B$24=0,1,MAX(0.001,MIN(1,IF(($IF365-$IE365)&lt;&gt;0,($KG365-$IE365)/($IF365-$IE365),1))))</f>
        <v>#N/A</v>
      </c>
      <c r="KI365" s="222" t="e">
        <f ca="1">IF(Control!$C$114=1, $KI364+ $KH364, 0)</f>
        <v>#N/A</v>
      </c>
      <c r="KJ365" s="217" t="e">
        <f t="shared" ca="1" si="1244"/>
        <v>#N/A</v>
      </c>
      <c r="KK365" s="218" t="e">
        <f t="shared" ca="1" si="1245"/>
        <v>#N/A</v>
      </c>
      <c r="KL365" s="274" t="e">
        <f ca="1">IF(Control!$B$26=3,4000000000*EXP(-8400/($G365+273)),IF(Control!$B$26=4,4000000000*EXP(-8400/($G365+273))*($KT365),0))</f>
        <v>#DIV/0!</v>
      </c>
      <c r="KM365" s="274" t="e">
        <f ca="1">IF(Control!$B$26=3,5600000000000*EXP(-9800/($G365+273)),IF(Control!$B$26=4,5600000000000*EXP(-9800/($G365+273))*$KT365,0))</f>
        <v>#DIV/0!</v>
      </c>
      <c r="KN365" s="454" t="e">
        <f t="shared" ca="1" si="1344"/>
        <v>#DIV/0!</v>
      </c>
      <c r="KO365" s="274" t="e">
        <f t="shared" ca="1" si="1345"/>
        <v>#DIV/0!</v>
      </c>
      <c r="KP365" s="454" t="e">
        <f t="shared" ca="1" si="1246"/>
        <v>#DIV/0!</v>
      </c>
      <c r="KQ365" s="454" t="e">
        <f t="shared" ca="1" si="1247"/>
        <v>#DIV/0!</v>
      </c>
      <c r="KR365" s="454" t="e">
        <f t="shared" ca="1" si="1248"/>
        <v>#DIV/0!</v>
      </c>
      <c r="KS365" s="454" t="e">
        <f t="shared" ca="1" si="1249"/>
        <v>#DIV/0!</v>
      </c>
      <c r="KT365" s="455" t="e">
        <f t="shared" ca="1" si="1250"/>
        <v>#DIV/0!</v>
      </c>
      <c r="KU365" s="456" t="e">
        <f ca="1">IF($CP365-Control!$C$149&lt;0, IF($NT365-0.01&lt;0,0,1),0)</f>
        <v>#N/A</v>
      </c>
      <c r="KV365" s="456" t="e">
        <f ca="1">IF(Control!$C$114=1,MAX(0,MIN(Control!$C$125*$KW365*$GN365,$KW365)))</f>
        <v>#DIV/0!</v>
      </c>
      <c r="KW365" s="456" t="e">
        <f t="shared" ca="1" si="1378"/>
        <v>#DIV/0!</v>
      </c>
      <c r="KX365" s="457" t="e">
        <f ca="1">IF($CP365-Control!$C$149&lt;0, IF($MR365-$OM365&lt;0,0,1),0)</f>
        <v>#N/A</v>
      </c>
      <c r="KY365" s="167">
        <f t="shared" ca="1" si="1346"/>
        <v>361</v>
      </c>
      <c r="KZ365" s="168">
        <f ca="1">1370*(1+0.033*COS(2*Control!$C$138*$AH365/365))</f>
        <v>1415.1029113001609</v>
      </c>
      <c r="LA365" s="169">
        <f t="shared" ca="1" si="1347"/>
        <v>1.0329218000751172</v>
      </c>
      <c r="LB365" s="169">
        <f t="shared" ca="1" si="1348"/>
        <v>-0.40644019719899055</v>
      </c>
      <c r="LC365" s="169">
        <f ca="1">ACOS(-TAN((2*Control!$B$8/360))*TAN(Calculations!$LB365))</f>
        <v>1.4425270294890131</v>
      </c>
      <c r="LD365" s="169">
        <f ca="1">((24*60)/PI())*0.082*$LA365*(($LC365*SIN(Control!$B$8*2*PI()/360))*SIN($LB365)+COS(Control!$B$8*2*PI()/360)*COS($LB365)*SIN($LC365))</f>
        <v>4.327427539968113</v>
      </c>
      <c r="LE365" s="170">
        <f t="shared" ca="1" si="1251"/>
        <v>6.01553540378322</v>
      </c>
      <c r="LF365" s="170">
        <f ca="1">SIN(Control!$C$139*Control!$B$8)*SIN($HD365)</f>
        <v>-0.31191735750659105</v>
      </c>
      <c r="LG365" s="170">
        <f ca="1">COS(Control!$C$139*Control!$B$8)*COS($HD365)</f>
        <v>0.56537554332409112</v>
      </c>
      <c r="LH365" s="170">
        <f ca="1">12*(1+2*ASIN(MAX(-1,MIN(1,$LF365/$LG365))/Control!$C$138))</f>
        <v>7.7633676888564356</v>
      </c>
      <c r="LI365" s="170">
        <f ca="1">12*(1+2*ASIN(MAX(-1,MIN(1,(-SIN(-4*Control!$C$139)+$LF365)/$LG365))/Control!$C$138))</f>
        <v>8.7176737783851284</v>
      </c>
      <c r="LJ365" s="168">
        <f ca="1">3600*($LH365*$LF365+24*$LG365*SQRT(1-$LK365*$LK365)/Control!$C$138)</f>
        <v>4250.9526026317744</v>
      </c>
      <c r="LK365" s="170">
        <f t="shared" ca="1" si="1252"/>
        <v>-0.55169941676764422</v>
      </c>
      <c r="LL365" s="170">
        <f t="shared" ca="1" si="1253"/>
        <v>0</v>
      </c>
      <c r="LM365" s="171">
        <f ca="1">Control!$C$145*$AB365</f>
        <v>6.6660906138995932E-2</v>
      </c>
      <c r="LN365" s="170">
        <f t="shared" ca="1" si="1349"/>
        <v>0.54</v>
      </c>
      <c r="LO365" s="170">
        <f t="shared" ca="1" si="1254"/>
        <v>0</v>
      </c>
      <c r="LP365" s="170">
        <f ca="1">Control!$C$140*((($D365+273.16)^4+($E365+273.16)^4)/2)*(0.34-0.14*SQRT($Y365))*(1.35*$AQ365/(0.75*$LD365)-0.35)</f>
        <v>-3.2464704755046001</v>
      </c>
      <c r="LQ365" s="170">
        <f ca="1">Control!$C$140*($G365+273)^4*(0.56-0.079*SQRT($Y365*10))*(0.1+0.9*$LO365)</f>
        <v>1.5241745131704001</v>
      </c>
      <c r="LR365" s="170">
        <f ca="1">$AQ365*(1-Control!$C$142)-$LQ365</f>
        <v>-1.5241745131704001</v>
      </c>
      <c r="LS365" s="170">
        <f ca="1">$AQ365*(1-Control!$C$143)-$LQ365</f>
        <v>-1.5241745131704001</v>
      </c>
      <c r="LT365" s="170">
        <f ca="1">$AQ365*(1-Control!$C$144)-$LQ365</f>
        <v>-1.5241745131704001</v>
      </c>
      <c r="LU365" s="169">
        <f ca="1">(1-Control!$C$144)*AQ365-LP365</f>
        <v>3.2464704755046001</v>
      </c>
      <c r="LV365" s="172">
        <f t="shared" ca="1" si="1255"/>
        <v>0.79430000000000012</v>
      </c>
      <c r="LW365" s="170">
        <f t="shared" ca="1" si="1256"/>
        <v>1.5886000000000002</v>
      </c>
      <c r="LX365" s="170">
        <f ca="1">($AC365*($LR365/Control!$C$141)+$LM365*$LV365)/($AC365+$LM365)</f>
        <v>0.23530094218323697</v>
      </c>
      <c r="LY365" s="170">
        <f ca="1">($AC365*($LS365/Control!$C$141)+$LM365*$LV365)/($AC365+$LM365)</f>
        <v>0.23530094218323697</v>
      </c>
      <c r="LZ365" s="170">
        <f t="shared" ca="1" si="1257"/>
        <v>0.23530094218323697</v>
      </c>
      <c r="MA365" s="170">
        <f t="shared" ca="1" si="1258"/>
        <v>0.23530094218323697</v>
      </c>
      <c r="MB365" s="170" t="e">
        <f t="shared" ca="1" si="1259"/>
        <v>#N/A</v>
      </c>
      <c r="MC365" s="170">
        <f t="shared" ca="1" si="1350"/>
        <v>0.6018</v>
      </c>
      <c r="MD365" s="170">
        <f t="shared" ca="1" si="1260"/>
        <v>0.52989392535414004</v>
      </c>
      <c r="ME365" s="170">
        <f ca="1">($AC365*($LT365/Control!$C$141)+$LM365*$LW365)/($AC365+$LM365)</f>
        <v>0.71612369323045078</v>
      </c>
      <c r="MF365" s="170" t="e">
        <f ca="1">IF(Control!$B$16&gt;=1000,0.92,IF(AND(720&lt;=Control!$B$16,1000&gt;Control!$B$16),(0.95+(Control!$B$16-720)*((0.92-0.95)/(1000-720))),IF(AND(360&lt;=Control!$B$16,720&gt;Control!$B$16),(1+(Control!$B$16-360)*((0.95-1)/(720-360))),IF(AND(40&lt;=Control!$B$16,360&gt;Control!$B$16),(1.05+(Control!$B$16-40)*((1.05-1)/(360-40)))))))</f>
        <v>#N/A</v>
      </c>
      <c r="MG365" s="170">
        <f t="shared" ca="1" si="1261"/>
        <v>0.71612369323045078</v>
      </c>
      <c r="MH365" s="170" t="e">
        <f t="shared" ca="1" si="1387"/>
        <v>#N/A</v>
      </c>
      <c r="MI365" s="170" t="e">
        <f t="shared" ca="1" si="1387"/>
        <v>#N/A</v>
      </c>
      <c r="MJ365" s="170" t="e">
        <f ca="1">MAX(0.0001, Control!$C$132*$MI365*$DL365)</f>
        <v>#N/A</v>
      </c>
      <c r="MK365" s="170">
        <f ca="1">1/(0.76+1.5*($MG365/10))-(5-Control!$C$110)*0.1</f>
        <v>1.002845988140797</v>
      </c>
      <c r="ML365" s="173">
        <f ca="1">IF(Control!$C$110&lt;3,$MK365+($MG365-0.6)/(Control!$C$110*(Control!$C$110+3)), MAX(0.1, MIN(0.95,$MK365)))</f>
        <v>0.95</v>
      </c>
      <c r="MM365" s="173">
        <f ca="1">IF(Control!$C$110&lt;3,$MK365+(($MI365/10)-0.6)/(Control!$C$110*(Control!$C$110+3)), MAX(0.1, MIN(0.95,$MK365)))</f>
        <v>0.95</v>
      </c>
      <c r="MN365" s="173">
        <f ca="1">(1-$MM365)*(Control!$C$128-Control!$C$127)+Control!$C$127</f>
        <v>0.16</v>
      </c>
      <c r="MO365" s="170" t="e">
        <f ca="1">MAX(0,MIN(1,($MS365-Control!$C$127)/($MN365-Control!$C$127)))</f>
        <v>#DIV/0!</v>
      </c>
      <c r="MP365" s="173" t="e">
        <f ca="1">1/(0.76+1.5*$MI365)-(5-Control!$C$110)*0.1</f>
        <v>#N/A</v>
      </c>
      <c r="MQ365" s="172" t="e">
        <f t="shared" ca="1" si="1379"/>
        <v>#DIV/0!</v>
      </c>
      <c r="MR365" s="168" t="e">
        <f t="shared" ca="1" si="1351"/>
        <v>#DIV/0!</v>
      </c>
      <c r="MS365" s="173" t="e">
        <f ca="1">MAX(Control!$C$127, MIN(Control!$C$135, $MR365/MAX(0.0001,$CY365)))</f>
        <v>#DIV/0!</v>
      </c>
      <c r="MT365" s="168" t="e">
        <f ca="1">(Control!$C$128-$MS365)*Control!$C$74</f>
        <v>#DIV/0!</v>
      </c>
      <c r="MU365" s="168" t="e">
        <f ca="1">(Control!$C$135-$MS365)*Control!$C$74</f>
        <v>#DIV/0!</v>
      </c>
      <c r="MV365" s="168" t="e">
        <f t="shared" ca="1" si="1352"/>
        <v>#DIV/0!</v>
      </c>
      <c r="MW365" s="168" t="e">
        <f t="shared" ca="1" si="1353"/>
        <v>#DIV/0!</v>
      </c>
      <c r="MX365" s="171" t="e">
        <f ca="1">MAX(Control!$C$127, MIN(Control!$C$135, $MW365/MAX(0.0001,Control!$C$119-$CY365)))</f>
        <v>#DIV/0!</v>
      </c>
      <c r="MY365" s="54" t="e">
        <f ca="1">IF(Control!$C$114=1, $CX365*$MX365, 0)</f>
        <v>#DIV/0!</v>
      </c>
      <c r="MZ365" s="54" t="e">
        <f t="shared" ca="1" si="1354"/>
        <v>#N/A</v>
      </c>
      <c r="NA365" s="168" t="e">
        <f ca="1">(Control!$C$128-$MX365)*(Control!$C$119-Control!$C$74)</f>
        <v>#DIV/0!</v>
      </c>
      <c r="NB365" s="168" t="e">
        <f ca="1">(Control!$C$135-$MX365)*(Control!$C$119-Control!$C$74)</f>
        <v>#DIV/0!</v>
      </c>
      <c r="NC365" s="174" t="e">
        <f t="shared" ca="1" si="1355"/>
        <v>#DIV/0!</v>
      </c>
      <c r="ND365" s="54">
        <f ca="1">IF(Control!$C$58=2, IF(OR(Control!$B$218=$AH365,Control!$B$219=$AH365, Control!$B$220=$AH365, Control!$B$221=$AH365, Control!$B$222=$AH365, Control!$B$223=$AH365, Control!$B$224=$AH365, Control!$B$225=$AH365, Control!$B$226=$AH365, Control!$B$227=$AH365, Control!$B$228=$AH365), 1, 0), 0)</f>
        <v>0</v>
      </c>
      <c r="NE365" s="54">
        <f ca="1">IF($ND365=0,0, VLOOKUP($AH365,Control!$B$218:$C$228,2))</f>
        <v>0</v>
      </c>
      <c r="NF365" s="168" t="e">
        <f ca="1">$CY365*(Control!$C$128-Control!$C$127)</f>
        <v>#N/A</v>
      </c>
      <c r="NG365" s="54" t="e">
        <f ca="1">IF(Control!$C$58=2, $NI364-$NJ364, 0)</f>
        <v>#DIV/0!</v>
      </c>
      <c r="NH365" s="54" t="e">
        <f ca="1">IF(AND(Control!$C$58=1, $MS364&lt;= ($MN364+0.02), $I364&lt;10), 0, IF(Control!$C$58=2, $NG364, 0))</f>
        <v>#DIV/0!</v>
      </c>
      <c r="NI365" s="54" t="e">
        <f ca="1">IF(Control!$C$58=2, $NE365+$NH365,0)</f>
        <v>#DIV/0!</v>
      </c>
      <c r="NJ365" s="54" t="e">
        <f ca="1">IF(AND(Control!$C$58=1, $MS365&lt;= ($MN365+0.02), $I365&lt;10), MAX(0, MIN(10, 0.7*($NF365-$MV365))), IF(Control!$C$58=2, MIN(10,$NI365),0))</f>
        <v>#DIV/0!</v>
      </c>
      <c r="NK365" s="54" t="e">
        <f t="shared" ca="1" si="1263"/>
        <v>#DIV/0!</v>
      </c>
      <c r="NL365" s="173" t="e">
        <f ca="1">(1-Control!$C$73)*$I365+$NJ365</f>
        <v>#DIV/0!</v>
      </c>
      <c r="NM365" s="172" t="e">
        <f ca="1">IF($NL365&lt;0.5, $MB365* MAX(0, MIN(1, (SQRT($NC365)-SQRT($NC365-1))*Control!$C$71)),0)</f>
        <v>#DIV/0!</v>
      </c>
      <c r="NN365" s="170" t="e">
        <f ca="1">IF($NL365&gt;=5, $MB365, MAX(0,MIN($MB365, $NM365+$NL365,($MS365-Control!$C$129))))</f>
        <v>#DIV/0!</v>
      </c>
      <c r="NO365" s="54">
        <f>IF(Control!$C$133&lt;&gt;1, Control!$C$135-Control!$C$131, 0)</f>
        <v>0.38</v>
      </c>
      <c r="NP365" s="54" t="e">
        <f t="shared" ca="1" si="1264"/>
        <v>#DIV/0!</v>
      </c>
      <c r="NQ365" s="173" t="e">
        <f ca="1">MAX(0,MIN(1,(Control!$C$135-$MS365)/(Control!$C$135-$NO365)))</f>
        <v>#DIV/0!</v>
      </c>
      <c r="NR365" s="170" t="e">
        <f ca="1">IF(Control!$C$133&lt;&gt;1, $NQ365+((1-$NP365/4)*(1-$NQ365)),1)</f>
        <v>#DIV/0!</v>
      </c>
      <c r="NS365" s="170" t="e">
        <f ca="1">IF(Control!$B$31=0,$MJ365,MAX(0,MIN($MV365,$MO365*$NR365*$MJ365)))</f>
        <v>#DIV/0!</v>
      </c>
      <c r="NT365" s="170" t="e">
        <f t="shared" ca="1" si="1380"/>
        <v>#DIV/0!</v>
      </c>
      <c r="NU365" s="170" t="e">
        <f t="shared" ca="1" si="1356"/>
        <v>#N/A</v>
      </c>
      <c r="NV365" s="170" t="e">
        <f t="shared" ca="1" si="1265"/>
        <v>#N/A</v>
      </c>
      <c r="NW365" s="175" t="e">
        <f t="shared" ca="1" si="1266"/>
        <v>#DIV/0!</v>
      </c>
      <c r="NX365" s="170" t="e">
        <f ca="1">MIN(Control!$C$72+$MU365, $NW365)</f>
        <v>#DIV/0!</v>
      </c>
      <c r="NY365" s="170" t="e">
        <f ca="1">IF($MT365&lt;=$NX365,MIN(Control!$C$72+$NB365,$NX365-$MT365),0)</f>
        <v>#DIV/0!</v>
      </c>
      <c r="NZ365" s="54" t="e">
        <f ca="1">IF(Control!$C$114=1,  $CX365*($MX365-Control!$C$127), 0)</f>
        <v>#DIV/0!</v>
      </c>
      <c r="OA365" s="170" t="e">
        <f t="shared" ca="1" si="1267"/>
        <v>#DIV/0!</v>
      </c>
      <c r="OB365" s="170" t="e">
        <f ca="1">IF($NA365 &lt;=$NY365, MIN(Control!$C$72, $NY365-$NA365), 0)</f>
        <v>#DIV/0!</v>
      </c>
      <c r="OC365" s="168" t="e">
        <f t="shared" ca="1" si="1268"/>
        <v>#DIV/0!</v>
      </c>
      <c r="OD365" s="168" t="e">
        <f t="shared" ca="1" si="1357"/>
        <v>#DIV/0!</v>
      </c>
      <c r="OE365" s="170">
        <f ca="1">Control!$C$73*$I365</f>
        <v>0</v>
      </c>
      <c r="OF365" s="176" t="e">
        <f t="shared" ca="1" si="1269"/>
        <v>#DIV/0!</v>
      </c>
      <c r="OG365" s="168" t="e">
        <f t="shared" ca="1" si="1270"/>
        <v>#DIV/0!</v>
      </c>
      <c r="OH365" s="168" t="e">
        <f t="shared" ca="1" si="1271"/>
        <v>#DIV/0!</v>
      </c>
      <c r="OI365" s="168" t="e">
        <f t="shared" ca="1" si="1272"/>
        <v>#DIV/0!</v>
      </c>
      <c r="OJ365" s="168" t="e">
        <f t="shared" ca="1" si="1273"/>
        <v>#DIV/0!</v>
      </c>
      <c r="OK365" s="204" t="e">
        <f t="shared" ca="1" si="1274"/>
        <v>#DIV/0!</v>
      </c>
      <c r="OL365" s="177">
        <f>Control!$C$127</f>
        <v>0.15</v>
      </c>
      <c r="OM365" s="182" t="e">
        <f t="shared" ca="1" si="1275"/>
        <v>#N/A</v>
      </c>
      <c r="ON365" s="177">
        <f>Control!$C$128</f>
        <v>0.35</v>
      </c>
      <c r="OO365" s="182" t="e">
        <f t="shared" ca="1" si="1276"/>
        <v>#N/A</v>
      </c>
      <c r="OP365" s="138">
        <f t="shared" ca="1" si="1358"/>
        <v>0</v>
      </c>
      <c r="OQ365" s="138" t="e">
        <f t="shared" ca="1" si="1381"/>
        <v>#DIV/0!</v>
      </c>
      <c r="OR365" s="138" t="e">
        <f t="shared" ca="1" si="1359"/>
        <v>#DIV/0!</v>
      </c>
      <c r="OS365" s="137" t="e">
        <f t="shared" ca="1" si="1382"/>
        <v>#DIV/0!</v>
      </c>
      <c r="OT365" s="139" t="e">
        <f t="shared" ca="1" si="1383"/>
        <v>#DIV/0!</v>
      </c>
      <c r="OU365" s="138" t="e">
        <f t="shared" ca="1" si="1384"/>
        <v>#N/A</v>
      </c>
      <c r="OV365" s="138" t="e">
        <f t="shared" ca="1" si="1385"/>
        <v>#DIV/0!</v>
      </c>
      <c r="OW365" s="138" t="e">
        <f t="shared" ca="1" si="1360"/>
        <v>#DIV/0!</v>
      </c>
      <c r="OX365" s="138" t="e">
        <f t="shared" ca="1" si="1361"/>
        <v>#DIV/0!</v>
      </c>
      <c r="OY365" s="138" t="e">
        <f t="shared" ca="1" si="1362"/>
        <v>#DIV/0!</v>
      </c>
      <c r="OZ365" s="138" t="e">
        <f t="shared" ca="1" si="1277"/>
        <v>#DIV/0!</v>
      </c>
      <c r="PA365" s="138" t="e">
        <f t="shared" ca="1" si="1278"/>
        <v>#DIV/0!</v>
      </c>
      <c r="PB365" s="55">
        <f>IF(Control!$C$61="T", IF(Control!$C$65="F", IF($AH$6-Control!$C$60&lt;0,0,1), IF(365+$AH$6-Control!$C$60&lt;0,0,1)),0)</f>
        <v>0</v>
      </c>
      <c r="PC365" s="55">
        <f ca="1">IF(Control!$C$65="F", IF($AH$6-$HF365&lt;0,0,1), IF(365+$AH$6-$HF365&lt;0,0,1))</f>
        <v>1</v>
      </c>
      <c r="PD365" s="444">
        <f>Control!$C$118</f>
        <v>1500</v>
      </c>
      <c r="PE365" s="180" t="e">
        <f t="shared" ca="1" si="1279"/>
        <v>#N/A</v>
      </c>
      <c r="PF365" s="445">
        <f t="shared" ca="1" si="1363"/>
        <v>0.71612369323045078</v>
      </c>
      <c r="PT365" s="186"/>
      <c r="PU365" s="186"/>
      <c r="PV365" s="94"/>
      <c r="PW365" s="94"/>
      <c r="PX365" s="94"/>
      <c r="PY365" s="94"/>
      <c r="PZ365" s="94"/>
      <c r="QA365" s="94"/>
      <c r="QB365" s="94"/>
      <c r="QC365" s="94"/>
      <c r="QD365" s="94"/>
      <c r="QE365" s="94"/>
      <c r="QF365" s="94"/>
      <c r="QG365" s="94"/>
      <c r="QH365" s="94"/>
      <c r="QI365" s="94"/>
      <c r="QJ365" s="94"/>
      <c r="QK365" s="94"/>
      <c r="QL365" s="94"/>
      <c r="QM365" s="94"/>
      <c r="QN365" s="94"/>
      <c r="QO365" s="94"/>
      <c r="QP365" s="94"/>
    </row>
    <row r="366" spans="1:458" s="2" customFormat="1" x14ac:dyDescent="0.2">
      <c r="A366" s="395">
        <v>27</v>
      </c>
      <c r="B366" s="396">
        <v>12</v>
      </c>
      <c r="C366" s="387">
        <f ca="1">Weather_data!$B365</f>
        <v>0</v>
      </c>
      <c r="D366" s="388">
        <f ca="1">Weather_data!$F365</f>
        <v>0</v>
      </c>
      <c r="E366" s="388">
        <f ca="1">Weather_data!$E365</f>
        <v>0</v>
      </c>
      <c r="F366" s="388">
        <f t="shared" ca="1" si="1280"/>
        <v>0</v>
      </c>
      <c r="G366" s="388">
        <f ca="1">AVERAGE($D366:$E366)+Control!$B$9</f>
        <v>0</v>
      </c>
      <c r="H366" s="388">
        <f ca="1">Weather_data!$G365</f>
        <v>0</v>
      </c>
      <c r="I366" s="388">
        <f ca="1">Weather_data!$I365</f>
        <v>0</v>
      </c>
      <c r="J366" s="388">
        <f ca="1">Weather_data!$H365</f>
        <v>0</v>
      </c>
      <c r="K366" s="389">
        <f ca="1">Weather_data!$D365</f>
        <v>0</v>
      </c>
      <c r="L366" s="388" t="e">
        <f t="shared" ca="1" si="1281"/>
        <v>#N/A</v>
      </c>
      <c r="M366" s="388" t="e">
        <f t="shared" ca="1" si="1158"/>
        <v>#N/A</v>
      </c>
      <c r="N366" s="388">
        <f t="shared" ca="1" si="1159"/>
        <v>-1.6837336925879866E-17</v>
      </c>
      <c r="O366" s="388">
        <f t="shared" ca="1" si="1282"/>
        <v>1.6837336925879867E-16</v>
      </c>
      <c r="P366" s="390">
        <v>3</v>
      </c>
      <c r="Q366" s="388">
        <f ca="1">MAX($G366-Control!$C$107,0)</f>
        <v>0</v>
      </c>
      <c r="R366" s="388">
        <f t="shared" ca="1" si="1283"/>
        <v>0</v>
      </c>
      <c r="S366" s="388">
        <f t="shared" ca="1" si="1160"/>
        <v>0</v>
      </c>
      <c r="T366" s="388">
        <f t="shared" ca="1" si="1161"/>
        <v>0</v>
      </c>
      <c r="U366" s="59">
        <f t="shared" ca="1" si="1162"/>
        <v>0</v>
      </c>
      <c r="V366" s="391">
        <f ca="1">MAX(0,MIN(Control!$C$100-Control!$C$99,$G366-Control!$C$99)*Control!$C$63)</f>
        <v>0</v>
      </c>
      <c r="W366" s="388">
        <f t="shared" ca="1" si="1284"/>
        <v>0</v>
      </c>
      <c r="X366" s="388">
        <f t="shared" ca="1" si="1285"/>
        <v>0.6110000000000001</v>
      </c>
      <c r="Y366" s="388">
        <f t="shared" ca="1" si="1163"/>
        <v>0</v>
      </c>
      <c r="Z366" s="388">
        <f t="shared" ca="1" si="1286"/>
        <v>0.61058800000000002</v>
      </c>
      <c r="AA366" s="388">
        <f t="shared" ca="1" si="1164"/>
        <v>0.6018</v>
      </c>
      <c r="AB366" s="388">
        <f ca="1">101.3*EXP(-0.034*Control!$C$66/($G366+273))</f>
        <v>100.69623283836242</v>
      </c>
      <c r="AC366" s="392">
        <f t="shared" ca="1" si="1165"/>
        <v>4.3460251046025113E-2</v>
      </c>
      <c r="AD366" s="392">
        <f t="shared" ca="1" si="1166"/>
        <v>4.4450382862832649E-2</v>
      </c>
      <c r="AE366" s="388">
        <f t="shared" ca="1" si="1167"/>
        <v>0</v>
      </c>
      <c r="AF366" s="388">
        <f ca="1">MAX(0,$G366-Control!$C$92)</f>
        <v>0</v>
      </c>
      <c r="AG366" s="393">
        <f t="shared" ca="1" si="1168"/>
        <v>362</v>
      </c>
      <c r="AH366" s="389">
        <f t="shared" ca="1" si="1169"/>
        <v>362</v>
      </c>
      <c r="AI366" s="388">
        <f t="shared" ca="1" si="1287"/>
        <v>-0.40613659258935925</v>
      </c>
      <c r="AJ366" s="388">
        <f ca="1">IF(Control!$C$60&lt;=0,$HH366,$HI366)</f>
        <v>1</v>
      </c>
      <c r="AK366" s="388">
        <f t="shared" ca="1" si="1170"/>
        <v>4.8544061825332694</v>
      </c>
      <c r="AL366" s="388">
        <f t="shared" ca="1" si="1171"/>
        <v>-5.0496516690312622E-18</v>
      </c>
      <c r="AM366" s="388">
        <f t="shared" ca="1" si="1172"/>
        <v>4.8544061825332694</v>
      </c>
      <c r="AN366" s="388">
        <f t="shared" ca="1" si="1173"/>
        <v>-0.40475671680588676</v>
      </c>
      <c r="AO366" s="388">
        <f ca="1">-0.10453/COS(Control!$B$8*PI()/180)*COS(AN366)</f>
        <v>-0.15606594636007101</v>
      </c>
      <c r="AP366" s="388">
        <f ca="1">ACOS(AO366-TAN(Control!$B$8*PI()/180)*TAN(AN366))</f>
        <v>1.1676918816002262</v>
      </c>
      <c r="AQ366" s="388">
        <f t="shared" ca="1" si="1288"/>
        <v>0</v>
      </c>
      <c r="AR366" s="394">
        <f t="shared" ca="1" si="1174"/>
        <v>0</v>
      </c>
      <c r="AS366" s="436">
        <f ca="1">IF(Control!$B$18=2,(IF(OR($AH366=Control!$B$175,$AH366=Control!$B$176,$AH366=Control!$B$177,$AH366=Control!$B$178,$AH366=Control!$B$179,$AH366=Control!$B$180,$AH366=Control!$B$181,$AH366=Control!$B$182,$AH366=Control!$B$183,$AH366=Control!$B$184,$AH366=Control!$B$185),1,0)),0)</f>
        <v>0</v>
      </c>
      <c r="AT366" s="436">
        <f>IF(Control!$B$20=8,IF(AND($AH366&gt;=Control!$B$172,$AH366&lt;=Control!$B$173),1,0),0)</f>
        <v>0</v>
      </c>
      <c r="AU366" s="436">
        <f>IF(Control!$B$20=8,IF($AV365=1,1*$AT366,IF($AT366=1,$AU365+1,$AU365)),0)</f>
        <v>0</v>
      </c>
      <c r="AV366" s="436">
        <f>IF(Control!$B$20=8,IF($AU366&gt;=Control!$B$174,1,0),0)</f>
        <v>0</v>
      </c>
      <c r="AW366" s="436">
        <f ca="1">IF(AND(Control!$B$18=2,Control!$B$171=1), $AV366, $AS366)</f>
        <v>0</v>
      </c>
      <c r="AX366" s="436" t="e">
        <f ca="1">IF(AND(Control!$B$18=1,$EU366&gt;=Control!$B$19),-$AY366,IF(AND(Control!$B$18=2,$AW366=1,$EU366&gt;$DS366),-$AY366, IF(Control!$C$108=0,0, IF(Control!$C$108&lt;&gt;0,1))))</f>
        <v>#N/A</v>
      </c>
      <c r="AY366" s="436" t="e">
        <f t="shared" ca="1" si="1289"/>
        <v>#N/A</v>
      </c>
      <c r="AZ366" s="436" t="e">
        <f ca="1">IF(AND(Control!$B$18=1,$EB366&gt;Control!$B$19),$AZ365+1, IF(AND(Control!$B$18=2, $AW366=1, $EB366&gt;$DS366), $AZ365+1,$AZ365))</f>
        <v>#N/A</v>
      </c>
      <c r="BA366" s="587">
        <f>IF(Control!$C$81=0,1,IF($AH366&gt;=Control!$C$82,1,0))</f>
        <v>1</v>
      </c>
      <c r="BB366" s="140" t="e">
        <f ca="1">IF($BA366&gt;$BA365,Control!$C$83,IF($AW366&gt;0,$AW366*Control!$C$84,IF(AND(Control!$B$18=1,EN365&lt;&gt;0),Control!$C$84,0)))</f>
        <v>#N/A</v>
      </c>
      <c r="BC366" s="140" t="e">
        <f t="shared" ca="1" si="1290"/>
        <v>#N/A</v>
      </c>
      <c r="BD366" s="140" t="e">
        <f ca="1">BC366*IF(OR($G366&lt;Control!$C$92,$G366&gt;Control!$C$95),0,IF(AND($G366&gt;=Control!$C$92,$G366&lt;=Control!$C$93),$G366-Control!$C$92,IF(AND($G366&gt;Control!$C$93,$G366&lt;=Control!$C$94),Control!$C$93-Control!$C$92,IF(AND($G366&gt;Control!$C$94,$G366&lt;=Control!$C$95),(Control!$C$93-Control!$C$92)*(Control!$C$94-$G366)/(Control!$C$95-Control!$C$94)))))</f>
        <v>#N/A</v>
      </c>
      <c r="BE366" s="140" t="e">
        <f t="shared" ca="1" si="1291"/>
        <v>#N/A</v>
      </c>
      <c r="BF366" s="140" t="e">
        <f ca="1">IF($BE366&lt;=Control!$C$86,$BE366,Control!$C$86-$BE366)</f>
        <v>#N/A</v>
      </c>
      <c r="BG366" s="140" t="e">
        <f ca="1">IF(AND($AW366=1,Control!$C$84&lt;9),1,IF($BE366&gt;=Control!$C$86,0,$BC366))</f>
        <v>#N/A</v>
      </c>
      <c r="BH366" s="404" t="e">
        <f ca="1">IF($BG366=0,0,IF($BE366&lt;=Control!$C$86,$BC366*9*($BF366/Control!$C$86),0))</f>
        <v>#N/A</v>
      </c>
      <c r="BI366" s="140" t="e">
        <f ca="1">IF($BG366=1,0,IF($BE366&gt;=Control!$C$86,1,IF(AND($BB366&lt;21,$BB366&gt;=9),1,$BM365)))</f>
        <v>#N/A</v>
      </c>
      <c r="BJ366" s="140" t="e">
        <f ca="1">IF($BF366&lt;0,-$BF366,$BI366*IF(OR($G366&lt;Control!$C$92,$G366&gt;Control!$C$95),0,IF(AND($G366&gt;=Control!$C$92,$G366&lt;=Control!$C$93),$G366-Control!$C$92,IF(AND($G366&gt;Control!$C$93,$G366&lt;=Control!$C$94),Control!$C$93-Control!$C$92,IF(AND($G366&gt;Control!$C$94,$G366&lt;=Control!$C$95),(Control!$C$93-Control!$C$92)*(Control!$C$94-$G366)/(Control!$C$95-Control!$C$94))))))</f>
        <v>#N/A</v>
      </c>
      <c r="BK366" s="140" t="e">
        <f t="shared" ca="1" si="1292"/>
        <v>#N/A</v>
      </c>
      <c r="BL366" s="140" t="e">
        <f ca="1">IF($BK366&lt;=Control!$C$87,$BK366,Control!$C$87-$BK366)</f>
        <v>#N/A</v>
      </c>
      <c r="BM366" s="140" t="e">
        <f ca="1">IF(AND($BB366&gt;=9,$BB366&lt;21),1,IF($BK366&gt;=Control!$C$87,0,$BI366))</f>
        <v>#N/A</v>
      </c>
      <c r="BN366" s="404" t="e">
        <f ca="1">IF($BM366=0,0,IF($BK366&lt;=Control!$C$87,$BI366*(9+(21-9)*($BL366/Control!$C$87)),0))</f>
        <v>#N/A</v>
      </c>
      <c r="BO366" s="140" t="e">
        <f ca="1">IF($BM366=1,0,IF($BK366&gt;=Control!$C$87,1,IF(AND($BB366&lt;30,$BB366&gt;=21),1,$BS365)))</f>
        <v>#N/A</v>
      </c>
      <c r="BP366" s="140" t="e">
        <f ca="1">IF($BL366&lt;0,-$BL366,$BO366*IF(OR($G366&lt;Control!$C$92,$G366&gt;Control!$C$95),0,IF(AND($G366&gt;=Control!$C$92,$G366&lt;=Control!$C$93),$G366-Control!$C$92,IF(AND($G366&gt;Control!$C$93,$G366&lt;=Control!$C$94),Control!$C$93-Control!$C$92,IF(AND($G366&gt;Control!$C$94,$G366&lt;=Control!$C$95),(Control!$C$93-Control!$C$92)*(Control!$C$94-$G366)/(Control!$C$95-Control!$C$94))))))</f>
        <v>#N/A</v>
      </c>
      <c r="BQ366" s="140" t="e">
        <f t="shared" ca="1" si="1175"/>
        <v>#N/A</v>
      </c>
      <c r="BR366" s="140" t="e">
        <f ca="1">IF($BQ366&lt;=Control!$C$88,$BQ366,Control!$C$88-$BQ366)</f>
        <v>#N/A</v>
      </c>
      <c r="BS366" s="140" t="e">
        <f ca="1">IF(AND($BB366&gt;=21,$BB366&lt;30),1,IF($BQ366&gt;=Control!$C$88,0,$BO366))</f>
        <v>#N/A</v>
      </c>
      <c r="BT366" s="404" t="e">
        <f ca="1">IF($BS366=0,0,IF($BQ366&lt;=Control!$C$88,$BO366*(21+(30-21)*(BR366/Control!$C$88)),0))</f>
        <v>#N/A</v>
      </c>
      <c r="BU366" s="140" t="e">
        <f ca="1">IF(BG366+BM366+BS366=1,0,IF(OR(AND($BB366&lt;60,$BB366&gt;=30),$BQ366&gt;=Control!$C$88),1*$BA366,$BY365))</f>
        <v>#N/A</v>
      </c>
      <c r="BV366" s="140" t="e">
        <f ca="1">IF($BR366&lt;0,-$BR366,$BU366*IF(OR($G366&lt;Control!$C$92,$G366&gt;Control!$C$95),0,IF(AND($G366&gt;=Control!$C$92,$G366&lt;=Control!$C$93),$G366-Control!$C$92,IF(AND($G366&gt;Control!$C$93,$G366&lt;=Control!$C$94),Control!$C$93-Control!$C$92,IF(AND($G366&gt;Control!$C$94,$G366&lt;=Control!$C$95),(Control!$C$93-Control!$C$92)*(Control!$C$94-$G366)/(Control!$C$95-Control!$C$94))))))</f>
        <v>#N/A</v>
      </c>
      <c r="BW366" s="140" t="e">
        <f t="shared" ca="1" si="1176"/>
        <v>#N/A</v>
      </c>
      <c r="BX366" s="140" t="e">
        <f ca="1">IF($BW366&lt;=Control!$C$89,$BW366,Control!$C$89-$BW366)</f>
        <v>#N/A</v>
      </c>
      <c r="BY366" s="140" t="e">
        <f ca="1">IF(AND($AJ366&gt;=30,$AJ366&lt;60),1,IF($BW366&gt;=Control!$C$89,0,$BU366))</f>
        <v>#N/A</v>
      </c>
      <c r="BZ366" s="404" t="e">
        <f ca="1">IF($BY366=0,0,IF($BW366&lt;=Control!$C$89,$BU366*(30+(60-30)*(BX366/Control!$C$89)),0))</f>
        <v>#N/A</v>
      </c>
      <c r="CA366" s="140" t="e">
        <f ca="1">IF($BG366+$BM366+$BS366+$BY366=1,0,IF(OR(AND($BB366&lt;65,$BB366&gt;=60),$BW366&gt;=Control!$C$89),1*$BA366,$CE365))</f>
        <v>#N/A</v>
      </c>
      <c r="CB366" s="140" t="e">
        <f ca="1">IF($BX366&lt;0,-$BX366,$CA366*IF(OR($G366&lt;Control!$C$92,$G366&gt;Control!$C$95),0,IF(AND($G366&gt;=Control!$C$92,$G366&lt;=Control!$C$93),$G366-Control!$C$92,IF(AND($G366&gt;Control!$C$93,$G366&lt;=Control!$C$94),Control!$C$93-Control!$C$92,IF(AND($G366&gt;Control!$C$94,$G366&lt;=Control!$C$95),(Control!$C$93-Control!$C$92)*(Control!$C$94-$G366)/(Control!$C$95-Control!$C$94))))))</f>
        <v>#N/A</v>
      </c>
      <c r="CC366" s="140" t="e">
        <f t="shared" ca="1" si="1293"/>
        <v>#N/A</v>
      </c>
      <c r="CD366" s="140" t="e">
        <f ca="1">IF($CC366&lt;=Control!$C$90,$CC366,Control!$C$90-$CC366)</f>
        <v>#N/A</v>
      </c>
      <c r="CE366" s="140" t="e">
        <f ca="1">IF(AND($BB366&gt;=60,$BB366&lt;65),1,IF($CC366&gt;=Control!$C$90,0,$CA366))</f>
        <v>#N/A</v>
      </c>
      <c r="CF366" s="404" t="e">
        <f ca="1">IF($CE366=0,0,IF($CC366&lt;=Control!$C$90,$CA366*(60+(65-60)*(CD366/Control!$C$90)),0))</f>
        <v>#N/A</v>
      </c>
      <c r="CG366" s="140" t="e">
        <f ca="1">IF($BG366+$BM366+$BS366+$BY366+$CE366=1,0,IF(OR(AND($BB366&lt;90,$BB366&gt;=65),$CC366&gt;=Control!$C$90),$BA366,$CK365))</f>
        <v>#N/A</v>
      </c>
      <c r="CH366" s="140" t="e">
        <f ca="1">IF($CD366&lt;0,-$CD366,$CG366*IF(OR($G366&lt;Control!$C$92,$G366&gt;Control!$C$95),0,IF(AND($G366&gt;=Control!$C$92,$G366&lt;=Control!$C$93),$G366-Control!$C$92,IF(AND($G366&gt;Control!$C$93,$G366&lt;=Control!$C$94),Control!$C$93-Control!$C$92,IF(AND($G366&gt;Control!$C$94,$G366&lt;=Control!$C$95),(Control!$C$93-Control!$C$92)*(Control!$C$94-$G366)/(Control!$C$95-Control!$C$94))))))</f>
        <v>#N/A</v>
      </c>
      <c r="CI366" s="140" t="e">
        <f t="shared" ca="1" si="1294"/>
        <v>#N/A</v>
      </c>
      <c r="CJ366" s="140" t="e">
        <f ca="1">IF($CI366&lt;=Control!$C$91,$CI366,Control!$C$91-$CI366)</f>
        <v>#N/A</v>
      </c>
      <c r="CK366" s="140" t="e">
        <f ca="1">IF(AND($BB366&gt;=65,$BB366&lt;90),1,IF($CI366&gt;=Control!$C$91,0,$CG366))</f>
        <v>#N/A</v>
      </c>
      <c r="CL366" s="404" t="e">
        <f ca="1">IF($CK366=0,0,IF($CI366&lt;=Control!$C$91,$CG366*(65+(90-65)*($CJ366/Control!$C$91)),0))</f>
        <v>#N/A</v>
      </c>
      <c r="CM366" s="140" t="e">
        <f ca="1">IF($BG366+$BM366+$BS366+$BY366+$CE366+$CK366=1,0,IF(OR($BB366&gt;=90,$CI366&gt;=Control!$C$91),$BA366,$CM365))</f>
        <v>#N/A</v>
      </c>
      <c r="CN366" s="140" t="e">
        <f t="shared" ca="1" si="1295"/>
        <v>#N/A</v>
      </c>
      <c r="CO366" s="140" t="e">
        <f t="shared" ca="1" si="1296"/>
        <v>#N/A</v>
      </c>
      <c r="CP366" s="140" t="e">
        <f t="shared" ca="1" si="1297"/>
        <v>#N/A</v>
      </c>
      <c r="CQ366" s="141" t="e">
        <f ca="1">VLOOKUP($CP366,Control!$B$86:$G$91,6)</f>
        <v>#N/A</v>
      </c>
      <c r="CR366" s="141" t="e">
        <f ca="1">(1-$CQ366)*VLOOKUP($CP366,Control!$B$86:$D$91,3)</f>
        <v>#N/A</v>
      </c>
      <c r="CS366" s="141" t="e">
        <f ca="1">(1-$CQ366)*VLOOKUP($CP366,Control!$B$86:$E$91,4)</f>
        <v>#N/A</v>
      </c>
      <c r="CT366" s="141" t="e">
        <f ca="1">(1-$CQ366)*VLOOKUP($CP366,Control!$B$86:$F$91,5)</f>
        <v>#N/A</v>
      </c>
      <c r="CU366" s="141">
        <f t="shared" ca="1" si="1298"/>
        <v>0</v>
      </c>
      <c r="CV366" s="583">
        <f t="shared" ca="1" si="1299"/>
        <v>0</v>
      </c>
      <c r="CW366" s="142">
        <f t="shared" ca="1" si="1300"/>
        <v>362</v>
      </c>
      <c r="CX366" s="612" t="e">
        <f ca="1">IF(Control!$C$114=1,(MIN(Control!$C$120*(IF($NT366-0.01&lt;0,0,1)),Control!$C$119-$CY366)))</f>
        <v>#DIV/0!</v>
      </c>
      <c r="CY366" s="143" t="e">
        <f t="shared" ca="1" si="1301"/>
        <v>#N/A</v>
      </c>
      <c r="CZ366" s="144">
        <f t="shared" ca="1" si="1177"/>
        <v>0</v>
      </c>
      <c r="DA366" s="144">
        <f t="shared" ca="1" si="1178"/>
        <v>0</v>
      </c>
      <c r="DB366" s="144" t="e">
        <f t="shared" ca="1" si="1179"/>
        <v>#N/A</v>
      </c>
      <c r="DC366" s="144" t="e">
        <f t="shared" ca="1" si="1180"/>
        <v>#N/A</v>
      </c>
      <c r="DD366" s="144" t="e">
        <f t="shared" ca="1" si="1386"/>
        <v>#N/A</v>
      </c>
      <c r="DE366" s="143" t="e">
        <f t="shared" ca="1" si="1302"/>
        <v>#N/A</v>
      </c>
      <c r="DF366" s="145" t="e">
        <f ca="1">$DR366*EXP(-Control!$C$158*(1-$KH366))</f>
        <v>#N/A</v>
      </c>
      <c r="DG366" s="146" t="e">
        <f ca="1">IF(Control!$C$114=1, $DF366*$EY366, 0)</f>
        <v>#N/A</v>
      </c>
      <c r="DH366" s="147" t="e">
        <f t="shared" ca="1" si="1303"/>
        <v>#N/A</v>
      </c>
      <c r="DI366" s="144" t="e">
        <f t="shared" ca="1" si="1364"/>
        <v>#N/A</v>
      </c>
      <c r="DJ366" s="147" t="e">
        <f ca="1">$EF366*Control!$C$109</f>
        <v>#N/A</v>
      </c>
      <c r="DK366" s="144" t="e">
        <f t="shared" ca="1" si="1304"/>
        <v>#N/A</v>
      </c>
      <c r="DL366" s="144" t="e">
        <f t="shared" ca="1" si="1181"/>
        <v>#N/A</v>
      </c>
      <c r="DM366" s="144" t="e">
        <f ca="1">IF(Control!$C$114=1, (1-EXP(-Control!$C$96*$DK366))*$AR366, 0)</f>
        <v>#N/A</v>
      </c>
      <c r="DN366" s="144">
        <f t="shared" ca="1" si="1305"/>
        <v>0</v>
      </c>
      <c r="DO366" s="148">
        <f>Control!$C$97</f>
        <v>4</v>
      </c>
      <c r="DP366" s="145" t="e">
        <f t="shared" ca="1" si="1306"/>
        <v>#N/A</v>
      </c>
      <c r="DQ366" s="145" t="e">
        <f ca="1">IF(AND($CP366&gt;=0,$CP366&lt;=90),Control!$C$111,Control!$C$111)</f>
        <v>#N/A</v>
      </c>
      <c r="DR366" s="145" t="e">
        <f t="shared" ca="1" si="1182"/>
        <v>#N/A</v>
      </c>
      <c r="DS366" s="143" t="e">
        <f ca="1">Control!$B$22/$DR366</f>
        <v>#N/A</v>
      </c>
      <c r="DT366" s="149" t="e">
        <f ca="1">IF(AND(Control!$C$114=1,$KH366&lt;1),$IM366*$DF366, 0)</f>
        <v>#N/A</v>
      </c>
      <c r="DU366" s="144" t="e">
        <f t="shared" ca="1" si="1307"/>
        <v>#N/A</v>
      </c>
      <c r="DV366" s="144">
        <f ca="1">IF($G366-Control!$C$107&lt;=0, 0, 0.83*LN(MAX($G366, 3))-0.8924)</f>
        <v>0</v>
      </c>
      <c r="DW366" s="144" t="e">
        <f t="shared" ca="1" si="1183"/>
        <v>#N/A</v>
      </c>
      <c r="DX366" s="150" t="e">
        <f ca="1">MAX(0.01*(1+$CU366/Control!$C$102),0.05*($DK366-Control!$C$97)/Control!$C$97)</f>
        <v>#N/A</v>
      </c>
      <c r="DY366" s="151" t="e">
        <f ca="1">IF(Control!$C$114=1, $DI366*$FS366, 0)</f>
        <v>#N/A</v>
      </c>
      <c r="DZ366" s="196" t="e">
        <f t="shared" ca="1" si="1308"/>
        <v>#N/A</v>
      </c>
      <c r="EA366" s="152">
        <f t="shared" ca="1" si="1309"/>
        <v>362</v>
      </c>
      <c r="EB366" s="153" t="e">
        <f t="shared" ca="1" si="1310"/>
        <v>#N/A</v>
      </c>
      <c r="EC366" s="153" t="e">
        <f t="shared" ca="1" si="1311"/>
        <v>#N/A</v>
      </c>
      <c r="ED366" s="154" t="e">
        <f ca="1">IF(Control!$C$114=1, $HM366*$FY366-$FD366, 0)</f>
        <v>#DIV/0!</v>
      </c>
      <c r="EE366" s="155" t="e">
        <f ca="1">IF(Control!$C$114=1, $HM366*$FZ366-$FF366, 0)</f>
        <v>#DIV/0!</v>
      </c>
      <c r="EF366" s="153" t="e">
        <f t="shared" ca="1" si="1365"/>
        <v>#N/A</v>
      </c>
      <c r="EG366" s="155" t="e">
        <f ca="1">IF(Control!$C$114=1, $GX366*$FW366-$FI366, 0)</f>
        <v>#DIV/0!</v>
      </c>
      <c r="EH366" s="153" t="e">
        <f t="shared" ca="1" si="1312"/>
        <v>#N/A</v>
      </c>
      <c r="EI366" s="156" t="e">
        <f t="shared" ca="1" si="1313"/>
        <v>#N/A</v>
      </c>
      <c r="EJ366" s="155" t="e">
        <f ca="1">IF(Control!$C$114=1, $HM366*$GB366, 0)</f>
        <v>#DIV/0!</v>
      </c>
      <c r="EK366" s="153" t="e">
        <f t="shared" ca="1" si="1366"/>
        <v>#N/A</v>
      </c>
      <c r="EL366" s="153" t="e">
        <f t="shared" ca="1" si="1184"/>
        <v>#N/A</v>
      </c>
      <c r="EM366" s="153" t="e">
        <f t="shared" ca="1" si="1185"/>
        <v>#N/A</v>
      </c>
      <c r="EN366" s="153" t="e">
        <f ca="1">IF(Control!$C$108=1,IF(AND(Control!$B$18=1,$EB366&gt;=Control!$B$19),$EB366-$DS366,IF(AND(Control!$B$18=2,$AW366=1,$EB366&gt;$DS366),$EB366-$DS366,0)))</f>
        <v>#N/A</v>
      </c>
      <c r="EO366" s="153" t="e">
        <f ca="1">IF(Control!$C$108=1,IF(AND(Control!$B$18=1,$EB366&gt;=Control!$B$19),$EF366,IF(AND(Control!$B$18=2,$AW366=1),$EF366,0)))</f>
        <v>#N/A</v>
      </c>
      <c r="EP366" s="153" t="e">
        <f ca="1">IF(Control!$C$108=1,IF(AND(Control!$B$18=1,$EB366&gt;=Control!$B$19),$EK366,IF(AND(Control!$B$18=2,$AW366=1),$EK366,0)))</f>
        <v>#N/A</v>
      </c>
      <c r="EQ366" s="153" t="e">
        <f t="shared" ca="1" si="1314"/>
        <v>#N/A</v>
      </c>
      <c r="ER366" s="153" t="e">
        <f t="shared" ca="1" si="1315"/>
        <v>#N/A</v>
      </c>
      <c r="ES366" s="153" t="e">
        <f t="shared" ca="1" si="1367"/>
        <v>#N/A</v>
      </c>
      <c r="ET366" s="153" t="e">
        <f t="shared" ca="1" si="1368"/>
        <v>#N/A</v>
      </c>
      <c r="EU366" s="153" t="e">
        <f t="shared" ca="1" si="1316"/>
        <v>#N/A</v>
      </c>
      <c r="EV366" s="153" t="e">
        <f t="shared" ca="1" si="1186"/>
        <v>#N/A</v>
      </c>
      <c r="EW366" s="153" t="e">
        <f t="shared" ca="1" si="1187"/>
        <v>#N/A</v>
      </c>
      <c r="EX366" s="153" t="e">
        <f t="shared" ca="1" si="1188"/>
        <v>#N/A</v>
      </c>
      <c r="EY366" s="157" t="e">
        <f t="shared" ca="1" si="1189"/>
        <v>#DIV/0!</v>
      </c>
      <c r="EZ366" s="154" t="e">
        <f t="shared" ca="1" si="1190"/>
        <v>#DIV/0!</v>
      </c>
      <c r="FA366" s="153" t="e">
        <f t="shared" ca="1" si="1317"/>
        <v>#N/A</v>
      </c>
      <c r="FB366" s="153" t="e">
        <f t="shared" ca="1" si="1191"/>
        <v>#N/A</v>
      </c>
      <c r="FC366" s="193" t="e">
        <f t="shared" ca="1" si="1192"/>
        <v>#N/A</v>
      </c>
      <c r="FD366" s="158" t="e">
        <f t="shared" ca="1" si="1318"/>
        <v>#N/A</v>
      </c>
      <c r="FE366" s="158" t="e">
        <f t="shared" ca="1" si="1319"/>
        <v>#N/A</v>
      </c>
      <c r="FF366" s="159" t="e">
        <f t="shared" ca="1" si="1193"/>
        <v>#N/A</v>
      </c>
      <c r="FG366" s="160" t="e">
        <f t="shared" ca="1" si="1320"/>
        <v>#N/A</v>
      </c>
      <c r="FH366" s="158" t="e">
        <f t="shared" ca="1" si="1321"/>
        <v>#N/A</v>
      </c>
      <c r="FI366" s="159" t="e">
        <f t="shared" ca="1" si="1194"/>
        <v>#N/A</v>
      </c>
      <c r="FJ366" s="160" t="e">
        <f t="shared" ca="1" si="1322"/>
        <v>#N/A</v>
      </c>
      <c r="FK366" s="160" t="e">
        <f t="shared" ca="1" si="1195"/>
        <v>#N/A</v>
      </c>
      <c r="FL366" s="160" t="e">
        <f ca="1">$FL365+$FD365</f>
        <v>#N/A</v>
      </c>
      <c r="FM366" s="160" t="e">
        <f t="shared" ca="1" si="1196"/>
        <v>#N/A</v>
      </c>
      <c r="FN366" s="158">
        <f t="shared" ca="1" si="1323"/>
        <v>0.01</v>
      </c>
      <c r="FO366" s="160">
        <f>Control!$C$101</f>
        <v>50</v>
      </c>
      <c r="FP366" s="150" t="e">
        <f t="shared" ca="1" si="1197"/>
        <v>#N/A</v>
      </c>
      <c r="FQ366" s="150" t="e">
        <f ca="1">MAX(0,(Control!$C$112*(($DK366-Control!$C$97)/Control!$C$97)))</f>
        <v>#N/A</v>
      </c>
      <c r="FR366" s="150" t="e">
        <f ca="1">(1-$NT366)*Control!$C$113</f>
        <v>#DIV/0!</v>
      </c>
      <c r="FS366" s="198" t="e">
        <f t="shared" ca="1" si="1198"/>
        <v>#N/A</v>
      </c>
      <c r="FT366" s="161">
        <f t="shared" ca="1" si="1324"/>
        <v>362</v>
      </c>
      <c r="FU366" s="162" t="e">
        <f ca="1">IF(Control!$B$34=1,VLOOKUP($CP366,Control!$B$86:$G$91,6),Control!$B$35)</f>
        <v>#N/A</v>
      </c>
      <c r="FV366" s="162" t="e">
        <f t="shared" ca="1" si="1199"/>
        <v>#DIV/0!</v>
      </c>
      <c r="FW366" s="162" t="e">
        <f ca="1">IF(Control!$B$31=1,$FU366*$FV366,  $FU366)</f>
        <v>#N/A</v>
      </c>
      <c r="FX366" s="162" t="e">
        <f ca="1">IF(Control!$B$34=1,VLOOKUP($CP366,Control!$B$86:$G$91,3),Control!$B$36)</f>
        <v>#N/A</v>
      </c>
      <c r="FY366" s="162" t="e">
        <f t="shared" ca="1" si="1200"/>
        <v>#N/A</v>
      </c>
      <c r="FZ366" s="162" t="e">
        <f ca="1">IF(Control!$B$34=1,VLOOKUP($CP366,Control!$B$86:$G$91,4),Control!$B$37)</f>
        <v>#N/A</v>
      </c>
      <c r="GA366" s="162" t="e">
        <f t="shared" ca="1" si="1201"/>
        <v>#N/A</v>
      </c>
      <c r="GB366" s="162" t="e">
        <f ca="1">IF(Control!$B$34=1,VLOOKUP($CP366,Control!$B$86:$G$91,5),Control!$B$38)</f>
        <v>#N/A</v>
      </c>
      <c r="GC366" s="162" t="e">
        <f t="shared" ca="1" si="1325"/>
        <v>#N/A</v>
      </c>
      <c r="GD366" s="162">
        <f t="shared" ca="1" si="1202"/>
        <v>1</v>
      </c>
      <c r="GE366" s="162">
        <f t="shared" ca="1" si="1203"/>
        <v>1</v>
      </c>
      <c r="GF366" s="162">
        <f ca="1">IF(AND(Control!$C$104=1, Control!$C$62="F"),$GE366,1)</f>
        <v>1</v>
      </c>
      <c r="GG366" s="162" t="e">
        <f ca="1">IF(Control!$B$16=40,0,IF(AND(Control!$B$16&gt;40,Control!$B$16&lt;=360),(Control!$B$16-40)*((1-0)/(360-40)),IF(AND(Control!$B$16&gt;360,Control!$B$16&lt;=720),(1+(Control!$B$16-360)*((1.25-1)/(720-360))),IF(AND(Control!$B$16&gt;720,Control!$B$16&lt;=1000),(1.25+(Control!$B$16-720)*((1.35-1.25)/(1000-720))),IF(AND(Control!$B$16&gt;1000,Control!$B$16&lt;=2000),(1.35+(Control!$B$16-1000)*0))))))</f>
        <v>#N/A</v>
      </c>
      <c r="GH366" s="162" t="e">
        <f t="shared" ca="1" si="1204"/>
        <v>#N/A</v>
      </c>
      <c r="GI366" s="162">
        <f t="shared" ca="1" si="1326"/>
        <v>0</v>
      </c>
      <c r="GJ366" s="162">
        <f t="shared" ca="1" si="1205"/>
        <v>0</v>
      </c>
      <c r="GK366" s="162">
        <f t="shared" ca="1" si="1327"/>
        <v>1</v>
      </c>
      <c r="GL366" s="162">
        <f t="shared" ca="1" si="1206"/>
        <v>1</v>
      </c>
      <c r="GM366" s="162" t="e">
        <f ca="1">MAX(0,MIN(1,1-Control!$C$156*(1.0001-$KH366)^2))</f>
        <v>#N/A</v>
      </c>
      <c r="GN366" s="162" t="e">
        <f ca="1">IF(Control!$B$26=1,$KU366,$KX366)</f>
        <v>#N/A</v>
      </c>
      <c r="GO366" s="162" t="e">
        <f ca="1">IF($CP366&lt;=60,Control!$C$105,IF($CP366&gt;=90,Control!$C$106,Control!$C$105+($CP366-60)*((Control!$C$106-Control!$C$105)/(90-60))))</f>
        <v>#N/A</v>
      </c>
      <c r="GP366" s="162" t="e">
        <f t="shared" ca="1" si="1207"/>
        <v>#N/A</v>
      </c>
      <c r="GQ366" s="162" t="e">
        <f t="shared" ca="1" si="1328"/>
        <v>#N/A</v>
      </c>
      <c r="GR366" s="163" t="e">
        <f t="shared" ca="1" si="1208"/>
        <v>#DIV/0!</v>
      </c>
      <c r="GS366" s="162" t="e">
        <f t="shared" ca="1" si="1209"/>
        <v>#DIV/0!</v>
      </c>
      <c r="GT366" s="164" t="e">
        <f t="shared" ca="1" si="1329"/>
        <v>#N/A</v>
      </c>
      <c r="GU366" s="162" t="e">
        <f t="shared" ca="1" si="1330"/>
        <v>#N/A</v>
      </c>
      <c r="GV366" s="162" t="e">
        <f t="shared" ca="1" si="1210"/>
        <v>#N/A</v>
      </c>
      <c r="GW366" s="162" t="e">
        <f t="shared" ca="1" si="1211"/>
        <v>#DIV/0!</v>
      </c>
      <c r="GX366" s="162" t="e">
        <f t="shared" ca="1" si="1331"/>
        <v>#DIV/0!</v>
      </c>
      <c r="GY366" s="162" t="e">
        <f t="shared" ca="1" si="1332"/>
        <v>#DIV/0!</v>
      </c>
      <c r="GZ366" s="165" t="e">
        <f t="shared" ca="1" si="1212"/>
        <v>#N/A</v>
      </c>
      <c r="HA366" s="162" t="e">
        <f ca="1">IF(Control!$C$114=1, $DI366*$FS366, 0)</f>
        <v>#N/A</v>
      </c>
      <c r="HB366" s="162" t="e">
        <f ca="1">$FA366/Control!$C$64</f>
        <v>#N/A</v>
      </c>
      <c r="HC366" s="162" t="e">
        <f t="shared" ca="1" si="1213"/>
        <v>#DIV/0!</v>
      </c>
      <c r="HD366" s="162">
        <f ca="1">-ASIN(SIN(23.45*Control!$C$139)*COS(2*Control!$C$138*($AH366+10)/365))</f>
        <v>-0.40613659258935925</v>
      </c>
      <c r="HE366" s="165">
        <f t="shared" ca="1" si="1333"/>
        <v>0</v>
      </c>
      <c r="HF366" s="166">
        <f ca="1">IF(AND(Control!$C$61="T",$HE366&gt;=Control!$C$103,Control!$C$114=0),$AH366,Control!$C$59)</f>
        <v>1</v>
      </c>
      <c r="HG366" s="166">
        <f ca="1">IF(AND(Control!$C$61="T",$HE366&gt;=Control!$C$103,Control!$C$114=0),$HF366,Control!$C$59)</f>
        <v>1</v>
      </c>
      <c r="HH366" s="165">
        <f ca="1">IF(AND(OR(Control!$C$60&lt;=0, $AH366= Control!$C$59, Control!$C$60 &gt;0, $AH366 = Control!$C$60)), Control!$C$59, IF(Control!$C$60&gt;0, 0))</f>
        <v>1</v>
      </c>
      <c r="HI366" s="165">
        <f ca="1">IF(AND(OR(Control!$C$60&lt;=0, $AH366= Control!$C$59, Control!$C$60 &gt;0, $AH366 = Control!$C$60)), Control!$C$60, IF(Control!$C$60&lt;=0, 0))</f>
        <v>0</v>
      </c>
      <c r="HJ366" s="166">
        <f ca="1">IF(AND(Control!$C$62="F",$CV366&gt;=Control!$C$102),$AH366,0)</f>
        <v>0</v>
      </c>
      <c r="HK366" s="165" t="e">
        <f t="shared" ca="1" si="1370"/>
        <v>#N/A</v>
      </c>
      <c r="HL366" s="166">
        <f ca="1">IF(AND(Control!$C$61="T",$HE366&gt;=Control!$C$103,Control!$C$114=0),$HF366,0)</f>
        <v>0</v>
      </c>
      <c r="HM366" s="201" t="e">
        <f t="shared" ca="1" si="1214"/>
        <v>#DIV/0!</v>
      </c>
      <c r="HN366" s="215">
        <f t="shared" ca="1" si="1334"/>
        <v>362</v>
      </c>
      <c r="HO366" s="216" t="e">
        <f ca="1">IF(AND($CP366&gt;=0, $CP366&lt;=90), Control!$C$152, Control!$C$152)</f>
        <v>#N/A</v>
      </c>
      <c r="HP366" s="216" t="e">
        <f t="shared" ca="1" si="1215"/>
        <v>#N/A</v>
      </c>
      <c r="HQ366" s="217" t="e">
        <f ca="1">IF(OR(Control!$B$26=1,Control!$B$26=2),$KV366,$KS366)</f>
        <v>#DIV/0!</v>
      </c>
      <c r="HR366" s="218" t="e">
        <f t="shared" ca="1" si="1371"/>
        <v>#DIV/0!</v>
      </c>
      <c r="HS366" s="216" t="e">
        <f ca="1">Control!$C$154*$HP366</f>
        <v>#N/A</v>
      </c>
      <c r="HT366" s="216" t="e">
        <f ca="1">Control!$C$155*$HP366</f>
        <v>#N/A</v>
      </c>
      <c r="HU366" s="217" t="e">
        <f ca="1">Control!$C$161*$FI366</f>
        <v>#N/A</v>
      </c>
      <c r="HV366" s="218" t="e">
        <f t="shared" ca="1" si="1335"/>
        <v>#N/A</v>
      </c>
      <c r="HW366" s="218" t="e">
        <f ca="1">Control!$C$160*$FF366+$IP366*$EO366</f>
        <v>#N/A</v>
      </c>
      <c r="HX366" s="218" t="e">
        <f t="shared" ca="1" si="1372"/>
        <v>#N/A</v>
      </c>
      <c r="HY366" s="219" t="e">
        <f ca="1">IF(Control!$C$114=1, $EB366*$FS366, 0)</f>
        <v>#N/A</v>
      </c>
      <c r="HZ366" s="91" t="e">
        <f t="shared" ca="1" si="1216"/>
        <v>#N/A</v>
      </c>
      <c r="IA366" s="220" t="e">
        <f ca="1">Control!$C$153*$HO366</f>
        <v>#N/A</v>
      </c>
      <c r="IB366" s="218" t="e">
        <f t="shared" ca="1" si="1217"/>
        <v>#N/A</v>
      </c>
      <c r="IC366" s="220" t="e">
        <f ca="1">Control!$C$153*$HT366</f>
        <v>#N/A</v>
      </c>
      <c r="ID366" s="218" t="e">
        <f t="shared" ca="1" si="1218"/>
        <v>#N/A</v>
      </c>
      <c r="IE366" s="221" t="e">
        <f ca="1">($EB366*Control!$C$159+$EF366*Control!$C$160)/(IF($GZ366&lt;&gt;0,$GZ366,1))</f>
        <v>#N/A</v>
      </c>
      <c r="IF366" s="216" t="e">
        <f t="shared" ca="1" si="1219"/>
        <v>#N/A</v>
      </c>
      <c r="IG366" s="91">
        <f ca="1">IF(OR(Control!$B$198=$AH366,Control!$B$199=$AH366, Control!$B$200=$AH366, Control!$B$201=$AH366, Control!$B$202=$AH366, Control!$B$203=$AH366, Control!$B$204=$AH366, Control!$B$205=$AH366, Control!$B$206=$AH366, Control!$B$207=$AH366), 1, 0)</f>
        <v>0</v>
      </c>
      <c r="IH366" s="91">
        <f ca="1">IF($IG366=0,0, VLOOKUP($AH366,Control!$B$198:$C$207,2))</f>
        <v>0</v>
      </c>
      <c r="II366" s="222">
        <f t="shared" ca="1" si="1336"/>
        <v>0</v>
      </c>
      <c r="IJ366" s="91">
        <f>Control!$C$121</f>
        <v>0.7</v>
      </c>
      <c r="IK366" s="218">
        <f t="shared" ca="1" si="1220"/>
        <v>0</v>
      </c>
      <c r="IL366" s="217" t="e">
        <f t="shared" ca="1" si="1373"/>
        <v>#N/A</v>
      </c>
      <c r="IM366" s="223" t="e">
        <f ca="1">IF(AND(Control!$C$114=1,$KH366&lt;1),$EB366*Control!$C$148*(1-$KH366), 0)</f>
        <v>#N/A</v>
      </c>
      <c r="IN366" s="217" t="e">
        <f t="shared" ca="1" si="1221"/>
        <v>#DIV/0!</v>
      </c>
      <c r="IO366" s="91" t="e">
        <f ca="1">MAX(0,$IL366-$EF366*Control!$C$160)</f>
        <v>#N/A</v>
      </c>
      <c r="IP366" s="220" t="e">
        <f t="shared" ca="1" si="1222"/>
        <v>#N/A</v>
      </c>
      <c r="IQ366" s="217" t="e">
        <f t="shared" ca="1" si="1337"/>
        <v>#N/A</v>
      </c>
      <c r="IR366" s="218" t="e">
        <f t="shared" ca="1" si="1223"/>
        <v>#N/A</v>
      </c>
      <c r="IS366" s="217" t="e">
        <f ca="1">Control!$C$159*MAX(0,$FD366-$EN366)</f>
        <v>#N/A</v>
      </c>
      <c r="IT366" s="217" t="e">
        <f t="shared" ca="1" si="1374"/>
        <v>#N/A</v>
      </c>
      <c r="IU366" s="217" t="e">
        <f t="shared" ca="1" si="1338"/>
        <v>#N/A</v>
      </c>
      <c r="IV366" s="217" t="e">
        <f t="shared" ca="1" si="1375"/>
        <v>#N/A</v>
      </c>
      <c r="IW366" s="217" t="e">
        <f ca="1">IF(OR($AW366=1,AND($AW366=0, Control!$B$18=1,$EN366&lt;&gt;0)), $IQ366-$IU366, $IQ366)</f>
        <v>#N/A</v>
      </c>
      <c r="IX366" s="218" t="e">
        <f t="shared" ca="1" si="1224"/>
        <v>#N/A</v>
      </c>
      <c r="IY366" s="218" t="e">
        <f ca="1">MAX(0,$IQ366-$EB366*Control!$C$159)</f>
        <v>#N/A</v>
      </c>
      <c r="IZ366" s="218" t="e">
        <f t="shared" ca="1" si="1225"/>
        <v>#N/A</v>
      </c>
      <c r="JA366" s="216" t="e">
        <f t="shared" ca="1" si="1226"/>
        <v>#N/A</v>
      </c>
      <c r="JB366" s="217" t="e">
        <f t="shared" ca="1" si="1227"/>
        <v>#N/A</v>
      </c>
      <c r="JC366" s="222" t="e">
        <f ca="1">MAX(Control!$C$157*$EK366-$JT366, 0)/Control!$C$162</f>
        <v>#N/A</v>
      </c>
      <c r="JD366" s="218" t="e">
        <f t="shared" ca="1" si="1228"/>
        <v>#N/A</v>
      </c>
      <c r="JE366" s="218" t="e">
        <f t="shared" ca="1" si="1229"/>
        <v>#N/A</v>
      </c>
      <c r="JF366" s="218" t="e">
        <f t="shared" ca="1" si="1339"/>
        <v>#N/A</v>
      </c>
      <c r="JG366" s="218" t="e">
        <f t="shared" ca="1" si="1230"/>
        <v>#N/A</v>
      </c>
      <c r="JH366" s="217" t="e">
        <f t="shared" ca="1" si="1340"/>
        <v>#N/A</v>
      </c>
      <c r="JI366" s="217" t="e">
        <f t="shared" ca="1" si="1341"/>
        <v>#N/A</v>
      </c>
      <c r="JJ366" s="217" t="e">
        <f t="shared" ca="1" si="1376"/>
        <v>#N/A</v>
      </c>
      <c r="JK366" s="217" t="e">
        <f ca="1">IF(Control!$C$114=1,IF(Control!$B$24=0,MAX(0,$JI366)*$GN366/Control!$C$64,(MAX(0,MIN($JI366,$JJ366*$GN366/Control!$C$64),0))))</f>
        <v>#N/A</v>
      </c>
      <c r="JL366" s="217" t="e">
        <f ca="1">$IK366/Control!$C$64-$JK366+$HQ366</f>
        <v>#N/A</v>
      </c>
      <c r="JM366" s="217" t="e">
        <f ca="1">IF(Control!$C$114=1,($JB366/(IF($JI366&lt;&gt;0,$JI366,1)))*$JK366,0)</f>
        <v>#N/A</v>
      </c>
      <c r="JN366" s="217" t="e">
        <f ca="1">IF(Control!$C$114=1,($JG366/(IF($JI366&lt;&gt;0,$JI366,1)))*$JK366, 0)</f>
        <v>#N/A</v>
      </c>
      <c r="JO366" s="218" t="e">
        <f t="shared" ca="1" si="1231"/>
        <v>#N/A</v>
      </c>
      <c r="JP366" s="218" t="e">
        <f ca="1">MIN(($IY366+$IO366)*Control!$C$151, $JF366-$EH366*Control!$C$161)</f>
        <v>#N/A</v>
      </c>
      <c r="JQ366" s="218" t="e">
        <f t="shared" ca="1" si="1232"/>
        <v>#N/A</v>
      </c>
      <c r="JR366" s="217" t="e">
        <f ca="1">IF($CP366-Control!$C$150&lt;0, 0, $JQ366/Control!$C$162)</f>
        <v>#N/A</v>
      </c>
      <c r="JS366" s="218" t="e">
        <f t="shared" ca="1" si="1233"/>
        <v>#N/A</v>
      </c>
      <c r="JT366" s="218" t="e">
        <f t="shared" ca="1" si="1342"/>
        <v>#N/A</v>
      </c>
      <c r="JU366" s="218" t="e">
        <f t="shared" ca="1" si="1234"/>
        <v>#N/A</v>
      </c>
      <c r="JV366" s="218" t="e">
        <f t="shared" ca="1" si="1235"/>
        <v>#N/A</v>
      </c>
      <c r="JW366" s="216" t="e">
        <f t="shared" ca="1" si="1236"/>
        <v>#N/A</v>
      </c>
      <c r="JX366" s="91" t="e">
        <f t="shared" ca="1" si="1237"/>
        <v>#N/A</v>
      </c>
      <c r="JY366" s="218" t="e">
        <f t="shared" ca="1" si="1238"/>
        <v>#N/A</v>
      </c>
      <c r="JZ366" s="217" t="e">
        <f ca="1">IF(Control!$C$114=1,($IZ366/(IF($JI366&lt;&gt;0,$JI366,1)))*$JK366, 0)</f>
        <v>#N/A</v>
      </c>
      <c r="KA366" s="218" t="e">
        <f t="shared" ca="1" si="1377"/>
        <v>#N/A</v>
      </c>
      <c r="KB366" s="218" t="e">
        <f t="shared" ca="1" si="1343"/>
        <v>#N/A</v>
      </c>
      <c r="KC366" s="218" t="e">
        <f t="shared" ca="1" si="1239"/>
        <v>#N/A</v>
      </c>
      <c r="KD366" s="218" t="e">
        <f t="shared" ca="1" si="1240"/>
        <v>#N/A</v>
      </c>
      <c r="KE366" s="218" t="e">
        <f t="shared" ca="1" si="1241"/>
        <v>#N/A</v>
      </c>
      <c r="KF366" s="218" t="e">
        <f t="shared" ca="1" si="1242"/>
        <v>#N/A</v>
      </c>
      <c r="KG366" s="216" t="e">
        <f t="shared" ca="1" si="1243"/>
        <v>#N/A</v>
      </c>
      <c r="KH366" s="221" t="e">
        <f ca="1">IF(Control!$B$24=0,1,MAX(0.001,MIN(1,IF(($IF366-$IE366)&lt;&gt;0,($KG366-$IE366)/($IF366-$IE366),1))))</f>
        <v>#N/A</v>
      </c>
      <c r="KI366" s="222" t="e">
        <f ca="1">IF(Control!$C$114=1, $KI365+ $KH365, 0)</f>
        <v>#N/A</v>
      </c>
      <c r="KJ366" s="217" t="e">
        <f t="shared" ca="1" si="1244"/>
        <v>#N/A</v>
      </c>
      <c r="KK366" s="218" t="e">
        <f t="shared" ca="1" si="1245"/>
        <v>#N/A</v>
      </c>
      <c r="KL366" s="274" t="e">
        <f ca="1">IF(Control!$B$26=3,4000000000*EXP(-8400/($G366+273)),IF(Control!$B$26=4,4000000000*EXP(-8400/($G366+273))*($KT366),0))</f>
        <v>#DIV/0!</v>
      </c>
      <c r="KM366" s="274" t="e">
        <f ca="1">IF(Control!$B$26=3,5600000000000*EXP(-9800/($G366+273)),IF(Control!$B$26=4,5600000000000*EXP(-9800/($G366+273))*$KT366,0))</f>
        <v>#DIV/0!</v>
      </c>
      <c r="KN366" s="454" t="e">
        <f t="shared" ca="1" si="1344"/>
        <v>#DIV/0!</v>
      </c>
      <c r="KO366" s="274" t="e">
        <f t="shared" ca="1" si="1345"/>
        <v>#DIV/0!</v>
      </c>
      <c r="KP366" s="454" t="e">
        <f t="shared" ca="1" si="1246"/>
        <v>#DIV/0!</v>
      </c>
      <c r="KQ366" s="454" t="e">
        <f t="shared" ca="1" si="1247"/>
        <v>#DIV/0!</v>
      </c>
      <c r="KR366" s="454" t="e">
        <f t="shared" ca="1" si="1248"/>
        <v>#DIV/0!</v>
      </c>
      <c r="KS366" s="454" t="e">
        <f t="shared" ca="1" si="1249"/>
        <v>#DIV/0!</v>
      </c>
      <c r="KT366" s="455" t="e">
        <f t="shared" ca="1" si="1250"/>
        <v>#DIV/0!</v>
      </c>
      <c r="KU366" s="456" t="e">
        <f ca="1">IF($CP366-Control!$C$149&lt;0, IF($NT366-0.01&lt;0,0,1),0)</f>
        <v>#N/A</v>
      </c>
      <c r="KV366" s="456" t="e">
        <f ca="1">IF(Control!$C$114=1,MAX(0,MIN(Control!$C$125*$KW366*$GN366,$KW366)))</f>
        <v>#DIV/0!</v>
      </c>
      <c r="KW366" s="456" t="e">
        <f t="shared" ca="1" si="1378"/>
        <v>#DIV/0!</v>
      </c>
      <c r="KX366" s="457" t="e">
        <f ca="1">IF($CP366-Control!$C$149&lt;0, IF($MR366-$OM366&lt;0,0,1),0)</f>
        <v>#N/A</v>
      </c>
      <c r="KY366" s="167">
        <f t="shared" ca="1" si="1346"/>
        <v>362</v>
      </c>
      <c r="KZ366" s="168">
        <f ca="1">1370*(1+0.033*COS(2*Control!$C$138*$AH366/365))</f>
        <v>1415.1497607667854</v>
      </c>
      <c r="LA366" s="169">
        <f t="shared" ca="1" si="1347"/>
        <v>1.0329560049375197</v>
      </c>
      <c r="LB366" s="169">
        <f t="shared" ca="1" si="1348"/>
        <v>-0.40559354001394465</v>
      </c>
      <c r="LC366" s="169">
        <f ca="1">ACOS(-TAN((2*Control!$B$8/360))*TAN(Calculations!$LB366))</f>
        <v>1.4428276278116592</v>
      </c>
      <c r="LD366" s="169">
        <f ca="1">((24*60)/PI())*0.082*$LA366*(($LC366*SIN(Control!$B$8*2*PI()/360))*SIN($LB366)+COS(Control!$B$8*2*PI()/360)*COS($LB366)*SIN($LC366))</f>
        <v>4.3670407977483237</v>
      </c>
      <c r="LE366" s="170">
        <f t="shared" ca="1" si="1251"/>
        <v>6.0489764163893458</v>
      </c>
      <c r="LF366" s="170">
        <f ca="1">SIN(Control!$C$139*Control!$B$8)*SIN($HD366)</f>
        <v>-0.31131452723292691</v>
      </c>
      <c r="LG366" s="170">
        <f ca="1">COS(Control!$C$139*Control!$B$8)*COS($HD366)</f>
        <v>0.56557831892608568</v>
      </c>
      <c r="LH366" s="170">
        <f ca="1">12*(1+2*ASIN(MAX(-1,MIN(1,$LF366/$LG366))/Control!$C$138))</f>
        <v>7.7731733873644879</v>
      </c>
      <c r="LI366" s="170">
        <f ca="1">12*(1+2*ASIN(MAX(-1,MIN(1,(-SIN(-4*Control!$C$139)+$LF366)/$LG366))/Control!$C$138))</f>
        <v>8.7270770633399337</v>
      </c>
      <c r="LJ366" s="168">
        <f ca="1">3600*($LH366*$LF366+24*$LG366*SQRT(1-$LK366*$LK366)/Control!$C$138)</f>
        <v>4274.4425954690232</v>
      </c>
      <c r="LK366" s="170">
        <f t="shared" ca="1" si="1252"/>
        <v>-0.55043575189382743</v>
      </c>
      <c r="LL366" s="170">
        <f t="shared" ca="1" si="1253"/>
        <v>0</v>
      </c>
      <c r="LM366" s="171">
        <f ca="1">Control!$C$145*$AB366</f>
        <v>6.6660906138995932E-2</v>
      </c>
      <c r="LN366" s="170">
        <f t="shared" ca="1" si="1349"/>
        <v>0.54</v>
      </c>
      <c r="LO366" s="170">
        <f t="shared" ca="1" si="1254"/>
        <v>0</v>
      </c>
      <c r="LP366" s="170">
        <f ca="1">Control!$C$140*((($D366+273.16)^4+($E366+273.16)^4)/2)*(0.34-0.14*SQRT($Y366))*(1.35*$AQ366/(0.75*$LD366)-0.35)</f>
        <v>-3.2464704755046001</v>
      </c>
      <c r="LQ366" s="170">
        <f ca="1">Control!$C$140*($G366+273)^4*(0.56-0.079*SQRT($Y366*10))*(0.1+0.9*$LO366)</f>
        <v>1.5241745131704001</v>
      </c>
      <c r="LR366" s="170">
        <f ca="1">$AQ366*(1-Control!$C$142)-$LQ366</f>
        <v>-1.5241745131704001</v>
      </c>
      <c r="LS366" s="170">
        <f ca="1">$AQ366*(1-Control!$C$143)-$LQ366</f>
        <v>-1.5241745131704001</v>
      </c>
      <c r="LT366" s="170">
        <f ca="1">$AQ366*(1-Control!$C$144)-$LQ366</f>
        <v>-1.5241745131704001</v>
      </c>
      <c r="LU366" s="169">
        <f ca="1">(1-Control!$C$144)*AQ366-LP366</f>
        <v>3.2464704755046001</v>
      </c>
      <c r="LV366" s="172">
        <f t="shared" ca="1" si="1255"/>
        <v>0.79430000000000012</v>
      </c>
      <c r="LW366" s="170">
        <f t="shared" ca="1" si="1256"/>
        <v>1.5886000000000002</v>
      </c>
      <c r="LX366" s="170">
        <f ca="1">($AC366*($LR366/Control!$C$141)+$LM366*$LV366)/($AC366+$LM366)</f>
        <v>0.23530094218323697</v>
      </c>
      <c r="LY366" s="170">
        <f ca="1">($AC366*($LS366/Control!$C$141)+$LM366*$LV366)/($AC366+$LM366)</f>
        <v>0.23530094218323697</v>
      </c>
      <c r="LZ366" s="170">
        <f t="shared" ca="1" si="1257"/>
        <v>0.23530094218323697</v>
      </c>
      <c r="MA366" s="170">
        <f t="shared" ca="1" si="1258"/>
        <v>0.23530094218323697</v>
      </c>
      <c r="MB366" s="170" t="e">
        <f t="shared" ca="1" si="1259"/>
        <v>#N/A</v>
      </c>
      <c r="MC366" s="170">
        <f t="shared" ca="1" si="1350"/>
        <v>0.6018</v>
      </c>
      <c r="MD366" s="170">
        <f t="shared" ca="1" si="1260"/>
        <v>0.52989392535414004</v>
      </c>
      <c r="ME366" s="170">
        <f ca="1">($AC366*($LT366/Control!$C$141)+$LM366*$LW366)/($AC366+$LM366)</f>
        <v>0.71612369323045078</v>
      </c>
      <c r="MF366" s="170" t="e">
        <f ca="1">IF(Control!$B$16&gt;=1000,0.92,IF(AND(720&lt;=Control!$B$16,1000&gt;Control!$B$16),(0.95+(Control!$B$16-720)*((0.92-0.95)/(1000-720))),IF(AND(360&lt;=Control!$B$16,720&gt;Control!$B$16),(1+(Control!$B$16-360)*((0.95-1)/(720-360))),IF(AND(40&lt;=Control!$B$16,360&gt;Control!$B$16),(1.05+(Control!$B$16-40)*((1.05-1)/(360-40)))))))</f>
        <v>#N/A</v>
      </c>
      <c r="MG366" s="170">
        <f t="shared" ca="1" si="1261"/>
        <v>0.71612369323045078</v>
      </c>
      <c r="MH366" s="170" t="e">
        <f t="shared" ca="1" si="1387"/>
        <v>#N/A</v>
      </c>
      <c r="MI366" s="170" t="e">
        <f t="shared" ca="1" si="1387"/>
        <v>#N/A</v>
      </c>
      <c r="MJ366" s="170" t="e">
        <f ca="1">MAX(0.0001, Control!$C$132*$MI366*$DL366)</f>
        <v>#N/A</v>
      </c>
      <c r="MK366" s="170">
        <f ca="1">1/(0.76+1.5*($MG366/10))-(5-Control!$C$110)*0.1</f>
        <v>1.002845988140797</v>
      </c>
      <c r="ML366" s="173">
        <f ca="1">IF(Control!$C$110&lt;3,$MK366+($MG366-0.6)/(Control!$C$110*(Control!$C$110+3)), MAX(0.1, MIN(0.95,$MK366)))</f>
        <v>0.95</v>
      </c>
      <c r="MM366" s="173">
        <f ca="1">IF(Control!$C$110&lt;3,$MK366+(($MI366/10)-0.6)/(Control!$C$110*(Control!$C$110+3)), MAX(0.1, MIN(0.95,$MK366)))</f>
        <v>0.95</v>
      </c>
      <c r="MN366" s="173">
        <f ca="1">(1-$MM366)*(Control!$C$128-Control!$C$127)+Control!$C$127</f>
        <v>0.16</v>
      </c>
      <c r="MO366" s="170" t="e">
        <f ca="1">MAX(0,MIN(1,($MS366-Control!$C$127)/($MN366-Control!$C$127)))</f>
        <v>#DIV/0!</v>
      </c>
      <c r="MP366" s="173" t="e">
        <f ca="1">1/(0.76+1.5*$MI366)-(5-Control!$C$110)*0.1</f>
        <v>#N/A</v>
      </c>
      <c r="MQ366" s="172" t="e">
        <f t="shared" ca="1" si="1379"/>
        <v>#DIV/0!</v>
      </c>
      <c r="MR366" s="168" t="e">
        <f t="shared" ca="1" si="1351"/>
        <v>#DIV/0!</v>
      </c>
      <c r="MS366" s="173" t="e">
        <f ca="1">MAX(Control!$C$127, MIN(Control!$C$135, $MR366/MAX(0.0001,$CY366)))</f>
        <v>#DIV/0!</v>
      </c>
      <c r="MT366" s="168" t="e">
        <f ca="1">(Control!$C$128-$MS366)*Control!$C$74</f>
        <v>#DIV/0!</v>
      </c>
      <c r="MU366" s="168" t="e">
        <f ca="1">(Control!$C$135-$MS366)*Control!$C$74</f>
        <v>#DIV/0!</v>
      </c>
      <c r="MV366" s="168" t="e">
        <f t="shared" ca="1" si="1352"/>
        <v>#DIV/0!</v>
      </c>
      <c r="MW366" s="168" t="e">
        <f t="shared" ca="1" si="1353"/>
        <v>#DIV/0!</v>
      </c>
      <c r="MX366" s="171" t="e">
        <f ca="1">MAX(Control!$C$127, MIN(Control!$C$135, $MW366/MAX(0.0001,Control!$C$119-$CY366)))</f>
        <v>#DIV/0!</v>
      </c>
      <c r="MY366" s="54" t="e">
        <f ca="1">IF(Control!$C$114=1, $CX366*$MX366, 0)</f>
        <v>#DIV/0!</v>
      </c>
      <c r="MZ366" s="54" t="e">
        <f t="shared" ca="1" si="1354"/>
        <v>#N/A</v>
      </c>
      <c r="NA366" s="168" t="e">
        <f ca="1">(Control!$C$128-$MX366)*(Control!$C$119-Control!$C$74)</f>
        <v>#DIV/0!</v>
      </c>
      <c r="NB366" s="168" t="e">
        <f ca="1">(Control!$C$135-$MX366)*(Control!$C$119-Control!$C$74)</f>
        <v>#DIV/0!</v>
      </c>
      <c r="NC366" s="174" t="e">
        <f t="shared" ca="1" si="1355"/>
        <v>#DIV/0!</v>
      </c>
      <c r="ND366" s="54">
        <f ca="1">IF(Control!$C$58=2, IF(OR(Control!$B$218=$AH366,Control!$B$219=$AH366, Control!$B$220=$AH366, Control!$B$221=$AH366, Control!$B$222=$AH366, Control!$B$223=$AH366, Control!$B$224=$AH366, Control!$B$225=$AH366, Control!$B$226=$AH366, Control!$B$227=$AH366, Control!$B$228=$AH366), 1, 0), 0)</f>
        <v>0</v>
      </c>
      <c r="NE366" s="54">
        <f ca="1">IF($ND366=0,0, VLOOKUP($AH366,Control!$B$218:$C$228,2))</f>
        <v>0</v>
      </c>
      <c r="NF366" s="168" t="e">
        <f ca="1">$CY366*(Control!$C$128-Control!$C$127)</f>
        <v>#N/A</v>
      </c>
      <c r="NG366" s="54" t="e">
        <f ca="1">IF(Control!$C$58=2, $NI365-$NJ365, 0)</f>
        <v>#DIV/0!</v>
      </c>
      <c r="NH366" s="54" t="e">
        <f ca="1">IF(AND(Control!$C$58=1, $MS365&lt;= ($MN365+0.02), $I365&lt;10), 0, IF(Control!$C$58=2, $NG365, 0))</f>
        <v>#DIV/0!</v>
      </c>
      <c r="NI366" s="54" t="e">
        <f ca="1">IF(Control!$C$58=2, $NE366+$NH366,0)</f>
        <v>#DIV/0!</v>
      </c>
      <c r="NJ366" s="54" t="e">
        <f ca="1">IF(AND(Control!$C$58=1, $MS366&lt;= ($MN366+0.02), $I366&lt;10), MAX(0, MIN(10, 0.7*($NF366-$MV366))), IF(Control!$C$58=2, MIN(10,$NI366),0))</f>
        <v>#DIV/0!</v>
      </c>
      <c r="NK366" s="54" t="e">
        <f t="shared" ca="1" si="1263"/>
        <v>#DIV/0!</v>
      </c>
      <c r="NL366" s="173" t="e">
        <f ca="1">(1-Control!$C$73)*$I366+$NJ366</f>
        <v>#DIV/0!</v>
      </c>
      <c r="NM366" s="172" t="e">
        <f ca="1">IF($NL366&lt;0.5, $MB366* MAX(0, MIN(1, (SQRT($NC366)-SQRT($NC366-1))*Control!$C$71)),0)</f>
        <v>#DIV/0!</v>
      </c>
      <c r="NN366" s="170" t="e">
        <f ca="1">IF($NL366&gt;=5, $MB366, MAX(0,MIN($MB366, $NM366+$NL366,($MS366-Control!$C$129))))</f>
        <v>#DIV/0!</v>
      </c>
      <c r="NO366" s="54">
        <f>IF(Control!$C$133&lt;&gt;1, Control!$C$135-Control!$C$131, 0)</f>
        <v>0.38</v>
      </c>
      <c r="NP366" s="54" t="e">
        <f t="shared" ca="1" si="1264"/>
        <v>#DIV/0!</v>
      </c>
      <c r="NQ366" s="173" t="e">
        <f ca="1">MAX(0,MIN(1,(Control!$C$135-$MS366)/(Control!$C$135-$NO366)))</f>
        <v>#DIV/0!</v>
      </c>
      <c r="NR366" s="170" t="e">
        <f ca="1">IF(Control!$C$133&lt;&gt;1, $NQ366+((1-$NP366/4)*(1-$NQ366)),1)</f>
        <v>#DIV/0!</v>
      </c>
      <c r="NS366" s="170" t="e">
        <f ca="1">IF(Control!$B$31=0,$MJ366,MAX(0,MIN($MV366,$MO366*$NR366*$MJ366)))</f>
        <v>#DIV/0!</v>
      </c>
      <c r="NT366" s="170" t="e">
        <f t="shared" ca="1" si="1380"/>
        <v>#DIV/0!</v>
      </c>
      <c r="NU366" s="170" t="e">
        <f t="shared" ca="1" si="1356"/>
        <v>#N/A</v>
      </c>
      <c r="NV366" s="170" t="e">
        <f t="shared" ca="1" si="1265"/>
        <v>#N/A</v>
      </c>
      <c r="NW366" s="175" t="e">
        <f t="shared" ca="1" si="1266"/>
        <v>#DIV/0!</v>
      </c>
      <c r="NX366" s="170" t="e">
        <f ca="1">MIN(Control!$C$72+$MU366, $NW366)</f>
        <v>#DIV/0!</v>
      </c>
      <c r="NY366" s="170" t="e">
        <f ca="1">IF($MT366&lt;=$NX366,MIN(Control!$C$72+$NB366,$NX366-$MT366),0)</f>
        <v>#DIV/0!</v>
      </c>
      <c r="NZ366" s="54" t="e">
        <f ca="1">IF(Control!$C$114=1,  $CX366*($MX366-Control!$C$127), 0)</f>
        <v>#DIV/0!</v>
      </c>
      <c r="OA366" s="170" t="e">
        <f t="shared" ca="1" si="1267"/>
        <v>#DIV/0!</v>
      </c>
      <c r="OB366" s="170" t="e">
        <f ca="1">IF($NA366 &lt;=$NY366, MIN(Control!$C$72, $NY366-$NA366), 0)</f>
        <v>#DIV/0!</v>
      </c>
      <c r="OC366" s="168" t="e">
        <f t="shared" ca="1" si="1268"/>
        <v>#DIV/0!</v>
      </c>
      <c r="OD366" s="168" t="e">
        <f t="shared" ca="1" si="1357"/>
        <v>#DIV/0!</v>
      </c>
      <c r="OE366" s="170">
        <f ca="1">Control!$C$73*$I366</f>
        <v>0</v>
      </c>
      <c r="OF366" s="176" t="e">
        <f t="shared" ca="1" si="1269"/>
        <v>#DIV/0!</v>
      </c>
      <c r="OG366" s="168" t="e">
        <f t="shared" ca="1" si="1270"/>
        <v>#DIV/0!</v>
      </c>
      <c r="OH366" s="168" t="e">
        <f t="shared" ca="1" si="1271"/>
        <v>#DIV/0!</v>
      </c>
      <c r="OI366" s="168" t="e">
        <f t="shared" ca="1" si="1272"/>
        <v>#DIV/0!</v>
      </c>
      <c r="OJ366" s="168" t="e">
        <f t="shared" ca="1" si="1273"/>
        <v>#DIV/0!</v>
      </c>
      <c r="OK366" s="204" t="e">
        <f t="shared" ca="1" si="1274"/>
        <v>#DIV/0!</v>
      </c>
      <c r="OL366" s="177">
        <f>Control!$C$127</f>
        <v>0.15</v>
      </c>
      <c r="OM366" s="182" t="e">
        <f t="shared" ca="1" si="1275"/>
        <v>#N/A</v>
      </c>
      <c r="ON366" s="177">
        <f>Control!$C$128</f>
        <v>0.35</v>
      </c>
      <c r="OO366" s="182" t="e">
        <f t="shared" ca="1" si="1276"/>
        <v>#N/A</v>
      </c>
      <c r="OP366" s="138">
        <f t="shared" ca="1" si="1358"/>
        <v>0</v>
      </c>
      <c r="OQ366" s="138" t="e">
        <f t="shared" ca="1" si="1381"/>
        <v>#DIV/0!</v>
      </c>
      <c r="OR366" s="138" t="e">
        <f t="shared" ca="1" si="1359"/>
        <v>#DIV/0!</v>
      </c>
      <c r="OS366" s="137" t="e">
        <f t="shared" ca="1" si="1382"/>
        <v>#DIV/0!</v>
      </c>
      <c r="OT366" s="139" t="e">
        <f t="shared" ca="1" si="1383"/>
        <v>#DIV/0!</v>
      </c>
      <c r="OU366" s="138" t="e">
        <f t="shared" ca="1" si="1384"/>
        <v>#N/A</v>
      </c>
      <c r="OV366" s="138" t="e">
        <f t="shared" ca="1" si="1385"/>
        <v>#DIV/0!</v>
      </c>
      <c r="OW366" s="138" t="e">
        <f t="shared" ca="1" si="1360"/>
        <v>#DIV/0!</v>
      </c>
      <c r="OX366" s="138" t="e">
        <f t="shared" ca="1" si="1361"/>
        <v>#DIV/0!</v>
      </c>
      <c r="OY366" s="138" t="e">
        <f t="shared" ca="1" si="1362"/>
        <v>#DIV/0!</v>
      </c>
      <c r="OZ366" s="138" t="e">
        <f t="shared" ca="1" si="1277"/>
        <v>#DIV/0!</v>
      </c>
      <c r="PA366" s="138" t="e">
        <f t="shared" ca="1" si="1278"/>
        <v>#DIV/0!</v>
      </c>
      <c r="PB366" s="55">
        <f>IF(Control!$C$61="T", IF(Control!$C$65="F", IF($AH$6-Control!$C$60&lt;0,0,1), IF(365+$AH$6-Control!$C$60&lt;0,0,1)),0)</f>
        <v>0</v>
      </c>
      <c r="PC366" s="55">
        <f ca="1">IF(Control!$C$65="F", IF($AH$6-$HF366&lt;0,0,1), IF(365+$AH$6-$HF366&lt;0,0,1))</f>
        <v>1</v>
      </c>
      <c r="PD366" s="444">
        <f>Control!$C$118</f>
        <v>1500</v>
      </c>
      <c r="PE366" s="180" t="e">
        <f t="shared" ca="1" si="1279"/>
        <v>#N/A</v>
      </c>
      <c r="PF366" s="445">
        <f t="shared" ca="1" si="1363"/>
        <v>0.71612369323045078</v>
      </c>
      <c r="PT366" s="186"/>
      <c r="PU366" s="186"/>
      <c r="PV366" s="94"/>
      <c r="PW366" s="94"/>
      <c r="PX366" s="94"/>
      <c r="PY366" s="94"/>
      <c r="PZ366" s="94"/>
      <c r="QA366" s="94"/>
      <c r="QB366" s="94"/>
      <c r="QC366" s="94"/>
      <c r="QD366" s="94"/>
      <c r="QE366" s="94"/>
      <c r="QF366" s="94"/>
      <c r="QG366" s="94"/>
      <c r="QH366" s="94"/>
      <c r="QI366" s="94"/>
      <c r="QJ366" s="94"/>
      <c r="QK366" s="94"/>
      <c r="QL366" s="94"/>
      <c r="QM366" s="94"/>
      <c r="QN366" s="94"/>
      <c r="QO366" s="94"/>
      <c r="QP366" s="94"/>
    </row>
    <row r="367" spans="1:458" s="2" customFormat="1" x14ac:dyDescent="0.2">
      <c r="A367" s="395">
        <v>28</v>
      </c>
      <c r="B367" s="396">
        <v>12</v>
      </c>
      <c r="C367" s="387">
        <f ca="1">Weather_data!$B366</f>
        <v>0</v>
      </c>
      <c r="D367" s="388">
        <f ca="1">Weather_data!$F366</f>
        <v>0</v>
      </c>
      <c r="E367" s="388">
        <f ca="1">Weather_data!$E366</f>
        <v>0</v>
      </c>
      <c r="F367" s="388">
        <f t="shared" ca="1" si="1280"/>
        <v>0</v>
      </c>
      <c r="G367" s="388">
        <f ca="1">AVERAGE($D367:$E367)+Control!$B$9</f>
        <v>0</v>
      </c>
      <c r="H367" s="388">
        <f ca="1">Weather_data!$G366</f>
        <v>0</v>
      </c>
      <c r="I367" s="388">
        <f ca="1">Weather_data!$I366</f>
        <v>0</v>
      </c>
      <c r="J367" s="388">
        <f ca="1">Weather_data!$H366</f>
        <v>0</v>
      </c>
      <c r="K367" s="389">
        <f ca="1">Weather_data!$D366</f>
        <v>0</v>
      </c>
      <c r="L367" s="388" t="e">
        <f t="shared" ca="1" si="1281"/>
        <v>#N/A</v>
      </c>
      <c r="M367" s="388" t="e">
        <f t="shared" ca="1" si="1158"/>
        <v>#N/A</v>
      </c>
      <c r="N367" s="388">
        <f t="shared" ca="1" si="1159"/>
        <v>-1.5153603233291881E-17</v>
      </c>
      <c r="O367" s="388">
        <f t="shared" ca="1" si="1282"/>
        <v>1.5153603233291881E-16</v>
      </c>
      <c r="P367" s="390">
        <v>3</v>
      </c>
      <c r="Q367" s="388">
        <f ca="1">MAX($G367-Control!$C$107,0)</f>
        <v>0</v>
      </c>
      <c r="R367" s="388">
        <f t="shared" ca="1" si="1283"/>
        <v>0</v>
      </c>
      <c r="S367" s="388">
        <f t="shared" ca="1" si="1160"/>
        <v>0</v>
      </c>
      <c r="T367" s="388">
        <f t="shared" ca="1" si="1161"/>
        <v>0</v>
      </c>
      <c r="U367" s="59">
        <f t="shared" ca="1" si="1162"/>
        <v>0</v>
      </c>
      <c r="V367" s="391">
        <f ca="1">MAX(0,MIN(Control!$C$100-Control!$C$99,$G367-Control!$C$99)*Control!$C$63)</f>
        <v>0</v>
      </c>
      <c r="W367" s="388">
        <f t="shared" ca="1" si="1284"/>
        <v>0</v>
      </c>
      <c r="X367" s="388">
        <f t="shared" ca="1" si="1285"/>
        <v>0.6110000000000001</v>
      </c>
      <c r="Y367" s="388">
        <f t="shared" ca="1" si="1163"/>
        <v>0</v>
      </c>
      <c r="Z367" s="388">
        <f t="shared" ca="1" si="1286"/>
        <v>0.61058800000000002</v>
      </c>
      <c r="AA367" s="388">
        <f t="shared" ca="1" si="1164"/>
        <v>0.6018</v>
      </c>
      <c r="AB367" s="388">
        <f ca="1">101.3*EXP(-0.034*Control!$C$66/($G367+273))</f>
        <v>100.69623283836242</v>
      </c>
      <c r="AC367" s="392">
        <f t="shared" ca="1" si="1165"/>
        <v>4.3460251046025113E-2</v>
      </c>
      <c r="AD367" s="392">
        <f t="shared" ca="1" si="1166"/>
        <v>4.4450382862832649E-2</v>
      </c>
      <c r="AE367" s="388">
        <f t="shared" ca="1" si="1167"/>
        <v>0</v>
      </c>
      <c r="AF367" s="388">
        <f ca="1">MAX(0,$G367-Control!$C$92)</f>
        <v>0</v>
      </c>
      <c r="AG367" s="393">
        <f t="shared" ca="1" si="1168"/>
        <v>363</v>
      </c>
      <c r="AH367" s="389">
        <f t="shared" ca="1" si="1169"/>
        <v>363</v>
      </c>
      <c r="AI367" s="388">
        <f t="shared" ca="1" si="1287"/>
        <v>-0.40517661663772075</v>
      </c>
      <c r="AJ367" s="388">
        <f ca="1">IF(Control!$C$60&lt;=0,$HH367,$HI367)</f>
        <v>1</v>
      </c>
      <c r="AK367" s="388">
        <f t="shared" ca="1" si="1170"/>
        <v>4.8716203888543097</v>
      </c>
      <c r="AL367" s="388">
        <f t="shared" ca="1" si="1171"/>
        <v>1.388508578947789E-17</v>
      </c>
      <c r="AM367" s="388">
        <f t="shared" ca="1" si="1172"/>
        <v>4.8716203888543097</v>
      </c>
      <c r="AN367" s="388">
        <f t="shared" ca="1" si="1173"/>
        <v>-0.4036391203892124</v>
      </c>
      <c r="AO367" s="388">
        <f ca="1">-0.10453/COS(Control!$B$8*PI()/180)*COS(AN367)</f>
        <v>-0.15614057188511904</v>
      </c>
      <c r="AP367" s="388">
        <f ca="1">ACOS(AO367-TAN(Control!$B$8*PI()/180)*TAN(AN367))</f>
        <v>1.1696118664322364</v>
      </c>
      <c r="AQ367" s="388">
        <f t="shared" ca="1" si="1288"/>
        <v>0</v>
      </c>
      <c r="AR367" s="394">
        <f t="shared" ca="1" si="1174"/>
        <v>0</v>
      </c>
      <c r="AS367" s="436">
        <f ca="1">IF(Control!$B$18=2,(IF(OR($AH367=Control!$B$175,$AH367=Control!$B$176,$AH367=Control!$B$177,$AH367=Control!$B$178,$AH367=Control!$B$179,$AH367=Control!$B$180,$AH367=Control!$B$181,$AH367=Control!$B$182,$AH367=Control!$B$183,$AH367=Control!$B$184,$AH367=Control!$B$185),1,0)),0)</f>
        <v>0</v>
      </c>
      <c r="AT367" s="436">
        <f>IF(Control!$B$20=8,IF(AND($AH367&gt;=Control!$B$172,$AH367&lt;=Control!$B$173),1,0),0)</f>
        <v>0</v>
      </c>
      <c r="AU367" s="436">
        <f>IF(Control!$B$20=8,IF($AV366=1,1*$AT367,IF($AT367=1,$AU366+1,$AU366)),0)</f>
        <v>0</v>
      </c>
      <c r="AV367" s="436">
        <f>IF(Control!$B$20=8,IF($AU367&gt;=Control!$B$174,1,0),0)</f>
        <v>0</v>
      </c>
      <c r="AW367" s="436">
        <f ca="1">IF(AND(Control!$B$18=2,Control!$B$171=1), $AV367, $AS367)</f>
        <v>0</v>
      </c>
      <c r="AX367" s="436" t="e">
        <f ca="1">IF(AND(Control!$B$18=1,$EU367&gt;=Control!$B$19),-$AY367,IF(AND(Control!$B$18=2,$AW367=1,$EU367&gt;$DS367),-$AY367, IF(Control!$C$108=0,0, IF(Control!$C$108&lt;&gt;0,1))))</f>
        <v>#N/A</v>
      </c>
      <c r="AY367" s="436" t="e">
        <f t="shared" ca="1" si="1289"/>
        <v>#N/A</v>
      </c>
      <c r="AZ367" s="436" t="e">
        <f ca="1">IF(AND(Control!$B$18=1,$EB367&gt;Control!$B$19),$AZ366+1, IF(AND(Control!$B$18=2, $AW367=1, $EB367&gt;$DS367), $AZ366+1,$AZ366))</f>
        <v>#N/A</v>
      </c>
      <c r="BA367" s="587">
        <f>IF(Control!$C$81=0,1,IF($AH367&gt;=Control!$C$82,1,0))</f>
        <v>1</v>
      </c>
      <c r="BB367" s="140" t="e">
        <f ca="1">IF($BA367&gt;$BA366,Control!$C$83,IF($AW367&gt;0,$AW367*Control!$C$84,IF(AND(Control!$B$18=1,EN366&lt;&gt;0),Control!$C$84,0)))</f>
        <v>#N/A</v>
      </c>
      <c r="BC367" s="140" t="e">
        <f t="shared" ca="1" si="1290"/>
        <v>#N/A</v>
      </c>
      <c r="BD367" s="140" t="e">
        <f ca="1">BC367*IF(OR($G367&lt;Control!$C$92,$G367&gt;Control!$C$95),0,IF(AND($G367&gt;=Control!$C$92,$G367&lt;=Control!$C$93),$G367-Control!$C$92,IF(AND($G367&gt;Control!$C$93,$G367&lt;=Control!$C$94),Control!$C$93-Control!$C$92,IF(AND($G367&gt;Control!$C$94,$G367&lt;=Control!$C$95),(Control!$C$93-Control!$C$92)*(Control!$C$94-$G367)/(Control!$C$95-Control!$C$94)))))</f>
        <v>#N/A</v>
      </c>
      <c r="BE367" s="140" t="e">
        <f t="shared" ca="1" si="1291"/>
        <v>#N/A</v>
      </c>
      <c r="BF367" s="140" t="e">
        <f ca="1">IF($BE367&lt;=Control!$C$86,$BE367,Control!$C$86-$BE367)</f>
        <v>#N/A</v>
      </c>
      <c r="BG367" s="140" t="e">
        <f ca="1">IF(AND($AW367=1,Control!$C$84&lt;9),1,IF($BE367&gt;=Control!$C$86,0,$BC367))</f>
        <v>#N/A</v>
      </c>
      <c r="BH367" s="404" t="e">
        <f ca="1">IF($BG367=0,0,IF($BE367&lt;=Control!$C$86,$BC367*9*($BF367/Control!$C$86),0))</f>
        <v>#N/A</v>
      </c>
      <c r="BI367" s="140" t="e">
        <f ca="1">IF($BG367=1,0,IF($BE367&gt;=Control!$C$86,1,IF(AND($BB367&lt;21,$BB367&gt;=9),1,$BM366)))</f>
        <v>#N/A</v>
      </c>
      <c r="BJ367" s="140" t="e">
        <f ca="1">IF($BF367&lt;0,-$BF367,$BI367*IF(OR($G367&lt;Control!$C$92,$G367&gt;Control!$C$95),0,IF(AND($G367&gt;=Control!$C$92,$G367&lt;=Control!$C$93),$G367-Control!$C$92,IF(AND($G367&gt;Control!$C$93,$G367&lt;=Control!$C$94),Control!$C$93-Control!$C$92,IF(AND($G367&gt;Control!$C$94,$G367&lt;=Control!$C$95),(Control!$C$93-Control!$C$92)*(Control!$C$94-$G367)/(Control!$C$95-Control!$C$94))))))</f>
        <v>#N/A</v>
      </c>
      <c r="BK367" s="140" t="e">
        <f t="shared" ca="1" si="1292"/>
        <v>#N/A</v>
      </c>
      <c r="BL367" s="140" t="e">
        <f ca="1">IF($BK367&lt;=Control!$C$87,$BK367,Control!$C$87-$BK367)</f>
        <v>#N/A</v>
      </c>
      <c r="BM367" s="140" t="e">
        <f ca="1">IF(AND($BB367&gt;=9,$BB367&lt;21),1,IF($BK367&gt;=Control!$C$87,0,$BI367))</f>
        <v>#N/A</v>
      </c>
      <c r="BN367" s="404" t="e">
        <f ca="1">IF($BM367=0,0,IF($BK367&lt;=Control!$C$87,$BI367*(9+(21-9)*($BL367/Control!$C$87)),0))</f>
        <v>#N/A</v>
      </c>
      <c r="BO367" s="140" t="e">
        <f ca="1">IF($BM367=1,0,IF($BK367&gt;=Control!$C$87,1,IF(AND($BB367&lt;30,$BB367&gt;=21),1,$BS366)))</f>
        <v>#N/A</v>
      </c>
      <c r="BP367" s="140" t="e">
        <f ca="1">IF($BL367&lt;0,-$BL367,$BO367*IF(OR($G367&lt;Control!$C$92,$G367&gt;Control!$C$95),0,IF(AND($G367&gt;=Control!$C$92,$G367&lt;=Control!$C$93),$G367-Control!$C$92,IF(AND($G367&gt;Control!$C$93,$G367&lt;=Control!$C$94),Control!$C$93-Control!$C$92,IF(AND($G367&gt;Control!$C$94,$G367&lt;=Control!$C$95),(Control!$C$93-Control!$C$92)*(Control!$C$94-$G367)/(Control!$C$95-Control!$C$94))))))</f>
        <v>#N/A</v>
      </c>
      <c r="BQ367" s="140" t="e">
        <f t="shared" ca="1" si="1175"/>
        <v>#N/A</v>
      </c>
      <c r="BR367" s="140" t="e">
        <f ca="1">IF($BQ367&lt;=Control!$C$88,$BQ367,Control!$C$88-$BQ367)</f>
        <v>#N/A</v>
      </c>
      <c r="BS367" s="140" t="e">
        <f ca="1">IF(AND($BB367&gt;=21,$BB367&lt;30),1,IF($BQ367&gt;=Control!$C$88,0,$BO367))</f>
        <v>#N/A</v>
      </c>
      <c r="BT367" s="404" t="e">
        <f ca="1">IF($BS367=0,0,IF($BQ367&lt;=Control!$C$88,$BO367*(21+(30-21)*(BR367/Control!$C$88)),0))</f>
        <v>#N/A</v>
      </c>
      <c r="BU367" s="140" t="e">
        <f ca="1">IF(BG367+BM367+BS367=1,0,IF(OR(AND($BB367&lt;60,$BB367&gt;=30),$BQ367&gt;=Control!$C$88),1*$BA367,$BY366))</f>
        <v>#N/A</v>
      </c>
      <c r="BV367" s="140" t="e">
        <f ca="1">IF($BR367&lt;0,-$BR367,$BU367*IF(OR($G367&lt;Control!$C$92,$G367&gt;Control!$C$95),0,IF(AND($G367&gt;=Control!$C$92,$G367&lt;=Control!$C$93),$G367-Control!$C$92,IF(AND($G367&gt;Control!$C$93,$G367&lt;=Control!$C$94),Control!$C$93-Control!$C$92,IF(AND($G367&gt;Control!$C$94,$G367&lt;=Control!$C$95),(Control!$C$93-Control!$C$92)*(Control!$C$94-$G367)/(Control!$C$95-Control!$C$94))))))</f>
        <v>#N/A</v>
      </c>
      <c r="BW367" s="140" t="e">
        <f t="shared" ca="1" si="1176"/>
        <v>#N/A</v>
      </c>
      <c r="BX367" s="140" t="e">
        <f ca="1">IF($BW367&lt;=Control!$C$89,$BW367,Control!$C$89-$BW367)</f>
        <v>#N/A</v>
      </c>
      <c r="BY367" s="140" t="e">
        <f ca="1">IF(AND($AJ367&gt;=30,$AJ367&lt;60),1,IF($BW367&gt;=Control!$C$89,0,$BU367))</f>
        <v>#N/A</v>
      </c>
      <c r="BZ367" s="404" t="e">
        <f ca="1">IF($BY367=0,0,IF($BW367&lt;=Control!$C$89,$BU367*(30+(60-30)*(BX367/Control!$C$89)),0))</f>
        <v>#N/A</v>
      </c>
      <c r="CA367" s="140" t="e">
        <f ca="1">IF($BG367+$BM367+$BS367+$BY367=1,0,IF(OR(AND($BB367&lt;65,$BB367&gt;=60),$BW367&gt;=Control!$C$89),1*$BA367,$CE366))</f>
        <v>#N/A</v>
      </c>
      <c r="CB367" s="140" t="e">
        <f ca="1">IF($BX367&lt;0,-$BX367,$CA367*IF(OR($G367&lt;Control!$C$92,$G367&gt;Control!$C$95),0,IF(AND($G367&gt;=Control!$C$92,$G367&lt;=Control!$C$93),$G367-Control!$C$92,IF(AND($G367&gt;Control!$C$93,$G367&lt;=Control!$C$94),Control!$C$93-Control!$C$92,IF(AND($G367&gt;Control!$C$94,$G367&lt;=Control!$C$95),(Control!$C$93-Control!$C$92)*(Control!$C$94-$G367)/(Control!$C$95-Control!$C$94))))))</f>
        <v>#N/A</v>
      </c>
      <c r="CC367" s="140" t="e">
        <f t="shared" ca="1" si="1293"/>
        <v>#N/A</v>
      </c>
      <c r="CD367" s="140" t="e">
        <f ca="1">IF($CC367&lt;=Control!$C$90,$CC367,Control!$C$90-$CC367)</f>
        <v>#N/A</v>
      </c>
      <c r="CE367" s="140" t="e">
        <f ca="1">IF(AND($BB367&gt;=60,$BB367&lt;65),1,IF($CC367&gt;=Control!$C$90,0,$CA367))</f>
        <v>#N/A</v>
      </c>
      <c r="CF367" s="404" t="e">
        <f ca="1">IF($CE367=0,0,IF($CC367&lt;=Control!$C$90,$CA367*(60+(65-60)*(CD367/Control!$C$90)),0))</f>
        <v>#N/A</v>
      </c>
      <c r="CG367" s="140" t="e">
        <f ca="1">IF($BG367+$BM367+$BS367+$BY367+$CE367=1,0,IF(OR(AND($BB367&lt;90,$BB367&gt;=65),$CC367&gt;=Control!$C$90),$BA367,$CK366))</f>
        <v>#N/A</v>
      </c>
      <c r="CH367" s="140" t="e">
        <f ca="1">IF($CD367&lt;0,-$CD367,$CG367*IF(OR($G367&lt;Control!$C$92,$G367&gt;Control!$C$95),0,IF(AND($G367&gt;=Control!$C$92,$G367&lt;=Control!$C$93),$G367-Control!$C$92,IF(AND($G367&gt;Control!$C$93,$G367&lt;=Control!$C$94),Control!$C$93-Control!$C$92,IF(AND($G367&gt;Control!$C$94,$G367&lt;=Control!$C$95),(Control!$C$93-Control!$C$92)*(Control!$C$94-$G367)/(Control!$C$95-Control!$C$94))))))</f>
        <v>#N/A</v>
      </c>
      <c r="CI367" s="140" t="e">
        <f t="shared" ca="1" si="1294"/>
        <v>#N/A</v>
      </c>
      <c r="CJ367" s="140" t="e">
        <f ca="1">IF($CI367&lt;=Control!$C$91,$CI367,Control!$C$91-$CI367)</f>
        <v>#N/A</v>
      </c>
      <c r="CK367" s="140" t="e">
        <f ca="1">IF(AND($BB367&gt;=65,$BB367&lt;90),1,IF($CI367&gt;=Control!$C$91,0,$CG367))</f>
        <v>#N/A</v>
      </c>
      <c r="CL367" s="404" t="e">
        <f ca="1">IF($CK367=0,0,IF($CI367&lt;=Control!$C$91,$CG367*(65+(90-65)*($CJ367/Control!$C$91)),0))</f>
        <v>#N/A</v>
      </c>
      <c r="CM367" s="140" t="e">
        <f ca="1">IF($BG367+$BM367+$BS367+$BY367+$CE367+$CK367=1,0,IF(OR($BB367&gt;=90,$CI367&gt;=Control!$C$91),$BA367,$CM366))</f>
        <v>#N/A</v>
      </c>
      <c r="CN367" s="140" t="e">
        <f t="shared" ca="1" si="1295"/>
        <v>#N/A</v>
      </c>
      <c r="CO367" s="140" t="e">
        <f t="shared" ca="1" si="1296"/>
        <v>#N/A</v>
      </c>
      <c r="CP367" s="140" t="e">
        <f t="shared" ca="1" si="1297"/>
        <v>#N/A</v>
      </c>
      <c r="CQ367" s="141" t="e">
        <f ca="1">VLOOKUP($CP367,Control!$B$86:$G$91,6)</f>
        <v>#N/A</v>
      </c>
      <c r="CR367" s="141" t="e">
        <f ca="1">(1-$CQ367)*VLOOKUP($CP367,Control!$B$86:$D$91,3)</f>
        <v>#N/A</v>
      </c>
      <c r="CS367" s="141" t="e">
        <f ca="1">(1-$CQ367)*VLOOKUP($CP367,Control!$B$86:$E$91,4)</f>
        <v>#N/A</v>
      </c>
      <c r="CT367" s="141" t="e">
        <f ca="1">(1-$CQ367)*VLOOKUP($CP367,Control!$B$86:$F$91,5)</f>
        <v>#N/A</v>
      </c>
      <c r="CU367" s="141">
        <f t="shared" ca="1" si="1298"/>
        <v>0</v>
      </c>
      <c r="CV367" s="583">
        <f t="shared" ca="1" si="1299"/>
        <v>0</v>
      </c>
      <c r="CW367" s="142">
        <f t="shared" ca="1" si="1300"/>
        <v>363</v>
      </c>
      <c r="CX367" s="612" t="e">
        <f ca="1">IF(Control!$C$114=1,(MIN(Control!$C$120*(IF($NT367-0.01&lt;0,0,1)),Control!$C$119-$CY367)))</f>
        <v>#DIV/0!</v>
      </c>
      <c r="CY367" s="143" t="e">
        <f t="shared" ca="1" si="1301"/>
        <v>#N/A</v>
      </c>
      <c r="CZ367" s="144">
        <f t="shared" ca="1" si="1177"/>
        <v>0</v>
      </c>
      <c r="DA367" s="144">
        <f t="shared" ca="1" si="1178"/>
        <v>0</v>
      </c>
      <c r="DB367" s="144" t="e">
        <f t="shared" ca="1" si="1179"/>
        <v>#N/A</v>
      </c>
      <c r="DC367" s="144" t="e">
        <f t="shared" ca="1" si="1180"/>
        <v>#N/A</v>
      </c>
      <c r="DD367" s="144" t="e">
        <f t="shared" ca="1" si="1386"/>
        <v>#N/A</v>
      </c>
      <c r="DE367" s="143" t="e">
        <f t="shared" ca="1" si="1302"/>
        <v>#N/A</v>
      </c>
      <c r="DF367" s="145" t="e">
        <f ca="1">$DR367*EXP(-Control!$C$158*(1-$KH367))</f>
        <v>#N/A</v>
      </c>
      <c r="DG367" s="146" t="e">
        <f ca="1">IF(Control!$C$114=1, $DF367*$EY367, 0)</f>
        <v>#N/A</v>
      </c>
      <c r="DH367" s="147" t="e">
        <f t="shared" ca="1" si="1303"/>
        <v>#N/A</v>
      </c>
      <c r="DI367" s="144" t="e">
        <f t="shared" ca="1" si="1364"/>
        <v>#N/A</v>
      </c>
      <c r="DJ367" s="147" t="e">
        <f ca="1">$EF367*Control!$C$109</f>
        <v>#N/A</v>
      </c>
      <c r="DK367" s="144" t="e">
        <f t="shared" ca="1" si="1304"/>
        <v>#N/A</v>
      </c>
      <c r="DL367" s="144" t="e">
        <f t="shared" ca="1" si="1181"/>
        <v>#N/A</v>
      </c>
      <c r="DM367" s="144" t="e">
        <f ca="1">IF(Control!$C$114=1, (1-EXP(-Control!$C$96*$DK367))*$AR367, 0)</f>
        <v>#N/A</v>
      </c>
      <c r="DN367" s="144">
        <f t="shared" ca="1" si="1305"/>
        <v>0</v>
      </c>
      <c r="DO367" s="148">
        <f>Control!$C$97</f>
        <v>4</v>
      </c>
      <c r="DP367" s="145" t="e">
        <f t="shared" ca="1" si="1306"/>
        <v>#N/A</v>
      </c>
      <c r="DQ367" s="145" t="e">
        <f ca="1">IF(AND($CP367&gt;=0,$CP367&lt;=90),Control!$C$111,Control!$C$111)</f>
        <v>#N/A</v>
      </c>
      <c r="DR367" s="145" t="e">
        <f t="shared" ca="1" si="1182"/>
        <v>#N/A</v>
      </c>
      <c r="DS367" s="143" t="e">
        <f ca="1">Control!$B$22/$DR367</f>
        <v>#N/A</v>
      </c>
      <c r="DT367" s="149" t="e">
        <f ca="1">IF(AND(Control!$C$114=1,$KH367&lt;1),$IM367*$DF367, 0)</f>
        <v>#N/A</v>
      </c>
      <c r="DU367" s="144" t="e">
        <f t="shared" ca="1" si="1307"/>
        <v>#N/A</v>
      </c>
      <c r="DV367" s="144">
        <f ca="1">IF($G367-Control!$C$107&lt;=0, 0, 0.83*LN(MAX($G367, 3))-0.8924)</f>
        <v>0</v>
      </c>
      <c r="DW367" s="144" t="e">
        <f t="shared" ca="1" si="1183"/>
        <v>#N/A</v>
      </c>
      <c r="DX367" s="150" t="e">
        <f ca="1">MAX(0.01*(1+$CU367/Control!$C$102),0.05*($DK367-Control!$C$97)/Control!$C$97)</f>
        <v>#N/A</v>
      </c>
      <c r="DY367" s="151" t="e">
        <f ca="1">IF(Control!$C$114=1, $DI367*$FS367, 0)</f>
        <v>#N/A</v>
      </c>
      <c r="DZ367" s="196" t="e">
        <f t="shared" ca="1" si="1308"/>
        <v>#N/A</v>
      </c>
      <c r="EA367" s="152">
        <f t="shared" ca="1" si="1309"/>
        <v>363</v>
      </c>
      <c r="EB367" s="153" t="e">
        <f t="shared" ca="1" si="1310"/>
        <v>#N/A</v>
      </c>
      <c r="EC367" s="153" t="e">
        <f t="shared" ca="1" si="1311"/>
        <v>#N/A</v>
      </c>
      <c r="ED367" s="154" t="e">
        <f ca="1">IF(Control!$C$114=1, $HM367*$FY367-$FD367, 0)</f>
        <v>#DIV/0!</v>
      </c>
      <c r="EE367" s="155" t="e">
        <f ca="1">IF(Control!$C$114=1, $HM367*$FZ367-$FF367, 0)</f>
        <v>#DIV/0!</v>
      </c>
      <c r="EF367" s="153" t="e">
        <f t="shared" ca="1" si="1365"/>
        <v>#N/A</v>
      </c>
      <c r="EG367" s="155" t="e">
        <f ca="1">IF(Control!$C$114=1, $GX367*$FW367-$FI367, 0)</f>
        <v>#DIV/0!</v>
      </c>
      <c r="EH367" s="153" t="e">
        <f t="shared" ca="1" si="1312"/>
        <v>#N/A</v>
      </c>
      <c r="EI367" s="156" t="e">
        <f t="shared" ca="1" si="1313"/>
        <v>#N/A</v>
      </c>
      <c r="EJ367" s="155" t="e">
        <f ca="1">IF(Control!$C$114=1, $HM367*$GB367, 0)</f>
        <v>#DIV/0!</v>
      </c>
      <c r="EK367" s="153" t="e">
        <f t="shared" ca="1" si="1366"/>
        <v>#N/A</v>
      </c>
      <c r="EL367" s="153" t="e">
        <f t="shared" ca="1" si="1184"/>
        <v>#N/A</v>
      </c>
      <c r="EM367" s="153" t="e">
        <f t="shared" ca="1" si="1185"/>
        <v>#N/A</v>
      </c>
      <c r="EN367" s="153" t="e">
        <f ca="1">IF(Control!$C$108=1,IF(AND(Control!$B$18=1,$EB367&gt;=Control!$B$19),$EB367-$DS367,IF(AND(Control!$B$18=2,$AW367=1,$EB367&gt;$DS367),$EB367-$DS367,0)))</f>
        <v>#N/A</v>
      </c>
      <c r="EO367" s="153" t="e">
        <f ca="1">IF(Control!$C$108=1,IF(AND(Control!$B$18=1,$EB367&gt;=Control!$B$19),$EF367,IF(AND(Control!$B$18=2,$AW367=1),$EF367,0)))</f>
        <v>#N/A</v>
      </c>
      <c r="EP367" s="153" t="e">
        <f ca="1">IF(Control!$C$108=1,IF(AND(Control!$B$18=1,$EB367&gt;=Control!$B$19),$EK367,IF(AND(Control!$B$18=2,$AW367=1),$EK367,0)))</f>
        <v>#N/A</v>
      </c>
      <c r="EQ367" s="153" t="e">
        <f t="shared" ca="1" si="1314"/>
        <v>#N/A</v>
      </c>
      <c r="ER367" s="153" t="e">
        <f t="shared" ca="1" si="1315"/>
        <v>#N/A</v>
      </c>
      <c r="ES367" s="153" t="e">
        <f t="shared" ca="1" si="1367"/>
        <v>#N/A</v>
      </c>
      <c r="ET367" s="153" t="e">
        <f t="shared" ca="1" si="1368"/>
        <v>#N/A</v>
      </c>
      <c r="EU367" s="153" t="e">
        <f t="shared" ca="1" si="1316"/>
        <v>#N/A</v>
      </c>
      <c r="EV367" s="153" t="e">
        <f t="shared" ca="1" si="1186"/>
        <v>#N/A</v>
      </c>
      <c r="EW367" s="153" t="e">
        <f t="shared" ca="1" si="1187"/>
        <v>#N/A</v>
      </c>
      <c r="EX367" s="153" t="e">
        <f t="shared" ca="1" si="1188"/>
        <v>#N/A</v>
      </c>
      <c r="EY367" s="157" t="e">
        <f t="shared" ca="1" si="1189"/>
        <v>#DIV/0!</v>
      </c>
      <c r="EZ367" s="154" t="e">
        <f t="shared" ca="1" si="1190"/>
        <v>#DIV/0!</v>
      </c>
      <c r="FA367" s="153" t="e">
        <f t="shared" ca="1" si="1317"/>
        <v>#N/A</v>
      </c>
      <c r="FB367" s="153" t="e">
        <f t="shared" ca="1" si="1191"/>
        <v>#N/A</v>
      </c>
      <c r="FC367" s="193" t="e">
        <f t="shared" ca="1" si="1192"/>
        <v>#N/A</v>
      </c>
      <c r="FD367" s="158" t="e">
        <f t="shared" ca="1" si="1318"/>
        <v>#N/A</v>
      </c>
      <c r="FE367" s="158" t="e">
        <f t="shared" ca="1" si="1319"/>
        <v>#N/A</v>
      </c>
      <c r="FF367" s="159" t="e">
        <f t="shared" ca="1" si="1193"/>
        <v>#N/A</v>
      </c>
      <c r="FG367" s="160" t="e">
        <f t="shared" ca="1" si="1320"/>
        <v>#N/A</v>
      </c>
      <c r="FH367" s="158" t="e">
        <f t="shared" ca="1" si="1321"/>
        <v>#N/A</v>
      </c>
      <c r="FI367" s="159" t="e">
        <f t="shared" ca="1" si="1194"/>
        <v>#N/A</v>
      </c>
      <c r="FJ367" s="160" t="e">
        <f t="shared" ca="1" si="1322"/>
        <v>#N/A</v>
      </c>
      <c r="FK367" s="160" t="e">
        <f t="shared" ca="1" si="1195"/>
        <v>#N/A</v>
      </c>
      <c r="FL367" s="160" t="e">
        <f ca="1">$FL366+$FD366</f>
        <v>#N/A</v>
      </c>
      <c r="FM367" s="160" t="e">
        <f t="shared" ca="1" si="1196"/>
        <v>#N/A</v>
      </c>
      <c r="FN367" s="158">
        <f t="shared" ca="1" si="1323"/>
        <v>0.01</v>
      </c>
      <c r="FO367" s="160">
        <f>Control!$C$101</f>
        <v>50</v>
      </c>
      <c r="FP367" s="150" t="e">
        <f t="shared" ca="1" si="1197"/>
        <v>#N/A</v>
      </c>
      <c r="FQ367" s="150" t="e">
        <f ca="1">MAX(0,(Control!$C$112*(($DK367-Control!$C$97)/Control!$C$97)))</f>
        <v>#N/A</v>
      </c>
      <c r="FR367" s="150" t="e">
        <f ca="1">(1-$NT367)*Control!$C$113</f>
        <v>#DIV/0!</v>
      </c>
      <c r="FS367" s="198" t="e">
        <f t="shared" ca="1" si="1198"/>
        <v>#N/A</v>
      </c>
      <c r="FT367" s="161">
        <f t="shared" ca="1" si="1324"/>
        <v>363</v>
      </c>
      <c r="FU367" s="162" t="e">
        <f ca="1">IF(Control!$B$34=1,VLOOKUP($CP367,Control!$B$86:$G$91,6),Control!$B$35)</f>
        <v>#N/A</v>
      </c>
      <c r="FV367" s="162" t="e">
        <f t="shared" ca="1" si="1199"/>
        <v>#DIV/0!</v>
      </c>
      <c r="FW367" s="162" t="e">
        <f ca="1">IF(Control!$B$31=1,$FU367*$FV367,  $FU367)</f>
        <v>#N/A</v>
      </c>
      <c r="FX367" s="162" t="e">
        <f ca="1">IF(Control!$B$34=1,VLOOKUP($CP367,Control!$B$86:$G$91,3),Control!$B$36)</f>
        <v>#N/A</v>
      </c>
      <c r="FY367" s="162" t="e">
        <f t="shared" ca="1" si="1200"/>
        <v>#N/A</v>
      </c>
      <c r="FZ367" s="162" t="e">
        <f ca="1">IF(Control!$B$34=1,VLOOKUP($CP367,Control!$B$86:$G$91,4),Control!$B$37)</f>
        <v>#N/A</v>
      </c>
      <c r="GA367" s="162" t="e">
        <f t="shared" ca="1" si="1201"/>
        <v>#N/A</v>
      </c>
      <c r="GB367" s="162" t="e">
        <f ca="1">IF(Control!$B$34=1,VLOOKUP($CP367,Control!$B$86:$G$91,5),Control!$B$38)</f>
        <v>#N/A</v>
      </c>
      <c r="GC367" s="162" t="e">
        <f t="shared" ca="1" si="1325"/>
        <v>#N/A</v>
      </c>
      <c r="GD367" s="162">
        <f t="shared" ca="1" si="1202"/>
        <v>1</v>
      </c>
      <c r="GE367" s="162">
        <f t="shared" ca="1" si="1203"/>
        <v>1</v>
      </c>
      <c r="GF367" s="162">
        <f ca="1">IF(AND(Control!$C$104=1, Control!$C$62="F"),$GE367,1)</f>
        <v>1</v>
      </c>
      <c r="GG367" s="162" t="e">
        <f ca="1">IF(Control!$B$16=40,0,IF(AND(Control!$B$16&gt;40,Control!$B$16&lt;=360),(Control!$B$16-40)*((1-0)/(360-40)),IF(AND(Control!$B$16&gt;360,Control!$B$16&lt;=720),(1+(Control!$B$16-360)*((1.25-1)/(720-360))),IF(AND(Control!$B$16&gt;720,Control!$B$16&lt;=1000),(1.25+(Control!$B$16-720)*((1.35-1.25)/(1000-720))),IF(AND(Control!$B$16&gt;1000,Control!$B$16&lt;=2000),(1.35+(Control!$B$16-1000)*0))))))</f>
        <v>#N/A</v>
      </c>
      <c r="GH367" s="162" t="e">
        <f t="shared" ca="1" si="1204"/>
        <v>#N/A</v>
      </c>
      <c r="GI367" s="162">
        <f t="shared" ca="1" si="1326"/>
        <v>0</v>
      </c>
      <c r="GJ367" s="162">
        <f t="shared" ca="1" si="1205"/>
        <v>0</v>
      </c>
      <c r="GK367" s="162">
        <f t="shared" ca="1" si="1327"/>
        <v>1</v>
      </c>
      <c r="GL367" s="162">
        <f t="shared" ca="1" si="1206"/>
        <v>1</v>
      </c>
      <c r="GM367" s="162" t="e">
        <f ca="1">MAX(0,MIN(1,1-Control!$C$156*(1.0001-$KH367)^2))</f>
        <v>#N/A</v>
      </c>
      <c r="GN367" s="162" t="e">
        <f ca="1">IF(Control!$B$26=1,$KU367,$KX367)</f>
        <v>#N/A</v>
      </c>
      <c r="GO367" s="162" t="e">
        <f ca="1">IF($CP367&lt;=60,Control!$C$105,IF($CP367&gt;=90,Control!$C$106,Control!$C$105+($CP367-60)*((Control!$C$106-Control!$C$105)/(90-60))))</f>
        <v>#N/A</v>
      </c>
      <c r="GP367" s="162" t="e">
        <f t="shared" ca="1" si="1207"/>
        <v>#N/A</v>
      </c>
      <c r="GQ367" s="162" t="e">
        <f t="shared" ca="1" si="1328"/>
        <v>#N/A</v>
      </c>
      <c r="GR367" s="163" t="e">
        <f t="shared" ca="1" si="1208"/>
        <v>#DIV/0!</v>
      </c>
      <c r="GS367" s="162" t="e">
        <f t="shared" ca="1" si="1209"/>
        <v>#DIV/0!</v>
      </c>
      <c r="GT367" s="164" t="e">
        <f t="shared" ca="1" si="1329"/>
        <v>#N/A</v>
      </c>
      <c r="GU367" s="162" t="e">
        <f t="shared" ca="1" si="1330"/>
        <v>#N/A</v>
      </c>
      <c r="GV367" s="162" t="e">
        <f t="shared" ca="1" si="1210"/>
        <v>#N/A</v>
      </c>
      <c r="GW367" s="162" t="e">
        <f t="shared" ca="1" si="1211"/>
        <v>#DIV/0!</v>
      </c>
      <c r="GX367" s="162" t="e">
        <f t="shared" ca="1" si="1331"/>
        <v>#DIV/0!</v>
      </c>
      <c r="GY367" s="162" t="e">
        <f t="shared" ca="1" si="1332"/>
        <v>#DIV/0!</v>
      </c>
      <c r="GZ367" s="165" t="e">
        <f t="shared" ca="1" si="1212"/>
        <v>#N/A</v>
      </c>
      <c r="HA367" s="162" t="e">
        <f ca="1">IF(Control!$C$114=1, $DI367*$FS367, 0)</f>
        <v>#N/A</v>
      </c>
      <c r="HB367" s="162" t="e">
        <f ca="1">$FA367/Control!$C$64</f>
        <v>#N/A</v>
      </c>
      <c r="HC367" s="162" t="e">
        <f t="shared" ca="1" si="1213"/>
        <v>#DIV/0!</v>
      </c>
      <c r="HD367" s="162">
        <f ca="1">-ASIN(SIN(23.45*Control!$C$139)*COS(2*Control!$C$138*($AH367+10)/365))</f>
        <v>-0.40517661663772075</v>
      </c>
      <c r="HE367" s="165">
        <f t="shared" ca="1" si="1333"/>
        <v>0</v>
      </c>
      <c r="HF367" s="166">
        <f ca="1">IF(AND(Control!$C$61="T",$HE367&gt;=Control!$C$103,Control!$C$114=0),$AH367,Control!$C$59)</f>
        <v>1</v>
      </c>
      <c r="HG367" s="166">
        <f ca="1">IF(AND(Control!$C$61="T",$HE367&gt;=Control!$C$103,Control!$C$114=0),$HF367,Control!$C$59)</f>
        <v>1</v>
      </c>
      <c r="HH367" s="165">
        <f ca="1">IF(AND(OR(Control!$C$60&lt;=0, $AH367= Control!$C$59, Control!$C$60 &gt;0, $AH367 = Control!$C$60)), Control!$C$59, IF(Control!$C$60&gt;0, 0))</f>
        <v>1</v>
      </c>
      <c r="HI367" s="165">
        <f ca="1">IF(AND(OR(Control!$C$60&lt;=0, $AH367= Control!$C$59, Control!$C$60 &gt;0, $AH367 = Control!$C$60)), Control!$C$60, IF(Control!$C$60&lt;=0, 0))</f>
        <v>0</v>
      </c>
      <c r="HJ367" s="166">
        <f ca="1">IF(AND(Control!$C$62="F",$CV367&gt;=Control!$C$102),$AH367,0)</f>
        <v>0</v>
      </c>
      <c r="HK367" s="165" t="e">
        <f t="shared" ca="1" si="1370"/>
        <v>#N/A</v>
      </c>
      <c r="HL367" s="166">
        <f ca="1">IF(AND(Control!$C$61="T",$HE367&gt;=Control!$C$103,Control!$C$114=0),$HF367,0)</f>
        <v>0</v>
      </c>
      <c r="HM367" s="201" t="e">
        <f t="shared" ca="1" si="1214"/>
        <v>#DIV/0!</v>
      </c>
      <c r="HN367" s="215">
        <f t="shared" ca="1" si="1334"/>
        <v>363</v>
      </c>
      <c r="HO367" s="216" t="e">
        <f ca="1">IF(AND($CP367&gt;=0, $CP367&lt;=90), Control!$C$152, Control!$C$152)</f>
        <v>#N/A</v>
      </c>
      <c r="HP367" s="216" t="e">
        <f t="shared" ca="1" si="1215"/>
        <v>#N/A</v>
      </c>
      <c r="HQ367" s="217" t="e">
        <f ca="1">IF(OR(Control!$B$26=1,Control!$B$26=2),$KV367,$KS367)</f>
        <v>#DIV/0!</v>
      </c>
      <c r="HR367" s="218" t="e">
        <f t="shared" ca="1" si="1371"/>
        <v>#DIV/0!</v>
      </c>
      <c r="HS367" s="216" t="e">
        <f ca="1">Control!$C$154*$HP367</f>
        <v>#N/A</v>
      </c>
      <c r="HT367" s="216" t="e">
        <f ca="1">Control!$C$155*$HP367</f>
        <v>#N/A</v>
      </c>
      <c r="HU367" s="217" t="e">
        <f ca="1">Control!$C$161*$FI367</f>
        <v>#N/A</v>
      </c>
      <c r="HV367" s="218" t="e">
        <f t="shared" ca="1" si="1335"/>
        <v>#N/A</v>
      </c>
      <c r="HW367" s="218" t="e">
        <f ca="1">Control!$C$160*$FF367+$IP367*$EO367</f>
        <v>#N/A</v>
      </c>
      <c r="HX367" s="218" t="e">
        <f t="shared" ca="1" si="1372"/>
        <v>#N/A</v>
      </c>
      <c r="HY367" s="219" t="e">
        <f ca="1">IF(Control!$C$114=1, $EB367*$FS367, 0)</f>
        <v>#N/A</v>
      </c>
      <c r="HZ367" s="91" t="e">
        <f t="shared" ca="1" si="1216"/>
        <v>#N/A</v>
      </c>
      <c r="IA367" s="220" t="e">
        <f ca="1">Control!$C$153*$HO367</f>
        <v>#N/A</v>
      </c>
      <c r="IB367" s="218" t="e">
        <f t="shared" ca="1" si="1217"/>
        <v>#N/A</v>
      </c>
      <c r="IC367" s="220" t="e">
        <f ca="1">Control!$C$153*$HT367</f>
        <v>#N/A</v>
      </c>
      <c r="ID367" s="218" t="e">
        <f t="shared" ca="1" si="1218"/>
        <v>#N/A</v>
      </c>
      <c r="IE367" s="221" t="e">
        <f ca="1">($EB367*Control!$C$159+$EF367*Control!$C$160)/(IF($GZ367&lt;&gt;0,$GZ367,1))</f>
        <v>#N/A</v>
      </c>
      <c r="IF367" s="216" t="e">
        <f t="shared" ca="1" si="1219"/>
        <v>#N/A</v>
      </c>
      <c r="IG367" s="91">
        <f ca="1">IF(OR(Control!$B$198=$AH367,Control!$B$199=$AH367, Control!$B$200=$AH367, Control!$B$201=$AH367, Control!$B$202=$AH367, Control!$B$203=$AH367, Control!$B$204=$AH367, Control!$B$205=$AH367, Control!$B$206=$AH367, Control!$B$207=$AH367), 1, 0)</f>
        <v>0</v>
      </c>
      <c r="IH367" s="91">
        <f ca="1">IF($IG367=0,0, VLOOKUP($AH367,Control!$B$198:$C$207,2))</f>
        <v>0</v>
      </c>
      <c r="II367" s="222">
        <f t="shared" ca="1" si="1336"/>
        <v>0</v>
      </c>
      <c r="IJ367" s="91">
        <f>Control!$C$121</f>
        <v>0.7</v>
      </c>
      <c r="IK367" s="218">
        <f t="shared" ca="1" si="1220"/>
        <v>0</v>
      </c>
      <c r="IL367" s="217" t="e">
        <f t="shared" ca="1" si="1373"/>
        <v>#N/A</v>
      </c>
      <c r="IM367" s="223" t="e">
        <f ca="1">IF(AND(Control!$C$114=1,$KH367&lt;1),$EB367*Control!$C$148*(1-$KH367), 0)</f>
        <v>#N/A</v>
      </c>
      <c r="IN367" s="217" t="e">
        <f t="shared" ca="1" si="1221"/>
        <v>#DIV/0!</v>
      </c>
      <c r="IO367" s="91" t="e">
        <f ca="1">MAX(0,$IL367-$EF367*Control!$C$160)</f>
        <v>#N/A</v>
      </c>
      <c r="IP367" s="220" t="e">
        <f t="shared" ca="1" si="1222"/>
        <v>#N/A</v>
      </c>
      <c r="IQ367" s="217" t="e">
        <f t="shared" ca="1" si="1337"/>
        <v>#N/A</v>
      </c>
      <c r="IR367" s="218" t="e">
        <f t="shared" ca="1" si="1223"/>
        <v>#N/A</v>
      </c>
      <c r="IS367" s="217" t="e">
        <f ca="1">Control!$C$159*MAX(0,$FD367-$EN367)</f>
        <v>#N/A</v>
      </c>
      <c r="IT367" s="217" t="e">
        <f t="shared" ca="1" si="1374"/>
        <v>#N/A</v>
      </c>
      <c r="IU367" s="217" t="e">
        <f t="shared" ca="1" si="1338"/>
        <v>#N/A</v>
      </c>
      <c r="IV367" s="217" t="e">
        <f t="shared" ca="1" si="1375"/>
        <v>#N/A</v>
      </c>
      <c r="IW367" s="217" t="e">
        <f ca="1">IF(OR($AW367=1,AND($AW367=0, Control!$B$18=1,$EN367&lt;&gt;0)), $IQ367-$IU367, $IQ367)</f>
        <v>#N/A</v>
      </c>
      <c r="IX367" s="218" t="e">
        <f t="shared" ca="1" si="1224"/>
        <v>#N/A</v>
      </c>
      <c r="IY367" s="218" t="e">
        <f ca="1">MAX(0,$IQ367-$EB367*Control!$C$159)</f>
        <v>#N/A</v>
      </c>
      <c r="IZ367" s="218" t="e">
        <f t="shared" ca="1" si="1225"/>
        <v>#N/A</v>
      </c>
      <c r="JA367" s="216" t="e">
        <f t="shared" ca="1" si="1226"/>
        <v>#N/A</v>
      </c>
      <c r="JB367" s="217" t="e">
        <f t="shared" ca="1" si="1227"/>
        <v>#N/A</v>
      </c>
      <c r="JC367" s="222" t="e">
        <f ca="1">MAX(Control!$C$157*$EK367-$JT367, 0)/Control!$C$162</f>
        <v>#N/A</v>
      </c>
      <c r="JD367" s="218" t="e">
        <f t="shared" ca="1" si="1228"/>
        <v>#N/A</v>
      </c>
      <c r="JE367" s="218" t="e">
        <f t="shared" ca="1" si="1229"/>
        <v>#N/A</v>
      </c>
      <c r="JF367" s="218" t="e">
        <f t="shared" ca="1" si="1339"/>
        <v>#N/A</v>
      </c>
      <c r="JG367" s="218" t="e">
        <f t="shared" ca="1" si="1230"/>
        <v>#N/A</v>
      </c>
      <c r="JH367" s="217" t="e">
        <f t="shared" ca="1" si="1340"/>
        <v>#N/A</v>
      </c>
      <c r="JI367" s="217" t="e">
        <f t="shared" ca="1" si="1341"/>
        <v>#N/A</v>
      </c>
      <c r="JJ367" s="217" t="e">
        <f t="shared" ca="1" si="1376"/>
        <v>#N/A</v>
      </c>
      <c r="JK367" s="217" t="e">
        <f ca="1">IF(Control!$C$114=1,IF(Control!$B$24=0,MAX(0,$JI367)*$GN367/Control!$C$64,(MAX(0,MIN($JI367,$JJ367*$GN367/Control!$C$64),0))))</f>
        <v>#N/A</v>
      </c>
      <c r="JL367" s="217" t="e">
        <f ca="1">$IK367/Control!$C$64-$JK367+$HQ367</f>
        <v>#N/A</v>
      </c>
      <c r="JM367" s="217" t="e">
        <f ca="1">IF(Control!$C$114=1,($JB367/(IF($JI367&lt;&gt;0,$JI367,1)))*$JK367,0)</f>
        <v>#N/A</v>
      </c>
      <c r="JN367" s="217" t="e">
        <f ca="1">IF(Control!$C$114=1,($JG367/(IF($JI367&lt;&gt;0,$JI367,1)))*$JK367, 0)</f>
        <v>#N/A</v>
      </c>
      <c r="JO367" s="218" t="e">
        <f t="shared" ca="1" si="1231"/>
        <v>#N/A</v>
      </c>
      <c r="JP367" s="218" t="e">
        <f ca="1">MIN(($IY367+$IO367)*Control!$C$151, $JF367-$EH367*Control!$C$161)</f>
        <v>#N/A</v>
      </c>
      <c r="JQ367" s="218" t="e">
        <f t="shared" ca="1" si="1232"/>
        <v>#N/A</v>
      </c>
      <c r="JR367" s="217" t="e">
        <f ca="1">IF($CP367-Control!$C$150&lt;0, 0, $JQ367/Control!$C$162)</f>
        <v>#N/A</v>
      </c>
      <c r="JS367" s="218" t="e">
        <f t="shared" ca="1" si="1233"/>
        <v>#N/A</v>
      </c>
      <c r="JT367" s="218" t="e">
        <f t="shared" ca="1" si="1342"/>
        <v>#N/A</v>
      </c>
      <c r="JU367" s="218" t="e">
        <f t="shared" ca="1" si="1234"/>
        <v>#N/A</v>
      </c>
      <c r="JV367" s="218" t="e">
        <f t="shared" ca="1" si="1235"/>
        <v>#N/A</v>
      </c>
      <c r="JW367" s="216" t="e">
        <f t="shared" ca="1" si="1236"/>
        <v>#N/A</v>
      </c>
      <c r="JX367" s="91" t="e">
        <f t="shared" ca="1" si="1237"/>
        <v>#N/A</v>
      </c>
      <c r="JY367" s="218" t="e">
        <f t="shared" ca="1" si="1238"/>
        <v>#N/A</v>
      </c>
      <c r="JZ367" s="217" t="e">
        <f ca="1">IF(Control!$C$114=1,($IZ367/(IF($JI367&lt;&gt;0,$JI367,1)))*$JK367, 0)</f>
        <v>#N/A</v>
      </c>
      <c r="KA367" s="218" t="e">
        <f t="shared" ca="1" si="1377"/>
        <v>#N/A</v>
      </c>
      <c r="KB367" s="218" t="e">
        <f t="shared" ca="1" si="1343"/>
        <v>#N/A</v>
      </c>
      <c r="KC367" s="218" t="e">
        <f t="shared" ca="1" si="1239"/>
        <v>#N/A</v>
      </c>
      <c r="KD367" s="218" t="e">
        <f t="shared" ca="1" si="1240"/>
        <v>#N/A</v>
      </c>
      <c r="KE367" s="218" t="e">
        <f t="shared" ca="1" si="1241"/>
        <v>#N/A</v>
      </c>
      <c r="KF367" s="218" t="e">
        <f t="shared" ca="1" si="1242"/>
        <v>#N/A</v>
      </c>
      <c r="KG367" s="216" t="e">
        <f t="shared" ca="1" si="1243"/>
        <v>#N/A</v>
      </c>
      <c r="KH367" s="221" t="e">
        <f ca="1">IF(Control!$B$24=0,1,MAX(0.001,MIN(1,IF(($IF367-$IE367)&lt;&gt;0,($KG367-$IE367)/($IF367-$IE367),1))))</f>
        <v>#N/A</v>
      </c>
      <c r="KI367" s="222" t="e">
        <f ca="1">IF(Control!$C$114=1, $KI366+ $KH366, 0)</f>
        <v>#N/A</v>
      </c>
      <c r="KJ367" s="217" t="e">
        <f t="shared" ca="1" si="1244"/>
        <v>#N/A</v>
      </c>
      <c r="KK367" s="218" t="e">
        <f t="shared" ca="1" si="1245"/>
        <v>#N/A</v>
      </c>
      <c r="KL367" s="274" t="e">
        <f ca="1">IF(Control!$B$26=3,4000000000*EXP(-8400/($G367+273)),IF(Control!$B$26=4,4000000000*EXP(-8400/($G367+273))*($KT367),0))</f>
        <v>#DIV/0!</v>
      </c>
      <c r="KM367" s="274" t="e">
        <f ca="1">IF(Control!$B$26=3,5600000000000*EXP(-9800/($G367+273)),IF(Control!$B$26=4,5600000000000*EXP(-9800/($G367+273))*$KT367,0))</f>
        <v>#DIV/0!</v>
      </c>
      <c r="KN367" s="454" t="e">
        <f t="shared" ca="1" si="1344"/>
        <v>#DIV/0!</v>
      </c>
      <c r="KO367" s="274" t="e">
        <f t="shared" ca="1" si="1345"/>
        <v>#DIV/0!</v>
      </c>
      <c r="KP367" s="454" t="e">
        <f t="shared" ca="1" si="1246"/>
        <v>#DIV/0!</v>
      </c>
      <c r="KQ367" s="454" t="e">
        <f t="shared" ca="1" si="1247"/>
        <v>#DIV/0!</v>
      </c>
      <c r="KR367" s="454" t="e">
        <f t="shared" ca="1" si="1248"/>
        <v>#DIV/0!</v>
      </c>
      <c r="KS367" s="454" t="e">
        <f t="shared" ca="1" si="1249"/>
        <v>#DIV/0!</v>
      </c>
      <c r="KT367" s="455" t="e">
        <f t="shared" ca="1" si="1250"/>
        <v>#DIV/0!</v>
      </c>
      <c r="KU367" s="456" t="e">
        <f ca="1">IF($CP367-Control!$C$149&lt;0, IF($NT367-0.01&lt;0,0,1),0)</f>
        <v>#N/A</v>
      </c>
      <c r="KV367" s="456" t="e">
        <f ca="1">IF(Control!$C$114=1,MAX(0,MIN(Control!$C$125*$KW367*$GN367,$KW367)))</f>
        <v>#DIV/0!</v>
      </c>
      <c r="KW367" s="456" t="e">
        <f t="shared" ca="1" si="1378"/>
        <v>#DIV/0!</v>
      </c>
      <c r="KX367" s="457" t="e">
        <f ca="1">IF($CP367-Control!$C$149&lt;0, IF($MR367-$OM367&lt;0,0,1),0)</f>
        <v>#N/A</v>
      </c>
      <c r="KY367" s="167">
        <f t="shared" ca="1" si="1346"/>
        <v>363</v>
      </c>
      <c r="KZ367" s="168">
        <f ca="1">1370*(1+0.033*COS(2*Control!$C$138*$AH367/365))</f>
        <v>1415.1832313223133</v>
      </c>
      <c r="LA367" s="169">
        <f t="shared" ca="1" si="1347"/>
        <v>1.0329804442244102</v>
      </c>
      <c r="LB367" s="169">
        <f t="shared" ca="1" si="1348"/>
        <v>-0.40462669670956708</v>
      </c>
      <c r="LC367" s="169">
        <f ca="1">ACOS(-TAN((2*Control!$B$8/360))*TAN(Calculations!$LB367))</f>
        <v>1.4431706158023858</v>
      </c>
      <c r="LD367" s="169">
        <f ca="1">((24*60)/PI())*0.082*$LA367*(($LC367*SIN(Control!$B$8*2*PI()/360))*SIN($LB367)+COS(Control!$B$8*2*PI()/360)*COS($LB367)*SIN($LC367))</f>
        <v>4.4122326637889042</v>
      </c>
      <c r="LE367" s="170">
        <f t="shared" ca="1" si="1251"/>
        <v>6.0874442396542383</v>
      </c>
      <c r="LF367" s="170">
        <f ca="1">SIN(Control!$C$139*Control!$B$8)*SIN($HD367)</f>
        <v>-0.31061944731469843</v>
      </c>
      <c r="LG367" s="170">
        <f ca="1">COS(Control!$C$139*Control!$B$8)*COS($HD367)</f>
        <v>0.56581154795705513</v>
      </c>
      <c r="LH367" s="170">
        <f ca="1">12*(1+2*ASIN(MAX(-1,MIN(1,$LF367/$LG367))/Control!$C$138))</f>
        <v>7.7844656779635191</v>
      </c>
      <c r="LI367" s="170">
        <f ca="1">12*(1+2*ASIN(MAX(-1,MIN(1,(-SIN(-4*Control!$C$139)+$LF367)/$LG367))/Control!$C$138))</f>
        <v>8.7379069712500446</v>
      </c>
      <c r="LJ367" s="168">
        <f ca="1">3600*($LH367*$LF367+24*$LG367*SQRT(1-$LK367*$LK367)/Control!$C$138)</f>
        <v>4301.5237213956216</v>
      </c>
      <c r="LK367" s="170">
        <f t="shared" ca="1" si="1252"/>
        <v>-0.54898039539177856</v>
      </c>
      <c r="LL367" s="170">
        <f t="shared" ca="1" si="1253"/>
        <v>0</v>
      </c>
      <c r="LM367" s="171">
        <f ca="1">Control!$C$145*$AB367</f>
        <v>6.6660906138995932E-2</v>
      </c>
      <c r="LN367" s="170">
        <f t="shared" ca="1" si="1349"/>
        <v>0.54</v>
      </c>
      <c r="LO367" s="170">
        <f t="shared" ca="1" si="1254"/>
        <v>0</v>
      </c>
      <c r="LP367" s="170">
        <f ca="1">Control!$C$140*((($D367+273.16)^4+($E367+273.16)^4)/2)*(0.34-0.14*SQRT($Y367))*(1.35*$AQ367/(0.75*$LD367)-0.35)</f>
        <v>-3.2464704755046001</v>
      </c>
      <c r="LQ367" s="170">
        <f ca="1">Control!$C$140*($G367+273)^4*(0.56-0.079*SQRT($Y367*10))*(0.1+0.9*$LO367)</f>
        <v>1.5241745131704001</v>
      </c>
      <c r="LR367" s="170">
        <f ca="1">$AQ367*(1-Control!$C$142)-$LQ367</f>
        <v>-1.5241745131704001</v>
      </c>
      <c r="LS367" s="170">
        <f ca="1">$AQ367*(1-Control!$C$143)-$LQ367</f>
        <v>-1.5241745131704001</v>
      </c>
      <c r="LT367" s="170">
        <f ca="1">$AQ367*(1-Control!$C$144)-$LQ367</f>
        <v>-1.5241745131704001</v>
      </c>
      <c r="LU367" s="169">
        <f ca="1">(1-Control!$C$144)*AQ367-LP367</f>
        <v>3.2464704755046001</v>
      </c>
      <c r="LV367" s="172">
        <f t="shared" ca="1" si="1255"/>
        <v>0.79430000000000012</v>
      </c>
      <c r="LW367" s="170">
        <f t="shared" ca="1" si="1256"/>
        <v>1.5886000000000002</v>
      </c>
      <c r="LX367" s="170">
        <f ca="1">($AC367*($LR367/Control!$C$141)+$LM367*$LV367)/($AC367+$LM367)</f>
        <v>0.23530094218323697</v>
      </c>
      <c r="LY367" s="170">
        <f ca="1">($AC367*($LS367/Control!$C$141)+$LM367*$LV367)/($AC367+$LM367)</f>
        <v>0.23530094218323697</v>
      </c>
      <c r="LZ367" s="170">
        <f t="shared" ca="1" si="1257"/>
        <v>0.23530094218323697</v>
      </c>
      <c r="MA367" s="170">
        <f t="shared" ca="1" si="1258"/>
        <v>0.23530094218323697</v>
      </c>
      <c r="MB367" s="170" t="e">
        <f t="shared" ca="1" si="1259"/>
        <v>#N/A</v>
      </c>
      <c r="MC367" s="170">
        <f t="shared" ca="1" si="1350"/>
        <v>0.6018</v>
      </c>
      <c r="MD367" s="170">
        <f t="shared" ca="1" si="1260"/>
        <v>0.52989392535414004</v>
      </c>
      <c r="ME367" s="170">
        <f ca="1">($AC367*($LT367/Control!$C$141)+$LM367*$LW367)/($AC367+$LM367)</f>
        <v>0.71612369323045078</v>
      </c>
      <c r="MF367" s="170" t="e">
        <f ca="1">IF(Control!$B$16&gt;=1000,0.92,IF(AND(720&lt;=Control!$B$16,1000&gt;Control!$B$16),(0.95+(Control!$B$16-720)*((0.92-0.95)/(1000-720))),IF(AND(360&lt;=Control!$B$16,720&gt;Control!$B$16),(1+(Control!$B$16-360)*((0.95-1)/(720-360))),IF(AND(40&lt;=Control!$B$16,360&gt;Control!$B$16),(1.05+(Control!$B$16-40)*((1.05-1)/(360-40)))))))</f>
        <v>#N/A</v>
      </c>
      <c r="MG367" s="170">
        <f t="shared" ca="1" si="1261"/>
        <v>0.71612369323045078</v>
      </c>
      <c r="MH367" s="170" t="e">
        <f t="shared" ca="1" si="1387"/>
        <v>#N/A</v>
      </c>
      <c r="MI367" s="170" t="e">
        <f t="shared" ca="1" si="1387"/>
        <v>#N/A</v>
      </c>
      <c r="MJ367" s="170" t="e">
        <f ca="1">MAX(0.0001, Control!$C$132*$MI367*$DL367)</f>
        <v>#N/A</v>
      </c>
      <c r="MK367" s="170">
        <f ca="1">1/(0.76+1.5*($MG367/10))-(5-Control!$C$110)*0.1</f>
        <v>1.002845988140797</v>
      </c>
      <c r="ML367" s="173">
        <f ca="1">IF(Control!$C$110&lt;3,$MK367+($MG367-0.6)/(Control!$C$110*(Control!$C$110+3)), MAX(0.1, MIN(0.95,$MK367)))</f>
        <v>0.95</v>
      </c>
      <c r="MM367" s="173">
        <f ca="1">IF(Control!$C$110&lt;3,$MK367+(($MI367/10)-0.6)/(Control!$C$110*(Control!$C$110+3)), MAX(0.1, MIN(0.95,$MK367)))</f>
        <v>0.95</v>
      </c>
      <c r="MN367" s="173">
        <f ca="1">(1-$MM367)*(Control!$C$128-Control!$C$127)+Control!$C$127</f>
        <v>0.16</v>
      </c>
      <c r="MO367" s="170" t="e">
        <f ca="1">MAX(0,MIN(1,($MS367-Control!$C$127)/($MN367-Control!$C$127)))</f>
        <v>#DIV/0!</v>
      </c>
      <c r="MP367" s="173" t="e">
        <f ca="1">1/(0.76+1.5*$MI367)-(5-Control!$C$110)*0.1</f>
        <v>#N/A</v>
      </c>
      <c r="MQ367" s="172" t="e">
        <f t="shared" ca="1" si="1379"/>
        <v>#DIV/0!</v>
      </c>
      <c r="MR367" s="168" t="e">
        <f t="shared" ca="1" si="1351"/>
        <v>#DIV/0!</v>
      </c>
      <c r="MS367" s="173" t="e">
        <f ca="1">MAX(Control!$C$127, MIN(Control!$C$135, $MR367/MAX(0.0001,$CY367)))</f>
        <v>#DIV/0!</v>
      </c>
      <c r="MT367" s="168" t="e">
        <f ca="1">(Control!$C$128-$MS367)*Control!$C$74</f>
        <v>#DIV/0!</v>
      </c>
      <c r="MU367" s="168" t="e">
        <f ca="1">(Control!$C$135-$MS367)*Control!$C$74</f>
        <v>#DIV/0!</v>
      </c>
      <c r="MV367" s="168" t="e">
        <f t="shared" ca="1" si="1352"/>
        <v>#DIV/0!</v>
      </c>
      <c r="MW367" s="168" t="e">
        <f t="shared" ca="1" si="1353"/>
        <v>#DIV/0!</v>
      </c>
      <c r="MX367" s="171" t="e">
        <f ca="1">MAX(Control!$C$127, MIN(Control!$C$135, $MW367/MAX(0.0001,Control!$C$119-$CY367)))</f>
        <v>#DIV/0!</v>
      </c>
      <c r="MY367" s="54" t="e">
        <f ca="1">IF(Control!$C$114=1, $CX367*$MX367, 0)</f>
        <v>#DIV/0!</v>
      </c>
      <c r="MZ367" s="54" t="e">
        <f t="shared" ca="1" si="1354"/>
        <v>#N/A</v>
      </c>
      <c r="NA367" s="168" t="e">
        <f ca="1">(Control!$C$128-$MX367)*(Control!$C$119-Control!$C$74)</f>
        <v>#DIV/0!</v>
      </c>
      <c r="NB367" s="168" t="e">
        <f ca="1">(Control!$C$135-$MX367)*(Control!$C$119-Control!$C$74)</f>
        <v>#DIV/0!</v>
      </c>
      <c r="NC367" s="174" t="e">
        <f t="shared" ca="1" si="1355"/>
        <v>#DIV/0!</v>
      </c>
      <c r="ND367" s="54">
        <f ca="1">IF(Control!$C$58=2, IF(OR(Control!$B$218=$AH367,Control!$B$219=$AH367, Control!$B$220=$AH367, Control!$B$221=$AH367, Control!$B$222=$AH367, Control!$B$223=$AH367, Control!$B$224=$AH367, Control!$B$225=$AH367, Control!$B$226=$AH367, Control!$B$227=$AH367, Control!$B$228=$AH367), 1, 0), 0)</f>
        <v>0</v>
      </c>
      <c r="NE367" s="54">
        <f ca="1">IF($ND367=0,0, VLOOKUP($AH367,Control!$B$218:$C$228,2))</f>
        <v>0</v>
      </c>
      <c r="NF367" s="168" t="e">
        <f ca="1">$CY367*(Control!$C$128-Control!$C$127)</f>
        <v>#N/A</v>
      </c>
      <c r="NG367" s="54" t="e">
        <f ca="1">IF(Control!$C$58=2, $NI366-$NJ366, 0)</f>
        <v>#DIV/0!</v>
      </c>
      <c r="NH367" s="54" t="e">
        <f ca="1">IF(AND(Control!$C$58=1, $MS366&lt;= ($MN366+0.02), $I366&lt;10), 0, IF(Control!$C$58=2, $NG366, 0))</f>
        <v>#DIV/0!</v>
      </c>
      <c r="NI367" s="54" t="e">
        <f ca="1">IF(Control!$C$58=2, $NE367+$NH367,0)</f>
        <v>#DIV/0!</v>
      </c>
      <c r="NJ367" s="54" t="e">
        <f ca="1">IF(AND(Control!$C$58=1, $MS367&lt;= ($MN367+0.02), $I367&lt;10), MAX(0, MIN(10, 0.7*($NF367-$MV367))), IF(Control!$C$58=2, MIN(10,$NI367),0))</f>
        <v>#DIV/0!</v>
      </c>
      <c r="NK367" s="54" t="e">
        <f t="shared" ca="1" si="1263"/>
        <v>#DIV/0!</v>
      </c>
      <c r="NL367" s="173" t="e">
        <f ca="1">(1-Control!$C$73)*$I367+$NJ367</f>
        <v>#DIV/0!</v>
      </c>
      <c r="NM367" s="172" t="e">
        <f ca="1">IF($NL367&lt;0.5, $MB367* MAX(0, MIN(1, (SQRT($NC367)-SQRT($NC367-1))*Control!$C$71)),0)</f>
        <v>#DIV/0!</v>
      </c>
      <c r="NN367" s="170" t="e">
        <f ca="1">IF($NL367&gt;=5, $MB367, MAX(0,MIN($MB367, $NM367+$NL367,($MS367-Control!$C$129))))</f>
        <v>#DIV/0!</v>
      </c>
      <c r="NO367" s="54">
        <f>IF(Control!$C$133&lt;&gt;1, Control!$C$135-Control!$C$131, 0)</f>
        <v>0.38</v>
      </c>
      <c r="NP367" s="54" t="e">
        <f t="shared" ca="1" si="1264"/>
        <v>#DIV/0!</v>
      </c>
      <c r="NQ367" s="173" t="e">
        <f ca="1">MAX(0,MIN(1,(Control!$C$135-$MS367)/(Control!$C$135-$NO367)))</f>
        <v>#DIV/0!</v>
      </c>
      <c r="NR367" s="170" t="e">
        <f ca="1">IF(Control!$C$133&lt;&gt;1, $NQ367+((1-$NP367/4)*(1-$NQ367)),1)</f>
        <v>#DIV/0!</v>
      </c>
      <c r="NS367" s="170" t="e">
        <f ca="1">IF(Control!$B$31=0,$MJ367,MAX(0,MIN($MV367,$MO367*$NR367*$MJ367)))</f>
        <v>#DIV/0!</v>
      </c>
      <c r="NT367" s="170" t="e">
        <f t="shared" ca="1" si="1380"/>
        <v>#DIV/0!</v>
      </c>
      <c r="NU367" s="170" t="e">
        <f t="shared" ca="1" si="1356"/>
        <v>#N/A</v>
      </c>
      <c r="NV367" s="170" t="e">
        <f t="shared" ca="1" si="1265"/>
        <v>#N/A</v>
      </c>
      <c r="NW367" s="175" t="e">
        <f t="shared" ca="1" si="1266"/>
        <v>#DIV/0!</v>
      </c>
      <c r="NX367" s="170" t="e">
        <f ca="1">MIN(Control!$C$72+$MU367, $NW367)</f>
        <v>#DIV/0!</v>
      </c>
      <c r="NY367" s="170" t="e">
        <f ca="1">IF($MT367&lt;=$NX367,MIN(Control!$C$72+$NB367,$NX367-$MT367),0)</f>
        <v>#DIV/0!</v>
      </c>
      <c r="NZ367" s="54" t="e">
        <f ca="1">IF(Control!$C$114=1,  $CX367*($MX367-Control!$C$127), 0)</f>
        <v>#DIV/0!</v>
      </c>
      <c r="OA367" s="170" t="e">
        <f t="shared" ca="1" si="1267"/>
        <v>#DIV/0!</v>
      </c>
      <c r="OB367" s="170" t="e">
        <f ca="1">IF($NA367 &lt;=$NY367, MIN(Control!$C$72, $NY367-$NA367), 0)</f>
        <v>#DIV/0!</v>
      </c>
      <c r="OC367" s="168" t="e">
        <f t="shared" ca="1" si="1268"/>
        <v>#DIV/0!</v>
      </c>
      <c r="OD367" s="168" t="e">
        <f t="shared" ca="1" si="1357"/>
        <v>#DIV/0!</v>
      </c>
      <c r="OE367" s="170">
        <f ca="1">Control!$C$73*$I367</f>
        <v>0</v>
      </c>
      <c r="OF367" s="176" t="e">
        <f t="shared" ca="1" si="1269"/>
        <v>#DIV/0!</v>
      </c>
      <c r="OG367" s="168" t="e">
        <f t="shared" ca="1" si="1270"/>
        <v>#DIV/0!</v>
      </c>
      <c r="OH367" s="168" t="e">
        <f t="shared" ca="1" si="1271"/>
        <v>#DIV/0!</v>
      </c>
      <c r="OI367" s="168" t="e">
        <f t="shared" ca="1" si="1272"/>
        <v>#DIV/0!</v>
      </c>
      <c r="OJ367" s="168" t="e">
        <f t="shared" ca="1" si="1273"/>
        <v>#DIV/0!</v>
      </c>
      <c r="OK367" s="204" t="e">
        <f t="shared" ca="1" si="1274"/>
        <v>#DIV/0!</v>
      </c>
      <c r="OL367" s="177">
        <f>Control!$C$127</f>
        <v>0.15</v>
      </c>
      <c r="OM367" s="182" t="e">
        <f t="shared" ca="1" si="1275"/>
        <v>#N/A</v>
      </c>
      <c r="ON367" s="177">
        <f>Control!$C$128</f>
        <v>0.35</v>
      </c>
      <c r="OO367" s="182" t="e">
        <f t="shared" ca="1" si="1276"/>
        <v>#N/A</v>
      </c>
      <c r="OP367" s="138">
        <f t="shared" ca="1" si="1358"/>
        <v>0</v>
      </c>
      <c r="OQ367" s="138" t="e">
        <f t="shared" ca="1" si="1381"/>
        <v>#DIV/0!</v>
      </c>
      <c r="OR367" s="138" t="e">
        <f t="shared" ca="1" si="1359"/>
        <v>#DIV/0!</v>
      </c>
      <c r="OS367" s="137" t="e">
        <f t="shared" ca="1" si="1382"/>
        <v>#DIV/0!</v>
      </c>
      <c r="OT367" s="139" t="e">
        <f t="shared" ca="1" si="1383"/>
        <v>#DIV/0!</v>
      </c>
      <c r="OU367" s="138" t="e">
        <f t="shared" ca="1" si="1384"/>
        <v>#N/A</v>
      </c>
      <c r="OV367" s="138" t="e">
        <f t="shared" ca="1" si="1385"/>
        <v>#DIV/0!</v>
      </c>
      <c r="OW367" s="138" t="e">
        <f t="shared" ca="1" si="1360"/>
        <v>#DIV/0!</v>
      </c>
      <c r="OX367" s="138" t="e">
        <f t="shared" ca="1" si="1361"/>
        <v>#DIV/0!</v>
      </c>
      <c r="OY367" s="138" t="e">
        <f t="shared" ca="1" si="1362"/>
        <v>#DIV/0!</v>
      </c>
      <c r="OZ367" s="138" t="e">
        <f t="shared" ca="1" si="1277"/>
        <v>#DIV/0!</v>
      </c>
      <c r="PA367" s="138" t="e">
        <f t="shared" ca="1" si="1278"/>
        <v>#DIV/0!</v>
      </c>
      <c r="PB367" s="55">
        <f>IF(Control!$C$61="T", IF(Control!$C$65="F", IF($AH$6-Control!$C$60&lt;0,0,1), IF(365+$AH$6-Control!$C$60&lt;0,0,1)),0)</f>
        <v>0</v>
      </c>
      <c r="PC367" s="55">
        <f ca="1">IF(Control!$C$65="F", IF($AH$6-$HF367&lt;0,0,1), IF(365+$AH$6-$HF367&lt;0,0,1))</f>
        <v>1</v>
      </c>
      <c r="PD367" s="444">
        <f>Control!$C$118</f>
        <v>1500</v>
      </c>
      <c r="PE367" s="180" t="e">
        <f t="shared" ca="1" si="1279"/>
        <v>#N/A</v>
      </c>
      <c r="PF367" s="445">
        <f t="shared" ca="1" si="1363"/>
        <v>0.71612369323045078</v>
      </c>
      <c r="PT367" s="186"/>
      <c r="PU367" s="186"/>
      <c r="PV367" s="94"/>
      <c r="PW367" s="94"/>
      <c r="PX367" s="94"/>
      <c r="PY367" s="94"/>
      <c r="PZ367" s="94"/>
      <c r="QA367" s="94"/>
      <c r="QB367" s="94"/>
      <c r="QC367" s="94"/>
      <c r="QD367" s="94"/>
      <c r="QE367" s="94"/>
      <c r="QF367" s="94"/>
      <c r="QG367" s="94"/>
      <c r="QH367" s="94"/>
      <c r="QI367" s="94"/>
      <c r="QJ367" s="94"/>
      <c r="QK367" s="94"/>
      <c r="QL367" s="94"/>
      <c r="QM367" s="94"/>
      <c r="QN367" s="94"/>
      <c r="QO367" s="94"/>
      <c r="QP367" s="94"/>
    </row>
    <row r="368" spans="1:458" s="2" customFormat="1" x14ac:dyDescent="0.2">
      <c r="A368" s="395">
        <v>29</v>
      </c>
      <c r="B368" s="396">
        <v>12</v>
      </c>
      <c r="C368" s="387">
        <f ca="1">Weather_data!$B367</f>
        <v>0</v>
      </c>
      <c r="D368" s="388">
        <f ca="1">Weather_data!$F367</f>
        <v>0</v>
      </c>
      <c r="E368" s="388">
        <f ca="1">Weather_data!$E367</f>
        <v>0</v>
      </c>
      <c r="F368" s="388">
        <f t="shared" ca="1" si="1280"/>
        <v>0</v>
      </c>
      <c r="G368" s="388">
        <f ca="1">AVERAGE($D368:$E368)+Control!$B$9</f>
        <v>0</v>
      </c>
      <c r="H368" s="388">
        <f ca="1">Weather_data!$G367</f>
        <v>0</v>
      </c>
      <c r="I368" s="388">
        <f ca="1">Weather_data!$I367</f>
        <v>0</v>
      </c>
      <c r="J368" s="388">
        <f ca="1">Weather_data!$H367</f>
        <v>0</v>
      </c>
      <c r="K368" s="389">
        <f ca="1">Weather_data!$D367</f>
        <v>0</v>
      </c>
      <c r="L368" s="388" t="e">
        <f t="shared" ca="1" si="1281"/>
        <v>#N/A</v>
      </c>
      <c r="M368" s="388" t="e">
        <f t="shared" ca="1" si="1158"/>
        <v>#N/A</v>
      </c>
      <c r="N368" s="388">
        <f t="shared" ca="1" si="1159"/>
        <v>-1.3638242909962691E-17</v>
      </c>
      <c r="O368" s="388">
        <f t="shared" ca="1" si="1282"/>
        <v>1.3638242909962692E-16</v>
      </c>
      <c r="P368" s="390">
        <v>3</v>
      </c>
      <c r="Q368" s="388">
        <f ca="1">MAX($G368-Control!$C$107,0)</f>
        <v>0</v>
      </c>
      <c r="R368" s="388">
        <f t="shared" ca="1" si="1283"/>
        <v>0</v>
      </c>
      <c r="S368" s="388">
        <f t="shared" ca="1" si="1160"/>
        <v>0</v>
      </c>
      <c r="T368" s="388">
        <f t="shared" ca="1" si="1161"/>
        <v>0</v>
      </c>
      <c r="U368" s="59">
        <f t="shared" ca="1" si="1162"/>
        <v>0</v>
      </c>
      <c r="V368" s="391">
        <f ca="1">MAX(0,MIN(Control!$C$100-Control!$C$99,$G368-Control!$C$99)*Control!$C$63)</f>
        <v>0</v>
      </c>
      <c r="W368" s="388">
        <f t="shared" ca="1" si="1284"/>
        <v>0</v>
      </c>
      <c r="X368" s="388">
        <f t="shared" ca="1" si="1285"/>
        <v>0.6110000000000001</v>
      </c>
      <c r="Y368" s="388">
        <f t="shared" ca="1" si="1163"/>
        <v>0</v>
      </c>
      <c r="Z368" s="388">
        <f t="shared" ca="1" si="1286"/>
        <v>0.61058800000000002</v>
      </c>
      <c r="AA368" s="388">
        <f t="shared" ca="1" si="1164"/>
        <v>0.6018</v>
      </c>
      <c r="AB368" s="388">
        <f ca="1">101.3*EXP(-0.034*Control!$C$66/($G368+273))</f>
        <v>100.69623283836242</v>
      </c>
      <c r="AC368" s="392">
        <f t="shared" ca="1" si="1165"/>
        <v>4.3460251046025113E-2</v>
      </c>
      <c r="AD368" s="392">
        <f t="shared" ca="1" si="1166"/>
        <v>4.4450382862832649E-2</v>
      </c>
      <c r="AE368" s="388">
        <f t="shared" ca="1" si="1167"/>
        <v>0</v>
      </c>
      <c r="AF368" s="388">
        <f ca="1">MAX(0,$G368-Control!$C$92)</f>
        <v>0</v>
      </c>
      <c r="AG368" s="393">
        <f t="shared" ca="1" si="1168"/>
        <v>364</v>
      </c>
      <c r="AH368" s="389">
        <f t="shared" ca="1" si="1169"/>
        <v>364</v>
      </c>
      <c r="AI368" s="388">
        <f t="shared" ca="1" si="1287"/>
        <v>-0.40408999599268602</v>
      </c>
      <c r="AJ368" s="388">
        <f ca="1">IF(Control!$C$60&lt;=0,$HH368,$HI368)</f>
        <v>1</v>
      </c>
      <c r="AK368" s="388">
        <f t="shared" ca="1" si="1170"/>
        <v>4.8888345951753491</v>
      </c>
      <c r="AL368" s="388">
        <f t="shared" ca="1" si="1171"/>
        <v>-9.0169330335676534E-18</v>
      </c>
      <c r="AM368" s="388">
        <f t="shared" ca="1" si="1172"/>
        <v>4.8888345951753491</v>
      </c>
      <c r="AN368" s="388">
        <f t="shared" ca="1" si="1173"/>
        <v>-0.40239556500952789</v>
      </c>
      <c r="AO368" s="388">
        <f ca="1">-0.10453/COS(Control!$B$8*PI()/180)*COS(AN368)</f>
        <v>-0.15622337886139873</v>
      </c>
      <c r="AP368" s="388">
        <f ca="1">ACOS(AO368-TAN(Control!$B$8*PI()/180)*TAN(AN368))</f>
        <v>1.1717440994100852</v>
      </c>
      <c r="AQ368" s="388">
        <f t="shared" ca="1" si="1288"/>
        <v>0</v>
      </c>
      <c r="AR368" s="394">
        <f t="shared" ca="1" si="1174"/>
        <v>0</v>
      </c>
      <c r="AS368" s="436">
        <f ca="1">IF(Control!$B$18=2,(IF(OR($AH368=Control!$B$175,$AH368=Control!$B$176,$AH368=Control!$B$177,$AH368=Control!$B$178,$AH368=Control!$B$179,$AH368=Control!$B$180,$AH368=Control!$B$181,$AH368=Control!$B$182,$AH368=Control!$B$183,$AH368=Control!$B$184,$AH368=Control!$B$185),1,0)),0)</f>
        <v>0</v>
      </c>
      <c r="AT368" s="436">
        <f>IF(Control!$B$20=8,IF(AND($AH368&gt;=Control!$B$172,$AH368&lt;=Control!$B$173),1,0),0)</f>
        <v>0</v>
      </c>
      <c r="AU368" s="436">
        <f>IF(Control!$B$20=8,IF($AV367=1,1*$AT368,IF($AT368=1,$AU367+1,$AU367)),0)</f>
        <v>0</v>
      </c>
      <c r="AV368" s="436">
        <f>IF(Control!$B$20=8,IF($AU368&gt;=Control!$B$174,1,0),0)</f>
        <v>0</v>
      </c>
      <c r="AW368" s="436">
        <f ca="1">IF(AND(Control!$B$18=2,Control!$B$171=1), $AV368, $AS368)</f>
        <v>0</v>
      </c>
      <c r="AX368" s="436" t="e">
        <f ca="1">IF(AND(Control!$B$18=1,$EU368&gt;=Control!$B$19),-$AY368,IF(AND(Control!$B$18=2,$AW368=1,$EU368&gt;$DS368),-$AY368, IF(Control!$C$108=0,0, IF(Control!$C$108&lt;&gt;0,1))))</f>
        <v>#N/A</v>
      </c>
      <c r="AY368" s="436" t="e">
        <f t="shared" ca="1" si="1289"/>
        <v>#N/A</v>
      </c>
      <c r="AZ368" s="436" t="e">
        <f ca="1">IF(AND(Control!$B$18=1,$EB368&gt;Control!$B$19),$AZ367+1, IF(AND(Control!$B$18=2, $AW368=1, $EB368&gt;$DS368), $AZ367+1,$AZ367))</f>
        <v>#N/A</v>
      </c>
      <c r="BA368" s="587">
        <f>IF(Control!$C$81=0,1,IF($AH368&gt;=Control!$C$82,1,0))</f>
        <v>1</v>
      </c>
      <c r="BB368" s="140" t="e">
        <f ca="1">IF($BA368&gt;$BA367,Control!$C$83,IF($AW368&gt;0,$AW368*Control!$C$84,IF(AND(Control!$B$18=1,EN367&lt;&gt;0),Control!$C$84,0)))</f>
        <v>#N/A</v>
      </c>
      <c r="BC368" s="140" t="e">
        <f t="shared" ca="1" si="1290"/>
        <v>#N/A</v>
      </c>
      <c r="BD368" s="140" t="e">
        <f ca="1">BC368*IF(OR($G368&lt;Control!$C$92,$G368&gt;Control!$C$95),0,IF(AND($G368&gt;=Control!$C$92,$G368&lt;=Control!$C$93),$G368-Control!$C$92,IF(AND($G368&gt;Control!$C$93,$G368&lt;=Control!$C$94),Control!$C$93-Control!$C$92,IF(AND($G368&gt;Control!$C$94,$G368&lt;=Control!$C$95),(Control!$C$93-Control!$C$92)*(Control!$C$94-$G368)/(Control!$C$95-Control!$C$94)))))</f>
        <v>#N/A</v>
      </c>
      <c r="BE368" s="140" t="e">
        <f t="shared" ca="1" si="1291"/>
        <v>#N/A</v>
      </c>
      <c r="BF368" s="140" t="e">
        <f ca="1">IF($BE368&lt;=Control!$C$86,$BE368,Control!$C$86-$BE368)</f>
        <v>#N/A</v>
      </c>
      <c r="BG368" s="140" t="e">
        <f ca="1">IF(AND($AW368=1,Control!$C$84&lt;9),1,IF($BE368&gt;=Control!$C$86,0,$BC368))</f>
        <v>#N/A</v>
      </c>
      <c r="BH368" s="404" t="e">
        <f ca="1">IF($BG368=0,0,IF($BE368&lt;=Control!$C$86,$BC368*9*($BF368/Control!$C$86),0))</f>
        <v>#N/A</v>
      </c>
      <c r="BI368" s="140" t="e">
        <f ca="1">IF($BG368=1,0,IF($BE368&gt;=Control!$C$86,1,IF(AND($BB368&lt;21,$BB368&gt;=9),1,$BM367)))</f>
        <v>#N/A</v>
      </c>
      <c r="BJ368" s="140" t="e">
        <f ca="1">IF($BF368&lt;0,-$BF368,$BI368*IF(OR($G368&lt;Control!$C$92,$G368&gt;Control!$C$95),0,IF(AND($G368&gt;=Control!$C$92,$G368&lt;=Control!$C$93),$G368-Control!$C$92,IF(AND($G368&gt;Control!$C$93,$G368&lt;=Control!$C$94),Control!$C$93-Control!$C$92,IF(AND($G368&gt;Control!$C$94,$G368&lt;=Control!$C$95),(Control!$C$93-Control!$C$92)*(Control!$C$94-$G368)/(Control!$C$95-Control!$C$94))))))</f>
        <v>#N/A</v>
      </c>
      <c r="BK368" s="140" t="e">
        <f t="shared" ca="1" si="1292"/>
        <v>#N/A</v>
      </c>
      <c r="BL368" s="140" t="e">
        <f ca="1">IF($BK368&lt;=Control!$C$87,$BK368,Control!$C$87-$BK368)</f>
        <v>#N/A</v>
      </c>
      <c r="BM368" s="140" t="e">
        <f ca="1">IF(AND($BB368&gt;=9,$BB368&lt;21),1,IF($BK368&gt;=Control!$C$87,0,$BI368))</f>
        <v>#N/A</v>
      </c>
      <c r="BN368" s="404" t="e">
        <f ca="1">IF($BM368=0,0,IF($BK368&lt;=Control!$C$87,$BI368*(9+(21-9)*($BL368/Control!$C$87)),0))</f>
        <v>#N/A</v>
      </c>
      <c r="BO368" s="140" t="e">
        <f ca="1">IF($BM368=1,0,IF($BK368&gt;=Control!$C$87,1,IF(AND($BB368&lt;30,$BB368&gt;=21),1,$BS367)))</f>
        <v>#N/A</v>
      </c>
      <c r="BP368" s="140" t="e">
        <f ca="1">IF($BL368&lt;0,-$BL368,$BO368*IF(OR($G368&lt;Control!$C$92,$G368&gt;Control!$C$95),0,IF(AND($G368&gt;=Control!$C$92,$G368&lt;=Control!$C$93),$G368-Control!$C$92,IF(AND($G368&gt;Control!$C$93,$G368&lt;=Control!$C$94),Control!$C$93-Control!$C$92,IF(AND($G368&gt;Control!$C$94,$G368&lt;=Control!$C$95),(Control!$C$93-Control!$C$92)*(Control!$C$94-$G368)/(Control!$C$95-Control!$C$94))))))</f>
        <v>#N/A</v>
      </c>
      <c r="BQ368" s="140" t="e">
        <f t="shared" ca="1" si="1175"/>
        <v>#N/A</v>
      </c>
      <c r="BR368" s="140" t="e">
        <f ca="1">IF($BQ368&lt;=Control!$C$88,$BQ368,Control!$C$88-$BQ368)</f>
        <v>#N/A</v>
      </c>
      <c r="BS368" s="140" t="e">
        <f ca="1">IF(AND($BB368&gt;=21,$BB368&lt;30),1,IF($BQ368&gt;=Control!$C$88,0,$BO368))</f>
        <v>#N/A</v>
      </c>
      <c r="BT368" s="404" t="e">
        <f ca="1">IF($BS368=0,0,IF($BQ368&lt;=Control!$C$88,$BO368*(21+(30-21)*(BR368/Control!$C$88)),0))</f>
        <v>#N/A</v>
      </c>
      <c r="BU368" s="140" t="e">
        <f ca="1">IF(BG368+BM368+BS368=1,0,IF(OR(AND($BB368&lt;60,$BB368&gt;=30),$BQ368&gt;=Control!$C$88),1*$BA368,$BY367))</f>
        <v>#N/A</v>
      </c>
      <c r="BV368" s="140" t="e">
        <f ca="1">IF($BR368&lt;0,-$BR368,$BU368*IF(OR($G368&lt;Control!$C$92,$G368&gt;Control!$C$95),0,IF(AND($G368&gt;=Control!$C$92,$G368&lt;=Control!$C$93),$G368-Control!$C$92,IF(AND($G368&gt;Control!$C$93,$G368&lt;=Control!$C$94),Control!$C$93-Control!$C$92,IF(AND($G368&gt;Control!$C$94,$G368&lt;=Control!$C$95),(Control!$C$93-Control!$C$92)*(Control!$C$94-$G368)/(Control!$C$95-Control!$C$94))))))</f>
        <v>#N/A</v>
      </c>
      <c r="BW368" s="140" t="e">
        <f t="shared" ca="1" si="1176"/>
        <v>#N/A</v>
      </c>
      <c r="BX368" s="140" t="e">
        <f ca="1">IF($BW368&lt;=Control!$C$89,$BW368,Control!$C$89-$BW368)</f>
        <v>#N/A</v>
      </c>
      <c r="BY368" s="140" t="e">
        <f ca="1">IF(AND($AJ368&gt;=30,$AJ368&lt;60),1,IF($BW368&gt;=Control!$C$89,0,$BU368))</f>
        <v>#N/A</v>
      </c>
      <c r="BZ368" s="404" t="e">
        <f ca="1">IF($BY368=0,0,IF($BW368&lt;=Control!$C$89,$BU368*(30+(60-30)*(BX368/Control!$C$89)),0))</f>
        <v>#N/A</v>
      </c>
      <c r="CA368" s="140" t="e">
        <f ca="1">IF($BG368+$BM368+$BS368+$BY368=1,0,IF(OR(AND($BB368&lt;65,$BB368&gt;=60),$BW368&gt;=Control!$C$89),1*$BA368,$CE367))</f>
        <v>#N/A</v>
      </c>
      <c r="CB368" s="140" t="e">
        <f ca="1">IF($BX368&lt;0,-$BX368,$CA368*IF(OR($G368&lt;Control!$C$92,$G368&gt;Control!$C$95),0,IF(AND($G368&gt;=Control!$C$92,$G368&lt;=Control!$C$93),$G368-Control!$C$92,IF(AND($G368&gt;Control!$C$93,$G368&lt;=Control!$C$94),Control!$C$93-Control!$C$92,IF(AND($G368&gt;Control!$C$94,$G368&lt;=Control!$C$95),(Control!$C$93-Control!$C$92)*(Control!$C$94-$G368)/(Control!$C$95-Control!$C$94))))))</f>
        <v>#N/A</v>
      </c>
      <c r="CC368" s="140" t="e">
        <f t="shared" ca="1" si="1293"/>
        <v>#N/A</v>
      </c>
      <c r="CD368" s="140" t="e">
        <f ca="1">IF($CC368&lt;=Control!$C$90,$CC368,Control!$C$90-$CC368)</f>
        <v>#N/A</v>
      </c>
      <c r="CE368" s="140" t="e">
        <f ca="1">IF(AND($BB368&gt;=60,$BB368&lt;65),1,IF($CC368&gt;=Control!$C$90,0,$CA368))</f>
        <v>#N/A</v>
      </c>
      <c r="CF368" s="404" t="e">
        <f ca="1">IF($CE368=0,0,IF($CC368&lt;=Control!$C$90,$CA368*(60+(65-60)*(CD368/Control!$C$90)),0))</f>
        <v>#N/A</v>
      </c>
      <c r="CG368" s="140" t="e">
        <f ca="1">IF($BG368+$BM368+$BS368+$BY368+$CE368=1,0,IF(OR(AND($BB368&lt;90,$BB368&gt;=65),$CC368&gt;=Control!$C$90),$BA368,$CK367))</f>
        <v>#N/A</v>
      </c>
      <c r="CH368" s="140" t="e">
        <f ca="1">IF($CD368&lt;0,-$CD368,$CG368*IF(OR($G368&lt;Control!$C$92,$G368&gt;Control!$C$95),0,IF(AND($G368&gt;=Control!$C$92,$G368&lt;=Control!$C$93),$G368-Control!$C$92,IF(AND($G368&gt;Control!$C$93,$G368&lt;=Control!$C$94),Control!$C$93-Control!$C$92,IF(AND($G368&gt;Control!$C$94,$G368&lt;=Control!$C$95),(Control!$C$93-Control!$C$92)*(Control!$C$94-$G368)/(Control!$C$95-Control!$C$94))))))</f>
        <v>#N/A</v>
      </c>
      <c r="CI368" s="140" t="e">
        <f t="shared" ca="1" si="1294"/>
        <v>#N/A</v>
      </c>
      <c r="CJ368" s="140" t="e">
        <f ca="1">IF($CI368&lt;=Control!$C$91,$CI368,Control!$C$91-$CI368)</f>
        <v>#N/A</v>
      </c>
      <c r="CK368" s="140" t="e">
        <f ca="1">IF(AND($BB368&gt;=65,$BB368&lt;90),1,IF($CI368&gt;=Control!$C$91,0,$CG368))</f>
        <v>#N/A</v>
      </c>
      <c r="CL368" s="404" t="e">
        <f ca="1">IF($CK368=0,0,IF($CI368&lt;=Control!$C$91,$CG368*(65+(90-65)*($CJ368/Control!$C$91)),0))</f>
        <v>#N/A</v>
      </c>
      <c r="CM368" s="140" t="e">
        <f ca="1">IF($BG368+$BM368+$BS368+$BY368+$CE368+$CK368=1,0,IF(OR($BB368&gt;=90,$CI368&gt;=Control!$C$91),$BA368,$CM367))</f>
        <v>#N/A</v>
      </c>
      <c r="CN368" s="140" t="e">
        <f t="shared" ca="1" si="1295"/>
        <v>#N/A</v>
      </c>
      <c r="CO368" s="140" t="e">
        <f t="shared" ca="1" si="1296"/>
        <v>#N/A</v>
      </c>
      <c r="CP368" s="140" t="e">
        <f t="shared" ca="1" si="1297"/>
        <v>#N/A</v>
      </c>
      <c r="CQ368" s="141" t="e">
        <f ca="1">VLOOKUP($CP368,Control!$B$86:$G$91,6)</f>
        <v>#N/A</v>
      </c>
      <c r="CR368" s="141" t="e">
        <f ca="1">(1-$CQ368)*VLOOKUP($CP368,Control!$B$86:$D$91,3)</f>
        <v>#N/A</v>
      </c>
      <c r="CS368" s="141" t="e">
        <f ca="1">(1-$CQ368)*VLOOKUP($CP368,Control!$B$86:$E$91,4)</f>
        <v>#N/A</v>
      </c>
      <c r="CT368" s="141" t="e">
        <f ca="1">(1-$CQ368)*VLOOKUP($CP368,Control!$B$86:$F$91,5)</f>
        <v>#N/A</v>
      </c>
      <c r="CU368" s="141">
        <f t="shared" ca="1" si="1298"/>
        <v>0</v>
      </c>
      <c r="CV368" s="583">
        <f t="shared" ca="1" si="1299"/>
        <v>0</v>
      </c>
      <c r="CW368" s="142">
        <f t="shared" ca="1" si="1300"/>
        <v>364</v>
      </c>
      <c r="CX368" s="612" t="e">
        <f ca="1">IF(Control!$C$114=1,(MIN(Control!$C$120*(IF($NT368-0.01&lt;0,0,1)),Control!$C$119-$CY368)))</f>
        <v>#DIV/0!</v>
      </c>
      <c r="CY368" s="143" t="e">
        <f t="shared" ca="1" si="1301"/>
        <v>#N/A</v>
      </c>
      <c r="CZ368" s="144">
        <f t="shared" ca="1" si="1177"/>
        <v>0</v>
      </c>
      <c r="DA368" s="144">
        <f t="shared" ca="1" si="1178"/>
        <v>0</v>
      </c>
      <c r="DB368" s="144" t="e">
        <f t="shared" ca="1" si="1179"/>
        <v>#N/A</v>
      </c>
      <c r="DC368" s="144" t="e">
        <f t="shared" ca="1" si="1180"/>
        <v>#N/A</v>
      </c>
      <c r="DD368" s="144" t="e">
        <f t="shared" ca="1" si="1386"/>
        <v>#N/A</v>
      </c>
      <c r="DE368" s="143" t="e">
        <f t="shared" ca="1" si="1302"/>
        <v>#N/A</v>
      </c>
      <c r="DF368" s="145" t="e">
        <f ca="1">$DR368*EXP(-Control!$C$158*(1-$KH368))</f>
        <v>#N/A</v>
      </c>
      <c r="DG368" s="146" t="e">
        <f ca="1">IF(Control!$C$114=1, $DF368*$EY368, 0)</f>
        <v>#N/A</v>
      </c>
      <c r="DH368" s="147" t="e">
        <f t="shared" ca="1" si="1303"/>
        <v>#N/A</v>
      </c>
      <c r="DI368" s="144" t="e">
        <f t="shared" ca="1" si="1364"/>
        <v>#N/A</v>
      </c>
      <c r="DJ368" s="147" t="e">
        <f ca="1">$EF368*Control!$C$109</f>
        <v>#N/A</v>
      </c>
      <c r="DK368" s="144" t="e">
        <f t="shared" ca="1" si="1304"/>
        <v>#N/A</v>
      </c>
      <c r="DL368" s="144" t="e">
        <f t="shared" ca="1" si="1181"/>
        <v>#N/A</v>
      </c>
      <c r="DM368" s="144" t="e">
        <f ca="1">IF(Control!$C$114=1, (1-EXP(-Control!$C$96*$DK368))*$AR368, 0)</f>
        <v>#N/A</v>
      </c>
      <c r="DN368" s="144">
        <f t="shared" ca="1" si="1305"/>
        <v>0</v>
      </c>
      <c r="DO368" s="148">
        <f>Control!$C$97</f>
        <v>4</v>
      </c>
      <c r="DP368" s="145" t="e">
        <f t="shared" ca="1" si="1306"/>
        <v>#N/A</v>
      </c>
      <c r="DQ368" s="145" t="e">
        <f ca="1">IF(AND($CP368&gt;=0,$CP368&lt;=90),Control!$C$111,Control!$C$111)</f>
        <v>#N/A</v>
      </c>
      <c r="DR368" s="145" t="e">
        <f t="shared" ca="1" si="1182"/>
        <v>#N/A</v>
      </c>
      <c r="DS368" s="143" t="e">
        <f ca="1">Control!$B$22/$DR368</f>
        <v>#N/A</v>
      </c>
      <c r="DT368" s="149" t="e">
        <f ca="1">IF(AND(Control!$C$114=1,$KH368&lt;1),$IM368*$DF368, 0)</f>
        <v>#N/A</v>
      </c>
      <c r="DU368" s="144" t="e">
        <f t="shared" ca="1" si="1307"/>
        <v>#N/A</v>
      </c>
      <c r="DV368" s="144">
        <f ca="1">IF($G368-Control!$C$107&lt;=0, 0, 0.83*LN(MAX($G368, 3))-0.8924)</f>
        <v>0</v>
      </c>
      <c r="DW368" s="144" t="e">
        <f t="shared" ca="1" si="1183"/>
        <v>#N/A</v>
      </c>
      <c r="DX368" s="150" t="e">
        <f ca="1">MAX(0.01*(1+$CU368/Control!$C$102),0.05*($DK368-Control!$C$97)/Control!$C$97)</f>
        <v>#N/A</v>
      </c>
      <c r="DY368" s="151" t="e">
        <f ca="1">IF(Control!$C$114=1, $DI368*$FS368, 0)</f>
        <v>#N/A</v>
      </c>
      <c r="DZ368" s="196" t="e">
        <f t="shared" ca="1" si="1308"/>
        <v>#N/A</v>
      </c>
      <c r="EA368" s="152">
        <f t="shared" ca="1" si="1309"/>
        <v>364</v>
      </c>
      <c r="EB368" s="153" t="e">
        <f t="shared" ca="1" si="1310"/>
        <v>#N/A</v>
      </c>
      <c r="EC368" s="153" t="e">
        <f t="shared" ca="1" si="1311"/>
        <v>#N/A</v>
      </c>
      <c r="ED368" s="154" t="e">
        <f ca="1">IF(Control!$C$114=1, $HM368*$FY368-$FD368, 0)</f>
        <v>#DIV/0!</v>
      </c>
      <c r="EE368" s="155" t="e">
        <f ca="1">IF(Control!$C$114=1, $HM368*$FZ368-$FF368, 0)</f>
        <v>#DIV/0!</v>
      </c>
      <c r="EF368" s="153" t="e">
        <f t="shared" ca="1" si="1365"/>
        <v>#N/A</v>
      </c>
      <c r="EG368" s="155" t="e">
        <f ca="1">IF(Control!$C$114=1, $GX368*$FW368-$FI368, 0)</f>
        <v>#DIV/0!</v>
      </c>
      <c r="EH368" s="153" t="e">
        <f t="shared" ca="1" si="1312"/>
        <v>#N/A</v>
      </c>
      <c r="EI368" s="156" t="e">
        <f t="shared" ca="1" si="1313"/>
        <v>#N/A</v>
      </c>
      <c r="EJ368" s="155" t="e">
        <f ca="1">IF(Control!$C$114=1, $HM368*$GB368, 0)</f>
        <v>#DIV/0!</v>
      </c>
      <c r="EK368" s="153" t="e">
        <f t="shared" ca="1" si="1366"/>
        <v>#N/A</v>
      </c>
      <c r="EL368" s="153" t="e">
        <f t="shared" ca="1" si="1184"/>
        <v>#N/A</v>
      </c>
      <c r="EM368" s="153" t="e">
        <f t="shared" ca="1" si="1185"/>
        <v>#N/A</v>
      </c>
      <c r="EN368" s="153" t="e">
        <f ca="1">IF(Control!$C$108=1,IF(AND(Control!$B$18=1,$EB368&gt;=Control!$B$19),$EB368-$DS368,IF(AND(Control!$B$18=2,$AW368=1,$EB368&gt;$DS368),$EB368-$DS368,0)))</f>
        <v>#N/A</v>
      </c>
      <c r="EO368" s="153" t="e">
        <f ca="1">IF(Control!$C$108=1,IF(AND(Control!$B$18=1,$EB368&gt;=Control!$B$19),$EF368,IF(AND(Control!$B$18=2,$AW368=1),$EF368,0)))</f>
        <v>#N/A</v>
      </c>
      <c r="EP368" s="153" t="e">
        <f ca="1">IF(Control!$C$108=1,IF(AND(Control!$B$18=1,$EB368&gt;=Control!$B$19),$EK368,IF(AND(Control!$B$18=2,$AW368=1),$EK368,0)))</f>
        <v>#N/A</v>
      </c>
      <c r="EQ368" s="153" t="e">
        <f t="shared" ca="1" si="1314"/>
        <v>#N/A</v>
      </c>
      <c r="ER368" s="153" t="e">
        <f t="shared" ca="1" si="1315"/>
        <v>#N/A</v>
      </c>
      <c r="ES368" s="153" t="e">
        <f t="shared" ca="1" si="1367"/>
        <v>#N/A</v>
      </c>
      <c r="ET368" s="153" t="e">
        <f t="shared" ca="1" si="1368"/>
        <v>#N/A</v>
      </c>
      <c r="EU368" s="153" t="e">
        <f t="shared" ca="1" si="1316"/>
        <v>#N/A</v>
      </c>
      <c r="EV368" s="153" t="e">
        <f t="shared" ca="1" si="1186"/>
        <v>#N/A</v>
      </c>
      <c r="EW368" s="153" t="e">
        <f t="shared" ca="1" si="1187"/>
        <v>#N/A</v>
      </c>
      <c r="EX368" s="153" t="e">
        <f t="shared" ca="1" si="1188"/>
        <v>#N/A</v>
      </c>
      <c r="EY368" s="157" t="e">
        <f t="shared" ca="1" si="1189"/>
        <v>#DIV/0!</v>
      </c>
      <c r="EZ368" s="154" t="e">
        <f t="shared" ca="1" si="1190"/>
        <v>#DIV/0!</v>
      </c>
      <c r="FA368" s="153" t="e">
        <f t="shared" ca="1" si="1317"/>
        <v>#N/A</v>
      </c>
      <c r="FB368" s="153" t="e">
        <f t="shared" ca="1" si="1191"/>
        <v>#N/A</v>
      </c>
      <c r="FC368" s="193" t="e">
        <f t="shared" ca="1" si="1192"/>
        <v>#N/A</v>
      </c>
      <c r="FD368" s="158" t="e">
        <f t="shared" ca="1" si="1318"/>
        <v>#N/A</v>
      </c>
      <c r="FE368" s="158" t="e">
        <f t="shared" ca="1" si="1319"/>
        <v>#N/A</v>
      </c>
      <c r="FF368" s="159" t="e">
        <f t="shared" ca="1" si="1193"/>
        <v>#N/A</v>
      </c>
      <c r="FG368" s="160" t="e">
        <f t="shared" ca="1" si="1320"/>
        <v>#N/A</v>
      </c>
      <c r="FH368" s="158" t="e">
        <f t="shared" ca="1" si="1321"/>
        <v>#N/A</v>
      </c>
      <c r="FI368" s="159" t="e">
        <f t="shared" ca="1" si="1194"/>
        <v>#N/A</v>
      </c>
      <c r="FJ368" s="160" t="e">
        <f t="shared" ca="1" si="1322"/>
        <v>#N/A</v>
      </c>
      <c r="FK368" s="160" t="e">
        <f t="shared" ca="1" si="1195"/>
        <v>#N/A</v>
      </c>
      <c r="FL368" s="160" t="e">
        <f t="shared" ca="1" si="1369"/>
        <v>#N/A</v>
      </c>
      <c r="FM368" s="160" t="e">
        <f t="shared" ca="1" si="1196"/>
        <v>#N/A</v>
      </c>
      <c r="FN368" s="158">
        <f t="shared" ca="1" si="1323"/>
        <v>0.01</v>
      </c>
      <c r="FO368" s="160">
        <f>Control!$C$101</f>
        <v>50</v>
      </c>
      <c r="FP368" s="150" t="e">
        <f t="shared" ca="1" si="1197"/>
        <v>#N/A</v>
      </c>
      <c r="FQ368" s="150" t="e">
        <f ca="1">MAX(0,(Control!$C$112*(($DK368-Control!$C$97)/Control!$C$97)))</f>
        <v>#N/A</v>
      </c>
      <c r="FR368" s="150" t="e">
        <f ca="1">(1-$NT368)*Control!$C$113</f>
        <v>#DIV/0!</v>
      </c>
      <c r="FS368" s="198" t="e">
        <f t="shared" ca="1" si="1198"/>
        <v>#N/A</v>
      </c>
      <c r="FT368" s="161">
        <f t="shared" ca="1" si="1324"/>
        <v>364</v>
      </c>
      <c r="FU368" s="162" t="e">
        <f ca="1">IF(Control!$B$34=1,VLOOKUP($CP368,Control!$B$86:$G$91,6),Control!$B$35)</f>
        <v>#N/A</v>
      </c>
      <c r="FV368" s="162" t="e">
        <f t="shared" ca="1" si="1199"/>
        <v>#DIV/0!</v>
      </c>
      <c r="FW368" s="162" t="e">
        <f ca="1">IF(Control!$B$31=1,$FU368*$FV368,  $FU368)</f>
        <v>#N/A</v>
      </c>
      <c r="FX368" s="162" t="e">
        <f ca="1">IF(Control!$B$34=1,VLOOKUP($CP368,Control!$B$86:$G$91,3),Control!$B$36)</f>
        <v>#N/A</v>
      </c>
      <c r="FY368" s="162" t="e">
        <f t="shared" ca="1" si="1200"/>
        <v>#N/A</v>
      </c>
      <c r="FZ368" s="162" t="e">
        <f ca="1">IF(Control!$B$34=1,VLOOKUP($CP368,Control!$B$86:$G$91,4),Control!$B$37)</f>
        <v>#N/A</v>
      </c>
      <c r="GA368" s="162" t="e">
        <f t="shared" ca="1" si="1201"/>
        <v>#N/A</v>
      </c>
      <c r="GB368" s="162" t="e">
        <f ca="1">IF(Control!$B$34=1,VLOOKUP($CP368,Control!$B$86:$G$91,5),Control!$B$38)</f>
        <v>#N/A</v>
      </c>
      <c r="GC368" s="162" t="e">
        <f t="shared" ca="1" si="1325"/>
        <v>#N/A</v>
      </c>
      <c r="GD368" s="162">
        <f t="shared" ca="1" si="1202"/>
        <v>1</v>
      </c>
      <c r="GE368" s="162">
        <f t="shared" ca="1" si="1203"/>
        <v>1</v>
      </c>
      <c r="GF368" s="162">
        <f ca="1">IF(AND(Control!$C$104=1, Control!$C$62="F"),$GE368,1)</f>
        <v>1</v>
      </c>
      <c r="GG368" s="162" t="e">
        <f ca="1">IF(Control!$B$16=40,0,IF(AND(Control!$B$16&gt;40,Control!$B$16&lt;=360),(Control!$B$16-40)*((1-0)/(360-40)),IF(AND(Control!$B$16&gt;360,Control!$B$16&lt;=720),(1+(Control!$B$16-360)*((1.25-1)/(720-360))),IF(AND(Control!$B$16&gt;720,Control!$B$16&lt;=1000),(1.25+(Control!$B$16-720)*((1.35-1.25)/(1000-720))),IF(AND(Control!$B$16&gt;1000,Control!$B$16&lt;=2000),(1.35+(Control!$B$16-1000)*0))))))</f>
        <v>#N/A</v>
      </c>
      <c r="GH368" s="162" t="e">
        <f t="shared" ca="1" si="1204"/>
        <v>#N/A</v>
      </c>
      <c r="GI368" s="162">
        <f t="shared" ca="1" si="1326"/>
        <v>0</v>
      </c>
      <c r="GJ368" s="162">
        <f t="shared" ca="1" si="1205"/>
        <v>0</v>
      </c>
      <c r="GK368" s="162">
        <f t="shared" ca="1" si="1327"/>
        <v>1</v>
      </c>
      <c r="GL368" s="162">
        <f t="shared" ca="1" si="1206"/>
        <v>1</v>
      </c>
      <c r="GM368" s="162" t="e">
        <f ca="1">MAX(0,MIN(1,1-Control!$C$156*(1.0001-$KH368)^2))</f>
        <v>#N/A</v>
      </c>
      <c r="GN368" s="162" t="e">
        <f ca="1">IF(Control!$B$26=1,$KU368,$KX368)</f>
        <v>#N/A</v>
      </c>
      <c r="GO368" s="162" t="e">
        <f ca="1">IF($CP368&lt;=60,Control!$C$105,IF($CP368&gt;=90,Control!$C$106,Control!$C$105+($CP368-60)*((Control!$C$106-Control!$C$105)/(90-60))))</f>
        <v>#N/A</v>
      </c>
      <c r="GP368" s="162" t="e">
        <f t="shared" ca="1" si="1207"/>
        <v>#N/A</v>
      </c>
      <c r="GQ368" s="162" t="e">
        <f t="shared" ca="1" si="1328"/>
        <v>#N/A</v>
      </c>
      <c r="GR368" s="163" t="e">
        <f t="shared" ca="1" si="1208"/>
        <v>#DIV/0!</v>
      </c>
      <c r="GS368" s="162" t="e">
        <f t="shared" ca="1" si="1209"/>
        <v>#DIV/0!</v>
      </c>
      <c r="GT368" s="164" t="e">
        <f t="shared" ca="1" si="1329"/>
        <v>#N/A</v>
      </c>
      <c r="GU368" s="162" t="e">
        <f t="shared" ca="1" si="1330"/>
        <v>#N/A</v>
      </c>
      <c r="GV368" s="162" t="e">
        <f t="shared" ca="1" si="1210"/>
        <v>#N/A</v>
      </c>
      <c r="GW368" s="162" t="e">
        <f t="shared" ca="1" si="1211"/>
        <v>#DIV/0!</v>
      </c>
      <c r="GX368" s="162" t="e">
        <f t="shared" ca="1" si="1331"/>
        <v>#DIV/0!</v>
      </c>
      <c r="GY368" s="162" t="e">
        <f t="shared" ca="1" si="1332"/>
        <v>#DIV/0!</v>
      </c>
      <c r="GZ368" s="165" t="e">
        <f t="shared" ca="1" si="1212"/>
        <v>#N/A</v>
      </c>
      <c r="HA368" s="162" t="e">
        <f ca="1">IF(Control!$C$114=1, $DI368*$FS368, 0)</f>
        <v>#N/A</v>
      </c>
      <c r="HB368" s="162" t="e">
        <f ca="1">$FA368/Control!$C$64</f>
        <v>#N/A</v>
      </c>
      <c r="HC368" s="162" t="e">
        <f t="shared" ca="1" si="1213"/>
        <v>#DIV/0!</v>
      </c>
      <c r="HD368" s="162">
        <f ca="1">-ASIN(SIN(23.45*Control!$C$139)*COS(2*Control!$C$138*($AH368+10)/365))</f>
        <v>-0.40408999599268602</v>
      </c>
      <c r="HE368" s="165">
        <f t="shared" ca="1" si="1333"/>
        <v>0</v>
      </c>
      <c r="HF368" s="166">
        <f ca="1">IF(AND(Control!$C$61="T",$HE368&gt;=Control!$C$103,Control!$C$114=0),$AH368,Control!$C$59)</f>
        <v>1</v>
      </c>
      <c r="HG368" s="166">
        <f ca="1">IF(AND(Control!$C$61="T",$HE368&gt;=Control!$C$103,Control!$C$114=0),$HF368,Control!$C$59)</f>
        <v>1</v>
      </c>
      <c r="HH368" s="165">
        <f ca="1">IF(AND(OR(Control!$C$60&lt;=0, $AH368= Control!$C$59, Control!$C$60 &gt;0, $AH368 = Control!$C$60)), Control!$C$59, IF(Control!$C$60&gt;0, 0))</f>
        <v>1</v>
      </c>
      <c r="HI368" s="165">
        <f ca="1">IF(AND(OR(Control!$C$60&lt;=0, $AH368= Control!$C$59, Control!$C$60 &gt;0, $AH368 = Control!$C$60)), Control!$C$60, IF(Control!$C$60&lt;=0, 0))</f>
        <v>0</v>
      </c>
      <c r="HJ368" s="166">
        <f ca="1">IF(AND(Control!$C$62="F",$CV368&gt;=Control!$C$102),$AH368,0)</f>
        <v>0</v>
      </c>
      <c r="HK368" s="165" t="e">
        <f t="shared" ca="1" si="1370"/>
        <v>#N/A</v>
      </c>
      <c r="HL368" s="166">
        <f ca="1">IF(AND(Control!$C$61="T",$HE368&gt;=Control!$C$103,Control!$C$114=0),$HF368,0)</f>
        <v>0</v>
      </c>
      <c r="HM368" s="201" t="e">
        <f t="shared" ca="1" si="1214"/>
        <v>#DIV/0!</v>
      </c>
      <c r="HN368" s="215">
        <f t="shared" ca="1" si="1334"/>
        <v>364</v>
      </c>
      <c r="HO368" s="216" t="e">
        <f ca="1">IF(AND($CP368&gt;=0, $CP368&lt;=90), Control!$C$152, Control!$C$152)</f>
        <v>#N/A</v>
      </c>
      <c r="HP368" s="216" t="e">
        <f t="shared" ca="1" si="1215"/>
        <v>#N/A</v>
      </c>
      <c r="HQ368" s="217" t="e">
        <f ca="1">IF(OR(Control!$B$26=1,Control!$B$26=2),$KV368,$KS368)</f>
        <v>#DIV/0!</v>
      </c>
      <c r="HR368" s="218" t="e">
        <f t="shared" ca="1" si="1371"/>
        <v>#DIV/0!</v>
      </c>
      <c r="HS368" s="216" t="e">
        <f ca="1">Control!$C$154*$HP368</f>
        <v>#N/A</v>
      </c>
      <c r="HT368" s="216" t="e">
        <f ca="1">Control!$C$155*$HP368</f>
        <v>#N/A</v>
      </c>
      <c r="HU368" s="217" t="e">
        <f ca="1">Control!$C$161*$FI368</f>
        <v>#N/A</v>
      </c>
      <c r="HV368" s="218" t="e">
        <f t="shared" ca="1" si="1335"/>
        <v>#N/A</v>
      </c>
      <c r="HW368" s="218" t="e">
        <f ca="1">Control!$C$160*$FF368+$IP368*$EO368</f>
        <v>#N/A</v>
      </c>
      <c r="HX368" s="218" t="e">
        <f t="shared" ca="1" si="1372"/>
        <v>#N/A</v>
      </c>
      <c r="HY368" s="219" t="e">
        <f ca="1">IF(Control!$C$114=1, $EB368*$FS368, 0)</f>
        <v>#N/A</v>
      </c>
      <c r="HZ368" s="91" t="e">
        <f t="shared" ca="1" si="1216"/>
        <v>#N/A</v>
      </c>
      <c r="IA368" s="220" t="e">
        <f ca="1">Control!$C$153*$HO368</f>
        <v>#N/A</v>
      </c>
      <c r="IB368" s="218" t="e">
        <f t="shared" ca="1" si="1217"/>
        <v>#N/A</v>
      </c>
      <c r="IC368" s="220" t="e">
        <f ca="1">Control!$C$153*$HT368</f>
        <v>#N/A</v>
      </c>
      <c r="ID368" s="218" t="e">
        <f t="shared" ca="1" si="1218"/>
        <v>#N/A</v>
      </c>
      <c r="IE368" s="221" t="e">
        <f ca="1">($EB368*Control!$C$159+$EF368*Control!$C$160)/(IF($GZ368&lt;&gt;0,$GZ368,1))</f>
        <v>#N/A</v>
      </c>
      <c r="IF368" s="216" t="e">
        <f t="shared" ca="1" si="1219"/>
        <v>#N/A</v>
      </c>
      <c r="IG368" s="91">
        <f ca="1">IF(OR(Control!$B$198=$AH368,Control!$B$199=$AH368, Control!$B$200=$AH368, Control!$B$201=$AH368, Control!$B$202=$AH368, Control!$B$203=$AH368, Control!$B$204=$AH368, Control!$B$205=$AH368, Control!$B$206=$AH368, Control!$B$207=$AH368), 1, 0)</f>
        <v>0</v>
      </c>
      <c r="IH368" s="91">
        <f ca="1">IF($IG368=0,0, VLOOKUP($AH368,Control!$B$198:$C$207,2))</f>
        <v>0</v>
      </c>
      <c r="II368" s="222">
        <f t="shared" ca="1" si="1336"/>
        <v>0</v>
      </c>
      <c r="IJ368" s="91">
        <f>Control!$C$121</f>
        <v>0.7</v>
      </c>
      <c r="IK368" s="218">
        <f t="shared" ca="1" si="1220"/>
        <v>0</v>
      </c>
      <c r="IL368" s="217" t="e">
        <f t="shared" ca="1" si="1373"/>
        <v>#N/A</v>
      </c>
      <c r="IM368" s="223" t="e">
        <f ca="1">IF(AND(Control!$C$114=1,$KH368&lt;1),$EB368*Control!$C$148*(1-$KH368), 0)</f>
        <v>#N/A</v>
      </c>
      <c r="IN368" s="217" t="e">
        <f t="shared" ca="1" si="1221"/>
        <v>#DIV/0!</v>
      </c>
      <c r="IO368" s="91" t="e">
        <f ca="1">MAX(0,$IL368-$EF368*Control!$C$160)</f>
        <v>#N/A</v>
      </c>
      <c r="IP368" s="220" t="e">
        <f t="shared" ca="1" si="1222"/>
        <v>#N/A</v>
      </c>
      <c r="IQ368" s="217" t="e">
        <f t="shared" ca="1" si="1337"/>
        <v>#N/A</v>
      </c>
      <c r="IR368" s="218" t="e">
        <f t="shared" ca="1" si="1223"/>
        <v>#N/A</v>
      </c>
      <c r="IS368" s="217" t="e">
        <f ca="1">Control!$C$159*MAX(0,$FD368-$EN368)</f>
        <v>#N/A</v>
      </c>
      <c r="IT368" s="217" t="e">
        <f t="shared" ca="1" si="1374"/>
        <v>#N/A</v>
      </c>
      <c r="IU368" s="217" t="e">
        <f t="shared" ca="1" si="1338"/>
        <v>#N/A</v>
      </c>
      <c r="IV368" s="217" t="e">
        <f t="shared" ca="1" si="1375"/>
        <v>#N/A</v>
      </c>
      <c r="IW368" s="217" t="e">
        <f ca="1">IF(OR($AW368=1,AND($AW368=0, Control!$B$18=1,$EN368&lt;&gt;0)), $IQ368-$IU368, $IQ368)</f>
        <v>#N/A</v>
      </c>
      <c r="IX368" s="218" t="e">
        <f t="shared" ca="1" si="1224"/>
        <v>#N/A</v>
      </c>
      <c r="IY368" s="218" t="e">
        <f ca="1">MAX(0,$IQ368-$EB368*Control!$C$159)</f>
        <v>#N/A</v>
      </c>
      <c r="IZ368" s="218" t="e">
        <f t="shared" ca="1" si="1225"/>
        <v>#N/A</v>
      </c>
      <c r="JA368" s="216" t="e">
        <f t="shared" ca="1" si="1226"/>
        <v>#N/A</v>
      </c>
      <c r="JB368" s="217" t="e">
        <f t="shared" ca="1" si="1227"/>
        <v>#N/A</v>
      </c>
      <c r="JC368" s="222" t="e">
        <f ca="1">MAX(Control!$C$157*$EK368-$JT368, 0)/Control!$C$162</f>
        <v>#N/A</v>
      </c>
      <c r="JD368" s="218" t="e">
        <f t="shared" ca="1" si="1228"/>
        <v>#N/A</v>
      </c>
      <c r="JE368" s="218" t="e">
        <f t="shared" ca="1" si="1229"/>
        <v>#N/A</v>
      </c>
      <c r="JF368" s="218" t="e">
        <f t="shared" ca="1" si="1339"/>
        <v>#N/A</v>
      </c>
      <c r="JG368" s="218" t="e">
        <f t="shared" ca="1" si="1230"/>
        <v>#N/A</v>
      </c>
      <c r="JH368" s="217" t="e">
        <f t="shared" ca="1" si="1340"/>
        <v>#N/A</v>
      </c>
      <c r="JI368" s="217" t="e">
        <f t="shared" ca="1" si="1341"/>
        <v>#N/A</v>
      </c>
      <c r="JJ368" s="217" t="e">
        <f t="shared" ca="1" si="1376"/>
        <v>#N/A</v>
      </c>
      <c r="JK368" s="217" t="e">
        <f ca="1">IF(Control!$C$114=1,IF(Control!$B$24=0,MAX(0,$JI368)*$GN368/Control!$C$64,(MAX(0,MIN($JI368,$JJ368*$GN368/Control!$C$64),0))))</f>
        <v>#N/A</v>
      </c>
      <c r="JL368" s="217" t="e">
        <f ca="1">$IK368/Control!$C$64-$JK368+$HQ368</f>
        <v>#N/A</v>
      </c>
      <c r="JM368" s="217" t="e">
        <f ca="1">IF(Control!$C$114=1,($JB368/(IF($JI368&lt;&gt;0,$JI368,1)))*$JK368,0)</f>
        <v>#N/A</v>
      </c>
      <c r="JN368" s="217" t="e">
        <f ca="1">IF(Control!$C$114=1,($JG368/(IF($JI368&lt;&gt;0,$JI368,1)))*$JK368, 0)</f>
        <v>#N/A</v>
      </c>
      <c r="JO368" s="218" t="e">
        <f t="shared" ca="1" si="1231"/>
        <v>#N/A</v>
      </c>
      <c r="JP368" s="218" t="e">
        <f ca="1">MIN(($IY368+$IO368)*Control!$C$151, $JF368-$EH368*Control!$C$161)</f>
        <v>#N/A</v>
      </c>
      <c r="JQ368" s="218" t="e">
        <f t="shared" ca="1" si="1232"/>
        <v>#N/A</v>
      </c>
      <c r="JR368" s="217" t="e">
        <f ca="1">IF($CP368-Control!$C$150&lt;0, 0, $JQ368/Control!$C$162)</f>
        <v>#N/A</v>
      </c>
      <c r="JS368" s="218" t="e">
        <f t="shared" ca="1" si="1233"/>
        <v>#N/A</v>
      </c>
      <c r="JT368" s="218" t="e">
        <f t="shared" ca="1" si="1342"/>
        <v>#N/A</v>
      </c>
      <c r="JU368" s="218" t="e">
        <f t="shared" ca="1" si="1234"/>
        <v>#N/A</v>
      </c>
      <c r="JV368" s="218" t="e">
        <f t="shared" ca="1" si="1235"/>
        <v>#N/A</v>
      </c>
      <c r="JW368" s="216" t="e">
        <f t="shared" ca="1" si="1236"/>
        <v>#N/A</v>
      </c>
      <c r="JX368" s="91" t="e">
        <f t="shared" ca="1" si="1237"/>
        <v>#N/A</v>
      </c>
      <c r="JY368" s="218" t="e">
        <f t="shared" ca="1" si="1238"/>
        <v>#N/A</v>
      </c>
      <c r="JZ368" s="217" t="e">
        <f ca="1">IF(Control!$C$114=1,($IZ368/(IF($JI368&lt;&gt;0,$JI368,1)))*$JK368, 0)</f>
        <v>#N/A</v>
      </c>
      <c r="KA368" s="218" t="e">
        <f t="shared" ca="1" si="1377"/>
        <v>#N/A</v>
      </c>
      <c r="KB368" s="218" t="e">
        <f t="shared" ca="1" si="1343"/>
        <v>#N/A</v>
      </c>
      <c r="KC368" s="218" t="e">
        <f t="shared" ca="1" si="1239"/>
        <v>#N/A</v>
      </c>
      <c r="KD368" s="218" t="e">
        <f t="shared" ca="1" si="1240"/>
        <v>#N/A</v>
      </c>
      <c r="KE368" s="218" t="e">
        <f t="shared" ca="1" si="1241"/>
        <v>#N/A</v>
      </c>
      <c r="KF368" s="218" t="e">
        <f t="shared" ca="1" si="1242"/>
        <v>#N/A</v>
      </c>
      <c r="KG368" s="216" t="e">
        <f t="shared" ca="1" si="1243"/>
        <v>#N/A</v>
      </c>
      <c r="KH368" s="221" t="e">
        <f ca="1">IF(Control!$B$24=0,1,MAX(0.001,MIN(1,IF(($IF368-$IE368)&lt;&gt;0,($KG368-$IE368)/($IF368-$IE368),1))))</f>
        <v>#N/A</v>
      </c>
      <c r="KI368" s="222" t="e">
        <f ca="1">IF(Control!$C$114=1, $KI367+ $KH367, 0)</f>
        <v>#N/A</v>
      </c>
      <c r="KJ368" s="217" t="e">
        <f t="shared" ca="1" si="1244"/>
        <v>#N/A</v>
      </c>
      <c r="KK368" s="218" t="e">
        <f t="shared" ca="1" si="1245"/>
        <v>#N/A</v>
      </c>
      <c r="KL368" s="274" t="e">
        <f ca="1">IF(Control!$B$26=3,4000000000*EXP(-8400/($G368+273)),IF(Control!$B$26=4,4000000000*EXP(-8400/($G368+273))*($KT368),0))</f>
        <v>#DIV/0!</v>
      </c>
      <c r="KM368" s="274" t="e">
        <f ca="1">IF(Control!$B$26=3,5600000000000*EXP(-9800/($G368+273)),IF(Control!$B$26=4,5600000000000*EXP(-9800/($G368+273))*$KT368,0))</f>
        <v>#DIV/0!</v>
      </c>
      <c r="KN368" s="454" t="e">
        <f t="shared" ca="1" si="1344"/>
        <v>#DIV/0!</v>
      </c>
      <c r="KO368" s="274" t="e">
        <f t="shared" ca="1" si="1345"/>
        <v>#DIV/0!</v>
      </c>
      <c r="KP368" s="454" t="e">
        <f t="shared" ca="1" si="1246"/>
        <v>#DIV/0!</v>
      </c>
      <c r="KQ368" s="454" t="e">
        <f t="shared" ca="1" si="1247"/>
        <v>#DIV/0!</v>
      </c>
      <c r="KR368" s="454" t="e">
        <f t="shared" ca="1" si="1248"/>
        <v>#DIV/0!</v>
      </c>
      <c r="KS368" s="454" t="e">
        <f t="shared" ca="1" si="1249"/>
        <v>#DIV/0!</v>
      </c>
      <c r="KT368" s="455" t="e">
        <f t="shared" ca="1" si="1250"/>
        <v>#DIV/0!</v>
      </c>
      <c r="KU368" s="456" t="e">
        <f ca="1">IF($CP368-Control!$C$149&lt;0, IF($NT368-0.01&lt;0,0,1),0)</f>
        <v>#N/A</v>
      </c>
      <c r="KV368" s="456" t="e">
        <f ca="1">IF(Control!$C$114=1,MAX(0,MIN(Control!$C$125*$KW368*$GN368,$KW368)))</f>
        <v>#DIV/0!</v>
      </c>
      <c r="KW368" s="456" t="e">
        <f t="shared" ca="1" si="1378"/>
        <v>#DIV/0!</v>
      </c>
      <c r="KX368" s="457" t="e">
        <f ca="1">IF($CP368-Control!$C$149&lt;0, IF($MR368-$OM368&lt;0,0,1),0)</f>
        <v>#N/A</v>
      </c>
      <c r="KY368" s="167">
        <f t="shared" ca="1" si="1346"/>
        <v>364</v>
      </c>
      <c r="KZ368" s="168">
        <f ca="1">1370*(1+0.033*COS(2*Control!$C$138*$AH368/365))</f>
        <v>1415.2033130486504</v>
      </c>
      <c r="LA368" s="169">
        <f t="shared" ca="1" si="1347"/>
        <v>1.0329951106939008</v>
      </c>
      <c r="LB368" s="169">
        <f t="shared" ca="1" si="1348"/>
        <v>-0.40353995378239521</v>
      </c>
      <c r="LC368" s="169">
        <f ca="1">ACOS(-TAN((2*Control!$B$8/360))*TAN(Calculations!$LB368))</f>
        <v>1.443555781367964</v>
      </c>
      <c r="LD368" s="169">
        <f ca="1">((24*60)/PI())*0.082*$LA368*(($LC368*SIN(Control!$B$8*2*PI()/360))*SIN($LB368)+COS(Control!$B$8*2*PI()/360)*COS($LB368)*SIN($LC368))</f>
        <v>4.462994588329023</v>
      </c>
      <c r="LE368" s="170">
        <f t="shared" ca="1" si="1251"/>
        <v>6.1309249438043336</v>
      </c>
      <c r="LF368" s="170">
        <f ca="1">SIN(Control!$C$139*Control!$B$8)*SIN($HD368)</f>
        <v>-0.30983232372004982</v>
      </c>
      <c r="LG368" s="170">
        <f ca="1">COS(Control!$C$139*Control!$B$8)*COS($HD368)</f>
        <v>0.5660749165372102</v>
      </c>
      <c r="LH368" s="170">
        <f ca="1">12*(1+2*ASIN(MAX(-1,MIN(1,$LF368/$LG368))/Control!$C$138))</f>
        <v>7.7972353526527991</v>
      </c>
      <c r="LI368" s="170">
        <f ca="1">12*(1+2*ASIN(MAX(-1,MIN(1,(-SIN(-4*Control!$C$139)+$LF368)/$LG368))/Control!$C$138))</f>
        <v>8.7501551099081709</v>
      </c>
      <c r="LJ368" s="168">
        <f ca="1">3600*($LH368*$LF368+24*$LG368*SQRT(1-$LK368*$LK368)/Control!$C$138)</f>
        <v>4332.1866810762413</v>
      </c>
      <c r="LK368" s="170">
        <f t="shared" ca="1" si="1252"/>
        <v>-0.54733448642337679</v>
      </c>
      <c r="LL368" s="170">
        <f t="shared" ca="1" si="1253"/>
        <v>0</v>
      </c>
      <c r="LM368" s="171">
        <f ca="1">Control!$C$145*$AB368</f>
        <v>6.6660906138995932E-2</v>
      </c>
      <c r="LN368" s="170">
        <f t="shared" ca="1" si="1349"/>
        <v>0.54</v>
      </c>
      <c r="LO368" s="170">
        <f t="shared" ca="1" si="1254"/>
        <v>0</v>
      </c>
      <c r="LP368" s="170">
        <f ca="1">Control!$C$140*((($D368+273.16)^4+($E368+273.16)^4)/2)*(0.34-0.14*SQRT($Y368))*(1.35*$AQ368/(0.75*$LD368)-0.35)</f>
        <v>-3.2464704755046001</v>
      </c>
      <c r="LQ368" s="170">
        <f ca="1">Control!$C$140*($G368+273)^4*(0.56-0.079*SQRT($Y368*10))*(0.1+0.9*$LO368)</f>
        <v>1.5241745131704001</v>
      </c>
      <c r="LR368" s="170">
        <f ca="1">$AQ368*(1-Control!$C$142)-$LQ368</f>
        <v>-1.5241745131704001</v>
      </c>
      <c r="LS368" s="170">
        <f ca="1">$AQ368*(1-Control!$C$143)-$LQ368</f>
        <v>-1.5241745131704001</v>
      </c>
      <c r="LT368" s="170">
        <f ca="1">$AQ368*(1-Control!$C$144)-$LQ368</f>
        <v>-1.5241745131704001</v>
      </c>
      <c r="LU368" s="169">
        <f ca="1">(1-Control!$C$144)*AQ368-LP368</f>
        <v>3.2464704755046001</v>
      </c>
      <c r="LV368" s="172">
        <f t="shared" ca="1" si="1255"/>
        <v>0.79430000000000012</v>
      </c>
      <c r="LW368" s="170">
        <f t="shared" ca="1" si="1256"/>
        <v>1.5886000000000002</v>
      </c>
      <c r="LX368" s="170">
        <f ca="1">($AC368*($LR368/Control!$C$141)+$LM368*$LV368)/($AC368+$LM368)</f>
        <v>0.23530094218323697</v>
      </c>
      <c r="LY368" s="170">
        <f ca="1">($AC368*($LS368/Control!$C$141)+$LM368*$LV368)/($AC368+$LM368)</f>
        <v>0.23530094218323697</v>
      </c>
      <c r="LZ368" s="170">
        <f t="shared" ca="1" si="1257"/>
        <v>0.23530094218323697</v>
      </c>
      <c r="MA368" s="170">
        <f t="shared" ca="1" si="1258"/>
        <v>0.23530094218323697</v>
      </c>
      <c r="MB368" s="170" t="e">
        <f t="shared" ca="1" si="1259"/>
        <v>#N/A</v>
      </c>
      <c r="MC368" s="170">
        <f t="shared" ca="1" si="1350"/>
        <v>0.6018</v>
      </c>
      <c r="MD368" s="170">
        <f t="shared" ca="1" si="1260"/>
        <v>0.52989392535414004</v>
      </c>
      <c r="ME368" s="170">
        <f ca="1">($AC368*($LT368/Control!$C$141)+$LM368*$LW368)/($AC368+$LM368)</f>
        <v>0.71612369323045078</v>
      </c>
      <c r="MF368" s="170" t="e">
        <f ca="1">IF(Control!$B$16&gt;=1000,0.92,IF(AND(720&lt;=Control!$B$16,1000&gt;Control!$B$16),(0.95+(Control!$B$16-720)*((0.92-0.95)/(1000-720))),IF(AND(360&lt;=Control!$B$16,720&gt;Control!$B$16),(1+(Control!$B$16-360)*((0.95-1)/(720-360))),IF(AND(40&lt;=Control!$B$16,360&gt;Control!$B$16),(1.05+(Control!$B$16-40)*((1.05-1)/(360-40)))))))</f>
        <v>#N/A</v>
      </c>
      <c r="MG368" s="170">
        <f t="shared" ca="1" si="1261"/>
        <v>0.71612369323045078</v>
      </c>
      <c r="MH368" s="170" t="e">
        <f t="shared" ca="1" si="1387"/>
        <v>#N/A</v>
      </c>
      <c r="MI368" s="170" t="e">
        <f t="shared" ca="1" si="1387"/>
        <v>#N/A</v>
      </c>
      <c r="MJ368" s="170" t="e">
        <f ca="1">MAX(0.0001, Control!$C$132*$MI368*$DL368)</f>
        <v>#N/A</v>
      </c>
      <c r="MK368" s="170">
        <f ca="1">1/(0.76+1.5*($MG368/10))-(5-Control!$C$110)*0.1</f>
        <v>1.002845988140797</v>
      </c>
      <c r="ML368" s="173">
        <f ca="1">IF(Control!$C$110&lt;3,$MK368+($MG368-0.6)/(Control!$C$110*(Control!$C$110+3)), MAX(0.1, MIN(0.95,$MK368)))</f>
        <v>0.95</v>
      </c>
      <c r="MM368" s="173">
        <f ca="1">IF(Control!$C$110&lt;3,$MK368+(($MI368/10)-0.6)/(Control!$C$110*(Control!$C$110+3)), MAX(0.1, MIN(0.95,$MK368)))</f>
        <v>0.95</v>
      </c>
      <c r="MN368" s="173">
        <f ca="1">(1-$MM368)*(Control!$C$128-Control!$C$127)+Control!$C$127</f>
        <v>0.16</v>
      </c>
      <c r="MO368" s="170" t="e">
        <f ca="1">MAX(0,MIN(1,($MS368-Control!$C$127)/($MN368-Control!$C$127)))</f>
        <v>#DIV/0!</v>
      </c>
      <c r="MP368" s="173" t="e">
        <f ca="1">1/(0.76+1.5*$MI368)-(5-Control!$C$110)*0.1</f>
        <v>#N/A</v>
      </c>
      <c r="MQ368" s="172" t="e">
        <f t="shared" ca="1" si="1379"/>
        <v>#DIV/0!</v>
      </c>
      <c r="MR368" s="168" t="e">
        <f t="shared" ca="1" si="1351"/>
        <v>#DIV/0!</v>
      </c>
      <c r="MS368" s="173" t="e">
        <f ca="1">MAX(Control!$C$127, MIN(Control!$C$135, $MR368/MAX(0.0001,$CY368)))</f>
        <v>#DIV/0!</v>
      </c>
      <c r="MT368" s="168" t="e">
        <f ca="1">(Control!$C$128-$MS368)*Control!$C$74</f>
        <v>#DIV/0!</v>
      </c>
      <c r="MU368" s="168" t="e">
        <f ca="1">(Control!$C$135-$MS368)*Control!$C$74</f>
        <v>#DIV/0!</v>
      </c>
      <c r="MV368" s="168" t="e">
        <f t="shared" ca="1" si="1352"/>
        <v>#DIV/0!</v>
      </c>
      <c r="MW368" s="168" t="e">
        <f t="shared" ca="1" si="1353"/>
        <v>#DIV/0!</v>
      </c>
      <c r="MX368" s="171" t="e">
        <f ca="1">MAX(Control!$C$127, MIN(Control!$C$135, $MW368/MAX(0.0001,Control!$C$119-$CY368)))</f>
        <v>#DIV/0!</v>
      </c>
      <c r="MY368" s="54" t="e">
        <f ca="1">IF(Control!$C$114=1, $CX368*$MX368, 0)</f>
        <v>#DIV/0!</v>
      </c>
      <c r="MZ368" s="54" t="e">
        <f t="shared" ca="1" si="1354"/>
        <v>#N/A</v>
      </c>
      <c r="NA368" s="168" t="e">
        <f ca="1">(Control!$C$128-$MX368)*(Control!$C$119-Control!$C$74)</f>
        <v>#DIV/0!</v>
      </c>
      <c r="NB368" s="168" t="e">
        <f ca="1">(Control!$C$135-$MX368)*(Control!$C$119-Control!$C$74)</f>
        <v>#DIV/0!</v>
      </c>
      <c r="NC368" s="174" t="e">
        <f t="shared" ca="1" si="1355"/>
        <v>#DIV/0!</v>
      </c>
      <c r="ND368" s="54">
        <f ca="1">IF(Control!$C$58=2, IF(OR(Control!$B$218=$AH368,Control!$B$219=$AH368, Control!$B$220=$AH368, Control!$B$221=$AH368, Control!$B$222=$AH368, Control!$B$223=$AH368, Control!$B$224=$AH368, Control!$B$225=$AH368, Control!$B$226=$AH368, Control!$B$227=$AH368, Control!$B$228=$AH368), 1, 0), 0)</f>
        <v>0</v>
      </c>
      <c r="NE368" s="54">
        <f ca="1">IF($ND368=0,0, VLOOKUP($AH368,Control!$B$218:$C$228,2))</f>
        <v>0</v>
      </c>
      <c r="NF368" s="168" t="e">
        <f ca="1">$CY368*(Control!$C$128-Control!$C$127)</f>
        <v>#N/A</v>
      </c>
      <c r="NG368" s="54" t="e">
        <f ca="1">IF(Control!$C$58=2, $NI367-$NJ367, 0)</f>
        <v>#DIV/0!</v>
      </c>
      <c r="NH368" s="54" t="e">
        <f ca="1">IF(AND(Control!$C$58=1, $MS367&lt;= ($MN367+0.02), $I367&lt;10), 0, IF(Control!$C$58=2, $NG367, 0))</f>
        <v>#DIV/0!</v>
      </c>
      <c r="NI368" s="54" t="e">
        <f ca="1">IF(Control!$C$58=2, $NE368+$NH368,0)</f>
        <v>#DIV/0!</v>
      </c>
      <c r="NJ368" s="54" t="e">
        <f ca="1">IF(AND(Control!$C$58=1, $MS368&lt;= ($MN368+0.02), $I368&lt;10), MAX(0, MIN(10, 0.7*($NF368-$MV368))), IF(Control!$C$58=2, MIN(10,$NI368),0))</f>
        <v>#DIV/0!</v>
      </c>
      <c r="NK368" s="54" t="e">
        <f t="shared" ca="1" si="1263"/>
        <v>#DIV/0!</v>
      </c>
      <c r="NL368" s="173" t="e">
        <f ca="1">(1-Control!$C$73)*$I368+$NJ368</f>
        <v>#DIV/0!</v>
      </c>
      <c r="NM368" s="172" t="e">
        <f ca="1">IF($NL368&lt;0.5, $MB368* MAX(0, MIN(1, (SQRT($NC368)-SQRT($NC368-1))*Control!$C$71)),0)</f>
        <v>#DIV/0!</v>
      </c>
      <c r="NN368" s="170" t="e">
        <f ca="1">IF($NL368&gt;=5, $MB368, MAX(0,MIN($MB368, $NM368+$NL368,($MS368-Control!$C$129))))</f>
        <v>#DIV/0!</v>
      </c>
      <c r="NO368" s="54">
        <f>IF(Control!$C$133&lt;&gt;1, Control!$C$135-Control!$C$131, 0)</f>
        <v>0.38</v>
      </c>
      <c r="NP368" s="54" t="e">
        <f t="shared" ca="1" si="1264"/>
        <v>#DIV/0!</v>
      </c>
      <c r="NQ368" s="173" t="e">
        <f ca="1">MAX(0,MIN(1,(Control!$C$135-$MS368)/(Control!$C$135-$NO368)))</f>
        <v>#DIV/0!</v>
      </c>
      <c r="NR368" s="170" t="e">
        <f ca="1">IF(Control!$C$133&lt;&gt;1, $NQ368+((1-$NP368/4)*(1-$NQ368)),1)</f>
        <v>#DIV/0!</v>
      </c>
      <c r="NS368" s="170" t="e">
        <f ca="1">IF(Control!$B$31=0,$MJ368,MAX(0,MIN($MV368,$MO368*$NR368*$MJ368)))</f>
        <v>#DIV/0!</v>
      </c>
      <c r="NT368" s="170" t="e">
        <f t="shared" ca="1" si="1380"/>
        <v>#DIV/0!</v>
      </c>
      <c r="NU368" s="170" t="e">
        <f t="shared" ca="1" si="1356"/>
        <v>#N/A</v>
      </c>
      <c r="NV368" s="170" t="e">
        <f t="shared" ca="1" si="1265"/>
        <v>#N/A</v>
      </c>
      <c r="NW368" s="175" t="e">
        <f t="shared" ca="1" si="1266"/>
        <v>#DIV/0!</v>
      </c>
      <c r="NX368" s="170" t="e">
        <f ca="1">MIN(Control!$C$72+$MU368, $NW368)</f>
        <v>#DIV/0!</v>
      </c>
      <c r="NY368" s="170" t="e">
        <f ca="1">IF($MT368&lt;=$NX368,MIN(Control!$C$72+$NB368,$NX368-$MT368),0)</f>
        <v>#DIV/0!</v>
      </c>
      <c r="NZ368" s="54" t="e">
        <f ca="1">IF(Control!$C$114=1,  $CX368*($MX368-Control!$C$127), 0)</f>
        <v>#DIV/0!</v>
      </c>
      <c r="OA368" s="170" t="e">
        <f t="shared" ca="1" si="1267"/>
        <v>#DIV/0!</v>
      </c>
      <c r="OB368" s="170" t="e">
        <f ca="1">IF($NA368 &lt;=$NY368, MIN(Control!$C$72, $NY368-$NA368), 0)</f>
        <v>#DIV/0!</v>
      </c>
      <c r="OC368" s="168" t="e">
        <f t="shared" ca="1" si="1268"/>
        <v>#DIV/0!</v>
      </c>
      <c r="OD368" s="168" t="e">
        <f t="shared" ca="1" si="1357"/>
        <v>#DIV/0!</v>
      </c>
      <c r="OE368" s="170">
        <f ca="1">Control!$C$73*$I368</f>
        <v>0</v>
      </c>
      <c r="OF368" s="176" t="e">
        <f t="shared" ca="1" si="1269"/>
        <v>#DIV/0!</v>
      </c>
      <c r="OG368" s="168" t="e">
        <f t="shared" ca="1" si="1270"/>
        <v>#DIV/0!</v>
      </c>
      <c r="OH368" s="168" t="e">
        <f t="shared" ca="1" si="1271"/>
        <v>#DIV/0!</v>
      </c>
      <c r="OI368" s="168" t="e">
        <f t="shared" ca="1" si="1272"/>
        <v>#DIV/0!</v>
      </c>
      <c r="OJ368" s="168" t="e">
        <f t="shared" ca="1" si="1273"/>
        <v>#DIV/0!</v>
      </c>
      <c r="OK368" s="204" t="e">
        <f t="shared" ca="1" si="1274"/>
        <v>#DIV/0!</v>
      </c>
      <c r="OL368" s="177">
        <f>Control!$C$127</f>
        <v>0.15</v>
      </c>
      <c r="OM368" s="182" t="e">
        <f t="shared" ca="1" si="1275"/>
        <v>#N/A</v>
      </c>
      <c r="ON368" s="177">
        <f>Control!$C$128</f>
        <v>0.35</v>
      </c>
      <c r="OO368" s="182" t="e">
        <f t="shared" ca="1" si="1276"/>
        <v>#N/A</v>
      </c>
      <c r="OP368" s="138">
        <f t="shared" ca="1" si="1358"/>
        <v>0</v>
      </c>
      <c r="OQ368" s="138" t="e">
        <f t="shared" ca="1" si="1381"/>
        <v>#DIV/0!</v>
      </c>
      <c r="OR368" s="138" t="e">
        <f t="shared" ca="1" si="1359"/>
        <v>#DIV/0!</v>
      </c>
      <c r="OS368" s="137" t="e">
        <f t="shared" ca="1" si="1382"/>
        <v>#DIV/0!</v>
      </c>
      <c r="OT368" s="139" t="e">
        <f t="shared" ca="1" si="1383"/>
        <v>#DIV/0!</v>
      </c>
      <c r="OU368" s="138" t="e">
        <f t="shared" ca="1" si="1384"/>
        <v>#N/A</v>
      </c>
      <c r="OV368" s="138" t="e">
        <f t="shared" ca="1" si="1385"/>
        <v>#DIV/0!</v>
      </c>
      <c r="OW368" s="138" t="e">
        <f t="shared" ca="1" si="1360"/>
        <v>#DIV/0!</v>
      </c>
      <c r="OX368" s="138" t="e">
        <f t="shared" ca="1" si="1361"/>
        <v>#DIV/0!</v>
      </c>
      <c r="OY368" s="138" t="e">
        <f t="shared" ca="1" si="1362"/>
        <v>#DIV/0!</v>
      </c>
      <c r="OZ368" s="138" t="e">
        <f t="shared" ca="1" si="1277"/>
        <v>#DIV/0!</v>
      </c>
      <c r="PA368" s="138" t="e">
        <f t="shared" ca="1" si="1278"/>
        <v>#DIV/0!</v>
      </c>
      <c r="PB368" s="55">
        <f>IF(Control!$C$61="T", IF(Control!$C$65="F", IF($AH$6-Control!$C$60&lt;0,0,1), IF(365+$AH$6-Control!$C$60&lt;0,0,1)),0)</f>
        <v>0</v>
      </c>
      <c r="PC368" s="55">
        <f ca="1">IF(Control!$C$65="F", IF($AH$6-$HF368&lt;0,0,1), IF(365+$AH$6-$HF368&lt;0,0,1))</f>
        <v>1</v>
      </c>
      <c r="PD368" s="444">
        <f>Control!$C$118</f>
        <v>1500</v>
      </c>
      <c r="PE368" s="180" t="e">
        <f t="shared" ca="1" si="1279"/>
        <v>#N/A</v>
      </c>
      <c r="PF368" s="445">
        <f t="shared" ca="1" si="1363"/>
        <v>0.71612369323045078</v>
      </c>
      <c r="PT368" s="186"/>
      <c r="PU368" s="186"/>
      <c r="PV368" s="94"/>
      <c r="PW368" s="94"/>
      <c r="PX368" s="94"/>
      <c r="PY368" s="94"/>
      <c r="PZ368" s="94"/>
      <c r="QA368" s="94"/>
      <c r="QB368" s="94"/>
      <c r="QC368" s="94"/>
      <c r="QD368" s="94"/>
      <c r="QE368" s="94"/>
      <c r="QF368" s="94"/>
      <c r="QG368" s="94"/>
      <c r="QH368" s="94"/>
      <c r="QI368" s="94"/>
      <c r="QJ368" s="94"/>
      <c r="QK368" s="94"/>
      <c r="QL368" s="94"/>
      <c r="QM368" s="94"/>
      <c r="QN368" s="94"/>
      <c r="QO368" s="94"/>
      <c r="QP368" s="94"/>
    </row>
    <row r="369" spans="1:458" s="2" customFormat="1" x14ac:dyDescent="0.2">
      <c r="A369" s="395">
        <v>30</v>
      </c>
      <c r="B369" s="396">
        <v>12</v>
      </c>
      <c r="C369" s="387">
        <f ca="1">Weather_data!$B368</f>
        <v>0</v>
      </c>
      <c r="D369" s="388">
        <f ca="1">Weather_data!$F368</f>
        <v>0</v>
      </c>
      <c r="E369" s="388">
        <f ca="1">Weather_data!$E368</f>
        <v>0</v>
      </c>
      <c r="F369" s="388">
        <f t="shared" ca="1" si="1280"/>
        <v>0</v>
      </c>
      <c r="G369" s="388">
        <f ca="1">AVERAGE($D369:$E369)+Control!$B$9</f>
        <v>0</v>
      </c>
      <c r="H369" s="388">
        <f ca="1">Weather_data!$G368</f>
        <v>0</v>
      </c>
      <c r="I369" s="388">
        <f ca="1">Weather_data!$I368</f>
        <v>0</v>
      </c>
      <c r="J369" s="388">
        <f ca="1">Weather_data!$H368</f>
        <v>0</v>
      </c>
      <c r="K369" s="389">
        <f ca="1">Weather_data!$D368</f>
        <v>0</v>
      </c>
      <c r="L369" s="388" t="e">
        <f t="shared" ca="1" si="1281"/>
        <v>#N/A</v>
      </c>
      <c r="M369" s="388" t="e">
        <f t="shared" ca="1" si="1158"/>
        <v>#N/A</v>
      </c>
      <c r="N369" s="388">
        <f t="shared" ca="1" si="1159"/>
        <v>-1.2274418618966422E-17</v>
      </c>
      <c r="O369" s="388">
        <f t="shared" ca="1" si="1282"/>
        <v>1.2274418618966423E-16</v>
      </c>
      <c r="P369" s="390">
        <v>3</v>
      </c>
      <c r="Q369" s="388">
        <f ca="1">MAX($G369-Control!$C$107,0)</f>
        <v>0</v>
      </c>
      <c r="R369" s="388">
        <f t="shared" ca="1" si="1283"/>
        <v>0</v>
      </c>
      <c r="S369" s="388">
        <f t="shared" ca="1" si="1160"/>
        <v>0</v>
      </c>
      <c r="T369" s="388">
        <f t="shared" ca="1" si="1161"/>
        <v>0</v>
      </c>
      <c r="U369" s="59">
        <f t="shared" ca="1" si="1162"/>
        <v>0</v>
      </c>
      <c r="V369" s="391">
        <f ca="1">MAX(0,MIN(Control!$C$100-Control!$C$99,$G369-Control!$C$99)*Control!$C$63)</f>
        <v>0</v>
      </c>
      <c r="W369" s="388">
        <f t="shared" ca="1" si="1284"/>
        <v>0</v>
      </c>
      <c r="X369" s="388">
        <f t="shared" ca="1" si="1285"/>
        <v>0.6110000000000001</v>
      </c>
      <c r="Y369" s="388">
        <f t="shared" ca="1" si="1163"/>
        <v>0</v>
      </c>
      <c r="Z369" s="388">
        <f t="shared" ca="1" si="1286"/>
        <v>0.61058800000000002</v>
      </c>
      <c r="AA369" s="388">
        <f t="shared" ca="1" si="1164"/>
        <v>0.6018</v>
      </c>
      <c r="AB369" s="388">
        <f ca="1">101.3*EXP(-0.034*Control!$C$66/($G369+273))</f>
        <v>100.69623283836242</v>
      </c>
      <c r="AC369" s="392">
        <f t="shared" ca="1" si="1165"/>
        <v>4.3460251046025113E-2</v>
      </c>
      <c r="AD369" s="392">
        <f t="shared" ca="1" si="1166"/>
        <v>4.4450382862832649E-2</v>
      </c>
      <c r="AE369" s="388">
        <f t="shared" ca="1" si="1167"/>
        <v>0</v>
      </c>
      <c r="AF369" s="388">
        <f ca="1">MAX(0,$G369-Control!$C$92)</f>
        <v>0</v>
      </c>
      <c r="AG369" s="393">
        <f t="shared" ca="1" si="1168"/>
        <v>365</v>
      </c>
      <c r="AH369" s="389">
        <f t="shared" ca="1" si="1169"/>
        <v>365</v>
      </c>
      <c r="AI369" s="388">
        <f t="shared" ca="1" si="1287"/>
        <v>-0.40287722776943774</v>
      </c>
      <c r="AJ369" s="388">
        <f ca="1">IF(Control!$C$60&lt;=0,$HH369,$HI369)</f>
        <v>1</v>
      </c>
      <c r="AK369" s="388">
        <f t="shared" ca="1" si="1170"/>
        <v>4.9060488014963894</v>
      </c>
      <c r="AL369" s="388">
        <f t="shared" ca="1" si="1171"/>
        <v>9.9178044249414994E-18</v>
      </c>
      <c r="AM369" s="388">
        <f t="shared" ca="1" si="1172"/>
        <v>4.9060488014963894</v>
      </c>
      <c r="AN369" s="388">
        <f t="shared" ca="1" si="1173"/>
        <v>-0.4010266170752268</v>
      </c>
      <c r="AO369" s="388">
        <f ca="1">-0.10453/COS(Control!$B$8*PI()/180)*COS(AN369)</f>
        <v>-0.15631425622700434</v>
      </c>
      <c r="AP369" s="388">
        <f ca="1">ACOS(AO369-TAN(Control!$B$8*PI()/180)*TAN(AN369))</f>
        <v>1.1740863219978461</v>
      </c>
      <c r="AQ369" s="388">
        <f t="shared" ca="1" si="1288"/>
        <v>0</v>
      </c>
      <c r="AR369" s="394">
        <f t="shared" ca="1" si="1174"/>
        <v>0</v>
      </c>
      <c r="AS369" s="436">
        <f ca="1">IF(Control!$B$18=2,(IF(OR($AH369=Control!$B$175,$AH369=Control!$B$176,$AH369=Control!$B$177,$AH369=Control!$B$178,$AH369=Control!$B$179,$AH369=Control!$B$180,$AH369=Control!$B$181,$AH369=Control!$B$182,$AH369=Control!$B$183,$AH369=Control!$B$184,$AH369=Control!$B$185),1,0)),0)</f>
        <v>0</v>
      </c>
      <c r="AT369" s="436">
        <f>IF(Control!$B$20=8,IF(AND($AH369&gt;=Control!$B$172,$AH369&lt;=Control!$B$173),1,0),0)</f>
        <v>0</v>
      </c>
      <c r="AU369" s="436">
        <f>IF(Control!$B$20=8,IF($AV368=1,1*$AT369,IF($AT369=1,$AU368+1,$AU368)),0)</f>
        <v>0</v>
      </c>
      <c r="AV369" s="436">
        <f>IF(Control!$B$20=8,IF($AU369&gt;=Control!$B$174,1,0),0)</f>
        <v>0</v>
      </c>
      <c r="AW369" s="436">
        <f ca="1">IF(AND(Control!$B$18=2,Control!$B$171=1), $AV369, $AS369)</f>
        <v>0</v>
      </c>
      <c r="AX369" s="436" t="e">
        <f ca="1">IF(AND(Control!$B$18=1,$EU369&gt;=Control!$B$19),-$AY369,IF(AND(Control!$B$18=2,$AW369=1,$EU369&gt;$DS369),-$AY369, IF(Control!$C$108=0,0, IF(Control!$C$108&lt;&gt;0,1))))</f>
        <v>#N/A</v>
      </c>
      <c r="AY369" s="436" t="e">
        <f t="shared" ca="1" si="1289"/>
        <v>#N/A</v>
      </c>
      <c r="AZ369" s="436" t="e">
        <f ca="1">IF(AND(Control!$B$18=1,$EB369&gt;Control!$B$19),$AZ368+1, IF(AND(Control!$B$18=2, $AW369=1, $EB369&gt;$DS369), $AZ368+1,$AZ368))</f>
        <v>#N/A</v>
      </c>
      <c r="BA369" s="587">
        <f>IF(Control!$C$81=0,1,IF($AH369&gt;=Control!$C$82,1,0))</f>
        <v>1</v>
      </c>
      <c r="BB369" s="140" t="e">
        <f ca="1">IF($BA369&gt;$BA368,Control!$C$83,IF($AW369&gt;0,$AW369*Control!$C$84,IF(AND(Control!$B$18=1,EN368&lt;&gt;0),Control!$C$84,0)))</f>
        <v>#N/A</v>
      </c>
      <c r="BC369" s="140" t="e">
        <f t="shared" ca="1" si="1290"/>
        <v>#N/A</v>
      </c>
      <c r="BD369" s="140" t="e">
        <f ca="1">BC369*IF(OR($G369&lt;Control!$C$92,$G369&gt;Control!$C$95),0,IF(AND($G369&gt;=Control!$C$92,$G369&lt;=Control!$C$93),$G369-Control!$C$92,IF(AND($G369&gt;Control!$C$93,$G369&lt;=Control!$C$94),Control!$C$93-Control!$C$92,IF(AND($G369&gt;Control!$C$94,$G369&lt;=Control!$C$95),(Control!$C$93-Control!$C$92)*(Control!$C$94-$G369)/(Control!$C$95-Control!$C$94)))))</f>
        <v>#N/A</v>
      </c>
      <c r="BE369" s="140" t="e">
        <f t="shared" ca="1" si="1291"/>
        <v>#N/A</v>
      </c>
      <c r="BF369" s="140" t="e">
        <f ca="1">IF($BE369&lt;=Control!$C$86,$BE369,Control!$C$86-$BE369)</f>
        <v>#N/A</v>
      </c>
      <c r="BG369" s="140" t="e">
        <f ca="1">IF(AND($AW369=1,Control!$C$84&lt;9),1,IF($BE369&gt;=Control!$C$86,0,$BC369))</f>
        <v>#N/A</v>
      </c>
      <c r="BH369" s="404" t="e">
        <f ca="1">IF($BG369=0,0,IF($BE369&lt;=Control!$C$86,$BC369*9*($BF369/Control!$C$86),0))</f>
        <v>#N/A</v>
      </c>
      <c r="BI369" s="140" t="e">
        <f ca="1">IF($BG369=1,0,IF($BE369&gt;=Control!$C$86,1,IF(AND($BB369&lt;21,$BB369&gt;=9),1,$BM368)))</f>
        <v>#N/A</v>
      </c>
      <c r="BJ369" s="140" t="e">
        <f ca="1">IF($BF369&lt;0,-$BF369,$BI369*IF(OR($G369&lt;Control!$C$92,$G369&gt;Control!$C$95),0,IF(AND($G369&gt;=Control!$C$92,$G369&lt;=Control!$C$93),$G369-Control!$C$92,IF(AND($G369&gt;Control!$C$93,$G369&lt;=Control!$C$94),Control!$C$93-Control!$C$92,IF(AND($G369&gt;Control!$C$94,$G369&lt;=Control!$C$95),(Control!$C$93-Control!$C$92)*(Control!$C$94-$G369)/(Control!$C$95-Control!$C$94))))))</f>
        <v>#N/A</v>
      </c>
      <c r="BK369" s="140" t="e">
        <f t="shared" ca="1" si="1292"/>
        <v>#N/A</v>
      </c>
      <c r="BL369" s="140" t="e">
        <f ca="1">IF($BK369&lt;=Control!$C$87,$BK369,Control!$C$87-$BK369)</f>
        <v>#N/A</v>
      </c>
      <c r="BM369" s="140" t="e">
        <f ca="1">IF(AND($BB369&gt;=9,$BB369&lt;21),1,IF($BK369&gt;=Control!$C$87,0,$BI369))</f>
        <v>#N/A</v>
      </c>
      <c r="BN369" s="404" t="e">
        <f ca="1">IF($BM369=0,0,IF($BK369&lt;=Control!$C$87,$BI369*(9+(21-9)*($BL369/Control!$C$87)),0))</f>
        <v>#N/A</v>
      </c>
      <c r="BO369" s="140" t="e">
        <f ca="1">IF($BM369=1,0,IF($BK369&gt;=Control!$C$87,1,IF(AND($BB369&lt;30,$BB369&gt;=21),1,$BS368)))</f>
        <v>#N/A</v>
      </c>
      <c r="BP369" s="140" t="e">
        <f ca="1">IF($BL369&lt;0,-$BL369,$BO369*IF(OR($G369&lt;Control!$C$92,$G369&gt;Control!$C$95),0,IF(AND($G369&gt;=Control!$C$92,$G369&lt;=Control!$C$93),$G369-Control!$C$92,IF(AND($G369&gt;Control!$C$93,$G369&lt;=Control!$C$94),Control!$C$93-Control!$C$92,IF(AND($G369&gt;Control!$C$94,$G369&lt;=Control!$C$95),(Control!$C$93-Control!$C$92)*(Control!$C$94-$G369)/(Control!$C$95-Control!$C$94))))))</f>
        <v>#N/A</v>
      </c>
      <c r="BQ369" s="140" t="e">
        <f t="shared" ca="1" si="1175"/>
        <v>#N/A</v>
      </c>
      <c r="BR369" s="140" t="e">
        <f ca="1">IF($BQ369&lt;=Control!$C$88,$BQ369,Control!$C$88-$BQ369)</f>
        <v>#N/A</v>
      </c>
      <c r="BS369" s="140" t="e">
        <f ca="1">IF(AND($BB369&gt;=21,$BB369&lt;30),1,IF($BQ369&gt;=Control!$C$88,0,$BO369))</f>
        <v>#N/A</v>
      </c>
      <c r="BT369" s="404" t="e">
        <f ca="1">IF($BS369=0,0,IF($BQ369&lt;=Control!$C$88,$BO369*(21+(30-21)*(BR369/Control!$C$88)),0))</f>
        <v>#N/A</v>
      </c>
      <c r="BU369" s="140" t="e">
        <f ca="1">IF(BG369+BM369+BS369=1,0,IF(OR(AND($BB369&lt;60,$BB369&gt;=30),$BQ369&gt;=Control!$C$88),1*$BA369,$BY368))</f>
        <v>#N/A</v>
      </c>
      <c r="BV369" s="140" t="e">
        <f ca="1">IF($BR369&lt;0,-$BR369,$BU369*IF(OR($G369&lt;Control!$C$92,$G369&gt;Control!$C$95),0,IF(AND($G369&gt;=Control!$C$92,$G369&lt;=Control!$C$93),$G369-Control!$C$92,IF(AND($G369&gt;Control!$C$93,$G369&lt;=Control!$C$94),Control!$C$93-Control!$C$92,IF(AND($G369&gt;Control!$C$94,$G369&lt;=Control!$C$95),(Control!$C$93-Control!$C$92)*(Control!$C$94-$G369)/(Control!$C$95-Control!$C$94))))))</f>
        <v>#N/A</v>
      </c>
      <c r="BW369" s="140" t="e">
        <f t="shared" ca="1" si="1176"/>
        <v>#N/A</v>
      </c>
      <c r="BX369" s="140" t="e">
        <f ca="1">IF($BW369&lt;=Control!$C$89,$BW369,Control!$C$89-$BW369)</f>
        <v>#N/A</v>
      </c>
      <c r="BY369" s="140" t="e">
        <f ca="1">IF(AND($AJ369&gt;=30,$AJ369&lt;60),1,IF($BW369&gt;=Control!$C$89,0,$BU369))</f>
        <v>#N/A</v>
      </c>
      <c r="BZ369" s="404" t="e">
        <f ca="1">IF($BY369=0,0,IF($BW369&lt;=Control!$C$89,$BU369*(30+(60-30)*(BX369/Control!$C$89)),0))</f>
        <v>#N/A</v>
      </c>
      <c r="CA369" s="140" t="e">
        <f ca="1">IF($BG369+$BM369+$BS369+$BY369=1,0,IF(OR(AND($BB369&lt;65,$BB369&gt;=60),$BW369&gt;=Control!$C$89),1*$BA369,$CE368))</f>
        <v>#N/A</v>
      </c>
      <c r="CB369" s="140" t="e">
        <f ca="1">IF($BX369&lt;0,-$BX369,$CA369*IF(OR($G369&lt;Control!$C$92,$G369&gt;Control!$C$95),0,IF(AND($G369&gt;=Control!$C$92,$G369&lt;=Control!$C$93),$G369-Control!$C$92,IF(AND($G369&gt;Control!$C$93,$G369&lt;=Control!$C$94),Control!$C$93-Control!$C$92,IF(AND($G369&gt;Control!$C$94,$G369&lt;=Control!$C$95),(Control!$C$93-Control!$C$92)*(Control!$C$94-$G369)/(Control!$C$95-Control!$C$94))))))</f>
        <v>#N/A</v>
      </c>
      <c r="CC369" s="140" t="e">
        <f t="shared" ca="1" si="1293"/>
        <v>#N/A</v>
      </c>
      <c r="CD369" s="140" t="e">
        <f ca="1">IF($CC369&lt;=Control!$C$90,$CC369,Control!$C$90-$CC369)</f>
        <v>#N/A</v>
      </c>
      <c r="CE369" s="140" t="e">
        <f ca="1">IF(AND($BB369&gt;=60,$BB369&lt;65),1,IF($CC369&gt;=Control!$C$90,0,$CA369))</f>
        <v>#N/A</v>
      </c>
      <c r="CF369" s="404" t="e">
        <f ca="1">IF($CE369=0,0,IF($CC369&lt;=Control!$C$90,$CA369*(60+(65-60)*(CD369/Control!$C$90)),0))</f>
        <v>#N/A</v>
      </c>
      <c r="CG369" s="140" t="e">
        <f ca="1">IF($BG369+$BM369+$BS369+$BY369+$CE369=1,0,IF(OR(AND($BB369&lt;90,$BB369&gt;=65),$CC369&gt;=Control!$C$90),$BA369,$CK368))</f>
        <v>#N/A</v>
      </c>
      <c r="CH369" s="140" t="e">
        <f ca="1">IF($CD369&lt;0,-$CD369,$CG369*IF(OR($G369&lt;Control!$C$92,$G369&gt;Control!$C$95),0,IF(AND($G369&gt;=Control!$C$92,$G369&lt;=Control!$C$93),$G369-Control!$C$92,IF(AND($G369&gt;Control!$C$93,$G369&lt;=Control!$C$94),Control!$C$93-Control!$C$92,IF(AND($G369&gt;Control!$C$94,$G369&lt;=Control!$C$95),(Control!$C$93-Control!$C$92)*(Control!$C$94-$G369)/(Control!$C$95-Control!$C$94))))))</f>
        <v>#N/A</v>
      </c>
      <c r="CI369" s="140" t="e">
        <f t="shared" ca="1" si="1294"/>
        <v>#N/A</v>
      </c>
      <c r="CJ369" s="140" t="e">
        <f ca="1">IF($CI369&lt;=Control!$C$91,$CI369,Control!$C$91-$CI369)</f>
        <v>#N/A</v>
      </c>
      <c r="CK369" s="140" t="e">
        <f ca="1">IF(AND($BB369&gt;=65,$BB369&lt;90),1,IF($CI369&gt;=Control!$C$91,0,$CG369))</f>
        <v>#N/A</v>
      </c>
      <c r="CL369" s="404" t="e">
        <f ca="1">IF($CK369=0,0,IF($CI369&lt;=Control!$C$91,$CG369*(65+(90-65)*($CJ369/Control!$C$91)),0))</f>
        <v>#N/A</v>
      </c>
      <c r="CM369" s="140" t="e">
        <f ca="1">IF($BG369+$BM369+$BS369+$BY369+$CE369+$CK369=1,0,IF(OR($BB369&gt;=90,$CI369&gt;=Control!$C$91),$BA369,$CM368))</f>
        <v>#N/A</v>
      </c>
      <c r="CN369" s="140" t="e">
        <f t="shared" ca="1" si="1295"/>
        <v>#N/A</v>
      </c>
      <c r="CO369" s="140" t="e">
        <f t="shared" ca="1" si="1296"/>
        <v>#N/A</v>
      </c>
      <c r="CP369" s="140" t="e">
        <f t="shared" ca="1" si="1297"/>
        <v>#N/A</v>
      </c>
      <c r="CQ369" s="141" t="e">
        <f ca="1">VLOOKUP($CP369,Control!$B$86:$G$91,6)</f>
        <v>#N/A</v>
      </c>
      <c r="CR369" s="141" t="e">
        <f ca="1">(1-$CQ369)*VLOOKUP($CP369,Control!$B$86:$D$91,3)</f>
        <v>#N/A</v>
      </c>
      <c r="CS369" s="141" t="e">
        <f ca="1">(1-$CQ369)*VLOOKUP($CP369,Control!$B$86:$E$91,4)</f>
        <v>#N/A</v>
      </c>
      <c r="CT369" s="141" t="e">
        <f ca="1">(1-$CQ369)*VLOOKUP($CP369,Control!$B$86:$F$91,5)</f>
        <v>#N/A</v>
      </c>
      <c r="CU369" s="141">
        <f t="shared" ca="1" si="1298"/>
        <v>0</v>
      </c>
      <c r="CV369" s="583">
        <f t="shared" ca="1" si="1299"/>
        <v>0</v>
      </c>
      <c r="CW369" s="142">
        <f t="shared" ca="1" si="1300"/>
        <v>365</v>
      </c>
      <c r="CX369" s="612" t="e">
        <f ca="1">IF(Control!$C$114=1,(MIN(Control!$C$120*(IF($NT369-0.01&lt;0,0,1)),Control!$C$119-$CY369)))</f>
        <v>#DIV/0!</v>
      </c>
      <c r="CY369" s="143" t="e">
        <f t="shared" ca="1" si="1301"/>
        <v>#N/A</v>
      </c>
      <c r="CZ369" s="144">
        <f t="shared" ca="1" si="1177"/>
        <v>0</v>
      </c>
      <c r="DA369" s="144">
        <f t="shared" ca="1" si="1178"/>
        <v>0</v>
      </c>
      <c r="DB369" s="144" t="e">
        <f t="shared" ca="1" si="1179"/>
        <v>#N/A</v>
      </c>
      <c r="DC369" s="144" t="e">
        <f t="shared" ca="1" si="1180"/>
        <v>#N/A</v>
      </c>
      <c r="DD369" s="144" t="e">
        <f t="shared" ca="1" si="1386"/>
        <v>#N/A</v>
      </c>
      <c r="DE369" s="143" t="e">
        <f t="shared" ca="1" si="1302"/>
        <v>#N/A</v>
      </c>
      <c r="DF369" s="145" t="e">
        <f ca="1">$DR369*EXP(-Control!$C$158*(1-$KH369))</f>
        <v>#N/A</v>
      </c>
      <c r="DG369" s="146" t="e">
        <f ca="1">IF(Control!$C$114=1, $DF369*$EY369, 0)</f>
        <v>#N/A</v>
      </c>
      <c r="DH369" s="147" t="e">
        <f t="shared" ca="1" si="1303"/>
        <v>#N/A</v>
      </c>
      <c r="DI369" s="144" t="e">
        <f t="shared" ca="1" si="1364"/>
        <v>#N/A</v>
      </c>
      <c r="DJ369" s="147" t="e">
        <f ca="1">$EF369*Control!$C$109</f>
        <v>#N/A</v>
      </c>
      <c r="DK369" s="144" t="e">
        <f t="shared" ca="1" si="1304"/>
        <v>#N/A</v>
      </c>
      <c r="DL369" s="144" t="e">
        <f t="shared" ca="1" si="1181"/>
        <v>#N/A</v>
      </c>
      <c r="DM369" s="144" t="e">
        <f ca="1">IF(Control!$C$114=1, (1-EXP(-Control!$C$96*$DK369))*$AR369, 0)</f>
        <v>#N/A</v>
      </c>
      <c r="DN369" s="144">
        <f t="shared" ca="1" si="1305"/>
        <v>0</v>
      </c>
      <c r="DO369" s="148">
        <f>Control!$C$97</f>
        <v>4</v>
      </c>
      <c r="DP369" s="145" t="e">
        <f t="shared" ca="1" si="1306"/>
        <v>#N/A</v>
      </c>
      <c r="DQ369" s="145" t="e">
        <f ca="1">IF(AND($CP369&gt;=0,$CP369&lt;=90),Control!$C$111,Control!$C$111)</f>
        <v>#N/A</v>
      </c>
      <c r="DR369" s="145" t="e">
        <f t="shared" ca="1" si="1182"/>
        <v>#N/A</v>
      </c>
      <c r="DS369" s="143" t="e">
        <f ca="1">Control!$B$22/$DR369</f>
        <v>#N/A</v>
      </c>
      <c r="DT369" s="149" t="e">
        <f ca="1">IF(AND(Control!$C$114=1,$KH369&lt;1),$IM369*$DF369, 0)</f>
        <v>#N/A</v>
      </c>
      <c r="DU369" s="144" t="e">
        <f t="shared" ca="1" si="1307"/>
        <v>#N/A</v>
      </c>
      <c r="DV369" s="144">
        <f ca="1">IF($G369-Control!$C$107&lt;=0, 0, 0.83*LN(MAX($G369, 3))-0.8924)</f>
        <v>0</v>
      </c>
      <c r="DW369" s="144" t="e">
        <f t="shared" ca="1" si="1183"/>
        <v>#N/A</v>
      </c>
      <c r="DX369" s="150" t="e">
        <f ca="1">MAX(0.01*(1+$CU369/Control!$C$102),0.05*($DK369-Control!$C$97)/Control!$C$97)</f>
        <v>#N/A</v>
      </c>
      <c r="DY369" s="151" t="e">
        <f ca="1">IF(Control!$C$114=1, $DI369*$FS369, 0)</f>
        <v>#N/A</v>
      </c>
      <c r="DZ369" s="196" t="e">
        <f t="shared" ca="1" si="1308"/>
        <v>#N/A</v>
      </c>
      <c r="EA369" s="152">
        <f t="shared" ca="1" si="1309"/>
        <v>365</v>
      </c>
      <c r="EB369" s="153" t="e">
        <f t="shared" ca="1" si="1310"/>
        <v>#N/A</v>
      </c>
      <c r="EC369" s="153" t="e">
        <f t="shared" ca="1" si="1311"/>
        <v>#N/A</v>
      </c>
      <c r="ED369" s="154" t="e">
        <f ca="1">IF(Control!$C$114=1, $HM369*$FY369-$FD369, 0)</f>
        <v>#DIV/0!</v>
      </c>
      <c r="EE369" s="155" t="e">
        <f ca="1">IF(Control!$C$114=1, $HM369*$FZ369-$FF369, 0)</f>
        <v>#DIV/0!</v>
      </c>
      <c r="EF369" s="153" t="e">
        <f t="shared" ca="1" si="1365"/>
        <v>#N/A</v>
      </c>
      <c r="EG369" s="155" t="e">
        <f ca="1">IF(Control!$C$114=1, $GX369*$FW369-$FI369, 0)</f>
        <v>#DIV/0!</v>
      </c>
      <c r="EH369" s="153" t="e">
        <f t="shared" ca="1" si="1312"/>
        <v>#N/A</v>
      </c>
      <c r="EI369" s="156" t="e">
        <f t="shared" ca="1" si="1313"/>
        <v>#N/A</v>
      </c>
      <c r="EJ369" s="155" t="e">
        <f ca="1">IF(Control!$C$114=1, $HM369*$GB369, 0)</f>
        <v>#DIV/0!</v>
      </c>
      <c r="EK369" s="153" t="e">
        <f t="shared" ca="1" si="1366"/>
        <v>#N/A</v>
      </c>
      <c r="EL369" s="153" t="e">
        <f t="shared" ca="1" si="1184"/>
        <v>#N/A</v>
      </c>
      <c r="EM369" s="153" t="e">
        <f t="shared" ca="1" si="1185"/>
        <v>#N/A</v>
      </c>
      <c r="EN369" s="153" t="e">
        <f ca="1">IF(Control!$C$108=1,IF(AND(Control!$B$18=1,$EB369&gt;=Control!$B$19),$EB369-$DS369,IF(AND(Control!$B$18=2,$AW369=1,$EB369&gt;$DS369),$EB369-$DS369,0)))</f>
        <v>#N/A</v>
      </c>
      <c r="EO369" s="153" t="e">
        <f ca="1">IF(Control!$C$108=1,IF(AND(Control!$B$18=1,$EB369&gt;=Control!$B$19),$EF369,IF(AND(Control!$B$18=2,$AW369=1),$EF369,0)))</f>
        <v>#N/A</v>
      </c>
      <c r="EP369" s="153" t="e">
        <f ca="1">IF(Control!$C$108=1,IF(AND(Control!$B$18=1,$EB369&gt;=Control!$B$19),$EK369,IF(AND(Control!$B$18=2,$AW369=1),$EK369,0)))</f>
        <v>#N/A</v>
      </c>
      <c r="EQ369" s="153" t="e">
        <f t="shared" ca="1" si="1314"/>
        <v>#N/A</v>
      </c>
      <c r="ER369" s="153" t="e">
        <f t="shared" ca="1" si="1315"/>
        <v>#N/A</v>
      </c>
      <c r="ES369" s="153" t="e">
        <f t="shared" ca="1" si="1367"/>
        <v>#N/A</v>
      </c>
      <c r="ET369" s="153" t="e">
        <f t="shared" ca="1" si="1368"/>
        <v>#N/A</v>
      </c>
      <c r="EU369" s="153" t="e">
        <f t="shared" ca="1" si="1316"/>
        <v>#N/A</v>
      </c>
      <c r="EV369" s="153" t="e">
        <f t="shared" ca="1" si="1186"/>
        <v>#N/A</v>
      </c>
      <c r="EW369" s="153" t="e">
        <f t="shared" ca="1" si="1187"/>
        <v>#N/A</v>
      </c>
      <c r="EX369" s="153" t="e">
        <f t="shared" ca="1" si="1188"/>
        <v>#N/A</v>
      </c>
      <c r="EY369" s="157" t="e">
        <f t="shared" ca="1" si="1189"/>
        <v>#DIV/0!</v>
      </c>
      <c r="EZ369" s="154" t="e">
        <f t="shared" ca="1" si="1190"/>
        <v>#DIV/0!</v>
      </c>
      <c r="FA369" s="153" t="e">
        <f t="shared" ca="1" si="1317"/>
        <v>#N/A</v>
      </c>
      <c r="FB369" s="153" t="e">
        <f t="shared" ca="1" si="1191"/>
        <v>#N/A</v>
      </c>
      <c r="FC369" s="193" t="e">
        <f t="shared" ca="1" si="1192"/>
        <v>#N/A</v>
      </c>
      <c r="FD369" s="158" t="e">
        <f t="shared" ca="1" si="1318"/>
        <v>#N/A</v>
      </c>
      <c r="FE369" s="158" t="e">
        <f t="shared" ca="1" si="1319"/>
        <v>#N/A</v>
      </c>
      <c r="FF369" s="159" t="e">
        <f t="shared" ca="1" si="1193"/>
        <v>#N/A</v>
      </c>
      <c r="FG369" s="160" t="e">
        <f t="shared" ca="1" si="1320"/>
        <v>#N/A</v>
      </c>
      <c r="FH369" s="158" t="e">
        <f t="shared" ca="1" si="1321"/>
        <v>#N/A</v>
      </c>
      <c r="FI369" s="159" t="e">
        <f t="shared" ca="1" si="1194"/>
        <v>#N/A</v>
      </c>
      <c r="FJ369" s="160" t="e">
        <f t="shared" ca="1" si="1322"/>
        <v>#N/A</v>
      </c>
      <c r="FK369" s="160" t="e">
        <f t="shared" ca="1" si="1195"/>
        <v>#N/A</v>
      </c>
      <c r="FL369" s="160" t="e">
        <f t="shared" ca="1" si="1369"/>
        <v>#N/A</v>
      </c>
      <c r="FM369" s="160" t="e">
        <f t="shared" ca="1" si="1196"/>
        <v>#N/A</v>
      </c>
      <c r="FN369" s="158">
        <f t="shared" ca="1" si="1323"/>
        <v>0.01</v>
      </c>
      <c r="FO369" s="160">
        <f>Control!$C$101</f>
        <v>50</v>
      </c>
      <c r="FP369" s="150" t="e">
        <f t="shared" ca="1" si="1197"/>
        <v>#N/A</v>
      </c>
      <c r="FQ369" s="150" t="e">
        <f ca="1">MAX(0,(Control!$C$112*(($DK369-Control!$C$97)/Control!$C$97)))</f>
        <v>#N/A</v>
      </c>
      <c r="FR369" s="150" t="e">
        <f ca="1">(1-$NT369)*Control!$C$113</f>
        <v>#DIV/0!</v>
      </c>
      <c r="FS369" s="198" t="e">
        <f t="shared" ca="1" si="1198"/>
        <v>#N/A</v>
      </c>
      <c r="FT369" s="161">
        <f t="shared" ca="1" si="1324"/>
        <v>365</v>
      </c>
      <c r="FU369" s="162" t="e">
        <f ca="1">IF(Control!$B$34=1,VLOOKUP($CP369,Control!$B$86:$G$91,6),Control!$B$35)</f>
        <v>#N/A</v>
      </c>
      <c r="FV369" s="162" t="e">
        <f t="shared" ca="1" si="1199"/>
        <v>#DIV/0!</v>
      </c>
      <c r="FW369" s="162" t="e">
        <f ca="1">IF(Control!$B$31=1,$FU369*$FV369,  $FU369)</f>
        <v>#N/A</v>
      </c>
      <c r="FX369" s="162" t="e">
        <f ca="1">IF(Control!$B$34=1,VLOOKUP($CP369,Control!$B$86:$G$91,3),Control!$B$36)</f>
        <v>#N/A</v>
      </c>
      <c r="FY369" s="162" t="e">
        <f t="shared" ca="1" si="1200"/>
        <v>#N/A</v>
      </c>
      <c r="FZ369" s="162" t="e">
        <f ca="1">IF(Control!$B$34=1,VLOOKUP($CP369,Control!$B$86:$G$91,4),Control!$B$37)</f>
        <v>#N/A</v>
      </c>
      <c r="GA369" s="162" t="e">
        <f t="shared" ca="1" si="1201"/>
        <v>#N/A</v>
      </c>
      <c r="GB369" s="162" t="e">
        <f ca="1">IF(Control!$B$34=1,VLOOKUP($CP369,Control!$B$86:$G$91,5),Control!$B$38)</f>
        <v>#N/A</v>
      </c>
      <c r="GC369" s="162" t="e">
        <f t="shared" ca="1" si="1325"/>
        <v>#N/A</v>
      </c>
      <c r="GD369" s="162">
        <f t="shared" ca="1" si="1202"/>
        <v>1</v>
      </c>
      <c r="GE369" s="162">
        <f t="shared" ca="1" si="1203"/>
        <v>1</v>
      </c>
      <c r="GF369" s="162">
        <f ca="1">IF(AND(Control!$C$104=1, Control!$C$62="F"),$GE369,1)</f>
        <v>1</v>
      </c>
      <c r="GG369" s="162" t="e">
        <f ca="1">IF(Control!$B$16=40,0,IF(AND(Control!$B$16&gt;40,Control!$B$16&lt;=360),(Control!$B$16-40)*((1-0)/(360-40)),IF(AND(Control!$B$16&gt;360,Control!$B$16&lt;=720),(1+(Control!$B$16-360)*((1.25-1)/(720-360))),IF(AND(Control!$B$16&gt;720,Control!$B$16&lt;=1000),(1.25+(Control!$B$16-720)*((1.35-1.25)/(1000-720))),IF(AND(Control!$B$16&gt;1000,Control!$B$16&lt;=2000),(1.35+(Control!$B$16-1000)*0))))))</f>
        <v>#N/A</v>
      </c>
      <c r="GH369" s="162" t="e">
        <f t="shared" ca="1" si="1204"/>
        <v>#N/A</v>
      </c>
      <c r="GI369" s="162">
        <f t="shared" ca="1" si="1326"/>
        <v>0</v>
      </c>
      <c r="GJ369" s="162">
        <f t="shared" ca="1" si="1205"/>
        <v>0</v>
      </c>
      <c r="GK369" s="162">
        <f t="shared" ca="1" si="1327"/>
        <v>1</v>
      </c>
      <c r="GL369" s="162">
        <f t="shared" ca="1" si="1206"/>
        <v>1</v>
      </c>
      <c r="GM369" s="162" t="e">
        <f ca="1">MAX(0,MIN(1,1-Control!$C$156*(1.0001-$KH369)^2))</f>
        <v>#N/A</v>
      </c>
      <c r="GN369" s="162" t="e">
        <f ca="1">IF(Control!$B$26=1,$KU369,$KX369)</f>
        <v>#N/A</v>
      </c>
      <c r="GO369" s="162" t="e">
        <f ca="1">IF($CP369&lt;=60,Control!$C$105,IF($CP369&gt;=90,Control!$C$106,Control!$C$105+($CP369-60)*((Control!$C$106-Control!$C$105)/(90-60))))</f>
        <v>#N/A</v>
      </c>
      <c r="GP369" s="162" t="e">
        <f t="shared" ca="1" si="1207"/>
        <v>#N/A</v>
      </c>
      <c r="GQ369" s="162" t="e">
        <f t="shared" ca="1" si="1328"/>
        <v>#N/A</v>
      </c>
      <c r="GR369" s="163" t="e">
        <f t="shared" ca="1" si="1208"/>
        <v>#DIV/0!</v>
      </c>
      <c r="GS369" s="162" t="e">
        <f t="shared" ca="1" si="1209"/>
        <v>#DIV/0!</v>
      </c>
      <c r="GT369" s="164" t="e">
        <f t="shared" ca="1" si="1329"/>
        <v>#N/A</v>
      </c>
      <c r="GU369" s="162" t="e">
        <f t="shared" ca="1" si="1330"/>
        <v>#N/A</v>
      </c>
      <c r="GV369" s="162" t="e">
        <f t="shared" ca="1" si="1210"/>
        <v>#N/A</v>
      </c>
      <c r="GW369" s="162" t="e">
        <f t="shared" ca="1" si="1211"/>
        <v>#DIV/0!</v>
      </c>
      <c r="GX369" s="162" t="e">
        <f t="shared" ca="1" si="1331"/>
        <v>#DIV/0!</v>
      </c>
      <c r="GY369" s="162" t="e">
        <f t="shared" ca="1" si="1332"/>
        <v>#DIV/0!</v>
      </c>
      <c r="GZ369" s="165" t="e">
        <f t="shared" ca="1" si="1212"/>
        <v>#N/A</v>
      </c>
      <c r="HA369" s="162" t="e">
        <f ca="1">IF(Control!$C$114=1, $DI369*$FS369, 0)</f>
        <v>#N/A</v>
      </c>
      <c r="HB369" s="162" t="e">
        <f ca="1">$FA369/Control!$C$64</f>
        <v>#N/A</v>
      </c>
      <c r="HC369" s="162" t="e">
        <f t="shared" ca="1" si="1213"/>
        <v>#DIV/0!</v>
      </c>
      <c r="HD369" s="162">
        <f ca="1">-ASIN(SIN(23.45*Control!$C$139)*COS(2*Control!$C$138*($AH369+10)/365))</f>
        <v>-0.40287722776943774</v>
      </c>
      <c r="HE369" s="165">
        <f t="shared" ca="1" si="1333"/>
        <v>0</v>
      </c>
      <c r="HF369" s="166">
        <f ca="1">IF(AND(Control!$C$61="T",$HE369&gt;=Control!$C$103,Control!$C$114=0),$AH369,Control!$C$59)</f>
        <v>1</v>
      </c>
      <c r="HG369" s="166">
        <f ca="1">IF(AND(Control!$C$61="T",$HE369&gt;=Control!$C$103,Control!$C$114=0),$HF369,Control!$C$59)</f>
        <v>1</v>
      </c>
      <c r="HH369" s="165">
        <f ca="1">IF(AND(OR(Control!$C$60&lt;=0, $AH369= Control!$C$59, Control!$C$60 &gt;0, $AH369 = Control!$C$60)), Control!$C$59, IF(Control!$C$60&gt;0, 0))</f>
        <v>1</v>
      </c>
      <c r="HI369" s="165">
        <f ca="1">IF(AND(OR(Control!$C$60&lt;=0, $AH369= Control!$C$59, Control!$C$60 &gt;0, $AH369 = Control!$C$60)), Control!$C$60, IF(Control!$C$60&lt;=0, 0))</f>
        <v>0</v>
      </c>
      <c r="HJ369" s="166">
        <f ca="1">IF(AND(Control!$C$62="F",$CV369&gt;=Control!$C$102),$AH369,0)</f>
        <v>0</v>
      </c>
      <c r="HK369" s="165" t="e">
        <f t="shared" ca="1" si="1370"/>
        <v>#N/A</v>
      </c>
      <c r="HL369" s="166">
        <f ca="1">IF(AND(Control!$C$61="T",$HE369&gt;=Control!$C$103,Control!$C$114=0),$HF369,0)</f>
        <v>0</v>
      </c>
      <c r="HM369" s="201" t="e">
        <f t="shared" ca="1" si="1214"/>
        <v>#DIV/0!</v>
      </c>
      <c r="HN369" s="215">
        <f t="shared" ca="1" si="1334"/>
        <v>365</v>
      </c>
      <c r="HO369" s="216" t="e">
        <f ca="1">IF(AND($CP369&gt;=0, $CP369&lt;=90), Control!$C$152, Control!$C$152)</f>
        <v>#N/A</v>
      </c>
      <c r="HP369" s="216" t="e">
        <f t="shared" ca="1" si="1215"/>
        <v>#N/A</v>
      </c>
      <c r="HQ369" s="217" t="e">
        <f ca="1">IF(OR(Control!$B$26=1,Control!$B$26=2),$KV369,$KS369)</f>
        <v>#DIV/0!</v>
      </c>
      <c r="HR369" s="218" t="e">
        <f t="shared" ca="1" si="1371"/>
        <v>#DIV/0!</v>
      </c>
      <c r="HS369" s="216" t="e">
        <f ca="1">Control!$C$154*$HP369</f>
        <v>#N/A</v>
      </c>
      <c r="HT369" s="216" t="e">
        <f ca="1">Control!$C$155*$HP369</f>
        <v>#N/A</v>
      </c>
      <c r="HU369" s="217" t="e">
        <f ca="1">Control!$C$161*$FI369</f>
        <v>#N/A</v>
      </c>
      <c r="HV369" s="218" t="e">
        <f t="shared" ca="1" si="1335"/>
        <v>#N/A</v>
      </c>
      <c r="HW369" s="218" t="e">
        <f ca="1">Control!$C$160*$FF369+$IP369*$EO369</f>
        <v>#N/A</v>
      </c>
      <c r="HX369" s="218" t="e">
        <f t="shared" ca="1" si="1372"/>
        <v>#N/A</v>
      </c>
      <c r="HY369" s="219" t="e">
        <f ca="1">IF(Control!$C$114=1, $EB369*$FS369, 0)</f>
        <v>#N/A</v>
      </c>
      <c r="HZ369" s="91" t="e">
        <f t="shared" ca="1" si="1216"/>
        <v>#N/A</v>
      </c>
      <c r="IA369" s="220" t="e">
        <f ca="1">Control!$C$153*$HO369</f>
        <v>#N/A</v>
      </c>
      <c r="IB369" s="218" t="e">
        <f t="shared" ca="1" si="1217"/>
        <v>#N/A</v>
      </c>
      <c r="IC369" s="220" t="e">
        <f ca="1">Control!$C$153*$HT369</f>
        <v>#N/A</v>
      </c>
      <c r="ID369" s="218" t="e">
        <f t="shared" ca="1" si="1218"/>
        <v>#N/A</v>
      </c>
      <c r="IE369" s="221" t="e">
        <f ca="1">($EB369*Control!$C$159+$EF369*Control!$C$160)/(IF($GZ369&lt;&gt;0,$GZ369,1))</f>
        <v>#N/A</v>
      </c>
      <c r="IF369" s="216" t="e">
        <f t="shared" ca="1" si="1219"/>
        <v>#N/A</v>
      </c>
      <c r="IG369" s="91">
        <f ca="1">IF(OR(Control!$B$198=$AH369,Control!$B$199=$AH369, Control!$B$200=$AH369, Control!$B$201=$AH369, Control!$B$202=$AH369, Control!$B$203=$AH369, Control!$B$204=$AH369, Control!$B$205=$AH369, Control!$B$206=$AH369, Control!$B$207=$AH369), 1, 0)</f>
        <v>0</v>
      </c>
      <c r="IH369" s="91">
        <f ca="1">IF($IG369=0,0, VLOOKUP($AH369,Control!$B$198:$C$207,2))</f>
        <v>0</v>
      </c>
      <c r="II369" s="222">
        <f t="shared" ca="1" si="1336"/>
        <v>0</v>
      </c>
      <c r="IJ369" s="91">
        <f>Control!$C$121</f>
        <v>0.7</v>
      </c>
      <c r="IK369" s="218">
        <f ca="1">$IH369*$IJ369</f>
        <v>0</v>
      </c>
      <c r="IL369" s="217" t="e">
        <f t="shared" ca="1" si="1373"/>
        <v>#N/A</v>
      </c>
      <c r="IM369" s="223" t="e">
        <f ca="1">IF(AND(Control!$C$114=1,$KH369&lt;1),$EB369*Control!$C$148*(1-$KH369), 0)</f>
        <v>#N/A</v>
      </c>
      <c r="IN369" s="217" t="e">
        <f t="shared" ca="1" si="1221"/>
        <v>#DIV/0!</v>
      </c>
      <c r="IO369" s="91" t="e">
        <f ca="1">MAX(0,$IL369-$EF369*Control!$C$160)</f>
        <v>#N/A</v>
      </c>
      <c r="IP369" s="220" t="e">
        <f t="shared" ca="1" si="1222"/>
        <v>#N/A</v>
      </c>
      <c r="IQ369" s="217" t="e">
        <f t="shared" ca="1" si="1337"/>
        <v>#N/A</v>
      </c>
      <c r="IR369" s="218" t="e">
        <f t="shared" ca="1" si="1223"/>
        <v>#N/A</v>
      </c>
      <c r="IS369" s="217" t="e">
        <f ca="1">Control!$C$159*MAX(0,$FD369-$EN369)</f>
        <v>#N/A</v>
      </c>
      <c r="IT369" s="217" t="e">
        <f t="shared" ca="1" si="1374"/>
        <v>#N/A</v>
      </c>
      <c r="IU369" s="217" t="e">
        <f t="shared" ca="1" si="1338"/>
        <v>#N/A</v>
      </c>
      <c r="IV369" s="217" t="e">
        <f t="shared" ca="1" si="1375"/>
        <v>#N/A</v>
      </c>
      <c r="IW369" s="217" t="e">
        <f ca="1">IF(OR($AW369=1,AND($AW369=0, Control!$B$18=1,$EN369&lt;&gt;0)), $IQ369-$IU369, $IQ369)</f>
        <v>#N/A</v>
      </c>
      <c r="IX369" s="218" t="e">
        <f t="shared" ca="1" si="1224"/>
        <v>#N/A</v>
      </c>
      <c r="IY369" s="218" t="e">
        <f ca="1">MAX(0,$IQ369-$EB369*Control!$C$159)</f>
        <v>#N/A</v>
      </c>
      <c r="IZ369" s="218" t="e">
        <f t="shared" ca="1" si="1225"/>
        <v>#N/A</v>
      </c>
      <c r="JA369" s="216" t="e">
        <f t="shared" ca="1" si="1226"/>
        <v>#N/A</v>
      </c>
      <c r="JB369" s="217" t="e">
        <f t="shared" ca="1" si="1227"/>
        <v>#N/A</v>
      </c>
      <c r="JC369" s="222" t="e">
        <f ca="1">MAX(Control!$C$157*$EK369-$JT369, 0)/Control!$C$162</f>
        <v>#N/A</v>
      </c>
      <c r="JD369" s="218" t="e">
        <f t="shared" ca="1" si="1228"/>
        <v>#N/A</v>
      </c>
      <c r="JE369" s="218" t="e">
        <f t="shared" ca="1" si="1229"/>
        <v>#N/A</v>
      </c>
      <c r="JF369" s="218" t="e">
        <f t="shared" ca="1" si="1339"/>
        <v>#N/A</v>
      </c>
      <c r="JG369" s="218" t="e">
        <f t="shared" ca="1" si="1230"/>
        <v>#N/A</v>
      </c>
      <c r="JH369" s="217" t="e">
        <f t="shared" ca="1" si="1340"/>
        <v>#N/A</v>
      </c>
      <c r="JI369" s="217" t="e">
        <f t="shared" ca="1" si="1341"/>
        <v>#N/A</v>
      </c>
      <c r="JJ369" s="217" t="e">
        <f t="shared" ca="1" si="1376"/>
        <v>#N/A</v>
      </c>
      <c r="JK369" s="217" t="e">
        <f ca="1">IF(Control!$C$114=1,IF(Control!$B$24=0,MAX(0,$JI369)*$GN369/Control!$C$64,(MAX(0,MIN($JI369,$JJ369*$GN369/Control!$C$64),0))))</f>
        <v>#N/A</v>
      </c>
      <c r="JL369" s="217" t="e">
        <f ca="1">$IK369/Control!$C$64-$JK369+$HQ369</f>
        <v>#N/A</v>
      </c>
      <c r="JM369" s="217" t="e">
        <f ca="1">IF(Control!$C$114=1,($JB369/(IF($JI369&lt;&gt;0,$JI369,1)))*$JK369,0)</f>
        <v>#N/A</v>
      </c>
      <c r="JN369" s="217" t="e">
        <f ca="1">IF(Control!$C$114=1,($JG369/(IF($JI369&lt;&gt;0,$JI369,1)))*$JK369, 0)</f>
        <v>#N/A</v>
      </c>
      <c r="JO369" s="218" t="e">
        <f t="shared" ca="1" si="1231"/>
        <v>#N/A</v>
      </c>
      <c r="JP369" s="218" t="e">
        <f ca="1">MIN(($IY369+$IO369)*Control!$C$151, $JF369-$EH369*Control!$C$161)</f>
        <v>#N/A</v>
      </c>
      <c r="JQ369" s="218" t="e">
        <f t="shared" ca="1" si="1232"/>
        <v>#N/A</v>
      </c>
      <c r="JR369" s="217" t="e">
        <f ca="1">IF($CP369-Control!$C$150&lt;0, 0, $JQ369/Control!$C$162)</f>
        <v>#N/A</v>
      </c>
      <c r="JS369" s="218" t="e">
        <f t="shared" ca="1" si="1233"/>
        <v>#N/A</v>
      </c>
      <c r="JT369" s="218" t="e">
        <f t="shared" ca="1" si="1342"/>
        <v>#N/A</v>
      </c>
      <c r="JU369" s="218" t="e">
        <f t="shared" ca="1" si="1234"/>
        <v>#N/A</v>
      </c>
      <c r="JV369" s="218" t="e">
        <f t="shared" ca="1" si="1235"/>
        <v>#N/A</v>
      </c>
      <c r="JW369" s="216" t="e">
        <f t="shared" ca="1" si="1236"/>
        <v>#N/A</v>
      </c>
      <c r="JX369" s="91" t="e">
        <f t="shared" ca="1" si="1237"/>
        <v>#N/A</v>
      </c>
      <c r="JY369" s="218" t="e">
        <f t="shared" ca="1" si="1238"/>
        <v>#N/A</v>
      </c>
      <c r="JZ369" s="217" t="e">
        <f ca="1">IF(Control!$C$114=1,($IZ369/(IF($JI369&lt;&gt;0,$JI369,1)))*$JK369, 0)</f>
        <v>#N/A</v>
      </c>
      <c r="KA369" s="218" t="e">
        <f t="shared" ca="1" si="1377"/>
        <v>#N/A</v>
      </c>
      <c r="KB369" s="218" t="e">
        <f t="shared" ca="1" si="1343"/>
        <v>#N/A</v>
      </c>
      <c r="KC369" s="218" t="e">
        <f t="shared" ca="1" si="1239"/>
        <v>#N/A</v>
      </c>
      <c r="KD369" s="218" t="e">
        <f t="shared" ca="1" si="1240"/>
        <v>#N/A</v>
      </c>
      <c r="KE369" s="218" t="e">
        <f t="shared" ca="1" si="1241"/>
        <v>#N/A</v>
      </c>
      <c r="KF369" s="218" t="e">
        <f t="shared" ca="1" si="1242"/>
        <v>#N/A</v>
      </c>
      <c r="KG369" s="216" t="e">
        <f t="shared" ca="1" si="1243"/>
        <v>#N/A</v>
      </c>
      <c r="KH369" s="221" t="e">
        <f ca="1">IF(Control!$B$24=0,1,MAX(0.001,MIN(1,IF(($IF369-$IE369)&lt;&gt;0,($KG369-$IE369)/($IF369-$IE369),1))))</f>
        <v>#N/A</v>
      </c>
      <c r="KI369" s="222" t="e">
        <f ca="1">IF(Control!$C$114=1, $KI368+ $KH368, 0)</f>
        <v>#N/A</v>
      </c>
      <c r="KJ369" s="217" t="e">
        <f t="shared" ca="1" si="1244"/>
        <v>#N/A</v>
      </c>
      <c r="KK369" s="218" t="e">
        <f t="shared" ca="1" si="1245"/>
        <v>#N/A</v>
      </c>
      <c r="KL369" s="274" t="e">
        <f ca="1">IF(Control!$B$26=3,4000000000*EXP(-8400/($G369+273)),IF(Control!$B$26=4,4000000000*EXP(-8400/($G369+273))*($KT369),0))</f>
        <v>#DIV/0!</v>
      </c>
      <c r="KM369" s="274" t="e">
        <f ca="1">IF(Control!$B$26=3,5600000000000*EXP(-9800/($G369+273)),IF(Control!$B$26=4,5600000000000*EXP(-9800/($G369+273))*$KT369,0))</f>
        <v>#DIV/0!</v>
      </c>
      <c r="KN369" s="454" t="e">
        <f t="shared" ca="1" si="1344"/>
        <v>#DIV/0!</v>
      </c>
      <c r="KO369" s="274" t="e">
        <f t="shared" ca="1" si="1345"/>
        <v>#DIV/0!</v>
      </c>
      <c r="KP369" s="454" t="e">
        <f t="shared" ca="1" si="1246"/>
        <v>#DIV/0!</v>
      </c>
      <c r="KQ369" s="454" t="e">
        <f t="shared" ca="1" si="1247"/>
        <v>#DIV/0!</v>
      </c>
      <c r="KR369" s="454" t="e">
        <f t="shared" ca="1" si="1248"/>
        <v>#DIV/0!</v>
      </c>
      <c r="KS369" s="454" t="e">
        <f t="shared" ca="1" si="1249"/>
        <v>#DIV/0!</v>
      </c>
      <c r="KT369" s="455" t="e">
        <f t="shared" ca="1" si="1250"/>
        <v>#DIV/0!</v>
      </c>
      <c r="KU369" s="456" t="e">
        <f ca="1">IF($CP369-Control!$C$149&lt;0, IF($NT369-0.01&lt;0,0,1),0)</f>
        <v>#N/A</v>
      </c>
      <c r="KV369" s="456" t="e">
        <f ca="1">IF(Control!$C$114=1,MAX(0,MIN(Control!$C$125*$KW369*$GN369,$KW369)))</f>
        <v>#DIV/0!</v>
      </c>
      <c r="KW369" s="456" t="e">
        <f t="shared" ca="1" si="1378"/>
        <v>#DIV/0!</v>
      </c>
      <c r="KX369" s="457" t="e">
        <f ca="1">IF($CP369-Control!$C$149&lt;0, IF($MR369-$OM369&lt;0,0,1),0)</f>
        <v>#N/A</v>
      </c>
      <c r="KY369" s="167">
        <f t="shared" ca="1" si="1346"/>
        <v>365</v>
      </c>
      <c r="KZ369" s="168">
        <f ca="1">1370*(1+0.033*COS(2*Control!$C$138*$AH369/365))</f>
        <v>1415.2099999951201</v>
      </c>
      <c r="LA369" s="169">
        <f t="shared" ca="1" si="1347"/>
        <v>1.0329999999999999</v>
      </c>
      <c r="LB369" s="169">
        <f t="shared" ca="1" si="1348"/>
        <v>-0.40233363325781202</v>
      </c>
      <c r="LC369" s="169">
        <f ca="1">ACOS(-TAN((2*Control!$B$8/360))*TAN(Calculations!$LB369))</f>
        <v>1.4439828873257758</v>
      </c>
      <c r="LD369" s="169">
        <f ca="1">((24*60)/PI())*0.082*$LA369*(($LC369*SIN(Control!$B$8*2*PI()/360))*SIN($LB369)+COS(Control!$B$8*2*PI()/360)*COS($LB369)*SIN($LC369))</f>
        <v>4.5193166943859699</v>
      </c>
      <c r="LE369" s="170">
        <f t="shared" ca="1" si="1251"/>
        <v>6.1794027801636826</v>
      </c>
      <c r="LF369" s="170">
        <f ca="1">SIN(Control!$C$139*Control!$B$8)*SIN($HD369)</f>
        <v>-0.30895338969178032</v>
      </c>
      <c r="LG369" s="170">
        <f ca="1">COS(Control!$C$139*Control!$B$8)*COS($HD369)</f>
        <v>0.56636807070943729</v>
      </c>
      <c r="LH369" s="170">
        <f ca="1">12*(1+2*ASIN(MAX(-1,MIN(1,$LF369/$LG369))/Control!$C$138))</f>
        <v>7.8114720577171219</v>
      </c>
      <c r="LI369" s="170">
        <f ca="1">12*(1+2*ASIN(MAX(-1,MIN(1,(-SIN(-4*Control!$C$139)+$LF369)/$LG369))/Control!$C$138))</f>
        <v>8.7638120420662009</v>
      </c>
      <c r="LJ369" s="168">
        <f ca="1">3600*($LH369*$LF369+24*$LG369*SQRT(1-$LK369*$LK369)/Control!$C$138)</f>
        <v>4366.4210825142491</v>
      </c>
      <c r="LK369" s="170">
        <f t="shared" ca="1" si="1252"/>
        <v>-0.54549930631644328</v>
      </c>
      <c r="LL369" s="170">
        <f t="shared" ca="1" si="1253"/>
        <v>0</v>
      </c>
      <c r="LM369" s="171">
        <f ca="1">Control!$C$145*$AB369</f>
        <v>6.6660906138995932E-2</v>
      </c>
      <c r="LN369" s="170">
        <f t="shared" ca="1" si="1349"/>
        <v>0.54</v>
      </c>
      <c r="LO369" s="170">
        <f t="shared" ca="1" si="1254"/>
        <v>0</v>
      </c>
      <c r="LP369" s="170">
        <f ca="1">Control!$C$140*((($D369+273.16)^4+($E369+273.16)^4)/2)*(0.34-0.14*SQRT($Y369))*(1.35*$AQ369/(0.75*$LD369)-0.35)</f>
        <v>-3.2464704755046001</v>
      </c>
      <c r="LQ369" s="170">
        <f ca="1">Control!$C$140*($G369+273)^4*(0.56-0.079*SQRT($Y369*10))*(0.1+0.9*$LO369)</f>
        <v>1.5241745131704001</v>
      </c>
      <c r="LR369" s="170">
        <f ca="1">$AQ369*(1-Control!$C$142)-$LQ369</f>
        <v>-1.5241745131704001</v>
      </c>
      <c r="LS369" s="170">
        <f ca="1">$AQ369*(1-Control!$C$143)-$LQ369</f>
        <v>-1.5241745131704001</v>
      </c>
      <c r="LT369" s="170">
        <f ca="1">$AQ369*(1-Control!$C$144)-$LQ369</f>
        <v>-1.5241745131704001</v>
      </c>
      <c r="LU369" s="169">
        <f ca="1">(1-Control!$C$144)*AQ369-LP369</f>
        <v>3.2464704755046001</v>
      </c>
      <c r="LV369" s="172">
        <f t="shared" ca="1" si="1255"/>
        <v>0.79430000000000012</v>
      </c>
      <c r="LW369" s="170">
        <f t="shared" ca="1" si="1256"/>
        <v>1.5886000000000002</v>
      </c>
      <c r="LX369" s="170">
        <f ca="1">($AC369*($LR369/Control!$C$141)+$LM369*$LV369)/($AC369+$LM369)</f>
        <v>0.23530094218323697</v>
      </c>
      <c r="LY369" s="170">
        <f ca="1">($AC369*($LS369/Control!$C$141)+$LM369*$LV369)/($AC369+$LM369)</f>
        <v>0.23530094218323697</v>
      </c>
      <c r="LZ369" s="170">
        <f t="shared" ca="1" si="1257"/>
        <v>0.23530094218323697</v>
      </c>
      <c r="MA369" s="170">
        <f t="shared" ca="1" si="1258"/>
        <v>0.23530094218323697</v>
      </c>
      <c r="MB369" s="170" t="e">
        <f t="shared" ca="1" si="1259"/>
        <v>#N/A</v>
      </c>
      <c r="MC369" s="170">
        <f t="shared" ca="1" si="1350"/>
        <v>0.6018</v>
      </c>
      <c r="MD369" s="170">
        <f t="shared" ca="1" si="1260"/>
        <v>0.52989392535414004</v>
      </c>
      <c r="ME369" s="170">
        <f ca="1">($AC369*($LT369/Control!$C$141)+$LM369*$LW369)/($AC369+$LM369)</f>
        <v>0.71612369323045078</v>
      </c>
      <c r="MF369" s="170" t="e">
        <f ca="1">IF(Control!$B$16&gt;=1000,0.92,IF(AND(720&lt;=Control!$B$16,1000&gt;Control!$B$16),(0.95+(Control!$B$16-720)*((0.92-0.95)/(1000-720))),IF(AND(360&lt;=Control!$B$16,720&gt;Control!$B$16),(1+(Control!$B$16-360)*((0.95-1)/(720-360))),IF(AND(40&lt;=Control!$B$16,360&gt;Control!$B$16),(1.05+(Control!$B$16-40)*((1.05-1)/(360-40)))))))</f>
        <v>#N/A</v>
      </c>
      <c r="MG369" s="170">
        <f t="shared" ca="1" si="1261"/>
        <v>0.71612369323045078</v>
      </c>
      <c r="MH369" s="170" t="e">
        <f t="shared" ca="1" si="1387"/>
        <v>#N/A</v>
      </c>
      <c r="MI369" s="170" t="e">
        <f t="shared" ca="1" si="1387"/>
        <v>#N/A</v>
      </c>
      <c r="MJ369" s="170" t="e">
        <f ca="1">MAX(0.0001, Control!$C$132*$MI369*$DL369)</f>
        <v>#N/A</v>
      </c>
      <c r="MK369" s="170">
        <f ca="1">1/(0.76+1.5*($MG369/10))-(5-Control!$C$110)*0.1</f>
        <v>1.002845988140797</v>
      </c>
      <c r="ML369" s="173">
        <f ca="1">IF(Control!$C$110&lt;3,$MK369+($MG369-0.6)/(Control!$C$110*(Control!$C$110+3)), MAX(0.1, MIN(0.95,$MK369)))</f>
        <v>0.95</v>
      </c>
      <c r="MM369" s="173">
        <f ca="1">IF(Control!$C$110&lt;3,$MK369+(($MI369/10)-0.6)/(Control!$C$110*(Control!$C$110+3)), MAX(0.1, MIN(0.95,$MK369)))</f>
        <v>0.95</v>
      </c>
      <c r="MN369" s="173">
        <f ca="1">(1-$MM369)*(Control!$C$128-Control!$C$127)+Control!$C$127</f>
        <v>0.16</v>
      </c>
      <c r="MO369" s="170" t="e">
        <f ca="1">MAX(0,MIN(1,($MS369-Control!$C$127)/($MN369-Control!$C$127)))</f>
        <v>#DIV/0!</v>
      </c>
      <c r="MP369" s="173" t="e">
        <f ca="1">1/(0.76+1.5*$MI369)-(5-Control!$C$110)*0.1</f>
        <v>#N/A</v>
      </c>
      <c r="MQ369" s="172" t="e">
        <f t="shared" ca="1" si="1379"/>
        <v>#DIV/0!</v>
      </c>
      <c r="MR369" s="168" t="e">
        <f t="shared" ca="1" si="1351"/>
        <v>#DIV/0!</v>
      </c>
      <c r="MS369" s="173" t="e">
        <f ca="1">MAX(Control!$C$127, MIN(Control!$C$135, $MR369/MAX(0.0001,$CY369)))</f>
        <v>#DIV/0!</v>
      </c>
      <c r="MT369" s="168" t="e">
        <f ca="1">(Control!$C$128-$MS369)*Control!$C$74</f>
        <v>#DIV/0!</v>
      </c>
      <c r="MU369" s="168" t="e">
        <f ca="1">(Control!$C$135-$MS369)*Control!$C$74</f>
        <v>#DIV/0!</v>
      </c>
      <c r="MV369" s="168" t="e">
        <f t="shared" ca="1" si="1352"/>
        <v>#DIV/0!</v>
      </c>
      <c r="MW369" s="168" t="e">
        <f t="shared" ca="1" si="1353"/>
        <v>#DIV/0!</v>
      </c>
      <c r="MX369" s="171" t="e">
        <f ca="1">MAX(Control!$C$127, MIN(Control!$C$135, $MW369/MAX(0.0001,Control!$C$119-$CY369)))</f>
        <v>#DIV/0!</v>
      </c>
      <c r="MY369" s="54" t="e">
        <f ca="1">IF(Control!$C$114=1, $CX369*$MX369, 0)</f>
        <v>#DIV/0!</v>
      </c>
      <c r="MZ369" s="54" t="e">
        <f t="shared" ca="1" si="1354"/>
        <v>#N/A</v>
      </c>
      <c r="NA369" s="168" t="e">
        <f ca="1">(Control!$C$128-$MX369)*(Control!$C$119-Control!$C$74)</f>
        <v>#DIV/0!</v>
      </c>
      <c r="NB369" s="168" t="e">
        <f ca="1">(Control!$C$135-$MX369)*(Control!$C$119-Control!$C$74)</f>
        <v>#DIV/0!</v>
      </c>
      <c r="NC369" s="174" t="e">
        <f t="shared" ca="1" si="1355"/>
        <v>#DIV/0!</v>
      </c>
      <c r="ND369" s="54">
        <f ca="1">IF(Control!$C$58=2, IF(OR(Control!$B$218=$AH369,Control!$B$219=$AH369, Control!$B$220=$AH369, Control!$B$221=$AH369, Control!$B$222=$AH369, Control!$B$223=$AH369, Control!$B$224=$AH369, Control!$B$225=$AH369, Control!$B$226=$AH369, Control!$B$227=$AH369, Control!$B$228=$AH369), 1, 0), 0)</f>
        <v>0</v>
      </c>
      <c r="NE369" s="54">
        <f ca="1">IF($ND369=0,0, VLOOKUP($AH369,Control!$B$218:$C$228,2))</f>
        <v>0</v>
      </c>
      <c r="NF369" s="168" t="e">
        <f ca="1">$CY369*(Control!$C$128-Control!$C$127)</f>
        <v>#N/A</v>
      </c>
      <c r="NG369" s="54" t="e">
        <f ca="1">IF(Control!$C$58=2, $NI368-$NJ368, 0)</f>
        <v>#DIV/0!</v>
      </c>
      <c r="NH369" s="54" t="e">
        <f ca="1">IF(AND(Control!$C$58=1, $MS368&lt;= ($MN368+0.02), $I368&lt;10), 0, IF(Control!$C$58=2, $NG368, 0))</f>
        <v>#DIV/0!</v>
      </c>
      <c r="NI369" s="54" t="e">
        <f ca="1">IF(Control!$C$58=2, $NE369+$NH369,0)</f>
        <v>#DIV/0!</v>
      </c>
      <c r="NJ369" s="54" t="e">
        <f ca="1">IF(AND(Control!$C$58=1, $MS369&lt;= ($MN369+0.02), $I369&lt;10), MAX(0, MIN(10, 0.7*($NF369-$MV369))), IF(Control!$C$58=2, MIN(10,$NI369),0))</f>
        <v>#DIV/0!</v>
      </c>
      <c r="NK369" s="54" t="e">
        <f t="shared" ca="1" si="1263"/>
        <v>#DIV/0!</v>
      </c>
      <c r="NL369" s="173" t="e">
        <f ca="1">(1-Control!$C$73)*$I369+$NJ369</f>
        <v>#DIV/0!</v>
      </c>
      <c r="NM369" s="172" t="e">
        <f ca="1">IF($NL369&lt;0.5, $MB369* MAX(0, MIN(1, (SQRT($NC369)-SQRT($NC369-1))*Control!$C$71)),0)</f>
        <v>#DIV/0!</v>
      </c>
      <c r="NN369" s="170" t="e">
        <f ca="1">IF($NL369&gt;=5, $MB369, MAX(0,MIN($MB369, $NM369+$NL369,($MS369-Control!$C$129))))</f>
        <v>#DIV/0!</v>
      </c>
      <c r="NO369" s="54">
        <f>IF(Control!$C$133&lt;&gt;1, Control!$C$135-Control!$C$131, 0)</f>
        <v>0.38</v>
      </c>
      <c r="NP369" s="54" t="e">
        <f t="shared" ca="1" si="1264"/>
        <v>#DIV/0!</v>
      </c>
      <c r="NQ369" s="173" t="e">
        <f ca="1">MAX(0,MIN(1,(Control!$C$135-$MS369)/(Control!$C$135-$NO369)))</f>
        <v>#DIV/0!</v>
      </c>
      <c r="NR369" s="170" t="e">
        <f ca="1">IF(Control!$C$133&lt;&gt;1, $NQ369+((1-$NP369/4)*(1-$NQ369)),1)</f>
        <v>#DIV/0!</v>
      </c>
      <c r="NS369" s="170" t="e">
        <f ca="1">IF(Control!$B$31=0,$MJ369,MAX(0,MIN($MV369,$MO369*$NR369*$MJ369)))</f>
        <v>#DIV/0!</v>
      </c>
      <c r="NT369" s="170" t="e">
        <f t="shared" ca="1" si="1380"/>
        <v>#DIV/0!</v>
      </c>
      <c r="NU369" s="170" t="e">
        <f t="shared" ca="1" si="1356"/>
        <v>#N/A</v>
      </c>
      <c r="NV369" s="170" t="e">
        <f t="shared" ca="1" si="1265"/>
        <v>#N/A</v>
      </c>
      <c r="NW369" s="175" t="e">
        <f t="shared" ca="1" si="1266"/>
        <v>#DIV/0!</v>
      </c>
      <c r="NX369" s="170" t="e">
        <f ca="1">MIN(Control!$C$72+$MU369, $NW369)</f>
        <v>#DIV/0!</v>
      </c>
      <c r="NY369" s="170" t="e">
        <f ca="1">IF($MT369&lt;=$NX369,MIN(Control!$C$72+$NB369,$NX369-$MT369),0)</f>
        <v>#DIV/0!</v>
      </c>
      <c r="NZ369" s="54" t="e">
        <f ca="1">IF(Control!$C$114=1,  $CX369*($MX369-Control!$C$127), 0)</f>
        <v>#DIV/0!</v>
      </c>
      <c r="OA369" s="170" t="e">
        <f t="shared" ca="1" si="1267"/>
        <v>#DIV/0!</v>
      </c>
      <c r="OB369" s="170" t="e">
        <f ca="1">IF($NA369 &lt;=$NY369, MIN(Control!$C$72, $NY369-$NA369), 0)</f>
        <v>#DIV/0!</v>
      </c>
      <c r="OC369" s="168" t="e">
        <f t="shared" ca="1" si="1268"/>
        <v>#DIV/0!</v>
      </c>
      <c r="OD369" s="168" t="e">
        <f t="shared" ca="1" si="1357"/>
        <v>#DIV/0!</v>
      </c>
      <c r="OE369" s="170">
        <f ca="1">Control!$C$73*$I369</f>
        <v>0</v>
      </c>
      <c r="OF369" s="176" t="e">
        <f t="shared" ca="1" si="1269"/>
        <v>#DIV/0!</v>
      </c>
      <c r="OG369" s="168" t="e">
        <f t="shared" ca="1" si="1270"/>
        <v>#DIV/0!</v>
      </c>
      <c r="OH369" s="168" t="e">
        <f t="shared" ca="1" si="1271"/>
        <v>#DIV/0!</v>
      </c>
      <c r="OI369" s="168" t="e">
        <f t="shared" ca="1" si="1272"/>
        <v>#DIV/0!</v>
      </c>
      <c r="OJ369" s="168" t="e">
        <f t="shared" ca="1" si="1273"/>
        <v>#DIV/0!</v>
      </c>
      <c r="OK369" s="204" t="e">
        <f ca="1">$OG369+$OH369</f>
        <v>#DIV/0!</v>
      </c>
      <c r="OL369" s="177">
        <f>Control!$C$127</f>
        <v>0.15</v>
      </c>
      <c r="OM369" s="182" t="e">
        <f t="shared" ca="1" si="1275"/>
        <v>#N/A</v>
      </c>
      <c r="ON369" s="177">
        <f>Control!$C$128</f>
        <v>0.35</v>
      </c>
      <c r="OO369" s="182" t="e">
        <f t="shared" ca="1" si="1276"/>
        <v>#N/A</v>
      </c>
      <c r="OP369" s="138">
        <f t="shared" ca="1" si="1358"/>
        <v>0</v>
      </c>
      <c r="OQ369" s="138" t="e">
        <f t="shared" ca="1" si="1381"/>
        <v>#DIV/0!</v>
      </c>
      <c r="OR369" s="138" t="e">
        <f t="shared" ca="1" si="1359"/>
        <v>#DIV/0!</v>
      </c>
      <c r="OS369" s="137" t="e">
        <f t="shared" ca="1" si="1382"/>
        <v>#DIV/0!</v>
      </c>
      <c r="OT369" s="139" t="e">
        <f t="shared" ca="1" si="1383"/>
        <v>#DIV/0!</v>
      </c>
      <c r="OU369" s="138" t="e">
        <f t="shared" ca="1" si="1384"/>
        <v>#N/A</v>
      </c>
      <c r="OV369" s="138" t="e">
        <f t="shared" ca="1" si="1385"/>
        <v>#DIV/0!</v>
      </c>
      <c r="OW369" s="138" t="e">
        <f t="shared" ca="1" si="1360"/>
        <v>#DIV/0!</v>
      </c>
      <c r="OX369" s="138" t="e">
        <f t="shared" ca="1" si="1361"/>
        <v>#DIV/0!</v>
      </c>
      <c r="OY369" s="138" t="e">
        <f t="shared" ca="1" si="1362"/>
        <v>#DIV/0!</v>
      </c>
      <c r="OZ369" s="138" t="e">
        <f t="shared" ca="1" si="1277"/>
        <v>#DIV/0!</v>
      </c>
      <c r="PA369" s="138" t="e">
        <f t="shared" ca="1" si="1278"/>
        <v>#DIV/0!</v>
      </c>
      <c r="PB369" s="55">
        <f>IF(Control!$C$61="T", IF(Control!$C$65="F", IF($AH$6-Control!$C$60&lt;0,0,1), IF(365+$AH$6-Control!$C$60&lt;0,0,1)),0)</f>
        <v>0</v>
      </c>
      <c r="PC369" s="55">
        <f ca="1">IF(Control!$C$65="F", IF($AH$6-$HF369&lt;0,0,1), IF(365+$AH$6-$HF369&lt;0,0,1))</f>
        <v>1</v>
      </c>
      <c r="PD369" s="444">
        <f>Control!$C$118</f>
        <v>1500</v>
      </c>
      <c r="PE369" s="180" t="e">
        <f t="shared" ca="1" si="1279"/>
        <v>#N/A</v>
      </c>
      <c r="PF369" s="445">
        <f t="shared" ca="1" si="1363"/>
        <v>0.71612369323045078</v>
      </c>
      <c r="PT369" s="186"/>
      <c r="PU369" s="186"/>
      <c r="PV369" s="94"/>
      <c r="PW369" s="94"/>
      <c r="PX369" s="94"/>
      <c r="PY369" s="94"/>
      <c r="PZ369" s="94"/>
      <c r="QA369" s="94"/>
      <c r="QB369" s="94"/>
      <c r="QC369" s="94"/>
      <c r="QD369" s="94"/>
      <c r="QE369" s="94"/>
      <c r="QF369" s="94"/>
      <c r="QG369" s="94"/>
      <c r="QH369" s="94"/>
      <c r="QI369" s="94"/>
      <c r="QJ369" s="94"/>
      <c r="QK369" s="94"/>
      <c r="QL369" s="94"/>
      <c r="QM369" s="94"/>
      <c r="QN369" s="94"/>
      <c r="QO369" s="94"/>
      <c r="QP369" s="94"/>
    </row>
    <row r="370" spans="1:458" s="2" customFormat="1" ht="13.5" thickBot="1" x14ac:dyDescent="0.25">
      <c r="A370" s="508">
        <v>31</v>
      </c>
      <c r="B370" s="509">
        <v>12</v>
      </c>
      <c r="C370" s="510">
        <f ca="1">Weather_data!$B369</f>
        <v>0</v>
      </c>
      <c r="D370" s="511">
        <f ca="1">Weather_data!$F369</f>
        <v>0</v>
      </c>
      <c r="E370" s="511">
        <f ca="1">Weather_data!$E369</f>
        <v>0</v>
      </c>
      <c r="F370" s="511">
        <f t="shared" ca="1" si="1280"/>
        <v>0</v>
      </c>
      <c r="G370" s="511">
        <f ca="1">AVERAGE($D370:$E370)+Control!$B$9</f>
        <v>0</v>
      </c>
      <c r="H370" s="511">
        <f ca="1">Weather_data!$G369</f>
        <v>0</v>
      </c>
      <c r="I370" s="511">
        <f ca="1">Weather_data!$I369</f>
        <v>0</v>
      </c>
      <c r="J370" s="511">
        <f ca="1">Weather_data!$H369</f>
        <v>0</v>
      </c>
      <c r="K370" s="512">
        <f ca="1">Weather_data!$D369</f>
        <v>0</v>
      </c>
      <c r="L370" s="511" t="e">
        <f t="shared" ca="1" si="1281"/>
        <v>#N/A</v>
      </c>
      <c r="M370" s="511" t="e">
        <f t="shared" ca="1" si="1158"/>
        <v>#N/A</v>
      </c>
      <c r="N370" s="511">
        <f t="shared" ca="1" si="1159"/>
        <v>-1.1046976757069781E-17</v>
      </c>
      <c r="O370" s="511">
        <f t="shared" ca="1" si="1282"/>
        <v>1.104697675706978E-16</v>
      </c>
      <c r="P370" s="513">
        <v>3</v>
      </c>
      <c r="Q370" s="511">
        <f ca="1">MAX($G370-Control!$C$107,0)</f>
        <v>0</v>
      </c>
      <c r="R370" s="511">
        <f t="shared" ca="1" si="1283"/>
        <v>0</v>
      </c>
      <c r="S370" s="511">
        <f t="shared" ca="1" si="1160"/>
        <v>0</v>
      </c>
      <c r="T370" s="511">
        <f t="shared" ca="1" si="1161"/>
        <v>0</v>
      </c>
      <c r="U370" s="514">
        <f t="shared" ca="1" si="1162"/>
        <v>0</v>
      </c>
      <c r="V370" s="515">
        <f ca="1">MAX(0,MIN(Control!$C$100-Control!$C$99,$G370-Control!$C$99)*Control!$C$63)</f>
        <v>0</v>
      </c>
      <c r="W370" s="511">
        <f t="shared" ca="1" si="1284"/>
        <v>0</v>
      </c>
      <c r="X370" s="511">
        <f t="shared" ca="1" si="1285"/>
        <v>0.6110000000000001</v>
      </c>
      <c r="Y370" s="511">
        <f t="shared" ca="1" si="1163"/>
        <v>0</v>
      </c>
      <c r="Z370" s="511">
        <f t="shared" ca="1" si="1286"/>
        <v>0.61058800000000002</v>
      </c>
      <c r="AA370" s="511">
        <f t="shared" ca="1" si="1164"/>
        <v>0.6018</v>
      </c>
      <c r="AB370" s="511">
        <f ca="1">101.3*EXP(-0.034*Control!$C$66/($G370+273))</f>
        <v>100.69623283836242</v>
      </c>
      <c r="AC370" s="516">
        <f t="shared" ca="1" si="1165"/>
        <v>4.3460251046025113E-2</v>
      </c>
      <c r="AD370" s="516">
        <f t="shared" ca="1" si="1166"/>
        <v>4.4450382862832649E-2</v>
      </c>
      <c r="AE370" s="511">
        <f t="shared" ca="1" si="1167"/>
        <v>0</v>
      </c>
      <c r="AF370" s="511">
        <f ca="1">MAX(0,$G370-Control!$C$92)</f>
        <v>0</v>
      </c>
      <c r="AG370" s="517">
        <f t="shared" ca="1" si="1168"/>
        <v>366</v>
      </c>
      <c r="AH370" s="512">
        <f t="shared" ca="1" si="1169"/>
        <v>366</v>
      </c>
      <c r="AI370" s="511">
        <f t="shared" ca="1" si="1287"/>
        <v>-0.40153886500208691</v>
      </c>
      <c r="AJ370" s="511">
        <f ca="1">IF(Control!$C$60&lt;=0,$HH370,$HI370)</f>
        <v>1</v>
      </c>
      <c r="AK370" s="511">
        <f t="shared" ca="1" si="1170"/>
        <v>4.9232630078174298</v>
      </c>
      <c r="AL370" s="511">
        <f t="shared" ca="1" si="1171"/>
        <v>-1.2984214398104042E-17</v>
      </c>
      <c r="AM370" s="511">
        <f t="shared" ca="1" si="1172"/>
        <v>4.9232630078174298</v>
      </c>
      <c r="AN370" s="511">
        <f t="shared" ca="1" si="1173"/>
        <v>-0.39953289782800933</v>
      </c>
      <c r="AO370" s="511">
        <f ca="1">-0.10453/COS(Control!$B$8*PI()/180)*COS(AN370)</f>
        <v>-0.15641308230670622</v>
      </c>
      <c r="AP370" s="511">
        <f ca="1">ACOS(AO370-TAN(Control!$B$8*PI()/180)*TAN(AN370))</f>
        <v>1.176636078600183</v>
      </c>
      <c r="AQ370" s="511">
        <f t="shared" ca="1" si="1288"/>
        <v>0</v>
      </c>
      <c r="AR370" s="518">
        <f t="shared" ca="1" si="1174"/>
        <v>0</v>
      </c>
      <c r="AS370" s="519">
        <f ca="1">IF(Control!$B$18=2,(IF(OR($AH370=Control!$B$175,$AH370=Control!$B$176,$AH370=Control!$B$177,$AH370=Control!$B$178,$AH370=Control!$B$179,$AH370=Control!$B$180,$AH370=Control!$B$181,$AH370=Control!$B$182,$AH370=Control!$B$183,$AH370=Control!$B$184,$AH370=Control!$B$185),1,0)),0)</f>
        <v>0</v>
      </c>
      <c r="AT370" s="519">
        <f>IF(Control!$B$20=8,IF(AND($AH370&gt;=Control!$B$172,$AH370&lt;=Control!$B$173),1,0),0)</f>
        <v>0</v>
      </c>
      <c r="AU370" s="519">
        <f>IF(Control!$B$20=8,IF($AV369=1,1*$AT370,IF($AT370=1,$AU369+1,$AU369)),0)</f>
        <v>0</v>
      </c>
      <c r="AV370" s="519">
        <f>IF(Control!$B$20=8,IF($AU370&gt;=Control!$B$174,1,0),0)</f>
        <v>0</v>
      </c>
      <c r="AW370" s="519">
        <f ca="1">IF(AND(Control!$B$18=2,Control!$B$171=1), $AV370, $AS370)</f>
        <v>0</v>
      </c>
      <c r="AX370" s="519" t="e">
        <f ca="1">IF(AND(Control!$B$18=1,$EU370&gt;=Control!$B$19),-$AY370,IF(AND(Control!$B$18=2,$AW370=1,$EU370&gt;$DS370),-$AY370, IF(Control!$C$108=0,0, IF(Control!$C$108&lt;&gt;0,1))))</f>
        <v>#N/A</v>
      </c>
      <c r="AY370" s="519" t="e">
        <f t="shared" ca="1" si="1289"/>
        <v>#N/A</v>
      </c>
      <c r="AZ370" s="519" t="e">
        <f ca="1">IF(AND(Control!$B$18=1,$EB370&gt;Control!$B$19),$AZ369+1, IF(AND(Control!$B$18=2, $AW370=1, $EB370&gt;$DS370), $AZ369+1,$AZ369))</f>
        <v>#N/A</v>
      </c>
      <c r="BA370" s="588">
        <f>IF(Control!$C$81=0,1,IF($AH370&gt;=Control!$C$82,1,0))</f>
        <v>1</v>
      </c>
      <c r="BB370" s="520" t="e">
        <f ca="1">IF($BA370&gt;$BA369,Control!$C$83,IF($AW370&gt;0,$AW370*Control!$C$84,IF(AND(Control!$B$18=1,EN369&lt;&gt;0),Control!$C$84,0)))</f>
        <v>#N/A</v>
      </c>
      <c r="BC370" s="520" t="e">
        <f t="shared" ca="1" si="1290"/>
        <v>#N/A</v>
      </c>
      <c r="BD370" s="520" t="e">
        <f ca="1">BC370*IF(OR($G370&lt;Control!$C$92,$G370&gt;Control!$C$95),0,IF(AND($G370&gt;=Control!$C$92,$G370&lt;=Control!$C$93),$G370-Control!$C$92,IF(AND($G370&gt;Control!$C$93,$G370&lt;=Control!$C$94),Control!$C$93-Control!$C$92,IF(AND($G370&gt;Control!$C$94,$G370&lt;=Control!$C$95),(Control!$C$93-Control!$C$92)*(Control!$C$94-$G370)/(Control!$C$95-Control!$C$94)))))</f>
        <v>#N/A</v>
      </c>
      <c r="BE370" s="520" t="e">
        <f t="shared" ca="1" si="1291"/>
        <v>#N/A</v>
      </c>
      <c r="BF370" s="520" t="e">
        <f ca="1">IF($BE370&lt;=Control!$C$86,$BE370,Control!$C$86-$BE370)</f>
        <v>#N/A</v>
      </c>
      <c r="BG370" s="520" t="e">
        <f ca="1">IF(AND($AW370=1,Control!$C$84&lt;9),1,IF($BE370&gt;=Control!$C$86,0,$BC370))</f>
        <v>#N/A</v>
      </c>
      <c r="BH370" s="521" t="e">
        <f ca="1">IF($BG370=0,0,IF($BE370&lt;=Control!$C$86,$BC370*9*($BF370/Control!$C$86),0))</f>
        <v>#N/A</v>
      </c>
      <c r="BI370" s="520" t="e">
        <f ca="1">IF($BG370=1,0,IF($BE370&gt;=Control!$C$86,1,IF(AND($BB370&lt;21,$BB370&gt;=9),1,$BM369)))</f>
        <v>#N/A</v>
      </c>
      <c r="BJ370" s="520" t="e">
        <f ca="1">IF($BF370&lt;0,-$BF370,$BI370*IF(OR($G370&lt;Control!$C$92,$G370&gt;Control!$C$95),0,IF(AND($G370&gt;=Control!$C$92,$G370&lt;=Control!$C$93),$G370-Control!$C$92,IF(AND($G370&gt;Control!$C$93,$G370&lt;=Control!$C$94),Control!$C$93-Control!$C$92,IF(AND($G370&gt;Control!$C$94,$G370&lt;=Control!$C$95),(Control!$C$93-Control!$C$92)*(Control!$C$94-$G370)/(Control!$C$95-Control!$C$94))))))</f>
        <v>#N/A</v>
      </c>
      <c r="BK370" s="520" t="e">
        <f t="shared" ca="1" si="1292"/>
        <v>#N/A</v>
      </c>
      <c r="BL370" s="520" t="e">
        <f ca="1">IF($BK370&lt;=Control!$C$87,$BK370,Control!$C$87-$BK370)</f>
        <v>#N/A</v>
      </c>
      <c r="BM370" s="520" t="e">
        <f ca="1">IF(AND($BB370&gt;=9,$BB370&lt;21),1,IF($BK370&gt;=Control!$C$87,0,$BI370))</f>
        <v>#N/A</v>
      </c>
      <c r="BN370" s="521" t="e">
        <f ca="1">IF($BM370=0,0,IF($BK370&lt;=Control!$C$87,$BI370*(9+(21-9)*($BL370/Control!$C$87)),0))</f>
        <v>#N/A</v>
      </c>
      <c r="BO370" s="520" t="e">
        <f ca="1">IF($BM370=1,0,IF($BK370&gt;=Control!$C$87,1,IF(AND($BB370&lt;30,$BB370&gt;=21),1,$BS369)))</f>
        <v>#N/A</v>
      </c>
      <c r="BP370" s="520" t="e">
        <f ca="1">IF($BL370&lt;0,-$BL370,$BO370*IF(OR($G370&lt;Control!$C$92,$G370&gt;Control!$C$95),0,IF(AND($G370&gt;=Control!$C$92,$G370&lt;=Control!$C$93),$G370-Control!$C$92,IF(AND($G370&gt;Control!$C$93,$G370&lt;=Control!$C$94),Control!$C$93-Control!$C$92,IF(AND($G370&gt;Control!$C$94,$G370&lt;=Control!$C$95),(Control!$C$93-Control!$C$92)*(Control!$C$94-$G370)/(Control!$C$95-Control!$C$94))))))</f>
        <v>#N/A</v>
      </c>
      <c r="BQ370" s="520" t="e">
        <f t="shared" ca="1" si="1175"/>
        <v>#N/A</v>
      </c>
      <c r="BR370" s="520" t="e">
        <f ca="1">IF($BQ370&lt;=Control!$C$88,$BQ370,Control!$C$88-$BQ370)</f>
        <v>#N/A</v>
      </c>
      <c r="BS370" s="520" t="e">
        <f ca="1">IF(AND($BB370&gt;=21,$BB370&lt;30),1,IF($BQ370&gt;=Control!$C$88,0,$BO370))</f>
        <v>#N/A</v>
      </c>
      <c r="BT370" s="521" t="e">
        <f ca="1">IF($BS370=0,0,IF($BQ370&lt;=Control!$C$88,$BO370*(21+(30-21)*(BR370/Control!$C$88)),0))</f>
        <v>#N/A</v>
      </c>
      <c r="BU370" s="520" t="e">
        <f ca="1">IF(BG370+BM370+BS370=1,0,IF(OR(AND($BB370&lt;60,$BB370&gt;=30),$BQ370&gt;=Control!$C$88),1*$BA370,$BY369))</f>
        <v>#N/A</v>
      </c>
      <c r="BV370" s="520" t="e">
        <f ca="1">IF($BR370&lt;0,-$BR370,$BU370*IF(OR($G370&lt;Control!$C$92,$G370&gt;Control!$C$95),0,IF(AND($G370&gt;=Control!$C$92,$G370&lt;=Control!$C$93),$G370-Control!$C$92,IF(AND($G370&gt;Control!$C$93,$G370&lt;=Control!$C$94),Control!$C$93-Control!$C$92,IF(AND($G370&gt;Control!$C$94,$G370&lt;=Control!$C$95),(Control!$C$93-Control!$C$92)*(Control!$C$94-$G370)/(Control!$C$95-Control!$C$94))))))</f>
        <v>#N/A</v>
      </c>
      <c r="BW370" s="520" t="e">
        <f t="shared" ca="1" si="1176"/>
        <v>#N/A</v>
      </c>
      <c r="BX370" s="520" t="e">
        <f ca="1">IF($BW370&lt;=Control!$C$89,$BW370,Control!$C$89-$BW370)</f>
        <v>#N/A</v>
      </c>
      <c r="BY370" s="520" t="e">
        <f ca="1">IF(AND($AJ370&gt;=30,$AJ370&lt;60),1,IF($BW370&gt;=Control!$C$89,0,$BU370))</f>
        <v>#N/A</v>
      </c>
      <c r="BZ370" s="521" t="e">
        <f ca="1">IF($BY370=0,0,IF($BW370&lt;=Control!$C$89,$BU370*(30+(60-30)*(BX370/Control!$C$89)),0))</f>
        <v>#N/A</v>
      </c>
      <c r="CA370" s="520" t="e">
        <f ca="1">IF($BG370+$BM370+$BS370+$BY370=1,0,IF(OR(AND($BB370&lt;65,$BB370&gt;=60),$BW370&gt;=Control!$C$89),1*$BA370,$CE369))</f>
        <v>#N/A</v>
      </c>
      <c r="CB370" s="520" t="e">
        <f ca="1">IF($BX370&lt;0,-$BX370,$CA370*IF(OR($G370&lt;Control!$C$92,$G370&gt;Control!$C$95),0,IF(AND($G370&gt;=Control!$C$92,$G370&lt;=Control!$C$93),$G370-Control!$C$92,IF(AND($G370&gt;Control!$C$93,$G370&lt;=Control!$C$94),Control!$C$93-Control!$C$92,IF(AND($G370&gt;Control!$C$94,$G370&lt;=Control!$C$95),(Control!$C$93-Control!$C$92)*(Control!$C$94-$G370)/(Control!$C$95-Control!$C$94))))))</f>
        <v>#N/A</v>
      </c>
      <c r="CC370" s="520" t="e">
        <f t="shared" ca="1" si="1293"/>
        <v>#N/A</v>
      </c>
      <c r="CD370" s="520" t="e">
        <f ca="1">IF($CC370&lt;=Control!$C$90,$CC370,Control!$C$90-$CC370)</f>
        <v>#N/A</v>
      </c>
      <c r="CE370" s="520" t="e">
        <f ca="1">IF(AND($BB370&gt;=60,$BB370&lt;65),1,IF($CC370&gt;=Control!$C$90,0,$CA370))</f>
        <v>#N/A</v>
      </c>
      <c r="CF370" s="521" t="e">
        <f ca="1">IF($CE370=0,0,IF($CC370&lt;=Control!$C$90,$CA370*(60+(65-60)*(CD370/Control!$C$90)),0))</f>
        <v>#N/A</v>
      </c>
      <c r="CG370" s="520" t="e">
        <f ca="1">IF($BG370+$BM370+$BS370+$BY370+$CE370=1,0,IF(OR(AND($BB370&lt;90,$BB370&gt;=65),$CC370&gt;=Control!$C$90),$BA370,$CK369))</f>
        <v>#N/A</v>
      </c>
      <c r="CH370" s="520" t="e">
        <f ca="1">IF($CD370&lt;0,-$CD370,$CG370*IF(OR($G370&lt;Control!$C$92,$G370&gt;Control!$C$95),0,IF(AND($G370&gt;=Control!$C$92,$G370&lt;=Control!$C$93),$G370-Control!$C$92,IF(AND($G370&gt;Control!$C$93,$G370&lt;=Control!$C$94),Control!$C$93-Control!$C$92,IF(AND($G370&gt;Control!$C$94,$G370&lt;=Control!$C$95),(Control!$C$93-Control!$C$92)*(Control!$C$94-$G370)/(Control!$C$95-Control!$C$94))))))</f>
        <v>#N/A</v>
      </c>
      <c r="CI370" s="520" t="e">
        <f t="shared" ca="1" si="1294"/>
        <v>#N/A</v>
      </c>
      <c r="CJ370" s="520" t="e">
        <f ca="1">IF($CI370&lt;=Control!$C$91,$CI370,Control!$C$91-$CI370)</f>
        <v>#N/A</v>
      </c>
      <c r="CK370" s="520" t="e">
        <f ca="1">IF(AND($BB370&gt;=65,$BB370&lt;90),1,IF($CI370&gt;=Control!$C$91,0,$CG370))</f>
        <v>#N/A</v>
      </c>
      <c r="CL370" s="521" t="e">
        <f ca="1">IF($CK370=0,0,IF($CI370&lt;=Control!$C$91,$CG370*(65+(90-65)*($CJ370/Control!$C$91)),0))</f>
        <v>#N/A</v>
      </c>
      <c r="CM370" s="520" t="e">
        <f ca="1">IF($BG370+$BM370+$BS370+$BY370+$CE370+$CK370=1,0,IF(OR($BB370&gt;=90,$CI370&gt;=Control!$C$91),$BA370,$CM369))</f>
        <v>#N/A</v>
      </c>
      <c r="CN370" s="520" t="e">
        <f t="shared" ca="1" si="1295"/>
        <v>#N/A</v>
      </c>
      <c r="CO370" s="520" t="e">
        <f t="shared" ca="1" si="1296"/>
        <v>#N/A</v>
      </c>
      <c r="CP370" s="520" t="e">
        <f t="shared" ca="1" si="1297"/>
        <v>#N/A</v>
      </c>
      <c r="CQ370" s="522" t="e">
        <f ca="1">VLOOKUP($CP370,Control!$B$86:$G$91,6)</f>
        <v>#N/A</v>
      </c>
      <c r="CR370" s="522" t="e">
        <f ca="1">(1-$CQ370)*VLOOKUP($CP370,Control!$B$86:$D$91,3)</f>
        <v>#N/A</v>
      </c>
      <c r="CS370" s="522" t="e">
        <f ca="1">(1-$CQ370)*VLOOKUP($CP370,Control!$B$86:$E$91,4)</f>
        <v>#N/A</v>
      </c>
      <c r="CT370" s="522" t="e">
        <f ca="1">(1-$CQ370)*VLOOKUP($CP370,Control!$B$86:$F$91,5)</f>
        <v>#N/A</v>
      </c>
      <c r="CU370" s="522">
        <f t="shared" ca="1" si="1298"/>
        <v>0</v>
      </c>
      <c r="CV370" s="608">
        <f t="shared" ca="1" si="1299"/>
        <v>0</v>
      </c>
      <c r="CW370" s="523">
        <f t="shared" ca="1" si="1300"/>
        <v>366</v>
      </c>
      <c r="CX370" s="613" t="e">
        <f ca="1">IF(Control!$C$114=1,(MIN(Control!$C$120*(IF($NT370-0.01&lt;0,0,1)),Control!$C$119-$CY370)))</f>
        <v>#DIV/0!</v>
      </c>
      <c r="CY370" s="524" t="e">
        <f t="shared" ca="1" si="1301"/>
        <v>#N/A</v>
      </c>
      <c r="CZ370" s="525">
        <f t="shared" ca="1" si="1177"/>
        <v>0</v>
      </c>
      <c r="DA370" s="525">
        <f t="shared" ca="1" si="1178"/>
        <v>0</v>
      </c>
      <c r="DB370" s="525" t="e">
        <f t="shared" ca="1" si="1179"/>
        <v>#N/A</v>
      </c>
      <c r="DC370" s="525" t="e">
        <f t="shared" ca="1" si="1180"/>
        <v>#N/A</v>
      </c>
      <c r="DD370" s="525" t="e">
        <f t="shared" ca="1" si="1386"/>
        <v>#N/A</v>
      </c>
      <c r="DE370" s="524" t="e">
        <f t="shared" ca="1" si="1302"/>
        <v>#N/A</v>
      </c>
      <c r="DF370" s="526" t="e">
        <f ca="1">$DR370*EXP(-Control!$C$158*(1-$KH370))</f>
        <v>#N/A</v>
      </c>
      <c r="DG370" s="527" t="e">
        <f ca="1">IF(Control!$C$114=1, $DF370*$EY370, 0)</f>
        <v>#N/A</v>
      </c>
      <c r="DH370" s="528" t="e">
        <f t="shared" ca="1" si="1303"/>
        <v>#N/A</v>
      </c>
      <c r="DI370" s="525" t="e">
        <f t="shared" ca="1" si="1364"/>
        <v>#N/A</v>
      </c>
      <c r="DJ370" s="528" t="e">
        <f ca="1">$EF370*Control!$C$109</f>
        <v>#N/A</v>
      </c>
      <c r="DK370" s="525" t="e">
        <f t="shared" ca="1" si="1304"/>
        <v>#N/A</v>
      </c>
      <c r="DL370" s="525" t="e">
        <f t="shared" ca="1" si="1181"/>
        <v>#N/A</v>
      </c>
      <c r="DM370" s="525" t="e">
        <f ca="1">IF(Control!$C$114=1, (1-EXP(-Control!$C$96*$DK370))*$AR370, 0)</f>
        <v>#N/A</v>
      </c>
      <c r="DN370" s="525">
        <f t="shared" ca="1" si="1305"/>
        <v>0</v>
      </c>
      <c r="DO370" s="529">
        <f>Control!$C$97</f>
        <v>4</v>
      </c>
      <c r="DP370" s="526" t="e">
        <f t="shared" ca="1" si="1306"/>
        <v>#N/A</v>
      </c>
      <c r="DQ370" s="526" t="e">
        <f ca="1">IF(AND($CP370&gt;=0,$CP370&lt;=90),Control!$C$111,Control!$C$111)</f>
        <v>#N/A</v>
      </c>
      <c r="DR370" s="526" t="e">
        <f t="shared" ca="1" si="1182"/>
        <v>#N/A</v>
      </c>
      <c r="DS370" s="524" t="e">
        <f ca="1">Control!$B$22/$DR370</f>
        <v>#N/A</v>
      </c>
      <c r="DT370" s="530" t="e">
        <f ca="1">IF(AND(Control!$C$114=1,$KH370&lt;1),$IM370*$DF370, 0)</f>
        <v>#N/A</v>
      </c>
      <c r="DU370" s="525" t="e">
        <f t="shared" ca="1" si="1307"/>
        <v>#N/A</v>
      </c>
      <c r="DV370" s="525">
        <f ca="1">IF($G370-Control!$C$107&lt;=0, 0, 0.83*LN(MAX($G370, 3))-0.8924)</f>
        <v>0</v>
      </c>
      <c r="DW370" s="525" t="e">
        <f t="shared" ca="1" si="1183"/>
        <v>#N/A</v>
      </c>
      <c r="DX370" s="531" t="e">
        <f ca="1">MAX(0.01*(1+$CU370/Control!$C$102),0.05*($DK370-Control!$C$97)/Control!$C$97)</f>
        <v>#N/A</v>
      </c>
      <c r="DY370" s="532" t="e">
        <f ca="1">IF(Control!$C$114=1, $DI370*$FS370, 0)</f>
        <v>#N/A</v>
      </c>
      <c r="DZ370" s="533" t="e">
        <f t="shared" ca="1" si="1308"/>
        <v>#N/A</v>
      </c>
      <c r="EA370" s="534">
        <f t="shared" ca="1" si="1309"/>
        <v>366</v>
      </c>
      <c r="EB370" s="535" t="e">
        <f t="shared" ca="1" si="1310"/>
        <v>#N/A</v>
      </c>
      <c r="EC370" s="535" t="e">
        <f t="shared" ca="1" si="1311"/>
        <v>#N/A</v>
      </c>
      <c r="ED370" s="536" t="e">
        <f ca="1">IF(Control!$C$114=1, $HM370*$FY370-$FD370, 0)</f>
        <v>#DIV/0!</v>
      </c>
      <c r="EE370" s="537" t="e">
        <f ca="1">IF(Control!$C$114=1, $HM370*$FZ370-$FF370, 0)</f>
        <v>#DIV/0!</v>
      </c>
      <c r="EF370" s="535" t="e">
        <f t="shared" ca="1" si="1365"/>
        <v>#N/A</v>
      </c>
      <c r="EG370" s="537" t="e">
        <f ca="1">IF(Control!$C$114=1, $GX370*$FW370-$FI370, 0)</f>
        <v>#DIV/0!</v>
      </c>
      <c r="EH370" s="535" t="e">
        <f t="shared" ca="1" si="1312"/>
        <v>#N/A</v>
      </c>
      <c r="EI370" s="538" t="e">
        <f t="shared" ca="1" si="1313"/>
        <v>#N/A</v>
      </c>
      <c r="EJ370" s="537" t="e">
        <f ca="1">IF(Control!$C$114=1, $HM370*$GB370, 0)</f>
        <v>#DIV/0!</v>
      </c>
      <c r="EK370" s="535" t="e">
        <f t="shared" ca="1" si="1366"/>
        <v>#N/A</v>
      </c>
      <c r="EL370" s="535" t="e">
        <f t="shared" ca="1" si="1184"/>
        <v>#N/A</v>
      </c>
      <c r="EM370" s="535" t="e">
        <f t="shared" ca="1" si="1185"/>
        <v>#N/A</v>
      </c>
      <c r="EN370" s="535" t="e">
        <f ca="1">IF(Control!$C$108=1,IF(AND(Control!$B$18=1,$EB370&gt;=Control!$B$19),$EB370-$DS370,IF(AND(Control!$B$18=2,$AW370=1,$EB370&gt;$DS370),$EB370-$DS370,0)))</f>
        <v>#N/A</v>
      </c>
      <c r="EO370" s="535" t="e">
        <f ca="1">IF(Control!$C$108=1,IF(AND(Control!$B$18=1,$EB370&gt;=Control!$B$19),$EF370,IF(AND(Control!$B$18=2,$AW370=1),$EF370,0)))</f>
        <v>#N/A</v>
      </c>
      <c r="EP370" s="535" t="e">
        <f ca="1">IF(Control!$C$108=1,IF(AND(Control!$B$18=1,$EB370&gt;=Control!$B$19),$EK370,IF(AND(Control!$B$18=2,$AW370=1),$EK370,0)))</f>
        <v>#N/A</v>
      </c>
      <c r="EQ370" s="535" t="e">
        <f t="shared" ca="1" si="1314"/>
        <v>#N/A</v>
      </c>
      <c r="ER370" s="535" t="e">
        <f t="shared" ca="1" si="1315"/>
        <v>#N/A</v>
      </c>
      <c r="ES370" s="535" t="e">
        <f t="shared" ca="1" si="1367"/>
        <v>#N/A</v>
      </c>
      <c r="ET370" s="535" t="e">
        <f t="shared" ca="1" si="1368"/>
        <v>#N/A</v>
      </c>
      <c r="EU370" s="535" t="e">
        <f t="shared" ca="1" si="1316"/>
        <v>#N/A</v>
      </c>
      <c r="EV370" s="535" t="e">
        <f t="shared" ca="1" si="1186"/>
        <v>#N/A</v>
      </c>
      <c r="EW370" s="535" t="e">
        <f ca="1">$ER370+MAX(0,$EM370)</f>
        <v>#N/A</v>
      </c>
      <c r="EX370" s="535" t="e">
        <f t="shared" ca="1" si="1188"/>
        <v>#N/A</v>
      </c>
      <c r="EY370" s="539" t="e">
        <f t="shared" ca="1" si="1189"/>
        <v>#DIV/0!</v>
      </c>
      <c r="EZ370" s="536" t="e">
        <f t="shared" ca="1" si="1190"/>
        <v>#DIV/0!</v>
      </c>
      <c r="FA370" s="535" t="e">
        <f t="shared" ca="1" si="1317"/>
        <v>#N/A</v>
      </c>
      <c r="FB370" s="535" t="e">
        <f t="shared" ca="1" si="1191"/>
        <v>#N/A</v>
      </c>
      <c r="FC370" s="540" t="e">
        <f t="shared" ca="1" si="1192"/>
        <v>#N/A</v>
      </c>
      <c r="FD370" s="541" t="e">
        <f t="shared" ca="1" si="1318"/>
        <v>#N/A</v>
      </c>
      <c r="FE370" s="541" t="e">
        <f t="shared" ca="1" si="1319"/>
        <v>#N/A</v>
      </c>
      <c r="FF370" s="542" t="e">
        <f t="shared" ca="1" si="1193"/>
        <v>#N/A</v>
      </c>
      <c r="FG370" s="543" t="e">
        <f t="shared" ca="1" si="1320"/>
        <v>#N/A</v>
      </c>
      <c r="FH370" s="541" t="e">
        <f t="shared" ca="1" si="1321"/>
        <v>#N/A</v>
      </c>
      <c r="FI370" s="542" t="e">
        <f t="shared" ca="1" si="1194"/>
        <v>#N/A</v>
      </c>
      <c r="FJ370" s="543" t="e">
        <f t="shared" ca="1" si="1322"/>
        <v>#N/A</v>
      </c>
      <c r="FK370" s="543" t="e">
        <f t="shared" ca="1" si="1195"/>
        <v>#N/A</v>
      </c>
      <c r="FL370" s="543" t="e">
        <f t="shared" ca="1" si="1369"/>
        <v>#N/A</v>
      </c>
      <c r="FM370" s="543" t="e">
        <f t="shared" ca="1" si="1196"/>
        <v>#N/A</v>
      </c>
      <c r="FN370" s="541">
        <f t="shared" ca="1" si="1323"/>
        <v>0.01</v>
      </c>
      <c r="FO370" s="543">
        <f>Control!$C$101</f>
        <v>50</v>
      </c>
      <c r="FP370" s="531" t="e">
        <f t="shared" ca="1" si="1197"/>
        <v>#N/A</v>
      </c>
      <c r="FQ370" s="531" t="e">
        <f ca="1">MAX(0,(Control!$C$112*(($DK370-Control!$C$97)/Control!$C$97)))</f>
        <v>#N/A</v>
      </c>
      <c r="FR370" s="531" t="e">
        <f ca="1">(1-$NT370)*Control!$C$113</f>
        <v>#DIV/0!</v>
      </c>
      <c r="FS370" s="544" t="e">
        <f t="shared" ca="1" si="1198"/>
        <v>#N/A</v>
      </c>
      <c r="FT370" s="545">
        <f t="shared" ca="1" si="1324"/>
        <v>366</v>
      </c>
      <c r="FU370" s="546" t="e">
        <f ca="1">IF(Control!$B$34=1,VLOOKUP($CP370,Control!$B$86:$G$91,6),Control!$B$35)</f>
        <v>#N/A</v>
      </c>
      <c r="FV370" s="546" t="e">
        <f t="shared" ca="1" si="1199"/>
        <v>#DIV/0!</v>
      </c>
      <c r="FW370" s="546" t="e">
        <f ca="1">IF(Control!$B$31=1,$FU370*$FV370,  $FU370)</f>
        <v>#N/A</v>
      </c>
      <c r="FX370" s="546" t="e">
        <f ca="1">IF(Control!$B$34=1,VLOOKUP($CP370,Control!$B$86:$G$91,3),Control!$B$36)</f>
        <v>#N/A</v>
      </c>
      <c r="FY370" s="546" t="e">
        <f t="shared" ca="1" si="1200"/>
        <v>#N/A</v>
      </c>
      <c r="FZ370" s="546" t="e">
        <f ca="1">IF(Control!$B$34=1,VLOOKUP($CP370,Control!$B$86:$G$91,4),Control!$B$37)</f>
        <v>#N/A</v>
      </c>
      <c r="GA370" s="546" t="e">
        <f t="shared" ca="1" si="1201"/>
        <v>#N/A</v>
      </c>
      <c r="GB370" s="546" t="e">
        <f ca="1">IF(Control!$B$34=1,VLOOKUP($CP370,Control!$B$86:$G$91,5),Control!$B$38)</f>
        <v>#N/A</v>
      </c>
      <c r="GC370" s="546" t="e">
        <f t="shared" ca="1" si="1325"/>
        <v>#N/A</v>
      </c>
      <c r="GD370" s="546">
        <f t="shared" ca="1" si="1202"/>
        <v>1</v>
      </c>
      <c r="GE370" s="546">
        <f t="shared" ca="1" si="1203"/>
        <v>1</v>
      </c>
      <c r="GF370" s="546">
        <f ca="1">IF(AND(Control!$C$104=1, Control!$C$62="F"),$GE370,1)</f>
        <v>1</v>
      </c>
      <c r="GG370" s="546" t="e">
        <f ca="1">IF(Control!$B$16=40,0,IF(AND(Control!$B$16&gt;40,Control!$B$16&lt;=360),(Control!$B$16-40)*((1-0)/(360-40)),IF(AND(Control!$B$16&gt;360,Control!$B$16&lt;=720),(1+(Control!$B$16-360)*((1.25-1)/(720-360))),IF(AND(Control!$B$16&gt;720,Control!$B$16&lt;=1000),(1.25+(Control!$B$16-720)*((1.35-1.25)/(1000-720))),IF(AND(Control!$B$16&gt;1000,Control!$B$16&lt;=2000),(1.35+(Control!$B$16-1000)*0))))))</f>
        <v>#N/A</v>
      </c>
      <c r="GH370" s="546" t="e">
        <f t="shared" ca="1" si="1204"/>
        <v>#N/A</v>
      </c>
      <c r="GI370" s="546">
        <f t="shared" ca="1" si="1326"/>
        <v>0</v>
      </c>
      <c r="GJ370" s="546">
        <f t="shared" ca="1" si="1205"/>
        <v>0</v>
      </c>
      <c r="GK370" s="546">
        <f t="shared" ca="1" si="1327"/>
        <v>1</v>
      </c>
      <c r="GL370" s="546">
        <f t="shared" ca="1" si="1206"/>
        <v>1</v>
      </c>
      <c r="GM370" s="546" t="e">
        <f ca="1">MAX(0,MIN(1,1-Control!$C$156*(1.0001-$KH370)^2))</f>
        <v>#N/A</v>
      </c>
      <c r="GN370" s="546" t="e">
        <f ca="1">IF(Control!$B$26=1,$KU370,$KX370)</f>
        <v>#N/A</v>
      </c>
      <c r="GO370" s="546" t="e">
        <f ca="1">IF($CP370&lt;=60,Control!$C$105,IF($CP370&gt;=90,Control!$C$106,Control!$C$105+($CP370-60)*((Control!$C$106-Control!$C$105)/(90-60))))</f>
        <v>#N/A</v>
      </c>
      <c r="GP370" s="546" t="e">
        <f t="shared" ca="1" si="1207"/>
        <v>#N/A</v>
      </c>
      <c r="GQ370" s="546" t="e">
        <f t="shared" ca="1" si="1328"/>
        <v>#N/A</v>
      </c>
      <c r="GR370" s="547" t="e">
        <f t="shared" ca="1" si="1208"/>
        <v>#DIV/0!</v>
      </c>
      <c r="GS370" s="546" t="e">
        <f t="shared" ca="1" si="1209"/>
        <v>#DIV/0!</v>
      </c>
      <c r="GT370" s="548" t="e">
        <f t="shared" ca="1" si="1329"/>
        <v>#N/A</v>
      </c>
      <c r="GU370" s="546" t="e">
        <f t="shared" ca="1" si="1330"/>
        <v>#N/A</v>
      </c>
      <c r="GV370" s="546" t="e">
        <f t="shared" ca="1" si="1210"/>
        <v>#N/A</v>
      </c>
      <c r="GW370" s="546" t="e">
        <f t="shared" ca="1" si="1211"/>
        <v>#DIV/0!</v>
      </c>
      <c r="GX370" s="546" t="e">
        <f t="shared" ca="1" si="1331"/>
        <v>#DIV/0!</v>
      </c>
      <c r="GY370" s="546" t="e">
        <f t="shared" ca="1" si="1332"/>
        <v>#DIV/0!</v>
      </c>
      <c r="GZ370" s="549" t="e">
        <f t="shared" ca="1" si="1212"/>
        <v>#N/A</v>
      </c>
      <c r="HA370" s="546" t="e">
        <f ca="1">IF(Control!$C$114=1, $DI370*$FS370, 0)</f>
        <v>#N/A</v>
      </c>
      <c r="HB370" s="546" t="e">
        <f ca="1">$FA370/Control!$C$64</f>
        <v>#N/A</v>
      </c>
      <c r="HC370" s="546" t="e">
        <f t="shared" ca="1" si="1213"/>
        <v>#DIV/0!</v>
      </c>
      <c r="HD370" s="546">
        <f ca="1">-ASIN(SIN(23.45*Control!$C$139)*COS(2*Control!$C$138*($AH370+10)/365))</f>
        <v>-0.40153886500208691</v>
      </c>
      <c r="HE370" s="549">
        <f t="shared" ca="1" si="1333"/>
        <v>0</v>
      </c>
      <c r="HF370" s="550">
        <f ca="1">IF(AND(Control!$C$61="T",$HE370&gt;=Control!$C$103,Control!$C$114=0),$AH370,Control!$C$59)</f>
        <v>1</v>
      </c>
      <c r="HG370" s="550">
        <f ca="1">IF(AND(Control!$C$61="T",$HE370&gt;=Control!$C$103,Control!$C$114=0),$HF370,Control!$C$59)</f>
        <v>1</v>
      </c>
      <c r="HH370" s="549">
        <f ca="1">IF(AND(OR(Control!$C$60&lt;=0, $AH370= Control!$C$59, Control!$C$60 &gt;0, $AH370 = Control!$C$60)), Control!$C$59, IF(Control!$C$60&gt;0, 0))</f>
        <v>1</v>
      </c>
      <c r="HI370" s="549">
        <f ca="1">IF(AND(OR(Control!$C$60&lt;=0, $AH370= Control!$C$59, Control!$C$60 &gt;0, $AH370 = Control!$C$60)), Control!$C$60, IF(Control!$C$60&lt;=0, 0))</f>
        <v>0</v>
      </c>
      <c r="HJ370" s="550">
        <f ca="1">IF(AND(Control!$C$62="F",$CV370&gt;=Control!$C$102),$AH370,0)</f>
        <v>0</v>
      </c>
      <c r="HK370" s="549" t="e">
        <f t="shared" ca="1" si="1370"/>
        <v>#N/A</v>
      </c>
      <c r="HL370" s="550">
        <f ca="1">IF(AND(Control!$C$61="T",$HE370&gt;=Control!$C$103,Control!$C$114=0),$HF370,0)</f>
        <v>0</v>
      </c>
      <c r="HM370" s="551" t="e">
        <f t="shared" ca="1" si="1214"/>
        <v>#DIV/0!</v>
      </c>
      <c r="HN370" s="552">
        <f t="shared" ca="1" si="1334"/>
        <v>366</v>
      </c>
      <c r="HO370" s="553" t="e">
        <f ca="1">IF(AND($CP370&gt;=0, $CP370&lt;=90), Control!$C$152, Control!$C$152)</f>
        <v>#N/A</v>
      </c>
      <c r="HP370" s="553" t="e">
        <f t="shared" ca="1" si="1215"/>
        <v>#N/A</v>
      </c>
      <c r="HQ370" s="554" t="e">
        <f ca="1">IF(OR(Control!$B$26=1,Control!$B$26=2),$KV370,$KS370)</f>
        <v>#DIV/0!</v>
      </c>
      <c r="HR370" s="555" t="e">
        <f t="shared" ca="1" si="1371"/>
        <v>#DIV/0!</v>
      </c>
      <c r="HS370" s="553" t="e">
        <f ca="1">Control!$C$154*$HP370</f>
        <v>#N/A</v>
      </c>
      <c r="HT370" s="553" t="e">
        <f ca="1">Control!$C$155*$HP370</f>
        <v>#N/A</v>
      </c>
      <c r="HU370" s="554" t="e">
        <f ca="1">Control!$C$161*$FI370</f>
        <v>#N/A</v>
      </c>
      <c r="HV370" s="555" t="e">
        <f t="shared" ca="1" si="1335"/>
        <v>#N/A</v>
      </c>
      <c r="HW370" s="555" t="e">
        <f ca="1">Control!$C$160*$FF370+$IP370*$EO370</f>
        <v>#N/A</v>
      </c>
      <c r="HX370" s="555" t="e">
        <f t="shared" ca="1" si="1372"/>
        <v>#N/A</v>
      </c>
      <c r="HY370" s="556" t="e">
        <f ca="1">IF(Control!$C$114=1, $EB370*$FS370, 0)</f>
        <v>#N/A</v>
      </c>
      <c r="HZ370" s="557" t="e">
        <f t="shared" ca="1" si="1216"/>
        <v>#N/A</v>
      </c>
      <c r="IA370" s="558" t="e">
        <f ca="1">Control!$C$153*$HO370</f>
        <v>#N/A</v>
      </c>
      <c r="IB370" s="555" t="e">
        <f t="shared" ca="1" si="1217"/>
        <v>#N/A</v>
      </c>
      <c r="IC370" s="558" t="e">
        <f ca="1">Control!$C$153*$HT370</f>
        <v>#N/A</v>
      </c>
      <c r="ID370" s="555" t="e">
        <f t="shared" ca="1" si="1218"/>
        <v>#N/A</v>
      </c>
      <c r="IE370" s="559" t="e">
        <f ca="1">($EB370*Control!$C$159+$EF370*Control!$C$160)/(IF($GZ370&lt;&gt;0,$GZ370,1))</f>
        <v>#N/A</v>
      </c>
      <c r="IF370" s="553" t="e">
        <f t="shared" ca="1" si="1219"/>
        <v>#N/A</v>
      </c>
      <c r="IG370" s="557">
        <f ca="1">IF(OR(Control!$B$198=$AH370,Control!$B$199=$AH370, Control!$B$200=$AH370, Control!$B$201=$AH370, Control!$B$202=$AH370, Control!$B$203=$AH370, Control!$B$204=$AH370, Control!$B$205=$AH370, Control!$B$206=$AH370, Control!$B$207=$AH370), 1, 0)</f>
        <v>0</v>
      </c>
      <c r="IH370" s="557">
        <f ca="1">IF($IG370=0,0, VLOOKUP($AH370,Control!$B$198:$C$207,2))</f>
        <v>0</v>
      </c>
      <c r="II370" s="560">
        <f t="shared" ca="1" si="1336"/>
        <v>0</v>
      </c>
      <c r="IJ370" s="557">
        <f>Control!$C$121</f>
        <v>0.7</v>
      </c>
      <c r="IK370" s="555">
        <f ca="1">$IH370*$IJ370</f>
        <v>0</v>
      </c>
      <c r="IL370" s="554" t="e">
        <f t="shared" ca="1" si="1373"/>
        <v>#N/A</v>
      </c>
      <c r="IM370" s="561" t="e">
        <f ca="1">IF(AND(Control!$C$114=1,$KH370&lt;1),$EB370*Control!$C$148*(1-$KH370), 0)</f>
        <v>#N/A</v>
      </c>
      <c r="IN370" s="554" t="e">
        <f t="shared" ca="1" si="1221"/>
        <v>#DIV/0!</v>
      </c>
      <c r="IO370" s="557" t="e">
        <f ca="1">MAX(0,$IL370-$EF370*Control!$C$160)</f>
        <v>#N/A</v>
      </c>
      <c r="IP370" s="558" t="e">
        <f t="shared" ca="1" si="1222"/>
        <v>#N/A</v>
      </c>
      <c r="IQ370" s="554" t="e">
        <f t="shared" ca="1" si="1337"/>
        <v>#N/A</v>
      </c>
      <c r="IR370" s="555" t="e">
        <f t="shared" ca="1" si="1223"/>
        <v>#N/A</v>
      </c>
      <c r="IS370" s="554" t="e">
        <f ca="1">Control!$C$159*MAX(0,$FD370-$EN370)</f>
        <v>#N/A</v>
      </c>
      <c r="IT370" s="554" t="e">
        <f t="shared" ca="1" si="1374"/>
        <v>#N/A</v>
      </c>
      <c r="IU370" s="554" t="e">
        <f t="shared" ca="1" si="1338"/>
        <v>#N/A</v>
      </c>
      <c r="IV370" s="554" t="e">
        <f t="shared" ca="1" si="1375"/>
        <v>#N/A</v>
      </c>
      <c r="IW370" s="554" t="e">
        <f ca="1">IF(OR($AW370=1,AND($AW370=0, Control!$B$18=1,$EN370&lt;&gt;0)), $IQ370-$IU370, $IQ370)</f>
        <v>#N/A</v>
      </c>
      <c r="IX370" s="555" t="e">
        <f t="shared" ca="1" si="1224"/>
        <v>#N/A</v>
      </c>
      <c r="IY370" s="555" t="e">
        <f ca="1">MAX(0,$IQ370-$EB370*Control!$C$159)</f>
        <v>#N/A</v>
      </c>
      <c r="IZ370" s="555" t="e">
        <f t="shared" ca="1" si="1225"/>
        <v>#N/A</v>
      </c>
      <c r="JA370" s="553" t="e">
        <f t="shared" ca="1" si="1226"/>
        <v>#N/A</v>
      </c>
      <c r="JB370" s="554" t="e">
        <f t="shared" ca="1" si="1227"/>
        <v>#N/A</v>
      </c>
      <c r="JC370" s="560" t="e">
        <f ca="1">MAX(Control!$C$157*$EK370-$JT370, 0)/Control!$C$162</f>
        <v>#N/A</v>
      </c>
      <c r="JD370" s="555" t="e">
        <f t="shared" ca="1" si="1228"/>
        <v>#N/A</v>
      </c>
      <c r="JE370" s="555" t="e">
        <f t="shared" ca="1" si="1229"/>
        <v>#N/A</v>
      </c>
      <c r="JF370" s="555" t="e">
        <f t="shared" ca="1" si="1339"/>
        <v>#N/A</v>
      </c>
      <c r="JG370" s="555" t="e">
        <f t="shared" ca="1" si="1230"/>
        <v>#N/A</v>
      </c>
      <c r="JH370" s="554" t="e">
        <f t="shared" ca="1" si="1340"/>
        <v>#N/A</v>
      </c>
      <c r="JI370" s="554" t="e">
        <f t="shared" ca="1" si="1341"/>
        <v>#N/A</v>
      </c>
      <c r="JJ370" s="554" t="e">
        <f t="shared" ca="1" si="1376"/>
        <v>#N/A</v>
      </c>
      <c r="JK370" s="554" t="e">
        <f ca="1">IF(Control!$C$114=1,IF(Control!$B$24=0,MAX(0,$JI370)*$GN370/Control!$C$64,(MAX(0,MIN($JI370,$JJ370*$GN370/Control!$C$64),0))))</f>
        <v>#N/A</v>
      </c>
      <c r="JL370" s="554" t="e">
        <f ca="1">$IK370/Control!$C$64-$JK370+$HQ370</f>
        <v>#N/A</v>
      </c>
      <c r="JM370" s="554" t="e">
        <f ca="1">IF(Control!$C$114=1,($JB370/(IF($JI370&lt;&gt;0,$JI370,1)))*$JK370,0)</f>
        <v>#N/A</v>
      </c>
      <c r="JN370" s="554" t="e">
        <f ca="1">IF(Control!$C$114=1,($JG370/(IF($JI370&lt;&gt;0,$JI370,1)))*$JK370, 0)</f>
        <v>#N/A</v>
      </c>
      <c r="JO370" s="555" t="e">
        <f t="shared" ca="1" si="1231"/>
        <v>#N/A</v>
      </c>
      <c r="JP370" s="555" t="e">
        <f ca="1">MIN(($IY370+$IO370)*Control!$C$151, $JF370-$EH370*Control!$C$161)</f>
        <v>#N/A</v>
      </c>
      <c r="JQ370" s="555" t="e">
        <f t="shared" ca="1" si="1232"/>
        <v>#N/A</v>
      </c>
      <c r="JR370" s="554" t="e">
        <f ca="1">IF($CP370-Control!$C$150&lt;0, 0, $JQ370/Control!$C$162)</f>
        <v>#N/A</v>
      </c>
      <c r="JS370" s="555" t="e">
        <f t="shared" ca="1" si="1233"/>
        <v>#N/A</v>
      </c>
      <c r="JT370" s="555" t="e">
        <f t="shared" ca="1" si="1342"/>
        <v>#N/A</v>
      </c>
      <c r="JU370" s="555" t="e">
        <f t="shared" ca="1" si="1234"/>
        <v>#N/A</v>
      </c>
      <c r="JV370" s="555" t="e">
        <f t="shared" ca="1" si="1235"/>
        <v>#N/A</v>
      </c>
      <c r="JW370" s="553" t="e">
        <f t="shared" ca="1" si="1236"/>
        <v>#N/A</v>
      </c>
      <c r="JX370" s="557" t="e">
        <f t="shared" ca="1" si="1237"/>
        <v>#N/A</v>
      </c>
      <c r="JY370" s="555" t="e">
        <f t="shared" ca="1" si="1238"/>
        <v>#N/A</v>
      </c>
      <c r="JZ370" s="554" t="e">
        <f ca="1">IF(Control!$C$114=1,($IZ370/(IF($JI370&lt;&gt;0,$JI370,1)))*$JK370, 0)</f>
        <v>#N/A</v>
      </c>
      <c r="KA370" s="555" t="e">
        <f t="shared" ca="1" si="1377"/>
        <v>#N/A</v>
      </c>
      <c r="KB370" s="555" t="e">
        <f t="shared" ca="1" si="1343"/>
        <v>#N/A</v>
      </c>
      <c r="KC370" s="555" t="e">
        <f t="shared" ca="1" si="1239"/>
        <v>#N/A</v>
      </c>
      <c r="KD370" s="555" t="e">
        <f t="shared" ca="1" si="1240"/>
        <v>#N/A</v>
      </c>
      <c r="KE370" s="555" t="e">
        <f t="shared" ca="1" si="1241"/>
        <v>#N/A</v>
      </c>
      <c r="KF370" s="555" t="e">
        <f t="shared" ca="1" si="1242"/>
        <v>#N/A</v>
      </c>
      <c r="KG370" s="553" t="e">
        <f t="shared" ca="1" si="1243"/>
        <v>#N/A</v>
      </c>
      <c r="KH370" s="559" t="e">
        <f ca="1">IF(Control!$B$24=0,1,MAX(0.001,MIN(1,IF(($IF370-$IE370)&lt;&gt;0,($KG370-$IE370)/($IF370-$IE370),1))))</f>
        <v>#N/A</v>
      </c>
      <c r="KI370" s="560" t="e">
        <f ca="1">IF(Control!$C$114=1, $KI369+ $KH369, 0)</f>
        <v>#N/A</v>
      </c>
      <c r="KJ370" s="554" t="e">
        <f t="shared" ca="1" si="1244"/>
        <v>#N/A</v>
      </c>
      <c r="KK370" s="555" t="e">
        <f t="shared" ca="1" si="1245"/>
        <v>#N/A</v>
      </c>
      <c r="KL370" s="449" t="e">
        <f ca="1">IF(Control!$B$26=3,4000000000*EXP(-8400/($G370+273)),IF(Control!$B$26=4,4000000000*EXP(-8400/($G370+273))*($KT370),0))</f>
        <v>#DIV/0!</v>
      </c>
      <c r="KM370" s="449" t="e">
        <f ca="1">IF(Control!$B$26=3,5600000000000*EXP(-9800/($G370+273)),IF(Control!$B$26=4,5600000000000*EXP(-9800/($G370+273))*$KT370,0))</f>
        <v>#DIV/0!</v>
      </c>
      <c r="KN370" s="562" t="e">
        <f t="shared" ca="1" si="1344"/>
        <v>#DIV/0!</v>
      </c>
      <c r="KO370" s="449" t="e">
        <f t="shared" ca="1" si="1345"/>
        <v>#DIV/0!</v>
      </c>
      <c r="KP370" s="562" t="e">
        <f t="shared" ca="1" si="1246"/>
        <v>#DIV/0!</v>
      </c>
      <c r="KQ370" s="562" t="e">
        <f ca="1">KQ369</f>
        <v>#DIV/0!</v>
      </c>
      <c r="KR370" s="562" t="e">
        <f ca="1">KR369</f>
        <v>#DIV/0!</v>
      </c>
      <c r="KS370" s="562" t="e">
        <f t="shared" ca="1" si="1249"/>
        <v>#DIV/0!</v>
      </c>
      <c r="KT370" s="563" t="e">
        <f t="shared" ca="1" si="1250"/>
        <v>#DIV/0!</v>
      </c>
      <c r="KU370" s="564" t="e">
        <f ca="1">IF($CP370-Control!$C$149&lt;0, IF($NT370-0.01&lt;0,0,1),0)</f>
        <v>#N/A</v>
      </c>
      <c r="KV370" s="564" t="e">
        <f ca="1">IF(Control!$C$114=1,MAX(0,MIN(Control!$C$125*$KW370*$GN370,$KW370)))</f>
        <v>#DIV/0!</v>
      </c>
      <c r="KW370" s="564" t="e">
        <f t="shared" ca="1" si="1378"/>
        <v>#DIV/0!</v>
      </c>
      <c r="KX370" s="609" t="e">
        <f ca="1">IF($CP370-Control!$C$149&lt;0, IF($MR370-$OM370&lt;0,0,1),0)</f>
        <v>#N/A</v>
      </c>
      <c r="KY370" s="565">
        <f t="shared" ca="1" si="1346"/>
        <v>366</v>
      </c>
      <c r="KZ370" s="566">
        <f ca="1">1370*(1+0.033*COS(2*Control!$C$138*$AH370/365))</f>
        <v>1415.2032901802263</v>
      </c>
      <c r="LA370" s="567">
        <f t="shared" ca="1" si="1347"/>
        <v>1.0329951106939008</v>
      </c>
      <c r="LB370" s="567">
        <f t="shared" ca="1" si="1348"/>
        <v>-0.40100809259462372</v>
      </c>
      <c r="LC370" s="567">
        <f ca="1">ACOS(-TAN((2*Control!$B$8/360))*TAN(Calculations!$LB370))</f>
        <v>1.4444516718890457</v>
      </c>
      <c r="LD370" s="567">
        <f ca="1">((24*60)/PI())*0.082*$LA370*(($LC370*SIN(Control!$B$8*2*PI()/360))*SIN($LB370)+COS(Control!$B$8*2*PI()/360)*COS($LB370)*SIN($LC370))</f>
        <v>4.5811877567022963</v>
      </c>
      <c r="LE370" s="568">
        <f t="shared" ca="1" si="1251"/>
        <v>6.2328602536205446</v>
      </c>
      <c r="LF370" s="568">
        <f ca="1">SIN(Control!$C$139*Control!$B$8)*SIN($HD370)</f>
        <v>-0.30798290567822956</v>
      </c>
      <c r="LG370" s="568">
        <f ca="1">COS(Control!$C$139*Control!$B$8)*COS($HD370)</f>
        <v>0.56669061708891688</v>
      </c>
      <c r="LH370" s="568">
        <f ca="1">12*(1+2*ASIN(MAX(-1,MIN(1,$LF370/$LG370))/Control!$C$138))</f>
        <v>7.8271643233850456</v>
      </c>
      <c r="LI370" s="568">
        <f ca="1">12*(1+2*ASIN(MAX(-1,MIN(1,(-SIN(-4*Control!$C$139)+$LF370)/$LG370))/Control!$C$138))</f>
        <v>8.778867312172844</v>
      </c>
      <c r="LJ370" s="566">
        <f ca="1">3600*($LH370*$LF370+24*$LG370*SQRT(1-$LK370*$LK370)/Control!$C$138)</f>
        <v>4404.2154910668623</v>
      </c>
      <c r="LK370" s="568">
        <f t="shared" ca="1" si="1252"/>
        <v>-0.54347627504463403</v>
      </c>
      <c r="LL370" s="568">
        <f t="shared" ca="1" si="1253"/>
        <v>0</v>
      </c>
      <c r="LM370" s="569">
        <f ca="1">Control!$C$145*$AB370</f>
        <v>6.6660906138995932E-2</v>
      </c>
      <c r="LN370" s="568">
        <f t="shared" ca="1" si="1349"/>
        <v>0.54</v>
      </c>
      <c r="LO370" s="568">
        <f t="shared" ca="1" si="1254"/>
        <v>0</v>
      </c>
      <c r="LP370" s="568">
        <f ca="1">Control!$C$140*((($D370+273.16)^4+($E370+273.16)^4)/2)*(0.34-0.14*SQRT($Y370))*(1.35*$AQ370/(0.75*$LD370)-0.35)</f>
        <v>-3.2464704755046001</v>
      </c>
      <c r="LQ370" s="568">
        <f ca="1">Control!$C$140*($G370+273)^4*(0.56-0.079*SQRT($Y370*10))*(0.1+0.9*$LO370)</f>
        <v>1.5241745131704001</v>
      </c>
      <c r="LR370" s="568">
        <f ca="1">$AQ370*(1-Control!$C$142)-$LQ370</f>
        <v>-1.5241745131704001</v>
      </c>
      <c r="LS370" s="568">
        <f ca="1">$AQ370*(1-Control!$C$143)-$LQ370</f>
        <v>-1.5241745131704001</v>
      </c>
      <c r="LT370" s="568">
        <f ca="1">$AQ370*(1-Control!$C$144)-$LQ370</f>
        <v>-1.5241745131704001</v>
      </c>
      <c r="LU370" s="567">
        <f ca="1">(1-Control!$C$144)*AQ370-LP370</f>
        <v>3.2464704755046001</v>
      </c>
      <c r="LV370" s="570">
        <f t="shared" ca="1" si="1255"/>
        <v>0.79430000000000012</v>
      </c>
      <c r="LW370" s="568">
        <f t="shared" ca="1" si="1256"/>
        <v>1.5886000000000002</v>
      </c>
      <c r="LX370" s="568">
        <f ca="1">($AC370*($LR370/Control!$C$141)+$LM370*$LV370)/($AC370+$LM370)</f>
        <v>0.23530094218323697</v>
      </c>
      <c r="LY370" s="568">
        <f ca="1">($AC370*($LS370/Control!$C$141)+$LM370*$LV370)/($AC370+$LM370)</f>
        <v>0.23530094218323697</v>
      </c>
      <c r="LZ370" s="568">
        <f t="shared" ca="1" si="1257"/>
        <v>0.23530094218323697</v>
      </c>
      <c r="MA370" s="568">
        <f t="shared" ca="1" si="1258"/>
        <v>0.23530094218323697</v>
      </c>
      <c r="MB370" s="568" t="e">
        <f t="shared" ca="1" si="1259"/>
        <v>#N/A</v>
      </c>
      <c r="MC370" s="568">
        <f t="shared" ca="1" si="1350"/>
        <v>0.6018</v>
      </c>
      <c r="MD370" s="568">
        <f t="shared" ca="1" si="1260"/>
        <v>0.52989392535414004</v>
      </c>
      <c r="ME370" s="568">
        <f ca="1">($AC370*($LT370/Control!$C$141)+$LM370*$LW370)/($AC370+$LM370)</f>
        <v>0.71612369323045078</v>
      </c>
      <c r="MF370" s="568" t="e">
        <f ca="1">IF(Control!$B$16&gt;=1000,0.92,IF(AND(720&lt;=Control!$B$16,1000&gt;Control!$B$16),(0.95+(Control!$B$16-720)*((0.92-0.95)/(1000-720))),IF(AND(360&lt;=Control!$B$16,720&gt;Control!$B$16),(1+(Control!$B$16-360)*((0.95-1)/(720-360))),IF(AND(40&lt;=Control!$B$16,360&gt;Control!$B$16),(1.05+(Control!$B$16-40)*((1.05-1)/(360-40)))))))</f>
        <v>#N/A</v>
      </c>
      <c r="MG370" s="568">
        <f t="shared" ca="1" si="1261"/>
        <v>0.71612369323045078</v>
      </c>
      <c r="MH370" s="568" t="e">
        <f t="shared" ca="1" si="1387"/>
        <v>#N/A</v>
      </c>
      <c r="MI370" s="568" t="e">
        <f t="shared" ca="1" si="1387"/>
        <v>#N/A</v>
      </c>
      <c r="MJ370" s="568" t="e">
        <f ca="1">MAX(0.0001, Control!$C$132*$MI370*$DL370)</f>
        <v>#N/A</v>
      </c>
      <c r="MK370" s="568">
        <f ca="1">1/(0.76+1.5*($MG370/10))-(5-Control!$C$110)*0.1</f>
        <v>1.002845988140797</v>
      </c>
      <c r="ML370" s="571">
        <f ca="1">IF(Control!$C$110&lt;3,$MK370+($MG370-0.6)/(Control!$C$110*(Control!$C$110+3)), MAX(0.1, MIN(0.95,$MK370)))</f>
        <v>0.95</v>
      </c>
      <c r="MM370" s="571">
        <f ca="1">IF(Control!$C$110&lt;3,$MK370+(($MI370/10)-0.6)/(Control!$C$110*(Control!$C$110+3)), MAX(0.1, MIN(0.95,$MK370)))</f>
        <v>0.95</v>
      </c>
      <c r="MN370" s="571">
        <f ca="1">(1-$MM370)*(Control!$C$128-Control!$C$127)+Control!$C$127</f>
        <v>0.16</v>
      </c>
      <c r="MO370" s="568" t="e">
        <f ca="1">MAX(0,MIN(1,($MS370-Control!$C$127)/($MN370-Control!$C$127)))</f>
        <v>#DIV/0!</v>
      </c>
      <c r="MP370" s="571" t="e">
        <f ca="1">1/(0.76+1.5*$MI370)-(5-Control!$C$110)*0.1</f>
        <v>#N/A</v>
      </c>
      <c r="MQ370" s="570" t="e">
        <f t="shared" ca="1" si="1379"/>
        <v>#DIV/0!</v>
      </c>
      <c r="MR370" s="566" t="e">
        <f t="shared" ca="1" si="1351"/>
        <v>#DIV/0!</v>
      </c>
      <c r="MS370" s="571" t="e">
        <f ca="1">MAX(Control!$C$127, MIN(Control!$C$135, $MR370/MAX(0.0001,$CY370)))</f>
        <v>#DIV/0!</v>
      </c>
      <c r="MT370" s="566" t="e">
        <f ca="1">(Control!$C$128-$MS370)*Control!$C$74</f>
        <v>#DIV/0!</v>
      </c>
      <c r="MU370" s="566" t="e">
        <f ca="1">(Control!$C$135-$MS370)*Control!$C$74</f>
        <v>#DIV/0!</v>
      </c>
      <c r="MV370" s="566" t="e">
        <f t="shared" ca="1" si="1352"/>
        <v>#DIV/0!</v>
      </c>
      <c r="MW370" s="566" t="e">
        <f t="shared" ca="1" si="1353"/>
        <v>#DIV/0!</v>
      </c>
      <c r="MX370" s="569" t="e">
        <f ca="1">MAX(Control!$C$127, MIN(Control!$C$135, $MW370/MAX(0.0001,Control!$C$119-$CY370)))</f>
        <v>#DIV/0!</v>
      </c>
      <c r="MY370" s="572" t="e">
        <f ca="1">IF(Control!$C$114=1, $CX370*$MX370, 0)</f>
        <v>#DIV/0!</v>
      </c>
      <c r="MZ370" s="572" t="e">
        <f t="shared" ca="1" si="1354"/>
        <v>#N/A</v>
      </c>
      <c r="NA370" s="566" t="e">
        <f ca="1">(Control!$C$128-$MX370)*(Control!$C$119-Control!$C$74)</f>
        <v>#DIV/0!</v>
      </c>
      <c r="NB370" s="566" t="e">
        <f ca="1">(Control!$C$135-$MX370)*(Control!$C$119-Control!$C$74)</f>
        <v>#DIV/0!</v>
      </c>
      <c r="NC370" s="573" t="e">
        <f t="shared" ca="1" si="1355"/>
        <v>#DIV/0!</v>
      </c>
      <c r="ND370" s="572">
        <f ca="1">IF(Control!$C$58=2, IF(OR(Control!$B$218=$AH370,Control!$B$219=$AH370, Control!$B$220=$AH370, Control!$B$221=$AH370, Control!$B$222=$AH370, Control!$B$223=$AH370, Control!$B$224=$AH370, Control!$B$225=$AH370, Control!$B$226=$AH370, Control!$B$227=$AH370, Control!$B$228=$AH370), 1, 0), 0)</f>
        <v>0</v>
      </c>
      <c r="NE370" s="572">
        <f ca="1">IF($ND370=0,0, VLOOKUP($AH370,Control!$B$218:$C$228,2))</f>
        <v>0</v>
      </c>
      <c r="NF370" s="566" t="e">
        <f ca="1">$CY370*(Control!$C$128-Control!$C$127)</f>
        <v>#N/A</v>
      </c>
      <c r="NG370" s="572" t="e">
        <f ca="1">IF(Control!$C$58=2, $NI369-$NJ369, 0)</f>
        <v>#DIV/0!</v>
      </c>
      <c r="NH370" s="572" t="e">
        <f ca="1">IF(AND(Control!$C$58=1, $MS369&lt;= ($MN369+0.02), $I369&lt;10), 0, IF(Control!$C$58=2, $NG369, 0))</f>
        <v>#DIV/0!</v>
      </c>
      <c r="NI370" s="572" t="e">
        <f ca="1">IF(Control!$C$58=2, $NE370+$NH370,0)</f>
        <v>#DIV/0!</v>
      </c>
      <c r="NJ370" s="572" t="e">
        <f ca="1">IF(AND(Control!$C$58=1, $MS370&lt;= ($MN370+0.02), $I370&lt;10), MAX(0, MIN(10, 0.7*($NF370-$MV370))), IF(Control!$C$58=2, MIN(10,$NI370),0))</f>
        <v>#DIV/0!</v>
      </c>
      <c r="NK370" s="572" t="e">
        <f t="shared" ca="1" si="1263"/>
        <v>#DIV/0!</v>
      </c>
      <c r="NL370" s="571" t="e">
        <f ca="1">(1-Control!$C$73)*$I370+$NJ370</f>
        <v>#DIV/0!</v>
      </c>
      <c r="NM370" s="570" t="e">
        <f ca="1">IF($NL370&lt;0.5, $MB370* MAX(0, MIN(1, (SQRT($NC370)-SQRT($NC370-1))*Control!$C$71)),0)</f>
        <v>#DIV/0!</v>
      </c>
      <c r="NN370" s="568" t="e">
        <f ca="1">IF($NL370&gt;=5, $MB370, MAX(0,MIN($MB370, $NM370+$NL370,($MS370-Control!$C$129))))</f>
        <v>#DIV/0!</v>
      </c>
      <c r="NO370" s="572">
        <f>IF(Control!$C$133&lt;&gt;1, Control!$C$135-Control!$C$131, 0)</f>
        <v>0.38</v>
      </c>
      <c r="NP370" s="572" t="e">
        <f t="shared" ca="1" si="1264"/>
        <v>#DIV/0!</v>
      </c>
      <c r="NQ370" s="571" t="e">
        <f ca="1">MAX(0,MIN(1,(Control!$C$135-$MS370)/(Control!$C$135-$NO370)))</f>
        <v>#DIV/0!</v>
      </c>
      <c r="NR370" s="568" t="e">
        <f ca="1">IF(Control!$C$133&lt;&gt;1, $NQ370+((1-$NP370/4)*(1-$NQ370)),1)</f>
        <v>#DIV/0!</v>
      </c>
      <c r="NS370" s="568" t="e">
        <f ca="1">IF(Control!$B$31=0,$MJ370,MAX(0,MIN($MV370,$MO370*$NR370*$MJ370)))</f>
        <v>#DIV/0!</v>
      </c>
      <c r="NT370" s="568" t="e">
        <f t="shared" ca="1" si="1380"/>
        <v>#DIV/0!</v>
      </c>
      <c r="NU370" s="568" t="e">
        <f t="shared" ca="1" si="1356"/>
        <v>#N/A</v>
      </c>
      <c r="NV370" s="568" t="e">
        <f t="shared" ca="1" si="1265"/>
        <v>#N/A</v>
      </c>
      <c r="NW370" s="574" t="e">
        <f t="shared" ca="1" si="1266"/>
        <v>#DIV/0!</v>
      </c>
      <c r="NX370" s="568" t="e">
        <f ca="1">MIN(Control!$C$72+$MU370, $NW370)</f>
        <v>#DIV/0!</v>
      </c>
      <c r="NY370" s="568" t="e">
        <f ca="1">IF($MT370&lt;=$NX370,MIN(Control!$C$72+$NB370,$NX370-$MT370),0)</f>
        <v>#DIV/0!</v>
      </c>
      <c r="NZ370" s="572" t="e">
        <f ca="1">IF(Control!$C$114=1,  $CX370*($MX370-Control!$C$127), 0)</f>
        <v>#DIV/0!</v>
      </c>
      <c r="OA370" s="568" t="e">
        <f t="shared" ca="1" si="1267"/>
        <v>#DIV/0!</v>
      </c>
      <c r="OB370" s="568" t="e">
        <f ca="1">IF($NA370 &lt;=$NY370, MIN(Control!$C$72, $NY370-$NA370), 0)</f>
        <v>#DIV/0!</v>
      </c>
      <c r="OC370" s="566" t="e">
        <f t="shared" ca="1" si="1268"/>
        <v>#DIV/0!</v>
      </c>
      <c r="OD370" s="566" t="e">
        <f t="shared" ca="1" si="1357"/>
        <v>#DIV/0!</v>
      </c>
      <c r="OE370" s="568">
        <f ca="1">Control!$C$73*$I370</f>
        <v>0</v>
      </c>
      <c r="OF370" s="575" t="e">
        <f t="shared" ca="1" si="1269"/>
        <v>#DIV/0!</v>
      </c>
      <c r="OG370" s="566" t="e">
        <f t="shared" ca="1" si="1270"/>
        <v>#DIV/0!</v>
      </c>
      <c r="OH370" s="566" t="e">
        <f t="shared" ca="1" si="1271"/>
        <v>#DIV/0!</v>
      </c>
      <c r="OI370" s="566" t="e">
        <f t="shared" ca="1" si="1272"/>
        <v>#DIV/0!</v>
      </c>
      <c r="OJ370" s="566" t="e">
        <f t="shared" ca="1" si="1273"/>
        <v>#DIV/0!</v>
      </c>
      <c r="OK370" s="576" t="e">
        <f ca="1">$OG370+$OH370</f>
        <v>#DIV/0!</v>
      </c>
      <c r="OL370" s="577">
        <f>Control!$C$127</f>
        <v>0.15</v>
      </c>
      <c r="OM370" s="578" t="e">
        <f t="shared" ca="1" si="1275"/>
        <v>#N/A</v>
      </c>
      <c r="ON370" s="577">
        <f>Control!$C$128</f>
        <v>0.35</v>
      </c>
      <c r="OO370" s="578" t="e">
        <f t="shared" ca="1" si="1276"/>
        <v>#N/A</v>
      </c>
      <c r="OP370" s="579">
        <f t="shared" ca="1" si="1358"/>
        <v>0</v>
      </c>
      <c r="OQ370" s="579" t="e">
        <f t="shared" ca="1" si="1381"/>
        <v>#DIV/0!</v>
      </c>
      <c r="OR370" s="579" t="e">
        <f t="shared" ca="1" si="1359"/>
        <v>#DIV/0!</v>
      </c>
      <c r="OS370" s="580" t="e">
        <f t="shared" ca="1" si="1382"/>
        <v>#DIV/0!</v>
      </c>
      <c r="OT370" s="581" t="e">
        <f t="shared" ca="1" si="1383"/>
        <v>#DIV/0!</v>
      </c>
      <c r="OU370" s="579" t="e">
        <f t="shared" ca="1" si="1384"/>
        <v>#N/A</v>
      </c>
      <c r="OV370" s="579" t="e">
        <f t="shared" ca="1" si="1385"/>
        <v>#DIV/0!</v>
      </c>
      <c r="OW370" s="579" t="e">
        <f t="shared" ca="1" si="1360"/>
        <v>#DIV/0!</v>
      </c>
      <c r="OX370" s="579" t="e">
        <f t="shared" ca="1" si="1361"/>
        <v>#DIV/0!</v>
      </c>
      <c r="OY370" s="579" t="e">
        <f t="shared" ca="1" si="1362"/>
        <v>#DIV/0!</v>
      </c>
      <c r="OZ370" s="579" t="e">
        <f t="shared" ca="1" si="1277"/>
        <v>#DIV/0!</v>
      </c>
      <c r="PA370" s="579" t="e">
        <f t="shared" ca="1" si="1278"/>
        <v>#DIV/0!</v>
      </c>
      <c r="PB370" s="582">
        <f>IF(Control!$C$61="T", IF(Control!$C$65="F", IF($AH$6-Control!$C$60&lt;0,0,1), IF(365+$AH$6-Control!$C$60&lt;0,0,1)),0)</f>
        <v>0</v>
      </c>
      <c r="PC370" s="582">
        <f ca="1">IF(Control!$C$65="F", IF($AH$6-$HF370&lt;0,0,1), IF(365+$AH$6-$HF370&lt;0,0,1))</f>
        <v>1</v>
      </c>
      <c r="PD370" s="446">
        <f>Control!$C$118</f>
        <v>1500</v>
      </c>
      <c r="PE370" s="447" t="e">
        <f t="shared" ca="1" si="1279"/>
        <v>#N/A</v>
      </c>
      <c r="PF370" s="448">
        <f t="shared" ca="1" si="1363"/>
        <v>0.71612369323045078</v>
      </c>
      <c r="PT370" s="186"/>
      <c r="PU370" s="186"/>
      <c r="PV370" s="94"/>
      <c r="PW370" s="94"/>
      <c r="PX370" s="94"/>
      <c r="PY370" s="94"/>
      <c r="PZ370" s="94"/>
      <c r="QA370" s="94"/>
      <c r="QB370" s="94"/>
      <c r="QC370" s="94"/>
      <c r="QD370" s="94"/>
      <c r="QE370" s="94"/>
      <c r="QF370" s="94"/>
      <c r="QG370" s="94"/>
      <c r="QH370" s="94"/>
      <c r="QI370" s="94"/>
      <c r="QJ370" s="94"/>
      <c r="QK370" s="94"/>
      <c r="QL370" s="94"/>
      <c r="QM370" s="94"/>
      <c r="QN370" s="94"/>
      <c r="QO370" s="94"/>
      <c r="QP370" s="94"/>
    </row>
    <row r="371" spans="1:458" x14ac:dyDescent="0.2">
      <c r="H371" s="19"/>
      <c r="I371" s="68"/>
      <c r="K371" s="68"/>
      <c r="P371" s="355"/>
      <c r="W371" s="19"/>
      <c r="DI371" s="356"/>
      <c r="DJ371" s="357"/>
      <c r="DV371" s="71"/>
      <c r="FD371" s="19" t="e">
        <f ca="1">SUM(FD6:FD370)</f>
        <v>#N/A</v>
      </c>
      <c r="IA371" s="67"/>
      <c r="IC371" s="67"/>
      <c r="IS371" s="67"/>
      <c r="IT371" s="67"/>
      <c r="IU371" s="67"/>
      <c r="JH371" s="358"/>
      <c r="KJ371" s="71"/>
      <c r="PF371" s="67"/>
      <c r="PG371" s="67"/>
      <c r="PH371" s="67"/>
      <c r="PI371" s="67"/>
      <c r="PJ371" s="67"/>
      <c r="PK371" s="67"/>
      <c r="PL371" s="67"/>
      <c r="PM371" s="67"/>
      <c r="PN371" s="67"/>
      <c r="PO371" s="67"/>
      <c r="PP371" s="67"/>
      <c r="PQ371" s="67"/>
      <c r="PR371" s="67"/>
      <c r="PS371" s="67"/>
      <c r="PT371" s="67"/>
      <c r="PU371" s="67"/>
      <c r="PV371" s="67"/>
      <c r="PW371" s="67"/>
      <c r="PX371" s="67"/>
      <c r="PY371" s="67"/>
      <c r="PZ371" s="67"/>
      <c r="QA371" s="67"/>
      <c r="QB371" s="67"/>
      <c r="QC371" s="67"/>
      <c r="QD371" s="67"/>
      <c r="QE371" s="67"/>
      <c r="QF371" s="67"/>
      <c r="QG371" s="67"/>
      <c r="QH371" s="67"/>
      <c r="QI371" s="67"/>
      <c r="QJ371" s="67"/>
      <c r="QK371" s="67"/>
      <c r="QL371" s="67"/>
      <c r="QM371" s="67"/>
      <c r="QN371" s="67"/>
      <c r="QO371" s="67"/>
      <c r="QP371" s="67"/>
    </row>
    <row r="372" spans="1:458" x14ac:dyDescent="0.2">
      <c r="A372" s="78"/>
      <c r="B372" s="78"/>
      <c r="C372" s="78"/>
      <c r="D372" s="4"/>
      <c r="E372" s="4"/>
      <c r="F372" s="4"/>
      <c r="G372" s="19"/>
      <c r="H372" s="19"/>
      <c r="I372" s="4"/>
      <c r="J372" s="4"/>
      <c r="P372" s="355"/>
      <c r="R372" s="19"/>
      <c r="V372" s="71"/>
      <c r="W372" s="19"/>
      <c r="AG372" s="69"/>
      <c r="AI372" s="79"/>
      <c r="AK372" s="19"/>
      <c r="AL372" s="19"/>
      <c r="AM372" s="19"/>
      <c r="AN372" s="71"/>
      <c r="AO372" s="71"/>
      <c r="AP372" s="68"/>
      <c r="AR372" s="79"/>
      <c r="AS372" s="68"/>
      <c r="AT372" s="68"/>
      <c r="AU372" s="68"/>
      <c r="AV372" s="68"/>
      <c r="AW372" s="68"/>
      <c r="DI372" s="356"/>
      <c r="DJ372" s="357"/>
      <c r="DK372" s="19"/>
      <c r="DL372" s="19"/>
      <c r="DM372" s="19"/>
      <c r="DN372" s="19"/>
      <c r="DQ372" s="72"/>
      <c r="DR372" s="72"/>
      <c r="EC372" s="19"/>
      <c r="EK372" s="71"/>
      <c r="EN372" s="68"/>
      <c r="EO372" s="68"/>
      <c r="EP372" s="68"/>
      <c r="EQ372" s="68"/>
      <c r="ER372" s="68"/>
      <c r="ES372" s="68"/>
      <c r="ET372" s="68"/>
      <c r="EU372" s="68"/>
      <c r="EV372" s="68"/>
      <c r="EW372" s="68"/>
      <c r="EX372" s="68"/>
      <c r="FA372" s="68"/>
      <c r="FB372" s="19"/>
      <c r="FE372" s="19"/>
      <c r="FH372" s="19"/>
      <c r="FM372" s="19"/>
      <c r="FS372" s="79"/>
      <c r="HD372" s="19"/>
      <c r="IL372" s="359"/>
      <c r="IX372" s="19"/>
      <c r="JH372" s="358"/>
      <c r="JJ372" s="71"/>
      <c r="JK372" s="19"/>
      <c r="JL372" s="71"/>
      <c r="JO372" s="19"/>
      <c r="LP372" s="120"/>
      <c r="LU372" s="120"/>
      <c r="MC372" s="120"/>
      <c r="MD372" s="120"/>
      <c r="PD372" s="122"/>
      <c r="PE372" s="123"/>
      <c r="PF372" s="123"/>
      <c r="PT372" s="189"/>
      <c r="PU372" s="189"/>
    </row>
    <row r="373" spans="1:458" x14ac:dyDescent="0.2">
      <c r="G373" s="19"/>
      <c r="H373" s="19"/>
      <c r="K373" s="68"/>
      <c r="V373" s="71"/>
      <c r="W373" s="19"/>
      <c r="AG373" s="69"/>
      <c r="AO373" s="71"/>
      <c r="DJ373" s="357"/>
      <c r="DQ373" s="72"/>
      <c r="DR373" s="72"/>
      <c r="EC373" s="19"/>
      <c r="EK373" s="71"/>
      <c r="FB373" s="19"/>
      <c r="FE373" s="19"/>
      <c r="FH373" s="19"/>
    </row>
    <row r="374" spans="1:458" x14ac:dyDescent="0.2">
      <c r="A374" s="68"/>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c r="AJ374" s="68"/>
      <c r="AK374" s="68"/>
      <c r="AL374" s="68"/>
      <c r="AM374" s="68"/>
      <c r="AN374" s="68"/>
      <c r="AO374" s="68"/>
      <c r="AP374" s="68"/>
      <c r="AQ374" s="68"/>
      <c r="AR374" s="68"/>
      <c r="AS374" s="68"/>
      <c r="AT374" s="68"/>
      <c r="AU374" s="68"/>
      <c r="AV374" s="68"/>
      <c r="AW374" s="68"/>
      <c r="AX374" s="68"/>
      <c r="AY374" s="68"/>
      <c r="AZ374" s="68"/>
      <c r="BA374" s="68"/>
      <c r="BB374" s="68"/>
      <c r="BC374" s="68"/>
      <c r="BD374" s="68"/>
      <c r="BE374" s="68"/>
      <c r="BF374" s="68"/>
      <c r="BG374" s="68"/>
      <c r="BH374" s="68"/>
      <c r="BI374" s="68"/>
      <c r="BJ374" s="68"/>
      <c r="BK374" s="68"/>
      <c r="BL374" s="68"/>
      <c r="BM374" s="68"/>
      <c r="BN374" s="68"/>
      <c r="BO374" s="68"/>
      <c r="BP374" s="68"/>
      <c r="BQ374" s="68"/>
      <c r="BR374" s="68"/>
      <c r="BS374" s="68"/>
      <c r="BT374" s="68"/>
      <c r="BU374" s="68"/>
      <c r="BV374" s="68"/>
      <c r="BW374" s="68"/>
      <c r="BX374" s="68"/>
      <c r="BY374" s="68"/>
      <c r="BZ374" s="68"/>
      <c r="CA374" s="68"/>
      <c r="CB374" s="68"/>
      <c r="CC374" s="68"/>
      <c r="CD374" s="68"/>
      <c r="CE374" s="68"/>
      <c r="CF374" s="68"/>
      <c r="CG374" s="68"/>
      <c r="CH374" s="68"/>
      <c r="CI374" s="68"/>
      <c r="CJ374" s="68"/>
      <c r="CK374" s="68"/>
      <c r="CL374" s="68"/>
      <c r="CM374" s="68"/>
      <c r="CN374" s="68"/>
      <c r="CO374" s="68"/>
      <c r="CP374" s="68"/>
      <c r="CQ374" s="68"/>
      <c r="CR374" s="68"/>
      <c r="CS374" s="68"/>
      <c r="CT374" s="68"/>
      <c r="CU374" s="68"/>
      <c r="CV374" s="68"/>
      <c r="CW374" s="68"/>
      <c r="CX374" s="68"/>
      <c r="CY374" s="68"/>
      <c r="CZ374" s="68"/>
      <c r="DA374" s="68"/>
      <c r="DB374" s="68"/>
      <c r="DC374" s="68"/>
      <c r="DD374" s="68"/>
      <c r="DE374" s="68"/>
      <c r="DF374" s="68"/>
      <c r="DG374" s="68"/>
      <c r="DH374" s="68"/>
      <c r="DI374" s="68"/>
      <c r="DJ374" s="68"/>
      <c r="DK374" s="68"/>
      <c r="DL374" s="68"/>
      <c r="DM374" s="68"/>
      <c r="DN374" s="68"/>
      <c r="DO374" s="68"/>
      <c r="DP374" s="68"/>
      <c r="DQ374" s="68"/>
      <c r="DR374" s="68"/>
      <c r="DS374" s="68"/>
      <c r="DT374" s="68"/>
      <c r="DU374" s="68"/>
      <c r="DV374" s="68"/>
      <c r="DW374" s="68"/>
      <c r="DX374" s="68"/>
      <c r="DY374" s="68"/>
      <c r="DZ374" s="68"/>
      <c r="EA374" s="68"/>
      <c r="EB374" s="68"/>
      <c r="EC374" s="68"/>
      <c r="ED374" s="68"/>
      <c r="EE374" s="68"/>
      <c r="EF374" s="68"/>
      <c r="EG374" s="68"/>
      <c r="EH374" s="68"/>
      <c r="EI374" s="68"/>
      <c r="EJ374" s="68"/>
      <c r="EK374" s="68"/>
      <c r="EL374" s="68"/>
      <c r="EM374" s="68"/>
      <c r="EN374" s="68"/>
      <c r="EO374" s="68"/>
      <c r="EP374" s="68"/>
      <c r="EQ374" s="68"/>
      <c r="ER374" s="68"/>
      <c r="ES374" s="68"/>
      <c r="ET374" s="68"/>
      <c r="EU374" s="68"/>
      <c r="EV374" s="68"/>
      <c r="EW374" s="68"/>
      <c r="EX374" s="68"/>
      <c r="EY374" s="68"/>
      <c r="EZ374" s="68"/>
      <c r="FA374" s="68"/>
      <c r="FB374" s="68"/>
      <c r="FC374" s="68"/>
      <c r="FD374" s="68"/>
      <c r="FE374" s="68"/>
      <c r="FF374" s="68"/>
      <c r="FG374" s="68"/>
      <c r="FH374" s="68"/>
      <c r="FI374" s="68"/>
      <c r="FJ374" s="68"/>
      <c r="FK374" s="68"/>
      <c r="FL374" s="68"/>
      <c r="FM374" s="68"/>
      <c r="FN374" s="68"/>
      <c r="FO374" s="68"/>
      <c r="FP374" s="68"/>
      <c r="FQ374" s="68"/>
      <c r="FR374" s="68"/>
      <c r="FS374" s="68"/>
      <c r="FT374" s="68"/>
      <c r="FU374" s="68"/>
      <c r="FV374" s="68"/>
      <c r="FW374" s="68"/>
      <c r="FX374" s="68"/>
      <c r="FY374" s="68"/>
      <c r="FZ374" s="68"/>
      <c r="GA374" s="68"/>
      <c r="GB374" s="68"/>
      <c r="GC374" s="68"/>
      <c r="GD374" s="68"/>
      <c r="GE374" s="68"/>
      <c r="GF374" s="68"/>
      <c r="GG374" s="68"/>
      <c r="GH374" s="68"/>
      <c r="GI374" s="68"/>
      <c r="GJ374" s="68"/>
      <c r="GK374" s="68"/>
      <c r="GL374" s="68"/>
      <c r="GM374" s="68"/>
      <c r="GN374" s="68"/>
      <c r="GO374" s="68"/>
      <c r="GP374" s="68"/>
      <c r="GQ374" s="68"/>
      <c r="GR374" s="68"/>
      <c r="GS374" s="68"/>
      <c r="GT374" s="68"/>
      <c r="GU374" s="68"/>
      <c r="GV374" s="68"/>
      <c r="GW374" s="68"/>
      <c r="GX374" s="68"/>
      <c r="GY374" s="68"/>
      <c r="GZ374" s="68"/>
      <c r="HA374" s="68"/>
      <c r="HB374" s="68"/>
      <c r="HC374" s="68"/>
      <c r="HD374" s="68"/>
      <c r="HE374" s="68"/>
      <c r="HF374" s="68"/>
      <c r="HG374" s="68"/>
      <c r="HH374" s="68"/>
      <c r="HI374" s="68"/>
      <c r="HJ374" s="68"/>
      <c r="HK374" s="68"/>
      <c r="HL374" s="68"/>
      <c r="HM374" s="68"/>
      <c r="HN374" s="68"/>
      <c r="HO374" s="68"/>
      <c r="HP374" s="68"/>
      <c r="HQ374" s="68"/>
      <c r="HR374" s="68"/>
      <c r="HS374" s="68"/>
      <c r="HT374" s="68"/>
      <c r="HU374" s="68"/>
      <c r="HV374" s="68"/>
      <c r="HW374" s="68"/>
      <c r="HX374" s="68"/>
      <c r="HY374" s="68"/>
      <c r="HZ374" s="68"/>
      <c r="IA374" s="68"/>
      <c r="IB374" s="68"/>
      <c r="IC374" s="68"/>
      <c r="ID374" s="68"/>
      <c r="IE374" s="68"/>
      <c r="IF374" s="68"/>
      <c r="IG374" s="68"/>
      <c r="IH374" s="68"/>
      <c r="II374" s="68"/>
      <c r="IJ374" s="68"/>
      <c r="IK374" s="68"/>
      <c r="IL374" s="68"/>
      <c r="IM374" s="68"/>
      <c r="IN374" s="68"/>
      <c r="IO374" s="68"/>
      <c r="IP374" s="68"/>
      <c r="IQ374" s="68"/>
      <c r="IR374" s="68"/>
      <c r="IS374" s="68"/>
      <c r="IT374" s="68"/>
      <c r="IU374" s="68"/>
      <c r="IV374" s="68"/>
      <c r="IW374" s="68"/>
      <c r="IX374" s="68"/>
      <c r="IY374" s="68"/>
      <c r="IZ374" s="68"/>
      <c r="JA374" s="68"/>
      <c r="JB374" s="68"/>
      <c r="JC374" s="68"/>
      <c r="JD374" s="68"/>
      <c r="JE374" s="68"/>
      <c r="JF374" s="68"/>
      <c r="JG374" s="68"/>
      <c r="JH374" s="68"/>
      <c r="JI374" s="68"/>
      <c r="JJ374" s="68"/>
      <c r="JK374" s="68"/>
      <c r="JL374" s="68"/>
      <c r="JM374" s="68"/>
      <c r="JN374" s="68"/>
      <c r="JO374" s="68"/>
      <c r="JP374" s="68"/>
      <c r="JQ374" s="68"/>
      <c r="JR374" s="68"/>
      <c r="JS374" s="68"/>
      <c r="JT374" s="68"/>
      <c r="JU374" s="68"/>
      <c r="JV374" s="68"/>
      <c r="JW374" s="68"/>
      <c r="JX374" s="68"/>
      <c r="JY374" s="68"/>
      <c r="JZ374" s="68"/>
      <c r="KA374" s="68"/>
      <c r="KB374" s="68"/>
      <c r="KC374" s="68"/>
      <c r="KD374" s="68"/>
      <c r="KE374" s="68"/>
      <c r="KF374" s="68"/>
      <c r="KG374" s="68"/>
      <c r="KH374" s="68"/>
      <c r="KI374" s="68"/>
      <c r="KJ374" s="68"/>
      <c r="KK374" s="68"/>
      <c r="KL374" s="68"/>
      <c r="KM374" s="68"/>
      <c r="KN374" s="68"/>
      <c r="KO374" s="68"/>
      <c r="KP374" s="68"/>
      <c r="KQ374" s="68"/>
      <c r="KR374" s="68"/>
      <c r="KS374" s="68"/>
      <c r="KT374" s="68"/>
      <c r="KU374" s="68"/>
      <c r="KV374" s="68"/>
      <c r="KW374" s="68"/>
      <c r="KX374" s="68"/>
      <c r="KY374" s="68"/>
      <c r="KZ374" s="68"/>
      <c r="LA374" s="68"/>
      <c r="LB374" s="68"/>
      <c r="LC374" s="68"/>
      <c r="LD374" s="68"/>
      <c r="LE374" s="68"/>
      <c r="LF374" s="68"/>
      <c r="LG374" s="68"/>
      <c r="LH374" s="68"/>
      <c r="LI374" s="68"/>
      <c r="LJ374" s="68"/>
      <c r="LK374" s="68"/>
      <c r="LL374" s="68"/>
      <c r="LM374" s="68"/>
      <c r="LN374" s="68"/>
      <c r="LO374" s="68"/>
      <c r="LP374" s="68"/>
      <c r="LQ374" s="68"/>
      <c r="LR374" s="68"/>
      <c r="LS374" s="68"/>
      <c r="LT374" s="68"/>
      <c r="LU374" s="68"/>
      <c r="LV374" s="68"/>
      <c r="LW374" s="68"/>
      <c r="LX374" s="68"/>
      <c r="LY374" s="68"/>
      <c r="LZ374" s="68"/>
      <c r="MA374" s="68"/>
      <c r="MB374" s="68"/>
      <c r="MC374" s="68"/>
      <c r="MD374" s="68"/>
      <c r="ME374" s="68"/>
      <c r="MF374" s="68"/>
      <c r="MG374" s="68"/>
      <c r="MH374" s="68"/>
      <c r="MI374" s="68"/>
      <c r="MJ374" s="68"/>
      <c r="MK374" s="68"/>
      <c r="ML374" s="68"/>
      <c r="MM374" s="68"/>
      <c r="MN374" s="68"/>
      <c r="MO374" s="68"/>
      <c r="MP374" s="68"/>
      <c r="MQ374" s="68"/>
      <c r="MR374" s="68"/>
      <c r="MS374" s="68"/>
      <c r="MT374" s="68"/>
      <c r="MU374" s="68"/>
      <c r="MV374" s="68"/>
      <c r="MW374" s="68"/>
      <c r="MX374" s="68"/>
      <c r="MY374" s="68"/>
      <c r="MZ374" s="68"/>
      <c r="NA374" s="68"/>
      <c r="NB374" s="68"/>
      <c r="NC374" s="68"/>
      <c r="ND374" s="68"/>
      <c r="NE374" s="68"/>
      <c r="NF374" s="68"/>
      <c r="NG374" s="68"/>
      <c r="NH374" s="68"/>
      <c r="NI374" s="68"/>
      <c r="NJ374" s="68"/>
      <c r="NK374" s="68"/>
      <c r="NL374" s="68"/>
      <c r="NM374" s="68"/>
      <c r="NN374" s="68"/>
      <c r="NO374" s="68"/>
      <c r="NP374" s="68"/>
      <c r="NQ374" s="68"/>
      <c r="NR374" s="68"/>
      <c r="NS374" s="68"/>
      <c r="NT374" s="68"/>
      <c r="NU374" s="68"/>
      <c r="NV374" s="68"/>
      <c r="NW374" s="68"/>
      <c r="NX374" s="68"/>
      <c r="NY374" s="68"/>
      <c r="NZ374" s="68"/>
      <c r="OA374" s="68"/>
      <c r="OB374" s="68"/>
      <c r="OC374" s="68"/>
      <c r="OD374" s="68"/>
      <c r="OE374" s="68"/>
      <c r="OF374" s="68"/>
      <c r="OG374" s="68"/>
      <c r="OH374" s="68"/>
      <c r="OI374" s="68"/>
      <c r="OJ374" s="68"/>
      <c r="OK374" s="68"/>
      <c r="OL374" s="68"/>
      <c r="OM374" s="68"/>
      <c r="ON374" s="68"/>
      <c r="OO374" s="68"/>
      <c r="OP374" s="68"/>
      <c r="OQ374" s="68"/>
      <c r="OR374" s="68"/>
      <c r="OS374" s="68"/>
      <c r="OT374" s="68"/>
      <c r="OU374" s="68"/>
      <c r="OV374" s="68"/>
      <c r="OW374" s="68"/>
      <c r="OX374" s="68"/>
      <c r="OY374" s="68"/>
      <c r="OZ374" s="68"/>
      <c r="PA374" s="68"/>
      <c r="PB374" s="68"/>
      <c r="PC374" s="68"/>
      <c r="PD374" s="68"/>
      <c r="PE374" s="68"/>
      <c r="PF374" s="68"/>
      <c r="PG374" s="68"/>
      <c r="PH374" s="68"/>
      <c r="PI374" s="68"/>
      <c r="PJ374" s="68"/>
      <c r="PK374" s="68"/>
      <c r="PL374" s="68"/>
      <c r="PM374" s="68"/>
      <c r="PN374" s="68"/>
      <c r="PO374" s="68"/>
      <c r="PP374" s="68"/>
      <c r="PQ374" s="68"/>
      <c r="PR374" s="68"/>
      <c r="PS374" s="68"/>
    </row>
    <row r="375" spans="1:458" x14ac:dyDescent="0.2">
      <c r="D375" s="19"/>
      <c r="E375" s="19"/>
      <c r="F375" s="19"/>
      <c r="G375" s="19"/>
      <c r="H375" s="19"/>
      <c r="I375" s="19"/>
      <c r="J375" s="19"/>
      <c r="V375" s="71"/>
      <c r="W375" s="19"/>
      <c r="AG375" s="69"/>
      <c r="AI375" s="19"/>
      <c r="AJ375" s="19"/>
      <c r="AK375" s="19"/>
      <c r="AL375" s="19"/>
      <c r="AM375" s="19"/>
      <c r="AN375" s="19"/>
      <c r="AO375" s="19"/>
      <c r="AP375" s="19"/>
      <c r="DQ375" s="72"/>
      <c r="DR375" s="72"/>
      <c r="EC375" s="19"/>
      <c r="EK375" s="71"/>
      <c r="FB375" s="19"/>
      <c r="FE375" s="19"/>
      <c r="FH375" s="19"/>
    </row>
    <row r="376" spans="1:458" x14ac:dyDescent="0.2">
      <c r="D376" s="19"/>
      <c r="E376" s="19"/>
      <c r="F376" s="19"/>
      <c r="G376" s="19"/>
      <c r="H376" s="19"/>
      <c r="I376" s="19"/>
      <c r="J376" s="19"/>
      <c r="V376" s="71"/>
      <c r="W376" s="19"/>
      <c r="AG376" s="69"/>
      <c r="AI376" s="19"/>
      <c r="AJ376" s="19"/>
      <c r="AK376" s="19"/>
      <c r="AL376" s="19"/>
      <c r="AM376" s="19"/>
      <c r="AN376" s="19"/>
      <c r="AO376" s="19"/>
      <c r="AP376" s="19"/>
      <c r="DQ376" s="72"/>
      <c r="DR376" s="72"/>
      <c r="EC376" s="19"/>
      <c r="EK376" s="71"/>
      <c r="FB376" s="19"/>
      <c r="FE376" s="19"/>
      <c r="FH376" s="19"/>
    </row>
  </sheetData>
  <pageMargins left="0.75" right="0.75" top="1" bottom="1" header="0.5" footer="0.5"/>
  <pageSetup paperSize="9" orientation="portrait" r:id="rId1"/>
  <headerFooter alignWithMargins="0">
    <oddHeader>&amp;A</oddHeader>
    <oddFooter>Page &amp;P</oddFooter>
  </headerFooter>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E94"/>
  <sheetViews>
    <sheetView workbookViewId="0"/>
  </sheetViews>
  <sheetFormatPr defaultRowHeight="12.75" x14ac:dyDescent="0.2"/>
  <cols>
    <col min="2" max="2" width="10" bestFit="1" customWidth="1"/>
  </cols>
  <sheetData>
    <row r="1" spans="1:5" ht="14.25" x14ac:dyDescent="0.25">
      <c r="A1" s="106" t="s">
        <v>4</v>
      </c>
      <c r="B1" s="106" t="s">
        <v>585</v>
      </c>
      <c r="E1" t="s">
        <v>586</v>
      </c>
    </row>
    <row r="2" spans="1:5" x14ac:dyDescent="0.2">
      <c r="A2" s="184">
        <v>1958</v>
      </c>
      <c r="B2" s="107">
        <v>315.33125000000001</v>
      </c>
      <c r="E2" t="s">
        <v>587</v>
      </c>
    </row>
    <row r="3" spans="1:5" x14ac:dyDescent="0.2">
      <c r="A3" s="184">
        <v>1959</v>
      </c>
      <c r="B3" s="107">
        <v>315.98083333333335</v>
      </c>
      <c r="E3" t="s">
        <v>588</v>
      </c>
    </row>
    <row r="4" spans="1:5" x14ac:dyDescent="0.2">
      <c r="A4" s="184">
        <v>1960</v>
      </c>
      <c r="B4" s="107">
        <v>316.91000000000003</v>
      </c>
      <c r="E4" t="s">
        <v>589</v>
      </c>
    </row>
    <row r="5" spans="1:5" x14ac:dyDescent="0.2">
      <c r="A5" s="184">
        <v>1961</v>
      </c>
      <c r="B5" s="107">
        <v>317.64416666666665</v>
      </c>
      <c r="E5" t="s">
        <v>590</v>
      </c>
    </row>
    <row r="6" spans="1:5" x14ac:dyDescent="0.2">
      <c r="A6" s="184">
        <v>1962</v>
      </c>
      <c r="B6" s="107">
        <v>318.45416666666671</v>
      </c>
      <c r="E6" t="s">
        <v>591</v>
      </c>
    </row>
    <row r="7" spans="1:5" x14ac:dyDescent="0.2">
      <c r="A7" s="184">
        <v>1963</v>
      </c>
      <c r="B7" s="107">
        <v>318.99250000000001</v>
      </c>
      <c r="E7" t="s">
        <v>592</v>
      </c>
    </row>
    <row r="8" spans="1:5" x14ac:dyDescent="0.2">
      <c r="A8" s="184">
        <v>1964</v>
      </c>
      <c r="B8" s="107">
        <v>319.20111111111112</v>
      </c>
      <c r="E8" t="s">
        <v>593</v>
      </c>
    </row>
    <row r="9" spans="1:5" x14ac:dyDescent="0.2">
      <c r="A9" s="184">
        <v>1965</v>
      </c>
      <c r="B9" s="107">
        <v>320.0358333333333</v>
      </c>
      <c r="E9" t="s">
        <v>588</v>
      </c>
    </row>
    <row r="10" spans="1:5" x14ac:dyDescent="0.2">
      <c r="A10" s="184">
        <v>1966</v>
      </c>
      <c r="B10" s="107">
        <v>321.36916666666662</v>
      </c>
      <c r="E10" t="s">
        <v>594</v>
      </c>
    </row>
    <row r="11" spans="1:5" x14ac:dyDescent="0.2">
      <c r="A11" s="184">
        <v>1967</v>
      </c>
      <c r="B11" s="107">
        <v>322.18083333333334</v>
      </c>
      <c r="E11" t="s">
        <v>588</v>
      </c>
    </row>
    <row r="12" spans="1:5" x14ac:dyDescent="0.2">
      <c r="A12" s="184">
        <v>1968</v>
      </c>
      <c r="B12" s="107">
        <v>323.05</v>
      </c>
      <c r="E12" t="s">
        <v>595</v>
      </c>
    </row>
    <row r="13" spans="1:5" x14ac:dyDescent="0.2">
      <c r="A13" s="184">
        <v>1969</v>
      </c>
      <c r="B13" s="107">
        <v>324.62333333333333</v>
      </c>
      <c r="E13" t="s">
        <v>596</v>
      </c>
    </row>
    <row r="14" spans="1:5" x14ac:dyDescent="0.2">
      <c r="A14" s="184">
        <v>1970</v>
      </c>
      <c r="B14" s="107">
        <v>325.68166666666667</v>
      </c>
      <c r="E14" t="s">
        <v>597</v>
      </c>
    </row>
    <row r="15" spans="1:5" x14ac:dyDescent="0.2">
      <c r="A15" s="184">
        <v>1971</v>
      </c>
      <c r="B15" s="107">
        <v>326.31916666666666</v>
      </c>
      <c r="E15" t="s">
        <v>588</v>
      </c>
    </row>
    <row r="16" spans="1:5" x14ac:dyDescent="0.2">
      <c r="A16" s="184">
        <v>1972</v>
      </c>
      <c r="B16" s="107">
        <v>327.45666666666665</v>
      </c>
      <c r="E16" t="s">
        <v>598</v>
      </c>
    </row>
    <row r="17" spans="1:5" x14ac:dyDescent="0.2">
      <c r="A17" s="184">
        <v>1973</v>
      </c>
      <c r="B17" s="107">
        <v>329.67749999999995</v>
      </c>
      <c r="E17" t="s">
        <v>588</v>
      </c>
    </row>
    <row r="18" spans="1:5" x14ac:dyDescent="0.2">
      <c r="A18" s="184">
        <v>1974</v>
      </c>
      <c r="B18" s="107">
        <v>330.24416666666667</v>
      </c>
      <c r="E18" t="s">
        <v>599</v>
      </c>
    </row>
    <row r="19" spans="1:5" x14ac:dyDescent="0.2">
      <c r="A19" s="184">
        <v>1975</v>
      </c>
      <c r="B19" s="107">
        <v>331.15249999999997</v>
      </c>
      <c r="E19" t="s">
        <v>588</v>
      </c>
    </row>
    <row r="20" spans="1:5" x14ac:dyDescent="0.2">
      <c r="A20" s="184">
        <v>1976</v>
      </c>
      <c r="B20" s="107">
        <v>332.1516666666667</v>
      </c>
      <c r="E20" t="s">
        <v>600</v>
      </c>
    </row>
    <row r="21" spans="1:5" x14ac:dyDescent="0.2">
      <c r="A21" s="184">
        <v>1977</v>
      </c>
      <c r="B21" s="107">
        <v>333.90083333333331</v>
      </c>
      <c r="E21" t="s">
        <v>588</v>
      </c>
    </row>
    <row r="22" spans="1:5" x14ac:dyDescent="0.2">
      <c r="A22" s="184">
        <v>1978</v>
      </c>
      <c r="B22" s="107">
        <v>335.50416666666661</v>
      </c>
      <c r="E22" t="s">
        <v>601</v>
      </c>
    </row>
    <row r="23" spans="1:5" x14ac:dyDescent="0.2">
      <c r="A23" s="184">
        <v>1979</v>
      </c>
      <c r="B23" s="107">
        <v>336.84999999999997</v>
      </c>
      <c r="E23" t="s">
        <v>602</v>
      </c>
    </row>
    <row r="24" spans="1:5" x14ac:dyDescent="0.2">
      <c r="A24" s="184">
        <v>1980</v>
      </c>
      <c r="B24" s="107">
        <v>338.68416666666667</v>
      </c>
      <c r="E24" t="s">
        <v>603</v>
      </c>
    </row>
    <row r="25" spans="1:5" x14ac:dyDescent="0.2">
      <c r="A25" s="184">
        <v>1981</v>
      </c>
      <c r="B25" s="107">
        <v>339.93333333333334</v>
      </c>
      <c r="E25" t="s">
        <v>604</v>
      </c>
    </row>
    <row r="26" spans="1:5" x14ac:dyDescent="0.2">
      <c r="A26" s="184">
        <v>1982</v>
      </c>
      <c r="B26" s="107">
        <v>341.13166666666666</v>
      </c>
      <c r="E26" t="s">
        <v>588</v>
      </c>
    </row>
    <row r="27" spans="1:5" x14ac:dyDescent="0.2">
      <c r="A27" s="184">
        <v>1983</v>
      </c>
      <c r="B27" s="107">
        <v>342.78083333333342</v>
      </c>
      <c r="E27" t="s">
        <v>605</v>
      </c>
    </row>
    <row r="28" spans="1:5" x14ac:dyDescent="0.2">
      <c r="A28" s="184">
        <v>1984</v>
      </c>
      <c r="B28" s="107">
        <v>344.42083333333335</v>
      </c>
      <c r="E28" t="s">
        <v>588</v>
      </c>
    </row>
    <row r="29" spans="1:5" x14ac:dyDescent="0.2">
      <c r="A29" s="184">
        <v>1985</v>
      </c>
      <c r="B29" s="107">
        <v>345.90250000000009</v>
      </c>
      <c r="E29" s="63" t="s">
        <v>601</v>
      </c>
    </row>
    <row r="30" spans="1:5" x14ac:dyDescent="0.2">
      <c r="A30" s="184">
        <v>1986</v>
      </c>
      <c r="B30" s="107">
        <v>347.15249999999997</v>
      </c>
      <c r="E30" t="s">
        <v>606</v>
      </c>
    </row>
    <row r="31" spans="1:5" x14ac:dyDescent="0.2">
      <c r="A31" s="184">
        <v>1987</v>
      </c>
      <c r="B31" s="107">
        <v>348.93250000000006</v>
      </c>
      <c r="E31" t="s">
        <v>607</v>
      </c>
    </row>
    <row r="32" spans="1:5" x14ac:dyDescent="0.2">
      <c r="A32" s="184">
        <v>1988</v>
      </c>
      <c r="B32" s="107">
        <v>351.48416666666668</v>
      </c>
      <c r="E32" t="s">
        <v>608</v>
      </c>
    </row>
    <row r="33" spans="1:5" x14ac:dyDescent="0.2">
      <c r="A33" s="184">
        <v>1989</v>
      </c>
      <c r="B33" s="107">
        <v>352.90833333333347</v>
      </c>
      <c r="E33" t="s">
        <v>609</v>
      </c>
    </row>
    <row r="34" spans="1:5" x14ac:dyDescent="0.2">
      <c r="A34" s="184">
        <v>1990</v>
      </c>
      <c r="B34" s="107">
        <v>354.18583333333328</v>
      </c>
      <c r="E34" t="s">
        <v>610</v>
      </c>
    </row>
    <row r="35" spans="1:5" x14ac:dyDescent="0.2">
      <c r="A35" s="184">
        <v>1991</v>
      </c>
      <c r="B35" s="107">
        <v>355.5916666666667</v>
      </c>
    </row>
    <row r="36" spans="1:5" x14ac:dyDescent="0.2">
      <c r="A36" s="184">
        <v>1992</v>
      </c>
      <c r="B36" s="107">
        <v>356.37333333333328</v>
      </c>
    </row>
    <row r="37" spans="1:5" x14ac:dyDescent="0.2">
      <c r="A37" s="184">
        <v>1993</v>
      </c>
      <c r="B37" s="107">
        <v>357.04166666666674</v>
      </c>
    </row>
    <row r="38" spans="1:5" x14ac:dyDescent="0.2">
      <c r="A38" s="184">
        <v>1994</v>
      </c>
      <c r="B38" s="107">
        <v>358.88583333333332</v>
      </c>
    </row>
    <row r="39" spans="1:5" x14ac:dyDescent="0.2">
      <c r="A39" s="184">
        <v>1995</v>
      </c>
      <c r="B39" s="107">
        <v>360.87583333333328</v>
      </c>
    </row>
    <row r="40" spans="1:5" x14ac:dyDescent="0.2">
      <c r="A40" s="184">
        <v>1996</v>
      </c>
      <c r="B40" s="107">
        <v>362.64083333333332</v>
      </c>
    </row>
    <row r="41" spans="1:5" x14ac:dyDescent="0.2">
      <c r="A41" s="184">
        <v>1997</v>
      </c>
      <c r="B41" s="107">
        <v>363.76416666666665</v>
      </c>
    </row>
    <row r="42" spans="1:5" x14ac:dyDescent="0.2">
      <c r="A42" s="184">
        <v>1998</v>
      </c>
      <c r="B42" s="107">
        <v>366.63000000000005</v>
      </c>
    </row>
    <row r="43" spans="1:5" x14ac:dyDescent="0.2">
      <c r="A43" s="184">
        <v>1999</v>
      </c>
      <c r="B43" s="107">
        <v>368.3125</v>
      </c>
    </row>
    <row r="44" spans="1:5" x14ac:dyDescent="0.2">
      <c r="A44" s="184">
        <v>2000</v>
      </c>
      <c r="B44" s="107">
        <v>369.47499999999997</v>
      </c>
    </row>
    <row r="45" spans="1:5" x14ac:dyDescent="0.2">
      <c r="A45" s="184">
        <v>2001</v>
      </c>
      <c r="B45" s="107">
        <v>371.01916666666671</v>
      </c>
    </row>
    <row r="46" spans="1:5" x14ac:dyDescent="0.2">
      <c r="A46" s="184">
        <v>2002</v>
      </c>
      <c r="B46" s="107">
        <v>373.0958333333333</v>
      </c>
    </row>
    <row r="47" spans="1:5" x14ac:dyDescent="0.2">
      <c r="A47" s="184">
        <v>2003</v>
      </c>
      <c r="B47" s="107">
        <v>375.63749999999999</v>
      </c>
    </row>
    <row r="48" spans="1:5" x14ac:dyDescent="0.2">
      <c r="A48" s="184">
        <v>2004</v>
      </c>
      <c r="B48" s="107">
        <v>377.3633333333334</v>
      </c>
    </row>
    <row r="49" spans="1:2" x14ac:dyDescent="0.2">
      <c r="A49" s="184">
        <v>2005</v>
      </c>
      <c r="B49" s="107">
        <v>379.60166666666669</v>
      </c>
    </row>
    <row r="50" spans="1:2" x14ac:dyDescent="0.2">
      <c r="A50" s="184">
        <v>2006</v>
      </c>
      <c r="B50" s="107">
        <v>381.80749999999995</v>
      </c>
    </row>
    <row r="51" spans="1:2" x14ac:dyDescent="0.2">
      <c r="A51" s="184">
        <v>2007</v>
      </c>
      <c r="B51" s="107">
        <v>383.59249999999997</v>
      </c>
    </row>
    <row r="52" spans="1:2" x14ac:dyDescent="0.2">
      <c r="A52" s="184">
        <v>2008</v>
      </c>
      <c r="B52" s="107">
        <v>385.44916666666671</v>
      </c>
    </row>
    <row r="53" spans="1:2" x14ac:dyDescent="0.2">
      <c r="A53" s="184">
        <v>2009</v>
      </c>
      <c r="B53" s="107">
        <v>387.35999999999996</v>
      </c>
    </row>
    <row r="54" spans="1:2" x14ac:dyDescent="0.2">
      <c r="A54" s="184">
        <v>2010</v>
      </c>
      <c r="B54" s="107">
        <v>389.90000000000003</v>
      </c>
    </row>
    <row r="55" spans="1:2" x14ac:dyDescent="0.2">
      <c r="A55" s="184">
        <v>2011</v>
      </c>
      <c r="B55" s="107">
        <v>391.64833333333331</v>
      </c>
    </row>
    <row r="56" spans="1:2" x14ac:dyDescent="0.2">
      <c r="A56" s="184">
        <v>2012</v>
      </c>
      <c r="B56" s="107">
        <v>393.87000000000006</v>
      </c>
    </row>
    <row r="57" spans="1:2" x14ac:dyDescent="0.2">
      <c r="A57" s="184">
        <v>2013</v>
      </c>
      <c r="B57" s="107">
        <v>396.56666666666661</v>
      </c>
    </row>
    <row r="58" spans="1:2" x14ac:dyDescent="0.2">
      <c r="A58" s="184">
        <v>2014</v>
      </c>
      <c r="B58" s="107">
        <v>398.61416666666668</v>
      </c>
    </row>
    <row r="59" spans="1:2" x14ac:dyDescent="0.2">
      <c r="A59" s="184">
        <v>2015</v>
      </c>
      <c r="B59" s="107">
        <v>400.88500000000005</v>
      </c>
    </row>
    <row r="60" spans="1:2" x14ac:dyDescent="0.2">
      <c r="A60" s="184">
        <v>2016</v>
      </c>
      <c r="B60" s="107">
        <v>404.27750000000009</v>
      </c>
    </row>
    <row r="61" spans="1:2" x14ac:dyDescent="0.2">
      <c r="A61" s="184">
        <v>2017</v>
      </c>
      <c r="B61" s="107">
        <v>406.58499999999998</v>
      </c>
    </row>
    <row r="62" spans="1:2" x14ac:dyDescent="0.2">
      <c r="A62" s="184">
        <v>2018</v>
      </c>
      <c r="B62" s="107">
        <v>408.58749999999992</v>
      </c>
    </row>
    <row r="63" spans="1:2" x14ac:dyDescent="0.2">
      <c r="A63" s="184">
        <v>2019</v>
      </c>
      <c r="B63" s="184">
        <v>413</v>
      </c>
    </row>
    <row r="64" spans="1:2" x14ac:dyDescent="0.2">
      <c r="A64" s="184">
        <v>2020</v>
      </c>
      <c r="B64" s="184"/>
    </row>
    <row r="65" spans="1:2" x14ac:dyDescent="0.2">
      <c r="A65" s="184">
        <v>2021</v>
      </c>
      <c r="B65" s="184"/>
    </row>
    <row r="66" spans="1:2" x14ac:dyDescent="0.2">
      <c r="A66" s="184">
        <v>2022</v>
      </c>
      <c r="B66" s="184"/>
    </row>
    <row r="67" spans="1:2" x14ac:dyDescent="0.2">
      <c r="A67" s="184">
        <v>2023</v>
      </c>
      <c r="B67" s="184"/>
    </row>
    <row r="68" spans="1:2" x14ac:dyDescent="0.2">
      <c r="A68" s="184">
        <v>2024</v>
      </c>
      <c r="B68" s="184"/>
    </row>
    <row r="69" spans="1:2" x14ac:dyDescent="0.2">
      <c r="A69" s="184">
        <v>2025</v>
      </c>
      <c r="B69" s="184"/>
    </row>
    <row r="70" spans="1:2" x14ac:dyDescent="0.2">
      <c r="A70" s="184">
        <v>2026</v>
      </c>
    </row>
    <row r="71" spans="1:2" x14ac:dyDescent="0.2">
      <c r="A71" s="184">
        <v>2027</v>
      </c>
    </row>
    <row r="72" spans="1:2" x14ac:dyDescent="0.2">
      <c r="A72" s="184">
        <v>2028</v>
      </c>
    </row>
    <row r="73" spans="1:2" x14ac:dyDescent="0.2">
      <c r="A73" s="184">
        <v>2029</v>
      </c>
    </row>
    <row r="74" spans="1:2" x14ac:dyDescent="0.2">
      <c r="A74" s="184">
        <v>2030</v>
      </c>
    </row>
    <row r="75" spans="1:2" x14ac:dyDescent="0.2">
      <c r="A75" s="184">
        <v>2031</v>
      </c>
    </row>
    <row r="76" spans="1:2" x14ac:dyDescent="0.2">
      <c r="A76" s="184">
        <v>2032</v>
      </c>
    </row>
    <row r="77" spans="1:2" x14ac:dyDescent="0.2">
      <c r="A77" s="184">
        <v>2033</v>
      </c>
    </row>
    <row r="78" spans="1:2" x14ac:dyDescent="0.2">
      <c r="A78" s="184">
        <v>2034</v>
      </c>
    </row>
    <row r="79" spans="1:2" x14ac:dyDescent="0.2">
      <c r="A79" s="184">
        <v>2035</v>
      </c>
    </row>
    <row r="80" spans="1:2" x14ac:dyDescent="0.2">
      <c r="A80" s="184">
        <v>2036</v>
      </c>
    </row>
    <row r="81" spans="1:1" x14ac:dyDescent="0.2">
      <c r="A81" s="184">
        <v>2037</v>
      </c>
    </row>
    <row r="82" spans="1:1" x14ac:dyDescent="0.2">
      <c r="A82" s="184">
        <v>2038</v>
      </c>
    </row>
    <row r="83" spans="1:1" x14ac:dyDescent="0.2">
      <c r="A83" s="184">
        <v>2039</v>
      </c>
    </row>
    <row r="84" spans="1:1" x14ac:dyDescent="0.2">
      <c r="A84" s="184">
        <v>2040</v>
      </c>
    </row>
    <row r="85" spans="1:1" x14ac:dyDescent="0.2">
      <c r="A85" s="184">
        <v>2041</v>
      </c>
    </row>
    <row r="86" spans="1:1" x14ac:dyDescent="0.2">
      <c r="A86" s="184">
        <v>2042</v>
      </c>
    </row>
    <row r="87" spans="1:1" x14ac:dyDescent="0.2">
      <c r="A87" s="184">
        <v>2043</v>
      </c>
    </row>
    <row r="88" spans="1:1" x14ac:dyDescent="0.2">
      <c r="A88" s="184">
        <v>2044</v>
      </c>
    </row>
    <row r="89" spans="1:1" x14ac:dyDescent="0.2">
      <c r="A89" s="184">
        <v>2045</v>
      </c>
    </row>
    <row r="90" spans="1:1" x14ac:dyDescent="0.2">
      <c r="A90" s="184">
        <v>2046</v>
      </c>
    </row>
    <row r="91" spans="1:1" x14ac:dyDescent="0.2">
      <c r="A91" s="184">
        <v>2047</v>
      </c>
    </row>
    <row r="92" spans="1:1" x14ac:dyDescent="0.2">
      <c r="A92" s="184">
        <v>2048</v>
      </c>
    </row>
    <row r="93" spans="1:1" x14ac:dyDescent="0.2">
      <c r="A93" s="184">
        <v>2049</v>
      </c>
    </row>
    <row r="94" spans="1:1" x14ac:dyDescent="0.2">
      <c r="A94" s="184">
        <v>2050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dimension ref="A1:V369"/>
  <sheetViews>
    <sheetView topLeftCell="A340" workbookViewId="0">
      <selection activeCell="E364" sqref="E364"/>
    </sheetView>
  </sheetViews>
  <sheetFormatPr defaultRowHeight="12.75" x14ac:dyDescent="0.2"/>
  <cols>
    <col min="1" max="1" width="4.28515625" customWidth="1"/>
    <col min="2" max="2" width="19" customWidth="1"/>
    <col min="11" max="11" width="15.85546875" customWidth="1"/>
    <col min="22" max="22" width="15.28515625" customWidth="1"/>
  </cols>
  <sheetData>
    <row r="1" spans="1:22" ht="13.5" thickBot="1" x14ac:dyDescent="0.25">
      <c r="B1">
        <v>1</v>
      </c>
      <c r="C1">
        <f>B1+1</f>
        <v>2</v>
      </c>
      <c r="D1">
        <f t="shared" ref="D1:K1" si="0">C1+1</f>
        <v>3</v>
      </c>
      <c r="E1">
        <f t="shared" si="0"/>
        <v>4</v>
      </c>
      <c r="F1">
        <f t="shared" si="0"/>
        <v>5</v>
      </c>
      <c r="G1">
        <f t="shared" si="0"/>
        <v>6</v>
      </c>
      <c r="H1">
        <f t="shared" si="0"/>
        <v>7</v>
      </c>
      <c r="I1">
        <f t="shared" si="0"/>
        <v>8</v>
      </c>
      <c r="J1">
        <f t="shared" si="0"/>
        <v>9</v>
      </c>
      <c r="K1">
        <f t="shared" si="0"/>
        <v>10</v>
      </c>
    </row>
    <row r="2" spans="1:22" ht="13.5" thickBot="1" x14ac:dyDescent="0.25">
      <c r="B2" s="362" t="s">
        <v>707</v>
      </c>
      <c r="C2" s="361">
        <f>Control!$B$7</f>
        <v>1</v>
      </c>
      <c r="D2" s="109" t="s">
        <v>522</v>
      </c>
      <c r="E2">
        <f ca="1">IF($C$2=1,INDEX($M$2:$ON$2,$A$5,$D$1),INDEX(OFFSET(O$2,$A$4,$K$2*11),1,1))</f>
        <v>48</v>
      </c>
      <c r="K2" s="111">
        <f>$C$2-1</f>
        <v>0</v>
      </c>
      <c r="M2">
        <v>1</v>
      </c>
      <c r="N2" s="109" t="s">
        <v>522</v>
      </c>
      <c r="O2">
        <v>48</v>
      </c>
      <c r="P2" s="110"/>
      <c r="Q2" s="97"/>
      <c r="R2" s="110"/>
    </row>
    <row r="3" spans="1:22" ht="13.5" thickBot="1" x14ac:dyDescent="0.25">
      <c r="B3" s="642" t="str">
        <f ca="1">CONCATENATE(J5, "-",K5," ",B5)</f>
        <v>0-0 0</v>
      </c>
      <c r="C3" s="643" t="e">
        <f ca="1">VLOOKUP($B$3,$M$5:$OO$369,COLUMNS($M3:M3)+$K$2*12,0)</f>
        <v>#N/A</v>
      </c>
      <c r="D3" s="643" t="e">
        <f ca="1">VLOOKUP($B$3,$M$5:$OO$369,COLUMNS($M3:N3)+$K$2*12,0)</f>
        <v>#N/A</v>
      </c>
      <c r="E3" s="643" t="e">
        <f ca="1">VLOOKUP($B$3,$M$5:$OO$369,COLUMNS($M3:O3)+$K$2*12,0)</f>
        <v>#N/A</v>
      </c>
      <c r="F3" s="643" t="e">
        <f ca="1">VLOOKUP($B$3,$M$5:$OO$369,COLUMNS($M3:P3)+$K$2*12,0)</f>
        <v>#N/A</v>
      </c>
      <c r="G3" s="643" t="e">
        <f ca="1">VLOOKUP($B$3,$M$5:$OO$369,COLUMNS($M3:Q3)+$K$2*12,0)</f>
        <v>#N/A</v>
      </c>
      <c r="H3" s="643" t="e">
        <f ca="1">VLOOKUP($B$3,$M$5:$OO$369,COLUMNS($M3:R3)+$K$2*12,0)</f>
        <v>#N/A</v>
      </c>
      <c r="I3" s="643" t="e">
        <f ca="1">VLOOKUP($B$3,$M$5:$OO$369,COLUMNS($M3:S3)+$K$2*12,0)</f>
        <v>#N/A</v>
      </c>
      <c r="J3" s="643" t="e">
        <f ca="1">VLOOKUP($B$3,$M$5:$OO$369,COLUMNS($M3:T3)+$K$2*12,0)</f>
        <v>#N/A</v>
      </c>
      <c r="K3" s="644" t="e">
        <f ca="1">VLOOKUP($B$3,$M$5:$OO$369,COLUMNS($M3:U3)+$K$2*12,0)</f>
        <v>#N/A</v>
      </c>
      <c r="M3" s="645" t="str">
        <f>CONCATENATE(U5, "-",V5," ",M5)</f>
        <v xml:space="preserve">- </v>
      </c>
      <c r="N3" s="646" t="e">
        <f ca="1">VLOOKUP($B$3,$M$5:$OO$369,COLUMNS($M3:W3)+$K$2*12,0)</f>
        <v>#N/A</v>
      </c>
      <c r="O3" s="646" t="e">
        <f ca="1">VLOOKUP($B$3,$M$5:$OO$369,COLUMNS($M3:W3)+$K$2*12,0)</f>
        <v>#N/A</v>
      </c>
      <c r="P3" s="646" t="e">
        <f ca="1">VLOOKUP($B$3,$M$5:$OO$369,COLUMNS($M3:W3)+$K$2*12,0)</f>
        <v>#N/A</v>
      </c>
      <c r="Q3" s="646" t="e">
        <f ca="1">VLOOKUP($B$3,$M$5:$OO$369,COLUMNS($M3:W3)+$K$2*12,0)</f>
        <v>#N/A</v>
      </c>
      <c r="R3" s="646" t="e">
        <f ca="1">VLOOKUP($B$3,$M$5:$OO$369,COLUMNS($M3:W3)+$K$2*12,0)</f>
        <v>#N/A</v>
      </c>
      <c r="S3" s="646" t="e">
        <f ca="1">VLOOKUP($B$3,$M$5:$OO$369,COLUMNS($M3:W3)+$K$2*12,0)</f>
        <v>#N/A</v>
      </c>
      <c r="T3" s="646" t="e">
        <f ca="1">VLOOKUP($B$3,$M$5:$OO$369,COLUMNS($M3:W3)+$K$2*12,0)</f>
        <v>#N/A</v>
      </c>
      <c r="U3" s="646" t="e">
        <f ca="1">VLOOKUP($B$3,$M$5:$OO$369,COLUMNS($M3:W3)+$K$2*12,0)</f>
        <v>#N/A</v>
      </c>
      <c r="V3" s="647" t="e">
        <f ca="1">VLOOKUP($B$3,$M$5:$OO$369,COLUMNS($M3:W3)+$K$2*12,0)</f>
        <v>#N/A</v>
      </c>
    </row>
    <row r="4" spans="1:22" s="3" customFormat="1" x14ac:dyDescent="0.2">
      <c r="B4" s="371" t="s">
        <v>4</v>
      </c>
      <c r="C4" s="372" t="s">
        <v>116</v>
      </c>
      <c r="D4" s="372" t="s">
        <v>30</v>
      </c>
      <c r="E4" s="372" t="s">
        <v>109</v>
      </c>
      <c r="F4" s="372" t="s">
        <v>110</v>
      </c>
      <c r="G4" s="372" t="s">
        <v>111</v>
      </c>
      <c r="H4" s="372" t="s">
        <v>115</v>
      </c>
      <c r="I4" s="372" t="s">
        <v>112</v>
      </c>
      <c r="J4" s="372" t="s">
        <v>113</v>
      </c>
      <c r="K4" s="590" t="s">
        <v>114</v>
      </c>
      <c r="M4" s="106" t="s">
        <v>4</v>
      </c>
      <c r="N4" s="106" t="s">
        <v>116</v>
      </c>
      <c r="O4" s="106" t="s">
        <v>30</v>
      </c>
      <c r="P4" s="106" t="s">
        <v>109</v>
      </c>
      <c r="Q4" s="106" t="s">
        <v>110</v>
      </c>
      <c r="R4" s="106" t="s">
        <v>111</v>
      </c>
      <c r="S4" s="106" t="s">
        <v>115</v>
      </c>
      <c r="T4" s="106" t="s">
        <v>112</v>
      </c>
      <c r="U4" s="106" t="s">
        <v>113</v>
      </c>
      <c r="V4" s="106" t="s">
        <v>114</v>
      </c>
    </row>
    <row r="5" spans="1:22" x14ac:dyDescent="0.2">
      <c r="A5">
        <v>1</v>
      </c>
      <c r="B5" s="363">
        <f t="shared" ref="B5:B68" ca="1" si="1">IF($C$2=1,INDEX($M$5:$OO$369,$A5,B$1),INDEX(OFFSET(M$5,$A4,$K$2*11),1,1))</f>
        <v>0</v>
      </c>
      <c r="C5" s="364">
        <f t="shared" ref="C5:C68" ca="1" si="2">IF($C$2=1,INDEX($M$5:$OO$369,$A5,C$1),INDEX(OFFSET(N$5,$A4,$K$2*11),1,1))</f>
        <v>0</v>
      </c>
      <c r="D5" s="365">
        <f t="shared" ref="D5:D68" ca="1" si="3">IF($C$2=1,INDEX($M$5:$OO$369,$A5,D$1),INDEX(OFFSET(O$5,$A4,$K$2*11),1,1))</f>
        <v>0</v>
      </c>
      <c r="E5" s="365">
        <f t="shared" ref="E5:E68" ca="1" si="4">IF($C$2=1,INDEX($M$5:$OO$369,$A5,E$1),INDEX(OFFSET(P$5,$A4,$K$2*11),1,1))</f>
        <v>0</v>
      </c>
      <c r="F5" s="365">
        <f t="shared" ref="F5:F68" ca="1" si="5">IF($C$2=1,INDEX($M$5:$OO$369,$A5,F$1),INDEX(OFFSET(Q$5,$A4,$K$2*11),1,1))</f>
        <v>0</v>
      </c>
      <c r="G5" s="365">
        <f t="shared" ref="G5:G68" ca="1" si="6">IF($C$2=1,INDEX($M$5:$OO$369,$A5,G$1),INDEX(OFFSET(R$5,$A4,$K$2*11),1,1))</f>
        <v>0</v>
      </c>
      <c r="H5" s="365">
        <f t="shared" ref="H5:H68" ca="1" si="7">IF($C$2=1,INDEX($M$5:$OO$369,$A5,H$1),INDEX(OFFSET(S$5,$A4,$K$2*11),1,1))</f>
        <v>0</v>
      </c>
      <c r="I5" s="365">
        <f t="shared" ref="I5:I68" ca="1" si="8">IF($C$2=1,INDEX($M$5:$OO$369,$A5,I$1),INDEX(OFFSET(T$5,$A4,$K$2*11),1,1))</f>
        <v>0</v>
      </c>
      <c r="J5" s="364">
        <f t="shared" ref="J5:J68" ca="1" si="9">IF($C$2=1,INDEX($M$5:$OO$369,$A5,J$1),INDEX(OFFSET(U$5,$A4,$K$2*11),1,1))</f>
        <v>0</v>
      </c>
      <c r="K5" s="366">
        <f t="shared" ref="K5:K68" ca="1" si="10">IF($C$2=1,INDEX($M$5:$OO$369,$A5,K$1),INDEX(OFFSET(V$5,$A4,$K$2*11),1,1))</f>
        <v>0</v>
      </c>
      <c r="M5" s="60"/>
      <c r="N5" s="60"/>
      <c r="O5" s="60"/>
      <c r="P5" s="60"/>
      <c r="Q5" s="60"/>
      <c r="R5" s="60"/>
      <c r="S5" s="60"/>
      <c r="T5" s="60"/>
      <c r="U5" s="60"/>
      <c r="V5" s="61"/>
    </row>
    <row r="6" spans="1:22" x14ac:dyDescent="0.2">
      <c r="A6">
        <f>A5+1</f>
        <v>2</v>
      </c>
      <c r="B6" s="363">
        <f t="shared" ca="1" si="1"/>
        <v>0</v>
      </c>
      <c r="C6" s="364">
        <f t="shared" ca="1" si="2"/>
        <v>0</v>
      </c>
      <c r="D6" s="365">
        <f t="shared" ca="1" si="3"/>
        <v>0</v>
      </c>
      <c r="E6" s="365">
        <f t="shared" ca="1" si="4"/>
        <v>0</v>
      </c>
      <c r="F6" s="365">
        <f t="shared" ca="1" si="5"/>
        <v>0</v>
      </c>
      <c r="G6" s="365">
        <f t="shared" ca="1" si="6"/>
        <v>0</v>
      </c>
      <c r="H6" s="365">
        <f t="shared" ca="1" si="7"/>
        <v>0</v>
      </c>
      <c r="I6" s="365">
        <f t="shared" ca="1" si="8"/>
        <v>0</v>
      </c>
      <c r="J6" s="364">
        <f t="shared" ca="1" si="9"/>
        <v>0</v>
      </c>
      <c r="K6" s="366">
        <f t="shared" ca="1" si="10"/>
        <v>0</v>
      </c>
      <c r="M6" s="60"/>
      <c r="N6" s="60"/>
      <c r="O6" s="60"/>
      <c r="P6" s="60"/>
      <c r="Q6" s="60"/>
      <c r="R6" s="60"/>
      <c r="S6" s="60"/>
      <c r="T6" s="60"/>
      <c r="U6" s="60"/>
      <c r="V6" s="61"/>
    </row>
    <row r="7" spans="1:22" x14ac:dyDescent="0.2">
      <c r="A7">
        <f t="shared" ref="A7:A70" si="11">A6+1</f>
        <v>3</v>
      </c>
      <c r="B7" s="363">
        <f t="shared" ca="1" si="1"/>
        <v>0</v>
      </c>
      <c r="C7" s="364">
        <f t="shared" ca="1" si="2"/>
        <v>0</v>
      </c>
      <c r="D7" s="365">
        <f t="shared" ca="1" si="3"/>
        <v>0</v>
      </c>
      <c r="E7" s="365">
        <f t="shared" ca="1" si="4"/>
        <v>0</v>
      </c>
      <c r="F7" s="365">
        <f t="shared" ca="1" si="5"/>
        <v>0</v>
      </c>
      <c r="G7" s="365">
        <f t="shared" ca="1" si="6"/>
        <v>0</v>
      </c>
      <c r="H7" s="365">
        <f t="shared" ca="1" si="7"/>
        <v>0</v>
      </c>
      <c r="I7" s="365">
        <f t="shared" ca="1" si="8"/>
        <v>0</v>
      </c>
      <c r="J7" s="364">
        <f t="shared" ca="1" si="9"/>
        <v>0</v>
      </c>
      <c r="K7" s="366">
        <f t="shared" ca="1" si="10"/>
        <v>0</v>
      </c>
      <c r="M7" s="60"/>
      <c r="N7" s="60"/>
      <c r="O7" s="60"/>
      <c r="P7" s="60"/>
      <c r="Q7" s="60"/>
      <c r="R7" s="60"/>
      <c r="S7" s="60"/>
      <c r="T7" s="60"/>
      <c r="U7" s="60"/>
      <c r="V7" s="61"/>
    </row>
    <row r="8" spans="1:22" x14ac:dyDescent="0.2">
      <c r="A8">
        <f t="shared" si="11"/>
        <v>4</v>
      </c>
      <c r="B8" s="363">
        <f t="shared" ca="1" si="1"/>
        <v>0</v>
      </c>
      <c r="C8" s="364">
        <f t="shared" ca="1" si="2"/>
        <v>0</v>
      </c>
      <c r="D8" s="365">
        <f t="shared" ca="1" si="3"/>
        <v>0</v>
      </c>
      <c r="E8" s="365">
        <f t="shared" ca="1" si="4"/>
        <v>0</v>
      </c>
      <c r="F8" s="365">
        <f t="shared" ca="1" si="5"/>
        <v>0</v>
      </c>
      <c r="G8" s="365">
        <f t="shared" ca="1" si="6"/>
        <v>0</v>
      </c>
      <c r="H8" s="365">
        <f t="shared" ca="1" si="7"/>
        <v>0</v>
      </c>
      <c r="I8" s="365">
        <f t="shared" ca="1" si="8"/>
        <v>0</v>
      </c>
      <c r="J8" s="364">
        <f t="shared" ca="1" si="9"/>
        <v>0</v>
      </c>
      <c r="K8" s="366">
        <f t="shared" ca="1" si="10"/>
        <v>0</v>
      </c>
      <c r="M8" s="60"/>
      <c r="N8" s="60"/>
      <c r="O8" s="60"/>
      <c r="P8" s="60"/>
      <c r="Q8" s="60"/>
      <c r="R8" s="60"/>
      <c r="S8" s="60"/>
      <c r="T8" s="60"/>
      <c r="U8" s="60"/>
      <c r="V8" s="61"/>
    </row>
    <row r="9" spans="1:22" x14ac:dyDescent="0.2">
      <c r="A9">
        <f t="shared" si="11"/>
        <v>5</v>
      </c>
      <c r="B9" s="363">
        <f t="shared" ca="1" si="1"/>
        <v>0</v>
      </c>
      <c r="C9" s="364">
        <f t="shared" ca="1" si="2"/>
        <v>0</v>
      </c>
      <c r="D9" s="365">
        <f t="shared" ca="1" si="3"/>
        <v>0</v>
      </c>
      <c r="E9" s="365">
        <f t="shared" ca="1" si="4"/>
        <v>0</v>
      </c>
      <c r="F9" s="365">
        <f t="shared" ca="1" si="5"/>
        <v>0</v>
      </c>
      <c r="G9" s="365">
        <f t="shared" ca="1" si="6"/>
        <v>0</v>
      </c>
      <c r="H9" s="365">
        <f t="shared" ca="1" si="7"/>
        <v>0</v>
      </c>
      <c r="I9" s="365">
        <f t="shared" ca="1" si="8"/>
        <v>0</v>
      </c>
      <c r="J9" s="364">
        <f t="shared" ca="1" si="9"/>
        <v>0</v>
      </c>
      <c r="K9" s="366">
        <f t="shared" ca="1" si="10"/>
        <v>0</v>
      </c>
      <c r="M9" s="60"/>
      <c r="N9" s="60"/>
      <c r="O9" s="60"/>
      <c r="P9" s="60"/>
      <c r="Q9" s="60"/>
      <c r="R9" s="60"/>
      <c r="S9" s="60"/>
      <c r="T9" s="60"/>
      <c r="U9" s="60"/>
      <c r="V9" s="61"/>
    </row>
    <row r="10" spans="1:22" x14ac:dyDescent="0.2">
      <c r="A10">
        <f t="shared" si="11"/>
        <v>6</v>
      </c>
      <c r="B10" s="363">
        <f t="shared" ca="1" si="1"/>
        <v>0</v>
      </c>
      <c r="C10" s="364">
        <f t="shared" ca="1" si="2"/>
        <v>0</v>
      </c>
      <c r="D10" s="365">
        <f t="shared" ca="1" si="3"/>
        <v>0</v>
      </c>
      <c r="E10" s="365">
        <f t="shared" ca="1" si="4"/>
        <v>0</v>
      </c>
      <c r="F10" s="365">
        <f t="shared" ca="1" si="5"/>
        <v>0</v>
      </c>
      <c r="G10" s="365">
        <f t="shared" ca="1" si="6"/>
        <v>0</v>
      </c>
      <c r="H10" s="365">
        <f t="shared" ca="1" si="7"/>
        <v>0</v>
      </c>
      <c r="I10" s="365">
        <f t="shared" ca="1" si="8"/>
        <v>0</v>
      </c>
      <c r="J10" s="364">
        <f t="shared" ca="1" si="9"/>
        <v>0</v>
      </c>
      <c r="K10" s="366">
        <f t="shared" ca="1" si="10"/>
        <v>0</v>
      </c>
      <c r="M10" s="60"/>
      <c r="N10" s="60"/>
      <c r="O10" s="60"/>
      <c r="P10" s="60"/>
      <c r="Q10" s="60"/>
      <c r="R10" s="60"/>
      <c r="S10" s="60"/>
      <c r="T10" s="60"/>
      <c r="U10" s="60"/>
      <c r="V10" s="61"/>
    </row>
    <row r="11" spans="1:22" x14ac:dyDescent="0.2">
      <c r="A11">
        <f t="shared" si="11"/>
        <v>7</v>
      </c>
      <c r="B11" s="363">
        <f t="shared" ca="1" si="1"/>
        <v>0</v>
      </c>
      <c r="C11" s="364">
        <f t="shared" ca="1" si="2"/>
        <v>0</v>
      </c>
      <c r="D11" s="365">
        <f t="shared" ca="1" si="3"/>
        <v>0</v>
      </c>
      <c r="E11" s="365">
        <f t="shared" ca="1" si="4"/>
        <v>0</v>
      </c>
      <c r="F11" s="365">
        <f t="shared" ca="1" si="5"/>
        <v>0</v>
      </c>
      <c r="G11" s="365">
        <f t="shared" ca="1" si="6"/>
        <v>0</v>
      </c>
      <c r="H11" s="365">
        <f t="shared" ca="1" si="7"/>
        <v>0</v>
      </c>
      <c r="I11" s="365">
        <f t="shared" ca="1" si="8"/>
        <v>0</v>
      </c>
      <c r="J11" s="364">
        <f t="shared" ca="1" si="9"/>
        <v>0</v>
      </c>
      <c r="K11" s="366">
        <f t="shared" ca="1" si="10"/>
        <v>0</v>
      </c>
      <c r="M11" s="60"/>
      <c r="N11" s="60"/>
      <c r="O11" s="60"/>
      <c r="P11" s="60"/>
      <c r="Q11" s="60"/>
      <c r="R11" s="60"/>
      <c r="S11" s="60"/>
      <c r="T11" s="60"/>
      <c r="U11" s="60"/>
      <c r="V11" s="61"/>
    </row>
    <row r="12" spans="1:22" x14ac:dyDescent="0.2">
      <c r="A12">
        <f t="shared" si="11"/>
        <v>8</v>
      </c>
      <c r="B12" s="363">
        <f t="shared" ca="1" si="1"/>
        <v>0</v>
      </c>
      <c r="C12" s="364">
        <f t="shared" ca="1" si="2"/>
        <v>0</v>
      </c>
      <c r="D12" s="365">
        <f t="shared" ca="1" si="3"/>
        <v>0</v>
      </c>
      <c r="E12" s="365">
        <f t="shared" ca="1" si="4"/>
        <v>0</v>
      </c>
      <c r="F12" s="365">
        <f t="shared" ca="1" si="5"/>
        <v>0</v>
      </c>
      <c r="G12" s="365">
        <f t="shared" ca="1" si="6"/>
        <v>0</v>
      </c>
      <c r="H12" s="365">
        <f t="shared" ca="1" si="7"/>
        <v>0</v>
      </c>
      <c r="I12" s="365">
        <f t="shared" ca="1" si="8"/>
        <v>0</v>
      </c>
      <c r="J12" s="364">
        <f t="shared" ca="1" si="9"/>
        <v>0</v>
      </c>
      <c r="K12" s="366">
        <f t="shared" ca="1" si="10"/>
        <v>0</v>
      </c>
      <c r="M12" s="60"/>
      <c r="N12" s="60"/>
      <c r="O12" s="60"/>
      <c r="P12" s="60"/>
      <c r="Q12" s="60"/>
      <c r="R12" s="60"/>
      <c r="S12" s="60"/>
      <c r="T12" s="60"/>
      <c r="U12" s="60"/>
      <c r="V12" s="61"/>
    </row>
    <row r="13" spans="1:22" x14ac:dyDescent="0.2">
      <c r="A13">
        <f t="shared" si="11"/>
        <v>9</v>
      </c>
      <c r="B13" s="363">
        <f t="shared" ca="1" si="1"/>
        <v>0</v>
      </c>
      <c r="C13" s="364">
        <f t="shared" ca="1" si="2"/>
        <v>0</v>
      </c>
      <c r="D13" s="365">
        <f t="shared" ca="1" si="3"/>
        <v>0</v>
      </c>
      <c r="E13" s="365">
        <f t="shared" ca="1" si="4"/>
        <v>0</v>
      </c>
      <c r="F13" s="365">
        <f t="shared" ca="1" si="5"/>
        <v>0</v>
      </c>
      <c r="G13" s="365">
        <f t="shared" ca="1" si="6"/>
        <v>0</v>
      </c>
      <c r="H13" s="365">
        <f t="shared" ca="1" si="7"/>
        <v>0</v>
      </c>
      <c r="I13" s="365">
        <f t="shared" ca="1" si="8"/>
        <v>0</v>
      </c>
      <c r="J13" s="364">
        <f t="shared" ca="1" si="9"/>
        <v>0</v>
      </c>
      <c r="K13" s="366">
        <f t="shared" ca="1" si="10"/>
        <v>0</v>
      </c>
      <c r="M13" s="60"/>
      <c r="N13" s="60"/>
      <c r="O13" s="60"/>
      <c r="P13" s="60"/>
      <c r="Q13" s="60"/>
      <c r="R13" s="60"/>
      <c r="S13" s="60"/>
      <c r="T13" s="60"/>
      <c r="U13" s="60"/>
      <c r="V13" s="61"/>
    </row>
    <row r="14" spans="1:22" x14ac:dyDescent="0.2">
      <c r="A14">
        <f t="shared" si="11"/>
        <v>10</v>
      </c>
      <c r="B14" s="363">
        <f t="shared" ca="1" si="1"/>
        <v>0</v>
      </c>
      <c r="C14" s="364">
        <f t="shared" ca="1" si="2"/>
        <v>0</v>
      </c>
      <c r="D14" s="365">
        <f t="shared" ca="1" si="3"/>
        <v>0</v>
      </c>
      <c r="E14" s="365">
        <f t="shared" ca="1" si="4"/>
        <v>0</v>
      </c>
      <c r="F14" s="365">
        <f t="shared" ca="1" si="5"/>
        <v>0</v>
      </c>
      <c r="G14" s="365">
        <f t="shared" ca="1" si="6"/>
        <v>0</v>
      </c>
      <c r="H14" s="365">
        <f t="shared" ca="1" si="7"/>
        <v>0</v>
      </c>
      <c r="I14" s="365">
        <f t="shared" ca="1" si="8"/>
        <v>0</v>
      </c>
      <c r="J14" s="364">
        <f t="shared" ca="1" si="9"/>
        <v>0</v>
      </c>
      <c r="K14" s="366">
        <f t="shared" ca="1" si="10"/>
        <v>0</v>
      </c>
      <c r="M14" s="60"/>
      <c r="N14" s="60"/>
      <c r="O14" s="60"/>
      <c r="P14" s="60"/>
      <c r="Q14" s="60"/>
      <c r="R14" s="60"/>
      <c r="S14" s="60"/>
      <c r="T14" s="60"/>
      <c r="U14" s="60"/>
      <c r="V14" s="61"/>
    </row>
    <row r="15" spans="1:22" x14ac:dyDescent="0.2">
      <c r="A15">
        <f t="shared" si="11"/>
        <v>11</v>
      </c>
      <c r="B15" s="363">
        <f t="shared" ca="1" si="1"/>
        <v>0</v>
      </c>
      <c r="C15" s="364">
        <f t="shared" ca="1" si="2"/>
        <v>0</v>
      </c>
      <c r="D15" s="365">
        <f t="shared" ca="1" si="3"/>
        <v>0</v>
      </c>
      <c r="E15" s="365">
        <f t="shared" ca="1" si="4"/>
        <v>0</v>
      </c>
      <c r="F15" s="365">
        <f t="shared" ca="1" si="5"/>
        <v>0</v>
      </c>
      <c r="G15" s="365">
        <f t="shared" ca="1" si="6"/>
        <v>0</v>
      </c>
      <c r="H15" s="365">
        <f t="shared" ca="1" si="7"/>
        <v>0</v>
      </c>
      <c r="I15" s="365">
        <f t="shared" ca="1" si="8"/>
        <v>0</v>
      </c>
      <c r="J15" s="364">
        <f t="shared" ca="1" si="9"/>
        <v>0</v>
      </c>
      <c r="K15" s="366">
        <f t="shared" ca="1" si="10"/>
        <v>0</v>
      </c>
      <c r="M15" s="60"/>
      <c r="N15" s="60"/>
      <c r="O15" s="60"/>
      <c r="P15" s="60"/>
      <c r="Q15" s="60"/>
      <c r="R15" s="60"/>
      <c r="S15" s="60"/>
      <c r="T15" s="60"/>
      <c r="U15" s="60"/>
      <c r="V15" s="61"/>
    </row>
    <row r="16" spans="1:22" x14ac:dyDescent="0.2">
      <c r="A16">
        <f t="shared" si="11"/>
        <v>12</v>
      </c>
      <c r="B16" s="363">
        <f t="shared" ca="1" si="1"/>
        <v>0</v>
      </c>
      <c r="C16" s="364">
        <f t="shared" ca="1" si="2"/>
        <v>0</v>
      </c>
      <c r="D16" s="365">
        <f t="shared" ca="1" si="3"/>
        <v>0</v>
      </c>
      <c r="E16" s="365">
        <f t="shared" ca="1" si="4"/>
        <v>0</v>
      </c>
      <c r="F16" s="365">
        <f t="shared" ca="1" si="5"/>
        <v>0</v>
      </c>
      <c r="G16" s="365">
        <f t="shared" ca="1" si="6"/>
        <v>0</v>
      </c>
      <c r="H16" s="365">
        <f t="shared" ca="1" si="7"/>
        <v>0</v>
      </c>
      <c r="I16" s="365">
        <f t="shared" ca="1" si="8"/>
        <v>0</v>
      </c>
      <c r="J16" s="364">
        <f t="shared" ca="1" si="9"/>
        <v>0</v>
      </c>
      <c r="K16" s="366">
        <f t="shared" ca="1" si="10"/>
        <v>0</v>
      </c>
      <c r="M16" s="60"/>
      <c r="N16" s="60"/>
      <c r="O16" s="60"/>
      <c r="P16" s="60"/>
      <c r="Q16" s="60"/>
      <c r="R16" s="60"/>
      <c r="S16" s="60"/>
      <c r="T16" s="60"/>
      <c r="U16" s="60"/>
      <c r="V16" s="61"/>
    </row>
    <row r="17" spans="1:22" x14ac:dyDescent="0.2">
      <c r="A17">
        <f t="shared" si="11"/>
        <v>13</v>
      </c>
      <c r="B17" s="363">
        <f t="shared" ca="1" si="1"/>
        <v>0</v>
      </c>
      <c r="C17" s="364">
        <f t="shared" ca="1" si="2"/>
        <v>0</v>
      </c>
      <c r="D17" s="365">
        <f t="shared" ca="1" si="3"/>
        <v>0</v>
      </c>
      <c r="E17" s="365">
        <f t="shared" ca="1" si="4"/>
        <v>0</v>
      </c>
      <c r="F17" s="365">
        <f t="shared" ca="1" si="5"/>
        <v>0</v>
      </c>
      <c r="G17" s="365">
        <f t="shared" ca="1" si="6"/>
        <v>0</v>
      </c>
      <c r="H17" s="365">
        <f t="shared" ca="1" si="7"/>
        <v>0</v>
      </c>
      <c r="I17" s="365">
        <f t="shared" ca="1" si="8"/>
        <v>0</v>
      </c>
      <c r="J17" s="364">
        <f t="shared" ca="1" si="9"/>
        <v>0</v>
      </c>
      <c r="K17" s="366">
        <f t="shared" ca="1" si="10"/>
        <v>0</v>
      </c>
      <c r="M17" s="60"/>
      <c r="N17" s="60"/>
      <c r="O17" s="60"/>
      <c r="P17" s="60"/>
      <c r="Q17" s="60"/>
      <c r="R17" s="60"/>
      <c r="S17" s="60"/>
      <c r="T17" s="60"/>
      <c r="U17" s="60"/>
      <c r="V17" s="61"/>
    </row>
    <row r="18" spans="1:22" x14ac:dyDescent="0.2">
      <c r="A18">
        <f t="shared" si="11"/>
        <v>14</v>
      </c>
      <c r="B18" s="363">
        <f t="shared" ca="1" si="1"/>
        <v>0</v>
      </c>
      <c r="C18" s="364">
        <f t="shared" ca="1" si="2"/>
        <v>0</v>
      </c>
      <c r="D18" s="365">
        <f t="shared" ca="1" si="3"/>
        <v>0</v>
      </c>
      <c r="E18" s="365">
        <f t="shared" ca="1" si="4"/>
        <v>0</v>
      </c>
      <c r="F18" s="365">
        <f t="shared" ca="1" si="5"/>
        <v>0</v>
      </c>
      <c r="G18" s="365">
        <f t="shared" ca="1" si="6"/>
        <v>0</v>
      </c>
      <c r="H18" s="365">
        <f t="shared" ca="1" si="7"/>
        <v>0</v>
      </c>
      <c r="I18" s="365">
        <f t="shared" ca="1" si="8"/>
        <v>0</v>
      </c>
      <c r="J18" s="364">
        <f t="shared" ca="1" si="9"/>
        <v>0</v>
      </c>
      <c r="K18" s="366">
        <f t="shared" ca="1" si="10"/>
        <v>0</v>
      </c>
      <c r="M18" s="60"/>
      <c r="N18" s="60"/>
      <c r="O18" s="60"/>
      <c r="P18" s="60"/>
      <c r="Q18" s="60"/>
      <c r="R18" s="60"/>
      <c r="S18" s="60"/>
      <c r="T18" s="60"/>
      <c r="U18" s="60"/>
      <c r="V18" s="61"/>
    </row>
    <row r="19" spans="1:22" x14ac:dyDescent="0.2">
      <c r="A19">
        <f t="shared" si="11"/>
        <v>15</v>
      </c>
      <c r="B19" s="363">
        <f t="shared" ca="1" si="1"/>
        <v>0</v>
      </c>
      <c r="C19" s="364">
        <f t="shared" ca="1" si="2"/>
        <v>0</v>
      </c>
      <c r="D19" s="365">
        <f t="shared" ca="1" si="3"/>
        <v>0</v>
      </c>
      <c r="E19" s="365">
        <f t="shared" ca="1" si="4"/>
        <v>0</v>
      </c>
      <c r="F19" s="365">
        <f t="shared" ca="1" si="5"/>
        <v>0</v>
      </c>
      <c r="G19" s="365">
        <f t="shared" ca="1" si="6"/>
        <v>0</v>
      </c>
      <c r="H19" s="365">
        <f t="shared" ca="1" si="7"/>
        <v>0</v>
      </c>
      <c r="I19" s="365">
        <f t="shared" ca="1" si="8"/>
        <v>0</v>
      </c>
      <c r="J19" s="364">
        <f t="shared" ca="1" si="9"/>
        <v>0</v>
      </c>
      <c r="K19" s="366">
        <f t="shared" ca="1" si="10"/>
        <v>0</v>
      </c>
      <c r="M19" s="60"/>
      <c r="N19" s="60"/>
      <c r="O19" s="60"/>
      <c r="P19" s="60"/>
      <c r="Q19" s="60"/>
      <c r="R19" s="60"/>
      <c r="S19" s="60"/>
      <c r="T19" s="60"/>
      <c r="U19" s="60"/>
      <c r="V19" s="61"/>
    </row>
    <row r="20" spans="1:22" x14ac:dyDescent="0.2">
      <c r="A20">
        <f t="shared" si="11"/>
        <v>16</v>
      </c>
      <c r="B20" s="363">
        <f t="shared" ca="1" si="1"/>
        <v>0</v>
      </c>
      <c r="C20" s="364">
        <f t="shared" ca="1" si="2"/>
        <v>0</v>
      </c>
      <c r="D20" s="365">
        <f t="shared" ca="1" si="3"/>
        <v>0</v>
      </c>
      <c r="E20" s="365">
        <f t="shared" ca="1" si="4"/>
        <v>0</v>
      </c>
      <c r="F20" s="365">
        <f t="shared" ca="1" si="5"/>
        <v>0</v>
      </c>
      <c r="G20" s="365">
        <f t="shared" ca="1" si="6"/>
        <v>0</v>
      </c>
      <c r="H20" s="365">
        <f t="shared" ca="1" si="7"/>
        <v>0</v>
      </c>
      <c r="I20" s="365">
        <f t="shared" ca="1" si="8"/>
        <v>0</v>
      </c>
      <c r="J20" s="364">
        <f t="shared" ca="1" si="9"/>
        <v>0</v>
      </c>
      <c r="K20" s="366">
        <f t="shared" ca="1" si="10"/>
        <v>0</v>
      </c>
      <c r="M20" s="60"/>
      <c r="N20" s="60"/>
      <c r="O20" s="60"/>
      <c r="P20" s="60"/>
      <c r="Q20" s="60"/>
      <c r="R20" s="60"/>
      <c r="S20" s="60"/>
      <c r="T20" s="60"/>
      <c r="U20" s="60"/>
      <c r="V20" s="61"/>
    </row>
    <row r="21" spans="1:22" x14ac:dyDescent="0.2">
      <c r="A21">
        <f t="shared" si="11"/>
        <v>17</v>
      </c>
      <c r="B21" s="363">
        <f t="shared" ca="1" si="1"/>
        <v>0</v>
      </c>
      <c r="C21" s="364">
        <f t="shared" ca="1" si="2"/>
        <v>0</v>
      </c>
      <c r="D21" s="365">
        <f t="shared" ca="1" si="3"/>
        <v>0</v>
      </c>
      <c r="E21" s="365">
        <f t="shared" ca="1" si="4"/>
        <v>0</v>
      </c>
      <c r="F21" s="365">
        <f t="shared" ca="1" si="5"/>
        <v>0</v>
      </c>
      <c r="G21" s="365">
        <f t="shared" ca="1" si="6"/>
        <v>0</v>
      </c>
      <c r="H21" s="365">
        <f t="shared" ca="1" si="7"/>
        <v>0</v>
      </c>
      <c r="I21" s="365">
        <f t="shared" ca="1" si="8"/>
        <v>0</v>
      </c>
      <c r="J21" s="364">
        <f t="shared" ca="1" si="9"/>
        <v>0</v>
      </c>
      <c r="K21" s="366">
        <f t="shared" ca="1" si="10"/>
        <v>0</v>
      </c>
      <c r="M21" s="60"/>
      <c r="N21" s="60"/>
      <c r="O21" s="60"/>
      <c r="P21" s="60"/>
      <c r="Q21" s="60"/>
      <c r="R21" s="60"/>
      <c r="S21" s="60"/>
      <c r="T21" s="60"/>
      <c r="U21" s="60"/>
      <c r="V21" s="61"/>
    </row>
    <row r="22" spans="1:22" x14ac:dyDescent="0.2">
      <c r="A22">
        <f t="shared" si="11"/>
        <v>18</v>
      </c>
      <c r="B22" s="363">
        <f t="shared" ca="1" si="1"/>
        <v>0</v>
      </c>
      <c r="C22" s="364">
        <f t="shared" ca="1" si="2"/>
        <v>0</v>
      </c>
      <c r="D22" s="365">
        <f t="shared" ca="1" si="3"/>
        <v>0</v>
      </c>
      <c r="E22" s="365">
        <f t="shared" ca="1" si="4"/>
        <v>0</v>
      </c>
      <c r="F22" s="365">
        <f t="shared" ca="1" si="5"/>
        <v>0</v>
      </c>
      <c r="G22" s="365">
        <f t="shared" ca="1" si="6"/>
        <v>0</v>
      </c>
      <c r="H22" s="365">
        <f t="shared" ca="1" si="7"/>
        <v>0</v>
      </c>
      <c r="I22" s="365">
        <f t="shared" ca="1" si="8"/>
        <v>0</v>
      </c>
      <c r="J22" s="364">
        <f t="shared" ca="1" si="9"/>
        <v>0</v>
      </c>
      <c r="K22" s="366">
        <f t="shared" ca="1" si="10"/>
        <v>0</v>
      </c>
      <c r="M22" s="60"/>
      <c r="N22" s="60"/>
      <c r="O22" s="60"/>
      <c r="P22" s="60"/>
      <c r="Q22" s="60"/>
      <c r="R22" s="60"/>
      <c r="S22" s="60"/>
      <c r="T22" s="60"/>
      <c r="U22" s="60"/>
      <c r="V22" s="61"/>
    </row>
    <row r="23" spans="1:22" x14ac:dyDescent="0.2">
      <c r="A23">
        <f t="shared" si="11"/>
        <v>19</v>
      </c>
      <c r="B23" s="363">
        <f t="shared" ca="1" si="1"/>
        <v>0</v>
      </c>
      <c r="C23" s="364">
        <f t="shared" ca="1" si="2"/>
        <v>0</v>
      </c>
      <c r="D23" s="365">
        <f t="shared" ca="1" si="3"/>
        <v>0</v>
      </c>
      <c r="E23" s="365">
        <f t="shared" ca="1" si="4"/>
        <v>0</v>
      </c>
      <c r="F23" s="365">
        <f t="shared" ca="1" si="5"/>
        <v>0</v>
      </c>
      <c r="G23" s="365">
        <f t="shared" ca="1" si="6"/>
        <v>0</v>
      </c>
      <c r="H23" s="365">
        <f t="shared" ca="1" si="7"/>
        <v>0</v>
      </c>
      <c r="I23" s="365">
        <f t="shared" ca="1" si="8"/>
        <v>0</v>
      </c>
      <c r="J23" s="364">
        <f t="shared" ca="1" si="9"/>
        <v>0</v>
      </c>
      <c r="K23" s="366">
        <f t="shared" ca="1" si="10"/>
        <v>0</v>
      </c>
      <c r="M23" s="60"/>
      <c r="N23" s="60"/>
      <c r="O23" s="60"/>
      <c r="P23" s="60"/>
      <c r="Q23" s="60"/>
      <c r="R23" s="60"/>
      <c r="S23" s="60"/>
      <c r="T23" s="60"/>
      <c r="U23" s="60"/>
      <c r="V23" s="61"/>
    </row>
    <row r="24" spans="1:22" x14ac:dyDescent="0.2">
      <c r="A24">
        <f t="shared" si="11"/>
        <v>20</v>
      </c>
      <c r="B24" s="363">
        <f t="shared" ca="1" si="1"/>
        <v>0</v>
      </c>
      <c r="C24" s="364">
        <f t="shared" ca="1" si="2"/>
        <v>0</v>
      </c>
      <c r="D24" s="365">
        <f t="shared" ca="1" si="3"/>
        <v>0</v>
      </c>
      <c r="E24" s="365">
        <f t="shared" ca="1" si="4"/>
        <v>0</v>
      </c>
      <c r="F24" s="365">
        <f t="shared" ca="1" si="5"/>
        <v>0</v>
      </c>
      <c r="G24" s="365">
        <f t="shared" ca="1" si="6"/>
        <v>0</v>
      </c>
      <c r="H24" s="365">
        <f t="shared" ca="1" si="7"/>
        <v>0</v>
      </c>
      <c r="I24" s="365">
        <f t="shared" ca="1" si="8"/>
        <v>0</v>
      </c>
      <c r="J24" s="364">
        <f t="shared" ca="1" si="9"/>
        <v>0</v>
      </c>
      <c r="K24" s="366">
        <f t="shared" ca="1" si="10"/>
        <v>0</v>
      </c>
      <c r="M24" s="60"/>
      <c r="N24" s="60"/>
      <c r="O24" s="60"/>
      <c r="P24" s="60"/>
      <c r="Q24" s="60"/>
      <c r="R24" s="60"/>
      <c r="S24" s="60"/>
      <c r="T24" s="60"/>
      <c r="U24" s="60"/>
      <c r="V24" s="61"/>
    </row>
    <row r="25" spans="1:22" x14ac:dyDescent="0.2">
      <c r="A25">
        <f t="shared" si="11"/>
        <v>21</v>
      </c>
      <c r="B25" s="363">
        <f t="shared" ca="1" si="1"/>
        <v>0</v>
      </c>
      <c r="C25" s="364">
        <f t="shared" ca="1" si="2"/>
        <v>0</v>
      </c>
      <c r="D25" s="365">
        <f t="shared" ca="1" si="3"/>
        <v>0</v>
      </c>
      <c r="E25" s="365">
        <f t="shared" ca="1" si="4"/>
        <v>0</v>
      </c>
      <c r="F25" s="365">
        <f t="shared" ca="1" si="5"/>
        <v>0</v>
      </c>
      <c r="G25" s="365">
        <f t="shared" ca="1" si="6"/>
        <v>0</v>
      </c>
      <c r="H25" s="365">
        <f t="shared" ca="1" si="7"/>
        <v>0</v>
      </c>
      <c r="I25" s="365">
        <f t="shared" ca="1" si="8"/>
        <v>0</v>
      </c>
      <c r="J25" s="364">
        <f t="shared" ca="1" si="9"/>
        <v>0</v>
      </c>
      <c r="K25" s="366">
        <f t="shared" ca="1" si="10"/>
        <v>0</v>
      </c>
      <c r="M25" s="60"/>
      <c r="N25" s="60"/>
      <c r="O25" s="60"/>
      <c r="P25" s="60"/>
      <c r="Q25" s="60"/>
      <c r="R25" s="60"/>
      <c r="S25" s="60"/>
      <c r="T25" s="60"/>
      <c r="U25" s="60"/>
      <c r="V25" s="61"/>
    </row>
    <row r="26" spans="1:22" x14ac:dyDescent="0.2">
      <c r="A26">
        <f t="shared" si="11"/>
        <v>22</v>
      </c>
      <c r="B26" s="363">
        <f t="shared" ca="1" si="1"/>
        <v>0</v>
      </c>
      <c r="C26" s="364">
        <f t="shared" ca="1" si="2"/>
        <v>0</v>
      </c>
      <c r="D26" s="365">
        <f t="shared" ca="1" si="3"/>
        <v>0</v>
      </c>
      <c r="E26" s="365">
        <f t="shared" ca="1" si="4"/>
        <v>0</v>
      </c>
      <c r="F26" s="365">
        <f t="shared" ca="1" si="5"/>
        <v>0</v>
      </c>
      <c r="G26" s="365">
        <f t="shared" ca="1" si="6"/>
        <v>0</v>
      </c>
      <c r="H26" s="365">
        <f t="shared" ca="1" si="7"/>
        <v>0</v>
      </c>
      <c r="I26" s="365">
        <f t="shared" ca="1" si="8"/>
        <v>0</v>
      </c>
      <c r="J26" s="364">
        <f t="shared" ca="1" si="9"/>
        <v>0</v>
      </c>
      <c r="K26" s="366">
        <f t="shared" ca="1" si="10"/>
        <v>0</v>
      </c>
      <c r="M26" s="60"/>
      <c r="N26" s="60"/>
      <c r="O26" s="60"/>
      <c r="P26" s="60"/>
      <c r="Q26" s="60"/>
      <c r="R26" s="60"/>
      <c r="S26" s="60"/>
      <c r="T26" s="60"/>
      <c r="U26" s="60"/>
      <c r="V26" s="61"/>
    </row>
    <row r="27" spans="1:22" x14ac:dyDescent="0.2">
      <c r="A27">
        <f t="shared" si="11"/>
        <v>23</v>
      </c>
      <c r="B27" s="363">
        <f t="shared" ca="1" si="1"/>
        <v>0</v>
      </c>
      <c r="C27" s="364">
        <f t="shared" ca="1" si="2"/>
        <v>0</v>
      </c>
      <c r="D27" s="365">
        <f t="shared" ca="1" si="3"/>
        <v>0</v>
      </c>
      <c r="E27" s="365">
        <f t="shared" ca="1" si="4"/>
        <v>0</v>
      </c>
      <c r="F27" s="365">
        <f t="shared" ca="1" si="5"/>
        <v>0</v>
      </c>
      <c r="G27" s="365">
        <f t="shared" ca="1" si="6"/>
        <v>0</v>
      </c>
      <c r="H27" s="365">
        <f t="shared" ca="1" si="7"/>
        <v>0</v>
      </c>
      <c r="I27" s="365">
        <f t="shared" ca="1" si="8"/>
        <v>0</v>
      </c>
      <c r="J27" s="364">
        <f t="shared" ca="1" si="9"/>
        <v>0</v>
      </c>
      <c r="K27" s="366">
        <f t="shared" ca="1" si="10"/>
        <v>0</v>
      </c>
      <c r="M27" s="60"/>
      <c r="N27" s="60"/>
      <c r="O27" s="60"/>
      <c r="P27" s="60"/>
      <c r="Q27" s="60"/>
      <c r="R27" s="60"/>
      <c r="S27" s="60"/>
      <c r="T27" s="60"/>
      <c r="U27" s="60"/>
      <c r="V27" s="61"/>
    </row>
    <row r="28" spans="1:22" x14ac:dyDescent="0.2">
      <c r="A28">
        <f t="shared" si="11"/>
        <v>24</v>
      </c>
      <c r="B28" s="363">
        <f t="shared" ca="1" si="1"/>
        <v>0</v>
      </c>
      <c r="C28" s="364">
        <f t="shared" ca="1" si="2"/>
        <v>0</v>
      </c>
      <c r="D28" s="365">
        <f t="shared" ca="1" si="3"/>
        <v>0</v>
      </c>
      <c r="E28" s="365">
        <f t="shared" ca="1" si="4"/>
        <v>0</v>
      </c>
      <c r="F28" s="365">
        <f t="shared" ca="1" si="5"/>
        <v>0</v>
      </c>
      <c r="G28" s="365">
        <f t="shared" ca="1" si="6"/>
        <v>0</v>
      </c>
      <c r="H28" s="365">
        <f t="shared" ca="1" si="7"/>
        <v>0</v>
      </c>
      <c r="I28" s="365">
        <f t="shared" ca="1" si="8"/>
        <v>0</v>
      </c>
      <c r="J28" s="364">
        <f t="shared" ca="1" si="9"/>
        <v>0</v>
      </c>
      <c r="K28" s="366">
        <f t="shared" ca="1" si="10"/>
        <v>0</v>
      </c>
      <c r="M28" s="60"/>
      <c r="N28" s="60"/>
      <c r="O28" s="60"/>
      <c r="P28" s="60"/>
      <c r="Q28" s="60"/>
      <c r="R28" s="60"/>
      <c r="S28" s="60"/>
      <c r="T28" s="60"/>
      <c r="U28" s="60"/>
      <c r="V28" s="61"/>
    </row>
    <row r="29" spans="1:22" x14ac:dyDescent="0.2">
      <c r="A29">
        <f t="shared" si="11"/>
        <v>25</v>
      </c>
      <c r="B29" s="363">
        <f t="shared" ca="1" si="1"/>
        <v>0</v>
      </c>
      <c r="C29" s="364">
        <f t="shared" ca="1" si="2"/>
        <v>0</v>
      </c>
      <c r="D29" s="365">
        <f t="shared" ca="1" si="3"/>
        <v>0</v>
      </c>
      <c r="E29" s="365">
        <f t="shared" ca="1" si="4"/>
        <v>0</v>
      </c>
      <c r="F29" s="365">
        <f t="shared" ca="1" si="5"/>
        <v>0</v>
      </c>
      <c r="G29" s="365">
        <f t="shared" ca="1" si="6"/>
        <v>0</v>
      </c>
      <c r="H29" s="365">
        <f t="shared" ca="1" si="7"/>
        <v>0</v>
      </c>
      <c r="I29" s="365">
        <f t="shared" ca="1" si="8"/>
        <v>0</v>
      </c>
      <c r="J29" s="364">
        <f t="shared" ca="1" si="9"/>
        <v>0</v>
      </c>
      <c r="K29" s="366">
        <f t="shared" ca="1" si="10"/>
        <v>0</v>
      </c>
      <c r="M29" s="60"/>
      <c r="N29" s="60"/>
      <c r="O29" s="60"/>
      <c r="P29" s="60"/>
      <c r="Q29" s="60"/>
      <c r="R29" s="60"/>
      <c r="S29" s="60"/>
      <c r="T29" s="60"/>
      <c r="U29" s="60"/>
      <c r="V29" s="61"/>
    </row>
    <row r="30" spans="1:22" x14ac:dyDescent="0.2">
      <c r="A30">
        <f t="shared" si="11"/>
        <v>26</v>
      </c>
      <c r="B30" s="363">
        <f t="shared" ca="1" si="1"/>
        <v>0</v>
      </c>
      <c r="C30" s="364">
        <f t="shared" ca="1" si="2"/>
        <v>0</v>
      </c>
      <c r="D30" s="365">
        <f t="shared" ca="1" si="3"/>
        <v>0</v>
      </c>
      <c r="E30" s="365">
        <f t="shared" ca="1" si="4"/>
        <v>0</v>
      </c>
      <c r="F30" s="365">
        <f t="shared" ca="1" si="5"/>
        <v>0</v>
      </c>
      <c r="G30" s="365">
        <f t="shared" ca="1" si="6"/>
        <v>0</v>
      </c>
      <c r="H30" s="365">
        <f t="shared" ca="1" si="7"/>
        <v>0</v>
      </c>
      <c r="I30" s="365">
        <f t="shared" ca="1" si="8"/>
        <v>0</v>
      </c>
      <c r="J30" s="364">
        <f t="shared" ca="1" si="9"/>
        <v>0</v>
      </c>
      <c r="K30" s="366">
        <f t="shared" ca="1" si="10"/>
        <v>0</v>
      </c>
      <c r="M30" s="60"/>
      <c r="N30" s="60"/>
      <c r="O30" s="60"/>
      <c r="P30" s="60"/>
      <c r="Q30" s="60"/>
      <c r="R30" s="60"/>
      <c r="S30" s="60"/>
      <c r="T30" s="60"/>
      <c r="U30" s="60"/>
      <c r="V30" s="61"/>
    </row>
    <row r="31" spans="1:22" x14ac:dyDescent="0.2">
      <c r="A31">
        <f t="shared" si="11"/>
        <v>27</v>
      </c>
      <c r="B31" s="363">
        <f t="shared" ca="1" si="1"/>
        <v>0</v>
      </c>
      <c r="C31" s="364">
        <f t="shared" ca="1" si="2"/>
        <v>0</v>
      </c>
      <c r="D31" s="365">
        <f t="shared" ca="1" si="3"/>
        <v>0</v>
      </c>
      <c r="E31" s="365">
        <f t="shared" ca="1" si="4"/>
        <v>0</v>
      </c>
      <c r="F31" s="365">
        <f t="shared" ca="1" si="5"/>
        <v>0</v>
      </c>
      <c r="G31" s="365">
        <f t="shared" ca="1" si="6"/>
        <v>0</v>
      </c>
      <c r="H31" s="365">
        <f t="shared" ca="1" si="7"/>
        <v>0</v>
      </c>
      <c r="I31" s="365">
        <f t="shared" ca="1" si="8"/>
        <v>0</v>
      </c>
      <c r="J31" s="364">
        <f t="shared" ca="1" si="9"/>
        <v>0</v>
      </c>
      <c r="K31" s="366">
        <f t="shared" ca="1" si="10"/>
        <v>0</v>
      </c>
      <c r="M31" s="60"/>
      <c r="N31" s="60"/>
      <c r="O31" s="60"/>
      <c r="P31" s="60"/>
      <c r="Q31" s="60"/>
      <c r="R31" s="60"/>
      <c r="S31" s="60"/>
      <c r="T31" s="60"/>
      <c r="U31" s="60"/>
      <c r="V31" s="61"/>
    </row>
    <row r="32" spans="1:22" x14ac:dyDescent="0.2">
      <c r="A32">
        <f t="shared" si="11"/>
        <v>28</v>
      </c>
      <c r="B32" s="363">
        <f t="shared" ca="1" si="1"/>
        <v>0</v>
      </c>
      <c r="C32" s="364">
        <f t="shared" ca="1" si="2"/>
        <v>0</v>
      </c>
      <c r="D32" s="365">
        <f t="shared" ca="1" si="3"/>
        <v>0</v>
      </c>
      <c r="E32" s="365">
        <f t="shared" ca="1" si="4"/>
        <v>0</v>
      </c>
      <c r="F32" s="365">
        <f t="shared" ca="1" si="5"/>
        <v>0</v>
      </c>
      <c r="G32" s="365">
        <f t="shared" ca="1" si="6"/>
        <v>0</v>
      </c>
      <c r="H32" s="365">
        <f t="shared" ca="1" si="7"/>
        <v>0</v>
      </c>
      <c r="I32" s="365">
        <f t="shared" ca="1" si="8"/>
        <v>0</v>
      </c>
      <c r="J32" s="364">
        <f t="shared" ca="1" si="9"/>
        <v>0</v>
      </c>
      <c r="K32" s="366">
        <f t="shared" ca="1" si="10"/>
        <v>0</v>
      </c>
      <c r="M32" s="60"/>
      <c r="N32" s="60"/>
      <c r="O32" s="60"/>
      <c r="P32" s="60"/>
      <c r="Q32" s="60"/>
      <c r="R32" s="60"/>
      <c r="S32" s="60"/>
      <c r="T32" s="60"/>
      <c r="U32" s="60"/>
      <c r="V32" s="61"/>
    </row>
    <row r="33" spans="1:22" x14ac:dyDescent="0.2">
      <c r="A33">
        <f t="shared" si="11"/>
        <v>29</v>
      </c>
      <c r="B33" s="363">
        <f t="shared" ca="1" si="1"/>
        <v>0</v>
      </c>
      <c r="C33" s="364">
        <f t="shared" ca="1" si="2"/>
        <v>0</v>
      </c>
      <c r="D33" s="365">
        <f t="shared" ca="1" si="3"/>
        <v>0</v>
      </c>
      <c r="E33" s="365">
        <f t="shared" ca="1" si="4"/>
        <v>0</v>
      </c>
      <c r="F33" s="365">
        <f t="shared" ca="1" si="5"/>
        <v>0</v>
      </c>
      <c r="G33" s="365">
        <f t="shared" ca="1" si="6"/>
        <v>0</v>
      </c>
      <c r="H33" s="365">
        <f t="shared" ca="1" si="7"/>
        <v>0</v>
      </c>
      <c r="I33" s="365">
        <f t="shared" ca="1" si="8"/>
        <v>0</v>
      </c>
      <c r="J33" s="364">
        <f t="shared" ca="1" si="9"/>
        <v>0</v>
      </c>
      <c r="K33" s="366">
        <f t="shared" ca="1" si="10"/>
        <v>0</v>
      </c>
      <c r="M33" s="60"/>
      <c r="N33" s="60"/>
      <c r="O33" s="60"/>
      <c r="P33" s="60"/>
      <c r="Q33" s="60"/>
      <c r="R33" s="60"/>
      <c r="S33" s="60"/>
      <c r="T33" s="60"/>
      <c r="U33" s="60"/>
      <c r="V33" s="61"/>
    </row>
    <row r="34" spans="1:22" x14ac:dyDescent="0.2">
      <c r="A34">
        <f t="shared" si="11"/>
        <v>30</v>
      </c>
      <c r="B34" s="363">
        <f t="shared" ca="1" si="1"/>
        <v>0</v>
      </c>
      <c r="C34" s="364">
        <f t="shared" ca="1" si="2"/>
        <v>0</v>
      </c>
      <c r="D34" s="365">
        <f t="shared" ca="1" si="3"/>
        <v>0</v>
      </c>
      <c r="E34" s="365">
        <f t="shared" ca="1" si="4"/>
        <v>0</v>
      </c>
      <c r="F34" s="365">
        <f t="shared" ca="1" si="5"/>
        <v>0</v>
      </c>
      <c r="G34" s="365">
        <f t="shared" ca="1" si="6"/>
        <v>0</v>
      </c>
      <c r="H34" s="365">
        <f t="shared" ca="1" si="7"/>
        <v>0</v>
      </c>
      <c r="I34" s="365">
        <f t="shared" ca="1" si="8"/>
        <v>0</v>
      </c>
      <c r="J34" s="364">
        <f t="shared" ca="1" si="9"/>
        <v>0</v>
      </c>
      <c r="K34" s="366">
        <f t="shared" ca="1" si="10"/>
        <v>0</v>
      </c>
      <c r="M34" s="60"/>
      <c r="N34" s="60"/>
      <c r="O34" s="60"/>
      <c r="P34" s="60"/>
      <c r="Q34" s="60"/>
      <c r="R34" s="60"/>
      <c r="S34" s="60"/>
      <c r="T34" s="60"/>
      <c r="U34" s="60"/>
      <c r="V34" s="61"/>
    </row>
    <row r="35" spans="1:22" x14ac:dyDescent="0.2">
      <c r="A35">
        <f t="shared" si="11"/>
        <v>31</v>
      </c>
      <c r="B35" s="363">
        <f t="shared" ca="1" si="1"/>
        <v>0</v>
      </c>
      <c r="C35" s="364">
        <f t="shared" ca="1" si="2"/>
        <v>0</v>
      </c>
      <c r="D35" s="365">
        <f t="shared" ca="1" si="3"/>
        <v>0</v>
      </c>
      <c r="E35" s="365">
        <f t="shared" ca="1" si="4"/>
        <v>0</v>
      </c>
      <c r="F35" s="365">
        <f t="shared" ca="1" si="5"/>
        <v>0</v>
      </c>
      <c r="G35" s="365">
        <f t="shared" ca="1" si="6"/>
        <v>0</v>
      </c>
      <c r="H35" s="365">
        <f t="shared" ca="1" si="7"/>
        <v>0</v>
      </c>
      <c r="I35" s="365">
        <f t="shared" ca="1" si="8"/>
        <v>0</v>
      </c>
      <c r="J35" s="364">
        <f t="shared" ca="1" si="9"/>
        <v>0</v>
      </c>
      <c r="K35" s="366">
        <f t="shared" ca="1" si="10"/>
        <v>0</v>
      </c>
      <c r="M35" s="60"/>
      <c r="N35" s="60"/>
      <c r="O35" s="60"/>
      <c r="P35" s="60"/>
      <c r="Q35" s="60"/>
      <c r="R35" s="60"/>
      <c r="S35" s="60"/>
      <c r="T35" s="60"/>
      <c r="U35" s="60"/>
      <c r="V35" s="61"/>
    </row>
    <row r="36" spans="1:22" x14ac:dyDescent="0.2">
      <c r="A36">
        <f t="shared" si="11"/>
        <v>32</v>
      </c>
      <c r="B36" s="363">
        <f t="shared" ca="1" si="1"/>
        <v>0</v>
      </c>
      <c r="C36" s="364">
        <f t="shared" ca="1" si="2"/>
        <v>0</v>
      </c>
      <c r="D36" s="365">
        <f t="shared" ca="1" si="3"/>
        <v>0</v>
      </c>
      <c r="E36" s="365">
        <f t="shared" ca="1" si="4"/>
        <v>0</v>
      </c>
      <c r="F36" s="365">
        <f t="shared" ca="1" si="5"/>
        <v>0</v>
      </c>
      <c r="G36" s="365">
        <f t="shared" ca="1" si="6"/>
        <v>0</v>
      </c>
      <c r="H36" s="365">
        <f t="shared" ca="1" si="7"/>
        <v>0</v>
      </c>
      <c r="I36" s="365">
        <f t="shared" ca="1" si="8"/>
        <v>0</v>
      </c>
      <c r="J36" s="364">
        <f t="shared" ca="1" si="9"/>
        <v>0</v>
      </c>
      <c r="K36" s="366">
        <f t="shared" ca="1" si="10"/>
        <v>0</v>
      </c>
      <c r="M36" s="60"/>
      <c r="N36" s="60"/>
      <c r="O36" s="60"/>
      <c r="P36" s="60"/>
      <c r="Q36" s="60"/>
      <c r="R36" s="60"/>
      <c r="S36" s="60"/>
      <c r="T36" s="60"/>
      <c r="U36" s="60"/>
      <c r="V36" s="61"/>
    </row>
    <row r="37" spans="1:22" x14ac:dyDescent="0.2">
      <c r="A37">
        <f t="shared" si="11"/>
        <v>33</v>
      </c>
      <c r="B37" s="363">
        <f t="shared" ca="1" si="1"/>
        <v>0</v>
      </c>
      <c r="C37" s="364">
        <f t="shared" ca="1" si="2"/>
        <v>0</v>
      </c>
      <c r="D37" s="365">
        <f t="shared" ca="1" si="3"/>
        <v>0</v>
      </c>
      <c r="E37" s="365">
        <f t="shared" ca="1" si="4"/>
        <v>0</v>
      </c>
      <c r="F37" s="365">
        <f t="shared" ca="1" si="5"/>
        <v>0</v>
      </c>
      <c r="G37" s="365">
        <f t="shared" ca="1" si="6"/>
        <v>0</v>
      </c>
      <c r="H37" s="365">
        <f t="shared" ca="1" si="7"/>
        <v>0</v>
      </c>
      <c r="I37" s="365">
        <f t="shared" ca="1" si="8"/>
        <v>0</v>
      </c>
      <c r="J37" s="364">
        <f t="shared" ca="1" si="9"/>
        <v>0</v>
      </c>
      <c r="K37" s="366">
        <f t="shared" ca="1" si="10"/>
        <v>0</v>
      </c>
      <c r="M37" s="60"/>
      <c r="N37" s="60"/>
      <c r="O37" s="60"/>
      <c r="P37" s="60"/>
      <c r="Q37" s="60"/>
      <c r="R37" s="60"/>
      <c r="S37" s="60"/>
      <c r="T37" s="60"/>
      <c r="U37" s="60"/>
      <c r="V37" s="61"/>
    </row>
    <row r="38" spans="1:22" x14ac:dyDescent="0.2">
      <c r="A38">
        <f t="shared" si="11"/>
        <v>34</v>
      </c>
      <c r="B38" s="363">
        <f t="shared" ca="1" si="1"/>
        <v>0</v>
      </c>
      <c r="C38" s="364">
        <f t="shared" ca="1" si="2"/>
        <v>0</v>
      </c>
      <c r="D38" s="365">
        <f t="shared" ca="1" si="3"/>
        <v>0</v>
      </c>
      <c r="E38" s="365">
        <f t="shared" ca="1" si="4"/>
        <v>0</v>
      </c>
      <c r="F38" s="365">
        <f t="shared" ca="1" si="5"/>
        <v>0</v>
      </c>
      <c r="G38" s="365">
        <f t="shared" ca="1" si="6"/>
        <v>0</v>
      </c>
      <c r="H38" s="365">
        <f t="shared" ca="1" si="7"/>
        <v>0</v>
      </c>
      <c r="I38" s="365">
        <f t="shared" ca="1" si="8"/>
        <v>0</v>
      </c>
      <c r="J38" s="364">
        <f t="shared" ca="1" si="9"/>
        <v>0</v>
      </c>
      <c r="K38" s="366">
        <f t="shared" ca="1" si="10"/>
        <v>0</v>
      </c>
      <c r="M38" s="60"/>
      <c r="N38" s="60"/>
      <c r="O38" s="60"/>
      <c r="P38" s="60"/>
      <c r="Q38" s="60"/>
      <c r="R38" s="60"/>
      <c r="S38" s="60"/>
      <c r="T38" s="60"/>
      <c r="U38" s="60"/>
      <c r="V38" s="61"/>
    </row>
    <row r="39" spans="1:22" x14ac:dyDescent="0.2">
      <c r="A39">
        <f t="shared" si="11"/>
        <v>35</v>
      </c>
      <c r="B39" s="363">
        <f t="shared" ca="1" si="1"/>
        <v>0</v>
      </c>
      <c r="C39" s="364">
        <f t="shared" ca="1" si="2"/>
        <v>0</v>
      </c>
      <c r="D39" s="365">
        <f t="shared" ca="1" si="3"/>
        <v>0</v>
      </c>
      <c r="E39" s="365">
        <f t="shared" ca="1" si="4"/>
        <v>0</v>
      </c>
      <c r="F39" s="365">
        <f t="shared" ca="1" si="5"/>
        <v>0</v>
      </c>
      <c r="G39" s="365">
        <f t="shared" ca="1" si="6"/>
        <v>0</v>
      </c>
      <c r="H39" s="365">
        <f t="shared" ca="1" si="7"/>
        <v>0</v>
      </c>
      <c r="I39" s="365">
        <f t="shared" ca="1" si="8"/>
        <v>0</v>
      </c>
      <c r="J39" s="364">
        <f t="shared" ca="1" si="9"/>
        <v>0</v>
      </c>
      <c r="K39" s="366">
        <f t="shared" ca="1" si="10"/>
        <v>0</v>
      </c>
      <c r="M39" s="60"/>
      <c r="N39" s="60"/>
      <c r="O39" s="60"/>
      <c r="P39" s="60"/>
      <c r="Q39" s="60"/>
      <c r="R39" s="60"/>
      <c r="S39" s="60"/>
      <c r="T39" s="60"/>
      <c r="U39" s="60"/>
      <c r="V39" s="61"/>
    </row>
    <row r="40" spans="1:22" x14ac:dyDescent="0.2">
      <c r="A40">
        <f t="shared" si="11"/>
        <v>36</v>
      </c>
      <c r="B40" s="363">
        <f t="shared" ca="1" si="1"/>
        <v>0</v>
      </c>
      <c r="C40" s="364">
        <f t="shared" ca="1" si="2"/>
        <v>0</v>
      </c>
      <c r="D40" s="365">
        <f t="shared" ca="1" si="3"/>
        <v>0</v>
      </c>
      <c r="E40" s="365">
        <f t="shared" ca="1" si="4"/>
        <v>0</v>
      </c>
      <c r="F40" s="365">
        <f t="shared" ca="1" si="5"/>
        <v>0</v>
      </c>
      <c r="G40" s="365">
        <f t="shared" ca="1" si="6"/>
        <v>0</v>
      </c>
      <c r="H40" s="365">
        <f t="shared" ca="1" si="7"/>
        <v>0</v>
      </c>
      <c r="I40" s="365">
        <f t="shared" ca="1" si="8"/>
        <v>0</v>
      </c>
      <c r="J40" s="364">
        <f t="shared" ca="1" si="9"/>
        <v>0</v>
      </c>
      <c r="K40" s="366">
        <f t="shared" ca="1" si="10"/>
        <v>0</v>
      </c>
      <c r="M40" s="60"/>
      <c r="N40" s="60"/>
      <c r="O40" s="60"/>
      <c r="P40" s="60"/>
      <c r="Q40" s="60"/>
      <c r="R40" s="60"/>
      <c r="S40" s="60"/>
      <c r="T40" s="60"/>
      <c r="U40" s="60"/>
      <c r="V40" s="61"/>
    </row>
    <row r="41" spans="1:22" x14ac:dyDescent="0.2">
      <c r="A41">
        <f t="shared" si="11"/>
        <v>37</v>
      </c>
      <c r="B41" s="363">
        <f t="shared" ca="1" si="1"/>
        <v>0</v>
      </c>
      <c r="C41" s="364">
        <f t="shared" ca="1" si="2"/>
        <v>0</v>
      </c>
      <c r="D41" s="365">
        <f t="shared" ca="1" si="3"/>
        <v>0</v>
      </c>
      <c r="E41" s="365">
        <f t="shared" ca="1" si="4"/>
        <v>0</v>
      </c>
      <c r="F41" s="365">
        <f t="shared" ca="1" si="5"/>
        <v>0</v>
      </c>
      <c r="G41" s="365">
        <f t="shared" ca="1" si="6"/>
        <v>0</v>
      </c>
      <c r="H41" s="365">
        <f t="shared" ca="1" si="7"/>
        <v>0</v>
      </c>
      <c r="I41" s="365">
        <f t="shared" ca="1" si="8"/>
        <v>0</v>
      </c>
      <c r="J41" s="364">
        <f t="shared" ca="1" si="9"/>
        <v>0</v>
      </c>
      <c r="K41" s="366">
        <f t="shared" ca="1" si="10"/>
        <v>0</v>
      </c>
      <c r="M41" s="60"/>
      <c r="N41" s="60"/>
      <c r="O41" s="60"/>
      <c r="P41" s="60"/>
      <c r="Q41" s="60"/>
      <c r="R41" s="60"/>
      <c r="S41" s="60"/>
      <c r="T41" s="60"/>
      <c r="U41" s="60"/>
      <c r="V41" s="61"/>
    </row>
    <row r="42" spans="1:22" x14ac:dyDescent="0.2">
      <c r="A42">
        <f t="shared" si="11"/>
        <v>38</v>
      </c>
      <c r="B42" s="363">
        <f t="shared" ca="1" si="1"/>
        <v>0</v>
      </c>
      <c r="C42" s="364">
        <f t="shared" ca="1" si="2"/>
        <v>0</v>
      </c>
      <c r="D42" s="365">
        <f t="shared" ca="1" si="3"/>
        <v>0</v>
      </c>
      <c r="E42" s="365">
        <f t="shared" ca="1" si="4"/>
        <v>0</v>
      </c>
      <c r="F42" s="365">
        <f t="shared" ca="1" si="5"/>
        <v>0</v>
      </c>
      <c r="G42" s="365">
        <f t="shared" ca="1" si="6"/>
        <v>0</v>
      </c>
      <c r="H42" s="365">
        <f t="shared" ca="1" si="7"/>
        <v>0</v>
      </c>
      <c r="I42" s="365">
        <f t="shared" ca="1" si="8"/>
        <v>0</v>
      </c>
      <c r="J42" s="364">
        <f t="shared" ca="1" si="9"/>
        <v>0</v>
      </c>
      <c r="K42" s="366">
        <f t="shared" ca="1" si="10"/>
        <v>0</v>
      </c>
      <c r="M42" s="60"/>
      <c r="N42" s="60"/>
      <c r="O42" s="60"/>
      <c r="P42" s="60"/>
      <c r="Q42" s="60"/>
      <c r="R42" s="60"/>
      <c r="S42" s="60"/>
      <c r="T42" s="60"/>
      <c r="U42" s="60"/>
      <c r="V42" s="61"/>
    </row>
    <row r="43" spans="1:22" x14ac:dyDescent="0.2">
      <c r="A43">
        <f t="shared" si="11"/>
        <v>39</v>
      </c>
      <c r="B43" s="363">
        <f t="shared" ca="1" si="1"/>
        <v>0</v>
      </c>
      <c r="C43" s="364">
        <f t="shared" ca="1" si="2"/>
        <v>0</v>
      </c>
      <c r="D43" s="365">
        <f t="shared" ca="1" si="3"/>
        <v>0</v>
      </c>
      <c r="E43" s="365">
        <f t="shared" ca="1" si="4"/>
        <v>0</v>
      </c>
      <c r="F43" s="365">
        <f t="shared" ca="1" si="5"/>
        <v>0</v>
      </c>
      <c r="G43" s="365">
        <f t="shared" ca="1" si="6"/>
        <v>0</v>
      </c>
      <c r="H43" s="365">
        <f t="shared" ca="1" si="7"/>
        <v>0</v>
      </c>
      <c r="I43" s="365">
        <f t="shared" ca="1" si="8"/>
        <v>0</v>
      </c>
      <c r="J43" s="364">
        <f t="shared" ca="1" si="9"/>
        <v>0</v>
      </c>
      <c r="K43" s="366">
        <f t="shared" ca="1" si="10"/>
        <v>0</v>
      </c>
      <c r="M43" s="60"/>
      <c r="N43" s="60"/>
      <c r="O43" s="60"/>
      <c r="P43" s="60"/>
      <c r="Q43" s="60"/>
      <c r="R43" s="60"/>
      <c r="S43" s="60"/>
      <c r="T43" s="60"/>
      <c r="U43" s="60"/>
      <c r="V43" s="61"/>
    </row>
    <row r="44" spans="1:22" x14ac:dyDescent="0.2">
      <c r="A44">
        <f t="shared" si="11"/>
        <v>40</v>
      </c>
      <c r="B44" s="363">
        <f t="shared" ca="1" si="1"/>
        <v>0</v>
      </c>
      <c r="C44" s="364">
        <f t="shared" ca="1" si="2"/>
        <v>0</v>
      </c>
      <c r="D44" s="365">
        <f t="shared" ca="1" si="3"/>
        <v>0</v>
      </c>
      <c r="E44" s="365">
        <f t="shared" ca="1" si="4"/>
        <v>0</v>
      </c>
      <c r="F44" s="365">
        <f t="shared" ca="1" si="5"/>
        <v>0</v>
      </c>
      <c r="G44" s="365">
        <f t="shared" ca="1" si="6"/>
        <v>0</v>
      </c>
      <c r="H44" s="365">
        <f t="shared" ca="1" si="7"/>
        <v>0</v>
      </c>
      <c r="I44" s="365">
        <f t="shared" ca="1" si="8"/>
        <v>0</v>
      </c>
      <c r="J44" s="364">
        <f t="shared" ca="1" si="9"/>
        <v>0</v>
      </c>
      <c r="K44" s="366">
        <f t="shared" ca="1" si="10"/>
        <v>0</v>
      </c>
      <c r="M44" s="60"/>
      <c r="N44" s="60"/>
      <c r="O44" s="60"/>
      <c r="P44" s="60"/>
      <c r="Q44" s="60"/>
      <c r="R44" s="60"/>
      <c r="S44" s="60"/>
      <c r="T44" s="60"/>
      <c r="U44" s="60"/>
      <c r="V44" s="61"/>
    </row>
    <row r="45" spans="1:22" x14ac:dyDescent="0.2">
      <c r="A45">
        <f t="shared" si="11"/>
        <v>41</v>
      </c>
      <c r="B45" s="363">
        <f t="shared" ca="1" si="1"/>
        <v>0</v>
      </c>
      <c r="C45" s="364">
        <f t="shared" ca="1" si="2"/>
        <v>0</v>
      </c>
      <c r="D45" s="365">
        <f t="shared" ca="1" si="3"/>
        <v>0</v>
      </c>
      <c r="E45" s="365">
        <f t="shared" ca="1" si="4"/>
        <v>0</v>
      </c>
      <c r="F45" s="365">
        <f t="shared" ca="1" si="5"/>
        <v>0</v>
      </c>
      <c r="G45" s="365">
        <f t="shared" ca="1" si="6"/>
        <v>0</v>
      </c>
      <c r="H45" s="365">
        <f t="shared" ca="1" si="7"/>
        <v>0</v>
      </c>
      <c r="I45" s="365">
        <f t="shared" ca="1" si="8"/>
        <v>0</v>
      </c>
      <c r="J45" s="364">
        <f t="shared" ca="1" si="9"/>
        <v>0</v>
      </c>
      <c r="K45" s="366">
        <f t="shared" ca="1" si="10"/>
        <v>0</v>
      </c>
      <c r="M45" s="60"/>
      <c r="N45" s="60"/>
      <c r="O45" s="60"/>
      <c r="P45" s="60"/>
      <c r="Q45" s="60"/>
      <c r="R45" s="60"/>
      <c r="S45" s="60"/>
      <c r="T45" s="60"/>
      <c r="U45" s="60"/>
      <c r="V45" s="61"/>
    </row>
    <row r="46" spans="1:22" x14ac:dyDescent="0.2">
      <c r="A46">
        <f t="shared" si="11"/>
        <v>42</v>
      </c>
      <c r="B46" s="363">
        <f t="shared" ca="1" si="1"/>
        <v>0</v>
      </c>
      <c r="C46" s="364">
        <f t="shared" ca="1" si="2"/>
        <v>0</v>
      </c>
      <c r="D46" s="365">
        <f t="shared" ca="1" si="3"/>
        <v>0</v>
      </c>
      <c r="E46" s="365">
        <f t="shared" ca="1" si="4"/>
        <v>0</v>
      </c>
      <c r="F46" s="365">
        <f t="shared" ca="1" si="5"/>
        <v>0</v>
      </c>
      <c r="G46" s="365">
        <f t="shared" ca="1" si="6"/>
        <v>0</v>
      </c>
      <c r="H46" s="365">
        <f t="shared" ca="1" si="7"/>
        <v>0</v>
      </c>
      <c r="I46" s="365">
        <f t="shared" ca="1" si="8"/>
        <v>0</v>
      </c>
      <c r="J46" s="364">
        <f t="shared" ca="1" si="9"/>
        <v>0</v>
      </c>
      <c r="K46" s="366">
        <f t="shared" ca="1" si="10"/>
        <v>0</v>
      </c>
      <c r="M46" s="60"/>
      <c r="N46" s="60"/>
      <c r="O46" s="60"/>
      <c r="P46" s="60"/>
      <c r="Q46" s="60"/>
      <c r="R46" s="60"/>
      <c r="S46" s="60"/>
      <c r="T46" s="60"/>
      <c r="U46" s="60"/>
      <c r="V46" s="61"/>
    </row>
    <row r="47" spans="1:22" x14ac:dyDescent="0.2">
      <c r="A47">
        <f t="shared" si="11"/>
        <v>43</v>
      </c>
      <c r="B47" s="363">
        <f t="shared" ca="1" si="1"/>
        <v>0</v>
      </c>
      <c r="C47" s="364">
        <f t="shared" ca="1" si="2"/>
        <v>0</v>
      </c>
      <c r="D47" s="365">
        <f t="shared" ca="1" si="3"/>
        <v>0</v>
      </c>
      <c r="E47" s="365">
        <f t="shared" ca="1" si="4"/>
        <v>0</v>
      </c>
      <c r="F47" s="365">
        <f t="shared" ca="1" si="5"/>
        <v>0</v>
      </c>
      <c r="G47" s="365">
        <f t="shared" ca="1" si="6"/>
        <v>0</v>
      </c>
      <c r="H47" s="365">
        <f t="shared" ca="1" si="7"/>
        <v>0</v>
      </c>
      <c r="I47" s="365">
        <f t="shared" ca="1" si="8"/>
        <v>0</v>
      </c>
      <c r="J47" s="364">
        <f t="shared" ca="1" si="9"/>
        <v>0</v>
      </c>
      <c r="K47" s="366">
        <f t="shared" ca="1" si="10"/>
        <v>0</v>
      </c>
      <c r="M47" s="60"/>
      <c r="N47" s="60"/>
      <c r="O47" s="60"/>
      <c r="P47" s="60"/>
      <c r="Q47" s="60"/>
      <c r="R47" s="60"/>
      <c r="S47" s="60"/>
      <c r="T47" s="60"/>
      <c r="U47" s="60"/>
      <c r="V47" s="61"/>
    </row>
    <row r="48" spans="1:22" x14ac:dyDescent="0.2">
      <c r="A48">
        <f t="shared" si="11"/>
        <v>44</v>
      </c>
      <c r="B48" s="363">
        <f t="shared" ca="1" si="1"/>
        <v>0</v>
      </c>
      <c r="C48" s="364">
        <f t="shared" ca="1" si="2"/>
        <v>0</v>
      </c>
      <c r="D48" s="365">
        <f t="shared" ca="1" si="3"/>
        <v>0</v>
      </c>
      <c r="E48" s="365">
        <f t="shared" ca="1" si="4"/>
        <v>0</v>
      </c>
      <c r="F48" s="365">
        <f t="shared" ca="1" si="5"/>
        <v>0</v>
      </c>
      <c r="G48" s="365">
        <f t="shared" ca="1" si="6"/>
        <v>0</v>
      </c>
      <c r="H48" s="365">
        <f t="shared" ca="1" si="7"/>
        <v>0</v>
      </c>
      <c r="I48" s="365">
        <f t="shared" ca="1" si="8"/>
        <v>0</v>
      </c>
      <c r="J48" s="364">
        <f t="shared" ca="1" si="9"/>
        <v>0</v>
      </c>
      <c r="K48" s="366">
        <f t="shared" ca="1" si="10"/>
        <v>0</v>
      </c>
      <c r="M48" s="60"/>
      <c r="N48" s="60"/>
      <c r="O48" s="60"/>
      <c r="P48" s="60"/>
      <c r="Q48" s="60"/>
      <c r="R48" s="60"/>
      <c r="S48" s="60"/>
      <c r="T48" s="60"/>
      <c r="U48" s="60"/>
      <c r="V48" s="61"/>
    </row>
    <row r="49" spans="1:22" x14ac:dyDescent="0.2">
      <c r="A49">
        <f t="shared" si="11"/>
        <v>45</v>
      </c>
      <c r="B49" s="363">
        <f t="shared" ca="1" si="1"/>
        <v>0</v>
      </c>
      <c r="C49" s="364">
        <f t="shared" ca="1" si="2"/>
        <v>0</v>
      </c>
      <c r="D49" s="365">
        <f t="shared" ca="1" si="3"/>
        <v>0</v>
      </c>
      <c r="E49" s="365">
        <f t="shared" ca="1" si="4"/>
        <v>0</v>
      </c>
      <c r="F49" s="365">
        <f t="shared" ca="1" si="5"/>
        <v>0</v>
      </c>
      <c r="G49" s="365">
        <f t="shared" ca="1" si="6"/>
        <v>0</v>
      </c>
      <c r="H49" s="365">
        <f t="shared" ca="1" si="7"/>
        <v>0</v>
      </c>
      <c r="I49" s="365">
        <f t="shared" ca="1" si="8"/>
        <v>0</v>
      </c>
      <c r="J49" s="364">
        <f t="shared" ca="1" si="9"/>
        <v>0</v>
      </c>
      <c r="K49" s="366">
        <f t="shared" ca="1" si="10"/>
        <v>0</v>
      </c>
      <c r="M49" s="60"/>
      <c r="N49" s="60"/>
      <c r="O49" s="60"/>
      <c r="P49" s="60"/>
      <c r="Q49" s="60"/>
      <c r="R49" s="60"/>
      <c r="S49" s="60"/>
      <c r="T49" s="60"/>
      <c r="U49" s="60"/>
      <c r="V49" s="61"/>
    </row>
    <row r="50" spans="1:22" x14ac:dyDescent="0.2">
      <c r="A50">
        <f t="shared" si="11"/>
        <v>46</v>
      </c>
      <c r="B50" s="363">
        <f t="shared" ca="1" si="1"/>
        <v>0</v>
      </c>
      <c r="C50" s="364">
        <f t="shared" ca="1" si="2"/>
        <v>0</v>
      </c>
      <c r="D50" s="365">
        <f t="shared" ca="1" si="3"/>
        <v>0</v>
      </c>
      <c r="E50" s="365">
        <f t="shared" ca="1" si="4"/>
        <v>0</v>
      </c>
      <c r="F50" s="365">
        <f t="shared" ca="1" si="5"/>
        <v>0</v>
      </c>
      <c r="G50" s="365">
        <f t="shared" ca="1" si="6"/>
        <v>0</v>
      </c>
      <c r="H50" s="365">
        <f t="shared" ca="1" si="7"/>
        <v>0</v>
      </c>
      <c r="I50" s="365">
        <f t="shared" ca="1" si="8"/>
        <v>0</v>
      </c>
      <c r="J50" s="364">
        <f t="shared" ca="1" si="9"/>
        <v>0</v>
      </c>
      <c r="K50" s="366">
        <f t="shared" ca="1" si="10"/>
        <v>0</v>
      </c>
      <c r="M50" s="60"/>
      <c r="N50" s="60"/>
      <c r="O50" s="60"/>
      <c r="P50" s="60"/>
      <c r="Q50" s="60"/>
      <c r="R50" s="60"/>
      <c r="S50" s="60"/>
      <c r="T50" s="60"/>
      <c r="U50" s="60"/>
      <c r="V50" s="61"/>
    </row>
    <row r="51" spans="1:22" x14ac:dyDescent="0.2">
      <c r="A51">
        <f t="shared" si="11"/>
        <v>47</v>
      </c>
      <c r="B51" s="363">
        <f t="shared" ca="1" si="1"/>
        <v>0</v>
      </c>
      <c r="C51" s="364">
        <f t="shared" ca="1" si="2"/>
        <v>0</v>
      </c>
      <c r="D51" s="365">
        <f t="shared" ca="1" si="3"/>
        <v>0</v>
      </c>
      <c r="E51" s="365">
        <f t="shared" ca="1" si="4"/>
        <v>0</v>
      </c>
      <c r="F51" s="365">
        <f t="shared" ca="1" si="5"/>
        <v>0</v>
      </c>
      <c r="G51" s="365">
        <f t="shared" ca="1" si="6"/>
        <v>0</v>
      </c>
      <c r="H51" s="365">
        <f t="shared" ca="1" si="7"/>
        <v>0</v>
      </c>
      <c r="I51" s="365">
        <f t="shared" ca="1" si="8"/>
        <v>0</v>
      </c>
      <c r="J51" s="364">
        <f t="shared" ca="1" si="9"/>
        <v>0</v>
      </c>
      <c r="K51" s="366">
        <f t="shared" ca="1" si="10"/>
        <v>0</v>
      </c>
      <c r="M51" s="60"/>
      <c r="N51" s="60"/>
      <c r="O51" s="60"/>
      <c r="P51" s="60"/>
      <c r="Q51" s="60"/>
      <c r="R51" s="60"/>
      <c r="S51" s="60"/>
      <c r="T51" s="60"/>
      <c r="U51" s="60"/>
      <c r="V51" s="61"/>
    </row>
    <row r="52" spans="1:22" x14ac:dyDescent="0.2">
      <c r="A52">
        <f t="shared" si="11"/>
        <v>48</v>
      </c>
      <c r="B52" s="363">
        <f t="shared" ca="1" si="1"/>
        <v>0</v>
      </c>
      <c r="C52" s="364">
        <f t="shared" ca="1" si="2"/>
        <v>0</v>
      </c>
      <c r="D52" s="365">
        <f t="shared" ca="1" si="3"/>
        <v>0</v>
      </c>
      <c r="E52" s="365">
        <f t="shared" ca="1" si="4"/>
        <v>0</v>
      </c>
      <c r="F52" s="365">
        <f t="shared" ca="1" si="5"/>
        <v>0</v>
      </c>
      <c r="G52" s="365">
        <f t="shared" ca="1" si="6"/>
        <v>0</v>
      </c>
      <c r="H52" s="365">
        <f t="shared" ca="1" si="7"/>
        <v>0</v>
      </c>
      <c r="I52" s="365">
        <f t="shared" ca="1" si="8"/>
        <v>0</v>
      </c>
      <c r="J52" s="364">
        <f t="shared" ca="1" si="9"/>
        <v>0</v>
      </c>
      <c r="K52" s="366">
        <f t="shared" ca="1" si="10"/>
        <v>0</v>
      </c>
      <c r="M52" s="60"/>
      <c r="N52" s="60"/>
      <c r="O52" s="60"/>
      <c r="P52" s="60"/>
      <c r="Q52" s="60"/>
      <c r="R52" s="60"/>
      <c r="S52" s="60"/>
      <c r="T52" s="60"/>
      <c r="U52" s="60"/>
      <c r="V52" s="61"/>
    </row>
    <row r="53" spans="1:22" x14ac:dyDescent="0.2">
      <c r="A53">
        <f t="shared" si="11"/>
        <v>49</v>
      </c>
      <c r="B53" s="363">
        <f t="shared" ca="1" si="1"/>
        <v>0</v>
      </c>
      <c r="C53" s="364">
        <f t="shared" ca="1" si="2"/>
        <v>0</v>
      </c>
      <c r="D53" s="365">
        <f t="shared" ca="1" si="3"/>
        <v>0</v>
      </c>
      <c r="E53" s="365">
        <f t="shared" ca="1" si="4"/>
        <v>0</v>
      </c>
      <c r="F53" s="365">
        <f t="shared" ca="1" si="5"/>
        <v>0</v>
      </c>
      <c r="G53" s="365">
        <f t="shared" ca="1" si="6"/>
        <v>0</v>
      </c>
      <c r="H53" s="365">
        <f t="shared" ca="1" si="7"/>
        <v>0</v>
      </c>
      <c r="I53" s="365">
        <f t="shared" ca="1" si="8"/>
        <v>0</v>
      </c>
      <c r="J53" s="364">
        <f t="shared" ca="1" si="9"/>
        <v>0</v>
      </c>
      <c r="K53" s="366">
        <f t="shared" ca="1" si="10"/>
        <v>0</v>
      </c>
      <c r="M53" s="60"/>
      <c r="N53" s="60"/>
      <c r="O53" s="60"/>
      <c r="P53" s="60"/>
      <c r="Q53" s="60"/>
      <c r="R53" s="60"/>
      <c r="S53" s="60"/>
      <c r="T53" s="60"/>
      <c r="U53" s="60"/>
      <c r="V53" s="61"/>
    </row>
    <row r="54" spans="1:22" x14ac:dyDescent="0.2">
      <c r="A54">
        <f t="shared" si="11"/>
        <v>50</v>
      </c>
      <c r="B54" s="363">
        <f t="shared" ca="1" si="1"/>
        <v>0</v>
      </c>
      <c r="C54" s="364">
        <f t="shared" ca="1" si="2"/>
        <v>0</v>
      </c>
      <c r="D54" s="365">
        <f t="shared" ca="1" si="3"/>
        <v>0</v>
      </c>
      <c r="E54" s="365">
        <f t="shared" ca="1" si="4"/>
        <v>0</v>
      </c>
      <c r="F54" s="365">
        <f t="shared" ca="1" si="5"/>
        <v>0</v>
      </c>
      <c r="G54" s="365">
        <f t="shared" ca="1" si="6"/>
        <v>0</v>
      </c>
      <c r="H54" s="365">
        <f t="shared" ca="1" si="7"/>
        <v>0</v>
      </c>
      <c r="I54" s="365">
        <f t="shared" ca="1" si="8"/>
        <v>0</v>
      </c>
      <c r="J54" s="364">
        <f t="shared" ca="1" si="9"/>
        <v>0</v>
      </c>
      <c r="K54" s="366">
        <f t="shared" ca="1" si="10"/>
        <v>0</v>
      </c>
      <c r="M54" s="60"/>
      <c r="N54" s="60"/>
      <c r="O54" s="60"/>
      <c r="P54" s="60"/>
      <c r="Q54" s="60"/>
      <c r="R54" s="60"/>
      <c r="S54" s="60"/>
      <c r="T54" s="60"/>
      <c r="U54" s="60"/>
      <c r="V54" s="61"/>
    </row>
    <row r="55" spans="1:22" x14ac:dyDescent="0.2">
      <c r="A55">
        <f t="shared" si="11"/>
        <v>51</v>
      </c>
      <c r="B55" s="363">
        <f t="shared" ca="1" si="1"/>
        <v>0</v>
      </c>
      <c r="C55" s="364">
        <f t="shared" ca="1" si="2"/>
        <v>0</v>
      </c>
      <c r="D55" s="365">
        <f t="shared" ca="1" si="3"/>
        <v>0</v>
      </c>
      <c r="E55" s="365">
        <f t="shared" ca="1" si="4"/>
        <v>0</v>
      </c>
      <c r="F55" s="365">
        <f t="shared" ca="1" si="5"/>
        <v>0</v>
      </c>
      <c r="G55" s="365">
        <f t="shared" ca="1" si="6"/>
        <v>0</v>
      </c>
      <c r="H55" s="365">
        <f t="shared" ca="1" si="7"/>
        <v>0</v>
      </c>
      <c r="I55" s="365">
        <f t="shared" ca="1" si="8"/>
        <v>0</v>
      </c>
      <c r="J55" s="364">
        <f t="shared" ca="1" si="9"/>
        <v>0</v>
      </c>
      <c r="K55" s="366">
        <f t="shared" ca="1" si="10"/>
        <v>0</v>
      </c>
      <c r="M55" s="60"/>
      <c r="N55" s="60"/>
      <c r="O55" s="60"/>
      <c r="P55" s="60"/>
      <c r="Q55" s="60"/>
      <c r="R55" s="60"/>
      <c r="S55" s="60"/>
      <c r="T55" s="60"/>
      <c r="U55" s="60"/>
      <c r="V55" s="61"/>
    </row>
    <row r="56" spans="1:22" x14ac:dyDescent="0.2">
      <c r="A56">
        <f t="shared" si="11"/>
        <v>52</v>
      </c>
      <c r="B56" s="363">
        <f t="shared" ca="1" si="1"/>
        <v>0</v>
      </c>
      <c r="C56" s="364">
        <f t="shared" ca="1" si="2"/>
        <v>0</v>
      </c>
      <c r="D56" s="365">
        <f t="shared" ca="1" si="3"/>
        <v>0</v>
      </c>
      <c r="E56" s="365">
        <f t="shared" ca="1" si="4"/>
        <v>0</v>
      </c>
      <c r="F56" s="365">
        <f t="shared" ca="1" si="5"/>
        <v>0</v>
      </c>
      <c r="G56" s="365">
        <f t="shared" ca="1" si="6"/>
        <v>0</v>
      </c>
      <c r="H56" s="365">
        <f t="shared" ca="1" si="7"/>
        <v>0</v>
      </c>
      <c r="I56" s="365">
        <f t="shared" ca="1" si="8"/>
        <v>0</v>
      </c>
      <c r="J56" s="364">
        <f t="shared" ca="1" si="9"/>
        <v>0</v>
      </c>
      <c r="K56" s="366">
        <f t="shared" ca="1" si="10"/>
        <v>0</v>
      </c>
      <c r="M56" s="60"/>
      <c r="N56" s="60"/>
      <c r="O56" s="60"/>
      <c r="P56" s="60"/>
      <c r="Q56" s="60"/>
      <c r="R56" s="60"/>
      <c r="S56" s="60"/>
      <c r="T56" s="60"/>
      <c r="U56" s="60"/>
      <c r="V56" s="61"/>
    </row>
    <row r="57" spans="1:22" x14ac:dyDescent="0.2">
      <c r="A57">
        <f t="shared" si="11"/>
        <v>53</v>
      </c>
      <c r="B57" s="363">
        <f t="shared" ca="1" si="1"/>
        <v>0</v>
      </c>
      <c r="C57" s="364">
        <f t="shared" ca="1" si="2"/>
        <v>0</v>
      </c>
      <c r="D57" s="365">
        <f t="shared" ca="1" si="3"/>
        <v>0</v>
      </c>
      <c r="E57" s="365">
        <f t="shared" ca="1" si="4"/>
        <v>0</v>
      </c>
      <c r="F57" s="365">
        <f t="shared" ca="1" si="5"/>
        <v>0</v>
      </c>
      <c r="G57" s="365">
        <f t="shared" ca="1" si="6"/>
        <v>0</v>
      </c>
      <c r="H57" s="365">
        <f t="shared" ca="1" si="7"/>
        <v>0</v>
      </c>
      <c r="I57" s="365">
        <f t="shared" ca="1" si="8"/>
        <v>0</v>
      </c>
      <c r="J57" s="364">
        <f t="shared" ca="1" si="9"/>
        <v>0</v>
      </c>
      <c r="K57" s="366">
        <f t="shared" ca="1" si="10"/>
        <v>0</v>
      </c>
      <c r="M57" s="60"/>
      <c r="N57" s="60"/>
      <c r="O57" s="60"/>
      <c r="P57" s="60"/>
      <c r="Q57" s="60"/>
      <c r="R57" s="60"/>
      <c r="S57" s="60"/>
      <c r="T57" s="60"/>
      <c r="U57" s="60"/>
      <c r="V57" s="61"/>
    </row>
    <row r="58" spans="1:22" x14ac:dyDescent="0.2">
      <c r="A58">
        <f t="shared" si="11"/>
        <v>54</v>
      </c>
      <c r="B58" s="363">
        <f t="shared" ca="1" si="1"/>
        <v>0</v>
      </c>
      <c r="C58" s="364">
        <f t="shared" ca="1" si="2"/>
        <v>0</v>
      </c>
      <c r="D58" s="365">
        <f t="shared" ca="1" si="3"/>
        <v>0</v>
      </c>
      <c r="E58" s="365">
        <f t="shared" ca="1" si="4"/>
        <v>0</v>
      </c>
      <c r="F58" s="365">
        <f t="shared" ca="1" si="5"/>
        <v>0</v>
      </c>
      <c r="G58" s="365">
        <f t="shared" ca="1" si="6"/>
        <v>0</v>
      </c>
      <c r="H58" s="365">
        <f t="shared" ca="1" si="7"/>
        <v>0</v>
      </c>
      <c r="I58" s="365">
        <f t="shared" ca="1" si="8"/>
        <v>0</v>
      </c>
      <c r="J58" s="364">
        <f t="shared" ca="1" si="9"/>
        <v>0</v>
      </c>
      <c r="K58" s="366">
        <f t="shared" ca="1" si="10"/>
        <v>0</v>
      </c>
      <c r="M58" s="60"/>
      <c r="N58" s="60"/>
      <c r="O58" s="60"/>
      <c r="P58" s="60"/>
      <c r="Q58" s="60"/>
      <c r="R58" s="60"/>
      <c r="S58" s="60"/>
      <c r="T58" s="60"/>
      <c r="U58" s="60"/>
      <c r="V58" s="61"/>
    </row>
    <row r="59" spans="1:22" x14ac:dyDescent="0.2">
      <c r="A59">
        <f t="shared" si="11"/>
        <v>55</v>
      </c>
      <c r="B59" s="363">
        <f t="shared" ca="1" si="1"/>
        <v>0</v>
      </c>
      <c r="C59" s="364">
        <f t="shared" ca="1" si="2"/>
        <v>0</v>
      </c>
      <c r="D59" s="365">
        <f t="shared" ca="1" si="3"/>
        <v>0</v>
      </c>
      <c r="E59" s="365">
        <f t="shared" ca="1" si="4"/>
        <v>0</v>
      </c>
      <c r="F59" s="365">
        <f t="shared" ca="1" si="5"/>
        <v>0</v>
      </c>
      <c r="G59" s="365">
        <f t="shared" ca="1" si="6"/>
        <v>0</v>
      </c>
      <c r="H59" s="365">
        <f t="shared" ca="1" si="7"/>
        <v>0</v>
      </c>
      <c r="I59" s="365">
        <f t="shared" ca="1" si="8"/>
        <v>0</v>
      </c>
      <c r="J59" s="364">
        <f t="shared" ca="1" si="9"/>
        <v>0</v>
      </c>
      <c r="K59" s="366">
        <f t="shared" ca="1" si="10"/>
        <v>0</v>
      </c>
      <c r="M59" s="60"/>
      <c r="N59" s="60"/>
      <c r="O59" s="60"/>
      <c r="P59" s="60"/>
      <c r="Q59" s="60"/>
      <c r="R59" s="60"/>
      <c r="S59" s="60"/>
      <c r="T59" s="60"/>
      <c r="U59" s="60"/>
      <c r="V59" s="61"/>
    </row>
    <row r="60" spans="1:22" x14ac:dyDescent="0.2">
      <c r="A60">
        <f t="shared" si="11"/>
        <v>56</v>
      </c>
      <c r="B60" s="363">
        <f t="shared" ca="1" si="1"/>
        <v>0</v>
      </c>
      <c r="C60" s="364">
        <f t="shared" ca="1" si="2"/>
        <v>0</v>
      </c>
      <c r="D60" s="365">
        <f t="shared" ca="1" si="3"/>
        <v>0</v>
      </c>
      <c r="E60" s="365">
        <f t="shared" ca="1" si="4"/>
        <v>0</v>
      </c>
      <c r="F60" s="365">
        <f t="shared" ca="1" si="5"/>
        <v>0</v>
      </c>
      <c r="G60" s="365">
        <f t="shared" ca="1" si="6"/>
        <v>0</v>
      </c>
      <c r="H60" s="365">
        <f t="shared" ca="1" si="7"/>
        <v>0</v>
      </c>
      <c r="I60" s="365">
        <f t="shared" ca="1" si="8"/>
        <v>0</v>
      </c>
      <c r="J60" s="364">
        <f t="shared" ca="1" si="9"/>
        <v>0</v>
      </c>
      <c r="K60" s="366">
        <f t="shared" ca="1" si="10"/>
        <v>0</v>
      </c>
      <c r="M60" s="60"/>
      <c r="N60" s="60"/>
      <c r="O60" s="60"/>
      <c r="P60" s="60"/>
      <c r="Q60" s="60"/>
      <c r="R60" s="60"/>
      <c r="S60" s="60"/>
      <c r="T60" s="60"/>
      <c r="U60" s="60"/>
      <c r="V60" s="61"/>
    </row>
    <row r="61" spans="1:22" x14ac:dyDescent="0.2">
      <c r="A61">
        <f t="shared" si="11"/>
        <v>57</v>
      </c>
      <c r="B61" s="363">
        <f t="shared" ca="1" si="1"/>
        <v>0</v>
      </c>
      <c r="C61" s="364">
        <f t="shared" ca="1" si="2"/>
        <v>0</v>
      </c>
      <c r="D61" s="365">
        <f t="shared" ca="1" si="3"/>
        <v>0</v>
      </c>
      <c r="E61" s="365">
        <f t="shared" ca="1" si="4"/>
        <v>0</v>
      </c>
      <c r="F61" s="365">
        <f t="shared" ca="1" si="5"/>
        <v>0</v>
      </c>
      <c r="G61" s="365">
        <f t="shared" ca="1" si="6"/>
        <v>0</v>
      </c>
      <c r="H61" s="365">
        <f t="shared" ca="1" si="7"/>
        <v>0</v>
      </c>
      <c r="I61" s="365">
        <f t="shared" ca="1" si="8"/>
        <v>0</v>
      </c>
      <c r="J61" s="364">
        <f t="shared" ca="1" si="9"/>
        <v>0</v>
      </c>
      <c r="K61" s="366">
        <f t="shared" ca="1" si="10"/>
        <v>0</v>
      </c>
      <c r="M61" s="60"/>
      <c r="N61" s="60"/>
      <c r="O61" s="60"/>
      <c r="P61" s="60"/>
      <c r="Q61" s="60"/>
      <c r="R61" s="60"/>
      <c r="S61" s="60"/>
      <c r="T61" s="60"/>
      <c r="U61" s="60"/>
      <c r="V61" s="61"/>
    </row>
    <row r="62" spans="1:22" x14ac:dyDescent="0.2">
      <c r="A62">
        <f t="shared" si="11"/>
        <v>58</v>
      </c>
      <c r="B62" s="363">
        <f t="shared" ca="1" si="1"/>
        <v>0</v>
      </c>
      <c r="C62" s="364">
        <f t="shared" ca="1" si="2"/>
        <v>0</v>
      </c>
      <c r="D62" s="365">
        <f t="shared" ca="1" si="3"/>
        <v>0</v>
      </c>
      <c r="E62" s="365">
        <f t="shared" ca="1" si="4"/>
        <v>0</v>
      </c>
      <c r="F62" s="365">
        <f t="shared" ca="1" si="5"/>
        <v>0</v>
      </c>
      <c r="G62" s="365">
        <f t="shared" ca="1" si="6"/>
        <v>0</v>
      </c>
      <c r="H62" s="365">
        <f t="shared" ca="1" si="7"/>
        <v>0</v>
      </c>
      <c r="I62" s="365">
        <f t="shared" ca="1" si="8"/>
        <v>0</v>
      </c>
      <c r="J62" s="364">
        <f t="shared" ca="1" si="9"/>
        <v>0</v>
      </c>
      <c r="K62" s="366">
        <f t="shared" ca="1" si="10"/>
        <v>0</v>
      </c>
      <c r="M62" s="60"/>
      <c r="N62" s="60"/>
      <c r="O62" s="60"/>
      <c r="P62" s="60"/>
      <c r="Q62" s="60"/>
      <c r="R62" s="60"/>
      <c r="S62" s="60"/>
      <c r="T62" s="60"/>
      <c r="U62" s="60"/>
      <c r="V62" s="61"/>
    </row>
    <row r="63" spans="1:22" x14ac:dyDescent="0.2">
      <c r="A63">
        <f t="shared" si="11"/>
        <v>59</v>
      </c>
      <c r="B63" s="363">
        <f t="shared" ca="1" si="1"/>
        <v>0</v>
      </c>
      <c r="C63" s="364">
        <f t="shared" ca="1" si="2"/>
        <v>0</v>
      </c>
      <c r="D63" s="365">
        <f t="shared" ca="1" si="3"/>
        <v>0</v>
      </c>
      <c r="E63" s="365">
        <f t="shared" ca="1" si="4"/>
        <v>0</v>
      </c>
      <c r="F63" s="365">
        <f t="shared" ca="1" si="5"/>
        <v>0</v>
      </c>
      <c r="G63" s="365">
        <f t="shared" ca="1" si="6"/>
        <v>0</v>
      </c>
      <c r="H63" s="365">
        <f t="shared" ca="1" si="7"/>
        <v>0</v>
      </c>
      <c r="I63" s="365">
        <f t="shared" ca="1" si="8"/>
        <v>0</v>
      </c>
      <c r="J63" s="364">
        <f t="shared" ca="1" si="9"/>
        <v>0</v>
      </c>
      <c r="K63" s="366">
        <f t="shared" ca="1" si="10"/>
        <v>0</v>
      </c>
      <c r="M63" s="60"/>
      <c r="N63" s="60"/>
      <c r="O63" s="60"/>
      <c r="P63" s="60"/>
      <c r="Q63" s="60"/>
      <c r="R63" s="60"/>
      <c r="S63" s="60"/>
      <c r="T63" s="60"/>
      <c r="U63" s="60"/>
      <c r="V63" s="61"/>
    </row>
    <row r="64" spans="1:22" x14ac:dyDescent="0.2">
      <c r="A64">
        <f t="shared" si="11"/>
        <v>60</v>
      </c>
      <c r="B64" s="363">
        <f t="shared" ca="1" si="1"/>
        <v>0</v>
      </c>
      <c r="C64" s="364">
        <f t="shared" ca="1" si="2"/>
        <v>0</v>
      </c>
      <c r="D64" s="365">
        <f t="shared" ca="1" si="3"/>
        <v>0</v>
      </c>
      <c r="E64" s="365">
        <f t="shared" ca="1" si="4"/>
        <v>0</v>
      </c>
      <c r="F64" s="365">
        <f t="shared" ca="1" si="5"/>
        <v>0</v>
      </c>
      <c r="G64" s="365">
        <f t="shared" ca="1" si="6"/>
        <v>0</v>
      </c>
      <c r="H64" s="365">
        <f t="shared" ca="1" si="7"/>
        <v>0</v>
      </c>
      <c r="I64" s="365">
        <f t="shared" ca="1" si="8"/>
        <v>0</v>
      </c>
      <c r="J64" s="364">
        <f t="shared" ca="1" si="9"/>
        <v>0</v>
      </c>
      <c r="K64" s="366">
        <f t="shared" ca="1" si="10"/>
        <v>0</v>
      </c>
      <c r="M64" s="60"/>
      <c r="N64" s="60"/>
      <c r="O64" s="60"/>
      <c r="P64" s="60"/>
      <c r="Q64" s="60"/>
      <c r="R64" s="60"/>
      <c r="S64" s="60"/>
      <c r="T64" s="60"/>
      <c r="U64" s="60"/>
      <c r="V64" s="61"/>
    </row>
    <row r="65" spans="1:22" x14ac:dyDescent="0.2">
      <c r="A65">
        <f t="shared" si="11"/>
        <v>61</v>
      </c>
      <c r="B65" s="363">
        <f t="shared" ca="1" si="1"/>
        <v>0</v>
      </c>
      <c r="C65" s="364">
        <f t="shared" ca="1" si="2"/>
        <v>0</v>
      </c>
      <c r="D65" s="365">
        <f t="shared" ca="1" si="3"/>
        <v>0</v>
      </c>
      <c r="E65" s="365">
        <f t="shared" ca="1" si="4"/>
        <v>0</v>
      </c>
      <c r="F65" s="365">
        <f t="shared" ca="1" si="5"/>
        <v>0</v>
      </c>
      <c r="G65" s="365">
        <f t="shared" ca="1" si="6"/>
        <v>0</v>
      </c>
      <c r="H65" s="365">
        <f t="shared" ca="1" si="7"/>
        <v>0</v>
      </c>
      <c r="I65" s="365">
        <f t="shared" ca="1" si="8"/>
        <v>0</v>
      </c>
      <c r="J65" s="364">
        <f t="shared" ca="1" si="9"/>
        <v>0</v>
      </c>
      <c r="K65" s="366">
        <f t="shared" ca="1" si="10"/>
        <v>0</v>
      </c>
      <c r="M65" s="60"/>
      <c r="N65" s="60"/>
      <c r="O65" s="60"/>
      <c r="P65" s="60"/>
      <c r="Q65" s="60"/>
      <c r="R65" s="60"/>
      <c r="S65" s="60"/>
      <c r="T65" s="60"/>
      <c r="U65" s="60"/>
      <c r="V65" s="61"/>
    </row>
    <row r="66" spans="1:22" x14ac:dyDescent="0.2">
      <c r="A66">
        <f t="shared" si="11"/>
        <v>62</v>
      </c>
      <c r="B66" s="363">
        <f t="shared" ca="1" si="1"/>
        <v>0</v>
      </c>
      <c r="C66" s="364">
        <f t="shared" ca="1" si="2"/>
        <v>0</v>
      </c>
      <c r="D66" s="365">
        <f t="shared" ca="1" si="3"/>
        <v>0</v>
      </c>
      <c r="E66" s="365">
        <f t="shared" ca="1" si="4"/>
        <v>0</v>
      </c>
      <c r="F66" s="365">
        <f t="shared" ca="1" si="5"/>
        <v>0</v>
      </c>
      <c r="G66" s="365">
        <f t="shared" ca="1" si="6"/>
        <v>0</v>
      </c>
      <c r="H66" s="365">
        <f t="shared" ca="1" si="7"/>
        <v>0</v>
      </c>
      <c r="I66" s="365">
        <f t="shared" ca="1" si="8"/>
        <v>0</v>
      </c>
      <c r="J66" s="364">
        <f t="shared" ca="1" si="9"/>
        <v>0</v>
      </c>
      <c r="K66" s="366">
        <f t="shared" ca="1" si="10"/>
        <v>0</v>
      </c>
      <c r="M66" s="60"/>
      <c r="N66" s="60"/>
      <c r="O66" s="60"/>
      <c r="P66" s="60"/>
      <c r="Q66" s="60"/>
      <c r="R66" s="60"/>
      <c r="S66" s="60"/>
      <c r="T66" s="60"/>
      <c r="U66" s="60"/>
      <c r="V66" s="61"/>
    </row>
    <row r="67" spans="1:22" x14ac:dyDescent="0.2">
      <c r="A67">
        <f t="shared" si="11"/>
        <v>63</v>
      </c>
      <c r="B67" s="363">
        <f t="shared" ca="1" si="1"/>
        <v>0</v>
      </c>
      <c r="C67" s="364">
        <f t="shared" ca="1" si="2"/>
        <v>0</v>
      </c>
      <c r="D67" s="365">
        <f t="shared" ca="1" si="3"/>
        <v>0</v>
      </c>
      <c r="E67" s="365">
        <f t="shared" ca="1" si="4"/>
        <v>0</v>
      </c>
      <c r="F67" s="365">
        <f t="shared" ca="1" si="5"/>
        <v>0</v>
      </c>
      <c r="G67" s="365">
        <f t="shared" ca="1" si="6"/>
        <v>0</v>
      </c>
      <c r="H67" s="365">
        <f t="shared" ca="1" si="7"/>
        <v>0</v>
      </c>
      <c r="I67" s="365">
        <f t="shared" ca="1" si="8"/>
        <v>0</v>
      </c>
      <c r="J67" s="364">
        <f t="shared" ca="1" si="9"/>
        <v>0</v>
      </c>
      <c r="K67" s="366">
        <f t="shared" ca="1" si="10"/>
        <v>0</v>
      </c>
      <c r="M67" s="60"/>
      <c r="N67" s="60"/>
      <c r="O67" s="60"/>
      <c r="P67" s="60"/>
      <c r="Q67" s="60"/>
      <c r="R67" s="60"/>
      <c r="S67" s="60"/>
      <c r="T67" s="60"/>
      <c r="U67" s="60"/>
      <c r="V67" s="61"/>
    </row>
    <row r="68" spans="1:22" x14ac:dyDescent="0.2">
      <c r="A68">
        <f t="shared" si="11"/>
        <v>64</v>
      </c>
      <c r="B68" s="363">
        <f t="shared" ca="1" si="1"/>
        <v>0</v>
      </c>
      <c r="C68" s="364">
        <f t="shared" ca="1" si="2"/>
        <v>0</v>
      </c>
      <c r="D68" s="365">
        <f t="shared" ca="1" si="3"/>
        <v>0</v>
      </c>
      <c r="E68" s="365">
        <f t="shared" ca="1" si="4"/>
        <v>0</v>
      </c>
      <c r="F68" s="365">
        <f t="shared" ca="1" si="5"/>
        <v>0</v>
      </c>
      <c r="G68" s="365">
        <f t="shared" ca="1" si="6"/>
        <v>0</v>
      </c>
      <c r="H68" s="365">
        <f t="shared" ca="1" si="7"/>
        <v>0</v>
      </c>
      <c r="I68" s="365">
        <f t="shared" ca="1" si="8"/>
        <v>0</v>
      </c>
      <c r="J68" s="364">
        <f t="shared" ca="1" si="9"/>
        <v>0</v>
      </c>
      <c r="K68" s="366">
        <f t="shared" ca="1" si="10"/>
        <v>0</v>
      </c>
      <c r="M68" s="60"/>
      <c r="N68" s="60"/>
      <c r="O68" s="60"/>
      <c r="P68" s="60"/>
      <c r="Q68" s="60"/>
      <c r="R68" s="60"/>
      <c r="S68" s="60"/>
      <c r="T68" s="60"/>
      <c r="U68" s="60"/>
      <c r="V68" s="61"/>
    </row>
    <row r="69" spans="1:22" x14ac:dyDescent="0.2">
      <c r="A69">
        <f t="shared" si="11"/>
        <v>65</v>
      </c>
      <c r="B69" s="363">
        <f t="shared" ref="B69:B132" ca="1" si="12">IF($C$2=1,INDEX($M$5:$OO$369,$A69,B$1),INDEX(OFFSET(M$5,$A68,$K$2*11),1,1))</f>
        <v>0</v>
      </c>
      <c r="C69" s="364">
        <f t="shared" ref="C69:C132" ca="1" si="13">IF($C$2=1,INDEX($M$5:$OO$369,$A69,C$1),INDEX(OFFSET(N$5,$A68,$K$2*11),1,1))</f>
        <v>0</v>
      </c>
      <c r="D69" s="365">
        <f t="shared" ref="D69:D132" ca="1" si="14">IF($C$2=1,INDEX($M$5:$OO$369,$A69,D$1),INDEX(OFFSET(O$5,$A68,$K$2*11),1,1))</f>
        <v>0</v>
      </c>
      <c r="E69" s="365">
        <f t="shared" ref="E69:E132" ca="1" si="15">IF($C$2=1,INDEX($M$5:$OO$369,$A69,E$1),INDEX(OFFSET(P$5,$A68,$K$2*11),1,1))</f>
        <v>0</v>
      </c>
      <c r="F69" s="365">
        <f t="shared" ref="F69:F132" ca="1" si="16">IF($C$2=1,INDEX($M$5:$OO$369,$A69,F$1),INDEX(OFFSET(Q$5,$A68,$K$2*11),1,1))</f>
        <v>0</v>
      </c>
      <c r="G69" s="365">
        <f t="shared" ref="G69:G132" ca="1" si="17">IF($C$2=1,INDEX($M$5:$OO$369,$A69,G$1),INDEX(OFFSET(R$5,$A68,$K$2*11),1,1))</f>
        <v>0</v>
      </c>
      <c r="H69" s="365">
        <f t="shared" ref="H69:H132" ca="1" si="18">IF($C$2=1,INDEX($M$5:$OO$369,$A69,H$1),INDEX(OFFSET(S$5,$A68,$K$2*11),1,1))</f>
        <v>0</v>
      </c>
      <c r="I69" s="365">
        <f t="shared" ref="I69:I132" ca="1" si="19">IF($C$2=1,INDEX($M$5:$OO$369,$A69,I$1),INDEX(OFFSET(T$5,$A68,$K$2*11),1,1))</f>
        <v>0</v>
      </c>
      <c r="J69" s="364">
        <f t="shared" ref="J69:J132" ca="1" si="20">IF($C$2=1,INDEX($M$5:$OO$369,$A69,J$1),INDEX(OFFSET(U$5,$A68,$K$2*11),1,1))</f>
        <v>0</v>
      </c>
      <c r="K69" s="366">
        <f t="shared" ref="K69:K132" ca="1" si="21">IF($C$2=1,INDEX($M$5:$OO$369,$A69,K$1),INDEX(OFFSET(V$5,$A68,$K$2*11),1,1))</f>
        <v>0</v>
      </c>
      <c r="M69" s="60"/>
      <c r="N69" s="60"/>
      <c r="O69" s="60"/>
      <c r="P69" s="60"/>
      <c r="Q69" s="60"/>
      <c r="R69" s="60"/>
      <c r="S69" s="60"/>
      <c r="T69" s="60"/>
      <c r="U69" s="60"/>
      <c r="V69" s="61"/>
    </row>
    <row r="70" spans="1:22" x14ac:dyDescent="0.2">
      <c r="A70">
        <f t="shared" si="11"/>
        <v>66</v>
      </c>
      <c r="B70" s="363">
        <f t="shared" ca="1" si="12"/>
        <v>0</v>
      </c>
      <c r="C70" s="364">
        <f t="shared" ca="1" si="13"/>
        <v>0</v>
      </c>
      <c r="D70" s="365">
        <f t="shared" ca="1" si="14"/>
        <v>0</v>
      </c>
      <c r="E70" s="365">
        <f t="shared" ca="1" si="15"/>
        <v>0</v>
      </c>
      <c r="F70" s="365">
        <f t="shared" ca="1" si="16"/>
        <v>0</v>
      </c>
      <c r="G70" s="365">
        <f t="shared" ca="1" si="17"/>
        <v>0</v>
      </c>
      <c r="H70" s="365">
        <f t="shared" ca="1" si="18"/>
        <v>0</v>
      </c>
      <c r="I70" s="365">
        <f t="shared" ca="1" si="19"/>
        <v>0</v>
      </c>
      <c r="J70" s="364">
        <f t="shared" ca="1" si="20"/>
        <v>0</v>
      </c>
      <c r="K70" s="366">
        <f t="shared" ca="1" si="21"/>
        <v>0</v>
      </c>
      <c r="M70" s="60"/>
      <c r="N70" s="60"/>
      <c r="O70" s="60"/>
      <c r="P70" s="60"/>
      <c r="Q70" s="60"/>
      <c r="R70" s="60"/>
      <c r="S70" s="60"/>
      <c r="T70" s="60"/>
      <c r="U70" s="60"/>
      <c r="V70" s="61"/>
    </row>
    <row r="71" spans="1:22" x14ac:dyDescent="0.2">
      <c r="A71">
        <f t="shared" ref="A71:A134" si="22">A70+1</f>
        <v>67</v>
      </c>
      <c r="B71" s="363">
        <f t="shared" ca="1" si="12"/>
        <v>0</v>
      </c>
      <c r="C71" s="364">
        <f t="shared" ca="1" si="13"/>
        <v>0</v>
      </c>
      <c r="D71" s="365">
        <f t="shared" ca="1" si="14"/>
        <v>0</v>
      </c>
      <c r="E71" s="365">
        <f t="shared" ca="1" si="15"/>
        <v>0</v>
      </c>
      <c r="F71" s="365">
        <f t="shared" ca="1" si="16"/>
        <v>0</v>
      </c>
      <c r="G71" s="365">
        <f t="shared" ca="1" si="17"/>
        <v>0</v>
      </c>
      <c r="H71" s="365">
        <f t="shared" ca="1" si="18"/>
        <v>0</v>
      </c>
      <c r="I71" s="365">
        <f t="shared" ca="1" si="19"/>
        <v>0</v>
      </c>
      <c r="J71" s="364">
        <f t="shared" ca="1" si="20"/>
        <v>0</v>
      </c>
      <c r="K71" s="366">
        <f t="shared" ca="1" si="21"/>
        <v>0</v>
      </c>
      <c r="M71" s="60"/>
      <c r="N71" s="60"/>
      <c r="O71" s="60"/>
      <c r="P71" s="60"/>
      <c r="Q71" s="60"/>
      <c r="R71" s="60"/>
      <c r="S71" s="60"/>
      <c r="T71" s="60"/>
      <c r="U71" s="60"/>
      <c r="V71" s="61"/>
    </row>
    <row r="72" spans="1:22" x14ac:dyDescent="0.2">
      <c r="A72">
        <f t="shared" si="22"/>
        <v>68</v>
      </c>
      <c r="B72" s="363">
        <f t="shared" ca="1" si="12"/>
        <v>0</v>
      </c>
      <c r="C72" s="364">
        <f t="shared" ca="1" si="13"/>
        <v>0</v>
      </c>
      <c r="D72" s="365">
        <f t="shared" ca="1" si="14"/>
        <v>0</v>
      </c>
      <c r="E72" s="365">
        <f t="shared" ca="1" si="15"/>
        <v>0</v>
      </c>
      <c r="F72" s="365">
        <f t="shared" ca="1" si="16"/>
        <v>0</v>
      </c>
      <c r="G72" s="365">
        <f t="shared" ca="1" si="17"/>
        <v>0</v>
      </c>
      <c r="H72" s="365">
        <f t="shared" ca="1" si="18"/>
        <v>0</v>
      </c>
      <c r="I72" s="365">
        <f t="shared" ca="1" si="19"/>
        <v>0</v>
      </c>
      <c r="J72" s="364">
        <f t="shared" ca="1" si="20"/>
        <v>0</v>
      </c>
      <c r="K72" s="366">
        <f t="shared" ca="1" si="21"/>
        <v>0</v>
      </c>
      <c r="M72" s="60"/>
      <c r="N72" s="60"/>
      <c r="O72" s="60"/>
      <c r="P72" s="60"/>
      <c r="Q72" s="60"/>
      <c r="R72" s="60"/>
      <c r="S72" s="60"/>
      <c r="T72" s="60"/>
      <c r="U72" s="60"/>
      <c r="V72" s="61"/>
    </row>
    <row r="73" spans="1:22" x14ac:dyDescent="0.2">
      <c r="A73">
        <f t="shared" si="22"/>
        <v>69</v>
      </c>
      <c r="B73" s="363">
        <f t="shared" ca="1" si="12"/>
        <v>0</v>
      </c>
      <c r="C73" s="364">
        <f t="shared" ca="1" si="13"/>
        <v>0</v>
      </c>
      <c r="D73" s="365">
        <f t="shared" ca="1" si="14"/>
        <v>0</v>
      </c>
      <c r="E73" s="365">
        <f t="shared" ca="1" si="15"/>
        <v>0</v>
      </c>
      <c r="F73" s="365">
        <f t="shared" ca="1" si="16"/>
        <v>0</v>
      </c>
      <c r="G73" s="365">
        <f t="shared" ca="1" si="17"/>
        <v>0</v>
      </c>
      <c r="H73" s="365">
        <f t="shared" ca="1" si="18"/>
        <v>0</v>
      </c>
      <c r="I73" s="365">
        <f t="shared" ca="1" si="19"/>
        <v>0</v>
      </c>
      <c r="J73" s="364">
        <f t="shared" ca="1" si="20"/>
        <v>0</v>
      </c>
      <c r="K73" s="366">
        <f t="shared" ca="1" si="21"/>
        <v>0</v>
      </c>
      <c r="M73" s="60"/>
      <c r="N73" s="60"/>
      <c r="O73" s="60"/>
      <c r="P73" s="60"/>
      <c r="Q73" s="60"/>
      <c r="R73" s="60"/>
      <c r="S73" s="60"/>
      <c r="T73" s="60"/>
      <c r="U73" s="60"/>
      <c r="V73" s="61"/>
    </row>
    <row r="74" spans="1:22" x14ac:dyDescent="0.2">
      <c r="A74">
        <f t="shared" si="22"/>
        <v>70</v>
      </c>
      <c r="B74" s="363">
        <f t="shared" ca="1" si="12"/>
        <v>0</v>
      </c>
      <c r="C74" s="364">
        <f t="shared" ca="1" si="13"/>
        <v>0</v>
      </c>
      <c r="D74" s="365">
        <f t="shared" ca="1" si="14"/>
        <v>0</v>
      </c>
      <c r="E74" s="365">
        <f t="shared" ca="1" si="15"/>
        <v>0</v>
      </c>
      <c r="F74" s="365">
        <f t="shared" ca="1" si="16"/>
        <v>0</v>
      </c>
      <c r="G74" s="365">
        <f t="shared" ca="1" si="17"/>
        <v>0</v>
      </c>
      <c r="H74" s="365">
        <f t="shared" ca="1" si="18"/>
        <v>0</v>
      </c>
      <c r="I74" s="365">
        <f t="shared" ca="1" si="19"/>
        <v>0</v>
      </c>
      <c r="J74" s="364">
        <f t="shared" ca="1" si="20"/>
        <v>0</v>
      </c>
      <c r="K74" s="366">
        <f t="shared" ca="1" si="21"/>
        <v>0</v>
      </c>
      <c r="M74" s="60"/>
      <c r="N74" s="60"/>
      <c r="O74" s="60"/>
      <c r="P74" s="60"/>
      <c r="Q74" s="60"/>
      <c r="R74" s="60"/>
      <c r="S74" s="60"/>
      <c r="T74" s="60"/>
      <c r="U74" s="60"/>
      <c r="V74" s="61"/>
    </row>
    <row r="75" spans="1:22" x14ac:dyDescent="0.2">
      <c r="A75">
        <f t="shared" si="22"/>
        <v>71</v>
      </c>
      <c r="B75" s="363">
        <f t="shared" ca="1" si="12"/>
        <v>0</v>
      </c>
      <c r="C75" s="364">
        <f t="shared" ca="1" si="13"/>
        <v>0</v>
      </c>
      <c r="D75" s="365">
        <f t="shared" ca="1" si="14"/>
        <v>0</v>
      </c>
      <c r="E75" s="365">
        <f t="shared" ca="1" si="15"/>
        <v>0</v>
      </c>
      <c r="F75" s="365">
        <f t="shared" ca="1" si="16"/>
        <v>0</v>
      </c>
      <c r="G75" s="365">
        <f t="shared" ca="1" si="17"/>
        <v>0</v>
      </c>
      <c r="H75" s="365">
        <f t="shared" ca="1" si="18"/>
        <v>0</v>
      </c>
      <c r="I75" s="365">
        <f t="shared" ca="1" si="19"/>
        <v>0</v>
      </c>
      <c r="J75" s="364">
        <f t="shared" ca="1" si="20"/>
        <v>0</v>
      </c>
      <c r="K75" s="366">
        <f t="shared" ca="1" si="21"/>
        <v>0</v>
      </c>
      <c r="M75" s="60"/>
      <c r="N75" s="60"/>
      <c r="O75" s="60"/>
      <c r="P75" s="60"/>
      <c r="Q75" s="60"/>
      <c r="R75" s="60"/>
      <c r="S75" s="60"/>
      <c r="T75" s="60"/>
      <c r="U75" s="60"/>
      <c r="V75" s="61"/>
    </row>
    <row r="76" spans="1:22" x14ac:dyDescent="0.2">
      <c r="A76">
        <f t="shared" si="22"/>
        <v>72</v>
      </c>
      <c r="B76" s="363">
        <f t="shared" ca="1" si="12"/>
        <v>0</v>
      </c>
      <c r="C76" s="364">
        <f t="shared" ca="1" si="13"/>
        <v>0</v>
      </c>
      <c r="D76" s="365">
        <f t="shared" ca="1" si="14"/>
        <v>0</v>
      </c>
      <c r="E76" s="365">
        <f t="shared" ca="1" si="15"/>
        <v>0</v>
      </c>
      <c r="F76" s="365">
        <f t="shared" ca="1" si="16"/>
        <v>0</v>
      </c>
      <c r="G76" s="365">
        <f t="shared" ca="1" si="17"/>
        <v>0</v>
      </c>
      <c r="H76" s="365">
        <f t="shared" ca="1" si="18"/>
        <v>0</v>
      </c>
      <c r="I76" s="365">
        <f t="shared" ca="1" si="19"/>
        <v>0</v>
      </c>
      <c r="J76" s="364">
        <f t="shared" ca="1" si="20"/>
        <v>0</v>
      </c>
      <c r="K76" s="366">
        <f t="shared" ca="1" si="21"/>
        <v>0</v>
      </c>
      <c r="M76" s="60"/>
      <c r="N76" s="60"/>
      <c r="O76" s="60"/>
      <c r="P76" s="60"/>
      <c r="Q76" s="60"/>
      <c r="R76" s="60"/>
      <c r="S76" s="60"/>
      <c r="T76" s="60"/>
      <c r="U76" s="60"/>
      <c r="V76" s="61"/>
    </row>
    <row r="77" spans="1:22" x14ac:dyDescent="0.2">
      <c r="A77">
        <f t="shared" si="22"/>
        <v>73</v>
      </c>
      <c r="B77" s="363">
        <f t="shared" ca="1" si="12"/>
        <v>0</v>
      </c>
      <c r="C77" s="364">
        <f t="shared" ca="1" si="13"/>
        <v>0</v>
      </c>
      <c r="D77" s="365">
        <f t="shared" ca="1" si="14"/>
        <v>0</v>
      </c>
      <c r="E77" s="365">
        <f t="shared" ca="1" si="15"/>
        <v>0</v>
      </c>
      <c r="F77" s="365">
        <f t="shared" ca="1" si="16"/>
        <v>0</v>
      </c>
      <c r="G77" s="365">
        <f t="shared" ca="1" si="17"/>
        <v>0</v>
      </c>
      <c r="H77" s="365">
        <f t="shared" ca="1" si="18"/>
        <v>0</v>
      </c>
      <c r="I77" s="365">
        <f t="shared" ca="1" si="19"/>
        <v>0</v>
      </c>
      <c r="J77" s="364">
        <f t="shared" ca="1" si="20"/>
        <v>0</v>
      </c>
      <c r="K77" s="366">
        <f t="shared" ca="1" si="21"/>
        <v>0</v>
      </c>
      <c r="M77" s="60"/>
      <c r="N77" s="60"/>
      <c r="O77" s="60"/>
      <c r="P77" s="60"/>
      <c r="Q77" s="60"/>
      <c r="R77" s="60"/>
      <c r="S77" s="60"/>
      <c r="T77" s="60"/>
      <c r="U77" s="60"/>
      <c r="V77" s="61"/>
    </row>
    <row r="78" spans="1:22" x14ac:dyDescent="0.2">
      <c r="A78">
        <f t="shared" si="22"/>
        <v>74</v>
      </c>
      <c r="B78" s="363">
        <f t="shared" ca="1" si="12"/>
        <v>0</v>
      </c>
      <c r="C78" s="364">
        <f t="shared" ca="1" si="13"/>
        <v>0</v>
      </c>
      <c r="D78" s="365">
        <f t="shared" ca="1" si="14"/>
        <v>0</v>
      </c>
      <c r="E78" s="365">
        <f t="shared" ca="1" si="15"/>
        <v>0</v>
      </c>
      <c r="F78" s="365">
        <f t="shared" ca="1" si="16"/>
        <v>0</v>
      </c>
      <c r="G78" s="365">
        <f t="shared" ca="1" si="17"/>
        <v>0</v>
      </c>
      <c r="H78" s="365">
        <f t="shared" ca="1" si="18"/>
        <v>0</v>
      </c>
      <c r="I78" s="365">
        <f t="shared" ca="1" si="19"/>
        <v>0</v>
      </c>
      <c r="J78" s="364">
        <f t="shared" ca="1" si="20"/>
        <v>0</v>
      </c>
      <c r="K78" s="366">
        <f t="shared" ca="1" si="21"/>
        <v>0</v>
      </c>
      <c r="M78" s="60"/>
      <c r="N78" s="60"/>
      <c r="O78" s="60"/>
      <c r="P78" s="60"/>
      <c r="Q78" s="60"/>
      <c r="R78" s="60"/>
      <c r="S78" s="60"/>
      <c r="T78" s="60"/>
      <c r="U78" s="60"/>
      <c r="V78" s="61"/>
    </row>
    <row r="79" spans="1:22" x14ac:dyDescent="0.2">
      <c r="A79">
        <f t="shared" si="22"/>
        <v>75</v>
      </c>
      <c r="B79" s="363">
        <f t="shared" ca="1" si="12"/>
        <v>0</v>
      </c>
      <c r="C79" s="364">
        <f t="shared" ca="1" si="13"/>
        <v>0</v>
      </c>
      <c r="D79" s="365">
        <f t="shared" ca="1" si="14"/>
        <v>0</v>
      </c>
      <c r="E79" s="365">
        <f t="shared" ca="1" si="15"/>
        <v>0</v>
      </c>
      <c r="F79" s="365">
        <f t="shared" ca="1" si="16"/>
        <v>0</v>
      </c>
      <c r="G79" s="365">
        <f t="shared" ca="1" si="17"/>
        <v>0</v>
      </c>
      <c r="H79" s="365">
        <f t="shared" ca="1" si="18"/>
        <v>0</v>
      </c>
      <c r="I79" s="365">
        <f t="shared" ca="1" si="19"/>
        <v>0</v>
      </c>
      <c r="J79" s="364">
        <f t="shared" ca="1" si="20"/>
        <v>0</v>
      </c>
      <c r="K79" s="366">
        <f t="shared" ca="1" si="21"/>
        <v>0</v>
      </c>
      <c r="M79" s="60"/>
      <c r="N79" s="60"/>
      <c r="O79" s="60"/>
      <c r="P79" s="60"/>
      <c r="Q79" s="60"/>
      <c r="R79" s="60"/>
      <c r="S79" s="60"/>
      <c r="T79" s="60"/>
      <c r="U79" s="60"/>
      <c r="V79" s="61"/>
    </row>
    <row r="80" spans="1:22" x14ac:dyDescent="0.2">
      <c r="A80">
        <f t="shared" si="22"/>
        <v>76</v>
      </c>
      <c r="B80" s="363">
        <f t="shared" ca="1" si="12"/>
        <v>0</v>
      </c>
      <c r="C80" s="364">
        <f t="shared" ca="1" si="13"/>
        <v>0</v>
      </c>
      <c r="D80" s="365">
        <f t="shared" ca="1" si="14"/>
        <v>0</v>
      </c>
      <c r="E80" s="365">
        <f t="shared" ca="1" si="15"/>
        <v>0</v>
      </c>
      <c r="F80" s="365">
        <f t="shared" ca="1" si="16"/>
        <v>0</v>
      </c>
      <c r="G80" s="365">
        <f t="shared" ca="1" si="17"/>
        <v>0</v>
      </c>
      <c r="H80" s="365">
        <f t="shared" ca="1" si="18"/>
        <v>0</v>
      </c>
      <c r="I80" s="365">
        <f t="shared" ca="1" si="19"/>
        <v>0</v>
      </c>
      <c r="J80" s="364">
        <f t="shared" ca="1" si="20"/>
        <v>0</v>
      </c>
      <c r="K80" s="366">
        <f t="shared" ca="1" si="21"/>
        <v>0</v>
      </c>
      <c r="M80" s="60"/>
      <c r="N80" s="60"/>
      <c r="O80" s="60"/>
      <c r="P80" s="60"/>
      <c r="Q80" s="60"/>
      <c r="R80" s="60"/>
      <c r="S80" s="60"/>
      <c r="T80" s="60"/>
      <c r="U80" s="60"/>
      <c r="V80" s="61"/>
    </row>
    <row r="81" spans="1:22" x14ac:dyDescent="0.2">
      <c r="A81">
        <f t="shared" si="22"/>
        <v>77</v>
      </c>
      <c r="B81" s="363">
        <f t="shared" ca="1" si="12"/>
        <v>0</v>
      </c>
      <c r="C81" s="364">
        <f t="shared" ca="1" si="13"/>
        <v>0</v>
      </c>
      <c r="D81" s="365">
        <f t="shared" ca="1" si="14"/>
        <v>0</v>
      </c>
      <c r="E81" s="365">
        <f t="shared" ca="1" si="15"/>
        <v>0</v>
      </c>
      <c r="F81" s="365">
        <f t="shared" ca="1" si="16"/>
        <v>0</v>
      </c>
      <c r="G81" s="365">
        <f t="shared" ca="1" si="17"/>
        <v>0</v>
      </c>
      <c r="H81" s="365">
        <f t="shared" ca="1" si="18"/>
        <v>0</v>
      </c>
      <c r="I81" s="365">
        <f t="shared" ca="1" si="19"/>
        <v>0</v>
      </c>
      <c r="J81" s="364">
        <f t="shared" ca="1" si="20"/>
        <v>0</v>
      </c>
      <c r="K81" s="366">
        <f t="shared" ca="1" si="21"/>
        <v>0</v>
      </c>
      <c r="M81" s="60"/>
      <c r="N81" s="60"/>
      <c r="O81" s="60"/>
      <c r="P81" s="60"/>
      <c r="Q81" s="60"/>
      <c r="R81" s="60"/>
      <c r="S81" s="60"/>
      <c r="T81" s="60"/>
      <c r="U81" s="60"/>
      <c r="V81" s="61"/>
    </row>
    <row r="82" spans="1:22" x14ac:dyDescent="0.2">
      <c r="A82">
        <f t="shared" si="22"/>
        <v>78</v>
      </c>
      <c r="B82" s="363">
        <f t="shared" ca="1" si="12"/>
        <v>0</v>
      </c>
      <c r="C82" s="364">
        <f t="shared" ca="1" si="13"/>
        <v>0</v>
      </c>
      <c r="D82" s="365">
        <f t="shared" ca="1" si="14"/>
        <v>0</v>
      </c>
      <c r="E82" s="365">
        <f t="shared" ca="1" si="15"/>
        <v>0</v>
      </c>
      <c r="F82" s="365">
        <f t="shared" ca="1" si="16"/>
        <v>0</v>
      </c>
      <c r="G82" s="365">
        <f t="shared" ca="1" si="17"/>
        <v>0</v>
      </c>
      <c r="H82" s="365">
        <f t="shared" ca="1" si="18"/>
        <v>0</v>
      </c>
      <c r="I82" s="365">
        <f t="shared" ca="1" si="19"/>
        <v>0</v>
      </c>
      <c r="J82" s="364">
        <f t="shared" ca="1" si="20"/>
        <v>0</v>
      </c>
      <c r="K82" s="366">
        <f t="shared" ca="1" si="21"/>
        <v>0</v>
      </c>
      <c r="M82" s="60"/>
      <c r="N82" s="60"/>
      <c r="O82" s="60"/>
      <c r="P82" s="60"/>
      <c r="Q82" s="60"/>
      <c r="R82" s="60"/>
      <c r="S82" s="60"/>
      <c r="T82" s="60"/>
      <c r="U82" s="60"/>
      <c r="V82" s="61"/>
    </row>
    <row r="83" spans="1:22" x14ac:dyDescent="0.2">
      <c r="A83">
        <f t="shared" si="22"/>
        <v>79</v>
      </c>
      <c r="B83" s="363">
        <f t="shared" ca="1" si="12"/>
        <v>0</v>
      </c>
      <c r="C83" s="364">
        <f t="shared" ca="1" si="13"/>
        <v>0</v>
      </c>
      <c r="D83" s="365">
        <f t="shared" ca="1" si="14"/>
        <v>0</v>
      </c>
      <c r="E83" s="365">
        <f t="shared" ca="1" si="15"/>
        <v>0</v>
      </c>
      <c r="F83" s="365">
        <f t="shared" ca="1" si="16"/>
        <v>0</v>
      </c>
      <c r="G83" s="365">
        <f t="shared" ca="1" si="17"/>
        <v>0</v>
      </c>
      <c r="H83" s="365">
        <f t="shared" ca="1" si="18"/>
        <v>0</v>
      </c>
      <c r="I83" s="365">
        <f t="shared" ca="1" si="19"/>
        <v>0</v>
      </c>
      <c r="J83" s="364">
        <f t="shared" ca="1" si="20"/>
        <v>0</v>
      </c>
      <c r="K83" s="366">
        <f t="shared" ca="1" si="21"/>
        <v>0</v>
      </c>
      <c r="M83" s="60"/>
      <c r="N83" s="60"/>
      <c r="O83" s="60"/>
      <c r="P83" s="60"/>
      <c r="Q83" s="60"/>
      <c r="R83" s="60"/>
      <c r="S83" s="60"/>
      <c r="T83" s="60"/>
      <c r="U83" s="60"/>
      <c r="V83" s="61"/>
    </row>
    <row r="84" spans="1:22" x14ac:dyDescent="0.2">
      <c r="A84">
        <f t="shared" si="22"/>
        <v>80</v>
      </c>
      <c r="B84" s="363">
        <f t="shared" ca="1" si="12"/>
        <v>0</v>
      </c>
      <c r="C84" s="364">
        <f t="shared" ca="1" si="13"/>
        <v>0</v>
      </c>
      <c r="D84" s="365">
        <f t="shared" ca="1" si="14"/>
        <v>0</v>
      </c>
      <c r="E84" s="365">
        <f t="shared" ca="1" si="15"/>
        <v>0</v>
      </c>
      <c r="F84" s="365">
        <f t="shared" ca="1" si="16"/>
        <v>0</v>
      </c>
      <c r="G84" s="365">
        <f t="shared" ca="1" si="17"/>
        <v>0</v>
      </c>
      <c r="H84" s="365">
        <f t="shared" ca="1" si="18"/>
        <v>0</v>
      </c>
      <c r="I84" s="365">
        <f t="shared" ca="1" si="19"/>
        <v>0</v>
      </c>
      <c r="J84" s="364">
        <f t="shared" ca="1" si="20"/>
        <v>0</v>
      </c>
      <c r="K84" s="366">
        <f t="shared" ca="1" si="21"/>
        <v>0</v>
      </c>
      <c r="M84" s="60"/>
      <c r="N84" s="60"/>
      <c r="O84" s="60"/>
      <c r="P84" s="60"/>
      <c r="Q84" s="60"/>
      <c r="R84" s="60"/>
      <c r="S84" s="60"/>
      <c r="T84" s="60"/>
      <c r="U84" s="60"/>
      <c r="V84" s="61"/>
    </row>
    <row r="85" spans="1:22" x14ac:dyDescent="0.2">
      <c r="A85">
        <f t="shared" si="22"/>
        <v>81</v>
      </c>
      <c r="B85" s="363">
        <f t="shared" ca="1" si="12"/>
        <v>0</v>
      </c>
      <c r="C85" s="364">
        <f t="shared" ca="1" si="13"/>
        <v>0</v>
      </c>
      <c r="D85" s="365">
        <f t="shared" ca="1" si="14"/>
        <v>0</v>
      </c>
      <c r="E85" s="365">
        <f t="shared" ca="1" si="15"/>
        <v>0</v>
      </c>
      <c r="F85" s="365">
        <f t="shared" ca="1" si="16"/>
        <v>0</v>
      </c>
      <c r="G85" s="365">
        <f t="shared" ca="1" si="17"/>
        <v>0</v>
      </c>
      <c r="H85" s="365">
        <f t="shared" ca="1" si="18"/>
        <v>0</v>
      </c>
      <c r="I85" s="365">
        <f t="shared" ca="1" si="19"/>
        <v>0</v>
      </c>
      <c r="J85" s="364">
        <f t="shared" ca="1" si="20"/>
        <v>0</v>
      </c>
      <c r="K85" s="366">
        <f t="shared" ca="1" si="21"/>
        <v>0</v>
      </c>
      <c r="M85" s="60"/>
      <c r="N85" s="60"/>
      <c r="O85" s="60"/>
      <c r="P85" s="60"/>
      <c r="Q85" s="60"/>
      <c r="R85" s="60"/>
      <c r="S85" s="60"/>
      <c r="T85" s="60"/>
      <c r="U85" s="60"/>
      <c r="V85" s="61"/>
    </row>
    <row r="86" spans="1:22" x14ac:dyDescent="0.2">
      <c r="A86">
        <f t="shared" si="22"/>
        <v>82</v>
      </c>
      <c r="B86" s="363">
        <f t="shared" ca="1" si="12"/>
        <v>0</v>
      </c>
      <c r="C86" s="364">
        <f t="shared" ca="1" si="13"/>
        <v>0</v>
      </c>
      <c r="D86" s="365">
        <f t="shared" ca="1" si="14"/>
        <v>0</v>
      </c>
      <c r="E86" s="365">
        <f t="shared" ca="1" si="15"/>
        <v>0</v>
      </c>
      <c r="F86" s="365">
        <f t="shared" ca="1" si="16"/>
        <v>0</v>
      </c>
      <c r="G86" s="365">
        <f t="shared" ca="1" si="17"/>
        <v>0</v>
      </c>
      <c r="H86" s="365">
        <f t="shared" ca="1" si="18"/>
        <v>0</v>
      </c>
      <c r="I86" s="365">
        <f t="shared" ca="1" si="19"/>
        <v>0</v>
      </c>
      <c r="J86" s="364">
        <f t="shared" ca="1" si="20"/>
        <v>0</v>
      </c>
      <c r="K86" s="366">
        <f t="shared" ca="1" si="21"/>
        <v>0</v>
      </c>
      <c r="M86" s="60"/>
      <c r="N86" s="60"/>
      <c r="O86" s="60"/>
      <c r="P86" s="60"/>
      <c r="Q86" s="60"/>
      <c r="R86" s="60"/>
      <c r="S86" s="60"/>
      <c r="T86" s="60"/>
      <c r="U86" s="60"/>
      <c r="V86" s="61"/>
    </row>
    <row r="87" spans="1:22" x14ac:dyDescent="0.2">
      <c r="A87">
        <f t="shared" si="22"/>
        <v>83</v>
      </c>
      <c r="B87" s="363">
        <f t="shared" ca="1" si="12"/>
        <v>0</v>
      </c>
      <c r="C87" s="364">
        <f t="shared" ca="1" si="13"/>
        <v>0</v>
      </c>
      <c r="D87" s="365">
        <f t="shared" ca="1" si="14"/>
        <v>0</v>
      </c>
      <c r="E87" s="365">
        <f t="shared" ca="1" si="15"/>
        <v>0</v>
      </c>
      <c r="F87" s="365">
        <f t="shared" ca="1" si="16"/>
        <v>0</v>
      </c>
      <c r="G87" s="365">
        <f t="shared" ca="1" si="17"/>
        <v>0</v>
      </c>
      <c r="H87" s="365">
        <f t="shared" ca="1" si="18"/>
        <v>0</v>
      </c>
      <c r="I87" s="365">
        <f t="shared" ca="1" si="19"/>
        <v>0</v>
      </c>
      <c r="J87" s="364">
        <f t="shared" ca="1" si="20"/>
        <v>0</v>
      </c>
      <c r="K87" s="366">
        <f t="shared" ca="1" si="21"/>
        <v>0</v>
      </c>
      <c r="M87" s="60"/>
      <c r="N87" s="60"/>
      <c r="O87" s="60"/>
      <c r="P87" s="60"/>
      <c r="Q87" s="60"/>
      <c r="R87" s="60"/>
      <c r="S87" s="60"/>
      <c r="T87" s="60"/>
      <c r="U87" s="60"/>
      <c r="V87" s="61"/>
    </row>
    <row r="88" spans="1:22" x14ac:dyDescent="0.2">
      <c r="A88">
        <f t="shared" si="22"/>
        <v>84</v>
      </c>
      <c r="B88" s="363">
        <f t="shared" ca="1" si="12"/>
        <v>0</v>
      </c>
      <c r="C88" s="364">
        <f t="shared" ca="1" si="13"/>
        <v>0</v>
      </c>
      <c r="D88" s="365">
        <f t="shared" ca="1" si="14"/>
        <v>0</v>
      </c>
      <c r="E88" s="365">
        <f t="shared" ca="1" si="15"/>
        <v>0</v>
      </c>
      <c r="F88" s="365">
        <f t="shared" ca="1" si="16"/>
        <v>0</v>
      </c>
      <c r="G88" s="365">
        <f t="shared" ca="1" si="17"/>
        <v>0</v>
      </c>
      <c r="H88" s="365">
        <f t="shared" ca="1" si="18"/>
        <v>0</v>
      </c>
      <c r="I88" s="365">
        <f t="shared" ca="1" si="19"/>
        <v>0</v>
      </c>
      <c r="J88" s="364">
        <f t="shared" ca="1" si="20"/>
        <v>0</v>
      </c>
      <c r="K88" s="366">
        <f t="shared" ca="1" si="21"/>
        <v>0</v>
      </c>
      <c r="M88" s="60"/>
      <c r="N88" s="60"/>
      <c r="O88" s="60"/>
      <c r="P88" s="60"/>
      <c r="Q88" s="60"/>
      <c r="R88" s="60"/>
      <c r="S88" s="60"/>
      <c r="T88" s="60"/>
      <c r="U88" s="60"/>
      <c r="V88" s="61"/>
    </row>
    <row r="89" spans="1:22" x14ac:dyDescent="0.2">
      <c r="A89">
        <f t="shared" si="22"/>
        <v>85</v>
      </c>
      <c r="B89" s="363">
        <f t="shared" ca="1" si="12"/>
        <v>0</v>
      </c>
      <c r="C89" s="364">
        <f t="shared" ca="1" si="13"/>
        <v>0</v>
      </c>
      <c r="D89" s="365">
        <f t="shared" ca="1" si="14"/>
        <v>0</v>
      </c>
      <c r="E89" s="365">
        <f t="shared" ca="1" si="15"/>
        <v>0</v>
      </c>
      <c r="F89" s="365">
        <f t="shared" ca="1" si="16"/>
        <v>0</v>
      </c>
      <c r="G89" s="365">
        <f t="shared" ca="1" si="17"/>
        <v>0</v>
      </c>
      <c r="H89" s="365">
        <f t="shared" ca="1" si="18"/>
        <v>0</v>
      </c>
      <c r="I89" s="365">
        <f t="shared" ca="1" si="19"/>
        <v>0</v>
      </c>
      <c r="J89" s="364">
        <f t="shared" ca="1" si="20"/>
        <v>0</v>
      </c>
      <c r="K89" s="366">
        <f t="shared" ca="1" si="21"/>
        <v>0</v>
      </c>
      <c r="M89" s="60"/>
      <c r="N89" s="60"/>
      <c r="O89" s="60"/>
      <c r="P89" s="60"/>
      <c r="Q89" s="60"/>
      <c r="R89" s="60"/>
      <c r="S89" s="60"/>
      <c r="T89" s="60"/>
      <c r="U89" s="60"/>
      <c r="V89" s="61"/>
    </row>
    <row r="90" spans="1:22" x14ac:dyDescent="0.2">
      <c r="A90">
        <f t="shared" si="22"/>
        <v>86</v>
      </c>
      <c r="B90" s="363">
        <f t="shared" ca="1" si="12"/>
        <v>0</v>
      </c>
      <c r="C90" s="364">
        <f t="shared" ca="1" si="13"/>
        <v>0</v>
      </c>
      <c r="D90" s="365">
        <f t="shared" ca="1" si="14"/>
        <v>0</v>
      </c>
      <c r="E90" s="365">
        <f t="shared" ca="1" si="15"/>
        <v>0</v>
      </c>
      <c r="F90" s="365">
        <f t="shared" ca="1" si="16"/>
        <v>0</v>
      </c>
      <c r="G90" s="365">
        <f t="shared" ca="1" si="17"/>
        <v>0</v>
      </c>
      <c r="H90" s="365">
        <f t="shared" ca="1" si="18"/>
        <v>0</v>
      </c>
      <c r="I90" s="365">
        <f t="shared" ca="1" si="19"/>
        <v>0</v>
      </c>
      <c r="J90" s="364">
        <f t="shared" ca="1" si="20"/>
        <v>0</v>
      </c>
      <c r="K90" s="366">
        <f t="shared" ca="1" si="21"/>
        <v>0</v>
      </c>
      <c r="M90" s="60"/>
      <c r="N90" s="60"/>
      <c r="O90" s="60"/>
      <c r="P90" s="60"/>
      <c r="Q90" s="60"/>
      <c r="R90" s="60"/>
      <c r="S90" s="60"/>
      <c r="T90" s="60"/>
      <c r="U90" s="60"/>
      <c r="V90" s="61"/>
    </row>
    <row r="91" spans="1:22" x14ac:dyDescent="0.2">
      <c r="A91">
        <f t="shared" si="22"/>
        <v>87</v>
      </c>
      <c r="B91" s="363">
        <f t="shared" ca="1" si="12"/>
        <v>0</v>
      </c>
      <c r="C91" s="364">
        <f t="shared" ca="1" si="13"/>
        <v>0</v>
      </c>
      <c r="D91" s="365">
        <f t="shared" ca="1" si="14"/>
        <v>0</v>
      </c>
      <c r="E91" s="365">
        <f t="shared" ca="1" si="15"/>
        <v>0</v>
      </c>
      <c r="F91" s="365">
        <f t="shared" ca="1" si="16"/>
        <v>0</v>
      </c>
      <c r="G91" s="365">
        <f t="shared" ca="1" si="17"/>
        <v>0</v>
      </c>
      <c r="H91" s="365">
        <f t="shared" ca="1" si="18"/>
        <v>0</v>
      </c>
      <c r="I91" s="365">
        <f t="shared" ca="1" si="19"/>
        <v>0</v>
      </c>
      <c r="J91" s="364">
        <f t="shared" ca="1" si="20"/>
        <v>0</v>
      </c>
      <c r="K91" s="366">
        <f t="shared" ca="1" si="21"/>
        <v>0</v>
      </c>
      <c r="M91" s="60"/>
      <c r="N91" s="60"/>
      <c r="O91" s="60"/>
      <c r="P91" s="60"/>
      <c r="Q91" s="60"/>
      <c r="R91" s="60"/>
      <c r="S91" s="60"/>
      <c r="T91" s="60"/>
      <c r="U91" s="60"/>
      <c r="V91" s="61"/>
    </row>
    <row r="92" spans="1:22" x14ac:dyDescent="0.2">
      <c r="A92">
        <f t="shared" si="22"/>
        <v>88</v>
      </c>
      <c r="B92" s="363">
        <f t="shared" ca="1" si="12"/>
        <v>0</v>
      </c>
      <c r="C92" s="364">
        <f t="shared" ca="1" si="13"/>
        <v>0</v>
      </c>
      <c r="D92" s="365">
        <f t="shared" ca="1" si="14"/>
        <v>0</v>
      </c>
      <c r="E92" s="365">
        <f t="shared" ca="1" si="15"/>
        <v>0</v>
      </c>
      <c r="F92" s="365">
        <f t="shared" ca="1" si="16"/>
        <v>0</v>
      </c>
      <c r="G92" s="365">
        <f t="shared" ca="1" si="17"/>
        <v>0</v>
      </c>
      <c r="H92" s="365">
        <f t="shared" ca="1" si="18"/>
        <v>0</v>
      </c>
      <c r="I92" s="365">
        <f t="shared" ca="1" si="19"/>
        <v>0</v>
      </c>
      <c r="J92" s="364">
        <f t="shared" ca="1" si="20"/>
        <v>0</v>
      </c>
      <c r="K92" s="366">
        <f t="shared" ca="1" si="21"/>
        <v>0</v>
      </c>
      <c r="M92" s="60"/>
      <c r="N92" s="60"/>
      <c r="O92" s="60"/>
      <c r="P92" s="60"/>
      <c r="Q92" s="60"/>
      <c r="R92" s="60"/>
      <c r="S92" s="60"/>
      <c r="T92" s="60"/>
      <c r="U92" s="60"/>
      <c r="V92" s="61"/>
    </row>
    <row r="93" spans="1:22" x14ac:dyDescent="0.2">
      <c r="A93">
        <f t="shared" si="22"/>
        <v>89</v>
      </c>
      <c r="B93" s="363">
        <f t="shared" ca="1" si="12"/>
        <v>0</v>
      </c>
      <c r="C93" s="364">
        <f t="shared" ca="1" si="13"/>
        <v>0</v>
      </c>
      <c r="D93" s="365">
        <f t="shared" ca="1" si="14"/>
        <v>0</v>
      </c>
      <c r="E93" s="365">
        <f t="shared" ca="1" si="15"/>
        <v>0</v>
      </c>
      <c r="F93" s="365">
        <f t="shared" ca="1" si="16"/>
        <v>0</v>
      </c>
      <c r="G93" s="365">
        <f t="shared" ca="1" si="17"/>
        <v>0</v>
      </c>
      <c r="H93" s="365">
        <f t="shared" ca="1" si="18"/>
        <v>0</v>
      </c>
      <c r="I93" s="365">
        <f t="shared" ca="1" si="19"/>
        <v>0</v>
      </c>
      <c r="J93" s="364">
        <f t="shared" ca="1" si="20"/>
        <v>0</v>
      </c>
      <c r="K93" s="366">
        <f t="shared" ca="1" si="21"/>
        <v>0</v>
      </c>
      <c r="M93" s="60"/>
      <c r="N93" s="60"/>
      <c r="O93" s="60"/>
      <c r="P93" s="60"/>
      <c r="Q93" s="60"/>
      <c r="R93" s="60"/>
      <c r="S93" s="60"/>
      <c r="T93" s="60"/>
      <c r="U93" s="60"/>
      <c r="V93" s="61"/>
    </row>
    <row r="94" spans="1:22" x14ac:dyDescent="0.2">
      <c r="A94">
        <f t="shared" si="22"/>
        <v>90</v>
      </c>
      <c r="B94" s="363">
        <f t="shared" ca="1" si="12"/>
        <v>0</v>
      </c>
      <c r="C94" s="364">
        <f t="shared" ca="1" si="13"/>
        <v>0</v>
      </c>
      <c r="D94" s="365">
        <f t="shared" ca="1" si="14"/>
        <v>0</v>
      </c>
      <c r="E94" s="365">
        <f t="shared" ca="1" si="15"/>
        <v>0</v>
      </c>
      <c r="F94" s="365">
        <f t="shared" ca="1" si="16"/>
        <v>0</v>
      </c>
      <c r="G94" s="365">
        <f t="shared" ca="1" si="17"/>
        <v>0</v>
      </c>
      <c r="H94" s="365">
        <f t="shared" ca="1" si="18"/>
        <v>0</v>
      </c>
      <c r="I94" s="365">
        <f t="shared" ca="1" si="19"/>
        <v>0</v>
      </c>
      <c r="J94" s="364">
        <f t="shared" ca="1" si="20"/>
        <v>0</v>
      </c>
      <c r="K94" s="366">
        <f t="shared" ca="1" si="21"/>
        <v>0</v>
      </c>
      <c r="M94" s="60"/>
      <c r="N94" s="60"/>
      <c r="O94" s="60"/>
      <c r="P94" s="60"/>
      <c r="Q94" s="60"/>
      <c r="R94" s="60"/>
      <c r="S94" s="60"/>
      <c r="T94" s="60"/>
      <c r="U94" s="60"/>
      <c r="V94" s="61"/>
    </row>
    <row r="95" spans="1:22" x14ac:dyDescent="0.2">
      <c r="A95">
        <f t="shared" si="22"/>
        <v>91</v>
      </c>
      <c r="B95" s="363">
        <f t="shared" ca="1" si="12"/>
        <v>0</v>
      </c>
      <c r="C95" s="364">
        <f t="shared" ca="1" si="13"/>
        <v>0</v>
      </c>
      <c r="D95" s="365">
        <f t="shared" ca="1" si="14"/>
        <v>0</v>
      </c>
      <c r="E95" s="365">
        <f t="shared" ca="1" si="15"/>
        <v>0</v>
      </c>
      <c r="F95" s="365">
        <f t="shared" ca="1" si="16"/>
        <v>0</v>
      </c>
      <c r="G95" s="365">
        <f t="shared" ca="1" si="17"/>
        <v>0</v>
      </c>
      <c r="H95" s="365">
        <f t="shared" ca="1" si="18"/>
        <v>0</v>
      </c>
      <c r="I95" s="365">
        <f t="shared" ca="1" si="19"/>
        <v>0</v>
      </c>
      <c r="J95" s="364">
        <f t="shared" ca="1" si="20"/>
        <v>0</v>
      </c>
      <c r="K95" s="366">
        <f t="shared" ca="1" si="21"/>
        <v>0</v>
      </c>
      <c r="M95" s="60"/>
      <c r="N95" s="60"/>
      <c r="O95" s="60"/>
      <c r="P95" s="60"/>
      <c r="Q95" s="60"/>
      <c r="R95" s="60"/>
      <c r="S95" s="60"/>
      <c r="T95" s="60"/>
      <c r="U95" s="60"/>
      <c r="V95" s="61"/>
    </row>
    <row r="96" spans="1:22" x14ac:dyDescent="0.2">
      <c r="A96">
        <f t="shared" si="22"/>
        <v>92</v>
      </c>
      <c r="B96" s="363">
        <f t="shared" ca="1" si="12"/>
        <v>0</v>
      </c>
      <c r="C96" s="364">
        <f t="shared" ca="1" si="13"/>
        <v>0</v>
      </c>
      <c r="D96" s="365">
        <f t="shared" ca="1" si="14"/>
        <v>0</v>
      </c>
      <c r="E96" s="365">
        <f t="shared" ca="1" si="15"/>
        <v>0</v>
      </c>
      <c r="F96" s="365">
        <f t="shared" ca="1" si="16"/>
        <v>0</v>
      </c>
      <c r="G96" s="365">
        <f t="shared" ca="1" si="17"/>
        <v>0</v>
      </c>
      <c r="H96" s="365">
        <f t="shared" ca="1" si="18"/>
        <v>0</v>
      </c>
      <c r="I96" s="365">
        <f t="shared" ca="1" si="19"/>
        <v>0</v>
      </c>
      <c r="J96" s="364">
        <f t="shared" ca="1" si="20"/>
        <v>0</v>
      </c>
      <c r="K96" s="366">
        <f t="shared" ca="1" si="21"/>
        <v>0</v>
      </c>
      <c r="M96" s="60"/>
      <c r="N96" s="60"/>
      <c r="O96" s="60"/>
      <c r="P96" s="60"/>
      <c r="Q96" s="60"/>
      <c r="R96" s="60"/>
      <c r="S96" s="60"/>
      <c r="T96" s="60"/>
      <c r="U96" s="60"/>
      <c r="V96" s="61"/>
    </row>
    <row r="97" spans="1:22" x14ac:dyDescent="0.2">
      <c r="A97">
        <f t="shared" si="22"/>
        <v>93</v>
      </c>
      <c r="B97" s="363">
        <f t="shared" ca="1" si="12"/>
        <v>0</v>
      </c>
      <c r="C97" s="364">
        <f t="shared" ca="1" si="13"/>
        <v>0</v>
      </c>
      <c r="D97" s="365">
        <f t="shared" ca="1" si="14"/>
        <v>0</v>
      </c>
      <c r="E97" s="365">
        <f t="shared" ca="1" si="15"/>
        <v>0</v>
      </c>
      <c r="F97" s="365">
        <f t="shared" ca="1" si="16"/>
        <v>0</v>
      </c>
      <c r="G97" s="365">
        <f t="shared" ca="1" si="17"/>
        <v>0</v>
      </c>
      <c r="H97" s="365">
        <f t="shared" ca="1" si="18"/>
        <v>0</v>
      </c>
      <c r="I97" s="365">
        <f t="shared" ca="1" si="19"/>
        <v>0</v>
      </c>
      <c r="J97" s="364">
        <f t="shared" ca="1" si="20"/>
        <v>0</v>
      </c>
      <c r="K97" s="366">
        <f t="shared" ca="1" si="21"/>
        <v>0</v>
      </c>
      <c r="M97" s="60"/>
      <c r="N97" s="60"/>
      <c r="O97" s="60"/>
      <c r="P97" s="60"/>
      <c r="Q97" s="60"/>
      <c r="R97" s="60"/>
      <c r="S97" s="60"/>
      <c r="T97" s="60"/>
      <c r="U97" s="60"/>
      <c r="V97" s="61"/>
    </row>
    <row r="98" spans="1:22" x14ac:dyDescent="0.2">
      <c r="A98">
        <f t="shared" si="22"/>
        <v>94</v>
      </c>
      <c r="B98" s="363">
        <f t="shared" ca="1" si="12"/>
        <v>0</v>
      </c>
      <c r="C98" s="364">
        <f t="shared" ca="1" si="13"/>
        <v>0</v>
      </c>
      <c r="D98" s="365">
        <f t="shared" ca="1" si="14"/>
        <v>0</v>
      </c>
      <c r="E98" s="365">
        <f t="shared" ca="1" si="15"/>
        <v>0</v>
      </c>
      <c r="F98" s="365">
        <f t="shared" ca="1" si="16"/>
        <v>0</v>
      </c>
      <c r="G98" s="365">
        <f t="shared" ca="1" si="17"/>
        <v>0</v>
      </c>
      <c r="H98" s="365">
        <f t="shared" ca="1" si="18"/>
        <v>0</v>
      </c>
      <c r="I98" s="365">
        <f t="shared" ca="1" si="19"/>
        <v>0</v>
      </c>
      <c r="J98" s="364">
        <f t="shared" ca="1" si="20"/>
        <v>0</v>
      </c>
      <c r="K98" s="366">
        <f t="shared" ca="1" si="21"/>
        <v>0</v>
      </c>
      <c r="M98" s="60"/>
      <c r="N98" s="60"/>
      <c r="O98" s="60"/>
      <c r="P98" s="60"/>
      <c r="Q98" s="60"/>
      <c r="R98" s="60"/>
      <c r="S98" s="60"/>
      <c r="T98" s="60"/>
      <c r="U98" s="60"/>
      <c r="V98" s="61"/>
    </row>
    <row r="99" spans="1:22" x14ac:dyDescent="0.2">
      <c r="A99">
        <f t="shared" si="22"/>
        <v>95</v>
      </c>
      <c r="B99" s="363">
        <f t="shared" ca="1" si="12"/>
        <v>0</v>
      </c>
      <c r="C99" s="364">
        <f t="shared" ca="1" si="13"/>
        <v>0</v>
      </c>
      <c r="D99" s="365">
        <f t="shared" ca="1" si="14"/>
        <v>0</v>
      </c>
      <c r="E99" s="365">
        <f t="shared" ca="1" si="15"/>
        <v>0</v>
      </c>
      <c r="F99" s="365">
        <f t="shared" ca="1" si="16"/>
        <v>0</v>
      </c>
      <c r="G99" s="365">
        <f t="shared" ca="1" si="17"/>
        <v>0</v>
      </c>
      <c r="H99" s="365">
        <f t="shared" ca="1" si="18"/>
        <v>0</v>
      </c>
      <c r="I99" s="365">
        <f t="shared" ca="1" si="19"/>
        <v>0</v>
      </c>
      <c r="J99" s="364">
        <f t="shared" ca="1" si="20"/>
        <v>0</v>
      </c>
      <c r="K99" s="366">
        <f t="shared" ca="1" si="21"/>
        <v>0</v>
      </c>
      <c r="M99" s="60"/>
      <c r="N99" s="60"/>
      <c r="O99" s="60"/>
      <c r="P99" s="60"/>
      <c r="Q99" s="60"/>
      <c r="R99" s="60"/>
      <c r="S99" s="60"/>
      <c r="T99" s="60"/>
      <c r="U99" s="60"/>
      <c r="V99" s="61"/>
    </row>
    <row r="100" spans="1:22" x14ac:dyDescent="0.2">
      <c r="A100">
        <f t="shared" si="22"/>
        <v>96</v>
      </c>
      <c r="B100" s="363">
        <f t="shared" ca="1" si="12"/>
        <v>0</v>
      </c>
      <c r="C100" s="364">
        <f t="shared" ca="1" si="13"/>
        <v>0</v>
      </c>
      <c r="D100" s="365">
        <f t="shared" ca="1" si="14"/>
        <v>0</v>
      </c>
      <c r="E100" s="365">
        <f t="shared" ca="1" si="15"/>
        <v>0</v>
      </c>
      <c r="F100" s="365">
        <f t="shared" ca="1" si="16"/>
        <v>0</v>
      </c>
      <c r="G100" s="365">
        <f t="shared" ca="1" si="17"/>
        <v>0</v>
      </c>
      <c r="H100" s="365">
        <f t="shared" ca="1" si="18"/>
        <v>0</v>
      </c>
      <c r="I100" s="365">
        <f t="shared" ca="1" si="19"/>
        <v>0</v>
      </c>
      <c r="J100" s="364">
        <f t="shared" ca="1" si="20"/>
        <v>0</v>
      </c>
      <c r="K100" s="366">
        <f t="shared" ca="1" si="21"/>
        <v>0</v>
      </c>
      <c r="M100" s="60"/>
      <c r="N100" s="60"/>
      <c r="O100" s="60"/>
      <c r="P100" s="60"/>
      <c r="Q100" s="60"/>
      <c r="R100" s="60"/>
      <c r="S100" s="60"/>
      <c r="T100" s="60"/>
      <c r="U100" s="60"/>
      <c r="V100" s="61"/>
    </row>
    <row r="101" spans="1:22" x14ac:dyDescent="0.2">
      <c r="A101">
        <f t="shared" si="22"/>
        <v>97</v>
      </c>
      <c r="B101" s="363">
        <f t="shared" ca="1" si="12"/>
        <v>0</v>
      </c>
      <c r="C101" s="364">
        <f t="shared" ca="1" si="13"/>
        <v>0</v>
      </c>
      <c r="D101" s="365">
        <f t="shared" ca="1" si="14"/>
        <v>0</v>
      </c>
      <c r="E101" s="365">
        <f t="shared" ca="1" si="15"/>
        <v>0</v>
      </c>
      <c r="F101" s="365">
        <f t="shared" ca="1" si="16"/>
        <v>0</v>
      </c>
      <c r="G101" s="365">
        <f t="shared" ca="1" si="17"/>
        <v>0</v>
      </c>
      <c r="H101" s="365">
        <f t="shared" ca="1" si="18"/>
        <v>0</v>
      </c>
      <c r="I101" s="365">
        <f t="shared" ca="1" si="19"/>
        <v>0</v>
      </c>
      <c r="J101" s="364">
        <f t="shared" ca="1" si="20"/>
        <v>0</v>
      </c>
      <c r="K101" s="366">
        <f t="shared" ca="1" si="21"/>
        <v>0</v>
      </c>
      <c r="M101" s="60"/>
      <c r="N101" s="60"/>
      <c r="O101" s="60"/>
      <c r="P101" s="60"/>
      <c r="Q101" s="60"/>
      <c r="R101" s="60"/>
      <c r="S101" s="60"/>
      <c r="T101" s="60"/>
      <c r="U101" s="60"/>
      <c r="V101" s="61"/>
    </row>
    <row r="102" spans="1:22" x14ac:dyDescent="0.2">
      <c r="A102">
        <f t="shared" si="22"/>
        <v>98</v>
      </c>
      <c r="B102" s="363">
        <f t="shared" ca="1" si="12"/>
        <v>0</v>
      </c>
      <c r="C102" s="364">
        <f t="shared" ca="1" si="13"/>
        <v>0</v>
      </c>
      <c r="D102" s="365">
        <f t="shared" ca="1" si="14"/>
        <v>0</v>
      </c>
      <c r="E102" s="365">
        <f t="shared" ca="1" si="15"/>
        <v>0</v>
      </c>
      <c r="F102" s="365">
        <f t="shared" ca="1" si="16"/>
        <v>0</v>
      </c>
      <c r="G102" s="365">
        <f t="shared" ca="1" si="17"/>
        <v>0</v>
      </c>
      <c r="H102" s="365">
        <f t="shared" ca="1" si="18"/>
        <v>0</v>
      </c>
      <c r="I102" s="365">
        <f t="shared" ca="1" si="19"/>
        <v>0</v>
      </c>
      <c r="J102" s="364">
        <f t="shared" ca="1" si="20"/>
        <v>0</v>
      </c>
      <c r="K102" s="366">
        <f t="shared" ca="1" si="21"/>
        <v>0</v>
      </c>
      <c r="M102" s="60"/>
      <c r="N102" s="60"/>
      <c r="O102" s="60"/>
      <c r="P102" s="60"/>
      <c r="Q102" s="60"/>
      <c r="R102" s="60"/>
      <c r="S102" s="60"/>
      <c r="T102" s="60"/>
      <c r="U102" s="60"/>
      <c r="V102" s="61"/>
    </row>
    <row r="103" spans="1:22" x14ac:dyDescent="0.2">
      <c r="A103">
        <f t="shared" si="22"/>
        <v>99</v>
      </c>
      <c r="B103" s="363">
        <f t="shared" ca="1" si="12"/>
        <v>0</v>
      </c>
      <c r="C103" s="364">
        <f t="shared" ca="1" si="13"/>
        <v>0</v>
      </c>
      <c r="D103" s="365">
        <f t="shared" ca="1" si="14"/>
        <v>0</v>
      </c>
      <c r="E103" s="365">
        <f t="shared" ca="1" si="15"/>
        <v>0</v>
      </c>
      <c r="F103" s="365">
        <f t="shared" ca="1" si="16"/>
        <v>0</v>
      </c>
      <c r="G103" s="365">
        <f t="shared" ca="1" si="17"/>
        <v>0</v>
      </c>
      <c r="H103" s="365">
        <f t="shared" ca="1" si="18"/>
        <v>0</v>
      </c>
      <c r="I103" s="365">
        <f t="shared" ca="1" si="19"/>
        <v>0</v>
      </c>
      <c r="J103" s="364">
        <f t="shared" ca="1" si="20"/>
        <v>0</v>
      </c>
      <c r="K103" s="366">
        <f t="shared" ca="1" si="21"/>
        <v>0</v>
      </c>
      <c r="M103" s="60"/>
      <c r="N103" s="60"/>
      <c r="O103" s="60"/>
      <c r="P103" s="60"/>
      <c r="Q103" s="60"/>
      <c r="R103" s="60"/>
      <c r="S103" s="60"/>
      <c r="T103" s="60"/>
      <c r="U103" s="60"/>
      <c r="V103" s="61"/>
    </row>
    <row r="104" spans="1:22" x14ac:dyDescent="0.2">
      <c r="A104">
        <f t="shared" si="22"/>
        <v>100</v>
      </c>
      <c r="B104" s="363">
        <f t="shared" ca="1" si="12"/>
        <v>0</v>
      </c>
      <c r="C104" s="364">
        <f t="shared" ca="1" si="13"/>
        <v>0</v>
      </c>
      <c r="D104" s="365">
        <f t="shared" ca="1" si="14"/>
        <v>0</v>
      </c>
      <c r="E104" s="365">
        <f t="shared" ca="1" si="15"/>
        <v>0</v>
      </c>
      <c r="F104" s="365">
        <f t="shared" ca="1" si="16"/>
        <v>0</v>
      </c>
      <c r="G104" s="365">
        <f t="shared" ca="1" si="17"/>
        <v>0</v>
      </c>
      <c r="H104" s="365">
        <f t="shared" ca="1" si="18"/>
        <v>0</v>
      </c>
      <c r="I104" s="365">
        <f t="shared" ca="1" si="19"/>
        <v>0</v>
      </c>
      <c r="J104" s="364">
        <f t="shared" ca="1" si="20"/>
        <v>0</v>
      </c>
      <c r="K104" s="366">
        <f t="shared" ca="1" si="21"/>
        <v>0</v>
      </c>
      <c r="M104" s="60"/>
      <c r="N104" s="60"/>
      <c r="O104" s="60"/>
      <c r="P104" s="60"/>
      <c r="Q104" s="60"/>
      <c r="R104" s="60"/>
      <c r="S104" s="60"/>
      <c r="T104" s="60"/>
      <c r="U104" s="60"/>
      <c r="V104" s="61"/>
    </row>
    <row r="105" spans="1:22" x14ac:dyDescent="0.2">
      <c r="A105">
        <f t="shared" si="22"/>
        <v>101</v>
      </c>
      <c r="B105" s="363">
        <f t="shared" ca="1" si="12"/>
        <v>0</v>
      </c>
      <c r="C105" s="364">
        <f t="shared" ca="1" si="13"/>
        <v>0</v>
      </c>
      <c r="D105" s="365">
        <f t="shared" ca="1" si="14"/>
        <v>0</v>
      </c>
      <c r="E105" s="365">
        <f t="shared" ca="1" si="15"/>
        <v>0</v>
      </c>
      <c r="F105" s="365">
        <f t="shared" ca="1" si="16"/>
        <v>0</v>
      </c>
      <c r="G105" s="365">
        <f t="shared" ca="1" si="17"/>
        <v>0</v>
      </c>
      <c r="H105" s="365">
        <f t="shared" ca="1" si="18"/>
        <v>0</v>
      </c>
      <c r="I105" s="365">
        <f t="shared" ca="1" si="19"/>
        <v>0</v>
      </c>
      <c r="J105" s="364">
        <f t="shared" ca="1" si="20"/>
        <v>0</v>
      </c>
      <c r="K105" s="366">
        <f t="shared" ca="1" si="21"/>
        <v>0</v>
      </c>
      <c r="M105" s="60"/>
      <c r="N105" s="60"/>
      <c r="O105" s="60"/>
      <c r="P105" s="60"/>
      <c r="Q105" s="60"/>
      <c r="R105" s="60"/>
      <c r="S105" s="60"/>
      <c r="T105" s="60"/>
      <c r="U105" s="60"/>
      <c r="V105" s="61"/>
    </row>
    <row r="106" spans="1:22" x14ac:dyDescent="0.2">
      <c r="A106">
        <f t="shared" si="22"/>
        <v>102</v>
      </c>
      <c r="B106" s="363">
        <f t="shared" ca="1" si="12"/>
        <v>0</v>
      </c>
      <c r="C106" s="364">
        <f t="shared" ca="1" si="13"/>
        <v>0</v>
      </c>
      <c r="D106" s="365">
        <f t="shared" ca="1" si="14"/>
        <v>0</v>
      </c>
      <c r="E106" s="365">
        <f t="shared" ca="1" si="15"/>
        <v>0</v>
      </c>
      <c r="F106" s="365">
        <f t="shared" ca="1" si="16"/>
        <v>0</v>
      </c>
      <c r="G106" s="365">
        <f t="shared" ca="1" si="17"/>
        <v>0</v>
      </c>
      <c r="H106" s="365">
        <f t="shared" ca="1" si="18"/>
        <v>0</v>
      </c>
      <c r="I106" s="365">
        <f t="shared" ca="1" si="19"/>
        <v>0</v>
      </c>
      <c r="J106" s="364">
        <f t="shared" ca="1" si="20"/>
        <v>0</v>
      </c>
      <c r="K106" s="366">
        <f t="shared" ca="1" si="21"/>
        <v>0</v>
      </c>
      <c r="M106" s="60"/>
      <c r="N106" s="60"/>
      <c r="O106" s="60"/>
      <c r="P106" s="60"/>
      <c r="Q106" s="60"/>
      <c r="R106" s="60"/>
      <c r="S106" s="60"/>
      <c r="T106" s="60"/>
      <c r="U106" s="60"/>
      <c r="V106" s="61"/>
    </row>
    <row r="107" spans="1:22" x14ac:dyDescent="0.2">
      <c r="A107">
        <f t="shared" si="22"/>
        <v>103</v>
      </c>
      <c r="B107" s="363">
        <f t="shared" ca="1" si="12"/>
        <v>0</v>
      </c>
      <c r="C107" s="364">
        <f t="shared" ca="1" si="13"/>
        <v>0</v>
      </c>
      <c r="D107" s="365">
        <f t="shared" ca="1" si="14"/>
        <v>0</v>
      </c>
      <c r="E107" s="365">
        <f t="shared" ca="1" si="15"/>
        <v>0</v>
      </c>
      <c r="F107" s="365">
        <f t="shared" ca="1" si="16"/>
        <v>0</v>
      </c>
      <c r="G107" s="365">
        <f t="shared" ca="1" si="17"/>
        <v>0</v>
      </c>
      <c r="H107" s="365">
        <f t="shared" ca="1" si="18"/>
        <v>0</v>
      </c>
      <c r="I107" s="365">
        <f t="shared" ca="1" si="19"/>
        <v>0</v>
      </c>
      <c r="J107" s="364">
        <f t="shared" ca="1" si="20"/>
        <v>0</v>
      </c>
      <c r="K107" s="366">
        <f t="shared" ca="1" si="21"/>
        <v>0</v>
      </c>
      <c r="M107" s="60"/>
      <c r="N107" s="60"/>
      <c r="O107" s="60"/>
      <c r="P107" s="60"/>
      <c r="Q107" s="60"/>
      <c r="R107" s="60"/>
      <c r="S107" s="60"/>
      <c r="T107" s="60"/>
      <c r="U107" s="60"/>
      <c r="V107" s="61"/>
    </row>
    <row r="108" spans="1:22" x14ac:dyDescent="0.2">
      <c r="A108">
        <f t="shared" si="22"/>
        <v>104</v>
      </c>
      <c r="B108" s="363">
        <f t="shared" ca="1" si="12"/>
        <v>0</v>
      </c>
      <c r="C108" s="364">
        <f t="shared" ca="1" si="13"/>
        <v>0</v>
      </c>
      <c r="D108" s="365">
        <f t="shared" ca="1" si="14"/>
        <v>0</v>
      </c>
      <c r="E108" s="365">
        <f t="shared" ca="1" si="15"/>
        <v>0</v>
      </c>
      <c r="F108" s="365">
        <f t="shared" ca="1" si="16"/>
        <v>0</v>
      </c>
      <c r="G108" s="365">
        <f t="shared" ca="1" si="17"/>
        <v>0</v>
      </c>
      <c r="H108" s="365">
        <f t="shared" ca="1" si="18"/>
        <v>0</v>
      </c>
      <c r="I108" s="365">
        <f t="shared" ca="1" si="19"/>
        <v>0</v>
      </c>
      <c r="J108" s="364">
        <f t="shared" ca="1" si="20"/>
        <v>0</v>
      </c>
      <c r="K108" s="366">
        <f t="shared" ca="1" si="21"/>
        <v>0</v>
      </c>
      <c r="M108" s="60"/>
      <c r="N108" s="60"/>
      <c r="O108" s="60"/>
      <c r="P108" s="60"/>
      <c r="Q108" s="60"/>
      <c r="R108" s="60"/>
      <c r="S108" s="60"/>
      <c r="T108" s="60"/>
      <c r="U108" s="60"/>
      <c r="V108" s="61"/>
    </row>
    <row r="109" spans="1:22" x14ac:dyDescent="0.2">
      <c r="A109">
        <f t="shared" si="22"/>
        <v>105</v>
      </c>
      <c r="B109" s="363">
        <f t="shared" ca="1" si="12"/>
        <v>0</v>
      </c>
      <c r="C109" s="364">
        <f t="shared" ca="1" si="13"/>
        <v>0</v>
      </c>
      <c r="D109" s="365">
        <f t="shared" ca="1" si="14"/>
        <v>0</v>
      </c>
      <c r="E109" s="365">
        <f t="shared" ca="1" si="15"/>
        <v>0</v>
      </c>
      <c r="F109" s="365">
        <f t="shared" ca="1" si="16"/>
        <v>0</v>
      </c>
      <c r="G109" s="365">
        <f t="shared" ca="1" si="17"/>
        <v>0</v>
      </c>
      <c r="H109" s="365">
        <f t="shared" ca="1" si="18"/>
        <v>0</v>
      </c>
      <c r="I109" s="365">
        <f t="shared" ca="1" si="19"/>
        <v>0</v>
      </c>
      <c r="J109" s="364">
        <f t="shared" ca="1" si="20"/>
        <v>0</v>
      </c>
      <c r="K109" s="366">
        <f t="shared" ca="1" si="21"/>
        <v>0</v>
      </c>
      <c r="M109" s="60"/>
      <c r="N109" s="60"/>
      <c r="O109" s="60"/>
      <c r="P109" s="60"/>
      <c r="Q109" s="60"/>
      <c r="R109" s="60"/>
      <c r="S109" s="60"/>
      <c r="T109" s="60"/>
      <c r="U109" s="60"/>
      <c r="V109" s="61"/>
    </row>
    <row r="110" spans="1:22" x14ac:dyDescent="0.2">
      <c r="A110">
        <f t="shared" si="22"/>
        <v>106</v>
      </c>
      <c r="B110" s="363">
        <f t="shared" ca="1" si="12"/>
        <v>0</v>
      </c>
      <c r="C110" s="364">
        <f t="shared" ca="1" si="13"/>
        <v>0</v>
      </c>
      <c r="D110" s="365">
        <f t="shared" ca="1" si="14"/>
        <v>0</v>
      </c>
      <c r="E110" s="365">
        <f t="shared" ca="1" si="15"/>
        <v>0</v>
      </c>
      <c r="F110" s="365">
        <f t="shared" ca="1" si="16"/>
        <v>0</v>
      </c>
      <c r="G110" s="365">
        <f t="shared" ca="1" si="17"/>
        <v>0</v>
      </c>
      <c r="H110" s="365">
        <f t="shared" ca="1" si="18"/>
        <v>0</v>
      </c>
      <c r="I110" s="365">
        <f t="shared" ca="1" si="19"/>
        <v>0</v>
      </c>
      <c r="J110" s="364">
        <f t="shared" ca="1" si="20"/>
        <v>0</v>
      </c>
      <c r="K110" s="366">
        <f t="shared" ca="1" si="21"/>
        <v>0</v>
      </c>
      <c r="M110" s="60"/>
      <c r="N110" s="60"/>
      <c r="O110" s="60"/>
      <c r="P110" s="60"/>
      <c r="Q110" s="60"/>
      <c r="R110" s="60"/>
      <c r="S110" s="60"/>
      <c r="T110" s="60"/>
      <c r="U110" s="60"/>
      <c r="V110" s="61"/>
    </row>
    <row r="111" spans="1:22" x14ac:dyDescent="0.2">
      <c r="A111">
        <f t="shared" si="22"/>
        <v>107</v>
      </c>
      <c r="B111" s="363">
        <f t="shared" ca="1" si="12"/>
        <v>0</v>
      </c>
      <c r="C111" s="364">
        <f t="shared" ca="1" si="13"/>
        <v>0</v>
      </c>
      <c r="D111" s="365">
        <f t="shared" ca="1" si="14"/>
        <v>0</v>
      </c>
      <c r="E111" s="365">
        <f t="shared" ca="1" si="15"/>
        <v>0</v>
      </c>
      <c r="F111" s="365">
        <f t="shared" ca="1" si="16"/>
        <v>0</v>
      </c>
      <c r="G111" s="365">
        <f t="shared" ca="1" si="17"/>
        <v>0</v>
      </c>
      <c r="H111" s="365">
        <f t="shared" ca="1" si="18"/>
        <v>0</v>
      </c>
      <c r="I111" s="365">
        <f t="shared" ca="1" si="19"/>
        <v>0</v>
      </c>
      <c r="J111" s="364">
        <f t="shared" ca="1" si="20"/>
        <v>0</v>
      </c>
      <c r="K111" s="366">
        <f t="shared" ca="1" si="21"/>
        <v>0</v>
      </c>
      <c r="M111" s="60"/>
      <c r="N111" s="60"/>
      <c r="O111" s="60"/>
      <c r="P111" s="60"/>
      <c r="Q111" s="60"/>
      <c r="R111" s="60"/>
      <c r="S111" s="60"/>
      <c r="T111" s="60"/>
      <c r="U111" s="60"/>
      <c r="V111" s="61"/>
    </row>
    <row r="112" spans="1:22" x14ac:dyDescent="0.2">
      <c r="A112">
        <f t="shared" si="22"/>
        <v>108</v>
      </c>
      <c r="B112" s="363">
        <f t="shared" ca="1" si="12"/>
        <v>0</v>
      </c>
      <c r="C112" s="364">
        <f t="shared" ca="1" si="13"/>
        <v>0</v>
      </c>
      <c r="D112" s="365">
        <f t="shared" ca="1" si="14"/>
        <v>0</v>
      </c>
      <c r="E112" s="365">
        <f t="shared" ca="1" si="15"/>
        <v>0</v>
      </c>
      <c r="F112" s="365">
        <f t="shared" ca="1" si="16"/>
        <v>0</v>
      </c>
      <c r="G112" s="365">
        <f t="shared" ca="1" si="17"/>
        <v>0</v>
      </c>
      <c r="H112" s="365">
        <f t="shared" ca="1" si="18"/>
        <v>0</v>
      </c>
      <c r="I112" s="365">
        <f t="shared" ca="1" si="19"/>
        <v>0</v>
      </c>
      <c r="J112" s="364">
        <f t="shared" ca="1" si="20"/>
        <v>0</v>
      </c>
      <c r="K112" s="366">
        <f t="shared" ca="1" si="21"/>
        <v>0</v>
      </c>
      <c r="M112" s="60"/>
      <c r="N112" s="60"/>
      <c r="O112" s="60"/>
      <c r="P112" s="60"/>
      <c r="Q112" s="60"/>
      <c r="R112" s="60"/>
      <c r="S112" s="60"/>
      <c r="T112" s="60"/>
      <c r="U112" s="60"/>
      <c r="V112" s="61"/>
    </row>
    <row r="113" spans="1:22" x14ac:dyDescent="0.2">
      <c r="A113">
        <f t="shared" si="22"/>
        <v>109</v>
      </c>
      <c r="B113" s="363">
        <f t="shared" ca="1" si="12"/>
        <v>0</v>
      </c>
      <c r="C113" s="364">
        <f t="shared" ca="1" si="13"/>
        <v>0</v>
      </c>
      <c r="D113" s="365">
        <f t="shared" ca="1" si="14"/>
        <v>0</v>
      </c>
      <c r="E113" s="365">
        <f t="shared" ca="1" si="15"/>
        <v>0</v>
      </c>
      <c r="F113" s="365">
        <f t="shared" ca="1" si="16"/>
        <v>0</v>
      </c>
      <c r="G113" s="365">
        <f t="shared" ca="1" si="17"/>
        <v>0</v>
      </c>
      <c r="H113" s="365">
        <f t="shared" ca="1" si="18"/>
        <v>0</v>
      </c>
      <c r="I113" s="365">
        <f t="shared" ca="1" si="19"/>
        <v>0</v>
      </c>
      <c r="J113" s="364">
        <f t="shared" ca="1" si="20"/>
        <v>0</v>
      </c>
      <c r="K113" s="366">
        <f t="shared" ca="1" si="21"/>
        <v>0</v>
      </c>
      <c r="M113" s="60"/>
      <c r="N113" s="60"/>
      <c r="O113" s="60"/>
      <c r="P113" s="60"/>
      <c r="Q113" s="60"/>
      <c r="R113" s="60"/>
      <c r="S113" s="60"/>
      <c r="T113" s="60"/>
      <c r="U113" s="60"/>
      <c r="V113" s="61"/>
    </row>
    <row r="114" spans="1:22" x14ac:dyDescent="0.2">
      <c r="A114">
        <f t="shared" si="22"/>
        <v>110</v>
      </c>
      <c r="B114" s="363">
        <f t="shared" ca="1" si="12"/>
        <v>0</v>
      </c>
      <c r="C114" s="364">
        <f t="shared" ca="1" si="13"/>
        <v>0</v>
      </c>
      <c r="D114" s="365">
        <f t="shared" ca="1" si="14"/>
        <v>0</v>
      </c>
      <c r="E114" s="365">
        <f t="shared" ca="1" si="15"/>
        <v>0</v>
      </c>
      <c r="F114" s="365">
        <f t="shared" ca="1" si="16"/>
        <v>0</v>
      </c>
      <c r="G114" s="365">
        <f t="shared" ca="1" si="17"/>
        <v>0</v>
      </c>
      <c r="H114" s="365">
        <f t="shared" ca="1" si="18"/>
        <v>0</v>
      </c>
      <c r="I114" s="365">
        <f t="shared" ca="1" si="19"/>
        <v>0</v>
      </c>
      <c r="J114" s="364">
        <f t="shared" ca="1" si="20"/>
        <v>0</v>
      </c>
      <c r="K114" s="366">
        <f t="shared" ca="1" si="21"/>
        <v>0</v>
      </c>
      <c r="M114" s="60"/>
      <c r="N114" s="60"/>
      <c r="O114" s="60"/>
      <c r="P114" s="60"/>
      <c r="Q114" s="60"/>
      <c r="R114" s="60"/>
      <c r="S114" s="60"/>
      <c r="T114" s="60"/>
      <c r="U114" s="60"/>
      <c r="V114" s="61"/>
    </row>
    <row r="115" spans="1:22" x14ac:dyDescent="0.2">
      <c r="A115">
        <f t="shared" si="22"/>
        <v>111</v>
      </c>
      <c r="B115" s="363">
        <f t="shared" ca="1" si="12"/>
        <v>0</v>
      </c>
      <c r="C115" s="364">
        <f t="shared" ca="1" si="13"/>
        <v>0</v>
      </c>
      <c r="D115" s="365">
        <f t="shared" ca="1" si="14"/>
        <v>0</v>
      </c>
      <c r="E115" s="365">
        <f t="shared" ca="1" si="15"/>
        <v>0</v>
      </c>
      <c r="F115" s="365">
        <f t="shared" ca="1" si="16"/>
        <v>0</v>
      </c>
      <c r="G115" s="365">
        <f t="shared" ca="1" si="17"/>
        <v>0</v>
      </c>
      <c r="H115" s="365">
        <f t="shared" ca="1" si="18"/>
        <v>0</v>
      </c>
      <c r="I115" s="365">
        <f t="shared" ca="1" si="19"/>
        <v>0</v>
      </c>
      <c r="J115" s="364">
        <f t="shared" ca="1" si="20"/>
        <v>0</v>
      </c>
      <c r="K115" s="366">
        <f t="shared" ca="1" si="21"/>
        <v>0</v>
      </c>
      <c r="M115" s="60"/>
      <c r="N115" s="60"/>
      <c r="O115" s="60"/>
      <c r="P115" s="60"/>
      <c r="Q115" s="60"/>
      <c r="R115" s="60"/>
      <c r="S115" s="60"/>
      <c r="T115" s="60"/>
      <c r="U115" s="60"/>
      <c r="V115" s="61"/>
    </row>
    <row r="116" spans="1:22" x14ac:dyDescent="0.2">
      <c r="A116">
        <f t="shared" si="22"/>
        <v>112</v>
      </c>
      <c r="B116" s="363">
        <f t="shared" ca="1" si="12"/>
        <v>0</v>
      </c>
      <c r="C116" s="364">
        <f t="shared" ca="1" si="13"/>
        <v>0</v>
      </c>
      <c r="D116" s="365">
        <f t="shared" ca="1" si="14"/>
        <v>0</v>
      </c>
      <c r="E116" s="365">
        <f t="shared" ca="1" si="15"/>
        <v>0</v>
      </c>
      <c r="F116" s="365">
        <f t="shared" ca="1" si="16"/>
        <v>0</v>
      </c>
      <c r="G116" s="365">
        <f t="shared" ca="1" si="17"/>
        <v>0</v>
      </c>
      <c r="H116" s="365">
        <f t="shared" ca="1" si="18"/>
        <v>0</v>
      </c>
      <c r="I116" s="365">
        <f t="shared" ca="1" si="19"/>
        <v>0</v>
      </c>
      <c r="J116" s="364">
        <f t="shared" ca="1" si="20"/>
        <v>0</v>
      </c>
      <c r="K116" s="366">
        <f t="shared" ca="1" si="21"/>
        <v>0</v>
      </c>
      <c r="M116" s="60"/>
      <c r="N116" s="60"/>
      <c r="O116" s="60"/>
      <c r="P116" s="60"/>
      <c r="Q116" s="60"/>
      <c r="R116" s="60"/>
      <c r="S116" s="60"/>
      <c r="T116" s="60"/>
      <c r="U116" s="60"/>
      <c r="V116" s="61"/>
    </row>
    <row r="117" spans="1:22" x14ac:dyDescent="0.2">
      <c r="A117">
        <f t="shared" si="22"/>
        <v>113</v>
      </c>
      <c r="B117" s="363">
        <f t="shared" ca="1" si="12"/>
        <v>0</v>
      </c>
      <c r="C117" s="364">
        <f t="shared" ca="1" si="13"/>
        <v>0</v>
      </c>
      <c r="D117" s="365">
        <f t="shared" ca="1" si="14"/>
        <v>0</v>
      </c>
      <c r="E117" s="365">
        <f t="shared" ca="1" si="15"/>
        <v>0</v>
      </c>
      <c r="F117" s="365">
        <f t="shared" ca="1" si="16"/>
        <v>0</v>
      </c>
      <c r="G117" s="365">
        <f t="shared" ca="1" si="17"/>
        <v>0</v>
      </c>
      <c r="H117" s="365">
        <f t="shared" ca="1" si="18"/>
        <v>0</v>
      </c>
      <c r="I117" s="365">
        <f t="shared" ca="1" si="19"/>
        <v>0</v>
      </c>
      <c r="J117" s="364">
        <f t="shared" ca="1" si="20"/>
        <v>0</v>
      </c>
      <c r="K117" s="366">
        <f t="shared" ca="1" si="21"/>
        <v>0</v>
      </c>
      <c r="M117" s="60"/>
      <c r="N117" s="60"/>
      <c r="O117" s="60"/>
      <c r="P117" s="60"/>
      <c r="Q117" s="60"/>
      <c r="R117" s="60"/>
      <c r="S117" s="60"/>
      <c r="T117" s="60"/>
      <c r="U117" s="60"/>
      <c r="V117" s="61"/>
    </row>
    <row r="118" spans="1:22" x14ac:dyDescent="0.2">
      <c r="A118">
        <f t="shared" si="22"/>
        <v>114</v>
      </c>
      <c r="B118" s="363">
        <f t="shared" ca="1" si="12"/>
        <v>0</v>
      </c>
      <c r="C118" s="364">
        <f t="shared" ca="1" si="13"/>
        <v>0</v>
      </c>
      <c r="D118" s="365">
        <f t="shared" ca="1" si="14"/>
        <v>0</v>
      </c>
      <c r="E118" s="365">
        <f t="shared" ca="1" si="15"/>
        <v>0</v>
      </c>
      <c r="F118" s="365">
        <f t="shared" ca="1" si="16"/>
        <v>0</v>
      </c>
      <c r="G118" s="365">
        <f t="shared" ca="1" si="17"/>
        <v>0</v>
      </c>
      <c r="H118" s="365">
        <f t="shared" ca="1" si="18"/>
        <v>0</v>
      </c>
      <c r="I118" s="365">
        <f t="shared" ca="1" si="19"/>
        <v>0</v>
      </c>
      <c r="J118" s="364">
        <f t="shared" ca="1" si="20"/>
        <v>0</v>
      </c>
      <c r="K118" s="366">
        <f t="shared" ca="1" si="21"/>
        <v>0</v>
      </c>
      <c r="M118" s="60"/>
      <c r="N118" s="60"/>
      <c r="O118" s="60"/>
      <c r="P118" s="60"/>
      <c r="Q118" s="60"/>
      <c r="R118" s="60"/>
      <c r="S118" s="60"/>
      <c r="T118" s="60"/>
      <c r="U118" s="60"/>
      <c r="V118" s="61"/>
    </row>
    <row r="119" spans="1:22" x14ac:dyDescent="0.2">
      <c r="A119">
        <f t="shared" si="22"/>
        <v>115</v>
      </c>
      <c r="B119" s="363">
        <f t="shared" ca="1" si="12"/>
        <v>0</v>
      </c>
      <c r="C119" s="364">
        <f t="shared" ca="1" si="13"/>
        <v>0</v>
      </c>
      <c r="D119" s="365">
        <f t="shared" ca="1" si="14"/>
        <v>0</v>
      </c>
      <c r="E119" s="365">
        <f t="shared" ca="1" si="15"/>
        <v>0</v>
      </c>
      <c r="F119" s="365">
        <f t="shared" ca="1" si="16"/>
        <v>0</v>
      </c>
      <c r="G119" s="365">
        <f t="shared" ca="1" si="17"/>
        <v>0</v>
      </c>
      <c r="H119" s="365">
        <f t="shared" ca="1" si="18"/>
        <v>0</v>
      </c>
      <c r="I119" s="365">
        <f t="shared" ca="1" si="19"/>
        <v>0</v>
      </c>
      <c r="J119" s="364">
        <f t="shared" ca="1" si="20"/>
        <v>0</v>
      </c>
      <c r="K119" s="366">
        <f t="shared" ca="1" si="21"/>
        <v>0</v>
      </c>
      <c r="M119" s="60"/>
      <c r="N119" s="60"/>
      <c r="O119" s="60"/>
      <c r="P119" s="60"/>
      <c r="Q119" s="60"/>
      <c r="R119" s="60"/>
      <c r="S119" s="60"/>
      <c r="T119" s="60"/>
      <c r="U119" s="60"/>
      <c r="V119" s="61"/>
    </row>
    <row r="120" spans="1:22" x14ac:dyDescent="0.2">
      <c r="A120">
        <f t="shared" si="22"/>
        <v>116</v>
      </c>
      <c r="B120" s="363">
        <f t="shared" ca="1" si="12"/>
        <v>0</v>
      </c>
      <c r="C120" s="364">
        <f t="shared" ca="1" si="13"/>
        <v>0</v>
      </c>
      <c r="D120" s="365">
        <f t="shared" ca="1" si="14"/>
        <v>0</v>
      </c>
      <c r="E120" s="365">
        <f t="shared" ca="1" si="15"/>
        <v>0</v>
      </c>
      <c r="F120" s="365">
        <f t="shared" ca="1" si="16"/>
        <v>0</v>
      </c>
      <c r="G120" s="365">
        <f t="shared" ca="1" si="17"/>
        <v>0</v>
      </c>
      <c r="H120" s="365">
        <f t="shared" ca="1" si="18"/>
        <v>0</v>
      </c>
      <c r="I120" s="365">
        <f t="shared" ca="1" si="19"/>
        <v>0</v>
      </c>
      <c r="J120" s="364">
        <f t="shared" ca="1" si="20"/>
        <v>0</v>
      </c>
      <c r="K120" s="366">
        <f t="shared" ca="1" si="21"/>
        <v>0</v>
      </c>
      <c r="M120" s="60"/>
      <c r="N120" s="60"/>
      <c r="O120" s="60"/>
      <c r="P120" s="60"/>
      <c r="Q120" s="60"/>
      <c r="R120" s="60"/>
      <c r="S120" s="60"/>
      <c r="T120" s="60"/>
      <c r="U120" s="60"/>
      <c r="V120" s="61"/>
    </row>
    <row r="121" spans="1:22" x14ac:dyDescent="0.2">
      <c r="A121">
        <f t="shared" si="22"/>
        <v>117</v>
      </c>
      <c r="B121" s="363">
        <f t="shared" ca="1" si="12"/>
        <v>0</v>
      </c>
      <c r="C121" s="364">
        <f t="shared" ca="1" si="13"/>
        <v>0</v>
      </c>
      <c r="D121" s="365">
        <f t="shared" ca="1" si="14"/>
        <v>0</v>
      </c>
      <c r="E121" s="365">
        <f t="shared" ca="1" si="15"/>
        <v>0</v>
      </c>
      <c r="F121" s="365">
        <f t="shared" ca="1" si="16"/>
        <v>0</v>
      </c>
      <c r="G121" s="365">
        <f t="shared" ca="1" si="17"/>
        <v>0</v>
      </c>
      <c r="H121" s="365">
        <f t="shared" ca="1" si="18"/>
        <v>0</v>
      </c>
      <c r="I121" s="365">
        <f t="shared" ca="1" si="19"/>
        <v>0</v>
      </c>
      <c r="J121" s="364">
        <f t="shared" ca="1" si="20"/>
        <v>0</v>
      </c>
      <c r="K121" s="366">
        <f t="shared" ca="1" si="21"/>
        <v>0</v>
      </c>
      <c r="M121" s="60"/>
      <c r="N121" s="60"/>
      <c r="O121" s="60"/>
      <c r="P121" s="60"/>
      <c r="Q121" s="60"/>
      <c r="R121" s="60"/>
      <c r="S121" s="60"/>
      <c r="T121" s="60"/>
      <c r="U121" s="60"/>
      <c r="V121" s="61"/>
    </row>
    <row r="122" spans="1:22" x14ac:dyDescent="0.2">
      <c r="A122">
        <f t="shared" si="22"/>
        <v>118</v>
      </c>
      <c r="B122" s="363">
        <f t="shared" ca="1" si="12"/>
        <v>0</v>
      </c>
      <c r="C122" s="364">
        <f t="shared" ca="1" si="13"/>
        <v>0</v>
      </c>
      <c r="D122" s="365">
        <f t="shared" ca="1" si="14"/>
        <v>0</v>
      </c>
      <c r="E122" s="365">
        <f t="shared" ca="1" si="15"/>
        <v>0</v>
      </c>
      <c r="F122" s="365">
        <f t="shared" ca="1" si="16"/>
        <v>0</v>
      </c>
      <c r="G122" s="365">
        <f t="shared" ca="1" si="17"/>
        <v>0</v>
      </c>
      <c r="H122" s="365">
        <f t="shared" ca="1" si="18"/>
        <v>0</v>
      </c>
      <c r="I122" s="365">
        <f t="shared" ca="1" si="19"/>
        <v>0</v>
      </c>
      <c r="J122" s="364">
        <f t="shared" ca="1" si="20"/>
        <v>0</v>
      </c>
      <c r="K122" s="366">
        <f t="shared" ca="1" si="21"/>
        <v>0</v>
      </c>
      <c r="M122" s="60"/>
      <c r="N122" s="60"/>
      <c r="O122" s="60"/>
      <c r="P122" s="60"/>
      <c r="Q122" s="60"/>
      <c r="R122" s="60"/>
      <c r="S122" s="60"/>
      <c r="T122" s="60"/>
      <c r="U122" s="60"/>
      <c r="V122" s="61"/>
    </row>
    <row r="123" spans="1:22" x14ac:dyDescent="0.2">
      <c r="A123">
        <f t="shared" si="22"/>
        <v>119</v>
      </c>
      <c r="B123" s="363">
        <f t="shared" ca="1" si="12"/>
        <v>0</v>
      </c>
      <c r="C123" s="364">
        <f t="shared" ca="1" si="13"/>
        <v>0</v>
      </c>
      <c r="D123" s="365">
        <f t="shared" ca="1" si="14"/>
        <v>0</v>
      </c>
      <c r="E123" s="365">
        <f t="shared" ca="1" si="15"/>
        <v>0</v>
      </c>
      <c r="F123" s="365">
        <f t="shared" ca="1" si="16"/>
        <v>0</v>
      </c>
      <c r="G123" s="365">
        <f t="shared" ca="1" si="17"/>
        <v>0</v>
      </c>
      <c r="H123" s="365">
        <f t="shared" ca="1" si="18"/>
        <v>0</v>
      </c>
      <c r="I123" s="365">
        <f t="shared" ca="1" si="19"/>
        <v>0</v>
      </c>
      <c r="J123" s="364">
        <f t="shared" ca="1" si="20"/>
        <v>0</v>
      </c>
      <c r="K123" s="366">
        <f t="shared" ca="1" si="21"/>
        <v>0</v>
      </c>
      <c r="M123" s="60"/>
      <c r="N123" s="60"/>
      <c r="O123" s="60"/>
      <c r="P123" s="60"/>
      <c r="Q123" s="60"/>
      <c r="R123" s="60"/>
      <c r="S123" s="60"/>
      <c r="T123" s="60"/>
      <c r="U123" s="60"/>
      <c r="V123" s="61"/>
    </row>
    <row r="124" spans="1:22" x14ac:dyDescent="0.2">
      <c r="A124">
        <f t="shared" si="22"/>
        <v>120</v>
      </c>
      <c r="B124" s="363">
        <f t="shared" ca="1" si="12"/>
        <v>0</v>
      </c>
      <c r="C124" s="364">
        <f t="shared" ca="1" si="13"/>
        <v>0</v>
      </c>
      <c r="D124" s="365">
        <f t="shared" ca="1" si="14"/>
        <v>0</v>
      </c>
      <c r="E124" s="365">
        <f t="shared" ca="1" si="15"/>
        <v>0</v>
      </c>
      <c r="F124" s="365">
        <f t="shared" ca="1" si="16"/>
        <v>0</v>
      </c>
      <c r="G124" s="365">
        <f t="shared" ca="1" si="17"/>
        <v>0</v>
      </c>
      <c r="H124" s="365">
        <f t="shared" ca="1" si="18"/>
        <v>0</v>
      </c>
      <c r="I124" s="365">
        <f t="shared" ca="1" si="19"/>
        <v>0</v>
      </c>
      <c r="J124" s="364">
        <f t="shared" ca="1" si="20"/>
        <v>0</v>
      </c>
      <c r="K124" s="366">
        <f t="shared" ca="1" si="21"/>
        <v>0</v>
      </c>
      <c r="M124" s="60"/>
      <c r="N124" s="60"/>
      <c r="O124" s="60"/>
      <c r="P124" s="60"/>
      <c r="Q124" s="60"/>
      <c r="R124" s="60"/>
      <c r="S124" s="60"/>
      <c r="T124" s="60"/>
      <c r="U124" s="60"/>
      <c r="V124" s="61"/>
    </row>
    <row r="125" spans="1:22" x14ac:dyDescent="0.2">
      <c r="A125">
        <f t="shared" si="22"/>
        <v>121</v>
      </c>
      <c r="B125" s="363">
        <f t="shared" ca="1" si="12"/>
        <v>0</v>
      </c>
      <c r="C125" s="364">
        <f t="shared" ca="1" si="13"/>
        <v>0</v>
      </c>
      <c r="D125" s="365">
        <f t="shared" ca="1" si="14"/>
        <v>0</v>
      </c>
      <c r="E125" s="365">
        <f t="shared" ca="1" si="15"/>
        <v>0</v>
      </c>
      <c r="F125" s="365">
        <f t="shared" ca="1" si="16"/>
        <v>0</v>
      </c>
      <c r="G125" s="365">
        <f t="shared" ca="1" si="17"/>
        <v>0</v>
      </c>
      <c r="H125" s="365">
        <f t="shared" ca="1" si="18"/>
        <v>0</v>
      </c>
      <c r="I125" s="365">
        <f t="shared" ca="1" si="19"/>
        <v>0</v>
      </c>
      <c r="J125" s="364">
        <f t="shared" ca="1" si="20"/>
        <v>0</v>
      </c>
      <c r="K125" s="366">
        <f t="shared" ca="1" si="21"/>
        <v>0</v>
      </c>
      <c r="M125" s="60"/>
      <c r="N125" s="60"/>
      <c r="O125" s="60"/>
      <c r="P125" s="60"/>
      <c r="Q125" s="60"/>
      <c r="R125" s="60"/>
      <c r="S125" s="60"/>
      <c r="T125" s="60"/>
      <c r="U125" s="60"/>
      <c r="V125" s="61"/>
    </row>
    <row r="126" spans="1:22" x14ac:dyDescent="0.2">
      <c r="A126">
        <f t="shared" si="22"/>
        <v>122</v>
      </c>
      <c r="B126" s="363">
        <f t="shared" ca="1" si="12"/>
        <v>0</v>
      </c>
      <c r="C126" s="364">
        <f t="shared" ca="1" si="13"/>
        <v>0</v>
      </c>
      <c r="D126" s="365">
        <f t="shared" ca="1" si="14"/>
        <v>0</v>
      </c>
      <c r="E126" s="365">
        <f t="shared" ca="1" si="15"/>
        <v>0</v>
      </c>
      <c r="F126" s="365">
        <f t="shared" ca="1" si="16"/>
        <v>0</v>
      </c>
      <c r="G126" s="365">
        <f t="shared" ca="1" si="17"/>
        <v>0</v>
      </c>
      <c r="H126" s="365">
        <f t="shared" ca="1" si="18"/>
        <v>0</v>
      </c>
      <c r="I126" s="365">
        <f t="shared" ca="1" si="19"/>
        <v>0</v>
      </c>
      <c r="J126" s="364">
        <f t="shared" ca="1" si="20"/>
        <v>0</v>
      </c>
      <c r="K126" s="366">
        <f t="shared" ca="1" si="21"/>
        <v>0</v>
      </c>
      <c r="M126" s="60"/>
      <c r="N126" s="60"/>
      <c r="O126" s="60"/>
      <c r="P126" s="60"/>
      <c r="Q126" s="60"/>
      <c r="R126" s="60"/>
      <c r="S126" s="60"/>
      <c r="T126" s="60"/>
      <c r="U126" s="60"/>
      <c r="V126" s="61"/>
    </row>
    <row r="127" spans="1:22" x14ac:dyDescent="0.2">
      <c r="A127">
        <f t="shared" si="22"/>
        <v>123</v>
      </c>
      <c r="B127" s="363">
        <f t="shared" ca="1" si="12"/>
        <v>0</v>
      </c>
      <c r="C127" s="364">
        <f t="shared" ca="1" si="13"/>
        <v>0</v>
      </c>
      <c r="D127" s="365">
        <f t="shared" ca="1" si="14"/>
        <v>0</v>
      </c>
      <c r="E127" s="365">
        <f t="shared" ca="1" si="15"/>
        <v>0</v>
      </c>
      <c r="F127" s="365">
        <f t="shared" ca="1" si="16"/>
        <v>0</v>
      </c>
      <c r="G127" s="365">
        <f t="shared" ca="1" si="17"/>
        <v>0</v>
      </c>
      <c r="H127" s="365">
        <f t="shared" ca="1" si="18"/>
        <v>0</v>
      </c>
      <c r="I127" s="365">
        <f t="shared" ca="1" si="19"/>
        <v>0</v>
      </c>
      <c r="J127" s="364">
        <f t="shared" ca="1" si="20"/>
        <v>0</v>
      </c>
      <c r="K127" s="366">
        <f t="shared" ca="1" si="21"/>
        <v>0</v>
      </c>
      <c r="M127" s="60"/>
      <c r="N127" s="60"/>
      <c r="O127" s="60"/>
      <c r="P127" s="60"/>
      <c r="Q127" s="60"/>
      <c r="R127" s="60"/>
      <c r="S127" s="60"/>
      <c r="T127" s="60"/>
      <c r="U127" s="60"/>
      <c r="V127" s="61"/>
    </row>
    <row r="128" spans="1:22" x14ac:dyDescent="0.2">
      <c r="A128">
        <f t="shared" si="22"/>
        <v>124</v>
      </c>
      <c r="B128" s="363">
        <f t="shared" ca="1" si="12"/>
        <v>0</v>
      </c>
      <c r="C128" s="364">
        <f t="shared" ca="1" si="13"/>
        <v>0</v>
      </c>
      <c r="D128" s="365">
        <f t="shared" ca="1" si="14"/>
        <v>0</v>
      </c>
      <c r="E128" s="365">
        <f t="shared" ca="1" si="15"/>
        <v>0</v>
      </c>
      <c r="F128" s="365">
        <f t="shared" ca="1" si="16"/>
        <v>0</v>
      </c>
      <c r="G128" s="365">
        <f t="shared" ca="1" si="17"/>
        <v>0</v>
      </c>
      <c r="H128" s="365">
        <f t="shared" ca="1" si="18"/>
        <v>0</v>
      </c>
      <c r="I128" s="365">
        <f t="shared" ca="1" si="19"/>
        <v>0</v>
      </c>
      <c r="J128" s="364">
        <f t="shared" ca="1" si="20"/>
        <v>0</v>
      </c>
      <c r="K128" s="366">
        <f t="shared" ca="1" si="21"/>
        <v>0</v>
      </c>
      <c r="M128" s="60"/>
      <c r="N128" s="60"/>
      <c r="O128" s="60"/>
      <c r="P128" s="60"/>
      <c r="Q128" s="60"/>
      <c r="R128" s="60"/>
      <c r="S128" s="60"/>
      <c r="T128" s="60"/>
      <c r="U128" s="60"/>
      <c r="V128" s="61"/>
    </row>
    <row r="129" spans="1:22" x14ac:dyDescent="0.2">
      <c r="A129">
        <f t="shared" si="22"/>
        <v>125</v>
      </c>
      <c r="B129" s="363">
        <f t="shared" ca="1" si="12"/>
        <v>0</v>
      </c>
      <c r="C129" s="364">
        <f t="shared" ca="1" si="13"/>
        <v>0</v>
      </c>
      <c r="D129" s="365">
        <f t="shared" ca="1" si="14"/>
        <v>0</v>
      </c>
      <c r="E129" s="365">
        <f t="shared" ca="1" si="15"/>
        <v>0</v>
      </c>
      <c r="F129" s="365">
        <f t="shared" ca="1" si="16"/>
        <v>0</v>
      </c>
      <c r="G129" s="365">
        <f t="shared" ca="1" si="17"/>
        <v>0</v>
      </c>
      <c r="H129" s="365">
        <f t="shared" ca="1" si="18"/>
        <v>0</v>
      </c>
      <c r="I129" s="365">
        <f t="shared" ca="1" si="19"/>
        <v>0</v>
      </c>
      <c r="J129" s="364">
        <f t="shared" ca="1" si="20"/>
        <v>0</v>
      </c>
      <c r="K129" s="366">
        <f t="shared" ca="1" si="21"/>
        <v>0</v>
      </c>
      <c r="M129" s="60"/>
      <c r="N129" s="60"/>
      <c r="O129" s="60"/>
      <c r="P129" s="60"/>
      <c r="Q129" s="60"/>
      <c r="R129" s="60"/>
      <c r="S129" s="60"/>
      <c r="T129" s="60"/>
      <c r="U129" s="60"/>
      <c r="V129" s="61"/>
    </row>
    <row r="130" spans="1:22" x14ac:dyDescent="0.2">
      <c r="A130">
        <f t="shared" si="22"/>
        <v>126</v>
      </c>
      <c r="B130" s="363">
        <f t="shared" ca="1" si="12"/>
        <v>0</v>
      </c>
      <c r="C130" s="364">
        <f t="shared" ca="1" si="13"/>
        <v>0</v>
      </c>
      <c r="D130" s="365">
        <f t="shared" ca="1" si="14"/>
        <v>0</v>
      </c>
      <c r="E130" s="365">
        <f t="shared" ca="1" si="15"/>
        <v>0</v>
      </c>
      <c r="F130" s="365">
        <f t="shared" ca="1" si="16"/>
        <v>0</v>
      </c>
      <c r="G130" s="365">
        <f t="shared" ca="1" si="17"/>
        <v>0</v>
      </c>
      <c r="H130" s="365">
        <f t="shared" ca="1" si="18"/>
        <v>0</v>
      </c>
      <c r="I130" s="365">
        <f t="shared" ca="1" si="19"/>
        <v>0</v>
      </c>
      <c r="J130" s="364">
        <f t="shared" ca="1" si="20"/>
        <v>0</v>
      </c>
      <c r="K130" s="366">
        <f t="shared" ca="1" si="21"/>
        <v>0</v>
      </c>
      <c r="M130" s="60"/>
      <c r="N130" s="60"/>
      <c r="O130" s="60"/>
      <c r="P130" s="60"/>
      <c r="Q130" s="60"/>
      <c r="R130" s="60"/>
      <c r="S130" s="60"/>
      <c r="T130" s="60"/>
      <c r="U130" s="60"/>
      <c r="V130" s="61"/>
    </row>
    <row r="131" spans="1:22" x14ac:dyDescent="0.2">
      <c r="A131">
        <f t="shared" si="22"/>
        <v>127</v>
      </c>
      <c r="B131" s="363">
        <f t="shared" ca="1" si="12"/>
        <v>0</v>
      </c>
      <c r="C131" s="364">
        <f t="shared" ca="1" si="13"/>
        <v>0</v>
      </c>
      <c r="D131" s="365">
        <f t="shared" ca="1" si="14"/>
        <v>0</v>
      </c>
      <c r="E131" s="365">
        <f t="shared" ca="1" si="15"/>
        <v>0</v>
      </c>
      <c r="F131" s="365">
        <f t="shared" ca="1" si="16"/>
        <v>0</v>
      </c>
      <c r="G131" s="365">
        <f t="shared" ca="1" si="17"/>
        <v>0</v>
      </c>
      <c r="H131" s="365">
        <f t="shared" ca="1" si="18"/>
        <v>0</v>
      </c>
      <c r="I131" s="365">
        <f t="shared" ca="1" si="19"/>
        <v>0</v>
      </c>
      <c r="J131" s="364">
        <f t="shared" ca="1" si="20"/>
        <v>0</v>
      </c>
      <c r="K131" s="366">
        <f t="shared" ca="1" si="21"/>
        <v>0</v>
      </c>
      <c r="M131" s="60"/>
      <c r="N131" s="60"/>
      <c r="O131" s="60"/>
      <c r="P131" s="60"/>
      <c r="Q131" s="60"/>
      <c r="R131" s="60"/>
      <c r="S131" s="60"/>
      <c r="T131" s="60"/>
      <c r="U131" s="60"/>
      <c r="V131" s="61"/>
    </row>
    <row r="132" spans="1:22" x14ac:dyDescent="0.2">
      <c r="A132">
        <f t="shared" si="22"/>
        <v>128</v>
      </c>
      <c r="B132" s="363">
        <f t="shared" ca="1" si="12"/>
        <v>0</v>
      </c>
      <c r="C132" s="364">
        <f t="shared" ca="1" si="13"/>
        <v>0</v>
      </c>
      <c r="D132" s="365">
        <f t="shared" ca="1" si="14"/>
        <v>0</v>
      </c>
      <c r="E132" s="365">
        <f t="shared" ca="1" si="15"/>
        <v>0</v>
      </c>
      <c r="F132" s="365">
        <f t="shared" ca="1" si="16"/>
        <v>0</v>
      </c>
      <c r="G132" s="365">
        <f t="shared" ca="1" si="17"/>
        <v>0</v>
      </c>
      <c r="H132" s="365">
        <f t="shared" ca="1" si="18"/>
        <v>0</v>
      </c>
      <c r="I132" s="365">
        <f t="shared" ca="1" si="19"/>
        <v>0</v>
      </c>
      <c r="J132" s="364">
        <f t="shared" ca="1" si="20"/>
        <v>0</v>
      </c>
      <c r="K132" s="366">
        <f t="shared" ca="1" si="21"/>
        <v>0</v>
      </c>
      <c r="M132" s="60"/>
      <c r="N132" s="60"/>
      <c r="O132" s="60"/>
      <c r="P132" s="60"/>
      <c r="Q132" s="60"/>
      <c r="R132" s="60"/>
      <c r="S132" s="60"/>
      <c r="T132" s="60"/>
      <c r="U132" s="60"/>
      <c r="V132" s="61"/>
    </row>
    <row r="133" spans="1:22" x14ac:dyDescent="0.2">
      <c r="A133">
        <f t="shared" si="22"/>
        <v>129</v>
      </c>
      <c r="B133" s="363">
        <f t="shared" ref="B133:B196" ca="1" si="23">IF($C$2=1,INDEX($M$5:$OO$369,$A133,B$1),INDEX(OFFSET(M$5,$A132,$K$2*11),1,1))</f>
        <v>0</v>
      </c>
      <c r="C133" s="364">
        <f t="shared" ref="C133:C196" ca="1" si="24">IF($C$2=1,INDEX($M$5:$OO$369,$A133,C$1),INDEX(OFFSET(N$5,$A132,$K$2*11),1,1))</f>
        <v>0</v>
      </c>
      <c r="D133" s="365">
        <f t="shared" ref="D133:D196" ca="1" si="25">IF($C$2=1,INDEX($M$5:$OO$369,$A133,D$1),INDEX(OFFSET(O$5,$A132,$K$2*11),1,1))</f>
        <v>0</v>
      </c>
      <c r="E133" s="365">
        <f t="shared" ref="E133:E196" ca="1" si="26">IF($C$2=1,INDEX($M$5:$OO$369,$A133,E$1),INDEX(OFFSET(P$5,$A132,$K$2*11),1,1))</f>
        <v>0</v>
      </c>
      <c r="F133" s="365">
        <f t="shared" ref="F133:F196" ca="1" si="27">IF($C$2=1,INDEX($M$5:$OO$369,$A133,F$1),INDEX(OFFSET(Q$5,$A132,$K$2*11),1,1))</f>
        <v>0</v>
      </c>
      <c r="G133" s="365">
        <f t="shared" ref="G133:G196" ca="1" si="28">IF($C$2=1,INDEX($M$5:$OO$369,$A133,G$1),INDEX(OFFSET(R$5,$A132,$K$2*11),1,1))</f>
        <v>0</v>
      </c>
      <c r="H133" s="365">
        <f t="shared" ref="H133:H196" ca="1" si="29">IF($C$2=1,INDEX($M$5:$OO$369,$A133,H$1),INDEX(OFFSET(S$5,$A132,$K$2*11),1,1))</f>
        <v>0</v>
      </c>
      <c r="I133" s="365">
        <f t="shared" ref="I133:I196" ca="1" si="30">IF($C$2=1,INDEX($M$5:$OO$369,$A133,I$1),INDEX(OFFSET(T$5,$A132,$K$2*11),1,1))</f>
        <v>0</v>
      </c>
      <c r="J133" s="364">
        <f t="shared" ref="J133:J196" ca="1" si="31">IF($C$2=1,INDEX($M$5:$OO$369,$A133,J$1),INDEX(OFFSET(U$5,$A132,$K$2*11),1,1))</f>
        <v>0</v>
      </c>
      <c r="K133" s="366">
        <f t="shared" ref="K133:K196" ca="1" si="32">IF($C$2=1,INDEX($M$5:$OO$369,$A133,K$1),INDEX(OFFSET(V$5,$A132,$K$2*11),1,1))</f>
        <v>0</v>
      </c>
      <c r="M133" s="60"/>
      <c r="N133" s="60"/>
      <c r="O133" s="60"/>
      <c r="P133" s="60"/>
      <c r="Q133" s="60"/>
      <c r="R133" s="60"/>
      <c r="S133" s="60"/>
      <c r="T133" s="60"/>
      <c r="U133" s="60"/>
      <c r="V133" s="61"/>
    </row>
    <row r="134" spans="1:22" x14ac:dyDescent="0.2">
      <c r="A134">
        <f t="shared" si="22"/>
        <v>130</v>
      </c>
      <c r="B134" s="363">
        <f t="shared" ca="1" si="23"/>
        <v>0</v>
      </c>
      <c r="C134" s="364">
        <f t="shared" ca="1" si="24"/>
        <v>0</v>
      </c>
      <c r="D134" s="365">
        <f t="shared" ca="1" si="25"/>
        <v>0</v>
      </c>
      <c r="E134" s="365">
        <f t="shared" ca="1" si="26"/>
        <v>0</v>
      </c>
      <c r="F134" s="365">
        <f t="shared" ca="1" si="27"/>
        <v>0</v>
      </c>
      <c r="G134" s="365">
        <f t="shared" ca="1" si="28"/>
        <v>0</v>
      </c>
      <c r="H134" s="365">
        <f t="shared" ca="1" si="29"/>
        <v>0</v>
      </c>
      <c r="I134" s="365">
        <f t="shared" ca="1" si="30"/>
        <v>0</v>
      </c>
      <c r="J134" s="364">
        <f t="shared" ca="1" si="31"/>
        <v>0</v>
      </c>
      <c r="K134" s="366">
        <f t="shared" ca="1" si="32"/>
        <v>0</v>
      </c>
      <c r="M134" s="60"/>
      <c r="N134" s="60"/>
      <c r="O134" s="60"/>
      <c r="P134" s="60"/>
      <c r="Q134" s="60"/>
      <c r="R134" s="60"/>
      <c r="S134" s="60"/>
      <c r="T134" s="60"/>
      <c r="U134" s="60"/>
      <c r="V134" s="61"/>
    </row>
    <row r="135" spans="1:22" x14ac:dyDescent="0.2">
      <c r="A135">
        <f t="shared" ref="A135:A198" si="33">A134+1</f>
        <v>131</v>
      </c>
      <c r="B135" s="363">
        <f t="shared" ca="1" si="23"/>
        <v>0</v>
      </c>
      <c r="C135" s="364">
        <f t="shared" ca="1" si="24"/>
        <v>0</v>
      </c>
      <c r="D135" s="365">
        <f t="shared" ca="1" si="25"/>
        <v>0</v>
      </c>
      <c r="E135" s="365">
        <f t="shared" ca="1" si="26"/>
        <v>0</v>
      </c>
      <c r="F135" s="365">
        <f t="shared" ca="1" si="27"/>
        <v>0</v>
      </c>
      <c r="G135" s="365">
        <f t="shared" ca="1" si="28"/>
        <v>0</v>
      </c>
      <c r="H135" s="365">
        <f t="shared" ca="1" si="29"/>
        <v>0</v>
      </c>
      <c r="I135" s="365">
        <f t="shared" ca="1" si="30"/>
        <v>0</v>
      </c>
      <c r="J135" s="364">
        <f t="shared" ca="1" si="31"/>
        <v>0</v>
      </c>
      <c r="K135" s="366">
        <f t="shared" ca="1" si="32"/>
        <v>0</v>
      </c>
      <c r="M135" s="60"/>
      <c r="N135" s="60"/>
      <c r="O135" s="60"/>
      <c r="P135" s="60"/>
      <c r="Q135" s="60"/>
      <c r="R135" s="60"/>
      <c r="S135" s="60"/>
      <c r="T135" s="60"/>
      <c r="U135" s="60"/>
      <c r="V135" s="61"/>
    </row>
    <row r="136" spans="1:22" x14ac:dyDescent="0.2">
      <c r="A136">
        <f t="shared" si="33"/>
        <v>132</v>
      </c>
      <c r="B136" s="363">
        <f t="shared" ca="1" si="23"/>
        <v>0</v>
      </c>
      <c r="C136" s="364">
        <f t="shared" ca="1" si="24"/>
        <v>0</v>
      </c>
      <c r="D136" s="365">
        <f t="shared" ca="1" si="25"/>
        <v>0</v>
      </c>
      <c r="E136" s="365">
        <f t="shared" ca="1" si="26"/>
        <v>0</v>
      </c>
      <c r="F136" s="365">
        <f t="shared" ca="1" si="27"/>
        <v>0</v>
      </c>
      <c r="G136" s="365">
        <f t="shared" ca="1" si="28"/>
        <v>0</v>
      </c>
      <c r="H136" s="365">
        <f t="shared" ca="1" si="29"/>
        <v>0</v>
      </c>
      <c r="I136" s="365">
        <f t="shared" ca="1" si="30"/>
        <v>0</v>
      </c>
      <c r="J136" s="364">
        <f t="shared" ca="1" si="31"/>
        <v>0</v>
      </c>
      <c r="K136" s="366">
        <f t="shared" ca="1" si="32"/>
        <v>0</v>
      </c>
      <c r="M136" s="60"/>
      <c r="N136" s="60"/>
      <c r="O136" s="60"/>
      <c r="P136" s="60"/>
      <c r="Q136" s="60"/>
      <c r="R136" s="60"/>
      <c r="S136" s="60"/>
      <c r="T136" s="60"/>
      <c r="U136" s="60"/>
      <c r="V136" s="61"/>
    </row>
    <row r="137" spans="1:22" x14ac:dyDescent="0.2">
      <c r="A137">
        <f t="shared" si="33"/>
        <v>133</v>
      </c>
      <c r="B137" s="363">
        <f t="shared" ca="1" si="23"/>
        <v>0</v>
      </c>
      <c r="C137" s="364">
        <f t="shared" ca="1" si="24"/>
        <v>0</v>
      </c>
      <c r="D137" s="365">
        <f t="shared" ca="1" si="25"/>
        <v>0</v>
      </c>
      <c r="E137" s="365">
        <f t="shared" ca="1" si="26"/>
        <v>0</v>
      </c>
      <c r="F137" s="365">
        <f t="shared" ca="1" si="27"/>
        <v>0</v>
      </c>
      <c r="G137" s="365">
        <f t="shared" ca="1" si="28"/>
        <v>0</v>
      </c>
      <c r="H137" s="365">
        <f t="shared" ca="1" si="29"/>
        <v>0</v>
      </c>
      <c r="I137" s="365">
        <f t="shared" ca="1" si="30"/>
        <v>0</v>
      </c>
      <c r="J137" s="364">
        <f t="shared" ca="1" si="31"/>
        <v>0</v>
      </c>
      <c r="K137" s="366">
        <f t="shared" ca="1" si="32"/>
        <v>0</v>
      </c>
      <c r="M137" s="60"/>
      <c r="N137" s="60"/>
      <c r="O137" s="60"/>
      <c r="P137" s="60"/>
      <c r="Q137" s="60"/>
      <c r="R137" s="60"/>
      <c r="S137" s="60"/>
      <c r="T137" s="60"/>
      <c r="U137" s="60"/>
      <c r="V137" s="61"/>
    </row>
    <row r="138" spans="1:22" x14ac:dyDescent="0.2">
      <c r="A138">
        <f t="shared" si="33"/>
        <v>134</v>
      </c>
      <c r="B138" s="363">
        <f t="shared" ca="1" si="23"/>
        <v>0</v>
      </c>
      <c r="C138" s="364">
        <f t="shared" ca="1" si="24"/>
        <v>0</v>
      </c>
      <c r="D138" s="365">
        <f t="shared" ca="1" si="25"/>
        <v>0</v>
      </c>
      <c r="E138" s="365">
        <f t="shared" ca="1" si="26"/>
        <v>0</v>
      </c>
      <c r="F138" s="365">
        <f t="shared" ca="1" si="27"/>
        <v>0</v>
      </c>
      <c r="G138" s="365">
        <f t="shared" ca="1" si="28"/>
        <v>0</v>
      </c>
      <c r="H138" s="365">
        <f t="shared" ca="1" si="29"/>
        <v>0</v>
      </c>
      <c r="I138" s="365">
        <f t="shared" ca="1" si="30"/>
        <v>0</v>
      </c>
      <c r="J138" s="364">
        <f t="shared" ca="1" si="31"/>
        <v>0</v>
      </c>
      <c r="K138" s="366">
        <f t="shared" ca="1" si="32"/>
        <v>0</v>
      </c>
      <c r="M138" s="60"/>
      <c r="N138" s="60"/>
      <c r="O138" s="60"/>
      <c r="P138" s="60"/>
      <c r="Q138" s="60"/>
      <c r="R138" s="60"/>
      <c r="S138" s="60"/>
      <c r="T138" s="60"/>
      <c r="U138" s="60"/>
      <c r="V138" s="61"/>
    </row>
    <row r="139" spans="1:22" x14ac:dyDescent="0.2">
      <c r="A139">
        <f t="shared" si="33"/>
        <v>135</v>
      </c>
      <c r="B139" s="363">
        <f t="shared" ca="1" si="23"/>
        <v>0</v>
      </c>
      <c r="C139" s="364">
        <f t="shared" ca="1" si="24"/>
        <v>0</v>
      </c>
      <c r="D139" s="365">
        <f t="shared" ca="1" si="25"/>
        <v>0</v>
      </c>
      <c r="E139" s="365">
        <f t="shared" ca="1" si="26"/>
        <v>0</v>
      </c>
      <c r="F139" s="365">
        <f t="shared" ca="1" si="27"/>
        <v>0</v>
      </c>
      <c r="G139" s="365">
        <f t="shared" ca="1" si="28"/>
        <v>0</v>
      </c>
      <c r="H139" s="365">
        <f t="shared" ca="1" si="29"/>
        <v>0</v>
      </c>
      <c r="I139" s="365">
        <f t="shared" ca="1" si="30"/>
        <v>0</v>
      </c>
      <c r="J139" s="364">
        <f t="shared" ca="1" si="31"/>
        <v>0</v>
      </c>
      <c r="K139" s="366">
        <f t="shared" ca="1" si="32"/>
        <v>0</v>
      </c>
      <c r="M139" s="60"/>
      <c r="N139" s="60"/>
      <c r="O139" s="60"/>
      <c r="P139" s="60"/>
      <c r="Q139" s="60"/>
      <c r="R139" s="60"/>
      <c r="S139" s="60"/>
      <c r="T139" s="60"/>
      <c r="U139" s="60"/>
      <c r="V139" s="61"/>
    </row>
    <row r="140" spans="1:22" x14ac:dyDescent="0.2">
      <c r="A140">
        <f t="shared" si="33"/>
        <v>136</v>
      </c>
      <c r="B140" s="363">
        <f t="shared" ca="1" si="23"/>
        <v>0</v>
      </c>
      <c r="C140" s="364">
        <f t="shared" ca="1" si="24"/>
        <v>0</v>
      </c>
      <c r="D140" s="365">
        <f t="shared" ca="1" si="25"/>
        <v>0</v>
      </c>
      <c r="E140" s="365">
        <f t="shared" ca="1" si="26"/>
        <v>0</v>
      </c>
      <c r="F140" s="365">
        <f t="shared" ca="1" si="27"/>
        <v>0</v>
      </c>
      <c r="G140" s="365">
        <f t="shared" ca="1" si="28"/>
        <v>0</v>
      </c>
      <c r="H140" s="365">
        <f t="shared" ca="1" si="29"/>
        <v>0</v>
      </c>
      <c r="I140" s="365">
        <f t="shared" ca="1" si="30"/>
        <v>0</v>
      </c>
      <c r="J140" s="364">
        <f t="shared" ca="1" si="31"/>
        <v>0</v>
      </c>
      <c r="K140" s="366">
        <f t="shared" ca="1" si="32"/>
        <v>0</v>
      </c>
      <c r="M140" s="60"/>
      <c r="N140" s="60"/>
      <c r="O140" s="60"/>
      <c r="P140" s="60"/>
      <c r="Q140" s="60"/>
      <c r="R140" s="60"/>
      <c r="S140" s="60"/>
      <c r="T140" s="60"/>
      <c r="U140" s="60"/>
      <c r="V140" s="61"/>
    </row>
    <row r="141" spans="1:22" x14ac:dyDescent="0.2">
      <c r="A141">
        <f t="shared" si="33"/>
        <v>137</v>
      </c>
      <c r="B141" s="363">
        <f t="shared" ca="1" si="23"/>
        <v>0</v>
      </c>
      <c r="C141" s="364">
        <f t="shared" ca="1" si="24"/>
        <v>0</v>
      </c>
      <c r="D141" s="365">
        <f t="shared" ca="1" si="25"/>
        <v>0</v>
      </c>
      <c r="E141" s="365">
        <f t="shared" ca="1" si="26"/>
        <v>0</v>
      </c>
      <c r="F141" s="365">
        <f t="shared" ca="1" si="27"/>
        <v>0</v>
      </c>
      <c r="G141" s="365">
        <f t="shared" ca="1" si="28"/>
        <v>0</v>
      </c>
      <c r="H141" s="365">
        <f t="shared" ca="1" si="29"/>
        <v>0</v>
      </c>
      <c r="I141" s="365">
        <f t="shared" ca="1" si="30"/>
        <v>0</v>
      </c>
      <c r="J141" s="364">
        <f t="shared" ca="1" si="31"/>
        <v>0</v>
      </c>
      <c r="K141" s="366">
        <f t="shared" ca="1" si="32"/>
        <v>0</v>
      </c>
      <c r="M141" s="60"/>
      <c r="N141" s="60"/>
      <c r="O141" s="60"/>
      <c r="P141" s="60"/>
      <c r="Q141" s="60"/>
      <c r="R141" s="60"/>
      <c r="S141" s="60"/>
      <c r="T141" s="60"/>
      <c r="U141" s="60"/>
      <c r="V141" s="61"/>
    </row>
    <row r="142" spans="1:22" x14ac:dyDescent="0.2">
      <c r="A142">
        <f t="shared" si="33"/>
        <v>138</v>
      </c>
      <c r="B142" s="363">
        <f t="shared" ca="1" si="23"/>
        <v>0</v>
      </c>
      <c r="C142" s="364">
        <f t="shared" ca="1" si="24"/>
        <v>0</v>
      </c>
      <c r="D142" s="365">
        <f t="shared" ca="1" si="25"/>
        <v>0</v>
      </c>
      <c r="E142" s="365">
        <f t="shared" ca="1" si="26"/>
        <v>0</v>
      </c>
      <c r="F142" s="365">
        <f t="shared" ca="1" si="27"/>
        <v>0</v>
      </c>
      <c r="G142" s="365">
        <f t="shared" ca="1" si="28"/>
        <v>0</v>
      </c>
      <c r="H142" s="365">
        <f t="shared" ca="1" si="29"/>
        <v>0</v>
      </c>
      <c r="I142" s="365">
        <f t="shared" ca="1" si="30"/>
        <v>0</v>
      </c>
      <c r="J142" s="364">
        <f t="shared" ca="1" si="31"/>
        <v>0</v>
      </c>
      <c r="K142" s="366">
        <f t="shared" ca="1" si="32"/>
        <v>0</v>
      </c>
      <c r="M142" s="60"/>
      <c r="N142" s="60"/>
      <c r="O142" s="60"/>
      <c r="P142" s="60"/>
      <c r="Q142" s="60"/>
      <c r="R142" s="60"/>
      <c r="S142" s="60"/>
      <c r="T142" s="60"/>
      <c r="U142" s="60"/>
      <c r="V142" s="61"/>
    </row>
    <row r="143" spans="1:22" x14ac:dyDescent="0.2">
      <c r="A143">
        <f t="shared" si="33"/>
        <v>139</v>
      </c>
      <c r="B143" s="363">
        <f t="shared" ca="1" si="23"/>
        <v>0</v>
      </c>
      <c r="C143" s="364">
        <f t="shared" ca="1" si="24"/>
        <v>0</v>
      </c>
      <c r="D143" s="365">
        <f t="shared" ca="1" si="25"/>
        <v>0</v>
      </c>
      <c r="E143" s="365">
        <f t="shared" ca="1" si="26"/>
        <v>0</v>
      </c>
      <c r="F143" s="365">
        <f t="shared" ca="1" si="27"/>
        <v>0</v>
      </c>
      <c r="G143" s="365">
        <f t="shared" ca="1" si="28"/>
        <v>0</v>
      </c>
      <c r="H143" s="365">
        <f t="shared" ca="1" si="29"/>
        <v>0</v>
      </c>
      <c r="I143" s="365">
        <f t="shared" ca="1" si="30"/>
        <v>0</v>
      </c>
      <c r="J143" s="364">
        <f t="shared" ca="1" si="31"/>
        <v>0</v>
      </c>
      <c r="K143" s="366">
        <f t="shared" ca="1" si="32"/>
        <v>0</v>
      </c>
      <c r="M143" s="60"/>
      <c r="N143" s="60"/>
      <c r="O143" s="60"/>
      <c r="P143" s="60"/>
      <c r="Q143" s="60"/>
      <c r="R143" s="60"/>
      <c r="S143" s="60"/>
      <c r="T143" s="60"/>
      <c r="U143" s="60"/>
      <c r="V143" s="61"/>
    </row>
    <row r="144" spans="1:22" x14ac:dyDescent="0.2">
      <c r="A144">
        <f t="shared" si="33"/>
        <v>140</v>
      </c>
      <c r="B144" s="363">
        <f t="shared" ca="1" si="23"/>
        <v>0</v>
      </c>
      <c r="C144" s="364">
        <f t="shared" ca="1" si="24"/>
        <v>0</v>
      </c>
      <c r="D144" s="365">
        <f t="shared" ca="1" si="25"/>
        <v>0</v>
      </c>
      <c r="E144" s="365">
        <f t="shared" ca="1" si="26"/>
        <v>0</v>
      </c>
      <c r="F144" s="365">
        <f t="shared" ca="1" si="27"/>
        <v>0</v>
      </c>
      <c r="G144" s="365">
        <f t="shared" ca="1" si="28"/>
        <v>0</v>
      </c>
      <c r="H144" s="365">
        <f t="shared" ca="1" si="29"/>
        <v>0</v>
      </c>
      <c r="I144" s="365">
        <f t="shared" ca="1" si="30"/>
        <v>0</v>
      </c>
      <c r="J144" s="364">
        <f t="shared" ca="1" si="31"/>
        <v>0</v>
      </c>
      <c r="K144" s="366">
        <f t="shared" ca="1" si="32"/>
        <v>0</v>
      </c>
      <c r="M144" s="60"/>
      <c r="N144" s="60"/>
      <c r="O144" s="60"/>
      <c r="P144" s="60"/>
      <c r="Q144" s="60"/>
      <c r="R144" s="60"/>
      <c r="S144" s="60"/>
      <c r="T144" s="60"/>
      <c r="U144" s="60"/>
      <c r="V144" s="61"/>
    </row>
    <row r="145" spans="1:22" x14ac:dyDescent="0.2">
      <c r="A145">
        <f t="shared" si="33"/>
        <v>141</v>
      </c>
      <c r="B145" s="363">
        <f t="shared" ca="1" si="23"/>
        <v>0</v>
      </c>
      <c r="C145" s="364">
        <f t="shared" ca="1" si="24"/>
        <v>0</v>
      </c>
      <c r="D145" s="365">
        <f t="shared" ca="1" si="25"/>
        <v>0</v>
      </c>
      <c r="E145" s="365">
        <f t="shared" ca="1" si="26"/>
        <v>0</v>
      </c>
      <c r="F145" s="365">
        <f t="shared" ca="1" si="27"/>
        <v>0</v>
      </c>
      <c r="G145" s="365">
        <f t="shared" ca="1" si="28"/>
        <v>0</v>
      </c>
      <c r="H145" s="365">
        <f t="shared" ca="1" si="29"/>
        <v>0</v>
      </c>
      <c r="I145" s="365">
        <f t="shared" ca="1" si="30"/>
        <v>0</v>
      </c>
      <c r="J145" s="364">
        <f t="shared" ca="1" si="31"/>
        <v>0</v>
      </c>
      <c r="K145" s="366">
        <f t="shared" ca="1" si="32"/>
        <v>0</v>
      </c>
      <c r="M145" s="60"/>
      <c r="N145" s="60"/>
      <c r="O145" s="60"/>
      <c r="P145" s="60"/>
      <c r="Q145" s="60"/>
      <c r="R145" s="60"/>
      <c r="S145" s="60"/>
      <c r="T145" s="60"/>
      <c r="U145" s="60"/>
      <c r="V145" s="61"/>
    </row>
    <row r="146" spans="1:22" x14ac:dyDescent="0.2">
      <c r="A146">
        <f t="shared" si="33"/>
        <v>142</v>
      </c>
      <c r="B146" s="363">
        <f t="shared" ca="1" si="23"/>
        <v>0</v>
      </c>
      <c r="C146" s="364">
        <f t="shared" ca="1" si="24"/>
        <v>0</v>
      </c>
      <c r="D146" s="365">
        <f t="shared" ca="1" si="25"/>
        <v>0</v>
      </c>
      <c r="E146" s="365">
        <f t="shared" ca="1" si="26"/>
        <v>0</v>
      </c>
      <c r="F146" s="365">
        <f t="shared" ca="1" si="27"/>
        <v>0</v>
      </c>
      <c r="G146" s="365">
        <f t="shared" ca="1" si="28"/>
        <v>0</v>
      </c>
      <c r="H146" s="365">
        <f t="shared" ca="1" si="29"/>
        <v>0</v>
      </c>
      <c r="I146" s="365">
        <f t="shared" ca="1" si="30"/>
        <v>0</v>
      </c>
      <c r="J146" s="364">
        <f t="shared" ca="1" si="31"/>
        <v>0</v>
      </c>
      <c r="K146" s="366">
        <f t="shared" ca="1" si="32"/>
        <v>0</v>
      </c>
      <c r="M146" s="60"/>
      <c r="N146" s="60"/>
      <c r="O146" s="60"/>
      <c r="P146" s="60"/>
      <c r="Q146" s="60"/>
      <c r="R146" s="60"/>
      <c r="S146" s="60"/>
      <c r="T146" s="60"/>
      <c r="U146" s="60"/>
      <c r="V146" s="61"/>
    </row>
    <row r="147" spans="1:22" x14ac:dyDescent="0.2">
      <c r="A147">
        <f t="shared" si="33"/>
        <v>143</v>
      </c>
      <c r="B147" s="363">
        <f t="shared" ca="1" si="23"/>
        <v>0</v>
      </c>
      <c r="C147" s="364">
        <f t="shared" ca="1" si="24"/>
        <v>0</v>
      </c>
      <c r="D147" s="365">
        <f t="shared" ca="1" si="25"/>
        <v>0</v>
      </c>
      <c r="E147" s="365">
        <f t="shared" ca="1" si="26"/>
        <v>0</v>
      </c>
      <c r="F147" s="365">
        <f t="shared" ca="1" si="27"/>
        <v>0</v>
      </c>
      <c r="G147" s="365">
        <f t="shared" ca="1" si="28"/>
        <v>0</v>
      </c>
      <c r="H147" s="365">
        <f t="shared" ca="1" si="29"/>
        <v>0</v>
      </c>
      <c r="I147" s="365">
        <f t="shared" ca="1" si="30"/>
        <v>0</v>
      </c>
      <c r="J147" s="364">
        <f t="shared" ca="1" si="31"/>
        <v>0</v>
      </c>
      <c r="K147" s="366">
        <f t="shared" ca="1" si="32"/>
        <v>0</v>
      </c>
      <c r="M147" s="60"/>
      <c r="N147" s="60"/>
      <c r="O147" s="60"/>
      <c r="P147" s="60"/>
      <c r="Q147" s="60"/>
      <c r="R147" s="60"/>
      <c r="S147" s="60"/>
      <c r="T147" s="60"/>
      <c r="U147" s="60"/>
      <c r="V147" s="61"/>
    </row>
    <row r="148" spans="1:22" x14ac:dyDescent="0.2">
      <c r="A148">
        <f t="shared" si="33"/>
        <v>144</v>
      </c>
      <c r="B148" s="363">
        <f t="shared" ca="1" si="23"/>
        <v>0</v>
      </c>
      <c r="C148" s="364">
        <f t="shared" ca="1" si="24"/>
        <v>0</v>
      </c>
      <c r="D148" s="365">
        <f t="shared" ca="1" si="25"/>
        <v>0</v>
      </c>
      <c r="E148" s="365">
        <f t="shared" ca="1" si="26"/>
        <v>0</v>
      </c>
      <c r="F148" s="365">
        <f t="shared" ca="1" si="27"/>
        <v>0</v>
      </c>
      <c r="G148" s="365">
        <f t="shared" ca="1" si="28"/>
        <v>0</v>
      </c>
      <c r="H148" s="365">
        <f t="shared" ca="1" si="29"/>
        <v>0</v>
      </c>
      <c r="I148" s="365">
        <f t="shared" ca="1" si="30"/>
        <v>0</v>
      </c>
      <c r="J148" s="364">
        <f t="shared" ca="1" si="31"/>
        <v>0</v>
      </c>
      <c r="K148" s="366">
        <f t="shared" ca="1" si="32"/>
        <v>0</v>
      </c>
      <c r="M148" s="60"/>
      <c r="N148" s="60"/>
      <c r="O148" s="60"/>
      <c r="P148" s="60"/>
      <c r="Q148" s="60"/>
      <c r="R148" s="60"/>
      <c r="S148" s="60"/>
      <c r="T148" s="60"/>
      <c r="U148" s="60"/>
      <c r="V148" s="61"/>
    </row>
    <row r="149" spans="1:22" x14ac:dyDescent="0.2">
      <c r="A149">
        <f t="shared" si="33"/>
        <v>145</v>
      </c>
      <c r="B149" s="363">
        <f t="shared" ca="1" si="23"/>
        <v>0</v>
      </c>
      <c r="C149" s="364">
        <f t="shared" ca="1" si="24"/>
        <v>0</v>
      </c>
      <c r="D149" s="365">
        <f t="shared" ca="1" si="25"/>
        <v>0</v>
      </c>
      <c r="E149" s="365">
        <f t="shared" ca="1" si="26"/>
        <v>0</v>
      </c>
      <c r="F149" s="365">
        <f t="shared" ca="1" si="27"/>
        <v>0</v>
      </c>
      <c r="G149" s="365">
        <f t="shared" ca="1" si="28"/>
        <v>0</v>
      </c>
      <c r="H149" s="365">
        <f t="shared" ca="1" si="29"/>
        <v>0</v>
      </c>
      <c r="I149" s="365">
        <f t="shared" ca="1" si="30"/>
        <v>0</v>
      </c>
      <c r="J149" s="364">
        <f t="shared" ca="1" si="31"/>
        <v>0</v>
      </c>
      <c r="K149" s="366">
        <f t="shared" ca="1" si="32"/>
        <v>0</v>
      </c>
      <c r="M149" s="60"/>
      <c r="N149" s="60"/>
      <c r="O149" s="60"/>
      <c r="P149" s="60"/>
      <c r="Q149" s="60"/>
      <c r="R149" s="60"/>
      <c r="S149" s="60"/>
      <c r="T149" s="60"/>
      <c r="U149" s="60"/>
      <c r="V149" s="61"/>
    </row>
    <row r="150" spans="1:22" x14ac:dyDescent="0.2">
      <c r="A150">
        <f t="shared" si="33"/>
        <v>146</v>
      </c>
      <c r="B150" s="363">
        <f t="shared" ca="1" si="23"/>
        <v>0</v>
      </c>
      <c r="C150" s="364">
        <f t="shared" ca="1" si="24"/>
        <v>0</v>
      </c>
      <c r="D150" s="365">
        <f t="shared" ca="1" si="25"/>
        <v>0</v>
      </c>
      <c r="E150" s="365">
        <f t="shared" ca="1" si="26"/>
        <v>0</v>
      </c>
      <c r="F150" s="365">
        <f t="shared" ca="1" si="27"/>
        <v>0</v>
      </c>
      <c r="G150" s="365">
        <f t="shared" ca="1" si="28"/>
        <v>0</v>
      </c>
      <c r="H150" s="365">
        <f t="shared" ca="1" si="29"/>
        <v>0</v>
      </c>
      <c r="I150" s="365">
        <f t="shared" ca="1" si="30"/>
        <v>0</v>
      </c>
      <c r="J150" s="364">
        <f t="shared" ca="1" si="31"/>
        <v>0</v>
      </c>
      <c r="K150" s="366">
        <f t="shared" ca="1" si="32"/>
        <v>0</v>
      </c>
      <c r="M150" s="60"/>
      <c r="N150" s="60"/>
      <c r="O150" s="60"/>
      <c r="P150" s="60"/>
      <c r="Q150" s="60"/>
      <c r="R150" s="60"/>
      <c r="S150" s="60"/>
      <c r="T150" s="60"/>
      <c r="U150" s="60"/>
      <c r="V150" s="61"/>
    </row>
    <row r="151" spans="1:22" x14ac:dyDescent="0.2">
      <c r="A151">
        <f t="shared" si="33"/>
        <v>147</v>
      </c>
      <c r="B151" s="363">
        <f t="shared" ca="1" si="23"/>
        <v>0</v>
      </c>
      <c r="C151" s="364">
        <f t="shared" ca="1" si="24"/>
        <v>0</v>
      </c>
      <c r="D151" s="365">
        <f t="shared" ca="1" si="25"/>
        <v>0</v>
      </c>
      <c r="E151" s="365">
        <f t="shared" ca="1" si="26"/>
        <v>0</v>
      </c>
      <c r="F151" s="365">
        <f t="shared" ca="1" si="27"/>
        <v>0</v>
      </c>
      <c r="G151" s="365">
        <f t="shared" ca="1" si="28"/>
        <v>0</v>
      </c>
      <c r="H151" s="365">
        <f t="shared" ca="1" si="29"/>
        <v>0</v>
      </c>
      <c r="I151" s="365">
        <f t="shared" ca="1" si="30"/>
        <v>0</v>
      </c>
      <c r="J151" s="364">
        <f t="shared" ca="1" si="31"/>
        <v>0</v>
      </c>
      <c r="K151" s="366">
        <f t="shared" ca="1" si="32"/>
        <v>0</v>
      </c>
      <c r="M151" s="60"/>
      <c r="N151" s="60"/>
      <c r="O151" s="60"/>
      <c r="P151" s="60"/>
      <c r="Q151" s="60"/>
      <c r="R151" s="60"/>
      <c r="S151" s="60"/>
      <c r="T151" s="60"/>
      <c r="U151" s="60"/>
      <c r="V151" s="61"/>
    </row>
    <row r="152" spans="1:22" x14ac:dyDescent="0.2">
      <c r="A152">
        <f t="shared" si="33"/>
        <v>148</v>
      </c>
      <c r="B152" s="363">
        <f t="shared" ca="1" si="23"/>
        <v>0</v>
      </c>
      <c r="C152" s="364">
        <f t="shared" ca="1" si="24"/>
        <v>0</v>
      </c>
      <c r="D152" s="365">
        <f t="shared" ca="1" si="25"/>
        <v>0</v>
      </c>
      <c r="E152" s="365">
        <f t="shared" ca="1" si="26"/>
        <v>0</v>
      </c>
      <c r="F152" s="365">
        <f t="shared" ca="1" si="27"/>
        <v>0</v>
      </c>
      <c r="G152" s="365">
        <f t="shared" ca="1" si="28"/>
        <v>0</v>
      </c>
      <c r="H152" s="365">
        <f t="shared" ca="1" si="29"/>
        <v>0</v>
      </c>
      <c r="I152" s="365">
        <f t="shared" ca="1" si="30"/>
        <v>0</v>
      </c>
      <c r="J152" s="364">
        <f t="shared" ca="1" si="31"/>
        <v>0</v>
      </c>
      <c r="K152" s="366">
        <f t="shared" ca="1" si="32"/>
        <v>0</v>
      </c>
      <c r="M152" s="60"/>
      <c r="N152" s="60"/>
      <c r="O152" s="60"/>
      <c r="P152" s="60"/>
      <c r="Q152" s="60"/>
      <c r="R152" s="60"/>
      <c r="S152" s="60"/>
      <c r="T152" s="60"/>
      <c r="U152" s="60"/>
      <c r="V152" s="61"/>
    </row>
    <row r="153" spans="1:22" x14ac:dyDescent="0.2">
      <c r="A153">
        <f t="shared" si="33"/>
        <v>149</v>
      </c>
      <c r="B153" s="363">
        <f t="shared" ca="1" si="23"/>
        <v>0</v>
      </c>
      <c r="C153" s="364">
        <f t="shared" ca="1" si="24"/>
        <v>0</v>
      </c>
      <c r="D153" s="365">
        <f t="shared" ca="1" si="25"/>
        <v>0</v>
      </c>
      <c r="E153" s="365">
        <f t="shared" ca="1" si="26"/>
        <v>0</v>
      </c>
      <c r="F153" s="365">
        <f t="shared" ca="1" si="27"/>
        <v>0</v>
      </c>
      <c r="G153" s="365">
        <f t="shared" ca="1" si="28"/>
        <v>0</v>
      </c>
      <c r="H153" s="365">
        <f t="shared" ca="1" si="29"/>
        <v>0</v>
      </c>
      <c r="I153" s="365">
        <f t="shared" ca="1" si="30"/>
        <v>0</v>
      </c>
      <c r="J153" s="364">
        <f t="shared" ca="1" si="31"/>
        <v>0</v>
      </c>
      <c r="K153" s="366">
        <f t="shared" ca="1" si="32"/>
        <v>0</v>
      </c>
      <c r="M153" s="60"/>
      <c r="N153" s="60"/>
      <c r="O153" s="60"/>
      <c r="P153" s="60"/>
      <c r="Q153" s="60"/>
      <c r="R153" s="60"/>
      <c r="S153" s="60"/>
      <c r="T153" s="60"/>
      <c r="U153" s="60"/>
      <c r="V153" s="61"/>
    </row>
    <row r="154" spans="1:22" x14ac:dyDescent="0.2">
      <c r="A154">
        <f t="shared" si="33"/>
        <v>150</v>
      </c>
      <c r="B154" s="363">
        <f t="shared" ca="1" si="23"/>
        <v>0</v>
      </c>
      <c r="C154" s="364">
        <f t="shared" ca="1" si="24"/>
        <v>0</v>
      </c>
      <c r="D154" s="365">
        <f t="shared" ca="1" si="25"/>
        <v>0</v>
      </c>
      <c r="E154" s="365">
        <f t="shared" ca="1" si="26"/>
        <v>0</v>
      </c>
      <c r="F154" s="365">
        <f t="shared" ca="1" si="27"/>
        <v>0</v>
      </c>
      <c r="G154" s="365">
        <f t="shared" ca="1" si="28"/>
        <v>0</v>
      </c>
      <c r="H154" s="365">
        <f t="shared" ca="1" si="29"/>
        <v>0</v>
      </c>
      <c r="I154" s="365">
        <f t="shared" ca="1" si="30"/>
        <v>0</v>
      </c>
      <c r="J154" s="364">
        <f t="shared" ca="1" si="31"/>
        <v>0</v>
      </c>
      <c r="K154" s="366">
        <f t="shared" ca="1" si="32"/>
        <v>0</v>
      </c>
      <c r="M154" s="60"/>
      <c r="N154" s="60"/>
      <c r="O154" s="60"/>
      <c r="P154" s="60"/>
      <c r="Q154" s="60"/>
      <c r="R154" s="60"/>
      <c r="S154" s="60"/>
      <c r="T154" s="60"/>
      <c r="U154" s="60"/>
      <c r="V154" s="61"/>
    </row>
    <row r="155" spans="1:22" x14ac:dyDescent="0.2">
      <c r="A155">
        <f t="shared" si="33"/>
        <v>151</v>
      </c>
      <c r="B155" s="363">
        <f t="shared" ca="1" si="23"/>
        <v>0</v>
      </c>
      <c r="C155" s="364">
        <f t="shared" ca="1" si="24"/>
        <v>0</v>
      </c>
      <c r="D155" s="365">
        <f t="shared" ca="1" si="25"/>
        <v>0</v>
      </c>
      <c r="E155" s="365">
        <f t="shared" ca="1" si="26"/>
        <v>0</v>
      </c>
      <c r="F155" s="365">
        <f t="shared" ca="1" si="27"/>
        <v>0</v>
      </c>
      <c r="G155" s="365">
        <f t="shared" ca="1" si="28"/>
        <v>0</v>
      </c>
      <c r="H155" s="365">
        <f t="shared" ca="1" si="29"/>
        <v>0</v>
      </c>
      <c r="I155" s="365">
        <f t="shared" ca="1" si="30"/>
        <v>0</v>
      </c>
      <c r="J155" s="364">
        <f t="shared" ca="1" si="31"/>
        <v>0</v>
      </c>
      <c r="K155" s="366">
        <f t="shared" ca="1" si="32"/>
        <v>0</v>
      </c>
      <c r="M155" s="60"/>
      <c r="N155" s="60"/>
      <c r="O155" s="60"/>
      <c r="P155" s="60"/>
      <c r="Q155" s="60"/>
      <c r="R155" s="60"/>
      <c r="S155" s="60"/>
      <c r="T155" s="60"/>
      <c r="U155" s="60"/>
      <c r="V155" s="61"/>
    </row>
    <row r="156" spans="1:22" x14ac:dyDescent="0.2">
      <c r="A156">
        <f t="shared" si="33"/>
        <v>152</v>
      </c>
      <c r="B156" s="363">
        <f t="shared" ca="1" si="23"/>
        <v>0</v>
      </c>
      <c r="C156" s="364">
        <f t="shared" ca="1" si="24"/>
        <v>0</v>
      </c>
      <c r="D156" s="365">
        <f t="shared" ca="1" si="25"/>
        <v>0</v>
      </c>
      <c r="E156" s="365">
        <f t="shared" ca="1" si="26"/>
        <v>0</v>
      </c>
      <c r="F156" s="365">
        <f t="shared" ca="1" si="27"/>
        <v>0</v>
      </c>
      <c r="G156" s="365">
        <f t="shared" ca="1" si="28"/>
        <v>0</v>
      </c>
      <c r="H156" s="365">
        <f t="shared" ca="1" si="29"/>
        <v>0</v>
      </c>
      <c r="I156" s="365">
        <f t="shared" ca="1" si="30"/>
        <v>0</v>
      </c>
      <c r="J156" s="364">
        <f t="shared" ca="1" si="31"/>
        <v>0</v>
      </c>
      <c r="K156" s="366">
        <f t="shared" ca="1" si="32"/>
        <v>0</v>
      </c>
      <c r="M156" s="60"/>
      <c r="N156" s="60"/>
      <c r="O156" s="60"/>
      <c r="P156" s="60"/>
      <c r="Q156" s="60"/>
      <c r="R156" s="60"/>
      <c r="S156" s="60"/>
      <c r="T156" s="60"/>
      <c r="U156" s="60"/>
      <c r="V156" s="61"/>
    </row>
    <row r="157" spans="1:22" x14ac:dyDescent="0.2">
      <c r="A157">
        <f t="shared" si="33"/>
        <v>153</v>
      </c>
      <c r="B157" s="363">
        <f t="shared" ca="1" si="23"/>
        <v>0</v>
      </c>
      <c r="C157" s="364">
        <f t="shared" ca="1" si="24"/>
        <v>0</v>
      </c>
      <c r="D157" s="365">
        <f t="shared" ca="1" si="25"/>
        <v>0</v>
      </c>
      <c r="E157" s="365">
        <f t="shared" ca="1" si="26"/>
        <v>0</v>
      </c>
      <c r="F157" s="365">
        <f t="shared" ca="1" si="27"/>
        <v>0</v>
      </c>
      <c r="G157" s="365">
        <f t="shared" ca="1" si="28"/>
        <v>0</v>
      </c>
      <c r="H157" s="365">
        <f t="shared" ca="1" si="29"/>
        <v>0</v>
      </c>
      <c r="I157" s="365">
        <f t="shared" ca="1" si="30"/>
        <v>0</v>
      </c>
      <c r="J157" s="364">
        <f t="shared" ca="1" si="31"/>
        <v>0</v>
      </c>
      <c r="K157" s="366">
        <f t="shared" ca="1" si="32"/>
        <v>0</v>
      </c>
      <c r="M157" s="60"/>
      <c r="N157" s="60"/>
      <c r="O157" s="60"/>
      <c r="P157" s="60"/>
      <c r="Q157" s="60"/>
      <c r="R157" s="60"/>
      <c r="S157" s="60"/>
      <c r="T157" s="60"/>
      <c r="U157" s="60"/>
      <c r="V157" s="61"/>
    </row>
    <row r="158" spans="1:22" x14ac:dyDescent="0.2">
      <c r="A158">
        <f t="shared" si="33"/>
        <v>154</v>
      </c>
      <c r="B158" s="363">
        <f t="shared" ca="1" si="23"/>
        <v>0</v>
      </c>
      <c r="C158" s="364">
        <f t="shared" ca="1" si="24"/>
        <v>0</v>
      </c>
      <c r="D158" s="365">
        <f t="shared" ca="1" si="25"/>
        <v>0</v>
      </c>
      <c r="E158" s="365">
        <f t="shared" ca="1" si="26"/>
        <v>0</v>
      </c>
      <c r="F158" s="365">
        <f t="shared" ca="1" si="27"/>
        <v>0</v>
      </c>
      <c r="G158" s="365">
        <f t="shared" ca="1" si="28"/>
        <v>0</v>
      </c>
      <c r="H158" s="365">
        <f t="shared" ca="1" si="29"/>
        <v>0</v>
      </c>
      <c r="I158" s="365">
        <f t="shared" ca="1" si="30"/>
        <v>0</v>
      </c>
      <c r="J158" s="364">
        <f t="shared" ca="1" si="31"/>
        <v>0</v>
      </c>
      <c r="K158" s="366">
        <f t="shared" ca="1" si="32"/>
        <v>0</v>
      </c>
      <c r="M158" s="60"/>
      <c r="N158" s="60"/>
      <c r="O158" s="60"/>
      <c r="P158" s="60"/>
      <c r="Q158" s="60"/>
      <c r="R158" s="60"/>
      <c r="S158" s="60"/>
      <c r="T158" s="60"/>
      <c r="U158" s="60"/>
      <c r="V158" s="61"/>
    </row>
    <row r="159" spans="1:22" x14ac:dyDescent="0.2">
      <c r="A159">
        <f t="shared" si="33"/>
        <v>155</v>
      </c>
      <c r="B159" s="363">
        <f t="shared" ca="1" si="23"/>
        <v>0</v>
      </c>
      <c r="C159" s="364">
        <f t="shared" ca="1" si="24"/>
        <v>0</v>
      </c>
      <c r="D159" s="365">
        <f t="shared" ca="1" si="25"/>
        <v>0</v>
      </c>
      <c r="E159" s="365">
        <f t="shared" ca="1" si="26"/>
        <v>0</v>
      </c>
      <c r="F159" s="365">
        <f t="shared" ca="1" si="27"/>
        <v>0</v>
      </c>
      <c r="G159" s="365">
        <f t="shared" ca="1" si="28"/>
        <v>0</v>
      </c>
      <c r="H159" s="365">
        <f t="shared" ca="1" si="29"/>
        <v>0</v>
      </c>
      <c r="I159" s="365">
        <f t="shared" ca="1" si="30"/>
        <v>0</v>
      </c>
      <c r="J159" s="364">
        <f t="shared" ca="1" si="31"/>
        <v>0</v>
      </c>
      <c r="K159" s="366">
        <f t="shared" ca="1" si="32"/>
        <v>0</v>
      </c>
      <c r="M159" s="60"/>
      <c r="N159" s="60"/>
      <c r="O159" s="60"/>
      <c r="P159" s="60"/>
      <c r="Q159" s="60"/>
      <c r="R159" s="60"/>
      <c r="S159" s="60"/>
      <c r="T159" s="60"/>
      <c r="U159" s="60"/>
      <c r="V159" s="61"/>
    </row>
    <row r="160" spans="1:22" x14ac:dyDescent="0.2">
      <c r="A160">
        <f t="shared" si="33"/>
        <v>156</v>
      </c>
      <c r="B160" s="363">
        <f t="shared" ca="1" si="23"/>
        <v>0</v>
      </c>
      <c r="C160" s="364">
        <f t="shared" ca="1" si="24"/>
        <v>0</v>
      </c>
      <c r="D160" s="365">
        <f t="shared" ca="1" si="25"/>
        <v>0</v>
      </c>
      <c r="E160" s="365">
        <f t="shared" ca="1" si="26"/>
        <v>0</v>
      </c>
      <c r="F160" s="365">
        <f t="shared" ca="1" si="27"/>
        <v>0</v>
      </c>
      <c r="G160" s="365">
        <f t="shared" ca="1" si="28"/>
        <v>0</v>
      </c>
      <c r="H160" s="365">
        <f t="shared" ca="1" si="29"/>
        <v>0</v>
      </c>
      <c r="I160" s="365">
        <f t="shared" ca="1" si="30"/>
        <v>0</v>
      </c>
      <c r="J160" s="364">
        <f t="shared" ca="1" si="31"/>
        <v>0</v>
      </c>
      <c r="K160" s="366">
        <f t="shared" ca="1" si="32"/>
        <v>0</v>
      </c>
      <c r="M160" s="60"/>
      <c r="N160" s="60"/>
      <c r="O160" s="60"/>
      <c r="P160" s="60"/>
      <c r="Q160" s="60"/>
      <c r="R160" s="60"/>
      <c r="S160" s="60"/>
      <c r="T160" s="60"/>
      <c r="U160" s="60"/>
      <c r="V160" s="61"/>
    </row>
    <row r="161" spans="1:22" x14ac:dyDescent="0.2">
      <c r="A161">
        <f t="shared" si="33"/>
        <v>157</v>
      </c>
      <c r="B161" s="363">
        <f t="shared" ca="1" si="23"/>
        <v>0</v>
      </c>
      <c r="C161" s="364">
        <f t="shared" ca="1" si="24"/>
        <v>0</v>
      </c>
      <c r="D161" s="365">
        <f t="shared" ca="1" si="25"/>
        <v>0</v>
      </c>
      <c r="E161" s="365">
        <f t="shared" ca="1" si="26"/>
        <v>0</v>
      </c>
      <c r="F161" s="365">
        <f t="shared" ca="1" si="27"/>
        <v>0</v>
      </c>
      <c r="G161" s="365">
        <f t="shared" ca="1" si="28"/>
        <v>0</v>
      </c>
      <c r="H161" s="365">
        <f t="shared" ca="1" si="29"/>
        <v>0</v>
      </c>
      <c r="I161" s="365">
        <f t="shared" ca="1" si="30"/>
        <v>0</v>
      </c>
      <c r="J161" s="364">
        <f t="shared" ca="1" si="31"/>
        <v>0</v>
      </c>
      <c r="K161" s="366">
        <f t="shared" ca="1" si="32"/>
        <v>0</v>
      </c>
      <c r="M161" s="60"/>
      <c r="N161" s="60"/>
      <c r="O161" s="60"/>
      <c r="P161" s="60"/>
      <c r="Q161" s="60"/>
      <c r="R161" s="60"/>
      <c r="S161" s="60"/>
      <c r="T161" s="60"/>
      <c r="U161" s="60"/>
      <c r="V161" s="61"/>
    </row>
    <row r="162" spans="1:22" x14ac:dyDescent="0.2">
      <c r="A162">
        <f t="shared" si="33"/>
        <v>158</v>
      </c>
      <c r="B162" s="363">
        <f t="shared" ca="1" si="23"/>
        <v>0</v>
      </c>
      <c r="C162" s="364">
        <f t="shared" ca="1" si="24"/>
        <v>0</v>
      </c>
      <c r="D162" s="365">
        <f t="shared" ca="1" si="25"/>
        <v>0</v>
      </c>
      <c r="E162" s="365">
        <f t="shared" ca="1" si="26"/>
        <v>0</v>
      </c>
      <c r="F162" s="365">
        <f t="shared" ca="1" si="27"/>
        <v>0</v>
      </c>
      <c r="G162" s="365">
        <f t="shared" ca="1" si="28"/>
        <v>0</v>
      </c>
      <c r="H162" s="365">
        <f t="shared" ca="1" si="29"/>
        <v>0</v>
      </c>
      <c r="I162" s="365">
        <f t="shared" ca="1" si="30"/>
        <v>0</v>
      </c>
      <c r="J162" s="364">
        <f t="shared" ca="1" si="31"/>
        <v>0</v>
      </c>
      <c r="K162" s="366">
        <f t="shared" ca="1" si="32"/>
        <v>0</v>
      </c>
      <c r="M162" s="60"/>
      <c r="N162" s="60"/>
      <c r="O162" s="60"/>
      <c r="P162" s="60"/>
      <c r="Q162" s="60"/>
      <c r="R162" s="60"/>
      <c r="S162" s="60"/>
      <c r="T162" s="60"/>
      <c r="U162" s="60"/>
      <c r="V162" s="61"/>
    </row>
    <row r="163" spans="1:22" x14ac:dyDescent="0.2">
      <c r="A163">
        <f t="shared" si="33"/>
        <v>159</v>
      </c>
      <c r="B163" s="363">
        <f t="shared" ca="1" si="23"/>
        <v>0</v>
      </c>
      <c r="C163" s="364">
        <f t="shared" ca="1" si="24"/>
        <v>0</v>
      </c>
      <c r="D163" s="365">
        <f t="shared" ca="1" si="25"/>
        <v>0</v>
      </c>
      <c r="E163" s="365">
        <f t="shared" ca="1" si="26"/>
        <v>0</v>
      </c>
      <c r="F163" s="365">
        <f t="shared" ca="1" si="27"/>
        <v>0</v>
      </c>
      <c r="G163" s="365">
        <f t="shared" ca="1" si="28"/>
        <v>0</v>
      </c>
      <c r="H163" s="365">
        <f t="shared" ca="1" si="29"/>
        <v>0</v>
      </c>
      <c r="I163" s="365">
        <f t="shared" ca="1" si="30"/>
        <v>0</v>
      </c>
      <c r="J163" s="364">
        <f t="shared" ca="1" si="31"/>
        <v>0</v>
      </c>
      <c r="K163" s="366">
        <f t="shared" ca="1" si="32"/>
        <v>0</v>
      </c>
      <c r="M163" s="60"/>
      <c r="N163" s="60"/>
      <c r="O163" s="60"/>
      <c r="P163" s="60"/>
      <c r="Q163" s="60"/>
      <c r="R163" s="60"/>
      <c r="S163" s="60"/>
      <c r="T163" s="60"/>
      <c r="U163" s="60"/>
      <c r="V163" s="61"/>
    </row>
    <row r="164" spans="1:22" x14ac:dyDescent="0.2">
      <c r="A164">
        <f t="shared" si="33"/>
        <v>160</v>
      </c>
      <c r="B164" s="363">
        <f t="shared" ca="1" si="23"/>
        <v>0</v>
      </c>
      <c r="C164" s="364">
        <f t="shared" ca="1" si="24"/>
        <v>0</v>
      </c>
      <c r="D164" s="365">
        <f t="shared" ca="1" si="25"/>
        <v>0</v>
      </c>
      <c r="E164" s="365">
        <f t="shared" ca="1" si="26"/>
        <v>0</v>
      </c>
      <c r="F164" s="365">
        <f t="shared" ca="1" si="27"/>
        <v>0</v>
      </c>
      <c r="G164" s="365">
        <f t="shared" ca="1" si="28"/>
        <v>0</v>
      </c>
      <c r="H164" s="365">
        <f t="shared" ca="1" si="29"/>
        <v>0</v>
      </c>
      <c r="I164" s="365">
        <f t="shared" ca="1" si="30"/>
        <v>0</v>
      </c>
      <c r="J164" s="364">
        <f t="shared" ca="1" si="31"/>
        <v>0</v>
      </c>
      <c r="K164" s="366">
        <f t="shared" ca="1" si="32"/>
        <v>0</v>
      </c>
      <c r="M164" s="60"/>
      <c r="N164" s="60"/>
      <c r="O164" s="60"/>
      <c r="P164" s="60"/>
      <c r="Q164" s="60"/>
      <c r="R164" s="60"/>
      <c r="S164" s="60"/>
      <c r="T164" s="60"/>
      <c r="U164" s="60"/>
      <c r="V164" s="61"/>
    </row>
    <row r="165" spans="1:22" x14ac:dyDescent="0.2">
      <c r="A165">
        <f t="shared" si="33"/>
        <v>161</v>
      </c>
      <c r="B165" s="363">
        <f t="shared" ca="1" si="23"/>
        <v>0</v>
      </c>
      <c r="C165" s="364">
        <f t="shared" ca="1" si="24"/>
        <v>0</v>
      </c>
      <c r="D165" s="365">
        <f t="shared" ca="1" si="25"/>
        <v>0</v>
      </c>
      <c r="E165" s="365">
        <f t="shared" ca="1" si="26"/>
        <v>0</v>
      </c>
      <c r="F165" s="365">
        <f t="shared" ca="1" si="27"/>
        <v>0</v>
      </c>
      <c r="G165" s="365">
        <f t="shared" ca="1" si="28"/>
        <v>0</v>
      </c>
      <c r="H165" s="365">
        <f t="shared" ca="1" si="29"/>
        <v>0</v>
      </c>
      <c r="I165" s="365">
        <f t="shared" ca="1" si="30"/>
        <v>0</v>
      </c>
      <c r="J165" s="364">
        <f t="shared" ca="1" si="31"/>
        <v>0</v>
      </c>
      <c r="K165" s="366">
        <f t="shared" ca="1" si="32"/>
        <v>0</v>
      </c>
      <c r="M165" s="60"/>
      <c r="N165" s="60"/>
      <c r="O165" s="60"/>
      <c r="P165" s="60"/>
      <c r="Q165" s="60"/>
      <c r="R165" s="60"/>
      <c r="S165" s="60"/>
      <c r="T165" s="60"/>
      <c r="U165" s="60"/>
      <c r="V165" s="61"/>
    </row>
    <row r="166" spans="1:22" x14ac:dyDescent="0.2">
      <c r="A166">
        <f t="shared" si="33"/>
        <v>162</v>
      </c>
      <c r="B166" s="363">
        <f t="shared" ca="1" si="23"/>
        <v>0</v>
      </c>
      <c r="C166" s="364">
        <f t="shared" ca="1" si="24"/>
        <v>0</v>
      </c>
      <c r="D166" s="365">
        <f t="shared" ca="1" si="25"/>
        <v>0</v>
      </c>
      <c r="E166" s="365">
        <f t="shared" ca="1" si="26"/>
        <v>0</v>
      </c>
      <c r="F166" s="365">
        <f t="shared" ca="1" si="27"/>
        <v>0</v>
      </c>
      <c r="G166" s="365">
        <f t="shared" ca="1" si="28"/>
        <v>0</v>
      </c>
      <c r="H166" s="365">
        <f t="shared" ca="1" si="29"/>
        <v>0</v>
      </c>
      <c r="I166" s="365">
        <f t="shared" ca="1" si="30"/>
        <v>0</v>
      </c>
      <c r="J166" s="364">
        <f t="shared" ca="1" si="31"/>
        <v>0</v>
      </c>
      <c r="K166" s="366">
        <f t="shared" ca="1" si="32"/>
        <v>0</v>
      </c>
      <c r="M166" s="60"/>
      <c r="N166" s="60"/>
      <c r="O166" s="60"/>
      <c r="P166" s="60"/>
      <c r="Q166" s="60"/>
      <c r="R166" s="60"/>
      <c r="S166" s="60"/>
      <c r="T166" s="60"/>
      <c r="U166" s="60"/>
      <c r="V166" s="61"/>
    </row>
    <row r="167" spans="1:22" x14ac:dyDescent="0.2">
      <c r="A167">
        <f t="shared" si="33"/>
        <v>163</v>
      </c>
      <c r="B167" s="363">
        <f t="shared" ca="1" si="23"/>
        <v>0</v>
      </c>
      <c r="C167" s="364">
        <f t="shared" ca="1" si="24"/>
        <v>0</v>
      </c>
      <c r="D167" s="365">
        <f t="shared" ca="1" si="25"/>
        <v>0</v>
      </c>
      <c r="E167" s="365">
        <f t="shared" ca="1" si="26"/>
        <v>0</v>
      </c>
      <c r="F167" s="365">
        <f t="shared" ca="1" si="27"/>
        <v>0</v>
      </c>
      <c r="G167" s="365">
        <f t="shared" ca="1" si="28"/>
        <v>0</v>
      </c>
      <c r="H167" s="365">
        <f t="shared" ca="1" si="29"/>
        <v>0</v>
      </c>
      <c r="I167" s="365">
        <f t="shared" ca="1" si="30"/>
        <v>0</v>
      </c>
      <c r="J167" s="364">
        <f t="shared" ca="1" si="31"/>
        <v>0</v>
      </c>
      <c r="K167" s="366">
        <f t="shared" ca="1" si="32"/>
        <v>0</v>
      </c>
      <c r="M167" s="60"/>
      <c r="N167" s="60"/>
      <c r="O167" s="60"/>
      <c r="P167" s="60"/>
      <c r="Q167" s="60"/>
      <c r="R167" s="60"/>
      <c r="S167" s="60"/>
      <c r="T167" s="60"/>
      <c r="U167" s="60"/>
      <c r="V167" s="61"/>
    </row>
    <row r="168" spans="1:22" x14ac:dyDescent="0.2">
      <c r="A168">
        <f t="shared" si="33"/>
        <v>164</v>
      </c>
      <c r="B168" s="363">
        <f t="shared" ca="1" si="23"/>
        <v>0</v>
      </c>
      <c r="C168" s="364">
        <f t="shared" ca="1" si="24"/>
        <v>0</v>
      </c>
      <c r="D168" s="365">
        <f t="shared" ca="1" si="25"/>
        <v>0</v>
      </c>
      <c r="E168" s="365">
        <f t="shared" ca="1" si="26"/>
        <v>0</v>
      </c>
      <c r="F168" s="365">
        <f t="shared" ca="1" si="27"/>
        <v>0</v>
      </c>
      <c r="G168" s="365">
        <f t="shared" ca="1" si="28"/>
        <v>0</v>
      </c>
      <c r="H168" s="365">
        <f t="shared" ca="1" si="29"/>
        <v>0</v>
      </c>
      <c r="I168" s="365">
        <f t="shared" ca="1" si="30"/>
        <v>0</v>
      </c>
      <c r="J168" s="364">
        <f t="shared" ca="1" si="31"/>
        <v>0</v>
      </c>
      <c r="K168" s="366">
        <f t="shared" ca="1" si="32"/>
        <v>0</v>
      </c>
      <c r="M168" s="60"/>
      <c r="N168" s="60"/>
      <c r="O168" s="60"/>
      <c r="P168" s="60"/>
      <c r="Q168" s="60"/>
      <c r="R168" s="60"/>
      <c r="S168" s="60"/>
      <c r="T168" s="60"/>
      <c r="U168" s="60"/>
      <c r="V168" s="61"/>
    </row>
    <row r="169" spans="1:22" x14ac:dyDescent="0.2">
      <c r="A169">
        <f t="shared" si="33"/>
        <v>165</v>
      </c>
      <c r="B169" s="363">
        <f t="shared" ca="1" si="23"/>
        <v>0</v>
      </c>
      <c r="C169" s="364">
        <f t="shared" ca="1" si="24"/>
        <v>0</v>
      </c>
      <c r="D169" s="365">
        <f t="shared" ca="1" si="25"/>
        <v>0</v>
      </c>
      <c r="E169" s="365">
        <f t="shared" ca="1" si="26"/>
        <v>0</v>
      </c>
      <c r="F169" s="365">
        <f t="shared" ca="1" si="27"/>
        <v>0</v>
      </c>
      <c r="G169" s="365">
        <f t="shared" ca="1" si="28"/>
        <v>0</v>
      </c>
      <c r="H169" s="365">
        <f t="shared" ca="1" si="29"/>
        <v>0</v>
      </c>
      <c r="I169" s="365">
        <f t="shared" ca="1" si="30"/>
        <v>0</v>
      </c>
      <c r="J169" s="364">
        <f t="shared" ca="1" si="31"/>
        <v>0</v>
      </c>
      <c r="K169" s="366">
        <f t="shared" ca="1" si="32"/>
        <v>0</v>
      </c>
      <c r="M169" s="60"/>
      <c r="N169" s="60"/>
      <c r="O169" s="60"/>
      <c r="P169" s="60"/>
      <c r="Q169" s="60"/>
      <c r="R169" s="60"/>
      <c r="S169" s="60"/>
      <c r="T169" s="60"/>
      <c r="U169" s="60"/>
      <c r="V169" s="61"/>
    </row>
    <row r="170" spans="1:22" x14ac:dyDescent="0.2">
      <c r="A170">
        <f t="shared" si="33"/>
        <v>166</v>
      </c>
      <c r="B170" s="363">
        <f t="shared" ca="1" si="23"/>
        <v>0</v>
      </c>
      <c r="C170" s="364">
        <f t="shared" ca="1" si="24"/>
        <v>0</v>
      </c>
      <c r="D170" s="365">
        <f t="shared" ca="1" si="25"/>
        <v>0</v>
      </c>
      <c r="E170" s="365">
        <f t="shared" ca="1" si="26"/>
        <v>0</v>
      </c>
      <c r="F170" s="365">
        <f t="shared" ca="1" si="27"/>
        <v>0</v>
      </c>
      <c r="G170" s="365">
        <f t="shared" ca="1" si="28"/>
        <v>0</v>
      </c>
      <c r="H170" s="365">
        <f t="shared" ca="1" si="29"/>
        <v>0</v>
      </c>
      <c r="I170" s="365">
        <f t="shared" ca="1" si="30"/>
        <v>0</v>
      </c>
      <c r="J170" s="364">
        <f t="shared" ca="1" si="31"/>
        <v>0</v>
      </c>
      <c r="K170" s="366">
        <f t="shared" ca="1" si="32"/>
        <v>0</v>
      </c>
      <c r="M170" s="60"/>
      <c r="N170" s="60"/>
      <c r="O170" s="60"/>
      <c r="P170" s="60"/>
      <c r="Q170" s="60"/>
      <c r="R170" s="60"/>
      <c r="S170" s="60"/>
      <c r="T170" s="60"/>
      <c r="U170" s="60"/>
      <c r="V170" s="61"/>
    </row>
    <row r="171" spans="1:22" x14ac:dyDescent="0.2">
      <c r="A171">
        <f t="shared" si="33"/>
        <v>167</v>
      </c>
      <c r="B171" s="363">
        <f t="shared" ca="1" si="23"/>
        <v>0</v>
      </c>
      <c r="C171" s="364">
        <f t="shared" ca="1" si="24"/>
        <v>0</v>
      </c>
      <c r="D171" s="365">
        <f t="shared" ca="1" si="25"/>
        <v>0</v>
      </c>
      <c r="E171" s="365">
        <f t="shared" ca="1" si="26"/>
        <v>0</v>
      </c>
      <c r="F171" s="365">
        <f t="shared" ca="1" si="27"/>
        <v>0</v>
      </c>
      <c r="G171" s="365">
        <f t="shared" ca="1" si="28"/>
        <v>0</v>
      </c>
      <c r="H171" s="365">
        <f t="shared" ca="1" si="29"/>
        <v>0</v>
      </c>
      <c r="I171" s="365">
        <f t="shared" ca="1" si="30"/>
        <v>0</v>
      </c>
      <c r="J171" s="364">
        <f t="shared" ca="1" si="31"/>
        <v>0</v>
      </c>
      <c r="K171" s="366">
        <f t="shared" ca="1" si="32"/>
        <v>0</v>
      </c>
      <c r="M171" s="60"/>
      <c r="N171" s="60"/>
      <c r="O171" s="60"/>
      <c r="P171" s="60"/>
      <c r="Q171" s="60"/>
      <c r="R171" s="60"/>
      <c r="S171" s="60"/>
      <c r="T171" s="60"/>
      <c r="U171" s="60"/>
      <c r="V171" s="61"/>
    </row>
    <row r="172" spans="1:22" x14ac:dyDescent="0.2">
      <c r="A172">
        <f t="shared" si="33"/>
        <v>168</v>
      </c>
      <c r="B172" s="363">
        <f t="shared" ca="1" si="23"/>
        <v>0</v>
      </c>
      <c r="C172" s="364">
        <f t="shared" ca="1" si="24"/>
        <v>0</v>
      </c>
      <c r="D172" s="365">
        <f t="shared" ca="1" si="25"/>
        <v>0</v>
      </c>
      <c r="E172" s="365">
        <f t="shared" ca="1" si="26"/>
        <v>0</v>
      </c>
      <c r="F172" s="365">
        <f t="shared" ca="1" si="27"/>
        <v>0</v>
      </c>
      <c r="G172" s="365">
        <f t="shared" ca="1" si="28"/>
        <v>0</v>
      </c>
      <c r="H172" s="365">
        <f t="shared" ca="1" si="29"/>
        <v>0</v>
      </c>
      <c r="I172" s="365">
        <f t="shared" ca="1" si="30"/>
        <v>0</v>
      </c>
      <c r="J172" s="364">
        <f t="shared" ca="1" si="31"/>
        <v>0</v>
      </c>
      <c r="K172" s="366">
        <f t="shared" ca="1" si="32"/>
        <v>0</v>
      </c>
      <c r="M172" s="60"/>
      <c r="N172" s="60"/>
      <c r="O172" s="60"/>
      <c r="P172" s="60"/>
      <c r="Q172" s="60"/>
      <c r="R172" s="60"/>
      <c r="S172" s="60"/>
      <c r="T172" s="60"/>
      <c r="U172" s="60"/>
      <c r="V172" s="61"/>
    </row>
    <row r="173" spans="1:22" x14ac:dyDescent="0.2">
      <c r="A173">
        <f t="shared" si="33"/>
        <v>169</v>
      </c>
      <c r="B173" s="363">
        <f t="shared" ca="1" si="23"/>
        <v>0</v>
      </c>
      <c r="C173" s="364">
        <f t="shared" ca="1" si="24"/>
        <v>0</v>
      </c>
      <c r="D173" s="365">
        <f t="shared" ca="1" si="25"/>
        <v>0</v>
      </c>
      <c r="E173" s="365">
        <f t="shared" ca="1" si="26"/>
        <v>0</v>
      </c>
      <c r="F173" s="365">
        <f t="shared" ca="1" si="27"/>
        <v>0</v>
      </c>
      <c r="G173" s="365">
        <f t="shared" ca="1" si="28"/>
        <v>0</v>
      </c>
      <c r="H173" s="365">
        <f t="shared" ca="1" si="29"/>
        <v>0</v>
      </c>
      <c r="I173" s="365">
        <f t="shared" ca="1" si="30"/>
        <v>0</v>
      </c>
      <c r="J173" s="364">
        <f t="shared" ca="1" si="31"/>
        <v>0</v>
      </c>
      <c r="K173" s="366">
        <f t="shared" ca="1" si="32"/>
        <v>0</v>
      </c>
      <c r="M173" s="60"/>
      <c r="N173" s="60"/>
      <c r="O173" s="60"/>
      <c r="P173" s="60"/>
      <c r="Q173" s="60"/>
      <c r="R173" s="60"/>
      <c r="S173" s="60"/>
      <c r="T173" s="60"/>
      <c r="U173" s="60"/>
      <c r="V173" s="61"/>
    </row>
    <row r="174" spans="1:22" x14ac:dyDescent="0.2">
      <c r="A174">
        <f t="shared" si="33"/>
        <v>170</v>
      </c>
      <c r="B174" s="363">
        <f t="shared" ca="1" si="23"/>
        <v>0</v>
      </c>
      <c r="C174" s="364">
        <f t="shared" ca="1" si="24"/>
        <v>0</v>
      </c>
      <c r="D174" s="365">
        <f t="shared" ca="1" si="25"/>
        <v>0</v>
      </c>
      <c r="E174" s="365">
        <f t="shared" ca="1" si="26"/>
        <v>0</v>
      </c>
      <c r="F174" s="365">
        <f t="shared" ca="1" si="27"/>
        <v>0</v>
      </c>
      <c r="G174" s="365">
        <f t="shared" ca="1" si="28"/>
        <v>0</v>
      </c>
      <c r="H174" s="365">
        <f t="shared" ca="1" si="29"/>
        <v>0</v>
      </c>
      <c r="I174" s="365">
        <f t="shared" ca="1" si="30"/>
        <v>0</v>
      </c>
      <c r="J174" s="364">
        <f t="shared" ca="1" si="31"/>
        <v>0</v>
      </c>
      <c r="K174" s="366">
        <f t="shared" ca="1" si="32"/>
        <v>0</v>
      </c>
      <c r="M174" s="60"/>
      <c r="N174" s="60"/>
      <c r="O174" s="60"/>
      <c r="P174" s="60"/>
      <c r="Q174" s="60"/>
      <c r="R174" s="60"/>
      <c r="S174" s="60"/>
      <c r="T174" s="60"/>
      <c r="U174" s="60"/>
      <c r="V174" s="61"/>
    </row>
    <row r="175" spans="1:22" x14ac:dyDescent="0.2">
      <c r="A175">
        <f t="shared" si="33"/>
        <v>171</v>
      </c>
      <c r="B175" s="363">
        <f t="shared" ca="1" si="23"/>
        <v>0</v>
      </c>
      <c r="C175" s="364">
        <f t="shared" ca="1" si="24"/>
        <v>0</v>
      </c>
      <c r="D175" s="365">
        <f t="shared" ca="1" si="25"/>
        <v>0</v>
      </c>
      <c r="E175" s="365">
        <f t="shared" ca="1" si="26"/>
        <v>0</v>
      </c>
      <c r="F175" s="365">
        <f t="shared" ca="1" si="27"/>
        <v>0</v>
      </c>
      <c r="G175" s="365">
        <f t="shared" ca="1" si="28"/>
        <v>0</v>
      </c>
      <c r="H175" s="365">
        <f t="shared" ca="1" si="29"/>
        <v>0</v>
      </c>
      <c r="I175" s="365">
        <f t="shared" ca="1" si="30"/>
        <v>0</v>
      </c>
      <c r="J175" s="364">
        <f t="shared" ca="1" si="31"/>
        <v>0</v>
      </c>
      <c r="K175" s="366">
        <f t="shared" ca="1" si="32"/>
        <v>0</v>
      </c>
      <c r="M175" s="60"/>
      <c r="N175" s="60"/>
      <c r="O175" s="60"/>
      <c r="P175" s="60"/>
      <c r="Q175" s="60"/>
      <c r="R175" s="60"/>
      <c r="S175" s="60"/>
      <c r="T175" s="60"/>
      <c r="U175" s="60"/>
      <c r="V175" s="61"/>
    </row>
    <row r="176" spans="1:22" x14ac:dyDescent="0.2">
      <c r="A176">
        <f t="shared" si="33"/>
        <v>172</v>
      </c>
      <c r="B176" s="363">
        <f t="shared" ca="1" si="23"/>
        <v>0</v>
      </c>
      <c r="C176" s="364">
        <f t="shared" ca="1" si="24"/>
        <v>0</v>
      </c>
      <c r="D176" s="365">
        <f t="shared" ca="1" si="25"/>
        <v>0</v>
      </c>
      <c r="E176" s="365">
        <f t="shared" ca="1" si="26"/>
        <v>0</v>
      </c>
      <c r="F176" s="365">
        <f t="shared" ca="1" si="27"/>
        <v>0</v>
      </c>
      <c r="G176" s="365">
        <f t="shared" ca="1" si="28"/>
        <v>0</v>
      </c>
      <c r="H176" s="365">
        <f t="shared" ca="1" si="29"/>
        <v>0</v>
      </c>
      <c r="I176" s="365">
        <f t="shared" ca="1" si="30"/>
        <v>0</v>
      </c>
      <c r="J176" s="364">
        <f t="shared" ca="1" si="31"/>
        <v>0</v>
      </c>
      <c r="K176" s="366">
        <f t="shared" ca="1" si="32"/>
        <v>0</v>
      </c>
      <c r="M176" s="60"/>
      <c r="N176" s="60"/>
      <c r="O176" s="60"/>
      <c r="P176" s="60"/>
      <c r="Q176" s="60"/>
      <c r="R176" s="60"/>
      <c r="S176" s="60"/>
      <c r="T176" s="60"/>
      <c r="U176" s="60"/>
      <c r="V176" s="61"/>
    </row>
    <row r="177" spans="1:22" x14ac:dyDescent="0.2">
      <c r="A177">
        <f t="shared" si="33"/>
        <v>173</v>
      </c>
      <c r="B177" s="363">
        <f t="shared" ca="1" si="23"/>
        <v>0</v>
      </c>
      <c r="C177" s="364">
        <f t="shared" ca="1" si="24"/>
        <v>0</v>
      </c>
      <c r="D177" s="365">
        <f t="shared" ca="1" si="25"/>
        <v>0</v>
      </c>
      <c r="E177" s="365">
        <f t="shared" ca="1" si="26"/>
        <v>0</v>
      </c>
      <c r="F177" s="365">
        <f t="shared" ca="1" si="27"/>
        <v>0</v>
      </c>
      <c r="G177" s="365">
        <f t="shared" ca="1" si="28"/>
        <v>0</v>
      </c>
      <c r="H177" s="365">
        <f t="shared" ca="1" si="29"/>
        <v>0</v>
      </c>
      <c r="I177" s="365">
        <f t="shared" ca="1" si="30"/>
        <v>0</v>
      </c>
      <c r="J177" s="364">
        <f t="shared" ca="1" si="31"/>
        <v>0</v>
      </c>
      <c r="K177" s="366">
        <f t="shared" ca="1" si="32"/>
        <v>0</v>
      </c>
      <c r="M177" s="60"/>
      <c r="N177" s="60"/>
      <c r="O177" s="60"/>
      <c r="P177" s="60"/>
      <c r="Q177" s="60"/>
      <c r="R177" s="60"/>
      <c r="S177" s="60"/>
      <c r="T177" s="60"/>
      <c r="U177" s="60"/>
      <c r="V177" s="61"/>
    </row>
    <row r="178" spans="1:22" x14ac:dyDescent="0.2">
      <c r="A178">
        <f t="shared" si="33"/>
        <v>174</v>
      </c>
      <c r="B178" s="363">
        <f t="shared" ca="1" si="23"/>
        <v>0</v>
      </c>
      <c r="C178" s="364">
        <f t="shared" ca="1" si="24"/>
        <v>0</v>
      </c>
      <c r="D178" s="365">
        <f t="shared" ca="1" si="25"/>
        <v>0</v>
      </c>
      <c r="E178" s="365">
        <f t="shared" ca="1" si="26"/>
        <v>0</v>
      </c>
      <c r="F178" s="365">
        <f t="shared" ca="1" si="27"/>
        <v>0</v>
      </c>
      <c r="G178" s="365">
        <f t="shared" ca="1" si="28"/>
        <v>0</v>
      </c>
      <c r="H178" s="365">
        <f t="shared" ca="1" si="29"/>
        <v>0</v>
      </c>
      <c r="I178" s="365">
        <f t="shared" ca="1" si="30"/>
        <v>0</v>
      </c>
      <c r="J178" s="364">
        <f t="shared" ca="1" si="31"/>
        <v>0</v>
      </c>
      <c r="K178" s="366">
        <f t="shared" ca="1" si="32"/>
        <v>0</v>
      </c>
      <c r="M178" s="60"/>
      <c r="N178" s="60"/>
      <c r="O178" s="60"/>
      <c r="P178" s="60"/>
      <c r="Q178" s="60"/>
      <c r="R178" s="60"/>
      <c r="S178" s="60"/>
      <c r="T178" s="60"/>
      <c r="U178" s="60"/>
      <c r="V178" s="61"/>
    </row>
    <row r="179" spans="1:22" x14ac:dyDescent="0.2">
      <c r="A179">
        <f t="shared" si="33"/>
        <v>175</v>
      </c>
      <c r="B179" s="363">
        <f t="shared" ca="1" si="23"/>
        <v>0</v>
      </c>
      <c r="C179" s="364">
        <f t="shared" ca="1" si="24"/>
        <v>0</v>
      </c>
      <c r="D179" s="365">
        <f t="shared" ca="1" si="25"/>
        <v>0</v>
      </c>
      <c r="E179" s="365">
        <f t="shared" ca="1" si="26"/>
        <v>0</v>
      </c>
      <c r="F179" s="365">
        <f t="shared" ca="1" si="27"/>
        <v>0</v>
      </c>
      <c r="G179" s="365">
        <f t="shared" ca="1" si="28"/>
        <v>0</v>
      </c>
      <c r="H179" s="365">
        <f t="shared" ca="1" si="29"/>
        <v>0</v>
      </c>
      <c r="I179" s="365">
        <f t="shared" ca="1" si="30"/>
        <v>0</v>
      </c>
      <c r="J179" s="364">
        <f t="shared" ca="1" si="31"/>
        <v>0</v>
      </c>
      <c r="K179" s="366">
        <f t="shared" ca="1" si="32"/>
        <v>0</v>
      </c>
      <c r="M179" s="60"/>
      <c r="N179" s="60"/>
      <c r="O179" s="60"/>
      <c r="P179" s="60"/>
      <c r="Q179" s="60"/>
      <c r="R179" s="60"/>
      <c r="S179" s="60"/>
      <c r="T179" s="60"/>
      <c r="U179" s="60"/>
      <c r="V179" s="61"/>
    </row>
    <row r="180" spans="1:22" x14ac:dyDescent="0.2">
      <c r="A180">
        <f t="shared" si="33"/>
        <v>176</v>
      </c>
      <c r="B180" s="363">
        <f t="shared" ca="1" si="23"/>
        <v>0</v>
      </c>
      <c r="C180" s="364">
        <f t="shared" ca="1" si="24"/>
        <v>0</v>
      </c>
      <c r="D180" s="365">
        <f t="shared" ca="1" si="25"/>
        <v>0</v>
      </c>
      <c r="E180" s="365">
        <f t="shared" ca="1" si="26"/>
        <v>0</v>
      </c>
      <c r="F180" s="365">
        <f t="shared" ca="1" si="27"/>
        <v>0</v>
      </c>
      <c r="G180" s="365">
        <f t="shared" ca="1" si="28"/>
        <v>0</v>
      </c>
      <c r="H180" s="365">
        <f t="shared" ca="1" si="29"/>
        <v>0</v>
      </c>
      <c r="I180" s="365">
        <f t="shared" ca="1" si="30"/>
        <v>0</v>
      </c>
      <c r="J180" s="364">
        <f t="shared" ca="1" si="31"/>
        <v>0</v>
      </c>
      <c r="K180" s="366">
        <f t="shared" ca="1" si="32"/>
        <v>0</v>
      </c>
      <c r="M180" s="60"/>
      <c r="N180" s="60"/>
      <c r="O180" s="60"/>
      <c r="P180" s="60"/>
      <c r="Q180" s="60"/>
      <c r="R180" s="60"/>
      <c r="S180" s="60"/>
      <c r="T180" s="60"/>
      <c r="U180" s="60"/>
      <c r="V180" s="61"/>
    </row>
    <row r="181" spans="1:22" x14ac:dyDescent="0.2">
      <c r="A181">
        <f t="shared" si="33"/>
        <v>177</v>
      </c>
      <c r="B181" s="363">
        <f t="shared" ca="1" si="23"/>
        <v>0</v>
      </c>
      <c r="C181" s="364">
        <f t="shared" ca="1" si="24"/>
        <v>0</v>
      </c>
      <c r="D181" s="365">
        <f t="shared" ca="1" si="25"/>
        <v>0</v>
      </c>
      <c r="E181" s="365">
        <f t="shared" ca="1" si="26"/>
        <v>0</v>
      </c>
      <c r="F181" s="365">
        <f t="shared" ca="1" si="27"/>
        <v>0</v>
      </c>
      <c r="G181" s="365">
        <f t="shared" ca="1" si="28"/>
        <v>0</v>
      </c>
      <c r="H181" s="365">
        <f t="shared" ca="1" si="29"/>
        <v>0</v>
      </c>
      <c r="I181" s="365">
        <f t="shared" ca="1" si="30"/>
        <v>0</v>
      </c>
      <c r="J181" s="364">
        <f t="shared" ca="1" si="31"/>
        <v>0</v>
      </c>
      <c r="K181" s="366">
        <f t="shared" ca="1" si="32"/>
        <v>0</v>
      </c>
      <c r="M181" s="60"/>
      <c r="N181" s="60"/>
      <c r="O181" s="60"/>
      <c r="P181" s="60"/>
      <c r="Q181" s="60"/>
      <c r="R181" s="60"/>
      <c r="S181" s="60"/>
      <c r="T181" s="60"/>
      <c r="U181" s="60"/>
      <c r="V181" s="61"/>
    </row>
    <row r="182" spans="1:22" x14ac:dyDescent="0.2">
      <c r="A182">
        <f t="shared" si="33"/>
        <v>178</v>
      </c>
      <c r="B182" s="363">
        <f t="shared" ca="1" si="23"/>
        <v>0</v>
      </c>
      <c r="C182" s="364">
        <f t="shared" ca="1" si="24"/>
        <v>0</v>
      </c>
      <c r="D182" s="365">
        <f t="shared" ca="1" si="25"/>
        <v>0</v>
      </c>
      <c r="E182" s="365">
        <f t="shared" ca="1" si="26"/>
        <v>0</v>
      </c>
      <c r="F182" s="365">
        <f t="shared" ca="1" si="27"/>
        <v>0</v>
      </c>
      <c r="G182" s="365">
        <f t="shared" ca="1" si="28"/>
        <v>0</v>
      </c>
      <c r="H182" s="365">
        <f t="shared" ca="1" si="29"/>
        <v>0</v>
      </c>
      <c r="I182" s="365">
        <f t="shared" ca="1" si="30"/>
        <v>0</v>
      </c>
      <c r="J182" s="364">
        <f t="shared" ca="1" si="31"/>
        <v>0</v>
      </c>
      <c r="K182" s="366">
        <f t="shared" ca="1" si="32"/>
        <v>0</v>
      </c>
      <c r="M182" s="60"/>
      <c r="N182" s="60"/>
      <c r="O182" s="60"/>
      <c r="P182" s="60"/>
      <c r="Q182" s="60"/>
      <c r="R182" s="60"/>
      <c r="S182" s="60"/>
      <c r="T182" s="60"/>
      <c r="U182" s="60"/>
      <c r="V182" s="61"/>
    </row>
    <row r="183" spans="1:22" x14ac:dyDescent="0.2">
      <c r="A183">
        <f t="shared" si="33"/>
        <v>179</v>
      </c>
      <c r="B183" s="363">
        <f t="shared" ca="1" si="23"/>
        <v>0</v>
      </c>
      <c r="C183" s="364">
        <f t="shared" ca="1" si="24"/>
        <v>0</v>
      </c>
      <c r="D183" s="365">
        <f t="shared" ca="1" si="25"/>
        <v>0</v>
      </c>
      <c r="E183" s="365">
        <f t="shared" ca="1" si="26"/>
        <v>0</v>
      </c>
      <c r="F183" s="365">
        <f t="shared" ca="1" si="27"/>
        <v>0</v>
      </c>
      <c r="G183" s="365">
        <f t="shared" ca="1" si="28"/>
        <v>0</v>
      </c>
      <c r="H183" s="365">
        <f t="shared" ca="1" si="29"/>
        <v>0</v>
      </c>
      <c r="I183" s="365">
        <f t="shared" ca="1" si="30"/>
        <v>0</v>
      </c>
      <c r="J183" s="364">
        <f t="shared" ca="1" si="31"/>
        <v>0</v>
      </c>
      <c r="K183" s="366">
        <f t="shared" ca="1" si="32"/>
        <v>0</v>
      </c>
      <c r="M183" s="60"/>
      <c r="N183" s="60"/>
      <c r="O183" s="60"/>
      <c r="P183" s="60"/>
      <c r="Q183" s="60"/>
      <c r="R183" s="60"/>
      <c r="S183" s="60"/>
      <c r="T183" s="60"/>
      <c r="U183" s="60"/>
      <c r="V183" s="61"/>
    </row>
    <row r="184" spans="1:22" x14ac:dyDescent="0.2">
      <c r="A184">
        <f t="shared" si="33"/>
        <v>180</v>
      </c>
      <c r="B184" s="363">
        <f t="shared" ca="1" si="23"/>
        <v>0</v>
      </c>
      <c r="C184" s="364">
        <f t="shared" ca="1" si="24"/>
        <v>0</v>
      </c>
      <c r="D184" s="365">
        <f t="shared" ca="1" si="25"/>
        <v>0</v>
      </c>
      <c r="E184" s="365">
        <f t="shared" ca="1" si="26"/>
        <v>0</v>
      </c>
      <c r="F184" s="365">
        <f t="shared" ca="1" si="27"/>
        <v>0</v>
      </c>
      <c r="G184" s="365">
        <f t="shared" ca="1" si="28"/>
        <v>0</v>
      </c>
      <c r="H184" s="365">
        <f t="shared" ca="1" si="29"/>
        <v>0</v>
      </c>
      <c r="I184" s="365">
        <f t="shared" ca="1" si="30"/>
        <v>0</v>
      </c>
      <c r="J184" s="364">
        <f t="shared" ca="1" si="31"/>
        <v>0</v>
      </c>
      <c r="K184" s="366">
        <f t="shared" ca="1" si="32"/>
        <v>0</v>
      </c>
      <c r="M184" s="60"/>
      <c r="N184" s="60"/>
      <c r="O184" s="60"/>
      <c r="P184" s="60"/>
      <c r="Q184" s="60"/>
      <c r="R184" s="60"/>
      <c r="S184" s="60"/>
      <c r="T184" s="60"/>
      <c r="U184" s="60"/>
      <c r="V184" s="61"/>
    </row>
    <row r="185" spans="1:22" x14ac:dyDescent="0.2">
      <c r="A185">
        <f t="shared" si="33"/>
        <v>181</v>
      </c>
      <c r="B185" s="363">
        <f t="shared" ca="1" si="23"/>
        <v>0</v>
      </c>
      <c r="C185" s="364">
        <f t="shared" ca="1" si="24"/>
        <v>0</v>
      </c>
      <c r="D185" s="365">
        <f t="shared" ca="1" si="25"/>
        <v>0</v>
      </c>
      <c r="E185" s="365">
        <f t="shared" ca="1" si="26"/>
        <v>0</v>
      </c>
      <c r="F185" s="365">
        <f t="shared" ca="1" si="27"/>
        <v>0</v>
      </c>
      <c r="G185" s="365">
        <f t="shared" ca="1" si="28"/>
        <v>0</v>
      </c>
      <c r="H185" s="365">
        <f t="shared" ca="1" si="29"/>
        <v>0</v>
      </c>
      <c r="I185" s="365">
        <f t="shared" ca="1" si="30"/>
        <v>0</v>
      </c>
      <c r="J185" s="364">
        <f t="shared" ca="1" si="31"/>
        <v>0</v>
      </c>
      <c r="K185" s="366">
        <f t="shared" ca="1" si="32"/>
        <v>0</v>
      </c>
      <c r="M185" s="60"/>
      <c r="N185" s="60"/>
      <c r="O185" s="60"/>
      <c r="P185" s="60"/>
      <c r="Q185" s="60"/>
      <c r="R185" s="60"/>
      <c r="S185" s="60"/>
      <c r="T185" s="60"/>
      <c r="U185" s="60"/>
      <c r="V185" s="61"/>
    </row>
    <row r="186" spans="1:22" x14ac:dyDescent="0.2">
      <c r="A186">
        <f t="shared" si="33"/>
        <v>182</v>
      </c>
      <c r="B186" s="363">
        <f t="shared" ca="1" si="23"/>
        <v>0</v>
      </c>
      <c r="C186" s="364">
        <f t="shared" ca="1" si="24"/>
        <v>0</v>
      </c>
      <c r="D186" s="365">
        <f t="shared" ca="1" si="25"/>
        <v>0</v>
      </c>
      <c r="E186" s="365">
        <f t="shared" ca="1" si="26"/>
        <v>0</v>
      </c>
      <c r="F186" s="365">
        <f t="shared" ca="1" si="27"/>
        <v>0</v>
      </c>
      <c r="G186" s="365">
        <f t="shared" ca="1" si="28"/>
        <v>0</v>
      </c>
      <c r="H186" s="365">
        <f t="shared" ca="1" si="29"/>
        <v>0</v>
      </c>
      <c r="I186" s="365">
        <f t="shared" ca="1" si="30"/>
        <v>0</v>
      </c>
      <c r="J186" s="364">
        <f t="shared" ca="1" si="31"/>
        <v>0</v>
      </c>
      <c r="K186" s="366">
        <f t="shared" ca="1" si="32"/>
        <v>0</v>
      </c>
      <c r="M186" s="60"/>
      <c r="N186" s="60"/>
      <c r="O186" s="60"/>
      <c r="P186" s="60"/>
      <c r="Q186" s="60"/>
      <c r="R186" s="60"/>
      <c r="S186" s="60"/>
      <c r="T186" s="60"/>
      <c r="U186" s="60"/>
      <c r="V186" s="61"/>
    </row>
    <row r="187" spans="1:22" x14ac:dyDescent="0.2">
      <c r="A187">
        <f t="shared" si="33"/>
        <v>183</v>
      </c>
      <c r="B187" s="363">
        <f t="shared" ca="1" si="23"/>
        <v>0</v>
      </c>
      <c r="C187" s="364">
        <f t="shared" ca="1" si="24"/>
        <v>0</v>
      </c>
      <c r="D187" s="365">
        <f t="shared" ca="1" si="25"/>
        <v>0</v>
      </c>
      <c r="E187" s="365">
        <f t="shared" ca="1" si="26"/>
        <v>0</v>
      </c>
      <c r="F187" s="365">
        <f t="shared" ca="1" si="27"/>
        <v>0</v>
      </c>
      <c r="G187" s="365">
        <f t="shared" ca="1" si="28"/>
        <v>0</v>
      </c>
      <c r="H187" s="365">
        <f t="shared" ca="1" si="29"/>
        <v>0</v>
      </c>
      <c r="I187" s="365">
        <f t="shared" ca="1" si="30"/>
        <v>0</v>
      </c>
      <c r="J187" s="364">
        <f t="shared" ca="1" si="31"/>
        <v>0</v>
      </c>
      <c r="K187" s="366">
        <f t="shared" ca="1" si="32"/>
        <v>0</v>
      </c>
      <c r="M187" s="60"/>
      <c r="N187" s="60"/>
      <c r="O187" s="60"/>
      <c r="P187" s="60"/>
      <c r="Q187" s="60"/>
      <c r="R187" s="60"/>
      <c r="S187" s="60"/>
      <c r="T187" s="60"/>
      <c r="U187" s="60"/>
      <c r="V187" s="61"/>
    </row>
    <row r="188" spans="1:22" x14ac:dyDescent="0.2">
      <c r="A188">
        <f t="shared" si="33"/>
        <v>184</v>
      </c>
      <c r="B188" s="363">
        <f t="shared" ca="1" si="23"/>
        <v>0</v>
      </c>
      <c r="C188" s="364">
        <f t="shared" ca="1" si="24"/>
        <v>0</v>
      </c>
      <c r="D188" s="365">
        <f t="shared" ca="1" si="25"/>
        <v>0</v>
      </c>
      <c r="E188" s="365">
        <f t="shared" ca="1" si="26"/>
        <v>0</v>
      </c>
      <c r="F188" s="365">
        <f t="shared" ca="1" si="27"/>
        <v>0</v>
      </c>
      <c r="G188" s="365">
        <f t="shared" ca="1" si="28"/>
        <v>0</v>
      </c>
      <c r="H188" s="365">
        <f t="shared" ca="1" si="29"/>
        <v>0</v>
      </c>
      <c r="I188" s="365">
        <f t="shared" ca="1" si="30"/>
        <v>0</v>
      </c>
      <c r="J188" s="364">
        <f t="shared" ca="1" si="31"/>
        <v>0</v>
      </c>
      <c r="K188" s="366">
        <f t="shared" ca="1" si="32"/>
        <v>0</v>
      </c>
      <c r="M188" s="60"/>
      <c r="N188" s="60"/>
      <c r="O188" s="60"/>
      <c r="P188" s="60"/>
      <c r="Q188" s="60"/>
      <c r="R188" s="60"/>
      <c r="S188" s="60"/>
      <c r="T188" s="60"/>
      <c r="U188" s="60"/>
      <c r="V188" s="61"/>
    </row>
    <row r="189" spans="1:22" x14ac:dyDescent="0.2">
      <c r="A189">
        <f t="shared" si="33"/>
        <v>185</v>
      </c>
      <c r="B189" s="363">
        <f t="shared" ca="1" si="23"/>
        <v>0</v>
      </c>
      <c r="C189" s="364">
        <f t="shared" ca="1" si="24"/>
        <v>0</v>
      </c>
      <c r="D189" s="365">
        <f t="shared" ca="1" si="25"/>
        <v>0</v>
      </c>
      <c r="E189" s="365">
        <f t="shared" ca="1" si="26"/>
        <v>0</v>
      </c>
      <c r="F189" s="365">
        <f t="shared" ca="1" si="27"/>
        <v>0</v>
      </c>
      <c r="G189" s="365">
        <f t="shared" ca="1" si="28"/>
        <v>0</v>
      </c>
      <c r="H189" s="365">
        <f t="shared" ca="1" si="29"/>
        <v>0</v>
      </c>
      <c r="I189" s="365">
        <f t="shared" ca="1" si="30"/>
        <v>0</v>
      </c>
      <c r="J189" s="364">
        <f t="shared" ca="1" si="31"/>
        <v>0</v>
      </c>
      <c r="K189" s="366">
        <f t="shared" ca="1" si="32"/>
        <v>0</v>
      </c>
      <c r="M189" s="60"/>
      <c r="N189" s="60"/>
      <c r="O189" s="60"/>
      <c r="P189" s="60"/>
      <c r="Q189" s="60"/>
      <c r="R189" s="60"/>
      <c r="S189" s="60"/>
      <c r="T189" s="60"/>
      <c r="U189" s="60"/>
      <c r="V189" s="61"/>
    </row>
    <row r="190" spans="1:22" x14ac:dyDescent="0.2">
      <c r="A190">
        <f t="shared" si="33"/>
        <v>186</v>
      </c>
      <c r="B190" s="363">
        <f t="shared" ca="1" si="23"/>
        <v>0</v>
      </c>
      <c r="C190" s="364">
        <f t="shared" ca="1" si="24"/>
        <v>0</v>
      </c>
      <c r="D190" s="365">
        <f t="shared" ca="1" si="25"/>
        <v>0</v>
      </c>
      <c r="E190" s="365">
        <f t="shared" ca="1" si="26"/>
        <v>0</v>
      </c>
      <c r="F190" s="365">
        <f t="shared" ca="1" si="27"/>
        <v>0</v>
      </c>
      <c r="G190" s="365">
        <f t="shared" ca="1" si="28"/>
        <v>0</v>
      </c>
      <c r="H190" s="365">
        <f t="shared" ca="1" si="29"/>
        <v>0</v>
      </c>
      <c r="I190" s="365">
        <f t="shared" ca="1" si="30"/>
        <v>0</v>
      </c>
      <c r="J190" s="364">
        <f t="shared" ca="1" si="31"/>
        <v>0</v>
      </c>
      <c r="K190" s="366">
        <f t="shared" ca="1" si="32"/>
        <v>0</v>
      </c>
      <c r="M190" s="60"/>
      <c r="N190" s="60"/>
      <c r="O190" s="60"/>
      <c r="P190" s="60"/>
      <c r="Q190" s="60"/>
      <c r="R190" s="60"/>
      <c r="S190" s="60"/>
      <c r="T190" s="60"/>
      <c r="U190" s="60"/>
      <c r="V190" s="61"/>
    </row>
    <row r="191" spans="1:22" x14ac:dyDescent="0.2">
      <c r="A191">
        <f t="shared" si="33"/>
        <v>187</v>
      </c>
      <c r="B191" s="363">
        <f t="shared" ca="1" si="23"/>
        <v>0</v>
      </c>
      <c r="C191" s="364">
        <f t="shared" ca="1" si="24"/>
        <v>0</v>
      </c>
      <c r="D191" s="365">
        <f t="shared" ca="1" si="25"/>
        <v>0</v>
      </c>
      <c r="E191" s="365">
        <f t="shared" ca="1" si="26"/>
        <v>0</v>
      </c>
      <c r="F191" s="365">
        <f t="shared" ca="1" si="27"/>
        <v>0</v>
      </c>
      <c r="G191" s="365">
        <f t="shared" ca="1" si="28"/>
        <v>0</v>
      </c>
      <c r="H191" s="365">
        <f t="shared" ca="1" si="29"/>
        <v>0</v>
      </c>
      <c r="I191" s="365">
        <f t="shared" ca="1" si="30"/>
        <v>0</v>
      </c>
      <c r="J191" s="364">
        <f t="shared" ca="1" si="31"/>
        <v>0</v>
      </c>
      <c r="K191" s="366">
        <f t="shared" ca="1" si="32"/>
        <v>0</v>
      </c>
      <c r="M191" s="60"/>
      <c r="N191" s="60"/>
      <c r="O191" s="60"/>
      <c r="P191" s="60"/>
      <c r="Q191" s="60"/>
      <c r="R191" s="60"/>
      <c r="S191" s="60"/>
      <c r="T191" s="60"/>
      <c r="U191" s="60"/>
      <c r="V191" s="61"/>
    </row>
    <row r="192" spans="1:22" x14ac:dyDescent="0.2">
      <c r="A192">
        <f t="shared" si="33"/>
        <v>188</v>
      </c>
      <c r="B192" s="363">
        <f t="shared" ca="1" si="23"/>
        <v>0</v>
      </c>
      <c r="C192" s="364">
        <f t="shared" ca="1" si="24"/>
        <v>0</v>
      </c>
      <c r="D192" s="365">
        <f t="shared" ca="1" si="25"/>
        <v>0</v>
      </c>
      <c r="E192" s="365">
        <f t="shared" ca="1" si="26"/>
        <v>0</v>
      </c>
      <c r="F192" s="365">
        <f t="shared" ca="1" si="27"/>
        <v>0</v>
      </c>
      <c r="G192" s="365">
        <f t="shared" ca="1" si="28"/>
        <v>0</v>
      </c>
      <c r="H192" s="365">
        <f t="shared" ca="1" si="29"/>
        <v>0</v>
      </c>
      <c r="I192" s="365">
        <f t="shared" ca="1" si="30"/>
        <v>0</v>
      </c>
      <c r="J192" s="364">
        <f t="shared" ca="1" si="31"/>
        <v>0</v>
      </c>
      <c r="K192" s="366">
        <f t="shared" ca="1" si="32"/>
        <v>0</v>
      </c>
      <c r="M192" s="60"/>
      <c r="N192" s="60"/>
      <c r="O192" s="60"/>
      <c r="P192" s="60"/>
      <c r="Q192" s="60"/>
      <c r="R192" s="60"/>
      <c r="S192" s="60"/>
      <c r="T192" s="60"/>
      <c r="U192" s="60"/>
      <c r="V192" s="61"/>
    </row>
    <row r="193" spans="1:22" x14ac:dyDescent="0.2">
      <c r="A193">
        <f t="shared" si="33"/>
        <v>189</v>
      </c>
      <c r="B193" s="363">
        <f t="shared" ca="1" si="23"/>
        <v>0</v>
      </c>
      <c r="C193" s="364">
        <f t="shared" ca="1" si="24"/>
        <v>0</v>
      </c>
      <c r="D193" s="365">
        <f t="shared" ca="1" si="25"/>
        <v>0</v>
      </c>
      <c r="E193" s="365">
        <f t="shared" ca="1" si="26"/>
        <v>0</v>
      </c>
      <c r="F193" s="365">
        <f t="shared" ca="1" si="27"/>
        <v>0</v>
      </c>
      <c r="G193" s="365">
        <f t="shared" ca="1" si="28"/>
        <v>0</v>
      </c>
      <c r="H193" s="365">
        <f t="shared" ca="1" si="29"/>
        <v>0</v>
      </c>
      <c r="I193" s="365">
        <f t="shared" ca="1" si="30"/>
        <v>0</v>
      </c>
      <c r="J193" s="364">
        <f t="shared" ca="1" si="31"/>
        <v>0</v>
      </c>
      <c r="K193" s="366">
        <f t="shared" ca="1" si="32"/>
        <v>0</v>
      </c>
      <c r="M193" s="60"/>
      <c r="N193" s="60"/>
      <c r="O193" s="60"/>
      <c r="P193" s="60"/>
      <c r="Q193" s="60"/>
      <c r="R193" s="60"/>
      <c r="S193" s="60"/>
      <c r="T193" s="60"/>
      <c r="U193" s="60"/>
      <c r="V193" s="61"/>
    </row>
    <row r="194" spans="1:22" x14ac:dyDescent="0.2">
      <c r="A194">
        <f t="shared" si="33"/>
        <v>190</v>
      </c>
      <c r="B194" s="363">
        <f t="shared" ca="1" si="23"/>
        <v>0</v>
      </c>
      <c r="C194" s="364">
        <f t="shared" ca="1" si="24"/>
        <v>0</v>
      </c>
      <c r="D194" s="365">
        <f t="shared" ca="1" si="25"/>
        <v>0</v>
      </c>
      <c r="E194" s="365">
        <f t="shared" ca="1" si="26"/>
        <v>0</v>
      </c>
      <c r="F194" s="365">
        <f t="shared" ca="1" si="27"/>
        <v>0</v>
      </c>
      <c r="G194" s="365">
        <f t="shared" ca="1" si="28"/>
        <v>0</v>
      </c>
      <c r="H194" s="365">
        <f t="shared" ca="1" si="29"/>
        <v>0</v>
      </c>
      <c r="I194" s="365">
        <f t="shared" ca="1" si="30"/>
        <v>0</v>
      </c>
      <c r="J194" s="364">
        <f t="shared" ca="1" si="31"/>
        <v>0</v>
      </c>
      <c r="K194" s="366">
        <f t="shared" ca="1" si="32"/>
        <v>0</v>
      </c>
      <c r="M194" s="60"/>
      <c r="N194" s="60"/>
      <c r="O194" s="60"/>
      <c r="P194" s="60"/>
      <c r="Q194" s="60"/>
      <c r="R194" s="60"/>
      <c r="S194" s="60"/>
      <c r="T194" s="60"/>
      <c r="U194" s="60"/>
      <c r="V194" s="61"/>
    </row>
    <row r="195" spans="1:22" x14ac:dyDescent="0.2">
      <c r="A195">
        <f t="shared" si="33"/>
        <v>191</v>
      </c>
      <c r="B195" s="363">
        <f t="shared" ca="1" si="23"/>
        <v>0</v>
      </c>
      <c r="C195" s="364">
        <f t="shared" ca="1" si="24"/>
        <v>0</v>
      </c>
      <c r="D195" s="365">
        <f t="shared" ca="1" si="25"/>
        <v>0</v>
      </c>
      <c r="E195" s="365">
        <f t="shared" ca="1" si="26"/>
        <v>0</v>
      </c>
      <c r="F195" s="365">
        <f t="shared" ca="1" si="27"/>
        <v>0</v>
      </c>
      <c r="G195" s="365">
        <f t="shared" ca="1" si="28"/>
        <v>0</v>
      </c>
      <c r="H195" s="365">
        <f t="shared" ca="1" si="29"/>
        <v>0</v>
      </c>
      <c r="I195" s="365">
        <f t="shared" ca="1" si="30"/>
        <v>0</v>
      </c>
      <c r="J195" s="364">
        <f t="shared" ca="1" si="31"/>
        <v>0</v>
      </c>
      <c r="K195" s="366">
        <f t="shared" ca="1" si="32"/>
        <v>0</v>
      </c>
      <c r="M195" s="60"/>
      <c r="N195" s="60"/>
      <c r="O195" s="60"/>
      <c r="P195" s="60"/>
      <c r="Q195" s="60"/>
      <c r="R195" s="60"/>
      <c r="S195" s="60"/>
      <c r="T195" s="60"/>
      <c r="U195" s="60"/>
      <c r="V195" s="61"/>
    </row>
    <row r="196" spans="1:22" x14ac:dyDescent="0.2">
      <c r="A196">
        <f t="shared" si="33"/>
        <v>192</v>
      </c>
      <c r="B196" s="363">
        <f t="shared" ca="1" si="23"/>
        <v>0</v>
      </c>
      <c r="C196" s="364">
        <f t="shared" ca="1" si="24"/>
        <v>0</v>
      </c>
      <c r="D196" s="365">
        <f t="shared" ca="1" si="25"/>
        <v>0</v>
      </c>
      <c r="E196" s="365">
        <f t="shared" ca="1" si="26"/>
        <v>0</v>
      </c>
      <c r="F196" s="365">
        <f t="shared" ca="1" si="27"/>
        <v>0</v>
      </c>
      <c r="G196" s="365">
        <f t="shared" ca="1" si="28"/>
        <v>0</v>
      </c>
      <c r="H196" s="365">
        <f t="shared" ca="1" si="29"/>
        <v>0</v>
      </c>
      <c r="I196" s="365">
        <f t="shared" ca="1" si="30"/>
        <v>0</v>
      </c>
      <c r="J196" s="364">
        <f t="shared" ca="1" si="31"/>
        <v>0</v>
      </c>
      <c r="K196" s="366">
        <f t="shared" ca="1" si="32"/>
        <v>0</v>
      </c>
      <c r="M196" s="60"/>
      <c r="N196" s="60"/>
      <c r="O196" s="60"/>
      <c r="P196" s="60"/>
      <c r="Q196" s="60"/>
      <c r="R196" s="60"/>
      <c r="S196" s="60"/>
      <c r="T196" s="60"/>
      <c r="U196" s="60"/>
      <c r="V196" s="61"/>
    </row>
    <row r="197" spans="1:22" x14ac:dyDescent="0.2">
      <c r="A197">
        <f t="shared" si="33"/>
        <v>193</v>
      </c>
      <c r="B197" s="363">
        <f t="shared" ref="B197:B260" ca="1" si="34">IF($C$2=1,INDEX($M$5:$OO$369,$A197,B$1),INDEX(OFFSET(M$5,$A196,$K$2*11),1,1))</f>
        <v>0</v>
      </c>
      <c r="C197" s="364">
        <f t="shared" ref="C197:C260" ca="1" si="35">IF($C$2=1,INDEX($M$5:$OO$369,$A197,C$1),INDEX(OFFSET(N$5,$A196,$K$2*11),1,1))</f>
        <v>0</v>
      </c>
      <c r="D197" s="365">
        <f t="shared" ref="D197:D260" ca="1" si="36">IF($C$2=1,INDEX($M$5:$OO$369,$A197,D$1),INDEX(OFFSET(O$5,$A196,$K$2*11),1,1))</f>
        <v>0</v>
      </c>
      <c r="E197" s="365">
        <f t="shared" ref="E197:E260" ca="1" si="37">IF($C$2=1,INDEX($M$5:$OO$369,$A197,E$1),INDEX(OFFSET(P$5,$A196,$K$2*11),1,1))</f>
        <v>0</v>
      </c>
      <c r="F197" s="365">
        <f t="shared" ref="F197:F260" ca="1" si="38">IF($C$2=1,INDEX($M$5:$OO$369,$A197,F$1),INDEX(OFFSET(Q$5,$A196,$K$2*11),1,1))</f>
        <v>0</v>
      </c>
      <c r="G197" s="365">
        <f t="shared" ref="G197:G260" ca="1" si="39">IF($C$2=1,INDEX($M$5:$OO$369,$A197,G$1),INDEX(OFFSET(R$5,$A196,$K$2*11),1,1))</f>
        <v>0</v>
      </c>
      <c r="H197" s="365">
        <f t="shared" ref="H197:H260" ca="1" si="40">IF($C$2=1,INDEX($M$5:$OO$369,$A197,H$1),INDEX(OFFSET(S$5,$A196,$K$2*11),1,1))</f>
        <v>0</v>
      </c>
      <c r="I197" s="365">
        <f t="shared" ref="I197:I260" ca="1" si="41">IF($C$2=1,INDEX($M$5:$OO$369,$A197,I$1),INDEX(OFFSET(T$5,$A196,$K$2*11),1,1))</f>
        <v>0</v>
      </c>
      <c r="J197" s="364">
        <f t="shared" ref="J197:J260" ca="1" si="42">IF($C$2=1,INDEX($M$5:$OO$369,$A197,J$1),INDEX(OFFSET(U$5,$A196,$K$2*11),1,1))</f>
        <v>0</v>
      </c>
      <c r="K197" s="366">
        <f t="shared" ref="K197:K260" ca="1" si="43">IF($C$2=1,INDEX($M$5:$OO$369,$A197,K$1),INDEX(OFFSET(V$5,$A196,$K$2*11),1,1))</f>
        <v>0</v>
      </c>
      <c r="M197" s="60"/>
      <c r="N197" s="60"/>
      <c r="O197" s="60"/>
      <c r="P197" s="60"/>
      <c r="Q197" s="60"/>
      <c r="R197" s="60"/>
      <c r="S197" s="60"/>
      <c r="T197" s="60"/>
      <c r="U197" s="60"/>
      <c r="V197" s="61"/>
    </row>
    <row r="198" spans="1:22" x14ac:dyDescent="0.2">
      <c r="A198">
        <f t="shared" si="33"/>
        <v>194</v>
      </c>
      <c r="B198" s="363">
        <f t="shared" ca="1" si="34"/>
        <v>0</v>
      </c>
      <c r="C198" s="364">
        <f t="shared" ca="1" si="35"/>
        <v>0</v>
      </c>
      <c r="D198" s="365">
        <f t="shared" ca="1" si="36"/>
        <v>0</v>
      </c>
      <c r="E198" s="365">
        <f t="shared" ca="1" si="37"/>
        <v>0</v>
      </c>
      <c r="F198" s="365">
        <f t="shared" ca="1" si="38"/>
        <v>0</v>
      </c>
      <c r="G198" s="365">
        <f t="shared" ca="1" si="39"/>
        <v>0</v>
      </c>
      <c r="H198" s="365">
        <f t="shared" ca="1" si="40"/>
        <v>0</v>
      </c>
      <c r="I198" s="365">
        <f t="shared" ca="1" si="41"/>
        <v>0</v>
      </c>
      <c r="J198" s="364">
        <f t="shared" ca="1" si="42"/>
        <v>0</v>
      </c>
      <c r="K198" s="366">
        <f t="shared" ca="1" si="43"/>
        <v>0</v>
      </c>
      <c r="M198" s="60"/>
      <c r="N198" s="60"/>
      <c r="O198" s="60"/>
      <c r="P198" s="60"/>
      <c r="Q198" s="60"/>
      <c r="R198" s="60"/>
      <c r="S198" s="60"/>
      <c r="T198" s="60"/>
      <c r="U198" s="60"/>
      <c r="V198" s="61"/>
    </row>
    <row r="199" spans="1:22" x14ac:dyDescent="0.2">
      <c r="A199">
        <f t="shared" ref="A199:A262" si="44">A198+1</f>
        <v>195</v>
      </c>
      <c r="B199" s="363">
        <f t="shared" ca="1" si="34"/>
        <v>0</v>
      </c>
      <c r="C199" s="364">
        <f t="shared" ca="1" si="35"/>
        <v>0</v>
      </c>
      <c r="D199" s="365">
        <f t="shared" ca="1" si="36"/>
        <v>0</v>
      </c>
      <c r="E199" s="365">
        <f t="shared" ca="1" si="37"/>
        <v>0</v>
      </c>
      <c r="F199" s="365">
        <f t="shared" ca="1" si="38"/>
        <v>0</v>
      </c>
      <c r="G199" s="365">
        <f t="shared" ca="1" si="39"/>
        <v>0</v>
      </c>
      <c r="H199" s="365">
        <f t="shared" ca="1" si="40"/>
        <v>0</v>
      </c>
      <c r="I199" s="365">
        <f t="shared" ca="1" si="41"/>
        <v>0</v>
      </c>
      <c r="J199" s="364">
        <f t="shared" ca="1" si="42"/>
        <v>0</v>
      </c>
      <c r="K199" s="366">
        <f t="shared" ca="1" si="43"/>
        <v>0</v>
      </c>
      <c r="M199" s="60"/>
      <c r="N199" s="60"/>
      <c r="O199" s="60"/>
      <c r="P199" s="60"/>
      <c r="Q199" s="60"/>
      <c r="R199" s="60"/>
      <c r="S199" s="60"/>
      <c r="T199" s="60"/>
      <c r="U199" s="60"/>
      <c r="V199" s="61"/>
    </row>
    <row r="200" spans="1:22" x14ac:dyDescent="0.2">
      <c r="A200">
        <f t="shared" si="44"/>
        <v>196</v>
      </c>
      <c r="B200" s="363">
        <f t="shared" ca="1" si="34"/>
        <v>0</v>
      </c>
      <c r="C200" s="364">
        <f t="shared" ca="1" si="35"/>
        <v>0</v>
      </c>
      <c r="D200" s="365">
        <f t="shared" ca="1" si="36"/>
        <v>0</v>
      </c>
      <c r="E200" s="365">
        <f t="shared" ca="1" si="37"/>
        <v>0</v>
      </c>
      <c r="F200" s="365">
        <f t="shared" ca="1" si="38"/>
        <v>0</v>
      </c>
      <c r="G200" s="365">
        <f t="shared" ca="1" si="39"/>
        <v>0</v>
      </c>
      <c r="H200" s="365">
        <f t="shared" ca="1" si="40"/>
        <v>0</v>
      </c>
      <c r="I200" s="365">
        <f t="shared" ca="1" si="41"/>
        <v>0</v>
      </c>
      <c r="J200" s="364">
        <f t="shared" ca="1" si="42"/>
        <v>0</v>
      </c>
      <c r="K200" s="366">
        <f t="shared" ca="1" si="43"/>
        <v>0</v>
      </c>
      <c r="M200" s="60"/>
      <c r="N200" s="60"/>
      <c r="O200" s="60"/>
      <c r="P200" s="60"/>
      <c r="Q200" s="60"/>
      <c r="R200" s="60"/>
      <c r="S200" s="60"/>
      <c r="T200" s="60"/>
      <c r="U200" s="60"/>
      <c r="V200" s="61"/>
    </row>
    <row r="201" spans="1:22" x14ac:dyDescent="0.2">
      <c r="A201">
        <f t="shared" si="44"/>
        <v>197</v>
      </c>
      <c r="B201" s="363">
        <f t="shared" ca="1" si="34"/>
        <v>0</v>
      </c>
      <c r="C201" s="364">
        <f t="shared" ca="1" si="35"/>
        <v>0</v>
      </c>
      <c r="D201" s="365">
        <f t="shared" ca="1" si="36"/>
        <v>0</v>
      </c>
      <c r="E201" s="365">
        <f t="shared" ca="1" si="37"/>
        <v>0</v>
      </c>
      <c r="F201" s="365">
        <f t="shared" ca="1" si="38"/>
        <v>0</v>
      </c>
      <c r="G201" s="365">
        <f t="shared" ca="1" si="39"/>
        <v>0</v>
      </c>
      <c r="H201" s="365">
        <f t="shared" ca="1" si="40"/>
        <v>0</v>
      </c>
      <c r="I201" s="365">
        <f t="shared" ca="1" si="41"/>
        <v>0</v>
      </c>
      <c r="J201" s="364">
        <f t="shared" ca="1" si="42"/>
        <v>0</v>
      </c>
      <c r="K201" s="366">
        <f t="shared" ca="1" si="43"/>
        <v>0</v>
      </c>
      <c r="M201" s="60"/>
      <c r="N201" s="60"/>
      <c r="O201" s="60"/>
      <c r="P201" s="60"/>
      <c r="Q201" s="60"/>
      <c r="R201" s="60"/>
      <c r="S201" s="60"/>
      <c r="T201" s="60"/>
      <c r="U201" s="60"/>
      <c r="V201" s="61"/>
    </row>
    <row r="202" spans="1:22" x14ac:dyDescent="0.2">
      <c r="A202">
        <f t="shared" si="44"/>
        <v>198</v>
      </c>
      <c r="B202" s="363">
        <f t="shared" ca="1" si="34"/>
        <v>0</v>
      </c>
      <c r="C202" s="364">
        <f t="shared" ca="1" si="35"/>
        <v>0</v>
      </c>
      <c r="D202" s="365">
        <f t="shared" ca="1" si="36"/>
        <v>0</v>
      </c>
      <c r="E202" s="365">
        <f t="shared" ca="1" si="37"/>
        <v>0</v>
      </c>
      <c r="F202" s="365">
        <f t="shared" ca="1" si="38"/>
        <v>0</v>
      </c>
      <c r="G202" s="365">
        <f t="shared" ca="1" si="39"/>
        <v>0</v>
      </c>
      <c r="H202" s="365">
        <f t="shared" ca="1" si="40"/>
        <v>0</v>
      </c>
      <c r="I202" s="365">
        <f t="shared" ca="1" si="41"/>
        <v>0</v>
      </c>
      <c r="J202" s="364">
        <f t="shared" ca="1" si="42"/>
        <v>0</v>
      </c>
      <c r="K202" s="366">
        <f t="shared" ca="1" si="43"/>
        <v>0</v>
      </c>
      <c r="M202" s="60"/>
      <c r="N202" s="60"/>
      <c r="O202" s="60"/>
      <c r="P202" s="60"/>
      <c r="Q202" s="60"/>
      <c r="R202" s="60"/>
      <c r="S202" s="60"/>
      <c r="T202" s="60"/>
      <c r="U202" s="60"/>
      <c r="V202" s="61"/>
    </row>
    <row r="203" spans="1:22" x14ac:dyDescent="0.2">
      <c r="A203">
        <f t="shared" si="44"/>
        <v>199</v>
      </c>
      <c r="B203" s="363">
        <f t="shared" ca="1" si="34"/>
        <v>0</v>
      </c>
      <c r="C203" s="364">
        <f t="shared" ca="1" si="35"/>
        <v>0</v>
      </c>
      <c r="D203" s="365">
        <f t="shared" ca="1" si="36"/>
        <v>0</v>
      </c>
      <c r="E203" s="365">
        <f t="shared" ca="1" si="37"/>
        <v>0</v>
      </c>
      <c r="F203" s="365">
        <f t="shared" ca="1" si="38"/>
        <v>0</v>
      </c>
      <c r="G203" s="365">
        <f t="shared" ca="1" si="39"/>
        <v>0</v>
      </c>
      <c r="H203" s="365">
        <f t="shared" ca="1" si="40"/>
        <v>0</v>
      </c>
      <c r="I203" s="365">
        <f t="shared" ca="1" si="41"/>
        <v>0</v>
      </c>
      <c r="J203" s="364">
        <f t="shared" ca="1" si="42"/>
        <v>0</v>
      </c>
      <c r="K203" s="366">
        <f t="shared" ca="1" si="43"/>
        <v>0</v>
      </c>
      <c r="M203" s="60"/>
      <c r="N203" s="60"/>
      <c r="O203" s="60"/>
      <c r="P203" s="60"/>
      <c r="Q203" s="60"/>
      <c r="R203" s="60"/>
      <c r="S203" s="60"/>
      <c r="T203" s="60"/>
      <c r="U203" s="60"/>
      <c r="V203" s="61"/>
    </row>
    <row r="204" spans="1:22" x14ac:dyDescent="0.2">
      <c r="A204">
        <f t="shared" si="44"/>
        <v>200</v>
      </c>
      <c r="B204" s="363">
        <f t="shared" ca="1" si="34"/>
        <v>0</v>
      </c>
      <c r="C204" s="364">
        <f t="shared" ca="1" si="35"/>
        <v>0</v>
      </c>
      <c r="D204" s="365">
        <f t="shared" ca="1" si="36"/>
        <v>0</v>
      </c>
      <c r="E204" s="365">
        <f t="shared" ca="1" si="37"/>
        <v>0</v>
      </c>
      <c r="F204" s="365">
        <f t="shared" ca="1" si="38"/>
        <v>0</v>
      </c>
      <c r="G204" s="365">
        <f t="shared" ca="1" si="39"/>
        <v>0</v>
      </c>
      <c r="H204" s="365">
        <f t="shared" ca="1" si="40"/>
        <v>0</v>
      </c>
      <c r="I204" s="365">
        <f t="shared" ca="1" si="41"/>
        <v>0</v>
      </c>
      <c r="J204" s="364">
        <f t="shared" ca="1" si="42"/>
        <v>0</v>
      </c>
      <c r="K204" s="366">
        <f t="shared" ca="1" si="43"/>
        <v>0</v>
      </c>
      <c r="M204" s="60"/>
      <c r="N204" s="60"/>
      <c r="O204" s="60"/>
      <c r="P204" s="60"/>
      <c r="Q204" s="60"/>
      <c r="R204" s="60"/>
      <c r="S204" s="60"/>
      <c r="T204" s="60"/>
      <c r="U204" s="60"/>
      <c r="V204" s="61"/>
    </row>
    <row r="205" spans="1:22" x14ac:dyDescent="0.2">
      <c r="A205">
        <f t="shared" si="44"/>
        <v>201</v>
      </c>
      <c r="B205" s="363">
        <f t="shared" ca="1" si="34"/>
        <v>0</v>
      </c>
      <c r="C205" s="364">
        <f t="shared" ca="1" si="35"/>
        <v>0</v>
      </c>
      <c r="D205" s="365">
        <f t="shared" ca="1" si="36"/>
        <v>0</v>
      </c>
      <c r="E205" s="365">
        <f t="shared" ca="1" si="37"/>
        <v>0</v>
      </c>
      <c r="F205" s="365">
        <f t="shared" ca="1" si="38"/>
        <v>0</v>
      </c>
      <c r="G205" s="365">
        <f t="shared" ca="1" si="39"/>
        <v>0</v>
      </c>
      <c r="H205" s="365">
        <f t="shared" ca="1" si="40"/>
        <v>0</v>
      </c>
      <c r="I205" s="365">
        <f t="shared" ca="1" si="41"/>
        <v>0</v>
      </c>
      <c r="J205" s="364">
        <f t="shared" ca="1" si="42"/>
        <v>0</v>
      </c>
      <c r="K205" s="366">
        <f t="shared" ca="1" si="43"/>
        <v>0</v>
      </c>
      <c r="M205" s="60"/>
      <c r="N205" s="60"/>
      <c r="O205" s="60"/>
      <c r="P205" s="60"/>
      <c r="Q205" s="60"/>
      <c r="R205" s="60"/>
      <c r="S205" s="60"/>
      <c r="T205" s="60"/>
      <c r="U205" s="60"/>
      <c r="V205" s="61"/>
    </row>
    <row r="206" spans="1:22" x14ac:dyDescent="0.2">
      <c r="A206">
        <f t="shared" si="44"/>
        <v>202</v>
      </c>
      <c r="B206" s="363">
        <f t="shared" ca="1" si="34"/>
        <v>0</v>
      </c>
      <c r="C206" s="364">
        <f t="shared" ca="1" si="35"/>
        <v>0</v>
      </c>
      <c r="D206" s="365">
        <f t="shared" ca="1" si="36"/>
        <v>0</v>
      </c>
      <c r="E206" s="365">
        <f t="shared" ca="1" si="37"/>
        <v>0</v>
      </c>
      <c r="F206" s="365">
        <f t="shared" ca="1" si="38"/>
        <v>0</v>
      </c>
      <c r="G206" s="365">
        <f t="shared" ca="1" si="39"/>
        <v>0</v>
      </c>
      <c r="H206" s="365">
        <f t="shared" ca="1" si="40"/>
        <v>0</v>
      </c>
      <c r="I206" s="365">
        <f t="shared" ca="1" si="41"/>
        <v>0</v>
      </c>
      <c r="J206" s="364">
        <f t="shared" ca="1" si="42"/>
        <v>0</v>
      </c>
      <c r="K206" s="366">
        <f t="shared" ca="1" si="43"/>
        <v>0</v>
      </c>
      <c r="M206" s="60"/>
      <c r="N206" s="60"/>
      <c r="O206" s="60"/>
      <c r="P206" s="60"/>
      <c r="Q206" s="60"/>
      <c r="R206" s="60"/>
      <c r="S206" s="60"/>
      <c r="T206" s="60"/>
      <c r="U206" s="60"/>
      <c r="V206" s="61"/>
    </row>
    <row r="207" spans="1:22" x14ac:dyDescent="0.2">
      <c r="A207">
        <f t="shared" si="44"/>
        <v>203</v>
      </c>
      <c r="B207" s="363">
        <f t="shared" ca="1" si="34"/>
        <v>0</v>
      </c>
      <c r="C207" s="364">
        <f t="shared" ca="1" si="35"/>
        <v>0</v>
      </c>
      <c r="D207" s="365">
        <f t="shared" ca="1" si="36"/>
        <v>0</v>
      </c>
      <c r="E207" s="365">
        <f t="shared" ca="1" si="37"/>
        <v>0</v>
      </c>
      <c r="F207" s="365">
        <f t="shared" ca="1" si="38"/>
        <v>0</v>
      </c>
      <c r="G207" s="365">
        <f t="shared" ca="1" si="39"/>
        <v>0</v>
      </c>
      <c r="H207" s="365">
        <f t="shared" ca="1" si="40"/>
        <v>0</v>
      </c>
      <c r="I207" s="365">
        <f t="shared" ca="1" si="41"/>
        <v>0</v>
      </c>
      <c r="J207" s="364">
        <f t="shared" ca="1" si="42"/>
        <v>0</v>
      </c>
      <c r="K207" s="366">
        <f t="shared" ca="1" si="43"/>
        <v>0</v>
      </c>
      <c r="M207" s="60"/>
      <c r="N207" s="60"/>
      <c r="O207" s="60"/>
      <c r="P207" s="60"/>
      <c r="Q207" s="60"/>
      <c r="R207" s="60"/>
      <c r="S207" s="60"/>
      <c r="T207" s="60"/>
      <c r="U207" s="60"/>
      <c r="V207" s="61"/>
    </row>
    <row r="208" spans="1:22" x14ac:dyDescent="0.2">
      <c r="A208">
        <f t="shared" si="44"/>
        <v>204</v>
      </c>
      <c r="B208" s="363">
        <f t="shared" ca="1" si="34"/>
        <v>0</v>
      </c>
      <c r="C208" s="364">
        <f t="shared" ca="1" si="35"/>
        <v>0</v>
      </c>
      <c r="D208" s="365">
        <f t="shared" ca="1" si="36"/>
        <v>0</v>
      </c>
      <c r="E208" s="365">
        <f t="shared" ca="1" si="37"/>
        <v>0</v>
      </c>
      <c r="F208" s="365">
        <f t="shared" ca="1" si="38"/>
        <v>0</v>
      </c>
      <c r="G208" s="365">
        <f t="shared" ca="1" si="39"/>
        <v>0</v>
      </c>
      <c r="H208" s="365">
        <f t="shared" ca="1" si="40"/>
        <v>0</v>
      </c>
      <c r="I208" s="365">
        <f t="shared" ca="1" si="41"/>
        <v>0</v>
      </c>
      <c r="J208" s="364">
        <f t="shared" ca="1" si="42"/>
        <v>0</v>
      </c>
      <c r="K208" s="366">
        <f t="shared" ca="1" si="43"/>
        <v>0</v>
      </c>
      <c r="M208" s="60"/>
      <c r="N208" s="60"/>
      <c r="O208" s="60"/>
      <c r="P208" s="60"/>
      <c r="Q208" s="60"/>
      <c r="R208" s="60"/>
      <c r="S208" s="60"/>
      <c r="T208" s="60"/>
      <c r="U208" s="60"/>
      <c r="V208" s="61"/>
    </row>
    <row r="209" spans="1:22" x14ac:dyDescent="0.2">
      <c r="A209">
        <f t="shared" si="44"/>
        <v>205</v>
      </c>
      <c r="B209" s="363">
        <f t="shared" ca="1" si="34"/>
        <v>0</v>
      </c>
      <c r="C209" s="364">
        <f t="shared" ca="1" si="35"/>
        <v>0</v>
      </c>
      <c r="D209" s="365">
        <f t="shared" ca="1" si="36"/>
        <v>0</v>
      </c>
      <c r="E209" s="365">
        <f t="shared" ca="1" si="37"/>
        <v>0</v>
      </c>
      <c r="F209" s="365">
        <f t="shared" ca="1" si="38"/>
        <v>0</v>
      </c>
      <c r="G209" s="365">
        <f t="shared" ca="1" si="39"/>
        <v>0</v>
      </c>
      <c r="H209" s="365">
        <f t="shared" ca="1" si="40"/>
        <v>0</v>
      </c>
      <c r="I209" s="365">
        <f t="shared" ca="1" si="41"/>
        <v>0</v>
      </c>
      <c r="J209" s="364">
        <f t="shared" ca="1" si="42"/>
        <v>0</v>
      </c>
      <c r="K209" s="366">
        <f t="shared" ca="1" si="43"/>
        <v>0</v>
      </c>
      <c r="M209" s="60"/>
      <c r="N209" s="60"/>
      <c r="O209" s="190"/>
      <c r="P209" s="60"/>
      <c r="Q209" s="60"/>
      <c r="R209" s="60"/>
      <c r="S209" s="60"/>
      <c r="T209" s="60"/>
      <c r="U209" s="60"/>
      <c r="V209" s="61"/>
    </row>
    <row r="210" spans="1:22" x14ac:dyDescent="0.2">
      <c r="A210">
        <f t="shared" si="44"/>
        <v>206</v>
      </c>
      <c r="B210" s="363">
        <f t="shared" ca="1" si="34"/>
        <v>0</v>
      </c>
      <c r="C210" s="364">
        <f t="shared" ca="1" si="35"/>
        <v>0</v>
      </c>
      <c r="D210" s="365">
        <f t="shared" ca="1" si="36"/>
        <v>0</v>
      </c>
      <c r="E210" s="365">
        <f t="shared" ca="1" si="37"/>
        <v>0</v>
      </c>
      <c r="F210" s="365">
        <f t="shared" ca="1" si="38"/>
        <v>0</v>
      </c>
      <c r="G210" s="365">
        <f t="shared" ca="1" si="39"/>
        <v>0</v>
      </c>
      <c r="H210" s="365">
        <f t="shared" ca="1" si="40"/>
        <v>0</v>
      </c>
      <c r="I210" s="365">
        <f t="shared" ca="1" si="41"/>
        <v>0</v>
      </c>
      <c r="J210" s="364">
        <f t="shared" ca="1" si="42"/>
        <v>0</v>
      </c>
      <c r="K210" s="366">
        <f t="shared" ca="1" si="43"/>
        <v>0</v>
      </c>
      <c r="M210" s="60"/>
      <c r="N210" s="60"/>
      <c r="O210" s="190"/>
      <c r="P210" s="60"/>
      <c r="Q210" s="60"/>
      <c r="R210" s="60"/>
      <c r="S210" s="60"/>
      <c r="T210" s="60"/>
      <c r="U210" s="60"/>
      <c r="V210" s="61"/>
    </row>
    <row r="211" spans="1:22" x14ac:dyDescent="0.2">
      <c r="A211">
        <f t="shared" si="44"/>
        <v>207</v>
      </c>
      <c r="B211" s="363">
        <f t="shared" ca="1" si="34"/>
        <v>0</v>
      </c>
      <c r="C211" s="364">
        <f t="shared" ca="1" si="35"/>
        <v>0</v>
      </c>
      <c r="D211" s="365">
        <f t="shared" ca="1" si="36"/>
        <v>0</v>
      </c>
      <c r="E211" s="365">
        <f t="shared" ca="1" si="37"/>
        <v>0</v>
      </c>
      <c r="F211" s="365">
        <f t="shared" ca="1" si="38"/>
        <v>0</v>
      </c>
      <c r="G211" s="365">
        <f t="shared" ca="1" si="39"/>
        <v>0</v>
      </c>
      <c r="H211" s="365">
        <f t="shared" ca="1" si="40"/>
        <v>0</v>
      </c>
      <c r="I211" s="365">
        <f t="shared" ca="1" si="41"/>
        <v>0</v>
      </c>
      <c r="J211" s="364">
        <f t="shared" ca="1" si="42"/>
        <v>0</v>
      </c>
      <c r="K211" s="366">
        <f t="shared" ca="1" si="43"/>
        <v>0</v>
      </c>
      <c r="M211" s="60"/>
      <c r="N211" s="60"/>
      <c r="O211" s="190"/>
      <c r="P211" s="60"/>
      <c r="Q211" s="60"/>
      <c r="R211" s="60"/>
      <c r="S211" s="60"/>
      <c r="T211" s="60"/>
      <c r="U211" s="60"/>
      <c r="V211" s="61"/>
    </row>
    <row r="212" spans="1:22" x14ac:dyDescent="0.2">
      <c r="A212">
        <f t="shared" si="44"/>
        <v>208</v>
      </c>
      <c r="B212" s="363">
        <f t="shared" ca="1" si="34"/>
        <v>0</v>
      </c>
      <c r="C212" s="364">
        <f t="shared" ca="1" si="35"/>
        <v>0</v>
      </c>
      <c r="D212" s="365">
        <f t="shared" ca="1" si="36"/>
        <v>0</v>
      </c>
      <c r="E212" s="365">
        <f t="shared" ca="1" si="37"/>
        <v>0</v>
      </c>
      <c r="F212" s="365">
        <f t="shared" ca="1" si="38"/>
        <v>0</v>
      </c>
      <c r="G212" s="365">
        <f t="shared" ca="1" si="39"/>
        <v>0</v>
      </c>
      <c r="H212" s="365">
        <f t="shared" ca="1" si="40"/>
        <v>0</v>
      </c>
      <c r="I212" s="365">
        <f t="shared" ca="1" si="41"/>
        <v>0</v>
      </c>
      <c r="J212" s="364">
        <f t="shared" ca="1" si="42"/>
        <v>0</v>
      </c>
      <c r="K212" s="366">
        <f t="shared" ca="1" si="43"/>
        <v>0</v>
      </c>
      <c r="M212" s="60"/>
      <c r="N212" s="60"/>
      <c r="O212" s="190"/>
      <c r="P212" s="60"/>
      <c r="Q212" s="60"/>
      <c r="R212" s="60"/>
      <c r="S212" s="60"/>
      <c r="T212" s="60"/>
      <c r="U212" s="60"/>
      <c r="V212" s="61"/>
    </row>
    <row r="213" spans="1:22" x14ac:dyDescent="0.2">
      <c r="A213">
        <f t="shared" si="44"/>
        <v>209</v>
      </c>
      <c r="B213" s="363">
        <f t="shared" ca="1" si="34"/>
        <v>0</v>
      </c>
      <c r="C213" s="364">
        <f t="shared" ca="1" si="35"/>
        <v>0</v>
      </c>
      <c r="D213" s="365">
        <f t="shared" ca="1" si="36"/>
        <v>0</v>
      </c>
      <c r="E213" s="365">
        <f t="shared" ca="1" si="37"/>
        <v>0</v>
      </c>
      <c r="F213" s="365">
        <f t="shared" ca="1" si="38"/>
        <v>0</v>
      </c>
      <c r="G213" s="365">
        <f t="shared" ca="1" si="39"/>
        <v>0</v>
      </c>
      <c r="H213" s="365">
        <f t="shared" ca="1" si="40"/>
        <v>0</v>
      </c>
      <c r="I213" s="365">
        <f t="shared" ca="1" si="41"/>
        <v>0</v>
      </c>
      <c r="J213" s="364">
        <f t="shared" ca="1" si="42"/>
        <v>0</v>
      </c>
      <c r="K213" s="366">
        <f t="shared" ca="1" si="43"/>
        <v>0</v>
      </c>
      <c r="M213" s="60"/>
      <c r="N213" s="60"/>
      <c r="O213" s="190"/>
      <c r="P213" s="60"/>
      <c r="Q213" s="60"/>
      <c r="R213" s="60"/>
      <c r="S213" s="60"/>
      <c r="T213" s="60"/>
      <c r="U213" s="60"/>
      <c r="V213" s="61"/>
    </row>
    <row r="214" spans="1:22" x14ac:dyDescent="0.2">
      <c r="A214">
        <f t="shared" si="44"/>
        <v>210</v>
      </c>
      <c r="B214" s="363">
        <f t="shared" ca="1" si="34"/>
        <v>0</v>
      </c>
      <c r="C214" s="364">
        <f t="shared" ca="1" si="35"/>
        <v>0</v>
      </c>
      <c r="D214" s="365">
        <f t="shared" ca="1" si="36"/>
        <v>0</v>
      </c>
      <c r="E214" s="365">
        <f t="shared" ca="1" si="37"/>
        <v>0</v>
      </c>
      <c r="F214" s="365">
        <f t="shared" ca="1" si="38"/>
        <v>0</v>
      </c>
      <c r="G214" s="365">
        <f t="shared" ca="1" si="39"/>
        <v>0</v>
      </c>
      <c r="H214" s="365">
        <f t="shared" ca="1" si="40"/>
        <v>0</v>
      </c>
      <c r="I214" s="365">
        <f t="shared" ca="1" si="41"/>
        <v>0</v>
      </c>
      <c r="J214" s="364">
        <f t="shared" ca="1" si="42"/>
        <v>0</v>
      </c>
      <c r="K214" s="366">
        <f t="shared" ca="1" si="43"/>
        <v>0</v>
      </c>
      <c r="M214" s="60"/>
      <c r="N214" s="60"/>
      <c r="O214" s="190"/>
      <c r="P214" s="60"/>
      <c r="Q214" s="60"/>
      <c r="R214" s="60"/>
      <c r="S214" s="60"/>
      <c r="T214" s="60"/>
      <c r="U214" s="60"/>
      <c r="V214" s="61"/>
    </row>
    <row r="215" spans="1:22" x14ac:dyDescent="0.2">
      <c r="A215">
        <f t="shared" si="44"/>
        <v>211</v>
      </c>
      <c r="B215" s="363">
        <f t="shared" ca="1" si="34"/>
        <v>0</v>
      </c>
      <c r="C215" s="364">
        <f t="shared" ca="1" si="35"/>
        <v>0</v>
      </c>
      <c r="D215" s="365">
        <f t="shared" ca="1" si="36"/>
        <v>0</v>
      </c>
      <c r="E215" s="365">
        <f t="shared" ca="1" si="37"/>
        <v>0</v>
      </c>
      <c r="F215" s="365">
        <f t="shared" ca="1" si="38"/>
        <v>0</v>
      </c>
      <c r="G215" s="365">
        <f t="shared" ca="1" si="39"/>
        <v>0</v>
      </c>
      <c r="H215" s="365">
        <f t="shared" ca="1" si="40"/>
        <v>0</v>
      </c>
      <c r="I215" s="365">
        <f t="shared" ca="1" si="41"/>
        <v>0</v>
      </c>
      <c r="J215" s="364">
        <f t="shared" ca="1" si="42"/>
        <v>0</v>
      </c>
      <c r="K215" s="366">
        <f t="shared" ca="1" si="43"/>
        <v>0</v>
      </c>
      <c r="M215" s="60"/>
      <c r="N215" s="60"/>
      <c r="O215" s="190"/>
      <c r="P215" s="60"/>
      <c r="Q215" s="60"/>
      <c r="R215" s="60"/>
      <c r="S215" s="60"/>
      <c r="T215" s="60"/>
      <c r="U215" s="60"/>
      <c r="V215" s="61"/>
    </row>
    <row r="216" spans="1:22" x14ac:dyDescent="0.2">
      <c r="A216">
        <f t="shared" si="44"/>
        <v>212</v>
      </c>
      <c r="B216" s="363">
        <f t="shared" ca="1" si="34"/>
        <v>0</v>
      </c>
      <c r="C216" s="364">
        <f t="shared" ca="1" si="35"/>
        <v>0</v>
      </c>
      <c r="D216" s="365">
        <f t="shared" ca="1" si="36"/>
        <v>0</v>
      </c>
      <c r="E216" s="365">
        <f t="shared" ca="1" si="37"/>
        <v>0</v>
      </c>
      <c r="F216" s="365">
        <f t="shared" ca="1" si="38"/>
        <v>0</v>
      </c>
      <c r="G216" s="365">
        <f t="shared" ca="1" si="39"/>
        <v>0</v>
      </c>
      <c r="H216" s="365">
        <f t="shared" ca="1" si="40"/>
        <v>0</v>
      </c>
      <c r="I216" s="365">
        <f t="shared" ca="1" si="41"/>
        <v>0</v>
      </c>
      <c r="J216" s="364">
        <f t="shared" ca="1" si="42"/>
        <v>0</v>
      </c>
      <c r="K216" s="366">
        <f t="shared" ca="1" si="43"/>
        <v>0</v>
      </c>
      <c r="M216" s="60"/>
      <c r="N216" s="60"/>
      <c r="O216" s="190"/>
      <c r="P216" s="60"/>
      <c r="Q216" s="60"/>
      <c r="R216" s="60"/>
      <c r="S216" s="60"/>
      <c r="T216" s="60"/>
      <c r="U216" s="60"/>
      <c r="V216" s="61"/>
    </row>
    <row r="217" spans="1:22" x14ac:dyDescent="0.2">
      <c r="A217">
        <f t="shared" si="44"/>
        <v>213</v>
      </c>
      <c r="B217" s="363">
        <f t="shared" ca="1" si="34"/>
        <v>0</v>
      </c>
      <c r="C217" s="364">
        <f t="shared" ca="1" si="35"/>
        <v>0</v>
      </c>
      <c r="D217" s="365">
        <f t="shared" ca="1" si="36"/>
        <v>0</v>
      </c>
      <c r="E217" s="365">
        <f t="shared" ca="1" si="37"/>
        <v>0</v>
      </c>
      <c r="F217" s="365">
        <f t="shared" ca="1" si="38"/>
        <v>0</v>
      </c>
      <c r="G217" s="365">
        <f t="shared" ca="1" si="39"/>
        <v>0</v>
      </c>
      <c r="H217" s="365">
        <f t="shared" ca="1" si="40"/>
        <v>0</v>
      </c>
      <c r="I217" s="365">
        <f t="shared" ca="1" si="41"/>
        <v>0</v>
      </c>
      <c r="J217" s="364">
        <f t="shared" ca="1" si="42"/>
        <v>0</v>
      </c>
      <c r="K217" s="366">
        <f t="shared" ca="1" si="43"/>
        <v>0</v>
      </c>
      <c r="M217" s="60"/>
      <c r="N217" s="60"/>
      <c r="O217" s="190"/>
      <c r="P217" s="60"/>
      <c r="Q217" s="60"/>
      <c r="R217" s="60"/>
      <c r="S217" s="60"/>
      <c r="T217" s="60"/>
      <c r="U217" s="60"/>
      <c r="V217" s="61"/>
    </row>
    <row r="218" spans="1:22" x14ac:dyDescent="0.2">
      <c r="A218">
        <f t="shared" si="44"/>
        <v>214</v>
      </c>
      <c r="B218" s="363">
        <f t="shared" ca="1" si="34"/>
        <v>0</v>
      </c>
      <c r="C218" s="364">
        <f t="shared" ca="1" si="35"/>
        <v>0</v>
      </c>
      <c r="D218" s="365">
        <f t="shared" ca="1" si="36"/>
        <v>0</v>
      </c>
      <c r="E218" s="365">
        <f t="shared" ca="1" si="37"/>
        <v>0</v>
      </c>
      <c r="F218" s="365">
        <f t="shared" ca="1" si="38"/>
        <v>0</v>
      </c>
      <c r="G218" s="365">
        <f t="shared" ca="1" si="39"/>
        <v>0</v>
      </c>
      <c r="H218" s="365">
        <f t="shared" ca="1" si="40"/>
        <v>0</v>
      </c>
      <c r="I218" s="365">
        <f t="shared" ca="1" si="41"/>
        <v>0</v>
      </c>
      <c r="J218" s="364">
        <f t="shared" ca="1" si="42"/>
        <v>0</v>
      </c>
      <c r="K218" s="366">
        <f t="shared" ca="1" si="43"/>
        <v>0</v>
      </c>
      <c r="M218" s="60"/>
      <c r="N218" s="60"/>
      <c r="O218" s="190"/>
      <c r="P218" s="60"/>
      <c r="Q218" s="60"/>
      <c r="R218" s="60"/>
      <c r="S218" s="60"/>
      <c r="T218" s="60"/>
      <c r="U218" s="60"/>
      <c r="V218" s="61"/>
    </row>
    <row r="219" spans="1:22" x14ac:dyDescent="0.2">
      <c r="A219">
        <f t="shared" si="44"/>
        <v>215</v>
      </c>
      <c r="B219" s="363">
        <f t="shared" ca="1" si="34"/>
        <v>0</v>
      </c>
      <c r="C219" s="364">
        <f t="shared" ca="1" si="35"/>
        <v>0</v>
      </c>
      <c r="D219" s="365">
        <f t="shared" ca="1" si="36"/>
        <v>0</v>
      </c>
      <c r="E219" s="365">
        <f t="shared" ca="1" si="37"/>
        <v>0</v>
      </c>
      <c r="F219" s="365">
        <f t="shared" ca="1" si="38"/>
        <v>0</v>
      </c>
      <c r="G219" s="365">
        <f t="shared" ca="1" si="39"/>
        <v>0</v>
      </c>
      <c r="H219" s="365">
        <f t="shared" ca="1" si="40"/>
        <v>0</v>
      </c>
      <c r="I219" s="365">
        <f t="shared" ca="1" si="41"/>
        <v>0</v>
      </c>
      <c r="J219" s="364">
        <f t="shared" ca="1" si="42"/>
        <v>0</v>
      </c>
      <c r="K219" s="366">
        <f t="shared" ca="1" si="43"/>
        <v>0</v>
      </c>
      <c r="M219" s="60"/>
      <c r="N219" s="60"/>
      <c r="O219" s="190"/>
      <c r="P219" s="60"/>
      <c r="Q219" s="60"/>
      <c r="R219" s="60"/>
      <c r="S219" s="60"/>
      <c r="T219" s="60"/>
      <c r="U219" s="60"/>
      <c r="V219" s="61"/>
    </row>
    <row r="220" spans="1:22" x14ac:dyDescent="0.2">
      <c r="A220">
        <f t="shared" si="44"/>
        <v>216</v>
      </c>
      <c r="B220" s="363">
        <f t="shared" ca="1" si="34"/>
        <v>0</v>
      </c>
      <c r="C220" s="364">
        <f t="shared" ca="1" si="35"/>
        <v>0</v>
      </c>
      <c r="D220" s="365">
        <f t="shared" ca="1" si="36"/>
        <v>0</v>
      </c>
      <c r="E220" s="365">
        <f t="shared" ca="1" si="37"/>
        <v>0</v>
      </c>
      <c r="F220" s="365">
        <f t="shared" ca="1" si="38"/>
        <v>0</v>
      </c>
      <c r="G220" s="365">
        <f t="shared" ca="1" si="39"/>
        <v>0</v>
      </c>
      <c r="H220" s="365">
        <f t="shared" ca="1" si="40"/>
        <v>0</v>
      </c>
      <c r="I220" s="365">
        <f t="shared" ca="1" si="41"/>
        <v>0</v>
      </c>
      <c r="J220" s="364">
        <f t="shared" ca="1" si="42"/>
        <v>0</v>
      </c>
      <c r="K220" s="366">
        <f t="shared" ca="1" si="43"/>
        <v>0</v>
      </c>
      <c r="M220" s="60"/>
      <c r="N220" s="60"/>
      <c r="O220" s="190"/>
      <c r="P220" s="60"/>
      <c r="Q220" s="60"/>
      <c r="R220" s="60"/>
      <c r="S220" s="60"/>
      <c r="T220" s="60"/>
      <c r="U220" s="60"/>
      <c r="V220" s="61"/>
    </row>
    <row r="221" spans="1:22" x14ac:dyDescent="0.2">
      <c r="A221">
        <f t="shared" si="44"/>
        <v>217</v>
      </c>
      <c r="B221" s="363">
        <f t="shared" ca="1" si="34"/>
        <v>0</v>
      </c>
      <c r="C221" s="364">
        <f t="shared" ca="1" si="35"/>
        <v>0</v>
      </c>
      <c r="D221" s="365">
        <f t="shared" ca="1" si="36"/>
        <v>0</v>
      </c>
      <c r="E221" s="365">
        <f t="shared" ca="1" si="37"/>
        <v>0</v>
      </c>
      <c r="F221" s="365">
        <f t="shared" ca="1" si="38"/>
        <v>0</v>
      </c>
      <c r="G221" s="365">
        <f t="shared" ca="1" si="39"/>
        <v>0</v>
      </c>
      <c r="H221" s="365">
        <f t="shared" ca="1" si="40"/>
        <v>0</v>
      </c>
      <c r="I221" s="365">
        <f t="shared" ca="1" si="41"/>
        <v>0</v>
      </c>
      <c r="J221" s="364">
        <f t="shared" ca="1" si="42"/>
        <v>0</v>
      </c>
      <c r="K221" s="366">
        <f t="shared" ca="1" si="43"/>
        <v>0</v>
      </c>
      <c r="M221" s="60"/>
      <c r="N221" s="60"/>
      <c r="O221" s="190"/>
      <c r="P221" s="60"/>
      <c r="Q221" s="60"/>
      <c r="R221" s="60"/>
      <c r="S221" s="60"/>
      <c r="T221" s="60"/>
      <c r="U221" s="60"/>
      <c r="V221" s="61"/>
    </row>
    <row r="222" spans="1:22" x14ac:dyDescent="0.2">
      <c r="A222">
        <f t="shared" si="44"/>
        <v>218</v>
      </c>
      <c r="B222" s="363">
        <f t="shared" ca="1" si="34"/>
        <v>0</v>
      </c>
      <c r="C222" s="364">
        <f t="shared" ca="1" si="35"/>
        <v>0</v>
      </c>
      <c r="D222" s="365">
        <f t="shared" ca="1" si="36"/>
        <v>0</v>
      </c>
      <c r="E222" s="365">
        <f t="shared" ca="1" si="37"/>
        <v>0</v>
      </c>
      <c r="F222" s="365">
        <f t="shared" ca="1" si="38"/>
        <v>0</v>
      </c>
      <c r="G222" s="365">
        <f t="shared" ca="1" si="39"/>
        <v>0</v>
      </c>
      <c r="H222" s="365">
        <f t="shared" ca="1" si="40"/>
        <v>0</v>
      </c>
      <c r="I222" s="365">
        <f t="shared" ca="1" si="41"/>
        <v>0</v>
      </c>
      <c r="J222" s="364">
        <f t="shared" ca="1" si="42"/>
        <v>0</v>
      </c>
      <c r="K222" s="366">
        <f t="shared" ca="1" si="43"/>
        <v>0</v>
      </c>
      <c r="M222" s="60"/>
      <c r="N222" s="60"/>
      <c r="O222" s="190"/>
      <c r="P222" s="60"/>
      <c r="Q222" s="60"/>
      <c r="R222" s="60"/>
      <c r="S222" s="60"/>
      <c r="T222" s="60"/>
      <c r="U222" s="60"/>
      <c r="V222" s="61"/>
    </row>
    <row r="223" spans="1:22" x14ac:dyDescent="0.2">
      <c r="A223">
        <f t="shared" si="44"/>
        <v>219</v>
      </c>
      <c r="B223" s="363">
        <f t="shared" ca="1" si="34"/>
        <v>0</v>
      </c>
      <c r="C223" s="364">
        <f t="shared" ca="1" si="35"/>
        <v>0</v>
      </c>
      <c r="D223" s="365">
        <f t="shared" ca="1" si="36"/>
        <v>0</v>
      </c>
      <c r="E223" s="365">
        <f t="shared" ca="1" si="37"/>
        <v>0</v>
      </c>
      <c r="F223" s="365">
        <f t="shared" ca="1" si="38"/>
        <v>0</v>
      </c>
      <c r="G223" s="365">
        <f t="shared" ca="1" si="39"/>
        <v>0</v>
      </c>
      <c r="H223" s="365">
        <f t="shared" ca="1" si="40"/>
        <v>0</v>
      </c>
      <c r="I223" s="365">
        <f t="shared" ca="1" si="41"/>
        <v>0</v>
      </c>
      <c r="J223" s="364">
        <f t="shared" ca="1" si="42"/>
        <v>0</v>
      </c>
      <c r="K223" s="366">
        <f t="shared" ca="1" si="43"/>
        <v>0</v>
      </c>
      <c r="M223" s="60"/>
      <c r="N223" s="60"/>
      <c r="O223" s="190"/>
      <c r="P223" s="60"/>
      <c r="Q223" s="60"/>
      <c r="R223" s="60"/>
      <c r="S223" s="60"/>
      <c r="T223" s="60"/>
      <c r="U223" s="60"/>
      <c r="V223" s="61"/>
    </row>
    <row r="224" spans="1:22" x14ac:dyDescent="0.2">
      <c r="A224">
        <f t="shared" si="44"/>
        <v>220</v>
      </c>
      <c r="B224" s="363">
        <f t="shared" ca="1" si="34"/>
        <v>0</v>
      </c>
      <c r="C224" s="364">
        <f t="shared" ca="1" si="35"/>
        <v>0</v>
      </c>
      <c r="D224" s="365">
        <f t="shared" ca="1" si="36"/>
        <v>0</v>
      </c>
      <c r="E224" s="365">
        <f t="shared" ca="1" si="37"/>
        <v>0</v>
      </c>
      <c r="F224" s="365">
        <f t="shared" ca="1" si="38"/>
        <v>0</v>
      </c>
      <c r="G224" s="365">
        <f t="shared" ca="1" si="39"/>
        <v>0</v>
      </c>
      <c r="H224" s="365">
        <f t="shared" ca="1" si="40"/>
        <v>0</v>
      </c>
      <c r="I224" s="365">
        <f t="shared" ca="1" si="41"/>
        <v>0</v>
      </c>
      <c r="J224" s="364">
        <f t="shared" ca="1" si="42"/>
        <v>0</v>
      </c>
      <c r="K224" s="366">
        <f t="shared" ca="1" si="43"/>
        <v>0</v>
      </c>
      <c r="M224" s="60"/>
      <c r="N224" s="60"/>
      <c r="O224" s="190"/>
      <c r="P224" s="60"/>
      <c r="Q224" s="60"/>
      <c r="R224" s="60"/>
      <c r="S224" s="60"/>
      <c r="T224" s="60"/>
      <c r="U224" s="60"/>
      <c r="V224" s="61"/>
    </row>
    <row r="225" spans="1:22" x14ac:dyDescent="0.2">
      <c r="A225">
        <f t="shared" si="44"/>
        <v>221</v>
      </c>
      <c r="B225" s="363">
        <f t="shared" ca="1" si="34"/>
        <v>0</v>
      </c>
      <c r="C225" s="364">
        <f t="shared" ca="1" si="35"/>
        <v>0</v>
      </c>
      <c r="D225" s="365">
        <f t="shared" ca="1" si="36"/>
        <v>0</v>
      </c>
      <c r="E225" s="365">
        <f t="shared" ca="1" si="37"/>
        <v>0</v>
      </c>
      <c r="F225" s="365">
        <f t="shared" ca="1" si="38"/>
        <v>0</v>
      </c>
      <c r="G225" s="365">
        <f t="shared" ca="1" si="39"/>
        <v>0</v>
      </c>
      <c r="H225" s="365">
        <f t="shared" ca="1" si="40"/>
        <v>0</v>
      </c>
      <c r="I225" s="365">
        <f t="shared" ca="1" si="41"/>
        <v>0</v>
      </c>
      <c r="J225" s="364">
        <f t="shared" ca="1" si="42"/>
        <v>0</v>
      </c>
      <c r="K225" s="366">
        <f t="shared" ca="1" si="43"/>
        <v>0</v>
      </c>
      <c r="M225" s="60"/>
      <c r="N225" s="60"/>
      <c r="O225" s="190"/>
      <c r="P225" s="60"/>
      <c r="Q225" s="60"/>
      <c r="R225" s="60"/>
      <c r="S225" s="60"/>
      <c r="T225" s="60"/>
      <c r="U225" s="60"/>
      <c r="V225" s="61"/>
    </row>
    <row r="226" spans="1:22" x14ac:dyDescent="0.2">
      <c r="A226">
        <f t="shared" si="44"/>
        <v>222</v>
      </c>
      <c r="B226" s="363">
        <f t="shared" ca="1" si="34"/>
        <v>0</v>
      </c>
      <c r="C226" s="364">
        <f t="shared" ca="1" si="35"/>
        <v>0</v>
      </c>
      <c r="D226" s="365">
        <f t="shared" ca="1" si="36"/>
        <v>0</v>
      </c>
      <c r="E226" s="365">
        <f t="shared" ca="1" si="37"/>
        <v>0</v>
      </c>
      <c r="F226" s="365">
        <f t="shared" ca="1" si="38"/>
        <v>0</v>
      </c>
      <c r="G226" s="365">
        <f t="shared" ca="1" si="39"/>
        <v>0</v>
      </c>
      <c r="H226" s="365">
        <f t="shared" ca="1" si="40"/>
        <v>0</v>
      </c>
      <c r="I226" s="365">
        <f t="shared" ca="1" si="41"/>
        <v>0</v>
      </c>
      <c r="J226" s="364">
        <f t="shared" ca="1" si="42"/>
        <v>0</v>
      </c>
      <c r="K226" s="366">
        <f t="shared" ca="1" si="43"/>
        <v>0</v>
      </c>
      <c r="M226" s="60"/>
      <c r="N226" s="60"/>
      <c r="O226" s="190"/>
      <c r="P226" s="60"/>
      <c r="Q226" s="60"/>
      <c r="R226" s="60"/>
      <c r="S226" s="60"/>
      <c r="T226" s="60"/>
      <c r="U226" s="60"/>
      <c r="V226" s="61"/>
    </row>
    <row r="227" spans="1:22" x14ac:dyDescent="0.2">
      <c r="A227">
        <f t="shared" si="44"/>
        <v>223</v>
      </c>
      <c r="B227" s="363">
        <f t="shared" ca="1" si="34"/>
        <v>0</v>
      </c>
      <c r="C227" s="364">
        <f t="shared" ca="1" si="35"/>
        <v>0</v>
      </c>
      <c r="D227" s="365">
        <f t="shared" ca="1" si="36"/>
        <v>0</v>
      </c>
      <c r="E227" s="365">
        <f t="shared" ca="1" si="37"/>
        <v>0</v>
      </c>
      <c r="F227" s="365">
        <f t="shared" ca="1" si="38"/>
        <v>0</v>
      </c>
      <c r="G227" s="365">
        <f t="shared" ca="1" si="39"/>
        <v>0</v>
      </c>
      <c r="H227" s="365">
        <f t="shared" ca="1" si="40"/>
        <v>0</v>
      </c>
      <c r="I227" s="365">
        <f t="shared" ca="1" si="41"/>
        <v>0</v>
      </c>
      <c r="J227" s="364">
        <f t="shared" ca="1" si="42"/>
        <v>0</v>
      </c>
      <c r="K227" s="366">
        <f t="shared" ca="1" si="43"/>
        <v>0</v>
      </c>
      <c r="M227" s="60"/>
      <c r="N227" s="60"/>
      <c r="O227" s="190"/>
      <c r="P227" s="60"/>
      <c r="Q227" s="60"/>
      <c r="R227" s="60"/>
      <c r="S227" s="60"/>
      <c r="T227" s="60"/>
      <c r="U227" s="60"/>
      <c r="V227" s="61"/>
    </row>
    <row r="228" spans="1:22" x14ac:dyDescent="0.2">
      <c r="A228">
        <f t="shared" si="44"/>
        <v>224</v>
      </c>
      <c r="B228" s="363">
        <f t="shared" ca="1" si="34"/>
        <v>0</v>
      </c>
      <c r="C228" s="364">
        <f t="shared" ca="1" si="35"/>
        <v>0</v>
      </c>
      <c r="D228" s="365">
        <f t="shared" ca="1" si="36"/>
        <v>0</v>
      </c>
      <c r="E228" s="365">
        <f t="shared" ca="1" si="37"/>
        <v>0</v>
      </c>
      <c r="F228" s="365">
        <f t="shared" ca="1" si="38"/>
        <v>0</v>
      </c>
      <c r="G228" s="365">
        <f t="shared" ca="1" si="39"/>
        <v>0</v>
      </c>
      <c r="H228" s="365">
        <f t="shared" ca="1" si="40"/>
        <v>0</v>
      </c>
      <c r="I228" s="365">
        <f t="shared" ca="1" si="41"/>
        <v>0</v>
      </c>
      <c r="J228" s="364">
        <f t="shared" ca="1" si="42"/>
        <v>0</v>
      </c>
      <c r="K228" s="366">
        <f t="shared" ca="1" si="43"/>
        <v>0</v>
      </c>
      <c r="M228" s="60"/>
      <c r="N228" s="60"/>
      <c r="O228" s="190"/>
      <c r="P228" s="60"/>
      <c r="Q228" s="60"/>
      <c r="R228" s="60"/>
      <c r="S228" s="60"/>
      <c r="T228" s="60"/>
      <c r="U228" s="60"/>
      <c r="V228" s="61"/>
    </row>
    <row r="229" spans="1:22" x14ac:dyDescent="0.2">
      <c r="A229">
        <f t="shared" si="44"/>
        <v>225</v>
      </c>
      <c r="B229" s="363">
        <f t="shared" ca="1" si="34"/>
        <v>0</v>
      </c>
      <c r="C229" s="364">
        <f t="shared" ca="1" si="35"/>
        <v>0</v>
      </c>
      <c r="D229" s="365">
        <f t="shared" ca="1" si="36"/>
        <v>0</v>
      </c>
      <c r="E229" s="365">
        <f t="shared" ca="1" si="37"/>
        <v>0</v>
      </c>
      <c r="F229" s="365">
        <f t="shared" ca="1" si="38"/>
        <v>0</v>
      </c>
      <c r="G229" s="365">
        <f t="shared" ca="1" si="39"/>
        <v>0</v>
      </c>
      <c r="H229" s="365">
        <f t="shared" ca="1" si="40"/>
        <v>0</v>
      </c>
      <c r="I229" s="365">
        <f t="shared" ca="1" si="41"/>
        <v>0</v>
      </c>
      <c r="J229" s="364">
        <f t="shared" ca="1" si="42"/>
        <v>0</v>
      </c>
      <c r="K229" s="366">
        <f t="shared" ca="1" si="43"/>
        <v>0</v>
      </c>
      <c r="M229" s="60"/>
      <c r="N229" s="60"/>
      <c r="O229" s="190"/>
      <c r="P229" s="60"/>
      <c r="Q229" s="60"/>
      <c r="R229" s="60"/>
      <c r="S229" s="60"/>
      <c r="T229" s="60"/>
      <c r="U229" s="60"/>
      <c r="V229" s="61"/>
    </row>
    <row r="230" spans="1:22" x14ac:dyDescent="0.2">
      <c r="A230">
        <f t="shared" si="44"/>
        <v>226</v>
      </c>
      <c r="B230" s="363">
        <f t="shared" ca="1" si="34"/>
        <v>0</v>
      </c>
      <c r="C230" s="364">
        <f t="shared" ca="1" si="35"/>
        <v>0</v>
      </c>
      <c r="D230" s="365">
        <f t="shared" ca="1" si="36"/>
        <v>0</v>
      </c>
      <c r="E230" s="365">
        <f t="shared" ca="1" si="37"/>
        <v>0</v>
      </c>
      <c r="F230" s="365">
        <f t="shared" ca="1" si="38"/>
        <v>0</v>
      </c>
      <c r="G230" s="365">
        <f t="shared" ca="1" si="39"/>
        <v>0</v>
      </c>
      <c r="H230" s="365">
        <f t="shared" ca="1" si="40"/>
        <v>0</v>
      </c>
      <c r="I230" s="365">
        <f t="shared" ca="1" si="41"/>
        <v>0</v>
      </c>
      <c r="J230" s="364">
        <f t="shared" ca="1" si="42"/>
        <v>0</v>
      </c>
      <c r="K230" s="366">
        <f t="shared" ca="1" si="43"/>
        <v>0</v>
      </c>
      <c r="M230" s="60"/>
      <c r="N230" s="60"/>
      <c r="O230" s="190"/>
      <c r="P230" s="60"/>
      <c r="Q230" s="60"/>
      <c r="R230" s="60"/>
      <c r="S230" s="60"/>
      <c r="T230" s="60"/>
      <c r="U230" s="60"/>
      <c r="V230" s="61"/>
    </row>
    <row r="231" spans="1:22" x14ac:dyDescent="0.2">
      <c r="A231">
        <f t="shared" si="44"/>
        <v>227</v>
      </c>
      <c r="B231" s="363">
        <f t="shared" ca="1" si="34"/>
        <v>0</v>
      </c>
      <c r="C231" s="364">
        <f t="shared" ca="1" si="35"/>
        <v>0</v>
      </c>
      <c r="D231" s="365">
        <f t="shared" ca="1" si="36"/>
        <v>0</v>
      </c>
      <c r="E231" s="365">
        <f t="shared" ca="1" si="37"/>
        <v>0</v>
      </c>
      <c r="F231" s="365">
        <f t="shared" ca="1" si="38"/>
        <v>0</v>
      </c>
      <c r="G231" s="365">
        <f t="shared" ca="1" si="39"/>
        <v>0</v>
      </c>
      <c r="H231" s="365">
        <f t="shared" ca="1" si="40"/>
        <v>0</v>
      </c>
      <c r="I231" s="365">
        <f t="shared" ca="1" si="41"/>
        <v>0</v>
      </c>
      <c r="J231" s="364">
        <f t="shared" ca="1" si="42"/>
        <v>0</v>
      </c>
      <c r="K231" s="366">
        <f t="shared" ca="1" si="43"/>
        <v>0</v>
      </c>
      <c r="M231" s="60"/>
      <c r="N231" s="60"/>
      <c r="O231" s="190"/>
      <c r="P231" s="60"/>
      <c r="Q231" s="60"/>
      <c r="R231" s="60"/>
      <c r="S231" s="60"/>
      <c r="T231" s="60"/>
      <c r="U231" s="60"/>
      <c r="V231" s="61"/>
    </row>
    <row r="232" spans="1:22" x14ac:dyDescent="0.2">
      <c r="A232">
        <f t="shared" si="44"/>
        <v>228</v>
      </c>
      <c r="B232" s="363">
        <f t="shared" ca="1" si="34"/>
        <v>0</v>
      </c>
      <c r="C232" s="364">
        <f t="shared" ca="1" si="35"/>
        <v>0</v>
      </c>
      <c r="D232" s="365">
        <f t="shared" ca="1" si="36"/>
        <v>0</v>
      </c>
      <c r="E232" s="365">
        <f t="shared" ca="1" si="37"/>
        <v>0</v>
      </c>
      <c r="F232" s="365">
        <f t="shared" ca="1" si="38"/>
        <v>0</v>
      </c>
      <c r="G232" s="365">
        <f t="shared" ca="1" si="39"/>
        <v>0</v>
      </c>
      <c r="H232" s="365">
        <f t="shared" ca="1" si="40"/>
        <v>0</v>
      </c>
      <c r="I232" s="365">
        <f t="shared" ca="1" si="41"/>
        <v>0</v>
      </c>
      <c r="J232" s="364">
        <f t="shared" ca="1" si="42"/>
        <v>0</v>
      </c>
      <c r="K232" s="366">
        <f t="shared" ca="1" si="43"/>
        <v>0</v>
      </c>
      <c r="M232" s="60"/>
      <c r="N232" s="60"/>
      <c r="O232" s="190"/>
      <c r="P232" s="60"/>
      <c r="Q232" s="60"/>
      <c r="R232" s="60"/>
      <c r="S232" s="60"/>
      <c r="T232" s="60"/>
      <c r="U232" s="60"/>
      <c r="V232" s="61"/>
    </row>
    <row r="233" spans="1:22" x14ac:dyDescent="0.2">
      <c r="A233">
        <f t="shared" si="44"/>
        <v>229</v>
      </c>
      <c r="B233" s="363">
        <f t="shared" ca="1" si="34"/>
        <v>0</v>
      </c>
      <c r="C233" s="364">
        <f t="shared" ca="1" si="35"/>
        <v>0</v>
      </c>
      <c r="D233" s="365">
        <f t="shared" ca="1" si="36"/>
        <v>0</v>
      </c>
      <c r="E233" s="365">
        <f t="shared" ca="1" si="37"/>
        <v>0</v>
      </c>
      <c r="F233" s="365">
        <f t="shared" ca="1" si="38"/>
        <v>0</v>
      </c>
      <c r="G233" s="365">
        <f t="shared" ca="1" si="39"/>
        <v>0</v>
      </c>
      <c r="H233" s="365">
        <f t="shared" ca="1" si="40"/>
        <v>0</v>
      </c>
      <c r="I233" s="365">
        <f t="shared" ca="1" si="41"/>
        <v>0</v>
      </c>
      <c r="J233" s="364">
        <f t="shared" ca="1" si="42"/>
        <v>0</v>
      </c>
      <c r="K233" s="366">
        <f t="shared" ca="1" si="43"/>
        <v>0</v>
      </c>
      <c r="M233" s="60"/>
      <c r="N233" s="60"/>
      <c r="O233" s="190"/>
      <c r="P233" s="60"/>
      <c r="Q233" s="60"/>
      <c r="R233" s="60"/>
      <c r="S233" s="60"/>
      <c r="T233" s="60"/>
      <c r="U233" s="60"/>
      <c r="V233" s="61"/>
    </row>
    <row r="234" spans="1:22" x14ac:dyDescent="0.2">
      <c r="A234">
        <f t="shared" si="44"/>
        <v>230</v>
      </c>
      <c r="B234" s="363">
        <f t="shared" ca="1" si="34"/>
        <v>0</v>
      </c>
      <c r="C234" s="364">
        <f t="shared" ca="1" si="35"/>
        <v>0</v>
      </c>
      <c r="D234" s="365">
        <f t="shared" ca="1" si="36"/>
        <v>0</v>
      </c>
      <c r="E234" s="365">
        <f t="shared" ca="1" si="37"/>
        <v>0</v>
      </c>
      <c r="F234" s="365">
        <f t="shared" ca="1" si="38"/>
        <v>0</v>
      </c>
      <c r="G234" s="365">
        <f t="shared" ca="1" si="39"/>
        <v>0</v>
      </c>
      <c r="H234" s="365">
        <f t="shared" ca="1" si="40"/>
        <v>0</v>
      </c>
      <c r="I234" s="365">
        <f t="shared" ca="1" si="41"/>
        <v>0</v>
      </c>
      <c r="J234" s="364">
        <f t="shared" ca="1" si="42"/>
        <v>0</v>
      </c>
      <c r="K234" s="366">
        <f t="shared" ca="1" si="43"/>
        <v>0</v>
      </c>
      <c r="M234" s="60"/>
      <c r="N234" s="60"/>
      <c r="O234" s="190"/>
      <c r="P234" s="60"/>
      <c r="Q234" s="60"/>
      <c r="R234" s="60"/>
      <c r="S234" s="60"/>
      <c r="T234" s="60"/>
      <c r="U234" s="60"/>
      <c r="V234" s="61"/>
    </row>
    <row r="235" spans="1:22" x14ac:dyDescent="0.2">
      <c r="A235">
        <f t="shared" si="44"/>
        <v>231</v>
      </c>
      <c r="B235" s="363">
        <f t="shared" ca="1" si="34"/>
        <v>0</v>
      </c>
      <c r="C235" s="364">
        <f t="shared" ca="1" si="35"/>
        <v>0</v>
      </c>
      <c r="D235" s="365">
        <f t="shared" ca="1" si="36"/>
        <v>0</v>
      </c>
      <c r="E235" s="365">
        <f t="shared" ca="1" si="37"/>
        <v>0</v>
      </c>
      <c r="F235" s="365">
        <f t="shared" ca="1" si="38"/>
        <v>0</v>
      </c>
      <c r="G235" s="365">
        <f t="shared" ca="1" si="39"/>
        <v>0</v>
      </c>
      <c r="H235" s="365">
        <f t="shared" ca="1" si="40"/>
        <v>0</v>
      </c>
      <c r="I235" s="365">
        <f t="shared" ca="1" si="41"/>
        <v>0</v>
      </c>
      <c r="J235" s="364">
        <f t="shared" ca="1" si="42"/>
        <v>0</v>
      </c>
      <c r="K235" s="366">
        <f t="shared" ca="1" si="43"/>
        <v>0</v>
      </c>
      <c r="M235" s="60"/>
      <c r="N235" s="60"/>
      <c r="O235" s="190"/>
      <c r="P235" s="60"/>
      <c r="Q235" s="60"/>
      <c r="R235" s="60"/>
      <c r="S235" s="60"/>
      <c r="T235" s="60"/>
      <c r="U235" s="60"/>
      <c r="V235" s="61"/>
    </row>
    <row r="236" spans="1:22" x14ac:dyDescent="0.2">
      <c r="A236">
        <f t="shared" si="44"/>
        <v>232</v>
      </c>
      <c r="B236" s="363">
        <f t="shared" ca="1" si="34"/>
        <v>0</v>
      </c>
      <c r="C236" s="364">
        <f t="shared" ca="1" si="35"/>
        <v>0</v>
      </c>
      <c r="D236" s="365">
        <f t="shared" ca="1" si="36"/>
        <v>0</v>
      </c>
      <c r="E236" s="365">
        <f t="shared" ca="1" si="37"/>
        <v>0</v>
      </c>
      <c r="F236" s="365">
        <f t="shared" ca="1" si="38"/>
        <v>0</v>
      </c>
      <c r="G236" s="365">
        <f t="shared" ca="1" si="39"/>
        <v>0</v>
      </c>
      <c r="H236" s="365">
        <f t="shared" ca="1" si="40"/>
        <v>0</v>
      </c>
      <c r="I236" s="365">
        <f t="shared" ca="1" si="41"/>
        <v>0</v>
      </c>
      <c r="J236" s="364">
        <f t="shared" ca="1" si="42"/>
        <v>0</v>
      </c>
      <c r="K236" s="366">
        <f t="shared" ca="1" si="43"/>
        <v>0</v>
      </c>
      <c r="M236" s="60"/>
      <c r="N236" s="60"/>
      <c r="O236" s="190"/>
      <c r="P236" s="60"/>
      <c r="Q236" s="60"/>
      <c r="R236" s="60"/>
      <c r="S236" s="60"/>
      <c r="T236" s="60"/>
      <c r="U236" s="60"/>
      <c r="V236" s="61"/>
    </row>
    <row r="237" spans="1:22" x14ac:dyDescent="0.2">
      <c r="A237">
        <f t="shared" si="44"/>
        <v>233</v>
      </c>
      <c r="B237" s="363">
        <f t="shared" ca="1" si="34"/>
        <v>0</v>
      </c>
      <c r="C237" s="364">
        <f t="shared" ca="1" si="35"/>
        <v>0</v>
      </c>
      <c r="D237" s="365">
        <f t="shared" ca="1" si="36"/>
        <v>0</v>
      </c>
      <c r="E237" s="365">
        <f t="shared" ca="1" si="37"/>
        <v>0</v>
      </c>
      <c r="F237" s="365">
        <f t="shared" ca="1" si="38"/>
        <v>0</v>
      </c>
      <c r="G237" s="365">
        <f t="shared" ca="1" si="39"/>
        <v>0</v>
      </c>
      <c r="H237" s="365">
        <f t="shared" ca="1" si="40"/>
        <v>0</v>
      </c>
      <c r="I237" s="365">
        <f t="shared" ca="1" si="41"/>
        <v>0</v>
      </c>
      <c r="J237" s="364">
        <f t="shared" ca="1" si="42"/>
        <v>0</v>
      </c>
      <c r="K237" s="366">
        <f t="shared" ca="1" si="43"/>
        <v>0</v>
      </c>
      <c r="M237" s="60"/>
      <c r="N237" s="60"/>
      <c r="O237" s="190"/>
      <c r="P237" s="60"/>
      <c r="Q237" s="60"/>
      <c r="R237" s="60"/>
      <c r="S237" s="60"/>
      <c r="T237" s="60"/>
      <c r="U237" s="60"/>
      <c r="V237" s="61"/>
    </row>
    <row r="238" spans="1:22" x14ac:dyDescent="0.2">
      <c r="A238">
        <f t="shared" si="44"/>
        <v>234</v>
      </c>
      <c r="B238" s="363">
        <f t="shared" ca="1" si="34"/>
        <v>0</v>
      </c>
      <c r="C238" s="364">
        <f t="shared" ca="1" si="35"/>
        <v>0</v>
      </c>
      <c r="D238" s="365">
        <f t="shared" ca="1" si="36"/>
        <v>0</v>
      </c>
      <c r="E238" s="365">
        <f t="shared" ca="1" si="37"/>
        <v>0</v>
      </c>
      <c r="F238" s="365">
        <f t="shared" ca="1" si="38"/>
        <v>0</v>
      </c>
      <c r="G238" s="365">
        <f t="shared" ca="1" si="39"/>
        <v>0</v>
      </c>
      <c r="H238" s="365">
        <f t="shared" ca="1" si="40"/>
        <v>0</v>
      </c>
      <c r="I238" s="365">
        <f t="shared" ca="1" si="41"/>
        <v>0</v>
      </c>
      <c r="J238" s="364">
        <f t="shared" ca="1" si="42"/>
        <v>0</v>
      </c>
      <c r="K238" s="366">
        <f t="shared" ca="1" si="43"/>
        <v>0</v>
      </c>
      <c r="M238" s="60"/>
      <c r="N238" s="60"/>
      <c r="O238" s="190"/>
      <c r="P238" s="60"/>
      <c r="Q238" s="60"/>
      <c r="R238" s="60"/>
      <c r="S238" s="60"/>
      <c r="T238" s="60"/>
      <c r="U238" s="60"/>
      <c r="V238" s="61"/>
    </row>
    <row r="239" spans="1:22" x14ac:dyDescent="0.2">
      <c r="A239">
        <f t="shared" si="44"/>
        <v>235</v>
      </c>
      <c r="B239" s="363">
        <f t="shared" ca="1" si="34"/>
        <v>0</v>
      </c>
      <c r="C239" s="364">
        <f t="shared" ca="1" si="35"/>
        <v>0</v>
      </c>
      <c r="D239" s="365">
        <f t="shared" ca="1" si="36"/>
        <v>0</v>
      </c>
      <c r="E239" s="365">
        <f t="shared" ca="1" si="37"/>
        <v>0</v>
      </c>
      <c r="F239" s="365">
        <f t="shared" ca="1" si="38"/>
        <v>0</v>
      </c>
      <c r="G239" s="365">
        <f t="shared" ca="1" si="39"/>
        <v>0</v>
      </c>
      <c r="H239" s="365">
        <f t="shared" ca="1" si="40"/>
        <v>0</v>
      </c>
      <c r="I239" s="365">
        <f t="shared" ca="1" si="41"/>
        <v>0</v>
      </c>
      <c r="J239" s="364">
        <f t="shared" ca="1" si="42"/>
        <v>0</v>
      </c>
      <c r="K239" s="366">
        <f t="shared" ca="1" si="43"/>
        <v>0</v>
      </c>
      <c r="M239" s="60"/>
      <c r="N239" s="60"/>
      <c r="O239" s="190"/>
      <c r="P239" s="60"/>
      <c r="Q239" s="60"/>
      <c r="R239" s="60"/>
      <c r="S239" s="60"/>
      <c r="T239" s="60"/>
      <c r="U239" s="60"/>
      <c r="V239" s="61"/>
    </row>
    <row r="240" spans="1:22" x14ac:dyDescent="0.2">
      <c r="A240">
        <f t="shared" si="44"/>
        <v>236</v>
      </c>
      <c r="B240" s="363">
        <f t="shared" ca="1" si="34"/>
        <v>0</v>
      </c>
      <c r="C240" s="364">
        <f t="shared" ca="1" si="35"/>
        <v>0</v>
      </c>
      <c r="D240" s="365">
        <f t="shared" ca="1" si="36"/>
        <v>0</v>
      </c>
      <c r="E240" s="365">
        <f t="shared" ca="1" si="37"/>
        <v>0</v>
      </c>
      <c r="F240" s="365">
        <f t="shared" ca="1" si="38"/>
        <v>0</v>
      </c>
      <c r="G240" s="365">
        <f t="shared" ca="1" si="39"/>
        <v>0</v>
      </c>
      <c r="H240" s="365">
        <f t="shared" ca="1" si="40"/>
        <v>0</v>
      </c>
      <c r="I240" s="365">
        <f t="shared" ca="1" si="41"/>
        <v>0</v>
      </c>
      <c r="J240" s="364">
        <f t="shared" ca="1" si="42"/>
        <v>0</v>
      </c>
      <c r="K240" s="366">
        <f t="shared" ca="1" si="43"/>
        <v>0</v>
      </c>
      <c r="M240" s="60"/>
      <c r="N240" s="60"/>
      <c r="O240" s="190"/>
      <c r="P240" s="60"/>
      <c r="Q240" s="60"/>
      <c r="R240" s="60"/>
      <c r="S240" s="60"/>
      <c r="T240" s="60"/>
      <c r="U240" s="60"/>
      <c r="V240" s="61"/>
    </row>
    <row r="241" spans="1:22" x14ac:dyDescent="0.2">
      <c r="A241">
        <f t="shared" si="44"/>
        <v>237</v>
      </c>
      <c r="B241" s="363">
        <f t="shared" ca="1" si="34"/>
        <v>0</v>
      </c>
      <c r="C241" s="364">
        <f t="shared" ca="1" si="35"/>
        <v>0</v>
      </c>
      <c r="D241" s="365">
        <f t="shared" ca="1" si="36"/>
        <v>0</v>
      </c>
      <c r="E241" s="365">
        <f t="shared" ca="1" si="37"/>
        <v>0</v>
      </c>
      <c r="F241" s="365">
        <f t="shared" ca="1" si="38"/>
        <v>0</v>
      </c>
      <c r="G241" s="365">
        <f t="shared" ca="1" si="39"/>
        <v>0</v>
      </c>
      <c r="H241" s="365">
        <f t="shared" ca="1" si="40"/>
        <v>0</v>
      </c>
      <c r="I241" s="365">
        <f t="shared" ca="1" si="41"/>
        <v>0</v>
      </c>
      <c r="J241" s="364">
        <f t="shared" ca="1" si="42"/>
        <v>0</v>
      </c>
      <c r="K241" s="366">
        <f t="shared" ca="1" si="43"/>
        <v>0</v>
      </c>
      <c r="M241" s="60"/>
      <c r="N241" s="60"/>
      <c r="O241" s="190"/>
      <c r="P241" s="60"/>
      <c r="Q241" s="60"/>
      <c r="R241" s="60"/>
      <c r="S241" s="60"/>
      <c r="T241" s="60"/>
      <c r="U241" s="60"/>
      <c r="V241" s="61"/>
    </row>
    <row r="242" spans="1:22" x14ac:dyDescent="0.2">
      <c r="A242">
        <f t="shared" si="44"/>
        <v>238</v>
      </c>
      <c r="B242" s="363">
        <f t="shared" ca="1" si="34"/>
        <v>0</v>
      </c>
      <c r="C242" s="364">
        <f t="shared" ca="1" si="35"/>
        <v>0</v>
      </c>
      <c r="D242" s="365">
        <f t="shared" ca="1" si="36"/>
        <v>0</v>
      </c>
      <c r="E242" s="365">
        <f t="shared" ca="1" si="37"/>
        <v>0</v>
      </c>
      <c r="F242" s="365">
        <f t="shared" ca="1" si="38"/>
        <v>0</v>
      </c>
      <c r="G242" s="365">
        <f t="shared" ca="1" si="39"/>
        <v>0</v>
      </c>
      <c r="H242" s="365">
        <f t="shared" ca="1" si="40"/>
        <v>0</v>
      </c>
      <c r="I242" s="365">
        <f t="shared" ca="1" si="41"/>
        <v>0</v>
      </c>
      <c r="J242" s="364">
        <f t="shared" ca="1" si="42"/>
        <v>0</v>
      </c>
      <c r="K242" s="366">
        <f t="shared" ca="1" si="43"/>
        <v>0</v>
      </c>
      <c r="M242" s="60"/>
      <c r="N242" s="60"/>
      <c r="O242" s="190"/>
      <c r="P242" s="60"/>
      <c r="Q242" s="60"/>
      <c r="R242" s="60"/>
      <c r="S242" s="60"/>
      <c r="T242" s="60"/>
      <c r="U242" s="60"/>
      <c r="V242" s="61"/>
    </row>
    <row r="243" spans="1:22" x14ac:dyDescent="0.2">
      <c r="A243">
        <f t="shared" si="44"/>
        <v>239</v>
      </c>
      <c r="B243" s="363">
        <f t="shared" ca="1" si="34"/>
        <v>0</v>
      </c>
      <c r="C243" s="364">
        <f t="shared" ca="1" si="35"/>
        <v>0</v>
      </c>
      <c r="D243" s="365">
        <f t="shared" ca="1" si="36"/>
        <v>0</v>
      </c>
      <c r="E243" s="365">
        <f t="shared" ca="1" si="37"/>
        <v>0</v>
      </c>
      <c r="F243" s="365">
        <f t="shared" ca="1" si="38"/>
        <v>0</v>
      </c>
      <c r="G243" s="365">
        <f t="shared" ca="1" si="39"/>
        <v>0</v>
      </c>
      <c r="H243" s="365">
        <f t="shared" ca="1" si="40"/>
        <v>0</v>
      </c>
      <c r="I243" s="365">
        <f t="shared" ca="1" si="41"/>
        <v>0</v>
      </c>
      <c r="J243" s="364">
        <f t="shared" ca="1" si="42"/>
        <v>0</v>
      </c>
      <c r="K243" s="366">
        <f t="shared" ca="1" si="43"/>
        <v>0</v>
      </c>
      <c r="M243" s="60"/>
      <c r="N243" s="60"/>
      <c r="O243" s="190"/>
      <c r="P243" s="60"/>
      <c r="Q243" s="60"/>
      <c r="R243" s="60"/>
      <c r="S243" s="60"/>
      <c r="T243" s="60"/>
      <c r="U243" s="60"/>
      <c r="V243" s="61"/>
    </row>
    <row r="244" spans="1:22" x14ac:dyDescent="0.2">
      <c r="A244">
        <f t="shared" si="44"/>
        <v>240</v>
      </c>
      <c r="B244" s="363">
        <f t="shared" ca="1" si="34"/>
        <v>0</v>
      </c>
      <c r="C244" s="364">
        <f t="shared" ca="1" si="35"/>
        <v>0</v>
      </c>
      <c r="D244" s="365">
        <f t="shared" ca="1" si="36"/>
        <v>0</v>
      </c>
      <c r="E244" s="365">
        <f t="shared" ca="1" si="37"/>
        <v>0</v>
      </c>
      <c r="F244" s="365">
        <f t="shared" ca="1" si="38"/>
        <v>0</v>
      </c>
      <c r="G244" s="365">
        <f t="shared" ca="1" si="39"/>
        <v>0</v>
      </c>
      <c r="H244" s="365">
        <f t="shared" ca="1" si="40"/>
        <v>0</v>
      </c>
      <c r="I244" s="365">
        <f t="shared" ca="1" si="41"/>
        <v>0</v>
      </c>
      <c r="J244" s="364">
        <f t="shared" ca="1" si="42"/>
        <v>0</v>
      </c>
      <c r="K244" s="366">
        <f t="shared" ca="1" si="43"/>
        <v>0</v>
      </c>
      <c r="M244" s="60"/>
      <c r="N244" s="60"/>
      <c r="O244" s="190"/>
      <c r="P244" s="60"/>
      <c r="Q244" s="60"/>
      <c r="R244" s="60"/>
      <c r="S244" s="60"/>
      <c r="T244" s="60"/>
      <c r="U244" s="60"/>
      <c r="V244" s="61"/>
    </row>
    <row r="245" spans="1:22" x14ac:dyDescent="0.2">
      <c r="A245">
        <f t="shared" si="44"/>
        <v>241</v>
      </c>
      <c r="B245" s="363">
        <f t="shared" ca="1" si="34"/>
        <v>0</v>
      </c>
      <c r="C245" s="364">
        <f t="shared" ca="1" si="35"/>
        <v>0</v>
      </c>
      <c r="D245" s="365">
        <f t="shared" ca="1" si="36"/>
        <v>0</v>
      </c>
      <c r="E245" s="365">
        <f t="shared" ca="1" si="37"/>
        <v>0</v>
      </c>
      <c r="F245" s="365">
        <f t="shared" ca="1" si="38"/>
        <v>0</v>
      </c>
      <c r="G245" s="365">
        <f t="shared" ca="1" si="39"/>
        <v>0</v>
      </c>
      <c r="H245" s="365">
        <f t="shared" ca="1" si="40"/>
        <v>0</v>
      </c>
      <c r="I245" s="365">
        <f t="shared" ca="1" si="41"/>
        <v>0</v>
      </c>
      <c r="J245" s="364">
        <f t="shared" ca="1" si="42"/>
        <v>0</v>
      </c>
      <c r="K245" s="366">
        <f t="shared" ca="1" si="43"/>
        <v>0</v>
      </c>
      <c r="M245" s="60"/>
      <c r="N245" s="60"/>
      <c r="O245" s="190"/>
      <c r="P245" s="60"/>
      <c r="Q245" s="60"/>
      <c r="R245" s="60"/>
      <c r="S245" s="60"/>
      <c r="T245" s="60"/>
      <c r="U245" s="60"/>
      <c r="V245" s="61"/>
    </row>
    <row r="246" spans="1:22" x14ac:dyDescent="0.2">
      <c r="A246">
        <f t="shared" si="44"/>
        <v>242</v>
      </c>
      <c r="B246" s="363">
        <f t="shared" ca="1" si="34"/>
        <v>0</v>
      </c>
      <c r="C246" s="364">
        <f t="shared" ca="1" si="35"/>
        <v>0</v>
      </c>
      <c r="D246" s="365">
        <f t="shared" ca="1" si="36"/>
        <v>0</v>
      </c>
      <c r="E246" s="365">
        <f t="shared" ca="1" si="37"/>
        <v>0</v>
      </c>
      <c r="F246" s="365">
        <f t="shared" ca="1" si="38"/>
        <v>0</v>
      </c>
      <c r="G246" s="365">
        <f t="shared" ca="1" si="39"/>
        <v>0</v>
      </c>
      <c r="H246" s="365">
        <f t="shared" ca="1" si="40"/>
        <v>0</v>
      </c>
      <c r="I246" s="365">
        <f t="shared" ca="1" si="41"/>
        <v>0</v>
      </c>
      <c r="J246" s="364">
        <f t="shared" ca="1" si="42"/>
        <v>0</v>
      </c>
      <c r="K246" s="366">
        <f t="shared" ca="1" si="43"/>
        <v>0</v>
      </c>
      <c r="M246" s="60"/>
      <c r="N246" s="60"/>
      <c r="O246" s="190"/>
      <c r="P246" s="60"/>
      <c r="Q246" s="60"/>
      <c r="R246" s="60"/>
      <c r="S246" s="60"/>
      <c r="T246" s="60"/>
      <c r="U246" s="60"/>
      <c r="V246" s="61"/>
    </row>
    <row r="247" spans="1:22" x14ac:dyDescent="0.2">
      <c r="A247">
        <f t="shared" si="44"/>
        <v>243</v>
      </c>
      <c r="B247" s="363">
        <f t="shared" ca="1" si="34"/>
        <v>0</v>
      </c>
      <c r="C247" s="364">
        <f t="shared" ca="1" si="35"/>
        <v>0</v>
      </c>
      <c r="D247" s="365">
        <f t="shared" ca="1" si="36"/>
        <v>0</v>
      </c>
      <c r="E247" s="365">
        <f t="shared" ca="1" si="37"/>
        <v>0</v>
      </c>
      <c r="F247" s="365">
        <f t="shared" ca="1" si="38"/>
        <v>0</v>
      </c>
      <c r="G247" s="365">
        <f t="shared" ca="1" si="39"/>
        <v>0</v>
      </c>
      <c r="H247" s="365">
        <f t="shared" ca="1" si="40"/>
        <v>0</v>
      </c>
      <c r="I247" s="365">
        <f t="shared" ca="1" si="41"/>
        <v>0</v>
      </c>
      <c r="J247" s="364">
        <f t="shared" ca="1" si="42"/>
        <v>0</v>
      </c>
      <c r="K247" s="366">
        <f t="shared" ca="1" si="43"/>
        <v>0</v>
      </c>
      <c r="M247" s="60"/>
      <c r="N247" s="60"/>
      <c r="O247" s="190"/>
      <c r="P247" s="60"/>
      <c r="Q247" s="60"/>
      <c r="R247" s="60"/>
      <c r="S247" s="60"/>
      <c r="T247" s="60"/>
      <c r="U247" s="60"/>
      <c r="V247" s="61"/>
    </row>
    <row r="248" spans="1:22" x14ac:dyDescent="0.2">
      <c r="A248">
        <f t="shared" si="44"/>
        <v>244</v>
      </c>
      <c r="B248" s="363">
        <f t="shared" ca="1" si="34"/>
        <v>0</v>
      </c>
      <c r="C248" s="364">
        <f t="shared" ca="1" si="35"/>
        <v>0</v>
      </c>
      <c r="D248" s="365">
        <f t="shared" ca="1" si="36"/>
        <v>0</v>
      </c>
      <c r="E248" s="365">
        <f t="shared" ca="1" si="37"/>
        <v>0</v>
      </c>
      <c r="F248" s="365">
        <f t="shared" ca="1" si="38"/>
        <v>0</v>
      </c>
      <c r="G248" s="365">
        <f t="shared" ca="1" si="39"/>
        <v>0</v>
      </c>
      <c r="H248" s="365">
        <f t="shared" ca="1" si="40"/>
        <v>0</v>
      </c>
      <c r="I248" s="365">
        <f t="shared" ca="1" si="41"/>
        <v>0</v>
      </c>
      <c r="J248" s="364">
        <f t="shared" ca="1" si="42"/>
        <v>0</v>
      </c>
      <c r="K248" s="366">
        <f t="shared" ca="1" si="43"/>
        <v>0</v>
      </c>
      <c r="M248" s="60"/>
      <c r="N248" s="60"/>
      <c r="O248" s="190"/>
      <c r="P248" s="60"/>
      <c r="Q248" s="60"/>
      <c r="R248" s="60"/>
      <c r="S248" s="60"/>
      <c r="T248" s="60"/>
      <c r="U248" s="60"/>
      <c r="V248" s="61"/>
    </row>
    <row r="249" spans="1:22" x14ac:dyDescent="0.2">
      <c r="A249">
        <f t="shared" si="44"/>
        <v>245</v>
      </c>
      <c r="B249" s="363">
        <f t="shared" ca="1" si="34"/>
        <v>0</v>
      </c>
      <c r="C249" s="364">
        <f t="shared" ca="1" si="35"/>
        <v>0</v>
      </c>
      <c r="D249" s="365">
        <f t="shared" ca="1" si="36"/>
        <v>0</v>
      </c>
      <c r="E249" s="365">
        <f t="shared" ca="1" si="37"/>
        <v>0</v>
      </c>
      <c r="F249" s="365">
        <f t="shared" ca="1" si="38"/>
        <v>0</v>
      </c>
      <c r="G249" s="365">
        <f t="shared" ca="1" si="39"/>
        <v>0</v>
      </c>
      <c r="H249" s="365">
        <f t="shared" ca="1" si="40"/>
        <v>0</v>
      </c>
      <c r="I249" s="365">
        <f t="shared" ca="1" si="41"/>
        <v>0</v>
      </c>
      <c r="J249" s="364">
        <f t="shared" ca="1" si="42"/>
        <v>0</v>
      </c>
      <c r="K249" s="366">
        <f t="shared" ca="1" si="43"/>
        <v>0</v>
      </c>
      <c r="M249" s="60"/>
      <c r="N249" s="60"/>
      <c r="O249" s="190"/>
      <c r="P249" s="60"/>
      <c r="Q249" s="60"/>
      <c r="R249" s="60"/>
      <c r="S249" s="60"/>
      <c r="T249" s="60"/>
      <c r="U249" s="60"/>
      <c r="V249" s="61"/>
    </row>
    <row r="250" spans="1:22" x14ac:dyDescent="0.2">
      <c r="A250">
        <f t="shared" si="44"/>
        <v>246</v>
      </c>
      <c r="B250" s="363">
        <f t="shared" ca="1" si="34"/>
        <v>0</v>
      </c>
      <c r="C250" s="364">
        <f t="shared" ca="1" si="35"/>
        <v>0</v>
      </c>
      <c r="D250" s="365">
        <f t="shared" ca="1" si="36"/>
        <v>0</v>
      </c>
      <c r="E250" s="365">
        <f t="shared" ca="1" si="37"/>
        <v>0</v>
      </c>
      <c r="F250" s="365">
        <f t="shared" ca="1" si="38"/>
        <v>0</v>
      </c>
      <c r="G250" s="365">
        <f t="shared" ca="1" si="39"/>
        <v>0</v>
      </c>
      <c r="H250" s="365">
        <f t="shared" ca="1" si="40"/>
        <v>0</v>
      </c>
      <c r="I250" s="365">
        <f t="shared" ca="1" si="41"/>
        <v>0</v>
      </c>
      <c r="J250" s="364">
        <f t="shared" ca="1" si="42"/>
        <v>0</v>
      </c>
      <c r="K250" s="366">
        <f t="shared" ca="1" si="43"/>
        <v>0</v>
      </c>
      <c r="M250" s="60"/>
      <c r="N250" s="60"/>
      <c r="O250" s="190"/>
      <c r="P250" s="60"/>
      <c r="Q250" s="60"/>
      <c r="R250" s="60"/>
      <c r="S250" s="60"/>
      <c r="T250" s="60"/>
      <c r="U250" s="60"/>
      <c r="V250" s="61"/>
    </row>
    <row r="251" spans="1:22" x14ac:dyDescent="0.2">
      <c r="A251">
        <f t="shared" si="44"/>
        <v>247</v>
      </c>
      <c r="B251" s="363">
        <f t="shared" ca="1" si="34"/>
        <v>0</v>
      </c>
      <c r="C251" s="364">
        <f t="shared" ca="1" si="35"/>
        <v>0</v>
      </c>
      <c r="D251" s="365">
        <f t="shared" ca="1" si="36"/>
        <v>0</v>
      </c>
      <c r="E251" s="365">
        <f t="shared" ca="1" si="37"/>
        <v>0</v>
      </c>
      <c r="F251" s="365">
        <f t="shared" ca="1" si="38"/>
        <v>0</v>
      </c>
      <c r="G251" s="365">
        <f t="shared" ca="1" si="39"/>
        <v>0</v>
      </c>
      <c r="H251" s="365">
        <f t="shared" ca="1" si="40"/>
        <v>0</v>
      </c>
      <c r="I251" s="365">
        <f t="shared" ca="1" si="41"/>
        <v>0</v>
      </c>
      <c r="J251" s="364">
        <f t="shared" ca="1" si="42"/>
        <v>0</v>
      </c>
      <c r="K251" s="366">
        <f t="shared" ca="1" si="43"/>
        <v>0</v>
      </c>
      <c r="M251" s="60"/>
      <c r="N251" s="60"/>
      <c r="O251" s="190"/>
      <c r="P251" s="60"/>
      <c r="Q251" s="60"/>
      <c r="R251" s="60"/>
      <c r="S251" s="60"/>
      <c r="T251" s="60"/>
      <c r="U251" s="60"/>
      <c r="V251" s="61"/>
    </row>
    <row r="252" spans="1:22" x14ac:dyDescent="0.2">
      <c r="A252">
        <f t="shared" si="44"/>
        <v>248</v>
      </c>
      <c r="B252" s="363">
        <f t="shared" ca="1" si="34"/>
        <v>0</v>
      </c>
      <c r="C252" s="364">
        <f t="shared" ca="1" si="35"/>
        <v>0</v>
      </c>
      <c r="D252" s="365">
        <f t="shared" ca="1" si="36"/>
        <v>0</v>
      </c>
      <c r="E252" s="365">
        <f t="shared" ca="1" si="37"/>
        <v>0</v>
      </c>
      <c r="F252" s="365">
        <f t="shared" ca="1" si="38"/>
        <v>0</v>
      </c>
      <c r="G252" s="365">
        <f t="shared" ca="1" si="39"/>
        <v>0</v>
      </c>
      <c r="H252" s="365">
        <f t="shared" ca="1" si="40"/>
        <v>0</v>
      </c>
      <c r="I252" s="365">
        <f t="shared" ca="1" si="41"/>
        <v>0</v>
      </c>
      <c r="J252" s="364">
        <f t="shared" ca="1" si="42"/>
        <v>0</v>
      </c>
      <c r="K252" s="366">
        <f t="shared" ca="1" si="43"/>
        <v>0</v>
      </c>
      <c r="M252" s="60"/>
      <c r="N252" s="60"/>
      <c r="O252" s="190"/>
      <c r="P252" s="60"/>
      <c r="Q252" s="60"/>
      <c r="R252" s="60"/>
      <c r="S252" s="60"/>
      <c r="T252" s="60"/>
      <c r="U252" s="60"/>
      <c r="V252" s="61"/>
    </row>
    <row r="253" spans="1:22" x14ac:dyDescent="0.2">
      <c r="A253">
        <f t="shared" si="44"/>
        <v>249</v>
      </c>
      <c r="B253" s="363">
        <f t="shared" ca="1" si="34"/>
        <v>0</v>
      </c>
      <c r="C253" s="364">
        <f t="shared" ca="1" si="35"/>
        <v>0</v>
      </c>
      <c r="D253" s="365">
        <f t="shared" ca="1" si="36"/>
        <v>0</v>
      </c>
      <c r="E253" s="365">
        <f t="shared" ca="1" si="37"/>
        <v>0</v>
      </c>
      <c r="F253" s="365">
        <f t="shared" ca="1" si="38"/>
        <v>0</v>
      </c>
      <c r="G253" s="365">
        <f t="shared" ca="1" si="39"/>
        <v>0</v>
      </c>
      <c r="H253" s="365">
        <f t="shared" ca="1" si="40"/>
        <v>0</v>
      </c>
      <c r="I253" s="365">
        <f t="shared" ca="1" si="41"/>
        <v>0</v>
      </c>
      <c r="J253" s="364">
        <f t="shared" ca="1" si="42"/>
        <v>0</v>
      </c>
      <c r="K253" s="366">
        <f t="shared" ca="1" si="43"/>
        <v>0</v>
      </c>
      <c r="M253" s="60"/>
      <c r="N253" s="60"/>
      <c r="O253" s="190"/>
      <c r="P253" s="60"/>
      <c r="Q253" s="60"/>
      <c r="R253" s="60"/>
      <c r="S253" s="60"/>
      <c r="T253" s="60"/>
      <c r="U253" s="60"/>
      <c r="V253" s="61"/>
    </row>
    <row r="254" spans="1:22" x14ac:dyDescent="0.2">
      <c r="A254">
        <f t="shared" si="44"/>
        <v>250</v>
      </c>
      <c r="B254" s="363">
        <f t="shared" ca="1" si="34"/>
        <v>0</v>
      </c>
      <c r="C254" s="364">
        <f t="shared" ca="1" si="35"/>
        <v>0</v>
      </c>
      <c r="D254" s="365">
        <f t="shared" ca="1" si="36"/>
        <v>0</v>
      </c>
      <c r="E254" s="365">
        <f t="shared" ca="1" si="37"/>
        <v>0</v>
      </c>
      <c r="F254" s="365">
        <f t="shared" ca="1" si="38"/>
        <v>0</v>
      </c>
      <c r="G254" s="365">
        <f t="shared" ca="1" si="39"/>
        <v>0</v>
      </c>
      <c r="H254" s="365">
        <f t="shared" ca="1" si="40"/>
        <v>0</v>
      </c>
      <c r="I254" s="365">
        <f t="shared" ca="1" si="41"/>
        <v>0</v>
      </c>
      <c r="J254" s="364">
        <f t="shared" ca="1" si="42"/>
        <v>0</v>
      </c>
      <c r="K254" s="366">
        <f t="shared" ca="1" si="43"/>
        <v>0</v>
      </c>
      <c r="M254" s="60"/>
      <c r="N254" s="60"/>
      <c r="O254" s="190"/>
      <c r="P254" s="60"/>
      <c r="Q254" s="60"/>
      <c r="R254" s="60"/>
      <c r="S254" s="60"/>
      <c r="T254" s="60"/>
      <c r="U254" s="60"/>
      <c r="V254" s="61"/>
    </row>
    <row r="255" spans="1:22" x14ac:dyDescent="0.2">
      <c r="A255">
        <f t="shared" si="44"/>
        <v>251</v>
      </c>
      <c r="B255" s="363">
        <f t="shared" ca="1" si="34"/>
        <v>0</v>
      </c>
      <c r="C255" s="364">
        <f t="shared" ca="1" si="35"/>
        <v>0</v>
      </c>
      <c r="D255" s="365">
        <f t="shared" ca="1" si="36"/>
        <v>0</v>
      </c>
      <c r="E255" s="365">
        <f t="shared" ca="1" si="37"/>
        <v>0</v>
      </c>
      <c r="F255" s="365">
        <f t="shared" ca="1" si="38"/>
        <v>0</v>
      </c>
      <c r="G255" s="365">
        <f t="shared" ca="1" si="39"/>
        <v>0</v>
      </c>
      <c r="H255" s="365">
        <f t="shared" ca="1" si="40"/>
        <v>0</v>
      </c>
      <c r="I255" s="365">
        <f t="shared" ca="1" si="41"/>
        <v>0</v>
      </c>
      <c r="J255" s="364">
        <f t="shared" ca="1" si="42"/>
        <v>0</v>
      </c>
      <c r="K255" s="366">
        <f t="shared" ca="1" si="43"/>
        <v>0</v>
      </c>
      <c r="M255" s="60"/>
      <c r="N255" s="60"/>
      <c r="O255" s="190"/>
      <c r="P255" s="60"/>
      <c r="Q255" s="60"/>
      <c r="R255" s="60"/>
      <c r="S255" s="60"/>
      <c r="T255" s="60"/>
      <c r="U255" s="60"/>
      <c r="V255" s="61"/>
    </row>
    <row r="256" spans="1:22" x14ac:dyDescent="0.2">
      <c r="A256">
        <f t="shared" si="44"/>
        <v>252</v>
      </c>
      <c r="B256" s="363">
        <f t="shared" ca="1" si="34"/>
        <v>0</v>
      </c>
      <c r="C256" s="364">
        <f t="shared" ca="1" si="35"/>
        <v>0</v>
      </c>
      <c r="D256" s="365">
        <f t="shared" ca="1" si="36"/>
        <v>0</v>
      </c>
      <c r="E256" s="365">
        <f t="shared" ca="1" si="37"/>
        <v>0</v>
      </c>
      <c r="F256" s="365">
        <f t="shared" ca="1" si="38"/>
        <v>0</v>
      </c>
      <c r="G256" s="365">
        <f t="shared" ca="1" si="39"/>
        <v>0</v>
      </c>
      <c r="H256" s="365">
        <f t="shared" ca="1" si="40"/>
        <v>0</v>
      </c>
      <c r="I256" s="365">
        <f t="shared" ca="1" si="41"/>
        <v>0</v>
      </c>
      <c r="J256" s="364">
        <f t="shared" ca="1" si="42"/>
        <v>0</v>
      </c>
      <c r="K256" s="366">
        <f t="shared" ca="1" si="43"/>
        <v>0</v>
      </c>
      <c r="M256" s="60"/>
      <c r="N256" s="60"/>
      <c r="O256" s="190"/>
      <c r="P256" s="60"/>
      <c r="Q256" s="60"/>
      <c r="R256" s="60"/>
      <c r="S256" s="60"/>
      <c r="T256" s="60"/>
      <c r="U256" s="60"/>
      <c r="V256" s="61"/>
    </row>
    <row r="257" spans="1:22" x14ac:dyDescent="0.2">
      <c r="A257">
        <f t="shared" si="44"/>
        <v>253</v>
      </c>
      <c r="B257" s="363">
        <f t="shared" ca="1" si="34"/>
        <v>0</v>
      </c>
      <c r="C257" s="364">
        <f t="shared" ca="1" si="35"/>
        <v>0</v>
      </c>
      <c r="D257" s="365">
        <f t="shared" ca="1" si="36"/>
        <v>0</v>
      </c>
      <c r="E257" s="365">
        <f t="shared" ca="1" si="37"/>
        <v>0</v>
      </c>
      <c r="F257" s="365">
        <f t="shared" ca="1" si="38"/>
        <v>0</v>
      </c>
      <c r="G257" s="365">
        <f t="shared" ca="1" si="39"/>
        <v>0</v>
      </c>
      <c r="H257" s="365">
        <f t="shared" ca="1" si="40"/>
        <v>0</v>
      </c>
      <c r="I257" s="365">
        <f t="shared" ca="1" si="41"/>
        <v>0</v>
      </c>
      <c r="J257" s="364">
        <f t="shared" ca="1" si="42"/>
        <v>0</v>
      </c>
      <c r="K257" s="366">
        <f t="shared" ca="1" si="43"/>
        <v>0</v>
      </c>
      <c r="M257" s="60"/>
      <c r="N257" s="60"/>
      <c r="O257" s="190"/>
      <c r="P257" s="60"/>
      <c r="Q257" s="60"/>
      <c r="R257" s="60"/>
      <c r="S257" s="60"/>
      <c r="T257" s="60"/>
      <c r="U257" s="60"/>
      <c r="V257" s="61"/>
    </row>
    <row r="258" spans="1:22" x14ac:dyDescent="0.2">
      <c r="A258">
        <f t="shared" si="44"/>
        <v>254</v>
      </c>
      <c r="B258" s="363">
        <f t="shared" ca="1" si="34"/>
        <v>0</v>
      </c>
      <c r="C258" s="364">
        <f t="shared" ca="1" si="35"/>
        <v>0</v>
      </c>
      <c r="D258" s="365">
        <f t="shared" ca="1" si="36"/>
        <v>0</v>
      </c>
      <c r="E258" s="365">
        <f t="shared" ca="1" si="37"/>
        <v>0</v>
      </c>
      <c r="F258" s="365">
        <f t="shared" ca="1" si="38"/>
        <v>0</v>
      </c>
      <c r="G258" s="365">
        <f t="shared" ca="1" si="39"/>
        <v>0</v>
      </c>
      <c r="H258" s="365">
        <f t="shared" ca="1" si="40"/>
        <v>0</v>
      </c>
      <c r="I258" s="365">
        <f t="shared" ca="1" si="41"/>
        <v>0</v>
      </c>
      <c r="J258" s="364">
        <f t="shared" ca="1" si="42"/>
        <v>0</v>
      </c>
      <c r="K258" s="366">
        <f t="shared" ca="1" si="43"/>
        <v>0</v>
      </c>
      <c r="M258" s="60"/>
      <c r="N258" s="60"/>
      <c r="O258" s="190"/>
      <c r="P258" s="60"/>
      <c r="Q258" s="60"/>
      <c r="R258" s="60"/>
      <c r="S258" s="60"/>
      <c r="T258" s="60"/>
      <c r="U258" s="60"/>
      <c r="V258" s="61"/>
    </row>
    <row r="259" spans="1:22" x14ac:dyDescent="0.2">
      <c r="A259">
        <f t="shared" si="44"/>
        <v>255</v>
      </c>
      <c r="B259" s="363">
        <f t="shared" ca="1" si="34"/>
        <v>0</v>
      </c>
      <c r="C259" s="364">
        <f t="shared" ca="1" si="35"/>
        <v>0</v>
      </c>
      <c r="D259" s="365">
        <f t="shared" ca="1" si="36"/>
        <v>0</v>
      </c>
      <c r="E259" s="365">
        <f t="shared" ca="1" si="37"/>
        <v>0</v>
      </c>
      <c r="F259" s="365">
        <f t="shared" ca="1" si="38"/>
        <v>0</v>
      </c>
      <c r="G259" s="365">
        <f t="shared" ca="1" si="39"/>
        <v>0</v>
      </c>
      <c r="H259" s="365">
        <f t="shared" ca="1" si="40"/>
        <v>0</v>
      </c>
      <c r="I259" s="365">
        <f t="shared" ca="1" si="41"/>
        <v>0</v>
      </c>
      <c r="J259" s="364">
        <f t="shared" ca="1" si="42"/>
        <v>0</v>
      </c>
      <c r="K259" s="366">
        <f t="shared" ca="1" si="43"/>
        <v>0</v>
      </c>
      <c r="M259" s="60"/>
      <c r="N259" s="60"/>
      <c r="O259" s="190"/>
      <c r="P259" s="60"/>
      <c r="Q259" s="60"/>
      <c r="R259" s="60"/>
      <c r="S259" s="60"/>
      <c r="T259" s="60"/>
      <c r="U259" s="60"/>
      <c r="V259" s="61"/>
    </row>
    <row r="260" spans="1:22" x14ac:dyDescent="0.2">
      <c r="A260">
        <f t="shared" si="44"/>
        <v>256</v>
      </c>
      <c r="B260" s="363">
        <f t="shared" ca="1" si="34"/>
        <v>0</v>
      </c>
      <c r="C260" s="364">
        <f t="shared" ca="1" si="35"/>
        <v>0</v>
      </c>
      <c r="D260" s="365">
        <f t="shared" ca="1" si="36"/>
        <v>0</v>
      </c>
      <c r="E260" s="365">
        <f t="shared" ca="1" si="37"/>
        <v>0</v>
      </c>
      <c r="F260" s="365">
        <f t="shared" ca="1" si="38"/>
        <v>0</v>
      </c>
      <c r="G260" s="365">
        <f t="shared" ca="1" si="39"/>
        <v>0</v>
      </c>
      <c r="H260" s="365">
        <f t="shared" ca="1" si="40"/>
        <v>0</v>
      </c>
      <c r="I260" s="365">
        <f t="shared" ca="1" si="41"/>
        <v>0</v>
      </c>
      <c r="J260" s="364">
        <f t="shared" ca="1" si="42"/>
        <v>0</v>
      </c>
      <c r="K260" s="366">
        <f t="shared" ca="1" si="43"/>
        <v>0</v>
      </c>
      <c r="M260" s="60"/>
      <c r="N260" s="60"/>
      <c r="O260" s="190"/>
      <c r="P260" s="60"/>
      <c r="Q260" s="60"/>
      <c r="R260" s="60"/>
      <c r="S260" s="60"/>
      <c r="T260" s="60"/>
      <c r="U260" s="60"/>
      <c r="V260" s="61"/>
    </row>
    <row r="261" spans="1:22" x14ac:dyDescent="0.2">
      <c r="A261">
        <f t="shared" si="44"/>
        <v>257</v>
      </c>
      <c r="B261" s="363">
        <f t="shared" ref="B261:B324" ca="1" si="45">IF($C$2=1,INDEX($M$5:$OO$369,$A261,B$1),INDEX(OFFSET(M$5,$A260,$K$2*11),1,1))</f>
        <v>0</v>
      </c>
      <c r="C261" s="364">
        <f t="shared" ref="C261:C324" ca="1" si="46">IF($C$2=1,INDEX($M$5:$OO$369,$A261,C$1),INDEX(OFFSET(N$5,$A260,$K$2*11),1,1))</f>
        <v>0</v>
      </c>
      <c r="D261" s="365">
        <f t="shared" ref="D261:D324" ca="1" si="47">IF($C$2=1,INDEX($M$5:$OO$369,$A261,D$1),INDEX(OFFSET(O$5,$A260,$K$2*11),1,1))</f>
        <v>0</v>
      </c>
      <c r="E261" s="365">
        <f t="shared" ref="E261:E324" ca="1" si="48">IF($C$2=1,INDEX($M$5:$OO$369,$A261,E$1),INDEX(OFFSET(P$5,$A260,$K$2*11),1,1))</f>
        <v>0</v>
      </c>
      <c r="F261" s="365">
        <f t="shared" ref="F261:F324" ca="1" si="49">IF($C$2=1,INDEX($M$5:$OO$369,$A261,F$1),INDEX(OFFSET(Q$5,$A260,$K$2*11),1,1))</f>
        <v>0</v>
      </c>
      <c r="G261" s="365">
        <f t="shared" ref="G261:G324" ca="1" si="50">IF($C$2=1,INDEX($M$5:$OO$369,$A261,G$1),INDEX(OFFSET(R$5,$A260,$K$2*11),1,1))</f>
        <v>0</v>
      </c>
      <c r="H261" s="365">
        <f t="shared" ref="H261:H324" ca="1" si="51">IF($C$2=1,INDEX($M$5:$OO$369,$A261,H$1),INDEX(OFFSET(S$5,$A260,$K$2*11),1,1))</f>
        <v>0</v>
      </c>
      <c r="I261" s="365">
        <f t="shared" ref="I261:I324" ca="1" si="52">IF($C$2=1,INDEX($M$5:$OO$369,$A261,I$1),INDEX(OFFSET(T$5,$A260,$K$2*11),1,1))</f>
        <v>0</v>
      </c>
      <c r="J261" s="364">
        <f t="shared" ref="J261:J324" ca="1" si="53">IF($C$2=1,INDEX($M$5:$OO$369,$A261,J$1),INDEX(OFFSET(U$5,$A260,$K$2*11),1,1))</f>
        <v>0</v>
      </c>
      <c r="K261" s="366">
        <f t="shared" ref="K261:K324" ca="1" si="54">IF($C$2=1,INDEX($M$5:$OO$369,$A261,K$1),INDEX(OFFSET(V$5,$A260,$K$2*11),1,1))</f>
        <v>0</v>
      </c>
      <c r="M261" s="60"/>
      <c r="N261" s="60"/>
      <c r="O261" s="190"/>
      <c r="P261" s="60"/>
      <c r="Q261" s="60"/>
      <c r="R261" s="60"/>
      <c r="S261" s="60"/>
      <c r="T261" s="60"/>
      <c r="U261" s="60"/>
      <c r="V261" s="61"/>
    </row>
    <row r="262" spans="1:22" x14ac:dyDescent="0.2">
      <c r="A262">
        <f t="shared" si="44"/>
        <v>258</v>
      </c>
      <c r="B262" s="363">
        <f t="shared" ca="1" si="45"/>
        <v>0</v>
      </c>
      <c r="C262" s="364">
        <f t="shared" ca="1" si="46"/>
        <v>0</v>
      </c>
      <c r="D262" s="365">
        <f t="shared" ca="1" si="47"/>
        <v>0</v>
      </c>
      <c r="E262" s="365">
        <f t="shared" ca="1" si="48"/>
        <v>0</v>
      </c>
      <c r="F262" s="365">
        <f t="shared" ca="1" si="49"/>
        <v>0</v>
      </c>
      <c r="G262" s="365">
        <f t="shared" ca="1" si="50"/>
        <v>0</v>
      </c>
      <c r="H262" s="365">
        <f t="shared" ca="1" si="51"/>
        <v>0</v>
      </c>
      <c r="I262" s="365">
        <f t="shared" ca="1" si="52"/>
        <v>0</v>
      </c>
      <c r="J262" s="364">
        <f t="shared" ca="1" si="53"/>
        <v>0</v>
      </c>
      <c r="K262" s="366">
        <f t="shared" ca="1" si="54"/>
        <v>0</v>
      </c>
      <c r="M262" s="60"/>
      <c r="N262" s="60"/>
      <c r="O262" s="190"/>
      <c r="P262" s="60"/>
      <c r="Q262" s="60"/>
      <c r="R262" s="60"/>
      <c r="S262" s="60"/>
      <c r="T262" s="60"/>
      <c r="U262" s="60"/>
      <c r="V262" s="61"/>
    </row>
    <row r="263" spans="1:22" x14ac:dyDescent="0.2">
      <c r="A263">
        <f t="shared" ref="A263:A326" si="55">A262+1</f>
        <v>259</v>
      </c>
      <c r="B263" s="363">
        <f t="shared" ca="1" si="45"/>
        <v>0</v>
      </c>
      <c r="C263" s="364">
        <f t="shared" ca="1" si="46"/>
        <v>0</v>
      </c>
      <c r="D263" s="365">
        <f t="shared" ca="1" si="47"/>
        <v>0</v>
      </c>
      <c r="E263" s="365">
        <f t="shared" ca="1" si="48"/>
        <v>0</v>
      </c>
      <c r="F263" s="365">
        <f t="shared" ca="1" si="49"/>
        <v>0</v>
      </c>
      <c r="G263" s="365">
        <f t="shared" ca="1" si="50"/>
        <v>0</v>
      </c>
      <c r="H263" s="365">
        <f t="shared" ca="1" si="51"/>
        <v>0</v>
      </c>
      <c r="I263" s="365">
        <f t="shared" ca="1" si="52"/>
        <v>0</v>
      </c>
      <c r="J263" s="364">
        <f t="shared" ca="1" si="53"/>
        <v>0</v>
      </c>
      <c r="K263" s="366">
        <f t="shared" ca="1" si="54"/>
        <v>0</v>
      </c>
      <c r="M263" s="60"/>
      <c r="N263" s="60"/>
      <c r="O263" s="190"/>
      <c r="P263" s="60"/>
      <c r="Q263" s="60"/>
      <c r="R263" s="60"/>
      <c r="S263" s="60"/>
      <c r="T263" s="60"/>
      <c r="U263" s="60"/>
      <c r="V263" s="61"/>
    </row>
    <row r="264" spans="1:22" x14ac:dyDescent="0.2">
      <c r="A264">
        <f t="shared" si="55"/>
        <v>260</v>
      </c>
      <c r="B264" s="363">
        <f t="shared" ca="1" si="45"/>
        <v>0</v>
      </c>
      <c r="C264" s="364">
        <f t="shared" ca="1" si="46"/>
        <v>0</v>
      </c>
      <c r="D264" s="365">
        <f t="shared" ca="1" si="47"/>
        <v>0</v>
      </c>
      <c r="E264" s="365">
        <f t="shared" ca="1" si="48"/>
        <v>0</v>
      </c>
      <c r="F264" s="365">
        <f t="shared" ca="1" si="49"/>
        <v>0</v>
      </c>
      <c r="G264" s="365">
        <f t="shared" ca="1" si="50"/>
        <v>0</v>
      </c>
      <c r="H264" s="365">
        <f t="shared" ca="1" si="51"/>
        <v>0</v>
      </c>
      <c r="I264" s="365">
        <f t="shared" ca="1" si="52"/>
        <v>0</v>
      </c>
      <c r="J264" s="364">
        <f t="shared" ca="1" si="53"/>
        <v>0</v>
      </c>
      <c r="K264" s="366">
        <f t="shared" ca="1" si="54"/>
        <v>0</v>
      </c>
      <c r="M264" s="60"/>
      <c r="N264" s="60"/>
      <c r="O264" s="190"/>
      <c r="P264" s="60"/>
      <c r="Q264" s="60"/>
      <c r="R264" s="60"/>
      <c r="S264" s="60"/>
      <c r="T264" s="60"/>
      <c r="U264" s="60"/>
      <c r="V264" s="61"/>
    </row>
    <row r="265" spans="1:22" x14ac:dyDescent="0.2">
      <c r="A265">
        <f t="shared" si="55"/>
        <v>261</v>
      </c>
      <c r="B265" s="363">
        <f t="shared" ca="1" si="45"/>
        <v>0</v>
      </c>
      <c r="C265" s="364">
        <f t="shared" ca="1" si="46"/>
        <v>0</v>
      </c>
      <c r="D265" s="365">
        <f t="shared" ca="1" si="47"/>
        <v>0</v>
      </c>
      <c r="E265" s="365">
        <f t="shared" ca="1" si="48"/>
        <v>0</v>
      </c>
      <c r="F265" s="365">
        <f t="shared" ca="1" si="49"/>
        <v>0</v>
      </c>
      <c r="G265" s="365">
        <f t="shared" ca="1" si="50"/>
        <v>0</v>
      </c>
      <c r="H265" s="365">
        <f t="shared" ca="1" si="51"/>
        <v>0</v>
      </c>
      <c r="I265" s="365">
        <f t="shared" ca="1" si="52"/>
        <v>0</v>
      </c>
      <c r="J265" s="364">
        <f t="shared" ca="1" si="53"/>
        <v>0</v>
      </c>
      <c r="K265" s="366">
        <f t="shared" ca="1" si="54"/>
        <v>0</v>
      </c>
      <c r="M265" s="60"/>
      <c r="N265" s="60"/>
      <c r="O265" s="190"/>
      <c r="P265" s="60"/>
      <c r="Q265" s="60"/>
      <c r="R265" s="60"/>
      <c r="S265" s="60"/>
      <c r="T265" s="60"/>
      <c r="U265" s="60"/>
      <c r="V265" s="61"/>
    </row>
    <row r="266" spans="1:22" x14ac:dyDescent="0.2">
      <c r="A266">
        <f t="shared" si="55"/>
        <v>262</v>
      </c>
      <c r="B266" s="363">
        <f t="shared" ca="1" si="45"/>
        <v>0</v>
      </c>
      <c r="C266" s="364">
        <f t="shared" ca="1" si="46"/>
        <v>0</v>
      </c>
      <c r="D266" s="365">
        <f t="shared" ca="1" si="47"/>
        <v>0</v>
      </c>
      <c r="E266" s="365">
        <f t="shared" ca="1" si="48"/>
        <v>0</v>
      </c>
      <c r="F266" s="365">
        <f t="shared" ca="1" si="49"/>
        <v>0</v>
      </c>
      <c r="G266" s="365">
        <f t="shared" ca="1" si="50"/>
        <v>0</v>
      </c>
      <c r="H266" s="365">
        <f t="shared" ca="1" si="51"/>
        <v>0</v>
      </c>
      <c r="I266" s="365">
        <f t="shared" ca="1" si="52"/>
        <v>0</v>
      </c>
      <c r="J266" s="364">
        <f t="shared" ca="1" si="53"/>
        <v>0</v>
      </c>
      <c r="K266" s="366">
        <f t="shared" ca="1" si="54"/>
        <v>0</v>
      </c>
      <c r="M266" s="60"/>
      <c r="N266" s="60"/>
      <c r="O266" s="190"/>
      <c r="P266" s="60"/>
      <c r="Q266" s="60"/>
      <c r="R266" s="60"/>
      <c r="S266" s="60"/>
      <c r="T266" s="60"/>
      <c r="U266" s="60"/>
      <c r="V266" s="61"/>
    </row>
    <row r="267" spans="1:22" x14ac:dyDescent="0.2">
      <c r="A267">
        <f t="shared" si="55"/>
        <v>263</v>
      </c>
      <c r="B267" s="363">
        <f t="shared" ca="1" si="45"/>
        <v>0</v>
      </c>
      <c r="C267" s="364">
        <f t="shared" ca="1" si="46"/>
        <v>0</v>
      </c>
      <c r="D267" s="365">
        <f t="shared" ca="1" si="47"/>
        <v>0</v>
      </c>
      <c r="E267" s="365">
        <f t="shared" ca="1" si="48"/>
        <v>0</v>
      </c>
      <c r="F267" s="365">
        <f t="shared" ca="1" si="49"/>
        <v>0</v>
      </c>
      <c r="G267" s="365">
        <f t="shared" ca="1" si="50"/>
        <v>0</v>
      </c>
      <c r="H267" s="365">
        <f t="shared" ca="1" si="51"/>
        <v>0</v>
      </c>
      <c r="I267" s="365">
        <f t="shared" ca="1" si="52"/>
        <v>0</v>
      </c>
      <c r="J267" s="364">
        <f t="shared" ca="1" si="53"/>
        <v>0</v>
      </c>
      <c r="K267" s="366">
        <f t="shared" ca="1" si="54"/>
        <v>0</v>
      </c>
      <c r="M267" s="60"/>
      <c r="N267" s="60"/>
      <c r="O267" s="190"/>
      <c r="P267" s="60"/>
      <c r="Q267" s="60"/>
      <c r="R267" s="60"/>
      <c r="S267" s="60"/>
      <c r="T267" s="60"/>
      <c r="U267" s="60"/>
      <c r="V267" s="61"/>
    </row>
    <row r="268" spans="1:22" x14ac:dyDescent="0.2">
      <c r="A268">
        <f t="shared" si="55"/>
        <v>264</v>
      </c>
      <c r="B268" s="363">
        <f t="shared" ca="1" si="45"/>
        <v>0</v>
      </c>
      <c r="C268" s="364">
        <f t="shared" ca="1" si="46"/>
        <v>0</v>
      </c>
      <c r="D268" s="365">
        <f t="shared" ca="1" si="47"/>
        <v>0</v>
      </c>
      <c r="E268" s="365">
        <f t="shared" ca="1" si="48"/>
        <v>0</v>
      </c>
      <c r="F268" s="365">
        <f t="shared" ca="1" si="49"/>
        <v>0</v>
      </c>
      <c r="G268" s="365">
        <f t="shared" ca="1" si="50"/>
        <v>0</v>
      </c>
      <c r="H268" s="365">
        <f t="shared" ca="1" si="51"/>
        <v>0</v>
      </c>
      <c r="I268" s="365">
        <f t="shared" ca="1" si="52"/>
        <v>0</v>
      </c>
      <c r="J268" s="364">
        <f t="shared" ca="1" si="53"/>
        <v>0</v>
      </c>
      <c r="K268" s="366">
        <f t="shared" ca="1" si="54"/>
        <v>0</v>
      </c>
      <c r="M268" s="60"/>
      <c r="N268" s="60"/>
      <c r="O268" s="190"/>
      <c r="P268" s="60"/>
      <c r="Q268" s="60"/>
      <c r="R268" s="60"/>
      <c r="S268" s="60"/>
      <c r="T268" s="60"/>
      <c r="U268" s="60"/>
      <c r="V268" s="61"/>
    </row>
    <row r="269" spans="1:22" x14ac:dyDescent="0.2">
      <c r="A269">
        <f t="shared" si="55"/>
        <v>265</v>
      </c>
      <c r="B269" s="363">
        <f t="shared" ca="1" si="45"/>
        <v>0</v>
      </c>
      <c r="C269" s="364">
        <f t="shared" ca="1" si="46"/>
        <v>0</v>
      </c>
      <c r="D269" s="365">
        <f t="shared" ca="1" si="47"/>
        <v>0</v>
      </c>
      <c r="E269" s="365">
        <f t="shared" ca="1" si="48"/>
        <v>0</v>
      </c>
      <c r="F269" s="365">
        <f t="shared" ca="1" si="49"/>
        <v>0</v>
      </c>
      <c r="G269" s="365">
        <f t="shared" ca="1" si="50"/>
        <v>0</v>
      </c>
      <c r="H269" s="365">
        <f t="shared" ca="1" si="51"/>
        <v>0</v>
      </c>
      <c r="I269" s="365">
        <f t="shared" ca="1" si="52"/>
        <v>0</v>
      </c>
      <c r="J269" s="364">
        <f t="shared" ca="1" si="53"/>
        <v>0</v>
      </c>
      <c r="K269" s="366">
        <f t="shared" ca="1" si="54"/>
        <v>0</v>
      </c>
      <c r="M269" s="60"/>
      <c r="N269" s="60"/>
      <c r="O269" s="190"/>
      <c r="P269" s="60"/>
      <c r="Q269" s="60"/>
      <c r="R269" s="60"/>
      <c r="S269" s="60"/>
      <c r="T269" s="60"/>
      <c r="U269" s="60"/>
      <c r="V269" s="61"/>
    </row>
    <row r="270" spans="1:22" x14ac:dyDescent="0.2">
      <c r="A270">
        <f t="shared" si="55"/>
        <v>266</v>
      </c>
      <c r="B270" s="363">
        <f t="shared" ca="1" si="45"/>
        <v>0</v>
      </c>
      <c r="C270" s="364">
        <f t="shared" ca="1" si="46"/>
        <v>0</v>
      </c>
      <c r="D270" s="365">
        <f t="shared" ca="1" si="47"/>
        <v>0</v>
      </c>
      <c r="E270" s="365">
        <f t="shared" ca="1" si="48"/>
        <v>0</v>
      </c>
      <c r="F270" s="365">
        <f t="shared" ca="1" si="49"/>
        <v>0</v>
      </c>
      <c r="G270" s="365">
        <f t="shared" ca="1" si="50"/>
        <v>0</v>
      </c>
      <c r="H270" s="365">
        <f t="shared" ca="1" si="51"/>
        <v>0</v>
      </c>
      <c r="I270" s="365">
        <f t="shared" ca="1" si="52"/>
        <v>0</v>
      </c>
      <c r="J270" s="364">
        <f t="shared" ca="1" si="53"/>
        <v>0</v>
      </c>
      <c r="K270" s="366">
        <f t="shared" ca="1" si="54"/>
        <v>0</v>
      </c>
      <c r="M270" s="60"/>
      <c r="N270" s="60"/>
      <c r="O270" s="190"/>
      <c r="P270" s="60"/>
      <c r="Q270" s="60"/>
      <c r="R270" s="60"/>
      <c r="S270" s="60"/>
      <c r="T270" s="60"/>
      <c r="U270" s="60"/>
      <c r="V270" s="61"/>
    </row>
    <row r="271" spans="1:22" x14ac:dyDescent="0.2">
      <c r="A271">
        <f t="shared" si="55"/>
        <v>267</v>
      </c>
      <c r="B271" s="363">
        <f t="shared" ca="1" si="45"/>
        <v>0</v>
      </c>
      <c r="C271" s="364">
        <f t="shared" ca="1" si="46"/>
        <v>0</v>
      </c>
      <c r="D271" s="365">
        <f t="shared" ca="1" si="47"/>
        <v>0</v>
      </c>
      <c r="E271" s="365">
        <f t="shared" ca="1" si="48"/>
        <v>0</v>
      </c>
      <c r="F271" s="365">
        <f t="shared" ca="1" si="49"/>
        <v>0</v>
      </c>
      <c r="G271" s="365">
        <f t="shared" ca="1" si="50"/>
        <v>0</v>
      </c>
      <c r="H271" s="365">
        <f t="shared" ca="1" si="51"/>
        <v>0</v>
      </c>
      <c r="I271" s="365">
        <f t="shared" ca="1" si="52"/>
        <v>0</v>
      </c>
      <c r="J271" s="364">
        <f t="shared" ca="1" si="53"/>
        <v>0</v>
      </c>
      <c r="K271" s="366">
        <f t="shared" ca="1" si="54"/>
        <v>0</v>
      </c>
      <c r="M271" s="60"/>
      <c r="N271" s="60"/>
      <c r="O271" s="190"/>
      <c r="P271" s="60"/>
      <c r="Q271" s="60"/>
      <c r="R271" s="60"/>
      <c r="S271" s="60"/>
      <c r="T271" s="60"/>
      <c r="U271" s="60"/>
      <c r="V271" s="61"/>
    </row>
    <row r="272" spans="1:22" x14ac:dyDescent="0.2">
      <c r="A272">
        <f t="shared" si="55"/>
        <v>268</v>
      </c>
      <c r="B272" s="363">
        <f t="shared" ca="1" si="45"/>
        <v>0</v>
      </c>
      <c r="C272" s="364">
        <f t="shared" ca="1" si="46"/>
        <v>0</v>
      </c>
      <c r="D272" s="365">
        <f t="shared" ca="1" si="47"/>
        <v>0</v>
      </c>
      <c r="E272" s="365">
        <f t="shared" ca="1" si="48"/>
        <v>0</v>
      </c>
      <c r="F272" s="365">
        <f t="shared" ca="1" si="49"/>
        <v>0</v>
      </c>
      <c r="G272" s="365">
        <f t="shared" ca="1" si="50"/>
        <v>0</v>
      </c>
      <c r="H272" s="365">
        <f t="shared" ca="1" si="51"/>
        <v>0</v>
      </c>
      <c r="I272" s="365">
        <f t="shared" ca="1" si="52"/>
        <v>0</v>
      </c>
      <c r="J272" s="364">
        <f t="shared" ca="1" si="53"/>
        <v>0</v>
      </c>
      <c r="K272" s="366">
        <f t="shared" ca="1" si="54"/>
        <v>0</v>
      </c>
      <c r="M272" s="60"/>
      <c r="N272" s="60"/>
      <c r="O272" s="190"/>
      <c r="P272" s="60"/>
      <c r="Q272" s="60"/>
      <c r="R272" s="60"/>
      <c r="S272" s="60"/>
      <c r="T272" s="60"/>
      <c r="U272" s="60"/>
      <c r="V272" s="61"/>
    </row>
    <row r="273" spans="1:22" x14ac:dyDescent="0.2">
      <c r="A273">
        <f t="shared" si="55"/>
        <v>269</v>
      </c>
      <c r="B273" s="363">
        <f t="shared" ca="1" si="45"/>
        <v>0</v>
      </c>
      <c r="C273" s="364">
        <f t="shared" ca="1" si="46"/>
        <v>0</v>
      </c>
      <c r="D273" s="365">
        <f t="shared" ca="1" si="47"/>
        <v>0</v>
      </c>
      <c r="E273" s="365">
        <f t="shared" ca="1" si="48"/>
        <v>0</v>
      </c>
      <c r="F273" s="365">
        <f t="shared" ca="1" si="49"/>
        <v>0</v>
      </c>
      <c r="G273" s="365">
        <f t="shared" ca="1" si="50"/>
        <v>0</v>
      </c>
      <c r="H273" s="365">
        <f t="shared" ca="1" si="51"/>
        <v>0</v>
      </c>
      <c r="I273" s="365">
        <f t="shared" ca="1" si="52"/>
        <v>0</v>
      </c>
      <c r="J273" s="364">
        <f t="shared" ca="1" si="53"/>
        <v>0</v>
      </c>
      <c r="K273" s="366">
        <f t="shared" ca="1" si="54"/>
        <v>0</v>
      </c>
      <c r="M273" s="60"/>
      <c r="N273" s="60"/>
      <c r="O273" s="190"/>
      <c r="P273" s="60"/>
      <c r="Q273" s="60"/>
      <c r="R273" s="60"/>
      <c r="S273" s="60"/>
      <c r="T273" s="60"/>
      <c r="U273" s="60"/>
      <c r="V273" s="61"/>
    </row>
    <row r="274" spans="1:22" x14ac:dyDescent="0.2">
      <c r="A274">
        <f t="shared" si="55"/>
        <v>270</v>
      </c>
      <c r="B274" s="363">
        <f t="shared" ca="1" si="45"/>
        <v>0</v>
      </c>
      <c r="C274" s="364">
        <f t="shared" ca="1" si="46"/>
        <v>0</v>
      </c>
      <c r="D274" s="365">
        <f t="shared" ca="1" si="47"/>
        <v>0</v>
      </c>
      <c r="E274" s="365">
        <f t="shared" ca="1" si="48"/>
        <v>0</v>
      </c>
      <c r="F274" s="365">
        <f t="shared" ca="1" si="49"/>
        <v>0</v>
      </c>
      <c r="G274" s="365">
        <f t="shared" ca="1" si="50"/>
        <v>0</v>
      </c>
      <c r="H274" s="365">
        <f t="shared" ca="1" si="51"/>
        <v>0</v>
      </c>
      <c r="I274" s="365">
        <f t="shared" ca="1" si="52"/>
        <v>0</v>
      </c>
      <c r="J274" s="364">
        <f t="shared" ca="1" si="53"/>
        <v>0</v>
      </c>
      <c r="K274" s="366">
        <f t="shared" ca="1" si="54"/>
        <v>0</v>
      </c>
      <c r="M274" s="60"/>
      <c r="N274" s="60"/>
      <c r="O274" s="190"/>
      <c r="P274" s="60"/>
      <c r="Q274" s="60"/>
      <c r="R274" s="60"/>
      <c r="S274" s="60"/>
      <c r="T274" s="60"/>
      <c r="U274" s="60"/>
      <c r="V274" s="61"/>
    </row>
    <row r="275" spans="1:22" x14ac:dyDescent="0.2">
      <c r="A275">
        <f t="shared" si="55"/>
        <v>271</v>
      </c>
      <c r="B275" s="363">
        <f t="shared" ca="1" si="45"/>
        <v>0</v>
      </c>
      <c r="C275" s="364">
        <f t="shared" ca="1" si="46"/>
        <v>0</v>
      </c>
      <c r="D275" s="365">
        <f t="shared" ca="1" si="47"/>
        <v>0</v>
      </c>
      <c r="E275" s="365">
        <f t="shared" ca="1" si="48"/>
        <v>0</v>
      </c>
      <c r="F275" s="365">
        <f t="shared" ca="1" si="49"/>
        <v>0</v>
      </c>
      <c r="G275" s="365">
        <f t="shared" ca="1" si="50"/>
        <v>0</v>
      </c>
      <c r="H275" s="365">
        <f t="shared" ca="1" si="51"/>
        <v>0</v>
      </c>
      <c r="I275" s="365">
        <f t="shared" ca="1" si="52"/>
        <v>0</v>
      </c>
      <c r="J275" s="364">
        <f t="shared" ca="1" si="53"/>
        <v>0</v>
      </c>
      <c r="K275" s="366">
        <f t="shared" ca="1" si="54"/>
        <v>0</v>
      </c>
      <c r="M275" s="60"/>
      <c r="N275" s="60"/>
      <c r="O275" s="190"/>
      <c r="P275" s="60"/>
      <c r="Q275" s="60"/>
      <c r="R275" s="60"/>
      <c r="S275" s="60"/>
      <c r="T275" s="60"/>
      <c r="U275" s="60"/>
      <c r="V275" s="61"/>
    </row>
    <row r="276" spans="1:22" x14ac:dyDescent="0.2">
      <c r="A276">
        <f t="shared" si="55"/>
        <v>272</v>
      </c>
      <c r="B276" s="363">
        <f t="shared" ca="1" si="45"/>
        <v>0</v>
      </c>
      <c r="C276" s="364">
        <f t="shared" ca="1" si="46"/>
        <v>0</v>
      </c>
      <c r="D276" s="365">
        <f t="shared" ca="1" si="47"/>
        <v>0</v>
      </c>
      <c r="E276" s="365">
        <f t="shared" ca="1" si="48"/>
        <v>0</v>
      </c>
      <c r="F276" s="365">
        <f t="shared" ca="1" si="49"/>
        <v>0</v>
      </c>
      <c r="G276" s="365">
        <f t="shared" ca="1" si="50"/>
        <v>0</v>
      </c>
      <c r="H276" s="365">
        <f t="shared" ca="1" si="51"/>
        <v>0</v>
      </c>
      <c r="I276" s="365">
        <f t="shared" ca="1" si="52"/>
        <v>0</v>
      </c>
      <c r="J276" s="364">
        <f t="shared" ca="1" si="53"/>
        <v>0</v>
      </c>
      <c r="K276" s="366">
        <f t="shared" ca="1" si="54"/>
        <v>0</v>
      </c>
      <c r="M276" s="60"/>
      <c r="N276" s="60"/>
      <c r="O276" s="190"/>
      <c r="P276" s="60"/>
      <c r="Q276" s="60"/>
      <c r="R276" s="60"/>
      <c r="S276" s="60"/>
      <c r="T276" s="60"/>
      <c r="U276" s="60"/>
      <c r="V276" s="61"/>
    </row>
    <row r="277" spans="1:22" x14ac:dyDescent="0.2">
      <c r="A277">
        <f t="shared" si="55"/>
        <v>273</v>
      </c>
      <c r="B277" s="363">
        <f t="shared" ca="1" si="45"/>
        <v>0</v>
      </c>
      <c r="C277" s="364">
        <f t="shared" ca="1" si="46"/>
        <v>0</v>
      </c>
      <c r="D277" s="365">
        <f t="shared" ca="1" si="47"/>
        <v>0</v>
      </c>
      <c r="E277" s="365">
        <f t="shared" ca="1" si="48"/>
        <v>0</v>
      </c>
      <c r="F277" s="365">
        <f t="shared" ca="1" si="49"/>
        <v>0</v>
      </c>
      <c r="G277" s="365">
        <f t="shared" ca="1" si="50"/>
        <v>0</v>
      </c>
      <c r="H277" s="365">
        <f t="shared" ca="1" si="51"/>
        <v>0</v>
      </c>
      <c r="I277" s="365">
        <f t="shared" ca="1" si="52"/>
        <v>0</v>
      </c>
      <c r="J277" s="364">
        <f t="shared" ca="1" si="53"/>
        <v>0</v>
      </c>
      <c r="K277" s="366">
        <f t="shared" ca="1" si="54"/>
        <v>0</v>
      </c>
      <c r="M277" s="60"/>
      <c r="N277" s="60"/>
      <c r="O277" s="190"/>
      <c r="P277" s="60"/>
      <c r="Q277" s="60"/>
      <c r="R277" s="60"/>
      <c r="S277" s="60"/>
      <c r="T277" s="60"/>
      <c r="U277" s="60"/>
      <c r="V277" s="61"/>
    </row>
    <row r="278" spans="1:22" x14ac:dyDescent="0.2">
      <c r="A278">
        <f t="shared" si="55"/>
        <v>274</v>
      </c>
      <c r="B278" s="363">
        <f t="shared" ca="1" si="45"/>
        <v>0</v>
      </c>
      <c r="C278" s="364">
        <f t="shared" ca="1" si="46"/>
        <v>0</v>
      </c>
      <c r="D278" s="365">
        <f t="shared" ca="1" si="47"/>
        <v>0</v>
      </c>
      <c r="E278" s="365">
        <f t="shared" ca="1" si="48"/>
        <v>0</v>
      </c>
      <c r="F278" s="365">
        <f t="shared" ca="1" si="49"/>
        <v>0</v>
      </c>
      <c r="G278" s="365">
        <f t="shared" ca="1" si="50"/>
        <v>0</v>
      </c>
      <c r="H278" s="365">
        <f t="shared" ca="1" si="51"/>
        <v>0</v>
      </c>
      <c r="I278" s="365">
        <f t="shared" ca="1" si="52"/>
        <v>0</v>
      </c>
      <c r="J278" s="364">
        <f t="shared" ca="1" si="53"/>
        <v>0</v>
      </c>
      <c r="K278" s="366">
        <f t="shared" ca="1" si="54"/>
        <v>0</v>
      </c>
      <c r="M278" s="60"/>
      <c r="N278" s="60"/>
      <c r="O278" s="190"/>
      <c r="P278" s="60"/>
      <c r="Q278" s="60"/>
      <c r="R278" s="60"/>
      <c r="S278" s="60"/>
      <c r="T278" s="60"/>
      <c r="U278" s="60"/>
      <c r="V278" s="61"/>
    </row>
    <row r="279" spans="1:22" x14ac:dyDescent="0.2">
      <c r="A279">
        <f t="shared" si="55"/>
        <v>275</v>
      </c>
      <c r="B279" s="363">
        <f t="shared" ca="1" si="45"/>
        <v>0</v>
      </c>
      <c r="C279" s="364">
        <f t="shared" ca="1" si="46"/>
        <v>0</v>
      </c>
      <c r="D279" s="365">
        <f t="shared" ca="1" si="47"/>
        <v>0</v>
      </c>
      <c r="E279" s="365">
        <f t="shared" ca="1" si="48"/>
        <v>0</v>
      </c>
      <c r="F279" s="365">
        <f t="shared" ca="1" si="49"/>
        <v>0</v>
      </c>
      <c r="G279" s="365">
        <f t="shared" ca="1" si="50"/>
        <v>0</v>
      </c>
      <c r="H279" s="365">
        <f t="shared" ca="1" si="51"/>
        <v>0</v>
      </c>
      <c r="I279" s="365">
        <f t="shared" ca="1" si="52"/>
        <v>0</v>
      </c>
      <c r="J279" s="364">
        <f t="shared" ca="1" si="53"/>
        <v>0</v>
      </c>
      <c r="K279" s="366">
        <f t="shared" ca="1" si="54"/>
        <v>0</v>
      </c>
      <c r="M279" s="60"/>
      <c r="N279" s="60"/>
      <c r="O279" s="190"/>
      <c r="P279" s="60"/>
      <c r="Q279" s="60"/>
      <c r="R279" s="60"/>
      <c r="S279" s="60"/>
      <c r="T279" s="60"/>
      <c r="U279" s="60"/>
      <c r="V279" s="61"/>
    </row>
    <row r="280" spans="1:22" x14ac:dyDescent="0.2">
      <c r="A280">
        <f t="shared" si="55"/>
        <v>276</v>
      </c>
      <c r="B280" s="363">
        <f t="shared" ca="1" si="45"/>
        <v>0</v>
      </c>
      <c r="C280" s="364">
        <f t="shared" ca="1" si="46"/>
        <v>0</v>
      </c>
      <c r="D280" s="365">
        <f t="shared" ca="1" si="47"/>
        <v>0</v>
      </c>
      <c r="E280" s="365">
        <f t="shared" ca="1" si="48"/>
        <v>0</v>
      </c>
      <c r="F280" s="365">
        <f t="shared" ca="1" si="49"/>
        <v>0</v>
      </c>
      <c r="G280" s="365">
        <f t="shared" ca="1" si="50"/>
        <v>0</v>
      </c>
      <c r="H280" s="365">
        <f t="shared" ca="1" si="51"/>
        <v>0</v>
      </c>
      <c r="I280" s="365">
        <f t="shared" ca="1" si="52"/>
        <v>0</v>
      </c>
      <c r="J280" s="364">
        <f t="shared" ca="1" si="53"/>
        <v>0</v>
      </c>
      <c r="K280" s="366">
        <f t="shared" ca="1" si="54"/>
        <v>0</v>
      </c>
      <c r="M280" s="60"/>
      <c r="N280" s="60"/>
      <c r="O280" s="190"/>
      <c r="P280" s="60"/>
      <c r="Q280" s="60"/>
      <c r="R280" s="60"/>
      <c r="S280" s="60"/>
      <c r="T280" s="60"/>
      <c r="U280" s="60"/>
      <c r="V280" s="61"/>
    </row>
    <row r="281" spans="1:22" x14ac:dyDescent="0.2">
      <c r="A281">
        <f t="shared" si="55"/>
        <v>277</v>
      </c>
      <c r="B281" s="363">
        <f t="shared" ca="1" si="45"/>
        <v>0</v>
      </c>
      <c r="C281" s="364">
        <f t="shared" ca="1" si="46"/>
        <v>0</v>
      </c>
      <c r="D281" s="365">
        <f t="shared" ca="1" si="47"/>
        <v>0</v>
      </c>
      <c r="E281" s="365">
        <f t="shared" ca="1" si="48"/>
        <v>0</v>
      </c>
      <c r="F281" s="365">
        <f t="shared" ca="1" si="49"/>
        <v>0</v>
      </c>
      <c r="G281" s="365">
        <f t="shared" ca="1" si="50"/>
        <v>0</v>
      </c>
      <c r="H281" s="365">
        <f t="shared" ca="1" si="51"/>
        <v>0</v>
      </c>
      <c r="I281" s="365">
        <f t="shared" ca="1" si="52"/>
        <v>0</v>
      </c>
      <c r="J281" s="364">
        <f t="shared" ca="1" si="53"/>
        <v>0</v>
      </c>
      <c r="K281" s="366">
        <f t="shared" ca="1" si="54"/>
        <v>0</v>
      </c>
      <c r="M281" s="60"/>
      <c r="N281" s="60"/>
      <c r="O281" s="190"/>
      <c r="P281" s="60"/>
      <c r="Q281" s="60"/>
      <c r="R281" s="60"/>
      <c r="S281" s="60"/>
      <c r="T281" s="60"/>
      <c r="U281" s="60"/>
      <c r="V281" s="61"/>
    </row>
    <row r="282" spans="1:22" x14ac:dyDescent="0.2">
      <c r="A282">
        <f t="shared" si="55"/>
        <v>278</v>
      </c>
      <c r="B282" s="363">
        <f t="shared" ca="1" si="45"/>
        <v>0</v>
      </c>
      <c r="C282" s="364">
        <f t="shared" ca="1" si="46"/>
        <v>0</v>
      </c>
      <c r="D282" s="365">
        <f t="shared" ca="1" si="47"/>
        <v>0</v>
      </c>
      <c r="E282" s="365">
        <f t="shared" ca="1" si="48"/>
        <v>0</v>
      </c>
      <c r="F282" s="365">
        <f t="shared" ca="1" si="49"/>
        <v>0</v>
      </c>
      <c r="G282" s="365">
        <f t="shared" ca="1" si="50"/>
        <v>0</v>
      </c>
      <c r="H282" s="365">
        <f t="shared" ca="1" si="51"/>
        <v>0</v>
      </c>
      <c r="I282" s="365">
        <f t="shared" ca="1" si="52"/>
        <v>0</v>
      </c>
      <c r="J282" s="364">
        <f t="shared" ca="1" si="53"/>
        <v>0</v>
      </c>
      <c r="K282" s="366">
        <f t="shared" ca="1" si="54"/>
        <v>0</v>
      </c>
      <c r="M282" s="60"/>
      <c r="N282" s="60"/>
      <c r="O282" s="190"/>
      <c r="P282" s="60"/>
      <c r="Q282" s="60"/>
      <c r="R282" s="60"/>
      <c r="S282" s="60"/>
      <c r="T282" s="60"/>
      <c r="U282" s="60"/>
      <c r="V282" s="61"/>
    </row>
    <row r="283" spans="1:22" x14ac:dyDescent="0.2">
      <c r="A283">
        <f t="shared" si="55"/>
        <v>279</v>
      </c>
      <c r="B283" s="363">
        <f t="shared" ca="1" si="45"/>
        <v>0</v>
      </c>
      <c r="C283" s="364">
        <f t="shared" ca="1" si="46"/>
        <v>0</v>
      </c>
      <c r="D283" s="365">
        <f t="shared" ca="1" si="47"/>
        <v>0</v>
      </c>
      <c r="E283" s="365">
        <f t="shared" ca="1" si="48"/>
        <v>0</v>
      </c>
      <c r="F283" s="365">
        <f t="shared" ca="1" si="49"/>
        <v>0</v>
      </c>
      <c r="G283" s="365">
        <f t="shared" ca="1" si="50"/>
        <v>0</v>
      </c>
      <c r="H283" s="365">
        <f t="shared" ca="1" si="51"/>
        <v>0</v>
      </c>
      <c r="I283" s="365">
        <f t="shared" ca="1" si="52"/>
        <v>0</v>
      </c>
      <c r="J283" s="364">
        <f t="shared" ca="1" si="53"/>
        <v>0</v>
      </c>
      <c r="K283" s="366">
        <f t="shared" ca="1" si="54"/>
        <v>0</v>
      </c>
      <c r="M283" s="60"/>
      <c r="N283" s="60"/>
      <c r="O283" s="190"/>
      <c r="P283" s="60"/>
      <c r="Q283" s="60"/>
      <c r="R283" s="60"/>
      <c r="S283" s="60"/>
      <c r="T283" s="60"/>
      <c r="U283" s="60"/>
      <c r="V283" s="61"/>
    </row>
    <row r="284" spans="1:22" x14ac:dyDescent="0.2">
      <c r="A284">
        <f t="shared" si="55"/>
        <v>280</v>
      </c>
      <c r="B284" s="363">
        <f t="shared" ca="1" si="45"/>
        <v>0</v>
      </c>
      <c r="C284" s="364">
        <f t="shared" ca="1" si="46"/>
        <v>0</v>
      </c>
      <c r="D284" s="365">
        <f t="shared" ca="1" si="47"/>
        <v>0</v>
      </c>
      <c r="E284" s="365">
        <f t="shared" ca="1" si="48"/>
        <v>0</v>
      </c>
      <c r="F284" s="365">
        <f t="shared" ca="1" si="49"/>
        <v>0</v>
      </c>
      <c r="G284" s="365">
        <f t="shared" ca="1" si="50"/>
        <v>0</v>
      </c>
      <c r="H284" s="365">
        <f t="shared" ca="1" si="51"/>
        <v>0</v>
      </c>
      <c r="I284" s="365">
        <f t="shared" ca="1" si="52"/>
        <v>0</v>
      </c>
      <c r="J284" s="364">
        <f t="shared" ca="1" si="53"/>
        <v>0</v>
      </c>
      <c r="K284" s="366">
        <f t="shared" ca="1" si="54"/>
        <v>0</v>
      </c>
      <c r="M284" s="60"/>
      <c r="N284" s="60"/>
      <c r="O284" s="190"/>
      <c r="P284" s="60"/>
      <c r="Q284" s="60"/>
      <c r="R284" s="60"/>
      <c r="S284" s="60"/>
      <c r="T284" s="60"/>
      <c r="U284" s="60"/>
      <c r="V284" s="61"/>
    </row>
    <row r="285" spans="1:22" x14ac:dyDescent="0.2">
      <c r="A285">
        <f t="shared" si="55"/>
        <v>281</v>
      </c>
      <c r="B285" s="363">
        <f t="shared" ca="1" si="45"/>
        <v>0</v>
      </c>
      <c r="C285" s="364">
        <f t="shared" ca="1" si="46"/>
        <v>0</v>
      </c>
      <c r="D285" s="365">
        <f t="shared" ca="1" si="47"/>
        <v>0</v>
      </c>
      <c r="E285" s="365">
        <f t="shared" ca="1" si="48"/>
        <v>0</v>
      </c>
      <c r="F285" s="365">
        <f t="shared" ca="1" si="49"/>
        <v>0</v>
      </c>
      <c r="G285" s="365">
        <f t="shared" ca="1" si="50"/>
        <v>0</v>
      </c>
      <c r="H285" s="365">
        <f t="shared" ca="1" si="51"/>
        <v>0</v>
      </c>
      <c r="I285" s="365">
        <f t="shared" ca="1" si="52"/>
        <v>0</v>
      </c>
      <c r="J285" s="364">
        <f t="shared" ca="1" si="53"/>
        <v>0</v>
      </c>
      <c r="K285" s="366">
        <f t="shared" ca="1" si="54"/>
        <v>0</v>
      </c>
      <c r="M285" s="60"/>
      <c r="N285" s="60"/>
      <c r="O285" s="190"/>
      <c r="P285" s="60"/>
      <c r="Q285" s="60"/>
      <c r="R285" s="60"/>
      <c r="S285" s="60"/>
      <c r="T285" s="60"/>
      <c r="U285" s="60"/>
      <c r="V285" s="61"/>
    </row>
    <row r="286" spans="1:22" x14ac:dyDescent="0.2">
      <c r="A286">
        <f t="shared" si="55"/>
        <v>282</v>
      </c>
      <c r="B286" s="363">
        <f t="shared" ca="1" si="45"/>
        <v>0</v>
      </c>
      <c r="C286" s="364">
        <f t="shared" ca="1" si="46"/>
        <v>0</v>
      </c>
      <c r="D286" s="365">
        <f t="shared" ca="1" si="47"/>
        <v>0</v>
      </c>
      <c r="E286" s="365">
        <f t="shared" ca="1" si="48"/>
        <v>0</v>
      </c>
      <c r="F286" s="365">
        <f t="shared" ca="1" si="49"/>
        <v>0</v>
      </c>
      <c r="G286" s="365">
        <f t="shared" ca="1" si="50"/>
        <v>0</v>
      </c>
      <c r="H286" s="365">
        <f t="shared" ca="1" si="51"/>
        <v>0</v>
      </c>
      <c r="I286" s="365">
        <f t="shared" ca="1" si="52"/>
        <v>0</v>
      </c>
      <c r="J286" s="364">
        <f t="shared" ca="1" si="53"/>
        <v>0</v>
      </c>
      <c r="K286" s="366">
        <f t="shared" ca="1" si="54"/>
        <v>0</v>
      </c>
      <c r="M286" s="60"/>
      <c r="N286" s="60"/>
      <c r="O286" s="190"/>
      <c r="P286" s="60"/>
      <c r="Q286" s="60"/>
      <c r="R286" s="60"/>
      <c r="S286" s="60"/>
      <c r="T286" s="60"/>
      <c r="U286" s="60"/>
      <c r="V286" s="61"/>
    </row>
    <row r="287" spans="1:22" x14ac:dyDescent="0.2">
      <c r="A287">
        <f t="shared" si="55"/>
        <v>283</v>
      </c>
      <c r="B287" s="363">
        <f t="shared" ca="1" si="45"/>
        <v>0</v>
      </c>
      <c r="C287" s="364">
        <f t="shared" ca="1" si="46"/>
        <v>0</v>
      </c>
      <c r="D287" s="365">
        <f t="shared" ca="1" si="47"/>
        <v>0</v>
      </c>
      <c r="E287" s="365">
        <f t="shared" ca="1" si="48"/>
        <v>0</v>
      </c>
      <c r="F287" s="365">
        <f t="shared" ca="1" si="49"/>
        <v>0</v>
      </c>
      <c r="G287" s="365">
        <f t="shared" ca="1" si="50"/>
        <v>0</v>
      </c>
      <c r="H287" s="365">
        <f t="shared" ca="1" si="51"/>
        <v>0</v>
      </c>
      <c r="I287" s="365">
        <f t="shared" ca="1" si="52"/>
        <v>0</v>
      </c>
      <c r="J287" s="364">
        <f t="shared" ca="1" si="53"/>
        <v>0</v>
      </c>
      <c r="K287" s="366">
        <f t="shared" ca="1" si="54"/>
        <v>0</v>
      </c>
      <c r="M287" s="60"/>
      <c r="N287" s="60"/>
      <c r="O287" s="190"/>
      <c r="P287" s="60"/>
      <c r="Q287" s="60"/>
      <c r="R287" s="60"/>
      <c r="S287" s="60"/>
      <c r="T287" s="60"/>
      <c r="U287" s="60"/>
      <c r="V287" s="61"/>
    </row>
    <row r="288" spans="1:22" x14ac:dyDescent="0.2">
      <c r="A288">
        <f t="shared" si="55"/>
        <v>284</v>
      </c>
      <c r="B288" s="363">
        <f t="shared" ca="1" si="45"/>
        <v>0</v>
      </c>
      <c r="C288" s="364">
        <f t="shared" ca="1" si="46"/>
        <v>0</v>
      </c>
      <c r="D288" s="365">
        <f t="shared" ca="1" si="47"/>
        <v>0</v>
      </c>
      <c r="E288" s="365">
        <f t="shared" ca="1" si="48"/>
        <v>0</v>
      </c>
      <c r="F288" s="365">
        <f t="shared" ca="1" si="49"/>
        <v>0</v>
      </c>
      <c r="G288" s="365">
        <f t="shared" ca="1" si="50"/>
        <v>0</v>
      </c>
      <c r="H288" s="365">
        <f t="shared" ca="1" si="51"/>
        <v>0</v>
      </c>
      <c r="I288" s="365">
        <f t="shared" ca="1" si="52"/>
        <v>0</v>
      </c>
      <c r="J288" s="364">
        <f t="shared" ca="1" si="53"/>
        <v>0</v>
      </c>
      <c r="K288" s="366">
        <f t="shared" ca="1" si="54"/>
        <v>0</v>
      </c>
      <c r="M288" s="60"/>
      <c r="N288" s="60"/>
      <c r="O288" s="190"/>
      <c r="P288" s="60"/>
      <c r="Q288" s="60"/>
      <c r="R288" s="60"/>
      <c r="S288" s="60"/>
      <c r="T288" s="60"/>
      <c r="U288" s="60"/>
      <c r="V288" s="61"/>
    </row>
    <row r="289" spans="1:22" x14ac:dyDescent="0.2">
      <c r="A289">
        <f t="shared" si="55"/>
        <v>285</v>
      </c>
      <c r="B289" s="363">
        <f t="shared" ca="1" si="45"/>
        <v>0</v>
      </c>
      <c r="C289" s="364">
        <f t="shared" ca="1" si="46"/>
        <v>0</v>
      </c>
      <c r="D289" s="365">
        <f t="shared" ca="1" si="47"/>
        <v>0</v>
      </c>
      <c r="E289" s="365">
        <f t="shared" ca="1" si="48"/>
        <v>0</v>
      </c>
      <c r="F289" s="365">
        <f t="shared" ca="1" si="49"/>
        <v>0</v>
      </c>
      <c r="G289" s="365">
        <f t="shared" ca="1" si="50"/>
        <v>0</v>
      </c>
      <c r="H289" s="365">
        <f t="shared" ca="1" si="51"/>
        <v>0</v>
      </c>
      <c r="I289" s="365">
        <f t="shared" ca="1" si="52"/>
        <v>0</v>
      </c>
      <c r="J289" s="364">
        <f t="shared" ca="1" si="53"/>
        <v>0</v>
      </c>
      <c r="K289" s="366">
        <f t="shared" ca="1" si="54"/>
        <v>0</v>
      </c>
      <c r="M289" s="60"/>
      <c r="N289" s="60"/>
      <c r="O289" s="190"/>
      <c r="P289" s="60"/>
      <c r="Q289" s="60"/>
      <c r="R289" s="60"/>
      <c r="S289" s="60"/>
      <c r="T289" s="60"/>
      <c r="U289" s="60"/>
      <c r="V289" s="61"/>
    </row>
    <row r="290" spans="1:22" x14ac:dyDescent="0.2">
      <c r="A290">
        <f t="shared" si="55"/>
        <v>286</v>
      </c>
      <c r="B290" s="363">
        <f t="shared" ca="1" si="45"/>
        <v>0</v>
      </c>
      <c r="C290" s="364">
        <f t="shared" ca="1" si="46"/>
        <v>0</v>
      </c>
      <c r="D290" s="365">
        <f t="shared" ca="1" si="47"/>
        <v>0</v>
      </c>
      <c r="E290" s="365">
        <f t="shared" ca="1" si="48"/>
        <v>0</v>
      </c>
      <c r="F290" s="365">
        <f t="shared" ca="1" si="49"/>
        <v>0</v>
      </c>
      <c r="G290" s="365">
        <f t="shared" ca="1" si="50"/>
        <v>0</v>
      </c>
      <c r="H290" s="365">
        <f t="shared" ca="1" si="51"/>
        <v>0</v>
      </c>
      <c r="I290" s="365">
        <f t="shared" ca="1" si="52"/>
        <v>0</v>
      </c>
      <c r="J290" s="364">
        <f t="shared" ca="1" si="53"/>
        <v>0</v>
      </c>
      <c r="K290" s="366">
        <f t="shared" ca="1" si="54"/>
        <v>0</v>
      </c>
      <c r="M290" s="60"/>
      <c r="N290" s="60"/>
      <c r="O290" s="190"/>
      <c r="P290" s="60"/>
      <c r="Q290" s="60"/>
      <c r="R290" s="60"/>
      <c r="S290" s="60"/>
      <c r="T290" s="60"/>
      <c r="U290" s="60"/>
      <c r="V290" s="61"/>
    </row>
    <row r="291" spans="1:22" x14ac:dyDescent="0.2">
      <c r="A291">
        <f t="shared" si="55"/>
        <v>287</v>
      </c>
      <c r="B291" s="363">
        <f t="shared" ca="1" si="45"/>
        <v>0</v>
      </c>
      <c r="C291" s="364">
        <f t="shared" ca="1" si="46"/>
        <v>0</v>
      </c>
      <c r="D291" s="365">
        <f t="shared" ca="1" si="47"/>
        <v>0</v>
      </c>
      <c r="E291" s="365">
        <f t="shared" ca="1" si="48"/>
        <v>0</v>
      </c>
      <c r="F291" s="365">
        <f t="shared" ca="1" si="49"/>
        <v>0</v>
      </c>
      <c r="G291" s="365">
        <f t="shared" ca="1" si="50"/>
        <v>0</v>
      </c>
      <c r="H291" s="365">
        <f t="shared" ca="1" si="51"/>
        <v>0</v>
      </c>
      <c r="I291" s="365">
        <f t="shared" ca="1" si="52"/>
        <v>0</v>
      </c>
      <c r="J291" s="364">
        <f t="shared" ca="1" si="53"/>
        <v>0</v>
      </c>
      <c r="K291" s="366">
        <f t="shared" ca="1" si="54"/>
        <v>0</v>
      </c>
      <c r="M291" s="60"/>
      <c r="N291" s="60"/>
      <c r="O291" s="190"/>
      <c r="P291" s="60"/>
      <c r="Q291" s="60"/>
      <c r="R291" s="60"/>
      <c r="S291" s="60"/>
      <c r="T291" s="60"/>
      <c r="U291" s="60"/>
      <c r="V291" s="61"/>
    </row>
    <row r="292" spans="1:22" x14ac:dyDescent="0.2">
      <c r="A292">
        <f t="shared" si="55"/>
        <v>288</v>
      </c>
      <c r="B292" s="363">
        <f t="shared" ca="1" si="45"/>
        <v>0</v>
      </c>
      <c r="C292" s="364">
        <f t="shared" ca="1" si="46"/>
        <v>0</v>
      </c>
      <c r="D292" s="365">
        <f t="shared" ca="1" si="47"/>
        <v>0</v>
      </c>
      <c r="E292" s="365">
        <f t="shared" ca="1" si="48"/>
        <v>0</v>
      </c>
      <c r="F292" s="365">
        <f t="shared" ca="1" si="49"/>
        <v>0</v>
      </c>
      <c r="G292" s="365">
        <f t="shared" ca="1" si="50"/>
        <v>0</v>
      </c>
      <c r="H292" s="365">
        <f t="shared" ca="1" si="51"/>
        <v>0</v>
      </c>
      <c r="I292" s="365">
        <f t="shared" ca="1" si="52"/>
        <v>0</v>
      </c>
      <c r="J292" s="364">
        <f t="shared" ca="1" si="53"/>
        <v>0</v>
      </c>
      <c r="K292" s="366">
        <f t="shared" ca="1" si="54"/>
        <v>0</v>
      </c>
      <c r="M292" s="60"/>
      <c r="N292" s="60"/>
      <c r="O292" s="190"/>
      <c r="P292" s="60"/>
      <c r="Q292" s="60"/>
      <c r="R292" s="60"/>
      <c r="S292" s="60"/>
      <c r="T292" s="60"/>
      <c r="U292" s="60"/>
      <c r="V292" s="61"/>
    </row>
    <row r="293" spans="1:22" x14ac:dyDescent="0.2">
      <c r="A293">
        <f t="shared" si="55"/>
        <v>289</v>
      </c>
      <c r="B293" s="363">
        <f t="shared" ca="1" si="45"/>
        <v>0</v>
      </c>
      <c r="C293" s="364">
        <f t="shared" ca="1" si="46"/>
        <v>0</v>
      </c>
      <c r="D293" s="365">
        <f t="shared" ca="1" si="47"/>
        <v>0</v>
      </c>
      <c r="E293" s="365">
        <f t="shared" ca="1" si="48"/>
        <v>0</v>
      </c>
      <c r="F293" s="365">
        <f t="shared" ca="1" si="49"/>
        <v>0</v>
      </c>
      <c r="G293" s="365">
        <f t="shared" ca="1" si="50"/>
        <v>0</v>
      </c>
      <c r="H293" s="365">
        <f t="shared" ca="1" si="51"/>
        <v>0</v>
      </c>
      <c r="I293" s="365">
        <f t="shared" ca="1" si="52"/>
        <v>0</v>
      </c>
      <c r="J293" s="364">
        <f t="shared" ca="1" si="53"/>
        <v>0</v>
      </c>
      <c r="K293" s="366">
        <f t="shared" ca="1" si="54"/>
        <v>0</v>
      </c>
      <c r="M293" s="60"/>
      <c r="N293" s="60"/>
      <c r="O293" s="190"/>
      <c r="P293" s="60"/>
      <c r="Q293" s="60"/>
      <c r="R293" s="60"/>
      <c r="S293" s="60"/>
      <c r="T293" s="60"/>
      <c r="U293" s="60"/>
      <c r="V293" s="61"/>
    </row>
    <row r="294" spans="1:22" x14ac:dyDescent="0.2">
      <c r="A294">
        <f t="shared" si="55"/>
        <v>290</v>
      </c>
      <c r="B294" s="363">
        <f t="shared" ca="1" si="45"/>
        <v>0</v>
      </c>
      <c r="C294" s="364">
        <f t="shared" ca="1" si="46"/>
        <v>0</v>
      </c>
      <c r="D294" s="365">
        <f t="shared" ca="1" si="47"/>
        <v>0</v>
      </c>
      <c r="E294" s="365">
        <f t="shared" ca="1" si="48"/>
        <v>0</v>
      </c>
      <c r="F294" s="365">
        <f t="shared" ca="1" si="49"/>
        <v>0</v>
      </c>
      <c r="G294" s="365">
        <f t="shared" ca="1" si="50"/>
        <v>0</v>
      </c>
      <c r="H294" s="365">
        <f t="shared" ca="1" si="51"/>
        <v>0</v>
      </c>
      <c r="I294" s="365">
        <f t="shared" ca="1" si="52"/>
        <v>0</v>
      </c>
      <c r="J294" s="364">
        <f t="shared" ca="1" si="53"/>
        <v>0</v>
      </c>
      <c r="K294" s="366">
        <f t="shared" ca="1" si="54"/>
        <v>0</v>
      </c>
      <c r="M294" s="60"/>
      <c r="N294" s="60"/>
      <c r="O294" s="190"/>
      <c r="P294" s="60"/>
      <c r="Q294" s="60"/>
      <c r="R294" s="60"/>
      <c r="S294" s="60"/>
      <c r="T294" s="60"/>
      <c r="U294" s="60"/>
      <c r="V294" s="61"/>
    </row>
    <row r="295" spans="1:22" x14ac:dyDescent="0.2">
      <c r="A295">
        <f t="shared" si="55"/>
        <v>291</v>
      </c>
      <c r="B295" s="363">
        <f t="shared" ca="1" si="45"/>
        <v>0</v>
      </c>
      <c r="C295" s="364">
        <f t="shared" ca="1" si="46"/>
        <v>0</v>
      </c>
      <c r="D295" s="365">
        <f t="shared" ca="1" si="47"/>
        <v>0</v>
      </c>
      <c r="E295" s="365">
        <f t="shared" ca="1" si="48"/>
        <v>0</v>
      </c>
      <c r="F295" s="365">
        <f t="shared" ca="1" si="49"/>
        <v>0</v>
      </c>
      <c r="G295" s="365">
        <f t="shared" ca="1" si="50"/>
        <v>0</v>
      </c>
      <c r="H295" s="365">
        <f t="shared" ca="1" si="51"/>
        <v>0</v>
      </c>
      <c r="I295" s="365">
        <f t="shared" ca="1" si="52"/>
        <v>0</v>
      </c>
      <c r="J295" s="364">
        <f t="shared" ca="1" si="53"/>
        <v>0</v>
      </c>
      <c r="K295" s="366">
        <f t="shared" ca="1" si="54"/>
        <v>0</v>
      </c>
      <c r="M295" s="60"/>
      <c r="N295" s="60"/>
      <c r="O295" s="190"/>
      <c r="P295" s="60"/>
      <c r="Q295" s="60"/>
      <c r="R295" s="60"/>
      <c r="S295" s="60"/>
      <c r="T295" s="60"/>
      <c r="U295" s="60"/>
      <c r="V295" s="61"/>
    </row>
    <row r="296" spans="1:22" x14ac:dyDescent="0.2">
      <c r="A296">
        <f t="shared" si="55"/>
        <v>292</v>
      </c>
      <c r="B296" s="363">
        <f t="shared" ca="1" si="45"/>
        <v>0</v>
      </c>
      <c r="C296" s="364">
        <f t="shared" ca="1" si="46"/>
        <v>0</v>
      </c>
      <c r="D296" s="365">
        <f t="shared" ca="1" si="47"/>
        <v>0</v>
      </c>
      <c r="E296" s="365">
        <f t="shared" ca="1" si="48"/>
        <v>0</v>
      </c>
      <c r="F296" s="365">
        <f t="shared" ca="1" si="49"/>
        <v>0</v>
      </c>
      <c r="G296" s="365">
        <f t="shared" ca="1" si="50"/>
        <v>0</v>
      </c>
      <c r="H296" s="365">
        <f t="shared" ca="1" si="51"/>
        <v>0</v>
      </c>
      <c r="I296" s="365">
        <f t="shared" ca="1" si="52"/>
        <v>0</v>
      </c>
      <c r="J296" s="364">
        <f t="shared" ca="1" si="53"/>
        <v>0</v>
      </c>
      <c r="K296" s="366">
        <f t="shared" ca="1" si="54"/>
        <v>0</v>
      </c>
      <c r="M296" s="60"/>
      <c r="N296" s="60"/>
      <c r="O296" s="190"/>
      <c r="P296" s="60"/>
      <c r="Q296" s="60"/>
      <c r="R296" s="60"/>
      <c r="S296" s="60"/>
      <c r="T296" s="60"/>
      <c r="U296" s="60"/>
      <c r="V296" s="61"/>
    </row>
    <row r="297" spans="1:22" x14ac:dyDescent="0.2">
      <c r="A297">
        <f t="shared" si="55"/>
        <v>293</v>
      </c>
      <c r="B297" s="363">
        <f t="shared" ca="1" si="45"/>
        <v>0</v>
      </c>
      <c r="C297" s="364">
        <f t="shared" ca="1" si="46"/>
        <v>0</v>
      </c>
      <c r="D297" s="365">
        <f t="shared" ca="1" si="47"/>
        <v>0</v>
      </c>
      <c r="E297" s="365">
        <f t="shared" ca="1" si="48"/>
        <v>0</v>
      </c>
      <c r="F297" s="365">
        <f t="shared" ca="1" si="49"/>
        <v>0</v>
      </c>
      <c r="G297" s="365">
        <f t="shared" ca="1" si="50"/>
        <v>0</v>
      </c>
      <c r="H297" s="365">
        <f t="shared" ca="1" si="51"/>
        <v>0</v>
      </c>
      <c r="I297" s="365">
        <f t="shared" ca="1" si="52"/>
        <v>0</v>
      </c>
      <c r="J297" s="364">
        <f t="shared" ca="1" si="53"/>
        <v>0</v>
      </c>
      <c r="K297" s="366">
        <f t="shared" ca="1" si="54"/>
        <v>0</v>
      </c>
      <c r="M297" s="60"/>
      <c r="N297" s="60"/>
      <c r="O297" s="190"/>
      <c r="P297" s="60"/>
      <c r="Q297" s="60"/>
      <c r="R297" s="60"/>
      <c r="S297" s="60"/>
      <c r="T297" s="60"/>
      <c r="U297" s="60"/>
      <c r="V297" s="61"/>
    </row>
    <row r="298" spans="1:22" x14ac:dyDescent="0.2">
      <c r="A298">
        <f t="shared" si="55"/>
        <v>294</v>
      </c>
      <c r="B298" s="363">
        <f t="shared" ca="1" si="45"/>
        <v>0</v>
      </c>
      <c r="C298" s="364">
        <f t="shared" ca="1" si="46"/>
        <v>0</v>
      </c>
      <c r="D298" s="365">
        <f t="shared" ca="1" si="47"/>
        <v>0</v>
      </c>
      <c r="E298" s="365">
        <f t="shared" ca="1" si="48"/>
        <v>0</v>
      </c>
      <c r="F298" s="365">
        <f t="shared" ca="1" si="49"/>
        <v>0</v>
      </c>
      <c r="G298" s="365">
        <f t="shared" ca="1" si="50"/>
        <v>0</v>
      </c>
      <c r="H298" s="365">
        <f t="shared" ca="1" si="51"/>
        <v>0</v>
      </c>
      <c r="I298" s="365">
        <f t="shared" ca="1" si="52"/>
        <v>0</v>
      </c>
      <c r="J298" s="364">
        <f t="shared" ca="1" si="53"/>
        <v>0</v>
      </c>
      <c r="K298" s="366">
        <f t="shared" ca="1" si="54"/>
        <v>0</v>
      </c>
      <c r="M298" s="60"/>
      <c r="N298" s="60"/>
      <c r="O298" s="190"/>
      <c r="P298" s="60"/>
      <c r="Q298" s="60"/>
      <c r="R298" s="60"/>
      <c r="S298" s="60"/>
      <c r="T298" s="60"/>
      <c r="U298" s="60"/>
      <c r="V298" s="61"/>
    </row>
    <row r="299" spans="1:22" x14ac:dyDescent="0.2">
      <c r="A299">
        <f t="shared" si="55"/>
        <v>295</v>
      </c>
      <c r="B299" s="363">
        <f t="shared" ca="1" si="45"/>
        <v>0</v>
      </c>
      <c r="C299" s="364">
        <f t="shared" ca="1" si="46"/>
        <v>0</v>
      </c>
      <c r="D299" s="365">
        <f t="shared" ca="1" si="47"/>
        <v>0</v>
      </c>
      <c r="E299" s="365">
        <f t="shared" ca="1" si="48"/>
        <v>0</v>
      </c>
      <c r="F299" s="365">
        <f t="shared" ca="1" si="49"/>
        <v>0</v>
      </c>
      <c r="G299" s="365">
        <f t="shared" ca="1" si="50"/>
        <v>0</v>
      </c>
      <c r="H299" s="365">
        <f t="shared" ca="1" si="51"/>
        <v>0</v>
      </c>
      <c r="I299" s="365">
        <f t="shared" ca="1" si="52"/>
        <v>0</v>
      </c>
      <c r="J299" s="364">
        <f t="shared" ca="1" si="53"/>
        <v>0</v>
      </c>
      <c r="K299" s="366">
        <f t="shared" ca="1" si="54"/>
        <v>0</v>
      </c>
      <c r="M299" s="60"/>
      <c r="N299" s="60"/>
      <c r="O299" s="190"/>
      <c r="P299" s="60"/>
      <c r="Q299" s="60"/>
      <c r="R299" s="60"/>
      <c r="S299" s="60"/>
      <c r="T299" s="60"/>
      <c r="U299" s="60"/>
      <c r="V299" s="61"/>
    </row>
    <row r="300" spans="1:22" x14ac:dyDescent="0.2">
      <c r="A300">
        <f t="shared" si="55"/>
        <v>296</v>
      </c>
      <c r="B300" s="363">
        <f t="shared" ca="1" si="45"/>
        <v>0</v>
      </c>
      <c r="C300" s="364">
        <f t="shared" ca="1" si="46"/>
        <v>0</v>
      </c>
      <c r="D300" s="365">
        <f t="shared" ca="1" si="47"/>
        <v>0</v>
      </c>
      <c r="E300" s="365">
        <f t="shared" ca="1" si="48"/>
        <v>0</v>
      </c>
      <c r="F300" s="365">
        <f t="shared" ca="1" si="49"/>
        <v>0</v>
      </c>
      <c r="G300" s="365">
        <f t="shared" ca="1" si="50"/>
        <v>0</v>
      </c>
      <c r="H300" s="365">
        <f t="shared" ca="1" si="51"/>
        <v>0</v>
      </c>
      <c r="I300" s="365">
        <f t="shared" ca="1" si="52"/>
        <v>0</v>
      </c>
      <c r="J300" s="364">
        <f t="shared" ca="1" si="53"/>
        <v>0</v>
      </c>
      <c r="K300" s="366">
        <f t="shared" ca="1" si="54"/>
        <v>0</v>
      </c>
      <c r="M300" s="60"/>
      <c r="N300" s="60"/>
      <c r="O300" s="190"/>
      <c r="P300" s="60"/>
      <c r="Q300" s="60"/>
      <c r="R300" s="60"/>
      <c r="S300" s="60"/>
      <c r="T300" s="60"/>
      <c r="U300" s="60"/>
      <c r="V300" s="61"/>
    </row>
    <row r="301" spans="1:22" x14ac:dyDescent="0.2">
      <c r="A301">
        <f t="shared" si="55"/>
        <v>297</v>
      </c>
      <c r="B301" s="363">
        <f t="shared" ca="1" si="45"/>
        <v>0</v>
      </c>
      <c r="C301" s="364">
        <f t="shared" ca="1" si="46"/>
        <v>0</v>
      </c>
      <c r="D301" s="365">
        <f t="shared" ca="1" si="47"/>
        <v>0</v>
      </c>
      <c r="E301" s="365">
        <f t="shared" ca="1" si="48"/>
        <v>0</v>
      </c>
      <c r="F301" s="365">
        <f t="shared" ca="1" si="49"/>
        <v>0</v>
      </c>
      <c r="G301" s="365">
        <f t="shared" ca="1" si="50"/>
        <v>0</v>
      </c>
      <c r="H301" s="365">
        <f t="shared" ca="1" si="51"/>
        <v>0</v>
      </c>
      <c r="I301" s="365">
        <f t="shared" ca="1" si="52"/>
        <v>0</v>
      </c>
      <c r="J301" s="364">
        <f t="shared" ca="1" si="53"/>
        <v>0</v>
      </c>
      <c r="K301" s="366">
        <f t="shared" ca="1" si="54"/>
        <v>0</v>
      </c>
      <c r="M301" s="60"/>
      <c r="N301" s="60"/>
      <c r="O301" s="190"/>
      <c r="P301" s="60"/>
      <c r="Q301" s="60"/>
      <c r="R301" s="60"/>
      <c r="S301" s="60"/>
      <c r="T301" s="60"/>
      <c r="U301" s="60"/>
      <c r="V301" s="61"/>
    </row>
    <row r="302" spans="1:22" x14ac:dyDescent="0.2">
      <c r="A302">
        <f t="shared" si="55"/>
        <v>298</v>
      </c>
      <c r="B302" s="363">
        <f t="shared" ca="1" si="45"/>
        <v>0</v>
      </c>
      <c r="C302" s="364">
        <f t="shared" ca="1" si="46"/>
        <v>0</v>
      </c>
      <c r="D302" s="365">
        <f t="shared" ca="1" si="47"/>
        <v>0</v>
      </c>
      <c r="E302" s="365">
        <f t="shared" ca="1" si="48"/>
        <v>0</v>
      </c>
      <c r="F302" s="365">
        <f t="shared" ca="1" si="49"/>
        <v>0</v>
      </c>
      <c r="G302" s="365">
        <f t="shared" ca="1" si="50"/>
        <v>0</v>
      </c>
      <c r="H302" s="365">
        <f t="shared" ca="1" si="51"/>
        <v>0</v>
      </c>
      <c r="I302" s="365">
        <f t="shared" ca="1" si="52"/>
        <v>0</v>
      </c>
      <c r="J302" s="364">
        <f t="shared" ca="1" si="53"/>
        <v>0</v>
      </c>
      <c r="K302" s="366">
        <f t="shared" ca="1" si="54"/>
        <v>0</v>
      </c>
      <c r="M302" s="60"/>
      <c r="N302" s="60"/>
      <c r="O302" s="190"/>
      <c r="P302" s="60"/>
      <c r="Q302" s="60"/>
      <c r="R302" s="60"/>
      <c r="S302" s="60"/>
      <c r="T302" s="60"/>
      <c r="U302" s="60"/>
      <c r="V302" s="61"/>
    </row>
    <row r="303" spans="1:22" x14ac:dyDescent="0.2">
      <c r="A303">
        <f t="shared" si="55"/>
        <v>299</v>
      </c>
      <c r="B303" s="363">
        <f t="shared" ca="1" si="45"/>
        <v>0</v>
      </c>
      <c r="C303" s="364">
        <f t="shared" ca="1" si="46"/>
        <v>0</v>
      </c>
      <c r="D303" s="365">
        <f t="shared" ca="1" si="47"/>
        <v>0</v>
      </c>
      <c r="E303" s="365">
        <f t="shared" ca="1" si="48"/>
        <v>0</v>
      </c>
      <c r="F303" s="365">
        <f t="shared" ca="1" si="49"/>
        <v>0</v>
      </c>
      <c r="G303" s="365">
        <f t="shared" ca="1" si="50"/>
        <v>0</v>
      </c>
      <c r="H303" s="365">
        <f t="shared" ca="1" si="51"/>
        <v>0</v>
      </c>
      <c r="I303" s="365">
        <f t="shared" ca="1" si="52"/>
        <v>0</v>
      </c>
      <c r="J303" s="364">
        <f t="shared" ca="1" si="53"/>
        <v>0</v>
      </c>
      <c r="K303" s="366">
        <f t="shared" ca="1" si="54"/>
        <v>0</v>
      </c>
      <c r="M303" s="60"/>
      <c r="N303" s="60"/>
      <c r="O303" s="190"/>
      <c r="P303" s="60"/>
      <c r="Q303" s="60"/>
      <c r="R303" s="60"/>
      <c r="S303" s="60"/>
      <c r="T303" s="60"/>
      <c r="U303" s="60"/>
      <c r="V303" s="61"/>
    </row>
    <row r="304" spans="1:22" x14ac:dyDescent="0.2">
      <c r="A304">
        <f t="shared" si="55"/>
        <v>300</v>
      </c>
      <c r="B304" s="363">
        <f t="shared" ca="1" si="45"/>
        <v>0</v>
      </c>
      <c r="C304" s="364">
        <f t="shared" ca="1" si="46"/>
        <v>0</v>
      </c>
      <c r="D304" s="365">
        <f t="shared" ca="1" si="47"/>
        <v>0</v>
      </c>
      <c r="E304" s="365">
        <f t="shared" ca="1" si="48"/>
        <v>0</v>
      </c>
      <c r="F304" s="365">
        <f t="shared" ca="1" si="49"/>
        <v>0</v>
      </c>
      <c r="G304" s="365">
        <f t="shared" ca="1" si="50"/>
        <v>0</v>
      </c>
      <c r="H304" s="365">
        <f t="shared" ca="1" si="51"/>
        <v>0</v>
      </c>
      <c r="I304" s="365">
        <f t="shared" ca="1" si="52"/>
        <v>0</v>
      </c>
      <c r="J304" s="364">
        <f t="shared" ca="1" si="53"/>
        <v>0</v>
      </c>
      <c r="K304" s="366">
        <f t="shared" ca="1" si="54"/>
        <v>0</v>
      </c>
      <c r="M304" s="60"/>
      <c r="N304" s="60"/>
      <c r="O304" s="190"/>
      <c r="P304" s="60"/>
      <c r="Q304" s="60"/>
      <c r="R304" s="60"/>
      <c r="S304" s="60"/>
      <c r="T304" s="60"/>
      <c r="U304" s="60"/>
      <c r="V304" s="61"/>
    </row>
    <row r="305" spans="1:22" x14ac:dyDescent="0.2">
      <c r="A305">
        <f t="shared" si="55"/>
        <v>301</v>
      </c>
      <c r="B305" s="363">
        <f t="shared" ca="1" si="45"/>
        <v>0</v>
      </c>
      <c r="C305" s="364">
        <f t="shared" ca="1" si="46"/>
        <v>0</v>
      </c>
      <c r="D305" s="365">
        <f t="shared" ca="1" si="47"/>
        <v>0</v>
      </c>
      <c r="E305" s="365">
        <f t="shared" ca="1" si="48"/>
        <v>0</v>
      </c>
      <c r="F305" s="365">
        <f t="shared" ca="1" si="49"/>
        <v>0</v>
      </c>
      <c r="G305" s="365">
        <f t="shared" ca="1" si="50"/>
        <v>0</v>
      </c>
      <c r="H305" s="365">
        <f t="shared" ca="1" si="51"/>
        <v>0</v>
      </c>
      <c r="I305" s="365">
        <f t="shared" ca="1" si="52"/>
        <v>0</v>
      </c>
      <c r="J305" s="364">
        <f t="shared" ca="1" si="53"/>
        <v>0</v>
      </c>
      <c r="K305" s="366">
        <f t="shared" ca="1" si="54"/>
        <v>0</v>
      </c>
      <c r="M305" s="60"/>
      <c r="N305" s="60"/>
      <c r="O305" s="190"/>
      <c r="P305" s="60"/>
      <c r="Q305" s="60"/>
      <c r="R305" s="60"/>
      <c r="S305" s="60"/>
      <c r="T305" s="60"/>
      <c r="U305" s="60"/>
      <c r="V305" s="61"/>
    </row>
    <row r="306" spans="1:22" x14ac:dyDescent="0.2">
      <c r="A306">
        <f t="shared" si="55"/>
        <v>302</v>
      </c>
      <c r="B306" s="363">
        <f t="shared" ca="1" si="45"/>
        <v>0</v>
      </c>
      <c r="C306" s="364">
        <f t="shared" ca="1" si="46"/>
        <v>0</v>
      </c>
      <c r="D306" s="365">
        <f t="shared" ca="1" si="47"/>
        <v>0</v>
      </c>
      <c r="E306" s="365">
        <f t="shared" ca="1" si="48"/>
        <v>0</v>
      </c>
      <c r="F306" s="365">
        <f t="shared" ca="1" si="49"/>
        <v>0</v>
      </c>
      <c r="G306" s="365">
        <f t="shared" ca="1" si="50"/>
        <v>0</v>
      </c>
      <c r="H306" s="365">
        <f t="shared" ca="1" si="51"/>
        <v>0</v>
      </c>
      <c r="I306" s="365">
        <f t="shared" ca="1" si="52"/>
        <v>0</v>
      </c>
      <c r="J306" s="364">
        <f t="shared" ca="1" si="53"/>
        <v>0</v>
      </c>
      <c r="K306" s="366">
        <f t="shared" ca="1" si="54"/>
        <v>0</v>
      </c>
      <c r="M306" s="60"/>
      <c r="N306" s="60"/>
      <c r="O306" s="190"/>
      <c r="P306" s="60"/>
      <c r="Q306" s="60"/>
      <c r="R306" s="60"/>
      <c r="S306" s="60"/>
      <c r="T306" s="60"/>
      <c r="U306" s="60"/>
      <c r="V306" s="61"/>
    </row>
    <row r="307" spans="1:22" x14ac:dyDescent="0.2">
      <c r="A307">
        <f t="shared" si="55"/>
        <v>303</v>
      </c>
      <c r="B307" s="363">
        <f t="shared" ca="1" si="45"/>
        <v>0</v>
      </c>
      <c r="C307" s="364">
        <f t="shared" ca="1" si="46"/>
        <v>0</v>
      </c>
      <c r="D307" s="365">
        <f t="shared" ca="1" si="47"/>
        <v>0</v>
      </c>
      <c r="E307" s="365">
        <f t="shared" ca="1" si="48"/>
        <v>0</v>
      </c>
      <c r="F307" s="365">
        <f t="shared" ca="1" si="49"/>
        <v>0</v>
      </c>
      <c r="G307" s="365">
        <f t="shared" ca="1" si="50"/>
        <v>0</v>
      </c>
      <c r="H307" s="365">
        <f t="shared" ca="1" si="51"/>
        <v>0</v>
      </c>
      <c r="I307" s="365">
        <f t="shared" ca="1" si="52"/>
        <v>0</v>
      </c>
      <c r="J307" s="364">
        <f t="shared" ca="1" si="53"/>
        <v>0</v>
      </c>
      <c r="K307" s="366">
        <f t="shared" ca="1" si="54"/>
        <v>0</v>
      </c>
      <c r="M307" s="60"/>
      <c r="N307" s="60"/>
      <c r="O307" s="190"/>
      <c r="P307" s="60"/>
      <c r="Q307" s="60"/>
      <c r="R307" s="60"/>
      <c r="S307" s="60"/>
      <c r="T307" s="60"/>
      <c r="U307" s="60"/>
      <c r="V307" s="61"/>
    </row>
    <row r="308" spans="1:22" x14ac:dyDescent="0.2">
      <c r="A308">
        <f t="shared" si="55"/>
        <v>304</v>
      </c>
      <c r="B308" s="363">
        <f t="shared" ca="1" si="45"/>
        <v>0</v>
      </c>
      <c r="C308" s="364">
        <f t="shared" ca="1" si="46"/>
        <v>0</v>
      </c>
      <c r="D308" s="365">
        <f t="shared" ca="1" si="47"/>
        <v>0</v>
      </c>
      <c r="E308" s="365">
        <f t="shared" ca="1" si="48"/>
        <v>0</v>
      </c>
      <c r="F308" s="365">
        <f t="shared" ca="1" si="49"/>
        <v>0</v>
      </c>
      <c r="G308" s="365">
        <f t="shared" ca="1" si="50"/>
        <v>0</v>
      </c>
      <c r="H308" s="365">
        <f t="shared" ca="1" si="51"/>
        <v>0</v>
      </c>
      <c r="I308" s="365">
        <f t="shared" ca="1" si="52"/>
        <v>0</v>
      </c>
      <c r="J308" s="364">
        <f t="shared" ca="1" si="53"/>
        <v>0</v>
      </c>
      <c r="K308" s="366">
        <f t="shared" ca="1" si="54"/>
        <v>0</v>
      </c>
      <c r="M308" s="60"/>
      <c r="N308" s="60"/>
      <c r="O308" s="190"/>
      <c r="P308" s="60"/>
      <c r="Q308" s="60"/>
      <c r="R308" s="60"/>
      <c r="S308" s="60"/>
      <c r="T308" s="60"/>
      <c r="U308" s="60"/>
      <c r="V308" s="61"/>
    </row>
    <row r="309" spans="1:22" x14ac:dyDescent="0.2">
      <c r="A309">
        <f t="shared" si="55"/>
        <v>305</v>
      </c>
      <c r="B309" s="363">
        <f t="shared" ca="1" si="45"/>
        <v>0</v>
      </c>
      <c r="C309" s="364">
        <f t="shared" ca="1" si="46"/>
        <v>0</v>
      </c>
      <c r="D309" s="365">
        <f t="shared" ca="1" si="47"/>
        <v>0</v>
      </c>
      <c r="E309" s="365">
        <f t="shared" ca="1" si="48"/>
        <v>0</v>
      </c>
      <c r="F309" s="365">
        <f t="shared" ca="1" si="49"/>
        <v>0</v>
      </c>
      <c r="G309" s="365">
        <f t="shared" ca="1" si="50"/>
        <v>0</v>
      </c>
      <c r="H309" s="365">
        <f t="shared" ca="1" si="51"/>
        <v>0</v>
      </c>
      <c r="I309" s="365">
        <f t="shared" ca="1" si="52"/>
        <v>0</v>
      </c>
      <c r="J309" s="364">
        <f t="shared" ca="1" si="53"/>
        <v>0</v>
      </c>
      <c r="K309" s="366">
        <f t="shared" ca="1" si="54"/>
        <v>0</v>
      </c>
      <c r="M309" s="60"/>
      <c r="N309" s="60"/>
      <c r="O309" s="190"/>
      <c r="P309" s="60"/>
      <c r="Q309" s="60"/>
      <c r="R309" s="60"/>
      <c r="S309" s="60"/>
      <c r="T309" s="60"/>
      <c r="U309" s="60"/>
      <c r="V309" s="61"/>
    </row>
    <row r="310" spans="1:22" x14ac:dyDescent="0.2">
      <c r="A310">
        <f t="shared" si="55"/>
        <v>306</v>
      </c>
      <c r="B310" s="363">
        <f t="shared" ca="1" si="45"/>
        <v>0</v>
      </c>
      <c r="C310" s="364">
        <f t="shared" ca="1" si="46"/>
        <v>0</v>
      </c>
      <c r="D310" s="365">
        <f t="shared" ca="1" si="47"/>
        <v>0</v>
      </c>
      <c r="E310" s="365">
        <f t="shared" ca="1" si="48"/>
        <v>0</v>
      </c>
      <c r="F310" s="365">
        <f t="shared" ca="1" si="49"/>
        <v>0</v>
      </c>
      <c r="G310" s="365">
        <f t="shared" ca="1" si="50"/>
        <v>0</v>
      </c>
      <c r="H310" s="365">
        <f t="shared" ca="1" si="51"/>
        <v>0</v>
      </c>
      <c r="I310" s="365">
        <f t="shared" ca="1" si="52"/>
        <v>0</v>
      </c>
      <c r="J310" s="364">
        <f t="shared" ca="1" si="53"/>
        <v>0</v>
      </c>
      <c r="K310" s="366">
        <f t="shared" ca="1" si="54"/>
        <v>0</v>
      </c>
      <c r="M310" s="60"/>
      <c r="N310" s="60"/>
      <c r="O310" s="190"/>
      <c r="P310" s="60"/>
      <c r="Q310" s="60"/>
      <c r="R310" s="60"/>
      <c r="S310" s="60"/>
      <c r="T310" s="60"/>
      <c r="U310" s="60"/>
      <c r="V310" s="61"/>
    </row>
    <row r="311" spans="1:22" x14ac:dyDescent="0.2">
      <c r="A311">
        <f t="shared" si="55"/>
        <v>307</v>
      </c>
      <c r="B311" s="363">
        <f t="shared" ca="1" si="45"/>
        <v>0</v>
      </c>
      <c r="C311" s="364">
        <f t="shared" ca="1" si="46"/>
        <v>0</v>
      </c>
      <c r="D311" s="365">
        <f t="shared" ca="1" si="47"/>
        <v>0</v>
      </c>
      <c r="E311" s="365">
        <f t="shared" ca="1" si="48"/>
        <v>0</v>
      </c>
      <c r="F311" s="365">
        <f t="shared" ca="1" si="49"/>
        <v>0</v>
      </c>
      <c r="G311" s="365">
        <f t="shared" ca="1" si="50"/>
        <v>0</v>
      </c>
      <c r="H311" s="365">
        <f t="shared" ca="1" si="51"/>
        <v>0</v>
      </c>
      <c r="I311" s="365">
        <f t="shared" ca="1" si="52"/>
        <v>0</v>
      </c>
      <c r="J311" s="364">
        <f t="shared" ca="1" si="53"/>
        <v>0</v>
      </c>
      <c r="K311" s="366">
        <f t="shared" ca="1" si="54"/>
        <v>0</v>
      </c>
      <c r="M311" s="60"/>
      <c r="N311" s="60"/>
      <c r="O311" s="190"/>
      <c r="P311" s="60"/>
      <c r="Q311" s="60"/>
      <c r="R311" s="60"/>
      <c r="S311" s="60"/>
      <c r="T311" s="60"/>
      <c r="U311" s="60"/>
      <c r="V311" s="61"/>
    </row>
    <row r="312" spans="1:22" x14ac:dyDescent="0.2">
      <c r="A312">
        <f t="shared" si="55"/>
        <v>308</v>
      </c>
      <c r="B312" s="363">
        <f t="shared" ca="1" si="45"/>
        <v>0</v>
      </c>
      <c r="C312" s="364">
        <f t="shared" ca="1" si="46"/>
        <v>0</v>
      </c>
      <c r="D312" s="365">
        <f t="shared" ca="1" si="47"/>
        <v>0</v>
      </c>
      <c r="E312" s="365">
        <f t="shared" ca="1" si="48"/>
        <v>0</v>
      </c>
      <c r="F312" s="365">
        <f t="shared" ca="1" si="49"/>
        <v>0</v>
      </c>
      <c r="G312" s="365">
        <f t="shared" ca="1" si="50"/>
        <v>0</v>
      </c>
      <c r="H312" s="365">
        <f t="shared" ca="1" si="51"/>
        <v>0</v>
      </c>
      <c r="I312" s="365">
        <f t="shared" ca="1" si="52"/>
        <v>0</v>
      </c>
      <c r="J312" s="364">
        <f t="shared" ca="1" si="53"/>
        <v>0</v>
      </c>
      <c r="K312" s="366">
        <f t="shared" ca="1" si="54"/>
        <v>0</v>
      </c>
      <c r="M312" s="60"/>
      <c r="N312" s="60"/>
      <c r="O312" s="190"/>
      <c r="P312" s="60"/>
      <c r="Q312" s="60"/>
      <c r="R312" s="60"/>
      <c r="S312" s="60"/>
      <c r="T312" s="60"/>
      <c r="U312" s="60"/>
      <c r="V312" s="61"/>
    </row>
    <row r="313" spans="1:22" x14ac:dyDescent="0.2">
      <c r="A313">
        <f t="shared" si="55"/>
        <v>309</v>
      </c>
      <c r="B313" s="363">
        <f t="shared" ca="1" si="45"/>
        <v>0</v>
      </c>
      <c r="C313" s="364">
        <f t="shared" ca="1" si="46"/>
        <v>0</v>
      </c>
      <c r="D313" s="365">
        <f t="shared" ca="1" si="47"/>
        <v>0</v>
      </c>
      <c r="E313" s="365">
        <f t="shared" ca="1" si="48"/>
        <v>0</v>
      </c>
      <c r="F313" s="365">
        <f t="shared" ca="1" si="49"/>
        <v>0</v>
      </c>
      <c r="G313" s="365">
        <f t="shared" ca="1" si="50"/>
        <v>0</v>
      </c>
      <c r="H313" s="365">
        <f t="shared" ca="1" si="51"/>
        <v>0</v>
      </c>
      <c r="I313" s="365">
        <f t="shared" ca="1" si="52"/>
        <v>0</v>
      </c>
      <c r="J313" s="364">
        <f t="shared" ca="1" si="53"/>
        <v>0</v>
      </c>
      <c r="K313" s="366">
        <f t="shared" ca="1" si="54"/>
        <v>0</v>
      </c>
      <c r="M313" s="60"/>
      <c r="N313" s="60"/>
      <c r="O313" s="190"/>
      <c r="P313" s="60"/>
      <c r="Q313" s="60"/>
      <c r="R313" s="60"/>
      <c r="S313" s="60"/>
      <c r="T313" s="60"/>
      <c r="U313" s="60"/>
      <c r="V313" s="61"/>
    </row>
    <row r="314" spans="1:22" x14ac:dyDescent="0.2">
      <c r="A314">
        <f t="shared" si="55"/>
        <v>310</v>
      </c>
      <c r="B314" s="363">
        <f t="shared" ca="1" si="45"/>
        <v>0</v>
      </c>
      <c r="C314" s="364">
        <f t="shared" ca="1" si="46"/>
        <v>0</v>
      </c>
      <c r="D314" s="365">
        <f t="shared" ca="1" si="47"/>
        <v>0</v>
      </c>
      <c r="E314" s="365">
        <f t="shared" ca="1" si="48"/>
        <v>0</v>
      </c>
      <c r="F314" s="365">
        <f t="shared" ca="1" si="49"/>
        <v>0</v>
      </c>
      <c r="G314" s="365">
        <f t="shared" ca="1" si="50"/>
        <v>0</v>
      </c>
      <c r="H314" s="365">
        <f t="shared" ca="1" si="51"/>
        <v>0</v>
      </c>
      <c r="I314" s="365">
        <f t="shared" ca="1" si="52"/>
        <v>0</v>
      </c>
      <c r="J314" s="364">
        <f t="shared" ca="1" si="53"/>
        <v>0</v>
      </c>
      <c r="K314" s="366">
        <f t="shared" ca="1" si="54"/>
        <v>0</v>
      </c>
      <c r="M314" s="60"/>
      <c r="N314" s="60"/>
      <c r="O314" s="190"/>
      <c r="P314" s="60"/>
      <c r="Q314" s="60"/>
      <c r="R314" s="60"/>
      <c r="S314" s="60"/>
      <c r="T314" s="60"/>
      <c r="U314" s="60"/>
      <c r="V314" s="61"/>
    </row>
    <row r="315" spans="1:22" x14ac:dyDescent="0.2">
      <c r="A315">
        <f t="shared" si="55"/>
        <v>311</v>
      </c>
      <c r="B315" s="363">
        <f t="shared" ca="1" si="45"/>
        <v>0</v>
      </c>
      <c r="C315" s="364">
        <f t="shared" ca="1" si="46"/>
        <v>0</v>
      </c>
      <c r="D315" s="365">
        <f t="shared" ca="1" si="47"/>
        <v>0</v>
      </c>
      <c r="E315" s="365">
        <f t="shared" ca="1" si="48"/>
        <v>0</v>
      </c>
      <c r="F315" s="365">
        <f t="shared" ca="1" si="49"/>
        <v>0</v>
      </c>
      <c r="G315" s="365">
        <f t="shared" ca="1" si="50"/>
        <v>0</v>
      </c>
      <c r="H315" s="365">
        <f t="shared" ca="1" si="51"/>
        <v>0</v>
      </c>
      <c r="I315" s="365">
        <f t="shared" ca="1" si="52"/>
        <v>0</v>
      </c>
      <c r="J315" s="364">
        <f t="shared" ca="1" si="53"/>
        <v>0</v>
      </c>
      <c r="K315" s="366">
        <f t="shared" ca="1" si="54"/>
        <v>0</v>
      </c>
      <c r="M315" s="60"/>
      <c r="N315" s="60"/>
      <c r="O315" s="60"/>
      <c r="P315" s="60"/>
      <c r="Q315" s="60"/>
      <c r="R315" s="60"/>
      <c r="S315" s="60"/>
      <c r="T315" s="60"/>
      <c r="U315" s="60"/>
      <c r="V315" s="61"/>
    </row>
    <row r="316" spans="1:22" x14ac:dyDescent="0.2">
      <c r="A316">
        <f t="shared" si="55"/>
        <v>312</v>
      </c>
      <c r="B316" s="363">
        <f t="shared" ca="1" si="45"/>
        <v>0</v>
      </c>
      <c r="C316" s="364">
        <f t="shared" ca="1" si="46"/>
        <v>0</v>
      </c>
      <c r="D316" s="365">
        <f t="shared" ca="1" si="47"/>
        <v>0</v>
      </c>
      <c r="E316" s="365">
        <f t="shared" ca="1" si="48"/>
        <v>0</v>
      </c>
      <c r="F316" s="365">
        <f t="shared" ca="1" si="49"/>
        <v>0</v>
      </c>
      <c r="G316" s="365">
        <f t="shared" ca="1" si="50"/>
        <v>0</v>
      </c>
      <c r="H316" s="365">
        <f t="shared" ca="1" si="51"/>
        <v>0</v>
      </c>
      <c r="I316" s="365">
        <f t="shared" ca="1" si="52"/>
        <v>0</v>
      </c>
      <c r="J316" s="364">
        <f t="shared" ca="1" si="53"/>
        <v>0</v>
      </c>
      <c r="K316" s="366">
        <f t="shared" ca="1" si="54"/>
        <v>0</v>
      </c>
      <c r="M316" s="60"/>
      <c r="N316" s="60"/>
      <c r="O316" s="60"/>
      <c r="P316" s="60"/>
      <c r="Q316" s="60"/>
      <c r="R316" s="60"/>
      <c r="S316" s="60"/>
      <c r="T316" s="60"/>
      <c r="U316" s="60"/>
      <c r="V316" s="61"/>
    </row>
    <row r="317" spans="1:22" x14ac:dyDescent="0.2">
      <c r="A317">
        <f t="shared" si="55"/>
        <v>313</v>
      </c>
      <c r="B317" s="363">
        <f t="shared" ca="1" si="45"/>
        <v>0</v>
      </c>
      <c r="C317" s="364">
        <f t="shared" ca="1" si="46"/>
        <v>0</v>
      </c>
      <c r="D317" s="365">
        <f t="shared" ca="1" si="47"/>
        <v>0</v>
      </c>
      <c r="E317" s="365">
        <f t="shared" ca="1" si="48"/>
        <v>0</v>
      </c>
      <c r="F317" s="365">
        <f t="shared" ca="1" si="49"/>
        <v>0</v>
      </c>
      <c r="G317" s="365">
        <f t="shared" ca="1" si="50"/>
        <v>0</v>
      </c>
      <c r="H317" s="365">
        <f t="shared" ca="1" si="51"/>
        <v>0</v>
      </c>
      <c r="I317" s="365">
        <f t="shared" ca="1" si="52"/>
        <v>0</v>
      </c>
      <c r="J317" s="364">
        <f t="shared" ca="1" si="53"/>
        <v>0</v>
      </c>
      <c r="K317" s="366">
        <f t="shared" ca="1" si="54"/>
        <v>0</v>
      </c>
      <c r="M317" s="60"/>
      <c r="N317" s="60"/>
      <c r="O317" s="60"/>
      <c r="P317" s="60"/>
      <c r="Q317" s="60"/>
      <c r="R317" s="60"/>
      <c r="S317" s="60"/>
      <c r="T317" s="60"/>
      <c r="U317" s="60"/>
      <c r="V317" s="61"/>
    </row>
    <row r="318" spans="1:22" x14ac:dyDescent="0.2">
      <c r="A318">
        <f t="shared" si="55"/>
        <v>314</v>
      </c>
      <c r="B318" s="363">
        <f t="shared" ca="1" si="45"/>
        <v>0</v>
      </c>
      <c r="C318" s="364">
        <f t="shared" ca="1" si="46"/>
        <v>0</v>
      </c>
      <c r="D318" s="365">
        <f t="shared" ca="1" si="47"/>
        <v>0</v>
      </c>
      <c r="E318" s="365">
        <f t="shared" ca="1" si="48"/>
        <v>0</v>
      </c>
      <c r="F318" s="365">
        <f t="shared" ca="1" si="49"/>
        <v>0</v>
      </c>
      <c r="G318" s="365">
        <f t="shared" ca="1" si="50"/>
        <v>0</v>
      </c>
      <c r="H318" s="365">
        <f t="shared" ca="1" si="51"/>
        <v>0</v>
      </c>
      <c r="I318" s="365">
        <f t="shared" ca="1" si="52"/>
        <v>0</v>
      </c>
      <c r="J318" s="364">
        <f t="shared" ca="1" si="53"/>
        <v>0</v>
      </c>
      <c r="K318" s="366">
        <f t="shared" ca="1" si="54"/>
        <v>0</v>
      </c>
      <c r="M318" s="60"/>
      <c r="N318" s="60"/>
      <c r="O318" s="60"/>
      <c r="P318" s="60"/>
      <c r="Q318" s="60"/>
      <c r="R318" s="60"/>
      <c r="S318" s="60"/>
      <c r="T318" s="60"/>
      <c r="U318" s="60"/>
      <c r="V318" s="61"/>
    </row>
    <row r="319" spans="1:22" x14ac:dyDescent="0.2">
      <c r="A319">
        <f t="shared" si="55"/>
        <v>315</v>
      </c>
      <c r="B319" s="363">
        <f t="shared" ca="1" si="45"/>
        <v>0</v>
      </c>
      <c r="C319" s="364">
        <f t="shared" ca="1" si="46"/>
        <v>0</v>
      </c>
      <c r="D319" s="365">
        <f t="shared" ca="1" si="47"/>
        <v>0</v>
      </c>
      <c r="E319" s="365">
        <f t="shared" ca="1" si="48"/>
        <v>0</v>
      </c>
      <c r="F319" s="365">
        <f t="shared" ca="1" si="49"/>
        <v>0</v>
      </c>
      <c r="G319" s="365">
        <f t="shared" ca="1" si="50"/>
        <v>0</v>
      </c>
      <c r="H319" s="365">
        <f t="shared" ca="1" si="51"/>
        <v>0</v>
      </c>
      <c r="I319" s="365">
        <f t="shared" ca="1" si="52"/>
        <v>0</v>
      </c>
      <c r="J319" s="364">
        <f t="shared" ca="1" si="53"/>
        <v>0</v>
      </c>
      <c r="K319" s="366">
        <f t="shared" ca="1" si="54"/>
        <v>0</v>
      </c>
      <c r="M319" s="60"/>
      <c r="N319" s="60"/>
      <c r="O319" s="60"/>
      <c r="P319" s="60"/>
      <c r="Q319" s="60"/>
      <c r="R319" s="60"/>
      <c r="S319" s="60"/>
      <c r="T319" s="60"/>
      <c r="U319" s="60"/>
      <c r="V319" s="61"/>
    </row>
    <row r="320" spans="1:22" x14ac:dyDescent="0.2">
      <c r="A320">
        <f t="shared" si="55"/>
        <v>316</v>
      </c>
      <c r="B320" s="363">
        <f t="shared" ca="1" si="45"/>
        <v>0</v>
      </c>
      <c r="C320" s="364">
        <f t="shared" ca="1" si="46"/>
        <v>0</v>
      </c>
      <c r="D320" s="365">
        <f t="shared" ca="1" si="47"/>
        <v>0</v>
      </c>
      <c r="E320" s="365">
        <f t="shared" ca="1" si="48"/>
        <v>0</v>
      </c>
      <c r="F320" s="365">
        <f t="shared" ca="1" si="49"/>
        <v>0</v>
      </c>
      <c r="G320" s="365">
        <f t="shared" ca="1" si="50"/>
        <v>0</v>
      </c>
      <c r="H320" s="365">
        <f t="shared" ca="1" si="51"/>
        <v>0</v>
      </c>
      <c r="I320" s="365">
        <f t="shared" ca="1" si="52"/>
        <v>0</v>
      </c>
      <c r="J320" s="364">
        <f t="shared" ca="1" si="53"/>
        <v>0</v>
      </c>
      <c r="K320" s="366">
        <f t="shared" ca="1" si="54"/>
        <v>0</v>
      </c>
      <c r="M320" s="60"/>
      <c r="N320" s="60"/>
      <c r="O320" s="60"/>
      <c r="P320" s="60"/>
      <c r="Q320" s="60"/>
      <c r="R320" s="60"/>
      <c r="S320" s="60"/>
      <c r="T320" s="60"/>
      <c r="U320" s="60"/>
      <c r="V320" s="61"/>
    </row>
    <row r="321" spans="1:22" x14ac:dyDescent="0.2">
      <c r="A321">
        <f t="shared" si="55"/>
        <v>317</v>
      </c>
      <c r="B321" s="363">
        <f t="shared" ca="1" si="45"/>
        <v>0</v>
      </c>
      <c r="C321" s="364">
        <f t="shared" ca="1" si="46"/>
        <v>0</v>
      </c>
      <c r="D321" s="365">
        <f t="shared" ca="1" si="47"/>
        <v>0</v>
      </c>
      <c r="E321" s="365">
        <f t="shared" ca="1" si="48"/>
        <v>0</v>
      </c>
      <c r="F321" s="365">
        <f t="shared" ca="1" si="49"/>
        <v>0</v>
      </c>
      <c r="G321" s="365">
        <f t="shared" ca="1" si="50"/>
        <v>0</v>
      </c>
      <c r="H321" s="365">
        <f t="shared" ca="1" si="51"/>
        <v>0</v>
      </c>
      <c r="I321" s="365">
        <f t="shared" ca="1" si="52"/>
        <v>0</v>
      </c>
      <c r="J321" s="364">
        <f t="shared" ca="1" si="53"/>
        <v>0</v>
      </c>
      <c r="K321" s="366">
        <f t="shared" ca="1" si="54"/>
        <v>0</v>
      </c>
      <c r="M321" s="60"/>
      <c r="N321" s="60"/>
      <c r="O321" s="60"/>
      <c r="P321" s="60"/>
      <c r="Q321" s="60"/>
      <c r="R321" s="60"/>
      <c r="S321" s="60"/>
      <c r="T321" s="60"/>
      <c r="U321" s="60"/>
      <c r="V321" s="61"/>
    </row>
    <row r="322" spans="1:22" x14ac:dyDescent="0.2">
      <c r="A322">
        <f t="shared" si="55"/>
        <v>318</v>
      </c>
      <c r="B322" s="363">
        <f t="shared" ca="1" si="45"/>
        <v>0</v>
      </c>
      <c r="C322" s="364">
        <f t="shared" ca="1" si="46"/>
        <v>0</v>
      </c>
      <c r="D322" s="365">
        <f t="shared" ca="1" si="47"/>
        <v>0</v>
      </c>
      <c r="E322" s="365">
        <f t="shared" ca="1" si="48"/>
        <v>0</v>
      </c>
      <c r="F322" s="365">
        <f t="shared" ca="1" si="49"/>
        <v>0</v>
      </c>
      <c r="G322" s="365">
        <f t="shared" ca="1" si="50"/>
        <v>0</v>
      </c>
      <c r="H322" s="365">
        <f t="shared" ca="1" si="51"/>
        <v>0</v>
      </c>
      <c r="I322" s="365">
        <f t="shared" ca="1" si="52"/>
        <v>0</v>
      </c>
      <c r="J322" s="364">
        <f t="shared" ca="1" si="53"/>
        <v>0</v>
      </c>
      <c r="K322" s="366">
        <f t="shared" ca="1" si="54"/>
        <v>0</v>
      </c>
      <c r="M322" s="60"/>
      <c r="N322" s="60"/>
      <c r="O322" s="60"/>
      <c r="P322" s="60"/>
      <c r="Q322" s="60"/>
      <c r="R322" s="60"/>
      <c r="S322" s="60"/>
      <c r="T322" s="60"/>
      <c r="U322" s="60"/>
      <c r="V322" s="61"/>
    </row>
    <row r="323" spans="1:22" x14ac:dyDescent="0.2">
      <c r="A323">
        <f t="shared" si="55"/>
        <v>319</v>
      </c>
      <c r="B323" s="363">
        <f t="shared" ca="1" si="45"/>
        <v>0</v>
      </c>
      <c r="C323" s="364">
        <f t="shared" ca="1" si="46"/>
        <v>0</v>
      </c>
      <c r="D323" s="365">
        <f t="shared" ca="1" si="47"/>
        <v>0</v>
      </c>
      <c r="E323" s="365">
        <f t="shared" ca="1" si="48"/>
        <v>0</v>
      </c>
      <c r="F323" s="365">
        <f t="shared" ca="1" si="49"/>
        <v>0</v>
      </c>
      <c r="G323" s="365">
        <f t="shared" ca="1" si="50"/>
        <v>0</v>
      </c>
      <c r="H323" s="365">
        <f t="shared" ca="1" si="51"/>
        <v>0</v>
      </c>
      <c r="I323" s="365">
        <f t="shared" ca="1" si="52"/>
        <v>0</v>
      </c>
      <c r="J323" s="364">
        <f t="shared" ca="1" si="53"/>
        <v>0</v>
      </c>
      <c r="K323" s="366">
        <f t="shared" ca="1" si="54"/>
        <v>0</v>
      </c>
      <c r="M323" s="60"/>
      <c r="N323" s="60"/>
      <c r="O323" s="60"/>
      <c r="P323" s="60"/>
      <c r="Q323" s="60"/>
      <c r="R323" s="60"/>
      <c r="S323" s="60"/>
      <c r="T323" s="60"/>
      <c r="U323" s="60"/>
      <c r="V323" s="61"/>
    </row>
    <row r="324" spans="1:22" x14ac:dyDescent="0.2">
      <c r="A324">
        <f t="shared" si="55"/>
        <v>320</v>
      </c>
      <c r="B324" s="363">
        <f t="shared" ca="1" si="45"/>
        <v>0</v>
      </c>
      <c r="C324" s="364">
        <f t="shared" ca="1" si="46"/>
        <v>0</v>
      </c>
      <c r="D324" s="365">
        <f t="shared" ca="1" si="47"/>
        <v>0</v>
      </c>
      <c r="E324" s="365">
        <f t="shared" ca="1" si="48"/>
        <v>0</v>
      </c>
      <c r="F324" s="365">
        <f t="shared" ca="1" si="49"/>
        <v>0</v>
      </c>
      <c r="G324" s="365">
        <f t="shared" ca="1" si="50"/>
        <v>0</v>
      </c>
      <c r="H324" s="365">
        <f t="shared" ca="1" si="51"/>
        <v>0</v>
      </c>
      <c r="I324" s="365">
        <f t="shared" ca="1" si="52"/>
        <v>0</v>
      </c>
      <c r="J324" s="364">
        <f t="shared" ca="1" si="53"/>
        <v>0</v>
      </c>
      <c r="K324" s="366">
        <f t="shared" ca="1" si="54"/>
        <v>0</v>
      </c>
      <c r="M324" s="60"/>
      <c r="N324" s="60"/>
      <c r="O324" s="60"/>
      <c r="P324" s="60"/>
      <c r="Q324" s="60"/>
      <c r="R324" s="60"/>
      <c r="S324" s="60"/>
      <c r="T324" s="60"/>
      <c r="U324" s="60"/>
      <c r="V324" s="61"/>
    </row>
    <row r="325" spans="1:22" x14ac:dyDescent="0.2">
      <c r="A325">
        <f t="shared" si="55"/>
        <v>321</v>
      </c>
      <c r="B325" s="363">
        <f t="shared" ref="B325:B369" ca="1" si="56">IF($C$2=1,INDEX($M$5:$OO$369,$A325,B$1),INDEX(OFFSET(M$5,$A324,$K$2*11),1,1))</f>
        <v>0</v>
      </c>
      <c r="C325" s="364">
        <f t="shared" ref="C325:C369" ca="1" si="57">IF($C$2=1,INDEX($M$5:$OO$369,$A325,C$1),INDEX(OFFSET(N$5,$A324,$K$2*11),1,1))</f>
        <v>0</v>
      </c>
      <c r="D325" s="365">
        <f t="shared" ref="D325:D369" ca="1" si="58">IF($C$2=1,INDEX($M$5:$OO$369,$A325,D$1),INDEX(OFFSET(O$5,$A324,$K$2*11),1,1))</f>
        <v>0</v>
      </c>
      <c r="E325" s="365">
        <f t="shared" ref="E325:E369" ca="1" si="59">IF($C$2=1,INDEX($M$5:$OO$369,$A325,E$1),INDEX(OFFSET(P$5,$A324,$K$2*11),1,1))</f>
        <v>0</v>
      </c>
      <c r="F325" s="365">
        <f t="shared" ref="F325:F369" ca="1" si="60">IF($C$2=1,INDEX($M$5:$OO$369,$A325,F$1),INDEX(OFFSET(Q$5,$A324,$K$2*11),1,1))</f>
        <v>0</v>
      </c>
      <c r="G325" s="365">
        <f t="shared" ref="G325:G369" ca="1" si="61">IF($C$2=1,INDEX($M$5:$OO$369,$A325,G$1),INDEX(OFFSET(R$5,$A324,$K$2*11),1,1))</f>
        <v>0</v>
      </c>
      <c r="H325" s="365">
        <f t="shared" ref="H325:H369" ca="1" si="62">IF($C$2=1,INDEX($M$5:$OO$369,$A325,H$1),INDEX(OFFSET(S$5,$A324,$K$2*11),1,1))</f>
        <v>0</v>
      </c>
      <c r="I325" s="365">
        <f t="shared" ref="I325:I369" ca="1" si="63">IF($C$2=1,INDEX($M$5:$OO$369,$A325,I$1),INDEX(OFFSET(T$5,$A324,$K$2*11),1,1))</f>
        <v>0</v>
      </c>
      <c r="J325" s="364">
        <f t="shared" ref="J325:J369" ca="1" si="64">IF($C$2=1,INDEX($M$5:$OO$369,$A325,J$1),INDEX(OFFSET(U$5,$A324,$K$2*11),1,1))</f>
        <v>0</v>
      </c>
      <c r="K325" s="366">
        <f t="shared" ref="K325:K369" ca="1" si="65">IF($C$2=1,INDEX($M$5:$OO$369,$A325,K$1),INDEX(OFFSET(V$5,$A324,$K$2*11),1,1))</f>
        <v>0</v>
      </c>
      <c r="M325" s="60"/>
      <c r="N325" s="60"/>
      <c r="O325" s="60"/>
      <c r="P325" s="60"/>
      <c r="Q325" s="60"/>
      <c r="R325" s="60"/>
      <c r="S325" s="60"/>
      <c r="T325" s="60"/>
      <c r="U325" s="60"/>
      <c r="V325" s="61"/>
    </row>
    <row r="326" spans="1:22" x14ac:dyDescent="0.2">
      <c r="A326">
        <f t="shared" si="55"/>
        <v>322</v>
      </c>
      <c r="B326" s="363">
        <f t="shared" ca="1" si="56"/>
        <v>0</v>
      </c>
      <c r="C326" s="364">
        <f t="shared" ca="1" si="57"/>
        <v>0</v>
      </c>
      <c r="D326" s="365">
        <f t="shared" ca="1" si="58"/>
        <v>0</v>
      </c>
      <c r="E326" s="365">
        <f t="shared" ca="1" si="59"/>
        <v>0</v>
      </c>
      <c r="F326" s="365">
        <f t="shared" ca="1" si="60"/>
        <v>0</v>
      </c>
      <c r="G326" s="365">
        <f t="shared" ca="1" si="61"/>
        <v>0</v>
      </c>
      <c r="H326" s="365">
        <f t="shared" ca="1" si="62"/>
        <v>0</v>
      </c>
      <c r="I326" s="365">
        <f t="shared" ca="1" si="63"/>
        <v>0</v>
      </c>
      <c r="J326" s="364">
        <f t="shared" ca="1" si="64"/>
        <v>0</v>
      </c>
      <c r="K326" s="366">
        <f t="shared" ca="1" si="65"/>
        <v>0</v>
      </c>
      <c r="M326" s="60"/>
      <c r="N326" s="60"/>
      <c r="O326" s="60"/>
      <c r="P326" s="60"/>
      <c r="Q326" s="60"/>
      <c r="R326" s="60"/>
      <c r="S326" s="60"/>
      <c r="T326" s="60"/>
      <c r="U326" s="60"/>
      <c r="V326" s="61"/>
    </row>
    <row r="327" spans="1:22" x14ac:dyDescent="0.2">
      <c r="A327">
        <f t="shared" ref="A327:A369" si="66">A326+1</f>
        <v>323</v>
      </c>
      <c r="B327" s="363">
        <f t="shared" ca="1" si="56"/>
        <v>0</v>
      </c>
      <c r="C327" s="364">
        <f t="shared" ca="1" si="57"/>
        <v>0</v>
      </c>
      <c r="D327" s="365">
        <f t="shared" ca="1" si="58"/>
        <v>0</v>
      </c>
      <c r="E327" s="365">
        <f t="shared" ca="1" si="59"/>
        <v>0</v>
      </c>
      <c r="F327" s="365">
        <f t="shared" ca="1" si="60"/>
        <v>0</v>
      </c>
      <c r="G327" s="365">
        <f t="shared" ca="1" si="61"/>
        <v>0</v>
      </c>
      <c r="H327" s="365">
        <f t="shared" ca="1" si="62"/>
        <v>0</v>
      </c>
      <c r="I327" s="365">
        <f t="shared" ca="1" si="63"/>
        <v>0</v>
      </c>
      <c r="J327" s="364">
        <f t="shared" ca="1" si="64"/>
        <v>0</v>
      </c>
      <c r="K327" s="366">
        <f t="shared" ca="1" si="65"/>
        <v>0</v>
      </c>
      <c r="M327" s="60"/>
      <c r="N327" s="60"/>
      <c r="O327" s="60"/>
      <c r="P327" s="60"/>
      <c r="Q327" s="60"/>
      <c r="R327" s="60"/>
      <c r="S327" s="60"/>
      <c r="T327" s="60"/>
      <c r="U327" s="60"/>
      <c r="V327" s="61"/>
    </row>
    <row r="328" spans="1:22" x14ac:dyDescent="0.2">
      <c r="A328">
        <f t="shared" si="66"/>
        <v>324</v>
      </c>
      <c r="B328" s="363">
        <f t="shared" ca="1" si="56"/>
        <v>0</v>
      </c>
      <c r="C328" s="364">
        <f t="shared" ca="1" si="57"/>
        <v>0</v>
      </c>
      <c r="D328" s="365">
        <f t="shared" ca="1" si="58"/>
        <v>0</v>
      </c>
      <c r="E328" s="365">
        <f t="shared" ca="1" si="59"/>
        <v>0</v>
      </c>
      <c r="F328" s="365">
        <f t="shared" ca="1" si="60"/>
        <v>0</v>
      </c>
      <c r="G328" s="365">
        <f t="shared" ca="1" si="61"/>
        <v>0</v>
      </c>
      <c r="H328" s="365">
        <f t="shared" ca="1" si="62"/>
        <v>0</v>
      </c>
      <c r="I328" s="365">
        <f t="shared" ca="1" si="63"/>
        <v>0</v>
      </c>
      <c r="J328" s="364">
        <f t="shared" ca="1" si="64"/>
        <v>0</v>
      </c>
      <c r="K328" s="366">
        <f t="shared" ca="1" si="65"/>
        <v>0</v>
      </c>
      <c r="M328" s="60"/>
      <c r="N328" s="60"/>
      <c r="O328" s="60"/>
      <c r="P328" s="60"/>
      <c r="Q328" s="60"/>
      <c r="R328" s="60"/>
      <c r="S328" s="60"/>
      <c r="T328" s="60"/>
      <c r="U328" s="60"/>
      <c r="V328" s="61"/>
    </row>
    <row r="329" spans="1:22" x14ac:dyDescent="0.2">
      <c r="A329">
        <f t="shared" si="66"/>
        <v>325</v>
      </c>
      <c r="B329" s="363">
        <f t="shared" ca="1" si="56"/>
        <v>0</v>
      </c>
      <c r="C329" s="364">
        <f t="shared" ca="1" si="57"/>
        <v>0</v>
      </c>
      <c r="D329" s="365">
        <f t="shared" ca="1" si="58"/>
        <v>0</v>
      </c>
      <c r="E329" s="365">
        <f t="shared" ca="1" si="59"/>
        <v>0</v>
      </c>
      <c r="F329" s="365">
        <f t="shared" ca="1" si="60"/>
        <v>0</v>
      </c>
      <c r="G329" s="365">
        <f t="shared" ca="1" si="61"/>
        <v>0</v>
      </c>
      <c r="H329" s="365">
        <f t="shared" ca="1" si="62"/>
        <v>0</v>
      </c>
      <c r="I329" s="365">
        <f t="shared" ca="1" si="63"/>
        <v>0</v>
      </c>
      <c r="J329" s="364">
        <f t="shared" ca="1" si="64"/>
        <v>0</v>
      </c>
      <c r="K329" s="366">
        <f t="shared" ca="1" si="65"/>
        <v>0</v>
      </c>
      <c r="M329" s="60"/>
      <c r="N329" s="60"/>
      <c r="O329" s="60"/>
      <c r="P329" s="60"/>
      <c r="Q329" s="60"/>
      <c r="R329" s="60"/>
      <c r="S329" s="60"/>
      <c r="T329" s="60"/>
      <c r="U329" s="60"/>
      <c r="V329" s="61"/>
    </row>
    <row r="330" spans="1:22" x14ac:dyDescent="0.2">
      <c r="A330">
        <f t="shared" si="66"/>
        <v>326</v>
      </c>
      <c r="B330" s="363">
        <f t="shared" ca="1" si="56"/>
        <v>0</v>
      </c>
      <c r="C330" s="364">
        <f t="shared" ca="1" si="57"/>
        <v>0</v>
      </c>
      <c r="D330" s="365">
        <f t="shared" ca="1" si="58"/>
        <v>0</v>
      </c>
      <c r="E330" s="365">
        <f t="shared" ca="1" si="59"/>
        <v>0</v>
      </c>
      <c r="F330" s="365">
        <f t="shared" ca="1" si="60"/>
        <v>0</v>
      </c>
      <c r="G330" s="365">
        <f t="shared" ca="1" si="61"/>
        <v>0</v>
      </c>
      <c r="H330" s="365">
        <f t="shared" ca="1" si="62"/>
        <v>0</v>
      </c>
      <c r="I330" s="365">
        <f t="shared" ca="1" si="63"/>
        <v>0</v>
      </c>
      <c r="J330" s="364">
        <f t="shared" ca="1" si="64"/>
        <v>0</v>
      </c>
      <c r="K330" s="366">
        <f t="shared" ca="1" si="65"/>
        <v>0</v>
      </c>
      <c r="M330" s="60"/>
      <c r="N330" s="60"/>
      <c r="O330" s="60"/>
      <c r="P330" s="60"/>
      <c r="Q330" s="60"/>
      <c r="R330" s="60"/>
      <c r="S330" s="60"/>
      <c r="T330" s="60"/>
      <c r="U330" s="60"/>
      <c r="V330" s="61"/>
    </row>
    <row r="331" spans="1:22" x14ac:dyDescent="0.2">
      <c r="A331">
        <f t="shared" si="66"/>
        <v>327</v>
      </c>
      <c r="B331" s="363">
        <f t="shared" ca="1" si="56"/>
        <v>0</v>
      </c>
      <c r="C331" s="364">
        <f t="shared" ca="1" si="57"/>
        <v>0</v>
      </c>
      <c r="D331" s="365">
        <f t="shared" ca="1" si="58"/>
        <v>0</v>
      </c>
      <c r="E331" s="365">
        <f t="shared" ca="1" si="59"/>
        <v>0</v>
      </c>
      <c r="F331" s="365">
        <f t="shared" ca="1" si="60"/>
        <v>0</v>
      </c>
      <c r="G331" s="365">
        <f t="shared" ca="1" si="61"/>
        <v>0</v>
      </c>
      <c r="H331" s="365">
        <f t="shared" ca="1" si="62"/>
        <v>0</v>
      </c>
      <c r="I331" s="365">
        <f t="shared" ca="1" si="63"/>
        <v>0</v>
      </c>
      <c r="J331" s="364">
        <f t="shared" ca="1" si="64"/>
        <v>0</v>
      </c>
      <c r="K331" s="366">
        <f t="shared" ca="1" si="65"/>
        <v>0</v>
      </c>
      <c r="M331" s="60"/>
      <c r="N331" s="60"/>
      <c r="O331" s="60"/>
      <c r="P331" s="60"/>
      <c r="Q331" s="60"/>
      <c r="R331" s="60"/>
      <c r="S331" s="60"/>
      <c r="T331" s="60"/>
      <c r="U331" s="60"/>
      <c r="V331" s="61"/>
    </row>
    <row r="332" spans="1:22" x14ac:dyDescent="0.2">
      <c r="A332">
        <f t="shared" si="66"/>
        <v>328</v>
      </c>
      <c r="B332" s="363">
        <f t="shared" ca="1" si="56"/>
        <v>0</v>
      </c>
      <c r="C332" s="364">
        <f t="shared" ca="1" si="57"/>
        <v>0</v>
      </c>
      <c r="D332" s="365">
        <f t="shared" ca="1" si="58"/>
        <v>0</v>
      </c>
      <c r="E332" s="365">
        <f t="shared" ca="1" si="59"/>
        <v>0</v>
      </c>
      <c r="F332" s="365">
        <f t="shared" ca="1" si="60"/>
        <v>0</v>
      </c>
      <c r="G332" s="365">
        <f t="shared" ca="1" si="61"/>
        <v>0</v>
      </c>
      <c r="H332" s="365">
        <f t="shared" ca="1" si="62"/>
        <v>0</v>
      </c>
      <c r="I332" s="365">
        <f t="shared" ca="1" si="63"/>
        <v>0</v>
      </c>
      <c r="J332" s="364">
        <f t="shared" ca="1" si="64"/>
        <v>0</v>
      </c>
      <c r="K332" s="366">
        <f t="shared" ca="1" si="65"/>
        <v>0</v>
      </c>
      <c r="M332" s="60"/>
      <c r="N332" s="60"/>
      <c r="O332" s="60"/>
      <c r="P332" s="60"/>
      <c r="Q332" s="60"/>
      <c r="R332" s="60"/>
      <c r="S332" s="60"/>
      <c r="T332" s="60"/>
      <c r="U332" s="60"/>
      <c r="V332" s="61"/>
    </row>
    <row r="333" spans="1:22" x14ac:dyDescent="0.2">
      <c r="A333">
        <f t="shared" si="66"/>
        <v>329</v>
      </c>
      <c r="B333" s="363">
        <f t="shared" ca="1" si="56"/>
        <v>0</v>
      </c>
      <c r="C333" s="364">
        <f t="shared" ca="1" si="57"/>
        <v>0</v>
      </c>
      <c r="D333" s="365">
        <f t="shared" ca="1" si="58"/>
        <v>0</v>
      </c>
      <c r="E333" s="365">
        <f t="shared" ca="1" si="59"/>
        <v>0</v>
      </c>
      <c r="F333" s="365">
        <f t="shared" ca="1" si="60"/>
        <v>0</v>
      </c>
      <c r="G333" s="365">
        <f t="shared" ca="1" si="61"/>
        <v>0</v>
      </c>
      <c r="H333" s="365">
        <f t="shared" ca="1" si="62"/>
        <v>0</v>
      </c>
      <c r="I333" s="365">
        <f t="shared" ca="1" si="63"/>
        <v>0</v>
      </c>
      <c r="J333" s="364">
        <f t="shared" ca="1" si="64"/>
        <v>0</v>
      </c>
      <c r="K333" s="366">
        <f t="shared" ca="1" si="65"/>
        <v>0</v>
      </c>
      <c r="M333" s="60"/>
      <c r="N333" s="60"/>
      <c r="O333" s="60"/>
      <c r="P333" s="60"/>
      <c r="Q333" s="60"/>
      <c r="R333" s="60"/>
      <c r="S333" s="60"/>
      <c r="T333" s="60"/>
      <c r="U333" s="60"/>
      <c r="V333" s="61"/>
    </row>
    <row r="334" spans="1:22" x14ac:dyDescent="0.2">
      <c r="A334">
        <f t="shared" si="66"/>
        <v>330</v>
      </c>
      <c r="B334" s="363">
        <f t="shared" ca="1" si="56"/>
        <v>0</v>
      </c>
      <c r="C334" s="364">
        <f t="shared" ca="1" si="57"/>
        <v>0</v>
      </c>
      <c r="D334" s="365">
        <f t="shared" ca="1" si="58"/>
        <v>0</v>
      </c>
      <c r="E334" s="365">
        <f t="shared" ca="1" si="59"/>
        <v>0</v>
      </c>
      <c r="F334" s="365">
        <f t="shared" ca="1" si="60"/>
        <v>0</v>
      </c>
      <c r="G334" s="365">
        <f t="shared" ca="1" si="61"/>
        <v>0</v>
      </c>
      <c r="H334" s="365">
        <f t="shared" ca="1" si="62"/>
        <v>0</v>
      </c>
      <c r="I334" s="365">
        <f t="shared" ca="1" si="63"/>
        <v>0</v>
      </c>
      <c r="J334" s="364">
        <f t="shared" ca="1" si="64"/>
        <v>0</v>
      </c>
      <c r="K334" s="366">
        <f t="shared" ca="1" si="65"/>
        <v>0</v>
      </c>
      <c r="M334" s="60"/>
      <c r="N334" s="60"/>
      <c r="O334" s="60"/>
      <c r="P334" s="60"/>
      <c r="Q334" s="60"/>
      <c r="R334" s="60"/>
      <c r="S334" s="60"/>
      <c r="T334" s="60"/>
      <c r="U334" s="60"/>
      <c r="V334" s="61"/>
    </row>
    <row r="335" spans="1:22" x14ac:dyDescent="0.2">
      <c r="A335">
        <f t="shared" si="66"/>
        <v>331</v>
      </c>
      <c r="B335" s="363">
        <f t="shared" ca="1" si="56"/>
        <v>0</v>
      </c>
      <c r="C335" s="364">
        <f t="shared" ca="1" si="57"/>
        <v>0</v>
      </c>
      <c r="D335" s="365">
        <f t="shared" ca="1" si="58"/>
        <v>0</v>
      </c>
      <c r="E335" s="365">
        <f t="shared" ca="1" si="59"/>
        <v>0</v>
      </c>
      <c r="F335" s="365">
        <f t="shared" ca="1" si="60"/>
        <v>0</v>
      </c>
      <c r="G335" s="365">
        <f t="shared" ca="1" si="61"/>
        <v>0</v>
      </c>
      <c r="H335" s="365">
        <f t="shared" ca="1" si="62"/>
        <v>0</v>
      </c>
      <c r="I335" s="365">
        <f t="shared" ca="1" si="63"/>
        <v>0</v>
      </c>
      <c r="J335" s="364">
        <f t="shared" ca="1" si="64"/>
        <v>0</v>
      </c>
      <c r="K335" s="366">
        <f t="shared" ca="1" si="65"/>
        <v>0</v>
      </c>
      <c r="M335" s="60"/>
      <c r="N335" s="60"/>
      <c r="O335" s="60"/>
      <c r="P335" s="60"/>
      <c r="Q335" s="60"/>
      <c r="R335" s="60"/>
      <c r="S335" s="60"/>
      <c r="T335" s="60"/>
      <c r="U335" s="60"/>
      <c r="V335" s="61"/>
    </row>
    <row r="336" spans="1:22" x14ac:dyDescent="0.2">
      <c r="A336">
        <f t="shared" si="66"/>
        <v>332</v>
      </c>
      <c r="B336" s="363">
        <f t="shared" ca="1" si="56"/>
        <v>0</v>
      </c>
      <c r="C336" s="364">
        <f t="shared" ca="1" si="57"/>
        <v>0</v>
      </c>
      <c r="D336" s="365">
        <f t="shared" ca="1" si="58"/>
        <v>0</v>
      </c>
      <c r="E336" s="365">
        <f t="shared" ca="1" si="59"/>
        <v>0</v>
      </c>
      <c r="F336" s="365">
        <f t="shared" ca="1" si="60"/>
        <v>0</v>
      </c>
      <c r="G336" s="365">
        <f t="shared" ca="1" si="61"/>
        <v>0</v>
      </c>
      <c r="H336" s="365">
        <f t="shared" ca="1" si="62"/>
        <v>0</v>
      </c>
      <c r="I336" s="365">
        <f t="shared" ca="1" si="63"/>
        <v>0</v>
      </c>
      <c r="J336" s="364">
        <f t="shared" ca="1" si="64"/>
        <v>0</v>
      </c>
      <c r="K336" s="366">
        <f t="shared" ca="1" si="65"/>
        <v>0</v>
      </c>
      <c r="M336" s="60"/>
      <c r="N336" s="60"/>
      <c r="O336" s="60"/>
      <c r="P336" s="60"/>
      <c r="Q336" s="60"/>
      <c r="R336" s="60"/>
      <c r="S336" s="60"/>
      <c r="T336" s="60"/>
      <c r="U336" s="60"/>
      <c r="V336" s="61"/>
    </row>
    <row r="337" spans="1:22" x14ac:dyDescent="0.2">
      <c r="A337">
        <f t="shared" si="66"/>
        <v>333</v>
      </c>
      <c r="B337" s="363">
        <f t="shared" ca="1" si="56"/>
        <v>0</v>
      </c>
      <c r="C337" s="364">
        <f t="shared" ca="1" si="57"/>
        <v>0</v>
      </c>
      <c r="D337" s="365">
        <f t="shared" ca="1" si="58"/>
        <v>0</v>
      </c>
      <c r="E337" s="365">
        <f t="shared" ca="1" si="59"/>
        <v>0</v>
      </c>
      <c r="F337" s="365">
        <f t="shared" ca="1" si="60"/>
        <v>0</v>
      </c>
      <c r="G337" s="365">
        <f t="shared" ca="1" si="61"/>
        <v>0</v>
      </c>
      <c r="H337" s="365">
        <f t="shared" ca="1" si="62"/>
        <v>0</v>
      </c>
      <c r="I337" s="365">
        <f t="shared" ca="1" si="63"/>
        <v>0</v>
      </c>
      <c r="J337" s="364">
        <f t="shared" ca="1" si="64"/>
        <v>0</v>
      </c>
      <c r="K337" s="366">
        <f t="shared" ca="1" si="65"/>
        <v>0</v>
      </c>
      <c r="M337" s="60"/>
      <c r="N337" s="60"/>
      <c r="O337" s="60"/>
      <c r="P337" s="60"/>
      <c r="Q337" s="60"/>
      <c r="R337" s="60"/>
      <c r="S337" s="60"/>
      <c r="T337" s="60"/>
      <c r="U337" s="60"/>
      <c r="V337" s="61"/>
    </row>
    <row r="338" spans="1:22" x14ac:dyDescent="0.2">
      <c r="A338">
        <f t="shared" si="66"/>
        <v>334</v>
      </c>
      <c r="B338" s="363">
        <f t="shared" ca="1" si="56"/>
        <v>0</v>
      </c>
      <c r="C338" s="364">
        <f t="shared" ca="1" si="57"/>
        <v>0</v>
      </c>
      <c r="D338" s="365">
        <f t="shared" ca="1" si="58"/>
        <v>0</v>
      </c>
      <c r="E338" s="365">
        <f t="shared" ca="1" si="59"/>
        <v>0</v>
      </c>
      <c r="F338" s="365">
        <f t="shared" ca="1" si="60"/>
        <v>0</v>
      </c>
      <c r="G338" s="365">
        <f t="shared" ca="1" si="61"/>
        <v>0</v>
      </c>
      <c r="H338" s="365">
        <f t="shared" ca="1" si="62"/>
        <v>0</v>
      </c>
      <c r="I338" s="365">
        <f t="shared" ca="1" si="63"/>
        <v>0</v>
      </c>
      <c r="J338" s="364">
        <f t="shared" ca="1" si="64"/>
        <v>0</v>
      </c>
      <c r="K338" s="366">
        <f t="shared" ca="1" si="65"/>
        <v>0</v>
      </c>
      <c r="M338" s="60"/>
      <c r="N338" s="60"/>
      <c r="O338" s="60"/>
      <c r="P338" s="60"/>
      <c r="Q338" s="60"/>
      <c r="R338" s="60"/>
      <c r="S338" s="60"/>
      <c r="T338" s="60"/>
      <c r="U338" s="60"/>
      <c r="V338" s="61"/>
    </row>
    <row r="339" spans="1:22" x14ac:dyDescent="0.2">
      <c r="A339">
        <f t="shared" si="66"/>
        <v>335</v>
      </c>
      <c r="B339" s="363">
        <f t="shared" ca="1" si="56"/>
        <v>0</v>
      </c>
      <c r="C339" s="364">
        <f t="shared" ca="1" si="57"/>
        <v>0</v>
      </c>
      <c r="D339" s="365">
        <f t="shared" ca="1" si="58"/>
        <v>0</v>
      </c>
      <c r="E339" s="365">
        <f t="shared" ca="1" si="59"/>
        <v>0</v>
      </c>
      <c r="F339" s="365">
        <f t="shared" ca="1" si="60"/>
        <v>0</v>
      </c>
      <c r="G339" s="365">
        <f t="shared" ca="1" si="61"/>
        <v>0</v>
      </c>
      <c r="H339" s="365">
        <f t="shared" ca="1" si="62"/>
        <v>0</v>
      </c>
      <c r="I339" s="365">
        <f t="shared" ca="1" si="63"/>
        <v>0</v>
      </c>
      <c r="J339" s="364">
        <f t="shared" ca="1" si="64"/>
        <v>0</v>
      </c>
      <c r="K339" s="366">
        <f t="shared" ca="1" si="65"/>
        <v>0</v>
      </c>
      <c r="M339" s="60"/>
      <c r="N339" s="60"/>
      <c r="O339" s="60"/>
      <c r="P339" s="60"/>
      <c r="Q339" s="60"/>
      <c r="R339" s="60"/>
      <c r="S339" s="60"/>
      <c r="T339" s="60"/>
      <c r="U339" s="60"/>
      <c r="V339" s="61"/>
    </row>
    <row r="340" spans="1:22" x14ac:dyDescent="0.2">
      <c r="A340">
        <f t="shared" si="66"/>
        <v>336</v>
      </c>
      <c r="B340" s="363">
        <f t="shared" ca="1" si="56"/>
        <v>0</v>
      </c>
      <c r="C340" s="364">
        <f t="shared" ca="1" si="57"/>
        <v>0</v>
      </c>
      <c r="D340" s="365">
        <f t="shared" ca="1" si="58"/>
        <v>0</v>
      </c>
      <c r="E340" s="365">
        <f t="shared" ca="1" si="59"/>
        <v>0</v>
      </c>
      <c r="F340" s="365">
        <f t="shared" ca="1" si="60"/>
        <v>0</v>
      </c>
      <c r="G340" s="365">
        <f t="shared" ca="1" si="61"/>
        <v>0</v>
      </c>
      <c r="H340" s="365">
        <f t="shared" ca="1" si="62"/>
        <v>0</v>
      </c>
      <c r="I340" s="365">
        <f t="shared" ca="1" si="63"/>
        <v>0</v>
      </c>
      <c r="J340" s="364">
        <f t="shared" ca="1" si="64"/>
        <v>0</v>
      </c>
      <c r="K340" s="366">
        <f t="shared" ca="1" si="65"/>
        <v>0</v>
      </c>
      <c r="M340" s="60"/>
      <c r="N340" s="60"/>
      <c r="O340" s="60"/>
      <c r="P340" s="60"/>
      <c r="Q340" s="60"/>
      <c r="R340" s="60"/>
      <c r="S340" s="60"/>
      <c r="T340" s="60"/>
      <c r="U340" s="60"/>
      <c r="V340" s="61"/>
    </row>
    <row r="341" spans="1:22" x14ac:dyDescent="0.2">
      <c r="A341">
        <f t="shared" si="66"/>
        <v>337</v>
      </c>
      <c r="B341" s="363">
        <f t="shared" ca="1" si="56"/>
        <v>0</v>
      </c>
      <c r="C341" s="364">
        <f t="shared" ca="1" si="57"/>
        <v>0</v>
      </c>
      <c r="D341" s="365">
        <f t="shared" ca="1" si="58"/>
        <v>0</v>
      </c>
      <c r="E341" s="365">
        <f t="shared" ca="1" si="59"/>
        <v>0</v>
      </c>
      <c r="F341" s="365">
        <f t="shared" ca="1" si="60"/>
        <v>0</v>
      </c>
      <c r="G341" s="365">
        <f t="shared" ca="1" si="61"/>
        <v>0</v>
      </c>
      <c r="H341" s="365">
        <f t="shared" ca="1" si="62"/>
        <v>0</v>
      </c>
      <c r="I341" s="365">
        <f t="shared" ca="1" si="63"/>
        <v>0</v>
      </c>
      <c r="J341" s="364">
        <f t="shared" ca="1" si="64"/>
        <v>0</v>
      </c>
      <c r="K341" s="366">
        <f t="shared" ca="1" si="65"/>
        <v>0</v>
      </c>
      <c r="M341" s="60"/>
      <c r="N341" s="60"/>
      <c r="O341" s="60"/>
      <c r="P341" s="60"/>
      <c r="Q341" s="60"/>
      <c r="R341" s="60"/>
      <c r="S341" s="60"/>
      <c r="T341" s="60"/>
      <c r="U341" s="60"/>
      <c r="V341" s="61"/>
    </row>
    <row r="342" spans="1:22" x14ac:dyDescent="0.2">
      <c r="A342">
        <f t="shared" si="66"/>
        <v>338</v>
      </c>
      <c r="B342" s="363">
        <f t="shared" ca="1" si="56"/>
        <v>0</v>
      </c>
      <c r="C342" s="364">
        <f t="shared" ca="1" si="57"/>
        <v>0</v>
      </c>
      <c r="D342" s="365">
        <f t="shared" ca="1" si="58"/>
        <v>0</v>
      </c>
      <c r="E342" s="365">
        <f t="shared" ca="1" si="59"/>
        <v>0</v>
      </c>
      <c r="F342" s="365">
        <f t="shared" ca="1" si="60"/>
        <v>0</v>
      </c>
      <c r="G342" s="365">
        <f t="shared" ca="1" si="61"/>
        <v>0</v>
      </c>
      <c r="H342" s="365">
        <f t="shared" ca="1" si="62"/>
        <v>0</v>
      </c>
      <c r="I342" s="365">
        <f t="shared" ca="1" si="63"/>
        <v>0</v>
      </c>
      <c r="J342" s="364">
        <f t="shared" ca="1" si="64"/>
        <v>0</v>
      </c>
      <c r="K342" s="366">
        <f t="shared" ca="1" si="65"/>
        <v>0</v>
      </c>
      <c r="M342" s="60"/>
      <c r="N342" s="60"/>
      <c r="O342" s="60"/>
      <c r="P342" s="60"/>
      <c r="Q342" s="60"/>
      <c r="R342" s="60"/>
      <c r="S342" s="60"/>
      <c r="T342" s="60"/>
      <c r="U342" s="60"/>
      <c r="V342" s="61"/>
    </row>
    <row r="343" spans="1:22" x14ac:dyDescent="0.2">
      <c r="A343">
        <f t="shared" si="66"/>
        <v>339</v>
      </c>
      <c r="B343" s="363">
        <f t="shared" ca="1" si="56"/>
        <v>0</v>
      </c>
      <c r="C343" s="364">
        <f t="shared" ca="1" si="57"/>
        <v>0</v>
      </c>
      <c r="D343" s="365">
        <f t="shared" ca="1" si="58"/>
        <v>0</v>
      </c>
      <c r="E343" s="365">
        <f t="shared" ca="1" si="59"/>
        <v>0</v>
      </c>
      <c r="F343" s="365">
        <f t="shared" ca="1" si="60"/>
        <v>0</v>
      </c>
      <c r="G343" s="365">
        <f t="shared" ca="1" si="61"/>
        <v>0</v>
      </c>
      <c r="H343" s="365">
        <f t="shared" ca="1" si="62"/>
        <v>0</v>
      </c>
      <c r="I343" s="365">
        <f t="shared" ca="1" si="63"/>
        <v>0</v>
      </c>
      <c r="J343" s="364">
        <f t="shared" ca="1" si="64"/>
        <v>0</v>
      </c>
      <c r="K343" s="366">
        <f t="shared" ca="1" si="65"/>
        <v>0</v>
      </c>
      <c r="M343" s="60"/>
      <c r="N343" s="60"/>
      <c r="O343" s="60"/>
      <c r="P343" s="60"/>
      <c r="Q343" s="60"/>
      <c r="R343" s="60"/>
      <c r="S343" s="60"/>
      <c r="T343" s="60"/>
      <c r="U343" s="60"/>
      <c r="V343" s="61"/>
    </row>
    <row r="344" spans="1:22" x14ac:dyDescent="0.2">
      <c r="A344">
        <f t="shared" si="66"/>
        <v>340</v>
      </c>
      <c r="B344" s="363">
        <f t="shared" ca="1" si="56"/>
        <v>0</v>
      </c>
      <c r="C344" s="364">
        <f t="shared" ca="1" si="57"/>
        <v>0</v>
      </c>
      <c r="D344" s="365">
        <f t="shared" ca="1" si="58"/>
        <v>0</v>
      </c>
      <c r="E344" s="365">
        <f t="shared" ca="1" si="59"/>
        <v>0</v>
      </c>
      <c r="F344" s="365">
        <f t="shared" ca="1" si="60"/>
        <v>0</v>
      </c>
      <c r="G344" s="365">
        <f t="shared" ca="1" si="61"/>
        <v>0</v>
      </c>
      <c r="H344" s="365">
        <f t="shared" ca="1" si="62"/>
        <v>0</v>
      </c>
      <c r="I344" s="365">
        <f t="shared" ca="1" si="63"/>
        <v>0</v>
      </c>
      <c r="J344" s="364">
        <f t="shared" ca="1" si="64"/>
        <v>0</v>
      </c>
      <c r="K344" s="366">
        <f t="shared" ca="1" si="65"/>
        <v>0</v>
      </c>
      <c r="M344" s="60"/>
      <c r="N344" s="60"/>
      <c r="O344" s="60"/>
      <c r="P344" s="60"/>
      <c r="Q344" s="60"/>
      <c r="R344" s="60"/>
      <c r="S344" s="60"/>
      <c r="T344" s="60"/>
      <c r="U344" s="60"/>
      <c r="V344" s="61"/>
    </row>
    <row r="345" spans="1:22" x14ac:dyDescent="0.2">
      <c r="A345">
        <f t="shared" si="66"/>
        <v>341</v>
      </c>
      <c r="B345" s="363">
        <f t="shared" ca="1" si="56"/>
        <v>0</v>
      </c>
      <c r="C345" s="364">
        <f t="shared" ca="1" si="57"/>
        <v>0</v>
      </c>
      <c r="D345" s="365">
        <f t="shared" ca="1" si="58"/>
        <v>0</v>
      </c>
      <c r="E345" s="365">
        <f t="shared" ca="1" si="59"/>
        <v>0</v>
      </c>
      <c r="F345" s="365">
        <f t="shared" ca="1" si="60"/>
        <v>0</v>
      </c>
      <c r="G345" s="365">
        <f t="shared" ca="1" si="61"/>
        <v>0</v>
      </c>
      <c r="H345" s="365">
        <f t="shared" ca="1" si="62"/>
        <v>0</v>
      </c>
      <c r="I345" s="365">
        <f t="shared" ca="1" si="63"/>
        <v>0</v>
      </c>
      <c r="J345" s="364">
        <f t="shared" ca="1" si="64"/>
        <v>0</v>
      </c>
      <c r="K345" s="366">
        <f t="shared" ca="1" si="65"/>
        <v>0</v>
      </c>
      <c r="M345" s="60"/>
      <c r="N345" s="60"/>
      <c r="O345" s="60"/>
      <c r="P345" s="60"/>
      <c r="Q345" s="60"/>
      <c r="R345" s="60"/>
      <c r="S345" s="60"/>
      <c r="T345" s="60"/>
      <c r="U345" s="60"/>
      <c r="V345" s="61"/>
    </row>
    <row r="346" spans="1:22" x14ac:dyDescent="0.2">
      <c r="A346">
        <f t="shared" si="66"/>
        <v>342</v>
      </c>
      <c r="B346" s="363">
        <f t="shared" ca="1" si="56"/>
        <v>0</v>
      </c>
      <c r="C346" s="364">
        <f t="shared" ca="1" si="57"/>
        <v>0</v>
      </c>
      <c r="D346" s="365">
        <f t="shared" ca="1" si="58"/>
        <v>0</v>
      </c>
      <c r="E346" s="365">
        <f t="shared" ca="1" si="59"/>
        <v>0</v>
      </c>
      <c r="F346" s="365">
        <f t="shared" ca="1" si="60"/>
        <v>0</v>
      </c>
      <c r="G346" s="365">
        <f t="shared" ca="1" si="61"/>
        <v>0</v>
      </c>
      <c r="H346" s="365">
        <f t="shared" ca="1" si="62"/>
        <v>0</v>
      </c>
      <c r="I346" s="365">
        <f t="shared" ca="1" si="63"/>
        <v>0</v>
      </c>
      <c r="J346" s="364">
        <f t="shared" ca="1" si="64"/>
        <v>0</v>
      </c>
      <c r="K346" s="366">
        <f t="shared" ca="1" si="65"/>
        <v>0</v>
      </c>
      <c r="M346" s="60"/>
      <c r="N346" s="60"/>
      <c r="O346" s="60"/>
      <c r="P346" s="60"/>
      <c r="Q346" s="60"/>
      <c r="R346" s="60"/>
      <c r="S346" s="60"/>
      <c r="T346" s="60"/>
      <c r="U346" s="60"/>
      <c r="V346" s="61"/>
    </row>
    <row r="347" spans="1:22" x14ac:dyDescent="0.2">
      <c r="A347">
        <f t="shared" si="66"/>
        <v>343</v>
      </c>
      <c r="B347" s="363">
        <f t="shared" ca="1" si="56"/>
        <v>0</v>
      </c>
      <c r="C347" s="364">
        <f t="shared" ca="1" si="57"/>
        <v>0</v>
      </c>
      <c r="D347" s="365">
        <f t="shared" ca="1" si="58"/>
        <v>0</v>
      </c>
      <c r="E347" s="365">
        <f t="shared" ca="1" si="59"/>
        <v>0</v>
      </c>
      <c r="F347" s="365">
        <f t="shared" ca="1" si="60"/>
        <v>0</v>
      </c>
      <c r="G347" s="365">
        <f t="shared" ca="1" si="61"/>
        <v>0</v>
      </c>
      <c r="H347" s="365">
        <f t="shared" ca="1" si="62"/>
        <v>0</v>
      </c>
      <c r="I347" s="365">
        <f t="shared" ca="1" si="63"/>
        <v>0</v>
      </c>
      <c r="J347" s="364">
        <f t="shared" ca="1" si="64"/>
        <v>0</v>
      </c>
      <c r="K347" s="366">
        <f t="shared" ca="1" si="65"/>
        <v>0</v>
      </c>
      <c r="M347" s="60"/>
      <c r="N347" s="60"/>
      <c r="O347" s="60"/>
      <c r="P347" s="60"/>
      <c r="Q347" s="60"/>
      <c r="R347" s="60"/>
      <c r="S347" s="60"/>
      <c r="T347" s="60"/>
      <c r="U347" s="60"/>
      <c r="V347" s="61"/>
    </row>
    <row r="348" spans="1:22" x14ac:dyDescent="0.2">
      <c r="A348">
        <f t="shared" si="66"/>
        <v>344</v>
      </c>
      <c r="B348" s="363">
        <f t="shared" ca="1" si="56"/>
        <v>0</v>
      </c>
      <c r="C348" s="364">
        <f t="shared" ca="1" si="57"/>
        <v>0</v>
      </c>
      <c r="D348" s="365">
        <f t="shared" ca="1" si="58"/>
        <v>0</v>
      </c>
      <c r="E348" s="365">
        <f t="shared" ca="1" si="59"/>
        <v>0</v>
      </c>
      <c r="F348" s="365">
        <f t="shared" ca="1" si="60"/>
        <v>0</v>
      </c>
      <c r="G348" s="365">
        <f t="shared" ca="1" si="61"/>
        <v>0</v>
      </c>
      <c r="H348" s="365">
        <f t="shared" ca="1" si="62"/>
        <v>0</v>
      </c>
      <c r="I348" s="365">
        <f t="shared" ca="1" si="63"/>
        <v>0</v>
      </c>
      <c r="J348" s="364">
        <f t="shared" ca="1" si="64"/>
        <v>0</v>
      </c>
      <c r="K348" s="366">
        <f t="shared" ca="1" si="65"/>
        <v>0</v>
      </c>
      <c r="M348" s="60"/>
      <c r="N348" s="60"/>
      <c r="O348" s="60"/>
      <c r="P348" s="60"/>
      <c r="Q348" s="60"/>
      <c r="R348" s="60"/>
      <c r="S348" s="60"/>
      <c r="T348" s="60"/>
      <c r="U348" s="60"/>
      <c r="V348" s="61"/>
    </row>
    <row r="349" spans="1:22" x14ac:dyDescent="0.2">
      <c r="A349">
        <f t="shared" si="66"/>
        <v>345</v>
      </c>
      <c r="B349" s="363">
        <f t="shared" ca="1" si="56"/>
        <v>0</v>
      </c>
      <c r="C349" s="364">
        <f t="shared" ca="1" si="57"/>
        <v>0</v>
      </c>
      <c r="D349" s="365">
        <f t="shared" ca="1" si="58"/>
        <v>0</v>
      </c>
      <c r="E349" s="365">
        <f t="shared" ca="1" si="59"/>
        <v>0</v>
      </c>
      <c r="F349" s="365">
        <f t="shared" ca="1" si="60"/>
        <v>0</v>
      </c>
      <c r="G349" s="365">
        <f t="shared" ca="1" si="61"/>
        <v>0</v>
      </c>
      <c r="H349" s="365">
        <f t="shared" ca="1" si="62"/>
        <v>0</v>
      </c>
      <c r="I349" s="365">
        <f t="shared" ca="1" si="63"/>
        <v>0</v>
      </c>
      <c r="J349" s="364">
        <f t="shared" ca="1" si="64"/>
        <v>0</v>
      </c>
      <c r="K349" s="366">
        <f t="shared" ca="1" si="65"/>
        <v>0</v>
      </c>
      <c r="M349" s="60"/>
      <c r="N349" s="60"/>
      <c r="O349" s="60"/>
      <c r="P349" s="60"/>
      <c r="Q349" s="60"/>
      <c r="R349" s="60"/>
      <c r="S349" s="60"/>
      <c r="T349" s="60"/>
      <c r="U349" s="60"/>
      <c r="V349" s="61"/>
    </row>
    <row r="350" spans="1:22" x14ac:dyDescent="0.2">
      <c r="A350">
        <f t="shared" si="66"/>
        <v>346</v>
      </c>
      <c r="B350" s="363">
        <f t="shared" ca="1" si="56"/>
        <v>0</v>
      </c>
      <c r="C350" s="364">
        <f t="shared" ca="1" si="57"/>
        <v>0</v>
      </c>
      <c r="D350" s="365">
        <f t="shared" ca="1" si="58"/>
        <v>0</v>
      </c>
      <c r="E350" s="365">
        <f t="shared" ca="1" si="59"/>
        <v>0</v>
      </c>
      <c r="F350" s="365">
        <f t="shared" ca="1" si="60"/>
        <v>0</v>
      </c>
      <c r="G350" s="365">
        <f t="shared" ca="1" si="61"/>
        <v>0</v>
      </c>
      <c r="H350" s="365">
        <f t="shared" ca="1" si="62"/>
        <v>0</v>
      </c>
      <c r="I350" s="365">
        <f t="shared" ca="1" si="63"/>
        <v>0</v>
      </c>
      <c r="J350" s="364">
        <f t="shared" ca="1" si="64"/>
        <v>0</v>
      </c>
      <c r="K350" s="366">
        <f t="shared" ca="1" si="65"/>
        <v>0</v>
      </c>
      <c r="M350" s="60"/>
      <c r="N350" s="60"/>
      <c r="O350" s="60"/>
      <c r="P350" s="60"/>
      <c r="Q350" s="60"/>
      <c r="R350" s="60"/>
      <c r="S350" s="60"/>
      <c r="T350" s="60"/>
      <c r="U350" s="60"/>
      <c r="V350" s="61"/>
    </row>
    <row r="351" spans="1:22" x14ac:dyDescent="0.2">
      <c r="A351">
        <f t="shared" si="66"/>
        <v>347</v>
      </c>
      <c r="B351" s="363">
        <f t="shared" ca="1" si="56"/>
        <v>0</v>
      </c>
      <c r="C351" s="364">
        <f t="shared" ca="1" si="57"/>
        <v>0</v>
      </c>
      <c r="D351" s="365">
        <f t="shared" ca="1" si="58"/>
        <v>0</v>
      </c>
      <c r="E351" s="365">
        <f t="shared" ca="1" si="59"/>
        <v>0</v>
      </c>
      <c r="F351" s="365">
        <f t="shared" ca="1" si="60"/>
        <v>0</v>
      </c>
      <c r="G351" s="365">
        <f t="shared" ca="1" si="61"/>
        <v>0</v>
      </c>
      <c r="H351" s="365">
        <f t="shared" ca="1" si="62"/>
        <v>0</v>
      </c>
      <c r="I351" s="365">
        <f t="shared" ca="1" si="63"/>
        <v>0</v>
      </c>
      <c r="J351" s="364">
        <f t="shared" ca="1" si="64"/>
        <v>0</v>
      </c>
      <c r="K351" s="366">
        <f t="shared" ca="1" si="65"/>
        <v>0</v>
      </c>
      <c r="M351" s="60"/>
      <c r="N351" s="60"/>
      <c r="O351" s="60"/>
      <c r="P351" s="60"/>
      <c r="Q351" s="60"/>
      <c r="R351" s="60"/>
      <c r="S351" s="60"/>
      <c r="T351" s="60"/>
      <c r="U351" s="60"/>
      <c r="V351" s="61"/>
    </row>
    <row r="352" spans="1:22" x14ac:dyDescent="0.2">
      <c r="A352">
        <f t="shared" si="66"/>
        <v>348</v>
      </c>
      <c r="B352" s="363">
        <f t="shared" ca="1" si="56"/>
        <v>0</v>
      </c>
      <c r="C352" s="364">
        <f t="shared" ca="1" si="57"/>
        <v>0</v>
      </c>
      <c r="D352" s="365">
        <f t="shared" ca="1" si="58"/>
        <v>0</v>
      </c>
      <c r="E352" s="365">
        <f t="shared" ca="1" si="59"/>
        <v>0</v>
      </c>
      <c r="F352" s="365">
        <f t="shared" ca="1" si="60"/>
        <v>0</v>
      </c>
      <c r="G352" s="365">
        <f t="shared" ca="1" si="61"/>
        <v>0</v>
      </c>
      <c r="H352" s="365">
        <f t="shared" ca="1" si="62"/>
        <v>0</v>
      </c>
      <c r="I352" s="365">
        <f t="shared" ca="1" si="63"/>
        <v>0</v>
      </c>
      <c r="J352" s="364">
        <f t="shared" ca="1" si="64"/>
        <v>0</v>
      </c>
      <c r="K352" s="366">
        <f t="shared" ca="1" si="65"/>
        <v>0</v>
      </c>
      <c r="M352" s="60"/>
      <c r="N352" s="60"/>
      <c r="O352" s="60"/>
      <c r="P352" s="60"/>
      <c r="Q352" s="60"/>
      <c r="R352" s="60"/>
      <c r="S352" s="60"/>
      <c r="T352" s="60"/>
      <c r="U352" s="60"/>
      <c r="V352" s="61"/>
    </row>
    <row r="353" spans="1:22" x14ac:dyDescent="0.2">
      <c r="A353">
        <f t="shared" si="66"/>
        <v>349</v>
      </c>
      <c r="B353" s="363">
        <f t="shared" ca="1" si="56"/>
        <v>0</v>
      </c>
      <c r="C353" s="364">
        <f t="shared" ca="1" si="57"/>
        <v>0</v>
      </c>
      <c r="D353" s="365">
        <f t="shared" ca="1" si="58"/>
        <v>0</v>
      </c>
      <c r="E353" s="365">
        <f t="shared" ca="1" si="59"/>
        <v>0</v>
      </c>
      <c r="F353" s="365">
        <f t="shared" ca="1" si="60"/>
        <v>0</v>
      </c>
      <c r="G353" s="365">
        <f t="shared" ca="1" si="61"/>
        <v>0</v>
      </c>
      <c r="H353" s="365">
        <f t="shared" ca="1" si="62"/>
        <v>0</v>
      </c>
      <c r="I353" s="365">
        <f t="shared" ca="1" si="63"/>
        <v>0</v>
      </c>
      <c r="J353" s="364">
        <f t="shared" ca="1" si="64"/>
        <v>0</v>
      </c>
      <c r="K353" s="366">
        <f t="shared" ca="1" si="65"/>
        <v>0</v>
      </c>
      <c r="M353" s="60"/>
      <c r="N353" s="60"/>
      <c r="O353" s="60"/>
      <c r="P353" s="60"/>
      <c r="Q353" s="60"/>
      <c r="R353" s="60"/>
      <c r="S353" s="60"/>
      <c r="T353" s="60"/>
      <c r="U353" s="60"/>
      <c r="V353" s="61"/>
    </row>
    <row r="354" spans="1:22" x14ac:dyDescent="0.2">
      <c r="A354">
        <f t="shared" si="66"/>
        <v>350</v>
      </c>
      <c r="B354" s="363">
        <f t="shared" ca="1" si="56"/>
        <v>0</v>
      </c>
      <c r="C354" s="364">
        <f t="shared" ca="1" si="57"/>
        <v>0</v>
      </c>
      <c r="D354" s="365">
        <f t="shared" ca="1" si="58"/>
        <v>0</v>
      </c>
      <c r="E354" s="365">
        <f t="shared" ca="1" si="59"/>
        <v>0</v>
      </c>
      <c r="F354" s="365">
        <f t="shared" ca="1" si="60"/>
        <v>0</v>
      </c>
      <c r="G354" s="365">
        <f t="shared" ca="1" si="61"/>
        <v>0</v>
      </c>
      <c r="H354" s="365">
        <f t="shared" ca="1" si="62"/>
        <v>0</v>
      </c>
      <c r="I354" s="365">
        <f t="shared" ca="1" si="63"/>
        <v>0</v>
      </c>
      <c r="J354" s="364">
        <f t="shared" ca="1" si="64"/>
        <v>0</v>
      </c>
      <c r="K354" s="366">
        <f t="shared" ca="1" si="65"/>
        <v>0</v>
      </c>
      <c r="M354" s="60"/>
      <c r="N354" s="60"/>
      <c r="O354" s="60"/>
      <c r="P354" s="60"/>
      <c r="Q354" s="60"/>
      <c r="R354" s="60"/>
      <c r="S354" s="60"/>
      <c r="T354" s="60"/>
      <c r="U354" s="60"/>
      <c r="V354" s="61"/>
    </row>
    <row r="355" spans="1:22" x14ac:dyDescent="0.2">
      <c r="A355">
        <f t="shared" si="66"/>
        <v>351</v>
      </c>
      <c r="B355" s="363">
        <f t="shared" ca="1" si="56"/>
        <v>0</v>
      </c>
      <c r="C355" s="364">
        <f t="shared" ca="1" si="57"/>
        <v>0</v>
      </c>
      <c r="D355" s="365">
        <f t="shared" ca="1" si="58"/>
        <v>0</v>
      </c>
      <c r="E355" s="365">
        <f t="shared" ca="1" si="59"/>
        <v>0</v>
      </c>
      <c r="F355" s="365">
        <f t="shared" ca="1" si="60"/>
        <v>0</v>
      </c>
      <c r="G355" s="365">
        <f t="shared" ca="1" si="61"/>
        <v>0</v>
      </c>
      <c r="H355" s="365">
        <f t="shared" ca="1" si="62"/>
        <v>0</v>
      </c>
      <c r="I355" s="365">
        <f t="shared" ca="1" si="63"/>
        <v>0</v>
      </c>
      <c r="J355" s="364">
        <f t="shared" ca="1" si="64"/>
        <v>0</v>
      </c>
      <c r="K355" s="366">
        <f t="shared" ca="1" si="65"/>
        <v>0</v>
      </c>
      <c r="M355" s="60"/>
      <c r="N355" s="60"/>
      <c r="O355" s="60"/>
      <c r="P355" s="60"/>
      <c r="Q355" s="60"/>
      <c r="R355" s="60"/>
      <c r="S355" s="60"/>
      <c r="T355" s="60"/>
      <c r="U355" s="60"/>
      <c r="V355" s="61"/>
    </row>
    <row r="356" spans="1:22" x14ac:dyDescent="0.2">
      <c r="A356">
        <f t="shared" si="66"/>
        <v>352</v>
      </c>
      <c r="B356" s="363">
        <f t="shared" ca="1" si="56"/>
        <v>0</v>
      </c>
      <c r="C356" s="364">
        <f t="shared" ca="1" si="57"/>
        <v>0</v>
      </c>
      <c r="D356" s="365">
        <f t="shared" ca="1" si="58"/>
        <v>0</v>
      </c>
      <c r="E356" s="365">
        <f t="shared" ca="1" si="59"/>
        <v>0</v>
      </c>
      <c r="F356" s="365">
        <f t="shared" ca="1" si="60"/>
        <v>0</v>
      </c>
      <c r="G356" s="365">
        <f t="shared" ca="1" si="61"/>
        <v>0</v>
      </c>
      <c r="H356" s="365">
        <f t="shared" ca="1" si="62"/>
        <v>0</v>
      </c>
      <c r="I356" s="365">
        <f t="shared" ca="1" si="63"/>
        <v>0</v>
      </c>
      <c r="J356" s="364">
        <f t="shared" ca="1" si="64"/>
        <v>0</v>
      </c>
      <c r="K356" s="366">
        <f t="shared" ca="1" si="65"/>
        <v>0</v>
      </c>
      <c r="M356" s="60"/>
      <c r="N356" s="60"/>
      <c r="O356" s="60"/>
      <c r="P356" s="60"/>
      <c r="Q356" s="60"/>
      <c r="R356" s="60"/>
      <c r="S356" s="60"/>
      <c r="T356" s="60"/>
      <c r="U356" s="60"/>
      <c r="V356" s="61"/>
    </row>
    <row r="357" spans="1:22" x14ac:dyDescent="0.2">
      <c r="A357">
        <f t="shared" si="66"/>
        <v>353</v>
      </c>
      <c r="B357" s="363">
        <f t="shared" ca="1" si="56"/>
        <v>0</v>
      </c>
      <c r="C357" s="364">
        <f t="shared" ca="1" si="57"/>
        <v>0</v>
      </c>
      <c r="D357" s="365">
        <f t="shared" ca="1" si="58"/>
        <v>0</v>
      </c>
      <c r="E357" s="365">
        <f t="shared" ca="1" si="59"/>
        <v>0</v>
      </c>
      <c r="F357" s="365">
        <f t="shared" ca="1" si="60"/>
        <v>0</v>
      </c>
      <c r="G357" s="365">
        <f t="shared" ca="1" si="61"/>
        <v>0</v>
      </c>
      <c r="H357" s="365">
        <f t="shared" ca="1" si="62"/>
        <v>0</v>
      </c>
      <c r="I357" s="365">
        <f t="shared" ca="1" si="63"/>
        <v>0</v>
      </c>
      <c r="J357" s="364">
        <f t="shared" ca="1" si="64"/>
        <v>0</v>
      </c>
      <c r="K357" s="366">
        <f t="shared" ca="1" si="65"/>
        <v>0</v>
      </c>
      <c r="M357" s="60"/>
      <c r="N357" s="60"/>
      <c r="O357" s="60"/>
      <c r="P357" s="60"/>
      <c r="Q357" s="60"/>
      <c r="R357" s="60"/>
      <c r="S357" s="60"/>
      <c r="T357" s="60"/>
      <c r="U357" s="60"/>
      <c r="V357" s="61"/>
    </row>
    <row r="358" spans="1:22" x14ac:dyDescent="0.2">
      <c r="A358">
        <f t="shared" si="66"/>
        <v>354</v>
      </c>
      <c r="B358" s="363">
        <f t="shared" ca="1" si="56"/>
        <v>0</v>
      </c>
      <c r="C358" s="364">
        <f t="shared" ca="1" si="57"/>
        <v>0</v>
      </c>
      <c r="D358" s="365">
        <f t="shared" ca="1" si="58"/>
        <v>0</v>
      </c>
      <c r="E358" s="365">
        <f t="shared" ca="1" si="59"/>
        <v>0</v>
      </c>
      <c r="F358" s="365">
        <f t="shared" ca="1" si="60"/>
        <v>0</v>
      </c>
      <c r="G358" s="365">
        <f t="shared" ca="1" si="61"/>
        <v>0</v>
      </c>
      <c r="H358" s="365">
        <f t="shared" ca="1" si="62"/>
        <v>0</v>
      </c>
      <c r="I358" s="365">
        <f t="shared" ca="1" si="63"/>
        <v>0</v>
      </c>
      <c r="J358" s="364">
        <f t="shared" ca="1" si="64"/>
        <v>0</v>
      </c>
      <c r="K358" s="366">
        <f t="shared" ca="1" si="65"/>
        <v>0</v>
      </c>
      <c r="M358" s="60"/>
      <c r="N358" s="60"/>
      <c r="O358" s="60"/>
      <c r="P358" s="60"/>
      <c r="Q358" s="60"/>
      <c r="R358" s="60"/>
      <c r="S358" s="60"/>
      <c r="T358" s="60"/>
      <c r="U358" s="60"/>
      <c r="V358" s="61"/>
    </row>
    <row r="359" spans="1:22" x14ac:dyDescent="0.2">
      <c r="A359">
        <f t="shared" si="66"/>
        <v>355</v>
      </c>
      <c r="B359" s="363">
        <f t="shared" ca="1" si="56"/>
        <v>0</v>
      </c>
      <c r="C359" s="364">
        <f t="shared" ca="1" si="57"/>
        <v>0</v>
      </c>
      <c r="D359" s="365">
        <f t="shared" ca="1" si="58"/>
        <v>0</v>
      </c>
      <c r="E359" s="365">
        <f t="shared" ca="1" si="59"/>
        <v>0</v>
      </c>
      <c r="F359" s="365">
        <f t="shared" ca="1" si="60"/>
        <v>0</v>
      </c>
      <c r="G359" s="365">
        <f t="shared" ca="1" si="61"/>
        <v>0</v>
      </c>
      <c r="H359" s="365">
        <f t="shared" ca="1" si="62"/>
        <v>0</v>
      </c>
      <c r="I359" s="365">
        <f t="shared" ca="1" si="63"/>
        <v>0</v>
      </c>
      <c r="J359" s="364">
        <f t="shared" ca="1" si="64"/>
        <v>0</v>
      </c>
      <c r="K359" s="366">
        <f t="shared" ca="1" si="65"/>
        <v>0</v>
      </c>
      <c r="M359" s="60"/>
      <c r="N359" s="60"/>
      <c r="O359" s="60"/>
      <c r="P359" s="60"/>
      <c r="Q359" s="60"/>
      <c r="R359" s="60"/>
      <c r="S359" s="60"/>
      <c r="T359" s="60"/>
      <c r="U359" s="60"/>
      <c r="V359" s="61"/>
    </row>
    <row r="360" spans="1:22" x14ac:dyDescent="0.2">
      <c r="A360">
        <f t="shared" si="66"/>
        <v>356</v>
      </c>
      <c r="B360" s="363">
        <f t="shared" ca="1" si="56"/>
        <v>0</v>
      </c>
      <c r="C360" s="364">
        <f t="shared" ca="1" si="57"/>
        <v>0</v>
      </c>
      <c r="D360" s="365">
        <f t="shared" ca="1" si="58"/>
        <v>0</v>
      </c>
      <c r="E360" s="365">
        <f t="shared" ca="1" si="59"/>
        <v>0</v>
      </c>
      <c r="F360" s="365">
        <f t="shared" ca="1" si="60"/>
        <v>0</v>
      </c>
      <c r="G360" s="365">
        <f t="shared" ca="1" si="61"/>
        <v>0</v>
      </c>
      <c r="H360" s="365">
        <f t="shared" ca="1" si="62"/>
        <v>0</v>
      </c>
      <c r="I360" s="365">
        <f t="shared" ca="1" si="63"/>
        <v>0</v>
      </c>
      <c r="J360" s="364">
        <f t="shared" ca="1" si="64"/>
        <v>0</v>
      </c>
      <c r="K360" s="366">
        <f t="shared" ca="1" si="65"/>
        <v>0</v>
      </c>
      <c r="M360" s="60"/>
      <c r="N360" s="60"/>
      <c r="O360" s="60"/>
      <c r="P360" s="60"/>
      <c r="Q360" s="60"/>
      <c r="R360" s="60"/>
      <c r="S360" s="60"/>
      <c r="T360" s="60"/>
      <c r="U360" s="60"/>
      <c r="V360" s="61"/>
    </row>
    <row r="361" spans="1:22" x14ac:dyDescent="0.2">
      <c r="A361">
        <f t="shared" si="66"/>
        <v>357</v>
      </c>
      <c r="B361" s="363">
        <f t="shared" ca="1" si="56"/>
        <v>0</v>
      </c>
      <c r="C361" s="364">
        <f t="shared" ca="1" si="57"/>
        <v>0</v>
      </c>
      <c r="D361" s="365">
        <f t="shared" ca="1" si="58"/>
        <v>0</v>
      </c>
      <c r="E361" s="365">
        <f t="shared" ca="1" si="59"/>
        <v>0</v>
      </c>
      <c r="F361" s="365">
        <f t="shared" ca="1" si="60"/>
        <v>0</v>
      </c>
      <c r="G361" s="365">
        <f t="shared" ca="1" si="61"/>
        <v>0</v>
      </c>
      <c r="H361" s="365">
        <f t="shared" ca="1" si="62"/>
        <v>0</v>
      </c>
      <c r="I361" s="365">
        <f t="shared" ca="1" si="63"/>
        <v>0</v>
      </c>
      <c r="J361" s="364">
        <f t="shared" ca="1" si="64"/>
        <v>0</v>
      </c>
      <c r="K361" s="366">
        <f t="shared" ca="1" si="65"/>
        <v>0</v>
      </c>
      <c r="M361" s="60"/>
      <c r="N361" s="60"/>
      <c r="O361" s="60"/>
      <c r="P361" s="60"/>
      <c r="Q361" s="60"/>
      <c r="R361" s="60"/>
      <c r="S361" s="60"/>
      <c r="T361" s="60"/>
      <c r="U361" s="60"/>
      <c r="V361" s="61"/>
    </row>
    <row r="362" spans="1:22" x14ac:dyDescent="0.2">
      <c r="A362">
        <f t="shared" si="66"/>
        <v>358</v>
      </c>
      <c r="B362" s="363">
        <f t="shared" ca="1" si="56"/>
        <v>0</v>
      </c>
      <c r="C362" s="364">
        <f t="shared" ca="1" si="57"/>
        <v>0</v>
      </c>
      <c r="D362" s="365">
        <f t="shared" ca="1" si="58"/>
        <v>0</v>
      </c>
      <c r="E362" s="365">
        <f t="shared" ca="1" si="59"/>
        <v>0</v>
      </c>
      <c r="F362" s="365">
        <f t="shared" ca="1" si="60"/>
        <v>0</v>
      </c>
      <c r="G362" s="365">
        <f t="shared" ca="1" si="61"/>
        <v>0</v>
      </c>
      <c r="H362" s="365">
        <f t="shared" ca="1" si="62"/>
        <v>0</v>
      </c>
      <c r="I362" s="365">
        <f t="shared" ca="1" si="63"/>
        <v>0</v>
      </c>
      <c r="J362" s="364">
        <f t="shared" ca="1" si="64"/>
        <v>0</v>
      </c>
      <c r="K362" s="366">
        <f t="shared" ca="1" si="65"/>
        <v>0</v>
      </c>
      <c r="M362" s="60"/>
      <c r="N362" s="60"/>
      <c r="O362" s="60"/>
      <c r="P362" s="60"/>
      <c r="Q362" s="60"/>
      <c r="R362" s="60"/>
      <c r="S362" s="60"/>
      <c r="T362" s="60"/>
      <c r="U362" s="60"/>
      <c r="V362" s="61"/>
    </row>
    <row r="363" spans="1:22" x14ac:dyDescent="0.2">
      <c r="A363">
        <f t="shared" si="66"/>
        <v>359</v>
      </c>
      <c r="B363" s="363">
        <f t="shared" ca="1" si="56"/>
        <v>0</v>
      </c>
      <c r="C363" s="364">
        <f t="shared" ca="1" si="57"/>
        <v>0</v>
      </c>
      <c r="D363" s="365">
        <f t="shared" ca="1" si="58"/>
        <v>0</v>
      </c>
      <c r="E363" s="365">
        <f t="shared" ca="1" si="59"/>
        <v>0</v>
      </c>
      <c r="F363" s="365">
        <f t="shared" ca="1" si="60"/>
        <v>0</v>
      </c>
      <c r="G363" s="365">
        <f t="shared" ca="1" si="61"/>
        <v>0</v>
      </c>
      <c r="H363" s="365">
        <f t="shared" ca="1" si="62"/>
        <v>0</v>
      </c>
      <c r="I363" s="365">
        <f t="shared" ca="1" si="63"/>
        <v>0</v>
      </c>
      <c r="J363" s="364">
        <f t="shared" ca="1" si="64"/>
        <v>0</v>
      </c>
      <c r="K363" s="366">
        <f t="shared" ca="1" si="65"/>
        <v>0</v>
      </c>
      <c r="M363" s="60"/>
      <c r="N363" s="60"/>
      <c r="O363" s="60"/>
      <c r="P363" s="60"/>
      <c r="Q363" s="60"/>
      <c r="R363" s="60"/>
      <c r="S363" s="60"/>
      <c r="T363" s="60"/>
      <c r="U363" s="60"/>
      <c r="V363" s="61"/>
    </row>
    <row r="364" spans="1:22" x14ac:dyDescent="0.2">
      <c r="A364">
        <f t="shared" si="66"/>
        <v>360</v>
      </c>
      <c r="B364" s="363">
        <f t="shared" ca="1" si="56"/>
        <v>0</v>
      </c>
      <c r="C364" s="364">
        <f t="shared" ca="1" si="57"/>
        <v>0</v>
      </c>
      <c r="D364" s="365">
        <f t="shared" ca="1" si="58"/>
        <v>0</v>
      </c>
      <c r="E364" s="365">
        <f t="shared" ca="1" si="59"/>
        <v>0</v>
      </c>
      <c r="F364" s="365">
        <f t="shared" ca="1" si="60"/>
        <v>0</v>
      </c>
      <c r="G364" s="365">
        <f t="shared" ca="1" si="61"/>
        <v>0</v>
      </c>
      <c r="H364" s="365">
        <f t="shared" ca="1" si="62"/>
        <v>0</v>
      </c>
      <c r="I364" s="365">
        <f t="shared" ca="1" si="63"/>
        <v>0</v>
      </c>
      <c r="J364" s="364">
        <f t="shared" ca="1" si="64"/>
        <v>0</v>
      </c>
      <c r="K364" s="366">
        <f t="shared" ca="1" si="65"/>
        <v>0</v>
      </c>
      <c r="M364" s="60"/>
      <c r="N364" s="60"/>
      <c r="O364" s="60"/>
      <c r="P364" s="60"/>
      <c r="Q364" s="60"/>
      <c r="R364" s="60"/>
      <c r="S364" s="60"/>
      <c r="T364" s="60"/>
      <c r="U364" s="60"/>
      <c r="V364" s="61"/>
    </row>
    <row r="365" spans="1:22" x14ac:dyDescent="0.2">
      <c r="A365">
        <f t="shared" si="66"/>
        <v>361</v>
      </c>
      <c r="B365" s="363">
        <f t="shared" ca="1" si="56"/>
        <v>0</v>
      </c>
      <c r="C365" s="364">
        <f t="shared" ca="1" si="57"/>
        <v>0</v>
      </c>
      <c r="D365" s="365">
        <f t="shared" ca="1" si="58"/>
        <v>0</v>
      </c>
      <c r="E365" s="365">
        <f t="shared" ca="1" si="59"/>
        <v>0</v>
      </c>
      <c r="F365" s="365">
        <f t="shared" ca="1" si="60"/>
        <v>0</v>
      </c>
      <c r="G365" s="365">
        <f t="shared" ca="1" si="61"/>
        <v>0</v>
      </c>
      <c r="H365" s="365">
        <f t="shared" ca="1" si="62"/>
        <v>0</v>
      </c>
      <c r="I365" s="365">
        <f t="shared" ca="1" si="63"/>
        <v>0</v>
      </c>
      <c r="J365" s="364">
        <f t="shared" ca="1" si="64"/>
        <v>0</v>
      </c>
      <c r="K365" s="366">
        <f t="shared" ca="1" si="65"/>
        <v>0</v>
      </c>
      <c r="M365" s="60"/>
      <c r="N365" s="60"/>
      <c r="O365" s="60"/>
      <c r="P365" s="60"/>
      <c r="Q365" s="60"/>
      <c r="R365" s="60"/>
      <c r="S365" s="60"/>
      <c r="T365" s="60"/>
      <c r="U365" s="60"/>
      <c r="V365" s="61"/>
    </row>
    <row r="366" spans="1:22" x14ac:dyDescent="0.2">
      <c r="A366">
        <f t="shared" si="66"/>
        <v>362</v>
      </c>
      <c r="B366" s="363">
        <f t="shared" ca="1" si="56"/>
        <v>0</v>
      </c>
      <c r="C366" s="364">
        <f t="shared" ca="1" si="57"/>
        <v>0</v>
      </c>
      <c r="D366" s="365">
        <f t="shared" ca="1" si="58"/>
        <v>0</v>
      </c>
      <c r="E366" s="365">
        <f t="shared" ca="1" si="59"/>
        <v>0</v>
      </c>
      <c r="F366" s="365">
        <f t="shared" ca="1" si="60"/>
        <v>0</v>
      </c>
      <c r="G366" s="365">
        <f t="shared" ca="1" si="61"/>
        <v>0</v>
      </c>
      <c r="H366" s="365">
        <f t="shared" ca="1" si="62"/>
        <v>0</v>
      </c>
      <c r="I366" s="365">
        <f t="shared" ca="1" si="63"/>
        <v>0</v>
      </c>
      <c r="J366" s="364">
        <f t="shared" ca="1" si="64"/>
        <v>0</v>
      </c>
      <c r="K366" s="366">
        <f t="shared" ca="1" si="65"/>
        <v>0</v>
      </c>
      <c r="M366" s="60"/>
      <c r="N366" s="60"/>
      <c r="O366" s="60"/>
      <c r="P366" s="60"/>
      <c r="Q366" s="60"/>
      <c r="R366" s="60"/>
      <c r="S366" s="60"/>
      <c r="T366" s="60"/>
      <c r="U366" s="60"/>
      <c r="V366" s="61"/>
    </row>
    <row r="367" spans="1:22" x14ac:dyDescent="0.2">
      <c r="A367">
        <f t="shared" si="66"/>
        <v>363</v>
      </c>
      <c r="B367" s="363">
        <f t="shared" ca="1" si="56"/>
        <v>0</v>
      </c>
      <c r="C367" s="364">
        <f t="shared" ca="1" si="57"/>
        <v>0</v>
      </c>
      <c r="D367" s="365">
        <f t="shared" ca="1" si="58"/>
        <v>0</v>
      </c>
      <c r="E367" s="365">
        <f t="shared" ca="1" si="59"/>
        <v>0</v>
      </c>
      <c r="F367" s="365">
        <f t="shared" ca="1" si="60"/>
        <v>0</v>
      </c>
      <c r="G367" s="365">
        <f t="shared" ca="1" si="61"/>
        <v>0</v>
      </c>
      <c r="H367" s="365">
        <f t="shared" ca="1" si="62"/>
        <v>0</v>
      </c>
      <c r="I367" s="365">
        <f t="shared" ca="1" si="63"/>
        <v>0</v>
      </c>
      <c r="J367" s="364">
        <f t="shared" ca="1" si="64"/>
        <v>0</v>
      </c>
      <c r="K367" s="366">
        <f t="shared" ca="1" si="65"/>
        <v>0</v>
      </c>
      <c r="M367" s="60"/>
      <c r="N367" s="60"/>
      <c r="O367" s="60"/>
      <c r="P367" s="60"/>
      <c r="Q367" s="60"/>
      <c r="R367" s="60"/>
      <c r="S367" s="60"/>
      <c r="T367" s="60"/>
      <c r="U367" s="60"/>
      <c r="V367" s="61"/>
    </row>
    <row r="368" spans="1:22" x14ac:dyDescent="0.2">
      <c r="A368">
        <f t="shared" si="66"/>
        <v>364</v>
      </c>
      <c r="B368" s="363">
        <f t="shared" ca="1" si="56"/>
        <v>0</v>
      </c>
      <c r="C368" s="364">
        <f t="shared" ca="1" si="57"/>
        <v>0</v>
      </c>
      <c r="D368" s="365">
        <f t="shared" ca="1" si="58"/>
        <v>0</v>
      </c>
      <c r="E368" s="365">
        <f t="shared" ca="1" si="59"/>
        <v>0</v>
      </c>
      <c r="F368" s="365">
        <f t="shared" ca="1" si="60"/>
        <v>0</v>
      </c>
      <c r="G368" s="365">
        <f t="shared" ca="1" si="61"/>
        <v>0</v>
      </c>
      <c r="H368" s="365">
        <f t="shared" ca="1" si="62"/>
        <v>0</v>
      </c>
      <c r="I368" s="365">
        <f t="shared" ca="1" si="63"/>
        <v>0</v>
      </c>
      <c r="J368" s="364">
        <f t="shared" ca="1" si="64"/>
        <v>0</v>
      </c>
      <c r="K368" s="366">
        <f t="shared" ca="1" si="65"/>
        <v>0</v>
      </c>
      <c r="M368" s="60"/>
      <c r="N368" s="60"/>
      <c r="O368" s="60"/>
      <c r="P368" s="60"/>
      <c r="Q368" s="60"/>
      <c r="R368" s="60"/>
      <c r="S368" s="60"/>
      <c r="T368" s="60"/>
      <c r="U368" s="60"/>
      <c r="V368" s="61"/>
    </row>
    <row r="369" spans="1:22" ht="13.5" thickBot="1" x14ac:dyDescent="0.25">
      <c r="A369">
        <f t="shared" si="66"/>
        <v>365</v>
      </c>
      <c r="B369" s="367">
        <f t="shared" ca="1" si="56"/>
        <v>0</v>
      </c>
      <c r="C369" s="368">
        <f t="shared" ca="1" si="57"/>
        <v>0</v>
      </c>
      <c r="D369" s="369">
        <f t="shared" ca="1" si="58"/>
        <v>0</v>
      </c>
      <c r="E369" s="369">
        <f t="shared" ca="1" si="59"/>
        <v>0</v>
      </c>
      <c r="F369" s="369">
        <f t="shared" ca="1" si="60"/>
        <v>0</v>
      </c>
      <c r="G369" s="369">
        <f t="shared" ca="1" si="61"/>
        <v>0</v>
      </c>
      <c r="H369" s="369">
        <f t="shared" ca="1" si="62"/>
        <v>0</v>
      </c>
      <c r="I369" s="369">
        <f t="shared" ca="1" si="63"/>
        <v>0</v>
      </c>
      <c r="J369" s="368">
        <f t="shared" ca="1" si="64"/>
        <v>0</v>
      </c>
      <c r="K369" s="370">
        <f t="shared" ca="1" si="65"/>
        <v>0</v>
      </c>
      <c r="M369" s="60"/>
      <c r="N369" s="60"/>
      <c r="O369" s="60"/>
      <c r="P369" s="60"/>
      <c r="Q369" s="60"/>
      <c r="R369" s="60"/>
      <c r="S369" s="60"/>
      <c r="T369" s="60"/>
      <c r="U369" s="60"/>
      <c r="V369" s="61"/>
    </row>
  </sheetData>
  <mergeCells count="2">
    <mergeCell ref="B3:K3"/>
    <mergeCell ref="M3:V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1"/>
  <dimension ref="A1:B143"/>
  <sheetViews>
    <sheetView workbookViewId="0"/>
  </sheetViews>
  <sheetFormatPr defaultRowHeight="12.75" x14ac:dyDescent="0.2"/>
  <cols>
    <col min="1" max="1" width="9.85546875" customWidth="1"/>
    <col min="2" max="2" width="70.7109375" customWidth="1"/>
  </cols>
  <sheetData>
    <row r="1" spans="1:2" ht="15.75" x14ac:dyDescent="0.25">
      <c r="A1" s="6" t="s">
        <v>37</v>
      </c>
      <c r="B1" s="7" t="s">
        <v>38</v>
      </c>
    </row>
    <row r="2" spans="1:2" ht="38.25" x14ac:dyDescent="0.2">
      <c r="A2" s="10" t="s">
        <v>56</v>
      </c>
      <c r="B2" s="15" t="s">
        <v>40</v>
      </c>
    </row>
    <row r="3" spans="1:2" ht="25.5" x14ac:dyDescent="0.2">
      <c r="A3" s="10" t="s">
        <v>55</v>
      </c>
      <c r="B3" s="15" t="s">
        <v>39</v>
      </c>
    </row>
    <row r="4" spans="1:2" ht="63.75" x14ac:dyDescent="0.2">
      <c r="A4" s="9" t="s">
        <v>54</v>
      </c>
      <c r="B4" s="15" t="s">
        <v>57</v>
      </c>
    </row>
    <row r="5" spans="1:2" ht="38.25" x14ac:dyDescent="0.2">
      <c r="A5" s="9" t="s">
        <v>59</v>
      </c>
      <c r="B5" s="14" t="s">
        <v>60</v>
      </c>
    </row>
    <row r="6" spans="1:2" ht="38.25" x14ac:dyDescent="0.2">
      <c r="A6" s="10">
        <v>43448</v>
      </c>
      <c r="B6" s="14" t="s">
        <v>69</v>
      </c>
    </row>
    <row r="7" spans="1:2" ht="25.5" x14ac:dyDescent="0.2">
      <c r="A7" s="10">
        <v>43449</v>
      </c>
      <c r="B7" s="14" t="s">
        <v>70</v>
      </c>
    </row>
    <row r="8" spans="1:2" ht="25.5" x14ac:dyDescent="0.2">
      <c r="A8" s="12">
        <v>43472</v>
      </c>
      <c r="B8" s="16" t="s">
        <v>74</v>
      </c>
    </row>
    <row r="9" spans="1:2" x14ac:dyDescent="0.2">
      <c r="A9" s="12">
        <v>43473</v>
      </c>
      <c r="B9" s="14" t="s">
        <v>78</v>
      </c>
    </row>
    <row r="10" spans="1:2" ht="63.75" x14ac:dyDescent="0.2">
      <c r="A10" s="12">
        <v>43474</v>
      </c>
      <c r="B10" s="14" t="s">
        <v>79</v>
      </c>
    </row>
    <row r="11" spans="1:2" ht="25.5" x14ac:dyDescent="0.2">
      <c r="A11" s="12">
        <v>43475</v>
      </c>
      <c r="B11" s="14" t="s">
        <v>92</v>
      </c>
    </row>
    <row r="12" spans="1:2" ht="51" x14ac:dyDescent="0.2">
      <c r="A12" s="12">
        <v>43476</v>
      </c>
      <c r="B12" s="14" t="s">
        <v>93</v>
      </c>
    </row>
    <row r="13" spans="1:2" ht="25.5" x14ac:dyDescent="0.2">
      <c r="A13" s="12">
        <v>43480</v>
      </c>
      <c r="B13" s="16" t="s">
        <v>107</v>
      </c>
    </row>
    <row r="14" spans="1:2" ht="89.25" x14ac:dyDescent="0.2">
      <c r="A14" s="12">
        <v>43481</v>
      </c>
      <c r="B14" s="16" t="s">
        <v>117</v>
      </c>
    </row>
    <row r="15" spans="1:2" x14ac:dyDescent="0.2">
      <c r="A15" s="8"/>
      <c r="B15" s="14"/>
    </row>
    <row r="16" spans="1:2" x14ac:dyDescent="0.2">
      <c r="A16" s="8"/>
      <c r="B16" s="14"/>
    </row>
    <row r="17" spans="1:2" x14ac:dyDescent="0.2">
      <c r="A17" s="8"/>
      <c r="B17" s="14"/>
    </row>
    <row r="18" spans="1:2" x14ac:dyDescent="0.2">
      <c r="A18" s="8"/>
      <c r="B18" s="14"/>
    </row>
    <row r="19" spans="1:2" x14ac:dyDescent="0.2">
      <c r="A19" s="8"/>
      <c r="B19" s="14"/>
    </row>
    <row r="20" spans="1:2" x14ac:dyDescent="0.2">
      <c r="A20" s="8"/>
      <c r="B20" s="14"/>
    </row>
    <row r="21" spans="1:2" x14ac:dyDescent="0.2">
      <c r="A21" s="8"/>
      <c r="B21" s="14"/>
    </row>
    <row r="22" spans="1:2" x14ac:dyDescent="0.2">
      <c r="A22" s="8"/>
      <c r="B22" s="14"/>
    </row>
    <row r="23" spans="1:2" x14ac:dyDescent="0.2">
      <c r="A23" s="8"/>
      <c r="B23" s="14"/>
    </row>
    <row r="24" spans="1:2" x14ac:dyDescent="0.2">
      <c r="A24" s="8"/>
      <c r="B24" s="14"/>
    </row>
    <row r="25" spans="1:2" x14ac:dyDescent="0.2">
      <c r="A25" s="8"/>
      <c r="B25" s="14"/>
    </row>
    <row r="26" spans="1:2" x14ac:dyDescent="0.2">
      <c r="A26" s="8"/>
      <c r="B26" s="14"/>
    </row>
    <row r="27" spans="1:2" x14ac:dyDescent="0.2">
      <c r="A27" s="8"/>
      <c r="B27" s="14"/>
    </row>
    <row r="28" spans="1:2" x14ac:dyDescent="0.2">
      <c r="A28" s="8"/>
      <c r="B28" s="14"/>
    </row>
    <row r="29" spans="1:2" x14ac:dyDescent="0.2">
      <c r="A29" s="8"/>
      <c r="B29" s="14"/>
    </row>
    <row r="30" spans="1:2" x14ac:dyDescent="0.2">
      <c r="A30" s="8"/>
      <c r="B30" s="14"/>
    </row>
    <row r="31" spans="1:2" x14ac:dyDescent="0.2">
      <c r="A31" s="8"/>
      <c r="B31" s="14"/>
    </row>
    <row r="32" spans="1:2" x14ac:dyDescent="0.2">
      <c r="A32" s="8"/>
      <c r="B32" s="14"/>
    </row>
    <row r="33" spans="1:2" x14ac:dyDescent="0.2">
      <c r="A33" s="8"/>
      <c r="B33" s="14"/>
    </row>
    <row r="34" spans="1:2" x14ac:dyDescent="0.2">
      <c r="A34" s="8"/>
      <c r="B34" s="14"/>
    </row>
    <row r="35" spans="1:2" x14ac:dyDescent="0.2">
      <c r="A35" s="8"/>
      <c r="B35" s="14"/>
    </row>
    <row r="36" spans="1:2" x14ac:dyDescent="0.2">
      <c r="A36" s="8"/>
      <c r="B36" s="14"/>
    </row>
    <row r="37" spans="1:2" x14ac:dyDescent="0.2">
      <c r="A37" s="8"/>
      <c r="B37" s="14"/>
    </row>
    <row r="38" spans="1:2" x14ac:dyDescent="0.2">
      <c r="A38" s="8"/>
      <c r="B38" s="14"/>
    </row>
    <row r="39" spans="1:2" x14ac:dyDescent="0.2">
      <c r="A39" s="8"/>
      <c r="B39" s="14"/>
    </row>
    <row r="40" spans="1:2" x14ac:dyDescent="0.2">
      <c r="A40" s="8"/>
      <c r="B40" s="14"/>
    </row>
    <row r="41" spans="1:2" x14ac:dyDescent="0.2">
      <c r="A41" s="8"/>
      <c r="B41" s="14"/>
    </row>
    <row r="42" spans="1:2" x14ac:dyDescent="0.2">
      <c r="A42" s="8"/>
      <c r="B42" s="14"/>
    </row>
    <row r="43" spans="1:2" x14ac:dyDescent="0.2">
      <c r="A43" s="17"/>
      <c r="B43" s="18"/>
    </row>
    <row r="44" spans="1:2" x14ac:dyDescent="0.2">
      <c r="A44" s="17"/>
      <c r="B44" s="18"/>
    </row>
    <row r="45" spans="1:2" x14ac:dyDescent="0.2">
      <c r="A45" s="17"/>
      <c r="B45" s="18"/>
    </row>
    <row r="46" spans="1:2" x14ac:dyDescent="0.2">
      <c r="A46" s="17"/>
      <c r="B46" s="18"/>
    </row>
    <row r="47" spans="1:2" x14ac:dyDescent="0.2">
      <c r="A47" s="17"/>
      <c r="B47" s="18"/>
    </row>
    <row r="48" spans="1:2" x14ac:dyDescent="0.2">
      <c r="A48" s="17"/>
      <c r="B48" s="18"/>
    </row>
    <row r="49" spans="1:2" x14ac:dyDescent="0.2">
      <c r="A49" s="17"/>
      <c r="B49" s="18"/>
    </row>
    <row r="50" spans="1:2" x14ac:dyDescent="0.2">
      <c r="A50" s="17"/>
      <c r="B50" s="18"/>
    </row>
    <row r="51" spans="1:2" x14ac:dyDescent="0.2">
      <c r="A51" s="17"/>
      <c r="B51" s="18"/>
    </row>
    <row r="52" spans="1:2" x14ac:dyDescent="0.2">
      <c r="A52" s="17"/>
      <c r="B52" s="18"/>
    </row>
    <row r="53" spans="1:2" x14ac:dyDescent="0.2">
      <c r="A53" s="17"/>
      <c r="B53" s="18"/>
    </row>
    <row r="54" spans="1:2" x14ac:dyDescent="0.2">
      <c r="A54" s="17"/>
      <c r="B54" s="17"/>
    </row>
    <row r="55" spans="1:2" x14ac:dyDescent="0.2">
      <c r="A55" s="17"/>
      <c r="B55" s="17"/>
    </row>
    <row r="56" spans="1:2" x14ac:dyDescent="0.2">
      <c r="A56" s="17"/>
      <c r="B56" s="17"/>
    </row>
    <row r="57" spans="1:2" x14ac:dyDescent="0.2">
      <c r="A57" s="17"/>
      <c r="B57" s="17"/>
    </row>
    <row r="58" spans="1:2" x14ac:dyDescent="0.2">
      <c r="A58" s="17"/>
      <c r="B58" s="17"/>
    </row>
    <row r="59" spans="1:2" x14ac:dyDescent="0.2">
      <c r="A59" s="17"/>
      <c r="B59" s="17"/>
    </row>
    <row r="60" spans="1:2" x14ac:dyDescent="0.2">
      <c r="A60" s="17"/>
      <c r="B60" s="17"/>
    </row>
    <row r="61" spans="1:2" x14ac:dyDescent="0.2">
      <c r="A61" s="17"/>
      <c r="B61" s="17"/>
    </row>
    <row r="62" spans="1:2" x14ac:dyDescent="0.2">
      <c r="A62" s="17"/>
      <c r="B62" s="17"/>
    </row>
    <row r="63" spans="1:2" x14ac:dyDescent="0.2">
      <c r="A63" s="17"/>
      <c r="B63" s="17"/>
    </row>
    <row r="64" spans="1:2" x14ac:dyDescent="0.2">
      <c r="A64" s="17"/>
      <c r="B64" s="17"/>
    </row>
    <row r="65" spans="1:2" x14ac:dyDescent="0.2">
      <c r="A65" s="17"/>
      <c r="B65" s="17"/>
    </row>
    <row r="66" spans="1:2" x14ac:dyDescent="0.2">
      <c r="A66" s="17"/>
      <c r="B66" s="17"/>
    </row>
    <row r="67" spans="1:2" x14ac:dyDescent="0.2">
      <c r="A67" s="17"/>
      <c r="B67" s="17"/>
    </row>
    <row r="68" spans="1:2" x14ac:dyDescent="0.2">
      <c r="A68" s="17"/>
      <c r="B68" s="17"/>
    </row>
    <row r="69" spans="1:2" x14ac:dyDescent="0.2">
      <c r="A69" s="17"/>
      <c r="B69" s="17"/>
    </row>
    <row r="70" spans="1:2" x14ac:dyDescent="0.2">
      <c r="A70" s="17"/>
      <c r="B70" s="17"/>
    </row>
    <row r="71" spans="1:2" x14ac:dyDescent="0.2">
      <c r="A71" s="17"/>
      <c r="B71" s="17"/>
    </row>
    <row r="72" spans="1:2" x14ac:dyDescent="0.2">
      <c r="A72" s="17"/>
      <c r="B72" s="17"/>
    </row>
    <row r="73" spans="1:2" x14ac:dyDescent="0.2">
      <c r="A73" s="17"/>
      <c r="B73" s="17"/>
    </row>
    <row r="74" spans="1:2" x14ac:dyDescent="0.2">
      <c r="A74" s="17"/>
      <c r="B74" s="17"/>
    </row>
    <row r="75" spans="1:2" x14ac:dyDescent="0.2">
      <c r="A75" s="17"/>
      <c r="B75" s="17"/>
    </row>
    <row r="76" spans="1:2" x14ac:dyDescent="0.2">
      <c r="A76" s="17"/>
      <c r="B76" s="17"/>
    </row>
    <row r="77" spans="1:2" x14ac:dyDescent="0.2">
      <c r="A77" s="17"/>
      <c r="B77" s="17"/>
    </row>
    <row r="78" spans="1:2" x14ac:dyDescent="0.2">
      <c r="A78" s="17"/>
      <c r="B78" s="17"/>
    </row>
    <row r="79" spans="1:2" x14ac:dyDescent="0.2">
      <c r="A79" s="17"/>
      <c r="B79" s="17"/>
    </row>
    <row r="80" spans="1:2" x14ac:dyDescent="0.2">
      <c r="A80" s="17"/>
      <c r="B80" s="17"/>
    </row>
    <row r="81" spans="1:2" x14ac:dyDescent="0.2">
      <c r="A81" s="17"/>
      <c r="B81" s="17"/>
    </row>
    <row r="82" spans="1:2" x14ac:dyDescent="0.2">
      <c r="A82" s="17"/>
      <c r="B82" s="17"/>
    </row>
    <row r="83" spans="1:2" x14ac:dyDescent="0.2">
      <c r="A83" s="17"/>
      <c r="B83" s="17"/>
    </row>
    <row r="84" spans="1:2" x14ac:dyDescent="0.2">
      <c r="A84" s="17"/>
      <c r="B84" s="17"/>
    </row>
    <row r="85" spans="1:2" x14ac:dyDescent="0.2">
      <c r="A85" s="17"/>
      <c r="B85" s="17"/>
    </row>
    <row r="86" spans="1:2" x14ac:dyDescent="0.2">
      <c r="A86" s="17"/>
      <c r="B86" s="17"/>
    </row>
    <row r="87" spans="1:2" x14ac:dyDescent="0.2">
      <c r="A87" s="17"/>
      <c r="B87" s="17"/>
    </row>
    <row r="88" spans="1:2" x14ac:dyDescent="0.2">
      <c r="A88" s="17"/>
      <c r="B88" s="17"/>
    </row>
    <row r="89" spans="1:2" x14ac:dyDescent="0.2">
      <c r="A89" s="17"/>
      <c r="B89" s="17"/>
    </row>
    <row r="90" spans="1:2" x14ac:dyDescent="0.2">
      <c r="A90" s="17"/>
      <c r="B90" s="17"/>
    </row>
    <row r="91" spans="1:2" x14ac:dyDescent="0.2">
      <c r="A91" s="17"/>
      <c r="B91" s="17"/>
    </row>
    <row r="92" spans="1:2" x14ac:dyDescent="0.2">
      <c r="A92" s="17"/>
      <c r="B92" s="17"/>
    </row>
    <row r="93" spans="1:2" x14ac:dyDescent="0.2">
      <c r="A93" s="17"/>
      <c r="B93" s="17"/>
    </row>
    <row r="94" spans="1:2" x14ac:dyDescent="0.2">
      <c r="A94" s="17"/>
      <c r="B94" s="17"/>
    </row>
    <row r="95" spans="1:2" x14ac:dyDescent="0.2">
      <c r="A95" s="17"/>
      <c r="B95" s="17"/>
    </row>
    <row r="96" spans="1:2" x14ac:dyDescent="0.2">
      <c r="A96" s="17"/>
      <c r="B96" s="17"/>
    </row>
    <row r="97" spans="1:2" x14ac:dyDescent="0.2">
      <c r="A97" s="17"/>
      <c r="B97" s="17"/>
    </row>
    <row r="98" spans="1:2" x14ac:dyDescent="0.2">
      <c r="A98" s="17"/>
      <c r="B98" s="17"/>
    </row>
    <row r="99" spans="1:2" x14ac:dyDescent="0.2">
      <c r="A99" s="17"/>
      <c r="B99" s="17"/>
    </row>
    <row r="100" spans="1:2" x14ac:dyDescent="0.2">
      <c r="A100" s="17"/>
      <c r="B100" s="17"/>
    </row>
    <row r="101" spans="1:2" x14ac:dyDescent="0.2">
      <c r="A101" s="17"/>
      <c r="B101" s="17"/>
    </row>
    <row r="102" spans="1:2" x14ac:dyDescent="0.2">
      <c r="A102" s="17"/>
      <c r="B102" s="17"/>
    </row>
    <row r="103" spans="1:2" x14ac:dyDescent="0.2">
      <c r="A103" s="17"/>
      <c r="B103" s="17"/>
    </row>
    <row r="104" spans="1:2" x14ac:dyDescent="0.2">
      <c r="A104" s="17"/>
      <c r="B104" s="17"/>
    </row>
    <row r="105" spans="1:2" x14ac:dyDescent="0.2">
      <c r="A105" s="17"/>
      <c r="B105" s="17"/>
    </row>
    <row r="106" spans="1:2" x14ac:dyDescent="0.2">
      <c r="A106" s="17"/>
      <c r="B106" s="17"/>
    </row>
    <row r="107" spans="1:2" x14ac:dyDescent="0.2">
      <c r="A107" s="17"/>
      <c r="B107" s="17"/>
    </row>
    <row r="108" spans="1:2" x14ac:dyDescent="0.2">
      <c r="A108" s="17"/>
      <c r="B108" s="17"/>
    </row>
    <row r="109" spans="1:2" x14ac:dyDescent="0.2">
      <c r="A109" s="17"/>
      <c r="B109" s="17"/>
    </row>
    <row r="110" spans="1:2" x14ac:dyDescent="0.2">
      <c r="A110" s="17"/>
      <c r="B110" s="17"/>
    </row>
    <row r="111" spans="1:2" x14ac:dyDescent="0.2">
      <c r="A111" s="17"/>
      <c r="B111" s="17"/>
    </row>
    <row r="112" spans="1:2" x14ac:dyDescent="0.2">
      <c r="A112" s="17"/>
      <c r="B112" s="17"/>
    </row>
    <row r="113" spans="1:2" x14ac:dyDescent="0.2">
      <c r="A113" s="17"/>
      <c r="B113" s="17"/>
    </row>
    <row r="114" spans="1:2" x14ac:dyDescent="0.2">
      <c r="A114" s="17"/>
      <c r="B114" s="17"/>
    </row>
    <row r="115" spans="1:2" x14ac:dyDescent="0.2">
      <c r="A115" s="17"/>
      <c r="B115" s="17"/>
    </row>
    <row r="116" spans="1:2" x14ac:dyDescent="0.2">
      <c r="A116" s="17"/>
      <c r="B116" s="17"/>
    </row>
    <row r="117" spans="1:2" x14ac:dyDescent="0.2">
      <c r="A117" s="17"/>
      <c r="B117" s="17"/>
    </row>
    <row r="118" spans="1:2" x14ac:dyDescent="0.2">
      <c r="A118" s="17"/>
      <c r="B118" s="17"/>
    </row>
    <row r="119" spans="1:2" x14ac:dyDescent="0.2">
      <c r="A119" s="17"/>
      <c r="B119" s="17"/>
    </row>
    <row r="120" spans="1:2" x14ac:dyDescent="0.2">
      <c r="A120" s="17"/>
      <c r="B120" s="17"/>
    </row>
    <row r="121" spans="1:2" x14ac:dyDescent="0.2">
      <c r="A121" s="17"/>
      <c r="B121" s="17"/>
    </row>
    <row r="122" spans="1:2" x14ac:dyDescent="0.2">
      <c r="A122" s="17"/>
      <c r="B122" s="17"/>
    </row>
    <row r="123" spans="1:2" x14ac:dyDescent="0.2">
      <c r="A123" s="17"/>
      <c r="B123" s="17"/>
    </row>
    <row r="124" spans="1:2" x14ac:dyDescent="0.2">
      <c r="A124" s="17"/>
      <c r="B124" s="17"/>
    </row>
    <row r="125" spans="1:2" x14ac:dyDescent="0.2">
      <c r="A125" s="17"/>
      <c r="B125" s="17"/>
    </row>
    <row r="126" spans="1:2" x14ac:dyDescent="0.2">
      <c r="A126" s="17"/>
      <c r="B126" s="17"/>
    </row>
    <row r="127" spans="1:2" x14ac:dyDescent="0.2">
      <c r="A127" s="17"/>
      <c r="B127" s="17"/>
    </row>
    <row r="128" spans="1:2" x14ac:dyDescent="0.2">
      <c r="A128" s="17"/>
      <c r="B128" s="17"/>
    </row>
    <row r="129" spans="1:2" x14ac:dyDescent="0.2">
      <c r="A129" s="17"/>
      <c r="B129" s="17"/>
    </row>
    <row r="130" spans="1:2" x14ac:dyDescent="0.2">
      <c r="A130" s="17"/>
      <c r="B130" s="17"/>
    </row>
    <row r="131" spans="1:2" x14ac:dyDescent="0.2">
      <c r="A131" s="17"/>
      <c r="B131" s="17"/>
    </row>
    <row r="132" spans="1:2" x14ac:dyDescent="0.2">
      <c r="A132" s="17"/>
      <c r="B132" s="17"/>
    </row>
    <row r="133" spans="1:2" x14ac:dyDescent="0.2">
      <c r="A133" s="17"/>
      <c r="B133" s="17"/>
    </row>
    <row r="134" spans="1:2" x14ac:dyDescent="0.2">
      <c r="A134" s="1"/>
    </row>
    <row r="135" spans="1:2" x14ac:dyDescent="0.2">
      <c r="A135" s="1"/>
    </row>
    <row r="136" spans="1:2" x14ac:dyDescent="0.2">
      <c r="A136" s="1"/>
    </row>
    <row r="137" spans="1:2" x14ac:dyDescent="0.2">
      <c r="A137" s="1"/>
    </row>
    <row r="138" spans="1:2" x14ac:dyDescent="0.2">
      <c r="A138" s="1"/>
    </row>
    <row r="139" spans="1:2" x14ac:dyDescent="0.2">
      <c r="A139" s="1"/>
    </row>
    <row r="140" spans="1:2" x14ac:dyDescent="0.2">
      <c r="A140" s="1"/>
    </row>
    <row r="141" spans="1:2" x14ac:dyDescent="0.2">
      <c r="A141" s="1"/>
    </row>
    <row r="142" spans="1:2" x14ac:dyDescent="0.2">
      <c r="A142" s="1"/>
    </row>
    <row r="143" spans="1:2" x14ac:dyDescent="0.2">
      <c r="A143"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4</vt:i4>
      </vt:variant>
      <vt:variant>
        <vt:lpstr>Named Ranges</vt:lpstr>
      </vt:variant>
      <vt:variant>
        <vt:i4>1</vt:i4>
      </vt:variant>
    </vt:vector>
  </HeadingPairs>
  <TitlesOfParts>
    <vt:vector size="11" baseType="lpstr">
      <vt:lpstr>Sheet2</vt:lpstr>
      <vt:lpstr>Control</vt:lpstr>
      <vt:lpstr>Calculations</vt:lpstr>
      <vt:lpstr>CO2_data</vt:lpstr>
      <vt:lpstr>Weather_data</vt:lpstr>
      <vt:lpstr>Task_diary</vt:lpstr>
      <vt:lpstr>Soil water balance</vt:lpstr>
      <vt:lpstr>Cumulative grass production</vt:lpstr>
      <vt:lpstr>Wateruptake-Growth rate</vt:lpstr>
      <vt:lpstr>Net radiation</vt:lpstr>
      <vt:lpstr>Calculations!Print_Area</vt:lpstr>
    </vt:vector>
  </TitlesOfParts>
  <Company>SAFE, Cranfield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ISS</dc:creator>
  <cp:lastModifiedBy>Luca Butikofer</cp:lastModifiedBy>
  <cp:lastPrinted>2018-11-26T08:46:47Z</cp:lastPrinted>
  <dcterms:created xsi:type="dcterms:W3CDTF">1997-10-13T09:47:50Z</dcterms:created>
  <dcterms:modified xsi:type="dcterms:W3CDTF">2020-07-10T15:56:03Z</dcterms:modified>
</cp:coreProperties>
</file>